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watchlist+notes" sheetId="1" r:id="rId4"/>
    <sheet state="visible" name="Sheet39" sheetId="2" r:id="rId5"/>
    <sheet state="visible" name="Finding Value" sheetId="3" r:id="rId6"/>
    <sheet state="visible" name="Screener" sheetId="4" r:id="rId7"/>
    <sheet state="visible" name="Screener beta" sheetId="5" r:id="rId8"/>
    <sheet state="visible" name="AAA" sheetId="6" r:id="rId9"/>
    <sheet state="visible" name="BBB" sheetId="7" r:id="rId10"/>
    <sheet state="visible" name="CCC" sheetId="8" r:id="rId11"/>
    <sheet state="visible" name="Watchlist" sheetId="9" r:id="rId12"/>
    <sheet state="visible" name="Altman Z" sheetId="10" r:id="rId13"/>
    <sheet state="visible" name="Library" sheetId="11" r:id="rId14"/>
    <sheet state="visible" name="A-Z" sheetId="12" r:id="rId15"/>
    <sheet state="visible" name="Data Engineering" sheetId="13" r:id="rId16"/>
    <sheet state="visible" name="Valuation" sheetId="14" r:id="rId17"/>
    <sheet state="visible" name="calc" sheetId="15" r:id="rId18"/>
    <sheet state="visible" name="EARNINGS" sheetId="16" r:id="rId19"/>
    <sheet state="visible" name="OPTIONS" sheetId="17" r:id="rId20"/>
    <sheet state="visible" name="SNAPdash" sheetId="18" r:id="rId21"/>
    <sheet state="visible" name="Log" sheetId="19" r:id="rId22"/>
    <sheet state="visible" name="Portfolio" sheetId="20" r:id="rId23"/>
    <sheet state="visible" name="UNIVERSE" sheetId="21" r:id="rId24"/>
    <sheet state="visible" name="EDGAR CIK raw" sheetId="22" r:id="rId25"/>
    <sheet state="visible" name="VIX" sheetId="23" r:id="rId26"/>
    <sheet state="visible" name="SIC Index" sheetId="24" r:id="rId27"/>
    <sheet state="visible" name="Pulse(Heartbeat of the market)" sheetId="25" r:id="rId28"/>
    <sheet state="visible" name="Crypto" sheetId="26" r:id="rId29"/>
    <sheet state="visible" name="(ETL)" sheetId="27" r:id="rId30"/>
    <sheet state="visible" name="index and match" sheetId="28" r:id="rId31"/>
    <sheet state="visible" name="betas" sheetId="29" r:id="rId32"/>
    <sheet state="visible" name="Beneish M Score Calculator" sheetId="30" r:id="rId33"/>
    <sheet state="visible" name="EO" sheetId="31" r:id="rId3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5">
      <text>
        <t xml:space="preserve">Blend is a mix of value and growth in finance</t>
      </text>
    </comment>
    <comment authorId="0" ref="A1">
      <text>
        <t xml:space="preserve">Purpose: This section shows cash used in or generated by the company’s investment activities, such as purchasing assets, selling assets, or acquiring other businesses.
Key Insights:
CapEx: High and consistent CapEx may indicate ongoing investments in growth, but it can also consume significant cash. It’s important to assess whether these investments are translating into future revenue and profit growth.
Asset Sales: Frequent or significant asset sales could be a red flag, suggesting the company is selling off parts of its business to generate cash.
	-Brandon Hardison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Where:
Net Income: The company’s total profit after all expenses, taxes, and interest have been deducted.
Non-Cash Expenses: These include items such as depreciation, amortization, stock-based compensation, and other non-cash charges.
Changes in Working Capital: Adjustments for changes in current assets and current liabilities. This includes:
Increase in Current Assets (e.g., Accounts Receivable, Inventory): Subtracted from net income.
Decrease in Current Assets: Added to net income.
Increase in Current Liabilities (e.g., Accounts Payable, Accrued Expenses): Added to net income.
Decrease in Current Liabilities: Subtracted from net income.
2. Direct Method
The Direct Method lists all the cash inflows and outflows directly related to operating activities.
Operating Cash Flow (OCF)
=
Cash Receipts from Customers
−
Cash Payments to Suppliers and Employees
−
Cash Payments for Interest and Taxes
Operating Cash Flow (OCF)=Cash Receipts from Customers−Cash Payments to Suppliers and Employees−Cash Payments for Interest and Taxes
Where:
Cash Receipts from Customers: Cash collected from selling goods and services.
Cash Payments to Suppliers and Employees: Cash paid for goods, services, and employee wages.
Cash Payments for Interest and Taxes: Cash paid for interest on debt and income taxes.
Example Calculation using the Indirect Method
Assume a company has the following financial data:
Net Income: $200,000
Depreciation: $30,000
Increase in Accounts Receivable: $20,000
Decrease in Inventory: $10,000
Increase in Accounts Payable: $15,000
Step-by-Step Calculation:
Start with Net Income:
Net Income
=
$
200
,
000
Net Income=$200,000
Add Non-Cash Expenses:
Depreciation
=
$
30
,
000
Depreciation=$30,000
Adjust for Changes in Working Capital:
Decrease in Inventory: Added back
+
$
10
,
000
+$10,000
Increase in Accounts Receivable: Subtracted
−
$
20
,
000
−$20,000
Increase in Accounts Payable: Added back
+
$
15
,
000
+$15,000
Calculate Operating Cash Flow:
OCF
=
$
200
,
000
+
$
	-Brandon Hardison
1. Indirect Method
The Indirect Method is the most commonly used method for calculating Operating Cash Flow. It starts with net income and adjusts for non-cash expenses and changes in working capital.
Formula:
Operating Cash Flow (OCF)
=
Net Income
+
Non-Cash Expenses
−
Non-Cash Gains
±
Changes in Working Capital
Operating Cash Flow (OCF)=Net Income+Non-Cash Expenses−Non-Cash Gains±Changes in Working Capital
Breakdown:
Net Income: The company's profit after taxes, interest, and all other expenses.
Non-Cash Expenses:
Depreciation and Amortization: Added back because they reduce net income but do not involve actual cash outflows.
Stock-Based Compensation: Added back for the same reason as above.
Non-Cash Gains:
Gain on Sale of Assets: Subtracted because it increases net income but does not result from operating activities.
Changes in Working Capital:
(Increase) / Decrease in Current Assets (excluding cash):
Increase in Accounts Receivable: Subtracted.
Increase in Inventory: Subtracted.
Increase in Prepaid Expenses: Subtracted.
Increase / (Decrease) in Current Liabilities:
Increase in Accounts Payable: Added.
Increase in Accrued Expenses: Added.
Increase in Deferred Revenue: Added.
Full Formula Example:
OCF
=
Net Income
+
Depreciation
+
Amortization
+
Stock-Based Compensation
+
(Increase in Accounts Receivable)
+
(Decrease in Inventory)
+
Increase in Accounts Payable
…
OCF=Net Income+Depreciation+Amortization+Stock-Based Compensation+(Increase in Accounts Receivable)+(Decrease in Inventory)+Increase in Accounts Payable…
2. Direct Method
The Direct Method calculates Operating Cash Flow by summing up all the actual cash inflows and outflows from operating activities.
Formula:
Operating Cash Flow (OCF)
=
Cash Receipts from Customers
−
Cash Payments to Suppliers
−
Cash Payments to Employees
−
Cash Payments for Operating Expenses
−
Cash Payments for Interest
−
Cash Payments for Taxes
Operating Cash Flow (OCF)=Cash Receipts from Custom
	-Brandon Hardison</t>
      </text>
    </comment>
    <comment authorId="0" ref="D29">
      <text>
        <t xml:space="preserve">Step-by-Step Calculation:
Proceeds from Borrowing:
Proceeds from Borrowing
=
$
500
,
000
Proceeds from Borrowing=$500,000
Repayment of Debt:
Repayment of Debt
=
$
200
,
000
Repayment of Debt=$200,000
Proceeds from Issuing Stock:
Proceeds from Issuing Stock
=
$
150
,
000
Proceeds from Issuing Stock=$150,000
Repurchase of Stock:
Repurchase of Stock
=
$
50
,
000
Repurchase of Stock=$50,000
Dividends Paid:
Dividends Paid
=
$
100
,
000
Dividends Paid=$100,000
Calculate Cash Flow from Financing Activities:
CFF
=
$
500
,
000
−
$
200
,
000
+
$
150
,
000
−
$
50
,
000
−
$
100
,
000
CFF=$500,000−$200,000+$150,000−$50,000−$100,000
CFF
=
$
300
,
000
+
$
150
,
000
−
$
150
,
000
CFF=$300,000+$150,000−$150,000
CFF
=
$
300
,
000
CFF=$300,000
	-Brandon Hardison
Positive CFF: Indicates the company is raising capital through debt or equity, which could be a sign of expansion.
Negative CFF: Suggests the company is paying off debt, repurchasing shares, or paying dividends, which could indicate a focus on returning value to shareholders.
	-Brandon Hardison</t>
      </text>
    </comment>
    <comment authorId="0" ref="A29">
      <text>
        <t xml:space="preserve">Purpose: This section shows how the company is financing its operations and growth, including debt issuance, repayment, equity issuance, and dividend payments.
Key Insights:
Dividend Sustainability: If dividends are paid, ensure they are covered by FCF. Paying dividends from debt or issuing new shares to finance dividends could be unsustainable.
Debt Levels: Monitor the cash flow related to debt. A company consistently raising debt may be at risk if it cannot generate sufficient OCF to cover interest payments.
	-Brandon Hardison</t>
      </text>
    </comment>
    <comment authorId="0" ref="A28">
      <text>
        <t xml:space="preserve">Purpose: This section shows cash used in or generated by the company’s investment activities, such as purchasing assets, selling assets, or acquiring other businesses.
Key Insights:
CapEx: High and consistent CapEx may indicate ongoing investments in growth, but it can also consume significant cash. It’s important to assess whether these investments are translating into future revenue and profit growth.
Asset Sales: Frequent or significant asset sales could be a red flag, suggesting the company is selling off parts of its business to generate cash.
	-Brandon Hardison
Cash Flow from Investing Activities (CFI) reflects the net cash inflows and outflows from a company's investments in long-term assets and other investment-related activities. It typically includes cash transactions related to the purchase and sale of property, plant, and equipment (PPE), investments in securities, and acquisitions or sales of businesses.
Components of Cash Flow from Investing Activities
Purchase of Property, Plant, and Equipment (Capital Expenditures):
Cash outflows used to acquire physical assets like buildings, machinery, and equipment.
Proceeds from Sale of Property, Plant, and Equipment:
Cash inflows from selling physical assets.
Purchase of Investments:
Cash outflows for purchasing investments in securities (e.g., stocks, bonds) or other businesses.
Proceeds from Sale of Investments:
Cash inflows from selling investments in securities or other businesses.
Other Investing Activities:
This can include cash flows from other long-term investments, like loans made or repayments received.
	-Brandon Hardison</t>
      </text>
    </comment>
    <comment authorId="0" ref="A16">
      <text>
        <t xml:space="preserve">Purpose: Shows the percentage of revenue left after covering operating expenses.
	-Brandon Hardison</t>
      </text>
    </comment>
    <comment authorId="0" ref="A15">
      <text>
        <t xml:space="preserve">Purpose: Measures the percentage of revenue that exceeds the cost of goods sold.
	-Brandon Hardison</t>
      </text>
    </comment>
    <comment authorId="0" ref="A11">
      <text>
        <t xml:space="preserve">These ratios measure a company’s ability to generate income relative to revenue, assets, equity, and other financial metrics.
	-Brandon Hardison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S7">
      <text>
        <t xml:space="preserve">Blend is a mix of value and growth in finance</t>
      </text>
    </comment>
    <comment authorId="0" ref="A8">
      <text>
        <t xml:space="preserve">Graham stated this as 8.5
One way to think about the P/E ratio is to flip it around and calculate it as the earnings yield. In other words, the E/P ratio, earnings-per-share divided by share price. If a share of stock currently trades for $20, and has earnings-per-share of $2, then its E/P ratio is 2/20 which is equal to 0.1 or 10%. This will be relevant for examples in this section.
Zero Growth Stock: 10 P/E Ratio
As a thought experiment, imagine what your return would be if a company were to just pay all of its earnings to its shareholders as dividends.
A stock with a P/E ratio of 10 (or an earnings yield of 10%), that doesn’t grow at all, can pay out a 10% yield to shareholders every year if it wanted. More realistically, they could pay a part of that as dividends, and use a part of that for share buybacks to boost earnings per share each year. The combination of share buybacks and dividends is called the “shareholder yield”, which is a measure of what percentage of the stock price that the company is returning to shareholders per year.
In other words, a stock with a P/E of 10 can theoretically give a sustainable annual rate of return of 10% with zero growth, if investors receive a 10% earnings yield as dividends or buybacks and reinvest it back into the stock. If you target 10% annual returns, it’s fair to pay a P/E ratio of about 10 for zero-growth company.
That’s a bad sign though, because a zero-growth company isn’t even keeping pace with inflation and population growth, meaning it’s likely in trouble for one reason or another.
Slow Growth Stock: 12 P/E Ratio
Then, suppose there is another company that doesn’t really grow its number of customers or anything, but at least it keeps its pricing up with inflation. In other words, if inflation is 2% per year, this is a company that is growing its revenue and earnings by about 2% per year.
If you pay a P/E ratio of 12 for that stock, then its earnings yield will be 8.3%, meaning it could pay up to a 8.3% dividend each year if it used all of its earnings, or more realistically a 8.3% shareholder yield consisting of a combination of dividends and buybacks. It could also grow earnings and dividends by 2% per year, for about a 10.3% total annual rate of return.
Thus, it’s fair to pay a P/E ratio of about 12 for a very slow growth stock that just keeps revenue growth on pace with inflation.
Moderate Growth Stock: 15 P/E Ratio
Now, imagine a company that grows in line with GDP. In other words, it doesn’t grow market share, but it grows in line with the combination of inflation, population, and productivity increases over time. For a developed country, that’s 3-4% per year. Additionally, it doesn’t have to reinvest its earnings to generate this moderate growth; all of its earnings are free cash flow.
If you pay a P/E ratio of 15 for that type of stock, its earnings yield would be 6.6%, meaning it could theoretically use all of its earnings to pay a 6.6% dividend or shareholder yield. If it grows its earnings by 3-4% per year, that’s 9.6%-10.6% annual returns.
Thus, it’s fair to pay a P/E ratio of about 15 for a moderate-growth stock with healthy free cash flow that just keeps up with GDP growth (changes in inflation, productivity, population combined).
Fast Growth Stock: 25 P/E Ratio
Companies cannot grow faster than GDP forever, because if this continues infinitely, they would grow larger than the whole economy (which can’t happen, since they are a part of the economy).
However, many powerhouse growth companies can grow at a much faster rate than GDP for decades, because they exist in a growing industry that displaces other industries, or they take market share from competitors. Eventually, they become so big that they slow down.
Imagine a company that is expected to grow its revenue and earnings by 10% per year for the next decade, and after that will slow down to 3-4% perpetually as a moderate growth stock. And like the previous examples, it doesn’t need to reinvest its earnings to achieve this growth; its earnings are equivalent to free cash flow.
Using StockDelver, I calculate that a fair P/E ratio would be 25 for now. In ten years when it is growing at 3-4% per year, its fair P/E ratio would be down to about 15 like the previous example from that point on.
Very Fast Growth Stock: 40+ P/E Ratio
Lastly, imagine a company that is expected to grow its revenue and earnings by 20% per year for the next decade, 10% for the decade after that, and 3-4% forever after that. This is like one of the big tech titan stocks that could go on to become a trillion-dollar company.
Again using StockDelver, I calculate that a fair P/E ratio would be about 75 for now. In a decade, its fair P/E ratio would be 25 (although its earnings will be huge by then), and a decade after that its fair P/E ratio would be down to 15 like a regular stock.
However, paying a 75 P/E ratio for a stock is very risky, because if it grows even a little slower than expected over the next decade at only 15% annually, then its fair P/E would be 50.
Company Annual Growth Rate	Fair P/E Ratio
0%	10
2%	12
4%	15
10%	25
20%	40+</t>
      </text>
    </comment>
    <comment authorId="0" ref="D8">
      <text>
        <t xml:space="preserve">Basic EPS = 
Net Income– Preferred Dividends
÷ Weighted Average Common OS
KEY TAKEAWAYS
Earnings per share (EPS) is a company's net profit divided by the number of common shares it has outstanding.
EPS indicates how much money a company makes for each share of its stock and is a widely used metric for estimating corporate value.
A higher EPS indicates greater value because investors will pay more for a company's shares if they think the company has higher profits relative to its share price.
EPS can be arrived at in several forms, such as excluding extraordinary items or discontinued operations, or on a diluted basis.
Like other financial metrics, earnings per share is most valuable when compared against competitor metrics, companies of the same industry, or across a period of time.</t>
      </text>
    </comment>
    <comment authorId="0" ref="A9">
      <text>
        <t xml:space="preserve">Yahoo finance&gt;Stock&gt;Analysis
used to calculate the annual growth of the company for a particular period and according to which value at the beginning is subtracted from the value at the end and the resultant is then divided by the value at the beginning. This formula is applied to multiple metric such as GDP, turnover, and so on.</t>
      </text>
    </comment>
    <comment authorId="0" ref="A10">
      <text>
        <t xml:space="preserve">reasonably expected 7 to 10 year growth rate (see Sustainable growth rate § From a financial perspective)</t>
      </text>
    </comment>
    <comment authorId="0" ref="Y17">
      <text>
        <t xml:space="preserve">Blend is a mix of value and growth in finance</t>
      </text>
    </comment>
    <comment authorId="0" ref="Z17">
      <text>
        <t xml:space="preserve">Blend is a mix of value and growth in finance</t>
      </text>
    </comment>
    <comment authorId="0" ref="AA17">
      <text>
        <t xml:space="preserve">Blend is a mix of value and growth in finance</t>
      </text>
    </comment>
    <comment authorId="0" ref="AB17">
      <text>
        <t xml:space="preserve">Blend is a mix of value and growth in finance</t>
      </text>
    </comment>
    <comment authorId="0" ref="AC17">
      <text>
        <t xml:space="preserve">Blend is a mix of value and growth in finance</t>
      </text>
    </comment>
    <comment authorId="0" ref="AD17">
      <text>
        <t xml:space="preserve">Blend is a mix of value and growth in finance</t>
      </text>
    </comment>
    <comment authorId="0" ref="AE17">
      <text>
        <t xml:space="preserve">Blend is a mix of value and growth in finance</t>
      </text>
    </comment>
    <comment authorId="0" ref="AF17">
      <text>
        <t xml:space="preserve">Blend is a mix of value and growth in finance</t>
      </text>
    </comment>
    <comment authorId="0" ref="O23">
      <text>
        <t xml:space="preserve">Margin of Safety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data.sec.gov" was created to host RESTful data Application Programming Interfaces (APIs) delivering JSON-formatted data to external customers and to web pages on SEC.gov. These APIs do not require any authentication or API keys to access.
Currently included in the APIs are the submissions history by filer and the XBRL data from financial statements (forms 10-Q, 10-K,8-K, 20-F, 40-F, 6-K, and their variants).
The JSON structures are updated throughout the day, in real time, as submissions are disseminated.
In addition, a bulk ZIP file is available to download all the JSON structures for an API. This ZIP file is updated and republished nightly at approximately 3:00 a.m. ET.
data.sec.gov/submissions/
Each entity’s current filing history is available at the following URL:
https://data.sec.gov/submissions/CIK##########.json
Where the ########## is the entity’s 10-digit Central Index Key (CIK), including leading zeros.
This JSON data structure contains metadata such as current name, former name, and stock exchanges and ticker symbols of publicly-traded companies. The object’s property path contains at least one year’s of filing or to 1,000 (whichever is more) of the most recent filings in a compact columnar data array. If the entity has additional filings, files will contain an array of additional JSON files and the date range for the filings each one contains.
XBRL data APIs
Extensible Business Markup Language (XBRL) is an XML-based format for reporting financial statements used by the SEC and financial regulatory agencies across the world. XBRL, in a separate XML file or more recently embedded in quarterly and annual HTML reports as inline XBRL, was first required by the SEC in 2009. XBRL facts must be associated for a standard US-GAAP or IFRS taxonomy. Companies can also extend standard taxonomies with their own custom taxonomies.
The following XBRL APIs aggregate facts from across submissions that
Use a non-custom taxonomy (e.g. us-gaap, ifrs-full, dei, or srt)
Apply to the entire filing entity
This ensures that facts have a consistent context and meaning across companies and between filings and are comparable between companies and across time.
data.sec.gov/api/xbrl/companyconcept/
The company-concept API returns all the XBRL disclosures from a single company (CIK) and concept (a taxonomy and tag) into a single JSON file, with a separate array of facts for each units on measure that the company has chosen to disclose (e.g. net profits reported in U.S. dollars and in Canadian dollars).
https://data.sec.gov/api/xbrl/companyconcept/CIK##########/us-gaap/AccountsPayableCurrent.json
data.sec.gov/api/xbrl/companyfacts/
This API returns all the company concepts data for a company into a single API call:
https://data.sec.gov/api/xbrl/companyfacts/CIK##########.json
data.sec.gov/api/xbrl/frames/
The xbrl/frames API aggregates one fact for each reporting entity that is last filed that most closely fits the calendrical period requested. This API supports for annual, quarterly and instantaneous data:
https://data.sec.gov/api/xbrl/frames/us-gaap/AccountsPayableCurrent/USD/CY2019Q1I.json
Where the units of measure specified in the XBRL contains a numerator and a denominator, these are separated by “-per-” such as “USD-per-shares”. Note that the default unit in XBRL is “pure”.
The period format is CY#### for annual data (duration 365 days +/- 30 days), CY####Q# for quarterly data (duration 91 days +/- 30 days), and CY####Q#I for instantaneous data. Because company financial calendars can start and end on any month or day and even change in length from quarter to quarter to according to the day of the week, the frame data is assembled by the dates that best align with a calendar quarter or year. Data users should be mindful different reporting start and end dates for facts contained in a frame.
CORS
data.sec.gov does not support Cross Origin Resource Scripting (CORS). Automated access must comply with SEC.gov’s Privacy and Security Policy, as described in the   Developer FAQ.
Bulk data
The most efficient means to fetch large amounts of API data is the bulk archive ZIP files, which are recompiled nightly.
The companyfacts.zip file contains all the data from the XBRL Frame API and the XBRL Company Facts API
           https://www.sec.gov/Archives/edgar/daily-index/xbrl/companyfacts.zip
The submission.zip file contains the public EDGAR filing history for all filers from the Submissions API
           https://www.sec.gov/Archives/edgar/daily-index/bulkdata/submissions.zip </t>
      </text>
    </comment>
    <comment authorId="0" ref="B2">
      <text>
        <t xml:space="preserve">https://www.youtube.com/watch?v=yaRC_BbTmlE
https://www.gurufocus.com/screener
https://www.youtube.com/watch?v=ZMKo3EgVgRI
https://thesovereigninvestor.net/value-stock-screener-criteria/
https://thesovereigninvestor.net/free-cash-flow-yield-stock-screener/
importhtml:
https://blog.coupler.io/importhtml-function-google-sheets/
	-Brandon Hardison</t>
      </text>
    </comment>
    <comment authorId="0" ref="B1">
      <text>
        <t xml:space="preserve">If you are talking about web scraping, it behooves you well to understand where HTML files and CGI files, and also from which point on there is no difference between the two.
https://www.perlmonks.org/?node_id=930488
https://metacpan.org/pod/WWW%3A%3AMechanize
https://metacpan.org/pod/Web%3A%3AScraper
https://metacpan.org/pod/App%3A%3Ascrape
https://metacpan.org/pod/Mojolicious
https://www.perl.org
	-Brandon Hardison
Bc I'm doing it entirely over the internet, I do not have access to the web server.
been using Web::Scraper which works really well with properly formatted HTML but not with CGI. I'm trying to get the URL and name of entries in the table.
	-Brandon Hardison
example code Web::Scraper 
#!/usr/bin/perl
use warnings;
use strict;
use URI;
use Web::Scraper;
open FILE, "&gt;file.txt" or die $!;
# website to scrape
my $urlToScrape = "http://www.molmovdb.org/cgi-bin/browse.cgi";
# prepare data
my $teamsdata = scraper {
# we will save the urls from the teams
process "tr.cell2&gt; A", 'urls[]' =&gt; '@href';
# we will save the team names
process "tr.cell2&gt; A", 'teams[]' =&gt; 'TEXT';
};
# scrape the data
my $res = $teamsdata-&gt;scrape(URI-&gt;new($urlToScrape));
	-Brandon Hardison
If you are scraping a web page then it will be HTML. Or are you trying to parse output from a web service that sends a response in something like XML or JSON format? There are modules to handle these scenarios but it is important first to know what you are dealing with. Can you be more precise and maybe give a URL?
	-Brandon Hardison
WWW::Mechanize to interact with the website.
This module allows you to interact with web content like a user would in a browser. You can make your script "click" on links, to get to the text files. Use the table structure of the "browse" page to iterate over all the molecules, each time following the link through to the text data files.
	-Brandon Hardison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Beta (β) measures the sensitivity of a security or portfolio of securities to systematic risk (i.e. volatility) relative to the broader securities market.
Levered and Unlevered Beta are two different types of beta (β), in which the distinction is around the inclusion (or removal) of debt in the capital structure.
Beta (β) represents a company’s sensitivity to market volatility – otherwise referred to as systematic risk – compared to the broader market, which is used as the standard benchmark.
An integral component of the capital asset pricing model (CAPM), beta quantifies the relationship between systematic risk and the expected return.
Moreover, there are two distinct types of beta measured in corporate finance:
Levered Beta → Inclusive of Capital Structure (D/E) Effects
Unlevered Beta → Removed Capital Structure (D/E) Effects
How to Interpret Beta (β) and Market Sensitivity?
The general rules of thumb for interpreting beta are as follows.
β = 1: Shares are just as risky as the market (no market sensitivity)
β &gt; 1: Shares are riskier than the market (high market sensitivity)
β &lt; 1: Shares are less risky than the market (low market sensitivity)
β = 0: Shares have no correlation to the market (no market sensitivity)
The overall stock market is said to have a beta of 1.0, so companies with a beta of 1.0 should be expected to provide returns at an identical rate to the overall stock market, on average.
But if a company has a beta of 2.0, it should expect to realize returns that rise twice as fast (or decline twice as fast) compared to the broader market.
Criticism of Beta as a Measure of Risk
The use of beta as a proxy for risk has received widespread criticism from many practitioners, who believe it to be a flawed measure of risk.
The standard process for estimating beta is through a regression model that compares the historical stock returns to the market benchmark returns (e.g. S&amp;P 500) for a specified duration, with the slope of the regression line corresponding to the beta.
Since past performance is not necessarily an accurate indicator of future performance, the “backward-looking” aspect of the beta calculation is one notable drawback.
Another concern is that the capital structure (debt/equity ratio) of companies, which is a key determinant of volatility (and market performance), changes over time as companies mature and new developments in industries emerge.
Beta reflects a company’s business risk over the period used in the regression model, which can be misleading if the company has undergone significant changes in terms of its business model, target customer, etc.
Lastly, beta is typically based on the historical average financial leverage (i.e. capital structure) over the regression period, rather than the current debt-to-equity mix.
But despite the frequent criticism, the usage of beta in academia and on the job has remained, largely due to the lack of a more suitable alternative.
Warren Buffet Criticism of Beta: Limitations of Risk Measure
One vocal proponent against the use of beta in finance is Warren Buffett.
According to Buffet, beta is ineffective because the model mistakenly assumes volatility as a risk when significant price declines could represent some of the most profitable opportunities to purchase undervalued securities.
Therefore, rather than viewing volatility as a sign that the stock is risky and less valuable, one should perform a fundamental analysis to determine if the shares are indeed underpriced – and then the focus should be on the “margin of safety” (i.e. downside protection).
“The exact opposite is true with value investing. If you buy a dollar bill for 60 cents, it’s riskier than if you buy a dollar bill for 40 cents, but the expectation of reward is greater in the latter case. The greater the potential for reward in the value portfolio, the less risk there is.”
Warren Buffet Commentary on Risk (Source: Graham-and-Doddsville)
To Buffet, the concept of risk instead represents “the possibility of harm or injury” (i.e. losing your initial capital) from inadequate research and/or ignorance.</t>
      </text>
    </comment>
    <comment authorId="0" ref="Q7979">
      <text>
        <t xml:space="preserve">=IF(A1 = "Condition1", INDIRECT("Tab2!A1"), IF(A1 = "Condition2", INDIRECT("Tab2!B1"), ""))
You can reference another tab within Google Sheets based on a conditional statement using a combination of functions like IF, INDIRECT, and IMPORTRANGE. Here's a basic example:
Let's say you have two tabs: Tab1 and Tab2.
In Tab1, you have your conditional statement.
In Tab2, you have the data you want to reference.
In Tab1, let's say you have a cell where you input a condition (let's assume it's in cell A1). Based on the condition, you want to reference a specific cell in Tab2.
You can use the IF function to check the condition and then use INDIRECT to dynamically reference the cell in Tab2 based on the condition.
If the condition in A1 is "Condition1", it will reference cell A1 in Tab2.
If the condition in A1 is "Condition2", it will reference cell B1 in Tab2.
If neither condition is met, it will return an empty string (""), you can replace it with any default value or formula you prefer.
Remember to replace "Condition1" and "Condition2" with your actual conditions and adjust the cell references (A1, B1) as needed based on your specific setup. Also, ensure that the tabs are named correctly ("Tab1" and "Tab2" in this example).
Additionally, if you're referencing data across different sheets, make sure you have given appropriate access permissions, especially if you're using IMPORTRANGE function.
	-Brandon Hardison
=IF(ISNUMBER(MATCH("Condition", Sheet1!2:2, 0)), VLOOKUP(A2, Sheet2!A:B, 2, FALSE), "")
write me a formula for merging data between two sheets based on conditional statement that second row has certain information
To merge data between two sheets based on a conditional statement where the second row has certain information, you can use a combination of functions like VLOOKUP, INDEX, MATCH, and IF. Here's a basic example:
Let's say you have two sheets: Sheet1 and Sheet2.
In Sheet1, you have your conditional statement in the second row. Let's say the condition is that the cell contains the text "Condition". And in Sheet2, you have the data you want to merge.
You can use the following formula in Sheet1 to retrieve data from Sheet2 based on the condition:
MATCH("Condition", Sheet1!2:2, 0) checks if the text "Condition" exists in the second row of Sheet1. If it does, it returns the position of the cell with "Condition", otherwise, it returns an error.
ISNUMBER() checks if the result of MATCH() is a number, indicating that "Condition" was found.
If "Condition" is found in the second row, VLOOKUP(A2, Sheet2!A:B, 2, FALSE) looks up the value in cell A2 of Sheet1 in the first column of Sheet2, and returns the corresponding value from the second column of Sheet2.
If "Condition" is not found, the formula returns an empty string ("").
Make sure to adjust the cell references (A2, Sheet2!A:B) according to your specific data layout. Also, ensure that the text "Condition" matches exactly what you have in the second row of Sheet1.
	-Brandon Hardison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Cash needs are typically higher in the third quarter due to inventory-related working capital requirements for early Fall and holiday selling periods. Our business is also subject, at certain times, to calendar shifts, which may occur during key selling periods close to holidays such as Easter, Thanksgiving, and Christmas.
Our business is sensitive to consumer spending and general economic conditions. Recessionary, slow growth, or other difficult economic conditions have had, and could continue to have, an adverse effect on our financial performance, liquidity and capital resources.
Consumer purchases of discretionary items, including our merchandise, generally decline during recessionary periods and other periods where disposable income is adversely affected. Our business has been impacted, and may continue to be impacted, by factors that affect domestic and worldwide economic conditions and disposable income, particularly those that affect our target demographic, including recent high inflation, fears of a potential recession, unemployment levels, levels of consumer debt, availability of consumer credit, levels of student debt, healthcare costs, prices of non-discretionary consumer goods, reductions in net worth based on declines in the financial, residential real estate and mortgage markets, tax rates, fuel and energy prices, interest rates, consumer confidence and perceptions of personal well-being and security, the value of the United States dollar versus foreign currencies, political and regulatory uncertainty, and other macroeconomic factors. Uncertain or deteriorating economic conditions may reduce the level of consumer spending and inhibit consumers' use of credit, which may adversely affect our revenues, profits, liquidity and capital resources. We are unable to predict how long the current negative macroeconomic environment will continue or the ongoing impact it will have on our target demographic and consumer spending and, in turn, our revenues, profits, liquidity and capital resources.
In recessionary periods or periods of slow growth, we may have to increase the number of promotional sales or otherwise dispose of inventory, including fabric, for which we have previously paid to manufacture or committed to purchase and/or increase our marketing and promotional expenses in response to lower than anticipated levels of demand for our products, which could adversely affect our profitability. Our financial performance may be particularly susceptible to economic and other conditions in regions or states where we have a significant number of stores. An economic downturn or a recession or continued economic volatility and uncertainty may also lead to reduced liquidity, increased credit risk, higher borrowing costs or reduced availability of capital and credit. As a result, we may experience difficulty remaining in compliance with the financial covenants under the agreements governing our indebtedness or we be unable to access additional sources of liquidity, including to fund our normal working capital requirements, in the credit and capital markets on favorable terms or at all.
In addition, difficult economic conditions may exacerbate some of the other risks described in this Item 1A. Risk Factors, including those risks associated with increased competition, decreases in mall traffic, brand reputation, our ability to develop and maintain a reliable omnichannel customer experience, our ability to execute our corporate strategy and achieve our strategic objectives, our ability to realize synergies from our strategic partnership with WHP, the interruption of the production and flow of merchandise, and leasing substantial amounts of space. The risks could be exacerbated individually or collectively.
We have, and will continue to have, significant lease obligations. We are subject to risks associated with leasing substantial amounts of space, including future increases in occupancy costs and the need to generate significant cash flow to meet our lease obligations.
We have, and will continue to have, significant lease obligations. We lease all of our store locations, our corporate offices, and our central distribution facility. We typically occupy our stores under operating leases with options to renew for additional multi-year periods. In the future, we may not be able to negotiate favorable lease terms for the most desired store locations. Our inability to do so may cause our occupancy costs to be higher in future years or may force us to close stores in desirable locations.
Some of our leases have early cancellation clauses, which permit the lease to be terminated by us or the landlord if certain sales levels are not met in specific periods or if the center does not meet specified occupancy standards. In addition to future minimum lease payments, some of our store leases provide for additional rental payments based on a percentage of net sales, or “percentage rent,” if sales at the respective stores exceed specified levels, as well as the payment of common area maintenance charges, real property insurance, energy costs, and real estate taxes. Many of our lease agreements have defined escalating rent provisions over the initial term and any extensions.
We depend on cash flow from operations to pay our lease expenses. If our business does not generate sufficient cash flow from operating activities to fund these expenses, due to continued decreases in mall traffic, the highly competitive retail environment, or other factors, we may not be able to service our lease expenses, which could materially harm our business. Furthermore, the significant cash flow required to satisfy our obligations under the leases increases our vulnerability to adverse changes in general economic, industry, and competitive conditions, and could limit our ability to fund working capital, incur indebtedness, and make capital expenditures or other investments in our business.
If an existing or future store is not profitable, and we decide to close it, we may nonetheless be committed to perform our obligations under the applicable lease including, among other things, paying the base rent for the balance of the lease term. Moreover, even if a lease has an early cancellation clause, we may not satisfy the contractual requirements for early cancellation under that lease. As of January 28, 2023, our minimum annual rental obligations under long-term lease arrangements for 2023 and 2024 were $209.1 million and $177.3 million, respectively. Our inability to enter into new leases or renew existing leases on terms acceptable to us or be released from our obligations under leases for stores that we close could materially adversely affect us.
</t>
      </text>
    </comment>
    <comment authorId="0" ref="H6">
      <text>
        <t xml:space="preserve">Bonobos Asset Acquisition
On May 23, 2023, the Company completed the acquisition of the operating assets and liabilities of Bonobos, a menswear brand known for exceptional fit and an innovative retail model, for total cash consideration of approximately $28.3 million, which represents (i) the $25.0 million purchase price, plus (ii) $2.0 million of certain customary adjustments related to net working capital and $1.3 million of prepaid rent expense. The acquisition was funded with borrowings under the Revolving Credit Facility described in Note 9. The acquisition is intended to provide the following strategic and financial benefits:
•The Company plans to unlock additional growth for the Bonobos brand by leveraging its strength in men’s to address underpenetrated categories, and its strength in marketing to drive greater awareness and customer acquisition
•Bonobos expands the Company's brand portfolio, accelerating the Company’s sales growth and profitability
•The Company expects to leverage its fully integrated omnichannel operating platform to drive financial efficiencies, operational synergies and additional economies of scale across Production &amp; Sourcing, Logistics, Real Estate, Technology, and other areas of its existing and new businesses
	-Brandon Hardison</t>
      </text>
    </comment>
    <comment authorId="0" ref="F7">
      <text>
        <t xml:space="preserve">To evaluate who got a better deal in the strategic partnership scenario, we need to consider the value of the investment relative to the ownership stake received and take into account the second company's financial situation, particularly its high debt levels.
Let's calculate the implied valuation for each company and then assess the impact of the second company's high debt levels:
First Company's Investment:
Amount Invested: $23 million
Shares Received: 5.4 million
Calculate the implied valuation per share for the second company:
Implied Valuation per Share
=
Amount Invested
Shares Received
Implied Valuation per Share= 
Shares Received
Amount Invested
Second Company's Financial Situation:
Consider the second company's high debt levels. If the company has a negative Debt Service Coverage Ratio (DSCR) or is facing financial challenges due to its debt, this could impact its overall valuation and the attractiveness of the deal.
Assessment:
Compare the implied valuation per share to industry benchmarks or comparable transactions to determine if it is reasonable. A lower implied valuation per share might indicate that the first company received a better deal.
Assess the impact of the second company's high debt levels on its overall financial health. If the debt levels are excessively high, it could pose risks to the company's long-term viability.
Consider whether the strategic partnership provides the first company with additional benefits beyond the financial investment, such as access to the second company's technology, customer base, or other strategic advantages.
Without specific financial figures, it's challenging to provide a definitive assessment. However, by calculating the implied valuation per share and considering the second company's financial situation, you can gain insights into the relative value of the deal for each party. Additionally, consulting financial professionals or performing a detailed financial analysis may provide a more comprehensive evaluation.
	-Brandon Hardison</t>
      </text>
    </comment>
    <comment authorId="0" ref="F6">
      <text>
        <t xml:space="preserve">OK so lets say there are two companies that enter a strategic parthernship The first company invests 23 million dollars into the second company. The first company receives 5.4 million shares of the second company. the second company has good cash flows but has high debt levels. who got a better deal in this scenario?
	-Brandon Hardison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=INDEX(A1:D6, MATCH(2, D1:D6, 0), MATCH("Guest Name", A1:D1, 0))
INDEX and MATCH can be used together to perform more advanced and dynamic lookups.
Tip: VLOOKUP can be used when the lookup value is to the left of the desired attribute to return. INDEX and MATCH can be used regardless of where the lookup value is located in the dataset.</t>
      </text>
    </comment>
    <comment authorId="0" ref="E2">
      <text>
        <t xml:space="preserve">allows users to connect to and use cloud-based apps over the Internet. Common examples are email, calendaring, and office tools (such as Microsoft Office 365). SaaS provides a complete software solution that you purchase on a pay-as-you-go basis from a cloud service provider.</t>
      </text>
    </comment>
    <comment authorId="0" ref="G2">
      <text>
        <t xml:space="preserve">A web server machine is a computer system that is specifically configured to host and serve websites and web applications to users over the internet or a private network. It is responsible for handling incoming requests from client devices (such as web browsers) and delivering the requested web content, which may include web pages, images, videos, files, or other resources.
Here are some key components and characteristics of a web server machine:
Software: The core software component of a web server machine is the web server software itself, such as Apache HTTP Server, Nginx, Microsoft Internet Information Services (IIS), or other similar software. This software listens for incoming HTTP or HTTPS requests, processes them, and serves the appropriate content back to the client.
Hardware: The hardware specifications of a web server machine can vary depending on factors like the expected volume of web traffic, the complexity of the web applications being hosted, and the performance requirements. Generally, web servers require sufficient CPU, memory (RAM), storage (typically SSDs for faster data retrieval), and network bandwidth to handle incoming requests efficiently.
Operating System: Web server machines typically run on operating systems optimized for server environments, such as various distributions of Linux (e.g., Ubuntu Server, CentOS) or Microsoft Windows Server. The choice of operating system may depend on factors like compatibility with the web server software, familiarity of the administrators, and specific requirements of the web applications being hosted.
Networking: A web server machine needs to be connected to a network, usually the internet, to serve content to users. It typically has one or more network interfaces configured with IP addresses and domain names to facilitate communication with client devices. Security measures such as firewalls, intrusion detection/prevention systems, and SSL/TLS encryption may also be implemented to protect the server and its data.
Configuration and Management: Setting up and managing a web server machine involves configuring various settings, such as virtual hosts, security policies, caching mechanisms, and logging options. System administrators are responsible for maintaining the server, monitoring performance, applying software updates and patches, and troubleshooting issues as they arise.
Overall, a web server machine plays a crucial role in delivering web content to users reliably, efficiently, and securely, forming the backbone of the internet and enabling the online presence of websites and web-based applications.
----
https://www.techtarget.com/whatis/definition/Web-server
https://developer.mozilla.org/en-US/docs/Learn/Common_questions/Web_mechanics/What_is_a_web_server
	-Brandon Hardison</t>
      </text>
    </comment>
    <comment authorId="0" ref="A4">
      <text>
        <t xml:space="preserve">The five Cs of credit is a system used by lenders to gauge the creditworthiness of potential borrowers. The system weighs five characteristics of the borrower and conditions of the loan, attempting to estimate the chance of default and, consequently, the risk of a financial loss for the lender. 
The five Cs of credit are 
character 
capacity
capital
collateral 
conditions
KEY TAKEAWAYS
The five Cs of credit are used to convey the creditworthiness of potential borrowers, starting with the applicant’s character, which is their credit history.
Capacity is the applicant’s debt-to-income (DTI) ratio.
Capital is the amount of money that an applicant has.
Collateral is an asset that can back or act as security for the loan.
Conditions are the purpose of the loan, the amount involved, and prevailing interest rates.</t>
      </text>
    </comment>
    <comment authorId="0" ref="A5">
      <text>
        <t xml:space="preserve">Absolute return is the return that an asset achieves over a specified period. This measure looks at the appreciation or depreciation, expressed as a percentage, that an asset, such as a stock or a mutual fund, achieves over a given period.
Absolute return differs from relative return because it is concerned with the return of a particular asset and does not compare it to any other measure or benchmark.
KEY TAKEAWAYS
Absolute return is the return that an asset achieves over a certain period.
Returns can be positive or negative and may be considered unrelated to other market activities.
Absolute return, unlike relative return, does not make any comparison against other possible investments or to a benchmark.</t>
      </text>
    </comment>
    <comment authorId="0" ref="A6">
      <text>
        <t xml:space="preserve">ACCOUNTS RECEIVABLE &gt;90%ILE
In our accounting risk assessment, we penalise any company which reports receivables to sales in the highest decile relative to its global industry peer group. Aggressive revenue recognition often translates into unusually large receivables and is at the core of many past accounting frauds. For example, around 50% of confirmed frauds in our research library between 2014 and 2020 had unusually large receivables in the top decile relative to peers. As such, we believe that companies with unusually large receivables embody a high level of accounting risk and should be penalised. -GMTresearch</t>
      </text>
    </comment>
    <comment authorId="0" ref="A8">
      <text>
        <t xml:space="preserve">Accumulated depreciation is the total amount of depreciation expense that has been charged to profit and loss account
 from the date of purchase of the fixed asset.</t>
      </text>
    </comment>
    <comment authorId="0" ref="E8">
      <text>
        <t xml:space="preserve">Complex adaptive systems are an example of such an environment. 
“Complex” reflects lots of agents that
interact. 
“Adaptive” means that agents learn and evolve to reflect changes in the environment. And 
“system”
means that the whole that emerges has behaviors that cannot be readily explained by the agents alone. Ant
colonies, cities, ecologies, economies, and stock markets are examples of complex adaptive systems.34
Properly identifying patterns within these systems is hard because cause and effect is not always clear. 
These systems also commonly exhibit non-linearity, where a small perturbation leads to a large outcome. 
Properly identifying patterns within these systems is hard because cause and effect is not always clear. 
These systems also commonly exhibit non-linearity, where a small perturbation leads to a large outcome. </t>
      </text>
    </comment>
    <comment authorId="0" ref="A9">
      <text>
        <t xml:space="preserve">= accumulated other comprehensive income</t>
      </text>
    </comment>
    <comment authorId="0" ref="E9">
      <text>
        <t xml:space="preserve">non-linearity, where a small perturbation leads to a large outcome. 
One of the ways that non-linearity shows up in markets is through the loss of diversity. 
The economist Blake LeBaron is a leader in the field of agent-based modeling. These are models that create agents in silico, 
provide them with decision rules, and let them trade an asset among themselves. 
The asset has a fair value based on dividends. 
LeBaron tunes the model to generate asset price movements consistent with empirical reality,
including clustered volatility and fat tails. 
The virtue of this approach is that he can measure the diversity of the decisions the agents make.
What he finds is that the asset price rises even as the diversity of decision rules declines because the similar
trading strategies reinforce the price movement. But at some point the market becomes fragile. At that critical
juncture, a small incremental loss of diversity leads to a sharp plunge in the asset price because the buyers are
exhausted. The relationship between diversity loss and asset price change is non-linear. Diversity breakdowns
fit a pattern but measuring diversity is inherently difficult.36 </t>
      </text>
    </comment>
    <comment authorId="0" ref="A10">
      <text>
        <t xml:space="preserve">The acid-test ratio measures a company’s ability to pay off short-term liabilities with quick assets:
Acid-test ratio = Current assets – Inventories / Current liabilities</t>
      </text>
    </comment>
    <comment authorId="0" ref="E13">
      <text>
        <t xml:space="preserve">
"Diversity loss" in finance generally refers to the reduction or lack of diversity in various aspects within the financial industry. This can include diversity in terms of gender, race, ethnicity, age, and other demographic factors among professionals working in finance-related roles.
The finance industry has historically been criticized for underrepresentation of certain groups, particularly women and minorities, in key decision-making positions. Diversity loss can have negative implications, including limited perspectives, potential biases, and a lack of inclusivity. Many believe that a diverse and inclusive workforce is essential for fostering innovation, better decision-making, and overall success within the financial sector.
Efforts are being made across the industry to address diversity issues and promote a more inclusive environment, recognizing the importance of diversity in driving positive outcomes for both individuals and organizations.
The phrase "diversity of decision rules declines" suggests a situation where there is a reduction in the variety or range of decision-making approaches or rules within a particular context. This concept is often discussed in the context of decision-making processes, systems, or models.
When the diversity of decision rules declines, it may indicate a tendency for decision-makers to rely on a limited set of rules or strategies, potentially leading to a lack of flexibility and adaptability in handling different scenarios. Diversity in decision rules can be beneficial because it allows for a more comprehensive and nuanced approach to problem-solving. Different decision rules may be suitable for different situations, and having a diverse set of approaches can enhance the overall effectiveness of decision-making.
Conversely, a decline in diversity could result in a more uniform or rigid decision-making process, which might not be well-suited to handle the complexities and uncertainties that can arise in various situations. Organizations and individuals often strive to maintain or enhance the diversity of decision rules to ensure more robust and adaptive decision-making processes.</t>
      </text>
    </comment>
    <comment authorId="0" ref="A14">
      <text>
        <t xml:space="preserve">Z = 1.2 X1 + 1.4 X2 + 3.3 X3 + 0.6 X4 + 1.0 X5
Z1 = 0.717 X1 + 0.847 X2 + 3.107 X3 + 0.42 X4A + 0.998 X5
Z2 = 6.56 X1 + 3.26 X2 + 6.72 X3 + 1.05 X4A
The Z-score is then a linear combination of these ratios above.
an empirical model that predicts the probability of corporate bankruptcy.
measures a company’s financial heatlth. He chose 66 publicly-traded manufacturing companies (half of which had declared bankruptcy, and half of which had not). Altman then examined several common financial ratios based on data retrieved from annual financial reports. After linearly combining these ratios, Altman arrived at an empirical equation (called the the Z-Score) that predicted the risk of corporate failure within two years with an accuracy of 72%, and false-positives at 6%
This equation was also tested against companies not in the initial sample. The equation predicted bankruptcy or non-bankruptcy to within a high degree of accuracy.
Altman later published modification called the Z1-Score, which can be applied to privately-held manufacturing companies, and Z2-score for non-manufacturing companies.
The value of the Z-Score indicates the health of a company, with a higher value being better. The equations use the following financial information.
Working Capital
Total Assets
Retained Earnings
Earnings Before Tax and Interest, or EBIT
Market Value of Equity (for publicly-traded companies
Book Value or Net Worth (for privately-end companies)
Total Liabilities
Sales
These quantities are combined into the follows ratios
X1 = Working Capital / Total Assets (measures liquidity)
X2 = Retained Assets / Total Assets
X3 = Earnings Before Tax and Interest / Total Assets (measures how effectively the company uses its assets to get return)
X4 = Market Value of Equity / Total Liabilities (measures the market’s view of the company’s health)
X4A = Book Value / Total Liabilties
X5 = Sales / Total Assets (indicated asset turnover)
The Z-score is then a linear combination of these ratios as follows
Z = 1.2 X1 + 1.4 X2 + 3.3 X3 + 0.6 X4 + 1.0 X5
Z1 = 0.717 X1 + 0.847 X2 + 3.107 X3 + 0.42 X4A + 0.998 X5
Z2 = 6.56 X1 + 3.26 X2 + 6.72 X3 + 1.05 X4A
The latter two equations are often referred to as Altman model A (for private manufacturing firms) and model B (for general firms). The bands and typical values for the Z-Score are as follows.
Altman Z-Score Disadvantages
The Altman Z-score is not a perfect metric and needs to be calculated and interpreted with care. For starters, the Z-score is not immune to false accounting practices. As WorldCom demonstrates, companies in trouble may be tempted to misrepresent financials. The Z-score is only as accurate as the data that goes into it.
The Altman Z-score also isn't much use for new companies with little or no earnings. These companies, regardless of their financial health, will score low. Moreover, the Z-score doesn't address the issue of cash flows directly, only hinting at it through the use of the networking capital-to-asset ratio. After all, it takes cash to pay the bills.
Z-scores can swing from quarter to quarter when a company records one-time write-offs. These can change the final score, suggesting that a company that's not at risk is on the brink of bankruptcy.
To keep an eye on their investments, investors should consider checking their companies' Z-score regularly. A deteriorating Z-score can signal trouble ahead and provide a simpler conclusion than a mass of ratios.
Given its shortcomings, the Z-score is probably better used as a gauge of relative financial health rather than as a predictor. Arguably, it's best to use the model as a quick check of economic health, but if the score indicates a problem, it is a good idea to conduct a more detailed analysis.
</t>
      </text>
    </comment>
    <comment authorId="0" ref="A15">
      <text>
        <t xml:space="preserve">Adjusted to use market cap in lieu of book for final variable.
The Z double Prime Score was created for emerging market companies across a variety of sectors and industries(except finance firms) Z"" excludes asset turnover because the ratio is not comparable across sectors/countries. Book value is used instead of market value due to</t>
      </text>
    </comment>
    <comment authorId="0" ref="E15">
      <text>
        <t xml:space="preserve">Breadth reflects that we simply have insufficient memory to recall and identify a proper analogy</t>
      </text>
    </comment>
    <comment authorId="0" ref="E16">
      <text>
        <t xml:space="preserve">Operant conditioning, also called instrumental conditioning, is a learning process where voluntary behaviors are modified by association with the addition (or removal) of reward or aversive stimuli. The frequency or duration of the behavior may increase through reinforcement or decrease through punishment or extinction.
Operant conditioning originated in the work of Edward Thorndike, whose law of effect theorised that behaviors arise as a result of whether their consequences are satisfying or discomforting. In the 20th century, operant conditioning was studied by behaviorist psychologists, who believed that much, if not all, of mind and behaviour can be explained as a result of environmental conditioning. Reinforcements are environmental stimuli that increase behaviors, whereas punishments are stimuli that decrease behaviors. Both kinds of stimuli can be further categorised into positive and negative stimuli, which respectively involve the addition or removal of environmental stimuli.
Operant conditioning differs from classical conditioning, which is a process where stimuli are paired with biologically significant events to produce involuntary and reflexive behaviors. In contrast, operant conditioning is voluntary and depends on the consequences of a behavior.
The study of animal learning in the 20th century was dominated by the analysis of these two sorts of learning,[1] and they are still at the core of behavior analysis. They have also been applied to the study of social psychology, helping to clarify certain phenomena such as the false consensus effect.[2]</t>
      </text>
    </comment>
    <comment authorId="0" ref="E17">
      <text>
        <t xml:space="preserve">a conclusion reached on the basis of evidence and reasoning.
"researchers are entrusted with drawing inferences from the data"
Conclusion
Many fundamental investors rely on pattern recognition as part of their decision-making process. They create
plausible stories informed by their experience and memory. But it is important to consider how pattern recognition
works to understand its applicability.
Pattern recognition is more effective in stable environments where cause and effect are clear and participants
are trained using timely and accurate feedback. This applies in many domains, including sports, music, and
chess. Participants in these areas can develop intuitive expertise, an unconscious sense of recognition that
leads to superior performance.
Pattern recognition tends to fail in domains where causality and feedback are limited. But that does not stop
decision makers from feeling the sense of pattern recognition. Our mental apparatus allows us to see patterns
that truly exist as well as to see them when they do not exist.61
Distinguishing between experience and expertise is crucial. All experts have experience but not all with
experience are experts. The defining feature of an expert is having a predictive model that works. Ample
research shows that expert predictions in social, political, and economic realms are poor. Expert views tend to
correlate in realms where expert prediction is effective.
This shortcoming is more a reflection of the domain than of the person and underscores the importance of
understanding the boundaries of useful prediction. But our minds are keen to go out of bounds, imposing patterns
where none exist or acquiescing to our gut reaction even when we know that using explicit analysis can help
correct a decision error.
© 2023 Morgan Stanley. All rights reserved. 6144451 Exp. 12/31/2024 10
Fundamental investors can build their skill in pattern recognition in certain aspects of the investment process,
including assessing fundamental value drivers such as sales growth or judging the stock market’s reaction to
M&amp;A deals. In both cases, this skill builds on an understanding of base rates and how to use them in prediction.
Investors who want to assess their skills at pattern recognition can maintain a journal and document their
intuitions. Done properly, this allows for the measurement of calibration, or how well probabilistic forecasts match
the frequency of outcomes. Over time, such an accurate self-assessment can help reveal where and when
pattern recognition is accurate and adds value.</t>
      </text>
    </comment>
    <comment authorId="0" ref="A18">
      <text>
        <t xml:space="preserve">The Ansoff matrix is a strategic planning tool that provides a framework to help executives, senior managers, and marketers devise strategies for future business growth.
It is named after Russian American Igor Ansoff, an applied mathematician and business manager, who created the concept.
Growth strategies
Ansoff, in his 1957 paper, Strategies for Diversification,[2] provided a definition for product-market strategy as "a joint statement of a product line and the corresponding set of missions which the products are designed to fulfill".[2]: 114  He describes four growth alternatives for growing an organization in existing or new markets, with existing or new products. Each alternative poses differing levels of risk for an organization.
Market penetration
Using a market penetration strategy, the organization tries to grow using its existing offerings (products and services) in existing markets. In other words, it tries to increase its market share in current market scenario. This involves increasing market share within existing market segments. This can be achieved by selling more products or services to established customers or by finding new customers within existing markets. Here, the company seeks increased sales for its present products in its present markets through more aggressive promotion and distribution.[citation needed]
This can be accomplished by:
Price decrease
Increase in promotion and distribution support
Acquisition of a rival in the same market
Modest product refinements
This is the least risky growth option.
Market development
In a market development strategy, a firm tries to expand into new markets (geographies, countries etc.) using its existing offerings and also, with minimal product/services development.
This can be accomplished by:
Different customer segments
Industrial buyers for a good that was previously sold only to the households
New areas or regions of the country
Foreign markets
This strategy is more likely to be successful where:
The firm has a unique product technology it can leverage in the new market
It benefits from economies of scale if it increases output
The new market is not too different from the one in which it has experience
The buyers in the market are intrinsically profitable
This additional quadrant move increases uncertainty and thus increases the risk further.
Product development
In a product development strategy, a company tries to create new products and services targeted at its existing markets to achieve growth. This involves extending the product range available to the firm's existing markets. These products may be obtained by:
Investment in research and development of additional products;
Acquisition of rights to produce someone else's product;
Buying in the product and "badging" it as one's own brand;
Joint development with ownership of another company who need access to the firm's distribution channels or brands.
This also consists of one quadrant move so is riskier than market penetration and a similar risk as market development.
Diversification
In diversification an organization tries to grow its market share by introducing new offerings in new markets. It is the most risky strategy because both product and market development is required.
Related diversification: there is a relationship and, therefore, potential synergy, between the firms in existing business and the new product/market space.Concentric diversification, and (b) Vertical integration.[clarification needed]
Unrelated diversification, otherwise termed "conglomerate growth" because the resulting corporation is a conglomerate, i.e. a collection of businesses without any relationship to one another. A strategy for company growth by starting up or acquiring businesses outside the company's current products and markets.
Diversification consists of two quadrant moves so is deemed the riskiest growth option.</t>
      </text>
    </comment>
    <comment authorId="0" ref="A19">
      <text>
        <t xml:space="preserve">Asset Quality Index (AQI) is:
AQI = [1 - (Current Assetst + PP&amp;Et + Securitiest) / Total Assetst] / [1 - ((Current Assetst-1 + PP&amp;Et-1 + Securitiest-1) / Total Assetst-1)]
Asset Quality Index (AQI): An increase in long term assets (for example, the capitalisation of costs), other than property plant and equipment, relative to total assets indicates that a firm has potentially increased its involvement in cost deferral to inflate profits.</t>
      </text>
    </comment>
    <comment authorId="0" ref="E19">
      <text>
        <t xml:space="preserve">overextrapolation and a failure to recognize regression toward the mean. </t>
      </text>
    </comment>
    <comment authorId="0" ref="A20">
      <text>
        <t xml:space="preserve">The resources owned by a company that have economic value and can be used to generate future benefits.
Assets are categorized into two main types: 
-current assets (such as cash, accounts receivable, and inventory)
-non-current assets (such as property, plant, equipment, and long-term investments).
Assets = Liabilities + Equity</t>
      </text>
    </comment>
    <comment authorId="0" ref="A21">
      <text>
        <t xml:space="preserve">Revaluation of Assets means a change in the market value of assets, increasing or decreasing. Generally, evaluations are carried out for an asset whenever there is a difference between the asset’s current market value and its value on the company’s balance sheet.
As per US GAAP,  All fixed assets are to be recognized based on the historical cost approach. In addition, Fixed Assets
 should be revalued based on cost or fair market value, whichever is lower.
As per IFRS, fixed assets should be recorded at cost. After that, companies can use either the Cost Model or the Revaluation model.
In the cost model, the carrying value of the assets is not adjusted and is depreciated over the useful life.
We revalue the Fixed Assets and Intangible Assets. In the revaluation model, the asset’s cost can be adjusted upwards or downwards, depending on the fair value. In this case, asset Revaluation creates reserve
 named “Revaluation Reserve.” When asset value increased credited into the revaluation reserve, and when it decreased debited. We revalue the Fixed Assets and Intangible Assets
Key Takeaways:
Asset revaluation adjusts the value of a fixed asset to its current market value, either increasing or decreasing its carrying value. It can happen when an asset appreciates or depreciates in value or during a merger or sale.
The indexation, current market price, and appraisal methods are asset revaluation methods.
Revaluation gives an entity the present value of its assets, and upward Revaluation benefits the entity since it allows it to deduct more depreciation from the higher significance and get tax benefits.
Why Is It Necessary?
The necessity of fixed assets revaluation can be highlighted using the following points.
It makes the business ready for sale or any merger or takeover, in case such a process is being considered for future.
It helps in bargaining and taking a stance regarding the possible price that the purchasing firm may have to pay. In this way it becomes easy to make decisions with a limited time.
Fixed assets revaluation shows the current value of the assets of the business. If the valuation is high, then it increases the credibility of the firm in the market. Stakeholders look up to it as an investment option and the business has an edge over its competitors in the industry.
The management can continuously keep track of any underperforming on obsolete assets that may require sale or disposal with immediate effect. This is because any such asset, if continues to remain in the business, will incur cost that will bring down the profits and performance overall.
Methods:
#1 – Indexation Method
In this method, the index does apply to the cost of assets to know the current cost. Index list issued by the statistical department.
#2 – Current Market Price Method
As per the prevailing market price of assets.
Revaluation of the Land &amp; Building – To get the fair market value of the building, we can take the help of real estate values/ property dealers available in the market.
Plant and Machinery – To get the fair market value of plant and machinery, we can take the supplier’s help..
The board’s management generally uses this method for the revaluation of assets.
#3 – Appraisal Method
In this method, the technical valuer assesses the assets to determine the market value. A complete assessment is required when the Co. takes out an insurance policy for fixed assets. This method should ensure that the fixed assets are not over/undervalued.
There are some points to be factored in determining the fair market value of an asset which are as follows:
Date of purchase of fixed assets for calculating the age of fixed assets.
Usage of Assets such as 8 hours, 16 hours, and 24 hours (Generally 1 Shift = 8 Hours).
Type of assets
 such as Land &amp; Building, Plant &amp; Machinery.
Repairs &amp; Maintenance policy of the enterprise for fixed assets;
Availability of Spare Parts in the future;
Journal Entries
For any kind of financial concept or transaction, it is important to learn the journal entries that are passed in the books of accounts so as to record them in details for future reference. The entries current and non current assets revaluation are as given below:
In case of upward revaluation reserve, the journal entry in the books will be as follows:
Asset Account Dr
To Revaluation Reserve Account.  
However, in case of a downward revaluation reserve, the asset revaluation accounting will be as follows:
Revaluation Reserve A/c Dr
To Asset A/c
The above are the method to record the transaction in the books of accounts. However, they have been elaborately explained in the examples given below. Let us go through them in details.
</t>
      </text>
    </comment>
    <comment authorId="0" ref="A24">
      <text>
        <t xml:space="preserve">The available core funding factor is a pre-determined weight ranging from 0% to 100% which is applied through business assumptions for the accounts falling under the dimensional combinations defined. The weights are guided by the CFR standard. The available core funding is then taken as a total of all the weighted amounts where an ACF factor is applied.</t>
      </text>
    </comment>
    <comment authorId="0" ref="A25">
      <text>
        <t xml:space="preserve">Average inventory is a calculation businesses use to estimate how much inventory they typically have available over a certain period of time. It’s commonly calculated by adding the beginning period inventory balance to the ending period inventory balance and dividing the number of accounting periods.
Average inventory = (Beginning inventory + Ending inventory) / Time period
A common calculation of average inventory is over a single month:
Average inventory = (Inventory at the beginning of the month + Inventory at the end of the month) / 2</t>
      </text>
    </comment>
    <comment authorId="0" ref="A29">
      <text>
        <t xml:space="preserve">In theories of competition in economics, 
a barrier to entry, 
or an economic barrier to entry, 
is a fixed cost that must be incurred by a new entrant, regardless of production or sales activities, into a market that incumbents do not have or have not had to incur.[1] Because barriers to entry protect incumbent firms and restrict competition in a market, they can contribute to distortionary prices and are therefore most important when discussing antitrust policy. Barriers to entry often cause or aid the existence of monopolies and oligopolies, or give companies market power. Barriers of entry also have an importance in industries. First of all it is important to identify that some exist naturally, such as brand loyalty.[2] Governments can also create barriers to entry to meet consumer protection laws, protecting the public. In other cases it can also be due to inherent scarcity of public resources needed to enter a market.[3]
Definitions
Various conflicting definitions of "barrier to entry" have been put forth since the 1950s. This has caused there to be no clear consensus on which definition should be used.[1][4][5]
McAfee, Mialon, and Williams list seven common definitions in economic literature in chronological order including:[1]
In 1956, Joe S. Bain used the definition "an advantage of established sellers in an industry over potential entrant sellers, which is reflected in the extent to which established sellers can persistently raise their prices above competitive levels without attracting new firms to enter the industry." McAfee et al. criticized this as being tautological by putting the "consequences of the definition into the definition itself."
In 1968, George Stigler defined an entry barrier as "A cost of producing that must be borne by a firm which seeks to enter an industry but is not borne by firms already in the industry." McAfee et al. criticized the phrase "is not borne" as being confusing and incomplete by implying that only current costs need be considered.
In 1979, Franklin M. Fisher gave the definition "anything that prevents entry when entry is socially beneficial." McAfee et al. criticized this along the same lines as Bain's definition.
In 1981, Baumol and Willig gave the definition "An entry barrier is anything that requires an expenditure by a new entrant into an industry, but that imposes no equivalent cost upon an incumbent”
In 1994, Dennis Carlton and Jeffrey Perloff gave the definition, "anything that prevents an entrepreneur from instantaneously creating a new firm in a market." Carlton and Perloff then dismiss their own definition as impractical and instead use their own definition of a "long-term barrier to entry" which is defined very closely to the definition in the introduction.
In 2011, Wheelen and Hunger gave the definition "an obstruction that makes it difficult for a company to enter an industry”.[6]
A primary barrier to entry is a cost that constitutes an economic barrier to entry on its own. An ancillary barrier to entry is a cost that does not constitute a barrier to entry by itself, but reinforces other barriers to entry if they are present.[1][7]
An antitrust barrier to entry is "a cost that delays entry and thereby reduces social welfare relative to immediate but equally costly entry".[1] This contrasts with the concept of economic barrier to entry defined above, as it can delay entry into a market but does not result in any cost-advantage to incumbents in the market. All economic barriers to entry are antitrust barriers to entry, but the converse is not true.
Barriers to entry
The most attractive segment is one in which entry barriers are high and exit barriers are low. 
It is worth noting, however, that high barriers to entry almost always make exit more difficult.
Michael E. Porter lists 7 major sources of entry barriers:
1Supply-side economies of scale – spreading the fixed costs over a larger volume of units thus reducing the cost per unit. This can discourage a new entrant because they either have to start trading at a smaller volume of units and accept a price disadvantage over larger companies, or risk coming into the market on a large scale in an attempt to displace the existing market leader.
2Demand-side benefits of scale – this occurs when a buyer's willingness to purchase a particular product or service increases with other people's willingness to purchase it. Also known as the network effect, people tend to value being in a 'network' with a larger number of people who use the same company.
3Customer switching costs – These are well illustrated by structural market characteristics such as supply chain integration but also can be created by firms. Airline frequent flyer programs are an example.
4Capital requirements – clearly the Internet has influenced this factor dramatically. Websites and apps can be launched cheaply and easily as opposed to the brick-and-mortar industries of the past.
5Incumbency advantages independent of size (e.g., customer loyalty and brand equity).
6Unequal access to distribution channels – if there are a limited number of distribution channels for a certain product/service, new entrants may struggle to find a retail or wholesale channel to sell through as existing competitors will have a claim on them.
7Government policy such as sanctioned monopolies, legal franchise requirements, patents, and regulatory requirement</t>
      </text>
    </comment>
    <comment authorId="0" ref="A31">
      <text>
        <t xml:space="preserve">The practice of focusing resources on a small market area to turn it into a stronghold in the future
The beachhead strategy comes from the military strategy of winning a small border area that becomes a stronghold, and from which you can advance to the rest of the territory. The small border area is referred to as a beachhead.
In business, the idea is to focus your resources on a small market area (such as a product category or smaller market segment) to turn it into a stronghold before advancing to the broader market or product categories. The beachhead strategy enables a company to dominate the small areas from which it can then enter and dominate the rest of the market.</t>
      </text>
    </comment>
    <comment authorId="0" ref="A33">
      <text>
        <t xml:space="preserve">Beneish’s M-Score is a mathematical model that uses eight financial ratios weighted by coefficients to identify whether a company has manipulated its profits. It was created by Professor Messod Beneish who published a paper in June 1999 called The Detection of Earnings Manipulation. Beneish surmises that companies are incentivised to manipulate profits if they have high sales growth, deteriorating gross margins, rising operating expenses and rising leverage. They are likely to manipulate profits by accelerating sales recognition, increasing cost deferrals, raising accruals and reducing depreciation. These eight ratios are explained in greater detail as follows:
Days’ Sales in Receivables Index (DSRI): A large increase in receivable days might suggest accelerated revenue recognition to inflate profits.
Gross Margin Index (GMI): A deteriorating gross margin sends a negative signal about a firm’s prospects and creates an incentive to inflate profits.
Asset Quality Index (AQI): An increase in long term assets (for example, the capitalisation of costs), other than property plant and equipment, relative to total assets indicates that a firm has potentially increased its involvement in cost deferral to inflate profits.
Sales Growth Index (SGI): High sales growth does not imply manipulation but high growth companies are more likely to commit financial fraud because their financial position and capital needs put pressure on managers to achieve earnings targets. If growth firms face large stock prices losses at the first indication of a slowdown, they may have greater incentives to manipulate earnings.
Depreciation (DEPI): A falling level of depreciation relative to net fixed assets raises the possibility that a firm has revised upwards the estimated useful life of assets, or adopted a new method that is income increasing.
Sales, General and Administrative Expenses (SGAI): Analysts might interpret a disproportionate increase in SG&amp;A relative to sales as a negative signal about a firm’s future prospects, thereby creating an inventive to inflate profits.
Leverage Index (LVGI): Leverage is measured as total debt relative to total assets. An increase in leverage creates an incentive to manipulate profits in order to meet debt covenants.
Total Accruals to Total Assets (TATA): Total accruals are calculated as the change in working capital (other than cash) less depreciation relative to total assets. Accruals, or a portion thereof, reflect the extent to which managers make discretionary accounting choices to alter earnings. A higher level of accruals is, therefore, associated with a higher likelihood of profit manipulation.
The eight variables are then weighted together according to the following formula:
Beneish M-Score = -4.84 + 0.92*DSRI + 0.528*GMI + 0.404*AQI + 0.892*SGI + 0.115*DEPI – 0.172*SGAI + 4.679*TATA – 0.327*LVGI
M = -4.84 + 0.92 DSRI + 0.528 GMI + 0.404 AQI + 0.892 SGI + 0.115 DEPI – 0.172 SGAI + 4.679 TATA – 0.327 LVGI
**Search for updated version?
DSRI = (Net receivables,t)/(Net Sales,t)/((Net Receivables,t-1)/(Net sales,t-1))
Determine if a company has manipulated earnings with the Beneish M-Score. It’s simply a mathematical formula which uses data from a company’s financial reports.
***Companies facing financial distress sometimes manipulate earnings by altering depreciation rates, delaying when expenses are recognized, registering sales early or other creating accounting tricks. This may not necessarily be illegal, but can be used to disguise if a company is suffering financial difficulty (often to maintain share price).
In 1999 Professor Messod Beneish published an empirical equation that employs eight financial ratios to detect earnings manipulation. The equation is
M = -4.84 + 0.92 DSRI + 0.528 GMI + 0.404 AQI + 0.892 SGI + 0.115 DEPI – 0.172 SGAI + 4.679 TATA – 0.327 LVGI
where
Days Sales in Receivables Index (DSRI). This measures the increase in receivables and revenues between two reporting periods (the average for well-run companies is 1.031, while those companies that have manipulated sales have an average value of 1.465%).
Depreciation Index (DEPI)
Sales Growth Index (SGI)
Leverage Index (LVGI)
Total Accruals to Total Assets (TATA)
Gross Margin Index (GMI)
Asset Quality Index (AQI)
Sales, General and Administrative Expenses Index (SGAI)
These parameters are calculated from data in company financial reports issued in two consecutive years. The following data is needed.
Net Sales
Cost of Goods
Net Receivables
Current Assets
Property, Plant and Equipment
Depreciation
Total Assets
Selling, General and Administrative Expenses,
Net Income
Cash Flow from Operations
Current Liabilities
Long-Term Debt
*How did they come up with the variables?
they likely ran a multiple regression analysis of the form M=a+b1X1+b2X2+…+b8X8, where a=-4.840 is the intercept, and the other figures are the beta (b) coefficients.</t>
      </text>
    </comment>
    <comment authorId="0" ref="A34">
      <text>
        <t xml:space="preserve">Find Financial Fraud with Benford’s Law
P(d) = log10(1 + *(1/d))
In 1881, Simon Newcomb, an astronomer and mathematician, noticed something peculiar. Whilst leafing through much-used log tables at the library, he found that earlier pages were more worn than later pages. He concluded that his fellow scientists looked up numbers beginning with the digit one more often than numbers beginning with the digit two, and so on.
In 1938 a physicist called Frank Benford came to the same conclusion independently, also by noticing the earlier pages of a book of log tables were more worn than the later pages.
He extended the analysis to the 2nd, 3rd and higher digits with the following equation, where d is any digit from 0 to 9, and k is the position of the digit.
Take a data set – say, the lengths of rivers in England, or the value of expense claims from companies in the Dow Jones Index.
You’d expect the first digit of any value in that data set to be random. That is, there’s an equal chance of the first digit being any number between 1 and 9.
But that isn’t necessarily the case.
Although it’s counterintuitive, some numbers appear more frequently than others in many data sets. In fact, the digit 1 is the leading digit 30% of the time, 2 is the leading digit 18% of the time, 3 is the leading digit 12% of the time, and larger numbers decreasingly so.
This is known as Benford’s Law.
Many different types of data sets follow this rather strange rule, including the
number of Twitter users by followers,
population of cities in France,
expense claims,
length of rivers in South America,
height of buildings in North America,
and file sizes on your hard disk.
</t>
      </text>
    </comment>
    <comment authorId="0" ref="A35">
      <text>
        <t xml:space="preserve">Beta (β) measures the sensitivity of a security or portfolio of securities to systematic risk (i.e. volatility) relative to the broader securities market.
Levered and Unlevered Beta are two different types of beta (β), in which the distinction is around the inclusion (or removal) of debt in the capital structure.
Beta (β) represents a company’s sensitivity to market volatility – otherwise referred to as systematic risk – compared to the broader market, which is used as the standard benchmark.
An integral component of the capital asset pricing model (CAPM), beta quantifies the relationship between systematic risk and the expected return.
Moreover, there are two distinct types of beta measured in corporate finance:
Levered Beta → Inclusive of Capital Structure (D/E) Effects
Unlevered Beta → Removed Capital Structure (D/E) Effects
How to Interpret Beta (β) and Market Sensitivity?
The general rules of thumb for interpreting beta are as follows.
β = 1: Shares are just as risky as the market (no market sensitivity)
β &gt; 1: Shares are riskier than the market (high market sensitivity)
β &lt; 1: Shares are less risky than the market (low market sensitivity)
β = 0: Shares have no correlation to the market (no market sensitivity)
The overall stock market is said to have a beta of 1.0, so companies with a beta of 1.0 should be expected to provide returns at an identical rate to the overall stock market, on average.
But if a company has a beta of 2.0, it should expect to realize returns that rise twice as fast (or decline twice as fast) compared to the broader market.
Criticism of Beta as a Measure of Risk
The use of beta as a proxy for risk has received widespread criticism from many practitioners, who believe it to be a flawed measure of risk.
The standard process for estimating beta is through a regression model that compares the historical stock returns to the market benchmark returns (e.g. S&amp;P 500) for a specified duration, with the slope of the regression line corresponding to the beta.
Since past performance is not necessarily an accurate indicator of future performance, the “backward-looking” aspect of the beta calculation is one notable drawback.
Another concern is that the capital structure (debt/equity ratio) of companies, which is a key determinant of volatility (and market performance), changes over time as companies mature and new developments in industries emerge.
Beta reflects a company’s business risk over the period used in the regression model, which can be misleading if the company has undergone significant changes in terms of its business model, target customer, etc.
Lastly, beta is typically based on the historical average financial leverage (i.e. capital structure) over the regression period, rather than the current debt-to-equity mix.
But despite the frequent criticism, the usage of beta in academia and on the job has remained, largely due to the lack of a more suitable alternative.
Warren Buffet Criticism of Beta: Limitations of Risk Measure
One vocal proponent against the use of beta in finance is Warren Buffett.
According to Buffet, beta is ineffective because the model mistakenly assumes volatility as a risk when significant price declines could represent some of the most profitable opportunities to purchase undervalued securities.
Therefore, rather than viewing volatility as a sign that the stock is risky and less valuable, one should perform a fundamental analysis to determine if the shares are indeed underpriced – and then the focus should be on the “margin of safety” (i.e. downside protection).
“The exact opposite is true with value investing. If you buy a dollar bill for 60 cents, it’s riskier than if you buy a dollar bill for 40 cents, but the expectation of reward is greater in the latter case. The greater the potential for reward in the value portfolio, the less risk there is.”
Warren Buffet Commentary on Risk (Source: Graham-and-Doddsville)
To Buffet, the concept of risk instead represents “the possibility of harm or injury” (i.e. losing your initial capital) from inadequate research and/or ignorance.</t>
      </text>
    </comment>
    <comment authorId="0" ref="A40">
      <text>
        <t xml:space="preserve">does bm = book to market? or benchmark?
Return on Equity 3yr avg %</t>
      </text>
    </comment>
    <comment authorId="0" ref="A41">
      <text>
        <t xml:space="preserve">Return on Equity 5 year %
</t>
      </text>
    </comment>
    <comment authorId="0" ref="A42">
      <text>
        <t xml:space="preserve">A bondholder is an individual or entity that owns a bond. When an issuer (such as a government, corporation, or municipality) sells bonds to raise capital, investors who purchase those bonds become bondholders. 
As bondholders, they lend money to the issuer in exchange for periodic interest payments and the return of the principal amount at maturity. 
Bondholders have a financial interest in the performance of the issuer and are entitled to receive the agreed-upon interest and principal payments.</t>
      </text>
    </comment>
    <comment authorId="0" ref="A45">
      <text>
        <t xml:space="preserve">book value is equal to its assets minus its liabilities (asset and liability numbers are found on companies' balance sheets). A company's book value per share is simply equal to the company's book value divided by the number of outstanding shares.
BV = Assets - Liabilities 
(asset and liability numbers are found on companies' balance sheets)
</t>
      </text>
    </comment>
    <comment authorId="0" ref="A46">
      <text>
        <t xml:space="preserve">Difference Between Fair Value And Book Value, Salvage Value, And BV
Fair Value vs. Book Value
Both are used to appraise an asset, however, there is a distinction in how the price is determined:
The carrying value of an asset is its initial cost minus any depreciation, amortization, or impairment charges. It's an estimate of how much the asset is worth on the balance sheet, but it doesn't always correspond to the real selling price.
The price agreed upon between buyer and seller determines fair value, which is a reasonable assessment of the asset's potential market value.
Salvage Value vs. Book Value
The BV of an asset at the end of its useful life, after it has been fully depreciated, is known as salvage value.
The words refer to the worth of an asset on a balance sheet after depreciation. There is, however, one significant distinction between book value and salvage value:
The value of an asset on a balance sheet is reported as book value (or carrying value), which is adjusted for depreciation.</t>
      </text>
    </comment>
    <comment authorId="0" ref="A47">
      <text>
        <t xml:space="preserve">Book value per share = 
book value / # of Outstanding Shares</t>
      </text>
    </comment>
    <comment authorId="0" ref="A48">
      <text>
        <t xml:space="preserve">Book Value per share Price
</t>
      </text>
    </comment>
    <comment authorId="0" ref="A49">
      <text>
        <t xml:space="preserve">Brand equity is the value of your brand for your company. It's based on the idea that a recognized brand that's firmly established and reputable is more successful than a generic equivalent. It's also based on customer perception: customers will tend to buy a product they recognize and trust.
</t>
      </text>
    </comment>
    <comment authorId="0" ref="A51">
      <text>
        <t xml:space="preserve">The Burn Multiple measures the amount a startup is spending in order to generate each incremental dollar of annual recurring revenue (ARR).
Burn Multiple
Burn Multiple Formula
Popularized by David Sacks, the general partner and co-founder of Craft Ventures, the burn multiple is a tool for evaluating the burn rate of a startup as a multiple of its revenue growth.
SaaS companies normally have revenue models based around subscription services and/or multi-year contracts, making the burn multiple most applicable for high-growth SaaS startups.
The usefulness of the burn multiple stems from its ability to assess the cost at which growth is generated, rather than focusing solely on the rate of growth itself.
The formula for calculating the burn multiple is the ratio between the burn rate and the new annual recurring revenue (ARR).
Burn Multiple = Net Burn ÷ Net New Annual Recurring Revenue (ARR)
Where:
Net Burn = Cash Revenue – Cash Operating Expenses
Net New ARR = New ARR + Expansion ARR – Churned ARR
Conversely, the burn multiple can also be denoted on a monthly basis, i.e. the net burn would be calculated using the monthly revenue and monthly operating expenses, while the net new monthly recurring revenue (MRR) would replace the recurring revenue metric.
For instance, if a startup’s burn multiple is 1.0x, for each dollar spent on growth, one dollar in net new ARR is generated. But if the burn multiple is 4.0x, for each dollar spent on growth, only a quarter of net new ARR is produced in return.
How to Interpret the Burn Multiple?
The following rules are used to interpret a startup’s burn multiple:
High Burn Multiple → The higher the burn multiple, the less efficient the startup is at achieving each incremental step of revenue growth.
Low Burn Multiple → On the other hand, a lower burn multiple is preferred because it implies the startup’s revenue is generated more efficiently.
Burn Multiple Rules of Thumb – David Sacks
Burn Multiple Chart (Source: David Sacks)
Startups with low burn multiples in theory should have more runway and be capable of withstanding an economic downturn, which practically all existing and potential investors would perceive positively.
In contrast, the growth of certain startups can be overly reliant on the continued injection of outside capital from investors.
But if access to capital were to end – i.e. existing or new venture capital firms were no longer willing to provide capital to fund growth – the startup’s unsustainable burn rate and low margins would likely soon catch up to them.
While growth often requires significant reinvestments and capital expenditures, startups with a substantial burn rate relative to their growth cannot support such a continued pace of spending, putting the startup in an unfavorable position of constantly needing to raise capital.
These sorts of startups should begin cost-cutting efforts immediately and work on improving their operational efficiency, especially if a slow-down in performance is expected.
The burn multiples of early-stage startups will typically improve and gradually approach zero as they mature. But once the burn multiple does reach zero, this implies that the previously unprofitable startup is now turning a profit.
Causes of High Burn Multiple
The common causes of a high burn multiple include:
Inefficient Sales and Marketing (S&amp;M) Strategy
Misallocation of Capital, i.e. Low Return on Invested Capital (ROIC)
Inability to Scale from Low Gross Margin
Low Sales Productivity
High Customer (and Revenue) Churn Rates
Burn Multiple Calculator
We’ll now move to a modeling exercise, which you can access by filling out the form below.
dl
First Name *
Email *
Submit
Burn Multiple Calculation Example
Suppose we’re attempting to evaluate a SaaS startup’s historical growth across the past four years.
While unrealistic, we assume in this exercise that the startup’s net burn remains constant at $10 million per year.
In the annual recurring revenue (ARR) roll-forward, the beginning ARR of our startup is $20 million.
From there, our assumptions for the new ARR, expansion ARR, and churned ARR are as follows.
Annual Recurring Revenue (ARR)	Year 1	Year 2	Year 3	Year 4
Beginning ARR	$20 million	$25 million	$31.5 million	$41.5 million
Plus: New ARR	$4 million	$5 million	$6 million	$10 million
Plus: Expansion ARR	$2 million	$3 million	$6 million	$14 million
Less: Churned ARR	($1 million)	($1.5 million)	($2 million)	($4 million)
Ending ARR	$25 million	$31.5 million	$41.5 million	$61.5 million
The net new ARR is calculated by adding the new ARR to the expansion ARR and then subtracting the churned ARR.
Net New ARR
Year 1 = $4 million + $2 million – $1 million = $5 million
Year 2 = $5 million + $3 million – $1.5 million = $6.5 million
Year 3 = $6 million + $6 million – $2 million = $10 million
Year 4 = $10 million + $14 million – $4 million = $20 million
Using those inputs, we can calculate the burn multiple for each year.
Burn Multiple
Year 1 = $10 million ÷ $5 million = 2.0x
Year 2 = $10 million ÷ $6.5 million = 1.5x
Year 3 = $10 million ÷ $10 million = 1.0x
Year 4 = = $10 million ÷ $20 million = 0.5x
Our model indicates that the startup is becoming more efficient at generating revenue, as reflected by the declining burn multiple.
From Year 1 to Year 4, the burn multiple dropped from 2.0x to 0.5x – which given our fixed net burn assumption, implies that the startup’s sales efficiency must be improving as it continues to scale.</t>
      </text>
    </comment>
    <comment authorId="0" ref="A52">
      <text>
        <t xml:space="preserve">The Burn Rate is the rate at which a company spends its cash, most often used to analyze the spending of early-stage start-ups. In the context of cash flow negative start-ups, the burn rate measures the pace at which a start-up’s equity funding is being spent.
How to Calculate Burn Rate?
In venture capital (VC), the burn rate metric indicates how long a start-up has until its operations can no longer be sustained, and more funding becomes necessary.
Using the burn rate, the implied cash runway can be estimated – in other words, the number of months that a business can continue operating until it runs out of cash.
To sustain operations, the start-up must either become profitable or, more commonly, raise equity financing from outside investors before the cash on hand runs out.
Since it could take up to several years for the start-up to turn a profit, the burn rate provides critical insights as to how much funding a start-up will need, as well as when it will need that funding.
By tracking the metric, a management team can quantify the number of months they have left to either turn cash flow positive or raise additional equity or debt financing. In particular, early-stage start-ups closely track the metric that, in all likelihood, are operating at steep losses.
Burn Rate Formula
Broadly, there are two variations of the burn rate metric:
Gross Burn → The calculation of the gross burn only takes into account the total cash outflows for the period.
Net Burn → In contrast, the net burn takes into account the cash sales generated. Therefore, the outflows are net against the cash inflows from operations in the same time period.
The burn rate formula is as follows.
Gross Burn = Total Monthly Cash Expenses
Net Burn = Total Monthly Cash Sales – Total Monthly Cash Expenses
Conceptually, the gross burn is the total amount of cash spent each month, whereas the net burn is the difference between monthly cash inflows and cash outflows.
How to Analyze Burn Rate?
The burn rate of an early-stage company (i.e. start-up) is most often measured as part of analyzing its implied runway.
The calculated rates from above can be inserted into the following formula to estimate the implied cash runway, which, to reiterate, is the number of months a company has left until the cash balance drops to zero.
Implied Runway = Cash Balance ÷ Burn Rate
Why is Burn Rate Important?
The reason these concepts hold such high importance to venture investors is that nearly all early-stage companies fail once they spend all their funding (and existing and new investors are not willing to contribute more).
Furthermore, no investment firm wants to attempt to “catch a falling knife” by investing in a high-risk start-up that will burn through the cash proceeds from the investment, only to call it quits soon after.
By understanding the spending needs and liquidity position of the start-up, the financing requirements can be better grasped, which leads to better decision-making from the perspective of the investor(s).
An important distinction is how the metric should account for only actual cash inflows/outflows and exclude any non-cash add-backs, i.e. a measurement of “real” cash flow.
The resulting runway estimation is therefore more accurate in terms of the true liquidity needs of the start-up.
Putting this all together, by tracking the monthly cash burn, the start-up benefits by gaining insights on:
Spending needs to plan ahead of time for its next round of funding
The costs associated with financing operations (and the revenue level that must be brought in to begin generating a profit – i.e., the break-even point)
The number of months the current level of spending can be maintained before needing more funding
Or for seed-stage companies, how long the company has to work on product development and experiments
Being able to compare the spending efficiency and see how it translates to output
How to Interpret Burn Rate?
If a start-up is burning cash at a concerning rate, there should be positive signals supporting the continuation of the spending.
For example, exponential user growth and/or promising product features in the pipeline soon to be introduced could potentially lead to better monetization of the customer base – which will be reflected in the LTV/CAC ratio.
A rapid pace of burn is not necessarily a negative sign, since the start-up might be operating in a competitive industry.
Investors are willing to continue providing funding if the product concept and market are deemed lucrative opportunities and the potential return/risk trade-off is considered worth taking a chance on.
While an unsustainable rate over the long run can become a cause for concern to management and investors, it ultimately depends on the given company’s specific surrounding circumstances.
By itself, the burn rate metric is neither a negative nor a positive indication of the future sustainability of a startup’s business operations.
Thus, it is important not to view the rate as a standalone metric when evaluating start-ups, since the contextual details can provide more insights into the reasoning for the high spending rate (and if additional funding rounds are on the horizon).
What is a Good Cash Burn Rate?
A typical start-up will begin raising additional funding from new or existing investors when the remaining cash runway has fallen to approximately 5 to 8 months.
Given the amount of funding raised in the previous round, the $10mm, running out of cash in one year is considered fast. On average, the time between raising a Series B and Series C round ranges between ~15 to 18 months.
However, note that this entirely depends on the context of the start-up (e.g., industry / competitive landscape, prevailing funding environment) and is therefore not intended to be a strict timeline that all start-ups follow.
For instance, a start-up that does not expect to run out of cash for more than two years with significant investor interest could raise its next round of financing six months from the present day, despite not actually requiring the cash.
SaaS Start-Up Burn Rate Calculation Example
Suppose we’re tasked with calculating the burn rate of a SaaS startup using the following assumptions.
Cash and Cash Equivalents: A start-up currently has $100,000 in its bank account
Cash Expenses: The total cash expenses each month are $10,000
Net Change in Cash: At the end of each month, the net change in cash for the month is $10,000
By dividing the $100,000 in cash by the $10,000 burn, the implied runway is 10 months
Implied Runway = $100,000 ÷ $10,000 = 10 Months
Within 10 months, the start-up must raise additional funding or become profitable, as the assumption here is that the monthly performance remains constant.
Note, that there were no cash inflows in the example above – meaning, this is a pre-revenue start-up with a net burn that is equivalent to the gross burn.
If we assume the start-up has monthly free cash flows (FCFs) of $5,000, then:
Cash Sales: The $5,000 in cash sales is added to the $10,000 in total cash expenses
Net Change in Cash: The net change in cash per month is cut in half to $5,000
Upon dividing the $100,000 in cash by the $5,000 net burn, the implied runway is 20 months.
Implied Runway = $100,000 ÷ $5,000 = 20 Months
In the 2nd scenario, the company has twice the number of months in cash runway because of the $5,000 in cash inflows coming in each month.
Applying Burn Rate Formulas
Once we have converted the durations to effort hours, we can begin to apply the Burn Rate formulas. However, we must remember that productivity normalizes at roughly 20-25% of overall completion. Until that percentage of work has been increased, it is difficult to rely on the productivity ratios and the resulting projections. Therefore, the project manager must stay in close contact with the project work during this initial period to get a feel for whether or not the early productivity is aligning with estimates. He or she must also be able to assess if the team(s) will be able to pick up the pace as time goes on.
The four basic components of calculating Burn Rate are as follows:
1. BPHS—Budgeted Person Hours Scheduled—The amount of person hours (effort) proposed for a scheduled task during the time period under analysis.
2. BPCS—Budgeted Percentage of Completion Scheduled—The percentage of completion proposed for the task during the time period under analysis.
3. APHG—Actual Person Hours Generated—The actual amount of person hours (effort) spent on a scheduled task during the time period under analysis.
4. APCG—Actual Percentage of Completion Generated—The actual percentage of completion generated for the task during the time period under analysis.
Utilizing these four components we can calculate simple Proposed Burn Rates (productivity ratios) and compare them to Actual Burn Rates. The formulas for both are as follows:
1. Proposed Burn Rate (PBR) = BPHS/BPCS, or the Budgeted Person Hours Scheduled divided by the Budgeted Percentage of Completion Scheduled.
2. Actual Burn Rate (ABR) = APHG/APCG, or the Actual Person Hours Generated divided by the Actual Percentage of Completion Generated.
Example of PBR and ABR
PBR (cumulative)
Our team, a 10-person group, has developed a schedule that depicts the first three months of work to represent 4,500 person hours of effort (cumulative). The resulting percentage of completion (cumulative) for all tasks worked in the three-month period is 27% (BPHS =4,500, BPCS = 27).
Therefore, by simple calculation, the PBR = 4,500/27 = 167 effort hours per 1% of task completion (167:1).
ABR (cumulative)
At the two-month mark of the project schedule (data date), the project team registers the following data:
APHG—3,200 effort hours generated (as of the data date)
APCG—20% of task completion generated (as of the data date)
Therefore, ABR = 3,200/20 = 160 actual effort hours per 1% of task completion or (160:1)
General Comparison
We now want to calculate a Burn Rate Variance (BRV) or, (PBR/ABR) or 167/160 = 1.04. Therefore, at this point in time, we are producing 4% more work for the hours generated than proposed. A result equal to or greater than 1.0 signals on target or above target performance. A result under 1.0 signals below target performance.
Exhibit 3
Exhibit 3
We can equally apportion the BPCS over the task's duration, or in this case, 27% completion over three months, (27%/3 = 9% per month). This would yield a target BPCS at month 2 of 18%. In the example above, the APCG at month 2 is 20%, we are performing 2% above the target.
Getting Into the Details
In the above example, given that things are moving along better than planned, we may not be required to delve much deeper. Yet, if the BRV is not as favorable, we will need to dissect the tasks under analysis to determine which one may be the culprit that is dragging down the APHG and/or the APCG. Very possibly, they all may be lagging, in which case we may need to look at team morale, reasons for the lack of productivity, and consider possible scope reductions.
One area that must not be overlooked in calculating Burn Rate is time tracking and reporting. We are not as concerned with the dollars and cents, yet this does not alleviate the necessity of tracking actual person hours spent at a task level. If task level time tracking is not possible, the Burn Rate is not rendered totally ineffective; however, you will not be able to get into the details of specifically which task is burdening the project.
The tracking and determination capability is important due to the fact that a task's percentage of completion may not be lagging due to poor performance (productivity), the resources simply may not be committing the time against the task that they had originally proposed.
Cross Referencing Burn Rate With EVA
Obviously, in the above example, we have only looked at comparative Burn Rates over the two-month period under analysis. Due to the lack of sophistication in the process, we have also considered the Burn Rate to be steady and equally apportioned over time.
Given this assumption, the BPHS at the two-month data date should be: 4,500 hours/3 = 1,500 hours x 2 months = 3,000 effort hours. Our APHG is 3,200. Therefore, although we are completing more work than planned, we are requiring more hours than planned. This is a good example of why we must try to cross-reference the more effort-centric or performance-based Burn Rate formulas with those of traditional EVA in order to achieve a more detailed analysis. Exhibit 3 shows such a cross-reference.
Summary
As explained earlier, in the absence of full EVA components and information, Burn Rate can be utilized to project and calculate proposed and current productivity ratios. Although not as comprehensive as EVA, this capability will allow the project manager to be proactive to possible productivity variances, resource management issues prior to them reaching the crisis stage.
Burn Rate can be and is best utilized in a cross-referenced manner with the more traditional EVA formulas, rendering the EVA formulas more effort or time focused. In the absence of the necessary cost data and/or means to track this data, utilizing these cross-referenced Burn Rate formulas is a viable mechanism for monitoring productivity and schedule performance.
This material has been reproduced with the permission of the copyright owner. Unauthorized reproduction of this material is strictly prohibited. For permission to reproduce this material, please contact PMI or any listed author.</t>
      </text>
    </comment>
    <comment authorId="0" ref="A53">
      <text>
        <t xml:space="preserve">In cases where organizations were not quite convinced about the benefits of EVA and the initial inconvenience of the prior mentioned process changes, we have had success in instituting a scaled down version of EVA. Burn Rate, or productivity ratio, is a simplistic way to:
Exhibit 1
Exhibit 1
1. Ease the organization into a mindset that will eventually lead them to developing the necessary process changes to institute a more robust EVA methodology.
2. Allow project managers and teams to ascertain Burn Rates for actual vs. proposed task productivity and utilize this source of monitoring to proactively project and/or revise task completion dates.
The concept and components for calculating a Burn Rate are not difficult. The first step in the process is to take the duration estimates, which usually are given in duration days, and convert them to an accurate level of person hours (effort). For many project resources, this is a signal of change in itself. Duration estimates alone leave too much leeway in establishing productivity ratios and also lend subjectivity to percentage of completion determination.</t>
      </text>
    </comment>
    <comment authorId="0" ref="A54">
      <text>
        <t xml:space="preserve">(Starting Project Cash – Ending Project Cash) / Time Period = Project Burn Rate
The proposed burn rate will be the pace at which you expect to spend the money being paid to you across the project lifespan. Ideally, this will leave your business with a strong profit margin so that you can remain financially viable and able to grow from the work completed.
Even the most experienced professional services businesses can have trouble tracking project costs without a reliable system. Thankfully, there is a reliable process for gauging financial progress so that project managers can make effective decisions before issues arise – project burn rate.
If you think of your project like a candle wick, burning from one end at the start and having burned through the entire thread by the time the project is over, then burn rate measures just how fast the flame goes through your candle. But if you are burning through your wick faster than you expected, then that’s when the project problems start.
How Burn Rates Are Calculated
Burn rates are focused on financial consumption for a business, so while it can be applied to a company as a whole, calculating burn rates for individual projects can help you improve your daily processes.
To calculate project burn rate, take the amount of time you wish to measure burn over, then subtract your ending cash from your starting cash for that period. Divide the difference by the amount of time you are measuring, such as months, weeks, or days, this will provide you with the rate at which you are spending your money over that given period of time.
(Starting Project Cash – Ending Project Cash) / Time Period = Project Burn Rate
In the case of a project, your company should have a defined start and end date as well as the amount of money that a client has agreed to pay for your project. The proposed burn rate will be the pace at which you expect to spend the money being paid to you across the project lifespan. Ideally, this will leave your business with a strong profit margin so that you can remain financially viable and able to grow from the work completed. These burn rates take into account everything that could cost money, including salary for full-time employees working on the project, payment to contract workers, expenses for any type of resource bought to complete the project, and the various incremental expenses created during work. However, all of these can change during the actual completion of the project, which can cause your burn rate to increase and margins to quickly shrink.
Today’s top professional services software solutions can help project managers bypass the massive amount of work needed to calculate burn rates accurately through intuitive processes powered by robust business intelligence (BI) tools. With reliable data at the center, today’s software solutions can empower managers with up-to-the-minute burn rates.
Good vs Bad Burn Rates
A burn rate is not necessarily good or bad, it’s simply a fact of doing business. Good burn rates fall in line with company expectations, don’t suddenly change in the middle of a project, and result in a healthy profit margin.A bad burn rate is unpredictable and out of control, leading to increased spending and erratic changes in how much is being spent to complete work from month to month or even day to day. In the worst case scenario, bad project burn rates cause companies to lose money by the end of their work.
How Burn Rates Can Change
Accurate burn rates provide a clear picture of a project, but they aren’t set in stone. Like any calculation of in-progress work, burn rates can change, both due to actions taken by teams as well as due to inaction.
Are you looking to change your project’s burn rate? Here are several actions that can make a major difference:
Increase your billing rates to offset your expenses and to account for increases in cost due to raises and inflation.
Calculate all of your project expenses and determine which can be reduced and/or cut from your budget.
Create and stick to a scope of work (SOW) for your project, which will define all billable work and prevent scope creep from affecting your project.
Use stronger financial management systems that will keep your management team up to date and informed of your spending habits for better adjustments.
Over time, understanding burn rates and making crucial adjustments to how your projects are executed will mean that they can be on the right path from the start, meaning less in-progress adjustments and stronger projects that can be replicated for continued success.
Know and Control Your Burn
The combination of both understanding your project burn rates and being able to make effective decisions that keep your projects financially viable changes the entire future of a business. The Kantata Professional Services Cloud provides professional services organizations with real-time insights into their burn rates and gives them the ability to make fast, data-driven, and effective decisions that keep projects – and client and business outcomes – on track.</t>
      </text>
    </comment>
    <comment authorId="0" ref="A57">
      <text>
        <t xml:space="preserve">Asmoradan
</t>
      </text>
    </comment>
    <comment authorId="0" ref="A58">
      <text>
        <t xml:space="preserve">Asmoradan
</t>
      </text>
    </comment>
    <comment authorId="0" ref="A66">
      <text>
        <t xml:space="preserve">Capital structure describes the mix of a firm's long-term capital, which is a combination of debt and equity. Capital structure is a type of funding that supports a company's growth and related assets. Sometimes it's referred to as capitalization structure or simply capitalization.
Expressed as a formula, capital structure equals debt obligations plus total shareholders' equity:
Capital Structure = DO + TSE
where:
DO = debt obligations
TSE = total shareholders’ equity
Equity
The equity portion of the debt-equity relationship is simple to define. In a capital structure, equity consists of a company's common and preferred stock plus retained earnings. This is considered invested capital and it appears in the shareholders' equity section of the balance sheet. Invested capital plus debt comprise the capital structure.
Debt
Debt is less straightforward. Investment literature often equates a company's debt with its liabilities. However, there is an important distinction between operational liabilities and debt liabilities.
Operational liabilities are what a company has to pay to keep the business running, such as salaries. Debt liabilities form the debt component of capital structure although investment research analysts do not agree on what constitutes a debt liability.
Many analysts define the debt component of capital structure as a balance sheet's long-term debt. However, this definition is too simplistic. The debt portion of a capital structure should consist of short-term borrowings (notes payable), long-term debt, and two-thirds (a rule of thumb) of the principal amount of operating leases and redeemable preferred stock.
When analyzing a company's balance sheet, seasoned investors would be wise to use this comprehensive total debt figure.
Ratios Applied to Capital Structure
In general, analysts use three ratios to assess the strength of a company's capitalization structure. The first two are popular metrics:
• The debt ratio (total debt to total assets)
• The debt-to-equity (D/E) ratio (total debt to total shareholders' equity)
A third ratio is one of the capitalization ratios. Referred to as the long-term debt to capitalization ratio, it's calculated as long-term debt divided by (long-term debt plus shareholders' equity). It delivers key insights into a company's capital position.
The debt ratio relates to how much of a company's assets are paid for with debt. The greater the ratio, the more leveraged a company may be. The problem with this measurement is that it is too broad in scope and gives equal weight to operational liabilities and debt liabilities.
The same criticism applies to the debt-to-equity ratio. Current and operational liabilities, especially the latter, represent ongoing obligations. Also, unlike with long-term debt, there are no fixed payments of principal or interest attached to operational liabilities.
On the other hand, the capitalization ratio that compares the long-term debt component to the debt and equity in a company's capital structure can present a clearer picture of financial health. Long-term debt can cost less than shareholder equity because it can be tax-deductible.
Expressed as a percentage, a low number indicates less debt which usually is more desirable than a large amount of debt.
Optimal Relationship Between Debt and Equity
Unfortunately, there is no magic ratio of debt to equity to use as guidance. What defines a healthy blend of debt and equity varies according to the industries involved, line of business, and a firm's stage of development.
Nonetheless, since investors are better off putting their money into companies with strong balance sheets, the optimal measurement of debt to equity generally should reflect lower levels of debt and higher levels of equity.
 Not only is too much debt a cause for concern, too little debt can be as well. This can signify that a company is relying too much on its equity and not making efficient use of its assets.
About Leverage
In finance, leverage (debt) is a perfect example of the proverbial two-edged sword. Astute use of leverage can increase the financial resources available to a company for growth and expansion. Leverage that's mishandled can mean trouble for a company.
With leverage, the assumption is that management can earn more using borrowed funds than what it would pay in interest expense and fees on them. However, to carry a large amount of debt successfully, a company must maintain a solid record of complying with its various borrowing commitments.
The Problem With Too Much Leverage
A company that is too highly leveraged (too much debt relative to equity) might find that creditors will refuse to lend it any more and may even take ownership of its assets. Or, it could experience diminished profitability as a result of paying steep interest costs. In addition, a firm could have trouble meeting its operating and debt liabilities during periods of adverse economic conditions.
If the overleveraged company's particular business sector is extremely competitive, competing companies could take advantage of its position by swooping in to grab more market share. A worst-case scenario might be a firm needing to declare bankruptcy.
Credit Rating Agencies
Credit rating agencies examine the creditworthiness of companies. Their ratings of the debt issued by companies can help investors determine whether that debt is risky as an investment.
1
The primary credit rating agencies are Moody's, Standard &amp; Poor's (S&amp;P), and Fitch. These entities conduct formal risk evaluations of a company's ability to repay principal and interest on debt obligations, primarily on bonds and commercial paper. The Securities and Exchange Commission conducts an oversight study of credit rating agencies annually on behalf of investors.
2
So, as an investor, you should be happy to see high ratings on the debt of companies in which you may invest. Likewise, you should be wary of a company with poor ratings.
Credit rating agencies use ratings that typically distinguish between investment grade and non-investment grade debt.
1
What Is Capital Structure?
Capital structure represents debt plus shareholder equity on a company's balance sheet. Understanding it can help investors size up the strength of the balance sheet and the company's financial health. That, in turn, can aid investors in their investment decision-making.
What Is a Credit Rating Agency?
A credit rating agency is a company that offers ratings for debt issued by companies. An agency, such as Moody's or Standard &amp; Poor's, rates the debt according to a company's ability to pay principal and interest to the debt holders. Each agency has its rating method. Generally, the higher the rating, the better the risk for investors that the company will pay back what it borrowed.
What's the Difference Between the D/E Ratio and a Capitalization Ratio?
The D/E ratio compares a company's debt position to its equity position. The calculation for this ratio is total debt divided by total equity. The long-term debt to capitalization ratio (one of several capitalization ratios) compares long-term debt to the capital structure of a company, which is represented by long-term debt and total shareholder equity. The calculation for the long-term capitalization ratio is long-term debt divided by the total of long-term debt and shareholder equity.
The Bottom Line
A company's capital structure constitutes the mix of equity and debt on its balance sheet. Though there is no specific level of each that determines what a healthy company is, lower debt levels and higher equity levels are preferred.
Various financial ratios are used to analyze the capital structure of a firm. These can give investors and analysts a view of how a company compares with its peers and therefore its financial standing in its industry.
The ratings provided by reputable credit agencies also help shed light on the capital structure of a firm.</t>
      </text>
    </comment>
    <comment authorId="0" ref="A67">
      <text>
        <t xml:space="preserve">GMT: We penalise companies where excessive cost capitalisation inflates near-term profits. While there is some logic to the concept of capitalising costs to develop projects with long lead times, the amount capitalised can be subjective and used to manipulate reported profits. It’s worth bearing in mind that under US GAAP, companies are generally not allowed to capitalise expenses (such as research and development), although they can acquire intangible assets (such as patents and copyrights). Capitalising expenses can lead to companies with identical assets booking different values on these owing to the amount capitalised.
We are particularly concerned when amortisation charges consistently lag costs capitalised, leading to a profit uplift. Our A&amp;G Screen highlights companies where net capitalised expenses (capitalised costs net of amortisation charges) exceed 5% of pretax profits; however, our Master Screen is set to a higher threshold, at 10% of pretax profits. Around 30% of companies capitalise expenses as intangible assets in any given year across a large number of industries. Of these, about 12% (4% of the total sample) report a pretax profit uplift exceeding 10%.
We have written on a number of companies which have reported a profit benefit from capitalising costs such as Technology One (TNE AU), Wisetech (WETC AU) and Techtronic (669 HK).</t>
      </text>
    </comment>
    <comment authorId="0" ref="A68">
      <text>
        <t xml:space="preserve">'Independant Speculator':
Years ago, Doug Casey taught me to sell half on the first double (a practice Marin
Katusa later dubbed the Casey Free Ride—“CFR”). This gets all of our initial
investment back out of potential harm’s way while retaining the same upside we
started with. Great for sleeping well at night.
The problem with the CFR formula is that it turns 10-baggers into 5-baggers, doubles
into 50% wins, and so forth.
But staying long after the first double keeps all the risk in the play
*Upside Maximizer (UM) technique </t>
      </text>
    </comment>
    <comment authorId="0" ref="A70">
      <text>
        <t xml:space="preserve">=91/5 x [(avg inventory/COGS) + (avg acc receivable/sales) - (Avg acc payable/purchases)]
The cash conversion cycle (CCC) – also known as the cash cycle – is a metric expressing how many days it takes a company to convert the cash it spends on inventory back into cash by selling its product. The shorter a company’s CCC, the less time it has money tied up in accounts receivable and inventory.
The cash cycle is an important working capital metric for all companies that buy and manage inventory. It’s an indicator of operational efficiency, liquidity risk, and overall financial health. That said, it should not be looked at in isolation, but in conjunction with other financial metrics such as return on equity. It is also important to note that the cash cycle is not a significant consideration for companies that don’t hold physical inventory.
Calculating the cash conversion cycle
The cash conversion cycle encapsulates three key stages of a company’s sales activity:
Selling current inventory
Collecting cash from current sales
Paying vendors for goods and services purchased
As such, the CCC is calculated using three other working capital metrics: Days Inventory Outstanding (DIO), Days Sales Outstanding (DSO) and Days Payable Outstanding (DPO). DIO and DSO are short-term assets, while DPO is classed as a liability.
Cash conversion cycle formula
The cash conversion cycle formula is as follows:
CCC = DIO + DSO – DPO
Where:
DIO = Days Inventory Outstanding (average inventory/cost of goods sold x number of days)
DSO = Days Sales Outstanding (accounts receivable x number of days/total credit sales)
DPO = Days Payable Outstanding (accounts payable x number of days/cost of goods sold)
So for example, if a company has DIO of 70 days, DSO of 30 days and DPO of 45 days, its cash conversion cycle will be calculated as follows:
CCC = 70 + 30 – 45
= 55 days
Analyzing the cash conversion cycle
The typical length of the cash conversion cycle will vary considerably between different industries meaning there is no single figure that represents a ‘good’ or ‘bad’ cash conversion cycle. However, it can be useful to compare the CCC of two companies within the same industry, as a lower CCC may indicate that one company is managing its working capital more effectively than the other. It can also be useful to track the CCC of an individual company over time, as this can demonstrate whether the business is becoming more or less efficient.
Because the CCC includes DIO, DSO and DPO, a high (poor) CCC may also be an indication of specific issues. For example, a company with a high CCC may take a long time to collect payment from its customers, or it may be ineffective at forecasting demand for its products, meaning that it takes a long time to convert inventory into sales. A high or increasing CCC may also suggest that a company is not using its short-terms assets as efficiently as it could.
Negative cash conversion cycle
While the cash conversion cycle is usually a positive figure, some companies may have a negative cash conversion cycle. In this situation, the company is effectively receiving payments for the goods it sells before paying its suppliers for materials. This can be achieved through a combination of selling inventory rapidly, collecting payment from customers promptly, and paying the company’s suppliers at a later date. Typically, a negative cash conversion cycle is associated with highly efficient online retailers.
How to improve the cash conversion cycle
In order to improve (reduce) the CCC, companies can focus on any of its three components. Increasing DPO, reducing DSO or reducing DIO will all reduce the CCC. Companies can therefore improve the cash conversion cycle and avoid common cash flow problems in one of several ways:
Convert inventory into sales faster
Collect payment from customers sooner
Extend the time taken to pay suppliers
However, it is important to understand that a company’s cash conversion cycle does not exist in isolation, as it describes the way a company interacts with its suppliers and customers. So, if a company extends the time it takes to pay its suppliers, those suppliers will see an adverse impact to their own cash conversion cycle via an increase in their DSO. In some cases, suppliers may face cash flow pressures that could potentially hinder their ability to fulfil orders on time.
Consequently, purchasing companies may choose to strengthen their supply chains by taking advantage of early payment programs such as supply chain finance. Suppliers can thereby receive early payment on their invoices from a third-party funder, while the company pays the invoice at a later date. This type of solution can enable both buyer and supplier to optimize their working capital positions.
FAQs
What is a good cash conversion cycle?
Research indicates that the median cash conversion cycle is between 30 days and around 45 days. Aiming to reduce your cash cycle to 45 days or less would mean you turn cash into inventory and back again quicker than the average business. However, what really constitutes a ‘good’ CCC depends on a range of factors, including the sector you’re operating in.
How can you reduce the cash conversion cycle?
Companies can reduce their cash conversion cycle by turning over inventory faster. The quicker product is sold, the sooner cash can be received for the sale. Managing inventory more effectively by prioritizing quick turnover is conducive to a low cash conversion cycle.
Reducing the length of the cash conversion cycle is also possible by improving performance in any one of the three metrics used to calculate it: days payable outstanding (DPO), days sales outstanding (DSO), and days inventory outstanding (DIO). Increasing DPO, decreasing DSO, or decreasing DIO will result in a shorter cash conversion cycle.
To increase DPO, you can try to negotiate longer payment terms with your suppliers so you can keep hold of your cash for longer. To decrease DSO, think about changes you can make to speed up your collections process, such as automating the invoicing process. To decrease DIO, reconsider your inventory management strategy and make changes to minimize stock on hand.
What does a negative cash conversion cycle mean?
Most companies will have a positive cash conversion cycle, representing that it takes X number of days for them to turn cash into inventory and back again. However, a negative CCC is also possible when a business receives payments for the goods it sells before it’s paid any of its suppliers. Where that’s the case, the cash conversion cycle will represent how many days before paying its suppliers the business is receiving payment from its customers. This can result in a CCC of -X days.
This is most common with highly efficient e-commerce businesses with high product turnover rates, and especially those that make use of drop shipping. Drop shipping is an inventory management strategy that reduces the burden of carrying inventory on the seller business to zero. Instead of being stored by the retailer, drop shipped products and shipped directly from manufacturer to customer.
The cash conversion cycle (CCC) is a metric that expresses the time (measured in days) that it takes for a company to convert its investments in inventory and other resources into cash flows from sales. Also called the net operating cycle or simply cash cycle, CCC attempts to measure how long each net input dollar is tied up in the production and sales process before it gets converted into cash received.
This metric takes into account how much time the company needs to sell its inventory, how much time it takes to collect receivables, and how much time it has to pay its bills.
The CCC is one of several quantitative measures that help evaluate the efficiency of a company’s operations and management. A trend of decreasing or steady CCC values over multiple periods is a good sign, while rising ones should lead to more investigation and analysis based on other factors. One should bear in mind that CCC applies only to select sectors dependent on inventory management and related operations.
KEY TAKEAWAYS
The cash conversion cycle (CCC) is a metric that expresses the length of time (in days) that it takes for a company to convert its investments in inventory and other resources into cash flows from sales.
This metric takes into account the time needed for the company to sell its inventory, the time required for the company to collect receivables, and the time that the company is allowed to pay its bills without incurring any penalties.
CCC will differ by industry sector based on the nature of business operations.
Cash Conversion Cycle
Michela Buttignol / Investopedia
The Formula for the Cash Conversion Cycle (CCC)
Since CCC involves calculating the net aggregate time involved across the above three stages of the cash conversion life cycle, the mathematical formula for CCC is represented as:
�
�
�
=
�
�
�
+
�
�
�
−
�
�
�
where:
�
�
�
=
Days of inventory outstanding
(also known as days sales of inventory)
�
�
�
=
Days sales outstanding
�
�
�
=
Days payables outstanding
​
CCC=DIO+DSO−DPO
where:
DIO=Days of inventory outstanding
(also known as days sales of inventory)
DSO=Days sales outstanding
DPO=Days payables outstanding
​
DIO and DSO are associated with the company’s cash inflows, while DPO is linked to cash outflow. Hence, DPO is the only negative figure in the calculation. Another way to look at the formula construction is that DIO and DSO are linked to inventory and accounts receivable, respectively, which are considered as short-term assets and are taken as positive. DPO is linked to accounts payable, which is a liability and thus taken as negative.
Calculating the Cash Conversion Cycle
A company’s cash conversion cycle broadly moves through three distinct stages. To calculate CCC, you need several items from the financial statements:
Revenue and cost of goods sold (COGS) from the income statement
Inventory at the beginning and end of the time period
Accounts receivable (AR) at the beginning and end of the time period
Accounts payable (AP) at the beginning and end of the time period
The number of days in the period (e.g., year = 365 days, quarter = 90)
The first stage focuses on the existing inventory level and represents how long it will take for the business to sell its inventory. This figure is calculated by using the days inventory outstanding (DIO). A lower value of DIO is preferred, as it indicates that the company is making sales rapidly, implying better turnover for the business.
DIO, also known as DSI (days sales of inventory), is calculated based on the cost of goods sold (COGS), which represents the cost of acquiring or manufacturing the products that a company sells during a period. 
�
�
�
=
Avg. Inventory
�
�
�
�
×
3
6
5
 Days
where:
Avg. Inventory
=
1
2
×
(
BI
+
EI
)
BI
=
Beginning inventory
EI
=
Ending inventory
​
DSI= 
COGS
Avg. Inventory
​
 ×365 Days
where:
Avg. Inventory= 
2
1
​
 ×(BI+EI)
BI=Beginning inventory
EI=Ending inventory
​
The second stage focuses on the current sales and represents how long it takes to collect the cash generated from the sales. This figure is calculated by using the days sales outstanding (DSO), which divides average accounts receivable by revenue per day. A lower value is preferred for DSO, which indicates that the company is able to collect capital in a short time, in turn enhancing its cash position.
�
�
�
=
Avg. Accounts Receivable
Revenue Per Day
where:
Avg. Accounts Receivable
=
1
2
×
(
BAR
+
EAR
)
BAR
=
Beginning AR
EAR
=
Ending AR
​
DSO= 
Revenue Per Day
Avg. Accounts Receivable
​
where:
Avg. Accounts Receivable= 
2
1
​
 ×(BAR+EAR)
BAR=Beginning AR
EAR=Ending AR
​
The third stage focuses on the current outstanding payable for the business. It takes into account the amount of money that the company owes its current suppliers for the inventory and goods it purchased, and it represents the time span in which the company must pay off those obligations. This figure is calculated by using the days payable outstanding (DPO), which considers accounts payable. A higher DPO value is preferred. By maximizing this number, the company holds onto cash longer, thus increasing its investment potential.
�
�
�
=
Avg. Accounts Payable
�
�
�
�
 Per Day
where:
Avg. Accounts Payable
=
1
2
×
(
BAP
+
EAP
)
BAP
=
Beginning AP
EAP
=
Ending AP
�
�
�
�
=
Cost of Goods Sold
​
DPO= 
COGS Per Day
Avg. Accounts Payable
​
where:
Avg. Accounts Payable= 
2
1
​
 ×(BAP+EAP)
BAP=Beginning AP
EAP=Ending AP
COGS=Cost of Goods Sold
​
All of the above-mentioned figures are available as standard items in the financial statements filed by a publicly listed company as a part of its annual and quarterly reporting. The number of days in the corresponding period is taken as 365 for a year and 90 for a quarter.
What the Cash Conversion Cycle Can Tell You
Boosting sales of inventory for profit is the primary way for a business to make more earnings. But how does one sell more stuff? If cash is easily available at regular intervals, then one can churn out more sales for profits, as frequent availability of capital leads to more products to make and sell. A company can acquire inventory on credit, which results in accounts payable (AP).
A company can also sell products on credit, which results in accounts receivable (AR). Therefore, cash isn’t a factor until the company pays the accounts payable and collects the accounts receivable. Timing is thus an important aspect of cash management.
CCC traces the life cycle of cash used for business activity. It follows the cash as it’s first converted into inventory and accounts payable, then into expenses for product or service development, through to sales and accounts receivable, and then back into cash in hand. Essentially, CCC represents how fast a company can convert the invested cash from start (investment) to end (returns). The lower the CCC, the better.
Inventory management, sales realization, and payables are the three key ingredients of business. If any of these goes for a toss—say, inventory mismanagement, sales constraints, or payables increasing in number, value, or frequency—then the business is set to suffer. Beyond the monetary value involved, CCC accounts for the time involved in these processes that provides another view of the company’s operating efficiency.
In addition to other financial measures, the CCC value indicates how efficiently a company’s management is using the short-term assets and liabilities to generate and redeploy the cash and gives a peek into the company’s financial health with respect to cash management. The figure also helps assess the liquidity risk linked to a company’s operations.
Special Considerations
If a business has hit all the right notes and is efficiently serving the needs of the market and its customers, it will have a lower CCC value.
CCC may not provide meaningful inferences as a stand-alone number for a given period. Analysts use it to track a business over multiple time periods and to compare the company to its competitors. Tracking a company’s CCC over multiple quarters will show if it is improving, maintaining, or worsening its operational efficiency.
While comparing competing businesses, investors may look at a combination of factors to select the best fit. If two companies have similar values for return on equity (ROE) and return on assets (ROA), it may be worth investing in the company that has the lowest CCC value. It indicates that the company is able to generate similar returns more quickly.
CCC is also used internally by the company’s management to adjust their methods of credit purchase payments or cash collections from debtors.
Example of How to Use the Cash Conversion Cycle
CCC has a selective application to different industrial sectors based on the nature of business operations. The measure has a great significance for retailers like Walmart Inc. (WMT), Target Corp. (TGT), and Costco Wholesale Corp. (COST), which are involved in buying and managing inventories and selling them to customers. All such businesses may have a high positive value of CCC.
However, CCC does not apply to companies that don’t have needs for inventory management. Software companies that offer computer programs through licensing, for instance, can realize sales (and profits) without the need to manage stockpiles. Similarly, insurance or brokerage companies don’t buy items wholesale for retail, so CCC doesn’t apply to them.
Businesses can have negative CCCs, like online retailers eBay Inc. (EBAY) and Amazon.com Inc. (AMZN). Often, online retailers receive funds in their accounts for sales of goods that actually belong to and are served by third-party sellers who use the online platform. However, these companies don’t pay the sellers immediately after the sale but may follow a monthly or threshold-based payment cycle. This mechanism allows these companies to hold onto the cash for a longer period of time, so they often end up with a negative CCC. Additionally, if the goods are directly supplied by the third-party seller to the customer, the online retailer never holds any inventory in house.
A Harvard Business blog post attributes the negative CCC as a key factor in Amazon’s survival of the dot-com bubble of 2000.
1
 Operating with a negative CCC became a source of cash for the company, instead of being a cost for it.
What does the cash conversion cycle measure?
The cash conversion cycle (CCC) is one of several measures of management effectiveness. It measures how fast a company can convert cash on hand into even more cash on hand. The CCC does this by following the cash, or the capital investment, as it is first converted into inventory and accounts payable (AP), through sales and accounts receivable (AR), and then back into cash. Generally, the lower the number for the CCC, the better it is for the company.
What is the cash conversion cycle formula?
Cash Conversion Cycle = Days Inventory Outstanding + Days Sales Outstanding - Days Payables Outstanding
What does the cash conversion cycle say about a company’s management?
When a company—or its management—takes an extended period of time to collect outstanding accounts receivable, has too much inventory on hand, or pays its expenses too quickly, it lengthens the CCC. A longer CCC means that it takes a longer time to generate cash, which can mean insolvency for small companies.
When a company collects outstanding payments quickly, correctly forecasts inventory needs, or pays its bills slowly, it shortens the CCC. A shorter CCC means that the company is healthier. Additional money can then be used to make additional purchases or pay down outstanding debt.
When a manager has to pay its suppliers quickly, it’s known as a pull on liquidity, which is bad for the company. When a manager cannot collect payments quickly enough, it’s known as a drag on liquidity, which is also bad for the company.
How does inventory turnover affect the cash conversion cycle?
A higher, or quicker, inventory turnover decreases the cash conversion cycle. Thus, a better inventory turnover is a positive for the CCC and a company’s overall efficiency.
----
The cash conversion cycle (CCC = DSO + DIO – DPO) measures the number of days a company's cash is tied up in the production and sales process of its operations and the benefit it derives from payment terms from its creditors. The shorter this cycle, the more liquid the company's working capital position is. The CCC is also known as the "cash" or "operating" cycle.
Days of Sales Outstanding + Days of Inventory Outstanding + Days of Payables Outstanding
	-Brandon Hardison</t>
      </text>
    </comment>
    <comment authorId="0" ref="A71">
      <text>
        <t xml:space="preserve">The Formula for the Cash Conversion Cycle (CCC)
Since CCC involves calculating the net aggregate time involved across the above three stages of the cash conversion life cycle, the mathematical formula for CCC is represented as:
CCC=DIO+DSO−DPO
where:
DIO=Days of inventory outstanding
(also known as days sales of inventory)
DSO=Days sales outstanding
DPO=Days payables outstanding
​
DIO and DSO are associated with the company’s cash inflows, while DPO is linked to cash outflow. Hence, DPO is the only negative figure in the calculation. Another way to look at the formula construction is that DIO and DSO are linked to inventory and accounts receivable, respectively, which are considered as short-term assets and are taken as positive. DPO is linked to accounts payable, which is a liability and thus taken as negative.
Calculating the Cash Conversion Cycle
A company’s cash conversion cycle broadly moves through three distinct stages. To calculate CCC, you need several items from the financial statements:
Revenue and cost of goods sold (COGS) from the income statement
Inventory at the beginning and end of the time period
Accounts receivable (AR) at the beginning and end of the time period
Accounts payable (AP) at the beginning and end of the time period
The number of days in the period (e.g., year = 365 days, quarter = 90)
The first stage focuses on the existing inventory level and represents how long it will take for the business to sell its inventory. This figure is calculated by using the days inventory outstanding (DIO). A lower value of DIO is preferred, as it indicates that the company is making sales rapidly, implying better turnover for the business.
DIO, also known as DSI (days sales of inventory), is calculated based on the cost of goods sold (COGS), which represents the cost of acquiring or manufacturing the products that a company sells during a period. 
�
�
�
=
Avg. Inventory
�
�
�
�
×
3
6
5
 Days
where:
Avg. Inventory
=
1
2
×
(
BI
+
EI
)
BI
=
Beginning inventory
EI
=
Ending inventory
​
DSI= 
COGS
Avg. Inventory
​
 ×365 Days
where:
Avg. Inventory= 
2
1
​
 ×(BI+EI)
BI=Beginning inventory
EI=Ending inventory
​
The second stage focuses on the current sales and represents how long it takes to collect the cash generated from the sales. This figure is calculated by using the days sales outstanding (DSO), which divides average accounts receivable by revenue per day. A lower value is preferred for DSO, which indicates that the company is able to collect capital in a short time, in turn enhancing its cash position.
�
�
�
=
Avg. Accounts Receivable
Revenue Per Day
where:
Avg. Accounts Receivable
=
1
2
×
(
BAR
+
EAR
)
BAR
=
Beginning AR
EAR
=
Ending AR
​
DSO= 
Revenue Per Day
Avg. Accounts Receivable
​
where:
Avg. Accounts Receivable= 
2
1
​
 ×(BAR+EAR)
BAR=Beginning AR
EAR=Ending AR
​
The third stage focuses on the current outstanding payable for the business. It takes into account the amount of money that the company owes its current suppliers for the inventory and goods it purchased, and it represents the time span in which the company must pay off those obligations. This figure is calculated by using the days payable outstanding (DPO), which considers accounts payable. A higher DPO value is preferred. By maximizing this number, the company holds onto cash longer, thus increasing its investment potential.
�
�
�
=
Avg. Accounts Payable
�
�
�
�
 Per Day
where:
Avg. Accounts Payable
=
1
2
×
(
BAP
+
EAP
)
BAP
=
Beginning AP
EAP
=
Ending AP
�
�
�
�
=
Cost of Goods Sold
​
DPO= 
COGS Per Day
Avg. Accounts Payable
​
where:
Avg. Accounts Payable= 
2
1
​
 ×(BAP+EAP)
BAP=Beginning AP
EAP=Ending AP
COGS=Cost of Goods Sold
​
All of the above-mentioned figures are available as standard items in the financial statements filed by a publicly listed company as a part of its annual and quarterly reporting. The number of days in the corresponding period is taken as 365 for a year and 90 for a quarter.
What the Cash Conversion Cycle Can Tell You
Boosting sales of inventory for profit is the primary way for a business to make more earnings. But how does one sell more stuff? If cash is easily available at regular intervals, then one can churn out more sales for profits, as frequent availability of capital leads to more products to make and sell. A company can acquire inventory on credit, which results in accounts payable (AP).
A company can also sell products on credit, which results in accounts receivable (AR). Therefore, cash isn’t a factor until the company pays the accounts payable and collects the accounts receivable. Timing is thus an important aspect of cash management.
CCC traces the life cycle of cash used for business activity. It follows the cash as it’s first converted into inventory and accounts payable, then into expenses for product or service development, through to sales and accounts receivable, and then back into cash in hand. Essentially, CCC represents how fast a company can convert the invested cash from start (investment) to end (returns). The lower the CCC, the better.
Inventory management, sales realization, and payables are the three key ingredients of business. If any of these goes for a toss—say, inventory mismanagement, sales constraints, or payables increasing in number, value, or frequency—then the business is set to suffer. Beyond the monetary value involved, CCC accounts for the time involved in these processes that provides another view of the company’s operating efficiency.
In addition to other financial measures, the CCC value indicates how efficiently a company’s management is using the short-term assets and liabilities to generate and redeploy the cash and gives a peek into the company’s financial health with respect to cash management. The figure also helps assess the liquidity risk linked to a company’s operations.
----
https://site.financialmodelingprep.com/financial-ratios/
	-Brandon Hardison
The cash conversion cycle (CCC = DSO + DIO – DPO) measures the number of days a company's cash is tied up in the production and sales process of its operations and the benefit it derives from payment terms from its creditors. The shorter this cycle, the more liquid the company's working capital position is. The CCC is also known as the "cash" or "operating" cycle.
	-Brandon Hardison</t>
      </text>
    </comment>
    <comment authorId="0" ref="A74">
      <text>
        <t xml:space="preserve">EXCESS CASH FLOW MODEL
Companies that are either (i) window-dressing their balance sheets, (ii) have highly seasonal cash flows or (iii) are faking profits which are then hidden in cash-like assets, may appear highly free cash flow generative. Despite this, they will often need to raise external capital, seemingly in excess of requirements. The model is triggered when net cash inflows over a three-year period are in the highest quintile relative to global industry peers. Any company which triggers this model in conjunction with our Fake Cash Flow Fraud model should be regarded with suspicion (an 8% incidence rate). The next step is to conduct an in-depth peer group comparison to see if unusual traits can be explained by analysing a more relevant peer group.</t>
      </text>
    </comment>
    <comment authorId="0" ref="A75">
      <text>
        <t xml:space="preserve">So, for example, let’s look at two chemical companies. Celanese (CE) has about $1.5 billion in annual free cash flow and $6.7 billion in net operating assets, giving it a CFROI of 22%. Albemarle (ALB) has under $200 million in annual free cash flow and $5.6 billion in net operating assets, so its CFROI is 3%. Assuming the cost of capital for both companies is around 8.5%, Albemarle is what Mauboussin calls a “value destroyer” while Celanese is a “value creator.”</t>
      </text>
    </comment>
    <comment authorId="0" ref="A76">
      <text>
        <t xml:space="preserve">Cash runway is the number of months until cash runs out. You can either estimate your cash runway using forecasts, or you can calculate it based on your burn rate.
If your business is spending more than it takes in, it is burning cash. Your burn rate is your cash expenses minus cash revenues.
If your company has a burn rate of $10,000 then that means you are spending approximately $10,000 per month in excess of your revenues.
Why Cash Runway is Important
Your cash runway can be a clear indicator of whether or not your business is overspending.
A short runway, without any near-term profit, means you should consider seeking additional funding options to keep your business afloat, or cutting costs to reduce the amount of cash you are spending per month.
Even worse, if you’re not tracking runway, then there will come a day when you no longer have enough money to support the business — an unexpected blow if you’re just getting started.
This could also mean you need to tap into team cash or your own cash reserves to keep the company going, which will only make it more difficult to be successful (or convince investors to give you additional funds).
If you’ve already received funding, then cash runway will likely be a metric your investors want to know about to track your growth and profitability.
How much runway is enough? That depends on your business and how effectively you are managing cash.
The ultimate goal is to be Default Alive — on track to be profitable with your current resources.
Being Default Dead—or not having enough cash or revenue to cover expenses—can be the kiss of death for your business. A general rule of thumb for many startups is less than two months of cash runway is the point of no return.
While many startups should be keeping near real-time measurements of cash runway, any company can benefit from understanding its runway — especially when times are tough.
Track and forecast your cash runway with ease!
Hundreds of businesses use Finmark to forecast their runway and other vital metrics. Why aren't you?
Try it Free →
How to Extend Your Cash Runway
By now, you understand why cash runway is critical information when you’re tracking finances and evaluating overall projections and progress.
But how to extend it when you are already working hard to spend as little cash as possible as an early-stage company?
Having an up-to-date, accurate financial model can tell you exactly how many months you’ve got left, allowing you to make real-time decisions to reach out to investors or cut corners to decrease burn rate and increase runway.
You should be keeping track of each dollar going in and out of the business to be truly on top of your financials and financial models. You can use Finmark to help.
finmark metrics dashboard
You can also consider reducing your expenses where possible to further extend your cash runway. This could include:
Office Spaces: Do you need the penthouse office space in the big city? Or can you move to a remote-work model to save on rent and associated expenses?
Contractors: Do you need full-time internal resources or can some work be outsourced?
Payments: If you are making sales, make it as easy as possible for your customers to pay their invoices and have open lines of communication when they are late on a payment.
The old adage still rings true today — cash, and cash runway, is king. Keep accurate tabs on your cash runway and your business and investors will thank you.
Runway is the amount of time, in months, a business has before it runs out of cash. For companies growing through venture capital, it’s an at-a-glance metric that shows the number of months you have left before your cash balance hits $0. While you may see people talking about different types of cash runway — company cash, team cash, and founder cash — CFOs and finance teams typically look at this metric on a holistic basis for the company.</t>
      </text>
    </comment>
    <comment authorId="0" ref="A77">
      <text>
        <t xml:space="preserve">Cash Runway measures the implied amount of time that an early-stage startup can continue operating at a loss before depleting its cash on hand.
Cash Runway
How to Calculate Cash Runway
The cash runway is closely tied to the burn rate, which is the rate at which a company is spending its cash, typically expressed on a monthly basis.
More specifically, in the context of cash flow negative start-ups – i.e. companies that are not yet profitable – the burn rate measures the pace at which a start-up is using its equity capital as typically raised from outside investors.
Gross Burn = Monthly Cash Expenses
Net Burn = Monthly Cash Sales – Monthly Cash Expenses
The burn rate is an important metric in early-stage venture investing (VC), as it is an input to the implied runway formula.
Cash Runway Formula
The formula for calculating the cash runway is the amount of cash on hand divided by the burn rate.
Cash Runway = Cash on Hand ÷ Burn Rate
What is a Good Cash Runway?
The cash burn rate and implied runway – two metrics that go hand-in-hand – dictate how long a start-up has until its current operations can no longer be sustained, making outside funding necessary.
If at that point the start-up is unable to raise additional capital, the start-up in all likelihood will be forced to shut down.
As a result, start-up founders must estimate the projected runway to plan for the timing around when to begin raising interest from investors for the next financing round.
Otherwise, as a last resort, a start-up can increase its implied runway by:
Implementing Cost-Cutting Initiatives
Shutting Down Underperforming Business Units
Switching to Cash Payment Only (i.e. No Accounts Receivable, or “A/R”)
Liquidate Non-Core Inventory
The ease with which a start-up can raise capital is contingent on positive growth and other key performance indicators (KPIs), namely sales and user growth.
Start-ups with proven market traction and proof of concept within their target customer market and a clear plan for how to spend the newly raised capital are far more likely to raise enough capital for operations to continue.</t>
      </text>
    </comment>
    <comment authorId="0" ref="A81">
      <text>
        <t xml:space="preserve">Common Equity Tier 1 Ratio (for banks)
Common Equity Tier 1 Capital / 
Risk-Weighted Assets</t>
      </text>
    </comment>
    <comment authorId="0" ref="A83">
      <text>
        <t xml:space="preserve">Cfebit= cfo+taxes+interest expense-a and p so basically (ncfo + ebitusd on sharadar)</t>
      </text>
    </comment>
    <comment authorId="0" ref="A84">
      <text>
        <t xml:space="preserve">Cash Flow from Operations = 
Net Income + Non-Cash Expenses +/– Changes in Working Capital
(CFO) Cash Flow from Operating Activities represents the total amount of cash generated from operating activities throughout a specified period.
</t>
      </text>
    </comment>
    <comment authorId="0" ref="A92">
      <text>
        <t xml:space="preserve">= the direct costs of producing the goods sold by a company
COGS = Begin Inventory   +P   −End Inventory
P=Purchases during the period
"Cost of Sales" and "Cost of Goods Sold (COGS)" are often used interchangeably, and in many cases, they refer to the same concept. Both terms represent the direct costs associated with producing or purchasing the goods that a company sells during a specific period.
Find the Income Statement: 
Open the 10-K filing and look for the income statement or statement of operations. It's typically found in the financial statements section.
Locate Cost of Goods Sold (COGS):
Look for the line item named "Cost of Goods Sold" or a similar term. This is the total cost of producing or purchasing the goods that the company sold during the reporting period.
Gather Relevant Information:
Take note of the beginning inventory, purchases, and ending inventory values. These can usually be found in the same or nearby sections of the 10-K.​
The Cost of Goods Sold (COGS) is typically found on a traditional income statement rather than a comprehensive income statement. The comprehensive income statement includes not only the net income but also other comprehensive income items like unrealized gains or losses on investments.
On a traditional income statement, COGS is a key component, and you can locate it by looking for a specific section dedicated to the company's operating expenses. Here's a general guide on where to find COGS on an income statement:
Look for Operating Expenses:
Find the section of the income statement that lists operating expenses. COGS is considered a direct cost related to the production of goods or services.
Identify Cost of Goods Sold (COGS):
Within the operating expenses section, look for a line item specifically named "Cost of Goods Sold" or a similar term. This is where the total direct costs associated with producing or purchasing the goods sold during the reporting period are typically presented.
Review the Subtotals:
Sometimes, companies may break down operating expenses into subcategories. If this is the case, COGS might be listed as a separate line item or included within a broader category like "Costs and Expenses."
Check the Notes to the Financial Statements:
In some cases, additional details about specific line items, including COGS, may be provided in the notes to the financial statements. Refer to these notes for more information or clarification.
Consider the Financial Statement Format:
The format of financial statements may vary among companies, but COGS is generally found in the operating expenses section, deducting from the gross revenue to arrive at the gross profit.
Remember that the specific wording and presentation can vary between companies, so it's essential to carefully review the income statement and related notes in the 10-K filing. If you have access to the specific 10-K you're interested in, you can refer to the income statement section and search for the line item related to Cost of Goods Sold.
-Inventory that is sold appears in the income statement under the COGS account. 
-The beginning inventory for the year is the inventory left over from the previous year, the merchandise that was not sold in the previous year.
-COGS is an important metric on financial statements as it is subtracted from a company’s revenues to determine its gross profit. 
-Gross profit is a profitability measure that evaluates how efficient a company is in managing its labor and supplies in the production process.
-Cost of goods sold (COGS) is the cost of acquiring or manufacturing the products that a company sells during a period, so the only costs included in the measure are those that are directly tied to the production of the products, including the cost of labor, materials, and manufacturing overhead.
-For example, COGS for an automaker would include the material costs for the parts that go into making the car plus the labor costs used to put the car together. The cost of sending the cars to dealerships and the cost of the labor used to sell the car would be excluded.
-The balance sheet has an account called the current assets account. Under this account is an item called inventory. The balance sheet only captures a company’s financial health at the end of an accounting period. This means that the inventory value recorded under current assets is the ending inventory.
KEY TAKEAWAYS
Cost of goods sold (COGS) includes all of the costs and expenses directly related to the production of goods.
COGS excludes indirect costs such as overhead and sales and marketing.
COGS is deducted from revenues (sales) in order to calculate gross profit and gross margin. Higher COGS results in lower margins.
The value of COGS will change depending on the accounting standards used in the calculation.
COGS differs from operating expenses (OPEX) in that OPEX includes expenditures that are not directly tied to the production of goods or services.
Different Accounting Methods For COGS?
The value of the cost of goods sold depends on the inventory costing method adopted by a company. There are three methods that a company can use when recording the level of inventory sold during a period: first in, first out (FIFO), last in, first out (LIFO), and the average cost method. The special identification method is used for high-ticket or unique items.
FIFO = The earliest goods to be purchased or manufactured are sold first. Since prices tend to go up over time, a company that uses the FIFO method will sell its least expensive products first, which translates to a lower COGS than the COGS recorded under LIFO. Hence, the net income using the FIFO method increases over time.
LIFO = where the latest goods added to the inventory are sold first. During periods of rising prices, goods with higher costs are sold first, leading to a higher COGS amount. Over time, the net income tends to decrease.
Average Cost Method = The average price of all the goods in stock, regardless of purchase date, is used to value the goods sold. Taking the average product cost over a time period has a smoothing effect that prevents COGS from being highly impacted by the extreme costs of one or more acquisitions or purchases.
Special Identification Method = The special identification method uses the specific cost of each unit of merchandise (also called inventory or goods) to calculate the ending inventory and COGS for each period. In this method, a business knows precisely which item was sold and the exact cost. Further, this method is typically used in industries that sell unique items like cars, real estate, and rare and precious jewels.
What Type of Companies Are Excluded From a COGS Deduction?
Many service companies do not have any cost of goods sold at all. COGS is not addressed in any detail in generally accepted accounting principles (GAAP), but COGS is defined as only the cost of inventory items sold during a given period. Not only do service companies have no goods to sell, but purely service companies also do not have inventories. If COGS is not listed on a company's income statement, no deduction can be applied for those costs.
Examples of pure service companies include accounting firms, law offices, real estate appraisers, business consultants, professional dancers, etc. Even though all of these industries have business expenses and normally spend money to provide their services, they do not list COGS. Instead, they have what is called "cost of services," which does not count towards a COGS deduction.
Cost of Revenue vs. COGS
Costs of revenue exist for ongoing contract services that can include raw materials, direct labor, shipping costs, and commissions paid to sales employees. These items cannot be claimed as COGS without a physically produced product to sell, however. The IRS website even lists some examples of "personal service businesses" that do not calculate COGS on their income statements. These include doctors, lawyers, carpenters, and painters.
Many service-based companies have some products to sell. For example, airlines and hotels are primarily providers of services such as transport and lodging, respectively, yet they also sell gifts, food, beverages, and other items. These items are definitely considered goods, and these companies certainly have inventories of such goods. Both of these industries can list COGS on their income statements and claim them for tax purposes.
Operating Expenses vs. COGS
Both operating expenses and cost of goods sold (COGS) are expenditures that companies incur with running their business; however, the expenses are segregated on the income statement. Unlike COGS, operating expenses (OPEX) are expenditures that are not directly tied to the production of goods or services.
Typically, SG&amp;A (selling, general, and administrative expenses) are included under operating expenses as a separate line item. SG&amp;A expenses are expenditures, such as overhead costs, that are not directly tied to a product. Examples of operating expenses include the following:
Rent
Utilities
Office supplies
Legal costs
Sales and marketing
Payroll
Insurance costs
What Are the Limitations of COGS?
COGS can easily be manipulated by accountants or managers looking to cook the books. It can be altered by:
Allocating to inventory higher manufacturing overhead costs than those incurred
Overstating discounts
Overstating returns to suppliers
Altering the amount of inventory in stock at the end of an accounting period
Overvaluing inventory on hand
Failing to write off obsolete inventory
When inventory is artificially inflated, COGS will be under-reported which, in turn, will lead to a higher-than-actual gross profit margin, and hence, an inflated net income.
Investors looking through a company’s financial statements can spot unscrupulous inventory accounting by checking for inventory buildup, such as inventory rising faster than revenue or total assets reported.
How Do You Calculate Cost of Goods Sold (COGS)?
Cost of goods sold (COGS) is calculated by adding up the various direct costs required to generate a company’s revenues. Importantly, COGS is based only on the costs that are directly utilized in producing that revenue, such as the company’s inventory or labor costs that can be attributed to specific sales. By contrast, fixed costs such as managerial salaries, rent, and utilities are not included in COGS. Inventory is a particularly important component of COGS, and accounting rules permit several different approaches for how to include it in the calculation.
Are Salaries Included in COGS?
COGS does not include salaries and other general and administrative expenses; however, certain types of labor costs can be included in COGS, provided that they can be directly associated with specific sales. For example, a company that uses contractors to generate revenues might pay those contractors a commission based on the price charged to the customer. In that scenario, the commission earned by the contractors might be included in the company’s COGS, since that labor cost is directly connected to the revenues being generated.
6
How Does Inventory Affect COGS?
In theory, COGS should include the cost of all inventory that was sold during the accounting period. In practice, however, companies often don’t know exactly which units of inventory were sold. Instead, they rely on accounting methods such as the first in, first out (FIFO) and last in, first out (LIFO) rules to estimate what value of inventory was actually sold in the period. If the inventory value included in COGS is relatively high, then this will place downward pressure on the company’s gross profit. For this reason, companies sometimes choose accounting methods that will produce a lower COGS figure, in an attempt to boost their reported profitability.
The Bottom Line
Cost of goods sold is the direct cost of producing a good, which includes the cost of the materials and labor used to create the good. COGS directly impacts a company's profits as COGS is subtracted from revenue. Companies must manage their COGS to ensure higher profits. If a company can reduce its COGS through better deals with suppliers or through more efficiency in the production process, it can be more profitable.
Yes, you can find the traditional income statement, often referred to as the "Statement of Operations" or "Income Statement," in a company's 10-K filing. The income statement provides a summary of a company's revenues, costs, and expenses over a specific period of time. Here's how you can locate it in a 10-K:
Access the 10-K Filing:
Obtain the company's 10-K filing. You can usually find it on the investor relations section of the company's official website or on the Securities and Exchange Commission's (SEC) EDGAR database (https://www.sec.gov/edgar/searchedgar/companysearch.html).
Navigate to Financial Statements:
Within the 10-K filing, look for the section titled "Financial Statements" or a similar heading. The income statement is typically included in this section.
Identify the Income Statement:
Once in the financial statements section, locate the document labeled "Consolidated Statements of Operations," "Statement of Income," or a similar term. This is where you will find the income statement.
Review Operating Revenues and Expenses:
Within the income statement, you'll find details about the company's operating revenues, costs of goods sold (COGS), gross profit, operating expenses, and net income. COGS is the section that includes the direct costs associated with producing goods or services.
Look for Cost of Goods Sold (COGS):
Specifically, look for the line item named "Cost of Goods Sold" or an equivalent term within the operating expenses section. This is where the company reports the direct costs related to the production of goods or services.
Check for Additional Details:
Sometimes, companies provide additional information and breakdowns within the notes to the financial statements. If you need more detailed information about specific items on the income statement, check the notes.
Remember that the exact wording and format of financial statements may vary between companies, but the income statement should be clearly labeled within the 10-K filing. If you have a specific 10-K in mind, you can refer to the table of contents or use the search function within the document to find the income statement section.
</t>
      </text>
    </comment>
    <comment authorId="0" ref="A95">
      <text>
        <t xml:space="preserve">Competitive positioning is the ability to make your company stand out from its competitors. 
The company's competitive position depends on how the value of products and services you provide compares to the value of comparable products and services in the market.
Create a relationship with their customers via
</t>
      </text>
    </comment>
    <comment authorId="0" ref="A96">
      <text>
        <t xml:space="preserve">Statement of Comprehensive Income
A company's income statement details revenues and expenses, including taxes and interest. Its bottom line is net income. However, net income only recognizes earned income and incurred expenses.
A statement of comprehensive income, which covers the same period as the income statement, reflects net income as well as other comprehensive income, the latter being unrealized gains and losses on assets that aren't shown on the income statement. The statement of comprehensive income gives company management and investors a fuller, more accurate idea of income.</t>
      </text>
    </comment>
    <comment authorId="0" ref="A97">
      <text>
        <t xml:space="preserve">Understanding Comprehensive Income offers a deeper insight into a company's financial health and trajectory. This income figure includes not just the net income provided in income statements—regular earnings of a corporation from its ongoing operations—but also lists other income streams, which are, at times, overlooked and unaccounted for.
Comprehensive Income is the combination of all revenue streams, including earnings, interest income, expenses, and all forms of cash inflows and outflows. It also includes adjustments for items like foreign currency translation and changes in the market values of certain securities.
includes items that have not been included in the calculation of net income. These items are mainly transitory adjustments that hold future implications, such as unrealised gains and losses, which aren't recognised in net income until they are realised.
Items	Explanation
Unrealised gains/losses	These arise due to the change in the fair value of investments. They are recorded here until they are sold and realised.
Foreign currency translation adjustments	This refers to the changes in the value of foreign investments due to changes in exchange rates.
</t>
      </text>
    </comment>
    <comment authorId="0" ref="A99">
      <text>
        <t xml:space="preserve">Total comprehensive income is calculated by adding net income (loss) and other comprehensive income (loss). Total comprehensive income reflects the change in net assets of the business (which would exclude owners equity).
Net income provides a directional view of the change in a company’s net assets, but under U.S. GAAP, changes in certain types of net assets are not reflected in the income statement. Those changes are reflected in other comprehensive income.
Essentially, total comprehensive income reflects 100% of the gains and losses a business experiences in a given period.
</t>
      </text>
    </comment>
    <comment authorId="0" ref="A100">
      <text>
        <t xml:space="preserve">CFR is defined as the amount of core funding relative to the required core funding. Available core funding refers to the portion of capital and liabilities expected to be reliable over the horizon of 1 year. Required core funding refers to the portion of assets and off-balance sheet exposures over the same horizon. The CFR does not contain encumbered assets and the ratio is expected to be at least 100%.
 is one of the two minimum standards developed to promote funding and liquidity management in financial institutions.
The Available Core Funding (ACF) factor and Required Core Funding (RCF) factor is applied through business assumptions and reflects through the execution of a Business as Usual (BAU) run in the OFS LRRCHKMA application. The ACF and RCF factors are applied as weights at the account level and the Total ACF and Total RCF are obtained by taking a sum of all the weighted amounts. The ratio is then computed by the application as the (Total ACF amount)/(Total RCF amount). A set of predefined business assumptions for ACF and RCF as defined in the CFR guidelines are prepackaged in the application. For the complete list of preseeded ACF and RCF assumptions, see the Regulation Addressed through Business Assumptions section.
</t>
      </text>
    </comment>
    <comment authorId="0" ref="A103">
      <text>
        <t xml:space="preserve">= 
(Beginning Inventory + New Inventory) – Ending Inventory.
Key takeaways:
The difference between COGS and cost of sales is that the former refers to the company’s cost to make products from parts or raw materials, while the latter is the total cost of a business creating a good or service for purchase
An example of cost of sales is direct labor and direct materials
To quickly calculate the cost of sales, add purchases to your beginning inventory, then subtract the ending inventory from that total
"Cost of Sales" and "Cost of Goods Sold (COGS)" are often used interchangeably, and in many cases, they refer to the same concept. Both terms represent the direct costs associated with producing or purchasing the goods that a company sells during a specific period.</t>
      </text>
    </comment>
    <comment authorId="0" ref="A107">
      <text>
        <t xml:space="preserve">CROIC = FCF/Invested Capital
shows how much free cash flow per dollar the business generates from invested capital. I find this to be the ultimate performance metric as it shows so clearly how effective management is and the strength of the business.</t>
      </text>
    </comment>
    <comment authorId="0" ref="A108">
      <text>
        <t xml:space="preserve">CROSIC is Simple FCF / Invested Capital, Where:
SFCF = CFO - CapEx
IC = Tangible LT Assets</t>
      </text>
    </comment>
    <comment authorId="0" ref="A109">
      <text>
        <t xml:space="preserve">Cross-currency interest rate swap (CIRS) is an agreement by which the Bank and the Client undertake to exchange nominals and periodically exchange interest payments in two currencies. The objective of CIRS is to hedge against FX risk with opportunity to simultaneously hedge against interest rate risk in a given currency by way of an off-balance sheet swap of liability currency (e.g. into currency in which company's revenue is generated) and a change of interest risk profile.</t>
      </text>
    </comment>
    <comment authorId="0" ref="A112">
      <text>
        <t xml:space="preserve">Current Assets 
= Cash and Cash Equivalents 
+ Accounts Receivables 
+ Inventory 
+ Marketable Securities 
+ Prepaid Expenses 
+ Other Liquid Assets
As current assets are liquid assets
Liquid Assets are the business assets that can be converted into cash within a short period, such as cash, marketable securities, and money market instruments. They are recorded on the asset side of the company's balance sheet.
companies can sell them at the end of a financial year. These can be cash or physical items used or sold to increase cash flow and repay debts
and other liabilities. Stocks are one of the best examples of a current physical asset.</t>
      </text>
    </comment>
    <comment authorId="0" ref="A113">
      <text>
        <t xml:space="preserve">Debt/Equity= Total Liabilities/
Total Shareholders’ Equity
​
​
</t>
      </text>
    </comment>
    <comment authorId="0" ref="A117">
      <text>
        <t xml:space="preserve">(AccountReceivable(start)+AccountReceivable(end))/2)
/
(revenue/365)</t>
      </text>
    </comment>
    <comment authorId="0" ref="A118">
      <text>
        <t xml:space="preserve">DSRI = (Net Receivablest / Salest) / Net Receivablest-1 / Salest-1)
Days’ Sales in Receivables Index (DSRI): A large increase in receivable days might suggest accelerated revenue recognition to inflate profits.
This measures the increase in receivables and revenues between two reporting periods (the average for well-run companies is 1.031, while those companies that have manipulated sales have an average value of 1.465%)</t>
      </text>
    </comment>
    <comment authorId="0" ref="A119">
      <text>
        <t xml:space="preserve">Days Sales Outstanding = 91.25 x (Total Receivables/Sales)
The average number of days it takes for a company to collect outstanding receivables. A days sales outstanding (DSO) of 15 means it takes 15 days to collect on sales. Low DSOs are favorable; a company is able to quickly collect on sales. Payments can be used for other purposes.
To think about this conceptually, let's describe a situation with a low DSO. Companies with substantial sales and minor receivables means that the company has sold a lot and only a small amount of customers owe them payments on those sales. So the company is quickly collecting on its sales.
Companies with a low amount of sales and a high amount of customers who owe payments on those sales represent a high DSO. This is a situation where the company is unable to quickly collect on its sales.
DSO is a component of the Cash Conversion Cycle (CCC), which is used to determine how long cash is tied up in working capital. A higher DSO will mean a higher CCC for a company.
Note: YCharts uses quarterly data instead of annual data for this calculation. Total Receivable and Sales refer to Total Receivable and Sales respectively at the end of the quarter, hence the 91.5 multiplier instead of 365.</t>
      </text>
    </comment>
    <comment authorId="0" ref="A121">
      <text>
        <t xml:space="preserve">Debt capacity refers to the total amount of debt a business can incur and repay according to the terms of a debt agreement. A business takes on debt for several reasons – such as boosting production or marketing, expanding capacity, or acquiring new businesses. However, incurring too much debt or taking on the wrong type can result in damaging consequences.
How do lenders make decisions on which businesses to lend their money to? In this article, we will explore the most commonly used financial metrics to evaluate how much leverage a business can handle. At the end of the day, lenders wish to have comfort and confidence in lending their money to businesses that can internally generate enough earnings and cash flow to not only pay the interest but also the principal balance.
Assessing Debt Capacity
The two main measures to assess a company’s debt capacity are its balance sheet and cash flow measures. By analyzing key metrics from the balance sheet and cash flow statements, investment bankers determine the amount of sustainable debt a company can handle in an M&amp;A transaction.
EBITDA and Debt Capacity
One measure to evaluate debt capacity is EBITDA, or Earnings Before Interest, Tax, Depreciation, and Amortization. To learn more about EBITDA, please see our EBITDA Guide.
The level of EBITDA is important to assess the debt capacity, as companies with higher levels of EBITDA can generate more earnings to repay their debt. Hence, the higher the EBITDA level, the higher the debt capacity. However, although the level of EBITDA is crucial, the stability of a company’s EBITDA level is also important in assessing its debt capacity. There are a few factors that contribute to a company’s EBITDA stability – cyclicality, technology, and barriers to entry.
Cyclical businesses inherently have less debt capacity than non-cyclical businesses. For example, mining businesses are cyclical in nature due to their operations, whereas food businesses are much more stable. From a lender’s point of view, volatile EBITDA represents volatile retained earnings and the ability to repay debt, hence a much higher default risk.
Industries with low barriers to entry also have less debt capacity compared to industries with high barriers to entry. For example, tech companies that have low barriers to entry can easily be disrupted as competition enters. Even if tech companies are legally protected through patents and copyrights, competition will eventually enter as the patent term expires or with newer and more efficient innovations. On the other hand, industries with high barriers to entry, such as long-term infrastructure projects, are less likely to be disrupted by new entrants and, therefore, can sustain a more stable EBITDA.
Learn more in CFI’s free introduction to corporate finance course.
Credit Metrics
Credit metrics are extremely useful to determine debt capacity, as they directly reflect the book values of assets, liabilities, and shareholder equity. The most commonly used balance sheet measure is the debt-to-equity ratio. Other common metrics include debt/EBITDA, interest coverage, and fixed-charge coverage ratios.
As you can see in the screenshot from CFI’s financial modeling course below, an analyst will look at all of these credit metrics in assessing a company’s debt capacity.
Credit Metrics for Assessing Debt Capacity
Debt-to-Equity
Debt-to-equity ratios provide investment bankers with a high-level overview of a company’s capital structure. However, this ratio can be complicated, as there can be a discrepancy between the book value and the market value of equity. Acquisitions, adjustments to assets, goodwill, and impairment are all influential factors that may create a discrepancy between the book value and market value of debt-to-equity ratios.
Cash Flow Metrics
Another set of measures investment bankers use to assess debt capacity is cash flow metrics. These metrics include total debt-to-EBITDA, which can be broken down further to senior debt-to-EBITDA, cash interest coverage, and EBITDA-Capital Expenditures interest coverage.
Total Debt / EBITDA
The Debt-to-EBITDA measure is the most common cash flow metric to evaluate debt capacity. The ratio demonstrates a company’s ability to pay off its incurred debt and provides investment bankers with information on the amount of time required to clear all debt, ignoring interest, taxes, depreciation, and amortization. Total debt-to-EBITDA can be broken down into the senior or subordinated debt-to-EBITDA metric, which focuses on debt that a company must repay first in the event of distress.
Cash Interest Coverage
The cash interest coverage measure depicts how many times the cash flow generated from business operations can service the interest expense on the debt. This is a key metric, as it shows not only a company’s ability to pay interest but also its ability to repay principal.
Learn more in CFI’s free introduction to corporate finance course.
EBITDA-CapEx Interest Coverage
By taking the EBITDA, deducting capital expenditures, and examining how many times this metric can cover the interest expense, investment bankers can assess a company’s debt capacity. This metric is specifically useful for companies with high capital expenditures, including manufacturing and mining firms.
Fixed-Charge Coverage Ratio
The fixed-charge coverage ratio is equal to a company’s EBITDA – CapEx – Cash Taxes – Distributions. The ratio is very close to a true cash flow measure and thus very relevant for assessing debt capacity.
</t>
      </text>
    </comment>
    <comment authorId="0" ref="A122">
      <text>
        <t xml:space="preserve">DSCR = Net Operating Income/Total Debt Service
To find a company's total debt service, you can follow these steps:
Financial Statements: Obtain the company's latest financial statements. These include the balance sheet, income statement, and cash flow statement.
Balance Sheet: Look at the balance sheet to find the total liabilities. This will include both short-term and long-term debt.
Interest Expense: Check the income statement for the company's interest expense. This represents the cost of servicing the company's debt.
Debt Service Coverage Ratio (DSCR): Calculate the Debt Service Coverage Ratio, which is a measure of a company's ability to cover its debt payments. The formula is usually:
where Net Operating Income is the income before interest and taxes, and Total Debt Service includes both principal and interest payments.
Review Financial Reports: Some companies provide additional financial reports or disclosures that specify their total debt service.
Remember that total debt service includes both principal repayments and interest payments. If you're unable to find the information in public financial statements, you may need to refer to the company's filings with regulatory bodies or consult financial analysts' reports.
The debt-service coverage ratio (DSCR) measures a firm's available cash flow to pay current debt obligations. The DSCR shows investors and lenders whether a company has enough income to pay its debts. The ratio is calculated by dividing net operating income by debt service, including principal and interest.
KEY TAKEAWAYS
The debt-service coverage ratio (DSCR) is a measure of the cash flow available to pay current debt obligations.
DSCR measures a business’s cash flow versus its debt obligations.
Lenders use DSCR to determine whether a business has enough net operating income to pay back loans.
DSCR equals net operating income divided by debt service, including principal and interest.
Net operating income measures an income-producing property's profitability before adding in any costs from financing or taxes.
To calculate NOI, subtract all operating expenses incurred on a property from all revenue generated on the property.
The operating expenses used in the NOI metric can be manipulated if a property owner defers or accelerates certain income or expense items.
The NOI metric does not include capital expenditures.
NOI will indicate to a property owner if renting a property is worth the expense of owning and maintaining it.
CFI:
Debt Service Coverage Ratio (DSCR)
A business needs to compute its debt service coverage ratio (DSCR) before it begins borrowing. The DSCR is critical to measuring the company’s ability to make debt payments on time. The ratio divides the company’s net income with the total amount of interest and principal it must pay. The higher the ratio, the easier for the company to obtain a loan.
The formula for calculating the DSCR is as follows:
DSCR = Annual Net Operating Income / Annual Debt Payments
Investing in a company with a negative Debt Service Coverage Ratio (DSCR) can be risky, and it requires careful consideration of various factors. The DSCR is a financial metric that measures a company's ability to cover its debt obligations with its operating income. A negative DSCR suggests that the company's operating income is insufficient to cover its debt payments, which raises concerns about its financial health and ability to meet its obligations.
Here are some points to consider:
High Risk:
A negative DSCR indicates financial stress, and it may be a sign that the company is struggling to generate enough operating income to service its debt.
Investing in a company with a negative DSCR involves a higher level of risk, as there may be a greater likelihood of default on debt payments.
Underlying Issues:
Negative DSCR could be a result of various issues, such as declining revenues, increased expenses, or excessive debt levels. It's important to identify and understand the underlying reasons for the negative ratio.
Industry and Economic Conditions:
Consider the industry and economic conditions that the company operates in. Economic downturns or industry-specific challenges could contribute to a negative DSCR.
Turnaround Potential:
Assess whether the company has a viable plan to improve its financial situation and return to positive DSCR. Look for signs of a turnaround strategy and management's ability to execute it.
Debt Structure:
Examine the company's debt structure, including the maturity dates and interest rates on its debt. A negative DSCR may be more concerning if the company has upcoming debt maturities that it may struggle to meet.
Investment Horizon and Risk Tolerance:
Consider your investment horizon and risk tolerance. Investing in a company with a negative DSCR is speculative, and it may be suitable only for investors willing to take on higher levels of risk.
It's crucial to conduct thorough due diligence, including a detailed analysis of the company's financial statements, management discussions, and external factors influencing its industry. Additionally, seeking advice from financial professionals and experts can provide valuable insights before making any investment decisions. Keep in mind that investing in distressed companies with negative financial metrics carries inherent risks, and it's important to be well-informed and cautious.</t>
      </text>
    </comment>
    <comment authorId="0" ref="A123">
      <text>
        <t xml:space="preserve">DEBT WINDOW DRESSING
Our Debt Window Dressing model aims to highlight companies which are removing debt just before reporting dates with the aim of flattering solvency ratios. It is triggered by a high effective interest rate and an unusually high level of debt repayment. Around 5% of companies trigger this model more than once in the last three years. The next step is to check whether the flag is a false alert and to quantify materiality. Analysis should focus on the company’s disclosed cost of debt versus the effective cost (which is based on the average year-end debt). Should the latter exceed the former by a material margin, it could indicate that debt is being temporarily removed at reporting dates. This is often financed by the sale of receivables. It is worth looking for supporting evidence which would provide further confirmation of window-dressing.</t>
      </text>
    </comment>
    <comment authorId="0" ref="A129">
      <text>
        <t xml:space="preserve">Depreciation (DEPI): A falling level of depreciation relative to net fixed assets raises the possibility that a firm has revised upwards the estimated useful life of assets, or adopted a new method that is income increasing.</t>
      </text>
    </comment>
    <comment authorId="0" ref="A131">
      <text>
        <t xml:space="preserve">We penalise companies with a high and/or rising exposure to derivative and hedging assets. According to Bloomberg, just 14% of companies disclose data on their net derivative positions, with the highest inclusion rate being commodity related sectors, such as Oil &amp; Gas, as shown in Figure 99. In many instances, derivatives are used to remove risk from the business but sometimes large exposure is a sign that a company has taken a speculative view on a financial asset, such as commodities or currencies. Furthermore, included in this balance sheet classification might be the present value of future estimated cash flows, used to inflate the profits of companies such as Enron (ENRNQ US) in 2000 and Noble Group (NOBL SP) in 2013. As Figure 100 shows, most companies have net derivative exposure of less than 1% of equity.
DErivatives
Our accounting screen is set to trigger a red flag when derivatives exceed 10% of equity, and/or when there is an abnormally large increase relative to the normal rate of change amongst global peers over one and three years. This latter red flag is triggered when the increase in derivatives to equity exceeds the 80th percentile relative to the change experienced by GICS industry peers between 2010 and 2015.</t>
      </text>
    </comment>
    <comment authorId="0" ref="A132">
      <text>
        <t xml:space="preserve">Several indicators can suggest that a company might incur dilution, meaning that existing shareholders' ownership interests may be diluted due to the issuance of additional shares. Dilution can occur for various reasons, and here are some indicators to watch for:
Planned Capital Raise:
If a company announces plans for a capital raise, either through a secondary public offering or a private placement, it could lead to dilution. Investors should closely monitor the company's statements and disclosures regarding fundraising activities.
Stock Options or Warrants:
If a company has a history of granting stock options or warrants to employees or other stakeholders, the exercise of these options can result in the issuance of new shares, potentially diluting existing shareholders.
Convertible Securities:
The existence of convertible securities, such as convertible bonds or preferred stock, can indicate the potential for dilution. These securities can be converted into common shares, increasing the total number of shares outstanding.
Convertible Debt:
Companies that have issued convertible debt may face dilution if the debt is converted into equity. This often depends on the terms specified in the convertible debt agreements.
Merger and Acquisition Activity:
If a company is actively involved in mergers and acquisitions and uses its stock as a form of currency for the transactions, it may result in the issuance of additional shares and dilution for existing shareholders.
Stock-Based Compensation Plans:
Companies with generous stock-based compensation plans may experience dilution as employees exercise stock options or receive restricted stock units (RSUs).
Announcement of Stock Splits or Reverse Splits:
While stock splits are generally aimed at maintaining or increasing liquidity without dilution, reverse stock splits can indicate a desire to reduce the number of outstanding shares to avoid dilution.
Historical Dilution:
Examining a company's historical dilution, especially if it has a track record of regularly issuing new shares, can provide insights into its approach to capital structure.
Investors should carefully review a company's financial statements, disclosures, and announcements to identify any potential dilution events. Dilution can impact existing shareholders' ownership percentages and, in turn, influence stock prices. Understanding the factors that may lead to dilution is crucial for making informed investment decisions.</t>
      </text>
    </comment>
    <comment authorId="0" ref="A133">
      <text>
        <t xml:space="preserve">Direct costs refer to the cost of operating core business activity—production costs, raw material cost, and wages paid to factory staff. Such costs can be determined by identifying the expenditure on cost objects.
Direct costs are output costs and operational costs. They contrast with indirect costs. Indirect costs
 are not concerned with the production or purchase of merchandise. Indirect costs are attributed to the running and managing of a business entity
Direct cost refers to any expense that is directly associated with a company’s production facility. These expenses vary, depending on quantity, but certain fixed costs
 like factory rent can also be considered direct expenses.
Costs objects about direct expense are output costs and operational costs. Cost objects
 determine the exact product cost
 and selling price.</t>
      </text>
    </comment>
    <comment authorId="0" ref="A135">
      <text>
        <t xml:space="preserve">Discontinued operations are operations a company no longer requires, and that have been shut down. An operation may be discontinued due to any number of reasons, including: the closure of a division that cannot make or sustain a profit, the sale of a company’s product line or service, or a merger with another company (resulting in redundant roles).
Income and expenses related to discontinued operations can be found on line items on a company’s income statement, below “Continuing Operations Income” and above “Net Income”.
What Are the GAAP Rules for Discontinued Operations?
GAAP stands for “Generally Accepted Accounting Principles”. GAAP is the accounting authority in the United States, defining accounting terms, assumptions and methods. GAAP sets policy for a wide array of topics, from assets and liabilities to foreign currency and financial statement presentation. This standardization makes it much easier for business owners, investors and government agencies to understand financial statements.
In order for an American business to classify something as a “Discontinued Operation”, GAAP has stipulated that the following must happen:
Operations and Cash Flow Must Cease
Discontinued must really mean discontinued. In Ned’s case, this means there can be no more new income after the station has been sold, and any expenses related to moving the operation to the buyer must end shortly after the sales date.
There Must Be No Future Involvement
The discontinued or sold operation must remain separate from the original business. For instance, if Ned sold the station but on the condition his sales team still sell ads for the new owner, then this transaction cannot be considered a discontinued operation.
Are Discontinued Operations Taxed?
Yes and no. A discontinued operation may still make a gain or loss in the accounting period it ceased operations in. These gains or losses must be reported. However, often a discontinued operation was operating at a loss, so there may be some money realized from taxes at tax time. Keep in mind that these losses must be weighed against those departments or components of the business that are still in operation, which are most likely generating revenue.</t>
      </text>
    </comment>
    <comment authorId="0" ref="A136">
      <text>
        <t xml:space="preserve">= Cost of Equity (Equity/(Debt + Equity)) + Cost of Debt (Debt/(Debt+ Equity))</t>
      </text>
    </comment>
    <comment authorId="0" ref="A138">
      <text>
        <t xml:space="preserve">Let’s look closely at discounted cash flow analysis for a moment, because Mauboussin has written a great deal about it. If the intrinsic value of a company is determined by the sum of its free cash flows and its final value, all discounted by the market rate, then one should be able to find companies whose intrinsic value differs substantially from their market value and, by investing in those that are comparatively cheap, make money.
The basic idea behind DCF analysis is as follows. We start with a basic equation called Gordon’s Growth Model, P = D / (r – g), where P is price, D is dividend, r is the required rate of return, and g is the growth of dividends over time. There’s a very elegant proof of this equation, which you can read about here.
Because most stocks don’t pay dividends, however, investors have substituted free cash flow for D, and because cash flow and growth rates change over time, and because the “required rate of return” is so amorphous, they’ve expanded the model into a multi-year, hugely complicated mess. (But nobody ever said valuation should be easy.)
There are a number of major problems with DCF analysis.
Determining cash flows. There is no clear method for determining future cash flows. I must have come across at least a dozen of them. (Mauboussin’s is explained in a book he co-wrote with Alfred Rappaport called Expectations Investing.) Most of them involve inputting a lot of guesses. There isn’t even a standard way to measure present free cash flows. Many analysts use different formulae from those provided by the CFA Institute. A big question is how to calculate maintenance capital expenditures (as distinguished from those that contribute to growth); if one deducts all capital expenditures from operating cash flow, then certain industries, such as utilities, have overall negative cash flows. And then there’s the problem exemplified by Hertz (HTZ), in which a company with a market cap of $1.25 billion has maintenance capital expenditures of $10 to $12 billion a year (the amount it spends on new cars), resulting in massively negative free cash flows.
Variability of free cash flow. Free cash flow is probably the most variable of all value measures. I measured this on Portfolio123 using a pretty wide universe of over 4,000 stocks: the median absolute percentage deviation of EPS over the last five years is 58%, while the same of free cash flow is 73%.
Applying growth rates to negative numbers. If one takes a negative number and multiplies it by one plus a growth rate, one comes up with an even more negative number. And a large number of companies have negative free cash flows.
Determining the cost of capital. There’s no standard way to calculate the cost of capital, which determines the discount rate (the required rate of return), a huge factor in DCF analysis.
Determining the terminal value. There seems to be no agreement on which of two very different methods an investor should use: the perpetuity growth model or the EV/EBIDTA multiple model. Most academics insist on the former; most investors use the latter. There are problems with both. The perpetuity growth model is based on the sixth or eleventh year’s free cash flow, which is a wild guess to begin with, and is then divided by the difference between the cost of capital and the terminal growth rate, both of which are more wild guesses. The multiples model has all the problems of conventional valuations like P/E and P/S, and the way it’s often applied means that the terminal value ends up making up about 80% or 90% of the eventual valuation, which negates the whole idea behind DCF analysis.
Discrepancies in cost of capital. Most people assign different costs of capital to companies in different industries. So let’s take two companies with exactly the same free cash flow, growth rates, and debt to equity ratios. If the first company is a utility and the second is a technology firm, the first’s cost of capital is about 4.5% and the second’s is about 10%. Let’s assume that the initial growth rate for both companies is 10% and it decreases every year until in year 6 it’s 3%, and that after the tenth year we calculate the final value of the firm based on that final growth rate of 3% and a discount rate equal to the cost of capital. The intrinsic value of the utility will be 4.5 times the intrinsic value of the technology firm. (The discrepancy will be even higher if you stop after five years or if your growth rate for the first five years remains constant.) Does that really make sense? It does if you’re taking into account the risk of investing in each company—clearly the utility is far less risky. But it makes no sense if you’re trying to find bargains. In the latter case, you want to invest in the cheapest companies, and the two companies should have the same intrinsic value. Or does the technology company really need to produce four times the amount of cash flow than the utility to make up for its greater cost of capital?
Close-to-zero denominators. In the perpetual growth method of calculating the “terminal value” of the firm, one divides the final projected free cash flow by the difference between the weighted average cost of capital (WACC) and the terminal growth rate of the firm. The terminal growth rate is usually pegged to inflation and GDP growth, while the cost of debt is usually pegged to the interest rate on BBB-rated bonds. Currently, the interest rate on these bonds, after deducting for taxes, is lower than the twenty-year average of GDP growth. Thus the final projected free cash flow of a very heavily indebted company is going to be divided by a fraction of 1%, or multiplied by more than a hundred. This problem extends to other companies with low costs of capital; often the difference is between one and three percent, thus providing a multiplier between thirty-three and a hundred. Just a fraction of a percentage change in the terminal growth rate or the WACC will result in a huge change in terminal value.
Market neutrality is unrealistic. Discounted free cash flow analysis usually pretends to be market neutral. In many methods, there’s not a single factor in the process that reflects the value that the market has currently assigned to the company. Mauboussin defends this stance ardently. But if you look at the price that acquirers actually pay for public companies, there’s a very strong correlation with market price. (I must issue a warning here. There are some major financial firms out there who only pretend to assign a “fair price” to securities based on discounted cash flow analysis. Anytime you see a fair price analysis that, over time, hews very closely to the market price, you can be sure it’s not strictly based on DCF analysis, which will usually give you results that veer very far from the market price.)
Unrealistic future projections. DCF analysis relies too much on the future and not enough on the past and present. Take, for example, the company that Mauboussin and Rappaport used as their prime example when they wrote their book: Gateway, Inc. After analyzing this company in great detail and projecting future free cash flows, their spreadsheet, dated April 2000, predicted that over the next seven years the company’s cash flow would continue to increase. But Gateway’s cash flow plunged into negative numbers in 2001 and never recovered, and the stock’s price plunged from $52 to $2.20 over those years. In most examples of discounted cash flow analysis, free cash flow follows a smooth curve, based on sales growth expectations that are unsustainable. In real life, that rarely happens. Below is a chart of ten companies whose free cash flow in 2000 was about the same as Gateway’s. I’ve contrasted Gateway’s projected free cash flow, according to Mauboussin and Rappaport’s analysis, with the actual free cash flow (in millions) of these other ten companies. The difference is clear. Free cash flow varies hugely from year to year, and never conforms to a simple exponential curve.
Solutions to DCF problems
For my own DCF analysis, I’ve tried to come up with solutions to each of these problems. How well I’ve succeeded will be up to you to judge.
Determining future free cash flows. I start with the following formula. Unlevered free cash flow (or free cash flow to the firm) is operating cash flow minus capital expenditures plus after-tax interest expense. But because one should only subtract maintenance capex, I add back a very rough estimate of growth capex, using Bruce Greenwald’s suggestion, which is the average ratio of gross plant to sales times the annual increase in sales. In many cases (Hertz being a good example), capital expenditures need to be offset by other cash flows from investing activities—Hertz’s capital expenditures consist of vehicle purchases, and its other cash flows partially offset that with vehicle sales. As for future free cash flows, there’s a weak but real correlation between future free cash flow growth and historical asset turnover, so I use a complicated formula based on the latter measure to estimate an initial growth rate.
Variability of free cash flow. I use a weighted average of unlevered free cash flow, giving more weight to recent figures than those from the distant past. Using only trailing twelve-month numbers won’t get you much consistency, and using five-year averages ignores recent changes in cash flow generation.
Applying growth rates to negative numbers. I add to the previous period’s free cash flow the greater of two numbers: the growth rate times the previous period’s free cash flow, and the growth rate times a small percentage of the company’s sales. This way a company with negative free cash flow but a positive growth rate will have a higher free cash flow number each year.
Determining the cost of capital. The cost of capital (or WACC) is the weighted average of the cost of debt and the cost of equity, weighted according to the market value of the company’s debt and equity. I have estimated the cost of debt by looking at bond ratings for the industry group to which the company belongs, which are often significantly worse than BBB. The cost of equity is notoriously difficult to estimate. The basic formula is to take a risk-free rate based on the payment of ten-year treasury bonds, add an equity risk premium, and multiply the premium by the stock’s beta. Determining the equity risk premium is a wild guessing game, and stocks have crazily variable betas if measured by conventional means. I determine the equity risk premium by using the following formula: ERP = D*(1 + G) / P + G – Rf, where D is levered free cash flow (unlevered free cash flow minus interest expense plus debt increase), G is the terminal growth rate (the average of the projected inflation rate and long-term GDP growth), P is the market value of equity, and Rf is the risk-free rate (ten-year treasury bonds). So by looking at the sum of all companies’ levered free cash flow and the total value of the market, one can arrive at a reasonable premium (by my calculation, it’s 7.22%). I then multiply that by the twenty-year beta of the industry group the stock is in, measured according to weekly returns, which is a far more stable and reasonable number than the monthly beta of an individual stock over the last five years.
Determining the terminal value. I have chosen to use the EV/EBITDA multiples method. It has some problems, but I’ve taken measures to reduce those by making extensive modifications to the method. Considering that the discount rates I use average around eight or nine percent and the terminal value is not applied until the eleventh year, the balance between the contributions of free cash flow and EBITDA to the intrinsic value is about even.
Discrepancies in cost of capital. The average cost of capital of a utility company is 4.75% and the average cost of capital of a semiconductor manufacturer is 12%, which remains a very large discrepancy. But my emphasis on EV/EBITDA multiples in my method reduces this discrepancy to a large degree, especially since the multiple for utilities averages about 10 and the multiple for semiconductors averages about 13.
Close-to-zero denominators. Since I don’t use the perpetual growth terminal value, which is where this problem really asserts itself, this isn’t a problem for me. But if you do use that, I recommend using the WACC for the entire industry group rather than for the particular stock. In addition, for the cost of debt I typically use the B bond rate rather than the BBB rate (except for certain very safe industries), so this would really only be a problem for utilities, as they have by far the lowest cost of capital.
Market neutrality is unrealistic. I use an EV/EBITDA multiple in my terminal value estimate. This multiple I base on the current multiple of all stocks, the current multiple of the stocks in the particular industry group (but only those that are over ten years old), and the historical multiple of the particular stock. Thus my intrinsic value estimate is not market neutral.
Unrealistic future projections. The key to solving this problem is to apply strict maximums and minimums to one’s initial growth projection and then to weight the average of that projection after the first year with the terminal growth number (3%) until, after five years or so, you’re simply using the latter.</t>
      </text>
    </comment>
    <comment authorId="0" ref="A141">
      <text>
        <t xml:space="preserve">Merits of Using Price-to-Dividend Ratio as a Valuation Metric
An alternative to the P/E ratio is to use a metric that accounts for cash flows, and one good option is to compute the Price to Dividend Per Share ratio, or P/DPS ratio.</t>
      </text>
    </comment>
    <comment authorId="0" ref="A143">
      <text>
        <t xml:space="preserve">Dividends per Share / Market Price per Share</t>
      </text>
    </comment>
    <comment authorId="0" ref="A148">
      <text>
        <t xml:space="preserve">EBIAT is a company’s after-tax operating income assuming there is no debt in its capital structure, i.e. the effects of interest are removed.
EBIAT
How to Calculate EBIAT
EBIAT, short for “Earnings Before Interest After Taxes”, represents a company’s profit if no debt-related tax benefits were received.
Since the impact of financing differences in capital structures is removed, comparisons among different companies is more “apples to apples”.
In practice, the EBIAT metric – also referred to as net operating profit after taxes (NOPAT) – is used to estimate a company’s operating profits once the effects of financing items, namely interest expense, are removed.
If the impact of debt is not removed, the discretionary decisions surrounding the amount of leverage among the peer set could skew the calculations, resulting in misleading findings.
Interest expense is tax-deductible, so the company of taxes paid are reduced by the so-called “interest tax shield”.
Calculating EBIAT is one of the first steps in projecting a company’s future free cash flows (FCFs) in a DCF model because it is an unlevered metric.
The metric should reflect a company’s taxed core operating income (EBIT), after eliminating the impact of non-operating gains / (losses) and debt financing (e.g. “tax shield”), i.e. normalized under the assumption that the company’s capitalization is entirely all-equity with no debt.
Learn More → EBITDA Quick Primer
EBIAT Formula
EBIAT represents the profits available to all sources of capital, i.e. both debt and equity.
Debt → Banks, Financial Institutions, Direct Lenders
Equity → Common Shareholders, Preferred Stockholders
The formula multiplies operating income (EBIT) by (1 – t), in which “t” is the company’s marginal tax rate.
EBIT is a company’s gross profit minus all operating expenses, with includes items such as depreciation, amortization, employee compensation, and overhead costs.
Moreover, while the marginal tax rate is used here, the effective tax rate (i.e. the actual tax rate paid based on historical periods), could also be used.
EBIAT = EBIT x (1 – Tax Rate %)
An alternative formula starts with net income, as shown below.
EBIAT = (Net Income + Non-Operating Losses – Non-Operating Gains + Interest Expense + Taxes) x (1 – Tax Rate %)
Step 1. Beginning with net income, we first add back non-operating losses and subtract non-operating gains.
Step 2. Next, we add back the impact of interest expense (i.e. the cost of debt financing) and taxes.
Step 3. Upon doing so, we have gone from net income up to the operating income (EBIT) line item, i.e. just as in the first formula.
Step 4. The net income metric is affected by non-core income / (losses), interest expense, and taxes – hence, we went through the process of removing the impact of those line items.
Step 5. The final step is to then multiply EBIT by (1 – tax rate).
EBIAT Calculation Example
Suppose we have two companies that share the following financials:
Revenue = $200 million
Cost of Goods Sold (COGS) = $60 million
Selling, General &amp; Administrative (SG&amp;A) = $40 million
Down to the operating income (EBIT) line, the two companies are identical.
Gross Profit = $140 million
Operating Income (EBIT) = $100 million
But the similarities end there because of a non-operating line item, interest expense.
Here, we’ll assume the two companies carry different amounts of debt on their balance sheet.
Company A (All-Equity Firm) = $0 Interest Expense
Company B (Equity-Debt Firm) = $50 million of Interest Expense
The interest tax shield subsequently reduces Company B’s pre-tax income.
Company A Pre-Tax Income = $100 million
Company B Pre-Tax Income = $50 million
The $50 million difference is caused by the interest expense, and the taxes of the two companies vary because of the tax deductibility of interest.
Given a 20% tax rate assumption, the companies pay the following taxes:
Company A Taxes Paid = $20 million
Company B Taxes Paid = $10 million
In conclusion, the taxes paid by Company A are double that of Company B, and the net incomes of the two companies are shown below.
Company A Net Income = $80 million
Company B Net Income = $40 million</t>
      </text>
    </comment>
    <comment authorId="0" ref="A149">
      <text>
        <t xml:space="preserve">= Revenue – COGS – Operating Expenses</t>
      </text>
    </comment>
    <comment authorId="0" ref="A156">
      <text>
        <t xml:space="preserve">EBITDA = NET PROFIT + INT PAYMENTS + TAXES INCURRED + DEPRECIATION + AMORTIZATION CHARGES</t>
      </text>
    </comment>
    <comment authorId="0" ref="A159">
      <text>
        <t xml:space="preserve">The EBITDA/EV multiple is a financial valuation ratio that measures a company's return on investment (ROI). The EBITDA/EV ratio may be preferred over other measures of return because it is normalized for differences between companies. Using EBITDA normalizes for differences in capital structure, taxation, and fixed asset accounting. The enterprise value (EV) also normalizes for differences in a company's capital structure.</t>
      </text>
    </comment>
    <comment authorId="0" ref="A164">
      <text>
        <t xml:space="preserve">A warning: never use enterprise value–based ratios for companies in the financial sector. For a good number of those companies, the more debt they issue, the higher their revenue.
Unlike market cap, the enterprise value takes account preferred shares, debt, and cash. It tells you what the market is currently valuing the whole business at rather than just the equity portion. This makes it a more complete measure of ‘takeover’ value.
Also, by considering debt and cash, the EV analysis favours companies with healthier balance sheets.  If a company has a large amount of cash relative to debt i.e., a healthy net cash position, then this company will be favoured over one that has a small amount of cash relative to debt.
Enterprise Value = Market Cap + Preferred Shares + Debt – Cash                                
                            = Market Cap + Preferred Shares + Net Debt</t>
      </text>
    </comment>
    <comment authorId="0" ref="A165">
      <text>
        <t xml:space="preserve">Overall, this measurement allows investors to assess a company on the same basis as that of an acquirer. As a rough calculation, enterprise value multiple serves as a proxy for how long it would take for an acquisition to earn enough to pay off its costs in years(assuming no change in EBITDA).
EntrepriseValue/EBITDA</t>
      </text>
    </comment>
    <comment authorId="0" ref="A166">
      <text>
        <t xml:space="preserve">Entity Public Float=Total Outstanding Shares−Restricted Shares−Closely Held Shares</t>
      </text>
    </comment>
    <comment authorId="0" ref="A167">
      <text>
        <t xml:space="preserve">Net Income - Preferred Dividends/
Weighted Average # of Common Shares Outstanding
EPS comes in two main varieties. TTM is a Wall Street acronym for "trailing 12 months". This number signals the company's performance over the past 12 months. The second type of EPS is found in a company's earnings release, which often provides EPS guidance.</t>
      </text>
    </comment>
    <comment authorId="0" ref="A168">
      <text>
        <t xml:space="preserve">Basic EPS = 
Net Income– Preferred Dividends
÷ Weighted Average Common OS
KEY TAKEAWAYS
Earnings per share (EPS) is a company's net profit divided by the number of common shares it has outstanding.
EPS indicates how much money a company makes for each share of its stock and is a widely used metric for estimating corporate value.
A higher EPS indicates greater value because investors will pay more for a company's shares if they think the company has higher profits relative to its share price.
EPS can be arrived at in several forms, such as excluding extraordinary items or discontinued operations, or on a diluted basis.
Like other financial metrics, earnings per share is most valuable when compared against competitor metrics, companies of the same industry, or across a period of time.</t>
      </text>
    </comment>
    <comment authorId="0" ref="A169">
      <text>
        <t xml:space="preserve">Net Income - Preferred Dividends/
Weighted Average # of Common Shares Outstanding</t>
      </text>
    </comment>
    <comment authorId="0" ref="A170">
      <text>
        <t xml:space="preserve">=
Net Earnings Over the Past Twelve Months/ 
Weighted Average #OS over past 12 months
​
(Q1EPS, Q2EPS,Q3EPS,Q4 EPS)/4)/  
"trailing" moreover implies a value calculated on a rolling basis.
KEY TAKEAWAYS
Trailing EPS typically refers to a company's earnings per share as a rolling total over the previous four quarters.
EPS is a widely-used measure of a company's profitability.
Trailing EPS shows what happened in the past, but does not forecast what may happen in the future.
To forecast future earnings, traders and analysts apply models to extrapolate prior EPS figures, as well as look at earnings forecasts.
Net Earnings Past Twelve Months:
ABC Corp reported the following net earnings for each quarter over the past twelve months:
Q1: $2 million
Q2: $3 million
Q3: $4 million
Q4: $2.5 million
The total net earnings over the past twelve months is 
2
+
3
+
4
+
2.5
=
11.5
2+3+4+2.5=11.5 million dollars.
Weighted Average Number of Shares Outstanding Over the Past Twelve Months:
The number of shares outstanding at the end of each quarter is as follows:
Q1: 5 million shares
Q2: 5.5 million shares
Q3: 6 million shares
Q4: 6.5 million shares
The weighted average number of shares outstanding is calculated as:
(
5
×
3
+
5.5
×
3
+
6
×
3
+
6.5
×
3
)
/
12
=
5.875
(5×3+5.5×3+6×3+6.5×3)/12=5.875 million shares.
EPS TTM Calculation:
Now, we can use the formula for EPS TTM:
EPS TTM
=
Net Earnings Over the Past Twelve Months
Weighted Average Number of Shares Outstanding Over the Past Twelve Months
EPS TTM= 
Weighted Average Number of Shares Outstanding Over the Past Twelve Months
Net Earnings Over the Past Twelve Months
​
EPS TTM
=
11.5
million dollars
5.875
million shares
≈
1.96
dollars per share
EPS TTM= 
5.875million shares
11.5million dollars
​
 ≈1.96dollars per share
So, in this example, ABC Corporation's Earnings Per Share TTM is approximately $1.96. This means that, on average, the company generated a profit of $1.96 for each outstanding share over the trailing twelve months.</t>
      </text>
    </comment>
    <comment authorId="0" ref="A171">
      <text>
        <t xml:space="preserve">EPS Growth (%) = (Ending EPS  ÷ Beginning EPS) – 1
s used to calculate the annual growth of the company for a particular period and according to which value at the beginning is subtracted from the value at the end and the resultant is then divided by the value at the beginning. This formula is applied to multiple metric such as GDP, turnover, and so on.</t>
      </text>
    </comment>
    <comment authorId="0" ref="A172">
      <text>
        <t xml:space="preserve"> The ownership interest in a company. 
It represents the residual interest of the owners (shareholders) in the assets of the company after deducting liabilities. Equity is often broken down into different components, such as common equity and preferred equity. Common equity includes common stock and retained earnings.
Equity = Assets - Liabilities
Equity = Capital Stock + Share Premium + Preferred Stock + Retained Earnings + Accumulated Other Comprehensive Income - Treasury Stock</t>
      </text>
    </comment>
    <comment authorId="0" ref="A173">
      <text>
        <t xml:space="preserve">= Total Assets/SE</t>
      </text>
    </comment>
    <comment authorId="0" ref="A174">
      <text>
        <t xml:space="preserve">Represents the excess returns over the risk-free rate that investors expect for taking on the incremental risks connected to the equities market.
The difference between the returns from the stock market and the yields on risk-free assets with comparable time horizons is the equity risk premium, which compensates investors for the added risk.</t>
      </text>
    </comment>
    <comment authorId="0" ref="A175">
      <text>
        <t xml:space="preserve">Equity risk premium refers to an excess return that investing in the stock market provides over a risk-free rate. This excess return compensates investors for taking on the relatively higher risk of equity investing. The size of the premium varies and depends on the level of risk in a particular portfolio. It also changes over time as market risk fluctuates.
KEY TAKEAWAYS
An equity risk premium is an excess return earned by an investor when they invest in the stock market over a risk-free rate.
This return compensates investors for taking on the higher risk of equity investing.
Determining an equity risk premium is theoretical because there's no way to tell how well equities or the equity market will perform in the future.
Calculating an equity risk premium requires using historical rates of return.
Understanding Equity Risk Premium
Stocks are generally considered high-risk investments. Investing in the stock market comes with certain risks, but it also has the potential for big rewards. So, as a rule, investors are compensated with higher premiums when they invest in the stock market. Whatever return you earn above a risk-free investment such as a U.S. Treasury bill (T-bill) or a bond is called an equity risk premium.
An equity risk premium is based on the idea of the risk-reward tradeoff. It is a forward-looking figure and, as such, the premium is theoretical. But there's no real way to tell just how much an investor will make since no one can actually say how well equities or the equity market will perform in the future.
Instead, an equity risk premium is an estimation as a backward-looking metric. It observes the stock market and government bond performance over a defined period of time and uses that historical performance to the potential for future returns. The estimates vary wildly depending on the time frame and method of calculation.
 Because equity risk premiums require the use of historical returns, they aren't an exact science and, therefore, aren't completely accurate.
How to Calculate Equity Risk Premium
To calculate the equity risk premium, we can begin with the capital asset pricing model (CAPM), which is usually written as Ra = Rf + βa (Rm - Rf), where:
Ra = expected return on investment in a or an equity investment of some kind
Rf = risk-free rate of return
βa = beta of a
Rm = expected return of the market
So, the equation for equity risk premium is a simple reworking of the CAPM which can be written as Equity Risk Premium = Ra - Rf = βa (Rm - Rf)
If we are simply talking about the stock market (a = m), then Ra = Rm. The beta coefficient is a measure of a stock's volatility—or risk—versus that of the market. The market's volatility is conventionally set to 1, so if a = m, then βa = βm = 1. Rm - Rf is known as the market premium and Ra - Rf is the risk premium. If a is an equity investment, then Ra - Rf is the equity risk premium. If a = m, then the market premium and the equity risk premium are the same.
Equity Risk Premium in Reality
The equity risk premium isn't a generalizable concept even though certain markets in certain time periods may display a considerable equity risk premium. Economists argue that too much focus on specific cases has made a statistical peculiarity seem like an economic law. Several stock exchanges have gone bust over the years, so a focus on the historically exceptional U.S. market may distort the picture. This focus is known as survivorship bias.
1
The majority of economists agree, though, that the concept of an equity risk premium is valid. Over the long term, markets compensate investors more for taking on the greater risk of investing in stocks. The global equity risk premium historical average is 4.6%. It is better in some countries than others, e.g., 6.43% in Australia and 6.38% in the U.S. The historical risk-free rate has been lower than that for a little less than half of the last 60 years.
2
St. Louis Fed, FRED. "Market Yield on U.S. Treasuries at 10-Year Constant Maturity."
3
Special Considerations
The equation noted above summarizes the theory behind the equity risk premium, but it doesn't account for all possible scenarios. The calculation is fairly straightforward if you plug in historical rates of return and use them to estimate future rates. But how do you estimate the expected rate of return if you want to make a forward-looking statement?
One method is to use dividends to estimate long-term growth, using a reworking of the Gordon Growth Model: k = D / P + g
where:
k = expected return expressed as a percentage (this could be calculated for Ra or Rm)
D = dividends per share
P = price per share
g = annual growth in dividends expressed as a percentage
Another is to use growth in earnings, rather than growth in dividends. In this model, the expected return is equal to the earnings yield, the reciprocal of the price-to-earnings ratio (P/E ratio): k = E / P
where:
k = expected return
E = trailing twelve-month earnings per share (EPS)
P = price per share
The drawback of both of these models is that they do not account for valuation. That is, they assume the stocks' prices are never correct. Since we can observe stock market booms and busts in the past, this drawback is not insignificant. 
Finally, the risk-free rate of return is usually calculated using U.S. government bonds, since they have a negligible chance of default. This can mean T-bills or T-bonds. To arrive at a real rate of return, that is, adjusted for inflation, it is easiest to use Treasury inflation-protected securities (TIPS), as these already account for inflation. It is also important to note that none of these equations account for tax rates, which can dramatically alter returns.
What Is the Equity Risk Premium in 2023?
The equity risk premium in the U.S. based on U.S. exchanges as of 2023 is 5.7%. This is the market risk premium investors will achieve by investing in the stock markets. The level has hovered between 5.3% and 5.7% since 2011.
4
Can Equity Risk Premium Be Negative?
Yes, equity risk premium can be negative. This occurs when the returns expected from stock market investments are below the risk-free rate. In this scenario, an investor would earn more from a risk-free asset than they would by investing in the stock market.
What Does a High Equity Risk Premium Mean?
The higher the equity risk premium, the more you will earn from investing in stocks than you would by investing in risk-free assets. This makes investing in stocks more enticing; however, since the equity risk premium is based on historical data, the returns are not guaranteed.
The Bottom Line
Investors take risks to earn the highest possible return within their risk tolerances. Calculating the equity risk premium can indicate to investors how much more return they'll achieve than if they opted for a risk-free rate. However, this is not a true mechanism to gauge potential returns as the calculation relies on historical data, which is never indicative of future performance.
he Equity Risk Premium (ERP) represents the excess returns over the risk-free rate that investors expect for taking on the incremental risks connected to the equities market.
The difference between the returns from the stock market and the yields on risk-free assets with comparable time horizons is the equity risk premium, which compensates investors for the added risk.
Equity Risk Premium (ERP)
How to Calculate Equity Risk Premium?
The equity risk premium (or the “market risk premium”) is equal to the difference between the rate of return received from riskier equity investments (e.g. S&amp;P 500) and the return of risk-free securities.
The risk-free rate refers to the implied yield on a risk-free investment, with the standard proxy being the 10-year U.S. Treasury note.
The bond issuances by the U.S. government carry “zero risk” since the government could print money if deemed appropriate, so it’d be improbable for the U.S. government to default on its obligations.
No rational investor would accept greater risk in the form of a potential loss of invested capital without the possibility of receiving a higher rate of return – i.e. there must be an economic incentive for investors.
If the potential compensation is inadequate for investors, the risk of owning equities rather than government bonds is not justified.
Unlike a bond with a fixed interest payment schedule and the date of principal repayment, equity securities come with substantially more uncertainty regarding the investment outcome, which is a function of the free cash flow generation and profitability of the underlying company.
Equity Risk Premium Formula
The formula for calculating the equity risk premium is as follows.
Equity Risk Premium (ERP) = Expected Market Return (rm) – Risk Free Rate (rf)
Market Risk Premium Calculation Example
Since the projected market return minus the yield on risk-free assets results in the equity risk premium, we can complete a quick calculation example.
Let’s suppose the estimated market return is 8%, while the risk-free rate is 2%. The risk premium is 6% (i.e. 8% – 2%), representing the investor’s expected earnings from the investment in excess of the risk-free rate (rf).
Market Risk Premium vs. Expected Return: What is the Difference?
In general, a higher equity risk premium corresponds to higher risk in the markets. Therefore, investors should ensure sufficient returns are obtainable from their portfolio of equities.
If the prevailing market valuations remain at the same (or higher) level despite falling equity risk premiums, this could indicate a correction in the stock market could soon occur (i.e. “market bubble”).
Therefore, the equity risk premium tends to increase if the risks and uncertainty in the outlook of the stock market increase (and vice versa).
What is the Risk Premium Component in CAPM?
The equity risk premium (ERP) is an essential component of the capital asset pricing model (CAPM), which calculates the cost of equity – i.e. the cost of capital and the required rate of return for equity shareholders.
The core concept behind CAPM is to balance the relationship between:
Capital-at-Risk (i.e. Potential Losses)
Expected Returns
Here, the proxy for systematic risk (i.e. undiversifiable risk) is the concept of beta, whereas the equity risk premium measures the potential returns, taking into account the risk-free rate.
If plausible, investors seek to obtain the highest potential returns combined with the lowest degree of risk – but the more practical objective is to ensure that the expected returns are reasonable.
Historical Risk-Premium Factors
The U.S. stock market has averaged a 10-year return of 9.2%, according to research conducted by Goldman Sachs, with a 13.6% annual return in the trailing ten years from 2020 pre-COVID (Source: Capital IQ).
In the same time horizon between 2010 and 2020, the 10-year Treasury note remained in the 2% to 3% range.
There are numerous factors that can impact equity risk premiums, such as:
Macroeconomic Volatility
Geopolitical Risks
Governmental and Political Risk
Catastrophic Risk and Disasters
Low Liquidity
S&amp;P U.S. Equity Risk Premium Index (Historical Chart)
S&amp;P Equity Risk Premium
10-Year Historical U.S. Equity Risk Premium (Source: S&amp;P Global)
Country Risk Premium (CRP)
When calculating the cost of equity under the CAPM approach, one common adjustment is called the country risk premium (CRP), which encompasses the same factors as listed in the previous section.
As one would reasonably expect, political instability, economic risks (e.g. recessions, inflation), default risk, and currency fluctuations impact countries unevenly.
For instance, the issue of hyperinflation in Venezuela, which began in 2016, presents a significant country-specific risk that causes instability in all aspects of the country, whether political, socioeconomic, or financial.
With that said, equities in emerging markets come with higher risks, which means higher potential returns to compensate investors.
Cost of Equity = Risk-Free Rate + (Beta× ERP) + Country Risk Premium
Hence, many institutional investment firms nowadays have raised foreign funds to pursue investments outside developed countries.
While part of the reason is diversification, another critical consideration is the limited number of investment opportunities in developed countries that meet their minimum returns hurdle.
Considering that foreign, less developed countries typically have fewer capital providers, outside firms often hold more negotiating leverage – directly leading to more compensation.
Learn More → ERP Determinants, Estimation, and Implications (Damodaran)
Equity Risk Premium Calculator
We’ll now move to a modeling exercise, which you can access by filling out the form below.
dl
First Name *
Email *
Submit
Equity Risk Premium Calculation Example
In the first section of our modeling tutorial, we’ll calculate the equity risk premium.
The two required inputs are listed below:
Estimated Market Return
Risk-Free Rate
Here, we’ll calculate the ERP for two companies, one based in a developed country while the other is in an emerging market.
Developed Country – Company Assumptions
Risk-Free Rate (rf) = 2.0%
Expected Market Return (rm) = 7.5%
Emerging Country – Company Assumptions
Risk-Free Rate (rf) = 6.5%
Expected Market Return (rm) = 15%
For both companies, we’ll subtract the risk-free rate from the expected market return to get the following figures for our equity risk premium:
Equity Risk Premiums
Developed Market – Company: 5.5%
Emerging Market – Company: 8.5%
Countries with economies classified as “emerging” markets are less developed economically, so there’s more room for companies to come in and capture market share, but there are also more risks (and required expenditures).
The 5.5% and 8.5% ERP represents the excess return above the risk-free applicable to the appropriate country.
Note that the correct risk-free rate is for the country the company in question does business in, so using the 10-year Treasury note for a company in Japan is incorrect – as a general rule of thumb, the currencies should match.
As affirmed by our example, equity risk premiums tend to be higher in emerging markets than developed markets.
Country Risk Premium and Cost of Equity Calculation
In the next and final part of our modeling exercise, we’ll see how country-specific risks affect the cost of equity calculation under the CAPM approach.
For the company in a developed market (e.g. U.S.), there is no need for a country risk premium (CRP) adjustment.
However, a CRP adjustment would be appropriate for the company in an emerging market (e.g. Argentina, Brazil, Russia).
Here, we’ll assume the 4.0% CRP adjustment is added to the cost of equity calculation, as shown below.
Cost of Equity with CRP
From our completed model, the calculated cost of equity is 6.4% and 22.4% in developed and emerging market companies, respectively.</t>
      </text>
    </comment>
    <comment authorId="0" ref="A177">
      <text>
        <t xml:space="preserve">Here you use analyst estimates for the current fiscal year in place of TTM GAAP values. But if those aren’t available, use the TTM values. IsNA (FCFEstCY, FCFTTM) / MktCap</t>
      </text>
    </comment>
    <comment authorId="0" ref="A178">
      <text>
        <t xml:space="preserve">Here you use the current fiscal year’s estimate instead of the TTM GAAP value when it’s available. (IsNA (FCFEstCY, FCFTTM) + IntExpTTM * (1 - TaxRate%TTMInd/100)) / EV</t>
      </text>
    </comment>
    <comment authorId="0" ref="A180">
      <text>
        <t xml:space="preserve">Enterprise Value/Free Cash Flow
</t>
      </text>
    </comment>
    <comment authorId="0" ref="A181">
      <text>
        <t xml:space="preserve">EV/NTM Revenue is a financial metric that compares a company's Enterprise Value (EV) to its projected revenue for the Next Twelve Months (NTM)</t>
      </text>
    </comment>
    <comment authorId="0" ref="A182">
      <text>
        <t xml:space="preserve">al:"Net excess cash" typically refers to the amount of cash a company holds beyond what is required for its immediate operational needs and planned investments. It represents the surplus cash that a company has available after funding its ongoing operations, capital expenditures, and other obligations.
This excess cash can arise from various sources, such as strong operating cash flows, successful asset sales, or prudent financial management practices like effective cost control and working capital management.
Companies may choose to hold excess cash for several reasons:
Financial flexibility: Having a cushion of excess cash provides financial flexibility, allowing the company to respond to unexpected expenses, economic downturns, or strategic opportunities without relying heavily on external financing.
Investment opportunities: Excess cash can be used to pursue growth opportunities, such as strategic acquisitions, new product development, or expansion into new markets, without needing to raise additional capital or take on debt.
Risk management: Maintaining a comfortable level of cash reserves can help mitigate liquidity risk and ensure the company's ability to meet its short-term obligations, even during periods of financial instability or market volatility.
Shareholder returns: Companies may return excess cash to shareholders through dividends, share buybacks, or special dividends, enhancing shareholder value and potentially attracting investors.
It's worth noting that holding excessive amounts of cash can also have drawbacks, such as earning low returns compared to alternative investments or signaling to investors that the company lacks profitable investment opportunities. Therefore, companies often strive to strike a balance between maintaining an appropriate level of liquidity and deploying excess cash effectively to maximize shareholder value.
----
https://money.stackexchange.com/questions/10544/how-do-you-determine-excess-cash-for-enterprise-value-calculations-from-a-bala
	-Brandon Hardison</t>
      </text>
    </comment>
    <comment authorId="0" ref="A184">
      <text>
        <t xml:space="preserve">Excess cash is the amount of cash in excess of what the company needs to run its business, in other words cash that can be paid out to investors without harming the business.
If Total Current Assets are greater than (2 x Total Current Liabilities), then Excess Cash is the lower of:
Cash and Short Term Investments OR
Total Current Assets - (2 * Total Current Liabilities).
If Current Assets are not greater than (2 x Total Current Liabilities) then Excess cash is zero.</t>
      </text>
    </comment>
    <comment authorId="0" ref="A186">
      <text>
        <t xml:space="preserve">GMT: A substantial number of companies use working capital as a major source of financing, including payables. This can be as simple as delaying payment, but often involves issuing bills payable (such as bank acceptance notes), or setting up a supply-chain finance facility with a bank or other financial institution. While a valid source of funding if used in moderation, a major attraction for companies is that it typically flatters the companies’ financials, boosting operating cash flow and reducing leverage. By understating net debt, enterprise value is also reduced, lowering valuation multiples based on it. We flag companies where excess payables (&gt;90 days) exceed 10% of equity as it implies that leverage is materially higher than reported.</t>
      </text>
    </comment>
    <comment authorId="0" ref="A187">
      <text>
        <t xml:space="preserve">EXPR:
ITEM 11. EXECUTIVE COMPENSATION.
The information required by this item will appear in our Proxy Statement for our 2023 Annual Meeting of Stockholders under the captions “Corporate Governance—Board Leadership &amp; Structure,” “Executive Compensation,” and the information therein is incorporated herein by reference.</t>
      </text>
    </comment>
    <comment authorId="0" ref="A188">
      <text>
        <t xml:space="preserve">involves applying a multiple to a financial metric(such as EBITDA, Earnings or Revenue) in Terminal Year
TV = Metric(Terminal YEAr) * Exit Multiple
Exit Multiple is a market-derived multiple</t>
      </text>
    </comment>
    <comment authorId="0" ref="A189">
      <text>
        <t xml:space="preserve">Investors compare all day: stocks versus bonds, active versus passive, value versus growth, stock A versus stock B, and now versus later. Humans are quick to compare but not very good at it. Perhaps the most important comparison an investor must make, and one that distinguishes average from great investors, is between fundamentals and expectations. Fundamentals capture a sense of a company’s future financial performance. . . . Expectations reflect the financial performance implied by the stock price. Making money in markets requires having a point of view that is different than what the current price suggests. Michael Steinhardt called this a “variant perception.” Most investors fail to distinguish between fundamentals and expectations. . . . But great investors always distinguish between the two.</t>
      </text>
    </comment>
    <comment authorId="0" ref="A190">
      <text>
        <t xml:space="preserve">Net present value is the present value of future cash flows and is at the heart of discounted cash flow analysis. It is widely used throughout the financial industry, by appraisers, accountants, bankers, analysts, and many others. But a variation of it is widely used as well, and it is variously labeled “expected net present value” and “risk-adjusted net present value.” Basically, this method takes the best- and worst-case scenarios and provides a range of net present values. One can weight these probabilistically to come up with one net present value, or one can accept the entire range as possibilities. The latter is the approach Graham and Dodd were clearly in favor of. As long as a security is within that range, it can be said to be fairly priced.</t>
      </text>
    </comment>
    <comment authorId="0" ref="A192">
      <text>
        <t xml:space="preserve">Exposure at Default (EAD) is the predicted amount of loss a bank may face in the event of, and at the time of, the borrower’s default. 
The loss is dependent upon the amount to which the bank was exposed to the borrower at the time of default, as the default occurs at an unknown future date. It is obtained by adding the risk already drawn on the operation to a percentage of undrawn risk.</t>
      </text>
    </comment>
    <comment authorId="0" ref="A194">
      <text>
        <t xml:space="preserve">Another reason that pattern recognition fails is that investors often extrapolate
Financial economists suggest
that extrapolation plays an important role in asset pricing, including explaining the momentum factor and the
inflation and deflation of bubbles.48 It also offers insight into why investors anticipate high returns after the
market’s returns have been high, and low returns after the market’s returns have been low.</t>
      </text>
    </comment>
    <comment authorId="0" ref="A195">
      <text>
        <t xml:space="preserve">Our Fake Cash Flow Fraud model aims to highlight companies which are faking a significant portion of their sales and profits, hiding the evidence as a fabricated asset on the balance sheet, such as receivables, prepayments, deposits or even cash. It was originally designed to highlight Chinese frauds but has successfully identified larger non-Chinese frauds such as Wirecard, Folli Follie and Satyam. The model is a discrete score between 0-4 which reflects four criteria. It is triggered if a company scores three or four points. Investors should be particularly concerned if our Excess Capital Raising Model is concurrently triggered as it raises the risk that cash has been overstated. Around 8% of companies globally trigger both models. The next step is to conduct an in-depth peer group comparison.</t>
      </text>
    </comment>
    <comment authorId="0" ref="A197">
      <text>
        <t xml:space="preserve">My idea was: why not use this correlation as the basis of a value ratio? If ROIC – WACC is proportional to EV / IC, then EV is proportional to IC × (ROIC – WACC). And since ROIC = NOPAT / IC (where NOPAT is net operating profit after taxes), then EV is proportional to NOPAT – WACC × IC.
If, instead of NOPAT, we use free cash flow, then a good value ratio would be FCF – WACC × IC. So I tried that. The results were very encouraging, and were, in fact, significantly better than using NOPAT. That’s why I deducted the costs of capital and equity in formulas number 4 and 7 above.</t>
      </text>
    </comment>
    <comment authorId="0" ref="A198">
      <text>
        <t xml:space="preserve">Either of the above minus cost of capital. Here you calculate the weighted average cost of capital as follows. Take the cost of equity (as outlined in #4 above) and multiply that by the market cap; add to that the cost of debt, which is the average yearly interest expense; then divide that sum by the sum of market cap and debt. This is the WACC, which you should multiply by invested capital. Invested capital is total assets minus cash and equivalents and minus non-debt current liabilities. (FCFTTM + IntExpTTM * (1 - TaxRate%TTMInd/100) - (((Close (0, ##UST10Yr) / 100 + (0.1 - Close(0, ##UST10Yr) / 100) * Beta3Y) * MktCap + IntExp5YAvg) / (MktCap + DbtTotQ)) * (AstTotQ - CashEquivQ - IsNA (LiabCurQ - DbtSTQ, 0))) / EV</t>
      </text>
    </comment>
    <comment authorId="0" ref="A199">
      <text>
        <t xml:space="preserve">DAmoord
dordan 
</t>
      </text>
    </comment>
    <comment authorId="0" ref="A201">
      <text>
        <t xml:space="preserve">Types
Two major types comprise to make net fixed assets of an organization. Let us understand them with the help of the discussion below.
#1 – Tangible Assets
Tangible assets
 have a physical presence and can be touched, such as land and building, plant and machinery, vehicles, etc. Generally, it is easier to value tangible assets than intangible assets. This is because tangible assets are subject to depreciation, which reduces the asset’s value over time.
#2 – Intangible Assets
Intangible Assets
 are assets with no physical presence and cannot be touched. These include goodwill
, trademarks, patents, software, licenses, other forms of intellectual property, etc. Amortization happens in the case of intangible assets
, which gradually write off the asset’s initial cost.
Fixed assets are assets that are held for the long term and are not expected to be converted into cash in a short period of time. Plant and machinery, land and buildings, furniture, computers,
Fixed assets are used for business operations to generate income and are held for the long term. It is not expected to be converted into cash in the short term. Thus, these assets are not held for immediate resale and are intended to benefit the organization for more than one reporting period
. Examples include plant and machinery, land and building, furniture, computer, copyright, and vehicles.</t>
      </text>
    </comment>
    <comment authorId="0" ref="A202">
      <text>
        <t xml:space="preserve">Floating Rate Notes (FRNs) are debt securities or bonds with interest rates that are not fixed but instead fluctuate or "float" based on changes in an underlying benchmark interest rate or reference rate. The interest payments on FRNs are typically reset periodically, providing investors with a variable interest income. FRNs are also known as floaters or variable rate notes.
Key features of Floating Rate Notes include:
Variable Interest Rate:
The interest rate on FRNs is tied to a specified benchmark or reference rate. Common benchmarks include LIBOR (London Interbank Offered Rate), the U.S. Treasury bill rate, or other interbank lending rates. The interest rate is usually expressed as the benchmark rate plus a spread.
Interest Rate Reset Periods:
FRNs have specific periods, known as reset periods, during which the interest rate is adjusted based on changes in the benchmark rate. The reset frequency can vary, but it is commonly every three or six months.
Coupon Formula:
The coupon or interest payment for each period is determined by applying a formula that incorporates the benchmark rate and the predetermined spread. The formula is specified in the bond's terms.
Price Stability in Changing Interest Rate Environments:
The variable interest feature of FRNs makes them attractive to investors in changing interest rate environments. When interest rates rise, the coupon payments on FRNs increase, providing some protection against interest rate risk.
Maturity Date:
Like other bonds, FRNs have a maturity date at which the principal is repaid to the bondholders. The maturity period can vary, ranging from short-term to long-term.
Issuers:
FRNs can be issued by various entities, including governments, corporations, and financial institutions. Government-issued FRNs are often referred to as Treasury Floaters.
Liquidity:
FRNs are generally considered more liquid than fixed-rate bonds in fluctuating interest rate environments, as their interest payments adjust to market conditions.
Credit Risk:
The credit risk associated with FRNs depends on the issuer. Government-issued FRNs are considered low-risk, while corporate FRNs carry the credit risk of the issuing corporation.
Investors considering FRNs should carefully evaluate the terms of the notes, including the benchmark rate, spread, and reset frequency. While FRNs offer some protection against interest rate risk, they still carry risks related to credit quality, market conditions, and the performance of the benchmark rate.</t>
      </text>
    </comment>
    <comment authorId="0" ref="A203">
      <text>
        <t xml:space="preserve">Free Cash Flow
Free Cash Flow = Cash From Operations + Int(1 – t) – CAPEX                         
= NOPAT + Depreciation – Change in Net Working Capital – CAPEX
Free Cash Flow Yield = Free Cash Flow/Enterprise Value
Note we are referring to the trailing 12-month free cash flow here.
----
https://aswathdamodaran.blogspot.com/2022/10/earnings-and-cash-flows-primer-on-free.html
https://thesovereigninvestor.net/free-cash-flow-yield-stock-screener/
	-Brandon Hardison</t>
      </text>
    </comment>
    <comment authorId="0" ref="A204">
      <text>
        <t xml:space="preserve">Free Cash Flow to Equity</t>
      </text>
    </comment>
    <comment authorId="0" ref="A205">
      <text>
        <t xml:space="preserve">Free Cash Flow to Firms
FCFF can also be calculated from EBIT or EBITDA:
FCFF = EBIT(1 – Tax rate) + Dep – FCInv – WCInv.
FCFF = EBITDA(1 – Tax rate) + Dep(Tax rate) – FCInv – WCInv.
</t>
      </text>
    </comment>
    <comment authorId="0" ref="A206">
      <text>
        <t xml:space="preserve">Free Cash Flow = Cash From Operations + Int(1 – t) – CAPEX                         
= NOPAT + Depreciation – Change in Net Working Capital – CAPEX
Free Cash Flow Yield = Free Cash Flow/Enterprise Value
Note we are referring to the trailing 12-month free cash flow here.
Free cash flow yield is simply free cash flow divided by market cap, or free cash flow per share divided by price. But there are a number of variations that work equally well or better, and they’re all worth discussing.
Measuring free cash flow. The standard measure is operating cash flow minus capital expenditures. (In P123 language, that’s simply FCF.) But there are several good alternatives. Many, including Warren Buffet, maintain that you should only subtract the capital expenditures spent on maintenance, not growth-related capital expenditures. Most companies don’t separate out these two, so it takes some digging—and estimation—to get to the right number. Others go to the opposite extreme and say that you should subtract not only capital expenditures but all other investing-related cash flow, which includes acquisitions. (In P123 language, that’s OperCashFl + CashFrInvest.) Complicating this is that many companies will list major asset purchases as capital expenditures, yet when they sell those same assets they don’t deduct them from capital expenditures but instead list them as other items in the investing portion of the cash flow statement. Yet another way to measure free cash flow is EBITDA (or EBIT) minus capital expenditures (Michael Mauboussin favors a variation of this method; in P123 language, that’s EBIT - CapEx or EBITDA - CapEx). This measure cannot be used with market cap or price, and must be used instead with enterprise value. Many others believe that you should deduct not only capital expenditures but also dividends paid, since that is a better measure of what’s left over to fund a company’s growth. (In P123 language that’s NetFCF.) Lastly, as I stated above, you have a wide choice between estimates and GAAP figures over various time periods. Taken all together, there are more than twenty different ways to measure free cash flow. I don’t have any strong preference between them, and find them all quite valuable measures. But below I’ll tell you which specific measures performed the best. (There is some debate over whether free cash flow ratios are effective for companies in the financial sector. From my research, they definitely are, and sometimes will function even better than earnings yield.)
Market cap or EV. It’s generally a little more useful, in my opinion and experience, to compare free cash flow to enterprise value than to compare it to price or market cap. But in order to do so, you have to add back the company’s interest expense. (If you’re using EBITDA or EBIT minus capital expenditures, you don’t have to worry about this because these are pre–interest expense numbers.) Because free cash flow is an after-tax measure, you only want to add back interest expense after taxes, or interest expense times one minus the company’s tax rate (or the industry’s tax rate, or some measure of the effective tax rate of the country’s companies, depending on your preference). (My preferred measure, in P123 language, is IntExpA * (1 - TaxRate%TTMInd/100)). And, once again, never use EV-based ratios for companies in the financial sector.
The Best Variations of Free Cash Flow Yield
Below are the variations of free cash flow yield that performed the best in my tests. I’m listing them from the simplest to the most complicated, with the market-cap-based ratios first, followed by the enterprise-value-based ratios.
Free cash flow yield. This is simply free cash flow divided by market cap, using TTM values. FCFTTM / MktCap
Estimated free cash flow yield. Here you use analyst estimates for the current fiscal year in place of TTM GAAP values. But if those aren’t available, use the TTM values. IsNA (FCFEstCY, FCFTTM) / MktCap
Net free cash flow yield. Here you subtract the dividends paid from the TTM free cash flow. NetFCFTTM / MktCap
Net free cash flow yield minus equity costs. Here you take the net free cash flow and subtract the cost of equity times the invested equity. There are a lot of different ways to measure cost of equity. The simplest is the risk-free rate plus the company’s beta times an equity risk premium. (I use the ten-year treasury yield as the risk-free rate and 10% minus that yield as the equity risk premium.) A much more complicated method is the subject of another article I wrote. By “invested equity” I mean book value less cash and equivalents. (NetFCFTTM - (Close (0, ##UST10Yr) / 100 + (0.1 - Close(0, ##UST10Yr) / 100) * Beta3Y) * Max (0, AstTotQ - IsNA (CashEquivQ, 0) - IsNA (LiabTotQ, DbtTotQ))) / MktCap
Unlevered free cash flow to enterprise value. Unlevered free cash flow is free cash flow plus the taxable portion of interest expense. I use TTM GAAP values. Enterprise value is market cap plus total debt minus cash and equivalents. (FCFTTM + IntExpTTM * (1 - TaxRate%TTMInd/100)) / EV
Estimated unlevered free cash flow to enterprise value. Here you use the current fiscal year’s estimate instead of the TTM GAAP value when it’s available. (IsNA (FCFEstCY, FCFTTM) + IntExpTTM * (1 - TaxRate%TTMInd/100)) / EV
Either of the above minus cost of capital. Here you calculate the weighted average cost of capital as follows. Take the cost of equity (as outlined in #4 above) and multiply that by the market cap; add to that the cost of debt, which is the average yearly interest expense; then divide that sum by the sum of market cap and debt. This is the WACC, which you should multiply by invested capital. Invested capital is total assets minus cash and equivalents and minus non-debt current liabilities. (FCFTTM + IntExpTTM * (1 - TaxRate%TTMInd/100) - (((Close (0, ##UST10Yr) / 100 + (0.1 - Close(0, ##UST10Yr) / 100) * Beta3Y) * MktCap + IntExp5YAvg) / (MktCap + DbtTotQ)) * (AstTotQ - CashEquivQ - IsNA (LiabCurQ - DbtSTQ, 0))) / EV</t>
      </text>
    </comment>
    <comment authorId="0" ref="A207">
      <text>
        <t xml:space="preserve">Note we are referring to the trailing 12-month free cash flow here and using Enterprise Value instead of Market Cap
Free Cash Flow Yield = Free Cash Flow/Enterprise Value
Free Cash Flow = Cash From Operations + Int(1 – t) – CAPEX                         
= NOPAT + Depreciation – Change in Net Working Capital – CAPEX
Original version is FCF/MC using TTM values. 
FCFTTM / MktCap
----
There are generally two approaches you can take: a systematic or discretionary approach.
(FCFTTM + Int Exp TTM) *
(1 –TaxRate%TTMInd))/EV) &gt; 90
&gt;90decile or top 10%
https://thesovereigninvestor.net/free-cash-flow-yield-stock-screener/
the backtests above were based on the 10% of stocks with the highest free cash flow yield
For example, here’s the same free cash flow yield strategy with 4-week rebalancing and 0.25% transaction costs, starting in 1999.
And here’s a backtest ranking by decile on the same factor:
	-Brandon Hardison</t>
      </text>
    </comment>
    <comment authorId="0" ref="A208">
      <text>
        <t xml:space="preserve">Unlevered free cash flow (UFCF) is a company's cash flow before taking interest payments into account. Unlevered free cash flow can be reported in a company's financial statements or calculated using financial statements by analysts.
Unlevered free cash flow shows how much cash is available to the firm before taking financial obligations into account.
UFCF can be contrasted with levered cash flow (LFCF), which is the money left over after all a firm's bills are paid.
KEY TAKEAWAYS
Unlevered free cash flow (UFCF) is the amount of available cash a firm has before accounting for its financial obligations.
Free cash flow (FCF), on the other hand, is the money a company has left over after paying its operating expenses and capital expenditures.
UFCF is of interest to investors because it indicates how much cash a business has to expand.
UFCF can be contrasted with levered free cash flow which does take into account financial obligations.
UFCF is preferred when undertaking discounted cash flow (DCF) analysis.</t>
      </text>
    </comment>
    <comment authorId="0" ref="A209">
      <text>
        <t xml:space="preserve">A friendly takeover is the act of a target company's management and board of directors agreeing to be absorbed by an acquiring company.
KEY TAKEAWAYS
A friendly takeover is a scenario in which a target company is willingly acquired by another company.
Friendly takeovers are subject to approval by the target company's shareholders, who generally greenlight deals only if they believe the price per share offer is reasonable.
Friendly takeover deals must achieve regulatory approval by the U.S. Department of Justice (DOJ).
Friendly takeovers stand in stark contrast to hostile takeovers, where the company being acquired does not approve of the buyout and often fights against the acquisition.
Understanding a Friendly Takeover
A friendly takeover is typically subject to approval by both the target company’s shareholders and the U.S. Department of Justice (DOJ). In situations where the DOJ fails to grant approval for a friendly takeover, it's typically because the deal violates antitrust (anti-monopoly) laws.
In a friendly takeover, a public offer of stock or cash is made by the acquiring firm. The board of the target firm will publicly approve the buyout terms, which subsequently must be greenlit by shareholders and regulators, in order to continue moving forward. Friendly takeovers stand in stark contrast to hostile takeovers, where the company being acquired does not approve of the buyout and often fights against the acquisition.
 Takeovers initially seen as friendly may turn hostile when a target company’s board and shareholders reject the buyout terms.
In a majority of cases, if the board approves a buyout offer from an acquiring firm, the shareholders follow suit, by likewise voting for the deal’s passage. In most prospective friendly takeovers, the price per share that's being offered is the chief consideration, ultimately determining whether or not a deal is approved.
For this reason, the acquiring company usually seeks to offer fair buyout terms, such as buying shares at a premium to the current market price. The size of this premium, given the company's growth prospects, will determine the target company's support for the buyout.
Example of a Friendly Takeover
Deutsche Wohnen (DW) and Vonovia are two of Germany's most important real estate companies and rivals of each other. Vonovia has been seeking to purchase DW for many years now. In 2015, Vonovia made an unsolicited bid for DW in the amount of 14 billion euros in a hostile takeover. DW was able to successfully stop the takeover.
1
In 2021, Vonovia came back with another offer to purchase DW for 18 billion euros; a price DW believed was too low and undervalued the company. Throughout 2021, Vonovia sought to revise the deal and DW had been open to different valuations from Vonovia.
2
DW finally agreed to Vonovia's offer of 19 billion euros in a cash takeover and the merger will move forward in what has been referred to as a "friendly return of a business combination." This was 2021's largest M&amp;A deal in Europe and created a company with a 90 billion euro asset value with control over more than 500,000 real estate properties.
1
3
What Is the Difference Between a Friendly Takeover and a Hostile Takeover?
In a friendly takeover, the management and shareholders of both companies are in agreement on the deal and facilitate the process of both companies uniting. When the management of the company being targeted for purchase is not in agreement with the deal and does not want to be bought yet the acquirer still moves forward by appealing to the shareholders directly and bypassing the board, that is a hostile takeover.
What Are the Types of Takeover?
There are a few different types of takeovers of a company in the business world. These are friendly takeovers, hostile takeovers, reverse takeovers, and backflip takeovers. A friendly takeover occurs when everyone is in agreement. A hostile takeover occurs when the acquirer appeals directly to a company's shareholders, bypassing the management team that does not want to be taken over. A reverse takeover is when a private company buys a public company. A backflip takeover is when the acquiring company becomes the subsidiary of the company being bought.
What Is the Advantage of a Friendly Takeover?
The advantages of a friendly takeover are a better value deal, all parties working towards a common goal that is best for all parties involved, the target company not negatively being impacted by using tactics to fight off a bid, and the design of a more unified company post takeover.</t>
      </text>
    </comment>
    <comment authorId="0" ref="A210">
      <text>
        <t xml:space="preserve">Full-Time Equivalency Hours (FTE)—The amount of productive work hours per resource per day. Usually 5.5–6.0 for full time internal resources working an eight-hour day. This may vary organization-to-organization and project-to-project.</t>
      </text>
    </comment>
    <comment authorId="0" ref="A211">
      <text>
        <t xml:space="preserve">Company Website:
Many public companies provide a dedicated section on their official websites for investors. Look for sections like "Investor Relations" or "Corporate Governance." There, you may find financial reports, press releases, and other documents related to fundraising activities.
SEC Filings (EDGAR):
Companies listed on U.S. stock exchanges are required to file various documents with the U.S. Securities and Exchange Commission (SEC). You can access these filings through the SEC's Electronic Data Gathering, Analysis, and Retrieval (EDGAR) system. Look for forms such as 10-K (annual reports) and 10-Q (quarterly reports) for detailed financial information.
Annual Reports:
Companies often publish annual reports that summarize their financial performance and strategic initiatives. Annual reports can provide insights into fundraising activities and plans for capital allocation.
Press Releases:
Companies regularly issue press releases to announce significant events, including fundraising activities. Check the "News" or "Press Releases" section on the company's website.
Conference Call Transcripts:
After financial results are announced, companies may conduct conference calls with analysts and investors. Transcripts of these calls can be insightful, providing information on fundraising strategies and plans.
Investor Presentations:
Companies may create investor presentations for conferences or meetings. These presentations often contain information on financial performance, future plans, and fundraising activities.
Proxy Statements:
Proxy statements, also known as Form DEF 14A, provide information on matters to be voted on at shareholders' meetings. These documents may contain details about stock-based compensation plans and other equity-related matters.
Financial News Platforms:
Financial news websites and platforms often report on fundraising activities, secondary offerings, and other relevant events. Keep an eye on financial news sources for the latest information.
Remember that information disclosure practices may vary by company, and regulatory requirements can differ across jurisdictions. For U.S.-listed companies, the SEC filings on EDGAR are a primary source of comprehensive financial information. Always refer to the official sources and the company's official communications for the most accurate and up-to-date information.</t>
      </text>
    </comment>
    <comment authorId="0" ref="A212">
      <text>
        <t xml:space="preserve">Total Debt / Shareholders Equity</t>
      </text>
    </comment>
    <comment authorId="0" ref="A216">
      <text>
        <t xml:space="preserve">Gross Earning = Total Revenue – Cost of Goods Sold
the total revenue generated by the company from the sale of its goods during a particular accounting period. It is obtained after deducting the cost of the goods sold but before the subtraction of the other expenses, taxes, and the adjustments incurred by the company during that period.
Gross Earnings vs. Adjusted Gross Income (AGI)
For tax purposes, the Internal Revenue Service (IRS) distinguishes gross earnings and adjusted gross income (AGI). Gross income includes all of the money you earn through the year including wages, income from a business, alimony payments, rental income, interest, and a few other types of payments.
The IRS allows taxpayers to take a select number of above-the-line deductions from gross income, and these include certain expenses incurred by educators, eligible moving expenses, contributions to IRA accounts as well as a few others. The difference between your gross income and these deductions is your AGI.
When you complete your income tax return, you subtract a standard deduction or a list of itemized deductions from your AGI, and the difference yields your taxable income, the amount upon which the IRS levies an income tax.
Gross income, on the other hand, refers to the total revenue of a company before deducting any expenses. It includes all the income generated by a business from its primary operations.
Gross income is calculated by subtracting the cost of goods sold (COGS) from total revenue. The formula is: 
Gross Income
=
Total Revenue
−
Cost of Goods Sold (COGS)
Gross Income=Total Revenue−Cost of Goods Sold (COGS)
Gross income provides a measure of a company's ability to generate revenue and is a key figure in assessing the profitability of its core business activities.
</t>
      </text>
    </comment>
    <comment authorId="0" ref="A217">
      <text>
        <t xml:space="preserve">GROSS INCOME/ TO
</t>
      </text>
    </comment>
    <comment authorId="0" ref="A218">
      <text>
        <t xml:space="preserve">Gross Margin=Net Sales−COGS
Does it also = Net Sales - Cost of Sales?
where:
Net Sales = revenue, or the total amount
of money generated from sales for the period. 
It can also be called net sales because it can include discounts
and deductions from returned merchandise.
Revenue is typically called the top line because it sits
on top of the income statement. 
Costs are subtracted
from revenue to calculate net income or the bottom line.
COGS=Cost of goods sold. The direct costs
associated with producing goods. Includes both direct
labor costs, and any costs of materials used in producing
or manufacturing a company’s products.
</t>
      </text>
    </comment>
    <comment authorId="0" ref="A219">
      <text>
        <t xml:space="preserve">Net Sales - COGS
The gross margin derives by deducting the cost of goods sold (COGS) from the net revenue or net sales (gross sales reduced by discounts, returns, and price adjustments). When the result is divided by revenue, we can determine the gross profit percentage. In simple terms, it is the amount of money a company has with them after deducting all of their direct production costs.
???
Gross profit as a % of Net Income
GROSS PROFIT ÷ REVENUE X 100%??</t>
      </text>
    </comment>
    <comment authorId="0" ref="A220">
      <text>
        <t xml:space="preserve">Gross Margin Index (GMI) is:
GMI = [(Salest-1 - COGSt-1) / Salest-1] / [(Salest - COGSt) / Salest]
Gross Margin Index (GMI): A deteriorating gross margin sends a negative signal about a firm’s prospects and creates an incentive to inflate profits.
Beneish M</t>
      </text>
    </comment>
    <comment authorId="0" ref="A221">
      <text>
        <t xml:space="preserve">CAGR=
(Ending Value/Beginning Value) ^ (1/No. of Periods) – 1.
CAGR stands for the Compound Annual Growth Rate. It is the measure of an investment’s annual growth rate over time, with the effect of compounding taken into account. It is often used to measure and compare the past performance of investments or to project their expected future returns.
CAGR 
CAGR Formula
The Compound Annual Growth Rate formula requires only the ending value of the investment, the beginning value, and the number of compounding years to calculate. It is achieved by dividing the ending value by the beginning value and raising that figure to the inverse number of years before subtracting it by one.
The compound annual growth rate (CAGR) is the rate of return (RoR) that would be required for an investment to grow from its beginning balance to its ending balance, assuming the profits were reinvested at the end of each period of the investment’s life span.
KEY TAKEAWAYS
The compounded annual growth rate (CAGR) is one of the most accurate ways to calculate and determine returns for anything that can rise or fall in value over time.
It measures a smoothed rate of return.
Investors can compare the CAGR of two or more alternatives to evaluate how well one stock performed against other stocks in a peer group or a market index.
CAGR is thus a good way to evaluate how different investments have performed over time, or against a benchmark.
The CAGR does not, however, reflect investment risk.
How to Calculate Compound Annual Growth Rate (CAGR)
�
�
�
�
=
(
(
�
�
�
�
)
1
�
−
1
)
×
1
0
0
where:
�
�
=
Ending value
�
�
=
Beginning value
�
=
Number of years
​
CAGR=(( 
BV
EV
​
 ) 
n
1
​
 −1)×100
where:
EV=Ending value
BV=Beginning value
n=Number of years
​
To calculate the CAGR of an investment:
Divide the value of an investment at the end of the period by its value at the beginning of that period.
Raise the result to an exponent of one divided by the number of years.
Subtract one from the subsequent result.
Multiply by 100 to convert the answer into a percentage.
What the CAGR Can Tell You
The compound annual growth rate isn’t a true return rate, but rather a representational figure. It is essentially a number that describes the rate at which an investment would have grown if it had grown at the same rate every year and the profits were reinvested at the end of each year.
In reality, this sort of performance is unlikely. However, the CAGR can be used to smooth returns so that they may be more easily understood compared to alternative methods.
Example of How to Use CAGR
Imagine you invested $10,000 in a portfolio with the returns outlined below:
From Jan. 1, 2018, to Jan. 1, 2019, your portfolio grew to $13,000 (or 30% in year one).
On Jan. 1, 2020, the portfolio was $14,000 (or 7.69% from January 2019 to January 2020).
On Jan. 1, 2021, the portfolio ended with $19,000 (or 35.71% from January 2020 to January 2021).
We can see that on an annual basis, the year-to-year growth rates of the investment portfolio were quite different as shown in the parentheses.
On the other hand, the compound annual growth rate smooths the investment’s performance and ignores the fact that 2018 and 2020 were vastly different from 2019. The CAGR over that period was 23.86% and can be calculated as follows:
�
�
�
�
=
(
$
1
9
,
0
0
0
$
1
0
,
0
0
0
)
1
3
−
1
×
1
0
0
=
2
3
.
8
6
%
CAGR=( 
$10,000
$19,000
​
 ) 
3
1
​
 −1×100=23.86%
The CAGR of 23.86% over the three-year investment period can help an investor compare alternatives for their capital or make forecasts of future values. For example, imagine an investor is comparing the performance of two uncorrelated investments.
In any given year during the period, one investment may be rising while the other falls. This could be the case when comparing high-yield bonds to stocks, or a real estate investment to emerging markets. Using CAGR would smooth the annual return over the period so the two alternatives would be easier to compare.
As another example, let’s say an investor bought 55 shares of Amazon.com (AMZN) stock in December 2017 at $1,180 per share, for a total investment of $64,900. After three years, in December 2020, the stock has risen to $3,200 per share, and the investor’s investment is now worth $176,000.
1
 What is the CAGR?
Using the CAGR formula, we know that we need the:
Ending Balance: $176,000
Beginning Balance: $64,900
Number of Years: 3
So to calculate the CAGR for this simple example, we would enter that data into the formula as follows: [($176,000 / $64,900) ^ (1/3)] - 1 = 39.5%.
Additional CAGR Uses
The CAGR can be used to calculate the average growth of a single investment. As we saw in our example above, due to market volatility, the year-to-year growth of an investment will likely appear erratic and uneven.
For example, an investment may increase in value by 8% in one year, decrease in value by -2% the following year, and increase in value by 5% in the next. CAGR helps smooth returns when growth rates are expected to be volatile and inconsistent.
Comparing Investments
The CAGR produces a geometric mean which can be used to compare different investment types with one another. For example, suppose that in 2015, an investor placed $10,000 into an account for five years with a fixed annual interest rate of 1% and another $10,000 into a stock mutual fund. The rate of return in the stock fund will be uneven over the next few years, so a comparison between the two investments would be difficult.
Assume that at the end of the five-year period, the savings account’s balance is $10,510.10 and, although the other investment has grown unevenly, the ending balance in the stock fund was $15,348.52. Using the CAGR to compare the two investments can help an investor understand the difference in returns:
Savings Account CAGR
=
(
$
1
0
,
5
1
0
.
1
0
$
1
0
,
0
0
0
)
1
5
−
1
×
1
0
0
=
1
.
0
0
%
Savings Account CAGR=( 
$10,000
$10,510.10
​
 ) 
5
1
​
 −1×100=1.00%
And:
Stock fund CAGR
=
(
$
1
5
,
3
4
8
.
5
2
$
1
0
,
0
0
0
)
1
5
−
1
×
1
0
0
=
8
.
9
5
%
Stock fund CAGR=( 
$10,000
$15,348.52
​
 ) 
5
1
​
 −1×100=8.95%
On the surface, the stock fund may look like a better investment, with nearly nine times the return of the savings account. On the other hand, one of the drawbacks of the CAGR is that by smoothing the returns, The CAGR cannot tell an investor how volatile or risky the stock fund was. However, the CAGR can be used in the MAR ratio, which adjusts for risk.
Track Performance
The CAGR can also be used to track the performance of various business measures of one or multiple companies alongside one another. For example, over a five-year period, Big-Sale Stores’ market share CAGR was 1.82%, but its customer satisfaction CAGR over the same period was -0.58%. In this way, comparing the CAGRs of measures within a company reveals strengths and weaknesses.
Detect Weaknesses and Strengths
Comparing the CAGRs of business activities across similar companies will help evaluate competitive weaknesses and strengths. For example, Big-Sale’s customer satisfaction CAGR might not seem so low compared with SuperFast Cable’s customer satisfaction CAGR of -6.31% during the same period.
How Investors Use the CAGR
Understanding the formula used to calculate CAGR is an introduction to many other ways that investors evaluate past returns or estimate future profits. The formula can be manipulated algebraically into a formula to find the present value or future value of money, or to calculate a hurdle rate of return.
For example, imagine that an investor knows that they need $50,000 for a child’s college education in 18 years and they have $15,000 to invest today. How much does the average rate of return need to be to reach that objective? The CAGR calculation can be used to find the answer to this question as follows:
Required Return
=
(
$
5
0
,
0
0
0
$
1
5
,
0
0
0
)
1
1
8
−
1
×
1
0
0
=
6
.
9
0
%
Required Return=( 
$15,000
$50,000
​
 ) 
18
1
​
 −1×100=6.90%
This version of the CAGR formula is just a rearranged present value and future value equation. For example, if an investor knew that they needed $50,000 and they felt it was reasonable to expect an 8% annual return on their investment, they could use this formula to find out how much they needed to invest to meet their goal.
Modifying the CAGR Formula
An investment is rarely made on the first day of the year and then sold on the last day of the year. Imagine an investor who wants to evaluate the CAGR of a $10,000 investment that was entered on June 1, 2013, and sold for $16,897.14 on Sept. 9, 2018.
Before the CAGR calculation can be performed, the investor will need to know the fractional remainder of the holding period. They held the position for 213 days in 2013, a full year in 2014, 2015, 2016, and 2017, and 251 days in 2018. This investment was held for 5.271 years, which is calculated by the following:
2013 = 213 days
2014 = 365
2015 = 365
2016 = 365
2017 = 365
2018 = 251
The total number of days that the investment was held was 1,924 days. To calculate the number of years, divide the total number of days by 365 (1,924/365), which equals 5.271 years.
The total number of years that the investment was held can be placed in the denominator of the exponent inside CAGR’s formula as follows:
Investment CAGR
=
(
$
1
6
,
8
9
7
.
1
4
$
1
0
,
0
0
0
)
1
5
.
2
7
1
−
1
×
1
0
0
=
1
0
.
4
6
%
Investment CAGR=( 
$10,000
$16,897.14
​
 ) 
5.271
1
​
 −1×100=10.46%
Smooth Rate of Growth Limitation
The most important limitation of the CAGR is that because it calculates a smoothed rate of growth over a period, it ignores volatility and implies that the growth during that time was steady. Returns on investments are uneven over time, except for bonds that are held to maturity, deposits, and similar investments.
Also, the CAGR does not account for when an investor adds funds to a portfolio or withdraws funds from the portfolio over the period being measured.
For example, if an investor had a portfolio for five years and injected funds into the portfolio during the five-year period, then the CAGR would be inflated. The CAGR would calculate the rate of return based on the beginning and ending balances over the five years, and would essentially count the deposited funds as part of the annual growth rate, which would be inaccurate.
Other CAGR Limitations
Besides the smoothed rate of growth, the CAGR has other limitations. A second limitation when assessing investments is that no matter how steady the growth of a company or investment has been in the past, investors cannot assume that the rate will remain the same in the future. The shorter the time frame used in the analysis, the less likely it will be for the realized CAGR to meet the expected CAGR when relying on historical results.
A third limitation of the CAGR is a limitation of representation. Say that an investment fund was worth $100,000 in 2016, $71,000 in 2017, $44,000 in 2018, $81,000 in 2019, and $126,000 in 2020. If the fund managers represented in 2021 that their CAGR was a whopping 42.01% over the past three years, they would be technically correct. They would, however, be omitting some very important information about the fund’s history, including the fact that the fund’s CAGR over the past five years was a modest 4.73%.
CAGR vs. IRR
The CAGR measures the return on an investment over a certain period of time. The internal rate of return (IRR) also measures investment performance but is more flexible than the CAGR.
The most important distinction is that the CAGR is straightforward enough that it can be calculated by hand. In contrast, more complicated investments and projects, or those that have many different cash inflows and outflows, are best evaluated using IRR. To back into the IRR, a financial calculator, Excel, or portfolio accounting system is ideal.
Those interested in learning more about CAGR and other financial topics may want to consider enrolling in one of the best investing courses currently available.
What Is an Example of Compound Annual Growth Rate (CAGR)?
The CAGR is a measurement used by investors to calculate the rate at which a quantity grew over time. The word “compound” denotes the fact that the CAGR takes into account the effects of compounding, or reinvestment, over time. For example, suppose you have a company with revenue that grew from $3 million to $30 million over a span of 10 years. In that scenario, the CAGR would be approximately 25.89%.
What Is Considered a Good CAGR?
What counts as a good CAGR will depend on the context. But generally speaking, investors will evaluate this by thinking about their opportunity cost as well as the riskiness of the investment. For example, if a company grew by 25% in an industry with an average CAGR closer to 30%, then its results might seem lackluster by comparison. But if the industry-wide growth rates were lower, such as 10% or 15%, then its CAGR might be very impressive.
In general, a higher CAGR is better.
What Is the Difference Between the CAGR and a Growth Rate?
The main difference between the CAGR and a growth rate is that the CAGR assumes the growth rate was repeated, or “compounded,” each year, whereas a traditional growth rate does not. Many investors prefer the CAGR because it smooths out the volatile nature of year-by-year growth rates. For instance, even a highly profitable and successful company will likely have several years of poor performance during its life. These bad years could have a large effect on individual years’ growth rates but would have a relatively small impact on the company’s CAGR.
Can the CAGR Be Negative?
Yes. A negative CAGR would indicate losses over time rather than gains.
What Is Risk-Adjusted CAGR?
To compare the performance and risk characteristics among various investment alternatives, investors can use a risk-adjusted CAGR. A simple method for calculating a risk-adjusted CAGR is to multiply the CAGR by one minus the investment’s standard deviation. If the standard deviation (i.e., its risk) is zero, then the risk-adjusted CAGR is unaffected. The larger the standard deviation, the lower the risk-adjusted CAGR will be.</t>
      </text>
    </comment>
    <comment authorId="0" ref="A223">
      <text>
        <t xml:space="preserve">Yahoo finance 
used to calculate the annual growth of the company for a particular period and according to which value at the beginning is subtracted from the value at the end and the resultant is then divided by the value at the beginning. This formula is applied to multiple metric such as GDP, turnover, and so on.
</t>
      </text>
    </comment>
    <comment authorId="0" ref="A226">
      <text>
        <t xml:space="preserve">A hostile bid is a specific type of takeover bid that bidders present directly to the target firm's shareholders because management is not in favor of the deal. Bidders generally present their hostile bids through a tender offer. In this scenario, the acquiring company offers to purchase the common shares of the target at a substantial premium.
KEY TAKEAWAYS
Hostile bids are takeover offers taken directly to shareholders because management has rejected the offer.
A hostile bid can spark a proxy battle in some cases, where the acquiring company looks to replace the management of the target company.
A friendly bid is the opposite of a hostile bid, where management accepts a takeover offer.
Understanding Hostile Bids
Hostile bids can lead to major changes in the organizational structure. If a board pursues defensive action to stop the merger, a proxy fight can occur. In this scenario, the acquirer will often attempt to convince the target shareholders to replace management. Certain investors, such as activist investors, are known for using hostile bids to force takeovers and buyouts. For example, activist investor Carl Ichan made several hostile bids for Clorox in 2011.
1
2
Soliciting Shareholders
The acquirer and the target company use a variety of solicitation methods to influence shareholder votes. Shareholders receive a Schedule 14A with financial and other information on the target company and the terms of the proposed acquisition. In many cases, the acquiring company hires an outside proxy solicitation firm that compiles a list of shareholders and contacts them to state the acquirer's case.
The firm can call or provide written information, detailing the reasons the acquirer is attempting to make fundamental changes and why the deal could create more shareholder wealth in the long term.
Individual shareholders or stock brokerages submit their votes to the entity assigned to aggregate the information (e.g., a stock transfer agent or brokerage). The corporate secretary of the target company receives all votes before the shareholders' meeting. Proxy solicitors may scrutinize and challenge the votes if they are unclear.
Hostile Bid vs. Friendly Bid
Unlike a hostile bid, a friendly bid is approved by management. An offer that's accepted by management and the board of directors is considered a friendly bid, as things are amicable. In this case, the acquiring company generally has more access to the company and relevant information. On the flip side, a company undertaking a hostile takeover may have to do so with little internal information about the company as the management has been unwelcoming.
Example of a Hostile Bid
In October 2010, French pharmaceutical company Sanofi-Aventis offered shareholders of U.S. biotech company Genzyme $69 a share after being rebuffed multiple times by Genzyme management.
4
 Simultaneously, Sanofi CEO Chris Viehbacher sent Genzyme chief executive Henri Termeer a letter in which he claimed to have the support of Genzyme shareholders possessing more than 50% of outstanding shares.
5
Shareholders were given until December 2010 to accept Sanofi's offer. As many analysts predicted, the majority of shareholders considered Sanofi's offer low and the bid was unsuccessful.
A deal was finally approved by Genzyme's board of directors in February 2011, when the company agreed to a price of $74 a share plus contingent value rights tied to the performance of Genzyme's experimental multiple sclerosis drug Lemtrada.</t>
      </text>
    </comment>
    <comment authorId="0" ref="A227">
      <text>
        <t xml:space="preserve">IC = Tangible LT Assets</t>
      </text>
    </comment>
    <comment authorId="0" ref="A228">
      <text>
        <t xml:space="preserve">Amount invested/Shares Received</t>
      </text>
    </comment>
    <comment authorId="0" ref="A230">
      <text>
        <t xml:space="preserve">The income from continuing operations is the revenue that a business generates from its primary business activities minus the expenses that it incurs in generating income. It’s a line item on the income statement that notes the after-tax earnings the business generates from its continuing operations.
Also known as operating income or operating earnings, the income from continuing operations excludes irregular revenue and expenses. For example, the business might decide to sell an asset or business property. While this may generate revenue for the business, it’s not related to the regular business income.
To calculate the income from continuing operations, subtract the cost of goods sold and other operating expenses such as cost from labor from the revenue earned from the day-to-day operations of a business.
For example, a company reports $180,000 of sales, $80,000 cost of goods sold, and $15,000 of operating expenses. Its income from operations is $85,000.
While calculating the income, exclude interest earned or paid and taxes. Do not include any gains or losses from irregular business activities such as sale or purchase of business assets. investment or the purchase or sale of business assets.
Is Income from Continuing Operations the Same as Net Income?
The net income is different from the income from continuing operations.
While the net income includes the income from the continuing operations as well as the unusual and irregular income and the income from discontinued operations, the income from continuing operations only takes into account the revenue generated from regular business activities.
For business owners, analysts and creditors, recognizing the differences between income from continuing operations and other non-recurring items provide insight into the profitability of the business.
Examples
For instance, if a company's annual report exhibits the following figures:
Revenue: $1,000,000
COGS: $300,000
Operating Expenses: $200,000
Depreciation and Amortization: $50,000
Interest Expense: $30,000
Taxes: $100,000
Then the Income from Continuing Operations = $1,000,000 (Revenue) - $300,000 (COGS) - $200,000 (Operating Expenses) - $50,000 (Depreciation and Amortization) - $30,000 (Interest Expense) - $100,000 (Taxes) = $320,000
Income from continuing operations is a net income category found on the income statement that accounts for a company’s regular business activities. Income from continuing operations is also known as operating income. A multistep income statement reports income from continuing operations separately from non-operating income. A business must consistently generate earnings from operations to succeed in the long term.
Investors are interested in income from continuing operations since it focuses on a company's core operations. As a result, financial analysts will often separate earnings due to mergers, acquisitions, business divestitures, and discontinued operations from continuing operations on the income statement.
1
KEY TAKEAWAYS
Income from continuing operations is a net income category found on the income statement that accounts for a company’s regular business activities.
Income from continuing operations is also known as operating income.
Continuing operations are the primary source of income for most successful businesses.
Understanding Income From Continuing Operations
Continuing operations are the primary source of income for most successful businesses. If a company makes most of its money from non-core activities, some analysts may raise red flags. For instance, a car company may be headed for trouble if it is making far more money from its financing and credit operations than from selling automobiles.
2
Income from continuing operations is just one part of a multistep income statement. A multistep income statement provides details on a company's income sources and expenses. That gives the reader of the financial statement more information to make informed business decisions.
The multistep format starts with sales minus the cost of sales to calculate gross profit, and a firm's cost of sales includes both material and labor costs. Wages, supplies, lease expenses, and other operating expenses are subtracted from gross profit to arrive at income from continuing operations. Additional revenue and expenses come after income from continuing operations, along with income taxes. The remaining balance is the company's net income.
1
 Although healthy firms usually make most of their income from continuing operations, successful companies will sometimes make more from a nonrecurring gain.
Example of Income From Continuing Operations
Assume, for example, that hypothetical company XYZ manufactures casual clothing and that it also sells an expensive piece of machinery during the year. The gain or loss on a machinery sale is part of other revenue and expenses. The machinery sale is an unusual item that is not directly related to daily business operations. Income earned from the equipment sale is part of the profit margin, but selling assets is not a sustainable way to generate profits.
Profit margin is a financial ratio defined as net income divided by sales. The hypothetical clothing company XYZ will usually derive the majority of both net income and sales from continuing operations.
There are several ways that XYZ can increase income from continuing operations. The firm can grow sales by adding new customers and creating new clothing product lines. XYZ can also cut costs and raise prices to generate more income for every dollar of sales.
Well-managed companies also maximize the sales generated from using assets, and the asset turnover ratio equals total sales divided by average total assets. When XYZ purchases machinery and equipment to make clothing, the firm wants to maximize the sales generated from using the assets to make and sell clothing. The analysis is different when XYZ recognizes a gain on the sale of investment securities. This transaction generates additional income, but it does not improve the asset turnover ratio.</t>
      </text>
    </comment>
    <comment authorId="0" ref="A231">
      <text>
        <t xml:space="preserve">Net Income From Continuing Operations= 
Gross Profit–Operating Expenses –Other Expenses &amp; Losses + Other Revenues &amp; Gains – Taxes
where:
Gross Profit is the difference between total revenue and the cost of goods sold.
Operating Expenses are the costs associated with running the business (rent, salaries, utilities, etc.)
Other Expenses &amp; Losses are the non-operating costs such as interest paid.
Other Revenues &amp; Gains are the non-operating incomes such as interest received.
Taxes are the income tax expenses.
The result excludes income or loss from non-continuing operations, extraordinary items, and the effect of changes in accounting principles.
“Net income from continuing operations” refers to the profit a company generates from its normal, ongoing business activities, excluding any income or expenses from non-continuous operations or other unusual items.
In other words, it’s the net income earned solely from a company’s core operations, not taking into account any one-off, unusual, or irregular transactions. This can include things like profits or losses from the sale of assets, the costs of restructuring, or the effects of any discontinued operations.
The “net income from continuing operations” is a crucial measure as it helps investors, creditors, and other stakeholders to understand how much income the company is likely to generate in the future from its regular operations. Non-continuous operations, by their nature, are less likely to recur in future periods, so they’re excluded to give a clearer picture of the company’s ongoing profitability.
Example of Net Income From Continuing Operations
Let’s continue with our hypothetical business, “Blue Jay Clothing,” and add a few more details. Here’s a simplified version of their financial report for a given year:
Total Revenue (income from selling products): $500,000
Cost of Goods Sold (money spent to make the products): $150,000
Operating Expenses (rent, salaries, utilities, etc.): $200,000
Other Expenses (unexpected costs, such as repair fees): $10,000
Interest (from business loans or other debt): $15,000
Taxes: $40,000
Income from selling a piece of land (non-continuous operation): $50,000
To calculate the net income from continuing operations, we do not consider the income from the sale of land since this is a non-continuous operation.
Net Income From Continuing Operations = Revenue – Cost of Goods Sold – Operating Expenses – Other Expenses – Interest – Taxes
Substituting in the given values:
Net Income From Continuing Operations = $500,000 – $150,000 – $200,000 – $10,000 – $15,000 – $40,000 = $85,000
So, Blue Jay Clothing’s net income from continuing operations for this year is $85,000. This is the income generated solely from the company’s main, ongoing business activities.
Note that if we were calculating total net income (including non-continuous operations), the income from the sale of the land would be added, making the total net income $135,000. But this additional $50,000 is not included in the net income from continuing operations because it does not represent income from the company’s core operations.</t>
      </text>
    </comment>
    <comment authorId="0" ref="A232">
      <text>
        <t xml:space="preserve">consolidated statements of operations is a common header that appears on the income statement. </t>
      </text>
    </comment>
    <comment authorId="0" ref="A236">
      <text>
        <t xml:space="preserve">GMT research: Intangible assets include goodwill, patents, copyrights, trademarks, trade names, organization costs, capitalized development costs and software, franchises, licenses, property rights, core deposit intangibles (banks), and intangible portion of prepaid pensions.
We penalise companies with large and/or rising intangibles relative to industry peers. More than 80% of the 16,000 companies in our sample have some form of intangible asset on their balance sheets. As Figure 35 shows, intangibles are far more likely to be found within people-orientated businesses, such as media and I.T., than on capital intensive ones, such as real estate and oil &amp; gas. Within capital intensive industries, investors are buying tangible assets, such as mines and property, as opposed to people and brands. There is quite a difference in intangibles by domicile, as Figure 36 shows; however, it’s not immediately clear why. Russia and Indonesia have noticeably lower exposure to intangibles. This might be because they are resource rich countries where acquisitions are fairly uncommon (please refer to the flag on Acquisitions &amp; Disposals for more information).
35
While most companies might have some intangibles on their balance sheet, it is usually small, equating to less than 5% of sales, as Figure 37 shows. Media and software companies have the largest amounts of intangibles, which is to be expected, in excess of 10% of sales. Meanwhile, domiciles with the largest amounts of intangibles are generally developed markets, such as the UK and the US, where intangibles exceed 15% of sales. In these markets there is a culture of acquisitions and disposals which combined with a knowledge-based economy (as opposed to a resource-based one) create the pre-requisite environment for the creation of intangibles.
Valuing intangibles, such as goodwill, brand value and intellectual property, leaves a lot of room for discretion. In general, we are concerned with companies that have generated a large and growing amount of intangibles as it suggests growth is being pursued through acquisitions. Some intangibles represent licence or concession fees. As long as the operator obeys the terms of the agreement, a valuation based on cost which is reduced over time seems reasonable. However, it is more subjective valuing goodwill created through acquisitions. We would be especially concerned when acquisitions have been followed by material downward revisions to profit forecasts as it suggests that a future impairment is possible.
37
Our accounting screen is set to trigger a red flag when intangibles/sales exceeds the 80th percentile (i.e. they are very high) relative to GICS industry peers, and/or when there is an abnormally large increase relative to the normal rate of change amongst industry peers over one and three years. This latter red flag is triggered when the increase in intangibles to sales exceeds the 80th percentile relative to the change experienced by industry peers between 2010 and 2015.
</t>
      </text>
    </comment>
    <comment authorId="0" ref="A238">
      <text>
        <t xml:space="preserve">“The price a rational investor is willing to pay for an investment, given its level of risk.”
Intrinsic value is a measure of what an asset is worth. This measure is arrived at by means of an objective calculation or complex financial model. Intrinsic value is different from the current market price of an asset. However, comparing it to that current price can give investors an idea of whether the asset is undervalued or overvalued.
Background
Benjamin Graham and Warrant Buffett are widely considered the forefathers of value investing, which is based on the intrinsic valuation method. Graham’s book, The Intelligent Investor, laid the groundwork for Warren Buffett and the entire school of thought on the topic.
The term intrinsic means the essential nature of something. Synonyms include innate, inherent, native, natural, deep-rooted, etc.
Intrinsic Value Formula
There are different variations of the intrinsic value formula, but the most “standard” approach is similar to the net present value formula.
Intrinsic Value Formula
Where:
NPV = Net Present Value
FVj = Net cash flow for the j th period (for the initial “Present” cash flow, j = 0
i = annual interest rate
n = number of periods included
Variations include multi-stage growth models and assigning a probability or level of certainty to the cash flows and playing around with the discount rate.
Risk Adjusting the Intrinsic Value
The task of risk adjusting the cash flows is very subjective and a combination of both art and science.
There are two main methods:
Discount rate – Using a discount rate that includes a risk premium in it to adequately discount the cash flows
Certainty factor – Using a factor on a scale of 0-100% certainty of the cash flows in the forecast materializing (This approach is believed to be used by Warren Buffett. Learn more by reading Buffett’s annual letters to shareholders)
Discount Rate
In the discount rate approach, a financial analyst will typically use a company’s weighted average cost of capital (WACC). The formula for WACC includes the risk-free rate (usually a government bond yield) plus a premium based on the volatility of the stock multiplied by an equity risk premium. Learn all about the WACC formula here.
The rationale behind this approach is that if a stock is more volatile, it’s a riskier investment. Therefore, a higher discount rate is used, which has the effect of reducing the value of cash flow that would be received further in the future (because of the greater uncertainty).
Certainty Factor
A certainty factor, or probability, can be assigned to each individual cash flow or multiplied against the entire net present value (NPV) of the business as a means of discounting the investment. In this approach, only the risk-free rate is used as the discount rate since the cash flows are already risk-adjusted.
For example, the cash flow from a US Treasury note comes with a 100% certainty attached to it, so the discount rate is equal to yield, say 2.5% in this example. Compare that to the cash flow from a very high-growth and high-risk technology company. A 50% probability factor is assigned to the cash flow from the tech company and the same 2.5% discount rate is used.
At the end of the day, both methods are attempting to do the same thing – to discount an investment based on the level of risk inherent in it.
Calculating Intrinsic Value in Excel
Below we will provide examples of how to calculate the intrinsic value in Excel using the two methods described above.
1. Discount Rate
In the screenshot below, you can see how this approach is taken in Excel. The risk-adjusted discount rate for this investment is determined to be 10.0% based on its historic price volatility. In this method, there is no certainty or probability factor assigned to each cash flow, since the discount rate does all the risk adjusting.
Intrinsic Value with Discount Rate
As you will see, for an investment that pays $10,000 at the end of each year for 10 years with a 10% discount rate, the intrinsic value is $61,446.
To learn more about DCF models, check out CFI’s online financial modeling courses.
2. Certainty Factor
In the second screenshot below, you can see how this alternative approach is taken in Excel. This time, an analyst uses only the risk-free rate of 2.5% as the discount rate. There is, however, an additional adjustment factor of 70% applied to each cash flow. The way to think about this is, “there is a 70% chance of receiving $10,000 each year”, or, “there is a 100% chance of receiving $7,021 each year.”
Intrinsic Value with Certainty Factor
As you can see, for this same investment that pays $10,000 at the end of each year for 10 years with a 70% confidence factor and 2.5% discount rate, the intrinsic value is $61,446 (the same as method #1).
Challenges with Intrinsic Value
The trouble with calculating intrinsic value is it’s a very subjective exercise. There are so many assumptions that must be made, and the final net present value is very sensitive to changes in those assumptions.
Each of the assumptions in the WACC (beta, market risk premium) can be calculated in different ways, while the assumption around a confidence/probability factor is entirely subjective.
Essentially, when it comes to predicting the future, it is by definition, uncertain. For this reason, all of the most successful investors in the world can look at the same information about a company and arrive at totally different figures for its intrinsic value.
The intrinsic value of a business (or any investment security) is the present value of all expected future cash flows, discounted at the appropriate discount rate. Unlike relative forms of valuation that look at comparable companies, intrinsic valuation looks only at the inherent value of a business on its own.
Financial analysis uses cash flow to determine the intrinsic, or underlying, value of a company or stock. In options pricing, intrinsic value is the difference between the strike price of the option and the current market price of the underlying asset.
KEY TAKEAWAYS
There are various ways to calculate intrinsic, or true, value.
Discounted cash flow analysis is used for many intrinsic value calculations.
Intrinsic value is a core concept that value investors use to uncover hidden investment opportunities.
In options trading, intrinsic value is the difference between the current price of an asset and the strike price of the option.
When an asset's market price is below its intrinsic value, it may be a smart investment.
Intrinsic Value
Investopedia / Theresa Chiechi
Understanding Intrinsic Value
There is no universal standard for calculating the intrinsic value of a company or stock. Financial analysts attempt to determine an asset's intrinsic value by using fundamental and technical analyses to gauge its actual financial performance.
While they may build valuation models using qualitative, quantitative and perceptual business factors, the metric often used in calculations for intrinsic value is discounted cash flows.
Typically, investors try to use both qualitative and quantitative factors to measure the intrinsic value of a company, but investors should keep in mind that the result is still only an estimate.
Qualitative factors are such things as business model, governance, and target markets—items specific to the what the business does. Quantitative factors refer to financial performance and include financial ratios and financial statement analysis. Perceptual factors refer to investors' perceptions of the relative worth of an asset. They're largely accounted for by means of technical analysis.
Generally speaking, intrinsic value can be considered to be how much the business is worth, as determined by selling off the whole business and its assets.
How to Calculate Intrinsic Value
Using discounted cash flow (DCF) analysis, cash flows are estimated based on how a business may perform in the future. Those cash flows are then discounted to today’s value to obtain the company's intrinsic value. The discount rate used is often a risk-free rate of return, such as that of the 30-year Treasury bond.
It can also be the company's weighted average cost of capital (WAAC).
Discounted cash flow formula
DCF = CF1/(1+r)1 + CF2/(1+r)2 + . . . + TV/(1+r)n
CF = the expected cash flow for a specific period (e.g., CF1 = cash flow year one)
r = the discount rate
TV = the terminal value (estimated cash flow after the projection period)
n = the specific period (e.g., years, quarters, months, etc.)
Market Risk and Intrinsic Value
A market risk element is also estimated in many valuation models. For stocks, the risk is measured by beta—an estimation of how much the stock price could fluctuate or its volatility.
A beta of one is considered neutral or correlated with the overall market. A beta greater than one means a stock has an increased risk of volatility while a beta of less than one means it has less risk than the overall market. If a stock has a high beta, there should be greater return from the cash flows to compensate for the increased risks as compared to an investment with a low beta.
 Intrinsic value is a core concept that value investors use to uncover hidden investment opportunities. Investopedia's Fundamental Analysis Course will show you how to calculate the true value of a stock and capitalize on undervalued opportunities. You'll learn how to read financial statements, use ratios to determine value quickly, and more in over five hours of on-demand videos, exercises, and interactive content.
Intrinsic Value of Options Contracts
Intrinsic value is also used in options pricing to determine how in-the-money an option is or how much profit currently exists.
To review, an options contract grants the buyer the right, but not the obligation, to buy or sell the underlying security at a preset price called the strike price. Options have expiration dates by which they must be exercised or converted to the shares of the underlying security.
The intrinsic value of both call and put options is the difference between the underlying stock's price and the strike price. If the calculated value is negative, the intrinsic value is zero. In other words, intrinsic value only measures the profit as determined by the difference between the option's strike price and market price. So, an option with a strike price that equals the market price at expiration—an at-the-money option—will have zero intrinsic value.
However, other factors such as extrinsic value can affect the value of an option and its resulting premium. It takes into account other external factors such as how much time is remaining until expiration.
If an option has no intrinsic value, meaning the strike price and the market price are equal, it might still have extrinsic value if there's enough time left before expiration to make a profit.
As a result, the amount of time value that an option has can impact an option's premium. Both intrinsic value and extrinsic value combine to make up the total value of an option's price.
Pros
Intrinsic value helps determine the value of an asset, an investment, or a company.
Intrinsic value provides the amount of profit that exists in an options contract.
Cons
Calculating the intrinsic value of a company can be subjective since it estimates risk and future cash flows.
The intrinsic value of an option is incomplete since it doesn't include the premium paid and time value.
Example of an Option's Intrinsic Value
Let's say a call option's strike price is $15, and the underlying stock's market price is $25 per share. The intrinsic value of the call option is $10 ($25 minus $15). If the option premium paid at the onset of the trade were $2, the total profit would be $8 if the intrinsic value was $10 at expiry.
On the other hand, let's say an investor purchases a put option with a strike price of $20 for a $5 premium when the underlying stock was trading at $16 per share. The intrinsic value of the put option is the $20 strike price less the $16 stock price, or $4 in-the-money.
An intrinsic value of $4 at expiry combined with the premium paid of $5 means the investor has a loss despite the option being in-the-money.
It's important to note that the intrinsic value does not include the premium. It's not the same as the actual profit on the trade since it doesn't include the initial cost. Intrinsic value only shows how in-the-money an option is, considering its strike price and the market price of the underlying asset.
Why Is Intrinsic Value Useful to Know?
It's useful because it can help an investor understand whether a potential investment is overvalued or undervalued. Meaning, if the market price of stock of a particular company is currently $125 and the intrinsic—or true— value is calculated at $118, then an investor may decide the stock is too expensive at this time and not worth purchasing.
What's the Difference Between Market Value and Intrinsic Value?
Market value equates to the current price of a particular asset. For example, the market price of a share of ABC Company stock may be $50 as of yesterday's market close. It may have a market price (value) of $55 at some point today, depending on buying interest. However, intrinsic value is the true value of the company, as determined using a valuation model.
Is Intrinsic Value Better Than Market Value for Investing?
Some people believe it is. Market value is determined by what people are willing to buy an asset for, based on any number of reasons. These might include someone's financial needs, short-term trading goals, and trading impulses. On the other hand, intrinsic value measures the value of an investment based on specific information about it, such as its cash flows and its actual financial performance.
The Bottom Line
Knowing how to calculate intrinsic value is useful for investors trying to get at an investment's true value. That's because intrinsic value is based on future cash flows, not simply where an investment may be trading currently.
Value investors in particular seek to know intrinsic value because it helps them understand whether an investment is appropriately priced, according to their investing approach. Since knowing intrinsic value is considered fundamental to analyzing securities, it's a good idea for investors to understand how to calculate it.
----
https://blog.portfolio123.com/company-intrinsic-value-pt1/
https://blog.portfolio123.com/a-stock-pickers-guide-to-benjamin-grahams-screening-rules/
	-Brandon Hardison</t>
      </text>
    </comment>
    <comment authorId="0" ref="A239">
      <text>
        <t xml:space="preserve">Benjamin Graham and David L. Dodd dealt with many of the problems of value analysis forthrightly in their masterpiece, Security Analysis, a book which should be in every great investor’s library. It’s worth quoting them at length:
We must recognize . . . that intrinsic value is an elusive concept. In general terms it is understood to be that value which is justified by the facts, e.g., the assets, earnings, dividends, definite prospects, as distinct, let us say, from market quotations established by artificial manipulation or distorted by psychological excesses. But it is a great mistake to imagine that intrinsic value is as definite and as determinable as is the market price. . . .
[The] concept of intrinsic value, as . . . definite and ascertainable, cannot be safely accepted as a general premise of security analysis. . . .
The essential point is that security analysis does not seek to determine exactly what is the intrinsic value of a given security. It needs only to establish either that the value is adequate—e.g., to protect a bond or to justify a stock purchase—or else that the value is considerably higher or considerably lower than the market price. . . .
To express the uncertainty of the picture, we might say that it was difficult to determine in 1933 whether the intrinsic value of Case common was nearer $30 or $130. Yet if the stock had been selling at as low as $10, the analyst would undoubtedly have been justified in declaring that it was worth more than the market price. . . .
It would follow that even a very indefinite idea of the intrinsic value may still justify a conclusion if the current price falls far outside either the maximum or minimum appraisal.</t>
      </text>
    </comment>
    <comment authorId="0" ref="A240">
      <text>
        <t xml:space="preserve">Inventory on a balance sheet represents the total value of goods and materials that a company holds for the purpose of resale or production. It is considered a current asset and is listed under the "Current Assets" section on the balance sheet. The value of inventory is typically reported at the lower of cost or market value.
Here's how the inventory is presented on a balance sheet:
Current Assets
Current Assets
...Other current assets
...Other current assets
Inventory
Inventory
The inventory value is determined by the cost of acquiring or producing the goods. This cost may include the purchase price, shipping costs, handling costs, and other costs directly associated with bringing the goods to their current condition and location.
For example, if a company purchases goods for resale, the inventory value would include the cost of purchasing those goods. If a company produces its own goods, the inventory value would include the direct costs of manufacturing, such as raw materials, labor, and overhead.
It's important to note that there are different methods for valuing inventory, such as the First-In-First-Out (FIFO), Last-In-First-Out (LIFO), or weighted average methods. The chosen method can impact the reported value of inventory on the balance sheet.
Investors and analysts often pay attention to the inventory levels and turnover ratios to assess a company's efficiency in managing its inventory and to understand its liquidity and ability to meet short-term obligations.</t>
      </text>
    </comment>
    <comment authorId="0" ref="A241">
      <text>
        <t xml:space="preserve">The issuer is the entity or company that is borrowing money by issuing bonds or debt securities.</t>
      </text>
    </comment>
    <comment authorId="0" ref="A243">
      <text>
        <t xml:space="preserve">
-For high-growth companies, LTM can be a poor proxy that fails to factor in projected growth due to:
1Non-Recurring Expenses
2One-Time Cash Inflows
3Net Operating Losses (NOLs)
While LTM multiples are backward-looking and based on historical performance, NTM multiples are formulated from projected figures.
Next Twelve Months (NTM) are two standard forms in which valuation multiples are presented in trading and transaction comps analyses. 
LTM multiples have the advantage of being based off of actual, factual results. For example, the fact that a company generated $200mm in revenue under accrual accounting standards can be found in its formally audited financial statements (i.e. even if analysts “scrub” and make adjustments to this figure later on).
But LTM multiples suffer from the issue that historical results can be, and quite often are, distorted by non-recurring expenses such as restructuring expenses and legal settlements, as well as non-recurring income (e.g. non-core asset sales).
In effect, the inclusion of such items can cause the metrics of companies to be misconstrued (and thus, misleading to investors).
One goal of relative valuation is to use multiples that properly account for the target company’s core, recurring operating performance.
To reiterate from earlier, historical metrics must be adjusted to exclude non-recurring items.
Forward multiples have the drawback of being subjective measures, where discretionary decisions can cause substantial differences in valuations.
Since projected EBITDA, EBIT, and EPS are all forecasts based on individual judgment, as well as management guidance, these figures tend to be less reliable relative to historical performance.
Hence, both LTM and forward multiples (e.g. NTM) are typically presented side-by-side, rather than picking one instead of another, as the decision is not mutually exclusive.
</t>
      </text>
    </comment>
    <comment authorId="0" ref="A246">
      <text>
        <t xml:space="preserve">Leverage index (LVGI) is:
LVGI = [(Current Liabilitiest + Total Long Term Debtt) / Total Assetst] / [(Current Liabilitiest-1 + Total Long Term Debtt-1) / Total Assetst-1]</t>
      </text>
    </comment>
    <comment authorId="0" ref="A250">
      <text>
        <t xml:space="preserve">A leveraged buyout (LBO) is the acquisition of another company using a significant amount of borrowed money (bonds or loans) to meet the cost of acquisition. The assets of the company being acquired are often used as collateral for the loans, along with the assets of the acquiring company.
1
KEY TAKEAWAYS
A leveraged buyout (LBO) occurs when the acquisition of another company is completed almost entirely with borrowed funds.
Leveraged buyouts declined in popularity after the 2008 financial crisis, but they are once again on the rise.
In an LBO, there is usually a ratio of 90% debt to 10% equity.
LBOs have acquired a reputation as a ruthless and predatory business tactic, especially since the target company's assets can be used as leverage against it.</t>
      </text>
    </comment>
    <comment authorId="0" ref="A251">
      <text>
        <t xml:space="preserve">Levered Beta = Unlevered Beta × [1 + (1 – Tax Rate) × (Debt ÷ Equity)]
Levered Beta → Inclusive of Capital Structure (D/E) Effects
Often referred to as the “equity beta”, a levered beta is the beta of a firm inclusive of the effects of the capital structure.
Generally speaking, a higher debt-to-equity ratio should cause the risk associated with a company’s equity shares to increase – all else being equal. The more debt on a company (and the higher the debt-to-equity ratio), the higher the risk of default (and the equity holders possibly getting left with nothing).
When calculating levered beta, the formula consists of multiplying the unlevered beta by 1 plus the product of (1 – tax rate) and the company’s debt to equity ratio (D/E).</t>
      </text>
    </comment>
    <comment authorId="0" ref="A257">
      <text>
        <t xml:space="preserve">LAST TWELVE? = Latest Annual EBITDA + YTD EBITDA – Prior YTD EBITDA
= a company’s earnings before interest, taxes, depreciation, and amortization across the trailing twelve months.
</t>
      </text>
    </comment>
    <comment authorId="0" ref="A259">
      <text>
        <t xml:space="preserve">Market Value of Debt refers to the market price investors would be willing to buy a company’s debt for, which differs from the book value on the balance sheet. A company’s debt doesn’t always come in the form of publicly traded bonds, which have a specified market value. Instead, many companies own debt that can be classified as non-traded, such as bank loans.
Because this debt is reported at book value or accounting value in the financial statements, it is the analysts’ responsibility to calculate the market value, which will be of major importance when calculating the company’s total Enterprise Value.
MVD Bond pricing:
C[(1 – (1/((1 + Kd)^t)))/Kd] + [FV/((1 + Kd)^t)]
Where C is the interest expense (in dollars)
Kd is the current cost of Debt (in percentages)
T is the weighted average maturity (in years)
FV represents the total debt
calculate the Enterprise Value by adding the Cash and Cash Equivalents to our calculated MV of Debt. This value can then be compared with the market cap and used for the calculation of financial ratios to complete the analyst’s toolbox.</t>
      </text>
    </comment>
    <comment authorId="0" ref="A260">
      <text>
        <t xml:space="preserve">The market value of equity (MVE) represents the total market capitalization of a company and is the combined value of all outstanding shares of the company's common stock. To calculate the market value of equity, you can use the following formula:
Market Value of Equity (MVE) =
Current Stock Price × Number of Outstanding Shares
Market Value of Equity (MVE)=Current Stock Price×Number of Outstanding Shares
Here's how you can find the components needed for the calculation:
Current Stock Price:
Obtain the current market price of one share of the company's common stock. This information is readily available on financial news websites, stock market platforms, or the company's investor relations page.
Number of Outstanding Shares:
Determine the total number of outstanding shares of the company. This information can be found in the company's financial statements (such as the balance sheet) or in its annual or quarterly reports. Alternatively, financial news sources or stock market platforms often provide this information.
Once you have the current stock price and the number of outstanding shares, plug these values into the formula to calculate the market value of equity.
Market Value of Equity
=
Current Stock Price
×
Number of Outstanding Shares
Market Value of Equity=Current Stock Price×Number of Outstanding Shares
It's important to note that the market value of equity represents the market's perception of the company's total worth based on the current stock price and the number of shares outstanding. This value can fluctuate with changes in the stock price and may not necessarily reflect the book value or intrinsic value of the company. Additionally, consider factors such as market conditions, investor sentiment, and company performance when interpreting the market value of equity.</t>
      </text>
    </comment>
    <comment authorId="0" ref="A261">
      <text>
        <t xml:space="preserve">The market-to-book ratio, also called the price-to-book ratio, is the reverse of the book-to-market ratio.</t>
      </text>
    </comment>
    <comment authorId="0" ref="A262">
      <text>
        <t xml:space="preserve">https://blog.portfolio123.com/what-are-the-best-value-ratios:
A master limited partnership (MLP) is a business venture in the form of a publicly traded limited partnership. It combines the tax benefits of a private partnership with the liquidity of a publicly traded company.
A master limited partnership trades on national exchanges. MLPs generally experience cash flow stability and are required by the partnership agreement to distribute a set amount of cash to investors. Their structure can also help reduce the cost of capital in capital-intensive businesses, such as the energy sector.
The first MLP was organized in 1981; however, by 1987, Congress effectively limited the use of them to the real estate and natural resources sectors. These limitations were put into place out of concern over too much lost corporate tax revenue. MLPs do not pay federal income taxes.
1
2
KEY TAKEAWAYS
A master limited partnership (MLP) is a company organized as a publicly traded partnership.
MLPs combine a private partnership's tax advantages with a stock's liquidity.
MLPs have two types of partners: general partners, who manage the MLP and oversee its operations, and limited partners, who are investors in the MLP.
Investors receive tax-sheltered distributions from the MLP.
MLPs are considered low-risk, long-term investments, providing a slow but steady income stream.
Understanding Master Limited Partnerships (MLPs)
The MLP is a hybrid legal entity that combines elements of two business structures—a partnership and a corporation. First of all, it is considered the aggregate of its partners rather than a separate legal entity (as is the case with a corporation).
Second, it technically has no employees. The general partners are responsible for providing all necessary operational services. General partners usually hold an approximate 2% stake in the venture and have the option to increase their ownership.
1
3
An MLP issues units instead of shares. However, these units are often traded on national stock exchanges. As a result, they are a liquid security. Traditional partnerships cannot offer the same level of liquidity.</t>
      </text>
    </comment>
    <comment authorId="0" ref="A267">
      <text>
        <t xml:space="preserve">Montier's C-Score is a discrete score between 0-6 which reflects six criteria used to determine whether a company is cooking the books (hence the term “C-Score”). It was devised by James Montier who was then the co-Head of Global Strategy at Société Générale. The points are added to give an overall score. If a company scores 0 there is no evidence of earnings manipulation whilst 6 suggests there is lots of evidence. The areas tested are:
Growing divergence between net income and cash flow (1 point). A higher level of accruals is associated with a higher likelihood of profit manipulation.
Increasing receivable days (1 point). A large increase in receivable days might suggest accelerated revenue recognition to inflate profits.
Increasing inventory days (1 point). Increasing inventory days could suggest that input costs are being artificially flattered or that sales growth is slowing.
Increasing other current assets (1 point). Companies might be aware that investors often look at receivables and inventory, and might disguise problems in current assets.
Declines in depreciation relative to gross fixed assets (1 point). Firms have been known to lower depreciation charges in order to inflate profits.
Total asset growth in excess of 10% (1 point). Some companies become serial acquirers and use acquisitions to distort profits.</t>
      </text>
    </comment>
    <comment authorId="0" ref="A268">
      <text>
        <t xml:space="preserve">also known as "Moody's Aaa" for short is an investment bond that acts as an index of the performance of all bonds given an Aaa rating by Moody's Investors Service. This corporate bond is often used in macroeconomics as an alternative to the federal ten-year Treasury Bill as an indicator of the interest rate. Moody's and other investment companies have other less common investment bonds that are also used.</t>
      </text>
    </comment>
    <comment authorId="0" ref="A275">
      <text>
        <t xml:space="preserve">?Net Cash Flow/Price
</t>
      </text>
    </comment>
    <comment authorId="0" ref="A277">
      <text>
        <t xml:space="preserve">market value of an investment fund, namely mutual funds, and is equal to the total value of assets held minus the total liabilities.</t>
      </text>
    </comment>
    <comment authorId="0" ref="A278">
      <text>
        <t xml:space="preserve">Net assets = total assets - total liabilities
Found on balance sheet
((Total Fixed Assets + Total Current Assets) – (Total Current Liabilities + Total Long Term Liabilities))
Net Fixed Assets Formula= (Total Fixed Asset Purchase Price + capital improvements) – (Accumulated Depreciation + Fixed Asset Liabilities)
market value of an investment fund, namely mutual funds, and is equal to the total value of assets held minus the total liabilities.
Net assets are things that a company owns minus the things that it owes to others. Different net assets calculations provide specific information regarding the company's financial health. Understanding the term 'net asset' may help you develop stronger analytical, entrepreneurial and accounting skills. In this article, we answer 'what are net assets?', show their importance, explain how to calculate them and provide examples of net assets.</t>
      </text>
    </comment>
    <comment authorId="0" ref="A281">
      <text>
        <t xml:space="preserve">from REddit:
NET COMMON OVERHANG (I wonder if he is doing it /sh since it's used again in the right side of his sheet... I gotta check again)
+LT Liabilities
+ST Debt
-Excess Cash &amp; ST Investments
</t>
      </text>
    </comment>
    <comment authorId="0" ref="A283">
      <text>
        <t xml:space="preserve">Here you subtract the dividends paid from the TTM free cash flow. NetFCFTTM / MktCap
Which of these seven had the absolute best performance? Well, they’re all very close, but if I had to choose just one, it would be #6, with #3 in second place.</t>
      </text>
    </comment>
    <comment authorId="0" ref="A284">
      <text>
        <t xml:space="preserve">Here you take the net free cash flow and subtract the cost of equity times the invested equity. There are a lot of different ways to measure cost of equity. The simplest is the risk-free rate plus the company’s beta times an equity risk premium. (I use the ten-year treasury yield as the risk-free rate and 10% minus that yield as the equity risk premium.) A much more complicated method is the subject of another article I wrote. By “invested equity” I mean book value less cash and equivalents. (NetFCFTTM - (Close (0, ##UST10Yr) / 100 + (0.1 - Close(0, ##UST10Yr) / 100) * Beta3Y) * Max (0, AstTotQ - IsNA (CashEquivQ, 0) - IsNA (LiabTotQ, DbtTotQ))) / MktCap</t>
      </text>
    </comment>
    <comment authorId="0" ref="A286">
      <text>
        <t xml:space="preserve">Revenue –COGS– Expenses
OR
Gross Income – Expenses
OR
Total Revenues – Total Expenses
Net income (NI), also called net earnings, is calculated as sales minus cost of goods sold, selling, general and administrative expenses, operating expenses, depreciation, interest, taxes, and other expenses. 
KEY TAKEAWAYS
Net income (NI) is calculated as revenues minus expenses, interest, and taxes.
Earnings per share are calculated using NI.
Investors should review the numbers used to calculate NI because expenses can be hidden in accounting methods, or revenues can be inflated.
NI also represents an individual's total earnings or pre-tax earnings after factoring deductions and taxes in gross income.
-Businesses use net income to calculate their earnings per share. -Business analysts often refer to net income as the bottom line since it is at the bottom of the income statement. 
-Analysts in the United Kingdom know NI as profit attributable to shareholders.
Net Income=Total Revenue−Total Expenses
*net sales and net income are different financial metrics that appear on a company's income statement, and they represent distinct aspects of the company's financial performance.
Net Income =
Total Revenue−Total Expenses
Net income is the total profit of a company after deducting all expenses, including operating expenses, interest, taxes, and any other relevant costs. It is typically found on the income statement.
The net income metric, or the “bottom line” on the income statement, is a company’s residual earnings, inclusive of all operating and non-operating expenses incurred in a given period.
In accounting, the net income is the revenue left over once all operating and non-operating costs have been accounted for.
The operating costs refer to cost of goods sold (COGS) and operating expenses (SG&amp;A).
Cost of Goods Sold (COGS) → The direct costs related to the company’s core operations generating revenue.
Operating Expenses (OpEx) → The indirect costs related to company operations (e.g. selling, general and administrative)
On the other hand, non-operating costs include expenses that are not part of the core operations of a company.
Non-Operating Costs, net → The expenses unrelated to the company’s core operations – net of any non-operating income (e.g. marketable securities, short-term investments).
Income Taxes → The local, state, and federal taxes owed and paid to the government.
Since each line item above net profit, such as revenue and expenses, is recorded under accrual accounting standards, net income is also considered a measure of the “accounting profits” of a company.
*net sales and net income are different financial metrics that appear on a company's income statement, and they represent distinct aspects of the company's financial performance.
Revenue –COGS– Expenses
OR
Gross Income – Expenses
OR
Total Revenues – Total Expenses
Net income (NI), also called net earnings, is calculated as sales minus cost of goods sold, selling, general and administrative expenses, operating expenses, depreciation, interest, taxes, and other expenses. 
KEY TAKEAWAYS
Net income (NI) is calculated as revenues minus expenses, interest, and taxes.
Earnings per share are calculated using NI.
Investors should review the numbers used to calculate NI because expenses can be hidden in accounting methods, or revenues can be inflated.
NI also represents an individual's total earnings or pre-tax earnings after factoring deductions and taxes in gross income.
-Businesses use net income to calculate their earnings per share. -Business analysts often refer to net income as the bottom line since it is at the bottom of the income statement. 
-Analysts in the United Kingdom know NI as profit attributable to shareholders.</t>
      </text>
    </comment>
    <comment authorId="0" ref="A287">
      <text>
        <t xml:space="preserve">the profit made, if any, in the accounting period in which the operation was discontinued.</t>
      </text>
    </comment>
    <comment authorId="0" ref="A289">
      <text>
        <t xml:space="preserve">Analysts can have legitimate disagreements about how to calculate Net Long Term Debt, but YCharts calculates it as:
Net Long Term Debt = Total Long Term Debt – Cash and Short Term Investments
the final debt a company holds after eliminating the company’s immediately available assets. Net Long Term Debt is a measure of how able the company is of repaying all its debts if due today.</t>
      </text>
    </comment>
    <comment authorId="0" ref="A291">
      <text>
        <t xml:space="preserve">NOI = 
Operating Revs - Operating Exp
Net Operating Income=
Revenue−COE
COE=Certain operating expenses
Total Debt Service=Current debt obligations
​
Net operating income is a company's revenue minus certain operating expenses (COE), not including taxes and interest payments. It is often considered equal to earnings before interest and tax (EBIT).
Net operating income measures an income-producing property's profitability before adding in any costs from financing or taxes.
To calculate NOI, subtract all operating expenses incurred on a property from all revenue generated on the property.
The operating expenses used in the NOI metric can be manipulated if a property owner defers or accelerates certain income or expense items.
The NOI metric does not include capital expenditures.
NOI will indicate to a property owner if renting a property is worth the expense of owning and maintaining it.
NOI=Operating Revenue−Operating Expenses
Here's how you can break down the components:
Operating Revenue: This includes all revenues generated from the company's core business operations. It typically includes sales, fees, and any other income directly related to the main business activities. You can find this information on the company's income statement.
Operating Expenses: These are the costs directly associated with the day-to-day operations of the business. Operating expenses include items such as rent, utilities, wages, and other costs related to producing and selling goods or services. You can find this information on the company's income statement as well.
Once you have the operating revenue and operating expenses, you can use the formula mentioned above to calculate Net Operating Income.
Keep in mind that Net Operating Income is a key financial metric used in real estate and business valuation. If you are looking for this information for a specific purpose, make sure you are using the correct definition and formula based on the context.</t>
      </text>
    </comment>
    <comment authorId="0" ref="A292">
      <text>
        <t xml:space="preserve">Net Present Value
While net present value (NPV) calculations are useful when evaluating investment opportunities, the process is by no means perfect. NPV is a useful starting point but it's not a definitive metric that an investor should rely on for all investment decisions as there are some disadvantages to using the NPV calculation.
KEY TAKEAWAYS
Net present value (NPV) is a calculation that takes a future stream of cash flows and discounts them back into the present day.
The NPV calculation helps investors decide how much they would be willing to pay today for a stream of cash flows in the future.
One disadvantage of using NPV is that it can be challenging to accurately arrive at a discount rate that represents the investment's true risk premium.
Another disadvantage of using NPV is that a company may select a cost of capital that is either too high or too low, thus leading the company to miss a profitable opportunity or make an investment that is not worthwhile.
Net Present Value (NPV)
Net present value (NPV) looks to assess the profitability of a given investment on the basis that a dollar in the future is not worth the same as a dollar today. Money loses value over time due to inflation. However, a dollar today can be invested and earn a return, making its future value possibly higher than a dollar received at the same point in the future.
NPV seeks to determine the present value of future cash flows of an investment above the initial cost of the investment. The discount rate element of the NPV formula discounts the future cash flows to the present-day value. If subtracting the initial cost of the investment from the sum of the cash flows in the present-day is positive, then the investment is worthwhile.
For example, an investor could receive $100 today or a year from now. Most investors would not be willing to postpone receiving $100 today. However, what if an investor could choose to receive $100 today or $105 in one year? The 5% rate of return (RoR) for waiting one year might be worthwhile for an investor unless there was another investment that could yield a rate greater than 5% over the same period.
If an investor knew they could earn 8% from a relatively safe investment over the next year, they would choose to receive $100 today and not the $105 in a year, with the 5% rate of return. In this case, the 8% is the discount rate.
 An alternative to net present value (NPV) is the payback period or payback method, which refers to the amount of time it takes for the investor to reach the breakeven point and recover their initial investment cost. More attractive investments generally have shorter payback periods.
Disadvantages of Net Present Value (NPV)
Selecting a Discount Rate
How does an investor know which discount rate to use? Accurately pegging a percentage number to an investment to represent its risk premium is not an exact science. If the investment is safe with a low risk of loss, 5% may be a reasonable discount rate to use. But what if the investment harbors enough risk to warrant a 10% discount rate? Because NPV calculations require the selection of a discount rate, they can be unreliable if the wrong rate is selected.
Making matters even more complex is the possibility that the investment will not have the same level of risk throughout its entire time horizon.
In our example of a five-year investment, how should an investor calculate NPV if the investment had a high risk of loss for the first year but a relatively low risk for the last four years? The investor could apply different discount rates for each period, but this would make the model even more complex and require the pegging of five discount rates.
Determining the Cost of Capital and Cash Flows
The cost of capital is the rate of return required that makes an investment worthwhile. It helps determine whether the return on the investment is worth the risk. When a company decides on whether or not to make an investment, it has to set an appropriate cost of capital. If it aims too high then it may determine an investment is not worth the risk and have a missed opportunity. Conversely, if the cost of capital is too low, it may be making investment decisions that are not worthwhile.
When an investment doesn't have a guaranteed return it can be difficult to determine the cash flows from that investment. This can sometimes be the case for companies that invest in new equipment or decisions based on business expansion. A company can estimate the kind of cash flows these investment decisions may have, but there is a chance they could be off by a significant percentage.
Investment Size
A higher NPV doesn't necessarily mean a better investment. If there are two investments or projects up for decision, and one project is larger in scale, the NPV will be higher for that project as NPV is reported in dollars and a larger outlay will result in a larger number. It's important to assess the returns from an investment in percentage terms to get an accurate picture of which investment provides a better return.</t>
      </text>
    </comment>
    <comment authorId="0" ref="A293">
      <text>
        <t xml:space="preserve">masterclass: net sales = gross sales – (return values + discount losses + sales taxes + allowances).
chatgpt4:  Net Sales= Total Revenue−Returns, Discounts, Allowances, etc.
Net Sales = Gross Sales – Sales Returns – Allowances – Discounts
Net Sales = (Total Units Sold x Sale Per Unit Price) – Sales Returns – Allowances – Discounts
Found on Statement of Operations (Income Statement)
The sum of a company's gross sales minus its returns, allowances, and discounts. Net sales calculations are not always transparent externally. They can often be factored into the reporting of top line revenues reported on the income statement. 
Net sales can typically be found in the income statement section of a company's 10-K filing. 
The income statement provides a summary of a company's revenues, costs, and expenses over a specific period of time. 
Obtain the company's 10-K filing&gt;Navigate to Financial Statements
The income statement is typically included in this section.
Identify the Income Statement:
Once in the financial statements section, locate the document labeled "Consolidated Statements of Operations," "Statement of Income," or a similar term. This is where you will find the income statement.
Find Net Sales:
Within the income statement, look for the line item named "Net Sales" or "Revenue." This is the total amount of money generated by the sale of goods or services during the reporting period.
Check for Additional Details:
Sometimes, companies provide additional information and breakdowns within the notes to the financial statements. If you need more detailed information about net sales or specific components, check the notes.
Remember that the exact wording and format of financial statements may vary between companies, but net sales should be clearly labeled within the income statement. If you have a specific 10-K in mind, you can refer to the table of contents or use the search function within the document to find the income statement section.
net sales and net income are different financial metrics that appear on a company's income statement, and they represent distinct aspects of the company's financial performance.
Net Sales (or Revenue):
Net sales, also referred to as revenue or sales, represents the total amount of money generated by a company from its primary business activities. It includes the total sales of goods or services before deducting any returns, discounts, or allowances. Net sales is a top-line figure that reflects a company's ability to generate income from its core operations.
Net Sales= Total Revenue−Returns, Discounts, Allowances, etc.
Net income, on the other hand, is the bottom-line figure on the income statement. It represents the profit or loss a company has incurred after deducting all expenses, including operating expenses, interest, taxes, and other costs, from its total revenue. Net income is a key measure of a company's overall profitability.
Net Income=Total Revenue−Total Expenses
In summary, net sales is a measure of a company's total sales before deducting certain items, while net income is the profit or loss after deducting all expenses from the total revenue. Both metrics provide valuable insights into different aspects of a company's financial performance. Net sales is a measure of revenue generation, while net income reflects the profitability of the company after all costs are considered.</t>
      </text>
    </comment>
    <comment authorId="0" ref="A294">
      <text>
        <t xml:space="preserve">masterclass: net sales = gross sales – (return values + discount losses + sales taxes + allowances).
chatgpt4:  Net Sales= Total Revenue−Returns, Discounts, Allowances, etc.
Net Sales = Gross Sales – Sales Returns – Allowances – Discounts
Net Sales = (Total Units Sold x Sale Per Unit Price) – Sales Returns – Allowances – Discounts
Found on Statement of Operations
The sum of a company's gross sales minus its returns, allowances, and discounts. Net sales calculations are not always transparent externally. They can often be factored into the reporting of top line revenues reported on the income statement. 
Net sales can typically be found in the income statement section of a company's 10-K filing. 
The income statement provides a summary of a company's revenues, costs, and expenses over a specific period of time. 
Obtain the company's 10-K filing&gt;Navigate to Financial Statements
The income statement is typically included in this section.
Identify the Income Statement:
Once in the financial statements section, locate the document labeled "Consolidated Statements of Operations," "Statement of Income," or a similar term. This is where you will find the income statement.
Find Net Sales:
Within the income statement, look for the line item named "Net Sales" or "Revenue." This is the total amount of money generated by the sale of goods or services during the reporting period.
Check for Additional Details:
Sometimes, companies provide additional information and breakdowns within the notes to the financial statements. If you need more detailed information about net sales or specific components, check the notes.
Remember that the exact wording and format of financial statements may vary between companies, but net sales should be clearly labeled within the income statement. If you have a specific 10-K in mind, you can refer to the table of contents or use the search function within the document to find the income statement section.
net sales and net income are different financial metrics that appear on a company's income statement, and they represent distinct aspects of the company's financial performance.
Net Sales (or Revenue):
Net sales, also referred to as revenue or sales, represents the total amount of money generated by a company from its primary business activities. It includes the total sales of goods or services before deducting any returns, discounts, or allowances. Net sales is a top-line figure that reflects a company's ability to generate income from its core operations.
Net Sales= Total Revenue−Returns, Discounts, Allowances, etc.
Net income, on the other hand, is the bottom-line figure on the income statement. It represents the profit or loss a company has incurred after deducting all expenses, including operating expenses, interest, taxes, and other costs, from its total revenue. Net income is a key measure of a company's overall profitability.
Net Income=Total Revenue−Total Expenses
In summary, net sales is a measure of a company's total sales before deducting certain items, while net income is the profit or loss after deducting all expenses from the total revenue. Both metrics provide valuable insights into different aspects of a company's financial performance. Net sales is a measure of revenue generation, while net income reflects the profitability of the company after all costs are considered.</t>
      </text>
    </comment>
    <comment authorId="0" ref="A296">
      <text>
        <t xml:space="preserve">NTM, on the other hand, stands for Next Twelve Months
From the view of many practitioners, especially those investing in technology-related and high-growth sectors, forward multiples (NTM) are preferred because they account for projected growth.
LTM vs. NTM Multiples Trade-Offs
When deciding between using a LTM or a forward multiple, there are some trade-offs to be aware of.
LTM multiples have the advantage of being based off of actual, factual results. For example, the fact that a company generated $200mm in revenue under accrual accounting standards can be found in its formally audited financial statements (i.e. even if analysts “scrub” and make adjustments to this figure later on).
But LTM multiples suffer from the issue that historical results can be, and quite often are, distorted by non-recurring expenses such as restructuring expenses and legal settlements, as well as non-recurring income (e.g. non-core asset sales).
In effect, the inclusion of such items can cause the metrics of companies to be misconstrued (and thus, misleading to investors).
One goal of relative valuation is to use multiples that properly account for the target company’s core, recurring operating performance.
To reiterate from earlier, historical metrics must be adjusted to exclude non-recurring items.
Forward multiples have the drawback of being subjective measures, where discretionary decisions can cause substantial differences in valuations.
Since projected EBITDA, EBIT, and EPS are all forecasts based on individual judgment, as well as management guidance, these figures tend to be less reliable relative to historical performance.
Hence, both LTM and forward multiples (e.g. NTM) are typically presented side-by-side, rather than picking one instead of another, as the decision is not mutually exclusive.</t>
      </text>
    </comment>
    <comment authorId="0" ref="A299">
      <text>
        <t xml:space="preserve">Non-Current (Long-term liabilities) are typically due more than a year in the future. Examples of long-term liabilities include mortgage loans, bonds payable, and other long-term leases or loans, except the portion due in the current year.
Long-term liabilities or debt are those obligations on a company's books that are not due without the next 12 months. Loans for machinery, equipment, or land are examples of long-term liabilities, whereas rent, for example, is a short-term liability that must be paid within the year. A company's long-term debt can be compared to other economic measures to analyze its debt structure and financial leverage.
A non-current liability (long-term liability) broadly represents a probable sacrifice of economic benefits in periods generally greater than one year in the future. Common types of non-current liabilities reported in a company’s financial statements include long-term debt (e.g., bonds payable, long-term notes payable), leases, pension liabilities, and deferred tax liabilities. This reading focuses on bonds payable, leases, and pension liabilities.
 Section 2 introduces bonds and the accounting for their issuance. Section 3 discusses the recording of interest expense and interest payments as well as the amortisation of discount or premium. Section 4 describes fair value accounting for bonds, an alternative to the amortised cost approach. Section 5 discusses the repayment of principal when bonds are redeemed or reach maturity, which requires derecognition from the financial statements. Section 6 covers debt covenants. Section 7 describes the financial statement presentation and disclosures about debt financings. Section 8 discusses leases, including the benefits of leasing and accounting for leases by both lessees and lessors. Section 9 introduces pension accounting and the resulting non-current liabilities. Section 10 discusses the use of leverage and coverage ratios in evaluating solvency. Section 11 concludes and summarises the reading.
Learning Outcomes
The member should be able to:
determine the initial recognition, initial measurement and subsequent measurement of bonds;
describe the effective interest method and calculate interest expense, amortisation of bond discounts/premiums, and interest payments;
explain the derecognition of debt;
describe the role of debt covenants in protecting creditors;
describe the financial statement presentation of and disclosures relating to debt;
explain motivations for leasing assets instead of purchasing them;
explain the financial reporting of leases from a lessee’s perspective;
explain the financial reporting of leases from a lessor’s perspective;
compare the presentation and disclosure of defined contribution and defined benefit pension plans;
calculate and interpret leverage and coverage ratios.
Summary
Non-current liabilities arise from different sources of financing and different types of creditors. Bonds are a common source of financing from debt markets. Key points in accounting and reporting of non-current liabilities include the following:
The sales proceeds of a bond issue are determined by discounting future cash payments using the market rate of interest at the time of issuance (effective interest rate). The reported interest expense on bonds is based on the effective interest rate.
Future cash payments on bonds usually include periodic interest payments (made at the stated interest rate or coupon rate) and the principal amount at maturity.
When the market rate of interest equals the coupon rate for the bonds, the bonds will sell at par (i.e., at a price equal to the face value). When the market rate of interest is higher than the bonds’ coupon rate, the bonds will sell at a discount. When the market rate of interest is lower than the bonds’ coupon rate, the bonds will sell at a premium.
An issuer amortises any issuance discount or premium on bonds over the life of the bonds.
If a company redeems bonds before maturity, it reports a gain or loss on debt extinguishment computed as the net carrying amount of the bonds (including bond issuance costs under IFRS) less the amount required to redeem the bonds.
Debt covenants impose restrictions on borrowers, such as limitations on future borrowing or requirements to maintain a minimum debt-to-equity ratio.
The carrying amount of bonds is typically the amortised historical cost, which can differ from their fair value.
Companies are required to disclose the fair value of financial liabilities, including debt. Although permitted to do so, few companies opt to report debt at fair values on the balance sheet.
A lease is a contract in which a lessor grants the lessee the exclusive right to use a specific underlying asset for a period of time in exchange for payments.
Leasing is a common arrangement because it has several advantages over purchasing an asset outright: less upfront cash commitment, generally low interest rates, and lower risks associated with ownership such as obsolescence.
Leases are classified as operating or finance leases. Finance leases resemble an asset purchase or sale while operating leases resemble a rental agreement.
US GAAP and IFRS share the same accounting treatment for lessors but differ for lessees. IFRS has a single accounting model for both operating leases and finance lease lessees, while US GAAP has an accounting model for each.
Lessees reporting under IFRS and finance lease lessees reporting under US GAAP recognize a lease liability and corresponding right-of-use asset on the balance sheet, equal to the present value of lease payments. The liability is subsequently reduced using the effective interest method and the right-of-use asset is amortized. Interest expense and amortization expense are shown separately on the income statement. The statement of cash flows shows the entire lease payment.
Operating lease lessees reporting under US GAAP recognize a lease liability and corresponding right-of-use asset on the balance sheet, equal to the present value of lease payments. The liability is subsequently reduced using the effective interest method, but the amortization of the right-of-use asset is the lease payment less the interest expense. Interest expense and amortization expense are shown together as a single operating expense on the income statement.
Finance lease lessors (IFRS and US GAAP) recognize a lease receivable asset equal to the present value of future lease payments and de-recognize the leased asset, simultaneously recognizing any difference as a gain or loss. The lease receivable is subsequently reduced by each lease payment using the effective interest method. Interest income is reported on the income statement, typically as revenue, and the entire cash receipt is reported under operating activities on the statement of cash flows.
Operating lease lessors (IFRS and US GAAP): The balance sheet is not affected—The lessor continues to recognize the underlying asset and depreciate it. Lease revenue is recognized on a straight-line basis on the income statement and the entire cash receipt is reported under operating activities on the statement of cash flows.
Two types of pension plans are defined contribution plans and defined benefits plans. In a defined contribution plan, the amount of contribution into the plan is specified (i.e., defined) and the amount of pension that is ultimately paid by the plan (received by the retiree) depends on the performance of the plan’s assets. In a defined benefit plan, the amount of pension that is ultimately paid by the plan (received by the retiree) is defined, usually according to a benefit formula.
Under a defined contribution pension plan, the cash payment made into the plan is recognised as pension expense.
Under both IFRS and US GAAP, companies must report the difference between the defined benefit pension obligation and the pension assets as an asset or liability on the balance sheet. An underfunded defined benefit pension plan is shown as a non-current liability.
Under IFRS, the change in the defined benefit plan net asset or liability is recognised as a cost of the period, with two components of the change (service cost and net interest expense or income) recognised in profit and loss and one component (remeasurements) of the change recognised in other comprehensive income.
Under US GAAP, the change in the defined benefit plan net asset or liability is also recognised as a cost of the period with three components of the change (current service costs, interest expense on the beginning pension obligation, and expected return on plan assets) recognised in profit and loss and two components (past service costs and actuarial gains and losses) typically recognised in other comprehensive income.
Solvency refers to a company’s ability to meet its long-term debt obligations.
In evaluating solvency, leverage ratios focus on the balance sheet and measure the amount of debt financing relative to equity financing.
In evaluating solvency, coverage ratios focus on the income statement and cash flows and measure the ability of a company to cover its interest payments.</t>
      </text>
    </comment>
    <comment authorId="0" ref="A301">
      <text>
        <t xml:space="preserve">The most common examples of non-operating costs are interest expense, net, and any one-time expenses, such as restructuring charges and write-offs (or write-downs).</t>
      </text>
    </comment>
    <comment authorId="0" ref="A302">
      <text>
        <t xml:space="preserve">Normalized EBITDA = EBIT + D&amp;A + Adjustments</t>
      </text>
    </comment>
    <comment authorId="0" ref="A303">
      <text>
        <t xml:space="preserve">In the context of a bond, the term "note" is often used to refer to a written promise by the issuer to repay a specified amount of money, typically with interest, to the bondholder. 
A note is a formal legal document that outlines the terms and conditions of the bond, including details such as the interest rate, maturity date, face value, and any covenants or restrictions.
Here are key elements commonly found in the note on a bond:
Issuer's Promise:
The note includes a commitment from the issuer (the entity raising funds) to repay the principal amount (face value) of the bond to the bondholder upon maturity.
Interest Rate:
The note specifies the interest rate that the issuer agrees to pay the bondholder. This may be a fixed rate, a variable rate tied to a benchmark, or a combination of both.
Maturity Date:
The maturity date is the date on which the bond reaches its term, and the issuer must repay the principal amount to the bondholder. The note clearly states the maturity date.
Face Value or Principal Amount:
The face value, also known as the principal amount, is the amount that the issuer agrees to repay at maturity. It is the nominal value of the bond.
Interest Payment Schedule:
The note outlines the schedule for interest payments, including the frequency of payments (e.g., semi-annual, annual) and the dates on which interest payments are due.
Interest Payment Calculation:
For variable-rate bonds, the note may include details on how the interest rate is calculated, such as a spread over a benchmark rate (e.g., LIBOR).
Call Provisions:
If applicable, the note may include information about call provisions that allow the issuer to redeem (call back) the bonds before maturity under specified conditions.
Covenants and Restrictions:
The note may contain covenants or restrictions imposed by the issuer, such as limitations on additional debt issuance, requirements for maintaining certain financial ratios, or other conditions.
Default and Remedies:
The note specifies events of default and the remedies available to bondholders in case of default by the issuer. This includes potential actions that bondholders can take to protect their interests.
Governing Law:
The note may indicate the governing law under which the bond agreement is subject. This is important for legal purposes and dispute resolution.
Signatures:
The note is typically signed by authorized representatives of the issuer and may include the seal of the issuer.
The note is a legally binding document that serves as the contract between the issuer and the bondholder, providing the terms and conditions that both parties must adhere to throughout the life of the bond. Investors should carefully review the note before investing in bonds to understand the rights, obligations, and risks associated with the investment.
When a public company decides to issue notes, it typically means that the company is issuing debt securities, often in the form of bonds or debentures. Issuing notes is a way for a company to raise capital by borrowing money from investors. Here is an overview of the process a public company may follow to issue notes:
Determine Financing Needs:
The company assesses its financial needs and determines the amount of capital it wants to raise through the issuance of debt. This decision is influenced by factors such as upcoming projects, acquisitions, debt refinancing, or other funding requirements.
Choose Note Terms:
The company establishes the terms of the notes, including the principal amount to be borrowed, the interest rate (fixed or variable), maturity date, and any other relevant terms or features. The terms are usually outlined in a document known as the "indenture."
Engage Underwriters (Optional):
In some cases, the company may engage investment banks or underwriters to assist with the issuance process. Underwriters help market the notes to potential investors and facilitate the sale of the securities.
Draft Offering Documents:
The company, possibly with the assistance of legal and financial advisors, prepares offering documents. These documents include a prospectus or offering memorandum that provides detailed information about the notes, the company's financial condition, and the intended use of proceeds.
Obtain Regulatory Approval:
The offering documents are submitted to regulatory authorities, such as the U.S. Securities and Exchange Commission (SEC) in the United States, for review and approval. The regulatory process ensures that the company provides accurate and transparent information to potential investors.
Register the Offering:
If the notes are publicly offered, the company registers the offering with the appropriate regulatory body. This involves filing the necessary registration statement, which becomes effective after regulatory review.
Market the Notes:
The company, along with underwriters if engaged, markets the notes to potential investors. This involves roadshows, presentations, and other activities to attract interest from institutional and retail investors.
Price the Notes:
The company, in consultation with underwriters if applicable, determines the final terms of the notes, including the issue price. The notes are then offered to investors at the established price.
Closing:
Once investor commitments are secured, the closing takes place. Investors provide funds, and the company issues the notes. The proceeds from the issuance are typically used for the intended purpose outlined in the offering documents.
Post-Issuance Reporting:
After the issuance, the company is required to comply with ongoing reporting requirements, providing periodic financial updates and ensuring continued transparency for investors.
It's important to note that the specific process may vary based on legal and regulatory requirements, market conditions, and the preferences of the issuing company. Additionally, engaging legal counsel and financial advisors is common to navigate the complexities of the issuance process and ensure compliance with relevant regulations.
the issuance and trading of bonds and debentures can have an impact on a company's stock price. Here are several ways in which bonds and debentures may influence stock prices:
Interest Rate Environment:
Changes in the broader interest rate environment can affect both bond and stock prices. When interest rates rise, the value of existing bonds may decrease as newer bonds with higher yields become available. Investors may shift their preferences, impacting the demand for both bonds and stocks.
Investor Sentiment:
The issuance of bonds or debentures can signal various things to investors. If a company issues debt to fund expansion or undertake positive projects, it may be viewed favorably, potentially boosting investor confidence and positively impacting the stock price. On the other hand, if debt is issued to manage financial difficulties, it might be perceived negatively, leading to a decline in stock price.
Financial Health and Leverage:
Investors often evaluate a company's financial health and leverage when considering its stock. The issuance of bonds adds debt to the company's capital structure, affecting its leverage ratio. If investors perceive the increase in leverage as manageable and justified, it may have a neutral or positive impact on the stock price. However, if concerns arise about the company's ability to service its debt, it could negatively impact stock prices.
Cash Flow and Dividend Payments:
The interest payments associated with bonds represent fixed obligations that companies must fulfill. This can impact a company's available cash flow, potentially affecting its ability to pay dividends to stockholders. Changes in dividend payments can influence stock prices, especially for income-focused investors.
Dilution Effects:
If a company issues convertible bonds or bonds with detachable warrants, there is a potential for dilution to existing shareholders. If bondholders convert their securities into shares, it increases the total number of shares outstanding, which can dilute ownership and impact earnings per share (EPS). This dilution effect can influence stock prices.
Market Perception:
Investor perception plays a significant role. If the market perceives that a company is managing its capital structure effectively and deploying debt for strategic purposes, it may have a positive impact on stock prices. Conversely, concerns about excessive debt levels or poor financial management can lead to a negative impact on stock prices.
Credit Rating Changes:
Bond issuances and financial health are factors considered by credit rating agencies. Changes in a company's credit rating can affect the interest rates on its bonds and impact investor confidence. Higher credit ratings may reduce borrowing costs, while lower ratings can lead to higher interest expenses and negatively impact stock prices.
It's important to note that the relationship between bond and stock prices is complex and influenced by various factors. The specific impact depends on the circumstances surrounding the bond issuance, the company's overall financial condition, and market sentiment. Investors often consider these dynamics when making investment decisions.</t>
      </text>
    </comment>
    <comment authorId="0" ref="A304">
      <text>
        <t xml:space="preserve">Here are steps you can take to estimate NTM Revenue:
Analyze Financial Guidance:
Companies often provide financial guidance or outlook statements that include revenue projections for the upcoming fiscal year. Check for any guidance or forecasts issued by the company in its quarterly or annual reports.
Review Analyst Estimates:
Financial analysts regularly publish estimates for companies, including revenue projections for the next twelve months. You can find these estimates on financial news websites or analyst reports.
Check Company Presentations:
Companies may include future revenue guidance in investor presentations or conferences. These materials can be found on the investor relations section of the company's website.
Use Financial Models:
Some investors or analysts create financial models to project a company's future performance, including revenue. These models often take into account historical financial data, industry trends, and other relevant factors.
Consider Management Commentary:
Management discussions and commentary in quarterly and annual reports may provide insights into the company's expectations for future revenue growth.
Look for Strategic Initiatives:
Consider any upcoming product launches, expansion plans, or strategic initiatives that could impact the company's revenue. Companies sometimes provide details about their future plans in their communications.
Industry Analysis:
Understand the industry trends and market conditions that could affect the company's revenue. A broader analysis of the industry can help in making reasonable revenue projections.
Use Consensus Estimates:
Financial data platforms often provide consensus estimates that aggregate analyst projections for a company's financial metrics, including revenue for the next twelve months.
Remember that projections always involve a level of uncertainty, and actual results may vary. It's crucial to use a combination of sources, conduct thorough research, and consider various factors to make informed estimates of NTM Revenue. Additionally, always be aware of the assumptions and methodologies used in any estimates or projections.</t>
      </text>
    </comment>
    <comment authorId="0" ref="A305">
      <text>
        <t xml:space="preserve">Omega Ratio = 
ΣWinning – Benchmarking / ΣBenchmarking – Loosing 
The omega ratio is a weighted risk-return ratio for a given expected return level that helps us identify the chances of winning compared to losing (the higher, the better). It also considers the third and fourth momentum effect, i.e., skewness &amp; Kurtosis, which gives this an immense usefulness compared to others.</t>
      </text>
    </comment>
    <comment authorId="0" ref="A308">
      <text>
        <t xml:space="preserve">Cash Flow Per Share = (Operating Cash Flows – Preferred Dividends) ÷ Total Number of Common Shares Outstanding
measures the operating cash flow (OCF) generated by a company that is attributable to each outstanding common share.
In order to calculate a company’s cash flow per share, its operating cash flow (OCF) is first adjusted by any preferred dividend issuances and then divided by its total common shares outstanding.
Operating Cash Flow (OCF) → OCF measures the net cash generated from a company’s core operations within a specified period. The operating cash flow (OCF) metric, or cash flow from operations, is meant to represent the cash flows generated from the core, recurring operations of a company.
Preferred Dividends → Dividend issuances paid to the owners of a company’s preferred stock, which hold precedence over common shareholders.
Total Common Shares Outstanding → The total weighted average number of common shares outstanding, i.e. each share is weighted by the proportion of the given fiscal year in which the share was “outstanding”.
However, there are numerous variations of the metric wherein free cash flow (FCF) metrics such as free cash flow to equity (FCFE) are used instead of operating cash flow (OCF).
Companies with more operating cash flows are better positioned to reinvest back into their operations, which indirectly benefits shareholders via share price appreciation, if publicly traded. The company could also repurchase shares or issue dividends to common shareholders, which is a form of direct compensation by either reducing dilution or via cash payments.
Cash Flow Per Share vs. Earnings Per Share (EPS)
The earnings per share (EPS) formula divides net income by the total number of common shares outstanding, most often on a diluted basis.
Earnings Per Share (EPS) = Net Income ÷ Total Number of Diluted Common Shares Outstanding
One notable use-case of the cash flow per share metric is that it can be used to support a company’s earnings per share (EPS) growth, i.e. to confirm that EPS increased year-over-year (YoY) due to greater profitability and cash flows rather than accounting tricks (or even fraud).
The distinction between the two metrics is tied to the company’s investing and financing activities.
Capital Structure: The effect of capital structure decisions and non-operating items on net income is one of the limitations to earnings per share (EPS) that makes it vulnerable to earnings management.
Net Income: Unlike net income, the cash flow from operations metric is far more difficult for management to “doctor” and intentionally misguide investors, as there are fewer discretionary decisions. The accrual-based net income metric is subject to discretionary decisions by management with regard to accounting policies, e.g. the useful life assumption on fixed assets (PP&amp;E). In contrast, the operating cash flow (OCF) of a company, while still imperfect, adjusts for non-cash items such as depreciation and amortization – which causes the value to be more reliable.</t>
      </text>
    </comment>
    <comment authorId="0" ref="A309">
      <text>
        <t xml:space="preserve">Gives investors an idea of the company's ability to turn sales into cash.
</t>
      </text>
    </comment>
    <comment authorId="0" ref="A310">
      <text>
        <t xml:space="preserve">Operating Costs → Cost of Goods Sold (COGS) and Operating Expenses (or SG&amp;A)</t>
      </text>
    </comment>
    <comment authorId="0" ref="A312">
      <text>
        <t xml:space="preserve">To find Operating Expenses, which are the costs associated with the day-to-day operations of a business, you can follow these steps:
Check the Income Statement (Profit and Loss Statement): The income statement provides a breakdown of a company's revenues and expenses over a specific period. Look for the section that details operating expenses. Common operating expenses include:
Wages and salaries
Rent
Utilities
Depreciation
Supplies
Insurance
Marketing and advertising
Research and development expenses
Identify Operating Expenses Line Items: The income statement will typically have separate line items for various operating expenses. These may be labeled as "Cost of Goods Sold" (COGS) or specific categories such as "Selling, General, and Administrative Expenses" (SG&amp;A).
Exclude Non-Operating Expenses: Operating expenses specifically refer to costs directly related to the core business operations. Exclude non-operating expenses, such as interest expense, which is related to financing activities rather than day-to-day operations.
Consider Amortization: Operating expenses may include amortization of intangible assets. Be sure to include this if applicable.
Review Notes to Financial Statements: Additional details about specific types of operating expenses, accounting policies, or changes in expense recognition may be provided in the notes to the financial statements. Check these notes for a more comprehensive understanding.
Use Financial Analysis Tools: Financial analysis tools or databases may offer detailed breakdowns of operating expenses by category, providing a more granular view of how costs are allocated.
It's important to carefully review the income statement and related financial disclosures to identify and understand the various components of operating expenses. The terminology used may vary among companies, so be attentive to specific line items on the income statement that correspond to operating expenses.
</t>
      </text>
    </comment>
    <comment authorId="0" ref="A313">
      <text>
        <t xml:space="preserve"> = Gross Profit – Operating Expenses (Opex)
represents the point on the income statement where all operating costs have been deducted. Therefore, all costs recognized on the income statement onward are non-operating items.</t>
      </text>
    </comment>
    <comment authorId="0" ref="A315">
      <text>
        <t xml:space="preserve">Operating Revenue, also known as Operating Income or Operating Sales, refers to the total revenue generated by a company from its core business operations. To find the Operating Revenue, you can follow these steps:
*It might be labeled as "Sales," "Net Sales," "Operating Revenue," or a similar term.
Check the Income Statement (Profit and Loss Statement): The income statement is a financial statement that provides a summary of a company's revenues, expenses, and profits over a specific period. Look for the line item that represents operating revenue. It might be labeled as "Sales," "Net Sales," "Operating Revenue," or a similar term.
Exclude Non-Operating Revenue: Operating Revenue specifically refers to the revenue generated from the primary business activities. Exclude any non-operating or extraordinary items from this figure. Non-operating items may include interest income, gains on the sale of assets, or other income not directly related to the core business.
Consider Discounts and Returns: If applicable, take into account any discounts given and returns from customers. The net amount after adjusting for these factors represents the true Operating Revenue.
Review Notes to Financial Statements: Sometimes, additional information about revenue recognition policies or specific types of revenue is provided in the notes to the financial statements. Review these notes for a more detailed understanding.
Use Financial Analysis Tools: If you have access to financial analysis tools or databases, you may find detailed breakdowns of operating revenue by product lines, geographical segments, or other categories.
Keep in mind that the terminology may vary slightly among companies, so carefully review the income statement and related financial disclosures to identify the relevant line item representing operating revenue.</t>
      </text>
    </comment>
    <comment authorId="0" ref="A316">
      <text>
        <t xml:space="preserve">Opportunity cost is one of the key concepts in the study of economics and is prevalent throughout various decision-making processes. The opportunity cost is the value of the next best alternative foregone. In simplified terms, it is the cost of what else one could have chosen to do.
----
https://corporatefinanceinstitute.com/resources/economics/opportunity-cost/
	-Brandon Hardison</t>
      </text>
    </comment>
    <comment authorId="0" ref="A319">
      <text>
        <t xml:space="preserve">Outstanding Letter of Credit Balance means the sum of (i) the un-drawn amount of the Letters of Credit, plus (ii) all amounts paid by the Bank in connection with drawings under the Letters of Credit for which the Bank has not been reimbursed in accordance with the Applications or this Agreement.</t>
      </text>
    </comment>
    <comment authorId="0" ref="A320">
      <text>
        <t xml:space="preserve">The Borrower, each Facing Agent and each of the Lenders hereby agree with respect to the Outstanding Letters of Credit that each such Outstanding Letters of Credit, for all purposes under this Agreement, shall, from and after the Closing Date, be deemed to be Letters of Credit governed by the terms and conditions of this Agreement.
A letter of credit, or a credit letter, is a letter from a bank guaranteeing that a buyer’s payment to a seller will be received on time and for the correct amount. If the buyer is unable to make a payment on the purchase, the bank will be required to cover the full or remaining amount of the purchase. It may be offered as a facility (financial assistance that is essentially a loan).
Due to the nature of international dealings, including factors such as distance, differing laws in each country, and difficulty in knowing each party personally, the use of letters of credit has become a very important aspect of international trade.
KEY TAKEAWAYS
A letter of credit is a document sent from a bank or financial institute that guarantees that a seller will receive a buyer’s payment on time and for the full amount.
Letters of credit are often used within the international trade industry.
There are many different letters of credit including one called a revolving letter of credit.
Banks collect a fee for issuing a letter of credit.</t>
      </text>
    </comment>
    <comment authorId="0" ref="A321">
      <text>
        <t xml:space="preserve">represent all of the units of ownership issued by a company, excluding any shares repurchased by the issuer (i.e. treasury stock).
total number of shares a company has issued to date, after subtracting the number of shares repurchased.
However, typically there are multiple different share types with varying:
Voting Rights
Dividend Preferences
Priorities in the Event of Liquidation
In the US, public companies are obligated to report their number of shares outstanding as part of the SEC’s filing requirements.
The number of shares outstanding of a company can be found in its quarterly or annual filings (10-Qs or 10-Ks).
However, due to the fluctuations in share counts between reporting periods, the figure is typically expressed as a weighted average.
Different Classes of Share Issuances:
Ordinary Shares: The most common form of outstanding shares, ordinary shares typically offer investors one vote per share and equal access to dividends.
Preferred Shares: Shares allow investors access to a preferred dividend, meaning they receive a dividend before common shareholders. Despite preferred shares typically having fewer voting rights than common shares, they carry higher priority in the event the company becomes insolvent.
Deferred Shares: Shares with fewer voting rights and less access to dividends.
Non-Voting Shares: Typically issued to employees, these shares are similar to common shares but without access to voting rights.
Redeemable Shares: Shares that can be repurchased by the company at some point in the future.
Management Shares: Shares with extra voting rights compared to other classes, such as having two votes per share rather than one.
-Alphabet shares are offerings with different rights and qualities assigned to different classes of shares. For example, a company’s class A shares may carry more voting rights but have less access to dividends than a company’s class B shares.
How Stock Buybacks and Issuances Impact Shares Outstanding
A publicly-traded company can directly influence how many shares it has outstanding.
The company can increase or decrease the number of shares outstanding by issuing new shares or via share repurchases (buybacks).
New Share Issuances: If a company issues more shares, its earnings per share (EPS) becomes more diluted (and declines in value) because the ratio’s denominator has increased. From the dilution in ownership, each shareholder is then entitled to a smaller proportion of earnings, which investors often view negatively.
Share Buybacks: On the other hand, share buybacks are often viewed positively by investors. When a company buys back its shares, it not only allows investors to be entitled to more EPS but can also signal to investors that the company believes its current share price is undervalued (and believes it will rise in the future).
Stock Splits and Reverse Stock Splits: Share Count Effect
Stock splits and reverse stock splits are other methods for companies to alter their shares outstanding, since rather than creating new shares or buying back existing ones, these actions affect shares that are already on the market without any change in economic value.
Stock Split: A stock split occurs when the company decides that every share on the market will be divided into a certain number of shares. For example, if a company ordered a 2-1 stock split while its share price was $500 and it had 50,000 shares outstanding, each share would now be worth $250, and there would be 100,000 shares outstanding. Stock splits can be useful for companies with extremely high stock prices, as a higher share price limits the universe of retail investors that are able to purchase shares.
Reverse Split: As its name implies, a reverse stock split works in the opposite way that stock splits do. For example, if a company’s shares were trading for $500 with 50,000 shares outstanding, the company could order a 1-2 reverse split, making each share worth $1,000 but resulting in only 25,000 shares outstanding. While both types of stock splits can affect a company’s share price (due to the market’s perception of the actions), the market capitalization impact should be neutral in theory.
A company may issue more shares for various reasons, and the decision to do so is typically influenced by strategic and financial considerations. Here are some common reasons why a company might choose to issue more shares:
Raise Capital:
One of the primary reasons for issuing more shares is to raise additional capital. By selling new shares to investors, a company can generate funds that can be used for various purposes, such as funding expansion projects, investing in new opportunities, paying off debt, or covering operational expenses.
Financing Acquisitions:
If a company is planning to acquire another business or assets, it may issue new shares to finance the acquisition. This allows the company to use its stock as a form of currency to make the purchase.
Debt Reduction:
Issuing new shares can be a way for a company to reduce its debt burden. The funds raised from selling shares can be used to pay down existing debt, improving the company's financial leverage.
Employee Stock Options:
Companies often issue shares as part of employee stock option plans. This is a common practice to attract and retain talent by providing employees with the opportunity to own a stake in the company.
Stock Splits:
In a stock split, a company issues more shares to existing shareholders in proportion to their current holdings. This is often done to adjust the stock price and make shares more affordable for a broader range of investors.
Liquidity Enhancement:
Increasing the number of shares outstanding can enhance liquidity in the stock. A higher liquidity may attract more investors and reduce the bid-ask spread in the market.
Strategic Investments:
Issuing shares might be part of a strategic move, such as forming partnerships or collaborations that involve an equity stake.
It's important to note that while issuing more shares can provide benefits, it also dilutes the ownership stake of existing shareholders. Companies carefully consider the implications and potential impact on shareholder value before deciding to issue additional shares.</t>
      </text>
    </comment>
    <comment authorId="0" ref="A322">
      <text>
        <t xml:space="preserve">(SO+RO)/TSO)
Overhang is a measure of the potential dilution to which common shareholders are exposed due to possible awards of stock-based compensation.
Overhang is usually represented as a percentage and is calculated as stock options granted plus the remaining options to be granted divided by the total shares outstanding.
More broadly, overhang can also refer to the downward pressure caused by the presence of a large block of shares that could be sold.
Overhang is calculated by dividing the number of existing and future option issues by the total number of stock outstanding.(SO+RO)/TSO)
The higher the overhang number, the greater the risk.</t>
      </text>
    </comment>
    <comment authorId="0" ref="A323">
      <text>
        <t xml:space="preserve">(SO+RO)/TSO)
The terms dilution and overhang are often used interchangeably 
Overhang is a measure of the potential dilution to which common shareholders are exposed due to possible awards of stock-based compensation.
Overhang is usually represented as a percentage and is calculated as stock options granted plus the remaining options to be granted divided by the total shares outstanding.
More broadly, overhang can also refer to the downward pressure caused by the presence of a large block of shares that could be sold.
Overhang is calculated by dividing the number of existing and future option issues by the total number of stock outstanding.(SO+RO)/TSO)
The higher the overhang number, the greater the risk.</t>
      </text>
    </comment>
    <comment authorId="0" ref="A331">
      <text>
        <t xml:space="preserve">PEG Ratio= 
EPS Growth
Price/EPS</t>
      </text>
    </comment>
    <comment authorId="0" ref="A332">
      <text>
        <t xml:space="preserve">Percentage of Dedication—The percentage of dedication (% of their workday) that the resource will be committed to the scheduled task(s).</t>
      </text>
    </comment>
    <comment authorId="0" ref="A334">
      <text>
        <t xml:space="preserve">The perpetuity growth model assumes that cash flows will grow at a constant rate indefinitely. The formula for terminal value using this method is:
    TV =  FCF * (1 + g)/r−g
where: 
FCF= free cash flow in last forecasted year
g = perpetual growth rate
r = discount rate
</t>
      </text>
    </comment>
    <comment authorId="0" ref="A335">
      <text>
        <t xml:space="preserve">PESTEL is an acronym for Political, Economic, Social, Technological, Legal, and Environment. This unit of analysis assesses these four external factors concerning the business situation. The analysis examines opportunities and threats arising from these four factors.</t>
      </text>
    </comment>
    <comment authorId="0" ref="A336">
      <text>
        <t xml:space="preserve">The Piotroski score is a discrete score between zero and nine that reflects nine criteria used to determine the strength of a firm's financial position. The Piotroski score is used to determine the best value stocks, with nine being the best and zero being the worst.
The Piotroski score was named after Chicago Accounting Professor Joseph Piotroski, who devised the scale, according to specific aspects of company financial statements. Aspects are focused on the company’s accounting results in recent time periods (years). For every criterion met (noted below), one point is awarded; otherwise, no points are awarded. The points are then added up to determine the best value stocks.
KEY TAKEAWAYS
The Piotroski score is a ranking between zero and nine that incorporates nine factors that speak to a firm's financial strength.
It was named for Joseph Piotroski, a Chicago Accounting Professor who created the scale, based on certain aspects of a corporation's financial statements.
The nine aspects are based on accounting results over a number of years; a point is awarded each time a standard is met, resulting in an overall score.
The Piotroski score is a favorite metric used to judge value stocks.
If a company has a score of eight or nine, it is considered a good value. If a company has a score of between zero and two points, it is likely not a good value.
Understanding the Piotroski Score
The Piotroski score is broken down into the following categories:
Profitability
Leverage, liquidity, and source of funds
Operating efficiency
Profitability Criteria Include:
Positive net income (1 point)
Positive return on assets (ROA) in the current year (1 point)
Positive operating cash flow in the current year (1 point)
Cash flow from operations being greater than net Income (quality of earnings) (1 point)
Leverage, Liquidity, and Source of Funds Criteria Include:
Lower amount of long term debt in the current period, compared to the previous year (decreased leverage) (1 point)
Higher current ratio this year compared to the previous year (more liquidity) (1 point)
No new shares were issued in the last year (lack of dilution) (1 point).
Operating Efficiency Criteria Include:
A higher gross margin compared to the previous year (1 point)
A higher asset turnover ratio compared to the previous year (1 point)
Reading the Score
If a company has a score of 8 or 9, it is considered a good value. If the score adds up to between 0-2 points, the stock is considered weak. Piotroski's April 2000 paper "Value Investing: The Use of Historical Financial Statement Information to Separate Winners from Losers," demonstrated that the Piotroski score method would have seen a 23% annual return between 1976 and 1996 if the expected winners were bought and expected losers shorted.
1
 As a starting point, Piotroski suggested investors begin with a sample of the bottom 20% of the market in terms of price-to-book value.
Of course, with any investment system, looking at past results doesn't mean it will work the same way in the future. Those interested in learning more about the Piotroski Score and other financial topics may want to consider enrolling in one of the best investing courses currently available.
Scoring With the Piotrosky Method
As an example of the Piotrosky scoring method in action, note the following criteria calculations for Foot Locker, Inc. (FL) for fiscal year 2020. The profitability calculation was as follows:
2
Net income ($323,000,000) (Score:1 point)
ROA (4.7%) (Score: 1 point)
Net operating cash flow ($696,000,000) (Score: 1 point)
Cash flow from operations ($696,000,000) &gt; net income ($323,000,000) (Score: 1 point)
The leverage calculation was as follows:
Long-term debt ($110,000,000) versus prior year's long-term debt ($120,000,000) (Score: 1 point)
Current ratio (1.7) versus prior year's current ratio (2.0) (Score: 0 points)
No new shares issued in 2020 (Score: 1 point)
The efficiency calculation was as follows:
Gross margin (28.9%) versus prior year's gross margin (31.8%) (Score: 0 points)
Asset turnover ratio (1.11) versus prior year's (1.54) (Score: 0 points)
Foot Locker's total Piotrosky score in 2016 was a 6 out of 9, which could make it an average value proposition going into 2022, according to the Piotrosky method.</t>
      </text>
    </comment>
    <comment authorId="0" ref="A337">
      <text>
        <t xml:space="preserve">(Sit / Pit) / (PMit / .05)
Three-year average profit margin for firm i, year t.
----
The formula you've provided appears to be a financial ratio used to analyze the profit margins of a firm over a three-year period, with a comparison to some benchmark or reference value. Let's break down the components:
Formula:
Ratio
=(𝑆𝑖𝑡/𝑃𝑖𝑡)/(𝑃𝑀𝑖𝑡/0.05)
Ratio= 
(0.05PMit)
(PitSit
)
Where: Sit = Sales for firm
𝑖
i in year 
𝑡
t
𝑃
𝑖
𝑡
P 
it
= Profits for firm 
𝑖
i in year 
𝑡
t
𝑃
𝑀
𝑖
𝑡
PM 
it
= Profit Margin for firm 
𝑖
i in year 
𝑡
t
0.05
0.05 = A constant value, likely representing a benchmark profit margin (e.g., 5%)
Interpretation:
This ratio seems to be designed to compare the firm's actual sales-to-profit ratio against a normalized profit margin.
𝑆
𝑖
𝑡
𝑃
𝑖
𝑡
P 
it
S 
it
: This is the inverse of the profit margin (since Profit Margin 
=
𝑃
𝑖
𝑡
𝑆
𝑖
𝑡
= 
S 
it
P 
it
), showing how much sales are needed to generate a unit of profit.
𝑃
𝑀
𝑖
𝑡
0.05
0.05
PM 
it
: This normalizes the firm's profit margin 
𝑃
𝑀
𝑖
𝑡
PM 
it
by comparing it to a benchmark profit margin of 5%.
Purpose of the Formula:
The overall ratio compares the firm's sales-to-profit ratio against its normalized profit margin relative to a 5% benchmark. This can be interpreted as:
If the ratio is greater than 1: The firm's actual profit margin relative to sales might be lower than the 5% benchmark, suggesting that the firm is generating less profit per unit of sales compared to the benchmark.
If the ratio is less than 1: The firm's profit margin relative to sales is higher than the 5% benchmark, suggesting that the firm is more efficient in generating profit per unit of sales.
Three-Year Average Profit Margin:
If you're calculating this for a three-year period, you might be averaging the profit margins across those years. For each year 
𝑡
t, you'd calculate the ratio as described and then average it over the three years.
Steps to Calcula
	-Brandon Hardison</t>
      </text>
    </comment>
    <comment authorId="0" ref="A339">
      <text>
        <t xml:space="preserve">Porter's Five Forces Framework is a method of analysing the operating environment of a competition of a business. It draws from industrial organization economics to derive five forces that determine the competitive intensity and, therefore, the attractiveness of an industry in terms of its profitability. </t>
      </text>
    </comment>
    <comment authorId="0" ref="A341">
      <text>
        <t xml:space="preserve">Pre-Tax Income (EBT) = Operating Income (EBIT) – Interest, net
= Operating Income (EBIT) – Interest, net</t>
      </text>
    </comment>
    <comment authorId="0" ref="A346">
      <text>
        <t xml:space="preserve">Hindenburg: Benchmarking EHang’s valuation against eVTOL peers with sales or earnings ratios is not possible since many eVTOL peers are pre-revenue and loss-generating. However, when comparing EHang’s valuation based on price-to-tangible book value, per FactSet, it trades at 50.3x tangible book, while larger peers such as Joby Aviation trade for only around 4.1x-5.0x.</t>
      </text>
    </comment>
    <comment authorId="0" ref="A347">
      <text>
        <t xml:space="preserve">pricing power based on the volume of business a contract brings in involves assessing the relationship between changes in price and changes in quantity demanded. Pricing power is essentially the ability of a business to raise prices without experiencing a significant decrease in demand. Here's a basic formula to help you get started:
Pricing Power = (% Change in Price) / (% Change in Quantity Demanded)
Here's a step-by-step guide on how to calculate pricing power:
Determine Initial Price and Quantity:
Identify the initial price at which you are selling your product or service.
Determine the initial quantity demanded at this price.
Implement a Price Change:
Decide on a new price for your product or service.
Implement the price change and observe the impact on sales volume.
Calculate the Percentage Change in Price:
Use the following formula to calculate the percentage change in price:
%
Change in Price
=
New Price
−
Initial Price
Initial Price
×
100
%Change in Price= 
Initial Price
New Price−Initial Price
​
 ×100
Calculate the Percentage Change in Quantity Demanded:
Use the following formula to calculate the percentage change in quantity demanded:
%
Change in Quantity Demanded
=
New Quantity
−
Initial Quantity
Initial Quantity
×
100
%Change in Quantity Demanded= 
Initial Quantity
New Quantity−Initial Quantity
​
 ×100
Calculate Pricing Power:
Use the formula for pricing power:
Pricing Power
=
%
Change in Price
%
Change in Quantity Demanded
Pricing Power= 
%Change in Quantity Demanded
%Change in Price
​
Interpret the Result:
A positive pricing power indicates that the business can increase prices without a proportional decrease in quantity demanded, suggesting strong pricing power.
A negative pricing power suggests that increasing prices would likely lead to a significant decrease in quantity demanded.
Keep in mind that this is a simplified model, and the real-world calculation can be more complex depending on various factors such as market conditions, competition, and customer behavior. Additionally, consider conducting a comprehensive analysis using historical data and market research for a more accurate assessment of pricing power.</t>
      </text>
    </comment>
    <comment authorId="0" ref="A348">
      <text>
        <t xml:space="preserve">A principal payment is a payment toward the original amount of a loan that is owed. In other words, a principal payment is a payment made on a loan that reduces the remaining loan amount due, rather than applying to the payment of interest charged on the loan. In accounting and finance, a principal payment applies to any payment that reduces the amount due on a loan.</t>
      </text>
    </comment>
    <comment authorId="0" ref="A351">
      <text>
        <t xml:space="preserve">probability of default (PD) is the probability of a borrower or debtor defaulting on loan repayments. Within financial markets, an asset’s probability of default is the probability that the asset yields no return to its holder over its lifetime and the asset price goes to zero. Investors use the probability of default to calculate the expected loss from an investment.
Probability of Default and Credit Default Swaps
The market’s view of an asset’s probability of default influences the asset’s price in the market. Therefore, if the market expects a specific asset to default, its price in the market will fall (everyone would be trying to sell the asset). Therefore, the market’s expectation of an asset’s probability of default can be obtained by analyzing the market for credit default swaps of the asset.
Probability of Default - Fromula
Consider an investor with a large holding of 10-year Greek government bonds. The price of a credit default swap for the 10-year Greek government bond price is 8% or 800 basis points. The investor expects the loss given default to be 90% (i.e., in case the Greek government defaults on payments, the investor will lose 90% of his assets). Therefore, the investor can figure out the market’s expectation on Greek government bonds defaulting. In this case, the probability of default is 8%/10% = 0.8 or 80%.
What are Credit Default Swaps?
Credit default swaps are credit derivatives that are used to hedge against the risk of default. They can be viewed as income-generating pseudo-insurance. A credit default swap is an exchange of a fixed (or variable) coupon against the payment of a loss caused by the default of a specific security.
Consider the following example: an investor holds a large number of Greek government bonds. However, due to Greece’s economic situation, the investor is worried about his exposure and the risk of the Greek government defaulting. The investor, therefore, enters into a default swap agreement with a bank. The investor will pay the bank a fixed (or variable – based on the exact agreement) coupon payment as long as the Greek government is solvent.
In the event of default by the Greek government, the bank will pay the investor the loss amount. A credit default swap is basically a fixed income (or variable income) instrument that allows two agents with opposing views about some other traded security to trade with each other without owning the actual security.
Market vs. Individual Probability of Default
Like all financial markets, the market for credit default swaps can also hold mistaken beliefs about the probability of default. For example, if the market believes that the probability of Greek government bonds defaulting is 80%, but an individual investor believes that the probability of such default is 50%, then the investor would be willing to sell CDS at a lower price than the market.
This would result in the market price of CDS dropping to reflect the individual investor’s beliefs about Greek bonds defaulting. Therefore, a strong prior belief about the probability of default can influence prices in the CDS market, which, in turn, can influence the market’s expected view of the same probability.</t>
      </text>
    </comment>
    <comment authorId="0" ref="A352">
      <text>
        <t xml:space="preserve">Proceeds from Borrowings (Loans or Bonds): Money that the company borrows, either from a financial institution or through bond issuance, will show as a cash inflow.</t>
      </text>
    </comment>
    <comment authorId="0" ref="A353">
      <text>
        <t xml:space="preserve">Where gross working capital is the sum of average receivables, inventory, short term assets, payables and short term liabilities.
We penalise companies where there is a large and/or growing amount of gross working capital relative to industry peers. The relationship between gross working capital and sales is a means of monitoring how a company generates its operating cash flow. We prefer companies that maintain a small and stable working capital relative to sales. However, fluctuations in working capital can be cause for concern:
Manufactured cash flow: Increases in current assets, such as receivables, can be a sign that a company is experiencing deterioration in terms of trade. Normally, this would be reflected in a drop in operating cash flows relative to profit but in especially difficult situations companies attempt to pass this burden onto their suppliers through extended payment periods. As such, operating cash flow is arguably manufactured, thereby flattering a company’s financial position. In the worst cases, a company might disguise interest debt as working capital (by failing to disclose that they are interest bearing), in order to generate operating cash flow. As such, significant increases in gross working capital are cause for concern. For more reading, please refer to our report, HIDDEN DEBT: And Manufactured Cash Flow (25 May 2016).
Working capital traits vary more by industry than by country of domicile. The real estate industry has the largest gross working capital at approximately 2x sales. This is usually due to large inventories which might be financed by customer presales and/or extended payables with contractors. At the other end of the scale, retailers tend to have smallest amounts of gross working capital at 30-40% of sales, as shown in Figure 15. Customers pay with cash at the point of sale, translating into a low level of receivables. Meanwhile, retailers are notoriously slow in paying their suppliers which results in significant payables.
15
Gross working capital tends to fluctuate at around +/-10% of sales on a year to year basis, as shown in Figure 16. In general, companies with the largest amount of working capital tend to experience the greatest fluctuations. It’s no surprise then that the real estate developers which have the highest working capital at 200% of sales, tend to see the largest fluctuations at around +/-40% of sales in any given year (we have had to rescale the chart to exclude the property developers).
Gross working capital by country of domicile is shown in Figure 17. China has the largest gross working capital at 75% of sales, followed by Italy. Meanwhile, the US and Russia have some of the lowest amount of gross working capital at 40-43% of sales. Much of the discrepancy by market is likely due to the composition of companies. For example, China is likely dominated by low value-added companies with poor working capital cycles compared to higher valued added and efficient companies in the US. However, there are also likely to be significant differences in the supply chains within each country. For example, we know that China has experienced significant deterioration in terms of trade over the past five years which has led to such high gross working capital.
17
Our accounting screen is set to trigger a red flag when gross working capital/sales exceeds the 80th percentile (i.e. they are very high) relative to GICS industry peers, and/or when there is an abnormally large increase in working capital relative to the normal rate of change amongst industry peers over one and three years. This latter red flag is triggered when the deterioration in gross working capital to sales exceeds the 80th percentile relative to the change experienced by industry peers between 2010 and 2015.
</t>
      </text>
    </comment>
    <comment authorId="0" ref="A356">
      <text>
        <t xml:space="preserve">represents the reporting period's total income tax expense, including federal, state, local, and foreign income taxes.
How to calculate provision for income tax
A company’s tax provision has two parts: current income tax expense and deferred income tax expense. To make things more complicated, most accounting departments use Generally Accepted Accounting Principles (GAAP) to calculate their financial position. GAAP procedures differ in important ways from income tax accounting rules. These differences play a major role in the calculation of current and deferred income tax expenses.
Current income tax expense
The current tax expense is the amount of income tax a company will pay for the current year. It is calculated from current earnings and the current year’s permanent differences and temporary differences between the GAAP and income tax rules. The following steps outline how you calculate current income tax provision:
Start with your company’s net income. This is your income as calculated by GAAP rules before income taxes.
Calculate the current year’s permanent differences. These are income items or expenses that are not allowed for income tax purposes but that are allowed for GAAP. Because these expenses or income items are disallowed or not recognized for income tax purposes, they are considered permanent. Examples of permanent differences include fines and penalties, entertainment expenses, municipal bond interest, and life insurance proceeds.
Calculate the current year’s temporary differences. These are expenses or income items that are allowed for either GAAP or income tax purposes in one year, but not under the other accounting system until a later year. Determine your company’s temporary differences by reviewing the current year balance sheet and identifying differences between your GAAP calculations and your income tax calculations. Common temporary differences include expenses incurred but not yet paid, and depreciation.
Apply credits and net operating losses (NOL). After you have accounted for these differences, you land on your current year taxable income. You can now apply credits and NOL.
Apply the current tax rate. Multiply the current year taxable income by your current statutory federal tax rate. The result is your company’s current year tax expense for the income tax provision.
Deferred income tax expense
The deferred income tax is a liability that the company has on its balance sheet but that is not due for payment yet. This more complicated part of the income tax provision calculates a cumulative total of the temporary differences and applies the appropriate tax rate to that total. It focuses on the deferred effects of income, expenses, NOL, and tax credits. After this calculation, you’ll account for your deferred tax expense on your company’s GAAP balance sheet as an asset or liability depending on whether you will owe tax or will receive a tax benefit in the future.
Income tax provision calculation challenges
Calculating tax provision is complex and challenging. Corporate tax teams face the following common tax provision calculation issues.
Out-of-sync income reporting. Getting your calculation right requires starting with the right number for your net income. Most companies report income annually or quarterly, so the tax provision amount can only be estimated.
Difficulty gathering and integrating the right data. Bringing together data for your calculation from the finance and tax departments, as well as integrating and properly structuring it, is complicated.
Handling a large volume of data. Even the simplest calculation can require a team of tax experts to examine items such as annual reports, financial statements, tax payments, and net income.
Keeping up with tax law changes. Tax law changes affect your calculation formulas. Your tax department must stay on top of these new regulatory requirements.
Reliance on manual calculation processes. Calculating the corporate tax provision using spreadsheets and manual processes can slow down your ability to get accurate, compliant data in a timely manner.
4 steps to improve your tax provision calculation process and results
With the right approach, your tax department can get better, faster tax provisioning results, reduce your tax provision obligations, and reduce errors and risks in tax provisioning. Here are the steps to consider:
Harness and analyze your data. Collecting and consolidating the right data makes tax provision calculations much more accurate.
Consult tax provision checklists. Use tools such as the industry-leading Thomson Reuters Corporate Income Tax Provision Checklists to assess income tax measurement processes, disclosure requirements, and risk management controls.
Review your compliance. Look closely at your tax provision calculation process to verify that you are using the right criteria to calculate tax provision.
Opt for automation. Those processes that are laborious or error-prone can be improved with a tax provisioning solution that delivers faster, more accurate data collection, consolidation, and analysis.</t>
      </text>
    </comment>
    <comment authorId="0" ref="A357">
      <text>
        <t xml:space="preserve">What Is Price to Tangible Book Value (PTBV)?
Price to tangible book value (PTBV) is a valuation ratio used to compare the price of a security to the company's physical assets as reported in its balance sheet.
The tangible book value number includes all physical assets but excludes intangible assets such as goodwill, patents, intellectual property, and trademarks. Since intangibles are excluded, PTBV is considered a more accurate estimate of the company's net value to shareholders, after debts are paid, in the event of liquidation.</t>
      </text>
    </comment>
    <comment authorId="0" ref="A359">
      <text>
        <t xml:space="preserve">Qualified dividends are dividend payments taxed at the long-term capital gains rate, which is lower than the ordinary income tax rates.
A company issues a reward, cash or otherwise, in the form of “dividends.” It distributes a portion of the company’s earnings among the shareholders.
They're paid regularly per share of stock. For example- if you own 30 shares in a company and that company pays $2 in annual cash dividends, you will receive $60 per year.
They are one way that stock investors might profit from their investments. It offers a stream of income that is steady and expanding. They favor investing in businesses that provide dividends that rise annually to outpace inflation.
If you receive a dividend, you'll most likely have to pay taxes on it. But how much you pay in taxes will depend on whether the payout is qualified or non-qualified.</t>
      </text>
    </comment>
    <comment authorId="0" ref="A368">
      <text>
        <t xml:space="preserve">RR= 
Amount Recovered/Amount Loaned
The percentage of the amount recovered when a loan defaults
Recovery rate, commonly used in credit risk management, refers to the amount recovered when a loan defaults. In other words, the recovery rate is the amount, expressed as a percentage, recovered from a loan when the borrower is unable to settle the full outstanding amount. A higher rate is always desirable. Although the rate is typically used for debt defaults, it can also be used for account receivables defaults.
Factors that Affect the Recovery Rate
When looking at factors that can affect the recovery rate, the most notable factors are poor macroeconomic conditions and business issues.
1. Macroeconomic conditions
Poor macroeconomic conditions significantly affect the recovery rate for loans. Rates are typically lower during a severe economic recession. During poor macroeconomic conditions, businesses face reduced profitability and a greater risk of defaulting on debt. For example, consider the following scenario:
ABC Company is facing profitability issues and will default on its loan in the coming year. The outstanding amount is $1,000,000. In a strong economy, the company is able to generate $900,000 to pay off its loan. In a weak economy, the company is only able to generate $300,000.
As illustrated above, for a company that is expected to default on its debt, poor macroeconomic conditions decrease the recovery rate as the company is generating fewer profits to settle its debt.
Recovery Rate - Example
2. Business Issues
Business failure caused by unforeseen business issues impacts the recovery rate. For example, a catastrophic fire that results in the inability to conduct business may result in a company defaulting on its debt. In short, business issues that affect a company’s ability to conduct business and generate profits play a key role in the recovery rate.
Recovery Within a Capital Structure
Debt that is more senior within a capital structure offers a higher recovery rate. This is due to the senior debt being accorded a greater claim to assets as opposed to debt ranked lower in the capital structure. In a data report issued by Moody’s, the average corporate debt recovery rate in 2017 was 81.3% for loans, 52.3% for senior secured bonds, 52.3% for senior unsecured bonds, and 4.5% for subordinated bonds. Consider the following example:
A company is facing bankruptcy and owns $500,000 in distributable assets to senior secured debt holders and subordinated debt holders. Senior secured debt holders are owed $700,000 while subordinated debt holders are owed $1,000,000. What is the recovery rate for the two different debt holders?
Senior debt holders are given a higher priority in the capital structure. In other words, assets must first be distributed to senior debt holders before subordinated debt holders are paid. Since senior debt holders are owed $700,000 and the company only holds $500,000 in assets, all assets of the company are given to senior debt holders for a recovery rate of 71%. Subordinated debt holders are left with no assets, as they’ve already been distributed, and they, therefore, will recover 0%.</t>
      </text>
    </comment>
    <comment authorId="0" ref="A370">
      <text>
        <t xml:space="preserve">A security registered with the SEC under Section 12(b) or 12(g) of the Securities Exchange Act of 1934, as amended (Exchange Act). The Exchange Act requires a class of securities to be registered under the following circumstances:
Securities exchange listing. Before a company's securities can begin to trade on a "national securities exchange" (as defined by the SEC) such as the New York Stock Exchange or Nasdaq Stock Market, a company must register that class of securities (debt or equity) with the SEC under Section 12(b) of the Exchange Act.
Size thresholds. Companies with both total assets greater than $10 million and either 2,000 or more equity shareholders, or 500 or more equity shareholders who are not accredited investors (and, for foreign private issuers, more than 300 US resident shareholders (Rule 12g3-2(a), Exchange Act)), must register that class of equity securities with the SEC under Section 12(g) of the Exchange Act (also known as the "widely-held" equity securities rule). Companies that are banks, bank holding companies, savings and loan companies or savings and loan holding companies must register equity securities under Section 12(g) if they have both total assets greater than $10 million and 2,000 or more equity shareholders.
By registering securities under Section 12(b) or Section 12(g) of the Exchange Act, a company becomes subject to the periodic and current reporting requirements of Section 13(a) of the Exchange Act and, as a result, becomes a reporting company.
In addition, all securities offered and sold in the US must be registered with the SEC or must qualify for an exemption from the registration requirements. The Securities Act of 1933, as amended has two basic objectives:
To require that investors receive financial and other significant information concerning securities being offered for public sale.
To prohibit deceit, misrepresentations, and other fraud in the sale of securities.
The SEC accomplishes these goals primarily by requiring that companies disclose important financial information when they register their securities.
An Exchange Act registration is a single registration of an entire class of securities (debt or equity). This is different from a Securities Act registration, in which a company registers a certain number of a class of securities (debt or equity) for a particular public distribution.
 the "Security Note" typically refers to a section that provides information about the company's securities, particularly debt and equity securities. This note is part of the financial statements and footnotes included in the 10-K filing. The content of the Security Note can vary between companies, but it generally covers the following aspects:
Description of Securities:
The note may provide a detailed description of the various types of securities issued by the company. This includes common stock, preferred stock, bonds, notes, and any other financial instruments.
Terms and Conditions:
Details about the terms and conditions of each type of security may be included. This can involve information on interest rates, maturity dates, conversion features (for convertible securities), and other relevant terms.
Redemption Provisions:
If applicable, information about any redemption provisions for debt securities may be disclosed. This includes circumstances under which the company can redeem the securities before maturity.
Convertible Securities:
If the company has issued convertible securities, the Security Note may provide details on the conversion terms, including the conversion ratio and any adjustments.
Share Repurchase Programs:
Information related to any share repurchase programs or stock buybacks may be included. This could cover the company's policies and practices regarding repurchasing its own shares in the market.
Warrants and Options:
If the company has issued warrants or stock options, the note may provide information about these instruments, including exercise prices, expiration dates, and any other relevant details.
Restrictions or Covenants:
The Security Note may highlight any restrictions or covenants associated with the company's securities, especially debt securities. These restrictions may include financial ratios, limitations on additional debt issuance, or other conditions.
Risk Factors:
Some companies may use the Security Note to discuss the risks associated with their securities. This could include market risk, interest rate risk, credit risk, and other factors that may impact the value or performance of the securities.
The purpose of the Security Note is to provide transparency and detailed information to investors and analysts about the company's capital structure, its securities, and the associated risks and terms. It is an essential part of the overall financial reporting in the Form 10-K, helping stakeholders make informed investment decisions.</t>
      </text>
    </comment>
    <comment authorId="0" ref="A371">
      <text>
        <t xml:space="preserve">Relative Value determines the approximate worth of an asset by comparing it to assets with similar risk/return profiles and fundamental traits.</t>
      </text>
    </comment>
    <comment authorId="0" ref="A372">
      <text>
        <t xml:space="preserve">The required core funding factor is a pre-determined weight ranging from 0% to 100% which is applied through business assumptions for the accounts falling under the defined dimensional combinations. The weights are guided by the CFR standard. The required core funding is then considered as a sum of all the weighted amounts where an RCF factor is applied.
The required core funding factor is a weight function and is applied similarly to that of the ACF. The formula which is used for calculating the Required Amount of Core Funding is as follows:</t>
      </text>
    </comment>
    <comment authorId="0" ref="A373">
      <text>
        <t xml:space="preserve">Restructuring is the financial reorganization of a distressed corporation with a capital structure deemed unsustainable.
In particular, corporate debt restructuring refers to the reorganization of the financial obligations belonging to the company.</t>
      </text>
    </comment>
    <comment authorId="0" ref="A374">
      <text>
        <t xml:space="preserve"> -Furloughing of employees (Layoffs)
-Closure of existing manufacturing plants
-Shifting of company assets to new locations
-Writing off or sale of assets;
-Purchasing of new machinery or equipment
-Diversifying business into a new market</t>
      </text>
    </comment>
    <comment authorId="0" ref="A375">
      <text>
        <t xml:space="preserve">Retained Earnings=
Begin Retained Earnings+NI−Dividends</t>
      </text>
    </comment>
    <comment authorId="0" ref="A376">
      <text>
        <t xml:space="preserve">= 1 - Dividend Payout Ratio
Dividend Payout Ratio =</t>
      </text>
    </comment>
    <comment authorId="0" ref="A377">
      <text>
        <t xml:space="preserve">= 1 - Dividend Payout Ratio
Dividend Payout Ratio =</t>
      </text>
    </comment>
    <comment authorId="0" ref="A378">
      <text>
        <t xml:space="preserve">(Net Income - Preferred Dividends)/
Weighted Average # of Common OS</t>
      </text>
    </comment>
    <comment authorId="0" ref="A379">
      <text>
        <t xml:space="preserve">(Net Income - Preferred Dividends)/
Weighted Average # of Common OS</t>
      </text>
    </comment>
    <comment authorId="0" ref="A384">
      <text>
        <t xml:space="preserve">A reverse stock split, like any corporate action, is not inherently good or bad. Whether a reverse stock split is viewed as positive or negative depends on the specific circumstances of the company and the reasons behind the decision to undertake the reverse split. Here are some factors to consider:
Potential Reasons for a Reverse Stock Split:
Share Price Compliance: Companies may implement a reverse stock split to increase their share price, especially if they risk being delisted from a stock exchange due to a low share price. Some exchanges have minimum share price requirements for listed companies.
Perceived Value: A higher share price after a reverse split may be seen as more attractive to certain investors, including institutional investors or those who have restrictions on investing in low-priced stocks.
Market Perception: A reverse stock split can signal that the company is taking steps to address financial difficulties or improve its financial position. It may be perceived as a strategic move to boost investor confidence.
Considerations:
Underlying Issues: If a company resorts to a reverse stock split to maintain compliance with stock exchange listing requirements, it may indicate underlying financial challenges. Investors should examine the reasons behind the reverse split and assess whether it addresses fundamental issues within the company.
Shareholder Dilution: A reverse stock split reduces the number of outstanding shares but increases the share price proportionally. While this doesn't affect the total market capitalization, it can result in shareholder dilution. Existing shareholders may own fewer shares, but each share represents a higher value.
Market Reaction: The market's reaction to a reverse stock split can vary. Some investors may interpret it negatively, viewing it as a sign of financial distress. Others may see it as a necessary step for the company's long-term viability.
Conclusion:
In summary, a reverse stock split is not inherently good or bad. It's crucial for investors to analyze the specific circumstances surrounding the reverse split, including the company's financial health, the reasons for the split, and the potential impact on shareholders. As with any investment decision, thorough research and consideration of the company's overall situation are essential for making informed choices.</t>
      </text>
    </comment>
    <comment authorId="0" ref="A385">
      <text>
        <t xml:space="preserve">Revolving credit facilities are a type of committed credit facility which allow the borrower to borrow on an ongoing basis while repaying the balance in regular payments. Each repayment of the loan, minus interest and fees, replenishes the amount available to the borrower. Revolving credit facilities generally have no date of expiration and continue as long as the borrower retains good credit. 
What Is a Revolving Loan Facility?
A revolving loan facility, also called a revolving credit facility or simply revolver, is a form of credit issued by a financial institution that provides the borrower with the ability to draw down or withdraw, repay, and withdraw again.1
Cornell Law School. "Revolving Credit Facility."
 A revolving loan is considered a flexible financing tool due to its repayment and re-borrowing accommodations. It is not considered a term loan because, during an allotted period of time, the facility allows the borrower to repay the loan or take it out again. In contrast, a term loan provides a borrower with funds followed by a fixed payment schedule.
KEY TAKEAWAYS
A revolving loan facility provides loans to borrowers with a great deal of flexibility in terms of repayments and re-borrowing.
The interest rate on a revolving loan facility is typically that of a variable line of credit, rather than a fixed rate.
A revolving loan or line facility allows a business to borrow money as needed for funding working capital needs and continuing operations, including meeting payroll and payables.
How a Revolving Loan Facility Works
A revolving loan facility is typically a variable line of credit used by public and private businesses. The line is variable because the interest rate on the credit line can fluctuate. In other words, if interest rates rise in the credit markets, a bank might increase the rate on a variable-rate loan. The rate is often higher than rates charged on other loans and changes with the prime rate or another market indicator. The financial institution typically charges a fee for extending the loan.
Criteria for approval of the loan depends on the stage, size, and industry in which the business operates. The financial institution typically examines the company’s financial statements, including the income statement, statement of cash flows, and balance sheet when deciding whether the business can repay a debt. The odds of the loan getting approved increases if a company can demonstrate steady income, strong cash reserves, and a good credit score. The balance on a revolving loan facility may move between zero and the maximum approved value.
How Do Businesses Use a Revolving Loan Facility?
A revolving loan or line facility allows a business to borrow money as needed for funding working capital needs and continuing operations. A revolving line is especially helpful during times of revenue fluctuations, since bills and unexpected expenses can be paid by drawing from the loan. Drawing against the loan brings down the available balance, whereas making payments on the debt brings up the available balance.
</t>
      </text>
    </comment>
    <comment authorId="0" ref="A386">
      <text>
        <t xml:space="preserve">Risk-return tradeoff states that the potential return rises with an increase in risk. Using this principle, individuals associate low levels of uncertainty with low potential returns, and high levels of uncertainty or risk with high potential returns.
According to risk-return tradeoff, invested money can render higher profits only if the investor will accept a higher possibility of losses.
KEY TAKEAWAYS
Risk-return tradeoff is an investment principle that indicates that the higher the risk, the higher the potential reward.
To calculate an appropriate risk-return tradeoff, investors must consider many factors, including overall risk tolerance, the potential to replace lost funds, and more.
Investors consider risk-return tradeoff on individual investments and across portfolios when making investment decisions.
Risk-Return Tradeoff
Sydney Saporito / Investopedia
Understanding Risk-Return Tradeoff
Risk-return tradeoff is the trading principle that links high risk with high reward. The appropriate risk-return tradeoff depends on a variety of factors that include an investor’s risk tolerance, the investor’s years to retirement, and the potential to replace lost funds.
Time also plays an essential role in determining a portfolio with the appropriate levels of risk and reward. For example, if an investor has the ability to invest in equities over the long term, that provides the investor with the potential to recover from the risks of bear markets and participate in bull markets; on the other hand, if an investor can only invest in a short time frame, the same equities have a higher risk proposition.
Investors use risk-return tradeoff as one of the essential components of each investment decision, as well as to assess their portfolios as a whole. At the portfolio level, risk-return tradeoff can include assessments of the concentration or the diversity of holdings and whether the mix presents too much risk or a lower-than-desired potential for returns.
Uses of Risk-Return Tradeoff
Measuring Singular Risk in Context
When an investor considers high-risk, high-return investments, the investor can apply risk-return tradeoff to the vehicle on a singular basis as well as within the context of the portfolio as a whole. Examples of high-risk, high-return investments include options, penny stocks, and leveraged exchange-traded funds (ETFs). Generally speaking, a diversified portfolio reduces the risks presented by individual investment positions. For example, a penny stock position may have a high risk on a singular basis, but if it is the only position of its kind in a larger portfolio, then the risk incurred by holding the stock is minimal.
Risk-Return Tradeoff at the Portfolio Level
Risk-return tradeoff also exists at the portfolio level. For example, a portfolio composed of all equities presents both higher risk and higher potential returns. Within an all-equity portfolio, risk and reward can be increased by concentrating investments in specific sectors or by taking on single positions that represent a large percentage of holdings. For investors, assessing the cumulative risk-return tradeoff of all positions can provide insight on whether a portfolio assumes enough risk to achieve long-term return objectives or if the risk levels are too high with the existing mix of holdings.
Calculating Risk-Return
Alpha Ratio
When you want to determine excess returns on investment, use the alpha ratio, which refers to returns earned on investment above the benchmark return. In other words, it measures excess returns from the benchmark index. 
According to Investopedia, “Alpha, often considered the active return on an investment, gauges the performance of an investment against a market index or benchmark that is considered to represent the market’s movement as a whole.”
To calculate alpha in a simple way, subtract the total return of an investment from a comparable benchmark in its asset category. To take into account asset investments that are not completely similar, calculate alpha using Jensen’s alpha, which uses the capital asset pricing model (CAPM) as the benchmark.
Here’s an example of alpha: 
If a mutual fund has underperformed by 1% against its benchmark, it will have an alpha of -1.0. 
If a mutual fund has neither underperformed nor outperformed, it will have an alpha of zero because it will not have lost or gained value compared to the benchmark index. 
If a mutual fund has outperformed by 1%, it will have an alpha of +1.0. 
Beta Ratio
A beta calculation shows how correlated the stock is vs. a benchmark that determines the overall market, usually the Standard &amp; Poor’s 500 Index, or S&amp;P 500. The S&amp;P 500 is a market-capitalization-weighted index of 500 leading publicly traded companies in the United States.
To calculate beta, divide the variance (which is the measure of how the market moves relative to its mean) by the co-variance (which is the measure of a stock’s return relative to that of the market). 
Here’s an example of beta:
If a stock has a beta of 1%, it is highly correlated to the S&amp;P 500. 
If a stock has a beta of zero, it is not very correlated to the S&amp;P 500.
If a stock has a beta of -1%, it is inversely correlated—in other words, it has a contrary relationship—to the S&amp;P 500.
Beta gives investors additional insight when they do further analysis and ask, “Is there a reason why a particular stock is underperforming or outperforming?” Beta can help answer that question when evaluating relative performance overall because it might help shed light on the reason why the stock outperforms or underperforms during certain times. 
Sharpe Ratio
A Sharpe ratio is helpful to determine whether the risk is worth the reward. It is used when comparing peers or ETFs that hold similar assets. 
The calculation for the Sharpe ratio is the adjusted return divided by the level of risk, or its standard deviation. 
According to Investopedia, “The Sharpe ratio’s numerator is the difference over time between realized, or expected, returns and a benchmark such as the risk-free rate of return or the performance of a particular investment category.”
Generally, when comparing similar portfolios, the higher the Sharpe ratio, the better because it shows an attractive risk-adjusted return, meaning the return after taking into account the degree of risk that was taken to achieve it.
Is it better to use the alpha, beta, or Sharpe ratio?
All three calculation methodologies will give investors different information. Alpha ratio is useful to determine excess returns on an investment. Beta ratio shows the correlation between the stock and the benchmark that determines the overall market, usually the Standard &amp; Poor’s 500 Index. Sharpe ratio helps determine whether the investment risk is worth the reward.
How is risk-reward ratio calculated?
To calculate risk-reward ratio, take the expected return (reward) on the trade and divide by the amount of capital risked.
Do investments with higher risks yield better returns?
Not necessarily. The appropriate risk-return tradeoff depends on a variety of factors, including an investor’s risk tolerance, the investor’s years to retirement, and the potential to replace lost funds. Time also plays an essential role in determining a portfolio with the appropriate levels of risk and reward. According to risk-return tradeoff, invested money can render higher profits only if the investor is willing to accept a higher possibility of losses.
The Bottom Line
Risk-return tradeoff is the trading principle that links risk with reward. According to risk-return tradeoff, if the investor is willing to accept a higher possibility of losses, then invested money can render higher profits. To calculate investment risk, investors use alpha, beta, and Sharpe ratios.</t>
      </text>
    </comment>
    <comment authorId="0" ref="A387">
      <text>
        <t xml:space="preserve">Return on Assets
Net Income / Total Assets</t>
      </text>
    </comment>
    <comment authorId="0" ref="A388">
      <text>
        <t xml:space="preserve">ROE = Net Income / Book Value
Not good to use bc
book value is the denominator which means that if book value was to be reduced, the ROE would in fact increase. How would this happen? If a company writes down any of its assets, the book value would immediately decrease which results in a higher ROE.
The same would happen if the company increased its debt since book value is calculated as assets – liabilities.
The company didn’t perform any better, yet you are given a false picture. So ROE isn’t that great to use. Not even in a screen because you have a high chance of getting value traps.
ROE = Net Income / Book Value
ROE = Net Profit Margin x Asset Turnover x Equity Multiplier
ROE = (Earnings Before Tax ÷ Sales) x (Sales ÷ Assets) x (Assets ÷ Equity) x (1 - Tax Rate)
Not good to use bc
book value is the denominator which means that if book value was to be reduced, the ROE would in fact increase. How would this happen? If a company writes down any of its assets, the book value would immediately decrease which results in a higher ROE.
The same would happen if the company increased its debt since book value is calculated as assets – liabilities.
The company didn’t perform any better, yet you are given a false picture. So ROE isn’t that great to use. Not even in a screen because you have a high chance of getting value traps.</t>
      </text>
    </comment>
    <comment authorId="0" ref="A389">
      <text>
        <t xml:space="preserve">My idea was: why not use this correlation as the basis of a value ratio? If 
ROIC – WACC 
 is proportional to EV / IC, 
then EV is proportional to IC × (ROIC – WACC). 
And since ROIC = NOPAT / IC (where NOPAT is net operating profit after taxes),
then EV is proportional to NOPAT – WACC × IC.
If, instead of NOPAT, we use free cash flow, then a good value ratio would be FCF – WACC × IC. So I tried that. The results were very encouraging, and were, in fact, significantly better than using NOPAT. That’s why I deducted the costs of capital and equity in formulas number 4 and 7 above.
----
https://blog.portfolio123.com/what-are-the-best-value-ratios/
	-Brandon Hardison</t>
      </text>
    </comment>
    <comment authorId="0" ref="A390">
      <text>
        <t xml:space="preserve">ROIC = (NOPAT)/Invested Capital
-Return on invested capital (ROIC) assesses a company's efficiency in allocating capital to profitable investments. It is calculated by dividing net operating profit after tax (NOPAT) by invested capital.
ROIC gives a sense of how well a company is using its capital to generate profits. Comparing a company's ROIC with its weighted average cost of capital (WACC) reveals whether invested capital is being used effectively.
Return on invested capital (ROIC) is a calculation used to determine how well a company allocates its capital to profitable projects or investments.
Seen another way, ROIC is the amount of money a company makes that is above the average cost it pays for its debt and equity capital.
-ROIC can be used as a benchmark to calculate the value of other companies.
-A company is thought to be creating value if its ROIC exceeds its weighted average cost of capital (WACC).</t>
      </text>
    </comment>
    <comment authorId="0" ref="A392">
      <text>
        <t xml:space="preserve">Sales Growth Index (SGI) is:
SGI = Salest / Salest-1
Sales Growth Index (SGI): High sales growth does not imply manipulation but high growth companies are more likely to commit financial fraud because their financial position and capital needs put pressure on managers to achieve earnings targets. If growth firms face large stock prices losses at the first indication of a slowdown, they may have greater incentives to manipulate earnings.</t>
      </text>
    </comment>
    <comment authorId="0" ref="A393">
      <text>
        <t xml:space="preserve">SG&amp;A Expense Index (SGAI) is:
SGAI = (SG&amp;A Expenset / Salest) / (SG&amp;A Expenset-1 / Salest-1)</t>
      </text>
    </comment>
    <comment authorId="0" ref="A395">
      <text>
        <t xml:space="preserve">Where D = Long-term debt per share for firm i, year t.</t>
      </text>
    </comment>
    <comment authorId="0" ref="A399">
      <text>
        <t xml:space="preserve">The Secured Overnight Financing Rate (SOFR) is a benchmark interest rate for dollar-denominated derivatives and loans that replaced the London Interbank Offered Rate (LIBOR).
SOFR took the place of LIBOR in June 2023, offering fewer opportunities for market manipulation and current rates rather than forward-looking rates and terms.
KEY TAKEAWAYS
The Secured Overnight Financing Rate (SOFR) is a benchmark interest rate for dollar-denominated derivatives and loans that replaced the London Interbank Offered Rate (LIBOR).
SOFR is based on transactions in the Treasury repurchase market and is preferable to LIBOR since it is based on data from observable transactions rather than estimated future borrowing rates.
While SOFR became the benchmark rate for dollar-denominated derivatives and loans, other countries have sought their own alternative rates, such as SONIA and EONIA.
History of the SOFR 
The LIBOR was previously the go-to interest rate at which investors and banks pegged their credit agreements to. Comprised of five currencies and seven maturities, the LIBOR was determined by calculating the average interest rate at which major global banks borrow from one another. The five currencies were the U.S. dollar (USD), euro (EUR), British pound (GBP), Japanese yen (JPY), and the Swiss franc (CHF). The most commonly quoted LIBOR was the three-month U.S. dollar rate, at the time referred to as the current LIBOR rate.</t>
      </text>
    </comment>
    <comment authorId="0" ref="A400">
      <text>
        <t xml:space="preserve">Simple Free Cash Flow Margin</t>
      </text>
    </comment>
    <comment authorId="0" ref="A401">
      <text>
        <t xml:space="preserve">Simple Free Cash Flow</t>
      </text>
    </comment>
    <comment authorId="0" ref="A402">
      <text>
        <t xml:space="preserve">Structural Free Cash Flow/Price
SFCF = CFO - CapEx</t>
      </text>
    </comment>
    <comment authorId="0" ref="A403">
      <text>
        <t xml:space="preserve">The SG&amp;A Margin is the ratio between a company’s selling, general and administrative costs and net revenue in a given period, expressed as a percentage.
SG&amp;A Margin
How to Calculate SG&amp;A Margin?
The SG&amp;A margin describes the relationship between a company’s selling, general and administrative costs and the amount of revenue generated in the corresponding period.
SG&amp;A Expense: SG&amp;A stands for “selling, general &amp; administrative” and is a catch-all categorization capturing indirect costs that do not meet the criteria to be recognized as cost of goods sold (COGS); i.e. SG&amp;A consists of operating costs not directly tied to revenue generation.
Net Revenue: Net revenue refers to the monetary value obtained by a company from the sale of its products or services to customers over a specified period. The net revenue metric is calculated by taking a company’s gross revenue and adjusting for discounts, returns, and sales allowances.
On the income statement, the first adjustment to net revenue – i.e. the “top line” – is the cost of goods sold (COGS) line item, which captures the operating costs incurred that are directly related to a company’s efforts to generate revenue.
From the gross profit line item, which is equal to revenue minus COGS, the next adjustment is for indirect operating costs, or SG&amp;A.
Upon deducting a company’s SG&amp;A from gross profit – assuming there are no other operating expenses – the resulting profit metric is operating income (EBIT).
Unlike a company’s COGS, the incurred SG&amp;A expense is not directly tied to its revenue generation. Instead, SG&amp;A represents the indirect costs that stem from day-to-day operations, such as purchasing office supplies, overhead costs, and rent.
The process of calculating a company’s SG&amp;A margin can be broken up into three steps:
Step 1. Obtain the Net Revenue and SG&amp;A Figures from the Income Statement
Step 2. Divide SG&amp;A by Net Revenue
Step 3. Convert into a Percentage by Multiplying the Resulting Figure in Decimal Form by 100
SG&amp;A Margin Formula
The formula to calculate the SG&amp;A margin is as follows.
SG&amp;A Margin (%) = SG&amp;A Expense ÷ Net Revenue
In order for the SG&amp;A margin to be meaningful, the company’s operating income (EBIT) must be positive, i.e. there are remaining profits after deducting COGS and SG&amp;A from revenue.
In addition, a negative sign must be placed in front of the formula if SG&amp;A was entered as a negative integer as part of the sign convention used in the financial model; otherwise, the returned margin will be a negative percentage.
What is a Good SG&amp;A Ratio?
Conceptually, the SG&amp;A ratio measures the percentage of each dollar of revenue earned by a company allocated to SG&amp;A.
For instance, a 25% SG&amp;A ratio implies that for each dollar of revenue brought in, a quarter of it is spent on SG&amp;A expenses.
As a general rule, the lower the SG&amp;A margin, the better. However, comparisons must be made relative to the industry within which the company operates, as the average benchmark varies significantly by industry.
The SG&amp;A margin ratio can be informative in terms of understanding a company’s cost structure.
Low SG&amp;A Ratio: Lower Percentage of Indirect Costs in Cost Structure
High SG&amp;A Ratio: Higher Percentage of Indirect Costs in Cost Structure
That said, the SG&amp;A margin ratio can be a useful tool for understanding where a company’s revenue is spent, i.e. the concentration of costs in the overall business model, which ultimately determines a company’s profitability.
SG&amp;A Margin and Operating Profit Margin
The SG&amp;A margin is calculated by dividing a company’s SG&amp;A by its revenue. In contrast, the operating profit margin (or “EBIT margin”) is calculated by dividing a company’s operating income by revenue.
Operating Profit Margin (%) = EBIT ÷ Net Revenue
Where:
EBIT = Gross Profit – SG&amp;A
Therefore, the SG&amp;A margin and operating profit margin are inversely related.
Operating Profit Margin (%) = 1 – SG&amp;A Margin (%)
SG&amp;A Margin (%) = 1 – Operating Profit Margin (%)
How to Forecast SG&amp;A Expense?
For forecasting, the most common method is to project SG&amp;A expense as a percentage of revenue.
Forecasted SG&amp;A Expense = SG&amp;A % Revenue Assumption × Revenue
The historical SG&amp;A margin is first calculated before assessing the trend of the ratio.
Historical Average: If the SG&amp;A ratio remains relatively stable – which tends to be the case for mature companies, since SG&amp;A comprises fixed costs – the historical average can be referenced and followed for future periods.
Trend Analysis: But if the SG&amp;A ratio has moved either upward or downward, the trend can be followed until a normalized margin is reached, i.e. to a sustainable percentage aligned with the industry average.
If SG&amp;A is the only operating expense, the operating profit margin could technically be used as the driver of the projection. However, directly projecting EBIT is seldom done in practice and is generally not recommended, especially for more complex models.
SG&amp;A Margin Calculator
We’ll now move on to a modeling exercise, which you can access by filling out the form below.
dl
First Name *
Email *
Submit
1. Historical SG&amp;A Margin Calculation Example
Suppose you’re tasked with building a five-year forecast of a company’s SG&amp;A and operating profit (EBIT) using the following historical income statement data.
Historical Data	2021A	2022A
Revenue	$200 million	$250 million
Less: COGS	(80 million)	(100 million)
Gross Profit	$120 million	$150 million
Less: SG&amp;A	($50 million)	($60 million)
EBIT	$70 million	$90 million
Historically, the company’s gross margin was 60% in both periods, while its SG&amp;A margin was 25% and 24% in 2021 and 2022, respectively.
For our SG&amp;A margin assumption, we’ll assume that given the recent decline in the ratio (and references to comparable mature companies), the SG&amp;A margin in 2027 will be 20%.
2. SG&amp;A Expense Projection
In the next section, we’ll project our company’s SG&amp;A expense (and operating margin) over the five-year forecast period.
For our revenue assumptions, we’ll assume the growth rate will decline to 4.0% by the end of 2027, while the gross margin remains fixed at 60% throughout the forecast.
Using a step function, we’ll enter our final year SG&amp;A margin in our operating assumptions section, so that the percentage declines in equal increments starting from the end of 2022.
Since the SG&amp;A margin is declining, the impact on EBIT (and thus the company’s operating profit margin) is positive.
For each forecast period, we’ll multiply our SG&amp;A margin assumption by the projected revenue in the same period, which results in our projected SG&amp;A expense amounts.
The EBIT line item is equal to the gross profit subtracted by SG&amp;A, so we’ve indirectly forecasted our company’s EBIT, which can be divided by revenue, to arrive at the operating profit margin for each period.
In conclusion, we can see our company’s SG&amp;A margin declined from 24% initially to 20% by the end of the forecast, whereas the operating profit margin increased from 36% to 40% across the same time </t>
      </text>
    </comment>
    <comment authorId="0" ref="A405">
      <text>
        <t xml:space="preserve">= Total Assets – Total Liabilities
Formula 1:
Shareholders’ Equity = Total Assets – Total Liabilities
The above formula is known as the basic accounting equation, and it is relatively easy to use. Take the sum of all assets in the balance sheet and deduct the value of all liabilities. Total assets are the total of current assets, such as marketable securities and prepayments, and long-term assets, such as machinery and fixtures. Total liabilities are obtained by adding current liabilities and long-term liabilities.
All the values are available in a company’s balance sheet. What remains after deducting total liabilities from the total assets is the value that shareholders would get if the assets were liquidated and all debts were paid up.
Formula 2:
Shareholders’ Equity = Share Capital + Retained Earnings – Treasury Stock
The share capital method is sometimes known as the investor’s equation. The above formula sums the retained earnings of the business and the share capital and subtracts the treasury shares. Retained earnings are the sum of the company’s cumulative earnings after paying dividends, and it appears in the shareholders’ equity section in the balance sheet.
Treasury stocks are repurchased shares of the company that are held for potential resale to investors. It is the difference between shares offered for subscription and outstanding shares of a company.
Return on Equity (ROE) =
Net Income /Shareholders' Equity
​
ROA Return on Assets =
Net Income/Total Assets
​
Debt-to-Equity Ratio = 
Total Debt / Shareholder Equity
​
Equity Ratio =
​Shareholders Equity/ Total Assets
Book Value per Share =
Shareholders Equity / # OS
​
P/B Ratio =
Market Price per Share /
Book Value per Share</t>
      </text>
    </comment>
    <comment authorId="0" ref="A410">
      <text>
        <t xml:space="preserve">https://blog.portfolio123.com/what-are-the-best-value-ratios/
It means I formed ten portfolios according to the rank of each stock on the value ratio in question, so that if a stock ranked in the top 10% it was in the first portfolio, if it ranked in the second 10% it was in the second, and so on. These portfolios were reconstituted every four weeks according to each stock’s rank at that time. The performance of these portfolios was measured and annualized.
 I then took these decile performances and measured the slope of their linear regression. (What does that mean? I lined up all the decile performances and used those as my y values, my x values being 0.1, 0.2, 0.3, . . . 1.0. I then calculated the linear regression—in other words the line that best fit these performance numbers—and calculated the slope. If all the decile performances are each one higher than the last, this slope approximates the difference between the performances of the bottom 10% and the top 10%; if they’re more variable, the slope diminishes.) The top performers had not only the greatest differences between the top and bottom decile, but the smoothest slope in-between. I also considered only the top decile in terms of performance, since most people use value ratios to go long, as well as the Sharpe ratio of that top decile. Lastly, I performed this exercise using both Compustat’s and FactSet’s data.
</t>
      </text>
    </comment>
    <comment authorId="0" ref="A419">
      <text>
        <t xml:space="preserve">Survivorship Bias 
is the tendency to view the performance of existing stocks or funds in the market as a representative comprehensive sample without regarding those that have gone bust. Survivorship bias can result in the overestimation of historical performance and general attributes of a fund or market index.
Survivorship bias risk is the chance of an investor making a misguided investment decision based on published investment fund return data.
KEY TAKEAWAYS
Survivorship bias occurs when only the winners are considered while the losers that have disappeared are not considered.
This can occur when evaluating mutual fund performance (where merged or defunct funds are not included) or market index performance (where stocks that have been dropped from the index for whatever reason are discarded).
Survivorship bias skews the average results upward for the index or surviving funds, causing them to appear to perform better since underperformers have been overlooked.
Understanding Survivorship Bias
Survivorship bias is a natural singularity that makes the existing funds in the investment market more visible and therefore more highly viewed as a representative sample. Survivorship bias occurs because many funds in the investment market are closed by the investment manager for various reasons leaving existing funds at the forefront of the investing universe.
Funds may close for various reasons. Numerous market researchers follow and have reported on the effects of fund closings, highlighting the occurrence of survivorship bias. Market researchers regularly follow fund survivorship bias and fund closings to gauge historical trends and add new dynamics to fund performance monitoring.
Numerous studies have been done discussing survivorship bias and its effects. For instance, Morningstar released a research report titled “The Fall of Funds: Why Some Funds Fail” discussing fund closures and their negative consequences for investors.
Fund Closings
There are two main reasons that funds close. One, the fund may not receive high demand and therefore asset inflows do not warrant keeping the fund open. Two, a fund may be closed by an investment manager due to performance. Performance closings are typically the most common.
Investors in the fund are immediately impacted by a fund closing. Companies usually offer two solutions for a fund closing. One, the fund undergoes full liquidation and the investors’ shares are sold. This causes potential tax reporting consequences for the investor.12 Two, the fund may choose to merge. Merged funds are often the best solution for shareholders since they allow for the special transition of shares typically with no tax reporting requirements. However, the performance of the merged funds is therefore also transitioned and can be a factor in the discussion of survivorship bias.
Morningstar is one investment service provider that regularly discusses and reports on survivorship bias. It can be important for investors to be aware of survivorship bias because it may be a factor influencing performance that they are not aware of. While merged funds may take into account closed fund performance, in most cases funds are closed and their performance is not integrated into future reporting. This leads to survivorship bias, since investors may believe that currently, active funds are a true representative of all efforts to manage toward a specific objective historically. Thus, investors may want to include qualitative fund research on a strategy they are interested in investing in to determine if previous managers have tried and failed in the past.
Closing to New Investors
Funds may close to new investors which is very different than a full fund closing. Closing to new investors may actually be a sign of the popularity of the fund and attention from investors for above-average returns.
Reverse Survivorship Bias
Reverse survivorship bias describes a far less common situation where low- performers remain in the game, while high performers are inadvertently dropped from the running. An example of reverse survivorship can be observed in the Russell 2000 index that is a subset of the 2000 smallest securities from the Russell 3000.3 The loser stocks stay small and stay in the small-cap index while the winners leave the index once they become too big and successful.</t>
      </text>
    </comment>
    <comment authorId="0" ref="A420">
      <text>
        <t xml:space="preserve">The swap spread is the difference between the swap rate (the rate of the fixed leg of a swap) and the yield on the government bond with a similar maturity. Since government bonds (e.g., US Treasury securities) are considered risk-free securities, swap spreads typically reflect the risk levels perceived by the parties involved in a swap agreement. Swaps are frequently quoted as the swap spread (another option is the swap rate).</t>
      </text>
    </comment>
    <comment authorId="0" ref="A421">
      <text>
        <t xml:space="preserve">Rate anticipation swaps, also known as RAS, are financial derivatives that allow parties to exchange fixed interest rate payments for floating interest rate payments, or vice versa, in anticipation of changes in interest rates. These swaps provide flexibility and risk management opportunities to market participants, allowing them to take advantage of their expectations of interest rate movements. In this section, we will delve into the details of rate anticipation swaps, exploring their mechanics, benefits, and potential use cases.
2. Mechanics of Rate Anticipation Swaps
Rate anticipation swaps are typically structured as a series of cash flows based on an underlying notional amount. The parties involved agree to exchange fixed and floating interest rate payments periodically, with the fixed rate typically based on a benchmark such as LIBOR or government bond yields. The floating rate, on the other hand, is usually tied to a short-term interest rate index such as the London interbank Offered rate (LIBOR).
The cash flows are determined by the difference between the fixed and floating interest rates, multiplied by the notional amount. For example, if Party A agrees to pay a fixed rate of 5% and Party B agrees to pay a floating rate of LIBOR + 2%, with a notional amount of $1 million, Party A would pay Party B $50,000 annually (5% $1 million), while Party B would pay Party A the floating rate plus $20,000 (LIBOR + 2% $1 million).
3. Benefits of Rate Anticipation Swaps
Rate anticipation swaps offer several benefits to market participants. Firstly, they allow parties to manage their interest rate risk by swapping from fixed to floating rates, or vice versa, based on their expectations of interest rate movements. For instance, if an entity expects interest rates to rise, it may enter into a rate anticipation swap to swap its fixed-rate debt for floating-rate debt, reducing the potential negative impact of rising interest rates.
Secondly, rate anticipation swaps provide flexibility in managing cash flows. By swapping from fixed to floating rates, a party can potentially benefit from lower interest expenses if rates decline. Conversely, if rates rise, the party may have to bear higher interest payments. However, this flexibility allows entities to align their cash flow obligations with their financial strategies.
4. Case Study: managing Interest Rate risk with Rate Anticipation Swaps
Let's consider a case study to illustrate the use of rate anticipation swaps in managing interest rate risk. Company XYZ, a manufacturing firm, has issued fixed-rate bonds with an outstanding principal of $10 million. However, with expectations of rising interest rates in the near future, the company is concerned about the potential increase in interest expenses.
To mitigate this risk, Company XYZ enters into a rate anticipation swap with a financial institution, swapping its fixed-rate bond payments for floating-rate payments. By doing so, the company effectively hedges against the risk of rising interest rates, as any increase in interest payments on the bond is offset by a corresponding increase in the floating-rate payments received through the swap.
5. tips for utilizing Rate Anticipation Swaps
When considering rate anticipation swaps, it is essential to conduct thorough analysis and evaluation. Here are a few tips to keep in mind:
- Understand your interest rate outlook: Before entering into a rate anticipation swap, have a clear understanding of your expectations for interest rate movements. This will help you determine whether swapping from fixed to floating rates, or vice versa, is the appropriate strategy.
- Consider counterparty risk: Evaluate the creditworthiness and reliability of the counterparty involved in the swap. Counterparty risk is an important factor to consider, as the swap entails ongoing payments over an extended period.
- seek professional advice: Engaging with financial advisors or consultants who specialize in derivatives can provide valuable insights and guidance when considering rate anticipation swaps. Their expertise can assist in analyzing the potential risks and rewards associated with these instruments.
Rate anticipation swaps are versatile financial instruments that allow market participants to manage interest rate risk and align cash flows with their financial strategies. Understanding the mechanics, benefits, and potential use cases of rate anticipation swaps can empower individuals and entities to make informed decisions in managing their interest rate exposure.</t>
      </text>
    </comment>
    <comment authorId="0" ref="A422">
      <text>
        <t xml:space="preserve">Hedge funds use total return swaps to obtain leverage on the reference assets: they can receive the return of the asset, typically from a bank (which has a funding cost advantage), without having to put out the cash to buy the asset. They usually post a smaller amount of collateral upfront, thus obtaining leverage.
It allows hedge funds to gain exposure to a broad range of assets without having to own the underlying assets themselves. Successful hedge funds like Renaissance Technologies, Bridgewater Associates, Citadel LLC, Millennium Management, and Two Sigma Investments have all leveraged TRS to gain a competitive advantage in the market.
A Total Return Swap is a contract between two parties who exchange the return from a financial asset between them. In this agreement, one party makes payments based on a set rate while the other party makes payments based on the total return of an underlying asset.
The underlying asset may be a bond, equity interest, or loan. Banks and other financial institutions use TRS agreements to manage risk exposure with minimal cash outlay. However, in recent years, total return swaps have become more popular due to the increased regulatory scrutiny after the alleged manipulation of credit default swaps (CDS).
In a TRS contract, the party receiving the total return gets any income generated by the financial asset without actually owning it. The receiving party benefits from any price increases in the value of the assets during the lifetime of the contract. The receiver must then pay the asset owner the base interest rate during the life of the TRS.
The asset owner forfeits the risk associated with the asset but absorbs the credit exposure risk that the asset is subjected to. For example, if the asset price falls during the lifetime of the TRS, the receiver will pay the asset owner a sum equal to the amount of the asset price decline.
Structure of a Total Return Swap Transaction
A TRS contract is made up of two parties, i.e., the payer and the receiver. The payer may be a bank, hedge fund, insurance company, or other cash-rich, fixed-income portfolio manager. The total return payer agrees to pay the TRS receiver the total return on an underlying asset while being paid LIBOR-based interest returns from the other party–the total return receiver. The underlying asset may be a corporate bond, bank loan, or sovereign bond.
The total return to the receiver includes interest payments on the underlying asset, plus any appreciation in the market value of the asset. The total return receiver pays the payer (asset owner) a LIBOR-based payment and the amount equal to any depreciation in the value of the asset (in the event that the value of the asset declines during the life of the TRS – no such payment occurs if the asset increases in value, as any appreciation in the asset’s value goes to the TRS receiver).
The TRS payer (asset owner) buys protection against a possible decline in the value of the asset by agreeing to pay all the future positive returns of the asset to the TRS receiver, in exchange for floating streams of payments.
Total Return Swap
Who Invests in Total Return Swaps
The major participants in the total return swap market include large institutional investors such as investment banks, mutual funds, commercial banks, pension funds, funds of funds, private equity funds, insurance companies, NGOs, and governments. Special Purpose Vehicles (SPVs) such as REITs and CDOs also participate in the market.
Traditionally, TRS transactions were mostly between commercial banks, where bank A had already surpassed its balance sheet limits, while the other bank B still had available balance sheet capacity. Bank A could shift assets off its balance sheet and earn an extra income on these assets, while Bank B would lease the assets and make regular payments to Bank A, as well as compensate for depreciation or loss of value.
Hedge funds and SPVs are considered major players in the total return swap market, using TRS for leveraged balance sheet arbitrage.  Usually, a hedge fund seeking exposure to particular assets pays for the exposure by leasing the assets from large institutional investors like investment banks and mutual funds.  The hedge funds hope to earn high returns from leasing the asset, without having to pay the full price to own it, thus leveraging their investment.
On the other hand, the asset owner expects to generate additional income in the form of LIBOR-based payments and get a guarantee against capital losses. CDO issuers enter into a TRS agreement as protection sellers in order to gain exposure to the underlying asset without having to purchase it. The issuers receive interest on the underlying asset while the asset owner mitigates against credit risk.
Benefits of Total Return Swaps
One of the benefits of total return swaps is their operational efficiency. In a TRS agreement, the total return receiver does not have to deal with interest collection, settlements, payment calculations, and reports that are required in a transfer of ownership transaction.
The asset owner retains ownership of the asset, and the receiver does not need to deal with the asset transfer process. The maturity date of the TRS agreement and the payment dates are agreed upon by both parties. The TRS contract maturity date does not have to correspond to the expiry date of the underlying asset.
The other major benefit of a total return swap is that it enables the TRS receiver to make a leveraged investment, thus making maximum use of its investment capital. Unlike in a repurchase agreement where there is a transfer of asset ownership, there is no ownership transfer in a TRS contract.
This means that the total return receiver does not have to lay out substantial capital to purchase the asset. Instead, a TRS allows the receiver to benefit from the underlying asset without actually owning it, making it the most preferred form of financing for hedge funds and Special Purpose Vehicles (SPV).
Risks Associated with a Total Return Swap
There are several types of risk that parties in a TRS contract are subjected to. One of these is counterparty risk. When a hedge fund enters into multiple TRS contracts on similar underlying assets, any decline in the value of these assets will result in reduced returns as the fund continues to make regular payments to the TRS payer/owner.
If the decline in the value of assets continues over an extended period and the hedge fund is not adequately capitalized, the payer will be at risk of the fund’s default. The risk may be heightened by the high secrecy of hedge funds and the treatment of such assets as off-balance sheet items.
Both parties in a TRS contract are affected by interest rate risk. The payments made by the total return receiver are equal to LIBOR +/- an agreed-upon spread. An increase in LIBOR during the agreement increases payments due to the payer, while a decrease in LIBOR decreases the payments to the payer. Interest rate risk is higher on the receiver’s side, and they may hedge the risk through interest rate derivatives such as futures.
In a TRS, the parties involved agree to exchange cash flows based on the overall return of an asset without transferring ownership of the asset itself. TRS's most common underlying assets are stocks, bonds, and indices.
How Total Return Swaps Work
The basic concept of a TRS is that one party, the receiver, pays the other party, the payer, a fixed or floating financing rate in exchange for the total return of an asset.
The payer is typically a financial institution, such as a bank or a hedge fund. The receiver can be any type of investor, like a pension fund or a wealthy individual. The parties involved can be located in different countries and may have varied currencies.
The exchange of cash flows in a TRS occurs periodically, such as monthly or quarterly, and is based on the total return of the underlying asset over the period.
For example, if the stock index has a total return of 5% over a three-month period, the bank pays the pension fund 5% of the notional amount of the swap, and the pension fund pays the bank the financing rate.
Total return swaps differ from other types of financial instruments, such as futures or options, because they do not involve a transfer of asset ownership.
Instead, total return swaps are purely financial agreements that allow parties to benefit from the price movements of an asset without actually owning it.
Requirements for Total Return Swaps
There are several requirements that must be met for a TRS to be entered into.
Notional Amount
It refers to the amount of the underlying asset that the swap is based on. Both parties must agree on the notional amount of the swap first.
For example, if the notional amount of a TRS based on a stock index is $10 million, the cash flows exchanged will be based on the entire return of $10 million worth of the stock index.
Total Return Leg
Secondly, the parties must agree on the total return leg, which is the variable component of the swap based on the underlying asset's total return. It can be based on the underlying stock, index, or bond's price appreciation, dividend payments, or interest payments.
Financing Rate
It compensates the payer for providing the total return exposure to the receiver. The parties must agree on the financing rate, which is the fixed or floating rate that is paid by the receiver to the payer in exchange for the total return leg.
TRS Duration
Finally, the parties must decide on the period of time over which the cash flows are exchanged. The duration of a total return swap can range from a few months to several years, depending on the investment objectives of the parties involved.
Requirements for Total Return Swaps
Risk Exchange in a Total Returns Swap
Essentially, the parties involved exchange risks associated with an underlying asset. For example, if a TRS involves a stock index, the receiver of the swap is exposed to the price movements of the index, while the payer is exposed to the credit risk of the receiver.
If the underlying asset is a bond, the receiver is exposed to the credit risk of the issuer, while the payer is exposed to the interest rate risk of the bond.
Total return swaps can be used to hedge risks associated with an underlying asset, such as price or credit risk. For example, a hedge fund may enter into a TRS agreement with a bank to hedge its exposure to the credit risk of a bond issued by a company.
By entering into a total return swap, the hedge fund can transfer the credit risk to the bank and receive a fixed or floating rate instead.
Total Return Swap Example
Suppose a pension fund wants exposure to the absolute return of a stock index but does not want to hold the actual stocks.
It enters into a TRS agreement with a bank, where the latter consents to pay the pension fund the full return of the stock index, and the pension fund compensates the bank with a fixed financing rate.
Over a three-month period, the stock index has a total return of 5%. The bank pays the pension fund 5% of the notional amount of the swap, which is $10 million, or $500,000. The pension fund pays the bank the financing rate, which is 2%, or $200,000.
At the end of the TRS duration, the swap is settled, and the pension fund receives $300,000 in total return minus the financing rate paid to the bank.
In this example, the pension fund benefits from the total return of the stock index without actually owning the stocks, while the bank earns a profit from the financing rate paid by the pension fund.
The TRS agreement allows both parties to achieve their investment objectives without actually buying or selling the underlying asset.
Benefits of Total Return Swap
Consider the following advantages of TRS:
Leverage
It refers to using borrowed funds to increase the potential return on an investment. In a total return swap, the receiver can gain exposure to the total return of an asset with a relatively small investment compared to buying the actual asset.
TRS allows the receiver to potentially earn a higher return while minimizing the initial investment required.
Stability and Income
Total return swaps can provide a stable source of income for the receiver, as the fixed or floating financing rate is defined at the outset of the swap.
TRS can be beneficial for investors who are looking for a steady stream of income without taking on the risks associated with owning an underlying stock, bond, or index.
Risk Mitigation and Short Positions
By entering into a total return swap, the receiver can transfer the risk associated with an underlying asset to the payer. This can be beneficial for investors who are looking to hedge their exposure to the price or credit risk associated with an asset.
Additionally, total return swaps can be used to take short positions on an asset, where the receiver benefits from a decline in the price of the underlying asset.
Risk of Total Return Swap
Discussed below are the disadvantages associated with TRS agreements.
Counterparty Risk
It refers to the risk that the other party in the swap agreement may renege on their obligations. If the payer in a total return swap defaults, the receiver may not get the total return of the underlying asset or may not receive the financing rate agreed upon.
To mitigate counterparty risk, parties in a total return swap may require collateral or enter into credit agreements with each other.
Risk of Fund’s Default
If the receiver of the total return swap defaults, the payer may be unable to collect the financing rate agreed upon or may have to sell the underlying asset at a loss.
To lessen the risk of the receiver or fund's default, the payer may require the receiver to provide collateral or credit enhancement.
Interest Rate Risk
It refers to the risk that changes in interest rates may affect the value of the swap. If interest rates increase, the financing rate paid by the receiver may increase, reducing the total return earned.
To protect against this risk, parties in a total return swap may enter into interest rate swaps or other hedging strategies.
Benefits and Risks of Total Return Swaps
Final Thoughts
Total return swaps are a type of financial instrument that allows parties to exchange cash flows based on the total return of an underlying asset without exchanging ownership of the asset itself.
The notional amount, total return leg, agreement duration, and financing rate form the key requirements of a TRS agreement. Total return swaps can be used to gain exposure to an underlying asset, hedge risks associated with an asset, or take short positions on an asset.
While total return swaps offer several benefits, such as leverage, stability, and risk mitigation, they also carry risks, such as counterparty risk, default risk, and interest rate risk.
Parties involved in a total return swap should carefully evaluate the risks and benefits before entering into an agreement.
Individual investors, banks, and other institutions should consult a qualified financial advisor who offers wealth management services for professional guidance.
</t>
      </text>
    </comment>
    <comment authorId="0" ref="A423">
      <text>
        <t xml:space="preserve">What Is SWOT Analysis? SWOT (strengths, weaknesses, opportunities, and threats) analysis is a method for identifying and analyzing internal strengths and weaknesses and external opportunities and threats that shape current and future operations and help develop strategic goals.</t>
      </text>
    </comment>
    <comment authorId="0" ref="A426">
      <text>
        <t xml:space="preserve">Systematic Risk vs unsystemic
Systematic risk is inherent to public equities rather than impacting just one specific company (e.g. global pandemic, recessions)
Often called market risk, these risks cannot be mitigated through portfolio diversification unlike unsystematic risk
Unsystematic risk is also called company-specific risk (or industry-specific risk) since the risk can be reduced with effective portfolio diversification
Examples of such risks are supply chain issues and legal settlements that impact a single company
Since unsystematic risk is company-specific and can be diversified away, especially if the portfolio contains investments in a wide range of industries with different traits, unsystematic risk is ignored in the capital asset pricing model (CAPM).
However, systematic risk is the market risk that cannot be diversified away.
As a result, the market will require higher potential returns and more compensation for assuming systematic risk (which increases the cost of equity).
Simply put, systematic risk is caused by external factors that are beyond the control of a specific company or organization.
All securities, some more than others, are exposed to systematic risk, which is otherwise known as “non-diversifiable” risk as it cannot be reduced by increasing the number of portfolio holdings.
</t>
      </text>
    </comment>
    <comment authorId="0" ref="A429">
      <text>
        <t xml:space="preserve">A takeover bid is a type of corporate action in which a company makes an offer to purchase another company. In a takeover bid, the company that makes the offer is known as the acquirer, while the subject of the bid is referred to as the target company. The acquiring company generally offers cash, stock, or a combination of both in an attempt to assume control of its target.
KEY TAKEAWAYS
A takeover bid is a corporate action in which a company makes an offer to purchase another company.
The acquiring company generally offers cash, stock, or a combination of both for the target.
Synergy, tax benefits, or diversification may be cited as the reasons behind takeover bid offers.
Depending on the type of bid, takeover offers are normally taken to the target's board of directors, and then to shareholders for approval.
There are four types of takeover bids: Friendly, hostile, reverse, or backflips.
Understanding Takeover Bids
Any activity that is expected to have a direct, material impact on its stakeholders (e.g., shareholders and creditors)—is called a corporate action. Corporate actions require the approval of the company's board of directors (B of D), and, in some cases, approval from certain stakeholders. Corporate actions can vary, ranging from bankruptcy and liquidation to mergers and acquisitions (M&amp;A) such as takeover bids.
Managers of potential acquirers often have different reasons for making takeover bids and may cite some level of synergy, tax benefits, or diversification. For instance, the acquirer may go after a target firm because the target's products and services align with its own. In this case, taking it over could help the acquirer to cut out the competition or give it access to a brand new market.
The potential acquirer in a takeover usually makes a bid to purchase the target, normally in the form of cash, stock, or a mixture of both. The offer is taken to the company's B of D, which either approves or rejects the deal. If approved, the board holds a vote with shareholders for further approval. Should they be happy to proceed, the deal must then be examined by the Department of Justice (DOJ) to ensure it doesn't violate antitrust laws.
Empirical studies are mixed, but history shows, in post-merger analysis, a target company's shareholders often benefit most, likely from the premiums paid by acquirers. Contrary to many popular Hollywood movies, most mergers begin friendly. Although the idea of the hostile takeovers by sharks makes for good entertainment, corporate insiders know hostile bids are an expensive undertaking, and many fail, which can be costly professionally.
 Most takeover bids begin friendly.
Types of Takeover Bids
There are generally four types of takeover bids: Friendly, hostile, reverse, or backflips.
Friendly
A friendly takeover bid takes place when both the acquirer and the target companies work together to negotiate the terms of the deal. The target's B of D will approve the deal and recommend that shareholders vote in favor of the bid.
Drug store chain CVS acquired Aetna in a friendly takeover for $69 billion in cash and stock. The deal was announced in December 2017, approved by shareholders of both companies in March 2018, and then given the go-ahead by the DOJ in October 2018.
1
2
Hostile
Rather than going through the B of D of the target company, a hostile bid involves going directly to the target's shareholders with the bid. Hostile bidders issue a tender offer, giving shareholders the opportunity to sell their stock to the acquirer at a substantial premium within a set timeframe.
Unlike a friendly takeover, the target is unwilling to go through with the merger and may resort to certain tactics to avoid being swallowed up. These strategies can include poison pills or a golden parachute.
Reverse
In a reverse takeover bid, a private company bids to buy a public corporation. Since the public company already trades on an exchange, this takeover can help the private company become listed without having to go through the tedious and complicated process of filing the paperwork necessary to complete an initial public offering (IPO).
Backflip
Backflip takeover bids are fairly rare in the corporate world. In this kind of bid, an acquirer looks to become a subsidiary of the target. Once the merger is completed, the acquirer retains control of the combined corporation, which usually bears the name of the target. This type of takeover is normally used when the acquirer lacks the brand recognition of the target.
Example of Takeover Bids
In July 2011, activist investor Carl Icahn offered to pay Clorox shareholders $76.50 a share to take the company private. At the time, Icahn was the company's largest shareholder, having accumulated a 9% stake starting in December 2010.
3
 Nevertheless, his unsolicited bid was refused by the board of directors.
Icahn subsequently raised his offer to $80 a share, valuing the company at $10.7 billion. This offer, too, was rejected by the board. His bids having failed, Icahn attempted to take over the company's board of directors. Facing significant resistance from the company and shareholders, he aborted his efforts in September of that year.</t>
      </text>
    </comment>
    <comment authorId="0" ref="A432">
      <text>
        <t xml:space="preserve"> Tangible assets are (fixed?) assets with significant value and are available in physical form. It means any asset that can be touched and felt could be labeled a tangible one with a long-term valuation. These fixed assets help businesses manufacture/produce goods and products for enhanced sales. Moreover, companies can also use these assets as collateral for loans.
There are two types of tangible properties – 
1. Current Assets refer to those short-term assets which can be efficiently utilized for business operations, sold for immediate cash or liquidated within a year. It comprises inventory, cash, cash equivalents, marketable securities, accounts receivable, etc.
2.  fixed assets - Fixed assets are fixed, long-term assets owned by an individual or an organization. They are usually not easy to sell and are often confused with current assets such as bank accounts or cash.
Tangible Assets Examples
Let us consider the following tangible assets examples to understand how this concept works:
Example #1
A high cap company holds a large percentage of fixed assets, including plant, equipment, and machinery. The companies operating in the oil and gas sector or real estate industry tend to have many tangible properties. Thus, they produce more output to generate higher sales, meet market demand, and ensure better revenue
.
Example #2
A service-based company, such as software production units, has tangible properties that help them implement its innovative ideas correctly. However, these firms are more into having intellectual properties. They own patents and copyrights for the products and ideas they come up with. Some examples of such service companies are Microsoft, Infosys, etc.
Tangible Assets vs Intangible Assets
Tangible assets and intangible assets are two opposite terms widely used in the financial perspective. Let us have a glance at the differences between the two concepts:</t>
      </text>
    </comment>
    <comment authorId="0" ref="A440">
      <text>
        <t xml:space="preserve">Firm is in stable growth:
Grows at constant rate
forever
pages.stern.nyu.edu/~adamodar/pdfiles/country/valallday12.pdf</t>
      </text>
    </comment>
    <comment authorId="0" ref="A441">
      <text>
        <t xml:space="preserve">Firm is in stable growth:
Grows at constant rate
forever
pages.stern.nyu.edu/~adamodar/pdfiles/country/valallday12.pdf</t>
      </text>
    </comment>
    <comment authorId="0" ref="A443">
      <text>
        <t xml:space="preserve">The conventional way of measuring alpha is extraordinarily susceptible to outliers. There are lots of ways around this – you could Winsorize your returns, for example. I calculate beta by using the Theil-Sen estimation (this is the median slope of all pairs of points) and then calculate the median difference between my returns and the product of that beta and the benchmark returns. (I subtract the risk-free rate from both my returns and those of the benchmark before calculating any of this.) By this measure, and using the microcap ETF IWC as my benchmark, my strategy has gotten an annualized alpha of 26% since its inception in November 2015, which is 3% lower than if I’d used the conventional calculation.</t>
      </text>
    </comment>
    <comment authorId="0" ref="A445">
      <text>
        <t xml:space="preserve">Total Accruals to Total Assets (TATA) is:
TATA = (Income from Continuing Operationst - Cash Flows from Operationst) / Total Assetst
 Beneish M
</t>
      </text>
    </comment>
    <comment authorId="0" ref="A446">
      <text>
        <t xml:space="preserve">Total Addressable Market (TAM), also referred to as total available market, is the overall revenue opportunity that is available for a product or service if 100% market share is achieved. Because it represents the potential opportunity, it is often used to determine the level of funding or resources that a company should invest into a new product or business line.
The concept of total addressable market is important for both startups and existing businesses because it allows them to prioritize specific products, customer segments, and business opportunities, taking into consideration the required resources and potential revenue impact.
Calculating the Total Addressable Market
There are three methods used to calculate the total addressable market. They include:
#1 Top Down
The top-down analysis follows a process of elimination that starts by taking a large population of a known size that comprises the target market and using it to narrow down to a specific market segment. Top-down analysis can be represented by an inverted pyramid that shows the large population of a known segment at the top and the narrowed-down segment at the bottom. The method uses industry research and reports to gather population data.
An example is a start-up technology company that offers an accounting software app targeting small businesses. The company uses on industry research that shows that there are 1 billion businesses worldwide, out of which 30% lack access to premium accounting software (30% x 1 billion customers = 300,000,000 potential customers).
Research shows that 90% of businesses that do not use a premium accounting application employ an in-house full-time accountant. This brings the number of potential businesses to 10% x 300,000,000= 30,000,000. If the business offers a free version of the application and a premium version of the application for a $100 per year annual subscription, the estimated total addressable market is $3 billion (30,000,000 x $100). (All the figures used are based on assumptions as an example only).
#2 Bottom Up
A bottom-up analysis is a reliable method because it relies on primary market research to calculate the TAM estimates. It typically uses existing data about current pricing and usage of a product. For example, for a startup company with a free accounting mobile app and annual subscription option for $100, the business can take a reasonable estimate of the number of businesses in its target market to obtain the TAM.
The advantage of using a bottom-up approach is that the company can explain why it selected certain customer segments and left out others. The company relies on data from its own research or survey and, therefore, the addressable market would be more relevant and accurate rather than when relying on third-party data.
#3 Value Theory
Value theory relies on estimating the value provided to customers by the product and how much of that value can be reflected in product pricing. A company estimates how much value it can add and why it should capture this value through pricing. Value theory is used to calculate TAM when a company is introducing new products into the market or cross-selling certain products to existing customers.
As an example, the value theory approach can be used to estimate the ride-share company Uber’s addressable value. Users opting to use Uber choose between Uber, walking, driving themselves, using public transportation, or taking a competitor’s service. Since users are willing to forego all these alternatives and use Uber, the company can estimate the value that these users derive from using Uber and determine how to capture the value in its pricing.
Differences Between TAM, SAM, and SOM
TAM is an acronym for Total Addressable Market
SAM is an acronym for Serviceable Available Market
SOM is an acronym for Serviceable Obtainable Market
TAM, SAM, and SOM represent various subsets of a market.
TAM refers to the total potential market for a product or service that is calculated in estimated annual revenue.
SAM stands for Serviceable Available Market, and it is the target addressable market that is served by a company’s products or services.
SOM is an acronym for Serviceable Obtainable Market, which is the percentage of SAM that can be realistically achieved.
Identifying these subsets within an industry requires some market research to understand the proportions of each area.
An example is consumer expenditure on food in the UK. In 2014, the value of this market was estimated to be 200 billion euros, which represents the total addressable market. The consumer food market entails fresh food, in addition to alcoholic and non-alcoholic drinks.
The alcoholic drinks industry, which served 49 billion euros, is the serviceable available market (SAM). The industry contains several large manufacturers and suppliers who service the market. A section of the alcoholic drinks industry that is served by one manufacturer is the serviceable obtainable market (SOM).
Total Addressable Market - Scale
Importance of TAM
The Total Addressable Market is one of the essential metrics that companies use to estimate the potential scale of the market in terms of total potential sales and revenues. When a company is considering releasing a new product, reaching a new customer segment, or cross-sell an existing product to existing customers, TAM helps show the potential outcome and returns on the endeavor.
Applications in Financial Modeling &amp; Valuation
Financial modeling requires building a forecast for a company, which is dependent on the company’s total addressable market. When developing or analyzing a forecast in a valuation model, it’s important to perform a “sanity check” against the size of the market. Detailed operating models will typically include a build-up from market size to addressable market, to customers, and finally to revenue.
</t>
      </text>
    </comment>
    <comment authorId="0" ref="A447">
      <text>
        <t xml:space="preserve">Total Assets are everything that a business owns. This includes money, investments, equipment, or anything that has value and can be exchanged for cash. They can be broken down into 2 groups:
Current Assets= those that are readily convertible to cash i.e. cash, acct’s receivable, short-term investments, marketable securities, inventory, prepaid expenses.
Non-current Assets = things owned that are no easily convertible to cash bc they need time to be sold or appraised for value. I.e. real estate, land, machinery, and intangible assets such as trademarks, brand names patents, and web domain names.
Liquidity is the ease of turning assets into cash.</t>
      </text>
    </comment>
    <comment authorId="0" ref="A449">
      <text>
        <t xml:space="preserve">Total Debt Service (TDS) typically refers to the total amount of money required to cover all debt-related obligations, including both principal and interest payments, over a specific period. To find Total Debt Service, you can follow these steps:
Review Financial Statements:
Balance Sheet: Look at the company's balance sheet to find the total liabilities. This includes both short-term and long-term debt.
Income Statement: Check the income statement for the company's interest expense. This represents the cost of servicing the company's debt.
Identify Principal and Interest Payments:
Principal Payments: Determine the amount of principal repayments on the company's debt during the period. This information may be available in the company's financial statements or in notes to the financial statements.
Interest Payments: Identify the total interest payments made by the company during the period. This information is typically found on the income statement.
Calculate Total Debt Service:
Add the principal payments and interest payments together to calculate the Total Debt Service for the specific period.
Total Debt Service
=
Principal Payments
+
Interest Payments
Total Debt Service=Principal Payments+Interest Payments
Consider Debt Service Coverage Ratio (DSCR):
The Debt Service Coverage Ratio (DSCR) is a related metric that expresses a company's ability to cover its debt payments. It is calculated as:
DSCR=
Net Operating Income
Total Debt Service
DSCR= 
Total Debt Service
Net Operating Income
​
Ensure that you have the Net Operating Income (NOI) figure to use in the DSCR calculation.
Check Financial Reports and Disclosures:
Some companies provide additional financial reports or disclosures that specify their total debt service. These documents may offer insights into the company's debt structure and repayment obligations.
By carefully reviewing the relevant sections of the company's financial statements, including the balance sheet and income statement, and considering additional financial reports or disclosures, you can calculate or find information related to Total Debt Service.
Total debt service refers to current debt obligations, meaning any interest, principal, sinking fund, and lease payments due in the coming year. On a balance sheet, this will include short-term debt and the current portion of long-term debt.
Income taxes complicate DSCR calculations because interest payments are tax-deductible, while principal repayments are not. A more accurate way to calculate total debt service is, therefore, to compute the following:
TDS
=(Interest×(1−Tax Rate))+Principal
where:
TDS=Total debt service
​
TDS=(Interest×(1−Tax Rate))+Principal
where:
TDS=Total debt service</t>
      </text>
    </comment>
    <comment authorId="0" ref="A450">
      <text>
        <t xml:space="preserve">Total debt service refers to current debt obligations, meaning any interest, principal, sinking fund, and lease payments due in the coming year. On a balance sheet, this will include short-term debt and the current portion of long-term debt.
Income taxes complicate DSCR calculations because interest payments are tax-deductible, while principal repayments are not. A more accurate way to calculate total debt service is, therefore, to compute the following:
TDS
=(Interest×(1−Tax Rate))+Principal
where:
TDS=Total debt service
​
TDS=(Interest×(1−Tax Rate))+Principal
where:
TDS=Total debt service
​
</t>
      </text>
    </comment>
    <comment authorId="0" ref="A451">
      <text>
        <t xml:space="preserve">To find the total liabilities of a company, you need to refer to its balance sheet, which is one of the financial statements. The total liabilities section of the balance sheet provides information about the company's obligations and debts. Here are the steps to find total liabilities:
Locate the Balance Sheet:
Access the company's financial statements, particularly the balance sheet. The balance sheet is typically included in the company's annual report, quarterly reports, or filings with regulatory authorities.
Identify the Liabilities Section:
Within the balance sheet, look for the liabilities section. It is usually categorized into current liabilities and long-term liabilities.
Current Liabilities:
Current liabilities are obligations that are expected to be settled within one year. Examples include accounts payable, short-term debt, and accrued liabilities. Sum up all the current liabilities to find the total current liabilities.
Long-Term Liabilities:
Long-term liabilities are obligations that extend beyond one year. Examples include long-term debt, deferred tax liabilities, and other non-current liabilities. Sum up all the long-term liabilities to find the total long-term liabilities.
Calculate Total Liabilities:
Add the total current liabilities to the total long-term liabilities to find the overall total liabilities.
Total Liabilities
=
Total Current Liabilities
+
Total Long-Term Liabilities
Total Liabilities=Total Current Liabilities+Total Long-Term Liabilities
The balance sheet equation, which represents the fundamental accounting equation, is:
Assets
=
Liabilities
+
Equity
Assets=Liabilities+Equity
Therefore, the total liabilities represent one part of the balance sheet equation, reflecting the company's obligations that need to be settled over time.
It's important to carefully review the balance sheet and ensure that you are considering all relevant liabilities. The balance sheet is a snapshot of the company's financial position at a specific point in time, and it provides valuable information for assessing the company's financial health.</t>
      </text>
    </comment>
    <comment authorId="0" ref="A452">
      <text>
        <t xml:space="preserve">Net Fixed Assets Formula=
Gross Fixed Assets – Accumulated Depreciation
Net Fixed Assets Formula = Gross Fixed Assets – Accumulated Depreciation
Net Fixed Assets Formula= (Total Fixed Asset Purchase Price + capital improvements) – (Accumulated Depreciation + Fixed Asset Liabilities)
Net fixed asset is the asset’s residual value of the fixed asset. It is calculated using the total price paid for all fixed assets at the time of purchase minus the total depreciation amount already taken since the time assets were purchased.
Components of Net Fixed Assets
#1 – Fixed Assets
Fixed assets are the assets that enterprise purchases for long-term use and are not meant for sale, unlike stock. These assets are not readily converted into cash and are utilized for generating revenue. Fixed assets are of two types
Tangible assets
 (that can be touched) such as building, plant &amp; machinery, equipment, furniture, etc.
Intangible assets
 (that cannot be touched) such as goodwill, patent, trademark, etc.;
#2 – Accumulated Depreciation
The accumulated depreciation charged on an asset from its starting use until its present use is the accumulated depreciation. Each year, the depreciation is charged on the asset, which is then added to the accumulated depreciation account. For example, On 1st April 2016, furniture worth $100,000 was purchased. The useful life of plant &amp; machinery is 15 years, and says its residual value
  is 10% of the asset’s cost. So depreciation for the financial year 2016-17 is ($100,000 – 10% of $100,000)/15 = $6000.
Similarly, for 2017-18 and 2018-19, the depreciation charged is $6,000 each year. Therefore, the accumulated depreciation as of 31st March 2019 is:
$6,000 + $6,000 + $6,000 = $18,000 i.e. the cumulative depreciation from its date of put to use till the present date.
#3 – Capital Improvements
Improvements are the capital additions on the fixed assets
, which are done to increase the efficiency and capacity of the asset, increasing its operational efficiency. The depreciation is charged on the capital improvements
 over its useful life.
#4 – Fixed Assets Liabilities
Liabilities associated with fixed assets are fixed assets liabilities that include all the debts arising due to the purchase or improvements of fixed assets. The company is required to pay the same to the outsiders.
</t>
      </text>
    </comment>
    <comment authorId="0" ref="A453">
      <text>
        <t xml:space="preserve">A Treasury bill (T-Bill) is a short-term U.S. government debt obligation backed by the Treasury Department with a maturity of one year or less. Treasury bills are usually sold in denominations of $1,000. However, some can reach a maximum denomination of $5 million in non-competitive bids. These securities are widely regarded as low-risk and secure investments.
The Treasury Department sells T-bills during auctions using a competitive and non-competitive bidding process. Non-competitive bids, also known as non-competitive tenders, have a price based on the average of all the competitive bids received.
KEY TAKEAWAYS
A Treasury Bill (T-Bill) is a short-term debt obligation backed by the U.S. Treasury Department with a maturity of one year or less.
Treasury bills are usually sold in denominations of $1,000, while some can reach a maximum denomination of $5 million.
T-bill rates depend on interest rate expectations.
Treasury Bills
Investopedia / Michela Buttignol
Understanding Treasury Bills (T-Bills)
The U.S. government issues T-bills to fund various public projects, such as the construction of schools and highways. When an investor purchases a T-bill, the U.S. government effectively writes an IOU to the investor. Thus, T-bills are considered a safe and conservative investment since the U.S. government backs them.
T-bills are generally held until the maturity date. However, some holders may wish to cash out before maturity and realize the short-term interest gains by reselling the investment in the secondary market.
T-Bill Maturities
T-bills can have maturities of just a few days, but the maturities listed by the Treasury are are four, eight, 13, 17, 26, and 52 weeks.1 When interest rates are expected to continue rising, longer maturity dates pay more than shorter dates. Conversely, if interest rates are expected to fall, longer maturity dates might have lower interest rates.2
 Need help differentiating between T-bills, T-notes, and T-bonds? T-bills are short-term, so you can use the mnemonic that the "bill needs to be paid soon."
T-Bill Redemptions and Interest Earned
T-bills are issued at a discount from the par value (also known as the face value) of the bill, meaning the purchase price is less than the face value of the bill. So, for example, a $1,000 bill might cost the investor $950.
When the bill matures, the investor is paid the face value—par value—of the bill they bought. If the face value amount exceeds the purchase price, the difference is the interest earned for the investor.3 T-bills do not pay regular interest payments as with a coupon bond, but a T-bill does include interest, reflected in the amount it pays when it matures.4
T-Bill Tax Considerations
The interest income from T-bills is exempt from state and local income taxes. However, the interest income is subject to federal income tax. Investors can access the research division of the TreasuryDirect website for more tax information.5
Purchasing T-Bills
There are two ways to buy T-bills. You can buy them directly from the government or on the secondary market through a broker.
Buying T-Bills from TreasuryDirect
New issues of T-bills can be purchased at auctions held by the government on the TreasuryDirect site. These are priced through a bidding process, with bidders ranging from individual investors to hedge funds, banks, and primary dealers.6 These purchasers may then sell the bills to other customers in the secondary market.
A competitive bid sets a price at a discount from the T-bill's par value, letting you specify the yield you wish to get from the T-bill. Noncompetitive bids auctions allow investors to submit a bid to purchase a set dollar amount of bills. The yield investors receive is based on the average auction price from all bidders.
Buying T-Bills on the Secondary Market
You can also buy Treasury bills through a bank or a licensed broker. Once completed, the purchase of the T-bill serves as a statement from the government that says you are owed the money you invested, according to the terms of the bid.7
Treasury Bonds vs. Treasury Notes vs. Treasury Bills
Treasury bills are one of several types of debt issued by the U.S. Department of the Treasury. In addition to T-bills, there are also Treasury bonds and Treasury notes, each referring to different debt products. All three represent fixed-term debt over a period of time.
The main difference between these types of debt is the time to maturity. Treasury bills represent short-term obligations that mature anywhere between a few days to 52 weeks. Treasury notes are medium-term securities that take between two and 10 years to mature. Treasury bonds have the longest lifetime and mature in 30 years.
Advantages and Disadvantages of T-Bills
Treasury Bills are one of the safest investments available to the investor. But this safety can come at a cost. T-bills pay a fixed rate of interest, which can provide a stable income. However, if interest rates are rising, existing T-bills fall out of favor since their rates are less attractive compared to the overall market. As a result, T-bills have interest rate risk, which means there is a risk that existing bondholders might lose out on higher rates in the future.
Although T-bills have zero default risk, their returns are typically lower than corporate bonds and some certificates of deposit. Since Treasury bills don't pay periodic interest payments, they're sold at a discounted price to the face value of the bond. The gain is realized when the bond matures, which is the difference between the purchase price and the face value.5
However, if they're sold early, there could be a gain or loss depending on where bond prices are trading at the time of the sale. In other words, if sold early, the sale price of the T-bill could be lower than the original purchase price.1
Pros and Cons of T-Bills
Pros
Zero default risk since T-bills have a U.S. government guarantee
T-bills offer a low minimum investment requirement of $100
Interest income is exempt from state and local income taxes but subject to federal income taxes
Investors can buy and sell T-bills with ease in the secondary bond market
Cons
T-bills offer low returns compared with other debt instruments
The T-bill pays no interest payments leading up to its maturity
T-bills can inhibit cash flow for investors who require steady income
T-bills have interest rate risk, so, their rate could become less attractive in a rising-rate environment
What Influences T-Bill Prices?
T-bill prices fluctuate similarly to other debt securities. Many factors can influence prices, including macroeconomic conditions, monetary policy, and the overall supply and demand for Treasuries.3
Maturity Dates
Maturity dates tend to dictate T-bill's prices. T-bills with longer maturity dates can have higher returns than those with shorter maturities when interest rates are rising. In other words, short-term T-bills might be discounted less than longer-dated T-bills when rates are rising, and when rates are dropping, they might be discounted more.
Market Risk
Investors' risk tolerance affects prices. For instance, T-bill prices tend to drop when other investments, such as equities, appear less risky and when the U.S. economy is expanding. Conversely, investors tend to invest in T-bills as a safe place for their money during recessions, spiking the demand for these safe products.
The Federal Reserve
The monetary policy set by the Federal Reserve through the federal funds target rate range also strongly impacts T-bill prices. The federal funds rate refers to the interest rate that banks charge each other for lending them money from their reserve balances on an overnight basis.
The Fed increases or decreases this rate in an effort to contract or expand the supply of money in the economy, which affects lending, inflation, purchasing power, and eventually, employment. A lower rate allows banks to have more money to lend, while a higher fed funds rate decreases the amount of money in the system.8
As a result, the Fed's actions impact short-term rates, including those for T-bills. A rising federal funds rate tends to draw money away from Treasuries and into higher-yielding investments. Since the T-bill rate is fixed, investors tend to sell T-bills when the Fed is hiking rates because the T-bill rates are less attractive. Conversely, if the Fed is reducing interest rates, money flows into existing T-bills driving up prices as investors buy up the higher-yielding T-bills.9
Fed Funds Rate	Yields on Existing Bills	Investors
Increases	Goes down 	Sell Existing T-Bills 
Decreases 	Goes up 	Buy Existing T-Bill 
The Federal Reserve is also one of the largest purchasers of government debt securities. Buying and selling these securities is how the Fed acts to increase and decrease the money supply. When it sells its holdings, money is sent to and held by the Federal Reserve.
When it buys securities, money flows out to investors, which is then deposited into banks, spent, or invested in other types of securities. Banks then have more to lend, and consumers have more to spend. Influencing the money supply in this way helps the Fed manage inflation.
 T-bill prices tend to rise when the Fed performs expansionary monetary policy by purchasing Treasuries. Conversely, T-bill prices fall when the Fed sells its debt securities.
Inflation
Treasuries also have to compete with inflation, which measures the pace of rising prices in the economy. Even if T-bills are the most liquid and safest debt security in the market, fewer investors tend to buy them in times when the inflation rate is higher than the T-bill return.
For example, if an investor bought a T-bill with a 2% yield while inflation was at 3%, the investor would have a net loss on the investment when measured in real terms. As a result, T-bill prices tend to fall during inflationary periods as investors sell them and opt for higher-yielding investments.9
Example of a Treasury Bill Purchase
On May 13, 2023, the last 52-week T-bill issued by the Treasury was in April. It sold for $95.419667 per $100. If you had purchased a $1,000 52-week T-bill that day, you would have paid $954.19667, then received $1,000 on maturity. Thus, you would gain $45.80 in interest when the T-bill matured.10
What Are the Maturity Terms for Treasury Bills?
U.S. Treasury bills are short-term government bonds and are issued with six terms. These consist of four-, eight-, 13-, 17-, 26-, and 52-week terms.11
What Kind of Interest Payments Will I Receive If I Own a Treasury Bill?
The only interest paid will be when the bill matures. At that time, you are given the full face value. T-bills are zero-coupon bonds usually sold at a discount, and the difference between the purchase price and the par amount is your accrued interest.
How Can I Buy a Treasury Bill?
U.S. Treasury bills are auctioned on a regular schedule. You can buy T-bills from the government using the TreasuryDirect website. Registering is free, and the site functions like a brokerage account that holds your bonds. In addition to bidding on new issues, you can set up reinvestments into securities of the same type and term. For instance, you can use the proceeds from a maturing 52-week bill to buy another 52-week T-bill. Certain brokerage firms may also allow trading in U.S. Treasuries.7
Where Is My Paper Hard Copy of the T-Bill I Bought?
T-bills and other government bonds are no longer issued on paper and are only available digitally through TreasuryDirect or your broker.3
The Bottom Line
Treasury Bills, or T-bills, represent short-term debt obligations by the Treasury. Because the U.S. government backs them, they are considered extremely low-risk, although they also have relatively low returns.</t>
      </text>
    </comment>
    <comment authorId="0" ref="A454">
      <text>
        <t xml:space="preserve">A trustee is a third-party entity appointed to represent the interests of bondholders and ensure that the terms of the bond agreement are adhered to. The trustee acts as a fiduciary, serving as an intermediary between the issuer and the bondholders. The role of the trustee includes safeguarding bondholders' rights, monitoring compliance with covenants, and facilitating various administrative aspects of the bond issue.
The trustee is responsible for tasks such as collecting and distributing interest payments, ensuring the proper allocation of funds for debt service, and managing the bond's sinking fund (if applicable). In case of default by the issuer, the trustee may play a crucial role in representing bondholders and taking appropriate actions to protect their interests.
</t>
      </text>
    </comment>
    <comment authorId="0" ref="A455">
      <text>
        <t xml:space="preserve">= FY22 Rev + Q1'23 Rev–Q1'22 Rev
</t>
      </text>
    </comment>
    <comment authorId="0" ref="A459">
      <text>
        <t xml:space="preserve">The revenue that an organization earns is essential to the ongoing survival of the company and determines its ability to become profitable. It is an indicator of the organization’s ability to sell goods and services to customers.
The way that revenue and unearned revenue are treated is different. When the organization earns the revenue, additional adjusting journal entries must be made compared to when the revenue is earned upon payment.
The revenue that the organization makes is put into the income statement. The organization must pay taxes on the revenue after subtracting expenses multiplied by the tax rate.
The revenue gives way to some profitability ratios that can be used to determine the organization's effectiveness and efficiency. These ratios can be benchmarked to compare the organization's performance to their competitors and industry average.
This type of revenue is the opposite of accounts receivable. Accounts receivable are those receiving the goods or services before paying for them. Unearned amounts are when the customer pays before they receive the service or goods from the organization.</t>
      </text>
    </comment>
    <comment authorId="0" ref="A460">
      <text>
        <t xml:space="preserve">Unlevered Beta = Levered Beta ÷ [1 + (1 – Tax Rate) * (Debt ÷ Equity)]
Unlevered Beta → Removed Capital Structure (D/E) Effects
Unlevered beta, on the other hand, removes the effects of using financial leverage to isolate the risk related to a company’s assets. Since unlevered beta represents pure business risk, it should NOT incorporate financial risk.
For that reason, unlevered beta is often called “asset beta” because it measures the expected volatility of the security (and underlying company) as if the capital structure is comprised of only equity financing.
The levered beta of a firm is different than the unlevered beta as it changes in positive correlation with the amount of debt a firm has in its financial structure.
When it comes to unlevered beta, you can essentially assume that the company is financed entirely with equity with no debt financing – and all free cash flows (FCFs) belong to the equity holder(s).
As a result of removing the debt component from the levered beta, you can understand the actual contribution of a company’s equity to its risk profile.
To calculate unlevered beta, the formula divides the levered beta by [1 plus the product of (1 minus the tax rate) and the company’s debt/equity ratio]. Typically, a company’s unlevered beta can be calculated by taking the company’s reported levered beta from a financial database such as Bloomberg and Yahoo Finance and then applying the formula below.
</t>
      </text>
    </comment>
    <comment authorId="0" ref="A461">
      <text>
        <t xml:space="preserve">Unlevered free cash flow is free cash flow plus the taxable portion of interest expense. I use TTM GAAP values. Enterprise value is market cap plus total debt minus cash and equivalents. (FCFTTM + IntExpTTM * (1 - TaxRate%TTMInd/100)) / EV
Which of these seven had the absolute best performance? Well, they’re all very close, but if I had to choose just one, it would be #6, with #3 in second place.</t>
      </text>
    </comment>
    <comment authorId="0" ref="A462">
      <text>
        <t xml:space="preserve">Unsystematic risk is also called company-specific risk (or industry-specific risk) since the risk can be reduced with effective portfolio diversification
Examples of such risks are supply chain issues and legal settlements that impact a single company</t>
      </text>
    </comment>
    <comment authorId="0" ref="A464">
      <text>
        <t xml:space="preserve">Use trailing stop losses</t>
      </text>
    </comment>
    <comment authorId="0" ref="A465">
      <text>
        <t xml:space="preserve">Valuation Multiples are ratios that reflects the implied value of companies in relation to a specific operating metric. Usage of a valuation multiple – a standardized financial metric – facilitates performing comps analysis among peer companies with different characteristics, most notably size.</t>
      </text>
    </comment>
    <comment authorId="0" ref="A469">
      <text>
        <t xml:space="preserve">A value proposition in marketing is a concise statement of the benefits that a company is delivering to customers who buy its products or services. It serves as a declaration of intent, both inside the company and in the marketplace. The term value proposition is believed to have first appeared in a McKinsey &amp; Co.</t>
      </text>
    </comment>
    <comment authorId="0" ref="A470">
      <text>
        <t xml:space="preserve">While there are no wrong answers, I would suggest that the most important values are, in order of importance, the current fiscal year’s estimate, the next twelve months’ estimate, the trailing twelve months’ GAAP figures, and the most recent quarter’s GAAP figures. But a lot depends on your holding period. If you’re a buy-and-hold investor, looking at the most recent quarter will simply result in a lot of churn. If you tend to rebalance more frequently, as I do (I rarely hold a stock more than a year), then the most recent quarter can provide some good guidance.
Ratios all consist of a numerator and a denominator. If market cap, price, or enterprise value is in the numerator, you get a valuation ratio where lower numbers are better. The classic example is P/E (price to earnings), but I’m sure you’re familiar with price to sales, price to free cash flow, and EV to EBITDA. If market cap, price, or enterprise value is in the denominator, you get a valuation ratio that’s called a yield, where higher numbers are better. The two appear to be equivalent, but they’re not. A company with a high P/E may be overpriced, but not as overpriced as a company with a negative earnings yield. Let’s compare three companies, each selling for $20 a share. One has a trailing twelve-month (TTM) EPS of $4.00, one has an EPS of $0.50, and one has an EPS of –$1.00. The first has a P/E of 5, the second has a P/E of 40, and third doesn’t have a P/E at all. Which is a better buy, the second or third company? P/E doesn’t really tell you, in a strict mathematical sense. Earnings yield, however, allows you to rank companies with negative earnings lower than companies with low but positive earnings, and allows you to compare two companies with negative earnings. In fact, companies with barely negative earnings yields significantly outperform companies with extremely negative earnings yields.
Capital Structure and Value Ratios
Why do we compare a company’s earnings to its price but its EBITDA to its EV? Why do we have two different versions of free cash flow, depending on whether we compare it to market cap or enterprise value?
Let’s take an analogy. You buy a house for $500,000, paying $100,000 down and getting a loan for $400,000. You collect $50,000 a year for renting the house, and you pay $20,000 a year in mortgage costs.
There are four possible ways you can look at your earnings. You can simply ignore the debt entirely and divide $50,000 by $100,000 and say you’re getting a 50% yield on your investment. Of course, this is garbage: you’re definitely not. You can deduct the mortgage costs from your $50,000 but also base your yield on the $500,000 the house is worth and say you’re getting a 6% yield on your investment. This is also garbage: you’re deducting your debt twice, once for the interest expense, and once for the $400,000 you owe. Your actual yield is far higher than that.
Here are the other ways to calculate your yield. The first is comparable to earnings yield: you subtract your mortgage costs from the rent you earn and divide by your cash outlay, $100,000, for a 30% yield. The second is comparable to EBIT/EV: you don’t subtract your mortgage costs and divide the $50,000 rent by the entire $500,000, for a 10% yield.
Are those at all commensurate? Indeed, they are. You’re getting a 30% yield on your cash, but a negative 5% yield on your debt. And you have four times as much debt as you have cash. So if you deduct four times 5% from your 30%, you come up with 10%—exactly the same as your EBIT/EV–based yield.
(I probably should have used after-tax numbers in this example, but I wanted to keep it simple.)
The lesson here is that if you’re comparing something to a company’s price or market cap, that “something” has to be an after-debt-related-expenses number. Operating income, EBIT, or EBITDA are not allowed. And if you’re comparing something to a company’s enterprise value, that “something” has to have the interest expense added back to it if it was deducted earlier. That’s why we add the taxable portion of interest expense back to free cash flow if we want to compare it to enterprise value. (Technically, we should also take into account debt issued and debt repaid if the company issues or repays debt regularly.)
As for which to use, it depends on what you’re looking for. If you’re just interested in knowing how expensive your shares are, then don’t bother with enterprise value, since the value of your shares is an equity value and has nothing to do with a company’s debt. But if you’re interested in how valuable the company is, then enterprise value is the way to go.
A warning: never use enterprise value–based ratios for companies in the financial sector. For a good number of those companies, the more debt they issue, the higher their revenue.
As an investor, I’m interested in looking at a company from as many angles as possible. I therefore pay attention to both price-based ratios and EV-based ratios.</t>
      </text>
    </comment>
    <comment authorId="0" ref="A471">
      <text>
        <t xml:space="preserve">I suddenly realized that the only way to succeed in stock investing is to examine every stock from as many different angles as possible. I started creating multifactor ranking systems on Portfolio123 in order to automate that process. And that’s when I began to make a lot of money.
I modified my strategy so that it had low beta. I dramatically reduced my turnover. As the amount of money I invested increased (I’m now managing six times the amount I was managing in 2015), I moved slowly away from investing only in microcaps and started investing in small caps and a few mid-caps as well. I placed more emphasis on quality considerations and less on growth and value. I incorporated a few long-term momentum factors, which I had shunned at the outset.</t>
      </text>
    </comment>
    <comment authorId="0" ref="A472">
      <text>
        <t xml:space="preserve">Venture Capital Due Diligence is performed by investors when evaluating potential investments in early-stage startups, which encompass substantial risks.
Considering the large number of companies that enter the pipeline as potential investments at VC firms, using a structured approach and following a mental framework can help make the due diligence process more efficient.
Venture Capital Due Diligence
How to Perform Due Diligence in Venture Capital?
Peter Thiel once stated, “The biggest secret in venture capital is that the best investment in a successful fund equals or outperforms the entire rest of the fund combined.”
The return distribution that Thiel is referring to is known as the “Power Law of Returns,” where the majority of early-stage investments are made under the presumption that most of the portfolio will inevitably fail. Yet, a single investment could enable the fund to meet its return hurdle.
The implication is that when performing due diligence on potential investment opportunities, venture capital investors should only pick startups that can return the value of the entire fund.
Given the risk profile associated with these investments, only potential market leaders in large enough markets are chosen as investments – anything less, and the fund would more likely than not fall short of meeting minimum fund return thresholds.
Management Team
The first key point of diligence is assessing the management team in charge of the company. Throughout this diligence phase, numerous qualitative topics need to be addressed regarding each member of the leadership team to learn more about their:
Domain Expertise
Total Experience Level (and Relevance)
Individual Value Contribution
Collectively, the management team must have:
Venture Capital Diligence: Management Team
To further expand on each point and what early-stage venture firms assess before investing:
Long-Term Vision	
The management team must hold a long-term view regarding the direction the company will be steered
At this stage, countless unforeseeable variables could impact the company – for example, market conditions could change or development could arise that causes the company to change course to adapt
Still, management must set long-term goals as the foundation of the company (i.e., the values of the company, overarching impact on society)
Technical Product Specialty	
Product specialty refers to having the technical skillset to create a product better than any other company
Specialization often stems from experience and the gradual accumulation of product expertise, which are some of the most important characteristics of a compelling team
For mass adoption of the product to occur, the product benefits must exceed the current offerings by a significant margin (and make the switching costs secondary to the incremental value received)
Business Acumen	
Business acumen is having the right team supporting the product development
Regardless of how valuable a product is, an ineffective sales and go-to-market strategy could inhibit the growth of the company
Being able to convey the vision for the product and company is just as important as the product value when it comes to raising capital from investors
Management Cohesion	
Management cohesion suggests the skills of the founders complement each other, and the team can delegate tasks and collaborate efficiently
One proxy for management cohesion is the number of years the team has been working alongside each other (and their achievements)
This experience is especially valuable if the company faced periods of difficulty and were able to figure out a solution without falling apart (i.e., significant employee churn)
How to Perform Diligence on Startups?
There are three fundamental components to the product being offered to analyze in venture investing.
Venture Capital Diligence: Product Analysis
Product-Market Fit (PMF)
The concept of product-market fit is one of the major determinants of the outcome of an early-stage startup venture. PMF is defined as the validation of the product concept in the target market, as signified by consistent organic consumption and word-of-mouth promotion.
In short, achieving product-market fit is the most important element of growth and scalability.
Early on, the management team should have a single-minded focus on demonstrating the potential for product-market fit, as doing so is crucial to raising funding.
PMF Marc Andreessen
Product/Market Fit Defined by Marc Andreessen (Source: pmarca)
PMF is more of a qualitative trait as determining the degree to which a product meets a particular market’s demand and the extent of how much a product resonates with the market.
Often, PMF is described as one of those attributes that can be recognized from customer engagement and feedback. The product also begins to “sell itself” as marketing seems to take off on its own.
In addition, PMF suggests the current pricing mechanism and sales &amp; marketing strategy are effective – albeit improvements to the business model are going to be inevitable.
Product Differentiation (“Moat”)
Consistent outsized returns that can be sustained over the long term stem from differentiation and high barriers to entry.
Most industries where VC funding activity is active tend to carry a “winner takes all” aspect, thereby causing venture firms to pursue companies that are inherently different.
That said, another important component of assessing a product is the presence of proprietary technology or patents that make it difficult to replicate, which reduces the external threats to the company.
In short, there should be significant technical barriers that prohibit competitors from replicating their products.
An economic “moat” is a differentiating factor that contributes towards a sustainable, long-term competitive advantage – as well as protection of its market share and profit margins.
Examples of deterrents that create a barrier against the rest of the competition are:
Economies of Scale	
Improved cost structures from the increased scale can be a barrier to entry that deters competitors, as the existing incumbents have a clear advantage in profitability and thus have more cash flows to reinvest into the business
Since the unit costs of a product decline as the volume increases, new entrants would come in with a significant cost disadvantage right away
Network Effects	
The network effect refers to when the value of a product/service increases with each incremental user and increased adoption
Network effects compound once critical mass is attained, meaning past this inflection point, new customers’ acquisition experiences a domino effect where less effort and monetary investments are required
For example, Facebook benefited greatly from network effects, as its advertising revenue took off once its user base and customer engagement grew
By becoming the largest social media platform, Facebook obtained a durable moat in the advertising market, which led to an influx of advertisers wanting to place ads on Facebook’s platform and new opportunities for different products/services to be introduced
Proprietary Technology (or Patents)	
Having a differentiated offering that no other company has can cause competition to be near non-existent, especially if there are patents involved
Under these circumstances, it would be difficult (or illegal) for competitors to sell competing products
High Switching Costs	
Unless the new entrant has a significantly better product/service than the current offerings, switching costs can serve as a barrier (i.e., the switching costs outweigh the benefits)
There are also “convenience” switching costs – e.g., Apple’s line of products, which create a loop that reinforces the value of each offering through pairing devices like the iPhone, Apple Watch, and AirPods with seamless compatibility and add-on benefits
Branding	
While arguably not as important as the others, premium branding can help increase pricing power (e.g., Louis Vuitton, Gucci)
As another example, branding based around sustainability such as using only environmentally friendly material and promoting eco-friendly behavior could help establish an emotional connection with customers (e.g., Patagonia)
Product Commoditization: Price-Oriented Competition
If there are competing products/services available in the market that offer the same (or similar) amount of value with minimal differentiation, the product is said to be commoditized.
Eventually, competition in a commoditized industry will become based on pricing (i.e., a “race to the bottom”), rather than competing on product quality or value.
To not be undercut by competitors and suffer from margin erosion, there must be differentiation that sets the company’s product offerings apart from the rest. Otherwise, if the products in the market are virtually identical, the opportunities for growth (e.g., price increases) are basically no longer an option.
Value Proposition
Simply put, the value proposition to customers can be described as the extent to which the product is needed.
The value of a product/service offering is tied to how essential it is for business continuity.
If the removal of a certain product causes significant disruption to the customer, the product would be categorized as being “mission-critical”.
Churn implies the constant need for new customer acquisitions, which brings uncertainty as to whether customers derive adequate value or not.
There must be a clear explanation as to:
Why does the customer need the product(s) of the company?
What backs up the belief that the business relationship will continue?
One proxy to determine the value of a product to customers is by looking at past attrition rates and the duration of existing customer relationships. If a company has constant customer churn and its customer relationships comprise short-term durations, the product may not offer enough value.
Pricing Power
An important concept closely related to the value of the product is pricing power.
There is no formulaic method to calculate a company’s pricing power; however, one useful question to ask is: “If the company raised prices, what would the impact on customer retention be?”
If a company has pricing power, it can raise prices and not see a substantial increase in customer churn. And so, the net impact from the pricing increase would be positive.
Pricing power is a function of how indispensable a product is to users, how “unique” the value provided is, and the availability of (or lack of) other alternatives in the market.
If all three of the aforementioned components are found in a product, the result will be:
Strong Retention Rates (i.e., Low Customer Churn)
Increased Pricing Power
More Upselling / Cross-Selling Opportunities
Venture Capital Due Diligence: Business Model Viability
Unit Economics Analysis
To assess the viability of a business model, the unit economics of the business must be closely examined – which consists of breaking down the revenue and cost structure into the smallest units possible.
Unit economics represent the smallest piece of a business that can be measured to understand where revenue and costs fundamentally come from (e.g., average contract value, or “AVC” is an often-used metric for SaaS companies, or for a consumer goods company, it could be price per bag of chips, for example).
The traditional metrics used to assess established companies cannot be applied to early-stage companies. Therefore, industry-specific metrics tend to be used to assess start-ups, especially for software companies.
For instance, the LTV/CAC ratio is considered to be among the most important KPIs to track for software start-ups.
LTV/CAC Ratio = Lifetime Value (LTV) ÷ Customer Acquisition Cost (CAC)
But before these types of metrics are analyzed, the total addressable market (“TAM”) and market penetration assumptions must meet the fund’s requirements.
The prior statement illustrates the reason that venture capitalists only target markets of a certain size where the company can achieve its revenue targets (and with a reasonable margin of safety).
Warby Parker Example: Direct-to-Consumer Model (DTC)
Warby Parker obtained significant success in acquiring customers and scaling by being among the first generation “direct-to-consumer” (DTC) companies, which distinctively had lean supply chains whereby the non-value added costs were removed.
Additionally, online retail channels, in-house distribution, and social media-oriented marketing were other common features of DTC companies.
Particularly important to the retail industry, Warby Parker crafted a unique visual brand identity built upon transparency to customers and sustainability that clicked with the market.
Warby Parker History
Warby Parker History (Source: Warby Parker)
Despite the premium brand image associated with Warby Parker, pricing was intentionally kept low – and any abrupt increases in pricing would contradict the principles the company was founded on, which ties back to the earlier point on the company needing a long-term vision.
So by cutting out the areas causing margin pressure (e.g., brand licensing, frame costs), Warby Parker was able to offer frames and lenses at prices as low as $95, a fraction of high-end boutique shops, without sacrificing quality or style.
Even with the lower pricing, the start-up managed to turn a healthy profit as it eventually became EBITDA positive around 2017 for the first time since its founding in 2010.
Operating Leverage
One of the more critical aspects of the business model is how repeatable it is, as this directly pertains to the scalability potential of the start-up.
For this reason, capital-intensive companies attract far less venture funding relative to asset-light companies. And this also explains why the software industry receives such a disproportional amount of interest from VCs.
The main cause is related to a concept termed operating leverage, which represents the proportion of total costs that are fixed relative to those that are variable. Thus, companies with a higher proportion of fixed costs in their cost structure have more operating leverage.
If the operating leverage of a company is high, then each marginal unit sold comes with fewer costs and the product can be scaled more rapidly, in theory.
It’s easy to think of how this could be true for software start-ups: once the software is developed, you could hypothetically sell the same software to millions of customers without necessarily needing many more developers.
For these software start-ups, once the product development stage is done, the most significant investment has been finished.
While the start-up will continuously be working on upgrading the product based on user feedback and fixing bugs, these developmental costs are usually marginal compared to designing and producing the initial core product.
High Operating Leverage	Low Operating Leverage
If the company has high operating leverage, each additional dollar of revenue can be brought in at higher profits once the fixed operating costs are paid
If a company has high variable costs, each additional dollar of revenue may generate less profit as costs proportionally increase alongside increased revenue (i.e., the variable costs offset the additional revenue)
Thus, each marginal unit is sold at a lesser cost, creating the potential for greater profitability since fixed costs such as rent, and utilities remain the same regardless of output
If the revenue of the company were to increase, these costs would rise in tandem (or vice versa)
Note: High operating leverage is not always better and there are scenarios in which this type of business model can be detrimental to the company – akin to the use of debt financing.
How to Perform Risk Analysis in Venture Capital?
Venture Capital Diligence: Risk Analysis
Timing Risk
Early-stage start-ups must attempt to offer solutions that solve the problems their target market currently faces – thus, understanding the end customers and the issues encountered on a day-to-day basis is critical.
Often, being too early to market can result in limited market adoption and ultimately a failed venture (e.g., Fitbit wearables).
But then, later on, venture funding could rapidly flow into the same area with high-flying valuation multiples and mass consumer adoption just a couple of years later (e.g., Apple Watch).
The takeaway: when it comes to venture capital, timing is everything.
A simple yet important question to ask is: “Why now?”
The venture must be initiated at the inflection point right before mass adoption, which is very challenging to time precisely. However, there are “signs” when end markets are increasingly showing frustration in the current market offerings – making the segment ripe for disruption.
Execution Risk
Among the many risks in venture investing, another type of risk is called execution risk, which is the risk that the start-up will fail to execute its business plan.
For all companies, execution risk is unavoidable to some degree, but for early-stage companies, the most common root causes are:
Lack of Product-Market Fit (PMF)
Increased Competition (i.e., Emergence of Well-Funded Entrants, Incumbents Adapting)
Internal Organizational Issues (e.g., Conflict Among Founders or Existing Investors)
As the company matures and refines its business model and customer acquisition strategy (i.e., growth stage), execution risk tends to increase as the product has now entered the “go-to-market” stage with increased competitive threats.
Product Risk
Typically the most profound risk for early-stage companies still in the product development stage, product risk is defined as the chance the product (e.g., system, software) fails to satisfy or fulfill the expectations of the end customer/user.
The result of this is that the problem that the company identified (and aimed to have its product solve) was left unfixed.
The capabilities of the product fell short of expectations and failed to deliver on the proposed value that had originally enabled the start-up to raise capital in the first place.
Regulatory Risk
Another noteworthy risk to look out for is regulatory risk, which is the risk of regulations changing unfavorably.
To provide two examples of companies impacted by regulatory risk with different end results:
Capsule → The digital pharmacy initially faced significant challenges in having to navigate regulatory risks related to patient medication confidentiality and comply with strict HIPAA regulations – however, this barrier was broken down by the normalization of telehealth and digital health companies (with COVID-19 becoming a major beneficial catalyst)
Juul → The electronic cigarette start-up was once valued near $38bn and received a minority investment from Altria – but this appeared to be the peak of Juul as its valuation plunged to approximately $10bn following regulatory scrutiny from the public for marketing toward children/teenagers and nationwide bans on the sale of most of its top-selling flavors</t>
      </text>
    </comment>
    <comment authorId="0" ref="A473">
      <text>
        <t xml:space="preserve">CFI: Venture debt is a form of minimally-dilutive debt financing used by high-growth companies. The structure of venture debt loans can vary, but it is typically structured as a term loan with interest payments and warrants
SVB: Venture debt is a type of loan offered by banks and non-bank lenders that is designed specifically for early-stage, high-growth companies with venture capital backing. The vast majority ofMost venture-backed companies raise venture debt at some point in their lives from specialized banks such as Silicon Valley Bank. </t>
      </text>
    </comment>
    <comment authorId="0" ref="A474">
      <text>
        <t xml:space="preserve">Weighted Avg Shares Outstanding = 
Σ (Common Shares Outstanding × % Weight)
represents a company’s normalized, time-weighted common share count across a specified period of time.
The weighted average shares outstanding represents the number of common shares outstanding, after adjusting for the share count changes that occurred throughout a given period.
Over the course of a reporting period—most often a fiscal year—the total number of common shares in circulation increases and decreases multiple times for most public companies.
The following are common corporate actions that impact the number of shares outstanding:
Stock Buyback: The company decides to repurchase previously issued common shares, which reduces the number of shares in circulation.
New Stock Issuance: The company raises more capital by issuing more shares, which increases the number of shares outstanding (and creates additional dilution).
Conversion of Dilutive Securities: The company issued potentially dilutive securities in the past, such as options, warrants, restricted stock units (RSUs), and convertible debt. If the criteria for the security to be exercised are met and the holder decides to convert, additional shares are issued post-conversion (e.g. an option is now in-the-money and executed by the holder or the vesting period has passed for warrants).
Here are some reasons why the weighted average is preferred over the unweighted average:
Reflects Changes in Share Count:
The weighted average considers any changes in the number of outstanding shares during the period. This is important because a company's share count may change due to stock buybacks, issuances, stock splits, or other corporate actions.
Accounts for Timing of Changes:
If there are changes in the number of outstanding shares during the year, the weighted average gives more weight to the periods when the changes occur. This reflects the timing of the changes and provides a more accurate picture of the impact on EPS.
Aligns with Timing of Earnings:
Earnings are typically reported on a quarterly or annual basis. The weighted average number of outstanding shares aligns with the timing of earnings, allowing for a more precise calculation of EPS for each reporting period.
Better Measure for Dilution:
If a company issues new shares during the year, it may dilute the ownership interests of existing shareholders. The weighted average captures the impact of dilution more accurately than an unweighted average.
Complies with Accounting Standards:
Accounting standards, such as Generally Accepted Accounting Principles (GAAP) and International Financial Reporting Standards (IFRS), often require companies to use the weighted average number of outstanding shares in financial reporting.
Preferred by Investors and Analysts:
Investors and analysts typically prefer using the weighted average number of outstanding shares because it provides a more realistic and meaningful measure of a company's financial performance on a per-share basis.
In summary, the weighted average number of outstanding shares is a more accurate method for calculating EPS and other per-share metrics, especially when there are changes in the share count during the reporting period. This method ensures that the impact of changes in the number of shares is appropriately reflected in financial analyses.</t>
      </text>
    </comment>
    <comment authorId="0" ref="A475">
      <text>
        <t xml:space="preserve">A white elephant is something whose cost of upkeep is not in line with its usefulness or value. From an investment perspective, the term refers to an asset, property, or business that is so expensive to operate and maintain that it is extremely difficult to actually make a profit from it.
White elephants also tend to be illiquid assets, meaning they cannot be easily or quickly exchanged or sold for cash without the seller experiencing a significant loss.
KEY TAKEAWAYS
A white elephant is a burdensome asset, property, or investment whose cost of upkeep is not in line with its usefulness or value.
The term derives from the old Thai custom of gifting rare, expensive-to-keep white elephants to the reigning monarch.
Nowadays it is often associated with unprofitable real estate.
These assets are often illiquid, meaning the owners cannot easily sell them without taking a substantial loss.</t>
      </text>
    </comment>
    <comment authorId="0" ref="A476">
      <text>
        <t xml:space="preserve">Working Capital = Current Assets − Current Liabilities
Working capital is a measure of a company's operational liquidity and short-term financial health. It is calculated as the difference between a company's current assets and its current liabilities. To find working capital, follow these steps:
Identify Current Assets:
Current assets are assets that are expected to be converted into cash or used up within one year. Common current assets include:
Cash and cash equivalents
Accounts receivable (money owed by customers)
Inventory
Short-term investments
Identify Current Liabilities:
Current liabilities are obligations that are expected to be settled within one year. Common current liabilities include:
Accounts payable (money owed to suppliers)
Short-term debt
Accrued expenses
Current portion of long-term debt
Calculate Working Capital:
Interpretation:
A positive working capital indicates that a company has more short-term assets than short-term liabilities, which is generally a healthy sign.
A negative working capital may indicate potential liquidity issues, meaning that short-term liabilities exceed short-term assets.
Consider Industry Standards:
Compare the calculated working capital to industry standards or benchmarks. Different industries may have different working capital requirements, and it's essential to assess a company's working capital relative to its peers.
Monitor Changes Over Time:
Regularly monitor changes in working capital over time. A declining working capital may signal potential financial stress, while an increasing working capital may suggest improved financial health.
Working capital is a dynamic metric that provides insights into a company's ability to meet its short-term obligations. Keep in mind that while positive working capital is generally favorable, the specific needs of the company and its industry should be taken into consideration. Additionally, working capital analysis is most effective when used in conjunction with other financial metrics and a comprehensive assessment of the company's financial statements.</t>
      </text>
    </comment>
    <comment authorId="0" ref="A478">
      <text>
        <t xml:space="preserve">Net Working Capital Formula
There are a few different methods for calculating net working capital, depending on what an analyst wants to include or exclude from the value.
Net Working Capital = Current Assets – Current Liabilities
Net Working Capital = Current Assets (less cash) – Current Liabilities (less debt)
NWC = Accounts Receivable + Inventory – Accounts Payable
The first formula above is the broadest (as it includes all accounts), the second formula is more narrow, and the last formula is the most narrow (as it only includes three accounts). 
Net Working Capital (NWC) is the difference between a company’s current assets and current liabilities on its balance sheet. It is a measure of a company’s liquidity and its ability to meet short-term obligations, as well as fund operations of the business. The ideal position is to have more current assets than current liabilities and thus have a positive net working capital balance.
NWC is most commonly calculated by excluding cash and debt (current portion only).</t>
      </text>
    </comment>
    <comment authorId="0" ref="A481">
      <text>
        <t xml:space="preserve">Make my own Meter involving 
Altman Z Score &amp; address cash flows?
Is it safe to invest in? 
See how levered a company is.
Use the following to see if a company is levered. Controversial opinion on way they are handling operating leaese as debt. but kitty doesn't think they should be handled as debt.</t>
      </text>
    </comment>
    <comment authorId="0" ref="A487">
      <text>
        <t xml:space="preserve">The outside view
considers a problem as an instance of a larger reference class. By knowing the outcomes from the reference
class, or the base rates, an investor can make informed, albeit probabilistic, assessments about what will come
next. This is the goal of quantitative investors and offers insight into how fundamental investors can hone their
ability to recognize patterns.
One example is modeling sales growth, which is usually the most important driver of shareholder value.53 The
distribution of sales growth rates tends to be reasonably stable over time, which means it is feasible to place
growth expectations in the context of what has happened before. Anticipated growth rates relative to the base
rate provide a cue about expectations. Growth that is higher than expected for a company that creates value
leads to attractive total shareholder returns. And expected growth versus actual growth offers feedback.
Sales growth rates show substantial regression toward the mean, which says that results that are far from
average tend to be followed by outcomes closer to the average. In practical terms, both high and low past growth
rates precede growth rates closer to the average for a population of companies. Sales growth rates and how
they regress follow patterns that investors can learn to recognize.
The outcomes from M&amp;A are another example of where pattern recognition may be useful, notwithstanding the
story in the opening. Historically, most M&amp;A deals have failed to create value for the buyer, as measured by
cumulative abnormal stock returns.54 But there are ways to shade the odds in favor of the buyer, including paying
a small premium to acquire the seller, paying for the deal in cash versus stock, and doing deals for businesses
that have operations similar to those of the buyer.55
Observing the distribution of outcomes within a reference class can provide some insight into how difficult it is
to predict patterns. For example, since 1984 the distribution of 10-year sales growth rates for public companies
in the U.S. with $5-10 billion of initial sales follows a distribution that resembles the classic bell curve, with a
mean and median around 4.5 percent and a standard deviation of 8.5 percent.56
But the distribution of book sales follows a power law, where most of the observations have small outcomes and
a few observations have large outcomes.57 For instance, of the 3 million titles offered by booksellers, only a
handful sell more than 1 million copies, about 4,000 new titles sell more than 1,000 in a year, and most sell fewer
than 100.58 Outcomes that follow a power law are generally an indication of a wicked environment, where cause
and effect are unclear and pattern recognition is hard. 
© 2023 Morgan Stanley. All rights reserved. 6144451 Exp. 12/31/2024 9
The main challenge in applying base rates effectively is selecting an appropriate reference class. The guidance
on how to do so tends to be qualitative.59 But training intuition, a precursor to useful pattern recognition, almost
certainly requires having solid data on the relevant base rate. Cues, causality, and feedback are essential.
There is some risk to learning the wrong lessons from an inappropriate reference class, but in our view the
bigger risk is a failure to use base rates in the first place. There are a handful of reasons investors do not use
base rates. To start, decision makers trust the inside view as it centers on their analysis and experience. This
helps explain acquiescence.
Individuals also see their situation as unique and do not perceive that examining related instances provides
insight. Interestingly, most people are better at recognizing when the outside view applies to others than when
it applies to themselves. You can relate to this if you have ever quipped to an acquaintance that their home
renovation project will take longer and cost more than they have bargained for.60
Even in cases when decision makers are willing to use base rates, the data may not be at their fingertips. Few
fundamental investors have studied past measures of corporate performance in sufficient detail to prepare their
minds to anticipate what might happen in the situation they face. Experience does not offer a simple solution
because our memories can capture and retain only a sliver of what has happened.
The bottom line is that fundamental investors can train their ability to recognize patterns under the correct
conditions. Data that provide cues and causality, as well having a basis for timely and accurate feedback, are
fundamental. The efficacy of pattern recognition is context dependent.
----
https://medium.com/illumination/why-take-the-outside-view-f360ca25e9b5
	-Brandon Hardison</t>
      </text>
    </comment>
    <comment authorId="0" ref="A495">
      <text>
        <t xml:space="preserve">A gamma squeeze can happen when there’s widespread buying activity of short-dated call options for a particular stock. This can effectively create an upward spiral in which call buying triggers higher stock prices, which results in more call buying and even higher stock prices.
Gamma is an investment term associated with the “Greeks.” The Greeks are a set of terms that are used to describe various positions when trading options. Delta, for example, explains how the rate of changes of an options price corresponds to the change in the underlying stock’s price. Gamma is related to the delta, as it measures how the latter changes as a stock’s price shifts up or down. https://smartasset.com/investing/gamma-squeeze
	-Brandon Hardison
https://www.avatrade.com/education/market-terms/what-is-a-gamma-squeeze#:~:text=Its%20stock%20traded%20below%20%2420,squeeze%20and%20a%20gamma%20squeeze.
https://www.youtube.com/watch?v=BlKFpKc3AvY
https://www.investopedia.com/terms/g/gamma.asp
https://lightspeed.com/active-trading-blog/how-a-gamma-squeeze-works
https://unusualwhales.com/news/what-is-gamma-a-primer
	-Brandon Hardison</t>
      </text>
    </comment>
    <comment authorId="0" ref="A493">
      <text>
        <t xml:space="preserve">"In 2020 Tesla would rocket up every couple months because of what, looking back, appear to be gamma ramping. IMO if you’re closely following a ticker and believe this to be the case the best play is volatility.. buy 3-6 month dated calls on low IV and sell when IV picks up." https://www.reddit.com/r/options/comments/ohwb6t/gamma_ramps_and_delta_distribution_curves_no_apes/
	-Brandon Hardison</t>
      </text>
    </comment>
    <comment authorId="0" ref="A64">
      <text>
        <t xml:space="preserve">describes the relationship between systematic risk, or the general perils of investing, and expected return for assets, particularly stocks.1 It is a finance model that establishes a linear relationship between the required return on an investment and risk. The model is based on the relationship between an asset's beta, the risk-free rate (typically the Treasury bill rate), and the equity risk premium, or the expected return on the market minus the risk-free rate.
CAPM evolved as a way to measure this systematic risk. It is widely used throughout finance for pricing risky securities and generating expected returns for assets, given the risk of those assets and cost of capital.
	-Brandon Hardison
The capital asset pricing model - or CAPM - is a financial model that calculates the expected rate of return for an asset or investment.
CAPM does this by using the expected return on both the market and a risk-free asset, and the asset's correlation or sensitivity to the market (beta).
There are some limitations to the CAPM, such as making unrealistic assumptions and relying on a linear interpretation of risk vs. return.
Despite its issues, the CAPM formula is still widely used because it is simple and allows for easy comparisons of investment alternatives.
For instance, it is used in conjunction with modern portfolio theory (MPT) to understand portfolio risk and expected return.
	-Brandon Hardison
ERi=Rf+βi(ERm−Rf)
where:
ERi=expected return of investment
Rf=risk-free rate
βi=beta of the investment
(ERm−Rf)=market risk premium
	-Brandon Hardison</t>
      </text>
    </comment>
    <comment authorId="0" ref="A486">
      <text>
        <t xml:space="preserve">Asset pricing model developed in 1992 that expands on the capital asset pricing model (CAPM) by adding size risk and value risk factors to the market risk factor in CAPM. This model considers the fact that value and small-cap stocks outperform markets on a regular basis. By including these two additional factors, the model adjusts for this outperforming tendency, which is thought to make it a better tool for evaluating manager performance.
	-Brandon Hardison
-The Fama French 3-factor model is an asset pricing model that expands on the capital asset pricing model by adding size risk and value risk factors to the market risk factors.
-The model was developed by Nobel laureates Eugene Fama and his colleague Kenneth French in the 1990s.
-The model is essentially the result of an econometric regression of historical stock prices.
	-Brandon Hardison
Rit−Rft=αit+β1(RMt−Rft)+β2SMBt+β3HMLt+ϵitwhere:Rit=total return of a stock or portfolio i at time tRft=risk free rate of return at time tRMt=total market portfolio return at time tRit−Rft=expected excess returnRMt−Rft=excess return on the market portfolio (index)SMBt=size premium (small minus big)HMLt=value premium (high minus low)β1,2,3=factor coefficients
	-Brandon Hardison</t>
      </text>
    </comment>
    <comment authorId="0" ref="A485">
      <text>
        <t xml:space="preserve">Rule 10b5-1, established by the Securities and Exchange Commission (SEC) in 2000, allows insiders of publicly-traded corporations to set up a trading plan for selling stocks they own. It is a clarification of Rule 10b-5 (sometimes written as Rule 10b5), created under the Securities and Exchange Act of 1934, which is the primary vehicle for the investigation of securities fraud.
Rule 10b5-1 permits major holders to sell a predetermined number of shares at a predetermined time.
1
Many corporate executives use 10b5-1 plans to avoid accusations of insider trading.
	-Brandon Hardison
https://www.investopedia.com/terms/r/rule-10b5-1.asp
	-Brandon Hardison
https://www.plantemoran.com/explore-our-thinking/insight/2023/03/how-to-use-your-10b51-plan-to-achieve-your-financial-goals#:~:text=A%2010b5-1%20plan%20must,certain%20price%20criteria%20being%20met.
	-Brandon Hardison</t>
      </text>
    </comment>
    <comment authorId="0" ref="A484">
      <text>
        <t xml:space="preserve">Provisions represent funds put aside by a company to cover anticipated losses in the future. In other words, provision is a liability of uncertain timing and amount. Provisions are listed on a company’s balance sheet under the liabilities section.
	-Brandon Hardison
https://corporatefinanceinstitute.com/resources/accounting/provisions/#:~:text=What%20are%20Provisions%3F,sheet%20under%20the%20liabilities%20section.
https://www.netsuite.com/portal/resource/articles/accounting/provisions-accounting.shtml
	-Brandon Hardison</t>
      </text>
    </comment>
    <comment authorId="0" ref="A483">
      <text>
        <t xml:space="preserve">he current expected credit loss (CECL) model under Accounting Standards Update (ASU) 2016-13 aims to simplify US GAAP and provide for more timely recognition of credit losses. In recent years, the Financial Accounting Standards Board (FASB) has issued a number of final and proposed amendments to the standard. What is the practical effect of the guidance as it stands today? Get the highlights in this summary.
	-Brandon Hardison</t>
      </text>
    </comment>
    <comment authorId="0" ref="A482">
      <text>
        <t xml:space="preserve">A layer of debt in a structured vehicle such as a CLO or syndicated loan. Tranches within a single structure may have different risk and reward profiles. Also known as a facility.
	-Brandon Hardison</t>
      </text>
    </comment>
    <comment authorId="0" ref="A306">
      <text>
        <t xml:space="preserve">Omnichannel is a term used in ecommerce and retail to describe a business strategy that aims to provide a seamless shopping experience across all channels, including in store, mobile, and online.
	-Brandon Hardison</t>
      </text>
    </comment>
    <comment authorId="0" ref="A247">
      <text>
        <t xml:space="preserve">A loan that (1) is rated BB+ or lower, or (2) is either not rated or rated BBB– or higher but (a) has a spread of LIBOR+125 or higher and (b) is secured by a first- or second-lien. Under this definition, a loan rated BB+ that has a spread of LIBOR+75 would qualify, but a non-rated loan with the same spread would not.
	-Brandon Hardison</t>
      </text>
    </comment>
    <comment authorId="0" ref="A258">
      <text>
        <t xml:space="preserve">Mechanism by which loans are valued using available price data (bid/ask levels reported by dealer desks and compiled by mark-to-market services) rather than fair value (estimates based on whether the loan is likely to repay lenders in whole or in part).
	-Brandon Hardison</t>
      </text>
    </comment>
    <comment authorId="0" ref="A369">
      <text>
        <t xml:space="preserve">The issuance of a new loan or bond to refinance existing debt.
A set of financial measures that allows the issuer to pay lower interest on the facilities. For example, if the issuer’s debt to EBITDA is less than 3x, pricing is LIBOR+275; if such ratio decreases to 2.5x, pricing is LIBOR+250.
A deal at a specific price and spread.
	-Brandon Hardison</t>
      </text>
    </comment>
    <comment authorId="0" ref="A397">
      <text>
        <t xml:space="preserve">Loan that has second-priority interest on security. Subordinated to senior loans (TLA, TLB, TLC, etc.) but senior to mezzanine, high-yield, PIK notes, and equity. They are floating-rate-instrument-like senior loans, priced roughly 200–300 bps higher than senior loans. Second-liens are more expensive to prepay than senior debt since many second- liens have prepayment penalties in the first two years. Their maturity is usually one-half to one year longer than the TLC.
	-Brandon Hardison</t>
      </text>
    </comment>
    <comment authorId="0" ref="A398">
      <text>
        <t xml:space="preserve">Ratio of second-lien debt to EBITDA. A ratio commonly used in financial analysis and covenants.
Second-lien debt (SLD)
Loan that has second-priority interest on security. Subordinated to senior loans (TLA, TLB, TLC, etc.) but senior to mezzanine, high-yield, PIK notes, and equity. They are floating-rate-instrument-like senior loans, priced roughly 200–300 bps higher than senior loans. Second-liens are more expensive to prepay than senior debt since many second- liens have prepayment penalties in the first two years. Their maturity is usually one-half to one year longer than the TLC.
	-Brandon Hardison</t>
      </text>
    </comment>
    <comment authorId="0" ref="A404">
      <text>
        <t xml:space="preserve">The number of loans to issuers that, over a 12-month period, are (1) paying default interest, (2) in forbearance agreements (lender agreements to reduce or suspend payment requirements for a specified length of time), or (3) represented by restructuring advisors (specialists in reorganizing issuer balance sheets), divided by the number of loans at the beginning of that period.
	-Brandon Hardison</t>
      </text>
    </comment>
    <comment authorId="0" ref="A408">
      <text>
        <t xml:space="preserve">A way for participants to purchase loans synthetically on margin. A participant buys from a counterparty, usually a dealer, the income stream created by a reference asset.
	-Brandon Hardison</t>
      </text>
    </comment>
    <comment authorId="0" ref="A411">
      <text>
        <t xml:space="preserve">Speculative grade is a rating of BB+ or lower on an issuer. It is also considered the leveraged range.
	-Brandon Hardison</t>
      </text>
    </comment>
    <comment authorId="0" ref="A413">
      <text>
        <t xml:space="preserve">The spread/yield to call is the primary spread adjusted for the break price over the stated call term, usually 3 or 4 years. The secondary spread/yield to call is the current spread adjusted for the current secondary market price over the stated call term.
https://pitchbook.com/blog/leveraged-loan-glossary
	-Brandon Hardison</t>
      </text>
    </comment>
    <comment authorId="0" ref="A414">
      <text>
        <t xml:space="preserve">Language stating that the borrower must attach or release collateral if the issuer’s ratings change. It is primarily attached to borrowers on the cusp of investment grade versus speculative grade.
	-Brandon Hardison</t>
      </text>
    </comment>
    <comment authorId="0" ref="A425">
      <text>
        <t xml:space="preserve">Financial Synergy occurs when the joining of two companies improves financial activities to a level greater than when the companies were operating as separate entities. Usually, M&amp;A transactions result in a larger company, which has a higher bargaining power to get a lower cost of capital. Achieving a lower cost of capital as a result of a merger or acquisition is an example of Financial Synergy.
Synergy in M&amp;A is achieved when the value added from the joining of two companies is greater than that of the companies operating as separate entities. A good way to think about it is the formula below:
V(A+B) &gt; V (A) + V (B)
	-Brandon Hardison</t>
      </text>
    </comment>
    <comment authorId="0" ref="A367">
      <text>
        <t xml:space="preserve">https://en.wikipedia.org/wiki/RFM_(market_research)
	-Brandon Hardison</t>
      </text>
    </comment>
    <comment authorId="0" ref="A248">
      <text>
        <t xml:space="preserve">https://www.spglobal.com/ratings/en/research/articles/231219-default-transition-and-recovery-the-u-s-leveraged-loan-default-rate-could-climb-to-3-by-september-2024-as-12949225
https://www.fitchratings.com/research/structured-finance/us-leveraged-finance-clo-weekly-price-covenant-flex-favors-borrowers-as-banks-look-to-claw-back-business-from-private-credit-market-leveraged-loan-default-rate-climbs-in-january-29-01-2024
	-Brandon Hardison</t>
      </text>
    </comment>
    <comment authorId="0" ref="A102">
      <text>
        <t xml:space="preserve">https://www.investopedia.com/terms/c/costofdebt.asp
	-Brandon Hardison
The cost of debt is the total interest expense owed on a debt. Put simply, the cost of debt is the effective interest rate or the total amount of interest that a company or individual owes on any liabilities, such as bonds and loans. This expense can refer to either the before-tax or after-tax cost of debt. The degree of the cost of debt depends entirely on the borrower's creditworthiness, so higher costs mean the borrower is considered risky.
KEY TAKEAWAYS
The cost of debt is the effective rate that a company pays on its debt, such as bonds and loans. 
The key difference between the pretax cost of debt and the after-tax cost of debt is the fact that interest expense is tax-deductible.
1
Debt is one part of a company’s capital structure, with the other being equity. 
Calculating the cost of debt involves finding the average interest paid on all of a company’s debts.
	-Brandon Hardison
ATCD=(RFRR+CS)×(1−Tax Rate)
where:
ATCD=After-tax cost of debt
RFRR=Risk-free rate of return
CS=Credit spread
ATCD=(RFRR+CS)×(1−Tax Rate)
where:
ATCD=After-tax cost of debt
RFRR=Risk-free rate of return
CS=Credit spread
Formula and Calculation of Cost of Debt
There are a couple of different ways to calculate a company’s cost of debt, depending on the information available.
After-Tax Cost of Debt
One way to calculate the cost of debt is by using the formula for the after-tax cost of debt:
	-Brandon Hardison</t>
      </text>
    </comment>
    <comment authorId="0" ref="A343">
      <text>
        <t xml:space="preserve">price/IntrinsicValue=
Helps investors determine whether a stock is trading at, below, or above its fair value estimate,A price/fair value ratio below 1 suggests the stock is trading at a discount to its fair value, while a ratio above 1 suggests it is trading at a premium to its fair value.
	-Brandon Hardison</t>
      </text>
    </comment>
    <comment authorId="0" ref="A249">
      <text>
        <t xml:space="preserve">https://finance.yahoo.com/news/jpmorgan-leveraged-loan-victory-survives-143604097.html
	-Brandon Hardison</t>
      </text>
    </comment>
    <comment authorId="0" ref="A116">
      <text>
        <t xml:space="preserve">DPO tells you how many days the company takes to pay its suppliers.
&gt;(AccountsPayable(start)+AccountsPayable(end))/2)
/
(COGS/365)
	-Brandon Hardison</t>
      </text>
    </comment>
    <comment authorId="0" ref="A311">
      <text>
        <t xml:space="preserve">(DSO + DIO )Basically the Operating Cycle tells you how many days it takes for something to go from first being in inventory to receiving the cash after the sale.
Days of Sales Outstanding + Days of Inventory Outstanding
	-Brandon Hardison</t>
      </text>
    </comment>
    <comment authorId="0" ref="A115">
      <text>
        <t xml:space="preserve">DIO tells you how many days inventory sits on the shelf on average.
&gt;(Inventories(start)+Inventories(end))/2)
/
(COGS/365)
	-Brandon Hardison</t>
      </text>
    </comment>
    <comment authorId="0" ref="A229">
      <text>
        <t xml:space="preserve">https://www.junkbondinvestor.com/p/elevated-yields-elevated-risks-an
	-Brandon Hardison</t>
      </text>
    </comment>
    <comment authorId="0" ref="A193">
      <text>
        <t xml:space="preserve">https://newyorkmultifamily.com/extend-and-pretend-a-glimmer-of-hope/
	-Brandon Hardison</t>
      </text>
    </comment>
    <comment authorId="0" ref="A424">
      <text>
        <t xml:space="preserve">https://pitchbook.com/blog/what-is-synergy-in-ma
	-Brandon Hardison
Whether on the buy or sell side, synergy in M&amp;A is the result of increased revenue and operations or cost reduction through the combined performance of a buyout or merger. Integrating two entities to create something greater than the sum of their parts it what drives investment banks, corporations, and executives to execute M&amp;A deals. Through achieving deal synergies, firms can uncover streamlined cost-saving opportunities while expanding portfolios and generating revenue.
	-Brandon Hardison
Revenue synergy typically results in reduced competition within a particular industry and increased market share. They can increase products within a portfolio, encompassing the liberty to cross-sell to a combined customer base across geographies.
Revenue synergy typically results in reduced competition within a particular industry and increased market share. Revenue synergies can increase products within a portfolio, encompassing the liberty to cross-sell to a combined customer base across geographies.
Microsoft Corporation’s 2021 acquisition of Nuance Communications, a provider of AI and cloud-based speech technologies, created revenue synergies in the healthcare sector by integrating healthtech solutions with cloud infrastructure. Microsoft leveraged Nuance’s expertise in AI voice technologies used for telehealth documentation and other healthcare applications, integrating these technologies into existing offerings, such as Microsoft Cloud for Healthcare. The deal also streamlined healthcare solutions and clinical documentation, increasing customer adoption and generating incremental revenue. Other revenue streams materialized through cross-selling Nuance’s healthcare solutions and tapping existing relationships with healthcare organizations.
Cost synergies
Cost synergies include improved supply chain efficiency, effective scaling and distribution, and addressing workforce redundancies. A cost synergy occurs in the back end of company operations driven by streamlining personnel in line with best practices and leveraging better pricing with vendors.
Cost synergies span full funnel integration, including increased scaling, marketing and distribution. A cost synergy occurs in the back end of company operations driven by streamlining personnel in line with best practices and leveraging better pricing with vendors.
Amazon’s 2017 acquisition of Whole Foods Market, a leading grocery chain, generated numerous cost-saving synergies. This deal allowed Amazon to expand its reach in its grocery and retail spa
	-Brandon Hardison</t>
      </text>
    </comment>
    <comment authorId="0" ref="A252">
      <text>
        <t xml:space="preserve">https://www.wsj.com/articles/leveraged-loan-logjam-eases-after-banks-unload-tens-of-billions-of-debt-122e652b
	-Brandon Hardison</t>
      </text>
    </comment>
    <comment authorId="0" ref="A391">
      <text>
        <t xml:space="preserve">https://www.investopedia.com/terms/r/rule-10b5-1.asp#:~:text=Rule%2010b5-1%20allows%20insiders,material%20nonpublic%20information%20(MNPI).
	-Brandon Hardison</t>
      </text>
    </comment>
    <comment authorId="0" ref="A11">
      <text>
        <t xml:space="preserve">The term "actionable" refers to a business directive or investment strategy that can feasibly be accomplished shortly. Company managers and investors try to identify things that are immediately actionable because they may be prerequisites for accomplishing future goals and higher-level directives.
Factors that may affect when decisions are actionable include fundamentals and technical factors, as well as market sentiment.
KEY TAKEAWAYS
An actionable item is a business directive or investment strategy that can feasibly be accomplished shortly.
Managers and investors try to identify items that are immediately actionable because they may lead to the accomplishment of future goals.
Corporate directives may be related to areas like pricing, production, business relationships, marketing, and demographics.
Investors often look at certain times of the year when their investments may become actionable.
	-Brandon Hardison</t>
      </text>
    </comment>
    <comment authorId="0" ref="A407">
      <text>
        <t xml:space="preserve">Short interest is the number of shares that have been sold short and remain outstanding. Traders typically sell a security short if they anticipate that price will decline by borrowing shares of stock.
https://www.finra.org/finra-data/browse-catalog/equity-short-interest/data
	-Brandon Hardison</t>
      </text>
    </comment>
    <comment authorId="0" ref="A466">
      <text>
        <t xml:space="preserve">https://thesovereigninvestor.net/value-stock-screener-criteria/
	-Brandon Hardison</t>
      </text>
    </comment>
    <comment authorId="0" ref="A56">
      <text>
        <t xml:space="preserve">https://blog.portfolio123.com/a-stock-pickers-guide-to-william-oneils-can-slim-system/
	-Brandon Hardison</t>
      </text>
    </comment>
    <comment authorId="0" ref="A362">
      <text>
        <t xml:space="preserve">https://blog.portfolio123.com/how-rd-expenses-can-help-you-pick-outperforming-stocks/
	-Brandon Hardison</t>
      </text>
    </comment>
    <comment authorId="0" ref="A365">
      <text>
        <t xml:space="preserve">Rebalancing refers to the process of returning the values of a portfolio's asset allocations to the levels defined by an investment plan. Those levels are intended to match an investor's tolerance for risk and desire for reward.
https://www.investopedia.com/terms/r/rebalancing.asp
	-Brandon Hardison</t>
      </text>
    </comment>
    <comment authorId="0" ref="A380">
      <text>
        <t xml:space="preserve">https://www.morganstanley.com/im/publication/insights/articles/article_returnoninvestedcapital.pdf?1665064386283
	-Brandon Hardison</t>
      </text>
    </comment>
    <comment authorId="0" ref="A417">
      <text>
        <t xml:space="preserve">What formula do you use for ‘standard deviation ‘ of sales
LoopStdDev(“Sales(Ctr,Qtr)”,12,0). Play around with it: a variation might work better.
https://blog.portfolio123.com/my-top-ten-factors-for-going-long-and-for-going-short/
	-Brandon Hardison</t>
      </text>
    </comment>
    <comment authorId="0" ref="F2">
      <text>
        <t xml:space="preserve">Secrets of Successful Traders
https://metastock-web.azureedge.net/sst-book-4thv2.pdf
	-Brandon Hardison</t>
      </text>
    </comment>
    <comment authorId="0" ref="A12">
      <text>
        <t xml:space="preserve">https://corporatefinanceinstitute.com/resources/accounting/activity-based-costing/
	-Brandon Hardison</t>
      </text>
    </comment>
    <comment authorId="0" ref="A101">
      <text>
        <t xml:space="preserve">https://corporatefinanceinstitute.com/resources/accounting/cost-behavior-analysis/
	-Brandon Hardison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Determining whether a company can make its debt payments involves assessing its financial health and ability to meet its obligations. Several financial indicators can help evaluate a company's debt-paying capacity. Here are some key indicators:
1. Debt Service Coverage Ratio (DSCR): DSCR is a measure of a company's ability to cover its debt obligations. It is calculated by dividing the company's operating income by its total debt service (principal and interest payments). A DSCR greater than 1 indicates the company has sufficient earnings to cover its debt.
2. Interest Coverage Ratio: This ratio assesses the company's ability to cover interest payments on its debt. It is calculated by dividing earnings before interest and taxes (EBIT) by the interest expense. A higher ratio indicates better coverage.
3.Debt to Equity Ratio: This ratio compares a company's total debt to its equity. A lower debt to equity ratio suggests lower financial leverage and, in turn, less risk of insolvency due to debt.
4.Current Ratio: The current ratio is the ratio of a company's current assets to its current liabilities. It provides an indication of the company's short-term liquidity and ability to meet its immediate obligations. A ratio above 1 suggests the company has more current assets than liabilities.
5.Quick Ratio (Acid-Test Ratio): Similar to the current ratio, the quick ratio excludes inventory from current assets. It provides a more conservative measure of a company's ability to meet its short-term obligations.
6.Free Cash Flow: Free cash flow represents the cash generated by a company's operations after accounting for capital expenditures. Positive free cash flow can be used to service debt or invest in growth opportunities.
7.Debt Maturity Profile: Examining the maturity dates of a company's debt can provide insights into its ability to meet upcoming obligations. A well-laddered debt maturity profile reduces the risk of facing a large debt repayment at once.
8.Credit Rating: Credit rating agencies assess a company's creditworthiness. Higher credit ratings indicate a lower risk of default. Investors and creditors often rely on these ratings to gauge a company's ability to make debt payments.
9.Industry and Economic Conditions: Consideration of the industry and economic conditions can impact a company's ability to generate revenue and, consequently, meet its debt obligations.
10.Management's Guidance and Communication: Management's statements, guidance, and communication with investors regarding the company's financial health and debt obligations can provide additional insights.
11. It's important to note that these indicators should be analyzed collectively, and no single metric can provide a complete picture of a company's financial health. Additionally, industry-specific factors should be taken into account when assessing a company's ability to make debt payments.
</t>
      </text>
    </comment>
    <comment authorId="0" ref="A8">
      <text>
        <t xml:space="preserve">Gather Financial Information:
Collect historical financial statements (income statement, balance sheet, cash flow statement).
Forecast future financial performance, including revenue, expenses, and capital expenditures.
Select a Discount Rate (WACC):
Determine the weighted average cost of capital (WACC), which represents the company's cost of financing. It includes the cost of equity and debt.
The WACC is used as the discount rate in the DCF calculation.
Estimate Free Cash Flows:
Project the company's future free cash flows. Free cash flow is typically calculated as operating cash flow minus capital expenditures.
Forecast cash flows for a specific projection period (e.g., 5-10 years).
Calculate Terminal Value:
Estimate the terminal value, representing the present value of future cash flows beyond the projection period.
Common methods for calculating terminal value include the perpetuity growth model or exit multiples.
Discount Cash Flows:
Discount each year's projected free cash flows and the terminal value back to their present value using the WACC.
The formula for discounting cash flows is: PV = CF / (1 + WACC)^n, where PV is the present value, CF is the cash flow, WACC is the discount rate, and n is the time period.
Sum the Present Values:
Sum the present values of the projected cash flows and the terminal value to get the total enterprise value.
Adjust for Net Debt:
Subtract the company's net debt (total debt minus cash and equivalents) to get the equity value.
Calculate Intrinsic Value per Share:
Divide the equity value by the total number of outstanding shares to calculate the intrinsic value per share.
Compare Intrinsic Value to Market Price:
Compare the calculated intrinsic value per share to the current market price of the stock.
If the intrinsic value is higher than the market price, the stock may be considered undervalued. Conversely, if it's lower, the stock may be overvalued.
Sensitivity Analysis:
Conduct sensitivity analysis by varying key assumptions (e.g., growth rates, discount rate) to assess the impact on the intrinsic value.
Keep in mind that DCF valuations involve making assumptions about future cash flows, growth rates, and discount rates, and these assumptions can significantly impact the results. It's also essential to consider qualitative factors, industry trends, and potential risks when interpreting the results of a DCF valuation. Additionally, using multiple valuation methods and comparing them can provide a more comprehensive view of a stock's valuation.</t>
      </text>
    </comment>
    <comment authorId="0" ref="A12">
      <text>
        <t xml:space="preserve">Investing in a company with negative earnings (net loss) can be considered under certain circumstances, but it generally involves higher risk and requires careful analysis. Here are some situations where an investor might still find a company with negative earnings to be a potential investment:
Early-Stage Growth Companies:
Start-ups and early-stage companies often incur losses as they invest heavily in research, development, and expansion. If the company has a promising business model, innovative products, or a unique market position, investors may be willing to tolerate initial losses with the expectation of future profitability.
Investment in Turnaround Situations:
Some investors specialize in turnaround situations, where they identify companies with negative earnings that have the potential for a successful restructuring. If there's a credible plan in place to improve the company's financial health and profitability, it may attract investors seeking to benefit from a potential recovery.
Investing for Long-Term Growth:
Investors with a long-term horizon may be willing to invest in companies with negative earnings if they believe in the company's growth prospects over time. This approach requires confidence in the company's ability to overcome current challenges and achieve profitability in the future.
Industry or Sector Trends:
Certain industries or sectors may have a cyclical nature, leading to periods of losses for companies within those sectors. If an investor believes that the industry or sector is poised for growth or recovery, they may consider investing in a company with negative earnings, anticipating a positive turnaround.
Strategic Investments:
Companies may incur losses as part of a deliberate strategy to gain market share, expand into new markets, or invest in strategic initiatives. Investors may view these losses as a necessary part of a larger plan and believe that the company's long-term strategic decisions will lead to profitability.
Strong Balance Sheet:
Assess the company's financial health beyond just earnings. If the company has a strong balance sheet with manageable debt levels, sufficient liquidity, and valuable assets, it may have the capacity to weather short-term losses.
Management Credibility:
Trustworthy and capable management is crucial. If the leadership has a track record of successfully navigating challenging situations or turning around companies, it may instill confidence in investors despite current negative earnings.
It's important to note that investing in companies with negative earnings involves significant risk, and thorough due diligence is essential. Investors should carefully analyze the company's financial statements, business model, competitive landscape, management team, and future growth prospects. Diversification and a well-thought-out investment strategy are crucial when considering such high-risk investments. Additionally, staying informed about industry trends and economic conditions is essential for making informed investment decisions.</t>
      </text>
    </comment>
    <comment authorId="0" ref="A13">
      <text>
        <t xml:space="preserve">While stock repurchases, also known as share buybacks, are often viewed positively, there are situations where they can be considered negative. It's essential to consider the context and the company's motivations behind the buyback. Here are some scenarios where stock repurchases may be perceived as negative:
Overvaluation:
If a company repurchases its own shares when the stock is overvalued, it may indicate that management lacks better investment opportunities. Share buybacks at high prices may not provide good value for shareholders.
Financial Engineering:
Some companies may use stock repurchases as a form of financial engineering to artificially boost earnings per share (EPS) by reducing the number of outstanding shares. This can be seen as a short-term strategy that doesn't necessarily reflect underlying business performance.
Leverage and Debt-Financed Buybacks:
If a company finances share buybacks with debt, it increases its financial leverage. While leverage can enhance returns when interest rates are low, it also introduces financial risk. If the company struggles to service the debt, it can negatively impact financial stability.
Lack of Investment in Growth Opportunities:
Share repurchases may be viewed negatively if they come at the expense of investing in growth opportunities, research and development, or other strategies that could enhance the company's long-term value.
Insider Selling:
If insiders, such as executives and board members, take advantage of stock repurchases to sell their own shares, it may raise concerns about management's confidence in the company's future prospects.
Poor Capital Allocation:
Share repurchases are a use of cash, and if a company consistently prioritizes buybacks over investments that could generate higher returns, it may indicate poor capital allocation decisions.
Market Timing Concerns:
Timing stock repurchases based on short-term market conditions can be challenging. If a company engages in buybacks when the stock is high but refrains from repurchasing during market downturns, it may indicate poor market timing.
Reduction in Liquidity:
Using significant resources for buybacks may reduce a company's liquidity, making it more vulnerable to economic downturns or unexpected financial challenges.
Investors should carefully evaluate the reasons behind a company's decision to repurchase its own shares and assess whether it aligns with long-term shareholder value creation. Share repurchases can be a legitimate way to return capital to shareholders, especially when a company believes its stock is undervalued. However, investors should be vigilant and consider the overall financial health and strategic direction of the company before interpreting stock repurchases as a positive or negative signal.</t>
      </text>
    </comment>
    <comment authorId="0" ref="A15">
      <text>
        <t xml:space="preserve">To figure out the debt payment requirements for a public company, you can follow these steps:
Review Financial Statements:
1.Obtain the company's latest financial statements, including the balance sheet and the notes to the financial statements. ---The notes often provide details about the company's debt obligations.
2.Identify Long-Term Debt:
3.Look for the section in the balance sheet that details long-term debt. 
-Long-term debt typically includes bonds, loans, and other obligations with maturities longer than one year.
-Check Debt Schedule or Footnotes:
4.Examine the company's debt schedule or footnotes to the financial statements. This section provides a breakdown of the company's debt, including the interest rates, maturity dates, and any covenants associated with the debt.
Note Interest Expense:
5. In the income statement, identify the line item for "Interest Expense." This represents the interest payments made by the company on its debt. The interest expense is a key component of the debt payment requirements.
Understand Repayment Terms:
6. Understand the terms of the debt, including whether it is a fixed or variable-rate loan, the maturity date, and any scheduled principal repayments.
Consider Other Obligations:
7.  Besides interest payments, some debt may have scheduled principal repayments. Be sure to account for both interest and principal payments when assessing the total debt payment requirements.
Check for Debt Covenants:
8. Review any debt covenants associated with the company's obligations. Debt covenants may include restrictions on the company's financial activities, and failure to comply with these covenants could have implications for the debt payment requirements.
Explore Management Discussions and Analysis (MD&amp;A):
9. Read the Management Discussions and Analysis (MD&amp;A) section of the annual report. This section often provides insights into the company's debt management strategy, refinancing plans, and any potential challenges related to debt.
Consider Off-Balance Sheet Financing:
10. Some obligations may not be explicitly listed on the balance sheet. Check for off-balance sheet financing, such as operating leases, that might have future payment requirements.
Use Financial Modeling:
If you have the necessary financial skills, consider building a financial model to project future debt payments based on the company's debt schedule, interest rates, and principal repayments.
Remember that debt payment requirements can vary over time based on the company's debt structure, interest rates, and refinancing activities. It's crucial to stay updated with the company's disclosures, annual reports, and any relevant filings with regulatory bodies for the latest information on its debt obligations. Additionally, the company's investor relations department can be a valuable resource for inquiries about debt-related matters.
</t>
      </text>
    </comment>
    <comment authorId="0" ref="A16">
      <text>
        <t xml:space="preserve">When choosing companies to invest in, it's important to conduct thorough research and analysis to make informed decisions. Here are key factors and criteria to consider when screening companies for investment:
Financial Health:
Revenue and Earnings Growth: Look for companies with consistent revenue and earnings growth over time.
Profit Margins: Assess the company's profit margins to understand its profitability.
Cash Flow: Positive and consistent cash flow is essential for a company's financial health.
Valuation Metrics:
Price-to-Earnings (P/E) Ratio: Evaluate the stock's valuation relative to its earnings.
Price-to-Book (P/B) Ratio: Assess the stock's valuation based on its book value.
Dividend Yield: Consider if the company pays dividends and the yield compared to other investments.
Balance Sheet Strength:
Debt Levels: Check the company's debt levels and its ability to service debt.
Current Ratio and Quick Ratio: Assess liquidity by examining current assets and liabilities.
Return on Equity (ROE): Evaluate how effectively the company is using shareholders' equity to generate profits.
Industry and Competitive Position:
Industry Trends: Consider the overall trends and growth prospects in the industry.
Competitive Advantage: Look for companies with a sustainable competitive advantage.
Market Share: Assess the company's market share and its ability to maintain or expand it.
Management and Governance:
Management Quality: Evaluate the management team's track record and decision-making.
Corporate Governance: Assess the company's governance structure and practices.
Dividends and Share Buybacks:
Dividend History: A consistent and growing dividend history may be attractive to income investors.
Share Buybacks: Consider if the company is repurchasing its own shares, which can signal confidence in future performance.
Economic Moats:
Brand Strength: Companies with strong and recognized brands often have a competitive advantage.
Network Effects: Examine if the company benefits from network effects, where the value increases with more users or customers.
Risk Factors:
Market Risks: Consider external factors that may impact the market or industry.
Company-Specific Risks: Evaluate specific risks related to the company's operations, products, or market position.
Sustainability and ESG Factors:
Environmental, Social, and Governance (ESG) Practices: Consider a company's commitment to sustainability and responsible business practices.
Analyst Recommendations and Ratings:
Analyst Reports: Review analysts' recommendations and reports on the company.
Catalysts and Events:
Upcoming Events: Be aware of any upcoming events or catalysts that may impact the company's stock.
Size and Liquidity:
Market Capitalization: Consider the company's size in relation to its industry and investment goals.
Average Trading Volume: Ensure there is sufficient liquidity for easy buying and selling.
Remember, it's essential to diversify your investments and conduct ongoing monitoring of your portfolio. Additionally, your investment strategy should align with your financial goals, risk tolerance, and investment time horizon. Conducting thorough due diligence and staying informed about market trends will contribute to more informed investment decisions.</t>
      </text>
    </comment>
    <comment authorId="0" ref="A20">
      <text>
        <t xml:space="preserve">pages.stern.nyu.edu/~adamodar/pdfiles/country/valallday12.pdf</t>
      </text>
    </comment>
    <comment authorId="0" ref="A22">
      <text>
        <t xml:space="preserve">The signs of a successful company can vary across different industries and business models, but several common indicators are often associated with a thriving and well-managed organization. Here are some key signs of a successful company:
Consistent Revenue Growth: Successful companies often demonstrate a pattern of consistent and sustainable revenue growth over time.
Profitability: A successful company is typically profitable, meaning it generates more revenue than it incurs in expenses.
Strong Financial Health: Beyond profitability, financial health includes factors like a healthy balance sheet, strong cash flow, and prudent financial management.
Customer Satisfaction and Loyalty: Satisfied and loyal customers are crucial to success. A successful company tends to have a strong customer base that is loyal to its products or services.
Innovative Culture: Successful companies are often at the forefront of innovation. They invest in research and development, embrace new technologies, and adapt to changing market trends.
Effective Leadership: Strong leadership is a key factor in success. A successful company is often led by capable and visionary leaders who guide the organization toward its goals.
Talented and Engaged Workforce: A successful company attracts and retains top talent. Employees are engaged, motivated, and aligned with the company's values and mission.
Strategic Planning and Execution: Successful companies have a clear and effective strategy for achieving their goals. They are adept at strategic planning and execution, adapting to market changes when necessary.
Market Leadership: Being a market leader or holding a significant market share in a particular industry is a sign of success. It often indicates that the company is doing well against competitors.
Effective Risk Management: Successful companies manage risks effectively. They have strategies in place to mitigate potential challenges and are resilient in the face of uncertainties.
Social and Environmental Responsibility: There is an increasing emphasis on corporate social responsibility. Successful companies often demonstrate a commitment to ethical business practices, sustainability, and social impact.
Adaptability to Change: The business landscape is dynamic, and successful companies are adaptable. They can pivot, innovate, and adjust strategies in response to changes in the market or industry.
It's important to note that success is multifaceted, and companies may prioritize different factors based on their industry, goals, and values. Additionally, short-term success may differ from long-term sustainability. Evaluating a company's success requires a comprehensive analysis of various financial, operational, and strategic factors.</t>
      </text>
    </comment>
    <comment authorId="0" ref="A23">
      <text>
        <t xml:space="preserve">Investing in a company requires a careful evaluation of various factors to assess its potential for growth, profitability, and long-term success. Here are key considerations that investors often look for when determining whether a company is worthy of investment:
Financial Health:
Revenue Growth: A history of consistent and sustainable revenue growth is a positive sign.
Profitability: A company should have a track record of generating profits, and its profit margins should be competitive within the industry.
Management and Leadership:
Competent Leadership: A strong and experienced management team is crucial for success. Assess the leadership's track record and ability to execute the company's strategy.
Market Position:
Competitive Advantage: A company with a strong competitive advantage, such as a unique product, strong brand, or cost leadership, is often more attractive to investors.
Market Share: Consider the company's market share and its position within the industry.
Business Model:
Scalability: A business model that allows for scalability and growth is favorable.
Diversification: Diversified revenue streams can contribute to stability.
Industry Trends and Outlook:
Growing Industry: Invest in companies within industries that show growth potential.
Technological Trends: Consider how the company is adapting to technological changes and industry trends.
Financial Ratios:
Valuation Ratios: Evaluate key financial ratios like price-to-earnings (P/E) ratio, price-to-sales ratio, and others to assess the company's valuation relative to its earnings and revenue.
Risk Factors:
Risk Management: Assess how the company identifies and manages risks. Understand potential challenges and how well the company is positioned to navigate them.
Innovation and Research &amp; Development:
Investment in R&amp;D: Companies that invest in innovation and research are often better positioned for long-term success.
Customer Base:
Customer Retention: A loyal and expanding customer base is a positive indicator.
Customer Satisfaction: High levels of customer satisfaction can contribute to long-term success.
Corporate Governance and Ethics:
Transparency: Evaluate the company's commitment to transparency, ethical business practices, and corporate governance.
Dividend History (if applicable):
Dividend Payments: Companies that pay regular dividends can be attractive to income-focused investors.
Cash Flow:
Positive Cash Flow: A company with positive and consistent cash flow is generally considered healthier.
Remember that investing always involves risk, and no investment is guaranteed. It's crucial to conduct thorough research, diversify your portfolio, and consider your risk tolerance and investment goals before making investment decisions. Additionally, consulting with a financial advisor can provide personalized guidance based on your specific situation and objectives.</t>
      </text>
    </comment>
    <comment authorId="0" ref="A24">
      <text>
        <t xml:space="preserve">Revenue Growth Rate
=(Revenue at the End of Period−Revenue at the Beginning of Period)/(Revenue at the Beginning of Period)×100
Revenue growth is typically measured as the percentage increase in a company's total revenue over a specific period. The formula for calculating revenue growth is straightforward and involves comparing the revenue at the end of a period with the revenue at the beginning. Here's the formula:
Let's break down the steps to measure revenue growth:
Determine the Period:
Decide on the time frame for which you want to measure revenue growth. Common periods include quarterly or annually.
Collect Revenue Data:
Obtain the total revenue figures for the company at the beginning and end of the chosen period.
Apply the Formula:
Plug the revenue values into the formula to calculate the growth rate. The result will be expressed as a percentage.
Revenue Growth Rate=(Revenue at the End−Revenue at the Beginning)/(Revenue at the Beginning)×100
Interpret the Result:
A positive growth rate indicates an increase in revenue, while a negative growth rate suggests a decrease.
A higher percentage indicates a faster rate of growth.
Here's a numerical example:
Revenue at the beginning of the year: $1,000,000
Revenue at the end of the year: $1,500,000
Revenue Growth Rate
=(1,500,000−1,000,0001,000,000)×100=50%
Revenue Growth Rate=((1,500,000−1,000,000)/1,000,000)×100=50%
In this example, the company experienced a 50% growth in revenue over the specified period.
It's important to note that revenue growth should be analyzed in the context of industry benchmarks, market conditions, and the company's historical performance. Additionally, understanding the reasons behind the revenue growth, such as increased sales, market share gains, or new product launches, provides valuable insights into the company's overall performance.</t>
      </text>
    </comment>
    <comment authorId="0" ref="A25">
      <text>
        <t xml:space="preserve">Profitability is a key metric that assesses a company's ability to generate earnings relative to its expenses and investments. There are several ways to measure profitability, and here are the top five commonly used metrics:
Net Profit Margin:
Formula: 
Net Profit Margin
=
(
Net Profit
Total Revenue
)
×
100
Net Profit Margin=( 
Total Revenue
Net Profit
​
 )×100
Description: Net profit margin represents the percentage of revenue that remains as profit after deducting all expenses, including operating costs, interest, and taxes. A higher net profit margin indicates better profitability.
Gross Profit Margin:
Formula: 
Gross Profit Margin
=
(
Gross Profit
Total Revenue
)
×
100
Gross Profit Margin=( 
Total Revenue
Gross Profit
​
 )×100
Description: Gross profit margin measures the percentage of revenue that exceeds the cost of goods sold (COGS). It provides insight into the efficiency of production and pricing.
Return on Assets (ROA):
Formula: 
ROA
=
(
Net Income
Average Total Assets
)
×
100
ROA=( 
Average Total Assets
Net Income
​
 )×100
Description: ROA evaluates how efficiently a company utilizes its assets to generate profit. A higher ROA indicates better asset utilization.
Return on Equity (ROE):
Formula: 
ROE
=
(
Net Income
Average Shareholders’ Equity
)
×
100
ROE=( 
Average Shareholders’ Equity
Net Income
​
 )×100
Description: ROE measures the return generated on shareholders' equity. It reflects how well a company is using equity capital to generate profits.
Operating Profit Margin:
Formula: 
Operating Profit Margin
=
(
Operating Profit
Total Revenue
)
×
100
Operating Profit Margin=( 
Total Revenue
Operating Profit
​
 )×100
Description: Operating profit margin assesses the profitability of a company's core operations by excluding interest and taxes. It provides insight into operational efficiency.
These profitability metrics offer different perspectives on a company's financial performance. It's essential to consider them collectively to get a comprehensive view of profitability. Additionally, comparing these metrics across time periods and with industry benchmarks helps assess a company's relative performance in terms of profitability.
</t>
      </text>
    </comment>
    <comment authorId="0" ref="A26">
      <text>
        <t xml:space="preserve">There isn't a single "most effective" way to measure profitability because different metrics provide distinct insights into a company's financial performance. The choice of the most effective measure depends on the specific goals and context of the analysis. However, if you had to focus on one metric, Net Profit Margin is often considered a comprehensive measure of overall profitability.
Net Profit Margin:
Formula: 
Net Profit Margin
=
(
Net Profit
Total Revenue
)
×
100
Net Profit Margin=( 
Total Revenue
Net Profit
​
 )×100
Description: Net Profit Margin represents the percentage of revenue that remains as profit after deducting all expenses, including operating costs, interest, and taxes.
Reasons why Net Profit Margin is often considered important:
Comprehensive View: It takes into account all costs associated with the business, providing a comprehensive view of overall profitability.
Reflects Efficiency: Net Profit Margin reflects how efficiently a company manages its expenses and generates profit from its operations.
Comparative Analysis: It allows for easy comparison with industry benchmarks and competitors, as it is a widely used and understood metric.
Investor Perspective: Investors often look at net profit margin as it directly impacts the amount of profit available for distribution to shareholders.
While Net Profit Margin is valuable, it's important to note that combining it with other metrics, such as Gross Profit Margin, Return on Assets (ROA), and Return on Equity (ROE), provides a more nuanced understanding of a company's profitability from different angles. Each metric has its strengths and limitations, and using them collectively offers a more comprehensive view of a company's financial health.</t>
      </text>
    </comment>
    <comment authorId="0" ref="A27">
      <text>
        <t xml:space="preserve">Identifying lesser-known indicators of a stock's potential appreciation can involve a combination of financial metrics, qualitative factors, and market dynamics. While no single indicator guarantees stock appreciation, here are some lesser-known factors that investors may consider:
Insider Trading Activity:
Indicator: Monitoring insider buying or selling activities.
Rationale: Substantial insider buying may indicate confidence in the company's future prospects, while selling may raise concerns. However, it's important to consider the context and reasons behind insider transactions.
Short Interest Trends:
Indicator: Changes in short interest (the number of shares sold short).
Rationale: A decreasing short interest could suggest reduced bearish sentiment and potential for upward price movement.
Institutional Ownership Changes:
Indicator: Changes in institutional ownership.
Rationale: Increasing institutional ownership may signal confidence in the stock. However, the specific institutions and their investment strategies should also be considered.
Product Pipeline and Innovation:
Indicator: Assessment of a company's product pipeline and innovation efforts.
Rationale: Companies with strong and innovative product offerings may be better positioned for future growth.
Customer Satisfaction and Reviews:
Indicator: Monitoring customer satisfaction and online reviews.
Rationale: Positive customer feedback can indicate a strong brand and customer loyalty, which may contribute to future sales growth.
Environmental, Social, and Governance (ESG) Factors:
Indicator: Consideration of a company's ESG practices.
Rationale: Companies with strong ESG practices may be viewed more favorably by socially responsible investors, potentially influencing stock performance.
Competitive Landscape and Market Share Trends:
Indicator: Analysis of the company's competitive position and changes in market share.
Rationale: Companies gaining market share or maintaining a competitive edge may experience stock appreciation.
Patent Activity:
Indicator: Tracking the number and significance of patents granted to a company.
Rationale: A robust patent portfolio may indicate innovation and a competitive advantage.
Sentiment Analysis:
Indicator: Monitoring market sentiment through social media and news sentiment analysis.
Rationale: Positive sentiment can sometimes precede stock price appreciation, but caution is needed as sentiment can be volatile.
Economic Indicators:
Indicator: Consideration of broader economic indicators and trends.
Rationale: Economic factors can impact various industries differently, influencing stock prices.
While these indicators may provide additional insights, it's crucial to conduct thorough research and analysis. Investors should consider a combination of both quantitative and qualitative factors, keeping in mind the specific characteristics of the stock, industry, and broader market conditions. Diversification and a long-term investment perspective are also key principles in successful investing.</t>
      </text>
    </comment>
    <comment authorId="0" ref="A35">
      <text>
        <t xml:space="preserve">Calculating pricing power based on the volume of business a contract brings in involves assessing the relationship between changes in price and changes in quantity demanded. Pricing power is essentially the ability of a business to raise prices without experiencing a significant decrease in demand. Here's a basic formula to help you get started:
Pricing Power = (% Change in Price) / (% Change in Quantity Demanded)
Here's a step-by-step guide on how to calculate pricing power:
Determine Initial Price and Quantity:
Identify the initial price at which you are selling your product or service.
Determine the initial quantity demanded at this price.
Implement a Price Change:
Decide on a new price for your product or service.
Implement the price change and observe the impact on sales volume.
Calculate the Percentage Change in Price:
Use the following formula to calculate the percentage change in price:
%
Change in Price
=
New Price
−
Initial Price
Initial Price
×
100
%Change in Price= 
Initial Price
New Price−Initial Price
​
 ×100
Calculate the Percentage Change in Quantity Demanded:
Use the following formula to calculate the percentage change in quantity demanded:
%
Change in Quantity Demanded
=
New Quantity
−
Initial Quantity
Initial Quantity
×
100
%Change in Quantity Demanded= 
Initial Quantity
New Quantity−Initial Quantity
​
 ×100
Calculate Pricing Power:
Use the formula for pricing power:
Pricing Power
=
%
Change in Price
%
Change in Quantity Demanded
Pricing Power= 
%Change in Quantity Demanded
%Change in Price
​
Interpret the Result:
A positive pricing power indicates that the business can increase prices without a proportional decrease in quantity demanded, suggesting strong pricing power.
A negative pricing power suggests that increasing prices would likely lead to a significant decrease in quantity demanded.
Keep in mind that this is a simplified model, and the real-world calculation can be more complex depending on various factors such as market conditions, competition, and customer behavior. Additionally, consider conducting a comprehensive analysis using historical data and market research for a more accurate assessment of pricing power.</t>
      </text>
    </comment>
    <comment authorId="0" ref="A38">
      <text>
        <t xml:space="preserve">Fellow investors have long praised—and envied—Warren Buffett's seemingly uncanny ability to pick stocks. By steadfastly following certain investing principles, he has amassed a net worth estimated at $118 billion.
1
 So what exactly does he look for in a stock? Here are some clues.
KEY TAKEAWAYS
In picking stocks, Warren Buffett looks for companies that have provided a good return on equity over many years, particularly when compared to rival companies in the same industry.
Buffett also reviews a company's profit margins to ensure they are healthy and growing.
Buffett prefers companies that have a unique product or service that gives them a competitive advantage.
As a value investor, he seeks out stocks that are undervalued relative to the company's intrinsic worth.
Warren Buffett
Alison Czinkota / Investopedia
Warren Buffett's Value Investing Approach
Warren Buffett belongs to the value investing school, popularized by his mentor Benjamin Graham. Value investing focuses on the intrinsic value of a particular stock rather than technical indicators, such as moving averages, volume, or momentum. Determining intrinsic value is an exercise in understanding a company's financials, especially official filings such as earnings and income statements.
2
In making investments for his holding company, Berkshire Hathaway, Buffett follows a longtime and well-publicized strategy, seeking out the shares of businesses with consistent earning power, a good return on equity (ROE), and capable management—and that are also sensibly priced, if not underpriced).
3
To help guide him in these decisions, Buffett asks several key questions:
How Has the Company Performed?
Companies that have been providing a reliable return on equity (ROE) for many years are more desirable than those that have had only a short period of solid returns, in Buffett's view. And the greater the number of years of good ROE, the better. In order to gauge historical performance, an investor should review at least five to 10 years of a company's ROE, he maintains.
 When looking at a company's historic return on equity (ROE), it's also essential to compare it with the ROE of the company's top competitors in the same industry.
How Much Debt Does the Company Have?
Having a large ratio of debt to equity should raise a red flag, especially if earnings growth has coincided with adding on more debt, such as through acquisitions.
Instead, Buffett prefers earnings growth to come from shareholders' equity (SE). A company with positive shareholders' equity is generating enough cash flow to cover its liabilities and not relying on debt to keep it growing or afloat.
How Are the Company's Profit Margins?
Buffett looks for companies that have a good profit margin, especially those whose profit margins are growing. As is the case with ROE, he looks at the profit margin over several years to discount short-term trends. For a company to stay on Buffett's radar, its management should be adept at growing profit margins year-over-year, a sign that it is also good at controlling operating costs.
4
How Unique Are the Company's Products?
Buffett considers companies whose products and services can be easily substituted for riskier than companies with more unique offerings. For example, an oil company whose principal product is crude oil may be vulnerable to competitive forces because clients can buy crude oil from any number of other sources, not to mention alternative types of energy.
However, if the company has unique access to a more desirable grade of oil that many businesses need, that might make it an investment worth looking at. In this case, the company's desirable grade of oil could be a competitive advantage that will help produce profits year after year.
4
In a similar vein, Buffett has long been a major investor in Coca-Cola. While there are many colas and other soft drinks on the market, there is only one Coke.
Reflecting on that investment in Berkshire Hathaway's 2022 annual report, Buffett wrote, "In August 1994—yes, 1994—Berkshire completed its seven-year purchase of the 400 million shares of Coca-Cola we now own. The total cost was $1.3 billion—then a very meaningful sum at Berkshire. The cash dividend we received from Coke in 1994 was $75 million. By 2022, the dividend had increased to $704 million. Growth occurred every year, just as certain as birthdays. All Charlie [Charlie Munger, Buffett's longtime business partner] and I were required to do was cash Coke's quarterly dividend checks. We expect that those checks are highly likely to grow."
5
How Much of a Discount Are Shares Trading At?
This is the crux of value investing: finding companies that have good fundamentals but are trading below where they should be. And the greater the discount, the more room for profitability.
Put another way, the goal for value investors like Buffett is to discover companies that are undervalued compared to their intrinsic value. While there is no exact formula for calculating intrinsic value, investors can look at a variety of factors—such as management strength and future earnings potential—to gauge it.
6
What Is Growth Investing vs. Value Investing?
Unlike value investors who seek out solid (but sometimes humdrum) companies that may be selling for less than they are worth, growth investors look for companies with unusually strong growth prospects, almost regardless of their current price. Growth investors often put their money on young, seemingly hot companies, while value investors tend to favor long-established ones.
What Are Warren Buffett's Largest Stock Holdings?
Through his company, Berkshire Hathaway, Buffett's five largest holdings as of December 31, 2022 were (in order of aggregate fair value): Apple, Bank of America, Chevron, Coca-Cola, and American Express.
7
What Is Warren Buffet's Most Important Investing Principle?
Warren Buffett has articulated many investing principles over the years, but one of the most important is investing in yourself. That includes investing the time to become a better investor. He also advocates other prudent financial practices, such as regular saving, not spending beyond your means, avoiding credit card debt, and reinvesting your profits.
The Bottom Line
Beyond his value-oriented style, Buffett is also known as a buy-and-hold investor. He is not interested in selling stock in the near term to reap quick profits, but chooses stocks that he believes offer solid prospects for long-term growth. His record as an investor speaks for itself.</t>
      </text>
    </comment>
    <comment authorId="0" ref="A40">
      <text>
        <t xml:space="preserve">Finmark: Financial assumptions are the expectations of how your business might perform in the coming periods. To create financial assumptions, you’ll rely on historical performance, operational strategy, market conditions, industry projections, and other considerations.
Financial assumptions are a key aspect of financial planning; they can provide your key decision-makers with reliable data to make financial forecasts and informed strategic business decisions that drive further growth.
Here are some examples of what financial assumptions might look like for your business:
On average, customers will pay $50 for our product
In April, we expect to acquire 250 new customers
With these assumptions, we can make a forecast for April revenue of around $12,500 (of course, you’d have to factor in other variables like churn and revenue expansion). However, your forecasts would quickly change if you only expect to acquire half that amount of new customers, which would result in a monthly revenue forecast of roughly $6,250.
Making financial assumptions can be particularly challenging for newer businesses since you don’t have a ton of historical data to analyze. However, over time as you have more performance data to work with, you can slowly refine your assumptions to build projections and forecasts that more accurately reflect the abilities of your business.
Thus, making accurate financial assumptions is the challenge here.
Inflated forecasts can make you look unreasonable to investors and leave you unprepared for a slowdown or increased competition.
On the other hand, estimates that are too conservative could make you overly cautious and keep you from taking advantage of growth opportunities.
Even still, in some cases, it’s better to err on the side of caution when making financial assumptions, as you’d rather be able to hit your conservative estimates instead of reporting performance that is much below your expectations.
How to Create Financial Assumptions
Above all, making accurate financial assumptions requires you to have a deep understanding of your business–like knowing its current financial health and strategic goals for the future.
Continue reading below as we walk you through the main steps to creating accurate financial assumptions for your business.
Keep in mind that each business will create its own process for making financial assumptions based on its own stage of development, niche, and other factors. However, the following steps are a good starting point to set you in the right direction.
1. Decide Which Financial Assumptions to Make
The first thing you’ll need to do is create a list of all the financial assumptions you’re going to make.
There are countless financial assumptions you can make for your business, though you will need to customize and tailor your assumptions to ensure it fits your business model, stakeholders’ interests, and strategic goals.
Here are some examples of financial assumptions that can aid the rest of your financial planning process.
Product/service-based:
How many units you expect to sell every month
The average price charged for each product or service
Expected monthly sales growth rate
How much it costs to produce each unit sold
Expected growth in direct product costs each year
The customer acquisition cost &amp; LTV
Subscription/membership-based: 
The price charged for a membership
Number of current members/subscribers
Monthly/quarterly/yearly membership growth
Projected customer churn each month/quarter/year
Projected customer upgrades/downgrades each month/quarter/year
Average monthly direct cost per membership
Cost-related:
Monthly salaries for the team and the expected annual growth rate
Monthly sales and marketing expenses and the expected annual growth rate
Monthly rent and utilities expenses and the expected annual growth rate
Monthly office supplies expense and expected annual growth rate
CapEx/tax/other: 
The amount needed for annual capital expenditures
The amount of external funding required currently
The expected corporate tax rate
The current liabilities turnover rate
The total amount of current assets, excluding cash
Depreciation rate and amortization number of years
When debt needs to be repaid
You can always make assumptions for additional items in future periods if they become more relevant to your business, or get rid of certain assumptions if they are not useful.
2. Choose Your Level of Granularity
One of the biggest challenges when making financial assumptions is to find the right balance between granularity and flexibility in a way that’s helpful to your financial planning efforts.
It’s easy to get caught up in the details given your level of understanding of the business as an internal member, though your financial assumptions need to be presented in a way that’s meaningful to all stakeholders and can easily be updated to reflect changes to the business or industry.
Making hyper-specific or complex assumptions can quickly make your financial planning efforts convoluted and inefficient as you scale up.
So, make a clear choice around how granular you’d like to make your assumptions, and stick with it–though try to veer on the more flexible side if possible to be more conducive to growth.
For instance, if you’re making assumptions about your sales growth early on and have a list of a dozen or so initial customers, you may be tempted to go through and estimate what they’ll each spend in coming periods based on what they’ve spent in the past.
However, this can quickly snowball out of control and become inefficient once you have hundreds or even thousands of customers, as you’ll no longer be able to make sales estimates for each customer.
Even if you believe this leads to the most accurate assumptions, you may want to prioritize values that are slightly less accurate though easier to calculate and update, like an assumption of overall sales growth instead.
3. Assess Current Performance
Now it’s time to analyze your current and historical financial performance for each of your assumptions.
For instance, if you want to make an assumption for monthly revenue growth, look at your performance year-to-date (YTD) to give you a baseline before you start making future assumptions. Even if you have limited data, be sure to utilize the info that you do have.
4. Gather Industry Data
Another important aspect to consider is the projection for the industry and your specific niche in the coming periods.
Your business does not operate in a vacuum, so you need to be aware of the macro trends that will impact your prospects, not just what you’re doing internally.
This can include a competitive analysis regarding your peers and what their market share is, all of which can give you a better understanding of where your business stands and what could impact your performance in the short term.
Here is a great resource where you can find additional information on how to perform an industry analysis.
5. Make Your Financial Assumptions
At this point, you can begin making your financial assumptions, keeping in mind the strategic goals of your business in addition to the aspects we’ve covered thus far.
For instance, say that your operating expenses have been fairly consistent over recent quarters, and you have no reason to believe this will be impacted by external factors. You can make the assumption that they’ll remain around the same level.
However, if you have an internal goal to cut down on operational costs to boost profitability, and you understand that supporting initiatives are underway, you can reasonably adjust your assumptions accordingly.
In Finmark from BILL, you can easily model these assumptions. You can create unlimited scenarios and simply change the assumptions in your forecast.
Financial Assumptions by Financial Statement
Another way to look at making your financial assumptions is to go through each financial statement to see how the assumptions all tie together.
Income Statement
Financial assumptions for the income statement (a.k.a. profit and loss statement) include revenue or sales, cost of goods sold, operating expenses, and other items that affect this statement and the company’s overall profit, or net income.
income statement in finmark
Balance Sheet
Assumptions for the balance sheet will relate to the assets and liabilities of the company, owner’s equity, and other pertinent factors to this statement.
The net income provided by the income statement ties into the balance sheet through the retained earnings line item, so you can see how assumptions made about the income statement can impact the balance sheet as well.
balance sheet in finmark
Cash Flow Statement
A business can make financial assumptions about cash flow, though they will not impact the other financial statements until the outflows or inflows actually occur.
However, the net income provided by the income statement is the starting point for building out the operating cash flow section.
A common assumption to make about cash flow is the annual cumulative cash flow that the business expects to generate for the year. This can help show how you’ll take advantage of cash inflows, and your ability to generate free cash flow.
finmark cashflow statement
Additional Tips on Making Financial Assumptions
With everything we’ve covered so far, you’ll be better prepared to create accurate financial assumptions for your business. But here are some additional tips to help you master this aspect of financial planning.
Measure Assumptions Against Actual Performance
One of the first keys to making better financial assumptions is to measure your actual performance against the assumptions you made for the period.
This will show you how accurate your assumptions were, which can help you make better assumptions for the future.
For instance, say you assumed your business would spend $4,000 a month on marketing expenses, but you ended up spending $9,000. You’ll want to assess why you were so off and dial in your assumptions for future budgets based on your findings.
Be Realistic
This tip may seem obvious, though it’s worth noting. While you can be optimistic about your expectations for the business, you don’t want to make lofty assumptions that you can’t back up with good reasoning.
In doing so, you’ll likely do more harm than good, and can even lose stakeholders’ trust when your actual results are far off from your assumptions.
Let’s say you’ve consistently seen 4% monthly sales growth for the past six months. It’s reasonable to assume something similar for the coming period, all things being equal. But, assuming that your sales growth will shoot up to 11% with nothing to back it up is not a wise move, even if you think it will make you look better to investors and stakeholders in the short term.
Stay Consistent
One mistake you can make with your financial assumptions is to not keep them consistent across all areas of your financial plan.
There are a lot of moving parts involved with forecasting and planning, so it’s not hard to imagine how this could happen. However, ensuring that you have consistent assumptions across your model will make them more reliable and accurate.
Plus, consistency in your assumptions can keep you from looking unprofessional and untrustworthy to stakeholders.
Final Thoughts on Making Financial Assumptions
Above all, it’s important to remember that the financial assumptions you make for your business are a working model that’s flexible and updatable.
As your business continues to grow and develop, you’ll be able to refine your financial assumptions and make them more accurate once you have more historical data to work from.
When working with an intuitive financial planning platform like Finmark, financial planning for your business can be a breeze. With our platform, you can build custom and data-driven forecasts, combining multiple data points to build a holistic model.</t>
      </text>
    </comment>
    <comment authorId="0" ref="A41">
      <text>
        <t xml:space="preserve">Do the people in the development team have the necessary know-how?
Null data is everywhere in financial ratios. Is it handled seamlessly?
Are press-releases being handled reliably and point in time?
Is the data free of look-ahead bias, survivorship bias, or artificial lagging?
Are issues and compromises being communicated transparently and honestly?
Is the cost of transactions and liquidity being taken into account in simulations?
Is every data point Point-In-Time, including amended data, estimates revisions, and industry classifications?
Are dividends awarded on the ex date and paid on the pay date?
Is your voice heard? Is the product actively and passionately developed?</t>
      </text>
    </comment>
    <comment authorId="0" ref="A43">
      <text>
        <t xml:space="preserve">The main difference between inductive and deductive reasoning is that while inductive reasoning begins with an observation, supports it with patterns and then arrives at a hypothesis or theory, deductive reasoning begins with a theory, supports it with observation and eventually arrives at a confirmation.</t>
      </text>
    </comment>
    <comment authorId="0" ref="A44">
      <text>
        <t xml:space="preserve">The move from a T+2 (trade date plus two business days) to a T+1 settlement cycle refers to the time it takes to complete the settlement of a securities transaction. The impact of such a change on public companies can be multifaceted:
Reduced Counterparty Risk: A shorter settlement cycle reduces the time during which counterparty risk exists. This can enhance the overall stability of the financial system and reduce the risk of default for the involved parties.
Increased Liquidity: A shorter settlement cycle can contribute to increased market liquidity. Investors may find it more attractive to participate in the market if they can access their funds or securities more quickly after a trade.
Operational Changes: Public companies, especially those involved in securities trading, will need to adjust their operational processes to accommodate the faster settlement cycle. This may involve changes to internal systems, technology, and staffing.
Impact on Clearing and Settlement Infrastructure: The move to T+1 may require adjustments to clearing and settlement infrastructure. Clearinghouses and custodians may need to adapt their processes to facilitate quicker settlements.
Reduced Capital Requirements: Shorter settlement cycles can lead to reduced capital requirements for market participants, as they don't need to tie up funds for an extended period during the settlement process.
Regulatory Compliance: Companies will need to ensure that they comply with any regulatory changes associated with the move to a T+1 settlement cycle. This may involve adjustments to reporting requirements and other regulatory obligations.
Market Dynamics: The faster settlement cycle could impact market dynamics, influencing trading strategies and behaviors of market participants. Companies may need to adapt to changes in market behavior.
Technology Investments: Companies may need to invest in technology to support the faster settlement cycle. This could include upgrades to trading platforms, risk management systems, and cybersecurity measures.
It's important to note that the specific impact on a particular public company will depend on its business model, industry, and the extent to which it engages in securities trading. Companies are likely to assess the potential benefits and challenges associated with the change and take steps to adapt accordingly.</t>
      </text>
    </comment>
    <comment authorId="0" ref="A45">
      <text>
        <t xml:space="preserve">While shortening the settlement cycle (e.g., moving from T+2 to T+1) is generally aimed at improving efficiency and reducing risks in the financial markets, there are potential challenges and concerns that could affect the stock market, albeit not necessarily negatively in all cases. Here are some considerations:
Operational Challenges: A shorter settlement cycle requires more rapid processing of trades and may introduce operational challenges for market participants, including brokerages, custodians, and clearinghouses. If these entities are not adequately prepared for the transition, it could lead to errors and disruptions.
Increased Costs: Companies and financial institutions may incur additional costs in upgrading their systems and processes to handle a faster settlement cycle. These costs could potentially be passed on to investors or may impact profit margins.
Market Volatility: A shorter settlement cycle may contribute to increased intraday volatility. Traders might adjust their strategies to account for the quicker movement of funds and securities, potentially leading to more rapid price changes.
Liquidity Impact: While a shorter settlement cycle can enhance market liquidity in some ways, it could also impact liquidity negatively in specific circumstances. For example, investors may be more cautious if they perceive higher risks associated with quicker settlements.
Margin Requirements: Shortening the settlement cycle may impact margin requirements for market participants. Faster settlements mean that capital needs to be available more quickly, which could affect leverage and risk management strategies.
Technology Risks: The transition to a shorter settlement cycle requires robust and reliable technology systems. Any glitches, outages, or cyber threats could have a more immediate impact on the market due to the compressed timeline.
Market Participant Adaptation: Traders, investors, and other market participants may need time to adapt to the new settlement cycle. During this transitional period, there could be uncertainties and adjustments that impact market behavior.
It's important to note that the actual impact will depend on how well the market participants and infrastructure adapt to the change. Regulatory bodies and industry stakeholders typically work together to address potential challenges and ensure a smooth transition. While there may be short-term adjustments, the long-term goal of reducing systemic risk and enhancing market efficiency is often seen as beneficial for the overall health of the financial markets.</t>
      </text>
    </comment>
    <comment authorId="0" ref="A46">
      <text>
        <t xml:space="preserve">Upgrading the settlement cycle from T+2 to T+1 involves various costs for companies, including financial institutions, brokerages, and other market participants. The specific costs will depend on the existing infrastructure of the company and the extent of changes required. Here are some potential costs associated with upgrading the settlement cycle:
Technology Infrastructure: Companies may need to invest in upgrading their technology infrastructure to handle a faster settlement cycle. This could involve the implementation or enhancement of trading platforms, settlement systems, and related software.
System Integration: Integrating new systems and technologies with existing ones can be a complex process. Companies may incur costs related to system integration to ensure seamless communication and operation between different components of their infrastructure.
Software Development: Customized software solutions may be necessary to support the faster settlement cycle. Companies may need to develop or modify software applications to meet the specific requirements of the shortened settlement timeframe.
Testing and Quality Assurance: Rigorous testing is crucial to ensure that the upgraded systems function correctly and can handle the increased transaction speed. Companies will incur costs related to testing and quality assurance processes to identify and address any issues before implementation.
Training and Education: Employees need to be trained on the new processes and technologies associated with the shortened settlement cycle. Training programs may involve costs related to materials, instructors, and the time allocated for employees to learn and adapt.
Compliance and Regulatory Costs: Companies may need to update their processes to comply with new regulatory requirements associated with the shorter settlement cycle. Compliance-related costs may include legal consultations, regulatory filings, and adjustments to internal procedures.
Operational Adjustments: Changes in settlement cycles may require operational adjustments in various departments, including back-office operations, risk management, and customer service. These adjustments may involve additional staffing or modifications to existing workflows.
Communication and Transparency: Companies may need to invest in communication strategies to inform stakeholders, including clients and investors, about the changes in the settlement cycle. Transparency is crucial to mitigate potential uncertainties and concerns.
Security and Cybersecurity Measures: With the faster movement of funds and securities, companies will likely need to enhance security measures to protect against potential fraud, cyber threats, and other risks associated with the quicker settlement process.
Contingency Planning: Companies may incur costs in developing and implementing contingency plans to address unforeseen issues that could arise during the transition to a shorter settlement cycle.
It's important to note that the costs can vary widely based on the size and complexity of the company, as well as the degree of technological sophistication in their current infrastructure. While there are upfront costs associated with the transition, the aim is often to achieve long-term benefits in terms of increased efficiency, reduced risk, and improved market dynamics.</t>
      </text>
    </comment>
    <comment authorId="0" ref="A47">
      <text>
        <t xml:space="preserve">n the United States, the settlement cycle has undergone several changes over the years. The T+5 (trade date plus five business days) settlement cycle was in effect prior to the implementation of shorter settlement cycles.
The move to a T+5 settlement cycle was a result of the time required for paper-based processes and manual handling of securities transactions. As technology advanced and electronic systems became more prevalent, there was a push to reduce the settlement cycle to mitigate risks and enhance efficiency in the financial markets.
The Securities and Exchange Commission (SEC) played a role in driving these changes. In 1993, the SEC adopted Rule 15c6-1, which established the T+3 settlement cycle for most securities transactions in the U.S. This meant that securities transactions needed to be settled within three business days of the trade date.
Subsequently, there were further efforts to shorten the settlement cycle. In September 2017, the SEC announced plans to move to a T+2 settlement cycle for most securities transactions. The T+2 cycle became effective on September 5, 2017, reducing the settlement time from three to two business days.
As of my last knowledge update in January 2022, the T+2 settlement cycle was the standard in the U.S. It's possible that further changes may have occurred since then, and you may want to check the most recent regulatory updates or market practices for the latest information.</t>
      </text>
    </comment>
    <comment authorId="0" ref="A48">
      <text>
        <t xml:space="preserve">The CUSIP number, also known as the Committee on Uniform Securities Identification Procedures number, is a unique nine-character identification number assigned to all stocks (and registered bonds) in the U.S. and Canada. 1 It is used to create a concrete distinction between securities that are traded on public markets.</t>
      </text>
    </comment>
    <comment authorId="0" ref="A49">
      <text>
        <t xml:space="preserve">While increasing liquidity in financial markets is generally considered beneficial and is often a goal for policymakers and market participants, there are situations where excessive liquidity or rapid changes in liquidity can potentially have negative consequences. Here are some considerations:
Market Volatility: An excessive influx of liquidity can contribute to increased market volatility. If there is a sudden surge in liquidity without a corresponding increase in trading activity or market depth, it can lead to more significant price fluctuations.
Asset Bubbles: Excess liquidity can contribute to the formation of asset bubbles, where the prices of certain assets become inflated beyond their intrinsic values. This can create vulnerabilities in the financial system, and when the bubble bursts, it may result in significant market corrections.
Misallocation of Capital: A flood of liquidity can lead to a misallocation of capital, where investments are driven more by the availability of cheap money than by fundamental economic or business considerations. This can distort investment decisions and contribute to economic imbalances.
Speculative Behavior: Increased liquidity may encourage speculative behavior in financial markets. Traders and investors might take on higher levels of risk, assuming that ample liquidity will provide an easy exit strategy. This speculative behavior can contribute to market excesses and instability.
Reduced Price Discovery: Excessive liquidity might mask the true supply and demand dynamics in the market, making it more difficult for prices to accurately reflect fundamental values. This can hinder the price discovery process and impede the efficient allocation of resources.
Unwinding Positions: If liquidity conditions change abruptly, market participants holding illiquid positions may face challenges in unwinding those positions without causing significant price disruptions. This can be a concern during periods of market stress.
Financial Stability Risks: While liquidity is essential for the functioning of financial markets, too much liquidity in the wrong places or at the wrong times can create risks to financial stability. Central banks and regulatory authorities often monitor liquidity conditions to identify potential systemic risks.
It's important to note that the impact of increased liquidity depends on various factors, including the overall economic environment, market conditions, and the specific sources of liquidity. Policymakers aim to strike a balance between providing sufficient liquidity to support market functioning and avoiding the potential negative consequences associated with excessive liquidity. Additionally, the effects of liquidity can vary across different asset classes and markets.</t>
      </text>
    </comment>
    <comment authorId="0" ref="A50">
      <text>
        <t xml:space="preserve">The Depository Trust &amp; Clearing Corporation (DTCC) is a central clearinghouse that provides clearing, settlement, and other post-trade services for a wide range of financial instruments, including equities, fixed income securities, and derivatives. While the DTCC plays a crucial role in mitigating counterparty risk and ensuring the smooth functioning of financial markets, it does not have a direct "volatility component" in the same sense that financial instruments might have volatility measures.
Volatility typically refers to the degree of variation of a trading price series over time. It is often measured using statistical metrics such as standard deviation. The DTCC's primary focus is on the post-trade infrastructure, including trade clearing and settlement, risk management, and the reduction of counterparty risk.
If you're referring to volatility in the context of risk management within the DTCC, it would involve assessing the potential risks associated with market movements and fluctuations in the value of the securities being cleared and settled. The DTCC employs risk management practices to ensure that it can effectively manage and cover any potential losses that may arise due to market volatility.
For specific details about the risk management practices and components within the DTCC, it would be advisable to refer to the DTCC's official documentation, risk management policies, and disclosures. As of my last knowledge update in January 2022, you can find the most accurate and up-to-date information by visiting the DTCC's official website or contacting the DTCC directly.
</t>
      </text>
    </comment>
    <comment authorId="0" ref="A54">
      <text>
        <t xml:space="preserve">Identifying whether a public company has higher revenues due to the issuance of debt requires a careful analysis of the company's financial statements and related disclosures. Here are some steps you can take to assess the impact of debt on a company's revenues:
Review the Income Statement:
Examine the company's income statement (also known as the statement of profit and loss or P&amp;L) over multiple periods.
Look for trends and changes in revenue over time.
Check for Interest Expense:
Identify the interest expense on the income statement. Interest expense is a line item that reflects the cost of servicing debt.
Compare the interest expense to the total revenue. If interest expense is significant relative to revenue, it may indicate a reliance on debt for financing.
Analyze Debt Levels:
Examine the company's balance sheet to understand its debt levels. Look for long-term debt and short-term debt.
Compare the debt levels to equity or other financial metrics to assess the company's leverage.
Check Debt-to-Equity Ratio:
Calculate the debt-to-equity ratio, which is a common financial ratio that compares a company's total debt to its total equity. A higher ratio may suggest higher reliance on debt for financing.
Examine Cash Flow Statements:
Review the cash flow statement to understand how the company is generating cash and using it for debt repayment or interest payments.
Analyze the operating cash flow and free cash flow to see if the company has sufficient cash to cover its debt obligations.
Read Financial Statement Footnotes:
Explore the footnotes to the financial statements. Companies often provide additional information about their debt, including terms, covenants, and maturity dates.
Look for disclosures about the purpose of debt issuance and how the funds were utilized.
Compare Revenue Growth and Debt Issuance:
Compare the timing of debt issuances with periods of revenue growth. If the company issued debt to fund expansion or acquisitions, there may be a correlation between debt issuance and revenue increases.
Assess Use of Proceeds:
Examine the company's filings or announcements related to debt issuances. Companies often specify the intended use of proceeds, such as funding capital expenditures, acquisitions, or refinancing existing debt.
Consider Industry Norms:
Compare the company's debt levels and revenue composition to industry benchmarks. Different industries may have varying norms regarding the use of debt for financing.
It's important to note that the issuance of debt does not directly contribute to higher revenues. However, debt can be used to finance growth initiatives, acquisitions, or working capital needs that may, in turn, lead to higher revenues. Additionally, a careful analysis of the financial statements and related disclosures is essential for a comprehensive understanding of the company's financial health and the role of debt in its capital structure.
</t>
      </text>
    </comment>
    <comment authorId="0" ref="A55">
      <text>
        <t xml:space="preserve">Simple extrapolation algorithms involve extending existing data trends into the future. While these methods are straightforward, it's important to note that they assume the continuation of historical patterns, and their accuracy depends on the stability of those patterns. Here are steps to use simple extrapolation algorithms for forecasting:
Understand the Data:
Review historical data to understand the patterns and trends. Assess the data's seasonality, cyclicality, and any underlying factors that might influence the patterns.
Choose the Extrapolation Method:
Select a simple extrapolation method based on the nature of the data. Common methods include linear extrapolation, exponential extrapolation, or other basic mathematical models.
Linear Extrapolation:
For linear extrapolation, plot the historical data points on a graph and draw a straight line that best fits the data.
Extend the line into the future to predict future values.
Exponential Extrapolation:
If the data exhibits exponential growth or decay, consider using exponential extrapolation.
Fit an exponential curve to the data and extend the curve to forecast future values.
Identify Time Period for Extrapolation:
Determine the time period for which you want to make predictions. Ensure that the chosen period aligns with the assumptions of the extrapolation method.
Calculate Parameters:
For linear extrapolation, calculate the slope and intercept of the line.
For exponential extrapolation, determine the growth rate or decay rate.
Apply the Extrapolation Formula:
Use the parameters obtained to formulate the extrapolation equation.
For linear extrapolation: 
�
=
�
�
+
�
Y=mX+b, where 
�
Y is the predicted value, 
�
m is the slope, 
�
X is the independent variable (time), and 
�
b is the intercept.
For exponential extrapolation: 
�
=
�
∗
�
(
�
�
)
Y=a∗e 
(bX)
 , where 
�
Y is the predicted value, 
�
a is the initial value, 
�
b is the growth rate, 
�
e is the base of the natural logarithm, and 
�
X is the independent variable (time).
Calculate Forecasted Values:
Substitute future time values into the extrapolation equation to calculate forecasted values.
Evaluate and Validate:
Assess the reliability of the forecast by comparing predicted values with actual outcomes.
Validate the extrapolation against new data, if available, to gauge the accuracy of the forecast.
Consider Limitations:
Understand the limitations of simple extrapolation methods. They assume that historical patterns will continue, which may not always be the case.
Extrapolation is sensitive to outliers and can be inaccurate if there are sudden changes or disruptions in the data.
Use Sensitivity Analysis:
Conduct sensitivity analysis to understand how changes in key parameters affect the forecast. This helps gauge the robustness of the predictions.
Keep in mind that simple extrapolation methods are basic and may not capture complex relationships or sudden changes in the data. They are most suitable for situations where historical trends are stable and likely to continue into the forecast period. For more sophisticated forecasting, consider exploring other methods like time series analysis, regression analysis, or machine learning techniques.</t>
      </text>
    </comment>
    <comment authorId="0" ref="A56">
      <text>
        <t xml:space="preserve">Sensitivity analysis is a technique used in various fields, including finance, engineering, and statistics, to assess the impact of changes in input variables on the outcomes of a model, system, or decision. The goal of sensitivity analysis is to understand how variations in specific parameters affect the results and to identify the most influential factors. This analysis helps decision-makers make informed choices and better understand the robustness of their models or systems.
Key aspects of sensitivity analysis include:
Identification of Input Variables:
Identify the key input variables or parameters that have an impact on the model or system being analyzed. These are the factors that may vary or are subject to uncertainty.
Varying Parameters:
Systematically vary the chosen parameters within a specified range or according to different scenarios. This involves changing one or more input variables while keeping others constant.
Observing Output Changes:
Observe and analyze the changes in the model's or system's output or outcomes in response to variations in the input parameters. This may involve assessing changes in performance metrics, financial indicators, or other relevant measures.
Quantifying Sensitivity:
Quantify the sensitivity of the output to changes in each input parameter. This can be done by calculating sensitivity indices, which indicate the degree of influence of each variable on the outcomes.
Ranking Influential Variables:
Rank the input variables based on their impact on the model or system. This ranking helps prioritize factors that significantly contribute to the variability in results.
Scenario Analysis:
Conduct scenario analysis by examining the outcomes under different combinations of input parameter values. This helps understand how various scenarios may affect the overall results.
Risk Assessment:
Assess the potential risks associated with uncertainties in input parameters. Sensitivity analysis provides insights into how changes in key variables may introduce risks or opportunities.
Decision Support:
Use the findings from sensitivity analysis to support decision-making. Decision-makers can make more informed choices by understanding the factors that drive variations in outcomes.
Sensitivity analysis is particularly valuable in situations where there is uncertainty about certain parameters, and it provides a structured approach to exploring the implications of this uncertainty. It is commonly applied in financial modeling, engineering design, project management, and various scientific and analytical fields.
In financial modeling, for example, sensitivity analysis can help assess how changes in interest rates, input costs, or market conditions impact the financial performance of an investment or project. This information is crucial for risk management and strategic decision-making.
</t>
      </text>
    </comment>
    <comment authorId="0" ref="A57">
      <text>
        <t xml:space="preserve">The outside view
considers a problem as an instance of a larger reference class. By knowing the outcomes from the reference
class, or the base rates, an investor can make informed, albeit probabilistic, assessments about what will come
next. This is the goal of quantitative investors and offers insight into how fundamental investors can hone their
ability to recognize patterns.
One example is modeling sales growth, which is usually the most important driver of shareholder value.53 The
distribution of sales growth rates tends to be reasonably stable over time, which means it is feasible to place
growth expectations in the context of what has happened before. Anticipated growth rates relative to the base
rate provide a cue about expectations. Growth that is higher than expected for a company that creates value
leads to attractive total shareholder returns. And expected growth versus actual growth offers feedback.
Sales growth rates show substantial regression toward the mean, which says that results that are far from
average tend to be followed by outcomes closer to the average. In practical terms, both high and low past growth
rates precede growth rates closer to the average for a population of companies. Sales growth rates and how
they regress follow patterns that investors can learn to recognize.
The outcomes from M&amp;A are another example of where pattern recognition may be useful, notwithstanding the
story in the opening. Historically, most M&amp;A deals have failed to create value for the buyer, as measured by
cumulative abnormal stock returns.54 But there are ways to shade the odds in favor of the buyer, including paying
a small premium to acquire the seller, paying for the deal in cash versus stock, and doing deals for businesses
that have operations similar to those of the buyer.55
Observing the distribution of outcomes within a reference class can provide some insight into how difficult it is
to predict patterns. For example, since 1984 the distribution of 10-year sales growth rates for public companies
in the U.S. with $5-10 billion of initial sales follows a distribution that resembles the classic bell curve, with a
mean and median around 4.5 percent and a standard deviation of 8.5 percent.56
But the distribution of book sales follows a power law, where most of the observations have small outcomes and
a few observations have large outcomes.57 For instance, of the 3 million titles offered by booksellers, only a
handful sell more than 1 million copies, about 4,000 new titles sell more than 1,000 in a year, and most sell fewer
than 100.58 Outcomes that follow a power law are generally an indication of a wicked environment, where cause
and effect are unclear and pattern recognition is hard. 
© 2023 Morgan Stanley. All rights reserved. 6144451 Exp. 12/31/2024 9
The main challenge in applying base rates effectively is selecting an appropriate reference class. The guidance
on how to do so tends to be qualitative.59 But training intuition, a precursor to useful pattern recognition, almost
certainly requires having solid data on the relevant base rate. Cues, causality, and feedback are essential.
There is some risk to learning the wrong lessons from an inappropriate reference class, but in our view the
bigger risk is a failure to use base rates in the first place. There are a handful of reasons investors do not use
base rates. To start, decision makers trust the inside view as it centers on their analysis and experience. This
helps explain acquiescence.
Individuals also see their situation as unique and do not perceive that examining related instances provides
insight. Interestingly, most people are better at recognizing when the outside view applies to others than when
it applies to themselves. You can relate to this if you have ever quipped to an acquaintance that their home
renovation project will take longer and cost more than they have bargained for.60
Even in cases when decision makers are willing to use base rates, the data may not be at their fingertips. Few
fundamental investors have studied past measures of corporate performance in sufficient detail to prepare their
minds to anticipate what might happen in the situation they face. Experience does not offer a simple solution
because our memories can capture and retain only a sliver of what has happened.
The bottom line is that fundamental investors can train their ability to recognize patterns under the correct
conditions. Data that provide cues and causality, as well having a basis for timely and accurate feedback, are
fundamental. The efficacy of pattern recognition is context dependent.</t>
      </text>
    </comment>
    <comment authorId="0" ref="A58">
      <text>
        <t xml:space="preserve">Research and Development (R&amp;D) expenses and capital expenditures are two different types of costs that companies incur, and they are treated differently in financial accounting. Here's a brief distinction between the two:
Nature of Expenses:
R&amp;D Expenses: These expenses are associated with the process of researching and developing new products, services, or processes. R&amp;D expenses are typically incurred to discover new knowledge or improve existing products, and they are expensed as incurred on the income statement.
Capital Expenditures: These are investments in long-term assets with the expectation of generating future benefits. Capital expenditures involve acquiring, upgrading, or extending the life of tangible assets such as property, plant, equipment, or intangible assets. They are capitalized (recorded as assets) on the balance sheet and depreciated or amortized over their useful life.
Recognition and Treatment:
R&amp;D Expenses: R&amp;D expenses are recognized on the income statement in the period in which they are incurred. They are considered operating expenses and directly reduce the company's net income for the period.
Capital Expenditures: Capital expenditures are capitalized on the balance sheet as assets. The cost of the asset is allocated over its useful life through depreciation (for tangible assets) or amortization (for intangible assets). This process reflects the consumption of the asset's economic benefits over time.
Financial Reporting:
R&amp;D Expenses: R&amp;D expenses are typically disclosed in the income statement, providing transparency into the company's ongoing investment in innovation and development activities.
Capital Expenditures: Capital expenditures are reported on the balance sheet as assets, and their depreciation or amortization is reflected in the income statement over time. This reflects the allocation of the asset's cost over its useful life.
Decision-Making and Analysis:
R&amp;D Expenses: High R&amp;D expenses may indicate a company's commitment to innovation, but they can also impact short-term profitability. Investors often consider R&amp;D expenditures when evaluating a company's potential for future growth.
Capital Expenditures: Capital expenditures represent investments in the company's infrastructure and capacity for future operations. They are crucial for long-term sustainability and efficiency.
In summary, R&amp;D expenses are incurred in the process of developing new knowledge or improving existing products and are expensed as incurred. Capital expenditures involve long-term investments in assets and are capitalized on the balance sheet, with their costs spread over time through depreciation or amortization.</t>
      </text>
    </comment>
    <comment authorId="0" ref="A61">
      <text>
        <t xml:space="preserve">
Capitalism is an economic and social system characterized by private ownership of the means of production (such as factories, land, and businesses) and the pursuit of profit through market-based exchanges. In a capitalist system, the allocation of resources, production, distribution, and pricing of goods and services are primarily determined by the forces of supply and demand in a free market.
Key features of capitalism include:
Private Property: Capitalism emphasizes the right to private property, allowing individuals or entities to own and control assets, businesses, and resources.
Free Market: The foundation of capitalism is the operation of a free market, where buyers and sellers interact voluntarily without significant government intervention. Prices are determined by supply and demand dynamics, and competition is a driving force.
Profit Motive: The pursuit of profit is a central motivation in capitalism. Individuals and businesses aim to generate revenue in excess of their costs, contributing to economic growth and efficiency.
Competition: Capitalism thrives on competition, which is believed to encourage innovation, efficiency, and the delivery of goods and services that meet the demands of consumers.
Limited Government Intervention: While there may be some degree of government involvement in a capitalist system (e.g., regulation to ensure fair competition and protect consumers), the overall philosophy is often one of limited government intervention in the market.
Freedom of Choice: Capitalism provides individuals with the freedom to make economic choices, including decisions about employment, consumption, and investment. Consumers have the power to choose products and services based on their preferences and needs.
It's important to note that while capitalism has been associated with economic prosperity, innovation, and individual freedom, it also has its critics. Critics argue that capitalism can lead to income inequality, exploitation, and environmental degradation. Various economic systems, including mixed economies that incorporate elements of both capitalism and government intervention, exist around the world. The specific characteristics of capitalism can vary depending on the degree of regulation, social policies, and other factors implemented by a particular country or region.</t>
      </text>
    </comment>
    <comment authorId="0" ref="A62">
      <text>
        <t xml:space="preserve">Yes, the United States is often characterized as having a mixed economy. A mixed economy combines elements of both market capitalism and government intervention. In the U.S., private individuals and businesses are free to engage in market activities, and there is a significant degree of private ownership of resources and means of production. At the same time, the government plays a role in regulating and overseeing economic activities, addressing market failures, and providing certain public goods and services.
Key features of the mixed economy in the United States include:
Private Ownership: Much of the means of production, including businesses and resources, are privately owned.
Market Mechanisms: Market forces of supply and demand play a crucial role in determining prices, allocating resources, and shaping economic decisions.
Government Regulation: The government regulates economic activities to ensure fair competition, protect consumers, and address externalities. Various regulatory agencies oversee sectors such as finance, healthcare, and environmental protection.
Social Safety Nets: The U.S. has social safety nets in the form of programs like Social Security, Medicare, and Medicaid to provide support and assistance to vulnerable populations.
Public Goods and Services: The government provides public goods and services such as defense, infrastructure, and education, which are considered essential for the well-being of society but may not be efficiently provided by the private sector alone.
Fiscal and Monetary Policies: The government uses fiscal policies (taxation and government spending) and monetary policies (controlled by the Federal Reserve) to manage the overall economy, control inflation, and promote stable economic growth.
While the United States is predominantly characterized as a mixed economy, the balance between market forces and government intervention can shift over time based on economic conditions and policy decisions. Different sectors of the economy may also exhibit varying degrees of government involvement. The mixed economy model allows for flexibility in addressing both the strengths and weaknesses associated with purely market-driven or centrally planned economic systems.</t>
      </text>
    </comment>
    <comment authorId="0" ref="A63">
      <text>
        <t xml:space="preserve">
There is no single, universally agreed-upon alternative to capitalism, and people's preferences for economic systems can vary widely. Different individuals, groups, and ideologies propose various alternatives based on their beliefs about social justice, economic equality, and the role of government. Some of the prominent alternatives or critiques proposed include:
Socialism: Socialism is a broad term encompassing various economic and political systems where the means of production are owned or controlled by the community as a whole. This can range from non-market socialism, where central planning plays a significant role, to market socialism, where there is still a role for markets but with a focus on collective or public ownership.
Communism: Communism is a theoretical socio-economic structure in which there is a classless society and the means of production are commonly owned. In a true communist society, there would be no private property, and wealth would be distributed based on need.
Mixed Economy: Many advocate for a mixed economy that combines elements of both capitalism and government intervention. In this model, the government plays a role in regulating markets, addressing inequality, and providing essential services, while still allowing for private enterprise and market mechanisms.
Cooperatives and Worker Ownership: Some propose a shift toward a system where businesses are owned and managed by their workers, often in the form of cooperatives. In such a system, decision-making and profits are shared among the workers, aiming to reduce income inequality.
Resource-Based Economy: The resource-based economy concept envisions an economic system based on the efficient and sustainable use of resources, with a focus on meeting human needs rather than profit. Advocates often emphasize the use of technology and scientific management for resource allocation.
Green Economy: With growing concerns about environmental sustainability, some advocate for an economic system that prioritizes environmental conservation, renewable energy, and sustainable practices. This often involves a significant shift away from fossil fuels and resource-intensive production.
It's important to note that these alternatives can have various interpretations and implementations, and the success or feasibility of any particular system depends on factors such as governance, cultural context, and practical considerations. Additionally, many contemporary discussions focus on refining and improving aspects of capitalism, rather than completely replacing it with an entirely different system. The debate over the optimal economic system is ongoing and reflects diverse perspectives on the role of government, individual rights, and societal values.</t>
      </text>
    </comment>
    <comment authorId="0" ref="A64">
      <text>
        <t xml:space="preserve">Opinions on whether Bitcoin or other cryptocurrencies would do away with capitalism vary widely, and there is no consensus on this matter. Bitcoin, as a decentralized digital currency, operates on a blockchain technology that is not controlled by any central authority, such as a government or financial institution. Proponents of Bitcoin often emphasize its potential to provide financial autonomy, reduce reliance on traditional banking systems, and offer an alternative to fiat currencies.
However, the idea that Bitcoin could do away with capitalism is not widely accepted, and there are several reasons for this:
Complementary Nature: Many see Bitcoin as a complementary asset or financial tool rather than a replacement for traditional economic systems. Bitcoin can coexist with existing economic structures, providing new options for transactions and store of value.
Limited Scope: While Bitcoin has gained popularity as a form of decentralized currency, its current role is limited in comparison to the broader economic system. It is not positioned to address all aspects of economic organization, such as the provision of public goods, regulation of markets, and social safety nets.
Volatility and Speculation: Bitcoin's value is known for its volatility, which can make it a speculative asset rather than a stable medium of exchange. This volatility can limit its utility for everyday transactions and broader economic functions.
Institutional Adoption: Increasingly, traditional financial institutions and corporations are exploring and adopting aspects of blockchain technology and cryptocurrencies. This integration suggests a willingness to incorporate new technologies within existing capitalist frameworks rather than replace them entirely.
Societal and Political Factors: Economic systems are deeply embedded in societal and political structures. Changing or replacing capitalism would require significant shifts in political ideologies, legal systems, and social norms, and it's unlikely to be solely driven by the adoption of a new form of currency.
While Bitcoin and blockchain technology may bring about changes in the financial landscape, discussions about the future of capitalism often involve broader economic, political, and social considerations. Many see cryptocurrencies as part of a larger evolution in the financial system rather than a complete departure from capitalism. As with any technological innovation, the impact of Bitcoin on economic systems will depend on various factors, including regulatory developments, public adoption, and the evolution of the technology itself.</t>
      </text>
    </comment>
    <comment authorId="0" ref="A65">
      <text>
        <t xml:space="preserve">Financial autonomy refers to the ability of individuals or entities to have control and independence over their financial decisions and resources. It implies the freedom to manage one's own financial affairs without being excessively constrained or influenced by external factors. Financial autonomy encompasses various aspects of personal or organizational finance, including income, spending, investment, and overall financial planning.
Key components of financial autonomy include:
Income Generation: Financial autonomy begins with the ability to generate income. Individuals who have control over their sources of income, whether through employment, entrepreneurship, investments, or other means, have a greater degree of financial autonomy.
Spending and Budgeting: Being financially autonomous involves the ability to make decisions about how to allocate funds for spending. This includes budgeting for necessities, discretionary expenses, savings, and investments based on personal priorities and goals.
Investment Choices: Financial autonomy allows individuals to decide how to invest their money. This may involve choosing specific investment vehicles, such as stocks, bonds, real estate, or other assets, based on individual risk tolerance, financial goals, and preferences.
Debt Management: Those with financial autonomy have control over their debt and borrowing decisions. They can make informed choices about taking on debt, managing existing liabilities, and developing strategies for debt repayment.
Financial Planning: Financial autonomy involves the ability to engage in long-term financial planning. This includes setting goals, creating strategies for achieving those goals, and adapting financial plans as circumstances change.
Financial Education: Being financially autonomous is often linked to financial literacy. Individuals who are well-informed about financial concepts, markets, and strategies are better equipped to make sound financial decisions.
Independence from External Influence: Financial autonomy implies a certain degree of independence from external influences, such as undue pressure from family, friends, or societal expectations. It involves making decisions that align with one's own values, goals, and circumstances.
Achieving financial autonomy is a goal for many individuals, as it provides a sense of empowerment and control over one's economic well-being. It's important to note that financial autonomy does not necessarily mean complete isolation from external factors or financial interdependence with others. It can coexist with collaborative financial arrangements, partnerships, and community support. Ultimately, financial autonomy is about having the ability to make informed and independent financial choices that align with personal or organizational objectives.</t>
      </text>
    </comment>
    <comment authorId="0" ref="A70">
      <text>
        <t xml:space="preserve">If you’re acquiring an entire company, there are basically eight different ways to determine the price you’re willing to pay. In alphabetical order:
You could do a comparison analysis (or precedent transaction analysis) by looking at recent acquisitions of similar companies and comparing those to this one.
You could use the discounted cash flow method, which is derived from investment valuation as outlined above, and about which I’ll write more below.
If it’s a public company, you could simply value it at its current enterprise value (though you’d want to adjust that upwards a little, considering the effect of a takeover offer on the stock’s price). This is basically the sum of the market value of the company and its debt, minus any cash it has on hand. In this case, the current price of the stock is an important factor in determining a value for the company.
You could do a leveraged buyout (LBO) analysis. The factors here are the required return for the financial sponsor and the appropriate debt-to-equity ratio.
You could ascertain its liquidation value. (This is not the same as the company’s book value, as it is the sum of the market value of its assets.)
You could do multiples analysis, in which you look at the P/E, P/S, and so on of comparable companies to determine a reasonable valuation.
You could try to calculate its replication value by estimating the amount of cash you’d need to build the company from the ground up.
And then there’s the strategy-based valuation: what difference will acquiring this company make to your business strategy? How much do you want to pay for it in order to transform your business? If it’s a competitor, you might be willing to pay a lot for it in order to decrease competition.
Ideally, most acquirers will combine more than one of these methods. But all acquirers of public companies are also going to take into consideration the market value of the company’s equity, or else they’ll never get the deal approved by the shareholders.</t>
      </text>
    </comment>
    <comment authorId="0" ref="A71">
      <text>
        <t xml:space="preserve">Many dozens of factors drive changes in investor expectations. These are often called value drivers.
If you look at what could change a company’s intrinsic value, the most obvious thing is free cash flow. Anything conducive to increasing operating cash flow or reducing maintenance capital expenditures over the very long haul is therefore a value driver.
Reducing a company’s cost of capital will also drive value, and the easiest way for a company to do this is through share buybacks. (Increasing debt will also drive value if you look purely at intrinsic value, since it also decreases the cost of capital. But at the same time it significantly increases the company’s current enterprise value, thereby reducing its discount to intrinsic value.)
Obviously, increasing revenue will drive value, and most companies are focused on that as their primary goal. But revenue allocation involves a host of strategic decisions, many of which will end up destroying rather than driving value.</t>
      </text>
    </comment>
    <comment authorId="0" ref="A76">
      <text>
        <t xml:space="preserve">attempts to outline the hallmarks of accurate forecasters by examining participants in a four-year forecasting tournament, in which participants had to forecast close to five hundred geopolitical questions. He found that two kinds of errors were prevalent: under-reaction to new evidence, usually because of anchoring or confirmation bias (your natural propensity to look for facts that confirm your beliefs); and over-reaction, which is caused by “base-rate neglect” (your natural tendency to base your probability estimate on a very specific situation and to ignore the more general instances of the same case). “The most accurate forecasters,” Tetlock found, “made frequent, small updates, while less accurate ones persisted with original judgments or made infrequent, large revisions.” These accurate forecasters were intelligent, open-minded, fluid in their beliefs, and adhered to the principles of probability. “A pattern of frequent, small belief revisions,” Tetlock concluded, “appears effective in identifying skilled forecasters in uncertain real-world settings.”</t>
      </text>
    </comment>
    <comment authorId="0" ref="A77">
      <text>
        <t xml:space="preserve">Fidelity’s Tillinghast: How He Beats the Market
By Leslie P. Norton
Joel Tillinghast, who runs the $38 billion Fidelity Low-Priced Stock fund, owns one of today’s best investment records. The fund (ticker: FLPSX) has beaten not only its Russell 2000 benchmark, but also the Standard &amp; Poor’s 500 over the short and long haul since Tillinghast began managing it 26 years ago. Under him, it has returned 13.7% a year, on average, versus 9.3% for the S&amp;P 500 and 8.9% for the Russell. The Rhode Island native counts as distant relations the abolitionist Julia Ward Howe and Stephen Douglas, who debated Abraham Lincoln. He has an encyclopedic recall of facts about the 900 companies Low-Priced Stock owns (more than any other fund at Fidelity), as well as those he once owned, passed up, or might own in the future. In a rare interview, the 57-year-old portfolio chief mused on why the $35 price level is important, discussed his outlook for value stocks and energy, and updated us on some of his holdings and on his long-awaited book about investing.
Barron’s: What is Fidelity Low-Priced Stock? I hear that you buy stocks only below $35, but your largest position is UnitedHealth Group [UNH], which trades at $121.
image
“If it’s a really great company, I’m going to [buy] it—even though it’s tiny, even if it’s difficult.“ ILLUSTRATION: PHOTO: SHAWN HENRY FOR BARRON'S
Tillinghast: As part of the fund charter, I stick to stocks priced under $35. I cannot buy more UnitedHealth. I can sell it, but I can’t buy it. I’m looking for a highly visible discount to fair value, say, a low price/earnings multiple with highly visible earnings, and management that is skilled and honest. I want managers who are highly committed to their company; having large stock ownership is critical. Then I’m looking for proof that the assumptions they use to get to my estimate of value are believable. If it has a low-ish P/E, it probably has a good head start and it’s worth researching. Companies like UnitedHealth have higher P/Es, but might still be undervalued, though it takes more analysis.
Why $35, which seems arbitrary?
The original idea was that low-priced stocks weren’t well-followed by Wall Street. They were also an indicator of speculative activity, which didn’t do much for me. But Fidelity has a tremendous global research staff and the ability to research stocks that aren’t well-followed. Also, $35 is just above the average price of stocks listed on the New York Stock Exchange; the median is $18. So even though the limit was once $15, and then $25, it will not be increased from $35 because that now is the average price. Then it would no longer be “low-priced,” and we would have to rename the fund.
How many companies trade under $35?
In the U.S., according to FactSet, 4,836 companies trade between $35 and a dollar. If it’s a really great company, I’m going to [buy] it—even though it’s tiny, even if it’s difficult. I’d rather have a tiny, but outstanding, stock than ignore it. I bought Monster Beverage [MNST] when its market cap was $35 million or so. Right now, I’m buying a $100 million food producer. It’s about a 14 P/E, on the theme of fresh and healthy; the balance sheet is good, the founders still own a decent chunk. Our compliance office would object to me saying much more. Economists say that people overpay for lottery tickets. The lousy thing is that the sponsor takes a cut, so if you buy all the lottery tickets, you lose money. If there were a lottery where the value exceeded the price of all the lottery tickets, that’s exposing yourself to luck. That’s what I try to find. I don’t want the thrill of the big upside. I’m interested in situations where, if you buy 10 of them, you will probably outperform.
You had lots of cash recently. Did you put it to work?
It’s at about 9%, so it did come down, from probably about 11% last year. The official figure will be in the semiannual report. There was a lot of opportunity in January and February. In the past year or two, I have gone from being a little standoffish about small stocks to thinking that there are a decent number of opportunities, but they are still not abundant. With corporate profit margins high, and the unemployment rate low, my expectations for Standard &amp; Poor’s 500 earnings growth are quite moderate. P/Es are still higher than average, especially if you consider a longer time series, so there’s a risk of mean-reversion. That said, investors have to choose from what is open to them today. It is difficult to find true North when none of the holders of the largest low-risk asset [U.S. Treasury bonds] are holding to earn an adequate rate of return; they’re all holding for policy, regulatory, or speculative reasons.
Anyway, there were stocks like Fossil Group [FOSL], which I owned from when it was below $35, which almost got as high as $140 and fell back to $28, which ironically also mirrored the price of oil. On trailing earnings, it was a single-digit P/E, and the Kartsotis family owns a lot of stock. Fossil has a unique and attractive position in the watch market, whether or not people need watches. They got into wearables with a controversial acquisition of Misfit last year. Management is adaptive and creative and will find whatever opportunity there is.
What else do you like that’s fallen below $35?
GNC Holdings [GNC]. It has evergreen products and a lot of faddish ones. The CEO, Mike Archbold, did great things at AutoZone [AZO] and Vitamin Shoppe [VSI] and will do good things again. The company has a 10 P/E and is a leader in its category. For sports fitness, I don’t think weightlifters or others buying supplements want to buy at Wal-Mart Stores [WMT] or CVS Health [CVS]; they prefer a staff that knows a bit about those supplements.
image
About 35% of your fund is in foreign stocks, mainly in the U.K. and Japan. Does the Brexit vote matter to you, or the fact that Japan has tipped back into recession?
If the U.K. leaves the euro zone, and sterling went down, the cost of goods bought in dollars or euros would go up. It’s a bad idea, but as the U.S. election shows, what I think is a bad idea sometimes happens. My approach to cycles is to pay less attention to the statistics, but to have a general notion of where we are in the cycle, and what that means for valuations. Japan is in moderate recession, confirmed when I visited Tokyo last month. But if you’re buying a stock at 10 times normal earnings, and those normal earnings included some recession years, I’m not so worried. In Japan, there are still a lot of cheap companies with great balance sheets. In the U.K., I got excited about a specialty retailer that’s a leader in its category, and a restaurant chain.
You’ve been investing through a few years of redemptions. How do you choose what to sell?
This is part of why our cash position has been high, because I don’t want to be forced to sell at a particularly bad time to meet redemptions. I look at my holdings and ask, “What’s most expensive on P/E, with great uncertainty about the outlook, that doesn’t have much growth, with managements who are crooks or idiots?” One of those alone isn’t a trigger by itself, but if there are a combination of failures? During periods of opportunity like January and February, I have to sort out the best opportunities available to me, as well as the worst, and do both at once. It’s tough.
Years ago, you were Fidelity’s energy analyst. What is your view on the sector? Your fund has raised its exposure to Neutral from Underweight.
It is tough with energy. They don’t have current earnings now, it’s not clear what growth is, there’s high uncertainty, and because of all of that, a lot of management seems second-rate, although they looked great at the top. This is brutally tough for a value investor. I don’t have high confidence, because [the managers] have no idea where the price of oil will be. It means they don’t really know the value of their assets. The bull case, which I’m not sure I believe, is that shale oil is a fast cycle, you can bring on or shut down shale production very quickly, unlike offshore projects with a continuous stream of oil for 10 or 15 years. So banks are calling loans, reducing lending, saying that if the oil price comes back, we’ll think again about funding [shale]. But on long life-cycle projects, lenders might say we will continue to fund because that payoff is coming in many years and won’t happen unless we invest now.
In the bull case, the drop-off in shale production happens pretty quickly, which will tighten the market more quickly than in the 1980s, in which the recovery dragged on. The bear case is you have lots of long-cycle oil production still coming on in places like Brazil. Because of this uncertainty, I have an index-like weighting. I just don’t know. At some point, energy and mining stocks will be a buy. [Tillinghast’s largest energy-related holdings are DCC (DCC.London), Murphy Oil (MUR), ENI (ENI.Italy), Tesoro (TSO), and World Fuel Services (INT).]
Are conditions improving for value investing?
It sure looked like it in January and February. For a sustained outperformance of value, you need more dispersion in valuations. We saw Fossil at $140, Fossil at $28. You also saw a tale of really expensive growth stocks, through year end. When everything is priced the same, it’s lousy for value investors and for active managers in general. Then growth outperforms, because you want the company growing the most with the highest predictability. Now we see more dispersion, more extreme valuations. That is helpful to value investors. If you can get the same fantastic story at 15 times earnings, compared with when it was at 30 times earnings, you won’t despise that.
What remains attractive?
Anthem [ANTM] is a managed-care company generating a lot of free cash flow. I bought in 2004 when it was WellPoint, but didn’t buy in size until years later. It’s about 15 times earnings. They have proposed a merger with Cigna [CI], which needs to be approved. They are renegotiating prices with their PBM [pharmacy benefit manager], Express Scripts Holdings [ESRX], which they believe was overcharging them. That could give them some upside or a settlement. I can’t reveal if we are buying any shares.
You like the prospects for Keysight (KEYS), don’t you?
Keysight Technologies was a spinoff from Agilent Technologies [A]. They are also a testing-equipment company, a slow-growth category. It has good barriers to entry, about a 9 P/E, with a good balance sheet and good cash generation. Keysight can improve its profitability as a stand-alone company and might possibly be an interesting acquisition. Oftentimes, the second part of the story to spinoffs is that they get reacquired. It might be, by another instrument company. Keysight trades at $26 and is earning not quite $3. On a quarter-to-quarter basis, growth looks a little volatile, but less so on a yearly basis.
I also like Bed Bath &amp; Beyond [BBBY], which generates huge amounts of free cash. I bought it in 2006. The number of shares outstanding has come down dramatically. They’ve lagged in updating their Web presence, and younger people are more comfortable buying stuff sight unseen. On the other hand, there is still an advantage to seeing something and being able to immediately redecorate your home, and they are the leading store in that category. The stock is just too cheap at 10 times earnings. A fairer valuation, using a discounted cash flow with a cost of equity at about 8%, would be closer to $65. [The stock fetched $49 last week.]
Tell us about the investment book you are writing.
It is plugging ahead slowly. The first section is about psychology: You don’t want to be too emotional. The second is about the limits of knowledge: Stay away from industries and countries that you don’t understand. The third is to stay away from managers who are not honest and capable. You can spot bad guys by aggressive accounting, huge asset growth, overpromising, and underdelivering. The fourth is that different industries have different longevities: Choose those with resilience and durability, not those with no barriers to entry or that rely too much on capital markets. Fifth and last: Don’t pay too much.
The perfect investment will have high current income, a low P/E, or a high free-cash yield, some growth. It would be resilient and not go bust in the next 50 years. That’s how the book ends.</t>
      </text>
    </comment>
    <comment authorId="0" ref="A78">
      <text>
        <t xml:space="preserve">I would suggest that the most important values are, in order of importance, the current fiscal year’s estimate, the next twelve months’ estimate, the trailing twelve months’ GAAP figures, and the most recent quarter’s GAAP figures. But a lot depends on your holding period. If you’re a buy-and-hold investor, looking at the most recent quarter will simply result in a lot of churn. If you tend to rebalance more frequently, as I do (I rarely hold a stock more than a year), then the most recent quarter can provide some good guidance.</t>
      </text>
    </comment>
    <comment authorId="0" ref="A99">
      <text>
        <t xml:space="preserve">
Understanding the difference between accuracy and precision is crucial, especially in fields where measurements and data are fundamental, such as science, engineering, and statistics. Here's why it's important:
Clarity in Communication: Knowing the distinction between accuracy and precision helps in clear communication. Accuracy refers to how close a measurement is to the true value, while precision refers to how consistent measurements are when repeated. Being able to differentiate between the two terms ensures that ideas and findings are communicated accurately.
Quality Control: In manufacturing and production processes, it's essential to maintain both accuracy and precision. Accuracy ensures that the product meets the required specifications or standards, while precision ensures that the manufacturing process is consistent and reliable. Understanding these concepts helps in setting quality control measures.
Data Interpretation: In scientific research, accurate and precise measurements are vital for drawing valid conclusions. If measurements are precise but not accurate, or accurate but not precise, it can lead to incorrect interpretations of data. For instance, precise but inaccurate measurements may give a false sense of confidence in the results.
Error Analysis: Understanding the difference between accuracy and precision aids in error analysis. By knowing whether errors stem from inaccuracies (bias) or lack of precision (random variation), researchers can better identify and address the sources of error in their experiments or measurements.
Optimization: In various fields, such as engineering and economics, optimizing processes often involves balancing accuracy and precision. Sometimes, increasing precision may come at the cost of accuracy, and vice versa. Knowing the trade-offs between these two parameters helps in making informed decisions to achieve the desired outcome.
In summary, distinguishing between accuracy and precision is essential for effective communication, maintaining quality standards, ensuring data integrity, conducting error analysis, and optimizing processes across various disciplines.</t>
      </text>
    </comment>
    <comment authorId="0" ref="A101">
      <text>
        <t xml:space="preserve">If the Federal Reserve is not tight enough, it means that monetary policy is too accommodative, and there is excessive liquidity in the financial system. Some conditions that might indicate the Federal Reserve is not tight enough include:
High Inflation: If inflation is rising significantly above the Fed's target rate, it suggests that monetary policy might be too loose. Inflation erodes the purchasing power of money and can indicate that there is too much money chasing too few goods.
Asset Price Bubbles: Excessive liquidity can lead to asset price bubbles in financial markets, such as stocks, real estate, or bonds. If asset prices are significantly inflated, it may indicate that monetary policy is not tight enough.
Low Interest Rates: Persistently low interest rates can signal that monetary policy is too accommodative. Low borrowing costs encourage excessive risk-taking and can fuel asset bubbles.
Strong Economic Growth: While strong economic growth is generally positive, if it exceeds the economy's potential output, it can lead to overheating and inflationary pressures. In such cases, the Federal Reserve might need to tighten monetary policy to prevent inflation from accelerating.
Excessive Credit Growth: Rapid growth in credit and lending can be a sign that monetary policy is too loose. Excessive credit expansion can fuel speculative activity and increase financial instability.
Weak Currency: If the value of the currency declines significantly, it can be an indication that monetary policy is not tight enough. A weakening currency can contribute to inflationary pressures by increasing the cost of imported goods.
When these conditions persist, the Federal Reserve typically responds by implementing tighter monetary policy measures, such as raising interest rates, reducing the money supply, or implementing regulatory measures to control credit growth.
	-Brandon Hardison</t>
      </text>
    </comment>
    <comment authorId="0" ref="A92">
      <text>
        <t xml:space="preserve">Predicting one-year EPS growth
Here are the five factors most predictive of EPS growth:
High analyst estimates. Estimates for the current fiscal year compared to last fiscal year, the current quarter compared to the same quarter last year, the next quarter compared to the same quarter last year, and so on are good harbingers of future growth. (Comparing next fiscal year’s estimates to the current fiscal year’s estimates, however, is relatively useless.)
Strong momentum. Investors are almost as good at predicting growth as analysts are. Any momentum measure ranging from six months to twelve months will work, and weighting by volume will give an extra boost.
High P/E. It’s well known that P/E correlates well with earnings growth, and it makes perfect financial sense. The higher the P/E, the higher you should expect the company’s growth to be.
Low ROA, ROE, and net profit margin. Companies with low returns or profit margins are more likely to experience high growth than companies with high returns or profit margins, and companies with high returns or profit margins are more likely to experience low growth. Why? Because these ratios compare earnings with the stuff that drives those earnings (assets, investment, and sales). A company with low earnings but high sales is going to grow its earnings faster than a company with high earnings and low sales. It’s regression to the mean at work.
Low accruals. Companies with low accruals are more likely to experience high growth than companies with high accruals—if you measure accruals by the ratio of net income less operating cash flow to total assets or to the absolute value of net income. Companies with low accruals are companies with low earnings when compared to operating cash flow and assets, and those companies are likely to see an increase in earnings.
https://blog.portfolio123.com/predicting-stock-growth/
a factor not predictive of EPS growth is past EPS growth, using any measure you choose (TTM EPS growth is a strong neg indicat of future EPS growth)
	-Brandon Hardison
Predicting one-year free cash flow growth
Mean reversion dominates here. Of every single factor I tested, with one exception (which I’ll get to below), the only ones that worked were those that measured free cash flow in the recent past, and all of them were negative indicators of future free cash flow (in other words, stocks with high free cash flow now should expect low growth and stocks with low free cash flow now should expect high growth). The strongest negative indicators were unlevered free cash flow to enterprise value and free cash flow to market cap. But just about anything that indicates strong free cash flow or operating cash flow will work as a negative indicator: low accruals, good free cash flow margin, strong operating cash flow to assets, strong cash flow return on invested capital, decrease in current operating working capital, and so on. Even free cash flow growth over the prior year is a pretty good negative indicator of future free cash flow growth. The principle is clear: the best way to predict free cash flow growth is to compare recent free cash flow with another thing and bet on those stocks with the worst numbers. No other factor I examined came close to this kind of predictability.
The one exception is, as one might expect, free cash flow estimates, particularly the current year’s estimate compared to last year’s number. But this was not nearly as predictive as the negative indicators I described above.
Here are a few other things that are very slightly predictive of free cash flow growth, though the correlations are so low that I hesitate to mention them: EPS estimates; operating income growth if measured from the current quarter back to the same quarter last year; consistent sales growth, as measured by the number of quarters over the last four years in which sales were higher than the same quarter the previous year; and asset turnover.
	-Brandon Hardison
Predicting one-year EBITDA growth
Here are the five factors most predictive of EBITDA growth:
High EBITDA estimates. The estimate of the current year’s EBITDA compared to last year’s EBITDA is a good indicator; somewhat weaker, but still valuable, is next year’s EBITDA estimate compared to this year’s.
High EPS estimates. In particular, the current quarter’s and next quarter’s EPS estimates compared to the same quarters last year, and the current fiscal year’s estimate compared to last fiscal year’s.
Strong recent EBIT or EBITDA growth. In particular, the current quarter’s numbers compared to the same quarter last year.
Strong price momentum. Especially volume-weighted momentum. Also check out how close the stock is to its ten-month high, and look at six-month price momentum.
High sales estimates. Comparing the sales estimate for the current fiscal year to that of the previous fiscal year is also a good predictor of EBITDA growth.
	-Brandon Hardison
Predicting five-year (long-term) growth
The results here aren’t terribly different from those for one-year growth.
For EPS, the five most potent factors are:
Strong analyst estimates (especially current fiscal year’s EPS compared to last year’s and next fiscal year’s compared to current).
High P/E.
Low net profit margin.
Low ROA.
Low percentage operating accruals (i.e. take net income, subtract operating cash flow, and then divide by the absolute value of net income).
For sales, the five most potent factors are:
High recent sales growth.
High sales estimates.
High price-to-sales.
High asset growth.
High EV to research-adjusted assets.
For free cash flow, the five most potent factors are:
Low unlevered free cash flow to enterprise value.
Low free cash flow to price.
Low free cash flow to assets.
Low free cash flow margin.
Low CROIC (cash flow return on invested capital).
For EBITDA, the most potent factors are:
Low EBITDA/EV ratio.
Strong analyst EBITDA estimates.
Low earnings yield.
Low operating profits yield (EBITDA minus interest expense divided by market cap).
High estimated sales growth.
Note that with the significant exception of sales growth, past growth was not particularly predictive of future long-term growth.
	-Brandon Hardison
How can we use these results?
One way is to use them to estimate growth for an intrinsic value calculation.
But if you simply want to invest in strong growth stocks in general, I suggest you heed the following six counsels:
Pay attention to analyst estimates. Compare them to actuals or to GAAP numbers for the recent quarters and fiscal years.
Try to calculate intrinsic value rather than using value ratios. Intrinsic value calculations always take growth into account. Comparative value calculations usually don’t. If you don’t want to calculate intrinsic value, use forward earnings yield (but not forward price-to-sales), PEG-like ratios, and R&amp;D to market cap. If you’re looking for growth, avoid stocks with low price-to-sales and EV-based ratios.
Consider price momentum. For best results, use six-to-twelve-month numbers.
Pay attention to the most recent earnings report. Does it show a lot of growth in sales or operating income compared to the same quarter last year? If so, that’s a good indicator that things are going well.
Look at ROA, net profit margins, and an increase in operating cash flow as negative indicators. Remember that stocks with strong earnings and cash flow growth in the near future may well have very low profitability numbers at the moment.
Never mistake past growth for future growth. Except in the case of sales growth, they have very little to do with each other.
Lastly, keep in mind that a company’s growth prospects are usually already reflected in a stock’s price, as I’ve shown with the momentum and valuation measures discussed above. I make it a rule never to invest in a stock unless I think it’s at least somewhat underpriced, no matter how strong its growth prospects may be. Growth, despite its promise, is not the be-all and end-all of investing.
	-Brandon Hardison</t>
      </text>
    </comment>
    <comment authorId="0" ref="A91">
      <text>
        <t xml:space="preserve">Strong earnings growth. Every company has periods during which earnings are improving. It’s a good idea to ride that wave. I’ll break earnings growth down into the six components I examine: a) compare the most recent quarter’s operating income to the same quarter last year; b) compare the most recent quarter’s net income, adjusted for special items, to the same quarter last year; c) compare the current fiscal year’s EPS estimate to last fiscal year’s GAAP EPS, adjusted for special items; d) compare the most recent fiscal year’s net income, adjusted for special items, to the previous year’s; e) compare the estimate for next quarter’s EPS to the GAAP EPS of the same quarter last year, adjusted for special items; and f) count the number of quarters out of the last six in which the EPS was higher than the same quarter the previous year.
Low share turnover. Share turnover is basically volume divided by shares outstanding. I wrote a long article that explains why this measure is so important. I use both a one-year and a three-month measure.
Low volume. The lower, the better, within limits. You want to favor stocks that are essentially flying under most people’s radars. But don’t buy stocks whose volume is so low that buying them will result in major market impact.
Strong analyst sentiment. There are a lot of ways to measure sentiment, but I use a ranking system that Portfolio123 developed many years ago. It includes measures of analyst EPS revisions, EPS surprises, and recommendations. There are plenty of other sentiment measures that you can throw into the hopper: they can’t hurt.
High earnings yield. I favor looking at the current fiscal year’s EPS estimate divided by the price, but I’ll also look at the next twelve months’ EPS estimates and the actual EPS of recent quarters.
Low market cap. I favor small companies for both going long and going short: they’re the ones with the most potential to grow—and the most potential to collapse—and their performance tends to be less affected
	-Brandon Hardison
High price volatility. Stocks with huge ups and downs in price are good stocks to bet against.
Low market cap. See above.
Unstable sales. I look at the standard deviation of sales over the last twelve quarters divided by their average. Companies whose sales are going up and down a lot are good companies to bet against.
High net operating assets. Stocks with a high ratio of net operating assets to total assets have very little cash on hand and might plummet if there’s the least sign of trouble. I’ve written about this measure in “My favorite balance sheet ratio“.
High share turnover. See “Low share turnover” above.
Terrible momentum. I look at the relationship of the price of the stock a month ago to its price six, nine, and twelve months ago, and also to its 52-week high. If those ratios are low, the stock has a lot going against it.
Divergent or unstable fixed-asset turnover. Take the ratio of fixed assets (gross PP&amp;E) to sales and compare it to both a) the industry median and b) the same ratio last year. The higher the differences, the more horrible the situation you’re looking at. Companies with fixed-asset-turnovers that are far from the industry median either have too much invested in their fixed assets and low sales, or sales that are relatively unsustained by their fixed assets. And companies whose ratio changes radically from year to year are inherently unstable.
Sales deceleration. See “Sales acceleration” above.
Low industry group momentum. If the industry group (or subsector) the company belongs in is doing badly, it’ll help you in terms of shorting the stocks in that industry.
Low cash flow to enterprise value. See “High cash flow to enterprise value” above.
	-Brandon Hardison
https://blog.portfolio123.com/my-top-ten-factors-for-going-long-and-for-going-short/
	-Brandon Hardison</t>
      </text>
    </comment>
    <comment authorId="0" ref="A90">
      <text>
        <t xml:space="preserve">https://www.morganstanley.com/im/publication/insights/articles/article_increasingreturns.pdf?1706836122105
	-Brandon Hardison</t>
      </text>
    </comment>
    <comment authorId="0" ref="A88">
      <text>
        <t xml:space="preserve">Top 10 Types of Financial Models
Three-Statement Model
Discounted Cash Flow (DCF) Model
Merger Model (M&amp;A)
Initial Public Offering (IPO) Model
Leveraged Buyout (LBO) Model
Sum of the Parts Model
Consolidation Model
Budget Model
Forecasting Model
Option Pricing Model
https://corporatefinanceinstitute.com/resources/financial-modeling/types-of-financial-models/
	-Brandon Hardison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Express XML in the DataWeave (dw) Format</t>
      </text>
    </comment>
    <comment authorId="0" ref="A4">
      <text>
        <t xml:space="preserve">Express XML in the DataWeave (dw) Format</t>
      </text>
    </comment>
    <comment authorId="0" ref="A9">
      <text>
        <t xml:space="preserve">Hard skills and soft skills are two different types of skills that individuals possess, each with its own characteristics and importance in the workplace:
Hard Skills:
Tangible and Teachable: Hard skills are specific, measurable abilities that can typically be acquired through formal education, training programs, or on-the-job experience.
Technical Expertise: They often revolve around technical knowledge, tools, techniques, and processes relevant to a particular job or industry.
Examples: Programming languages, data analysis, accounting, engineering, proficiency in using specific software or machinery, foreign language proficiency, and certifications.
Soft Skills:
Interpersonal and Behavioral: Soft skills, also known as people skills or interpersonal skills, are less tangible qualities related to how individuals interact with others and navigate their professional and personal lives.
Communication and Emotional Intelligence: Soft skills encompass abilities such as communication, empathy, adaptability, teamwork, leadership, problem-solving, time management, and conflict resolution.
Examples: Communication (verbal and written), teamwork, leadership, adaptability, creativity, emotional intelligence, problem-solving, critical thinking, and conflict resolution.
While hard skills are crucial for performing technical tasks and duties specific to a job, soft skills are equally important for success in the workplace. Employers often seek a balance of both hard and soft skills in their employees, recognizing that technical proficiency alone may not suffice for effective performance and collaboration within teams and across various roles. Moreover, soft skills are often transferable and can be valuable in diverse professional and personal contexts.
</t>
      </text>
    </comment>
    <comment authorId="0" ref="A13">
      <text>
        <t xml:space="preserve">Enterprise resource planning (ERP) refers to a type of software that organizations use to manage day-to-day business activities such as accounting, procurement, project management, risk management and compliance, and supply chain operations. A complete ERP suite also includes enterprise performance management, software that helps plan, budget, predict, and report on an organization’s financial results.
ERP systems tie together a multitude of business processes and enable the flow of data between them. By collecting an organization’s shared transactional data from multiple sources, ERP systems eliminate data duplication and provide data integrity with a single source of truth.
Today, ERP systems are critical for managing thousands of businesses of all sizes and in all industries. To these companies, ERP is as indispensable as the electricity that keeps the lights on.</t>
      </text>
    </comment>
    <comment authorId="0" ref="C1">
      <text>
        <t xml:space="preserve">https://www.linkedin.com/advice/0/how-can-you-parallelize-predictive-modeling-big-xnx6c?trk=cah2
	-Brandon Hardison</t>
      </text>
    </comment>
    <comment authorId="0" ref="I5">
      <text>
        <t xml:space="preserve">Feature Selection involves using statistical methods like correlation analysis and feature importance to retain only the most pertinent features. Principal Component Analysis (PCA) reduces dimensions while maintaining data variance, minimizing redundancy. Recursive Feature Elimination (RFE) iteratively refines the feature set by ranking importance and eliminating less critical ones, optimizing model performance and efficiency by focusing on the most impactful data aspects. These techniques not only streamline the modeling process but also enhance model interpretability and accuracy by eliminating noise and unnecessary information.
	-Brandon Hardison</t>
      </text>
    </comment>
    <comment authorId="0" ref="I4">
      <text>
        <t xml:space="preserve">In data wrangling and cleaning, it is important to evaluate the impact of removing irrelevant or redundant features on the quality and performance of the data or model. You can use various methods and metrics to assess this impact, such as data quality and model performance. Data quality measures the degree to which the data meets the requirements and expectations of the analysis or model. You can use methods such as summary statistics, data profiling, data auditing, and data cleansing to measure and improve it. Model performance evaluates the degree to which the model achieves desired results and objectives. Cross-validation, grid search, and learning curves are some of the methods used to measure and optimize it. It is essential to consider the impact of feature removal on data quality and model performance in order to ensure efficiency, accuracy, interpretability, and generalizability of your project.
	-Brandon Hardison
Focus on the following:
Metrics: Compare model performance metrics before and after removal.
Cross-Validation: Check robustness using cross-validation.
Feature Importance: Assess rankings with feature importance analysis.
Model Complexity: Consider how removal affects model simplicity and generalization.
Efficiency: Evaluate computational efficiency gains.
Visualizations: Use plots to observe feature relationships and data distribution changes.
Domain Expertise: Consult experts for insights on feature relevance.
A/B Testing: Conduct real-world tests for practical performance.
Statistical Tests: Apply tests to verify significant improvements.
Data Quality Check: Ensure removal doesn't compromise overall data integrity.
	-Brandon Hardison</t>
      </text>
    </comment>
    <comment authorId="0" ref="I3">
      <text>
        <t xml:space="preserve">Feature selection helps remove irrelevant or redundant data by selecting a subset of informative features. It uses three main approaches: filter methods score features individually based on characteristics like correlation or variance, wrapper methods evaluate subsets of features based on their impact on a chosen machine learning algorithm's performance, and embedded methods integrate feature selection within the model training process itself. Choosing the best method depends on your specific data, desired outcome, and available resources, with experimenting across different techniques often recommended.
	-Brandon Hardison
A quick way to identify redundant features is to run a correlation matrix on the data. In the original example, customer's height in centimeters and in inches would be perfectly positively correlated, signaling that one of the features could be removed.
	-Brandon Hardison
Right after cleaning the data, I prefer to do a quick descriptives computation for all variables present in the dataset. For continuous variables, getting the summary statistics (minimum, quartiles, average etc.) are helpful. Otherwise, skewness also helps in seeing how well (or not) is the data distributed. For categorical variables, seeing frequencies of each category is helpful to determine if they are adding value. I also strongly contest that a domain expert is always helpful to team up with, while working on feature selection/reduction. In fact, having them involved while creating the data itself is helpful.
	-Brandon Hardison</t>
      </text>
    </comment>
    <comment authorId="0" ref="I2">
      <text>
        <t xml:space="preserve">Removing irrelevant or redundant features from data can have several advantages for data analysis or machine learning, such as reducing the dimensionality of the data, which can improve the computational efficiency and the accuracy of the algorithms. Additionally, it can reduce the risk of overfitting and improve the interpretability and generalizability of the model. Furthermore, removing features can avoid multicollinearity, which occurs when two or more features are highly correlated and affect the stability and significance of the coefficients.
	-Brandon Hardison
Irrelevant variable does not have explanatory power or contribution. But its inclusion can reduce the power of the test by reducing degrees of freedom in statistical tests.
Redundant variable means there are two or more variables with overlapping features. Their inclusion causes multicollinearity problem. Either they should be orthogonalized or some of them excluded from regression analyses.
	-Brandon Hardison
Machine learning models perform poorly on datasets with numerous columns, due to the curse of dimensionality, a phenomenon that emerges in high-dimensional feature spaces. Dimensionality reduction is a machine learning technique that aims to decrease the dataset columns, while retaining most of the valuable information. Furthermore, dimensionality reduction can improve the accuracy of machine learning models, while reducing the computational resources and time required to train them.
	-Brandon Hardison
Irrelevant features are those that do not contribute meaningful information to the prediction or classification task at hand. They may include variables that have no correlation with the target variable or are not logically related to the problem domain. Redundant features, on the other hand, are those that convey the same information as other features already present in the dataset. Keeping such features can lead to overfitting and unnecessarily complex models without improving predictive performance.
	-Brandon Hardison</t>
      </text>
    </comment>
    <comment authorId="0" ref="I1">
      <text>
        <t xml:space="preserve">What are irrelevant or redundant features?
Irrelevant or redundant features are those that have little or no impact on the outcome variable or the research question. They may be irrelevant because they are not related to the phenomenon of interest, or they may be redundant because they are highly correlated with other features or contain duplicated information. For example, if you are trying to predict the sales of a product based on customer demographics, features such as the customer's name, address, or phone number are irrelevant, while features such as the customer's age, gender, and income may be relevant. Similarly, if you have two features that measure the same thing, such as the customer's height in centimeters and in inches, one of them is redundant and can be removed.
	-Brandon Hardison
Susana P: Irrelevant or redundant features are determined by the core question and the data specialist. A seemingly irrelevant feature can actually be determinant specially in sensitive areas such as healthcare. After consulting with the specialist, several methods are possible: Univariate Feature Selection, Feature Importance Methods, Correlation Analysis, Principal Component Analysis (PCA), Forward/Backward/Stepwise Selection, Recursive Feature Elimination (RFE), Embedded Methods, Information Gain or Mutual Information and Sequential Forward Selection (SFS) and Sequential Backward Selection (SBS) for example. The method should be chosen according to the data and area of knowledge.
	-Brandon Hardison
Sanket: Sometimes at initial stage the some data points looks irrelevant however when we go deeper with analysis point of view, those data points does make sense or at least help to make some sense. Hence I believe not to conclude without conducting deeper insight analysis. At same time, if it is duplicate then I strongly recommend to drop them from collection stage it self.
	-Brandon Hardison
Rajni Jain
	-Brandon Hardison</t>
      </text>
    </comment>
    <comment authorId="0" ref="A10">
      <text>
        <t xml:space="preserve">https://www.business-science.io/code-tools/2023/12/16/ab-testing-in-r.html?el=linkedin&amp;utm_content=buffer6b11e&amp;utm_medium=social&amp;utm_source=linkedin.com&amp;utm_campaign=buffer
	-Brandon Hardison</t>
      </text>
    </comment>
    <comment authorId="0" ref="A8">
      <text>
        <t xml:space="preserve">is the intersection of software engineering and data science,
	-Brandon Hardison</t>
      </text>
    </comment>
    <comment authorId="0" ref="A7">
      <text>
        <t xml:space="preserve">DataOps is a term used to describe developing and managing data-driven applications. It encompasses the entire data lifecycle, from its collection and storage to its processing and analysis.
	-Brandon Hardison
https://datatalks.club/blog/dataops-similarities-and-differences-with-data-engineering-and-data-science.html
	-Brandon Hardison</t>
      </text>
    </comment>
    <comment authorId="0" ref="A6">
      <text>
        <t xml:space="preserve">A database-management system (DBMS) is a group of linked data and a collection of software tools for accessing that data. The database, a collection of data, often contains information important to an organization. A DBMS’s main objective is to offer a simple and effective method for storing and retrieving database data.
	-Brandon Hardison
Third Normal Form (3NF)
	-Brandon Hardison</t>
      </text>
    </comment>
    <comment authorId="0" ref="A5">
      <text>
        <t xml:space="preserve">9 most common statistical tests used in A/B testing. Here's a breakdown:
A/B Testing is the biggest driver of conversion rate improvement (more than Customer Journey analysis, Segmentation, Surveys, and Cart Abandonment Analysis). That's why if A/B testing is NOT in your toolbox, you'd better get up to speed now. Let me help.
Here are the 9 most common statistical tests that beginners get tripped up with. And an explanation of when to use them:
1. Z-Test: Used with sample sizes, known population variance. Used to determine if there is a difference between two means. Often used for proportions like click-through rates.
2. T-Test (Student's): Smaller sample sizes, unknown population variance. Suitable for comparing means from two groups. Includes independent and paired samples t-tests.
3. Welch's T-Test: Unequal variances and/or sample sizes. An adaptation of the t-test that does not assume equal variances, offering more flexibility.
4. Chi-Squared Test: Categorical data, testing for independence or goodness of fit. Useful for assessing if there is a significant association between two categorical variables.
5. ANOVA: Comparing means of three or more groups. Ideal for understanding if there are any significant differences between the means of multiple groups.
6. Mann-Whitney U Test: Non-parametric alternative to Z-test / T-test for non-normal distributions. Comparing two independent groups, especially when the data is not normally distributed.
7. Fisher’s Exact Test: Small sample sizes, especially in 2x2 contingency tables. Used for examining the significance of the association between two kinds of classifications.
8. Regression Analysis: Relationship between a dependent variable and one/more independent variables. For more complex A/B tests to understand the impact of multiple variables on an outcome.
9. Pearson's Chi-Squared Test: Categorical data in contingency tables. Determines if there is a significant difference in the distribution of categories between groups.
	-Brandon Hardison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Basic EPS = 
Net Income– Preferred Dividends
÷ Weighted Average Common OS
KEY TAKEAWAYS
Earnings per share (EPS) is a company's net profit divided by the number of common shares it has outstanding.
EPS indicates how much money a company makes for each share of its stock and is a widely used metric for estimating corporate value.
A higher EPS indicates greater value because investors will pay more for a company's shares if they think the company has higher profits relative to its share price.
EPS can be arrived at in several forms, such as excluding extraordinary items or discontinued operations, or on a diluted basis.
Like other financial metrics, earnings per share is most valuable when compared against competitor metrics, companies of the same industry, or across a period of time.</t>
      </text>
    </comment>
    <comment authorId="0" ref="A6">
      <text>
        <t xml:space="preserve">Graham stated this as 8.5
One way to think about the P/E ratio is to flip it around and calculate it as the earnings yield. In other words, the E/P ratio, earnings-per-share divided by share price. If a share of stock currently trades for $20, and has earnings-per-share of $2, then its E/P ratio is 2/20 which is equal to 0.1 or 10%. This will be relevant for examples in this section.
Zero Growth Stock: 10 P/E Ratio
As a thought experiment, imagine what your return would be if a company were to just pay all of its earnings to its shareholders as dividends.
A stock with a P/E ratio of 10 (or an earnings yield of 10%), that doesn’t grow at all, can pay out a 10% yield to shareholders every year if it wanted. More realistically, they could pay a part of that as dividends, and use a part of that for share buybacks to boost earnings per share each year. The combination of share buybacks and dividends is called the “shareholder yield”, which is a measure of what percentage of the stock price that the company is returning to shareholders per year.
In other words, a stock with a P/E of 10 can theoretically give a sustainable annual rate of return of 10% with zero growth, if investors receive a 10% earnings yield as dividends or buybacks and reinvest it back into the stock. If you target 10% annual returns, it’s fair to pay a P/E ratio of about 10 for zero-growth company.
That’s a bad sign though, because a zero-growth company isn’t even keeping pace with inflation and population growth, meaning it’s likely in trouble for one reason or another.
Slow Growth Stock: 12 P/E Ratio
Then, suppose there is another company that doesn’t really grow its number of customers or anything, but at least it keeps its pricing up with inflation. In other words, if inflation is 2% per year, this is a company that is growing its revenue and earnings by about 2% per year.
If you pay a P/E ratio of 12 for that stock, then its earnings yield will be 8.3%, meaning it could pay up to a 8.3% dividend each year if it used all of its earnings, or more realistically a 8.3% shareholder yield consisting of a combination of dividends and buybacks. It could also grow earnings and dividends by 2% per year, for about a 10.3% total annual rate of return.
Thus, it’s fair to pay a P/E ratio of about 12 for a very slow growth stock that just keeps revenue growth on pace with inflation.
Moderate Growth Stock: 15 P/E Ratio
Now, imagine a company that grows in line with GDP. In other words, it doesn’t grow market share, but it grows in line with the combination of inflation, population, and productivity increases over time. For a developed country, that’s 3-4% per year. Additionally, it doesn’t have to reinvest its earnings to generate this moderate growth; all of its earnings are free cash flow.
If you pay a P/E ratio of 15 for that type of stock, its earnings yield would be 6.6%, meaning it could theoretically use all of its earnings to pay a 6.6% dividend or shareholder yield. If it grows its earnings by 3-4% per year, that’s 9.6%-10.6% annual returns.
Thus, it’s fair to pay a P/E ratio of about 15 for a moderate-growth stock with healthy free cash flow that just keeps up with GDP growth (changes in inflation, productivity, population combined).
Fast Growth Stock: 25 P/E Ratio
Companies cannot grow faster than GDP forever, because if this continues infinitely, they would grow larger than the whole economy (which can’t happen, since they are a part of the economy).
However, many powerhouse growth companies can grow at a much faster rate than GDP for decades, because they exist in a growing industry that displaces other industries, or they take market share from competitors. Eventually, they become so big that they slow down.
Imagine a company that is expected to grow its revenue and earnings by 10% per year for the next decade, and after that will slow down to 3-4% perpetually as a moderate growth stock. And like the previous examples, it doesn’t need to reinvest its earnings to achieve this growth; its earnings are equivalent to free cash flow.
Using StockDelver, I calculate that a fair P/E ratio would be 25 for now. In ten years when it is growing at 3-4% per year, its fair P/E ratio would be down to about 15 like the previous example from that point on.
Very Fast Growth Stock: 40+ P/E Ratio
Lastly, imagine a company that is expected to grow its revenue and earnings by 20% per year for the next decade, 10% for the decade after that, and 3-4% forever after that. This is like one of the big tech titan stocks that could go on to become a trillion-dollar company.
Again using StockDelver, I calculate that a fair P/E ratio would be about 75 for now. In a decade, its fair P/E ratio would be 25 (although its earnings will be huge by then), and a decade after that its fair P/E ratio would be down to 15 like a regular stock.
However, paying a 75 P/E ratio for a stock is very risky, because if it grows even a little slower than expected over the next decade at only 15% annually, then its fair P/E would be 50.
Company Annual Growth Rate	Fair P/E Ratio
0%	10
2%	12
4%	15
10%	25
20%	40+</t>
      </text>
    </comment>
    <comment authorId="0" ref="A7">
      <text>
        <t xml:space="preserve">Yahoo finance&gt;Stock&gt;Analysis
used to calculate the annual growth of the company for a particular period and according to which value at the beginning is subtracted from the value at the end and the resultant is then divided by the value at the beginning. This formula is applied to multiple metric such as GDP, turnover, and so on.</t>
      </text>
    </comment>
    <comment authorId="0" ref="A8">
      <text>
        <t xml:space="preserve">reasonably expected 7 to 10 year growth rate (see Sustainable growth rate § From a financial perspective)</t>
      </text>
    </comment>
    <comment authorId="0" ref="E16">
      <text>
        <t xml:space="preserve">Firm is in stable growth:
Grows at constant rate
forever
pages.stern.nyu.edu/~adamodar/pdfiles/country/valallday12.pdf</t>
      </text>
    </comment>
    <comment authorId="0" ref="E18">
      <text>
        <t xml:space="preserve">Asmoradan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5">
      <text>
        <t xml:space="preserve">7/19 balance was $10,481 before the wax, you said the balance was 8200 but forgot to include the 70g wax in new balance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Total Assets – Total Liabilities
Formula 1:
Shareholders’ Equity = Total Assets – Total Liabilities
The above formula is known as the basic accounting equation, and it is relatively easy to use. Take the sum of all assets in the balance sheet and deduct the value of all liabilities. Total assets are the total of current assets, such as marketable securities and prepayments, and long-term assets, such as machinery and fixtures. Total liabilities are obtained by adding current liabilities and long-term liabilities.
All the values are available in a company’s balance sheet. What remains after deducting total liabilities from the total assets is the value that shareholders would get if the assets were liquidated and all debts were paid up.
Formula 2:
Shareholders’ Equity = Share Capital + Retained Earnings – Treasury Stock
The share capital method is sometimes known as the investor’s equation. The above formula sums the retained earnings of the business and the share capital and subtracts the treasury shares. Retained earnings are the sum of the company’s cumulative earnings after paying dividends, and it appears in the shareholders’ equity section in the balance sheet.
Treasury stocks are repurchased shares of the company that are held for potential resale to investors. It is the difference between shares offered for subscription and outstanding shares of a company.
Return on Equity (ROE) =
Net Income /Shareholders' Equity
​
ROA Return on Assets =
Net Income/Total Assets
​
Debt-to-Equity Ratio = 
Total Debt / Shareholder Equity
​
Equity Ratio =
​Shareholders Equity/ Total Assets
Book Value per Share =
Shareholders Equity / # OS
​
P/B Ratio =
Market Price per Share /
Book Value per Share</t>
      </text>
    </comment>
    <comment authorId="0" ref="C7">
      <text>
        <t xml:space="preserve">BV = Assets - Liabilities 
(asset and liability numbers are found on companies' balance sheets)</t>
      </text>
    </comment>
    <comment authorId="0" ref="C8">
      <text>
        <t xml:space="preserve">Book value per share = 
book value / # of Outstanding Shares</t>
      </text>
    </comment>
    <comment authorId="0" ref="F8">
      <text>
        <t xml:space="preserve">Is it safe to invest in? 
See how levered a company is.
Use the following to see if a company is levered. Controversial opinion on way they are handling operating leaese as debt. but kitty doesn't think they should be handled as debt.</t>
      </text>
    </comment>
    <comment authorId="0" ref="A9">
      <text>
        <t xml:space="preserve">The current price that a share of stock is trading for on the market</t>
      </text>
    </comment>
    <comment authorId="0" ref="C9">
      <text>
        <t xml:space="preserve">EBITDA = NET PROFIT + INT PAYMENTS + TAXES INCURRED + DEPRECIATION + AMORTIZATION CHARGES</t>
      </text>
    </comment>
    <comment authorId="0" ref="F9">
      <text>
        <t xml:space="preserve">Adjusted to use market cap in lieu of book for final variable.
The Z double Prime Score was created for emerging market companies across a variety of sectors and industries(except finance firms) Z"" excludes asset turnover because the ratio is not comparable across sectors/countries. Book value is used instead of market value due to</t>
      </text>
    </comment>
    <comment authorId="0" ref="D11">
      <text>
        <t xml:space="preserve">GROSS INCOME/ TO
</t>
      </text>
    </comment>
    <comment authorId="0" ref="D12">
      <text>
        <t xml:space="preserve">Cfebit= cfo+taxes+interest expense-a and p so basically (ncfo + ebitusd on sharadar)</t>
      </text>
    </comment>
    <comment authorId="0" ref="C13">
      <text>
        <t xml:space="preserve">Simple Free Cash Flow Margin</t>
      </text>
    </comment>
    <comment authorId="0" ref="D13">
      <text>
        <t xml:space="preserve">ROIC = (NOPAT)/Invested Capital
-Return on invested capital (ROIC) assesses a company's efficiency in allocating capital to profitable investments. It is calculated by dividing net operating profit after tax (NOPAT) by invested capital.
ROIC gives a sense of how well a company is using its capital to generate profits. Comparing a company's ROIC with its weighted average cost of capital (WACC) reveals whether invested capital is being used effectively.
Return on invested capital (ROIC) is a calculation used to determine how well a company allocates its capital to profitable projects or investments.
Seen another way, ROIC is the amount of money a company makes that is above the average cost it pays for its debt and equity capital.
-ROIC can be used as a benchmark to calculate the value of other companies.
-A company is thought to be creating value if its ROIC exceeds its weighted average cost of capital (WACC).</t>
      </text>
    </comment>
    <comment authorId="0" ref="D14">
      <text>
        <t xml:space="preserve">CROIC = FCF/Invested Capital
shows how much free cash flow per dollar the business generates from invested capital. I find this to be the ultimate performance metric as it shows so clearly how effective management is and the strength of the business.</t>
      </text>
    </comment>
    <comment authorId="0" ref="D15">
      <text>
        <t xml:space="preserve">CROSIC is Simple FCF / Invested Capital, Where:
SFCF = CFO - CapEx
IC = Tangible LT Assets</t>
      </text>
    </comment>
    <comment authorId="0" ref="D16">
      <text>
        <t xml:space="preserve">Net Sales - COGS
The gross margin derives by deducting the cost of goods sold (COGS) from the net revenue or net sales (gross sales reduced by discounts, returns, and price adjustments). When the result is divided by revenue, we can determine the gross profit percentage. In simple terms, it is the amount of money a company has with them after deducting all of their direct production costs.
???
Gross profit as a % of Net Income
GROSS PROFIT ÷ REVENUE X 100%??</t>
      </text>
    </comment>
    <comment authorId="0" ref="D20">
      <text>
        <t xml:space="preserve">Simple Free Cash Flow</t>
      </text>
    </comment>
    <comment authorId="0" ref="D25">
      <text>
        <t xml:space="preserve">NET COMMON OVERHANG
+LT
+ST
-Excess Cash &amp; ST Investments</t>
      </text>
    </comment>
    <comment authorId="0" ref="A27">
      <text>
        <t xml:space="preserve">Structural Free Cash Flow
SFCF = CFO - CapEx</t>
      </text>
    </comment>
    <comment authorId="0" ref="D28">
      <text>
        <t xml:space="preserve">does bm = book to market? or benchmark?
Return on Equity 3yr avg %</t>
      </text>
    </comment>
    <comment authorId="0" ref="D29">
      <text>
        <t xml:space="preserve">Return on Equity 5 year %
</t>
      </text>
    </comment>
    <comment authorId="0" ref="C35">
      <text>
        <t xml:space="preserve">Excess cash is the amount of cash in excess of what the company needs to run its business, in other words cash that can be paid out to investors without harming the business.
If Total Current Assets are greater than (2 x Total Current Liabilities), then Excess Cash is the lower of:
Cash and Short Term Investments OR
Total Current Assets - (2 * Total Current Liabilities).
If Current Assets are not greater than (2 x Total Current Liabilities) then Excess cash is zero.</t>
      </text>
    </comment>
    <comment authorId="0" ref="I35">
      <text>
        <t xml:space="preserve">book value is equal to its assets minus its liabilities (asset and liability numbers are found on companies' balance sheets). A company's book value per share is simply equal to the company's book value divided by the number of outstanding shares.</t>
      </text>
    </comment>
    <comment authorId="0" ref="K35">
      <text>
        <t xml:space="preserve">= Total Assets/SE</t>
      </text>
    </comment>
    <comment authorId="0" ref="H36">
      <text>
        <t xml:space="preserve">Gross Margin=Net Sales−COGS
Does it also = Net Sales - Cost of Sales?
where:
Net Sales = revenue, or the total amount
of money generated from sales for the period. 
It can also be called net sales because it can include discounts
and deductions from returned merchandise.
Revenue is typically called the top line because it sits
on top of the income statement. 
Costs are subtracted
from revenue to calculate net income or the bottom line.
COGS=Cost of goods sold. The direct costs
associated with producing goods. Includes both direct
labor costs, and any costs of materials used in producing
or manufacturing a company’s products.
</t>
      </text>
    </comment>
    <comment authorId="0" ref="K36">
      <text>
        <t xml:space="preserve">= 1 - Dividend Payout Ratio
Dividend Payout Ratio =</t>
      </text>
    </comment>
    <comment authorId="0" ref="D37">
      <text>
        <t xml:space="preserve">Basic EPS = 
Net Income– Preferred Dividends
÷ Weighted Average Common OS
KEY TAKEAWAYS
Earnings per share (EPS) is a company's net profit divided by the number of common shares it has outstanding.
EPS indicates how much money a company makes for each share of its stock and is a widely used metric for estimating corporate value.
A higher EPS indicates greater value because investors will pay more for a company's shares if they think the company has higher profits relative to its share price.
EPS can be arrived at in several forms, such as excluding extraordinary items or discontinued operations, or on a diluted basis.
Like other financial metrics, earnings per share is most valuable when compared against competitor metrics, companies of the same industry, or across a period of time.</t>
      </text>
    </comment>
    <comment authorId="0" ref="K37">
      <text>
        <t xml:space="preserve">Total Debt / Shareholders Equity</t>
      </text>
    </comment>
    <comment authorId="0" ref="D38">
      <text>
        <t xml:space="preserve">IC = Tangible LT Assets</t>
      </text>
    </comment>
    <comment authorId="0" ref="K38">
      <text>
        <t xml:space="preserve">(Net Income - Preferred Dividends)/
Weighted Average # of Common OS</t>
      </text>
    </comment>
    <comment authorId="0" ref="K39">
      <text>
        <t xml:space="preserve">Net Income - Preferred Dividends/
Weighted Average # of Common Shares Outstanding</t>
      </text>
    </comment>
    <comment authorId="0" ref="C40">
      <text>
        <t xml:space="preserve">from REddit:
NET COMMON OVERHANG (I wonder if he is doing it /sh since it's used again in the right side of his sheet... I gotta check again)
+LT Liabilities
+ST Debt
-Excess Cash &amp; ST Investments</t>
      </text>
    </comment>
    <comment authorId="0" ref="K40">
      <text>
        <t xml:space="preserve">Dividends per Share / Market Price per Share</t>
      </text>
    </comment>
    <comment authorId="0" ref="K41">
      <text>
        <t xml:space="preserve">Common Equity Tier 1 Ratio (for banks)
Common Equity Tier 1 Capital / 
Risk-Weighted Assets</t>
      </text>
    </comment>
    <comment authorId="0" ref="K42">
      <text>
        <t xml:space="preserve">The resources owned by a company that have economic value and can be used to generate future benefits.
Assets are categorized into two main types: 
-current assets (such as cash, accounts receivable, and inventory)
-non-current assets (such as property, plant, equipment, and long-term investments).
Assets = Liabilities + Equity</t>
      </text>
    </comment>
    <comment authorId="0" ref="H43">
      <text>
        <t xml:space="preserve">Revenue –COGS– Expenses
OR
Gross Income – Expenses
OR
Total Revenues – Total Expenses
Net income (NI), also called net earnings, is calculated as sales minus cost of goods sold, selling, general and administrative expenses, operating expenses, depreciation, interest, taxes, and other expenses. 
KEY TAKEAWAYS
Net income (NI) is calculated as revenues minus expenses, interest, and taxes.
Earnings per share are calculated using NI.
Investors should review the numbers used to calculate NI because expenses can be hidden in accounting methods, or revenues can be inflated.
NI also represents an individual's total earnings or pre-tax earnings after factoring deductions and taxes in gross income.
-Businesses use net income to calculate their earnings per share. -Business analysts often refer to net income as the bottom line since it is at the bottom of the income statement. 
-Analysts in the United Kingdom know NI as profit attributable to shareholders.</t>
      </text>
    </comment>
    <comment authorId="0" ref="K43">
      <text>
        <t xml:space="preserve"> The ownership interest in a company. 
It represents the residual interest of the owners (shareholders) in the assets of the company after deducting liabilities. Equity is often broken down into different components, such as common equity and preferred equity. Common equity includes common stock and retained earnings.
Equity = Assets - Liabilities
Equity = Capital Stock + Share Premium + Preferred Stock + Retained Earnings + Accumulated Other Comprehensive Income - Treasury Stock</t>
      </text>
    </comment>
    <comment authorId="0" ref="H44">
      <text>
        <t xml:space="preserve">Return on Assets
Net Income / Total Assets</t>
      </text>
    </comment>
    <comment authorId="0" ref="K44">
      <text>
        <t xml:space="preserve">= accumulated other comprehensive income</t>
      </text>
    </comment>
    <comment authorId="0" ref="H45">
      <text>
        <t xml:space="preserve">ROE = Net Income / Book Value
ROE = Net Profit Margin x Asset Turnover x Equity Multiplier
ROE = (Earnings Before Tax ÷ Sales) x (Sales ÷ Assets) x (Assets ÷ Equity) x (1 - Tax Rate)
Not good to use bc
book value is the denominator which means that if book value was to be reduced, the ROE would in fact increase. How would this happen? If a company writes down any of its assets, the book value would immediately decrease which results in a higher ROE.
The same would happen if the company increased its debt since book value is calculated as assets – liabilities.
The company didn’t perform any better, yet you are given a false picture. So ROE isn’t that great to use. Not even in a screen because you have a high chance of getting value traps.</t>
      </text>
    </comment>
    <comment authorId="0" ref="K45">
      <text>
        <t xml:space="preserve">The perpetuity growth model assumes that cash flows will grow at a constant rate indefinitely. The formula for terminal value using this method is:
    TV =  FCF * (1 + g)/r−g
where: 
FCF= free cash flow in last forecasted year
g = perpetual growth rate
r = discount rate
</t>
      </text>
    </comment>
    <comment authorId="0" ref="H46">
      <text>
        <t xml:space="preserve">Free Cash Flow to Firms
FCFF can also be calculated from EBIT or EBITDA:
FCFF = EBIT(1 – Tax rate) + Dep – FCInv – WCInv.
FCFF = EBITDA(1 – Tax rate) + Dep(Tax rate) – FCInv – WCInv.
</t>
      </text>
    </comment>
    <comment authorId="0" ref="K46">
      <text>
        <t xml:space="preserve">involves applying a multiple to a financial metric(such as EBITDA, Earnings or Revenue) in Terminal Year
TV = Metric(Terminal YEAr) * Exit Multiple
Exit Multiple is a market-derived multiple</t>
      </text>
    </comment>
    <comment authorId="0" ref="H47">
      <text>
        <t xml:space="preserve">Free Cash Flow
</t>
      </text>
    </comment>
    <comment authorId="0" ref="K47">
      <text>
        <t xml:space="preserve">= 
(Beginning Inventory + New Inventory) – Ending Inventory.
Key takeaways:
The difference between COGS and cost of sales is that the former refers to the company’s cost to make products from parts or raw materials, while the latter is the total cost of a business creating a good or service for purchase
An example of cost of sales is direct labor and direct materials
To quickly calculate the cost of sales, add purchases to your beginning inventory, then subtract the ending inventory from that total
"Cost of Sales" and "Cost of Goods Sold (COGS)" are often used interchangeably, and in many cases, they refer to the same concept. Both terms represent the direct costs associated with producing or purchasing the goods that a company sells during a specific period.</t>
      </text>
    </comment>
    <comment authorId="0" ref="H48">
      <text>
        <t xml:space="preserve">Free Cash Flow to Equity</t>
      </text>
    </comment>
    <comment authorId="0" ref="K48">
      <text>
        <t xml:space="preserve">= the direct costs of producing the goods sold by a company
COGS = Begin Inventory   +P   −End Inventory
P=Purchases during the period
"Cost of Sales" and "Cost of Goods Sold (COGS)" are often used interchangeably, and in many cases, they refer to the same concept. Both terms represent the direct costs associated with producing or purchasing the goods that a company sells during a specific period.
Find the Income Statement: 
Open the 10-K filing and look for the income statement or statement of operations. It's typically found in the financial statements section.
Locate Cost of Goods Sold (COGS):
Look for the line item named "Cost of Goods Sold" or a similar term. This is the total cost of producing or purchasing the goods that the company sold during the reporting period.
Gather Relevant Information:
Take note of the beginning inventory, purchases, and ending inventory values. These can usually be found in the same or nearby sections of the 10-K.​
The Cost of Goods Sold (COGS) is typically found on a traditional income statement rather than a comprehensive income statement. The comprehensive income statement includes not only the net income but also other comprehensive income items like unrealized gains or losses on investments.
On a traditional income statement, COGS is a key component, and you can locate it by looking for a specific section dedicated to the company's operating expenses. Here's a general guide on where to find COGS on an income statement:
Look for Operating Expenses:
Find the section of the income statement that lists operating expenses. COGS is considered a direct cost related to the production of goods or services.
Identify Cost of Goods Sold (COGS):
Within the operating expenses section, look for a line item specifically named "Cost of Goods Sold" or a similar term. This is where the total direct costs associated with producing or purchasing the goods sold during the reporting period are typically presented.
Review the Subtotals:
Sometimes, companies may break down operating expenses into subcategories. If this is the case, COGS might be listed as a separate line item or included within a broader category like "Costs and Expenses."
Check the Notes to the Financial Statements:
In some cases, additional details about specific line items, including COGS, may be provided in the notes to the financial statements. Refer to these notes for more information or clarification.
Consider the Financial Statement Format:
The format of financial statements may vary among companies, but COGS is generally found in the operating expenses section, deducting from the gross revenue to arrive at the gross profit.
Remember that the specific wording and presentation can vary between companies, so it's essential to carefully review the income statement and related notes in the 10-K filing. If you have access to the specific 10-K you're interested in, you can refer to the income statement section and search for the line item related to Cost of Goods Sold.
-Inventory that is sold appears in the income statement under the COGS account. 
-The beginning inventory for the year is the inventory left over from the previous year, the merchandise that was not sold in the previous year.
-COGS is an important metric on financial statements as it is subtracted from a company’s revenues to determine its gross profit. 
-Gross profit is a profitability measure that evaluates how efficient a company is in managing its labor and supplies in the production process.
-Cost of goods sold (COGS) is the cost of acquiring or manufacturing the products that a company sells during a period, so the only costs included in the measure are those that are directly tied to the production of the products, including the cost of labor, materials, and manufacturing overhead.
-For example, COGS for an automaker would include the material costs for the parts that go into making the car plus the labor costs used to put the car together. The cost of sending the cars to dealerships and the cost of the labor used to sell the car would be excluded.
-The balance sheet has an account called the current assets account. Under this account is an item called inventory. The balance sheet only captures a company’s financial health at the end of an accounting period. This means that the inventory value recorded under current assets is the ending inventory.
KEY TAKEAWAYS
Cost of goods sold (COGS) includes all of the costs and expenses directly related to the production of goods.
COGS excludes indirect costs such as overhead and sales and marketing.
COGS is deducted from revenues (sales) in order to calculate gross profit and gross margin. Higher COGS results in lower margins.
The value of COGS will change depending on the accounting standards used in the calculation.
COGS differs from operating expenses (OPEX) in that OPEX includes expenditures that are not directly tied to the production of goods or services.
Different Accounting Methods For COGS?
The value of the cost of goods sold depends on the inventory costing method adopted by a company. There are three methods that a company can use when recording the level of inventory sold during a period: first in, first out (FIFO), last in, first out (LIFO), and the average cost method. The special identification method is used for high-ticket or unique items.
FIFO = The earliest goods to be purchased or manufactured are sold first. Since prices tend to go up over time, a company that uses the FIFO method will sell its least expensive products first, which translates to a lower COGS than the COGS recorded under LIFO. Hence, the net income using the FIFO method increases over time.
LIFO = where the latest goods added to the inventory are sold first. During periods of rising prices, goods with higher costs are sold first, leading to a higher COGS amount. Over time, the net income tends to decrease.
Average Cost Method = The average price of all the goods in stock, regardless of purchase date, is used to value the goods sold. Taking the average product cost over a time period has a smoothing effect that prevents COGS from being highly impacted by the extreme costs of one or more acquisitions or purchases.
Special Identification Method = The special identification method uses the specific cost of each unit of merchandise (also called inventory or goods) to calculate the ending inventory and COGS for each period. In this method, a business knows precisely which item was sold and the exact cost. Further, this method is typically used in industries that sell unique items like cars, real estate, and rare and precious jewels.
What Type of Companies Are Excluded From a COGS Deduction?
Many service companies do not have any cost of goods sold at all. COGS is not addressed in any detail in generally accepted accounting principles (GAAP), but COGS is defined as only the cost of inventory items sold during a given period. Not only do service companies have no goods to sell, but purely service companies also do not have inventories. If COGS is not listed on a company's income statement, no deduction can be applied for those costs.
Examples of pure service companies include accounting firms, law offices, real estate appraisers, business consultants, professional dancers, etc. Even though all of these industries have business expenses and normally spend money to provide their services, they do not list COGS. Instead, they have what is called "cost of services," which does not count towards a COGS deduction.
Cost of Revenue vs. COGS
Costs of revenue exist for ongoing contract services that can include raw materials, direct labor, shipping costs, and commissions paid to sales employees. These items cannot be claimed as COGS without a physically produced product to sell, however. The IRS website even lists some examples of "personal service businesses" that do not calculate COGS on their income statements. These include doctors, lawyers, carpenters, and painters.
Many service-based companies have some products to sell. For example, airlines and hotels are primarily providers of services such as transport and lodging, respectively, yet they also sell gifts, food, beverages, and other items. These items are definitely considered goods, and these companies certainly have inventories of such goods. Both of these industries can list COGS on their income statements and claim them for tax purposes.
Operating Expenses vs. COGS
Both operating expenses and cost of goods sold (COGS) are expenditures that companies incur with running their business; however, the expenses are segregated on the income statement. Unlike COGS, operating expenses (OPEX) are expenditures that are not directly tied to the production of goods or services.
Typically, SG&amp;A (selling, general, and administrative expenses) are included under operating expenses as a separate line item. SG&amp;A expenses are expenditures, such as overhead costs, that are not directly tied to a product. Examples of operating expenses include the following:
Rent
Utilities
Office supplies
Legal costs
Sales and marketing
Payroll
Insurance costs
What Are the Limitations of COGS?
COGS can easily be manipulated by accountants or managers looking to cook the books. It can be altered by:
Allocating to inventory higher manufacturing overhead costs than those incurred
Overstating discounts
Overstating returns to suppliers
Altering the amount of inventory in stock at the end of an accounting period
Overvaluing inventory on hand
Failing to write off obsolete inventory
When inventory is artificially inflated, COGS will be under-reported which, in turn, will lead to a higher-than-actual gross profit margin, and hence, an inflated net income.
Investors looking through a company’s financial statements can spot unscrupulous inventory accounting by checking for inventory buildup, such as inventory rising faster than revenue or total assets reported.
How Do You Calculate Cost of Goods Sold (COGS)?
Cost of goods sold (COGS) is calculated by adding up the various direct costs required to generate a company’s revenues. Importantly, COGS is based only on the costs that are directly utilized in producing that revenue, such as the company’s inventory or labor costs that can be attributed to specific sales. By contrast, fixed costs such as managerial salaries, rent, and utilities are not included in COGS. Inventory is a particularly important component of COGS, and accounting rules permit several different approaches for how to include it in the calculation.
Are Salaries Included in COGS?
COGS does not include salaries and other general and administrative expenses; however, certain types of labor costs can be included in COGS, provided that they can be directly associated with specific sales. For example, a company that uses contractors to generate revenues might pay those contractors a commission based on the price charged to the customer. In that scenario, the commission earned by the contractors might be included in the company’s COGS, since that labor cost is directly connected to the revenues being generated.
6
How Does Inventory Affect COGS?
In theory, COGS should include the cost of all inventory that was sold during the accounting period. In practice, however, companies often don’t know exactly which units of inventory were sold. Instead, they rely on accounting methods such as the first in, first out (FIFO) and last in, first out (LIFO) rules to estimate what value of inventory was actually sold in the period. If the inventory value included in COGS is relatively high, then this will place downward pressure on the company’s gross profit. For this reason, companies sometimes choose accounting methods that will produce a lower COGS figure, in an attempt to boost their reported profitability.
The Bottom Line
Cost of goods sold is the direct cost of producing a good, which includes the cost of the materials and labor used to create the good. COGS directly impacts a company's profits as COGS is subtracted from revenue. Companies must manage their COGS to ensure higher profits. If a company can reduce its COGS through better deals with suppliers or through more efficiency in the production process, it can be more profitable.
Yes, you can find the traditional income statement, often referred to as the "Statement of Operations" or "Income Statement," in a company's 10-K filing. The income statement provides a summary of a company's revenues, costs, and expenses over a specific period of time. Here's how you can locate it in a 10-K:
Access the 10-K Filing:
Obtain the company's 10-K filing. You can usually find it on the investor relations section of the company's official website or on the Securities and Exchange Commission's (SEC) EDGAR database (https://www.sec.gov/edgar/searchedgar/companysearch.html).
Navigate to Financial Statements:
Within the 10-K filing, look for the section titled "Financial Statements" or a similar heading. The income statement is typically included in this section.
Identify the Income Statement:
Once in the financial statements section, locate the document labeled "Consolidated Statements of Operations," "Statement of Income," or a similar term. This is where you will find the income statement.
Review Operating Revenues and Expenses:
Within the income statement, you'll find details about the company's operating revenues, costs of goods sold (COGS), gross profit, operating expenses, and net income. COGS is the section that includes the direct costs associated with producing goods or services.
Look for Cost of Goods Sold (COGS):
Specifically, look for the line item named "Cost of Goods Sold" or an equivalent term within the operating expenses section. This is where the company reports the direct costs related to the production of goods or services.
Check for Additional Details:
Sometimes, companies provide additional information and breakdowns within the notes to the financial statements. If you need more detailed information about specific items on the income statement, check the notes.
Remember that the exact wording and format of financial statements may vary between companies, but the income statement should be clearly labeled within the 10-K filing. If you have a specific 10-K in mind, you can refer to the table of contents or use the search function within the document to find the income statement section.
</t>
      </text>
    </comment>
    <comment authorId="0" ref="D49">
      <text>
        <t xml:space="preserve">-Think about adding data about insiders CEO quality etc
-Catalysts
-Integrate API
-Intregrate Scrapes
-Integrate cashtag mentions from WSB, X etc.</t>
      </text>
    </comment>
    <comment authorId="0" ref="H49">
      <text>
        <t xml:space="preserve">Debt/Equity= Total Liabilities/
Total Shareholders’ Equity
​
​
</t>
      </text>
    </comment>
    <comment authorId="0" ref="K49">
      <text>
        <t xml:space="preserve">Inventory on a balance sheet represents the total value of goods and materials that a company holds for the purpose of resale or production. It is considered a current asset and is listed under the "Current Assets" section on the balance sheet. The value of inventory is typically reported at the lower of cost or market value.
Here's how the inventory is presented on a balance sheet:
Current Assets
Current Assets
...Other current assets
...Other current assets
Inventory
Inventory
The inventory value is determined by the cost of acquiring or producing the goods. This cost may include the purchase price, shipping costs, handling costs, and other costs directly associated with bringing the goods to their current condition and location.
For example, if a company purchases goods for resale, the inventory value would include the cost of purchasing those goods. If a company produces its own goods, the inventory value would include the direct costs of manufacturing, such as raw materials, labor, and overhead.
It's important to note that there are different methods for valuing inventory, such as the First-In-First-Out (FIFO), Last-In-First-Out (LIFO), or weighted average methods. The chosen method can impact the reported value of inventory on the balance sheet.
Investors and analysts often pay attention to the inventory levels and turnover ratios to assess a company's efficiency in managing its inventory and to understand its liquidity and ability to meet short-term obligations.</t>
      </text>
    </comment>
    <comment authorId="0" ref="H51">
      <text>
        <t xml:space="preserve">Net Present Value</t>
      </text>
    </comment>
    <comment authorId="0" ref="H52">
      <text>
        <t xml:space="preserve">(SO+RO)/TSO)
Overhang is a measure of the potential dilution to which common shareholders are exposed due to possible awards of stock-based compensation.
Overhang is usually represented as a percentage and is calculated as stock options granted plus the remaining options to be granted divided by the total shares outstanding.
More broadly, overhang can also refer to the downward pressure caused by the presence of a large block of shares that could be sold.
Overhang is calculated by dividing the number of existing and future option issues by the total number of stock outstanding.(SO+RO)/TSO)
The higher the overhang number, the greater the risk.</t>
      </text>
    </comment>
    <comment authorId="0" ref="K52">
      <text>
        <t xml:space="preserve">Statement of Comprehensive Income
A company's income statement details revenues and expenses, including taxes and interest. Its bottom line is net income. However, net income only recognizes earned income and incurred expenses.
A statement of comprehensive income, which covers the same period as the income statement, reflects net income as well as other comprehensive income, the latter being unrealized gains and losses on assets that aren't shown on the income statement. The statement of comprehensive income gives company management and investors a fuller, more accurate idea of income.</t>
      </text>
    </comment>
    <comment authorId="0" ref="H53">
      <text>
        <t xml:space="preserve">Average inventory is a calculation businesses use to estimate how much inventory they typically have available over a certain period of time. It’s commonly calculated by adding the beginning period inventory balance to the ending period inventory balance and dividing the number of accounting periods.
Average inventory = (Beginning inventory + Ending inventory) / Time period
A common calculation of average inventory is over a single month:
Average inventory = (Inventory at the beginning of the month + Inventory at the end of the month) / 2</t>
      </text>
    </comment>
    <comment authorId="0" ref="K53">
      <text>
        <t xml:space="preserve">masterclass: net sales = gross sales – (return values + discount losses + sales taxes + allowances).
chatgpt4:  Net Sales= Total Revenue−Returns, Discounts, Allowances, etc.
Net Sales = Gross Sales – Sales Returns – Allowances – Discounts
Net Sales = (Total Units Sold x Sale Per Unit Price) – Sales Returns – Allowances – Discounts
Found on Statement of Operations
The sum of a company's gross sales minus its returns, allowances, and discounts. Net sales calculations are not always transparent externally. They can often be factored into the reporting of top line revenues reported on the income statement. 
Net sales can typically be found in the income statement section of a company's 10-K filing. 
The income statement provides a summary of a company's revenues, costs, and expenses over a specific period of time. 
Obtain the company's 10-K filing&gt;Navigate to Financial Statements
The income statement is typically included in this section.
Identify the Income Statement:
Once in the financial statements section, locate the document labeled "Consolidated Statements of Operations," "Statement of Income," or a similar term. This is where you will find the income statement.
Find Net Sales:
Within the income statement, look for the line item named "Net Sales" or "Revenue." This is the total amount of money generated by the sale of goods or services during the reporting period.
Check for Additional Details:
Sometimes, companies provide additional information and breakdowns within the notes to the financial statements. If you need more detailed information about net sales or specific components, check the notes.
Remember that the exact wording and format of financial statements may vary between companies, but net sales should be clearly labeled within the income statement. If you have a specific 10-K in mind, you can refer to the table of contents or use the search function within the document to find the income statement section.
net sales and net income are different financial metrics that appear on a company's income statement, and they represent distinct aspects of the company's financial performance.
Net Sales (or Revenue):
Net sales, also referred to as revenue or sales, represents the total amount of money generated by a company from its primary business activities. It includes the total sales of goods or services before deducting any returns, discounts, or allowances. Net sales is a top-line figure that reflects a company's ability to generate income from its core operations.
Net Sales= Total Revenue−Returns, Discounts, Allowances, etc.
Net income, on the other hand, is the bottom-line figure on the income statement. It represents the profit or loss a company has incurred after deducting all expenses, including operating expenses, interest, taxes, and other costs, from its total revenue. Net income is a key measure of a company's overall profitability.
Net Income=Total Revenue−Total Expenses
In summary, net sales is a measure of a company's total sales before deducting certain items, while net income is the profit or loss after deducting all expenses from the total revenue. Both metrics provide valuable insights into different aspects of a company's financial performance. Net sales is a measure of revenue generation, while net income reflects the profitability of the company after all costs are considered.</t>
      </text>
    </comment>
    <comment authorId="0" ref="K54">
      <text>
        <t xml:space="preserve">Net Income=Total Revenue−Total Expenses
*net sales and net income are different financial metrics that appear on a company's income statement, and they represent distinct aspects of the company's financial performance.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Blend is a mix of value and growth in finance</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?Net Cash Flow/Price
</t>
      </text>
    </comment>
    <comment authorId="0" ref="Q10">
      <text>
        <t xml:space="preserve">Formula </t>
      </text>
    </comment>
    <comment authorId="0" ref="A19">
      <text>
        <t xml:space="preserve">What Is Price to Tangible Book Value (PTBV)?
Price to tangible book value (PTBV) is a valuation ratio used to compare the price of a security to the company's physical assets as reported in its balance sheet.
The tangible book value number includes all physical assets but excludes intangible assets such as goodwill, patents, intellectual property, and trademarks. Since intangibles are excluded, PTBV is considered a more accurate estimate of the company's net value to shareholders, after debts are paid, in the event of liquidation.</t>
      </text>
    </comment>
    <comment authorId="0" ref="A20">
      <text>
        <t xml:space="preserve">The EBITDA/EV multiple is a financial valuation ratio that measures a company's return on investment (ROI). The EBITDA/EV ratio may be preferred over other measures of return because it is normalized for differences between companies. Using EBITDA normalizes for differences in capital structure, taxation, and fixed asset accounting. The enterprise value (EV) also normalizes for differences in a company's capital structure.</t>
      </text>
    </comment>
    <comment authorId="0" ref="A26">
      <text>
        <t xml:space="preserve">?Net Cash Flow/Price
</t>
      </text>
    </comment>
    <comment authorId="0" ref="A27">
      <text>
        <t xml:space="preserve">Merits of Using Price-to-Dividend Ratio as a Valuation Metric
An alternative to the P/E ratio is to use a metric that accounts for cash flows, and one good option is to compute the Price to Dividend Per Share ratio, or P/DPS ratio.</t>
      </text>
    </comment>
    <comment authorId="0" ref="A28">
      <text>
        <t xml:space="preserve">The acid-test ratio measures a company’s ability to pay off short-term liabilities with quick assets:
Acid-test ratio = Current assets – Inventories / Current liabilities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
      <text>
        <t xml:space="preserve">=INDEX(A1:D6, MATCH(2, D1:D6, 0), MATCH("Guest Name", A1:D1, 0))
INDEX and MATCH can be used together to perform more advanced and dynamic lookups.
Tip: VLOOKUP can be used when the lookup value is to the left of the desired attribute to return. INDEX and MATCH can be used regardless of where the lookup value is located in the dataset.</t>
      </text>
    </comment>
    <comment authorId="0" ref="G18">
      <text>
        <t xml:space="preserve">=INDEX(A1:D6, MATCH(2, D1:D6, 0), MATCH("Guest Name", A1:D1, 0))
INDEX and MATCH can be used together to perform more advanced and dynamic lookups.
Tip: VLOOKUP can be used when the lookup value is to the left of the desired attribute to return. INDEX and MATCH can be used regardless of where the lookup value is located in the dataset.</t>
      </text>
    </comment>
  </commentList>
</comments>
</file>

<file path=xl/sharedStrings.xml><?xml version="1.0" encoding="utf-8"?>
<sst xmlns="http://schemas.openxmlformats.org/spreadsheetml/2006/main" count="155886" uniqueCount="44036">
  <si>
    <t>WATCHLIST</t>
  </si>
  <si>
    <t>top</t>
  </si>
  <si>
    <t>Debt</t>
  </si>
  <si>
    <t>10yM</t>
  </si>
  <si>
    <t>d% change</t>
  </si>
  <si>
    <t>Region</t>
  </si>
  <si>
    <t>Indices</t>
  </si>
  <si>
    <t>Commodities</t>
  </si>
  <si>
    <t>Industries</t>
  </si>
  <si>
    <t>Style</t>
  </si>
  <si>
    <t>Risk</t>
  </si>
  <si>
    <t>RK LOGO</t>
  </si>
  <si>
    <t>chart10y</t>
  </si>
  <si>
    <t>price</t>
  </si>
  <si>
    <t>ch</t>
  </si>
  <si>
    <t>chart10y,M</t>
  </si>
  <si>
    <t>port%</t>
  </si>
  <si>
    <t>ticker</t>
  </si>
  <si>
    <t>name</t>
  </si>
  <si>
    <t>sector</t>
  </si>
  <si>
    <t>industry</t>
  </si>
  <si>
    <t>mkt cap</t>
  </si>
  <si>
    <t>daily % change</t>
  </si>
  <si>
    <t>1m insider buying</t>
  </si>
  <si>
    <t>6m insider buying</t>
  </si>
  <si>
    <t># of insiders</t>
  </si>
  <si>
    <t>6m val</t>
  </si>
  <si>
    <t>% to val blend</t>
  </si>
  <si>
    <t>% to 52w hi</t>
  </si>
  <si>
    <t>% from 52w Lo</t>
  </si>
  <si>
    <t>revs</t>
  </si>
  <si>
    <t>s/p</t>
  </si>
  <si>
    <t>ebitda/ev</t>
  </si>
  <si>
    <t>tb/p</t>
  </si>
  <si>
    <t>b/p</t>
  </si>
  <si>
    <t>e/p</t>
  </si>
  <si>
    <t>cfo/p</t>
  </si>
  <si>
    <t>sfcf/p</t>
  </si>
  <si>
    <t>ncf/p</t>
  </si>
  <si>
    <t>div/p</t>
  </si>
  <si>
    <t>cash/p</t>
  </si>
  <si>
    <t>ncash/p</t>
  </si>
  <si>
    <t>nn/p</t>
  </si>
  <si>
    <t>asset/p</t>
  </si>
  <si>
    <t>retear/mc</t>
  </si>
  <si>
    <t>revs/debt</t>
  </si>
  <si>
    <t>mc/ev</t>
  </si>
  <si>
    <t>DASH</t>
  </si>
  <si>
    <t>US Nom 5y/10y</t>
  </si>
  <si>
    <t>Vang US Stock Market</t>
  </si>
  <si>
    <t>S&amp;P 500</t>
  </si>
  <si>
    <t>Oil WTI</t>
  </si>
  <si>
    <t>Retail</t>
  </si>
  <si>
    <t>Russell1000</t>
  </si>
  <si>
    <t>VIX</t>
  </si>
  <si>
    <t>US Real 5y/10y</t>
  </si>
  <si>
    <t>S&amp;P</t>
  </si>
  <si>
    <t>Dow</t>
  </si>
  <si>
    <t>Oil Brent</t>
  </si>
  <si>
    <t>Homebuilders</t>
  </si>
  <si>
    <t>Russell 2000</t>
  </si>
  <si>
    <t>NYSE New Highs/Low</t>
  </si>
  <si>
    <t>Regin</t>
  </si>
  <si>
    <t>US 1-30y Treasuries</t>
  </si>
  <si>
    <t>All-World ex-US</t>
  </si>
  <si>
    <t>NASDAQ</t>
  </si>
  <si>
    <t>Natural Gas</t>
  </si>
  <si>
    <t>Homeconstruction</t>
  </si>
  <si>
    <t>Russell 3000</t>
  </si>
  <si>
    <t>NYSE AD Line</t>
  </si>
  <si>
    <t>US &lt;1y Treasuries</t>
  </si>
  <si>
    <t>EAFE</t>
  </si>
  <si>
    <t>NASDAQ 100 QQQ</t>
  </si>
  <si>
    <t>Gold</t>
  </si>
  <si>
    <t>Consumer Goods</t>
  </si>
  <si>
    <t>NASDAQ AD Line</t>
  </si>
  <si>
    <t>US 1-3y Treasuries</t>
  </si>
  <si>
    <t>International</t>
  </si>
  <si>
    <t>Wilshire 5000</t>
  </si>
  <si>
    <t>Silver</t>
  </si>
  <si>
    <t>Gaming</t>
  </si>
  <si>
    <t>S&amp;P 500 =wght</t>
  </si>
  <si>
    <t>NYSE MCClellan Oscilator</t>
  </si>
  <si>
    <t>Industry</t>
  </si>
  <si>
    <t>US 7-10y Treasuries</t>
  </si>
  <si>
    <t>International SmallCap</t>
  </si>
  <si>
    <t>NYSE Composite</t>
  </si>
  <si>
    <t>Copper</t>
  </si>
  <si>
    <t>Aero &amp; Defense</t>
  </si>
  <si>
    <t>S&amp;P 400</t>
  </si>
  <si>
    <t>NASDAQ McClellan</t>
  </si>
  <si>
    <t>US 20+y Treasuries</t>
  </si>
  <si>
    <t>Developed Markets</t>
  </si>
  <si>
    <t>Euronext 100</t>
  </si>
  <si>
    <t>Palladium</t>
  </si>
  <si>
    <t>DJ Transports</t>
  </si>
  <si>
    <t>S&amp;P 600</t>
  </si>
  <si>
    <t>Put-Call</t>
  </si>
  <si>
    <t>risk</t>
  </si>
  <si>
    <t>US TIPS</t>
  </si>
  <si>
    <t>Emerging Mkts 1</t>
  </si>
  <si>
    <t>Germany DAX</t>
  </si>
  <si>
    <t>Platinum</t>
  </si>
  <si>
    <t>Shipping</t>
  </si>
  <si>
    <t>Cambria Tall</t>
  </si>
  <si>
    <t>RK Portfolio</t>
  </si>
  <si>
    <t>US Bond Market</t>
  </si>
  <si>
    <t>Emerging Mkts 2</t>
  </si>
  <si>
    <t>London FTSE 100</t>
  </si>
  <si>
    <t>Zinc</t>
  </si>
  <si>
    <t>Environmental Services</t>
  </si>
  <si>
    <t>S&amp;P Dividend</t>
  </si>
  <si>
    <t>RK Buy</t>
  </si>
  <si>
    <t>Corp ST Bond</t>
  </si>
  <si>
    <t>Emerging SmallCap 1</t>
  </si>
  <si>
    <t>France CAC 40</t>
  </si>
  <si>
    <t>Aluminum</t>
  </si>
  <si>
    <t>US Technology</t>
  </si>
  <si>
    <t>MSCI US Momentum</t>
  </si>
  <si>
    <t>US Corp Bonds Junk</t>
  </si>
  <si>
    <t>RK Sell</t>
  </si>
  <si>
    <t>Corp MT Bond</t>
  </si>
  <si>
    <t>Emerging SmallCap 2</t>
  </si>
  <si>
    <t>Japan Nikkei 225</t>
  </si>
  <si>
    <t>Wheat US</t>
  </si>
  <si>
    <t>computer Software</t>
  </si>
  <si>
    <t>Cambria Momentum</t>
  </si>
  <si>
    <t>Japan</t>
  </si>
  <si>
    <t>Pulse</t>
  </si>
  <si>
    <t>Corp LT Bond</t>
  </si>
  <si>
    <t>Europe</t>
  </si>
  <si>
    <t>Hong King Hang Seng</t>
  </si>
  <si>
    <t>Corn US</t>
  </si>
  <si>
    <t>Internet</t>
  </si>
  <si>
    <t>S&amp;P 500 Value</t>
  </si>
  <si>
    <t>*Naturl Resources No</t>
  </si>
  <si>
    <t>Trend</t>
  </si>
  <si>
    <t>US Agency MBS</t>
  </si>
  <si>
    <t>Asia</t>
  </si>
  <si>
    <t>India CNX Nifty</t>
  </si>
  <si>
    <t>Soybeans US</t>
  </si>
  <si>
    <t>Cloud Computing</t>
  </si>
  <si>
    <t>S&amp;P 400 Value</t>
  </si>
  <si>
    <t>Ind Filter</t>
  </si>
  <si>
    <t>US Corp</t>
  </si>
  <si>
    <t>Pacific ex-Japan</t>
  </si>
  <si>
    <t>Australia ASX 200</t>
  </si>
  <si>
    <t>Sugar US</t>
  </si>
  <si>
    <t>Innovation</t>
  </si>
  <si>
    <t>S&amp;P 600 Value</t>
  </si>
  <si>
    <t>Gold Miners</t>
  </si>
  <si>
    <t>BRIC</t>
  </si>
  <si>
    <t>Canada TSX</t>
  </si>
  <si>
    <t>Coffee US</t>
  </si>
  <si>
    <t>China Internet</t>
  </si>
  <si>
    <t>Russell 1000 Value</t>
  </si>
  <si>
    <t>EM Loc</t>
  </si>
  <si>
    <t>Latin 40</t>
  </si>
  <si>
    <t>Energy</t>
  </si>
  <si>
    <t>Cotton US</t>
  </si>
  <si>
    <t>Semis</t>
  </si>
  <si>
    <t>Russell Midcp Value</t>
  </si>
  <si>
    <t>O&amp;G E&amp;S</t>
  </si>
  <si>
    <t>Materials</t>
  </si>
  <si>
    <t>Cocoa US</t>
  </si>
  <si>
    <t>Robotics</t>
  </si>
  <si>
    <t>Russell 2000 Value</t>
  </si>
  <si>
    <t>Transocean</t>
  </si>
  <si>
    <t>China</t>
  </si>
  <si>
    <t>Industrials</t>
  </si>
  <si>
    <t>Live Cattle</t>
  </si>
  <si>
    <t>Cyber Security</t>
  </si>
  <si>
    <t>Towle</t>
  </si>
  <si>
    <t>Baytex</t>
  </si>
  <si>
    <t>Brazil</t>
  </si>
  <si>
    <t>Consumer Discretionary</t>
  </si>
  <si>
    <t>Lumber</t>
  </si>
  <si>
    <t>Biotech Nasdaq</t>
  </si>
  <si>
    <t>O'sh Small</t>
  </si>
  <si>
    <t>Rare Earths</t>
  </si>
  <si>
    <t>South Korea</t>
  </si>
  <si>
    <t>Information Technology</t>
  </si>
  <si>
    <t>Natural Resources</t>
  </si>
  <si>
    <t>Biotech General</t>
  </si>
  <si>
    <t>O'sh Mkt Lds Value</t>
  </si>
  <si>
    <t>Teck</t>
  </si>
  <si>
    <t>Taiwan</t>
  </si>
  <si>
    <t>Health Care</t>
  </si>
  <si>
    <t>O&amp;G E&amp;P</t>
  </si>
  <si>
    <t>Hussman Str Growth</t>
  </si>
  <si>
    <t>Alcoa</t>
  </si>
  <si>
    <t>Freeport-McMoRan</t>
  </si>
  <si>
    <t>Sibanye Stillwater</t>
  </si>
  <si>
    <t>Gooduear</t>
  </si>
  <si>
    <t>Ryder</t>
  </si>
  <si>
    <t>Robert Half</t>
  </si>
  <si>
    <t>Blockchain</t>
  </si>
  <si>
    <t>Bitcoin</t>
  </si>
  <si>
    <t>Momentum</t>
  </si>
  <si>
    <t>Collectors Universe</t>
  </si>
  <si>
    <t>QQQ</t>
  </si>
  <si>
    <t>Tesla</t>
  </si>
  <si>
    <t>Netflix</t>
  </si>
  <si>
    <t>NVIDIA</t>
  </si>
  <si>
    <t>Biotech</t>
  </si>
  <si>
    <t>Bitcoin Trust</t>
  </si>
  <si>
    <t>Marijuana</t>
  </si>
  <si>
    <t>Canopy</t>
  </si>
  <si>
    <t>Space</t>
  </si>
  <si>
    <t>Virgin Galactic</t>
  </si>
  <si>
    <t>Tail Risk</t>
  </si>
  <si>
    <t>Hussman</t>
  </si>
  <si>
    <t>Financial Ratio</t>
  </si>
  <si>
    <t>FY2023</t>
  </si>
  <si>
    <t>FY2022</t>
  </si>
  <si>
    <t>Formula</t>
  </si>
  <si>
    <t>Purpose</t>
  </si>
  <si>
    <t>Liquidity Ratios</t>
  </si>
  <si>
    <t>Current Ratio</t>
  </si>
  <si>
    <t>2.1x</t>
  </si>
  <si>
    <t>1.8x</t>
  </si>
  <si>
    <t>Current Assets / Current Liabilities</t>
  </si>
  <si>
    <t>Measures the ability to pay short-term obligations with short-term assets</t>
  </si>
  <si>
    <t>Quick Ratio(Acid-Test Ratio)</t>
  </si>
  <si>
    <t>1.5x</t>
  </si>
  <si>
    <t>1.3x</t>
  </si>
  <si>
    <t>(Current Assets - Inventory) / Current Liabilities</t>
  </si>
  <si>
    <t>Similar to the current ratio but excludes inventory, providing a stricter assessment of liquidity.</t>
  </si>
  <si>
    <t>Cash Ratio</t>
  </si>
  <si>
    <t>Formula: Cash + Cash Equivalents/Current Liabilities</t>
  </si>
  <si>
    <t>Measures the company's ability to cover short-term liabilities with cash and cash equivalents.</t>
  </si>
  <si>
    <t>Leverage/Solvency Ratios</t>
  </si>
  <si>
    <t>Interest Coverage Ratio:</t>
  </si>
  <si>
    <t>Formula: Operating Income/Interest Expense</t>
  </si>
  <si>
    <t>Purpose: Assesses how easily a company can pay interest on its outstanding debt.</t>
  </si>
  <si>
    <t>Debt Ratio:</t>
  </si>
  <si>
    <t>Formula: Total Debt/Total Assets</t>
  </si>
  <si>
    <t>Purpose: Measures the percentage of assets financed by debt.</t>
  </si>
  <si>
    <t>Debt to Equity Ratio</t>
  </si>
  <si>
    <t>0.6x</t>
  </si>
  <si>
    <t>0.7x</t>
  </si>
  <si>
    <t>Total Debt / Total Equity</t>
  </si>
  <si>
    <t>Debt Service Coverage Ratio</t>
  </si>
  <si>
    <t>1.6x</t>
  </si>
  <si>
    <t>Net Operating Income / Total Debt Service</t>
  </si>
  <si>
    <t>Profitability Ratios</t>
  </si>
  <si>
    <t>Gross Margin</t>
  </si>
  <si>
    <t>Gross Profit / Revenue</t>
  </si>
  <si>
    <t>Net Profit Margin</t>
  </si>
  <si>
    <t>Net Income / Revenue</t>
  </si>
  <si>
    <t>Efficiency Ratios</t>
  </si>
  <si>
    <t>Gross Profit Margin:</t>
  </si>
  <si>
    <t>(Gross Profit/Revenue)×100</t>
  </si>
  <si>
    <t>Operating Profit Margin:</t>
  </si>
  <si>
    <t>(Operating Income/Revenue)×100</t>
  </si>
  <si>
    <t>Net Profit Margin:</t>
  </si>
  <si>
    <t>(Net Income/Revenue)×100</t>
  </si>
  <si>
    <t>Indicates the percentage of revenue that remains as profit after all expenses.</t>
  </si>
  <si>
    <t>Return on Assets (ROA):</t>
  </si>
  <si>
    <t>(Net Income/Total Assets)×100</t>
  </si>
  <si>
    <t>Measures how effectively a company uses its assets to generate profit.</t>
  </si>
  <si>
    <t>Return on Equity (ROE):</t>
  </si>
  <si>
    <t>(Net Income/Shareholder’s Equity)×100</t>
  </si>
  <si>
    <t>Indicates the return generated on shareholders' equity.</t>
  </si>
  <si>
    <t>Asset Turnover Ratio:</t>
  </si>
  <si>
    <t>Revenue/Total Assets</t>
  </si>
  <si>
    <t>Purpose: Shows how efficiently a company uses its assets to generate revenue.</t>
  </si>
  <si>
    <t>Inventory Turnover Ratio:</t>
  </si>
  <si>
    <t>Cost of Goods Sold/Average Inventory</t>
  </si>
  <si>
    <t>Purpose: Indicates how often inventory is sold and replaced over a period.</t>
  </si>
  <si>
    <t>Receivables Turnover Ratio:</t>
  </si>
  <si>
    <t>Net Credit Sales/Average Accounts Receivable</t>
  </si>
  <si>
    <t>Purpose: Measures how efficiently a company collects receivables.</t>
  </si>
  <si>
    <t>Payables Turnover Ratio:</t>
  </si>
  <si>
    <t>Cost of Goods Sold/Average Accounts Payable</t>
  </si>
  <si>
    <t>Formula: Cost of Goods Sold/Average Accounts Payable</t>
  </si>
  <si>
    <t>CASH FLOWS</t>
  </si>
  <si>
    <t>Operating Cash Flow (OCF)</t>
  </si>
  <si>
    <t>Net Income+Non-Cash Expenses+Changes in Working Capital</t>
  </si>
  <si>
    <t>Purpose: OCF indicates the cash generated by the company’s core business operations. It’s crucial to determine whether a company can generate sufficient cash from its regular operations to sustain its business.</t>
  </si>
  <si>
    <t>Key Metric: Compare OCF to net income. Ideally, OCF should consistently exceed net income, indicating that earnings are backed by real cash, not just accounting profits.</t>
  </si>
  <si>
    <t>Consistency: Look for companies with a stable or growing OCF over multiple periods. This suggests strong, recurring cash generation from business operations.</t>
  </si>
  <si>
    <t>Free Cash Flow (FCF)</t>
  </si>
  <si>
    <t>Operating Cash Flow−Capital Expenditures</t>
  </si>
  <si>
    <t>Purpose: FCF is the cash available after capital expenditures (CapEx) and is essential for understanding how much cash the company has to return to shareholders (through dividends or buybacks), reduce debt, or reinvest in the business.</t>
  </si>
  <si>
    <t>Cash Flow from Investing Activities</t>
  </si>
  <si>
    <t>Proceeds from Sale of PPE−Purchase of PPE+Proceeds from Sale of Investments−Purchase of Investments±Other Investing Activities</t>
  </si>
  <si>
    <t>CapEx: High and consistent CapEx may indicate ongoing investments in growth, but it can also consume significant cash. It’s important to assess whether these investments are translating into future revenue and profit growth.Asset Sales: Frequent or significant asset sales could be a red flag, suggesting the company is selling off parts of its business to generate cash.</t>
  </si>
  <si>
    <t>Cash Flow from Financing Activities</t>
  </si>
  <si>
    <t>Proceeds from Borrowing−Repayment of Debt+Proceeds from Issuing Stock−Repurchase of Stock−Dividends Paid</t>
  </si>
  <si>
    <t>Purpose: This section shows cash used in or generated by the company’s investment activities, such as purchasing assets, selling assets, or acquiring other businesses.</t>
  </si>
  <si>
    <t>Cash Conversion Cycle (CCC)</t>
  </si>
  <si>
    <t>Days Inventory Outstanding (DIO)+Days Sales Outstanding (DSO)−Days Payable Outstanding (DPO)</t>
  </si>
  <si>
    <t>Purpose: CCC measures the time it takes for a company to convert its investments in inventory and other resources into cash flows from sales. A shorter CCC indicates efficient management of working capital.</t>
  </si>
  <si>
    <t>Comparative Analysis</t>
  </si>
  <si>
    <t>Compare the cash flow metrics of the company with its industry peers. This provides context on whether the company is performing better or worse than its competitors.</t>
  </si>
  <si>
    <t>Key Insights: Look at industry norms for OCF, FCF, and CapEx intensity. Companies outperforming their peers in these areas may represent solid investment opportunities.</t>
  </si>
  <si>
    <t>Trend Analysis</t>
  </si>
  <si>
    <t>Key Metric: A decreasing CCC over time suggests improving efficiency in managing inventory, receivables, and payables.</t>
  </si>
  <si>
    <t>Key Insights: A company with consistently improving cash flows is generally a better investment candidate than one with erratic or declining cash flows.</t>
  </si>
  <si>
    <t>Scenario and Sensitivity Analysis</t>
  </si>
  <si>
    <t>Purpose: Conduct scenario analysis to assess how changes in key assumptions (like revenue growth, margins, or CapEx) impact cash flows.</t>
  </si>
  <si>
    <t>Key Insights: Sensitivity analysis helps in understanding the robustness of the company’s cash flows under various economic or business conditions.</t>
  </si>
  <si>
    <t>Stock Market Ratios</t>
  </si>
  <si>
    <t>Earnings Per Share (EPS):</t>
  </si>
  <si>
    <r>
      <rPr>
        <rFont val="Arial"/>
        <b/>
        <color theme="1"/>
        <sz val="14.0"/>
      </rPr>
      <t>Formula:</t>
    </r>
    <r>
      <rPr>
        <rFont val="Arial"/>
        <b/>
        <color theme="1"/>
        <sz val="14.0"/>
      </rPr>
      <t xml:space="preserve"> </t>
    </r>
    <r>
      <rPr>
        <rFont val="Arial"/>
        <b/>
        <color theme="1"/>
        <sz val="14.0"/>
      </rPr>
      <t>Net Income</t>
    </r>
    <r>
      <rPr>
        <rFont val="Arial"/>
        <b/>
        <color theme="1"/>
        <sz val="14.0"/>
      </rPr>
      <t>/</t>
    </r>
    <r>
      <rPr>
        <rFont val="Arial"/>
        <b/>
        <color theme="1"/>
        <sz val="14.0"/>
      </rPr>
      <t>Number of Outstanding Shares</t>
    </r>
  </si>
  <si>
    <r>
      <rPr>
        <rFont val="Arial"/>
        <b/>
        <color theme="1"/>
        <sz val="14.0"/>
      </rPr>
      <t>Purpose:</t>
    </r>
    <r>
      <rPr>
        <rFont val="Arial"/>
        <b/>
        <color theme="1"/>
        <sz val="14.0"/>
      </rPr>
      <t xml:space="preserve"> Indicates the portion of a company's profit allocated to each outstanding share of common stock.</t>
    </r>
  </si>
  <si>
    <t>Price to Earnings Ratio (P/E Ratio):</t>
  </si>
  <si>
    <r>
      <rPr>
        <rFont val="Arial"/>
        <b/>
        <color theme="1"/>
        <sz val="14.0"/>
      </rPr>
      <t>Formula:</t>
    </r>
    <r>
      <rPr>
        <rFont val="Arial"/>
        <b/>
        <color theme="1"/>
        <sz val="14.0"/>
      </rPr>
      <t xml:space="preserve"> </t>
    </r>
    <r>
      <rPr>
        <rFont val="Arial"/>
        <b/>
        <color theme="1"/>
        <sz val="14.0"/>
      </rPr>
      <t>Market Price per Share</t>
    </r>
    <r>
      <rPr>
        <rFont val="Arial"/>
        <b/>
        <color theme="1"/>
        <sz val="14.0"/>
      </rPr>
      <t>/</t>
    </r>
    <r>
      <rPr>
        <rFont val="Arial"/>
        <b/>
        <color theme="1"/>
        <sz val="14.0"/>
      </rPr>
      <t>Earnings per Share (EPS)</t>
    </r>
  </si>
  <si>
    <r>
      <rPr>
        <rFont val="Arial"/>
        <b/>
        <color theme="1"/>
        <sz val="14.0"/>
      </rPr>
      <t>Purpose:</t>
    </r>
    <r>
      <rPr>
        <rFont val="Arial"/>
        <b/>
        <color theme="1"/>
        <sz val="14.0"/>
      </rPr>
      <t xml:space="preserve"> Measures the market value per share relative to the earnings per share.</t>
    </r>
  </si>
  <si>
    <t>Dividend Yield:</t>
  </si>
  <si>
    <r>
      <rPr>
        <rFont val="Arial"/>
        <b/>
        <color theme="1"/>
        <sz val="14.0"/>
      </rPr>
      <t>Formula:</t>
    </r>
    <r>
      <rPr>
        <rFont val="Arial"/>
        <b/>
        <color theme="1"/>
        <sz val="14.0"/>
      </rPr>
      <t xml:space="preserve"> </t>
    </r>
    <r>
      <rPr>
        <rFont val="Arial"/>
        <b/>
        <color theme="1"/>
        <sz val="14.0"/>
      </rPr>
      <t>Annual Dividends per Share</t>
    </r>
    <r>
      <rPr>
        <rFont val="Arial"/>
        <b/>
        <color theme="1"/>
        <sz val="14.0"/>
      </rPr>
      <t>/</t>
    </r>
    <r>
      <rPr>
        <rFont val="Arial"/>
        <b/>
        <color theme="1"/>
        <sz val="14.0"/>
      </rPr>
      <t>Price per Share</t>
    </r>
  </si>
  <si>
    <r>
      <rPr>
        <rFont val="Arial"/>
        <b/>
        <color theme="1"/>
        <sz val="14.0"/>
      </rPr>
      <t>Purpose:</t>
    </r>
    <r>
      <rPr>
        <rFont val="Arial"/>
        <b/>
        <color theme="1"/>
        <sz val="14.0"/>
      </rPr>
      <t xml:space="preserve"> Shows how much a company pays out in dividends each year relative to its stock price.</t>
    </r>
  </si>
  <si>
    <t>Price to Book Ratio (P/B Ratio):</t>
  </si>
  <si>
    <r>
      <rPr>
        <rFont val="Arial"/>
        <b/>
        <color theme="1"/>
        <sz val="14.0"/>
      </rPr>
      <t>Formula:</t>
    </r>
    <r>
      <rPr>
        <rFont val="Arial"/>
        <b/>
        <color theme="1"/>
        <sz val="14.0"/>
      </rPr>
      <t xml:space="preserve"> </t>
    </r>
    <r>
      <rPr>
        <rFont val="Arial"/>
        <b/>
        <color theme="1"/>
        <sz val="14.0"/>
      </rPr>
      <t>Market Price per Share</t>
    </r>
    <r>
      <rPr>
        <rFont val="Arial"/>
        <b/>
        <color theme="1"/>
        <sz val="14.0"/>
      </rPr>
      <t>/</t>
    </r>
    <r>
      <rPr>
        <rFont val="Arial"/>
        <b/>
        <color theme="1"/>
        <sz val="14.0"/>
      </rPr>
      <t>Book Value per Share</t>
    </r>
  </si>
  <si>
    <r>
      <rPr>
        <rFont val="Arial"/>
        <b/>
        <color theme="1"/>
        <sz val="14.0"/>
      </rPr>
      <t>Purpose:</t>
    </r>
    <r>
      <rPr>
        <rFont val="Arial"/>
        <b/>
        <color theme="1"/>
        <sz val="14.0"/>
      </rPr>
      <t xml:space="preserve"> Compares a company's market value to its book value.</t>
    </r>
  </si>
  <si>
    <r>
      <rPr>
        <rFont val="Arial"/>
        <b/>
        <color theme="1"/>
        <sz val="14.0"/>
      </rPr>
      <t xml:space="preserve">6. </t>
    </r>
    <r>
      <rPr>
        <rFont val="Arial"/>
        <b/>
        <color theme="1"/>
        <sz val="14.0"/>
      </rPr>
      <t>Growth Ratios (Optional)</t>
    </r>
  </si>
  <si>
    <t>These ratios assess the company’s growth over time.</t>
  </si>
  <si>
    <t>Revenue Growth Rate:</t>
  </si>
  <si>
    <r>
      <rPr>
        <rFont val="Arial"/>
        <b/>
        <color theme="1"/>
        <sz val="14.0"/>
      </rPr>
      <t>Formula:</t>
    </r>
    <r>
      <rPr>
        <rFont val="Arial"/>
        <b/>
        <color theme="1"/>
        <sz val="14.0"/>
      </rPr>
      <t xml:space="preserve"> </t>
    </r>
    <r>
      <rPr>
        <rFont val="Arial"/>
        <b/>
        <color theme="1"/>
        <sz val="14.0"/>
      </rPr>
      <t>(</t>
    </r>
    <r>
      <rPr>
        <rFont val="Arial"/>
        <b/>
        <color theme="1"/>
        <sz val="14.0"/>
      </rPr>
      <t>Current Period Revenue</t>
    </r>
    <r>
      <rPr>
        <rFont val="Arial"/>
        <b/>
        <color theme="1"/>
        <sz val="14.0"/>
      </rPr>
      <t>−</t>
    </r>
    <r>
      <rPr>
        <rFont val="Arial"/>
        <b/>
        <color theme="1"/>
        <sz val="14.0"/>
      </rPr>
      <t>Previous Period Revenue</t>
    </r>
    <r>
      <rPr>
        <rFont val="Arial"/>
        <b/>
        <color theme="1"/>
        <sz val="14.0"/>
      </rPr>
      <t>)</t>
    </r>
    <r>
      <rPr>
        <rFont val="Arial"/>
        <b/>
        <color theme="1"/>
        <sz val="14.0"/>
      </rPr>
      <t>/</t>
    </r>
    <r>
      <rPr>
        <rFont val="Arial"/>
        <b/>
        <color theme="1"/>
        <sz val="14.0"/>
      </rPr>
      <t>Previous Period Revenue</t>
    </r>
    <r>
      <rPr>
        <rFont val="Arial"/>
        <b/>
        <color theme="1"/>
        <sz val="14.0"/>
      </rPr>
      <t xml:space="preserve"> \times 100</t>
    </r>
  </si>
  <si>
    <r>
      <rPr>
        <rFont val="Arial"/>
        <b/>
        <color theme="1"/>
        <sz val="14.0"/>
      </rPr>
      <t>Purpose:</t>
    </r>
    <r>
      <rPr>
        <rFont val="Arial"/>
        <b/>
        <color theme="1"/>
        <sz val="14.0"/>
      </rPr>
      <t xml:space="preserve"> Measures the increase in revenue from one period to the next.</t>
    </r>
  </si>
  <si>
    <t>Earnings Growth Rate:</t>
  </si>
  <si>
    <r>
      <rPr>
        <rFont val="Arial"/>
        <b/>
        <color theme="1"/>
        <sz val="14.0"/>
      </rPr>
      <t>Formula:</t>
    </r>
    <r>
      <rPr>
        <rFont val="Arial"/>
        <b/>
        <color theme="1"/>
        <sz val="14.0"/>
      </rPr>
      <t xml:space="preserve"> </t>
    </r>
    <r>
      <rPr>
        <rFont val="Arial"/>
        <b/>
        <color theme="1"/>
        <sz val="14.0"/>
      </rPr>
      <t>(</t>
    </r>
    <r>
      <rPr>
        <rFont val="Arial"/>
        <b/>
        <color theme="1"/>
        <sz val="14.0"/>
      </rPr>
      <t>Current Period Earnings</t>
    </r>
    <r>
      <rPr>
        <rFont val="Arial"/>
        <b/>
        <color theme="1"/>
        <sz val="14.0"/>
      </rPr>
      <t>−</t>
    </r>
    <r>
      <rPr>
        <rFont val="Arial"/>
        <b/>
        <color theme="1"/>
        <sz val="14.0"/>
      </rPr>
      <t>Previous Period Earnings</t>
    </r>
    <r>
      <rPr>
        <rFont val="Arial"/>
        <b/>
        <color theme="1"/>
        <sz val="14.0"/>
      </rPr>
      <t>)</t>
    </r>
    <r>
      <rPr>
        <rFont val="Arial"/>
        <b/>
        <color theme="1"/>
        <sz val="14.0"/>
      </rPr>
      <t>/</t>
    </r>
    <r>
      <rPr>
        <rFont val="Arial"/>
        <b/>
        <color theme="1"/>
        <sz val="14.0"/>
      </rPr>
      <t>Previous Period Earnings</t>
    </r>
    <r>
      <rPr>
        <rFont val="Arial"/>
        <b/>
        <color theme="1"/>
        <sz val="14.0"/>
      </rPr>
      <t xml:space="preserve"> \times 100</t>
    </r>
  </si>
  <si>
    <r>
      <rPr>
        <rFont val="Arial"/>
        <b/>
        <color theme="1"/>
        <sz val="14.0"/>
      </rPr>
      <t>Purpose:</t>
    </r>
    <r>
      <rPr>
        <rFont val="Arial"/>
        <b/>
        <color theme="1"/>
        <sz val="14.0"/>
      </rPr>
      <t xml:space="preserve"> Assesses the growth in earnings over time.</t>
    </r>
  </si>
  <si>
    <t>Organizing the Dashboard</t>
  </si>
  <si>
    <r>
      <rPr>
        <rFont val="Arial"/>
        <b/>
        <color theme="1"/>
        <sz val="14.0"/>
      </rPr>
      <t>Section Headers:</t>
    </r>
    <r>
      <rPr>
        <rFont val="Arial"/>
        <b/>
        <color theme="1"/>
        <sz val="14.0"/>
      </rPr>
      <t xml:space="preserve"> Divide your dashboard into sections based on the categories mentioned above (Profitability, Liquidity, Leverage, etc.).</t>
    </r>
  </si>
  <si>
    <r>
      <rPr>
        <rFont val="Arial"/>
        <b/>
        <color theme="1"/>
        <sz val="14.0"/>
      </rPr>
      <t>Visual Representation:</t>
    </r>
    <r>
      <rPr>
        <rFont val="Arial"/>
        <b/>
        <color theme="1"/>
        <sz val="14.0"/>
      </rPr>
      <t xml:space="preserve"> Use charts, such as bar graphs, line charts, and pie charts, to visually represent key ratios and trends over time.</t>
    </r>
  </si>
  <si>
    <r>
      <rPr>
        <rFont val="Arial"/>
        <b/>
        <color theme="1"/>
        <sz val="14.0"/>
      </rPr>
      <t>Interactive Elements:</t>
    </r>
    <r>
      <rPr>
        <rFont val="Arial"/>
        <b/>
        <color theme="1"/>
        <sz val="14.0"/>
      </rPr>
      <t xml:space="preserve"> Incorporate Excel features like slicers or drop-down menus to filter data by time period, segment, or other criteria.</t>
    </r>
  </si>
  <si>
    <r>
      <rPr>
        <rFont val="Arial"/>
        <b/>
        <color theme="1"/>
        <sz val="14.0"/>
      </rPr>
      <t>Summary Indicators:</t>
    </r>
    <r>
      <rPr>
        <rFont val="Arial"/>
        <b/>
        <color theme="1"/>
        <sz val="14.0"/>
      </rPr>
      <t xml:space="preserve"> Include key metrics at the top of the dashboard, such as overall profitability or liquidity status, to provide an at-a-glance overview of the company's financial health.</t>
    </r>
  </si>
  <si>
    <t>How to approach finding value</t>
  </si>
  <si>
    <t>Screener</t>
  </si>
  <si>
    <t>Scour the holdings from the best growth ETFs.</t>
  </si>
  <si>
    <t>You'll want to narrow the field using financial metrics such as return on assets, earnings per share growth, higher price-to-sales and price-to-cash-flow ratios.</t>
  </si>
  <si>
    <t>The fund's fact sheet is an excellent place to find basic information such as its top 10 holdings, top sector weightings, and fund characteristics.</t>
  </si>
  <si>
    <t>learning about the business model, its financial situation and anything else that might influence its share price in the future.</t>
  </si>
  <si>
    <t>Think like a partner</t>
  </si>
  <si>
    <t>IFTRUE(B1,)</t>
  </si>
  <si>
    <t>google finance</t>
  </si>
  <si>
    <t>Technical Analysis</t>
  </si>
  <si>
    <t>Fundamental</t>
  </si>
  <si>
    <t>Basic Info</t>
  </si>
  <si>
    <t>?, check RK</t>
  </si>
  <si>
    <t>INPUT:</t>
  </si>
  <si>
    <t>GE</t>
  </si>
  <si>
    <t>change %</t>
  </si>
  <si>
    <t>Price</t>
  </si>
  <si>
    <t>CIK</t>
  </si>
  <si>
    <t>&lt;1 week</t>
  </si>
  <si>
    <t>Sector</t>
  </si>
  <si>
    <t>1-2w</t>
  </si>
  <si>
    <t>%to52w hi</t>
  </si>
  <si>
    <t>company</t>
  </si>
  <si>
    <t>2-4w</t>
  </si>
  <si>
    <t>%from52low</t>
  </si>
  <si>
    <t>val</t>
  </si>
  <si>
    <t>p/e</t>
  </si>
  <si>
    <t>P/e No Growth(0%)</t>
  </si>
  <si>
    <t>EPS</t>
  </si>
  <si>
    <t>52range</t>
  </si>
  <si>
    <t>Growth Rate????</t>
  </si>
  <si>
    <t>data delay</t>
  </si>
  <si>
    <t>return1w</t>
  </si>
  <si>
    <t>2 g:</t>
  </si>
  <si>
    <t>52hi</t>
  </si>
  <si>
    <t>return4w</t>
  </si>
  <si>
    <t>Avg Yield AAA bond:</t>
  </si>
  <si>
    <t>52lo</t>
  </si>
  <si>
    <t>return13w</t>
  </si>
  <si>
    <t>Y=Moodys Seasoned AAA</t>
  </si>
  <si>
    <t>googlefinance(B2,</t>
  </si>
  <si>
    <t>return52w</t>
  </si>
  <si>
    <t>beta</t>
  </si>
  <si>
    <t>return156w</t>
  </si>
  <si>
    <t>shares</t>
  </si>
  <si>
    <t>return260w</t>
  </si>
  <si>
    <t>distrib yield</t>
  </si>
  <si>
    <t>close yesterday</t>
  </si>
  <si>
    <t>ytdreturn</t>
  </si>
  <si>
    <t>Insider Buying</t>
  </si>
  <si>
    <t>65%mos</t>
  </si>
  <si>
    <t>scrape on cgi script</t>
  </si>
  <si>
    <t>data.sec.gov</t>
  </si>
  <si>
    <t>https://www.sec.gov/cgi-bin/browse-edgar?action=getcurrent</t>
  </si>
  <si>
    <t>SEC Meetings</t>
  </si>
  <si>
    <t>Build a Screener Resources</t>
  </si>
  <si>
    <t>Dividendology Stock Watch search</t>
  </si>
  <si>
    <t>var index = 1; [].forEach.call(document.getElementsByTagName("table"), function(elements) { console.log("Index: " + index++, elements); });</t>
  </si>
  <si>
    <t>Copy and paste the following code into the console to get indexes of all tables:</t>
  </si>
  <si>
    <t>var index = 1; [].forEach.call(document.querySelectorAll("ul,ol"), function(elements) { console.log("Index: " + index++, elements); });</t>
  </si>
  <si>
    <t>If you are looking for all lists’ indexes instead, you need to get all elements with tag &lt;ul&gt; or &lt;ol&gt;. The following code may help you:</t>
  </si>
  <si>
    <t>Currency</t>
  </si>
  <si>
    <t>Stock Ticker</t>
  </si>
  <si>
    <t>Current Price</t>
  </si>
  <si>
    <t>Volume</t>
  </si>
  <si>
    <t>AAPL</t>
  </si>
  <si>
    <t>Day's  $ change</t>
  </si>
  <si>
    <t>Day's % change</t>
  </si>
  <si>
    <t>yesterday close</t>
  </si>
  <si>
    <t>You can remove the asterisk by using the substitute formula. I use this formula in many of my portfolio trackers. Go back and view some of my portfolio tracker videos to see how I use this.</t>
  </si>
  <si>
    <t>Ticker</t>
  </si>
  <si>
    <t>Name</t>
  </si>
  <si>
    <t>Day's change</t>
  </si>
  <si>
    <t>Day's change %</t>
  </si>
  <si>
    <t>Dividend</t>
  </si>
  <si>
    <t>12 month return</t>
  </si>
  <si>
    <t>EXPR</t>
  </si>
  <si>
    <t>outerHTML</t>
  </si>
  <si>
    <t>&lt;span class="Fw(600)"&gt;Technology&lt;/span&gt;</t>
  </si>
  <si>
    <t>selector</t>
  </si>
  <si>
    <t>#Col1-0-Profile-Proxy &gt; section &gt; div.asset-profile-container &gt; div &gt; div &gt; p.D\(ib\).Va\(t\) &gt; span:nth-child(2)</t>
  </si>
  <si>
    <t>xpath</t>
  </si>
  <si>
    <t>//*[@id="Col1-0-Profile-Proxy"]/section/div[1]/div/div/p[2]/span[2]</t>
  </si>
  <si>
    <t>What it do?</t>
  </si>
  <si>
    <t>full. xpath</t>
  </si>
  <si>
    <t>/html/body/div[1]/div/div/div[1]/div/div[3]/div[1]/div/div[1]/section/div[1]/div/div/p[2]/span[2]</t>
  </si>
  <si>
    <t>("//a/@href")</t>
  </si>
  <si>
    <t>"https://finviz.com/quote.ashx?t="&amp;B56,"table","10")</t>
  </si>
  <si>
    <t>&lt;div class="quote-links"&gt;</t>
  </si>
  <si>
    <t>&lt;div&gt;</t>
  </si>
  <si>
    <t>&lt;a href="screener.ashx?v=111&amp;amp;f=sec_consumercyclical" class="tab-link"&gt;Consumer Cyclical&lt;/a&gt;</t>
  </si>
  <si>
    <t>&lt;span class="text-muted-3"&gt;•&lt;/span&gt;</t>
  </si>
  <si>
    <t>&lt;a href="screener.ashx?v=111&amp;amp;f=ind_apparelretail" class="tab-link"&gt;Apparel Retail&lt;/a&gt;</t>
  </si>
  <si>
    <t>&lt;a href="screener.ashx?v=111&amp;amp;f=geo_usa" class="tab-link"&gt;USA&lt;/a&gt;</t>
  </si>
  <si>
    <t>&lt;a href="screener.ashx?v=111&amp;amp;f=exch_nyse" class="tab-link"&gt;NYSE&lt;/a&gt;</t>
  </si>
  <si>
    <t>&lt;/div&gt;</t>
  </si>
  <si>
    <t>&lt;a href="/quote.ashx?t=EXPR&amp;amp;ta=1&amp;amp;p=d" class="tab-link font-semibold"&gt;Stock Detail&lt;/a&gt;</t>
  </si>
  <si>
    <t>&lt;a href="elite.ashx?utm_source=finviz&amp;amp;utm_medium=banner&amp;amp;utm_campaign=quote-compare-perf" class="tab-link" data-testid="quote-compare-perf-link"&gt;Compare Perf.&lt;/a&gt;</t>
  </si>
  <si>
    <t>&lt;a href="quote.ashx?t=EXPR&amp;amp;ta=1&amp;amp;p=d&amp;amp;ty=oc" class="tab-link"&gt;Options Chain&lt;/a&gt;</t>
  </si>
  <si>
    <t>&lt;a href="/save_to_portfolio.ashx?t=EXPR" class="tab-link"&gt;Save to Portfolio&lt;/a&gt;</t>
  </si>
  <si>
    <t>&lt;a href="elite.ashx?utm_source=finviz&amp;amp;utm_medium=banner&amp;amp;utm_campaign=quote-create-alert" class="tab-link"&gt;Create Alert&lt;/a&gt;</t>
  </si>
  <si>
    <t>TICKER</t>
  </si>
  <si>
    <t>Company</t>
  </si>
  <si>
    <t>Index</t>
  </si>
  <si>
    <t>DIVIDEND</t>
  </si>
  <si>
    <t>Beta</t>
  </si>
  <si>
    <t>INDEX&amp;MATCH</t>
  </si>
  <si>
    <t>seci</t>
  </si>
  <si>
    <t>SECTOR 10 Inc</t>
  </si>
  <si>
    <t>bant</t>
  </si>
  <si>
    <t>Bantec Inc</t>
  </si>
  <si>
    <t>unam</t>
  </si>
  <si>
    <t>Unico American Corp</t>
  </si>
  <si>
    <t>kspn</t>
  </si>
  <si>
    <t>Kaspien Holdings Inc</t>
  </si>
  <si>
    <t>pssr</t>
  </si>
  <si>
    <t>Passur Aerospace Inc</t>
  </si>
  <si>
    <t>slch</t>
  </si>
  <si>
    <t>spotlight Capital Holdings</t>
  </si>
  <si>
    <t>spowf</t>
  </si>
  <si>
    <t>Strata Power Corp</t>
  </si>
  <si>
    <t>bbig</t>
  </si>
  <si>
    <t>Vinco Ventures Inc</t>
  </si>
  <si>
    <t>cwnof</t>
  </si>
  <si>
    <t>Chineseworldnet.Com Inc</t>
  </si>
  <si>
    <t>rgmp</t>
  </si>
  <si>
    <t>Regnum Corp</t>
  </si>
  <si>
    <t>ltryw</t>
  </si>
  <si>
    <t>Lottery.com</t>
  </si>
  <si>
    <t>mmnt</t>
  </si>
  <si>
    <t>Momentous Holdings Corp</t>
  </si>
  <si>
    <t>fdmsf</t>
  </si>
  <si>
    <t>Fandifi Technology Corp</t>
  </si>
  <si>
    <t>gthr</t>
  </si>
  <si>
    <t>GeneThera Inc</t>
  </si>
  <si>
    <t>sgmd</t>
  </si>
  <si>
    <t>Sugarmade Inc</t>
  </si>
  <si>
    <t>wmc</t>
  </si>
  <si>
    <t>Westmount Minerals Corp</t>
  </si>
  <si>
    <t>tdrk</t>
  </si>
  <si>
    <t>Tiderock Companies Inc</t>
  </si>
  <si>
    <t>blis</t>
  </si>
  <si>
    <t>Treasure &amp; Shipwreck Recovery Inc</t>
  </si>
  <si>
    <t>rad</t>
  </si>
  <si>
    <t>Radial Research Corp</t>
  </si>
  <si>
    <t>apsi</t>
  </si>
  <si>
    <t>Aqua Power Systems Inc</t>
  </si>
  <si>
    <t>rahgf</t>
  </si>
  <si>
    <t>Roan Holdings Group Co Ltd</t>
  </si>
  <si>
    <t>scps</t>
  </si>
  <si>
    <t>Scopus Biopharma Inc</t>
  </si>
  <si>
    <t>sset</t>
  </si>
  <si>
    <t>Starstream Entertainment Inc</t>
  </si>
  <si>
    <t>cnbx</t>
  </si>
  <si>
    <t>CNBX Pharmaceuticals Inc</t>
  </si>
  <si>
    <t>mgi</t>
  </si>
  <si>
    <t>Magnum Goldcorp Inc</t>
  </si>
  <si>
    <t>hgyn</t>
  </si>
  <si>
    <t>Hong Yuan Holding Group</t>
  </si>
  <si>
    <t>kmgh</t>
  </si>
  <si>
    <t>Kemiao Garment Holding Group</t>
  </si>
  <si>
    <t>ptoi</t>
  </si>
  <si>
    <t>Plastic2Oil Inc</t>
  </si>
  <si>
    <t>trirf</t>
  </si>
  <si>
    <t>Triterras Inc</t>
  </si>
  <si>
    <t>mccx</t>
  </si>
  <si>
    <t>MCX Technologies Corp</t>
  </si>
  <si>
    <t>duuo</t>
  </si>
  <si>
    <t>Duo World Inc</t>
  </si>
  <si>
    <t>wddd</t>
  </si>
  <si>
    <t>Worlds Inc</t>
  </si>
  <si>
    <t>gspt</t>
  </si>
  <si>
    <t>Super Fresh Foods Inc</t>
  </si>
  <si>
    <t>crtdw</t>
  </si>
  <si>
    <t>CREATD</t>
  </si>
  <si>
    <t>mmmw</t>
  </si>
  <si>
    <t>Mass Megawatts Inc</t>
  </si>
  <si>
    <t>revbw</t>
  </si>
  <si>
    <t>Revelation Biosciences Inc</t>
  </si>
  <si>
    <t>acmb</t>
  </si>
  <si>
    <t>Agro Capital Management Corp</t>
  </si>
  <si>
    <t>nuvi</t>
  </si>
  <si>
    <t>Emo Capital Corp</t>
  </si>
  <si>
    <t>mdl</t>
  </si>
  <si>
    <t>Medallion Resources Ltd</t>
  </si>
  <si>
    <t>mllof</t>
  </si>
  <si>
    <t>tcbpw</t>
  </si>
  <si>
    <t>TC BioPharm Ltd</t>
  </si>
  <si>
    <t>laab</t>
  </si>
  <si>
    <t>Startech Labs Inc</t>
  </si>
  <si>
    <t>rgus</t>
  </si>
  <si>
    <t>REGI U S Inc</t>
  </si>
  <si>
    <t>frzt</t>
  </si>
  <si>
    <t>Freeze Tag Inc</t>
  </si>
  <si>
    <t>psybf</t>
  </si>
  <si>
    <t>Psybio Therapeutics Corp</t>
  </si>
  <si>
    <t>nbco</t>
  </si>
  <si>
    <t>Neon Bloom Inc</t>
  </si>
  <si>
    <t>gkin</t>
  </si>
  <si>
    <t>Guskin Gold Corp</t>
  </si>
  <si>
    <t>luxff</t>
  </si>
  <si>
    <t>Luxxfolio Holdings Inc</t>
  </si>
  <si>
    <t>koan</t>
  </si>
  <si>
    <t>Resonate Blends Inc</t>
  </si>
  <si>
    <t>trtk</t>
  </si>
  <si>
    <t>TORtec Group Corp</t>
  </si>
  <si>
    <t>avpmf</t>
  </si>
  <si>
    <t>Avrupa Minerals Ltd</t>
  </si>
  <si>
    <t>jksm</t>
  </si>
  <si>
    <t>Jacksam Corp</t>
  </si>
  <si>
    <t>hadv</t>
  </si>
  <si>
    <t>Health Advance Inc</t>
  </si>
  <si>
    <t>gblx</t>
  </si>
  <si>
    <t>GB Sciences Inc</t>
  </si>
  <si>
    <t>endv</t>
  </si>
  <si>
    <t>Endonovo Therapeutics Inc</t>
  </si>
  <si>
    <t>nihk</t>
  </si>
  <si>
    <t>Video River Networks, Inc. Common Stock</t>
  </si>
  <si>
    <t>chs</t>
  </si>
  <si>
    <t>Comprehensive Healthcare Systems Inc</t>
  </si>
  <si>
    <t>arebw</t>
  </si>
  <si>
    <t>American Rebel Holdings Inc</t>
  </si>
  <si>
    <t>ukomw</t>
  </si>
  <si>
    <t>Ucommune International Ltd</t>
  </si>
  <si>
    <t>brg</t>
  </si>
  <si>
    <t>Brigadier Gold Ltd</t>
  </si>
  <si>
    <t>andr</t>
  </si>
  <si>
    <t>Andrea Electronics Corporation</t>
  </si>
  <si>
    <t>ger</t>
  </si>
  <si>
    <t>Glen Eagle Resources Inc</t>
  </si>
  <si>
    <t>id</t>
  </si>
  <si>
    <t>Identillect Technologies Corp</t>
  </si>
  <si>
    <t>sqllw</t>
  </si>
  <si>
    <t>SEQLL</t>
  </si>
  <si>
    <t>vism</t>
  </si>
  <si>
    <t>Visium Technologies Inc</t>
  </si>
  <si>
    <t>agriw</t>
  </si>
  <si>
    <t>AgriFORCE Growing Systems</t>
  </si>
  <si>
    <t>svsn</t>
  </si>
  <si>
    <t>Stereo Vision Entertainment Inc</t>
  </si>
  <si>
    <t>cbnt</t>
  </si>
  <si>
    <t>C-Bond Systems Inc</t>
  </si>
  <si>
    <t>purt</t>
  </si>
  <si>
    <t>Purthanol Resources Ltd</t>
  </si>
  <si>
    <t>gmer</t>
  </si>
  <si>
    <t>Good Gaming Inc</t>
  </si>
  <si>
    <t>brshw</t>
  </si>
  <si>
    <t>Bruush Oral Care</t>
  </si>
  <si>
    <t>tamg</t>
  </si>
  <si>
    <t>Transnational Automotive Group Inc Common Stock</t>
  </si>
  <si>
    <t>cpwr</t>
  </si>
  <si>
    <t>Ocean Thermal Energy Corp</t>
  </si>
  <si>
    <t>kitl</t>
  </si>
  <si>
    <t>Kisses From Italy Inc</t>
  </si>
  <si>
    <t>ycrm</t>
  </si>
  <si>
    <t>Yuenglings Ice Cream Corp</t>
  </si>
  <si>
    <t>gcfff</t>
  </si>
  <si>
    <t>Goldcliff Resource Corporation</t>
  </si>
  <si>
    <t>jshg</t>
  </si>
  <si>
    <t>Joshua Gold Resources Inc</t>
  </si>
  <si>
    <t>btzi</t>
  </si>
  <si>
    <t>Bots Inc</t>
  </si>
  <si>
    <t>drop</t>
  </si>
  <si>
    <t>Fuse Science Inc</t>
  </si>
  <si>
    <t>ptnyf</t>
  </si>
  <si>
    <t>ParcelPal Logistics Inc</t>
  </si>
  <si>
    <t>tlcc</t>
  </si>
  <si>
    <t>Twinlab Consolidated Holdings Inc</t>
  </si>
  <si>
    <t>ipix</t>
  </si>
  <si>
    <t>Innovation Pharmaceuticals Inc</t>
  </si>
  <si>
    <t>edblw</t>
  </si>
  <si>
    <t>Edible Garden AG</t>
  </si>
  <si>
    <t>alds</t>
  </si>
  <si>
    <t>APPlife Digital Solutions Inc</t>
  </si>
  <si>
    <t>kor</t>
  </si>
  <si>
    <t>Korab Resources Limited</t>
  </si>
  <si>
    <t>nugl</t>
  </si>
  <si>
    <t>NUGL Inc</t>
  </si>
  <si>
    <t>cnnc</t>
  </si>
  <si>
    <t>Cannonau Corp</t>
  </si>
  <si>
    <t>gultu</t>
  </si>
  <si>
    <t>Gulf Coast Ultra Deep Royalty Trust</t>
  </si>
  <si>
    <t>gmblz</t>
  </si>
  <si>
    <t>Esports Entertainment Group Inc</t>
  </si>
  <si>
    <t>ammj</t>
  </si>
  <si>
    <t>American Cannabis Company Inc</t>
  </si>
  <si>
    <t>tgiff</t>
  </si>
  <si>
    <t>1933 Industries Inc</t>
  </si>
  <si>
    <t>snaxw</t>
  </si>
  <si>
    <t>Stryve Foods</t>
  </si>
  <si>
    <t>gads</t>
  </si>
  <si>
    <t>Gadsden Properties Inc</t>
  </si>
  <si>
    <t>ncr</t>
  </si>
  <si>
    <t>Nucoal Resources Ltd</t>
  </si>
  <si>
    <t>mrge</t>
  </si>
  <si>
    <t>Mirage Energy Corp</t>
  </si>
  <si>
    <t>cgolf</t>
  </si>
  <si>
    <t>Contact Gold Corp</t>
  </si>
  <si>
    <t>nugn</t>
  </si>
  <si>
    <t>Livento Group Inc</t>
  </si>
  <si>
    <t>ceadw</t>
  </si>
  <si>
    <t>CEA Industries</t>
  </si>
  <si>
    <t>newh</t>
  </si>
  <si>
    <t>Newhydrogen Inc</t>
  </si>
  <si>
    <t>unql</t>
  </si>
  <si>
    <t>Unique Logistics International Inc</t>
  </si>
  <si>
    <t>artlw</t>
  </si>
  <si>
    <t>Artelo Biosciences, Inc.</t>
  </si>
  <si>
    <t>wgmcf</t>
  </si>
  <si>
    <t>Winston Gold Corp</t>
  </si>
  <si>
    <t>emp</t>
  </si>
  <si>
    <t>Emperor Energy Ltd</t>
  </si>
  <si>
    <t>basa</t>
  </si>
  <si>
    <t>Basanite Inc</t>
  </si>
  <si>
    <t>nulgf</t>
  </si>
  <si>
    <t>Nulegacy Gold Corp</t>
  </si>
  <si>
    <t>ibg</t>
  </si>
  <si>
    <t>Ironbark Zinc Limited</t>
  </si>
  <si>
    <t>henc</t>
  </si>
  <si>
    <t>Hero Technologies Inc</t>
  </si>
  <si>
    <t>vssyw</t>
  </si>
  <si>
    <t>Versus Systems</t>
  </si>
  <si>
    <t>halb</t>
  </si>
  <si>
    <t>Halberd Corp</t>
  </si>
  <si>
    <t>bwmg</t>
  </si>
  <si>
    <t>Brownie's Marine Group Inc.</t>
  </si>
  <si>
    <t>lmrmf</t>
  </si>
  <si>
    <t>Lomiko Metals Inc</t>
  </si>
  <si>
    <t>cssel</t>
  </si>
  <si>
    <t>Chicken Soup for the Soul</t>
  </si>
  <si>
    <t>kttaw</t>
  </si>
  <si>
    <t>Pasithea Therapeutics</t>
  </si>
  <si>
    <t>gfoo</t>
  </si>
  <si>
    <t>Genufood Energy Enzymes Corp</t>
  </si>
  <si>
    <t>scyyf</t>
  </si>
  <si>
    <t>Scandium International Mining Corp</t>
  </si>
  <si>
    <t>aiad</t>
  </si>
  <si>
    <t>Aiadvertising Inc</t>
  </si>
  <si>
    <t>lbtd</t>
  </si>
  <si>
    <t>Lotus Bio-Technology Development Corp</t>
  </si>
  <si>
    <t>lidrw</t>
  </si>
  <si>
    <t>AEye</t>
  </si>
  <si>
    <t>wtkn</t>
  </si>
  <si>
    <t>CLSTV Corp</t>
  </si>
  <si>
    <t>hgld</t>
  </si>
  <si>
    <t>Patagonia Gold Corp</t>
  </si>
  <si>
    <t>bmxc</t>
  </si>
  <si>
    <t>Bemax Inc</t>
  </si>
  <si>
    <t>ocln</t>
  </si>
  <si>
    <t>OriginClear Inc</t>
  </si>
  <si>
    <t>nink</t>
  </si>
  <si>
    <t>NAMI Corp.</t>
  </si>
  <si>
    <t>strcw</t>
  </si>
  <si>
    <t>Sarcos</t>
  </si>
  <si>
    <t>rmsl</t>
  </si>
  <si>
    <t>REMSleep Holdings Inc</t>
  </si>
  <si>
    <t>ffiew</t>
  </si>
  <si>
    <t>Faraday Future</t>
  </si>
  <si>
    <t>sipn</t>
  </si>
  <si>
    <t>SIPP International Industries, Inc. Common Stock</t>
  </si>
  <si>
    <t>srznw</t>
  </si>
  <si>
    <t>Surrozen</t>
  </si>
  <si>
    <t>hofvw</t>
  </si>
  <si>
    <t>Hall Of Fame Resort</t>
  </si>
  <si>
    <t>pphpw</t>
  </si>
  <si>
    <t>PHP Ventures Acquisition</t>
  </si>
  <si>
    <t>fhs</t>
  </si>
  <si>
    <t>Freehill Mining Ltd</t>
  </si>
  <si>
    <t>ispow</t>
  </si>
  <si>
    <t>Inspirato Inc</t>
  </si>
  <si>
    <t>curiw</t>
  </si>
  <si>
    <t>Curiosity Stream</t>
  </si>
  <si>
    <t>vweww</t>
  </si>
  <si>
    <t>Vintage Wine Estates</t>
  </si>
  <si>
    <t>cmaxw</t>
  </si>
  <si>
    <t>CareMax</t>
  </si>
  <si>
    <t>bfriw</t>
  </si>
  <si>
    <t>Biofrontera</t>
  </si>
  <si>
    <t>sondw</t>
  </si>
  <si>
    <t>Sonder</t>
  </si>
  <si>
    <t>swvlw</t>
  </si>
  <si>
    <t>Swvl Hldgs</t>
  </si>
  <si>
    <t>cptnw</t>
  </si>
  <si>
    <t>Cepton</t>
  </si>
  <si>
    <t>novvw</t>
  </si>
  <si>
    <t>Nova Vision Acquisition</t>
  </si>
  <si>
    <t>sfrx</t>
  </si>
  <si>
    <t>Seafarer Exploration Corp</t>
  </si>
  <si>
    <t>adocw</t>
  </si>
  <si>
    <t>Edoc Acquisition</t>
  </si>
  <si>
    <t>kwacw</t>
  </si>
  <si>
    <t>KINGSWOOD ACQUISITION Corp</t>
  </si>
  <si>
    <t>winvw</t>
  </si>
  <si>
    <t>WinVest Acquisition</t>
  </si>
  <si>
    <t>kpltw</t>
  </si>
  <si>
    <t>Katapult</t>
  </si>
  <si>
    <t>aimaw</t>
  </si>
  <si>
    <t>Aimfinity Investment Corp I</t>
  </si>
  <si>
    <t>stixw</t>
  </si>
  <si>
    <t>Semantix</t>
  </si>
  <si>
    <t>rcrtw</t>
  </si>
  <si>
    <t>Recruiter.com</t>
  </si>
  <si>
    <t>prenw</t>
  </si>
  <si>
    <t>Prenetics</t>
  </si>
  <si>
    <t>hysr</t>
  </si>
  <si>
    <t>Sunhydrogen Inc</t>
  </si>
  <si>
    <t>rfacw</t>
  </si>
  <si>
    <t>RF Acquisition</t>
  </si>
  <si>
    <t>ficvw</t>
  </si>
  <si>
    <t>Frontier Investment</t>
  </si>
  <si>
    <t>eacpw</t>
  </si>
  <si>
    <t>Edify Acq</t>
  </si>
  <si>
    <t>alsaw</t>
  </si>
  <si>
    <t>Alpha Star Acq</t>
  </si>
  <si>
    <t>fnvtw</t>
  </si>
  <si>
    <t>Finnovate Acquisition</t>
  </si>
  <si>
    <t>fxcor</t>
  </si>
  <si>
    <t>Financial Strategies Acquisition Rights Class A</t>
  </si>
  <si>
    <t>mcacw</t>
  </si>
  <si>
    <t>Monterey Capital Acq</t>
  </si>
  <si>
    <t>aagh</t>
  </si>
  <si>
    <t>America Great Health</t>
  </si>
  <si>
    <t>cmcz</t>
  </si>
  <si>
    <t>CURTIS MATHES Ord Shs</t>
  </si>
  <si>
    <t>awon</t>
  </si>
  <si>
    <t>A1 Group Inc</t>
  </si>
  <si>
    <t>yuka</t>
  </si>
  <si>
    <t>Yuka Group Ord Shs</t>
  </si>
  <si>
    <t>hhse</t>
  </si>
  <si>
    <t>Hannover House Inc</t>
  </si>
  <si>
    <t>bcdaw</t>
  </si>
  <si>
    <t>BioCardia</t>
  </si>
  <si>
    <t>kxinw</t>
  </si>
  <si>
    <t>a</t>
  </si>
  <si>
    <t>igpk</t>
  </si>
  <si>
    <t>Integrated Cannabis Solutions Ord Shs</t>
  </si>
  <si>
    <t>rkos</t>
  </si>
  <si>
    <t>Arkose Energy Ord Shs</t>
  </si>
  <si>
    <t>sode</t>
  </si>
  <si>
    <t>Social Detention Ord Shs</t>
  </si>
  <si>
    <t>tqlb</t>
  </si>
  <si>
    <t>Torque Lifestyle Brands Ord Shs</t>
  </si>
  <si>
    <t>aqui</t>
  </si>
  <si>
    <t>Aquagold International Ord Shs</t>
  </si>
  <si>
    <t>afdg</t>
  </si>
  <si>
    <t>African Discovery Group Ord Shs</t>
  </si>
  <si>
    <t>iwal</t>
  </si>
  <si>
    <t>IWALLET Ord Shs</t>
  </si>
  <si>
    <t>pmby</t>
  </si>
  <si>
    <t>PMB Aerospace Ord Shs</t>
  </si>
  <si>
    <t>mkgp</t>
  </si>
  <si>
    <t>Maverick Energy Group Ord Shs</t>
  </si>
  <si>
    <t>cxcq</t>
  </si>
  <si>
    <t>Cardxx Ord Shs</t>
  </si>
  <si>
    <t>aunff</t>
  </si>
  <si>
    <t>Aurcana Silver Corp</t>
  </si>
  <si>
    <t>wsrc</t>
  </si>
  <si>
    <t>Western Sierra Resource Corp</t>
  </si>
  <si>
    <t>bnl</t>
  </si>
  <si>
    <t>Blue Star Helium Ltd</t>
  </si>
  <si>
    <t>1.11</t>
  </si>
  <si>
    <t>prle</t>
  </si>
  <si>
    <t>PARAGON REAL ESTATE EQUITY REIT Common Stock</t>
  </si>
  <si>
    <t>atrx</t>
  </si>
  <si>
    <t>Adhera Therapeutics Inc</t>
  </si>
  <si>
    <t>cirx</t>
  </si>
  <si>
    <t>CirTran Corp</t>
  </si>
  <si>
    <t>bisa</t>
  </si>
  <si>
    <t>Baltic International USA Inc</t>
  </si>
  <si>
    <t>sixwf</t>
  </si>
  <si>
    <t>Sixth Wave Innovations Inc</t>
  </si>
  <si>
    <t>pltyf</t>
  </si>
  <si>
    <t>Plastec Technologies Ltd</t>
  </si>
  <si>
    <t>kegx</t>
  </si>
  <si>
    <t>Key Energy Services Inc</t>
  </si>
  <si>
    <t>omtk</t>
  </si>
  <si>
    <t>OmniTek Engineering Corp</t>
  </si>
  <si>
    <t>kdce</t>
  </si>
  <si>
    <t>Kid Castle Educational Corporation</t>
  </si>
  <si>
    <t>rain</t>
  </si>
  <si>
    <t>Rain City Resources Inc</t>
  </si>
  <si>
    <t>ivbt</t>
  </si>
  <si>
    <t>Innovation1 Biotech Inc</t>
  </si>
  <si>
    <t>xsnx</t>
  </si>
  <si>
    <t>NovAccess Global Inc</t>
  </si>
  <si>
    <t>cbds</t>
  </si>
  <si>
    <t>Cannabis Sativa Inc</t>
  </si>
  <si>
    <t>emdf</t>
  </si>
  <si>
    <t>E Med Future Inc</t>
  </si>
  <si>
    <t>trlff</t>
  </si>
  <si>
    <t>Maven Brands Inc</t>
  </si>
  <si>
    <t>rkfl</t>
  </si>
  <si>
    <t>Rocketfuel Blockchain Inc</t>
  </si>
  <si>
    <t>xnda</t>
  </si>
  <si>
    <t>Tribal Rides International Corp</t>
  </si>
  <si>
    <t>drem</t>
  </si>
  <si>
    <t>Dream Homes &amp; Development Corp</t>
  </si>
  <si>
    <t>mjne</t>
  </si>
  <si>
    <t>MJ Holdings Inc</t>
  </si>
  <si>
    <t>dlyt</t>
  </si>
  <si>
    <t>Dais Corp</t>
  </si>
  <si>
    <t>gmpw</t>
  </si>
  <si>
    <t>GiveMePower Corp(NDA)</t>
  </si>
  <si>
    <t>pte</t>
  </si>
  <si>
    <t>Pioneering Technology Corp</t>
  </si>
  <si>
    <t>cingw</t>
  </si>
  <si>
    <t>Cingulate</t>
  </si>
  <si>
    <t>bxrx</t>
  </si>
  <si>
    <t>Baudax Bio Inc</t>
  </si>
  <si>
    <t>reos</t>
  </si>
  <si>
    <t>ReoStar Energy Corp</t>
  </si>
  <si>
    <t>cuenw</t>
  </si>
  <si>
    <t>CUENTAS</t>
  </si>
  <si>
    <t>cdelf</t>
  </si>
  <si>
    <t>Candelaria Mining Corp</t>
  </si>
  <si>
    <t>capc</t>
  </si>
  <si>
    <t>Capstone Companies, Inc. Common Stock</t>
  </si>
  <si>
    <t>ngtf</t>
  </si>
  <si>
    <t>NightFood Holdings Inc</t>
  </si>
  <si>
    <t>ncplw</t>
  </si>
  <si>
    <t>Netcapital</t>
  </si>
  <si>
    <t>snnc</t>
  </si>
  <si>
    <t>Sibannac Inc</t>
  </si>
  <si>
    <t>bittf</t>
  </si>
  <si>
    <t>Bitterroot Resources Ltd</t>
  </si>
  <si>
    <t>ftrs</t>
  </si>
  <si>
    <t>Futuris Company</t>
  </si>
  <si>
    <t>regrf</t>
  </si>
  <si>
    <t>New World Solutions Inc</t>
  </si>
  <si>
    <t>lzgi</t>
  </si>
  <si>
    <t>Lzg International Inc</t>
  </si>
  <si>
    <t>lsmg</t>
  </si>
  <si>
    <t>Lode-Star Mining Inc</t>
  </si>
  <si>
    <t>wolv</t>
  </si>
  <si>
    <t>Wolverine Resources Corp</t>
  </si>
  <si>
    <t>abcff</t>
  </si>
  <si>
    <t>Abacus Mining and Exploration Corp</t>
  </si>
  <si>
    <t>imhc</t>
  </si>
  <si>
    <t>Turnongreen Inc</t>
  </si>
  <si>
    <t>fxlv</t>
  </si>
  <si>
    <t>F45 Training Holdings Inc</t>
  </si>
  <si>
    <t>digp</t>
  </si>
  <si>
    <t>Digipath Inc</t>
  </si>
  <si>
    <t>kernw</t>
  </si>
  <si>
    <t>Akerna</t>
  </si>
  <si>
    <t>enrt</t>
  </si>
  <si>
    <t>Enertopia Corp</t>
  </si>
  <si>
    <t>grmc</t>
  </si>
  <si>
    <t>Goldrich Mining Co</t>
  </si>
  <si>
    <t>nimu</t>
  </si>
  <si>
    <t>Non-Invasive Monitoring Systems, Inc.</t>
  </si>
  <si>
    <t>bmcs</t>
  </si>
  <si>
    <t>BMCS Sumcoin Index Fund Inc</t>
  </si>
  <si>
    <t>bgavf</t>
  </si>
  <si>
    <t>Bravada Gold Corporation</t>
  </si>
  <si>
    <t>juvaf</t>
  </si>
  <si>
    <t>Juva Life Inc</t>
  </si>
  <si>
    <t>vfrm</t>
  </si>
  <si>
    <t>Veritas Farms Inc</t>
  </si>
  <si>
    <t>clri</t>
  </si>
  <si>
    <t>Cleartronic Inc</t>
  </si>
  <si>
    <t>auudw</t>
  </si>
  <si>
    <t>Auddia</t>
  </si>
  <si>
    <t>cvat</t>
  </si>
  <si>
    <t>Cavitation Technologies, Inc.</t>
  </si>
  <si>
    <t>ptixw</t>
  </si>
  <si>
    <t>Protagenic Therapeutics Inc</t>
  </si>
  <si>
    <t>mwrk</t>
  </si>
  <si>
    <t>MetaWorks Platforms Ord Shs</t>
  </si>
  <si>
    <t>kal</t>
  </si>
  <si>
    <t>Kalgoorlie Gold Mining Ltd</t>
  </si>
  <si>
    <t>pktx</t>
  </si>
  <si>
    <t>ProtoKinetix, Inc.</t>
  </si>
  <si>
    <t>axim</t>
  </si>
  <si>
    <t>Axim Biotechnologies Inc</t>
  </si>
  <si>
    <t>enscw</t>
  </si>
  <si>
    <t>Ensysce Biosciences, Inc.</t>
  </si>
  <si>
    <t>crtg</t>
  </si>
  <si>
    <t>Coretec Group Inc</t>
  </si>
  <si>
    <t>wlyw</t>
  </si>
  <si>
    <t>Wally World Media Inc</t>
  </si>
  <si>
    <t>brll</t>
  </si>
  <si>
    <t>Barrel Energy Inc</t>
  </si>
  <si>
    <t>gwti</t>
  </si>
  <si>
    <t>Greenway Technologies Inc</t>
  </si>
  <si>
    <t>oxbrw</t>
  </si>
  <si>
    <t>Oxbridge Re Holdings</t>
  </si>
  <si>
    <t>xeri</t>
  </si>
  <si>
    <t>Xeriant Inc</t>
  </si>
  <si>
    <t>lbcmf</t>
  </si>
  <si>
    <t>Libero Copper &amp; Gold Corp</t>
  </si>
  <si>
    <t>ptr</t>
  </si>
  <si>
    <t>Petratherm Ltd</t>
  </si>
  <si>
    <t>ilhmf</t>
  </si>
  <si>
    <t>International Lithium Corp</t>
  </si>
  <si>
    <t>wnft</t>
  </si>
  <si>
    <t>Worldwide NFT Inc</t>
  </si>
  <si>
    <t>vrmew</t>
  </si>
  <si>
    <t>VerifyMe</t>
  </si>
  <si>
    <t>adnww</t>
  </si>
  <si>
    <t>Advent Technologies Hldgs</t>
  </si>
  <si>
    <t>pgm</t>
  </si>
  <si>
    <t>Platina Resources Limited</t>
  </si>
  <si>
    <t>mgu</t>
  </si>
  <si>
    <t>Magnum Mining and Exploration Ltd</t>
  </si>
  <si>
    <t>fazew</t>
  </si>
  <si>
    <t>FaZe Clan</t>
  </si>
  <si>
    <t>ctgl</t>
  </si>
  <si>
    <t>Citrine Global Corp</t>
  </si>
  <si>
    <t>cubt</t>
  </si>
  <si>
    <t>Curative Biotechnology Inc</t>
  </si>
  <si>
    <t>ahix</t>
  </si>
  <si>
    <t>ALUF Holdings Inc</t>
  </si>
  <si>
    <t>kittw</t>
  </si>
  <si>
    <t>Nauticus Robotics Inc</t>
  </si>
  <si>
    <t>snwv</t>
  </si>
  <si>
    <t>SANUWAVE Health, Inc. Common Stock</t>
  </si>
  <si>
    <t>kychw</t>
  </si>
  <si>
    <t>Keyarch Acquisition</t>
  </si>
  <si>
    <t>agbaw</t>
  </si>
  <si>
    <t>AGBA Group Holding</t>
  </si>
  <si>
    <t>enmpf</t>
  </si>
  <si>
    <t>Ensurge Micropower ASA</t>
  </si>
  <si>
    <t>invu</t>
  </si>
  <si>
    <t>Investview Inc. Common Stock</t>
  </si>
  <si>
    <t>ttm</t>
  </si>
  <si>
    <t>Titan Minerals Ltd</t>
  </si>
  <si>
    <t>hymcw</t>
  </si>
  <si>
    <t>Hycroft Mining Holding Corporation</t>
  </si>
  <si>
    <t>vplm</t>
  </si>
  <si>
    <t>Voip-Pal.Com Inc</t>
  </si>
  <si>
    <t>ascaw</t>
  </si>
  <si>
    <t>A SPAC I Acquisition Corp</t>
  </si>
  <si>
    <t>yotaw</t>
  </si>
  <si>
    <t>Yotta Acquisition</t>
  </si>
  <si>
    <t>tgvcw</t>
  </si>
  <si>
    <t>TG Venture Acquisition</t>
  </si>
  <si>
    <t>encpw</t>
  </si>
  <si>
    <t>Energem</t>
  </si>
  <si>
    <t>gvsi</t>
  </si>
  <si>
    <t>Good Vibrations Shoes Inc</t>
  </si>
  <si>
    <t>sabsw</t>
  </si>
  <si>
    <t>SAB Biotherapeutics</t>
  </si>
  <si>
    <t>hhgcw</t>
  </si>
  <si>
    <t>HHG Capital</t>
  </si>
  <si>
    <t>bnixw</t>
  </si>
  <si>
    <t>Bannix Acquisition</t>
  </si>
  <si>
    <t>dre</t>
  </si>
  <si>
    <t>Dreadnought Resources Ltd</t>
  </si>
  <si>
    <t>afarw</t>
  </si>
  <si>
    <t>Aura FAT Projects Acquisition Corp</t>
  </si>
  <si>
    <t>hhr</t>
  </si>
  <si>
    <t>Hartshead Resources NL</t>
  </si>
  <si>
    <t>maqcw</t>
  </si>
  <si>
    <t>Maquia Cap Acq</t>
  </si>
  <si>
    <t>tetew</t>
  </si>
  <si>
    <t>Technology &amp; Telecom</t>
  </si>
  <si>
    <t>fexdw</t>
  </si>
  <si>
    <t>Fintech Ecosystem Dev</t>
  </si>
  <si>
    <t>orgnw</t>
  </si>
  <si>
    <t>Origin Mat</t>
  </si>
  <si>
    <t>gbbkw</t>
  </si>
  <si>
    <t>Global Blockchain Acq</t>
  </si>
  <si>
    <t>ascbw</t>
  </si>
  <si>
    <t>A SPAC II Acquisition</t>
  </si>
  <si>
    <t>bleuw</t>
  </si>
  <si>
    <t>Bleuacacia Ltd</t>
  </si>
  <si>
    <t>puckw</t>
  </si>
  <si>
    <t>Goal Acquisitions</t>
  </si>
  <si>
    <t>gdstw</t>
  </si>
  <si>
    <t>Goldenstone Acq</t>
  </si>
  <si>
    <t>usctw</t>
  </si>
  <si>
    <t>Roth CH Acquisition Co</t>
  </si>
  <si>
    <t>flfvw</t>
  </si>
  <si>
    <t>Feutune Light Acquisition</t>
  </si>
  <si>
    <t>glliw</t>
  </si>
  <si>
    <t>Globalink Investment</t>
  </si>
  <si>
    <t>ftiiw</t>
  </si>
  <si>
    <t>FutureTech II Acquisition</t>
  </si>
  <si>
    <t>cnglw</t>
  </si>
  <si>
    <t>Canna Global Acquisition</t>
  </si>
  <si>
    <t>zfoxw</t>
  </si>
  <si>
    <t>ZeroFox</t>
  </si>
  <si>
    <t>tlgyw</t>
  </si>
  <si>
    <t>TLGY Acquisition</t>
  </si>
  <si>
    <t>ithuf</t>
  </si>
  <si>
    <t>iAnthus Capital Holdings Inc</t>
  </si>
  <si>
    <t>oasmy</t>
  </si>
  <si>
    <t>VIVESTO ADR</t>
  </si>
  <si>
    <t>ntp</t>
  </si>
  <si>
    <t>Abliva AB</t>
  </si>
  <si>
    <t>bocnw</t>
  </si>
  <si>
    <t>Blue Ocean Acquisition Corp</t>
  </si>
  <si>
    <t>fiacw</t>
  </si>
  <si>
    <t>Focus Impact Acquisition</t>
  </si>
  <si>
    <t>higr</t>
  </si>
  <si>
    <t>Hi-Great Group Holding Co</t>
  </si>
  <si>
    <t>gemz</t>
  </si>
  <si>
    <t>GEMXX Corp</t>
  </si>
  <si>
    <t>tpia</t>
  </si>
  <si>
    <t>Mycotopia Therapies Ord Shs</t>
  </si>
  <si>
    <t>psgi</t>
  </si>
  <si>
    <t>PERFECT SOLUTIONS GROUP Ord Shs</t>
  </si>
  <si>
    <t>gge</t>
  </si>
  <si>
    <t>Green Giant Inc</t>
  </si>
  <si>
    <t>0.00</t>
  </si>
  <si>
    <t>dtii</t>
  </si>
  <si>
    <t>Defense Technologies International Corp</t>
  </si>
  <si>
    <t>aiko</t>
  </si>
  <si>
    <t>Alternative Investment Corp</t>
  </si>
  <si>
    <t>cala</t>
  </si>
  <si>
    <t>Calithera Biosciences Inc</t>
  </si>
  <si>
    <t>cccp</t>
  </si>
  <si>
    <t>Crona Corp</t>
  </si>
  <si>
    <t>imahf</t>
  </si>
  <si>
    <t>Highcliff Metals Corp</t>
  </si>
  <si>
    <t>dgwr</t>
  </si>
  <si>
    <t>Deep Green Waste &amp; Recycling Inc</t>
  </si>
  <si>
    <t>evfm</t>
  </si>
  <si>
    <t>Evofem Biosciences Inc</t>
  </si>
  <si>
    <t>jfil</t>
  </si>
  <si>
    <t>Jubilant Flame International Ltd</t>
  </si>
  <si>
    <t>rton</t>
  </si>
  <si>
    <t>Right On Brands Inc</t>
  </si>
  <si>
    <t>ghl</t>
  </si>
  <si>
    <t>Goldhills Holding Ltd</t>
  </si>
  <si>
    <t>sinc</t>
  </si>
  <si>
    <t>Sincerity Applied Materials Hldngs Corp</t>
  </si>
  <si>
    <t>srax</t>
  </si>
  <si>
    <t>SRAX Inc</t>
  </si>
  <si>
    <t>vrtc</t>
  </si>
  <si>
    <t>Veritec Inc</t>
  </si>
  <si>
    <t>twoh</t>
  </si>
  <si>
    <t>Two Hands Corp</t>
  </si>
  <si>
    <t>csui</t>
  </si>
  <si>
    <t>Cannabis Suisse Corp</t>
  </si>
  <si>
    <t>etck</t>
  </si>
  <si>
    <t>EnerTeck Corp</t>
  </si>
  <si>
    <t>fccn</t>
  </si>
  <si>
    <t>Spectral Capital Corp. Common Stock</t>
  </si>
  <si>
    <t>infi</t>
  </si>
  <si>
    <t>Infinitum Copper Corp</t>
  </si>
  <si>
    <t>nvvew</t>
  </si>
  <si>
    <t>Nuvve Holding</t>
  </si>
  <si>
    <t>cybe</t>
  </si>
  <si>
    <t>CyberCatch Global Inc</t>
  </si>
  <si>
    <t>lmdcf</t>
  </si>
  <si>
    <t>Everybody Loves Languages Corp</t>
  </si>
  <si>
    <t>lion</t>
  </si>
  <si>
    <t>Global Li-Ion Graphite Corp</t>
  </si>
  <si>
    <t>drmaw</t>
  </si>
  <si>
    <t>Dermata Therapeutics</t>
  </si>
  <si>
    <t>nxen</t>
  </si>
  <si>
    <t>Nexien Biopharma Inc</t>
  </si>
  <si>
    <t>gss</t>
  </si>
  <si>
    <t>Gossan Resources Limited</t>
  </si>
  <si>
    <t>numd</t>
  </si>
  <si>
    <t>Nu-Med Plus Inc</t>
  </si>
  <si>
    <t>pond</t>
  </si>
  <si>
    <t>Pond Technologies Holdings Inc</t>
  </si>
  <si>
    <t>ivt</t>
  </si>
  <si>
    <t>Inventis Limited</t>
  </si>
  <si>
    <t>dusyf</t>
  </si>
  <si>
    <t>Duesenberg Technologies Inc</t>
  </si>
  <si>
    <t>ecom</t>
  </si>
  <si>
    <t>Emerge Commerce Ltd</t>
  </si>
  <si>
    <t>stek</t>
  </si>
  <si>
    <t>Stemtech Corp</t>
  </si>
  <si>
    <t>gmblw</t>
  </si>
  <si>
    <t>smref</t>
  </si>
  <si>
    <t>Sun Summit Minerals Corp</t>
  </si>
  <si>
    <t>bzyr</t>
  </si>
  <si>
    <t>Burzynski Research Institute Inc</t>
  </si>
  <si>
    <t>lgiq</t>
  </si>
  <si>
    <t>Logiq Inc</t>
  </si>
  <si>
    <t>iaalf</t>
  </si>
  <si>
    <t>IBC Advanced Alloys Corp</t>
  </si>
  <si>
    <t>alf</t>
  </si>
  <si>
    <t>Alternative Liquidity Fund Ltd</t>
  </si>
  <si>
    <t>dtgi</t>
  </si>
  <si>
    <t>Digerati Technologies Inc common stock</t>
  </si>
  <si>
    <t>szlsf</t>
  </si>
  <si>
    <t>StageZero Life Sciences Ltd</t>
  </si>
  <si>
    <t>bktpf</t>
  </si>
  <si>
    <t>Cruz Battery Metals Corp</t>
  </si>
  <si>
    <t>argq</t>
  </si>
  <si>
    <t>Argentum 47 Inc</t>
  </si>
  <si>
    <t>alxef</t>
  </si>
  <si>
    <t>Alx Resources Corp</t>
  </si>
  <si>
    <t>esm</t>
  </si>
  <si>
    <t>Euro Sun Mining Inc</t>
  </si>
  <si>
    <t>cmxc</t>
  </si>
  <si>
    <t>Cell MedX Corp</t>
  </si>
  <si>
    <t>lflyw</t>
  </si>
  <si>
    <t>Leafly</t>
  </si>
  <si>
    <t>pngzf</t>
  </si>
  <si>
    <t>GCX Metals Ltd</t>
  </si>
  <si>
    <t>apyp</t>
  </si>
  <si>
    <t>AppYea Inc</t>
  </si>
  <si>
    <t>elvg</t>
  </si>
  <si>
    <t>Elvictor Group Inc</t>
  </si>
  <si>
    <t>fhltw</t>
  </si>
  <si>
    <t>Future Health ESG</t>
  </si>
  <si>
    <t>fdct</t>
  </si>
  <si>
    <t>FDCTECH Inc</t>
  </si>
  <si>
    <t>gstx</t>
  </si>
  <si>
    <t>Graphene &amp; Solar Technologies Ltd</t>
  </si>
  <si>
    <t>cyca</t>
  </si>
  <si>
    <t>Cytta Corp</t>
  </si>
  <si>
    <t>xito</t>
  </si>
  <si>
    <t>Xenous Holdings Inc</t>
  </si>
  <si>
    <t>anghw</t>
  </si>
  <si>
    <t>Anghami</t>
  </si>
  <si>
    <t>grrrw</t>
  </si>
  <si>
    <t>Gorilla Technology Group</t>
  </si>
  <si>
    <t>lbbbw</t>
  </si>
  <si>
    <t>Lakeshore Acquisition II</t>
  </si>
  <si>
    <t>hymcl</t>
  </si>
  <si>
    <t>acbaw</t>
  </si>
  <si>
    <t>Ace Global Bus</t>
  </si>
  <si>
    <t>aogow</t>
  </si>
  <si>
    <t>Arogo Capital Acquisition</t>
  </si>
  <si>
    <t>vsacw</t>
  </si>
  <si>
    <t>Vision Sensing</t>
  </si>
  <si>
    <t>vaniw</t>
  </si>
  <si>
    <t>Vivani MED</t>
  </si>
  <si>
    <t>gatew</t>
  </si>
  <si>
    <t>Marblegate Acquisition</t>
  </si>
  <si>
    <t>iraaw</t>
  </si>
  <si>
    <t>Iris Acquisition</t>
  </si>
  <si>
    <t>rcacw</t>
  </si>
  <si>
    <t>Revelstone Capital</t>
  </si>
  <si>
    <t>duetw</t>
  </si>
  <si>
    <t>DUET Acquisition</t>
  </si>
  <si>
    <t>imaqw</t>
  </si>
  <si>
    <t>International Media Acquisition Corp</t>
  </si>
  <si>
    <t>xfinw</t>
  </si>
  <si>
    <t>ExcelFin Acquisition</t>
  </si>
  <si>
    <t>altuw</t>
  </si>
  <si>
    <t>Altitude Acquisition</t>
  </si>
  <si>
    <t>nracw</t>
  </si>
  <si>
    <t>Northern Revival Acquisition Corp</t>
  </si>
  <si>
    <t>ixaqw</t>
  </si>
  <si>
    <t>IX Acquisition</t>
  </si>
  <si>
    <t>acahw</t>
  </si>
  <si>
    <t>Atlantic Coastal Acq</t>
  </si>
  <si>
    <t>lgvcw</t>
  </si>
  <si>
    <t>LAMF Global Ventures</t>
  </si>
  <si>
    <t>pegrw</t>
  </si>
  <si>
    <t>Project Energy Reimagined</t>
  </si>
  <si>
    <t>grfxf</t>
  </si>
  <si>
    <t>Graphex Group Ltd</t>
  </si>
  <si>
    <t>aaciw</t>
  </si>
  <si>
    <t>Armada Acq</t>
  </si>
  <si>
    <t>davew</t>
  </si>
  <si>
    <t>Dave</t>
  </si>
  <si>
    <t>pmgmw</t>
  </si>
  <si>
    <t>Priveterra Acquisition Corp</t>
  </si>
  <si>
    <t>crftf</t>
  </si>
  <si>
    <t>BC Craft Supply Co Ltd</t>
  </si>
  <si>
    <t>naso</t>
  </si>
  <si>
    <t>Naples Soap Company Ord Shs</t>
  </si>
  <si>
    <t>icco</t>
  </si>
  <si>
    <t>InterCare DX Ord Shs</t>
  </si>
  <si>
    <t>tlltf</t>
  </si>
  <si>
    <t>TILT Holdings Inc</t>
  </si>
  <si>
    <t>sils</t>
  </si>
  <si>
    <t>Silver Scott Mines Ord Shs</t>
  </si>
  <si>
    <t>cdmnf</t>
  </si>
  <si>
    <t>Canadian Manganese Company Inc</t>
  </si>
  <si>
    <t>glg</t>
  </si>
  <si>
    <t>GLG Life Tech Corp</t>
  </si>
  <si>
    <t>oz</t>
  </si>
  <si>
    <t>Outback Goldfields Corp</t>
  </si>
  <si>
    <t>mniz</t>
  </si>
  <si>
    <t>Gen 2 Technologies Inc</t>
  </si>
  <si>
    <t>pdnlb</t>
  </si>
  <si>
    <t>Presidential Realty Corporation Class B</t>
  </si>
  <si>
    <t>mssv</t>
  </si>
  <si>
    <t>Meso Numismatics Inc</t>
  </si>
  <si>
    <t>skfg</t>
  </si>
  <si>
    <t>Stark Focus Group Inc</t>
  </si>
  <si>
    <t>gcp</t>
  </si>
  <si>
    <t>Golcap Resources Corp</t>
  </si>
  <si>
    <t>vynd</t>
  </si>
  <si>
    <t>Vynleads Inc</t>
  </si>
  <si>
    <t>vyst</t>
  </si>
  <si>
    <t>Vystar Corp. Common Stock</t>
  </si>
  <si>
    <t>evlo</t>
  </si>
  <si>
    <t>Evelo Biosciences Inc</t>
  </si>
  <si>
    <t>nwcn</t>
  </si>
  <si>
    <t>Network CN Inc</t>
  </si>
  <si>
    <t>kays</t>
  </si>
  <si>
    <t>Kaya Holdings Inc</t>
  </si>
  <si>
    <t>cmra</t>
  </si>
  <si>
    <t>Comera Life Sciences Holdings Inc</t>
  </si>
  <si>
    <t>clow</t>
  </si>
  <si>
    <t>Cloudweb Inc</t>
  </si>
  <si>
    <t>canb</t>
  </si>
  <si>
    <t>Can B Corp</t>
  </si>
  <si>
    <t>ucle</t>
  </si>
  <si>
    <t>US Nuclear Corp</t>
  </si>
  <si>
    <t>txhg</t>
  </si>
  <si>
    <t>TX Holdings Inc</t>
  </si>
  <si>
    <t>reliw</t>
  </si>
  <si>
    <t>Reliance Global Group</t>
  </si>
  <si>
    <t>thmg</t>
  </si>
  <si>
    <t>Thunder Mountain Gold Inc</t>
  </si>
  <si>
    <t>arav</t>
  </si>
  <si>
    <t>Aravive Inc</t>
  </si>
  <si>
    <t>abmt</t>
  </si>
  <si>
    <t>Advanced Biomedical Technologies Inc</t>
  </si>
  <si>
    <t>royl</t>
  </si>
  <si>
    <t>Royale Energy Funds Inc</t>
  </si>
  <si>
    <t>lbuy</t>
  </si>
  <si>
    <t>Leafbuyer Technologies Inc</t>
  </si>
  <si>
    <t>pnt</t>
  </si>
  <si>
    <t>Panther Metals Ltd</t>
  </si>
  <si>
    <t>owpc</t>
  </si>
  <si>
    <t>One World Products Inc</t>
  </si>
  <si>
    <t>repcf</t>
  </si>
  <si>
    <t>RepliCel Life Sciences Inc</t>
  </si>
  <si>
    <t>kcrd</t>
  </si>
  <si>
    <t>Kindcard Inc</t>
  </si>
  <si>
    <t>ovtz</t>
  </si>
  <si>
    <t>Oculus VisionTech Inc</t>
  </si>
  <si>
    <t>tnrg</t>
  </si>
  <si>
    <t>Thunder Energies Corp</t>
  </si>
  <si>
    <t>navb</t>
  </si>
  <si>
    <t>Navidea Biopharmaceuticals Inc</t>
  </si>
  <si>
    <t>ghst</t>
  </si>
  <si>
    <t>GHST World Inc</t>
  </si>
  <si>
    <t>ltum</t>
  </si>
  <si>
    <t>Lithium Corp</t>
  </si>
  <si>
    <t>clvrw</t>
  </si>
  <si>
    <t>Clever Leaves Holdings</t>
  </si>
  <si>
    <t>saml</t>
  </si>
  <si>
    <t>Samsara Luggage Inc</t>
  </si>
  <si>
    <t>cvsi</t>
  </si>
  <si>
    <t>CV Sciences Inc</t>
  </si>
  <si>
    <t>bios</t>
  </si>
  <si>
    <t>Biosenic SA</t>
  </si>
  <si>
    <t>govxw</t>
  </si>
  <si>
    <t>GeoVax</t>
  </si>
  <si>
    <t>ahnr</t>
  </si>
  <si>
    <t>Athena Silver Corporation Common Stock</t>
  </si>
  <si>
    <t>garwf</t>
  </si>
  <si>
    <t>Golden Arrow Resources Corp</t>
  </si>
  <si>
    <t>sdch</t>
  </si>
  <si>
    <t>SideChannel Inc</t>
  </si>
  <si>
    <t>mit</t>
  </si>
  <si>
    <t>Mint Corp</t>
  </si>
  <si>
    <t>prs</t>
  </si>
  <si>
    <t>Prospech Ltd</t>
  </si>
  <si>
    <t>bwvi</t>
  </si>
  <si>
    <t>Psycheceutical Bioscience Inc</t>
  </si>
  <si>
    <t>eawd</t>
  </si>
  <si>
    <t>Energy &amp; Water Development Corp</t>
  </si>
  <si>
    <t>fdit</t>
  </si>
  <si>
    <t>Findit Inc</t>
  </si>
  <si>
    <t>sov</t>
  </si>
  <si>
    <t>Sovereign Cloud Holdings Ltd</t>
  </si>
  <si>
    <t>otlc</t>
  </si>
  <si>
    <t>Oncotelic Therapeutics Inc</t>
  </si>
  <si>
    <t>bfiiw</t>
  </si>
  <si>
    <t>BurgerFi International Inc</t>
  </si>
  <si>
    <t>cmrf</t>
  </si>
  <si>
    <t>CIM Real Estate Finance</t>
  </si>
  <si>
    <t>dcfcw</t>
  </si>
  <si>
    <t>Tritium DCFC</t>
  </si>
  <si>
    <t>clnv</t>
  </si>
  <si>
    <t>Clean Vision Corp</t>
  </si>
  <si>
    <t>decaw</t>
  </si>
  <si>
    <t>Denali Capital</t>
  </si>
  <si>
    <t>kblb</t>
  </si>
  <si>
    <t>Kraig Biocraft Laboratories Inc</t>
  </si>
  <si>
    <t>macaw</t>
  </si>
  <si>
    <t>Moringa Acquisition</t>
  </si>
  <si>
    <t>apacw</t>
  </si>
  <si>
    <t>StoneBridge Acquisition</t>
  </si>
  <si>
    <t>peplw</t>
  </si>
  <si>
    <t>PepperLime Health Acq</t>
  </si>
  <si>
    <t>cctsw</t>
  </si>
  <si>
    <t>Cactus Acquisition Corp</t>
  </si>
  <si>
    <t>lgstw</t>
  </si>
  <si>
    <t>Semper Paratus Acq</t>
  </si>
  <si>
    <t>frlaw</t>
  </si>
  <si>
    <t>Fortune Rise Acquisition</t>
  </si>
  <si>
    <t>gtacw</t>
  </si>
  <si>
    <t>Global Technology Acq</t>
  </si>
  <si>
    <t>aeaew</t>
  </si>
  <si>
    <t>AltEnergy Acquisition</t>
  </si>
  <si>
    <t>ivcpw</t>
  </si>
  <si>
    <t>Swiftmerge Acquisition</t>
  </si>
  <si>
    <t>onyxw</t>
  </si>
  <si>
    <t>Onyx Acquisition</t>
  </si>
  <si>
    <t>pwupw</t>
  </si>
  <si>
    <t>PowerUp Acquisition</t>
  </si>
  <si>
    <t>dhcaw</t>
  </si>
  <si>
    <t>DHC Acquisition</t>
  </si>
  <si>
    <t>mapsw</t>
  </si>
  <si>
    <t>WM Tech</t>
  </si>
  <si>
    <t>vmcaw</t>
  </si>
  <si>
    <t>Valuence Merger</t>
  </si>
  <si>
    <t>hcmaw</t>
  </si>
  <si>
    <t>HCM Acquisition</t>
  </si>
  <si>
    <t>krnlw</t>
  </si>
  <si>
    <t>Kernel Group Holdings</t>
  </si>
  <si>
    <t>hyznw</t>
  </si>
  <si>
    <t>Hyzon Motors</t>
  </si>
  <si>
    <t>mcaaw</t>
  </si>
  <si>
    <t>Mountain &amp; Co I Acquisition Corp</t>
  </si>
  <si>
    <t>dpcsw</t>
  </si>
  <si>
    <t>DP Cap Acquisition</t>
  </si>
  <si>
    <t>shcrw</t>
  </si>
  <si>
    <t>Sharecare</t>
  </si>
  <si>
    <t>sits</t>
  </si>
  <si>
    <t>Southern ITS International Ord Shs</t>
  </si>
  <si>
    <t>cblo</t>
  </si>
  <si>
    <t>C2 Blockchain Ord Shs</t>
  </si>
  <si>
    <t>bblr</t>
  </si>
  <si>
    <t>Bubblr Ord Shs</t>
  </si>
  <si>
    <t>bzfdw</t>
  </si>
  <si>
    <t>BuzzFeed</t>
  </si>
  <si>
    <t>fthwf</t>
  </si>
  <si>
    <t>Field Trip Health &amp; Wellness Ltd</t>
  </si>
  <si>
    <t>npabw</t>
  </si>
  <si>
    <t>New Providence Acquisition Corp</t>
  </si>
  <si>
    <t>nspdf</t>
  </si>
  <si>
    <t>Naturally Splendid Enterprises Ltd</t>
  </si>
  <si>
    <t>rwrdp</t>
  </si>
  <si>
    <t>IConsumer Non Voting Pref Shs Series A</t>
  </si>
  <si>
    <t>vhld</t>
  </si>
  <si>
    <t>Vector 21 Holdings Inc</t>
  </si>
  <si>
    <t>miti</t>
  </si>
  <si>
    <t>Mitesco Inc</t>
  </si>
  <si>
    <t>gray</t>
  </si>
  <si>
    <t>Graycliff Exploration Ltd</t>
  </si>
  <si>
    <t>mntr</t>
  </si>
  <si>
    <t>Mentor Capital Inc</t>
  </si>
  <si>
    <t>pfsf</t>
  </si>
  <si>
    <t>Pacific Software Inc</t>
  </si>
  <si>
    <t>trmnf</t>
  </si>
  <si>
    <t>New Wave Holdings Corp</t>
  </si>
  <si>
    <t>jppyy</t>
  </si>
  <si>
    <t>Jupai Holdings Ltd</t>
  </si>
  <si>
    <t>agtx</t>
  </si>
  <si>
    <t>Agentix Corp</t>
  </si>
  <si>
    <t>cmdrf</t>
  </si>
  <si>
    <t>Commander Resources Ltd.</t>
  </si>
  <si>
    <t>whlt</t>
  </si>
  <si>
    <t>Chase Packaging Corp</t>
  </si>
  <si>
    <t>tegy</t>
  </si>
  <si>
    <t>TransAct Energy Corp</t>
  </si>
  <si>
    <t>datsw</t>
  </si>
  <si>
    <t>DatChat</t>
  </si>
  <si>
    <t>frbk</t>
  </si>
  <si>
    <t>Republic First Bancorp Inc</t>
  </si>
  <si>
    <t>prpi</t>
  </si>
  <si>
    <t>Perpetual Industries Inc</t>
  </si>
  <si>
    <t>aconw</t>
  </si>
  <si>
    <t>Aclarion</t>
  </si>
  <si>
    <t>aic</t>
  </si>
  <si>
    <t>AlphaGen Intelligence Corp</t>
  </si>
  <si>
    <t>aimdw</t>
  </si>
  <si>
    <t>Amarillo Biosciences</t>
  </si>
  <si>
    <t>clsh</t>
  </si>
  <si>
    <t>CLS Holdings USA Inc</t>
  </si>
  <si>
    <t>rvr</t>
  </si>
  <si>
    <t>Rift Valley Resources Corp</t>
  </si>
  <si>
    <t>lucyw</t>
  </si>
  <si>
    <t>Innovative Eyewear</t>
  </si>
  <si>
    <t>nvsgf</t>
  </si>
  <si>
    <t>Nevada Sunrise Metals Corp</t>
  </si>
  <si>
    <t>tlrs</t>
  </si>
  <si>
    <t>Timberline Resources Corp</t>
  </si>
  <si>
    <t>admq</t>
  </si>
  <si>
    <t>Adm Endeavors Inc</t>
  </si>
  <si>
    <t>inti</t>
  </si>
  <si>
    <t>Inhibitor Therapeutics Inc</t>
  </si>
  <si>
    <t>pmedf</t>
  </si>
  <si>
    <t>Predictmedix AI Inc</t>
  </si>
  <si>
    <t>jpotf</t>
  </si>
  <si>
    <t>Jackpot Digital Inc</t>
  </si>
  <si>
    <t>mtekw</t>
  </si>
  <si>
    <t>Maris Tech</t>
  </si>
  <si>
    <t>lthm</t>
  </si>
  <si>
    <t>Champion Electric Metals Inc</t>
  </si>
  <si>
    <t>dqws</t>
  </si>
  <si>
    <t>DSwiss Inc</t>
  </si>
  <si>
    <t>inpx</t>
  </si>
  <si>
    <t>Inpixon</t>
  </si>
  <si>
    <t>crym</t>
  </si>
  <si>
    <t>Cryomass Technologies Inc</t>
  </si>
  <si>
    <t>hlyk</t>
  </si>
  <si>
    <t>Healthlynked Corp</t>
  </si>
  <si>
    <t>bccef</t>
  </si>
  <si>
    <t>Bactech Environmental Corp</t>
  </si>
  <si>
    <t>rlby</t>
  </si>
  <si>
    <t>Reliability Inc</t>
  </si>
  <si>
    <t>eesh</t>
  </si>
  <si>
    <t>Eestech Inc</t>
  </si>
  <si>
    <t>inis</t>
  </si>
  <si>
    <t>International Isotopes Inc.</t>
  </si>
  <si>
    <t>xcrt</t>
  </si>
  <si>
    <t>Xcelerate Inc</t>
  </si>
  <si>
    <t>crvw</t>
  </si>
  <si>
    <t>CareView Communications Inc</t>
  </si>
  <si>
    <t>qyouf</t>
  </si>
  <si>
    <t>QYOU Media Inc</t>
  </si>
  <si>
    <t>wavsw</t>
  </si>
  <si>
    <t>Western Acq Ventures</t>
  </si>
  <si>
    <t>racyw</t>
  </si>
  <si>
    <t>Relativity Acquisition</t>
  </si>
  <si>
    <t>rwodw</t>
  </si>
  <si>
    <t>Redwoods Acquisition</t>
  </si>
  <si>
    <t>haiaw</t>
  </si>
  <si>
    <t>Healthcare AI Acq</t>
  </si>
  <si>
    <t>gmfiw</t>
  </si>
  <si>
    <t>Aetherium Acq</t>
  </si>
  <si>
    <t>mitaw</t>
  </si>
  <si>
    <t>Coliseum Acquisition</t>
  </si>
  <si>
    <t>tronw</t>
  </si>
  <si>
    <t>Corner Growth Acquisition</t>
  </si>
  <si>
    <t>apxiw</t>
  </si>
  <si>
    <t>APx Acquisition Corp I</t>
  </si>
  <si>
    <t>bynow</t>
  </si>
  <si>
    <t>Bynordic Acquisition Corp</t>
  </si>
  <si>
    <t>celuw</t>
  </si>
  <si>
    <t>Celularity</t>
  </si>
  <si>
    <t>bcsaw</t>
  </si>
  <si>
    <t>Blockchain Coinvestors</t>
  </si>
  <si>
    <t>ivcaw</t>
  </si>
  <si>
    <t>Investcorp India</t>
  </si>
  <si>
    <t>cffsw</t>
  </si>
  <si>
    <t>CF Acquisition</t>
  </si>
  <si>
    <t>plaow</t>
  </si>
  <si>
    <t>Patria Latin American</t>
  </si>
  <si>
    <t>prlhw</t>
  </si>
  <si>
    <t>Pearl Hldgs</t>
  </si>
  <si>
    <t>piiiw</t>
  </si>
  <si>
    <t>P3 Health Partners</t>
  </si>
  <si>
    <t>arcxf</t>
  </si>
  <si>
    <t>ArcelorMittal South Africa Limited</t>
  </si>
  <si>
    <t>qhi</t>
  </si>
  <si>
    <t>Shimao Group Holdings Ltd</t>
  </si>
  <si>
    <t>qwtr</t>
  </si>
  <si>
    <t>Quest Water Global Ord Shs</t>
  </si>
  <si>
    <t>mtpp</t>
  </si>
  <si>
    <t>Mountain Top Properties Ord Shs</t>
  </si>
  <si>
    <t>sldx</t>
  </si>
  <si>
    <t>STELLA DIAGNOSTICS Ord Shs</t>
  </si>
  <si>
    <t>mhhc</t>
  </si>
  <si>
    <t>MHHC Enterprises Ord Shs</t>
  </si>
  <si>
    <t>bhacw</t>
  </si>
  <si>
    <t>Focus Impact BH3 Acquisition Company Warrants</t>
  </si>
  <si>
    <t>gpacw</t>
  </si>
  <si>
    <t>Global Partner Acquisition Corp</t>
  </si>
  <si>
    <t>mcle</t>
  </si>
  <si>
    <t>Medicale Corp</t>
  </si>
  <si>
    <t>blph</t>
  </si>
  <si>
    <t>Bellerophon Therapeutics Inc</t>
  </si>
  <si>
    <t>lgcp</t>
  </si>
  <si>
    <t>Legion Capital Corp</t>
  </si>
  <si>
    <t>paxh</t>
  </si>
  <si>
    <t>PreAxia Health Care Payment Systems Inc.</t>
  </si>
  <si>
    <t>winsf</t>
  </si>
  <si>
    <t>Wins Finance Holdings Inc</t>
  </si>
  <si>
    <t>sdttu</t>
  </si>
  <si>
    <t>Sandridge Mississippian Trust I</t>
  </si>
  <si>
    <t>hbuv</t>
  </si>
  <si>
    <t>Hubilu Venture Corporation</t>
  </si>
  <si>
    <t>agnpf</t>
  </si>
  <si>
    <t>Algernon Pharmaceuticals Inc</t>
  </si>
  <si>
    <t>sytaw</t>
  </si>
  <si>
    <t>Siyata Mobile Inc</t>
  </si>
  <si>
    <t>egmcf</t>
  </si>
  <si>
    <t>Emergent Metals Corp</t>
  </si>
  <si>
    <t>cdjm</t>
  </si>
  <si>
    <t>Carnegie Development Inc</t>
  </si>
  <si>
    <t>hitc</t>
  </si>
  <si>
    <t>Healthcare Integrated Technologies Inc</t>
  </si>
  <si>
    <t>bmxi</t>
  </si>
  <si>
    <t>Brookmount Gold Corp</t>
  </si>
  <si>
    <t>nris</t>
  </si>
  <si>
    <t>Norris Industries Inc</t>
  </si>
  <si>
    <t>aclhf</t>
  </si>
  <si>
    <t>ACME Lithium Inc</t>
  </si>
  <si>
    <t>hscsw</t>
  </si>
  <si>
    <t>Heart Test Laboratories</t>
  </si>
  <si>
    <t>betrf</t>
  </si>
  <si>
    <t>BetterLife Pharma Inc</t>
  </si>
  <si>
    <t>sqftw</t>
  </si>
  <si>
    <t>Presidio Property Trust</t>
  </si>
  <si>
    <t>kdozf</t>
  </si>
  <si>
    <t>Kidoz Inc</t>
  </si>
  <si>
    <t>pavmz</t>
  </si>
  <si>
    <t>PAVmed Inc</t>
  </si>
  <si>
    <t>bki</t>
  </si>
  <si>
    <t>Black Iron Inc</t>
  </si>
  <si>
    <t>nlspw</t>
  </si>
  <si>
    <t>NLS Pharmaceutics</t>
  </si>
  <si>
    <t>rdgl</t>
  </si>
  <si>
    <t>Vivos Inc</t>
  </si>
  <si>
    <t>lcgmf</t>
  </si>
  <si>
    <t>Lion Copper and Gold Corp</t>
  </si>
  <si>
    <t>jgldf</t>
  </si>
  <si>
    <t>Japan Gold Corp</t>
  </si>
  <si>
    <t>bkucf</t>
  </si>
  <si>
    <t>Blue Sky Uranium Corp</t>
  </si>
  <si>
    <t>gsp</t>
  </si>
  <si>
    <t>Gensource Potash Corp</t>
  </si>
  <si>
    <t>znog</t>
  </si>
  <si>
    <t>Zion Oil and Gas Inc</t>
  </si>
  <si>
    <t>lqmt</t>
  </si>
  <si>
    <t>Liquidmetal Technologies Inc</t>
  </si>
  <si>
    <t>igtaw</t>
  </si>
  <si>
    <t>Inception Growth</t>
  </si>
  <si>
    <t>swssw</t>
  </si>
  <si>
    <t>Clean Energy Special Situations Corp</t>
  </si>
  <si>
    <t>citew</t>
  </si>
  <si>
    <t>Cartica Acq</t>
  </si>
  <si>
    <t>gntof</t>
  </si>
  <si>
    <t>Gentor Resources Inc</t>
  </si>
  <si>
    <t>gxxy</t>
  </si>
  <si>
    <t>GALEXXY HLDGS Ord Shs</t>
  </si>
  <si>
    <t>grhi</t>
  </si>
  <si>
    <t>Gold Rock Holdings Ord Shs Class A</t>
  </si>
  <si>
    <t>lsi</t>
  </si>
  <si>
    <t>Globalcapital PLC</t>
  </si>
  <si>
    <t>ppyaw</t>
  </si>
  <si>
    <t>Papaya Growth Opportunity Corp</t>
  </si>
  <si>
    <t>hwke</t>
  </si>
  <si>
    <t>Hawkeye Systems Inc</t>
  </si>
  <si>
    <t>blpg</t>
  </si>
  <si>
    <t>Blue Line Protection Group Inc</t>
  </si>
  <si>
    <t>apmi</t>
  </si>
  <si>
    <t>Apogee Minerals Ltd</t>
  </si>
  <si>
    <t>crcl</t>
  </si>
  <si>
    <t>Corcel Exploration Inc</t>
  </si>
  <si>
    <t>abnaf</t>
  </si>
  <si>
    <t>Aben Minerals Ltd</t>
  </si>
  <si>
    <t>nauh</t>
  </si>
  <si>
    <t>National American University Holdngs Inc</t>
  </si>
  <si>
    <t>askh</t>
  </si>
  <si>
    <t>Astika Holdings Inc</t>
  </si>
  <si>
    <t>cynxf</t>
  </si>
  <si>
    <t>International Metals Mining Corp</t>
  </si>
  <si>
    <t>onfow</t>
  </si>
  <si>
    <t>Onfolio Holdings</t>
  </si>
  <si>
    <t>snho</t>
  </si>
  <si>
    <t>Shonghoya Intl Group Inc</t>
  </si>
  <si>
    <t>tgcb</t>
  </si>
  <si>
    <t>Tego Cyber Inc</t>
  </si>
  <si>
    <t>jfbrw</t>
  </si>
  <si>
    <t>Jeffs Brands</t>
  </si>
  <si>
    <t>ely</t>
  </si>
  <si>
    <t>Electrum Discovery Corp</t>
  </si>
  <si>
    <t>lixtw</t>
  </si>
  <si>
    <t>Lixte Biotechnology Holdings Inc</t>
  </si>
  <si>
    <t>solcf</t>
  </si>
  <si>
    <t>SOL Global Investments Corp</t>
  </si>
  <si>
    <t>rscf</t>
  </si>
  <si>
    <t>Reflect Scientific Inc</t>
  </si>
  <si>
    <t>shvlf</t>
  </si>
  <si>
    <t>Starcore International Mines Ltd</t>
  </si>
  <si>
    <t>crdv</t>
  </si>
  <si>
    <t>Community Redevelopment Inc</t>
  </si>
  <si>
    <t>nev</t>
  </si>
  <si>
    <t>feo</t>
  </si>
  <si>
    <t>Oceanic Iron Ore Corp</t>
  </si>
  <si>
    <t>uslg</t>
  </si>
  <si>
    <t>US Lighting Group Inc</t>
  </si>
  <si>
    <t>alid</t>
  </si>
  <si>
    <t>Allied Corp</t>
  </si>
  <si>
    <t>sgldf</t>
  </si>
  <si>
    <t>Sabre Gold Mines Corp</t>
  </si>
  <si>
    <t>gntlf</t>
  </si>
  <si>
    <t>Genetic Technologies Ltd</t>
  </si>
  <si>
    <t>tllyf</t>
  </si>
  <si>
    <t>Trilogy International Partners Inc</t>
  </si>
  <si>
    <t>msth</t>
  </si>
  <si>
    <t>Mystic Holdings Inc</t>
  </si>
  <si>
    <t>uavs</t>
  </si>
  <si>
    <t>Ageagle Aerial Systems Inc</t>
  </si>
  <si>
    <t>evgdf</t>
  </si>
  <si>
    <t>Elevation Gold Mining Corp</t>
  </si>
  <si>
    <t>btcw</t>
  </si>
  <si>
    <t>Bitcoin Well Inc</t>
  </si>
  <si>
    <t>pwco</t>
  </si>
  <si>
    <t>PwrCor Inc</t>
  </si>
  <si>
    <t>mxrof</t>
  </si>
  <si>
    <t>Max Resource Corp</t>
  </si>
  <si>
    <t>gfgsf</t>
  </si>
  <si>
    <t>GFG Resources Inc</t>
  </si>
  <si>
    <t>etst</t>
  </si>
  <si>
    <t>Earth Science Tech Inc</t>
  </si>
  <si>
    <t>bhll</t>
  </si>
  <si>
    <t>Bunker Hill Mining Corp</t>
  </si>
  <si>
    <t>otecw</t>
  </si>
  <si>
    <t>OceanTech Acquisitions I</t>
  </si>
  <si>
    <t>avlnf</t>
  </si>
  <si>
    <t>Avalon Advanced Materials Inc</t>
  </si>
  <si>
    <t>oxusw</t>
  </si>
  <si>
    <t>Oxus Acquisition Corp</t>
  </si>
  <si>
    <t>nbstw</t>
  </si>
  <si>
    <t>Newbury Street Acq</t>
  </si>
  <si>
    <t>pbaxw</t>
  </si>
  <si>
    <t>Phoenix Biotech</t>
  </si>
  <si>
    <t>ocaxw</t>
  </si>
  <si>
    <t>OCA Acquisition</t>
  </si>
  <si>
    <t>anldf</t>
  </si>
  <si>
    <t>Anfield Energy Inc</t>
  </si>
  <si>
    <t>tgaaw</t>
  </si>
  <si>
    <t>Target Global Acquisition</t>
  </si>
  <si>
    <t>skgrw</t>
  </si>
  <si>
    <t>SK Growth Opportunities Corp</t>
  </si>
  <si>
    <t>owvi</t>
  </si>
  <si>
    <t>One World Ventures Ord Shs</t>
  </si>
  <si>
    <t>rmgcw</t>
  </si>
  <si>
    <t>RMG Acquisition Corp</t>
  </si>
  <si>
    <t>lcahw</t>
  </si>
  <si>
    <t>Landcadia Hldgs IV</t>
  </si>
  <si>
    <t>mypsw</t>
  </si>
  <si>
    <t>PLAYSTUDIOS</t>
  </si>
  <si>
    <t>tppm</t>
  </si>
  <si>
    <t>Yotta Global Inc</t>
  </si>
  <si>
    <t>sfwj</t>
  </si>
  <si>
    <t>Software Effective Solutions Ord Shs</t>
  </si>
  <si>
    <t>skvi</t>
  </si>
  <si>
    <t>Skinvisible Inc</t>
  </si>
  <si>
    <t>ctkyy</t>
  </si>
  <si>
    <t>CooTek (Cayman) Inc</t>
  </si>
  <si>
    <t>ipcif</t>
  </si>
  <si>
    <t>Intellipharmaceutics International Inc</t>
  </si>
  <si>
    <t>blcm</t>
  </si>
  <si>
    <t>Bellicum Pharmaceuticals Inc</t>
  </si>
  <si>
    <t>odii</t>
  </si>
  <si>
    <t>Odyssey Semiconductor Technologies Inc</t>
  </si>
  <si>
    <t>wdtk</t>
  </si>
  <si>
    <t>WedoTalk Inc</t>
  </si>
  <si>
    <t>nmrd</t>
  </si>
  <si>
    <t>Nemaura Medical Inc</t>
  </si>
  <si>
    <t>rrr</t>
  </si>
  <si>
    <t>Red Rock Resources Plc</t>
  </si>
  <si>
    <t>atao</t>
  </si>
  <si>
    <t>Altair International Corp</t>
  </si>
  <si>
    <t>ards</t>
  </si>
  <si>
    <t>Aridis Pharmaceuticals Inc</t>
  </si>
  <si>
    <t>veii</t>
  </si>
  <si>
    <t>Value Exchange International Inc</t>
  </si>
  <si>
    <t>nstm</t>
  </si>
  <si>
    <t>Novelstem International Corp</t>
  </si>
  <si>
    <t>tarsf</t>
  </si>
  <si>
    <t>Silver North Resources Ltd</t>
  </si>
  <si>
    <t>mvco</t>
  </si>
  <si>
    <t>Metavesco Inc</t>
  </si>
  <si>
    <t>ilal</t>
  </si>
  <si>
    <t>International Land Alliance Inc</t>
  </si>
  <si>
    <t>lvrlf</t>
  </si>
  <si>
    <t>CordovaCann Corp</t>
  </si>
  <si>
    <t>wldsw</t>
  </si>
  <si>
    <t>Wearable Devices</t>
  </si>
  <si>
    <t>elvt</t>
  </si>
  <si>
    <t>ndtp</t>
  </si>
  <si>
    <t>NDT Pharmaceuticals Inc</t>
  </si>
  <si>
    <t>btn</t>
  </si>
  <si>
    <t>Butn Ltd</t>
  </si>
  <si>
    <t>hwni</t>
  </si>
  <si>
    <t>High Wire Networks Inc</t>
  </si>
  <si>
    <t>wrpt</t>
  </si>
  <si>
    <t>Warpspeed Taxi Inc</t>
  </si>
  <si>
    <t>snipf</t>
  </si>
  <si>
    <t>Snipp Interactive Inc</t>
  </si>
  <si>
    <t>pei</t>
  </si>
  <si>
    <t>Prospera Energy Inc</t>
  </si>
  <si>
    <t>diam</t>
  </si>
  <si>
    <t>Star Diamond Corp</t>
  </si>
  <si>
    <t>clnnw</t>
  </si>
  <si>
    <t>Clene</t>
  </si>
  <si>
    <t>roclw</t>
  </si>
  <si>
    <t>Roth CH Acquisition</t>
  </si>
  <si>
    <t>cdaqw</t>
  </si>
  <si>
    <t>Compass Digital Acq</t>
  </si>
  <si>
    <t>goevw</t>
  </si>
  <si>
    <t>Canoo Inc</t>
  </si>
  <si>
    <t>lcla</t>
  </si>
  <si>
    <t>Kalbe Farma Tbk PT</t>
  </si>
  <si>
    <t>odyy</t>
  </si>
  <si>
    <t>Odyssey Group Intl Ord Shs</t>
  </si>
  <si>
    <t>trxo</t>
  </si>
  <si>
    <t>Rancher Energy common stock</t>
  </si>
  <si>
    <t>vlcn</t>
  </si>
  <si>
    <t>Volcon Inc</t>
  </si>
  <si>
    <t>hhhef</t>
  </si>
  <si>
    <t>37 Capital Inc</t>
  </si>
  <si>
    <t>wisa</t>
  </si>
  <si>
    <t>WiSA Technologies Inc</t>
  </si>
  <si>
    <t>vyco</t>
  </si>
  <si>
    <t>Vycor Medical Inc</t>
  </si>
  <si>
    <t>vlta</t>
  </si>
  <si>
    <t>Volta Metals Ltd</t>
  </si>
  <si>
    <t>lyt</t>
  </si>
  <si>
    <t>Lytus Technologies Holdings Ptv Ltd</t>
  </si>
  <si>
    <t>exn</t>
  </si>
  <si>
    <t>Excellon Resources Inc</t>
  </si>
  <si>
    <t>bopo</t>
  </si>
  <si>
    <t>Biopower Operations Corp</t>
  </si>
  <si>
    <t>usdr</t>
  </si>
  <si>
    <t>UAS Drone Corp</t>
  </si>
  <si>
    <t>tgl</t>
  </si>
  <si>
    <t>Treasure Global Inc</t>
  </si>
  <si>
    <t>senr</t>
  </si>
  <si>
    <t>Strategic Environmental &amp; Energy Res Inc</t>
  </si>
  <si>
    <t>admt</t>
  </si>
  <si>
    <t>ADM TRONICS UNLIMITED INC Common Stock</t>
  </si>
  <si>
    <t>pgol</t>
  </si>
  <si>
    <t>Patriot Gold Corp.</t>
  </si>
  <si>
    <t>vmnt</t>
  </si>
  <si>
    <t>Vemanti Group Inc</t>
  </si>
  <si>
    <t>fzmd</t>
  </si>
  <si>
    <t>Fuse Medical Inc</t>
  </si>
  <si>
    <t>pure</t>
  </si>
  <si>
    <t>Pure Bioscience, Inc. Common Stock</t>
  </si>
  <si>
    <t>budz</t>
  </si>
  <si>
    <t>Weed Inc</t>
  </si>
  <si>
    <t>vaucf</t>
  </si>
  <si>
    <t>Viva Gold Corp</t>
  </si>
  <si>
    <t>pkkff</t>
  </si>
  <si>
    <t>Tenet Fintech Group Inc</t>
  </si>
  <si>
    <t>bmmj</t>
  </si>
  <si>
    <t>Body and Mind Inc</t>
  </si>
  <si>
    <t>axref</t>
  </si>
  <si>
    <t>Amarc Resources Ltd.</t>
  </si>
  <si>
    <t>tetof</t>
  </si>
  <si>
    <t>Tectonic Metals Inc</t>
  </si>
  <si>
    <t>dhacw</t>
  </si>
  <si>
    <t>Digital Health</t>
  </si>
  <si>
    <t>acacw</t>
  </si>
  <si>
    <t>ACRI Capital Acquisition Corp</t>
  </si>
  <si>
    <t>thcpw</t>
  </si>
  <si>
    <t>Thunder Bridge Capital</t>
  </si>
  <si>
    <t>ffmgf</t>
  </si>
  <si>
    <t>First Mining Gold Corp</t>
  </si>
  <si>
    <t>freew</t>
  </si>
  <si>
    <t>Whole Earth Brands Inc</t>
  </si>
  <si>
    <t>procw</t>
  </si>
  <si>
    <t>Procaps Group</t>
  </si>
  <si>
    <t>lilmw</t>
  </si>
  <si>
    <t>Lilium GmbH</t>
  </si>
  <si>
    <t>vcor</t>
  </si>
  <si>
    <t>Visiber57 Corp</t>
  </si>
  <si>
    <t>nvdef</t>
  </si>
  <si>
    <t>Nevada Exploration Inc</t>
  </si>
  <si>
    <t>usaq</t>
  </si>
  <si>
    <t>QHSLab Inc</t>
  </si>
  <si>
    <t>rmo</t>
  </si>
  <si>
    <t>Rainy Mountain Royalty Corp</t>
  </si>
  <si>
    <t>gipl</t>
  </si>
  <si>
    <t>Global Innovative Platforms Inc</t>
  </si>
  <si>
    <t>acan</t>
  </si>
  <si>
    <t>Americann Inc</t>
  </si>
  <si>
    <t>ntpy</t>
  </si>
  <si>
    <t>Netpay International Inc</t>
  </si>
  <si>
    <t>mmnd</t>
  </si>
  <si>
    <t>Mastermind Inc</t>
  </si>
  <si>
    <t>grnf</t>
  </si>
  <si>
    <t>GRN Holding Corp</t>
  </si>
  <si>
    <t>sgni</t>
  </si>
  <si>
    <t>StemGen Inc</t>
  </si>
  <si>
    <t>mrzm</t>
  </si>
  <si>
    <t>Marizyme Inc</t>
  </si>
  <si>
    <t>jagx</t>
  </si>
  <si>
    <t>Jaguar Health Inc</t>
  </si>
  <si>
    <t>blu</t>
  </si>
  <si>
    <t>Blue Star Capital PLC</t>
  </si>
  <si>
    <t>stssw</t>
  </si>
  <si>
    <t>Sharps Technology</t>
  </si>
  <si>
    <t>snbh</t>
  </si>
  <si>
    <t>Sentient Brands Holdings Inc</t>
  </si>
  <si>
    <t>nahd</t>
  </si>
  <si>
    <t>New Asia Holdings Inc</t>
  </si>
  <si>
    <t>luvu</t>
  </si>
  <si>
    <t>Luvu Brands Inc</t>
  </si>
  <si>
    <t>auto</t>
  </si>
  <si>
    <t>Carbeeza Inc</t>
  </si>
  <si>
    <t>syn</t>
  </si>
  <si>
    <t>Synergia Energy Ltd</t>
  </si>
  <si>
    <t>ezgo</t>
  </si>
  <si>
    <t>EZGO Technologies Ltd</t>
  </si>
  <si>
    <t>elmsq</t>
  </si>
  <si>
    <t>Electric Last Mile Solutions Inc</t>
  </si>
  <si>
    <t>ggi</t>
  </si>
  <si>
    <t>Garibaldi Resources Corp</t>
  </si>
  <si>
    <t>biafw</t>
  </si>
  <si>
    <t>bioAffinity Technologies</t>
  </si>
  <si>
    <t>htoow</t>
  </si>
  <si>
    <t>Fusion Fuel Green</t>
  </si>
  <si>
    <t>ciso</t>
  </si>
  <si>
    <t>CISO Global Inc</t>
  </si>
  <si>
    <t>nbio</t>
  </si>
  <si>
    <t>Nascent Biotech Inc</t>
  </si>
  <si>
    <t>bkuh</t>
  </si>
  <si>
    <t>Bakhu Holdings Corp</t>
  </si>
  <si>
    <t>eftrw</t>
  </si>
  <si>
    <t>eFFECTOR Therapeutics Inc</t>
  </si>
  <si>
    <t>rja</t>
  </si>
  <si>
    <t>Talisman Mining Ltd</t>
  </si>
  <si>
    <t>intew</t>
  </si>
  <si>
    <t>Integral Acquisition</t>
  </si>
  <si>
    <t>bttc</t>
  </si>
  <si>
    <t>Bitech Technologies Corp</t>
  </si>
  <si>
    <t>emldw</t>
  </si>
  <si>
    <t>FTAC Emerald</t>
  </si>
  <si>
    <t>gamcw</t>
  </si>
  <si>
    <t>Golden Arrow Merger</t>
  </si>
  <si>
    <t>esacw</t>
  </si>
  <si>
    <t>ESGEN Acquisition Corp</t>
  </si>
  <si>
    <t>acabw</t>
  </si>
  <si>
    <t>xpdbw</t>
  </si>
  <si>
    <t>Power &amp; Digital</t>
  </si>
  <si>
    <t>aptmw</t>
  </si>
  <si>
    <t>Alpha Partners Tech</t>
  </si>
  <si>
    <t>adthw</t>
  </si>
  <si>
    <t>AdTheorent Holding</t>
  </si>
  <si>
    <t>ctg</t>
  </si>
  <si>
    <t>Centenario Gold Corp</t>
  </si>
  <si>
    <t>isco</t>
  </si>
  <si>
    <t>International Stem Cell Corp</t>
  </si>
  <si>
    <t>crwe</t>
  </si>
  <si>
    <t>Crown Equity Holdings Inc</t>
  </si>
  <si>
    <t>vbix</t>
  </si>
  <si>
    <t>Viewbix Inc</t>
  </si>
  <si>
    <t>brsh</t>
  </si>
  <si>
    <t>Bruush Oral Care Inc</t>
  </si>
  <si>
    <t>fmhs</t>
  </si>
  <si>
    <t>Farmhouse Inc</t>
  </si>
  <si>
    <t>finm</t>
  </si>
  <si>
    <t>Financiere Marjos SA</t>
  </si>
  <si>
    <t>argo</t>
  </si>
  <si>
    <t>Argo Living Soils Corp</t>
  </si>
  <si>
    <t>srco</t>
  </si>
  <si>
    <t>SPARTA COMMERCIAL SERVICES Common Stock</t>
  </si>
  <si>
    <t>adad</t>
  </si>
  <si>
    <t>Huaizhong Health Group Inc</t>
  </si>
  <si>
    <t>nrrwf</t>
  </si>
  <si>
    <t>Nuran Wireless Inc</t>
  </si>
  <si>
    <t>acbm</t>
  </si>
  <si>
    <t>ACRO Biomedical Co Ltd</t>
  </si>
  <si>
    <t>enzn</t>
  </si>
  <si>
    <t>Enzon Pharmaceuticals Inc</t>
  </si>
  <si>
    <t>lwlw</t>
  </si>
  <si>
    <t>Longwen Group Corp</t>
  </si>
  <si>
    <t>snrg</t>
  </si>
  <si>
    <t>Susglobal Energy Corp</t>
  </si>
  <si>
    <t>avcrf</t>
  </si>
  <si>
    <t>Avricore Health Inc</t>
  </si>
  <si>
    <t>bmtm</t>
  </si>
  <si>
    <t>Bright Mountain Media Inc</t>
  </si>
  <si>
    <t>pgezf</t>
  </si>
  <si>
    <t>Stillwater Critical Minerals Corp</t>
  </si>
  <si>
    <t>pgid</t>
  </si>
  <si>
    <t>Peregrine Industries Inc</t>
  </si>
  <si>
    <t>biof</t>
  </si>
  <si>
    <t>Blue Biofuels Inc</t>
  </si>
  <si>
    <t>ocgsf</t>
  </si>
  <si>
    <t>Outcrop Silver &amp; Gold Corp</t>
  </si>
  <si>
    <t>ssvff</t>
  </si>
  <si>
    <t>Southern Silver Exploration Corp</t>
  </si>
  <si>
    <t>nogn</t>
  </si>
  <si>
    <t>Empire Metals Ltd</t>
  </si>
  <si>
    <t>arqqw</t>
  </si>
  <si>
    <t>Arqit Quantum</t>
  </si>
  <si>
    <t>rvsnw</t>
  </si>
  <si>
    <t>Rail Vision</t>
  </si>
  <si>
    <t>nutx</t>
  </si>
  <si>
    <t>Nutex Health Inc</t>
  </si>
  <si>
    <t>szzlw</t>
  </si>
  <si>
    <t>Sizzle Acquisition</t>
  </si>
  <si>
    <t>arrww</t>
  </si>
  <si>
    <t>Arrowroot Acquisition</t>
  </si>
  <si>
    <t>mvstw</t>
  </si>
  <si>
    <t>Microvast</t>
  </si>
  <si>
    <t>dish</t>
  </si>
  <si>
    <t>Amala Foods PLC</t>
  </si>
  <si>
    <t>arrt</t>
  </si>
  <si>
    <t>Artisan Consumer Goods Inc</t>
  </si>
  <si>
    <t>crkn</t>
  </si>
  <si>
    <t>Crown Electrokinetics Corp.</t>
  </si>
  <si>
    <t>bdrl</t>
  </si>
  <si>
    <t>Blonder Tongue Laboratories Inc</t>
  </si>
  <si>
    <t>mage</t>
  </si>
  <si>
    <t>Magellan Gold Corp</t>
  </si>
  <si>
    <t>sbig</t>
  </si>
  <si>
    <t>springbig Holdings Inc</t>
  </si>
  <si>
    <t>svbl</t>
  </si>
  <si>
    <t>Silver Bull Resources Inc</t>
  </si>
  <si>
    <t>aty</t>
  </si>
  <si>
    <t>Atico Mining Corp</t>
  </si>
  <si>
    <t>nftn</t>
  </si>
  <si>
    <t>NFiniTi Inc</t>
  </si>
  <si>
    <t>cloq</t>
  </si>
  <si>
    <t>Cyberloq Technologies Inc</t>
  </si>
  <si>
    <t>ffie</t>
  </si>
  <si>
    <t>Faraday Future Intelligent Electric Inc</t>
  </si>
  <si>
    <t>apn</t>
  </si>
  <si>
    <t>Altiplano Metals Inc</t>
  </si>
  <si>
    <t>bixt</t>
  </si>
  <si>
    <t>Bioxytran Inc</t>
  </si>
  <si>
    <t>eqtrf</t>
  </si>
  <si>
    <t>Altamira Gold Corp</t>
  </si>
  <si>
    <t>gwin</t>
  </si>
  <si>
    <t>Glorywin Entertainment Group Inc</t>
  </si>
  <si>
    <t>svrew</t>
  </si>
  <si>
    <t>SaverOne 2014 Ltd</t>
  </si>
  <si>
    <t>nsrpf</t>
  </si>
  <si>
    <t>Novo Resources Corp</t>
  </si>
  <si>
    <t>arizw</t>
  </si>
  <si>
    <t>Arisz Acq</t>
  </si>
  <si>
    <t>ffntf</t>
  </si>
  <si>
    <t>4Front Ventures Corp</t>
  </si>
  <si>
    <t>brkhw</t>
  </si>
  <si>
    <t>BurTech Acquisition</t>
  </si>
  <si>
    <t>pgyww</t>
  </si>
  <si>
    <t>Pagaya Technologies Ltd</t>
  </si>
  <si>
    <t>jsprw</t>
  </si>
  <si>
    <t>Japer Therapeutics</t>
  </si>
  <si>
    <t>fflwf</t>
  </si>
  <si>
    <t>Fire Flowers Holdings Ord Shs</t>
  </si>
  <si>
    <t>hcviw</t>
  </si>
  <si>
    <t>Hennessy Capital Investment Corp</t>
  </si>
  <si>
    <t>ktra</t>
  </si>
  <si>
    <t>Kintara Therapeutics Inc</t>
  </si>
  <si>
    <t>satt</t>
  </si>
  <si>
    <t>Sativus Tech Corp</t>
  </si>
  <si>
    <t>giga</t>
  </si>
  <si>
    <t>Giga-tronics, Incorporated</t>
  </si>
  <si>
    <t>bspk</t>
  </si>
  <si>
    <t>Bespoke Extracts Inc</t>
  </si>
  <si>
    <t>ribt</t>
  </si>
  <si>
    <t>RiceBran Technologies</t>
  </si>
  <si>
    <t>bsfc</t>
  </si>
  <si>
    <t>Blue Star Foods Corp</t>
  </si>
  <si>
    <t>ptco</t>
  </si>
  <si>
    <t>PetroGas Co</t>
  </si>
  <si>
    <t>hscs</t>
  </si>
  <si>
    <t>Heart Test Laboratories Inc</t>
  </si>
  <si>
    <t>sntw</t>
  </si>
  <si>
    <t>Summit Networks Inc</t>
  </si>
  <si>
    <t>ivdaw</t>
  </si>
  <si>
    <t>Iveda Solutions</t>
  </si>
  <si>
    <t>cnfn</t>
  </si>
  <si>
    <t>Cfn Enterprises Inc</t>
  </si>
  <si>
    <t>nmex</t>
  </si>
  <si>
    <t>Northern Minerals &amp; Exploration Ltd</t>
  </si>
  <si>
    <t>btbdw</t>
  </si>
  <si>
    <t>Burger Time</t>
  </si>
  <si>
    <t>nsfdf</t>
  </si>
  <si>
    <t>NXT Energy Solutions Inc.</t>
  </si>
  <si>
    <t>rsmxf</t>
  </si>
  <si>
    <t>Regency Silver Corp</t>
  </si>
  <si>
    <t>qind</t>
  </si>
  <si>
    <t>Quality Industrial Corp</t>
  </si>
  <si>
    <t>hqda</t>
  </si>
  <si>
    <t>HQDA Elderly Life Network Corp</t>
  </si>
  <si>
    <t>saitw</t>
  </si>
  <si>
    <t>SAI.TECH Global</t>
  </si>
  <si>
    <t>dcfc</t>
  </si>
  <si>
    <t>Tritium Dcfc Ltd</t>
  </si>
  <si>
    <t>nubiw</t>
  </si>
  <si>
    <t>Nubia Brand International</t>
  </si>
  <si>
    <t>lchd</t>
  </si>
  <si>
    <t>Leader Capital Holdings Corp</t>
  </si>
  <si>
    <t>pvct</t>
  </si>
  <si>
    <t>Provectus Biopharmaceuticals Inc</t>
  </si>
  <si>
    <t>petww</t>
  </si>
  <si>
    <t>Wag</t>
  </si>
  <si>
    <t>coolw</t>
  </si>
  <si>
    <t>satlw</t>
  </si>
  <si>
    <t>Satellogic</t>
  </si>
  <si>
    <t>zom</t>
  </si>
  <si>
    <t>Zomedica Corp</t>
  </si>
  <si>
    <t>qsiaw</t>
  </si>
  <si>
    <t>Quantum-Si</t>
  </si>
  <si>
    <t>brchf</t>
  </si>
  <si>
    <t>Brainchip Holdings Ltd</t>
  </si>
  <si>
    <t>tmcww</t>
  </si>
  <si>
    <t>The Metals Company</t>
  </si>
  <si>
    <t>ggrow</t>
  </si>
  <si>
    <t>Gogoro</t>
  </si>
  <si>
    <t>aau</t>
  </si>
  <si>
    <t>Almaden Minerals Ltd.</t>
  </si>
  <si>
    <t>drfs</t>
  </si>
  <si>
    <t>Dr Foods Inc</t>
  </si>
  <si>
    <t>ambo</t>
  </si>
  <si>
    <t>Ambow Education Holding Ltd</t>
  </si>
  <si>
    <t>gpox</t>
  </si>
  <si>
    <t>GPO Plus Inc</t>
  </si>
  <si>
    <t>leai</t>
  </si>
  <si>
    <t>Legacy Education Alliance Inc</t>
  </si>
  <si>
    <t>jsda</t>
  </si>
  <si>
    <t>Jones Soda Co ( USA )</t>
  </si>
  <si>
    <t>mn</t>
  </si>
  <si>
    <t>Manganese X Energy Corp</t>
  </si>
  <si>
    <t>hannf</t>
  </si>
  <si>
    <t>Hannan Metals Ltd</t>
  </si>
  <si>
    <t>brcnf</t>
  </si>
  <si>
    <t>Burcon NutraScience Corp</t>
  </si>
  <si>
    <t>ewgff</t>
  </si>
  <si>
    <t>Eat Well Investment Group Inc</t>
  </si>
  <si>
    <t>crcuf</t>
  </si>
  <si>
    <t>Canagold Resources Ltd</t>
  </si>
  <si>
    <t>crge</t>
  </si>
  <si>
    <t>Charge Enterprises Inc</t>
  </si>
  <si>
    <t>nrxpw</t>
  </si>
  <si>
    <t>NRX Pharmaceuticals</t>
  </si>
  <si>
    <t>nxmh</t>
  </si>
  <si>
    <t>Next Meats Holdings Inc</t>
  </si>
  <si>
    <t>ghixw</t>
  </si>
  <si>
    <t>Gores Holdings IX</t>
  </si>
  <si>
    <t>bldew</t>
  </si>
  <si>
    <t>Blade Urban Air Mobility</t>
  </si>
  <si>
    <t>psnyw</t>
  </si>
  <si>
    <t>Polestar Automotive Holding American Depositary Shares Class C-1</t>
  </si>
  <si>
    <t>pnpl</t>
  </si>
  <si>
    <t>Pineapple Ord Shs</t>
  </si>
  <si>
    <t>gnrsu</t>
  </si>
  <si>
    <t>Greenrose Holding Company Inc Unit</t>
  </si>
  <si>
    <t>aoxy</t>
  </si>
  <si>
    <t>Advanced Oxygen Technologies, Inc.</t>
  </si>
  <si>
    <t>lll</t>
  </si>
  <si>
    <t>Lanebury Growth Capital Ltd</t>
  </si>
  <si>
    <t>verb</t>
  </si>
  <si>
    <t>Verb Technology Company Inc</t>
  </si>
  <si>
    <t>ivdn</t>
  </si>
  <si>
    <t>Innovative Designs Inc</t>
  </si>
  <si>
    <t>ryes</t>
  </si>
  <si>
    <t>Rise Gold Corp</t>
  </si>
  <si>
    <t>qzmrf</t>
  </si>
  <si>
    <t>Quartz Mountain Resources Ltd</t>
  </si>
  <si>
    <t>pdro</t>
  </si>
  <si>
    <t>Pedro's List Inc</t>
  </si>
  <si>
    <t>rtnxf</t>
  </si>
  <si>
    <t>Renalytix PLC</t>
  </si>
  <si>
    <t>trbmf</t>
  </si>
  <si>
    <t>Torq Resources Inc</t>
  </si>
  <si>
    <t>nexcf</t>
  </si>
  <si>
    <t>Nextech3D.AI Corp</t>
  </si>
  <si>
    <t>mappf</t>
  </si>
  <si>
    <t>Prostar Holdings Inc</t>
  </si>
  <si>
    <t>pjxrf</t>
  </si>
  <si>
    <t>PJX Resources Inc</t>
  </si>
  <si>
    <t>gsvrf</t>
  </si>
  <si>
    <t>Guanajuato Silver Company Ltd</t>
  </si>
  <si>
    <t>stcb</t>
  </si>
  <si>
    <t>Starco Brands Inc</t>
  </si>
  <si>
    <t>twlvw</t>
  </si>
  <si>
    <t>Twelve Seas Investment</t>
  </si>
  <si>
    <t>hzn</t>
  </si>
  <si>
    <t>Horizon Oil Ltd</t>
  </si>
  <si>
    <t>plltl</t>
  </si>
  <si>
    <t>Piedmont Lithium Inc</t>
  </si>
  <si>
    <t>thwww</t>
  </si>
  <si>
    <t>Target Hospitality</t>
  </si>
  <si>
    <t>sptjf</t>
  </si>
  <si>
    <t>Sinopec Shanghai Petrochemical Ord Shs H</t>
  </si>
  <si>
    <t>padef</t>
  </si>
  <si>
    <t>Adaro Energy Indonesia TBK PT</t>
  </si>
  <si>
    <t>sgla</t>
  </si>
  <si>
    <t>Sino Green Land Corp</t>
  </si>
  <si>
    <t>pcst</t>
  </si>
  <si>
    <t>Pure Capital Solutions Inc</t>
  </si>
  <si>
    <t>igxt</t>
  </si>
  <si>
    <t>IntelGenx Technologies Corp.</t>
  </si>
  <si>
    <t>sint</t>
  </si>
  <si>
    <t>SINTX Technologies Inc</t>
  </si>
  <si>
    <t>wowi</t>
  </si>
  <si>
    <t>Metro One Telecommunications Inc</t>
  </si>
  <si>
    <t>nby</t>
  </si>
  <si>
    <t>NovaBay Pharmaceuticals Inc</t>
  </si>
  <si>
    <t>qron</t>
  </si>
  <si>
    <t>Qrons Inc</t>
  </si>
  <si>
    <t>tmin</t>
  </si>
  <si>
    <t>Trendmaker Inc Ltd</t>
  </si>
  <si>
    <t>snoa</t>
  </si>
  <si>
    <t>Sonoma Pharmaceuticals Inc</t>
  </si>
  <si>
    <t>trxa</t>
  </si>
  <si>
    <t>T-REX Acquisition Corp</t>
  </si>
  <si>
    <t>apvo</t>
  </si>
  <si>
    <t>Aptevo Therapeutics Inc</t>
  </si>
  <si>
    <t>iwsh</t>
  </si>
  <si>
    <t>Wright Investors Service Holdings Inc</t>
  </si>
  <si>
    <t>sopa</t>
  </si>
  <si>
    <t>Society Pass Inc</t>
  </si>
  <si>
    <t>usdp</t>
  </si>
  <si>
    <t>USD Partners LP</t>
  </si>
  <si>
    <t>dhcc</t>
  </si>
  <si>
    <t>Diamondhead Casino Corp</t>
  </si>
  <si>
    <t>sbfmw</t>
  </si>
  <si>
    <t>Sunshine Biopharma</t>
  </si>
  <si>
    <t>abcp</t>
  </si>
  <si>
    <t>AmBase Corp</t>
  </si>
  <si>
    <t>sisi</t>
  </si>
  <si>
    <t>Shineco Inc</t>
  </si>
  <si>
    <t>get</t>
  </si>
  <si>
    <t>GameOn Entertainment Technologies Inc</t>
  </si>
  <si>
    <t>asre</t>
  </si>
  <si>
    <t>Astra Energy Inc</t>
  </si>
  <si>
    <t>lndzf</t>
  </si>
  <si>
    <t>Evome Medical Technologies Inc</t>
  </si>
  <si>
    <t>dfco</t>
  </si>
  <si>
    <t>Dalrada Financial Corporation</t>
  </si>
  <si>
    <t>vprb</t>
  </si>
  <si>
    <t>VPR Brands LP</t>
  </si>
  <si>
    <t>fgco</t>
  </si>
  <si>
    <t>Financial Gravity Companies Inc</t>
  </si>
  <si>
    <t>trlef</t>
  </si>
  <si>
    <t>Trillion Energy International Inc</t>
  </si>
  <si>
    <t>nrsnw</t>
  </si>
  <si>
    <t>NeuroSense Therapeutics</t>
  </si>
  <si>
    <t>elre</t>
  </si>
  <si>
    <t>Yinfu Gold Corp</t>
  </si>
  <si>
    <t>smgi</t>
  </si>
  <si>
    <t>SMG Industries Inc</t>
  </si>
  <si>
    <t>slvr</t>
  </si>
  <si>
    <t>Silver Tiger Metals Inc</t>
  </si>
  <si>
    <t>wmllf</t>
  </si>
  <si>
    <t>Wealth Minerals Ltd</t>
  </si>
  <si>
    <t>vrdr</t>
  </si>
  <si>
    <t>Verde Resources Inc</t>
  </si>
  <si>
    <t>renew</t>
  </si>
  <si>
    <t>CARTESIAN GROWTH CORPORATION II</t>
  </si>
  <si>
    <t>talkw</t>
  </si>
  <si>
    <t>Talkspace</t>
  </si>
  <si>
    <t>adn</t>
  </si>
  <si>
    <t>Advent Technologies Holdings Inc</t>
  </si>
  <si>
    <t>cei</t>
  </si>
  <si>
    <t>Camber Energy Inc</t>
  </si>
  <si>
    <t>ncpl</t>
  </si>
  <si>
    <t>Netcapital Inc</t>
  </si>
  <si>
    <t>ammx</t>
  </si>
  <si>
    <t>AmeraMex International Inc</t>
  </si>
  <si>
    <t>star</t>
  </si>
  <si>
    <t>Starmet Ventures Inc</t>
  </si>
  <si>
    <t>lowlf</t>
  </si>
  <si>
    <t>Lowell Farms Inc</t>
  </si>
  <si>
    <t>ctek</t>
  </si>
  <si>
    <t>CLEANTEK Industries Inc</t>
  </si>
  <si>
    <t>mobbw</t>
  </si>
  <si>
    <t>Mobilicom Ltd</t>
  </si>
  <si>
    <t>tphs</t>
  </si>
  <si>
    <t>Trinity Place Holdings Inc</t>
  </si>
  <si>
    <t>grtx</t>
  </si>
  <si>
    <t>Galera Therapeutics Inc</t>
  </si>
  <si>
    <t>brvo</t>
  </si>
  <si>
    <t>Bravo Multinational Inc</t>
  </si>
  <si>
    <t>kiq</t>
  </si>
  <si>
    <t>Kelso Technologies Inc</t>
  </si>
  <si>
    <t>mimo</t>
  </si>
  <si>
    <t>Airspan Networks Holdings Inc</t>
  </si>
  <si>
    <t>pnckf</t>
  </si>
  <si>
    <t>Galleon Gold Corp</t>
  </si>
  <si>
    <t>arrkf</t>
  </si>
  <si>
    <t>Arras Minerals Corp.</t>
  </si>
  <si>
    <t>gfaiw</t>
  </si>
  <si>
    <t>Guardforce AI Co</t>
  </si>
  <si>
    <t>urlof</t>
  </si>
  <si>
    <t>NameSilo Technologies Corp</t>
  </si>
  <si>
    <t>ampgw</t>
  </si>
  <si>
    <t>AmpliTech Gr</t>
  </si>
  <si>
    <t>kulr</t>
  </si>
  <si>
    <t>KULR Technology Group Inc</t>
  </si>
  <si>
    <t>bhil</t>
  </si>
  <si>
    <t>Benson Hill Inc</t>
  </si>
  <si>
    <t>agxpf</t>
  </si>
  <si>
    <t>Silver X Mining Corp</t>
  </si>
  <si>
    <t>chuc</t>
  </si>
  <si>
    <t>Charlie's Holdings Inc</t>
  </si>
  <si>
    <t>jroof</t>
  </si>
  <si>
    <t>Jericho Energy Ventures Inc</t>
  </si>
  <si>
    <t>cydy</t>
  </si>
  <si>
    <t>CytoDyn Inc</t>
  </si>
  <si>
    <t>meobf</t>
  </si>
  <si>
    <t>Mesoblast Ltd</t>
  </si>
  <si>
    <t>tmrr</t>
  </si>
  <si>
    <t>Temir Corp</t>
  </si>
  <si>
    <t>oblg</t>
  </si>
  <si>
    <t>Oblong Inc</t>
  </si>
  <si>
    <t>aspu</t>
  </si>
  <si>
    <t>Aspen Group Inc</t>
  </si>
  <si>
    <t>afib</t>
  </si>
  <si>
    <t>Acutus Medical Inc</t>
  </si>
  <si>
    <t>pcmc</t>
  </si>
  <si>
    <t>Public Company Management Corp</t>
  </si>
  <si>
    <t>cjjd</t>
  </si>
  <si>
    <t>China Jo-Jo Drugstores Inc</t>
  </si>
  <si>
    <t>elys</t>
  </si>
  <si>
    <t>Elys BMG Group Inc</t>
  </si>
  <si>
    <t>xxii</t>
  </si>
  <si>
    <t>22nd Century Group Inc</t>
  </si>
  <si>
    <t>iinnw</t>
  </si>
  <si>
    <t>Inspira Technologies Oxy</t>
  </si>
  <si>
    <t>acrhf</t>
  </si>
  <si>
    <t>Acreage Holdings Inc</t>
  </si>
  <si>
    <t>admg</t>
  </si>
  <si>
    <t>Adamant DRI Processing&amp;Minerals Group</t>
  </si>
  <si>
    <t>prkr</t>
  </si>
  <si>
    <t>ParkerVision, Inc.</t>
  </si>
  <si>
    <t>pirs</t>
  </si>
  <si>
    <t>Pieris Pharmaceuticals Inc</t>
  </si>
  <si>
    <t>ausi</t>
  </si>
  <si>
    <t>Aura Systems Inc</t>
  </si>
  <si>
    <t>ngc</t>
  </si>
  <si>
    <t>Northern Graphite Corp</t>
  </si>
  <si>
    <t>bzfd</t>
  </si>
  <si>
    <t>Buzzfeed Inc</t>
  </si>
  <si>
    <t>cwbhf</t>
  </si>
  <si>
    <t>Charlotte's Web Holdings Inc</t>
  </si>
  <si>
    <t>bkrrf</t>
  </si>
  <si>
    <t>Blackrock Silver Corp</t>
  </si>
  <si>
    <t>tglo</t>
  </si>
  <si>
    <t>theglobe.com Inc</t>
  </si>
  <si>
    <t>szsmf</t>
  </si>
  <si>
    <t>Santacruz Silver Mining Ltd</t>
  </si>
  <si>
    <t>wondf</t>
  </si>
  <si>
    <t>Wonderfi Technologies Inc</t>
  </si>
  <si>
    <t>eltp</t>
  </si>
  <si>
    <t>Elite Pharmaceuticals, Inc. Common Stock</t>
  </si>
  <si>
    <t>cdrow</t>
  </si>
  <si>
    <t>Codere Online</t>
  </si>
  <si>
    <t>slamw</t>
  </si>
  <si>
    <t>Slam</t>
  </si>
  <si>
    <t>evgow</t>
  </si>
  <si>
    <t>EVgo</t>
  </si>
  <si>
    <t>cyn</t>
  </si>
  <si>
    <t>Cyngn Inc</t>
  </si>
  <si>
    <t>emax</t>
  </si>
  <si>
    <t>Ecomax Inc</t>
  </si>
  <si>
    <t>altx</t>
  </si>
  <si>
    <t>Altex Industries, Inc.</t>
  </si>
  <si>
    <t>csse</t>
  </si>
  <si>
    <t>Chicken Soup for The Soul Entrtnmnt Inc Class A</t>
  </si>
  <si>
    <t>freq</t>
  </si>
  <si>
    <t>Frequency Exchange Corp</t>
  </si>
  <si>
    <t>bttx</t>
  </si>
  <si>
    <t>Better Therapeutics Inc</t>
  </si>
  <si>
    <t>gthp</t>
  </si>
  <si>
    <t>Guided Therapeutics Inc</t>
  </si>
  <si>
    <t>bcan</t>
  </si>
  <si>
    <t>BYND Cannasoft Enterprises Inc</t>
  </si>
  <si>
    <t>faze</t>
  </si>
  <si>
    <t>FaZe Holdings Inc</t>
  </si>
  <si>
    <t>eglx</t>
  </si>
  <si>
    <t>Enthusiast Gaming Holdings Inc</t>
  </si>
  <si>
    <t>brezw</t>
  </si>
  <si>
    <t>Breeze Holdings Acq</t>
  </si>
  <si>
    <t>mpvdf</t>
  </si>
  <si>
    <t>Mountain Province Diamonds Inc</t>
  </si>
  <si>
    <t>sldpw</t>
  </si>
  <si>
    <t>Solid Power</t>
  </si>
  <si>
    <t>fdoc</t>
  </si>
  <si>
    <t>Fuel Doctor Holdings Ord Shs</t>
  </si>
  <si>
    <t>atnf</t>
  </si>
  <si>
    <t>180 Life Sciences Corp</t>
  </si>
  <si>
    <t>trck</t>
  </si>
  <si>
    <t>Track Group Inc</t>
  </si>
  <si>
    <t>plsh</t>
  </si>
  <si>
    <t>Panacea Life Sciences Holdings Inc</t>
  </si>
  <si>
    <t>auud</t>
  </si>
  <si>
    <t>Auddia Inc</t>
  </si>
  <si>
    <t>snpx</t>
  </si>
  <si>
    <t>Synaptogenix Inc</t>
  </si>
  <si>
    <t>rsls</t>
  </si>
  <si>
    <t>ReShape Lifesciences Inc</t>
  </si>
  <si>
    <t>tcon</t>
  </si>
  <si>
    <t>TRACON Pharmaceuticals Inc</t>
  </si>
  <si>
    <t>bttr</t>
  </si>
  <si>
    <t>Better Choice Company Inc</t>
  </si>
  <si>
    <t>gtbp</t>
  </si>
  <si>
    <t>GT Biopharma Inc</t>
  </si>
  <si>
    <t>omhi</t>
  </si>
  <si>
    <t>Om Holdings International Inc</t>
  </si>
  <si>
    <t>whlr</t>
  </si>
  <si>
    <t>Wheeler Real Estate Investment Trust Inc</t>
  </si>
  <si>
    <t>lrdc</t>
  </si>
  <si>
    <t>Laredo Oil Inc</t>
  </si>
  <si>
    <t>fgiww</t>
  </si>
  <si>
    <t>FGI Industries</t>
  </si>
  <si>
    <t>mdwk</t>
  </si>
  <si>
    <t>Mdwerks Inc</t>
  </si>
  <si>
    <t>hbp</t>
  </si>
  <si>
    <t>Helix Biopharma Corp.</t>
  </si>
  <si>
    <t>conxw</t>
  </si>
  <si>
    <t>CONX</t>
  </si>
  <si>
    <t>abit</t>
  </si>
  <si>
    <t>Athena Bitcoin Global</t>
  </si>
  <si>
    <t>grabw</t>
  </si>
  <si>
    <t>Grab</t>
  </si>
  <si>
    <t>gngyf</t>
  </si>
  <si>
    <t>Guangshen Railway Ord Shs H</t>
  </si>
  <si>
    <t>both</t>
  </si>
  <si>
    <t>Bioethics Ltd</t>
  </si>
  <si>
    <t>qprc</t>
  </si>
  <si>
    <t>Quest Patent Research Corp</t>
  </si>
  <si>
    <t>esmc</t>
  </si>
  <si>
    <t>Escalon Medical Corp</t>
  </si>
  <si>
    <t>sofo</t>
  </si>
  <si>
    <t>Sonic Foundry Inc</t>
  </si>
  <si>
    <t>ipsi</t>
  </si>
  <si>
    <t>Innovative Payment Solutions Inc</t>
  </si>
  <si>
    <t>gctk</t>
  </si>
  <si>
    <t>GlucoTrack Inc</t>
  </si>
  <si>
    <t>fflo</t>
  </si>
  <si>
    <t>Free Flow Inc</t>
  </si>
  <si>
    <t>ensv</t>
  </si>
  <si>
    <t>Enservco Corp</t>
  </si>
  <si>
    <t>inbp</t>
  </si>
  <si>
    <t>Integrated BioPharma, Inc.</t>
  </si>
  <si>
    <t>nowg</t>
  </si>
  <si>
    <t>Nowigence Inc</t>
  </si>
  <si>
    <t>vqs</t>
  </si>
  <si>
    <t>VIQ Solutions Inc</t>
  </si>
  <si>
    <t>tkls</t>
  </si>
  <si>
    <t>Trutankless Inc</t>
  </si>
  <si>
    <t>femff</t>
  </si>
  <si>
    <t>FE Battery Metals Corp</t>
  </si>
  <si>
    <t>silef</t>
  </si>
  <si>
    <t>Silver Elephant Mining Corp</t>
  </si>
  <si>
    <t>ark</t>
  </si>
  <si>
    <t>gxsff</t>
  </si>
  <si>
    <t>Goldsource Mines Inc</t>
  </si>
  <si>
    <t>hlrtf</t>
  </si>
  <si>
    <t>Hillcrest Energy Technologies Ltd</t>
  </si>
  <si>
    <t>logq</t>
  </si>
  <si>
    <t>Coyni Inc</t>
  </si>
  <si>
    <t>ntar</t>
  </si>
  <si>
    <t>piac</t>
  </si>
  <si>
    <t>Princeton Capital Corp</t>
  </si>
  <si>
    <t>iqst</t>
  </si>
  <si>
    <t>Iqstel Inc</t>
  </si>
  <si>
    <t>bgxx</t>
  </si>
  <si>
    <t>Bright Green Corp</t>
  </si>
  <si>
    <t>arbkf</t>
  </si>
  <si>
    <t>Argo Blockchain PLC</t>
  </si>
  <si>
    <t>arbew</t>
  </si>
  <si>
    <t>Arbe Robotics</t>
  </si>
  <si>
    <t>conc</t>
  </si>
  <si>
    <t>Conectisys Corporation Common Stock</t>
  </si>
  <si>
    <t>spcb</t>
  </si>
  <si>
    <t>SuperCom Ltd. Ordinary Shares</t>
  </si>
  <si>
    <t>itp</t>
  </si>
  <si>
    <t>IT Tech Packaging Inc</t>
  </si>
  <si>
    <t>lmpx</t>
  </si>
  <si>
    <t>LMP Automotive Holdings Inc</t>
  </si>
  <si>
    <t>armv</t>
  </si>
  <si>
    <t>Arma Services Inc</t>
  </si>
  <si>
    <t>otrk</t>
  </si>
  <si>
    <t>Ontrak Inc</t>
  </si>
  <si>
    <t>intz</t>
  </si>
  <si>
    <t>Intrusion Inc.</t>
  </si>
  <si>
    <t>phge</t>
  </si>
  <si>
    <t>Biomx Inc</t>
  </si>
  <si>
    <t>isun</t>
  </si>
  <si>
    <t>iSun Inc</t>
  </si>
  <si>
    <t>sunw</t>
  </si>
  <si>
    <t>Sunworks Inc</t>
  </si>
  <si>
    <t>fust</t>
  </si>
  <si>
    <t>Fuse Group Holding Inc</t>
  </si>
  <si>
    <t>cd</t>
  </si>
  <si>
    <t>Cantex Mine Development Corp.</t>
  </si>
  <si>
    <t>vrm</t>
  </si>
  <si>
    <t>Vroom Inc</t>
  </si>
  <si>
    <t>bcm</t>
  </si>
  <si>
    <t>Bear Creek Mining Corp</t>
  </si>
  <si>
    <t>scgy</t>
  </si>
  <si>
    <t>Scientific Energy Inc</t>
  </si>
  <si>
    <t>blgo</t>
  </si>
  <si>
    <t>BioLargo Inc</t>
  </si>
  <si>
    <t>toiiw</t>
  </si>
  <si>
    <t>Oncology Institute</t>
  </si>
  <si>
    <t>srsg</t>
  </si>
  <si>
    <t>Spirits Time International Inc</t>
  </si>
  <si>
    <t>frgt</t>
  </si>
  <si>
    <t>Freight Technologies Inc</t>
  </si>
  <si>
    <t>yten</t>
  </si>
  <si>
    <t>Yield10 Bioscience Inc</t>
  </si>
  <si>
    <t>mnx</t>
  </si>
  <si>
    <t>Manitex Capital Inc.</t>
  </si>
  <si>
    <t>fulo</t>
  </si>
  <si>
    <t>FullNet Communications Inc</t>
  </si>
  <si>
    <t>tpet</t>
  </si>
  <si>
    <t>Trio Petroleum Corp</t>
  </si>
  <si>
    <t>acrdf</t>
  </si>
  <si>
    <t>Acreage Holdings Floating Subordinate Voting Class D Ord Shs</t>
  </si>
  <si>
    <t>petvw</t>
  </si>
  <si>
    <t>PetVivo Holdings Inc</t>
  </si>
  <si>
    <t>qmci</t>
  </si>
  <si>
    <t>QuoteMedia Inc</t>
  </si>
  <si>
    <t>uamy</t>
  </si>
  <si>
    <t>United States Antimony Corporation</t>
  </si>
  <si>
    <t>hlth</t>
  </si>
  <si>
    <t>Cue Health Inc</t>
  </si>
  <si>
    <t>reemf</t>
  </si>
  <si>
    <t>Rare Element Resources Ltd</t>
  </si>
  <si>
    <t>ueec</t>
  </si>
  <si>
    <t>United Health Products Inc</t>
  </si>
  <si>
    <t>usas</t>
  </si>
  <si>
    <t>Americas Gold and Silver Corporation</t>
  </si>
  <si>
    <t>erdcf</t>
  </si>
  <si>
    <t>Erdene Resource Development Corp</t>
  </si>
  <si>
    <t>ccv</t>
  </si>
  <si>
    <t>Cash Converters International Ltd</t>
  </si>
  <si>
    <t>rza</t>
  </si>
  <si>
    <t>Austin Engineering Ltd</t>
  </si>
  <si>
    <t>eosew</t>
  </si>
  <si>
    <t>Eos Energy Enterprises</t>
  </si>
  <si>
    <t>areb</t>
  </si>
  <si>
    <t>xl</t>
  </si>
  <si>
    <t>XXL Energy Corp</t>
  </si>
  <si>
    <t>blyq</t>
  </si>
  <si>
    <t>Bally Corp</t>
  </si>
  <si>
    <t>lsdi</t>
  </si>
  <si>
    <t>Lucy Scientific Discovery Inc</t>
  </si>
  <si>
    <t>sbfm</t>
  </si>
  <si>
    <t>Sunshine Biopharma Inc</t>
  </si>
  <si>
    <t>tklf</t>
  </si>
  <si>
    <t>Yoshitsu Co Ltd</t>
  </si>
  <si>
    <t>goro</t>
  </si>
  <si>
    <t>Gold Resource Corporation</t>
  </si>
  <si>
    <t>gtii</t>
  </si>
  <si>
    <t>Global Tech Industries Group Inc</t>
  </si>
  <si>
    <t>plmiw</t>
  </si>
  <si>
    <t>Plum Acquisition</t>
  </si>
  <si>
    <t>sounw</t>
  </si>
  <si>
    <t>SoundHound</t>
  </si>
  <si>
    <t>cheaf</t>
  </si>
  <si>
    <t>China Eastern Airlines Corp Ord Shs H</t>
  </si>
  <si>
    <t>cnsp</t>
  </si>
  <si>
    <t>CNS Pharmaceuticals Inc</t>
  </si>
  <si>
    <t>fstj</t>
  </si>
  <si>
    <t>First America Resources Corp</t>
  </si>
  <si>
    <t>imcc</t>
  </si>
  <si>
    <t>IM Cannabis Corp</t>
  </si>
  <si>
    <t>blnc</t>
  </si>
  <si>
    <t>Balance Labs Inc</t>
  </si>
  <si>
    <t>ioni</t>
  </si>
  <si>
    <t>I-On Digital Corp</t>
  </si>
  <si>
    <t>fwfw</t>
  </si>
  <si>
    <t>Flywheel Advanced Technology Inc</t>
  </si>
  <si>
    <t>kxin</t>
  </si>
  <si>
    <t>Kaixin Auto Holdings</t>
  </si>
  <si>
    <t>kens</t>
  </si>
  <si>
    <t>Kenilworth Systems Corporation</t>
  </si>
  <si>
    <t>fhld</t>
  </si>
  <si>
    <t>Freedom Holdings Inc</t>
  </si>
  <si>
    <t>scth</t>
  </si>
  <si>
    <t>Securetech Innovations Inc</t>
  </si>
  <si>
    <t>enmpy</t>
  </si>
  <si>
    <t>Ensurge Micropower ASA - ADR</t>
  </si>
  <si>
    <t>loncf</t>
  </si>
  <si>
    <t>Loncor Gold Inc</t>
  </si>
  <si>
    <t>neovw</t>
  </si>
  <si>
    <t>NeoVolta</t>
  </si>
  <si>
    <t>egio</t>
  </si>
  <si>
    <t>Edgio Inc</t>
  </si>
  <si>
    <t>fpocf</t>
  </si>
  <si>
    <t>FPX Nickel Corp</t>
  </si>
  <si>
    <t>rjn</t>
  </si>
  <si>
    <t>Strike Energy Ltd</t>
  </si>
  <si>
    <t>cyap</t>
  </si>
  <si>
    <t>Cyber Apps World Inc</t>
  </si>
  <si>
    <t>svvc</t>
  </si>
  <si>
    <t>Firsthand Technology Value Fund Inc</t>
  </si>
  <si>
    <t>mgam</t>
  </si>
  <si>
    <t>Mobile Global Esports Inc</t>
  </si>
  <si>
    <t>slna</t>
  </si>
  <si>
    <t>Selina Hospitality PLC</t>
  </si>
  <si>
    <t>vld</t>
  </si>
  <si>
    <t>Velo3D Inc</t>
  </si>
  <si>
    <t>wkhs</t>
  </si>
  <si>
    <t>Workhorse Group Inc</t>
  </si>
  <si>
    <t>caj</t>
  </si>
  <si>
    <t>Capitol Health Ltd</t>
  </si>
  <si>
    <t>gcmgw</t>
  </si>
  <si>
    <t>GCM Grosvenor</t>
  </si>
  <si>
    <t>mpir</t>
  </si>
  <si>
    <t>Empire Diversified Energy Ord Shs</t>
  </si>
  <si>
    <t>pdnla</t>
  </si>
  <si>
    <t>Presidential Realty Corporation Class A</t>
  </si>
  <si>
    <t>rdga</t>
  </si>
  <si>
    <t>Ridgefield Acquisition Corp</t>
  </si>
  <si>
    <t>elst</t>
  </si>
  <si>
    <t>ELECTRONIC SYSTEMS TECHNOLOGY Common Stock</t>
  </si>
  <si>
    <t>kgji</t>
  </si>
  <si>
    <t>Kingold Jewelry Inc</t>
  </si>
  <si>
    <t>tssi</t>
  </si>
  <si>
    <t>TSS Inc</t>
  </si>
  <si>
    <t>kzia</t>
  </si>
  <si>
    <t>Kazia Therapeutics Ltd</t>
  </si>
  <si>
    <t>dex</t>
  </si>
  <si>
    <t>Almadex Minerals Ltd</t>
  </si>
  <si>
    <t>asxc</t>
  </si>
  <si>
    <t>Asensus Surgical Inc</t>
  </si>
  <si>
    <t>aqpw</t>
  </si>
  <si>
    <t>Golden Ally Lifetech Group Inc</t>
  </si>
  <si>
    <t>bq</t>
  </si>
  <si>
    <t>Boqii Holding Ltd</t>
  </si>
  <si>
    <t>bylg</t>
  </si>
  <si>
    <t>Bylog Group Corp</t>
  </si>
  <si>
    <t>wter</t>
  </si>
  <si>
    <t>Alkaline Water Company Inc</t>
  </si>
  <si>
    <t>corr</t>
  </si>
  <si>
    <t>Corenergy Infrastructure Trust Inc</t>
  </si>
  <si>
    <t>bcel</t>
  </si>
  <si>
    <t>Atreca Inc</t>
  </si>
  <si>
    <t>mon</t>
  </si>
  <si>
    <t>Montero Mining and Exploration Ltd</t>
  </si>
  <si>
    <t>gbnh</t>
  </si>
  <si>
    <t>Greenbrook TMS Inc</t>
  </si>
  <si>
    <t>igc</t>
  </si>
  <si>
    <t>IGC Pharma Inc</t>
  </si>
  <si>
    <t>golq</t>
  </si>
  <si>
    <t>GoLogiq Inc</t>
  </si>
  <si>
    <t>favo</t>
  </si>
  <si>
    <t>Favo Capital Inc</t>
  </si>
  <si>
    <t>seav</t>
  </si>
  <si>
    <t>SEATech Ventures Corp</t>
  </si>
  <si>
    <t>drrsf</t>
  </si>
  <si>
    <t>Arianne Phosphate Inc</t>
  </si>
  <si>
    <t>rgtiw</t>
  </si>
  <si>
    <t>Rigetti Computing</t>
  </si>
  <si>
    <t>fcic</t>
  </si>
  <si>
    <t>FCCC Inc</t>
  </si>
  <si>
    <t>agri</t>
  </si>
  <si>
    <t>AgriFORCE Growing Systems Ltd</t>
  </si>
  <si>
    <t>smx</t>
  </si>
  <si>
    <t>SMX (Security Matters) PLC</t>
  </si>
  <si>
    <t>ncna</t>
  </si>
  <si>
    <t>NuCana PLC</t>
  </si>
  <si>
    <t>hmmr</t>
  </si>
  <si>
    <t>Hammer Fiber Optics Holdings Corp</t>
  </si>
  <si>
    <t>dtstw</t>
  </si>
  <si>
    <t>Data Storage Corporation</t>
  </si>
  <si>
    <t>lismf</t>
  </si>
  <si>
    <t>Lithium South Development Corp</t>
  </si>
  <si>
    <t>spgx</t>
  </si>
  <si>
    <t>Sustainable Projects Group Inc</t>
  </si>
  <si>
    <t>annx</t>
  </si>
  <si>
    <t>Annexin Pharmaceuticals AB (publ)</t>
  </si>
  <si>
    <t>drtsw</t>
  </si>
  <si>
    <t>Alpha Tau Medical</t>
  </si>
  <si>
    <t>ctm</t>
  </si>
  <si>
    <t>Castellum Inc</t>
  </si>
  <si>
    <t>strg</t>
  </si>
  <si>
    <t>Starguide Group Inc</t>
  </si>
  <si>
    <t>pcyn</t>
  </si>
  <si>
    <t>Procyon Corp</t>
  </si>
  <si>
    <t>vrvr</t>
  </si>
  <si>
    <t>Virtual Interactive Technologies Corp</t>
  </si>
  <si>
    <t>nlsc</t>
  </si>
  <si>
    <t>Namliong SkyCosmos Inc</t>
  </si>
  <si>
    <t>ebet</t>
  </si>
  <si>
    <t>Ebet Inc</t>
  </si>
  <si>
    <t>zcmd</t>
  </si>
  <si>
    <t>Zhongchao Inc</t>
  </si>
  <si>
    <t>hsta</t>
  </si>
  <si>
    <t>Hestia Insight Inc</t>
  </si>
  <si>
    <t>skky</t>
  </si>
  <si>
    <t>Skkynet Cloud Systems Inc</t>
  </si>
  <si>
    <t>ntrbw</t>
  </si>
  <si>
    <t>Nutriband</t>
  </si>
  <si>
    <t>ybgj</t>
  </si>
  <si>
    <t>Yubo International Biotech Ltd</t>
  </si>
  <si>
    <t>vaso</t>
  </si>
  <si>
    <t>Vaso Corp</t>
  </si>
  <si>
    <t>tsp</t>
  </si>
  <si>
    <t>Tusimple Holdings Inc</t>
  </si>
  <si>
    <t>orrcf</t>
  </si>
  <si>
    <t>Oroco Resource Corp.</t>
  </si>
  <si>
    <t>pxpc</t>
  </si>
  <si>
    <t>Phoenix Plus Corp</t>
  </si>
  <si>
    <t>invzw</t>
  </si>
  <si>
    <t>Innoviz Technologies</t>
  </si>
  <si>
    <t>lseaw</t>
  </si>
  <si>
    <t>Landsea Homes</t>
  </si>
  <si>
    <t>payow</t>
  </si>
  <si>
    <t>Payoneer Global</t>
  </si>
  <si>
    <t>ptpif</t>
  </si>
  <si>
    <t>Chandra Asri Petrochemical Tbk PT</t>
  </si>
  <si>
    <t>nviv</t>
  </si>
  <si>
    <t>Invivo Therapeutics Holdings Corp</t>
  </si>
  <si>
    <t>stqn</t>
  </si>
  <si>
    <t>Strategic Acquisitions Inc</t>
  </si>
  <si>
    <t>nrom</t>
  </si>
  <si>
    <t>Noble Roman's, Inc.</t>
  </si>
  <si>
    <t>orgs</t>
  </si>
  <si>
    <t>Orgenesis Inc</t>
  </si>
  <si>
    <t>rnlx</t>
  </si>
  <si>
    <t>srnw</t>
  </si>
  <si>
    <t>Stratos Renewables Corp</t>
  </si>
  <si>
    <t>tcri</t>
  </si>
  <si>
    <t>TechCom Inc</t>
  </si>
  <si>
    <t>gbux</t>
  </si>
  <si>
    <t>Givbux Inc</t>
  </si>
  <si>
    <t>cydvf</t>
  </si>
  <si>
    <t>Century Lithium Corp</t>
  </si>
  <si>
    <t>byn</t>
  </si>
  <si>
    <t>Banyan Gold Corp</t>
  </si>
  <si>
    <t>gwsn</t>
  </si>
  <si>
    <t>Gulf West Security Network Inc</t>
  </si>
  <si>
    <t>staf</t>
  </si>
  <si>
    <t>Staffing 360 Solutions Inc</t>
  </si>
  <si>
    <t>pbio</t>
  </si>
  <si>
    <t>Pressure Biosciences Inc</t>
  </si>
  <si>
    <t>elc</t>
  </si>
  <si>
    <t>Elysee Development Corp</t>
  </si>
  <si>
    <t>stbx</t>
  </si>
  <si>
    <t>Starbox Group Holdings Ltd</t>
  </si>
  <si>
    <t>kngw</t>
  </si>
  <si>
    <t>Kenongwo Group US Inc</t>
  </si>
  <si>
    <t>cmpow</t>
  </si>
  <si>
    <t>CompoSecure</t>
  </si>
  <si>
    <t>aurow</t>
  </si>
  <si>
    <t>Aurora</t>
  </si>
  <si>
    <t>lfc</t>
  </si>
  <si>
    <t>Lifecare AS</t>
  </si>
  <si>
    <t>opgn</t>
  </si>
  <si>
    <t>OpGen Inc</t>
  </si>
  <si>
    <t>stss</t>
  </si>
  <si>
    <t>Sharps Technology Inc</t>
  </si>
  <si>
    <t>hpto</t>
  </si>
  <si>
    <t>Hopto Inc</t>
  </si>
  <si>
    <t>tig</t>
  </si>
  <si>
    <t>Triumph Gold Corp</t>
  </si>
  <si>
    <t>tnxp</t>
  </si>
  <si>
    <t>Tonix Pharmaceuticals Holding Corp</t>
  </si>
  <si>
    <t>casa</t>
  </si>
  <si>
    <t>Casa Systems Inc</t>
  </si>
  <si>
    <t>trx</t>
  </si>
  <si>
    <t>TRX Gold Corp</t>
  </si>
  <si>
    <t>tcmff</t>
  </si>
  <si>
    <t>TELECOM ARGENTINA SA-SP Common Stock</t>
  </si>
  <si>
    <t>hsto</t>
  </si>
  <si>
    <t>Histogen Inc</t>
  </si>
  <si>
    <t>vrpx</t>
  </si>
  <si>
    <t>Virpax Pharmaceuticals Inc</t>
  </si>
  <si>
    <t>pola</t>
  </si>
  <si>
    <t>Polar Power Inc</t>
  </si>
  <si>
    <t>srre</t>
  </si>
  <si>
    <t>Sunrise Real Estate Group Inc</t>
  </si>
  <si>
    <t>dare</t>
  </si>
  <si>
    <t>Dare Bioscience Inc</t>
  </si>
  <si>
    <t>phun</t>
  </si>
  <si>
    <t>Phunware Inc</t>
  </si>
  <si>
    <t>chfff</t>
  </si>
  <si>
    <t>China Everbright Environment Group Ltd</t>
  </si>
  <si>
    <t>dxf</t>
  </si>
  <si>
    <t>Dunxin Financial Holdings Ltd</t>
  </si>
  <si>
    <t>pik</t>
  </si>
  <si>
    <t>Kidpik Corp</t>
  </si>
  <si>
    <t>giprw</t>
  </si>
  <si>
    <t>Generation Income</t>
  </si>
  <si>
    <t>reto</t>
  </si>
  <si>
    <t>ReTo Eco-Solutions Inc</t>
  </si>
  <si>
    <t>plag</t>
  </si>
  <si>
    <t>Planet Green Holdings Corp</t>
  </si>
  <si>
    <t>ater</t>
  </si>
  <si>
    <t>Aterian Inc</t>
  </si>
  <si>
    <t>fcci</t>
  </si>
  <si>
    <t>Fast Casual Concepts Inc</t>
  </si>
  <si>
    <t>bwmy</t>
  </si>
  <si>
    <t>Borrowmoney.Com Inc</t>
  </si>
  <si>
    <t>cwpe</t>
  </si>
  <si>
    <t>CW Petroleum Corp</t>
  </si>
  <si>
    <t>gmda</t>
  </si>
  <si>
    <t>Gamida Cell Ltd</t>
  </si>
  <si>
    <t>beatw</t>
  </si>
  <si>
    <t>HeartBeam</t>
  </si>
  <si>
    <t>nkg</t>
  </si>
  <si>
    <t>Nevada King Gold Corp</t>
  </si>
  <si>
    <t>ptaif</t>
  </si>
  <si>
    <t>Astra International Tbk PT</t>
  </si>
  <si>
    <t>cybn</t>
  </si>
  <si>
    <t>Cybin Inc</t>
  </si>
  <si>
    <t>cnxa</t>
  </si>
  <si>
    <t>Connexa Sports Technologies Inc</t>
  </si>
  <si>
    <t>ssok</t>
  </si>
  <si>
    <t>Sunstock Inc</t>
  </si>
  <si>
    <t>inm</t>
  </si>
  <si>
    <t>InMed Pharmaceuticals Inc</t>
  </si>
  <si>
    <t>mnpr</t>
  </si>
  <si>
    <t>Monopar Therapeutics Inc</t>
  </si>
  <si>
    <t>pbmlf</t>
  </si>
  <si>
    <t>Pacific Booker Minerals Inc</t>
  </si>
  <si>
    <t>tmrc</t>
  </si>
  <si>
    <t>Texas Mineral Resources Corp</t>
  </si>
  <si>
    <t>nxplw</t>
  </si>
  <si>
    <t>NextPlat</t>
  </si>
  <si>
    <t>grusf</t>
  </si>
  <si>
    <t>Grown Rogue International Inc</t>
  </si>
  <si>
    <t>otlk</t>
  </si>
  <si>
    <t>Outlook Therapeutics Inc</t>
  </si>
  <si>
    <t>nvnxf</t>
  </si>
  <si>
    <t>Novonix Ltd</t>
  </si>
  <si>
    <t>pxclf</t>
  </si>
  <si>
    <t>Phoenix Copper Ltd</t>
  </si>
  <si>
    <t>clic</t>
  </si>
  <si>
    <t>Comet Lithium Corp</t>
  </si>
  <si>
    <t>wrnt</t>
  </si>
  <si>
    <t>Warrantee Inc</t>
  </si>
  <si>
    <t>salm</t>
  </si>
  <si>
    <t>Salem Media Group Inc</t>
  </si>
  <si>
    <t>sbev</t>
  </si>
  <si>
    <t>Splash Beverage Group Inc</t>
  </si>
  <si>
    <t>agba</t>
  </si>
  <si>
    <t>AGBA Group Holding Ltd</t>
  </si>
  <si>
    <t>vgz</t>
  </si>
  <si>
    <t>Vista Gold Corp.</t>
  </si>
  <si>
    <t>dtil</t>
  </si>
  <si>
    <t>Precision BioSciences Inc</t>
  </si>
  <si>
    <t>airrf</t>
  </si>
  <si>
    <t>Aurion Resources Ltd</t>
  </si>
  <si>
    <t>chkif</t>
  </si>
  <si>
    <t>China Southern Airlines Ord Shs H</t>
  </si>
  <si>
    <t>nxl</t>
  </si>
  <si>
    <t>Nexalin Technology Inc</t>
  </si>
  <si>
    <t>sgbx</t>
  </si>
  <si>
    <t>Safe &amp; Green Holdings Corp</t>
  </si>
  <si>
    <t>nhwk</t>
  </si>
  <si>
    <t>NightHawk Biosciences Inc</t>
  </si>
  <si>
    <t>kldi</t>
  </si>
  <si>
    <t>KLDiscovery Inc</t>
  </si>
  <si>
    <t>elbm</t>
  </si>
  <si>
    <t>Electra Battery Materials Corp</t>
  </si>
  <si>
    <t>nrxp</t>
  </si>
  <si>
    <t>NRX Pharmaceuticals Inc</t>
  </si>
  <si>
    <t>mrmd</t>
  </si>
  <si>
    <t>Marimed Inc</t>
  </si>
  <si>
    <t>eubg</t>
  </si>
  <si>
    <t>Entrepreneur Universe Bright Group</t>
  </si>
  <si>
    <t>acb</t>
  </si>
  <si>
    <t>Aurora Cannabis Inc</t>
  </si>
  <si>
    <t>gns</t>
  </si>
  <si>
    <t>Genius Group Ltd</t>
  </si>
  <si>
    <t>aasp</t>
  </si>
  <si>
    <t>Global Acquisitions Corp</t>
  </si>
  <si>
    <t>ilag</t>
  </si>
  <si>
    <t>Intelligent Living Application Group Inc</t>
  </si>
  <si>
    <t>cthr</t>
  </si>
  <si>
    <t>Charles &amp; Colvard, Ltd.</t>
  </si>
  <si>
    <t>bcli</t>
  </si>
  <si>
    <t>Brainstorm Cell Therapeutics Inc</t>
  </si>
  <si>
    <t>lbsr</t>
  </si>
  <si>
    <t>Liberty Star Uranium &amp; Metals Corp</t>
  </si>
  <si>
    <t>chhe</t>
  </si>
  <si>
    <t>China Health Industries Holdings, Inc.</t>
  </si>
  <si>
    <t>satx</t>
  </si>
  <si>
    <t>Satixfy Communications Ltd</t>
  </si>
  <si>
    <t>qmco</t>
  </si>
  <si>
    <t>Quantum Corp</t>
  </si>
  <si>
    <t>imuc</t>
  </si>
  <si>
    <t>Eom Pharmaceutical Holdings Inc</t>
  </si>
  <si>
    <t>awca</t>
  </si>
  <si>
    <t>Awaysis Capital Inc</t>
  </si>
  <si>
    <t>nvta</t>
  </si>
  <si>
    <t>Invitae Corp</t>
  </si>
  <si>
    <t>mobq</t>
  </si>
  <si>
    <t>Mobiquity Technologies Inc Common Stock</t>
  </si>
  <si>
    <t>wint</t>
  </si>
  <si>
    <t>Windtree Therapeutics Inc</t>
  </si>
  <si>
    <t>seco</t>
  </si>
  <si>
    <t>Secoo Holding Ltd - ADR</t>
  </si>
  <si>
    <t>sbsaa</t>
  </si>
  <si>
    <t>Spanish Broadcasting System Inc</t>
  </si>
  <si>
    <t>shph</t>
  </si>
  <si>
    <t>Shuttle Pharmaceuticals Holdings Inc</t>
  </si>
  <si>
    <t>viri</t>
  </si>
  <si>
    <t>Virios Therapeutics Inc</t>
  </si>
  <si>
    <t>cyad</t>
  </si>
  <si>
    <t>Celyad Oncology SA</t>
  </si>
  <si>
    <t>nxglw</t>
  </si>
  <si>
    <t>NEXGEL, Inc.</t>
  </si>
  <si>
    <t>sume</t>
  </si>
  <si>
    <t>Summer Energy Holdings Inc</t>
  </si>
  <si>
    <t>clcs</t>
  </si>
  <si>
    <t>Cell Source Inc</t>
  </si>
  <si>
    <t>flylf</t>
  </si>
  <si>
    <t>FLYHT Aerospace Solutions Ltd</t>
  </si>
  <si>
    <t>strm</t>
  </si>
  <si>
    <t>Streamline Health Solutions Inc</t>
  </si>
  <si>
    <t>inuv</t>
  </si>
  <si>
    <t>Inuvo Inc</t>
  </si>
  <si>
    <t>licy</t>
  </si>
  <si>
    <t>Li-Cycle Holdings Corp</t>
  </si>
  <si>
    <t>rbot</t>
  </si>
  <si>
    <t>Vicarious Surgical Inc</t>
  </si>
  <si>
    <t>fury</t>
  </si>
  <si>
    <t>Fury Gold Mines Ltd</t>
  </si>
  <si>
    <t>pshif</t>
  </si>
  <si>
    <t>Lucero Energy Corp</t>
  </si>
  <si>
    <t>albky</t>
  </si>
  <si>
    <t>Alpha Services and Holdings SA</t>
  </si>
  <si>
    <t>age</t>
  </si>
  <si>
    <t>AgeX Therapeutics Inc</t>
  </si>
  <si>
    <t>lucy</t>
  </si>
  <si>
    <t>Innovative Eyewear Inc</t>
  </si>
  <si>
    <t>mrin</t>
  </si>
  <si>
    <t>Marin Software Inc</t>
  </si>
  <si>
    <t>wlds</t>
  </si>
  <si>
    <t>Wearable Devices Ltd</t>
  </si>
  <si>
    <t>mfon</t>
  </si>
  <si>
    <t>Mobivity Holdings Corp</t>
  </si>
  <si>
    <t>qree</t>
  </si>
  <si>
    <t>Quantum Energy Inc</t>
  </si>
  <si>
    <t>apgt</t>
  </si>
  <si>
    <t>Appgate Inc</t>
  </si>
  <si>
    <t>bpth</t>
  </si>
  <si>
    <t>Bio Path Holdings Inc</t>
  </si>
  <si>
    <t>kitt</t>
  </si>
  <si>
    <t>bxt</t>
  </si>
  <si>
    <t>BioNxt Solutions Inc</t>
  </si>
  <si>
    <t>gdnsf</t>
  </si>
  <si>
    <t>Goodness Growth Holdings Inc</t>
  </si>
  <si>
    <t>tell</t>
  </si>
  <si>
    <t>Tellurian Inc</t>
  </si>
  <si>
    <t>eva</t>
  </si>
  <si>
    <t>Enviva Inc</t>
  </si>
  <si>
    <t>mysz</t>
  </si>
  <si>
    <t>My Size Inc</t>
  </si>
  <si>
    <t>aumn</t>
  </si>
  <si>
    <t>Golden Minerals Co</t>
  </si>
  <si>
    <t>lkco</t>
  </si>
  <si>
    <t>Luokung Technology Corp</t>
  </si>
  <si>
    <t>bcda</t>
  </si>
  <si>
    <t>BioCardia Inc</t>
  </si>
  <si>
    <t>cxxif</t>
  </si>
  <si>
    <t>C21 Investments Inc</t>
  </si>
  <si>
    <t>arqq</t>
  </si>
  <si>
    <t>Arqit Quantum Inc</t>
  </si>
  <si>
    <t>cir</t>
  </si>
  <si>
    <t>CIR SpA - Compagnie Industriali Riunite</t>
  </si>
  <si>
    <t>ecia</t>
  </si>
  <si>
    <t>Encision, Inc. Common Stock</t>
  </si>
  <si>
    <t>ectm</t>
  </si>
  <si>
    <t>Eca Marcellus Trust I</t>
  </si>
  <si>
    <t>bglc</t>
  </si>
  <si>
    <t>BioNexus Gene Lab Corp</t>
  </si>
  <si>
    <t>mdna</t>
  </si>
  <si>
    <t>Medicenna Therapeutics Corp</t>
  </si>
  <si>
    <t>pbnnf</t>
  </si>
  <si>
    <t>Bank Negara Indonesia (Persero) Tbk PT</t>
  </si>
  <si>
    <t>pperf</t>
  </si>
  <si>
    <t>Bank Mandiri (Persero) Tbk PT</t>
  </si>
  <si>
    <t>aey</t>
  </si>
  <si>
    <t>ADDvantage Technologies Group, Inc.</t>
  </si>
  <si>
    <t>aim</t>
  </si>
  <si>
    <t>AIM ImmunoTech Inc</t>
  </si>
  <si>
    <t>re</t>
  </si>
  <si>
    <t>RE Royalties Ltd</t>
  </si>
  <si>
    <t>6.86</t>
  </si>
  <si>
    <t>gnln</t>
  </si>
  <si>
    <t>Greenlane Holdings Inc</t>
  </si>
  <si>
    <t>allr</t>
  </si>
  <si>
    <t>Allarity Therapeutics Inc</t>
  </si>
  <si>
    <t>fnam</t>
  </si>
  <si>
    <t>Evolutionary Genomics Inc</t>
  </si>
  <si>
    <t>cetxp</t>
  </si>
  <si>
    <t>Cemtrex Inc Preferred Shares Series 1</t>
  </si>
  <si>
    <t>pegy</t>
  </si>
  <si>
    <t>Pineapple Energy Inc</t>
  </si>
  <si>
    <t>brst</t>
  </si>
  <si>
    <t>Broad Street Realty Inc</t>
  </si>
  <si>
    <t>cydx</t>
  </si>
  <si>
    <t>CYduct Diagnostics Ord Shs</t>
  </si>
  <si>
    <t>comsp</t>
  </si>
  <si>
    <t>ComSovereign Holding 9.25 Cumulative Redeemable Perpetual Pref Shs Series A</t>
  </si>
  <si>
    <t>ispc</t>
  </si>
  <si>
    <t>iSpecimen Inc</t>
  </si>
  <si>
    <t>bpts</t>
  </si>
  <si>
    <t>Biophytis SA</t>
  </si>
  <si>
    <t>sev</t>
  </si>
  <si>
    <t>Spectra7 Microsystems Inc</t>
  </si>
  <si>
    <t>snti</t>
  </si>
  <si>
    <t>Senti Biosciences Inc</t>
  </si>
  <si>
    <t>nanx</t>
  </si>
  <si>
    <t>Nanophase Technologies Corporation</t>
  </si>
  <si>
    <t>siox</t>
  </si>
  <si>
    <t>Sio Gene Therapies Inc</t>
  </si>
  <si>
    <t>job</t>
  </si>
  <si>
    <t>GEE Group Inc</t>
  </si>
  <si>
    <t>seovf</t>
  </si>
  <si>
    <t>Sernova Corp</t>
  </si>
  <si>
    <t>scrmw</t>
  </si>
  <si>
    <t>Screaming Eagle</t>
  </si>
  <si>
    <t>ejh</t>
  </si>
  <si>
    <t>E-Home Household Service Holdings Ltd</t>
  </si>
  <si>
    <t>zdpy</t>
  </si>
  <si>
    <t>Zoned Properties Inc</t>
  </si>
  <si>
    <t>pgff</t>
  </si>
  <si>
    <t>Pioneer Green Farms Inc</t>
  </si>
  <si>
    <t>tbk</t>
  </si>
  <si>
    <t>Trailbreaker Resources Ltd</t>
  </si>
  <si>
    <t>nstg</t>
  </si>
  <si>
    <t>NanoString Technologies Inc</t>
  </si>
  <si>
    <t>ryttf</t>
  </si>
  <si>
    <t>Horizon Copper Corp</t>
  </si>
  <si>
    <t>clnn</t>
  </si>
  <si>
    <t>Clene Inc.</t>
  </si>
  <si>
    <t>deftf</t>
  </si>
  <si>
    <t>DeFi Technologies Inc</t>
  </si>
  <si>
    <t>asm</t>
  </si>
  <si>
    <t>Avino Silver &amp; Gold Mines Ltd</t>
  </si>
  <si>
    <t>nuwe</t>
  </si>
  <si>
    <t>Nuwellis Inc</t>
  </si>
  <si>
    <t>pxmd</t>
  </si>
  <si>
    <t>PaxMedica Inc</t>
  </si>
  <si>
    <t>lmfa</t>
  </si>
  <si>
    <t>LM Funding America Inc</t>
  </si>
  <si>
    <t>wndw</t>
  </si>
  <si>
    <t>Solarwindow Technologies Inc</t>
  </si>
  <si>
    <t>vwe</t>
  </si>
  <si>
    <t>Vintage Wine Estates Inc</t>
  </si>
  <si>
    <t>apcxw</t>
  </si>
  <si>
    <t>AppTech Payments</t>
  </si>
  <si>
    <t>find</t>
  </si>
  <si>
    <t>Baselode Energy Corp</t>
  </si>
  <si>
    <t>cvvuf</t>
  </si>
  <si>
    <t>CanAlaska Uranium Ltd</t>
  </si>
  <si>
    <t>almmf</t>
  </si>
  <si>
    <t>Aluminum Corporation of China Ord Shs H</t>
  </si>
  <si>
    <t>asft</t>
  </si>
  <si>
    <t>Appsoft Technologies Inc</t>
  </si>
  <si>
    <t>jewl</t>
  </si>
  <si>
    <t>Adamas One Corp</t>
  </si>
  <si>
    <t>nlsp</t>
  </si>
  <si>
    <t>NLS Pharmaceutics AG</t>
  </si>
  <si>
    <t>krkr</t>
  </si>
  <si>
    <t>36Kr Holdings Inc - ADR</t>
  </si>
  <si>
    <t>joan</t>
  </si>
  <si>
    <t>Joann Inc</t>
  </si>
  <si>
    <t>lode</t>
  </si>
  <si>
    <t>Comstock Inc</t>
  </si>
  <si>
    <t>pyr</t>
  </si>
  <si>
    <t>PyroGenesis Canada Inc</t>
  </si>
  <si>
    <t>sgmo</t>
  </si>
  <si>
    <t>Sangamo Therapeutics Inc</t>
  </si>
  <si>
    <t>tblaw</t>
  </si>
  <si>
    <t>Taboola</t>
  </si>
  <si>
    <t>aih</t>
  </si>
  <si>
    <t>Aesthetic Medical Intl Hldg Grp Ltd</t>
  </si>
  <si>
    <t>nept</t>
  </si>
  <si>
    <t>Neptune Wellness Solutions Inc</t>
  </si>
  <si>
    <t>vino</t>
  </si>
  <si>
    <t>Gaucho Group Holdings Inc</t>
  </si>
  <si>
    <t>usnu</t>
  </si>
  <si>
    <t>US NeuroSurgical Holdings Inc</t>
  </si>
  <si>
    <t>lfev</t>
  </si>
  <si>
    <t>Life Electric Vehicles Holdings Inc</t>
  </si>
  <si>
    <t>acut</t>
  </si>
  <si>
    <t>AccuStem Sciences Inc</t>
  </si>
  <si>
    <t>htcr</t>
  </si>
  <si>
    <t>HeartCore Enterprises Inc</t>
  </si>
  <si>
    <t>aixn</t>
  </si>
  <si>
    <t>AiXin Life International Inc</t>
  </si>
  <si>
    <t>strc</t>
  </si>
  <si>
    <t>Sarcos Technology and Robotics Corp</t>
  </si>
  <si>
    <t>ygmz</t>
  </si>
  <si>
    <t>MingZhu Logistics Holdings Ltd</t>
  </si>
  <si>
    <t>hwtr</t>
  </si>
  <si>
    <t>HFactor Inc</t>
  </si>
  <si>
    <t>prka</t>
  </si>
  <si>
    <t>Parks! America, Inc. common stock</t>
  </si>
  <si>
    <t>ctrm</t>
  </si>
  <si>
    <t>Castor Maritime Inc</t>
  </si>
  <si>
    <t>eoss</t>
  </si>
  <si>
    <t>Eos Inc</t>
  </si>
  <si>
    <t>cuen</t>
  </si>
  <si>
    <t>Cuentas Inc</t>
  </si>
  <si>
    <t>onfo</t>
  </si>
  <si>
    <t>Onfolio Holdings Inc</t>
  </si>
  <si>
    <t>glns</t>
  </si>
  <si>
    <t>Golden Star Resource Corp.</t>
  </si>
  <si>
    <t>exdw</t>
  </si>
  <si>
    <t>Exceed World Inc</t>
  </si>
  <si>
    <t>mbrx</t>
  </si>
  <si>
    <t>Moleculin Biotech Inc</t>
  </si>
  <si>
    <t>ohcs</t>
  </si>
  <si>
    <t>Optimus Healthcare Services Inc</t>
  </si>
  <si>
    <t>pgtk</t>
  </si>
  <si>
    <t>Pacific Green Technologies Inc</t>
  </si>
  <si>
    <t>wwr</t>
  </si>
  <si>
    <t>Westwater Resources Inc</t>
  </si>
  <si>
    <t>xesp</t>
  </si>
  <si>
    <t>Electronic Servitor Publicatin Ntwrk Inc</t>
  </si>
  <si>
    <t>knw</t>
  </si>
  <si>
    <t>Know Labs Inc</t>
  </si>
  <si>
    <t>umewf</t>
  </si>
  <si>
    <t>UMeWorld Ltd</t>
  </si>
  <si>
    <t>ftci</t>
  </si>
  <si>
    <t>FTC Solar Inc</t>
  </si>
  <si>
    <t>kwik</t>
  </si>
  <si>
    <t>Kwikclick Inc</t>
  </si>
  <si>
    <t>snpmf</t>
  </si>
  <si>
    <t>China Petroleum and Chemical Ord Shs H</t>
  </si>
  <si>
    <t>em</t>
  </si>
  <si>
    <t>Smart Share Global Ltd</t>
  </si>
  <si>
    <t>qlgn</t>
  </si>
  <si>
    <t>Qualigen Therapeutics Inc</t>
  </si>
  <si>
    <t>cead</t>
  </si>
  <si>
    <t>CEA Industries Inc</t>
  </si>
  <si>
    <t>zivow</t>
  </si>
  <si>
    <t>Health Enhancement Products</t>
  </si>
  <si>
    <t>sanw</t>
  </si>
  <si>
    <t>S&amp;W Seed Co</t>
  </si>
  <si>
    <t>thmo</t>
  </si>
  <si>
    <t>Thermogenesis Holdings Inc</t>
  </si>
  <si>
    <t>dynt</t>
  </si>
  <si>
    <t>Dynatronics Corp</t>
  </si>
  <si>
    <t>hstc</t>
  </si>
  <si>
    <t>HST Global Inc</t>
  </si>
  <si>
    <t>omqs</t>
  </si>
  <si>
    <t>Omniq Corp</t>
  </si>
  <si>
    <t>mdia</t>
  </si>
  <si>
    <t>Mediaco Holding Inc</t>
  </si>
  <si>
    <t>aku</t>
  </si>
  <si>
    <t>Akumin Inc</t>
  </si>
  <si>
    <t>rent</t>
  </si>
  <si>
    <t>Rent the Runway Inc</t>
  </si>
  <si>
    <t>tlsa</t>
  </si>
  <si>
    <t>Tiziana Life Sciences Ltd - ADR</t>
  </si>
  <si>
    <t>augg</t>
  </si>
  <si>
    <t>Augusta Gold Corp</t>
  </si>
  <si>
    <t>orgn</t>
  </si>
  <si>
    <t>Origin Materials Inc</t>
  </si>
  <si>
    <t>ocgn</t>
  </si>
  <si>
    <t>Ocugen Inc</t>
  </si>
  <si>
    <t>lldtf</t>
  </si>
  <si>
    <t>Lloyds Banking Group PLC</t>
  </si>
  <si>
    <t>jt</t>
  </si>
  <si>
    <t>Jianpu Technology Inc - ADR</t>
  </si>
  <si>
    <t>tcco</t>
  </si>
  <si>
    <t>Technical Communications Corp</t>
  </si>
  <si>
    <t>xcur</t>
  </si>
  <si>
    <t>Exicure Inc</t>
  </si>
  <si>
    <t>pali</t>
  </si>
  <si>
    <t>Palisade Bio Inc</t>
  </si>
  <si>
    <t>nmgx</t>
  </si>
  <si>
    <t>Nano Magic Inc</t>
  </si>
  <si>
    <t>ipw</t>
  </si>
  <si>
    <t>iPower Inc</t>
  </si>
  <si>
    <t>sskn</t>
  </si>
  <si>
    <t>STRATA Skin Sciences Inc</t>
  </si>
  <si>
    <t>curi</t>
  </si>
  <si>
    <t>Curiositystream Inc</t>
  </si>
  <si>
    <t>keyr</t>
  </si>
  <si>
    <t>KeyStar Corp</t>
  </si>
  <si>
    <t>xpl</t>
  </si>
  <si>
    <t>Solitario Resources Corp</t>
  </si>
  <si>
    <t>voc</t>
  </si>
  <si>
    <t>Vocento SA</t>
  </si>
  <si>
    <t>celu</t>
  </si>
  <si>
    <t>Celularity Inc</t>
  </si>
  <si>
    <t>grfx</t>
  </si>
  <si>
    <t>Graphex Group ADR Rep 20 Ord Shs</t>
  </si>
  <si>
    <t>tirx</t>
  </si>
  <si>
    <t>Tian Ruixiang Holdings Ltd</t>
  </si>
  <si>
    <t>slrx</t>
  </si>
  <si>
    <t>Salarius Pharmaceuticals Inc</t>
  </si>
  <si>
    <t>adxs</t>
  </si>
  <si>
    <t>Ayala Pharmaceuticals Inc</t>
  </si>
  <si>
    <t>qurt</t>
  </si>
  <si>
    <t>Quarta-Rad Inc</t>
  </si>
  <si>
    <t>frza</t>
  </si>
  <si>
    <t>Forza X1 Inc</t>
  </si>
  <si>
    <t>afmd</t>
  </si>
  <si>
    <t>Affimed NV</t>
  </si>
  <si>
    <t>arecw</t>
  </si>
  <si>
    <t>American Resources Corporation</t>
  </si>
  <si>
    <t>rfm</t>
  </si>
  <si>
    <t>Sensorion SA</t>
  </si>
  <si>
    <t>sens</t>
  </si>
  <si>
    <t>Senseonics Holdings Inc</t>
  </si>
  <si>
    <t>svmb</t>
  </si>
  <si>
    <t>SavMobi Technology Inc</t>
  </si>
  <si>
    <t>nwbo</t>
  </si>
  <si>
    <t>Northwest Biotherapeutics Inc</t>
  </si>
  <si>
    <t>ivda</t>
  </si>
  <si>
    <t>Iveda Solutions Inc</t>
  </si>
  <si>
    <t>msn</t>
  </si>
  <si>
    <t>Emerson Radio Corp</t>
  </si>
  <si>
    <t>stkh</t>
  </si>
  <si>
    <t>Steakholder Foods Ltd - ADR</t>
  </si>
  <si>
    <t>lgvn</t>
  </si>
  <si>
    <t>Longeveron Inc</t>
  </si>
  <si>
    <t>lnby</t>
  </si>
  <si>
    <t>Landbay Inc</t>
  </si>
  <si>
    <t>ocea</t>
  </si>
  <si>
    <t>Ocean Biomedical Inc</t>
  </si>
  <si>
    <t>coep</t>
  </si>
  <si>
    <t>Coeptis Therapeutics Holdings Inc</t>
  </si>
  <si>
    <t>grrr</t>
  </si>
  <si>
    <t>Gorilla Technology Group Inc</t>
  </si>
  <si>
    <t>omic</t>
  </si>
  <si>
    <t>Singular Genomics Systems Inc</t>
  </si>
  <si>
    <t>nktr</t>
  </si>
  <si>
    <t>Nektar Therapeutics</t>
  </si>
  <si>
    <t>gtmay</t>
  </si>
  <si>
    <t>Grupo TMM SAB</t>
  </si>
  <si>
    <t>lpi</t>
  </si>
  <si>
    <t>Lithium Power International Ltd</t>
  </si>
  <si>
    <t>evlvw</t>
  </si>
  <si>
    <t>Evolv Technology</t>
  </si>
  <si>
    <t>nesrw</t>
  </si>
  <si>
    <t>National Energy Services Reunited</t>
  </si>
  <si>
    <t>bon</t>
  </si>
  <si>
    <t>Bon Natural Life Ltd</t>
  </si>
  <si>
    <t>apdn</t>
  </si>
  <si>
    <t>Applied DNA Sciences Inc</t>
  </si>
  <si>
    <t>alpp</t>
  </si>
  <si>
    <t>Alpine 4 Holdings Inc</t>
  </si>
  <si>
    <t>rdhl</t>
  </si>
  <si>
    <t>RedHill Biopharma Ltd</t>
  </si>
  <si>
    <t>cara</t>
  </si>
  <si>
    <t>Cara Therapeutics Inc</t>
  </si>
  <si>
    <t>kscp</t>
  </si>
  <si>
    <t>Knightscope Inc</t>
  </si>
  <si>
    <t>pw</t>
  </si>
  <si>
    <t>Power REIT</t>
  </si>
  <si>
    <t>jan</t>
  </si>
  <si>
    <t>Janone Inc</t>
  </si>
  <si>
    <t>ucasu</t>
  </si>
  <si>
    <t>UC Asset LP</t>
  </si>
  <si>
    <t>cpmv</t>
  </si>
  <si>
    <t>Mosaic Immunoengineering Inc</t>
  </si>
  <si>
    <t>ost</t>
  </si>
  <si>
    <t>Ostin Technology Group Co Ltd</t>
  </si>
  <si>
    <t>gluc</t>
  </si>
  <si>
    <t>Glucose Health Inc</t>
  </si>
  <si>
    <t>asln</t>
  </si>
  <si>
    <t>Aslan Pharmaceuticals Ltd</t>
  </si>
  <si>
    <t>sls</t>
  </si>
  <si>
    <t>Sellas Life Sciences Group Inc</t>
  </si>
  <si>
    <t>aurx</t>
  </si>
  <si>
    <t>Nuo Therapeutics Inc</t>
  </si>
  <si>
    <t>co</t>
  </si>
  <si>
    <t>Casino Guichard Perrachon SA</t>
  </si>
  <si>
    <t>grpff</t>
  </si>
  <si>
    <t>Grupo Televisa SAB Mexican Ord. Participation Certificates</t>
  </si>
  <si>
    <t>hungf</t>
  </si>
  <si>
    <t>Huaneng Power International Ord Shs H</t>
  </si>
  <si>
    <t>pbcrf</t>
  </si>
  <si>
    <t>Bank Central Asia Tbk PT</t>
  </si>
  <si>
    <t>mtlk</t>
  </si>
  <si>
    <t>Metalink Ltd</t>
  </si>
  <si>
    <t>tanh</t>
  </si>
  <si>
    <t>Tantech Holdings Ltd</t>
  </si>
  <si>
    <t>sgly</t>
  </si>
  <si>
    <t>Singularity Future Technology Ltd</t>
  </si>
  <si>
    <t>qli</t>
  </si>
  <si>
    <t>Qilian International Holding Group Ltd</t>
  </si>
  <si>
    <t>fbrx</t>
  </si>
  <si>
    <t>Forte Biosciences Inc</t>
  </si>
  <si>
    <t>jetmf</t>
  </si>
  <si>
    <t>Global Crossing Airlines Group Inc</t>
  </si>
  <si>
    <t>wil</t>
  </si>
  <si>
    <t>Wilton Resources Inc</t>
  </si>
  <si>
    <t>aqms</t>
  </si>
  <si>
    <t>Aqua Metals Inc</t>
  </si>
  <si>
    <t>duo</t>
  </si>
  <si>
    <t>Fangdd Network Group Ltd</t>
  </si>
  <si>
    <t>yjgj</t>
  </si>
  <si>
    <t>Yijia Group Corp</t>
  </si>
  <si>
    <t>vcnx</t>
  </si>
  <si>
    <t>Vaccinex Inc</t>
  </si>
  <si>
    <t>dxyn</t>
  </si>
  <si>
    <t>Dixie Group Inc</t>
  </si>
  <si>
    <t>gplb</t>
  </si>
  <si>
    <t>Green Planet Bioengineering Co Ltd</t>
  </si>
  <si>
    <t>spi</t>
  </si>
  <si>
    <t>Spi Energy Co Ltd</t>
  </si>
  <si>
    <t>trib</t>
  </si>
  <si>
    <t>Trinity Biotech plc</t>
  </si>
  <si>
    <t>flnt</t>
  </si>
  <si>
    <t>Fluent Inc</t>
  </si>
  <si>
    <t>ezoo</t>
  </si>
  <si>
    <t>Ezagoo Ltd</t>
  </si>
  <si>
    <t>vyey</t>
  </si>
  <si>
    <t>Victory Oilfield Tech Inc</t>
  </si>
  <si>
    <t>ldsn</t>
  </si>
  <si>
    <t>Luduson G Inc</t>
  </si>
  <si>
    <t>cresw</t>
  </si>
  <si>
    <t>CRESUD S.A.C.I.F. y A.</t>
  </si>
  <si>
    <t>mlss</t>
  </si>
  <si>
    <t>Milestone Scientific Inc</t>
  </si>
  <si>
    <t>imth</t>
  </si>
  <si>
    <t>Innovative Medtech Inc</t>
  </si>
  <si>
    <t>ofstf</t>
  </si>
  <si>
    <t>Carbon Streaming Corp</t>
  </si>
  <si>
    <t>move</t>
  </si>
  <si>
    <t>Movano Inc</t>
  </si>
  <si>
    <t>uuraf</t>
  </si>
  <si>
    <t>Ucore Rare Metals Inc</t>
  </si>
  <si>
    <t>akts</t>
  </si>
  <si>
    <t>Akoustis Technologies Inc</t>
  </si>
  <si>
    <t>dm</t>
  </si>
  <si>
    <t>Desktop Metal Inc</t>
  </si>
  <si>
    <t>phio</t>
  </si>
  <si>
    <t>Phio Pharmaceuticals Corp</t>
  </si>
  <si>
    <t>fp</t>
  </si>
  <si>
    <t>FP Newspapers Inc</t>
  </si>
  <si>
    <t>trvn</t>
  </si>
  <si>
    <t>Trevena Inc</t>
  </si>
  <si>
    <t>glto</t>
  </si>
  <si>
    <t>Galecto Inc</t>
  </si>
  <si>
    <t>ygf</t>
  </si>
  <si>
    <t>YanGuFang International Group Co Ltd</t>
  </si>
  <si>
    <t>virx</t>
  </si>
  <si>
    <t>Viracta Therapeutics Inc</t>
  </si>
  <si>
    <t>wimi</t>
  </si>
  <si>
    <t>WiMi Hologram Cloud Inc - ADR</t>
  </si>
  <si>
    <t>thm</t>
  </si>
  <si>
    <t>International Tower Hill Mines Ltd</t>
  </si>
  <si>
    <t>ysg</t>
  </si>
  <si>
    <t>Yatsen Holding Ltd - ADR</t>
  </si>
  <si>
    <t>jz</t>
  </si>
  <si>
    <t>Jianzhi Education Tclgy Grp Co Ltd - ADR</t>
  </si>
  <si>
    <t>mots</t>
  </si>
  <si>
    <t>Motus GI Holdings Inc</t>
  </si>
  <si>
    <t>otrkp</t>
  </si>
  <si>
    <t>Ontrak 9 50 Cumulative Perpetual Prf Shs Series A</t>
  </si>
  <si>
    <t>sien</t>
  </si>
  <si>
    <t>Sientra Inc</t>
  </si>
  <si>
    <t>hkit</t>
  </si>
  <si>
    <t>Hitek Global Inc</t>
  </si>
  <si>
    <t>wlgs</t>
  </si>
  <si>
    <t>WANG &amp; LEE GROUP Inc</t>
  </si>
  <si>
    <t>sonm</t>
  </si>
  <si>
    <t>Sonim Technologies Inc</t>
  </si>
  <si>
    <t>gebrf</t>
  </si>
  <si>
    <t>Greenbriar Sustainable Living Inc</t>
  </si>
  <si>
    <t>ctxr</t>
  </si>
  <si>
    <t>Citius Pharmaceuticals Inc</t>
  </si>
  <si>
    <t>rnaz</t>
  </si>
  <si>
    <t>Transcode Therapeutics Inc</t>
  </si>
  <si>
    <t>huiz</t>
  </si>
  <si>
    <t>Huize Holding Ltd</t>
  </si>
  <si>
    <t>agen</t>
  </si>
  <si>
    <t>Agenus Inc</t>
  </si>
  <si>
    <t>yj</t>
  </si>
  <si>
    <t>Yunji Inc</t>
  </si>
  <si>
    <t>bfi</t>
  </si>
  <si>
    <t>Burgerfi International Inc</t>
  </si>
  <si>
    <t>gpl</t>
  </si>
  <si>
    <t>Graft Polymer (UK) Plc</t>
  </si>
  <si>
    <t>coms</t>
  </si>
  <si>
    <t>COMSovereign Holding Corp</t>
  </si>
  <si>
    <t>fkst</t>
  </si>
  <si>
    <t>Flowerkist Skin Care and Cosmetics Inc</t>
  </si>
  <si>
    <t>jcse</t>
  </si>
  <si>
    <t>JE Cleantech Holdings Ltd</t>
  </si>
  <si>
    <t>aihs</t>
  </si>
  <si>
    <t>Senmiao Technology Ltd</t>
  </si>
  <si>
    <t>mojo</t>
  </si>
  <si>
    <t>EQUATOR Beverage Company</t>
  </si>
  <si>
    <t>rcat</t>
  </si>
  <si>
    <t>Red Cat Holdings Inc</t>
  </si>
  <si>
    <t>stix</t>
  </si>
  <si>
    <t>Semantix Inc</t>
  </si>
  <si>
    <t>agss</t>
  </si>
  <si>
    <t>AmeriGuard Security Services Inc</t>
  </si>
  <si>
    <t>tour</t>
  </si>
  <si>
    <t>Tuniu Corp</t>
  </si>
  <si>
    <t>nsrcf</t>
  </si>
  <si>
    <t>NextSource Materials Inc</t>
  </si>
  <si>
    <t>mkfg</t>
  </si>
  <si>
    <t>Markforged Holding Corp</t>
  </si>
  <si>
    <t>fuv</t>
  </si>
  <si>
    <t>Arcimoto Inc</t>
  </si>
  <si>
    <t>sngx</t>
  </si>
  <si>
    <t>Soligenix, Inc. Common Stock</t>
  </si>
  <si>
    <t>xlo</t>
  </si>
  <si>
    <t>Xilio Therapeutics Inc</t>
  </si>
  <si>
    <t>emkr</t>
  </si>
  <si>
    <t>EMCORE Corp</t>
  </si>
  <si>
    <t>mics</t>
  </si>
  <si>
    <t>Singing Machine Company Inc</t>
  </si>
  <si>
    <t>clrd</t>
  </si>
  <si>
    <t>Clearday Inc</t>
  </si>
  <si>
    <t>lexxw</t>
  </si>
  <si>
    <t>Lexaria Bioscience</t>
  </si>
  <si>
    <t>apm</t>
  </si>
  <si>
    <t>Andean Precious Metals Corp</t>
  </si>
  <si>
    <t>nbse</t>
  </si>
  <si>
    <t>Neubase Therapeutics Inc</t>
  </si>
  <si>
    <t>pfho</t>
  </si>
  <si>
    <t>Pacific Health Care Organization common stock</t>
  </si>
  <si>
    <t>lptv</t>
  </si>
  <si>
    <t>Loop Media Inc</t>
  </si>
  <si>
    <t>jzxn</t>
  </si>
  <si>
    <t>Jiuzi Holdings Inc</t>
  </si>
  <si>
    <t>waldw</t>
  </si>
  <si>
    <t>Waldencast</t>
  </si>
  <si>
    <t>me</t>
  </si>
  <si>
    <t>23andMe Holding Co.</t>
  </si>
  <si>
    <t>sing</t>
  </si>
  <si>
    <t>Singlepoint Inc</t>
  </si>
  <si>
    <t>rbcn</t>
  </si>
  <si>
    <t>Rubicon Technology Inc</t>
  </si>
  <si>
    <t>przo</t>
  </si>
  <si>
    <t>Parazero Technologies Ltd</t>
  </si>
  <si>
    <t>vbiv</t>
  </si>
  <si>
    <t>VBI Vaccines Inc</t>
  </si>
  <si>
    <t>ped</t>
  </si>
  <si>
    <t>Pedevco Corp</t>
  </si>
  <si>
    <t>alvr</t>
  </si>
  <si>
    <t>Allovir Inc</t>
  </si>
  <si>
    <t>vaxx</t>
  </si>
  <si>
    <t>Vaxxinity Inc</t>
  </si>
  <si>
    <t>negg</t>
  </si>
  <si>
    <t>Newegg Commerce Inc</t>
  </si>
  <si>
    <t>evok</t>
  </si>
  <si>
    <t>Evoke Pharma Inc</t>
  </si>
  <si>
    <t>biol</t>
  </si>
  <si>
    <t>BIOLASE Inc</t>
  </si>
  <si>
    <t>avoi</t>
  </si>
  <si>
    <t>Advanced Voice Recognition Systems Inc</t>
  </si>
  <si>
    <t>ford</t>
  </si>
  <si>
    <t>Forward Industries Inc</t>
  </si>
  <si>
    <t>bmnm</t>
  </si>
  <si>
    <t>Bimini Capital Management Inc</t>
  </si>
  <si>
    <t>upyy</t>
  </si>
  <si>
    <t>Upay Inc</t>
  </si>
  <si>
    <t>sfe</t>
  </si>
  <si>
    <t>Safeguard Scientifics Inc</t>
  </si>
  <si>
    <t>fixx</t>
  </si>
  <si>
    <t>Homology Medicines Inc</t>
  </si>
  <si>
    <t>cdtx</t>
  </si>
  <si>
    <t>Cidara Therapeutics Inc</t>
  </si>
  <si>
    <t>wegyf</t>
  </si>
  <si>
    <t>Westbridge Renewable Energy Corp.</t>
  </si>
  <si>
    <t>vine</t>
  </si>
  <si>
    <t>Fresh Vine Wine Inc</t>
  </si>
  <si>
    <t>prtg</t>
  </si>
  <si>
    <t>Portage Biotech Inc</t>
  </si>
  <si>
    <t>plur</t>
  </si>
  <si>
    <t>Pluri Inc</t>
  </si>
  <si>
    <t>exrof</t>
  </si>
  <si>
    <t>Exro Technologies Inc</t>
  </si>
  <si>
    <t>ante</t>
  </si>
  <si>
    <t>Airnet Technology Inc</t>
  </si>
  <si>
    <t>aust</t>
  </si>
  <si>
    <t>Austin Gold Corp</t>
  </si>
  <si>
    <t>acru</t>
  </si>
  <si>
    <t>AmeriCrew Inc</t>
  </si>
  <si>
    <t>ontx</t>
  </si>
  <si>
    <t>Onconova Therapeutics Inc</t>
  </si>
  <si>
    <t>sdpi</t>
  </si>
  <si>
    <t>Superior Drilling Products Inc</t>
  </si>
  <si>
    <t>xtgrf</t>
  </si>
  <si>
    <t>Xtra Gold Resources Corp</t>
  </si>
  <si>
    <t>algs</t>
  </si>
  <si>
    <t>Aligos Therapeutics Inc</t>
  </si>
  <si>
    <t>agfy</t>
  </si>
  <si>
    <t>Agrify Corp</t>
  </si>
  <si>
    <t>grom</t>
  </si>
  <si>
    <t>Grom Social Enterprises Inc</t>
  </si>
  <si>
    <t>asti</t>
  </si>
  <si>
    <t>Ascent Solar Technologies, Inc.</t>
  </si>
  <si>
    <t>babb</t>
  </si>
  <si>
    <t>BAB Inc</t>
  </si>
  <si>
    <t>tnlx</t>
  </si>
  <si>
    <t>Trans Lux Corp</t>
  </si>
  <si>
    <t>sobr</t>
  </si>
  <si>
    <t>Sobr Safe Inc</t>
  </si>
  <si>
    <t>tgen</t>
  </si>
  <si>
    <t>Tecogen Inc</t>
  </si>
  <si>
    <t>zkin</t>
  </si>
  <si>
    <t>ZK International Group Co Ltd</t>
  </si>
  <si>
    <t>nkla</t>
  </si>
  <si>
    <t>Nikola Corp</t>
  </si>
  <si>
    <t>dodrw</t>
  </si>
  <si>
    <t>Diamond Offshore Drilling</t>
  </si>
  <si>
    <t>ycbd</t>
  </si>
  <si>
    <t>cbdMD Inc</t>
  </si>
  <si>
    <t>qlis</t>
  </si>
  <si>
    <t>Qualis Innovations Inc</t>
  </si>
  <si>
    <t>jupgf</t>
  </si>
  <si>
    <t>Jupiter Gold Corp</t>
  </si>
  <si>
    <t>chkr</t>
  </si>
  <si>
    <t>Chesapeake Granite Wash Trust</t>
  </si>
  <si>
    <t>ivfh</t>
  </si>
  <si>
    <t>Innovative Food Holdings Inc</t>
  </si>
  <si>
    <t>meec</t>
  </si>
  <si>
    <t>Midwest Energy Emissions Corp</t>
  </si>
  <si>
    <t>brsf</t>
  </si>
  <si>
    <t>Brain Scientific Inc</t>
  </si>
  <si>
    <t>tony</t>
  </si>
  <si>
    <t>Tony G Co-Investment Holdings Ltd</t>
  </si>
  <si>
    <t>bicx</t>
  </si>
  <si>
    <t>Biocorrx Inc</t>
  </si>
  <si>
    <t>vivc</t>
  </si>
  <si>
    <t>Vivic Corp</t>
  </si>
  <si>
    <t>avni</t>
  </si>
  <si>
    <t>Arvana Inc</t>
  </si>
  <si>
    <t>doyu</t>
  </si>
  <si>
    <t>Douyu International Holdings Ltd</t>
  </si>
  <si>
    <t>astsw</t>
  </si>
  <si>
    <t>AST SpaceMobile</t>
  </si>
  <si>
    <t>pccyf</t>
  </si>
  <si>
    <t>Petrochina Ord Shs H</t>
  </si>
  <si>
    <t>cqcq</t>
  </si>
  <si>
    <t>MakingORG Inc</t>
  </si>
  <si>
    <t>ogpks</t>
  </si>
  <si>
    <t>Otis Gallery Membership Int Ser Gallery Drop 116 Shares Of Beneficial Interest</t>
  </si>
  <si>
    <t>tomz</t>
  </si>
  <si>
    <t>TOMI Environmental Solutions Inc</t>
  </si>
  <si>
    <t>ktel</t>
  </si>
  <si>
    <t>KonaTel Inc</t>
  </si>
  <si>
    <t>evgn</t>
  </si>
  <si>
    <t>Evogene Ltd</t>
  </si>
  <si>
    <t>zh</t>
  </si>
  <si>
    <t>Zhihu Inc - ADR</t>
  </si>
  <si>
    <t>cbd</t>
  </si>
  <si>
    <t>Companhia Brasileira de Distribc SA</t>
  </si>
  <si>
    <t>0.04</t>
  </si>
  <si>
    <t>cyan</t>
  </si>
  <si>
    <t>CYANOTECH CORP</t>
  </si>
  <si>
    <t>vmar</t>
  </si>
  <si>
    <t>Vision Marine Technologies Inc</t>
  </si>
  <si>
    <t>olb</t>
  </si>
  <si>
    <t>OLB Group Inc</t>
  </si>
  <si>
    <t>curo</t>
  </si>
  <si>
    <t>Curo Group Holdings Corp</t>
  </si>
  <si>
    <t>buks</t>
  </si>
  <si>
    <t>Butler National Corporation</t>
  </si>
  <si>
    <t>hyzn</t>
  </si>
  <si>
    <t>Hyzon Motors Inc</t>
  </si>
  <si>
    <t>ccm</t>
  </si>
  <si>
    <t>Concord Medical Services Hldgs Ltd</t>
  </si>
  <si>
    <t>bjdx</t>
  </si>
  <si>
    <t>Bluejay Diagnostics Inc</t>
  </si>
  <si>
    <t>nvos</t>
  </si>
  <si>
    <t>Novo Integrated Sciences Inc</t>
  </si>
  <si>
    <t>femy</t>
  </si>
  <si>
    <t>Femasys Inc</t>
  </si>
  <si>
    <t>llap</t>
  </si>
  <si>
    <t>Terran Orbital Corp</t>
  </si>
  <si>
    <t>qubt</t>
  </si>
  <si>
    <t>Quantum Computing Inc</t>
  </si>
  <si>
    <t>twou</t>
  </si>
  <si>
    <t>2U Inc</t>
  </si>
  <si>
    <t>asrt</t>
  </si>
  <si>
    <t>Assertio Holdings Inc</t>
  </si>
  <si>
    <t>foa</t>
  </si>
  <si>
    <t>Finance of America Companies Inc</t>
  </si>
  <si>
    <t>vrax</t>
  </si>
  <si>
    <t>Virax Biolabs Group Ltd</t>
  </si>
  <si>
    <t>tofb</t>
  </si>
  <si>
    <t>Tofutti Brands Inc</t>
  </si>
  <si>
    <t>ciit</t>
  </si>
  <si>
    <t>Tianci International Inc</t>
  </si>
  <si>
    <t>raya</t>
  </si>
  <si>
    <t>Erayak Power Solution Group Inc</t>
  </si>
  <si>
    <t>wnlv</t>
  </si>
  <si>
    <t>Winvest Group Ltd</t>
  </si>
  <si>
    <t>bmnr</t>
  </si>
  <si>
    <t>Bitmine Immersion Technologies Inc</t>
  </si>
  <si>
    <t>ltch</t>
  </si>
  <si>
    <t>Latch Inc</t>
  </si>
  <si>
    <t>adsew</t>
  </si>
  <si>
    <t>Ads-Tec Energy PLC</t>
  </si>
  <si>
    <t>drdgf</t>
  </si>
  <si>
    <t>DRDGOLD Ltd</t>
  </si>
  <si>
    <t>seatw</t>
  </si>
  <si>
    <t>Vivid Seats</t>
  </si>
  <si>
    <t>nblwf</t>
  </si>
  <si>
    <t>NOBLE Corp</t>
  </si>
  <si>
    <t>cxmsf</t>
  </si>
  <si>
    <t>Cemex  SAB de CV Mexican Ord. Participation Certificates</t>
  </si>
  <si>
    <t>aeri</t>
  </si>
  <si>
    <t>Aquila European Renewables PLC</t>
  </si>
  <si>
    <t>fsr</t>
  </si>
  <si>
    <t>Fisker Inc</t>
  </si>
  <si>
    <t>blin</t>
  </si>
  <si>
    <t>Bridgeline Digital Inc</t>
  </si>
  <si>
    <t>megl</t>
  </si>
  <si>
    <t>Magic Empire Global Ltd</t>
  </si>
  <si>
    <t>viao</t>
  </si>
  <si>
    <t>VIA Optronics AG - ADR</t>
  </si>
  <si>
    <t>snse</t>
  </si>
  <si>
    <t>Sensei Biotherapeutics Inc</t>
  </si>
  <si>
    <t>fosyf</t>
  </si>
  <si>
    <t>Forsys Metals Corp</t>
  </si>
  <si>
    <t>nukk</t>
  </si>
  <si>
    <t>Nukkleus Inc</t>
  </si>
  <si>
    <t>osa</t>
  </si>
  <si>
    <t>Prosomnus Inc</t>
  </si>
  <si>
    <t>litm</t>
  </si>
  <si>
    <t>Snow Lake Resources Ltd</t>
  </si>
  <si>
    <t>huge</t>
  </si>
  <si>
    <t>FSD Pharma Inc</t>
  </si>
  <si>
    <t>viot</t>
  </si>
  <si>
    <t>Viomi Technology Co Ltd - ADR</t>
  </si>
  <si>
    <t>entx</t>
  </si>
  <si>
    <t>Entera Bio Ltd</t>
  </si>
  <si>
    <t>ltrpa</t>
  </si>
  <si>
    <t>Liberty Tripadvisor Holdings Inc Series A</t>
  </si>
  <si>
    <t>xfor</t>
  </si>
  <si>
    <t>X4 Pharmaceuticals Inc</t>
  </si>
  <si>
    <t>goss</t>
  </si>
  <si>
    <t>Gossamer Bio Inc</t>
  </si>
  <si>
    <t>lcaaw</t>
  </si>
  <si>
    <t>L Catterton Asia Acq</t>
  </si>
  <si>
    <t>eq</t>
  </si>
  <si>
    <t>Equillium Inc</t>
  </si>
  <si>
    <t>mitq</t>
  </si>
  <si>
    <t>Moving Image Technologies Inc</t>
  </si>
  <si>
    <t>maps</t>
  </si>
  <si>
    <t>WM Technology Inc</t>
  </si>
  <si>
    <t>gldg</t>
  </si>
  <si>
    <t>GoldMining Inc</t>
  </si>
  <si>
    <t>rnwww</t>
  </si>
  <si>
    <t>ReNew</t>
  </si>
  <si>
    <t>vodpf</t>
  </si>
  <si>
    <t>Vodafone Group plc</t>
  </si>
  <si>
    <t>xtlb</t>
  </si>
  <si>
    <t>X T L Biopharmaceuticals Ltd</t>
  </si>
  <si>
    <t>utrs</t>
  </si>
  <si>
    <t>Minerva Surgical Inc</t>
  </si>
  <si>
    <t>evol</t>
  </si>
  <si>
    <t>Symbolic Logic Inc</t>
  </si>
  <si>
    <t>sai</t>
  </si>
  <si>
    <t>SAI.TECH Global Corp</t>
  </si>
  <si>
    <t>drrx</t>
  </si>
  <si>
    <t>DURECT Corp</t>
  </si>
  <si>
    <t>cety</t>
  </si>
  <si>
    <t>Clean Energy Technologies Inc</t>
  </si>
  <si>
    <t>vff</t>
  </si>
  <si>
    <t>Village Farms International Inc</t>
  </si>
  <si>
    <t>atos</t>
  </si>
  <si>
    <t>Atossa Therapeutics Inc</t>
  </si>
  <si>
    <t>ata</t>
  </si>
  <si>
    <t>Atturra Ltd</t>
  </si>
  <si>
    <t>qrtea</t>
  </si>
  <si>
    <t>Qurate Retail Inc Series A</t>
  </si>
  <si>
    <t>vapo</t>
  </si>
  <si>
    <t>Vapotherm Inc</t>
  </si>
  <si>
    <t>smsi</t>
  </si>
  <si>
    <t>Smith Micro Software Inc</t>
  </si>
  <si>
    <t>itrg</t>
  </si>
  <si>
    <t>Integra Resources Corp</t>
  </si>
  <si>
    <t>gevi</t>
  </si>
  <si>
    <t>GENERAL ENVIRONMENTAL MANAGEMENT Common Stock</t>
  </si>
  <si>
    <t>lilm</t>
  </si>
  <si>
    <t>Lilium NV</t>
  </si>
  <si>
    <t>envb</t>
  </si>
  <si>
    <t>Enveric Biosciences Inc</t>
  </si>
  <si>
    <t>ifbd</t>
  </si>
  <si>
    <t>Infobird Co Ltd</t>
  </si>
  <si>
    <t>seel</t>
  </si>
  <si>
    <t>Seelos Therapeutics Inc</t>
  </si>
  <si>
    <t>iinn</t>
  </si>
  <si>
    <t>Inspira Technologies Oxy BHN Ltd</t>
  </si>
  <si>
    <t>vev</t>
  </si>
  <si>
    <t>Vicinity Motor Corp</t>
  </si>
  <si>
    <t>aeva</t>
  </si>
  <si>
    <t>Aeva Technologies Inc</t>
  </si>
  <si>
    <t>gevo</t>
  </si>
  <si>
    <t>Gevo Inc</t>
  </si>
  <si>
    <t>cifrw</t>
  </si>
  <si>
    <t>Cipher Mining</t>
  </si>
  <si>
    <t>bnr</t>
  </si>
  <si>
    <t>Burning Rock Biotech Ltd</t>
  </si>
  <si>
    <t>hall</t>
  </si>
  <si>
    <t>Hallmark Financial Services, Inc.</t>
  </si>
  <si>
    <t>jrss</t>
  </si>
  <si>
    <t>JRSIS HEALTH CARE Corp</t>
  </si>
  <si>
    <t>alzn</t>
  </si>
  <si>
    <t>Alzamend Neuro Inc</t>
  </si>
  <si>
    <t>cssep</t>
  </si>
  <si>
    <t>Chicken Soup for The Soul Entrtnmnt Inc Preferred Shares Series A</t>
  </si>
  <si>
    <t>mynz</t>
  </si>
  <si>
    <t>Mainz Biomed NV</t>
  </si>
  <si>
    <t>hfus</t>
  </si>
  <si>
    <t>Hartford Great Health Corp</t>
  </si>
  <si>
    <t>untcw</t>
  </si>
  <si>
    <t>Unit Corporation</t>
  </si>
  <si>
    <t>btcy</t>
  </si>
  <si>
    <t>Biotricity Inc</t>
  </si>
  <si>
    <t>atif</t>
  </si>
  <si>
    <t>ATIF Holdings Ltd</t>
  </si>
  <si>
    <t>arkow</t>
  </si>
  <si>
    <t>Arko Holdings Ltd.</t>
  </si>
  <si>
    <t>snes</t>
  </si>
  <si>
    <t>SenesTech Inc</t>
  </si>
  <si>
    <t>ssy</t>
  </si>
  <si>
    <t>SunLink Health Systems Inc</t>
  </si>
  <si>
    <t>boxl</t>
  </si>
  <si>
    <t>Boxlight Corp</t>
  </si>
  <si>
    <t>slgd</t>
  </si>
  <si>
    <t>Scott's Liquid Gold-Inc</t>
  </si>
  <si>
    <t>inkt</t>
  </si>
  <si>
    <t>Mink Therapeutics Inc</t>
  </si>
  <si>
    <t>mugh</t>
  </si>
  <si>
    <t>Mu Global Holding Ltd</t>
  </si>
  <si>
    <t>gwh</t>
  </si>
  <si>
    <t>ESS Tech Inc</t>
  </si>
  <si>
    <t>dbvt</t>
  </si>
  <si>
    <t>DBV Technologies SA - ADR</t>
  </si>
  <si>
    <t>erlff</t>
  </si>
  <si>
    <t>Entree Resources Ltd</t>
  </si>
  <si>
    <t>bfly</t>
  </si>
  <si>
    <t>Butterfly Network Inc</t>
  </si>
  <si>
    <t>mvst</t>
  </si>
  <si>
    <t>Microvast Holdings Inc</t>
  </si>
  <si>
    <t>ghbwf</t>
  </si>
  <si>
    <t>Glass House Brands</t>
  </si>
  <si>
    <t>ogsrw</t>
  </si>
  <si>
    <t>Overseas Shipholding Group</t>
  </si>
  <si>
    <t>gru</t>
  </si>
  <si>
    <t>Geely Automobile Holdings Ltd</t>
  </si>
  <si>
    <t>rvphw</t>
  </si>
  <si>
    <t>Reviva Pharmaceuticals</t>
  </si>
  <si>
    <t>nhhs</t>
  </si>
  <si>
    <t>Northstar Healthcare Income Ord Shs</t>
  </si>
  <si>
    <t>spty</t>
  </si>
  <si>
    <t>Specificity Ord Shs</t>
  </si>
  <si>
    <t>lsf</t>
  </si>
  <si>
    <t>Laird Superfood Inc</t>
  </si>
  <si>
    <t>bmra</t>
  </si>
  <si>
    <t>Biomerica Inc</t>
  </si>
  <si>
    <t>bned</t>
  </si>
  <si>
    <t>Barnes &amp; Noble Education Inc</t>
  </si>
  <si>
    <t>bfri</t>
  </si>
  <si>
    <t>Biofrontera Inc</t>
  </si>
  <si>
    <t>spgc</t>
  </si>
  <si>
    <t>Sacks Parente Golf Inc</t>
  </si>
  <si>
    <t>bnox</t>
  </si>
  <si>
    <t>Bionomics Ltd - ADR</t>
  </si>
  <si>
    <t>mmv</t>
  </si>
  <si>
    <t>MultiMetaVerse Holdings Limited</t>
  </si>
  <si>
    <t>mesa</t>
  </si>
  <si>
    <t>Mesa Air Group Inc</t>
  </si>
  <si>
    <t>bark</t>
  </si>
  <si>
    <t>Bark Inc</t>
  </si>
  <si>
    <t>jushf</t>
  </si>
  <si>
    <t>Jushi Holdings Inc</t>
  </si>
  <si>
    <t>gau</t>
  </si>
  <si>
    <t>Galiano Gold Inc</t>
  </si>
  <si>
    <t>bbgi</t>
  </si>
  <si>
    <t>Beasley Broadcast Group Inc</t>
  </si>
  <si>
    <t>uncy</t>
  </si>
  <si>
    <t>Unicycive Therapeutics Inc</t>
  </si>
  <si>
    <t>cmrx</t>
  </si>
  <si>
    <t>Chimerix Inc</t>
  </si>
  <si>
    <t>mcujf</t>
  </si>
  <si>
    <t>Medicure Inc. Common Stock</t>
  </si>
  <si>
    <t>bior</t>
  </si>
  <si>
    <t>Biora Therapeutics Inc</t>
  </si>
  <si>
    <t>mghl</t>
  </si>
  <si>
    <t>Morgan Group Holding Co</t>
  </si>
  <si>
    <t>tcbp</t>
  </si>
  <si>
    <t>naov</t>
  </si>
  <si>
    <t>NanoVibronix Inc</t>
  </si>
  <si>
    <t>cnet</t>
  </si>
  <si>
    <t>ZW Data Action Technologies Inc</t>
  </si>
  <si>
    <t>kzr</t>
  </si>
  <si>
    <t>Kezar Life Sciences Inc</t>
  </si>
  <si>
    <t>kore</t>
  </si>
  <si>
    <t>KORE Group Holdings Inc</t>
  </si>
  <si>
    <t>zfox</t>
  </si>
  <si>
    <t>Zerofox Holdings Inc</t>
  </si>
  <si>
    <t>exro</t>
  </si>
  <si>
    <t>wdh</t>
  </si>
  <si>
    <t>Waterdrop Inc - ADR</t>
  </si>
  <si>
    <t>egfey</t>
  </si>
  <si>
    <t>EUROBANK ERGASIAS SVCS HLDGS ADR</t>
  </si>
  <si>
    <t>bbop</t>
  </si>
  <si>
    <t>BEBOP CHANNEL Ord Shs</t>
  </si>
  <si>
    <t>invo</t>
  </si>
  <si>
    <t>Invo Bioscience Inc</t>
  </si>
  <si>
    <t>idex</t>
  </si>
  <si>
    <t>Ideanomics Inc</t>
  </si>
  <si>
    <t>pbsv</t>
  </si>
  <si>
    <t>Pharma-Bio Serv Inc</t>
  </si>
  <si>
    <t>blue</t>
  </si>
  <si>
    <t>bluebird bio Inc</t>
  </si>
  <si>
    <t>ptix</t>
  </si>
  <si>
    <t>gsun</t>
  </si>
  <si>
    <t>Golden Sun Education Group Ltd</t>
  </si>
  <si>
    <t>epow</t>
  </si>
  <si>
    <t>Sunrise New Energy Co Ltd</t>
  </si>
  <si>
    <t>rpid</t>
  </si>
  <si>
    <t>Rapid Micro Biosystems Inc</t>
  </si>
  <si>
    <t>gceh</t>
  </si>
  <si>
    <t>Global Clean Energy Holdings, Inc.</t>
  </si>
  <si>
    <t>qbts</t>
  </si>
  <si>
    <t>D-Wave Quantum Inc</t>
  </si>
  <si>
    <t>sy</t>
  </si>
  <si>
    <t>So-Young International Inc - ADR</t>
  </si>
  <si>
    <t>vivk</t>
  </si>
  <si>
    <t>Vivakor inc</t>
  </si>
  <si>
    <t>achl</t>
  </si>
  <si>
    <t>Achilles Therapeutics PLC</t>
  </si>
  <si>
    <t>aagr</t>
  </si>
  <si>
    <t>African Agriculture Holdings Inc</t>
  </si>
  <si>
    <t>cbat</t>
  </si>
  <si>
    <t>CBAK Energy Technology Inc</t>
  </si>
  <si>
    <t>lctx</t>
  </si>
  <si>
    <t>Lineage Cell Therapeutics Inc</t>
  </si>
  <si>
    <t>aiu</t>
  </si>
  <si>
    <t>Meta Data Ltd</t>
  </si>
  <si>
    <t>lghl</t>
  </si>
  <si>
    <t>Lion Group Holding Ltd - ADR</t>
  </si>
  <si>
    <t>frtx</t>
  </si>
  <si>
    <t>Fresh Tracks Therapeutics Inc</t>
  </si>
  <si>
    <t>chnr</t>
  </si>
  <si>
    <t>China Natural Resources Inc</t>
  </si>
  <si>
    <t>cjax</t>
  </si>
  <si>
    <t>CoJax Oil &amp; Gas Corp</t>
  </si>
  <si>
    <t>strr</t>
  </si>
  <si>
    <t>Star Equity Holdings Inc</t>
  </si>
  <si>
    <t>gwav</t>
  </si>
  <si>
    <t>GREENWAVE TECHNOLOGY SOLUTIONS INC</t>
  </si>
  <si>
    <t>asmb</t>
  </si>
  <si>
    <t>Assembly Biosciences Inc</t>
  </si>
  <si>
    <t>saflf</t>
  </si>
  <si>
    <t>Safilo Group SpA</t>
  </si>
  <si>
    <t>amrs</t>
  </si>
  <si>
    <t>Amyris Inc</t>
  </si>
  <si>
    <t>lqly</t>
  </si>
  <si>
    <t>Qly Biotech Group Corp</t>
  </si>
  <si>
    <t>vide</t>
  </si>
  <si>
    <t>Video Display Corporation</t>
  </si>
  <si>
    <t>ncra</t>
  </si>
  <si>
    <t>Nocera Inc</t>
  </si>
  <si>
    <t>pnyg</t>
  </si>
  <si>
    <t>Pony Group Inc</t>
  </si>
  <si>
    <t>clev</t>
  </si>
  <si>
    <t>Concrete Leveling Systems Inc</t>
  </si>
  <si>
    <t>mhua</t>
  </si>
  <si>
    <t>Meihua International Medical Tech Co Ltd</t>
  </si>
  <si>
    <t>angh</t>
  </si>
  <si>
    <t>Anghami Inc</t>
  </si>
  <si>
    <t>bysi</t>
  </si>
  <si>
    <t>Beyondspring Inc</t>
  </si>
  <si>
    <t>ezrg</t>
  </si>
  <si>
    <t>EZRaider Co</t>
  </si>
  <si>
    <t>litb</t>
  </si>
  <si>
    <t>Lightinthebox Holding Co Ltd</t>
  </si>
  <si>
    <t>clov</t>
  </si>
  <si>
    <t>Clover Health Investments Corp</t>
  </si>
  <si>
    <t>opk</t>
  </si>
  <si>
    <t>OPKO Health Inc</t>
  </si>
  <si>
    <t>ltghf</t>
  </si>
  <si>
    <t>Life Healthcare Group Holdings Ltd</t>
  </si>
  <si>
    <t>rmri</t>
  </si>
  <si>
    <t>Rocky Mountain Industrials Inc</t>
  </si>
  <si>
    <t>ycqh</t>
  </si>
  <si>
    <t>YCQH AGRIC TECHNOLOGY Ord Shs</t>
  </si>
  <si>
    <t>lgmk</t>
  </si>
  <si>
    <t>LogicMark Inc</t>
  </si>
  <si>
    <t>cwbr</t>
  </si>
  <si>
    <t>CohBar Inc</t>
  </si>
  <si>
    <t>oxbr</t>
  </si>
  <si>
    <t>Oxbridge Re Holdings Ltd</t>
  </si>
  <si>
    <t>petz</t>
  </si>
  <si>
    <t>TDH Holdings Inc</t>
  </si>
  <si>
    <t>edtk</t>
  </si>
  <si>
    <t>Skillful Craftsman Education Tchnlgy Ltd</t>
  </si>
  <si>
    <t>ftft</t>
  </si>
  <si>
    <t>Future Fintech Group Inc</t>
  </si>
  <si>
    <t>ymat</t>
  </si>
  <si>
    <t>Matritense Real Estate Socimi SA</t>
  </si>
  <si>
    <t>clps</t>
  </si>
  <si>
    <t>CLPS Inc</t>
  </si>
  <si>
    <t>clir</t>
  </si>
  <si>
    <t>Clearsign Technologies Corp</t>
  </si>
  <si>
    <t>mgld</t>
  </si>
  <si>
    <t>Marygold Companies Inc</t>
  </si>
  <si>
    <t>vate</t>
  </si>
  <si>
    <t>Innovate Corp</t>
  </si>
  <si>
    <t>lvpa</t>
  </si>
  <si>
    <t>Lvpai Group Ltd</t>
  </si>
  <si>
    <t>plg</t>
  </si>
  <si>
    <t>Platinum Group Metals Limited</t>
  </si>
  <si>
    <t>bird</t>
  </si>
  <si>
    <t>Allbirds Inc</t>
  </si>
  <si>
    <t>gbr</t>
  </si>
  <si>
    <t>New Concept Energy, Inc.</t>
  </si>
  <si>
    <t>wnw</t>
  </si>
  <si>
    <t>Meiwu Technology Co Ltd</t>
  </si>
  <si>
    <t>fami</t>
  </si>
  <si>
    <t>Farmmi Inc</t>
  </si>
  <si>
    <t>flgc</t>
  </si>
  <si>
    <t>Flora Growth Corp</t>
  </si>
  <si>
    <t>ndra</t>
  </si>
  <si>
    <t>ENDRA Life Sciences Inc</t>
  </si>
  <si>
    <t>mhpc</t>
  </si>
  <si>
    <t>Manufactured Housing Properties Inc</t>
  </si>
  <si>
    <t>oesx</t>
  </si>
  <si>
    <t>Orion Energy Systems, Inc.</t>
  </si>
  <si>
    <t>ctso</t>
  </si>
  <si>
    <t>Cytosorbents Corp</t>
  </si>
  <si>
    <t>pasg</t>
  </si>
  <si>
    <t>Passage Bio Inc</t>
  </si>
  <si>
    <t>ogmbs</t>
  </si>
  <si>
    <t>Otis Collection LLC</t>
  </si>
  <si>
    <t>taop</t>
  </si>
  <si>
    <t>Taoping Inc</t>
  </si>
  <si>
    <t>aimd</t>
  </si>
  <si>
    <t>Ainos Inc</t>
  </si>
  <si>
    <t>vjet</t>
  </si>
  <si>
    <t>Voxeljet AG</t>
  </si>
  <si>
    <t>mnts</t>
  </si>
  <si>
    <t>Momentus Inc</t>
  </si>
  <si>
    <t>onvo</t>
  </si>
  <si>
    <t>Organovo Holdings Inc</t>
  </si>
  <si>
    <t>bhat</t>
  </si>
  <si>
    <t>Blue Hat Interactv Entrtnmnt Technlgy</t>
  </si>
  <si>
    <t>cntx</t>
  </si>
  <si>
    <t>Context Therapeutics Inc</t>
  </si>
  <si>
    <t>tto</t>
  </si>
  <si>
    <t>TTL Beteiligungs und Grundbesitz AG</t>
  </si>
  <si>
    <t>vani</t>
  </si>
  <si>
    <t>Vivani Medical Inc</t>
  </si>
  <si>
    <t>mpln</t>
  </si>
  <si>
    <t>Multiplan Corp</t>
  </si>
  <si>
    <t>dsny</t>
  </si>
  <si>
    <t>Destiny Media Technologies Inc</t>
  </si>
  <si>
    <t>clro</t>
  </si>
  <si>
    <t>Clearone Inc</t>
  </si>
  <si>
    <t>useg</t>
  </si>
  <si>
    <t>U.S. Energy Corp.</t>
  </si>
  <si>
    <t>refr</t>
  </si>
  <si>
    <t>Research Frontiers Inc</t>
  </si>
  <si>
    <t>kpti</t>
  </si>
  <si>
    <t>Karyopharm Therapeutics Inc</t>
  </si>
  <si>
    <t>adap</t>
  </si>
  <si>
    <t>Adaptimmune Therapeutics PLC - ADR</t>
  </si>
  <si>
    <t>ocg</t>
  </si>
  <si>
    <t>Oriental Culture Holding Ltd</t>
  </si>
  <si>
    <t>lipo</t>
  </si>
  <si>
    <t>Lipella Pharmaceuticals Inc</t>
  </si>
  <si>
    <t>inrd</t>
  </si>
  <si>
    <t>Inrad Optics Inc</t>
  </si>
  <si>
    <t>rzlt</t>
  </si>
  <si>
    <t>Rezolute Inc</t>
  </si>
  <si>
    <t>hlco</t>
  </si>
  <si>
    <t>Healing Company Inc</t>
  </si>
  <si>
    <t>shwz</t>
  </si>
  <si>
    <t>Medicine Man Technologies Inc</t>
  </si>
  <si>
    <t>amwl</t>
  </si>
  <si>
    <t>American Well Corp</t>
  </si>
  <si>
    <t>nnavw</t>
  </si>
  <si>
    <t>NextNav</t>
  </si>
  <si>
    <t>mdjh</t>
  </si>
  <si>
    <t>MDJM Ltd</t>
  </si>
  <si>
    <t>sqft</t>
  </si>
  <si>
    <t>Presidio Property Trust Inc Class A</t>
  </si>
  <si>
    <t>sgrp</t>
  </si>
  <si>
    <t>SPAR Group Inc</t>
  </si>
  <si>
    <t>frsx</t>
  </si>
  <si>
    <t>Foresight Autonomous Holdings ADR</t>
  </si>
  <si>
    <t>avptw</t>
  </si>
  <si>
    <t>AvePoint</t>
  </si>
  <si>
    <t>east</t>
  </si>
  <si>
    <t>Eastside Distilling Inc</t>
  </si>
  <si>
    <t>htoo</t>
  </si>
  <si>
    <t>Fusion Fuel Green PLC</t>
  </si>
  <si>
    <t>hyw</t>
  </si>
  <si>
    <t>Hywin Holdings Ltd - ADR</t>
  </si>
  <si>
    <t>ftek</t>
  </si>
  <si>
    <t>Fuel Tech Inc</t>
  </si>
  <si>
    <t>bivi</t>
  </si>
  <si>
    <t>BioVie Inc</t>
  </si>
  <si>
    <t>hypr</t>
  </si>
  <si>
    <t>Hyperfine Inc</t>
  </si>
  <si>
    <t>xtnt</t>
  </si>
  <si>
    <t>Xtant Medical Holdings Inc</t>
  </si>
  <si>
    <t>rere</t>
  </si>
  <si>
    <t>ATRenew Inc</t>
  </si>
  <si>
    <t>jva</t>
  </si>
  <si>
    <t>Coffee Holding Co., Inc.</t>
  </si>
  <si>
    <t>sckt</t>
  </si>
  <si>
    <t>Socket Mobile Inc</t>
  </si>
  <si>
    <t>vrme</t>
  </si>
  <si>
    <t>VerifyMe Inc</t>
  </si>
  <si>
    <t>cosm</t>
  </si>
  <si>
    <t>Cosmos Health Inc</t>
  </si>
  <si>
    <t>aacg</t>
  </si>
  <si>
    <t>ATA Creativity Global</t>
  </si>
  <si>
    <t>kron</t>
  </si>
  <si>
    <t>Kronos Bio Inc</t>
  </si>
  <si>
    <t>vnrx</t>
  </si>
  <si>
    <t>VolitionRX Ltd</t>
  </si>
  <si>
    <t>ship</t>
  </si>
  <si>
    <t>Tufton Oceanic Assets Ltd</t>
  </si>
  <si>
    <t>ellkf</t>
  </si>
  <si>
    <t>Ellaktor SA</t>
  </si>
  <si>
    <t>codql</t>
  </si>
  <si>
    <t>Coronado Global Resources Inc</t>
  </si>
  <si>
    <t>idxg</t>
  </si>
  <si>
    <t>Interpace Biosciences Inc</t>
  </si>
  <si>
    <t>svre</t>
  </si>
  <si>
    <t>SaverOne 2014 ADR</t>
  </si>
  <si>
    <t>wrn</t>
  </si>
  <si>
    <t>Western Copper and Gold Corp</t>
  </si>
  <si>
    <t>fmcc</t>
  </si>
  <si>
    <t>Federal Home Loan Mortgage Corp</t>
  </si>
  <si>
    <t>lnvgf</t>
  </si>
  <si>
    <t>Lenovo Group Ltd</t>
  </si>
  <si>
    <t>az</t>
  </si>
  <si>
    <t>A2Z Smart Technologies Corp</t>
  </si>
  <si>
    <t>ibio</t>
  </si>
  <si>
    <t>Ibio Inc</t>
  </si>
  <si>
    <t>litt</t>
  </si>
  <si>
    <t>Right Season Investments Corp</t>
  </si>
  <si>
    <t>alda</t>
  </si>
  <si>
    <t>Atlantica Inc</t>
  </si>
  <si>
    <t>axdx</t>
  </si>
  <si>
    <t>Accelerate Diagnostics Inc</t>
  </si>
  <si>
    <t>hsti</t>
  </si>
  <si>
    <t>High Sierra Technologies Inc</t>
  </si>
  <si>
    <t>bolt</t>
  </si>
  <si>
    <t>Bolt Biotherapeutics Inc</t>
  </si>
  <si>
    <t>beemw</t>
  </si>
  <si>
    <t>Beam Global</t>
  </si>
  <si>
    <t>mcrb</t>
  </si>
  <si>
    <t>Seres Therapeutics Inc</t>
  </si>
  <si>
    <t>yumm</t>
  </si>
  <si>
    <t>Yummies Inc</t>
  </si>
  <si>
    <t>pgy</t>
  </si>
  <si>
    <t>adil</t>
  </si>
  <si>
    <t>Adial Pharmaceuticals Inc</t>
  </si>
  <si>
    <t>ptpi</t>
  </si>
  <si>
    <t>Petros Pharmaceuticals Inc</t>
  </si>
  <si>
    <t>cntg</t>
  </si>
  <si>
    <t>Centogene NV</t>
  </si>
  <si>
    <t>bngo</t>
  </si>
  <si>
    <t>BioNano Genomics Inc</t>
  </si>
  <si>
    <t>zenv</t>
  </si>
  <si>
    <t>Zenvia Inc</t>
  </si>
  <si>
    <t>crdl</t>
  </si>
  <si>
    <t>Cardiol Therapeutics Inc</t>
  </si>
  <si>
    <t>allg</t>
  </si>
  <si>
    <t>Allego NV</t>
  </si>
  <si>
    <t>cpop</t>
  </si>
  <si>
    <t>Pop Culture Group Co Ltd</t>
  </si>
  <si>
    <t>slqt</t>
  </si>
  <si>
    <t>SelectQuote Inc</t>
  </si>
  <si>
    <t>smfl</t>
  </si>
  <si>
    <t>Smart for Life Inc</t>
  </si>
  <si>
    <t>asav</t>
  </si>
  <si>
    <t>ASI Aviation Inc</t>
  </si>
  <si>
    <t>nnvc</t>
  </si>
  <si>
    <t>NanoViricides Inc</t>
  </si>
  <si>
    <t>pow</t>
  </si>
  <si>
    <t>Power Metal Resources PLC</t>
  </si>
  <si>
    <t>prpl</t>
  </si>
  <si>
    <t>Purple Innovation Inc</t>
  </si>
  <si>
    <t>rigl</t>
  </si>
  <si>
    <t>Rigel Pharmaceuticals Inc</t>
  </si>
  <si>
    <t>leju</t>
  </si>
  <si>
    <t>Leju Holdings Ltd</t>
  </si>
  <si>
    <t>snt</t>
  </si>
  <si>
    <t>Senstar Technologies Ltd</t>
  </si>
  <si>
    <t>oncy</t>
  </si>
  <si>
    <t>Oncolytics Biotech Inc</t>
  </si>
  <si>
    <t>taoff</t>
  </si>
  <si>
    <t>Iperionx Ltd</t>
  </si>
  <si>
    <t>otly</t>
  </si>
  <si>
    <t>Oatly Group AB (publ) - ADR</t>
  </si>
  <si>
    <t>rrvcs</t>
  </si>
  <si>
    <t>RSE Archive Llc Membership Int Series 95Topsun 1995 Topsun Booster Box</t>
  </si>
  <si>
    <t>pt</t>
  </si>
  <si>
    <t>Pintec Technology Holdings Ltd - ADR</t>
  </si>
  <si>
    <t>asns</t>
  </si>
  <si>
    <t>Actelis Networks Inc</t>
  </si>
  <si>
    <t>mrai</t>
  </si>
  <si>
    <t>Marpai Inc</t>
  </si>
  <si>
    <t>sge</t>
  </si>
  <si>
    <t>Strong Global Entertainment Inc</t>
  </si>
  <si>
    <t>hcwb</t>
  </si>
  <si>
    <t>Hcw Biologics Inc</t>
  </si>
  <si>
    <t>plby</t>
  </si>
  <si>
    <t>Plby Group Inc</t>
  </si>
  <si>
    <t>lngpf</t>
  </si>
  <si>
    <t>Longfor Group Holdings Ltd</t>
  </si>
  <si>
    <t>pbla</t>
  </si>
  <si>
    <t>Panbela Therapeutics Inc</t>
  </si>
  <si>
    <t>gure</t>
  </si>
  <si>
    <t>Gulf Resources, Inc.</t>
  </si>
  <si>
    <t>codx</t>
  </si>
  <si>
    <t>Co-Diagnostics Inc</t>
  </si>
  <si>
    <t>arat</t>
  </si>
  <si>
    <t>Arax Holdings Corp.</t>
  </si>
  <si>
    <t>shcr</t>
  </si>
  <si>
    <t>Sharecare Inc</t>
  </si>
  <si>
    <t>ciljf</t>
  </si>
  <si>
    <t>China Life Insurance Ord Shs H</t>
  </si>
  <si>
    <t>qh</t>
  </si>
  <si>
    <t>Quhuo Ltd - ADR</t>
  </si>
  <si>
    <t>rcrt</t>
  </si>
  <si>
    <t>Recruiter.Com Group Inc</t>
  </si>
  <si>
    <t>grnq</t>
  </si>
  <si>
    <t>Greenpro Capital Corp</t>
  </si>
  <si>
    <t>xelb</t>
  </si>
  <si>
    <t>XCel Brands Inc</t>
  </si>
  <si>
    <t>glgi</t>
  </si>
  <si>
    <t>Greystone Logistics Inc</t>
  </si>
  <si>
    <t>rgf</t>
  </si>
  <si>
    <t>Real Good Food Company Inc</t>
  </si>
  <si>
    <t>piii</t>
  </si>
  <si>
    <t>P3 Health Partners Inc</t>
  </si>
  <si>
    <t>lgsxy</t>
  </si>
  <si>
    <t>Light ADR</t>
  </si>
  <si>
    <t>tnon</t>
  </si>
  <si>
    <t>Tenon Medical Inc</t>
  </si>
  <si>
    <t>upxi</t>
  </si>
  <si>
    <t>Upexi Inc</t>
  </si>
  <si>
    <t>zepp</t>
  </si>
  <si>
    <t>Zepp Health Corp - ADR</t>
  </si>
  <si>
    <t>amrn</t>
  </si>
  <si>
    <t>Amarin Corporation plc</t>
  </si>
  <si>
    <t>na</t>
  </si>
  <si>
    <t>Nano Labs Ltd</t>
  </si>
  <si>
    <t>kwe</t>
  </si>
  <si>
    <t>Kwesst Micro Systems Inc</t>
  </si>
  <si>
    <t>rvp</t>
  </si>
  <si>
    <t>Retractable Technologies Inc</t>
  </si>
  <si>
    <t>cenn</t>
  </si>
  <si>
    <t>Cenntro Electric Group Ltd</t>
  </si>
  <si>
    <t>incr</t>
  </si>
  <si>
    <t>InterCure Ltd</t>
  </si>
  <si>
    <t>bnet</t>
  </si>
  <si>
    <t>Bion Environmental Technologies Inc</t>
  </si>
  <si>
    <t>asfh</t>
  </si>
  <si>
    <t>Asiafin Holdings Corp</t>
  </si>
  <si>
    <t>vxrt</t>
  </si>
  <si>
    <t>Vaxart Inc</t>
  </si>
  <si>
    <t>pcttw</t>
  </si>
  <si>
    <t>PureCycle Technologies</t>
  </si>
  <si>
    <t>tivc</t>
  </si>
  <si>
    <t>Tivic Health Systems Inc</t>
  </si>
  <si>
    <t>sbet</t>
  </si>
  <si>
    <t>Sharplink Gaming Ltd</t>
  </si>
  <si>
    <t>mtek</t>
  </si>
  <si>
    <t>Maris Tech Ltd</t>
  </si>
  <si>
    <t>mbot</t>
  </si>
  <si>
    <t>Microbot Medical Inc</t>
  </si>
  <si>
    <t>metx</t>
  </si>
  <si>
    <t>ME Therapeutics Holdings Inc</t>
  </si>
  <si>
    <t>acrs</t>
  </si>
  <si>
    <t>Aclaris Therapeutics Inc</t>
  </si>
  <si>
    <t>optn</t>
  </si>
  <si>
    <t>OptiNose Inc</t>
  </si>
  <si>
    <t>eose</t>
  </si>
  <si>
    <t>Eos Energy Enterprises Inc</t>
  </si>
  <si>
    <t>vinc</t>
  </si>
  <si>
    <t>Vincerx Pharma Inc</t>
  </si>
  <si>
    <t>imux</t>
  </si>
  <si>
    <t>Immunic Inc</t>
  </si>
  <si>
    <t>atra</t>
  </si>
  <si>
    <t>Atara Biotherapeutics Inc</t>
  </si>
  <si>
    <t>cmpx</t>
  </si>
  <si>
    <t>Compass Therapeutics Inc.</t>
  </si>
  <si>
    <t>corzw</t>
  </si>
  <si>
    <t>Core Scientific</t>
  </si>
  <si>
    <t>worx</t>
  </si>
  <si>
    <t>Scworx Corp</t>
  </si>
  <si>
    <t>vrar</t>
  </si>
  <si>
    <t>Glimpse Group Inc</t>
  </si>
  <si>
    <t>dmtk</t>
  </si>
  <si>
    <t>DermTech Inc</t>
  </si>
  <si>
    <t>alya</t>
  </si>
  <si>
    <t>Alithya Group inc</t>
  </si>
  <si>
    <t>scwo</t>
  </si>
  <si>
    <t>374Water Inc</t>
  </si>
  <si>
    <t>bksy</t>
  </si>
  <si>
    <t>Blacksky Technology Inc</t>
  </si>
  <si>
    <t>nxtp</t>
  </si>
  <si>
    <t>Nextplay Technologies Inc</t>
  </si>
  <si>
    <t>nvve</t>
  </si>
  <si>
    <t>Nuvve Holding Corp</t>
  </si>
  <si>
    <t>leds</t>
  </si>
  <si>
    <t>Semileds Corp</t>
  </si>
  <si>
    <t>mob</t>
  </si>
  <si>
    <t>veee</t>
  </si>
  <si>
    <t>Twin Vee Powercats Co</t>
  </si>
  <si>
    <t>petv</t>
  </si>
  <si>
    <t>nxtc</t>
  </si>
  <si>
    <t>NextCure Inc</t>
  </si>
  <si>
    <t>fgnv</t>
  </si>
  <si>
    <t>Forge Innovation Development Corp</t>
  </si>
  <si>
    <t>astlw</t>
  </si>
  <si>
    <t>Algoma Steel</t>
  </si>
  <si>
    <t>aei</t>
  </si>
  <si>
    <t>Alset Inc</t>
  </si>
  <si>
    <t>enz</t>
  </si>
  <si>
    <t>Enzo Biochem Inc</t>
  </si>
  <si>
    <t>dna</t>
  </si>
  <si>
    <t>Ginkgo Bioworks Holdings Inc</t>
  </si>
  <si>
    <t>prps</t>
  </si>
  <si>
    <t>SV Propellus Inc</t>
  </si>
  <si>
    <t>rgti</t>
  </si>
  <si>
    <t>Rigetti Computing Inc</t>
  </si>
  <si>
    <t>prok</t>
  </si>
  <si>
    <t>ProKidney Corp</t>
  </si>
  <si>
    <t>fcel</t>
  </si>
  <si>
    <t>FuelCell Energy Inc</t>
  </si>
  <si>
    <t>ngd</t>
  </si>
  <si>
    <t>New Gold Inc</t>
  </si>
  <si>
    <t>alsmy</t>
  </si>
  <si>
    <t>Alstom Unsponsored France ADR</t>
  </si>
  <si>
    <t>avro</t>
  </si>
  <si>
    <t>Avrobio Inc</t>
  </si>
  <si>
    <t>nrsn</t>
  </si>
  <si>
    <t>Neurosense Therapeutics Ltd</t>
  </si>
  <si>
    <t>hoth</t>
  </si>
  <si>
    <t>Hoth Therapeutics Inc</t>
  </si>
  <si>
    <t>bw</t>
  </si>
  <si>
    <t>Babcock &amp; Wilcox Enterprises Inc</t>
  </si>
  <si>
    <t>efoi</t>
  </si>
  <si>
    <t>Energy Focus Inc</t>
  </si>
  <si>
    <t>lidr</t>
  </si>
  <si>
    <t>Aeye Inc</t>
  </si>
  <si>
    <t>tcnt</t>
  </si>
  <si>
    <t>Toucan Interactive Corp</t>
  </si>
  <si>
    <t>rmti</t>
  </si>
  <si>
    <t>Rockwell Medical Inc</t>
  </si>
  <si>
    <t>cadl</t>
  </si>
  <si>
    <t>Candel Therapeutics Inc</t>
  </si>
  <si>
    <t>hour</t>
  </si>
  <si>
    <t>Hour Loop Inc</t>
  </si>
  <si>
    <t>sbny</t>
  </si>
  <si>
    <t>Signature Bank</t>
  </si>
  <si>
    <t>feam</t>
  </si>
  <si>
    <t>5E Advanced Materials Inc</t>
  </si>
  <si>
    <t>allk</t>
  </si>
  <si>
    <t>Allakos Inc</t>
  </si>
  <si>
    <t>rei</t>
  </si>
  <si>
    <t>Ring Energy Inc</t>
  </si>
  <si>
    <t>mepw</t>
  </si>
  <si>
    <t>ME Renewable Power Corp</t>
  </si>
  <si>
    <t>ses</t>
  </si>
  <si>
    <t>SES AI Corp</t>
  </si>
  <si>
    <t>lumn</t>
  </si>
  <si>
    <t>Lumen Technologies Inc</t>
  </si>
  <si>
    <t>eaf</t>
  </si>
  <si>
    <t>GrafTech International Ltd</t>
  </si>
  <si>
    <t>0.02</t>
  </si>
  <si>
    <t>rlyb</t>
  </si>
  <si>
    <t>Rallybio Corp</t>
  </si>
  <si>
    <t>frey</t>
  </si>
  <si>
    <t>FREYR Battery Inc</t>
  </si>
  <si>
    <t>newp</t>
  </si>
  <si>
    <t>New Pacific Metals Corp</t>
  </si>
  <si>
    <t>apwc</t>
  </si>
  <si>
    <t>Asia Pacific Wire &amp; Cable CorporationLtd</t>
  </si>
  <si>
    <t>aren</t>
  </si>
  <si>
    <t>Arena Group Holdings Inc</t>
  </si>
  <si>
    <t>ucl</t>
  </si>
  <si>
    <t>Ucloudlink Group Inc</t>
  </si>
  <si>
    <t>can</t>
  </si>
  <si>
    <t>Canaan Inc - ADR</t>
  </si>
  <si>
    <t>cing</t>
  </si>
  <si>
    <t>Cingulate Inc</t>
  </si>
  <si>
    <t>falc</t>
  </si>
  <si>
    <t>FalconStor Software Inc</t>
  </si>
  <si>
    <t>fpay</t>
  </si>
  <si>
    <t>FlexShopper Inc</t>
  </si>
  <si>
    <t>pxsaw</t>
  </si>
  <si>
    <t>Pyxis Tankers</t>
  </si>
  <si>
    <t>qncx</t>
  </si>
  <si>
    <t>Quince Therapeutics Inc</t>
  </si>
  <si>
    <t>fnma</t>
  </si>
  <si>
    <t>Federal National Mortgage Association</t>
  </si>
  <si>
    <t>dats</t>
  </si>
  <si>
    <t>DatChat Inc</t>
  </si>
  <si>
    <t>brfh</t>
  </si>
  <si>
    <t>Barfresh Food Group Inc</t>
  </si>
  <si>
    <t>bsgm</t>
  </si>
  <si>
    <t>BioSig Technologies Inc</t>
  </si>
  <si>
    <t>krbp</t>
  </si>
  <si>
    <t>Kiromic Biopharma Inc</t>
  </si>
  <si>
    <t>ocel</t>
  </si>
  <si>
    <t>Organicell Regenerative Medicine Inc</t>
  </si>
  <si>
    <t>wksp</t>
  </si>
  <si>
    <t>Worksport Ltd</t>
  </si>
  <si>
    <t>rgls</t>
  </si>
  <si>
    <t>Regulus Therapeutics Inc</t>
  </si>
  <si>
    <t>licn</t>
  </si>
  <si>
    <t>Lichen China Ltd</t>
  </si>
  <si>
    <t>mchx</t>
  </si>
  <si>
    <t>Marchex Inc</t>
  </si>
  <si>
    <t>arec</t>
  </si>
  <si>
    <t>American Resources Corp</t>
  </si>
  <si>
    <t>sify</t>
  </si>
  <si>
    <t>Sify Technologies Limited</t>
  </si>
  <si>
    <t>afriw</t>
  </si>
  <si>
    <t>Forafric Global</t>
  </si>
  <si>
    <t>glt</t>
  </si>
  <si>
    <t>Glatfelter Corp</t>
  </si>
  <si>
    <t>xelap</t>
  </si>
  <si>
    <t>Exela Technologies 6 00 Cum Convt Perptl Pref Shs Series B</t>
  </si>
  <si>
    <t>cnfr</t>
  </si>
  <si>
    <t>Conifer Holdings Inc</t>
  </si>
  <si>
    <t>iccm</t>
  </si>
  <si>
    <t>Icecure Medical Ltd</t>
  </si>
  <si>
    <t>satl</t>
  </si>
  <si>
    <t>Satellogic Inc</t>
  </si>
  <si>
    <t>groy</t>
  </si>
  <si>
    <t>Gold Royalty Corp</t>
  </si>
  <si>
    <t>caixy</t>
  </si>
  <si>
    <t>Caixabank Unsponsored Spain ADR</t>
  </si>
  <si>
    <t>artl</t>
  </si>
  <si>
    <t>Artelo Biosciences Inc</t>
  </si>
  <si>
    <t>snmp</t>
  </si>
  <si>
    <t>Evolve Transition Infrastructure LP</t>
  </si>
  <si>
    <t>iht</t>
  </si>
  <si>
    <t>InnSuites Hospitality Trust</t>
  </si>
  <si>
    <t>rbt</t>
  </si>
  <si>
    <t>Rubicon Technologies Inc</t>
  </si>
  <si>
    <t>onds</t>
  </si>
  <si>
    <t>Ondas Holdings Inc</t>
  </si>
  <si>
    <t>clsd</t>
  </si>
  <si>
    <t>Clearside Biomedical Inc</t>
  </si>
  <si>
    <t>ztek</t>
  </si>
  <si>
    <t>Zentek Ltd</t>
  </si>
  <si>
    <t>bkkt</t>
  </si>
  <si>
    <t>Bakkt Holdings Inc</t>
  </si>
  <si>
    <t>sj</t>
  </si>
  <si>
    <t>Scienjoy Holding Corp</t>
  </si>
  <si>
    <t>ezfl</t>
  </si>
  <si>
    <t>EzFill Holdings Inc</t>
  </si>
  <si>
    <t>soho</t>
  </si>
  <si>
    <t>Sotherly Hotels Inc</t>
  </si>
  <si>
    <t>icad</t>
  </si>
  <si>
    <t>iCAD Inc</t>
  </si>
  <si>
    <t>sund</t>
  </si>
  <si>
    <t>Sundance Strategies Inc</t>
  </si>
  <si>
    <t>poet</t>
  </si>
  <si>
    <t>POET Technologies Inc</t>
  </si>
  <si>
    <t>mbio</t>
  </si>
  <si>
    <t>Mustang Bio Inc</t>
  </si>
  <si>
    <t>slgl</t>
  </si>
  <si>
    <t>Sol Gel Technologies Ltd</t>
  </si>
  <si>
    <t>trvi</t>
  </si>
  <si>
    <t>Trevi Therapeutics Inc</t>
  </si>
  <si>
    <t>sli</t>
  </si>
  <si>
    <t>Standard Lithium Ltd</t>
  </si>
  <si>
    <t>pgen</t>
  </si>
  <si>
    <t>Precigen Inc</t>
  </si>
  <si>
    <t>eng</t>
  </si>
  <si>
    <t>ENGlobal Corp</t>
  </si>
  <si>
    <t>yi</t>
  </si>
  <si>
    <t>111 Inc - ADR</t>
  </si>
  <si>
    <t>trcc</t>
  </si>
  <si>
    <t>Traccom Inc</t>
  </si>
  <si>
    <t>gigm</t>
  </si>
  <si>
    <t>Giga Media Ltd</t>
  </si>
  <si>
    <t>nmtc</t>
  </si>
  <si>
    <t>Neuroone Medical Technologies Corp</t>
  </si>
  <si>
    <t>qtrhf</t>
  </si>
  <si>
    <t>Quarterhill Inc</t>
  </si>
  <si>
    <t>wbx</t>
  </si>
  <si>
    <t>Wallbox NV</t>
  </si>
  <si>
    <t>vrssf</t>
  </si>
  <si>
    <t>VERSES AI Inc</t>
  </si>
  <si>
    <t>efsh</t>
  </si>
  <si>
    <t>1847 Holdings LLC</t>
  </si>
  <si>
    <t>cney</t>
  </si>
  <si>
    <t>CN ENERGY GROUP Inc</t>
  </si>
  <si>
    <t>creg</t>
  </si>
  <si>
    <t>China Recycling Energy Corporation Common Stock</t>
  </si>
  <si>
    <t>feng</t>
  </si>
  <si>
    <t>Phoenix New Media Ltd ADR</t>
  </si>
  <si>
    <t>pev</t>
  </si>
  <si>
    <t>Phoenix Motor Inc</t>
  </si>
  <si>
    <t>mnov</t>
  </si>
  <si>
    <t>Medicinova Inc</t>
  </si>
  <si>
    <t>ddl</t>
  </si>
  <si>
    <t>Dingdong (Cayman) Ltd</t>
  </si>
  <si>
    <t>clwt</t>
  </si>
  <si>
    <t>Euro Tech Holdings Company Ltd</t>
  </si>
  <si>
    <t>idai</t>
  </si>
  <si>
    <t>T Stamp Inc</t>
  </si>
  <si>
    <t>dyai</t>
  </si>
  <si>
    <t>Dyadic International Inc</t>
  </si>
  <si>
    <t>advm</t>
  </si>
  <si>
    <t>Adverum Biotechnologies Inc</t>
  </si>
  <si>
    <t>nvx</t>
  </si>
  <si>
    <t>NOVONIX ADS</t>
  </si>
  <si>
    <t>tgb</t>
  </si>
  <si>
    <t>Taseko Mines Ltd</t>
  </si>
  <si>
    <t>rsvrw</t>
  </si>
  <si>
    <t>Reservoir Media</t>
  </si>
  <si>
    <t>whlrp</t>
  </si>
  <si>
    <t>Wheeler Real Estate Investment Trust Inc Conv. Pref. Shrs Series B</t>
  </si>
  <si>
    <t>vtnr</t>
  </si>
  <si>
    <t>Vertex Energy Inc</t>
  </si>
  <si>
    <t>gvp</t>
  </si>
  <si>
    <t>GSE Systems, Inc.</t>
  </si>
  <si>
    <t>dlpn</t>
  </si>
  <si>
    <t>Dolphin Entertainment Inc</t>
  </si>
  <si>
    <t>banl</t>
  </si>
  <si>
    <t>CBL International Ltd</t>
  </si>
  <si>
    <t>okyo</t>
  </si>
  <si>
    <t>OKYO Pharma Ltd</t>
  </si>
  <si>
    <t>lucd</t>
  </si>
  <si>
    <t>Lucid Diagnostics Inc</t>
  </si>
  <si>
    <t>ngm</t>
  </si>
  <si>
    <t>NGM Biopharmaceuticals Inc</t>
  </si>
  <si>
    <t>note</t>
  </si>
  <si>
    <t>FiscalNote Holdings Inc</t>
  </si>
  <si>
    <t>btgof</t>
  </si>
  <si>
    <t>BT Group - CLASS A Common Stock</t>
  </si>
  <si>
    <t>uwhgf</t>
  </si>
  <si>
    <t>United World Holding Group Ltd</t>
  </si>
  <si>
    <t>plx</t>
  </si>
  <si>
    <t>Protalix Biotherapeutics Inc</t>
  </si>
  <si>
    <t>skyx</t>
  </si>
  <si>
    <t>SKYX Platforms Corp</t>
  </si>
  <si>
    <t>fgf</t>
  </si>
  <si>
    <t>FG Financial Group Inc</t>
  </si>
  <si>
    <t>uuu</t>
  </si>
  <si>
    <t>Universal Security Instruments, Inc.</t>
  </si>
  <si>
    <t>wave</t>
  </si>
  <si>
    <t>Eco Wave Power Global AB (publ) ADR</t>
  </si>
  <si>
    <t>maia</t>
  </si>
  <si>
    <t>Maia Biotechnology Inc</t>
  </si>
  <si>
    <t>bedu</t>
  </si>
  <si>
    <t>Bright Scholar Educatin Hldngs Ltd</t>
  </si>
  <si>
    <t>spro</t>
  </si>
  <si>
    <t>Spero Therapeutics Inc</t>
  </si>
  <si>
    <t>nrgv</t>
  </si>
  <si>
    <t>Energy Vault Holdings Inc</t>
  </si>
  <si>
    <t>aac</t>
  </si>
  <si>
    <t>Australian Agricultural Company Ltd</t>
  </si>
  <si>
    <t>eqs</t>
  </si>
  <si>
    <t>EQUUS Total Return Inc</t>
  </si>
  <si>
    <t>agrx</t>
  </si>
  <si>
    <t>Agile Therapeutics Inc</t>
  </si>
  <si>
    <t>sonn</t>
  </si>
  <si>
    <t>Sonnet BioTherapeutics Holdings, Inc.</t>
  </si>
  <si>
    <t>nxpl</t>
  </si>
  <si>
    <t>NextPlat Corp</t>
  </si>
  <si>
    <t>xnet</t>
  </si>
  <si>
    <t>Xunlei Ltd</t>
  </si>
  <si>
    <t>ctmx</t>
  </si>
  <si>
    <t>CytomX Therapeutics Inc</t>
  </si>
  <si>
    <t>rpmt</t>
  </si>
  <si>
    <t>Rego Payment Architectures Inc</t>
  </si>
  <si>
    <t>safly</t>
  </si>
  <si>
    <t>Safilo Group Spa Vicenza Italy ADR</t>
  </si>
  <si>
    <t>game</t>
  </si>
  <si>
    <t>GameSquare Holdings Inc</t>
  </si>
  <si>
    <t>fcuv</t>
  </si>
  <si>
    <t>Focus Universal Inc</t>
  </si>
  <si>
    <t>vnet</t>
  </si>
  <si>
    <t>VNET Group Inc - ADR</t>
  </si>
  <si>
    <t>mtc</t>
  </si>
  <si>
    <t>MMTec Inc</t>
  </si>
  <si>
    <t>aawh</t>
  </si>
  <si>
    <t>Ascend Wellness Holdings Inc</t>
  </si>
  <si>
    <t>vzla</t>
  </si>
  <si>
    <t>Vizsla Silver Corp</t>
  </si>
  <si>
    <t>ahi</t>
  </si>
  <si>
    <t>Advanced Health Intelligence Ltd</t>
  </si>
  <si>
    <t>emx</t>
  </si>
  <si>
    <t>Emx Royalty Corp</t>
  </si>
  <si>
    <t>silo</t>
  </si>
  <si>
    <t>Silo Pharma Inc</t>
  </si>
  <si>
    <t>vybe</t>
  </si>
  <si>
    <t>Limitless X Holdings Inc</t>
  </si>
  <si>
    <t>abvc</t>
  </si>
  <si>
    <t>ABVC Biopharma Inc</t>
  </si>
  <si>
    <t>rrts</t>
  </si>
  <si>
    <t>Roadrunner Transportation Systems Inc</t>
  </si>
  <si>
    <t>phci</t>
  </si>
  <si>
    <t>Panamera Holdings Corp</t>
  </si>
  <si>
    <t>irme</t>
  </si>
  <si>
    <t>IR-MED Inc</t>
  </si>
  <si>
    <t>ctv</t>
  </si>
  <si>
    <t>Innovid Corp</t>
  </si>
  <si>
    <t>view</t>
  </si>
  <si>
    <t>View Inc</t>
  </si>
  <si>
    <t>tsha</t>
  </si>
  <si>
    <t>Taysha Gene Therapies Inc</t>
  </si>
  <si>
    <t>cdxc</t>
  </si>
  <si>
    <t>Chromadex Corp</t>
  </si>
  <si>
    <t>qsi</t>
  </si>
  <si>
    <t>Quantum-Si Inc</t>
  </si>
  <si>
    <t>is</t>
  </si>
  <si>
    <t>Image Systems AB</t>
  </si>
  <si>
    <t>heps</t>
  </si>
  <si>
    <t>D Market Elektronik Hztlr ve Tcrt AS-ADR</t>
  </si>
  <si>
    <t>ensc</t>
  </si>
  <si>
    <t>Ensysce Biosciences Inc</t>
  </si>
  <si>
    <t>wstl</t>
  </si>
  <si>
    <t>Westell Technologies Inc.</t>
  </si>
  <si>
    <t>thch</t>
  </si>
  <si>
    <t>TH International Limited</t>
  </si>
  <si>
    <t>bmr</t>
  </si>
  <si>
    <t>Beamr Imaging Ltd</t>
  </si>
  <si>
    <t>gromw</t>
  </si>
  <si>
    <t>Grom Social Enterprises</t>
  </si>
  <si>
    <t>payd</t>
  </si>
  <si>
    <t>Paid Inc</t>
  </si>
  <si>
    <t>husa</t>
  </si>
  <si>
    <t>Houston American Energy Corporation</t>
  </si>
  <si>
    <t>chsn</t>
  </si>
  <si>
    <t>Chanson International Holding</t>
  </si>
  <si>
    <t>dzsi</t>
  </si>
  <si>
    <t>DZS Inc</t>
  </si>
  <si>
    <t>pfie</t>
  </si>
  <si>
    <t>Profire Energy, Inc.</t>
  </si>
  <si>
    <t>aehl</t>
  </si>
  <si>
    <t>Antelope Enterprise Holdings Ltd</t>
  </si>
  <si>
    <t>svfd</t>
  </si>
  <si>
    <t>Save Foods Inc</t>
  </si>
  <si>
    <t>lrhc</t>
  </si>
  <si>
    <t>La Rosa Holdings</t>
  </si>
  <si>
    <t>itrm</t>
  </si>
  <si>
    <t>Iterum Therapeutics PLC</t>
  </si>
  <si>
    <t>seed</t>
  </si>
  <si>
    <t>Origin Agritech Ltd.</t>
  </si>
  <si>
    <t>biaf</t>
  </si>
  <si>
    <t>bioAffinity Technologies Inc</t>
  </si>
  <si>
    <t>unxp</t>
  </si>
  <si>
    <t>United Express Inc</t>
  </si>
  <si>
    <t>nuvb</t>
  </si>
  <si>
    <t>Nuvation Bio Inc</t>
  </si>
  <si>
    <t>iaux</t>
  </si>
  <si>
    <t>I-80 Gold Corp</t>
  </si>
  <si>
    <t>pvl</t>
  </si>
  <si>
    <t>Permianville Royalty Trust</t>
  </si>
  <si>
    <t>rphm</t>
  </si>
  <si>
    <t>Reneo Pharmaceuticals Inc</t>
  </si>
  <si>
    <t>crdf</t>
  </si>
  <si>
    <t>Cardiff Oncology Inc</t>
  </si>
  <si>
    <t>intv</t>
  </si>
  <si>
    <t>Integrated Ventures Inc</t>
  </si>
  <si>
    <t>wsco</t>
  </si>
  <si>
    <t>Global AI Inc</t>
  </si>
  <si>
    <t>lpth</t>
  </si>
  <si>
    <t>LightPath Technologies Inc</t>
  </si>
  <si>
    <t>naas</t>
  </si>
  <si>
    <t>Naas Technology Inc</t>
  </si>
  <si>
    <t>sapmf</t>
  </si>
  <si>
    <t>Saipem SpA</t>
  </si>
  <si>
    <t>cncn</t>
  </si>
  <si>
    <t>Chun Can Capital Group</t>
  </si>
  <si>
    <t>cocp</t>
  </si>
  <si>
    <t>Cocrystal Pharma Inc</t>
  </si>
  <si>
    <t>neov</t>
  </si>
  <si>
    <t>NeoVolta Inc</t>
  </si>
  <si>
    <t>gnss</t>
  </si>
  <si>
    <t>Genasys Inc</t>
  </si>
  <si>
    <t>zvia</t>
  </si>
  <si>
    <t>Zevia Pbc</t>
  </si>
  <si>
    <t>ebs</t>
  </si>
  <si>
    <t>Emergent Biosolutions Inc</t>
  </si>
  <si>
    <t>exk</t>
  </si>
  <si>
    <t>Endeavour Silver Corp</t>
  </si>
  <si>
    <t>abio</t>
  </si>
  <si>
    <t>Arca Biopharma Inc</t>
  </si>
  <si>
    <t>ifrx</t>
  </si>
  <si>
    <t>Inflarx NV</t>
  </si>
  <si>
    <t>mist</t>
  </si>
  <si>
    <t>Milestone Pharmaceuticals Inc</t>
  </si>
  <si>
    <t>ytra</t>
  </si>
  <si>
    <t>Yatra Online Inc</t>
  </si>
  <si>
    <t>bbai</t>
  </si>
  <si>
    <t>BigBear.ai Holdings Inc</t>
  </si>
  <si>
    <t>hlgn</t>
  </si>
  <si>
    <t>Heliogen Inc</t>
  </si>
  <si>
    <t>kind</t>
  </si>
  <si>
    <t>Nextdoor Holdings Inc</t>
  </si>
  <si>
    <t>gmblp</t>
  </si>
  <si>
    <t>Esports Entertainment Group Inc Preferred Shares Series A</t>
  </si>
  <si>
    <t>btcs</t>
  </si>
  <si>
    <t>BTCS Inc</t>
  </si>
  <si>
    <t>akba</t>
  </si>
  <si>
    <t>Akebia Therapeutics Inc</t>
  </si>
  <si>
    <t>rxt</t>
  </si>
  <si>
    <t>Rackspace Technology, Inc.</t>
  </si>
  <si>
    <t>fgi</t>
  </si>
  <si>
    <t>FGI Industries Ltd</t>
  </si>
  <si>
    <t>hepa</t>
  </si>
  <si>
    <t>Hepion Pharmaceuticals Inc</t>
  </si>
  <si>
    <t>watt</t>
  </si>
  <si>
    <t>Energous Corp</t>
  </si>
  <si>
    <t>rcg</t>
  </si>
  <si>
    <t>Renn Fund Inc</t>
  </si>
  <si>
    <t>mogo</t>
  </si>
  <si>
    <t>Mogo Inc</t>
  </si>
  <si>
    <t>tup</t>
  </si>
  <si>
    <t>Tupperware Brands Corp</t>
  </si>
  <si>
    <t>invz</t>
  </si>
  <si>
    <t>Innoviz Technologies Ltd</t>
  </si>
  <si>
    <t>cipi</t>
  </si>
  <si>
    <t>Correlate Energy Corp</t>
  </si>
  <si>
    <t>sol</t>
  </si>
  <si>
    <t>Emeren Group Ltd</t>
  </si>
  <si>
    <t>thtx</t>
  </si>
  <si>
    <t>Theratechnologies Inc</t>
  </si>
  <si>
    <t>exfy</t>
  </si>
  <si>
    <t>Expensify Inc</t>
  </si>
  <si>
    <t>kltr</t>
  </si>
  <si>
    <t>Kaltura Inc</t>
  </si>
  <si>
    <t>neon</t>
  </si>
  <si>
    <t>Neonode Inc</t>
  </si>
  <si>
    <t>wstrf</t>
  </si>
  <si>
    <t>Western Uranium &amp; Vanadium Corp</t>
  </si>
  <si>
    <t>cco</t>
  </si>
  <si>
    <t>Clear Channel Outdoor Holdings Inc</t>
  </si>
  <si>
    <t>niu</t>
  </si>
  <si>
    <t>Niu Technologies - ADR</t>
  </si>
  <si>
    <t>indp</t>
  </si>
  <si>
    <t>Indaptus Therapeutics Inc</t>
  </si>
  <si>
    <t>rnxt</t>
  </si>
  <si>
    <t>RenovoRx Inc</t>
  </si>
  <si>
    <t>agmh</t>
  </si>
  <si>
    <t>AGM Group Holdings Inc</t>
  </si>
  <si>
    <t>usio</t>
  </si>
  <si>
    <t>Usio Inc</t>
  </si>
  <si>
    <t>tcs</t>
  </si>
  <si>
    <t>Container Store Group Inc</t>
  </si>
  <si>
    <t>vuzi</t>
  </si>
  <si>
    <t>Vuzix Corp</t>
  </si>
  <si>
    <t>dbv</t>
  </si>
  <si>
    <t>DBV Technologies SA</t>
  </si>
  <si>
    <t>eras</t>
  </si>
  <si>
    <t>Erasca Inc</t>
  </si>
  <si>
    <t>sldp</t>
  </si>
  <si>
    <t>Solid Power Inc</t>
  </si>
  <si>
    <t>soun</t>
  </si>
  <si>
    <t>SoundHound AI Inc</t>
  </si>
  <si>
    <t>clbtw</t>
  </si>
  <si>
    <t>Cellebrite</t>
  </si>
  <si>
    <t>hzen</t>
  </si>
  <si>
    <t>Grayscale Horizen Trust (Zen)</t>
  </si>
  <si>
    <t>hubc</t>
  </si>
  <si>
    <t>Hub Cyber Security Ltd</t>
  </si>
  <si>
    <t>kuke</t>
  </si>
  <si>
    <t>Kuke Music Holding Ltd - ADR</t>
  </si>
  <si>
    <t>sieb</t>
  </si>
  <si>
    <t>Siebert Financial Corp</t>
  </si>
  <si>
    <t>seer</t>
  </si>
  <si>
    <t>Seer Inc</t>
  </si>
  <si>
    <t>mhld</t>
  </si>
  <si>
    <t>Maiden Holdings Ltd</t>
  </si>
  <si>
    <t>sst</t>
  </si>
  <si>
    <t>System1 Inc</t>
  </si>
  <si>
    <t>lx</t>
  </si>
  <si>
    <t>LexinFintech Holdings Ltd - ADR</t>
  </si>
  <si>
    <t>0.10</t>
  </si>
  <si>
    <t>modd</t>
  </si>
  <si>
    <t>Modular Medical Inc</t>
  </si>
  <si>
    <t>lvtx</t>
  </si>
  <si>
    <t>LAVA Therapeutics NV</t>
  </si>
  <si>
    <t>cif</t>
  </si>
  <si>
    <t>MFS Intermediate High Income Fund Common Stock</t>
  </si>
  <si>
    <t>0.15</t>
  </si>
  <si>
    <t>carv</t>
  </si>
  <si>
    <t>Carver Bancorp Inc</t>
  </si>
  <si>
    <t>eldn</t>
  </si>
  <si>
    <t>Eledon Pharmaceuticals Inc</t>
  </si>
  <si>
    <t>xair</t>
  </si>
  <si>
    <t>Beyond Air Inc</t>
  </si>
  <si>
    <t>dghi</t>
  </si>
  <si>
    <t>Digihost Technology Inc</t>
  </si>
  <si>
    <t>egfef</t>
  </si>
  <si>
    <t>Eurobank Ergasias Services and Hldngs SA</t>
  </si>
  <si>
    <t>aht</t>
  </si>
  <si>
    <t>Ashford Hospitality Trust, Inc.</t>
  </si>
  <si>
    <t>lexx</t>
  </si>
  <si>
    <t>Lexaria Bioscience Corp</t>
  </si>
  <si>
    <t>idn</t>
  </si>
  <si>
    <t>Intellicheck Inc</t>
  </si>
  <si>
    <t>awre</t>
  </si>
  <si>
    <t>Aware Inc</t>
  </si>
  <si>
    <t>aadi</t>
  </si>
  <si>
    <t>Aadi Bioscience Inc</t>
  </si>
  <si>
    <t>spce</t>
  </si>
  <si>
    <t>Virgin Galactic Holdings Inc</t>
  </si>
  <si>
    <t>imrn</t>
  </si>
  <si>
    <t>Immuron ADR</t>
  </si>
  <si>
    <t>vadp</t>
  </si>
  <si>
    <t>Vado Corp</t>
  </si>
  <si>
    <t>voni</t>
  </si>
  <si>
    <t>Veroni Brands Corp</t>
  </si>
  <si>
    <t>ayro</t>
  </si>
  <si>
    <t>AYRO Inc</t>
  </si>
  <si>
    <t>aezs</t>
  </si>
  <si>
    <t>AEterna Zentaris Inc.</t>
  </si>
  <si>
    <t>ubx</t>
  </si>
  <si>
    <t>Unity Biotechnology Inc</t>
  </si>
  <si>
    <t>life</t>
  </si>
  <si>
    <t>aTyr Pharma Inc</t>
  </si>
  <si>
    <t>galt</t>
  </si>
  <si>
    <t>Galectin Therapeutics Inc. Common Stock</t>
  </si>
  <si>
    <t>albkf</t>
  </si>
  <si>
    <t>dss</t>
  </si>
  <si>
    <t>DSS Inc</t>
  </si>
  <si>
    <t>dwsn</t>
  </si>
  <si>
    <t>Dawson Geophysical Co</t>
  </si>
  <si>
    <t>snd</t>
  </si>
  <si>
    <t>Smart Sand Inc</t>
  </si>
  <si>
    <t>meso</t>
  </si>
  <si>
    <t>atai</t>
  </si>
  <si>
    <t>ATAI Life Sciences NV</t>
  </si>
  <si>
    <t>lev</t>
  </si>
  <si>
    <t>Lion Electric Co</t>
  </si>
  <si>
    <t>nuze</t>
  </si>
  <si>
    <t>NuZee Inc</t>
  </si>
  <si>
    <t>cyto</t>
  </si>
  <si>
    <t>Altamira Therapeutics Ltd</t>
  </si>
  <si>
    <t>pulm</t>
  </si>
  <si>
    <t>Pulmatrix Inc</t>
  </si>
  <si>
    <t>pmvp</t>
  </si>
  <si>
    <t>PMV Pharmaceuticals Inc</t>
  </si>
  <si>
    <t>wulf</t>
  </si>
  <si>
    <t>Terawulf Inc</t>
  </si>
  <si>
    <t>grov</t>
  </si>
  <si>
    <t>Grove Collaborative Holdings Inc</t>
  </si>
  <si>
    <t>hiti</t>
  </si>
  <si>
    <t>High Tide Inc</t>
  </si>
  <si>
    <t>lyel</t>
  </si>
  <si>
    <t>Lyell Immunopharma Inc</t>
  </si>
  <si>
    <t>psny</t>
  </si>
  <si>
    <t>Polestar Automotive Holding Uk Plc</t>
  </si>
  <si>
    <t>mdvl</t>
  </si>
  <si>
    <t>Medavail Holdings Inc</t>
  </si>
  <si>
    <t>aemd</t>
  </si>
  <si>
    <t>Aethlon Medical, Inc.</t>
  </si>
  <si>
    <t>icct</t>
  </si>
  <si>
    <t>iCoreConnect Inc</t>
  </si>
  <si>
    <t>dynr</t>
  </si>
  <si>
    <t>Dynaresource Inc</t>
  </si>
  <si>
    <t>glxz</t>
  </si>
  <si>
    <t>Galaxy Gaming Inc</t>
  </si>
  <si>
    <t>pyyx</t>
  </si>
  <si>
    <t>Pyxus International Inc</t>
  </si>
  <si>
    <t>drio</t>
  </si>
  <si>
    <t>DarioHealth Corp</t>
  </si>
  <si>
    <t>crnzf</t>
  </si>
  <si>
    <t>Capricorn Energy PLC</t>
  </si>
  <si>
    <t>alto</t>
  </si>
  <si>
    <t>Alto Ingredients Inc</t>
  </si>
  <si>
    <t>imab</t>
  </si>
  <si>
    <t>I-Mab ADR</t>
  </si>
  <si>
    <t>eyen</t>
  </si>
  <si>
    <t>Eyenovia Inc</t>
  </si>
  <si>
    <t>nlst</t>
  </si>
  <si>
    <t>Netlist Inc</t>
  </si>
  <si>
    <t>tuya</t>
  </si>
  <si>
    <t>Tuya Inc</t>
  </si>
  <si>
    <t>rlx</t>
  </si>
  <si>
    <t>RLX Technology Inc - ADR</t>
  </si>
  <si>
    <t>ampe</t>
  </si>
  <si>
    <t>Ampio Pharmaceuticals Inc</t>
  </si>
  <si>
    <t>dada</t>
  </si>
  <si>
    <t>Dada Nexus Ltd - ADR</t>
  </si>
  <si>
    <t>rfl</t>
  </si>
  <si>
    <t>Rafael Holdings Inc</t>
  </si>
  <si>
    <t>iobt</t>
  </si>
  <si>
    <t>IO Biotech Inc</t>
  </si>
  <si>
    <t>real</t>
  </si>
  <si>
    <t>RealReal Inc</t>
  </si>
  <si>
    <t>ogi</t>
  </si>
  <si>
    <t>OrganiGram Holdings Inc</t>
  </si>
  <si>
    <t>aerg</t>
  </si>
  <si>
    <t>Applied Energetics, Inc.</t>
  </si>
  <si>
    <t>gern</t>
  </si>
  <si>
    <t>Geron Corp</t>
  </si>
  <si>
    <t>gbio</t>
  </si>
  <si>
    <t>Generation Bio Co</t>
  </si>
  <si>
    <t>sxtc</t>
  </si>
  <si>
    <t>China SXT Pharmaceuticals Inc</t>
  </si>
  <si>
    <t>pshg</t>
  </si>
  <si>
    <t>Performance Shipping Inc</t>
  </si>
  <si>
    <t>fbio</t>
  </si>
  <si>
    <t>Fortress Biotech Inc</t>
  </si>
  <si>
    <t>bctxw</t>
  </si>
  <si>
    <t>BRIACELL THERAPEUTICS</t>
  </si>
  <si>
    <t>voxr</t>
  </si>
  <si>
    <t>Vox Royalty Corp</t>
  </si>
  <si>
    <t>slncf</t>
  </si>
  <si>
    <t>Silence Therapeutics plc</t>
  </si>
  <si>
    <t>bclyf</t>
  </si>
  <si>
    <t>Barclays PLC</t>
  </si>
  <si>
    <t>cvt</t>
  </si>
  <si>
    <t>Comvita Ltd</t>
  </si>
  <si>
    <t>fsi</t>
  </si>
  <si>
    <t>Flexible Solutions International Inc</t>
  </si>
  <si>
    <t>geg</t>
  </si>
  <si>
    <t>Great Elm Group Inc</t>
  </si>
  <si>
    <t>ugro</t>
  </si>
  <si>
    <t>urban-gro Inc</t>
  </si>
  <si>
    <t>eeiq</t>
  </si>
  <si>
    <t>EpicQuest Education Group Internatnl Ltd</t>
  </si>
  <si>
    <t>ipa</t>
  </si>
  <si>
    <t>Immunoprecise Antibodies Ltd</t>
  </si>
  <si>
    <t>cyth</t>
  </si>
  <si>
    <t>Cyclo Therapeutics Inc</t>
  </si>
  <si>
    <t>allt</t>
  </si>
  <si>
    <t>Allot Ltd</t>
  </si>
  <si>
    <t>khdhf</t>
  </si>
  <si>
    <t>KHD Humboldt Wedag International AG</t>
  </si>
  <si>
    <t>zen</t>
  </si>
  <si>
    <t>tlry</t>
  </si>
  <si>
    <t>Tilray Brands Inc</t>
  </si>
  <si>
    <t>educ</t>
  </si>
  <si>
    <t>Educational Development Corp</t>
  </si>
  <si>
    <t>astr</t>
  </si>
  <si>
    <t>Astra Space Inc</t>
  </si>
  <si>
    <t>cclp</t>
  </si>
  <si>
    <t>CSI Compressco LP</t>
  </si>
  <si>
    <t>jwel</t>
  </si>
  <si>
    <t>Jowell Global Ltd</t>
  </si>
  <si>
    <t>vyne</t>
  </si>
  <si>
    <t>Vyne Therapeutics Inc</t>
  </si>
  <si>
    <t>brsyf</t>
  </si>
  <si>
    <t>Brainsway Ltd</t>
  </si>
  <si>
    <t>smm</t>
  </si>
  <si>
    <t>Sumitomo Chemical Co Ltd</t>
  </si>
  <si>
    <t>pme</t>
  </si>
  <si>
    <t>Sentry Select Primary Metals Corp</t>
  </si>
  <si>
    <t>prfx</t>
  </si>
  <si>
    <t>PainReform Ltd</t>
  </si>
  <si>
    <t>cleu</t>
  </si>
  <si>
    <t>China Liberal Education Holdings Ltd</t>
  </si>
  <si>
    <t>ckpt</t>
  </si>
  <si>
    <t>Checkpoint Therapeutics Inc</t>
  </si>
  <si>
    <t>beat</t>
  </si>
  <si>
    <t>Heartbeam Inc</t>
  </si>
  <si>
    <t>frge</t>
  </si>
  <si>
    <t>Forge Global Holdings Inc</t>
  </si>
  <si>
    <t>tc</t>
  </si>
  <si>
    <t>TuanChe Ltd</t>
  </si>
  <si>
    <t>shpw</t>
  </si>
  <si>
    <t>Shapeways Holdings Inc</t>
  </si>
  <si>
    <t>bqst</t>
  </si>
  <si>
    <t>Bioquest Corp</t>
  </si>
  <si>
    <t>yq</t>
  </si>
  <si>
    <t>17 Education &amp; Technology Group Inc</t>
  </si>
  <si>
    <t>any</t>
  </si>
  <si>
    <t>Sphere 3D Corp</t>
  </si>
  <si>
    <t>rgbp</t>
  </si>
  <si>
    <t>Regen BioPharma Inc</t>
  </si>
  <si>
    <t>ltry</t>
  </si>
  <si>
    <t>Lottery.com Inc</t>
  </si>
  <si>
    <t>cers</t>
  </si>
  <si>
    <t>Cerus Corp</t>
  </si>
  <si>
    <t>gene</t>
  </si>
  <si>
    <t>Genetic Technologies Limited</t>
  </si>
  <si>
    <t>pstv</t>
  </si>
  <si>
    <t>Plus Therapeutics Inc</t>
  </si>
  <si>
    <t>lgo</t>
  </si>
  <si>
    <t>Largo Inc</t>
  </si>
  <si>
    <t>igldf</t>
  </si>
  <si>
    <t>Internet Gold Golden Lines Ltd</t>
  </si>
  <si>
    <t>reed</t>
  </si>
  <si>
    <t>Reed'S Inc</t>
  </si>
  <si>
    <t>tdup</t>
  </si>
  <si>
    <t>ThredUp Inc</t>
  </si>
  <si>
    <t>dhy</t>
  </si>
  <si>
    <t>Credit Suisse High Yield Bond Fund</t>
  </si>
  <si>
    <t>0.19</t>
  </si>
  <si>
    <t>suic</t>
  </si>
  <si>
    <t>Suic Worldwide Holdings Ltd</t>
  </si>
  <si>
    <t>rave</t>
  </si>
  <si>
    <t>Rave Restaurant Group Inc</t>
  </si>
  <si>
    <t>rlftf</t>
  </si>
  <si>
    <t>RELIEF THERAPEUTICS Holding SA</t>
  </si>
  <si>
    <t>pmec</t>
  </si>
  <si>
    <t>Primech Holdings Ltd</t>
  </si>
  <si>
    <t>lanv</t>
  </si>
  <si>
    <t>Lanvin Group Holdings Ltd</t>
  </si>
  <si>
    <t>chpt</t>
  </si>
  <si>
    <t>ChargePoint Holdings Inc</t>
  </si>
  <si>
    <t>vicp</t>
  </si>
  <si>
    <t>Vicapsys Life Sciences Ord Shs</t>
  </si>
  <si>
    <t>scnd</t>
  </si>
  <si>
    <t>Scientific Industries Inc</t>
  </si>
  <si>
    <t>sgic</t>
  </si>
  <si>
    <t>Strategic Realty Trust Inc</t>
  </si>
  <si>
    <t>apto</t>
  </si>
  <si>
    <t>Aptose Biosciences Inc</t>
  </si>
  <si>
    <t>rdi</t>
  </si>
  <si>
    <t>Reading International Inc Class A</t>
  </si>
  <si>
    <t>pet</t>
  </si>
  <si>
    <t>Wag! Group Co</t>
  </si>
  <si>
    <t>tjbh</t>
  </si>
  <si>
    <t>Tengjun Biotechnology Corp</t>
  </si>
  <si>
    <t>txcb</t>
  </si>
  <si>
    <t>Cang Bao Tian Xia Int Art Trade Cntr Inc</t>
  </si>
  <si>
    <t>hcti</t>
  </si>
  <si>
    <t>Healthcare Triangle Inc</t>
  </si>
  <si>
    <t>hlp</t>
  </si>
  <si>
    <t>Hongli Group Inc</t>
  </si>
  <si>
    <t>hymc</t>
  </si>
  <si>
    <t>oss</t>
  </si>
  <si>
    <t>One Stop Systems Inc</t>
  </si>
  <si>
    <t>bfnh</t>
  </si>
  <si>
    <t>BioForce Nanosciences Holdings Inc</t>
  </si>
  <si>
    <t>urg</t>
  </si>
  <si>
    <t>Ur-Energy Inc.</t>
  </si>
  <si>
    <t>hnra</t>
  </si>
  <si>
    <t>HNR Acquisition Corp</t>
  </si>
  <si>
    <t>wewa</t>
  </si>
  <si>
    <t>Wewards Inc</t>
  </si>
  <si>
    <t>cpix</t>
  </si>
  <si>
    <t>Cumberland Pharmaceuticals, Inc.</t>
  </si>
  <si>
    <t>pxlw</t>
  </si>
  <si>
    <t>Pixelworks, Inc.</t>
  </si>
  <si>
    <t>pavm</t>
  </si>
  <si>
    <t>sypr</t>
  </si>
  <si>
    <t>Sypris Solutions Inc</t>
  </si>
  <si>
    <t>lixt</t>
  </si>
  <si>
    <t>wafu</t>
  </si>
  <si>
    <t>Wah Fu Education Group Ltd</t>
  </si>
  <si>
    <t>mogu</t>
  </si>
  <si>
    <t>Mogu Inc - ADR</t>
  </si>
  <si>
    <t>izea</t>
  </si>
  <si>
    <t>IZEA Worldwide Inc</t>
  </si>
  <si>
    <t>figi</t>
  </si>
  <si>
    <t>Freedom Internet Group Inc</t>
  </si>
  <si>
    <t>icd</t>
  </si>
  <si>
    <t>Independence Contract Drilling Inc</t>
  </si>
  <si>
    <t>evtv</t>
  </si>
  <si>
    <t>Envirotech Vehicles Inc</t>
  </si>
  <si>
    <t>lvlu</t>
  </si>
  <si>
    <t>Lulu's Fashion Lounge Holdings Inc</t>
  </si>
  <si>
    <t>hrbr</t>
  </si>
  <si>
    <t>Harbor Diversified Inc</t>
  </si>
  <si>
    <t>nmg</t>
  </si>
  <si>
    <t>Nouveau Monde Graphite Inc</t>
  </si>
  <si>
    <t>chrs</t>
  </si>
  <si>
    <t>Coherus Biosciences Inc</t>
  </si>
  <si>
    <t>btbd</t>
  </si>
  <si>
    <t>BT Brands Inc</t>
  </si>
  <si>
    <t>pmn</t>
  </si>
  <si>
    <t>Promis Neurosciences Inc</t>
  </si>
  <si>
    <t>cmcm</t>
  </si>
  <si>
    <t>Cheetah Mobile Inc</t>
  </si>
  <si>
    <t>athe</t>
  </si>
  <si>
    <t>Alterity Therapeutics Ltd</t>
  </si>
  <si>
    <t>canf</t>
  </si>
  <si>
    <t>Can Fite Biopharma ADR Representing 300 Ord Shs</t>
  </si>
  <si>
    <t>mndo</t>
  </si>
  <si>
    <t>Mind CTI Ltd</t>
  </si>
  <si>
    <t>rbtk</t>
  </si>
  <si>
    <t>Zhen Ding Resources Inc</t>
  </si>
  <si>
    <t>rhe</t>
  </si>
  <si>
    <t>Regional Health Properties Inc</t>
  </si>
  <si>
    <t>cron</t>
  </si>
  <si>
    <t>Cronos Group Inc</t>
  </si>
  <si>
    <t>dhx</t>
  </si>
  <si>
    <t>DHI Group Inc</t>
  </si>
  <si>
    <t>dc</t>
  </si>
  <si>
    <t>Dakota Gold Corp</t>
  </si>
  <si>
    <t>ggr</t>
  </si>
  <si>
    <t>Gogoro Inc</t>
  </si>
  <si>
    <t>dnn</t>
  </si>
  <si>
    <t>Denison Mines Corp</t>
  </si>
  <si>
    <t>hiho</t>
  </si>
  <si>
    <t>Highway Holdings Limited</t>
  </si>
  <si>
    <t>locl</t>
  </si>
  <si>
    <t>Local Bounti Corp</t>
  </si>
  <si>
    <t>psix</t>
  </si>
  <si>
    <t>Power Solutions International Inc</t>
  </si>
  <si>
    <t>crvs</t>
  </si>
  <si>
    <t>Corvus Pharmaceuticals Inc</t>
  </si>
  <si>
    <t>slfpf</t>
  </si>
  <si>
    <t>Abrdn PLC</t>
  </si>
  <si>
    <t>nvfy</t>
  </si>
  <si>
    <t>Nova Lifestyle Inc</t>
  </si>
  <si>
    <t>drug</t>
  </si>
  <si>
    <t>Bright Minds Biosciences Inc</t>
  </si>
  <si>
    <t>xgn</t>
  </si>
  <si>
    <t>Exagen Inc</t>
  </si>
  <si>
    <t>immp</t>
  </si>
  <si>
    <t>Immutep ADS Representing 10 Ord Shs</t>
  </si>
  <si>
    <t>lyg</t>
  </si>
  <si>
    <t>back</t>
  </si>
  <si>
    <t>IMAC Holdings Inc</t>
  </si>
  <si>
    <t>dgly</t>
  </si>
  <si>
    <t>Digital Ally Inc</t>
  </si>
  <si>
    <t>apcx</t>
  </si>
  <si>
    <t>AppTech Payments Corp</t>
  </si>
  <si>
    <t>gsit</t>
  </si>
  <si>
    <t>GSI Technology, Inc.</t>
  </si>
  <si>
    <t>bdsx</t>
  </si>
  <si>
    <t>Biodesix Inc</t>
  </si>
  <si>
    <t>evgo</t>
  </si>
  <si>
    <t>Evgo Inc</t>
  </si>
  <si>
    <t>artw</t>
  </si>
  <si>
    <t>Art's Way Manufacturing Co Inc</t>
  </si>
  <si>
    <t>chek</t>
  </si>
  <si>
    <t>Check Cap Ltd</t>
  </si>
  <si>
    <t>xela</t>
  </si>
  <si>
    <t>Exela Technologies Inc</t>
  </si>
  <si>
    <t>bmtx</t>
  </si>
  <si>
    <t>Bm Technologies Inc</t>
  </si>
  <si>
    <t>prqr</t>
  </si>
  <si>
    <t>ProQR Therapeutics NV</t>
  </si>
  <si>
    <t>cook</t>
  </si>
  <si>
    <t>Traeger Inc</t>
  </si>
  <si>
    <t>lxrx</t>
  </si>
  <si>
    <t>Lexicon Pharmaceuticals Inc</t>
  </si>
  <si>
    <t>ellky</t>
  </si>
  <si>
    <t>Ellaktor ADR</t>
  </si>
  <si>
    <t>ekso</t>
  </si>
  <si>
    <t>Ekso Bionics Holdings Inc</t>
  </si>
  <si>
    <t>scyx</t>
  </si>
  <si>
    <t>SCYNEXIS Inc</t>
  </si>
  <si>
    <t>krmd</t>
  </si>
  <si>
    <t>KORU Medical Systems Inc</t>
  </si>
  <si>
    <t>bzun</t>
  </si>
  <si>
    <t>Baozun Inc</t>
  </si>
  <si>
    <t>toi</t>
  </si>
  <si>
    <t>Oncology Institute Inc</t>
  </si>
  <si>
    <t>doug</t>
  </si>
  <si>
    <t>Douglas Elliman Inc</t>
  </si>
  <si>
    <t>wkey</t>
  </si>
  <si>
    <t>Wisekey International Holding AG - ADR</t>
  </si>
  <si>
    <t>lifd</t>
  </si>
  <si>
    <t>LFTD Partners Inc</t>
  </si>
  <si>
    <t>bcab</t>
  </si>
  <si>
    <t>Bioatla Inc</t>
  </si>
  <si>
    <t>ihrtb</t>
  </si>
  <si>
    <t>IHEARTMEDIA Ord Shs</t>
  </si>
  <si>
    <t>lnngf</t>
  </si>
  <si>
    <t>Li Ning Co Ltd</t>
  </si>
  <si>
    <t>zcsh</t>
  </si>
  <si>
    <t>Grayscale Zcash Trust (ZEC)</t>
  </si>
  <si>
    <t>mgr</t>
  </si>
  <si>
    <t>Mirvac Group</t>
  </si>
  <si>
    <t>qd</t>
  </si>
  <si>
    <t>Qudian Inc</t>
  </si>
  <si>
    <t>stxs</t>
  </si>
  <si>
    <t>Stereotaxis Inc</t>
  </si>
  <si>
    <t>awx</t>
  </si>
  <si>
    <t>Avalon Holdings Corp</t>
  </si>
  <si>
    <t>tikk</t>
  </si>
  <si>
    <t>Tel-Instrument Electronics Corp</t>
  </si>
  <si>
    <t>ntip</t>
  </si>
  <si>
    <t>Network-1 Technologies Inc</t>
  </si>
  <si>
    <t>espr</t>
  </si>
  <si>
    <t>Esperion Therapeutics Inc</t>
  </si>
  <si>
    <t>vs</t>
  </si>
  <si>
    <t>Versus Systems Inc</t>
  </si>
  <si>
    <t>ampg</t>
  </si>
  <si>
    <t>Amplitech Group Inc</t>
  </si>
  <si>
    <t>atus</t>
  </si>
  <si>
    <t>Altice USA Inc</t>
  </si>
  <si>
    <t>bds</t>
  </si>
  <si>
    <t>Banco De Sabadell ADR</t>
  </si>
  <si>
    <t>myps</t>
  </si>
  <si>
    <t>Playstudios Inc</t>
  </si>
  <si>
    <t>dtss</t>
  </si>
  <si>
    <t>Datasea Inc</t>
  </si>
  <si>
    <t>xrtx</t>
  </si>
  <si>
    <t>XORTX Therapeutics Inc</t>
  </si>
  <si>
    <t>tcrt</t>
  </si>
  <si>
    <t>Alaunos Therapeutics Inc</t>
  </si>
  <si>
    <t>vor</t>
  </si>
  <si>
    <t>Vor Biopharma Inc</t>
  </si>
  <si>
    <t>mond</t>
  </si>
  <si>
    <t>Mondee Holdings Inc</t>
  </si>
  <si>
    <t>poww</t>
  </si>
  <si>
    <t>Ammo Inc</t>
  </si>
  <si>
    <t>cycc</t>
  </si>
  <si>
    <t>Cyclacel Pharmaceuticals Inc</t>
  </si>
  <si>
    <t>pmcb</t>
  </si>
  <si>
    <t>Pharmacyte Biotech Inc</t>
  </si>
  <si>
    <t>ih</t>
  </si>
  <si>
    <t>iHuman Inc - ADR</t>
  </si>
  <si>
    <t>glbs</t>
  </si>
  <si>
    <t>Globus Maritime Ltd</t>
  </si>
  <si>
    <t>comm</t>
  </si>
  <si>
    <t>Commscope Holding Company Inc</t>
  </si>
  <si>
    <t>bitf</t>
  </si>
  <si>
    <t>Bitfarms Ltd</t>
  </si>
  <si>
    <t>pl</t>
  </si>
  <si>
    <t>Planet Labs PBC</t>
  </si>
  <si>
    <t>ntwk</t>
  </si>
  <si>
    <t>NetSol Technologies Inc.</t>
  </si>
  <si>
    <t>nine</t>
  </si>
  <si>
    <t>Nine Energy Service Inc</t>
  </si>
  <si>
    <t>mmlp</t>
  </si>
  <si>
    <t>Martin Midstream Partners LP</t>
  </si>
  <si>
    <t>irdef</t>
  </si>
  <si>
    <t>Iren SpA</t>
  </si>
  <si>
    <t>cig</t>
  </si>
  <si>
    <t>Companhia Energetica Minas Gerais ADR Repstg One Pref Shs</t>
  </si>
  <si>
    <t>bcov</t>
  </si>
  <si>
    <t>Brightcove Inc</t>
  </si>
  <si>
    <t>vln</t>
  </si>
  <si>
    <t>Valens Semiconductor Ltd</t>
  </si>
  <si>
    <t>rlfty</t>
  </si>
  <si>
    <t>RELIEF THERAPEUTICS HLDG ADR</t>
  </si>
  <si>
    <t>txmd</t>
  </si>
  <si>
    <t>TherapeuticsMD Inc</t>
  </si>
  <si>
    <t>best</t>
  </si>
  <si>
    <t>BEST Inc</t>
  </si>
  <si>
    <t>gif</t>
  </si>
  <si>
    <t>Gulf Investment Fund PLC</t>
  </si>
  <si>
    <t>gdev</t>
  </si>
  <si>
    <t>GDEV Inc.</t>
  </si>
  <si>
    <t>mktw</t>
  </si>
  <si>
    <t>MarketWise Inc</t>
  </si>
  <si>
    <t>ll</t>
  </si>
  <si>
    <t>Ll Flooring Holdings Inc</t>
  </si>
  <si>
    <t>bhr</t>
  </si>
  <si>
    <t>Braemar Hotels &amp; Resorts</t>
  </si>
  <si>
    <t>0.20</t>
  </si>
  <si>
    <t>cgtx</t>
  </si>
  <si>
    <t>Cognition Therapeutics Inc</t>
  </si>
  <si>
    <t>mttr</t>
  </si>
  <si>
    <t>Matterport Inc</t>
  </si>
  <si>
    <t>cano</t>
  </si>
  <si>
    <t>Cano Health Inc</t>
  </si>
  <si>
    <t>migi</t>
  </si>
  <si>
    <t>Mawson Infrastructure Group Inc</t>
  </si>
  <si>
    <t>vtyx</t>
  </si>
  <si>
    <t>Ventyx Biosciences Inc</t>
  </si>
  <si>
    <t>dswl</t>
  </si>
  <si>
    <t>Deswell Industries, Inc.</t>
  </si>
  <si>
    <t>perf</t>
  </si>
  <si>
    <t>Perfect Corp</t>
  </si>
  <si>
    <t>dhf</t>
  </si>
  <si>
    <t>Dreyfus High Yield Strategies Fund Common Stock</t>
  </si>
  <si>
    <t>0.18</t>
  </si>
  <si>
    <t>ipdn</t>
  </si>
  <si>
    <t>Professional Diversity Network Inc</t>
  </si>
  <si>
    <t>kbsr</t>
  </si>
  <si>
    <t>KBS Real Estate Investment Trust III Inc</t>
  </si>
  <si>
    <t>ogen</t>
  </si>
  <si>
    <t>Oragenics Inc</t>
  </si>
  <si>
    <t>uxin</t>
  </si>
  <si>
    <t>Uxin Ltd</t>
  </si>
  <si>
    <t>crmz</t>
  </si>
  <si>
    <t>CreditRiskMonitor.Com Inc</t>
  </si>
  <si>
    <t>insg</t>
  </si>
  <si>
    <t>Inseego Corp</t>
  </si>
  <si>
    <t>prch</t>
  </si>
  <si>
    <t>Porch Group Inc</t>
  </si>
  <si>
    <t>uk</t>
  </si>
  <si>
    <t>kopn</t>
  </si>
  <si>
    <t>Kopin Corp</t>
  </si>
  <si>
    <t>op</t>
  </si>
  <si>
    <t>OceanPal Inc</t>
  </si>
  <si>
    <t>catn</t>
  </si>
  <si>
    <t>CAT9 Group Inc</t>
  </si>
  <si>
    <t>ocft</t>
  </si>
  <si>
    <t>OneConnect Financial Tchnlgy Co Ltd</t>
  </si>
  <si>
    <t>olpx</t>
  </si>
  <si>
    <t>Olaplex Holdings Inc</t>
  </si>
  <si>
    <t>cnf</t>
  </si>
  <si>
    <t>CNFinance Holdings Ltd - ADR</t>
  </si>
  <si>
    <t>lft</t>
  </si>
  <si>
    <t>Lument Finance Trust Inc</t>
  </si>
  <si>
    <t>svm</t>
  </si>
  <si>
    <t>Silvercorp Metals Inc</t>
  </si>
  <si>
    <t>acon</t>
  </si>
  <si>
    <t>Aclarion Inc</t>
  </si>
  <si>
    <t>fngr</t>
  </si>
  <si>
    <t>FingerMotion Inc</t>
  </si>
  <si>
    <t>dsgn</t>
  </si>
  <si>
    <t>Design Therapeutics Inc</t>
  </si>
  <si>
    <t>abus</t>
  </si>
  <si>
    <t>Arbutus Biopharma Corp</t>
  </si>
  <si>
    <t>westw</t>
  </si>
  <si>
    <t>Westrock Coffee Company Warrants</t>
  </si>
  <si>
    <t>gci</t>
  </si>
  <si>
    <t>Gannett Co Inc</t>
  </si>
  <si>
    <t>lu</t>
  </si>
  <si>
    <t>Lufax Holding Ltd - ADR</t>
  </si>
  <si>
    <t>0.14</t>
  </si>
  <si>
    <t>acst</t>
  </si>
  <si>
    <t>Acasti Pharma Inc</t>
  </si>
  <si>
    <t>cpsh</t>
  </si>
  <si>
    <t>CPS Technologies Corporation</t>
  </si>
  <si>
    <t>tmll</t>
  </si>
  <si>
    <t>Tele Group Corp</t>
  </si>
  <si>
    <t>brog</t>
  </si>
  <si>
    <t>Brooge Energy Ltd</t>
  </si>
  <si>
    <t>hrtx</t>
  </si>
  <si>
    <t>Heron Therapeutics Inc</t>
  </si>
  <si>
    <t>bwen</t>
  </si>
  <si>
    <t>Broadwind Inc</t>
  </si>
  <si>
    <t>angi</t>
  </si>
  <si>
    <t>Angi Inc</t>
  </si>
  <si>
    <t>lctc</t>
  </si>
  <si>
    <t>Lifeloc Technologies Inc</t>
  </si>
  <si>
    <t>sntg</t>
  </si>
  <si>
    <t>Sentage Holdings Inc</t>
  </si>
  <si>
    <t>upc</t>
  </si>
  <si>
    <t>Universe Pharmaceuticals Inc</t>
  </si>
  <si>
    <t>knte</t>
  </si>
  <si>
    <t>Kinnate Biopharma Inc</t>
  </si>
  <si>
    <t>blnk</t>
  </si>
  <si>
    <t>Blink Charging Co</t>
  </si>
  <si>
    <t>pcsa</t>
  </si>
  <si>
    <t>Processa Pharmaceuticals Inc</t>
  </si>
  <si>
    <t>crnt</t>
  </si>
  <si>
    <t>Ceragon Networks Ltd</t>
  </si>
  <si>
    <t>odv</t>
  </si>
  <si>
    <t>Osisko Development Corp</t>
  </si>
  <si>
    <t>lab</t>
  </si>
  <si>
    <t>Standard Biotools Inc</t>
  </si>
  <si>
    <t>mvis</t>
  </si>
  <si>
    <t>Microvision Inc</t>
  </si>
  <si>
    <t>cue</t>
  </si>
  <si>
    <t>Cue Biopharma Inc</t>
  </si>
  <si>
    <t>wavd</t>
  </si>
  <si>
    <t>Wavedancer Inc</t>
  </si>
  <si>
    <t>aray</t>
  </si>
  <si>
    <t>Accuray Inc</t>
  </si>
  <si>
    <t>xers</t>
  </si>
  <si>
    <t>Xeris Biopharma Holdings Inc</t>
  </si>
  <si>
    <t>talk</t>
  </si>
  <si>
    <t>Talkspace Inc</t>
  </si>
  <si>
    <t>fsp</t>
  </si>
  <si>
    <t>Franklin Street Properties Corp</t>
  </si>
  <si>
    <t>imte</t>
  </si>
  <si>
    <t>Integrated Media Technology Ltd</t>
  </si>
  <si>
    <t>anvi</t>
  </si>
  <si>
    <t>Anvi Global Holdings Inc</t>
  </si>
  <si>
    <t>cga</t>
  </si>
  <si>
    <t>China Green Agriculture, Inc</t>
  </si>
  <si>
    <t>wetg</t>
  </si>
  <si>
    <t>WeTrade Group Inc</t>
  </si>
  <si>
    <t>gtim</t>
  </si>
  <si>
    <t>Good Times Restaurants Inc.</t>
  </si>
  <si>
    <t>nndm</t>
  </si>
  <si>
    <t>Nano Dimension Ltd - ADR</t>
  </si>
  <si>
    <t>iag</t>
  </si>
  <si>
    <t>Iamgold Corp</t>
  </si>
  <si>
    <t>auvi</t>
  </si>
  <si>
    <t>Applied UV Inc</t>
  </si>
  <si>
    <t>alpau</t>
  </si>
  <si>
    <t>Paulic Meunerie SA</t>
  </si>
  <si>
    <t>ndls</t>
  </si>
  <si>
    <t>Noodles &amp; Co</t>
  </si>
  <si>
    <t>woof</t>
  </si>
  <si>
    <t>Petco Health and Wellness Company Inc</t>
  </si>
  <si>
    <t>aktx</t>
  </si>
  <si>
    <t>Akari Therapeutics PLC</t>
  </si>
  <si>
    <t>nwpp</t>
  </si>
  <si>
    <t>New Peoples Bankshares Inc</t>
  </si>
  <si>
    <t>ng</t>
  </si>
  <si>
    <t>NovaGold Resources Inc</t>
  </si>
  <si>
    <t>brn</t>
  </si>
  <si>
    <t>Barnwell Industries Inc</t>
  </si>
  <si>
    <t>dbgi</t>
  </si>
  <si>
    <t>Digital Brands Group Inc</t>
  </si>
  <si>
    <t>msgm</t>
  </si>
  <si>
    <t>Motorsport Games Inc</t>
  </si>
  <si>
    <t>argc</t>
  </si>
  <si>
    <t>Arion Group Corp</t>
  </si>
  <si>
    <t>indo</t>
  </si>
  <si>
    <t>Indonesia Energy Corp Ltd</t>
  </si>
  <si>
    <t>jfu</t>
  </si>
  <si>
    <t>9F Inc - ADR</t>
  </si>
  <si>
    <t>ipha</t>
  </si>
  <si>
    <t>Innate Pharma SA</t>
  </si>
  <si>
    <t>swim</t>
  </si>
  <si>
    <t>Latham Group Inc</t>
  </si>
  <si>
    <t>trvg</t>
  </si>
  <si>
    <t>Trivago NV - ADR</t>
  </si>
  <si>
    <t>cfoo</t>
  </si>
  <si>
    <t>China Foods Holdings Ltd</t>
  </si>
  <si>
    <t>bimi</t>
  </si>
  <si>
    <t>BIMI Holdings Inc</t>
  </si>
  <si>
    <t>int</t>
  </si>
  <si>
    <t>Intermonte Partners Sim SpA</t>
  </si>
  <si>
    <t>axti</t>
  </si>
  <si>
    <t>AXT Inc</t>
  </si>
  <si>
    <t>avah</t>
  </si>
  <si>
    <t>Aveanna Healthcare Holdings Inc</t>
  </si>
  <si>
    <t>hrst</t>
  </si>
  <si>
    <t>Harvest Oil &amp; Gas Corp</t>
  </si>
  <si>
    <t>ikt</t>
  </si>
  <si>
    <t>Inhibikase Therapeutics Inc</t>
  </si>
  <si>
    <t>mulg</t>
  </si>
  <si>
    <t>Muliang Viagoo Technology Inc</t>
  </si>
  <si>
    <t>myte</t>
  </si>
  <si>
    <t>MYT Netherlands Parent BV-ADR</t>
  </si>
  <si>
    <t>bbmpy</t>
  </si>
  <si>
    <t>BBMG ADR</t>
  </si>
  <si>
    <t>aqb</t>
  </si>
  <si>
    <t>Aquabounty Technologies Inc</t>
  </si>
  <si>
    <t>ap</t>
  </si>
  <si>
    <t>Ampco-Pittsburgh Corp</t>
  </si>
  <si>
    <t>aneb</t>
  </si>
  <si>
    <t>Anebulo Pharmaceuticals Inc</t>
  </si>
  <si>
    <t>lgyv</t>
  </si>
  <si>
    <t>Legacy Ventures International Inc</t>
  </si>
  <si>
    <t>btbt</t>
  </si>
  <si>
    <t>Bit Digital Inc</t>
  </si>
  <si>
    <t>fubo</t>
  </si>
  <si>
    <t>Fubotv Inc</t>
  </si>
  <si>
    <t>zhshf</t>
  </si>
  <si>
    <t>Zhongsheng Group Holdings Limited</t>
  </si>
  <si>
    <t>cssen</t>
  </si>
  <si>
    <t>Chicken Soup for the Soul Entertainment 9 50 Notes due 2025</t>
  </si>
  <si>
    <t>crlbf</t>
  </si>
  <si>
    <t>Cresco Labs Inc</t>
  </si>
  <si>
    <t>kc</t>
  </si>
  <si>
    <t>Kingsoft Cloud Holdings Ltd</t>
  </si>
  <si>
    <t>cptn</t>
  </si>
  <si>
    <t>Cepton Inc</t>
  </si>
  <si>
    <t>akom</t>
  </si>
  <si>
    <t>Aerkomm Inc</t>
  </si>
  <si>
    <t>cutr</t>
  </si>
  <si>
    <t>Cutera Inc</t>
  </si>
  <si>
    <t>mfh</t>
  </si>
  <si>
    <t>Mercurity Fintech Holding Inc- ADR</t>
  </si>
  <si>
    <t>gfai</t>
  </si>
  <si>
    <t>Guardforce AI Co Ltd</t>
  </si>
  <si>
    <t>dfilf</t>
  </si>
  <si>
    <t>DFI Retail Group Holdings Ltd</t>
  </si>
  <si>
    <t>ahg</t>
  </si>
  <si>
    <t>Akso Health Group - ADR</t>
  </si>
  <si>
    <t>avgr</t>
  </si>
  <si>
    <t>Avinger Inc</t>
  </si>
  <si>
    <t>dysl</t>
  </si>
  <si>
    <t>Dynasil Corporation of America</t>
  </si>
  <si>
    <t>xin</t>
  </si>
  <si>
    <t>Xinyuan Real Estate Co., Ltd.</t>
  </si>
  <si>
    <t>fthm</t>
  </si>
  <si>
    <t>Fathom Holdings Inc</t>
  </si>
  <si>
    <t>blnd</t>
  </si>
  <si>
    <t>Blend Labs Inc</t>
  </si>
  <si>
    <t>aqst</t>
  </si>
  <si>
    <t>Aquestive Therapeutics Inc</t>
  </si>
  <si>
    <t>hldcy</t>
  </si>
  <si>
    <t>Henderson Land Development Co Ltd - ADR</t>
  </si>
  <si>
    <t>abev</t>
  </si>
  <si>
    <t>Ambev SA</t>
  </si>
  <si>
    <t>ear</t>
  </si>
  <si>
    <t>Eargo Inc</t>
  </si>
  <si>
    <t>fax</t>
  </si>
  <si>
    <t>abrdn Asia-Pacific Income Fund Inc</t>
  </si>
  <si>
    <t>0.33</t>
  </si>
  <si>
    <t>aytu</t>
  </si>
  <si>
    <t>Aytu Biopharma Inc</t>
  </si>
  <si>
    <t>bpt</t>
  </si>
  <si>
    <t>BP Prudhoe Bay Royalty Trust</t>
  </si>
  <si>
    <t>dzz</t>
  </si>
  <si>
    <t>DB Gold Double Short ETN Exp 15 Feb 2038</t>
  </si>
  <si>
    <t>lsta</t>
  </si>
  <si>
    <t>Lisata Therapeutics Inc</t>
  </si>
  <si>
    <t>ocup</t>
  </si>
  <si>
    <t>Ocuphire Pharma Inc</t>
  </si>
  <si>
    <t>elym</t>
  </si>
  <si>
    <t>Eliem Therapeutics Inc</t>
  </si>
  <si>
    <t>grph</t>
  </si>
  <si>
    <t>Graphite Bio Inc</t>
  </si>
  <si>
    <t>sond</t>
  </si>
  <si>
    <t>Sonder Holdings Inc</t>
  </si>
  <si>
    <t>bosc</t>
  </si>
  <si>
    <t>BOS Better Online Solutions Ltd</t>
  </si>
  <si>
    <t>mcvt</t>
  </si>
  <si>
    <t>Mill City Ventures III Ltd</t>
  </si>
  <si>
    <t>lpsn</t>
  </si>
  <si>
    <t>LivePerson Inc</t>
  </si>
  <si>
    <t>hudi</t>
  </si>
  <si>
    <t>Huadi International Group Co., Ltd.</t>
  </si>
  <si>
    <t>apyx</t>
  </si>
  <si>
    <t>Apyx Medical Corp</t>
  </si>
  <si>
    <t>vigl</t>
  </si>
  <si>
    <t>Vigil Neuroscience Inc</t>
  </si>
  <si>
    <t>kndi</t>
  </si>
  <si>
    <t>Kandi Technologies Group Inc</t>
  </si>
  <si>
    <t>cifr</t>
  </si>
  <si>
    <t>Cipher Mining Inc</t>
  </si>
  <si>
    <t>rbspf</t>
  </si>
  <si>
    <t>Natwest Group PLC</t>
  </si>
  <si>
    <t>dtc</t>
  </si>
  <si>
    <t>Solo Brands Inc</t>
  </si>
  <si>
    <t>fnch</t>
  </si>
  <si>
    <t>Finch Therapeutics Group Inc</t>
  </si>
  <si>
    <t>cuba</t>
  </si>
  <si>
    <t>Herzfeld Caribbean Basin Fund, Inc. common stock</t>
  </si>
  <si>
    <t>slvyy</t>
  </si>
  <si>
    <t>SOLVAY S A Unsponsored ADR</t>
  </si>
  <si>
    <t>occ</t>
  </si>
  <si>
    <t>Optical Cable Corp</t>
  </si>
  <si>
    <t>tpic</t>
  </si>
  <si>
    <t>TPI Composites Inc</t>
  </si>
  <si>
    <t>naut</t>
  </si>
  <si>
    <t>Nautilus Biotechnology Inc</t>
  </si>
  <si>
    <t>hltc</t>
  </si>
  <si>
    <t>HEALTHCARE Ord Shs</t>
  </si>
  <si>
    <t>ams</t>
  </si>
  <si>
    <t>American Shared Hospital Services</t>
  </si>
  <si>
    <t>bb</t>
  </si>
  <si>
    <t>BlackBerry Ltd</t>
  </si>
  <si>
    <t>cdzi</t>
  </si>
  <si>
    <t>Cadiz Inc</t>
  </si>
  <si>
    <t>cdxs</t>
  </si>
  <si>
    <t>Codexis Inc</t>
  </si>
  <si>
    <t>irix</t>
  </si>
  <si>
    <t>IRIDEX Corporation</t>
  </si>
  <si>
    <t>enlv</t>
  </si>
  <si>
    <t>Enlivex Therapeutics Ltd</t>
  </si>
  <si>
    <t>fora</t>
  </si>
  <si>
    <t>Forian Inc</t>
  </si>
  <si>
    <t>cde</t>
  </si>
  <si>
    <t>Coeur Mining Inc</t>
  </si>
  <si>
    <t>usea</t>
  </si>
  <si>
    <t>United Maritime Corp</t>
  </si>
  <si>
    <t>TOP Financial Group Ltd</t>
  </si>
  <si>
    <t>bbdo</t>
  </si>
  <si>
    <t>Banco Bradesco ADS Representing 1 Ord Shs</t>
  </si>
  <si>
    <t>dhc</t>
  </si>
  <si>
    <t>Diversified Healthcare Trust</t>
  </si>
  <si>
    <t>seac</t>
  </si>
  <si>
    <t>SeaChange International Inc</t>
  </si>
  <si>
    <t>gwso</t>
  </si>
  <si>
    <t>Global Warming Solutions Inc</t>
  </si>
  <si>
    <t>aame</t>
  </si>
  <si>
    <t>Atlantic American Corporation</t>
  </si>
  <si>
    <t>ormp</t>
  </si>
  <si>
    <t>Oramed Pharmaceuticals, Inc.</t>
  </si>
  <si>
    <t>surgw</t>
  </si>
  <si>
    <t>SurgePays</t>
  </si>
  <si>
    <t>hldvf</t>
  </si>
  <si>
    <t>Henderson Land Development Co., Ltd.</t>
  </si>
  <si>
    <t>btg</t>
  </si>
  <si>
    <t>B2Gold Corp</t>
  </si>
  <si>
    <t>0.17</t>
  </si>
  <si>
    <t>prts</t>
  </si>
  <si>
    <t>Carparts.Com Inc</t>
  </si>
  <si>
    <t>kavl</t>
  </si>
  <si>
    <t>Kaival Brands Innovations Group Inc</t>
  </si>
  <si>
    <t>brbs</t>
  </si>
  <si>
    <t>Blue Ridge Bankshares Inc</t>
  </si>
  <si>
    <t>aspi</t>
  </si>
  <si>
    <t>ASP Isotopes Inc</t>
  </si>
  <si>
    <t>cycn</t>
  </si>
  <si>
    <t>Cyclerion Therapeutics Inc</t>
  </si>
  <si>
    <t>ntrb</t>
  </si>
  <si>
    <t>Nutriband Inc</t>
  </si>
  <si>
    <t>rsss</t>
  </si>
  <si>
    <t>Research Solutions Inc</t>
  </si>
  <si>
    <t>wti</t>
  </si>
  <si>
    <t>W&amp;T Offshore, Inc.</t>
  </si>
  <si>
    <t>brtx</t>
  </si>
  <si>
    <t>BioRestorative Therapies Inc</t>
  </si>
  <si>
    <t>utsi</t>
  </si>
  <si>
    <t>UTStarcom Holdings Corp</t>
  </si>
  <si>
    <t>koss</t>
  </si>
  <si>
    <t>KOSS Corp</t>
  </si>
  <si>
    <t>opt</t>
  </si>
  <si>
    <t>Opthea Ltd</t>
  </si>
  <si>
    <t>adth</t>
  </si>
  <si>
    <t>AdTheorent Holding Company Inc</t>
  </si>
  <si>
    <t>min</t>
  </si>
  <si>
    <t>MFS Intermediate Income Trust</t>
  </si>
  <si>
    <t>arhys</t>
  </si>
  <si>
    <t>Rse Archive Membership Int Series 1986 Nes Popeye Video Game</t>
  </si>
  <si>
    <t>bntc</t>
  </si>
  <si>
    <t>Benitec Biopharma Inc</t>
  </si>
  <si>
    <t>ainc</t>
  </si>
  <si>
    <t>Ashford Inc</t>
  </si>
  <si>
    <t>spnd</t>
  </si>
  <si>
    <t>Spindletop Oil and Gas Co</t>
  </si>
  <si>
    <t>fkwl</t>
  </si>
  <si>
    <t>Franklin Wireless Corp</t>
  </si>
  <si>
    <t>ldi</t>
  </si>
  <si>
    <t>Loandepot Inc</t>
  </si>
  <si>
    <t>cvm</t>
  </si>
  <si>
    <t>CEL-SCI Corporation</t>
  </si>
  <si>
    <t>rail</t>
  </si>
  <si>
    <t>FreightCar America Inc</t>
  </si>
  <si>
    <t>slnh</t>
  </si>
  <si>
    <t>Soluna Holdings Inc</t>
  </si>
  <si>
    <t>tara</t>
  </si>
  <si>
    <t>Protara Therapeutics Inc</t>
  </si>
  <si>
    <t>nspr</t>
  </si>
  <si>
    <t>InspireMD Inc</t>
  </si>
  <si>
    <t>grow</t>
  </si>
  <si>
    <t>U.S. Global Investors, Inc.</t>
  </si>
  <si>
    <t>iphyf</t>
  </si>
  <si>
    <t>mta</t>
  </si>
  <si>
    <t>Metalla Royalty &amp; Streaming Ltd</t>
  </si>
  <si>
    <t>asts</t>
  </si>
  <si>
    <t>AST SpaceMobile Inc</t>
  </si>
  <si>
    <t>enic</t>
  </si>
  <si>
    <t>Enel Chile SA - ADR</t>
  </si>
  <si>
    <t>cia</t>
  </si>
  <si>
    <t>Citizens, Inc.</t>
  </si>
  <si>
    <t>dlng</t>
  </si>
  <si>
    <t>Dynagas LNG Partners LP Unit</t>
  </si>
  <si>
    <t>rich</t>
  </si>
  <si>
    <t>Raffles Financial Group Ltd</t>
  </si>
  <si>
    <t>hgbl</t>
  </si>
  <si>
    <t>Heritage Global Inc</t>
  </si>
  <si>
    <t>blbx</t>
  </si>
  <si>
    <t>Blackboxstocks Inc</t>
  </si>
  <si>
    <t>lazr</t>
  </si>
  <si>
    <t>Luminar Technologies Inc</t>
  </si>
  <si>
    <t>brfs</t>
  </si>
  <si>
    <t>BRF S.A. (ADR) common stock</t>
  </si>
  <si>
    <t>sprs</t>
  </si>
  <si>
    <t>Surge Components Inc</t>
  </si>
  <si>
    <t>ncz</t>
  </si>
  <si>
    <t>Virtus Convertible &amp; Income Fund II</t>
  </si>
  <si>
    <t>dsx</t>
  </si>
  <si>
    <t>Diana Shipping Inc</t>
  </si>
  <si>
    <t>0.57</t>
  </si>
  <si>
    <t>mtl</t>
  </si>
  <si>
    <t>Metals Exploration Plc</t>
  </si>
  <si>
    <t>reax</t>
  </si>
  <si>
    <t>Real Brokerage Inc</t>
  </si>
  <si>
    <t>fmcki</t>
  </si>
  <si>
    <t>Federal Home Loan Mortgage 6.55% Non Cumulative Perpetual Pref Shs Series Y</t>
  </si>
  <si>
    <t>fmckm</t>
  </si>
  <si>
    <t>Federal Home Loan Mortgage Corp Preferred Shares</t>
  </si>
  <si>
    <t>ptxky</t>
  </si>
  <si>
    <t>PT XL Axiata Tbk Indonesia ADR</t>
  </si>
  <si>
    <t>asps</t>
  </si>
  <si>
    <t>Altisource Portfolio Solutions S.A.</t>
  </si>
  <si>
    <t>hnst</t>
  </si>
  <si>
    <t>Honest Company Inc</t>
  </si>
  <si>
    <t>ihrt</t>
  </si>
  <si>
    <t>iHeartMedia Inc</t>
  </si>
  <si>
    <t>sqns</t>
  </si>
  <si>
    <t>Sequans Communications SA ADR</t>
  </si>
  <si>
    <t>pfmt</t>
  </si>
  <si>
    <t>Performant Financial Corp</t>
  </si>
  <si>
    <t>rxmd</t>
  </si>
  <si>
    <t>Progressive Care Inc</t>
  </si>
  <si>
    <t>ppta</t>
  </si>
  <si>
    <t>Perpetua Resources Corp</t>
  </si>
  <si>
    <t>clne</t>
  </si>
  <si>
    <t>Clean Energy Fuels Corp</t>
  </si>
  <si>
    <t>api</t>
  </si>
  <si>
    <t>Agora Inc</t>
  </si>
  <si>
    <t>gaia</t>
  </si>
  <si>
    <t>Gaia Inc</t>
  </si>
  <si>
    <t>om</t>
  </si>
  <si>
    <t>Outset Medical Inc</t>
  </si>
  <si>
    <t>arc</t>
  </si>
  <si>
    <t>ARC Document Solutions Inc</t>
  </si>
  <si>
    <t>elev</t>
  </si>
  <si>
    <t>Elevation Oncology Inc</t>
  </si>
  <si>
    <t>glyc</t>
  </si>
  <si>
    <t>GlycoMimetics Inc</t>
  </si>
  <si>
    <t>rdw</t>
  </si>
  <si>
    <t>Redwire Corp</t>
  </si>
  <si>
    <t>fhtx</t>
  </si>
  <si>
    <t>Foghorn Therapeutics Inc.</t>
  </si>
  <si>
    <t>gpro</t>
  </si>
  <si>
    <t>GoPro Inc</t>
  </si>
  <si>
    <t>govx</t>
  </si>
  <si>
    <t>Geovax Labs Inc</t>
  </si>
  <si>
    <t>abos</t>
  </si>
  <si>
    <t>Acumen Pharmaceuticals Inc</t>
  </si>
  <si>
    <t>fmcko</t>
  </si>
  <si>
    <t>Federal Home Loan Mortgage 5.9% Non Cumulative Perpetual Pref Shs</t>
  </si>
  <si>
    <t>wyy</t>
  </si>
  <si>
    <t>WidePoint Corporation</t>
  </si>
  <si>
    <t>sang</t>
  </si>
  <si>
    <t>Sangoma Technologies Corp</t>
  </si>
  <si>
    <t>skin</t>
  </si>
  <si>
    <t>Beauty Health Co</t>
  </si>
  <si>
    <t>corz</t>
  </si>
  <si>
    <t>Core Scientific Ord Shs</t>
  </si>
  <si>
    <t>jtkwy</t>
  </si>
  <si>
    <t>Just Eat Takeaway.com NV - ADR</t>
  </si>
  <si>
    <t>clvr</t>
  </si>
  <si>
    <t>Clever Leaves Holdings Inc</t>
  </si>
  <si>
    <t>lumo</t>
  </si>
  <si>
    <t>Lumos Pharma Inc</t>
  </si>
  <si>
    <t>stem</t>
  </si>
  <si>
    <t>Stem Inc</t>
  </si>
  <si>
    <t>ghg</t>
  </si>
  <si>
    <t>GreenTree Hospitality Group Ltd - ADR</t>
  </si>
  <si>
    <t>0.06</t>
  </si>
  <si>
    <t>vnja</t>
  </si>
  <si>
    <t>Vanjia Corp</t>
  </si>
  <si>
    <t>sctc</t>
  </si>
  <si>
    <t>Odysight AI Inc</t>
  </si>
  <si>
    <t>dmac</t>
  </si>
  <si>
    <t>DiaMedica Therapeutics Inc</t>
  </si>
  <si>
    <t>pays</t>
  </si>
  <si>
    <t>Paysign Inc</t>
  </si>
  <si>
    <t>acet</t>
  </si>
  <si>
    <t>Adicet Bio Inc</t>
  </si>
  <si>
    <t>eght</t>
  </si>
  <si>
    <t>8x8 Inc</t>
  </si>
  <si>
    <t>fmckn</t>
  </si>
  <si>
    <t>Federal Home Loan Mortgage Non Cumulative Perpetual Pref Shs</t>
  </si>
  <si>
    <t>wbqnl</t>
  </si>
  <si>
    <t>Woodbridge Liquidation Trust</t>
  </si>
  <si>
    <t>rzzn</t>
  </si>
  <si>
    <t>Jialijia Group Corporation Ltd</t>
  </si>
  <si>
    <t>gmgi</t>
  </si>
  <si>
    <t>Golden Matrix Group Inc</t>
  </si>
  <si>
    <t>blde</t>
  </si>
  <si>
    <t>Blade Air Mobility Inc</t>
  </si>
  <si>
    <t>smrt</t>
  </si>
  <si>
    <t>SmartRent Inc</t>
  </si>
  <si>
    <t>cik</t>
  </si>
  <si>
    <t>Credit Suisse Asset Management In FndInc</t>
  </si>
  <si>
    <t>0.27</t>
  </si>
  <si>
    <t>aplt</t>
  </si>
  <si>
    <t>Applied Therapeutics Inc</t>
  </si>
  <si>
    <t>nuro</t>
  </si>
  <si>
    <t>Neurometrix Inc</t>
  </si>
  <si>
    <t>ocx</t>
  </si>
  <si>
    <t>OncoCyte Corp</t>
  </si>
  <si>
    <t>pvnc</t>
  </si>
  <si>
    <t>Apple Isports Group Inc</t>
  </si>
  <si>
    <t>ftk</t>
  </si>
  <si>
    <t>Flotek Industries Inc</t>
  </si>
  <si>
    <t>chffy</t>
  </si>
  <si>
    <t>China Everbright Environment Group ADR</t>
  </si>
  <si>
    <t>revb</t>
  </si>
  <si>
    <t>slnhp</t>
  </si>
  <si>
    <t>Soluna Holdings 9.0 Cumulative Perpetual Pref Shs Series A</t>
  </si>
  <si>
    <t>impp</t>
  </si>
  <si>
    <t>Imperial Petroleum Inc</t>
  </si>
  <si>
    <t>prld</t>
  </si>
  <si>
    <t>Prelude Therapeutics Inc</t>
  </si>
  <si>
    <t>oxsq</t>
  </si>
  <si>
    <t>Oxford Square Capital Corp</t>
  </si>
  <si>
    <t>sasi</t>
  </si>
  <si>
    <t>Sigma Additive Solutions Inc</t>
  </si>
  <si>
    <t>btai</t>
  </si>
  <si>
    <t>BioXcel Therapeutics Inc</t>
  </si>
  <si>
    <t>abc</t>
  </si>
  <si>
    <t>Adbri Ltd</t>
  </si>
  <si>
    <t>2.05</t>
  </si>
  <si>
    <t>poai</t>
  </si>
  <si>
    <t>Predictive Oncology Inc</t>
  </si>
  <si>
    <t>crex</t>
  </si>
  <si>
    <t>Creative Realities Inc</t>
  </si>
  <si>
    <t>kirk</t>
  </si>
  <si>
    <t>Kirkland's, Inc.</t>
  </si>
  <si>
    <t>phx</t>
  </si>
  <si>
    <t>PHX Minerals Inc</t>
  </si>
  <si>
    <t>aciu</t>
  </si>
  <si>
    <t>AC Immune SA</t>
  </si>
  <si>
    <t>ihs</t>
  </si>
  <si>
    <t>IHS Holding Ltd</t>
  </si>
  <si>
    <t>camp</t>
  </si>
  <si>
    <t>CalAmp Corp</t>
  </si>
  <si>
    <t>gnrv</t>
  </si>
  <si>
    <t>Grand River Commerce Inc</t>
  </si>
  <si>
    <t>rtgn</t>
  </si>
  <si>
    <t>RetinalGenix Technologies Inc</t>
  </si>
  <si>
    <t>trlc</t>
  </si>
  <si>
    <t>Trilinc Global Impact Fund LLC</t>
  </si>
  <si>
    <t>crmd</t>
  </si>
  <si>
    <t>CorMedix Inc.</t>
  </si>
  <si>
    <t>rbbn</t>
  </si>
  <si>
    <t>Ribbon Communications Inc</t>
  </si>
  <si>
    <t>fnmai</t>
  </si>
  <si>
    <t>Federal National Mortgage Association Non Cumulative Pref Shs Series Q</t>
  </si>
  <si>
    <t>bbd</t>
  </si>
  <si>
    <t>Banco Bradesco SA</t>
  </si>
  <si>
    <t>0.21</t>
  </si>
  <si>
    <t>ayrwf</t>
  </si>
  <si>
    <t>Ayr Wellness Inc</t>
  </si>
  <si>
    <t>jrsh</t>
  </si>
  <si>
    <t>Jerash Holdings (US) Inc</t>
  </si>
  <si>
    <t>rekr</t>
  </si>
  <si>
    <t>Rekor Systems Inc</t>
  </si>
  <si>
    <t>hive</t>
  </si>
  <si>
    <t>HIVE Digital Technologies Ltd</t>
  </si>
  <si>
    <t>tv</t>
  </si>
  <si>
    <t>Grupo Televisa SAB ADR</t>
  </si>
  <si>
    <t>0.08</t>
  </si>
  <si>
    <t>arth</t>
  </si>
  <si>
    <t>Arch Therapeutics Inc</t>
  </si>
  <si>
    <t>ltbr</t>
  </si>
  <si>
    <t>Lightbridge Corp</t>
  </si>
  <si>
    <t>asrv</t>
  </si>
  <si>
    <t>AmeriServ Financial, Inc.</t>
  </si>
  <si>
    <t>mdgs</t>
  </si>
  <si>
    <t>Medigus Ltd - ADR</t>
  </si>
  <si>
    <t>atha</t>
  </si>
  <si>
    <t>Athira Pharma Inc</t>
  </si>
  <si>
    <t>cyt</t>
  </si>
  <si>
    <t>Cyteir Therapeutics Inc</t>
  </si>
  <si>
    <t>fsm</t>
  </si>
  <si>
    <t>Fortuna Silver Mines Inc</t>
  </si>
  <si>
    <t>aur</t>
  </si>
  <si>
    <t>Aurora Innovation Inc</t>
  </si>
  <si>
    <t>baos</t>
  </si>
  <si>
    <t>Baosheng Media Group Holdings Ltd</t>
  </si>
  <si>
    <t>pmd</t>
  </si>
  <si>
    <t>Psychemedics Corp.</t>
  </si>
  <si>
    <t>gdrzf</t>
  </si>
  <si>
    <t>Gold Reserve Inc.</t>
  </si>
  <si>
    <t>smr</t>
  </si>
  <si>
    <t>Nuscale Power Corp</t>
  </si>
  <si>
    <t>sghc</t>
  </si>
  <si>
    <t>SGHC Ltd</t>
  </si>
  <si>
    <t>sif</t>
  </si>
  <si>
    <t>SIFCO Industries Inc</t>
  </si>
  <si>
    <t>srts</t>
  </si>
  <si>
    <t>Sensus Healthcare Inc</t>
  </si>
  <si>
    <t>pwfl</t>
  </si>
  <si>
    <t>PowerFleet Inc</t>
  </si>
  <si>
    <t>kins</t>
  </si>
  <si>
    <t>Kingstone Companies Inc</t>
  </si>
  <si>
    <t>agil</t>
  </si>
  <si>
    <t>Agile Content SA</t>
  </si>
  <si>
    <t>aldx</t>
  </si>
  <si>
    <t>Aldeyra Therapeutics Inc</t>
  </si>
  <si>
    <t>bblg</t>
  </si>
  <si>
    <t>Bone Biologics Corp</t>
  </si>
  <si>
    <t>visl</t>
  </si>
  <si>
    <t>Vislink Technologies Inc</t>
  </si>
  <si>
    <t>tait</t>
  </si>
  <si>
    <t>Taitron Components Inc</t>
  </si>
  <si>
    <t>mgf</t>
  </si>
  <si>
    <t>MFS Government Markets Income Trust</t>
  </si>
  <si>
    <t>nrdy</t>
  </si>
  <si>
    <t>Nerdy Inc</t>
  </si>
  <si>
    <t>cetx</t>
  </si>
  <si>
    <t>Cemtrex Inc</t>
  </si>
  <si>
    <t>jfbr</t>
  </si>
  <si>
    <t>Jeffs Brands Ltd</t>
  </si>
  <si>
    <t>daio</t>
  </si>
  <si>
    <t>Data I/O Corporation</t>
  </si>
  <si>
    <t>cnty</t>
  </si>
  <si>
    <t>Century Casinos, Inc.</t>
  </si>
  <si>
    <t>jmia</t>
  </si>
  <si>
    <t>Jumia Technologies AG - ADR</t>
  </si>
  <si>
    <t>ixhl</t>
  </si>
  <si>
    <t>Incannex Healthcare Inc</t>
  </si>
  <si>
    <t>fnmah</t>
  </si>
  <si>
    <t>Federal National Mortgage Association Non Cumulative Pref Shs Series P</t>
  </si>
  <si>
    <t>grab</t>
  </si>
  <si>
    <t>Grab Holdings Ltd</t>
  </si>
  <si>
    <t>gmbl</t>
  </si>
  <si>
    <t>rfil</t>
  </si>
  <si>
    <t>RF Industries Ltd</t>
  </si>
  <si>
    <t>brlt</t>
  </si>
  <si>
    <t>Brilliant Earth Group Inc</t>
  </si>
  <si>
    <t>liqt</t>
  </si>
  <si>
    <t>LiqTech International Inc</t>
  </si>
  <si>
    <t>pim</t>
  </si>
  <si>
    <t>Putnam Master Intermediate Income Trust</t>
  </si>
  <si>
    <t>oilcf</t>
  </si>
  <si>
    <t>Permex Petroleum Corp</t>
  </si>
  <si>
    <t>sgma</t>
  </si>
  <si>
    <t>SigmaTron International Inc</t>
  </si>
  <si>
    <t>sos</t>
  </si>
  <si>
    <t>Sos Ltd - ADR</t>
  </si>
  <si>
    <t>ctt</t>
  </si>
  <si>
    <t>Cettire Ltd</t>
  </si>
  <si>
    <t>imtxw</t>
  </si>
  <si>
    <t>Immatics</t>
  </si>
  <si>
    <t>lhil</t>
  </si>
  <si>
    <t>Leader Hill Corp</t>
  </si>
  <si>
    <t>lcfyw</t>
  </si>
  <si>
    <t>Locafy</t>
  </si>
  <si>
    <t>nfgc</t>
  </si>
  <si>
    <t>New Found Gold Corp</t>
  </si>
  <si>
    <t>rmni</t>
  </si>
  <si>
    <t>Rimini Street Inc</t>
  </si>
  <si>
    <t>bldp</t>
  </si>
  <si>
    <t>Ballard Power Systems Inc</t>
  </si>
  <si>
    <t>opfi</t>
  </si>
  <si>
    <t>Oppfi Inc</t>
  </si>
  <si>
    <t>mnkd</t>
  </si>
  <si>
    <t>MannKind Corp</t>
  </si>
  <si>
    <t>fnmaj</t>
  </si>
  <si>
    <t>Federal National Mortgage Association 7.625% Non Cumulative Pref Shs Series R</t>
  </si>
  <si>
    <t>mpw</t>
  </si>
  <si>
    <t>Medical Properties Trust Inc</t>
  </si>
  <si>
    <t>drts</t>
  </si>
  <si>
    <t>Alpha Tau Medical Ltd</t>
  </si>
  <si>
    <t>ncv</t>
  </si>
  <si>
    <t>Virtus Convertible &amp; Income Fund</t>
  </si>
  <si>
    <t>sfix</t>
  </si>
  <si>
    <t>Stitch Fix Inc</t>
  </si>
  <si>
    <t>cmu</t>
  </si>
  <si>
    <t>MFS High Yield Municipal Trust</t>
  </si>
  <si>
    <t>0.13</t>
  </si>
  <si>
    <t>qnrx</t>
  </si>
  <si>
    <t>Quoin Pharmaceuticals Ltd - ADR</t>
  </si>
  <si>
    <t>dogz</t>
  </si>
  <si>
    <t>Dogness Corp</t>
  </si>
  <si>
    <t>tihe</t>
  </si>
  <si>
    <t>Taihe Group Inc</t>
  </si>
  <si>
    <t>huma</t>
  </si>
  <si>
    <t>Humacyte Inc</t>
  </si>
  <si>
    <t>prth</t>
  </si>
  <si>
    <t>Priority Technology Holdings Inc</t>
  </si>
  <si>
    <t>uroy</t>
  </si>
  <si>
    <t>Uranium Royalty Corp</t>
  </si>
  <si>
    <t>lcid</t>
  </si>
  <si>
    <t>Lucid Group Inc</t>
  </si>
  <si>
    <t>sql</t>
  </si>
  <si>
    <t>Matador Secondary Private Equity AG</t>
  </si>
  <si>
    <t>tusk</t>
  </si>
  <si>
    <t>Mammoth Energy Services Inc</t>
  </si>
  <si>
    <t>orgo</t>
  </si>
  <si>
    <t>Organogenesis Holdings Inc</t>
  </si>
  <si>
    <t>tkno</t>
  </si>
  <si>
    <t>Alpha Teknova Inc</t>
  </si>
  <si>
    <t>ionr</t>
  </si>
  <si>
    <t>ioneer American Depositary Shares</t>
  </si>
  <si>
    <t>didiy</t>
  </si>
  <si>
    <t>DiDi Global Inc - ADR</t>
  </si>
  <si>
    <t>bchg</t>
  </si>
  <si>
    <t>Grayscale Bitcoin Cash Trust (BCH)</t>
  </si>
  <si>
    <t>lptx</t>
  </si>
  <si>
    <t>Leap Therapeutics Inc</t>
  </si>
  <si>
    <t>mrsn</t>
  </si>
  <si>
    <t>Mersana Therapeutics Inc</t>
  </si>
  <si>
    <t>pgru</t>
  </si>
  <si>
    <t>PropertyGuru Group Ltd</t>
  </si>
  <si>
    <t>gtec</t>
  </si>
  <si>
    <t>Greenland Technologies Holding Corp</t>
  </si>
  <si>
    <t>caas</t>
  </si>
  <si>
    <t>China Automotive Systems, Inc.</t>
  </si>
  <si>
    <t>nro</t>
  </si>
  <si>
    <t>Neuberger Brmn Rl stt Scrts ncm Fnd nc</t>
  </si>
  <si>
    <t>up</t>
  </si>
  <si>
    <t>Wheels Up Experience Inc</t>
  </si>
  <si>
    <t>stim</t>
  </si>
  <si>
    <t>Neuronetics Inc</t>
  </si>
  <si>
    <t>gree</t>
  </si>
  <si>
    <t>Greenidge Generation Holdings Inc</t>
  </si>
  <si>
    <t>mmat</t>
  </si>
  <si>
    <t>Meta Materials Inc</t>
  </si>
  <si>
    <t>myo</t>
  </si>
  <si>
    <t>Myomo Inc</t>
  </si>
  <si>
    <t>omer</t>
  </si>
  <si>
    <t>Omeros Corp</t>
  </si>
  <si>
    <t>sybx</t>
  </si>
  <si>
    <t>Synlogic Inc</t>
  </si>
  <si>
    <t>vnce</t>
  </si>
  <si>
    <t>Vince Holding Corp</t>
  </si>
  <si>
    <t>pxcly</t>
  </si>
  <si>
    <t>PHOENIX COPPER ADR</t>
  </si>
  <si>
    <t>sup</t>
  </si>
  <si>
    <t>Superior Industries International Inc</t>
  </si>
  <si>
    <t>sid</t>
  </si>
  <si>
    <t>Companhia Siderurgica Nacional SA</t>
  </si>
  <si>
    <t>icmb</t>
  </si>
  <si>
    <t>Investcorp Credit Management Bdc Inc</t>
  </si>
  <si>
    <t>ksi</t>
  </si>
  <si>
    <t>Kneat.com Inc</t>
  </si>
  <si>
    <t>spwr</t>
  </si>
  <si>
    <t>SunPower Corp</t>
  </si>
  <si>
    <t>kodk</t>
  </si>
  <si>
    <t>Eastman Kodak Co</t>
  </si>
  <si>
    <t>dcgo</t>
  </si>
  <si>
    <t>DocGo Inc</t>
  </si>
  <si>
    <t>dao</t>
  </si>
  <si>
    <t>Youdao Inc - ADR</t>
  </si>
  <si>
    <t>loop</t>
  </si>
  <si>
    <t>Loop Industries Inc</t>
  </si>
  <si>
    <t>cmct</t>
  </si>
  <si>
    <t>Creative Media &amp; Community Trust Corp</t>
  </si>
  <si>
    <t>wow</t>
  </si>
  <si>
    <t>WideOpenWest Inc</t>
  </si>
  <si>
    <t>hofv</t>
  </si>
  <si>
    <t>Hall of Fame Resort &amp; Entertainment Co</t>
  </si>
  <si>
    <t>adag</t>
  </si>
  <si>
    <t>Adagene Inc</t>
  </si>
  <si>
    <t>omga</t>
  </si>
  <si>
    <t>Omega Therapeutics Inc</t>
  </si>
  <si>
    <t>rani</t>
  </si>
  <si>
    <t>Rani Therapeutics Holdings Inc</t>
  </si>
  <si>
    <t>pstx</t>
  </si>
  <si>
    <t>Poseida Therapeutics Inc</t>
  </si>
  <si>
    <t>fgb</t>
  </si>
  <si>
    <t>First Trust Spclty Fin &amp; Fncl Opptnts Fd</t>
  </si>
  <si>
    <t>open</t>
  </si>
  <si>
    <t>Opendoor Technologies Inc</t>
  </si>
  <si>
    <t>buuz</t>
  </si>
  <si>
    <t>Calethos Inc</t>
  </si>
  <si>
    <t>cvac</t>
  </si>
  <si>
    <t>CureVac BV</t>
  </si>
  <si>
    <t>crncy</t>
  </si>
  <si>
    <t>CAPRICORN ENERGY ADR</t>
  </si>
  <si>
    <t>sprb</t>
  </si>
  <si>
    <t>Spruce Biosciences Inc</t>
  </si>
  <si>
    <t>sach</t>
  </si>
  <si>
    <t>Sachem Capital Corp</t>
  </si>
  <si>
    <t>orla</t>
  </si>
  <si>
    <t>Orla Mining Ltd</t>
  </si>
  <si>
    <t>nok</t>
  </si>
  <si>
    <t>Nokia Oyj</t>
  </si>
  <si>
    <t>ngld</t>
  </si>
  <si>
    <t>Nevada Canyon Gold Corp</t>
  </si>
  <si>
    <t>tscdf</t>
  </si>
  <si>
    <t>Tesco PLC</t>
  </si>
  <si>
    <t>fph</t>
  </si>
  <si>
    <t>Five Point Holdings LLC</t>
  </si>
  <si>
    <t>bpirf</t>
  </si>
  <si>
    <t>Piraeus Financial Holdings SA</t>
  </si>
  <si>
    <t>fmckl</t>
  </si>
  <si>
    <t>Federal Home Loan Mortgage 6.02% Non Cumulative Perpetual Pref Shs</t>
  </si>
  <si>
    <t>cxe</t>
  </si>
  <si>
    <t>MFS High Income Municipal Trust</t>
  </si>
  <si>
    <t>0.16</t>
  </si>
  <si>
    <t>shmy</t>
  </si>
  <si>
    <t>Synergy Empire Ltd</t>
  </si>
  <si>
    <t>notv</t>
  </si>
  <si>
    <t>Inotiv Inc</t>
  </si>
  <si>
    <t>oprt</t>
  </si>
  <si>
    <t>Oportun Financial Corp</t>
  </si>
  <si>
    <t>wskef</t>
  </si>
  <si>
    <t>Wisekey International Holding AG</t>
  </si>
  <si>
    <t>nnup</t>
  </si>
  <si>
    <t>Nocopi Technologies</t>
  </si>
  <si>
    <t>chmi</t>
  </si>
  <si>
    <t>Cherry Hill Mortgage Investment Corp</t>
  </si>
  <si>
    <t>adct</t>
  </si>
  <si>
    <t>ADC Therapeutics SA</t>
  </si>
  <si>
    <t>cndt</t>
  </si>
  <si>
    <t>Conduent Inc</t>
  </si>
  <si>
    <t>bmdpf</t>
  </si>
  <si>
    <t>Banca Monte dei Paschi di Siena SpA</t>
  </si>
  <si>
    <t>nokbf</t>
  </si>
  <si>
    <t>opi</t>
  </si>
  <si>
    <t>Office Properties Income Trust</t>
  </si>
  <si>
    <t>gcv</t>
  </si>
  <si>
    <t>Gabelli Convertbl and Incm Scrts Fnd Inc</t>
  </si>
  <si>
    <t>0.48</t>
  </si>
  <si>
    <t>vnda</t>
  </si>
  <si>
    <t>Vanda Pharmaceuticals Inc.</t>
  </si>
  <si>
    <t>uonek</t>
  </si>
  <si>
    <t>Urban One Inc Class D</t>
  </si>
  <si>
    <t>lsak</t>
  </si>
  <si>
    <t>Lesaka Technologies Inc</t>
  </si>
  <si>
    <t>ssss</t>
  </si>
  <si>
    <t>SuRo Capital Corp</t>
  </si>
  <si>
    <t>adpt</t>
  </si>
  <si>
    <t>Adaptive Biotechnologies Corp</t>
  </si>
  <si>
    <t>comp</t>
  </si>
  <si>
    <t>Compass Inc</t>
  </si>
  <si>
    <t>ppt</t>
  </si>
  <si>
    <t>Putnam Premier Income Trust</t>
  </si>
  <si>
    <t>ivevf</t>
  </si>
  <si>
    <t>Inventiva SA</t>
  </si>
  <si>
    <t>awp</t>
  </si>
  <si>
    <t>Abrdn Global Premier Properties Fund</t>
  </si>
  <si>
    <t>mtem</t>
  </si>
  <si>
    <t>Molecular Templates Inc</t>
  </si>
  <si>
    <t>pyxs</t>
  </si>
  <si>
    <t>Pyxis Oncology Inc</t>
  </si>
  <si>
    <t>spwh</t>
  </si>
  <si>
    <t>Sportsmans Warehouse Holdings Inc</t>
  </si>
  <si>
    <t>iva</t>
  </si>
  <si>
    <t>Inventiva ADR Representing Ord Shs</t>
  </si>
  <si>
    <t>ovid</t>
  </si>
  <si>
    <t>Ovid Therapeutics Inc</t>
  </si>
  <si>
    <t>tigr</t>
  </si>
  <si>
    <t>UP Fintech Holding Ltd</t>
  </si>
  <si>
    <t>bcomf</t>
  </si>
  <si>
    <t>B Communications Ltd</t>
  </si>
  <si>
    <t>fnmat</t>
  </si>
  <si>
    <t>Federal National Mortgage Association 8.25% Pref Shs Series T</t>
  </si>
  <si>
    <t>sprc</t>
  </si>
  <si>
    <t>Scisparc Ltd</t>
  </si>
  <si>
    <t>btcm</t>
  </si>
  <si>
    <t>BIT Mining Ltd - ADR</t>
  </si>
  <si>
    <t>proc</t>
  </si>
  <si>
    <t>Procaps Group SA</t>
  </si>
  <si>
    <t>farm</t>
  </si>
  <si>
    <t>Farmer Bros Co</t>
  </si>
  <si>
    <t>adtx</t>
  </si>
  <si>
    <t>Aditxt Inc</t>
  </si>
  <si>
    <t>fmckj</t>
  </si>
  <si>
    <t>Federal Home Loan Mortgage 8.375% Fixed to Floating Rate Non Cumulative Perpetual Pref Shs</t>
  </si>
  <si>
    <t>mfg</t>
  </si>
  <si>
    <t>Mizuho Financial Group Inc</t>
  </si>
  <si>
    <t>airi</t>
  </si>
  <si>
    <t>Air Industries Group</t>
  </si>
  <si>
    <t>neph</t>
  </si>
  <si>
    <t>Nephros, Inc.</t>
  </si>
  <si>
    <t>ltghy</t>
  </si>
  <si>
    <t>Life Healthcare Group Holdings ADR</t>
  </si>
  <si>
    <t>gipr</t>
  </si>
  <si>
    <t>Generation Income Properties Inc</t>
  </si>
  <si>
    <t>clrb</t>
  </si>
  <si>
    <t>Cellectar Biosciences Inc</t>
  </si>
  <si>
    <t>ggn</t>
  </si>
  <si>
    <t>GAMCO Global Gold Ntrl Rsrcs &amp; Incm Trst</t>
  </si>
  <si>
    <t>0.36</t>
  </si>
  <si>
    <t>usau</t>
  </si>
  <si>
    <t>US Gold Corp</t>
  </si>
  <si>
    <t>immx</t>
  </si>
  <si>
    <t>Immix Biopharma Inc</t>
  </si>
  <si>
    <t>beep</t>
  </si>
  <si>
    <t>Mobile Infrastructure Corp</t>
  </si>
  <si>
    <t>lysdy</t>
  </si>
  <si>
    <t>Lynas Rare Earths ADR</t>
  </si>
  <si>
    <t>cyh</t>
  </si>
  <si>
    <t>Community Health Systems Inc</t>
  </si>
  <si>
    <t>hl</t>
  </si>
  <si>
    <t>Hecla Mining Company</t>
  </si>
  <si>
    <t>0.03</t>
  </si>
  <si>
    <t>syta</t>
  </si>
  <si>
    <t>bimt</t>
  </si>
  <si>
    <t>Cambell International Holding Corp</t>
  </si>
  <si>
    <t>ptn</t>
  </si>
  <si>
    <t>Palatin Technologies, Inc.</t>
  </si>
  <si>
    <t>ambp</t>
  </si>
  <si>
    <t>Ardagh Metal Packaging SA</t>
  </si>
  <si>
    <t>iren</t>
  </si>
  <si>
    <t>Iris Energy Ltd</t>
  </si>
  <si>
    <t>lyscf</t>
  </si>
  <si>
    <t>Lynas Rare Earths Ltd</t>
  </si>
  <si>
    <t>xbio</t>
  </si>
  <si>
    <t>Xenetic Biosciences Inc</t>
  </si>
  <si>
    <t>gth</t>
  </si>
  <si>
    <t>Genetron Holdings Ltd - ADR</t>
  </si>
  <si>
    <t>bkcc</t>
  </si>
  <si>
    <t>Blackrock Capital Investment Corp</t>
  </si>
  <si>
    <t>rvph</t>
  </si>
  <si>
    <t>Reviva Pharmaceuticals Holdings, Inc.</t>
  </si>
  <si>
    <t>etwo</t>
  </si>
  <si>
    <t>E2open Parent Holdings Inc</t>
  </si>
  <si>
    <t>tbtc</t>
  </si>
  <si>
    <t>Table Trac Inc</t>
  </si>
  <si>
    <t>abb</t>
  </si>
  <si>
    <t>Aussie Broadband Ltd</t>
  </si>
  <si>
    <t>hmdcf</t>
  </si>
  <si>
    <t>HUTCHMED (China) Ltd</t>
  </si>
  <si>
    <t>jxhgf</t>
  </si>
  <si>
    <t>Eneos Holdings Inc</t>
  </si>
  <si>
    <t>iclk</t>
  </si>
  <si>
    <t>Iclick Interactive Asia Group Ltd</t>
  </si>
  <si>
    <t>lnsr</t>
  </si>
  <si>
    <t>LENSAR Inc</t>
  </si>
  <si>
    <t>tpcs</t>
  </si>
  <si>
    <t>TechPrecision Corp</t>
  </si>
  <si>
    <t>uone</t>
  </si>
  <si>
    <t>Urban One Inc Class A</t>
  </si>
  <si>
    <t>xyf</t>
  </si>
  <si>
    <t>X Financial</t>
  </si>
  <si>
    <t>dufry</t>
  </si>
  <si>
    <t>Avolta Unsponsored American Depositary Receipts</t>
  </si>
  <si>
    <t>adv</t>
  </si>
  <si>
    <t>Advantage Solutions Inc</t>
  </si>
  <si>
    <t>dtst</t>
  </si>
  <si>
    <t>Data Storage Corp</t>
  </si>
  <si>
    <t>mdxh</t>
  </si>
  <si>
    <t>MDxHealth SA</t>
  </si>
  <si>
    <t>kffb</t>
  </si>
  <si>
    <t>Kentucky First Federal Bancorp</t>
  </si>
  <si>
    <t>smmt</t>
  </si>
  <si>
    <t>Summit Therapeutics Inc</t>
  </si>
  <si>
    <t>bctx</t>
  </si>
  <si>
    <t>Briacell Therapeutics Corp</t>
  </si>
  <si>
    <t>alim</t>
  </si>
  <si>
    <t>Alimera Sciences Inc</t>
  </si>
  <si>
    <t>bgi</t>
  </si>
  <si>
    <t>Birks Group Inc</t>
  </si>
  <si>
    <t>evc</t>
  </si>
  <si>
    <t>Entravision Communications Corp</t>
  </si>
  <si>
    <t>cste</t>
  </si>
  <si>
    <t>Caesarstone Ltd</t>
  </si>
  <si>
    <t>gnft</t>
  </si>
  <si>
    <t>Genfit SA</t>
  </si>
  <si>
    <t>altb</t>
  </si>
  <si>
    <t>Alpine Auto Brokers Inc</t>
  </si>
  <si>
    <t>sb</t>
  </si>
  <si>
    <t>Safe Bulkers Inc</t>
  </si>
  <si>
    <t>fnmas</t>
  </si>
  <si>
    <t>Federal National Mortgage Association 8.25% Pref Shs Series S</t>
  </si>
  <si>
    <t>gnta</t>
  </si>
  <si>
    <t>Genenta Science SPA</t>
  </si>
  <si>
    <t>ncmi</t>
  </si>
  <si>
    <t>National CineMedia, Inc.</t>
  </si>
  <si>
    <t>celjf</t>
  </si>
  <si>
    <t>Cellcom Israel Ltd</t>
  </si>
  <si>
    <t>relv</t>
  </si>
  <si>
    <t>Reliv International Inc</t>
  </si>
  <si>
    <t>armp</t>
  </si>
  <si>
    <t>Armata Pharmaceuticals Inc</t>
  </si>
  <si>
    <t>hio</t>
  </si>
  <si>
    <t>Western Asst High Incm Opprtnty Fnd Inc.</t>
  </si>
  <si>
    <t>pcok</t>
  </si>
  <si>
    <t>Pacific Oak Strategic Opportnty REIT Inc</t>
  </si>
  <si>
    <t>nvax</t>
  </si>
  <si>
    <t>Novavax Inc</t>
  </si>
  <si>
    <t>mxchy</t>
  </si>
  <si>
    <t>ORBIA ADVANCE ADR</t>
  </si>
  <si>
    <t>lpcn</t>
  </si>
  <si>
    <t>Lipocine Inc</t>
  </si>
  <si>
    <t>ganx</t>
  </si>
  <si>
    <t>Gain Therapeutics Inc</t>
  </si>
  <si>
    <t>btmd</t>
  </si>
  <si>
    <t>biote Corp</t>
  </si>
  <si>
    <t>wve</t>
  </si>
  <si>
    <t>Wave Life Sciences Ltd</t>
  </si>
  <si>
    <t>mreo</t>
  </si>
  <si>
    <t>Mereo BioPharma Group plc - ADR</t>
  </si>
  <si>
    <t>jg</t>
  </si>
  <si>
    <t>Aurora Mobile Ltd - ADR</t>
  </si>
  <si>
    <t>capr</t>
  </si>
  <si>
    <t>Capricor Therapeutics Inc</t>
  </si>
  <si>
    <t>actg</t>
  </si>
  <si>
    <t>Acacia Research Corp</t>
  </si>
  <si>
    <t>hkd</t>
  </si>
  <si>
    <t>AMTD Idea Group - ADR</t>
  </si>
  <si>
    <t>rklb</t>
  </si>
  <si>
    <t>Rocket Lab USA Inc</t>
  </si>
  <si>
    <t>ytfd</t>
  </si>
  <si>
    <t>Yale Transaction Finders Inc</t>
  </si>
  <si>
    <t>ipsc</t>
  </si>
  <si>
    <t>Century Therapeutics Inc</t>
  </si>
  <si>
    <t>bnrg</t>
  </si>
  <si>
    <t>Brenmiller Energy Ltd</t>
  </si>
  <si>
    <t>gbcs</t>
  </si>
  <si>
    <t>Global Healthcare REIT, Inc. Common Stock</t>
  </si>
  <si>
    <t>spfx</t>
  </si>
  <si>
    <t>Standard Premium Finance Holdings Inc</t>
  </si>
  <si>
    <t>endi</t>
  </si>
  <si>
    <t>Enterprise Diversified Inc</t>
  </si>
  <si>
    <t>catg</t>
  </si>
  <si>
    <t>Capstone Technologies Group Inc</t>
  </si>
  <si>
    <t>tzup</t>
  </si>
  <si>
    <t>Thumzup Media Corp</t>
  </si>
  <si>
    <t>cnd</t>
  </si>
  <si>
    <t>Conduit Capital Limited</t>
  </si>
  <si>
    <t>turn</t>
  </si>
  <si>
    <t>180 Degree Capital Corp</t>
  </si>
  <si>
    <t>lvvr</t>
  </si>
  <si>
    <t>Lightstone Value Plus Reit III Inc</t>
  </si>
  <si>
    <t>stks</t>
  </si>
  <si>
    <t>One Group Hospitality Inc</t>
  </si>
  <si>
    <t>free</t>
  </si>
  <si>
    <t>tef</t>
  </si>
  <si>
    <t>Telefonica S.A.</t>
  </si>
  <si>
    <t>zhybf</t>
  </si>
  <si>
    <t>ZHONG YUAN BIO TECHNOLOGY HLDGS Ord Shs</t>
  </si>
  <si>
    <t>amc</t>
  </si>
  <si>
    <t>AMC Entertainment Holdings Inc</t>
  </si>
  <si>
    <t>exnn</t>
  </si>
  <si>
    <t>Exent Corp</t>
  </si>
  <si>
    <t>skye</t>
  </si>
  <si>
    <t>Skye Bioscience Inc</t>
  </si>
  <si>
    <t>ivac</t>
  </si>
  <si>
    <t>Intevac, Inc.</t>
  </si>
  <si>
    <t>brcc</t>
  </si>
  <si>
    <t>BRC Inc</t>
  </si>
  <si>
    <t>ww</t>
  </si>
  <si>
    <t>WW International Inc</t>
  </si>
  <si>
    <t>vmeo</t>
  </si>
  <si>
    <t>Vimeo Inc</t>
  </si>
  <si>
    <t>slcjy</t>
  </si>
  <si>
    <t>SLC Agricola ADR</t>
  </si>
  <si>
    <t>kod</t>
  </si>
  <si>
    <t>Kodiak Sciences Inc</t>
  </si>
  <si>
    <t>pct</t>
  </si>
  <si>
    <t>Purecycle Technologies Inc</t>
  </si>
  <si>
    <t>gotu</t>
  </si>
  <si>
    <t>Gaotu Techedu Inc</t>
  </si>
  <si>
    <t>rgbpp</t>
  </si>
  <si>
    <t>Regen Biopharma Pref Shs</t>
  </si>
  <si>
    <t>doma</t>
  </si>
  <si>
    <t>Doma Holdings Inc</t>
  </si>
  <si>
    <t>asys</t>
  </si>
  <si>
    <t>Amtech Systems, Inc.</t>
  </si>
  <si>
    <t>tpst</t>
  </si>
  <si>
    <t>Tempest Therapeutics Inc</t>
  </si>
  <si>
    <t>allo</t>
  </si>
  <si>
    <t>Allogene Therapeutics Inc</t>
  </si>
  <si>
    <t>thrx</t>
  </si>
  <si>
    <t>Theseus Pharmaceuticals Inc</t>
  </si>
  <si>
    <t>ilpt</t>
  </si>
  <si>
    <t>Industrial Logistics Properties Trust</t>
  </si>
  <si>
    <t>vsta</t>
  </si>
  <si>
    <t>Vasta Platform Ltd</t>
  </si>
  <si>
    <t>pbi</t>
  </si>
  <si>
    <t>Pitney Bowes Inc.</t>
  </si>
  <si>
    <t>ob</t>
  </si>
  <si>
    <t>Outbrain Inc</t>
  </si>
  <si>
    <t>mnmd</t>
  </si>
  <si>
    <t>Mind Medicine (MindMed) Inc</t>
  </si>
  <si>
    <t>ampx</t>
  </si>
  <si>
    <t>Amprius Technologies Inc</t>
  </si>
  <si>
    <t>brcpf</t>
  </si>
  <si>
    <t>BrasilAgro Braziln Agrclturl Real Est Co</t>
  </si>
  <si>
    <t>wrap</t>
  </si>
  <si>
    <t>Wrap Technologies Inc</t>
  </si>
  <si>
    <t>vvr</t>
  </si>
  <si>
    <t>Invesco Senior Income Trust</t>
  </si>
  <si>
    <t>nn</t>
  </si>
  <si>
    <t>Nextnav Inc</t>
  </si>
  <si>
    <t>rebn</t>
  </si>
  <si>
    <t>Reborn Coffee Inc</t>
  </si>
  <si>
    <t>rmcf</t>
  </si>
  <si>
    <t>Rocky Mountain Chclt Fctry nc (Dlwr)</t>
  </si>
  <si>
    <t>mfv</t>
  </si>
  <si>
    <t>MFS Special Value Trust</t>
  </si>
  <si>
    <t>tti</t>
  </si>
  <si>
    <t>Tetra Technologies Inc</t>
  </si>
  <si>
    <t>hlncf</t>
  </si>
  <si>
    <t>HALEON PLC</t>
  </si>
  <si>
    <t>pack</t>
  </si>
  <si>
    <t>Ranpak Holdings Corp</t>
  </si>
  <si>
    <t>avir</t>
  </si>
  <si>
    <t>Atea Pharmaceuticals Inc</t>
  </si>
  <si>
    <t>smwpy</t>
  </si>
  <si>
    <t>SMITHS NEWS ADR</t>
  </si>
  <si>
    <t>lian</t>
  </si>
  <si>
    <t>LianBio - ADR</t>
  </si>
  <si>
    <t>egy</t>
  </si>
  <si>
    <t>VAALCO Energy, Inc.</t>
  </si>
  <si>
    <t>0.28</t>
  </si>
  <si>
    <t>nisn</t>
  </si>
  <si>
    <t>Nisun Internatnal Entpre Dev Grp Co Ltd</t>
  </si>
  <si>
    <t>ibrx</t>
  </si>
  <si>
    <t>Immunitybio Inc</t>
  </si>
  <si>
    <t>bpiry</t>
  </si>
  <si>
    <t>Piraeus Financial Holdings ADR</t>
  </si>
  <si>
    <t>sabr</t>
  </si>
  <si>
    <t>Sabre Corp</t>
  </si>
  <si>
    <t>dxlg</t>
  </si>
  <si>
    <t>Destination XL Group Inc</t>
  </si>
  <si>
    <t>ispo</t>
  </si>
  <si>
    <t>tefof</t>
  </si>
  <si>
    <t>Telefonica SA</t>
  </si>
  <si>
    <t>prso</t>
  </si>
  <si>
    <t>Peraso Inc</t>
  </si>
  <si>
    <t>frg</t>
  </si>
  <si>
    <t>Firering Strategic Minerals Plc</t>
  </si>
  <si>
    <t>lfg</t>
  </si>
  <si>
    <t>Liberty Group</t>
  </si>
  <si>
    <t>rkunf</t>
  </si>
  <si>
    <t>Rakuten Group Inc</t>
  </si>
  <si>
    <t>san</t>
  </si>
  <si>
    <t>Banco Santander SA</t>
  </si>
  <si>
    <t>qbak</t>
  </si>
  <si>
    <t>Qualstar Corp</t>
  </si>
  <si>
    <t>lfly</t>
  </si>
  <si>
    <t>Leafly Holdings Inc</t>
  </si>
  <si>
    <t>lgst</t>
  </si>
  <si>
    <t>Semper Paratus Acquisition Corp</t>
  </si>
  <si>
    <t>iaf</t>
  </si>
  <si>
    <t>abrdn Australia Equity Fund, Inc</t>
  </si>
  <si>
    <t>impjy</t>
  </si>
  <si>
    <t>Webuild SpA Unsponsored ADR</t>
  </si>
  <si>
    <t>cdro</t>
  </si>
  <si>
    <t>Codere Online Luxembourg SA</t>
  </si>
  <si>
    <t>gthx</t>
  </si>
  <si>
    <t>G1 Therapeutics Inc</t>
  </si>
  <si>
    <t>lac</t>
  </si>
  <si>
    <t>Lithium Americas Corp</t>
  </si>
  <si>
    <t>clr</t>
  </si>
  <si>
    <t>Clerhp Estructuras SA</t>
  </si>
  <si>
    <t>czoo</t>
  </si>
  <si>
    <t>Cazoo Group Ltd</t>
  </si>
  <si>
    <t>pton</t>
  </si>
  <si>
    <t>Peloton Interactive Inc</t>
  </si>
  <si>
    <t>gb</t>
  </si>
  <si>
    <t>Global Blue Group Holding Ltd</t>
  </si>
  <si>
    <t>oil</t>
  </si>
  <si>
    <t>ltrn</t>
  </si>
  <si>
    <t>Lantern Pharma Inc</t>
  </si>
  <si>
    <t>lkcru</t>
  </si>
  <si>
    <t>Lake Area Corn Processors LLC</t>
  </si>
  <si>
    <t>celz</t>
  </si>
  <si>
    <t>Creative Medical Technology Holdings Inc</t>
  </si>
  <si>
    <t>guer</t>
  </si>
  <si>
    <t>Guerrilla RF Inc</t>
  </si>
  <si>
    <t>else</t>
  </si>
  <si>
    <t>Electro-Sensors Inc</t>
  </si>
  <si>
    <t>wvvip</t>
  </si>
  <si>
    <t>Willamette Valley Vineyards, Inc. Preferred Shares Series A</t>
  </si>
  <si>
    <t>fip</t>
  </si>
  <si>
    <t>Ftai Infrastructure Inc</t>
  </si>
  <si>
    <t>0.12</t>
  </si>
  <si>
    <t>meds</t>
  </si>
  <si>
    <t>Trxade Health Inc</t>
  </si>
  <si>
    <t>airg</t>
  </si>
  <si>
    <t>Airgain Inc</t>
  </si>
  <si>
    <t>fngd</t>
  </si>
  <si>
    <t>Bank of Montreal MicroSectors FANG Index 3X Inverse Leveraged ETN Exp 8 Jan 2038</t>
  </si>
  <si>
    <t>sght</t>
  </si>
  <si>
    <t>Sight Sciences Inc</t>
  </si>
  <si>
    <t>cmbm</t>
  </si>
  <si>
    <t>Cambium Networks Corp</t>
  </si>
  <si>
    <t>bcdrf</t>
  </si>
  <si>
    <t>Santander Group</t>
  </si>
  <si>
    <t>bdn</t>
  </si>
  <si>
    <t>Brandywine Realty Trust</t>
  </si>
  <si>
    <t>0.60</t>
  </si>
  <si>
    <t>nvno</t>
  </si>
  <si>
    <t>enVVeno Medical Corp</t>
  </si>
  <si>
    <t>ggb</t>
  </si>
  <si>
    <t>Gerdau SA ADR</t>
  </si>
  <si>
    <t>0.32</t>
  </si>
  <si>
    <t>ubsfy</t>
  </si>
  <si>
    <t>Ubi Soft Entertainment ADR Rep 1/5 Ord Shs</t>
  </si>
  <si>
    <t>rkuny</t>
  </si>
  <si>
    <t>Rakuten Group Inc - ADR</t>
  </si>
  <si>
    <t>cnsl</t>
  </si>
  <si>
    <t>Consolidated Communications Holdings Inc</t>
  </si>
  <si>
    <t>gety</t>
  </si>
  <si>
    <t>Getty Images Holdings Inc</t>
  </si>
  <si>
    <t>lxeh</t>
  </si>
  <si>
    <t>Lixiang Education Holding Co Ltd - ADR</t>
  </si>
  <si>
    <t>wish</t>
  </si>
  <si>
    <t>ContextLogic Inc</t>
  </si>
  <si>
    <t>upld</t>
  </si>
  <si>
    <t>Upland Software Inc</t>
  </si>
  <si>
    <t>ggrou</t>
  </si>
  <si>
    <t>Golden Growers Cooperative</t>
  </si>
  <si>
    <t>sidu</t>
  </si>
  <si>
    <t>Sidus Space Inc Class A</t>
  </si>
  <si>
    <t>edf</t>
  </si>
  <si>
    <t>Virtus Stone Harbor Emrgng Mrkt Incm Fnd</t>
  </si>
  <si>
    <t>0.72</t>
  </si>
  <si>
    <t>evax</t>
  </si>
  <si>
    <t>Evaxion Biotech A/S - ADR</t>
  </si>
  <si>
    <t>eod</t>
  </si>
  <si>
    <t>Allspring Global Dividend Opportunty Fnd</t>
  </si>
  <si>
    <t>0.43</t>
  </si>
  <si>
    <t>fath</t>
  </si>
  <si>
    <t>Fathom Digital Manufacturing Corp</t>
  </si>
  <si>
    <t>bdtx</t>
  </si>
  <si>
    <t>Black Diamond Therapeutics Inc</t>
  </si>
  <si>
    <t>alvow</t>
  </si>
  <si>
    <t>Alvotech</t>
  </si>
  <si>
    <t>xpon</t>
  </si>
  <si>
    <t>Expion360 Inc</t>
  </si>
  <si>
    <t>ktcc</t>
  </si>
  <si>
    <t>Key Tronic Corporation</t>
  </si>
  <si>
    <t>self</t>
  </si>
  <si>
    <t>Global Self Storage Inc</t>
  </si>
  <si>
    <t>abeo</t>
  </si>
  <si>
    <t>Abeona Therapeutics Inc</t>
  </si>
  <si>
    <t>absi</t>
  </si>
  <si>
    <t>Absci Corp</t>
  </si>
  <si>
    <t>avtx</t>
  </si>
  <si>
    <t>Avalo Therapeutics Inc</t>
  </si>
  <si>
    <t>cint</t>
  </si>
  <si>
    <t>Ci&amp;T Inc</t>
  </si>
  <si>
    <t>lpl</t>
  </si>
  <si>
    <t>LG Display Co Ltd</t>
  </si>
  <si>
    <t>augx</t>
  </si>
  <si>
    <t>Augmedix Inc</t>
  </si>
  <si>
    <t>pxs</t>
  </si>
  <si>
    <t>Pyxis Tankers Inc</t>
  </si>
  <si>
    <t>evlv</t>
  </si>
  <si>
    <t>Evolv Technologies Holdings Inc</t>
  </si>
  <si>
    <t>yosh</t>
  </si>
  <si>
    <t>Yoshiharu Global Co</t>
  </si>
  <si>
    <t>prt</t>
  </si>
  <si>
    <t>PermRock Royalty Trust</t>
  </si>
  <si>
    <t>ways</t>
  </si>
  <si>
    <t>New York Holding Corp</t>
  </si>
  <si>
    <t>omex</t>
  </si>
  <si>
    <t>Odyssey Marine Exploration Inc</t>
  </si>
  <si>
    <t>iii</t>
  </si>
  <si>
    <t>Information Services Group, Inc. Common Stock</t>
  </si>
  <si>
    <t>cmls</t>
  </si>
  <si>
    <t>Cumulus Media Inc</t>
  </si>
  <si>
    <t>yrd</t>
  </si>
  <si>
    <t>Yiren Digital Ltd - ADR</t>
  </si>
  <si>
    <t>owlt</t>
  </si>
  <si>
    <t>Owlet Inc</t>
  </si>
  <si>
    <t>eton</t>
  </si>
  <si>
    <t>Eton Pharmaceuticals Inc</t>
  </si>
  <si>
    <t>soph</t>
  </si>
  <si>
    <t>Sophia Genetics SA</t>
  </si>
  <si>
    <t>rklif</t>
  </si>
  <si>
    <t>Rentokil Initial plc</t>
  </si>
  <si>
    <t>eqx</t>
  </si>
  <si>
    <t>Equinox Gold Corp</t>
  </si>
  <si>
    <t>wcrs</t>
  </si>
  <si>
    <t>Western Capital Resources Inc</t>
  </si>
  <si>
    <t>rstn</t>
  </si>
  <si>
    <t>RDE Inc</t>
  </si>
  <si>
    <t>chmx</t>
  </si>
  <si>
    <t>Next-Chemx Corp</t>
  </si>
  <si>
    <t>ryam</t>
  </si>
  <si>
    <t>Rayonier Advanced Materials Inc</t>
  </si>
  <si>
    <t>pbaj</t>
  </si>
  <si>
    <t>Petro Usa Inc</t>
  </si>
  <si>
    <t>irns</t>
  </si>
  <si>
    <t>Ironstone Properties Inc</t>
  </si>
  <si>
    <t>ela</t>
  </si>
  <si>
    <t>Envela Corp</t>
  </si>
  <si>
    <t>pnbk</t>
  </si>
  <si>
    <t>Patriot National Bancorp Inc</t>
  </si>
  <si>
    <t>sdig</t>
  </si>
  <si>
    <t>Stronghold Digital Mining Inc</t>
  </si>
  <si>
    <t>hbio</t>
  </si>
  <si>
    <t>Harvard Bioscience, Inc.</t>
  </si>
  <si>
    <t>stro</t>
  </si>
  <si>
    <t>Sutro Biopharma Inc</t>
  </si>
  <si>
    <t>bvs</t>
  </si>
  <si>
    <t>Bioventus Inc</t>
  </si>
  <si>
    <t>nubi</t>
  </si>
  <si>
    <t>Nubia Brand International Corp</t>
  </si>
  <si>
    <t>edsa</t>
  </si>
  <si>
    <t>Edesa Biotech Inc</t>
  </si>
  <si>
    <t>meip</t>
  </si>
  <si>
    <t>MEI Pharma Inc</t>
  </si>
  <si>
    <t>hix</t>
  </si>
  <si>
    <t>Western Asset High Income Fund II Inc.</t>
  </si>
  <si>
    <t>tnya</t>
  </si>
  <si>
    <t>Tenaya Therapeutics Inc</t>
  </si>
  <si>
    <t>cixpf</t>
  </si>
  <si>
    <t>CaixaBank SA</t>
  </si>
  <si>
    <t>pgre</t>
  </si>
  <si>
    <t>Paramount Group Inc</t>
  </si>
  <si>
    <t>sand</t>
  </si>
  <si>
    <t>Sandstorm Gold Ltd</t>
  </si>
  <si>
    <t>daln</t>
  </si>
  <si>
    <t>Dallasnews Corp</t>
  </si>
  <si>
    <t>gifi</t>
  </si>
  <si>
    <t>Gulf Island Fabrication, Inc.</t>
  </si>
  <si>
    <t>maxn</t>
  </si>
  <si>
    <t>Maxeon Solar Technologies Ltd</t>
  </si>
  <si>
    <t>edd</t>
  </si>
  <si>
    <t>Mrgn Stnly Emrgng Mrkts Dmtc Dbt Fnd Inc</t>
  </si>
  <si>
    <t>0.34</t>
  </si>
  <si>
    <t>icl</t>
  </si>
  <si>
    <t>Icl Group Ltd</t>
  </si>
  <si>
    <t>rlmd</t>
  </si>
  <si>
    <t>Relmada Therapeutics Inc</t>
  </si>
  <si>
    <t>anix</t>
  </si>
  <si>
    <t>Anixa Biosciences Inc</t>
  </si>
  <si>
    <t>bchpy</t>
  </si>
  <si>
    <t>Brainchip Holdings ADR</t>
  </si>
  <si>
    <t>ophc</t>
  </si>
  <si>
    <t>OptimumBank Holdings, Inc.</t>
  </si>
  <si>
    <t>lwlg</t>
  </si>
  <si>
    <t>Lightwave Logic Inc</t>
  </si>
  <si>
    <t>ske</t>
  </si>
  <si>
    <t>Skeena Resources Ltd</t>
  </si>
  <si>
    <t>fll</t>
  </si>
  <si>
    <t>Full House Resorts Inc</t>
  </si>
  <si>
    <t>flux</t>
  </si>
  <si>
    <t>Flux Power Holdings Inc</t>
  </si>
  <si>
    <t>dibs</t>
  </si>
  <si>
    <t>1Stdibs.Com Inc</t>
  </si>
  <si>
    <t>hffg</t>
  </si>
  <si>
    <t>Hf Foods Group Inc</t>
  </si>
  <si>
    <t>nubiu</t>
  </si>
  <si>
    <t>Nubia Brand International Units</t>
  </si>
  <si>
    <t>duot</t>
  </si>
  <si>
    <t>Duos Technologies Group Inc</t>
  </si>
  <si>
    <t>twks</t>
  </si>
  <si>
    <t>Thoughtworks Holding Inc</t>
  </si>
  <si>
    <t>cgc</t>
  </si>
  <si>
    <t>Canopy Growth Corp</t>
  </si>
  <si>
    <t>mmt</t>
  </si>
  <si>
    <t>MFS Multimarket Income Trust</t>
  </si>
  <si>
    <t>opal</t>
  </si>
  <si>
    <t>Opal Fuels Inc</t>
  </si>
  <si>
    <t>tg</t>
  </si>
  <si>
    <t>Tredegar Corp</t>
  </si>
  <si>
    <t>0.26</t>
  </si>
  <si>
    <t>whlm</t>
  </si>
  <si>
    <t>Wilhelmina International Inc</t>
  </si>
  <si>
    <t>stok</t>
  </si>
  <si>
    <t>Stoke Therapeutics Inc</t>
  </si>
  <si>
    <t>siga</t>
  </si>
  <si>
    <t>SIGA Technologies Inc</t>
  </si>
  <si>
    <t>plug</t>
  </si>
  <si>
    <t>Plug Power Inc</t>
  </si>
  <si>
    <t>xpngf</t>
  </si>
  <si>
    <t>Xpeng Inc</t>
  </si>
  <si>
    <t>slng</t>
  </si>
  <si>
    <t>Stabilis Solutions Inc</t>
  </si>
  <si>
    <t>sjt</t>
  </si>
  <si>
    <t>San Juan Basin Royalty Trust</t>
  </si>
  <si>
    <t>fvti</t>
  </si>
  <si>
    <t>Fortune Valley Treasures Inc</t>
  </si>
  <si>
    <t>lyra</t>
  </si>
  <si>
    <t>Lyra Therapeutics Inc</t>
  </si>
  <si>
    <t>deca</t>
  </si>
  <si>
    <t>Denali Capital Acquisition Corp</t>
  </si>
  <si>
    <t>apld</t>
  </si>
  <si>
    <t>Applied Digital Corp</t>
  </si>
  <si>
    <t>ivvd</t>
  </si>
  <si>
    <t>Invivyd Inc</t>
  </si>
  <si>
    <t>roc</t>
  </si>
  <si>
    <t>Rockpool Acquisitions PLC</t>
  </si>
  <si>
    <t>alrn</t>
  </si>
  <si>
    <t>Aileron Therapeutics Inc</t>
  </si>
  <si>
    <t>dcth</t>
  </si>
  <si>
    <t>Delcath Systems Inc</t>
  </si>
  <si>
    <t>rskd</t>
  </si>
  <si>
    <t>Riskified Ltd</t>
  </si>
  <si>
    <t>loan</t>
  </si>
  <si>
    <t>Manhattan Bridge Capital Inc</t>
  </si>
  <si>
    <t>pbyi</t>
  </si>
  <si>
    <t>Puma Biotechnology Inc</t>
  </si>
  <si>
    <t>glue</t>
  </si>
  <si>
    <t>Monte Rosa Therapeutics Inc</t>
  </si>
  <si>
    <t>supv</t>
  </si>
  <si>
    <t>Grupo Supervielle SA -ADR</t>
  </si>
  <si>
    <t>tsi</t>
  </si>
  <si>
    <t>TCW Strategic Income Fund, Inc. common stock</t>
  </si>
  <si>
    <t>eu</t>
  </si>
  <si>
    <t>enCore Energy Corp</t>
  </si>
  <si>
    <t>ints</t>
  </si>
  <si>
    <t>Intensity Therapeutics Inc</t>
  </si>
  <si>
    <t>pcttu</t>
  </si>
  <si>
    <t>PureCycle Technologies Unit</t>
  </si>
  <si>
    <t>ttoo</t>
  </si>
  <si>
    <t>T2 Biosystems Inc</t>
  </si>
  <si>
    <t>finv</t>
  </si>
  <si>
    <t>FinVolution Group</t>
  </si>
  <si>
    <t>hbi</t>
  </si>
  <si>
    <t>Hanesbrands Inc.</t>
  </si>
  <si>
    <t>cim</t>
  </si>
  <si>
    <t>Chimera Investment Corporation</t>
  </si>
  <si>
    <t>0.71</t>
  </si>
  <si>
    <t>vtgn</t>
  </si>
  <si>
    <t>Vistagen Therapeutics Inc</t>
  </si>
  <si>
    <t>kvhi</t>
  </si>
  <si>
    <t>KVH Industries, Inc.</t>
  </si>
  <si>
    <t>qipt</t>
  </si>
  <si>
    <t>Quipt Home Medical Corp</t>
  </si>
  <si>
    <t>cogt</t>
  </si>
  <si>
    <t>Cogent Biosciences Inc</t>
  </si>
  <si>
    <t>ddd</t>
  </si>
  <si>
    <t>3D Systems Corp</t>
  </si>
  <si>
    <t>mrkr</t>
  </si>
  <si>
    <t>Marker Therapeutics Inc</t>
  </si>
  <si>
    <t>chci</t>
  </si>
  <si>
    <t>Comstock Holding Companies Inc</t>
  </si>
  <si>
    <t>derm</t>
  </si>
  <si>
    <t>Journey Medical Corp</t>
  </si>
  <si>
    <t>moln</t>
  </si>
  <si>
    <t>Molecular Partners AG</t>
  </si>
  <si>
    <t>sbsw</t>
  </si>
  <si>
    <t>Sibanye Stillwater Ltd</t>
  </si>
  <si>
    <t>aef</t>
  </si>
  <si>
    <t>abrdn Emerging Markets Eqty Incm Fd Inc</t>
  </si>
  <si>
    <t>0.39</t>
  </si>
  <si>
    <t>epsn</t>
  </si>
  <si>
    <t>Epsilon Energy Ltd</t>
  </si>
  <si>
    <t>tgan</t>
  </si>
  <si>
    <t>Transphorm Technology Inc</t>
  </si>
  <si>
    <t>achv</t>
  </si>
  <si>
    <t>Achieve Life Sciences Inc</t>
  </si>
  <si>
    <t>svra</t>
  </si>
  <si>
    <t>Savara Inc</t>
  </si>
  <si>
    <t>lifx</t>
  </si>
  <si>
    <t>Life360 Inc</t>
  </si>
  <si>
    <t>snmrf</t>
  </si>
  <si>
    <t>Snam SpA</t>
  </si>
  <si>
    <t>glo</t>
  </si>
  <si>
    <t>Clough Global Opportunities Fund</t>
  </si>
  <si>
    <t>0.58</t>
  </si>
  <si>
    <t>hlly</t>
  </si>
  <si>
    <t>Holley Inc</t>
  </si>
  <si>
    <t>tbla</t>
  </si>
  <si>
    <t>Taboola.com Ltd</t>
  </si>
  <si>
    <t>payo</t>
  </si>
  <si>
    <t>Payoneer Global Inc</t>
  </si>
  <si>
    <t>bdvc</t>
  </si>
  <si>
    <t>Franklin BSP Lending Corp</t>
  </si>
  <si>
    <t>cvv</t>
  </si>
  <si>
    <t>CVD Equipment Corporation</t>
  </si>
  <si>
    <t>aamc</t>
  </si>
  <si>
    <t>Altisource Asset Management Corp</t>
  </si>
  <si>
    <t>dlth</t>
  </si>
  <si>
    <t>Duluth Holdings Inc</t>
  </si>
  <si>
    <t>culp</t>
  </si>
  <si>
    <t>Culp Inc</t>
  </si>
  <si>
    <t>scph</t>
  </si>
  <si>
    <t>Scpharmaceuticals Inc</t>
  </si>
  <si>
    <t>onl</t>
  </si>
  <si>
    <t>Orion Office REIT Inc</t>
  </si>
  <si>
    <t>decau</t>
  </si>
  <si>
    <t>Denali Capital Acquisition Units</t>
  </si>
  <si>
    <t>conn</t>
  </si>
  <si>
    <t>Conn's Inc</t>
  </si>
  <si>
    <t>phk</t>
  </si>
  <si>
    <t>PIMCO High Income Fund</t>
  </si>
  <si>
    <t>achr</t>
  </si>
  <si>
    <t>Archer Aviation Inc</t>
  </si>
  <si>
    <t>bdco</t>
  </si>
  <si>
    <t>Blue Dolphin Energy Company</t>
  </si>
  <si>
    <t>nnbr</t>
  </si>
  <si>
    <t>NN Inc</t>
  </si>
  <si>
    <t>palt</t>
  </si>
  <si>
    <t>Paltalk Inc</t>
  </si>
  <si>
    <t>curv</t>
  </si>
  <si>
    <t>Torrid Holdings Inc</t>
  </si>
  <si>
    <t>spk</t>
  </si>
  <si>
    <t>Spark New Zealand Ltd</t>
  </si>
  <si>
    <t>oukpy</t>
  </si>
  <si>
    <t>Metso OYJ Unsponsored ADR</t>
  </si>
  <si>
    <t>cio</t>
  </si>
  <si>
    <t>City Office REIT Inc</t>
  </si>
  <si>
    <t>0.50</t>
  </si>
  <si>
    <t>gnt</t>
  </si>
  <si>
    <t>Gamco Natural Resources Gold &amp; Incm Trst</t>
  </si>
  <si>
    <t>pol</t>
  </si>
  <si>
    <t>Polished.Com Inc</t>
  </si>
  <si>
    <t>nrt</t>
  </si>
  <si>
    <t>North European Oil Royalty Trust</t>
  </si>
  <si>
    <t>pre</t>
  </si>
  <si>
    <t>Prenetics Global Ltd</t>
  </si>
  <si>
    <t>iti</t>
  </si>
  <si>
    <t>Iteris Inc</t>
  </si>
  <si>
    <t>prm</t>
  </si>
  <si>
    <t>Perimeter Solutions SA</t>
  </si>
  <si>
    <t>emms</t>
  </si>
  <si>
    <t>Emmis Corp</t>
  </si>
  <si>
    <t>npfc</t>
  </si>
  <si>
    <t>Newpoint Financial Corp</t>
  </si>
  <si>
    <t>oust</t>
  </si>
  <si>
    <t>Ouster Inc</t>
  </si>
  <si>
    <t>idbhf</t>
  </si>
  <si>
    <t>Industrias Bachoco, S.A.B. de C.V.</t>
  </si>
  <si>
    <t>graz</t>
  </si>
  <si>
    <t>Graze Pref Shs Series A</t>
  </si>
  <si>
    <t>jmkj</t>
  </si>
  <si>
    <t>Nine Alliance Science &amp; Technology Group</t>
  </si>
  <si>
    <t>nyx</t>
  </si>
  <si>
    <t>NYIAX</t>
  </si>
  <si>
    <t>expr</t>
  </si>
  <si>
    <t>Express Inc</t>
  </si>
  <si>
    <t>next</t>
  </si>
  <si>
    <t>Nextdecade Corp</t>
  </si>
  <si>
    <t>abcl</t>
  </si>
  <si>
    <t>AbCellera Biologics Inc</t>
  </si>
  <si>
    <t>ihd</t>
  </si>
  <si>
    <t>Voya Emerging Markets High Div Equity Fd</t>
  </si>
  <si>
    <t>atak</t>
  </si>
  <si>
    <t>Aurora Technology Acquisition Corp</t>
  </si>
  <si>
    <t>poahy</t>
  </si>
  <si>
    <t>Porsche Automobile Holding SE Unsponsored Germany ADR</t>
  </si>
  <si>
    <t>bami</t>
  </si>
  <si>
    <t>Banco BPM SpA</t>
  </si>
  <si>
    <t>gsm</t>
  </si>
  <si>
    <t>Ferroglobe PLC</t>
  </si>
  <si>
    <t>apph</t>
  </si>
  <si>
    <t>Apontis Pharma AG</t>
  </si>
  <si>
    <t>ino</t>
  </si>
  <si>
    <t>Inovio Pharmaceuticals Inc</t>
  </si>
  <si>
    <t>igd</t>
  </si>
  <si>
    <t>Voya Global Equity Div and Prem Oppty Fd</t>
  </si>
  <si>
    <t>lnd</t>
  </si>
  <si>
    <t>Brasilagro Brazilian Agriculture Real Estate ADR Representing One Ord Shs</t>
  </si>
  <si>
    <t>tern</t>
  </si>
  <si>
    <t>Terns Pharmaceuticals Inc</t>
  </si>
  <si>
    <t>lre</t>
  </si>
  <si>
    <t>Lead Real Estate Co Ltd</t>
  </si>
  <si>
    <t>clpr</t>
  </si>
  <si>
    <t>Clipper Realty Inc</t>
  </si>
  <si>
    <t>cpac</t>
  </si>
  <si>
    <t>Cementos Pacasmayo SAA - ADR</t>
  </si>
  <si>
    <t>fmcci</t>
  </si>
  <si>
    <t>Federal Home Loan Mortgage Variable Rate Pref Shs</t>
  </si>
  <si>
    <t>hty</t>
  </si>
  <si>
    <t>John Hancock Tax-Advntgd Glbl SH Yld Fd</t>
  </si>
  <si>
    <t>prph</t>
  </si>
  <si>
    <t>ProPhase Labs Inc</t>
  </si>
  <si>
    <t>bgfv</t>
  </si>
  <si>
    <t>Big 5 Sporting Goods Corp</t>
  </si>
  <si>
    <t>bcrx</t>
  </si>
  <si>
    <t>BioCryst Pharmaceuticals Inc</t>
  </si>
  <si>
    <t>gte</t>
  </si>
  <si>
    <t>Gran Tierra Energy Inc</t>
  </si>
  <si>
    <t>apt</t>
  </si>
  <si>
    <t>Alpha Pro Tech, Ltd.</t>
  </si>
  <si>
    <t>swvl</t>
  </si>
  <si>
    <t>Swvl Holdings Corp</t>
  </si>
  <si>
    <t>lhtv</t>
  </si>
  <si>
    <t>Lightstone Value Plus REIT Ord Shs</t>
  </si>
  <si>
    <t>ftco</t>
  </si>
  <si>
    <t>Fortitude Gold Corp</t>
  </si>
  <si>
    <t>ckhuy</t>
  </si>
  <si>
    <t>CK Hutchison Holdings ADR</t>
  </si>
  <si>
    <t>nrbo</t>
  </si>
  <si>
    <t>Neurobo Pharmaceuticals Inc</t>
  </si>
  <si>
    <t>fwbi</t>
  </si>
  <si>
    <t>First Wave BioPharma Inc</t>
  </si>
  <si>
    <t>trt</t>
  </si>
  <si>
    <t>Trio-Tech International</t>
  </si>
  <si>
    <t>rig</t>
  </si>
  <si>
    <t>Transocean LTD</t>
  </si>
  <si>
    <t>nrscf</t>
  </si>
  <si>
    <t>Nomura Holdings Inc</t>
  </si>
  <si>
    <t>mxct</t>
  </si>
  <si>
    <t>MaxCyte Inc</t>
  </si>
  <si>
    <t>cvmca</t>
  </si>
  <si>
    <t>Sila Realty Trust Inc</t>
  </si>
  <si>
    <t>siri</t>
  </si>
  <si>
    <t>Sirius XM Holdings Inc</t>
  </si>
  <si>
    <t>tei</t>
  </si>
  <si>
    <t>Templeton Emerging Markets Income Fund, Inc. Common Stock</t>
  </si>
  <si>
    <t>ocul</t>
  </si>
  <si>
    <t>Ocular Therapeutix Inc</t>
  </si>
  <si>
    <t>infn</t>
  </si>
  <si>
    <t>Infinera Corp.</t>
  </si>
  <si>
    <t>intr</t>
  </si>
  <si>
    <t>Inter &amp; Co Inc</t>
  </si>
  <si>
    <t>cmpo</t>
  </si>
  <si>
    <t>CompoSecure Inc</t>
  </si>
  <si>
    <t>htzww</t>
  </si>
  <si>
    <t>Hertz Global Holdings, Inc.</t>
  </si>
  <si>
    <t>mdrr</t>
  </si>
  <si>
    <t>Medalist Diversified REIT Inc</t>
  </si>
  <si>
    <t>jsbl</t>
  </si>
  <si>
    <t>JS Beauty Land Network Technology Inc</t>
  </si>
  <si>
    <t>wvvi</t>
  </si>
  <si>
    <t>Willamette Valley Vineyards, Inc.</t>
  </si>
  <si>
    <t>ppsi</t>
  </si>
  <si>
    <t>Pioneer Power Solutions, Inc.</t>
  </si>
  <si>
    <t>mfm</t>
  </si>
  <si>
    <t>MFS Municipal Income Trust</t>
  </si>
  <si>
    <t>nl</t>
  </si>
  <si>
    <t>NL Industries Inc</t>
  </si>
  <si>
    <t>iccc</t>
  </si>
  <si>
    <t>ImmuCell Corporation</t>
  </si>
  <si>
    <t>adma</t>
  </si>
  <si>
    <t>ADMA Biologics Inc</t>
  </si>
  <si>
    <t>crws</t>
  </si>
  <si>
    <t>Crown Crafts, Inc.</t>
  </si>
  <si>
    <t>tcrx</t>
  </si>
  <si>
    <t>Tscan Therapeutics Inc</t>
  </si>
  <si>
    <t>unit</t>
  </si>
  <si>
    <t>Uniti Group Inc</t>
  </si>
  <si>
    <t>mrvi</t>
  </si>
  <si>
    <t>Maravai Lifesciences Holdings Inc</t>
  </si>
  <si>
    <t>fco</t>
  </si>
  <si>
    <t>abrdn Global Income Fund Inc</t>
  </si>
  <si>
    <t>0.84</t>
  </si>
  <si>
    <t>scia</t>
  </si>
  <si>
    <t>SCI Engineered Materials Inc</t>
  </si>
  <si>
    <t>tsvt</t>
  </si>
  <si>
    <t>2Seventy Bio Inc</t>
  </si>
  <si>
    <t>fmccl</t>
  </si>
  <si>
    <t>Federal Home Loan Mortgage 5.97% Pref Shs</t>
  </si>
  <si>
    <t>igr</t>
  </si>
  <si>
    <t>CBRE Global Real Estate Income Fund</t>
  </si>
  <si>
    <t>gds</t>
  </si>
  <si>
    <t>GDS Holdings Ltd - ADR</t>
  </si>
  <si>
    <t>sbt</t>
  </si>
  <si>
    <t>Sterling Bancorp Inc</t>
  </si>
  <si>
    <t>gdxd</t>
  </si>
  <si>
    <t>MicroSectors Gold Miners 3X Inverse Leveraged ETN</t>
  </si>
  <si>
    <t>ckhuf</t>
  </si>
  <si>
    <t>CK Hutchison Holdings Ltd</t>
  </si>
  <si>
    <t>awh</t>
  </si>
  <si>
    <t>Aspira Women's Health Inc</t>
  </si>
  <si>
    <t>aeye</t>
  </si>
  <si>
    <t>Audioeye  Inc</t>
  </si>
  <si>
    <t>bgy</t>
  </si>
  <si>
    <t>BlackRock Enhanced Interntnl Dvdnd Trust</t>
  </si>
  <si>
    <t>labp</t>
  </si>
  <si>
    <t>Landos Biopharma Inc</t>
  </si>
  <si>
    <t>pixy</t>
  </si>
  <si>
    <t>ShiftPixy Inc</t>
  </si>
  <si>
    <t>jfin</t>
  </si>
  <si>
    <t>Jiayin Group Inc - ADR</t>
  </si>
  <si>
    <t>rvsb</t>
  </si>
  <si>
    <t>Riverview Bancorp Inc</t>
  </si>
  <si>
    <t>glcnf</t>
  </si>
  <si>
    <t>Glencore PLC</t>
  </si>
  <si>
    <t>asg</t>
  </si>
  <si>
    <t>Liberty All-Star Growth Fund, Inc. common stock</t>
  </si>
  <si>
    <t>epm</t>
  </si>
  <si>
    <t>Evolution Petroleum Corp</t>
  </si>
  <si>
    <t>esbs</t>
  </si>
  <si>
    <t>ES Bancshares Inc</t>
  </si>
  <si>
    <t>atnm</t>
  </si>
  <si>
    <t>Actinium Pharmaceuticals Inc</t>
  </si>
  <si>
    <t>fmccj</t>
  </si>
  <si>
    <t>Federal Home Loan Mortgage Non Cumulative Variable Rate Pref Shs</t>
  </si>
  <si>
    <t>inzy</t>
  </si>
  <si>
    <t>Inozyme Pharma Inc</t>
  </si>
  <si>
    <t>ztr</t>
  </si>
  <si>
    <t>The Zweig Total Return Fund, Inc. Common Stock</t>
  </si>
  <si>
    <t>qrteb</t>
  </si>
  <si>
    <t>Qurate Retail Inc Series B</t>
  </si>
  <si>
    <t>iso</t>
  </si>
  <si>
    <t>Isoenergy Ltd</t>
  </si>
  <si>
    <t>oxlc</t>
  </si>
  <si>
    <t>Oxford Lane Capital Corp</t>
  </si>
  <si>
    <t>chea</t>
  </si>
  <si>
    <t>Chenghe Acquisition Co</t>
  </si>
  <si>
    <t>crct</t>
  </si>
  <si>
    <t>Cricut Inc</t>
  </si>
  <si>
    <t>qsam</t>
  </si>
  <si>
    <t>Qsam Biosciences Inc</t>
  </si>
  <si>
    <t>coda</t>
  </si>
  <si>
    <t>Coda Octopus Group, Inc.</t>
  </si>
  <si>
    <t>apps</t>
  </si>
  <si>
    <t>Digital Turbine Inc</t>
  </si>
  <si>
    <t>cgau</t>
  </si>
  <si>
    <t>Centerra Gold Inc.</t>
  </si>
  <si>
    <t>gut</t>
  </si>
  <si>
    <t>Gabelli Utility Trust</t>
  </si>
  <si>
    <t>sboey</t>
  </si>
  <si>
    <t>Schoeller Bleckman Oilfld Eqpm Unsponsored Austria ADR</t>
  </si>
  <si>
    <t>jqc</t>
  </si>
  <si>
    <t>Nuveen Credit Strategies Income Fund</t>
  </si>
  <si>
    <t>cccc</t>
  </si>
  <si>
    <t>C4 Therapeutics Inc</t>
  </si>
  <si>
    <t>rvnc</t>
  </si>
  <si>
    <t>Revance Therapeutics Inc</t>
  </si>
  <si>
    <t>brag</t>
  </si>
  <si>
    <t>Bragg Gaming Group Inc</t>
  </si>
  <si>
    <t>gpmt</t>
  </si>
  <si>
    <t>Granite Point Mortgage Trust Inc</t>
  </si>
  <si>
    <t>qure</t>
  </si>
  <si>
    <t>Uniqure NV</t>
  </si>
  <si>
    <t>tbld</t>
  </si>
  <si>
    <t>Tinybuild Inc</t>
  </si>
  <si>
    <t>ulcc</t>
  </si>
  <si>
    <t>Frontier Group Holdings Inc</t>
  </si>
  <si>
    <t>gbat</t>
  </si>
  <si>
    <t>Grayscale Basic Attention Tkn Trst (BAT)</t>
  </si>
  <si>
    <t>howl</t>
  </si>
  <si>
    <t>Werewolf Therapeutics Inc</t>
  </si>
  <si>
    <t>glv</t>
  </si>
  <si>
    <t>Clough Global Dividend and Income Fund</t>
  </si>
  <si>
    <t>jctcf</t>
  </si>
  <si>
    <t>Jewett-Cameron Trading Company Ltd</t>
  </si>
  <si>
    <t>xbit</t>
  </si>
  <si>
    <t>XBiotech Inc</t>
  </si>
  <si>
    <t>grnt</t>
  </si>
  <si>
    <t>Granite Ridge Resources Inc</t>
  </si>
  <si>
    <t>olo</t>
  </si>
  <si>
    <t>Olo Inc</t>
  </si>
  <si>
    <t>fnmal</t>
  </si>
  <si>
    <t>Federal National Mortgage Association 4.75% Pref Shs Series M</t>
  </si>
  <si>
    <t>nmr</t>
  </si>
  <si>
    <t>eric</t>
  </si>
  <si>
    <t>Telefonaktiebolaget LM Ericsson - ADR</t>
  </si>
  <si>
    <t>erixf</t>
  </si>
  <si>
    <t>Telefonaktiebolaget LM Ericsson Class B</t>
  </si>
  <si>
    <t>jjetf</t>
  </si>
  <si>
    <t>Barclays Bk PLC iPath Bloomberg Energy Subindex Total Return ETN Exp 22nd Oct 2037</t>
  </si>
  <si>
    <t>fmcck</t>
  </si>
  <si>
    <t>Federal Home Loan Mortgage 5.79% Pref Shs</t>
  </si>
  <si>
    <t>fmccs</t>
  </si>
  <si>
    <t>Federal Home Loan Mortgage Variable Rate Perpetual Non Cumulative Pref Shs</t>
  </si>
  <si>
    <t>weth</t>
  </si>
  <si>
    <t>Wetouch Technology Ord Shs</t>
  </si>
  <si>
    <t>rsi</t>
  </si>
  <si>
    <t>Rush Street Interactive Inc</t>
  </si>
  <si>
    <t>ggt</t>
  </si>
  <si>
    <t>Gabelli Multimedia Trust Inc</t>
  </si>
  <si>
    <t>0.88</t>
  </si>
  <si>
    <t>ccel</t>
  </si>
  <si>
    <t>CRYO-CELL International, Inc.</t>
  </si>
  <si>
    <t>atds</t>
  </si>
  <si>
    <t>Data443 Risk Mitigation Inc</t>
  </si>
  <si>
    <t>smtk</t>
  </si>
  <si>
    <t>SmartKem Inc</t>
  </si>
  <si>
    <t>exod</t>
  </si>
  <si>
    <t>Exodus Movement Inc</t>
  </si>
  <si>
    <t>fnmfm</t>
  </si>
  <si>
    <t>Federal National Mortgage Association Pref Shs Series E</t>
  </si>
  <si>
    <t>curlf</t>
  </si>
  <si>
    <t>Curaleaf Holdings Inc</t>
  </si>
  <si>
    <t>kgc</t>
  </si>
  <si>
    <t>Kinross Gold Corporation</t>
  </si>
  <si>
    <t>amps</t>
  </si>
  <si>
    <t>Altus Power Inc</t>
  </si>
  <si>
    <t>silv</t>
  </si>
  <si>
    <t>SilverCrest Metals Inc</t>
  </si>
  <si>
    <t>amrx</t>
  </si>
  <si>
    <t>Amneal Pharmaceuticals Inc</t>
  </si>
  <si>
    <t>gikly</t>
  </si>
  <si>
    <t>Grifols SA - ADR ADR</t>
  </si>
  <si>
    <t>ff</t>
  </si>
  <si>
    <t>FutureFuel Corp</t>
  </si>
  <si>
    <t>0.24</t>
  </si>
  <si>
    <t>nio</t>
  </si>
  <si>
    <t>Nio Inc - ADR</t>
  </si>
  <si>
    <t>quad</t>
  </si>
  <si>
    <t>Quad/Graphics Inc</t>
  </si>
  <si>
    <t>fmccn</t>
  </si>
  <si>
    <t>Federal Home Loan Mortgage Variable Rate Non Cumulative Pref Shs</t>
  </si>
  <si>
    <t>hbm</t>
  </si>
  <si>
    <t>Hudbay Minerals Inc</t>
  </si>
  <si>
    <t>fnmag</t>
  </si>
  <si>
    <t>Federal National Mortgage Association 5.375% Preferred Shares Series I</t>
  </si>
  <si>
    <t>tkc</t>
  </si>
  <si>
    <t>Turkcell Iletisim Hizmetleri AS</t>
  </si>
  <si>
    <t>ugp</t>
  </si>
  <si>
    <t>Ultrapar Participacoes SA</t>
  </si>
  <si>
    <t>fmccm</t>
  </si>
  <si>
    <t>sklz</t>
  </si>
  <si>
    <t>Skillz Inc</t>
  </si>
  <si>
    <t>tse</t>
  </si>
  <si>
    <t>Trinseo PLC</t>
  </si>
  <si>
    <t>fmcch</t>
  </si>
  <si>
    <t>Federal Home Loan Mortgage 5.1% Pref Shs</t>
  </si>
  <si>
    <t>bkd</t>
  </si>
  <si>
    <t>Brookdale Senior Living, Inc.</t>
  </si>
  <si>
    <t>nvts</t>
  </si>
  <si>
    <t>Navitas Semiconductor Corp</t>
  </si>
  <si>
    <t>atgsf</t>
  </si>
  <si>
    <t>Autogrill Ord Shs</t>
  </si>
  <si>
    <t>innv</t>
  </si>
  <si>
    <t>InnovAge Holding Corp</t>
  </si>
  <si>
    <t>ncty</t>
  </si>
  <si>
    <t>The9 Ltd</t>
  </si>
  <si>
    <t>imrx</t>
  </si>
  <si>
    <t>Immuneering Corp</t>
  </si>
  <si>
    <t>fmccg</t>
  </si>
  <si>
    <t>Federal Home Loan Mortgage Floating Rate Pref Shs</t>
  </si>
  <si>
    <t>nwg</t>
  </si>
  <si>
    <t>Natwest Group PLC - ADR</t>
  </si>
  <si>
    <t>myna</t>
  </si>
  <si>
    <t>Mynaric ADS</t>
  </si>
  <si>
    <t>nnox</t>
  </si>
  <si>
    <t>Nano-X Imaging Ltd</t>
  </si>
  <si>
    <t>vrca</t>
  </si>
  <si>
    <t>Verrica Pharmaceuticals Inc</t>
  </si>
  <si>
    <t>fmckp</t>
  </si>
  <si>
    <t>Federal Home Loan Mortgage 5.7% Pref Shs</t>
  </si>
  <si>
    <t>qiwi</t>
  </si>
  <si>
    <t>Qiwi PLC</t>
  </si>
  <si>
    <t>knop</t>
  </si>
  <si>
    <t>KNOT Offshore Partners LP</t>
  </si>
  <si>
    <t>lfmd</t>
  </si>
  <si>
    <t>LifeMD Inc</t>
  </si>
  <si>
    <t>fmckk</t>
  </si>
  <si>
    <t>Federal Home Loan Mortgage 5% Pref Shs</t>
  </si>
  <si>
    <t>sotk</t>
  </si>
  <si>
    <t>Sono-Tek Corp</t>
  </si>
  <si>
    <t>mtls</t>
  </si>
  <si>
    <t>Materialise NV</t>
  </si>
  <si>
    <t>snce</t>
  </si>
  <si>
    <t>Science 37 Holdings Inc</t>
  </si>
  <si>
    <t>akya</t>
  </si>
  <si>
    <t>Akoya Biosciences Inc</t>
  </si>
  <si>
    <t>himx</t>
  </si>
  <si>
    <t>Himax Technologies, Inc.</t>
  </si>
  <si>
    <t>seat</t>
  </si>
  <si>
    <t>Vivid Seats Inc</t>
  </si>
  <si>
    <t>apre</t>
  </si>
  <si>
    <t>Aprea Therapeutics Inc</t>
  </si>
  <si>
    <t>kmda</t>
  </si>
  <si>
    <t>Kamada Ltd</t>
  </si>
  <si>
    <t>joby</t>
  </si>
  <si>
    <t>Joby Aviation Inc</t>
  </si>
  <si>
    <t>weat</t>
  </si>
  <si>
    <t>Teucrium Wheat Fund</t>
  </si>
  <si>
    <t>dsm</t>
  </si>
  <si>
    <t>Dreyfus Strategic Municipal Bond Fund, Inc. common stock</t>
  </si>
  <si>
    <t>avxl</t>
  </si>
  <si>
    <t>Anavex Life Sciences Corp</t>
  </si>
  <si>
    <t>fmccp</t>
  </si>
  <si>
    <t>Federal Home Loan Mortgage 6%  Pref Shs</t>
  </si>
  <si>
    <t>sana</t>
  </si>
  <si>
    <t>Sana Biotechnology Inc</t>
  </si>
  <si>
    <t>stly</t>
  </si>
  <si>
    <t>HG Holdings Inc</t>
  </si>
  <si>
    <t>bcrd</t>
  </si>
  <si>
    <t>Blueone Card Inc</t>
  </si>
  <si>
    <t>momo</t>
  </si>
  <si>
    <t>Hello Group Inc</t>
  </si>
  <si>
    <t>fregp</t>
  </si>
  <si>
    <t>Federal Home Loan Mortgage 5.81% Pref Shs</t>
  </si>
  <si>
    <t>wit</t>
  </si>
  <si>
    <t>Wipro Ltd</t>
  </si>
  <si>
    <t>iae</t>
  </si>
  <si>
    <t>Voya Asia Pacific High Divid Eqt Incm Fd</t>
  </si>
  <si>
    <t>pck</t>
  </si>
  <si>
    <t>PIMCO California Municipal Income Fnd II</t>
  </si>
  <si>
    <t>kos</t>
  </si>
  <si>
    <t>Kosmos Energy Ltd</t>
  </si>
  <si>
    <t>bsbr</t>
  </si>
  <si>
    <t>Banco Santander Brasil SA ADR</t>
  </si>
  <si>
    <t>bdj</t>
  </si>
  <si>
    <t>Bendigo and Adelaide Bank Ltd</t>
  </si>
  <si>
    <t>0.63</t>
  </si>
  <si>
    <t>clgn</t>
  </si>
  <si>
    <t>Collplant Biotechnologies Ltd - ADR</t>
  </si>
  <si>
    <t>fmcct</t>
  </si>
  <si>
    <t>Federal Home Loan Mortgage 6.42% Perpetual Pref Shs</t>
  </si>
  <si>
    <t>fnmao</t>
  </si>
  <si>
    <t>Federal National Mortgage Association Variable Rate Pref Shs Series G</t>
  </si>
  <si>
    <t>bpaqf</t>
  </si>
  <si>
    <t>BP plc</t>
  </si>
  <si>
    <t>aeg</t>
  </si>
  <si>
    <t>Aegon NV</t>
  </si>
  <si>
    <t>ajx</t>
  </si>
  <si>
    <t>Great Ajax Corp</t>
  </si>
  <si>
    <t>0.67</t>
  </si>
  <si>
    <t>bway</t>
  </si>
  <si>
    <t>Brainsway ADR Representing 2 Ord Shs</t>
  </si>
  <si>
    <t>auoty</t>
  </si>
  <si>
    <t>AUO Corp</t>
  </si>
  <si>
    <t>vlpny</t>
  </si>
  <si>
    <t>Voestalpine ADR</t>
  </si>
  <si>
    <t>big</t>
  </si>
  <si>
    <t>Big Lots Inc</t>
  </si>
  <si>
    <t>0.30</t>
  </si>
  <si>
    <t>tffp</t>
  </si>
  <si>
    <t>TFF Pharmaceuticals Inc</t>
  </si>
  <si>
    <t>ngl</t>
  </si>
  <si>
    <t>NGL Energy Partners LP</t>
  </si>
  <si>
    <t>alec</t>
  </si>
  <si>
    <t>Alector Inc</t>
  </si>
  <si>
    <t>exai</t>
  </si>
  <si>
    <t>Exscientia PLC</t>
  </si>
  <si>
    <t>trtx</t>
  </si>
  <si>
    <t>TPG RE Finance Trust Inc</t>
  </si>
  <si>
    <t>psec</t>
  </si>
  <si>
    <t>Prospect Capital Corporation</t>
  </si>
  <si>
    <t>egrx</t>
  </si>
  <si>
    <t>Eagle Pharmaceuticals Inc</t>
  </si>
  <si>
    <t>hrtg</t>
  </si>
  <si>
    <t>Heritage Insurance Holdings Inc</t>
  </si>
  <si>
    <t>cwgl</t>
  </si>
  <si>
    <t>Crimson Wine Group Ltd</t>
  </si>
  <si>
    <t>figs</t>
  </si>
  <si>
    <t>Figs Inc</t>
  </si>
  <si>
    <t>borr</t>
  </si>
  <si>
    <t>Borr Drilling Ltd</t>
  </si>
  <si>
    <t>cxdo</t>
  </si>
  <si>
    <t>Crexendo Inc</t>
  </si>
  <si>
    <t>orn</t>
  </si>
  <si>
    <t>Orion Group Holdings Inc</t>
  </si>
  <si>
    <t>fmcco</t>
  </si>
  <si>
    <t>gbtg</t>
  </si>
  <si>
    <t>Global Business Travel Group Inc</t>
  </si>
  <si>
    <t>ampy</t>
  </si>
  <si>
    <t>Amplify Energy Corp</t>
  </si>
  <si>
    <t>gnpx</t>
  </si>
  <si>
    <t>Genprex Ord Shs</t>
  </si>
  <si>
    <t>mgtx</t>
  </si>
  <si>
    <t>MeiraGTx Holdings PLC</t>
  </si>
  <si>
    <t>sesg</t>
  </si>
  <si>
    <t>SES SA</t>
  </si>
  <si>
    <t>aegof</t>
  </si>
  <si>
    <t>ango</t>
  </si>
  <si>
    <t>AngioDynamics, Inc.</t>
  </si>
  <si>
    <t>csbr</t>
  </si>
  <si>
    <t>Champions Oncology Inc</t>
  </si>
  <si>
    <t>ois</t>
  </si>
  <si>
    <t>Oil States International Inc</t>
  </si>
  <si>
    <t>sabs</t>
  </si>
  <si>
    <t>SAB Biotherapeutics Inc</t>
  </si>
  <si>
    <t>tsgtf</t>
  </si>
  <si>
    <t>Tsingtao Brewery Ord Shs H</t>
  </si>
  <si>
    <t>mrm</t>
  </si>
  <si>
    <t>Medirom Healthcare Technologies Inc</t>
  </si>
  <si>
    <t>jeq</t>
  </si>
  <si>
    <t>abrdn Japan Equity Fund Inc</t>
  </si>
  <si>
    <t>aqn</t>
  </si>
  <si>
    <t>Algonquin Power &amp; Utilities Corp</t>
  </si>
  <si>
    <t>0.47</t>
  </si>
  <si>
    <t>opxs</t>
  </si>
  <si>
    <t>Optex Systems Holdings Inc</t>
  </si>
  <si>
    <t>clar</t>
  </si>
  <si>
    <t>Clarus Corp</t>
  </si>
  <si>
    <t>mtlhf</t>
  </si>
  <si>
    <t>Mitsubishi Chemical Group Corp</t>
  </si>
  <si>
    <t>chw</t>
  </si>
  <si>
    <t>Calamos Global Dynamic Income Fund</t>
  </si>
  <si>
    <t>0.55</t>
  </si>
  <si>
    <t>prpo</t>
  </si>
  <si>
    <t>Precipio Inc</t>
  </si>
  <si>
    <t>pyn</t>
  </si>
  <si>
    <t>Pimco New York Municipal Income Fund III</t>
  </si>
  <si>
    <t>fanh</t>
  </si>
  <si>
    <t>Fanhua Inc - ADR</t>
  </si>
  <si>
    <t>leo</t>
  </si>
  <si>
    <t>BNY Mellon Strategic Municipals Inc</t>
  </si>
  <si>
    <t>nr</t>
  </si>
  <si>
    <t>Newpark Resources Inc</t>
  </si>
  <si>
    <t>acfn</t>
  </si>
  <si>
    <t>Acorn Energy Inc</t>
  </si>
  <si>
    <t>sfuny</t>
  </si>
  <si>
    <t>Fang Holdings Ltd</t>
  </si>
  <si>
    <t>wprt</t>
  </si>
  <si>
    <t>Westport Fuel Systems Inc</t>
  </si>
  <si>
    <t>fnmam</t>
  </si>
  <si>
    <t>Federal National Mortgage Association 5.81% Preferred Shares Series H</t>
  </si>
  <si>
    <t>dzgh</t>
  </si>
  <si>
    <t>Da Zhong Trading Group Holding Co</t>
  </si>
  <si>
    <t>lfst</t>
  </si>
  <si>
    <t>Lifestance Health Group Inc</t>
  </si>
  <si>
    <t>jmm</t>
  </si>
  <si>
    <t>Nuveen Multi Market Income Fund</t>
  </si>
  <si>
    <t>frejn</t>
  </si>
  <si>
    <t>Federal Home Loan Mortgage 5.81% Non Cumulative Perpetual Pref Shs</t>
  </si>
  <si>
    <t>autl</t>
  </si>
  <si>
    <t>Autolus Therapeutics PLC</t>
  </si>
  <si>
    <t>frejp</t>
  </si>
  <si>
    <t>Federal Home Loan Mortgage 5.3% Pref Shs</t>
  </si>
  <si>
    <t>nycb</t>
  </si>
  <si>
    <t>New York Community Bancorp, Inc.</t>
  </si>
  <si>
    <t>mq</t>
  </si>
  <si>
    <t>Marqeta Inc</t>
  </si>
  <si>
    <t>prdsf</t>
  </si>
  <si>
    <t>Prada SpA</t>
  </si>
  <si>
    <t>gnw</t>
  </si>
  <si>
    <t>Genworth Financial Inc</t>
  </si>
  <si>
    <t>arqt</t>
  </si>
  <si>
    <t>Arcutis Biotherapeutics Inc</t>
  </si>
  <si>
    <t>indi</t>
  </si>
  <si>
    <t>indie Semiconductor Inc</t>
  </si>
  <si>
    <t>agl</t>
  </si>
  <si>
    <t>Agilon Health Inc</t>
  </si>
  <si>
    <t>smwb</t>
  </si>
  <si>
    <t>Similarweb Ltd</t>
  </si>
  <si>
    <t>yext</t>
  </si>
  <si>
    <t>Yext Inc</t>
  </si>
  <si>
    <t>baer</t>
  </si>
  <si>
    <t>Bridger Aerospace Group Holdings Inc</t>
  </si>
  <si>
    <t>rcs</t>
  </si>
  <si>
    <t>Strategic Global Government Fund Inc. Closed-End Fund</t>
  </si>
  <si>
    <t>rlgt</t>
  </si>
  <si>
    <t>Radiant Logistics Inc</t>
  </si>
  <si>
    <t>fnmak</t>
  </si>
  <si>
    <t>Federal National Mortgage 5.5% Pref Shs Series N</t>
  </si>
  <si>
    <t>earn</t>
  </si>
  <si>
    <t>Ellington Residential Mortgage REIT</t>
  </si>
  <si>
    <t>pets</t>
  </si>
  <si>
    <t>Petmed Express Inc</t>
  </si>
  <si>
    <t>ufi</t>
  </si>
  <si>
    <t>Unifi Inc</t>
  </si>
  <si>
    <t>glq</t>
  </si>
  <si>
    <t>Clough Global Equity Fund</t>
  </si>
  <si>
    <t>naii</t>
  </si>
  <si>
    <t>Natural Alternatives International, Inc.</t>
  </si>
  <si>
    <t>batl</t>
  </si>
  <si>
    <t>Battalion Oil Corp</t>
  </si>
  <si>
    <t>fnmap</t>
  </si>
  <si>
    <t>Federal National Mortgage Association Variable Rate Pref Shs Series F</t>
  </si>
  <si>
    <t>vvos</t>
  </si>
  <si>
    <t>Vivos Therapeutics Inc</t>
  </si>
  <si>
    <t>osg</t>
  </si>
  <si>
    <t>Overseas Shipholding Group Inc.</t>
  </si>
  <si>
    <t>ymm</t>
  </si>
  <si>
    <t>Full Truck Alliance Co Ltd - ADR</t>
  </si>
  <si>
    <t>stkl</t>
  </si>
  <si>
    <t>Sunopta Inc</t>
  </si>
  <si>
    <t>lrmr</t>
  </si>
  <si>
    <t>Larimar Therapeutics Inc</t>
  </si>
  <si>
    <t>lgl</t>
  </si>
  <si>
    <t>LGL Group Inc</t>
  </si>
  <si>
    <t>mbi</t>
  </si>
  <si>
    <t>MBIA Inc</t>
  </si>
  <si>
    <t>mind</t>
  </si>
  <si>
    <t>Mind Technology Inc</t>
  </si>
  <si>
    <t>eex</t>
  </si>
  <si>
    <t>Emerald Holding Inc</t>
  </si>
  <si>
    <t>atip</t>
  </si>
  <si>
    <t>ATI Physical Therapy Inc</t>
  </si>
  <si>
    <t>cffn</t>
  </si>
  <si>
    <t>Capitol Federal Financial, Inc.</t>
  </si>
  <si>
    <t>tblt</t>
  </si>
  <si>
    <t>Toughbuilt Industries Inc</t>
  </si>
  <si>
    <t>inlx</t>
  </si>
  <si>
    <t>Intellinetics Inc</t>
  </si>
  <si>
    <t>fncb</t>
  </si>
  <si>
    <t>FNCB Bancorp Inc</t>
  </si>
  <si>
    <t>cdmo</t>
  </si>
  <si>
    <t>Avid Bioservices Inc</t>
  </si>
  <si>
    <t>gdrx</t>
  </si>
  <si>
    <t>Goodrx Holdings Inc</t>
  </si>
  <si>
    <t>mitt</t>
  </si>
  <si>
    <t>AG Mortgage Investment Trust Inc</t>
  </si>
  <si>
    <t>ds</t>
  </si>
  <si>
    <t>Dividend Select 15 Corp</t>
  </si>
  <si>
    <t>ree</t>
  </si>
  <si>
    <t>REE Automotive Ltd</t>
  </si>
  <si>
    <t>evex</t>
  </si>
  <si>
    <t>Eve Holding Inc</t>
  </si>
  <si>
    <t>cmtl</t>
  </si>
  <si>
    <t>Comtech Telecommunications Corp</t>
  </si>
  <si>
    <t>pmm</t>
  </si>
  <si>
    <t>Putnam Managed Municipal Income Trust</t>
  </si>
  <si>
    <t>fnman</t>
  </si>
  <si>
    <t>Federal National Mortgage 5.125% Pref Shs Series L</t>
  </si>
  <si>
    <t>aip</t>
  </si>
  <si>
    <t>Arteris Inc</t>
  </si>
  <si>
    <t>cpg</t>
  </si>
  <si>
    <t>Crescent Point Energy Corp</t>
  </si>
  <si>
    <t>fam</t>
  </si>
  <si>
    <t>First Trust/Abrdn Global Oppnty Incm Fnd</t>
  </si>
  <si>
    <t>byfc</t>
  </si>
  <si>
    <t>Broadway Financial Corp</t>
  </si>
  <si>
    <t>casi</t>
  </si>
  <si>
    <t>CASI Pharmaceuticals Inc</t>
  </si>
  <si>
    <t>ttsh</t>
  </si>
  <si>
    <t>Tile Shop Holdings Inc</t>
  </si>
  <si>
    <t>acco</t>
  </si>
  <si>
    <t>ACCO Brands Corp</t>
  </si>
  <si>
    <t>save</t>
  </si>
  <si>
    <t>Spirit Airlines Inc</t>
  </si>
  <si>
    <t>tdcx</t>
  </si>
  <si>
    <t>TDCX Inc</t>
  </si>
  <si>
    <t>ftf</t>
  </si>
  <si>
    <t>Franklin Limited Duration Income Trust</t>
  </si>
  <si>
    <t>nhtc</t>
  </si>
  <si>
    <t>Natural Health Trends Corp.</t>
  </si>
  <si>
    <t>gfasy</t>
  </si>
  <si>
    <t>Gafisa SA</t>
  </si>
  <si>
    <t>sfrgy</t>
  </si>
  <si>
    <t>Salvatore Ferragamo S P A Unsponsored Italy ADR</t>
  </si>
  <si>
    <t>gilt</t>
  </si>
  <si>
    <t>Gilat Satellite Networks Ltd.</t>
  </si>
  <si>
    <t>idr</t>
  </si>
  <si>
    <t>Idaho Strategic Resources Inc</t>
  </si>
  <si>
    <t>miuff</t>
  </si>
  <si>
    <t>Mitsubishi HC Capital Inc</t>
  </si>
  <si>
    <t>dsecf</t>
  </si>
  <si>
    <t>Daiwa Securities Group Inc</t>
  </si>
  <si>
    <t>bnkd</t>
  </si>
  <si>
    <t>MicroSectors U S Big Banks Index 3X Inverse Leveraged ETN</t>
  </si>
  <si>
    <t>fnmfn</t>
  </si>
  <si>
    <t>Federal National Mortgage Association Variable Rate Pref Shs Series O</t>
  </si>
  <si>
    <t>hmy</t>
  </si>
  <si>
    <t>Harmony Gold Mining Company Ltd</t>
  </si>
  <si>
    <t>city</t>
  </si>
  <si>
    <t>iShares Smart City Infrastructure UCITS ETF USDAcc</t>
  </si>
  <si>
    <t>bry</t>
  </si>
  <si>
    <t>Berry Corporation (Bry)</t>
  </si>
  <si>
    <t>0.42</t>
  </si>
  <si>
    <t>oia</t>
  </si>
  <si>
    <t>Invesco Municipal Income Opp Trust</t>
  </si>
  <si>
    <t>frln</t>
  </si>
  <si>
    <t>Freeline Therapeutics Holdings PLC</t>
  </si>
  <si>
    <t>bynd</t>
  </si>
  <si>
    <t>Beyond Meat Inc</t>
  </si>
  <si>
    <t>ntco</t>
  </si>
  <si>
    <t>Natura &amp;Co Holding American Depositary Shares Representing 2 Ord Shs</t>
  </si>
  <si>
    <t>rnw</t>
  </si>
  <si>
    <t>Renew Energy Global PLC</t>
  </si>
  <si>
    <t>ttnp</t>
  </si>
  <si>
    <t>Titan Pharmaceuticals, Inc. common stock</t>
  </si>
  <si>
    <t>stgw</t>
  </si>
  <si>
    <t>Stagwell Inc</t>
  </si>
  <si>
    <t>swn</t>
  </si>
  <si>
    <t>Southwestern Energy Co</t>
  </si>
  <si>
    <t>brd</t>
  </si>
  <si>
    <t>Braskem SA ADR</t>
  </si>
  <si>
    <t>pcf</t>
  </si>
  <si>
    <t>High Income Securities Fund</t>
  </si>
  <si>
    <t>mcr</t>
  </si>
  <si>
    <t>MFS Charter Income Trust</t>
  </si>
  <si>
    <t>sva</t>
  </si>
  <si>
    <t>Sinovac Biotech Ltd</t>
  </si>
  <si>
    <t>glasf</t>
  </si>
  <si>
    <t>Glass House Brands Inc</t>
  </si>
  <si>
    <t>alhc</t>
  </si>
  <si>
    <t>Alignment Healthcare Inc</t>
  </si>
  <si>
    <t>mx</t>
  </si>
  <si>
    <t>Magnachip Semiconductor Corp</t>
  </si>
  <si>
    <t>ktta</t>
  </si>
  <si>
    <t>Pasithea Therapeutics Corp</t>
  </si>
  <si>
    <t>ntz</t>
  </si>
  <si>
    <t>Natuzzi, S.p.A</t>
  </si>
  <si>
    <t>knit</t>
  </si>
  <si>
    <t>Kinetic Group Inc</t>
  </si>
  <si>
    <t>ep</t>
  </si>
  <si>
    <t>Empire Petroleum Corp</t>
  </si>
  <si>
    <t>eigr</t>
  </si>
  <si>
    <t>Eiger Biopharmaceuticals Inc</t>
  </si>
  <si>
    <t>cs</t>
  </si>
  <si>
    <t>Capstone Copper Corp</t>
  </si>
  <si>
    <t>ft</t>
  </si>
  <si>
    <t>Franklin Universal Trust</t>
  </si>
  <si>
    <t>fate</t>
  </si>
  <si>
    <t>Fate Therapeutics Inc</t>
  </si>
  <si>
    <t>obe</t>
  </si>
  <si>
    <t>Obsidian Energy Ltd</t>
  </si>
  <si>
    <t>dmf</t>
  </si>
  <si>
    <t>Bny Mellon Municipal Income Inc</t>
  </si>
  <si>
    <t>wegzy</t>
  </si>
  <si>
    <t>WEG Industries</t>
  </si>
  <si>
    <t>itub</t>
  </si>
  <si>
    <t>Itau Unibanco Holding SA ADR</t>
  </si>
  <si>
    <t>mhf</t>
  </si>
  <si>
    <t>Western Asset Municipal Hgh Incm Fnd Inc</t>
  </si>
  <si>
    <t>ltrx</t>
  </si>
  <si>
    <t>Lantronix Inc</t>
  </si>
  <si>
    <t>nml</t>
  </si>
  <si>
    <t>Neuberger Brmn Egy Iftrt and Inm Fnd Inc</t>
  </si>
  <si>
    <t>adt</t>
  </si>
  <si>
    <t>ADT Inc</t>
  </si>
  <si>
    <t>cvgi</t>
  </si>
  <si>
    <t>Commercial Vehicle Group, Inc.</t>
  </si>
  <si>
    <t>nwtn</t>
  </si>
  <si>
    <t>NWTN Inc</t>
  </si>
  <si>
    <t>catl</t>
  </si>
  <si>
    <t>Wisdomtree Live Cattle ETC</t>
  </si>
  <si>
    <t>mntk</t>
  </si>
  <si>
    <t>Montauk Renewables Inc</t>
  </si>
  <si>
    <t>usa</t>
  </si>
  <si>
    <t>Liberty All-Star Equity Fund common stock</t>
  </si>
  <si>
    <t>inn</t>
  </si>
  <si>
    <t>Summit Hotel Properties Inc</t>
  </si>
  <si>
    <t>evf</t>
  </si>
  <si>
    <t>Eaton Vance Senior Income Trust</t>
  </si>
  <si>
    <t>0.66</t>
  </si>
  <si>
    <t>gifof</t>
  </si>
  <si>
    <t>Grifols SA Preference Shares Class B</t>
  </si>
  <si>
    <t>esocf</t>
  </si>
  <si>
    <t>Enel S.p.A. Ordinary Shares</t>
  </si>
  <si>
    <t>ingn</t>
  </si>
  <si>
    <t>Inogen Inc</t>
  </si>
  <si>
    <t>enlay</t>
  </si>
  <si>
    <t>Enel S.p.A. ADS Common Stock</t>
  </si>
  <si>
    <t>ead</t>
  </si>
  <si>
    <t>Wells Fargo Advantage Income Opportunities Fund Common Stock</t>
  </si>
  <si>
    <t>0.59</t>
  </si>
  <si>
    <t>uis</t>
  </si>
  <si>
    <t>Unisys Corp</t>
  </si>
  <si>
    <t>pdm</t>
  </si>
  <si>
    <t>Piedmont Office Realty Trust, Inc.</t>
  </si>
  <si>
    <t>rwt</t>
  </si>
  <si>
    <t>Redwood Trust Inc</t>
  </si>
  <si>
    <t>adtn</t>
  </si>
  <si>
    <t>Adtran Holdings Inc</t>
  </si>
  <si>
    <t>ctos</t>
  </si>
  <si>
    <t>Custom Truck One Source Inc</t>
  </si>
  <si>
    <t>minm</t>
  </si>
  <si>
    <t>Minim Inc</t>
  </si>
  <si>
    <t>crbu</t>
  </si>
  <si>
    <t>Caribou Biosciences Inc</t>
  </si>
  <si>
    <t>qrhc</t>
  </si>
  <si>
    <t>Quest Resource Holding Corp</t>
  </si>
  <si>
    <t>pacb</t>
  </si>
  <si>
    <t>Pacific Biosciences of California Inc</t>
  </si>
  <si>
    <t>acp</t>
  </si>
  <si>
    <t>abrdn Income Credit Strategies Fund</t>
  </si>
  <si>
    <t>1.20</t>
  </si>
  <si>
    <t>nxdt</t>
  </si>
  <si>
    <t>NexPoint Diversified Real Estate Trust</t>
  </si>
  <si>
    <t>dseey</t>
  </si>
  <si>
    <t>Daiwa Securities Group Inc - ADR</t>
  </si>
  <si>
    <t>ptaiy</t>
  </si>
  <si>
    <t>Pt Astra International TBK Unsponsored Indonesia ADR</t>
  </si>
  <si>
    <t>tisi</t>
  </si>
  <si>
    <t>Team Inc</t>
  </si>
  <si>
    <t>fpl</t>
  </si>
  <si>
    <t>First Trust New Opprtnts MLP &amp; Engy Fd</t>
  </si>
  <si>
    <t>wald</t>
  </si>
  <si>
    <t>Waldencast PLC</t>
  </si>
  <si>
    <t>rmbl</t>
  </si>
  <si>
    <t>RumbleON Inc</t>
  </si>
  <si>
    <t>ctlp</t>
  </si>
  <si>
    <t>Cantaloupe Inc</t>
  </si>
  <si>
    <t>vrnof</t>
  </si>
  <si>
    <t>Verano Holdings Corp</t>
  </si>
  <si>
    <t>pypd</t>
  </si>
  <si>
    <t>Polypid Ltd</t>
  </si>
  <si>
    <t>lila</t>
  </si>
  <si>
    <t>Liberty Latin America Ltd Class A</t>
  </si>
  <si>
    <t>cato</t>
  </si>
  <si>
    <t>Cato Corp</t>
  </si>
  <si>
    <t>bpxxy</t>
  </si>
  <si>
    <t>BPER BANCA S P A Unsponsored ADR</t>
  </si>
  <si>
    <t>rsvr</t>
  </si>
  <si>
    <t>Reservoir Media Inc</t>
  </si>
  <si>
    <t>pnnt</t>
  </si>
  <si>
    <t>PennantPark Investment Corp.</t>
  </si>
  <si>
    <t>lilak</t>
  </si>
  <si>
    <t>Liberty Latin America Ltd Class C</t>
  </si>
  <si>
    <t>phat</t>
  </si>
  <si>
    <t>Phathom Pharmaceuticals Inc</t>
  </si>
  <si>
    <t>coe</t>
  </si>
  <si>
    <t>51Talk Online Education Group</t>
  </si>
  <si>
    <t>lcfy</t>
  </si>
  <si>
    <t>Locafy Ltd</t>
  </si>
  <si>
    <t>immr</t>
  </si>
  <si>
    <t>Immersion Corporation</t>
  </si>
  <si>
    <t>hfro</t>
  </si>
  <si>
    <t>Highland Opportunities and Income Fund Closed-Ended Fund</t>
  </si>
  <si>
    <t>qs</t>
  </si>
  <si>
    <t>Quantumscape Corp</t>
  </si>
  <si>
    <t>hsdt</t>
  </si>
  <si>
    <t>Helius Medical Technologies Inc</t>
  </si>
  <si>
    <t>tela</t>
  </si>
  <si>
    <t>TELA Bio Inc</t>
  </si>
  <si>
    <t>lnkb</t>
  </si>
  <si>
    <t>LINKBANCORP Inc</t>
  </si>
  <si>
    <t>kala</t>
  </si>
  <si>
    <t>KALA BIO Inc</t>
  </si>
  <si>
    <t>msd</t>
  </si>
  <si>
    <t>Morgan Stanley Emerging Mkt Debt FundInc</t>
  </si>
  <si>
    <t>hnna</t>
  </si>
  <si>
    <t>Hennessy Advisors Inc</t>
  </si>
  <si>
    <t>roll</t>
  </si>
  <si>
    <t>Ish Bbg Enh Roll Yld Swap Cmdt ETF</t>
  </si>
  <si>
    <t>dpsi</t>
  </si>
  <si>
    <t>DecisionPoint Systems Inc</t>
  </si>
  <si>
    <t>iehc</t>
  </si>
  <si>
    <t>IEH Corp</t>
  </si>
  <si>
    <t>glbz</t>
  </si>
  <si>
    <t>Glen Burnie Bancorp</t>
  </si>
  <si>
    <t>acrg</t>
  </si>
  <si>
    <t>American Clean Resources Group Inc</t>
  </si>
  <si>
    <t>lesl</t>
  </si>
  <si>
    <t>Leslie's Inc</t>
  </si>
  <si>
    <t>xbiow</t>
  </si>
  <si>
    <t>XENETIC BIOSCIENCES (UK) LIMITED</t>
  </si>
  <si>
    <t>tdcb</t>
  </si>
  <si>
    <t>Third Century Bancorp Ord Shs</t>
  </si>
  <si>
    <t>spir</t>
  </si>
  <si>
    <t>Spire Global Inc</t>
  </si>
  <si>
    <t>sldb</t>
  </si>
  <si>
    <t>Solid Biosciences Inc</t>
  </si>
  <si>
    <t>brsp</t>
  </si>
  <si>
    <t>Brightspire Capital Inc</t>
  </si>
  <si>
    <t>cohn</t>
  </si>
  <si>
    <t>Cohen &amp; Company Inc</t>
  </si>
  <si>
    <t>mvf</t>
  </si>
  <si>
    <t>BlackRock MuniVest Fund Inc</t>
  </si>
  <si>
    <t>nick</t>
  </si>
  <si>
    <t>Nicholas Financial Inc</t>
  </si>
  <si>
    <t>nvct</t>
  </si>
  <si>
    <t>Nuvectis Pharma Inc</t>
  </si>
  <si>
    <t>res</t>
  </si>
  <si>
    <t>RPC Inc</t>
  </si>
  <si>
    <t>muln</t>
  </si>
  <si>
    <t>Mullen Automotive Inc</t>
  </si>
  <si>
    <t>uwmc</t>
  </si>
  <si>
    <t>UWM Holdings Corp</t>
  </si>
  <si>
    <t>cgnt</t>
  </si>
  <si>
    <t>Cognyte Software Ltd</t>
  </si>
  <si>
    <t>lpro</t>
  </si>
  <si>
    <t>Open Lending Corp</t>
  </si>
  <si>
    <t>mcn</t>
  </si>
  <si>
    <t>Madison Covered Call &amp; Equity Strtgy Fd</t>
  </si>
  <si>
    <t>bak</t>
  </si>
  <si>
    <t>tbba</t>
  </si>
  <si>
    <t>Teb Bancorp Inc</t>
  </si>
  <si>
    <t>msc</t>
  </si>
  <si>
    <t>Studio City International Hldg Ltd</t>
  </si>
  <si>
    <t>ulbi</t>
  </si>
  <si>
    <t>Ultralife Corp</t>
  </si>
  <si>
    <t>edit</t>
  </si>
  <si>
    <t>Editas Medicine Inc</t>
  </si>
  <si>
    <t>loma</t>
  </si>
  <si>
    <t>Loma Negra Compania Indl Argntna SA-ADR</t>
  </si>
  <si>
    <t>clpt</t>
  </si>
  <si>
    <t>Clearpoint Neuro Inc</t>
  </si>
  <si>
    <t>mass</t>
  </si>
  <si>
    <t>908 Devices Inc.</t>
  </si>
  <si>
    <t>tac</t>
  </si>
  <si>
    <t>TransAlta Corp</t>
  </si>
  <si>
    <t>vzio</t>
  </si>
  <si>
    <t>Vizio Holding Corp</t>
  </si>
  <si>
    <t>pltk</t>
  </si>
  <si>
    <t>Playtika Holding Corp</t>
  </si>
  <si>
    <t>nesr</t>
  </si>
  <si>
    <t>National Energy Services Reunited Corp</t>
  </si>
  <si>
    <t>nexa</t>
  </si>
  <si>
    <t>Nexa Resources SA</t>
  </si>
  <si>
    <t>ehi</t>
  </si>
  <si>
    <t>Western Asset Global High Income Fnd Inc</t>
  </si>
  <si>
    <t>0.79</t>
  </si>
  <si>
    <t>crf</t>
  </si>
  <si>
    <t>Cornerstone Total Return Fund Inc</t>
  </si>
  <si>
    <t>1.39</t>
  </si>
  <si>
    <t>zivo</t>
  </si>
  <si>
    <t>Zivo Bioscience Inc</t>
  </si>
  <si>
    <t>eaas</t>
  </si>
  <si>
    <t>Eenergy Group PLC</t>
  </si>
  <si>
    <t>dma</t>
  </si>
  <si>
    <t>Destra Multi-Alternative Fund</t>
  </si>
  <si>
    <t>gass</t>
  </si>
  <si>
    <t>StealthGas Inc</t>
  </si>
  <si>
    <t>evo</t>
  </si>
  <si>
    <t>Evotec SE</t>
  </si>
  <si>
    <t>rptx</t>
  </si>
  <si>
    <t>Repare Therapeutics Inc</t>
  </si>
  <si>
    <t>jpc</t>
  </si>
  <si>
    <t>Nuveen Preferred &amp; Income Oprtnts Fnd</t>
  </si>
  <si>
    <t>krny</t>
  </si>
  <si>
    <t>Kearny Financial Corp.</t>
  </si>
  <si>
    <t>tdf</t>
  </si>
  <si>
    <t>Templeton Dragon Fund Inc common stock</t>
  </si>
  <si>
    <t>luna</t>
  </si>
  <si>
    <t>Luna Innovations Inc</t>
  </si>
  <si>
    <t>agti</t>
  </si>
  <si>
    <t>Agiliti Inc</t>
  </si>
  <si>
    <t>clm</t>
  </si>
  <si>
    <t>Cornerstone Strategic Value Fund Inc.</t>
  </si>
  <si>
    <t>1.46</t>
  </si>
  <si>
    <t>fatbb</t>
  </si>
  <si>
    <t>FAT Brands Inc Class B</t>
  </si>
  <si>
    <t>tf</t>
  </si>
  <si>
    <t>Timbercreek Financial Corp</t>
  </si>
  <si>
    <t>geni</t>
  </si>
  <si>
    <t>Genius Sports Ltd</t>
  </si>
  <si>
    <t>uwhr</t>
  </si>
  <si>
    <t>Uwharrie Capital Corp</t>
  </si>
  <si>
    <t>ehth</t>
  </si>
  <si>
    <t>eHealth Inc</t>
  </si>
  <si>
    <t>beem</t>
  </si>
  <si>
    <t>soi</t>
  </si>
  <si>
    <t>Solaris Oilfield Infrastructure Inc</t>
  </si>
  <si>
    <t>hut</t>
  </si>
  <si>
    <t>Hut 8 Corp</t>
  </si>
  <si>
    <t>bouyy</t>
  </si>
  <si>
    <t>Bouygues ADR 5 Ord</t>
  </si>
  <si>
    <t>adse</t>
  </si>
  <si>
    <t>mrcc</t>
  </si>
  <si>
    <t>Monroe Capital Corp</t>
  </si>
  <si>
    <t>fatbw</t>
  </si>
  <si>
    <t>FAT Brands</t>
  </si>
  <si>
    <t>pht</t>
  </si>
  <si>
    <t>Pioneer High Income Fund Inc</t>
  </si>
  <si>
    <t>repl</t>
  </si>
  <si>
    <t>Replimune Group Inc</t>
  </si>
  <si>
    <t>hyb</t>
  </si>
  <si>
    <t>New America High Income Fund Inc.</t>
  </si>
  <si>
    <t>nbtx</t>
  </si>
  <si>
    <t>Nanobiotix SA - ADR</t>
  </si>
  <si>
    <t>mux</t>
  </si>
  <si>
    <t>McEwen Mining Inc</t>
  </si>
  <si>
    <t>sowg</t>
  </si>
  <si>
    <t>Sow Good Inc</t>
  </si>
  <si>
    <t>fgpr</t>
  </si>
  <si>
    <t>Ferrellgas Partners LP</t>
  </si>
  <si>
    <t>xflt</t>
  </si>
  <si>
    <t>XAI Octagon Fltng Rt &amp; Altr Inc Trm Trst</t>
  </si>
  <si>
    <t>pmx</t>
  </si>
  <si>
    <t>Pimco Municipal Income Fund III</t>
  </si>
  <si>
    <t>osur</t>
  </si>
  <si>
    <t>OraSure Technologies, Inc.</t>
  </si>
  <si>
    <t>sncr</t>
  </si>
  <si>
    <t>Synchronoss Technologies Inc</t>
  </si>
  <si>
    <t>lvvp</t>
  </si>
  <si>
    <t>Lightstone Value Plus Reit V Inc</t>
  </si>
  <si>
    <t>vygr</t>
  </si>
  <si>
    <t>Voyager Therapeutics Inc</t>
  </si>
  <si>
    <t>airs</t>
  </si>
  <si>
    <t>Airsculpt Technologies Inc</t>
  </si>
  <si>
    <t>ihta</t>
  </si>
  <si>
    <t>Invesco High Income 2024 Target Term Mutual Fund</t>
  </si>
  <si>
    <t>pzc</t>
  </si>
  <si>
    <t>PIMCO California Municipal Incom Fnd Iii</t>
  </si>
  <si>
    <t>pfn</t>
  </si>
  <si>
    <t>Pimco Income Strategy Fund II</t>
  </si>
  <si>
    <t>mfd</t>
  </si>
  <si>
    <t>Macquarie/first Trust Glbl nfrstrctr/tlt</t>
  </si>
  <si>
    <t>ahco</t>
  </si>
  <si>
    <t>Adapthealth Corp</t>
  </si>
  <si>
    <t>aiv</t>
  </si>
  <si>
    <t>Apartment Investment and Management Co</t>
  </si>
  <si>
    <t>alna</t>
  </si>
  <si>
    <t>Alina Holdings PLC</t>
  </si>
  <si>
    <t>surg</t>
  </si>
  <si>
    <t>Surgepays Inc</t>
  </si>
  <si>
    <t>cdlx</t>
  </si>
  <si>
    <t>Cardlytics Inc</t>
  </si>
  <si>
    <t>ua</t>
  </si>
  <si>
    <t>Under Armour Inc Class C</t>
  </si>
  <si>
    <t>cxh</t>
  </si>
  <si>
    <t>MFS Investment Grade Municipal Trust</t>
  </si>
  <si>
    <t>tlys</t>
  </si>
  <si>
    <t>Tillys Inc</t>
  </si>
  <si>
    <t>jrs</t>
  </si>
  <si>
    <t>Nuveen Real Estate Income Fund</t>
  </si>
  <si>
    <t>tlis</t>
  </si>
  <si>
    <t>Talis Biomedical Corp</t>
  </si>
  <si>
    <t>cmax</t>
  </si>
  <si>
    <t>Caremax Inc</t>
  </si>
  <si>
    <t>aatc</t>
  </si>
  <si>
    <t>Autoscope Technologies Corp</t>
  </si>
  <si>
    <t>ipwr</t>
  </si>
  <si>
    <t>Ideal Power Inc</t>
  </si>
  <si>
    <t>cen</t>
  </si>
  <si>
    <t>Contact Energy Limited</t>
  </si>
  <si>
    <t>brw</t>
  </si>
  <si>
    <t>Saba Capital Income &amp; Opportunities Fund</t>
  </si>
  <si>
    <t>1.02</t>
  </si>
  <si>
    <t>hbcyf</t>
  </si>
  <si>
    <t>HSBC Holdings plc</t>
  </si>
  <si>
    <t>tact</t>
  </si>
  <si>
    <t>TransAct Technologies Inc</t>
  </si>
  <si>
    <t>pni</t>
  </si>
  <si>
    <t>PIMCO New York Municipal Income Fund II</t>
  </si>
  <si>
    <t>pgp</t>
  </si>
  <si>
    <t>PIMCO Global StocksPLUS &amp; Income Fund</t>
  </si>
  <si>
    <t>snnf</t>
  </si>
  <si>
    <t>Seneca Financial Corp</t>
  </si>
  <si>
    <t>orpb</t>
  </si>
  <si>
    <t>Oregon Pacific Bancorp Common Stock</t>
  </si>
  <si>
    <t>vhc</t>
  </si>
  <si>
    <t>VirnetX Holding Corporation</t>
  </si>
  <si>
    <t>umc</t>
  </si>
  <si>
    <t>United Microelectronics Corp</t>
  </si>
  <si>
    <t>wttr</t>
  </si>
  <si>
    <t>Select Water Solutions Inc</t>
  </si>
  <si>
    <t>crk</t>
  </si>
  <si>
    <t>Comstock Resources Inc</t>
  </si>
  <si>
    <t>fund</t>
  </si>
  <si>
    <t>Sprott Focus Trust, Inc. Common Stock</t>
  </si>
  <si>
    <t>pslv</t>
  </si>
  <si>
    <t>Sprott Physical Silver Trust</t>
  </si>
  <si>
    <t>hhs</t>
  </si>
  <si>
    <t>Harte Hanks Inc</t>
  </si>
  <si>
    <t>syrs</t>
  </si>
  <si>
    <t>Syros Pharmaceuticals Inc</t>
  </si>
  <si>
    <t>ghrs</t>
  </si>
  <si>
    <t>GH Research PLC</t>
  </si>
  <si>
    <t>scwx</t>
  </si>
  <si>
    <t>Secureworks Corp</t>
  </si>
  <si>
    <t>jof</t>
  </si>
  <si>
    <t>Japan Smaller Capitalization Fund Inc common stock</t>
  </si>
  <si>
    <t>glpey</t>
  </si>
  <si>
    <t>Galp Energia ADR</t>
  </si>
  <si>
    <t>gldd</t>
  </si>
  <si>
    <t>Great Lakes Dredge &amp; Dock Corporation</t>
  </si>
  <si>
    <t>lxu</t>
  </si>
  <si>
    <t>LSB Industries Inc</t>
  </si>
  <si>
    <t>auph</t>
  </si>
  <si>
    <t>Aurinia Pharmaceuticals Inc</t>
  </si>
  <si>
    <t>dakt</t>
  </si>
  <si>
    <t>Daktronics Inc</t>
  </si>
  <si>
    <t>bcs</t>
  </si>
  <si>
    <t>cizn</t>
  </si>
  <si>
    <t>Citizens Holding Company</t>
  </si>
  <si>
    <t>cfsb</t>
  </si>
  <si>
    <t>CFSB Bancorp Inc</t>
  </si>
  <si>
    <t>sdwl</t>
  </si>
  <si>
    <t>Shengda Network Technology Inc</t>
  </si>
  <si>
    <t>nymt</t>
  </si>
  <si>
    <t>New York Mortgage Trust Inc</t>
  </si>
  <si>
    <t>inve</t>
  </si>
  <si>
    <t>Identiv Inc</t>
  </si>
  <si>
    <t>svc</t>
  </si>
  <si>
    <t>Service Properties Trust</t>
  </si>
  <si>
    <t>mntx</t>
  </si>
  <si>
    <t>Manitex International Inc</t>
  </si>
  <si>
    <t>vgi</t>
  </si>
  <si>
    <t>Virtus Global Multi-Sector Income Fund</t>
  </si>
  <si>
    <t>fulc</t>
  </si>
  <si>
    <t>Fulcrum Therapeutics Inc</t>
  </si>
  <si>
    <t>uaa</t>
  </si>
  <si>
    <t>Under Armour Inc Class A</t>
  </si>
  <si>
    <t>hrbk</t>
  </si>
  <si>
    <t>Harbor Bankshares Ord Shs</t>
  </si>
  <si>
    <t>zuus</t>
  </si>
  <si>
    <t>Zeuus Inc</t>
  </si>
  <si>
    <t>ontf</t>
  </si>
  <si>
    <t>ON24 Inc</t>
  </si>
  <si>
    <t>aura</t>
  </si>
  <si>
    <t>Aura Biosciences Inc</t>
  </si>
  <si>
    <t>mdxg</t>
  </si>
  <si>
    <t>MiMedx Group Inc</t>
  </si>
  <si>
    <t>uuuu</t>
  </si>
  <si>
    <t>Energy Fuels Inc</t>
  </si>
  <si>
    <t>exg</t>
  </si>
  <si>
    <t>Eaton Vnc Tax-Mngd Glbl Dvrsfd Eq Inc Fd</t>
  </si>
  <si>
    <t>0.52</t>
  </si>
  <si>
    <t>nbrwf</t>
  </si>
  <si>
    <t>Nabors Industries</t>
  </si>
  <si>
    <t>mg</t>
  </si>
  <si>
    <t>Mistras Group Inc</t>
  </si>
  <si>
    <t>bigz</t>
  </si>
  <si>
    <t>BlackRock Innovation and Growth Trm Trst</t>
  </si>
  <si>
    <t>egan</t>
  </si>
  <si>
    <t>eGain Corp</t>
  </si>
  <si>
    <t>etw</t>
  </si>
  <si>
    <t>Eaton Vanc Tax-Mngd Glbl Buy-Writ Opp Fd</t>
  </si>
  <si>
    <t>0.54</t>
  </si>
  <si>
    <t>sbi</t>
  </si>
  <si>
    <t>Western Asset Intermediate Muni Fund Inc</t>
  </si>
  <si>
    <t>frw</t>
  </si>
  <si>
    <t>Freightways Group Ltd</t>
  </si>
  <si>
    <t>vra</t>
  </si>
  <si>
    <t>Vera Bradley, Inc.</t>
  </si>
  <si>
    <t>ssp</t>
  </si>
  <si>
    <t>E W Scripps Co</t>
  </si>
  <si>
    <t>enfn</t>
  </si>
  <si>
    <t>Enfusion Inc</t>
  </si>
  <si>
    <t>bbcp</t>
  </si>
  <si>
    <t>Concrete Pumping Holdings Inc</t>
  </si>
  <si>
    <t>cnta</t>
  </si>
  <si>
    <t>Centessa Pharmaceuticals PLC - ADR</t>
  </si>
  <si>
    <t>teo</t>
  </si>
  <si>
    <t>Telecom Argentina SA</t>
  </si>
  <si>
    <t>dla</t>
  </si>
  <si>
    <t>Delta Apparel, Inc.</t>
  </si>
  <si>
    <t>ctkb</t>
  </si>
  <si>
    <t>Cytek Biosciences Inc</t>
  </si>
  <si>
    <t>sofi</t>
  </si>
  <si>
    <t>SoFi Technologies Inc</t>
  </si>
  <si>
    <t>accyy</t>
  </si>
  <si>
    <t>Accor S A Sponsored France ADR</t>
  </si>
  <si>
    <t>drd</t>
  </si>
  <si>
    <t>ecf</t>
  </si>
  <si>
    <t>Ellsworth Growth and Income Fund Ltd Closed-Ended Fund</t>
  </si>
  <si>
    <t>rgc</t>
  </si>
  <si>
    <t>Regencell Bioscience Holdings Ltd</t>
  </si>
  <si>
    <t>snfca</t>
  </si>
  <si>
    <t>Security National Financial Corp</t>
  </si>
  <si>
    <t>iova</t>
  </si>
  <si>
    <t>Iovance Biotherapeutics Inc</t>
  </si>
  <si>
    <t>adooy</t>
  </si>
  <si>
    <t>PT Adaro Energy Indonesia Tbk Unsponsored ADR</t>
  </si>
  <si>
    <t>uvxy</t>
  </si>
  <si>
    <t>ProShares Ultra VIX Short Term Futures ETF</t>
  </si>
  <si>
    <t>gdl</t>
  </si>
  <si>
    <t>GDL Fund</t>
  </si>
  <si>
    <t>swz</t>
  </si>
  <si>
    <t>Swiss Helvetia Fund, Inc. Common Stock</t>
  </si>
  <si>
    <t>bhc</t>
  </si>
  <si>
    <t>Bausch Health Companies Inc</t>
  </si>
  <si>
    <t>arko</t>
  </si>
  <si>
    <t>Arko Corp.</t>
  </si>
  <si>
    <t>apelf</t>
  </si>
  <si>
    <t>Alps Alpine Co Ltd</t>
  </si>
  <si>
    <t>ssic</t>
  </si>
  <si>
    <t>Silver Spike Investment Corp</t>
  </si>
  <si>
    <t>strw</t>
  </si>
  <si>
    <t>Strawberry Fields Reit Inc</t>
  </si>
  <si>
    <t>snpo</t>
  </si>
  <si>
    <t>Snap One Holdings Corp</t>
  </si>
  <si>
    <t>avpt</t>
  </si>
  <si>
    <t>AvePoint Inc</t>
  </si>
  <si>
    <t>ubfo</t>
  </si>
  <si>
    <t>United Security Bancshares</t>
  </si>
  <si>
    <t>aod</t>
  </si>
  <si>
    <t>Abrdn Total Dynamic Dividend Fund</t>
  </si>
  <si>
    <t>0.69</t>
  </si>
  <si>
    <t>astc</t>
  </si>
  <si>
    <t>Astrotech Corp</t>
  </si>
  <si>
    <t>nhs</t>
  </si>
  <si>
    <t>Neuberger Berman High Yield Strateges Fd</t>
  </si>
  <si>
    <t>hpp</t>
  </si>
  <si>
    <t>Hudson Pacific Properties Inc</t>
  </si>
  <si>
    <t>hpkew</t>
  </si>
  <si>
    <t>HighPeak Energy</t>
  </si>
  <si>
    <t>mlco</t>
  </si>
  <si>
    <t>Melco Resorts &amp; Entertainment Ltd</t>
  </si>
  <si>
    <t>atom</t>
  </si>
  <si>
    <t>Atomera Inc</t>
  </si>
  <si>
    <t>pump</t>
  </si>
  <si>
    <t>Propetro Holding Corp</t>
  </si>
  <si>
    <t>merc</t>
  </si>
  <si>
    <t>Mercer International Inc.</t>
  </si>
  <si>
    <t>etj</t>
  </si>
  <si>
    <t>Eaton Vance Risk-Mngd Dvrsfd Eqty Inc Fd</t>
  </si>
  <si>
    <t>mav</t>
  </si>
  <si>
    <t>Pioneer Municpl Hgh Incm Advntg Fund Inc</t>
  </si>
  <si>
    <t>vtex</t>
  </si>
  <si>
    <t>VTEX</t>
  </si>
  <si>
    <t>hgty</t>
  </si>
  <si>
    <t>Hagerty Inc</t>
  </si>
  <si>
    <t>pnf</t>
  </si>
  <si>
    <t>PIMCO New York Municipal Income Fund</t>
  </si>
  <si>
    <t>vlrs</t>
  </si>
  <si>
    <t>Controladr Vl Co de Avcn SAB de CV</t>
  </si>
  <si>
    <t>ltrpb</t>
  </si>
  <si>
    <t>Liberty Tripadvisor Holdings Inc Series B</t>
  </si>
  <si>
    <t>root</t>
  </si>
  <si>
    <t>Root Inc</t>
  </si>
  <si>
    <t>esoa</t>
  </si>
  <si>
    <t>Energy Services Of America Corp</t>
  </si>
  <si>
    <t>rpay</t>
  </si>
  <si>
    <t>Repay Holdings Corp</t>
  </si>
  <si>
    <t>elp</t>
  </si>
  <si>
    <t>Companhia Paranaense de Energia ADR</t>
  </si>
  <si>
    <t>valn</t>
  </si>
  <si>
    <t>Valneva SE ADR</t>
  </si>
  <si>
    <t>wia</t>
  </si>
  <si>
    <t>Western Asset Inflation-Linked Incom Fnd</t>
  </si>
  <si>
    <t>nxe</t>
  </si>
  <si>
    <t>NexGen Energy Ltd</t>
  </si>
  <si>
    <t>xos</t>
  </si>
  <si>
    <t>Xos Inc</t>
  </si>
  <si>
    <t>bsbk</t>
  </si>
  <si>
    <t>Bogota Financial Corp</t>
  </si>
  <si>
    <t>nrix</t>
  </si>
  <si>
    <t>Nurix Therapeutics Inc</t>
  </si>
  <si>
    <t>uec</t>
  </si>
  <si>
    <t>Uranium Energy Corp.</t>
  </si>
  <si>
    <t>pcm</t>
  </si>
  <si>
    <t>PCM Fund, Inc.</t>
  </si>
  <si>
    <t>srl</t>
  </si>
  <si>
    <t>Scully Royalty Ltd</t>
  </si>
  <si>
    <t>vmd</t>
  </si>
  <si>
    <t>Viemed Healthcare Inc</t>
  </si>
  <si>
    <t>dske</t>
  </si>
  <si>
    <t>Daseke Inc</t>
  </si>
  <si>
    <t>bcow</t>
  </si>
  <si>
    <t>1895 Bancorp of Wisconsin Inc</t>
  </si>
  <si>
    <t>lxfr</t>
  </si>
  <si>
    <t>Luxfer Holdings PLC</t>
  </si>
  <si>
    <t>grfs</t>
  </si>
  <si>
    <t>Grifols SA - ADR ADR Class B</t>
  </si>
  <si>
    <t>mindp</t>
  </si>
  <si>
    <t>Mind Technology Inc Preferred Shares Series A</t>
  </si>
  <si>
    <t>pesi</t>
  </si>
  <si>
    <t>Perma-Fix Environmental Services, Inc.</t>
  </si>
  <si>
    <t>issc</t>
  </si>
  <si>
    <t>Innovative Solutions and Support Inc</t>
  </si>
  <si>
    <t>voxx</t>
  </si>
  <si>
    <t>VOXX International Corp</t>
  </si>
  <si>
    <t>xpev</t>
  </si>
  <si>
    <t>Xpeng Inc - ADR</t>
  </si>
  <si>
    <t>bbi</t>
  </si>
  <si>
    <t>BBI Buergerliches Brauhaus Immobilien AG</t>
  </si>
  <si>
    <t>dxr</t>
  </si>
  <si>
    <t>Daxor Corp</t>
  </si>
  <si>
    <t>axl</t>
  </si>
  <si>
    <t>American Axle &amp; Manufacturing Hldngs Inc</t>
  </si>
  <si>
    <t>ebr</t>
  </si>
  <si>
    <t>Brazilian Electric Power Co - ADR</t>
  </si>
  <si>
    <t>hglb</t>
  </si>
  <si>
    <t>Highland Global Allocation Fund</t>
  </si>
  <si>
    <t>tzoo</t>
  </si>
  <si>
    <t>Travelzoo</t>
  </si>
  <si>
    <t>azul</t>
  </si>
  <si>
    <t>Azul SA</t>
  </si>
  <si>
    <t>pfo</t>
  </si>
  <si>
    <t>Flahrty &amp; Crmrn Pref and Incm Opp Fd Inc</t>
  </si>
  <si>
    <t>hnrg</t>
  </si>
  <si>
    <t>Hallador Energy Co</t>
  </si>
  <si>
    <t>clsk</t>
  </si>
  <si>
    <t>CleanSpark Inc</t>
  </si>
  <si>
    <t>skas</t>
  </si>
  <si>
    <t>Saker Aviation Services Inc</t>
  </si>
  <si>
    <t>bctf</t>
  </si>
  <si>
    <t>Bancorp 34 Inc</t>
  </si>
  <si>
    <t>wneb</t>
  </si>
  <si>
    <t>Western New England Bancorp Inc</t>
  </si>
  <si>
    <t>hln</t>
  </si>
  <si>
    <t>HALEON PLC - ADR</t>
  </si>
  <si>
    <t>gf</t>
  </si>
  <si>
    <t>New Germany Fund Inc common stock</t>
  </si>
  <si>
    <t>0.07</t>
  </si>
  <si>
    <t>janx</t>
  </si>
  <si>
    <t>Janux Therapeutics Inc</t>
  </si>
  <si>
    <t>astl</t>
  </si>
  <si>
    <t>Algoma Steel Group Inc</t>
  </si>
  <si>
    <t>nwl</t>
  </si>
  <si>
    <t>Newell Brands Inc</t>
  </si>
  <si>
    <t>unl</t>
  </si>
  <si>
    <t>United States 12 Month Natural Gas Fund LP</t>
  </si>
  <si>
    <t>gnl</t>
  </si>
  <si>
    <t>Global Net Lease Inc</t>
  </si>
  <si>
    <t>1.18 (16.06%)</t>
  </si>
  <si>
    <t>npscy</t>
  </si>
  <si>
    <t>Nippon Steel Corp - ADR</t>
  </si>
  <si>
    <t>bigc</t>
  </si>
  <si>
    <t>Bigcommerce Holdings Inc</t>
  </si>
  <si>
    <t>cfic</t>
  </si>
  <si>
    <t>Cornerstone Financial Corp</t>
  </si>
  <si>
    <t>ssl</t>
  </si>
  <si>
    <t>Sasol Ltd</t>
  </si>
  <si>
    <t>gprk</t>
  </si>
  <si>
    <t>GeoPark Ltd</t>
  </si>
  <si>
    <t>byrn</t>
  </si>
  <si>
    <t>Byrna Technologies Inc</t>
  </si>
  <si>
    <t>ug</t>
  </si>
  <si>
    <t>United-Guardian, Inc.</t>
  </si>
  <si>
    <t>ppih</t>
  </si>
  <si>
    <t>Perma-Pipe International Holdings Inc</t>
  </si>
  <si>
    <t>blze</t>
  </si>
  <si>
    <t>Backblaze Inc</t>
  </si>
  <si>
    <t>law</t>
  </si>
  <si>
    <t>CS Disco Inc</t>
  </si>
  <si>
    <t>dcf</t>
  </si>
  <si>
    <t>BNY Mlln lcntr Glbl Crdt ncm 2024 Trgt T</t>
  </si>
  <si>
    <t>wb</t>
  </si>
  <si>
    <t>Weibo Corp</t>
  </si>
  <si>
    <t>0.11</t>
  </si>
  <si>
    <t>bwg</t>
  </si>
  <si>
    <t>Brandywineglbl Global Incm Opp Fund Inc</t>
  </si>
  <si>
    <t>0.89</t>
  </si>
  <si>
    <t>eea</t>
  </si>
  <si>
    <t>European Equity Fund, Inc. Common Stock</t>
  </si>
  <si>
    <t>dbgiw</t>
  </si>
  <si>
    <t>Digital Brands Group</t>
  </si>
  <si>
    <t>slfpy</t>
  </si>
  <si>
    <t>ABRDN ADR</t>
  </si>
  <si>
    <t>pfl</t>
  </si>
  <si>
    <t>Pimco Income Strategy Fund</t>
  </si>
  <si>
    <t>jfr</t>
  </si>
  <si>
    <t>Nuveen Floating Rate Income Fund</t>
  </si>
  <si>
    <t>rdfn</t>
  </si>
  <si>
    <t>Redfin Corp</t>
  </si>
  <si>
    <t>fat</t>
  </si>
  <si>
    <t>FAT Brands Inc Class A</t>
  </si>
  <si>
    <t>0.56</t>
  </si>
  <si>
    <t>bcx</t>
  </si>
  <si>
    <t>BlackRock Resources&amp;Commdts Strtgy Trst</t>
  </si>
  <si>
    <t>plya</t>
  </si>
  <si>
    <t>Playa Hotels &amp; Resorts NV</t>
  </si>
  <si>
    <t>tvtx</t>
  </si>
  <si>
    <t>Travere Therapeutics Inc</t>
  </si>
  <si>
    <t>cyd</t>
  </si>
  <si>
    <t>China Yuchai International Limited</t>
  </si>
  <si>
    <t>nny</t>
  </si>
  <si>
    <t>Nuveen New York Municipal Value Fund</t>
  </si>
  <si>
    <t>opp</t>
  </si>
  <si>
    <t>RiverNorth/DoubleLine Strategic Opportunity Fund</t>
  </si>
  <si>
    <t>htbk</t>
  </si>
  <si>
    <t>Heritage Commerce Corp.</t>
  </si>
  <si>
    <t>mhh</t>
  </si>
  <si>
    <t>Mastech Digital Inc</t>
  </si>
  <si>
    <t>ghsi</t>
  </si>
  <si>
    <t>Guardion Health Sciences Inc</t>
  </si>
  <si>
    <t>vtvt</t>
  </si>
  <si>
    <t>vTv Therapeutics Inc</t>
  </si>
  <si>
    <t>prof</t>
  </si>
  <si>
    <t>Profound Medical Corp</t>
  </si>
  <si>
    <t>bxdif</t>
  </si>
  <si>
    <t>Brookfield Pref Shs Series 13 Class A</t>
  </si>
  <si>
    <t>alte</t>
  </si>
  <si>
    <t>Alteration Earth PLC</t>
  </si>
  <si>
    <t>cx</t>
  </si>
  <si>
    <t>Cemex SAB de CV ADR</t>
  </si>
  <si>
    <t>iga</t>
  </si>
  <si>
    <t>Voya Global Advantage and Prem Oppty Fd</t>
  </si>
  <si>
    <t>vki</t>
  </si>
  <si>
    <t>Invesco Advantage Municipal Income Tr II</t>
  </si>
  <si>
    <t>pml</t>
  </si>
  <si>
    <t>Pimco Municipal Income Fund II</t>
  </si>
  <si>
    <t>www</t>
  </si>
  <si>
    <t>Wolverine World Wide, Inc.</t>
  </si>
  <si>
    <t>ie</t>
  </si>
  <si>
    <t>Ivanhoe Electric Inc</t>
  </si>
  <si>
    <t>fei</t>
  </si>
  <si>
    <t>First Trust MLP and Energy Income Fund</t>
  </si>
  <si>
    <t>ueic</t>
  </si>
  <si>
    <t>Universal Electronics Inc</t>
  </si>
  <si>
    <t>mram</t>
  </si>
  <si>
    <t>Everspin Technologies Inc</t>
  </si>
  <si>
    <t>orc</t>
  </si>
  <si>
    <t>Orchid Island Capital Inc</t>
  </si>
  <si>
    <t>mssmy</t>
  </si>
  <si>
    <t>Misumi Group ADR</t>
  </si>
  <si>
    <t>eb</t>
  </si>
  <si>
    <t>Eventbrite Inc</t>
  </si>
  <si>
    <t>gcmg</t>
  </si>
  <si>
    <t>GCM Grosvenor Inc</t>
  </si>
  <si>
    <t>dh</t>
  </si>
  <si>
    <t>Definitive Healthcare Corp</t>
  </si>
  <si>
    <t>wiw</t>
  </si>
  <si>
    <t>Western Asset Infltn-Lnkd Opts &amp; Ime Fnd</t>
  </si>
  <si>
    <t>aris</t>
  </si>
  <si>
    <t>Aris Water Solutions Inc</t>
  </si>
  <si>
    <t>arbkl</t>
  </si>
  <si>
    <t>Argo Blockchain 8 75 Senior Notes due 2026</t>
  </si>
  <si>
    <t>fsrl</t>
  </si>
  <si>
    <t>First Reliance Bancshares Inc</t>
  </si>
  <si>
    <t>mhi</t>
  </si>
  <si>
    <t>Pioneer Municipal High Income Fund Inc</t>
  </si>
  <si>
    <t>vir</t>
  </si>
  <si>
    <t>Vir Biotechnology Inc</t>
  </si>
  <si>
    <t>irs</t>
  </si>
  <si>
    <t>IRSA Inversiones y Representcns SA</t>
  </si>
  <si>
    <t>mcw</t>
  </si>
  <si>
    <t>Mister Car Wash Inc</t>
  </si>
  <si>
    <t>htz</t>
  </si>
  <si>
    <t>Hertz Global Holdings Inc</t>
  </si>
  <si>
    <t>pltm</t>
  </si>
  <si>
    <t>GraniteShares Platinum Trust</t>
  </si>
  <si>
    <t>fnrn</t>
  </si>
  <si>
    <t>First Northern Community Bancorp Common Stock</t>
  </si>
  <si>
    <t>kyn</t>
  </si>
  <si>
    <t>Kayne Anderson Energy Infrstctr Fund Inc</t>
  </si>
  <si>
    <t>bv</t>
  </si>
  <si>
    <t>Brightview Holdings Inc</t>
  </si>
  <si>
    <t>fsea</t>
  </si>
  <si>
    <t>First Seacoast Bancorp Inc</t>
  </si>
  <si>
    <t>cdna</t>
  </si>
  <si>
    <t>CareDx Inc</t>
  </si>
  <si>
    <t>px</t>
  </si>
  <si>
    <t>P10 Inc</t>
  </si>
  <si>
    <t>cbh</t>
  </si>
  <si>
    <t>Virtus Convrtble &amp; Incm 2024 Trgt Trm Fd</t>
  </si>
  <si>
    <t>glsi</t>
  </si>
  <si>
    <t>Greenwich Lifesciences Inc</t>
  </si>
  <si>
    <t>vod</t>
  </si>
  <si>
    <t>Vodafone Group Plc</t>
  </si>
  <si>
    <t>leat</t>
  </si>
  <si>
    <t>Leatt Corp</t>
  </si>
  <si>
    <t>tk</t>
  </si>
  <si>
    <t>Teekay Corp</t>
  </si>
  <si>
    <t>thrd</t>
  </si>
  <si>
    <t>Third Harmonic Bio Inc</t>
  </si>
  <si>
    <t>zuo</t>
  </si>
  <si>
    <t>Zuora Inc</t>
  </si>
  <si>
    <t>qfta</t>
  </si>
  <si>
    <t>Quantum FinTech Acquisition Corp</t>
  </si>
  <si>
    <t>srzn</t>
  </si>
  <si>
    <t>Surrozen Inc</t>
  </si>
  <si>
    <t>tsri</t>
  </si>
  <si>
    <t>TSR Inc</t>
  </si>
  <si>
    <t>gdot</t>
  </si>
  <si>
    <t>Green Dot Corporation</t>
  </si>
  <si>
    <t>cpss</t>
  </si>
  <si>
    <t>Consumer Portfolio Services, Inc.</t>
  </si>
  <si>
    <t>ksm</t>
  </si>
  <si>
    <t>DWS Strategic Municipal Income Trust</t>
  </si>
  <si>
    <t>kfs</t>
  </si>
  <si>
    <t>Kingsway Financial Services Inc</t>
  </si>
  <si>
    <t>gtx</t>
  </si>
  <si>
    <t>Garrett Motion Inc</t>
  </si>
  <si>
    <t>ags</t>
  </si>
  <si>
    <t>Playags Inc</t>
  </si>
  <si>
    <t>napa</t>
  </si>
  <si>
    <t>Duckhorn Portfolio Inc</t>
  </si>
  <si>
    <t>rbkb</t>
  </si>
  <si>
    <t>Rhinebeck Bancorp Inc</t>
  </si>
  <si>
    <t>tpc</t>
  </si>
  <si>
    <t>Tutor Perini Corp</t>
  </si>
  <si>
    <t>asle</t>
  </si>
  <si>
    <t>AerSale Corp</t>
  </si>
  <si>
    <t>bbdc</t>
  </si>
  <si>
    <t>Barings BDC Inc</t>
  </si>
  <si>
    <t>nuv</t>
  </si>
  <si>
    <t>Nuveen Municipal Value Fund Inc</t>
  </si>
  <si>
    <t>hims</t>
  </si>
  <si>
    <t>Hims &amp; Hers Health Inc</t>
  </si>
  <si>
    <t>dsp</t>
  </si>
  <si>
    <t>Viant Technology Inc</t>
  </si>
  <si>
    <t>ardx</t>
  </si>
  <si>
    <t>Ardelyx Inc</t>
  </si>
  <si>
    <t>sdsya</t>
  </si>
  <si>
    <t>SOUTH DAKOTA SOYBEAN PROCESSORS LLC</t>
  </si>
  <si>
    <t>tbph</t>
  </si>
  <si>
    <t>Theravance Biopharma Inc</t>
  </si>
  <si>
    <t>ebon</t>
  </si>
  <si>
    <t>Ebang International Holdings Inc</t>
  </si>
  <si>
    <t>dnp</t>
  </si>
  <si>
    <t>DNP Select Income Fund Inc. Common Stock</t>
  </si>
  <si>
    <t>0.68</t>
  </si>
  <si>
    <t>dpg</t>
  </si>
  <si>
    <t>Duff &amp; Phelps Utlty and Infrstct Fnd Inc</t>
  </si>
  <si>
    <t>0.76</t>
  </si>
  <si>
    <t>ivr</t>
  </si>
  <si>
    <t>Invesco Mortgage Capital Inc</t>
  </si>
  <si>
    <t>ffwm</t>
  </si>
  <si>
    <t>First Foundation Inc</t>
  </si>
  <si>
    <t>hlmn</t>
  </si>
  <si>
    <t>Hillman Solutions Corp</t>
  </si>
  <si>
    <t>tixt</t>
  </si>
  <si>
    <t>Telus International Cda Inc</t>
  </si>
  <si>
    <t>erh</t>
  </si>
  <si>
    <t>Allspring Utilities and High Income Fund</t>
  </si>
  <si>
    <t>0.78</t>
  </si>
  <si>
    <t>bili</t>
  </si>
  <si>
    <t>Bilibili Inc - ADR</t>
  </si>
  <si>
    <t>grin</t>
  </si>
  <si>
    <t>Grindrod Shipping Holdings Ltd</t>
  </si>
  <si>
    <t>gogo</t>
  </si>
  <si>
    <t>Gogo Inc</t>
  </si>
  <si>
    <t>grf</t>
  </si>
  <si>
    <t>Eagle Capital Growth Fund Inc</t>
  </si>
  <si>
    <t>greel</t>
  </si>
  <si>
    <t>Greenidge Generation Holdings 8 50 Senior Notes due 2026</t>
  </si>
  <si>
    <t>nca</t>
  </si>
  <si>
    <t>Nuveen California Municipal Value Fund</t>
  </si>
  <si>
    <t>rlay</t>
  </si>
  <si>
    <t>Relay Therapeutics Inc</t>
  </si>
  <si>
    <t>lilab</t>
  </si>
  <si>
    <t>Liberty Latin Amer Ord Shs</t>
  </si>
  <si>
    <t>ktf</t>
  </si>
  <si>
    <t>DWS Municipal Income Trust</t>
  </si>
  <si>
    <t>notr</t>
  </si>
  <si>
    <t>Nowtransit Inc</t>
  </si>
  <si>
    <t>rmt</t>
  </si>
  <si>
    <t>Royce Micro-Cap Trust Inc</t>
  </si>
  <si>
    <t>mdrx</t>
  </si>
  <si>
    <t>Veradigm Inc</t>
  </si>
  <si>
    <t>mtex</t>
  </si>
  <si>
    <t>Mannatech Inc</t>
  </si>
  <si>
    <t>mtrx</t>
  </si>
  <si>
    <t>Matrix Service Co</t>
  </si>
  <si>
    <t>lc</t>
  </si>
  <si>
    <t>LendingClub Corp</t>
  </si>
  <si>
    <t>emd</t>
  </si>
  <si>
    <t>Western Asset Emerging Mrkts Dbt Fnd Inc</t>
  </si>
  <si>
    <t>0.86</t>
  </si>
  <si>
    <t>babaf</t>
  </si>
  <si>
    <t>Alibaba Group Holding Ltd</t>
  </si>
  <si>
    <t>gamb</t>
  </si>
  <si>
    <t>Gambling.com Group Ltd</t>
  </si>
  <si>
    <t>arlo</t>
  </si>
  <si>
    <t>Arlo Technologies Inc</t>
  </si>
  <si>
    <t>gaerf</t>
  </si>
  <si>
    <t>Grupo Arprtr dl Cntr Nrte SABdeCV</t>
  </si>
  <si>
    <t>amccf</t>
  </si>
  <si>
    <t>Amcor CDI</t>
  </si>
  <si>
    <t>tmbby</t>
  </si>
  <si>
    <t>TMBThanachart Bank Public Company ADR</t>
  </si>
  <si>
    <t>gjh</t>
  </si>
  <si>
    <t>STRATS SM Untd States Cell 6.375 Structured Repackaged Aset Backed Securits Certificates Series 2004 6 Class A</t>
  </si>
  <si>
    <t>chn</t>
  </si>
  <si>
    <t>China Fund Inc</t>
  </si>
  <si>
    <t>alit</t>
  </si>
  <si>
    <t>Alight Inc</t>
  </si>
  <si>
    <t>iea</t>
  </si>
  <si>
    <t>Informa PLC</t>
  </si>
  <si>
    <t>ddi</t>
  </si>
  <si>
    <t>DoubleDown Interactive Co Ltd</t>
  </si>
  <si>
    <t>lind</t>
  </si>
  <si>
    <t>Lindblad Expeditions Holdings Inc</t>
  </si>
  <si>
    <t>gyro</t>
  </si>
  <si>
    <t>Gyrodyne LLC</t>
  </si>
  <si>
    <t>hipo</t>
  </si>
  <si>
    <t>Hippo Holdings Inc</t>
  </si>
  <si>
    <t>plse</t>
  </si>
  <si>
    <t>Pulse Biosciences Inc</t>
  </si>
  <si>
    <t>pegrf</t>
  </si>
  <si>
    <t>Pennon Group plc</t>
  </si>
  <si>
    <t>asur</t>
  </si>
  <si>
    <t>Asure Software Inc</t>
  </si>
  <si>
    <t>nim</t>
  </si>
  <si>
    <t>Nuveen Select Maturities Municipal Fund</t>
  </si>
  <si>
    <t>aout</t>
  </si>
  <si>
    <t>American Outdoor Brands Inc</t>
  </si>
  <si>
    <t>inse</t>
  </si>
  <si>
    <t>Inspired Entertainment Inc</t>
  </si>
  <si>
    <t>rc</t>
  </si>
  <si>
    <t>Ready Capital Corp</t>
  </si>
  <si>
    <t>1.49</t>
  </si>
  <si>
    <t>hlx</t>
  </si>
  <si>
    <t>Helix Energy Solutions Group Inc</t>
  </si>
  <si>
    <t>lxp</t>
  </si>
  <si>
    <t>LXP Industrial Trust</t>
  </si>
  <si>
    <t>sppp</t>
  </si>
  <si>
    <t>Sprott Physical Platinum and Palldm Trst</t>
  </si>
  <si>
    <t>skyt</t>
  </si>
  <si>
    <t>Skywater Technology Inc</t>
  </si>
  <si>
    <t>mag</t>
  </si>
  <si>
    <t>MAG Silver Corp</t>
  </si>
  <si>
    <t>ecvt</t>
  </si>
  <si>
    <t>Ecovyst Inc</t>
  </si>
  <si>
    <t>panl</t>
  </si>
  <si>
    <t>Pangaea Logistics Solutions Ltd</t>
  </si>
  <si>
    <t>dbi</t>
  </si>
  <si>
    <t>Designer Brands Inc</t>
  </si>
  <si>
    <t>stg</t>
  </si>
  <si>
    <t>Sunlands Technology Group - ADR</t>
  </si>
  <si>
    <t>clbt</t>
  </si>
  <si>
    <t>Cellebrite DI Ltd</t>
  </si>
  <si>
    <t>vly</t>
  </si>
  <si>
    <t>Valley National Bancorp</t>
  </si>
  <si>
    <t>jrvr</t>
  </si>
  <si>
    <t>James River Group Holdings Ltd</t>
  </si>
  <si>
    <t>stcn</t>
  </si>
  <si>
    <t>Steel Connect Inc</t>
  </si>
  <si>
    <t>pdlb</t>
  </si>
  <si>
    <t>Ponce Financial Group Inc</t>
  </si>
  <si>
    <t>drh</t>
  </si>
  <si>
    <t>Diamondrock Hospitality Co</t>
  </si>
  <si>
    <t>agd</t>
  </si>
  <si>
    <t>Abrdn Global Dynamic Dividend Fund</t>
  </si>
  <si>
    <t>srg</t>
  </si>
  <si>
    <t>Seritage Growth Properties Class A</t>
  </si>
  <si>
    <t>acre</t>
  </si>
  <si>
    <t>Ares Commercial Real Estate Corp</t>
  </si>
  <si>
    <t>vwdry</t>
  </si>
  <si>
    <t>Vestas Wind Systems AS ADR</t>
  </si>
  <si>
    <t>cheau</t>
  </si>
  <si>
    <t>Chenghe Acquisition Units</t>
  </si>
  <si>
    <t>le</t>
  </si>
  <si>
    <t>Lands End Inc</t>
  </si>
  <si>
    <t>snda</t>
  </si>
  <si>
    <t>Sonida Senior Living Inc</t>
  </si>
  <si>
    <t>rxrx</t>
  </si>
  <si>
    <t>Recursion Pharmaceuticals Inc</t>
  </si>
  <si>
    <t>clvt</t>
  </si>
  <si>
    <t>CLARIVATE PLC</t>
  </si>
  <si>
    <t>fisk</t>
  </si>
  <si>
    <t>Empire State Realty OP LP Unit Series 250</t>
  </si>
  <si>
    <t>pcrff</t>
  </si>
  <si>
    <t>Panasonic Holdings Corp</t>
  </si>
  <si>
    <t>md</t>
  </si>
  <si>
    <t>Pediatrix Medical Group Inc</t>
  </si>
  <si>
    <t>ctbb</t>
  </si>
  <si>
    <t>Qwest 6.5 Notes Exp 01 Sept 2056</t>
  </si>
  <si>
    <t>hcsg</t>
  </si>
  <si>
    <t>Healthcare Services Group, Inc.</t>
  </si>
  <si>
    <t>alt</t>
  </si>
  <si>
    <t>Altimmune Inc</t>
  </si>
  <si>
    <t>evm</t>
  </si>
  <si>
    <t>Eaton Vance California Municpal Bond Fnd</t>
  </si>
  <si>
    <t>0.37</t>
  </si>
  <si>
    <t>vcsa</t>
  </si>
  <si>
    <t>Vacasa Inc</t>
  </si>
  <si>
    <t>gtn</t>
  </si>
  <si>
    <t>Gray Television, Inc.</t>
  </si>
  <si>
    <t>kro</t>
  </si>
  <si>
    <t>Kronos Worldwide, Inc.</t>
  </si>
  <si>
    <t>bbxia</t>
  </si>
  <si>
    <t>BBX Capital Inc Class A</t>
  </si>
  <si>
    <t>mixt</t>
  </si>
  <si>
    <t>MiX Telematics Ltd - ADR</t>
  </si>
  <si>
    <t>loco</t>
  </si>
  <si>
    <t>El Pollo LoCo Holdings Inc</t>
  </si>
  <si>
    <t>btog</t>
  </si>
  <si>
    <t>Bit Origin Ltd</t>
  </si>
  <si>
    <t>asmvf</t>
  </si>
  <si>
    <t>ASMPT Ltd</t>
  </si>
  <si>
    <t>cgo</t>
  </si>
  <si>
    <t>Calamos Global Total Return Fund Common Stock</t>
  </si>
  <si>
    <t>cresy</t>
  </si>
  <si>
    <t>Cresud S.A.C.I.F. y A.</t>
  </si>
  <si>
    <t>nu</t>
  </si>
  <si>
    <t>Nu Holdings Ltd</t>
  </si>
  <si>
    <t>bnmdf</t>
  </si>
  <si>
    <t>Banca Mediolanum SpA</t>
  </si>
  <si>
    <t>nmi</t>
  </si>
  <si>
    <t>Nuveen Municipal Income Fund Inc.</t>
  </si>
  <si>
    <t>aka</t>
  </si>
  <si>
    <t>AKA Brands Holding Corp</t>
  </si>
  <si>
    <t>opad</t>
  </si>
  <si>
    <t>Offerpad Solutions Inc</t>
  </si>
  <si>
    <t>lbc</t>
  </si>
  <si>
    <t>Luther Burbank Corp</t>
  </si>
  <si>
    <t>amcr</t>
  </si>
  <si>
    <t>Amcor PLC</t>
  </si>
  <si>
    <t>mgni</t>
  </si>
  <si>
    <t>Magnite Inc</t>
  </si>
  <si>
    <t>blfy</t>
  </si>
  <si>
    <t>Blue Foundry Bancorp</t>
  </si>
  <si>
    <t>oxus</t>
  </si>
  <si>
    <t>tast</t>
  </si>
  <si>
    <t>Carrols Restaurant Group Inc</t>
  </si>
  <si>
    <t>nerv</t>
  </si>
  <si>
    <t>Minerva Neurosciences Inc</t>
  </si>
  <si>
    <t>mpaa</t>
  </si>
  <si>
    <t>Motorcar Parts of America Inc</t>
  </si>
  <si>
    <t>esrt</t>
  </si>
  <si>
    <t>Empire State Realty Trust Inc</t>
  </si>
  <si>
    <t>mbfjf</t>
  </si>
  <si>
    <t>Mitsubishi UFJ Financial Group Inc</t>
  </si>
  <si>
    <t>erc</t>
  </si>
  <si>
    <t>Wells Fargo Advantage Multi-Sector Income Fund Common Stock</t>
  </si>
  <si>
    <t>hrow</t>
  </si>
  <si>
    <t>Harrow Inc</t>
  </si>
  <si>
    <t>mufg</t>
  </si>
  <si>
    <t>ctdd</t>
  </si>
  <si>
    <t>Qwest 6 75 Notes Expiry 2057</t>
  </si>
  <si>
    <t>pcq</t>
  </si>
  <si>
    <t>PIMCO California Municipal Income Fund</t>
  </si>
  <si>
    <t>icg</t>
  </si>
  <si>
    <t>Intchains Group Ltd</t>
  </si>
  <si>
    <t>viav</t>
  </si>
  <si>
    <t>Viavi Solutions Inc</t>
  </si>
  <si>
    <t>edi</t>
  </si>
  <si>
    <t>Media 6 SA</t>
  </si>
  <si>
    <t>pkdc</t>
  </si>
  <si>
    <t>Parker Drilling Co</t>
  </si>
  <si>
    <t>mbbc</t>
  </si>
  <si>
    <t>Marathon Bancorp Ord Shs</t>
  </si>
  <si>
    <t>bbvxf</t>
  </si>
  <si>
    <t>Banco Bilbao Vizcaya Argentaria SA</t>
  </si>
  <si>
    <t>vkq</t>
  </si>
  <si>
    <t>Invesco Municipal Trust</t>
  </si>
  <si>
    <t>phd</t>
  </si>
  <si>
    <t>Pioneer Floating Rate Fund Inc</t>
  </si>
  <si>
    <t>linc</t>
  </si>
  <si>
    <t>Lincoln Educational Services Corp</t>
  </si>
  <si>
    <t>ssrm</t>
  </si>
  <si>
    <t>SSR Mining Inc</t>
  </si>
  <si>
    <t>infu</t>
  </si>
  <si>
    <t>InfuSystem Holdings Inc</t>
  </si>
  <si>
    <t>agnc</t>
  </si>
  <si>
    <t>AGNC Investment Corp</t>
  </si>
  <si>
    <t>oaofy</t>
  </si>
  <si>
    <t>Tatneft' PAO</t>
  </si>
  <si>
    <t>kkoyy</t>
  </si>
  <si>
    <t>Kesko OYJ Unsponsored representing B shares Finland ADR</t>
  </si>
  <si>
    <t>chgg</t>
  </si>
  <si>
    <t>Chegg Inc</t>
  </si>
  <si>
    <t>glxy</t>
  </si>
  <si>
    <t>Galaxy Digital Holdings Ltd</t>
  </si>
  <si>
    <t>pmf</t>
  </si>
  <si>
    <t>Pimco Municipal Income Fund</t>
  </si>
  <si>
    <t>esba</t>
  </si>
  <si>
    <t>Empire State Realty OP LP Unit Series ES</t>
  </si>
  <si>
    <t>iqi</t>
  </si>
  <si>
    <t>Invesco Quality Municipal Income Trust</t>
  </si>
  <si>
    <t>vmo</t>
  </si>
  <si>
    <t>Invesco Municipal Opportunity Trust</t>
  </si>
  <si>
    <t>giflf</t>
  </si>
  <si>
    <t>Grifols SA Class A</t>
  </si>
  <si>
    <t>grx</t>
  </si>
  <si>
    <t>Gabelli Healthcare &amp; WellnessRx Trust</t>
  </si>
  <si>
    <t>auid</t>
  </si>
  <si>
    <t>authID Inc</t>
  </si>
  <si>
    <t>axgn</t>
  </si>
  <si>
    <t>AxoGen, Inc Common Stock</t>
  </si>
  <si>
    <t>cepu</t>
  </si>
  <si>
    <t>Central Puerto ADR Representing 10 Ord Shs</t>
  </si>
  <si>
    <t>rell</t>
  </si>
  <si>
    <t>Richardson Electronics Ltd</t>
  </si>
  <si>
    <t>nsts</t>
  </si>
  <si>
    <t>NSTS Bancorp Inc</t>
  </si>
  <si>
    <t>sttk</t>
  </si>
  <si>
    <t>Shattuck Labs Inc</t>
  </si>
  <si>
    <t>brdg</t>
  </si>
  <si>
    <t>Bridge Investment Group Holdings Inc</t>
  </si>
  <si>
    <t>epix</t>
  </si>
  <si>
    <t>ESSA Pharma Inc</t>
  </si>
  <si>
    <t>hyt</t>
  </si>
  <si>
    <t>Blackrock Corporate High Yield Fund Inc</t>
  </si>
  <si>
    <t>ta</t>
  </si>
  <si>
    <t>pcrfy</t>
  </si>
  <si>
    <t>bbva</t>
  </si>
  <si>
    <t>nktx</t>
  </si>
  <si>
    <t>Nkarta Inc</t>
  </si>
  <si>
    <t>envx</t>
  </si>
  <si>
    <t>Enovix Corp</t>
  </si>
  <si>
    <t>eenef</t>
  </si>
  <si>
    <t>RS Group PLC</t>
  </si>
  <si>
    <t>snmry</t>
  </si>
  <si>
    <t>Snam S p A Unsponsored Italy ADR</t>
  </si>
  <si>
    <t>tgsgy</t>
  </si>
  <si>
    <t>TGS ASA Sponsored ADR</t>
  </si>
  <si>
    <t>bbxib</t>
  </si>
  <si>
    <t>BBX Capital Inc Class B</t>
  </si>
  <si>
    <t>biot</t>
  </si>
  <si>
    <t>L&amp;G Pharma Breakthrough UCITS ETF USD Acc</t>
  </si>
  <si>
    <t>pv</t>
  </si>
  <si>
    <t>Pena Verde SAB</t>
  </si>
  <si>
    <t>tsat</t>
  </si>
  <si>
    <t>Telesat Corp</t>
  </si>
  <si>
    <t>strrp</t>
  </si>
  <si>
    <t>Star Equity Holdings Inc Preferred Shares Series A</t>
  </si>
  <si>
    <t>cee</t>
  </si>
  <si>
    <t>Central and Eastern Europe Fund Inc</t>
  </si>
  <si>
    <t>fedu</t>
  </si>
  <si>
    <t>Four Seasons Education (Cayman) Inc</t>
  </si>
  <si>
    <t>onct</t>
  </si>
  <si>
    <t>Oncternal Therapeutics Inc</t>
  </si>
  <si>
    <t>vcv</t>
  </si>
  <si>
    <t>Invesco California Value Mncpl Incm Trst</t>
  </si>
  <si>
    <t>sohu</t>
  </si>
  <si>
    <t>Sohu.com Ltd - ADR</t>
  </si>
  <si>
    <t>evv</t>
  </si>
  <si>
    <t>Eaton Vance Ltd Duration Income Fund</t>
  </si>
  <si>
    <t>0.98</t>
  </si>
  <si>
    <t>mir</t>
  </si>
  <si>
    <t>Mirion Technologies Inc</t>
  </si>
  <si>
    <t>gnlx</t>
  </si>
  <si>
    <t>Genelux Corp</t>
  </si>
  <si>
    <t>pbfs</t>
  </si>
  <si>
    <t>Pioneer Bancorp Inc</t>
  </si>
  <si>
    <t>th</t>
  </si>
  <si>
    <t>Target Hospitality Corp</t>
  </si>
  <si>
    <t>ogcp</t>
  </si>
  <si>
    <t>Empire State Realty OP LP Unit Series 60</t>
  </si>
  <si>
    <t>enx</t>
  </si>
  <si>
    <t>Eaton Vance New York Municipal Bond Fund</t>
  </si>
  <si>
    <t>tenx</t>
  </si>
  <si>
    <t>Tenax Therapeutics Inc</t>
  </si>
  <si>
    <t>vgm</t>
  </si>
  <si>
    <t>Invesco Trust for Investment GradeMncpls</t>
  </si>
  <si>
    <t>zeta</t>
  </si>
  <si>
    <t>Zeta Global Holdings Corp</t>
  </si>
  <si>
    <t>gmre</t>
  </si>
  <si>
    <t>Global Medical REIT Inc</t>
  </si>
  <si>
    <t>egf</t>
  </si>
  <si>
    <t>BlackRock Enhanced Government Fund Inc</t>
  </si>
  <si>
    <t>ide</t>
  </si>
  <si>
    <t>Voya Infrstrcture Industrls and Mtrls Fd</t>
  </si>
  <si>
    <t>jynt</t>
  </si>
  <si>
    <t>Joint Corp</t>
  </si>
  <si>
    <t>fct</t>
  </si>
  <si>
    <t>First Trust Senior Fltng Rate Incm Fd II</t>
  </si>
  <si>
    <t>1.12</t>
  </si>
  <si>
    <t>oxusu</t>
  </si>
  <si>
    <t>Oxus Acquisition Units</t>
  </si>
  <si>
    <t>y</t>
  </si>
  <si>
    <t>Yellow Pages Ltd</t>
  </si>
  <si>
    <t>hcat</t>
  </si>
  <si>
    <t>Health Catalyst Inc</t>
  </si>
  <si>
    <t>dgz</t>
  </si>
  <si>
    <t>DB Gold Short ETN Exp 15 Feb 2038</t>
  </si>
  <si>
    <t>etnb</t>
  </si>
  <si>
    <t>89bio Inc</t>
  </si>
  <si>
    <t>mxc</t>
  </si>
  <si>
    <t>Mexco Energy Corp</t>
  </si>
  <si>
    <t>mue</t>
  </si>
  <si>
    <t>BlackRock MuniHoldings QualityFnd II Inc</t>
  </si>
  <si>
    <t>pcyo</t>
  </si>
  <si>
    <t>Pure Cycle Corporation</t>
  </si>
  <si>
    <t>rgt</t>
  </si>
  <si>
    <t>Royce Global Value Trust Inc</t>
  </si>
  <si>
    <t>itos</t>
  </si>
  <si>
    <t>iTeos Therapeutics Inc</t>
  </si>
  <si>
    <t>evcm</t>
  </si>
  <si>
    <t>EverCommerce Inc</t>
  </si>
  <si>
    <t>oukpf</t>
  </si>
  <si>
    <t>Metso Oyj</t>
  </si>
  <si>
    <t>lee</t>
  </si>
  <si>
    <t>Lee Enterprises Inc</t>
  </si>
  <si>
    <t>acnt</t>
  </si>
  <si>
    <t>Ascent Industries Co</t>
  </si>
  <si>
    <t>cpsi</t>
  </si>
  <si>
    <t>Computer Programs and Systems Inc</t>
  </si>
  <si>
    <t>ospn</t>
  </si>
  <si>
    <t>Onespan Inc</t>
  </si>
  <si>
    <t>mrns</t>
  </si>
  <si>
    <t>Marinus Pharmaceuticals Inc</t>
  </si>
  <si>
    <t>dnow</t>
  </si>
  <si>
    <t>Dnow Inc</t>
  </si>
  <si>
    <t>rpnrf</t>
  </si>
  <si>
    <t>Rapid Nutrition</t>
  </si>
  <si>
    <t>nstb</t>
  </si>
  <si>
    <t>Northern Star Investment Corp II</t>
  </si>
  <si>
    <t>mgom</t>
  </si>
  <si>
    <t>Migom Global Corp</t>
  </si>
  <si>
    <t>ptzh</t>
  </si>
  <si>
    <t>Photozou Holdings Inc</t>
  </si>
  <si>
    <t>rngr</t>
  </si>
  <si>
    <t>Ranger Energy Services Inc</t>
  </si>
  <si>
    <t>oakv</t>
  </si>
  <si>
    <t>OAK VIEW BANKSHARES Ord Shs</t>
  </si>
  <si>
    <t>sfco</t>
  </si>
  <si>
    <t>SOUTHERN FINL Ord Shs</t>
  </si>
  <si>
    <t>rdcm</t>
  </si>
  <si>
    <t>Radcom Ltd</t>
  </si>
  <si>
    <t>nmz</t>
  </si>
  <si>
    <t>Nuveen Municipal High Income Oppty Fund</t>
  </si>
  <si>
    <t>wppgf</t>
  </si>
  <si>
    <t>WPP PLC</t>
  </si>
  <si>
    <t>tectp</t>
  </si>
  <si>
    <t>Tectonic Financial 9.00 Fixed to Floating Non-Cumulative Perpetual Pref Shs Series B</t>
  </si>
  <si>
    <t>mfin</t>
  </si>
  <si>
    <t>Medallion Financial Corp</t>
  </si>
  <si>
    <t>ooma</t>
  </si>
  <si>
    <t>Ooma Inc</t>
  </si>
  <si>
    <t>boe</t>
  </si>
  <si>
    <t>BlackRock Enhanced Global Dividend Trust</t>
  </si>
  <si>
    <t>anvs</t>
  </si>
  <si>
    <t>Annovis Bio Inc</t>
  </si>
  <si>
    <t>ezpw</t>
  </si>
  <si>
    <t>EZCORP Inc</t>
  </si>
  <si>
    <t>heq</t>
  </si>
  <si>
    <t>John Hancock Hedged Equity &amp; Income Fund</t>
  </si>
  <si>
    <t>fenc</t>
  </si>
  <si>
    <t>Fennec Pharmaceuticals Inc</t>
  </si>
  <si>
    <t>ecc</t>
  </si>
  <si>
    <t>Eagle Point Credit Company Inc Closed-Ended Fund</t>
  </si>
  <si>
    <t>1.66</t>
  </si>
  <si>
    <t>tbnk</t>
  </si>
  <si>
    <t>Territorial Bancorp Inc</t>
  </si>
  <si>
    <t>acel</t>
  </si>
  <si>
    <t>Accel Entertainment Inc</t>
  </si>
  <si>
    <t>mmu</t>
  </si>
  <si>
    <t>Western Asset Managed Municipals Fnd Inc</t>
  </si>
  <si>
    <t>aan</t>
  </si>
  <si>
    <t>Aaron's Company Inc</t>
  </si>
  <si>
    <t>kw</t>
  </si>
  <si>
    <t>Kennedy-Wilson Holdings Inc</t>
  </si>
  <si>
    <t>0.96</t>
  </si>
  <si>
    <t>acr</t>
  </si>
  <si>
    <t>Acres Commercial Realty Corp</t>
  </si>
  <si>
    <t>clbr</t>
  </si>
  <si>
    <t>Colombier Acquisition Ii Corp Class A</t>
  </si>
  <si>
    <t>vpv</t>
  </si>
  <si>
    <t>Invesco Pennsylvania Value Mncpl Incm Tr</t>
  </si>
  <si>
    <t>clvlf</t>
  </si>
  <si>
    <t>Clinuvel Pharmaceuticals Limited</t>
  </si>
  <si>
    <t>pgz</t>
  </si>
  <si>
    <t>Principal Real Estate Income Fund</t>
  </si>
  <si>
    <t>nmrk</t>
  </si>
  <si>
    <t>Newmark Group Inc</t>
  </si>
  <si>
    <t>imaqu</t>
  </si>
  <si>
    <t>International Media Acquisition Units</t>
  </si>
  <si>
    <t>eim</t>
  </si>
  <si>
    <t>Eaton Vance Municipal Bond Fund</t>
  </si>
  <si>
    <t>cocsf</t>
  </si>
  <si>
    <t>Coca-Cola Femsa L Ordinary Shares</t>
  </si>
  <si>
    <t>bfk</t>
  </si>
  <si>
    <t>Blackrock Municipal Income Trust</t>
  </si>
  <si>
    <t>0.41</t>
  </si>
  <si>
    <t>rmgc</t>
  </si>
  <si>
    <t>RMG Acquisition Corp III</t>
  </si>
  <si>
    <t>snbr</t>
  </si>
  <si>
    <t>Sleep Number Corp</t>
  </si>
  <si>
    <t>cpptl</t>
  </si>
  <si>
    <t>Copper Property CTL Pass Through Trust</t>
  </si>
  <si>
    <t>clvly</t>
  </si>
  <si>
    <t>Clinuvel Pharmaceuticals Ltd</t>
  </si>
  <si>
    <t>evn</t>
  </si>
  <si>
    <t>Eaton Vance Municipal Income Trust</t>
  </si>
  <si>
    <t>otecu</t>
  </si>
  <si>
    <t>OceanTech Acquisitions I Units</t>
  </si>
  <si>
    <t>apac</t>
  </si>
  <si>
    <t>StoneBridge Acquisition Corp</t>
  </si>
  <si>
    <t>dfihy</t>
  </si>
  <si>
    <t>DFI Retail Group Holdings ADR</t>
  </si>
  <si>
    <t>bamgf</t>
  </si>
  <si>
    <t>Brookfield Pref Shs Series 24 Class A</t>
  </si>
  <si>
    <t>ehab</t>
  </si>
  <si>
    <t>Enhabit Inc</t>
  </si>
  <si>
    <t>grcl</t>
  </si>
  <si>
    <t>Gracell Biotechnologies Inc</t>
  </si>
  <si>
    <t>sasof</t>
  </si>
  <si>
    <t>Sasol Ord Shs</t>
  </si>
  <si>
    <t>avo</t>
  </si>
  <si>
    <t>Mission Produce Inc</t>
  </si>
  <si>
    <t>altuu</t>
  </si>
  <si>
    <t>Altitude Acquisition Units</t>
  </si>
  <si>
    <t>myn</t>
  </si>
  <si>
    <t>BlackRock MuniYield NewYork Qlty Fnd Inc</t>
  </si>
  <si>
    <t>biogy</t>
  </si>
  <si>
    <t>Biogaia ADR</t>
  </si>
  <si>
    <t>eh</t>
  </si>
  <si>
    <t>EHang Holdings Ltd - ADR</t>
  </si>
  <si>
    <t>nom</t>
  </si>
  <si>
    <t>Nuveen Missouri Quality Mncpl Incm Fnd</t>
  </si>
  <si>
    <t>vfl</t>
  </si>
  <si>
    <t>abrdn National Municipal Income Fund</t>
  </si>
  <si>
    <t>cris</t>
  </si>
  <si>
    <t>Curis Inc</t>
  </si>
  <si>
    <t>altu</t>
  </si>
  <si>
    <t>Altitude Acquisition Corp</t>
  </si>
  <si>
    <t>thcp</t>
  </si>
  <si>
    <t>Thunder Bridge Capital Partners IV Inc</t>
  </si>
  <si>
    <t>nmco</t>
  </si>
  <si>
    <t>Nuveen Municipal Credit Opprtntes Fund</t>
  </si>
  <si>
    <t>wbd</t>
  </si>
  <si>
    <t>Warner Bros Discovery Inc</t>
  </si>
  <si>
    <t>dmb</t>
  </si>
  <si>
    <t>BNY Mellon Municipal Bond InfrstrcFndInc</t>
  </si>
  <si>
    <t>0.45</t>
  </si>
  <si>
    <t>bhacu</t>
  </si>
  <si>
    <t>Focus Impact BH3 Acquisition Units</t>
  </si>
  <si>
    <t>bgsf</t>
  </si>
  <si>
    <t>BGSF Inc</t>
  </si>
  <si>
    <t>hcviu</t>
  </si>
  <si>
    <t>Hennessy Capital Investment VI Units</t>
  </si>
  <si>
    <t>ionq</t>
  </si>
  <si>
    <t>IONQ Inc</t>
  </si>
  <si>
    <t>vet</t>
  </si>
  <si>
    <t>Vermilion Energy Inc</t>
  </si>
  <si>
    <t>srad</t>
  </si>
  <si>
    <t>Sportradar Group AG</t>
  </si>
  <si>
    <t>mcbc</t>
  </si>
  <si>
    <t>Macatawa Bank Corp</t>
  </si>
  <si>
    <t>remyy</t>
  </si>
  <si>
    <t>Remy Cointreau S A Unsponsored France ADR</t>
  </si>
  <si>
    <t>thcpu</t>
  </si>
  <si>
    <t>Thunder Bridge Capital Partners IV Units</t>
  </si>
  <si>
    <t>bgs</t>
  </si>
  <si>
    <t>B&amp;G Foods Inc</t>
  </si>
  <si>
    <t>iraau</t>
  </si>
  <si>
    <t>Iris Acquisition Units</t>
  </si>
  <si>
    <t>pvbc</t>
  </si>
  <si>
    <t>Provident Bancorp Inc (Maryland)</t>
  </si>
  <si>
    <t>ach</t>
  </si>
  <si>
    <t>Algoma Central Corporation</t>
  </si>
  <si>
    <t>iraa</t>
  </si>
  <si>
    <t>Iris Acquisition Corp</t>
  </si>
  <si>
    <t>mgic</t>
  </si>
  <si>
    <t>Magic Software Enterprises Ltd</t>
  </si>
  <si>
    <t>suz</t>
  </si>
  <si>
    <t>Suzano 1 American Depositary Shares Representing 1 Ord Shs</t>
  </si>
  <si>
    <t>elmd</t>
  </si>
  <si>
    <t>Electromed Inc</t>
  </si>
  <si>
    <t>pfd</t>
  </si>
  <si>
    <t>Flaherty &amp; Crumrine Pref and Incm Fd Inc</t>
  </si>
  <si>
    <t>mqt</t>
  </si>
  <si>
    <t>BlackRock MuniYield Quality Fund II Inc</t>
  </si>
  <si>
    <t>awf</t>
  </si>
  <si>
    <t>AllianceBernstein Global Hgh Incm Fd Inc</t>
  </si>
  <si>
    <t>0.85</t>
  </si>
  <si>
    <t>pmo</t>
  </si>
  <si>
    <t>Putnam Municipal Opportunities Trust</t>
  </si>
  <si>
    <t>cmre</t>
  </si>
  <si>
    <t>Costamare Inc</t>
  </si>
  <si>
    <t>etrn</t>
  </si>
  <si>
    <t>Equitrans Midstream Corp</t>
  </si>
  <si>
    <t>fusb</t>
  </si>
  <si>
    <t>First US Bancshares Inc</t>
  </si>
  <si>
    <t>wkme</t>
  </si>
  <si>
    <t>Walkme Ltd</t>
  </si>
  <si>
    <t>pukpf</t>
  </si>
  <si>
    <t>Prudential plc</t>
  </si>
  <si>
    <t>cwk</t>
  </si>
  <si>
    <t>Cushman &amp; Wakefield PLC</t>
  </si>
  <si>
    <t>bta</t>
  </si>
  <si>
    <t>BlackRock Long Term Municpl Advntg Trust</t>
  </si>
  <si>
    <t>rmgcu</t>
  </si>
  <si>
    <t>Rmg Acquisition Iii Units</t>
  </si>
  <si>
    <t>hcvi</t>
  </si>
  <si>
    <t>Hennessy Capital Investment Corp VI</t>
  </si>
  <si>
    <t>evri</t>
  </si>
  <si>
    <t>Everi Holdings Inc</t>
  </si>
  <si>
    <t>slca</t>
  </si>
  <si>
    <t>US Silica Holdings Inc</t>
  </si>
  <si>
    <t>flws</t>
  </si>
  <si>
    <t>1-800-Flowers.Com Inc</t>
  </si>
  <si>
    <t>ajxa</t>
  </si>
  <si>
    <t>AFC Ajax NV</t>
  </si>
  <si>
    <t>arrw</t>
  </si>
  <si>
    <t>Arrowroot Acquisition Corp Class A</t>
  </si>
  <si>
    <t>lz</t>
  </si>
  <si>
    <t>LegalZoom.com Inc</t>
  </si>
  <si>
    <t>cnda</t>
  </si>
  <si>
    <t>Concord Acquisition II Corp</t>
  </si>
  <si>
    <t>smfg</t>
  </si>
  <si>
    <t>Sumitomo Mitsui Financial Group Inc</t>
  </si>
  <si>
    <t>axac</t>
  </si>
  <si>
    <t>AXIOS Sustainable Growth Acquisition Crp</t>
  </si>
  <si>
    <t>slac</t>
  </si>
  <si>
    <t>Social Leverage Acquisition Corp I</t>
  </si>
  <si>
    <t>bfin</t>
  </si>
  <si>
    <t>BankFinancial Corp</t>
  </si>
  <si>
    <t>vgr</t>
  </si>
  <si>
    <t>Vector Group Ltd</t>
  </si>
  <si>
    <t>afri</t>
  </si>
  <si>
    <t>Forafric Global PLC</t>
  </si>
  <si>
    <t>vinp</t>
  </si>
  <si>
    <t>Vinci Partners Investments Ltd</t>
  </si>
  <si>
    <t>pten</t>
  </si>
  <si>
    <t>Patterson-UTI Energy, Inc.</t>
  </si>
  <si>
    <t>bhac</t>
  </si>
  <si>
    <t>Focus Impact BH3 Acquisition Co</t>
  </si>
  <si>
    <t>npct</t>
  </si>
  <si>
    <t>Nuveen Core Plus Impact Fund</t>
  </si>
  <si>
    <t>glad</t>
  </si>
  <si>
    <t>Gladstone Capital Corporation</t>
  </si>
  <si>
    <t>brkl</t>
  </si>
  <si>
    <t>Brookline Bancorp, Inc.</t>
  </si>
  <si>
    <t>lca</t>
  </si>
  <si>
    <t>Landcadia Holdings IV Inc</t>
  </si>
  <si>
    <t>mytay</t>
  </si>
  <si>
    <t>Magyar Telekom Tavkozlesi Nyrt</t>
  </si>
  <si>
    <t>macau</t>
  </si>
  <si>
    <t>Moringa Acquisition Units</t>
  </si>
  <si>
    <t>rcacu</t>
  </si>
  <si>
    <t>Revelstone Capital Acquisition Units</t>
  </si>
  <si>
    <t>lcahu</t>
  </si>
  <si>
    <t>Landcadia Holdings IV Units</t>
  </si>
  <si>
    <t>mpx</t>
  </si>
  <si>
    <t>Marine Products Corp</t>
  </si>
  <si>
    <t>crgy</t>
  </si>
  <si>
    <t>Crescent Energy Co</t>
  </si>
  <si>
    <t>tgr</t>
  </si>
  <si>
    <t>Tirupati Graphite PLC</t>
  </si>
  <si>
    <t>ccbc</t>
  </si>
  <si>
    <t>Chino Commercial Bancorp (CA)</t>
  </si>
  <si>
    <t>cnglu</t>
  </si>
  <si>
    <t>Canna Global Acquisition Units</t>
  </si>
  <si>
    <t>arrwu</t>
  </si>
  <si>
    <t>Arrowroot Acquisition Corp Unit</t>
  </si>
  <si>
    <t>nstc</t>
  </si>
  <si>
    <t>Northern Star Investment Corp III</t>
  </si>
  <si>
    <t>glncy</t>
  </si>
  <si>
    <t>GLENCORE ADR</t>
  </si>
  <si>
    <t>enerw</t>
  </si>
  <si>
    <t>Amundi S&amp;P Gl Energy Carbon Reduced UETF DR EUR A</t>
  </si>
  <si>
    <t>gateu</t>
  </si>
  <si>
    <t>Marblegate Acquisition Units</t>
  </si>
  <si>
    <t>swss</t>
  </si>
  <si>
    <t>swssu</t>
  </si>
  <si>
    <t>Clean Energy Special Situations Units</t>
  </si>
  <si>
    <t>rrgb</t>
  </si>
  <si>
    <t>Red Robin Gourmet Burgers Inc</t>
  </si>
  <si>
    <t>mrc</t>
  </si>
  <si>
    <t>MRC Global Inc</t>
  </si>
  <si>
    <t>viv</t>
  </si>
  <si>
    <t>Telefonica Brasil SA</t>
  </si>
  <si>
    <t>cmcl</t>
  </si>
  <si>
    <t>Caledonia Mining Corporation Plc</t>
  </si>
  <si>
    <t>cldt</t>
  </si>
  <si>
    <t>Chatham Lodging Trust</t>
  </si>
  <si>
    <t>acabu</t>
  </si>
  <si>
    <t>Atlantic Coastal Acquisition II Units</t>
  </si>
  <si>
    <t>drct</t>
  </si>
  <si>
    <t>Direct Digital Holdings Inc</t>
  </si>
  <si>
    <t>hie</t>
  </si>
  <si>
    <t>Miller/Howard High Income Equity Fund</t>
  </si>
  <si>
    <t>0.61</t>
  </si>
  <si>
    <t>osi</t>
  </si>
  <si>
    <t>Osiris Acquisition Corp</t>
  </si>
  <si>
    <t>nstd</t>
  </si>
  <si>
    <t>Northern Star Investment Corp IV</t>
  </si>
  <si>
    <t>ndmo</t>
  </si>
  <si>
    <t>Nuveen Dynamic Municipal Opportunities Fund</t>
  </si>
  <si>
    <t>eftr</t>
  </si>
  <si>
    <t>tgvcu</t>
  </si>
  <si>
    <t>TG Venture Acquisition Units</t>
  </si>
  <si>
    <t>rmax</t>
  </si>
  <si>
    <t>Re/Max Holdings Inc</t>
  </si>
  <si>
    <t>mhn</t>
  </si>
  <si>
    <t>Blackrock Muniholdings New York Qulty Fd</t>
  </si>
  <si>
    <t>agro</t>
  </si>
  <si>
    <t>Adecoagro SA</t>
  </si>
  <si>
    <t>ritm</t>
  </si>
  <si>
    <t>Rithm Capital Corp</t>
  </si>
  <si>
    <t>denn</t>
  </si>
  <si>
    <t>Denny's Corp</t>
  </si>
  <si>
    <t>sa</t>
  </si>
  <si>
    <t>Seabridge Gold Inc</t>
  </si>
  <si>
    <t>dht</t>
  </si>
  <si>
    <t>DHT Holdings Inc</t>
  </si>
  <si>
    <t>emldu</t>
  </si>
  <si>
    <t>FTAC Emerald Acquisition Units</t>
  </si>
  <si>
    <t>tmtc</t>
  </si>
  <si>
    <t>TMT Acquisition Corp</t>
  </si>
  <si>
    <t>vaqc</t>
  </si>
  <si>
    <t>Vector Acquisition Corp II</t>
  </si>
  <si>
    <t>west</t>
  </si>
  <si>
    <t>Westrock Coffee Co</t>
  </si>
  <si>
    <t>vtsi</t>
  </si>
  <si>
    <t>Virtra Inc</t>
  </si>
  <si>
    <t>bny</t>
  </si>
  <si>
    <t>BlackRock New York Municipal Incom Trust</t>
  </si>
  <si>
    <t>0.40</t>
  </si>
  <si>
    <t>blac</t>
  </si>
  <si>
    <t>Bellevue Life Sciences Acquisition Corp</t>
  </si>
  <si>
    <t>dhcau</t>
  </si>
  <si>
    <t>DHC Acquisition Units</t>
  </si>
  <si>
    <t>acah</t>
  </si>
  <si>
    <t>Atlantic Coastal Acquisition Corp</t>
  </si>
  <si>
    <t>aptmu</t>
  </si>
  <si>
    <t>Alpha Partners Technology Merger Units</t>
  </si>
  <si>
    <t>fusn</t>
  </si>
  <si>
    <t>Fusion Pharmaceuticals Inc</t>
  </si>
  <si>
    <t>stsff</t>
  </si>
  <si>
    <t>Smartstop Self Storage Reit Inc</t>
  </si>
  <si>
    <t>cvii</t>
  </si>
  <si>
    <t>Churchill Capital Corp VII</t>
  </si>
  <si>
    <t>huda</t>
  </si>
  <si>
    <t>Hudson Acquisition I Corp</t>
  </si>
  <si>
    <t>conx</t>
  </si>
  <si>
    <t>CONX Corp</t>
  </si>
  <si>
    <t>roclu</t>
  </si>
  <si>
    <t>Roth CH Acquisition V Units</t>
  </si>
  <si>
    <t>via</t>
  </si>
  <si>
    <t>Via Renewables Inc</t>
  </si>
  <si>
    <t>opbk</t>
  </si>
  <si>
    <t>OP Bancorp</t>
  </si>
  <si>
    <t>scrm</t>
  </si>
  <si>
    <t>Screaming Eagle Acquisition Corp</t>
  </si>
  <si>
    <t>gamcu</t>
  </si>
  <si>
    <t>Golden Arrow Merger Units</t>
  </si>
  <si>
    <t>marx</t>
  </si>
  <si>
    <t>Mars Acquisition Corp</t>
  </si>
  <si>
    <t>plmiu</t>
  </si>
  <si>
    <t>Plum Acquisition I Units</t>
  </si>
  <si>
    <t>brkhu</t>
  </si>
  <si>
    <t>BurTech Acquisition Units</t>
  </si>
  <si>
    <t>pahc</t>
  </si>
  <si>
    <t>Phibro Animal Health Corp</t>
  </si>
  <si>
    <t>alcc</t>
  </si>
  <si>
    <t>ALTC Acquisition Corp</t>
  </si>
  <si>
    <t>ficvu</t>
  </si>
  <si>
    <t>Frontier Investment Units</t>
  </si>
  <si>
    <t>nmt</t>
  </si>
  <si>
    <t>Nuveen Massachusetts Qlty Mncpl Incm Fnd</t>
  </si>
  <si>
    <t>pfta</t>
  </si>
  <si>
    <t>Perception Capital Corp III</t>
  </si>
  <si>
    <t>cdaq</t>
  </si>
  <si>
    <t>Compass Digital Acquisition Corp</t>
  </si>
  <si>
    <t>xper</t>
  </si>
  <si>
    <t>Xperi Inc</t>
  </si>
  <si>
    <t>yota</t>
  </si>
  <si>
    <t>Yotta Acquisition Corp</t>
  </si>
  <si>
    <t>gamc</t>
  </si>
  <si>
    <t>Golden Arrow Merger Corp</t>
  </si>
  <si>
    <t>pegr</t>
  </si>
  <si>
    <t>Project Energy Reimagined Acqutn Corp</t>
  </si>
  <si>
    <t>acahu</t>
  </si>
  <si>
    <t>Atlantic Coastal Acquisition Units</t>
  </si>
  <si>
    <t>cndb</t>
  </si>
  <si>
    <t>Concord Acquisition Corp III</t>
  </si>
  <si>
    <t>prlhu</t>
  </si>
  <si>
    <t>Pearl Holdings Acquisition Units</t>
  </si>
  <si>
    <t>mcag</t>
  </si>
  <si>
    <t>Mountain Crest Acquisition Corp V</t>
  </si>
  <si>
    <t>glst</t>
  </si>
  <si>
    <t>Global Star Acquisition Inc</t>
  </si>
  <si>
    <t>bleuu</t>
  </si>
  <si>
    <t>bleuacacia Units</t>
  </si>
  <si>
    <t>conxu</t>
  </si>
  <si>
    <t>CONX Units</t>
  </si>
  <si>
    <t>twoa</t>
  </si>
  <si>
    <t>Two</t>
  </si>
  <si>
    <t>port</t>
  </si>
  <si>
    <t>Southport Acquisition Corp</t>
  </si>
  <si>
    <t>npab</t>
  </si>
  <si>
    <t>New Providence Acquisition Corp II</t>
  </si>
  <si>
    <t>opinl</t>
  </si>
  <si>
    <t>Office Properties Income 6 375 Senior Notes due 2050</t>
  </si>
  <si>
    <t>trtl</t>
  </si>
  <si>
    <t>TortoiseEcofin Acquisition Corp III</t>
  </si>
  <si>
    <t>arizu</t>
  </si>
  <si>
    <t>Arisz Acquisition Units</t>
  </si>
  <si>
    <t>wavs</t>
  </si>
  <si>
    <t>Western Acquisition Ventures Corp</t>
  </si>
  <si>
    <t>gmfiu</t>
  </si>
  <si>
    <t>Aetherium Acquisition Units</t>
  </si>
  <si>
    <t>rcac</t>
  </si>
  <si>
    <t>Revelstone Capital Acquisition Corp</t>
  </si>
  <si>
    <t>pegru</t>
  </si>
  <si>
    <t>Project Energy Reimagined Acquisition Units</t>
  </si>
  <si>
    <t>ghix</t>
  </si>
  <si>
    <t>Gores Holdings IX Inc</t>
  </si>
  <si>
    <t>dpcsu</t>
  </si>
  <si>
    <t>DP Cap Acquisition I Units</t>
  </si>
  <si>
    <t>ble</t>
  </si>
  <si>
    <t>BlackRock Municipal Income Trust II</t>
  </si>
  <si>
    <t>bwaqu</t>
  </si>
  <si>
    <t>Blue World Acquisition Units</t>
  </si>
  <si>
    <t>pucku</t>
  </si>
  <si>
    <t>Goal Acquisitions Units</t>
  </si>
  <si>
    <t>dhca</t>
  </si>
  <si>
    <t>DHC Acquisition Corp</t>
  </si>
  <si>
    <t>krnl</t>
  </si>
  <si>
    <t>Kernel Group Holdings Inc</t>
  </si>
  <si>
    <t>isrl</t>
  </si>
  <si>
    <t>Israel Acquisitions Corp</t>
  </si>
  <si>
    <t>nfys</t>
  </si>
  <si>
    <t>Enphys Acquisition Corp</t>
  </si>
  <si>
    <t>aptm</t>
  </si>
  <si>
    <t>Alpha Partners Technology Merger Corp</t>
  </si>
  <si>
    <t>inod</t>
  </si>
  <si>
    <t>Innodata Inc</t>
  </si>
  <si>
    <t>mita</t>
  </si>
  <si>
    <t>Coliseum Acquisition Corp</t>
  </si>
  <si>
    <t>xfinu</t>
  </si>
  <si>
    <t>Excelfin Acquisition Units</t>
  </si>
  <si>
    <t>cmcau</t>
  </si>
  <si>
    <t>Capitalworks Emerging Markets Acquisition Units</t>
  </si>
  <si>
    <t>cev</t>
  </si>
  <si>
    <t>Eaton Vance California Muncpl Incme Trst</t>
  </si>
  <si>
    <t>bleu</t>
  </si>
  <si>
    <t>gdstu</t>
  </si>
  <si>
    <t>Goldenstone Acquisition Units</t>
  </si>
  <si>
    <t>vcxb</t>
  </si>
  <si>
    <t>10X Capital Venture Acquisition III Corp</t>
  </si>
  <si>
    <t>scrmu</t>
  </si>
  <si>
    <t>Screaming Eagle Acquisition Units</t>
  </si>
  <si>
    <t>dmyy</t>
  </si>
  <si>
    <t>DMY Squared Technology Group Inc</t>
  </si>
  <si>
    <t>nbstu</t>
  </si>
  <si>
    <t>Newbury Street Acquisition Units</t>
  </si>
  <si>
    <t>gbbk</t>
  </si>
  <si>
    <t>Global Blockchain Acquisition Corp</t>
  </si>
  <si>
    <t>citeu</t>
  </si>
  <si>
    <t>Cartica Acquisition Units</t>
  </si>
  <si>
    <t>pflc</t>
  </si>
  <si>
    <t>Pacific Financial Corp</t>
  </si>
  <si>
    <t>cptk</t>
  </si>
  <si>
    <t>Crown PropTech Acquisitions</t>
  </si>
  <si>
    <t>prlh</t>
  </si>
  <si>
    <t>Pearl Holdings Acquisition Corp</t>
  </si>
  <si>
    <t>myd</t>
  </si>
  <si>
    <t>BlackRock MuniYield Fund Inc</t>
  </si>
  <si>
    <t>inaq</t>
  </si>
  <si>
    <t>Insight Acquisition Corp</t>
  </si>
  <si>
    <t>rfac</t>
  </si>
  <si>
    <t>Rf Acquisition Corp</t>
  </si>
  <si>
    <t>tcoa</t>
  </si>
  <si>
    <t>Zalatoris Acquisition Corp</t>
  </si>
  <si>
    <t>bite</t>
  </si>
  <si>
    <t>Bite Acquisition Corp</t>
  </si>
  <si>
    <t>mvt</t>
  </si>
  <si>
    <t>BlackRock MuniVest Fund II Inc</t>
  </si>
  <si>
    <t>fiacu</t>
  </si>
  <si>
    <t>Focus Impact Acquisition Units</t>
  </si>
  <si>
    <t>nrk</t>
  </si>
  <si>
    <t>Nuveen New York AMT-Fr Qty Mnpl Incm Fd</t>
  </si>
  <si>
    <t>kcgi</t>
  </si>
  <si>
    <t>Kensington Capital Acquisition Corp V</t>
  </si>
  <si>
    <t>hone</t>
  </si>
  <si>
    <t>HarborOne Bancorp Inc</t>
  </si>
  <si>
    <t>aqu</t>
  </si>
  <si>
    <t>Aquaron Acquisition Corp</t>
  </si>
  <si>
    <t>kychu</t>
  </si>
  <si>
    <t>Keyarch Acquisition Units</t>
  </si>
  <si>
    <t>wtma</t>
  </si>
  <si>
    <t>Welsbach Technology Metals Acquisitn Crp</t>
  </si>
  <si>
    <t>rwod</t>
  </si>
  <si>
    <t>Redwoods Acquisition Corp</t>
  </si>
  <si>
    <t>cull</t>
  </si>
  <si>
    <t>Cullman Bancorp, Inc.</t>
  </si>
  <si>
    <t>pftau</t>
  </si>
  <si>
    <t>Perception Capital Units</t>
  </si>
  <si>
    <t>hhla</t>
  </si>
  <si>
    <t>HH&amp;L Acquisition Co</t>
  </si>
  <si>
    <t>cffsu</t>
  </si>
  <si>
    <t>CF Acquisition VII Units</t>
  </si>
  <si>
    <t>sho</t>
  </si>
  <si>
    <t>Sunstone Hotel Investors Inc</t>
  </si>
  <si>
    <t>evg</t>
  </si>
  <si>
    <t>Eaton Vance Short Duration Diversified Income Closed Fund</t>
  </si>
  <si>
    <t>0.94</t>
  </si>
  <si>
    <t>nbst</t>
  </si>
  <si>
    <t>Newbury Street Acquisition Corp</t>
  </si>
  <si>
    <t>ladr</t>
  </si>
  <si>
    <t>Ladder Capital Corp</t>
  </si>
  <si>
    <t>rcm</t>
  </si>
  <si>
    <t>R1 Rcm Inc</t>
  </si>
  <si>
    <t>chi</t>
  </si>
  <si>
    <t>CALAMOS CONV. OPPTYS. &amp; INCOME FUND Common Stock</t>
  </si>
  <si>
    <t>0.77</t>
  </si>
  <si>
    <t>aogo</t>
  </si>
  <si>
    <t>Arogo Capital Acquisition Corp</t>
  </si>
  <si>
    <t>rwodu</t>
  </si>
  <si>
    <t>Redwoods Acquisition Units</t>
  </si>
  <si>
    <t>igta</t>
  </si>
  <si>
    <t>Inception Growth Acquisition Ltd</t>
  </si>
  <si>
    <t>xfin</t>
  </si>
  <si>
    <t>ExcelFin Acquisition Corp</t>
  </si>
  <si>
    <t>coolu</t>
  </si>
  <si>
    <t>Corner Growth Acquisition Units</t>
  </si>
  <si>
    <t>opa</t>
  </si>
  <si>
    <t>Magnum Opus Acquisition Ltd</t>
  </si>
  <si>
    <t>twlv</t>
  </si>
  <si>
    <t>Twelve Seas Investment Co II</t>
  </si>
  <si>
    <t>brkh</t>
  </si>
  <si>
    <t>BurTech Acquisition Corp</t>
  </si>
  <si>
    <t>mio</t>
  </si>
  <si>
    <t>Pioneer Muncpl Hgh Incm Opprtnts Fnd Inc</t>
  </si>
  <si>
    <t>aogou</t>
  </si>
  <si>
    <t>Arogo Capital Acquisition Units</t>
  </si>
  <si>
    <t>rocl</t>
  </si>
  <si>
    <t>Roth CH Acquisition V Co</t>
  </si>
  <si>
    <t>xpdb</t>
  </si>
  <si>
    <t>Power &amp; Digital Infrstre Aqstn II Corp</t>
  </si>
  <si>
    <t>xpdbu</t>
  </si>
  <si>
    <t>Power Digital Infrastructure Acquisition II Units</t>
  </si>
  <si>
    <t>cool</t>
  </si>
  <si>
    <t>Corner Growth Acquisition Corp</t>
  </si>
  <si>
    <t>dtf</t>
  </si>
  <si>
    <t>DTF Tax-Free Income 2028 Term Fund Inc</t>
  </si>
  <si>
    <t>0.35</t>
  </si>
  <si>
    <t>bhv</t>
  </si>
  <si>
    <t>BlackRock Virginia Municipal Bond Trust</t>
  </si>
  <si>
    <t>inte</t>
  </si>
  <si>
    <t>Integral Acquisition Corp 1</t>
  </si>
  <si>
    <t>rfacu</t>
  </si>
  <si>
    <t>RF Acquisition Units</t>
  </si>
  <si>
    <t>blua</t>
  </si>
  <si>
    <t>BlueRiver Acquisition Corp</t>
  </si>
  <si>
    <t>ppya</t>
  </si>
  <si>
    <t>Papaya Growth Opportunity Corp I</t>
  </si>
  <si>
    <t>fexd</t>
  </si>
  <si>
    <t>Fintech Ecosystem Development Corp Class A</t>
  </si>
  <si>
    <t>body</t>
  </si>
  <si>
    <t>Beachbody Company Inc</t>
  </si>
  <si>
    <t>ascbu</t>
  </si>
  <si>
    <t>A SPAC II Acquisition Units</t>
  </si>
  <si>
    <t>gecc</t>
  </si>
  <si>
    <t>Great Elm Capital Corp</t>
  </si>
  <si>
    <t>glliu</t>
  </si>
  <si>
    <t>Globalink Investment Units</t>
  </si>
  <si>
    <t>peplu</t>
  </si>
  <si>
    <t>PepperLime Health Acquisition Units</t>
  </si>
  <si>
    <t>bnix</t>
  </si>
  <si>
    <t>Bannix Acquisition Corp</t>
  </si>
  <si>
    <t>ocax</t>
  </si>
  <si>
    <t>OCA Acquisition Corp</t>
  </si>
  <si>
    <t>ascb</t>
  </si>
  <si>
    <t>ASPAC II Acquisition Corp</t>
  </si>
  <si>
    <t>gdst</t>
  </si>
  <si>
    <t>Goldenstone Acquisition Ltd</t>
  </si>
  <si>
    <t>bocnu</t>
  </si>
  <si>
    <t>Blue Ocean Acquisition Units</t>
  </si>
  <si>
    <t>skgru</t>
  </si>
  <si>
    <t>SK Growth Opportunities Units</t>
  </si>
  <si>
    <t>opra</t>
  </si>
  <si>
    <t>Opera Ltd</t>
  </si>
  <si>
    <t>winvu</t>
  </si>
  <si>
    <t>WinVest Acquisition Units</t>
  </si>
  <si>
    <t>tris</t>
  </si>
  <si>
    <t>Tristar Acquisition I Corp</t>
  </si>
  <si>
    <t>mua</t>
  </si>
  <si>
    <t>BlackRock MuniAssets Fund Inc</t>
  </si>
  <si>
    <t>wtmau</t>
  </si>
  <si>
    <t>Welsbach Technology Metals Acquisition Units</t>
  </si>
  <si>
    <t>haiau</t>
  </si>
  <si>
    <t>Healthcare AI Acquisition Units</t>
  </si>
  <si>
    <t>flfv</t>
  </si>
  <si>
    <t>Feutune Light Acquisition Corp</t>
  </si>
  <si>
    <t>brid</t>
  </si>
  <si>
    <t>Bridgford Foods Corporation</t>
  </si>
  <si>
    <t>cbrgu</t>
  </si>
  <si>
    <t>Chain Bridge I Units</t>
  </si>
  <si>
    <t>shap</t>
  </si>
  <si>
    <t>Spree Acquisition Corp 1 Ltd</t>
  </si>
  <si>
    <t>seda</t>
  </si>
  <si>
    <t>SDCL EDGE Acquisition Corporation</t>
  </si>
  <si>
    <t>slam</t>
  </si>
  <si>
    <t>Slam Corp</t>
  </si>
  <si>
    <t>afb</t>
  </si>
  <si>
    <t>Alliancebernstein National Mncpl ncm Fnd</t>
  </si>
  <si>
    <t>gtac</t>
  </si>
  <si>
    <t>Global Technology Acquisition Corp I</t>
  </si>
  <si>
    <t>usctu</t>
  </si>
  <si>
    <t>Roth CH Acquisition Units</t>
  </si>
  <si>
    <t>pwupu</t>
  </si>
  <si>
    <t>Powerup Acquisition Units</t>
  </si>
  <si>
    <t>cslmu</t>
  </si>
  <si>
    <t>CSLM Acquisition Units</t>
  </si>
  <si>
    <t>svii</t>
  </si>
  <si>
    <t>Spring Valley Acquisition Corp II</t>
  </si>
  <si>
    <t>cmps</t>
  </si>
  <si>
    <t>Compass Pathways PLC</t>
  </si>
  <si>
    <t>gia</t>
  </si>
  <si>
    <t>Gigcapital5 Inc</t>
  </si>
  <si>
    <t>eve</t>
  </si>
  <si>
    <t>EVe Mobility Acquisition Corp</t>
  </si>
  <si>
    <t>ascau</t>
  </si>
  <si>
    <t>A SPAC I Acquisition Units</t>
  </si>
  <si>
    <t>gmfi</t>
  </si>
  <si>
    <t>Aetherium Acquisition Corp</t>
  </si>
  <si>
    <t>gtacu</t>
  </si>
  <si>
    <t>Global Technology Acquisition Units</t>
  </si>
  <si>
    <t>duetu</t>
  </si>
  <si>
    <t>DUET Acquisition Units</t>
  </si>
  <si>
    <t>bocn</t>
  </si>
  <si>
    <t>mtr</t>
  </si>
  <si>
    <t>Mesa Royalty Trust</t>
  </si>
  <si>
    <t>pwup</t>
  </si>
  <si>
    <t>PowerUp Acquisition Corp</t>
  </si>
  <si>
    <t>bhk</t>
  </si>
  <si>
    <t>BlackRock Core Bond Trust</t>
  </si>
  <si>
    <t>0.87</t>
  </si>
  <si>
    <t>pepl</t>
  </si>
  <si>
    <t>PepperLime Health Acquisition Corp</t>
  </si>
  <si>
    <t>cffs</t>
  </si>
  <si>
    <t>CF Acquisition VII Corp</t>
  </si>
  <si>
    <t>aaci</t>
  </si>
  <si>
    <t>Armada Acquisition Corp I</t>
  </si>
  <si>
    <t>pdt</t>
  </si>
  <si>
    <t>John Hancock Premium Dividend Fund</t>
  </si>
  <si>
    <t>cenx</t>
  </si>
  <si>
    <t>Century Aluminum Co</t>
  </si>
  <si>
    <t>hood</t>
  </si>
  <si>
    <t>Robinhood Markets Inc</t>
  </si>
  <si>
    <t>kych</t>
  </si>
  <si>
    <t>Keyarch Acquisition Corp</t>
  </si>
  <si>
    <t>duet</t>
  </si>
  <si>
    <t>DUET Acquisition Corp</t>
  </si>
  <si>
    <t>nracu</t>
  </si>
  <si>
    <t>Northern Revival Acquisition Units</t>
  </si>
  <si>
    <t>cbrg</t>
  </si>
  <si>
    <t>Chain Bridge I</t>
  </si>
  <si>
    <t>lcw</t>
  </si>
  <si>
    <t>Learn CW Investment Corp</t>
  </si>
  <si>
    <t>slamu</t>
  </si>
  <si>
    <t>Slam Units</t>
  </si>
  <si>
    <t>cctsu</t>
  </si>
  <si>
    <t>Cactus Acquisition 1 Units</t>
  </si>
  <si>
    <t>haia</t>
  </si>
  <si>
    <t>Healthcare AI Acquisition Corp</t>
  </si>
  <si>
    <t>afaru</t>
  </si>
  <si>
    <t>Aura Fat Projects Acquisition Units</t>
  </si>
  <si>
    <t>aeaeu</t>
  </si>
  <si>
    <t>AltEnergy Acquisition Units</t>
  </si>
  <si>
    <t>bynou</t>
  </si>
  <si>
    <t>Bynordic Acq Units</t>
  </si>
  <si>
    <t>mcac</t>
  </si>
  <si>
    <t>Monterey Capital Acquisition Corp</t>
  </si>
  <si>
    <t>dpcs</t>
  </si>
  <si>
    <t>DP Cap Acquisition I Corp</t>
  </si>
  <si>
    <t>btz</t>
  </si>
  <si>
    <t>Blackrock Credit Allocation Income Trust</t>
  </si>
  <si>
    <t>ptwo</t>
  </si>
  <si>
    <t>Pono Capital Two Inc</t>
  </si>
  <si>
    <t>ptwou</t>
  </si>
  <si>
    <t>Pono Capital Two Units</t>
  </si>
  <si>
    <t>cslm</t>
  </si>
  <si>
    <t>CSLM Acquisition Corp</t>
  </si>
  <si>
    <t>wnnr</t>
  </si>
  <si>
    <t>Andretti Acquisition Corp</t>
  </si>
  <si>
    <t>ross</t>
  </si>
  <si>
    <t>Ross Acquisition II Corp</t>
  </si>
  <si>
    <t>tsq</t>
  </si>
  <si>
    <t>Townsquare Media Inc</t>
  </si>
  <si>
    <t>mntn</t>
  </si>
  <si>
    <t>Everest Consolidator Acquisition Corp</t>
  </si>
  <si>
    <t>altg</t>
  </si>
  <si>
    <t>Alta Equipment Group Inc</t>
  </si>
  <si>
    <t>amswa</t>
  </si>
  <si>
    <t>American Software, Inc.</t>
  </si>
  <si>
    <t>rovr</t>
  </si>
  <si>
    <t>Rover Group Inc</t>
  </si>
  <si>
    <t>lgfry</t>
  </si>
  <si>
    <t>Longfor Group Holdings ADR</t>
  </si>
  <si>
    <t>hndaf</t>
  </si>
  <si>
    <t>Honda Motor Co Ltd</t>
  </si>
  <si>
    <t>plmi</t>
  </si>
  <si>
    <t>Plum Acquisition I Corp</t>
  </si>
  <si>
    <t>tenk</t>
  </si>
  <si>
    <t>TenX Keane Acquisition Ord Shs</t>
  </si>
  <si>
    <t>lgvc</t>
  </si>
  <si>
    <t>LAMF Global Ventures I Corp</t>
  </si>
  <si>
    <t>bcsau</t>
  </si>
  <si>
    <t>Blockchain Coinvestors Acquisition I Units</t>
  </si>
  <si>
    <t>ivcau</t>
  </si>
  <si>
    <t>Investcorp India Acquisition Units</t>
  </si>
  <si>
    <t>acacu</t>
  </si>
  <si>
    <t>Acri Capital Acquisition Units</t>
  </si>
  <si>
    <t>afar</t>
  </si>
  <si>
    <t>usct</t>
  </si>
  <si>
    <t>ivcp</t>
  </si>
  <si>
    <t>Swiftmerge Acquisition Corp</t>
  </si>
  <si>
    <t>bcsa</t>
  </si>
  <si>
    <t>Blockchain Coinvestors Acqustn Corp I</t>
  </si>
  <si>
    <t>asca</t>
  </si>
  <si>
    <t>maca</t>
  </si>
  <si>
    <t>Moringa Acquisition Corp</t>
  </si>
  <si>
    <t>aeae</t>
  </si>
  <si>
    <t>Altenergy Acquisition Corp</t>
  </si>
  <si>
    <t>rcfa</t>
  </si>
  <si>
    <t>RCF Acquisition Corp</t>
  </si>
  <si>
    <t>pbaxu</t>
  </si>
  <si>
    <t>Phoenix Biotech Acquisition Units</t>
  </si>
  <si>
    <t>cngl</t>
  </si>
  <si>
    <t>Canna-Global Acquisition Corp</t>
  </si>
  <si>
    <t>pmgm</t>
  </si>
  <si>
    <t>Priveterra Acquisition Corp II</t>
  </si>
  <si>
    <t>mbtc</t>
  </si>
  <si>
    <t>Nocturne Acquisition Corp</t>
  </si>
  <si>
    <t>maqc</t>
  </si>
  <si>
    <t>Maquia Capital Acquisition Corp</t>
  </si>
  <si>
    <t>mssa</t>
  </si>
  <si>
    <t>Metal Sky Star Acquisition Corp</t>
  </si>
  <si>
    <t>ivcpu</t>
  </si>
  <si>
    <t>Swiftmerge Acquisition Units</t>
  </si>
  <si>
    <t>nrac</t>
  </si>
  <si>
    <t>esacu</t>
  </si>
  <si>
    <t>Esgen Acquisition Units</t>
  </si>
  <si>
    <t>fnvtu</t>
  </si>
  <si>
    <t>Finnovate Acquisition Units</t>
  </si>
  <si>
    <t>cmca</t>
  </si>
  <si>
    <t>Capitalworks Emerging Mark Acq Corp</t>
  </si>
  <si>
    <t>skgr</t>
  </si>
  <si>
    <t>dsaq</t>
  </si>
  <si>
    <t>Direct Selling Acquisition Corp</t>
  </si>
  <si>
    <t>fxco</t>
  </si>
  <si>
    <t>Financial Strategies Acquisition Corp</t>
  </si>
  <si>
    <t>zyme</t>
  </si>
  <si>
    <t>Zymeworks Inc</t>
  </si>
  <si>
    <t>cccs</t>
  </si>
  <si>
    <t>CCC Intelligent Solutions Holdings Inc</t>
  </si>
  <si>
    <t>lbbb</t>
  </si>
  <si>
    <t>Lakeshore Acquisition II Corp</t>
  </si>
  <si>
    <t>latgu</t>
  </si>
  <si>
    <t>Chenghe Acquisition Unit</t>
  </si>
  <si>
    <t>cite</t>
  </si>
  <si>
    <t>Cartica Acquisition Corp</t>
  </si>
  <si>
    <t>fpi</t>
  </si>
  <si>
    <t>Farmland Partners Inc</t>
  </si>
  <si>
    <t>flfvu</t>
  </si>
  <si>
    <t>Feutune Light Acquisition Units</t>
  </si>
  <si>
    <t>ftiiu</t>
  </si>
  <si>
    <t>Future Tech Ii Acquisition Units</t>
  </si>
  <si>
    <t>szzl</t>
  </si>
  <si>
    <t>Sizzle Acquisition Corp</t>
  </si>
  <si>
    <t>tcn</t>
  </si>
  <si>
    <t>Tricon Residential Inc</t>
  </si>
  <si>
    <t>emcg</t>
  </si>
  <si>
    <t>Embrace Change Acquisition Corp</t>
  </si>
  <si>
    <t>feim</t>
  </si>
  <si>
    <t>Frequency Electronics Inc</t>
  </si>
  <si>
    <t>tgaau</t>
  </si>
  <si>
    <t>Target Global Acquisition I Units</t>
  </si>
  <si>
    <t>rene</t>
  </si>
  <si>
    <t>reneu</t>
  </si>
  <si>
    <t>Cartesian Growth Ii Units</t>
  </si>
  <si>
    <t>tcnnf</t>
  </si>
  <si>
    <t>Trulieve Cannabis Corp</t>
  </si>
  <si>
    <t>hain</t>
  </si>
  <si>
    <t>Hain Celestial Group Inc</t>
  </si>
  <si>
    <t>fmn</t>
  </si>
  <si>
    <t>Federated Hermes Premier Muncpl Incm Fnd</t>
  </si>
  <si>
    <t>0.44</t>
  </si>
  <si>
    <t>aimau</t>
  </si>
  <si>
    <t>lgstu</t>
  </si>
  <si>
    <t>Semper Paratus Acquisition Units</t>
  </si>
  <si>
    <t>ftii</t>
  </si>
  <si>
    <t>Futuretech II Acquisition Corp</t>
  </si>
  <si>
    <t>byno</t>
  </si>
  <si>
    <t>jhs</t>
  </si>
  <si>
    <t>John Hancock Income Securities Trust</t>
  </si>
  <si>
    <t>bfac</t>
  </si>
  <si>
    <t>Battery Future Acquisition Corp</t>
  </si>
  <si>
    <t>npv</t>
  </si>
  <si>
    <t>Nuveen Virginia Quality Mncpl Incm Fund</t>
  </si>
  <si>
    <t>fiac</t>
  </si>
  <si>
    <t>Focus Impact Acquisition Corp</t>
  </si>
  <si>
    <t>sagau</t>
  </si>
  <si>
    <t>Sagaliam Acquisition Units</t>
  </si>
  <si>
    <t>mana</t>
  </si>
  <si>
    <t>Grayscale Decentraland Trust (MANA)</t>
  </si>
  <si>
    <t>dsu</t>
  </si>
  <si>
    <t>BlackRock Debt Strategies Fund Inc</t>
  </si>
  <si>
    <t>1.07</t>
  </si>
  <si>
    <t>pphp</t>
  </si>
  <si>
    <t>PHP Ventures Acquisition Corp</t>
  </si>
  <si>
    <t>aimbu</t>
  </si>
  <si>
    <t>Aimfinity Investment I Subunit</t>
  </si>
  <si>
    <t>ixaqu</t>
  </si>
  <si>
    <t>IX Acquisition Units</t>
  </si>
  <si>
    <t>jdcmf</t>
  </si>
  <si>
    <t>JD.com Inc</t>
  </si>
  <si>
    <t>ccts</t>
  </si>
  <si>
    <t>Cactus Acquisition Corp 1 Ltd</t>
  </si>
  <si>
    <t>onyx</t>
  </si>
  <si>
    <t>Onyx Acquisition I Co</t>
  </si>
  <si>
    <t>mor</t>
  </si>
  <si>
    <t>Morphosys Ag</t>
  </si>
  <si>
    <t>nea</t>
  </si>
  <si>
    <t>Nuveen Amt-Free Quality Municpl Incm Fnd</t>
  </si>
  <si>
    <t>ariz</t>
  </si>
  <si>
    <t>Arisz Acquisition Corp</t>
  </si>
  <si>
    <t>frla</t>
  </si>
  <si>
    <t>Fortune Rise Acquisition Corp</t>
  </si>
  <si>
    <t>liby</t>
  </si>
  <si>
    <t>Liberty Resources Acquisition Corp</t>
  </si>
  <si>
    <t>vmcau</t>
  </si>
  <si>
    <t>Valuence Merger I Units</t>
  </si>
  <si>
    <t>hcmau</t>
  </si>
  <si>
    <t>HCM Acquisition Units</t>
  </si>
  <si>
    <t>ivca</t>
  </si>
  <si>
    <t>Investcorp India Acquisition Corp</t>
  </si>
  <si>
    <t>inmb</t>
  </si>
  <si>
    <t>INmune Bio Inc</t>
  </si>
  <si>
    <t>rrac</t>
  </si>
  <si>
    <t>Rigel Resource Acquisition Corp</t>
  </si>
  <si>
    <t>bwaq</t>
  </si>
  <si>
    <t>Blue World Acquisition Corp</t>
  </si>
  <si>
    <t>atek</t>
  </si>
  <si>
    <t>Athena Technology Acquisition Corp II</t>
  </si>
  <si>
    <t>vivhy</t>
  </si>
  <si>
    <t>Vivendi SE</t>
  </si>
  <si>
    <t>ari</t>
  </si>
  <si>
    <t>Apollo Commercial Real Estate Financ Inc</t>
  </si>
  <si>
    <t>1.40</t>
  </si>
  <si>
    <t>hhgc</t>
  </si>
  <si>
    <t>HHG Capital Corp</t>
  </si>
  <si>
    <t>latg</t>
  </si>
  <si>
    <t>Chenghe Acquisition I Co</t>
  </si>
  <si>
    <t>aryd</t>
  </si>
  <si>
    <t>ARYA Sciences Acquisition Corp IV</t>
  </si>
  <si>
    <t>phyt</t>
  </si>
  <si>
    <t>Pyrophyte Acquisition Corp</t>
  </si>
  <si>
    <t>shyf</t>
  </si>
  <si>
    <t>Shyft Group Inc</t>
  </si>
  <si>
    <t>mfa</t>
  </si>
  <si>
    <t>Mfa Financial Inc</t>
  </si>
  <si>
    <t>gbny</t>
  </si>
  <si>
    <t>Generations Bancorp NY Inc</t>
  </si>
  <si>
    <t>ivcb</t>
  </si>
  <si>
    <t>Investcorp Europe Acquisition I Corp</t>
  </si>
  <si>
    <t>muc</t>
  </si>
  <si>
    <t>BlackRock Muniholdngs Clfrn Qlty Fnd Inc</t>
  </si>
  <si>
    <t>tal</t>
  </si>
  <si>
    <t>TAL Education Group</t>
  </si>
  <si>
    <t>arzgy</t>
  </si>
  <si>
    <t>Assicurazioni Generali SpA - ADR</t>
  </si>
  <si>
    <t>tgvc</t>
  </si>
  <si>
    <t>TG Venture Acquisition Corp</t>
  </si>
  <si>
    <t>acac</t>
  </si>
  <si>
    <t>ixaq</t>
  </si>
  <si>
    <t>IX Acquisition Corp</t>
  </si>
  <si>
    <t>gpac</t>
  </si>
  <si>
    <t>Global Partner Acquisition II Corp</t>
  </si>
  <si>
    <t>apei</t>
  </si>
  <si>
    <t>American Public Education, Inc.</t>
  </si>
  <si>
    <t>vbnk</t>
  </si>
  <si>
    <t>VersaBank</t>
  </si>
  <si>
    <t>vsac</t>
  </si>
  <si>
    <t>Vision Sensing Acquisition Corp</t>
  </si>
  <si>
    <t>tlgyu</t>
  </si>
  <si>
    <t>TLGY Acquisition Units</t>
  </si>
  <si>
    <t>ivcbu</t>
  </si>
  <si>
    <t>Investcorp Europe Acquisition Units</t>
  </si>
  <si>
    <t>tpvg</t>
  </si>
  <si>
    <t>Triplepoint Venture Growth BDC Corp</t>
  </si>
  <si>
    <t>nvac</t>
  </si>
  <si>
    <t>Northview Acquisition Corp</t>
  </si>
  <si>
    <t>fnvt</t>
  </si>
  <si>
    <t>Finnovate Acquisition Corp</t>
  </si>
  <si>
    <t>pmgmu</t>
  </si>
  <si>
    <t>Priveterra Acquisition II Units</t>
  </si>
  <si>
    <t>xpof</t>
  </si>
  <si>
    <t>Xponential Fitness Inc</t>
  </si>
  <si>
    <t>cion</t>
  </si>
  <si>
    <t>Cion Investment Corp</t>
  </si>
  <si>
    <t>clrc</t>
  </si>
  <si>
    <t>ClimateRock</t>
  </si>
  <si>
    <t>tgaa</t>
  </si>
  <si>
    <t>Target Global Acquisition I Corp</t>
  </si>
  <si>
    <t>lbbbu</t>
  </si>
  <si>
    <t>Lakeshore Acquisition II Units</t>
  </si>
  <si>
    <t>nms</t>
  </si>
  <si>
    <t>Nuveen Minnesota Qulty Mnicpal Incm Fund</t>
  </si>
  <si>
    <t>evgru</t>
  </si>
  <si>
    <t>Evergreen Unit</t>
  </si>
  <si>
    <t>wea</t>
  </si>
  <si>
    <t>Western Asset Premier Bond Fund</t>
  </si>
  <si>
    <t>tlgy</t>
  </si>
  <si>
    <t>TLGY Acquisition Corp</t>
  </si>
  <si>
    <t>amsc</t>
  </si>
  <si>
    <t>American Superconductor Corporation</t>
  </si>
  <si>
    <t>vivef</t>
  </si>
  <si>
    <t>bdry</t>
  </si>
  <si>
    <t>Breakwave Dry Bulk Shipping ETF</t>
  </si>
  <si>
    <t>sg</t>
  </si>
  <si>
    <t>Sweetgreen Inc</t>
  </si>
  <si>
    <t>avd</t>
  </si>
  <si>
    <t>American Vanguard Corp.</t>
  </si>
  <si>
    <t>mitau</t>
  </si>
  <si>
    <t>Coliseum Acquisition Units</t>
  </si>
  <si>
    <t>lgvcu</t>
  </si>
  <si>
    <t>Lamf Global Ventures I Units</t>
  </si>
  <si>
    <t>nyxh</t>
  </si>
  <si>
    <t>Nyxoah SA</t>
  </si>
  <si>
    <t>apxiu</t>
  </si>
  <si>
    <t>APx Acquisition I Units</t>
  </si>
  <si>
    <t>pgss</t>
  </si>
  <si>
    <t>Pegasus Digital Mobility Acquisitin Corp</t>
  </si>
  <si>
    <t>gpacu</t>
  </si>
  <si>
    <t>Global Partner Acquisition II Units</t>
  </si>
  <si>
    <t>pphpu</t>
  </si>
  <si>
    <t>PHP Ventures Acquisition Units</t>
  </si>
  <si>
    <t>winv</t>
  </si>
  <si>
    <t>Winvest Acquisition Corp</t>
  </si>
  <si>
    <t>apca</t>
  </si>
  <si>
    <t>AP Acquisition Corp</t>
  </si>
  <si>
    <t>mcaau</t>
  </si>
  <si>
    <t>Mountain I Acquisition Units</t>
  </si>
  <si>
    <t>plao</t>
  </si>
  <si>
    <t>Patria Latin Amrcn Opprtnty Acqstn Crp</t>
  </si>
  <si>
    <t>plaou</t>
  </si>
  <si>
    <t>Patria Latin American Opportunity Acquisition Unit</t>
  </si>
  <si>
    <t>lcaau</t>
  </si>
  <si>
    <t>L Catterton Asia Acquisition Units</t>
  </si>
  <si>
    <t>brac</t>
  </si>
  <si>
    <t>Broad Capital Acquisition Corp</t>
  </si>
  <si>
    <t>hnw</t>
  </si>
  <si>
    <t>Pioneer Diversified High Income Fund Inc</t>
  </si>
  <si>
    <t>glre</t>
  </si>
  <si>
    <t>Greenlight Capital Re, Ltd.</t>
  </si>
  <si>
    <t>riot</t>
  </si>
  <si>
    <t>Riot Platforms Inc</t>
  </si>
  <si>
    <t>emf</t>
  </si>
  <si>
    <t>Templeton Emerging Markets Fund Inc</t>
  </si>
  <si>
    <t>0.73</t>
  </si>
  <si>
    <t>chaa</t>
  </si>
  <si>
    <t>Catcha Investment Corp</t>
  </si>
  <si>
    <t>pflt</t>
  </si>
  <si>
    <t>Pennantpark Floating Rate Capital Ltd</t>
  </si>
  <si>
    <t>tscdy</t>
  </si>
  <si>
    <t>bracu</t>
  </si>
  <si>
    <t>Broad Capital Acquisition Units</t>
  </si>
  <si>
    <t>alsa</t>
  </si>
  <si>
    <t>Alpha Star Acquisition Corp</t>
  </si>
  <si>
    <t>szzlu</t>
  </si>
  <si>
    <t>Sizzle Acquisition Units</t>
  </si>
  <si>
    <t>oric</t>
  </si>
  <si>
    <t>ORIC Pharmaceuticals Inc</t>
  </si>
  <si>
    <t>vmca</t>
  </si>
  <si>
    <t>Valuence Merger Corp I</t>
  </si>
  <si>
    <t>adxn</t>
  </si>
  <si>
    <t>Addex Therapeutics Ltd - ADR</t>
  </si>
  <si>
    <t>evgr</t>
  </si>
  <si>
    <t>Evergreen Corp</t>
  </si>
  <si>
    <t>ccyc</t>
  </si>
  <si>
    <t>Brilliant NEV Corp</t>
  </si>
  <si>
    <t>wel</t>
  </si>
  <si>
    <t>Integrated Wellness Acquisition Corp</t>
  </si>
  <si>
    <t>pbax</t>
  </si>
  <si>
    <t>Phoenix Biotech Acquisition Corp</t>
  </si>
  <si>
    <t>dole</t>
  </si>
  <si>
    <t>Dole PLC</t>
  </si>
  <si>
    <t>blblf</t>
  </si>
  <si>
    <t>Bilibili Inc</t>
  </si>
  <si>
    <t>mxe</t>
  </si>
  <si>
    <t>Mexico Equity and Income Fund Inc common stock</t>
  </si>
  <si>
    <t>ficv</t>
  </si>
  <si>
    <t>Frontier Investment Corp</t>
  </si>
  <si>
    <t>baly</t>
  </si>
  <si>
    <t>Bally's Corp</t>
  </si>
  <si>
    <t>imtx</t>
  </si>
  <si>
    <t>Immatics NV</t>
  </si>
  <si>
    <t>hhgcu</t>
  </si>
  <si>
    <t>HHG Capital Units</t>
  </si>
  <si>
    <t>domo</t>
  </si>
  <si>
    <t>Domo Inc</t>
  </si>
  <si>
    <t>clrs</t>
  </si>
  <si>
    <t>Clariant ADR</t>
  </si>
  <si>
    <t>imaq</t>
  </si>
  <si>
    <t>twlvu</t>
  </si>
  <si>
    <t>Twelve Seas Investment Company II Units</t>
  </si>
  <si>
    <t>hear</t>
  </si>
  <si>
    <t>Turtle Beach Corp</t>
  </si>
  <si>
    <t>eac</t>
  </si>
  <si>
    <t>Edify Acquisition Corp</t>
  </si>
  <si>
    <t>apxi</t>
  </si>
  <si>
    <t>avdx</t>
  </si>
  <si>
    <t>AvidXchange Holdings Inc</t>
  </si>
  <si>
    <t>jpxgy</t>
  </si>
  <si>
    <t>Japan Exchange Group Unsponsored ADR Representing 0.5 Ord Shs</t>
  </si>
  <si>
    <t>hcma</t>
  </si>
  <si>
    <t>HCM Acquisition Corp</t>
  </si>
  <si>
    <t>myi</t>
  </si>
  <si>
    <t>Blackrock Muniyield Quality Fund III Inc</t>
  </si>
  <si>
    <t>ule</t>
  </si>
  <si>
    <t>ProShares Ultra Euro</t>
  </si>
  <si>
    <t>geo</t>
  </si>
  <si>
    <t>Geo Group Inc</t>
  </si>
  <si>
    <t>esac</t>
  </si>
  <si>
    <t>acab</t>
  </si>
  <si>
    <t>Atlantic Coastal Acquisition Corp II</t>
  </si>
  <si>
    <t>ifin</t>
  </si>
  <si>
    <t>InFintT Acquisition Corp</t>
  </si>
  <si>
    <t>ofs</t>
  </si>
  <si>
    <t>OFS Capital Corp</t>
  </si>
  <si>
    <t>teaf</t>
  </si>
  <si>
    <t>Ecofin Sustainble and Socil Impct Trm Fd</t>
  </si>
  <si>
    <t>vhaq</t>
  </si>
  <si>
    <t>Viveon Health Acquisition Corp</t>
  </si>
  <si>
    <t>mcaa</t>
  </si>
  <si>
    <t>aspn</t>
  </si>
  <si>
    <t>Aspen Aerogels Inc</t>
  </si>
  <si>
    <t>cmtg</t>
  </si>
  <si>
    <t>Claros Mortgage Trust Inc</t>
  </si>
  <si>
    <t>encpu</t>
  </si>
  <si>
    <t>Energem Units</t>
  </si>
  <si>
    <t>mgyr</t>
  </si>
  <si>
    <t>Magyar Bancorp Inc</t>
  </si>
  <si>
    <t>mvo</t>
  </si>
  <si>
    <t>MV Oil Trust</t>
  </si>
  <si>
    <t>miy</t>
  </si>
  <si>
    <t>Blackrock Muniyield Michign Qulty Fd Inc</t>
  </si>
  <si>
    <t>mrbk</t>
  </si>
  <si>
    <t>Meridian Corp</t>
  </si>
  <si>
    <t>sxc</t>
  </si>
  <si>
    <t>SunCoke Energy Inc</t>
  </si>
  <si>
    <t>ltcn</t>
  </si>
  <si>
    <t>Grayscale Litecoin Trust (LTC)</t>
  </si>
  <si>
    <t>gel</t>
  </si>
  <si>
    <t>Genesis Energy, L.P.  common stock</t>
  </si>
  <si>
    <t>rmbi</t>
  </si>
  <si>
    <t>Richmond Mutual Bancorporation Inc</t>
  </si>
  <si>
    <t>quik</t>
  </si>
  <si>
    <t>QuickLogic Corp</t>
  </si>
  <si>
    <t>bym</t>
  </si>
  <si>
    <t>BlackRock Municipal Income Quality Trust</t>
  </si>
  <si>
    <t>semr</t>
  </si>
  <si>
    <t>Semrush</t>
  </si>
  <si>
    <t>dmo</t>
  </si>
  <si>
    <t>Western Asset Mortgage Opprtnty Fund Inc</t>
  </si>
  <si>
    <t>1.29</t>
  </si>
  <si>
    <t>teteu</t>
  </si>
  <si>
    <t>Technology And Telecommunication Acquisition Unit</t>
  </si>
  <si>
    <t>skyh</t>
  </si>
  <si>
    <t>Sky Harbour Group Corp</t>
  </si>
  <si>
    <t>ghy</t>
  </si>
  <si>
    <t>PGIM Global High Yield Fund Inc</t>
  </si>
  <si>
    <t>1.26</t>
  </si>
  <si>
    <t>sgu</t>
  </si>
  <si>
    <t>Star Group LP</t>
  </si>
  <si>
    <t>onyxu</t>
  </si>
  <si>
    <t>Onyx Acquisition I Units</t>
  </si>
  <si>
    <t>lcaa</t>
  </si>
  <si>
    <t>L Catterton Asia Acquisition Corp</t>
  </si>
  <si>
    <t>audc</t>
  </si>
  <si>
    <t>AudioCodes Ltd</t>
  </si>
  <si>
    <t>igms</t>
  </si>
  <si>
    <t>IGM Biosciences Inc</t>
  </si>
  <si>
    <t>aibbu</t>
  </si>
  <si>
    <t>AIB Acquisition Units</t>
  </si>
  <si>
    <t>nfbk</t>
  </si>
  <si>
    <t>Northfield Bancorp Inc</t>
  </si>
  <si>
    <t>ghixu</t>
  </si>
  <si>
    <t>Gores Holdings IX Units</t>
  </si>
  <si>
    <t>muj</t>
  </si>
  <si>
    <t>BlackRock Mnhldngs Nw Jrsy Qlty Fund Inc</t>
  </si>
  <si>
    <t>matv</t>
  </si>
  <si>
    <t>Mativ Holdings Inc</t>
  </si>
  <si>
    <t>novv</t>
  </si>
  <si>
    <t>Nova Vision Acquisition Corp</t>
  </si>
  <si>
    <t>mbtcu</t>
  </si>
  <si>
    <t>Nocturne Acquisition Units</t>
  </si>
  <si>
    <t>alsau</t>
  </si>
  <si>
    <t>Alpha Star Acquisition Corp Unit</t>
  </si>
  <si>
    <t>mcacu</t>
  </si>
  <si>
    <t>Monterey Capital Acquisition Units</t>
  </si>
  <si>
    <t>irl</t>
  </si>
  <si>
    <t>INTER RAO Lietuva AB</t>
  </si>
  <si>
    <t>aib</t>
  </si>
  <si>
    <t>AIB Acquisition Corp</t>
  </si>
  <si>
    <t>bgb</t>
  </si>
  <si>
    <t>Blackstone Strategic Credit 2027 Trm Fnd</t>
  </si>
  <si>
    <t>ottw</t>
  </si>
  <si>
    <t>Ottawa Savings Bancorp Inc</t>
  </si>
  <si>
    <t>shbi</t>
  </si>
  <si>
    <t>Shore Bancshares Inc</t>
  </si>
  <si>
    <t>nkx</t>
  </si>
  <si>
    <t>Nuveen Calfrna AMT-Free Qlty Mncpl IncFd</t>
  </si>
  <si>
    <t>ggz</t>
  </si>
  <si>
    <t>Gablli Globl Small and Mid Cap Valu Trst</t>
  </si>
  <si>
    <t>0.64</t>
  </si>
  <si>
    <t>zntl</t>
  </si>
  <si>
    <t>Zentalis Pharmaceuticals Inc</t>
  </si>
  <si>
    <t>be</t>
  </si>
  <si>
    <t>Bloom Energy Corp</t>
  </si>
  <si>
    <t>encp</t>
  </si>
  <si>
    <t>Energem Corp</t>
  </si>
  <si>
    <t>lsbk</t>
  </si>
  <si>
    <t>Lake Shore Bancorp, Inc.</t>
  </si>
  <si>
    <t>tete</t>
  </si>
  <si>
    <t>Technology &amp; Telecommunication Aqstn Crp</t>
  </si>
  <si>
    <t>bcbp</t>
  </si>
  <si>
    <t>BCB Bancorp Inc</t>
  </si>
  <si>
    <t>inre</t>
  </si>
  <si>
    <t>Inland Real Estate Income Trust Inc</t>
  </si>
  <si>
    <t>bowl</t>
  </si>
  <si>
    <t>Bowlero Corp</t>
  </si>
  <si>
    <t>ebrgf</t>
  </si>
  <si>
    <t>Enbridge Inc Preferred Shares Series B</t>
  </si>
  <si>
    <t>dnb</t>
  </si>
  <si>
    <t>Dun &amp; Bradstreet Holdings Inc</t>
  </si>
  <si>
    <t>adrt</t>
  </si>
  <si>
    <t>Ault Disruptive Technologies Corp</t>
  </si>
  <si>
    <t>kacl</t>
  </si>
  <si>
    <t>Kairous Acquisition Corp Ltd</t>
  </si>
  <si>
    <t>rna</t>
  </si>
  <si>
    <t>Avidity Biosciences Inc</t>
  </si>
  <si>
    <t>fhlt</t>
  </si>
  <si>
    <t>Future Health ESG Corp</t>
  </si>
  <si>
    <t>etcg</t>
  </si>
  <si>
    <t>Grayscale Ethereum Classic Trust (Etc)</t>
  </si>
  <si>
    <t>fof</t>
  </si>
  <si>
    <t>Cohen and Strs Clsd nd pprtnty Fnd nc</t>
  </si>
  <si>
    <t>rskia</t>
  </si>
  <si>
    <t>Risk (George) Industries, Inc. Common Stock</t>
  </si>
  <si>
    <t>newt</t>
  </si>
  <si>
    <t>NewtekOne Inc</t>
  </si>
  <si>
    <t>chy</t>
  </si>
  <si>
    <t>Calamos Convertible and High Income Fund</t>
  </si>
  <si>
    <t>fsd</t>
  </si>
  <si>
    <t>First Trust High Income Long/short Fund</t>
  </si>
  <si>
    <t>1.21</t>
  </si>
  <si>
    <t>novvu</t>
  </si>
  <si>
    <t>Nova Vision Acquisition Units</t>
  </si>
  <si>
    <t>pepg</t>
  </si>
  <si>
    <t>PepGen Inc</t>
  </si>
  <si>
    <t>rlj</t>
  </si>
  <si>
    <t>RLJ Lodging Trust</t>
  </si>
  <si>
    <t>kplt</t>
  </si>
  <si>
    <t>Katapult Holdings Inc</t>
  </si>
  <si>
    <t>vsacu</t>
  </si>
  <si>
    <t>Vision Sensing Acquisition Units</t>
  </si>
  <si>
    <t>zyxi</t>
  </si>
  <si>
    <t>Zynex Inc</t>
  </si>
  <si>
    <t>nqp</t>
  </si>
  <si>
    <t>Nuveen Pennsylvania Quty Mul Ince Fund</t>
  </si>
  <si>
    <t>do</t>
  </si>
  <si>
    <t>Diamond Offshore Drilling Inc</t>
  </si>
  <si>
    <t>cptp</t>
  </si>
  <si>
    <t>Capital Properties, Inc. Common Stock</t>
  </si>
  <si>
    <t>brez</t>
  </si>
  <si>
    <t>Breeze Holdings Acquisition Corp</t>
  </si>
  <si>
    <t>fvcb</t>
  </si>
  <si>
    <t>FVCBankcorp Inc</t>
  </si>
  <si>
    <t>acbau</t>
  </si>
  <si>
    <t>Ace Global Business Acquisition Units</t>
  </si>
  <si>
    <t>mui</t>
  </si>
  <si>
    <t>Blackrock Municipal Income Fund Inc</t>
  </si>
  <si>
    <t>spnt</t>
  </si>
  <si>
    <t>Siriuspoint Ltd</t>
  </si>
  <si>
    <t>sgioy</t>
  </si>
  <si>
    <t>Shionogi 4 ADR Representing Ord Shs</t>
  </si>
  <si>
    <t>til</t>
  </si>
  <si>
    <t>Instil Bio Inc</t>
  </si>
  <si>
    <t>pwp</t>
  </si>
  <si>
    <t>Perella Weinberg Partners</t>
  </si>
  <si>
    <t>ahh</t>
  </si>
  <si>
    <t>Armada Hoffler Properties Inc</t>
  </si>
  <si>
    <t>otec</t>
  </si>
  <si>
    <t>Oceantech Acquisitions I Corp</t>
  </si>
  <si>
    <t>adoc</t>
  </si>
  <si>
    <t>Edoc Acquisition Corp</t>
  </si>
  <si>
    <t>intt</t>
  </si>
  <si>
    <t>inTEST Corporation</t>
  </si>
  <si>
    <t>avhi</t>
  </si>
  <si>
    <t>Achari Ventures Holdings Corp I</t>
  </si>
  <si>
    <t>jri</t>
  </si>
  <si>
    <t>Nuveen Real Asset Income and Growth Fund</t>
  </si>
  <si>
    <t>iim</t>
  </si>
  <si>
    <t>Invesco Value Municipal Income Trust</t>
  </si>
  <si>
    <t>bpypn</t>
  </si>
  <si>
    <t>Brookfield Property Partners LP Preferred Shares Series 3</t>
  </si>
  <si>
    <t>hlf</t>
  </si>
  <si>
    <t>Herbalife Ltd</t>
  </si>
  <si>
    <t>avk</t>
  </si>
  <si>
    <t>Advent Convertible and Income Fund</t>
  </si>
  <si>
    <t>1.41</t>
  </si>
  <si>
    <t>ec</t>
  </si>
  <si>
    <t>Ecopetrol SA</t>
  </si>
  <si>
    <t>2.17</t>
  </si>
  <si>
    <t>virc</t>
  </si>
  <si>
    <t>Virco Mfg Corp</t>
  </si>
  <si>
    <t>riv</t>
  </si>
  <si>
    <t>Rivernorth Opportunities Fund Inc Closed-Ended Fund</t>
  </si>
  <si>
    <t>enlc</t>
  </si>
  <si>
    <t>EnLink Midstream LLC</t>
  </si>
  <si>
    <t>bkn</t>
  </si>
  <si>
    <t>BlackRock Investment Quly Mncpl Trst Inc</t>
  </si>
  <si>
    <t>0.51</t>
  </si>
  <si>
    <t>sd</t>
  </si>
  <si>
    <t>SandRidge Energy Inc</t>
  </si>
  <si>
    <t>rvsn</t>
  </si>
  <si>
    <t>Rail Vision Ltd</t>
  </si>
  <si>
    <t>cban</t>
  </si>
  <si>
    <t>Colony Bankcorp Inc</t>
  </si>
  <si>
    <t>arhs</t>
  </si>
  <si>
    <t>Arhaus Inc</t>
  </si>
  <si>
    <t>vtrs</t>
  </si>
  <si>
    <t>Viatris Inc</t>
  </si>
  <si>
    <t>yotau</t>
  </si>
  <si>
    <t>Yotta Acquisition Units</t>
  </si>
  <si>
    <t>sfl</t>
  </si>
  <si>
    <t>SFL Corporation Ltd</t>
  </si>
  <si>
    <t>oran</t>
  </si>
  <si>
    <t>Orange SA</t>
  </si>
  <si>
    <t>usak</t>
  </si>
  <si>
    <t>Usak Seramik Sanayi AS</t>
  </si>
  <si>
    <t>bwb</t>
  </si>
  <si>
    <t>Bridgewater Bancshares Inc</t>
  </si>
  <si>
    <t>mpa</t>
  </si>
  <si>
    <t>BlackRock Muniyield Pennsylvania QltyFnd</t>
  </si>
  <si>
    <t>noah</t>
  </si>
  <si>
    <t>Noah Holdings Limited</t>
  </si>
  <si>
    <t>rqi</t>
  </si>
  <si>
    <t>Cohen &amp; Steers Qlty Inc Realty Fund Inc</t>
  </si>
  <si>
    <t>bgx</t>
  </si>
  <si>
    <t>Blackstone Long-Short Credit Income Fund</t>
  </si>
  <si>
    <t>1.25</t>
  </si>
  <si>
    <t>psorf</t>
  </si>
  <si>
    <t>Pearson plc</t>
  </si>
  <si>
    <t>nzf</t>
  </si>
  <si>
    <t>Nuveen Municipal Credit Income Fund</t>
  </si>
  <si>
    <t>ppyau</t>
  </si>
  <si>
    <t>Papaya Growth Opportunity I Units</t>
  </si>
  <si>
    <t>sbtx</t>
  </si>
  <si>
    <t>Skinbiotherapeutics PLC</t>
  </si>
  <si>
    <t>kref</t>
  </si>
  <si>
    <t>KKR Real Estate Finance Trust Inc</t>
  </si>
  <si>
    <t>fnctf</t>
  </si>
  <si>
    <t>acba</t>
  </si>
  <si>
    <t>Ace Global Business Acquisition Ltd</t>
  </si>
  <si>
    <t>clst</t>
  </si>
  <si>
    <t>Catalyst Bancorp Inc</t>
  </si>
  <si>
    <t>tatt</t>
  </si>
  <si>
    <t>TAT Technologies Ltd</t>
  </si>
  <si>
    <t>nxj</t>
  </si>
  <si>
    <t>Nuveen New Jersey Quality Mncpl Inc Fund</t>
  </si>
  <si>
    <t>mhd</t>
  </si>
  <si>
    <t>BlackRock MuniHoldings Fund Inc</t>
  </si>
  <si>
    <t>nvg</t>
  </si>
  <si>
    <t>Nuveen AMT-Free Municipal Crdt Inc Fund</t>
  </si>
  <si>
    <t>uscb</t>
  </si>
  <si>
    <t>USCB Financial Holdings Inc</t>
  </si>
  <si>
    <t>hyi</t>
  </si>
  <si>
    <t>Western Asset Hgh Yld Dfnd pprtnty Fnd</t>
  </si>
  <si>
    <t>ipx</t>
  </si>
  <si>
    <t>IperionX ADR</t>
  </si>
  <si>
    <t>accd</t>
  </si>
  <si>
    <t>Accolade Inc</t>
  </si>
  <si>
    <t>bfgx</t>
  </si>
  <si>
    <t>Bangfu Technology Group Co Ltd</t>
  </si>
  <si>
    <t>cloe</t>
  </si>
  <si>
    <t>Clover Leaf Capital Corp</t>
  </si>
  <si>
    <t>rfi</t>
  </si>
  <si>
    <t>Cohen &amp; Steers Total Return Real. Fd Inc</t>
  </si>
  <si>
    <t>lyl</t>
  </si>
  <si>
    <t>Lycopodium Ltd</t>
  </si>
  <si>
    <t>ubcp</t>
  </si>
  <si>
    <t>United Bancorp Inc</t>
  </si>
  <si>
    <t>nwbi</t>
  </si>
  <si>
    <t>Northwest Bancshares Inc</t>
  </si>
  <si>
    <t>fmy</t>
  </si>
  <si>
    <t>First Trust/FIDAC Mortgage Income Fund Common Stock</t>
  </si>
  <si>
    <t>dhac</t>
  </si>
  <si>
    <t>Digital Health Acquisition Corp</t>
  </si>
  <si>
    <t>gwrs</t>
  </si>
  <si>
    <t>Global Water Resources Inc</t>
  </si>
  <si>
    <t>crcqw</t>
  </si>
  <si>
    <t>California Resources Corporation</t>
  </si>
  <si>
    <t>bgr</t>
  </si>
  <si>
    <t>Blackrock Energy and Resources Trust</t>
  </si>
  <si>
    <t>goco</t>
  </si>
  <si>
    <t>GoHealth Inc</t>
  </si>
  <si>
    <t>ccrd</t>
  </si>
  <si>
    <t>CoreCard Corp</t>
  </si>
  <si>
    <t>grouf</t>
  </si>
  <si>
    <t>Grafton Group Plc</t>
  </si>
  <si>
    <t>doc</t>
  </si>
  <si>
    <t>Physicians Realty Trust</t>
  </si>
  <si>
    <t>0.92</t>
  </si>
  <si>
    <t>nxn</t>
  </si>
  <si>
    <t>Nuveen New Yrk Slct Tx Fr ncm Prtfl</t>
  </si>
  <si>
    <t>nuvr</t>
  </si>
  <si>
    <t>Nuvera Communications Inc</t>
  </si>
  <si>
    <t>swi</t>
  </si>
  <si>
    <t>SolarWinds Corp</t>
  </si>
  <si>
    <t>ccu</t>
  </si>
  <si>
    <t>Compania Cervecerias Unidas, S.A. Common Stock</t>
  </si>
  <si>
    <t>0.51 (4.51%)</t>
  </si>
  <si>
    <t>dea</t>
  </si>
  <si>
    <t>Easterly Government Properties Inc</t>
  </si>
  <si>
    <t>1.06</t>
  </si>
  <si>
    <t>flic</t>
  </si>
  <si>
    <t>First of Long Island Corp</t>
  </si>
  <si>
    <t>pso</t>
  </si>
  <si>
    <t>Pearson PLC</t>
  </si>
  <si>
    <t>pai</t>
  </si>
  <si>
    <t>Western Asset Inv Grade Income Fund Inc</t>
  </si>
  <si>
    <t>spe</t>
  </si>
  <si>
    <t>Special Opportunities Fund, Inc. Common Stock</t>
  </si>
  <si>
    <t>f</t>
  </si>
  <si>
    <t>Ford Motor Co</t>
  </si>
  <si>
    <t>botj</t>
  </si>
  <si>
    <t>Bank of the James</t>
  </si>
  <si>
    <t>whg</t>
  </si>
  <si>
    <t>Westwood Holdings Group, Inc.</t>
  </si>
  <si>
    <t>caf</t>
  </si>
  <si>
    <t>Morgan Stanley China A Share Fund Inc</t>
  </si>
  <si>
    <t>bkt</t>
  </si>
  <si>
    <t>Blackrock Income Trust Inc</t>
  </si>
  <si>
    <t>1.00</t>
  </si>
  <si>
    <t>nmai</t>
  </si>
  <si>
    <t>Nuveen Multi-Asset Income Fund</t>
  </si>
  <si>
    <t>qvcd</t>
  </si>
  <si>
    <t>QVC Inc 6.375% Senior Notes (NYSE)</t>
  </si>
  <si>
    <t>mqy</t>
  </si>
  <si>
    <t>Blackrock Muniyield Quality Fund Inc.</t>
  </si>
  <si>
    <t>talo</t>
  </si>
  <si>
    <t>Talos Energy Inc</t>
  </si>
  <si>
    <t>rgnx</t>
  </si>
  <si>
    <t>Regenxbio Inc</t>
  </si>
  <si>
    <t>vstm</t>
  </si>
  <si>
    <t>Verastem Inc</t>
  </si>
  <si>
    <t>nfj</t>
  </si>
  <si>
    <t>Virtus Dividend Intrst &amp; Prem Strtg Fd</t>
  </si>
  <si>
    <t>racy</t>
  </si>
  <si>
    <t>Relativity Acquisition Corp</t>
  </si>
  <si>
    <t>enta</t>
  </si>
  <si>
    <t>Enanta Pharmaceuticals Inc</t>
  </si>
  <si>
    <t>teva</t>
  </si>
  <si>
    <t>Teva Pharmaceutical Industries Ltd</t>
  </si>
  <si>
    <t>cnhi</t>
  </si>
  <si>
    <t>CNH Industrial NV</t>
  </si>
  <si>
    <t>uvix</t>
  </si>
  <si>
    <t>2x Long VIX Futures ETF</t>
  </si>
  <si>
    <t>link</t>
  </si>
  <si>
    <t>Interlink Electronics Inc</t>
  </si>
  <si>
    <t>fins</t>
  </si>
  <si>
    <t>Angel Oak Final Strategies Incm Trm Trst</t>
  </si>
  <si>
    <t>delky</t>
  </si>
  <si>
    <t>Delek Group ADR</t>
  </si>
  <si>
    <t>efc</t>
  </si>
  <si>
    <t>Ellington Financial Inc</t>
  </si>
  <si>
    <t>1.80</t>
  </si>
  <si>
    <t>mdwd</t>
  </si>
  <si>
    <t>Mediwound Ltd</t>
  </si>
  <si>
    <t>bkgfy</t>
  </si>
  <si>
    <t>Berkeley Group Holdings Ord Shs Class B</t>
  </si>
  <si>
    <t>dx</t>
  </si>
  <si>
    <t>Dynex Capital Inc</t>
  </si>
  <si>
    <t>1.56</t>
  </si>
  <si>
    <t>adrzy</t>
  </si>
  <si>
    <t>Andritz ADR</t>
  </si>
  <si>
    <t>bgt</t>
  </si>
  <si>
    <t>BlackRock Floating Rate Income Trust</t>
  </si>
  <si>
    <t>1.32</t>
  </si>
  <si>
    <t>hcm</t>
  </si>
  <si>
    <t>ego</t>
  </si>
  <si>
    <t>Eldorado Gold Corp</t>
  </si>
  <si>
    <t>qvcc</t>
  </si>
  <si>
    <t>QVC Inc Senior Notes (NYSE)</t>
  </si>
  <si>
    <t>czwi</t>
  </si>
  <si>
    <t>Citizens Community Bancorp Inc.</t>
  </si>
  <si>
    <t>flme</t>
  </si>
  <si>
    <t>Flame Acquisition Corp</t>
  </si>
  <si>
    <t>agi</t>
  </si>
  <si>
    <t>Alamos Gold Inc</t>
  </si>
  <si>
    <t>apacu</t>
  </si>
  <si>
    <t>Stonebridge Acquisition Units</t>
  </si>
  <si>
    <t>etv</t>
  </si>
  <si>
    <t>Eaton Vance Tax-Mngd Buy-Wrt Opport Fund</t>
  </si>
  <si>
    <t>fold</t>
  </si>
  <si>
    <t>Amicus Therapeutics, Inc.</t>
  </si>
  <si>
    <t>goos</t>
  </si>
  <si>
    <t>Canada Goose Holdings Inc</t>
  </si>
  <si>
    <t>wsbf</t>
  </si>
  <si>
    <t>Waterstone Financial Inc</t>
  </si>
  <si>
    <t>mec</t>
  </si>
  <si>
    <t>Mayville Engineering Company Inc</t>
  </si>
  <si>
    <t>prsi</t>
  </si>
  <si>
    <t>Portsmouth Square Inc</t>
  </si>
  <si>
    <t>rgs</t>
  </si>
  <si>
    <t>Regis Corp</t>
  </si>
  <si>
    <t>qnto</t>
  </si>
  <si>
    <t>Quaint Oak Bancorp Inc</t>
  </si>
  <si>
    <t>mpad</t>
  </si>
  <si>
    <t>Micropac Industries Inc</t>
  </si>
  <si>
    <t>rkt</t>
  </si>
  <si>
    <t>Rocket Companies Inc</t>
  </si>
  <si>
    <t>lway</t>
  </si>
  <si>
    <t>Lifeway Foods Inc</t>
  </si>
  <si>
    <t>expi</t>
  </si>
  <si>
    <t>eXp World Holdings Inc</t>
  </si>
  <si>
    <t>lsea</t>
  </si>
  <si>
    <t>Landsea Homes Corp</t>
  </si>
  <si>
    <t>bksc</t>
  </si>
  <si>
    <t>Bank of South Carolina</t>
  </si>
  <si>
    <t>fra</t>
  </si>
  <si>
    <t>BlackRock Flotng Rt Incm Strtgs Fund Inc</t>
  </si>
  <si>
    <t>1.36</t>
  </si>
  <si>
    <t>two</t>
  </si>
  <si>
    <t>Two Harbors Investment Corp</t>
  </si>
  <si>
    <t>gdo</t>
  </si>
  <si>
    <t>Western Asset Global Corp Defind Opp Fnd</t>
  </si>
  <si>
    <t>1.19</t>
  </si>
  <si>
    <t>whf</t>
  </si>
  <si>
    <t>WhiteHorse Finance Inc</t>
  </si>
  <si>
    <t>extr</t>
  </si>
  <si>
    <t>Extreme Networks Inc</t>
  </si>
  <si>
    <t>hban</t>
  </si>
  <si>
    <t>Huntington Bancshares Incorporated</t>
  </si>
  <si>
    <t>ety</t>
  </si>
  <si>
    <t>Eaton Vance Tax-Mngd Dvrsfd Eqty Incm Fd</t>
  </si>
  <si>
    <t>nexi</t>
  </si>
  <si>
    <t>Neximmune Inc</t>
  </si>
  <si>
    <t>jgh</t>
  </si>
  <si>
    <t>Nuveen Global High Income Fund</t>
  </si>
  <si>
    <t>hrt</t>
  </si>
  <si>
    <t>HireRight Holdings Corp</t>
  </si>
  <si>
    <t>wu</t>
  </si>
  <si>
    <t>Western Union Co</t>
  </si>
  <si>
    <t>scs</t>
  </si>
  <si>
    <t>Steelcase Inc</t>
  </si>
  <si>
    <t>kwac</t>
  </si>
  <si>
    <t>Kingswood Acquisition Corp</t>
  </si>
  <si>
    <t>isd</t>
  </si>
  <si>
    <t>PGIM High Yield Bond Fund Inc</t>
  </si>
  <si>
    <t>dsl</t>
  </si>
  <si>
    <t>DoubleLine Income Solutions Fund Common Stock</t>
  </si>
  <si>
    <t>biox</t>
  </si>
  <si>
    <t>Bioceres Crop Solutions Corp</t>
  </si>
  <si>
    <t>good</t>
  </si>
  <si>
    <t>Gladstone Commercial Corporation</t>
  </si>
  <si>
    <t>qnst</t>
  </si>
  <si>
    <t>QuinStreet Inc</t>
  </si>
  <si>
    <t>max</t>
  </si>
  <si>
    <t>MediaAlpha Inc</t>
  </si>
  <si>
    <t>sbh</t>
  </si>
  <si>
    <t>Sally Beauty Holdings Inc</t>
  </si>
  <si>
    <t>tile</t>
  </si>
  <si>
    <t>Interface, Inc.</t>
  </si>
  <si>
    <t>dhacu</t>
  </si>
  <si>
    <t>Digital Health Acquisition Units</t>
  </si>
  <si>
    <t>hbnc</t>
  </si>
  <si>
    <t>Horizon Bancorp Inc</t>
  </si>
  <si>
    <t>crsr</t>
  </si>
  <si>
    <t>Corsair Gaming Inc</t>
  </si>
  <si>
    <t>bkti</t>
  </si>
  <si>
    <t>BK Technologies Corp</t>
  </si>
  <si>
    <t>hayw</t>
  </si>
  <si>
    <t>Hayward Holdings Inc</t>
  </si>
  <si>
    <t>mitk</t>
  </si>
  <si>
    <t>Mitek Systems Inc</t>
  </si>
  <si>
    <t>laur</t>
  </si>
  <si>
    <t>Laureate Education Inc</t>
  </si>
  <si>
    <t>tfpm</t>
  </si>
  <si>
    <t>Triple Flag Precious Metals Corp</t>
  </si>
  <si>
    <t>mtal</t>
  </si>
  <si>
    <t>Metals Acquisition Ltd</t>
  </si>
  <si>
    <t>nmfc</t>
  </si>
  <si>
    <t>New Mountain Finance Corp.</t>
  </si>
  <si>
    <t>dvax</t>
  </si>
  <si>
    <t>Dynavax Technologies Corp</t>
  </si>
  <si>
    <t>lyft</t>
  </si>
  <si>
    <t>LYFT Inc</t>
  </si>
  <si>
    <t>frst</t>
  </si>
  <si>
    <t>Primis Financial Corp</t>
  </si>
  <si>
    <t>thw</t>
  </si>
  <si>
    <t>abrdn World Healthcare Fund</t>
  </si>
  <si>
    <t>telz</t>
  </si>
  <si>
    <t>Tellurian 8 25 Senior Notes due 2028</t>
  </si>
  <si>
    <t>ivc</t>
  </si>
  <si>
    <t>IL &amp; FS Investment Managers Ltd</t>
  </si>
  <si>
    <t>cxm</t>
  </si>
  <si>
    <t>Sprinklr Inc</t>
  </si>
  <si>
    <t>bpypo</t>
  </si>
  <si>
    <t>Brookfield Ppty Partners 6 375 Cum Red Perp Pfd Unit Class A</t>
  </si>
  <si>
    <t>scm</t>
  </si>
  <si>
    <t>Stellus Capital Investment Corp</t>
  </si>
  <si>
    <t>abr</t>
  </si>
  <si>
    <t>Arbor Realty Trust Inc</t>
  </si>
  <si>
    <t>1.70</t>
  </si>
  <si>
    <t>arco</t>
  </si>
  <si>
    <t>Arcos Dorados Holdings Inc</t>
  </si>
  <si>
    <t>obtc</t>
  </si>
  <si>
    <t>Osprey Bitcoin Trust</t>
  </si>
  <si>
    <t>tngx</t>
  </si>
  <si>
    <t>Tango Therapeutics Inc</t>
  </si>
  <si>
    <t>bxmx</t>
  </si>
  <si>
    <t>Nuveen S&amp;P 500 BuyWrite Income Fund</t>
  </si>
  <si>
    <t>pr</t>
  </si>
  <si>
    <t>Permian Resources Corp</t>
  </si>
  <si>
    <t>finw</t>
  </si>
  <si>
    <t>Finwise Bancorp</t>
  </si>
  <si>
    <t>tgsnf</t>
  </si>
  <si>
    <t>TGS ASA</t>
  </si>
  <si>
    <t>lasr</t>
  </si>
  <si>
    <t>Nlight Inc</t>
  </si>
  <si>
    <t>lbai</t>
  </si>
  <si>
    <t>Lakeland Bancorp, Inc.</t>
  </si>
  <si>
    <t>kio</t>
  </si>
  <si>
    <t>KKR Income Opportunities Fund</t>
  </si>
  <si>
    <t>htld</t>
  </si>
  <si>
    <t>Heartland Express, Inc.</t>
  </si>
  <si>
    <t>hdsn</t>
  </si>
  <si>
    <t>Hudson Technologies, Inc.</t>
  </si>
  <si>
    <t>ffbw</t>
  </si>
  <si>
    <t>FFBW Inc</t>
  </si>
  <si>
    <t>pbbk</t>
  </si>
  <si>
    <t>PB Bankshares Inc</t>
  </si>
  <si>
    <t>weav</t>
  </si>
  <si>
    <t>Weave Communications Inc</t>
  </si>
  <si>
    <t>ingvf</t>
  </si>
  <si>
    <t>ING Groep NV</t>
  </si>
  <si>
    <t>hqi</t>
  </si>
  <si>
    <t>Hirequest Inc</t>
  </si>
  <si>
    <t>tevjf</t>
  </si>
  <si>
    <t>wvfc</t>
  </si>
  <si>
    <t>W V S Financial Corp</t>
  </si>
  <si>
    <t>fbiop</t>
  </si>
  <si>
    <t>Fortress Biotech 9 375 Cumulative Redeemable Perpetual Pref Shs Series A</t>
  </si>
  <si>
    <t>scgx</t>
  </si>
  <si>
    <t>GTEK Industries Inc</t>
  </si>
  <si>
    <t>wsr</t>
  </si>
  <si>
    <t>Whitestone REIT</t>
  </si>
  <si>
    <t>sfbqf</t>
  </si>
  <si>
    <t>SoftBank Corp</t>
  </si>
  <si>
    <t>irbt</t>
  </si>
  <si>
    <t>iRobot Corporation</t>
  </si>
  <si>
    <t>phar</t>
  </si>
  <si>
    <t>Pharming Group N V ADS each representing 10 Ord Shs</t>
  </si>
  <si>
    <t>out</t>
  </si>
  <si>
    <t>Outfront Media Inc</t>
  </si>
  <si>
    <t>dei</t>
  </si>
  <si>
    <t>Douglas Emmett Inc</t>
  </si>
  <si>
    <t>mfbp</t>
  </si>
  <si>
    <t>M&amp;F Bancorp Inc</t>
  </si>
  <si>
    <t>megi</t>
  </si>
  <si>
    <t>MainStay CBRE Glbl Infrs Mgtrnds Trm Fnd</t>
  </si>
  <si>
    <t>bpypm</t>
  </si>
  <si>
    <t>Brookfield Property Preferred Pref Shs</t>
  </si>
  <si>
    <t>sbra</t>
  </si>
  <si>
    <t>Sabra Health Care REIT Inc</t>
  </si>
  <si>
    <t>fnb</t>
  </si>
  <si>
    <t>FNB Corp</t>
  </si>
  <si>
    <t>0.49</t>
  </si>
  <si>
    <t>ntic</t>
  </si>
  <si>
    <t>Northern Technologies International Corporation Common Stock</t>
  </si>
  <si>
    <t>etb</t>
  </si>
  <si>
    <t>Eaton Vance Tax-Managed Buy-Wrte Incm Fd</t>
  </si>
  <si>
    <t>jhi</t>
  </si>
  <si>
    <t>John Hancock Investors Trust</t>
  </si>
  <si>
    <t>pdo</t>
  </si>
  <si>
    <t>PIMCO Dynamic Income Opportunities Fund</t>
  </si>
  <si>
    <t>zgn</t>
  </si>
  <si>
    <t>Ermenegildo Zegna NV</t>
  </si>
  <si>
    <t>mdiby</t>
  </si>
  <si>
    <t>Mediobanca Banca Di Credito Finanziario SPA Unsponsored Italy ADR</t>
  </si>
  <si>
    <t>mack</t>
  </si>
  <si>
    <t>Merrimack Pharmaceuticals Inc</t>
  </si>
  <si>
    <t>swbi</t>
  </si>
  <si>
    <t>Smith &amp; Wesson Brands Inc</t>
  </si>
  <si>
    <t>hlit</t>
  </si>
  <si>
    <t>Harmonic Inc</t>
  </si>
  <si>
    <t>aomff</t>
  </si>
  <si>
    <t>Alstom SA</t>
  </si>
  <si>
    <t>aten</t>
  </si>
  <si>
    <t>A10 Networks Inc</t>
  </si>
  <si>
    <t>ampl</t>
  </si>
  <si>
    <t>Amplitude Inc</t>
  </si>
  <si>
    <t>gtes</t>
  </si>
  <si>
    <t>Gates Industrial Corporation PLC</t>
  </si>
  <si>
    <t>danoy</t>
  </si>
  <si>
    <t>Danone Sponsored ADR common stock</t>
  </si>
  <si>
    <t>efr</t>
  </si>
  <si>
    <t>Eaton Vance Senior Floating-Rate Trust</t>
  </si>
  <si>
    <t>1.31</t>
  </si>
  <si>
    <t>ing</t>
  </si>
  <si>
    <t>fosll</t>
  </si>
  <si>
    <t>Fossil Group 7 Senior Notes due 2026</t>
  </si>
  <si>
    <t>zim</t>
  </si>
  <si>
    <t>ZIM Integrated Shipping Services Ltd</t>
  </si>
  <si>
    <t>pbpb</t>
  </si>
  <si>
    <t>Potbelly Corp</t>
  </si>
  <si>
    <t>ssnt</t>
  </si>
  <si>
    <t>SilverSun Technologies Inc common stock</t>
  </si>
  <si>
    <t>lth</t>
  </si>
  <si>
    <t>Life Time Group Holdings Inc</t>
  </si>
  <si>
    <t>hmst</t>
  </si>
  <si>
    <t>HomeStreet Inc</t>
  </si>
  <si>
    <t>eft</t>
  </si>
  <si>
    <t>Eaton Vance Floating-Rate Income Trust</t>
  </si>
  <si>
    <t>1.35</t>
  </si>
  <si>
    <t>hawen</t>
  </si>
  <si>
    <t>Hawaiian Electric Pref Shs</t>
  </si>
  <si>
    <t>skil</t>
  </si>
  <si>
    <t>Skillsoft Corp</t>
  </si>
  <si>
    <t>ra</t>
  </si>
  <si>
    <t>Brookfield Real Assets Income Fund Inc</t>
  </si>
  <si>
    <t>2.06</t>
  </si>
  <si>
    <t>vale</t>
  </si>
  <si>
    <t>Vale SA</t>
  </si>
  <si>
    <t>pbhc</t>
  </si>
  <si>
    <t>Pathfinder Bancorp Inc (MARYLAND)</t>
  </si>
  <si>
    <t>sfrgf</t>
  </si>
  <si>
    <t>Salvatore Ferragamo SpA</t>
  </si>
  <si>
    <t>miufy</t>
  </si>
  <si>
    <t>Mitsubishi HC Capital ADR</t>
  </si>
  <si>
    <t>=QUERY(Sheet!NASDAQ+NYSE+AMEX)</t>
  </si>
  <si>
    <t>=query("NASDAQ+NYSE+AMEX"!A1:C9)</t>
  </si>
  <si>
    <t>jsgcf</t>
  </si>
  <si>
    <t>Lixil Corp</t>
  </si>
  <si>
    <t>nxc</t>
  </si>
  <si>
    <t>Nuveen CA Select Tax-Free Income Portfol</t>
  </si>
  <si>
    <t>rgp</t>
  </si>
  <si>
    <t>Resources Connection Inc</t>
  </si>
  <si>
    <t>pra</t>
  </si>
  <si>
    <t>ProAssurance Corporation</t>
  </si>
  <si>
    <t>xhr</t>
  </si>
  <si>
    <t>Xenia Hotels &amp; Resorts Inc</t>
  </si>
  <si>
    <t>tfsl</t>
  </si>
  <si>
    <t>TFS Financial Corp</t>
  </si>
  <si>
    <t>gbt</t>
  </si>
  <si>
    <t>BMTC Group Inc</t>
  </si>
  <si>
    <t>osbc</t>
  </si>
  <si>
    <t>Old Second Bancorp Inc</t>
  </si>
  <si>
    <t>nggtf</t>
  </si>
  <si>
    <t>National Grid plc</t>
  </si>
  <si>
    <t>jce</t>
  </si>
  <si>
    <t>Nuveen Core Equity Alpha Fund</t>
  </si>
  <si>
    <t>ssys</t>
  </si>
  <si>
    <t>Stratasys Ltd</t>
  </si>
  <si>
    <t>hawln</t>
  </si>
  <si>
    <t>Hawaiian Electric 5 Pref Shs</t>
  </si>
  <si>
    <t>sitc</t>
  </si>
  <si>
    <t>Site Centers Corp</t>
  </si>
  <si>
    <t>hrzn</t>
  </si>
  <si>
    <t>Horizon Technology Finance Corp</t>
  </si>
  <si>
    <t>he</t>
  </si>
  <si>
    <t>Hawaiian Electric Industries, Inc.</t>
  </si>
  <si>
    <t>gdyn</t>
  </si>
  <si>
    <t>Grid Dynamics Holdings Inc</t>
  </si>
  <si>
    <t>igic</t>
  </si>
  <si>
    <t>International General Insuranc Hldgs Ltd</t>
  </si>
  <si>
    <t>sats</t>
  </si>
  <si>
    <t>EchoStar Corp</t>
  </si>
  <si>
    <t>gmlpf</t>
  </si>
  <si>
    <t>Golar LNG Partners 8.75 Cumulative Redeemable Preferred Units Series A</t>
  </si>
  <si>
    <t>glu</t>
  </si>
  <si>
    <t>Gabelli Global Utility &amp; Income Trust Closed-Ended Fund</t>
  </si>
  <si>
    <t>nabl</t>
  </si>
  <si>
    <t>N-Able Inc</t>
  </si>
  <si>
    <t>bafn</t>
  </si>
  <si>
    <t>Bayfirst Financial Corp</t>
  </si>
  <si>
    <t>nodk</t>
  </si>
  <si>
    <t>NI Holdings Inc</t>
  </si>
  <si>
    <t>rand</t>
  </si>
  <si>
    <t>Rand Capital Corp</t>
  </si>
  <si>
    <t>ardc</t>
  </si>
  <si>
    <t>Ares Dynamic Credit Allocation Fund Inc</t>
  </si>
  <si>
    <t>banc</t>
  </si>
  <si>
    <t>Banc of California Inc</t>
  </si>
  <si>
    <t>pcn</t>
  </si>
  <si>
    <t>Pimco Corporate &amp; Income Strategy Fund</t>
  </si>
  <si>
    <t>eols</t>
  </si>
  <si>
    <t>Evolus Inc</t>
  </si>
  <si>
    <t>hfbl</t>
  </si>
  <si>
    <t>Home Federal Bancorp, Inc. of Louisiana Common Stock</t>
  </si>
  <si>
    <t>rilyz</t>
  </si>
  <si>
    <t>B. Riley Financial 5 25 Senior Notes due 2028</t>
  </si>
  <si>
    <t>pags</t>
  </si>
  <si>
    <t>PagSeguro Digital Ltd</t>
  </si>
  <si>
    <t>fna</t>
  </si>
  <si>
    <t>Paragon 28 Inc</t>
  </si>
  <si>
    <t>scxlb</t>
  </si>
  <si>
    <t>L S Starrett Co Class B</t>
  </si>
  <si>
    <t>rbnk</t>
  </si>
  <si>
    <t>RIVERBANK HLDG Ord Shs</t>
  </si>
  <si>
    <t>modg</t>
  </si>
  <si>
    <t>Topgolf Callaway Brands Corp</t>
  </si>
  <si>
    <t>snnuf</t>
  </si>
  <si>
    <t>Smith &amp; Nephew plc</t>
  </si>
  <si>
    <t>rway</t>
  </si>
  <si>
    <t>Runway Growth Finance Corp</t>
  </si>
  <si>
    <t>mnqff</t>
  </si>
  <si>
    <t>Manulife Finl Pref Shs Series 2</t>
  </si>
  <si>
    <t>fmnb</t>
  </si>
  <si>
    <t>Farmers National Banc Corp</t>
  </si>
  <si>
    <t>fcf</t>
  </si>
  <si>
    <t>First Commonwealth Financial Corp</t>
  </si>
  <si>
    <t>0.53</t>
  </si>
  <si>
    <t>asai</t>
  </si>
  <si>
    <t>Sendas Distribuidora SA</t>
  </si>
  <si>
    <t>mdibf</t>
  </si>
  <si>
    <t>Mediobanca Banca Di Credito Fnnzr SpA</t>
  </si>
  <si>
    <t>bsl</t>
  </si>
  <si>
    <t>Blackstone Senior Flotng Rt 2027 Trm Fnd</t>
  </si>
  <si>
    <t>1.34</t>
  </si>
  <si>
    <t>ever</t>
  </si>
  <si>
    <t>EverQuote Inc</t>
  </si>
  <si>
    <t>svt</t>
  </si>
  <si>
    <t>Servotronics Inc</t>
  </si>
  <si>
    <t>msvb</t>
  </si>
  <si>
    <t>Mid-Southern Bancorp Inc</t>
  </si>
  <si>
    <t>bpypp</t>
  </si>
  <si>
    <t>Brookfield Property Partners 6 50 Cumulative Redeemable Perpetual Preferred Units Class A</t>
  </si>
  <si>
    <t>dnut</t>
  </si>
  <si>
    <t>Krispy Kreme Inc</t>
  </si>
  <si>
    <t>bvfl</t>
  </si>
  <si>
    <t>BV Financial Inc</t>
  </si>
  <si>
    <t>acva</t>
  </si>
  <si>
    <t>ACV Auctions Inc</t>
  </si>
  <si>
    <t>vhi</t>
  </si>
  <si>
    <t>Valhi Inc</t>
  </si>
  <si>
    <t>ecbk</t>
  </si>
  <si>
    <t>ECB Bancorp Inc</t>
  </si>
  <si>
    <t>mcs</t>
  </si>
  <si>
    <t>Marcus Corp</t>
  </si>
  <si>
    <t>cprx</t>
  </si>
  <si>
    <t>Catalyst Pharmaceuticals Inc</t>
  </si>
  <si>
    <t>oscr</t>
  </si>
  <si>
    <t>Oscar Health Inc</t>
  </si>
  <si>
    <t>rdib</t>
  </si>
  <si>
    <t>Reading International Inc Class B</t>
  </si>
  <si>
    <t>paas</t>
  </si>
  <si>
    <t>Pan American Silver Corp</t>
  </si>
  <si>
    <t>erf</t>
  </si>
  <si>
    <t>Enerplus Corp</t>
  </si>
  <si>
    <t>0.23</t>
  </si>
  <si>
    <t>cru</t>
  </si>
  <si>
    <t>Coral Products PLC</t>
  </si>
  <si>
    <t>ebmt</t>
  </si>
  <si>
    <t>Eagle Bancorp Montana Inc</t>
  </si>
  <si>
    <t>tbi</t>
  </si>
  <si>
    <t>Trueblue Inc</t>
  </si>
  <si>
    <t>land</t>
  </si>
  <si>
    <t>Gladstone Land Corp</t>
  </si>
  <si>
    <t>arry</t>
  </si>
  <si>
    <t>Array Technologies Inc</t>
  </si>
  <si>
    <t>gdlc</t>
  </si>
  <si>
    <t>Grayscale Digital Large Cap Fund LLC</t>
  </si>
  <si>
    <t>rfmz</t>
  </si>
  <si>
    <t>RiverNorth Flexible Mncpl Inm Fnd II Inc</t>
  </si>
  <si>
    <t>aft</t>
  </si>
  <si>
    <t>Apollo Senior Floating Rate Fund Inc</t>
  </si>
  <si>
    <t>1.50</t>
  </si>
  <si>
    <t>bmbl</t>
  </si>
  <si>
    <t>Bumble Inc</t>
  </si>
  <si>
    <t>wrby</t>
  </si>
  <si>
    <t>Warby Parker Inc</t>
  </si>
  <si>
    <t>ptlo</t>
  </si>
  <si>
    <t>Portillos Inc</t>
  </si>
  <si>
    <t>tops</t>
  </si>
  <si>
    <t>TOP SHIPS Inc</t>
  </si>
  <si>
    <t>sgc</t>
  </si>
  <si>
    <t>Superior Group of Companies Inc</t>
  </si>
  <si>
    <t>bwmx</t>
  </si>
  <si>
    <t>Betterware de Mexico SAPI de CV</t>
  </si>
  <si>
    <t>osw</t>
  </si>
  <si>
    <t>OneSpaWorld Holdings Ltd</t>
  </si>
  <si>
    <t>roic</t>
  </si>
  <si>
    <t>Retail Opportunity Investments Corp</t>
  </si>
  <si>
    <t>mfic</t>
  </si>
  <si>
    <t>MidCap Financial Investment Corp</t>
  </si>
  <si>
    <t>ster</t>
  </si>
  <si>
    <t>Sterling Check Corp</t>
  </si>
  <si>
    <t>arte</t>
  </si>
  <si>
    <t>Artea SA</t>
  </si>
  <si>
    <t>imax</t>
  </si>
  <si>
    <t>Imax Corp</t>
  </si>
  <si>
    <t>tcbc</t>
  </si>
  <si>
    <t>TC Bancshares Inc</t>
  </si>
  <si>
    <t>hql</t>
  </si>
  <si>
    <t>Abrdn Life Sciences Investors</t>
  </si>
  <si>
    <t>dan</t>
  </si>
  <si>
    <t>Dana Inc</t>
  </si>
  <si>
    <t>db</t>
  </si>
  <si>
    <t>Deutsche Bank AG</t>
  </si>
  <si>
    <t>gof</t>
  </si>
  <si>
    <t>Guggenheim Strategic Opportunities Fund</t>
  </si>
  <si>
    <t>gtbif</t>
  </si>
  <si>
    <t>Green Thumb Industries Inc</t>
  </si>
  <si>
    <t>beke</t>
  </si>
  <si>
    <t>KE Holdings Inc - ADR</t>
  </si>
  <si>
    <t>cfb</t>
  </si>
  <si>
    <t>Crossfirst Bankshares Inc</t>
  </si>
  <si>
    <t>scd</t>
  </si>
  <si>
    <t>LMP Capital And Income Fund Inc</t>
  </si>
  <si>
    <t>qfin</t>
  </si>
  <si>
    <t>Qifu Technology Inc - ADR</t>
  </si>
  <si>
    <t>cane</t>
  </si>
  <si>
    <t>Teucrium Sugar Fund</t>
  </si>
  <si>
    <t>ofed</t>
  </si>
  <si>
    <t>Oconee Federal Financial Corp</t>
  </si>
  <si>
    <t>ebc</t>
  </si>
  <si>
    <t>Eastern Bankshares Inc</t>
  </si>
  <si>
    <t>wfcf</t>
  </si>
  <si>
    <t>Where Food Comes From Inc</t>
  </si>
  <si>
    <t>scx</t>
  </si>
  <si>
    <t>L S Starrett Co Class A</t>
  </si>
  <si>
    <t>mwa</t>
  </si>
  <si>
    <t>Mueller Water Products Inc</t>
  </si>
  <si>
    <t>vxz</t>
  </si>
  <si>
    <t>Barclays iPath Series B S&amp;P 500 VIX Mid-Term Futures ETN</t>
  </si>
  <si>
    <t>blw</t>
  </si>
  <si>
    <t>BlackRock Ltd Duration Income Trust</t>
  </si>
  <si>
    <t>fhn</t>
  </si>
  <si>
    <t>First Horizon Corp</t>
  </si>
  <si>
    <t>bgh</t>
  </si>
  <si>
    <t>Barings Global Short Duratin Hgh Yld Fnd</t>
  </si>
  <si>
    <t>fnwb</t>
  </si>
  <si>
    <t>First Northwest BanCorp</t>
  </si>
  <si>
    <t>trin</t>
  </si>
  <si>
    <t>Trinity Capital Inc</t>
  </si>
  <si>
    <t>nuw</t>
  </si>
  <si>
    <t>Nuveen Amt-Free Municipal Value Fund</t>
  </si>
  <si>
    <t>pmt</t>
  </si>
  <si>
    <t>PennyMac Mortgage Investment Trust</t>
  </si>
  <si>
    <t>dbo</t>
  </si>
  <si>
    <t>Invesco DB Oil Fund</t>
  </si>
  <si>
    <t>blco</t>
  </si>
  <si>
    <t>Bausch + Lomb Corp</t>
  </si>
  <si>
    <t>gt</t>
  </si>
  <si>
    <t>Goodyear Tire &amp; Rubber Co</t>
  </si>
  <si>
    <t>bz</t>
  </si>
  <si>
    <t>Kanzhun Ltd</t>
  </si>
  <si>
    <t>hawlm</t>
  </si>
  <si>
    <t>Hawaiian Electric 5.25 Pref Shs</t>
  </si>
  <si>
    <t>ior</t>
  </si>
  <si>
    <t>Income Opportunity Realty Investors Inc</t>
  </si>
  <si>
    <t>ymab</t>
  </si>
  <si>
    <t>Y-mAbs Therapeutics Inc</t>
  </si>
  <si>
    <t>pty</t>
  </si>
  <si>
    <t>PIMCO Corporate&amp;Income Opportunity Fund</t>
  </si>
  <si>
    <t>trox</t>
  </si>
  <si>
    <t>Tronox Holdings PLC</t>
  </si>
  <si>
    <t>apely</t>
  </si>
  <si>
    <t>Alps Alpine ADR Representing 2 Ord Shs</t>
  </si>
  <si>
    <t>ha</t>
  </si>
  <si>
    <t>Hawaiian Holdings, Inc.</t>
  </si>
  <si>
    <t>fthy</t>
  </si>
  <si>
    <t>First Trust High Yld Oprtnts 2027 Trm Fd</t>
  </si>
  <si>
    <t>grpn</t>
  </si>
  <si>
    <t>Groupon Inc Common Stock</t>
  </si>
  <si>
    <t>tmci</t>
  </si>
  <si>
    <t>Treace Medical Concepts Inc</t>
  </si>
  <si>
    <t>pstl</t>
  </si>
  <si>
    <t>Postal Realty Trust Inc</t>
  </si>
  <si>
    <t>gain</t>
  </si>
  <si>
    <t>Gladstone Investment Corporation</t>
  </si>
  <si>
    <t>cnk</t>
  </si>
  <si>
    <t>Cinemark Holdings, Inc.</t>
  </si>
  <si>
    <t>seznl</t>
  </si>
  <si>
    <t>Sezzle Inc CHESS</t>
  </si>
  <si>
    <t>nvcr</t>
  </si>
  <si>
    <t>Novocure Ltd</t>
  </si>
  <si>
    <t>ofix</t>
  </si>
  <si>
    <t>Orthofix Medical Inc</t>
  </si>
  <si>
    <t>udmy</t>
  </si>
  <si>
    <t>Udemy Inc</t>
  </si>
  <si>
    <t>zip</t>
  </si>
  <si>
    <t>Ziprecruiter Inc</t>
  </si>
  <si>
    <t>ttmi</t>
  </si>
  <si>
    <t>TTM Technologies Inc</t>
  </si>
  <si>
    <t>upwk</t>
  </si>
  <si>
    <t>Upwork Inc</t>
  </si>
  <si>
    <t>tpz</t>
  </si>
  <si>
    <t>Tortoise Power &amp; Energy Infrstrct Fd Inc</t>
  </si>
  <si>
    <t>cpng</t>
  </si>
  <si>
    <t>Coupang Inc</t>
  </si>
  <si>
    <t>care</t>
  </si>
  <si>
    <t>Carter Bankshares Inc</t>
  </si>
  <si>
    <t>stew</t>
  </si>
  <si>
    <t>SRH Total Return Fund Inc</t>
  </si>
  <si>
    <t>aif</t>
  </si>
  <si>
    <t>Apollo Tactical Income Fund Inc</t>
  </si>
  <si>
    <t>atlcy</t>
  </si>
  <si>
    <t>Atlas Copco ADR</t>
  </si>
  <si>
    <t>kt</t>
  </si>
  <si>
    <t>KT Corp</t>
  </si>
  <si>
    <t>0.75</t>
  </si>
  <si>
    <t>ape</t>
  </si>
  <si>
    <t>Eagers Automotive Ltd</t>
  </si>
  <si>
    <t>tcbs</t>
  </si>
  <si>
    <t>Texas Community Bancshares Inc</t>
  </si>
  <si>
    <t>lung</t>
  </si>
  <si>
    <t>Pulmonx Corp</t>
  </si>
  <si>
    <t>kar</t>
  </si>
  <si>
    <t>Openlane Inc</t>
  </si>
  <si>
    <t>band</t>
  </si>
  <si>
    <t>Bandwidth Inc</t>
  </si>
  <si>
    <t>rvt</t>
  </si>
  <si>
    <t>Royce Value Trust Inc</t>
  </si>
  <si>
    <t>tak</t>
  </si>
  <si>
    <t>Takeda Pharmaceutical Co Ltd</t>
  </si>
  <si>
    <t>tetaa</t>
  </si>
  <si>
    <t>Teton Advisors Inc</t>
  </si>
  <si>
    <t>shls</t>
  </si>
  <si>
    <t>Shoals Technologies Group Inc</t>
  </si>
  <si>
    <t>fen</t>
  </si>
  <si>
    <t>First Trust Energy Income and Growth Fnd</t>
  </si>
  <si>
    <t>gfiof</t>
  </si>
  <si>
    <t>Gold Fields Limited</t>
  </si>
  <si>
    <t>et</t>
  </si>
  <si>
    <t>Energy Transfer LP Unit</t>
  </si>
  <si>
    <t>codyy</t>
  </si>
  <si>
    <t>Compagnie de Saint Gobain Unsponsored France ADR</t>
  </si>
  <si>
    <t>pax</t>
  </si>
  <si>
    <t>Patria Investments Ltd</t>
  </si>
  <si>
    <t>run</t>
  </si>
  <si>
    <t>Sunrun Inc</t>
  </si>
  <si>
    <t>ffc</t>
  </si>
  <si>
    <t>Flaherty&amp;Crmrn Prfrd &amp; Incm Scts  Fd Inc</t>
  </si>
  <si>
    <t>1.03</t>
  </si>
  <si>
    <t>gug</t>
  </si>
  <si>
    <t>Guggenheim Active Allocation Fund</t>
  </si>
  <si>
    <t>key</t>
  </si>
  <si>
    <t>KeyCorp</t>
  </si>
  <si>
    <t>taipy</t>
  </si>
  <si>
    <t>Taisho Pharmaceutical Holdings 4 Unsponsored ADR Representing Ord Shs</t>
  </si>
  <si>
    <t>bhm</t>
  </si>
  <si>
    <t>Bluerock Homes Trust Inc</t>
  </si>
  <si>
    <t>whlrd</t>
  </si>
  <si>
    <t>Wheeler Real Estate Investment Trust Inc Preferred Shares Series D</t>
  </si>
  <si>
    <t>uti</t>
  </si>
  <si>
    <t>Universal Technical Institute, Inc.</t>
  </si>
  <si>
    <t>ptve</t>
  </si>
  <si>
    <t>Pactiv Evergreen Inc</t>
  </si>
  <si>
    <t>wdi</t>
  </si>
  <si>
    <t>Western Asset Diversified Income Fund</t>
  </si>
  <si>
    <t>para</t>
  </si>
  <si>
    <t>Paramount Global Class B</t>
  </si>
  <si>
    <t>hson</t>
  </si>
  <si>
    <t>Hudson Global Inc</t>
  </si>
  <si>
    <t>hawel</t>
  </si>
  <si>
    <t>Hawaiian Electric Company Inc</t>
  </si>
  <si>
    <t>pke</t>
  </si>
  <si>
    <t>Park Aerospace Corp</t>
  </si>
  <si>
    <t>lcnb</t>
  </si>
  <si>
    <t>LCNB Corp</t>
  </si>
  <si>
    <t>dcph</t>
  </si>
  <si>
    <t>Deciphera Pharmaceuticals Inc</t>
  </si>
  <si>
    <t>cxw</t>
  </si>
  <si>
    <t>Corecivic Inc</t>
  </si>
  <si>
    <t>pbt</t>
  </si>
  <si>
    <t>Permian Basin Royalty Trust</t>
  </si>
  <si>
    <t>csan</t>
  </si>
  <si>
    <t>Cosan SA - ADR</t>
  </si>
  <si>
    <t>asa</t>
  </si>
  <si>
    <t>ASA Gold and Precious Metals Ltd</t>
  </si>
  <si>
    <t>diax</t>
  </si>
  <si>
    <t>Nuveen Dow 30SM Dynamic Overwrite Fund</t>
  </si>
  <si>
    <t>hlvx</t>
  </si>
  <si>
    <t>Hillevax Inc</t>
  </si>
  <si>
    <t>ghld</t>
  </si>
  <si>
    <t>Guild Holdings Co</t>
  </si>
  <si>
    <t>gfi</t>
  </si>
  <si>
    <t>ntgr</t>
  </si>
  <si>
    <t>NetGear, Inc.</t>
  </si>
  <si>
    <t>rbgly</t>
  </si>
  <si>
    <t>Reckitt Benckiser Group PLC - ADR</t>
  </si>
  <si>
    <t>aal</t>
  </si>
  <si>
    <t>American Airlines Group Inc</t>
  </si>
  <si>
    <t>nxp</t>
  </si>
  <si>
    <t>Nuveen Select Tax-Free Income Portfolio</t>
  </si>
  <si>
    <t>atsg</t>
  </si>
  <si>
    <t>Air Transport Services Group Inc.</t>
  </si>
  <si>
    <t>irwd</t>
  </si>
  <si>
    <t>Ironwood Pharmaceuticals, Inc.</t>
  </si>
  <si>
    <t>emyb</t>
  </si>
  <si>
    <t>Embassy Bancorp Inc</t>
  </si>
  <si>
    <t>vtru</t>
  </si>
  <si>
    <t>Vitru Ltd</t>
  </si>
  <si>
    <t>cwbc</t>
  </si>
  <si>
    <t>Community West Bancshares</t>
  </si>
  <si>
    <t>fxby</t>
  </si>
  <si>
    <t>Foxby Corp</t>
  </si>
  <si>
    <t>ngs</t>
  </si>
  <si>
    <t>Natural Gas Services Group, Inc. Common Stock</t>
  </si>
  <si>
    <t>oprx</t>
  </si>
  <si>
    <t>OPTIMIZERx Corp</t>
  </si>
  <si>
    <t>neo</t>
  </si>
  <si>
    <t>NeoGenomics, Inc.</t>
  </si>
  <si>
    <t>avdl</t>
  </si>
  <si>
    <t>Avadel Pharmaceuticals PLC</t>
  </si>
  <si>
    <t>dgica</t>
  </si>
  <si>
    <t>Donegal Group Inc Class A</t>
  </si>
  <si>
    <t>alxo</t>
  </si>
  <si>
    <t>ALX Oncology Holdings Inc</t>
  </si>
  <si>
    <t>jbi</t>
  </si>
  <si>
    <t>Janus International Group Inc</t>
  </si>
  <si>
    <t>trda</t>
  </si>
  <si>
    <t>Entrada Therapeutics Inc</t>
  </si>
  <si>
    <t>paxs</t>
  </si>
  <si>
    <t>PIMCO Access Income Fund</t>
  </si>
  <si>
    <t>gme</t>
  </si>
  <si>
    <t>GameStop Corp</t>
  </si>
  <si>
    <t>elan</t>
  </si>
  <si>
    <t>Elanco Animal Health Inc</t>
  </si>
  <si>
    <t>sncy</t>
  </si>
  <si>
    <t>Sun Country Airlines Holdings Inc</t>
  </si>
  <si>
    <t>psfe</t>
  </si>
  <si>
    <t>Paysafe Ltd</t>
  </si>
  <si>
    <t>vitl</t>
  </si>
  <si>
    <t>Vital Farms, Inc.</t>
  </si>
  <si>
    <t>prmw</t>
  </si>
  <si>
    <t>Primo Water Corp</t>
  </si>
  <si>
    <t>hps</t>
  </si>
  <si>
    <t>John Hancock Preferred Income Fund III</t>
  </si>
  <si>
    <t>fatbp</t>
  </si>
  <si>
    <t>FAT Brands Inc Cum. Pref. Shrs Series B</t>
  </si>
  <si>
    <t>wllbw</t>
  </si>
  <si>
    <t>Chord Energy</t>
  </si>
  <si>
    <t>pbnaf</t>
  </si>
  <si>
    <t>Pembina Pipeline Corp Preferred Shares Series 1</t>
  </si>
  <si>
    <t>or</t>
  </si>
  <si>
    <t>Osisko gold royalties Ltd</t>
  </si>
  <si>
    <t>ee</t>
  </si>
  <si>
    <t>Excelerate Energy Inc</t>
  </si>
  <si>
    <t>0.09</t>
  </si>
  <si>
    <t>frfff</t>
  </si>
  <si>
    <t>Fairfax Financial Holdings 5 Year Cumulative Rate Reset Pref Shs Series K</t>
  </si>
  <si>
    <t>krp</t>
  </si>
  <si>
    <t>Kimbell Royalty Partners LP</t>
  </si>
  <si>
    <t>baesf</t>
  </si>
  <si>
    <t>BAE Systems plc</t>
  </si>
  <si>
    <t>bur</t>
  </si>
  <si>
    <t>Burford Capital Limited</t>
  </si>
  <si>
    <t>umh</t>
  </si>
  <si>
    <t>UMH Properties Inc</t>
  </si>
  <si>
    <t>vixy</t>
  </si>
  <si>
    <t>ProShares VIX Short-Term Futures ETF</t>
  </si>
  <si>
    <t>arkr</t>
  </si>
  <si>
    <t>Ark Restaurants Corp</t>
  </si>
  <si>
    <t>dhcni</t>
  </si>
  <si>
    <t>Diversified Healthcare 5 625 Senior Notes Exp 01 Aug 2042</t>
  </si>
  <si>
    <t>twi</t>
  </si>
  <si>
    <t>Titan International Inc</t>
  </si>
  <si>
    <t>flc</t>
  </si>
  <si>
    <t>Flaherty &amp; Crumrine Total Return Fd Inc</t>
  </si>
  <si>
    <t>1.05</t>
  </si>
  <si>
    <t>tgs</t>
  </si>
  <si>
    <t>Transportadora de Gas del Sur SA ADR Class B</t>
  </si>
  <si>
    <t>fxflf</t>
  </si>
  <si>
    <t>Fairfax Financial Holdings 5.75% Cumulative 5 Yr Rate Reset Pref Shs Series C</t>
  </si>
  <si>
    <t>rcus</t>
  </si>
  <si>
    <t>Arcus Biosciences Inc</t>
  </si>
  <si>
    <t>irt</t>
  </si>
  <si>
    <t>Independence Realty Trust Inc</t>
  </si>
  <si>
    <t>oi</t>
  </si>
  <si>
    <t>O-I Glass Inc</t>
  </si>
  <si>
    <t>fbpi</t>
  </si>
  <si>
    <t>First Bancorp of Indiana Inc</t>
  </si>
  <si>
    <t>ptbs</t>
  </si>
  <si>
    <t>Potomac Bancshares Inc</t>
  </si>
  <si>
    <t>qdmi</t>
  </si>
  <si>
    <t>QDM International Inc</t>
  </si>
  <si>
    <t>rvlv</t>
  </si>
  <si>
    <t>Revolve Group Inc</t>
  </si>
  <si>
    <t>vsbc</t>
  </si>
  <si>
    <t>Vitaspring Biomedical Co. Ltd</t>
  </si>
  <si>
    <t>cuk</t>
  </si>
  <si>
    <t>Carnival plc</t>
  </si>
  <si>
    <t>bcsf</t>
  </si>
  <si>
    <t>Bain Capital Specialty Finance Inc</t>
  </si>
  <si>
    <t>shc</t>
  </si>
  <si>
    <t>Sotera Health Co</t>
  </si>
  <si>
    <t>webnf</t>
  </si>
  <si>
    <t>Westpac Banking Corp</t>
  </si>
  <si>
    <t>htibp</t>
  </si>
  <si>
    <t>HEALTHCARE Cumulative Redeemable Perpetual Pref Shs Series B</t>
  </si>
  <si>
    <t>npce</t>
  </si>
  <si>
    <t>Neuropace Inc</t>
  </si>
  <si>
    <t>aehr</t>
  </si>
  <si>
    <t>Aehr Test Systems</t>
  </si>
  <si>
    <t>srrk</t>
  </si>
  <si>
    <t>Scholar Rock Holding Corp</t>
  </si>
  <si>
    <t>tkayf</t>
  </si>
  <si>
    <t>Just Eat Takeaway.com NV</t>
  </si>
  <si>
    <t>cukpf</t>
  </si>
  <si>
    <t>ngvc</t>
  </si>
  <si>
    <t>Natural Grocers by Vitamin Cottage Inc</t>
  </si>
  <si>
    <t>gsbd</t>
  </si>
  <si>
    <t>Goldman Sachs BDC Inc</t>
  </si>
  <si>
    <t>cgbd</t>
  </si>
  <si>
    <t>Carlyle Secured Lending Inc</t>
  </si>
  <si>
    <t>inno</t>
  </si>
  <si>
    <t>Harbor Disruptive Innovation ETF</t>
  </si>
  <si>
    <t>prov</t>
  </si>
  <si>
    <t>Provident Financial Holdings, Inc.</t>
  </si>
  <si>
    <t>slrc</t>
  </si>
  <si>
    <t>SLR Investment Corp</t>
  </si>
  <si>
    <t>mituy</t>
  </si>
  <si>
    <t>Mitsui Chemicals 2 American Depository Receipts Representing Ord Shs</t>
  </si>
  <si>
    <t>vre</t>
  </si>
  <si>
    <t>Veris Residential Inc</t>
  </si>
  <si>
    <t>hcmly</t>
  </si>
  <si>
    <t>Holcim AG</t>
  </si>
  <si>
    <t>pplaf</t>
  </si>
  <si>
    <t>Pembina Pipeline Cumulative Redeemable Rate Reset Pref Shs Class A Series 5</t>
  </si>
  <si>
    <t>ewcz</t>
  </si>
  <si>
    <t>European Wax Center Inc</t>
  </si>
  <si>
    <t>pk</t>
  </si>
  <si>
    <t>Park Hotels &amp; Resorts Inc</t>
  </si>
  <si>
    <t>tcmd</t>
  </si>
  <si>
    <t>Tactile Systems Technology Inc</t>
  </si>
  <si>
    <t>kalv</t>
  </si>
  <si>
    <t>Kalvista Pharmaceuticals Inc</t>
  </si>
  <si>
    <t>spxx</t>
  </si>
  <si>
    <t>Nuveen S&amp;P 500 Dynamic Overwrite Fund</t>
  </si>
  <si>
    <t>olma</t>
  </si>
  <si>
    <t>Olema Pharmaceuticals Inc</t>
  </si>
  <si>
    <t>dgicb</t>
  </si>
  <si>
    <t>Donegal Group Inc Class B</t>
  </si>
  <si>
    <t>icvx</t>
  </si>
  <si>
    <t>Icosavax Inc</t>
  </si>
  <si>
    <t>isdr</t>
  </si>
  <si>
    <t>Issuer Direct Corp</t>
  </si>
  <si>
    <t>enbp</t>
  </si>
  <si>
    <t>ENB Financial Corp</t>
  </si>
  <si>
    <t>ltsa</t>
  </si>
  <si>
    <t>Ladenburg Thalmann Financial Services 8.00% Cumulative Redeemable Pref Shs Series A</t>
  </si>
  <si>
    <t>boc</t>
  </si>
  <si>
    <t>BOSTON OMAHA Corp</t>
  </si>
  <si>
    <t>paa</t>
  </si>
  <si>
    <t>Plains All American Pipeline, L.P.</t>
  </si>
  <si>
    <t>gbdc</t>
  </si>
  <si>
    <t>Golub Capital BDC Inc</t>
  </si>
  <si>
    <t>geos</t>
  </si>
  <si>
    <t>Geospace Technologies Corp</t>
  </si>
  <si>
    <t>zi</t>
  </si>
  <si>
    <t>Zoominfo Technologies Inc</t>
  </si>
  <si>
    <t>bvn</t>
  </si>
  <si>
    <t>Compania de Minas Buenaventura SAA</t>
  </si>
  <si>
    <t>lgi</t>
  </si>
  <si>
    <t>Lazard Global Total Return &amp; Income Fund common stock</t>
  </si>
  <si>
    <t>ftrsf</t>
  </si>
  <si>
    <t>Fortis Inc Preferred Shares Series G</t>
  </si>
  <si>
    <t>bcv</t>
  </si>
  <si>
    <t>Bancroft Fund Ltd Closed-Ended Fund</t>
  </si>
  <si>
    <t>1.28</t>
  </si>
  <si>
    <t>sdhy</t>
  </si>
  <si>
    <t>PGIM Shrt Duratin Hgh Yld Opprtnts Fund</t>
  </si>
  <si>
    <t>dbl</t>
  </si>
  <si>
    <t>Doubleline Opportunistic Credit Fund common stock</t>
  </si>
  <si>
    <t>peb</t>
  </si>
  <si>
    <t>Pebblebrook Hotel Trust</t>
  </si>
  <si>
    <t>mpv</t>
  </si>
  <si>
    <t>Barings Participation Investors</t>
  </si>
  <si>
    <t>rilyt</t>
  </si>
  <si>
    <t>B. Riley Financial 6 00 Senior Notes Due 2028</t>
  </si>
  <si>
    <t>ello</t>
  </si>
  <si>
    <t>Ellomay Capital Ltd</t>
  </si>
  <si>
    <t>pine</t>
  </si>
  <si>
    <t>Alpine Income Property Trust Inc</t>
  </si>
  <si>
    <t>hpe</t>
  </si>
  <si>
    <t>Hewlett Packard Enterprise Co</t>
  </si>
  <si>
    <t>gold</t>
  </si>
  <si>
    <t>Barrick Gold Corp</t>
  </si>
  <si>
    <t>dhcnl</t>
  </si>
  <si>
    <t>Diversified Healthcare 6 25 Senior Notes Exp 2046</t>
  </si>
  <si>
    <t>silk</t>
  </si>
  <si>
    <t>Silk Road Medical Inc</t>
  </si>
  <si>
    <t>bit</t>
  </si>
  <si>
    <t>Blackrock Multi-Sector Income Trust</t>
  </si>
  <si>
    <t>1.43</t>
  </si>
  <si>
    <t>ffic</t>
  </si>
  <si>
    <t>Flushing Financial Corp</t>
  </si>
  <si>
    <t>mgnx</t>
  </si>
  <si>
    <t>MacroGenics Inc</t>
  </si>
  <si>
    <t>fult</t>
  </si>
  <si>
    <t>Fulton Financial Corp</t>
  </si>
  <si>
    <t>pntg</t>
  </si>
  <si>
    <t>Pennant Group Inc</t>
  </si>
  <si>
    <t>tgna</t>
  </si>
  <si>
    <t>GANNETT CO INC. Common Stock</t>
  </si>
  <si>
    <t>celc</t>
  </si>
  <si>
    <t>Celcuity Inc</t>
  </si>
  <si>
    <t>rilyg</t>
  </si>
  <si>
    <t>B. Riley Financial 5 00 Senior Notes due 2026</t>
  </si>
  <si>
    <t>clmt</t>
  </si>
  <si>
    <t>Calumet Specialty Products Partners, L.P</t>
  </si>
  <si>
    <t>eic</t>
  </si>
  <si>
    <t>Eagle Point Income Company Inc Closed-Ended Fund</t>
  </si>
  <si>
    <t>2.02</t>
  </si>
  <si>
    <t>erii</t>
  </si>
  <si>
    <t>Energy Recovery Inc</t>
  </si>
  <si>
    <t>mac</t>
  </si>
  <si>
    <t>Macerich Co</t>
  </si>
  <si>
    <t>vel</t>
  </si>
  <si>
    <t>Velocity Financial Inc</t>
  </si>
  <si>
    <t>nrds</t>
  </si>
  <si>
    <t>Nerdwallet Inc</t>
  </si>
  <si>
    <t>sed</t>
  </si>
  <si>
    <t>Saietta Group PLC</t>
  </si>
  <si>
    <t>ias</t>
  </si>
  <si>
    <t>Integral Ad Science Holding Corp</t>
  </si>
  <si>
    <t>bmez</t>
  </si>
  <si>
    <t>BlackRock Health Sciences Term Trust</t>
  </si>
  <si>
    <t>sbfg</t>
  </si>
  <si>
    <t>SB Financial Group Inc</t>
  </si>
  <si>
    <t>rivn</t>
  </si>
  <si>
    <t>Rivian Automotive Inc</t>
  </si>
  <si>
    <t>neog</t>
  </si>
  <si>
    <t>Neogen Corp</t>
  </si>
  <si>
    <t>csq</t>
  </si>
  <si>
    <t>Calamos Strategic Total Return Fund Common Stock</t>
  </si>
  <si>
    <t>vbf</t>
  </si>
  <si>
    <t>Invesco Bond Fund</t>
  </si>
  <si>
    <t>pbcry</t>
  </si>
  <si>
    <t>PT Bank Central Asia TBK Unsponsored Indonesia ADR</t>
  </si>
  <si>
    <t>nvgs</t>
  </si>
  <si>
    <t>Navigator Holdings Ltd</t>
  </si>
  <si>
    <t>sbgi</t>
  </si>
  <si>
    <t>Sinclair Inc</t>
  </si>
  <si>
    <t>glpef</t>
  </si>
  <si>
    <t>Galp Energia SGPS SA</t>
  </si>
  <si>
    <t>mcafu</t>
  </si>
  <si>
    <t>Mountain Crest Acquisition IV Units</t>
  </si>
  <si>
    <t>icch</t>
  </si>
  <si>
    <t>ICC Holdings Inc</t>
  </si>
  <si>
    <t>fkys</t>
  </si>
  <si>
    <t>First Keystone Corp</t>
  </si>
  <si>
    <t>alvo</t>
  </si>
  <si>
    <t>Alvotech SA</t>
  </si>
  <si>
    <t>ero</t>
  </si>
  <si>
    <t>Ero Copper Corp</t>
  </si>
  <si>
    <t>frfzf</t>
  </si>
  <si>
    <t>Fairfax Financial Holdings Cumulative Floating Rate Pref Shs Series D</t>
  </si>
  <si>
    <t>bset</t>
  </si>
  <si>
    <t>Bassett Furniture Industries Inc</t>
  </si>
  <si>
    <t>ubeof</t>
  </si>
  <si>
    <t>UBE Corp</t>
  </si>
  <si>
    <t>phys</t>
  </si>
  <si>
    <t>Sprott Physical Gold Trust</t>
  </si>
  <si>
    <t>amlx</t>
  </si>
  <si>
    <t>Amylyx Pharmaceuticals Inc</t>
  </si>
  <si>
    <t>cve</t>
  </si>
  <si>
    <t>Cenovus Energy Inc</t>
  </si>
  <si>
    <t>ivz</t>
  </si>
  <si>
    <t>Invesco Ltd.</t>
  </si>
  <si>
    <t>sqftp</t>
  </si>
  <si>
    <t>Presidio Property Trust Inc Preferred Shares Series D</t>
  </si>
  <si>
    <t>sbs</t>
  </si>
  <si>
    <t>Basic Sant Cpy of the Sta Pul SBSP</t>
  </si>
  <si>
    <t>hafc</t>
  </si>
  <si>
    <t>Hanmi Financial Corp</t>
  </si>
  <si>
    <t>refi</t>
  </si>
  <si>
    <t>Chicago Atlantic Real Estate Finance Inc</t>
  </si>
  <si>
    <t>inva</t>
  </si>
  <si>
    <t>Innoviva Inc</t>
  </si>
  <si>
    <t>owl</t>
  </si>
  <si>
    <t>Blue Owl Capital Inc</t>
  </si>
  <si>
    <t>rmi</t>
  </si>
  <si>
    <t>Rivernorth Opprtnstc Mncpl Incme Fnd Inc</t>
  </si>
  <si>
    <t>acor</t>
  </si>
  <si>
    <t>Acorda Therapeutics Inc</t>
  </si>
  <si>
    <t>hpi</t>
  </si>
  <si>
    <t>John Hancock Preferred Income Fund</t>
  </si>
  <si>
    <t>trc</t>
  </si>
  <si>
    <t>Tejon Ranch Co</t>
  </si>
  <si>
    <t>twin</t>
  </si>
  <si>
    <t>Twin Disc Inc</t>
  </si>
  <si>
    <t>sft</t>
  </si>
  <si>
    <t>Software Circle PLC</t>
  </si>
  <si>
    <t>gpaef</t>
  </si>
  <si>
    <t>Grupo Aeroportuario del Pacifico SABdeCV</t>
  </si>
  <si>
    <t>tnrsf</t>
  </si>
  <si>
    <t>Tenaris SA</t>
  </si>
  <si>
    <t>rsf</t>
  </si>
  <si>
    <t>RiverNorth Capital and Income Fund</t>
  </si>
  <si>
    <t>htia</t>
  </si>
  <si>
    <t>HEALTHCARE Perpetual Pref Shs Series A</t>
  </si>
  <si>
    <t>dlhc</t>
  </si>
  <si>
    <t>DLH Holdings Corp</t>
  </si>
  <si>
    <t>ncsm</t>
  </si>
  <si>
    <t>NCS Multistage Holdings Inc</t>
  </si>
  <si>
    <t>msuxf</t>
  </si>
  <si>
    <t>Misumi Group Inc</t>
  </si>
  <si>
    <t>sono</t>
  </si>
  <si>
    <t>Sonos Inc</t>
  </si>
  <si>
    <t>frevs</t>
  </si>
  <si>
    <t>First Real Este Invt Trst of Nw Jrsy Inc</t>
  </si>
  <si>
    <t>evotf</t>
  </si>
  <si>
    <t>vips</t>
  </si>
  <si>
    <t>Vipshop Holdings Ltd - ADR</t>
  </si>
  <si>
    <t>beph</t>
  </si>
  <si>
    <t>Brookfield BRP Holdings 4 625 Perpetual Subordinated Notes</t>
  </si>
  <si>
    <t>unfi</t>
  </si>
  <si>
    <t>United Natural Foods Inc</t>
  </si>
  <si>
    <t>pagp</t>
  </si>
  <si>
    <t>Plains GP Holdings LP</t>
  </si>
  <si>
    <t>insi</t>
  </si>
  <si>
    <t>Insight Select Income Fund</t>
  </si>
  <si>
    <t>pay</t>
  </si>
  <si>
    <t>Paymentus Holdings Inc</t>
  </si>
  <si>
    <t>lmnd</t>
  </si>
  <si>
    <t>Lemonade Inc</t>
  </si>
  <si>
    <t>dnli</t>
  </si>
  <si>
    <t>Denali Therapeutics Inc</t>
  </si>
  <si>
    <t>onb</t>
  </si>
  <si>
    <t>Old National Bancorp</t>
  </si>
  <si>
    <t>vixm</t>
  </si>
  <si>
    <t>ProShares VIX Mid-Term Futures ETF</t>
  </si>
  <si>
    <t>jbgs</t>
  </si>
  <si>
    <t>JBG SMITH Properties</t>
  </si>
  <si>
    <t>zto</t>
  </si>
  <si>
    <t>ZTO Express (Cayman) Inc</t>
  </si>
  <si>
    <t>hr</t>
  </si>
  <si>
    <t>Healthcare Realty Trust Inc</t>
  </si>
  <si>
    <t>1.24</t>
  </si>
  <si>
    <t>genc</t>
  </si>
  <si>
    <t>Gencor Industries Inc</t>
  </si>
  <si>
    <t>samg</t>
  </si>
  <si>
    <t>Silvercrest Asset Management Group Inc</t>
  </si>
  <si>
    <t>pfs</t>
  </si>
  <si>
    <t>Provident Financial Services, Inc.</t>
  </si>
  <si>
    <t>hpf</t>
  </si>
  <si>
    <t>John Hancock Preferred Income Fund II</t>
  </si>
  <si>
    <t>rit</t>
  </si>
  <si>
    <t>CI Canadian REIT ETF Fund</t>
  </si>
  <si>
    <t>atlky</t>
  </si>
  <si>
    <t>Atlas Copco ADR Representing Ord Shs Class A</t>
  </si>
  <si>
    <t>=IF(ISBLANK(I520), INDEX(A!$A$1:$Z$10000, 2, 8), "")</t>
  </si>
  <si>
    <t>bsm</t>
  </si>
  <si>
    <t>Black Stone Minerals LP</t>
  </si>
  <si>
    <t>1.90</t>
  </si>
  <si>
    <t>ambc</t>
  </si>
  <si>
    <t>Ambac Financial Group, Inc.</t>
  </si>
  <si>
    <t>navi</t>
  </si>
  <si>
    <t>Navient Corp</t>
  </si>
  <si>
    <t>fif</t>
  </si>
  <si>
    <t>First Trust Energy Infrastructure Closed Fund</t>
  </si>
  <si>
    <t>1.17</t>
  </si>
  <si>
    <t>afbi</t>
  </si>
  <si>
    <t>Affinity Bancshares Inc</t>
  </si>
  <si>
    <t>atlpf</t>
  </si>
  <si>
    <t>Atlas Copco AB Class A</t>
  </si>
  <si>
    <t>levi</t>
  </si>
  <si>
    <t>Levi Strauss &amp; Co</t>
  </si>
  <si>
    <t>asc</t>
  </si>
  <si>
    <t>Ardmore Shipping Corp</t>
  </si>
  <si>
    <t>aple</t>
  </si>
  <si>
    <t>Apple Hospitality REIT Inc</t>
  </si>
  <si>
    <t>acmr</t>
  </si>
  <si>
    <t>ACM Research Inc</t>
  </si>
  <si>
    <t>vwfb</t>
  </si>
  <si>
    <t>VWF Bancorp Inc</t>
  </si>
  <si>
    <t>rmmz</t>
  </si>
  <si>
    <t>RiverNorth Mngd Drtn Mncpl ncm Fnd , nc</t>
  </si>
  <si>
    <t>aroc</t>
  </si>
  <si>
    <t>Archrock Inc</t>
  </si>
  <si>
    <t>nvro</t>
  </si>
  <si>
    <t>Nevro Corp</t>
  </si>
  <si>
    <t>civb</t>
  </si>
  <si>
    <t>Civista Bancshares Inc</t>
  </si>
  <si>
    <t>imnm</t>
  </si>
  <si>
    <t>Immunome Inc</t>
  </si>
  <si>
    <t>ccap</t>
  </si>
  <si>
    <t>Crescent Capital BDC Inc</t>
  </si>
  <si>
    <t>ocfc</t>
  </si>
  <si>
    <t>OceanFirst Financial Corp.</t>
  </si>
  <si>
    <t>mnso</t>
  </si>
  <si>
    <t>MINISO Group Holding Ltd - ADR</t>
  </si>
  <si>
    <t>kn</t>
  </si>
  <si>
    <t>Knowles Corp</t>
  </si>
  <si>
    <t>ccl</t>
  </si>
  <si>
    <t>Carnival Corp</t>
  </si>
  <si>
    <t>boom</t>
  </si>
  <si>
    <t>Dmc Global Inc</t>
  </si>
  <si>
    <t>tgtx</t>
  </si>
  <si>
    <t>TG Therapeutics Inc common stock</t>
  </si>
  <si>
    <t>caap</t>
  </si>
  <si>
    <t>Corporacion America Airports SA</t>
  </si>
  <si>
    <t>mmd</t>
  </si>
  <si>
    <t>Mainstay Macky Dfndtrm Mncpl Opprtnts Fd</t>
  </si>
  <si>
    <t>urgn</t>
  </si>
  <si>
    <t>Urogen Pharma Ltd</t>
  </si>
  <si>
    <t>cemi</t>
  </si>
  <si>
    <t>CIBC Emerging Markets Equity Index ETF</t>
  </si>
  <si>
    <t>dlo</t>
  </si>
  <si>
    <t>Dlocal Ltd</t>
  </si>
  <si>
    <t>tgi</t>
  </si>
  <si>
    <t>Triumph Group Inc</t>
  </si>
  <si>
    <t>uve</t>
  </si>
  <si>
    <t>Universal Insurance Holdings, Inc.</t>
  </si>
  <si>
    <t>mgddy</t>
  </si>
  <si>
    <t>Michelin Compagnie Generale des Etablissements Michelin Unsponsored representing Nom Shares France ADR</t>
  </si>
  <si>
    <t>ecat</t>
  </si>
  <si>
    <t>BlackRock ESG Capital Allocatin Trm Trst</t>
  </si>
  <si>
    <t>bepi</t>
  </si>
  <si>
    <t>Brookfield BRP Holdings Canada 4 875 Perpetual Subordinated Notes</t>
  </si>
  <si>
    <t>brt</t>
  </si>
  <si>
    <t>BRT Apartments Corp</t>
  </si>
  <si>
    <t>fa</t>
  </si>
  <si>
    <t>First Advantage Corp</t>
  </si>
  <si>
    <t>mtw</t>
  </si>
  <si>
    <t>Manitowoc Company Inc</t>
  </si>
  <si>
    <t>cto</t>
  </si>
  <si>
    <t>CTO Realty Growth Inc</t>
  </si>
  <si>
    <t>1.52</t>
  </si>
  <si>
    <t>cert</t>
  </si>
  <si>
    <t>Certara Inc</t>
  </si>
  <si>
    <t>atec</t>
  </si>
  <si>
    <t>Alphatec Holdings Inc</t>
  </si>
  <si>
    <t>nlcp</t>
  </si>
  <si>
    <t>Newlake Capital Partners Inc</t>
  </si>
  <si>
    <t>bhfam</t>
  </si>
  <si>
    <t>Brighthouse Financial DS rep 1 1 000 4 625 Cum Prf Shs Series D</t>
  </si>
  <si>
    <t>ogn</t>
  </si>
  <si>
    <t>Organon &amp; Co</t>
  </si>
  <si>
    <t>fbp</t>
  </si>
  <si>
    <t>First Bancorp</t>
  </si>
  <si>
    <t>irdey</t>
  </si>
  <si>
    <t>Iren SPA Unsponsored Italy ADR</t>
  </si>
  <si>
    <t>pcg</t>
  </si>
  <si>
    <t>PG&amp;E Corp</t>
  </si>
  <si>
    <t>vfc</t>
  </si>
  <si>
    <t>VF Corp</t>
  </si>
  <si>
    <t>wafdp</t>
  </si>
  <si>
    <t>Wafd Depositary Shares</t>
  </si>
  <si>
    <t>ozkap</t>
  </si>
  <si>
    <t>Bank OZK 4 625 Non Cumulative Perpetual Pref Shs Series A</t>
  </si>
  <si>
    <t>jls</t>
  </si>
  <si>
    <t>Nuveen Mortgage and Income Fund</t>
  </si>
  <si>
    <t>ctgo</t>
  </si>
  <si>
    <t>Contango ORE Inc</t>
  </si>
  <si>
    <t>tigo</t>
  </si>
  <si>
    <t>Millicom International Cellular SA</t>
  </si>
  <si>
    <t>eipaf</t>
  </si>
  <si>
    <t>Eni SpA</t>
  </si>
  <si>
    <t>pcb</t>
  </si>
  <si>
    <t>PCB Bancorp</t>
  </si>
  <si>
    <t>zshgy</t>
  </si>
  <si>
    <t>Zhongsheng Group Holdings Unsponsored ADR</t>
  </si>
  <si>
    <t>bwnb</t>
  </si>
  <si>
    <t>Babcock And Wilcox Enterprises 6 50 Senior Notes due 2026</t>
  </si>
  <si>
    <t>gbab</t>
  </si>
  <si>
    <t>Guggenhm Txble Mcpl Bnd &amp; Invt Gd Dt Trt</t>
  </si>
  <si>
    <t>eot</t>
  </si>
  <si>
    <t>Eaton Vance National Municipl Opprtnt Tr</t>
  </si>
  <si>
    <t>esca</t>
  </si>
  <si>
    <t>Escalade Inc</t>
  </si>
  <si>
    <t>bbn</t>
  </si>
  <si>
    <t>Blackrock Taxable Municipal Bond Trust</t>
  </si>
  <si>
    <t>cbkm</t>
  </si>
  <si>
    <t>Consumers Bancorp, Inc.</t>
  </si>
  <si>
    <t>necb</t>
  </si>
  <si>
    <t>Northeast Community Bancorp Inc</t>
  </si>
  <si>
    <t>tyra</t>
  </si>
  <si>
    <t>Tyra Biosciences Inc</t>
  </si>
  <si>
    <t>airt</t>
  </si>
  <si>
    <t>Air T Inc</t>
  </si>
  <si>
    <t>sgml</t>
  </si>
  <si>
    <t>Sigma Lithium Corp</t>
  </si>
  <si>
    <t>virt</t>
  </si>
  <si>
    <t>Virtu Financial Inc</t>
  </si>
  <si>
    <t>mzhof</t>
  </si>
  <si>
    <t>cvbf</t>
  </si>
  <si>
    <t>CVB Financial Corp.</t>
  </si>
  <si>
    <t>gcc</t>
  </si>
  <si>
    <t>WisdomTree Enhanced Commodity Strategy Fund</t>
  </si>
  <si>
    <t>0.62</t>
  </si>
  <si>
    <t>aort</t>
  </si>
  <si>
    <t>Artivion Inc</t>
  </si>
  <si>
    <t>akr</t>
  </si>
  <si>
    <t>Acadia Realty Trust</t>
  </si>
  <si>
    <t>bblgw</t>
  </si>
  <si>
    <t>Bone Biologics</t>
  </si>
  <si>
    <t>rcel</t>
  </si>
  <si>
    <t>AVITA Medical Inc</t>
  </si>
  <si>
    <t>bcyc</t>
  </si>
  <si>
    <t>Bicycle Therapeutics PLC</t>
  </si>
  <si>
    <t>swkh</t>
  </si>
  <si>
    <t>SWK Holdings Corp</t>
  </si>
  <si>
    <t>kmi</t>
  </si>
  <si>
    <t>Kinder Morgan Inc</t>
  </si>
  <si>
    <t>myfw</t>
  </si>
  <si>
    <t>First Western Financial Inc</t>
  </si>
  <si>
    <t>pbr</t>
  </si>
  <si>
    <t>Petroleo Brasileiro ADR Reptg 2 Ord Shs</t>
  </si>
  <si>
    <t>ppery</t>
  </si>
  <si>
    <t>PT Bank Mandiri Persero TBK Unsponsored Indonesia ADR</t>
  </si>
  <si>
    <t>aes</t>
  </si>
  <si>
    <t>AES Corp</t>
  </si>
  <si>
    <t>silc</t>
  </si>
  <si>
    <t>Silicom Ltd</t>
  </si>
  <si>
    <t>spok</t>
  </si>
  <si>
    <t>Spok Holdings Inc</t>
  </si>
  <si>
    <t>bzzuy</t>
  </si>
  <si>
    <t>Buzzi SpA Unsponsored ADR</t>
  </si>
  <si>
    <t>pltr</t>
  </si>
  <si>
    <t>Palantir Technologies Inc</t>
  </si>
  <si>
    <t>ktos</t>
  </si>
  <si>
    <t>Kratos Defense &amp; Security Solutions Inc</t>
  </si>
  <si>
    <t>ftfi</t>
  </si>
  <si>
    <t>First Berlin Bancorp Ord Shs</t>
  </si>
  <si>
    <t>embc</t>
  </si>
  <si>
    <t>Embecta Corp</t>
  </si>
  <si>
    <t>frd</t>
  </si>
  <si>
    <t>Friedman Industries Inc</t>
  </si>
  <si>
    <t>rezi</t>
  </si>
  <si>
    <t>Resideo Technologies Inc</t>
  </si>
  <si>
    <t>furcf</t>
  </si>
  <si>
    <t>Forvia SE</t>
  </si>
  <si>
    <t>dcp</t>
  </si>
  <si>
    <t>Desjardins Canadian Preferred Share Index ETF</t>
  </si>
  <si>
    <t>alex</t>
  </si>
  <si>
    <t>Alexander &amp; Baldwin Inc (Hawaii)</t>
  </si>
  <si>
    <t>mgrd</t>
  </si>
  <si>
    <t>Affiliated Managers Group 4 200 Junior Subordinated Notes due 2061</t>
  </si>
  <si>
    <t>cvr</t>
  </si>
  <si>
    <t>Chicago Rivet &amp; Machine Co.</t>
  </si>
  <si>
    <t>xpro</t>
  </si>
  <si>
    <t>Expro Group Holdings NV</t>
  </si>
  <si>
    <t>eoi</t>
  </si>
  <si>
    <t>Eaton Vance Enhanced Equity Income Fund</t>
  </si>
  <si>
    <t>0.99</t>
  </si>
  <si>
    <t>ypf</t>
  </si>
  <si>
    <t>YPF SA</t>
  </si>
  <si>
    <t>mp</t>
  </si>
  <si>
    <t>Mp Materials Corp</t>
  </si>
  <si>
    <t>eta</t>
  </si>
  <si>
    <t>Paradox Interactive AB (publ)</t>
  </si>
  <si>
    <t>npfd</t>
  </si>
  <si>
    <t>Nuveen Variable Rate Pred &amp; Inc Fund</t>
  </si>
  <si>
    <t>fmfg</t>
  </si>
  <si>
    <t>Farmers and Merchants Bank (Maryland)</t>
  </si>
  <si>
    <t>ue</t>
  </si>
  <si>
    <t>Urban Edge Properties</t>
  </si>
  <si>
    <t>gnk</t>
  </si>
  <si>
    <t>Genco Shipping &amp; Trading Ltd</t>
  </si>
  <si>
    <t>evk</t>
  </si>
  <si>
    <t>Evonik Industries AG</t>
  </si>
  <si>
    <t>cmt</t>
  </si>
  <si>
    <t>Core Molding Technologies, Inc.</t>
  </si>
  <si>
    <t>hqh</t>
  </si>
  <si>
    <t>abrdn Healthcare Investors</t>
  </si>
  <si>
    <t>htgc</t>
  </si>
  <si>
    <t>Hercules Capital Inc</t>
  </si>
  <si>
    <t>rilyn</t>
  </si>
  <si>
    <t>B. Riley Financial 6 50 Senior Notes 2026</t>
  </si>
  <si>
    <t>fpf</t>
  </si>
  <si>
    <t>First Trust Intrmdt Drtn Prfrd &amp; Incm Fd</t>
  </si>
  <si>
    <t>1.37</t>
  </si>
  <si>
    <t>igi</t>
  </si>
  <si>
    <t>Western sst nvstmnt Grd Dfnd pprtnty Trs</t>
  </si>
  <si>
    <t>dbb</t>
  </si>
  <si>
    <t>Invesco DB Base Metals Fund</t>
  </si>
  <si>
    <t>efbi</t>
  </si>
  <si>
    <t>Eagle Financial Bancorp Inc</t>
  </si>
  <si>
    <t>atrob</t>
  </si>
  <si>
    <t>Astronics Corporation Class B</t>
  </si>
  <si>
    <t>plrx</t>
  </si>
  <si>
    <t>Pliant Therapeutics Inc</t>
  </si>
  <si>
    <t>bstz</t>
  </si>
  <si>
    <t>BlackRock Science and Technolgy Trm Trst</t>
  </si>
  <si>
    <t>clbk</t>
  </si>
  <si>
    <t>Columbia Financial Inc</t>
  </si>
  <si>
    <t>fultp</t>
  </si>
  <si>
    <t>Fulton Financial 1 40th DS Cum Prf Shs Series A</t>
  </si>
  <si>
    <t>cps</t>
  </si>
  <si>
    <t>Cooper-Standard Holdings Inc</t>
  </si>
  <si>
    <t>fgfpp</t>
  </si>
  <si>
    <t>FG Financial Group Inc Preferred Shares</t>
  </si>
  <si>
    <t>krnt</t>
  </si>
  <si>
    <t>Kornit Digital Ltd</t>
  </si>
  <si>
    <t>chrb</t>
  </si>
  <si>
    <t>Charah Solutions 8 50 Senior Notes due 2026</t>
  </si>
  <si>
    <t>fdmt</t>
  </si>
  <si>
    <t>4D Molecular Therapeutics Inc</t>
  </si>
  <si>
    <t>somc</t>
  </si>
  <si>
    <t>Southern Michigan Bancorp Inc</t>
  </si>
  <si>
    <t>vtscy</t>
  </si>
  <si>
    <t>Vitesco Technologies Group ADR</t>
  </si>
  <si>
    <t>bntgy</t>
  </si>
  <si>
    <t>Brenntag SE Unsponsored ADR</t>
  </si>
  <si>
    <t>wtre</t>
  </si>
  <si>
    <t>WisdomTree New Economy Real Estate Fund</t>
  </si>
  <si>
    <t>rilyp</t>
  </si>
  <si>
    <t>B Riley Financial DS Representing 1/1000 Cum Pref Series A</t>
  </si>
  <si>
    <t>etg</t>
  </si>
  <si>
    <t>Eaton Vnc Tax-Advntgd Glbl Dvdnd Incm Fd</t>
  </si>
  <si>
    <t>1.14</t>
  </si>
  <si>
    <t>jmsb</t>
  </si>
  <si>
    <t>John Marshall Bancorp Inc</t>
  </si>
  <si>
    <t>natr</t>
  </si>
  <si>
    <t>Nature's Sunshine Products Common Stock</t>
  </si>
  <si>
    <t>laaof</t>
  </si>
  <si>
    <t>Li Auto Inc</t>
  </si>
  <si>
    <t>asan</t>
  </si>
  <si>
    <t>Asana Inc</t>
  </si>
  <si>
    <t>rbb</t>
  </si>
  <si>
    <t>RBB Bancorp</t>
  </si>
  <si>
    <t>nov</t>
  </si>
  <si>
    <t>Nov Inc</t>
  </si>
  <si>
    <t>pegry</t>
  </si>
  <si>
    <t>Pennon Group ADR</t>
  </si>
  <si>
    <t>atro</t>
  </si>
  <si>
    <t>Astronics Corporation</t>
  </si>
  <si>
    <t>cstr</t>
  </si>
  <si>
    <t>Capstar Financial Holdings Inc</t>
  </si>
  <si>
    <t>anyyy</t>
  </si>
  <si>
    <t>Aena SME ADR</t>
  </si>
  <si>
    <t>crt</t>
  </si>
  <si>
    <t>Cross Timbers Royalty Trust</t>
  </si>
  <si>
    <t>1.73</t>
  </si>
  <si>
    <t>zumz</t>
  </si>
  <si>
    <t>Zumiez Inc</t>
  </si>
  <si>
    <t>efscp</t>
  </si>
  <si>
    <t>Enterprise Finl Svcs DRC Rep Non Cum Perp Pfd Series A</t>
  </si>
  <si>
    <t>tu</t>
  </si>
  <si>
    <t>Telus Corp</t>
  </si>
  <si>
    <t>1.08</t>
  </si>
  <si>
    <t>ibex</t>
  </si>
  <si>
    <t>Ibex Ltd</t>
  </si>
  <si>
    <t>etx</t>
  </si>
  <si>
    <t>Eaton Vance Municipal Incm 2028 Trm Trst</t>
  </si>
  <si>
    <t>0.74</t>
  </si>
  <si>
    <t>eurn</t>
  </si>
  <si>
    <t>Euronav NV</t>
  </si>
  <si>
    <t>istr</t>
  </si>
  <si>
    <t>Investar Holding Corp</t>
  </si>
  <si>
    <t>nclh</t>
  </si>
  <si>
    <t>Norwegian Cruise Line Holdings Ltd</t>
  </si>
  <si>
    <t>cfnb</t>
  </si>
  <si>
    <t>California First Leasing Corp</t>
  </si>
  <si>
    <t>mxl</t>
  </si>
  <si>
    <t>Maxlinear Inc</t>
  </si>
  <si>
    <t>pmts</t>
  </si>
  <si>
    <t>CPI Card Group Inc</t>
  </si>
  <si>
    <t>nymtz</t>
  </si>
  <si>
    <t>New York Mortgage Trust 7 000 Cumul Redeem Pref Shs Series G</t>
  </si>
  <si>
    <t>biph</t>
  </si>
  <si>
    <t>Brookfield Infrastructure Fin Sub Notes</t>
  </si>
  <si>
    <t>t</t>
  </si>
  <si>
    <t>AT&amp;T Inc</t>
  </si>
  <si>
    <t>chwy</t>
  </si>
  <si>
    <t>Chewy Inc</t>
  </si>
  <si>
    <t>timb</t>
  </si>
  <si>
    <t>Tim SA</t>
  </si>
  <si>
    <t>ptbry</t>
  </si>
  <si>
    <t>Pt Bank Negara Indonesia Persero Unsponsored Indonesia ADR</t>
  </si>
  <si>
    <t>atat</t>
  </si>
  <si>
    <t>Atour Lifestyle Holdings Ltd - ADR</t>
  </si>
  <si>
    <t>bipi</t>
  </si>
  <si>
    <t>BIP Bermuda Holdings I 5 125 Perpetual Subordinated Notes</t>
  </si>
  <si>
    <t>dq</t>
  </si>
  <si>
    <t>Daqo New Energy Corp</t>
  </si>
  <si>
    <t>rely</t>
  </si>
  <si>
    <t>Remitly Global Inc</t>
  </si>
  <si>
    <t>dcomp</t>
  </si>
  <si>
    <t>Dime Community Bancshares Cumulative Perpetual Pref Shs Series A</t>
  </si>
  <si>
    <t>lmnr</t>
  </si>
  <si>
    <t>Limoneira Co</t>
  </si>
  <si>
    <t>tpta</t>
  </si>
  <si>
    <t>Terra Property Trust 6.00% Notes due 2026</t>
  </si>
  <si>
    <t>blfs</t>
  </si>
  <si>
    <t>BioLife Solutions Inc</t>
  </si>
  <si>
    <t>avte</t>
  </si>
  <si>
    <t>Aerovate Therapeutics Inc</t>
  </si>
  <si>
    <t>zimv</t>
  </si>
  <si>
    <t>ZimVie Inc</t>
  </si>
  <si>
    <t>cinc</t>
  </si>
  <si>
    <t>CI DoubleLine Income US$ Series ETF CAD Hedged</t>
  </si>
  <si>
    <t>sodi</t>
  </si>
  <si>
    <t>Solitron Devices Inc</t>
  </si>
  <si>
    <t>opof</t>
  </si>
  <si>
    <t>Old Point Financial Corp</t>
  </si>
  <si>
    <t>erj</t>
  </si>
  <si>
    <t>Embraer SA</t>
  </si>
  <si>
    <t>mcaf</t>
  </si>
  <si>
    <t>Mountain Crest Acquisition Corp IV</t>
  </si>
  <si>
    <t>cmtv</t>
  </si>
  <si>
    <t>Community Bancorp. (VT) Common Stock</t>
  </si>
  <si>
    <t>udn</t>
  </si>
  <si>
    <t>Invesco DB US Dollar Index Bearish Fund</t>
  </si>
  <si>
    <t>alot</t>
  </si>
  <si>
    <t>AstroNova Inc</t>
  </si>
  <si>
    <t>pkbk</t>
  </si>
  <si>
    <t>Parke Bancorp, Inc.</t>
  </si>
  <si>
    <t>cmhf</t>
  </si>
  <si>
    <t>Community Heritage Financial Ord Shs</t>
  </si>
  <si>
    <t>prdo</t>
  </si>
  <si>
    <t>Perdoceo Education Corp</t>
  </si>
  <si>
    <t>orxcf</t>
  </si>
  <si>
    <t>ORIX Corp</t>
  </si>
  <si>
    <t>au</t>
  </si>
  <si>
    <t>Anglogold Ashanti PLC</t>
  </si>
  <si>
    <t>0.22</t>
  </si>
  <si>
    <t>amx</t>
  </si>
  <si>
    <t>America Movil SAB de CV</t>
  </si>
  <si>
    <t>metc</t>
  </si>
  <si>
    <t>Ramaco Resources Inc Class A</t>
  </si>
  <si>
    <t>erkh</t>
  </si>
  <si>
    <t>Eureka Homestead Bancorp Inc</t>
  </si>
  <si>
    <t>lake</t>
  </si>
  <si>
    <t>Lakeland Industries, Inc.</t>
  </si>
  <si>
    <t>amcx</t>
  </si>
  <si>
    <t>AMC NETWORKS INC Common Stock</t>
  </si>
  <si>
    <t>crcby</t>
  </si>
  <si>
    <t>Chongqing Rural Commercial Bank ADR</t>
  </si>
  <si>
    <t>jwn</t>
  </si>
  <si>
    <t>Nordstrom Inc</t>
  </si>
  <si>
    <t>hnvr</t>
  </si>
  <si>
    <t>Hanover Bancorp Inc (MINEOLA)</t>
  </si>
  <si>
    <t>nus</t>
  </si>
  <si>
    <t>Nu Skin Enterprises, Inc.</t>
  </si>
  <si>
    <t>wtba</t>
  </si>
  <si>
    <t>West Bancorporation Inc</t>
  </si>
  <si>
    <t>ntst</t>
  </si>
  <si>
    <t>NetSTREIT Corp</t>
  </si>
  <si>
    <t>nlok</t>
  </si>
  <si>
    <t>Gen Digital Inc</t>
  </si>
  <si>
    <t>nomd</t>
  </si>
  <si>
    <t>Nomad Foods Ltd</t>
  </si>
  <si>
    <t>mara</t>
  </si>
  <si>
    <t>Marathon Digital Holdings Inc</t>
  </si>
  <si>
    <t>stne</t>
  </si>
  <si>
    <t>StoneCo Ltd</t>
  </si>
  <si>
    <t>fcco</t>
  </si>
  <si>
    <t>First Community Corp (South Carolina)</t>
  </si>
  <si>
    <t>sri</t>
  </si>
  <si>
    <t>Stoneridge Inc</t>
  </si>
  <si>
    <t>stbi</t>
  </si>
  <si>
    <t>Sturgis Bancorp Inc</t>
  </si>
  <si>
    <t>xrx</t>
  </si>
  <si>
    <t>Xerox Holdings Corp</t>
  </si>
  <si>
    <t>mhnc</t>
  </si>
  <si>
    <t>Maiden Holdings North America 7.75% Notes Exp 01 DEC 2043</t>
  </si>
  <si>
    <t>mci</t>
  </si>
  <si>
    <t>Barings Corporate Investors</t>
  </si>
  <si>
    <t>rf</t>
  </si>
  <si>
    <t>Regions Financial Corp</t>
  </si>
  <si>
    <t>0.93</t>
  </si>
  <si>
    <t>cvcy</t>
  </si>
  <si>
    <t>Central Valley Community Bancorp</t>
  </si>
  <si>
    <t>hbb</t>
  </si>
  <si>
    <t>Hamilton Beach Brands Holding Co</t>
  </si>
  <si>
    <t>vrna</t>
  </si>
  <si>
    <t>Verona Pharma PLC - ADR</t>
  </si>
  <si>
    <t>peak</t>
  </si>
  <si>
    <t>Healthpeak Properties Inc</t>
  </si>
  <si>
    <t>ipi</t>
  </si>
  <si>
    <t>Intrepid Potash Inc</t>
  </si>
  <si>
    <t>cplp</t>
  </si>
  <si>
    <t>Capital Product Partners L.P.</t>
  </si>
  <si>
    <t>knsa</t>
  </si>
  <si>
    <t>Kiniksa Pharmaceuticals Ltd</t>
  </si>
  <si>
    <t>iep</t>
  </si>
  <si>
    <t>Icahn Enterprises LP Common Stock</t>
  </si>
  <si>
    <t>sfnc</t>
  </si>
  <si>
    <t>Simmons First National Corp</t>
  </si>
  <si>
    <t>uzf</t>
  </si>
  <si>
    <t>United States Cellular 5 500 Senior Notes Due 2070</t>
  </si>
  <si>
    <t>ffa</t>
  </si>
  <si>
    <t>First Trust Enhanced Equity Income Fund</t>
  </si>
  <si>
    <t>1.16</t>
  </si>
  <si>
    <t>hovnp</t>
  </si>
  <si>
    <t>Hovnanian Enterprises 1000 Depositary Shares Representing 1 7.625% Pref Shs Series A</t>
  </si>
  <si>
    <t>bmea</t>
  </si>
  <si>
    <t>Biomea Fusion Inc</t>
  </si>
  <si>
    <t>lfmdp</t>
  </si>
  <si>
    <t>LifeMD 8.875 Cumulative Perpetual Pref Shs Series A</t>
  </si>
  <si>
    <t>thq</t>
  </si>
  <si>
    <t>abrdn Healthcare Opportunities Fund</t>
  </si>
  <si>
    <t>kkoyf</t>
  </si>
  <si>
    <t>Kesko Oyj Class B</t>
  </si>
  <si>
    <t>adx</t>
  </si>
  <si>
    <t>Adams Diversified Equity Fund Inc</t>
  </si>
  <si>
    <t>cars</t>
  </si>
  <si>
    <t>Cars.com Inc</t>
  </si>
  <si>
    <t>uze</t>
  </si>
  <si>
    <t>United States Cellular Corporation 5.500% Senior Notes due 2070</t>
  </si>
  <si>
    <t>rdvt</t>
  </si>
  <si>
    <t>Red Violet Inc</t>
  </si>
  <si>
    <t>cef</t>
  </si>
  <si>
    <t>Sprott Physical Gold and Silver Trust</t>
  </si>
  <si>
    <t>ewtx</t>
  </si>
  <si>
    <t>Edgewise Therapeutics Inc</t>
  </si>
  <si>
    <t>ruby</t>
  </si>
  <si>
    <t>RBC U.S. Banks Yield Index ETF</t>
  </si>
  <si>
    <t>banx</t>
  </si>
  <si>
    <t>Arrowmark Financial Corp</t>
  </si>
  <si>
    <t>utz</t>
  </si>
  <si>
    <t>Utz Brands Inc</t>
  </si>
  <si>
    <t>eno</t>
  </si>
  <si>
    <t>Elecnor SA</t>
  </si>
  <si>
    <t>m</t>
  </si>
  <si>
    <t>Macy's Inc</t>
  </si>
  <si>
    <t>rilyk</t>
  </si>
  <si>
    <t>B Riley Financial 5.50% Senior Notes Due 2026</t>
  </si>
  <si>
    <t>pta</t>
  </si>
  <si>
    <t>Cohen &amp; Steers Tax-Adv Pref Secs and Inc Fund</t>
  </si>
  <si>
    <t>essa</t>
  </si>
  <si>
    <t>ESSA Bancorp Inc</t>
  </si>
  <si>
    <t>jpi</t>
  </si>
  <si>
    <t>Nuveen Preferred and Income Term Fund</t>
  </si>
  <si>
    <t>tost</t>
  </si>
  <si>
    <t>Toast Inc</t>
  </si>
  <si>
    <t>igld</t>
  </si>
  <si>
    <t>FT Vest Gold Strategy Target Income ETF</t>
  </si>
  <si>
    <t>bmrc</t>
  </si>
  <si>
    <t>Bank of Marin Bancorp</t>
  </si>
  <si>
    <t>avns</t>
  </si>
  <si>
    <t>Avanos Medical Inc</t>
  </si>
  <si>
    <t>xncr</t>
  </si>
  <si>
    <t>Xencor Inc</t>
  </si>
  <si>
    <t>rdwr</t>
  </si>
  <si>
    <t>Radware Ltd</t>
  </si>
  <si>
    <t>bsac</t>
  </si>
  <si>
    <t>Banco Santander-Chile</t>
  </si>
  <si>
    <t>aaoi</t>
  </si>
  <si>
    <t>Applied Optoelectronics Inc</t>
  </si>
  <si>
    <t>ceva</t>
  </si>
  <si>
    <t>Ceva Inc</t>
  </si>
  <si>
    <t>vrdn</t>
  </si>
  <si>
    <t>Viridian Therapeutics Inc</t>
  </si>
  <si>
    <t>fti</t>
  </si>
  <si>
    <t>TechnipFMC PLC</t>
  </si>
  <si>
    <t>we</t>
  </si>
  <si>
    <t>Wework Inc</t>
  </si>
  <si>
    <t>ltsl</t>
  </si>
  <si>
    <t>Ladenburg Thalmann Financial Services Senior Notes Due 2027</t>
  </si>
  <si>
    <t>ltsh</t>
  </si>
  <si>
    <t>Ladenburg Thalmann Financial Services 7.75% Senior Notes Exp 31 May 2029</t>
  </si>
  <si>
    <t>rgco</t>
  </si>
  <si>
    <t>RGC Resources Inc</t>
  </si>
  <si>
    <t>eqc</t>
  </si>
  <si>
    <t>Equity Commonwealth</t>
  </si>
  <si>
    <t>4.25</t>
  </si>
  <si>
    <t>yndx</t>
  </si>
  <si>
    <t>Yandex NV</t>
  </si>
  <si>
    <t>lspd</t>
  </si>
  <si>
    <t>Lightspeed Commerce Inc</t>
  </si>
  <si>
    <t>fet</t>
  </si>
  <si>
    <t>Forum Energy Technologies Inc</t>
  </si>
  <si>
    <t>mxf</t>
  </si>
  <si>
    <t>Mexico Fund, Inc. (The) Common Stock</t>
  </si>
  <si>
    <t>fmbm</t>
  </si>
  <si>
    <t>F &amp; M Bank Corp</t>
  </si>
  <si>
    <t>jeld</t>
  </si>
  <si>
    <t>Jeld-Wen Holding Inc</t>
  </si>
  <si>
    <t>jamf</t>
  </si>
  <si>
    <t>Jamf Holding Corp</t>
  </si>
  <si>
    <t>mnsb</t>
  </si>
  <si>
    <t>MainStreet Bancshares Inc</t>
  </si>
  <si>
    <t>ethe</t>
  </si>
  <si>
    <t>Grayscale Ethereum Trust (ETH)</t>
  </si>
  <si>
    <t>tcbio</t>
  </si>
  <si>
    <t>Texas Capital Bancshares Depositary Shares 5 75 Non Cum Pref Shs Series B</t>
  </si>
  <si>
    <t>mat</t>
  </si>
  <si>
    <t>Mattel Inc</t>
  </si>
  <si>
    <t>sohob</t>
  </si>
  <si>
    <t>Sotherly Hotels Inc 8.0% Preferred Shares Series B</t>
  </si>
  <si>
    <t>gne</t>
  </si>
  <si>
    <t>Genie Energy Ltd</t>
  </si>
  <si>
    <t>ptmn</t>
  </si>
  <si>
    <t>Portman Ridge Finance Corp</t>
  </si>
  <si>
    <t>htd</t>
  </si>
  <si>
    <t>John Hancock Tx dvntgd Dvdnd ncm Fnd</t>
  </si>
  <si>
    <t>aio</t>
  </si>
  <si>
    <t>Virtus Artfcl Intllgnc &amp; Tchnlgy Oppt Fd</t>
  </si>
  <si>
    <t>rsmdf</t>
  </si>
  <si>
    <t>Resmed CDI</t>
  </si>
  <si>
    <t>hfwa</t>
  </si>
  <si>
    <t>Heritage Financial Corp</t>
  </si>
  <si>
    <t>mye</t>
  </si>
  <si>
    <t>Myers Industries, Inc.</t>
  </si>
  <si>
    <t>wen</t>
  </si>
  <si>
    <t>Wendys Co</t>
  </si>
  <si>
    <t>ttec</t>
  </si>
  <si>
    <t>TTEC Holdings Inc</t>
  </si>
  <si>
    <t>usap</t>
  </si>
  <si>
    <t>Universal Stainless &amp; Alloy Products Inc</t>
  </si>
  <si>
    <t>wldn</t>
  </si>
  <si>
    <t>Willdan Group, Inc.</t>
  </si>
  <si>
    <t>drs</t>
  </si>
  <si>
    <t>Leonardo DRS Inc</t>
  </si>
  <si>
    <t>reai</t>
  </si>
  <si>
    <t>Intelligent Real Estate ETF</t>
  </si>
  <si>
    <t>tipt</t>
  </si>
  <si>
    <t>Tiptree Inc</t>
  </si>
  <si>
    <t>ay</t>
  </si>
  <si>
    <t>Atlantica Sustainable Infrastructure PLC</t>
  </si>
  <si>
    <t>1.78</t>
  </si>
  <si>
    <t>vrex</t>
  </si>
  <si>
    <t>Varex Imaging Corp</t>
  </si>
  <si>
    <t>cnobp</t>
  </si>
  <si>
    <t>Connectone Bancorp New Depositary Shs Rep A 1 40Th Non Cm Perp Pref Shs Series A</t>
  </si>
  <si>
    <t>cii</t>
  </si>
  <si>
    <t>BlackRock Enhancd Cptl And Incm Fund Inc</t>
  </si>
  <si>
    <t>mrtn</t>
  </si>
  <si>
    <t>Marten Transport Ltd</t>
  </si>
  <si>
    <t>tds</t>
  </si>
  <si>
    <t>Telephone and Data Systems Inc</t>
  </si>
  <si>
    <t>iiiv</t>
  </si>
  <si>
    <t>i3 Verticals Inc</t>
  </si>
  <si>
    <t>cstm</t>
  </si>
  <si>
    <t>Constellium SE</t>
  </si>
  <si>
    <t>cpkf</t>
  </si>
  <si>
    <t>Chesapeake Financial Shares Inc</t>
  </si>
  <si>
    <t>ldp</t>
  </si>
  <si>
    <t>Cohen &amp; Steers Ltd DrtnPrfrrd&amp;IncmFndInc</t>
  </si>
  <si>
    <t>bxmt</t>
  </si>
  <si>
    <t>Blackstone Mortgage Trust Inc</t>
  </si>
  <si>
    <t>cwan</t>
  </si>
  <si>
    <t>Clearwater Analytics Holdings Inc</t>
  </si>
  <si>
    <t>nly</t>
  </si>
  <si>
    <t>Annaly Capital Management, Inc.</t>
  </si>
  <si>
    <t>fdus</t>
  </si>
  <si>
    <t>Fidus Investment Corp</t>
  </si>
  <si>
    <t>dbe</t>
  </si>
  <si>
    <t>Invesco DB Energy Fund</t>
  </si>
  <si>
    <t>mgrb</t>
  </si>
  <si>
    <t>Affiliated Managers Group 4 750 Junior Subordinated Notes due 2060</t>
  </si>
  <si>
    <t>nymtl</t>
  </si>
  <si>
    <t>New York Mortgage Trust 6 875 Cumulative Red Pref Shs Series F</t>
  </si>
  <si>
    <t>slm</t>
  </si>
  <si>
    <t>SLM Corp</t>
  </si>
  <si>
    <t>fms</t>
  </si>
  <si>
    <t>Fresenius Medical Care AG</t>
  </si>
  <si>
    <t>arr</t>
  </si>
  <si>
    <t>ARMOUR Residential REIT, Inc.</t>
  </si>
  <si>
    <t>4.58</t>
  </si>
  <si>
    <t>viasp</t>
  </si>
  <si>
    <t>Via Renewables 8.75 Fixed to Floating Cumulative Redeemable Perpetual Pref Shs Series A</t>
  </si>
  <si>
    <t>bsrr</t>
  </si>
  <si>
    <t>Sierra Bancorp</t>
  </si>
  <si>
    <t>hbanp</t>
  </si>
  <si>
    <t>Huntington Bancshares 4.500 Depositary Shares Rep Perp Prf Shs Series H</t>
  </si>
  <si>
    <t>ccoey</t>
  </si>
  <si>
    <t>Capcom ADR</t>
  </si>
  <si>
    <t>tcbx</t>
  </si>
  <si>
    <t>Third Coast Bancshares Inc</t>
  </si>
  <si>
    <t>cpf</t>
  </si>
  <si>
    <t>Central Pacific Financial Corp.</t>
  </si>
  <si>
    <t>1.04</t>
  </si>
  <si>
    <t>mlp</t>
  </si>
  <si>
    <t>Maui Land &amp; Pineapple Company Inc</t>
  </si>
  <si>
    <t>ung</t>
  </si>
  <si>
    <t>United States Natural Gas Fund, LP</t>
  </si>
  <si>
    <t>svv</t>
  </si>
  <si>
    <t>Savers Value Village Inc</t>
  </si>
  <si>
    <t>cncl</t>
  </si>
  <si>
    <t>Horizons Enhanced Canadian Lrg Cap Eq Cov Call ETF</t>
  </si>
  <si>
    <t>smtc</t>
  </si>
  <si>
    <t>Semtech Corp</t>
  </si>
  <si>
    <t>pdi</t>
  </si>
  <si>
    <t>PIMCO Dynamic Income Fund</t>
  </si>
  <si>
    <t>revg</t>
  </si>
  <si>
    <t>Rev Group Inc</t>
  </si>
  <si>
    <t>eos</t>
  </si>
  <si>
    <t>Eaton Vance Enhanced Equity Incme Fnd II</t>
  </si>
  <si>
    <t>hst</t>
  </si>
  <si>
    <t>Host Hotels &amp; Resorts Inc</t>
  </si>
  <si>
    <t>hbt</t>
  </si>
  <si>
    <t>HBT Financial Inc</t>
  </si>
  <si>
    <t>sgol</t>
  </si>
  <si>
    <t>abrdn Physical Gold Shares ETF</t>
  </si>
  <si>
    <t>scor</t>
  </si>
  <si>
    <t>COMSCORE, Inc.</t>
  </si>
  <si>
    <t>colb</t>
  </si>
  <si>
    <t>Columbia Banking System Inc</t>
  </si>
  <si>
    <t>edn</t>
  </si>
  <si>
    <t>Empresa Distribuidora y Cmrz Nrt SA</t>
  </si>
  <si>
    <t>nams</t>
  </si>
  <si>
    <t>NewAmsterdam Pharma Company NV</t>
  </si>
  <si>
    <t>psf</t>
  </si>
  <si>
    <t>Cohen &amp; Strs Slct Prfrrd nd ncm Fnd nc</t>
  </si>
  <si>
    <t>lbtya</t>
  </si>
  <si>
    <t>Liberty Global Ltd Class A</t>
  </si>
  <si>
    <t>afge</t>
  </si>
  <si>
    <t>American Financial Group 4 500 Subordinated Debentures due 2060</t>
  </si>
  <si>
    <t>you</t>
  </si>
  <si>
    <t>Clear Secure Inc</t>
  </si>
  <si>
    <t>dnbby</t>
  </si>
  <si>
    <t>DNB BK ASA Sponsored ADR</t>
  </si>
  <si>
    <t>ifn</t>
  </si>
  <si>
    <t>The India Fund, Inc. Common Stock</t>
  </si>
  <si>
    <t>axr</t>
  </si>
  <si>
    <t>AMREP Corp</t>
  </si>
  <si>
    <t>zionp</t>
  </si>
  <si>
    <t>Zions Bancorporation NA Preference Shares Series A</t>
  </si>
  <si>
    <t>omi</t>
  </si>
  <si>
    <t>Owens &amp; Minor, Inc.</t>
  </si>
  <si>
    <t>cae</t>
  </si>
  <si>
    <t>Cae Inc</t>
  </si>
  <si>
    <t>eltk</t>
  </si>
  <si>
    <t>Eltek Ltd</t>
  </si>
  <si>
    <t>atlo</t>
  </si>
  <si>
    <t>Ames National Corporation</t>
  </si>
  <si>
    <t>ssti</t>
  </si>
  <si>
    <t>SoundThinking Inc</t>
  </si>
  <si>
    <t>avbh</t>
  </si>
  <si>
    <t>Avidbank Holdings, Inc. Common Stock</t>
  </si>
  <si>
    <t>ounz</t>
  </si>
  <si>
    <t>VanEck Merk Gold Trust</t>
  </si>
  <si>
    <t>ocsl</t>
  </si>
  <si>
    <t>Oaktree Specialty Lending Corp</t>
  </si>
  <si>
    <t>cgrn</t>
  </si>
  <si>
    <t>CI Global Sustainable Infrastructure ETF C$ Series</t>
  </si>
  <si>
    <t>drq</t>
  </si>
  <si>
    <t>Dril-Quip Inc</t>
  </si>
  <si>
    <t>thptf</t>
  </si>
  <si>
    <t>Techpoint Inc (JDR)</t>
  </si>
  <si>
    <t>ghm</t>
  </si>
  <si>
    <t>Graham Corp</t>
  </si>
  <si>
    <t>tdoc</t>
  </si>
  <si>
    <t>Teladoc Health Inc</t>
  </si>
  <si>
    <t>flnc</t>
  </si>
  <si>
    <t>Fluence Energy Inc</t>
  </si>
  <si>
    <t>fisi</t>
  </si>
  <si>
    <t>Financial Institutions Inc</t>
  </si>
  <si>
    <t>gps</t>
  </si>
  <si>
    <t>Gap Inc</t>
  </si>
  <si>
    <t>0.59 (3.08%)</t>
  </si>
  <si>
    <t>lbph</t>
  </si>
  <si>
    <t>Longboard Pharmaceuticals Inc</t>
  </si>
  <si>
    <t>mdu</t>
  </si>
  <si>
    <t>Mdu Resources Group Inc</t>
  </si>
  <si>
    <t>mtg</t>
  </si>
  <si>
    <t>MGIC Investment Corp</t>
  </si>
  <si>
    <t>manu</t>
  </si>
  <si>
    <t>Manchester United PLC</t>
  </si>
  <si>
    <t>lbrt</t>
  </si>
  <si>
    <t>Liberty Energy Inc</t>
  </si>
  <si>
    <t>kkrs</t>
  </si>
  <si>
    <t>KKR Group Finance Co IX 4.625% Subordinated Notes due 2061</t>
  </si>
  <si>
    <t>fonr</t>
  </si>
  <si>
    <t>Fonar Corp</t>
  </si>
  <si>
    <t>glaxf</t>
  </si>
  <si>
    <t>GSK plc</t>
  </si>
  <si>
    <t>cnx</t>
  </si>
  <si>
    <t>CNX Resources Corp</t>
  </si>
  <si>
    <t>bwsn</t>
  </si>
  <si>
    <t>Babcock And Wilcox Enterprises 8 125 Senior Notes due 2026</t>
  </si>
  <si>
    <t>cgabl</t>
  </si>
  <si>
    <t>Carlyle Group 4 625 Subordinated Notes due 2061</t>
  </si>
  <si>
    <t>stwd</t>
  </si>
  <si>
    <t>Starwood Property Trust Inc</t>
  </si>
  <si>
    <t>bwbbp</t>
  </si>
  <si>
    <t>Bridgewater Bancshares DS 1 100th Int 5 875 Non Cumu Perpl Prf Shs Series A</t>
  </si>
  <si>
    <t>coco</t>
  </si>
  <si>
    <t>Vita Coco Company Inc</t>
  </si>
  <si>
    <t>sncrl</t>
  </si>
  <si>
    <t>Synchronoss Technologies 8 375 Senior Notes due 2026</t>
  </si>
  <si>
    <t>dbrg</t>
  </si>
  <si>
    <t>DigitalBridge Group Inc</t>
  </si>
  <si>
    <t>olp</t>
  </si>
  <si>
    <t>One Liberty Properties, Inc.</t>
  </si>
  <si>
    <t>mgy</t>
  </si>
  <si>
    <t>Magnolia Oil &amp; Gas Corp</t>
  </si>
  <si>
    <t>glbl</t>
  </si>
  <si>
    <t>SPDR Bloomberg Global Aggrt Bd UCITS ETF Dist</t>
  </si>
  <si>
    <t>bncdy</t>
  </si>
  <si>
    <t>Banca Mediolanum SPA Unsponsored Italy ADR</t>
  </si>
  <si>
    <t>cyccp</t>
  </si>
  <si>
    <t>Cyclacel Pharmaceuticals Inc Conv. Pref. Shrs</t>
  </si>
  <si>
    <t>bcml</t>
  </si>
  <si>
    <t>BayCom Corp</t>
  </si>
  <si>
    <t>afya</t>
  </si>
  <si>
    <t>Afya Ltd</t>
  </si>
  <si>
    <t>fxnc</t>
  </si>
  <si>
    <t>First National Corp</t>
  </si>
  <si>
    <t>toyof</t>
  </si>
  <si>
    <t>Toyota Motor Corp</t>
  </si>
  <si>
    <t>zsl</t>
  </si>
  <si>
    <t>ProShares UltraShort Silver ETF</t>
  </si>
  <si>
    <t>bar</t>
  </si>
  <si>
    <t>GraniteShares Gold Trust</t>
  </si>
  <si>
    <t>sph</t>
  </si>
  <si>
    <t>Suburban Propane Partners LP</t>
  </si>
  <si>
    <t>sgh</t>
  </si>
  <si>
    <t>SMART Global Holdings Inc.</t>
  </si>
  <si>
    <t>vbtx</t>
  </si>
  <si>
    <t>Veritex Holdings Inc</t>
  </si>
  <si>
    <t>oii</t>
  </si>
  <si>
    <t>Oceaneering International Inc</t>
  </si>
  <si>
    <t>aaau</t>
  </si>
  <si>
    <t>Goldman Sachs Physical Gold ETF</t>
  </si>
  <si>
    <t>OTC</t>
  </si>
  <si>
    <t>pycr</t>
  </si>
  <si>
    <t>Paycor HCM Inc</t>
  </si>
  <si>
    <t>arcc</t>
  </si>
  <si>
    <t>Ares Capital Corporation</t>
  </si>
  <si>
    <t>kim</t>
  </si>
  <si>
    <t>Kimco Realty Corp</t>
  </si>
  <si>
    <t>xoma</t>
  </si>
  <si>
    <t>XOMA Corp</t>
  </si>
  <si>
    <t>ebbnf</t>
  </si>
  <si>
    <t>Enbridge Cumulative Redeemable Pref Shs Series L</t>
  </si>
  <si>
    <t>eye</t>
  </si>
  <si>
    <t>National Vision Holdings Inc</t>
  </si>
  <si>
    <t>shen</t>
  </si>
  <si>
    <t>Shenandoah Telecommunications Co</t>
  </si>
  <si>
    <t>lbtyb</t>
  </si>
  <si>
    <t>Liberty Global Ltd Class B</t>
  </si>
  <si>
    <t>ptsi</t>
  </si>
  <si>
    <t>P.A.M. Transportation Services, Inc.</t>
  </si>
  <si>
    <t>rily</t>
  </si>
  <si>
    <t>B Riley Financial Inc</t>
  </si>
  <si>
    <t>iijif</t>
  </si>
  <si>
    <t>Internet Initiative Japan Inc.</t>
  </si>
  <si>
    <t>jjntf</t>
  </si>
  <si>
    <t>Barclays Bk PLC iPath Bloomberg Nickel Subindex Total Return ETN Exp 22nd Oct 2037</t>
  </si>
  <si>
    <t>lnvgy</t>
  </si>
  <si>
    <t>iaum</t>
  </si>
  <si>
    <t>iShares Gold Trust Micro</t>
  </si>
  <si>
    <t>clf</t>
  </si>
  <si>
    <t>Cleveland-Cliffs Inc</t>
  </si>
  <si>
    <t>ebf</t>
  </si>
  <si>
    <t>Ennis Inc</t>
  </si>
  <si>
    <t>ccsi</t>
  </si>
  <si>
    <t>Consensus Cloud Solutions Inc</t>
  </si>
  <si>
    <t>acgln</t>
  </si>
  <si>
    <t>Arch Capital Group Depositary Shares Rep1000 Non Cumu Pref Shs Series G</t>
  </si>
  <si>
    <t>infy</t>
  </si>
  <si>
    <t>Infosys Ltd ADR</t>
  </si>
  <si>
    <t>uvsp</t>
  </si>
  <si>
    <t>Univest Financial Corp</t>
  </si>
  <si>
    <t>corn</t>
  </si>
  <si>
    <t>Teucrium Corn Fund</t>
  </si>
  <si>
    <t>gsg</t>
  </si>
  <si>
    <t>iShares S&amp;P GSCI Commodity-Indexed Trust ETF</t>
  </si>
  <si>
    <t>crnc</t>
  </si>
  <si>
    <t>Cerence Inc</t>
  </si>
  <si>
    <t>antx</t>
  </si>
  <si>
    <t>AN2 Therapeutics Inc</t>
  </si>
  <si>
    <t>ctre</t>
  </si>
  <si>
    <t>Caretrust REIT Inc</t>
  </si>
  <si>
    <t>bhfan</t>
  </si>
  <si>
    <t>Brighthouse Financial 1000 DS Repstg Non Cum Pfd Ser C</t>
  </si>
  <si>
    <t>ryaof</t>
  </si>
  <si>
    <t>Ryanair Holdings plc</t>
  </si>
  <si>
    <t>rnp</t>
  </si>
  <si>
    <t>Cohen &amp; Strs Reit nd Prfd nd Incm Fd Inc</t>
  </si>
  <si>
    <t>sco</t>
  </si>
  <si>
    <t>ProShares UltraShort Bloomberg Crude Oil</t>
  </si>
  <si>
    <t>fsk</t>
  </si>
  <si>
    <t>FS KKR Capital Corp</t>
  </si>
  <si>
    <t>2.54</t>
  </si>
  <si>
    <t>rilyl</t>
  </si>
  <si>
    <t>B Riley Financial Depository Shares</t>
  </si>
  <si>
    <t>gpre</t>
  </si>
  <si>
    <t>Green Plains Inc</t>
  </si>
  <si>
    <t>thnpy</t>
  </si>
  <si>
    <t>TECHNIP ENERGIES NV Sponsored ADR</t>
  </si>
  <si>
    <t>dwnx</t>
  </si>
  <si>
    <t>DELHI BK Ord Shs</t>
  </si>
  <si>
    <t>edry</t>
  </si>
  <si>
    <t>EuroDry Ltd</t>
  </si>
  <si>
    <t>pwod</t>
  </si>
  <si>
    <t>Penns Woods Bancorp, Inc.</t>
  </si>
  <si>
    <t>sibn</t>
  </si>
  <si>
    <t>SI-Bone Inc</t>
  </si>
  <si>
    <t>str</t>
  </si>
  <si>
    <t>Sitio Royalties Corp</t>
  </si>
  <si>
    <t>cbnk</t>
  </si>
  <si>
    <t>Capital Bancorp Inc</t>
  </si>
  <si>
    <t>asb</t>
  </si>
  <si>
    <t>Associated Banc-Corp</t>
  </si>
  <si>
    <t>rylpf</t>
  </si>
  <si>
    <t>Koninklijke Philips NV</t>
  </si>
  <si>
    <t>msb</t>
  </si>
  <si>
    <t>Mesabi Trust</t>
  </si>
  <si>
    <t>peo</t>
  </si>
  <si>
    <t>Adams Natural Resources Fund Inc</t>
  </si>
  <si>
    <t>cznc</t>
  </si>
  <si>
    <t>Citizens &amp; Northern Corporation</t>
  </si>
  <si>
    <t>gsl</t>
  </si>
  <si>
    <t>Global Ship Lease Inc</t>
  </si>
  <si>
    <t>aizn</t>
  </si>
  <si>
    <t>Assurant 5 25 Subordinated Notes due 2061</t>
  </si>
  <si>
    <t>atgff</t>
  </si>
  <si>
    <t>Altagas Ltd</t>
  </si>
  <si>
    <t>cubb</t>
  </si>
  <si>
    <t>Customers Bancorp 5.375% Subordinated Notes Exp 2034</t>
  </si>
  <si>
    <t>thnpf</t>
  </si>
  <si>
    <t>Technip Energies NV</t>
  </si>
  <si>
    <t>tmst</t>
  </si>
  <si>
    <t>Timkensteel Corp</t>
  </si>
  <si>
    <t>prva</t>
  </si>
  <si>
    <t>Privia Health Group Inc</t>
  </si>
  <si>
    <t>fgbip</t>
  </si>
  <si>
    <t>First Guaranty Bancshares 6.75 Dep Shs Rep Non Cumulative Perpetual Prf Shs Series A</t>
  </si>
  <si>
    <t>ccd</t>
  </si>
  <si>
    <t>Calamos Dynamic Convertible &amp; Incm Fd</t>
  </si>
  <si>
    <t>2.14</t>
  </si>
  <si>
    <t>ccne</t>
  </si>
  <si>
    <t>CNB Financial Corp</t>
  </si>
  <si>
    <t>thry</t>
  </si>
  <si>
    <t>Thryv Holdings Inc</t>
  </si>
  <si>
    <t>puk</t>
  </si>
  <si>
    <t>Prudential PLC</t>
  </si>
  <si>
    <t>aubn</t>
  </si>
  <si>
    <t>Auburn National Bancorporation Inc</t>
  </si>
  <si>
    <t>slv</t>
  </si>
  <si>
    <t>iShares Silver Trust</t>
  </si>
  <si>
    <t>cnne</t>
  </si>
  <si>
    <t>Cannae Holdings Inc</t>
  </si>
  <si>
    <t>aeo</t>
  </si>
  <si>
    <t>American Eagle Outfitters Inc</t>
  </si>
  <si>
    <t>pfc</t>
  </si>
  <si>
    <t>Premier Financial Corp (OHIO)</t>
  </si>
  <si>
    <t>uzd</t>
  </si>
  <si>
    <t>United States Cellular 6 250 Senior Notes due 2069</t>
  </si>
  <si>
    <t>soje</t>
  </si>
  <si>
    <t>Southern 2020 Series C 4 20 Junior Subordinated Notes due 15th October 2060</t>
  </si>
  <si>
    <t>vlypp</t>
  </si>
  <si>
    <t>Valley National 6 25 Fixed to Floating Rate Non Cumulative Perpetual Pref Shs Series A</t>
  </si>
  <si>
    <t>wds</t>
  </si>
  <si>
    <t>Woodside Energy Group ADR</t>
  </si>
  <si>
    <t>dlx</t>
  </si>
  <si>
    <t>Deluxe Corp</t>
  </si>
  <si>
    <t>akro</t>
  </si>
  <si>
    <t>Akero Therapeutics Inc</t>
  </si>
  <si>
    <t>lbtyk</t>
  </si>
  <si>
    <t>Liberty Global Ltd Class C</t>
  </si>
  <si>
    <t>calt</t>
  </si>
  <si>
    <t>Calliditas Therapeutics AB - ADR</t>
  </si>
  <si>
    <t>imxi</t>
  </si>
  <si>
    <t>International Money Express Inc</t>
  </si>
  <si>
    <t>kd</t>
  </si>
  <si>
    <t>Kyndryl Holdings Inc</t>
  </si>
  <si>
    <t>phg</t>
  </si>
  <si>
    <t>ffnw</t>
  </si>
  <si>
    <t>First Financial Northwest Inc</t>
  </si>
  <si>
    <t>lark</t>
  </si>
  <si>
    <t>Landmark Bancorp Inc</t>
  </si>
  <si>
    <t>crlkp</t>
  </si>
  <si>
    <t>Central Parking Finance 5.25% Conv Pref</t>
  </si>
  <si>
    <t>dtb</t>
  </si>
  <si>
    <t>DTE Energy 4 375 Junior Subordinated Debentures Series G due 2080</t>
  </si>
  <si>
    <t>mei</t>
  </si>
  <si>
    <t>Methode Electronics Inc</t>
  </si>
  <si>
    <t>dyn</t>
  </si>
  <si>
    <t>Dyne Therapeutics Inc</t>
  </si>
  <si>
    <t>geggl</t>
  </si>
  <si>
    <t>Great Elm Group 7 25 Notes due 2027</t>
  </si>
  <si>
    <t>amrc</t>
  </si>
  <si>
    <t>Ameresco Inc</t>
  </si>
  <si>
    <t>jsm</t>
  </si>
  <si>
    <t>Navient 6 Prcnt Senior Notes Exp 15 Dec 2043</t>
  </si>
  <si>
    <t>skm</t>
  </si>
  <si>
    <t>SK Telecom Co Ltd</t>
  </si>
  <si>
    <t>kura</t>
  </si>
  <si>
    <t>Kura Oncology Inc</t>
  </si>
  <si>
    <t>lkncy</t>
  </si>
  <si>
    <t>Luckin Coffee Inc - ADR</t>
  </si>
  <si>
    <t>mvbf</t>
  </si>
  <si>
    <t>MVB Financial Corp</t>
  </si>
  <si>
    <t>ubsff</t>
  </si>
  <si>
    <t>Ubisoft Entertainment SA</t>
  </si>
  <si>
    <t>by</t>
  </si>
  <si>
    <t>Byline Bancorp Inc</t>
  </si>
  <si>
    <t>kmpb</t>
  </si>
  <si>
    <t>Kemper 5 875 Fixed Rate Reset Junior Subordinated Debentures due 2062</t>
  </si>
  <si>
    <t>aus</t>
  </si>
  <si>
    <t>AT&amp;S Austria Technologie &amp; Systemtechnik</t>
  </si>
  <si>
    <t>pinc</t>
  </si>
  <si>
    <t>Premier Inc</t>
  </si>
  <si>
    <t>mygn</t>
  </si>
  <si>
    <t>Myriad Genetics, Inc.</t>
  </si>
  <si>
    <t>arlp</t>
  </si>
  <si>
    <t>Alliance Resource Partners, L.P.</t>
  </si>
  <si>
    <t>fhb</t>
  </si>
  <si>
    <t>First Hawaiian Inc</t>
  </si>
  <si>
    <t>fcncp</t>
  </si>
  <si>
    <t>First Citizens Bancshares 40 DS Rep 1 Non Cumulative Perpetual Pref Shs Series A</t>
  </si>
  <si>
    <t>btt</t>
  </si>
  <si>
    <t>Blackrock Municipal 2030 Target Trm Trst</t>
  </si>
  <si>
    <t>aci</t>
  </si>
  <si>
    <t>Albertsons Companies Inc</t>
  </si>
  <si>
    <t>goodn</t>
  </si>
  <si>
    <t>GLADSTONE COML Pref Shs</t>
  </si>
  <si>
    <t>bsig</t>
  </si>
  <si>
    <t>BrightSphere Investment Group Inc</t>
  </si>
  <si>
    <t>bui</t>
  </si>
  <si>
    <t>Blackrock Utlts Infra&amp;Pwr Oprtnt Trst</t>
  </si>
  <si>
    <t>1.38</t>
  </si>
  <si>
    <t>plce</t>
  </si>
  <si>
    <t>Children's Place Inc</t>
  </si>
  <si>
    <t>ntct</t>
  </si>
  <si>
    <t>NetScout Systems, Inc.</t>
  </si>
  <si>
    <t>imppp</t>
  </si>
  <si>
    <t>Imperial Petroleum 8.75 Cumulative Redeemable Perpetual Pref Shs Series A</t>
  </si>
  <si>
    <t>dcom</t>
  </si>
  <si>
    <t>Dime Community Bancshares Inc</t>
  </si>
  <si>
    <t>aqnu</t>
  </si>
  <si>
    <t>Algonquin Power and Utilities Units</t>
  </si>
  <si>
    <t>fro</t>
  </si>
  <si>
    <t>Frontline Plc</t>
  </si>
  <si>
    <t>2.31</t>
  </si>
  <si>
    <t>pdex</t>
  </si>
  <si>
    <t>Pro-Dex Inc</t>
  </si>
  <si>
    <t>tslx</t>
  </si>
  <si>
    <t>Sixth Street Specialty Lending Inc</t>
  </si>
  <si>
    <t>krg</t>
  </si>
  <si>
    <t>Kite Realty Group Trust</t>
  </si>
  <si>
    <t>exel</t>
  </si>
  <si>
    <t>Exelixis Inc</t>
  </si>
  <si>
    <t>idexy</t>
  </si>
  <si>
    <t>Industria De Diseno Textil Inditex ADR</t>
  </si>
  <si>
    <t>sblk</t>
  </si>
  <si>
    <t>Star Bulk Carriers Corp</t>
  </si>
  <si>
    <t>repx</t>
  </si>
  <si>
    <t>Riley Exploration Permian Inc</t>
  </si>
  <si>
    <t>mpb</t>
  </si>
  <si>
    <t>Mid Penn Bancorp Inc</t>
  </si>
  <si>
    <t>dqjcf</t>
  </si>
  <si>
    <t>Pan Pacific International Holdings Corp</t>
  </si>
  <si>
    <t>cort</t>
  </si>
  <si>
    <t>Corcept Therapeutics Incorporated</t>
  </si>
  <si>
    <t>isba</t>
  </si>
  <si>
    <t>Isabella Bank Corp</t>
  </si>
  <si>
    <t>nymtn</t>
  </si>
  <si>
    <t>New York Mortgage Trust Inc Preferred Shares Series D</t>
  </si>
  <si>
    <t>rilym</t>
  </si>
  <si>
    <t>B Riley Financial 6.375% Senior Notes Exp 28th Feb 2025</t>
  </si>
  <si>
    <t>cnob</t>
  </si>
  <si>
    <t>ConnectOne Bancorp Inc</t>
  </si>
  <si>
    <t>penn</t>
  </si>
  <si>
    <t>PENN Entertainment Inc</t>
  </si>
  <si>
    <t>ebbgf</t>
  </si>
  <si>
    <t>Enbridge Cumulative Redeemable Pref Shs Series 1</t>
  </si>
  <si>
    <t>nie</t>
  </si>
  <si>
    <t>Virtus Equity &amp; Convertible Income Fund</t>
  </si>
  <si>
    <t>atmp</t>
  </si>
  <si>
    <t>Barclays iPath Select MLP ETN Exp 18 Mar 2043</t>
  </si>
  <si>
    <t>dxc</t>
  </si>
  <si>
    <t>DXC Technology Co</t>
  </si>
  <si>
    <t>dtg</t>
  </si>
  <si>
    <t>DTE Energy 2021 4 375 Junior Subordinated Debentures Series E</t>
  </si>
  <si>
    <t>glng</t>
  </si>
  <si>
    <t>Golar LNG Limited</t>
  </si>
  <si>
    <t>dba</t>
  </si>
  <si>
    <t>Invesco DB Agriculture Fund</t>
  </si>
  <si>
    <t>sivr</t>
  </si>
  <si>
    <t>abrdn Physical Silver Shares ETF</t>
  </si>
  <si>
    <t>arzgf</t>
  </si>
  <si>
    <t>Assicurazioni Generali SpA</t>
  </si>
  <si>
    <t>bitw</t>
  </si>
  <si>
    <t>Bitwise 10 Crypto Index Units Beneficial Interest</t>
  </si>
  <si>
    <t>wopef</t>
  </si>
  <si>
    <t>Woodside Energy Group Ltd</t>
  </si>
  <si>
    <t>jd</t>
  </si>
  <si>
    <t>JD.Com Inc</t>
  </si>
  <si>
    <t>0.25</t>
  </si>
  <si>
    <t>cfbk</t>
  </si>
  <si>
    <t>CF Bankshares Inc</t>
  </si>
  <si>
    <t>strs</t>
  </si>
  <si>
    <t>Stratus Properties Inc</t>
  </si>
  <si>
    <t>dbc</t>
  </si>
  <si>
    <t>Invesco DB Commodity Index Tracking Fund</t>
  </si>
  <si>
    <t>1.09</t>
  </si>
  <si>
    <t>ccrn</t>
  </si>
  <si>
    <t>Cross Country Healthcare, Inc.</t>
  </si>
  <si>
    <t>fwrg</t>
  </si>
  <si>
    <t>First Watch Restaurant Group Inc</t>
  </si>
  <si>
    <t>sftby</t>
  </si>
  <si>
    <t>SoftBank Group Corp - ADR</t>
  </si>
  <si>
    <t>fmao</t>
  </si>
  <si>
    <t>Farmers &amp; Merchants Bancorp, Inc. (OH) Common Stock</t>
  </si>
  <si>
    <t>trip</t>
  </si>
  <si>
    <t>Tripadvisor Inc Common Stock</t>
  </si>
  <si>
    <t>crdo</t>
  </si>
  <si>
    <t>Credo Technology Group Holding Ltd</t>
  </si>
  <si>
    <t>ftlf</t>
  </si>
  <si>
    <t>FitLife Brands Inc</t>
  </si>
  <si>
    <t>ebgef</t>
  </si>
  <si>
    <t>Enbridge Cumulative Redeemable Pref Shs Series 5</t>
  </si>
  <si>
    <t>gdv</t>
  </si>
  <si>
    <t>Gabelli Dividend &amp; Income Trust</t>
  </si>
  <si>
    <t>mbinn</t>
  </si>
  <si>
    <t>Merchants Bancorp 40 DS Rep Perp Prf Shs Series C</t>
  </si>
  <si>
    <t>mfc</t>
  </si>
  <si>
    <t>Manulife Financial Corp</t>
  </si>
  <si>
    <t>ar</t>
  </si>
  <si>
    <t>Antero Resources Corp</t>
  </si>
  <si>
    <t>ggal</t>
  </si>
  <si>
    <t>Grupo Financiero Galicia S.A.</t>
  </si>
  <si>
    <t>vsh</t>
  </si>
  <si>
    <t>Vishay Intertechnology Inc</t>
  </si>
  <si>
    <t>afgc</t>
  </si>
  <si>
    <t>American Financial Group 5 125 Subordinated Debentures due 2059</t>
  </si>
  <si>
    <t>flyw</t>
  </si>
  <si>
    <t>Flywire Corp</t>
  </si>
  <si>
    <t>csiq</t>
  </si>
  <si>
    <t>Canadian Solar Inc</t>
  </si>
  <si>
    <t>sccd</t>
  </si>
  <si>
    <t>Sachem Capital 6 00 Notes due 2026</t>
  </si>
  <si>
    <t>atlcp</t>
  </si>
  <si>
    <t>Atlanticus Holdings 7.625 Cumulative Perpetual Pref Shs Series B</t>
  </si>
  <si>
    <t>phtcf</t>
  </si>
  <si>
    <t>PLDT Inc</t>
  </si>
  <si>
    <t>tve</t>
  </si>
  <si>
    <t>Tennessee Valley Authority Debenture Series A</t>
  </si>
  <si>
    <t>lbrdp</t>
  </si>
  <si>
    <t>Liberty Broadband Cum Redeemable Prf Shs Series A</t>
  </si>
  <si>
    <t>ofssh</t>
  </si>
  <si>
    <t>OFS Capital 4 95 Notes due 2028</t>
  </si>
  <si>
    <t>caba</t>
  </si>
  <si>
    <t>Cabaletta Bio Inc</t>
  </si>
  <si>
    <t>sovo</t>
  </si>
  <si>
    <t>Sovos Brands Inc</t>
  </si>
  <si>
    <t>eccc</t>
  </si>
  <si>
    <t>Eagle Point Credit Company Inc Preferred Shares Series C</t>
  </si>
  <si>
    <t>capl</t>
  </si>
  <si>
    <t>Crossamerica Partners LP</t>
  </si>
  <si>
    <t>ffbc</t>
  </si>
  <si>
    <t>First Financial Bancorp</t>
  </si>
  <si>
    <t>evt</t>
  </si>
  <si>
    <t>Eaton Vance Tax-Advantgd Divdnd Incm Fnd</t>
  </si>
  <si>
    <t>1.45</t>
  </si>
  <si>
    <t>utf</t>
  </si>
  <si>
    <t>Cohen &amp; Steers Infrastructure Fund Inc. Common Stock</t>
  </si>
  <si>
    <t>gjt</t>
  </si>
  <si>
    <t>STRATS SM Trust for Allstate Securities Certificates Series 2006-3</t>
  </si>
  <si>
    <t>gjs</t>
  </si>
  <si>
    <t>Strats Sm Trust For Goldman Sachs Group Securities Certificates Series 2006-2</t>
  </si>
  <si>
    <t>scce</t>
  </si>
  <si>
    <t>Sachem Capital 6 00 Notes due 2027</t>
  </si>
  <si>
    <t>ufcs</t>
  </si>
  <si>
    <t>United Fire Group Inc</t>
  </si>
  <si>
    <t>plym</t>
  </si>
  <si>
    <t>Plymouth Industrial Reit Inc</t>
  </si>
  <si>
    <t>gh</t>
  </si>
  <si>
    <t>Guardant Health Inc</t>
  </si>
  <si>
    <t>hiw</t>
  </si>
  <si>
    <t>Highwoods Properties Inc</t>
  </si>
  <si>
    <t>bfst</t>
  </si>
  <si>
    <t>Business First Bancshares Inc</t>
  </si>
  <si>
    <t>jronf</t>
  </si>
  <si>
    <t>Jeronimo Martins SGPS SA</t>
  </si>
  <si>
    <t>lrfc</t>
  </si>
  <si>
    <t>Logan Ridge Finance Corp</t>
  </si>
  <si>
    <t>codi</t>
  </si>
  <si>
    <t>Compass Diversified Holdings</t>
  </si>
  <si>
    <t>abczf</t>
  </si>
  <si>
    <t>Abcam Ord Shs</t>
  </si>
  <si>
    <t>ibtn</t>
  </si>
  <si>
    <t>INSCORP Ord Shs</t>
  </si>
  <si>
    <t>arl</t>
  </si>
  <si>
    <t>American Realty Investors, Inc.</t>
  </si>
  <si>
    <t>esi</t>
  </si>
  <si>
    <t>Element Solutions Inc</t>
  </si>
  <si>
    <t>oec</t>
  </si>
  <si>
    <t>Orion SA</t>
  </si>
  <si>
    <t>aat</t>
  </si>
  <si>
    <t>American Assets Trust, Inc</t>
  </si>
  <si>
    <t>1.44</t>
  </si>
  <si>
    <t>sln</t>
  </si>
  <si>
    <t>Silence Therapeutics ADR Representing 3 Ord Shs</t>
  </si>
  <si>
    <t>hmnf</t>
  </si>
  <si>
    <t>HMN Financial, Inc.</t>
  </si>
  <si>
    <t>vsat</t>
  </si>
  <si>
    <t>Viasat Inc</t>
  </si>
  <si>
    <t>harp</t>
  </si>
  <si>
    <t>Harpoon Therapeutics Inc</t>
  </si>
  <si>
    <t>frsh</t>
  </si>
  <si>
    <t>Freshworks Inc</t>
  </si>
  <si>
    <t>prymy</t>
  </si>
  <si>
    <t>Prysmian S P A Milano Unsponsored Italy ADR</t>
  </si>
  <si>
    <t>brp</t>
  </si>
  <si>
    <t>BRP Group Inc</t>
  </si>
  <si>
    <t>cuz</t>
  </si>
  <si>
    <t>Cousins Properties Inc</t>
  </si>
  <si>
    <t>dqjcy</t>
  </si>
  <si>
    <t>Pan Pac Intl Hldgs ADR Representing Ord Shs</t>
  </si>
  <si>
    <t>ccnep</t>
  </si>
  <si>
    <t>CNB FINL Depositary Shs REP 1 40 Prf Series A</t>
  </si>
  <si>
    <t>boil</t>
  </si>
  <si>
    <t>ProShares Ultra Bloomberg Natural Gas</t>
  </si>
  <si>
    <t>noa</t>
  </si>
  <si>
    <t>North American Construction Group Ltd</t>
  </si>
  <si>
    <t>ntrso</t>
  </si>
  <si>
    <t>Northern Trust DS Representing 1 1000th Non Cumulative Perpetual Pref Shs Series E</t>
  </si>
  <si>
    <t>pfxnz</t>
  </si>
  <si>
    <t>PhenixFIN 5 25 Notes due 2028</t>
  </si>
  <si>
    <t>acv</t>
  </si>
  <si>
    <t>Virtus Diversified Income &amp; Convrtble Fd</t>
  </si>
  <si>
    <t>cveo</t>
  </si>
  <si>
    <t>Civeo Corp</t>
  </si>
  <si>
    <t>fcnco</t>
  </si>
  <si>
    <t>First Citizens BancShares 5 625 Non Cumulative Perpetual Prf Shs Series C</t>
  </si>
  <si>
    <t>brx</t>
  </si>
  <si>
    <t>Brixmor Property Group Inc</t>
  </si>
  <si>
    <t>mro</t>
  </si>
  <si>
    <t>Marathon Oil Corp</t>
  </si>
  <si>
    <t>oscuf</t>
  </si>
  <si>
    <t>Japan Exchange Group Inc</t>
  </si>
  <si>
    <t>kf</t>
  </si>
  <si>
    <t>Korea Fund, Inc. (The) common stock</t>
  </si>
  <si>
    <t>esp</t>
  </si>
  <si>
    <t>Espey MFG and Electronics Corp</t>
  </si>
  <si>
    <t>smbk</t>
  </si>
  <si>
    <t>SmartFinancial Inc</t>
  </si>
  <si>
    <t>wlkp</t>
  </si>
  <si>
    <t>Westlake Chemical Partners LP</t>
  </si>
  <si>
    <t>oxsqg</t>
  </si>
  <si>
    <t>Oxford Square Capital 5 50 Notes due 2028</t>
  </si>
  <si>
    <t>tvc</t>
  </si>
  <si>
    <t>Tennessee Valley Authority Debenture Series D</t>
  </si>
  <si>
    <t>eccv</t>
  </si>
  <si>
    <t>Eagle Point Credit Company 5 375 Notes due 2029</t>
  </si>
  <si>
    <t>zlab</t>
  </si>
  <si>
    <t>Zai Lab Ltd - ADR</t>
  </si>
  <si>
    <t>alrs</t>
  </si>
  <si>
    <t>Alerus Financial Corp</t>
  </si>
  <si>
    <t>oxlco</t>
  </si>
  <si>
    <t>Oxford Lane Capital 6 Pref Shs Series 2029</t>
  </si>
  <si>
    <t>faro</t>
  </si>
  <si>
    <t>FARO Technologies Inc</t>
  </si>
  <si>
    <t>sptn</t>
  </si>
  <si>
    <t>SpartanNash Co</t>
  </si>
  <si>
    <t>bch</t>
  </si>
  <si>
    <t>Banco de Chile</t>
  </si>
  <si>
    <t>1.74</t>
  </si>
  <si>
    <t>fsly</t>
  </si>
  <si>
    <t>Fastly Inc</t>
  </si>
  <si>
    <t>phi</t>
  </si>
  <si>
    <t>PLDT Inc ADR</t>
  </si>
  <si>
    <t>occin</t>
  </si>
  <si>
    <t>OFS Credit Company 5 25 Prf Shs Series E Due 2026</t>
  </si>
  <si>
    <t>hbanm</t>
  </si>
  <si>
    <t>Huntington Bancshares Dep Shs Rep 1 1000 Prf Shs Series I</t>
  </si>
  <si>
    <t>ns</t>
  </si>
  <si>
    <t>NuStar Energy L.P.</t>
  </si>
  <si>
    <t>1.60</t>
  </si>
  <si>
    <t>intg</t>
  </si>
  <si>
    <t>InterGroup Corp</t>
  </si>
  <si>
    <t>wba</t>
  </si>
  <si>
    <t>Walgreens Boots Alliance Inc</t>
  </si>
  <si>
    <t>sccf</t>
  </si>
  <si>
    <t>Sachem Capital 7 125 Notes due 2027</t>
  </si>
  <si>
    <t>nubc</t>
  </si>
  <si>
    <t>Northumberland Bancorp</t>
  </si>
  <si>
    <t>vlypo</t>
  </si>
  <si>
    <t>Valley National 5.50% Fixed to Floating Rate Non Cum Perp Pref Shs Series B</t>
  </si>
  <si>
    <t>gshn</t>
  </si>
  <si>
    <t>Gushen Inc</t>
  </si>
  <si>
    <t>bbw</t>
  </si>
  <si>
    <t>Build-A-Bear Workshop, Inc</t>
  </si>
  <si>
    <t>iif</t>
  </si>
  <si>
    <t>Morgan Stanley India Investment Fund Inc</t>
  </si>
  <si>
    <t>mlnk</t>
  </si>
  <si>
    <t>Meridianlink Inc</t>
  </si>
  <si>
    <t>agncl</t>
  </si>
  <si>
    <t>AGNC Invt Dep Shs Repstg 1 1000Th Pref Shs Series G</t>
  </si>
  <si>
    <t>ges</t>
  </si>
  <si>
    <t>Guess? Inc</t>
  </si>
  <si>
    <t>func</t>
  </si>
  <si>
    <t>First United Corp</t>
  </si>
  <si>
    <t>hckt</t>
  </si>
  <si>
    <t>Hackett Group Inc</t>
  </si>
  <si>
    <t>gainz</t>
  </si>
  <si>
    <t>Gladstone Investment 4 875 Notes due 2028</t>
  </si>
  <si>
    <t>evi</t>
  </si>
  <si>
    <t>EVI Industries Inc</t>
  </si>
  <si>
    <t>bbu</t>
  </si>
  <si>
    <t>Brookfield Business Partners LP</t>
  </si>
  <si>
    <t>argd</t>
  </si>
  <si>
    <t>Argo Group International Holdings 6 5 Senior Notes Exp 15 Sep 2042</t>
  </si>
  <si>
    <t>nymtm</t>
  </si>
  <si>
    <t>NEW YORK MTG Cumulative Redeemable Pref Shs</t>
  </si>
  <si>
    <t>bnku</t>
  </si>
  <si>
    <t>MicroSectors U S Big Banks Index 3X Leveraged ETN</t>
  </si>
  <si>
    <t>cspi</t>
  </si>
  <si>
    <t>CSP Inc</t>
  </si>
  <si>
    <t>moyff</t>
  </si>
  <si>
    <t>Mynaric AG</t>
  </si>
  <si>
    <t>cvly</t>
  </si>
  <si>
    <t>Codorus Valley Bancorp, Inc.</t>
  </si>
  <si>
    <t>gsbx</t>
  </si>
  <si>
    <t>Golden State Ord Shs</t>
  </si>
  <si>
    <t>cmp</t>
  </si>
  <si>
    <t>Compass Minerals International, Inc.</t>
  </si>
  <si>
    <t>love</t>
  </si>
  <si>
    <t>Lovesac Co</t>
  </si>
  <si>
    <t>sar</t>
  </si>
  <si>
    <t>Saratoga Investment Corp</t>
  </si>
  <si>
    <t>esmt</t>
  </si>
  <si>
    <t>EngageSmart Inc</t>
  </si>
  <si>
    <t>bhlb</t>
  </si>
  <si>
    <t>Berkshire Hills Bancorp Inc</t>
  </si>
  <si>
    <t>atlcl</t>
  </si>
  <si>
    <t>Atlanticus Holdings 6 125 Senior Notes due 2026</t>
  </si>
  <si>
    <t>stla</t>
  </si>
  <si>
    <t>Stellantis NV</t>
  </si>
  <si>
    <t>agio</t>
  </si>
  <si>
    <t>Agios Pharmaceuticals Inc</t>
  </si>
  <si>
    <t>cdp</t>
  </si>
  <si>
    <t>CDP Holdings Ltd</t>
  </si>
  <si>
    <t>anik</t>
  </si>
  <si>
    <t>Anika Therapeutics Inc</t>
  </si>
  <si>
    <t>qtrx</t>
  </si>
  <si>
    <t>Quanterix Corp</t>
  </si>
  <si>
    <t>bmbn</t>
  </si>
  <si>
    <t>Benchmark Bankshares Inc</t>
  </si>
  <si>
    <t>oxlcz</t>
  </si>
  <si>
    <t>Oxford Lane Capital 5 00 Notes due 2027</t>
  </si>
  <si>
    <t>fsbc</t>
  </si>
  <si>
    <t>Five Star Bancorp</t>
  </si>
  <si>
    <t>lov</t>
  </si>
  <si>
    <t>Lovisa Holdings Ltd</t>
  </si>
  <si>
    <t>tndm</t>
  </si>
  <si>
    <t>Tandem Diabetes Care Inc</t>
  </si>
  <si>
    <t>leg</t>
  </si>
  <si>
    <t>Leggett &amp; Platt Inc</t>
  </si>
  <si>
    <t>fstr</t>
  </si>
  <si>
    <t>L B Foster Co</t>
  </si>
  <si>
    <t>hcp</t>
  </si>
  <si>
    <t>HashiCorp Inc</t>
  </si>
  <si>
    <t>afgd</t>
  </si>
  <si>
    <t>American Financial Group 5 625 Subordinated Debenture</t>
  </si>
  <si>
    <t>agncp</t>
  </si>
  <si>
    <t>Agnc Invt 1000 Dep Shs Repstg Cum Red Prf Series F</t>
  </si>
  <si>
    <t>buse</t>
  </si>
  <si>
    <t>First Busey Corp</t>
  </si>
  <si>
    <t>tcx</t>
  </si>
  <si>
    <t>Tucows Inc</t>
  </si>
  <si>
    <t>mcbs</t>
  </si>
  <si>
    <t>Metrocity Bankshares Inc</t>
  </si>
  <si>
    <t>hasi</t>
  </si>
  <si>
    <t>Hannon Armstrong Sustnbl Infrstr Cap Inc</t>
  </si>
  <si>
    <t>eica</t>
  </si>
  <si>
    <t>Eagle Point Income Company Inc Preferred Shares Series A</t>
  </si>
  <si>
    <t>tfsa</t>
  </si>
  <si>
    <t>Terra Income Fund 6 LLC</t>
  </si>
  <si>
    <t>praa</t>
  </si>
  <si>
    <t>Pra Group Inc</t>
  </si>
  <si>
    <t>vrrm</t>
  </si>
  <si>
    <t>Verra Mobility Corp</t>
  </si>
  <si>
    <t>cstl</t>
  </si>
  <si>
    <t>Castle Biosciences Inc</t>
  </si>
  <si>
    <t>avtr</t>
  </si>
  <si>
    <t>Avantor Inc</t>
  </si>
  <si>
    <t>fitbo</t>
  </si>
  <si>
    <t>Fifth Third Bancorp 1000 DS Representing Preferred Series K</t>
  </si>
  <si>
    <t>inbkz</t>
  </si>
  <si>
    <t>First Internet Bancorp 6.0% Fixed to Floating Rate Subordinated Notes Exp 30 June 2029</t>
  </si>
  <si>
    <t>path</t>
  </si>
  <si>
    <t>UiPath Inc</t>
  </si>
  <si>
    <t>vktx</t>
  </si>
  <si>
    <t>Viking Therapeutics Inc</t>
  </si>
  <si>
    <t>atasf</t>
  </si>
  <si>
    <t>Atlantia Ord Shs</t>
  </si>
  <si>
    <t>fcpt</t>
  </si>
  <si>
    <t>Four Corners Property Trust Inc</t>
  </si>
  <si>
    <t>acglo</t>
  </si>
  <si>
    <t>Acrh Cap Group 1000 Dep Shs Repstg Non Cumulative Pref Shs Series F</t>
  </si>
  <si>
    <t>sojd</t>
  </si>
  <si>
    <t>Southern Jr Sub Notes Series 2020A Exp 30 Jan 2080</t>
  </si>
  <si>
    <t>flo</t>
  </si>
  <si>
    <t>Flowers Foods Inc</t>
  </si>
  <si>
    <t>0.90</t>
  </si>
  <si>
    <t>oxlcp</t>
  </si>
  <si>
    <t>Oxford Lane Capital 6 25 Series 2027 Pref Shs</t>
  </si>
  <si>
    <t>sccg</t>
  </si>
  <si>
    <t>Sachem Capital 8 00 Notes due 2027</t>
  </si>
  <si>
    <t>wllaw</t>
  </si>
  <si>
    <t>hnnaz</t>
  </si>
  <si>
    <t>Hennessy Advisors 4 875 Notes due 2026</t>
  </si>
  <si>
    <t>crbg</t>
  </si>
  <si>
    <t>Corebridge Financial Inc</t>
  </si>
  <si>
    <t>cbl</t>
  </si>
  <si>
    <t>CBL &amp; Associates Properties, Inc.</t>
  </si>
  <si>
    <t>dniyy</t>
  </si>
  <si>
    <t>Danieli S P A Unsponsored Representing 1 Risparmio Shares ADR</t>
  </si>
  <si>
    <t>blx</t>
  </si>
  <si>
    <t>Foreign Trade Bank of Latin America Inc Class E</t>
  </si>
  <si>
    <t>hoft</t>
  </si>
  <si>
    <t>Hooker Furnishings Corp</t>
  </si>
  <si>
    <t>ifs</t>
  </si>
  <si>
    <t>Intercorp Financial Services Inc</t>
  </si>
  <si>
    <t>nvst</t>
  </si>
  <si>
    <t>Envista Holdings Corp</t>
  </si>
  <si>
    <t>pd</t>
  </si>
  <si>
    <t>Pagerduty Inc</t>
  </si>
  <si>
    <t>evbg</t>
  </si>
  <si>
    <t>Everbridge Inc</t>
  </si>
  <si>
    <t>sava</t>
  </si>
  <si>
    <t>Cassava Sciences Inc</t>
  </si>
  <si>
    <t>oxlcl</t>
  </si>
  <si>
    <t>Oxford Lane Capital 6 75 Notes due 2031</t>
  </si>
  <si>
    <t>cper</t>
  </si>
  <si>
    <t>United States Copper Index Fund</t>
  </si>
  <si>
    <t>ssssl</t>
  </si>
  <si>
    <t>SuRo Capital 6 00 Notes due 2026</t>
  </si>
  <si>
    <t>cbay</t>
  </si>
  <si>
    <t>CymaBay Therapeutics Inc</t>
  </si>
  <si>
    <t>jill</t>
  </si>
  <si>
    <t>JJill Inc</t>
  </si>
  <si>
    <t>rcb</t>
  </si>
  <si>
    <t>Ready Capital 6 20 Senior Notes due 2026</t>
  </si>
  <si>
    <t>cbfv</t>
  </si>
  <si>
    <t>CB Financial Services Inc</t>
  </si>
  <si>
    <t>sasr</t>
  </si>
  <si>
    <t>Sandy Spring Bancorp Inc</t>
  </si>
  <si>
    <t>gainn</t>
  </si>
  <si>
    <t>Gladstone Investment Corporation 5.00% Notes Due 2026</t>
  </si>
  <si>
    <t>rm</t>
  </si>
  <si>
    <t>Regional Management Corp</t>
  </si>
  <si>
    <t>ke</t>
  </si>
  <si>
    <t>Kimball Electronics Inc</t>
  </si>
  <si>
    <t>live</t>
  </si>
  <si>
    <t>Live Ventures Inc</t>
  </si>
  <si>
    <t>newtz</t>
  </si>
  <si>
    <t>NewtekOne 5 50 Notes Due 2026</t>
  </si>
  <si>
    <t>prtc</t>
  </si>
  <si>
    <t>PureTech Health PLC</t>
  </si>
  <si>
    <t>carg</t>
  </si>
  <si>
    <t>CarGurus Inc</t>
  </si>
  <si>
    <t>occio</t>
  </si>
  <si>
    <t>OFS Credit Company 6 125 Prf Series C</t>
  </si>
  <si>
    <t>cwen</t>
  </si>
  <si>
    <t>Clearway Energy Inc Class C</t>
  </si>
  <si>
    <t>eccw</t>
  </si>
  <si>
    <t>Eagle Point Credit Company 6 75 Notes Due 2031</t>
  </si>
  <si>
    <t>sga</t>
  </si>
  <si>
    <t>Saga Communications Inc</t>
  </si>
  <si>
    <t>htfc</t>
  </si>
  <si>
    <t>Horizon Technology Finance Corporation 6 25 Notes due 2027</t>
  </si>
  <si>
    <t>fcrx</t>
  </si>
  <si>
    <t>Crescent Capital BDC 5 00 Notes Due 2026</t>
  </si>
  <si>
    <t>inmd</t>
  </si>
  <si>
    <t>Inmode Ltd</t>
  </si>
  <si>
    <t>pnfpp</t>
  </si>
  <si>
    <t>Pinnacle Finl Partners 40 DS Rep Ord Shs Series B</t>
  </si>
  <si>
    <t>anab</t>
  </si>
  <si>
    <t>AnaptysBio Inc</t>
  </si>
  <si>
    <t>hwcpz</t>
  </si>
  <si>
    <t>Hancock Whitney 6.25 Subordinated Notes due 2060</t>
  </si>
  <si>
    <t>athm</t>
  </si>
  <si>
    <t>Autohome Inc</t>
  </si>
  <si>
    <t>nvei</t>
  </si>
  <si>
    <t>Nuvei Corp</t>
  </si>
  <si>
    <t>eml</t>
  </si>
  <si>
    <t>Eastern Company</t>
  </si>
  <si>
    <t>ovbc</t>
  </si>
  <si>
    <t>Ohio Valley Banc Corp</t>
  </si>
  <si>
    <t>eto</t>
  </si>
  <si>
    <t>Eaton Vnc Tax-Advtgd Glbl Dvdnd Oppnt Fd</t>
  </si>
  <si>
    <t>1.54</t>
  </si>
  <si>
    <t>sbcf</t>
  </si>
  <si>
    <t>Seacoast Banking Corporation of Florida</t>
  </si>
  <si>
    <t>ucbio</t>
  </si>
  <si>
    <t>United Communty Banks 1000 Dep Shs Repstg 1 Pref Shs Series I</t>
  </si>
  <si>
    <t>atcol</t>
  </si>
  <si>
    <t>Atlas 7.125% Notes due 2027</t>
  </si>
  <si>
    <t>fybr</t>
  </si>
  <si>
    <t>Frontier Communications Parent Inc</t>
  </si>
  <si>
    <t>nistf</t>
  </si>
  <si>
    <t>Nippon Steel Corp</t>
  </si>
  <si>
    <t>cflt</t>
  </si>
  <si>
    <t>Confluent Inc</t>
  </si>
  <si>
    <t>rcc</t>
  </si>
  <si>
    <t>Ready Capital 5.75% Senior Notes due 2026</t>
  </si>
  <si>
    <t>hun</t>
  </si>
  <si>
    <t>Huntsman Corporation</t>
  </si>
  <si>
    <t>tbb</t>
  </si>
  <si>
    <t>AT and T 5 350 Global Notes Due 2066</t>
  </si>
  <si>
    <t>tnp</t>
  </si>
  <si>
    <t>Tsakos Energy Navigation Ltd</t>
  </si>
  <si>
    <t>arow</t>
  </si>
  <si>
    <t>Arrow Financial Corporation</t>
  </si>
  <si>
    <t>den</t>
  </si>
  <si>
    <t>Dentsu Group Inc</t>
  </si>
  <si>
    <t>wsbcp</t>
  </si>
  <si>
    <t>Wesbanco DS Representing 1/40Th Perp Pfd Series A</t>
  </si>
  <si>
    <t>sat</t>
  </si>
  <si>
    <t>Saratoga Investment 6 00 Notes due 2027</t>
  </si>
  <si>
    <t>pmhg</t>
  </si>
  <si>
    <t>PRIME MERIDIAN HOLDING CO</t>
  </si>
  <si>
    <t>agnco</t>
  </si>
  <si>
    <t>AGNC Investment DS REP 1/1000 Cumulative Pref Shs Series E</t>
  </si>
  <si>
    <t>fnwd</t>
  </si>
  <si>
    <t>Finward Bancorp</t>
  </si>
  <si>
    <t>ken</t>
  </si>
  <si>
    <t>Kenon Holdings Ltd</t>
  </si>
  <si>
    <t>mbnkp</t>
  </si>
  <si>
    <t>Medallion Bank Fixed to Floating Rate Non Cumulative Perpetual Pref Shs Series F</t>
  </si>
  <si>
    <t>agq</t>
  </si>
  <si>
    <t>ProShares Ultra Silver</t>
  </si>
  <si>
    <t>eccx</t>
  </si>
  <si>
    <t>Eagle Point Credit 6.6875 Notes Exp 30 Apr 2028</t>
  </si>
  <si>
    <t>oxsqz</t>
  </si>
  <si>
    <t>Oxford Square Capital 6 25 Notes Exp 2026</t>
  </si>
  <si>
    <t>egbn</t>
  </si>
  <si>
    <t>Eagle Bancorp Inc</t>
  </si>
  <si>
    <t>mbino</t>
  </si>
  <si>
    <t>Merchants Bancorp Ind Repstg 1 40th Perp Pfd Ser B Fixed Fltg DRC</t>
  </si>
  <si>
    <t>bpopo</t>
  </si>
  <si>
    <t>Popular Inc Preferred Shares Series A</t>
  </si>
  <si>
    <t>sacc</t>
  </si>
  <si>
    <t>Sachem Capital 6 875 Notes Exp 30 Dec 2024</t>
  </si>
  <si>
    <t>cvrx</t>
  </si>
  <si>
    <t>CVRx Inc</t>
  </si>
  <si>
    <t>cphc</t>
  </si>
  <si>
    <t>Canterbury Park Holding Corp</t>
  </si>
  <si>
    <t>htfb</t>
  </si>
  <si>
    <t>Horizon Technology Finance 4.875% Notes due 2026</t>
  </si>
  <si>
    <t>bbuc</t>
  </si>
  <si>
    <t>Brookfield Business Corp</t>
  </si>
  <si>
    <t>gjp</t>
  </si>
  <si>
    <t>STRATS SM Trust for Dominion Resources Securities Certificate Series 2005-6</t>
  </si>
  <si>
    <t>olk</t>
  </si>
  <si>
    <t>Olink Holding AB (publ) - ADR</t>
  </si>
  <si>
    <t>cswc</t>
  </si>
  <si>
    <t>Capital Southwest Corporation</t>
  </si>
  <si>
    <t>pwsc</t>
  </si>
  <si>
    <t>Powerschool Holdings Inc</t>
  </si>
  <si>
    <t>sfdl</t>
  </si>
  <si>
    <t>Security Federal Corporation (SC) Common Stock</t>
  </si>
  <si>
    <t>cix</t>
  </si>
  <si>
    <t>CompX International Inc.</t>
  </si>
  <si>
    <t>wtfcm</t>
  </si>
  <si>
    <t>Wintrust Financial Fixed to Floating Rate Non Cumulative Perpetual Pref Shs Series D</t>
  </si>
  <si>
    <t>grn</t>
  </si>
  <si>
    <t>iPathA Series B Carbon ETN</t>
  </si>
  <si>
    <t>fdp</t>
  </si>
  <si>
    <t>Fresh Del Monte Produce Inc</t>
  </si>
  <si>
    <t>ocfcp</t>
  </si>
  <si>
    <t>Oceanfirst Finl Depositary Shs Repstg 1 40 Perp Prf Shs</t>
  </si>
  <si>
    <t>hrowl</t>
  </si>
  <si>
    <t>Harrow 8 625 Senior Notes due 2026</t>
  </si>
  <si>
    <t>ugi</t>
  </si>
  <si>
    <t>UGI Corp</t>
  </si>
  <si>
    <t>ctra</t>
  </si>
  <si>
    <t>Coterra Energy Inc</t>
  </si>
  <si>
    <t>tpb</t>
  </si>
  <si>
    <t>Turning Point Brands Inc</t>
  </si>
  <si>
    <t>qbcrf</t>
  </si>
  <si>
    <t>Quebecor Inc</t>
  </si>
  <si>
    <t>alkt</t>
  </si>
  <si>
    <t>Alkami Technology Inc</t>
  </si>
  <si>
    <t>legh</t>
  </si>
  <si>
    <t>Legacy Housing Corp</t>
  </si>
  <si>
    <t>agncm</t>
  </si>
  <si>
    <t>AGNC Investment 1000 DS Rep 6.875 Fixed to Floating Cumulative Redeemable Pref Shs Series D</t>
  </si>
  <si>
    <t>ibn</t>
  </si>
  <si>
    <t>ICICI Bank Ltd</t>
  </si>
  <si>
    <t>thr</t>
  </si>
  <si>
    <t>Thermon Group Holdings Inc</t>
  </si>
  <si>
    <t>flgt</t>
  </si>
  <si>
    <t>Fulgent Genetics Inc</t>
  </si>
  <si>
    <t>afgb</t>
  </si>
  <si>
    <t>American Financial Group 5 875 Subordinated Debentures Exp 2059</t>
  </si>
  <si>
    <t>inst</t>
  </si>
  <si>
    <t>Instructure Holdings Inc</t>
  </si>
  <si>
    <t>hurc</t>
  </si>
  <si>
    <t>Hurco Companies, Inc.</t>
  </si>
  <si>
    <t>ycl</t>
  </si>
  <si>
    <t>ProShares Ultra Yen</t>
  </si>
  <si>
    <t>go</t>
  </si>
  <si>
    <t>Grocery Outlet Holding Corp</t>
  </si>
  <si>
    <t>fnlc</t>
  </si>
  <si>
    <t>First Bancorp Inc</t>
  </si>
  <si>
    <t>mofg</t>
  </si>
  <si>
    <t>Midwestone Financial Group Inc (IOWA)</t>
  </si>
  <si>
    <t>nwsa</t>
  </si>
  <si>
    <t>News Corp Class A</t>
  </si>
  <si>
    <t>bhfap</t>
  </si>
  <si>
    <t>Brighthouse Financial 1000 DS Representing 6 6 Non Cumulative Pref Shs Series A</t>
  </si>
  <si>
    <t>wtfcp</t>
  </si>
  <si>
    <t>Wintrust Finl 1 DS Repstg 1000 Perp Prf Ser E</t>
  </si>
  <si>
    <t>edr</t>
  </si>
  <si>
    <t>Endeavor Group holdings Inc</t>
  </si>
  <si>
    <t>ftaio</t>
  </si>
  <si>
    <t>FTAI Aviation Ltd Preferred Shares Series B</t>
  </si>
  <si>
    <t>gecco</t>
  </si>
  <si>
    <t>Great Elm Capital 5 875 Notes due 2026</t>
  </si>
  <si>
    <t>msbip</t>
  </si>
  <si>
    <t>Midland Sts Bancorp Depositary Shs Repstg 1/40Th Perp Pfd Ser A</t>
  </si>
  <si>
    <t>eprt</t>
  </si>
  <si>
    <t>Essential Properties Realty Trust Inc</t>
  </si>
  <si>
    <t>csv</t>
  </si>
  <si>
    <t>Carriage Services, Inc.</t>
  </si>
  <si>
    <t>gxlm</t>
  </si>
  <si>
    <t>Grayscale Stellar Lumens Trust (XLM)</t>
  </si>
  <si>
    <t>janl</t>
  </si>
  <si>
    <t>Janel Corp</t>
  </si>
  <si>
    <t>pxsap</t>
  </si>
  <si>
    <t>Pyxis Tankers Inc Preferred Shares Series A</t>
  </si>
  <si>
    <t>sccc</t>
  </si>
  <si>
    <t>Sachem Capital 7 75 Notes due 2025</t>
  </si>
  <si>
    <t>calb</t>
  </si>
  <si>
    <t>California BanCorp</t>
  </si>
  <si>
    <t>krt</t>
  </si>
  <si>
    <t>Karat Packaging Inc</t>
  </si>
  <si>
    <t>ibcp</t>
  </si>
  <si>
    <t>Independent Bank Corp (Michigan)</t>
  </si>
  <si>
    <t>newtl</t>
  </si>
  <si>
    <t>NewtekOne 5 75 Notes Due 2024</t>
  </si>
  <si>
    <t>rilyo</t>
  </si>
  <si>
    <t>B Riley Financial 6 75 Senior Notes due 2024</t>
  </si>
  <si>
    <t>vcyt</t>
  </si>
  <si>
    <t>Veracyte Inc</t>
  </si>
  <si>
    <t>aqnb</t>
  </si>
  <si>
    <t>Algonquin Power And Utilities 6 20 Fixed To Floating Subordinated Notes Series 2019 A Exp 1 july 2079</t>
  </si>
  <si>
    <t>xomao</t>
  </si>
  <si>
    <t>XOMA Depositary Shares Rep 8 375 Cum Pref Shs Series B</t>
  </si>
  <si>
    <t>trs</t>
  </si>
  <si>
    <t>TriMas Corp</t>
  </si>
  <si>
    <t>nruc</t>
  </si>
  <si>
    <t>National Rural Utilities Cooperative Finance 5.500% Subordinated Notes Exp 15 May 2064</t>
  </si>
  <si>
    <t>mdrrp</t>
  </si>
  <si>
    <t>Medalist Diversified REIT Cumulative Redeemable Pref Shs Series A</t>
  </si>
  <si>
    <t>rapt</t>
  </si>
  <si>
    <t>Rapt Therapeutics Inc</t>
  </si>
  <si>
    <t>mbinp</t>
  </si>
  <si>
    <t>Merchants Bancorp 7 Perp Pfd Fixed Fltg Perpetual Pref Shs Series A</t>
  </si>
  <si>
    <t>srea</t>
  </si>
  <si>
    <t>Sempra 5 750 Junior Subordinated Notes due 2079</t>
  </si>
  <si>
    <t>vtdrf</t>
  </si>
  <si>
    <t>Vantage Drilling International</t>
  </si>
  <si>
    <t>cmsd</t>
  </si>
  <si>
    <t>CMS Energy 5.875 Junior Subordinated Notes Exp 1 March 2079</t>
  </si>
  <si>
    <t>sccb</t>
  </si>
  <si>
    <t>Sachem Capital 7.125% Notes Exp 30 June 2024</t>
  </si>
  <si>
    <t>fbms</t>
  </si>
  <si>
    <t>First Bancshares Inc (Mississippi)</t>
  </si>
  <si>
    <t>gct</t>
  </si>
  <si>
    <t>GigaCloud Technology Inc</t>
  </si>
  <si>
    <t>kanp</t>
  </si>
  <si>
    <t>Kaanapali Land LLC</t>
  </si>
  <si>
    <t>htlfp</t>
  </si>
  <si>
    <t>Heartland Finl Usa 400 Depositary Shs Rep 1 Perp Pref Shs Series E</t>
  </si>
  <si>
    <t>esgro</t>
  </si>
  <si>
    <t>Enstar Group Depository Shares 7 Perpetual Non Cumulative Preference Shs Series E</t>
  </si>
  <si>
    <t>fitbp</t>
  </si>
  <si>
    <t>Fifth Third Bancorp 40 Depository Shares representing Non Cum Series A Pref Class B</t>
  </si>
  <si>
    <t>jdvb</t>
  </si>
  <si>
    <t>JD BANCSHARES Ord Shs</t>
  </si>
  <si>
    <t>mnsbp</t>
  </si>
  <si>
    <t>MainStreet Bancshares Depositary Shares Representing Pref Shs</t>
  </si>
  <si>
    <t>oxlcm</t>
  </si>
  <si>
    <t>Oxford Lane Cap 6 75 Pref Shs Series 2024</t>
  </si>
  <si>
    <t>pkoh</t>
  </si>
  <si>
    <t>Park Ohio Holdings Corp</t>
  </si>
  <si>
    <t>kmt</t>
  </si>
  <si>
    <t>Kennametal Inc.</t>
  </si>
  <si>
    <t>onbpo</t>
  </si>
  <si>
    <t>Old National Bancorp 40 Depositary Shs Rep 1 Pref Shs Series C</t>
  </si>
  <si>
    <t>ftain</t>
  </si>
  <si>
    <t>FTAI Aviation 8 25 Fixed Rate Reset Cumulative Perpetual Pref Shs Series C</t>
  </si>
  <si>
    <t>soyb</t>
  </si>
  <si>
    <t>Teucrium Soybean Fund</t>
  </si>
  <si>
    <t>chscm</t>
  </si>
  <si>
    <t>CHS Inc Preferred Shares Series 3</t>
  </si>
  <si>
    <t>onbpp</t>
  </si>
  <si>
    <t>Old National Bancorp 40 Depositary Shares Rep 1 Pref Shs Series A</t>
  </si>
  <si>
    <t>tbc</t>
  </si>
  <si>
    <t>AT and T 5.625 Global Notes Exp 1 Aug 2067</t>
  </si>
  <si>
    <t>ftaip</t>
  </si>
  <si>
    <t>FTAI Aviation Ltd Preferred Shares Series A</t>
  </si>
  <si>
    <t>hwbk</t>
  </si>
  <si>
    <t>Hawthorn Bancshares, Inc.</t>
  </si>
  <si>
    <t>chct</t>
  </si>
  <si>
    <t>Community Healthcare Trust Inc</t>
  </si>
  <si>
    <t>bhfao</t>
  </si>
  <si>
    <t>Brighthouse Financial 1000 Depositary Shares Representing 1 Pref Series B</t>
  </si>
  <si>
    <t>asix</t>
  </si>
  <si>
    <t>AdvanSix Inc</t>
  </si>
  <si>
    <t>ptct</t>
  </si>
  <si>
    <t>PTC Therapeutics, Inc.</t>
  </si>
  <si>
    <t>ppbi</t>
  </si>
  <si>
    <t>Pacific Premier Bancorp, Inc.</t>
  </si>
  <si>
    <t>gjo</t>
  </si>
  <si>
    <t>STRATS SM Wal-Mart 4.65 Floating Rate STRATS Certificates Series 2005-4</t>
  </si>
  <si>
    <t>cwh</t>
  </si>
  <si>
    <t>Camping World Holdings Inc</t>
  </si>
  <si>
    <t>qbcaf</t>
  </si>
  <si>
    <t>Quebecor Inc Class A</t>
  </si>
  <si>
    <t>sbba</t>
  </si>
  <si>
    <t>Scorpio Tankers 7.00% Senior Notes Due 2025</t>
  </si>
  <si>
    <t>xomap</t>
  </si>
  <si>
    <t>XOMA Corp Preferred Shares Series A</t>
  </si>
  <si>
    <t>rwayl</t>
  </si>
  <si>
    <t>Runway Growth Finance 7 50 Notes due 28th July 2027</t>
  </si>
  <si>
    <t>aosl</t>
  </si>
  <si>
    <t>Alpha and Omega Semiconductor Ltd</t>
  </si>
  <si>
    <t>karo</t>
  </si>
  <si>
    <t>Karooooo Ltd</t>
  </si>
  <si>
    <t>gcbc</t>
  </si>
  <si>
    <t>Greene County Bancorp Inc</t>
  </si>
  <si>
    <t>ntla</t>
  </si>
  <si>
    <t>Intellia Therapeutics Inc</t>
  </si>
  <si>
    <t>acad</t>
  </si>
  <si>
    <t>ACADIA Pharmaceuticals Inc</t>
  </si>
  <si>
    <t>socgm</t>
  </si>
  <si>
    <t>Southern California Gas Co Preferred Shares</t>
  </si>
  <si>
    <t>ener</t>
  </si>
  <si>
    <t>Amundi MSCI New Energy ESG Screened UCITS ETF Dist</t>
  </si>
  <si>
    <t>usac</t>
  </si>
  <si>
    <t>Usa Compression Partners LP</t>
  </si>
  <si>
    <t>powwp</t>
  </si>
  <si>
    <t>AMMO 8 75 Cumulative Redeemable Perpetual Prf Shs Series A</t>
  </si>
  <si>
    <t>frmep</t>
  </si>
  <si>
    <t>First Merchants Depository Shares reprs 1 100th 7 50 Non Cum Perp Prf Shs A</t>
  </si>
  <si>
    <t>bpopm</t>
  </si>
  <si>
    <t>Popular Capital Trust II 6 125 Cumulative Monthly Income Pref Shs</t>
  </si>
  <si>
    <t>gpk</t>
  </si>
  <si>
    <t>Graphic Packaging Holding Company</t>
  </si>
  <si>
    <t>0.41 (1.59%)</t>
  </si>
  <si>
    <t>trinl</t>
  </si>
  <si>
    <t>Trinity Capital 7 00 Notes Due 16th Jan 2025</t>
  </si>
  <si>
    <t>bep</t>
  </si>
  <si>
    <t>Brookfield Renewable Partners LP</t>
  </si>
  <si>
    <t>vlgea</t>
  </si>
  <si>
    <t>Village Super Market, Inc.</t>
  </si>
  <si>
    <t>metcl</t>
  </si>
  <si>
    <t>Ramaco Resources 9 00 Senior Notes due 2026</t>
  </si>
  <si>
    <t>msbi</t>
  </si>
  <si>
    <t>Midland States Bancorp Inc</t>
  </si>
  <si>
    <t>strt</t>
  </si>
  <si>
    <t>Strattec Security Corp</t>
  </si>
  <si>
    <t>esgrp</t>
  </si>
  <si>
    <t>Enstar Group DS Representing 1 1000 Pref Shs Series D</t>
  </si>
  <si>
    <t>trn</t>
  </si>
  <si>
    <t>Trinity Industries Inc</t>
  </si>
  <si>
    <t>ni</t>
  </si>
  <si>
    <t>NiSource Inc.</t>
  </si>
  <si>
    <t>bhb</t>
  </si>
  <si>
    <t>Bar Harbor Bankshares</t>
  </si>
  <si>
    <t>1.15</t>
  </si>
  <si>
    <t>agncn</t>
  </si>
  <si>
    <t>Agnc Invt 1000 DS Repstg Pref Shs Series C</t>
  </si>
  <si>
    <t>chscn</t>
  </si>
  <si>
    <t>CHS Inc Preferred Shares Series 2</t>
  </si>
  <si>
    <t>amal</t>
  </si>
  <si>
    <t>Amalgamated Bank</t>
  </si>
  <si>
    <t>ddt</t>
  </si>
  <si>
    <t>Dillards Capital Trust I 7.50% Capital Securities Exp 01 Aug 2038</t>
  </si>
  <si>
    <t>zionl</t>
  </si>
  <si>
    <t>Zions Bancorporation NA 6.95% Equity-linked Note</t>
  </si>
  <si>
    <t>fitbi</t>
  </si>
  <si>
    <t>Fifth Third Bancorp Depositary Shares Representing 1/1000th Perp Pref Shs Series I</t>
  </si>
  <si>
    <t>nss</t>
  </si>
  <si>
    <t>NuStar Logistics 7.625% Fixed To Floating Rate Subordinated Notes Exp 15 Jan 2043</t>
  </si>
  <si>
    <t>itrn</t>
  </si>
  <si>
    <t>Ituran Location and Control Ltd. (US)</t>
  </si>
  <si>
    <t>nws</t>
  </si>
  <si>
    <t>News Corp Class B</t>
  </si>
  <si>
    <t>ovly</t>
  </si>
  <si>
    <t>Oak Valley Bancorp</t>
  </si>
  <si>
    <t>rmr</t>
  </si>
  <si>
    <t>RMR Group Inc</t>
  </si>
  <si>
    <t>chscl</t>
  </si>
  <si>
    <t>CHS Inc Preferred Shares Series 4</t>
  </si>
  <si>
    <t>prta</t>
  </si>
  <si>
    <t>Prothena Corporation PLC</t>
  </si>
  <si>
    <t>smpny</t>
  </si>
  <si>
    <t>Sompo Holdings ADR</t>
  </si>
  <si>
    <t>hpx</t>
  </si>
  <si>
    <t>Hisamitsu Pharmaceutical Co Inc</t>
  </si>
  <si>
    <t>ssbk</t>
  </si>
  <si>
    <t>Southern States Bancshares Inc</t>
  </si>
  <si>
    <t>six</t>
  </si>
  <si>
    <t>Six Flags Entertainment Corp</t>
  </si>
  <si>
    <t>prh</t>
  </si>
  <si>
    <t>Prudential Financial 5 950 Junior Subordinated Notes due 2062</t>
  </si>
  <si>
    <t>beam</t>
  </si>
  <si>
    <t>Beam Therapeutics Inc</t>
  </si>
  <si>
    <t>rto</t>
  </si>
  <si>
    <t>banfp</t>
  </si>
  <si>
    <t>BancFirst 7.2% Cumulative Pref Shs</t>
  </si>
  <si>
    <t>qnbc</t>
  </si>
  <si>
    <t>QNB Corp</t>
  </si>
  <si>
    <t>strn</t>
  </si>
  <si>
    <t>Schlatter Industries AG</t>
  </si>
  <si>
    <t>vtol</t>
  </si>
  <si>
    <t>Bristow Group Inc</t>
  </si>
  <si>
    <t>ppl</t>
  </si>
  <si>
    <t>PPL Corp</t>
  </si>
  <si>
    <t>igt</t>
  </si>
  <si>
    <t>International Game Technology PLC</t>
  </si>
  <si>
    <t>jks</t>
  </si>
  <si>
    <t>JinkoSolar Holding Co., Ltd</t>
  </si>
  <si>
    <t>uco</t>
  </si>
  <si>
    <t>ProShares Ultra Bloomberg Crude Oil ETF</t>
  </si>
  <si>
    <t>skt</t>
  </si>
  <si>
    <t>Tanger Inc</t>
  </si>
  <si>
    <t>sbow</t>
  </si>
  <si>
    <t>SilverBow Resources Inc</t>
  </si>
  <si>
    <t>mbcn</t>
  </si>
  <si>
    <t>Middlefield Banc Corp</t>
  </si>
  <si>
    <t>kids</t>
  </si>
  <si>
    <t>Orthopediatrics Corp</t>
  </si>
  <si>
    <t>chsco</t>
  </si>
  <si>
    <t>CHS Inc Preferred Shares Class B</t>
  </si>
  <si>
    <t>vno</t>
  </si>
  <si>
    <t>Vornado Realty Trust</t>
  </si>
  <si>
    <t>xp</t>
  </si>
  <si>
    <t>XP Inc</t>
  </si>
  <si>
    <t>chx</t>
  </si>
  <si>
    <t>ChampionX Corp</t>
  </si>
  <si>
    <t>scvl</t>
  </si>
  <si>
    <t>Shoe Carnival Inc</t>
  </si>
  <si>
    <t>crto</t>
  </si>
  <si>
    <t>Criteo SA</t>
  </si>
  <si>
    <t>ziono</t>
  </si>
  <si>
    <t>Zions Bancorporation NA Preference Shares Series G</t>
  </si>
  <si>
    <t>cade</t>
  </si>
  <si>
    <t>Cadence Bank</t>
  </si>
  <si>
    <t>amj</t>
  </si>
  <si>
    <t>JP Morgan Chase Alerian ETN Exp 24 May 2024</t>
  </si>
  <si>
    <t>kss</t>
  </si>
  <si>
    <t>Kohls Corp</t>
  </si>
  <si>
    <t>sem</t>
  </si>
  <si>
    <t>Select Medical Holdings Corp</t>
  </si>
  <si>
    <t>ktn</t>
  </si>
  <si>
    <t>Structured Products 8.205% Credit-Enhanced Corporate-Backed Trust Securities For Aon Capital A Trust</t>
  </si>
  <si>
    <t>fibk</t>
  </si>
  <si>
    <t>First Interstate Bancsystem Inc</t>
  </si>
  <si>
    <t>utg</t>
  </si>
  <si>
    <t>Reaves Utility Income Fund</t>
  </si>
  <si>
    <t>box</t>
  </si>
  <si>
    <t>Box Inc</t>
  </si>
  <si>
    <t>0.05</t>
  </si>
  <si>
    <t>hstm</t>
  </si>
  <si>
    <t>HealthStream, Inc.</t>
  </si>
  <si>
    <t>nyax</t>
  </si>
  <si>
    <t>Nayax Ltd</t>
  </si>
  <si>
    <t>pgc</t>
  </si>
  <si>
    <t>Peapack-Gladstone Financial Corporation Common Stock</t>
  </si>
  <si>
    <t>bdl</t>
  </si>
  <si>
    <t>Flanigan's Enterprises Inc</t>
  </si>
  <si>
    <t>ptgx</t>
  </si>
  <si>
    <t>Protagonist Therapeutics Inc</t>
  </si>
  <si>
    <t>dk</t>
  </si>
  <si>
    <t>Delek US Holdings Inc</t>
  </si>
  <si>
    <t>imos</t>
  </si>
  <si>
    <t>ChipMOS Technologies Inc - ADR</t>
  </si>
  <si>
    <t>sdgr</t>
  </si>
  <si>
    <t>Schrodinger Inc</t>
  </si>
  <si>
    <t>wolf</t>
  </si>
  <si>
    <t>Wolfspeed Inc</t>
  </si>
  <si>
    <t>jsgry</t>
  </si>
  <si>
    <t>LIXIL ADR</t>
  </si>
  <si>
    <t>mirm</t>
  </si>
  <si>
    <t>Mirum Pharmaceuticals Inc</t>
  </si>
  <si>
    <t>jbk</t>
  </si>
  <si>
    <t>Lehman 3.50% Adjustable Corporate Backed Trust Certificates Goldman Sachs Securities-Backed Series 2004-6</t>
  </si>
  <si>
    <t>bku</t>
  </si>
  <si>
    <t>BankUnited Inc</t>
  </si>
  <si>
    <t>1.13</t>
  </si>
  <si>
    <t>htbi</t>
  </si>
  <si>
    <t>Hometrust Bancshares Inc</t>
  </si>
  <si>
    <t>cno</t>
  </si>
  <si>
    <t>CNO Financial Group Inc</t>
  </si>
  <si>
    <t>btu</t>
  </si>
  <si>
    <t>Peabody Energy Corp</t>
  </si>
  <si>
    <t>cofs</t>
  </si>
  <si>
    <t>Choiceone Financial Services Inc</t>
  </si>
  <si>
    <t>epd</t>
  </si>
  <si>
    <t>Enterprise Products Partners LP</t>
  </si>
  <si>
    <t>2.11</t>
  </si>
  <si>
    <t>spfi</t>
  </si>
  <si>
    <t>South Plains Financial Inc</t>
  </si>
  <si>
    <t>lnc</t>
  </si>
  <si>
    <t>Lincoln National Corp</t>
  </si>
  <si>
    <t>alks</t>
  </si>
  <si>
    <t>Alkermes Plc</t>
  </si>
  <si>
    <t>wash</t>
  </si>
  <si>
    <t>Washington Trust Bancorp Inc</t>
  </si>
  <si>
    <t>bros</t>
  </si>
  <si>
    <t>Dutch Bros Inc</t>
  </si>
  <si>
    <t>cape</t>
  </si>
  <si>
    <t>DoubleLine Shiller CAPE US Equities ETF</t>
  </si>
  <si>
    <t>titn</t>
  </si>
  <si>
    <t>Titan Machinery Inc</t>
  </si>
  <si>
    <t>bwfg</t>
  </si>
  <si>
    <t>Bankwell Financial Group Inc</t>
  </si>
  <si>
    <t>ben</t>
  </si>
  <si>
    <t>Franklin Resources Inc</t>
  </si>
  <si>
    <t>mlkn</t>
  </si>
  <si>
    <t>MillerKnoll Inc</t>
  </si>
  <si>
    <t>pfe</t>
  </si>
  <si>
    <t>Pfizer Inc</t>
  </si>
  <si>
    <t>orrf</t>
  </si>
  <si>
    <t>Orrstown Financial Services, Inc. Common Stock</t>
  </si>
  <si>
    <t>trup</t>
  </si>
  <si>
    <t>Trupanion Inc</t>
  </si>
  <si>
    <t>swghf</t>
  </si>
  <si>
    <t>Sawai Group Holdings Co Ltd</t>
  </si>
  <si>
    <t>tsbk</t>
  </si>
  <si>
    <t>Timberland Bancorp Inc</t>
  </si>
  <si>
    <t>spns</t>
  </si>
  <si>
    <t>Sapiens International Corporation NV</t>
  </si>
  <si>
    <t>jscpf</t>
  </si>
  <si>
    <t>JSR Corp</t>
  </si>
  <si>
    <t>vsco</t>
  </si>
  <si>
    <t>Victoria's Secret &amp; Co</t>
  </si>
  <si>
    <t>ppc</t>
  </si>
  <si>
    <t>Pilgrims Pride Corp</t>
  </si>
  <si>
    <t>onew</t>
  </si>
  <si>
    <t>OneWater Marine Inc</t>
  </si>
  <si>
    <t>base</t>
  </si>
  <si>
    <t>Couchbase Inc</t>
  </si>
  <si>
    <t>rcmt</t>
  </si>
  <si>
    <t>R C M Technologies Inc</t>
  </si>
  <si>
    <t>bepc</t>
  </si>
  <si>
    <t>Brookfield Renewable Corp</t>
  </si>
  <si>
    <t>trmk</t>
  </si>
  <si>
    <t>Trustmark Corp</t>
  </si>
  <si>
    <t>amrk</t>
  </si>
  <si>
    <t>A-Mark Precious Metals Inc</t>
  </si>
  <si>
    <t>cih</t>
  </si>
  <si>
    <t>Finning International Inc</t>
  </si>
  <si>
    <t>unty</t>
  </si>
  <si>
    <t>Unity Bancorp, Inc.</t>
  </si>
  <si>
    <t>blmn</t>
  </si>
  <si>
    <t>Bloomin' Brands Inc</t>
  </si>
  <si>
    <t>gty</t>
  </si>
  <si>
    <t>Getty Realty Corp.</t>
  </si>
  <si>
    <t>ucbi</t>
  </si>
  <si>
    <t>United Community Banks Inc</t>
  </si>
  <si>
    <t>cvgw</t>
  </si>
  <si>
    <t>Calavo Growers, Inc.</t>
  </si>
  <si>
    <t>gll</t>
  </si>
  <si>
    <t>ProShares UltraShort Gold</t>
  </si>
  <si>
    <t>pebk</t>
  </si>
  <si>
    <t>Peoples Bancorp of North Carolina, Inc.</t>
  </si>
  <si>
    <t>docs</t>
  </si>
  <si>
    <t>Doximity Inc</t>
  </si>
  <si>
    <t>bsvn</t>
  </si>
  <si>
    <t>Bank7 Corp</t>
  </si>
  <si>
    <t>amsyf</t>
  </si>
  <si>
    <t>ArcelorMittal SA</t>
  </si>
  <si>
    <t>s</t>
  </si>
  <si>
    <t>SentinelOne Inc</t>
  </si>
  <si>
    <t>modn</t>
  </si>
  <si>
    <t>Model N Inc</t>
  </si>
  <si>
    <t>fvrr</t>
  </si>
  <si>
    <t>Fiverr International Ltd</t>
  </si>
  <si>
    <t>mt</t>
  </si>
  <si>
    <t>jscpy</t>
  </si>
  <si>
    <t>JSR ADR</t>
  </si>
  <si>
    <t>supn</t>
  </si>
  <si>
    <t>Supernus Pharmaceuticals Inc</t>
  </si>
  <si>
    <t>bno</t>
  </si>
  <si>
    <t>United States Brent Oil Fund LP</t>
  </si>
  <si>
    <t>alpn</t>
  </si>
  <si>
    <t>Alpine Immune Sciences Inc</t>
  </si>
  <si>
    <t>onon</t>
  </si>
  <si>
    <t>On Holding AG</t>
  </si>
  <si>
    <t>ori</t>
  </si>
  <si>
    <t>Old Republic International Corp</t>
  </si>
  <si>
    <t>reyn</t>
  </si>
  <si>
    <t>Reynolds Consumer Products Inc</t>
  </si>
  <si>
    <t>amam</t>
  </si>
  <si>
    <t>Ambrx Biopharma Inc</t>
  </si>
  <si>
    <t>gmab</t>
  </si>
  <si>
    <t>Genmab A/S - ADR</t>
  </si>
  <si>
    <t>trst</t>
  </si>
  <si>
    <t>TrustCo Bank Corp NY</t>
  </si>
  <si>
    <t>staa</t>
  </si>
  <si>
    <t>STAAR Surgical Co</t>
  </si>
  <si>
    <t>snn</t>
  </si>
  <si>
    <t>ebtc</t>
  </si>
  <si>
    <t>Enterprise Bancorp Inc</t>
  </si>
  <si>
    <t>uup</t>
  </si>
  <si>
    <t>Invesco DB US Dollar Index Bullish Fund</t>
  </si>
  <si>
    <t>vwsyf</t>
  </si>
  <si>
    <t>Vestas Wind Systems A/S</t>
  </si>
  <si>
    <t>cnp</t>
  </si>
  <si>
    <t>CenterPoint Energy Inc</t>
  </si>
  <si>
    <t>ctrn</t>
  </si>
  <si>
    <t>Citi Trends, Inc.</t>
  </si>
  <si>
    <t>wnc</t>
  </si>
  <si>
    <t>Wabash National Corporation</t>
  </si>
  <si>
    <t>mov</t>
  </si>
  <si>
    <t>Movado Group Inc</t>
  </si>
  <si>
    <t>act</t>
  </si>
  <si>
    <t>Enact Holdings Inc</t>
  </si>
  <si>
    <t>1.33</t>
  </si>
  <si>
    <t>ngms</t>
  </si>
  <si>
    <t>NeoGames SA</t>
  </si>
  <si>
    <t>spr</t>
  </si>
  <si>
    <t>Spirit AeroSystems Holdings Inc</t>
  </si>
  <si>
    <t>svysf</t>
  </si>
  <si>
    <t>Solvay SA</t>
  </si>
  <si>
    <t>cbio</t>
  </si>
  <si>
    <t>Global X China Biotech UCITS ETF USD Acc</t>
  </si>
  <si>
    <t>rprx</t>
  </si>
  <si>
    <t>Royalty Pharma plc</t>
  </si>
  <si>
    <t>dscsy</t>
  </si>
  <si>
    <t>Disco ADR</t>
  </si>
  <si>
    <t>cold</t>
  </si>
  <si>
    <t>Americold Realty Trust Inc</t>
  </si>
  <si>
    <t>insm</t>
  </si>
  <si>
    <t>Insmed Inc</t>
  </si>
  <si>
    <t>weix</t>
  </si>
  <si>
    <t>Dynamic Short Short-Term Volatility Futures ETF</t>
  </si>
  <si>
    <t>flxs</t>
  </si>
  <si>
    <t>Flexsteel Industries Inc</t>
  </si>
  <si>
    <t>ohi</t>
  </si>
  <si>
    <t>Omega Healthcare Investors Inc</t>
  </si>
  <si>
    <t>smmf</t>
  </si>
  <si>
    <t>Summit Financial Group Inc</t>
  </si>
  <si>
    <t>ccbg</t>
  </si>
  <si>
    <t>Capital City Bank Group, Inc.</t>
  </si>
  <si>
    <t>alco</t>
  </si>
  <si>
    <t>Alico Inc</t>
  </si>
  <si>
    <t>hmnty</t>
  </si>
  <si>
    <t>HEMNET GROUP ADR</t>
  </si>
  <si>
    <t>li</t>
  </si>
  <si>
    <t>eqnr</t>
  </si>
  <si>
    <t>Equinor ASA</t>
  </si>
  <si>
    <t>wafd</t>
  </si>
  <si>
    <t>WaFd Inc</t>
  </si>
  <si>
    <t>wes</t>
  </si>
  <si>
    <t>Western Midstream Partners LP</t>
  </si>
  <si>
    <t>rcky</t>
  </si>
  <si>
    <t>Rocky Brands Inc</t>
  </si>
  <si>
    <t>rvmd</t>
  </si>
  <si>
    <t>Revolution Medicines Inc</t>
  </si>
  <si>
    <t>hac</t>
  </si>
  <si>
    <t>Horizons Seasonal Rotation ETF Class E</t>
  </si>
  <si>
    <t>nwfl</t>
  </si>
  <si>
    <t>Norwood Financial Corp</t>
  </si>
  <si>
    <t>tkphf</t>
  </si>
  <si>
    <t>tars</t>
  </si>
  <si>
    <t>Tarsus Pharmaceuticals Inc</t>
  </si>
  <si>
    <t>rckt</t>
  </si>
  <si>
    <t>Rocket Pharmaceuticals Inc</t>
  </si>
  <si>
    <t>pebo</t>
  </si>
  <si>
    <t>Peoples Bancorp Inc.</t>
  </si>
  <si>
    <t>bxsl</t>
  </si>
  <si>
    <t>Blackstone Secured Lending Fund</t>
  </si>
  <si>
    <t>ndp</t>
  </si>
  <si>
    <t>Tortoise Energy Independence Fund Inc</t>
  </si>
  <si>
    <t>algm</t>
  </si>
  <si>
    <t>Allegro MicroSystems Inc</t>
  </si>
  <si>
    <t>tsem</t>
  </si>
  <si>
    <t>Tower Semiconductor Ltd</t>
  </si>
  <si>
    <t>hpq</t>
  </si>
  <si>
    <t>HP Inc</t>
  </si>
  <si>
    <t>eypt</t>
  </si>
  <si>
    <t>Eyepoint Pharmaceuticals Inc</t>
  </si>
  <si>
    <t>kth</t>
  </si>
  <si>
    <t>Structured Products 8% Corporate-Backed Trust Securities Certificates by PECO Energy Capital Due 06 Apr 2028</t>
  </si>
  <si>
    <t>rrc</t>
  </si>
  <si>
    <t>Range Resources Corp</t>
  </si>
  <si>
    <t>gco</t>
  </si>
  <si>
    <t>Genesco Inc</t>
  </si>
  <si>
    <t>avnw</t>
  </si>
  <si>
    <t>Aviat Networks Inc</t>
  </si>
  <si>
    <t>flng</t>
  </si>
  <si>
    <t>FLEX LNG Ltd</t>
  </si>
  <si>
    <t>ocn</t>
  </si>
  <si>
    <t>Ocwen Financial Corp</t>
  </si>
  <si>
    <t>wsbc</t>
  </si>
  <si>
    <t>WesBanco Inc</t>
  </si>
  <si>
    <t>dgii</t>
  </si>
  <si>
    <t>Digi International Inc</t>
  </si>
  <si>
    <t>tsgty</t>
  </si>
  <si>
    <t>Tsingtao Brewery ADR</t>
  </si>
  <si>
    <t>bene</t>
  </si>
  <si>
    <t>Wisdomtree Energy Enhanced</t>
  </si>
  <si>
    <t>tags</t>
  </si>
  <si>
    <t>Teucrium Agricultural Fund</t>
  </si>
  <si>
    <t>bkr</t>
  </si>
  <si>
    <t>Baker Hughes Co</t>
  </si>
  <si>
    <t>0.83</t>
  </si>
  <si>
    <t>gbli</t>
  </si>
  <si>
    <t>Global Indemnity Group LLC</t>
  </si>
  <si>
    <t>ttp</t>
  </si>
  <si>
    <t>Tortoise Pipeline &amp; Energy Fund Inc</t>
  </si>
  <si>
    <t>vrnt</t>
  </si>
  <si>
    <t>Verint Systems Inc.</t>
  </si>
  <si>
    <t>tyg</t>
  </si>
  <si>
    <t>Tortoise Energy Infrastructure Corp</t>
  </si>
  <si>
    <t>rdn</t>
  </si>
  <si>
    <t>Radian Group Inc</t>
  </si>
  <si>
    <t>peri</t>
  </si>
  <si>
    <t>Perion Network Ltd Common Stock</t>
  </si>
  <si>
    <t>azihf</t>
  </si>
  <si>
    <t>Azimut Holding SpA</t>
  </si>
  <si>
    <t>ty</t>
  </si>
  <si>
    <t>Tri-Continental Corp</t>
  </si>
  <si>
    <t>imgn</t>
  </si>
  <si>
    <t>ImmunoGen, Inc.</t>
  </si>
  <si>
    <t>stohf</t>
  </si>
  <si>
    <t>clfd</t>
  </si>
  <si>
    <t>Clearfield Inc</t>
  </si>
  <si>
    <t>cag</t>
  </si>
  <si>
    <t>Conagra Brands Inc</t>
  </si>
  <si>
    <t>unb</t>
  </si>
  <si>
    <t>UNION BANKSHARES INC Common Stock</t>
  </si>
  <si>
    <t>aciw</t>
  </si>
  <si>
    <t>ACI Worldwide Inc</t>
  </si>
  <si>
    <t>aa</t>
  </si>
  <si>
    <t>Alcoa Corp</t>
  </si>
  <si>
    <t>fl</t>
  </si>
  <si>
    <t>Foot Locker Inc</t>
  </si>
  <si>
    <t>fox</t>
  </si>
  <si>
    <t>Fox Corp Class B</t>
  </si>
  <si>
    <t>hrnnf</t>
  </si>
  <si>
    <t>Hydro One Ltd</t>
  </si>
  <si>
    <t>bto</t>
  </si>
  <si>
    <t>John Hancock Financial Opprts Fund</t>
  </si>
  <si>
    <t>armk</t>
  </si>
  <si>
    <t>Aramark</t>
  </si>
  <si>
    <t>evbn</t>
  </si>
  <si>
    <t>Evans Bancorp Inc</t>
  </si>
  <si>
    <t>ntb</t>
  </si>
  <si>
    <t>Bank of N T Butterfield &amp; Son Ltd</t>
  </si>
  <si>
    <t>pdco</t>
  </si>
  <si>
    <t>Patterson Companies, Inc.</t>
  </si>
  <si>
    <t>efsi</t>
  </si>
  <si>
    <t>Eagle Financial Services Inc</t>
  </si>
  <si>
    <t>bzh</t>
  </si>
  <si>
    <t>Beazer Homes USA Inc</t>
  </si>
  <si>
    <t>vlpnf</t>
  </si>
  <si>
    <t>voestalpine AG</t>
  </si>
  <si>
    <t>ubs</t>
  </si>
  <si>
    <t>UBS Group AG</t>
  </si>
  <si>
    <t>djp</t>
  </si>
  <si>
    <t>Barclays Bank iPath Bloomberg Commodity Index Total Return ETN Exp 12 June 2036</t>
  </si>
  <si>
    <t>etd</t>
  </si>
  <si>
    <t>Ethan Allen Interiors Inc</t>
  </si>
  <si>
    <t>kequ</t>
  </si>
  <si>
    <t>Kewaunee Scientific Corporation</t>
  </si>
  <si>
    <t>fcap</t>
  </si>
  <si>
    <t>First Capital Inc</t>
  </si>
  <si>
    <t>rvrf</t>
  </si>
  <si>
    <t>River Financial Corp</t>
  </si>
  <si>
    <t>ulh</t>
  </si>
  <si>
    <t>Universal Logistics Holdings Inc</t>
  </si>
  <si>
    <t>trolb</t>
  </si>
  <si>
    <t>Tootsie Roll Industries Inc Class B</t>
  </si>
  <si>
    <t>vsogf</t>
  </si>
  <si>
    <t>Vista Energy SAB de CV</t>
  </si>
  <si>
    <t>asrmf</t>
  </si>
  <si>
    <t>Grupo Aeroportuario del Surest SAB de CV</t>
  </si>
  <si>
    <t>bti</t>
  </si>
  <si>
    <t>British American Tobacco PLC</t>
  </si>
  <si>
    <t>3.04</t>
  </si>
  <si>
    <t>jhg</t>
  </si>
  <si>
    <t>Janus Henderson Group PLC</t>
  </si>
  <si>
    <t>giii</t>
  </si>
  <si>
    <t>G-III Apparel Group Ltd</t>
  </si>
  <si>
    <t>phvs</t>
  </si>
  <si>
    <t>Pharvaris NV</t>
  </si>
  <si>
    <t>inbk</t>
  </si>
  <si>
    <t>First Internet Bancorp</t>
  </si>
  <si>
    <t>mituf</t>
  </si>
  <si>
    <t>Mitsui Chemicals Inc</t>
  </si>
  <si>
    <t>nwpx</t>
  </si>
  <si>
    <t>Northwest Pipe Co</t>
  </si>
  <si>
    <t>apa</t>
  </si>
  <si>
    <t>APA Corp (US)</t>
  </si>
  <si>
    <t>nep</t>
  </si>
  <si>
    <t>Nextera Energy Partners LP</t>
  </si>
  <si>
    <t>btaff</t>
  </si>
  <si>
    <t>BRITISH AMERICAN TOBACCO PLC ADS Common Stock</t>
  </si>
  <si>
    <t>bhe</t>
  </si>
  <si>
    <t>Benchmark Electronics Inc</t>
  </si>
  <si>
    <t>pcrx</t>
  </si>
  <si>
    <t>Pacira Biosciences Inc</t>
  </si>
  <si>
    <t>vsto</t>
  </si>
  <si>
    <t>Vista Outdoor Inc</t>
  </si>
  <si>
    <t>sbsi</t>
  </si>
  <si>
    <t>Southside Bancshares Inc</t>
  </si>
  <si>
    <t>mtlhy</t>
  </si>
  <si>
    <t>Mitsubishi Chemical Group ADR</t>
  </si>
  <si>
    <t>gnty</t>
  </si>
  <si>
    <t>Guaranty Bancshares, Inc.</t>
  </si>
  <si>
    <t>mrcy</t>
  </si>
  <si>
    <t>Mercury Systems Inc</t>
  </si>
  <si>
    <t>vici</t>
  </si>
  <si>
    <t>VICI Properties Inc</t>
  </si>
  <si>
    <t>dbd</t>
  </si>
  <si>
    <t>Diebold Nixdorf Inc</t>
  </si>
  <si>
    <t>hrl</t>
  </si>
  <si>
    <t>Hormel Foods Corp</t>
  </si>
  <si>
    <t>plab</t>
  </si>
  <si>
    <t>Photronics, Inc.</t>
  </si>
  <si>
    <t>cc</t>
  </si>
  <si>
    <t>Chemours Co</t>
  </si>
  <si>
    <t>euo</t>
  </si>
  <si>
    <t>ProShares UltraShort Euro ETF</t>
  </si>
  <si>
    <t>lsxmk</t>
  </si>
  <si>
    <t>Liberty Media Corp Series C</t>
  </si>
  <si>
    <t>cwco</t>
  </si>
  <si>
    <t>Consolidated Water Co. Ltd.</t>
  </si>
  <si>
    <t>matw</t>
  </si>
  <si>
    <t>Matthews International Corp</t>
  </si>
  <si>
    <t>prg</t>
  </si>
  <si>
    <t>PROG Holdings Inc</t>
  </si>
  <si>
    <t>hsii</t>
  </si>
  <si>
    <t>Heidrick &amp; Struggles International, Inc.</t>
  </si>
  <si>
    <t>bhplf</t>
  </si>
  <si>
    <t>BHP Group Ltd</t>
  </si>
  <si>
    <t>lsxma</t>
  </si>
  <si>
    <t>Liberty Media Corp Series A</t>
  </si>
  <si>
    <t>fmbh</t>
  </si>
  <si>
    <t>First Mid-Illinois Bancshares, Inc. Common Stock</t>
  </si>
  <si>
    <t>exls</t>
  </si>
  <si>
    <t>Exlservice Holdings Inc</t>
  </si>
  <si>
    <t>zws</t>
  </si>
  <si>
    <t>Zurn Elkay Water Solutions Corp</t>
  </si>
  <si>
    <t>mos</t>
  </si>
  <si>
    <t>Mosaic Co</t>
  </si>
  <si>
    <t>rnst</t>
  </si>
  <si>
    <t>Renasant Corp</t>
  </si>
  <si>
    <t>blbd</t>
  </si>
  <si>
    <t>Blue Bird Corp</t>
  </si>
  <si>
    <t>chscp</t>
  </si>
  <si>
    <t>CHS Inc Preferred Shares</t>
  </si>
  <si>
    <t>ltc</t>
  </si>
  <si>
    <t>LTC Properties Inc</t>
  </si>
  <si>
    <t>hth</t>
  </si>
  <si>
    <t>Hilltop Holdings Inc.</t>
  </si>
  <si>
    <t>agr</t>
  </si>
  <si>
    <t>Avangrid Inc</t>
  </si>
  <si>
    <t>1.76</t>
  </si>
  <si>
    <t>dmlp</t>
  </si>
  <si>
    <t>Dorchester Minerals LP</t>
  </si>
  <si>
    <t>infa</t>
  </si>
  <si>
    <t>Informatica Inc</t>
  </si>
  <si>
    <t>oxbc</t>
  </si>
  <si>
    <t>Oxford Bank Corporation (MI) Common Stock</t>
  </si>
  <si>
    <t>nksh</t>
  </si>
  <si>
    <t>National Bankshares Inc.</t>
  </si>
  <si>
    <t>hzo</t>
  </si>
  <si>
    <t>MarineMax Inc</t>
  </si>
  <si>
    <t>yy</t>
  </si>
  <si>
    <t>JOYY Inc</t>
  </si>
  <si>
    <t>boac</t>
  </si>
  <si>
    <t>Bank of America Corp</t>
  </si>
  <si>
    <t>amk</t>
  </si>
  <si>
    <t>AssetMark Financial Holdings Inc</t>
  </si>
  <si>
    <t>sim</t>
  </si>
  <si>
    <t>Grupo Simec SAB de CV</t>
  </si>
  <si>
    <t>hrmy</t>
  </si>
  <si>
    <t>Harmony Biosciences Holdings Inc</t>
  </si>
  <si>
    <t>htht</t>
  </si>
  <si>
    <t>H World Group Ltd</t>
  </si>
  <si>
    <t>atex</t>
  </si>
  <si>
    <t>Anterix Inc</t>
  </si>
  <si>
    <t>meg</t>
  </si>
  <si>
    <t>Montrose Environmental Group Inc</t>
  </si>
  <si>
    <t>vnom</t>
  </si>
  <si>
    <t>Viper Energy Inc</t>
  </si>
  <si>
    <t>for</t>
  </si>
  <si>
    <t>Forestar Group Inc</t>
  </si>
  <si>
    <t>nmih</t>
  </si>
  <si>
    <t>NMI Holdings Inc</t>
  </si>
  <si>
    <t>ncno</t>
  </si>
  <si>
    <t>nCino Inc</t>
  </si>
  <si>
    <t>lsxmb</t>
  </si>
  <si>
    <t>Liberty Media Corp Series B</t>
  </si>
  <si>
    <t>cpe</t>
  </si>
  <si>
    <t>Callon Petroleum Company</t>
  </si>
  <si>
    <t>efl</t>
  </si>
  <si>
    <t>Leonteq AG</t>
  </si>
  <si>
    <t>rydaf</t>
  </si>
  <si>
    <t>Shell PLC</t>
  </si>
  <si>
    <t>bip</t>
  </si>
  <si>
    <t>Brookfield Infrastructure Partners L.P.</t>
  </si>
  <si>
    <t>1.62</t>
  </si>
  <si>
    <t>vabk</t>
  </si>
  <si>
    <t>Virginia National Bankshares Corp</t>
  </si>
  <si>
    <t>cea</t>
  </si>
  <si>
    <t>Friwo AG</t>
  </si>
  <si>
    <t>sqsp</t>
  </si>
  <si>
    <t>Squarespace Inc</t>
  </si>
  <si>
    <t>e</t>
  </si>
  <si>
    <t>1.96</t>
  </si>
  <si>
    <t>nmm</t>
  </si>
  <si>
    <t>Newmont Corporation</t>
  </si>
  <si>
    <t>ffin</t>
  </si>
  <si>
    <t>First Financial Bankshares Inc</t>
  </si>
  <si>
    <t>opch</t>
  </si>
  <si>
    <t>Option Care Health Inc</t>
  </si>
  <si>
    <t>uilcy</t>
  </si>
  <si>
    <t>SINGAPORE LD GROUP ADR</t>
  </si>
  <si>
    <t>cnlhn</t>
  </si>
  <si>
    <t>Connecticut Light Power Company 3 90 Pref Shs</t>
  </si>
  <si>
    <t>jakk</t>
  </si>
  <si>
    <t>JAKKS Pacific, Inc.</t>
  </si>
  <si>
    <t>nxrt</t>
  </si>
  <si>
    <t>NexPoint Residential Trust Inc</t>
  </si>
  <si>
    <t>nfe</t>
  </si>
  <si>
    <t>New Fortress Energy Inc</t>
  </si>
  <si>
    <t>kdp</t>
  </si>
  <si>
    <t>Keurig Dr Pepper Inc</t>
  </si>
  <si>
    <t>nx</t>
  </si>
  <si>
    <t>Quanex Building Products Corp</t>
  </si>
  <si>
    <t>tree</t>
  </si>
  <si>
    <t>Lendingtree Inc</t>
  </si>
  <si>
    <t>epac</t>
  </si>
  <si>
    <t>Enerpac Tool Group Corp</t>
  </si>
  <si>
    <t>srdx</t>
  </si>
  <si>
    <t>Surmodics Inc</t>
  </si>
  <si>
    <t>foxa</t>
  </si>
  <si>
    <t>Fox Corp Class A</t>
  </si>
  <si>
    <t>enr</t>
  </si>
  <si>
    <t>Energizer Holdings Inc</t>
  </si>
  <si>
    <t>1.23</t>
  </si>
  <si>
    <t>vpg</t>
  </si>
  <si>
    <t>Vishay Precision Group Inc</t>
  </si>
  <si>
    <t>cohu</t>
  </si>
  <si>
    <t>Cohu Inc</t>
  </si>
  <si>
    <t>cal</t>
  </si>
  <si>
    <t>Caleres Inc</t>
  </si>
  <si>
    <t>arwr</t>
  </si>
  <si>
    <t>Arrowhead Pharmaceuticals Inc</t>
  </si>
  <si>
    <t>amkr</t>
  </si>
  <si>
    <t>Amkor Technology, Inc.</t>
  </si>
  <si>
    <t>cib</t>
  </si>
  <si>
    <t>Bancolombia SA ADR</t>
  </si>
  <si>
    <t>3.23</t>
  </si>
  <si>
    <t>tayd</t>
  </si>
  <si>
    <t>Taylor Devices Inc</t>
  </si>
  <si>
    <t>bwmn</t>
  </si>
  <si>
    <t>Bowman Consulting Group Ltd</t>
  </si>
  <si>
    <t>omcl</t>
  </si>
  <si>
    <t>Omnicell Inc</t>
  </si>
  <si>
    <t>cfg</t>
  </si>
  <si>
    <t>Citizens Financial Group Inc</t>
  </si>
  <si>
    <t>1.71</t>
  </si>
  <si>
    <t>ts</t>
  </si>
  <si>
    <t>pdfs</t>
  </si>
  <si>
    <t>PDF Solutions, Inc.</t>
  </si>
  <si>
    <t>su</t>
  </si>
  <si>
    <t>Suncor Energy Inc</t>
  </si>
  <si>
    <t>1.55</t>
  </si>
  <si>
    <t>eqbk</t>
  </si>
  <si>
    <t>Equity BancShares Inc</t>
  </si>
  <si>
    <t>nog</t>
  </si>
  <si>
    <t>Northern Oil and Gas Inc</t>
  </si>
  <si>
    <t>gabc</t>
  </si>
  <si>
    <t>German American Bancorp Inc</t>
  </si>
  <si>
    <t>vist</t>
  </si>
  <si>
    <t>Vista Energy SAB de CV - ADR</t>
  </si>
  <si>
    <t>glw</t>
  </si>
  <si>
    <t>Corning Inc</t>
  </si>
  <si>
    <t>bprn</t>
  </si>
  <si>
    <t>Princeton Bancorp Inc</t>
  </si>
  <si>
    <t>prgo</t>
  </si>
  <si>
    <t>Perrigo Company PLC</t>
  </si>
  <si>
    <t>fraf</t>
  </si>
  <si>
    <t>Franklin Financial Services Corp</t>
  </si>
  <si>
    <t>sgry</t>
  </si>
  <si>
    <t>Surgery Partners Inc</t>
  </si>
  <si>
    <t>stba</t>
  </si>
  <si>
    <t>S&amp;T Bancorp Inc</t>
  </si>
  <si>
    <t>dxpe</t>
  </si>
  <si>
    <t>DXP Enterprises Inc</t>
  </si>
  <si>
    <t>kntk</t>
  </si>
  <si>
    <t>Kinetik Holdings Inc</t>
  </si>
  <si>
    <t>dbx</t>
  </si>
  <si>
    <t>Dropbox Inc</t>
  </si>
  <si>
    <t>weys</t>
  </si>
  <si>
    <t>Weyco Group, Inc.</t>
  </si>
  <si>
    <t>iot</t>
  </si>
  <si>
    <t>Samsara Inc</t>
  </si>
  <si>
    <t>veco</t>
  </si>
  <si>
    <t>Veeco Instruments Inc.</t>
  </si>
  <si>
    <t>ryn</t>
  </si>
  <si>
    <t>Rayonier Inc</t>
  </si>
  <si>
    <t>asmvy</t>
  </si>
  <si>
    <t>ASMPT ADR</t>
  </si>
  <si>
    <t>mnro</t>
  </si>
  <si>
    <t>Monro Inc</t>
  </si>
  <si>
    <t>ctlpp</t>
  </si>
  <si>
    <t>Cantaloupe Inc Preferred Shares</t>
  </si>
  <si>
    <t>axta</t>
  </si>
  <si>
    <t>Axalta Coating Systems Ltd</t>
  </si>
  <si>
    <t>cnpwm</t>
  </si>
  <si>
    <t>Connecticut Light Power Company 2 09 Series F Pref Shs</t>
  </si>
  <si>
    <t>shi</t>
  </si>
  <si>
    <t>SIG plc</t>
  </si>
  <si>
    <t>upst</t>
  </si>
  <si>
    <t>Upstart Holdings Inc</t>
  </si>
  <si>
    <t>hfbk</t>
  </si>
  <si>
    <t>Harford Bank</t>
  </si>
  <si>
    <t>appn</t>
  </si>
  <si>
    <t>Appian Corp</t>
  </si>
  <si>
    <t>tr</t>
  </si>
  <si>
    <t>Tootsie Roll Industries Inc</t>
  </si>
  <si>
    <t>gsce</t>
  </si>
  <si>
    <t>GS Connect S&amp;P GSCI Enhanced Commodity Total Return Strategy Index ETN</t>
  </si>
  <si>
    <t>stk</t>
  </si>
  <si>
    <t>Columbia Seligman Prmm Tchnlgy Grwth Fnd</t>
  </si>
  <si>
    <t>u</t>
  </si>
  <si>
    <t>Unity Software Inc</t>
  </si>
  <si>
    <t>eqh</t>
  </si>
  <si>
    <t>Equitable Holdings Inc</t>
  </si>
  <si>
    <t>coll</t>
  </si>
  <si>
    <t>Collegium Pharmaceutical Inc</t>
  </si>
  <si>
    <t>clw</t>
  </si>
  <si>
    <t>Clearwater Paper Corp</t>
  </si>
  <si>
    <t>wy</t>
  </si>
  <si>
    <t>Weyerhaeuser Co</t>
  </si>
  <si>
    <t>wf</t>
  </si>
  <si>
    <t>Woori Financial Group Inc</t>
  </si>
  <si>
    <t>2.32</t>
  </si>
  <si>
    <t>kymr</t>
  </si>
  <si>
    <t>Kymera Therapeutics Inc</t>
  </si>
  <si>
    <t>cnltn</t>
  </si>
  <si>
    <t>Connecticut Light Power Company 2 00 Pref Shs</t>
  </si>
  <si>
    <t>jjgtf</t>
  </si>
  <si>
    <t>Barclays Bk PLC iPath Bloomberg Grains Subindex Total Return ETN Exp 22nd Oct 2037</t>
  </si>
  <si>
    <t>invh</t>
  </si>
  <si>
    <t>Invitation Homes Inc</t>
  </si>
  <si>
    <t>chef</t>
  </si>
  <si>
    <t>Chefs' Warehouse Inc</t>
  </si>
  <si>
    <t>ftdr</t>
  </si>
  <si>
    <t>Frontdoor Inc</t>
  </si>
  <si>
    <t>stvn</t>
  </si>
  <si>
    <t>Stevanato Group SpA</t>
  </si>
  <si>
    <t>ipg</t>
  </si>
  <si>
    <t>Interpublic Group of Companies Inc</t>
  </si>
  <si>
    <t>mgddf</t>
  </si>
  <si>
    <t>Compagnie Generale ds Etblsmnts Mcln SCA</t>
  </si>
  <si>
    <t>prndy</t>
  </si>
  <si>
    <t>PERNOD RICARD S A Sponsored ADR</t>
  </si>
  <si>
    <t>atrc</t>
  </si>
  <si>
    <t>AtriCure Inc.</t>
  </si>
  <si>
    <t>oge</t>
  </si>
  <si>
    <t>OGE Energy Corp</t>
  </si>
  <si>
    <t>dsgr</t>
  </si>
  <si>
    <t>Distribution Solutions Group Inc</t>
  </si>
  <si>
    <t>gwlif</t>
  </si>
  <si>
    <t>Great-West Lifeco Inc</t>
  </si>
  <si>
    <t>vvi</t>
  </si>
  <si>
    <t>Viad Corp</t>
  </si>
  <si>
    <t>ip</t>
  </si>
  <si>
    <t>International Paper Co</t>
  </si>
  <si>
    <t>1.86</t>
  </si>
  <si>
    <t>bac</t>
  </si>
  <si>
    <t>cvi</t>
  </si>
  <si>
    <t>CVR Energy, Inc.</t>
  </si>
  <si>
    <t>3.67</t>
  </si>
  <si>
    <t>hmc</t>
  </si>
  <si>
    <t>apg</t>
  </si>
  <si>
    <t>APi Group Corp</t>
  </si>
  <si>
    <t>rng</t>
  </si>
  <si>
    <t>RingCentral Inc</t>
  </si>
  <si>
    <t>halo</t>
  </si>
  <si>
    <t>Halozyme Therapeutics, Inc.</t>
  </si>
  <si>
    <t>gil</t>
  </si>
  <si>
    <t>Gildan Activewear Inc</t>
  </si>
  <si>
    <t>b</t>
  </si>
  <si>
    <t>Barnes Group Inc</t>
  </si>
  <si>
    <t>trpcf</t>
  </si>
  <si>
    <t>Trip.com Group Ltd</t>
  </si>
  <si>
    <t>frme</t>
  </si>
  <si>
    <t>First Merchants Corp</t>
  </si>
  <si>
    <t>nib</t>
  </si>
  <si>
    <t>Nidec Corp</t>
  </si>
  <si>
    <t>cnlpm</t>
  </si>
  <si>
    <t>Connecticut Light &amp; Power Pref Shs Series E</t>
  </si>
  <si>
    <t>msge</t>
  </si>
  <si>
    <t>Madison Square Garden Entertainment Corp</t>
  </si>
  <si>
    <t>glpgf</t>
  </si>
  <si>
    <t>Galapagos NV</t>
  </si>
  <si>
    <t>fitb</t>
  </si>
  <si>
    <t>Fifth Third Bancorp</t>
  </si>
  <si>
    <t>bbio</t>
  </si>
  <si>
    <t>BridgeBio Pharma Inc</t>
  </si>
  <si>
    <t>fcbc</t>
  </si>
  <si>
    <t>First Community Bankshares Inc</t>
  </si>
  <si>
    <t>step</t>
  </si>
  <si>
    <t>Stepstone Group Inc</t>
  </si>
  <si>
    <t>eaco</t>
  </si>
  <si>
    <t>EACO Corp</t>
  </si>
  <si>
    <t>gntx</t>
  </si>
  <si>
    <t>Gentex Corp</t>
  </si>
  <si>
    <t>wly</t>
  </si>
  <si>
    <t>John Wiley &amp; Sons Inc Class A</t>
  </si>
  <si>
    <t>ttgt</t>
  </si>
  <si>
    <t>TechTarget Inc</t>
  </si>
  <si>
    <t>bwa</t>
  </si>
  <si>
    <t>BorgWarner Inc.</t>
  </si>
  <si>
    <t>trmd</t>
  </si>
  <si>
    <t>Torm PLC</t>
  </si>
  <si>
    <t>ava</t>
  </si>
  <si>
    <t>Avista Corp</t>
  </si>
  <si>
    <t>1.84</t>
  </si>
  <si>
    <t>hvt</t>
  </si>
  <si>
    <t>Haverty Furniture Companies, Inc.</t>
  </si>
  <si>
    <t>pba</t>
  </si>
  <si>
    <t>Pembina Pipeline Corp</t>
  </si>
  <si>
    <t>aub</t>
  </si>
  <si>
    <t>Atlantic Union Bankshares Corp</t>
  </si>
  <si>
    <t>hog</t>
  </si>
  <si>
    <t>Harley-Davidson Inc</t>
  </si>
  <si>
    <t>xray</t>
  </si>
  <si>
    <t>DENTSPLY SIRONA Inc</t>
  </si>
  <si>
    <t>ryi</t>
  </si>
  <si>
    <t>Ryerson Holding Corp</t>
  </si>
  <si>
    <t>atlc</t>
  </si>
  <si>
    <t>Atlanticus Holdings Corp</t>
  </si>
  <si>
    <t>hesm</t>
  </si>
  <si>
    <t>Hess Midstream LP</t>
  </si>
  <si>
    <t>htlf</t>
  </si>
  <si>
    <t>Heartland Financial USA Inc</t>
  </si>
  <si>
    <t>smti</t>
  </si>
  <si>
    <t>Sanara Medtech Inc</t>
  </si>
  <si>
    <t>vctr</t>
  </si>
  <si>
    <t>Victory Capital Holdings Inc</t>
  </si>
  <si>
    <t>exc</t>
  </si>
  <si>
    <t>Exelon Corp</t>
  </si>
  <si>
    <t>grc</t>
  </si>
  <si>
    <t>Gorman-Rupp Co</t>
  </si>
  <si>
    <t>prim</t>
  </si>
  <si>
    <t>Primoris Services Corp</t>
  </si>
  <si>
    <t>wlyb</t>
  </si>
  <si>
    <t>John Wiley &amp; Sons Inc Class B</t>
  </si>
  <si>
    <t>nem</t>
  </si>
  <si>
    <t>srv</t>
  </si>
  <si>
    <t>NXG Cushing Midstream Energy Fund</t>
  </si>
  <si>
    <t>nbtb</t>
  </si>
  <si>
    <t>NBT Bancorp Inc.</t>
  </si>
  <si>
    <t>nobh</t>
  </si>
  <si>
    <t>Nobility Homes, Inc.</t>
  </si>
  <si>
    <t>ntg</t>
  </si>
  <si>
    <t>Tortoise Midstream Energy Fund Inc</t>
  </si>
  <si>
    <t>fsbw</t>
  </si>
  <si>
    <t>FS Bancorp Inc</t>
  </si>
  <si>
    <t>tph</t>
  </si>
  <si>
    <t>Tri Pointe Homes Inc (Delaware)</t>
  </si>
  <si>
    <t>nbhc</t>
  </si>
  <si>
    <t>National Bank Holdings Corp</t>
  </si>
  <si>
    <t>asekf</t>
  </si>
  <si>
    <t>Aisin Corp</t>
  </si>
  <si>
    <t>cac</t>
  </si>
  <si>
    <t>Camden National Corporation</t>
  </si>
  <si>
    <t>1.72</t>
  </si>
  <si>
    <t>bma</t>
  </si>
  <si>
    <t>Banco Macro SA ADR Class B</t>
  </si>
  <si>
    <t>bp</t>
  </si>
  <si>
    <t>1.69</t>
  </si>
  <si>
    <t>chuy</t>
  </si>
  <si>
    <t>Chuy's Holdings Inc</t>
  </si>
  <si>
    <t>arct</t>
  </si>
  <si>
    <t>Arcturus Therapeutics Holdings Inc</t>
  </si>
  <si>
    <t>morf</t>
  </si>
  <si>
    <t>Morphic Holding Inc</t>
  </si>
  <si>
    <t>calx</t>
  </si>
  <si>
    <t>Calix Inc</t>
  </si>
  <si>
    <t>hal</t>
  </si>
  <si>
    <t>Halliburton Company</t>
  </si>
  <si>
    <t>cdre</t>
  </si>
  <si>
    <t>Cadre Holdings Inc</t>
  </si>
  <si>
    <t>peco</t>
  </si>
  <si>
    <t>Phillips Edison &amp; Co Inc</t>
  </si>
  <si>
    <t>wmb</t>
  </si>
  <si>
    <t>Williams Companies Inc</t>
  </si>
  <si>
    <t>iiin</t>
  </si>
  <si>
    <t>Insteel Industries Inc</t>
  </si>
  <si>
    <t>krc</t>
  </si>
  <si>
    <t>Kilroy Realty Corp</t>
  </si>
  <si>
    <t>cnltp</t>
  </si>
  <si>
    <t>Connecticut Light &amp; Power Pref Shs</t>
  </si>
  <si>
    <t>imvt</t>
  </si>
  <si>
    <t>Immunovant Inc</t>
  </si>
  <si>
    <t>frog</t>
  </si>
  <si>
    <t>JFrog Ltd</t>
  </si>
  <si>
    <t>fbnc</t>
  </si>
  <si>
    <t>First Bancorp (North Carolina)</t>
  </si>
  <si>
    <t>fhi</t>
  </si>
  <si>
    <t>Federated Hermes Inc</t>
  </si>
  <si>
    <t>1.21 (3.34%)</t>
  </si>
  <si>
    <t>wbhc</t>
  </si>
  <si>
    <t>Wilson Bank Holding Company</t>
  </si>
  <si>
    <t>mmtrs</t>
  </si>
  <si>
    <t>Mills Music Trust Unit</t>
  </si>
  <si>
    <t>rsscs</t>
  </si>
  <si>
    <t>Rse Archive Membership Int Series1776 Declaration Of Independence Shares of Beneficial Interest</t>
  </si>
  <si>
    <t>see</t>
  </si>
  <si>
    <t>Sealed Air Corp</t>
  </si>
  <si>
    <t>eqt</t>
  </si>
  <si>
    <t>EQT Corp</t>
  </si>
  <si>
    <t>g</t>
  </si>
  <si>
    <t>Genpact Ltd</t>
  </si>
  <si>
    <t>0.29</t>
  </si>
  <si>
    <t>tcbk</t>
  </si>
  <si>
    <t>TriCo Bancshares</t>
  </si>
  <si>
    <t>fbiz</t>
  </si>
  <si>
    <t>First Business Financial Services Inc</t>
  </si>
  <si>
    <t>yumc</t>
  </si>
  <si>
    <t>Yum China Holdings Inc</t>
  </si>
  <si>
    <t>fsun</t>
  </si>
  <si>
    <t>Firstsun Capital Bancorp</t>
  </si>
  <si>
    <t>enb</t>
  </si>
  <si>
    <t>Enbridge Inc</t>
  </si>
  <si>
    <t>2.64</t>
  </si>
  <si>
    <t>usl</t>
  </si>
  <si>
    <t>United States 12 Month Oil Fund LP</t>
  </si>
  <si>
    <t>irdm</t>
  </si>
  <si>
    <t>Iridium Communications Inc</t>
  </si>
  <si>
    <t>mpti</t>
  </si>
  <si>
    <t>M-Tron Industries Inc</t>
  </si>
  <si>
    <t>amh</t>
  </si>
  <si>
    <t>American Homes 4 Rent Class A</t>
  </si>
  <si>
    <t>cake</t>
  </si>
  <si>
    <t>Cheesecake Factory Inc</t>
  </si>
  <si>
    <t>emo</t>
  </si>
  <si>
    <t>Clearbridge Energy MidstreamOprtntyFdInc</t>
  </si>
  <si>
    <t>1.82</t>
  </si>
  <si>
    <t>mrus</t>
  </si>
  <si>
    <t>Merus NV</t>
  </si>
  <si>
    <t>bfh</t>
  </si>
  <si>
    <t>Bread Financial Holdings Inc</t>
  </si>
  <si>
    <t>adnt</t>
  </si>
  <si>
    <t>Adient PLC</t>
  </si>
  <si>
    <t>cldx</t>
  </si>
  <si>
    <t>Celldex Therapeutics, Inc.</t>
  </si>
  <si>
    <t>sfst</t>
  </si>
  <si>
    <t>Southern First Bancshares Inc</t>
  </si>
  <si>
    <t>lpg</t>
  </si>
  <si>
    <t>Dorian LPG Ltd</t>
  </si>
  <si>
    <t>xmtr</t>
  </si>
  <si>
    <t>Xometry Inc</t>
  </si>
  <si>
    <t>gfl</t>
  </si>
  <si>
    <t>GFL Environmental Inc</t>
  </si>
  <si>
    <t>idt</t>
  </si>
  <si>
    <t>IDT Corp</t>
  </si>
  <si>
    <t>pnm</t>
  </si>
  <si>
    <t>PNM Resources Inc</t>
  </si>
  <si>
    <t>ubsi</t>
  </si>
  <si>
    <t>United Bankshares Inc</t>
  </si>
  <si>
    <t>lzb</t>
  </si>
  <si>
    <t>La-Z-Boy Incorporated</t>
  </si>
  <si>
    <t>docn</t>
  </si>
  <si>
    <t>DigitalOcean Holdings Inc</t>
  </si>
  <si>
    <t>sm</t>
  </si>
  <si>
    <t>SM Energy Co</t>
  </si>
  <si>
    <t>bjri</t>
  </si>
  <si>
    <t>BJ's Restaurants Inc</t>
  </si>
  <si>
    <t>nssc</t>
  </si>
  <si>
    <t>Napco Security Technologies Inc</t>
  </si>
  <si>
    <t>bst</t>
  </si>
  <si>
    <t>BlackRock Science and Technology Trust</t>
  </si>
  <si>
    <t>2.74</t>
  </si>
  <si>
    <t>ameh</t>
  </si>
  <si>
    <t>Apollo Medical Holdings Inc</t>
  </si>
  <si>
    <t>pro</t>
  </si>
  <si>
    <t>PROS Holdings, Inc.</t>
  </si>
  <si>
    <t>emraf</t>
  </si>
  <si>
    <t>Emera Inc</t>
  </si>
  <si>
    <t>crawa</t>
  </si>
  <si>
    <t>Crawford United Corp</t>
  </si>
  <si>
    <t>vnt</t>
  </si>
  <si>
    <t>Vontier Corp</t>
  </si>
  <si>
    <t>bipc</t>
  </si>
  <si>
    <t>Brookfield Infrastructure Corp</t>
  </si>
  <si>
    <t>aste</t>
  </si>
  <si>
    <t>Astec Industries, Inc.</t>
  </si>
  <si>
    <t>cls</t>
  </si>
  <si>
    <t>Celestica Inc</t>
  </si>
  <si>
    <t>acnb</t>
  </si>
  <si>
    <t>ACNB Corp</t>
  </si>
  <si>
    <t>artna</t>
  </si>
  <si>
    <t>Artesian Resources Corporation Class A</t>
  </si>
  <si>
    <t>alk</t>
  </si>
  <si>
    <t>Alaska Air Group, Inc.</t>
  </si>
  <si>
    <t>wtrg</t>
  </si>
  <si>
    <t>Essential Utilities Inc</t>
  </si>
  <si>
    <t>nc</t>
  </si>
  <si>
    <t>NACCO Industries, Inc.</t>
  </si>
  <si>
    <t>hmn</t>
  </si>
  <si>
    <t>Horace Mann Educators Corporation</t>
  </si>
  <si>
    <t>rweoy</t>
  </si>
  <si>
    <t>RWE AG SP ADR</t>
  </si>
  <si>
    <t>snv</t>
  </si>
  <si>
    <t>Synovus Financial Corp</t>
  </si>
  <si>
    <t>udr</t>
  </si>
  <si>
    <t>UDR Inc</t>
  </si>
  <si>
    <t>vvv</t>
  </si>
  <si>
    <t>Valvoline Inc</t>
  </si>
  <si>
    <t>ally</t>
  </si>
  <si>
    <t>Ally Financial Inc</t>
  </si>
  <si>
    <t>ifnnf</t>
  </si>
  <si>
    <t>Infineon Technologies AG</t>
  </si>
  <si>
    <t>lob</t>
  </si>
  <si>
    <t>Live Oak Bancshares Inc</t>
  </si>
  <si>
    <t>csx</t>
  </si>
  <si>
    <t>CSX Corp</t>
  </si>
  <si>
    <t>0.46</t>
  </si>
  <si>
    <t>ifnny</t>
  </si>
  <si>
    <t>st</t>
  </si>
  <si>
    <t>Sensata Technologies Holding PLC</t>
  </si>
  <si>
    <t>plbc</t>
  </si>
  <si>
    <t>Plumas Bancorp</t>
  </si>
  <si>
    <t>twst</t>
  </si>
  <si>
    <t>Twist Bioscience Corp</t>
  </si>
  <si>
    <t>avnt</t>
  </si>
  <si>
    <t>Avient Corp</t>
  </si>
  <si>
    <t>wmg</t>
  </si>
  <si>
    <t>Warner Music Group Corp</t>
  </si>
  <si>
    <t>rwnff</t>
  </si>
  <si>
    <t>RWE AG</t>
  </si>
  <si>
    <t>ofg</t>
  </si>
  <si>
    <t>OFG Bancorp</t>
  </si>
  <si>
    <t>atni</t>
  </si>
  <si>
    <t>ATN International Inc</t>
  </si>
  <si>
    <t>cnlho</t>
  </si>
  <si>
    <t>Connecticut Light Power Company 4 50 Series 1956 Pref Shs</t>
  </si>
  <si>
    <t>parr</t>
  </si>
  <si>
    <t>Par Pacific Holdings Inc</t>
  </si>
  <si>
    <t>lnznf</t>
  </si>
  <si>
    <t>Lenzing AG</t>
  </si>
  <si>
    <t>fe</t>
  </si>
  <si>
    <t>FirstEnergy Corp</t>
  </si>
  <si>
    <t>1.57</t>
  </si>
  <si>
    <t>splp</t>
  </si>
  <si>
    <t>Steel Partners Holdings LP</t>
  </si>
  <si>
    <t>cgnx</t>
  </si>
  <si>
    <t>Cognex Corp</t>
  </si>
  <si>
    <t>tfc</t>
  </si>
  <si>
    <t>Truist Financial Corp</t>
  </si>
  <si>
    <t>fbk</t>
  </si>
  <si>
    <t>FB Financial Corp</t>
  </si>
  <si>
    <t>twn</t>
  </si>
  <si>
    <t>Taiwan Closed Fund</t>
  </si>
  <si>
    <t>prlb</t>
  </si>
  <si>
    <t>Proto Labs Inc</t>
  </si>
  <si>
    <t>nwn</t>
  </si>
  <si>
    <t>Northwest Natural Holding Co</t>
  </si>
  <si>
    <t>jnpr</t>
  </si>
  <si>
    <t>Juniper Networks, Inc.</t>
  </si>
  <si>
    <t>tcom</t>
  </si>
  <si>
    <t>nrc</t>
  </si>
  <si>
    <t>National Research Corporation</t>
  </si>
  <si>
    <t>ctr</t>
  </si>
  <si>
    <t>ClearBridge Energy MLP Total Return Fund Inc. Common Stock</t>
  </si>
  <si>
    <t>1.94</t>
  </si>
  <si>
    <t>crnx</t>
  </si>
  <si>
    <t>Crinetics Pharmaceuticals Inc</t>
  </si>
  <si>
    <t>dmrc</t>
  </si>
  <si>
    <t>Digimarc Corp</t>
  </si>
  <si>
    <t>sii</t>
  </si>
  <si>
    <t>Sprott Inc</t>
  </si>
  <si>
    <t>inbx</t>
  </si>
  <si>
    <t>Inhibrx Inc</t>
  </si>
  <si>
    <t>epc</t>
  </si>
  <si>
    <t>Edgewell Personal Care Co</t>
  </si>
  <si>
    <t>mmi</t>
  </si>
  <si>
    <t>Marcus &amp; Millichap Inc</t>
  </si>
  <si>
    <t>sum</t>
  </si>
  <si>
    <t>Summit Materials Inc</t>
  </si>
  <si>
    <t>cskl</t>
  </si>
  <si>
    <t>Catskill Hudson Bancorp Ord Shs</t>
  </si>
  <si>
    <t>mtch</t>
  </si>
  <si>
    <t>Match Group Inc</t>
  </si>
  <si>
    <t>mplx</t>
  </si>
  <si>
    <t>MPLX LP</t>
  </si>
  <si>
    <t>ptcay</t>
  </si>
  <si>
    <t>Chandra Asri Petrochemical Unsponsored ADR Representing Ord Shs</t>
  </si>
  <si>
    <t>gbci</t>
  </si>
  <si>
    <t>Glacier Bancorp, Inc.</t>
  </si>
  <si>
    <t>srt</t>
  </si>
  <si>
    <t>SRT Marine Systems PLC</t>
  </si>
  <si>
    <t>jhiuf</t>
  </si>
  <si>
    <t>James Hardie Industries plc</t>
  </si>
  <si>
    <t>stag</t>
  </si>
  <si>
    <t>Stag Industrial Inc</t>
  </si>
  <si>
    <t>khc</t>
  </si>
  <si>
    <t>Kraft Heinz Co</t>
  </si>
  <si>
    <t>rdnt</t>
  </si>
  <si>
    <t>Radnet Inc</t>
  </si>
  <si>
    <t>schl</t>
  </si>
  <si>
    <t>Scholastic Corp</t>
  </si>
  <si>
    <t>nsa</t>
  </si>
  <si>
    <t>National Storage Affiliates Trust</t>
  </si>
  <si>
    <t>bfs</t>
  </si>
  <si>
    <t>Saul Centers Inc</t>
  </si>
  <si>
    <t>2.36</t>
  </si>
  <si>
    <t>ichr</t>
  </si>
  <si>
    <t>Ichor Holdings Ltd</t>
  </si>
  <si>
    <t>dgeaf</t>
  </si>
  <si>
    <t>Diageo plc</t>
  </si>
  <si>
    <t>mur</t>
  </si>
  <si>
    <t>Murphy Oil Corp</t>
  </si>
  <si>
    <t>hp</t>
  </si>
  <si>
    <t>Helmerich and Payne Inc</t>
  </si>
  <si>
    <t>1.42</t>
  </si>
  <si>
    <t>slp</t>
  </si>
  <si>
    <t>Simulations Plus Inc</t>
  </si>
  <si>
    <t>smpl</t>
  </si>
  <si>
    <t>Simply Good Foods Co</t>
  </si>
  <si>
    <t>esta</t>
  </si>
  <si>
    <t>Establishment Labs Holdings Inc</t>
  </si>
  <si>
    <t>bke</t>
  </si>
  <si>
    <t>Buckle Inc</t>
  </si>
  <si>
    <t>3.32</t>
  </si>
  <si>
    <t>fmcqf</t>
  </si>
  <si>
    <t>gden</t>
  </si>
  <si>
    <t>Golden Entertainment Inc</t>
  </si>
  <si>
    <t>cet</t>
  </si>
  <si>
    <t>Central Securities Corp.</t>
  </si>
  <si>
    <t>cht</t>
  </si>
  <si>
    <t>Chunghwa Telecom Co., Ltd</t>
  </si>
  <si>
    <t>thff</t>
  </si>
  <si>
    <t>First Financial Corp</t>
  </si>
  <si>
    <t>vicr</t>
  </si>
  <si>
    <t>Vicor Corp</t>
  </si>
  <si>
    <t>flr</t>
  </si>
  <si>
    <t>Fluor Corp</t>
  </si>
  <si>
    <t>vvx</t>
  </si>
  <si>
    <t>V2X Inc</t>
  </si>
  <si>
    <t>svix</t>
  </si>
  <si>
    <t>-1x Short VIX Futures ETF</t>
  </si>
  <si>
    <t>gbtc</t>
  </si>
  <si>
    <t>Grayscale Bitcoin Trust (Btc)</t>
  </si>
  <si>
    <t>hbcp</t>
  </si>
  <si>
    <t>Home Bancorp, Inc.</t>
  </si>
  <si>
    <t>iau</t>
  </si>
  <si>
    <t>iShares Gold Trust</t>
  </si>
  <si>
    <t>dfryf</t>
  </si>
  <si>
    <t>Avolta AG</t>
  </si>
  <si>
    <t>csbb</t>
  </si>
  <si>
    <t>CSB Bancorp Inc (Ohio)</t>
  </si>
  <si>
    <t>bouyf</t>
  </si>
  <si>
    <t>Bouygues SA</t>
  </si>
  <si>
    <t>jhx</t>
  </si>
  <si>
    <t>ccoef</t>
  </si>
  <si>
    <t>CAPCOM CO., LTD.</t>
  </si>
  <si>
    <t>tx</t>
  </si>
  <si>
    <t>Ternium SA</t>
  </si>
  <si>
    <t>2.80</t>
  </si>
  <si>
    <t>mcy</t>
  </si>
  <si>
    <t>Mercury General Corp</t>
  </si>
  <si>
    <t>opy</t>
  </si>
  <si>
    <t>Oppenheimer Holdings Inc.</t>
  </si>
  <si>
    <t>wrk</t>
  </si>
  <si>
    <t>WestRock Co</t>
  </si>
  <si>
    <t>gm</t>
  </si>
  <si>
    <t>General Motors Co</t>
  </si>
  <si>
    <t>0.38</t>
  </si>
  <si>
    <t>syf</t>
  </si>
  <si>
    <t>Synchrony Financial</t>
  </si>
  <si>
    <t>aseky</t>
  </si>
  <si>
    <t>ccb</t>
  </si>
  <si>
    <t>Coastal Financial Corp (EVERETT)</t>
  </si>
  <si>
    <t>bax</t>
  </si>
  <si>
    <t>Baxter International Inc</t>
  </si>
  <si>
    <t>esea</t>
  </si>
  <si>
    <t>Euroseas Ltd</t>
  </si>
  <si>
    <t>sfbc</t>
  </si>
  <si>
    <t>Sound Financial Bancorp Inc</t>
  </si>
  <si>
    <t>glbe</t>
  </si>
  <si>
    <t>Global-E Online Ltd</t>
  </si>
  <si>
    <t>trp</t>
  </si>
  <si>
    <t>TC PIPELINES LP Common Stock</t>
  </si>
  <si>
    <t>pgny</t>
  </si>
  <si>
    <t>Progyny Inc</t>
  </si>
  <si>
    <t>modv</t>
  </si>
  <si>
    <t>ModivCare Inc</t>
  </si>
  <si>
    <t>ati</t>
  </si>
  <si>
    <t>ATI Inc</t>
  </si>
  <si>
    <t>vera</t>
  </si>
  <si>
    <t>Vera Therapeutics Inc</t>
  </si>
  <si>
    <t>scsc</t>
  </si>
  <si>
    <t>Scansource Inc</t>
  </si>
  <si>
    <t>mbwm</t>
  </si>
  <si>
    <t>Mercantile Bank Corp</t>
  </si>
  <si>
    <t>hsbc</t>
  </si>
  <si>
    <t>bce</t>
  </si>
  <si>
    <t>BCE Inc</t>
  </si>
  <si>
    <t>2.88</t>
  </si>
  <si>
    <t>zion</t>
  </si>
  <si>
    <t>Zions Bancorporation NA</t>
  </si>
  <si>
    <t>teck</t>
  </si>
  <si>
    <t>Teck Resources Ltd Class B</t>
  </si>
  <si>
    <t>pins</t>
  </si>
  <si>
    <t>Pinterest Inc</t>
  </si>
  <si>
    <t>iijiy</t>
  </si>
  <si>
    <t>aivi</t>
  </si>
  <si>
    <t>WisdomTree International AI Enhanced Value Fund</t>
  </si>
  <si>
    <t>tci</t>
  </si>
  <si>
    <t>Transcontinental Realty Investors Inc</t>
  </si>
  <si>
    <t>cmco</t>
  </si>
  <si>
    <t>Columbus McKinnon Corp.</t>
  </si>
  <si>
    <t>wern</t>
  </si>
  <si>
    <t>Werner Enterprises, Inc.</t>
  </si>
  <si>
    <t>dal</t>
  </si>
  <si>
    <t>Delta Air Lines, Inc.</t>
  </si>
  <si>
    <t>fts</t>
  </si>
  <si>
    <t>Fortis Inc</t>
  </si>
  <si>
    <t>artnb</t>
  </si>
  <si>
    <t>Artesian Resources Corporation Class B</t>
  </si>
  <si>
    <t>tpr</t>
  </si>
  <si>
    <t>Tapestry Inc</t>
  </si>
  <si>
    <t>caty</t>
  </si>
  <si>
    <t>Cathay General Bancorp</t>
  </si>
  <si>
    <t>fcx</t>
  </si>
  <si>
    <t>Freeport-McMoRan Inc</t>
  </si>
  <si>
    <t>acrff</t>
  </si>
  <si>
    <t>Accor SA</t>
  </si>
  <si>
    <t>qrtep</t>
  </si>
  <si>
    <t>Qurate Retail Inc Preferred Shares</t>
  </si>
  <si>
    <t>batrk</t>
  </si>
  <si>
    <t>Atlanta Braves Holdings Inc Series C</t>
  </si>
  <si>
    <t>iart</t>
  </si>
  <si>
    <t>Integra Lifesciences Holdings Corp</t>
  </si>
  <si>
    <t>clim</t>
  </si>
  <si>
    <t>Amundi Global Aggregate Green Bond UCITS ETF Acc</t>
  </si>
  <si>
    <t>bam</t>
  </si>
  <si>
    <t>BROOKFIELD ASSET MANAGEMENT LTD</t>
  </si>
  <si>
    <t>eadsy</t>
  </si>
  <si>
    <t>Airbus SE</t>
  </si>
  <si>
    <t>ramp</t>
  </si>
  <si>
    <t>Liveramp Holdings Inc</t>
  </si>
  <si>
    <t>gldm</t>
  </si>
  <si>
    <t>SPDR Gold MiniShares Trust</t>
  </si>
  <si>
    <t>efsc</t>
  </si>
  <si>
    <t>Enterprise Financial Services Corp</t>
  </si>
  <si>
    <t>tckrf</t>
  </si>
  <si>
    <t>Teck Resources Ltd Class A</t>
  </si>
  <si>
    <t>uctt</t>
  </si>
  <si>
    <t>Ultra Clean Holdings Inc</t>
  </si>
  <si>
    <t>sor</t>
  </si>
  <si>
    <t>Source Capital Inc</t>
  </si>
  <si>
    <t>lybc</t>
  </si>
  <si>
    <t>Lyons Bancorp Inc</t>
  </si>
  <si>
    <t>untc</t>
  </si>
  <si>
    <t>Unit Corp</t>
  </si>
  <si>
    <t>urbn</t>
  </si>
  <si>
    <t>Urban Outfitters, Inc.</t>
  </si>
  <si>
    <t>jef</t>
  </si>
  <si>
    <t>Jefferies Financial Group Inc</t>
  </si>
  <si>
    <t>adttf</t>
  </si>
  <si>
    <t>Advantest Corp</t>
  </si>
  <si>
    <t>sqm</t>
  </si>
  <si>
    <t>Sociedad Quimica y Minr de Chile SA</t>
  </si>
  <si>
    <t>azek</t>
  </si>
  <si>
    <t>Azek Company Inc</t>
  </si>
  <si>
    <t>cem</t>
  </si>
  <si>
    <t>Clearbridge MLP and Midstream Fund Inc</t>
  </si>
  <si>
    <t>2.16</t>
  </si>
  <si>
    <t>rblx</t>
  </si>
  <si>
    <t>Roblox Corp</t>
  </si>
  <si>
    <t>fc</t>
  </si>
  <si>
    <t>Franklin Covey Co</t>
  </si>
  <si>
    <t>tnl</t>
  </si>
  <si>
    <t>Travel + Leisure Co</t>
  </si>
  <si>
    <t>gsk</t>
  </si>
  <si>
    <t>mlr</t>
  </si>
  <si>
    <t>Miller Industries Inc</t>
  </si>
  <si>
    <t>eig</t>
  </si>
  <si>
    <t>Employers Holdings Inc</t>
  </si>
  <si>
    <t>1.10</t>
  </si>
  <si>
    <t>njr</t>
  </si>
  <si>
    <t>New Jersey Resources Corp</t>
  </si>
  <si>
    <t>nnn</t>
  </si>
  <si>
    <t>NNN REIT Inc</t>
  </si>
  <si>
    <t>evtc</t>
  </si>
  <si>
    <t>Evertec Inc</t>
  </si>
  <si>
    <t>usb</t>
  </si>
  <si>
    <t>US Bancorp</t>
  </si>
  <si>
    <t>fun</t>
  </si>
  <si>
    <t>Cedar Fair, L.P.</t>
  </si>
  <si>
    <t>cg</t>
  </si>
  <si>
    <t>Carlyle Group Inc</t>
  </si>
  <si>
    <t>hni</t>
  </si>
  <si>
    <t>HNI Corp</t>
  </si>
  <si>
    <t>fls</t>
  </si>
  <si>
    <t>Flowserve Corp</t>
  </si>
  <si>
    <t>0.82</t>
  </si>
  <si>
    <t>laz</t>
  </si>
  <si>
    <t>Lazard Inc</t>
  </si>
  <si>
    <t>smp</t>
  </si>
  <si>
    <t>Standard Motor Products Inc</t>
  </si>
  <si>
    <t>afrm</t>
  </si>
  <si>
    <t>Affirm Holdings Inc</t>
  </si>
  <si>
    <t>ctbi</t>
  </si>
  <si>
    <t>Community Trust Bancorp, Inc.</t>
  </si>
  <si>
    <t>por</t>
  </si>
  <si>
    <t>Portland General Electric Company</t>
  </si>
  <si>
    <t>mbin</t>
  </si>
  <si>
    <t>Merchants Bancorp</t>
  </si>
  <si>
    <t>smid</t>
  </si>
  <si>
    <t>Smith-Midland Corp</t>
  </si>
  <si>
    <t>centa</t>
  </si>
  <si>
    <t>Central Garden &amp; Pet Co Class A</t>
  </si>
  <si>
    <t>pgti</t>
  </si>
  <si>
    <t>PGT Innovations Inc</t>
  </si>
  <si>
    <t>rex</t>
  </si>
  <si>
    <t>REX American Resources Corp</t>
  </si>
  <si>
    <t>abm</t>
  </si>
  <si>
    <t>ABM Industries Inc</t>
  </si>
  <si>
    <t>dvn</t>
  </si>
  <si>
    <t>Devon Energy Corp</t>
  </si>
  <si>
    <t>2.85</t>
  </si>
  <si>
    <t>hlio</t>
  </si>
  <si>
    <t>Helios Technologies Inc</t>
  </si>
  <si>
    <t>whd</t>
  </si>
  <si>
    <t>Cactus Inc</t>
  </si>
  <si>
    <t>mo</t>
  </si>
  <si>
    <t>Altria Group Inc</t>
  </si>
  <si>
    <t>3.99</t>
  </si>
  <si>
    <t>ual</t>
  </si>
  <si>
    <t>United Airlines Holdings Inc</t>
  </si>
  <si>
    <t>expgf</t>
  </si>
  <si>
    <t>Experian plc</t>
  </si>
  <si>
    <t>ovv</t>
  </si>
  <si>
    <t>Ovintiv Inc</t>
  </si>
  <si>
    <t>bme</t>
  </si>
  <si>
    <t>Blackrock Health Sciences Trust</t>
  </si>
  <si>
    <t>2.37</t>
  </si>
  <si>
    <t>dkng</t>
  </si>
  <si>
    <t>DraftKings Inc</t>
  </si>
  <si>
    <t>dv</t>
  </si>
  <si>
    <t>DoubleVerify Holdings Inc</t>
  </si>
  <si>
    <t>prax</t>
  </si>
  <si>
    <t>Praxis Precision Medicines Inc</t>
  </si>
  <si>
    <t>asxff</t>
  </si>
  <si>
    <t>ASX Ltd</t>
  </si>
  <si>
    <t>expgy</t>
  </si>
  <si>
    <t>Experian PLC</t>
  </si>
  <si>
    <t>cere</t>
  </si>
  <si>
    <t>Cerevel Therapeutics Holdings Inc</t>
  </si>
  <si>
    <t>relx</t>
  </si>
  <si>
    <t>Relx PLC</t>
  </si>
  <si>
    <t>ebay</t>
  </si>
  <si>
    <t>eBay Inc</t>
  </si>
  <si>
    <t>smbc</t>
  </si>
  <si>
    <t>Southern Missouri Bancorp Inc</t>
  </si>
  <si>
    <t>hgv</t>
  </si>
  <si>
    <t>Hilton Grand Vacations Inc</t>
  </si>
  <si>
    <t>se</t>
  </si>
  <si>
    <t>Sea Ltd</t>
  </si>
  <si>
    <t>ateyy</t>
  </si>
  <si>
    <t>cass</t>
  </si>
  <si>
    <t>Cass Information Systems Inc</t>
  </si>
  <si>
    <t>tpg</t>
  </si>
  <si>
    <t>TPG Inc</t>
  </si>
  <si>
    <t>cts</t>
  </si>
  <si>
    <t>CTS Corp</t>
  </si>
  <si>
    <t>vz</t>
  </si>
  <si>
    <t>Verizon Communications Inc.</t>
  </si>
  <si>
    <t>2.69</t>
  </si>
  <si>
    <t>cnm</t>
  </si>
  <si>
    <t>Core &amp; Main Inc</t>
  </si>
  <si>
    <t>qtwo</t>
  </si>
  <si>
    <t>Q2 Holdings Inc</t>
  </si>
  <si>
    <t>pstg</t>
  </si>
  <si>
    <t>Pure Storage Inc</t>
  </si>
  <si>
    <t>pfis</t>
  </si>
  <si>
    <t>Peoples Financial Services Corp</t>
  </si>
  <si>
    <t>src</t>
  </si>
  <si>
    <t>Spirit Realty Capital REIT Ord Shs</t>
  </si>
  <si>
    <t>shoo</t>
  </si>
  <si>
    <t>Steven Madden Ltd</t>
  </si>
  <si>
    <t>intc</t>
  </si>
  <si>
    <t>Intel Corp</t>
  </si>
  <si>
    <t>vbfc</t>
  </si>
  <si>
    <t>Village Bank and Trust Financial Corp.</t>
  </si>
  <si>
    <t>asxfy</t>
  </si>
  <si>
    <t>ASX ADR</t>
  </si>
  <si>
    <t>tbbk</t>
  </si>
  <si>
    <t>Bancorp Inc</t>
  </si>
  <si>
    <t>taro</t>
  </si>
  <si>
    <t>Taro Pharmaceutical Industries Ltd</t>
  </si>
  <si>
    <t>idexf</t>
  </si>
  <si>
    <t>Industria de Diseno Textil SA</t>
  </si>
  <si>
    <t>apam</t>
  </si>
  <si>
    <t>Artisan Partners Asset Management Inc</t>
  </si>
  <si>
    <t>vcel</t>
  </si>
  <si>
    <t>Vericel Corp</t>
  </si>
  <si>
    <t>ozk</t>
  </si>
  <si>
    <t>Bank Ozk</t>
  </si>
  <si>
    <t>ryan</t>
  </si>
  <si>
    <t>Ryan Specialty Holdings Inc</t>
  </si>
  <si>
    <t>epr</t>
  </si>
  <si>
    <t>EPR Properties</t>
  </si>
  <si>
    <t>3.30</t>
  </si>
  <si>
    <t>batra</t>
  </si>
  <si>
    <t>Atlanta Braves Holdings Inc Series A</t>
  </si>
  <si>
    <t>cntho</t>
  </si>
  <si>
    <t>Connecticut Light Power Company 5 28 Series 1967 Pref Shs</t>
  </si>
  <si>
    <t>rare</t>
  </si>
  <si>
    <t>Ultragenyx Pharmaceutical Inc</t>
  </si>
  <si>
    <t>rlxxf</t>
  </si>
  <si>
    <t>otex</t>
  </si>
  <si>
    <t>Open Text Corp</t>
  </si>
  <si>
    <t>hwc</t>
  </si>
  <si>
    <t>Hancock Whitney Corp</t>
  </si>
  <si>
    <t>stmef</t>
  </si>
  <si>
    <t>STMicroelectronics NV</t>
  </si>
  <si>
    <t>wsfs</t>
  </si>
  <si>
    <t>WSFS Financial Corporation</t>
  </si>
  <si>
    <t>sftbf</t>
  </si>
  <si>
    <t>SoftBank Group Corp</t>
  </si>
  <si>
    <t>dar</t>
  </si>
  <si>
    <t>Darling Ingredients Inc</t>
  </si>
  <si>
    <t>ths</t>
  </si>
  <si>
    <t>TreeHouse Foods Inc</t>
  </si>
  <si>
    <t>cna</t>
  </si>
  <si>
    <t>Cna Financial Corp</t>
  </si>
  <si>
    <t>3.16</t>
  </si>
  <si>
    <t>ne</t>
  </si>
  <si>
    <t>Noble Corporation PLC</t>
  </si>
  <si>
    <t>lmb</t>
  </si>
  <si>
    <t>Limbach Holdings Inc</t>
  </si>
  <si>
    <t>czr</t>
  </si>
  <si>
    <t>Caesars Entertainment Inc</t>
  </si>
  <si>
    <t>cube</t>
  </si>
  <si>
    <t>CubeSmart</t>
  </si>
  <si>
    <t>cvna</t>
  </si>
  <si>
    <t>Carvana Co</t>
  </si>
  <si>
    <t>bbwi</t>
  </si>
  <si>
    <t>Bath &amp; Body Works Inc</t>
  </si>
  <si>
    <t>gic</t>
  </si>
  <si>
    <t>Global Industrial Co</t>
  </si>
  <si>
    <t>0.80</t>
  </si>
  <si>
    <t>txg</t>
  </si>
  <si>
    <t>10X Genomics Inc</t>
  </si>
  <si>
    <t>rgr</t>
  </si>
  <si>
    <t>Sturm Ruger &amp; Company Inc</t>
  </si>
  <si>
    <t>stm</t>
  </si>
  <si>
    <t>fwrd</t>
  </si>
  <si>
    <t>Forward Air Corp</t>
  </si>
  <si>
    <t>ngvt</t>
  </si>
  <si>
    <t>Ingevity Corp</t>
  </si>
  <si>
    <t>usm</t>
  </si>
  <si>
    <t>United States Cellular Corp</t>
  </si>
  <si>
    <t>mays</t>
  </si>
  <si>
    <t>J W Mays Inc</t>
  </si>
  <si>
    <t>rol</t>
  </si>
  <si>
    <t>Rollins Inc</t>
  </si>
  <si>
    <t>ablzf</t>
  </si>
  <si>
    <t>ABB Ltd</t>
  </si>
  <si>
    <t>yeti</t>
  </si>
  <si>
    <t>Yeti Holdings Inc</t>
  </si>
  <si>
    <t>idya</t>
  </si>
  <si>
    <t>Ideaya Biosciences Inc</t>
  </si>
  <si>
    <t>hubg</t>
  </si>
  <si>
    <t>Hub Group Inc</t>
  </si>
  <si>
    <t>mpsyf</t>
  </si>
  <si>
    <t>MorphoSys AG</t>
  </si>
  <si>
    <t>axu</t>
  </si>
  <si>
    <t>Ameris Bancorp</t>
  </si>
  <si>
    <t>jout</t>
  </si>
  <si>
    <t>Johnson Outdoors Inc.</t>
  </si>
  <si>
    <t>jjctf</t>
  </si>
  <si>
    <t>Barclays Bk PLC iPath Bloomberg Copper Subindex Total Return ETN Exp 2nd Oct 2037</t>
  </si>
  <si>
    <t>vst</t>
  </si>
  <si>
    <t>Vistra Corp</t>
  </si>
  <si>
    <t>mcb</t>
  </si>
  <si>
    <t>Metropolitan Bank Holding Corp</t>
  </si>
  <si>
    <t>yelp</t>
  </si>
  <si>
    <t>Yelp Inc</t>
  </si>
  <si>
    <t>irmd</t>
  </si>
  <si>
    <t>Iradimed Corp</t>
  </si>
  <si>
    <t>sboef</t>
  </si>
  <si>
    <t>Schoeller Bleckmann Oilfield Equipmnt AG</t>
  </si>
  <si>
    <t>fg</t>
  </si>
  <si>
    <t>F&amp;G Annuities &amp; Life Inc</t>
  </si>
  <si>
    <t>bhvn</t>
  </si>
  <si>
    <t>Biohaven Ltd</t>
  </si>
  <si>
    <t>cpb</t>
  </si>
  <si>
    <t>Campbell Soup Company</t>
  </si>
  <si>
    <t>pch</t>
  </si>
  <si>
    <t>Potlatchdeltic Corp</t>
  </si>
  <si>
    <t>rytm</t>
  </si>
  <si>
    <t>Rhythm Pharmaceuticals Inc</t>
  </si>
  <si>
    <t>mgm</t>
  </si>
  <si>
    <t>MGM Resorts International</t>
  </si>
  <si>
    <t>isday</t>
  </si>
  <si>
    <t>Israel Discount Bank ADR</t>
  </si>
  <si>
    <t>kamn</t>
  </si>
  <si>
    <t>Kaman Corp</t>
  </si>
  <si>
    <t>jjatf</t>
  </si>
  <si>
    <t>Barclays Bk PLC iPath Bloomberg Agriculture Subindex Total Return ETN Exp 22nd Oct 2037</t>
  </si>
  <si>
    <t>gva</t>
  </si>
  <si>
    <t>Granite Construction Inc.</t>
  </si>
  <si>
    <t>cbu</t>
  </si>
  <si>
    <t>Community Bank System, Inc.</t>
  </si>
  <si>
    <t>1.81</t>
  </si>
  <si>
    <t>inta</t>
  </si>
  <si>
    <t>Intapp Inc</t>
  </si>
  <si>
    <t>smar</t>
  </si>
  <si>
    <t>Smartsheet Inc</t>
  </si>
  <si>
    <t>cmcsa</t>
  </si>
  <si>
    <t>Comcast Corporation</t>
  </si>
  <si>
    <t>valu</t>
  </si>
  <si>
    <t>Value Line, Inc.</t>
  </si>
  <si>
    <t>agx</t>
  </si>
  <si>
    <t>Argan Inc</t>
  </si>
  <si>
    <t>pfx</t>
  </si>
  <si>
    <t>Phenixfin Corp</t>
  </si>
  <si>
    <t>amnb</t>
  </si>
  <si>
    <t>American National BankShares Inc</t>
  </si>
  <si>
    <t>smlr</t>
  </si>
  <si>
    <t>Semler Scientific Inc</t>
  </si>
  <si>
    <t>slgn</t>
  </si>
  <si>
    <t>Silgan Holdings Inc</t>
  </si>
  <si>
    <t>eat</t>
  </si>
  <si>
    <t>Brinker International, Inc.</t>
  </si>
  <si>
    <t>dkl</t>
  </si>
  <si>
    <t>Delek Logistics Partners LP</t>
  </si>
  <si>
    <t>4.16</t>
  </si>
  <si>
    <t>main</t>
  </si>
  <si>
    <t>Main Street Capital Corp</t>
  </si>
  <si>
    <t>cm</t>
  </si>
  <si>
    <t>Canadian Imperial Bank of Commerce</t>
  </si>
  <si>
    <t>2.58</t>
  </si>
  <si>
    <t>slg</t>
  </si>
  <si>
    <t>SL Green Realty Corp</t>
  </si>
  <si>
    <t>vrns</t>
  </si>
  <si>
    <t>Varonis Systems Inc</t>
  </si>
  <si>
    <t>glpi</t>
  </si>
  <si>
    <t>Gaming and Leisure Properties Inc</t>
  </si>
  <si>
    <t>cwt</t>
  </si>
  <si>
    <t>California Water Service Group</t>
  </si>
  <si>
    <t>ml</t>
  </si>
  <si>
    <t>Moneylion Inc</t>
  </si>
  <si>
    <t>ibtx</t>
  </si>
  <si>
    <t>Independent Bank Group Inc</t>
  </si>
  <si>
    <t>avt</t>
  </si>
  <si>
    <t>Avnet Inc</t>
  </si>
  <si>
    <t>d</t>
  </si>
  <si>
    <t>Dominion Energy Inc</t>
  </si>
  <si>
    <t>2.67</t>
  </si>
  <si>
    <t>prymf</t>
  </si>
  <si>
    <t>Prysmian SpA</t>
  </si>
  <si>
    <t>blte</t>
  </si>
  <si>
    <t>Belite Bio Inc</t>
  </si>
  <si>
    <t>banr</t>
  </si>
  <si>
    <t>Banner Corp</t>
  </si>
  <si>
    <t>x</t>
  </si>
  <si>
    <t>United States Steel Corporation</t>
  </si>
  <si>
    <t>app</t>
  </si>
  <si>
    <t>Applovin Corp</t>
  </si>
  <si>
    <t>xene</t>
  </si>
  <si>
    <t>Xenon Pharmaceuticals Inc</t>
  </si>
  <si>
    <t>arvn</t>
  </si>
  <si>
    <t>Arvinas Inc</t>
  </si>
  <si>
    <t>chmg</t>
  </si>
  <si>
    <t>Chemung Financial Corp.</t>
  </si>
  <si>
    <t>klic</t>
  </si>
  <si>
    <t>Kulicke and Soffa Industries Inc.</t>
  </si>
  <si>
    <t>par</t>
  </si>
  <si>
    <t>PAR Technology Corp</t>
  </si>
  <si>
    <t>kr</t>
  </si>
  <si>
    <t>Kroger Co</t>
  </si>
  <si>
    <t>meoh</t>
  </si>
  <si>
    <t>Methanex Corp</t>
  </si>
  <si>
    <t>swtx</t>
  </si>
  <si>
    <t>SpringWorks Therapeutics Inc</t>
  </si>
  <si>
    <t>futu</t>
  </si>
  <si>
    <t>Futu Holdings Ltd</t>
  </si>
  <si>
    <t>mbuu</t>
  </si>
  <si>
    <t>Malibu Boats Inc</t>
  </si>
  <si>
    <t>rusha</t>
  </si>
  <si>
    <t>Rush Enterprises Inc Class A</t>
  </si>
  <si>
    <t>wabc</t>
  </si>
  <si>
    <t>Westamerica Bancorporation</t>
  </si>
  <si>
    <t>vtr</t>
  </si>
  <si>
    <t>Ventas Inc</t>
  </si>
  <si>
    <t>nholf</t>
  </si>
  <si>
    <t>SOMPO Holdings Inc</t>
  </si>
  <si>
    <t>glp</t>
  </si>
  <si>
    <t>Global Partners LP Unit</t>
  </si>
  <si>
    <t>2.71</t>
  </si>
  <si>
    <t>obt</t>
  </si>
  <si>
    <t>Orange County Bancorp Inc</t>
  </si>
  <si>
    <t>fizz</t>
  </si>
  <si>
    <t>National Beverage Corp.</t>
  </si>
  <si>
    <t>hrb</t>
  </si>
  <si>
    <t>H &amp; R Block Inc</t>
  </si>
  <si>
    <t>slvm</t>
  </si>
  <si>
    <t>Sylvamo Corp</t>
  </si>
  <si>
    <t>slno</t>
  </si>
  <si>
    <t>Soleno Therapeutics Inc</t>
  </si>
  <si>
    <t>cent</t>
  </si>
  <si>
    <t>Central Garden &amp; Pet Co</t>
  </si>
  <si>
    <t>nfg</t>
  </si>
  <si>
    <t>National Fuel Gas Co.</t>
  </si>
  <si>
    <t>crc</t>
  </si>
  <si>
    <t>California Resources Corp</t>
  </si>
  <si>
    <t>gbx</t>
  </si>
  <si>
    <t>Greenbrier Companies Inc</t>
  </si>
  <si>
    <t>bns</t>
  </si>
  <si>
    <t>Bank of Nova Scotia</t>
  </si>
  <si>
    <t>3.18</t>
  </si>
  <si>
    <t>srcu</t>
  </si>
  <si>
    <t>Spire Units</t>
  </si>
  <si>
    <t>sgiof</t>
  </si>
  <si>
    <t>Shionogi &amp; Co Ltd</t>
  </si>
  <si>
    <t>din</t>
  </si>
  <si>
    <t>Dine Brands Global Inc</t>
  </si>
  <si>
    <t>2.10</t>
  </si>
  <si>
    <t>rciaf</t>
  </si>
  <si>
    <t>Rogers Communications Inc Class A</t>
  </si>
  <si>
    <t>usfd</t>
  </si>
  <si>
    <t>US Foods Holding Corp</t>
  </si>
  <si>
    <t>wpm</t>
  </si>
  <si>
    <t>Wheaton Precious Metals Corp</t>
  </si>
  <si>
    <t>sny</t>
  </si>
  <si>
    <t>Sanofi SA</t>
  </si>
  <si>
    <t>rxst</t>
  </si>
  <si>
    <t>Rxsight Inc</t>
  </si>
  <si>
    <t>lkq</t>
  </si>
  <si>
    <t>LKQ Corp</t>
  </si>
  <si>
    <t>rci</t>
  </si>
  <si>
    <t>Rogers Communications Inc Class B</t>
  </si>
  <si>
    <t>unm</t>
  </si>
  <si>
    <t>Unum Group</t>
  </si>
  <si>
    <t>pki</t>
  </si>
  <si>
    <t>Parkland Corp</t>
  </si>
  <si>
    <t>tgls</t>
  </si>
  <si>
    <t>Tecnoglass Inc</t>
  </si>
  <si>
    <t>hi</t>
  </si>
  <si>
    <t>Hillenbrand, Inc.</t>
  </si>
  <si>
    <t>omf</t>
  </si>
  <si>
    <t>OneMain Holdings Inc</t>
  </si>
  <si>
    <t>cpri</t>
  </si>
  <si>
    <t>Capri Holdings Ltd</t>
  </si>
  <si>
    <t>ayx</t>
  </si>
  <si>
    <t>Alteryx Inc</t>
  </si>
  <si>
    <t>wbs</t>
  </si>
  <si>
    <t>Webster Financial Corporation</t>
  </si>
  <si>
    <t>sect</t>
  </si>
  <si>
    <t>Main Sector Rotation ETF</t>
  </si>
  <si>
    <t>sstk</t>
  </si>
  <si>
    <t>Shutterstock Inc</t>
  </si>
  <si>
    <t>wlfc</t>
  </si>
  <si>
    <t>Willis Lease Finance Corporation</t>
  </si>
  <si>
    <t>tenb</t>
  </si>
  <si>
    <t>Tenable Holdings Inc</t>
  </si>
  <si>
    <t>prct</t>
  </si>
  <si>
    <t>Procept Biorobotics Corp</t>
  </si>
  <si>
    <t>tdc</t>
  </si>
  <si>
    <t>Teradata Corp</t>
  </si>
  <si>
    <t>nwe</t>
  </si>
  <si>
    <t>NorthWestern Corp</t>
  </si>
  <si>
    <t>jrony</t>
  </si>
  <si>
    <t>Jeronimo Martins SGPS ADR</t>
  </si>
  <si>
    <t>csgs</t>
  </si>
  <si>
    <t>CSG Systems International, Inc.</t>
  </si>
  <si>
    <t>aatrl</t>
  </si>
  <si>
    <t>AMG Capital II 5.15% Conv Pref Exp 15 Oct 2037</t>
  </si>
  <si>
    <t>seas</t>
  </si>
  <si>
    <t>SeaWorld Entertainment Inc</t>
  </si>
  <si>
    <t>acu</t>
  </si>
  <si>
    <t>Acme United Corp</t>
  </si>
  <si>
    <t>atge</t>
  </si>
  <si>
    <t>Adtalem Global Education Inc</t>
  </si>
  <si>
    <t>fdbc</t>
  </si>
  <si>
    <t>Fidelity D&amp;D Bancorp Inc</t>
  </si>
  <si>
    <t>pam</t>
  </si>
  <si>
    <t>Pampa Energia S.A.</t>
  </si>
  <si>
    <t>aem</t>
  </si>
  <si>
    <t>Agnico Eagle Mines Ltd</t>
  </si>
  <si>
    <t>nyt</t>
  </si>
  <si>
    <t>New York Times Co</t>
  </si>
  <si>
    <t>srcl</t>
  </si>
  <si>
    <t>Stericycle Inc</t>
  </si>
  <si>
    <t>bmy</t>
  </si>
  <si>
    <t>Bristol-Myers Squibb Co</t>
  </si>
  <si>
    <t>road</t>
  </si>
  <si>
    <t>Construction Partners Inc</t>
  </si>
  <si>
    <t>rushb</t>
  </si>
  <si>
    <t>Rush Enterprises Inc Class B</t>
  </si>
  <si>
    <t>sybt</t>
  </si>
  <si>
    <t>Stock Yards Bancorp Inc</t>
  </si>
  <si>
    <t>lnt</t>
  </si>
  <si>
    <t>Alliant Energy Corporation</t>
  </si>
  <si>
    <t>nrim</t>
  </si>
  <si>
    <t>Northrim BanCorp Inc</t>
  </si>
  <si>
    <t>livn</t>
  </si>
  <si>
    <t>LivaNova PLC</t>
  </si>
  <si>
    <t>dbp</t>
  </si>
  <si>
    <t>Invesco DB Precious Metals Fund</t>
  </si>
  <si>
    <t>2.23</t>
  </si>
  <si>
    <t>utl</t>
  </si>
  <si>
    <t>Unitil Corp</t>
  </si>
  <si>
    <t>slb</t>
  </si>
  <si>
    <t>Schlumberger NV</t>
  </si>
  <si>
    <t>ccj</t>
  </si>
  <si>
    <t>Cameco Corp</t>
  </si>
  <si>
    <t>amsf</t>
  </si>
  <si>
    <t>Amerisafe, Inc.</t>
  </si>
  <si>
    <t>thrm</t>
  </si>
  <si>
    <t>Gentherm Inc</t>
  </si>
  <si>
    <t>ul</t>
  </si>
  <si>
    <t>Unilever plc</t>
  </si>
  <si>
    <t>1.87</t>
  </si>
  <si>
    <t>wpp</t>
  </si>
  <si>
    <t>cohr</t>
  </si>
  <si>
    <t>Coherent Corp</t>
  </si>
  <si>
    <t>wfc</t>
  </si>
  <si>
    <t>Wells Fargo &amp; Co</t>
  </si>
  <si>
    <t>jxn</t>
  </si>
  <si>
    <t>Jackson Financial Inc</t>
  </si>
  <si>
    <t>abcb</t>
  </si>
  <si>
    <t>mli</t>
  </si>
  <si>
    <t>Mueller Industries Inc</t>
  </si>
  <si>
    <t>pbf</t>
  </si>
  <si>
    <t>PBF Energy Inc</t>
  </si>
  <si>
    <t>unlyf</t>
  </si>
  <si>
    <t>pega</t>
  </si>
  <si>
    <t>Pegasystems Inc.</t>
  </si>
  <si>
    <t>tgh</t>
  </si>
  <si>
    <t>Textainer Group Holdings Ltd</t>
  </si>
  <si>
    <t>xone</t>
  </si>
  <si>
    <t>BondBloxx Bloomberg One Yr Tgt Duration US Trsy ET</t>
  </si>
  <si>
    <t>ions</t>
  </si>
  <si>
    <t>Ionis Pharmaceuticals Inc</t>
  </si>
  <si>
    <t>poahf</t>
  </si>
  <si>
    <t>Porsche Automobil Holding SE</t>
  </si>
  <si>
    <t>cash</t>
  </si>
  <si>
    <t>Pathward Financial Inc</t>
  </si>
  <si>
    <t>resi</t>
  </si>
  <si>
    <t>Residential Secure Income PLC</t>
  </si>
  <si>
    <t>batrb</t>
  </si>
  <si>
    <t>Atlanta Braves Holdings Inc Series B</t>
  </si>
  <si>
    <t>cprt</t>
  </si>
  <si>
    <t>Copart Inc</t>
  </si>
  <si>
    <t>has</t>
  </si>
  <si>
    <t>Hasbro Inc</t>
  </si>
  <si>
    <t>glnk</t>
  </si>
  <si>
    <t>Grayscale Chainlink Trust (LINK)</t>
  </si>
  <si>
    <t>esq</t>
  </si>
  <si>
    <t>Esquire Financial Holdings Inc</t>
  </si>
  <si>
    <t>csco</t>
  </si>
  <si>
    <t>Cisco Systems Inc</t>
  </si>
  <si>
    <t>smfnf</t>
  </si>
  <si>
    <t>cvlg</t>
  </si>
  <si>
    <t>Covenant Logistics Group Inc</t>
  </si>
  <si>
    <t>leu</t>
  </si>
  <si>
    <t>Centrus Energy Corp</t>
  </si>
  <si>
    <t>ecpg</t>
  </si>
  <si>
    <t>Encore Capital Group Inc</t>
  </si>
  <si>
    <t>tpx</t>
  </si>
  <si>
    <t>Tempur Sealy International Inc</t>
  </si>
  <si>
    <t>dco</t>
  </si>
  <si>
    <t>Ducommun Inc</t>
  </si>
  <si>
    <t>sym</t>
  </si>
  <si>
    <t>Symbotic Inc</t>
  </si>
  <si>
    <t>wsc</t>
  </si>
  <si>
    <t>Willscot Mobile Mini Holdings Corp</t>
  </si>
  <si>
    <t>rbcaa</t>
  </si>
  <si>
    <t>Republic Bancorp Inc</t>
  </si>
  <si>
    <t>fnf</t>
  </si>
  <si>
    <t>Fidelity National Financial Inc</t>
  </si>
  <si>
    <t>1.83</t>
  </si>
  <si>
    <t>evrg</t>
  </si>
  <si>
    <t>Evergy Inc</t>
  </si>
  <si>
    <t>bcucy</t>
  </si>
  <si>
    <t>Brunello Cucinelli S P A Unsponsored ADR</t>
  </si>
  <si>
    <t>ntr</t>
  </si>
  <si>
    <t>Nutrien Ltd</t>
  </si>
  <si>
    <t>srce</t>
  </si>
  <si>
    <t>1st Source Corp</t>
  </si>
  <si>
    <t>cmc</t>
  </si>
  <si>
    <t>Commercial Metals Company</t>
  </si>
  <si>
    <t>0.65</t>
  </si>
  <si>
    <t>dcre</t>
  </si>
  <si>
    <t>DoubleLine Commercial Real Estate ETF</t>
  </si>
  <si>
    <t>bhf</t>
  </si>
  <si>
    <t>Brighthouse Financial Inc</t>
  </si>
  <si>
    <t>bkh</t>
  </si>
  <si>
    <t>Black Hills Corp</t>
  </si>
  <si>
    <t>2.51</t>
  </si>
  <si>
    <t>sah</t>
  </si>
  <si>
    <t>Sonic Automotive Inc</t>
  </si>
  <si>
    <t>iac</t>
  </si>
  <si>
    <t>IAC Inc</t>
  </si>
  <si>
    <t>oln</t>
  </si>
  <si>
    <t>Olin Corp</t>
  </si>
  <si>
    <t>sfm</t>
  </si>
  <si>
    <t>Sprouts Farmers Market Inc</t>
  </si>
  <si>
    <t>kop</t>
  </si>
  <si>
    <t>Koppers Holdings Inc.</t>
  </si>
  <si>
    <t>cma</t>
  </si>
  <si>
    <t>Comerica Incorporated</t>
  </si>
  <si>
    <t>odp</t>
  </si>
  <si>
    <t>ODP Corp</t>
  </si>
  <si>
    <t>bsy</t>
  </si>
  <si>
    <t>Bentley Systems Inc</t>
  </si>
  <si>
    <t>cbsh</t>
  </si>
  <si>
    <t>Commerce Bancshares, Inc.</t>
  </si>
  <si>
    <t>w</t>
  </si>
  <si>
    <t>Wayfair Inc</t>
  </si>
  <si>
    <t>gsbc</t>
  </si>
  <si>
    <t>Great Southern Bancorp, Inc.</t>
  </si>
  <si>
    <t>slf</t>
  </si>
  <si>
    <t>Sun Life Financial Inc</t>
  </si>
  <si>
    <t>bdnny</t>
  </si>
  <si>
    <t>Boliden ADR</t>
  </si>
  <si>
    <t>insw</t>
  </si>
  <si>
    <t>International Seaways Inc</t>
  </si>
  <si>
    <t>gmed</t>
  </si>
  <si>
    <t>Globus Medical Inc</t>
  </si>
  <si>
    <t>sp</t>
  </si>
  <si>
    <t>SP Plus Corp</t>
  </si>
  <si>
    <t>cqp</t>
  </si>
  <si>
    <t>Cheniere Energy Partners LP</t>
  </si>
  <si>
    <t>cnlpl</t>
  </si>
  <si>
    <t>Connecticut Light and Power Co</t>
  </si>
  <si>
    <t>amba</t>
  </si>
  <si>
    <t>Ambarella Inc</t>
  </si>
  <si>
    <t>sggff</t>
  </si>
  <si>
    <t>Barclays Bk PLC iPath Dow JonesUBS Sugar Subindex Total Return ETN Exp 24th Jun 2038</t>
  </si>
  <si>
    <t>cubi</t>
  </si>
  <si>
    <t>Customers Bancorp Inc</t>
  </si>
  <si>
    <t>rrbi</t>
  </si>
  <si>
    <t>Red River Bancshares Inc</t>
  </si>
  <si>
    <t>iscb</t>
  </si>
  <si>
    <t>iShares Morningstar Small-Cap ETF</t>
  </si>
  <si>
    <t>ande</t>
  </si>
  <si>
    <t>Andersons Inc</t>
  </si>
  <si>
    <t>env</t>
  </si>
  <si>
    <t>Envestnet Inc</t>
  </si>
  <si>
    <t>cnthp</t>
  </si>
  <si>
    <t>Connecticut Light Power Company 6 56 Series 1968 Pref Shs</t>
  </si>
  <si>
    <t>tmhc</t>
  </si>
  <si>
    <t>Taylor Morrison Home Corp</t>
  </si>
  <si>
    <t>fr</t>
  </si>
  <si>
    <t>First Industrial Realty Trust Inc</t>
  </si>
  <si>
    <t>trmb</t>
  </si>
  <si>
    <t>Trimble Inc</t>
  </si>
  <si>
    <t>vnorp</t>
  </si>
  <si>
    <t>Vornado Realty 6.50 Conv Pref Shs Series A</t>
  </si>
  <si>
    <t>amph</t>
  </si>
  <si>
    <t>Amphastar Pharmaceuticals Inc</t>
  </si>
  <si>
    <t>grbk</t>
  </si>
  <si>
    <t>Green Brick Partners Inc</t>
  </si>
  <si>
    <t>xpel</t>
  </si>
  <si>
    <t>Xpel Inc</t>
  </si>
  <si>
    <t>kbr</t>
  </si>
  <si>
    <t>KBR Inc</t>
  </si>
  <si>
    <t>kros</t>
  </si>
  <si>
    <t>Keros Therapeutics Inc</t>
  </si>
  <si>
    <t>med</t>
  </si>
  <si>
    <t>Medifast Inc</t>
  </si>
  <si>
    <t>ctva</t>
  </si>
  <si>
    <t>Corteva Inc</t>
  </si>
  <si>
    <t>nhi</t>
  </si>
  <si>
    <t>National Health Investors Inc</t>
  </si>
  <si>
    <t>seneb</t>
  </si>
  <si>
    <t>Seneca Foods Corp Class B</t>
  </si>
  <si>
    <t>mtdr</t>
  </si>
  <si>
    <t>Matador Resources Co</t>
  </si>
  <si>
    <t>ax</t>
  </si>
  <si>
    <t>Axos Financial Inc</t>
  </si>
  <si>
    <t>celh</t>
  </si>
  <si>
    <t>Celsius Holdings, Inc.</t>
  </si>
  <si>
    <t>iboc</t>
  </si>
  <si>
    <t>International Bancshares Corp</t>
  </si>
  <si>
    <t>dow</t>
  </si>
  <si>
    <t>Dow Inc</t>
  </si>
  <si>
    <t>2.89</t>
  </si>
  <si>
    <t>dtm</t>
  </si>
  <si>
    <t>DT Midstream Inc</t>
  </si>
  <si>
    <t>2.76</t>
  </si>
  <si>
    <t>hgen</t>
  </si>
  <si>
    <t>Hydrogenone Capital Growth PLC</t>
  </si>
  <si>
    <t>apog</t>
  </si>
  <si>
    <t>Apogee Enterprises Inc</t>
  </si>
  <si>
    <t>enva</t>
  </si>
  <si>
    <t>Enova International Inc</t>
  </si>
  <si>
    <t>egle</t>
  </si>
  <si>
    <t>Eagle Bulk Shipping Inc</t>
  </si>
  <si>
    <t>lnth</t>
  </si>
  <si>
    <t>Lantheus Holdings Inc</t>
  </si>
  <si>
    <t>senea</t>
  </si>
  <si>
    <t>Seneca Foods Corp Class A</t>
  </si>
  <si>
    <t>rexr</t>
  </si>
  <si>
    <t>Rexford Industrial Realty Inc</t>
  </si>
  <si>
    <t>o</t>
  </si>
  <si>
    <t>Realty Income Corp</t>
  </si>
  <si>
    <t>3.05</t>
  </si>
  <si>
    <t>csr</t>
  </si>
  <si>
    <t>INVESTORS REAL ESTATE TRUST REIT Common Stock</t>
  </si>
  <si>
    <t>2.92</t>
  </si>
  <si>
    <t>fngo</t>
  </si>
  <si>
    <t>Bank of Montreal MicroSectors FANG Index 2X Leveraged ETN Exp 8 Jan 2038</t>
  </si>
  <si>
    <t>jci</t>
  </si>
  <si>
    <t>Johnson Controls International PLC</t>
  </si>
  <si>
    <t>ctlt</t>
  </si>
  <si>
    <t>Catalent Inc</t>
  </si>
  <si>
    <t>cien</t>
  </si>
  <si>
    <t>Ciena Corp</t>
  </si>
  <si>
    <t>esnt</t>
  </si>
  <si>
    <t>Essent Group Ltd</t>
  </si>
  <si>
    <t>nrg</t>
  </si>
  <si>
    <t>NRG Energy Inc</t>
  </si>
  <si>
    <t>hdb</t>
  </si>
  <si>
    <t>HDFC Bank Ltd</t>
  </si>
  <si>
    <t>hees</t>
  </si>
  <si>
    <t>H&amp;E Equipment Services, Inc.</t>
  </si>
  <si>
    <t>gxo</t>
  </si>
  <si>
    <t>GXO Logistics Inc</t>
  </si>
  <si>
    <t>pldgp</t>
  </si>
  <si>
    <t>ProLogis Pref Shs Series Q</t>
  </si>
  <si>
    <t>k</t>
  </si>
  <si>
    <t>Kellogg Co</t>
  </si>
  <si>
    <t>2.34</t>
  </si>
  <si>
    <t>play</t>
  </si>
  <si>
    <t>Dave &amp; Buster's Entertainment Inc</t>
  </si>
  <si>
    <t>es</t>
  </si>
  <si>
    <t>Eversource Energy</t>
  </si>
  <si>
    <t>2.70</t>
  </si>
  <si>
    <t>ccz</t>
  </si>
  <si>
    <t>Comcast Holdings ZONES 2 Exchangeable Subor Debentures Exp 15 Nov 2029</t>
  </si>
  <si>
    <t>mltx</t>
  </si>
  <si>
    <t>MoonLake Immunotherapeutics</t>
  </si>
  <si>
    <t>gfs</t>
  </si>
  <si>
    <t>Globalfoundries Inc</t>
  </si>
  <si>
    <t>czfs</t>
  </si>
  <si>
    <t>Citizens Financial Services Inc</t>
  </si>
  <si>
    <t>mnst</t>
  </si>
  <si>
    <t>Monster Beverage Corp</t>
  </si>
  <si>
    <t>anip</t>
  </si>
  <si>
    <t>ANI Pharmaceuticals Inc Common Stock</t>
  </si>
  <si>
    <t>ael</t>
  </si>
  <si>
    <t>American Equity Investment Life Holding</t>
  </si>
  <si>
    <t>c</t>
  </si>
  <si>
    <t>Citigroup Inc</t>
  </si>
  <si>
    <t>2.15</t>
  </si>
  <si>
    <t>bk</t>
  </si>
  <si>
    <t>Bank of New York Mellon Corp</t>
  </si>
  <si>
    <t>1.75</t>
  </si>
  <si>
    <t>lnngy</t>
  </si>
  <si>
    <t>Li Ning Company ADR</t>
  </si>
  <si>
    <t>adm</t>
  </si>
  <si>
    <t>Archer-Daniels-Midland Co</t>
  </si>
  <si>
    <t>1.79</t>
  </si>
  <si>
    <t>cffi</t>
  </si>
  <si>
    <t>C&amp;F Financial Corp</t>
  </si>
  <si>
    <t>indb</t>
  </si>
  <si>
    <t>Independent Bank Corp (Massachusetts)</t>
  </si>
  <si>
    <t>legn</t>
  </si>
  <si>
    <t>Legend Biotech Corp</t>
  </si>
  <si>
    <t>zg</t>
  </si>
  <si>
    <t>Zillow Group Inc Class A</t>
  </si>
  <si>
    <t>msex</t>
  </si>
  <si>
    <t>Middlesex Water Co</t>
  </si>
  <si>
    <t>hayn</t>
  </si>
  <si>
    <t>Haynes International, Inc.</t>
  </si>
  <si>
    <t>brze</t>
  </si>
  <si>
    <t>Braze Inc</t>
  </si>
  <si>
    <t>ftai</t>
  </si>
  <si>
    <t>FTAI Aviation Ltd</t>
  </si>
  <si>
    <t>fepi</t>
  </si>
  <si>
    <t>Rex Fang &amp; Innovation Equity Premium Income ETF</t>
  </si>
  <si>
    <t>joe</t>
  </si>
  <si>
    <t>St Joe Co</t>
  </si>
  <si>
    <t>tsn</t>
  </si>
  <si>
    <t>Tyson Foods Inc</t>
  </si>
  <si>
    <t>imo</t>
  </si>
  <si>
    <t>Imperial Oil Ltd</t>
  </si>
  <si>
    <t>lite</t>
  </si>
  <si>
    <t>Lumentum Holdings Inc</t>
  </si>
  <si>
    <t>dino</t>
  </si>
  <si>
    <t>HF Sinclair Corp</t>
  </si>
  <si>
    <t>ndaq</t>
  </si>
  <si>
    <t>Nasdaq Inc</t>
  </si>
  <si>
    <t>qcrh</t>
  </si>
  <si>
    <t>QCR Holdings, Inc.</t>
  </si>
  <si>
    <t>carr</t>
  </si>
  <si>
    <t>Carrier Global Corp</t>
  </si>
  <si>
    <t>rpd</t>
  </si>
  <si>
    <t>Rapid7 Inc</t>
  </si>
  <si>
    <t>brbr</t>
  </si>
  <si>
    <t>Bellring Brands Inc</t>
  </si>
  <si>
    <t>mc</t>
  </si>
  <si>
    <t>Moelis &amp; Co</t>
  </si>
  <si>
    <t>2.40</t>
  </si>
  <si>
    <t>calm</t>
  </si>
  <si>
    <t>Cal-Maine Foods Inc</t>
  </si>
  <si>
    <t>son</t>
  </si>
  <si>
    <t>Sonoco Products Co</t>
  </si>
  <si>
    <t>mga</t>
  </si>
  <si>
    <t>Magna International Inc</t>
  </si>
  <si>
    <t>usci</t>
  </si>
  <si>
    <t>United States Commodity Index Fund</t>
  </si>
  <si>
    <t>skx</t>
  </si>
  <si>
    <t>Skechers USA Inc</t>
  </si>
  <si>
    <t>oxy</t>
  </si>
  <si>
    <t>Occidental Petroleum Corp</t>
  </si>
  <si>
    <t>axs</t>
  </si>
  <si>
    <t>AXIS Capital Holdings Ltd</t>
  </si>
  <si>
    <t>sal</t>
  </si>
  <si>
    <t>SpaceandPeople Plc</t>
  </si>
  <si>
    <t>prgs</t>
  </si>
  <si>
    <t>Progress Software Corp</t>
  </si>
  <si>
    <t>kmpr</t>
  </si>
  <si>
    <t>Kemper Corp</t>
  </si>
  <si>
    <t>smg</t>
  </si>
  <si>
    <t>Scotts Miracle-Gro Co</t>
  </si>
  <si>
    <t>mdh</t>
  </si>
  <si>
    <t>MDC Holdings Inc</t>
  </si>
  <si>
    <t>z</t>
  </si>
  <si>
    <t>Zillow Group Inc Class C</t>
  </si>
  <si>
    <t>hwm</t>
  </si>
  <si>
    <t>Howmet Aerospace Inc</t>
  </si>
  <si>
    <t>cms</t>
  </si>
  <si>
    <t>CMS Energy Corporation</t>
  </si>
  <si>
    <t>2.08</t>
  </si>
  <si>
    <t>ntnx</t>
  </si>
  <si>
    <t>Nutanix Inc</t>
  </si>
  <si>
    <t>nari</t>
  </si>
  <si>
    <t>Inari Medical Inc</t>
  </si>
  <si>
    <t>fbrt</t>
  </si>
  <si>
    <t>Wisdomtree Brent Crude Oil ETC</t>
  </si>
  <si>
    <t>docu</t>
  </si>
  <si>
    <t>Docusign Inc</t>
  </si>
  <si>
    <t>nee</t>
  </si>
  <si>
    <t>NextEra Energy Inc</t>
  </si>
  <si>
    <t>wdc</t>
  </si>
  <si>
    <t>Western Digital Corp</t>
  </si>
  <si>
    <t>peg</t>
  </si>
  <si>
    <t>Public Service Enterprise Group Inc.</t>
  </si>
  <si>
    <t>mmyt</t>
  </si>
  <si>
    <t>Makemytrip Ltd</t>
  </si>
  <si>
    <t>ktb</t>
  </si>
  <si>
    <t>Kontoor Brands Inc</t>
  </si>
  <si>
    <t>incy</t>
  </si>
  <si>
    <t>Incyte Corporation</t>
  </si>
  <si>
    <t>skyw</t>
  </si>
  <si>
    <t>SkyWest Inc</t>
  </si>
  <si>
    <t>plmr</t>
  </si>
  <si>
    <t>Palomar Holdings Inc</t>
  </si>
  <si>
    <t>lmat</t>
  </si>
  <si>
    <t>LeMaitre Vascular Inc</t>
  </si>
  <si>
    <t>wor</t>
  </si>
  <si>
    <t>Worthington Enterprises Inc</t>
  </si>
  <si>
    <t>adrzf</t>
  </si>
  <si>
    <t>Andritz AG</t>
  </si>
  <si>
    <t>usml</t>
  </si>
  <si>
    <t>Invesco S&amp;P SmallCap 600 UCITS ETF Acc</t>
  </si>
  <si>
    <t>sr</t>
  </si>
  <si>
    <t>Spire Inc</t>
  </si>
  <si>
    <t>3.02</t>
  </si>
  <si>
    <t>sbr</t>
  </si>
  <si>
    <t>Sabine Royalty Trust</t>
  </si>
  <si>
    <t>tnk</t>
  </si>
  <si>
    <t>Teekay Tankers Ltd</t>
  </si>
  <si>
    <t>uvv</t>
  </si>
  <si>
    <t>Universal Corp</t>
  </si>
  <si>
    <t>ale</t>
  </si>
  <si>
    <t>ALLETE Inc</t>
  </si>
  <si>
    <t>frph</t>
  </si>
  <si>
    <t>FRP Holdings Inc</t>
  </si>
  <si>
    <t>gff</t>
  </si>
  <si>
    <t>Griffon Corporation</t>
  </si>
  <si>
    <t>ugic</t>
  </si>
  <si>
    <t>UGI Units</t>
  </si>
  <si>
    <t>knx</t>
  </si>
  <si>
    <t>Knight-Swift Transportation Holdings Inc</t>
  </si>
  <si>
    <t>adc</t>
  </si>
  <si>
    <t>Agree Realty Corporation</t>
  </si>
  <si>
    <t>ball</t>
  </si>
  <si>
    <t>Ball Corp</t>
  </si>
  <si>
    <t>kfy</t>
  </si>
  <si>
    <t>Korn Ferry</t>
  </si>
  <si>
    <t>sjw</t>
  </si>
  <si>
    <t>SJW Group</t>
  </si>
  <si>
    <t>pds</t>
  </si>
  <si>
    <t>Precision Drilling Corp</t>
  </si>
  <si>
    <t>enov</t>
  </si>
  <si>
    <t>Enovis Corp</t>
  </si>
  <si>
    <t>xel</t>
  </si>
  <si>
    <t>Xcel Energy Inc</t>
  </si>
  <si>
    <t>fwona</t>
  </si>
  <si>
    <t>kbh</t>
  </si>
  <si>
    <t>KB Home</t>
  </si>
  <si>
    <t>ussc</t>
  </si>
  <si>
    <t>SPDR MSCI USA Small Cap Value Weighted UCITS ETF</t>
  </si>
  <si>
    <t>wmk</t>
  </si>
  <si>
    <t>Weis Markets, Inc.</t>
  </si>
  <si>
    <t>swx</t>
  </si>
  <si>
    <t>Southwest Gas Holdings Inc</t>
  </si>
  <si>
    <t>uepen</t>
  </si>
  <si>
    <t>Union Electric Company Pref Shs</t>
  </si>
  <si>
    <t>eqr</t>
  </si>
  <si>
    <t>Equity Residential</t>
  </si>
  <si>
    <t>wal</t>
  </si>
  <si>
    <t>Western Alliance Bancorporation</t>
  </si>
  <si>
    <t>baesy</t>
  </si>
  <si>
    <t>BAE Systems PLC - ADR</t>
  </si>
  <si>
    <t>lrn</t>
  </si>
  <si>
    <t>Stride Inc</t>
  </si>
  <si>
    <t>sun</t>
  </si>
  <si>
    <t>Sunoco LP</t>
  </si>
  <si>
    <t>td</t>
  </si>
  <si>
    <t>Toronto-Dominion Bank</t>
  </si>
  <si>
    <t>3.03</t>
  </si>
  <si>
    <t>tcbi</t>
  </si>
  <si>
    <t>Texas Capital Bancshares Inc</t>
  </si>
  <si>
    <t>vsec</t>
  </si>
  <si>
    <t>VSE Corp</t>
  </si>
  <si>
    <t>bl</t>
  </si>
  <si>
    <t>Blackline Inc</t>
  </si>
  <si>
    <t>hpac</t>
  </si>
  <si>
    <t>Hermes Pacific Investments PLC</t>
  </si>
  <si>
    <t>ko</t>
  </si>
  <si>
    <t>Coca-Cola Co</t>
  </si>
  <si>
    <t>faf</t>
  </si>
  <si>
    <t>First American Financial Corp</t>
  </si>
  <si>
    <t>2.09</t>
  </si>
  <si>
    <t>cnq</t>
  </si>
  <si>
    <t>Canadian Natural Resources Ltd</t>
  </si>
  <si>
    <t>brc</t>
  </si>
  <si>
    <t>Brady Corp</t>
  </si>
  <si>
    <t>dt</t>
  </si>
  <si>
    <t>Dynatrace Inc</t>
  </si>
  <si>
    <t>chkel</t>
  </si>
  <si>
    <t>Chesapeake Energy</t>
  </si>
  <si>
    <t>cow</t>
  </si>
  <si>
    <t>iShares Global Agriculture Idx Fund</t>
  </si>
  <si>
    <t>crs</t>
  </si>
  <si>
    <t>Carpenter Technology Corporation</t>
  </si>
  <si>
    <t>uelmo</t>
  </si>
  <si>
    <t>Union Electric Co</t>
  </si>
  <si>
    <t>wns</t>
  </si>
  <si>
    <t>WNS (Holdings) Limited</t>
  </si>
  <si>
    <t>dnz</t>
  </si>
  <si>
    <t>Donaldson Company Inc</t>
  </si>
  <si>
    <t>fwonb</t>
  </si>
  <si>
    <t>Valaris Ltd</t>
  </si>
  <si>
    <t>bkgff</t>
  </si>
  <si>
    <t>Berkeley Group Holdings PLC</t>
  </si>
  <si>
    <t>ssnc</t>
  </si>
  <si>
    <t>SS&amp;C Technologies Holdings Inc</t>
  </si>
  <si>
    <t>trno</t>
  </si>
  <si>
    <t>Terreno Realty Corp</t>
  </si>
  <si>
    <t>bhp</t>
  </si>
  <si>
    <t>uga</t>
  </si>
  <si>
    <t>United States Gasoline Fund LP</t>
  </si>
  <si>
    <t>sanm</t>
  </si>
  <si>
    <t>Sanmina Corp</t>
  </si>
  <si>
    <t>hwkn</t>
  </si>
  <si>
    <t>Hawkins Inc</t>
  </si>
  <si>
    <t>ogs</t>
  </si>
  <si>
    <t>ONE Gas Inc</t>
  </si>
  <si>
    <t>fmc</t>
  </si>
  <si>
    <t>FMC Corp</t>
  </si>
  <si>
    <t>vrt</t>
  </si>
  <si>
    <t>Vertiv Holdings Co</t>
  </si>
  <si>
    <t>alsn</t>
  </si>
  <si>
    <t>Allison Transmission Holdings Inc</t>
  </si>
  <si>
    <t>ugl</t>
  </si>
  <si>
    <t>ProShares Ultra Gold</t>
  </si>
  <si>
    <t>wpc</t>
  </si>
  <si>
    <t>WP Carey Inc</t>
  </si>
  <si>
    <t>lscc</t>
  </si>
  <si>
    <t>Lattice Semiconductor Corp</t>
  </si>
  <si>
    <t>spt</t>
  </si>
  <si>
    <t>Sprout Social Inc</t>
  </si>
  <si>
    <t>pbh</t>
  </si>
  <si>
    <t>Prestige Consumer Healthcare Inc</t>
  </si>
  <si>
    <t>boh</t>
  </si>
  <si>
    <t>Bank of Hawaii Corp</t>
  </si>
  <si>
    <t>civi</t>
  </si>
  <si>
    <t>Civitas Resources Inc</t>
  </si>
  <si>
    <t>air</t>
  </si>
  <si>
    <t>AAR Corp</t>
  </si>
  <si>
    <t>tap</t>
  </si>
  <si>
    <t>Molson Coors Beverage Co Class B</t>
  </si>
  <si>
    <t>bud</t>
  </si>
  <si>
    <t>Anheuser-Busch Inbev SA</t>
  </si>
  <si>
    <t>budff</t>
  </si>
  <si>
    <t>crmt</t>
  </si>
  <si>
    <t>America's Car-Mart, Inc.</t>
  </si>
  <si>
    <t>fis</t>
  </si>
  <si>
    <t>Fidelity National Information Servcs Inc</t>
  </si>
  <si>
    <t>stc</t>
  </si>
  <si>
    <t>Stewart Information Services Corp</t>
  </si>
  <si>
    <t>alrm</t>
  </si>
  <si>
    <t>Alarm.com Holdings Inc</t>
  </si>
  <si>
    <t>dd</t>
  </si>
  <si>
    <t>DuPont de Nemours Inc</t>
  </si>
  <si>
    <t>rick</t>
  </si>
  <si>
    <t>RCI Hospitality Holdings Inc</t>
  </si>
  <si>
    <t>pypl</t>
  </si>
  <si>
    <t>PayPal Holdings Inc</t>
  </si>
  <si>
    <t>gef</t>
  </si>
  <si>
    <t>Greif Inc Class A</t>
  </si>
  <si>
    <t>fxy</t>
  </si>
  <si>
    <t>Invesco CurrencyShares Japanese Yen Trust</t>
  </si>
  <si>
    <t>apls</t>
  </si>
  <si>
    <t>Apellis Pharmaceuticals Inc</t>
  </si>
  <si>
    <t>reg</t>
  </si>
  <si>
    <t>Regency Centers Corp</t>
  </si>
  <si>
    <t>pb</t>
  </si>
  <si>
    <t>Prosperity Bancshares, Inc.</t>
  </si>
  <si>
    <t>2.25</t>
  </si>
  <si>
    <t>mdc</t>
  </si>
  <si>
    <t>dooo</t>
  </si>
  <si>
    <t>BRP Inc</t>
  </si>
  <si>
    <t>schw</t>
  </si>
  <si>
    <t>Charles Schwab Corporation Common Stock</t>
  </si>
  <si>
    <t>sxt</t>
  </si>
  <si>
    <t>Sensient Technologies Corp</t>
  </si>
  <si>
    <t>beob</t>
  </si>
  <si>
    <t>BEO Bancorp OR Ord Shs</t>
  </si>
  <si>
    <t>filg</t>
  </si>
  <si>
    <t>Grayscale Filecoin Trust (FIL)</t>
  </si>
  <si>
    <t>shel</t>
  </si>
  <si>
    <t>foxf</t>
  </si>
  <si>
    <t>Fox Factory Holding Corp</t>
  </si>
  <si>
    <t>tex</t>
  </si>
  <si>
    <t>Terex Corp</t>
  </si>
  <si>
    <t>nvt</t>
  </si>
  <si>
    <t>nVent Electric PLC</t>
  </si>
  <si>
    <t>aclx</t>
  </si>
  <si>
    <t>Arcellx Inc</t>
  </si>
  <si>
    <t>dfin</t>
  </si>
  <si>
    <t>Donnelley Financial Solutions Inc</t>
  </si>
  <si>
    <t>bxp</t>
  </si>
  <si>
    <t>Boston Properties, Inc.</t>
  </si>
  <si>
    <t>3.98</t>
  </si>
  <si>
    <t>hcc</t>
  </si>
  <si>
    <t>Warrior Met Coal Inc</t>
  </si>
  <si>
    <t>simo</t>
  </si>
  <si>
    <t>Silicon Motion Technology Corp.</t>
  </si>
  <si>
    <t>trux</t>
  </si>
  <si>
    <t>Truxton Corp</t>
  </si>
  <si>
    <t>exas</t>
  </si>
  <si>
    <t>Exact Sciences Corp</t>
  </si>
  <si>
    <t>uepem</t>
  </si>
  <si>
    <t>cbz</t>
  </si>
  <si>
    <t>CBIZ Inc</t>
  </si>
  <si>
    <t>byd</t>
  </si>
  <si>
    <t>Boyd Gaming Corporation</t>
  </si>
  <si>
    <t>chkez</t>
  </si>
  <si>
    <t>zm</t>
  </si>
  <si>
    <t>Zoom Video Communications Inc</t>
  </si>
  <si>
    <t>rba</t>
  </si>
  <si>
    <t>RB Global Inc</t>
  </si>
  <si>
    <t>mgee</t>
  </si>
  <si>
    <t>MGE Energy Inc</t>
  </si>
  <si>
    <t>bsx</t>
  </si>
  <si>
    <t>Boston Scientific Corporation</t>
  </si>
  <si>
    <t>tte</t>
  </si>
  <si>
    <t>TotalEnergies SE</t>
  </si>
  <si>
    <t>aso</t>
  </si>
  <si>
    <t>Academy Sports and Outdoors Inc</t>
  </si>
  <si>
    <t>odc</t>
  </si>
  <si>
    <t>Oil-Dri Corporation of America</t>
  </si>
  <si>
    <t>bj</t>
  </si>
  <si>
    <t>BJ's Wholesale Club Holdings Inc</t>
  </si>
  <si>
    <t>fxa</t>
  </si>
  <si>
    <t>Invesco CurrencyShares Australian Dollar ETF</t>
  </si>
  <si>
    <t>sfbs</t>
  </si>
  <si>
    <t>ServisFirst Bancshares Inc</t>
  </si>
  <si>
    <t>golf</t>
  </si>
  <si>
    <t>Acushnet Holdings Corp</t>
  </si>
  <si>
    <t>ailih</t>
  </si>
  <si>
    <t>Ameren Illinois Company NEW 4 08 Cumulative Pref Shs</t>
  </si>
  <si>
    <t>crsp</t>
  </si>
  <si>
    <t>Crispr Therapeutics AG</t>
  </si>
  <si>
    <t>gis</t>
  </si>
  <si>
    <t>General Mills Inc</t>
  </si>
  <si>
    <t>azz</t>
  </si>
  <si>
    <t>AZZ Inc</t>
  </si>
  <si>
    <t>ttfnf</t>
  </si>
  <si>
    <t>hbia</t>
  </si>
  <si>
    <t>Hills Bancorporation</t>
  </si>
  <si>
    <t>lkfn</t>
  </si>
  <si>
    <t>Lakeland Financial Corporation</t>
  </si>
  <si>
    <t>bery</t>
  </si>
  <si>
    <t>Berry Global Group Inc</t>
  </si>
  <si>
    <t>ora</t>
  </si>
  <si>
    <t>Ormat Technologies, Inc.</t>
  </si>
  <si>
    <t>tdw</t>
  </si>
  <si>
    <t>Tidewater Inc</t>
  </si>
  <si>
    <t>snex</t>
  </si>
  <si>
    <t>Stonex Group Inc</t>
  </si>
  <si>
    <t>psn</t>
  </si>
  <si>
    <t>Parsons Corp</t>
  </si>
  <si>
    <t>azn</t>
  </si>
  <si>
    <t>AstraZeneca plc</t>
  </si>
  <si>
    <t>1.51</t>
  </si>
  <si>
    <t>kalu</t>
  </si>
  <si>
    <t>Kaiser Aluminum Corp.</t>
  </si>
  <si>
    <t>met</t>
  </si>
  <si>
    <t>Metlife Inc</t>
  </si>
  <si>
    <t>tech</t>
  </si>
  <si>
    <t>BIO-TECHNE Corp</t>
  </si>
  <si>
    <t>lpx</t>
  </si>
  <si>
    <t>Louisiana-Pacific Corp</t>
  </si>
  <si>
    <t>nipnf</t>
  </si>
  <si>
    <t>NEC Corp</t>
  </si>
  <si>
    <t>azta</t>
  </si>
  <si>
    <t>Azenta Inc</t>
  </si>
  <si>
    <t>cnxn</t>
  </si>
  <si>
    <t>PC Connection, Inc.</t>
  </si>
  <si>
    <t>ftnt</t>
  </si>
  <si>
    <t>Fortinet Inc</t>
  </si>
  <si>
    <t>fwonk</t>
  </si>
  <si>
    <t>gpdnf</t>
  </si>
  <si>
    <t>Danone SA</t>
  </si>
  <si>
    <t>lbrda</t>
  </si>
  <si>
    <t>Liberty Broadband Corp Series A</t>
  </si>
  <si>
    <t>seic</t>
  </si>
  <si>
    <t>SEI Investments Co</t>
  </si>
  <si>
    <t>uhal</t>
  </si>
  <si>
    <t>U-Haul Holding Co</t>
  </si>
  <si>
    <t>stng</t>
  </si>
  <si>
    <t>Scorpio Tankers Inc</t>
  </si>
  <si>
    <t>eix</t>
  </si>
  <si>
    <t>Edison International</t>
  </si>
  <si>
    <t>2.95</t>
  </si>
  <si>
    <t>lbrdk</t>
  </si>
  <si>
    <t>Liberty Broadband Corp Series C</t>
  </si>
  <si>
    <t>ngg</t>
  </si>
  <si>
    <t>itci</t>
  </si>
  <si>
    <t>Intra-Cellular Therapies Inc</t>
  </si>
  <si>
    <t>dci</t>
  </si>
  <si>
    <t>diod</t>
  </si>
  <si>
    <t>Diodes Inc</t>
  </si>
  <si>
    <t>eman</t>
  </si>
  <si>
    <t>Everyman Media Group PLC</t>
  </si>
  <si>
    <t>uso</t>
  </si>
  <si>
    <t>United States Oil ETF</t>
  </si>
  <si>
    <t>wgo</t>
  </si>
  <si>
    <t>Winnebago Industries, Inc.</t>
  </si>
  <si>
    <t>mrvl</t>
  </si>
  <si>
    <t>Marvell Technology Inc</t>
  </si>
  <si>
    <t>coop</t>
  </si>
  <si>
    <t>Mr Cooper Group Inc</t>
  </si>
  <si>
    <t>axnx</t>
  </si>
  <si>
    <t>Axonics Inc</t>
  </si>
  <si>
    <t>mkc</t>
  </si>
  <si>
    <t>McCormick &amp; Company Inc</t>
  </si>
  <si>
    <t>ntra</t>
  </si>
  <si>
    <t>Natera Inc</t>
  </si>
  <si>
    <t>sci</t>
  </si>
  <si>
    <t>Service Corporation International</t>
  </si>
  <si>
    <t>catc</t>
  </si>
  <si>
    <t>Cambridge Bancorp</t>
  </si>
  <si>
    <t>aap</t>
  </si>
  <si>
    <t>Advance Auto Parts, Inc.</t>
  </si>
  <si>
    <t>belfb</t>
  </si>
  <si>
    <t>Bel Fuse Inc Class B</t>
  </si>
  <si>
    <t>sq</t>
  </si>
  <si>
    <t>Block Inc</t>
  </si>
  <si>
    <t>sedg</t>
  </si>
  <si>
    <t>Solaredge Technologies Inc</t>
  </si>
  <si>
    <t>zd</t>
  </si>
  <si>
    <t>Ziff Davis Inc</t>
  </si>
  <si>
    <t>aesc</t>
  </si>
  <si>
    <t>AES Units</t>
  </si>
  <si>
    <t>uber</t>
  </si>
  <si>
    <t>Uber Technologies Inc</t>
  </si>
  <si>
    <t>hy</t>
  </si>
  <si>
    <t>Hyster-Yale Materials Handling Inc</t>
  </si>
  <si>
    <t>1.30</t>
  </si>
  <si>
    <t>zeus</t>
  </si>
  <si>
    <t>Olympic Steel Inc</t>
  </si>
  <si>
    <t>nath</t>
  </si>
  <si>
    <t>Nathan's Famous, Inc.</t>
  </si>
  <si>
    <t>oke</t>
  </si>
  <si>
    <t>ONEOK Inc</t>
  </si>
  <si>
    <t>qdel</t>
  </si>
  <si>
    <t>Quidelortho Corp</t>
  </si>
  <si>
    <t>kfrc</t>
  </si>
  <si>
    <t>Kforce Inc</t>
  </si>
  <si>
    <t>mtx</t>
  </si>
  <si>
    <t>Minerals Technologies Inc</t>
  </si>
  <si>
    <t>chkew</t>
  </si>
  <si>
    <t>rio</t>
  </si>
  <si>
    <t>Rio Tinto plc ADR Common Stock</t>
  </si>
  <si>
    <t>els</t>
  </si>
  <si>
    <t>Equity LifeStyle Properties Inc</t>
  </si>
  <si>
    <t>so</t>
  </si>
  <si>
    <t>Southern Co</t>
  </si>
  <si>
    <t>2.78</t>
  </si>
  <si>
    <t>mas</t>
  </si>
  <si>
    <t>Masco Corp</t>
  </si>
  <si>
    <t>pnw</t>
  </si>
  <si>
    <t>Pinnacle West Capital Corporation</t>
  </si>
  <si>
    <t>nen</t>
  </si>
  <si>
    <t>New England Realty Associates LP</t>
  </si>
  <si>
    <t>rmbs</t>
  </si>
  <si>
    <t>Rambus Inc</t>
  </si>
  <si>
    <t>forty</t>
  </si>
  <si>
    <t>Formula Systems 1985 Ltd</t>
  </si>
  <si>
    <t>hxl</t>
  </si>
  <si>
    <t>Hexcel Corp</t>
  </si>
  <si>
    <t>tru</t>
  </si>
  <si>
    <t>TransUnion</t>
  </si>
  <si>
    <t>irm</t>
  </si>
  <si>
    <t>Iron Mountain Inc</t>
  </si>
  <si>
    <t>oflx</t>
  </si>
  <si>
    <t>Omega Flex Inc</t>
  </si>
  <si>
    <t>hibb</t>
  </si>
  <si>
    <t>Hibbett Inc</t>
  </si>
  <si>
    <t>aee</t>
  </si>
  <si>
    <t>Ameren Corp</t>
  </si>
  <si>
    <t>2.52</t>
  </si>
  <si>
    <t>mcri</t>
  </si>
  <si>
    <t>Monarch Casino &amp; Resort Inc</t>
  </si>
  <si>
    <t>aillo</t>
  </si>
  <si>
    <t>Ameren Illinois Company 4 25 Pref Shs</t>
  </si>
  <si>
    <t>ccep</t>
  </si>
  <si>
    <t>Coca-Cola Europacific Partners PLC</t>
  </si>
  <si>
    <t>mbgaf</t>
  </si>
  <si>
    <t>Mercedes Benz Group AG</t>
  </si>
  <si>
    <t>aig</t>
  </si>
  <si>
    <t>American International Group Inc</t>
  </si>
  <si>
    <t>rtppf</t>
  </si>
  <si>
    <t>Rio Tinto plc</t>
  </si>
  <si>
    <t>lbrdb</t>
  </si>
  <si>
    <t>Liberty Broadband Corp Series B</t>
  </si>
  <si>
    <t>ttd</t>
  </si>
  <si>
    <t>Trade Desk Inc</t>
  </si>
  <si>
    <t>cns</t>
  </si>
  <si>
    <t>Cohen &amp; Steers, Inc.</t>
  </si>
  <si>
    <t>2.38</t>
  </si>
  <si>
    <t>ewbc</t>
  </si>
  <si>
    <t>East West Bancorp Inc</t>
  </si>
  <si>
    <t>prft</t>
  </si>
  <si>
    <t>Perficient, Inc.</t>
  </si>
  <si>
    <t>slvo</t>
  </si>
  <si>
    <t>Credit Suisse X Links Silver Shares Covered Call ETN Exp 21 Apr 2033</t>
  </si>
  <si>
    <t>eai</t>
  </si>
  <si>
    <t>Groep Brussel Lambert NV</t>
  </si>
  <si>
    <t>mod</t>
  </si>
  <si>
    <t>Modine Manufacturing Co</t>
  </si>
  <si>
    <t>codgf</t>
  </si>
  <si>
    <t>Compagnie de Saint Gobain SA</t>
  </si>
  <si>
    <t>fast</t>
  </si>
  <si>
    <t>Fastenal Co</t>
  </si>
  <si>
    <t>pfbc</t>
  </si>
  <si>
    <t>Preferred Bank</t>
  </si>
  <si>
    <t>mtz</t>
  </si>
  <si>
    <t>MasTec Inc</t>
  </si>
  <si>
    <t>twlo</t>
  </si>
  <si>
    <t>Twilio Inc</t>
  </si>
  <si>
    <t>on</t>
  </si>
  <si>
    <t>ON Semiconductor Corp</t>
  </si>
  <si>
    <t>sgg</t>
  </si>
  <si>
    <t>Sensys Gatso Group AB</t>
  </si>
  <si>
    <t>uan</t>
  </si>
  <si>
    <t>CVR Partners LP</t>
  </si>
  <si>
    <t>sre</t>
  </si>
  <si>
    <t>Sempra</t>
  </si>
  <si>
    <t>sky</t>
  </si>
  <si>
    <t>Skyline Champion Corp</t>
  </si>
  <si>
    <t>voya</t>
  </si>
  <si>
    <t>Voya Financial Inc</t>
  </si>
  <si>
    <t>baba</t>
  </si>
  <si>
    <t>Alibaba Group Holding Ltd - ADR</t>
  </si>
  <si>
    <t>belfa</t>
  </si>
  <si>
    <t>Bel Fuse Inc Class A</t>
  </si>
  <si>
    <t>slmbp</t>
  </si>
  <si>
    <t>SLM Floating Rate Non Cumulative Pref Shs Series B</t>
  </si>
  <si>
    <t>bvhbb</t>
  </si>
  <si>
    <t>Bluegreen Vacations Holding Corp Class B</t>
  </si>
  <si>
    <t>rbgpf</t>
  </si>
  <si>
    <t>Reckitt Benckiser Group Plc</t>
  </si>
  <si>
    <t>brkr</t>
  </si>
  <si>
    <t>Bruker Corporation</t>
  </si>
  <si>
    <t>rdy</t>
  </si>
  <si>
    <t>Dr Reddy's Laboratories Ltd</t>
  </si>
  <si>
    <t>ehc</t>
  </si>
  <si>
    <t>Encompass Health Corp</t>
  </si>
  <si>
    <t>gtlb</t>
  </si>
  <si>
    <t>Gitlab Inc</t>
  </si>
  <si>
    <t>cbt</t>
  </si>
  <si>
    <t>Cabot Corp</t>
  </si>
  <si>
    <t>1.68</t>
  </si>
  <si>
    <t>fxc</t>
  </si>
  <si>
    <t>Invesco CurrencyShares Canadian Dollar ETF</t>
  </si>
  <si>
    <t>1.59</t>
  </si>
  <si>
    <t>kmx</t>
  </si>
  <si>
    <t>Carmax Inc</t>
  </si>
  <si>
    <t>l</t>
  </si>
  <si>
    <t>Loews Corp</t>
  </si>
  <si>
    <t>cvs</t>
  </si>
  <si>
    <t>CVS Health Corp</t>
  </si>
  <si>
    <t>2.35</t>
  </si>
  <si>
    <t>crh</t>
  </si>
  <si>
    <t>CRH PLC</t>
  </si>
  <si>
    <t>aaon</t>
  </si>
  <si>
    <t>Aaon Inc</t>
  </si>
  <si>
    <t>uepeo</t>
  </si>
  <si>
    <t>fivn</t>
  </si>
  <si>
    <t>Five9 Inc</t>
  </si>
  <si>
    <t>itri</t>
  </si>
  <si>
    <t>Itron Inc</t>
  </si>
  <si>
    <t>stt</t>
  </si>
  <si>
    <t>State Street Corp</t>
  </si>
  <si>
    <t>imcr</t>
  </si>
  <si>
    <t>Immunocore Holdings PLC - ADR</t>
  </si>
  <si>
    <t>pnr</t>
  </si>
  <si>
    <t>Pentair PLC</t>
  </si>
  <si>
    <t>man</t>
  </si>
  <si>
    <t>ManpowerGroup Inc</t>
  </si>
  <si>
    <t>pzza</t>
  </si>
  <si>
    <t>Papa John's International Inc</t>
  </si>
  <si>
    <t>chrw</t>
  </si>
  <si>
    <t>CH Robinson Worldwide Inc</t>
  </si>
  <si>
    <t>dac</t>
  </si>
  <si>
    <t>Danaos Corp</t>
  </si>
  <si>
    <t>3.10</t>
  </si>
  <si>
    <t>pfgc</t>
  </si>
  <si>
    <t>Performance Food Group Co</t>
  </si>
  <si>
    <t>ccoi</t>
  </si>
  <si>
    <t>Cogent Communications Holdings Inc</t>
  </si>
  <si>
    <t>lgnd</t>
  </si>
  <si>
    <t>Ligand Pharmaceuticals Inc</t>
  </si>
  <si>
    <t>sf</t>
  </si>
  <si>
    <t>Stifel Financial Corp</t>
  </si>
  <si>
    <t>1.67</t>
  </si>
  <si>
    <t>alc</t>
  </si>
  <si>
    <t>Alcon AG</t>
  </si>
  <si>
    <t>bvh</t>
  </si>
  <si>
    <t>Bluegreen Vacations Holding Ord Shs Class A</t>
  </si>
  <si>
    <t>olli</t>
  </si>
  <si>
    <t>Ollie's Bargain Outlet Holdings Inc</t>
  </si>
  <si>
    <t>bdc</t>
  </si>
  <si>
    <t>Belden Inc</t>
  </si>
  <si>
    <t>omab</t>
  </si>
  <si>
    <t>pcvx</t>
  </si>
  <si>
    <t>Vaxcyte Inc</t>
  </si>
  <si>
    <t>awr</t>
  </si>
  <si>
    <t>American States Water Co</t>
  </si>
  <si>
    <t>cnc</t>
  </si>
  <si>
    <t>Centene Corp</t>
  </si>
  <si>
    <t>powi</t>
  </si>
  <si>
    <t>Power Integrations Inc</t>
  </si>
  <si>
    <t>bby</t>
  </si>
  <si>
    <t>Best Buy Co Inc</t>
  </si>
  <si>
    <t>3.64</t>
  </si>
  <si>
    <t>etsy</t>
  </si>
  <si>
    <t>Etsy Inc</t>
  </si>
  <si>
    <t>ful</t>
  </si>
  <si>
    <t>H.B. Fuller Company</t>
  </si>
  <si>
    <t>four</t>
  </si>
  <si>
    <t>Shift4 Payments Inc</t>
  </si>
  <si>
    <t>hsic</t>
  </si>
  <si>
    <t>Henry Schein, Inc.</t>
  </si>
  <si>
    <t>nic</t>
  </si>
  <si>
    <t>Nicolet Bankshares Inc</t>
  </si>
  <si>
    <t>hae</t>
  </si>
  <si>
    <t>Haemonetics Corporation</t>
  </si>
  <si>
    <t>cri</t>
  </si>
  <si>
    <t>Carter's, Inc.</t>
  </si>
  <si>
    <t>3.06</t>
  </si>
  <si>
    <t>hcmlf</t>
  </si>
  <si>
    <t>nuvl</t>
  </si>
  <si>
    <t>Nuvalent Inc</t>
  </si>
  <si>
    <t>cf</t>
  </si>
  <si>
    <t>CF Industries Holdings, Inc.</t>
  </si>
  <si>
    <t>amn</t>
  </si>
  <si>
    <t>AMN Healthcare Services, Inc.</t>
  </si>
  <si>
    <t>chk</t>
  </si>
  <si>
    <t>Chesapeake Energy Ord Shs</t>
  </si>
  <si>
    <t>2.98</t>
  </si>
  <si>
    <t>crus</t>
  </si>
  <si>
    <t>Cirrus Logic, Inc.</t>
  </si>
  <si>
    <t>afl</t>
  </si>
  <si>
    <t>Aflac Inc</t>
  </si>
  <si>
    <t>psmt</t>
  </si>
  <si>
    <t>PriceSmart, Inc.</t>
  </si>
  <si>
    <t>mdlz</t>
  </si>
  <si>
    <t>MONDELEZ INTERNATIONAL INC Common Stock</t>
  </si>
  <si>
    <t>gild</t>
  </si>
  <si>
    <t>Gilead Sciences, Inc.</t>
  </si>
  <si>
    <t>ycs</t>
  </si>
  <si>
    <t>ProShares UltraShort Yen</t>
  </si>
  <si>
    <t>utmd</t>
  </si>
  <si>
    <t>Utah Medical Products, Inc.</t>
  </si>
  <si>
    <t>bksw</t>
  </si>
  <si>
    <t>Bank QNB Indonesia Tbk PT</t>
  </si>
  <si>
    <t>npk</t>
  </si>
  <si>
    <t>National Presto Industries Inc.</t>
  </si>
  <si>
    <t>rstrf</t>
  </si>
  <si>
    <t>Restaurant Brands International LP</t>
  </si>
  <si>
    <t>hqy</t>
  </si>
  <si>
    <t>Healthequity Inc</t>
  </si>
  <si>
    <t>plus</t>
  </si>
  <si>
    <t>ePlus inc</t>
  </si>
  <si>
    <t>shak</t>
  </si>
  <si>
    <t>Shake Shack Inc</t>
  </si>
  <si>
    <t>bro</t>
  </si>
  <si>
    <t>Brown &amp; Brown, Inc.</t>
  </si>
  <si>
    <t>gshd</t>
  </si>
  <si>
    <t>Goosehead Insurance Inc</t>
  </si>
  <si>
    <t>ctsh</t>
  </si>
  <si>
    <t>Cognizant Technology Solutions Corp</t>
  </si>
  <si>
    <t>pfg</t>
  </si>
  <si>
    <t>Principal Financial Group Inc</t>
  </si>
  <si>
    <t>nbr</t>
  </si>
  <si>
    <t>Nabors Industries Ltd.</t>
  </si>
  <si>
    <t>aer</t>
  </si>
  <si>
    <t>AerCap Holdings N.V.</t>
  </si>
  <si>
    <t>0.01</t>
  </si>
  <si>
    <t>aos</t>
  </si>
  <si>
    <t>A O Smith Corp</t>
  </si>
  <si>
    <t>oaspw</t>
  </si>
  <si>
    <t>expo</t>
  </si>
  <si>
    <t>Exponent Inc</t>
  </si>
  <si>
    <t>alr</t>
  </si>
  <si>
    <t>ALIOR BANK SA</t>
  </si>
  <si>
    <t>strl</t>
  </si>
  <si>
    <t>Sterling Infrastructure Inc</t>
  </si>
  <si>
    <t>aep</t>
  </si>
  <si>
    <t>American Electric Power Company Inc</t>
  </si>
  <si>
    <t>3.37</t>
  </si>
  <si>
    <t>spb</t>
  </si>
  <si>
    <t>Spectrum Brands Holdings Inc</t>
  </si>
  <si>
    <t>wfg</t>
  </si>
  <si>
    <t>West Fraser Timber Co. Ltd.</t>
  </si>
  <si>
    <t>jack</t>
  </si>
  <si>
    <t>Jack in the Box Inc.</t>
  </si>
  <si>
    <t>wh</t>
  </si>
  <si>
    <t>Wyndham Hotels &amp; Resorts Inc</t>
  </si>
  <si>
    <t>algt</t>
  </si>
  <si>
    <t>Allegiant Travel Company</t>
  </si>
  <si>
    <t>fss</t>
  </si>
  <si>
    <t>Federal Signal Corp</t>
  </si>
  <si>
    <t>mmsi</t>
  </si>
  <si>
    <t>Merit Medical Systems Inc</t>
  </si>
  <si>
    <t>qsr</t>
  </si>
  <si>
    <t>Restaurant Brands International Inc</t>
  </si>
  <si>
    <t>glae</t>
  </si>
  <si>
    <t>Glassbridge Enterprises Inc</t>
  </si>
  <si>
    <t>bpmc</t>
  </si>
  <si>
    <t>Blueprint Medicines Corp</t>
  </si>
  <si>
    <t>bill</t>
  </si>
  <si>
    <t>BILL Holdings Inc</t>
  </si>
  <si>
    <t>nvec</t>
  </si>
  <si>
    <t>NVE Corp</t>
  </si>
  <si>
    <t>wec</t>
  </si>
  <si>
    <t>WEC Energy Group Inc</t>
  </si>
  <si>
    <t>gwygu</t>
  </si>
  <si>
    <t>Gateway Garage Partners LLC</t>
  </si>
  <si>
    <t>dlb</t>
  </si>
  <si>
    <t>Dolby Laboratories Inc</t>
  </si>
  <si>
    <t>mtsi</t>
  </si>
  <si>
    <t>MACOM Technology Solutions Holdings Inc</t>
  </si>
  <si>
    <t>achc</t>
  </si>
  <si>
    <t>Acadia Healthcare Company Inc</t>
  </si>
  <si>
    <t>blkb</t>
  </si>
  <si>
    <t>Blackbaud Inc</t>
  </si>
  <si>
    <t>ntrs</t>
  </si>
  <si>
    <t>Northern Trust Corp</t>
  </si>
  <si>
    <t>bco</t>
  </si>
  <si>
    <t>Brinks Co</t>
  </si>
  <si>
    <t>mms</t>
  </si>
  <si>
    <t>Maximus Inc</t>
  </si>
  <si>
    <t>camt</t>
  </si>
  <si>
    <t>Camtek Ltd</t>
  </si>
  <si>
    <t>aca</t>
  </si>
  <si>
    <t>Arcosa Inc</t>
  </si>
  <si>
    <t>ssb</t>
  </si>
  <si>
    <t>SouthState Corp</t>
  </si>
  <si>
    <t>rhi</t>
  </si>
  <si>
    <t>Robert Half Inc</t>
  </si>
  <si>
    <t>wrb</t>
  </si>
  <si>
    <t>W R Berkley Corp</t>
  </si>
  <si>
    <t>cnmd</t>
  </si>
  <si>
    <t>Conmed Corp</t>
  </si>
  <si>
    <t>lnw</t>
  </si>
  <si>
    <t>Light &amp; Wonder Inc</t>
  </si>
  <si>
    <t>iff</t>
  </si>
  <si>
    <t>International Flavors &amp; Fragrances Inc</t>
  </si>
  <si>
    <t>colm</t>
  </si>
  <si>
    <t>Columbia Sportswear Company</t>
  </si>
  <si>
    <t>edu</t>
  </si>
  <si>
    <t>New Oriental Education &amp; Tech Grp</t>
  </si>
  <si>
    <t>syy</t>
  </si>
  <si>
    <t>Sysco Corp</t>
  </si>
  <si>
    <t>scco</t>
  </si>
  <si>
    <t>Southern Copper Corp</t>
  </si>
  <si>
    <t>cytk</t>
  </si>
  <si>
    <t>Cytokinetics, Inc.</t>
  </si>
  <si>
    <t>umbf</t>
  </si>
  <si>
    <t>UMB Financial Corp</t>
  </si>
  <si>
    <t>pplt</t>
  </si>
  <si>
    <t>abrdn Physical Platinum Shares ETF</t>
  </si>
  <si>
    <t>boot</t>
  </si>
  <si>
    <t>Boot Barn Holdings Inc</t>
  </si>
  <si>
    <t>cbrl</t>
  </si>
  <si>
    <t>Cracker Barrel Old Country Store, Inc.</t>
  </si>
  <si>
    <t>stn</t>
  </si>
  <si>
    <t>Stantec Inc</t>
  </si>
  <si>
    <t>ago</t>
  </si>
  <si>
    <t>Assured Guaranty Ltd.</t>
  </si>
  <si>
    <t>agys</t>
  </si>
  <si>
    <t>Agilysys, Inc.</t>
  </si>
  <si>
    <t>emn</t>
  </si>
  <si>
    <t>Eastman Chemical Co</t>
  </si>
  <si>
    <t>3.27</t>
  </si>
  <si>
    <t>net</t>
  </si>
  <si>
    <t>Cloudflare Inc</t>
  </si>
  <si>
    <t>okta</t>
  </si>
  <si>
    <t>Okta Inc</t>
  </si>
  <si>
    <t>dorm</t>
  </si>
  <si>
    <t>Dorman Products Inc</t>
  </si>
  <si>
    <t>prsr</t>
  </si>
  <si>
    <t>PRS Reit PLC</t>
  </si>
  <si>
    <t>vtscf</t>
  </si>
  <si>
    <t>Vitesco Technologies Group AG</t>
  </si>
  <si>
    <t>shop</t>
  </si>
  <si>
    <t>Shopify Inc</t>
  </si>
  <si>
    <t>pnfp</t>
  </si>
  <si>
    <t>Pinnacle Financial Partners Inc</t>
  </si>
  <si>
    <t>ftv</t>
  </si>
  <si>
    <t>Fortive Corp</t>
  </si>
  <si>
    <t>imkta</t>
  </si>
  <si>
    <t>Ingles Markets, Incorporated</t>
  </si>
  <si>
    <t>bwxt</t>
  </si>
  <si>
    <t>BWX Technologies Inc</t>
  </si>
  <si>
    <t>cp</t>
  </si>
  <si>
    <t>Canadian Pacific Kansas City Ltd</t>
  </si>
  <si>
    <t>acgl</t>
  </si>
  <si>
    <t>Arch Capital Group Ltd.</t>
  </si>
  <si>
    <t>bokf</t>
  </si>
  <si>
    <t>BOK Financial Corp</t>
  </si>
  <si>
    <t>pkx</t>
  </si>
  <si>
    <t>Posco Holdings Inc</t>
  </si>
  <si>
    <t>frhc</t>
  </si>
  <si>
    <t>Freedom Holding Corp</t>
  </si>
  <si>
    <t>aptv</t>
  </si>
  <si>
    <t>Aptiv PLC</t>
  </si>
  <si>
    <t>iaa</t>
  </si>
  <si>
    <t>iShares Asia 50 ETF AUD</t>
  </si>
  <si>
    <t>ir</t>
  </si>
  <si>
    <t>Ingersoll Rand Inc</t>
  </si>
  <si>
    <t>kex</t>
  </si>
  <si>
    <t>Kirby Corp</t>
  </si>
  <si>
    <t>rock</t>
  </si>
  <si>
    <t>Gibraltar Industries Inc</t>
  </si>
  <si>
    <t>csgp</t>
  </si>
  <si>
    <t>CoStar Group Inc</t>
  </si>
  <si>
    <t>bfc</t>
  </si>
  <si>
    <t>Bank First Corp</t>
  </si>
  <si>
    <t>vac</t>
  </si>
  <si>
    <t>Marriott Vacations Worldwide Corp</t>
  </si>
  <si>
    <t>mgpi</t>
  </si>
  <si>
    <t>MGP Ingredients Inc</t>
  </si>
  <si>
    <t>mchp</t>
  </si>
  <si>
    <t>Microchip Technology Inc</t>
  </si>
  <si>
    <t>logi</t>
  </si>
  <si>
    <t>Logitech International SA</t>
  </si>
  <si>
    <t>becn</t>
  </si>
  <si>
    <t>Beacon Roofing Supply Inc</t>
  </si>
  <si>
    <t>ailli</t>
  </si>
  <si>
    <t>Ameren Illinois Company 5 16 Pref Shs</t>
  </si>
  <si>
    <t>mf</t>
  </si>
  <si>
    <t>Wendel SE</t>
  </si>
  <si>
    <t>cl</t>
  </si>
  <si>
    <t>Colgate-Palmolive Company</t>
  </si>
  <si>
    <t>2.03</t>
  </si>
  <si>
    <t>cbre</t>
  </si>
  <si>
    <t>CBRE Group Inc</t>
  </si>
  <si>
    <t>wfrd</t>
  </si>
  <si>
    <t>Weatherford International plc</t>
  </si>
  <si>
    <t>bc</t>
  </si>
  <si>
    <t>Brunswick Corporation</t>
  </si>
  <si>
    <t>tkr</t>
  </si>
  <si>
    <t>Timken Co</t>
  </si>
  <si>
    <t>trgp</t>
  </si>
  <si>
    <t>Targa Resources Corp</t>
  </si>
  <si>
    <t>capd</t>
  </si>
  <si>
    <t>Capital Ltd</t>
  </si>
  <si>
    <t>txt</t>
  </si>
  <si>
    <t>Textron Inc</t>
  </si>
  <si>
    <t>iesc</t>
  </si>
  <si>
    <t>IES Holdings Inc</t>
  </si>
  <si>
    <t>ew</t>
  </si>
  <si>
    <t>Edwards Lifesciences Corp</t>
  </si>
  <si>
    <t>rtntf</t>
  </si>
  <si>
    <t>Rio Tinto Ltd</t>
  </si>
  <si>
    <t>bpop</t>
  </si>
  <si>
    <t>Popular Inc</t>
  </si>
  <si>
    <t>dell</t>
  </si>
  <si>
    <t>Dell Technologies Inc</t>
  </si>
  <si>
    <t>mu</t>
  </si>
  <si>
    <t>Micron Technology Inc</t>
  </si>
  <si>
    <t>trex</t>
  </si>
  <si>
    <t>Trex Co Inc</t>
  </si>
  <si>
    <t>gms</t>
  </si>
  <si>
    <t>GMS Inc</t>
  </si>
  <si>
    <t>mcg</t>
  </si>
  <si>
    <t>Mobico Group PLC</t>
  </si>
  <si>
    <t>ggg</t>
  </si>
  <si>
    <t>Graco Inc</t>
  </si>
  <si>
    <t>dly</t>
  </si>
  <si>
    <t>LyondellBasell Industries NV</t>
  </si>
  <si>
    <t>uph</t>
  </si>
  <si>
    <t>US Physical Therapy Inc</t>
  </si>
  <si>
    <t>pall</t>
  </si>
  <si>
    <t>abrdn Physical Palladium Shares ETF</t>
  </si>
  <si>
    <t>cwst</t>
  </si>
  <si>
    <t>Casella Waste Systems Inc.</t>
  </si>
  <si>
    <t>ms</t>
  </si>
  <si>
    <t>Morgan Stanley</t>
  </si>
  <si>
    <t>3.53</t>
  </si>
  <si>
    <t>banf</t>
  </si>
  <si>
    <t>BancFirst Corp</t>
  </si>
  <si>
    <t>cnxc</t>
  </si>
  <si>
    <t>Concentrix Corp</t>
  </si>
  <si>
    <t>stx</t>
  </si>
  <si>
    <t>Seagate Technology Holdings PLC</t>
  </si>
  <si>
    <t>mdt</t>
  </si>
  <si>
    <t>Medtronic PLC</t>
  </si>
  <si>
    <t>altr</t>
  </si>
  <si>
    <t>Altair Engineering Inc</t>
  </si>
  <si>
    <t>ntap</t>
  </si>
  <si>
    <t>NetApp Inc</t>
  </si>
  <si>
    <t>gltr</t>
  </si>
  <si>
    <t>abrdn Physical Precious Metals Basket Shares ETF</t>
  </si>
  <si>
    <t>well</t>
  </si>
  <si>
    <t>Welltower Inc</t>
  </si>
  <si>
    <t>bmrn</t>
  </si>
  <si>
    <t>Biomarin Pharmaceutical Inc</t>
  </si>
  <si>
    <t>nni</t>
  </si>
  <si>
    <t>Nelnet Inc</t>
  </si>
  <si>
    <t>tmdx</t>
  </si>
  <si>
    <t>TransMedics Group Inc</t>
  </si>
  <si>
    <t>lyv</t>
  </si>
  <si>
    <t>Live Nation Entertainment Inc</t>
  </si>
  <si>
    <t>tmx</t>
  </si>
  <si>
    <t>VanEck AMX UCITS ETF</t>
  </si>
  <si>
    <t>esab</t>
  </si>
  <si>
    <t>ESAB Corp</t>
  </si>
  <si>
    <t>frpt</t>
  </si>
  <si>
    <t>Freshpet Inc</t>
  </si>
  <si>
    <t>dsgx</t>
  </si>
  <si>
    <t>Descartes Systems Group Inc</t>
  </si>
  <si>
    <t>adus</t>
  </si>
  <si>
    <t>Addus Homecare Corporation</t>
  </si>
  <si>
    <t>cck</t>
  </si>
  <si>
    <t>Crown Holdings, Inc.</t>
  </si>
  <si>
    <t>0.81</t>
  </si>
  <si>
    <t>thc</t>
  </si>
  <si>
    <t>Tenet Healthcare Corp</t>
  </si>
  <si>
    <t>kkr</t>
  </si>
  <si>
    <t>KKR &amp; Co Inc</t>
  </si>
  <si>
    <t>ecor</t>
  </si>
  <si>
    <t>Ecora Resources PLC</t>
  </si>
  <si>
    <t>novn</t>
  </si>
  <si>
    <t>Novartis AG</t>
  </si>
  <si>
    <t>ain</t>
  </si>
  <si>
    <t>Albany International Corp.</t>
  </si>
  <si>
    <t>omc</t>
  </si>
  <si>
    <t>Omnicom Group Inc.</t>
  </si>
  <si>
    <t>bntgf</t>
  </si>
  <si>
    <t>Brenntag SE</t>
  </si>
  <si>
    <t>acm</t>
  </si>
  <si>
    <t>Aecom</t>
  </si>
  <si>
    <t>hig</t>
  </si>
  <si>
    <t>Hartford Financial Services Group Inc</t>
  </si>
  <si>
    <t>pii</t>
  </si>
  <si>
    <t>Polaris Inc</t>
  </si>
  <si>
    <t>bg</t>
  </si>
  <si>
    <t>Bunge Global SA</t>
  </si>
  <si>
    <t>swk</t>
  </si>
  <si>
    <t>Stanley Black &amp; Decker Inc</t>
  </si>
  <si>
    <t>hci</t>
  </si>
  <si>
    <t>HCI Group Inc</t>
  </si>
  <si>
    <t>otis</t>
  </si>
  <si>
    <t>Otis Worldwide Corp</t>
  </si>
  <si>
    <t>ppwlo</t>
  </si>
  <si>
    <t>PacifiCorp</t>
  </si>
  <si>
    <t>roku</t>
  </si>
  <si>
    <t>Roku Inc</t>
  </si>
  <si>
    <t>icui</t>
  </si>
  <si>
    <t>ICU Medical Inc</t>
  </si>
  <si>
    <t>scl</t>
  </si>
  <si>
    <t>Stepan Co</t>
  </si>
  <si>
    <t>ed</t>
  </si>
  <si>
    <t>Consolidated Edison, Inc.</t>
  </si>
  <si>
    <t>cmpr</t>
  </si>
  <si>
    <t>Cimpress PLC</t>
  </si>
  <si>
    <t>ash</t>
  </si>
  <si>
    <t>Ashland Inc</t>
  </si>
  <si>
    <t>bcucf</t>
  </si>
  <si>
    <t>Brunello Cucinelli SpA</t>
  </si>
  <si>
    <t>gkos</t>
  </si>
  <si>
    <t>Glaukos Corp</t>
  </si>
  <si>
    <t>rtx</t>
  </si>
  <si>
    <t>Rtx Corp</t>
  </si>
  <si>
    <t>ida</t>
  </si>
  <si>
    <t>IDACORP Inc</t>
  </si>
  <si>
    <t>nhc</t>
  </si>
  <si>
    <t>National HealthCare Corporation</t>
  </si>
  <si>
    <t>dox</t>
  </si>
  <si>
    <t>Amdocs Ltd</t>
  </si>
  <si>
    <t>bntx</t>
  </si>
  <si>
    <t>BioNTech SE - ADR</t>
  </si>
  <si>
    <t>axsm</t>
  </si>
  <si>
    <t>Axsome Therapeutics Inc</t>
  </si>
  <si>
    <t>lyb</t>
  </si>
  <si>
    <t>ottr</t>
  </si>
  <si>
    <t>Otter Tail Corp</t>
  </si>
  <si>
    <t>pm</t>
  </si>
  <si>
    <t>Philip Morris International Inc.</t>
  </si>
  <si>
    <t>5.14</t>
  </si>
  <si>
    <t>sbux</t>
  </si>
  <si>
    <t>Starbucks Corp</t>
  </si>
  <si>
    <t>door</t>
  </si>
  <si>
    <t>Masonite International Corp</t>
  </si>
  <si>
    <t>ccs</t>
  </si>
  <si>
    <t>Century Communities Inc</t>
  </si>
  <si>
    <t>pfsi</t>
  </si>
  <si>
    <t>PennyMac Financial Services Inc</t>
  </si>
  <si>
    <t>bmo</t>
  </si>
  <si>
    <t>Bank of Montreal</t>
  </si>
  <si>
    <t>4.54</t>
  </si>
  <si>
    <t>wtfc</t>
  </si>
  <si>
    <t>Wintrust Financial Corp</t>
  </si>
  <si>
    <t>asgn</t>
  </si>
  <si>
    <t>ASGN Inc</t>
  </si>
  <si>
    <t>ttc</t>
  </si>
  <si>
    <t>Toro Co</t>
  </si>
  <si>
    <t>emr</t>
  </si>
  <si>
    <t>Emerson Electric Co</t>
  </si>
  <si>
    <t>wk</t>
  </si>
  <si>
    <t>Workiva Inc</t>
  </si>
  <si>
    <t>mlab</t>
  </si>
  <si>
    <t>Mesa Laboratories Inc</t>
  </si>
  <si>
    <t>msbc</t>
  </si>
  <si>
    <t>Mission Bancorp Bakersfield CA Ord Shs</t>
  </si>
  <si>
    <t>iipr</t>
  </si>
  <si>
    <t>Innovative Industrial Properties Inc</t>
  </si>
  <si>
    <t>ceix</t>
  </si>
  <si>
    <t>Consol Energy Inc</t>
  </si>
  <si>
    <t>amed</t>
  </si>
  <si>
    <t>Amedisys Inc</t>
  </si>
  <si>
    <t>wd</t>
  </si>
  <si>
    <t>Walker &amp; Dunlop, Inc.</t>
  </si>
  <si>
    <t>mmm</t>
  </si>
  <si>
    <t>3M Co</t>
  </si>
  <si>
    <t>fdlb</t>
  </si>
  <si>
    <t>Fidelity Federal Bancorp</t>
  </si>
  <si>
    <t>pnrg</t>
  </si>
  <si>
    <t>Primeenergy Resources Corp</t>
  </si>
  <si>
    <t>cvlt</t>
  </si>
  <si>
    <t>CommVault Systems, Inc.</t>
  </si>
  <si>
    <t>xpo</t>
  </si>
  <si>
    <t>XPO Inc</t>
  </si>
  <si>
    <t>ihg</t>
  </si>
  <si>
    <t>InterContinental Hotels Group PLC</t>
  </si>
  <si>
    <t>welpm</t>
  </si>
  <si>
    <t>Wisconsin Electric Power Company 6 Pref Shs</t>
  </si>
  <si>
    <t>teslu</t>
  </si>
  <si>
    <t>286 Lenox Partners LLC</t>
  </si>
  <si>
    <t>stra</t>
  </si>
  <si>
    <t>Strategic Education Inc</t>
  </si>
  <si>
    <t>ibkr</t>
  </si>
  <si>
    <t>Interactive Brokers Group, Inc.</t>
  </si>
  <si>
    <t>ix</t>
  </si>
  <si>
    <t>Orix Corp</t>
  </si>
  <si>
    <t>oxm</t>
  </si>
  <si>
    <t>Oxford Industries Inc</t>
  </si>
  <si>
    <t>duk</t>
  </si>
  <si>
    <t>Duke Energy Corp</t>
  </si>
  <si>
    <t>4.08</t>
  </si>
  <si>
    <t>ter</t>
  </si>
  <si>
    <t>Teradyne Inc</t>
  </si>
  <si>
    <t>fele</t>
  </si>
  <si>
    <t>Franklin Electric Co Inc</t>
  </si>
  <si>
    <t>cpt</t>
  </si>
  <si>
    <t>Camden Property Trust</t>
  </si>
  <si>
    <t>3.83</t>
  </si>
  <si>
    <t>snynf</t>
  </si>
  <si>
    <t>tw</t>
  </si>
  <si>
    <t>Tradeweb Markets Inc</t>
  </si>
  <si>
    <t>wynn</t>
  </si>
  <si>
    <t>Wynn Resorts, Limited</t>
  </si>
  <si>
    <t>cslly</t>
  </si>
  <si>
    <t>Csl ADR</t>
  </si>
  <si>
    <t>dis</t>
  </si>
  <si>
    <t>Walt Disney Co</t>
  </si>
  <si>
    <t>tnc</t>
  </si>
  <si>
    <t>Tennant Co</t>
  </si>
  <si>
    <t>ry</t>
  </si>
  <si>
    <t>Royal Bank of Canada</t>
  </si>
  <si>
    <t>4.14</t>
  </si>
  <si>
    <t>mrna</t>
  </si>
  <si>
    <t>Moderna Inc</t>
  </si>
  <si>
    <t>tjx</t>
  </si>
  <si>
    <t>TJX Companies Inc</t>
  </si>
  <si>
    <t>plxs</t>
  </si>
  <si>
    <t>Plexus Corp</t>
  </si>
  <si>
    <t>ens</t>
  </si>
  <si>
    <t>EnerSys</t>
  </si>
  <si>
    <t>krus</t>
  </si>
  <si>
    <t>Kura Sushi USA Inc</t>
  </si>
  <si>
    <t>cpa</t>
  </si>
  <si>
    <t>Copa Holdings, S.A.</t>
  </si>
  <si>
    <t>3.20</t>
  </si>
  <si>
    <t>acro</t>
  </si>
  <si>
    <t>Samcro Hyosung Adilestari PT Tbk</t>
  </si>
  <si>
    <t>nrp</t>
  </si>
  <si>
    <t>Natural Resource Partners LP</t>
  </si>
  <si>
    <t>crox</t>
  </si>
  <si>
    <t>Crocs Inc</t>
  </si>
  <si>
    <t>snejf</t>
  </si>
  <si>
    <t>Sony Group Corp</t>
  </si>
  <si>
    <t>ipgp</t>
  </si>
  <si>
    <t>IPG Photonics Corporation</t>
  </si>
  <si>
    <t>ntes</t>
  </si>
  <si>
    <t>NetEase Inc</t>
  </si>
  <si>
    <t>chd</t>
  </si>
  <si>
    <t>Church &amp; Dwight Co., Inc.</t>
  </si>
  <si>
    <t>sigi</t>
  </si>
  <si>
    <t>Selective Insurance Group Inc</t>
  </si>
  <si>
    <t>fxe</t>
  </si>
  <si>
    <t>Invesco CurrencyShares Euro Trust ETF</t>
  </si>
  <si>
    <t>1.85</t>
  </si>
  <si>
    <t>jbt</t>
  </si>
  <si>
    <t>John Bean Technologies Corp</t>
  </si>
  <si>
    <t>pjt</t>
  </si>
  <si>
    <t>PJT Partners Inc</t>
  </si>
  <si>
    <t>tol</t>
  </si>
  <si>
    <t>Toll Brothers Inc</t>
  </si>
  <si>
    <t>sig</t>
  </si>
  <si>
    <t>Signet Jewelers Ltd</t>
  </si>
  <si>
    <t>bfam</t>
  </si>
  <si>
    <t>Bright Horizons Family Solutions Inc</t>
  </si>
  <si>
    <t>etr</t>
  </si>
  <si>
    <t>Entergy Corp</t>
  </si>
  <si>
    <t>nke</t>
  </si>
  <si>
    <t>Nike Inc</t>
  </si>
  <si>
    <t>jpuhf</t>
  </si>
  <si>
    <t>JPM USD Ultra-Short Income UCITS ETF - USD (dist)</t>
  </si>
  <si>
    <t>msm</t>
  </si>
  <si>
    <t>MSC Industrial Direct Co Inc</t>
  </si>
  <si>
    <t>newen</t>
  </si>
  <si>
    <t>New England Power Company 6 Pref Shs</t>
  </si>
  <si>
    <t>post</t>
  </si>
  <si>
    <t>Post Holdings Inc</t>
  </si>
  <si>
    <t>pi</t>
  </si>
  <si>
    <t>IMPINJ Inc</t>
  </si>
  <si>
    <t>swks</t>
  </si>
  <si>
    <t>Skyworks Solutions Inc</t>
  </si>
  <si>
    <t>chco</t>
  </si>
  <si>
    <t>City Holding Company</t>
  </si>
  <si>
    <t>snx</t>
  </si>
  <si>
    <t>TD Synnex Corp</t>
  </si>
  <si>
    <t>enph</t>
  </si>
  <si>
    <t>Enphase Energy Inc</t>
  </si>
  <si>
    <t>frt</t>
  </si>
  <si>
    <t>Federal Realty Investment Trust</t>
  </si>
  <si>
    <t>4.34</t>
  </si>
  <si>
    <t>xom</t>
  </si>
  <si>
    <t>Exxon Mobil Corp</t>
  </si>
  <si>
    <t>awi</t>
  </si>
  <si>
    <t>Armstrong World Industries Inc</t>
  </si>
  <si>
    <t>kof</t>
  </si>
  <si>
    <t>Coca-Cola Femsa SAB de CV</t>
  </si>
  <si>
    <t>cpk</t>
  </si>
  <si>
    <t>Chesapeake Utilities Corporation</t>
  </si>
  <si>
    <t>2.29</t>
  </si>
  <si>
    <t>patk</t>
  </si>
  <si>
    <t>Patrick Industries, Inc.</t>
  </si>
  <si>
    <t>fxf</t>
  </si>
  <si>
    <t>Invesco CurrencyShares Swiss Franc Trust ETF</t>
  </si>
  <si>
    <t>bidu</t>
  </si>
  <si>
    <t>Baidu Inc</t>
  </si>
  <si>
    <t>remyf</t>
  </si>
  <si>
    <t>Remy Cointreau SA</t>
  </si>
  <si>
    <t>clay</t>
  </si>
  <si>
    <t>Citra Putra Realty Tbk PT</t>
  </si>
  <si>
    <t>eeft</t>
  </si>
  <si>
    <t>Euronet Worldwide Inc</t>
  </si>
  <si>
    <t>hurn</t>
  </si>
  <si>
    <t>Huron Consulting Group Inc</t>
  </si>
  <si>
    <t>pcar</t>
  </si>
  <si>
    <t>PACCAR Inc</t>
  </si>
  <si>
    <t>apo</t>
  </si>
  <si>
    <t>Apollo Global Management Ord Shs</t>
  </si>
  <si>
    <t>alpa</t>
  </si>
  <si>
    <t>Alpa Laboratories Limited</t>
  </si>
  <si>
    <t>pru</t>
  </si>
  <si>
    <t>Prudential Financial Inc</t>
  </si>
  <si>
    <t>aph</t>
  </si>
  <si>
    <t>Amphenol Corporation</t>
  </si>
  <si>
    <t>cah</t>
  </si>
  <si>
    <t>Cardinal Health Inc</t>
  </si>
  <si>
    <t>qrvo</t>
  </si>
  <si>
    <t>Qorvo Inc</t>
  </si>
  <si>
    <t>nvs</t>
  </si>
  <si>
    <t>itgr</t>
  </si>
  <si>
    <t>Integer Holdings Corp</t>
  </si>
  <si>
    <t>cfr</t>
  </si>
  <si>
    <t>Cullen/Frost Bankers, Inc.</t>
  </si>
  <si>
    <t>3.75</t>
  </si>
  <si>
    <t>fnd</t>
  </si>
  <si>
    <t>Floor &amp; Decor Holdings Inc</t>
  </si>
  <si>
    <t>idcc</t>
  </si>
  <si>
    <t>InterDigital Inc</t>
  </si>
  <si>
    <t>ese</t>
  </si>
  <si>
    <t>ESCO Technologies Inc</t>
  </si>
  <si>
    <t>nvsef</t>
  </si>
  <si>
    <t>jbss</t>
  </si>
  <si>
    <t>John B. Sanfilippo &amp; Son, Inc.</t>
  </si>
  <si>
    <t>dte</t>
  </si>
  <si>
    <t>DTE Energy Co</t>
  </si>
  <si>
    <t>3.84</t>
  </si>
  <si>
    <t>syna</t>
  </si>
  <si>
    <t>Synaptics Inc</t>
  </si>
  <si>
    <t>svxy</t>
  </si>
  <si>
    <t>ProShares Short VIX Short-Term Futures ETF</t>
  </si>
  <si>
    <t>spxc</t>
  </si>
  <si>
    <t>SPX Technologies Inc</t>
  </si>
  <si>
    <t>lamr</t>
  </si>
  <si>
    <t>Lamar Advertising Co</t>
  </si>
  <si>
    <t>sitm</t>
  </si>
  <si>
    <t>SiTime Corp</t>
  </si>
  <si>
    <t>phm</t>
  </si>
  <si>
    <t>PulteGroup, Inc.</t>
  </si>
  <si>
    <t>aeis</t>
  </si>
  <si>
    <t>Advanced Energy Industries, Inc.</t>
  </si>
  <si>
    <t>lw</t>
  </si>
  <si>
    <t>Lamb Weston Holdings Inc</t>
  </si>
  <si>
    <t>crai</t>
  </si>
  <si>
    <t>CRA International, Inc.</t>
  </si>
  <si>
    <t>rpm</t>
  </si>
  <si>
    <t>RPM International Inc</t>
  </si>
  <si>
    <t>fnv</t>
  </si>
  <si>
    <t>Franco-Nevada Corp</t>
  </si>
  <si>
    <t>gddy</t>
  </si>
  <si>
    <t>Godaddy Inc</t>
  </si>
  <si>
    <t>nvee</t>
  </si>
  <si>
    <t>NV5 Global Inc</t>
  </si>
  <si>
    <t>cci</t>
  </si>
  <si>
    <t>Crown Castle Inc</t>
  </si>
  <si>
    <t>6.26</t>
  </si>
  <si>
    <t>avct</t>
  </si>
  <si>
    <t>Avacta Group Plc</t>
  </si>
  <si>
    <t>mhk</t>
  </si>
  <si>
    <t>Mohawk Industries Inc</t>
  </si>
  <si>
    <t>mksi</t>
  </si>
  <si>
    <t>MKS Instruments Inc</t>
  </si>
  <si>
    <t>anf</t>
  </si>
  <si>
    <t>Abercrombie &amp; Fitch Co</t>
  </si>
  <si>
    <t>dash</t>
  </si>
  <si>
    <t>DoorDash Inc</t>
  </si>
  <si>
    <t>kold</t>
  </si>
  <si>
    <t>ProShares UltraShort Bloomberg Natural Gas</t>
  </si>
  <si>
    <t>trow</t>
  </si>
  <si>
    <t>T Rowe Price Group Inc</t>
  </si>
  <si>
    <t>whr</t>
  </si>
  <si>
    <t>Whirlpool Corporation</t>
  </si>
  <si>
    <t>rose</t>
  </si>
  <si>
    <t>Instituto Rosenbusch SA Class B</t>
  </si>
  <si>
    <t>cop</t>
  </si>
  <si>
    <t>ConocoPhillips</t>
  </si>
  <si>
    <t>3.46</t>
  </si>
  <si>
    <t>alv</t>
  </si>
  <si>
    <t>Autoliv Inc</t>
  </si>
  <si>
    <t>eog</t>
  </si>
  <si>
    <t>EOG Resources Inc</t>
  </si>
  <si>
    <t>5.37</t>
  </si>
  <si>
    <t>ldos</t>
  </si>
  <si>
    <t>Leidos Holdings Inc</t>
  </si>
  <si>
    <t>dva</t>
  </si>
  <si>
    <t>Davita Inc</t>
  </si>
  <si>
    <t>ingr</t>
  </si>
  <si>
    <t>Ingredion Inc</t>
  </si>
  <si>
    <t>arw</t>
  </si>
  <si>
    <t>Arrow Electronics, Inc.</t>
  </si>
  <si>
    <t>jiref</t>
  </si>
  <si>
    <t>JPM USD Ultra-Short Income UCITS ETF - USD (acc)</t>
  </si>
  <si>
    <t>krys</t>
  </si>
  <si>
    <t>Krystal Biotech Inc</t>
  </si>
  <si>
    <t>pcx</t>
  </si>
  <si>
    <t>Paychex Inc</t>
  </si>
  <si>
    <t>bbsi</t>
  </si>
  <si>
    <t>Barrett Business Services Inc</t>
  </si>
  <si>
    <t>abt</t>
  </si>
  <si>
    <t>Abbott Laboratories</t>
  </si>
  <si>
    <t>2.12</t>
  </si>
  <si>
    <t>nonof</t>
  </si>
  <si>
    <t>Novo Nordisk A/S</t>
  </si>
  <si>
    <t>Biotechnology</t>
  </si>
  <si>
    <t>cinf</t>
  </si>
  <si>
    <t>Cincinnati Financial Corporation</t>
  </si>
  <si>
    <t>rjf</t>
  </si>
  <si>
    <t>Raymond James Financial Inc</t>
  </si>
  <si>
    <t>matx</t>
  </si>
  <si>
    <t>Matson Inc</t>
  </si>
  <si>
    <t>gwre</t>
  </si>
  <si>
    <t>Guidewire Software Inc</t>
  </si>
  <si>
    <t>osk</t>
  </si>
  <si>
    <t>Oshkosh Corp</t>
  </si>
  <si>
    <t>nvo</t>
  </si>
  <si>
    <t>rhp</t>
  </si>
  <si>
    <t>Ryman Hospitality Properties Inc</t>
  </si>
  <si>
    <t>ato</t>
  </si>
  <si>
    <t>Atmos Energy Corporation</t>
  </si>
  <si>
    <t>3.11</t>
  </si>
  <si>
    <t>nsp</t>
  </si>
  <si>
    <t>Insperity Inc</t>
  </si>
  <si>
    <t>rgld</t>
  </si>
  <si>
    <t>Royal Gold Inc</t>
  </si>
  <si>
    <t>alb</t>
  </si>
  <si>
    <t>Albemarle Corporation</t>
  </si>
  <si>
    <t>lcii</t>
  </si>
  <si>
    <t>LCI Industries</t>
  </si>
  <si>
    <t>tnet</t>
  </si>
  <si>
    <t>TriNet Group Inc</t>
  </si>
  <si>
    <t>ufpi</t>
  </si>
  <si>
    <t>Ufp Industries Inc</t>
  </si>
  <si>
    <t>dy</t>
  </si>
  <si>
    <t>Dycom Industries Inc</t>
  </si>
  <si>
    <t>xyl</t>
  </si>
  <si>
    <t>Xylem Inc</t>
  </si>
  <si>
    <t>tsm</t>
  </si>
  <si>
    <t>Taiwan Semiconductor Mfg. Co. Ltd.</t>
  </si>
  <si>
    <t>orcl</t>
  </si>
  <si>
    <t>Oracle Corp</t>
  </si>
  <si>
    <t>tho</t>
  </si>
  <si>
    <t>Thor Industries Inc</t>
  </si>
  <si>
    <t>gib</t>
  </si>
  <si>
    <t>CGI Inc</t>
  </si>
  <si>
    <t>fcfs</t>
  </si>
  <si>
    <t>Firstcash Holdings Inc</t>
  </si>
  <si>
    <t>gnrc</t>
  </si>
  <si>
    <t>Generac Holdings Inc</t>
  </si>
  <si>
    <t>iosp</t>
  </si>
  <si>
    <t>Innospec Inc.</t>
  </si>
  <si>
    <t>cigi</t>
  </si>
  <si>
    <t>Colliers International Group Inc</t>
  </si>
  <si>
    <t>hele</t>
  </si>
  <si>
    <t>Helen of Troy Limited</t>
  </si>
  <si>
    <t>bxc</t>
  </si>
  <si>
    <t>BlueLinx Holdings Inc.</t>
  </si>
  <si>
    <t>rog</t>
  </si>
  <si>
    <t>Rogers Corp</t>
  </si>
  <si>
    <t>r</t>
  </si>
  <si>
    <t>Ryder System Inc</t>
  </si>
  <si>
    <t>2.66</t>
  </si>
  <si>
    <t>afg</t>
  </si>
  <si>
    <t>American Financial Group Inc</t>
  </si>
  <si>
    <t>8.12</t>
  </si>
  <si>
    <t>vc</t>
  </si>
  <si>
    <t>Visteon Corp</t>
  </si>
  <si>
    <t>entg</t>
  </si>
  <si>
    <t>Entegris Inc</t>
  </si>
  <si>
    <t>hlne</t>
  </si>
  <si>
    <t>Hamilton Lane Inc</t>
  </si>
  <si>
    <t>irtc</t>
  </si>
  <si>
    <t>Irhythm Technologies Inc</t>
  </si>
  <si>
    <t>stld</t>
  </si>
  <si>
    <t>Steel Dynamics Inc</t>
  </si>
  <si>
    <t>lgih</t>
  </si>
  <si>
    <t>LGI Homes Inc</t>
  </si>
  <si>
    <t>grmn</t>
  </si>
  <si>
    <t>Garmin Ltd</t>
  </si>
  <si>
    <t>mtrn</t>
  </si>
  <si>
    <t>Materion Corp</t>
  </si>
  <si>
    <t>ensg</t>
  </si>
  <si>
    <t>Ensign Group Inc</t>
  </si>
  <si>
    <t>gl</t>
  </si>
  <si>
    <t>Globe Life Inc</t>
  </si>
  <si>
    <t>gtls</t>
  </si>
  <si>
    <t>Chart Industries, Inc.</t>
  </si>
  <si>
    <t>dxcm</t>
  </si>
  <si>
    <t>DexCom Inc</t>
  </si>
  <si>
    <t>srpt</t>
  </si>
  <si>
    <t>Sarepta Therapeutics Inc</t>
  </si>
  <si>
    <t>slab</t>
  </si>
  <si>
    <t>Silicon Laboratories Inc</t>
  </si>
  <si>
    <t>pvh</t>
  </si>
  <si>
    <t>PVH Corp</t>
  </si>
  <si>
    <t>are</t>
  </si>
  <si>
    <t>Alexandria Real Estate Equities Inc</t>
  </si>
  <si>
    <t>5.18</t>
  </si>
  <si>
    <t>fxb</t>
  </si>
  <si>
    <t>Invesco CurrencyShares British Pound Strlng ETF</t>
  </si>
  <si>
    <t>3.51</t>
  </si>
  <si>
    <t>avav</t>
  </si>
  <si>
    <t>AeroVironment, Inc.</t>
  </si>
  <si>
    <t>payx</t>
  </si>
  <si>
    <t>chdn</t>
  </si>
  <si>
    <t>Churchill Downs, Inc.</t>
  </si>
  <si>
    <t>gatx</t>
  </si>
  <si>
    <t>GATX Corp</t>
  </si>
  <si>
    <t>chh</t>
  </si>
  <si>
    <t>Choice Hotels International Inc</t>
  </si>
  <si>
    <t>kmb</t>
  </si>
  <si>
    <t>Kimberly-Clark Corp</t>
  </si>
  <si>
    <t>agco</t>
  </si>
  <si>
    <t>Agco Corp</t>
  </si>
  <si>
    <t>jazz</t>
  </si>
  <si>
    <t>Jazz Pharmaceuticals PLC</t>
  </si>
  <si>
    <t>powl</t>
  </si>
  <si>
    <t>Powell Industries, Inc.</t>
  </si>
  <si>
    <t>awk</t>
  </si>
  <si>
    <t>American Water Works Company Inc</t>
  </si>
  <si>
    <t>rcl</t>
  </si>
  <si>
    <t>Royal Caribbean Cruises Ltd</t>
  </si>
  <si>
    <t>rccc</t>
  </si>
  <si>
    <t>Utama Radar Cahaya Tbk PT</t>
  </si>
  <si>
    <t>expd</t>
  </si>
  <si>
    <t>Expeditors International of Washngtn Inc</t>
  </si>
  <si>
    <t>bx</t>
  </si>
  <si>
    <t>Blackstone Inc</t>
  </si>
  <si>
    <t>4.26</t>
  </si>
  <si>
    <t>akam</t>
  </si>
  <si>
    <t>Akamai Technologies, Inc.</t>
  </si>
  <si>
    <t>gpor</t>
  </si>
  <si>
    <t>Gulfport Energy Corp</t>
  </si>
  <si>
    <t>pdd</t>
  </si>
  <si>
    <t>PDD Holdings Inc - ADR</t>
  </si>
  <si>
    <t>dlkgf</t>
  </si>
  <si>
    <t>Delek Group Ltd.</t>
  </si>
  <si>
    <t>estc</t>
  </si>
  <si>
    <t>Elastic NV</t>
  </si>
  <si>
    <t>dgx</t>
  </si>
  <si>
    <t>Quest Diagnostics Inc</t>
  </si>
  <si>
    <t>2.91</t>
  </si>
  <si>
    <t>mho</t>
  </si>
  <si>
    <t>M/I Homes Inc</t>
  </si>
  <si>
    <t>cr</t>
  </si>
  <si>
    <t>Crane Co</t>
  </si>
  <si>
    <t>ares</t>
  </si>
  <si>
    <t>Ares Management Corp</t>
  </si>
  <si>
    <t>zbh</t>
  </si>
  <si>
    <t>Zimmer Biomet Holdings Inc</t>
  </si>
  <si>
    <t>mrk</t>
  </si>
  <si>
    <t>Merck &amp; Co Inc</t>
  </si>
  <si>
    <t>3.26</t>
  </si>
  <si>
    <t>itt</t>
  </si>
  <si>
    <t>ITT Inc</t>
  </si>
  <si>
    <t>cni</t>
  </si>
  <si>
    <t>Canadian National Railway Co</t>
  </si>
  <si>
    <t>2.53</t>
  </si>
  <si>
    <t>hli</t>
  </si>
  <si>
    <t>Houlihan Lokey Inc</t>
  </si>
  <si>
    <t>sui</t>
  </si>
  <si>
    <t>Sun Communities Inc</t>
  </si>
  <si>
    <t>alle</t>
  </si>
  <si>
    <t>Allegion PLC</t>
  </si>
  <si>
    <t>wix</t>
  </si>
  <si>
    <t>Wix.Com Ltd</t>
  </si>
  <si>
    <t>maa</t>
  </si>
  <si>
    <t>Mid-America Apartment Communities Inc</t>
  </si>
  <si>
    <t>arcb</t>
  </si>
  <si>
    <t>ArcBest Corp</t>
  </si>
  <si>
    <t>prk</t>
  </si>
  <si>
    <t>Park National Corp</t>
  </si>
  <si>
    <t>ice</t>
  </si>
  <si>
    <t>Intercontinental Exchange Inc</t>
  </si>
  <si>
    <t>yum</t>
  </si>
  <si>
    <t>Yum! Brands, Inc.</t>
  </si>
  <si>
    <t>ui</t>
  </si>
  <si>
    <t>Ubiquiti Inc</t>
  </si>
  <si>
    <t>osis</t>
  </si>
  <si>
    <t>OSI Systems, Inc.</t>
  </si>
  <si>
    <t>coin</t>
  </si>
  <si>
    <t>Coinbase Global Inc</t>
  </si>
  <si>
    <t>pld</t>
  </si>
  <si>
    <t>Prologis Inc</t>
  </si>
  <si>
    <t>mgrc</t>
  </si>
  <si>
    <t>McGrath RentCorp</t>
  </si>
  <si>
    <t>ceg</t>
  </si>
  <si>
    <t>Constellation Energy Corp</t>
  </si>
  <si>
    <t>baca</t>
  </si>
  <si>
    <t>Bank Capital Indonesia Tbk PT</t>
  </si>
  <si>
    <t>atr</t>
  </si>
  <si>
    <t>AptarGroup, Inc.</t>
  </si>
  <si>
    <t>1.61</t>
  </si>
  <si>
    <t>txrh</t>
  </si>
  <si>
    <t>Texas Roadhouse Inc</t>
  </si>
  <si>
    <t>h</t>
  </si>
  <si>
    <t>Hyatt Hotels Corporation</t>
  </si>
  <si>
    <t>thg</t>
  </si>
  <si>
    <t>Hanover Insurance Group Inc</t>
  </si>
  <si>
    <t>lope</t>
  </si>
  <si>
    <t>Grand Canyon Education Inc</t>
  </si>
  <si>
    <t>jbl</t>
  </si>
  <si>
    <t>Jabil Inc</t>
  </si>
  <si>
    <t>acls</t>
  </si>
  <si>
    <t>Axcelis Technologies Inc</t>
  </si>
  <si>
    <t>lnn</t>
  </si>
  <si>
    <t>Lindsay Corp</t>
  </si>
  <si>
    <t>azncf</t>
  </si>
  <si>
    <t>wrld</t>
  </si>
  <si>
    <t>World Acceptance Corp.</t>
  </si>
  <si>
    <t>sjm</t>
  </si>
  <si>
    <t>J M Smucker Co</t>
  </si>
  <si>
    <t>tfii</t>
  </si>
  <si>
    <t>TFI International Inc</t>
  </si>
  <si>
    <t>Agilent Technologies Inc</t>
  </si>
  <si>
    <t>mtb</t>
  </si>
  <si>
    <t>M&amp;t Bank Corp</t>
  </si>
  <si>
    <t>fisv</t>
  </si>
  <si>
    <t>Fiserv Inc</t>
  </si>
  <si>
    <t>el</t>
  </si>
  <si>
    <t>Estee Lauder Companies Inc</t>
  </si>
  <si>
    <t>wab</t>
  </si>
  <si>
    <t>Westinghouse Air Brake Technologies Corp</t>
  </si>
  <si>
    <t>ddog</t>
  </si>
  <si>
    <t>Datadog Inc</t>
  </si>
  <si>
    <t>masi</t>
  </si>
  <si>
    <t>Masimo Corp</t>
  </si>
  <si>
    <t>sanb</t>
  </si>
  <si>
    <t>Santander UK Plc 5/8% Preferred Shares</t>
  </si>
  <si>
    <t>wms</t>
  </si>
  <si>
    <t>Advanced Drainage Systems Inc</t>
  </si>
  <si>
    <t>lea</t>
  </si>
  <si>
    <t>Lear Corp</t>
  </si>
  <si>
    <t>dg</t>
  </si>
  <si>
    <t>Dollar General Corp</t>
  </si>
  <si>
    <t>2.24</t>
  </si>
  <si>
    <t>wwd</t>
  </si>
  <si>
    <t>Woodward, Inc.Common Stock</t>
  </si>
  <si>
    <t>cof</t>
  </si>
  <si>
    <t>Capital One Financial Corp.</t>
  </si>
  <si>
    <t>2.48</t>
  </si>
  <si>
    <t>gpn</t>
  </si>
  <si>
    <t>Global Payments Inc</t>
  </si>
  <si>
    <t>ge</t>
  </si>
  <si>
    <t>General Electric Co</t>
  </si>
  <si>
    <t>ea</t>
  </si>
  <si>
    <t>Electronic Arts Inc</t>
  </si>
  <si>
    <t>ryaay</t>
  </si>
  <si>
    <t>rli</t>
  </si>
  <si>
    <t>RLI Corp</t>
  </si>
  <si>
    <t>vlo</t>
  </si>
  <si>
    <t>Valero Energy Corporation</t>
  </si>
  <si>
    <t>spg</t>
  </si>
  <si>
    <t>Simon Property Group Inc</t>
  </si>
  <si>
    <t>j</t>
  </si>
  <si>
    <t>Jacobs Solutions Inc</t>
  </si>
  <si>
    <t>wlk</t>
  </si>
  <si>
    <t>Westlake Corp</t>
  </si>
  <si>
    <t>bcc</t>
  </si>
  <si>
    <t>Boise Cascade Co</t>
  </si>
  <si>
    <t>8.70</t>
  </si>
  <si>
    <t>dltr</t>
  </si>
  <si>
    <t>Dollar Tree Inc</t>
  </si>
  <si>
    <t>rrx</t>
  </si>
  <si>
    <t>Regal Rexnord Corp</t>
  </si>
  <si>
    <t>asnd</t>
  </si>
  <si>
    <t>Ascendis Pharma A/S</t>
  </si>
  <si>
    <t>ppg</t>
  </si>
  <si>
    <t>PPG Industries, Inc.</t>
  </si>
  <si>
    <t>fmx</t>
  </si>
  <si>
    <t>Fomento Economico Mexcn SAB de CV ADR</t>
  </si>
  <si>
    <t>icfi</t>
  </si>
  <si>
    <t>ICF International Inc</t>
  </si>
  <si>
    <t>qcom</t>
  </si>
  <si>
    <t>Qualcomm Inc</t>
  </si>
  <si>
    <t>nbix</t>
  </si>
  <si>
    <t>Neurocrine Biosciences, Inc.</t>
  </si>
  <si>
    <t>fslr</t>
  </si>
  <si>
    <t>First Solar Inc</t>
  </si>
  <si>
    <t>ups</t>
  </si>
  <si>
    <t>United Parcel Service, Inc.</t>
  </si>
  <si>
    <t>gpc</t>
  </si>
  <si>
    <t>Genuine Parts Co</t>
  </si>
  <si>
    <t>googl</t>
  </si>
  <si>
    <t>Alphabet Inc Class A</t>
  </si>
  <si>
    <t>bah</t>
  </si>
  <si>
    <t>Booz Allen Hamilton Holding Corporation</t>
  </si>
  <si>
    <t>1.92</t>
  </si>
  <si>
    <t>tel</t>
  </si>
  <si>
    <t>TE Connectivity Ltd</t>
  </si>
  <si>
    <t>midd</t>
  </si>
  <si>
    <t>Middleby Corp</t>
  </si>
  <si>
    <t>bcpc</t>
  </si>
  <si>
    <t>Balchem Corp</t>
  </si>
  <si>
    <t>gldi</t>
  </si>
  <si>
    <t>Credit Suisse X Links Gold Shares Covered Call ETN Exp 02 Feb 2033</t>
  </si>
  <si>
    <t>exr</t>
  </si>
  <si>
    <t>Extra Space Storage Inc</t>
  </si>
  <si>
    <t>6.48</t>
  </si>
  <si>
    <t>goog</t>
  </si>
  <si>
    <t>Alphabet Inc Class C</t>
  </si>
  <si>
    <t>bmi</t>
  </si>
  <si>
    <t>Badger Meter Inc</t>
  </si>
  <si>
    <t>rost</t>
  </si>
  <si>
    <t>Ross Stores Inc</t>
  </si>
  <si>
    <t>ilmn</t>
  </si>
  <si>
    <t>Illumina, Inc.</t>
  </si>
  <si>
    <t>ipar</t>
  </si>
  <si>
    <t>Inter Parfums, Inc.</t>
  </si>
  <si>
    <t>bgne</t>
  </si>
  <si>
    <t>Beigene Ltd</t>
  </si>
  <si>
    <t>dlr</t>
  </si>
  <si>
    <t>Digital Realty Trust Inc</t>
  </si>
  <si>
    <t>4.88</t>
  </si>
  <si>
    <t>fiiso</t>
  </si>
  <si>
    <t>Financial Institutions Inc Preferred Shares Series B</t>
  </si>
  <si>
    <t>psx</t>
  </si>
  <si>
    <t>Phillips 66</t>
  </si>
  <si>
    <t>tgt</t>
  </si>
  <si>
    <t>Target Corp</t>
  </si>
  <si>
    <t>hes</t>
  </si>
  <si>
    <t>Hess Corp</t>
  </si>
  <si>
    <t>abnb</t>
  </si>
  <si>
    <t>Airbnb Inc</t>
  </si>
  <si>
    <t>nvmi</t>
  </si>
  <si>
    <t>Nova Ltd</t>
  </si>
  <si>
    <t>dhi</t>
  </si>
  <si>
    <t>DR Horton Inc</t>
  </si>
  <si>
    <t>ce</t>
  </si>
  <si>
    <t>Celanese Corporation</t>
  </si>
  <si>
    <t>2.77</t>
  </si>
  <si>
    <t>rl</t>
  </si>
  <si>
    <t>Ralph Lauren Corp</t>
  </si>
  <si>
    <t>3.17</t>
  </si>
  <si>
    <t>pnc</t>
  </si>
  <si>
    <t>PNC Financial Services Group Inc</t>
  </si>
  <si>
    <t>atkr</t>
  </si>
  <si>
    <t>Atkore Inc</t>
  </si>
  <si>
    <t>deo</t>
  </si>
  <si>
    <t>4.03</t>
  </si>
  <si>
    <t>sxi</t>
  </si>
  <si>
    <t>Standex International Corp</t>
  </si>
  <si>
    <t>amg</t>
  </si>
  <si>
    <t>Affiliated Managers Group, Inc.</t>
  </si>
  <si>
    <t>bap</t>
  </si>
  <si>
    <t>Credicorp Ltd.</t>
  </si>
  <si>
    <t>7.81</t>
  </si>
  <si>
    <t>ncsyf</t>
  </si>
  <si>
    <t>Nice Ltd</t>
  </si>
  <si>
    <t>fang</t>
  </si>
  <si>
    <t>Diamondback Energy Inc</t>
  </si>
  <si>
    <t>mth</t>
  </si>
  <si>
    <t>Meritage Homes Corp</t>
  </si>
  <si>
    <t>tri</t>
  </si>
  <si>
    <t>Thomson Reuters Corp</t>
  </si>
  <si>
    <t>expe</t>
  </si>
  <si>
    <t>Expedia Group Inc</t>
  </si>
  <si>
    <t>myrg</t>
  </si>
  <si>
    <t>MYR Group Inc</t>
  </si>
  <si>
    <t>chrd</t>
  </si>
  <si>
    <t>Chord Energy Corp</t>
  </si>
  <si>
    <t>pag</t>
  </si>
  <si>
    <t>Penske Automotive Group, Inc.</t>
  </si>
  <si>
    <t>cvx</t>
  </si>
  <si>
    <t>Chevron Corporation</t>
  </si>
  <si>
    <t>6.44</t>
  </si>
  <si>
    <t>splk</t>
  </si>
  <si>
    <t>Splunk Inc</t>
  </si>
  <si>
    <t>hri</t>
  </si>
  <si>
    <t>Herc Holdings Inc</t>
  </si>
  <si>
    <t>len</t>
  </si>
  <si>
    <t>Lennar Corp</t>
  </si>
  <si>
    <t>dhil</t>
  </si>
  <si>
    <t>Diamond Hill Investment Group Inc</t>
  </si>
  <si>
    <t>oc</t>
  </si>
  <si>
    <t>Owens Corning</t>
  </si>
  <si>
    <t>bh</t>
  </si>
  <si>
    <t>Biglari Holdings Inc Class B</t>
  </si>
  <si>
    <t>keys</t>
  </si>
  <si>
    <t>Keysight Technologies Inc</t>
  </si>
  <si>
    <t>dks</t>
  </si>
  <si>
    <t>DICK'S Sporting Goods Inc</t>
  </si>
  <si>
    <t>4.04</t>
  </si>
  <si>
    <t>clx</t>
  </si>
  <si>
    <t>Clorox Co</t>
  </si>
  <si>
    <t>4.82</t>
  </si>
  <si>
    <t>jnj</t>
  </si>
  <si>
    <t>Johnson &amp; Johnson</t>
  </si>
  <si>
    <t>4.80</t>
  </si>
  <si>
    <t>scma</t>
  </si>
  <si>
    <t>Surya Citra Media Tbk PT</t>
  </si>
  <si>
    <t>novt</t>
  </si>
  <si>
    <t>Novanta Inc</t>
  </si>
  <si>
    <t>all</t>
  </si>
  <si>
    <t>Allstate Corp</t>
  </si>
  <si>
    <t>3.60</t>
  </si>
  <si>
    <t>npo</t>
  </si>
  <si>
    <t>Enpro Inc</t>
  </si>
  <si>
    <t>wcn</t>
  </si>
  <si>
    <t>Waste Connections Inc</t>
  </si>
  <si>
    <t>pg</t>
  </si>
  <si>
    <t>Procter &amp; Gamble Co</t>
  </si>
  <si>
    <t>Household &amp; Personal Products</t>
  </si>
  <si>
    <t>3.82</t>
  </si>
  <si>
    <t>site</t>
  </si>
  <si>
    <t>SiteOne Landscape Supply Inc</t>
  </si>
  <si>
    <t>dov</t>
  </si>
  <si>
    <t>Dover Corp</t>
  </si>
  <si>
    <t>txn</t>
  </si>
  <si>
    <t>Texas Instruments Inc</t>
  </si>
  <si>
    <t>elep</t>
  </si>
  <si>
    <t>Electric Vehicle Charging Infstruct UCITS ETF Acc</t>
  </si>
  <si>
    <t>jjsf</t>
  </si>
  <si>
    <t>J &amp; J Snack Foods Corp</t>
  </si>
  <si>
    <t>eadsf</t>
  </si>
  <si>
    <t>pkg</t>
  </si>
  <si>
    <t>Packaging Corp Of America</t>
  </si>
  <si>
    <t>car</t>
  </si>
  <si>
    <t>Avis Budget Group Inc</t>
  </si>
  <si>
    <t>tmus</t>
  </si>
  <si>
    <t>T-Mobile Us Inc</t>
  </si>
  <si>
    <t>lng</t>
  </si>
  <si>
    <t>Cheniere Energy, Inc.</t>
  </si>
  <si>
    <t>chkp</t>
  </si>
  <si>
    <t>Check Point Software Technologies Ltd.</t>
  </si>
  <si>
    <t>pcty</t>
  </si>
  <si>
    <t>Paylocity Holding Corp</t>
  </si>
  <si>
    <t>pac</t>
  </si>
  <si>
    <t>Grupo Aeroportr dl Pcfco SAB de CV</t>
  </si>
  <si>
    <t>pdrdf</t>
  </si>
  <si>
    <t>Pernod Ricard SA</t>
  </si>
  <si>
    <t>onto</t>
  </si>
  <si>
    <t>Onto Innovation Inc</t>
  </si>
  <si>
    <t>jkhy</t>
  </si>
  <si>
    <t>Jack Henry &amp; Associates, Inc.</t>
  </si>
  <si>
    <t>ttek</t>
  </si>
  <si>
    <t>Tetra Tech Inc</t>
  </si>
  <si>
    <t>mpc</t>
  </si>
  <si>
    <t>Marathon Petroleum Corp</t>
  </si>
  <si>
    <t>dri</t>
  </si>
  <si>
    <t>Darden Restaurants, Inc.</t>
  </si>
  <si>
    <t>5.29</t>
  </si>
  <si>
    <t>aiz</t>
  </si>
  <si>
    <t>Assurant, Inc.</t>
  </si>
  <si>
    <t>3.54</t>
  </si>
  <si>
    <t>ttwo</t>
  </si>
  <si>
    <t>TAKE-TWO INTERACTIVE SOFTWARE, INC Common Stock</t>
  </si>
  <si>
    <t>rga</t>
  </si>
  <si>
    <t>Reinsurance Group of America Inc</t>
  </si>
  <si>
    <t>ame</t>
  </si>
  <si>
    <t>Ametek Inc</t>
  </si>
  <si>
    <t>itic</t>
  </si>
  <si>
    <t>Investors Title Company</t>
  </si>
  <si>
    <t>amat</t>
  </si>
  <si>
    <t>Applied Materials, Inc.</t>
  </si>
  <si>
    <t>lvmuy</t>
  </si>
  <si>
    <t>LVMH Moet Hennessy Louis Vuitton SA Unsponsored ADR</t>
  </si>
  <si>
    <t>msa</t>
  </si>
  <si>
    <t>MSA Safety Inc</t>
  </si>
  <si>
    <t>abbv</t>
  </si>
  <si>
    <t>AbbVie Inc</t>
  </si>
  <si>
    <t>wmt</t>
  </si>
  <si>
    <t>Walmart Inc</t>
  </si>
  <si>
    <t>elf</t>
  </si>
  <si>
    <t>elf Beauty Inc</t>
  </si>
  <si>
    <t>nuo</t>
  </si>
  <si>
    <t>Nucor Corp</t>
  </si>
  <si>
    <t>fsv</t>
  </si>
  <si>
    <t>FirstService Corp</t>
  </si>
  <si>
    <t>pep</t>
  </si>
  <si>
    <t>PepsiCo Inc</t>
  </si>
  <si>
    <t>oled</t>
  </si>
  <si>
    <t>Universal Display Corporation</t>
  </si>
  <si>
    <t>hov</t>
  </si>
  <si>
    <t>Hovnanian Enterprises, Inc. Class A</t>
  </si>
  <si>
    <t>amzn</t>
  </si>
  <si>
    <t>Amazon.com Inc</t>
  </si>
  <si>
    <t>clh</t>
  </si>
  <si>
    <t>Clean Harbors Inc</t>
  </si>
  <si>
    <t>alny</t>
  </si>
  <si>
    <t>Alnylam Pharmaceuticals, Inc.</t>
  </si>
  <si>
    <t>rsg</t>
  </si>
  <si>
    <t>Republic Services Inc</t>
  </si>
  <si>
    <t>rsrv</t>
  </si>
  <si>
    <t>Reserve Petroleum Co</t>
  </si>
  <si>
    <t>unf</t>
  </si>
  <si>
    <t>UniFirst Corp</t>
  </si>
  <si>
    <t>jpm</t>
  </si>
  <si>
    <t>JPMorgan Chase &amp; Co</t>
  </si>
  <si>
    <t>fgprb</t>
  </si>
  <si>
    <t>FERRELLGAS PARTNERS L P Units</t>
  </si>
  <si>
    <t>hovvb</t>
  </si>
  <si>
    <t>Hovnanian Enterprises, Inc.</t>
  </si>
  <si>
    <t>arch</t>
  </si>
  <si>
    <t>Arch Resources Inc</t>
  </si>
  <si>
    <t>avb</t>
  </si>
  <si>
    <t>AvalonBay Communities Inc</t>
  </si>
  <si>
    <t>6.85</t>
  </si>
  <si>
    <t>jll</t>
  </si>
  <si>
    <t>Jones Lang LaSalle Inc</t>
  </si>
  <si>
    <t>ufpt</t>
  </si>
  <si>
    <t>UFP Technologies Inc</t>
  </si>
  <si>
    <t>nxst</t>
  </si>
  <si>
    <t>Nexstar Media Group Inc</t>
  </si>
  <si>
    <t>evr</t>
  </si>
  <si>
    <t>Evercore Inc</t>
  </si>
  <si>
    <t>3.15</t>
  </si>
  <si>
    <t>annsf</t>
  </si>
  <si>
    <t>Aena SME SA</t>
  </si>
  <si>
    <t>sapgf</t>
  </si>
  <si>
    <t>SAP SE</t>
  </si>
  <si>
    <t>sap</t>
  </si>
  <si>
    <t>amd</t>
  </si>
  <si>
    <t>Advanced Micro Devices, Inc.</t>
  </si>
  <si>
    <t>oria</t>
  </si>
  <si>
    <t>Fiducial Real Estate SA</t>
  </si>
  <si>
    <t>ptc</t>
  </si>
  <si>
    <t>PTC Inc</t>
  </si>
  <si>
    <t>duol</t>
  </si>
  <si>
    <t>Duolingo Inc</t>
  </si>
  <si>
    <t>spsc</t>
  </si>
  <si>
    <t>SPS Commerce Inc</t>
  </si>
  <si>
    <t>pgr</t>
  </si>
  <si>
    <t>Progressive Corp</t>
  </si>
  <si>
    <t>bldr</t>
  </si>
  <si>
    <t>Builders FirstSource, Inc.</t>
  </si>
  <si>
    <t>five</t>
  </si>
  <si>
    <t>Five Below Inc</t>
  </si>
  <si>
    <t>cboe</t>
  </si>
  <si>
    <t>Cboe Global Markets Inc</t>
  </si>
  <si>
    <t>ait</t>
  </si>
  <si>
    <t>Applied Industrial Technologies Inc</t>
  </si>
  <si>
    <t>egp</t>
  </si>
  <si>
    <t>Eastgroup Properties Inc</t>
  </si>
  <si>
    <t>5.04</t>
  </si>
  <si>
    <t>nue</t>
  </si>
  <si>
    <t>hei</t>
  </si>
  <si>
    <t>Heico Corp</t>
  </si>
  <si>
    <t>wcc</t>
  </si>
  <si>
    <t>WESCO International, Inc.</t>
  </si>
  <si>
    <t>msgs</t>
  </si>
  <si>
    <t>Madison Square Garden Sports Corp</t>
  </si>
  <si>
    <t>apgn</t>
  </si>
  <si>
    <t>APG SGA SA</t>
  </si>
  <si>
    <t>ffiv</t>
  </si>
  <si>
    <t>F5 Inc</t>
  </si>
  <si>
    <t>ibm</t>
  </si>
  <si>
    <t>IBM Common Stock</t>
  </si>
  <si>
    <t>aapl</t>
  </si>
  <si>
    <t>Apple Inc</t>
  </si>
  <si>
    <t>brig</t>
  </si>
  <si>
    <t>Blackrock Incm and Grwth Invsnt Trst PLC</t>
  </si>
  <si>
    <t>nsit</t>
  </si>
  <si>
    <t>Insight Enterprises, Inc.</t>
  </si>
  <si>
    <t>ssd</t>
  </si>
  <si>
    <t>Simpson Manufacturing Co Inc</t>
  </si>
  <si>
    <t>gbs</t>
  </si>
  <si>
    <t>Gold Bullion Securities Limited</t>
  </si>
  <si>
    <t>qlys</t>
  </si>
  <si>
    <t>Qualys Inc</t>
  </si>
  <si>
    <t>tsla</t>
  </si>
  <si>
    <t>Tesla Inc</t>
  </si>
  <si>
    <t>wm</t>
  </si>
  <si>
    <t>Waste Management, Inc.</t>
  </si>
  <si>
    <t>agm</t>
  </si>
  <si>
    <t>Federal Agricultural Mortgage Corp Class C</t>
  </si>
  <si>
    <t>4.40</t>
  </si>
  <si>
    <t>gld</t>
  </si>
  <si>
    <t>SPDR Gold Trust</t>
  </si>
  <si>
    <t>zts</t>
  </si>
  <si>
    <t>Zoetis Inc</t>
  </si>
  <si>
    <t>pipr</t>
  </si>
  <si>
    <t>Piper Sandler Companies</t>
  </si>
  <si>
    <t>cmxhf</t>
  </si>
  <si>
    <t>Csl LTD</t>
  </si>
  <si>
    <t>rmd</t>
  </si>
  <si>
    <t>Resmed Inc</t>
  </si>
  <si>
    <t>lstr</t>
  </si>
  <si>
    <t>Landstar System, Inc.</t>
  </si>
  <si>
    <t>ferg</t>
  </si>
  <si>
    <t>Ferguson PLC</t>
  </si>
  <si>
    <t>kwr</t>
  </si>
  <si>
    <t>Quaker Chemical Corp</t>
  </si>
  <si>
    <t>adi</t>
  </si>
  <si>
    <t>Analog Devices, Inc.</t>
  </si>
  <si>
    <t>fcn</t>
  </si>
  <si>
    <t>FTI Consulting Inc</t>
  </si>
  <si>
    <t>mmc</t>
  </si>
  <si>
    <t>Marsh &amp; McLennan Companies Inc</t>
  </si>
  <si>
    <t>amt</t>
  </si>
  <si>
    <t>American Tower Corp</t>
  </si>
  <si>
    <t>6.40</t>
  </si>
  <si>
    <t>podd</t>
  </si>
  <si>
    <t>Insulet Corporation</t>
  </si>
  <si>
    <t>dit</t>
  </si>
  <si>
    <t>AMCON Distributing Co</t>
  </si>
  <si>
    <t>payc</t>
  </si>
  <si>
    <t>Paycom Software Inc</t>
  </si>
  <si>
    <t>hlt</t>
  </si>
  <si>
    <t>Hilton Hotels Corporation Common Stock</t>
  </si>
  <si>
    <t>hon</t>
  </si>
  <si>
    <t>Honeywell International Inc</t>
  </si>
  <si>
    <t>rgen</t>
  </si>
  <si>
    <t>Repligen Corp</t>
  </si>
  <si>
    <t>burl</t>
  </si>
  <si>
    <t>Burlington Stores Inc</t>
  </si>
  <si>
    <t>hsy</t>
  </si>
  <si>
    <t>Hershey Co</t>
  </si>
  <si>
    <t>avy</t>
  </si>
  <si>
    <t>Avery Dennison Corp</t>
  </si>
  <si>
    <t>3.31</t>
  </si>
  <si>
    <t>ecl</t>
  </si>
  <si>
    <t>Ecolab Inc</t>
  </si>
  <si>
    <t>vrsn</t>
  </si>
  <si>
    <t>Verisign, Inc.</t>
  </si>
  <si>
    <t>sqz</t>
  </si>
  <si>
    <t>Serica Energy Plc</t>
  </si>
  <si>
    <t>wsm</t>
  </si>
  <si>
    <t>Williams-Sonoma, Inc.</t>
  </si>
  <si>
    <t>br</t>
  </si>
  <si>
    <t>Broadridge Financial Solutions Inc</t>
  </si>
  <si>
    <t>ibp</t>
  </si>
  <si>
    <t>Installed Building Products Inc</t>
  </si>
  <si>
    <t>omed</t>
  </si>
  <si>
    <t>Jayamas Medica Industri TBK PT</t>
  </si>
  <si>
    <t>wts</t>
  </si>
  <si>
    <t>Watts Water Technologies Inc</t>
  </si>
  <si>
    <t>tm</t>
  </si>
  <si>
    <t>5.51</t>
  </si>
  <si>
    <t>lanc</t>
  </si>
  <si>
    <t>Lancaster Colony Corp.</t>
  </si>
  <si>
    <t>pwr</t>
  </si>
  <si>
    <t>Quanta Services Inc</t>
  </si>
  <si>
    <t>eslt</t>
  </si>
  <si>
    <t>Elbit Systems Ltd</t>
  </si>
  <si>
    <t>axp</t>
  </si>
  <si>
    <t>American Express Company</t>
  </si>
  <si>
    <t>cme</t>
  </si>
  <si>
    <t>CME Group Inc</t>
  </si>
  <si>
    <t>9.34</t>
  </si>
  <si>
    <t>schn</t>
  </si>
  <si>
    <t>Schindler Holding AG</t>
  </si>
  <si>
    <t>veev</t>
  </si>
  <si>
    <t>Veeva Systems Inc</t>
  </si>
  <si>
    <t>lhx</t>
  </si>
  <si>
    <t>L3Harris Technologies Inc</t>
  </si>
  <si>
    <t>wex</t>
  </si>
  <si>
    <t>WEX Inc</t>
  </si>
  <si>
    <t>jbht</t>
  </si>
  <si>
    <t>J B Hunt Transport Services Inc</t>
  </si>
  <si>
    <t>ba</t>
  </si>
  <si>
    <t>Boeing Co</t>
  </si>
  <si>
    <t>iqv</t>
  </si>
  <si>
    <t>Iqvia Holdings Inc</t>
  </si>
  <si>
    <t>abg</t>
  </si>
  <si>
    <t>Asbury Automotive Group, Inc.</t>
  </si>
  <si>
    <t>uthr</t>
  </si>
  <si>
    <t>United Therapeutics Corporation</t>
  </si>
  <si>
    <t>nice</t>
  </si>
  <si>
    <t>mndy</t>
  </si>
  <si>
    <t>Monday.Com Ltd</t>
  </si>
  <si>
    <t>trv</t>
  </si>
  <si>
    <t>Travelers Companies Inc</t>
  </si>
  <si>
    <t>nxpi</t>
  </si>
  <si>
    <t>NXP Semiconductors NV</t>
  </si>
  <si>
    <t>nrgd</t>
  </si>
  <si>
    <t>MicroSectors US Big Oil Index 3X Inverse Leveraged ETN</t>
  </si>
  <si>
    <t>team</t>
  </si>
  <si>
    <t>Atlassian Corp</t>
  </si>
  <si>
    <t>alg</t>
  </si>
  <si>
    <t>Alamo Group, Inc.</t>
  </si>
  <si>
    <t>insp</t>
  </si>
  <si>
    <t>Inspire Medical Systems Inc</t>
  </si>
  <si>
    <t>crl</t>
  </si>
  <si>
    <t>Charles River Lbrtrs ntrntl Inc</t>
  </si>
  <si>
    <t>snow</t>
  </si>
  <si>
    <t>Snowflake Inc</t>
  </si>
  <si>
    <t>alx</t>
  </si>
  <si>
    <t>Alexander's, Inc.</t>
  </si>
  <si>
    <t>13.50</t>
  </si>
  <si>
    <t>low</t>
  </si>
  <si>
    <t>Lowe's Companies Inc</t>
  </si>
  <si>
    <t>mdgl</t>
  </si>
  <si>
    <t>Madrigal Pharmaceuticals Inc</t>
  </si>
  <si>
    <t>cswi</t>
  </si>
  <si>
    <t>CSW Industrials Inc</t>
  </si>
  <si>
    <t>iex</t>
  </si>
  <si>
    <t>IDEX Corp</t>
  </si>
  <si>
    <t>lh</t>
  </si>
  <si>
    <t>Laboratory Corporation of Amerc Holdings</t>
  </si>
  <si>
    <t>2.18</t>
  </si>
  <si>
    <t>ste</t>
  </si>
  <si>
    <t>Steris PLC</t>
  </si>
  <si>
    <t>mtn</t>
  </si>
  <si>
    <t>Vail Resorts, Inc.</t>
  </si>
  <si>
    <t>spot</t>
  </si>
  <si>
    <t>Spotify Technology SA</t>
  </si>
  <si>
    <t>fn</t>
  </si>
  <si>
    <t>Fabrinet</t>
  </si>
  <si>
    <t>mktx</t>
  </si>
  <si>
    <t>Marketaxess Holdings Inc</t>
  </si>
  <si>
    <t>sbac</t>
  </si>
  <si>
    <t>SBA Communications Corp</t>
  </si>
  <si>
    <t>clbs</t>
  </si>
  <si>
    <t>Celebrus Technologies PLC</t>
  </si>
  <si>
    <t>cw</t>
  </si>
  <si>
    <t>Curtiss-Wright Corp.</t>
  </si>
  <si>
    <t>rnr</t>
  </si>
  <si>
    <t>Renaissancere Holdings Ltd</t>
  </si>
  <si>
    <t>leco</t>
  </si>
  <si>
    <t>Lincoln Electric Holdings Inc</t>
  </si>
  <si>
    <t>pxd</t>
  </si>
  <si>
    <t>Pioneer Natural Resources Co</t>
  </si>
  <si>
    <t>appf</t>
  </si>
  <si>
    <t>AppFolio Inc</t>
  </si>
  <si>
    <t>vmi</t>
  </si>
  <si>
    <t>Valmont Industries, Inc.</t>
  </si>
  <si>
    <t>ketr</t>
  </si>
  <si>
    <t>Ketrosden Triasmitra PT</t>
  </si>
  <si>
    <t>vrts</t>
  </si>
  <si>
    <t>Virtus Investment Partners Inc</t>
  </si>
  <si>
    <t>fix</t>
  </si>
  <si>
    <t>Comfort Systems USA, Inc.</t>
  </si>
  <si>
    <t>wire</t>
  </si>
  <si>
    <t>Encore Wire Corp</t>
  </si>
  <si>
    <t>cdw</t>
  </si>
  <si>
    <t>CDW common stock</t>
  </si>
  <si>
    <t>ajg</t>
  </si>
  <si>
    <t>Arthur J. Gallagher &amp; Co.</t>
  </si>
  <si>
    <t>tsco</t>
  </si>
  <si>
    <t>Tractor Supply Co</t>
  </si>
  <si>
    <t>swav</t>
  </si>
  <si>
    <t>Shockwave Medical Inc</t>
  </si>
  <si>
    <t>pri</t>
  </si>
  <si>
    <t>Primerica, Inc.</t>
  </si>
  <si>
    <t>vmc</t>
  </si>
  <si>
    <t>Vulcan Materials Company</t>
  </si>
  <si>
    <t>eme</t>
  </si>
  <si>
    <t>Emcor Group Inc</t>
  </si>
  <si>
    <t>ess</t>
  </si>
  <si>
    <t>Essex Property Trust Inc</t>
  </si>
  <si>
    <t>9.21</t>
  </si>
  <si>
    <t>exp</t>
  </si>
  <si>
    <t>Eagle Materials Inc</t>
  </si>
  <si>
    <t>bdx</t>
  </si>
  <si>
    <t>Becton Dickinson and Co</t>
  </si>
  <si>
    <t>3.80</t>
  </si>
  <si>
    <t>cybr</t>
  </si>
  <si>
    <t>Cyberark Software Ltd</t>
  </si>
  <si>
    <t>crvl</t>
  </si>
  <si>
    <t>CorVel Corp</t>
  </si>
  <si>
    <t>aud</t>
  </si>
  <si>
    <t>Autodesk Inc</t>
  </si>
  <si>
    <t>ayi</t>
  </si>
  <si>
    <t>Acuity Brands Inc</t>
  </si>
  <si>
    <t>fdx</t>
  </si>
  <si>
    <t>FedEx Corp</t>
  </si>
  <si>
    <t>5.03</t>
  </si>
  <si>
    <t>biib</t>
  </si>
  <si>
    <t>Biogen Inc</t>
  </si>
  <si>
    <t>zs</t>
  </si>
  <si>
    <t>Zscaler Inc</t>
  </si>
  <si>
    <t>cmi</t>
  </si>
  <si>
    <t>Cummins Inc</t>
  </si>
  <si>
    <t>6.49</t>
  </si>
  <si>
    <t>mar</t>
  </si>
  <si>
    <t>Marriott International Inc</t>
  </si>
  <si>
    <t>lfus</t>
  </si>
  <si>
    <t>Littelfuse Inc</t>
  </si>
  <si>
    <t>tfx</t>
  </si>
  <si>
    <t>Teleflex Inc</t>
  </si>
  <si>
    <t>dhr</t>
  </si>
  <si>
    <t>Danaher Corporation</t>
  </si>
  <si>
    <t>0.95</t>
  </si>
  <si>
    <t>zbra</t>
  </si>
  <si>
    <t>Zebra Technologies Corp.</t>
  </si>
  <si>
    <t>cb</t>
  </si>
  <si>
    <t>Chubb Ltd</t>
  </si>
  <si>
    <t>3.58</t>
  </si>
  <si>
    <t>vrsk</t>
  </si>
  <si>
    <t>Verisk Analytics, Inc.</t>
  </si>
  <si>
    <t>unp</t>
  </si>
  <si>
    <t>Union Pacific Corp</t>
  </si>
  <si>
    <t>adp</t>
  </si>
  <si>
    <t>Automatic Data Processing Inc</t>
  </si>
  <si>
    <t>4.92</t>
  </si>
  <si>
    <t>glob</t>
  </si>
  <si>
    <t>Globant SA</t>
  </si>
  <si>
    <t>efx</t>
  </si>
  <si>
    <t>Equifax Inc</t>
  </si>
  <si>
    <t>uslm</t>
  </si>
  <si>
    <t>United States Lime &amp; Minerals Inc</t>
  </si>
  <si>
    <t>wtw</t>
  </si>
  <si>
    <t>Willis Towers Watson PLC</t>
  </si>
  <si>
    <t>manh</t>
  </si>
  <si>
    <t>Manhattan Associates Inc</t>
  </si>
  <si>
    <t>stz</t>
  </si>
  <si>
    <t>Constellation Brands, Inc.</t>
  </si>
  <si>
    <t>nsc</t>
  </si>
  <si>
    <t>Norfolk Southern Corp</t>
  </si>
  <si>
    <t>lpla</t>
  </si>
  <si>
    <t>LPL Financial Holdings Inc</t>
  </si>
  <si>
    <t>pen</t>
  </si>
  <si>
    <t>Penumbra Inc</t>
  </si>
  <si>
    <t>rh</t>
  </si>
  <si>
    <t>RH</t>
  </si>
  <si>
    <t>itw</t>
  </si>
  <si>
    <t>Illinois Tool Works Inc.</t>
  </si>
  <si>
    <t>adsk</t>
  </si>
  <si>
    <t>ndsn</t>
  </si>
  <si>
    <t>Nordson Corp</t>
  </si>
  <si>
    <t>axon</t>
  </si>
  <si>
    <t>Axon Enterprise Inc</t>
  </si>
  <si>
    <t>apd</t>
  </si>
  <si>
    <t>Air Products and Chemicals Inc</t>
  </si>
  <si>
    <t>7.38</t>
  </si>
  <si>
    <t>iclr</t>
  </si>
  <si>
    <t>ICON PLC</t>
  </si>
  <si>
    <t>gd</t>
  </si>
  <si>
    <t>General Dynamics Corp</t>
  </si>
  <si>
    <t>5.58</t>
  </si>
  <si>
    <t>wdfc</t>
  </si>
  <si>
    <t>WD-40 Co</t>
  </si>
  <si>
    <t>esgr</t>
  </si>
  <si>
    <t>Enstar Group Ltd</t>
  </si>
  <si>
    <t>gpi</t>
  </si>
  <si>
    <t>Group 1 Automotive, Inc.</t>
  </si>
  <si>
    <t>rok</t>
  </si>
  <si>
    <t>Rockwell Automation Inc</t>
  </si>
  <si>
    <t>hii</t>
  </si>
  <si>
    <t>Huntington Ingalls Industries Inc</t>
  </si>
  <si>
    <t>etn</t>
  </si>
  <si>
    <t>Eaton Corporation PLC</t>
  </si>
  <si>
    <t>3.68</t>
  </si>
  <si>
    <t>anet</t>
  </si>
  <si>
    <t>Arista Networks Inc</t>
  </si>
  <si>
    <t>algn</t>
  </si>
  <si>
    <t>Align Technology, Inc.</t>
  </si>
  <si>
    <t>casy</t>
  </si>
  <si>
    <t>Caseys General Stores Inc</t>
  </si>
  <si>
    <t>gnmsf</t>
  </si>
  <si>
    <t>Genmab A/S</t>
  </si>
  <si>
    <t>tt</t>
  </si>
  <si>
    <t>Trane Technologies PLC</t>
  </si>
  <si>
    <t>v</t>
  </si>
  <si>
    <t>Visa Inc</t>
  </si>
  <si>
    <t>morn</t>
  </si>
  <si>
    <t>Morningstar Inc</t>
  </si>
  <si>
    <t>netc</t>
  </si>
  <si>
    <t>Netcompany Group A/S</t>
  </si>
  <si>
    <t>psa</t>
  </si>
  <si>
    <t>Public Storage</t>
  </si>
  <si>
    <t>crm</t>
  </si>
  <si>
    <t>Salesforce Inc</t>
  </si>
  <si>
    <t>wing</t>
  </si>
  <si>
    <t>Wingstop Inc</t>
  </si>
  <si>
    <t>rs</t>
  </si>
  <si>
    <t>Reliance Steel &amp; Aluminum Co</t>
  </si>
  <si>
    <t>3.90</t>
  </si>
  <si>
    <t>epam</t>
  </si>
  <si>
    <t>EPAM Systems Inc</t>
  </si>
  <si>
    <t>aon</t>
  </si>
  <si>
    <t>Aon PLC</t>
  </si>
  <si>
    <t>2.60</t>
  </si>
  <si>
    <t>sna</t>
  </si>
  <si>
    <t>Snap-On Inc</t>
  </si>
  <si>
    <t>wday</t>
  </si>
  <si>
    <t>Workday Inc</t>
  </si>
  <si>
    <t>kai</t>
  </si>
  <si>
    <t>Kadant Inc</t>
  </si>
  <si>
    <t>medp</t>
  </si>
  <si>
    <t>Medpace Holdings Inc</t>
  </si>
  <si>
    <t>flt</t>
  </si>
  <si>
    <t>Fleetcor Technologies Inc</t>
  </si>
  <si>
    <t>cdns</t>
  </si>
  <si>
    <t>Cadence Design Systems Inc</t>
  </si>
  <si>
    <t>mcd</t>
  </si>
  <si>
    <t>McDonald's Corp</t>
  </si>
  <si>
    <t>lad</t>
  </si>
  <si>
    <t>Lithia Motors Inc</t>
  </si>
  <si>
    <t>fngu</t>
  </si>
  <si>
    <t>Bank of Montreal MicroSectors FANG Index 3X Leveraged ETN Exp 8 Jan 2038</t>
  </si>
  <si>
    <t>asr</t>
  </si>
  <si>
    <t>Grupo Aeroportuario dl Srst SAB CV</t>
  </si>
  <si>
    <t>12.36</t>
  </si>
  <si>
    <t>crwd</t>
  </si>
  <si>
    <t>Crowdstrike Holdings Inc</t>
  </si>
  <si>
    <t>hca</t>
  </si>
  <si>
    <t>HCA Healthcare Inc</t>
  </si>
  <si>
    <t>shw</t>
  </si>
  <si>
    <t>Sherwin-Williams Co</t>
  </si>
  <si>
    <t>krtx</t>
  </si>
  <si>
    <t>Karuna Therapeutics Inc</t>
  </si>
  <si>
    <t>cat</t>
  </si>
  <si>
    <t>Caterpillar Inc.</t>
  </si>
  <si>
    <t>4.97</t>
  </si>
  <si>
    <t>djco</t>
  </si>
  <si>
    <t>Daily Journal Corporation</t>
  </si>
  <si>
    <t>chtr</t>
  </si>
  <si>
    <t>Charter Communications Inc</t>
  </si>
  <si>
    <t>bio</t>
  </si>
  <si>
    <t>Bio-Rad Laboratories, Inc. Class A Common Stock</t>
  </si>
  <si>
    <t>wat</t>
  </si>
  <si>
    <t>Waters Corporation</t>
  </si>
  <si>
    <t>csl</t>
  </si>
  <si>
    <t>Carlisle Companies, Inc.</t>
  </si>
  <si>
    <t>3.00</t>
  </si>
  <si>
    <t>amgn</t>
  </si>
  <si>
    <t>Amgen Inc</t>
  </si>
  <si>
    <t>ci</t>
  </si>
  <si>
    <t>Cigna Group</t>
  </si>
  <si>
    <t>5.13</t>
  </si>
  <si>
    <t>msi</t>
  </si>
  <si>
    <t>Motorola Solutions Inc</t>
  </si>
  <si>
    <t>anss</t>
  </si>
  <si>
    <t>ANSYS Inc</t>
  </si>
  <si>
    <t>scpl</t>
  </si>
  <si>
    <t>Sheetal Cool Products Ltd</t>
  </si>
  <si>
    <t>atri</t>
  </si>
  <si>
    <t>Atrion Corp</t>
  </si>
  <si>
    <t>syk</t>
  </si>
  <si>
    <t>Stryker Corp</t>
  </si>
  <si>
    <t>cvco</t>
  </si>
  <si>
    <t>Cavco Industries, Inc.</t>
  </si>
  <si>
    <t>panw</t>
  </si>
  <si>
    <t>Palo Alto Networks Inc</t>
  </si>
  <si>
    <t>erie</t>
  </si>
  <si>
    <t>Erie Indemnity Co</t>
  </si>
  <si>
    <t>caci</t>
  </si>
  <si>
    <t>CACI INTERNATIONAL INC Common Stock</t>
  </si>
  <si>
    <t>chg</t>
  </si>
  <si>
    <t>Chemring Group plc</t>
  </si>
  <si>
    <t>hubb</t>
  </si>
  <si>
    <t>Hubbell Inc</t>
  </si>
  <si>
    <t>moh</t>
  </si>
  <si>
    <t>Molina Healthcare Inc</t>
  </si>
  <si>
    <t>mnp</t>
  </si>
  <si>
    <t>Martin Currie Global Portfolio Trust PLC</t>
  </si>
  <si>
    <t>sam</t>
  </si>
  <si>
    <t>Boston Beer Company Inc</t>
  </si>
  <si>
    <t>hd</t>
  </si>
  <si>
    <t>Home Depot Inc</t>
  </si>
  <si>
    <t>8.32</t>
  </si>
  <si>
    <t>musa</t>
  </si>
  <si>
    <t>Murphy USA Inc</t>
  </si>
  <si>
    <t>wina</t>
  </si>
  <si>
    <t>Winmark Corporation</t>
  </si>
  <si>
    <t>acn</t>
  </si>
  <si>
    <t>Accenture Plc</t>
  </si>
  <si>
    <t>4.91</t>
  </si>
  <si>
    <t>pool</t>
  </si>
  <si>
    <t>Pool Corp</t>
  </si>
  <si>
    <t>mpac</t>
  </si>
  <si>
    <t>MPAC Group PLC</t>
  </si>
  <si>
    <t>coo</t>
  </si>
  <si>
    <t>Cooper Companies Inc</t>
  </si>
  <si>
    <t>argx</t>
  </si>
  <si>
    <t>argenx SE - ADR</t>
  </si>
  <si>
    <t>hum</t>
  </si>
  <si>
    <t>Humana Inc</t>
  </si>
  <si>
    <t>race</t>
  </si>
  <si>
    <t>Ferrari NV</t>
  </si>
  <si>
    <t>wst</t>
  </si>
  <si>
    <t>West Pharmaceutical Services Inc.</t>
  </si>
  <si>
    <t>bld</t>
  </si>
  <si>
    <t>TopBuild Corp</t>
  </si>
  <si>
    <t>isrg</t>
  </si>
  <si>
    <t>Intuitive Surgical, Inc.</t>
  </si>
  <si>
    <t>icgc</t>
  </si>
  <si>
    <t>Irish Continental Group plc</t>
  </si>
  <si>
    <t>dia</t>
  </si>
  <si>
    <t>SPDR Dow Jones Industrial Average ETF Trust</t>
  </si>
  <si>
    <t>6.74</t>
  </si>
  <si>
    <t>gs</t>
  </si>
  <si>
    <t>Goldman Sachs Group Inc</t>
  </si>
  <si>
    <t>11.39</t>
  </si>
  <si>
    <t>amp</t>
  </si>
  <si>
    <t>Ameriprise Financial, Inc.</t>
  </si>
  <si>
    <t>5.75</t>
  </si>
  <si>
    <t>dds</t>
  </si>
  <si>
    <t>Dillard's Inc</t>
  </si>
  <si>
    <t>20.53</t>
  </si>
  <si>
    <t>de</t>
  </si>
  <si>
    <t>Deere &amp; Co</t>
  </si>
  <si>
    <t>wso</t>
  </si>
  <si>
    <t>Watsco Inc</t>
  </si>
  <si>
    <t>msacw</t>
  </si>
  <si>
    <t>MXACW Option Settlement Value</t>
  </si>
  <si>
    <t>knsl</t>
  </si>
  <si>
    <t>Kinsale Capital Group Inc</t>
  </si>
  <si>
    <t>mco</t>
  </si>
  <si>
    <t>Moody's Corp</t>
  </si>
  <si>
    <t>fcelb</t>
  </si>
  <si>
    <t>FuelCell Energy Pref Shs Series B</t>
  </si>
  <si>
    <t>amr</t>
  </si>
  <si>
    <t>Alpha Metallurgical Resources Inc</t>
  </si>
  <si>
    <t>lin</t>
  </si>
  <si>
    <t>Linde PLC</t>
  </si>
  <si>
    <t>odfl</t>
  </si>
  <si>
    <t>Old Dominion Freight Line Inc</t>
  </si>
  <si>
    <t>msft</t>
  </si>
  <si>
    <t>Microsoft Corp</t>
  </si>
  <si>
    <t>lii</t>
  </si>
  <si>
    <t>Lennox International Inc</t>
  </si>
  <si>
    <t>dpz</t>
  </si>
  <si>
    <t>Domino's Pizza Inc</t>
  </si>
  <si>
    <t>4.86</t>
  </si>
  <si>
    <t>nrgu</t>
  </si>
  <si>
    <t>MicroSectors U S Big Oil Index 3X Leveraged ETN</t>
  </si>
  <si>
    <t>vrtx</t>
  </si>
  <si>
    <t>Vertex Pharmaceuticals Incorporated</t>
  </si>
  <si>
    <t>lmt</t>
  </si>
  <si>
    <t>Lockheed Martin Corp</t>
  </si>
  <si>
    <t>qqq</t>
  </si>
  <si>
    <t>Invesco QQQ Trust Series 1</t>
  </si>
  <si>
    <t>tyl</t>
  </si>
  <si>
    <t>Tyler Technologies Inc</t>
  </si>
  <si>
    <t>tdy</t>
  </si>
  <si>
    <t>Teledyne Technologies Inc</t>
  </si>
  <si>
    <t>mdb</t>
  </si>
  <si>
    <t>Mongodb Inc</t>
  </si>
  <si>
    <t>noc</t>
  </si>
  <si>
    <t>Northrop Grumman Corp</t>
  </si>
  <si>
    <t>spgi</t>
  </si>
  <si>
    <t>S&amp;P Global Inc</t>
  </si>
  <si>
    <t>ma</t>
  </si>
  <si>
    <t>Mastercard Inc</t>
  </si>
  <si>
    <t>Credit Services</t>
  </si>
  <si>
    <t>2.46</t>
  </si>
  <si>
    <t>lulu</t>
  </si>
  <si>
    <t>Lululemon Athletica Inc</t>
  </si>
  <si>
    <t>zeal</t>
  </si>
  <si>
    <t>Zealand Pharma A/S</t>
  </si>
  <si>
    <t>it</t>
  </si>
  <si>
    <t>Gartner Inc</t>
  </si>
  <si>
    <t>How can I reference another tab within google sheets based on a conditional statement</t>
  </si>
  <si>
    <t>gle</t>
  </si>
  <si>
    <t>MJ Gleeson PLC</t>
  </si>
  <si>
    <t>meta</t>
  </si>
  <si>
    <t>Meta Platforms Inc</t>
  </si>
  <si>
    <t>=IF(ISBLANK(I513), INDEX(ABC!$A$1000:$Z$10000, 2, 8), "")</t>
  </si>
  <si>
    <t>Technology</t>
  </si>
  <si>
    <t>Computer Software: Programming Data Processing</t>
  </si>
  <si>
    <t>mmx</t>
  </si>
  <si>
    <t>Martin Marietta Materials Inc</t>
  </si>
  <si>
    <t>reli</t>
  </si>
  <si>
    <t>Reliance Sekuritas Indonesia Tbk PT</t>
  </si>
  <si>
    <t>nwli</t>
  </si>
  <si>
    <t>National Western Life Group Inc</t>
  </si>
  <si>
    <t>tga</t>
  </si>
  <si>
    <t>Thungela Resources Ltd</t>
  </si>
  <si>
    <t>fds</t>
  </si>
  <si>
    <t>Factset Research Systems Inc</t>
  </si>
  <si>
    <t>spy</t>
  </si>
  <si>
    <t>SPDR S&amp;P 500 ETF Trust</t>
  </si>
  <si>
    <t>elv</t>
  </si>
  <si>
    <t>Elevance Health Inc</t>
  </si>
  <si>
    <t>6.24</t>
  </si>
  <si>
    <t>mstr</t>
  </si>
  <si>
    <t>MicroStrategy Inc</t>
  </si>
  <si>
    <t>mck</t>
  </si>
  <si>
    <t>McKesson Corp</t>
  </si>
  <si>
    <t>mdy</t>
  </si>
  <si>
    <t>SPDR S&amp;P MidCap 400 ETF</t>
  </si>
  <si>
    <t>ulta</t>
  </si>
  <si>
    <t>Ulta Beauty Inc</t>
  </si>
  <si>
    <t>cabo</t>
  </si>
  <si>
    <t>Cable One Inc</t>
  </si>
  <si>
    <t>unh</t>
  </si>
  <si>
    <t>UnitedHealth Group Inc</t>
  </si>
  <si>
    <t>ph</t>
  </si>
  <si>
    <t>Parker-Hannifin Corp</t>
  </si>
  <si>
    <t>5.99</t>
  </si>
  <si>
    <t>mlm</t>
  </si>
  <si>
    <t>idxx</t>
  </si>
  <si>
    <t>IDEXX Laboratories, Inc.</t>
  </si>
  <si>
    <t>amna</t>
  </si>
  <si>
    <t>ETRACS Alerian Midstream Energy Index ETN</t>
  </si>
  <si>
    <t>rop</t>
  </si>
  <si>
    <t>Roper Technologies Inc</t>
  </si>
  <si>
    <t>snps</t>
  </si>
  <si>
    <t>Synopsys Inc</t>
  </si>
  <si>
    <t>nflx</t>
  </si>
  <si>
    <t>Netflix Inc</t>
  </si>
  <si>
    <t>smci</t>
  </si>
  <si>
    <t>Super Micro Computer Inc</t>
  </si>
  <si>
    <t>cacc</t>
  </si>
  <si>
    <t>Credit Acceptance Corp.</t>
  </si>
  <si>
    <t>neu</t>
  </si>
  <si>
    <t>NewMarket Corporation</t>
  </si>
  <si>
    <t>msci</t>
  </si>
  <si>
    <t>Msci Inc</t>
  </si>
  <si>
    <t>che</t>
  </si>
  <si>
    <t>Chemed Corp</t>
  </si>
  <si>
    <t>klac</t>
  </si>
  <si>
    <t>KLA Corp</t>
  </si>
  <si>
    <t>hubs</t>
  </si>
  <si>
    <t>HubSpot Inc</t>
  </si>
  <si>
    <t>ctas</t>
  </si>
  <si>
    <t>Cintas Corp</t>
  </si>
  <si>
    <t>adbe</t>
  </si>
  <si>
    <t>Adobe Inc</t>
  </si>
  <si>
    <t>intu</t>
  </si>
  <si>
    <t>Intuit Inc</t>
  </si>
  <si>
    <t>uri</t>
  </si>
  <si>
    <t>United Rentals, Inc.</t>
  </si>
  <si>
    <t>nvda</t>
  </si>
  <si>
    <t>NVIDIA Corp</t>
  </si>
  <si>
    <t>lly</t>
  </si>
  <si>
    <t>Eli Lilly And Co</t>
  </si>
  <si>
    <t>ghc</t>
  </si>
  <si>
    <t>Graham Holdings Co</t>
  </si>
  <si>
    <t>6.67</t>
  </si>
  <si>
    <t>cost</t>
  </si>
  <si>
    <t>Costco Wholesale Corporation</t>
  </si>
  <si>
    <t>now</t>
  </si>
  <si>
    <t>ServiceNow Inc</t>
  </si>
  <si>
    <t>blk</t>
  </si>
  <si>
    <t>BlackRock Inc</t>
  </si>
  <si>
    <t>20.78</t>
  </si>
  <si>
    <t>fact</t>
  </si>
  <si>
    <t>Fertilisers And Chemicals Travancore Ltd</t>
  </si>
  <si>
    <t>bmymp</t>
  </si>
  <si>
    <t>Bristol-Myers Squibb Co Conv. Pref. Shrs</t>
  </si>
  <si>
    <t>lrcx</t>
  </si>
  <si>
    <t>Lam Research Corporation</t>
  </si>
  <si>
    <t>lvmhf</t>
  </si>
  <si>
    <t>LVMH Moet Hennessy Louis Vuitton SE</t>
  </si>
  <si>
    <t>eqix</t>
  </si>
  <si>
    <t>Equinix Inc</t>
  </si>
  <si>
    <t>gls</t>
  </si>
  <si>
    <t>Glenmark Life Sciences Ltd</t>
  </si>
  <si>
    <t>klr</t>
  </si>
  <si>
    <t>Keller Group plc</t>
  </si>
  <si>
    <t>deck</t>
  </si>
  <si>
    <t>Deckers Outdoor Corp</t>
  </si>
  <si>
    <t>asmlf</t>
  </si>
  <si>
    <t>ASML Holding NV</t>
  </si>
  <si>
    <t>asml</t>
  </si>
  <si>
    <t>coke</t>
  </si>
  <si>
    <t>Coca-Cola Consolidated Inc</t>
  </si>
  <si>
    <t>bkgm</t>
  </si>
  <si>
    <t>Bankguam Holding Co</t>
  </si>
  <si>
    <t>gww</t>
  </si>
  <si>
    <t>WW Grainger Inc</t>
  </si>
  <si>
    <t>7.84</t>
  </si>
  <si>
    <t>fmcb</t>
  </si>
  <si>
    <t>Farmers &amp; Merchants Bancorp (CA) Common Stock</t>
  </si>
  <si>
    <t>frfhf</t>
  </si>
  <si>
    <t>Fairfax Financial Holdings Ltd Sub Voting</t>
  </si>
  <si>
    <t>orly</t>
  </si>
  <si>
    <t>O'Reilly Automotive Inc</t>
  </si>
  <si>
    <t>tdg</t>
  </si>
  <si>
    <t>TransDigm Group Inc</t>
  </si>
  <si>
    <t>oig</t>
  </si>
  <si>
    <t>Oryx International Growth Fund Ltd</t>
  </si>
  <si>
    <t>mtd</t>
  </si>
  <si>
    <t>Mettler-Toledo International Inc</t>
  </si>
  <si>
    <t>avgo</t>
  </si>
  <si>
    <t>Broadcom Inc</t>
  </si>
  <si>
    <t>drma</t>
  </si>
  <si>
    <t>Dharma Polimetal Tbk PT</t>
  </si>
  <si>
    <t>fico</t>
  </si>
  <si>
    <t>Fair Isaac Corp</t>
  </si>
  <si>
    <t>ssu</t>
  </si>
  <si>
    <t>Samsung Electronics 1 GDS Representing 25 Ord Shs</t>
  </si>
  <si>
    <t>fcncb</t>
  </si>
  <si>
    <t>First Citizens BancShares Inc (Delaware) Class B</t>
  </si>
  <si>
    <t>nh</t>
  </si>
  <si>
    <t>Narayana Hrudayalaya Ltd</t>
  </si>
  <si>
    <t>mkl</t>
  </si>
  <si>
    <t>Markel Group Inc</t>
  </si>
  <si>
    <t>tpl</t>
  </si>
  <si>
    <t>Texas Pacific Land Corp</t>
  </si>
  <si>
    <t>fcnca</t>
  </si>
  <si>
    <t>First Citizens BancShares Inc (Delaware) Class A</t>
  </si>
  <si>
    <t>wtm</t>
  </si>
  <si>
    <t>White Mountains Insurance Group Ltd</t>
  </si>
  <si>
    <t>agfs</t>
  </si>
  <si>
    <t>IAGRO-FFS B3</t>
  </si>
  <si>
    <t>ptnr</t>
  </si>
  <si>
    <t>Partner Communications Company Ltd</t>
  </si>
  <si>
    <t>lhc</t>
  </si>
  <si>
    <t>meli</t>
  </si>
  <si>
    <t>MercadoLibre Inc</t>
  </si>
  <si>
    <t>btx</t>
  </si>
  <si>
    <t>BTX USD</t>
  </si>
  <si>
    <t>amot</t>
  </si>
  <si>
    <t>Amot Investments Ltd</t>
  </si>
  <si>
    <t>hils</t>
  </si>
  <si>
    <t>Hill &amp; Smith PLC</t>
  </si>
  <si>
    <t>wkln</t>
  </si>
  <si>
    <t>Wolters Kluwer NV</t>
  </si>
  <si>
    <t>vrtv</t>
  </si>
  <si>
    <t>Veritiv Ord Shs</t>
  </si>
  <si>
    <t>riii</t>
  </si>
  <si>
    <t>Rights and Issues Investment Trust PLC</t>
  </si>
  <si>
    <t>hil</t>
  </si>
  <si>
    <t>HomeChoice International PLC</t>
  </si>
  <si>
    <t>srsa</t>
  </si>
  <si>
    <t>iShares MSCI South Africa UCITS ETF USD (Acc)</t>
  </si>
  <si>
    <t>cmg</t>
  </si>
  <si>
    <t>Chipotle Mexican Grill, Inc.</t>
  </si>
  <si>
    <t>mmp</t>
  </si>
  <si>
    <t>Marshall Monteagle PLC</t>
  </si>
  <si>
    <t>cann</t>
  </si>
  <si>
    <t>EN CANADA NR</t>
  </si>
  <si>
    <t>azo</t>
  </si>
  <si>
    <t>Autozone Inc</t>
  </si>
  <si>
    <t>glta</t>
  </si>
  <si>
    <t>Invesco UK Gilts UCITS ETF Acc</t>
  </si>
  <si>
    <t>odtc</t>
  </si>
  <si>
    <t>Odonate Inc</t>
  </si>
  <si>
    <t>unvr</t>
  </si>
  <si>
    <t>Unilever Indonesia Tbk PT</t>
  </si>
  <si>
    <t>gfgy</t>
  </si>
  <si>
    <t>Granite Falls Energy LLC</t>
  </si>
  <si>
    <t>isee</t>
  </si>
  <si>
    <t>ISUSTENTABIL</t>
  </si>
  <si>
    <t>bkng</t>
  </si>
  <si>
    <t>Booking Holdings Inc</t>
  </si>
  <si>
    <t>seb</t>
  </si>
  <si>
    <t>Seaboard Corp</t>
  </si>
  <si>
    <t>ecrp</t>
  </si>
  <si>
    <t>Amundi Index Euro Corp SRI - UCITS ETF DR C</t>
  </si>
  <si>
    <t>imv</t>
  </si>
  <si>
    <t>iShares Edge MSCI Europe Min Vol UCITS ETF EUR Acc</t>
  </si>
  <si>
    <t>tdai</t>
  </si>
  <si>
    <t>Consumer Durable and Apparel</t>
  </si>
  <si>
    <t>sbnc</t>
  </si>
  <si>
    <t>Southern Bancshares N C Ord Shs</t>
  </si>
  <si>
    <t>esus</t>
  </si>
  <si>
    <t>Invesco MSCI USA ESG Unvsl Screened UCITS ETF Dist</t>
  </si>
  <si>
    <t>bull</t>
  </si>
  <si>
    <t>Pacer US Cash Cows Growth Index</t>
  </si>
  <si>
    <t>indt</t>
  </si>
  <si>
    <t>LATIBEX TOP</t>
  </si>
  <si>
    <t>pse</t>
  </si>
  <si>
    <t>NYSE Arca Tech 100 Index</t>
  </si>
  <si>
    <t>sbp</t>
  </si>
  <si>
    <t>Sabvest Capital Ltd</t>
  </si>
  <si>
    <t>nvr</t>
  </si>
  <si>
    <t>NVR Inc</t>
  </si>
  <si>
    <t>ades</t>
  </si>
  <si>
    <t>Akasha Wira International Tbk PT</t>
  </si>
  <si>
    <t>tcgi</t>
  </si>
  <si>
    <t>Capital Goods Index</t>
  </si>
  <si>
    <t>cdev</t>
  </si>
  <si>
    <t>Cohen Development Gas &amp; Oil Ltd</t>
  </si>
  <si>
    <t>fnmfo</t>
  </si>
  <si>
    <t>Federal National Mortgage Association 5.375 Conv Pref Series 2004-I</t>
  </si>
  <si>
    <t>rdtx</t>
  </si>
  <si>
    <t>Roda Vivatex Tbk PT</t>
  </si>
  <si>
    <t>csca</t>
  </si>
  <si>
    <t>iShares MSCI Canada UCITS ETF USD (Acc)</t>
  </si>
  <si>
    <t>heol</t>
  </si>
  <si>
    <t>Highwater Ethanol, LLC</t>
  </si>
  <si>
    <t>tmdi</t>
  </si>
  <si>
    <t>Media Index</t>
  </si>
  <si>
    <t>rtl</t>
  </si>
  <si>
    <t>ROTX RON</t>
  </si>
  <si>
    <t>ten</t>
  </si>
  <si>
    <t>Tenaris Ord Shs</t>
  </si>
  <si>
    <t>bhg</t>
  </si>
  <si>
    <t>gegp</t>
  </si>
  <si>
    <t>Gold Entertainment Group Ord Shs</t>
  </si>
  <si>
    <t>IPO</t>
  </si>
  <si>
    <t>Company Name</t>
  </si>
  <si>
    <t>MKT CAP</t>
  </si>
  <si>
    <t>Country</t>
  </si>
  <si>
    <t>INDEX</t>
  </si>
  <si>
    <r>
      <rPr>
        <rFont val="Arial"/>
        <b/>
        <color theme="1"/>
        <sz val="12.0"/>
      </rPr>
      <t>GOAL</t>
    </r>
    <r>
      <rPr>
        <rFont val="Arial"/>
        <color theme="1"/>
      </rPr>
      <t xml:space="preserve"> TO SLIM DOWN LISTINGS</t>
    </r>
  </si>
  <si>
    <t>Computer Manufacturing</t>
  </si>
  <si>
    <t>Apple Inc. Common Stock</t>
  </si>
  <si>
    <t>United States</t>
  </si>
  <si>
    <t>MSFT</t>
  </si>
  <si>
    <t>Computer Software: Prepackaged Software</t>
  </si>
  <si>
    <t>Microsoft Corporation Common Stock</t>
  </si>
  <si>
    <t>GOOG</t>
  </si>
  <si>
    <t>Alphabet Inc. Class C Capital Stock</t>
  </si>
  <si>
    <t>GOOGL</t>
  </si>
  <si>
    <t>Alphabet Inc. Class A Common Stock</t>
  </si>
  <si>
    <t>AMZN</t>
  </si>
  <si>
    <t>Catalog/Specialty Distribution</t>
  </si>
  <si>
    <t>Amazon.com Inc. Common Stock</t>
  </si>
  <si>
    <t>Bermuda</t>
  </si>
  <si>
    <t>NVDA</t>
  </si>
  <si>
    <t>Semiconductors</t>
  </si>
  <si>
    <t>NVIDIA Corporation Common Stock</t>
  </si>
  <si>
    <t>META</t>
  </si>
  <si>
    <t>Meta Platforms Inc. Class A Common Stock</t>
  </si>
  <si>
    <t>BRK/A</t>
  </si>
  <si>
    <t>Berkshire Hathaway Inc.</t>
  </si>
  <si>
    <t>BRK/B</t>
  </si>
  <si>
    <t>NYSE</t>
  </si>
  <si>
    <t>HSBC</t>
  </si>
  <si>
    <t>Savings Institutions</t>
  </si>
  <si>
    <t>Finance</t>
  </si>
  <si>
    <t>HSBC Holdings plc. Common Stock</t>
  </si>
  <si>
    <t>NYSE,NASDAQ</t>
  </si>
  <si>
    <t>TSLA</t>
  </si>
  <si>
    <t>Auto Manufacturing</t>
  </si>
  <si>
    <t>Tesla Inc. Common Stock</t>
  </si>
  <si>
    <t>Ireland</t>
  </si>
  <si>
    <t>LLY</t>
  </si>
  <si>
    <t>Biotechnology: Pharmaceutical Preparations</t>
  </si>
  <si>
    <t>Eli Lilly and Company Common Stock</t>
  </si>
  <si>
    <t>TSM</t>
  </si>
  <si>
    <t>Taiwan Semiconductor Manufacturing Company Ltd.</t>
  </si>
  <si>
    <t>UNH</t>
  </si>
  <si>
    <t>Medical Specialities</t>
  </si>
  <si>
    <t>UnitedHealth Group Incorporated Common Stock (DE)</t>
  </si>
  <si>
    <t>V</t>
  </si>
  <si>
    <t>Business Services</t>
  </si>
  <si>
    <t>Visa Inc.</t>
  </si>
  <si>
    <t>Israel</t>
  </si>
  <si>
    <t>NVO</t>
  </si>
  <si>
    <t>Biotechnology: Biological Products (No Diagnostic Substances)</t>
  </si>
  <si>
    <t>Novo Nordisk A/S Common Stock</t>
  </si>
  <si>
    <t>WMT</t>
  </si>
  <si>
    <t>Department/Specialty Retail Stores</t>
  </si>
  <si>
    <t>Walmart Inc. Common Stock</t>
  </si>
  <si>
    <t>SHEL</t>
  </si>
  <si>
    <t>Oil &amp; Gas Production</t>
  </si>
  <si>
    <t>Shell PLC American Depositary Shares (each representing two (2) Ordinary Shares)</t>
  </si>
  <si>
    <t>JPM</t>
  </si>
  <si>
    <t>Major Banks</t>
  </si>
  <si>
    <t>JP Morgan Chase &amp; Co. Common Stock</t>
  </si>
  <si>
    <t>XOM</t>
  </si>
  <si>
    <t>Integrated oil Companies</t>
  </si>
  <si>
    <t>Exxon Mobil Corporation Common Stock</t>
  </si>
  <si>
    <t>Switzerland</t>
  </si>
  <si>
    <t>AVGO</t>
  </si>
  <si>
    <t>Broadcom Inc. Common Stock</t>
  </si>
  <si>
    <t>MA</t>
  </si>
  <si>
    <t>Mastercard Incorporated Common Stock</t>
  </si>
  <si>
    <t>PG</t>
  </si>
  <si>
    <t>Package Goods/Cosmetics</t>
  </si>
  <si>
    <t>Procter &amp; Gamble Company (The) Common Stock</t>
  </si>
  <si>
    <t>JNJ</t>
  </si>
  <si>
    <t>Johnson &amp; Johnson Common Stock</t>
  </si>
  <si>
    <t>ORCL</t>
  </si>
  <si>
    <t>Oracle Corporation Common Stock</t>
  </si>
  <si>
    <t>BHP</t>
  </si>
  <si>
    <t>Basic Materials</t>
  </si>
  <si>
    <t>Metal Mining</t>
  </si>
  <si>
    <t>BHP Group Limited American Depositary Shares (Each representing two Ordinary Shares)</t>
  </si>
  <si>
    <t>Argentina</t>
  </si>
  <si>
    <t>HD</t>
  </si>
  <si>
    <t>RETAIL: Building Materials</t>
  </si>
  <si>
    <t>Home Depot Inc. (The) Common Stock</t>
  </si>
  <si>
    <t>Cayman Islands</t>
  </si>
  <si>
    <t>ADBE</t>
  </si>
  <si>
    <t>Adobe Inc. Common Stock</t>
  </si>
  <si>
    <t>CVX</t>
  </si>
  <si>
    <t>Chevron Corporation Common Stock</t>
  </si>
  <si>
    <t>Netherlands</t>
  </si>
  <si>
    <t>ASML</t>
  </si>
  <si>
    <t>Industrial Machinery/Components</t>
  </si>
  <si>
    <t>ASML Holding N.V. New York Registry Shares</t>
  </si>
  <si>
    <t>TM</t>
  </si>
  <si>
    <t>Toyota Motor Corporation Common Stock</t>
  </si>
  <si>
    <t>India</t>
  </si>
  <si>
    <t>MRK</t>
  </si>
  <si>
    <t>Merck &amp; Company Inc. Common Stock (new)</t>
  </si>
  <si>
    <t>COST</t>
  </si>
  <si>
    <t>Costco Wholesale Corporation Common Stock</t>
  </si>
  <si>
    <t>Canada</t>
  </si>
  <si>
    <t>KO</t>
  </si>
  <si>
    <t>Consumer Staples</t>
  </si>
  <si>
    <t>Beverages (Production/Distribution)</t>
  </si>
  <si>
    <t>Coca-Cola Company (The) Common Stock</t>
  </si>
  <si>
    <t>ABBV</t>
  </si>
  <si>
    <t>AbbVie Inc. Common Stock</t>
  </si>
  <si>
    <t>PEP</t>
  </si>
  <si>
    <t>PepsiCo Inc. Common Stock</t>
  </si>
  <si>
    <t>Luxembourg</t>
  </si>
  <si>
    <t>NGG</t>
  </si>
  <si>
    <t>Utilities</t>
  </si>
  <si>
    <t>Natural Gas Distribution</t>
  </si>
  <si>
    <t>National Grid Transco PLC National Grid PLC (NEW) American Depositary Shares</t>
  </si>
  <si>
    <t>BAC</t>
  </si>
  <si>
    <t>Bank of America Corporation Common Stock</t>
  </si>
  <si>
    <t>United Kingdom</t>
  </si>
  <si>
    <t>CSCO</t>
  </si>
  <si>
    <t>Telecommunications</t>
  </si>
  <si>
    <t>Computer Communications Equipment</t>
  </si>
  <si>
    <t>Cisco Systems Inc. Common Stock (DE)</t>
  </si>
  <si>
    <t>ACN</t>
  </si>
  <si>
    <t>EDP Services</t>
  </si>
  <si>
    <t>Accenture plc Class A Ordinary Shares (Ireland)</t>
  </si>
  <si>
    <t>BABA</t>
  </si>
  <si>
    <t>Alibaba Group Holding Limited American Depositary Shares each representing eight Ordinary share</t>
  </si>
  <si>
    <t>CRM</t>
  </si>
  <si>
    <t>Salesforce Inc. Common Stock</t>
  </si>
  <si>
    <t>NVS</t>
  </si>
  <si>
    <t>Novartis AG Common Stock</t>
  </si>
  <si>
    <t>NFLX</t>
  </si>
  <si>
    <t>Consumer Electronics/Video Chains</t>
  </si>
  <si>
    <t>Netflix Inc. Common Stock</t>
  </si>
  <si>
    <t>MCD</t>
  </si>
  <si>
    <t>Restaurants</t>
  </si>
  <si>
    <t>McDonald's Corporation Common Stock</t>
  </si>
  <si>
    <t>LIN</t>
  </si>
  <si>
    <t>Major Chemicals</t>
  </si>
  <si>
    <t>Linde plc Ordinary Shares</t>
  </si>
  <si>
    <t>AMD</t>
  </si>
  <si>
    <t>Advanced Micro Devices Inc. Common Stock</t>
  </si>
  <si>
    <t>SAP</t>
  </si>
  <si>
    <t>SAP  SE ADS</t>
  </si>
  <si>
    <t>SAP SE ADS</t>
  </si>
  <si>
    <t>TTE</t>
  </si>
  <si>
    <t>Spain</t>
  </si>
  <si>
    <t>TMO</t>
  </si>
  <si>
    <t>Thermo Fisher Scientific Inc Common Stock</t>
  </si>
  <si>
    <t>TMUS</t>
  </si>
  <si>
    <t>Telecommunications Equipment</t>
  </si>
  <si>
    <t>T-Mobile US Inc. Common Stock</t>
  </si>
  <si>
    <t>CMCSA</t>
  </si>
  <si>
    <t>Cable &amp; Other Pay Television Services</t>
  </si>
  <si>
    <t>Comcast Corporation Class A Common Stock</t>
  </si>
  <si>
    <t>PFE</t>
  </si>
  <si>
    <t>Pfizer Inc. Common Stock</t>
  </si>
  <si>
    <t>TBC</t>
  </si>
  <si>
    <t>AT&amp;T Inc. 5.625% Global Notes due 2067</t>
  </si>
  <si>
    <t>INTC</t>
  </si>
  <si>
    <t>Intel Corporation Common Stock</t>
  </si>
  <si>
    <t>ABT</t>
  </si>
  <si>
    <t>Medical/Dental Instruments</t>
  </si>
  <si>
    <t>Abbott Laboratories Common Stock</t>
  </si>
  <si>
    <t>DIS</t>
  </si>
  <si>
    <t>Services-Misc. Amusement &amp; Recreation</t>
  </si>
  <si>
    <t>Walt Disney Company (The) Common Stock</t>
  </si>
  <si>
    <t>NKE</t>
  </si>
  <si>
    <t>Shoe Manufacturing</t>
  </si>
  <si>
    <t>Nike Inc. Common Stock</t>
  </si>
  <si>
    <t>TBB</t>
  </si>
  <si>
    <t>AT&amp;T Inc. 5.350% Global Notes due 2066</t>
  </si>
  <si>
    <t>VZ</t>
  </si>
  <si>
    <t>Verizon Communications Inc. Common Stock</t>
  </si>
  <si>
    <t>WFC</t>
  </si>
  <si>
    <t>Wells Fargo &amp; Company Common Stock</t>
  </si>
  <si>
    <t>INTU</t>
  </si>
  <si>
    <t>Intuit Inc. Common Stock</t>
  </si>
  <si>
    <t>DHR</t>
  </si>
  <si>
    <t>Danaher Corporation Common Stock</t>
  </si>
  <si>
    <t>PDD</t>
  </si>
  <si>
    <t>PDD Holdings Inc. American Depositary Shares</t>
  </si>
  <si>
    <t>AMGN</t>
  </si>
  <si>
    <t>Amgen Inc. Common Stock</t>
  </si>
  <si>
    <t>PM</t>
  </si>
  <si>
    <t>Medicinal Chemicals and Botanical Products</t>
  </si>
  <si>
    <t>Philip Morris International Inc Common Stock</t>
  </si>
  <si>
    <t>QCOM</t>
  </si>
  <si>
    <t>Computer peripheral equipment</t>
  </si>
  <si>
    <t>QUALCOMM Incorporated Common Stock</t>
  </si>
  <si>
    <t>COP</t>
  </si>
  <si>
    <t>ConocoPhillips Common Stock</t>
  </si>
  <si>
    <t>IBM</t>
  </si>
  <si>
    <t>International Business Machines Corporation Common Stock</t>
  </si>
  <si>
    <t>LYG</t>
  </si>
  <si>
    <t>Commercial Banks</t>
  </si>
  <si>
    <t>Lloyds Banking Group Plc American Depositary Shares</t>
  </si>
  <si>
    <t>TXN</t>
  </si>
  <si>
    <t>Texas Instruments Incorporated Common Stock</t>
  </si>
  <si>
    <t>NOW</t>
  </si>
  <si>
    <t>ServiceNow Inc. Common Stock</t>
  </si>
  <si>
    <t>UNP</t>
  </si>
  <si>
    <t>Railroads</t>
  </si>
  <si>
    <t>Union Pacific Corporation Common Stock</t>
  </si>
  <si>
    <t>AMAT</t>
  </si>
  <si>
    <t>Applied Materials Inc. Common Stock</t>
  </si>
  <si>
    <t>Consumer Electronics/Appliances</t>
  </si>
  <si>
    <t>General Electric Company Common Stock</t>
  </si>
  <si>
    <t>SPGI</t>
  </si>
  <si>
    <t>Finance: Consumer Services</t>
  </si>
  <si>
    <t>S&amp;P Global Inc. Common Stock</t>
  </si>
  <si>
    <t>MS</t>
  </si>
  <si>
    <t>Investment Bankers/Brokers/Service</t>
  </si>
  <si>
    <t>Morgan Stanley Common Stock</t>
  </si>
  <si>
    <t>HON</t>
  </si>
  <si>
    <t>Aerospace</t>
  </si>
  <si>
    <t>Honeywell International Inc. Common Stock</t>
  </si>
  <si>
    <t>CAT</t>
  </si>
  <si>
    <t>Construction/Ag Equipment/Trucks</t>
  </si>
  <si>
    <t>Caterpillar Inc. Common Stock</t>
  </si>
  <si>
    <t>UL</t>
  </si>
  <si>
    <t>Unilever PLC Common Stock</t>
  </si>
  <si>
    <t>Isle of Man</t>
  </si>
  <si>
    <t>RYAAY</t>
  </si>
  <si>
    <t>Air Freight/Delivery Services</t>
  </si>
  <si>
    <t>Ryanair Holdings plc American Depositary Shares</t>
  </si>
  <si>
    <t>Germany</t>
  </si>
  <si>
    <t>SBUX</t>
  </si>
  <si>
    <t>Starbucks Corporation Common Stock</t>
  </si>
  <si>
    <t>BA</t>
  </si>
  <si>
    <t>Boeing Company (The) Common Stock</t>
  </si>
  <si>
    <t>RTX</t>
  </si>
  <si>
    <t>RTX Corporation Common Stock</t>
  </si>
  <si>
    <t>RY</t>
  </si>
  <si>
    <t>Royal Bank Of Canada Common Stock</t>
  </si>
  <si>
    <t>UPS</t>
  </si>
  <si>
    <t>Trucking Freight/Courier Services</t>
  </si>
  <si>
    <t>United Parcel Service Inc. Common Stock</t>
  </si>
  <si>
    <t>SNY</t>
  </si>
  <si>
    <t>Sanofi ADS</t>
  </si>
  <si>
    <t>NEE</t>
  </si>
  <si>
    <t>Electric Utilities: Central</t>
  </si>
  <si>
    <t>NextEra Energy Inc. Common Stock</t>
  </si>
  <si>
    <t>AXP</t>
  </si>
  <si>
    <t>American Express Company Common Stock</t>
  </si>
  <si>
    <t>LOW</t>
  </si>
  <si>
    <t>Lowe's Companies Inc. Common Stock</t>
  </si>
  <si>
    <t>T</t>
  </si>
  <si>
    <t>AT&amp;T Inc.</t>
  </si>
  <si>
    <t>LMT</t>
  </si>
  <si>
    <t>Military/Government/Technical</t>
  </si>
  <si>
    <t>Lockheed Martin Corporation Common Stock</t>
  </si>
  <si>
    <t>TD</t>
  </si>
  <si>
    <t>Toronto Dominion Bank (The) Common Stock</t>
  </si>
  <si>
    <t>SONY</t>
  </si>
  <si>
    <t>Sony Group Corporation American Depositary Shares</t>
  </si>
  <si>
    <t>Malaysia</t>
  </si>
  <si>
    <t>DE</t>
  </si>
  <si>
    <t>Deere &amp; Company Common Stock</t>
  </si>
  <si>
    <t>ELV</t>
  </si>
  <si>
    <t>Elevance Health Inc. Common Stock</t>
  </si>
  <si>
    <t>BKNG</t>
  </si>
  <si>
    <t>Transportation Services</t>
  </si>
  <si>
    <t>Booking Holdings Inc. Common Stock</t>
  </si>
  <si>
    <t>RIO</t>
  </si>
  <si>
    <t>Rio Tinto Plc Common Stock</t>
  </si>
  <si>
    <t>GS</t>
  </si>
  <si>
    <t>Goldman Sachs Group Inc. (The) Common Stock</t>
  </si>
  <si>
    <t>UBER</t>
  </si>
  <si>
    <t>Uber Technologies Inc. Common Stock</t>
  </si>
  <si>
    <t>HDB</t>
  </si>
  <si>
    <t>HDFC Bank Limited Common Stock</t>
  </si>
  <si>
    <t>MUFG</t>
  </si>
  <si>
    <t>Mitsubishi UFJ Financial Group Inc. Common Stock</t>
  </si>
  <si>
    <t>BCS</t>
  </si>
  <si>
    <t>Barclays PLC Common Stock</t>
  </si>
  <si>
    <t>TJX</t>
  </si>
  <si>
    <t>Clothing/Shoe/Accessory Stores</t>
  </si>
  <si>
    <t>TJX Companies Inc. (The) Common Stock</t>
  </si>
  <si>
    <t>SYK</t>
  </si>
  <si>
    <t>Stryker Corporation Common Stock</t>
  </si>
  <si>
    <t>BUD</t>
  </si>
  <si>
    <t>Anheuser-Busch Inbev SA Sponsored ADR (Belgium)</t>
  </si>
  <si>
    <t>EQNR</t>
  </si>
  <si>
    <t>BMY</t>
  </si>
  <si>
    <t>Bristol-Myers Squibb Company Common Stock</t>
  </si>
  <si>
    <t>BP</t>
  </si>
  <si>
    <t>BP p.l.c. Common Stock</t>
  </si>
  <si>
    <t>Monaco</t>
  </si>
  <si>
    <t>PBR</t>
  </si>
  <si>
    <t>Petroleo Brasileiro S.A.- Petrobras Common Stock</t>
  </si>
  <si>
    <t>Singapore</t>
  </si>
  <si>
    <t>SCHW</t>
  </si>
  <si>
    <t>Charles Schwab Corporation (The) Common Stock</t>
  </si>
  <si>
    <t>BLK</t>
  </si>
  <si>
    <t>BlackRock Inc. Common Stock</t>
  </si>
  <si>
    <t>MMC</t>
  </si>
  <si>
    <t>Specialty Insurers</t>
  </si>
  <si>
    <t>Marsh &amp; McLennan Companies Inc. Common Stock</t>
  </si>
  <si>
    <t>AZN</t>
  </si>
  <si>
    <t>AstraZeneca PLC American Depositary Shares</t>
  </si>
  <si>
    <t>ISRG</t>
  </si>
  <si>
    <t>Intuitive Surgical Inc. Common Stock</t>
  </si>
  <si>
    <t>PLD</t>
  </si>
  <si>
    <t>Real Estate Investment Trusts</t>
  </si>
  <si>
    <t>Real Estate</t>
  </si>
  <si>
    <t>Prologis Inc. Common Stock</t>
  </si>
  <si>
    <t>VRTX</t>
  </si>
  <si>
    <t>Vertex Pharmaceuticals Incorporated Common Stock</t>
  </si>
  <si>
    <t>GILD</t>
  </si>
  <si>
    <t>Gilead Sciences Inc. Common Stock</t>
  </si>
  <si>
    <t>MDLZ</t>
  </si>
  <si>
    <t>Packaged Foods</t>
  </si>
  <si>
    <t>Mondelez International Inc. Class A Common Stock</t>
  </si>
  <si>
    <t>MDT</t>
  </si>
  <si>
    <t>Biotechnology: Electromedical &amp; Electrotherapeutic Apparatus</t>
  </si>
  <si>
    <t>Medtronic plc. Ordinary Shares</t>
  </si>
  <si>
    <t>ADP</t>
  </si>
  <si>
    <t>Automatic Data Processing Inc. Common Stock</t>
  </si>
  <si>
    <t>PGR</t>
  </si>
  <si>
    <t>Property-Casualty Insurers</t>
  </si>
  <si>
    <t>Progressive Corporation (The) Common Stock</t>
  </si>
  <si>
    <t>CB</t>
  </si>
  <si>
    <t>Chubb Limited Common Stock</t>
  </si>
  <si>
    <t>Chubb Limited  Common Stock</t>
  </si>
  <si>
    <t>LRCX</t>
  </si>
  <si>
    <t>Lam Research Corporation Common Stock</t>
  </si>
  <si>
    <t>ETN</t>
  </si>
  <si>
    <t>Eaton Corporation PLC Ordinary Shares</t>
  </si>
  <si>
    <t>CVS</t>
  </si>
  <si>
    <t>Retail-Drug Stores and Proprietary Stores</t>
  </si>
  <si>
    <t>CVS Health Corporation Common Stock</t>
  </si>
  <si>
    <t>REGN</t>
  </si>
  <si>
    <t>Regeneron Pharmaceuticals Inc. Common Stock</t>
  </si>
  <si>
    <t>ADI</t>
  </si>
  <si>
    <t>Analog Devices Inc. Common Stock</t>
  </si>
  <si>
    <t>CI</t>
  </si>
  <si>
    <t>The Cigna Group Common Stock</t>
  </si>
  <si>
    <t>AMT</t>
  </si>
  <si>
    <t>American Tower Corporation (REIT) Common Stock</t>
  </si>
  <si>
    <t>UBS</t>
  </si>
  <si>
    <t>UBS Group AG Registered Ordinary Shares</t>
  </si>
  <si>
    <t>MU</t>
  </si>
  <si>
    <t>Micron Technology Inc. Common Stock</t>
  </si>
  <si>
    <t>C</t>
  </si>
  <si>
    <t>Citigroup Inc. Common Stock</t>
  </si>
  <si>
    <t>DEO</t>
  </si>
  <si>
    <t>Diageo plc Common Stock</t>
  </si>
  <si>
    <t>IBN</t>
  </si>
  <si>
    <t>ICICI Bank Limited Common Stock</t>
  </si>
  <si>
    <t>SNPS</t>
  </si>
  <si>
    <t>Synopsys Inc. Common Stock</t>
  </si>
  <si>
    <t>SHOP</t>
  </si>
  <si>
    <t>Shopify Inc. Class A Subordinate Voting Shares</t>
  </si>
  <si>
    <t>PANW</t>
  </si>
  <si>
    <t>Palo Alto Networks Inc. Common Stock</t>
  </si>
  <si>
    <t>CME</t>
  </si>
  <si>
    <t>CME Group Inc. Class A Common Stock</t>
  </si>
  <si>
    <t>ZTS</t>
  </si>
  <si>
    <t>Zoetis Inc. Class A Common Stock</t>
  </si>
  <si>
    <t>ABNB</t>
  </si>
  <si>
    <t>Hotels/Resorts</t>
  </si>
  <si>
    <t>Airbnb Inc. Class A Common Stock</t>
  </si>
  <si>
    <t>SLB</t>
  </si>
  <si>
    <t>Oilfield Services/Equipment</t>
  </si>
  <si>
    <t>Schlumberger N.V. Common Stock</t>
  </si>
  <si>
    <t>BSX</t>
  </si>
  <si>
    <t>Boston Scientific Corporation Common Stock</t>
  </si>
  <si>
    <t>SO</t>
  </si>
  <si>
    <t>Power Generation</t>
  </si>
  <si>
    <t>Southern Company (The) Common Stock</t>
  </si>
  <si>
    <t>NTES</t>
  </si>
  <si>
    <t>NetEase Inc. American Depositary Shares</t>
  </si>
  <si>
    <t>FI</t>
  </si>
  <si>
    <t>Fiserv Inc. Common Stock</t>
  </si>
  <si>
    <t>KLAC</t>
  </si>
  <si>
    <t>Electronic Components</t>
  </si>
  <si>
    <t>KLA Corporation Common Stock</t>
  </si>
  <si>
    <t>CNI</t>
  </si>
  <si>
    <t>Canadian National Railway Company Common Stock</t>
  </si>
  <si>
    <t>EQIX</t>
  </si>
  <si>
    <t>Equinix Inc. Common Stock REIT</t>
  </si>
  <si>
    <t>EOG</t>
  </si>
  <si>
    <t>EOG Resources Inc. Common Stock</t>
  </si>
  <si>
    <t>CDNS</t>
  </si>
  <si>
    <t>Cadence Design Systems Inc. Common Stock</t>
  </si>
  <si>
    <t>ENB</t>
  </si>
  <si>
    <t>Enbridge Inc Common Stock</t>
  </si>
  <si>
    <t>MO</t>
  </si>
  <si>
    <t>Altria Group Inc.</t>
  </si>
  <si>
    <t>GSK</t>
  </si>
  <si>
    <t>GSK plc American Depositary Shares (Each representing two Ordinary Shares)</t>
  </si>
  <si>
    <t>CNQ</t>
  </si>
  <si>
    <t>Canadian Natural Resources Limited Common Stock</t>
  </si>
  <si>
    <t>BX</t>
  </si>
  <si>
    <t>Investment Managers</t>
  </si>
  <si>
    <t>Blackstone Inc. Common Stock</t>
  </si>
  <si>
    <t>INFY</t>
  </si>
  <si>
    <t>Infosys Limited American Depositary Shares</t>
  </si>
  <si>
    <t>ITW</t>
  </si>
  <si>
    <t>Illinois Tool Works Inc. Common Stock</t>
  </si>
  <si>
    <t>NOC</t>
  </si>
  <si>
    <t>Northrop Grumman Corporation Common Stock</t>
  </si>
  <si>
    <t>VALE</t>
  </si>
  <si>
    <t>VALE S.A.  American Depositary Shares Each Representing one common share</t>
  </si>
  <si>
    <t>VALE S.A. American Depositary Shares Each Representing one common share</t>
  </si>
  <si>
    <t>MELI</t>
  </si>
  <si>
    <t>MercadoLibre Inc. Common Stock</t>
  </si>
  <si>
    <t>WM</t>
  </si>
  <si>
    <t>Waste Management Inc. Common Stock</t>
  </si>
  <si>
    <t>RTO</t>
  </si>
  <si>
    <t>Other Consumer Services</t>
  </si>
  <si>
    <t>Rentokil Initial plc American Depositary Shares (each representing five (5) Ordinary Shares)</t>
  </si>
  <si>
    <t>RELX</t>
  </si>
  <si>
    <t>RELX PLC PLC American Depositary Shares (Each representing One Ordinary Share)</t>
  </si>
  <si>
    <t>France</t>
  </si>
  <si>
    <t>BDX</t>
  </si>
  <si>
    <t>Becton Dickinson and Company Common Stock</t>
  </si>
  <si>
    <t>DUK</t>
  </si>
  <si>
    <t>Duke Energy Corporation (Holding Company) Common Stock</t>
  </si>
  <si>
    <t>BTI</t>
  </si>
  <si>
    <t>British American Tobacco Industries p.l.c. Common Stock ADR</t>
  </si>
  <si>
    <t>British American Tobacco  Industries p.l.c. Common Stock ADR</t>
  </si>
  <si>
    <t>AON</t>
  </si>
  <si>
    <t>Aon plc Class A Ordinary Shares (Ireland)</t>
  </si>
  <si>
    <t>GD</t>
  </si>
  <si>
    <t>Marine Transportation</t>
  </si>
  <si>
    <t>General Dynamics Corporation Common Stock</t>
  </si>
  <si>
    <t>CP</t>
  </si>
  <si>
    <t>Canadian Pacific Kansas City Limited Common Shares</t>
  </si>
  <si>
    <t>RACE</t>
  </si>
  <si>
    <t>Ferrari N.V. Common Shares</t>
  </si>
  <si>
    <t>Curacao</t>
  </si>
  <si>
    <t>SHW</t>
  </si>
  <si>
    <t>Sherwin-Williams Company (The) Common Stock</t>
  </si>
  <si>
    <t>Greece</t>
  </si>
  <si>
    <t>VMW</t>
  </si>
  <si>
    <t>Vmware Inc. Common stock Class A</t>
  </si>
  <si>
    <t>ANET</t>
  </si>
  <si>
    <t>Arista Networks Inc. Common Stock</t>
  </si>
  <si>
    <t>SMFG</t>
  </si>
  <si>
    <t>Sumitomo Mitsui Financial Group Inc Unsponsored American Depositary Shares (Japan)</t>
  </si>
  <si>
    <t>MCO</t>
  </si>
  <si>
    <t>Moody's Corporation Common Stock</t>
  </si>
  <si>
    <t>ICE</t>
  </si>
  <si>
    <t>Intercontinental Exchange Inc. Common Stock</t>
  </si>
  <si>
    <t>SAN</t>
  </si>
  <si>
    <t>Banco Santander S.A. Sponsored ADR (Spain)</t>
  </si>
  <si>
    <t>MCK</t>
  </si>
  <si>
    <t>Other Pharmaceuticals</t>
  </si>
  <si>
    <t>McKesson Corporation Common Stock</t>
  </si>
  <si>
    <t>HCA</t>
  </si>
  <si>
    <t>Hospital/Nursing Management</t>
  </si>
  <si>
    <t>HCA Healthcare Inc. Common Stock</t>
  </si>
  <si>
    <t>CL</t>
  </si>
  <si>
    <t>Colgate-Palmolive Company Common Stock</t>
  </si>
  <si>
    <t>TRI</t>
  </si>
  <si>
    <t>Publishing</t>
  </si>
  <si>
    <t>Thomson Reuters Corp Common Shares</t>
  </si>
  <si>
    <t>FDX</t>
  </si>
  <si>
    <t>FedEx Corporation Common Stock</t>
  </si>
  <si>
    <t>STLA</t>
  </si>
  <si>
    <t>Stellantis N.V. Common Shares</t>
  </si>
  <si>
    <t>Hong Kong</t>
  </si>
  <si>
    <t>HUM</t>
  </si>
  <si>
    <t>Humana Inc. Common Stock</t>
  </si>
  <si>
    <t>CSX</t>
  </si>
  <si>
    <t>CSX Corporation Common Stock</t>
  </si>
  <si>
    <t>CHTR</t>
  </si>
  <si>
    <t>Charter Communications Inc. Class A Common Stock New</t>
  </si>
  <si>
    <t>WDAY</t>
  </si>
  <si>
    <t>Workday Inc. Class A Common Stock</t>
  </si>
  <si>
    <t>ITUB</t>
  </si>
  <si>
    <t>Itau Unibanco Banco Holding SA American Depositary Shares (Each repstg 500 Preferred shares)</t>
  </si>
  <si>
    <t>PYPL</t>
  </si>
  <si>
    <t>PayPal Holdings Inc. Common Stock</t>
  </si>
  <si>
    <t>APD</t>
  </si>
  <si>
    <t>Air Products and Chemicals Inc. Common Stock</t>
  </si>
  <si>
    <t>ORLY</t>
  </si>
  <si>
    <t>Auto &amp; Home Supply Stores</t>
  </si>
  <si>
    <t>O'Reilly Automotive Inc. Common Stock</t>
  </si>
  <si>
    <t>CMG</t>
  </si>
  <si>
    <t>Chipotle Mexican Grill Inc. Common Stock</t>
  </si>
  <si>
    <t>MAR</t>
  </si>
  <si>
    <t>Marriott International Class A Common Stock</t>
  </si>
  <si>
    <t>E</t>
  </si>
  <si>
    <t>ENI S.p.A. Common Stock</t>
  </si>
  <si>
    <t>MNST</t>
  </si>
  <si>
    <t>Monster Beverage Corporation</t>
  </si>
  <si>
    <t>HMC</t>
  </si>
  <si>
    <t>Honda Motor Company Ltd. Common Stock</t>
  </si>
  <si>
    <t>EPD</t>
  </si>
  <si>
    <t>Enterprise Products Partners L.P. Common Stock</t>
  </si>
  <si>
    <t>BMO</t>
  </si>
  <si>
    <t>Bank Of Montreal Common Stock</t>
  </si>
  <si>
    <t>ROP</t>
  </si>
  <si>
    <t>Roper Technologies Inc. Common Stock</t>
  </si>
  <si>
    <t>MPC</t>
  </si>
  <si>
    <t>Marathon Petroleum Corporation Common Stock</t>
  </si>
  <si>
    <t>TDG</t>
  </si>
  <si>
    <t>Transdigm Group Incorporated Common Stock</t>
  </si>
  <si>
    <t>AMX</t>
  </si>
  <si>
    <t>America Movil S.A.B. de C.V. American Depositary Shares (each representing the right to receive twenty (20) Series B Shares</t>
  </si>
  <si>
    <t>SCCO</t>
  </si>
  <si>
    <t>Southern Copper Corporation Common Stock</t>
  </si>
  <si>
    <t>KKR</t>
  </si>
  <si>
    <t>KKR &amp; Co. Inc. Common Stock</t>
  </si>
  <si>
    <t>PXD</t>
  </si>
  <si>
    <t>Pioneer Natural Resources Company Common Stock</t>
  </si>
  <si>
    <t>South Africa</t>
  </si>
  <si>
    <t>CTAS</t>
  </si>
  <si>
    <t>Apparel</t>
  </si>
  <si>
    <t>Cintas Corporation Common Stock</t>
  </si>
  <si>
    <t>PH</t>
  </si>
  <si>
    <t>Metal Fabrications</t>
  </si>
  <si>
    <t>Parker-Hannifin Corporation Common Stock</t>
  </si>
  <si>
    <t>OXY</t>
  </si>
  <si>
    <t>Occidental Petroleum Corporation Common Stock</t>
  </si>
  <si>
    <t>AJG</t>
  </si>
  <si>
    <t>Arthur J. Gallagher &amp; Co. Common Stock</t>
  </si>
  <si>
    <t>United Arab Emirates</t>
  </si>
  <si>
    <t>ARM</t>
  </si>
  <si>
    <t>Arm Holdings plc American Depositary Shares</t>
  </si>
  <si>
    <t>USB</t>
  </si>
  <si>
    <t>U.S. Bancorp Common Stock</t>
  </si>
  <si>
    <t>DELL</t>
  </si>
  <si>
    <t>Dell Technologies Inc. Class C Common Stock</t>
  </si>
  <si>
    <t>SNOW</t>
  </si>
  <si>
    <t>Snowflake Inc. Class A Common Stock</t>
  </si>
  <si>
    <t>BN</t>
  </si>
  <si>
    <t>Brookfield Corporation Class A Limited Voting Shares</t>
  </si>
  <si>
    <t>APH</t>
  </si>
  <si>
    <t>Electrical Products</t>
  </si>
  <si>
    <t>Amphenol Corporation Common Stock</t>
  </si>
  <si>
    <t>MSI</t>
  </si>
  <si>
    <t>Radio And Television Broadcasting And Communications Equipment</t>
  </si>
  <si>
    <t>Motorola Solutions Inc. Common Stock</t>
  </si>
  <si>
    <t>BNS</t>
  </si>
  <si>
    <t>Bank Nova Scotia Halifax Pfd 3 Ordinary Shares</t>
  </si>
  <si>
    <t>PFH</t>
  </si>
  <si>
    <t>Life Insurance</t>
  </si>
  <si>
    <t>Prudential Financial Inc. 4.125% Junior Subordinated Notes due 2060</t>
  </si>
  <si>
    <t>TT</t>
  </si>
  <si>
    <t>Auto Parts:O.E.M.</t>
  </si>
  <si>
    <t>Trane Technologies plc</t>
  </si>
  <si>
    <t>MMM</t>
  </si>
  <si>
    <t>3M Company Common Stock</t>
  </si>
  <si>
    <t>BBVA</t>
  </si>
  <si>
    <t>Banco Bilbao Vizcaya Argentaria S.A. Common Stock</t>
  </si>
  <si>
    <t>ECL</t>
  </si>
  <si>
    <t>Ecolab Inc. Common Stock</t>
  </si>
  <si>
    <t>LULU</t>
  </si>
  <si>
    <t>lululemon athletica inc. Common Stock</t>
  </si>
  <si>
    <t>TGT</t>
  </si>
  <si>
    <t>Target Corporation Common Stock</t>
  </si>
  <si>
    <t>PSX</t>
  </si>
  <si>
    <t>Phillips 66 Common Stock</t>
  </si>
  <si>
    <t>RSG</t>
  </si>
  <si>
    <t>Republic Services Inc. Common Stock</t>
  </si>
  <si>
    <t>EMR</t>
  </si>
  <si>
    <t>Emerson Electric Company Common Stock</t>
  </si>
  <si>
    <t>ING</t>
  </si>
  <si>
    <t>ING Group N.V. Common Stock</t>
  </si>
  <si>
    <t>FCX</t>
  </si>
  <si>
    <t>Freeport-McMoRan Inc. Common Stock</t>
  </si>
  <si>
    <t>Australia</t>
  </si>
  <si>
    <t>PCG</t>
  </si>
  <si>
    <t>Pacific Gas &amp; Electric Co. Common Stock</t>
  </si>
  <si>
    <t>APO</t>
  </si>
  <si>
    <t>Apollo Global Management Inc. (New) Common Stock</t>
  </si>
  <si>
    <t>NXPI</t>
  </si>
  <si>
    <t>NXP Semiconductors N.V. Common Stock</t>
  </si>
  <si>
    <t>PNC</t>
  </si>
  <si>
    <t>PNC Financial Services Group Inc. (The) Common Stock</t>
  </si>
  <si>
    <t>AZO</t>
  </si>
  <si>
    <t>AutoZone Inc. Common Stock</t>
  </si>
  <si>
    <t>AFL</t>
  </si>
  <si>
    <t>Accident &amp;Health Insurance</t>
  </si>
  <si>
    <t>AFLAC Incorporated Common Stock</t>
  </si>
  <si>
    <t>MRVL</t>
  </si>
  <si>
    <t>Marvell Technology Inc. Common Stock</t>
  </si>
  <si>
    <t>CRWD</t>
  </si>
  <si>
    <t>CrowdStrike Holdings Inc. Class A Common Stock</t>
  </si>
  <si>
    <t>WPP</t>
  </si>
  <si>
    <t>Advertising</t>
  </si>
  <si>
    <t>WPP plc American Depositary Shares</t>
  </si>
  <si>
    <t>CPRT</t>
  </si>
  <si>
    <t>Retail-Auto Dealers and Gas Stations</t>
  </si>
  <si>
    <t>Copart Inc. (DE) Common Stock</t>
  </si>
  <si>
    <t>PCAR</t>
  </si>
  <si>
    <t>PACCAR Inc. Common Stock</t>
  </si>
  <si>
    <t>WELL</t>
  </si>
  <si>
    <t>Welltower Inc. Common Stock</t>
  </si>
  <si>
    <t>TEAM</t>
  </si>
  <si>
    <t>Atlassian Corporation Class A Common Stock</t>
  </si>
  <si>
    <t>ADSK</t>
  </si>
  <si>
    <t>Autodesk Inc. Common Stock</t>
  </si>
  <si>
    <t>BSBR</t>
  </si>
  <si>
    <t>Banco Santander Brasil SA American Depositary Shares each representing one unit</t>
  </si>
  <si>
    <t>AIG</t>
  </si>
  <si>
    <t>American International Group Inc. New Common Stock</t>
  </si>
  <si>
    <t>MET</t>
  </si>
  <si>
    <t>MetLife Inc. Common Stock</t>
  </si>
  <si>
    <t>NSC</t>
  </si>
  <si>
    <t>Norfolk Southern Corporation Common Stock</t>
  </si>
  <si>
    <t>SRE</t>
  </si>
  <si>
    <t>Oil/Gas Transmission</t>
  </si>
  <si>
    <t>DBA Sempra Common Stock</t>
  </si>
  <si>
    <t>STZ</t>
  </si>
  <si>
    <t>Constellation Brands Inc. Common Stock</t>
  </si>
  <si>
    <t>HES</t>
  </si>
  <si>
    <t>Hess Corporation Common Stock</t>
  </si>
  <si>
    <t>Peru</t>
  </si>
  <si>
    <t>KDP</t>
  </si>
  <si>
    <t>Keurig Dr Pepper Inc. Common Stock</t>
  </si>
  <si>
    <t>CARR</t>
  </si>
  <si>
    <t>Carrier Global Corporation Common Stock</t>
  </si>
  <si>
    <t>SU</t>
  </si>
  <si>
    <t>Suncor Energy Inc. Common Stock</t>
  </si>
  <si>
    <t>PSA</t>
  </si>
  <si>
    <t>Public Storage Common Stock</t>
  </si>
  <si>
    <t>ODFL</t>
  </si>
  <si>
    <t>Old Dominion Freight Line Inc. Common Stock</t>
  </si>
  <si>
    <t>ABEV</t>
  </si>
  <si>
    <t>Ambev S.A. American Depositary Shares (Each representing 1 Common Share)</t>
  </si>
  <si>
    <t>AESC</t>
  </si>
  <si>
    <t>The AES Corporation Corporate Units</t>
  </si>
  <si>
    <t>PLTR</t>
  </si>
  <si>
    <t>Retail: Computer Software &amp; Peripheral Equipment</t>
  </si>
  <si>
    <t>Palantir Technologies Inc. Class A Common Stock</t>
  </si>
  <si>
    <t>TAK</t>
  </si>
  <si>
    <t>Takeda Pharmaceutical Company Limited American Depositary Shares (each representing 1/2 of a share of Common Stock)</t>
  </si>
  <si>
    <t>WMB</t>
  </si>
  <si>
    <t>Williams Companies Inc. (The) Common Stock</t>
  </si>
  <si>
    <t>CRH</t>
  </si>
  <si>
    <t>Building Materials</t>
  </si>
  <si>
    <t>CRH PLC Ordinary Shares</t>
  </si>
  <si>
    <t>MCHP</t>
  </si>
  <si>
    <t>Microchip Technology Incorporated Common Stock</t>
  </si>
  <si>
    <t>ROST</t>
  </si>
  <si>
    <t>Ross Stores Inc. Common Stock</t>
  </si>
  <si>
    <t>VLO</t>
  </si>
  <si>
    <t>Valero Energy Corporation Common Stock</t>
  </si>
  <si>
    <t>Sweden</t>
  </si>
  <si>
    <t>PAYX</t>
  </si>
  <si>
    <t>Diversified Commercial Services</t>
  </si>
  <si>
    <t>Paychex Inc. Common Stock</t>
  </si>
  <si>
    <t>NIMC</t>
  </si>
  <si>
    <t>NiSource Inc Series A Corporate Units</t>
  </si>
  <si>
    <t>DHI</t>
  </si>
  <si>
    <t>Homebuilding</t>
  </si>
  <si>
    <t>D.R. Horton Inc. Common Stock</t>
  </si>
  <si>
    <t>HLT</t>
  </si>
  <si>
    <t>Hilton Worldwide Holdings Inc. Common Stock</t>
  </si>
  <si>
    <t>CCI</t>
  </si>
  <si>
    <t>Crown Castle Inc. Common Stock</t>
  </si>
  <si>
    <t>MFG</t>
  </si>
  <si>
    <t>Mizuho Financial Group Inc. Sponosred ADR (Japan)</t>
  </si>
  <si>
    <t>ET</t>
  </si>
  <si>
    <t>Energy Transfer LP Common Units</t>
  </si>
  <si>
    <t>EL</t>
  </si>
  <si>
    <t>Estee Lauder Companies Inc. (The) Common Stock</t>
  </si>
  <si>
    <t>LNG</t>
  </si>
  <si>
    <t>Cheniere Energy Inc. Common Stock</t>
  </si>
  <si>
    <t>AMEX</t>
  </si>
  <si>
    <t>AEP</t>
  </si>
  <si>
    <t>American Electric Power Company Inc. Common Stock</t>
  </si>
  <si>
    <t>KMB</t>
  </si>
  <si>
    <t>Containers/Packaging</t>
  </si>
  <si>
    <t>Kimberly-Clark Corporation Common Stock</t>
  </si>
  <si>
    <t>MSCI</t>
  </si>
  <si>
    <t>MSCI Inc. Common Stock</t>
  </si>
  <si>
    <t>JD</t>
  </si>
  <si>
    <t>Other Specialty Stores</t>
  </si>
  <si>
    <t>JD.com Inc. American Depositary Shares</t>
  </si>
  <si>
    <t>KHC</t>
  </si>
  <si>
    <t>The Kraft Heinz Company Common Stock</t>
  </si>
  <si>
    <t>SGEN</t>
  </si>
  <si>
    <t>Seagen Inc. Common Stock</t>
  </si>
  <si>
    <t>COR</t>
  </si>
  <si>
    <t>Cencora Inc. Common Stock</t>
  </si>
  <si>
    <t>COF</t>
  </si>
  <si>
    <t>Capital One Financial Corporation Common Stock</t>
  </si>
  <si>
    <t>TEL</t>
  </si>
  <si>
    <t>TE Connectivity Ltd. New Switzerland Registered Shares</t>
  </si>
  <si>
    <t>F</t>
  </si>
  <si>
    <t>Ford Motor Company Common Stock</t>
  </si>
  <si>
    <t>GWW</t>
  </si>
  <si>
    <t>Office Equipment/Supplies/Services</t>
  </si>
  <si>
    <t>W.W. Grainger Inc. Common Stock</t>
  </si>
  <si>
    <t>EXC</t>
  </si>
  <si>
    <t>Exelon Corporation Common Stock</t>
  </si>
  <si>
    <t>TFC</t>
  </si>
  <si>
    <t>Truist Financial Corporation Common Stock</t>
  </si>
  <si>
    <t>HSY</t>
  </si>
  <si>
    <t>Specialty Foods</t>
  </si>
  <si>
    <t>The Hershey Company Common Stock</t>
  </si>
  <si>
    <t>FTNT</t>
  </si>
  <si>
    <t>Fortinet Inc. Common Stock</t>
  </si>
  <si>
    <t>DLR</t>
  </si>
  <si>
    <t>Digital Realty Trust Inc. Common Stock</t>
  </si>
  <si>
    <t>EW</t>
  </si>
  <si>
    <t>Industrial Specialties</t>
  </si>
  <si>
    <t>Edwards Lifesciences Corporation Common Stock</t>
  </si>
  <si>
    <t>CEG</t>
  </si>
  <si>
    <t>Constellation Energy Corporation Common Stock</t>
  </si>
  <si>
    <t>WDS</t>
  </si>
  <si>
    <t>Woodside Energy Group Limited American Depositary Shares each representing one Ordinary Share</t>
  </si>
  <si>
    <t>TRV</t>
  </si>
  <si>
    <t>The Travelers Companies Inc. Common Stock</t>
  </si>
  <si>
    <t>ADM</t>
  </si>
  <si>
    <t>Archer-Daniels-Midland Company Common Stock</t>
  </si>
  <si>
    <t>CNC</t>
  </si>
  <si>
    <t>Centene Corporation Common Stock</t>
  </si>
  <si>
    <t>LI</t>
  </si>
  <si>
    <t>Li Auto Inc. American Depositary Shares</t>
  </si>
  <si>
    <t>GIS</t>
  </si>
  <si>
    <t>General Mills Inc. Common Stock</t>
  </si>
  <si>
    <t>STM</t>
  </si>
  <si>
    <t>STMicroelectronics N.V. Common Stock</t>
  </si>
  <si>
    <t>SPG</t>
  </si>
  <si>
    <t>Simon Property Group Inc. Common Stock</t>
  </si>
  <si>
    <t>D</t>
  </si>
  <si>
    <t>Dominion Energy Inc. Common Stock</t>
  </si>
  <si>
    <t>NUE</t>
  </si>
  <si>
    <t>Steel/Iron Ore</t>
  </si>
  <si>
    <t>Nucor Corporation Common Stock</t>
  </si>
  <si>
    <t>OKE</t>
  </si>
  <si>
    <t>ONEOK Inc. Common Stock</t>
  </si>
  <si>
    <t>HLN</t>
  </si>
  <si>
    <t>Haleon plc American Depositary Shares (Each representing two Ordinary Shares)</t>
  </si>
  <si>
    <t>BIDU</t>
  </si>
  <si>
    <t>Baidu Inc. ADS</t>
  </si>
  <si>
    <t>TRP</t>
  </si>
  <si>
    <t>TC Energy Corporation Common Stock</t>
  </si>
  <si>
    <t>GM</t>
  </si>
  <si>
    <t>General Motors Company Common Stock</t>
  </si>
  <si>
    <t>KVUE</t>
  </si>
  <si>
    <t>Specialty Chemicals</t>
  </si>
  <si>
    <t>Kenvue Inc. Common Stock</t>
  </si>
  <si>
    <t>KMI</t>
  </si>
  <si>
    <t>Kinder Morgan Inc. Common Stock</t>
  </si>
  <si>
    <t>LVS</t>
  </si>
  <si>
    <t>Las Vegas Sands Corp. Common Stock</t>
  </si>
  <si>
    <t>ALC</t>
  </si>
  <si>
    <t>Ophthalmic Goods</t>
  </si>
  <si>
    <t>Alcon Inc. Ordinary Shares</t>
  </si>
  <si>
    <t>DXCM</t>
  </si>
  <si>
    <t>DexCom Inc. Common Stock</t>
  </si>
  <si>
    <t>O</t>
  </si>
  <si>
    <t>Realty Income Corporation Common Stock</t>
  </si>
  <si>
    <t>IQV</t>
  </si>
  <si>
    <t>Biotechnology: Commercial Physical &amp; Biological Resarch</t>
  </si>
  <si>
    <t>IQVIA Holdings Inc. Common Stock</t>
  </si>
  <si>
    <t>EA</t>
  </si>
  <si>
    <t>Electronic Arts Inc. Common Stock</t>
  </si>
  <si>
    <t>IDXX</t>
  </si>
  <si>
    <t>Biotechnology: In Vitro &amp; In Vivo Diagnostic Substances</t>
  </si>
  <si>
    <t>IDEXX Laboratories Inc. Common Stock</t>
  </si>
  <si>
    <t>YUM</t>
  </si>
  <si>
    <t>Yum! Brands Inc.</t>
  </si>
  <si>
    <t>MPLX</t>
  </si>
  <si>
    <t>MPLX LP Common Units Representing Limited Partner Interests</t>
  </si>
  <si>
    <t>BCE</t>
  </si>
  <si>
    <t>BCE Inc. Common Stock</t>
  </si>
  <si>
    <t>BK</t>
  </si>
  <si>
    <t>The Bank of New York Mellon Corporation Common Stock</t>
  </si>
  <si>
    <t>JCI</t>
  </si>
  <si>
    <t>Johnson Controls International plc Ordinary Share</t>
  </si>
  <si>
    <t>DoorDash Inc. Class A Common Stock</t>
  </si>
  <si>
    <t>CM</t>
  </si>
  <si>
    <t>Canadian Imperial Bank of Commerce Common Stock</t>
  </si>
  <si>
    <t>AME</t>
  </si>
  <si>
    <t>AMETEK Inc.</t>
  </si>
  <si>
    <t>LEN</t>
  </si>
  <si>
    <t>Lennar Corporation Class A Common Stock</t>
  </si>
  <si>
    <t>DOW</t>
  </si>
  <si>
    <t>Dow Inc. Common Stock</t>
  </si>
  <si>
    <t>BKR</t>
  </si>
  <si>
    <t>Baker Hughes Company Class A Common Stock</t>
  </si>
  <si>
    <t>LHX</t>
  </si>
  <si>
    <t>L3Harris Technologies Inc. Common Stock</t>
  </si>
  <si>
    <t>VRSK</t>
  </si>
  <si>
    <t>Verisk Analytics Inc. Common Stock</t>
  </si>
  <si>
    <t>FAST</t>
  </si>
  <si>
    <t>Fastenal Company Common Stock</t>
  </si>
  <si>
    <t>HAL</t>
  </si>
  <si>
    <t>Halliburton Company Common Stock</t>
  </si>
  <si>
    <t>MFC</t>
  </si>
  <si>
    <t>Manulife Financial Corporation Common Stock</t>
  </si>
  <si>
    <t>ALL</t>
  </si>
  <si>
    <t>Allstate Corporation (The) Common Stock</t>
  </si>
  <si>
    <t>CVE</t>
  </si>
  <si>
    <t>Cenovus Energy Inc Common Stock</t>
  </si>
  <si>
    <t>DDOG</t>
  </si>
  <si>
    <t>Datadog Inc. Class A Common Stock</t>
  </si>
  <si>
    <t>AMP</t>
  </si>
  <si>
    <t>Ameriprise Financial Inc. Common Stock</t>
  </si>
  <si>
    <t>SYY</t>
  </si>
  <si>
    <t>Food Distributors</t>
  </si>
  <si>
    <t>Sysco Corporation Common Stock</t>
  </si>
  <si>
    <t>WCN</t>
  </si>
  <si>
    <t>Waste Connections Inc. Common Shares</t>
  </si>
  <si>
    <t>OTIS</t>
  </si>
  <si>
    <t>Otis Worldwide Corporation Common Stock</t>
  </si>
  <si>
    <t>PRU</t>
  </si>
  <si>
    <t>Prudential Financial Inc. Common Stock</t>
  </si>
  <si>
    <t>ARES</t>
  </si>
  <si>
    <t>Ares Management Corporation Class A Common Stock</t>
  </si>
  <si>
    <t>CTSH</t>
  </si>
  <si>
    <t>Cognizant Technology Solutions Corporation Class A Common Stock</t>
  </si>
  <si>
    <t>SPOT</t>
  </si>
  <si>
    <t>Broadcasting</t>
  </si>
  <si>
    <t>Spotify Technology S.A. Ordinary Shares</t>
  </si>
  <si>
    <t>BBD</t>
  </si>
  <si>
    <t>Banco Bradesco Sa American Depositary Shares</t>
  </si>
  <si>
    <t>IMO</t>
  </si>
  <si>
    <t>Imperial Oil Limited Common Stock</t>
  </si>
  <si>
    <t>Puerto Rico</t>
  </si>
  <si>
    <t>XEL</t>
  </si>
  <si>
    <t>Xcel Energy Inc. Common Stock</t>
  </si>
  <si>
    <t>FERG</t>
  </si>
  <si>
    <t>Miscellaneous</t>
  </si>
  <si>
    <t>Ferguson plc Ordinary Shares</t>
  </si>
  <si>
    <t>BIIB</t>
  </si>
  <si>
    <t>Biogen Inc. Common Stock</t>
  </si>
  <si>
    <t>CSGP</t>
  </si>
  <si>
    <t>CoStar Group Inc. Common Stock</t>
  </si>
  <si>
    <t>IT</t>
  </si>
  <si>
    <t>Gartner Inc. Common Stock</t>
  </si>
  <si>
    <t>ACGL</t>
  </si>
  <si>
    <t>Arch Capital Group Ltd. Common Stock</t>
  </si>
  <si>
    <t>SATX</t>
  </si>
  <si>
    <t>SatixFy Communications Ltd. Ordinary Share</t>
  </si>
  <si>
    <t>A</t>
  </si>
  <si>
    <t>Agilent Technologies Inc. Common Stock</t>
  </si>
  <si>
    <t>GEHC</t>
  </si>
  <si>
    <t>GE HealthCare Technologies Inc. Common Stock</t>
  </si>
  <si>
    <t>SQ</t>
  </si>
  <si>
    <t>Block Inc. Class A Common Stock</t>
  </si>
  <si>
    <t>KR</t>
  </si>
  <si>
    <t>Food Chains</t>
  </si>
  <si>
    <t>Kroger Company (The) Common Stock</t>
  </si>
  <si>
    <t>Jersey</t>
  </si>
  <si>
    <t>ORAN</t>
  </si>
  <si>
    <t>Orange</t>
  </si>
  <si>
    <t>TTD</t>
  </si>
  <si>
    <t>The Trade Desk Inc. Class A Common Stock</t>
  </si>
  <si>
    <t>FIS</t>
  </si>
  <si>
    <t>Fidelity National Information Services Inc. Common Stock</t>
  </si>
  <si>
    <t>CMI</t>
  </si>
  <si>
    <t>Cummins Inc. Common Stock</t>
  </si>
  <si>
    <t>URI</t>
  </si>
  <si>
    <t>United Rentals Inc. Common Stock</t>
  </si>
  <si>
    <t>CTVA</t>
  </si>
  <si>
    <t>Farming/Seeds/Milling</t>
  </si>
  <si>
    <t>Corteva Inc. Common Stock</t>
  </si>
  <si>
    <t>ED</t>
  </si>
  <si>
    <t>Consolidated Edison Inc. Common Stock</t>
  </si>
  <si>
    <t>PEG</t>
  </si>
  <si>
    <t>Public Service Enterprise Group Incorporated Common Stock</t>
  </si>
  <si>
    <t>NU</t>
  </si>
  <si>
    <t>Nu Holdings Ltd. Class A Ordinary Shares</t>
  </si>
  <si>
    <t>LYB</t>
  </si>
  <si>
    <t>LyondellBasell Industries NV Ordinary Shares Class A (Netherlands)</t>
  </si>
  <si>
    <t>PPG</t>
  </si>
  <si>
    <t>Paints/Coatings</t>
  </si>
  <si>
    <t>PPG Industries Inc. Common Stock</t>
  </si>
  <si>
    <t>PUK</t>
  </si>
  <si>
    <t>Prudential Public Limited Company Common Stock</t>
  </si>
  <si>
    <t>DKNG</t>
  </si>
  <si>
    <t>DraftKings Inc. Class A Common Stock</t>
  </si>
  <si>
    <t>NDAQ</t>
  </si>
  <si>
    <t>Nasdaq Inc. Common Stock</t>
  </si>
  <si>
    <t>BBDO</t>
  </si>
  <si>
    <t>Banco Bradesco Sa American Depositary Shares (each representing one Common Share)</t>
  </si>
  <si>
    <t>ROK</t>
  </si>
  <si>
    <t>Rockwell Automation Inc. Common Stock</t>
  </si>
  <si>
    <t>DD</t>
  </si>
  <si>
    <t>DuPont de Nemours Inc. Common Stock</t>
  </si>
  <si>
    <t>VICI</t>
  </si>
  <si>
    <t>VICI Properties Inc. Common Stock</t>
  </si>
  <si>
    <t>DVN</t>
  </si>
  <si>
    <t>Devon Energy Corporation Common Stock</t>
  </si>
  <si>
    <t>ON</t>
  </si>
  <si>
    <t>ON Semiconductor Corporation Common Stock</t>
  </si>
  <si>
    <t>GFS</t>
  </si>
  <si>
    <t>GlobalFoundries Inc. Ordinary Shares</t>
  </si>
  <si>
    <t>GPN</t>
  </si>
  <si>
    <t>Global Payments Inc. Common Stock</t>
  </si>
  <si>
    <t>CDW</t>
  </si>
  <si>
    <t>CDW Corporation Common Stock</t>
  </si>
  <si>
    <t>FANG</t>
  </si>
  <si>
    <t>Diamondback Energy Inc. Common Stock</t>
  </si>
  <si>
    <t>VMC</t>
  </si>
  <si>
    <t>Mining &amp; Quarrying of Nonmetallic Minerals (No Fuels)</t>
  </si>
  <si>
    <t>Vulcan Materials Company (Holding Company) Common Stock</t>
  </si>
  <si>
    <t>HBANM</t>
  </si>
  <si>
    <t>Huntington Bancshares Incorporated Depositary Shares each representing a 1/1000th interest in a share of Huntington Series I Preferred Stock</t>
  </si>
  <si>
    <t>MLM</t>
  </si>
  <si>
    <t>Martin Marietta Materials Inc. Common Stock</t>
  </si>
  <si>
    <t>SLF</t>
  </si>
  <si>
    <t>Sun Life Financial Inc. Common Stock</t>
  </si>
  <si>
    <t>CCEP</t>
  </si>
  <si>
    <t>Coca-Cola Europacific Partners plc Ordinary Shares</t>
  </si>
  <si>
    <t>CHT</t>
  </si>
  <si>
    <t>Chunghwa Telecom Co. Ltd.</t>
  </si>
  <si>
    <t>IR</t>
  </si>
  <si>
    <t>Ingersoll Rand Inc. Common Stock</t>
  </si>
  <si>
    <t>CPNG</t>
  </si>
  <si>
    <t>Durable Goods</t>
  </si>
  <si>
    <t>Coupang Inc. Class A Common Stock</t>
  </si>
  <si>
    <t>VOD</t>
  </si>
  <si>
    <t>Vodafone Group Plc American Depositary Shares</t>
  </si>
  <si>
    <t>HPQ</t>
  </si>
  <si>
    <t>HP Inc. Common Stock</t>
  </si>
  <si>
    <t>CQP</t>
  </si>
  <si>
    <t>Cheniere Energy Partners LP Common Units</t>
  </si>
  <si>
    <t>NEM</t>
  </si>
  <si>
    <t>Precious Metals</t>
  </si>
  <si>
    <t>ARGX</t>
  </si>
  <si>
    <t>argenx SE American Depositary Shares</t>
  </si>
  <si>
    <t>MDB</t>
  </si>
  <si>
    <t>MongoDB Inc. Class A Common Stock</t>
  </si>
  <si>
    <t>GOLD</t>
  </si>
  <si>
    <t>Barrick Gold Corporation Common Stock (BC)</t>
  </si>
  <si>
    <t>MRNA</t>
  </si>
  <si>
    <t>Moderna Inc. Common Stock</t>
  </si>
  <si>
    <t>VEEV</t>
  </si>
  <si>
    <t>Veeva Systems Inc. Class A Common Stock</t>
  </si>
  <si>
    <t>NTR</t>
  </si>
  <si>
    <t>Agricultural Chemicals</t>
  </si>
  <si>
    <t>Nutrien Ltd. Common Shares</t>
  </si>
  <si>
    <t>PKX</t>
  </si>
  <si>
    <t>POSCO Holdings Inc. American Depositary Shares (Each representing 1/4th of a share of Common Stock)</t>
  </si>
  <si>
    <t>DG</t>
  </si>
  <si>
    <t>Dollar General Corporation Common Stock</t>
  </si>
  <si>
    <t>ZS</t>
  </si>
  <si>
    <t>Zscaler Inc. Common Stock</t>
  </si>
  <si>
    <t>FMX</t>
  </si>
  <si>
    <t>Fomento Economico Mexicano S.A.B. de C.V. Common Stock</t>
  </si>
  <si>
    <t>SE</t>
  </si>
  <si>
    <t>Sea Limited American Depositary Shares each representing one Class A Ordinary Share</t>
  </si>
  <si>
    <t>CAH</t>
  </si>
  <si>
    <t>Cardinal Health Inc. Common Stock</t>
  </si>
  <si>
    <t>WEC</t>
  </si>
  <si>
    <t>WEC Energy Group Inc. Common Stock</t>
  </si>
  <si>
    <t>ANSS</t>
  </si>
  <si>
    <t>ANSYS Inc. Common Stock</t>
  </si>
  <si>
    <t>PWR</t>
  </si>
  <si>
    <t>Engineering &amp; Construction</t>
  </si>
  <si>
    <t>Quanta Services Inc. Common Stock</t>
  </si>
  <si>
    <t>WST</t>
  </si>
  <si>
    <t>West Pharmaceutical Services Inc. Common Stock</t>
  </si>
  <si>
    <t>EXR</t>
  </si>
  <si>
    <t>Extra Space Storage Inc Common Stock</t>
  </si>
  <si>
    <t>TTWO</t>
  </si>
  <si>
    <t>Take-Two Interactive Software Inc. Common Stock</t>
  </si>
  <si>
    <t>DLTR</t>
  </si>
  <si>
    <t>Dollar Tree Inc. Common Stock</t>
  </si>
  <si>
    <t>TU</t>
  </si>
  <si>
    <t>Telus Corporation Ordinary Shares</t>
  </si>
  <si>
    <t>WIT</t>
  </si>
  <si>
    <t>Wipro Limited Common Stock</t>
  </si>
  <si>
    <t>WTW</t>
  </si>
  <si>
    <t>Willis Towers Watson Public Limited Company Ordinary Shares</t>
  </si>
  <si>
    <t>ELP</t>
  </si>
  <si>
    <t>Companhia Paranaense de Energia (COPEL) American Depositary Shares (each representing one Unit consisting one Common Share and four non-voting Class B Preferred Shares)</t>
  </si>
  <si>
    <t>WBD</t>
  </si>
  <si>
    <t>Warner Bros. Discovery Inc. Series A Common Stock</t>
  </si>
  <si>
    <t>SPLK</t>
  </si>
  <si>
    <t>Splunk Inc. Common Stock</t>
  </si>
  <si>
    <t>FICO</t>
  </si>
  <si>
    <t>Fair Isaac Corproation Common Stock</t>
  </si>
  <si>
    <t>EIX</t>
  </si>
  <si>
    <t>Edison International Common Stock</t>
  </si>
  <si>
    <t>RCL</t>
  </si>
  <si>
    <t>Royal Caribbean Cruises Ltd. Common Stock</t>
  </si>
  <si>
    <t>Denmark</t>
  </si>
  <si>
    <t>BNH</t>
  </si>
  <si>
    <t>Building operators</t>
  </si>
  <si>
    <t>Brookfield Finance Inc. 4.625% Subordinated Notes due October 16 2080</t>
  </si>
  <si>
    <t>MPWR</t>
  </si>
  <si>
    <t>Monolithic Power Systems Inc. Common Stock</t>
  </si>
  <si>
    <t>EC</t>
  </si>
  <si>
    <t>Ecopetrol S.A. American Depositary Shares</t>
  </si>
  <si>
    <t>AWK</t>
  </si>
  <si>
    <t>Water Supply</t>
  </si>
  <si>
    <t>American Water Works Company Inc. Common Stock</t>
  </si>
  <si>
    <t>BNTX</t>
  </si>
  <si>
    <t>BioNTech SE American Depositary Share</t>
  </si>
  <si>
    <t>RBLX</t>
  </si>
  <si>
    <t>Roblox Corporation Class A Common Stock</t>
  </si>
  <si>
    <t>HBANP</t>
  </si>
  <si>
    <t>Huntington Bancshares Incorporated Depositary Shares 4.500% Series H Non-Cumulative Perpetual Preferred Stock</t>
  </si>
  <si>
    <t>AVB</t>
  </si>
  <si>
    <t>AvalonBay Communities Inc. Common Stock</t>
  </si>
  <si>
    <t>XYL</t>
  </si>
  <si>
    <t>Fluid Controls</t>
  </si>
  <si>
    <t>Xylem Inc. Common Stock New</t>
  </si>
  <si>
    <t>SBAC</t>
  </si>
  <si>
    <t>SBA Communications Corporation Class A Common Stock</t>
  </si>
  <si>
    <t>GLW</t>
  </si>
  <si>
    <t>Corning Incorporated Common Stock</t>
  </si>
  <si>
    <t>GIB</t>
  </si>
  <si>
    <t>Professional Services</t>
  </si>
  <si>
    <t>CGI Inc. Common Stock</t>
  </si>
  <si>
    <t>AEM</t>
  </si>
  <si>
    <t>Agnico Eagle Mines Limited Common Stock</t>
  </si>
  <si>
    <t>BNJ</t>
  </si>
  <si>
    <t>Brookfield Finance Inc. 4.50% Perpetual Subordinated Notes</t>
  </si>
  <si>
    <t>FTV</t>
  </si>
  <si>
    <t>Fortive Corporation Common Stock</t>
  </si>
  <si>
    <t>DB</t>
  </si>
  <si>
    <t>Deutsche Bank AG Common Stock</t>
  </si>
  <si>
    <t>FNV</t>
  </si>
  <si>
    <t>Franco-Nevada Corporation</t>
  </si>
  <si>
    <t>HEI</t>
  </si>
  <si>
    <t>Heico Corporation Common Stock</t>
  </si>
  <si>
    <t>MTD</t>
  </si>
  <si>
    <t>Biotechnology: Laboratory Analytical Instruments</t>
  </si>
  <si>
    <t>Mettler-Toledo International Inc. Common Stock</t>
  </si>
  <si>
    <t>EFX</t>
  </si>
  <si>
    <t>Equifax Inc. Common Stock</t>
  </si>
  <si>
    <t>TEF</t>
  </si>
  <si>
    <t>Telefonica SA Common Stock</t>
  </si>
  <si>
    <t>TLK</t>
  </si>
  <si>
    <t>PT Telekomunikasi Indonesia Tbk</t>
  </si>
  <si>
    <t>CBRE</t>
  </si>
  <si>
    <t>CBRE Group Inc Common Stock Class A</t>
  </si>
  <si>
    <t>IX</t>
  </si>
  <si>
    <t>Diversified Financial Services</t>
  </si>
  <si>
    <t>Orix Corp Ads Common Stock</t>
  </si>
  <si>
    <t>GRMN</t>
  </si>
  <si>
    <t>Garmin Ltd. Common Stock (Switzerland)</t>
  </si>
  <si>
    <t>HIG</t>
  </si>
  <si>
    <t>Hartford Financial Services Group Inc. (The) Common Stock</t>
  </si>
  <si>
    <t>COIN</t>
  </si>
  <si>
    <t>Coinbase Global Inc. Class A Common Stock</t>
  </si>
  <si>
    <t>CHD</t>
  </si>
  <si>
    <t>Church &amp; Dwight Company Inc. Common Stock</t>
  </si>
  <si>
    <t>KEYS</t>
  </si>
  <si>
    <t>Keysight Technologies Inc. Common Stock</t>
  </si>
  <si>
    <t>ZBH</t>
  </si>
  <si>
    <t>Zimmer Biomet Holdings Inc. Common Stock</t>
  </si>
  <si>
    <t>WY</t>
  </si>
  <si>
    <t>Weyerhaeuser Company Common Stock</t>
  </si>
  <si>
    <t>DAL</t>
  </si>
  <si>
    <t>Delta Air Lines Inc. Common Stock</t>
  </si>
  <si>
    <t>TCOM</t>
  </si>
  <si>
    <t>Trip.com Group Limited American Depositary Shares</t>
  </si>
  <si>
    <t>TW</t>
  </si>
  <si>
    <t>Tradeweb Markets Inc. Class A Common Stock</t>
  </si>
  <si>
    <t>NWG</t>
  </si>
  <si>
    <t>NatWest Group plc American Depositary Shares (each representing two (2) Ordinary Shares)</t>
  </si>
  <si>
    <t>RCI</t>
  </si>
  <si>
    <t>Rogers Communication Inc. Common Stock</t>
  </si>
  <si>
    <t>TSCO</t>
  </si>
  <si>
    <t>Tractor Supply Company Common Stock</t>
  </si>
  <si>
    <t>HUBS</t>
  </si>
  <si>
    <t>HubSpot Inc. Common Stock</t>
  </si>
  <si>
    <t>APTV</t>
  </si>
  <si>
    <t>Aptiv PLC Ordinary Shares</t>
  </si>
  <si>
    <t>QSR</t>
  </si>
  <si>
    <t>Restaurant Brands International Inc. Common Shares</t>
  </si>
  <si>
    <t>Colombia</t>
  </si>
  <si>
    <t>NET</t>
  </si>
  <si>
    <t>Cloudflare Inc. Class A Common Stock</t>
  </si>
  <si>
    <t>VRSN</t>
  </si>
  <si>
    <t>VeriSign Inc. Common Stock</t>
  </si>
  <si>
    <t>RMD</t>
  </si>
  <si>
    <t>ResMed Inc. Common Stock</t>
  </si>
  <si>
    <t>RJF</t>
  </si>
  <si>
    <t>Raymond James Financial Inc. Common Stock</t>
  </si>
  <si>
    <t>PINS</t>
  </si>
  <si>
    <t>Pinterest Inc. Class A Common Stock</t>
  </si>
  <si>
    <t>ICLR</t>
  </si>
  <si>
    <t>ICON plc Ordinary Shares</t>
  </si>
  <si>
    <t>DFS</t>
  </si>
  <si>
    <t>Discover Financial Services Common Stock</t>
  </si>
  <si>
    <t>MOH</t>
  </si>
  <si>
    <t>Molina Healthcare Inc Common Stock</t>
  </si>
  <si>
    <t>STT</t>
  </si>
  <si>
    <t>State Street Corporation Common Stock</t>
  </si>
  <si>
    <t>BR</t>
  </si>
  <si>
    <t>Broadridge Financial Solutions Inc. Common Stock</t>
  </si>
  <si>
    <t>BRO</t>
  </si>
  <si>
    <t>Brown &amp; Brown Inc. Common Stock</t>
  </si>
  <si>
    <t>EQR</t>
  </si>
  <si>
    <t>Equity Residential Common Shares of Beneficial Interest</t>
  </si>
  <si>
    <t>TROW</t>
  </si>
  <si>
    <t>T. Rowe Price Group Inc. Common Stock</t>
  </si>
  <si>
    <t>EBAY</t>
  </si>
  <si>
    <t>eBay Inc. Common Stock</t>
  </si>
  <si>
    <t>HPE</t>
  </si>
  <si>
    <t>Hewlett Packard Enterprise Company Common Stock</t>
  </si>
  <si>
    <t>TS</t>
  </si>
  <si>
    <t>Tenaris S.A. American Depositary Shares</t>
  </si>
  <si>
    <t>ETR</t>
  </si>
  <si>
    <t>Entergy Corporation Common Stock</t>
  </si>
  <si>
    <t>FCNCA</t>
  </si>
  <si>
    <t>First Citizens BancShares Inc. Class A Common Stock</t>
  </si>
  <si>
    <t>HWM</t>
  </si>
  <si>
    <t>Howmet Aerospace Inc. Common Stock</t>
  </si>
  <si>
    <t>DTE</t>
  </si>
  <si>
    <t>DTE Energy Company Common Stock</t>
  </si>
  <si>
    <t>ALNY</t>
  </si>
  <si>
    <t>Alnylam Pharmaceuticals Inc. Common Stock</t>
  </si>
  <si>
    <t>CTRA</t>
  </si>
  <si>
    <t>Coterra Energy Inc. Common Stock</t>
  </si>
  <si>
    <t>FE</t>
  </si>
  <si>
    <t>FirstEnergy Corp. Common Stock</t>
  </si>
  <si>
    <t>WAB</t>
  </si>
  <si>
    <t>Westinghouse Air Brake Technologies Corporation Common Stock</t>
  </si>
  <si>
    <t>LYV</t>
  </si>
  <si>
    <t>Live Nation Entertainment Inc. Common Stock</t>
  </si>
  <si>
    <t>AEE</t>
  </si>
  <si>
    <t>Ameren Corporation Common Stock</t>
  </si>
  <si>
    <t>FTS</t>
  </si>
  <si>
    <t>Fortis Inc. Common Shares</t>
  </si>
  <si>
    <t>STE</t>
  </si>
  <si>
    <t>STERIS plc (Ireland) Ordinary Shares</t>
  </si>
  <si>
    <t>ZTO</t>
  </si>
  <si>
    <t>ZTO Express (Cayman) Inc. American Depositary Shares each representing one Class A ordinary share.</t>
  </si>
  <si>
    <t>NOK</t>
  </si>
  <si>
    <t>Nokia Corporation Sponsored American Depositary Shares</t>
  </si>
  <si>
    <t>MTB</t>
  </si>
  <si>
    <t>M&amp;T Bank Corporation Common Stock</t>
  </si>
  <si>
    <t>CBOE</t>
  </si>
  <si>
    <t>Cboe Global Markets Inc. Common Stock</t>
  </si>
  <si>
    <t>WPM</t>
  </si>
  <si>
    <t>Wheaton Precious Metals Corp Common Shares (Canada)</t>
  </si>
  <si>
    <t>INVH</t>
  </si>
  <si>
    <t>Invitation Homes Inc. Common Stock</t>
  </si>
  <si>
    <t>NVR</t>
  </si>
  <si>
    <t>NVR Inc. Common Stock</t>
  </si>
  <si>
    <t>ULTA</t>
  </si>
  <si>
    <t>Ulta Beauty Inc. Common Stock</t>
  </si>
  <si>
    <t>UMC</t>
  </si>
  <si>
    <t>United Microelectronics Corporation (NEW) Common Stock</t>
  </si>
  <si>
    <t>GPC</t>
  </si>
  <si>
    <t>Automotive Aftermarket</t>
  </si>
  <si>
    <t>Genuine Parts Company Common Stock</t>
  </si>
  <si>
    <t>OWL</t>
  </si>
  <si>
    <t>Blue Owl Capital Inc. Class A Common Stock</t>
  </si>
  <si>
    <t>TRGP</t>
  </si>
  <si>
    <t>Targa Resources Inc. Common Stock</t>
  </si>
  <si>
    <t>ES</t>
  </si>
  <si>
    <t>Eversource Energy (D/B/A) Common Stock</t>
  </si>
  <si>
    <t>BEKE</t>
  </si>
  <si>
    <t>KE Holdings Inc American Depositary Shares (each representing three Class A Ordinary Shares)</t>
  </si>
  <si>
    <t>PPL</t>
  </si>
  <si>
    <t>PPL Corporation Common Stock</t>
  </si>
  <si>
    <t>ZM</t>
  </si>
  <si>
    <t>Zoom Video Communications Inc. Class A Common Stock</t>
  </si>
  <si>
    <t>SNAP</t>
  </si>
  <si>
    <t>Snap Inc. Class A Common Stock</t>
  </si>
  <si>
    <t>ROL</t>
  </si>
  <si>
    <t>Rollins Inc. Common Stock</t>
  </si>
  <si>
    <t>YUMC</t>
  </si>
  <si>
    <t>Yum China Holdings Inc. Common Stock</t>
  </si>
  <si>
    <t>CCJ</t>
  </si>
  <si>
    <t>Cameco Corporation Common Stock</t>
  </si>
  <si>
    <t>DOV</t>
  </si>
  <si>
    <t>Dover Corporation Common Stock</t>
  </si>
  <si>
    <t>TECK</t>
  </si>
  <si>
    <t>Teck Resources Ltd Ordinary Shares</t>
  </si>
  <si>
    <t>IFF</t>
  </si>
  <si>
    <t>International Flavors &amp; Fragrances Inc. Common Stock</t>
  </si>
  <si>
    <t>TDY</t>
  </si>
  <si>
    <t>Teledyne Technologies Incorporated Common Stock</t>
  </si>
  <si>
    <t>DRI</t>
  </si>
  <si>
    <t>Darden Restaurants Inc. Common Stock</t>
  </si>
  <si>
    <t>STLD</t>
  </si>
  <si>
    <t>Steel Dynamics Inc.</t>
  </si>
  <si>
    <t>PTC</t>
  </si>
  <si>
    <t>PTC Inc. Common Stock</t>
  </si>
  <si>
    <t>WBA</t>
  </si>
  <si>
    <t>Walgreens Boots Alliance Inc. Common Stock</t>
  </si>
  <si>
    <t>Malta</t>
  </si>
  <si>
    <t>JBHT</t>
  </si>
  <si>
    <t>J.B. Hunt Transport Services Inc. Common Stock</t>
  </si>
  <si>
    <t>ASX</t>
  </si>
  <si>
    <t>ASE Technology Holding Co. Ltd. American Depositary Shares (each representing Two Common Shares)</t>
  </si>
  <si>
    <t>DUKB</t>
  </si>
  <si>
    <t>Duke Energy Corporation 5.625% Junior Subordinated Debentures due 2078</t>
  </si>
  <si>
    <t>SIRI</t>
  </si>
  <si>
    <t>Sirius XM Holdings Inc. Common Stock</t>
  </si>
  <si>
    <t>HRL</t>
  </si>
  <si>
    <t>Meat/Poultry/Fish</t>
  </si>
  <si>
    <t>Hormel Foods Corporation Common Stock</t>
  </si>
  <si>
    <t>PHM</t>
  </si>
  <si>
    <t>PulteGroup Inc. Common Stock</t>
  </si>
  <si>
    <t>K</t>
  </si>
  <si>
    <t>Kellanova Common Stock</t>
  </si>
  <si>
    <t>MKL</t>
  </si>
  <si>
    <t>Markel Group Inc. Common Stock</t>
  </si>
  <si>
    <t>HOLX</t>
  </si>
  <si>
    <t>Medical Electronics</t>
  </si>
  <si>
    <t>Hologic Inc. Common Stock</t>
  </si>
  <si>
    <t>TYL</t>
  </si>
  <si>
    <t>Tyler Technologies Inc. Common Stock</t>
  </si>
  <si>
    <t>MT</t>
  </si>
  <si>
    <t>Arcelor Mittal NY Registry Shares NEW</t>
  </si>
  <si>
    <t>WRB</t>
  </si>
  <si>
    <t>W.R. Berkley Corporation Common Stock</t>
  </si>
  <si>
    <t>PBA</t>
  </si>
  <si>
    <t>Pembina Pipeline Corp. Ordinary Shares (Canada)</t>
  </si>
  <si>
    <t>EBR</t>
  </si>
  <si>
    <t>Centrais Electricas Brasileiras S A American Depositary Shares (Each representing one Common Share)</t>
  </si>
  <si>
    <t>PHG</t>
  </si>
  <si>
    <t>Koninklijke Philips N.V. NY Registry Shares</t>
  </si>
  <si>
    <t>SYM</t>
  </si>
  <si>
    <t>Symbotic Inc. Class A Common Stock</t>
  </si>
  <si>
    <t>MKC</t>
  </si>
  <si>
    <t>McCormick &amp; Company Incorporated Common Stock</t>
  </si>
  <si>
    <t>LH</t>
  </si>
  <si>
    <t>Laboratory Corporation of America Holdings Common Stock</t>
  </si>
  <si>
    <t>VLTO</t>
  </si>
  <si>
    <t>Veralto Corp Common Stock</t>
  </si>
  <si>
    <t>IRM</t>
  </si>
  <si>
    <t>Iron Mountain Incorporated (Delaware)Common Stock REIT</t>
  </si>
  <si>
    <t>KOF</t>
  </si>
  <si>
    <t>Coca Cola Femsa S.A.B. de C.V.  American Depositary Shares each representing 10 Units (each Unit consists of 3 Series B Shares and 5 Series L Shares)</t>
  </si>
  <si>
    <t>Coca Cola Femsa S.A.B. de C.V. American Depositary Shares each representing 10 Units (each Unit consists of 3 Series B Shares and 5 Series L Shares)</t>
  </si>
  <si>
    <t>LPLA</t>
  </si>
  <si>
    <t>LPL Financial Holdings Inc. Common Stock</t>
  </si>
  <si>
    <t>FDS</t>
  </si>
  <si>
    <t>FactSet Research Systems Inc. Common Stock</t>
  </si>
  <si>
    <t>CHKP</t>
  </si>
  <si>
    <t>Check Point Software Technologies Ltd. Ordinary Shares</t>
  </si>
  <si>
    <t>VTR</t>
  </si>
  <si>
    <t>Ventas Inc. Common Stock</t>
  </si>
  <si>
    <t>CNP</t>
  </si>
  <si>
    <t>CenterPoint Energy Inc (Holding Co) Common Stock</t>
  </si>
  <si>
    <t>FLT</t>
  </si>
  <si>
    <t>FleetCor Technologies Inc. Common Stock</t>
  </si>
  <si>
    <t>FITB</t>
  </si>
  <si>
    <t>Fifth Third Bancorp Common Stock</t>
  </si>
  <si>
    <t>FITBI</t>
  </si>
  <si>
    <t>Fifth Third Bancorp Depositary Shares</t>
  </si>
  <si>
    <t>VIV</t>
  </si>
  <si>
    <t>Telefonica Brasil S.A. American Depositary Shares (Each representing One Common Share)</t>
  </si>
  <si>
    <t>EDR</t>
  </si>
  <si>
    <t>Endeavor Group Holdings Inc. Class A Common Stock</t>
  </si>
  <si>
    <t>J</t>
  </si>
  <si>
    <t>Jacobs Solutions Inc. Common Stock</t>
  </si>
  <si>
    <t>TVE</t>
  </si>
  <si>
    <t>Tennessee Valley Authority</t>
  </si>
  <si>
    <t>WMG</t>
  </si>
  <si>
    <t>Warner Music Group Corp. Class A Common Stock</t>
  </si>
  <si>
    <t>RYAN</t>
  </si>
  <si>
    <t>Ryan Specialty Holdings Inc. Class A Common Stock</t>
  </si>
  <si>
    <t>AGNCN</t>
  </si>
  <si>
    <t>AGNC Investment Corp. Depositary Shares Each Representing a 1/1000th Interest in a Share of 7.00% Series C Fixed-To-Floating Rate Cumulative Redeemable Preferred Stock</t>
  </si>
  <si>
    <t>EXPD</t>
  </si>
  <si>
    <t>Oil Refining/Marketing</t>
  </si>
  <si>
    <t>Expeditors International of Washington Inc. Common Stock</t>
  </si>
  <si>
    <t>AQNB</t>
  </si>
  <si>
    <t>Algonquin Power &amp; Utilities Corp. 6.20% Fixed-to-Floating Subordinated Notes Series 2019-A due July 1 2079</t>
  </si>
  <si>
    <t>AKAM</t>
  </si>
  <si>
    <t>Akamai Technologies Inc. Common Stock</t>
  </si>
  <si>
    <t>TSN</t>
  </si>
  <si>
    <t>Tyson Foods Inc. Common Stock</t>
  </si>
  <si>
    <t>EG</t>
  </si>
  <si>
    <t>Everest Group Ltd. Common Stock</t>
  </si>
  <si>
    <t>CCL</t>
  </si>
  <si>
    <t>Carnival Corporation Common Stock</t>
  </si>
  <si>
    <t>BAX</t>
  </si>
  <si>
    <t>Baxter International Inc. Common Stock</t>
  </si>
  <si>
    <t>ARE</t>
  </si>
  <si>
    <t>Alexandria Real Estate Equities Inc. Common Stock</t>
  </si>
  <si>
    <t>PFG</t>
  </si>
  <si>
    <t>Principal Financial Group Inc Common Stock</t>
  </si>
  <si>
    <t>CLX</t>
  </si>
  <si>
    <t>Clorox Company (The) Common Stock</t>
  </si>
  <si>
    <t>ATO</t>
  </si>
  <si>
    <t>Atmos Energy Corporation Common Stock</t>
  </si>
  <si>
    <t>EXPE</t>
  </si>
  <si>
    <t>Expedia Group Inc. Common Stock</t>
  </si>
  <si>
    <t>RKT</t>
  </si>
  <si>
    <t>Rocket Companies Inc. Class A Common Stock</t>
  </si>
  <si>
    <t>AER</t>
  </si>
  <si>
    <t>AerCap Holdings N.V. Ordinary Shares</t>
  </si>
  <si>
    <t>BAH</t>
  </si>
  <si>
    <t>Booz Allen Hamilton Holding Corporation Common Stock</t>
  </si>
  <si>
    <t>JBL</t>
  </si>
  <si>
    <t>Jabil Inc. Common Stock</t>
  </si>
  <si>
    <t>FITBP</t>
  </si>
  <si>
    <t>Fifth Third Bancorp Depositary Shares each representing 1/40th share of Fifth Third 6.00% Non-Cumulative Perpetual Class B Preferred Stock Series A</t>
  </si>
  <si>
    <t>AXON</t>
  </si>
  <si>
    <t>Ordnance And Accessories</t>
  </si>
  <si>
    <t>Axon Enterprise Inc. Common Stock</t>
  </si>
  <si>
    <t>COO</t>
  </si>
  <si>
    <t>The Cooper Companies Inc. Common Stock</t>
  </si>
  <si>
    <t>DECK</t>
  </si>
  <si>
    <t>Deckers Outdoor Corporation Common Stock</t>
  </si>
  <si>
    <t>RPRX</t>
  </si>
  <si>
    <t>Royalty Pharma plc Class A Ordinary Shares</t>
  </si>
  <si>
    <t>CMS</t>
  </si>
  <si>
    <t>CMS Energy Corporation Common Stock</t>
  </si>
  <si>
    <t>NTAP</t>
  </si>
  <si>
    <t>NetApp Inc. Common Stock</t>
  </si>
  <si>
    <t>EQT</t>
  </si>
  <si>
    <t>EQT Corporation Common Stock</t>
  </si>
  <si>
    <t>ASBA</t>
  </si>
  <si>
    <t>Associated Banc-Corp 6.625% Fixed-Rate Reset Subordinated Notes due 2033</t>
  </si>
  <si>
    <t>VRT</t>
  </si>
  <si>
    <t>Vertiv Holdings LLC Class A Common Stock</t>
  </si>
  <si>
    <t>FWONK</t>
  </si>
  <si>
    <t>Liberty Media Corporation Series C Liberty Formula One Common Stock</t>
  </si>
  <si>
    <t>BMRN</t>
  </si>
  <si>
    <t>BioMarin Pharmaceutical Inc. Common Stock</t>
  </si>
  <si>
    <t>KB</t>
  </si>
  <si>
    <t>KB Financial Group Inc</t>
  </si>
  <si>
    <t>CINF</t>
  </si>
  <si>
    <t>Cincinnati Financial Corporation Common Stock</t>
  </si>
  <si>
    <t>WLK</t>
  </si>
  <si>
    <t>Westlake Corporation Common Stock</t>
  </si>
  <si>
    <t>ILMN</t>
  </si>
  <si>
    <t>Illumina Inc. Common Stock</t>
  </si>
  <si>
    <t>HUBB</t>
  </si>
  <si>
    <t>Hubbell Inc Common Stock</t>
  </si>
  <si>
    <t>SLMBP</t>
  </si>
  <si>
    <t>SLM Corporation Floating Rate Non-Cumulative Preferred Stock Series B</t>
  </si>
  <si>
    <t>ERIC</t>
  </si>
  <si>
    <t>Ericsson American Depositary Shares</t>
  </si>
  <si>
    <t>BALL</t>
  </si>
  <si>
    <t>Ball Corporation Common Stock</t>
  </si>
  <si>
    <t>BSY</t>
  </si>
  <si>
    <t>Bentley Systems Incorporated Class B Common Stock</t>
  </si>
  <si>
    <t>RS</t>
  </si>
  <si>
    <t>Reliance Steel &amp; Aluminum Co. Common Stock (DE)</t>
  </si>
  <si>
    <t>BLDR</t>
  </si>
  <si>
    <t>Builders FirstSource Inc. Common Stock</t>
  </si>
  <si>
    <t>AGNCM</t>
  </si>
  <si>
    <t>AGNC Investment Corp. Depositary Shares rep 6.875% Series D Fixed-to-Floating Cumulative Redeemable Preferred Stock</t>
  </si>
  <si>
    <t>CF</t>
  </si>
  <si>
    <t>CF Industries Holdings Inc. Common Stock</t>
  </si>
  <si>
    <t>BG</t>
  </si>
  <si>
    <t>Bunge Limited Common Shares</t>
  </si>
  <si>
    <t>STX</t>
  </si>
  <si>
    <t>Seagate Technology Holdings PLC Ordinary Shares (Ireland)</t>
  </si>
  <si>
    <t>WAT</t>
  </si>
  <si>
    <t>Waters Corporation Common Stock</t>
  </si>
  <si>
    <t>MGA</t>
  </si>
  <si>
    <t>Magna International Inc. Common Stock</t>
  </si>
  <si>
    <t>AGNCO</t>
  </si>
  <si>
    <t>AGNC Investment Corp. Depositary Shares each representing a 1/1000th interest in a share of 6.50% Series E Fixed-to-Floating Cumulative Redeemable Preferred Stock</t>
  </si>
  <si>
    <t>OMC</t>
  </si>
  <si>
    <t>Omnicom Group Inc. Common Stock</t>
  </si>
  <si>
    <t>DGX</t>
  </si>
  <si>
    <t>Quest Diagnostics Incorporated Common Stock</t>
  </si>
  <si>
    <t>TXT</t>
  </si>
  <si>
    <t>Textron Inc. Common Stock</t>
  </si>
  <si>
    <t>HBAN</t>
  </si>
  <si>
    <t>Huntington Bancshares Incorporated Common Stock</t>
  </si>
  <si>
    <t>DT</t>
  </si>
  <si>
    <t>Dynatrace Inc. Common Stock</t>
  </si>
  <si>
    <t>SOJE</t>
  </si>
  <si>
    <t>Southern Company (The) Series 2020C 4.20% Junior Subordinated Notes due October 15 2060</t>
  </si>
  <si>
    <t>WSO</t>
  </si>
  <si>
    <t>Watsco Inc. Common Stock</t>
  </si>
  <si>
    <t>RIVN</t>
  </si>
  <si>
    <t>Rivian Automotive Inc. Class A Common Stock</t>
  </si>
  <si>
    <t>ALGN</t>
  </si>
  <si>
    <t>Align Technology Inc. Common Stock</t>
  </si>
  <si>
    <t>L</t>
  </si>
  <si>
    <t>Loews Corporation Common Stock</t>
  </si>
  <si>
    <t>APP</t>
  </si>
  <si>
    <t>Applovin Corporation Class A Common Stock</t>
  </si>
  <si>
    <t>MRO</t>
  </si>
  <si>
    <t>Marathon Oil Corporation Common Stock</t>
  </si>
  <si>
    <t>SREA</t>
  </si>
  <si>
    <t>DBA Sempra 5.750% Junior Subordinated Notes due 2079</t>
  </si>
  <si>
    <t>NTRS</t>
  </si>
  <si>
    <t>Northern Trust Corporation Common Stock</t>
  </si>
  <si>
    <t>WDC</t>
  </si>
  <si>
    <t>Western Digital Corporation Common Stock</t>
  </si>
  <si>
    <t>FOXA</t>
  </si>
  <si>
    <t>Fox Corporation Class A Common Stock</t>
  </si>
  <si>
    <t>AVY</t>
  </si>
  <si>
    <t>Avery Dennison Corporation Common Stock</t>
  </si>
  <si>
    <t>IEX</t>
  </si>
  <si>
    <t>IDEX Corporation Common Stock</t>
  </si>
  <si>
    <t>SWKS</t>
  </si>
  <si>
    <t>Skyworks Solutions Inc. Common Stock</t>
  </si>
  <si>
    <t>ENTG</t>
  </si>
  <si>
    <t>Entegris Inc. Common Stock</t>
  </si>
  <si>
    <t>MAA</t>
  </si>
  <si>
    <t>Mid-America Apartment Communities Inc. Common Stock</t>
  </si>
  <si>
    <t>FSLR</t>
  </si>
  <si>
    <t>First Solar Inc. Common Stock</t>
  </si>
  <si>
    <t>FITBO</t>
  </si>
  <si>
    <t>Fifth Third Bancorp Depositary Shares each representing a 1/1000th ownership interest in a share of Non-Cumulative Perpetual Preferred Stock Series K</t>
  </si>
  <si>
    <t>SUI</t>
  </si>
  <si>
    <t>Sun Communities Inc. Common Stock</t>
  </si>
  <si>
    <t>SNA</t>
  </si>
  <si>
    <t>Snap-On Incorporated Common Stock</t>
  </si>
  <si>
    <t>LDOS</t>
  </si>
  <si>
    <t>Leidos Holdings Inc. Common Stock</t>
  </si>
  <si>
    <t>FWONA</t>
  </si>
  <si>
    <t>Liberty Media Corporation Series A Liberty Formula One Common Stock</t>
  </si>
  <si>
    <t>SMCI</t>
  </si>
  <si>
    <t>Super Micro Computer Inc. Common Stock</t>
  </si>
  <si>
    <t>AQNU</t>
  </si>
  <si>
    <t>Algonquin Power &amp; Utilities Corp. Corporate Units</t>
  </si>
  <si>
    <t>LII</t>
  </si>
  <si>
    <t>Lennox International Inc. Common Stock</t>
  </si>
  <si>
    <t>RF</t>
  </si>
  <si>
    <t>Regions Financial Corporation Common Stock</t>
  </si>
  <si>
    <t>VFS</t>
  </si>
  <si>
    <t>Blank Checks</t>
  </si>
  <si>
    <t>VinFast Auto Ltd. Ordinary Shares</t>
  </si>
  <si>
    <t>BBY</t>
  </si>
  <si>
    <t>Best Buy Co. Inc. Common Stock</t>
  </si>
  <si>
    <t>PKG</t>
  </si>
  <si>
    <t>Packaging Corporation of America Common Stock</t>
  </si>
  <si>
    <t>AGNCP</t>
  </si>
  <si>
    <t>AGNC Investment Corp. Depositary Shares Each Representing a 1/1000th Interest in a Share of 6.125% Series F Fixed-to-Floating Rate Cumulative Redeemable Preferred Stock</t>
  </si>
  <si>
    <t>AGNCL</t>
  </si>
  <si>
    <t>AGNC Investment Corp. Depositary Shares Each Representing a 1/1000th Interest in a Share of 7.75% Series G Fixed-Rate Reset Cumulative Redeemable Preferred Stock</t>
  </si>
  <si>
    <t>LUV</t>
  </si>
  <si>
    <t>Southwest Airlines Company Common Stock</t>
  </si>
  <si>
    <t>ALB</t>
  </si>
  <si>
    <t>Albemarle Corporation Common Stock</t>
  </si>
  <si>
    <t>TKO</t>
  </si>
  <si>
    <t>TKO Group Holdings Inc. Class A Common Stock</t>
  </si>
  <si>
    <t>LW</t>
  </si>
  <si>
    <t>Lamb Weston Holdings Inc. Common Stock</t>
  </si>
  <si>
    <t>SHG</t>
  </si>
  <si>
    <t>Shinhan Financial Group Co Ltd American Depositary Shares</t>
  </si>
  <si>
    <t>EPAM</t>
  </si>
  <si>
    <t>EPAM Systems Inc. Common Stock</t>
  </si>
  <si>
    <t>FOX</t>
  </si>
  <si>
    <t>Fox Corporation Class B Common Stock</t>
  </si>
  <si>
    <t>ESS</t>
  </si>
  <si>
    <t>Essex Property Trust Inc. Common Stock</t>
  </si>
  <si>
    <t>TER</t>
  </si>
  <si>
    <t>Teradyne Inc. Common Stock</t>
  </si>
  <si>
    <t>SQM</t>
  </si>
  <si>
    <t>Sociedad Quimica y Minera S.A. Common Stock</t>
  </si>
  <si>
    <t>BGNE</t>
  </si>
  <si>
    <t>BeiGene Ltd. American Depositary Shares</t>
  </si>
  <si>
    <t>AEG</t>
  </si>
  <si>
    <t>Aegon Ltd. New York Registry Shares</t>
  </si>
  <si>
    <t>CELH</t>
  </si>
  <si>
    <t>Celsius Holdings Inc. Common Stock</t>
  </si>
  <si>
    <t>CAG</t>
  </si>
  <si>
    <t>ConAgra Brands Inc. Common Stock</t>
  </si>
  <si>
    <t>CNHI</t>
  </si>
  <si>
    <t>CNH Industrial N.V. Common Shares</t>
  </si>
  <si>
    <t>MGM</t>
  </si>
  <si>
    <t>MGM Resorts International Common Stock</t>
  </si>
  <si>
    <t>DPZ</t>
  </si>
  <si>
    <t>Domino's Pizza Inc Common Stock</t>
  </si>
  <si>
    <t>MANH</t>
  </si>
  <si>
    <t>Manhattan Associates Inc. Common Stock</t>
  </si>
  <si>
    <t>GGG</t>
  </si>
  <si>
    <t>Graco Inc. Common Stock</t>
  </si>
  <si>
    <t>AMCR</t>
  </si>
  <si>
    <t>Miscellaneous manufacturing industries</t>
  </si>
  <si>
    <t>Amcor plc Ordinary Shares</t>
  </si>
  <si>
    <t>CSL</t>
  </si>
  <si>
    <t>Carlisle Companies Incorporated Common Stock</t>
  </si>
  <si>
    <t>SSNC</t>
  </si>
  <si>
    <t>SS&amp;C Technologies Holdings Inc. Common Stock</t>
  </si>
  <si>
    <t>SWK</t>
  </si>
  <si>
    <t>Stanley Black &amp; Decker Inc. Common Stock</t>
  </si>
  <si>
    <t>LOGI</t>
  </si>
  <si>
    <t>Logitech International S.A. Ordinary Shares</t>
  </si>
  <si>
    <t>JHX</t>
  </si>
  <si>
    <t>James Hardie Industries plc American Depositary Shares (Ireland)</t>
  </si>
  <si>
    <t>CE</t>
  </si>
  <si>
    <t>Celanese Corporation Common Stock</t>
  </si>
  <si>
    <t>ERIE</t>
  </si>
  <si>
    <t>Erie Indemnity Company Class A Common Stock</t>
  </si>
  <si>
    <t>IOT</t>
  </si>
  <si>
    <t>Samsara Inc. Class A Common Stock</t>
  </si>
  <si>
    <t>NDSN</t>
  </si>
  <si>
    <t>Nordson Corporation Common Stock</t>
  </si>
  <si>
    <t>POOL</t>
  </si>
  <si>
    <t>Pool Corporation Common Stock</t>
  </si>
  <si>
    <t>TME</t>
  </si>
  <si>
    <t>Tencent Music Entertainment Group American Depositary Shares each representing two Class A Ordinary Shares</t>
  </si>
  <si>
    <t>AMH</t>
  </si>
  <si>
    <t>American Homes 4 Rent Common Shares of Beneficial Interest</t>
  </si>
  <si>
    <t>MAS</t>
  </si>
  <si>
    <t>Masco Corporation Common Stock</t>
  </si>
  <si>
    <t>TPL</t>
  </si>
  <si>
    <t>Texas Pacific Land Corporation Common Stock</t>
  </si>
  <si>
    <t>RPM</t>
  </si>
  <si>
    <t>RPM International Inc. Common Stock</t>
  </si>
  <si>
    <t>AVTR</t>
  </si>
  <si>
    <t>Avantor Inc. Common Stock</t>
  </si>
  <si>
    <t>XP</t>
  </si>
  <si>
    <t>XP Inc. Class A Common Stock</t>
  </si>
  <si>
    <t>UAL</t>
  </si>
  <si>
    <t>United Airlines Holdings Inc. Common Stock</t>
  </si>
  <si>
    <t>NIO</t>
  </si>
  <si>
    <t>NIO Inc. American depositary shares each  representing one Class A ordinary share</t>
  </si>
  <si>
    <t>NIO Inc. American depositary shares each representing one Class A ordinary share</t>
  </si>
  <si>
    <t>NWS</t>
  </si>
  <si>
    <t>Newspapers/Magazines</t>
  </si>
  <si>
    <t>News Corporation Class B Common Stock</t>
  </si>
  <si>
    <t>LNT</t>
  </si>
  <si>
    <t>Alliant Energy Corporation Common Stock</t>
  </si>
  <si>
    <t>GDDY</t>
  </si>
  <si>
    <t>GoDaddy Inc. Class A Common Stock</t>
  </si>
  <si>
    <t>GEN</t>
  </si>
  <si>
    <t>Gen Digital Inc. Common Stock</t>
  </si>
  <si>
    <t>IHG</t>
  </si>
  <si>
    <t>Intercontinental Hotels Group American Depositary Shares (Each representing one Ordinary Share)</t>
  </si>
  <si>
    <t>Chile</t>
  </si>
  <si>
    <t>VST</t>
  </si>
  <si>
    <t>Vistra Corp. Common Stock</t>
  </si>
  <si>
    <t>CRBG</t>
  </si>
  <si>
    <t>Corebridge Financial Inc. Common Stock</t>
  </si>
  <si>
    <t>QRTEP</t>
  </si>
  <si>
    <t>Qurate Retail Inc. 8.0% Fixed Rate Cumulative Redeemable Preferred Stock</t>
  </si>
  <si>
    <t>GRAB</t>
  </si>
  <si>
    <t>Grab Holdings Limited Class A Ordinary Shares</t>
  </si>
  <si>
    <t>ELS</t>
  </si>
  <si>
    <t>Equity Lifestyle Properties Inc. Common Stock</t>
  </si>
  <si>
    <t>SYF</t>
  </si>
  <si>
    <t>Synchrony Financial Common Stock</t>
  </si>
  <si>
    <t>OVV</t>
  </si>
  <si>
    <t>Ovintiv Inc. (DE)</t>
  </si>
  <si>
    <t>ACI</t>
  </si>
  <si>
    <t>Albertsons Companies Inc. Class A Common Stock</t>
  </si>
  <si>
    <t>NMR</t>
  </si>
  <si>
    <t>Nomura Holdings Inc ADR American Depositary Shares</t>
  </si>
  <si>
    <t>BAM</t>
  </si>
  <si>
    <t>Brookfield Asset Management Inc Class A Limited Voting Shares</t>
  </si>
  <si>
    <t>LBRDA</t>
  </si>
  <si>
    <t>Liberty Broadband Corporation Class A Common Stock</t>
  </si>
  <si>
    <t>LBRDK</t>
  </si>
  <si>
    <t>Liberty Broadband Corporation Class C Common Stock</t>
  </si>
  <si>
    <t>GLPI</t>
  </si>
  <si>
    <t>Gaming and Leisure Properties Inc. Common Stock</t>
  </si>
  <si>
    <t>CPB</t>
  </si>
  <si>
    <t>Campbell Soup Company Common Stock</t>
  </si>
  <si>
    <t>TAP</t>
  </si>
  <si>
    <t>Molson Coors Beverage Company Class B Common Stock</t>
  </si>
  <si>
    <t>LKQ</t>
  </si>
  <si>
    <t>Motor Vehicles</t>
  </si>
  <si>
    <t>LKQ Corporation Common Stock</t>
  </si>
  <si>
    <t>BKDT</t>
  </si>
  <si>
    <t>Brookdale Senior Living Inc. 7.00% Tangible Equity Units</t>
  </si>
  <si>
    <t>FNF</t>
  </si>
  <si>
    <t>FNF Group of Fidelity National Financial Inc. Common Stock</t>
  </si>
  <si>
    <t>NWSA</t>
  </si>
  <si>
    <t>News Corporation Class A Common Stock</t>
  </si>
  <si>
    <t>BPYPP</t>
  </si>
  <si>
    <t>Brookfield Property Partners L.P. 6.50% Class A Cumulative Redeemable Perpetual Preferred Units</t>
  </si>
  <si>
    <t>WPC</t>
  </si>
  <si>
    <t>W. P. Carey Inc. REIT</t>
  </si>
  <si>
    <t>BPYPM</t>
  </si>
  <si>
    <t>Brookfield Property Partners L.P. 6.25% Class A Cumulative Redeemable Preferred Units Series 1</t>
  </si>
  <si>
    <t>INCY</t>
  </si>
  <si>
    <t>Incyte Corp. Common Stock</t>
  </si>
  <si>
    <t>AGR</t>
  </si>
  <si>
    <t>Avangrid Inc. Common Stock</t>
  </si>
  <si>
    <t>CFG</t>
  </si>
  <si>
    <t>Citizens Financial Group Inc. Common Stock</t>
  </si>
  <si>
    <t>BIP</t>
  </si>
  <si>
    <t>Brookfield Infrastructure Partners LP Limited Partnership Units</t>
  </si>
  <si>
    <t>BPYPO</t>
  </si>
  <si>
    <t>Brookfield Property Partners L.P. 6.375% Class A Cumulative Redeemable Perpetual Preferred Units Series 2</t>
  </si>
  <si>
    <t>ROKU</t>
  </si>
  <si>
    <t>Roku Inc. Class A Common Stock</t>
  </si>
  <si>
    <t>HST</t>
  </si>
  <si>
    <t>Host Hotels &amp; Resorts Inc. Common Stock</t>
  </si>
  <si>
    <t>IP</t>
  </si>
  <si>
    <t>Paper</t>
  </si>
  <si>
    <t>International Paper Company Common Stock</t>
  </si>
  <si>
    <t>BEN</t>
  </si>
  <si>
    <t>Franklin Resources Inc. Common Stock</t>
  </si>
  <si>
    <t>GFI</t>
  </si>
  <si>
    <t>Gold Fields Limited American Depositary Shares</t>
  </si>
  <si>
    <t>MORN</t>
  </si>
  <si>
    <t>Morningstar Inc. Common Stock</t>
  </si>
  <si>
    <t>EVRG</t>
  </si>
  <si>
    <t>Evergy Inc. Common Stock</t>
  </si>
  <si>
    <t>FLEX</t>
  </si>
  <si>
    <t>Flex Ltd. Ordinary Shares</t>
  </si>
  <si>
    <t>PSTG</t>
  </si>
  <si>
    <t>Pure Storage Inc. Class A Common Stock</t>
  </si>
  <si>
    <t>APA</t>
  </si>
  <si>
    <t>APA Corporation Common Stock</t>
  </si>
  <si>
    <t>Mexico</t>
  </si>
  <si>
    <t>EDU</t>
  </si>
  <si>
    <t>New Oriental Education &amp; Technology Group Inc. Sponsored ADR representing 10 Ordinary Share (Cayman Islands)</t>
  </si>
  <si>
    <t>ARCC</t>
  </si>
  <si>
    <t>Ares Capital Corporation Common Stock</t>
  </si>
  <si>
    <t>REG</t>
  </si>
  <si>
    <t>Regency Centers Corporation Common Stock</t>
  </si>
  <si>
    <t>ACM</t>
  </si>
  <si>
    <t>AECOM Common Stock</t>
  </si>
  <si>
    <t>H</t>
  </si>
  <si>
    <t>Hyatt Hotels Corporation Class A Common Stock</t>
  </si>
  <si>
    <t>OKTA</t>
  </si>
  <si>
    <t>Okta Inc. Class A Common Stock</t>
  </si>
  <si>
    <t>AZPN</t>
  </si>
  <si>
    <t>Aspen Technology Inc. Common Stock</t>
  </si>
  <si>
    <t>SJM</t>
  </si>
  <si>
    <t>J.M. Smucker Company (The) New Common Stock</t>
  </si>
  <si>
    <t>IPG</t>
  </si>
  <si>
    <t>Interpublic Group of Companies Inc. (The) Common Stock</t>
  </si>
  <si>
    <t>KIM</t>
  </si>
  <si>
    <t>Kimco Realty Corporation (HC) Common Stock</t>
  </si>
  <si>
    <t>OC</t>
  </si>
  <si>
    <t>Owens Corning Inc Common Stock New</t>
  </si>
  <si>
    <t>VLYPO</t>
  </si>
  <si>
    <t>Valley National Bancorp 5.50% Fixed-to-Floating Rate Non-Cumulative Perpetual Preferred Stock Series B</t>
  </si>
  <si>
    <t>VTRS</t>
  </si>
  <si>
    <t>Viatris Inc. Common Stock</t>
  </si>
  <si>
    <t>MOS</t>
  </si>
  <si>
    <t>Mosaic Company (The) Common Stock</t>
  </si>
  <si>
    <t>PARAP</t>
  </si>
  <si>
    <t>Paramount Global 5.75% Series A Mandatory Convertible Preferred Stock</t>
  </si>
  <si>
    <t>GL</t>
  </si>
  <si>
    <t>Globe Life Inc. Common Stock</t>
  </si>
  <si>
    <t>RBA</t>
  </si>
  <si>
    <t>RB Global Inc. Common Stock</t>
  </si>
  <si>
    <t>Cyprus</t>
  </si>
  <si>
    <t>RDY</t>
  </si>
  <si>
    <t>Dr. Reddy's Laboratories Ltd Common Stock</t>
  </si>
  <si>
    <t>CG</t>
  </si>
  <si>
    <t>The Carlyle Group Inc. Common Stock</t>
  </si>
  <si>
    <t>HTHT</t>
  </si>
  <si>
    <t>H World Group Limited American Depositary Shares</t>
  </si>
  <si>
    <t>PODD</t>
  </si>
  <si>
    <t>Insulet Corporation Common Stock</t>
  </si>
  <si>
    <t>AOS</t>
  </si>
  <si>
    <t>A.O. Smith Corporation Common Stock</t>
  </si>
  <si>
    <t>NICE</t>
  </si>
  <si>
    <t>NICE Ltd American Depositary Shares</t>
  </si>
  <si>
    <t>EXAS</t>
  </si>
  <si>
    <t>Exact Sciences Corporation Common Stock</t>
  </si>
  <si>
    <t>JKHY</t>
  </si>
  <si>
    <t>Jack Henry &amp; Associates Inc. Common Stock</t>
  </si>
  <si>
    <t>UDR</t>
  </si>
  <si>
    <t>UDR Inc. Common Stock</t>
  </si>
  <si>
    <t>RNR</t>
  </si>
  <si>
    <t>RenaissanceRe Holdings Ltd. Common Stock</t>
  </si>
  <si>
    <t>BPYPN</t>
  </si>
  <si>
    <t>Brookfield Property Partners L.P. 5.750% Class A Cumulative Redeemable Perpetual Preferred Units Series 3</t>
  </si>
  <si>
    <t>LECO</t>
  </si>
  <si>
    <t>Lincoln Electric Holdings Inc. Common Shares</t>
  </si>
  <si>
    <t>SNN</t>
  </si>
  <si>
    <t>Smith &amp; Nephew SNATS Inc. Common Stock</t>
  </si>
  <si>
    <t>PAA</t>
  </si>
  <si>
    <t>Plains All American Pipeline L.P. Common Units representing Limited Partner Interests</t>
  </si>
  <si>
    <t>RGA</t>
  </si>
  <si>
    <t>Reinsurance Group of America Incorporated Common Stock</t>
  </si>
  <si>
    <t>UGIC</t>
  </si>
  <si>
    <t>UGI Corporation Corporate Units</t>
  </si>
  <si>
    <t>TWLO</t>
  </si>
  <si>
    <t>Twilio Inc. Class A Common Stock</t>
  </si>
  <si>
    <t>ENPH</t>
  </si>
  <si>
    <t>Enphase Energy Inc. Common Stock</t>
  </si>
  <si>
    <t>GFL</t>
  </si>
  <si>
    <t>GFL Environmental Inc. Subordinate voting shares no par value</t>
  </si>
  <si>
    <t>LEGN</t>
  </si>
  <si>
    <t>Legend Biotech Corporation American Depositary Shares</t>
  </si>
  <si>
    <t>ZBRA</t>
  </si>
  <si>
    <t>Zebra Technologies Corporation Class A Common Stock</t>
  </si>
  <si>
    <t>CNA</t>
  </si>
  <si>
    <t>CNA Financial Corporation Common Stock</t>
  </si>
  <si>
    <t>NBIX</t>
  </si>
  <si>
    <t>Neurocrine Biosciences Inc. Common Stock</t>
  </si>
  <si>
    <t>BCH</t>
  </si>
  <si>
    <t>Banco De Chile ADS</t>
  </si>
  <si>
    <t>AES</t>
  </si>
  <si>
    <t>The AES Corporation Common Stock</t>
  </si>
  <si>
    <t>SAIA</t>
  </si>
  <si>
    <t>Saia Inc. Common Stock</t>
  </si>
  <si>
    <t>USFD</t>
  </si>
  <si>
    <t>US Foods Holding Corp. Common Stock</t>
  </si>
  <si>
    <t>UTHR</t>
  </si>
  <si>
    <t>United Therapeutics Corporation Common Stock</t>
  </si>
  <si>
    <t>RVTY</t>
  </si>
  <si>
    <t>Revvity Inc. Common Stock</t>
  </si>
  <si>
    <t>TRMB</t>
  </si>
  <si>
    <t>Trimble Inc. Common Stock</t>
  </si>
  <si>
    <t>WES</t>
  </si>
  <si>
    <t>Western Midstream Partners LP Common Units Representing Limited Partner Interests</t>
  </si>
  <si>
    <t>CHK</t>
  </si>
  <si>
    <t>Chesapeake Energy Corporation Common Stock</t>
  </si>
  <si>
    <t>U</t>
  </si>
  <si>
    <t>Unity Software Inc. Common Stock</t>
  </si>
  <si>
    <t>UHAL</t>
  </si>
  <si>
    <t>Rental/Leasing Companies</t>
  </si>
  <si>
    <t>U-Haul Holding Company Common Stock</t>
  </si>
  <si>
    <t>NI</t>
  </si>
  <si>
    <t>NiSource Inc Common Stock</t>
  </si>
  <si>
    <t>PAYC</t>
  </si>
  <si>
    <t>Paycom Software Inc. Common Stock</t>
  </si>
  <si>
    <t>CHKEW</t>
  </si>
  <si>
    <t>Chesapeake Energy Corporation Class A Warrants</t>
  </si>
  <si>
    <t>NRG</t>
  </si>
  <si>
    <t>NRG Energy Inc. Common Stock</t>
  </si>
  <si>
    <t>CASY</t>
  </si>
  <si>
    <t>Casey's General Stores Inc. Common Stock</t>
  </si>
  <si>
    <t>PR</t>
  </si>
  <si>
    <t>Permian Resources Corporation Class A Common Stock</t>
  </si>
  <si>
    <t>BEP</t>
  </si>
  <si>
    <t>Brookfield Renewable Partners L.P.</t>
  </si>
  <si>
    <t>KEY</t>
  </si>
  <si>
    <t>KeyCorp Common Stock</t>
  </si>
  <si>
    <t>PARAA</t>
  </si>
  <si>
    <t>Paramount Global Class A Common Stock</t>
  </si>
  <si>
    <t>TRU</t>
  </si>
  <si>
    <t>TransUnion Common Stock</t>
  </si>
  <si>
    <t>CX</t>
  </si>
  <si>
    <t>Cemex S.A.B. de C.V. Sponsored ADR</t>
  </si>
  <si>
    <t>CDAY</t>
  </si>
  <si>
    <t>Ceridian HCM Holding Inc. Common Stock</t>
  </si>
  <si>
    <t>PNR</t>
  </si>
  <si>
    <t>Pentair plc. Ordinary Share</t>
  </si>
  <si>
    <t>FMS</t>
  </si>
  <si>
    <t>Misc Health and Biotechnology Services</t>
  </si>
  <si>
    <t>Fresenius Medical Care AG Common Stock</t>
  </si>
  <si>
    <t>KMX</t>
  </si>
  <si>
    <t>CarMax Inc</t>
  </si>
  <si>
    <t>PAG</t>
  </si>
  <si>
    <t>Penske Automotive Group Inc. Common Stock</t>
  </si>
  <si>
    <t>OTEX</t>
  </si>
  <si>
    <t>Open Text Corporation Common Shares</t>
  </si>
  <si>
    <t>EME</t>
  </si>
  <si>
    <t>EMCOR Group Inc. Common Stock</t>
  </si>
  <si>
    <t>FIVE</t>
  </si>
  <si>
    <t>Five Below Inc. Common Stock</t>
  </si>
  <si>
    <t>TPG</t>
  </si>
  <si>
    <t>TPG Inc. Class A Common Stock</t>
  </si>
  <si>
    <t>PATH</t>
  </si>
  <si>
    <t>UiPath Inc. Class A Common Stock</t>
  </si>
  <si>
    <t>WRK</t>
  </si>
  <si>
    <t>Westrock Company Common Stock</t>
  </si>
  <si>
    <t>BAP</t>
  </si>
  <si>
    <t>Credicorp Ltd. Common Stock</t>
  </si>
  <si>
    <t>WYNN</t>
  </si>
  <si>
    <t>Wynn Resorts Limited Common stock</t>
  </si>
  <si>
    <t>TEVA</t>
  </si>
  <si>
    <t>Teva Pharmaceutical Industries Limited American Depositary Shares</t>
  </si>
  <si>
    <t>CCK</t>
  </si>
  <si>
    <t>Crown Holdings Inc.</t>
  </si>
  <si>
    <t>DOX</t>
  </si>
  <si>
    <t>Amdocs Limited Ordinary Shares</t>
  </si>
  <si>
    <t>DINO</t>
  </si>
  <si>
    <t>HF Sinclair Corporation Common Stock</t>
  </si>
  <si>
    <t>XPO</t>
  </si>
  <si>
    <t>XPO Inc. Common Stock</t>
  </si>
  <si>
    <t>TFII</t>
  </si>
  <si>
    <t>TFI International Inc. Common Shares</t>
  </si>
  <si>
    <t>DKS</t>
  </si>
  <si>
    <t>Dick's Sporting Goods Inc Common Stock</t>
  </si>
  <si>
    <t>OZKAP</t>
  </si>
  <si>
    <t>Bank OZK 4.625% Series A Non-Cumulative Perpetual Preferred Stock</t>
  </si>
  <si>
    <t>REXR</t>
  </si>
  <si>
    <t>Rexford Industrial Realty Inc. Common Stock</t>
  </si>
  <si>
    <t>WSM</t>
  </si>
  <si>
    <t>Home Furnishings</t>
  </si>
  <si>
    <t>Williams-Sonoma Inc. Common Stock (DE)</t>
  </si>
  <si>
    <t>PFGC</t>
  </si>
  <si>
    <t>Performance Food Group Company Common Stock</t>
  </si>
  <si>
    <t>LAMR</t>
  </si>
  <si>
    <t>Lamar Advertising Company Class A Common Stock</t>
  </si>
  <si>
    <t>CPT</t>
  </si>
  <si>
    <t>Camden Property Trust Common Stock</t>
  </si>
  <si>
    <t>FFIV</t>
  </si>
  <si>
    <t>F5 Inc. Common Stock</t>
  </si>
  <si>
    <t>TFX</t>
  </si>
  <si>
    <t>Teleflex Incorporated Common Stock</t>
  </si>
  <si>
    <t>FTI</t>
  </si>
  <si>
    <t>TechnipFMC plc Ordinary Share</t>
  </si>
  <si>
    <t>CZR</t>
  </si>
  <si>
    <t>Caesars Entertainment Inc. Common Stock</t>
  </si>
  <si>
    <t>NTNX</t>
  </si>
  <si>
    <t>Nutanix Inc. Class A Common Stock</t>
  </si>
  <si>
    <t>CHRW</t>
  </si>
  <si>
    <t>C.H. Robinson Worldwide Inc. Common Stock</t>
  </si>
  <si>
    <t>DBX</t>
  </si>
  <si>
    <t>Dropbox Inc. Class A Common Stock</t>
  </si>
  <si>
    <t>WTRG</t>
  </si>
  <si>
    <t>Essential Utilities Inc. Common Stock</t>
  </si>
  <si>
    <t>OZK</t>
  </si>
  <si>
    <t>Bank OZK Common Stock</t>
  </si>
  <si>
    <t>EMN</t>
  </si>
  <si>
    <t>Eastman Chemical Company Common Stock</t>
  </si>
  <si>
    <t>BJ</t>
  </si>
  <si>
    <t>BJ's Wholesale Club Holdings Inc. Common Stock</t>
  </si>
  <si>
    <t>HII</t>
  </si>
  <si>
    <t>Huntington Ingalls Industries Inc. Common Stock</t>
  </si>
  <si>
    <t>VLYPP</t>
  </si>
  <si>
    <t>Valley National Bancorp 6.25% Fixed-to-Floating Rate Non-Cumulative Perpetual Preferred Stock Series A</t>
  </si>
  <si>
    <t>TECH</t>
  </si>
  <si>
    <t>Bio-Techne Corp Common Stock</t>
  </si>
  <si>
    <t>AFG</t>
  </si>
  <si>
    <t>American Financial Group Inc. Common Stock</t>
  </si>
  <si>
    <t>ALLE</t>
  </si>
  <si>
    <t>Allegion plc Ordinary Shares</t>
  </si>
  <si>
    <t>EQH</t>
  </si>
  <si>
    <t>Equitable Holdings Inc. Common Stock</t>
  </si>
  <si>
    <t>PRH</t>
  </si>
  <si>
    <t>Prudential Financial Inc. 5.950% Junior Subordinated Notes due 2062</t>
  </si>
  <si>
    <t>QRVO</t>
  </si>
  <si>
    <t>Qorvo Inc. Common Stock</t>
  </si>
  <si>
    <t>UHS</t>
  </si>
  <si>
    <t>Universal Health Services Inc. Common Stock</t>
  </si>
  <si>
    <t>CHDN</t>
  </si>
  <si>
    <t>Churchill Downs Incorporated Common Stock</t>
  </si>
  <si>
    <t>BIO</t>
  </si>
  <si>
    <t>Bio-Rad Laboratories Inc. Class A Common Stock</t>
  </si>
  <si>
    <t>CRL</t>
  </si>
  <si>
    <t>Charles River Laboratories International Inc. Common Stock</t>
  </si>
  <si>
    <t>WMS</t>
  </si>
  <si>
    <t>Advanced Drainage Systems Inc. Common Stock</t>
  </si>
  <si>
    <t>IBKR</t>
  </si>
  <si>
    <t>Interactive Brokers Group Inc. Class A Common Stock</t>
  </si>
  <si>
    <t>SNX</t>
  </si>
  <si>
    <t>TD SYNNEX Corporation Common Stock</t>
  </si>
  <si>
    <t>DUOL</t>
  </si>
  <si>
    <t>Duolingo Inc. Class A Common Stock</t>
  </si>
  <si>
    <t>CHE</t>
  </si>
  <si>
    <t>Medical/Nursing Services</t>
  </si>
  <si>
    <t>COTY</t>
  </si>
  <si>
    <t>Coty Inc. Class A Common Stock</t>
  </si>
  <si>
    <t>CLH</t>
  </si>
  <si>
    <t>Clean Harbors Inc. Common Stock</t>
  </si>
  <si>
    <t>PEAK</t>
  </si>
  <si>
    <t>Healthpeak Properties Inc. Common Stock</t>
  </si>
  <si>
    <t>TTC</t>
  </si>
  <si>
    <t>Tools/Hardware</t>
  </si>
  <si>
    <t>Toro Company (The) Common Stock</t>
  </si>
  <si>
    <t>LCID</t>
  </si>
  <si>
    <t>Lucid Group Inc. Common Stock</t>
  </si>
  <si>
    <t>AGCO</t>
  </si>
  <si>
    <t>AGCO Corporation Common Stock</t>
  </si>
  <si>
    <t>CHKEL</t>
  </si>
  <si>
    <t>Chesapeake Energy Corporation Class C Warrants</t>
  </si>
  <si>
    <t>QGEN</t>
  </si>
  <si>
    <t>Qiagen N.V. Common Shares</t>
  </si>
  <si>
    <t>JNPR</t>
  </si>
  <si>
    <t>Juniper Networks Inc. Common Stock</t>
  </si>
  <si>
    <t>UWMC</t>
  </si>
  <si>
    <t>UWM Holdings Corporation Class A Common Stock</t>
  </si>
  <si>
    <t>TOL</t>
  </si>
  <si>
    <t>Toll Brothers Inc. Common Stock</t>
  </si>
  <si>
    <t>Indonesia</t>
  </si>
  <si>
    <t>BLD</t>
  </si>
  <si>
    <t>TopBuild Corp. Common Stock</t>
  </si>
  <si>
    <t>CHWY</t>
  </si>
  <si>
    <t>Chewy Inc. Class A Common Stock</t>
  </si>
  <si>
    <t>CHKEZ</t>
  </si>
  <si>
    <t>Chesapeake Energy Corporation Class B Warrants</t>
  </si>
  <si>
    <t>AIZ</t>
  </si>
  <si>
    <t>Assurant Inc. Common Stock</t>
  </si>
  <si>
    <t>Turkey</t>
  </si>
  <si>
    <t>Z</t>
  </si>
  <si>
    <t>Zillow Group Inc. Class C Capital Stock</t>
  </si>
  <si>
    <t>SCI</t>
  </si>
  <si>
    <t>Service Corporation International Common Stock</t>
  </si>
  <si>
    <t>TIMB</t>
  </si>
  <si>
    <t>TIM S.A. American Depositary Shares (Each representing 5 Common Shares)</t>
  </si>
  <si>
    <t>BSAC</t>
  </si>
  <si>
    <t>Banco Santander - Chile ADS</t>
  </si>
  <si>
    <t>PSO</t>
  </si>
  <si>
    <t>Books</t>
  </si>
  <si>
    <t>Pearson Plc Common Stock</t>
  </si>
  <si>
    <t>CET</t>
  </si>
  <si>
    <t>Finance/Investors Services</t>
  </si>
  <si>
    <t>Central Securities Corporation Common Stock</t>
  </si>
  <si>
    <t>NVT</t>
  </si>
  <si>
    <t>nVent Electric plc Ordinary Shares</t>
  </si>
  <si>
    <t>NLY</t>
  </si>
  <si>
    <t>Annaly Capital Management Inc. Common Stock</t>
  </si>
  <si>
    <t>BRKR</t>
  </si>
  <si>
    <t>Bruker Corporation Common Stock</t>
  </si>
  <si>
    <t>BURL</t>
  </si>
  <si>
    <t>Burlington Stores Inc. Common Stock</t>
  </si>
  <si>
    <t>UNM</t>
  </si>
  <si>
    <t>Unum Group Common Stock</t>
  </si>
  <si>
    <t>SBS</t>
  </si>
  <si>
    <t>Companhia de saneamento Basico Do Estado De Sao Paulo - Sabesp American Depositary Shares (Each repstg 250 Common Shares)</t>
  </si>
  <si>
    <t>MKTX</t>
  </si>
  <si>
    <t>MarketAxess Holdings Inc. Common Stock</t>
  </si>
  <si>
    <t>MEDP</t>
  </si>
  <si>
    <t>Medpace Holdings Inc. Common Stock</t>
  </si>
  <si>
    <t>ITT</t>
  </si>
  <si>
    <t>ITT Inc. Common Stock</t>
  </si>
  <si>
    <t>MTN</t>
  </si>
  <si>
    <t>Vail Resorts Inc. Common Stock</t>
  </si>
  <si>
    <t>FND</t>
  </si>
  <si>
    <t>Floor &amp; Decor Holdings Inc. Common Stock</t>
  </si>
  <si>
    <t>ESLT</t>
  </si>
  <si>
    <t>Elbit Systems Ltd. Ordinary Shares</t>
  </si>
  <si>
    <t>PCTY</t>
  </si>
  <si>
    <t>Paylocity Holding Corporation Common Stock</t>
  </si>
  <si>
    <t>VIPS</t>
  </si>
  <si>
    <t>Vipshop Holdings Limited American Depositary Shares each representing two ordinary shares</t>
  </si>
  <si>
    <t>HSIC</t>
  </si>
  <si>
    <t>Henry Schein Inc. Common Stock</t>
  </si>
  <si>
    <t>SKM</t>
  </si>
  <si>
    <t>SK Telecom Co. Ltd. Common Stock</t>
  </si>
  <si>
    <t>PRS</t>
  </si>
  <si>
    <t>Prudential Financial Inc. 5.625% Junior Subordinated Notes due 2058</t>
  </si>
  <si>
    <t>CLF</t>
  </si>
  <si>
    <t>Cleveland-Cliffs Inc. Common Stock</t>
  </si>
  <si>
    <t>DLB</t>
  </si>
  <si>
    <t>Multi-Sector Companies</t>
  </si>
  <si>
    <t>Dolby Laboratories Common Stock</t>
  </si>
  <si>
    <t>DOCU</t>
  </si>
  <si>
    <t>DocuSign Inc. Common Stock</t>
  </si>
  <si>
    <t>LSXMA</t>
  </si>
  <si>
    <t>Movies/Entertainment</t>
  </si>
  <si>
    <t>Liberty Media Corporation Series A Liberty SiriusXM Common Stock</t>
  </si>
  <si>
    <t>LSXMK</t>
  </si>
  <si>
    <t>Liberty Media Corporation Series C Liberty SiriusXM Common Stock</t>
  </si>
  <si>
    <t>ZG</t>
  </si>
  <si>
    <t>Zillow Group Inc. Class A Common Stock</t>
  </si>
  <si>
    <t>KNSL</t>
  </si>
  <si>
    <t>Kinsale Capital Group Inc. Common Stock</t>
  </si>
  <si>
    <t>ATR</t>
  </si>
  <si>
    <t>Plastic Products</t>
  </si>
  <si>
    <t>AptarGroup Inc. Common Stock</t>
  </si>
  <si>
    <t>LSXMB</t>
  </si>
  <si>
    <t>Liberty Media Corporation Series B Liberty SiriusXM Common Stock</t>
  </si>
  <si>
    <t>KEP</t>
  </si>
  <si>
    <t>Korea Electric Power Corporation Common Stock</t>
  </si>
  <si>
    <t>RGEN</t>
  </si>
  <si>
    <t>Repligen Corporation Common Stock</t>
  </si>
  <si>
    <t>BXP</t>
  </si>
  <si>
    <t>Boston Properties Inc. Common Stock</t>
  </si>
  <si>
    <t>TTEK</t>
  </si>
  <si>
    <t>Tetra Tech Inc. Common Stock</t>
  </si>
  <si>
    <t>CUBE</t>
  </si>
  <si>
    <t>CubeSmart Common Shares</t>
  </si>
  <si>
    <t>WWD</t>
  </si>
  <si>
    <t>Woodward Inc. Common Stock</t>
  </si>
  <si>
    <t>RHI</t>
  </si>
  <si>
    <t>Robert Half Inc. Common Stock</t>
  </si>
  <si>
    <t>MNSO</t>
  </si>
  <si>
    <t>MINISO Group Holding Limited American Depositary Shares each representing four Ordinary Shares</t>
  </si>
  <si>
    <t>ALV</t>
  </si>
  <si>
    <t>Autoliv Inc. Common Stock</t>
  </si>
  <si>
    <t>SYT</t>
  </si>
  <si>
    <t>SYLA Technologies Co. Ltd. American Depositary Shares</t>
  </si>
  <si>
    <t>FUTU</t>
  </si>
  <si>
    <t>Futu Holdings Limited American Depositary Shares</t>
  </si>
  <si>
    <t>MTCH</t>
  </si>
  <si>
    <t>Match Group Inc. Common Stock</t>
  </si>
  <si>
    <t>ACGLO</t>
  </si>
  <si>
    <t>Arch Capital Group Ltd. Depositary Shares Each Representing 1/1000th Interest in a Share of 5.45% Non-Cumulative Preferred Shares Series F</t>
  </si>
  <si>
    <t>GGB</t>
  </si>
  <si>
    <t>Gerdau S.A. Common Stock</t>
  </si>
  <si>
    <t>KNX</t>
  </si>
  <si>
    <t>Knight-Swift Transportation Holdings Inc.</t>
  </si>
  <si>
    <t>IEP</t>
  </si>
  <si>
    <t>Icahn Enterprises L.P. Common Stock</t>
  </si>
  <si>
    <t>PNW</t>
  </si>
  <si>
    <t>Pinnacle West Capital Corporation Common Stock</t>
  </si>
  <si>
    <t>EWBC</t>
  </si>
  <si>
    <t>East West Bancorp Inc. Common Stock</t>
  </si>
  <si>
    <t>RRC</t>
  </si>
  <si>
    <t>Range Resources Corporation Common Stock</t>
  </si>
  <si>
    <t>CW</t>
  </si>
  <si>
    <t>Curtiss-Wright Corporation Common Stock</t>
  </si>
  <si>
    <t>LNW</t>
  </si>
  <si>
    <t>Light &amp; Wonder Inc. Common Stock</t>
  </si>
  <si>
    <t>PARA</t>
  </si>
  <si>
    <t>Paramount Global Class B Common Stock</t>
  </si>
  <si>
    <t>LSCC</t>
  </si>
  <si>
    <t>Lattice Semiconductor Corporation Common Stock</t>
  </si>
  <si>
    <t>FCN</t>
  </si>
  <si>
    <t>FTI Consulting Inc. Common Stock</t>
  </si>
  <si>
    <t>ORI</t>
  </si>
  <si>
    <t>Old Republic International Corporation Common Stock</t>
  </si>
  <si>
    <t>EGP</t>
  </si>
  <si>
    <t>EastGroup Properties Inc. Common Stock</t>
  </si>
  <si>
    <t>OHI</t>
  </si>
  <si>
    <t>Omega Healthcare Investors Inc. Common Stock</t>
  </si>
  <si>
    <t>MUSA</t>
  </si>
  <si>
    <t>Murphy USA Inc. Common Stock</t>
  </si>
  <si>
    <t>AIU</t>
  </si>
  <si>
    <t>Meta Data Limited ADS</t>
  </si>
  <si>
    <t>AR</t>
  </si>
  <si>
    <t>Antero Resources Corporation Common Stock</t>
  </si>
  <si>
    <t>SSL</t>
  </si>
  <si>
    <t>Sasol Ltd. American Depositary Shares</t>
  </si>
  <si>
    <t>AAL</t>
  </si>
  <si>
    <t>American Airlines Group Inc. Common Stock</t>
  </si>
  <si>
    <t>SKX</t>
  </si>
  <si>
    <t>Skechers U.S.A. Inc. Common Stock</t>
  </si>
  <si>
    <t>ALLY</t>
  </si>
  <si>
    <t>Ally Financial Inc. Common Stock</t>
  </si>
  <si>
    <t>FBIN</t>
  </si>
  <si>
    <t>Forest Products</t>
  </si>
  <si>
    <t>Fortune Brands Innovations Inc. Common Stock</t>
  </si>
  <si>
    <t>X</t>
  </si>
  <si>
    <t>United States Steel Corporation Common Stock</t>
  </si>
  <si>
    <t>BIRK</t>
  </si>
  <si>
    <t>Birkenstock Holding plc Ordinary Shares</t>
  </si>
  <si>
    <t>STN</t>
  </si>
  <si>
    <t>Stantec Inc Common Stock</t>
  </si>
  <si>
    <t>TOST</t>
  </si>
  <si>
    <t>Toast Inc. Class A Common Stock</t>
  </si>
  <si>
    <t>BWA</t>
  </si>
  <si>
    <t>BorgWarner Inc. Common Stock</t>
  </si>
  <si>
    <t>NOV</t>
  </si>
  <si>
    <t>NOV Inc. Common Stock</t>
  </si>
  <si>
    <t>ONON</t>
  </si>
  <si>
    <t>On Holding AG Class A Ordinary Shares</t>
  </si>
  <si>
    <t>DVA</t>
  </si>
  <si>
    <t>DaVita Inc. Common Stock</t>
  </si>
  <si>
    <t>ETSY</t>
  </si>
  <si>
    <t>Etsy Inc. Common Stock</t>
  </si>
  <si>
    <t>JAZZ</t>
  </si>
  <si>
    <t>Jazz Pharmaceuticals plc Common Stock (Ireland)</t>
  </si>
  <si>
    <t>FRT</t>
  </si>
  <si>
    <t>Federal Realty Investment Trust Common Stock</t>
  </si>
  <si>
    <t>SUZ</t>
  </si>
  <si>
    <t>Suzano S.A. American Depositary Shares (each representing One Ordinary Share)</t>
  </si>
  <si>
    <t>CYBR</t>
  </si>
  <si>
    <t>CyberArk Software Ltd. Ordinary Shares</t>
  </si>
  <si>
    <t>ESTC</t>
  </si>
  <si>
    <t>Elastic N.V. Ordinary Shares</t>
  </si>
  <si>
    <t>RL</t>
  </si>
  <si>
    <t>Ralph Lauren Corporation Common Stock</t>
  </si>
  <si>
    <t>PCOR</t>
  </si>
  <si>
    <t>Procore Technologies Inc. Common Stock</t>
  </si>
  <si>
    <t>ARMK</t>
  </si>
  <si>
    <t>Aramark Common Stock</t>
  </si>
  <si>
    <t>SEIC</t>
  </si>
  <si>
    <t>SEI Investments Company Common Stock</t>
  </si>
  <si>
    <t>YMM</t>
  </si>
  <si>
    <t>Full Truck Alliance Co. Ltd. American Depositary Shares (each representing 20 Class A Ordinary Shares)</t>
  </si>
  <si>
    <t>SRPT</t>
  </si>
  <si>
    <t>Sarepta Therapeutics Inc. Common Stock (DE)</t>
  </si>
  <si>
    <t>LEA</t>
  </si>
  <si>
    <t>Lear Corporation Common Stock</t>
  </si>
  <si>
    <t>GWRE</t>
  </si>
  <si>
    <t>Guidewire Software Inc. Common Stock</t>
  </si>
  <si>
    <t>MSTR</t>
  </si>
  <si>
    <t>MicroStrategy Incorporated Common Stock Class A</t>
  </si>
  <si>
    <t>OLED</t>
  </si>
  <si>
    <t>Universal Display Corporation Common Stock</t>
  </si>
  <si>
    <t>GLOB</t>
  </si>
  <si>
    <t>Globant S.A. Common Shares</t>
  </si>
  <si>
    <t>WEX</t>
  </si>
  <si>
    <t>WEX Inc. common stock</t>
  </si>
  <si>
    <t>RRX</t>
  </si>
  <si>
    <t>Regal Rexnord Corporation Common Stock</t>
  </si>
  <si>
    <t>DCI</t>
  </si>
  <si>
    <t>Pollution Control Equipment</t>
  </si>
  <si>
    <t>Donaldson Company Inc. Common Stock</t>
  </si>
  <si>
    <t>CCCS</t>
  </si>
  <si>
    <t>CCC Intelligent Solutions Holdings Inc. Common Stock</t>
  </si>
  <si>
    <t>CACI</t>
  </si>
  <si>
    <t>CACI International Inc. Class A Common Stock</t>
  </si>
  <si>
    <t>VOYA</t>
  </si>
  <si>
    <t>Voya Financial Inc. Common Stock</t>
  </si>
  <si>
    <t>WCC</t>
  </si>
  <si>
    <t>WESCO International Inc. Common Stock</t>
  </si>
  <si>
    <t>PRI</t>
  </si>
  <si>
    <t>Primerica Inc. Common Stock</t>
  </si>
  <si>
    <t>TX</t>
  </si>
  <si>
    <t>Ternium S.A. Ternium S.A. American Depositary Shares (each representing ten shares USD1.00 par value)</t>
  </si>
  <si>
    <t>NYT</t>
  </si>
  <si>
    <t>New York Times Company (The) Common Stock</t>
  </si>
  <si>
    <t>SWN</t>
  </si>
  <si>
    <t>Southwestern Energy Company Common Stock</t>
  </si>
  <si>
    <t>GJS</t>
  </si>
  <si>
    <t>Goldman Sachs Group Securities STRATS Trust for Goldman Sachs Group Securities Series 2006-2</t>
  </si>
  <si>
    <t>JEF</t>
  </si>
  <si>
    <t>Jefferies Financial Group Inc. Common Stock</t>
  </si>
  <si>
    <t>HOOD</t>
  </si>
  <si>
    <t>Robinhood Markets Inc. Class A Common Stock</t>
  </si>
  <si>
    <t>CNM</t>
  </si>
  <si>
    <t>Core &amp; Main Inc. Class A Common Stock</t>
  </si>
  <si>
    <t>APPF</t>
  </si>
  <si>
    <t>AppFolio Inc. Class A Common Stock</t>
  </si>
  <si>
    <t>KBR</t>
  </si>
  <si>
    <t>KBR Inc. Common Stock</t>
  </si>
  <si>
    <t>COLD</t>
  </si>
  <si>
    <t>Americold Realty Trust Inc. Common Stock</t>
  </si>
  <si>
    <t>HLI</t>
  </si>
  <si>
    <t>Houlihan Lokey Inc. Class A Common Stock</t>
  </si>
  <si>
    <t>LAD</t>
  </si>
  <si>
    <t>Lithia Motors Inc. Common Stock</t>
  </si>
  <si>
    <t>BBWI</t>
  </si>
  <si>
    <t>Bath &amp; Body Works Inc.</t>
  </si>
  <si>
    <t>RGLD</t>
  </si>
  <si>
    <t>Royal Gold Inc. Common Stock</t>
  </si>
  <si>
    <t>WSC</t>
  </si>
  <si>
    <t>Misc Corporate Leasing Services</t>
  </si>
  <si>
    <t>WillScot Mobile Mini Holdings Corp. Class A Common Stock</t>
  </si>
  <si>
    <t>BWXT</t>
  </si>
  <si>
    <t>BWX Technologies Inc. Common Stock</t>
  </si>
  <si>
    <t>PEN</t>
  </si>
  <si>
    <t>Penumbra Inc. Common Stock</t>
  </si>
  <si>
    <t>CART</t>
  </si>
  <si>
    <t>Maplebear Inc. Common Stock</t>
  </si>
  <si>
    <t>NNN</t>
  </si>
  <si>
    <t>NNN REIT Inc. Common Stock</t>
  </si>
  <si>
    <t>TXRH</t>
  </si>
  <si>
    <t>Texas Roadhouse Inc. Common Stock</t>
  </si>
  <si>
    <t>CAE</t>
  </si>
  <si>
    <t>CAE Inc. Ordinary Shares</t>
  </si>
  <si>
    <t>WF</t>
  </si>
  <si>
    <t>Woori Financial Group Inc. American Depositary Shares (each representing three (3) shares of Common Stock)</t>
  </si>
  <si>
    <t>GNTX</t>
  </si>
  <si>
    <t>Gentex Corporation Common Stock</t>
  </si>
  <si>
    <t>GTLB</t>
  </si>
  <si>
    <t>GitLab Inc. Class A Common Stock</t>
  </si>
  <si>
    <t>ACGLN</t>
  </si>
  <si>
    <t>Arch Capital Group Ltd. Depositary Shares each Representing a 1/1000th Interest in a 4.550% Non-Cumulative Preferred Share Series G</t>
  </si>
  <si>
    <t>WFRD</t>
  </si>
  <si>
    <t>Weatherford International plc Ordinary Shares</t>
  </si>
  <si>
    <t>BERY</t>
  </si>
  <si>
    <t>Berry Global Group Inc. Common Stock</t>
  </si>
  <si>
    <t>CSAN</t>
  </si>
  <si>
    <t>Cosan S.A. ADS</t>
  </si>
  <si>
    <t>CMSD</t>
  </si>
  <si>
    <t>CMS Energy Corporation 5.875% Junior Subordinated Notes due 2079</t>
  </si>
  <si>
    <t>INFA</t>
  </si>
  <si>
    <t>Informatica Inc. Class A Common Stock</t>
  </si>
  <si>
    <t>OGE</t>
  </si>
  <si>
    <t>OGE Energy Corp Common Stock</t>
  </si>
  <si>
    <t>ROIV</t>
  </si>
  <si>
    <t>Roivant Sciences Ltd. Common Shares</t>
  </si>
  <si>
    <t>CAR</t>
  </si>
  <si>
    <t>Avis Budget Group Inc. Common Stock</t>
  </si>
  <si>
    <t>WBS</t>
  </si>
  <si>
    <t>Webster Financial Corporation Common Stock</t>
  </si>
  <si>
    <t>AFRM</t>
  </si>
  <si>
    <t>Affirm Holdings Inc. Class A Common Stock</t>
  </si>
  <si>
    <t>NFE</t>
  </si>
  <si>
    <t>New Fortress Energy Inc. Class A Common Stock</t>
  </si>
  <si>
    <t>CMSC</t>
  </si>
  <si>
    <t>CMS Energy Corporation 5.875% Junior Subordinated Notes due 2078</t>
  </si>
  <si>
    <t>ACHC</t>
  </si>
  <si>
    <t>Acadia Healthcare Company Inc. Common Stock</t>
  </si>
  <si>
    <t>RMBS</t>
  </si>
  <si>
    <t>Rambus Inc. Common Stock</t>
  </si>
  <si>
    <t>MTDR</t>
  </si>
  <si>
    <t>Matador Resources Company Common Stock</t>
  </si>
  <si>
    <t>NYCB</t>
  </si>
  <si>
    <t>Banks</t>
  </si>
  <si>
    <t>New York Community Bancorp Inc. Common Stock</t>
  </si>
  <si>
    <t>LBTYK</t>
  </si>
  <si>
    <t>Liberty Global plc Class C Ordinary Shares</t>
  </si>
  <si>
    <t>DAR</t>
  </si>
  <si>
    <t>Darling Ingredients Inc. Common Stock</t>
  </si>
  <si>
    <t>FIX</t>
  </si>
  <si>
    <t>Comfort Systems USA Inc. Common Stock</t>
  </si>
  <si>
    <t>CHRD</t>
  </si>
  <si>
    <t>Chord Energy Corporation Common Stock</t>
  </si>
  <si>
    <t>MNDY</t>
  </si>
  <si>
    <t>monday.com Ltd. Ordinary Shares</t>
  </si>
  <si>
    <t>ONBPP</t>
  </si>
  <si>
    <t>Old National Bancorp Depositary Shares Each Representing a 1/40th Interest in a Share of Series A Preferred Stock</t>
  </si>
  <si>
    <t>INGR</t>
  </si>
  <si>
    <t>Ingredion Incorporated Common Stock</t>
  </si>
  <si>
    <t>JLL</t>
  </si>
  <si>
    <t>Jones Lang LaSalle Incorporated Common Stock</t>
  </si>
  <si>
    <t>TREX</t>
  </si>
  <si>
    <t>Trex Company Inc. Common Stock</t>
  </si>
  <si>
    <t>AU</t>
  </si>
  <si>
    <t>AngloGold Ashanti PLC Ordinary Shares</t>
  </si>
  <si>
    <t>SOFI</t>
  </si>
  <si>
    <t>SoFi Technologies Inc. Common Stock</t>
  </si>
  <si>
    <t>IONS</t>
  </si>
  <si>
    <t>Ionis Pharmaceuticals Inc. Common Stock</t>
  </si>
  <si>
    <t>ONTO</t>
  </si>
  <si>
    <t>Onto Innovation Inc. Common Stock</t>
  </si>
  <si>
    <t>RBC</t>
  </si>
  <si>
    <t>RBC Bearings Incorporated Common Stock</t>
  </si>
  <si>
    <t>CMSA</t>
  </si>
  <si>
    <t>CMS Energy Corporation 5.625% Junior Subordinated Notes due 2078</t>
  </si>
  <si>
    <t>MUR</t>
  </si>
  <si>
    <t>Murphy Oil Corporation Common Stock</t>
  </si>
  <si>
    <t>LBTYB</t>
  </si>
  <si>
    <t>Liberty Global plc Class B Ordinary Shares</t>
  </si>
  <si>
    <t>GPK</t>
  </si>
  <si>
    <t>DSGX</t>
  </si>
  <si>
    <t>Descartes Systems Group Inc. (The) Common Stock</t>
  </si>
  <si>
    <t>APG</t>
  </si>
  <si>
    <t>APi Group Corporation Common Stock</t>
  </si>
  <si>
    <t>ONBPO</t>
  </si>
  <si>
    <t>Old National Bancorp Depositary Shares Each Representing a 1/40th Interest in a Share of Series C Preferred Stock</t>
  </si>
  <si>
    <t>XPEV</t>
  </si>
  <si>
    <t>XPeng Inc. American depositary shares each representing two Class A ordinary shares</t>
  </si>
  <si>
    <t>PSN</t>
  </si>
  <si>
    <t>Parsons Corporation Common Stock</t>
  </si>
  <si>
    <t>AXTA</t>
  </si>
  <si>
    <t>Axalta Coating Systems Ltd. Common Shares</t>
  </si>
  <si>
    <t>MAT</t>
  </si>
  <si>
    <t>Recreational Games/Products/Toys</t>
  </si>
  <si>
    <t>Mattel Inc. Common Stock</t>
  </si>
  <si>
    <t>KVYO</t>
  </si>
  <si>
    <t>Klaviyo Inc. Series A Common Stock</t>
  </si>
  <si>
    <t>ASR</t>
  </si>
  <si>
    <t>Grupo Aeroportuario del Sureste S.A. de C.V. Common Stock</t>
  </si>
  <si>
    <t>EXEL</t>
  </si>
  <si>
    <t>Exelixis Inc. Common Stock</t>
  </si>
  <si>
    <t>ARW</t>
  </si>
  <si>
    <t>Arrow Electronics Inc. Common Stock</t>
  </si>
  <si>
    <t>CIEN</t>
  </si>
  <si>
    <t>Ciena Corporation Common Stock</t>
  </si>
  <si>
    <t>CIB</t>
  </si>
  <si>
    <t>BanColombia S.A. Common Stock</t>
  </si>
  <si>
    <t>UI</t>
  </si>
  <si>
    <t>Ubiquiti Inc. Common Stock</t>
  </si>
  <si>
    <t>HRB</t>
  </si>
  <si>
    <t>H&amp;R Block Inc. Common Stock</t>
  </si>
  <si>
    <t>TPX</t>
  </si>
  <si>
    <t>Tempur Sealy International Inc. Common Stock</t>
  </si>
  <si>
    <t>KT</t>
  </si>
  <si>
    <t>KT Corporation Common Stock</t>
  </si>
  <si>
    <t>MIDD</t>
  </si>
  <si>
    <t>Middleby Corporation (The) Common Stock</t>
  </si>
  <si>
    <t>FSV</t>
  </si>
  <si>
    <t>FirstService Corporation Common Shares</t>
  </si>
  <si>
    <t>PAC</t>
  </si>
  <si>
    <t>Grupo Aeroportuario Del Pacifico S.A. B. de C.V. Grupo Aeroportuario Del Pacifico S.A. de C.V. (each representing 10 Series B shares)</t>
  </si>
  <si>
    <t>BZ</t>
  </si>
  <si>
    <t>KANZHUN LIMITED American Depository Shares</t>
  </si>
  <si>
    <t>TPR</t>
  </si>
  <si>
    <t>Tapestry Inc. Common Stock</t>
  </si>
  <si>
    <t>FMC</t>
  </si>
  <si>
    <t>FMC Corporation Common Stock</t>
  </si>
  <si>
    <t>CIVI</t>
  </si>
  <si>
    <t>Civitas Resources Inc. Common Stock</t>
  </si>
  <si>
    <t>CGABL</t>
  </si>
  <si>
    <t>The Carlyle Group Inc. 4.625% Subordinated Notes due 2061</t>
  </si>
  <si>
    <t>COKE</t>
  </si>
  <si>
    <t>Coca-Cola Consolidated Inc. Common Stock</t>
  </si>
  <si>
    <t>KRTX</t>
  </si>
  <si>
    <t>Karuna Therapeutics Inc. Common Stock</t>
  </si>
  <si>
    <t>WH</t>
  </si>
  <si>
    <t>Wyndham Hotels &amp; Resorts Inc. Common Stock</t>
  </si>
  <si>
    <t>UFPI</t>
  </si>
  <si>
    <t>UFP Industries Inc. Common Stock</t>
  </si>
  <si>
    <t>GNRC</t>
  </si>
  <si>
    <t>Generac Holdlings Inc. Common Stock</t>
  </si>
  <si>
    <t>KGC</t>
  </si>
  <si>
    <t>Kinross Gold Corporation Common Stock</t>
  </si>
  <si>
    <t>GXO</t>
  </si>
  <si>
    <t>GXO Logistics Inc. Common Stock</t>
  </si>
  <si>
    <t>LBTYA</t>
  </si>
  <si>
    <t>Liberty Global plc Class A Ordinary Shares</t>
  </si>
  <si>
    <t>BRX</t>
  </si>
  <si>
    <t>Brixmor Property Group Inc. Common Stock</t>
  </si>
  <si>
    <t>QLYS</t>
  </si>
  <si>
    <t>Qualys Inc. Common Stock</t>
  </si>
  <si>
    <t>FHN</t>
  </si>
  <si>
    <t>First Horizon Corporation Common Stock</t>
  </si>
  <si>
    <t>ICL</t>
  </si>
  <si>
    <t>ICL Group Ltd. Ordinary Shares</t>
  </si>
  <si>
    <t>MSA</t>
  </si>
  <si>
    <t>MSA Safety Incorporated Common Stock</t>
  </si>
  <si>
    <t>EHC</t>
  </si>
  <si>
    <t>Encompass Health Corporation Common Stock</t>
  </si>
  <si>
    <t>WTS</t>
  </si>
  <si>
    <t>Watts Water Technologies Inc. Class A Common Stock</t>
  </si>
  <si>
    <t>AIT</t>
  </si>
  <si>
    <t>Applied Industrial Technologies Inc. Common Stock</t>
  </si>
  <si>
    <t>STAG</t>
  </si>
  <si>
    <t>Stag Industrial Inc. Common Stock</t>
  </si>
  <si>
    <t>CGNX</t>
  </si>
  <si>
    <t>Cognex Corporation Common Stock</t>
  </si>
  <si>
    <t>SPSC</t>
  </si>
  <si>
    <t>SPS Commerce Inc. Common Stock</t>
  </si>
  <si>
    <t>WING</t>
  </si>
  <si>
    <t>Wingstop Inc. Common Stock</t>
  </si>
  <si>
    <t>SSD</t>
  </si>
  <si>
    <t>Simpson Manufacturing Company Inc. Common Stock</t>
  </si>
  <si>
    <t>RLI</t>
  </si>
  <si>
    <t>RLI Corp. Common Stock (DE)</t>
  </si>
  <si>
    <t>SIGI</t>
  </si>
  <si>
    <t>Selective Insurance Group Inc. Common Stock</t>
  </si>
  <si>
    <t>FLR</t>
  </si>
  <si>
    <t>Fluor Corporation Common Stock</t>
  </si>
  <si>
    <t>PPC</t>
  </si>
  <si>
    <t>Pilgrim's Pride Corporation Common Stock</t>
  </si>
  <si>
    <t>SF</t>
  </si>
  <si>
    <t>Stifel Financial Corporation Common Stock</t>
  </si>
  <si>
    <t>GRFS</t>
  </si>
  <si>
    <t>Grifols S.A. American Depositary Shares</t>
  </si>
  <si>
    <t>WFG</t>
  </si>
  <si>
    <t>West Fraser Timber Co. Ltd Common stock</t>
  </si>
  <si>
    <t>BRBR</t>
  </si>
  <si>
    <t>BellRing Brands Inc. Common Stock</t>
  </si>
  <si>
    <t>FN</t>
  </si>
  <si>
    <t>Fabrinet Ordinary Shares</t>
  </si>
  <si>
    <t>GMED</t>
  </si>
  <si>
    <t>Globus Medical Inc. Class A Common Stock</t>
  </si>
  <si>
    <t>LSTR</t>
  </si>
  <si>
    <t>Landstar System Inc. Common Stock</t>
  </si>
  <si>
    <t>OSK</t>
  </si>
  <si>
    <t>Oshkosh Corporation (Holding Company)Common Stock</t>
  </si>
  <si>
    <t>CTLT</t>
  </si>
  <si>
    <t>Catalent Inc. Common Stock</t>
  </si>
  <si>
    <t>BILL</t>
  </si>
  <si>
    <t>BILL Holdings Inc. Common Stock</t>
  </si>
  <si>
    <t>WHR</t>
  </si>
  <si>
    <t>Whirlpool Corporation Common Stock</t>
  </si>
  <si>
    <t>XRAY</t>
  </si>
  <si>
    <t>DENTSPLY SIRONA Inc. Common Stock</t>
  </si>
  <si>
    <t>STWD</t>
  </si>
  <si>
    <t>STARWOOD PROPERTY TRUST INC. Starwood Property Trust Inc.</t>
  </si>
  <si>
    <t>AM</t>
  </si>
  <si>
    <t>Antero Midstream Corporation Common Stock</t>
  </si>
  <si>
    <t>TAL</t>
  </si>
  <si>
    <t>TAL Education Group American Depositary Shares</t>
  </si>
  <si>
    <t>HAS</t>
  </si>
  <si>
    <t>Hasbro Inc. Common Stock</t>
  </si>
  <si>
    <t>SN</t>
  </si>
  <si>
    <t>SharkNinja Inc. Ordinary Shares</t>
  </si>
  <si>
    <t>OMAB</t>
  </si>
  <si>
    <t>Grupo Aeroportuario del Centro Norte S.A.B. de C.V. ADS</t>
  </si>
  <si>
    <t>CFR</t>
  </si>
  <si>
    <t>Cullen/Frost Bankers Inc. Common Stock</t>
  </si>
  <si>
    <t>SAIC</t>
  </si>
  <si>
    <t>SCIENCE APPLICATIONS INTERNATIONAL CORPORATION Common Stock</t>
  </si>
  <si>
    <t>SWAV</t>
  </si>
  <si>
    <t>ShockWave Medical Inc. Common Stock</t>
  </si>
  <si>
    <t>HQY</t>
  </si>
  <si>
    <t>HealthEquity Inc. Common Stock</t>
  </si>
  <si>
    <t>GIL</t>
  </si>
  <si>
    <t>Building Products</t>
  </si>
  <si>
    <t>Gildan Activewear Inc. Class A Sub. Vot. Common Stock</t>
  </si>
  <si>
    <t>GDEV</t>
  </si>
  <si>
    <t>GDEV Inc. Ordinary Shares</t>
  </si>
  <si>
    <t>IVZ</t>
  </si>
  <si>
    <t>Invesco Ltd Common Stock</t>
  </si>
  <si>
    <t>AMKR</t>
  </si>
  <si>
    <t>Amkor Technology Inc. Common Stock</t>
  </si>
  <si>
    <t>G</t>
  </si>
  <si>
    <t>Genpact Limited Common Stock</t>
  </si>
  <si>
    <t>EXP</t>
  </si>
  <si>
    <t>Eagle Materials Inc Common Stock</t>
  </si>
  <si>
    <t>CVNA</t>
  </si>
  <si>
    <t>Carvana Co. Class A Common Stock</t>
  </si>
  <si>
    <t>CR</t>
  </si>
  <si>
    <t>Crane Company Common Stock</t>
  </si>
  <si>
    <t>ENSG</t>
  </si>
  <si>
    <t>The Ensign Group Inc. Common Stock</t>
  </si>
  <si>
    <t>VFC</t>
  </si>
  <si>
    <t>V.F. Corporation Common Stock</t>
  </si>
  <si>
    <t>GLBE</t>
  </si>
  <si>
    <t>Global-E Online Ltd. Ordinary Shares</t>
  </si>
  <si>
    <t>FR</t>
  </si>
  <si>
    <t>First Industrial Realty Trust Inc. Common Stock</t>
  </si>
  <si>
    <t>ALTR</t>
  </si>
  <si>
    <t>Altair Engineering Inc. Class A Common Stock</t>
  </si>
  <si>
    <t>SITE</t>
  </si>
  <si>
    <t>Professional and commerical equipment</t>
  </si>
  <si>
    <t>SiteOne Landscape Supply Inc. Common Stock</t>
  </si>
  <si>
    <t>REYN</t>
  </si>
  <si>
    <t>Reynolds Consumer Products Inc. Common Stock</t>
  </si>
  <si>
    <t>ADC</t>
  </si>
  <si>
    <t>Agree Realty Corporation Common Stock</t>
  </si>
  <si>
    <t>ACV Auctions Inc. Class A Common Stock</t>
  </si>
  <si>
    <t>CIG</t>
  </si>
  <si>
    <t>Comp En De Mn Cemig ADS American Depositary Shares</t>
  </si>
  <si>
    <t>CHX</t>
  </si>
  <si>
    <t>ChampionX Corporation Common Stock</t>
  </si>
  <si>
    <t>LFUS</t>
  </si>
  <si>
    <t>Littelfuse Inc. Common Stock</t>
  </si>
  <si>
    <t>PLNT</t>
  </si>
  <si>
    <t>Planet Fitness Inc. Common Stock</t>
  </si>
  <si>
    <t>AN</t>
  </si>
  <si>
    <t>AutoNation Inc. Common Stock</t>
  </si>
  <si>
    <t>MSM</t>
  </si>
  <si>
    <t>MSC Industrial Direct Company Inc. Common Stock</t>
  </si>
  <si>
    <t>AGNC</t>
  </si>
  <si>
    <t>AGNC Investment Corp. Common Stock</t>
  </si>
  <si>
    <t>CBSH</t>
  </si>
  <si>
    <t>Commerce Bancshares Inc. Common Stock</t>
  </si>
  <si>
    <t>BLCO</t>
  </si>
  <si>
    <t>Bausch + Lomb Corporation Common Shares</t>
  </si>
  <si>
    <t>LEVI</t>
  </si>
  <si>
    <t>Levi Strauss &amp; Co Class A Common Stock</t>
  </si>
  <si>
    <t>RHP</t>
  </si>
  <si>
    <t>Ryman Hospitality Properties Inc. (REIT)</t>
  </si>
  <si>
    <t>ENLC</t>
  </si>
  <si>
    <t>EnLink Midstream LLC Common Units representing Limited Partner Interests</t>
  </si>
  <si>
    <t>NCLH</t>
  </si>
  <si>
    <t>Norwegian Cruise Line Holdings Ltd. Ordinary Shares</t>
  </si>
  <si>
    <t>BYD</t>
  </si>
  <si>
    <t>Boyd Gaming Corporation Common Stock</t>
  </si>
  <si>
    <t>OBDC</t>
  </si>
  <si>
    <t>Blue Owl Capital Corporation Common Stock</t>
  </si>
  <si>
    <t>BILI</t>
  </si>
  <si>
    <t>Bilibili Inc. American Depositary Shares</t>
  </si>
  <si>
    <t>GOL</t>
  </si>
  <si>
    <t>Gol Linhas Aereas Inteligentes S.A. Sponsored ADR representing 2 Pfd Shares</t>
  </si>
  <si>
    <t>ATI</t>
  </si>
  <si>
    <t>ATI Inc. Common Stock</t>
  </si>
  <si>
    <t>APLS</t>
  </si>
  <si>
    <t>Apellis Pharmaceuticals Inc. Common Stock</t>
  </si>
  <si>
    <t>FSK</t>
  </si>
  <si>
    <t>FS KKR Capital Corp. Common Stock</t>
  </si>
  <si>
    <t>CHH</t>
  </si>
  <si>
    <t>Choice Hotels International Inc. Common Stock</t>
  </si>
  <si>
    <t>FAF</t>
  </si>
  <si>
    <t>First American Corporation (New) Common Stock</t>
  </si>
  <si>
    <t>HR</t>
  </si>
  <si>
    <t>Healthcare Realty Trust Incorporated Common Stock</t>
  </si>
  <si>
    <t>TNET</t>
  </si>
  <si>
    <t>TriNet Group Inc. Common Stock</t>
  </si>
  <si>
    <t>IGT</t>
  </si>
  <si>
    <t>International Game Technology Ordinary Shares</t>
  </si>
  <si>
    <t>CNXC</t>
  </si>
  <si>
    <t>Concentrix Corporation Common Stock</t>
  </si>
  <si>
    <t>MTSI</t>
  </si>
  <si>
    <t>MACOM Technology Solutions Holdings Inc. Common Stock</t>
  </si>
  <si>
    <t>CPRI</t>
  </si>
  <si>
    <t>Capri Holdings Limited Ordinary Shares</t>
  </si>
  <si>
    <t>THC</t>
  </si>
  <si>
    <t>Tenet Healthcare Corporation Common Stock</t>
  </si>
  <si>
    <t>TELZ</t>
  </si>
  <si>
    <t>Tellurian Inc. 8.25% Senior Notes due 2028</t>
  </si>
  <si>
    <t>HXL</t>
  </si>
  <si>
    <t>Hexcel Corporation Common Stock</t>
  </si>
  <si>
    <t>CMA</t>
  </si>
  <si>
    <t>Comerica Incorporated Common Stock</t>
  </si>
  <si>
    <t>SMAR</t>
  </si>
  <si>
    <t>Smartsheet Inc. Class A Common Stock</t>
  </si>
  <si>
    <t>CFLT</t>
  </si>
  <si>
    <t>Confluent Inc. Class A Common Stock</t>
  </si>
  <si>
    <t>DOOO</t>
  </si>
  <si>
    <t>BRP Inc. (Recreational Products) Common Subordinate Voting Shares</t>
  </si>
  <si>
    <t>AYI</t>
  </si>
  <si>
    <t>Acuity Brands Inc.</t>
  </si>
  <si>
    <t>ADT</t>
  </si>
  <si>
    <t>ADT Inc. Common Stock</t>
  </si>
  <si>
    <t>SRC</t>
  </si>
  <si>
    <t>Spirit Realty Capital Inc. Common Stock</t>
  </si>
  <si>
    <t>RIG</t>
  </si>
  <si>
    <t>Transocean Ltd (Switzerland) Common Stock</t>
  </si>
  <si>
    <t>OLN</t>
  </si>
  <si>
    <t>Olin Corporation Common Stock</t>
  </si>
  <si>
    <t>VNOM</t>
  </si>
  <si>
    <t>Viper Energy Partners LP Common Unit</t>
  </si>
  <si>
    <t>NTRA</t>
  </si>
  <si>
    <t>Natera Inc. Common Stock</t>
  </si>
  <si>
    <t>PBF</t>
  </si>
  <si>
    <t>PBF Energy Inc. Class A Common Stock</t>
  </si>
  <si>
    <t>SUN</t>
  </si>
  <si>
    <t>Sunoco LP Common Units representing limited partner interests</t>
  </si>
  <si>
    <t>ABCM</t>
  </si>
  <si>
    <t>Abcam plc American Depositary Shares</t>
  </si>
  <si>
    <t>SON</t>
  </si>
  <si>
    <t>Sonoco Products Company Common Stock</t>
  </si>
  <si>
    <t>CMC</t>
  </si>
  <si>
    <t>Commercial Metals Company Common Stock</t>
  </si>
  <si>
    <t>DTM</t>
  </si>
  <si>
    <t>DT Midstream Inc. Common Stock</t>
  </si>
  <si>
    <t>ELAN</t>
  </si>
  <si>
    <t>Elanco Animal Health Incorporated Common Stock</t>
  </si>
  <si>
    <t>ELF</t>
  </si>
  <si>
    <t>e.l.f. Beauty Inc. Common Stock</t>
  </si>
  <si>
    <t>SSB</t>
  </si>
  <si>
    <t>SouthState Corporation Common Stock</t>
  </si>
  <si>
    <t>EVR</t>
  </si>
  <si>
    <t>Evercore Inc. Class A Common Stock</t>
  </si>
  <si>
    <t>DRS</t>
  </si>
  <si>
    <t>Leonardo DRS Inc. Common Stock</t>
  </si>
  <si>
    <t>PB</t>
  </si>
  <si>
    <t>Prosperity Bancshares Inc. Common Stock</t>
  </si>
  <si>
    <t>CACC</t>
  </si>
  <si>
    <t>Credit Acceptance Corporation Common Stock</t>
  </si>
  <si>
    <t>ESNT</t>
  </si>
  <si>
    <t>Essent Group Ltd. Common Shares</t>
  </si>
  <si>
    <t>ASND</t>
  </si>
  <si>
    <t>Ascendis Pharma A/S American Depositary Shares</t>
  </si>
  <si>
    <t>FRSH</t>
  </si>
  <si>
    <t>Freshworks Inc. Class A Common Stock</t>
  </si>
  <si>
    <t>POST</t>
  </si>
  <si>
    <t>Post Holdings Inc. Common Stock</t>
  </si>
  <si>
    <t>ITCI</t>
  </si>
  <si>
    <t>Intra-Cellular Therapies Inc. Common Stock</t>
  </si>
  <si>
    <t>MHK</t>
  </si>
  <si>
    <t>Mohawk Industries Inc. Common Stock</t>
  </si>
  <si>
    <t>DV</t>
  </si>
  <si>
    <t>DoubleVerify Holdings Inc. Common Stock</t>
  </si>
  <si>
    <t>UGP</t>
  </si>
  <si>
    <t>Ultrapar Participacoes S.A. (New) American Depositary Shares (Each representing one Common Share)</t>
  </si>
  <si>
    <t>W</t>
  </si>
  <si>
    <t>Wayfair Inc. Class A Common Stock</t>
  </si>
  <si>
    <t>WIX</t>
  </si>
  <si>
    <t>Wix.com Ltd. Ordinary Shares</t>
  </si>
  <si>
    <t>AGI</t>
  </si>
  <si>
    <t>Alamos Gold Inc. Class A Common Shares</t>
  </si>
  <si>
    <t>TKR</t>
  </si>
  <si>
    <t>Timken Company (The) Common Stock</t>
  </si>
  <si>
    <t>OPCH</t>
  </si>
  <si>
    <t>Option Care Health Inc. Common Stock</t>
  </si>
  <si>
    <t>KNTK</t>
  </si>
  <si>
    <t>Kinetik Holdings Inc. Class A Common Stock</t>
  </si>
  <si>
    <t>PNFP</t>
  </si>
  <si>
    <t>Pinnacle Financial Partners Inc. Common Stock</t>
  </si>
  <si>
    <t>VAL</t>
  </si>
  <si>
    <t>Valaris Limited Common Shares</t>
  </si>
  <si>
    <t>ATKR</t>
  </si>
  <si>
    <t>Atkore Inc. Common Stock</t>
  </si>
  <si>
    <t>SIM</t>
  </si>
  <si>
    <t>Grupo Simec S.A.B. de C.V. American Depositary Shares</t>
  </si>
  <si>
    <t>GPS</t>
  </si>
  <si>
    <t>Gap Inc. (The) Common Stock</t>
  </si>
  <si>
    <t>VNT</t>
  </si>
  <si>
    <t>Vontier Corporation Common Stock</t>
  </si>
  <si>
    <t>ZWS</t>
  </si>
  <si>
    <t>Zurn Elkay Water Solutions Corporation Common Stock</t>
  </si>
  <si>
    <t>ZI</t>
  </si>
  <si>
    <t>ZoomInfo Technologies Inc Common Stock</t>
  </si>
  <si>
    <t>ALGM</t>
  </si>
  <si>
    <t>Allegro MicroSystems Inc. Common Stock</t>
  </si>
  <si>
    <t>NXST</t>
  </si>
  <si>
    <t>Nexstar Media Group Inc. Common Stock</t>
  </si>
  <si>
    <t>PII</t>
  </si>
  <si>
    <t>Polaris Inc. Common Stock</t>
  </si>
  <si>
    <t>FLS</t>
  </si>
  <si>
    <t>Flowserve Corporation Common Stock</t>
  </si>
  <si>
    <t>FCFS</t>
  </si>
  <si>
    <t>FirstCash Holdings Inc. Common Stock</t>
  </si>
  <si>
    <t>HALO</t>
  </si>
  <si>
    <t>Halozyme Therapeutics Inc. Common Stock</t>
  </si>
  <si>
    <t>GTLS</t>
  </si>
  <si>
    <t>Chart Industries Inc. Common Stock</t>
  </si>
  <si>
    <t>BPOP</t>
  </si>
  <si>
    <t>Popular Inc. Common Stock</t>
  </si>
  <si>
    <t>MTG</t>
  </si>
  <si>
    <t>MGIC Investment Corporation Common Stock</t>
  </si>
  <si>
    <t>MTH</t>
  </si>
  <si>
    <t>Meritage Homes Corporation Common Stock</t>
  </si>
  <si>
    <t>HLNE</t>
  </si>
  <si>
    <t>Hamilton Lane Incorporated Class A Common Stock</t>
  </si>
  <si>
    <t>ZION</t>
  </si>
  <si>
    <t>Zions Bancorporation N.A. Common Stock</t>
  </si>
  <si>
    <t>BROS</t>
  </si>
  <si>
    <t>Dutch Bros Inc. Class A Common Stock</t>
  </si>
  <si>
    <t>THO</t>
  </si>
  <si>
    <t>Thor Industries Inc. Common Stock</t>
  </si>
  <si>
    <t>PHI</t>
  </si>
  <si>
    <t>PLDT Inc. Sponsored ADR</t>
  </si>
  <si>
    <t>PAAS</t>
  </si>
  <si>
    <t>Pan American Silver Corp. Common Stock</t>
  </si>
  <si>
    <t>OLLI</t>
  </si>
  <si>
    <t>Ollie's Bargain Outlet Holdings Inc. Common Stock</t>
  </si>
  <si>
    <t>BC</t>
  </si>
  <si>
    <t>Brunswick Corporation Common Stock</t>
  </si>
  <si>
    <t>WAL</t>
  </si>
  <si>
    <t>Western Alliance Bancorporation Common Stock (DE)</t>
  </si>
  <si>
    <t>WK</t>
  </si>
  <si>
    <t>Workiva Inc. Class A Common Stock</t>
  </si>
  <si>
    <t>CROX</t>
  </si>
  <si>
    <t>Crocs Inc. Common Stock</t>
  </si>
  <si>
    <t>ATCOL</t>
  </si>
  <si>
    <t>Atlas Corp. 7.125% Notes due 2027</t>
  </si>
  <si>
    <t>DDS</t>
  </si>
  <si>
    <t>Dillard's Inc. Common Stock</t>
  </si>
  <si>
    <t>FRHC</t>
  </si>
  <si>
    <t>Freedom Holding Corp. Common Stock</t>
  </si>
  <si>
    <t>NEU</t>
  </si>
  <si>
    <t>NewMarket Corp Common Stock</t>
  </si>
  <si>
    <t>BECN</t>
  </si>
  <si>
    <t>Beacon Roofing Supply Inc. Common Stock</t>
  </si>
  <si>
    <t>WTFC</t>
  </si>
  <si>
    <t>Wintrust Financial Corporation Common Stock</t>
  </si>
  <si>
    <t>ST</t>
  </si>
  <si>
    <t>Sensata Technologies Holding plc Ordinary Shares</t>
  </si>
  <si>
    <t>FRO</t>
  </si>
  <si>
    <t>Frontline Plc Ordinary Shares</t>
  </si>
  <si>
    <t>AAON</t>
  </si>
  <si>
    <t>AAON Inc. Common Stock</t>
  </si>
  <si>
    <t>IDA</t>
  </si>
  <si>
    <t>IDACORP Inc. Common Stock</t>
  </si>
  <si>
    <t>FYBR</t>
  </si>
  <si>
    <t>Frontier Communications Parent Inc. Common Stock</t>
  </si>
  <si>
    <t>ALSN</t>
  </si>
  <si>
    <t>Allison Transmission Holdings Inc. Common Stock</t>
  </si>
  <si>
    <t>MKSI</t>
  </si>
  <si>
    <t>MKS Instruments Inc. Common Stock</t>
  </si>
  <si>
    <t>BFAM</t>
  </si>
  <si>
    <t>Bright Horizons Family Solutions Inc. Common Stock</t>
  </si>
  <si>
    <t>COHR</t>
  </si>
  <si>
    <t>Coherent Corp. Common Stock</t>
  </si>
  <si>
    <t>RITM</t>
  </si>
  <si>
    <t>Rithm Capital Corp. Common Stock</t>
  </si>
  <si>
    <t>BBIO</t>
  </si>
  <si>
    <t>BridgeBio Pharma Inc. Common Stock</t>
  </si>
  <si>
    <t>FOUR</t>
  </si>
  <si>
    <t>Shift4 Payments Inc. Class A Common Stock</t>
  </si>
  <si>
    <t>CWAN</t>
  </si>
  <si>
    <t>Clearwater Analytics Holdings Inc. Class A Common Stock</t>
  </si>
  <si>
    <t>NSIT</t>
  </si>
  <si>
    <t>Insight Enterprises Inc. Common Stock</t>
  </si>
  <si>
    <t>FG</t>
  </si>
  <si>
    <t>F&amp;G Annuities &amp; Life Inc. Common Stock</t>
  </si>
  <si>
    <t>DTW</t>
  </si>
  <si>
    <t>DTE Energy Company 2017 Series E 5.25% Junior Subordinated Debentures due 2077</t>
  </si>
  <si>
    <t>SEE</t>
  </si>
  <si>
    <t>Sealed Air Corporation Common Stock</t>
  </si>
  <si>
    <t>ENO</t>
  </si>
  <si>
    <t>Entergy New Orleans LLC First Mortgage Bonds 5.50% Series due April 1 2066</t>
  </si>
  <si>
    <t>ESI</t>
  </si>
  <si>
    <t>Element Solutions Inc. Common Stock</t>
  </si>
  <si>
    <t>NFG</t>
  </si>
  <si>
    <t>National Fuel Gas Company Common Stock</t>
  </si>
  <si>
    <t>ESAB</t>
  </si>
  <si>
    <t>ESAB Corporation Common Stock</t>
  </si>
  <si>
    <t>DOCS</t>
  </si>
  <si>
    <t>Doximity Inc. Class A Common Stock</t>
  </si>
  <si>
    <t>S</t>
  </si>
  <si>
    <t>SentinelOne Inc. Class A Common Stock</t>
  </si>
  <si>
    <t>TRNO</t>
  </si>
  <si>
    <t>Terreno Realty Corporation Common Stock</t>
  </si>
  <si>
    <t>TMHC</t>
  </si>
  <si>
    <t>Taylor Morrison Home Corporation Common Stock</t>
  </si>
  <si>
    <t>PVH</t>
  </si>
  <si>
    <t>PVH Corp. Common Stock</t>
  </si>
  <si>
    <t>MMS</t>
  </si>
  <si>
    <t>Maximus Inc. Common Stock</t>
  </si>
  <si>
    <t>COLM</t>
  </si>
  <si>
    <t>Columbia Sportswear Company Common Stock</t>
  </si>
  <si>
    <t>LANC</t>
  </si>
  <si>
    <t>Lancaster Colony Corporation Common Stock</t>
  </si>
  <si>
    <t>BOKF</t>
  </si>
  <si>
    <t>BOK Financial Corporation Common Stock</t>
  </si>
  <si>
    <t>FIVN</t>
  </si>
  <si>
    <t>Five9 Inc. Common Stock</t>
  </si>
  <si>
    <t>AGL</t>
  </si>
  <si>
    <t>Managed Health Care</t>
  </si>
  <si>
    <t>agilon health inc. Common Stock</t>
  </si>
  <si>
    <t>MASI</t>
  </si>
  <si>
    <t>Masimo Corporation Common Stock</t>
  </si>
  <si>
    <t>AXS</t>
  </si>
  <si>
    <t>Axis Capital Holdings Limited Common Stock</t>
  </si>
  <si>
    <t>R</t>
  </si>
  <si>
    <t>Ryder System Inc. Common Stock</t>
  </si>
  <si>
    <t>PCVX</t>
  </si>
  <si>
    <t>Vaxcyte Inc. Common Stock</t>
  </si>
  <si>
    <t>BRZE</t>
  </si>
  <si>
    <t>Braze Inc. Class A Common Stock</t>
  </si>
  <si>
    <t>KRG</t>
  </si>
  <si>
    <t>Kite Realty Group Trust Common Stock</t>
  </si>
  <si>
    <t>TDC</t>
  </si>
  <si>
    <t>Teradata Corporation Common Stock</t>
  </si>
  <si>
    <t>CWST</t>
  </si>
  <si>
    <t>Casella Waste Systems Inc. Class A Common Stock</t>
  </si>
  <si>
    <t>EMP</t>
  </si>
  <si>
    <t>Entergy Mississippi LLC First Mortgage Bonds 4.90% Series Due October 1 2066</t>
  </si>
  <si>
    <t>FIZZ</t>
  </si>
  <si>
    <t>National Beverage Corp. Common Stock</t>
  </si>
  <si>
    <t>KEX</t>
  </si>
  <si>
    <t>Kirby Corporation Common Stock</t>
  </si>
  <si>
    <t>UNMA</t>
  </si>
  <si>
    <t>Unum Group 6.250% Junior Subordinated Notes due 2058</t>
  </si>
  <si>
    <t>CIGI</t>
  </si>
  <si>
    <t>Colliers International Group Inc. Subordinate Voting Shares</t>
  </si>
  <si>
    <t>VVV</t>
  </si>
  <si>
    <t>Valvoline Inc. Common Stock</t>
  </si>
  <si>
    <t>AMG</t>
  </si>
  <si>
    <t>Affiliated Managers Group Inc. Common Stock</t>
  </si>
  <si>
    <t>OMF</t>
  </si>
  <si>
    <t>OneMain Holdings Inc. Common Stock</t>
  </si>
  <si>
    <t>IRDM</t>
  </si>
  <si>
    <t>Iridium Communications Inc Common Stock</t>
  </si>
  <si>
    <t>RRR</t>
  </si>
  <si>
    <t>Red Rock Resorts Inc. Class A Common Stock</t>
  </si>
  <si>
    <t>EAI</t>
  </si>
  <si>
    <t>Entergy Arkansas LLC First Mortgage Bonds 4.875% Series Due September 1 2066</t>
  </si>
  <si>
    <t>EXLS</t>
  </si>
  <si>
    <t>ExlService Holdings Inc. Common Stock</t>
  </si>
  <si>
    <t>ACT</t>
  </si>
  <si>
    <t>Enact Holdings Inc. Common Stock</t>
  </si>
  <si>
    <t>NOVT</t>
  </si>
  <si>
    <t>Novanta Inc. Common Stock</t>
  </si>
  <si>
    <t>MMYT</t>
  </si>
  <si>
    <t>MakeMyTrip Limited Ordinary Shares</t>
  </si>
  <si>
    <t>MGY</t>
  </si>
  <si>
    <t>Magnolia Oil &amp; Gas Corporation Class A Common Stock</t>
  </si>
  <si>
    <t>AA</t>
  </si>
  <si>
    <t>Alcoa Corporation Common Stock</t>
  </si>
  <si>
    <t>ALK</t>
  </si>
  <si>
    <t>Alaska Air Group Inc. Common Stock</t>
  </si>
  <si>
    <t>HAE</t>
  </si>
  <si>
    <t>Haemonetics Corporation Common Stock</t>
  </si>
  <si>
    <t>CERE</t>
  </si>
  <si>
    <t>Cerevel Therapeutics Holdings Inc. Common Stock</t>
  </si>
  <si>
    <t>CLVT</t>
  </si>
  <si>
    <t>Clarivate Plc Ordinary Shares</t>
  </si>
  <si>
    <t>FLO</t>
  </si>
  <si>
    <t>Flowers Foods Inc. Common Stock</t>
  </si>
  <si>
    <t>SLGN</t>
  </si>
  <si>
    <t>Silgan Holdings Inc. Common Stock</t>
  </si>
  <si>
    <t>MLI</t>
  </si>
  <si>
    <t>Mueller Industries Inc. Common Stock</t>
  </si>
  <si>
    <t>LNTH</t>
  </si>
  <si>
    <t>Lantheus Holdings Inc. Common Stock</t>
  </si>
  <si>
    <t>PSNY</t>
  </si>
  <si>
    <t>Polestar Automotive Holding UK PLC Class A ADS</t>
  </si>
  <si>
    <t>AIRC</t>
  </si>
  <si>
    <t>Apartment Income REIT Corp. Common Stock</t>
  </si>
  <si>
    <t>CWEN</t>
  </si>
  <si>
    <t>Clearway Energy Inc. Class C Common Stock</t>
  </si>
  <si>
    <t>IQ</t>
  </si>
  <si>
    <t>iQIYI Inc. American Depositary Shares</t>
  </si>
  <si>
    <t>PWSC</t>
  </si>
  <si>
    <t>PowerSchool Holdings Inc. Class A Common Stock</t>
  </si>
  <si>
    <t>TENB</t>
  </si>
  <si>
    <t>Tenable Holdings Inc. Common Stock</t>
  </si>
  <si>
    <t>RCM</t>
  </si>
  <si>
    <t>R1 RCM Inc. Common Stock</t>
  </si>
  <si>
    <t>ASAN</t>
  </si>
  <si>
    <t>Asana Inc. Class A Common Stock</t>
  </si>
  <si>
    <t>UGI</t>
  </si>
  <si>
    <t>UGI Corporation Common Stock</t>
  </si>
  <si>
    <t>ENJ</t>
  </si>
  <si>
    <t>Entergy New Orleans LLC First Mortgage Bonds 5.0% Series due December 1 2052</t>
  </si>
  <si>
    <t>ACLS</t>
  </si>
  <si>
    <t>Axcelis Technologies Inc. Common Stock</t>
  </si>
  <si>
    <t>RH Common Stock</t>
  </si>
  <si>
    <t>OXLCM</t>
  </si>
  <si>
    <t>Oxford Lane Capital Corp. 6.75% Series 2024 Term Preferred Stock</t>
  </si>
  <si>
    <t>NTRSO</t>
  </si>
  <si>
    <t>Northern Trust Corporation Depositary Shares Each Representing a 1/1000th Interest in a Share of Series E Non-Cumulative Perpetual Preferred Stock</t>
  </si>
  <si>
    <t>WU</t>
  </si>
  <si>
    <t>Western Union Company (The) Common Stock</t>
  </si>
  <si>
    <t>HUN</t>
  </si>
  <si>
    <t>Huntsman Corporation Common Stock</t>
  </si>
  <si>
    <t>AZEK</t>
  </si>
  <si>
    <t>The AZEK Company Inc. Class A Common Stock</t>
  </si>
  <si>
    <t>SM</t>
  </si>
  <si>
    <t>SM Energy Company Common Stock</t>
  </si>
  <si>
    <t>COLB</t>
  </si>
  <si>
    <t>Columbia Banking System Inc. Common Stock</t>
  </si>
  <si>
    <t>IMVT</t>
  </si>
  <si>
    <t>Immunovant Inc. Common Stock</t>
  </si>
  <si>
    <t>IPGP</t>
  </si>
  <si>
    <t>IPG Photonics Corporation Common Stock</t>
  </si>
  <si>
    <t>AEL</t>
  </si>
  <si>
    <t>American Equity Investment Life Holding Company Common Stock</t>
  </si>
  <si>
    <t>ELC</t>
  </si>
  <si>
    <t>Entergy Louisiana Inc. Collateral Trust Mortgage Bonds 4.875 % Series due September 1 2066</t>
  </si>
  <si>
    <t>DXC</t>
  </si>
  <si>
    <t>DXC Technology Company Common Stock</t>
  </si>
  <si>
    <t>RYN</t>
  </si>
  <si>
    <t>Rayonier Inc. REIT Common Stock</t>
  </si>
  <si>
    <t>CRSP</t>
  </si>
  <si>
    <t>CRISPR Therapeutics AG Common Shares</t>
  </si>
  <si>
    <t>AVT</t>
  </si>
  <si>
    <t>Avnet Inc. Common Stock</t>
  </si>
  <si>
    <t>VMI</t>
  </si>
  <si>
    <t>Valmont Industries Inc. Common Stock</t>
  </si>
  <si>
    <t>LPX</t>
  </si>
  <si>
    <t>Louisiana-Pacific Corporation Common Stock</t>
  </si>
  <si>
    <t>Belgium</t>
  </si>
  <si>
    <t>TXG</t>
  </si>
  <si>
    <t>10x Genomics Inc. Class A Common Stock</t>
  </si>
  <si>
    <t>HOMB</t>
  </si>
  <si>
    <t>Home BancShares Inc. Common Stock</t>
  </si>
  <si>
    <t>BMI</t>
  </si>
  <si>
    <t>Badger Meter Inc. Common Stock</t>
  </si>
  <si>
    <t>BCC</t>
  </si>
  <si>
    <t>Boise Cascade L.L.C. Common Stock</t>
  </si>
  <si>
    <t>PDI</t>
  </si>
  <si>
    <t>Trusts Except Educational Religious and Charitable</t>
  </si>
  <si>
    <t>PIMCO Dynamic Income Fund Common Stock</t>
  </si>
  <si>
    <t>ENIC</t>
  </si>
  <si>
    <t>Enel Chile S.A. American Depositary Shares (Each representing 50 shares of Common Stock)</t>
  </si>
  <si>
    <t>CBT</t>
  </si>
  <si>
    <t>Cabot Corporation Common Stock</t>
  </si>
  <si>
    <t>SFM</t>
  </si>
  <si>
    <t>Sprouts Farmers Market Inc. Common Stock</t>
  </si>
  <si>
    <t>Macau</t>
  </si>
  <si>
    <t>POWI</t>
  </si>
  <si>
    <t>Power Integrations Inc. Common Stock</t>
  </si>
  <si>
    <t>ABG</t>
  </si>
  <si>
    <t>Asbury Automotive Group Inc Common Stock</t>
  </si>
  <si>
    <t>AL</t>
  </si>
  <si>
    <t>Air Lease Corporation Class A Common Stock</t>
  </si>
  <si>
    <t>VERX</t>
  </si>
  <si>
    <t>Vertex Inc. Class A Common Stock</t>
  </si>
  <si>
    <t>SWX</t>
  </si>
  <si>
    <t>Southwest Gas Holdings Inc. Common Stock (DE)</t>
  </si>
  <si>
    <t>TKC</t>
  </si>
  <si>
    <t>Turkcell Iletisim Hizmetleri AS Common Stock</t>
  </si>
  <si>
    <t>DNB</t>
  </si>
  <si>
    <t>Dun &amp; Bradstreet Holdings Inc. Common Stock</t>
  </si>
  <si>
    <t>FTAI</t>
  </si>
  <si>
    <t>FTAI Aviation Ltd. Common Stock</t>
  </si>
  <si>
    <t>ESGR</t>
  </si>
  <si>
    <t>Enstar Group Limited Ordinary Shares</t>
  </si>
  <si>
    <t>LOPE</t>
  </si>
  <si>
    <t>Grand Canyon Education Inc. Common Stock</t>
  </si>
  <si>
    <t>SAM</t>
  </si>
  <si>
    <t>Boston Beer Company Inc. (The) Common Stock</t>
  </si>
  <si>
    <t>VSTS</t>
  </si>
  <si>
    <t>Vestis Corporation Common Stock</t>
  </si>
  <si>
    <t>MSGS</t>
  </si>
  <si>
    <t>Madison Square Garden Sports Corp. Class A Common Stock (New)</t>
  </si>
  <si>
    <t>ONB</t>
  </si>
  <si>
    <t>Old National Bancorp Common Stock</t>
  </si>
  <si>
    <t>RCC</t>
  </si>
  <si>
    <t>Ready Capital Corporation 5.75% Senior Notes due 2026</t>
  </si>
  <si>
    <t>POR</t>
  </si>
  <si>
    <t>Portland General Electric Co Common Stock</t>
  </si>
  <si>
    <t>RDN</t>
  </si>
  <si>
    <t>Radian Group Inc. Common Stock</t>
  </si>
  <si>
    <t>RCB</t>
  </si>
  <si>
    <t>Ready Capital Corporation 6.20% Senior Notes due 2026</t>
  </si>
  <si>
    <t>ASGN</t>
  </si>
  <si>
    <t>ASGN Incorporated Common Stock</t>
  </si>
  <si>
    <t>YPF</t>
  </si>
  <si>
    <t>YPF Sociedad Anonima Common Stock</t>
  </si>
  <si>
    <t>WOLF</t>
  </si>
  <si>
    <t>Wolfspeed Inc. Common Stock</t>
  </si>
  <si>
    <t>JHG</t>
  </si>
  <si>
    <t>Janus Henderson Group plc Ordinary Shares</t>
  </si>
  <si>
    <t>KBH</t>
  </si>
  <si>
    <t>KB Home Common Stock</t>
  </si>
  <si>
    <t>KD</t>
  </si>
  <si>
    <t>Kyndryl Holdings Inc. Common Stock</t>
  </si>
  <si>
    <t>THG</t>
  </si>
  <si>
    <t>NSP</t>
  </si>
  <si>
    <t>Insperity Inc. Common Stock</t>
  </si>
  <si>
    <t>BEPC</t>
  </si>
  <si>
    <t>Brookfield Renewable Corporation Class A Subordinate Voting Shares</t>
  </si>
  <si>
    <t>SEDG</t>
  </si>
  <si>
    <t>SolarEdge Technologies Inc. Common Stock</t>
  </si>
  <si>
    <t>OXLCL</t>
  </si>
  <si>
    <t>Finance Companies</t>
  </si>
  <si>
    <t>Oxford Lane Capital Corp. 6.75% Notes due 2031</t>
  </si>
  <si>
    <t>FELE</t>
  </si>
  <si>
    <t>Franklin Electric Co. Inc. Common Stock</t>
  </si>
  <si>
    <t>DTB</t>
  </si>
  <si>
    <t>DTE Energy Company 2020 Series G 4.375% Junior Subordinated Debentures due 2080</t>
  </si>
  <si>
    <t>MMSI</t>
  </si>
  <si>
    <t>Merit Medical Systems Inc. Common Stock</t>
  </si>
  <si>
    <t>CADE</t>
  </si>
  <si>
    <t>Cadence Bank Common Stock</t>
  </si>
  <si>
    <t>PECO</t>
  </si>
  <si>
    <t>Phillips Edison &amp; Company Inc. Common Stock</t>
  </si>
  <si>
    <t>FNB</t>
  </si>
  <si>
    <t>F.N.B. Corporation Common Stock</t>
  </si>
  <si>
    <t>VLY</t>
  </si>
  <si>
    <t>Valley National Bancorp Common Stock</t>
  </si>
  <si>
    <t>SUM</t>
  </si>
  <si>
    <t>Summit Materials Inc. Class A Common Stock</t>
  </si>
  <si>
    <t>OXLCP</t>
  </si>
  <si>
    <t>Oxford Lane Capital Corp. 6.25% Series 2027 Term Preferred Shares</t>
  </si>
  <si>
    <t>NJR</t>
  </si>
  <si>
    <t>NewJersey Resources Corporation Common Stock</t>
  </si>
  <si>
    <t>DTG</t>
  </si>
  <si>
    <t>DTE Energy Company 2021 Series E 4.375% Junior Subordinated Debentures</t>
  </si>
  <si>
    <t>SNV</t>
  </si>
  <si>
    <t>Synovus Financial Corp. Common Stock</t>
  </si>
  <si>
    <t>FSS</t>
  </si>
  <si>
    <t>Federal Signal Corporation Common Stock</t>
  </si>
  <si>
    <t>UBSI</t>
  </si>
  <si>
    <t>United Bankshares Inc. Common Stock</t>
  </si>
  <si>
    <t>SRCL</t>
  </si>
  <si>
    <t>Stericycle Inc. Common Stock</t>
  </si>
  <si>
    <t>ALKS</t>
  </si>
  <si>
    <t>Alkermes plc Ordinary Shares</t>
  </si>
  <si>
    <t>HHH</t>
  </si>
  <si>
    <t>Howard Hughes Holdings Inc. Common Stock</t>
  </si>
  <si>
    <t>QDEL</t>
  </si>
  <si>
    <t>QuidelOrtho Corporation Common Stock</t>
  </si>
  <si>
    <t>OXLCN</t>
  </si>
  <si>
    <t>Oxford Lane Capital Corp. 7.125% Series 2029 Term Preferred Stock</t>
  </si>
  <si>
    <t>EURN</t>
  </si>
  <si>
    <t>Euronav NV Ordinary Shares</t>
  </si>
  <si>
    <t>SQSP</t>
  </si>
  <si>
    <t>Squarespace Inc. Class A Common Stock</t>
  </si>
  <si>
    <t>MRTX</t>
  </si>
  <si>
    <t>Mirati Therapeutics Inc. Common Stock</t>
  </si>
  <si>
    <t>RELY</t>
  </si>
  <si>
    <t>Remitly Global Inc. Common Stock</t>
  </si>
  <si>
    <t>OXLCZ</t>
  </si>
  <si>
    <t>Oxford Lane Capital Corp. 5.00% Notes due 2027</t>
  </si>
  <si>
    <t>CRUS</t>
  </si>
  <si>
    <t>Cirrus Logic Inc. Common Stock</t>
  </si>
  <si>
    <t>IMGN</t>
  </si>
  <si>
    <t>ImmunoGen Inc. Common Stock</t>
  </si>
  <si>
    <t>IPAR</t>
  </si>
  <si>
    <t>Inter Parfums Inc. Common Stock</t>
  </si>
  <si>
    <t>BLKB</t>
  </si>
  <si>
    <t>Blackbaud Inc. Common Stock</t>
  </si>
  <si>
    <t>HCP</t>
  </si>
  <si>
    <t>HashiCorp Inc. Class A Common Stock</t>
  </si>
  <si>
    <t>CXM</t>
  </si>
  <si>
    <t>Sprinklr Inc. Class A Common Stock</t>
  </si>
  <si>
    <t>FUL</t>
  </si>
  <si>
    <t>H. B. Fuller Company Common Stock</t>
  </si>
  <si>
    <t>VNO</t>
  </si>
  <si>
    <t>Vornado Realty Trust Common Stock</t>
  </si>
  <si>
    <t>SNDR</t>
  </si>
  <si>
    <t>Schneider National Inc. Common Stock</t>
  </si>
  <si>
    <t>WEN</t>
  </si>
  <si>
    <t>Wendy's Company (The) Common Stock</t>
  </si>
  <si>
    <t>BTG</t>
  </si>
  <si>
    <t>B2Gold Corp Common shares (Canada)</t>
  </si>
  <si>
    <t>IAC</t>
  </si>
  <si>
    <t>IAC Inc. Common Stock</t>
  </si>
  <si>
    <t>MTZ</t>
  </si>
  <si>
    <t>Water Sewer Pipeline Comm &amp; Power Line Construction</t>
  </si>
  <si>
    <t>MasTec Inc. Common Stock</t>
  </si>
  <si>
    <t>LYFT</t>
  </si>
  <si>
    <t>Lyft Inc. Class A Common Stock</t>
  </si>
  <si>
    <t>VRNS</t>
  </si>
  <si>
    <t>Varonis Systems Inc. Common Stock</t>
  </si>
  <si>
    <t>NTCO</t>
  </si>
  <si>
    <t>Natura &amp;Co Holding S.A. American Depositary Shares</t>
  </si>
  <si>
    <t>WTM</t>
  </si>
  <si>
    <t>White Mountains Insurance Group Ltd. Common Stock</t>
  </si>
  <si>
    <t>AQN</t>
  </si>
  <si>
    <t>Algonquin Power &amp; Utilities Corp. Common Shares</t>
  </si>
  <si>
    <t>PRGO</t>
  </si>
  <si>
    <t>Perrigo Company plc Ordinary Shares</t>
  </si>
  <si>
    <t>ESMT</t>
  </si>
  <si>
    <t>EngageSmart Inc. Common Stock</t>
  </si>
  <si>
    <t>GME</t>
  </si>
  <si>
    <t>Electronics Distribution</t>
  </si>
  <si>
    <t>GameStop Corporation Common Stock</t>
  </si>
  <si>
    <t>SPXC</t>
  </si>
  <si>
    <t>SPX Technologies Inc. Common Stock</t>
  </si>
  <si>
    <t>GATX</t>
  </si>
  <si>
    <t>GATX Corporation Common Stock</t>
  </si>
  <si>
    <t>BCPC</t>
  </si>
  <si>
    <t>Balchem Corporation Common Stock</t>
  </si>
  <si>
    <t>ALIT</t>
  </si>
  <si>
    <t>Alight Inc. Class A Common Stock</t>
  </si>
  <si>
    <t>BSM</t>
  </si>
  <si>
    <t>Black Stone Minerals L.P. Common units representing limited partner interests</t>
  </si>
  <si>
    <t>SMPL</t>
  </si>
  <si>
    <t>The Simply Good Foods Company Common Stock</t>
  </si>
  <si>
    <t>SYNA</t>
  </si>
  <si>
    <t>Synaptics Incorporated Common Stock $0.001 Par Value</t>
  </si>
  <si>
    <t>PEGA</t>
  </si>
  <si>
    <t>Pegasystems Inc. Common Stock</t>
  </si>
  <si>
    <t>HP</t>
  </si>
  <si>
    <t>Helmerich &amp; Payne Inc. Common Stock</t>
  </si>
  <si>
    <t>ETRN</t>
  </si>
  <si>
    <t>Equitrans Midstream Corporation Common Stock</t>
  </si>
  <si>
    <t>VTLE</t>
  </si>
  <si>
    <t>Vital Energy Inc. Common Stock par value $0.01 per share</t>
  </si>
  <si>
    <t>EEFT</t>
  </si>
  <si>
    <t>Euronet Worldwide Inc. Common Stock</t>
  </si>
  <si>
    <t>ZIONO</t>
  </si>
  <si>
    <t>Zions Bancorporation N.A. Dep Shs Repstg 1/40th Perp Pfd Ser G</t>
  </si>
  <si>
    <t>EXPO</t>
  </si>
  <si>
    <t>Exponent Inc. Common Stock</t>
  </si>
  <si>
    <t>MDU</t>
  </si>
  <si>
    <t>MDU Resources Group Inc. Common Stock (Holding Company)</t>
  </si>
  <si>
    <t>LNC</t>
  </si>
  <si>
    <t>Lincoln National Corporation Common Stock</t>
  </si>
  <si>
    <t>AGO</t>
  </si>
  <si>
    <t>Assured Guaranty Ltd. Common Stock</t>
  </si>
  <si>
    <t>ZIONL</t>
  </si>
  <si>
    <t>Zions Bancorporation 6.95% Fixed-to-Floating Rate Subordinated Notes</t>
  </si>
  <si>
    <t>CPG</t>
  </si>
  <si>
    <t>Crescent Point Energy Corporation Ordinary Shares (Canada)</t>
  </si>
  <si>
    <t>ASH</t>
  </si>
  <si>
    <t>Ashland Inc. Common Stock</t>
  </si>
  <si>
    <t>INSP</t>
  </si>
  <si>
    <t>Inspire Medical Systems Inc. Common Stock</t>
  </si>
  <si>
    <t>HOG</t>
  </si>
  <si>
    <t>Harley-Davidson Inc. Common Stock</t>
  </si>
  <si>
    <t>NVST</t>
  </si>
  <si>
    <t>Envista Holdings Corporation Common Stock</t>
  </si>
  <si>
    <t>COOP</t>
  </si>
  <si>
    <t>Mr. Cooper Group Inc. Common Stock</t>
  </si>
  <si>
    <t>BOX</t>
  </si>
  <si>
    <t>Box Inc. Class A Common Stock</t>
  </si>
  <si>
    <t>BXMT</t>
  </si>
  <si>
    <t>Blackstone Mortgage Trust Inc. Common Stock</t>
  </si>
  <si>
    <t>AEO</t>
  </si>
  <si>
    <t>American Eagle Outfitters Inc. Common Stock</t>
  </si>
  <si>
    <t>GPI</t>
  </si>
  <si>
    <t>Group 1 Automotive Inc. Common Stock</t>
  </si>
  <si>
    <t>OXLCO</t>
  </si>
  <si>
    <t>Oxford Lane Capital Corp. Preferred Stock Shares 6.00% Series 2029</t>
  </si>
  <si>
    <t>ORA</t>
  </si>
  <si>
    <t>Ormat Technologies Inc. Common Stock</t>
  </si>
  <si>
    <t>SHC</t>
  </si>
  <si>
    <t>Sotera Health Company Common Stock</t>
  </si>
  <si>
    <t>NOG</t>
  </si>
  <si>
    <t>Northern Oil and Gas Inc. Common Stock</t>
  </si>
  <si>
    <t>ATS</t>
  </si>
  <si>
    <t>ATS Corporation Common Shares</t>
  </si>
  <si>
    <t>ACAD</t>
  </si>
  <si>
    <t>ACADIA Pharmaceuticals Inc. Common Stock</t>
  </si>
  <si>
    <t>GT</t>
  </si>
  <si>
    <t>The Goodyear Tire &amp; Rubber Company Common Stock</t>
  </si>
  <si>
    <t>IMPPP</t>
  </si>
  <si>
    <t>Imperial Petroleum Inc. 8.75% Series A Cumulative Redeemable Perpetual Preferred Shares</t>
  </si>
  <si>
    <t>LPL</t>
  </si>
  <si>
    <t>LG Display Co Ltd AMERICAN DEPOSITORY SHARES</t>
  </si>
  <si>
    <t>APLE</t>
  </si>
  <si>
    <t>Apple Hospitality REIT Inc. Common Shares</t>
  </si>
  <si>
    <t>HGV</t>
  </si>
  <si>
    <t>Hilton Grand Vacations Inc. Common Stock</t>
  </si>
  <si>
    <t>STR</t>
  </si>
  <si>
    <t>Sitio Royalties Corp. Class A Common Stock</t>
  </si>
  <si>
    <t>HCXY</t>
  </si>
  <si>
    <t>Hercules Capital Inc. 6.25% Notes due 2033</t>
  </si>
  <si>
    <t>CC</t>
  </si>
  <si>
    <t>Chemours Company (The) Common Stock</t>
  </si>
  <si>
    <t>PNM</t>
  </si>
  <si>
    <t>PNM Resources Inc. (Holding Co.) Common Stock</t>
  </si>
  <si>
    <t>IBP</t>
  </si>
  <si>
    <t>Installed Building Products Inc. Common Stock</t>
  </si>
  <si>
    <t>JOBY</t>
  </si>
  <si>
    <t>Joby Aviation Inc. Common Stock</t>
  </si>
  <si>
    <t>ARBKL</t>
  </si>
  <si>
    <t>Argo Blockchain plc 8.75% Senior Notes due 2026</t>
  </si>
  <si>
    <t>MAN</t>
  </si>
  <si>
    <t>ManpowerGroup Common Stock</t>
  </si>
  <si>
    <t>PENN</t>
  </si>
  <si>
    <t>PENN Entertainment Inc. Common Stock</t>
  </si>
  <si>
    <t>PFSI</t>
  </si>
  <si>
    <t>PennyMac Financial Services Inc. Common Stock</t>
  </si>
  <si>
    <t>BPMC</t>
  </si>
  <si>
    <t>Blueprint Medicines Corporation Common Stock</t>
  </si>
  <si>
    <t>PCH</t>
  </si>
  <si>
    <t>PotlatchDeltic Corporation Common Stock</t>
  </si>
  <si>
    <t>AWI</t>
  </si>
  <si>
    <t>Armstrong World Industries Inc Common Stock</t>
  </si>
  <si>
    <t>YETI</t>
  </si>
  <si>
    <t>YETI Holdings Inc. Common Stock</t>
  </si>
  <si>
    <t>INST</t>
  </si>
  <si>
    <t>Instructure Holdings Inc. Common Stock</t>
  </si>
  <si>
    <t>EPRT</t>
  </si>
  <si>
    <t>Essential Properties Realty Trust Inc. Common Stock</t>
  </si>
  <si>
    <t>GOLF</t>
  </si>
  <si>
    <t>Acushnet Holdings Corp. Common Stock</t>
  </si>
  <si>
    <t>USM</t>
  </si>
  <si>
    <t>United States Cellular Corporation Common Stock</t>
  </si>
  <si>
    <t>CAVA</t>
  </si>
  <si>
    <t>CAVA Group Inc. Common Stock</t>
  </si>
  <si>
    <t>FFIN</t>
  </si>
  <si>
    <t>First Financial Bankshares Inc. Common Stock</t>
  </si>
  <si>
    <t>WHD</t>
  </si>
  <si>
    <t>Cactus Inc. Class A Common Stock</t>
  </si>
  <si>
    <t>MBLY</t>
  </si>
  <si>
    <t>Mobileye Global Inc. Class A Common Stock</t>
  </si>
  <si>
    <t>VRRM</t>
  </si>
  <si>
    <t>Verra Mobility Corporation Class A Common Stock</t>
  </si>
  <si>
    <t>TFSL</t>
  </si>
  <si>
    <t>TFS Financial Corporation Common Stock</t>
  </si>
  <si>
    <t>JXN</t>
  </si>
  <si>
    <t>Jackson Financial Inc. Class A Common Stock</t>
  </si>
  <si>
    <t>DHCNL</t>
  </si>
  <si>
    <t>Diversified Healthcare Trust 6.25% Senior Notes Due 2046</t>
  </si>
  <si>
    <t>ASAI</t>
  </si>
  <si>
    <t>Sendas Distribuidora S A ADS</t>
  </si>
  <si>
    <t>ENS</t>
  </si>
  <si>
    <t>EnerSys Common Stock</t>
  </si>
  <si>
    <t>CRC</t>
  </si>
  <si>
    <t>California Resources Corporation Common Stock</t>
  </si>
  <si>
    <t>RUSHB</t>
  </si>
  <si>
    <t>Rush Enterprises Inc. Class B</t>
  </si>
  <si>
    <t>BTE</t>
  </si>
  <si>
    <t>Baytex Energy Corp Common Shares</t>
  </si>
  <si>
    <t>GBCI</t>
  </si>
  <si>
    <t>Glacier Bancorp Inc. Common Stock</t>
  </si>
  <si>
    <t>ASO</t>
  </si>
  <si>
    <t>Academy Sports and Outdoors Inc. Common Stock</t>
  </si>
  <si>
    <t>SEB</t>
  </si>
  <si>
    <t>Seaboard Corporation Common Stock</t>
  </si>
  <si>
    <t>CRVL</t>
  </si>
  <si>
    <t>CorVel Corp. Common Stock</t>
  </si>
  <si>
    <t>INSM</t>
  </si>
  <si>
    <t>Insmed Incorporated Common Stock</t>
  </si>
  <si>
    <t>EPR</t>
  </si>
  <si>
    <t>EPR Properties Common Stock</t>
  </si>
  <si>
    <t>ERF</t>
  </si>
  <si>
    <t>Enerplus Corporation Common Stock</t>
  </si>
  <si>
    <t>ACA</t>
  </si>
  <si>
    <t>Arcosa Inc. Common Stock</t>
  </si>
  <si>
    <t>MAIN</t>
  </si>
  <si>
    <t>Main Street Capital Corporation Common Stock</t>
  </si>
  <si>
    <t>ANF</t>
  </si>
  <si>
    <t>Abercrombie &amp; Fitch Company Common Stock</t>
  </si>
  <si>
    <t>SID</t>
  </si>
  <si>
    <t>Companhia Siderurgica Nacional S.A. Common Stock</t>
  </si>
  <si>
    <t>SLM</t>
  </si>
  <si>
    <t>SLM Corporation Common Stock</t>
  </si>
  <si>
    <t>PYCR</t>
  </si>
  <si>
    <t>Paycor HCM Inc. Common Stock</t>
  </si>
  <si>
    <t>DHCNI</t>
  </si>
  <si>
    <t>Diversified Healthcare Trust 5.625% Senior Notes due 2042</t>
  </si>
  <si>
    <t>SBSW</t>
  </si>
  <si>
    <t>D/B/A Sibanye-Stillwater Limited ADS</t>
  </si>
  <si>
    <t>OGS</t>
  </si>
  <si>
    <t>ONE Gas Inc. Common Stock</t>
  </si>
  <si>
    <t>KRC</t>
  </si>
  <si>
    <t>Kilroy Realty Corporation Common Stock</t>
  </si>
  <si>
    <t>HRI</t>
  </si>
  <si>
    <t>Herc Holdings Inc. Common Stock</t>
  </si>
  <si>
    <t>BKH</t>
  </si>
  <si>
    <t>Black Hills Corporation Common Stock</t>
  </si>
  <si>
    <t>BIPC</t>
  </si>
  <si>
    <t>Brookfield Infrastructure Corporation</t>
  </si>
  <si>
    <t>BCO</t>
  </si>
  <si>
    <t>Brinks Company (The) Common Stock</t>
  </si>
  <si>
    <t>AAP</t>
  </si>
  <si>
    <t>Advance Auto Parts Inc.</t>
  </si>
  <si>
    <t>AEIS</t>
  </si>
  <si>
    <t>Advanced Energy Industries Inc. Common Stock</t>
  </si>
  <si>
    <t>CNX</t>
  </si>
  <si>
    <t>CNX Resources Corporation Common Stock</t>
  </si>
  <si>
    <t>SGRY</t>
  </si>
  <si>
    <t>Surgery Partners Inc. Common Stock</t>
  </si>
  <si>
    <t>TEX</t>
  </si>
  <si>
    <t>Terex Corporation Common Stock</t>
  </si>
  <si>
    <t>ATHM</t>
  </si>
  <si>
    <t>Autohome Inc. American Depositary Shares each representing four class A ordinary shares.</t>
  </si>
  <si>
    <t>EVO</t>
  </si>
  <si>
    <t>Evotec SE American Depositary Shares</t>
  </si>
  <si>
    <t>HCM</t>
  </si>
  <si>
    <t>HUTCHMED (China) Limited American Depositary Shares</t>
  </si>
  <si>
    <t>JBT</t>
  </si>
  <si>
    <t>John Bean Technologies Corporation Common Stock</t>
  </si>
  <si>
    <t>CRS</t>
  </si>
  <si>
    <t>Carpenter Technology Corporation Common Stock</t>
  </si>
  <si>
    <t>URBN</t>
  </si>
  <si>
    <t>Urban Outfitters Inc. Common Stock</t>
  </si>
  <si>
    <t>SBRA</t>
  </si>
  <si>
    <t>Sabra Health Care REIT Inc. Common Stock</t>
  </si>
  <si>
    <t>NEOG</t>
  </si>
  <si>
    <t>Neogen Corporation Common Stock</t>
  </si>
  <si>
    <t>MLCO</t>
  </si>
  <si>
    <t>Melco Resorts &amp; Entertainment Limited American Depositary Shares</t>
  </si>
  <si>
    <t>LBRDP</t>
  </si>
  <si>
    <t>Liberty Broadband Corporation Series A Cumulative Redeemable Preferred Stock</t>
  </si>
  <si>
    <t>NUVL</t>
  </si>
  <si>
    <t>Nuvalent Inc. Class A Common Stock</t>
  </si>
  <si>
    <t>STNG</t>
  </si>
  <si>
    <t>Scorpio Tankers Inc. Common Shares</t>
  </si>
  <si>
    <t>OTTR</t>
  </si>
  <si>
    <t>Otter Tail Corporation Common Stock</t>
  </si>
  <si>
    <t>FRPT</t>
  </si>
  <si>
    <t>Freshpet Inc. Common Stock</t>
  </si>
  <si>
    <t>UAA</t>
  </si>
  <si>
    <t>Under Armour Inc. Class A Common Stock</t>
  </si>
  <si>
    <t>UMBF</t>
  </si>
  <si>
    <t>UMB Financial Corporation Common Stock</t>
  </si>
  <si>
    <t>SDRL</t>
  </si>
  <si>
    <t>Seadrill Limited Common Shares</t>
  </si>
  <si>
    <t>LLYVK</t>
  </si>
  <si>
    <t>Liberty Media Corporation Series C Liberty Live Common Stock</t>
  </si>
  <si>
    <t>HWC</t>
  </si>
  <si>
    <t>Hancock Whitney Corporation Common Stock</t>
  </si>
  <si>
    <t>EVH</t>
  </si>
  <si>
    <t>Evolent Health Inc Class A Common Stock</t>
  </si>
  <si>
    <t>SKY</t>
  </si>
  <si>
    <t>Skyline Champion Corporation Common Stock</t>
  </si>
  <si>
    <t>BAK</t>
  </si>
  <si>
    <t>KOS</t>
  </si>
  <si>
    <t>Kosmos Energy Ltd. Common Shares (DE)</t>
  </si>
  <si>
    <t>CD</t>
  </si>
  <si>
    <t>Chindata Group Holdings Limited American Depositary Shares</t>
  </si>
  <si>
    <t>NVMI</t>
  </si>
  <si>
    <t>Nova Ltd. Ordinary Shares</t>
  </si>
  <si>
    <t>BL</t>
  </si>
  <si>
    <t>BlackLine Inc. Common Stock</t>
  </si>
  <si>
    <t>NNI</t>
  </si>
  <si>
    <t>Nelnet Inc. Common Stock</t>
  </si>
  <si>
    <t>NCNO</t>
  </si>
  <si>
    <t>nCino Inc. Common Stock</t>
  </si>
  <si>
    <t>AVAV</t>
  </si>
  <si>
    <t>AeroVironment Inc. Common Stock</t>
  </si>
  <si>
    <t>TDW</t>
  </si>
  <si>
    <t>Tidewater Inc. Common Stock</t>
  </si>
  <si>
    <t>LBRT</t>
  </si>
  <si>
    <t>Liberty Energy Inc. Class A common stock</t>
  </si>
  <si>
    <t>CYTK</t>
  </si>
  <si>
    <t>Cytokinetics Incorporated Common Stock</t>
  </si>
  <si>
    <t>CCOI</t>
  </si>
  <si>
    <t>Cogent Communications Holdings Inc.</t>
  </si>
  <si>
    <t>SIG</t>
  </si>
  <si>
    <t>Consumer Specialties</t>
  </si>
  <si>
    <t>Signet Jewelers Limited Common Shares</t>
  </si>
  <si>
    <t>MATX</t>
  </si>
  <si>
    <t>Matson Inc. Common Stock</t>
  </si>
  <si>
    <t>VC</t>
  </si>
  <si>
    <t>Visteon Corporation Common Stock</t>
  </si>
  <si>
    <t>KNF</t>
  </si>
  <si>
    <t>Knife Riv Holding Co. Common Stock</t>
  </si>
  <si>
    <t>WOR</t>
  </si>
  <si>
    <t>Worthington Industries Inc. Common Stock</t>
  </si>
  <si>
    <t>AI</t>
  </si>
  <si>
    <t>C3.ai Inc. Class A Common Stock</t>
  </si>
  <si>
    <t>NE</t>
  </si>
  <si>
    <t>Noble Corporation plc A Ordinary Shares</t>
  </si>
  <si>
    <t>LLYVA</t>
  </si>
  <si>
    <t>Liberty Media Corporation Series A Liberty Live Common Stock</t>
  </si>
  <si>
    <t>MDC</t>
  </si>
  <si>
    <t>M.D.C. Holdings Inc. Common Stock</t>
  </si>
  <si>
    <t>BGC</t>
  </si>
  <si>
    <t>BGC Group Inc. Class A Common Stock</t>
  </si>
  <si>
    <t>DAVA</t>
  </si>
  <si>
    <t>Endava plc American Depositary Shares (each representing one Class A Ordinary Share)</t>
  </si>
  <si>
    <t>JJSF</t>
  </si>
  <si>
    <t>J &amp; J Snack Foods Corp. Common Stock</t>
  </si>
  <si>
    <t>UNF</t>
  </si>
  <si>
    <t>Unifirst Corporation Common Stock</t>
  </si>
  <si>
    <t>ALE</t>
  </si>
  <si>
    <t>Allete Inc.</t>
  </si>
  <si>
    <t>RPD</t>
  </si>
  <si>
    <t>Rapid7 Inc. Common Stock</t>
  </si>
  <si>
    <t>PAGP</t>
  </si>
  <si>
    <t>Plains GP Holdings L.P. Class A Units representing Limited Partner Interests</t>
  </si>
  <si>
    <t>CVLT</t>
  </si>
  <si>
    <t>Commvault Systems Inc. Common Stock</t>
  </si>
  <si>
    <t>TGNA</t>
  </si>
  <si>
    <t>TEGNA Inc</t>
  </si>
  <si>
    <t>RBCP</t>
  </si>
  <si>
    <t>RBC Bearings Incorporated 5.00% Series A Mandatory Convertible Preferred Stock</t>
  </si>
  <si>
    <t>LEG</t>
  </si>
  <si>
    <t>Leggett &amp; Platt Incorporated Common Stock</t>
  </si>
  <si>
    <t>NARI</t>
  </si>
  <si>
    <t>Inari Medical Inc. Common Stock</t>
  </si>
  <si>
    <t>RUSHA</t>
  </si>
  <si>
    <t>Rush Enterprises Inc. Common Stock Cl A</t>
  </si>
  <si>
    <t>MQ</t>
  </si>
  <si>
    <t>Marqeta Inc. Class A Common Stock</t>
  </si>
  <si>
    <t>FOLD</t>
  </si>
  <si>
    <t>Amicus Therapeutics Inc. Common Stock</t>
  </si>
  <si>
    <t>GEF</t>
  </si>
  <si>
    <t>Greif Inc. Class A Common Stock</t>
  </si>
  <si>
    <t>LAZ</t>
  </si>
  <si>
    <t>Lazard LTD. Lazard LTD. Class A Common Stock</t>
  </si>
  <si>
    <t>AMED</t>
  </si>
  <si>
    <t>Amedisys Inc Common Stock</t>
  </si>
  <si>
    <t>CVI</t>
  </si>
  <si>
    <t>CVR Energy Inc. Common Stock</t>
  </si>
  <si>
    <t>CLS</t>
  </si>
  <si>
    <t>Celestica Inc. Common Stock</t>
  </si>
  <si>
    <t>FLNC</t>
  </si>
  <si>
    <t>Fluence Energy Inc. Class A Common Stock</t>
  </si>
  <si>
    <t>UA</t>
  </si>
  <si>
    <t>Under Armour Inc. Class C Common Stock</t>
  </si>
  <si>
    <t>CNMD</t>
  </si>
  <si>
    <t>CONMED Corporation Common Stock</t>
  </si>
  <si>
    <t>VSH</t>
  </si>
  <si>
    <t>Vishay Intertechnology Inc. Common Stock</t>
  </si>
  <si>
    <t>APPN</t>
  </si>
  <si>
    <t>Appian Corporation Class A Common Stock</t>
  </si>
  <si>
    <t>CRK</t>
  </si>
  <si>
    <t>Comstock Resources Inc. Common Stock</t>
  </si>
  <si>
    <t>BHF</t>
  </si>
  <si>
    <t>Brighthouse Financial Inc. Common Stock</t>
  </si>
  <si>
    <t>STNE</t>
  </si>
  <si>
    <t>StoneCo Ltd. Class A Common Shares</t>
  </si>
  <si>
    <t>YELP</t>
  </si>
  <si>
    <t>Yelp Inc. Common Stock</t>
  </si>
  <si>
    <t>SLAB</t>
  </si>
  <si>
    <t>Silicon Laboratories Inc. Common Stock</t>
  </si>
  <si>
    <t>GTES</t>
  </si>
  <si>
    <t>Gates Industrial Corporation plc Ordinary Shares</t>
  </si>
  <si>
    <t>M</t>
  </si>
  <si>
    <t>Macy's Inc Common Stock</t>
  </si>
  <si>
    <t>SEAS</t>
  </si>
  <si>
    <t>SeaWorld Entertainment Inc. Common Stock</t>
  </si>
  <si>
    <t>SR</t>
  </si>
  <si>
    <t>Spire Inc. Common Stock</t>
  </si>
  <si>
    <t>POWWP</t>
  </si>
  <si>
    <t>AMMO Inc. 8.75% Series A Cumulative Redeemable Perpetual Preferred Stock</t>
  </si>
  <si>
    <t>MANU</t>
  </si>
  <si>
    <t>Manchester United Ltd. Class A Ordinary Shares</t>
  </si>
  <si>
    <t>BUR</t>
  </si>
  <si>
    <t>Burford Capital Limited Ordinary Shares</t>
  </si>
  <si>
    <t>CABO</t>
  </si>
  <si>
    <t>Cable One Inc. Common Stock</t>
  </si>
  <si>
    <t>NWE</t>
  </si>
  <si>
    <t>NorthWestern Energy Group Inc. Common Stock</t>
  </si>
  <si>
    <t>NAN</t>
  </si>
  <si>
    <t>Nuveen New York Quality Municipal Income Fund Common Stock</t>
  </si>
  <si>
    <t>AVNT</t>
  </si>
  <si>
    <t>Avient Corporation Common Stock</t>
  </si>
  <si>
    <t>AB</t>
  </si>
  <si>
    <t>AllianceBernstein Holding L.P.  Units</t>
  </si>
  <si>
    <t>AllianceBernstein Holding L.P. Units</t>
  </si>
  <si>
    <t>BTU</t>
  </si>
  <si>
    <t>Coal Mining</t>
  </si>
  <si>
    <t>Peabody Energy Corporation Common Stock</t>
  </si>
  <si>
    <t>ADNT</t>
  </si>
  <si>
    <t>Adient plc Ordinary Shares</t>
  </si>
  <si>
    <t>AMR</t>
  </si>
  <si>
    <t>Alpha Metallurgical Resources Inc. Common Stock</t>
  </si>
  <si>
    <t>CEIX</t>
  </si>
  <si>
    <t>CONSOL Energy Inc. Common Stock</t>
  </si>
  <si>
    <t>WDFC</t>
  </si>
  <si>
    <t>WD-40 Company Common Stock</t>
  </si>
  <si>
    <t>OLK</t>
  </si>
  <si>
    <t>Olink Holding AB (publ) American Depositary Shares</t>
  </si>
  <si>
    <t>MC</t>
  </si>
  <si>
    <t>Moelis &amp; Company Class A Common Stock</t>
  </si>
  <si>
    <t>GKOS</t>
  </si>
  <si>
    <t>Glaukos Corporation Common Stock</t>
  </si>
  <si>
    <t>KWR</t>
  </si>
  <si>
    <t>Quaker Houghton Common Stock</t>
  </si>
  <si>
    <t>NXE</t>
  </si>
  <si>
    <t>Other Metals and Minerals</t>
  </si>
  <si>
    <t>Nexgen Energy Ltd. Common Shares</t>
  </si>
  <si>
    <t>YOU</t>
  </si>
  <si>
    <t>Clear Secure Inc. Class A Common Stock</t>
  </si>
  <si>
    <t>WIRE</t>
  </si>
  <si>
    <t>Encore Wire Corporation Common Stock</t>
  </si>
  <si>
    <t>FORM</t>
  </si>
  <si>
    <t>FormFactor Inc. FormFactor Inc. Common Stock</t>
  </si>
  <si>
    <t>PDCO</t>
  </si>
  <si>
    <t>Patterson Companies Inc. Common Stock</t>
  </si>
  <si>
    <t>IRT</t>
  </si>
  <si>
    <t>Independence Realty Trust Inc. Common Stock</t>
  </si>
  <si>
    <t>APAM</t>
  </si>
  <si>
    <t>Artisan Partners Asset Management Inc. Class A Common Stock</t>
  </si>
  <si>
    <t>STEP</t>
  </si>
  <si>
    <t>StepStone Group Inc. Class A Common Stock</t>
  </si>
  <si>
    <t>KAI</t>
  </si>
  <si>
    <t>Kadant Inc Common Stock</t>
  </si>
  <si>
    <t>CXT</t>
  </si>
  <si>
    <t>Crane NXT Co. Common Stock</t>
  </si>
  <si>
    <t>DIOD</t>
  </si>
  <si>
    <t>Diodes Incorporated Common Stock</t>
  </si>
  <si>
    <t>DLO</t>
  </si>
  <si>
    <t>DLocal Limited Class A Common Shares</t>
  </si>
  <si>
    <t>PGNY</t>
  </si>
  <si>
    <t>Progyny Inc. Common Stock</t>
  </si>
  <si>
    <t>ARWR</t>
  </si>
  <si>
    <t>Arrowhead Pharmaceuticals Inc. Common Stock</t>
  </si>
  <si>
    <t>PLTK</t>
  </si>
  <si>
    <t>Playtika Holding Corp. Common Stock</t>
  </si>
  <si>
    <t>VTMX</t>
  </si>
  <si>
    <t>Corporacion Inmobiliaria Vesta S.A.B de C.V. American Depositary Shares each representing ten (10) Common Shares</t>
  </si>
  <si>
    <t>ITRI</t>
  </si>
  <si>
    <t>Itron Inc. Common Stock</t>
  </si>
  <si>
    <t>YY</t>
  </si>
  <si>
    <t>JOYY Inc. American Depositary Shares</t>
  </si>
  <si>
    <t>ERJ</t>
  </si>
  <si>
    <t>Embraer S.A. Common Stock</t>
  </si>
  <si>
    <t>AWR</t>
  </si>
  <si>
    <t>American States Water Company Common Stock</t>
  </si>
  <si>
    <t>RARE</t>
  </si>
  <si>
    <t>Ultragenyx Pharmaceutical Inc. Common Stock</t>
  </si>
  <si>
    <t>CAMT</t>
  </si>
  <si>
    <t>Camtek Ltd. Ordinary Shares</t>
  </si>
  <si>
    <t>PBH</t>
  </si>
  <si>
    <t>Prestige Consumer Healthcare Inc. Common Stock</t>
  </si>
  <si>
    <t>AZTA</t>
  </si>
  <si>
    <t>Azenta Inc.</t>
  </si>
  <si>
    <t>ZGN</t>
  </si>
  <si>
    <t>Ermenegildo Zegna N.V. Ordinary Shares</t>
  </si>
  <si>
    <t>COUR</t>
  </si>
  <si>
    <t>Coursera Inc. Common Stock</t>
  </si>
  <si>
    <t>MEOH</t>
  </si>
  <si>
    <t>Methanex Corporation Common Stock</t>
  </si>
  <si>
    <t>HGTY</t>
  </si>
  <si>
    <t>Hagerty Inc. Class A Common Stock</t>
  </si>
  <si>
    <t>OGN</t>
  </si>
  <si>
    <t>Organon &amp; Co. Common Stock</t>
  </si>
  <si>
    <t>JOE</t>
  </si>
  <si>
    <t>St. Joe Company (The) Common Stock</t>
  </si>
  <si>
    <t>ACIW</t>
  </si>
  <si>
    <t>ACI Worldwide Inc. Common Stock</t>
  </si>
  <si>
    <t>NWL</t>
  </si>
  <si>
    <t>Newell Brands Inc. Common Stock</t>
  </si>
  <si>
    <t>CWT</t>
  </si>
  <si>
    <t>California Water Service Group Common Stock</t>
  </si>
  <si>
    <t>IART</t>
  </si>
  <si>
    <t>Integra LifeSciences Holdings Corporation Common Stock</t>
  </si>
  <si>
    <t>FHI</t>
  </si>
  <si>
    <t>Federated Hermes Inc. Common Stock</t>
  </si>
  <si>
    <t>ALRM</t>
  </si>
  <si>
    <t>Alarm.com Holdings Inc. Common Stock</t>
  </si>
  <si>
    <t>ZD</t>
  </si>
  <si>
    <t>Ziff Davis Inc. Common Stock</t>
  </si>
  <si>
    <t>ITGR</t>
  </si>
  <si>
    <t>Integer Holdings Corporation Common Stock</t>
  </si>
  <si>
    <t>CUZ</t>
  </si>
  <si>
    <t>Cousins Properties Incorporated Common Stock</t>
  </si>
  <si>
    <t>SEM</t>
  </si>
  <si>
    <t>Select Medical Holdings Corporation Common Stock</t>
  </si>
  <si>
    <t>SMG</t>
  </si>
  <si>
    <t>Scotts Miracle-Gro Company (The) Common Stock</t>
  </si>
  <si>
    <t>CBZ</t>
  </si>
  <si>
    <t>CBIZ Inc. Common Stock</t>
  </si>
  <si>
    <t>ARLP</t>
  </si>
  <si>
    <t>Alliance Resource Partners L.P. Common Units representing Limited Partners Interests</t>
  </si>
  <si>
    <t>TIGO</t>
  </si>
  <si>
    <t>Millicom International Cellular S.A. Common Stock</t>
  </si>
  <si>
    <t>NPWR</t>
  </si>
  <si>
    <t>NET Power Inc. Class A Common Stock</t>
  </si>
  <si>
    <t>GHC</t>
  </si>
  <si>
    <t>Graham Holdings Company Common Stock</t>
  </si>
  <si>
    <t>ZLAB</t>
  </si>
  <si>
    <t>Zai Lab Limited American Depositary Shares</t>
  </si>
  <si>
    <t>PLXS</t>
  </si>
  <si>
    <t>Plexus Corp. Common Stock</t>
  </si>
  <si>
    <t>KRYS</t>
  </si>
  <si>
    <t>Krystal Biotech Inc. Common Stock</t>
  </si>
  <si>
    <t>SPB</t>
  </si>
  <si>
    <t>Spectrum Brands Holdings Inc. Common Stock</t>
  </si>
  <si>
    <t>VIRT</t>
  </si>
  <si>
    <t>Virtu Financial Inc. Class A Common Stock</t>
  </si>
  <si>
    <t>SPT</t>
  </si>
  <si>
    <t>Sprout Social Inc Class A Common Stock</t>
  </si>
  <si>
    <t>NOMD</t>
  </si>
  <si>
    <t>Nomad Foods Limited Ordinary Shares</t>
  </si>
  <si>
    <t>PK</t>
  </si>
  <si>
    <t>Park Hotels &amp; Resorts Inc. Common Stock</t>
  </si>
  <si>
    <t>HMY</t>
  </si>
  <si>
    <t>Harmony Gold Mining Company Limited</t>
  </si>
  <si>
    <t>IBOC</t>
  </si>
  <si>
    <t>International Bancshares Corporation Common Stock</t>
  </si>
  <si>
    <t>LCII</t>
  </si>
  <si>
    <t>AUR</t>
  </si>
  <si>
    <t>Aurora Innovation Inc. Class A Common Stock</t>
  </si>
  <si>
    <t>ZIONP</t>
  </si>
  <si>
    <t>Zions Bancorporation N.A. Depositary Shares (Each representing 1/40th Interest in a Share of Series A Floating-Rate Non-Cumulative Perpetual Preferred Stock)</t>
  </si>
  <si>
    <t>WNS</t>
  </si>
  <si>
    <t>WNS (Holdings) Limited Sponsored ADR (Jersey)</t>
  </si>
  <si>
    <t>KTB</t>
  </si>
  <si>
    <t>Kontoor Brands Inc. Common Stock</t>
  </si>
  <si>
    <t>CNO</t>
  </si>
  <si>
    <t>CNO Financial Group Inc. Common Stock</t>
  </si>
  <si>
    <t>MDGL</t>
  </si>
  <si>
    <t>Madrigal Pharmaceuticals Inc. Common Stock</t>
  </si>
  <si>
    <t>FROG</t>
  </si>
  <si>
    <t>JFrog Ltd. Ordinary Shares</t>
  </si>
  <si>
    <t>ARCB</t>
  </si>
  <si>
    <t>ArcBest Corporation Common Stock</t>
  </si>
  <si>
    <t>UCBI</t>
  </si>
  <si>
    <t>United Community Banks Inc. Common Stock</t>
  </si>
  <si>
    <t>TPH</t>
  </si>
  <si>
    <t>Tri Pointe Homes Inc. Common Stock</t>
  </si>
  <si>
    <t>FTDR</t>
  </si>
  <si>
    <t>Frontdoor Inc. Common Stock</t>
  </si>
  <si>
    <t>HI</t>
  </si>
  <si>
    <t>Hillenbrand Inc Common Stock</t>
  </si>
  <si>
    <t>SITC</t>
  </si>
  <si>
    <t>SITE Centers Corp. Common Stock</t>
  </si>
  <si>
    <t>SANM</t>
  </si>
  <si>
    <t>Sanmina Corporation Common Stock</t>
  </si>
  <si>
    <t>ABCB</t>
  </si>
  <si>
    <t>Ameris Bancorp Common Stock</t>
  </si>
  <si>
    <t>GO</t>
  </si>
  <si>
    <t>Grocery Outlet Holding Corp. Common Stock</t>
  </si>
  <si>
    <t>BNL</t>
  </si>
  <si>
    <t>Broadstone Net Lease Inc. Common Stock</t>
  </si>
  <si>
    <t>AXSM</t>
  </si>
  <si>
    <t>Axsome Therapeutics Inc. Common Stock</t>
  </si>
  <si>
    <t>LITE</t>
  </si>
  <si>
    <t>Lumentum Holdings Inc. Common Stock</t>
  </si>
  <si>
    <t>GSHD</t>
  </si>
  <si>
    <t>Goosehead Insurance Inc. Class A Common Stock</t>
  </si>
  <si>
    <t>ARCH</t>
  </si>
  <si>
    <t>Arch Resources Inc. Class A Common Stock</t>
  </si>
  <si>
    <t>VAC</t>
  </si>
  <si>
    <t>Marriott Vacations Worldwide Corporation Common Stock</t>
  </si>
  <si>
    <t>DNA</t>
  </si>
  <si>
    <t>Ginkgo Bioworks Holdings Inc. Class A Common Stock</t>
  </si>
  <si>
    <t>BANF</t>
  </si>
  <si>
    <t>BancFirst Corporation Common Stock</t>
  </si>
  <si>
    <t>TSEM</t>
  </si>
  <si>
    <t>Tower Semiconductor Ltd. Ordinary Shares</t>
  </si>
  <si>
    <t>BDC</t>
  </si>
  <si>
    <t>Belden Inc Common Stock</t>
  </si>
  <si>
    <t>AVAL</t>
  </si>
  <si>
    <t>Grupo Aval Acciones y Valores S.A. ADR (Each representing 20 preferred shares)</t>
  </si>
  <si>
    <t>LTH</t>
  </si>
  <si>
    <t>Life Time Group Holdings Inc. Common Stock</t>
  </si>
  <si>
    <t>INTA</t>
  </si>
  <si>
    <t>Intapp Inc. Common Stock</t>
  </si>
  <si>
    <t>QS</t>
  </si>
  <si>
    <t>QuantumScape Corporation Class A Common Stock</t>
  </si>
  <si>
    <t>MHO</t>
  </si>
  <si>
    <t>M/I Homes Inc. Common Stock</t>
  </si>
  <si>
    <t>UCBIO</t>
  </si>
  <si>
    <t>United Community Banks Inc. Depositary Shares each representing 1/1000th interest in a share of Series I Non-CumulativePreferred Stock</t>
  </si>
  <si>
    <t>AYX</t>
  </si>
  <si>
    <t>Alteryx Inc. Class A Common Stock</t>
  </si>
  <si>
    <t>MP</t>
  </si>
  <si>
    <t>MP Materials Corp. Common Stock</t>
  </si>
  <si>
    <t>CDP</t>
  </si>
  <si>
    <t>COPT Defense Properties Common Shares of Beneficial Interest</t>
  </si>
  <si>
    <t>LGIH</t>
  </si>
  <si>
    <t>LGI Homes Inc. Common Stock</t>
  </si>
  <si>
    <t>CII</t>
  </si>
  <si>
    <t>Blackrock Capital and Income Fund Inc.</t>
  </si>
  <si>
    <t>HTZ</t>
  </si>
  <si>
    <t>Hertz Global Holdings Inc Common Stock</t>
  </si>
  <si>
    <t>TDOC</t>
  </si>
  <si>
    <t>Teladoc Health Inc. Common Stock</t>
  </si>
  <si>
    <t>WB</t>
  </si>
  <si>
    <t>Weibo Corporation American Depositary Share</t>
  </si>
  <si>
    <t>CSWI</t>
  </si>
  <si>
    <t>CSW Industrials Inc. Common Stock</t>
  </si>
  <si>
    <t>HEP</t>
  </si>
  <si>
    <t>Holly Energy Partners L.P. Common Stock</t>
  </si>
  <si>
    <t>DOC</t>
  </si>
  <si>
    <t>Physicians Realty Trust Common Shares of Beneficial Interest</t>
  </si>
  <si>
    <t>ABM</t>
  </si>
  <si>
    <t>ABM Industries Incorporated Common Stock</t>
  </si>
  <si>
    <t>TCBI</t>
  </si>
  <si>
    <t>Texas Capital Bancshares Inc. Common Stock</t>
  </si>
  <si>
    <t>ENOV</t>
  </si>
  <si>
    <t>Enovis Corporation Common Stock</t>
  </si>
  <si>
    <t>BRFS</t>
  </si>
  <si>
    <t>BRF S.A.</t>
  </si>
  <si>
    <t>QRTEB</t>
  </si>
  <si>
    <t>Qurate Retail Inc. Series B Common Stock</t>
  </si>
  <si>
    <t>GSAT</t>
  </si>
  <si>
    <t>Globalstar Inc. Common Stock</t>
  </si>
  <si>
    <t>TRMD</t>
  </si>
  <si>
    <t>TORM plc Class A Common Stock</t>
  </si>
  <si>
    <t>BRC</t>
  </si>
  <si>
    <t>Brady Corporation Common Stock</t>
  </si>
  <si>
    <t>ESE</t>
  </si>
  <si>
    <t>ESCO Technologies Inc. Common Stock</t>
  </si>
  <si>
    <t>CNS</t>
  </si>
  <si>
    <t>Cohen &amp; Steers Inc Common Stock</t>
  </si>
  <si>
    <t>SKT</t>
  </si>
  <si>
    <t>Tanger Factory Outlet Centers Inc. Common Stock</t>
  </si>
  <si>
    <t>MGEE</t>
  </si>
  <si>
    <t>AVA</t>
  </si>
  <si>
    <t>Avista Corporation Common Stock</t>
  </si>
  <si>
    <t>AIN</t>
  </si>
  <si>
    <t>Textiles</t>
  </si>
  <si>
    <t>Albany International Corporation Common Stock</t>
  </si>
  <si>
    <t>RNG</t>
  </si>
  <si>
    <t>RingCentral Inc. Class A Common Stock</t>
  </si>
  <si>
    <t>GMS</t>
  </si>
  <si>
    <t>GMS Inc. Common Stock</t>
  </si>
  <si>
    <t>CORT</t>
  </si>
  <si>
    <t>Corcept Therapeutics Incorporated Common Stock</t>
  </si>
  <si>
    <t>NVEI</t>
  </si>
  <si>
    <t>Nuvei Corporation Subordinate Voting Shares</t>
  </si>
  <si>
    <t>RLX</t>
  </si>
  <si>
    <t>RLX Technology Inc. American Depositary Shares each representing the right to receive one (1) Class A ordinary share</t>
  </si>
  <si>
    <t>PRVA</t>
  </si>
  <si>
    <t>Privia Health Group Inc. Common Stock</t>
  </si>
  <si>
    <t>SFBS</t>
  </si>
  <si>
    <t>ServisFirst Bancshares Inc. Common Stock</t>
  </si>
  <si>
    <t>SPR</t>
  </si>
  <si>
    <t>Spirit Aerosystems Holdings Inc. Common Stock</t>
  </si>
  <si>
    <t>ASB</t>
  </si>
  <si>
    <t>Associated Banc-Corp Common Stock</t>
  </si>
  <si>
    <t>AXNX</t>
  </si>
  <si>
    <t>Axonics Inc. Common Stock</t>
  </si>
  <si>
    <t>USAC</t>
  </si>
  <si>
    <t>USA Compression Partners LP Common Units Representing Limited Partner Interests</t>
  </si>
  <si>
    <t>GNW</t>
  </si>
  <si>
    <t>Genworth Financial Inc Common Stock</t>
  </si>
  <si>
    <t>GH</t>
  </si>
  <si>
    <t>Guardant Health Inc. Common Stock</t>
  </si>
  <si>
    <t>DBRG</t>
  </si>
  <si>
    <t>DigitalBridge Group Inc.</t>
  </si>
  <si>
    <t>CATY</t>
  </si>
  <si>
    <t>Cathay General Bancorp Common Stock</t>
  </si>
  <si>
    <t>KFY</t>
  </si>
  <si>
    <t>Korn Ferry Common Stock</t>
  </si>
  <si>
    <t>PTEN</t>
  </si>
  <si>
    <t>Patterson-UTI Energy Inc. Common Stock</t>
  </si>
  <si>
    <t>MPW</t>
  </si>
  <si>
    <t>Medical Properties Trust Inc. common stock</t>
  </si>
  <si>
    <t>KLIC</t>
  </si>
  <si>
    <t>Kulicke and Soffa Industries Inc. Common Stock</t>
  </si>
  <si>
    <t>CSTM</t>
  </si>
  <si>
    <t>Constellium SE Ordinary Shares (France)</t>
  </si>
  <si>
    <t>CRI</t>
  </si>
  <si>
    <t>Carter's Inc. Common Stock</t>
  </si>
  <si>
    <t>IOSP</t>
  </si>
  <si>
    <t>Innospec Inc. Common Stock</t>
  </si>
  <si>
    <t>PIPR</t>
  </si>
  <si>
    <t>Piper Sandler Companies Common Stock</t>
  </si>
  <si>
    <t>NSA</t>
  </si>
  <si>
    <t>National Storage Affiliates Trust Common Shares of Beneficial Interest</t>
  </si>
  <si>
    <t>FULTP</t>
  </si>
  <si>
    <t>Fulton Financial Corporation Depositary Shares Each Representing a 1/40th Interest in a Share of Fixed Rate Non-Cumulative Perpetual Preferred Stock Series A</t>
  </si>
  <si>
    <t>ICFI</t>
  </si>
  <si>
    <t>ICF International Inc. Common Stock</t>
  </si>
  <si>
    <t>TNL</t>
  </si>
  <si>
    <t>Travel   Leisure Co. Common  Stock</t>
  </si>
  <si>
    <t>Travel Leisure Co. Common Stock</t>
  </si>
  <si>
    <t>AMPH</t>
  </si>
  <si>
    <t>Amphastar Pharmaceuticals Inc. Common Stock</t>
  </si>
  <si>
    <t>KMPR</t>
  </si>
  <si>
    <t>Kemper Corporation</t>
  </si>
  <si>
    <t>NPO</t>
  </si>
  <si>
    <t>EnPro Industries Inc</t>
  </si>
  <si>
    <t>SHOO</t>
  </si>
  <si>
    <t>Steven Madden Ltd. Common Stock</t>
  </si>
  <si>
    <t>CPA</t>
  </si>
  <si>
    <t>Copa Holdings S.A. Class A Common Stock</t>
  </si>
  <si>
    <t>FTRE</t>
  </si>
  <si>
    <t>Fortrea Holdings Inc. Common Stock</t>
  </si>
  <si>
    <t>GBDC</t>
  </si>
  <si>
    <t>Golub Capital BDC Inc. Common Stock</t>
  </si>
  <si>
    <t>NABL</t>
  </si>
  <si>
    <t>N-able Inc. Common Stock</t>
  </si>
  <si>
    <t>BHC</t>
  </si>
  <si>
    <t>Bausch Health Companies Inc. Common Stock</t>
  </si>
  <si>
    <t>GBTG</t>
  </si>
  <si>
    <t>Global Business Travel Group Inc. Class A Common Stock</t>
  </si>
  <si>
    <t>QFIN</t>
  </si>
  <si>
    <t>Qifu Technology Inc. American Depositary Shares</t>
  </si>
  <si>
    <t>LTHM</t>
  </si>
  <si>
    <t>Livent Corporation Common Stock</t>
  </si>
  <si>
    <t>LIVN</t>
  </si>
  <si>
    <t>LivaNova PLC Ordinary Shares</t>
  </si>
  <si>
    <t>FTAIP</t>
  </si>
  <si>
    <t>FTAI Aviation Ltd. 8.25% Fixed to Floating Rate Series A Cumulative Perpetual Redeemable Preferred Shares</t>
  </si>
  <si>
    <t>PACWP</t>
  </si>
  <si>
    <t>PacWest Bancorp Depositary Shares Each Representing a 1/40th Interest in a Share of 7.75% Fixed Rate Non-Cumulative Perpetual Preferred Stock Series A</t>
  </si>
  <si>
    <t>HCC</t>
  </si>
  <si>
    <t>Warrior Met Coal Inc. Common Stock</t>
  </si>
  <si>
    <t>ABR</t>
  </si>
  <si>
    <t>Arbor Realty Trust Common Stock</t>
  </si>
  <si>
    <t>MGRC</t>
  </si>
  <si>
    <t>McGrath RentCorp Common Stock</t>
  </si>
  <si>
    <t>FIBK</t>
  </si>
  <si>
    <t>First Interstate BancSystem Inc. Common Stock (DE)</t>
  </si>
  <si>
    <t>DY</t>
  </si>
  <si>
    <t>Dycom Industries Inc. Common Stock</t>
  </si>
  <si>
    <t>CALM</t>
  </si>
  <si>
    <t>Cal-Maine Foods Inc. Common Stock</t>
  </si>
  <si>
    <t>SXT</t>
  </si>
  <si>
    <t>Sensient Technologies Corporation Common Stock</t>
  </si>
  <si>
    <t>FTAIO</t>
  </si>
  <si>
    <t>FTAI Aviation Ltd. 8.00% Fixed-to-Floating Rate Series B Cumulative Perpetual Redeemable Preferred Shares</t>
  </si>
  <si>
    <t>ENR</t>
  </si>
  <si>
    <t>Energizer Holdings Inc. Common Stock</t>
  </si>
  <si>
    <t>LRN</t>
  </si>
  <si>
    <t>Stride Inc. Common Stock</t>
  </si>
  <si>
    <t>SITM</t>
  </si>
  <si>
    <t>SiTime Corporation Common Stock</t>
  </si>
  <si>
    <t>HTGC</t>
  </si>
  <si>
    <t>Hercules Capital Inc. Common Stock</t>
  </si>
  <si>
    <t>TFPM</t>
  </si>
  <si>
    <t>Triple Flag Precious Metals Corp. Common Shares</t>
  </si>
  <si>
    <t>LXP</t>
  </si>
  <si>
    <t>LXP Industrial Trust Common Stock (Maryland REIT)</t>
  </si>
  <si>
    <t>FLYW</t>
  </si>
  <si>
    <t>Flywire Corporation Voting Common Stock</t>
  </si>
  <si>
    <t>IMCR</t>
  </si>
  <si>
    <t>Immunocore Holdings plc American Depositary Shares</t>
  </si>
  <si>
    <t>KSS</t>
  </si>
  <si>
    <t>Kohl's Corporation Common Stock</t>
  </si>
  <si>
    <t>CRDO</t>
  </si>
  <si>
    <t>Credo Technology Group Holding Ltd Ordinary Shares</t>
  </si>
  <si>
    <t>TRIP</t>
  </si>
  <si>
    <t>TripAdvisor Inc. Common Stock</t>
  </si>
  <si>
    <t>GFF</t>
  </si>
  <si>
    <t>Griffon Corporation Common Stock</t>
  </si>
  <si>
    <t>GLPG</t>
  </si>
  <si>
    <t>Galapagos NV American Depositary Shares</t>
  </si>
  <si>
    <t>SSRM</t>
  </si>
  <si>
    <t>SSR Mining Inc. Common Stock</t>
  </si>
  <si>
    <t>WD</t>
  </si>
  <si>
    <t>Walker &amp; Dunlop Inc Common Stock</t>
  </si>
  <si>
    <t>SGML</t>
  </si>
  <si>
    <t>Sigma Lithium Corporation Common Shares</t>
  </si>
  <si>
    <t>ALVO</t>
  </si>
  <si>
    <t>Alvotech Ordinary Shares</t>
  </si>
  <si>
    <t>LSPD</t>
  </si>
  <si>
    <t>Lightspeed Commerce Inc. Subordinate Voting Shares</t>
  </si>
  <si>
    <t>FOXF</t>
  </si>
  <si>
    <t>Fox Factory Holding Corp. Common Stock</t>
  </si>
  <si>
    <t>VIST</t>
  </si>
  <si>
    <t>Vista Energy S.A.B. de C.V. American Depositary Shares each representing one series A share with no par value</t>
  </si>
  <si>
    <t>BE</t>
  </si>
  <si>
    <t>Bloom Energy Corporation Class A Common Stock</t>
  </si>
  <si>
    <t>GLNG</t>
  </si>
  <si>
    <t>Golar Lng Ltd</t>
  </si>
  <si>
    <t>MOD</t>
  </si>
  <si>
    <t>Modine Manufacturing Company Common Stock</t>
  </si>
  <si>
    <t>FTAIN</t>
  </si>
  <si>
    <t>FTAI Aviation Ltd. 8.25% Fixed - Rate Reset Series C Cumulative Perpetual Redeemable Preferred Shares</t>
  </si>
  <si>
    <t>OR</t>
  </si>
  <si>
    <t>Osisko Gold Royalties Ltd Common Shares</t>
  </si>
  <si>
    <t>MLTX</t>
  </si>
  <si>
    <t>MoonLake Immunotherapeutics Class A Ordinary Shares</t>
  </si>
  <si>
    <t>HELE</t>
  </si>
  <si>
    <t>Helen of Troy Limited Common Stock</t>
  </si>
  <si>
    <t>VSAT</t>
  </si>
  <si>
    <t>ViaSat Inc. Common Stock</t>
  </si>
  <si>
    <t>HAYW</t>
  </si>
  <si>
    <t>Hayward Holdings Inc. Common Stock</t>
  </si>
  <si>
    <t>HL</t>
  </si>
  <si>
    <t>Hecla Mining Company Common Stock</t>
  </si>
  <si>
    <t>PRMW</t>
  </si>
  <si>
    <t>Primo Water Corporation Common Stock</t>
  </si>
  <si>
    <t>WERN</t>
  </si>
  <si>
    <t>Werner Enterprises Inc. Common Stock</t>
  </si>
  <si>
    <t>ROG</t>
  </si>
  <si>
    <t>Rogers Corporation Common Stock</t>
  </si>
  <si>
    <t>INSW</t>
  </si>
  <si>
    <t>International Seaways Inc. Common Stock</t>
  </si>
  <si>
    <t>SHAK</t>
  </si>
  <si>
    <t>Shake Shack Inc. Class A Common Stock</t>
  </si>
  <si>
    <t>FHB</t>
  </si>
  <si>
    <t>First Hawaiian Inc. Common Stock</t>
  </si>
  <si>
    <t>CENT</t>
  </si>
  <si>
    <t>Central Garden &amp; Pet Company Common Stock</t>
  </si>
  <si>
    <t>CALX</t>
  </si>
  <si>
    <t>Calix Inc Common Stock</t>
  </si>
  <si>
    <t>BRP</t>
  </si>
  <si>
    <t>BRP Group Inc. (Insurance Company) Class A Common Stock</t>
  </si>
  <si>
    <t>PSEC</t>
  </si>
  <si>
    <t>Prospect Capital Corporation Common Stock</t>
  </si>
  <si>
    <t>LU</t>
  </si>
  <si>
    <t>Lufax Holding Ltd American Depositary Shares two of which representing one Ordinary Share</t>
  </si>
  <si>
    <t>GPOR</t>
  </si>
  <si>
    <t>Gulfport Energy Corporation Common Shares</t>
  </si>
  <si>
    <t>Panama</t>
  </si>
  <si>
    <t>TEO</t>
  </si>
  <si>
    <t>REZI</t>
  </si>
  <si>
    <t>Wholesale Distributors</t>
  </si>
  <si>
    <t>Resideo Technologies Inc. Common Stock</t>
  </si>
  <si>
    <t>VRTV</t>
  </si>
  <si>
    <t>Veritiv Corporation Common Stock</t>
  </si>
  <si>
    <t>NMIH</t>
  </si>
  <si>
    <t>NMI Holdings Inc. Class A Common Stock</t>
  </si>
  <si>
    <t>PINC</t>
  </si>
  <si>
    <t>Premier Inc. Class A Common Stock</t>
  </si>
  <si>
    <t>AMN</t>
  </si>
  <si>
    <t>Assisted Living Services</t>
  </si>
  <si>
    <t>AMN Healthcare Services Inc</t>
  </si>
  <si>
    <t>BATRA</t>
  </si>
  <si>
    <t>Atlanta Braves Holdings Inc. Series A Common Stock</t>
  </si>
  <si>
    <t>SHLS</t>
  </si>
  <si>
    <t>Shoals Technologies Group Inc. Class A Common Stock</t>
  </si>
  <si>
    <t>PRGS</t>
  </si>
  <si>
    <t>Progress Software Corporation Common Stock (DE)</t>
  </si>
  <si>
    <t>INDB</t>
  </si>
  <si>
    <t>Independent Bank Corp. Common Stock</t>
  </si>
  <si>
    <t>IDCC</t>
  </si>
  <si>
    <t>InterDigital Inc. Common Stock</t>
  </si>
  <si>
    <t>CVBF</t>
  </si>
  <si>
    <t>CVB Financial Corporation Common Stock</t>
  </si>
  <si>
    <t>ACVA</t>
  </si>
  <si>
    <t>BVN</t>
  </si>
  <si>
    <t>Buenaventura Mining Company Inc.</t>
  </si>
  <si>
    <t>AIR</t>
  </si>
  <si>
    <t>AAR Corp. Common Stock</t>
  </si>
  <si>
    <t>OI</t>
  </si>
  <si>
    <t>O-I Glass Inc. Common Stock</t>
  </si>
  <si>
    <t>HUBG</t>
  </si>
  <si>
    <t>Hub Group Inc. Class A Common Stock</t>
  </si>
  <si>
    <t>KTOS</t>
  </si>
  <si>
    <t>Kratos Defense &amp; Security Solutions Inc. Common Stock</t>
  </si>
  <si>
    <t>VYX</t>
  </si>
  <si>
    <t>NCR Voyix Corporation Common Stock</t>
  </si>
  <si>
    <t>DNLI</t>
  </si>
  <si>
    <t>Denali Therapeutics Inc. Common Stock</t>
  </si>
  <si>
    <t>AUB</t>
  </si>
  <si>
    <t>Atlantic Union Bankshares Corporation Common Stock</t>
  </si>
  <si>
    <t>MAC</t>
  </si>
  <si>
    <t>Macerich Company (The) Common Stock</t>
  </si>
  <si>
    <t>IRTC</t>
  </si>
  <si>
    <t>iRhythm Technologies Inc. Common Stock</t>
  </si>
  <si>
    <t>ATGE</t>
  </si>
  <si>
    <t>Adtalem Global Education Inc. Common Stock</t>
  </si>
  <si>
    <t>CTRE</t>
  </si>
  <si>
    <t>CareTrust REIT Inc. Common Stock</t>
  </si>
  <si>
    <t>CBU</t>
  </si>
  <si>
    <t>Community Bank System Inc. Common Stock</t>
  </si>
  <si>
    <t>NHI</t>
  </si>
  <si>
    <t>National Health Investors Inc. Common Stock</t>
  </si>
  <si>
    <t>WSFS</t>
  </si>
  <si>
    <t>WSFS Financial Corporation Common Stock</t>
  </si>
  <si>
    <t>NEP</t>
  </si>
  <si>
    <t>NextEra Energy Partners LP Common Units representing limited partner interests</t>
  </si>
  <si>
    <t>RAMP</t>
  </si>
  <si>
    <t>LiveRamp Holdings Inc. Common Stock</t>
  </si>
  <si>
    <t>FULT</t>
  </si>
  <si>
    <t>Fulton Financial Corporation Common Stock</t>
  </si>
  <si>
    <t>AGYS</t>
  </si>
  <si>
    <t>Agilysys Inc. Common Stock (DE)</t>
  </si>
  <si>
    <t>INDV</t>
  </si>
  <si>
    <t>Indivior PLC Ordinary Shares</t>
  </si>
  <si>
    <t>ACLX</t>
  </si>
  <si>
    <t>Arcellx Inc. Common Stock</t>
  </si>
  <si>
    <t>CCS</t>
  </si>
  <si>
    <t>Century Communities Inc. Common Stock</t>
  </si>
  <si>
    <t>BOOT</t>
  </si>
  <si>
    <t>Boot Barn Holdings Inc. Common Stock</t>
  </si>
  <si>
    <t>MTRN</t>
  </si>
  <si>
    <t>Materion Corporation</t>
  </si>
  <si>
    <t>CPE</t>
  </si>
  <si>
    <t>Callon Petroleum Company Common Stock</t>
  </si>
  <si>
    <t>SOVO</t>
  </si>
  <si>
    <t>Sovos Brands Inc. Common Stock</t>
  </si>
  <si>
    <t>JWN</t>
  </si>
  <si>
    <t>Nordstrom Inc. Common Stock</t>
  </si>
  <si>
    <t>SFB</t>
  </si>
  <si>
    <t>Stifel Financial Corporation 5.20% Senior Notes due 2047</t>
  </si>
  <si>
    <t>UEC</t>
  </si>
  <si>
    <t>Uranium Energy Corp. Common Stock</t>
  </si>
  <si>
    <t>TAC</t>
  </si>
  <si>
    <t>TransAlta Corporation Ordinary Shares</t>
  </si>
  <si>
    <t>OII</t>
  </si>
  <si>
    <t>Oceaneering International Inc. Common Stock</t>
  </si>
  <si>
    <t>CCU</t>
  </si>
  <si>
    <t>Compania Cervecerias Unidas S.A. Common Stock</t>
  </si>
  <si>
    <t>DOCN</t>
  </si>
  <si>
    <t>DigitalOcean Holdings Inc. Common Stock</t>
  </si>
  <si>
    <t>NS</t>
  </si>
  <si>
    <t>Nustar Energy L.P.  Common Units</t>
  </si>
  <si>
    <t>Nustar Energy L.P. Common Units</t>
  </si>
  <si>
    <t>ALG</t>
  </si>
  <si>
    <t>Alamo Group Inc. Common Stock</t>
  </si>
  <si>
    <t>IONQ</t>
  </si>
  <si>
    <t>IonQ Inc. Common Stock</t>
  </si>
  <si>
    <t>RVMD</t>
  </si>
  <si>
    <t>Revolution Medicines Inc. Common Stock</t>
  </si>
  <si>
    <t>IFS</t>
  </si>
  <si>
    <t>Intercorp Financial Services Inc. Common Shares</t>
  </si>
  <si>
    <t>CERT</t>
  </si>
  <si>
    <t>Certara Inc. Common Stock</t>
  </si>
  <si>
    <t>DNUT</t>
  </si>
  <si>
    <t>Krispy Kreme Inc. Common Stock</t>
  </si>
  <si>
    <t>Italy</t>
  </si>
  <si>
    <t>IAS</t>
  </si>
  <si>
    <t>Integral Ad Science Holding Corp. Common Stock</t>
  </si>
  <si>
    <t>CVCO</t>
  </si>
  <si>
    <t>Cavco Industries Inc. Common Stock When Issued</t>
  </si>
  <si>
    <t>CSQ</t>
  </si>
  <si>
    <t>Calamos Strategic Total Return Common Stock</t>
  </si>
  <si>
    <t>DFH</t>
  </si>
  <si>
    <t>Dream Finders Homes Inc. Class A Common Stock</t>
  </si>
  <si>
    <t>EXTR</t>
  </si>
  <si>
    <t>Extreme Networks Inc. Common Stock</t>
  </si>
  <si>
    <t>VET</t>
  </si>
  <si>
    <t>Vermilion Energy Inc. Common (Canada)</t>
  </si>
  <si>
    <t>AROC</t>
  </si>
  <si>
    <t>Archrock Inc. Common Stock</t>
  </si>
  <si>
    <t>FSLY</t>
  </si>
  <si>
    <t>Fastly Inc. Class A Common Stock</t>
  </si>
  <si>
    <t>THS</t>
  </si>
  <si>
    <t>Treehouse Foods Inc. Common Stock</t>
  </si>
  <si>
    <t>CARG</t>
  </si>
  <si>
    <t>CarGurus Inc. Class A Common Stock</t>
  </si>
  <si>
    <t>NXT</t>
  </si>
  <si>
    <t>Nextracker Inc. Class A Common Stock</t>
  </si>
  <si>
    <t>CUK</t>
  </si>
  <si>
    <t>Carnival Plc ADS ADS</t>
  </si>
  <si>
    <t>STRA</t>
  </si>
  <si>
    <t>Strategic Education Inc. Common Stock</t>
  </si>
  <si>
    <t>RIOT</t>
  </si>
  <si>
    <t>Riot Platforms Inc. Common Stock</t>
  </si>
  <si>
    <t>PRFT</t>
  </si>
  <si>
    <t>Perficient Inc. Common Stock</t>
  </si>
  <si>
    <t>MARA</t>
  </si>
  <si>
    <t>Marathon Digital Holdings Inc. Common Stock</t>
  </si>
  <si>
    <t>NTLA</t>
  </si>
  <si>
    <t>Intellia Therapeutics Inc. Common Stock</t>
  </si>
  <si>
    <t>LAUR</t>
  </si>
  <si>
    <t>Laureate Education Inc. Common Stock</t>
  </si>
  <si>
    <t>TR</t>
  </si>
  <si>
    <t>Tootsie Roll Industries Inc. Common Stock</t>
  </si>
  <si>
    <t>HASI</t>
  </si>
  <si>
    <t>Hannon Armstrong Sustainable Infrastructure Capital Inc. Common Stock</t>
  </si>
  <si>
    <t>EVTC</t>
  </si>
  <si>
    <t>Evertec Inc. Common Stock</t>
  </si>
  <si>
    <t>IIPR</t>
  </si>
  <si>
    <t>Innovative Industrial Properties Inc. Common Stock</t>
  </si>
  <si>
    <t>PLUG</t>
  </si>
  <si>
    <t>Plug Power Inc. Common Stock</t>
  </si>
  <si>
    <t>BB</t>
  </si>
  <si>
    <t>BlackBerry Limited Common Stock</t>
  </si>
  <si>
    <t>LFST</t>
  </si>
  <si>
    <t>LifeStance Health Group Inc. Common Stock</t>
  </si>
  <si>
    <t>RKLB</t>
  </si>
  <si>
    <t>Rocket Lab USA Inc. Common Stock</t>
  </si>
  <si>
    <t>DKL</t>
  </si>
  <si>
    <t>Delek Logistics Partners L.P. Common Units representing Limited Partner Interests</t>
  </si>
  <si>
    <t>ARRY</t>
  </si>
  <si>
    <t>Array Technologies Inc. Common Stock</t>
  </si>
  <si>
    <t>EGO</t>
  </si>
  <si>
    <t>Eldorado Gold Corporation Ordinary Shares</t>
  </si>
  <si>
    <t>IMMP</t>
  </si>
  <si>
    <t>Immutep Limited American Depositary Shares</t>
  </si>
  <si>
    <t>BATRK</t>
  </si>
  <si>
    <t>Atlanta Braves Holdings Inc. Series C Common Stock</t>
  </si>
  <si>
    <t>PZZA</t>
  </si>
  <si>
    <t>Papa John's International Inc. Common Stock</t>
  </si>
  <si>
    <t>RXO</t>
  </si>
  <si>
    <t>RXO Inc. Common Stock</t>
  </si>
  <si>
    <t>DORM</t>
  </si>
  <si>
    <t>Dorman Products Inc. Common Stock</t>
  </si>
  <si>
    <t>CENTA</t>
  </si>
  <si>
    <t>Central Garden &amp; Pet Company Class A Common Stock Nonvoting</t>
  </si>
  <si>
    <t>DQ</t>
  </si>
  <si>
    <t>DAQO New Energy Corp. American Depositary Shares each representing five ordinary shares</t>
  </si>
  <si>
    <t>AMBP</t>
  </si>
  <si>
    <t>Ardagh Metal Packaging S.A. Ordinary Shares</t>
  </si>
  <si>
    <t>AX</t>
  </si>
  <si>
    <t>Axos Financial Inc. Common Stock</t>
  </si>
  <si>
    <t>TGH</t>
  </si>
  <si>
    <t>Textainer Group Holdings Limited Common Shares</t>
  </si>
  <si>
    <t>MGPI</t>
  </si>
  <si>
    <t>MGP Ingredients Inc.</t>
  </si>
  <si>
    <t>ROAD</t>
  </si>
  <si>
    <t>Construction Partners Inc. Class A Common Stock</t>
  </si>
  <si>
    <t>GDS</t>
  </si>
  <si>
    <t>GDS Holdings Limited ADS</t>
  </si>
  <si>
    <t>BOH</t>
  </si>
  <si>
    <t>Bank of Hawaii Corporation Common Stock</t>
  </si>
  <si>
    <t>NWTN</t>
  </si>
  <si>
    <t>NWTN Inc. Class B Ordinary Shares</t>
  </si>
  <si>
    <t>AY</t>
  </si>
  <si>
    <t>Atlantica Sustainable Infrastructure plc Ordinary Shares</t>
  </si>
  <si>
    <t>SNEX</t>
  </si>
  <si>
    <t>StoneX Group Inc. Common Stock</t>
  </si>
  <si>
    <t>RUN</t>
  </si>
  <si>
    <t>Sunrun Inc. Common Stock</t>
  </si>
  <si>
    <t>STRL</t>
  </si>
  <si>
    <t>Sterling Infrastructure Inc. Common Stock</t>
  </si>
  <si>
    <t>PAX</t>
  </si>
  <si>
    <t>Patria Investments Limited Class A Common Shares</t>
  </si>
  <si>
    <t>JSM</t>
  </si>
  <si>
    <t>Navient Corporation 6% Senior Notes due December 15 2043</t>
  </si>
  <si>
    <t>JAMF</t>
  </si>
  <si>
    <t>Jamf Holding Corp. Common Stock</t>
  </si>
  <si>
    <t>LZ</t>
  </si>
  <si>
    <t>LegalZoom.com Inc. Common Stock</t>
  </si>
  <si>
    <t>TBBK</t>
  </si>
  <si>
    <t>The Bancorp Inc Common Stock</t>
  </si>
  <si>
    <t>VCTR</t>
  </si>
  <si>
    <t>Victory Capital Holdings Inc. Class A Common Stock</t>
  </si>
  <si>
    <t>MCW</t>
  </si>
  <si>
    <t>Mister Car Wash Inc. Common Stock</t>
  </si>
  <si>
    <t>GRBK</t>
  </si>
  <si>
    <t>Green Brick Partners Inc. Common Stock</t>
  </si>
  <si>
    <t>TDS</t>
  </si>
  <si>
    <t>Telephone and Data Systems Inc. Common Shares</t>
  </si>
  <si>
    <t>HESM</t>
  </si>
  <si>
    <t>Hess Midstream LP Class A Share</t>
  </si>
  <si>
    <t>PD</t>
  </si>
  <si>
    <t>PagerDuty Inc. Common Stock</t>
  </si>
  <si>
    <t>EQC</t>
  </si>
  <si>
    <t>Equity Commonwealth Common Shares of Beneficial Interest</t>
  </si>
  <si>
    <t>EBC</t>
  </si>
  <si>
    <t>Eastern Bankshares Inc. Common Stock</t>
  </si>
  <si>
    <t>SRAD</t>
  </si>
  <si>
    <t>Sportradar Group AG Class A Ordinary Shares</t>
  </si>
  <si>
    <t>ROCK</t>
  </si>
  <si>
    <t>Gibraltar Industries Inc. Common Stock</t>
  </si>
  <si>
    <t>MWA</t>
  </si>
  <si>
    <t>MUELLER WATER PRODUCTS Common Stock</t>
  </si>
  <si>
    <t>PAY</t>
  </si>
  <si>
    <t>Paymentus Holdings Inc. Class A Common Stock</t>
  </si>
  <si>
    <t>PJT</t>
  </si>
  <si>
    <t>PJT Partners Inc. Class A Common Stock</t>
  </si>
  <si>
    <t>HPK</t>
  </si>
  <si>
    <t>HighPeak Energy Inc. Common Stock</t>
  </si>
  <si>
    <t>NEO</t>
  </si>
  <si>
    <t>Precision Instruments</t>
  </si>
  <si>
    <t>NeoGenomics Inc. Common Stock</t>
  </si>
  <si>
    <t>ALKT</t>
  </si>
  <si>
    <t>Alkami Technology Inc. Common Stock</t>
  </si>
  <si>
    <t>SLG</t>
  </si>
  <si>
    <t>SL Green Realty Corp Common Stock</t>
  </si>
  <si>
    <t>NYMTM</t>
  </si>
  <si>
    <t>New York Mortgage Trust Inc. 7.875% Series E Fixed-to-Floating Rate Cumulative Redeemable Preferred Stock</t>
  </si>
  <si>
    <t>AMBA</t>
  </si>
  <si>
    <t>Ambarella Inc. Ordinary Shares</t>
  </si>
  <si>
    <t>MCY</t>
  </si>
  <si>
    <t>Mercury General Corporation Common Stock</t>
  </si>
  <si>
    <t>UDMY</t>
  </si>
  <si>
    <t>Udemy Inc. Common Stock</t>
  </si>
  <si>
    <t>PARR</t>
  </si>
  <si>
    <t>Par Pacific Holdings Inc.  Common Stock</t>
  </si>
  <si>
    <t>Par Pacific Holdings Inc. Common Stock</t>
  </si>
  <si>
    <t>SHO</t>
  </si>
  <si>
    <t>Sunstone Hotel Investors Inc. Sunstone Hotel Investors Inc. Common Shares</t>
  </si>
  <si>
    <t>FCPT</t>
  </si>
  <si>
    <t>Four Corners Property Trust Inc. Common Stock</t>
  </si>
  <si>
    <t>SLVM</t>
  </si>
  <si>
    <t>Sylvamo Corporation Common Stock</t>
  </si>
  <si>
    <t>FA</t>
  </si>
  <si>
    <t>First Advantage Corporation Common Stock</t>
  </si>
  <si>
    <t>PAM</t>
  </si>
  <si>
    <t>RDNT</t>
  </si>
  <si>
    <t>RadNet Inc. Common Stock</t>
  </si>
  <si>
    <t>ICUI</t>
  </si>
  <si>
    <t>ICU Medical Inc. Common Stock</t>
  </si>
  <si>
    <t>PSMT</t>
  </si>
  <si>
    <t>PriceSmart Inc. Common Stock</t>
  </si>
  <si>
    <t>BLMN</t>
  </si>
  <si>
    <t>Bloomin' Brands Inc. Common Stock</t>
  </si>
  <si>
    <t>SJW</t>
  </si>
  <si>
    <t>SJW Group Common Stock (DE)</t>
  </si>
  <si>
    <t>QTWO</t>
  </si>
  <si>
    <t>Q2 Holdings Inc. Common Stock</t>
  </si>
  <si>
    <t>GVA</t>
  </si>
  <si>
    <t>Granite Construction Incorporated Common Stock</t>
  </si>
  <si>
    <t>SDGR</t>
  </si>
  <si>
    <t>Schrodinger Inc. Common Stock</t>
  </si>
  <si>
    <t>PAYO</t>
  </si>
  <si>
    <t>Payoneer Global Inc. Common Stock</t>
  </si>
  <si>
    <t>HURN</t>
  </si>
  <si>
    <t>Huron Consulting Group Inc. Common Stock</t>
  </si>
  <si>
    <t>AFGB</t>
  </si>
  <si>
    <t>American Financial Group Inc. 5.875% Subordinated Debentures due 2059</t>
  </si>
  <si>
    <t>BHVN</t>
  </si>
  <si>
    <t>Biohaven Ltd. Common Shares</t>
  </si>
  <si>
    <t>SVV</t>
  </si>
  <si>
    <t>Savers Value Village Inc. Common Stock</t>
  </si>
  <si>
    <t>BMBL</t>
  </si>
  <si>
    <t>Bumble Inc. Class A Common Stock</t>
  </si>
  <si>
    <t>NAVI</t>
  </si>
  <si>
    <t>Navient Corporation Common Stock</t>
  </si>
  <si>
    <t>PI</t>
  </si>
  <si>
    <t>Impinj Inc. Common Stock</t>
  </si>
  <si>
    <t>SIX</t>
  </si>
  <si>
    <t>Six Flags Entertainment Corporation New Common Stock</t>
  </si>
  <si>
    <t>HWCPZ</t>
  </si>
  <si>
    <t>Hancock Whitney Corporation 6.25% Subordinated Notes due 2060</t>
  </si>
  <si>
    <t>MTX</t>
  </si>
  <si>
    <t>Minerals Technologies Inc. Common Stock</t>
  </si>
  <si>
    <t>PTVE</t>
  </si>
  <si>
    <t>Pactiv Evergreen Inc. Common stock</t>
  </si>
  <si>
    <t>MYRG</t>
  </si>
  <si>
    <t>MYR Group Inc. Common Stock</t>
  </si>
  <si>
    <t>FL</t>
  </si>
  <si>
    <t>Foot Locker Inc.</t>
  </si>
  <si>
    <t>FUN</t>
  </si>
  <si>
    <t>Cedar Fair L.P. Common Stock</t>
  </si>
  <si>
    <t>TCN</t>
  </si>
  <si>
    <t>Tricon Residential Inc. Common Shares</t>
  </si>
  <si>
    <t>MRCY</t>
  </si>
  <si>
    <t>Mercury Systems Inc Common Stock</t>
  </si>
  <si>
    <t>TRN</t>
  </si>
  <si>
    <t>Trinity Industries Inc. Common Stock</t>
  </si>
  <si>
    <t>GDRX</t>
  </si>
  <si>
    <t>GoodRx Holdings Inc. Class A Common Stock</t>
  </si>
  <si>
    <t>SIMO</t>
  </si>
  <si>
    <t>Silicon Motion Technology Corporation American Depositary Shares</t>
  </si>
  <si>
    <t>DRVN</t>
  </si>
  <si>
    <t>Driven Brands Holdings Inc. Common Stock</t>
  </si>
  <si>
    <t>HIW</t>
  </si>
  <si>
    <t>Highwoods Properties Inc. Common Stock</t>
  </si>
  <si>
    <t>UE</t>
  </si>
  <si>
    <t>Urban Edge Properties Common Shares of Beneficial Interest</t>
  </si>
  <si>
    <t>EVEX</t>
  </si>
  <si>
    <t>Eve Holding Inc. Common Stock</t>
  </si>
  <si>
    <t>IDYA</t>
  </si>
  <si>
    <t>IDEAYA Biosciences Inc. Common Stock</t>
  </si>
  <si>
    <t>SBLK</t>
  </si>
  <si>
    <t>Star Bulk Carriers Corp. Common Shares</t>
  </si>
  <si>
    <t>OSIS</t>
  </si>
  <si>
    <t>OSI Systems Inc. Common Stock (DE)</t>
  </si>
  <si>
    <t>CRGY</t>
  </si>
  <si>
    <t>Crescent Energy Company Class A Common Stock</t>
  </si>
  <si>
    <t>SWI</t>
  </si>
  <si>
    <t>SolarWinds Corporation Common Stock</t>
  </si>
  <si>
    <t>PPBI</t>
  </si>
  <si>
    <t>Pacific Premier Bancorp Inc</t>
  </si>
  <si>
    <t>XENE</t>
  </si>
  <si>
    <t>Xenon Pharmaceuticals Inc. Common Shares</t>
  </si>
  <si>
    <t>AVDX</t>
  </si>
  <si>
    <t>AvidXchange Holdings Inc. Common Stock</t>
  </si>
  <si>
    <t>OUT</t>
  </si>
  <si>
    <t>OUTFRONT Media Inc. Common Stock</t>
  </si>
  <si>
    <t>ENV</t>
  </si>
  <si>
    <t>Envestnet Inc Common Stock</t>
  </si>
  <si>
    <t>DEI</t>
  </si>
  <si>
    <t>Douglas Emmett Inc. Common Stock</t>
  </si>
  <si>
    <t>CAAP</t>
  </si>
  <si>
    <t>Corporacion America Airports SA Common Shares</t>
  </si>
  <si>
    <t>EXPI</t>
  </si>
  <si>
    <t>eXp World Holdings Inc. Common Stock</t>
  </si>
  <si>
    <t>UPWK</t>
  </si>
  <si>
    <t>Upwork Inc. Common Stock</t>
  </si>
  <si>
    <t>HTH</t>
  </si>
  <si>
    <t>TMDX</t>
  </si>
  <si>
    <t>TransMedics Group Inc. Common Stock</t>
  </si>
  <si>
    <t>ITCL</t>
  </si>
  <si>
    <t>Banco Itau Chile American Depositary Shares (each representing one third of a share of Common Stock)</t>
  </si>
  <si>
    <t>LVWR</t>
  </si>
  <si>
    <t>LiveWire Group Inc. Common Stock</t>
  </si>
  <si>
    <t>GNL</t>
  </si>
  <si>
    <t>Global Net Lease Inc. Common Stock</t>
  </si>
  <si>
    <t>EE</t>
  </si>
  <si>
    <t>Excelerate Energy Inc. Class A Common Stock</t>
  </si>
  <si>
    <t>SFNC</t>
  </si>
  <si>
    <t>Simmons First National Corporation Class A Common Stock</t>
  </si>
  <si>
    <t>AMK</t>
  </si>
  <si>
    <t>AssetMark Financial Holdings Inc. Common Stock</t>
  </si>
  <si>
    <t>MODG</t>
  </si>
  <si>
    <t>Topgolf Callaway Brands Corp. Common Stock</t>
  </si>
  <si>
    <t>TOWN</t>
  </si>
  <si>
    <t>TowneBank Common Stock</t>
  </si>
  <si>
    <t>CBAY</t>
  </si>
  <si>
    <t>CymaBay Therapeutics Inc. Common Stock</t>
  </si>
  <si>
    <t>AFGD</t>
  </si>
  <si>
    <t>American Financial Group Inc. 5.625% Subordinated Debentures due 2060</t>
  </si>
  <si>
    <t>DISH</t>
  </si>
  <si>
    <t>DISH Network Corporation Class A Common Stock</t>
  </si>
  <si>
    <t>MIR</t>
  </si>
  <si>
    <t>Mirion Technologies Inc. Class A Common Stock</t>
  </si>
  <si>
    <t>FFBC</t>
  </si>
  <si>
    <t>First Financial Bancorp. Common Stock</t>
  </si>
  <si>
    <t>IHS</t>
  </si>
  <si>
    <t>IHS Holding Limited Ordinary Shares</t>
  </si>
  <si>
    <t>WGO</t>
  </si>
  <si>
    <t>Winnebago Industries Inc. Common Stock</t>
  </si>
  <si>
    <t>SBCF</t>
  </si>
  <si>
    <t>Seacoast Banking Corporation of Florida Common Stock</t>
  </si>
  <si>
    <t>JKS</t>
  </si>
  <si>
    <t>JinkoSolar Holding Company Limited American Depositary Shares (each representing 4 Common Shares)</t>
  </si>
  <si>
    <t>KMT</t>
  </si>
  <si>
    <t>Kennametal Inc. Common Stock</t>
  </si>
  <si>
    <t>MHNC</t>
  </si>
  <si>
    <t>Maiden Holdings North America Ltd. 7.75% Notes due 2043</t>
  </si>
  <si>
    <t>TIXT</t>
  </si>
  <si>
    <t>TELUS International (Cda) Inc. Subordinate Voting Shares</t>
  </si>
  <si>
    <t>TSLX</t>
  </si>
  <si>
    <t>Sixth Street Specialty Lending Inc. Common Stock</t>
  </si>
  <si>
    <t>RUM</t>
  </si>
  <si>
    <t>Rumble Inc. Class A Common Stock</t>
  </si>
  <si>
    <t>DOOR</t>
  </si>
  <si>
    <t>Masonite International Corporation Ordinary Shares (Canada)</t>
  </si>
  <si>
    <t>BEAM</t>
  </si>
  <si>
    <t>Beam Therapeutics Inc. Common Stock</t>
  </si>
  <si>
    <t>CRNX</t>
  </si>
  <si>
    <t>Crinetics Pharmaceuticals Inc. Common Stock</t>
  </si>
  <si>
    <t>BPOPM</t>
  </si>
  <si>
    <t>Popular Inc. Popular Capital Trust II - 6.125% Cumulative Monthly Income Trust Preferred Securities</t>
  </si>
  <si>
    <t>NYMTN</t>
  </si>
  <si>
    <t>New York Mortgage Trust Inc. 8.00% Series D Fixed-to-Floating Rate Cumulative Redeemable Preferred Stock</t>
  </si>
  <si>
    <t>PNFPP</t>
  </si>
  <si>
    <t>Pinnacle Financial Partners Inc. Depositary shares of Pinnacle Financial Partners Inc. each representing a 1/40th Interest in a share of its 6.75% Fixed-Rate Non-Cumulative Perpetual Preferred Stock Series B</t>
  </si>
  <si>
    <t>PRTA</t>
  </si>
  <si>
    <t>Prothena Corporation plc Ordinary Shares</t>
  </si>
  <si>
    <t>FRA</t>
  </si>
  <si>
    <t>Blackrock Floating Rate Income Strategies Fund Inc Common Stock</t>
  </si>
  <si>
    <t>Blackrock Floating Rate Income Strategies Fund Inc  Common Stock</t>
  </si>
  <si>
    <t>GTX</t>
  </si>
  <si>
    <t>Garrett Motion Inc. Common Stock</t>
  </si>
  <si>
    <t>MLKN</t>
  </si>
  <si>
    <t>MillerKnoll Inc. Common Stock</t>
  </si>
  <si>
    <t>UPST</t>
  </si>
  <si>
    <t>Upstart Holdings Inc. Common stock</t>
  </si>
  <si>
    <t>HNI</t>
  </si>
  <si>
    <t>HNI Corporation Common Stock</t>
  </si>
  <si>
    <t>NMRA</t>
  </si>
  <si>
    <t>Neumora Therapeutics Inc. Common Stock</t>
  </si>
  <si>
    <t>CNK</t>
  </si>
  <si>
    <t>Cinemark Holdings Inc Cinemark Holdings Inc. Common Stock</t>
  </si>
  <si>
    <t>ZETA</t>
  </si>
  <si>
    <t>Zeta Global Holdings Corp. Class A Common Stock</t>
  </si>
  <si>
    <t>AESI</t>
  </si>
  <si>
    <t>Atlas Energy Solutions Inc. Common Stock</t>
  </si>
  <si>
    <t>TALO</t>
  </si>
  <si>
    <t>Talos Energy Inc. Common Stock</t>
  </si>
  <si>
    <t>SKYW</t>
  </si>
  <si>
    <t>SkyWest Inc. Common Stock</t>
  </si>
  <si>
    <t>TROX</t>
  </si>
  <si>
    <t>Tronox Holdings plc Ordinary Shares (UK)</t>
  </si>
  <si>
    <t>PACB</t>
  </si>
  <si>
    <t>Pacific Biosciences of California Inc. Common Stock</t>
  </si>
  <si>
    <t>VIAV</t>
  </si>
  <si>
    <t>Viavi Solutions Inc. Common Stock</t>
  </si>
  <si>
    <t>EPC</t>
  </si>
  <si>
    <t>Edgewell Personal Care Company Common Stock</t>
  </si>
  <si>
    <t>GGAL</t>
  </si>
  <si>
    <t>Grupo Financiero Galicia S.A. American Depositary Shares</t>
  </si>
  <si>
    <t>NWLI</t>
  </si>
  <si>
    <t>National Western Life Group Inc. Class A Common Stock</t>
  </si>
  <si>
    <t>PATK</t>
  </si>
  <si>
    <t>Patrick Industries Inc. Common Stock</t>
  </si>
  <si>
    <t>GDV</t>
  </si>
  <si>
    <t>Gabelli Dividend &amp; Income Trust Common Shares of Beneficial Interest</t>
  </si>
  <si>
    <t>PGTI</t>
  </si>
  <si>
    <t>PGT Innovations Inc.</t>
  </si>
  <si>
    <t>UTZ</t>
  </si>
  <si>
    <t>Utz Brands Inc Class A Common Stock</t>
  </si>
  <si>
    <t>DAN</t>
  </si>
  <si>
    <t>Dana Incorporated Common Stock</t>
  </si>
  <si>
    <t>DRH</t>
  </si>
  <si>
    <t>Diamondrock Hospitality Company Common Stock</t>
  </si>
  <si>
    <t>RZC</t>
  </si>
  <si>
    <t>Reinsurance Group of America Incorporated 7.125% Fixed-Rate Reset Subordinated Debentures due 2052</t>
  </si>
  <si>
    <t>CWK</t>
  </si>
  <si>
    <t>Cushman &amp; Wakefield plc Ordinary Shares</t>
  </si>
  <si>
    <t>AGM</t>
  </si>
  <si>
    <t>Federal Agricultural Mortgage Corporation Common Stock</t>
  </si>
  <si>
    <t>FRME</t>
  </si>
  <si>
    <t>First Merchants Corporation Common Stock</t>
  </si>
  <si>
    <t>BIPH</t>
  </si>
  <si>
    <t>Brookfield Infrastructure Corporation 5.000% Subordinated Notes due 2081</t>
  </si>
  <si>
    <t>DVAX</t>
  </si>
  <si>
    <t>Dynavax Technologies Corporation Common Stock</t>
  </si>
  <si>
    <t>CLBK</t>
  </si>
  <si>
    <t>Columbia Financial Inc. Common Stock</t>
  </si>
  <si>
    <t>SGHC</t>
  </si>
  <si>
    <t>Super Group (SGHC) Limited Ordinary Shares</t>
  </si>
  <si>
    <t>DBD</t>
  </si>
  <si>
    <t>Diebold Nixdorf Incorporated Common stock</t>
  </si>
  <si>
    <t>NYMTL</t>
  </si>
  <si>
    <t>New York Mortgage Trust Inc. 6.875% Series F Fixed-to-Floating Rate Cumulative Redeemable Preferred Stock $0.01 par value per share</t>
  </si>
  <si>
    <t>BGR</t>
  </si>
  <si>
    <t>BlackRock Energy and Resources Trust</t>
  </si>
  <si>
    <t>SPNT</t>
  </si>
  <si>
    <t>SiriusPoint Ltd. Common Shares</t>
  </si>
  <si>
    <t>PRK</t>
  </si>
  <si>
    <t>Park National Corporation Common Stock</t>
  </si>
  <si>
    <t>BKU</t>
  </si>
  <si>
    <t>BankUnited Inc. Common Stock</t>
  </si>
  <si>
    <t>CMPR</t>
  </si>
  <si>
    <t>Cimpress plc Ordinary Shares (Ireland)</t>
  </si>
  <si>
    <t>RYTM</t>
  </si>
  <si>
    <t>Rhythm Pharmaceuticals Inc. Common Stock</t>
  </si>
  <si>
    <t>RC</t>
  </si>
  <si>
    <t>Ready Capital Corproation Common Stock</t>
  </si>
  <si>
    <t>BKE</t>
  </si>
  <si>
    <t>Buckle Inc. (The) Common Stock</t>
  </si>
  <si>
    <t>ODP</t>
  </si>
  <si>
    <t>The ODP Corporation Common Stock</t>
  </si>
  <si>
    <t>RCKT</t>
  </si>
  <si>
    <t>Rocket Pharmaceuticals Inc. Common Stock</t>
  </si>
  <si>
    <t>ENVX</t>
  </si>
  <si>
    <t>Enovix Corporation Common Stock</t>
  </si>
  <si>
    <t>SCL</t>
  </si>
  <si>
    <t>Stepan Company Common Stock</t>
  </si>
  <si>
    <t>ENLT</t>
  </si>
  <si>
    <t>Enlight Renewable Energy Ltd. Ordinary Shares</t>
  </si>
  <si>
    <t>WLYB</t>
  </si>
  <si>
    <t>John Wiley &amp; Sons Inc. Common Stock</t>
  </si>
  <si>
    <t>SAH</t>
  </si>
  <si>
    <t>Sonic Automotive Inc. Common Stock</t>
  </si>
  <si>
    <t>ATRC</t>
  </si>
  <si>
    <t>AtriCure Inc. Common Stock</t>
  </si>
  <si>
    <t>ANDE</t>
  </si>
  <si>
    <t>Andersons Inc. (The) Common Stock</t>
  </si>
  <si>
    <t>MNR</t>
  </si>
  <si>
    <t>Mach Natural Resources LP Common Units representing Limited Partner Interests</t>
  </si>
  <si>
    <t>RZB</t>
  </si>
  <si>
    <t>Reinsurance Group of America Incorporated 5.75% Fixed-To-Floating Rate Subordinated Debentures due 2056</t>
  </si>
  <si>
    <t>BNRE</t>
  </si>
  <si>
    <t>Brookfield Reinsurance Ltd. Class A Exchangeable Limited Voting Shares</t>
  </si>
  <si>
    <t>WMK</t>
  </si>
  <si>
    <t>Weis Markets Inc. Common Stock</t>
  </si>
  <si>
    <t>FWRD</t>
  </si>
  <si>
    <t>Forward Air Corporation Common Stock</t>
  </si>
  <si>
    <t>AFGC</t>
  </si>
  <si>
    <t>American Financial Group Inc. 5.125% Subordinated Debentures due 2059</t>
  </si>
  <si>
    <t>NATL</t>
  </si>
  <si>
    <t>NCR Atleos Corporation Common Stock</t>
  </si>
  <si>
    <t>BKT</t>
  </si>
  <si>
    <t>BlackRock Income Trust Inc. (The)</t>
  </si>
  <si>
    <t>IVT</t>
  </si>
  <si>
    <t>InvenTrust Properties Corp. Common Stock</t>
  </si>
  <si>
    <t>FLNG</t>
  </si>
  <si>
    <t>FLEX LNG Ltd. Ordinary Shares</t>
  </si>
  <si>
    <t>FIHL</t>
  </si>
  <si>
    <t>Fidelis Insurance Holdings Limited Common Shares</t>
  </si>
  <si>
    <t>WLY</t>
  </si>
  <si>
    <t>CRCT</t>
  </si>
  <si>
    <t>Cricut Inc. Class A Common Stock</t>
  </si>
  <si>
    <t>DHT</t>
  </si>
  <si>
    <t>DHT Holdings Inc.</t>
  </si>
  <si>
    <t>XRX</t>
  </si>
  <si>
    <t>Xerox Holdings Corporation Common Stock</t>
  </si>
  <si>
    <t>COCO</t>
  </si>
  <si>
    <t>The Vita Coco Company Inc. Common Stock</t>
  </si>
  <si>
    <t>DK</t>
  </si>
  <si>
    <t>Delek US Holdings Inc. Common Stock</t>
  </si>
  <si>
    <t>STAA</t>
  </si>
  <si>
    <t>STAAR Surgical Company Common Stock</t>
  </si>
  <si>
    <t>AFYA</t>
  </si>
  <si>
    <t>Afya Limited Class A Common Shares</t>
  </si>
  <si>
    <t>ECAT</t>
  </si>
  <si>
    <t>BlackRock ESG Capital Allocation Term Trust Common Shares of Beneficial Interest</t>
  </si>
  <si>
    <t>PTON</t>
  </si>
  <si>
    <t>Peloton Interactive Inc. Class A Common Stock</t>
  </si>
  <si>
    <t>XPRO</t>
  </si>
  <si>
    <t>Expro Group Holdings N.V. Common Stock</t>
  </si>
  <si>
    <t>ATMU</t>
  </si>
  <si>
    <t>Atmus Filtration Technologies Inc. Common Stock</t>
  </si>
  <si>
    <t>GCMG</t>
  </si>
  <si>
    <t>GCM Grosvenor Inc. Class A Common Stock</t>
  </si>
  <si>
    <t>PRIM</t>
  </si>
  <si>
    <t>Primoris Services Corporation Common Stock</t>
  </si>
  <si>
    <t>WAFD</t>
  </si>
  <si>
    <t>WaFd Inc. Common Stock</t>
  </si>
  <si>
    <t>VICR</t>
  </si>
  <si>
    <t>Vicor Corporation Common Stock</t>
  </si>
  <si>
    <t>VCYT</t>
  </si>
  <si>
    <t>Veracyte Inc. Common Stock</t>
  </si>
  <si>
    <t>VGR</t>
  </si>
  <si>
    <t>Vector Group Ltd. Common Stock</t>
  </si>
  <si>
    <t>INMD</t>
  </si>
  <si>
    <t>InMode Ltd. Ordinary Shares</t>
  </si>
  <si>
    <t>VCEL</t>
  </si>
  <si>
    <t>Vericel Corporation Common Stock</t>
  </si>
  <si>
    <t>PRO</t>
  </si>
  <si>
    <t>PROS Holdings Inc. Common Stock</t>
  </si>
  <si>
    <t>PLUS</t>
  </si>
  <si>
    <t>ePlus inc. Common Stock</t>
  </si>
  <si>
    <t>OSCR</t>
  </si>
  <si>
    <t>Oscar Health Inc. Class A Common Stock</t>
  </si>
  <si>
    <t>HTIBP</t>
  </si>
  <si>
    <t>Healthcare Trust Inc. 7.125% Series B Cumulative Redeemable Perpetual Preferred Stock</t>
  </si>
  <si>
    <t>ODD</t>
  </si>
  <si>
    <t>ODDITY Tech Ltd. Class A Ordinary Shares</t>
  </si>
  <si>
    <t>SXI</t>
  </si>
  <si>
    <t>Standex International Corporation Common Stock</t>
  </si>
  <si>
    <t>GSBD</t>
  </si>
  <si>
    <t>Goldman Sachs BDC Inc. Common Stock</t>
  </si>
  <si>
    <t>BIGZ</t>
  </si>
  <si>
    <t>BlackRock Innovation and Growth Term Trust Common Shares of Beneficial Interest</t>
  </si>
  <si>
    <t>MHD</t>
  </si>
  <si>
    <t>Blackrock MuniHoldings Fund Inc. Common Stock</t>
  </si>
  <si>
    <t>GETY</t>
  </si>
  <si>
    <t>Getty Images Holdings Inc. Class A Common Stock</t>
  </si>
  <si>
    <t>RES</t>
  </si>
  <si>
    <t>RPC Inc. Common Stock</t>
  </si>
  <si>
    <t>AMC</t>
  </si>
  <si>
    <t>AMC Entertainment Holdings Inc. Class A Common Stock</t>
  </si>
  <si>
    <t>DFIN</t>
  </si>
  <si>
    <t>Donnelley Financial Solutions Inc. Common Stock</t>
  </si>
  <si>
    <t>BCAT</t>
  </si>
  <si>
    <t>BlackRock Capital Allocation Term Trust Common Shares of Beneficial Interest</t>
  </si>
  <si>
    <t>PAGS</t>
  </si>
  <si>
    <t>PagSeguro Digital Ltd. Class A Common Shares</t>
  </si>
  <si>
    <t>BWSN</t>
  </si>
  <si>
    <t>Babcock &amp; Wilcox Enterprises Inc. 8.125% Senior Notes due 2026</t>
  </si>
  <si>
    <t>MQY</t>
  </si>
  <si>
    <t>Blackrock MuniYield Quality Fund Inc. Common Stock</t>
  </si>
  <si>
    <t>KW</t>
  </si>
  <si>
    <t>Kennedy-Wilson Holdings Inc. Common Stock</t>
  </si>
  <si>
    <t>HEES</t>
  </si>
  <si>
    <t>H&amp;E Equipment Services Inc. Common Stock</t>
  </si>
  <si>
    <t>CWH</t>
  </si>
  <si>
    <t>Camping World Holdings Inc. Class A Common Stock</t>
  </si>
  <si>
    <t>KAR</t>
  </si>
  <si>
    <t>OPENLANE Inc. Common Stock</t>
  </si>
  <si>
    <t>PRCT</t>
  </si>
  <si>
    <t>PROCEPT BioRobotics Corporation Common Stock</t>
  </si>
  <si>
    <t>VECO</t>
  </si>
  <si>
    <t>Veeco Instruments Inc. Common Stock</t>
  </si>
  <si>
    <t>TNK</t>
  </si>
  <si>
    <t>Teekay Tankers Ltd.</t>
  </si>
  <si>
    <t>TNC</t>
  </si>
  <si>
    <t>Tennant Company Common Stock</t>
  </si>
  <si>
    <t>CAKE</t>
  </si>
  <si>
    <t>Cheesecake Factory Incorporated (The) Common Stock</t>
  </si>
  <si>
    <t>MBC</t>
  </si>
  <si>
    <t>MasterBrand Inc. Common Stock</t>
  </si>
  <si>
    <t>MUI</t>
  </si>
  <si>
    <t>BlackRock Municipal Income Fund Inc. Common Stock</t>
  </si>
  <si>
    <t>MUJ</t>
  </si>
  <si>
    <t>Blackrock MuniHoldings New Jersey Quality Fund Inc. Common Stock</t>
  </si>
  <si>
    <t>TGLS</t>
  </si>
  <si>
    <t>Tecnoglass Inc. Ordinary Shares</t>
  </si>
  <si>
    <t>GPRE</t>
  </si>
  <si>
    <t>Green Plains Inc. Common Stock</t>
  </si>
  <si>
    <t>GPCR</t>
  </si>
  <si>
    <t>Structure Therapeutics Inc. American Depositary Shares</t>
  </si>
  <si>
    <t>CXW</t>
  </si>
  <si>
    <t>CoreCivic Inc. Common Stock</t>
  </si>
  <si>
    <t>TGTX</t>
  </si>
  <si>
    <t>TG Therapeutics Inc. Common Stock</t>
  </si>
  <si>
    <t>UPBD</t>
  </si>
  <si>
    <t>Upbound Group Inc. Common Stock</t>
  </si>
  <si>
    <t>BOWL</t>
  </si>
  <si>
    <t>Bowlero Corp. Class A Common Stock</t>
  </si>
  <si>
    <t>CNXN</t>
  </si>
  <si>
    <t>PC Connection Inc. Common Stock</t>
  </si>
  <si>
    <t>CPK</t>
  </si>
  <si>
    <t>Chesapeake Utilities Corporation Common Stock</t>
  </si>
  <si>
    <t>RLJ</t>
  </si>
  <si>
    <t>RLJ Lodging Trust Common Shares of Beneficial Interest $0.01 par value</t>
  </si>
  <si>
    <t>TGS</t>
  </si>
  <si>
    <t>Transportadora de Gas del Sur SA TGS Common Stock</t>
  </si>
  <si>
    <t>WINA</t>
  </si>
  <si>
    <t>Winmark Corporation Common Stock</t>
  </si>
  <si>
    <t>BORR</t>
  </si>
  <si>
    <t>Borr Drilling Limited Common Shares</t>
  </si>
  <si>
    <t>SBBA</t>
  </si>
  <si>
    <t>Scorpio Tankers Inc. 7.00% Senior Notes due 2025</t>
  </si>
  <si>
    <t>IMKTA</t>
  </si>
  <si>
    <t>Ingles Markets Incorporated Class A Common Stock</t>
  </si>
  <si>
    <t>EPAC</t>
  </si>
  <si>
    <t>Enerpac Tool Group Corp. Common Stock</t>
  </si>
  <si>
    <t>MIY</t>
  </si>
  <si>
    <t>Blackrock MuniYield Michigan Quality Fund Inc. Common Stock</t>
  </si>
  <si>
    <t>OCSL</t>
  </si>
  <si>
    <t>Oaktree Specialty Lending Corporation Common Stock</t>
  </si>
  <si>
    <t>IRWD</t>
  </si>
  <si>
    <t>Ironwood Pharmaceuticals Inc. Class A Common Stock</t>
  </si>
  <si>
    <t>PLAY</t>
  </si>
  <si>
    <t>Dave &amp; Buster's Entertainment Inc. Common Stock</t>
  </si>
  <si>
    <t>AVPT</t>
  </si>
  <si>
    <t>AvePoint Inc. Class A Common Stock</t>
  </si>
  <si>
    <t>ROIC</t>
  </si>
  <si>
    <t>Retail Opportunity Investments Corp. Common Stock (MD)</t>
  </si>
  <si>
    <t>TFIN</t>
  </si>
  <si>
    <t>Triumph Financial Inc. Common Stock</t>
  </si>
  <si>
    <t>MYI</t>
  </si>
  <si>
    <t>Blackrock MuniYield Quality Fund III Inc Common Stock</t>
  </si>
  <si>
    <t>LILAK</t>
  </si>
  <si>
    <t>Liberty Latin America Ltd. Class C Common Stock</t>
  </si>
  <si>
    <t>VSCO</t>
  </si>
  <si>
    <t>Victorias Secret &amp; Co. Common Stock</t>
  </si>
  <si>
    <t>UZD</t>
  </si>
  <si>
    <t>United States Cellular Corporation 6.250% Senior Notes due 2069</t>
  </si>
  <si>
    <t>MHLA</t>
  </si>
  <si>
    <t>Maiden Holdings Ltd. 6.625% Notes due 2046</t>
  </si>
  <si>
    <t>EAT</t>
  </si>
  <si>
    <t>Brinker International Inc. Common Stock</t>
  </si>
  <si>
    <t>EVCM</t>
  </si>
  <si>
    <t>EverCommerce Inc. Common Stock</t>
  </si>
  <si>
    <t>LILA</t>
  </si>
  <si>
    <t>Liberty Latin America Ltd. Class A Common Stock</t>
  </si>
  <si>
    <t>DCBO</t>
  </si>
  <si>
    <t>Docebo Inc. Common Shares</t>
  </si>
  <si>
    <t>AFGE</t>
  </si>
  <si>
    <t>American Financial Group Inc. 4.500% Subordinated Debentures due 2060</t>
  </si>
  <si>
    <t>WTFCP</t>
  </si>
  <si>
    <t>Wintrust Financial Corporation Depositary Shares Each Representing a 1/1000th Interest in a Share of 6.875% Fixed-Rate Reset Non-Cumulative Perpetual Preferred Stock Series E</t>
  </si>
  <si>
    <t>WSBC</t>
  </si>
  <si>
    <t>WesBanco Inc. Common Stock</t>
  </si>
  <si>
    <t>IBTX</t>
  </si>
  <si>
    <t>Independent Bank Group Inc Common Stock</t>
  </si>
  <si>
    <t>KRP</t>
  </si>
  <si>
    <t>Kimbell Royalty Partners Common Units Representing Limited Partner Interests</t>
  </si>
  <si>
    <t>COHU</t>
  </si>
  <si>
    <t>Cohu Inc. Common Stock</t>
  </si>
  <si>
    <t>GOGL</t>
  </si>
  <si>
    <t>Golden Ocean Group Limited Common Stock</t>
  </si>
  <si>
    <t>CSGS</t>
  </si>
  <si>
    <t>CSG Systems International Inc. Common Stock</t>
  </si>
  <si>
    <t>CMTG</t>
  </si>
  <si>
    <t>Claros Mortgage Trust Inc. Common Stock</t>
  </si>
  <si>
    <t>OFG</t>
  </si>
  <si>
    <t>OFG Bancorp Common Stock</t>
  </si>
  <si>
    <t>MUC</t>
  </si>
  <si>
    <t>Blackrock MuniHoldings California Quality Fund Inc. Common Stock</t>
  </si>
  <si>
    <t>Blackrock MuniHoldings California Quality Fund Inc.  Common Stock</t>
  </si>
  <si>
    <t>PLMR</t>
  </si>
  <si>
    <t>Palomar Holdings Inc. Common stock</t>
  </si>
  <si>
    <t>FOR</t>
  </si>
  <si>
    <t>Forestar Group Inc Common Stock</t>
  </si>
  <si>
    <t>MRTN</t>
  </si>
  <si>
    <t>Marten Transport Ltd. Common Stock</t>
  </si>
  <si>
    <t>JBI</t>
  </si>
  <si>
    <t>Janus International Group Inc. Common Stock</t>
  </si>
  <si>
    <t>NYMTZ</t>
  </si>
  <si>
    <t>New York Mortgage Trust Inc. 7.000% Series G Cumulative Redeemable Preferred Stock $0.01 par value per share</t>
  </si>
  <si>
    <t>LPG</t>
  </si>
  <si>
    <t>Dorian LPG Ltd. Common Stock</t>
  </si>
  <si>
    <t>ARI</t>
  </si>
  <si>
    <t>Apollo Commercial Real Estate Finance Inc</t>
  </si>
  <si>
    <t>GMAB</t>
  </si>
  <si>
    <t>Genmab A/S ADS</t>
  </si>
  <si>
    <t>NVEE</t>
  </si>
  <si>
    <t>NV5 Global Inc. Common Stock</t>
  </si>
  <si>
    <t>NBTB</t>
  </si>
  <si>
    <t>NBT Bancorp Inc. Common Stock</t>
  </si>
  <si>
    <t>GTY</t>
  </si>
  <si>
    <t>Getty Realty Corporation Common Stock</t>
  </si>
  <si>
    <t>MLNK</t>
  </si>
  <si>
    <t>MeridianLink Inc. Common Stock</t>
  </si>
  <si>
    <t>HLX</t>
  </si>
  <si>
    <t>Helix Energy Solutions Group Inc. Common Stock</t>
  </si>
  <si>
    <t>CBRL</t>
  </si>
  <si>
    <t>Cracker Barrel Old Country Store Inc Common Stock</t>
  </si>
  <si>
    <t>SUPN</t>
  </si>
  <si>
    <t>Supernus Pharmaceuticals Inc. Common Stock</t>
  </si>
  <si>
    <t>TTMI</t>
  </si>
  <si>
    <t>TTM Technologies Inc. Common Stock</t>
  </si>
  <si>
    <t>SSTK</t>
  </si>
  <si>
    <t>Shutterstock Inc. Common Stock</t>
  </si>
  <si>
    <t>BANR</t>
  </si>
  <si>
    <t>Banner Corporation Common Stock</t>
  </si>
  <si>
    <t>INTR</t>
  </si>
  <si>
    <t>Inter &amp; Co. Inc. Class A Common Shares</t>
  </si>
  <si>
    <t>ROVR</t>
  </si>
  <si>
    <t>Rover Group Inc. Class A Common Stock</t>
  </si>
  <si>
    <t>NTCT</t>
  </si>
  <si>
    <t>NetScout Systems Inc. Common Stock</t>
  </si>
  <si>
    <t>ECCX</t>
  </si>
  <si>
    <t>Eagle Point Credit Company Inc. 6.6875% Notes due 2028</t>
  </si>
  <si>
    <t>SEAT</t>
  </si>
  <si>
    <t>Vivid Seats Inc. Class A Common Stock</t>
  </si>
  <si>
    <t>RNST</t>
  </si>
  <si>
    <t>Renasant Corporation Common Stock</t>
  </si>
  <si>
    <t>MVT</t>
  </si>
  <si>
    <t>Blackrock MuniVest Fund II Inc. Common Stock</t>
  </si>
  <si>
    <t>Blackrock MuniVest Fund II Inc.  Common Stock</t>
  </si>
  <si>
    <t>TY</t>
  </si>
  <si>
    <t>Tri Continental Corporation Common Stock</t>
  </si>
  <si>
    <t>HIMS</t>
  </si>
  <si>
    <t>Hims &amp; Hers Health Inc. Class A Common Stock</t>
  </si>
  <si>
    <t>EYE</t>
  </si>
  <si>
    <t>National Vision Holdings Inc. Common Stock</t>
  </si>
  <si>
    <t>VSTO</t>
  </si>
  <si>
    <t>Vista Outdoor Inc. Common Stock</t>
  </si>
  <si>
    <t>FBK</t>
  </si>
  <si>
    <t>FB Financial Corporation Common Stock</t>
  </si>
  <si>
    <t>HBM</t>
  </si>
  <si>
    <t>Hudbay Minerals Inc. Ordinary Shares (Canada)</t>
  </si>
  <si>
    <t>CLBT</t>
  </si>
  <si>
    <t>Cellebrite DI Ltd. Ordinary Shares</t>
  </si>
  <si>
    <t>BWNB</t>
  </si>
  <si>
    <t>Babcock &amp; Wilcox Enterprises Inc. 6.50% Senior Notes due 2026</t>
  </si>
  <si>
    <t>AMEH</t>
  </si>
  <si>
    <t>Apollo Medical Holdings Inc. Common Stock</t>
  </si>
  <si>
    <t>EQX</t>
  </si>
  <si>
    <t>Equinox Gold Corp. Common Shares</t>
  </si>
  <si>
    <t>MYD</t>
  </si>
  <si>
    <t>Blackrock MuniYield Fund Inc. Common Stock</t>
  </si>
  <si>
    <t>Blackrock MuniYield Fund Inc.  Common Stock</t>
  </si>
  <si>
    <t>THRM</t>
  </si>
  <si>
    <t>Gentherm Inc Common Stock</t>
  </si>
  <si>
    <t>GEL</t>
  </si>
  <si>
    <t>Genesis Energy L.P. Common Units</t>
  </si>
  <si>
    <t>Norway</t>
  </si>
  <si>
    <t>GAB</t>
  </si>
  <si>
    <t>Gabelli Equity Trust Inc. (The) Common Stock</t>
  </si>
  <si>
    <t>IBRX</t>
  </si>
  <si>
    <t>ImmunityBio Inc. Common Stock</t>
  </si>
  <si>
    <t>HPKEW</t>
  </si>
  <si>
    <t>HighPeak Energy Inc. Warrant</t>
  </si>
  <si>
    <t>MDRX</t>
  </si>
  <si>
    <t>Veradigm Inc. Common Stock</t>
  </si>
  <si>
    <t>MHN</t>
  </si>
  <si>
    <t>Blackrock MuniHoldings New York Quality Fund Inc. Common Stock</t>
  </si>
  <si>
    <t>HBI</t>
  </si>
  <si>
    <t>Hanesbrands Inc. Common Stock</t>
  </si>
  <si>
    <t>PEB</t>
  </si>
  <si>
    <t>Pebblebrook Hotel Trust Common Shares of Beneficial Interest</t>
  </si>
  <si>
    <t>HTZWW</t>
  </si>
  <si>
    <t>Hertz Global Holdings Inc Warrant</t>
  </si>
  <si>
    <t>PTCT</t>
  </si>
  <si>
    <t>PTC Therapeutics Inc. Common Stock</t>
  </si>
  <si>
    <t>OMCL</t>
  </si>
  <si>
    <t>Omnicell Inc. Common Stock ($0.001 par value)</t>
  </si>
  <si>
    <t>MUA</t>
  </si>
  <si>
    <t>Blackrock MuniAssets Fund Inc Common Stock</t>
  </si>
  <si>
    <t>OPEN</t>
  </si>
  <si>
    <t>Opendoor Technologies Inc Common Stock</t>
  </si>
  <si>
    <t>HRMY</t>
  </si>
  <si>
    <t>Harmony Biosciences Holdings Inc. Common Stock</t>
  </si>
  <si>
    <t>KN</t>
  </si>
  <si>
    <t>Knowles Corporation Common Stock</t>
  </si>
  <si>
    <t>CHCO</t>
  </si>
  <si>
    <t>City Holding Company Common Stock</t>
  </si>
  <si>
    <t>ATEC</t>
  </si>
  <si>
    <t>Alphatec Holdings Inc. Common Stock</t>
  </si>
  <si>
    <t>ECCW</t>
  </si>
  <si>
    <t>Eagle Point Credit Company Inc. 6.75% Notes due 2031</t>
  </si>
  <si>
    <t>FRMEP</t>
  </si>
  <si>
    <t>First Merchants Corporation Depository Shares</t>
  </si>
  <si>
    <t>VRTS</t>
  </si>
  <si>
    <t>Virtus Investment Partners Inc. Common Stock</t>
  </si>
  <si>
    <t>PNT</t>
  </si>
  <si>
    <t>POINT Biopharma Global Inc. Common Stock</t>
  </si>
  <si>
    <t>GIC</t>
  </si>
  <si>
    <t>Global Industrial Company Common Stock</t>
  </si>
  <si>
    <t>MQT</t>
  </si>
  <si>
    <t>Blackrock MuniYield Quality Fund II Inc. Common Stock</t>
  </si>
  <si>
    <t>ESRT</t>
  </si>
  <si>
    <t>Empire State Realty Trust Inc. Class A Common Stock</t>
  </si>
  <si>
    <t>MUE</t>
  </si>
  <si>
    <t>Blackrock MuniHoldings Quality Fund II Inc. Common Stock</t>
  </si>
  <si>
    <t>HOLI</t>
  </si>
  <si>
    <t>Hollysys Automation Technologies Ltd. Common Shares (British Virgin Islands)</t>
  </si>
  <si>
    <t>NGVT</t>
  </si>
  <si>
    <t>Ingevity Corporation Common Stock</t>
  </si>
  <si>
    <t>HTIA</t>
  </si>
  <si>
    <t>Healthcare Trust Inc. 7.375% Series A Cumulative Redeemable Perpetual Preferred Stock</t>
  </si>
  <si>
    <t>WSBCP</t>
  </si>
  <si>
    <t>WesBanco Inc. Depositary Shares Each Representing a 1/40th Interest in a Share of 6.75% Fixed-Rate Reset Non-Cumulative Perpetual Preferred Stock Series A</t>
  </si>
  <si>
    <t>AKR</t>
  </si>
  <si>
    <t>Acadia Realty Trust Common Stock</t>
  </si>
  <si>
    <t>CPRX</t>
  </si>
  <si>
    <t>Catalyst Pharmaceuticals Inc. Common Stock</t>
  </si>
  <si>
    <t>SONO</t>
  </si>
  <si>
    <t>Sonos Inc. Common Stock</t>
  </si>
  <si>
    <t>KGS</t>
  </si>
  <si>
    <t>Kodiak Gas Services Inc. Common Stock</t>
  </si>
  <si>
    <t>MBIN</t>
  </si>
  <si>
    <t>Merchants Bancorp Common Stock</t>
  </si>
  <si>
    <t>HLIO</t>
  </si>
  <si>
    <t>Helios Technologies Inc. Common Stock</t>
  </si>
  <si>
    <t>CSIQ</t>
  </si>
  <si>
    <t>Canadian Solar Inc. Common Shares (ON)</t>
  </si>
  <si>
    <t>BFH</t>
  </si>
  <si>
    <t>Bread Financial Holdings Inc. Common Stock</t>
  </si>
  <si>
    <t>SPNS</t>
  </si>
  <si>
    <t>Sapiens International Corporation N.V. Common Shares (Cayman Islands)</t>
  </si>
  <si>
    <t>OCFCP</t>
  </si>
  <si>
    <t>OceanFirst Financial Corp. Depositary Shares</t>
  </si>
  <si>
    <t>VRNT</t>
  </si>
  <si>
    <t>Verint Systems Inc. Common Stock</t>
  </si>
  <si>
    <t>MXL</t>
  </si>
  <si>
    <t>MaxLinear Inc. Common Stock</t>
  </si>
  <si>
    <t>BHFAO</t>
  </si>
  <si>
    <t>Brighthouse Financial Inc. Depositary Shares 6.75% Non-Cumulative Preferred Stock Series B</t>
  </si>
  <si>
    <t>HLMN</t>
  </si>
  <si>
    <t>Hillman Solutions Corp. Common Stock</t>
  </si>
  <si>
    <t>EFSC</t>
  </si>
  <si>
    <t>Enterprise Financial Services Corporation Common Stock</t>
  </si>
  <si>
    <t>LNN</t>
  </si>
  <si>
    <t>Lindsay Corporation Common Stock</t>
  </si>
  <si>
    <t>NWBI</t>
  </si>
  <si>
    <t>Northwest Bancshares Inc. Common Stock</t>
  </si>
  <si>
    <t>UZE</t>
  </si>
  <si>
    <t>MYGN</t>
  </si>
  <si>
    <t>Myriad Genetics Inc. Common Stock</t>
  </si>
  <si>
    <t>UZF</t>
  </si>
  <si>
    <t>SAND</t>
  </si>
  <si>
    <t>Sandstorm Gold Ltd. Ordinary Shares (Canada)</t>
  </si>
  <si>
    <t>TV</t>
  </si>
  <si>
    <t>Grupo Televisa S.A. Common Stock</t>
  </si>
  <si>
    <t>FINV</t>
  </si>
  <si>
    <t>FinVolution Group American Depositary Shares</t>
  </si>
  <si>
    <t>METCL</t>
  </si>
  <si>
    <t>Ramaco Resources Inc. 9.00% Senior Notes due 2026</t>
  </si>
  <si>
    <t>RQI</t>
  </si>
  <si>
    <t>Cohen &amp; Steers Quality Income Realty Fund Inc Common Shares</t>
  </si>
  <si>
    <t>OXM</t>
  </si>
  <si>
    <t>Oxford Industries Inc. Common Stock</t>
  </si>
  <si>
    <t>RVT</t>
  </si>
  <si>
    <t>Royce Value Trust Inc. Common Stock</t>
  </si>
  <si>
    <t>ADUS</t>
  </si>
  <si>
    <t>Addus HomeCare Corporation Common Stock</t>
  </si>
  <si>
    <t>SMMT</t>
  </si>
  <si>
    <t>Summit Therapeutics Inc. Common Stock</t>
  </si>
  <si>
    <t>MIRM</t>
  </si>
  <si>
    <t>Mirum Pharmaceuticals Inc. Common Stock</t>
  </si>
  <si>
    <t>CODI</t>
  </si>
  <si>
    <t>D/B/A Compass Diversified Holdings Shares of Beneficial Interest</t>
  </si>
  <si>
    <t>NWN</t>
  </si>
  <si>
    <t>Northwest Natural Holding Company Common Stock</t>
  </si>
  <si>
    <t>DNN</t>
  </si>
  <si>
    <t>Denison Mines Corp Ordinary Shares (Canada)</t>
  </si>
  <si>
    <t>ETV</t>
  </si>
  <si>
    <t>Eaton Vance Corporation Eaton Vance Tax-Managed Buy-Write Opportunities Fund Common Shares of Beneficial Interest</t>
  </si>
  <si>
    <t>LOB</t>
  </si>
  <si>
    <t>Live Oak Bancshares Inc. Common Stock</t>
  </si>
  <si>
    <t>LADR</t>
  </si>
  <si>
    <t>Ladder Capital Corp Class A Common Stock</t>
  </si>
  <si>
    <t>TBLA</t>
  </si>
  <si>
    <t>Taboola.com Ltd. Ordinary Shares</t>
  </si>
  <si>
    <t>PCRX</t>
  </si>
  <si>
    <t>Pacira BioSciences Inc. Common Stock</t>
  </si>
  <si>
    <t>MRUS</t>
  </si>
  <si>
    <t>Merus N.V. Common Shares</t>
  </si>
  <si>
    <t>ECX</t>
  </si>
  <si>
    <t>ECARX Holdings Inc. Class A Ordinary shares</t>
  </si>
  <si>
    <t>WTFCM</t>
  </si>
  <si>
    <t>Wintrust Financial Corporation Fixed-to-Floating Rate Non-Cumulative Perpetual Preferred Stock Series D</t>
  </si>
  <si>
    <t>ECCV</t>
  </si>
  <si>
    <t>Eagle Point Credit Company Inc. 5.375% Notes due 2029</t>
  </si>
  <si>
    <t>FSR</t>
  </si>
  <si>
    <t>Fisker Inc. Class A Common Stock</t>
  </si>
  <si>
    <t>OMI</t>
  </si>
  <si>
    <t>Owens &amp; Minor Inc. Common Stock</t>
  </si>
  <si>
    <t>BHFAP</t>
  </si>
  <si>
    <t>Brighthouse Financial Inc. Depositary Shares 6.6% Non-Cumulative Preferred Stock Series A</t>
  </si>
  <si>
    <t>HMN</t>
  </si>
  <si>
    <t>Horace Mann Educators Corporation Common Stock</t>
  </si>
  <si>
    <t>AG</t>
  </si>
  <si>
    <t>First Majestic Silver Corp. Ordinary Shares (Canada)</t>
  </si>
  <si>
    <t>NTB</t>
  </si>
  <si>
    <t>Bank of N.T. Butterfield &amp; Son Limited (The) Voting Ordinary Shares</t>
  </si>
  <si>
    <t>TARO</t>
  </si>
  <si>
    <t>Taro Pharmaceutical Industries Ltd. Ordinary Shares</t>
  </si>
  <si>
    <t>VZIO</t>
  </si>
  <si>
    <t>VIZIO Holding Corp. Class A Common Stock</t>
  </si>
  <si>
    <t>JACK</t>
  </si>
  <si>
    <t>Jack In The Box Inc. Common Stock</t>
  </si>
  <si>
    <t>LTC</t>
  </si>
  <si>
    <t>LTC Properties Inc. Common Stock</t>
  </si>
  <si>
    <t>MOMO</t>
  </si>
  <si>
    <t>Hello Group Inc. American Depositary Shares</t>
  </si>
  <si>
    <t>CRTO</t>
  </si>
  <si>
    <t>Criteo S.A. American Depositary Shares</t>
  </si>
  <si>
    <t>VVX</t>
  </si>
  <si>
    <t>V2X Inc. Common Stock</t>
  </si>
  <si>
    <t>LKFN</t>
  </si>
  <si>
    <t>Lakeland Financial Corporation Common Stock</t>
  </si>
  <si>
    <t>PERI</t>
  </si>
  <si>
    <t>Perion Network Ltd. Ordinary Shares</t>
  </si>
  <si>
    <t>GOGO</t>
  </si>
  <si>
    <t>Gogo Inc. Common Stock</t>
  </si>
  <si>
    <t>SCS</t>
  </si>
  <si>
    <t>Steelcase Inc. Common Stock</t>
  </si>
  <si>
    <t>CUBI</t>
  </si>
  <si>
    <t>Customers Bancorp Inc Common Stock</t>
  </si>
  <si>
    <t>LZB</t>
  </si>
  <si>
    <t>La-Z-Boy Incorporated Common Stock</t>
  </si>
  <si>
    <t>AMRX</t>
  </si>
  <si>
    <t>Amneal Pharmaceuticals Inc. Class A Common Stock</t>
  </si>
  <si>
    <t>DO</t>
  </si>
  <si>
    <t>Diamond Offshore Drilling Inc. Common Stock</t>
  </si>
  <si>
    <t>DAC</t>
  </si>
  <si>
    <t>Danaos Corporation Common Stock</t>
  </si>
  <si>
    <t>JBLU</t>
  </si>
  <si>
    <t>JetBlue Airways Corporation Common Stock</t>
  </si>
  <si>
    <t>MRVI</t>
  </si>
  <si>
    <t>Maravai LifeSciences Holdings Inc. Class A Common Stock</t>
  </si>
  <si>
    <t>TRMK</t>
  </si>
  <si>
    <t>Trustmark Corporation Common Stock</t>
  </si>
  <si>
    <t>BHFAL</t>
  </si>
  <si>
    <t>Brighthouse Financial Inc. 6.25% Junior Subordinated Debentures due 2058</t>
  </si>
  <si>
    <t>VRE</t>
  </si>
  <si>
    <t>Veris Residential Inc. Common Stock</t>
  </si>
  <si>
    <t>OEC</t>
  </si>
  <si>
    <t>Orion S.A. Common Shares</t>
  </si>
  <si>
    <t>NMFC</t>
  </si>
  <si>
    <t>New Mountain Finance Corporation Common Stock</t>
  </si>
  <si>
    <t>HLF</t>
  </si>
  <si>
    <t>Herbalife Ltd. Common Shares</t>
  </si>
  <si>
    <t>KC</t>
  </si>
  <si>
    <t>Kingsoft Cloud Holdings Limited American Depositary Shares</t>
  </si>
  <si>
    <t>SABR</t>
  </si>
  <si>
    <t>Sabre Corporation Common Stock</t>
  </si>
  <si>
    <t>ECCC</t>
  </si>
  <si>
    <t>Eagle Point Credit Company Inc. 6.50% Series C Term Preferred Stock due 2031</t>
  </si>
  <si>
    <t>UUUU</t>
  </si>
  <si>
    <t>Energy Fuels Inc Ordinary Shares (Canada)</t>
  </si>
  <si>
    <t>CLDX</t>
  </si>
  <si>
    <t>Celldex Therapeutics Inc.</t>
  </si>
  <si>
    <t>HE</t>
  </si>
  <si>
    <t>Hawaiian Electric Industries Inc. Common Stock</t>
  </si>
  <si>
    <t>ARCO</t>
  </si>
  <si>
    <t>Arcos Dorados Holdings Inc. Class A Shares</t>
  </si>
  <si>
    <t>ACDC</t>
  </si>
  <si>
    <t>ProFrac Holding Corp. Class A Common Stock</t>
  </si>
  <si>
    <t>ACHR</t>
  </si>
  <si>
    <t>Archer Aviation Inc. Class A Common Stock</t>
  </si>
  <si>
    <t>PDO</t>
  </si>
  <si>
    <t>PIMCO Dynamic Income Opportunities Fund Common Shares of Beneficial Interest</t>
  </si>
  <si>
    <t>SYBT</t>
  </si>
  <si>
    <t>Stock Yards Bancorp Inc. Common Stock</t>
  </si>
  <si>
    <t>FCF</t>
  </si>
  <si>
    <t>First Commonwealth Financial Corporation Common Stock</t>
  </si>
  <si>
    <t>HWKN</t>
  </si>
  <si>
    <t>Hawkins Inc. Common Stock</t>
  </si>
  <si>
    <t>PLAB</t>
  </si>
  <si>
    <t>Photronics Inc. Common Stock</t>
  </si>
  <si>
    <t>CRSR</t>
  </si>
  <si>
    <t>Corsair Gaming Inc. Common Stock</t>
  </si>
  <si>
    <t>SHCO</t>
  </si>
  <si>
    <t>Soho House &amp; Co Inc. Class A Common Stock</t>
  </si>
  <si>
    <t>JBGS</t>
  </si>
  <si>
    <t>JBG SMITH Properties Common Shares</t>
  </si>
  <si>
    <t>SPHR</t>
  </si>
  <si>
    <t>Sphere Entertainment Co. Class A Common Stock</t>
  </si>
  <si>
    <t>XHR</t>
  </si>
  <si>
    <t>Xenia Hotels &amp; Resorts Inc. Common Stock</t>
  </si>
  <si>
    <t>PRG</t>
  </si>
  <si>
    <t>PROG Holdings Inc. Common Stock</t>
  </si>
  <si>
    <t>UVV</t>
  </si>
  <si>
    <t>Universal Corporation Common Stock</t>
  </si>
  <si>
    <t>BVH</t>
  </si>
  <si>
    <t>Bluegreen Vacations Holding Corporation Class A Common Stock</t>
  </si>
  <si>
    <t>CNNE</t>
  </si>
  <si>
    <t>Cannae Holdings Inc. Common Stock</t>
  </si>
  <si>
    <t>WABC</t>
  </si>
  <si>
    <t>Westamerica Bancorporation Common Stock</t>
  </si>
  <si>
    <t>TWO</t>
  </si>
  <si>
    <t>BMA</t>
  </si>
  <si>
    <t>Banco Macro S.A.  ADR (representing Ten Class B Common Shares)</t>
  </si>
  <si>
    <t>Banco Macro S.A. ADR (representing Ten Class B Common Shares)</t>
  </si>
  <si>
    <t>VEON</t>
  </si>
  <si>
    <t>VEON Ltd. ADS</t>
  </si>
  <si>
    <t>CASH</t>
  </si>
  <si>
    <t>Pathward Financial Inc. Common Stock</t>
  </si>
  <si>
    <t>CARS</t>
  </si>
  <si>
    <t>Cars.com Inc. Common Stock</t>
  </si>
  <si>
    <t>IESC</t>
  </si>
  <si>
    <t>IES Holdings Inc. Common Stock</t>
  </si>
  <si>
    <t>LAZR</t>
  </si>
  <si>
    <t>Luminar Technologies Inc.  Class A Common Stock</t>
  </si>
  <si>
    <t>HSAI</t>
  </si>
  <si>
    <t>Hesai Group American Depositary Share each ADS represents one Class B ordinary share</t>
  </si>
  <si>
    <t>USPH</t>
  </si>
  <si>
    <t>U.S. Physical Therapy Inc. Common Stock</t>
  </si>
  <si>
    <t>KFRC</t>
  </si>
  <si>
    <t>Kforce Inc. Common Stock</t>
  </si>
  <si>
    <t>B</t>
  </si>
  <si>
    <t>Barnes Group Inc. Common Stock</t>
  </si>
  <si>
    <t>GDHG</t>
  </si>
  <si>
    <t>Golden Heaven Group Holdings Ltd. Class A Ordinary Shares</t>
  </si>
  <si>
    <t>XPEL</t>
  </si>
  <si>
    <t>XPEL Inc. Common Stock</t>
  </si>
  <si>
    <t>STC</t>
  </si>
  <si>
    <t>Stewart Information Services Corporation Common Stock</t>
  </si>
  <si>
    <t>SEMR</t>
  </si>
  <si>
    <t>SEMrush Holdings Inc. Class A Common Stock</t>
  </si>
  <si>
    <t>AMPL</t>
  </si>
  <si>
    <t>Amplitude Inc. Class A Common Stock</t>
  </si>
  <si>
    <t>TLRY</t>
  </si>
  <si>
    <t>Tilray Brands Inc. Common Stock</t>
  </si>
  <si>
    <t>JELD</t>
  </si>
  <si>
    <t>JELD-WEN Holding Inc. Common Stock</t>
  </si>
  <si>
    <t>CCF</t>
  </si>
  <si>
    <t>Chase Corporation Common Stock</t>
  </si>
  <si>
    <t>CVAC</t>
  </si>
  <si>
    <t>CureVac N.V. Ordinary Shares</t>
  </si>
  <si>
    <t>TWKS</t>
  </si>
  <si>
    <t>Thoughtworks Holding Inc. Common Stock</t>
  </si>
  <si>
    <t>GES</t>
  </si>
  <si>
    <t>Guess? Inc. Common Stock</t>
  </si>
  <si>
    <t>CTOS</t>
  </si>
  <si>
    <t>Custom Truck One Source Inc. Common Stock</t>
  </si>
  <si>
    <t>SCHL</t>
  </si>
  <si>
    <t>Scholastic Corporation Common Stock</t>
  </si>
  <si>
    <t>HTLF</t>
  </si>
  <si>
    <t>Heartland Financial USA Inc. Common Stock</t>
  </si>
  <si>
    <t>NAPA</t>
  </si>
  <si>
    <t>The Duckhorn Portfolio Inc. Common Stock</t>
  </si>
  <si>
    <t>ENVA</t>
  </si>
  <si>
    <t>Enova International Inc. Common Stock</t>
  </si>
  <si>
    <t>HLIT</t>
  </si>
  <si>
    <t>Harmonic Inc. Common Stock</t>
  </si>
  <si>
    <t>SAFE</t>
  </si>
  <si>
    <t>Safehold Inc. New Common Stock</t>
  </si>
  <si>
    <t>ENFN</t>
  </si>
  <si>
    <t>Enfusion Inc. Class A Common Stock</t>
  </si>
  <si>
    <t>NBHC</t>
  </si>
  <si>
    <t>National Bank Holdings Corporation Common Stock</t>
  </si>
  <si>
    <t>WKC</t>
  </si>
  <si>
    <t>World Kinect Corporation Common Stock</t>
  </si>
  <si>
    <t>LUMN</t>
  </si>
  <si>
    <t>Lumen Technologies Inc. Common Stock</t>
  </si>
  <si>
    <t>MCRI</t>
  </si>
  <si>
    <t>Monarch Casino &amp; Resort Inc. Common Stock</t>
  </si>
  <si>
    <t>CTS</t>
  </si>
  <si>
    <t>CTS Corporation Common Stock</t>
  </si>
  <si>
    <t>GIII</t>
  </si>
  <si>
    <t>G-III Apparel Group LTD. Common Stock</t>
  </si>
  <si>
    <t>CLMT</t>
  </si>
  <si>
    <t>Calumet Specialty Products Partners L.P. Common Units</t>
  </si>
  <si>
    <t>NG</t>
  </si>
  <si>
    <t>Novagold Resources Inc.</t>
  </si>
  <si>
    <t>CGAU</t>
  </si>
  <si>
    <t>Centerra Gold Inc. Common Shares</t>
  </si>
  <si>
    <t>AMWD</t>
  </si>
  <si>
    <t>American Woodmark Corporation Common Stock</t>
  </si>
  <si>
    <t>NVCR</t>
  </si>
  <si>
    <t>NovoCure Limited Ordinary Shares</t>
  </si>
  <si>
    <t>ARHS</t>
  </si>
  <si>
    <t>Arhaus Inc. Class A Common Stock</t>
  </si>
  <si>
    <t>SWTX</t>
  </si>
  <si>
    <t>SpringWorks Therapeutics Inc. Common Stock</t>
  </si>
  <si>
    <t>STGW</t>
  </si>
  <si>
    <t>Stagwell Inc. Class A Common Stock</t>
  </si>
  <si>
    <t>SOS</t>
  </si>
  <si>
    <t>SOS Limited American Depositary Shares</t>
  </si>
  <si>
    <t>WRBY</t>
  </si>
  <si>
    <t>Warby Parker Inc. Class A Common Stock</t>
  </si>
  <si>
    <t>NMRK</t>
  </si>
  <si>
    <t>Newmark Group Inc. Class A Common Stock</t>
  </si>
  <si>
    <t>VIR</t>
  </si>
  <si>
    <t>Vir Biotechnology Inc. Common Stock</t>
  </si>
  <si>
    <t>AGIO</t>
  </si>
  <si>
    <t>Agios Pharmaceuticals Inc. Common Stock</t>
  </si>
  <si>
    <t>LAC</t>
  </si>
  <si>
    <t>Lithium Americas Corp. Common Shares</t>
  </si>
  <si>
    <t>SHEN</t>
  </si>
  <si>
    <t>Shenandoah Telecommunications Co Common Stock</t>
  </si>
  <si>
    <t>RYZB</t>
  </si>
  <si>
    <t>RayzeBio Inc. Common Stock</t>
  </si>
  <si>
    <t>GEO</t>
  </si>
  <si>
    <t>Geo Group Inc (The) REIT</t>
  </si>
  <si>
    <t>RXRX</t>
  </si>
  <si>
    <t>Recursion Pharmaceuticals Inc. Class A Common Stock</t>
  </si>
  <si>
    <t>KMPB</t>
  </si>
  <si>
    <t>Kemper Corporation 5.875% Fixed-Rate Reset Junior Subordinated Debentures due 2062</t>
  </si>
  <si>
    <t>DSL</t>
  </si>
  <si>
    <t>DoubleLine Income Solutions Fund Common Shares of Beneficial Interests</t>
  </si>
  <si>
    <t>PMT</t>
  </si>
  <si>
    <t>PennyMac Mortgage Investment Trust Common Shares of Beneficial Interest</t>
  </si>
  <si>
    <t>AZZ</t>
  </si>
  <si>
    <t>AZZ Inc.</t>
  </si>
  <si>
    <t>ALEX</t>
  </si>
  <si>
    <t>Alexander &amp; Baldwin Inc. Common Stock REIT Holding Company</t>
  </si>
  <si>
    <t>ABCL</t>
  </si>
  <si>
    <t>AbCellera Biologics Inc. Common Shares</t>
  </si>
  <si>
    <t>STEL</t>
  </si>
  <si>
    <t>Stellar Bancorp Inc. Common Stock</t>
  </si>
  <si>
    <t>SVC</t>
  </si>
  <si>
    <t>Service Properties Trust Common Stock</t>
  </si>
  <si>
    <t>AMRC</t>
  </si>
  <si>
    <t>Ameresco Inc. Class A Common Stock</t>
  </si>
  <si>
    <t>ZIP</t>
  </si>
  <si>
    <t>ZipRecruiter Inc. Class A Common Stock</t>
  </si>
  <si>
    <t>TH</t>
  </si>
  <si>
    <t>Target Hospitality Corp. Common Stock</t>
  </si>
  <si>
    <t>ELME</t>
  </si>
  <si>
    <t>Elme Communities Common Stock</t>
  </si>
  <si>
    <t>CDRE</t>
  </si>
  <si>
    <t>Cadre Holdings Inc. Common Stock</t>
  </si>
  <si>
    <t>UCTT</t>
  </si>
  <si>
    <t>Ultra Clean Holdings Inc. Common Stock</t>
  </si>
  <si>
    <t>SKWD</t>
  </si>
  <si>
    <t>Skyward Specialty Insurance Group Inc. Common Stock</t>
  </si>
  <si>
    <t>SRCE</t>
  </si>
  <si>
    <t>1st Source Corporation Common Stock</t>
  </si>
  <si>
    <t>FSCO</t>
  </si>
  <si>
    <t>FS Credit Opportunities Corp. Common Stock</t>
  </si>
  <si>
    <t>MMI</t>
  </si>
  <si>
    <t>Marcus &amp; Millichap Inc. Common Stock</t>
  </si>
  <si>
    <t>OLPX</t>
  </si>
  <si>
    <t>Olaplex Holdings Inc. Common Stock</t>
  </si>
  <si>
    <t>MATW</t>
  </si>
  <si>
    <t>Matthews International Corporation Class A Common Stock</t>
  </si>
  <si>
    <t>PHIN</t>
  </si>
  <si>
    <t>PHINIA Inc. Common Stock</t>
  </si>
  <si>
    <t>FDP</t>
  </si>
  <si>
    <t>Fresh Del Monte Produce Inc. Common Stock</t>
  </si>
  <si>
    <t>ALHC</t>
  </si>
  <si>
    <t>Alignment Healthcare Inc. Common Stock</t>
  </si>
  <si>
    <t>DSGR</t>
  </si>
  <si>
    <t>Distribution Solutions Group Inc. Common Stock</t>
  </si>
  <si>
    <t>UNIT</t>
  </si>
  <si>
    <t>Uniti Group Inc. Common Stock</t>
  </si>
  <si>
    <t>GBX</t>
  </si>
  <si>
    <t>Greenbrier Companies Inc. (The) Common Stock</t>
  </si>
  <si>
    <t>BBUC</t>
  </si>
  <si>
    <t>Brookfield Business Corporation Class A Exchangeable Subordinate Voting Shares</t>
  </si>
  <si>
    <t>TASK</t>
  </si>
  <si>
    <t>TaskUs Inc. Class A Common Stock</t>
  </si>
  <si>
    <t>PRDO</t>
  </si>
  <si>
    <t>Perdoceo Education Corporation Common Stock</t>
  </si>
  <si>
    <t>SCCB</t>
  </si>
  <si>
    <t>Sachem Capital Corp. 7.125% Notes due 2024</t>
  </si>
  <si>
    <t>USLM</t>
  </si>
  <si>
    <t>United States Lime &amp; Minerals Inc. Common Stock</t>
  </si>
  <si>
    <t>SAFT</t>
  </si>
  <si>
    <t>Safety Insurance Group Inc. Common Stock</t>
  </si>
  <si>
    <t>TCBK</t>
  </si>
  <si>
    <t>TriCo Bancshares Common Stock</t>
  </si>
  <si>
    <t>AAT</t>
  </si>
  <si>
    <t>American Assets Trust Inc. Common Stock</t>
  </si>
  <si>
    <t>DMLP</t>
  </si>
  <si>
    <t>Dorchester Minerals L.P. Common Units Representing Limited Partnership Interests</t>
  </si>
  <si>
    <t>OSW</t>
  </si>
  <si>
    <t>OneSpaWorld Holdings Limited Common Shares</t>
  </si>
  <si>
    <t>AGRO</t>
  </si>
  <si>
    <t>Adecoagro S.A. Common Shares</t>
  </si>
  <si>
    <t>AUPH</t>
  </si>
  <si>
    <t>Aurinia Pharmaceuticals Inc Ordinary Shares</t>
  </si>
  <si>
    <t>KEN</t>
  </si>
  <si>
    <t>Kenon Holdings Ltd. Ordinary Shares</t>
  </si>
  <si>
    <t>IRON</t>
  </si>
  <si>
    <t>Disc Medicine Inc. Common Stock</t>
  </si>
  <si>
    <t>ZUO</t>
  </si>
  <si>
    <t>Zuora Inc. Class A Common Stock</t>
  </si>
  <si>
    <t>PDFS</t>
  </si>
  <si>
    <t>PDF Solutions Inc. Common Stock</t>
  </si>
  <si>
    <t>MSC</t>
  </si>
  <si>
    <t>Studio City International Holdings Limited American depositary shares each representing four  Class A ordinary shares</t>
  </si>
  <si>
    <t>Studio City International Holdings Limited American depositary shares each representing four Class A ordinary shares</t>
  </si>
  <si>
    <t>KYN</t>
  </si>
  <si>
    <t>Kayne Anderson Energy Infrastructure Fund Inc.</t>
  </si>
  <si>
    <t>TRINL</t>
  </si>
  <si>
    <t>Trinity Capital Inc. 7.00% Notes Due 2025</t>
  </si>
  <si>
    <t>GLP</t>
  </si>
  <si>
    <t>Global Partners LP Common Units representing Limited Partner Interests</t>
  </si>
  <si>
    <t>PX</t>
  </si>
  <si>
    <t>P10 Inc. Class A Common Stock</t>
  </si>
  <si>
    <t>NHC</t>
  </si>
  <si>
    <t>National HealthCare Corporation Common Stock</t>
  </si>
  <si>
    <t>HOPE</t>
  </si>
  <si>
    <t>Hope Bancorp Inc. Common Stock</t>
  </si>
  <si>
    <t>ERO</t>
  </si>
  <si>
    <t>Ero Copper Corp. Common Shares</t>
  </si>
  <si>
    <t>IAG</t>
  </si>
  <si>
    <t>Iamgold Corporation Ordinary Shares</t>
  </si>
  <si>
    <t>VRNA</t>
  </si>
  <si>
    <t>Verona Pharma plc American Depositary Share</t>
  </si>
  <si>
    <t>BUSE</t>
  </si>
  <si>
    <t>First Busey Corporation Class A Common Stock</t>
  </si>
  <si>
    <t>MSEX</t>
  </si>
  <si>
    <t>Middlesex Water Company Common Stock</t>
  </si>
  <si>
    <t>DNOW</t>
  </si>
  <si>
    <t>NOW Inc. Common Stock</t>
  </si>
  <si>
    <t>DOLE</t>
  </si>
  <si>
    <t>Dole plc Ordinary Shares</t>
  </si>
  <si>
    <t>SACC</t>
  </si>
  <si>
    <t>Sachem Capital Corp. 6.875% Notes due 2024</t>
  </si>
  <si>
    <t>UFPT</t>
  </si>
  <si>
    <t>UFP Technologies Inc. Common Stock</t>
  </si>
  <si>
    <t>BBU</t>
  </si>
  <si>
    <t>Brookfield Business Partners L.P. Limited Partnership Units</t>
  </si>
  <si>
    <t>GENI</t>
  </si>
  <si>
    <t>Genius Sports Limited Ordinary Shares</t>
  </si>
  <si>
    <t>NVTS</t>
  </si>
  <si>
    <t>Navitas Semiconductor Corporation Common Stock</t>
  </si>
  <si>
    <t>SCCC</t>
  </si>
  <si>
    <t>Sachem Capital Corp. 7.75% Notes due 2025</t>
  </si>
  <si>
    <t>LMAT</t>
  </si>
  <si>
    <t>LeMaitre Vascular Inc. Common Stock</t>
  </si>
  <si>
    <t>PFS</t>
  </si>
  <si>
    <t>Provident Financial Services Inc Common Stock</t>
  </si>
  <si>
    <t>NIC</t>
  </si>
  <si>
    <t>Nicolet Bankshares Inc. Common Stock</t>
  </si>
  <si>
    <t>WOOF</t>
  </si>
  <si>
    <t>Petco Health and Wellness Company Inc. Class A Common Stock</t>
  </si>
  <si>
    <t>OPRA</t>
  </si>
  <si>
    <t>Opera Limited American Depositary Shares</t>
  </si>
  <si>
    <t>CIM</t>
  </si>
  <si>
    <t>Chimera Investment Corporation Common Stock</t>
  </si>
  <si>
    <t>SPH</t>
  </si>
  <si>
    <t>Suburban Propane Partners L.P. Common Stock</t>
  </si>
  <si>
    <t>CMRE</t>
  </si>
  <si>
    <t>Costamare Inc. Common Stock $0.0001 par value</t>
  </si>
  <si>
    <t>NVGS</t>
  </si>
  <si>
    <t>Navigator Holdings Ltd. Ordinary Shares (Marshall Islands)</t>
  </si>
  <si>
    <t>ATSG</t>
  </si>
  <si>
    <t>Air Transport Services Group Inc</t>
  </si>
  <si>
    <t>THR</t>
  </si>
  <si>
    <t>Thermon Group Holdings Inc. Common Stock</t>
  </si>
  <si>
    <t>NOVA</t>
  </si>
  <si>
    <t>Sunnova Energy International Inc. Common Stock</t>
  </si>
  <si>
    <t>JBSS</t>
  </si>
  <si>
    <t>John B. Sanfilippo &amp; Son Inc. Common Stock</t>
  </si>
  <si>
    <t>BLTE</t>
  </si>
  <si>
    <t>Belite Bio Inc American Depositary Shares</t>
  </si>
  <si>
    <t>ANIP</t>
  </si>
  <si>
    <t>ANI Pharmaceuticals Inc.</t>
  </si>
  <si>
    <t>MBINM</t>
  </si>
  <si>
    <t>Merchants Bancorp Depositary Shares Each Representing a 1/40th Interest in a Share of 8.25% Fixed-Rate Reset Series D Non-Cumulative Perpetual Preferred Stock</t>
  </si>
  <si>
    <t>ARGO</t>
  </si>
  <si>
    <t>Argo Group International Holdings Ltd.</t>
  </si>
  <si>
    <t>FBRT</t>
  </si>
  <si>
    <t>Franklin BSP Realty Trust Inc. Common Stock</t>
  </si>
  <si>
    <t>ALGT</t>
  </si>
  <si>
    <t>Allegiant Travel Company Common Stock</t>
  </si>
  <si>
    <t>AIZN</t>
  </si>
  <si>
    <t>Assurant Inc. 5.25% Subordinated Notes due 2061</t>
  </si>
  <si>
    <t>AZUL</t>
  </si>
  <si>
    <t>Azul S.A. American Depositary Shares (each representing three preferred shares)</t>
  </si>
  <si>
    <t>MOR</t>
  </si>
  <si>
    <t>MorphoSys AG American Depositary Shares</t>
  </si>
  <si>
    <t>FIGS</t>
  </si>
  <si>
    <t>FIGS Inc. Class A Common Stock</t>
  </si>
  <si>
    <t>DEA</t>
  </si>
  <si>
    <t>Easterly Government Properties Inc. Common Stock</t>
  </si>
  <si>
    <t>BHFAN</t>
  </si>
  <si>
    <t>Brighthouse Financial Inc. Depositary shares each representing a 1/1000th interest in a share of 5.375% Non-Cumulative Preferred Stock Series C</t>
  </si>
  <si>
    <t>XNCR</t>
  </si>
  <si>
    <t>Xencor Inc. Common Stock</t>
  </si>
  <si>
    <t>NTST</t>
  </si>
  <si>
    <t>NetSTREIT Corp. Common Stock</t>
  </si>
  <si>
    <t>MBINP</t>
  </si>
  <si>
    <t>Merchants Bancorp 7.00% Fixed-to-Floating Rate Series A Non-Cumulative Perpetual Preferred Stock</t>
  </si>
  <si>
    <t>GDEN</t>
  </si>
  <si>
    <t>Golden Entertainment Inc. Common Stock</t>
  </si>
  <si>
    <t>ACMR</t>
  </si>
  <si>
    <t>ACM Research Inc. Class A Common Stock</t>
  </si>
  <si>
    <t>GOOS</t>
  </si>
  <si>
    <t>Canada Goose Holdings Inc. Subordinate Voting Shares</t>
  </si>
  <si>
    <t>NEXT</t>
  </si>
  <si>
    <t>NextDecade Corporation Common Stock</t>
  </si>
  <si>
    <t>CDZIP</t>
  </si>
  <si>
    <t>Cadiz Inc. Depositary Shares</t>
  </si>
  <si>
    <t>IE</t>
  </si>
  <si>
    <t>Ivanhoe Electric Inc. Common Stock</t>
  </si>
  <si>
    <t>BTZ</t>
  </si>
  <si>
    <t>BlackRock Credit Allocation Income Trust</t>
  </si>
  <si>
    <t>ATUS</t>
  </si>
  <si>
    <t>Altice USA Inc. Class A Common Stock</t>
  </si>
  <si>
    <t>STER</t>
  </si>
  <si>
    <t>Sterling Check Corp. Common Stock</t>
  </si>
  <si>
    <t>NRC</t>
  </si>
  <si>
    <t>National Research Corporation Common Stock (Delaware)</t>
  </si>
  <si>
    <t>SCCG</t>
  </si>
  <si>
    <t>Sachem Capital Corp. 8.00% Notes due 2027</t>
  </si>
  <si>
    <t>SAGE</t>
  </si>
  <si>
    <t>Sage Therapeutics Inc. Common Stock</t>
  </si>
  <si>
    <t>ECVT</t>
  </si>
  <si>
    <t>Ecovyst Inc. Common Stock</t>
  </si>
  <si>
    <t>STBA</t>
  </si>
  <si>
    <t>S&amp;T Bancorp Inc. Common Stock</t>
  </si>
  <si>
    <t>MSGE</t>
  </si>
  <si>
    <t>Madison Square Garden Entertainment Corp. Class A Common Stock</t>
  </si>
  <si>
    <t>BCRX</t>
  </si>
  <si>
    <t>BioCryst Pharmaceuticals Inc. Common Stock</t>
  </si>
  <si>
    <t>MORF</t>
  </si>
  <si>
    <t>Morphic Holding Inc. Common Stock</t>
  </si>
  <si>
    <t>MAG</t>
  </si>
  <si>
    <t>MAG Silver Corporation Ordinary Shares</t>
  </si>
  <si>
    <t>IOVA</t>
  </si>
  <si>
    <t>Iovance Biotherapeutics Inc. Common Stock</t>
  </si>
  <si>
    <t>KNSA</t>
  </si>
  <si>
    <t>Kiniksa Pharmaceuticals Ltd. Class A Common Stock</t>
  </si>
  <si>
    <t>ERII</t>
  </si>
  <si>
    <t>Energy Recovery Inc. Common Stock</t>
  </si>
  <si>
    <t>RCUS</t>
  </si>
  <si>
    <t>Arcus Biosciences Inc. Common Stock</t>
  </si>
  <si>
    <t>FWRG</t>
  </si>
  <si>
    <t>First Watch Restaurant Group Inc. Common Stock</t>
  </si>
  <si>
    <t>GRND</t>
  </si>
  <si>
    <t>Grindr Inc. Common Stock</t>
  </si>
  <si>
    <t>MGNI</t>
  </si>
  <si>
    <t>Magnite Inc. Common Stock</t>
  </si>
  <si>
    <t>OPAL</t>
  </si>
  <si>
    <t>OPAL Fuels Inc. Class A Common Stock</t>
  </si>
  <si>
    <t>PUMP</t>
  </si>
  <si>
    <t>ProPetro Holding Corp. Common Stock</t>
  </si>
  <si>
    <t>RWAYZ</t>
  </si>
  <si>
    <t>Runway Growth Finance Corp. 8.00% Notes due 2027</t>
  </si>
  <si>
    <t>TUYA</t>
  </si>
  <si>
    <t>Tuya Inc. American Depositary Shares each representing one Class A Ordinary Share</t>
  </si>
  <si>
    <t>PLYA</t>
  </si>
  <si>
    <t>Playa Hotels &amp; Resorts N.V. Ordinary Shares</t>
  </si>
  <si>
    <t>GB</t>
  </si>
  <si>
    <t>Global Blue Group Holding AG Ordinary Shares</t>
  </si>
  <si>
    <t>SG</t>
  </si>
  <si>
    <t>Sweetgreen Inc. Class A Common Stock</t>
  </si>
  <si>
    <t>HAIN</t>
  </si>
  <si>
    <t>Hain Celestial Group Inc. (The) Common Stock</t>
  </si>
  <si>
    <t>HIMX</t>
  </si>
  <si>
    <t>Himax Technologies Inc. American Depositary Shares</t>
  </si>
  <si>
    <t>VERV</t>
  </si>
  <si>
    <t>Verve Therapeutics Inc. Common Stock</t>
  </si>
  <si>
    <t>PEBO</t>
  </si>
  <si>
    <t>Peoples Bancorp Inc. Common Stock</t>
  </si>
  <si>
    <t>SP</t>
  </si>
  <si>
    <t>SP Plus Corporation Common Stock</t>
  </si>
  <si>
    <t>HTLFP</t>
  </si>
  <si>
    <t>Heartland Financial USA Inc. Depositary Shares each representing a 1/400th ownership interest in a share of 7.00% Fixed-Rate Reset Non-Cumulative Perpetual Preferred Stock Series E</t>
  </si>
  <si>
    <t>POWL</t>
  </si>
  <si>
    <t>Powell Industries Inc. Common Stock</t>
  </si>
  <si>
    <t>LMND</t>
  </si>
  <si>
    <t>Lemonade Inc. Common Stock</t>
  </si>
  <si>
    <t>RWAYL</t>
  </si>
  <si>
    <t>Runway Growth Finance Corp. 7.50% Notes due 2027</t>
  </si>
  <si>
    <t>MFA</t>
  </si>
  <si>
    <t>MFA Financial Inc.</t>
  </si>
  <si>
    <t>ADEA</t>
  </si>
  <si>
    <t>Adeia Inc. Common Stock</t>
  </si>
  <si>
    <t>WT</t>
  </si>
  <si>
    <t>WisdomTree Inc. Common Stock</t>
  </si>
  <si>
    <t>BLDP</t>
  </si>
  <si>
    <t>Ballard Power Systems Inc. Common Shares</t>
  </si>
  <si>
    <t>BCSF</t>
  </si>
  <si>
    <t>Bain Capital Specialty Finance Inc. Common Stock</t>
  </si>
  <si>
    <t>DAWN</t>
  </si>
  <si>
    <t>Day One Biopharmaceuticals Inc. Common Stock</t>
  </si>
  <si>
    <t>SIGIP</t>
  </si>
  <si>
    <t>Selective Insurance Group Inc. Depositary Shares each representing a 1/1000th interest in a share of 4.60% Non-Cumulative Preferred Stock Series B</t>
  </si>
  <si>
    <t>CMCO</t>
  </si>
  <si>
    <t>Columbus McKinnon Corporation Common Stock</t>
  </si>
  <si>
    <t>APOG</t>
  </si>
  <si>
    <t>Apogee Enterprises Inc. Common Stock</t>
  </si>
  <si>
    <t>CMP</t>
  </si>
  <si>
    <t>Compass Minerals Intl Inc Common Stock</t>
  </si>
  <si>
    <t>HTLD</t>
  </si>
  <si>
    <t>Heartland Express Inc. Common Stock</t>
  </si>
  <si>
    <t>NKLA</t>
  </si>
  <si>
    <t>Nikola Corporation Common Stock</t>
  </si>
  <si>
    <t>TRS</t>
  </si>
  <si>
    <t>TriMas Corporation Common Stock</t>
  </si>
  <si>
    <t>ETWO</t>
  </si>
  <si>
    <t>E2open Parent Holdings Inc.Class A Common Stock</t>
  </si>
  <si>
    <t>EVRI</t>
  </si>
  <si>
    <t>Everi Holdings Inc. Common Stock</t>
  </si>
  <si>
    <t>SCCF</t>
  </si>
  <si>
    <t>Sachem Capital Corp. 7.125% Notes due 2027</t>
  </si>
  <si>
    <t>ALX</t>
  </si>
  <si>
    <t>Alexander's Inc. Common Stock</t>
  </si>
  <si>
    <t>VKTX</t>
  </si>
  <si>
    <t>Viking Therapeutics Inc. Common Stock</t>
  </si>
  <si>
    <t>EIG</t>
  </si>
  <si>
    <t>Employers Holdings Inc Common Stock</t>
  </si>
  <si>
    <t>CHGG</t>
  </si>
  <si>
    <t>Chegg Inc. Common Stock</t>
  </si>
  <si>
    <t>CHPT</t>
  </si>
  <si>
    <t>ChargePoint Holdings Inc. Common Stock</t>
  </si>
  <si>
    <t>STVN</t>
  </si>
  <si>
    <t>Stevanato Group S.p.A. Ordinary Shares</t>
  </si>
  <si>
    <t>OPK</t>
  </si>
  <si>
    <t>OPKO Health Inc. Common Stock</t>
  </si>
  <si>
    <t>WNC</t>
  </si>
  <si>
    <t>Wabash National Corporation Common Stock</t>
  </si>
  <si>
    <t>VBTX</t>
  </si>
  <si>
    <t>Veritex Holdings Inc. Common Stock</t>
  </si>
  <si>
    <t>TWST</t>
  </si>
  <si>
    <t>Twist Bioscience Corporation Common Stock</t>
  </si>
  <si>
    <t>AMSF</t>
  </si>
  <si>
    <t>AMERISAFE Inc. Common Stock</t>
  </si>
  <si>
    <t>RSI</t>
  </si>
  <si>
    <t>Rush Street Interactive Inc. Class A Common Stock</t>
  </si>
  <si>
    <t>RYI</t>
  </si>
  <si>
    <t>Ryerson Holding Corporation Common Stock</t>
  </si>
  <si>
    <t>OBK</t>
  </si>
  <si>
    <t>Origin Bancorp Inc. Common Stock</t>
  </si>
  <si>
    <t>ECPG</t>
  </si>
  <si>
    <t>Encore Capital Group Inc Common Stock</t>
  </si>
  <si>
    <t>UMH</t>
  </si>
  <si>
    <t>UMH Properties Inc. Common Stock</t>
  </si>
  <si>
    <t>LGND</t>
  </si>
  <si>
    <t>Ligand Pharmaceuticals Incorporated Common Stock</t>
  </si>
  <si>
    <t>SAVE</t>
  </si>
  <si>
    <t>Spirit Airlines Inc. Common Stock</t>
  </si>
  <si>
    <t>IMAX</t>
  </si>
  <si>
    <t>Imax Corporation Common Stock</t>
  </si>
  <si>
    <t>SCCD</t>
  </si>
  <si>
    <t>Sachem Capital Corp. 6.00% Notes due 2026</t>
  </si>
  <si>
    <t>AVDL</t>
  </si>
  <si>
    <t>Avadel Pharmaceuticals plc American Depositary Shares</t>
  </si>
  <si>
    <t>PGRE</t>
  </si>
  <si>
    <t>Paramount Group Inc. Common Stock</t>
  </si>
  <si>
    <t>NAT</t>
  </si>
  <si>
    <t>Nordic American Tankers Limited Common Stock</t>
  </si>
  <si>
    <t>VALN</t>
  </si>
  <si>
    <t>Valneva SE American Depositary Shares</t>
  </si>
  <si>
    <t>PTA</t>
  </si>
  <si>
    <t>Cohen &amp; Steers Tax-Advantaged Preferred Securities and Income Fund Common Shares of Beneficial Interest</t>
  </si>
  <si>
    <t>AVTA</t>
  </si>
  <si>
    <t>Avantax Inc. Common Stock</t>
  </si>
  <si>
    <t>AVNS</t>
  </si>
  <si>
    <t>Avanos Medical Inc. Common Stock</t>
  </si>
  <si>
    <t>MVF</t>
  </si>
  <si>
    <t>Blackrock MuniVest Fund Inc. Common Stock</t>
  </si>
  <si>
    <t>BBDC</t>
  </si>
  <si>
    <t>Barings BDC Inc. Common Stock</t>
  </si>
  <si>
    <t>NX</t>
  </si>
  <si>
    <t>Quanex Building Products Corporation Common Stock</t>
  </si>
  <si>
    <t>PLYM</t>
  </si>
  <si>
    <t>Plymouth Industrial REIT Inc. Common Stock</t>
  </si>
  <si>
    <t>CHEF</t>
  </si>
  <si>
    <t>The Chefs' Warehouse Inc. Common Stock</t>
  </si>
  <si>
    <t>RVLV</t>
  </si>
  <si>
    <t>Revolve Group Inc. Class A Common Stock</t>
  </si>
  <si>
    <t>ALTI</t>
  </si>
  <si>
    <t>AlTi Global Inc. Class A Common Stock</t>
  </si>
  <si>
    <t>PAR</t>
  </si>
  <si>
    <t>PAR Technology Corporation Common Stock</t>
  </si>
  <si>
    <t>GAM</t>
  </si>
  <si>
    <t>General American Investors Inc. Common Stock</t>
  </si>
  <si>
    <t>COMP</t>
  </si>
  <si>
    <t>Compass Inc. Class A Common Stock</t>
  </si>
  <si>
    <t>GERN</t>
  </si>
  <si>
    <t>Geron Corporation Common Stock</t>
  </si>
  <si>
    <t>SCCE</t>
  </si>
  <si>
    <t>Sachem Capital Corp. 6.00% Notes due 2027</t>
  </si>
  <si>
    <t>RLAY</t>
  </si>
  <si>
    <t>Relay Therapeutics Inc. Common Stock</t>
  </si>
  <si>
    <t>SNDX</t>
  </si>
  <si>
    <t>Syndax Pharmaceuticals Inc. Common Stock</t>
  </si>
  <si>
    <t>SASR</t>
  </si>
  <si>
    <t>Sandy Spring Bancorp Inc. Common Stock</t>
  </si>
  <si>
    <t>AHCO</t>
  </si>
  <si>
    <t>AdaptHealth Corp. Common Stock</t>
  </si>
  <si>
    <t>ASTS</t>
  </si>
  <si>
    <t>AST SpaceMobile Inc. Class A Common Stock</t>
  </si>
  <si>
    <t>NSSC</t>
  </si>
  <si>
    <t>NAPCO Security Technologies Inc. Common Stock</t>
  </si>
  <si>
    <t>SMTC</t>
  </si>
  <si>
    <t>Semtech Corporation Common Stock</t>
  </si>
  <si>
    <t>VSEC</t>
  </si>
  <si>
    <t>VSE Corporation Common Stock</t>
  </si>
  <si>
    <t>DADA</t>
  </si>
  <si>
    <t>Dada Nexus Limited American Depositary Shares</t>
  </si>
  <si>
    <t>RPT</t>
  </si>
  <si>
    <t>RPT Realty Common Stock</t>
  </si>
  <si>
    <t>TNDM</t>
  </si>
  <si>
    <t>Tandem Diabetes Care Inc. Common Stock</t>
  </si>
  <si>
    <t>MNTK</t>
  </si>
  <si>
    <t>Montauk Renewables Inc. Common Stock</t>
  </si>
  <si>
    <t>INDI</t>
  </si>
  <si>
    <t>indie Semiconductor Inc. Class A Common Stock</t>
  </si>
  <si>
    <t>ORLA</t>
  </si>
  <si>
    <t>Orla Mining Ltd. Common Shares</t>
  </si>
  <si>
    <t>CHS</t>
  </si>
  <si>
    <t>Chico's FAS Inc. Common Stock</t>
  </si>
  <si>
    <t>MNKD</t>
  </si>
  <si>
    <t>MannKind Corporation Common Stock</t>
  </si>
  <si>
    <t>CAL</t>
  </si>
  <si>
    <t>Caleres Inc. Common Stock</t>
  </si>
  <si>
    <t>DCPH</t>
  </si>
  <si>
    <t>Deciphera Pharmaceuticals Inc. Common Stock</t>
  </si>
  <si>
    <t>AIV</t>
  </si>
  <si>
    <t>Apartment Investment and Management Company Common Stock</t>
  </si>
  <si>
    <t>METC</t>
  </si>
  <si>
    <t>Ramaco Resources Inc. Class A Common Stock</t>
  </si>
  <si>
    <t>LAAC</t>
  </si>
  <si>
    <t>Lithium Americas (Argentina) Corp. Common Shares</t>
  </si>
  <si>
    <t>GRFX</t>
  </si>
  <si>
    <t>Graphex Group Limited American Depositary Shares each American Depositary Share representing 20 Ordinary Shares</t>
  </si>
  <si>
    <t>MBINO</t>
  </si>
  <si>
    <t>Merchants Bancorp Depositary Shares Each Representing a 1/40th Interest in a Share of Series B  Fixed-to-Floating Rate</t>
  </si>
  <si>
    <t>BRDG</t>
  </si>
  <si>
    <t>Bridge Investment Group Holdings Inc. Class A Common Stock</t>
  </si>
  <si>
    <t>IBCP</t>
  </si>
  <si>
    <t>Independent Bank Corporation Common Stock</t>
  </si>
  <si>
    <t>BZH</t>
  </si>
  <si>
    <t>Beazer Homes USA Inc. Common Stock</t>
  </si>
  <si>
    <t>ACEL</t>
  </si>
  <si>
    <t>Accel Entertainment Inc.</t>
  </si>
  <si>
    <t>NVX</t>
  </si>
  <si>
    <t>NOVONIX Limited American Depository Shares</t>
  </si>
  <si>
    <t>FORTY</t>
  </si>
  <si>
    <t>Formula Systems (1985) Ltd. American Depositary Shares</t>
  </si>
  <si>
    <t>NRP</t>
  </si>
  <si>
    <t>Natural Resource Partners LP Limited Partnership</t>
  </si>
  <si>
    <t>KLG</t>
  </si>
  <si>
    <t>WK Kellogg Co Common Stock</t>
  </si>
  <si>
    <t>INFN</t>
  </si>
  <si>
    <t>Infinera Corporation Common Stock</t>
  </si>
  <si>
    <t>NGMS</t>
  </si>
  <si>
    <t>NeoGames S.A. Ordinary Shares</t>
  </si>
  <si>
    <t>CLB</t>
  </si>
  <si>
    <t>Core Laboratories Inc. Common Stock</t>
  </si>
  <si>
    <t>Uruguay</t>
  </si>
  <si>
    <t>MPLN</t>
  </si>
  <si>
    <t>MultiPlan Corporation Class A Common Stock</t>
  </si>
  <si>
    <t>SA</t>
  </si>
  <si>
    <t>Seabridge Gold Inc. Ordinary Shares (Canada)</t>
  </si>
  <si>
    <t>RXST</t>
  </si>
  <si>
    <t>RxSight Inc. Common Stock</t>
  </si>
  <si>
    <t>CEPU</t>
  </si>
  <si>
    <t>Central Puerto S.A. American Depositary Shares (each represents ten Common Shares)</t>
  </si>
  <si>
    <t>REVG</t>
  </si>
  <si>
    <t>REV Group Inc. Common Stock</t>
  </si>
  <si>
    <t>TRUP</t>
  </si>
  <si>
    <t>Trupanion Inc. Common Stock</t>
  </si>
  <si>
    <t>UNFI</t>
  </si>
  <si>
    <t>United Natural Foods Inc. Common Stock</t>
  </si>
  <si>
    <t>SBH</t>
  </si>
  <si>
    <t>Sally Beauty Holdings Inc. (Name to be changed from Sally Holdings Inc.) Common Stock</t>
  </si>
  <si>
    <t>KRO</t>
  </si>
  <si>
    <t>Kronos Worldwide Inc Common Stock</t>
  </si>
  <si>
    <t>BHLB</t>
  </si>
  <si>
    <t>Berkshire Hills Bancorp Inc. Common Stock</t>
  </si>
  <si>
    <t>PTGX</t>
  </si>
  <si>
    <t>Protagonist Therapeutics Inc. Common Stock</t>
  </si>
  <si>
    <t>KALU</t>
  </si>
  <si>
    <t>Kaiser Aluminum Corporation Common Stock</t>
  </si>
  <si>
    <t>PRLB</t>
  </si>
  <si>
    <t>Proto Labs Inc. Common stock</t>
  </si>
  <si>
    <t>ATEN</t>
  </si>
  <si>
    <t>A10 Networks Inc. Common Stock</t>
  </si>
  <si>
    <t>PWP</t>
  </si>
  <si>
    <t>Perella Weinberg Partners Class A Common Stock</t>
  </si>
  <si>
    <t>RBCAA</t>
  </si>
  <si>
    <t>Republic Bancorp Inc. Class A Common Stock</t>
  </si>
  <si>
    <t>HROWM</t>
  </si>
  <si>
    <t>Harrow  Inc. 11.875% Senior Notes due 2027</t>
  </si>
  <si>
    <t>ZIM</t>
  </si>
  <si>
    <t>ZIM Integrated Shipping Services Ltd. Ordinary Shares</t>
  </si>
  <si>
    <t>ANGI</t>
  </si>
  <si>
    <t>Angi Inc. Class A Common Stock</t>
  </si>
  <si>
    <t>KROS</t>
  </si>
  <si>
    <t>Keros Therapeutics Inc. Common Stock</t>
  </si>
  <si>
    <t>ARKO</t>
  </si>
  <si>
    <t>ARKO Corp. Common Stock</t>
  </si>
  <si>
    <t>MRC</t>
  </si>
  <si>
    <t>MRC Global Inc. Common Stock</t>
  </si>
  <si>
    <t>PSF</t>
  </si>
  <si>
    <t>Cohen &amp; Steers Select Preferred and Income Fund Inc. Common Stock</t>
  </si>
  <si>
    <t>MBUU</t>
  </si>
  <si>
    <t>Malibu Boats Inc. Class A Common Stock</t>
  </si>
  <si>
    <t>WTTR</t>
  </si>
  <si>
    <t>Select Water Solutions Inc. Class A common stock</t>
  </si>
  <si>
    <t>NRGX</t>
  </si>
  <si>
    <t>PIMCO Energy and Tactical Credit Opportunities Fund Common Shares of Beneficial Interest</t>
  </si>
  <si>
    <t>OXLC</t>
  </si>
  <si>
    <t>Oxford Lane Capital Corp. Common Stock</t>
  </si>
  <si>
    <t>SBR</t>
  </si>
  <si>
    <t>Sabine Royalty Trust Common Stock</t>
  </si>
  <si>
    <t>PFBC</t>
  </si>
  <si>
    <t>Preferred Bank Common Stock</t>
  </si>
  <si>
    <t>WALD</t>
  </si>
  <si>
    <t>Waldencast plc Class A Ordinary Share</t>
  </si>
  <si>
    <t>BHFAM</t>
  </si>
  <si>
    <t>Brighthouse Financial Inc. Depositary shares each representing a 1/1000th Interest in a Share of 4.625% Non-Cumulative Preferred Stock Series D</t>
  </si>
  <si>
    <t>FSM</t>
  </si>
  <si>
    <t>Fortuna Silver Mines Inc Ordinary Shares (Canada)</t>
  </si>
  <si>
    <t>TMST</t>
  </si>
  <si>
    <t>TimkenSteel Corporation Common Shares</t>
  </si>
  <si>
    <t>YALA</t>
  </si>
  <si>
    <t>Yalla Group Limited American Depositary Shares each representing one Class A Ordinary Share</t>
  </si>
  <si>
    <t>CSWC</t>
  </si>
  <si>
    <t>Capital Southwest Corporation Common Stock</t>
  </si>
  <si>
    <t>BHE</t>
  </si>
  <si>
    <t>Benchmark Electronics Inc. Common Stock</t>
  </si>
  <si>
    <t>WAFDP</t>
  </si>
  <si>
    <t>WaFd Inc. Depositary Shares</t>
  </si>
  <si>
    <t>OLMA</t>
  </si>
  <si>
    <t>Olema Pharmaceuticals Inc. Common Stock</t>
  </si>
  <si>
    <t>USNA</t>
  </si>
  <si>
    <t>USANA Health Sciences Inc. Common Stock</t>
  </si>
  <si>
    <t>PACW</t>
  </si>
  <si>
    <t>PacWest Bancorp Common Stock</t>
  </si>
  <si>
    <t>EFC</t>
  </si>
  <si>
    <t>Ellington Financial Inc. Common Stock</t>
  </si>
  <si>
    <t>INVA</t>
  </si>
  <si>
    <t>Innoviva Inc. Common Stock</t>
  </si>
  <si>
    <t>AGTI</t>
  </si>
  <si>
    <t>Agiliti Inc. Common Stock</t>
  </si>
  <si>
    <t>SBGI</t>
  </si>
  <si>
    <t>Sinclair Inc. Class A Common Stock</t>
  </si>
  <si>
    <t>KOP</t>
  </si>
  <si>
    <t>Koppers Holdings Inc. Common Stock</t>
  </si>
  <si>
    <t>BBAR</t>
  </si>
  <si>
    <t>Banco BBVA Argentina S.A. ADS</t>
  </si>
  <si>
    <t>MFIC</t>
  </si>
  <si>
    <t>MidCap Financial Investment Corporation Common Stock</t>
  </si>
  <si>
    <t>IMOS</t>
  </si>
  <si>
    <t>ChipMOS TECHNOLOGIES INC. American Depositary Shares</t>
  </si>
  <si>
    <t>LANDM</t>
  </si>
  <si>
    <t>Gladstone Land Corporation 5.00% Series D Cumulative Term Preferred Stock</t>
  </si>
  <si>
    <t>EVBG</t>
  </si>
  <si>
    <t>Everbridge Inc. Common Stock</t>
  </si>
  <si>
    <t>TNGX</t>
  </si>
  <si>
    <t>Tango Therapeutics Inc.</t>
  </si>
  <si>
    <t>BY</t>
  </si>
  <si>
    <t>Byline Bancorp Inc. Common Stock</t>
  </si>
  <si>
    <t>LESL</t>
  </si>
  <si>
    <t>Leslie's Inc. Common Stock</t>
  </si>
  <si>
    <t>ADMA</t>
  </si>
  <si>
    <t>ADMA Biologics Inc Common Stock</t>
  </si>
  <si>
    <t>BFC</t>
  </si>
  <si>
    <t>Bank First Corporation Common Stock</t>
  </si>
  <si>
    <t>SCU</t>
  </si>
  <si>
    <t>Sculptor Capital Management Inc. Class A Common Stock</t>
  </si>
  <si>
    <t>EMBC</t>
  </si>
  <si>
    <t>Embecta Corp. Common Stock</t>
  </si>
  <si>
    <t>FMN</t>
  </si>
  <si>
    <t>Federated Hermes Premier Municipal Income Fund</t>
  </si>
  <si>
    <t>MNRO</t>
  </si>
  <si>
    <t>Monro Inc. Common Stock</t>
  </si>
  <si>
    <t>NBR</t>
  </si>
  <si>
    <t>AMPS</t>
  </si>
  <si>
    <t>Altus Power Inc. Class A Common Stock</t>
  </si>
  <si>
    <t>BFS</t>
  </si>
  <si>
    <t>Saul Centers Inc. Common Stock</t>
  </si>
  <si>
    <t>AMLX</t>
  </si>
  <si>
    <t>Amylyx Pharmaceuticals Inc. Common Stock</t>
  </si>
  <si>
    <t>SLCA</t>
  </si>
  <si>
    <t>U.S. Silica Holdings Inc. Common Stock</t>
  </si>
  <si>
    <t>SATS</t>
  </si>
  <si>
    <t>EchoStar  Corporation Common Stock</t>
  </si>
  <si>
    <t>DH</t>
  </si>
  <si>
    <t>Definitive Healthcare Corp. Class A Common Stock</t>
  </si>
  <si>
    <t>RNP</t>
  </si>
  <si>
    <t>Cohen &amp; Steers REIT and Preferred and Income Fund Inc. Common Shares</t>
  </si>
  <si>
    <t>INBX</t>
  </si>
  <si>
    <t>Inhibrx Inc. Common Stock</t>
  </si>
  <si>
    <t>WKME</t>
  </si>
  <si>
    <t>WalkMe Ltd. Ordinary Shares</t>
  </si>
  <si>
    <t>HROWL</t>
  </si>
  <si>
    <t>Harrow Inc. 8.625% Senior Notes due 2026</t>
  </si>
  <si>
    <t>CAPL</t>
  </si>
  <si>
    <t>CrossAmerica Partners LP Common Units representing limited partner interests</t>
  </si>
  <si>
    <t>MEI</t>
  </si>
  <si>
    <t>Methode Electronics Inc. Common Stock</t>
  </si>
  <si>
    <t>GABC</t>
  </si>
  <si>
    <t>German American Bancorp Inc. Common Stock</t>
  </si>
  <si>
    <t>GSM</t>
  </si>
  <si>
    <t>Ferroglobe PLC Ordinary Shares</t>
  </si>
  <si>
    <t>GDYN</t>
  </si>
  <si>
    <t>Grid Dynamics Holdings Inc. Class A Common Stock</t>
  </si>
  <si>
    <t>PLRX</t>
  </si>
  <si>
    <t>Pliant Therapeutics Inc. Common Stock</t>
  </si>
  <si>
    <t>SAVA</t>
  </si>
  <si>
    <t>Cassava Sciences Inc. Common Stock</t>
  </si>
  <si>
    <t>ARDX</t>
  </si>
  <si>
    <t>Ardelyx Inc. Common Stock</t>
  </si>
  <si>
    <t>SBSI</t>
  </si>
  <si>
    <t>Southside Bancshares Inc. Common Stock</t>
  </si>
  <si>
    <t>PHR</t>
  </si>
  <si>
    <t>Phreesia Inc. Common Stock</t>
  </si>
  <si>
    <t>FVRR</t>
  </si>
  <si>
    <t>Fiverr International Ltd. Ordinary Shares no par value</t>
  </si>
  <si>
    <t>ARVN</t>
  </si>
  <si>
    <t>Arvinas Inc. Common Stock</t>
  </si>
  <si>
    <t>MODN</t>
  </si>
  <si>
    <t>Model N Inc. Common Stock</t>
  </si>
  <si>
    <t>SPLP</t>
  </si>
  <si>
    <t>Steel Partners Holdings LP LTD PARTNERSHIP UNIT</t>
  </si>
  <si>
    <t>NRDS</t>
  </si>
  <si>
    <t>NerdWallet Inc. Class A Common Stock</t>
  </si>
  <si>
    <t>UAN</t>
  </si>
  <si>
    <t>CVR Partners LP Common Units representing Limited Partner Interests</t>
  </si>
  <si>
    <t>QCRH</t>
  </si>
  <si>
    <t>QCR Holdings Inc. Common Stock</t>
  </si>
  <si>
    <t>BRSP</t>
  </si>
  <si>
    <t>BrightSpire Capital Inc. Class A Common Stock</t>
  </si>
  <si>
    <t>NUS</t>
  </si>
  <si>
    <t>Nu Skin Enterprises Inc. Common Stock</t>
  </si>
  <si>
    <t>PTLO</t>
  </si>
  <si>
    <t>Portillo's Inc. Class A Common Stock</t>
  </si>
  <si>
    <t>TCBIO</t>
  </si>
  <si>
    <t>Texas Capital Bancshares Inc. Depositary Shares 5.75% Fixed Rate Non-Cumulative Perpetual Preferred Stock Series B</t>
  </si>
  <si>
    <t>NAMS</t>
  </si>
  <si>
    <t>NewAmsterdam Pharma Company N.V. Ordinary Shares</t>
  </si>
  <si>
    <t>ATAT</t>
  </si>
  <si>
    <t>Atour Lifestyle Holdings Limited American Depositary Shares</t>
  </si>
  <si>
    <t>ETW</t>
  </si>
  <si>
    <t>Eaton Vance Corporation Eaton Vance Tax-Managed Global Buy-Write Opportunites Fund Common Shares of Beneficial Interest</t>
  </si>
  <si>
    <t>SBOW</t>
  </si>
  <si>
    <t>SilverBow Resorces Inc. Common Stock</t>
  </si>
  <si>
    <t>PBT</t>
  </si>
  <si>
    <t>Permian Basin Royalty Trust Common Stock</t>
  </si>
  <si>
    <t>PDS</t>
  </si>
  <si>
    <t>Precision Drilling Corporation Common Stock</t>
  </si>
  <si>
    <t>CDE</t>
  </si>
  <si>
    <t>Coeur Mining Inc. Common Stock</t>
  </si>
  <si>
    <t>GRNT</t>
  </si>
  <si>
    <t>Granite Ridge Resources Inc. Common Stock</t>
  </si>
  <si>
    <t>KYMR</t>
  </si>
  <si>
    <t>Kymera Therapeutics Inc. Common Stock</t>
  </si>
  <si>
    <t>SLRC</t>
  </si>
  <si>
    <t>SLR Investment Corp. Common Stock</t>
  </si>
  <si>
    <t>SGH</t>
  </si>
  <si>
    <t>SMART Global Holdings Inc. Ordinary Shares</t>
  </si>
  <si>
    <t>HUYA</t>
  </si>
  <si>
    <t>HUYA Inc. American depositary shares each  representing one Class A ordinary share</t>
  </si>
  <si>
    <t>HUYA Inc. American depositary shares each representing one Class A ordinary share</t>
  </si>
  <si>
    <t>GRC</t>
  </si>
  <si>
    <t>Gorman-Rupp Company (The) Common Stock</t>
  </si>
  <si>
    <t>ULCC</t>
  </si>
  <si>
    <t>Frontier Group Holdings Inc. Common Stock</t>
  </si>
  <si>
    <t>KRNT</t>
  </si>
  <si>
    <t>Kornit Digital Ltd. Ordinary Shares</t>
  </si>
  <si>
    <t>TTGT</t>
  </si>
  <si>
    <t>TechTarget Inc. Common Stock</t>
  </si>
  <si>
    <t>YEXT</t>
  </si>
  <si>
    <t>Yext Inc. Common Stock</t>
  </si>
  <si>
    <t>ARR</t>
  </si>
  <si>
    <t>ARMOUR Residential REIT Inc.</t>
  </si>
  <si>
    <t>DGII</t>
  </si>
  <si>
    <t>Digi International Inc. Common Stock</t>
  </si>
  <si>
    <t>RGR</t>
  </si>
  <si>
    <t>Sturm Ruger &amp; Company Inc. Common Stock</t>
  </si>
  <si>
    <t>HTFB</t>
  </si>
  <si>
    <t>Horizon Technology Finance Corporation 4.875% Notes due 2026</t>
  </si>
  <si>
    <t>GOODN</t>
  </si>
  <si>
    <t>Gladstone Commercial Corporation 6.625% Series E Cumulative Redeemable Preferred Stock</t>
  </si>
  <si>
    <t>COLL</t>
  </si>
  <si>
    <t>Collegium Pharmaceutical Inc. Common Stock</t>
  </si>
  <si>
    <t>IRBT</t>
  </si>
  <si>
    <t>iRobot Corporation Common Stock</t>
  </si>
  <si>
    <t>GAINN</t>
  </si>
  <si>
    <t>GRABW</t>
  </si>
  <si>
    <t>Grab Holdings Limited Warrant</t>
  </si>
  <si>
    <t>HTFC</t>
  </si>
  <si>
    <t>Horizon Technology Finance Corporation 6.25% Notes due 2027</t>
  </si>
  <si>
    <t>KREF</t>
  </si>
  <si>
    <t>KKR Real Estate Finance Trust Inc. Common Stock</t>
  </si>
  <si>
    <t>TTEC</t>
  </si>
  <si>
    <t>TTEC Holdings Inc. Common Stock</t>
  </si>
  <si>
    <t>MKTW</t>
  </si>
  <si>
    <t>MarketWise Inc. Class A Common Stock</t>
  </si>
  <si>
    <t>AKRO</t>
  </si>
  <si>
    <t>Akero Therapeutics Inc. Common Stock</t>
  </si>
  <si>
    <t>PCTTU</t>
  </si>
  <si>
    <t>PureCycle Technologies Inc. Unit</t>
  </si>
  <si>
    <t>BKD</t>
  </si>
  <si>
    <t>Brookdale Senior Living Inc. Common Stock</t>
  </si>
  <si>
    <t>CRON</t>
  </si>
  <si>
    <t>Cronos Group Inc. Common Share</t>
  </si>
  <si>
    <t>FBMS</t>
  </si>
  <si>
    <t>First Bancshares Inc.</t>
  </si>
  <si>
    <t>RGNX</t>
  </si>
  <si>
    <t>REGENXBIO Inc. Common Stock</t>
  </si>
  <si>
    <t>LEU</t>
  </si>
  <si>
    <t>Centrus Energy Corp. Class A Common Stock</t>
  </si>
  <si>
    <t>OCFC</t>
  </si>
  <si>
    <t>OceanFirst Financial Corp. Common Stock</t>
  </si>
  <si>
    <t>DLX</t>
  </si>
  <si>
    <t>Deluxe Corporation Common Stock</t>
  </si>
  <si>
    <t>TRNS</t>
  </si>
  <si>
    <t>Transcat Inc. Common Stock</t>
  </si>
  <si>
    <t>RILY</t>
  </si>
  <si>
    <t>B. Riley Financial Inc. Common Stock</t>
  </si>
  <si>
    <t>TGI</t>
  </si>
  <si>
    <t>Triumph Group Inc. Common Stock</t>
  </si>
  <si>
    <t>AXL</t>
  </si>
  <si>
    <t>American Axle &amp; Manufacturing Holdings Inc. Common Stock</t>
  </si>
  <si>
    <t>RWT</t>
  </si>
  <si>
    <t>Redwood Trust Inc. Common Stock</t>
  </si>
  <si>
    <t>NGD</t>
  </si>
  <si>
    <t>New Gold Inc.</t>
  </si>
  <si>
    <t>SLRN</t>
  </si>
  <si>
    <t>ACELYRIN INC. Common Stock</t>
  </si>
  <si>
    <t>MEG</t>
  </si>
  <si>
    <t>Montrose Environmental Group Inc. Common Stock</t>
  </si>
  <si>
    <t>UTL</t>
  </si>
  <si>
    <t>UNITIL Corporation Common Stock</t>
  </si>
  <si>
    <t>TIGR</t>
  </si>
  <si>
    <t>UP Fintech Holding Ltd American Depositary Share representing fifteen Class A Ordinary Shares</t>
  </si>
  <si>
    <t>FLGT</t>
  </si>
  <si>
    <t>Fulgent Genetics Inc. Common Stock</t>
  </si>
  <si>
    <t>BASE</t>
  </si>
  <si>
    <t>Couchbase Inc. Common Stock</t>
  </si>
  <si>
    <t>QTRX</t>
  </si>
  <si>
    <t>Quanterix Corporation Common Stock</t>
  </si>
  <si>
    <t>TWI</t>
  </si>
  <si>
    <t>Titan International Inc. (DE) Common Stock</t>
  </si>
  <si>
    <t>HY</t>
  </si>
  <si>
    <t>Hyster-Yale Materials Handling Inc. Class A Common Stock</t>
  </si>
  <si>
    <t>OLO</t>
  </si>
  <si>
    <t>Olo Inc. Class A Common Stock</t>
  </si>
  <si>
    <t>METCB</t>
  </si>
  <si>
    <t>Ramaco Resources Inc. Class B Common Stock</t>
  </si>
  <si>
    <t>MD</t>
  </si>
  <si>
    <t>Pediatrix Medical Group Inc. Common Stock</t>
  </si>
  <si>
    <t>ARLO</t>
  </si>
  <si>
    <t>Arlo Technologies Inc. Common Stock</t>
  </si>
  <si>
    <t>LZM</t>
  </si>
  <si>
    <t>Lifezone Metals Limited Ordinary Shares</t>
  </si>
  <si>
    <t>CSR</t>
  </si>
  <si>
    <t>D/B/A Centerspace Common Stock</t>
  </si>
  <si>
    <t>NXRT</t>
  </si>
  <si>
    <t>NexPoint Residential Trust Inc. Common Stock</t>
  </si>
  <si>
    <t>GAINZ</t>
  </si>
  <si>
    <t>Gladstone Investment Corporation 4.875% Notes due 2028</t>
  </si>
  <si>
    <t>ARGD</t>
  </si>
  <si>
    <t>Argo Group International Holdings Ltd. 6.5% Senior Notes Due 2042</t>
  </si>
  <si>
    <t>APGE</t>
  </si>
  <si>
    <t>Apogee Therapeutics Inc. Common Stock</t>
  </si>
  <si>
    <t>SMP</t>
  </si>
  <si>
    <t>Standard Motor Products Inc. Common Stock</t>
  </si>
  <si>
    <t>MBINN</t>
  </si>
  <si>
    <t>Merchants Bancorp Depositary Shares Preferred Series C</t>
  </si>
  <si>
    <t>DRQ</t>
  </si>
  <si>
    <t>Dril-Quip Inc. Common Stock</t>
  </si>
  <si>
    <t>VTOL</t>
  </si>
  <si>
    <t>Bristow Group Inc. Common Stock</t>
  </si>
  <si>
    <t>SILV</t>
  </si>
  <si>
    <t>SilverCrest Metals Inc. Common Shares</t>
  </si>
  <si>
    <t>BRKL</t>
  </si>
  <si>
    <t>Brookline Bancorp Inc. Common Stock</t>
  </si>
  <si>
    <t>ASTL</t>
  </si>
  <si>
    <t>Algoma Steel Group Inc. Common Shares</t>
  </si>
  <si>
    <t>HSTM</t>
  </si>
  <si>
    <t>HealthStream Inc. Common Stock</t>
  </si>
  <si>
    <t>PUBM</t>
  </si>
  <si>
    <t>PubMatic Inc. Class A Common Stock</t>
  </si>
  <si>
    <t>CIFR</t>
  </si>
  <si>
    <t>Cipher Mining Inc. Common Stock</t>
  </si>
  <si>
    <t>SPTN</t>
  </si>
  <si>
    <t>SpartanNash Company Common Stock</t>
  </si>
  <si>
    <t>MTTR</t>
  </si>
  <si>
    <t>Matterport Inc. Class A Common Stock</t>
  </si>
  <si>
    <t>NEXA</t>
  </si>
  <si>
    <t>Nexa Resources S.A. Common Shares</t>
  </si>
  <si>
    <t>LBAI</t>
  </si>
  <si>
    <t>Lakeland Bancorp Inc. Common Stock</t>
  </si>
  <si>
    <t>EH</t>
  </si>
  <si>
    <t>EHang Holdings Limited ADS</t>
  </si>
  <si>
    <t>EWCZ</t>
  </si>
  <si>
    <t>European Wax Center Inc. Class A Common Stock</t>
  </si>
  <si>
    <t>EVGO</t>
  </si>
  <si>
    <t>EVgo Inc. Class A Common Stock</t>
  </si>
  <si>
    <t>INNV</t>
  </si>
  <si>
    <t>InnovAge Holding Corp. Common Stock</t>
  </si>
  <si>
    <t>DCOM</t>
  </si>
  <si>
    <t>Dime Community Bancshares Inc. Common Stock</t>
  </si>
  <si>
    <t>VREX</t>
  </si>
  <si>
    <t>Varex Imaging Corporation Common Stock</t>
  </si>
  <si>
    <t>CLNE</t>
  </si>
  <si>
    <t>Clean Energy Fuels Corp. Common Stock</t>
  </si>
  <si>
    <t>LNZA</t>
  </si>
  <si>
    <t>LanzaTech Global Inc. Common Stock</t>
  </si>
  <si>
    <t>WLKP</t>
  </si>
  <si>
    <t>Westlake Chemical Partners LP Common Units representing limited partner interests</t>
  </si>
  <si>
    <t>FUBO</t>
  </si>
  <si>
    <t>fuboTV Inc. Common Stock</t>
  </si>
  <si>
    <t>SCSC</t>
  </si>
  <si>
    <t>ScanSource Inc. Common Stock</t>
  </si>
  <si>
    <t>KARO</t>
  </si>
  <si>
    <t>Karooooo Ltd. Ordinary Shares</t>
  </si>
  <si>
    <t>HPP</t>
  </si>
  <si>
    <t>Hudson Pacific Properties Inc. Common Stock</t>
  </si>
  <si>
    <t>MATV</t>
  </si>
  <si>
    <t>Mativ Holdings Inc. Common Stock</t>
  </si>
  <si>
    <t>GHLD</t>
  </si>
  <si>
    <t>Guild Holdings Company Class A Common Stock</t>
  </si>
  <si>
    <t>FOSLL</t>
  </si>
  <si>
    <t>Fossil Group Inc. 7% Senior Notes due 2026</t>
  </si>
  <si>
    <t>CLCO</t>
  </si>
  <si>
    <t>Cool Company Ltd. Common Shares</t>
  </si>
  <si>
    <t>SII</t>
  </si>
  <si>
    <t>Sprott Inc. Common Shares</t>
  </si>
  <si>
    <t>BST</t>
  </si>
  <si>
    <t>BlackRock Science and Technology Trust Common Shares of Beneficial Interest</t>
  </si>
  <si>
    <t>SXC</t>
  </si>
  <si>
    <t>SunCoke Energy Inc. Common Stock</t>
  </si>
  <si>
    <t>LIFW</t>
  </si>
  <si>
    <t>MSP Recovery Inc. Class A Common Stock</t>
  </si>
  <si>
    <t>TMP</t>
  </si>
  <si>
    <t>Tompkins Financial Corporation Common Stock</t>
  </si>
  <si>
    <t>AC</t>
  </si>
  <si>
    <t>Associated Capital Group Inc. Common Stock</t>
  </si>
  <si>
    <t>NOAH</t>
  </si>
  <si>
    <t>Noah Holdings Limited American Depositary Shares</t>
  </si>
  <si>
    <t>EB</t>
  </si>
  <si>
    <t>Eventbrite Inc. Class A Common Stock</t>
  </si>
  <si>
    <t>SRRK</t>
  </si>
  <si>
    <t>Scholar Rock Holding Corporation Common Stock</t>
  </si>
  <si>
    <t>RMR</t>
  </si>
  <si>
    <t>The RMR Group Inc. Class A Common Stock</t>
  </si>
  <si>
    <t>CGBD</t>
  </si>
  <si>
    <t>Carlyle Secured Lending Inc. Common Stock</t>
  </si>
  <si>
    <t>PHAR</t>
  </si>
  <si>
    <t>Pharming Group N.V. ADS each representing 10 ordinary shares</t>
  </si>
  <si>
    <t>IMTX</t>
  </si>
  <si>
    <t>Immatics N.V. Ordinary Shares</t>
  </si>
  <si>
    <t>DRD</t>
  </si>
  <si>
    <t>DRDGOLD Limited American Depositary Shares</t>
  </si>
  <si>
    <t>XMTR</t>
  </si>
  <si>
    <t>Xometry Inc. Class A Common Stock</t>
  </si>
  <si>
    <t>OPINL</t>
  </si>
  <si>
    <t>Office Properties Income Trust 6.375% Senior Notes due 2050</t>
  </si>
  <si>
    <t>NYMT</t>
  </si>
  <si>
    <t>New York Mortgage Trust Inc. Common Stock</t>
  </si>
  <si>
    <t>BCX</t>
  </si>
  <si>
    <t>BlackRock Resources Common Shares of Beneficial Interest</t>
  </si>
  <si>
    <t>RILYO</t>
  </si>
  <si>
    <t>B. Riley Financial Inc. 6.75% Senior Notes due 2024</t>
  </si>
  <si>
    <t>PHVS</t>
  </si>
  <si>
    <t>Pharvaris N.V. Ordinary Shares</t>
  </si>
  <si>
    <t>BYON</t>
  </si>
  <si>
    <t>Beyond Inc. Common Stock</t>
  </si>
  <si>
    <t>HKD</t>
  </si>
  <si>
    <t>AMTD Digital Inc. American Depositary Shares (every five of which represent two Class A Ordinary Shares)</t>
  </si>
  <si>
    <t>GOODO</t>
  </si>
  <si>
    <t>Gladstone Commercial Corporation 6.00% Series G Cumulative Redeemable Preferred Stock par value $0.001 per share</t>
  </si>
  <si>
    <t>MED</t>
  </si>
  <si>
    <t>MEDIFAST INC Common Stock</t>
  </si>
  <si>
    <t>CHCT</t>
  </si>
  <si>
    <t>Community Healthcare Trust Incorporated Common Stock</t>
  </si>
  <si>
    <t>CABA</t>
  </si>
  <si>
    <t>Cabaletta Bio Inc. Common Stock</t>
  </si>
  <si>
    <t>SLP</t>
  </si>
  <si>
    <t>Simulations Plus Inc. Common Stock</t>
  </si>
  <si>
    <t>MGR</t>
  </si>
  <si>
    <t>Affiliated Managers Group Inc. 5.875% Junior Subordinated Notes due 2059</t>
  </si>
  <si>
    <t>PBI</t>
  </si>
  <si>
    <t>Pitney Bowes Inc. Common Stock</t>
  </si>
  <si>
    <t>ASTE</t>
  </si>
  <si>
    <t>Astec Industries Inc. Common Stock</t>
  </si>
  <si>
    <t>IDT</t>
  </si>
  <si>
    <t>IDT Corporation Class B Common Stock</t>
  </si>
  <si>
    <t>SSYS</t>
  </si>
  <si>
    <t>Stratasys Ltd. Ordinary Shares (Israel)</t>
  </si>
  <si>
    <t>AIC</t>
  </si>
  <si>
    <t>Arlington Asset Investment Corp 6.750% Notes due 2025</t>
  </si>
  <si>
    <t>FNA</t>
  </si>
  <si>
    <t>Paragon 28 Inc. Common Stock</t>
  </si>
  <si>
    <t>LOMA</t>
  </si>
  <si>
    <t>Loma Negra Compania Industrial Argentina Sociedad Anonima ADS</t>
  </si>
  <si>
    <t>AEHR</t>
  </si>
  <si>
    <t>Aehr Test Systems Common Stock</t>
  </si>
  <si>
    <t>HQH</t>
  </si>
  <si>
    <t>abrdn Healthcare Investors Shares of Beneficial Interest</t>
  </si>
  <si>
    <t>FCRX</t>
  </si>
  <si>
    <t>Crescent Capital BDC Inc. 5.00% Notes due 2026</t>
  </si>
  <si>
    <t>HCSG</t>
  </si>
  <si>
    <t>Healthcare Services Group Inc. Common Stock</t>
  </si>
  <si>
    <t>BXC</t>
  </si>
  <si>
    <t>Bluelinx Holdings Inc. Common Stock</t>
  </si>
  <si>
    <t>GTN</t>
  </si>
  <si>
    <t>Gray Television Inc. Common Stock</t>
  </si>
  <si>
    <t>CTBI</t>
  </si>
  <si>
    <t>Community Trust Bancorp Inc. Common Stock</t>
  </si>
  <si>
    <t>FMBH</t>
  </si>
  <si>
    <t>First Mid Bancshares Inc. Common Stock</t>
  </si>
  <si>
    <t>ICHR</t>
  </si>
  <si>
    <t>Ichor Holdings Ordinary Shares</t>
  </si>
  <si>
    <t>IMXI</t>
  </si>
  <si>
    <t>International Money Express Inc. Common Stock</t>
  </si>
  <si>
    <t>TDCX</t>
  </si>
  <si>
    <t>TDCX Inc. American Depositary Shares each representing one Class A ordinary share</t>
  </si>
  <si>
    <t>CBL</t>
  </si>
  <si>
    <t>CBL &amp; Associates Properties Inc. Common Stock</t>
  </si>
  <si>
    <t>KELYA</t>
  </si>
  <si>
    <t>Kelly Services Inc. Class A Common Stock</t>
  </si>
  <si>
    <t>DCO</t>
  </si>
  <si>
    <t>Ducommun Incorporated Common Stock</t>
  </si>
  <si>
    <t>ZNTL</t>
  </si>
  <si>
    <t>Zentalis Pharmaceuticals Inc. Common Stock</t>
  </si>
  <si>
    <t>PDM</t>
  </si>
  <si>
    <t>Piedmont Office Realty Trust Inc. Class A Common Stock</t>
  </si>
  <si>
    <t>BBSI</t>
  </si>
  <si>
    <t>Barrett Business Services Inc. Common Stock</t>
  </si>
  <si>
    <t>VLRS</t>
  </si>
  <si>
    <t>Controladora Vuela Compania de Aviacion S.A.B. de C.V. American Depositary Shares each representing ten (10) Ordinary Participation Certificates</t>
  </si>
  <si>
    <t>AHH</t>
  </si>
  <si>
    <t>Armada Hoffler Properties Inc. Common Stock</t>
  </si>
  <si>
    <t>CFFN</t>
  </si>
  <si>
    <t>Capitol Federal Financial Inc. Common Stock</t>
  </si>
  <si>
    <t>SOJC</t>
  </si>
  <si>
    <t>Southern Company (The) Series 2017B 5.25% Junior Subordinated Notes due December 1 2077</t>
  </si>
  <si>
    <t>MDXG</t>
  </si>
  <si>
    <t>MiMedx Group Inc Common Stock</t>
  </si>
  <si>
    <t>LPRO</t>
  </si>
  <si>
    <t>Open Lending Corporation Common Stock</t>
  </si>
  <si>
    <t>CSSEN</t>
  </si>
  <si>
    <t>Chicken Soup for the Soul Entertainment Inc. 9.50% Notes due 2025</t>
  </si>
  <si>
    <t>SNCY</t>
  </si>
  <si>
    <t>Sun Country Airlines Holdings Inc. Common Stock</t>
  </si>
  <si>
    <t>BRCC</t>
  </si>
  <si>
    <t>BRC Inc. Class A Common Stock</t>
  </si>
  <si>
    <t>TK</t>
  </si>
  <si>
    <t>Teekay Corporation Common Stock</t>
  </si>
  <si>
    <t>ASLE</t>
  </si>
  <si>
    <t>AerSale Corporation Common Stock</t>
  </si>
  <si>
    <t>KELYB</t>
  </si>
  <si>
    <t>Kelly Services Inc. Class B Common Stock</t>
  </si>
  <si>
    <t>AAIN</t>
  </si>
  <si>
    <t>Arlington Asset Investment Corp 6.000% Senior Notes Due 2026</t>
  </si>
  <si>
    <t>CNOB</t>
  </si>
  <si>
    <t>ConnectOne Bancorp Inc. Common Stock</t>
  </si>
  <si>
    <t>SES</t>
  </si>
  <si>
    <t>SES AI Corporation Class A Common Stock</t>
  </si>
  <si>
    <t>CNOBP</t>
  </si>
  <si>
    <t>ConnectOne Bancorp Inc. Depositary Shares each representing a 1/40th interest in a share of 5.25% Fixed-Rate Reset Non-Cumulative Perpetual Preferred Stock Series A</t>
  </si>
  <si>
    <t>LFMDP</t>
  </si>
  <si>
    <t>LifeMD Inc. 8.875% Series A Cumulative Perpetual Preferred Stock</t>
  </si>
  <si>
    <t>RSKD</t>
  </si>
  <si>
    <t>Riskified Ltd. Class A Ordinary Shares</t>
  </si>
  <si>
    <t>DLY</t>
  </si>
  <si>
    <t>DoubleLine Yield Opportunities Fund Common Shares of Beneficial Interest</t>
  </si>
  <si>
    <t>RILYM</t>
  </si>
  <si>
    <t>B. Riley Financial Inc. 6.375% Senior Notes due 2025</t>
  </si>
  <si>
    <t>CECO</t>
  </si>
  <si>
    <t>CECO Environmental Corp. Common Stock</t>
  </si>
  <si>
    <t>BSIG</t>
  </si>
  <si>
    <t>BrightSphere Investment Group Inc. Common Stock</t>
  </si>
  <si>
    <t>SLNO</t>
  </si>
  <si>
    <t>Soleno Therapeutics Inc. Common Stock</t>
  </si>
  <si>
    <t>RDWR</t>
  </si>
  <si>
    <t>Radware Ltd. Ordinary Shares</t>
  </si>
  <si>
    <t>BV</t>
  </si>
  <si>
    <t>BrightView Holdings Inc. Common Stock</t>
  </si>
  <si>
    <t>CTKB</t>
  </si>
  <si>
    <t>Cytek Biosciences Inc. Common Stock</t>
  </si>
  <si>
    <t>CRNC</t>
  </si>
  <si>
    <t>Cerence Inc. Common Stock</t>
  </si>
  <si>
    <t>AJXA</t>
  </si>
  <si>
    <t>Great Ajax Corp. 7.25% Convertible Senior Notes due 2024</t>
  </si>
  <si>
    <t>WWW</t>
  </si>
  <si>
    <t>Wolverine World Wide Inc. Common Stock</t>
  </si>
  <si>
    <t>GNE</t>
  </si>
  <si>
    <t>Genie Energy Ltd. Class B Common Stock Stock</t>
  </si>
  <si>
    <t>SANA</t>
  </si>
  <si>
    <t>Sana Biotechnology Inc. Common Stock</t>
  </si>
  <si>
    <t>PRA</t>
  </si>
  <si>
    <t>ProAssurance Corporation Common Stock</t>
  </si>
  <si>
    <t>SPWR</t>
  </si>
  <si>
    <t>SunPower Corporation Common Stock</t>
  </si>
  <si>
    <t>ASIX</t>
  </si>
  <si>
    <t>AdvanSix Inc. Common Stock</t>
  </si>
  <si>
    <t>PRME</t>
  </si>
  <si>
    <t>Prime Medicine Inc. Common Stock</t>
  </si>
  <si>
    <t>AMBC</t>
  </si>
  <si>
    <t>Ambac Financial Group Inc. Common Stock</t>
  </si>
  <si>
    <t>BDN</t>
  </si>
  <si>
    <t>Brandywine Realty Trust Common Stock</t>
  </si>
  <si>
    <t>BLX</t>
  </si>
  <si>
    <t>Banco Latinoamericano de Comercio Exterior S.A.</t>
  </si>
  <si>
    <t>PFC</t>
  </si>
  <si>
    <t>Premier Financial Corp. Common Stock</t>
  </si>
  <si>
    <t>PGY</t>
  </si>
  <si>
    <t>Pagaya Technologies Ltd. Class A Ordinary Shares</t>
  </si>
  <si>
    <t>SPCE</t>
  </si>
  <si>
    <t>Virgin Galactic Holdings Inc. Common Stock</t>
  </si>
  <si>
    <t>DIN</t>
  </si>
  <si>
    <t>Dine Brands Global Inc. Common Stock</t>
  </si>
  <si>
    <t>BELFB</t>
  </si>
  <si>
    <t>Bel Fuse Inc. Class B Common Stock</t>
  </si>
  <si>
    <t>REPL</t>
  </si>
  <si>
    <t>Replimune Group Inc. Common Stock</t>
  </si>
  <si>
    <t>OFLX</t>
  </si>
  <si>
    <t>Omega Flex Inc. Common Stock</t>
  </si>
  <si>
    <t>TCPC</t>
  </si>
  <si>
    <t>BlackRock TCP Capital Corp. Common Stock</t>
  </si>
  <si>
    <t>BIOX</t>
  </si>
  <si>
    <t>Bioceres Crop Solutions Corp. Ordinary Shares</t>
  </si>
  <si>
    <t>BELFA</t>
  </si>
  <si>
    <t>Bel Fuse Inc. Class A Common Stock</t>
  </si>
  <si>
    <t>ETD</t>
  </si>
  <si>
    <t>Ethan Allen Interiors Inc. Common Stock</t>
  </si>
  <si>
    <t>WEST</t>
  </si>
  <si>
    <t>Westrock Coffee Company Common Stock</t>
  </si>
  <si>
    <t>HCI</t>
  </si>
  <si>
    <t>HCI Group Inc. Common Stock</t>
  </si>
  <si>
    <t>BANC</t>
  </si>
  <si>
    <t>Banc of California Inc. Common Stock</t>
  </si>
  <si>
    <t>SOJD</t>
  </si>
  <si>
    <t>Southern Company (The) Series 2020A 4.95% Junior Subordinated Notes due January 30 2080</t>
  </si>
  <si>
    <t>NMM</t>
  </si>
  <si>
    <t>Navios Maritime Partners LP Common Units Representing Limited Partner Interests</t>
  </si>
  <si>
    <t>EXAI</t>
  </si>
  <si>
    <t>Exscientia Plc American Depositary Shares</t>
  </si>
  <si>
    <t>ADV</t>
  </si>
  <si>
    <t>Advantage Solutions Inc. Class A Common Stock</t>
  </si>
  <si>
    <t>REX</t>
  </si>
  <si>
    <t>REX American Resources Corporation</t>
  </si>
  <si>
    <t>RILYK</t>
  </si>
  <si>
    <t>B. Riley Financial Inc. 5.50% Senior Notes Due 2026</t>
  </si>
  <si>
    <t>TNP</t>
  </si>
  <si>
    <t>Tsakos Energy Navigation Ltd Common Shares</t>
  </si>
  <si>
    <t>RDUS</t>
  </si>
  <si>
    <t>Schnitzer Steel Industries Inc. Class A Common Stock</t>
  </si>
  <si>
    <t>PSFE</t>
  </si>
  <si>
    <t>Paysafe Limited Common Shares</t>
  </si>
  <si>
    <t>CCRN</t>
  </si>
  <si>
    <t>Cross Country Healthcare Inc. Common Stock $0.0001 Par Value</t>
  </si>
  <si>
    <t>AMTB</t>
  </si>
  <si>
    <t>Amerant Bancorp Inc. Class A Common Stock</t>
  </si>
  <si>
    <t>ASPN</t>
  </si>
  <si>
    <t>Aspen Aerogels Inc. Common Stock</t>
  </si>
  <si>
    <t>NNDM</t>
  </si>
  <si>
    <t>Nano Dimension Ltd. American Depositary Shares</t>
  </si>
  <si>
    <t>INN</t>
  </si>
  <si>
    <t>Summit Hotel Properties Inc. Common Stock</t>
  </si>
  <si>
    <t>BIGC</t>
  </si>
  <si>
    <t>BigCommerce Holdings Inc. Series 1 Common Stock</t>
  </si>
  <si>
    <t>SPRU</t>
  </si>
  <si>
    <t>Spruce Power Holding Corporation Class A Common Stock</t>
  </si>
  <si>
    <t>ZH</t>
  </si>
  <si>
    <t>Zhihu Inc. American Depositary Shares (every two of each representing one Class A ordinary share)</t>
  </si>
  <si>
    <t>SWBI</t>
  </si>
  <si>
    <t>Smith &amp; Wesson Brands Inc. Common Stock</t>
  </si>
  <si>
    <t>IIIV</t>
  </si>
  <si>
    <t>i3 Verticals Inc. Class A Common Stock</t>
  </si>
  <si>
    <t>SIBN</t>
  </si>
  <si>
    <t>SI-BONE Inc. Common Stock</t>
  </si>
  <si>
    <t>PFLT</t>
  </si>
  <si>
    <t>PennantPark Floating Rate Capital Ltd. Common Stock</t>
  </si>
  <si>
    <t>CCO</t>
  </si>
  <si>
    <t>Clear Channel Outdoor Holdings Inc. Common Stock</t>
  </si>
  <si>
    <t>HRT</t>
  </si>
  <si>
    <t>HireRight Holdings Corporation Common Stock</t>
  </si>
  <si>
    <t>EGBN</t>
  </si>
  <si>
    <t>Eagle Bancorp Inc. Common Stock</t>
  </si>
  <si>
    <t>VVI</t>
  </si>
  <si>
    <t>Viad Corp Common Stock</t>
  </si>
  <si>
    <t>NXP</t>
  </si>
  <si>
    <t>Nuveen Select Tax Free Income Portfolio Common Stock</t>
  </si>
  <si>
    <t>VTS</t>
  </si>
  <si>
    <t>Vitesse Energy Inc. Common Stock</t>
  </si>
  <si>
    <t>THRY</t>
  </si>
  <si>
    <t>Thryv Holdings Inc. Common Stock</t>
  </si>
  <si>
    <t>TIPT</t>
  </si>
  <si>
    <t>Tiptree Inc. Common Stock</t>
  </si>
  <si>
    <t>OBE</t>
  </si>
  <si>
    <t>Obsidian Energy Ltd. Common Shares</t>
  </si>
  <si>
    <t>WRLD</t>
  </si>
  <si>
    <t>World Acceptance Corporation Common Stock</t>
  </si>
  <si>
    <t>KURA</t>
  </si>
  <si>
    <t>Kura Oncology Inc. Common Stock</t>
  </si>
  <si>
    <t>LANDO</t>
  </si>
  <si>
    <t>Gladstone Land Corporation 6.00% Series B Cumulative Redeemable Preferred Stock</t>
  </si>
  <si>
    <t>XPOF</t>
  </si>
  <si>
    <t>Xponential Fitness Inc. Class A Common Stock</t>
  </si>
  <si>
    <t>CCAP</t>
  </si>
  <si>
    <t>Crescent Capital BDC Inc. Common stock</t>
  </si>
  <si>
    <t>TRIN</t>
  </si>
  <si>
    <t>Trinity Capital Inc. Common Stock</t>
  </si>
  <si>
    <t>GOTU</t>
  </si>
  <si>
    <t>Gaotu Techedu Inc. American Depositary Shares</t>
  </si>
  <si>
    <t>GGR</t>
  </si>
  <si>
    <t>Gogoro Inc. Ordinary Shares</t>
  </si>
  <si>
    <t>CRAI</t>
  </si>
  <si>
    <t>CRA International Inc. Common Stock</t>
  </si>
  <si>
    <t>PRAA</t>
  </si>
  <si>
    <t>PRA Group Inc. Common Stock</t>
  </si>
  <si>
    <t>BJRI</t>
  </si>
  <si>
    <t>BJ's Restaurants Inc. Common Stock</t>
  </si>
  <si>
    <t>NYAX</t>
  </si>
  <si>
    <t>Nayax Ltd. Ordinary Shares</t>
  </si>
  <si>
    <t>AVO</t>
  </si>
  <si>
    <t>Mission Produce Inc. Common Stock</t>
  </si>
  <si>
    <t>RILYL</t>
  </si>
  <si>
    <t>B. Riley Financial Inc. Depositary Shares each representing 1/1000th in a share of 7.375% Series B Cumulative Perpetual Preferred Stock par value $0.0001</t>
  </si>
  <si>
    <t>EDIT</t>
  </si>
  <si>
    <t>Editas Medicine Inc. Common Stock</t>
  </si>
  <si>
    <t>NFGC</t>
  </si>
  <si>
    <t>New Found Gold Corp Common Shares</t>
  </si>
  <si>
    <t>FCBC</t>
  </si>
  <si>
    <t>First Community Bankshares Inc. (VA) Common Stock</t>
  </si>
  <si>
    <t>PL</t>
  </si>
  <si>
    <t>Planet Labs PBC Class A Common Stock</t>
  </si>
  <si>
    <t>EAF</t>
  </si>
  <si>
    <t>GrafTech International Ltd. Common Stock</t>
  </si>
  <si>
    <t>DMRC</t>
  </si>
  <si>
    <t>Digimarc Corporation Common Stock</t>
  </si>
  <si>
    <t>CENX</t>
  </si>
  <si>
    <t>Century Aluminum Company Common Stock</t>
  </si>
  <si>
    <t>GSL</t>
  </si>
  <si>
    <t>Global Ship Lease Inc New Class A Common Shares</t>
  </si>
  <si>
    <t>NEWTI</t>
  </si>
  <si>
    <t>NewtekOne Inc. 8.00% Fixed Rate Senior Notes due 2028</t>
  </si>
  <si>
    <t>DWACU</t>
  </si>
  <si>
    <t>Digital World Acquisition Corp. Units</t>
  </si>
  <si>
    <t>MYE</t>
  </si>
  <si>
    <t>Myers Industries Inc. Common Stock</t>
  </si>
  <si>
    <t>LQDT</t>
  </si>
  <si>
    <t>Liquidity Services Inc. Common Stock</t>
  </si>
  <si>
    <t>ULH</t>
  </si>
  <si>
    <t>Universal Logistics Holdings Inc. Common Stock</t>
  </si>
  <si>
    <t>ARBK</t>
  </si>
  <si>
    <t>Argo Blockchain plc American Depositary Shares</t>
  </si>
  <si>
    <t>SMRT</t>
  </si>
  <si>
    <t>SmartRent Inc. Class A Common Stock</t>
  </si>
  <si>
    <t>HZO</t>
  </si>
  <si>
    <t>MarineMax Inc.  (FL) Common Stock</t>
  </si>
  <si>
    <t>MarineMax Inc. (FL) Common Stock</t>
  </si>
  <si>
    <t>RDFN</t>
  </si>
  <si>
    <t>Redfin Corporation Common Stock</t>
  </si>
  <si>
    <t>CUBB</t>
  </si>
  <si>
    <t>Customers Bancorp Inc 5.375% Subordinated Notes Due 2034</t>
  </si>
  <si>
    <t>OSBC</t>
  </si>
  <si>
    <t>Old Second Bancorp Inc. Common Stock</t>
  </si>
  <si>
    <t>DX</t>
  </si>
  <si>
    <t>Dynex Capital Inc. Common Stock</t>
  </si>
  <si>
    <t>LXU</t>
  </si>
  <si>
    <t>LSB Industries Inc. Common Stock</t>
  </si>
  <si>
    <t>RPAY</t>
  </si>
  <si>
    <t>Repay Holdings Corporation Class A Common Stock</t>
  </si>
  <si>
    <t>MOV</t>
  </si>
  <si>
    <t>Movado Group Inc. Common Stock</t>
  </si>
  <si>
    <t>LVRO</t>
  </si>
  <si>
    <t>Lavoro Limited Class A Ordinary Shares</t>
  </si>
  <si>
    <t>MERC</t>
  </si>
  <si>
    <t>Mercer International Inc. Common Stock</t>
  </si>
  <si>
    <t>SCVL</t>
  </si>
  <si>
    <t>Shoe Carnival Inc. Common Stock</t>
  </si>
  <si>
    <t>PLOW</t>
  </si>
  <si>
    <t>Douglas Dynamics Inc. Common Stock</t>
  </si>
  <si>
    <t>AMCX</t>
  </si>
  <si>
    <t>AMC Networks Inc. Class A Common Stock</t>
  </si>
  <si>
    <t>DCOMP</t>
  </si>
  <si>
    <t>Dime Community Bancshares Inc. Fixed-Rate Non-Cumulative Perpetual Preferred Stock Series A</t>
  </si>
  <si>
    <t>GMRE</t>
  </si>
  <si>
    <t>Global Medical REIT Inc. Common Stock</t>
  </si>
  <si>
    <t>NEWTL</t>
  </si>
  <si>
    <t>NewtekOne Inc. 5.75% Notes due 2024</t>
  </si>
  <si>
    <t>QNST</t>
  </si>
  <si>
    <t>QuinStreet Inc. Common Stock</t>
  </si>
  <si>
    <t>CNTA</t>
  </si>
  <si>
    <t>Centessa Pharmaceuticals plc American Depositary Shares</t>
  </si>
  <si>
    <t>RILYN</t>
  </si>
  <si>
    <t>B. Riley Financial Inc. 6.50% Senior Notes Due 2026</t>
  </si>
  <si>
    <t>HAYN</t>
  </si>
  <si>
    <t>Haynes International Inc. Common Stock</t>
  </si>
  <si>
    <t>PLPC</t>
  </si>
  <si>
    <t>Preformed Line Products Company Common Stock</t>
  </si>
  <si>
    <t>CION</t>
  </si>
  <si>
    <t>CION Investment Corporation Common Stock</t>
  </si>
  <si>
    <t>BGS</t>
  </si>
  <si>
    <t>B&amp;G Foods Inc. Common Stock</t>
  </si>
  <si>
    <t>ALPN</t>
  </si>
  <si>
    <t>Alpine Immune Sciences Inc. Common Stock</t>
  </si>
  <si>
    <t>VRDN</t>
  </si>
  <si>
    <t>Viridian Therapeutics Inc. Common Stock</t>
  </si>
  <si>
    <t>MAX</t>
  </si>
  <si>
    <t>MediaAlpha Inc. Class A Common Stock</t>
  </si>
  <si>
    <t>GSBC</t>
  </si>
  <si>
    <t>Great Southern Bancorp Inc. Common Stock</t>
  </si>
  <si>
    <t>KIDS</t>
  </si>
  <si>
    <t>OrthoPediatrics Corp. Common Stock</t>
  </si>
  <si>
    <t>MODV</t>
  </si>
  <si>
    <t>ModivCare Inc. Common Stock</t>
  </si>
  <si>
    <t>VMEO</t>
  </si>
  <si>
    <t>Vimeo Inc. Common Stock</t>
  </si>
  <si>
    <t>DCGO</t>
  </si>
  <si>
    <t>DocGo Inc. Common Stock</t>
  </si>
  <si>
    <t>COGT</t>
  </si>
  <si>
    <t>Cogent Biosciences Inc. Common Stock</t>
  </si>
  <si>
    <t>AUTL</t>
  </si>
  <si>
    <t>Autolus Therapeutics plc American Depositary Share</t>
  </si>
  <si>
    <t>AMAL</t>
  </si>
  <si>
    <t>Amalgamated Financial Corp. Common Stock (DE)</t>
  </si>
  <si>
    <t>AGX</t>
  </si>
  <si>
    <t>Argan Inc. Common Stock</t>
  </si>
  <si>
    <t>NR</t>
  </si>
  <si>
    <t>Newpark Resources Inc. Common Stock</t>
  </si>
  <si>
    <t>SSSSL</t>
  </si>
  <si>
    <t>SuRo Capital Corp. 6.00% Notes due 2026</t>
  </si>
  <si>
    <t>NVAX</t>
  </si>
  <si>
    <t>Novavax Inc. Common Stock</t>
  </si>
  <si>
    <t>PSNYW</t>
  </si>
  <si>
    <t>Polestar Automotive Holding UK PLC Class C-1 ADS (ADW)</t>
  </si>
  <si>
    <t>HIBB</t>
  </si>
  <si>
    <t>Hibbett Inc. Common Stock</t>
  </si>
  <si>
    <t>RILYG</t>
  </si>
  <si>
    <t>B. Riley Financial Inc. 5.00% Senior Notes due 2026</t>
  </si>
  <si>
    <t>EFSCP</t>
  </si>
  <si>
    <t>Enterprise Financial Services Corporation Depositary Shares Each Representing a 1/40th Interest in a Share of 5% Fixed Rate Non-Cumulative Perpetual Preferred Stock Series A</t>
  </si>
  <si>
    <t>MGRB</t>
  </si>
  <si>
    <t>Affiliated Managers Group Inc. 4.750% Junior Subordinated Notes due 2060</t>
  </si>
  <si>
    <t>NDMO</t>
  </si>
  <si>
    <t>Nuveen Dynamic Municipal Opportunities Fund Common Shares of Beneficial Interest</t>
  </si>
  <si>
    <t>HCKT</t>
  </si>
  <si>
    <t>Hackett Group Inc (The). Common Stock</t>
  </si>
  <si>
    <t>CHUY</t>
  </si>
  <si>
    <t>Chuy's Holdings Inc. Common Stock</t>
  </si>
  <si>
    <t>KE</t>
  </si>
  <si>
    <t>Kimball Electronics Inc. Common Stock</t>
  </si>
  <si>
    <t>HFWA</t>
  </si>
  <si>
    <t>Heritage Financial Corporation Common Stock</t>
  </si>
  <si>
    <t>HBT</t>
  </si>
  <si>
    <t>HBT Financial Inc. Common Stock</t>
  </si>
  <si>
    <t>CLW</t>
  </si>
  <si>
    <t>Clearwater Paper Corporation Common Stock</t>
  </si>
  <si>
    <t>AOSL</t>
  </si>
  <si>
    <t>Alpha and Omega Semiconductor Limited Common Shares</t>
  </si>
  <si>
    <t>VMO</t>
  </si>
  <si>
    <t>Invesco Municipal Opportunity Trust Common Stock</t>
  </si>
  <si>
    <t>KRUS</t>
  </si>
  <si>
    <t>Kura Sushi USA Inc. Class A Common Stock</t>
  </si>
  <si>
    <t>SSP</t>
  </si>
  <si>
    <t>E.W. Scripps Company (The) Class A Common Stock</t>
  </si>
  <si>
    <t>DBI</t>
  </si>
  <si>
    <t>Designer Brands Inc. Class A Common Stock</t>
  </si>
  <si>
    <t>BLBD</t>
  </si>
  <si>
    <t>Blue Bird Corporation Common Stock</t>
  </si>
  <si>
    <t>PETQ</t>
  </si>
  <si>
    <t>PetIQ Inc. Class A Common Stock</t>
  </si>
  <si>
    <t>ZEUS</t>
  </si>
  <si>
    <t>Olympic Steel Inc. Common Stock</t>
  </si>
  <si>
    <t>IIIN</t>
  </si>
  <si>
    <t>Insteel Industries Inc. Common Stock</t>
  </si>
  <si>
    <t>NEWTZ</t>
  </si>
  <si>
    <t>NewtekOne Inc. 5.50% Notes Due 2026</t>
  </si>
  <si>
    <t>TITN</t>
  </si>
  <si>
    <t>Titan Machinery Inc. Common Stock</t>
  </si>
  <si>
    <t>TXO</t>
  </si>
  <si>
    <t>TXO Partners L.P. Common Units Representing Limited Partner Interests</t>
  </si>
  <si>
    <t>GNK</t>
  </si>
  <si>
    <t>Genco Shipping &amp; Trading Limited Ordinary Shares New (Marshall Islands)</t>
  </si>
  <si>
    <t>ECC</t>
  </si>
  <si>
    <t>Eagle Point Credit Company Inc. Common Stock</t>
  </si>
  <si>
    <t>ATEX</t>
  </si>
  <si>
    <t>Anterix Inc. Common Stock</t>
  </si>
  <si>
    <t>CLSK</t>
  </si>
  <si>
    <t>CleanSpark Inc. Common Stock</t>
  </si>
  <si>
    <t>LC</t>
  </si>
  <si>
    <t>LendingClub Corporation Common Stock</t>
  </si>
  <si>
    <t>AMRK</t>
  </si>
  <si>
    <t>A-Mark Precious Metals Inc. Common Stock</t>
  </si>
  <si>
    <t>TARS</t>
  </si>
  <si>
    <t>Tarsus Pharmaceuticals Inc. Common Stock</t>
  </si>
  <si>
    <t>PGRU</t>
  </si>
  <si>
    <t>PropertyGuru Group Limited Ordinary Shares</t>
  </si>
  <si>
    <t>SNPO</t>
  </si>
  <si>
    <t>Snap One Holdings Corp. Common Stock</t>
  </si>
  <si>
    <t>BCYC</t>
  </si>
  <si>
    <t>Bicycle Therapeutics plc American Depositary Shares</t>
  </si>
  <si>
    <t>AIO</t>
  </si>
  <si>
    <t>Virtus Artificial Intelligence &amp; Technology Opportunities Fund Common Shares of Beneficial Interest</t>
  </si>
  <si>
    <t>DWAC</t>
  </si>
  <si>
    <t>Digital World Acquisition Corp. Class A Common Stock</t>
  </si>
  <si>
    <t>ETNB</t>
  </si>
  <si>
    <t>89bio Inc. Common Stock</t>
  </si>
  <si>
    <t>CYRX</t>
  </si>
  <si>
    <t>CryoPort Inc. Common Stock</t>
  </si>
  <si>
    <t>AMAM</t>
  </si>
  <si>
    <t>Ambrx Biopharma Inc. Common Stock</t>
  </si>
  <si>
    <t>ESTA</t>
  </si>
  <si>
    <t>Establishment Labs Holdings Inc. Common Shares</t>
  </si>
  <si>
    <t>TTI</t>
  </si>
  <si>
    <t>Tetra Technologies Inc. Common Stock</t>
  </si>
  <si>
    <t>DDD</t>
  </si>
  <si>
    <t>3D Systems Corporation Common Stock</t>
  </si>
  <si>
    <t>GEGGL</t>
  </si>
  <si>
    <t>Great Elm Group Inc.  7.25% Notes due 2027</t>
  </si>
  <si>
    <t>KAMN</t>
  </si>
  <si>
    <t>Kaman Corporation Common Stock</t>
  </si>
  <si>
    <t>WEAV</t>
  </si>
  <si>
    <t>Weave Communications Inc. Common Stock</t>
  </si>
  <si>
    <t>PRTC</t>
  </si>
  <si>
    <t>PureTech Health plc American Depositary Shares</t>
  </si>
  <si>
    <t>TRDA</t>
  </si>
  <si>
    <t>Entrada Therapeutics Inc. Common Stock</t>
  </si>
  <si>
    <t>NPK</t>
  </si>
  <si>
    <t>National Presto Industries Inc. Common Stock</t>
  </si>
  <si>
    <t>WW</t>
  </si>
  <si>
    <t>WW International Inc. Common Stock</t>
  </si>
  <si>
    <t>RILYP</t>
  </si>
  <si>
    <t>B. Riley Financial Inc. Depositary Shares each representing a 1/1000th fractional interest in a share of Series A Cumulative Perpetual Preferred Stock</t>
  </si>
  <si>
    <t>PCT</t>
  </si>
  <si>
    <t>PureCycle Technologies Inc. Common stock</t>
  </si>
  <si>
    <t>NIE</t>
  </si>
  <si>
    <t>Virtus Equity &amp; Convertible Income Fund Common Shares of Beneficial Interest</t>
  </si>
  <si>
    <t>ATRI</t>
  </si>
  <si>
    <t>Atrion Corporation Common Stock</t>
  </si>
  <si>
    <t>FDUS</t>
  </si>
  <si>
    <t>Fidus Investment Corporation Common Stock</t>
  </si>
  <si>
    <t>WTI</t>
  </si>
  <si>
    <t>W&amp;T Offshore Inc. Common Stock</t>
  </si>
  <si>
    <t>VNET</t>
  </si>
  <si>
    <t>VNET Group Inc. American Depositary Shares</t>
  </si>
  <si>
    <t>EBF</t>
  </si>
  <si>
    <t>Ennis Inc. Common Stock</t>
  </si>
  <si>
    <t>RILYT</t>
  </si>
  <si>
    <t>B. Riley Financial Inc. 6.00% Senior Notes Due 2028</t>
  </si>
  <si>
    <t>MGRD</t>
  </si>
  <si>
    <t>Affiliated Managers Group Inc. 4.200% Junior Subordinated Notes due 2061</t>
  </si>
  <si>
    <t>AORT</t>
  </si>
  <si>
    <t>Artivion Inc. Common Stock</t>
  </si>
  <si>
    <t>EFXT</t>
  </si>
  <si>
    <t>Enerflex Ltd Common Shares</t>
  </si>
  <si>
    <t>KIND</t>
  </si>
  <si>
    <t>Nextdoor Holdings Inc. Class A Common Stock</t>
  </si>
  <si>
    <t>HDSN</t>
  </si>
  <si>
    <t>Hudson Technologies Inc. Common Stock</t>
  </si>
  <si>
    <t>CFB</t>
  </si>
  <si>
    <t>CrossFirst Bankshares Inc. Common Stock</t>
  </si>
  <si>
    <t>LWLG</t>
  </si>
  <si>
    <t>Lightwave Logic Inc. Common Stock</t>
  </si>
  <si>
    <t>GPRK</t>
  </si>
  <si>
    <t>Geopark Ltd Common Shares</t>
  </si>
  <si>
    <t>CNDT</t>
  </si>
  <si>
    <t>Conduent Incorporated Common Stock</t>
  </si>
  <si>
    <t>NVRO</t>
  </si>
  <si>
    <t>Nevro Corp. Common Stock</t>
  </si>
  <si>
    <t>TILE</t>
  </si>
  <si>
    <t>Interface Inc. Common Stock</t>
  </si>
  <si>
    <t>LEGH</t>
  </si>
  <si>
    <t>Legacy Housing Corporation Common Stock (TX)</t>
  </si>
  <si>
    <t>MBWM</t>
  </si>
  <si>
    <t>Mercantile Bank Corporation Common Stock</t>
  </si>
  <si>
    <t>ASC</t>
  </si>
  <si>
    <t>Ardmore Shipping Corporation Common Stock</t>
  </si>
  <si>
    <t>UHT</t>
  </si>
  <si>
    <t>Universal Health Realty Income Trust Common Stock</t>
  </si>
  <si>
    <t>EVLV</t>
  </si>
  <si>
    <t>Evolv Technologies Holdings Inc. Class A Common Stock</t>
  </si>
  <si>
    <t>VTEX Class A Common Shares</t>
  </si>
  <si>
    <t>FRPH</t>
  </si>
  <si>
    <t>FRP Holdings Inc. Common Stock</t>
  </si>
  <si>
    <t>DXPE</t>
  </si>
  <si>
    <t>DXP Enterprises Inc. Common Stock</t>
  </si>
  <si>
    <t>ACCD</t>
  </si>
  <si>
    <t>Accolade Inc. Common Stock</t>
  </si>
  <si>
    <t>VERA</t>
  </si>
  <si>
    <t>Vera Therapeutics Inc. Class A Common Stock</t>
  </si>
  <si>
    <t>BRY</t>
  </si>
  <si>
    <t>Berry Corporation (bry) Common Stock</t>
  </si>
  <si>
    <t>IGIC</t>
  </si>
  <si>
    <t>International General Insurance Holdings Ltd. Ordinary Share</t>
  </si>
  <si>
    <t>ARCE</t>
  </si>
  <si>
    <t>Arco Platform Limited Class A Common Shares</t>
  </si>
  <si>
    <t>REPX</t>
  </si>
  <si>
    <t>Riley Exploration Permian Inc. Common Stock</t>
  </si>
  <si>
    <t>DAO</t>
  </si>
  <si>
    <t>Youdao Inc. American Depositary Shares each representing one Class A Ordinary Share</t>
  </si>
  <si>
    <t>CASS</t>
  </si>
  <si>
    <t>Cass Information Systems Inc Common Stock</t>
  </si>
  <si>
    <t>DYN</t>
  </si>
  <si>
    <t>Dyne Therapeutics Inc. Common Stock</t>
  </si>
  <si>
    <t>TBPH</t>
  </si>
  <si>
    <t>Theravance Biopharma Inc. Ordinary Shares</t>
  </si>
  <si>
    <t>FPI</t>
  </si>
  <si>
    <t>Farmland Partners Inc. Common Stock</t>
  </si>
  <si>
    <t>CWCO</t>
  </si>
  <si>
    <t>Consolidated Water Co. Ltd. Ordinary Shares</t>
  </si>
  <si>
    <t>ELVN</t>
  </si>
  <si>
    <t>Enliven Therapeutics Inc. Common Stock</t>
  </si>
  <si>
    <t>SD</t>
  </si>
  <si>
    <t>SandRidge Energy Inc. Common Stock</t>
  </si>
  <si>
    <t>FLWS</t>
  </si>
  <si>
    <t>1-800-FLOWERS.COM Inc. Common Stock</t>
  </si>
  <si>
    <t>FTCH</t>
  </si>
  <si>
    <t>Farfetch Limited Class A Ordinary Shares</t>
  </si>
  <si>
    <t>RWAY</t>
  </si>
  <si>
    <t>Runway Growth Finance Corp. Common Stock</t>
  </si>
  <si>
    <t>BROG</t>
  </si>
  <si>
    <t>Brooge Energy Limited Ordinary Shares</t>
  </si>
  <si>
    <t>RVNC</t>
  </si>
  <si>
    <t>Revance Therapeutics Inc. Common Stock</t>
  </si>
  <si>
    <t>CVLG</t>
  </si>
  <si>
    <t>Covenant Logistics Group Inc. Class A Common Stock</t>
  </si>
  <si>
    <t>YORW</t>
  </si>
  <si>
    <t>York Water Company (The) Common Stock</t>
  </si>
  <si>
    <t>NOA</t>
  </si>
  <si>
    <t>North American Construction Group Ltd. Common Shares (no par)</t>
  </si>
  <si>
    <t>PRM</t>
  </si>
  <si>
    <t>Perimeter Solutions SA Ordinary Shares</t>
  </si>
  <si>
    <t>NGL</t>
  </si>
  <si>
    <t>NGL ENERGY PARTNERS LP Common Units representing Limited Partner Interests</t>
  </si>
  <si>
    <t>RICK</t>
  </si>
  <si>
    <t>RCI Hospitality Holdings Inc. Common Stock</t>
  </si>
  <si>
    <t>FOF</t>
  </si>
  <si>
    <t>Cohen &amp; Steers Closed-End Opportunity Fund Inc. Common Stock</t>
  </si>
  <si>
    <t>RFI</t>
  </si>
  <si>
    <t>Cohen &amp; Steers Total Return Realty Fund Inc. Common Stock</t>
  </si>
  <si>
    <t>WVE</t>
  </si>
  <si>
    <t>Wave Life Sciences Ltd. Ordinary Shares</t>
  </si>
  <si>
    <t>UVSP</t>
  </si>
  <si>
    <t>Univest Financial Corporation Common Stock</t>
  </si>
  <si>
    <t>HLVX</t>
  </si>
  <si>
    <t>HilleVax Inc. Common Stock</t>
  </si>
  <si>
    <t>ACRE</t>
  </si>
  <si>
    <t>Ares Commercial Real Estate Corporation Common Stock</t>
  </si>
  <si>
    <t>BFST</t>
  </si>
  <si>
    <t>Business First Bancshares Inc. Common Stock</t>
  </si>
  <si>
    <t>HSII</t>
  </si>
  <si>
    <t>Heidrick &amp; Struggles International Inc. Common Stock</t>
  </si>
  <si>
    <t>EU</t>
  </si>
  <si>
    <t>enCore Energy Corp. Common Shares</t>
  </si>
  <si>
    <t>NMCO</t>
  </si>
  <si>
    <t>Nuveen Municipal Credit Opportunities Fund Common Shares</t>
  </si>
  <si>
    <t>TRMR</t>
  </si>
  <si>
    <t>Tremor International Ltd. American Depository Shares</t>
  </si>
  <si>
    <t>SCWX</t>
  </si>
  <si>
    <t>SecureWorks Corp. Class A Common Stock</t>
  </si>
  <si>
    <t>WSR</t>
  </si>
  <si>
    <t>Whitestone REIT Common Shares</t>
  </si>
  <si>
    <t>SDA</t>
  </si>
  <si>
    <t>SunCar Technology Group Inc. Class A Ordinary Shares</t>
  </si>
  <si>
    <t>ARIS</t>
  </si>
  <si>
    <t>Aris Water Solutions Inc. Class A Common Stock</t>
  </si>
  <si>
    <t>MCBS</t>
  </si>
  <si>
    <t>MetroCity Bankshares Inc. Common Stock</t>
  </si>
  <si>
    <t>ZYME</t>
  </si>
  <si>
    <t>Zymeworks Inc. Common Stock</t>
  </si>
  <si>
    <t>IIM</t>
  </si>
  <si>
    <t>Invesco Value Municipal Income Trust Common Stock</t>
  </si>
  <si>
    <t>STKL</t>
  </si>
  <si>
    <t>SunOpta Inc. Common Stock</t>
  </si>
  <si>
    <t>ARCT</t>
  </si>
  <si>
    <t>Arcturus Therapeutics Holdings Inc. Common Stock</t>
  </si>
  <si>
    <t>CCB</t>
  </si>
  <si>
    <t>Coastal Financial Corporation Common Stock</t>
  </si>
  <si>
    <t>HTBK</t>
  </si>
  <si>
    <t>Heritage Commerce Corp Common Stock</t>
  </si>
  <si>
    <t>ADPT</t>
  </si>
  <si>
    <t>Adaptive Biotechnologies Corporation Common Stock</t>
  </si>
  <si>
    <t>JOUT</t>
  </si>
  <si>
    <t>Johnson Outdoors Inc. Class A Common Stock</t>
  </si>
  <si>
    <t>PKST</t>
  </si>
  <si>
    <t>Peakstone Realty Trust Common Shares</t>
  </si>
  <si>
    <t>IRS</t>
  </si>
  <si>
    <t>IRSA Inversiones Y Representaciones S.A. Global Depositary Shares (Each representing ten shares of Common Stock)</t>
  </si>
  <si>
    <t>NN</t>
  </si>
  <si>
    <t>NextNav Inc. Common Stock</t>
  </si>
  <si>
    <t>TYRA</t>
  </si>
  <si>
    <t>Tyra Biosciences Inc. Common Stock</t>
  </si>
  <si>
    <t>SRG</t>
  </si>
  <si>
    <t>Seritage Growth Properties Class A Common Stock</t>
  </si>
  <si>
    <t>CALT</t>
  </si>
  <si>
    <t>Calliditas Therapeutics AB American Depositary Shares</t>
  </si>
  <si>
    <t>TRST</t>
  </si>
  <si>
    <t>TrustCo Bank Corp NY Common Stock</t>
  </si>
  <si>
    <t>HOV</t>
  </si>
  <si>
    <t>Hovnanian Enterprises Inc. Class A Common Stock</t>
  </si>
  <si>
    <t>HOUS</t>
  </si>
  <si>
    <t>Anywhere Real Estate Inc. Common Stock</t>
  </si>
  <si>
    <t>AEF</t>
  </si>
  <si>
    <t>abrdn Emerging Markets Equity Income Fund Inc. Common Stock</t>
  </si>
  <si>
    <t>LND</t>
  </si>
  <si>
    <t>Brasilagro Brazilian Agric Real Estate Co Sponsored ADR (Brazil)</t>
  </si>
  <si>
    <t>Kazakhstan</t>
  </si>
  <si>
    <t>VITL</t>
  </si>
  <si>
    <t>Vital Farms Inc. Common Stock</t>
  </si>
  <si>
    <t>FC</t>
  </si>
  <si>
    <t>Franklin Covey Company Common Stock</t>
  </si>
  <si>
    <t>IRMD</t>
  </si>
  <si>
    <t>iRadimed Corporation Common Stock</t>
  </si>
  <si>
    <t>APLD</t>
  </si>
  <si>
    <t>Applied Digital Corporation Common Stock</t>
  </si>
  <si>
    <t>MSBIP</t>
  </si>
  <si>
    <t>Midland States Bancorp Inc. Depositary Shares Each Representing a 1/40th Interest in a Share of 7.750% Fixed-Rate Reset Non-Cumulative Perpetual Preferred Stock Series A</t>
  </si>
  <si>
    <t>DHC</t>
  </si>
  <si>
    <t>Diversified Healthcare Trust Common Shares of Beneficial Interest</t>
  </si>
  <si>
    <t>UFCS</t>
  </si>
  <si>
    <t>United Fire Group Inc. Common Stock</t>
  </si>
  <si>
    <t>LAND</t>
  </si>
  <si>
    <t>Gladstone Land Corporation Common Stock</t>
  </si>
  <si>
    <t>MTW</t>
  </si>
  <si>
    <t>Manitowoc Company Inc. (The) Common Stock</t>
  </si>
  <si>
    <t>BME</t>
  </si>
  <si>
    <t>ITRN</t>
  </si>
  <si>
    <t>Ituran Location and Control Ltd. Ordinary Shares</t>
  </si>
  <si>
    <t>OABI</t>
  </si>
  <si>
    <t>OmniAb Inc. Common Stock</t>
  </si>
  <si>
    <t>RILYZ</t>
  </si>
  <si>
    <t>B. Riley Financial Inc. 5.25% Senior Notes due 2028</t>
  </si>
  <si>
    <t>ATNI</t>
  </si>
  <si>
    <t>ATN International Inc. Common Stock</t>
  </si>
  <si>
    <t>PLL</t>
  </si>
  <si>
    <t>Piedmont Lithium Inc. Common Stock</t>
  </si>
  <si>
    <t>GAIN</t>
  </si>
  <si>
    <t>Gladstone Investment Corporation Business Development Company</t>
  </si>
  <si>
    <t>CNSL</t>
  </si>
  <si>
    <t>Consolidated Communications Holdings Inc. Common Stock</t>
  </si>
  <si>
    <t>ISPR</t>
  </si>
  <si>
    <t>Ispire Technology Inc. Common Stock</t>
  </si>
  <si>
    <t>CCBG</t>
  </si>
  <si>
    <t>Capital City Bank Group Common Stock</t>
  </si>
  <si>
    <t>LASR</t>
  </si>
  <si>
    <t>nLIGHT Inc. Common Stock</t>
  </si>
  <si>
    <t>VGM</t>
  </si>
  <si>
    <t>Invesco Trust for Investment Grade Municipals Common Stock (DE)</t>
  </si>
  <si>
    <t>MSBI</t>
  </si>
  <si>
    <t>Midland States Bancorp Inc. Common Stock</t>
  </si>
  <si>
    <t>VKQ</t>
  </si>
  <si>
    <t>Invesco Municipal Trust Common Stock</t>
  </si>
  <si>
    <t>FTHY</t>
  </si>
  <si>
    <t>First Trust High Yield Opportunities 2027 Term Fund Common Stock</t>
  </si>
  <si>
    <t>BWMX</t>
  </si>
  <si>
    <t>Betterware de Mexico S.A.P.I. de C.V. Ordinary Shares</t>
  </si>
  <si>
    <t>APPS</t>
  </si>
  <si>
    <t>Digital Turbine Inc. Common Stock</t>
  </si>
  <si>
    <t>MITK</t>
  </si>
  <si>
    <t>Mitek Systems Inc. Common Stock</t>
  </si>
  <si>
    <t>HUT</t>
  </si>
  <si>
    <t>Hut 8 Mining Corp. Common Shares</t>
  </si>
  <si>
    <t>DGICA</t>
  </si>
  <si>
    <t>Donegal Group Inc. Class A Common Stock</t>
  </si>
  <si>
    <t>SMR</t>
  </si>
  <si>
    <t>NuScale Power Corporation Class A Common Stock</t>
  </si>
  <si>
    <t>ATRO</t>
  </si>
  <si>
    <t>Astronics Corporation Common Stock</t>
  </si>
  <si>
    <t>SKIN</t>
  </si>
  <si>
    <t>The Beauty Health Company Class A Common Stock</t>
  </si>
  <si>
    <t>GOOD</t>
  </si>
  <si>
    <t>Gladstone Commercial Corporation Real Estate Investment Trust</t>
  </si>
  <si>
    <t>SMBC</t>
  </si>
  <si>
    <t>Southern Missouri Bancorp Inc. Common Stock</t>
  </si>
  <si>
    <t>MCS</t>
  </si>
  <si>
    <t>Marcus Corporation (The) Common Stock</t>
  </si>
  <si>
    <t>NAAS</t>
  </si>
  <si>
    <t>NaaS Technology Inc. American Depositary Shares</t>
  </si>
  <si>
    <t>GAMB</t>
  </si>
  <si>
    <t>Gambling.com Group Limited Ordinary Shares</t>
  </si>
  <si>
    <t>BLFS</t>
  </si>
  <si>
    <t>BioLife Solutions Inc. Common Stock</t>
  </si>
  <si>
    <t>UVE</t>
  </si>
  <si>
    <t>UNIVERSAL INSURANCE HOLDINGS INC Common Stock</t>
  </si>
  <si>
    <t>OSUR</t>
  </si>
  <si>
    <t>OraSure Technologies Inc. Common Stock</t>
  </si>
  <si>
    <t>CRMT</t>
  </si>
  <si>
    <t>America's Car-Mart Inc Common Stock</t>
  </si>
  <si>
    <t>HAFC</t>
  </si>
  <si>
    <t>Hanmi Financial Corporation Common Stock</t>
  </si>
  <si>
    <t>VEL</t>
  </si>
  <si>
    <t>Velocity Financial Inc. Common Stock</t>
  </si>
  <si>
    <t>DAKT</t>
  </si>
  <si>
    <t>Daktronics Inc. Common Stock</t>
  </si>
  <si>
    <t>HVT</t>
  </si>
  <si>
    <t>Haverty Furniture Companies Inc. Common Stock</t>
  </si>
  <si>
    <t>AVXL</t>
  </si>
  <si>
    <t>Anavex Life Sciences Corp. Common Stock</t>
  </si>
  <si>
    <t>CEVA</t>
  </si>
  <si>
    <t>CEVA Inc. Common Stock</t>
  </si>
  <si>
    <t>CCNEP</t>
  </si>
  <si>
    <t>CNB Financial Corporation Depositary Shares each representing a 1/40th ownership interest in a share of 7.125% Series A Fixed-Rate Non-Cumulative Perpetual Preferred Stock</t>
  </si>
  <si>
    <t>HONE</t>
  </si>
  <si>
    <t>HarborOne Bancorp Inc. Common Stock</t>
  </si>
  <si>
    <t>DDL</t>
  </si>
  <si>
    <t>Dingdong (Cayman) Limited American Depositary Shares (each two representing three Ordinary Shares)</t>
  </si>
  <si>
    <t>SKYH</t>
  </si>
  <si>
    <t>Sky Harbour Group Corporation Class A Common Stock</t>
  </si>
  <si>
    <t>CAC</t>
  </si>
  <si>
    <t>Camden National Corporation Common Stock</t>
  </si>
  <si>
    <t>SVRA</t>
  </si>
  <si>
    <t>Savara Inc. Common Stock</t>
  </si>
  <si>
    <t>DDI</t>
  </si>
  <si>
    <t>DoubleDown Interactive Co. Ltd. American Depository Shares</t>
  </si>
  <si>
    <t>EDN</t>
  </si>
  <si>
    <t>Empresa Distribuidora Y Comercializadora Norte S.A. (Edenor) American Depositary Shares</t>
  </si>
  <si>
    <t>TBLD</t>
  </si>
  <si>
    <t>Thornburg Income Builder Opportunities Trust Common Stock</t>
  </si>
  <si>
    <t>SFL</t>
  </si>
  <si>
    <t>GBLI</t>
  </si>
  <si>
    <t>Global Indemnity Group LLC Class A Common Stock (DE)</t>
  </si>
  <si>
    <t>KRNY</t>
  </si>
  <si>
    <t>Kearny Financial Corp Common Stock</t>
  </si>
  <si>
    <t>EHAB</t>
  </si>
  <si>
    <t>Enhabit Inc. Common Stock</t>
  </si>
  <si>
    <t>NVRI</t>
  </si>
  <si>
    <t>Enviri Corporation Common Stock</t>
  </si>
  <si>
    <t>FDMT</t>
  </si>
  <si>
    <t>4D Molecular Therapeutics Inc. Common Stock</t>
  </si>
  <si>
    <t>CTLP</t>
  </si>
  <si>
    <t>Cantaloupe Inc. Common Stock</t>
  </si>
  <si>
    <t>DENN</t>
  </si>
  <si>
    <t>Denny's Corporation Common Stock</t>
  </si>
  <si>
    <t>CLDT</t>
  </si>
  <si>
    <t>Chatham Lodging Trust (REIT) Common Shares of Beneficial Interest</t>
  </si>
  <si>
    <t>FCEL</t>
  </si>
  <si>
    <t>FuelCell Energy Inc. Common Stock</t>
  </si>
  <si>
    <t>New Zealand</t>
  </si>
  <si>
    <t>GPRO</t>
  </si>
  <si>
    <t>GoPro Inc. Class A Common Stock</t>
  </si>
  <si>
    <t>BLW</t>
  </si>
  <si>
    <t>Blackrock Limited Duration Income Trust</t>
  </si>
  <si>
    <t>CSTL</t>
  </si>
  <si>
    <t>Castle Biosciences Inc. Common Stock</t>
  </si>
  <si>
    <t>RGP</t>
  </si>
  <si>
    <t>Resources Connection Inc. Common Stock</t>
  </si>
  <si>
    <t>IQI</t>
  </si>
  <si>
    <t>Invesco Quality Municipal Income Trust Common Stock</t>
  </si>
  <si>
    <t>DHIL</t>
  </si>
  <si>
    <t>Diamond Hill Investment Group Inc. Class A Common Stock</t>
  </si>
  <si>
    <t>SLGC</t>
  </si>
  <si>
    <t>SomaLogic Inc. Class A Common Stock</t>
  </si>
  <si>
    <t>FORR</t>
  </si>
  <si>
    <t>Forrester Research Inc. Common Stock</t>
  </si>
  <si>
    <t>DESP</t>
  </si>
  <si>
    <t>Despegar.com Corp. Ordinary Shares</t>
  </si>
  <si>
    <t>HEPS</t>
  </si>
  <si>
    <t>D-Market Electronic Services &amp; Trading American Depositary Shares</t>
  </si>
  <si>
    <t>RNW</t>
  </si>
  <si>
    <t>ReNew Energy Global plc Class A Ordinary Shares</t>
  </si>
  <si>
    <t>RUMBW</t>
  </si>
  <si>
    <t>Rumble Inc. Warrant</t>
  </si>
  <si>
    <t>BALY</t>
  </si>
  <si>
    <t>Bally's Corporation Common Stock</t>
  </si>
  <si>
    <t>MLAB</t>
  </si>
  <si>
    <t>Mesa Laboratories Inc. Common Stock</t>
  </si>
  <si>
    <t>NBN</t>
  </si>
  <si>
    <t>Northeast Bank Common Stock</t>
  </si>
  <si>
    <t>EOLS</t>
  </si>
  <si>
    <t>Evolus Inc. Common Stock</t>
  </si>
  <si>
    <t>YSG</t>
  </si>
  <si>
    <t>Yatsen Holding Limited American Depositary Shares each representing four Class A ordinary shares</t>
  </si>
  <si>
    <t>OIS</t>
  </si>
  <si>
    <t>Oil States International Inc. Common Stock</t>
  </si>
  <si>
    <t>ACCO</t>
  </si>
  <si>
    <t>Acco Brands Corporation Common Stock</t>
  </si>
  <si>
    <t>LDI</t>
  </si>
  <si>
    <t>loanDepot Inc. Class A Common Stock</t>
  </si>
  <si>
    <t>CPF</t>
  </si>
  <si>
    <t>Central Pacific Financial Corp New</t>
  </si>
  <si>
    <t>EZPW</t>
  </si>
  <si>
    <t>EZCORP Inc. Class A Non Voting Common Stock</t>
  </si>
  <si>
    <t>SLI</t>
  </si>
  <si>
    <t>Standard Lithium Ltd. Common Shares</t>
  </si>
  <si>
    <t>MLR</t>
  </si>
  <si>
    <t>Miller Industries Inc. Common Stock</t>
  </si>
  <si>
    <t>CRESY</t>
  </si>
  <si>
    <t>Cresud S.A.C.I.F. y A. American Depositary Shares</t>
  </si>
  <si>
    <t>HROW</t>
  </si>
  <si>
    <t>Harrow Inc. Common Stock</t>
  </si>
  <si>
    <t>GHG</t>
  </si>
  <si>
    <t>GreenTree Hospitality Group Ltd. American depositary shares each representing one Class A ordinary share</t>
  </si>
  <si>
    <t>BOC</t>
  </si>
  <si>
    <t>Boston Omaha Corporation Class A Common Stock</t>
  </si>
  <si>
    <t>FMNB</t>
  </si>
  <si>
    <t>Farmers National Banc Corp. Common Stock</t>
  </si>
  <si>
    <t>HLLY</t>
  </si>
  <si>
    <t>Holley Inc. Common Stock</t>
  </si>
  <si>
    <t>TFINP</t>
  </si>
  <si>
    <t>Triumph Financial Inc. Depositary Shares Each Representing a 1/40th Interest in a Share of 7.125% Series C Fixed-Rate Non-Cumulative Perpetual Preferred Stock</t>
  </si>
  <si>
    <t>ATLC</t>
  </si>
  <si>
    <t>Atlanticus Holdings Corporation Common Stock</t>
  </si>
  <si>
    <t>BYND</t>
  </si>
  <si>
    <t>Beyond Meat Inc. Common Stock</t>
  </si>
  <si>
    <t>BWMN</t>
  </si>
  <si>
    <t>Bowman Consulting Group Ltd. Common Stock</t>
  </si>
  <si>
    <t>SRDX</t>
  </si>
  <si>
    <t>Surmodics Inc. Common Stock</t>
  </si>
  <si>
    <t>BTDR</t>
  </si>
  <si>
    <t>Bitdeer Technologies Group Class A Ordinary Shares</t>
  </si>
  <si>
    <t>STEM</t>
  </si>
  <si>
    <t>Stem Inc. Class A Common Stock</t>
  </si>
  <si>
    <t>SRI</t>
  </si>
  <si>
    <t>Stoneridge Inc. Common Stock</t>
  </si>
  <si>
    <t>Guernsey</t>
  </si>
  <si>
    <t>SENEB</t>
  </si>
  <si>
    <t>Seneca Foods Corp. Class B Common Stock</t>
  </si>
  <si>
    <t>CLOV</t>
  </si>
  <si>
    <t>Clover Health Investments Corp. Class A Common Stock</t>
  </si>
  <si>
    <t>SOHOO</t>
  </si>
  <si>
    <t>Sotherly Hotels Inc. 7.875% Series C Cumulative Redeemable Perpetual Preferred Stock</t>
  </si>
  <si>
    <t>ALVOW</t>
  </si>
  <si>
    <t>Alvotech Warrant</t>
  </si>
  <si>
    <t>MVST</t>
  </si>
  <si>
    <t>Microvast Holdings Inc. Common Stock</t>
  </si>
  <si>
    <t>SOHOB</t>
  </si>
  <si>
    <t>Sotherly Hotels Inc. 8.0% Series B Cumulative Redeemable Perpetual Preferred Stock</t>
  </si>
  <si>
    <t>CPAC</t>
  </si>
  <si>
    <t>Cementos Pacasmayo S.A.A. American Depositary Shares (Each representing five Common Shares)</t>
  </si>
  <si>
    <t>LIAN</t>
  </si>
  <si>
    <t>LianBio American Depositary Shares</t>
  </si>
  <si>
    <t>BWBBP</t>
  </si>
  <si>
    <t>Bridgewater Bancshares Inc. Depositary Shares Each Representing a 1/100th Interest in a Share of 5.875% Non-Cumulative Perpetual Preferred Stock Series A</t>
  </si>
  <si>
    <t>HBNC</t>
  </si>
  <si>
    <t>Horizon Bancorp Inc. Common Stock</t>
  </si>
  <si>
    <t>PGC</t>
  </si>
  <si>
    <t>CATC</t>
  </si>
  <si>
    <t>Cambridge Bancorp Common Stock</t>
  </si>
  <si>
    <t>PNNT</t>
  </si>
  <si>
    <t>PennantPark Investment Corporation Common Stock</t>
  </si>
  <si>
    <t>CVGW</t>
  </si>
  <si>
    <t>Calavo Growers Inc. Common Stock</t>
  </si>
  <si>
    <t>WDH</t>
  </si>
  <si>
    <t>Waterdrop Inc. American Depositary Shares (each representing the right to receive 10 Class A Ordinary Shares)</t>
  </si>
  <si>
    <t>DGICB</t>
  </si>
  <si>
    <t>Donegal Group Inc. Class B Common Stock</t>
  </si>
  <si>
    <t>SOUN</t>
  </si>
  <si>
    <t>SoundHound AI Inc Class A Common Stock</t>
  </si>
  <si>
    <t>GRVY</t>
  </si>
  <si>
    <t>GRAVITY Co. Ltd. American Depository Shares</t>
  </si>
  <si>
    <t>ABL</t>
  </si>
  <si>
    <t>Abacus Life Inc. Class A Common Stock</t>
  </si>
  <si>
    <t>SOHON</t>
  </si>
  <si>
    <t>Sotherly Hotels Inc. 8.25% Series D Cumulative Redeemable Perpetual Preferred Stock</t>
  </si>
  <si>
    <t>TRTX</t>
  </si>
  <si>
    <t>TPG RE Finance Trust Inc. Common Stock</t>
  </si>
  <si>
    <t>NRDY</t>
  </si>
  <si>
    <t>Nerdy Inc. Class A Common Stock</t>
  </si>
  <si>
    <t>ADTN</t>
  </si>
  <si>
    <t>ADTRAN Holdings Inc. Common Stock</t>
  </si>
  <si>
    <t>GHRS</t>
  </si>
  <si>
    <t>GH Research PLC Ordinary Shares</t>
  </si>
  <si>
    <t>PHAT</t>
  </si>
  <si>
    <t>Phathom Pharmaceuticals Inc. Common Stock</t>
  </si>
  <si>
    <t>TPTA</t>
  </si>
  <si>
    <t>Terra Property Trust Inc. 6.00% Notes due 2026</t>
  </si>
  <si>
    <t>SPFI</t>
  </si>
  <si>
    <t>South Plains Financial Inc. Common Stock</t>
  </si>
  <si>
    <t>DDT</t>
  </si>
  <si>
    <t>Dillard's Capital Trust I</t>
  </si>
  <si>
    <t>AMNB</t>
  </si>
  <si>
    <t>American National Bankshares Inc. Common Stock</t>
  </si>
  <si>
    <t>LBC</t>
  </si>
  <si>
    <t>Luther Burbank Corporation Common Stock</t>
  </si>
  <si>
    <t>MGIC</t>
  </si>
  <si>
    <t>Magic Software Enterprises Ltd. Ordinary Shares</t>
  </si>
  <si>
    <t>CLOE</t>
  </si>
  <si>
    <t>Clover Leaf Capital Corp. Class A Common Stock</t>
  </si>
  <si>
    <t>EGY</t>
  </si>
  <si>
    <t>VAALCO Energy Inc.  Common Stock</t>
  </si>
  <si>
    <t>VAALCO Energy Inc. Common Stock</t>
  </si>
  <si>
    <t>PIII</t>
  </si>
  <si>
    <t>P3 Health Partners Inc. Class A Common Stock</t>
  </si>
  <si>
    <t>GLDD</t>
  </si>
  <si>
    <t>Great Lakes Dredge &amp; Dock Corporation Common Stock</t>
  </si>
  <si>
    <t>TRC</t>
  </si>
  <si>
    <t>Tejon Ranch Co Common Stock</t>
  </si>
  <si>
    <t>LANV</t>
  </si>
  <si>
    <t>Lanvin Group Holdings Limited Ordinary Shares</t>
  </si>
  <si>
    <t>VCV</t>
  </si>
  <si>
    <t>Invesco California Value Municipal Income Trust Common Stock</t>
  </si>
  <si>
    <t>ALLO</t>
  </si>
  <si>
    <t>Allogene Therapeutics Inc. Common Stock</t>
  </si>
  <si>
    <t>VALU</t>
  </si>
  <si>
    <t>Value Line Inc. Common Stock</t>
  </si>
  <si>
    <t>THFF</t>
  </si>
  <si>
    <t>First Financial Corporation Indiana Common Stock</t>
  </si>
  <si>
    <t>ALNT</t>
  </si>
  <si>
    <t>Allient Inc. Common Stock</t>
  </si>
  <si>
    <t>ODC</t>
  </si>
  <si>
    <t>Oil-Dri Corporation Of America Common Stock</t>
  </si>
  <si>
    <t>TVTX</t>
  </si>
  <si>
    <t>Travere Therapeutics Inc. Common Stock</t>
  </si>
  <si>
    <t>ARTNA</t>
  </si>
  <si>
    <t>Artesian Resources Corporation Class A Common Stock</t>
  </si>
  <si>
    <t>GCBC</t>
  </si>
  <si>
    <t>Greene County Bancorp Inc. Common Stock</t>
  </si>
  <si>
    <t>SGU</t>
  </si>
  <si>
    <t>Star Group L.P. Common Stock</t>
  </si>
  <si>
    <t>LYEL</t>
  </si>
  <si>
    <t>Lyell Immunopharma Inc. Common Stock</t>
  </si>
  <si>
    <t>CCNE</t>
  </si>
  <si>
    <t>CNB Financial Corporation Common Stock</t>
  </si>
  <si>
    <t>WASH</t>
  </si>
  <si>
    <t>Washington Trust Bancorp Inc. Common Stock</t>
  </si>
  <si>
    <t>URG</t>
  </si>
  <si>
    <t>Ur Energy Inc Common Shares (Canada)</t>
  </si>
  <si>
    <t>VINP</t>
  </si>
  <si>
    <t>Vinci Partners Investments Ltd. Class A Common Shares</t>
  </si>
  <si>
    <t>TAST</t>
  </si>
  <si>
    <t>Carrols Restaurant Group Inc. Common Stock</t>
  </si>
  <si>
    <t>EGLE</t>
  </si>
  <si>
    <t>Eagle Bulk Shipping Inc. Common Stock</t>
  </si>
  <si>
    <t>CCSI</t>
  </si>
  <si>
    <t>Consensus Cloud Solutions Inc. Common Stock</t>
  </si>
  <si>
    <t>GUT</t>
  </si>
  <si>
    <t>Gabelli Utility Trust (The) Common Stock</t>
  </si>
  <si>
    <t>NFBK</t>
  </si>
  <si>
    <t>Northfield Bancorp Inc. Common Stock (Delaware)</t>
  </si>
  <si>
    <t>TBI</t>
  </si>
  <si>
    <t>TrueBlue Inc. Common Stock</t>
  </si>
  <si>
    <t>NCMI</t>
  </si>
  <si>
    <t>National CineMedia Inc. Common Stock</t>
  </si>
  <si>
    <t>DJCO</t>
  </si>
  <si>
    <t>Daily Journal Corp. (S.C.) Common Stock</t>
  </si>
  <si>
    <t>DTC</t>
  </si>
  <si>
    <t>Solo Brands Inc. Class A Common Stock</t>
  </si>
  <si>
    <t>LQDA</t>
  </si>
  <si>
    <t>Liquidia Corporation Common Stock</t>
  </si>
  <si>
    <t>QD</t>
  </si>
  <si>
    <t>Qudian Inc. American Depositary Shares each representing one Class A Ordinary Share</t>
  </si>
  <si>
    <t>CMPO</t>
  </si>
  <si>
    <t>CompoSecure Inc. Class A Common Stock</t>
  </si>
  <si>
    <t>RNA</t>
  </si>
  <si>
    <t>Avidity Biosciences Inc. Common Stock</t>
  </si>
  <si>
    <t>HNRG</t>
  </si>
  <si>
    <t>Hallador Energy Company Common Stock</t>
  </si>
  <si>
    <t>Philippines</t>
  </si>
  <si>
    <t>GDOT</t>
  </si>
  <si>
    <t>Green Dot Corporation Class A Common Stock $0.001 par value</t>
  </si>
  <si>
    <t>SENEA</t>
  </si>
  <si>
    <t>Seneca Foods Corp. Class A Common Stock</t>
  </si>
  <si>
    <t>HRZN</t>
  </si>
  <si>
    <t>Horizon Technology Finance Corporation Common Stock</t>
  </si>
  <si>
    <t>RAPT</t>
  </si>
  <si>
    <t>RAPT Therapeutics Inc. Common Stock</t>
  </si>
  <si>
    <t>VTRU</t>
  </si>
  <si>
    <t>Vitru Limited Common Shares</t>
  </si>
  <si>
    <t>CDNA</t>
  </si>
  <si>
    <t>CareDx Inc. Common Stock</t>
  </si>
  <si>
    <t>ALLG</t>
  </si>
  <si>
    <t>Allego N.V. Ordinary Share</t>
  </si>
  <si>
    <t>LMB</t>
  </si>
  <si>
    <t>Limbach Holdings Inc. Common Stock</t>
  </si>
  <si>
    <t>HT</t>
  </si>
  <si>
    <t>Hersha Hospitality Trust Class A Common Shares of Beneficial Interest</t>
  </si>
  <si>
    <t>PTSI</t>
  </si>
  <si>
    <t>P.A.M. Transportation Services Inc. Common Stock</t>
  </si>
  <si>
    <t>OLP</t>
  </si>
  <si>
    <t>One Liberty Properties Inc. Common Stock</t>
  </si>
  <si>
    <t>MGNX</t>
  </si>
  <si>
    <t>MacroGenics Inc. Common Stock</t>
  </si>
  <si>
    <t>SMWB</t>
  </si>
  <si>
    <t>Similarweb Ltd. Ordinary Shares</t>
  </si>
  <si>
    <t>ESGRP</t>
  </si>
  <si>
    <t>Enstar Group Limited Depositary Shares Each Representing 1/1000th of an interest in Preference Shares</t>
  </si>
  <si>
    <t>OPY</t>
  </si>
  <si>
    <t>Oppenheimer Holdings Inc. Class A Common Stock (DE)</t>
  </si>
  <si>
    <t>AROW</t>
  </si>
  <si>
    <t>Arrow Financial Corporation Common Stock</t>
  </si>
  <si>
    <t>FRGE</t>
  </si>
  <si>
    <t>Forge Global Holdings Inc. Common Stock</t>
  </si>
  <si>
    <t>PAHC</t>
  </si>
  <si>
    <t>Phibro Animal Health Corporation Class A Common Stock</t>
  </si>
  <si>
    <t>EQBK</t>
  </si>
  <si>
    <t>Equity Bancshares Inc. Class A Common Stock</t>
  </si>
  <si>
    <t>SOI</t>
  </si>
  <si>
    <t>Solaris Oilfield Infrastructure Inc. Class A Common Stock</t>
  </si>
  <si>
    <t>CGEM</t>
  </si>
  <si>
    <t>Cullinan Oncology Inc. Common Stock</t>
  </si>
  <si>
    <t>JPI</t>
  </si>
  <si>
    <t>Nuveen Preferred and Income Term Fund Common Shares of Beneficial Interest</t>
  </si>
  <si>
    <t>BHB</t>
  </si>
  <si>
    <t>Bar Harbor Bankshares Inc. Common Stock</t>
  </si>
  <si>
    <t>HCAT</t>
  </si>
  <si>
    <t>Health Catalyst Inc Common Stock</t>
  </si>
  <si>
    <t>TROO</t>
  </si>
  <si>
    <t>TROOPS Inc. Ordinary Shares</t>
  </si>
  <si>
    <t>NETI</t>
  </si>
  <si>
    <t>Eneti Inc. Common Stock</t>
  </si>
  <si>
    <t>GLAD</t>
  </si>
  <si>
    <t>Gladstone Capital Corporation Common Stock</t>
  </si>
  <si>
    <t>GMBLP</t>
  </si>
  <si>
    <t>Esports Entertainment Group Inc. 10.0% Series A Cumulative Redeemable Convertible Preferred Stock</t>
  </si>
  <si>
    <t>GLRE</t>
  </si>
  <si>
    <t>Greenlight Capital Re Ltd. Class A Ordinary Shares</t>
  </si>
  <si>
    <t>CYD</t>
  </si>
  <si>
    <t>China Yuchai International Limited Common Stock</t>
  </si>
  <si>
    <t>TMCI</t>
  </si>
  <si>
    <t>Treace Medical Concepts Inc. Common Stock</t>
  </si>
  <si>
    <t>TPC</t>
  </si>
  <si>
    <t>General Bldg Contractors - Nonresidential Bldgs</t>
  </si>
  <si>
    <t>Tutor Perini Corporation Common Stock</t>
  </si>
  <si>
    <t>ESQ</t>
  </si>
  <si>
    <t>Esquire Financial Holdings Inc. Common Stock</t>
  </si>
  <si>
    <t>ANAB</t>
  </si>
  <si>
    <t>AnaptysBio Inc. Common Stock</t>
  </si>
  <si>
    <t>ESGRO</t>
  </si>
  <si>
    <t>Enstar Group Limited Depository Shares 7.00% Perpetual Non-Cumulative Preference Shares Series E</t>
  </si>
  <si>
    <t>OSPN</t>
  </si>
  <si>
    <t>OneSpan Inc. Common Stock</t>
  </si>
  <si>
    <t>VPG</t>
  </si>
  <si>
    <t>Vishay Precision Group Inc. Common Stock</t>
  </si>
  <si>
    <t>SVM</t>
  </si>
  <si>
    <t>Silvercorp Metals Inc. Common Shares</t>
  </si>
  <si>
    <t>ALEC</t>
  </si>
  <si>
    <t>Alector Inc. Common Stock</t>
  </si>
  <si>
    <t>ONEW</t>
  </si>
  <si>
    <t>OneWater Marine Inc. Class A Common Stock</t>
  </si>
  <si>
    <t>MCB</t>
  </si>
  <si>
    <t>Metropolitan Bank Holding Corp. Common Stock</t>
  </si>
  <si>
    <t>FANH</t>
  </si>
  <si>
    <t>Fanhua Inc. American Depositary Shares</t>
  </si>
  <si>
    <t>SFWL</t>
  </si>
  <si>
    <t>Shengfeng Development Limited Class A Ordinary Shares</t>
  </si>
  <si>
    <t>TPB</t>
  </si>
  <si>
    <t>Tobacco</t>
  </si>
  <si>
    <t>Turning Point Brands Inc. Common Stock</t>
  </si>
  <si>
    <t>PROK</t>
  </si>
  <si>
    <t>ProKidney Corp. Class A Ordinary Shares</t>
  </si>
  <si>
    <t>XPER</t>
  </si>
  <si>
    <t>Xperi Inc. Common Stock</t>
  </si>
  <si>
    <t>HTBI</t>
  </si>
  <si>
    <t>HomeTrust Bancshares Inc. Common Stock</t>
  </si>
  <si>
    <t>ALTG</t>
  </si>
  <si>
    <t>Alta Equipment Group Inc. Class A Common Stock</t>
  </si>
  <si>
    <t>AMSWA</t>
  </si>
  <si>
    <t>American Software Inc. Class A Common Stock</t>
  </si>
  <si>
    <t>KRT</t>
  </si>
  <si>
    <t>Karat Packaging Inc. Common Stock</t>
  </si>
  <si>
    <t>VTNR</t>
  </si>
  <si>
    <t>Vertex Energy Inc Common Stock</t>
  </si>
  <si>
    <t>CLFD</t>
  </si>
  <si>
    <t>Clearfield Inc. Common Stock</t>
  </si>
  <si>
    <t>MVIS</t>
  </si>
  <si>
    <t>MicroVision Inc. Common Stock</t>
  </si>
  <si>
    <t>CGC</t>
  </si>
  <si>
    <t>Pharmaceuticals and Biotechnology</t>
  </si>
  <si>
    <t>Canopy Growth Corporation Common Shares</t>
  </si>
  <si>
    <t>LGVC</t>
  </si>
  <si>
    <t>LAMF Global Ventures Corp. I Class A Ordinary Shares</t>
  </si>
  <si>
    <t>FFIC</t>
  </si>
  <si>
    <t>Flushing Financial Corporation Common Stock</t>
  </si>
  <si>
    <t>SNDL</t>
  </si>
  <si>
    <t>SNDL Inc. Common Shares</t>
  </si>
  <si>
    <t>EVN</t>
  </si>
  <si>
    <t>Eaton Vance Municipal Income Trust Common Stock</t>
  </si>
  <si>
    <t>CTO</t>
  </si>
  <si>
    <t>CTO Realty Growth Inc. Common Stock</t>
  </si>
  <si>
    <t>PNTG</t>
  </si>
  <si>
    <t>The Pennant Group Inc. Common Stock</t>
  </si>
  <si>
    <t>SHBI</t>
  </si>
  <si>
    <t>Shore Bancshares Inc Common Stock</t>
  </si>
  <si>
    <t>BBCP</t>
  </si>
  <si>
    <t>Concrete Pumping Holdings Inc. Common Stock</t>
  </si>
  <si>
    <t>NTGR</t>
  </si>
  <si>
    <t>NETGEAR Inc. Common Stock</t>
  </si>
  <si>
    <t>OCS</t>
  </si>
  <si>
    <t>Oculis Holding AG Ordinary shares</t>
  </si>
  <si>
    <t>EXK</t>
  </si>
  <si>
    <t>Endeavour Silver Corporation Ordinary Shares (Canada)</t>
  </si>
  <si>
    <t>FPH</t>
  </si>
  <si>
    <t>Five Point Holdings LLC Class A Common Shares</t>
  </si>
  <si>
    <t>RERE</t>
  </si>
  <si>
    <t>ATRenew Inc. American Depositary Shares (every three of which representing two Class A ordinary shares)</t>
  </si>
  <si>
    <t>ETB</t>
  </si>
  <si>
    <t>Eaton Vance Tax-Managed Buy-Write Income Fund Eaton Vance Tax-Managed Buy-Write Income Fund Common Shares of Beneficial Interest</t>
  </si>
  <si>
    <t>RSVR</t>
  </si>
  <si>
    <t>Reservoir Media Inc. Common Stock</t>
  </si>
  <si>
    <t>GNLX</t>
  </si>
  <si>
    <t>Genelux Corporation Common Stock</t>
  </si>
  <si>
    <t>OFIX</t>
  </si>
  <si>
    <t>Orthofix Medical Inc. Common Stock (DE)</t>
  </si>
  <si>
    <t>GHI</t>
  </si>
  <si>
    <t>Greystone Housing Impact Investors LP Beneficial Unit Certificates representing assignments of limited partnership interests</t>
  </si>
  <si>
    <t>SB</t>
  </si>
  <si>
    <t>Safe Bulkers Inc Common Stock ($0.001 par value)</t>
  </si>
  <si>
    <t>DMF</t>
  </si>
  <si>
    <t>BNY Mellon Municipal Income Inc. Common Stock</t>
  </si>
  <si>
    <t>GMM</t>
  </si>
  <si>
    <t>Global Mofy Metaverse Limited Ordinary Shares</t>
  </si>
  <si>
    <t>IVR</t>
  </si>
  <si>
    <t>INVESCO MORTGAGE CAPITAL INC Common Stock</t>
  </si>
  <si>
    <t>TPVG</t>
  </si>
  <si>
    <t>TriplePoint Venture Growth BDC Corp. Common Stock</t>
  </si>
  <si>
    <t>FSBC</t>
  </si>
  <si>
    <t>Five Star Bancorp Common Stock</t>
  </si>
  <si>
    <t>RMT</t>
  </si>
  <si>
    <t>Royce Micro-Cap Trust Inc. Common Stock</t>
  </si>
  <si>
    <t>SHCR</t>
  </si>
  <si>
    <t>Sharecare Inc. Class A Common Stock</t>
  </si>
  <si>
    <t>OSG</t>
  </si>
  <si>
    <t>Overseas Shipholding Group Inc. Class A Common Stock</t>
  </si>
  <si>
    <t>SHYF</t>
  </si>
  <si>
    <t>The Shyft Group Inc. Common Stock</t>
  </si>
  <si>
    <t>BBW</t>
  </si>
  <si>
    <t>Build-A-Bear Workshop Inc. Common Stock</t>
  </si>
  <si>
    <t>ORTX</t>
  </si>
  <si>
    <t>Orchard Therapeutics plc American Depositary Shares</t>
  </si>
  <si>
    <t>FNKO</t>
  </si>
  <si>
    <t>Funko Inc. Class A Common Stock</t>
  </si>
  <si>
    <t>ACTG</t>
  </si>
  <si>
    <t>Acacia Research Corporation (Acacia Tech) Common Stock</t>
  </si>
  <si>
    <t>SMBK</t>
  </si>
  <si>
    <t>SmartFinancial Inc. Common Stock</t>
  </si>
  <si>
    <t>ORC</t>
  </si>
  <si>
    <t>Orchid Island Capital Inc. Common Stock</t>
  </si>
  <si>
    <t>CHSCP</t>
  </si>
  <si>
    <t>CHS Inc. 8%  Cumulative Redeemable Preferred Stock</t>
  </si>
  <si>
    <t>IAUX</t>
  </si>
  <si>
    <t>i-80 Gold Corp. Common Shares</t>
  </si>
  <si>
    <t>MBI</t>
  </si>
  <si>
    <t>MBIA Inc. Common Stock</t>
  </si>
  <si>
    <t>CJET</t>
  </si>
  <si>
    <t>Chijet Motor Company Inc. Ordinary Shares</t>
  </si>
  <si>
    <t>VLGEA</t>
  </si>
  <si>
    <t>Village Super Market Inc. Class A Common Stock</t>
  </si>
  <si>
    <t>LAW</t>
  </si>
  <si>
    <t>CS Disco Inc. Common Stock</t>
  </si>
  <si>
    <t>SPRY</t>
  </si>
  <si>
    <t>ARS Pharmaceuticals Inc. Common Stock</t>
  </si>
  <si>
    <t>DSP</t>
  </si>
  <si>
    <t>Viant Technology Inc. Class A Common Stock</t>
  </si>
  <si>
    <t>LUNG</t>
  </si>
  <si>
    <t>Pulmonx Corporation Common Stock</t>
  </si>
  <si>
    <t>SDHY</t>
  </si>
  <si>
    <t>PGIM Short Duration High Yield Opportunities Fund Common Shares</t>
  </si>
  <si>
    <t>CVRX</t>
  </si>
  <si>
    <t>CVRx Inc. Common Stock</t>
  </si>
  <si>
    <t>LYTS</t>
  </si>
  <si>
    <t>LSI Industries Inc. Common Stock</t>
  </si>
  <si>
    <t>LEV</t>
  </si>
  <si>
    <t>The Lion Electric Company Common Shares</t>
  </si>
  <si>
    <t>BSTZ</t>
  </si>
  <si>
    <t>BlackRock Science and Technology Term Trust Common Shares of Beneficial Interest</t>
  </si>
  <si>
    <t>EGHT</t>
  </si>
  <si>
    <t>8x8 Inc Common Stock</t>
  </si>
  <si>
    <t>EFT</t>
  </si>
  <si>
    <t>Eaton Vance Floating Rate Income Trust Common Shares of Beneficial Interest</t>
  </si>
  <si>
    <t>ETO</t>
  </si>
  <si>
    <t>Eaton Vance Tax-Advantage Global Dividend Opp Common Stock</t>
  </si>
  <si>
    <t>TRVG</t>
  </si>
  <si>
    <t>trivago N.V. American Depositary Shares</t>
  </si>
  <si>
    <t>SFIX</t>
  </si>
  <si>
    <t>Stitch Fix Inc. Class A Common Stock</t>
  </si>
  <si>
    <t>RRBI</t>
  </si>
  <si>
    <t>Red River Bancshares Inc. Common Stock</t>
  </si>
  <si>
    <t>SIGA</t>
  </si>
  <si>
    <t>SIGA Technologies Inc. Common Stock</t>
  </si>
  <si>
    <t>ME</t>
  </si>
  <si>
    <t>23andMe Holding Co. Class A Common Stock</t>
  </si>
  <si>
    <t>EWTX</t>
  </si>
  <si>
    <t>Edgewise Therapeutics Inc. Common Stock</t>
  </si>
  <si>
    <t>API</t>
  </si>
  <si>
    <t>Agora Inc. American Depositary Shares</t>
  </si>
  <si>
    <t>EVC</t>
  </si>
  <si>
    <t>Entravision Communications Corporation Common Stock</t>
  </si>
  <si>
    <t>JRVR</t>
  </si>
  <si>
    <t>James River Group Holdings Ltd. Common Shares</t>
  </si>
  <si>
    <t>URGN</t>
  </si>
  <si>
    <t>UroGen Pharma Ltd. Ordinary Shares</t>
  </si>
  <si>
    <t>LVOX</t>
  </si>
  <si>
    <t>LiveVox Holdings Inc. Class A Common Stock</t>
  </si>
  <si>
    <t>LSEA</t>
  </si>
  <si>
    <t>Landsea Homes Corporation Common Stock</t>
  </si>
  <si>
    <t>ALRS</t>
  </si>
  <si>
    <t>Alerus Financial Corporation Common Stock</t>
  </si>
  <si>
    <t>IMNM</t>
  </si>
  <si>
    <t>Immunome Inc. Common Stock</t>
  </si>
  <si>
    <t>CURV</t>
  </si>
  <si>
    <t>Torrid Holdings Inc. Common Stock</t>
  </si>
  <si>
    <t>VKI</t>
  </si>
  <si>
    <t>Invesco Advantage Municipal Income Trust II Common Shares of Beneficial Interest (DE)</t>
  </si>
  <si>
    <t>AVNW</t>
  </si>
  <si>
    <t>Aviat Networks Inc. Common Stock</t>
  </si>
  <si>
    <t>MCFT</t>
  </si>
  <si>
    <t>MasterCraft Boat Holdings Inc. Common Stock</t>
  </si>
  <si>
    <t>RBBN</t>
  </si>
  <si>
    <t>Ribbon Communications Inc. Common Stock</t>
  </si>
  <si>
    <t>ICVX</t>
  </si>
  <si>
    <t>Icosavax Inc. Common Stock</t>
  </si>
  <si>
    <t>HIFS</t>
  </si>
  <si>
    <t>Hingham Institution for Savings Common Stock</t>
  </si>
  <si>
    <t>ITOS</t>
  </si>
  <si>
    <t>iTeos Therapeutics Inc. Common Stock</t>
  </si>
  <si>
    <t>GILT</t>
  </si>
  <si>
    <t>Gilat Satellite Networks Ltd. Ordinary Shares</t>
  </si>
  <si>
    <t>MXCT</t>
  </si>
  <si>
    <t>MaxCyte Inc. Common Stock</t>
  </si>
  <si>
    <t>CRBU</t>
  </si>
  <si>
    <t>Caribou Biosciences Inc. Common Stock</t>
  </si>
  <si>
    <t>ORIC</t>
  </si>
  <si>
    <t>Oric Pharmaceuticals Inc. Common Stock</t>
  </si>
  <si>
    <t>PPT</t>
  </si>
  <si>
    <t>Putnam Premier Income Trust Common Stock</t>
  </si>
  <si>
    <t>RDZN</t>
  </si>
  <si>
    <t>Roadzen Inc. Ordinary Shares</t>
  </si>
  <si>
    <t>CMTL</t>
  </si>
  <si>
    <t>Comtech Telecommunications Corp. Common Stock</t>
  </si>
  <si>
    <t>LEO</t>
  </si>
  <si>
    <t>BNY Mellon Strategic Municipals Inc. Common Stock</t>
  </si>
  <si>
    <t>ACRS</t>
  </si>
  <si>
    <t>Aclaris Therapeutics Inc. Common Stock</t>
  </si>
  <si>
    <t>ARMN</t>
  </si>
  <si>
    <t>Aris Mining Corporation Common Shares</t>
  </si>
  <si>
    <t>GNTY</t>
  </si>
  <si>
    <t>Guaranty Bancshares Inc. Common Stock</t>
  </si>
  <si>
    <t>BTMD</t>
  </si>
  <si>
    <t>Biote Corp. Class A Common Stock</t>
  </si>
  <si>
    <t>GBAB</t>
  </si>
  <si>
    <t>Guggenheim Taxable Municipal Bond &amp; Investment Grade Debt Trust Common Shares of Beneficial Interest</t>
  </si>
  <si>
    <t>NVEC</t>
  </si>
  <si>
    <t>NVE Corporation Common Stock</t>
  </si>
  <si>
    <t>TRML</t>
  </si>
  <si>
    <t>Tourmaline Bio Inc. Common Stock</t>
  </si>
  <si>
    <t>GCO</t>
  </si>
  <si>
    <t>Genesco Inc. Common Stock</t>
  </si>
  <si>
    <t>NEWT</t>
  </si>
  <si>
    <t>NewtekOne Inc. Common Stock</t>
  </si>
  <si>
    <t>BHRB</t>
  </si>
  <si>
    <t>Burke &amp; Herbert Financial Services Corp. Common Stock</t>
  </si>
  <si>
    <t>SAZ</t>
  </si>
  <si>
    <t>Saratoga Investment Corp 8.50% Notes due 2028</t>
  </si>
  <si>
    <t>TELL</t>
  </si>
  <si>
    <t>Tellurian Inc. Common Stock</t>
  </si>
  <si>
    <t>TYG</t>
  </si>
  <si>
    <t>Tortoise Energy Infrastructure Corporation Common Stock</t>
  </si>
  <si>
    <t>SAJ</t>
  </si>
  <si>
    <t>Saratoga Investment Corp 8.00% Notes due 2027</t>
  </si>
  <si>
    <t>EEX</t>
  </si>
  <si>
    <t>Emerald Holding Inc. Common Stock</t>
  </si>
  <si>
    <t>NRGV</t>
  </si>
  <si>
    <t>Energy Vault Holdings Inc. Common Stock</t>
  </si>
  <si>
    <t>SAY</t>
  </si>
  <si>
    <t>Saratoga Investment Corp 8.125% Notes due 2027</t>
  </si>
  <si>
    <t>FIP</t>
  </si>
  <si>
    <t>FTAI Infrastructure Inc. Common Stock</t>
  </si>
  <si>
    <t>SJT</t>
  </si>
  <si>
    <t>San Juan Basin Royalty Trust Common Stock</t>
  </si>
  <si>
    <t>SLN</t>
  </si>
  <si>
    <t>Silence Therapeutics Plc American Depository Share</t>
  </si>
  <si>
    <t>MTLS</t>
  </si>
  <si>
    <t>Materialise NV American Depositary Shares</t>
  </si>
  <si>
    <t>TGB</t>
  </si>
  <si>
    <t>Taseko Mines Ltd. Common Stock</t>
  </si>
  <si>
    <t>ATLCL</t>
  </si>
  <si>
    <t>Atlanticus Holdings Corporation 6.125% Senior Notes due 2026</t>
  </si>
  <si>
    <t>VHI</t>
  </si>
  <si>
    <t>Valhi Inc. Common Stock</t>
  </si>
  <si>
    <t>BITF</t>
  </si>
  <si>
    <t>Bitfarms Ltd. Common Stock</t>
  </si>
  <si>
    <t>SOR</t>
  </si>
  <si>
    <t>Source Capital Inc. Common Stock</t>
  </si>
  <si>
    <t>LIND</t>
  </si>
  <si>
    <t>Lindblad Expeditions Holdings Inc. Common Stock</t>
  </si>
  <si>
    <t>SMHI</t>
  </si>
  <si>
    <t>SEACOR Marine Holdings Inc. Common Stock</t>
  </si>
  <si>
    <t>AMBI</t>
  </si>
  <si>
    <t>Ambipar Emergency Response Class A Ordinary Shares</t>
  </si>
  <si>
    <t>UHG</t>
  </si>
  <si>
    <t>United Homes Group Inc Class A Common Stock</t>
  </si>
  <si>
    <t>FBNC</t>
  </si>
  <si>
    <t>First Bancorp Common Stock</t>
  </si>
  <si>
    <t>BLUE</t>
  </si>
  <si>
    <t>bluebird bio Inc. Common Stock</t>
  </si>
  <si>
    <t>DSX</t>
  </si>
  <si>
    <t>Diana Shipping inc. common stock</t>
  </si>
  <si>
    <t>MYPS</t>
  </si>
  <si>
    <t>PLAYSTUDIOS Inc.  Class A Common Stock</t>
  </si>
  <si>
    <t>MPB</t>
  </si>
  <si>
    <t>Mid Penn Bancorp Common Stock</t>
  </si>
  <si>
    <t>MPX</t>
  </si>
  <si>
    <t>Marine Products Corporation Common Stock</t>
  </si>
  <si>
    <t>UTI</t>
  </si>
  <si>
    <t>Universal Technical Institute Inc Common Stock</t>
  </si>
  <si>
    <t>MRNS</t>
  </si>
  <si>
    <t>Marinus Pharmaceuticals Inc. Common Stock</t>
  </si>
  <si>
    <t>SAR</t>
  </si>
  <si>
    <t>Saratoga Investment Corp New</t>
  </si>
  <si>
    <t>PMO</t>
  </si>
  <si>
    <t>Putnam Municipal Opportunities Trust Common Stock</t>
  </si>
  <si>
    <t>BH</t>
  </si>
  <si>
    <t>Biglari Holdings Inc. Class B Common Stock</t>
  </si>
  <si>
    <t>CVEO</t>
  </si>
  <si>
    <t>Civeo Corporation (Canada) Common Shares</t>
  </si>
  <si>
    <t>NATR</t>
  </si>
  <si>
    <t>Nature's Sunshine Products Inc. Common Stock</t>
  </si>
  <si>
    <t>MCBC</t>
  </si>
  <si>
    <t>Macatawa Bank Corporation Common Stock</t>
  </si>
  <si>
    <t>SPOK</t>
  </si>
  <si>
    <t>Spok Holdings Inc. Common Stock</t>
  </si>
  <si>
    <t>MOFG</t>
  </si>
  <si>
    <t>MidWestOne Financial Gp Common Stock</t>
  </si>
  <si>
    <t>ML</t>
  </si>
  <si>
    <t>MoneyLion Inc. Class A Common Stock</t>
  </si>
  <si>
    <t>IBEX</t>
  </si>
  <si>
    <t>IBEX Limited Common Shares</t>
  </si>
  <si>
    <t>CSTR</t>
  </si>
  <si>
    <t>CapStar Financial Holdings Inc. Common Stock</t>
  </si>
  <si>
    <t>FARO</t>
  </si>
  <si>
    <t>FARO Technologies Inc. Common Stock</t>
  </si>
  <si>
    <t>CYH</t>
  </si>
  <si>
    <t>Community Health Systems Inc. Common Stock</t>
  </si>
  <si>
    <t>ANL</t>
  </si>
  <si>
    <t>Adlai Nortye Ltd. American Depositary Shares</t>
  </si>
  <si>
    <t>MUX</t>
  </si>
  <si>
    <t>McEwen Mining Inc. Common Stock</t>
  </si>
  <si>
    <t>BETR</t>
  </si>
  <si>
    <t>Better Home &amp; Finance Holding Company Class A Common Stock</t>
  </si>
  <si>
    <t>AMWL</t>
  </si>
  <si>
    <t>American Well Corporation Class A Common Stock</t>
  </si>
  <si>
    <t>CDMO</t>
  </si>
  <si>
    <t>Avid Bioservices Inc. Common Stock</t>
  </si>
  <si>
    <t>ALXO</t>
  </si>
  <si>
    <t>ALX Oncology Holdings Inc. Common Stock</t>
  </si>
  <si>
    <t>CHSCO</t>
  </si>
  <si>
    <t>CHS Inc. Class B Cumulative Redeemable Preferred Stock</t>
  </si>
  <si>
    <t>KTF</t>
  </si>
  <si>
    <t>MCI</t>
  </si>
  <si>
    <t>Barings Corporate Investors Common Stock</t>
  </si>
  <si>
    <t>LX</t>
  </si>
  <si>
    <t>LexinFintech Holdings Ltd. American Depositary Shares</t>
  </si>
  <si>
    <t>OTLY</t>
  </si>
  <si>
    <t>Oatly Group AB American Depositary Shares</t>
  </si>
  <si>
    <t>EBTC</t>
  </si>
  <si>
    <t>Enterprise Bancorp Inc Common Stock</t>
  </si>
  <si>
    <t>ACIC</t>
  </si>
  <si>
    <t>American Coastal Insurance Corporation Common Stock</t>
  </si>
  <si>
    <t>GATO</t>
  </si>
  <si>
    <t>Gatos Silver Inc. Common Stock</t>
  </si>
  <si>
    <t>DOMO</t>
  </si>
  <si>
    <t>Domo Inc. Class B Common Stock</t>
  </si>
  <si>
    <t>ADSE</t>
  </si>
  <si>
    <t>ADS-TEC ENERGY PLC Ordinary Shares</t>
  </si>
  <si>
    <t>BOOM</t>
  </si>
  <si>
    <t>DMC Global Inc. Common Stock</t>
  </si>
  <si>
    <t>KMF</t>
  </si>
  <si>
    <t>Kayne Anderson NextGen Energy &amp; Infrastructure Inc.</t>
  </si>
  <si>
    <t>AIRS</t>
  </si>
  <si>
    <t>AirSculpt Technologies Inc. Common Stock</t>
  </si>
  <si>
    <t>SMMF</t>
  </si>
  <si>
    <t>Summit Financial Group Inc. Common Stock</t>
  </si>
  <si>
    <t>MTRX</t>
  </si>
  <si>
    <t>Matrix Service Company Common Stock</t>
  </si>
  <si>
    <t>AVTE</t>
  </si>
  <si>
    <t>Aerovate Therapeutics Inc. Common Stock</t>
  </si>
  <si>
    <t>CSV</t>
  </si>
  <si>
    <t>Carriage Services Inc. Common Stock</t>
  </si>
  <si>
    <t>ANTX</t>
  </si>
  <si>
    <t>AN2 Therapeutics Inc. Common Stock</t>
  </si>
  <si>
    <t>CBUS</t>
  </si>
  <si>
    <t>Cibus Inc. Class A Common Stock</t>
  </si>
  <si>
    <t>PKOH</t>
  </si>
  <si>
    <t>Park-Ohio Holdings Corp. Common Stock</t>
  </si>
  <si>
    <t>BRT</t>
  </si>
  <si>
    <t>BRT Apartments Corp. (MD) Common Stock</t>
  </si>
  <si>
    <t>ZUMZ</t>
  </si>
  <si>
    <t>Zumiez Inc. Common Stock</t>
  </si>
  <si>
    <t>AUDC</t>
  </si>
  <si>
    <t>AudioCodes Ltd. Common Stock</t>
  </si>
  <si>
    <t>CHSCL</t>
  </si>
  <si>
    <t>CHS Inc Class B Cumulative Redeemable Preferred Stock Series 4</t>
  </si>
  <si>
    <t>BAND</t>
  </si>
  <si>
    <t>Bandwidth Inc. Class A Common Stock</t>
  </si>
  <si>
    <t>NNOX</t>
  </si>
  <si>
    <t>NANO-X IMAGING LTD Ordinary Shares</t>
  </si>
  <si>
    <t>CAN</t>
  </si>
  <si>
    <t>Canaan Inc. American Depositary Shares</t>
  </si>
  <si>
    <t>JILL</t>
  </si>
  <si>
    <t>J. Jill Inc. Common Stock</t>
  </si>
  <si>
    <t>SAT</t>
  </si>
  <si>
    <t>Saratoga Investment Corp 6.00% Notes due 2027</t>
  </si>
  <si>
    <t>COMM</t>
  </si>
  <si>
    <t>CommScope Holding Company Inc. Common Stock</t>
  </si>
  <si>
    <t>EVI</t>
  </si>
  <si>
    <t>EVI Industries Inc.  Common Stock</t>
  </si>
  <si>
    <t>CHSCN</t>
  </si>
  <si>
    <t>CHS Inc Preferred Class B Series 2 Reset Rate</t>
  </si>
  <si>
    <t>LINC</t>
  </si>
  <si>
    <t>Lincoln Educational Services Corporation Common Stock</t>
  </si>
  <si>
    <t>HQL</t>
  </si>
  <si>
    <t>abrdn Life Sciences Investors Shares of Beneficial Interest</t>
  </si>
  <si>
    <t>AVAH</t>
  </si>
  <si>
    <t>Aveanna Healthcare Holdings Inc. Common Stock</t>
  </si>
  <si>
    <t>FINS</t>
  </si>
  <si>
    <t>Angel Oak Financial Strategies Income Term Trust Common Shares of Beneficial Interest</t>
  </si>
  <si>
    <t>RFMZ</t>
  </si>
  <si>
    <t>RiverNorth Flexible Municipal Income Fund II Inc. Common Stock</t>
  </si>
  <si>
    <t>PLCE</t>
  </si>
  <si>
    <t>Children's Place Inc. (The) Common Stock</t>
  </si>
  <si>
    <t>ERAS</t>
  </si>
  <si>
    <t>Erasca Inc. Common Stock</t>
  </si>
  <si>
    <t>BMEA</t>
  </si>
  <si>
    <t>Biomea Fusion Inc. Common Stock</t>
  </si>
  <si>
    <t>LILM</t>
  </si>
  <si>
    <t>Lilium NV Class A Ordinary Shares</t>
  </si>
  <si>
    <t>ZYXI</t>
  </si>
  <si>
    <t>Zynex Inc. Common Stock</t>
  </si>
  <si>
    <t>SCM</t>
  </si>
  <si>
    <t>Stellus Capital Investment Corporation Common Stock</t>
  </si>
  <si>
    <t>PKE</t>
  </si>
  <si>
    <t>Park Aerospace Corp. Common Stock</t>
  </si>
  <si>
    <t>UIS</t>
  </si>
  <si>
    <t>Unisys Corporation New Common Stock</t>
  </si>
  <si>
    <t>ATLCP</t>
  </si>
  <si>
    <t>Atlanticus Holdings Corporation 7.625% Series B Cumulative Perpetual Preferred Stock no par value per share</t>
  </si>
  <si>
    <t>KODK</t>
  </si>
  <si>
    <t>Eastman Kodak Company Common New</t>
  </si>
  <si>
    <t>CZNC</t>
  </si>
  <si>
    <t>Citizens &amp; Northern Corp Common Stock</t>
  </si>
  <si>
    <t>FCNCP</t>
  </si>
  <si>
    <t>First Citizens BancShares Inc. Depositary Shares</t>
  </si>
  <si>
    <t>GPP</t>
  </si>
  <si>
    <t>Green Plains Partners LP Common Units</t>
  </si>
  <si>
    <t>MIN</t>
  </si>
  <si>
    <t>MFS Intermediate Income Trust Common Stock</t>
  </si>
  <si>
    <t>AAOI</t>
  </si>
  <si>
    <t>Applied Optoelectronics Inc. Common Stock</t>
  </si>
  <si>
    <t>ACNB</t>
  </si>
  <si>
    <t>ACNB Corporation Common Stock</t>
  </si>
  <si>
    <t>BLND</t>
  </si>
  <si>
    <t>Blend Labs Inc. Class A Common Stock</t>
  </si>
  <si>
    <t>CPS</t>
  </si>
  <si>
    <t>Cooper-Standard Holdings Inc. Common Stock</t>
  </si>
  <si>
    <t>CHSCM</t>
  </si>
  <si>
    <t>CHS Inc Class B Reset Rate Cumulative Redeemable Preferred Stock Series 3</t>
  </si>
  <si>
    <t>EGGF</t>
  </si>
  <si>
    <t>EG Acquisition Corp. Class A Common Stock</t>
  </si>
  <si>
    <t>AFRI</t>
  </si>
  <si>
    <t>Forafric Global PLC Ordinary Shares</t>
  </si>
  <si>
    <t>PSTL</t>
  </si>
  <si>
    <t>Postal Realty Trust Inc. Class A Common Stock</t>
  </si>
  <si>
    <t>GRCL</t>
  </si>
  <si>
    <t>Gracell Biotechnologies Inc. American Depositary Shares</t>
  </si>
  <si>
    <t>GOCO</t>
  </si>
  <si>
    <t>GoHealth Inc. Class A Common Stock</t>
  </si>
  <si>
    <t>PANL</t>
  </si>
  <si>
    <t>Pangaea Logistics Solutions Ltd. Common Shares</t>
  </si>
  <si>
    <t>NXDT</t>
  </si>
  <si>
    <t>NexPoint Diversified Real Estate Trust Common Stock</t>
  </si>
  <si>
    <t>SBT</t>
  </si>
  <si>
    <t>Sterling Bancorp Inc. Common Stock</t>
  </si>
  <si>
    <t>ABUS</t>
  </si>
  <si>
    <t>Arbutus Biopharma Corporation Common Stock</t>
  </si>
  <si>
    <t>SKE</t>
  </si>
  <si>
    <t>Skeena Resources Limited Common Shares</t>
  </si>
  <si>
    <t>PFIS</t>
  </si>
  <si>
    <t>Peoples Financial Services Corp. Common Stock</t>
  </si>
  <si>
    <t>AMRN</t>
  </si>
  <si>
    <t>IVCP</t>
  </si>
  <si>
    <t>Swiftmerge Acquisition Corp. Class A Ordinary Share</t>
  </si>
  <si>
    <t>SOHU</t>
  </si>
  <si>
    <t>Sohu.com Limited American Depositary Shares</t>
  </si>
  <si>
    <t>HBCP</t>
  </si>
  <si>
    <t>Home Bancorp Inc. Common Stock</t>
  </si>
  <si>
    <t>MLP</t>
  </si>
  <si>
    <t>Maui Land &amp; Pineapple Company Inc. Common Stock</t>
  </si>
  <si>
    <t>AURA</t>
  </si>
  <si>
    <t>Aura Biosciences Inc. Common Stock</t>
  </si>
  <si>
    <t>BMRC</t>
  </si>
  <si>
    <t>Bank of Marin Bancorp Common Stock</t>
  </si>
  <si>
    <t>ANIK</t>
  </si>
  <si>
    <t>Anika Therapeutics Inc. Common Stock</t>
  </si>
  <si>
    <t>TMC</t>
  </si>
  <si>
    <t>TMC the metals company Inc. Common Stock</t>
  </si>
  <si>
    <t>FCNCO</t>
  </si>
  <si>
    <t>First Citizens BancShares Inc. 5.625% Non-Cumulative Perpetual Preferred Stock Series C</t>
  </si>
  <si>
    <t>GCT</t>
  </si>
  <si>
    <t>GigaCloud Technology Inc Class A Ordinary Shares</t>
  </si>
  <si>
    <t>ARDC</t>
  </si>
  <si>
    <t>Ares Dynamic Credit Allocation Fund Inc. Common Shares</t>
  </si>
  <si>
    <t>MREO</t>
  </si>
  <si>
    <t>Mereo BioPharma Group plc American Depositary Shares</t>
  </si>
  <si>
    <t>PXSAP</t>
  </si>
  <si>
    <t>Pyxis Tankers Inc. 7.75% Series A Cumulative Convertible Preferred Shares</t>
  </si>
  <si>
    <t>SLND</t>
  </si>
  <si>
    <t>Southland Holdings Inc. Common Stock</t>
  </si>
  <si>
    <t>IHRT</t>
  </si>
  <si>
    <t>iHeartMedia Inc. Class A Common Stock</t>
  </si>
  <si>
    <t>CERS</t>
  </si>
  <si>
    <t>Cerus Corporation Common Stock</t>
  </si>
  <si>
    <t>QURE</t>
  </si>
  <si>
    <t>uniQure N.V. Ordinary Shares</t>
  </si>
  <si>
    <t>GCI</t>
  </si>
  <si>
    <t>Gannett Co. Inc. Common Stock</t>
  </si>
  <si>
    <t>HRTG</t>
  </si>
  <si>
    <t>Heritage Insurance Holdings Inc. Common Stock</t>
  </si>
  <si>
    <t>RCEL</t>
  </si>
  <si>
    <t>Avita Medical Inc. Common Stock</t>
  </si>
  <si>
    <t>REI</t>
  </si>
  <si>
    <t>Ring Energy Inc. Common Stock</t>
  </si>
  <si>
    <t>ORGO</t>
  </si>
  <si>
    <t>Organogenesis Holdings Inc. Class A Common Stock</t>
  </si>
  <si>
    <t>BWB</t>
  </si>
  <si>
    <t>Bridgewater Bancshares Inc. Common Stock</t>
  </si>
  <si>
    <t>UTMD</t>
  </si>
  <si>
    <t>Utah Medical Products Inc. Common Stock</t>
  </si>
  <si>
    <t>MGTX</t>
  </si>
  <si>
    <t>MeiraGTx Holdings plc Ordinary Shares</t>
  </si>
  <si>
    <t>PROC</t>
  </si>
  <si>
    <t>Procaps Group S.A. Ordinary Shares</t>
  </si>
  <si>
    <t>CGNT</t>
  </si>
  <si>
    <t>Cognyte Software Ltd. Ordinary Shares</t>
  </si>
  <si>
    <t>ICCT</t>
  </si>
  <si>
    <t>iCoreConnect Inc. Common stock</t>
  </si>
  <si>
    <t>ONTF</t>
  </si>
  <si>
    <t>ON24 Inc. Common Stock</t>
  </si>
  <si>
    <t>RMMZ</t>
  </si>
  <si>
    <t>RiverNorth Managed Duration Municipal Income Fund II Inc. Common Stock</t>
  </si>
  <si>
    <t>NGVC</t>
  </si>
  <si>
    <t>Natural Grocers by Vitamin Cottage Inc. Common Stock</t>
  </si>
  <si>
    <t>GENK</t>
  </si>
  <si>
    <t>GEN Restaurant Group Inc. Class A Common Stock</t>
  </si>
  <si>
    <t>ONL</t>
  </si>
  <si>
    <t>Orion Office REIT Inc. Common Stock</t>
  </si>
  <si>
    <t>FDBC</t>
  </si>
  <si>
    <t>Fidelity D &amp; D Bancorp Inc. Common Stock</t>
  </si>
  <si>
    <t>PLSE</t>
  </si>
  <si>
    <t>Pulse Biosciences Inc Common Stock (DE)</t>
  </si>
  <si>
    <t>ITIC</t>
  </si>
  <si>
    <t>Investors Title Company Common Stock</t>
  </si>
  <si>
    <t>NUVB</t>
  </si>
  <si>
    <t>Nuvation Bio Inc. Class A Common Stock</t>
  </si>
  <si>
    <t>CPZ</t>
  </si>
  <si>
    <t>Calamos Long/Short Equity &amp; Dynamic Income Trust Common Stock</t>
  </si>
  <si>
    <t>TSHA</t>
  </si>
  <si>
    <t>Taysha Gene Therapies Inc. Common Stock</t>
  </si>
  <si>
    <t>WHF</t>
  </si>
  <si>
    <t>WhiteHorse Finance Inc. Common Stock</t>
  </si>
  <si>
    <t>FFWM</t>
  </si>
  <si>
    <t>First Foundation Inc. Common Stock</t>
  </si>
  <si>
    <t>CBNK</t>
  </si>
  <si>
    <t>Capital Bancorp Inc. Common Stock</t>
  </si>
  <si>
    <t>REFI</t>
  </si>
  <si>
    <t>Chicago Atlantic Real Estate Finance Inc. Common Stock</t>
  </si>
  <si>
    <t>VYGR</t>
  </si>
  <si>
    <t>Voyager Therapeutics Inc. Common Stock</t>
  </si>
  <si>
    <t>WTBA</t>
  </si>
  <si>
    <t>West Bancorporation Common Stock</t>
  </si>
  <si>
    <t>GHL</t>
  </si>
  <si>
    <t>Greenhill &amp; Co. Inc. Common Stock</t>
  </si>
  <si>
    <t>RMM</t>
  </si>
  <si>
    <t>RiverNorth Managed Duration Municipal Income Fund Inc. Common Stock</t>
  </si>
  <si>
    <t>JANX</t>
  </si>
  <si>
    <t>Janux Therapeutics Inc. Common Stock</t>
  </si>
  <si>
    <t>PGEN</t>
  </si>
  <si>
    <t>Precigen Inc. Common Stock</t>
  </si>
  <si>
    <t>NCV</t>
  </si>
  <si>
    <t>Virtus Convertible &amp; Income Fund Common Shares of Beneficial Interest</t>
  </si>
  <si>
    <t>KALV</t>
  </si>
  <si>
    <t>KalVista Pharmaceuticals Inc. Common Stock</t>
  </si>
  <si>
    <t>WLFC</t>
  </si>
  <si>
    <t>Willis Lease Finance Corporation Common Stock</t>
  </si>
  <si>
    <t>AGS</t>
  </si>
  <si>
    <t>PlayAGS Inc. Common Stock</t>
  </si>
  <si>
    <t>BVS</t>
  </si>
  <si>
    <t>Bioventus Inc. Class A Common Stock</t>
  </si>
  <si>
    <t>UROY</t>
  </si>
  <si>
    <t>Uranium Royalty Corp. Common Stock</t>
  </si>
  <si>
    <t>AMPX</t>
  </si>
  <si>
    <t>Amprius Technologies Inc. Common Stock</t>
  </si>
  <si>
    <t>SEATW</t>
  </si>
  <si>
    <t>Vivid Seats Inc. Warrant</t>
  </si>
  <si>
    <t>OOMA</t>
  </si>
  <si>
    <t>Ooma Inc. Common Stock</t>
  </si>
  <si>
    <t>EVER</t>
  </si>
  <si>
    <t>EverQuote Inc. Class A Common Stock</t>
  </si>
  <si>
    <t>DOYU</t>
  </si>
  <si>
    <t>DouYu International Holdings Limited ADS</t>
  </si>
  <si>
    <t>MYTE</t>
  </si>
  <si>
    <t>MYT Netherlands Parent B.V. American Depositary Shares each representing one Ordinary Share</t>
  </si>
  <si>
    <t>GRPN</t>
  </si>
  <si>
    <t>Groupon Inc. Common Stock</t>
  </si>
  <si>
    <t>LICY</t>
  </si>
  <si>
    <t>Li-Cycle Holdings Corp. Common Shares</t>
  </si>
  <si>
    <t>MAXN</t>
  </si>
  <si>
    <t>Maxeon Solar Technologies Ltd. Ordinary Shares</t>
  </si>
  <si>
    <t>CCLDP</t>
  </si>
  <si>
    <t>CareCloud Inc. 11% Series A Cumulative Redeemable Perpetual Preferred Stock</t>
  </si>
  <si>
    <t>VMD</t>
  </si>
  <si>
    <t>Viemed Healthcare Inc. Common Shares</t>
  </si>
  <si>
    <t>LOCO</t>
  </si>
  <si>
    <t>El Pollo Loco Holdings Inc. Common Stock</t>
  </si>
  <si>
    <t>KNDI</t>
  </si>
  <si>
    <t>Kandi Technologies Group Inc Common Stock</t>
  </si>
  <si>
    <t>OPFI</t>
  </si>
  <si>
    <t>OppFi Inc. Class A Common Stock</t>
  </si>
  <si>
    <t>RLGT</t>
  </si>
  <si>
    <t>Radiant Logistics Inc. Common Stock</t>
  </si>
  <si>
    <t>PBPB</t>
  </si>
  <si>
    <t>Potbelly Corporation Common Stock</t>
  </si>
  <si>
    <t>RXT</t>
  </si>
  <si>
    <t>Rackspace Technology Inc. Common Stock</t>
  </si>
  <si>
    <t>OCCIO</t>
  </si>
  <si>
    <t>OFS Credit Company Inc. 6.125% Series C Term Preferred Stock</t>
  </si>
  <si>
    <t>FUSN</t>
  </si>
  <si>
    <t>Fusion Pharmaceuticals Inc. Common Shares</t>
  </si>
  <si>
    <t>PMM</t>
  </si>
  <si>
    <t>Putnam Managed Municipal Income Trust Common Stock</t>
  </si>
  <si>
    <t>CARE</t>
  </si>
  <si>
    <t>Carter Bankshares Inc. Common Stock</t>
  </si>
  <si>
    <t>JAKK</t>
  </si>
  <si>
    <t>JAKKS Pacific Inc. Common Stock</t>
  </si>
  <si>
    <t>PRTH</t>
  </si>
  <si>
    <t>Priority Technology Holdings Inc. Common Stock</t>
  </si>
  <si>
    <t>FBIZ</t>
  </si>
  <si>
    <t>First Business Financial Services Inc. Common Stock</t>
  </si>
  <si>
    <t>SKYT</t>
  </si>
  <si>
    <t>SkyWater Technology Inc. Common Stock</t>
  </si>
  <si>
    <t>OIA</t>
  </si>
  <si>
    <t>Invesco Municipal Income Opportunities Trust Common Stock</t>
  </si>
  <si>
    <t>NREF</t>
  </si>
  <si>
    <t>NexPoint Real Estate Finance Inc. Common Stock</t>
  </si>
  <si>
    <t>DXLG</t>
  </si>
  <si>
    <t>Destination XL Group Inc. Common Stock</t>
  </si>
  <si>
    <t>JFIN</t>
  </si>
  <si>
    <t>Jiayin Group Inc. American Depositary Shares</t>
  </si>
  <si>
    <t>HIVE</t>
  </si>
  <si>
    <t>HIVE Digital Technologies Ltd. Common Shares</t>
  </si>
  <si>
    <t>VLD</t>
  </si>
  <si>
    <t>Velo3D Inc. Common Stock</t>
  </si>
  <si>
    <t>SILK</t>
  </si>
  <si>
    <t>Silk Road Medical Inc. Common Stock</t>
  </si>
  <si>
    <t>NATH</t>
  </si>
  <si>
    <t>Nathan's Famous Inc. Common Stock</t>
  </si>
  <si>
    <t>SIFY</t>
  </si>
  <si>
    <t>Sify Technologies Limited American Depositary Shares</t>
  </si>
  <si>
    <t>VCXAU</t>
  </si>
  <si>
    <t>10X Capital Venture Acquisition Corp. II Unit</t>
  </si>
  <si>
    <t>MOND</t>
  </si>
  <si>
    <t>Mondee Holdings Inc. Class A Common Stock</t>
  </si>
  <si>
    <t>MX</t>
  </si>
  <si>
    <t>Magnachip Semiconductor Corporation Common Stock</t>
  </si>
  <si>
    <t>TLS</t>
  </si>
  <si>
    <t>Telos Corporation Common Stock</t>
  </si>
  <si>
    <t>FNLC</t>
  </si>
  <si>
    <t>First Bancorp Inc  (ME) Common Stock</t>
  </si>
  <si>
    <t>MCR</t>
  </si>
  <si>
    <t>MFS Charter Income Trust Common Stock</t>
  </si>
  <si>
    <t>MLYS</t>
  </si>
  <si>
    <t>Mineralys Therapeutics Inc. Common Stock</t>
  </si>
  <si>
    <t>PUYI</t>
  </si>
  <si>
    <t>Puyi Inc. American Depository Shares</t>
  </si>
  <si>
    <t>REAX</t>
  </si>
  <si>
    <t>The Real Brokerage Inc. Common Shares</t>
  </si>
  <si>
    <t>BKCC</t>
  </si>
  <si>
    <t>BlackRock Capital Investment Corporation Common Stock</t>
  </si>
  <si>
    <t>AVD</t>
  </si>
  <si>
    <t>American Vanguard Corporation Common Stock ($0.10 Par Value)</t>
  </si>
  <si>
    <t>NWPX</t>
  </si>
  <si>
    <t>Northwest Pipe Company Common Stock</t>
  </si>
  <si>
    <t>IGMS</t>
  </si>
  <si>
    <t>IGM Biosciences Inc. Common Stock</t>
  </si>
  <si>
    <t>BSRR</t>
  </si>
  <si>
    <t>Sierra Bancorp Common Stock</t>
  </si>
  <si>
    <t>NC</t>
  </si>
  <si>
    <t>NACCO Industries Inc. Common Stock</t>
  </si>
  <si>
    <t>TALK</t>
  </si>
  <si>
    <t>Talkspace Inc. Common Stock</t>
  </si>
  <si>
    <t>LSAK</t>
  </si>
  <si>
    <t>Lesaka Technologies Inc. Common Stock</t>
  </si>
  <si>
    <t>CPLP</t>
  </si>
  <si>
    <t>Capital Product Partners L.P. Common Units</t>
  </si>
  <si>
    <t>LFMD</t>
  </si>
  <si>
    <t>LifeMD Inc. Common Stock</t>
  </si>
  <si>
    <t>GEVO</t>
  </si>
  <si>
    <t>Gevo Inc. Common Stock</t>
  </si>
  <si>
    <t>NODK</t>
  </si>
  <si>
    <t>NI Holdings Inc. Common Stock</t>
  </si>
  <si>
    <t>RMNI</t>
  </si>
  <si>
    <t>Rimini Street Inc. (DE) Common Stock</t>
  </si>
  <si>
    <t>RDVT</t>
  </si>
  <si>
    <t>Red Violet Inc. Common Stock</t>
  </si>
  <si>
    <t>TCI</t>
  </si>
  <si>
    <t>Transcontinental Realty Investors Inc. Common Stock</t>
  </si>
  <si>
    <t>GWRS</t>
  </si>
  <si>
    <t>Global Water Resources Inc. Common Stock</t>
  </si>
  <si>
    <t>WLDN</t>
  </si>
  <si>
    <t>Willdan Group Inc. Common Stock</t>
  </si>
  <si>
    <t>LOVE</t>
  </si>
  <si>
    <t>The Lovesac Company Common Stock</t>
  </si>
  <si>
    <t>SENS</t>
  </si>
  <si>
    <t>Senseonics Holdings Inc. Common Stock</t>
  </si>
  <si>
    <t>LMNR</t>
  </si>
  <si>
    <t>Limoneira Co Common Stock</t>
  </si>
  <si>
    <t>Jordan</t>
  </si>
  <si>
    <t>GTACU</t>
  </si>
  <si>
    <t>Global Technology Acquisition Corp. I Unit</t>
  </si>
  <si>
    <t>RBB</t>
  </si>
  <si>
    <t>RBB Bancorp Common Stock</t>
  </si>
  <si>
    <t>POWW</t>
  </si>
  <si>
    <t>AMMO Inc. Common Stock</t>
  </si>
  <si>
    <t>COOK</t>
  </si>
  <si>
    <t>Traeger Inc. Common Stock</t>
  </si>
  <si>
    <t>ESCA</t>
  </si>
  <si>
    <t>Escalade Incorporated Common Stock</t>
  </si>
  <si>
    <t>OCCIN</t>
  </si>
  <si>
    <t>OFS Credit Company Inc. 5.25% Series E Term Preferred Stock Due 2026</t>
  </si>
  <si>
    <t>BCAL</t>
  </si>
  <si>
    <t>Southern California Bancorp Common Stock</t>
  </si>
  <si>
    <t>JMSB</t>
  </si>
  <si>
    <t>John Marshall Bancorp Inc. Common Stock</t>
  </si>
  <si>
    <t>NRIX</t>
  </si>
  <si>
    <t>Nurix Therapeutics Inc. Common stock</t>
  </si>
  <si>
    <t>NEWP</t>
  </si>
  <si>
    <t>New Pacific Metals Corp. Common Shares</t>
  </si>
  <si>
    <t>CZFS</t>
  </si>
  <si>
    <t>Citizens Financial Services Inc. Common Stock</t>
  </si>
  <si>
    <t>MMT</t>
  </si>
  <si>
    <t>MFS Multimarket Income Trust Common Stock</t>
  </si>
  <si>
    <t>JMIA</t>
  </si>
  <si>
    <t>Jumia Technologies AG American Depositary Shares each representing two Ordinary Shares</t>
  </si>
  <si>
    <t>FF</t>
  </si>
  <si>
    <t>FutureFuel Corp. Common shares</t>
  </si>
  <si>
    <t>FutureFuel Corp.  Common shares</t>
  </si>
  <si>
    <t>XFLT</t>
  </si>
  <si>
    <t>XAI Octagon Floating Rate &amp; Alternative Income Term Trust Common Shares of Beneficial Interest</t>
  </si>
  <si>
    <t>WBUY</t>
  </si>
  <si>
    <t>WEBUY GLOBAL LTD. Ordinary Shares</t>
  </si>
  <si>
    <t>SSTI</t>
  </si>
  <si>
    <t>SoundThinking Inc. Common Stock</t>
  </si>
  <si>
    <t>UNTY</t>
  </si>
  <si>
    <t>Unity Bancorp Inc. Common Stock</t>
  </si>
  <si>
    <t>AVPTW</t>
  </si>
  <si>
    <t>AvePoint Inc. Warrant</t>
  </si>
  <si>
    <t>DM</t>
  </si>
  <si>
    <t>Desktop Metal Inc. Class A Common Stock</t>
  </si>
  <si>
    <t>XOMAP</t>
  </si>
  <si>
    <t>XOMA Corporation 8.625% Series A Cumulative Perpetual Preferred Stock</t>
  </si>
  <si>
    <t>SWIM</t>
  </si>
  <si>
    <t>Latham Group Inc. Common Stock</t>
  </si>
  <si>
    <t>RNGR</t>
  </si>
  <si>
    <t>Ranger Energy Services Inc. Class A Common Stock</t>
  </si>
  <si>
    <t>ODV</t>
  </si>
  <si>
    <t>Osisko Development Corp. Common Shares</t>
  </si>
  <si>
    <t>INVZ</t>
  </si>
  <si>
    <t>Innoviz Technologies Ltd. Ordinary shares</t>
  </si>
  <si>
    <t>KLTR</t>
  </si>
  <si>
    <t>Kaltura Inc. Common Stock</t>
  </si>
  <si>
    <t>CIX</t>
  </si>
  <si>
    <t>CompX International Inc. Common Stock</t>
  </si>
  <si>
    <t>TCMD</t>
  </si>
  <si>
    <t>Tactile Systems Technology Inc. Common Stock</t>
  </si>
  <si>
    <t>FISI</t>
  </si>
  <si>
    <t>Financial Institutions Inc. Common Stock</t>
  </si>
  <si>
    <t>XOMAO</t>
  </si>
  <si>
    <t>XOMA Corporation Depositary Shares Rep Series B 8.375% Cumulative Preferred Stock</t>
  </si>
  <si>
    <t>OZ</t>
  </si>
  <si>
    <t>Belpointe PREP LLC Class A Units</t>
  </si>
  <si>
    <t>PERF</t>
  </si>
  <si>
    <t>Perfect Corp. Class A Ordinary Share</t>
  </si>
  <si>
    <t>TTSH</t>
  </si>
  <si>
    <t>Tile Shop Holdings Inc. Common Stock</t>
  </si>
  <si>
    <t>QRTEA</t>
  </si>
  <si>
    <t>Qurate Retail Inc. Series A Common Stock</t>
  </si>
  <si>
    <t>ASA</t>
  </si>
  <si>
    <t>ASA Gold and Precious Metals Limited</t>
  </si>
  <si>
    <t>ASA  Gold and Precious Metals Limited</t>
  </si>
  <si>
    <t>MSB</t>
  </si>
  <si>
    <t>Mesabi Trust Common Stock</t>
  </si>
  <si>
    <t>THCH</t>
  </si>
  <si>
    <t>TH International Limited Ordinary shares</t>
  </si>
  <si>
    <t>ANGO</t>
  </si>
  <si>
    <t>AngioDynamics Inc. Common Stock</t>
  </si>
  <si>
    <t>LXRX</t>
  </si>
  <si>
    <t>Lexicon Pharmaceuticals Inc. Common Stock</t>
  </si>
  <si>
    <t>FLIC</t>
  </si>
  <si>
    <t>First of Long Island Corporation (The) Common Stock</t>
  </si>
  <si>
    <t>FMAO</t>
  </si>
  <si>
    <t>Farmers &amp; Merchants Bancorp Inc. Common Stock</t>
  </si>
  <si>
    <t>LUNR</t>
  </si>
  <si>
    <t>Intuitive Machines Inc. Class A Common Stock</t>
  </si>
  <si>
    <t>ATLX</t>
  </si>
  <si>
    <t>Atlas Lithium Corporation Common Stock</t>
  </si>
  <si>
    <t>AGEN</t>
  </si>
  <si>
    <t>Agenus Inc. Common Stock</t>
  </si>
  <si>
    <t>TLYS</t>
  </si>
  <si>
    <t>Tilly's Inc. Common Stock</t>
  </si>
  <si>
    <t>FTF</t>
  </si>
  <si>
    <t>Franklin Limited Duration Income Trust Common Shares of Beneficial Interest</t>
  </si>
  <si>
    <t>FATBP</t>
  </si>
  <si>
    <t>FAT Brands Inc. 8.25% Series B Cumulative Preferred Stock</t>
  </si>
  <si>
    <t>AMPY</t>
  </si>
  <si>
    <t>Amplify Energy Corp. Common Stock</t>
  </si>
  <si>
    <t>AUROW</t>
  </si>
  <si>
    <t>Aurora Innovation Inc. Warrant</t>
  </si>
  <si>
    <t>SMTI</t>
  </si>
  <si>
    <t>Sanara MedTech Inc. Common Stock</t>
  </si>
  <si>
    <t>EOT</t>
  </si>
  <si>
    <t>Eaton Vance Municipal Income Trust EATON VANCE NATIONAL MUNICIPAL OPPORTUNITIES TRUST</t>
  </si>
  <si>
    <t>THRD</t>
  </si>
  <si>
    <t>Third Harmonic Bio Inc. Common Stock</t>
  </si>
  <si>
    <t>NECB</t>
  </si>
  <si>
    <t>NorthEast Community Bancorp Inc. Common Stock</t>
  </si>
  <si>
    <t>NRIM</t>
  </si>
  <si>
    <t>Northrim BanCorp Inc Common Stock</t>
  </si>
  <si>
    <t>BBAI</t>
  </si>
  <si>
    <t>BigBear.ai Inc. Common Stock</t>
  </si>
  <si>
    <t>HUMA</t>
  </si>
  <si>
    <t>Humacyte Inc. Common Stock</t>
  </si>
  <si>
    <t>ACIU</t>
  </si>
  <si>
    <t>AC Immune SA Common Stock</t>
  </si>
  <si>
    <t>GPMT</t>
  </si>
  <si>
    <t>Granite Point Mortgage Trust Inc. Common Stock</t>
  </si>
  <si>
    <t>MVBF</t>
  </si>
  <si>
    <t>MVB Financial Corp. Common Stock</t>
  </si>
  <si>
    <t>AVIR</t>
  </si>
  <si>
    <t>Atea Pharmaceuticals Inc. Common Stock</t>
  </si>
  <si>
    <t>PACK</t>
  </si>
  <si>
    <t>Ranpak Holdings Corp Class A Common Stock</t>
  </si>
  <si>
    <t>BCML</t>
  </si>
  <si>
    <t>BayCom Corp Common Stock</t>
  </si>
  <si>
    <t>SLDP</t>
  </si>
  <si>
    <t>Solid Power Inc. Class A Common Stock</t>
  </si>
  <si>
    <t>IPI</t>
  </si>
  <si>
    <t>Intrepid Potash Inc Common Stock</t>
  </si>
  <si>
    <t>CMPS</t>
  </si>
  <si>
    <t>COMPASS Pathways Plc American Depository Shares</t>
  </si>
  <si>
    <t>OBT</t>
  </si>
  <si>
    <t>Orange County Bancorp Inc. Common Stock</t>
  </si>
  <si>
    <t>WOW</t>
  </si>
  <si>
    <t>WideOpenWest Inc. Common Stock</t>
  </si>
  <si>
    <t>CDLX</t>
  </si>
  <si>
    <t>Cardlytics Inc. Common Stock</t>
  </si>
  <si>
    <t>ARAY</t>
  </si>
  <si>
    <t>Accuray Incorporated Common Stock</t>
  </si>
  <si>
    <t>INOD</t>
  </si>
  <si>
    <t>Innodata Inc. Common Stock</t>
  </si>
  <si>
    <t>FNGR</t>
  </si>
  <si>
    <t>FingerMotion Inc. Common Stock</t>
  </si>
  <si>
    <t>FRST</t>
  </si>
  <si>
    <t>Primis Financial Corp. Common Stock</t>
  </si>
  <si>
    <t>WEYS</t>
  </si>
  <si>
    <t>Weyco Group Inc. Common Stock</t>
  </si>
  <si>
    <t>BLDE</t>
  </si>
  <si>
    <t>Blade Air Mobility Inc. Class A Common Stock</t>
  </si>
  <si>
    <t>CELC</t>
  </si>
  <si>
    <t>Celcuity Inc. Common Stock</t>
  </si>
  <si>
    <t>NL</t>
  </si>
  <si>
    <t>NL Industries Inc. Common Stock</t>
  </si>
  <si>
    <t>AOMR</t>
  </si>
  <si>
    <t>Angel Oak Mortgage REIT Inc. Common Stock</t>
  </si>
  <si>
    <t>BAER</t>
  </si>
  <si>
    <t>Bridger Aerospace Group Holdings Inc. Common Stock</t>
  </si>
  <si>
    <t>TVC</t>
  </si>
  <si>
    <t>Tennessee Valley Authority Common Stock</t>
  </si>
  <si>
    <t>HFFG</t>
  </si>
  <si>
    <t>HF Foods Group Inc. Common Stock</t>
  </si>
  <si>
    <t>CSSEP</t>
  </si>
  <si>
    <t>Chicken Soup for the Soul Entertainment Inc. 9.75% Series A Cumulative Redeemable Perpetual Preferred Stock</t>
  </si>
  <si>
    <t>PCYO</t>
  </si>
  <si>
    <t>Pure Cycle Corporation Common Stock</t>
  </si>
  <si>
    <t>OPI</t>
  </si>
  <si>
    <t>Office Properties Income Trust Common Shares of Beneficial Interest</t>
  </si>
  <si>
    <t>BRLT</t>
  </si>
  <si>
    <t>Brilliant Earth Group Inc. Class A Common Stock</t>
  </si>
  <si>
    <t>AMSC</t>
  </si>
  <si>
    <t>American Superconductor Corporation Common Stock</t>
  </si>
  <si>
    <t>XERS</t>
  </si>
  <si>
    <t>Xeris Biopharma Holdings Inc. Common Stock</t>
  </si>
  <si>
    <t>ORRF</t>
  </si>
  <si>
    <t>Orrstown Financial Services Inc Common Stock</t>
  </si>
  <si>
    <t>MEC</t>
  </si>
  <si>
    <t>Mayville Engineering Company Inc. Common Stock</t>
  </si>
  <si>
    <t>WSBF</t>
  </si>
  <si>
    <t>Waterstone Financial Inc. Common Stock (MD)</t>
  </si>
  <si>
    <t>FSBW</t>
  </si>
  <si>
    <t>FS Bancorp Inc. Common Stock</t>
  </si>
  <si>
    <t>TSBK</t>
  </si>
  <si>
    <t>Timberland Bancorp Inc. Common Stock</t>
  </si>
  <si>
    <t>OVID</t>
  </si>
  <si>
    <t>Ovid Therapeutics Inc. Common Stock</t>
  </si>
  <si>
    <t>FET</t>
  </si>
  <si>
    <t>Forum Energy Technologies Inc. Common Stock</t>
  </si>
  <si>
    <t>SAMG</t>
  </si>
  <si>
    <t>Silvercrest Asset Management Group Inc. Class A Common Stock</t>
  </si>
  <si>
    <t>CIVB</t>
  </si>
  <si>
    <t>Civista Bancshares Inc. Common Stock</t>
  </si>
  <si>
    <t>TSP</t>
  </si>
  <si>
    <t>TuSimple Holdings Inc. Class A Common Stock</t>
  </si>
  <si>
    <t>AMLI</t>
  </si>
  <si>
    <t>American Lithium Corp. Common Stock</t>
  </si>
  <si>
    <t>EYPT</t>
  </si>
  <si>
    <t>EyePoint Pharmaceuticals Inc. Common Stock</t>
  </si>
  <si>
    <t>RDIB</t>
  </si>
  <si>
    <t>Reading International Inc Class B Common Stock</t>
  </si>
  <si>
    <t>SFST</t>
  </si>
  <si>
    <t>Southern First Bancshares Inc. Common Stock</t>
  </si>
  <si>
    <t>QUAD</t>
  </si>
  <si>
    <t>Quad Graphics Inc Class A Common Stock</t>
  </si>
  <si>
    <t>Costa Rica</t>
  </si>
  <si>
    <t>TrueCar Inc. Common Stock</t>
  </si>
  <si>
    <t>EPIX</t>
  </si>
  <si>
    <t>ESSA Pharma Inc. Common Stock</t>
  </si>
  <si>
    <t>RM</t>
  </si>
  <si>
    <t>Regional Management Corp. Common Stock</t>
  </si>
  <si>
    <t>VRA</t>
  </si>
  <si>
    <t>Vera Bradley Inc. Common Stock</t>
  </si>
  <si>
    <t>AFCG</t>
  </si>
  <si>
    <t>AFC Gamma Inc. Common Stock</t>
  </si>
  <si>
    <t>FSTR</t>
  </si>
  <si>
    <t>L.B. Foster Company Common Stock</t>
  </si>
  <si>
    <t>BFLY</t>
  </si>
  <si>
    <t>Butterfly Network Inc. Class A Common Stock</t>
  </si>
  <si>
    <t>MBCN</t>
  </si>
  <si>
    <t>Middlefield Banc Corp. Common Stock</t>
  </si>
  <si>
    <t>YMAB</t>
  </si>
  <si>
    <t>Y-mAbs Therapeutics Inc. Common Stock</t>
  </si>
  <si>
    <t>ICG</t>
  </si>
  <si>
    <t>Intchains Group Limited American Depositary Shares</t>
  </si>
  <si>
    <t>SMLR</t>
  </si>
  <si>
    <t>Semler Scientific Inc. Common Stock</t>
  </si>
  <si>
    <t>FSP</t>
  </si>
  <si>
    <t>Franklin Street Properties Corp. Common Stock</t>
  </si>
  <si>
    <t>SNBR</t>
  </si>
  <si>
    <t>Sleep Number Corporation Common Stock</t>
  </si>
  <si>
    <t>SOPH</t>
  </si>
  <si>
    <t>SOPHiA GENETICS SA Ordinary Shares</t>
  </si>
  <si>
    <t>BKKT</t>
  </si>
  <si>
    <t>Bakkt Holdings Inc. Class A Common Stock</t>
  </si>
  <si>
    <t>VPV</t>
  </si>
  <si>
    <t>Invesco Pennsylvania Value Municipal Income Trust Common Stock (DE)</t>
  </si>
  <si>
    <t>PCB</t>
  </si>
  <si>
    <t>PCB Bancorp Common Stock</t>
  </si>
  <si>
    <t>WULF</t>
  </si>
  <si>
    <t>TeraWulf Inc. Common Stock</t>
  </si>
  <si>
    <t>STRS</t>
  </si>
  <si>
    <t>Stratus Properties Inc. Common Stock</t>
  </si>
  <si>
    <t>AUGX</t>
  </si>
  <si>
    <t>Augmedix Inc. Common Stock</t>
  </si>
  <si>
    <t>FULC</t>
  </si>
  <si>
    <t>Fulcrum Therapeutics Inc. Common Stock</t>
  </si>
  <si>
    <t>CNFRZ</t>
  </si>
  <si>
    <t>Conifer Holdings Inc. 9.75% Senior Unsecured Notes due 2028</t>
  </si>
  <si>
    <t>IMMR</t>
  </si>
  <si>
    <t>Immersion Corporation Common Stock</t>
  </si>
  <si>
    <t>RPHM</t>
  </si>
  <si>
    <t>Reneo Pharmaceuticals Inc. Common Stock</t>
  </si>
  <si>
    <t>TCBX</t>
  </si>
  <si>
    <t>Third Coast Bancshares Inc. Common Stock</t>
  </si>
  <si>
    <t>AXGN</t>
  </si>
  <si>
    <t>Axogen Inc. Common Stock</t>
  </si>
  <si>
    <t>IONR</t>
  </si>
  <si>
    <t>ioneer Ltd American Depositary Shares</t>
  </si>
  <si>
    <t>NLOP</t>
  </si>
  <si>
    <t>Net Lease Office Properties Common Shares of Beneficial Interest</t>
  </si>
  <si>
    <t>LPSN</t>
  </si>
  <si>
    <t>LivePerson Inc. Common Stock</t>
  </si>
  <si>
    <t>REAL</t>
  </si>
  <si>
    <t>The RealReal Inc. Common Stock</t>
  </si>
  <si>
    <t>TERN</t>
  </si>
  <si>
    <t>Terns Pharmaceuticals Inc. Common Stock</t>
  </si>
  <si>
    <t>DRTS</t>
  </si>
  <si>
    <t>Alpha Tau Medical Ltd. Ordinary Shares</t>
  </si>
  <si>
    <t>LXFR</t>
  </si>
  <si>
    <t>Luxfer Holdings PLC Ordinary Shares</t>
  </si>
  <si>
    <t>TCRX</t>
  </si>
  <si>
    <t>TScan Therapeutics Inc. Common Stock</t>
  </si>
  <si>
    <t>USCB</t>
  </si>
  <si>
    <t>USCB Financial Holdings Inc. Class A Common Stock</t>
  </si>
  <si>
    <t>TDUP</t>
  </si>
  <si>
    <t>ThredUp Inc. Class A Common Stock</t>
  </si>
  <si>
    <t>AAN</t>
  </si>
  <si>
    <t>Aarons Holdings Company Inc. Common Stock</t>
  </si>
  <si>
    <t>LFCR</t>
  </si>
  <si>
    <t>Lifecore Biomedical Inc. Common Stock</t>
  </si>
  <si>
    <t>FUND</t>
  </si>
  <si>
    <t>Sprott Focus Trust Inc. Common Stock</t>
  </si>
  <si>
    <t>SMLP</t>
  </si>
  <si>
    <t>Summit Midstream Partners LP Common Units Representing Limited Partner Interests</t>
  </si>
  <si>
    <t>HA</t>
  </si>
  <si>
    <t>Hawaiian Holdings Inc. Common Stock</t>
  </si>
  <si>
    <t>LE</t>
  </si>
  <si>
    <t>Lands' End Inc. Common Stock</t>
  </si>
  <si>
    <t>SLQT</t>
  </si>
  <si>
    <t>SelectQuote Inc. Common Stock</t>
  </si>
  <si>
    <t>SSBK</t>
  </si>
  <si>
    <t>Southern States Bancshares Inc. Common Stock</t>
  </si>
  <si>
    <t>CCLDO</t>
  </si>
  <si>
    <t>CareCloud Inc. 8.75% Series B Cumulative Redeemable Perpetual Preferred Stock</t>
  </si>
  <si>
    <t>BENF</t>
  </si>
  <si>
    <t>Beneficient Class A Common Stock</t>
  </si>
  <si>
    <t>VOXX</t>
  </si>
  <si>
    <t>VOXX International Corporation Class A Common Stock</t>
  </si>
  <si>
    <t>ZIMV</t>
  </si>
  <si>
    <t>ZimVie Inc. Common Stock</t>
  </si>
  <si>
    <t>GASS</t>
  </si>
  <si>
    <t>StealthGas Inc. Common Stock</t>
  </si>
  <si>
    <t>KMDA</t>
  </si>
  <si>
    <t>Kamada Ltd. Ordinary Shares</t>
  </si>
  <si>
    <t>NWFL</t>
  </si>
  <si>
    <t>Norwood Financial Corp. Common Stock</t>
  </si>
  <si>
    <t>GPJA</t>
  </si>
  <si>
    <t>Georgia Power Company Series 2017A 5.00% Junior Subordinated Notes due October 1 2077</t>
  </si>
  <si>
    <t>NEGG</t>
  </si>
  <si>
    <t>Newegg Commerce Inc. Common Shares</t>
  </si>
  <si>
    <t>FREY</t>
  </si>
  <si>
    <t>FREYR Battery Ordinary Shares</t>
  </si>
  <si>
    <t>OVLY</t>
  </si>
  <si>
    <t>Oak Valley Bancorp (CA) Common Stock</t>
  </si>
  <si>
    <t>KFS</t>
  </si>
  <si>
    <t>Kingsway Financial Services Inc. Common Stock (DE)</t>
  </si>
  <si>
    <t>PINE</t>
  </si>
  <si>
    <t>Alpine Income Property Trust Inc. Common Stock</t>
  </si>
  <si>
    <t>PPTA</t>
  </si>
  <si>
    <t>Perpetua Resources Corp. Common Shares</t>
  </si>
  <si>
    <t>TCX</t>
  </si>
  <si>
    <t>Tucows Inc. Class A Common Stock</t>
  </si>
  <si>
    <t>PKBK</t>
  </si>
  <si>
    <t>Parke Bancorp Inc. Common Stock</t>
  </si>
  <si>
    <t>BLZE</t>
  </si>
  <si>
    <t>Backblaze Inc. Class A Common Stock</t>
  </si>
  <si>
    <t>CPSS</t>
  </si>
  <si>
    <t>Consumer Portfolio Services Inc. Common Stock</t>
  </si>
  <si>
    <t>RYAM</t>
  </si>
  <si>
    <t>Rayonier Advanced Materials Inc. Common Stock</t>
  </si>
  <si>
    <t>PBFS</t>
  </si>
  <si>
    <t>Pioneer Bancorp Inc. Common Stock</t>
  </si>
  <si>
    <t>BLFY</t>
  </si>
  <si>
    <t>Blue Foundry Bancorp Common Stock</t>
  </si>
  <si>
    <t>EGAN</t>
  </si>
  <si>
    <t>eGain Corporation Common Stock</t>
  </si>
  <si>
    <t>CHMG</t>
  </si>
  <si>
    <t>Chemung Financial Corp Common Stock</t>
  </si>
  <si>
    <t>INSE</t>
  </si>
  <si>
    <t>Inspired Entertainment Inc. Common Stock</t>
  </si>
  <si>
    <t>GTE</t>
  </si>
  <si>
    <t>Gran Tierra Energy Inc. Common Stock</t>
  </si>
  <si>
    <t>BSVN</t>
  </si>
  <si>
    <t>Bank7 Corp. Common stock</t>
  </si>
  <si>
    <t>NPCE</t>
  </si>
  <si>
    <t>Neuropace Inc. Common Stock</t>
  </si>
  <si>
    <t>CTRN</t>
  </si>
  <si>
    <t>Citi Trends Inc. Common Stock</t>
  </si>
  <si>
    <t>NBTX</t>
  </si>
  <si>
    <t>Nanobiotix S.A. American Depositary Shares</t>
  </si>
  <si>
    <t>WBX</t>
  </si>
  <si>
    <t>Wallbox N.V. Class A Ordinary Shares</t>
  </si>
  <si>
    <t>VLN</t>
  </si>
  <si>
    <t>Valens Semiconductor Ltd. Ordinary Shares</t>
  </si>
  <si>
    <t>GENC</t>
  </si>
  <si>
    <t>Gencor Industries Inc. Common Stock</t>
  </si>
  <si>
    <t>CMCL</t>
  </si>
  <si>
    <t>Caledonia Mining Corporation Plc Common Shares</t>
  </si>
  <si>
    <t>EHTH</t>
  </si>
  <si>
    <t>eHealth Inc. Common Stock</t>
  </si>
  <si>
    <t>AIRE</t>
  </si>
  <si>
    <t>reAlpha Tech Corp. Common Stock</t>
  </si>
  <si>
    <t>III</t>
  </si>
  <si>
    <t>Information Services Group Inc. Common Stock</t>
  </si>
  <si>
    <t>PFMT</t>
  </si>
  <si>
    <t>Performant Financial Corporation Common Stock</t>
  </si>
  <si>
    <t>ARL</t>
  </si>
  <si>
    <t>American Realty Investors Inc. Common Stock</t>
  </si>
  <si>
    <t>XYF</t>
  </si>
  <si>
    <t>X Financial American Depositary Shares each representing six Class A Ordinary Shares</t>
  </si>
  <si>
    <t>VZLA</t>
  </si>
  <si>
    <t>Vizsla Silver Corp. Common Shares</t>
  </si>
  <si>
    <t>CDZI</t>
  </si>
  <si>
    <t>CADIZ Inc. Common Stock</t>
  </si>
  <si>
    <t>TUSK</t>
  </si>
  <si>
    <t>Mammoth Energy Services Inc. Common Stock</t>
  </si>
  <si>
    <t>NCZ</t>
  </si>
  <si>
    <t>Virtus Convertible &amp; Income Fund II Common Shares of Beneficial Interest</t>
  </si>
  <si>
    <t>DSKE</t>
  </si>
  <si>
    <t>Daseke Inc. Common Stock</t>
  </si>
  <si>
    <t>FATE</t>
  </si>
  <si>
    <t>Fate Therapeutics Inc. Common Stock</t>
  </si>
  <si>
    <t>TSE</t>
  </si>
  <si>
    <t>Trinseo PLC Ordinary Shares</t>
  </si>
  <si>
    <t>BWFG</t>
  </si>
  <si>
    <t>Bankwell Financial Group Inc. Common Stock</t>
  </si>
  <si>
    <t>EOSE</t>
  </si>
  <si>
    <t>Eos Energy Enterprises Inc. Class A Common Stock</t>
  </si>
  <si>
    <t>ACB</t>
  </si>
  <si>
    <t>Aurora Cannabis Inc. Common Shares</t>
  </si>
  <si>
    <t>SWKH</t>
  </si>
  <si>
    <t>SWK Holdings Corporation Common Stock</t>
  </si>
  <si>
    <t>MFIN</t>
  </si>
  <si>
    <t>Medallion Financial Corp. Common Stock</t>
  </si>
  <si>
    <t>FENC</t>
  </si>
  <si>
    <t>Fennec Pharmaceuticals Inc. Common Stock</t>
  </si>
  <si>
    <t>EICA</t>
  </si>
  <si>
    <t>Eagle Point Income Company Inc. 5.00% Series A Term Preferred Stock due 2026</t>
  </si>
  <si>
    <t>HIPO</t>
  </si>
  <si>
    <t>Hippo Holdings Inc. Common Stock</t>
  </si>
  <si>
    <t>QIPT</t>
  </si>
  <si>
    <t>Quipt Home Medical Corp. Common Shares</t>
  </si>
  <si>
    <t>MESO</t>
  </si>
  <si>
    <t>Mesoblast Limited American Depositary Shares</t>
  </si>
  <si>
    <t>YRD</t>
  </si>
  <si>
    <t>Yiren Digital Ltd. American Depositary Shares each representing two ordinary shares</t>
  </si>
  <si>
    <t>KNOP</t>
  </si>
  <si>
    <t>KNOT Offshore Partners LP Common Units representing Limited Partner Interests</t>
  </si>
  <si>
    <t>CCLP</t>
  </si>
  <si>
    <t>CSI Compressco LP Common Units</t>
  </si>
  <si>
    <t>HYW</t>
  </si>
  <si>
    <t>Hywin Holdings Ltd. American Depositary Shares</t>
  </si>
  <si>
    <t>IMTXW</t>
  </si>
  <si>
    <t>Immatics N.V. Warrants</t>
  </si>
  <si>
    <t>OPAD</t>
  </si>
  <si>
    <t>Offerpad Solutions Inc. Class A Common Stock</t>
  </si>
  <si>
    <t>RCMT</t>
  </si>
  <si>
    <t>RCM Technologies Inc. Common Stock</t>
  </si>
  <si>
    <t>IREN</t>
  </si>
  <si>
    <t>Iris Energy Limited Ordinary Shares</t>
  </si>
  <si>
    <t>PLBC</t>
  </si>
  <si>
    <t>VIGL</t>
  </si>
  <si>
    <t>Vigil Neuroscience Inc. Common Stock</t>
  </si>
  <si>
    <t>CLMB</t>
  </si>
  <si>
    <t>Climb Global Solutions Inc. Common Stock</t>
  </si>
  <si>
    <t>DLHC</t>
  </si>
  <si>
    <t>DLH Holdings Corp.</t>
  </si>
  <si>
    <t>BPRN</t>
  </si>
  <si>
    <t>Princeton Bancorp Inc. Common Stock (PA)</t>
  </si>
  <si>
    <t>CMPX</t>
  </si>
  <si>
    <t>Compass Therapeutics Inc. Common Stock</t>
  </si>
  <si>
    <t>CVLY</t>
  </si>
  <si>
    <t>Codorus Valley Bancorp Inc Common Stock</t>
  </si>
  <si>
    <t>WRN</t>
  </si>
  <si>
    <t>Western Copper and Gold Corporation Common Stock</t>
  </si>
  <si>
    <t>BLNK</t>
  </si>
  <si>
    <t>Blink Charging Co. Common Stock</t>
  </si>
  <si>
    <t>AKYA</t>
  </si>
  <si>
    <t>Akoya BioSciences Inc. Common Stock</t>
  </si>
  <si>
    <t>VNDA</t>
  </si>
  <si>
    <t>Vanda Pharmaceuticals Inc. Common Stock</t>
  </si>
  <si>
    <t>FVCB</t>
  </si>
  <si>
    <t>FVCBankcorp Inc. Common Stock</t>
  </si>
  <si>
    <t>OUST</t>
  </si>
  <si>
    <t>Ouster Inc. Common Stock</t>
  </si>
  <si>
    <t>CVGI</t>
  </si>
  <si>
    <t>Commercial Vehicle Group Inc. Common Stock</t>
  </si>
  <si>
    <t>SNCRL</t>
  </si>
  <si>
    <t>Synchronoss Technologies Inc. 8.375% Senior Notes due 2026</t>
  </si>
  <si>
    <t>ATAI</t>
  </si>
  <si>
    <t>ATAI Life Sciences N.V. Common Shares</t>
  </si>
  <si>
    <t>EPM</t>
  </si>
  <si>
    <t>Evolution Petroleum Corporation Inc. Common Stock</t>
  </si>
  <si>
    <t>LUNA</t>
  </si>
  <si>
    <t>Luna Innovations Incorporated Common Stock</t>
  </si>
  <si>
    <t>RGC</t>
  </si>
  <si>
    <t>Regencell Bioscience Holdings Limited Ordinary Shares</t>
  </si>
  <si>
    <t>PNRG</t>
  </si>
  <si>
    <t>PrimeEnergy Resources Corporation Common Stock</t>
  </si>
  <si>
    <t>TWIN</t>
  </si>
  <si>
    <t>Twin Disc Incorporated Common Stock</t>
  </si>
  <si>
    <t>ALUR</t>
  </si>
  <si>
    <t>Allurion Technologies Inc. Common Stock</t>
  </si>
  <si>
    <t>MFM</t>
  </si>
  <si>
    <t>MFS Municipal Income Trust Common Stock</t>
  </si>
  <si>
    <t>ALCO</t>
  </si>
  <si>
    <t>Alico Inc. Common Stock</t>
  </si>
  <si>
    <t>RENB</t>
  </si>
  <si>
    <t>Renovaro Biosciences Inc. Common Stock</t>
  </si>
  <si>
    <t>UONE</t>
  </si>
  <si>
    <t>Urban One Inc. Class A Common Stock</t>
  </si>
  <si>
    <t>ACV</t>
  </si>
  <si>
    <t>Virtus Diversified Income &amp; Convertible Fund Common Shares of Beneficial Interest</t>
  </si>
  <si>
    <t>SCLX</t>
  </si>
  <si>
    <t>Scilex Holding Company Common Stock</t>
  </si>
  <si>
    <t>VBNK</t>
  </si>
  <si>
    <t>VersaBank Common Shares</t>
  </si>
  <si>
    <t>ABAT</t>
  </si>
  <si>
    <t>American Battery Technology Company Common Stock</t>
  </si>
  <si>
    <t>YI</t>
  </si>
  <si>
    <t>111 Inc. American Depositary Shares</t>
  </si>
  <si>
    <t>FGBIP</t>
  </si>
  <si>
    <t>First Guaranty Bancshares Inc. 6.75% Series A Fixed-Rate Non-Cumulative Perpetual Preferred Stock</t>
  </si>
  <si>
    <t>DC</t>
  </si>
  <si>
    <t>Dakota Gold Corp. Common Stock</t>
  </si>
  <si>
    <t>HSHP</t>
  </si>
  <si>
    <t>Himalaya Shipping Ltd. Common Shares</t>
  </si>
  <si>
    <t>CLAR</t>
  </si>
  <si>
    <t>Clarus Corporation Common Stock</t>
  </si>
  <si>
    <t>PSTX</t>
  </si>
  <si>
    <t>Poseida Therapeutics Inc. Common Stock</t>
  </si>
  <si>
    <t>PCTTW</t>
  </si>
  <si>
    <t>PureCycle Technologies Inc. Warrant</t>
  </si>
  <si>
    <t>STOK</t>
  </si>
  <si>
    <t>Stoke Therapeutics Inc. Common Stock</t>
  </si>
  <si>
    <t>PROF</t>
  </si>
  <si>
    <t>Profound Medical Corp. Common Stock</t>
  </si>
  <si>
    <t>CBD</t>
  </si>
  <si>
    <t>Companhia Brasileira de Distribuicao American Depsitary Shares; each representing one Common Share</t>
  </si>
  <si>
    <t>IPX</t>
  </si>
  <si>
    <t>IperionX Limited American Depositary Share</t>
  </si>
  <si>
    <t>IPHA</t>
  </si>
  <si>
    <t>Innate Pharma S.A. ADS</t>
  </si>
  <si>
    <t>GROY</t>
  </si>
  <si>
    <t>Gold Royalty Corp. Common Shares</t>
  </si>
  <si>
    <t>OBIO</t>
  </si>
  <si>
    <t>Orchestra BioMed Holdings Inc. Ordinary Shares</t>
  </si>
  <si>
    <t>CVCY</t>
  </si>
  <si>
    <t>Central Valley Community Bancorp Common Stock</t>
  </si>
  <si>
    <t>TREE</t>
  </si>
  <si>
    <t>LendingTree Inc. Common Stock</t>
  </si>
  <si>
    <t>PDLB</t>
  </si>
  <si>
    <t>Ponce Financial Group Inc. Common Stock</t>
  </si>
  <si>
    <t>WHLRL</t>
  </si>
  <si>
    <t>Wheeler Real Estate Investment Trust Inc. 7.00% Senior Subordinated Convertible Notes Due 2031</t>
  </si>
  <si>
    <t>CFFI</t>
  </si>
  <si>
    <t>C&amp;F Financial Corporation Common Stock</t>
  </si>
  <si>
    <t>DWACW</t>
  </si>
  <si>
    <t>Digital World Acquisition Corp. Warrants</t>
  </si>
  <si>
    <t>EDAP</t>
  </si>
  <si>
    <t>EDAP TMS S.A. American Depositary Shares</t>
  </si>
  <si>
    <t>HQI</t>
  </si>
  <si>
    <t>HireQuest Inc. Common Stock (DE)</t>
  </si>
  <si>
    <t>HOFT</t>
  </si>
  <si>
    <t>Hooker Furnishings Corporation Common Stock</t>
  </si>
  <si>
    <t>LWAY</t>
  </si>
  <si>
    <t>Lifeway Foods Inc. Common Stock</t>
  </si>
  <si>
    <t>ASTSW</t>
  </si>
  <si>
    <t>AST SpaceMobile Inc. Warrant</t>
  </si>
  <si>
    <t>OM</t>
  </si>
  <si>
    <t>Outset Medical Inc. Common Stock</t>
  </si>
  <si>
    <t>ZURA</t>
  </si>
  <si>
    <t>Zura Bio Limited Class A Ordinary Shares</t>
  </si>
  <si>
    <t>GHM</t>
  </si>
  <si>
    <t>Graham Corporation Common Stock</t>
  </si>
  <si>
    <t>OCN</t>
  </si>
  <si>
    <t>Ocwen Financial Corporation NEW Common Stock</t>
  </si>
  <si>
    <t>EMX</t>
  </si>
  <si>
    <t>EMX Royalty Corporation Common Shares (Canada)</t>
  </si>
  <si>
    <t>MRAM</t>
  </si>
  <si>
    <t>Everspin Technologies Inc. Common Stock</t>
  </si>
  <si>
    <t>XOMA</t>
  </si>
  <si>
    <t>XOMA Corporation Common Stock</t>
  </si>
  <si>
    <t>VTN</t>
  </si>
  <si>
    <t>Invesco Trust for Investment Grade New York Municipals Common Stock</t>
  </si>
  <si>
    <t>DIBS</t>
  </si>
  <si>
    <t>1stdibs.com Inc. Common Stock</t>
  </si>
  <si>
    <t>LTRX</t>
  </si>
  <si>
    <t>Lantronix Inc. Common Stock</t>
  </si>
  <si>
    <t>ETX</t>
  </si>
  <si>
    <t>Eaton Vance Municipal Income 2028 Term Trust Common Shares of Beneficial Interest</t>
  </si>
  <si>
    <t>DBVT</t>
  </si>
  <si>
    <t>DBV Technologies S.A. American Depositary Shares</t>
  </si>
  <si>
    <t>HYZN</t>
  </si>
  <si>
    <t>Hyzon Motors Inc. Class A Common Stock</t>
  </si>
  <si>
    <t>TOI</t>
  </si>
  <si>
    <t>The Oncology Institute Inc. Common Stock</t>
  </si>
  <si>
    <t>MG</t>
  </si>
  <si>
    <t>Mistras Group Inc Common Stock</t>
  </si>
  <si>
    <t>OB</t>
  </si>
  <si>
    <t>Outbrain Inc. Common Stock</t>
  </si>
  <si>
    <t>LCTX</t>
  </si>
  <si>
    <t>Lineage Cell Therapeutics Inc. Common Stock</t>
  </si>
  <si>
    <t>CALB</t>
  </si>
  <si>
    <t>California BanCorp Common Stock</t>
  </si>
  <si>
    <t>ITI</t>
  </si>
  <si>
    <t>Iteris Inc. Common Stock</t>
  </si>
  <si>
    <t>INBKZ</t>
  </si>
  <si>
    <t>First Internet Bancorp 6.0% Fixed-to-Floating Rate Subordinated Notes Due 2029</t>
  </si>
  <si>
    <t>INFU</t>
  </si>
  <si>
    <t>InfuSystems Holdings Inc. Common Stock</t>
  </si>
  <si>
    <t>REKR</t>
  </si>
  <si>
    <t>Rekor Systems Inc. Common Stock</t>
  </si>
  <si>
    <t>ARQT</t>
  </si>
  <si>
    <t>Arcutis Biotherapeutics Inc. Common Stock</t>
  </si>
  <si>
    <t>ILPT</t>
  </si>
  <si>
    <t>Industrial Logistics Properties Trust Common Shares of Beneficial Interest</t>
  </si>
  <si>
    <t>CLBTW</t>
  </si>
  <si>
    <t>Cellebrite DI Ltd. Warrants</t>
  </si>
  <si>
    <t>INZY</t>
  </si>
  <si>
    <t>Inozyme Pharma Inc. Common Stock</t>
  </si>
  <si>
    <t>BCBP</t>
  </si>
  <si>
    <t>BCB Bancorp Inc. (NJ) Common Stock</t>
  </si>
  <si>
    <t>AENZ</t>
  </si>
  <si>
    <t>Aenza S.A.A. American Depositary Shares</t>
  </si>
  <si>
    <t>BMEZ</t>
  </si>
  <si>
    <t>BlackRock Health Sciences Term Trust Common Shares of Beneficial Interest</t>
  </si>
  <si>
    <t>MSS</t>
  </si>
  <si>
    <t>Maison Solutions Inc. Class A Common Stock</t>
  </si>
  <si>
    <t>TRAK</t>
  </si>
  <si>
    <t>ReposiTrak Common Stock</t>
  </si>
  <si>
    <t>HBB</t>
  </si>
  <si>
    <t>Hamilton Beach Brands Holding Company Class A Common Stock</t>
  </si>
  <si>
    <t>ASUR</t>
  </si>
  <si>
    <t>Asure Software Inc Common Stock</t>
  </si>
  <si>
    <t>LATG</t>
  </si>
  <si>
    <t>Chenghe Acquisition I Co. Class A Ordinary Shares</t>
  </si>
  <si>
    <t>MACK</t>
  </si>
  <si>
    <t>Merrimack Pharmaceuticals Inc. Common Stock</t>
  </si>
  <si>
    <t>PRTS</t>
  </si>
  <si>
    <t>CarParts.com Inc. Common Stock</t>
  </si>
  <si>
    <t>CBAN</t>
  </si>
  <si>
    <t>Colony Bankcorp Inc. Common Stock</t>
  </si>
  <si>
    <t>CHRS</t>
  </si>
  <si>
    <t>Coherus BioSciences Inc. Common Stock</t>
  </si>
  <si>
    <t>CTGO</t>
  </si>
  <si>
    <t>Contango ORE Inc. Common Stock</t>
  </si>
  <si>
    <t>CRMD</t>
  </si>
  <si>
    <t>CorMedix Inc. Common Stock</t>
  </si>
  <si>
    <t>ZOM</t>
  </si>
  <si>
    <t>Zomedica Corp. Common Shares</t>
  </si>
  <si>
    <t>SCPH</t>
  </si>
  <si>
    <t>scPharmaceuticals Inc. Common Stock</t>
  </si>
  <si>
    <t>SRT</t>
  </si>
  <si>
    <t>StarTek Inc. Common Stock</t>
  </si>
  <si>
    <t>AMTX</t>
  </si>
  <si>
    <t>Aemetis Inc. (DE) Common Stock</t>
  </si>
  <si>
    <t>NGS</t>
  </si>
  <si>
    <t>Natural Gas Services Group Inc. Common Stock</t>
  </si>
  <si>
    <t>NAK</t>
  </si>
  <si>
    <t>Northern Dynasty Minerals Ltd. Common Stock</t>
  </si>
  <si>
    <t>EVTL</t>
  </si>
  <si>
    <t>Vertical Aerospace Ltd. Ordinary Shares</t>
  </si>
  <si>
    <t>EXFY</t>
  </si>
  <si>
    <t>Expensify Inc. Class A Common Stock</t>
  </si>
  <si>
    <t>ADRT</t>
  </si>
  <si>
    <t>Ault Disruptive Technologies Corporation Common Stock</t>
  </si>
  <si>
    <t>ENTA</t>
  </si>
  <si>
    <t>Enanta Pharmaceuticals Inc. Common Stock</t>
  </si>
  <si>
    <t>VCSA</t>
  </si>
  <si>
    <t>Vacasa Inc. Class A Common Stock</t>
  </si>
  <si>
    <t>PAYOW</t>
  </si>
  <si>
    <t>Payoneer Global Inc. Warrant</t>
  </si>
  <si>
    <t>LAB</t>
  </si>
  <si>
    <t>Standard BioTools Inc. Common Stock</t>
  </si>
  <si>
    <t>UONEK</t>
  </si>
  <si>
    <t>Urban One Inc. Class D Common Stock</t>
  </si>
  <si>
    <t>GWH</t>
  </si>
  <si>
    <t>ESS Tech Inc. Common Stock</t>
  </si>
  <si>
    <t>THWWW</t>
  </si>
  <si>
    <t>Target Hospitality Corp. Warrant expiring 3/15/2024</t>
  </si>
  <si>
    <t>BTBT</t>
  </si>
  <si>
    <t>Bit Digital Inc. Ordinary Shares</t>
  </si>
  <si>
    <t>CTV</t>
  </si>
  <si>
    <t>Innovid Corp. Common Stock</t>
  </si>
  <si>
    <t>OXSQ</t>
  </si>
  <si>
    <t>Oxford Square Capital Corp. Common Stock</t>
  </si>
  <si>
    <t>HEAR</t>
  </si>
  <si>
    <t>Turtle Beach Corporation Common Stock</t>
  </si>
  <si>
    <t>SPWH</t>
  </si>
  <si>
    <t>Sportsman's Warehouse Holdings Inc. Common Stock</t>
  </si>
  <si>
    <t>HBIO</t>
  </si>
  <si>
    <t>Harvard Bioscience Inc. Common Stock</t>
  </si>
  <si>
    <t>PSQH</t>
  </si>
  <si>
    <t>PSQ Holdings Inc. Class A Common Stock</t>
  </si>
  <si>
    <t>DLTH</t>
  </si>
  <si>
    <t>Duluth Holdings Inc. Class B Common Stock</t>
  </si>
  <si>
    <t>DNTH</t>
  </si>
  <si>
    <t>Dianthus Therapeutics Inc. Common Stock</t>
  </si>
  <si>
    <t>BKSY</t>
  </si>
  <si>
    <t>BlackSky Technology Inc. Class A Common Stock</t>
  </si>
  <si>
    <t>MASS</t>
  </si>
  <si>
    <t>908 Devices Inc. Common Stock</t>
  </si>
  <si>
    <t>BZUN</t>
  </si>
  <si>
    <t>Baozun Inc. American Depositary Shares</t>
  </si>
  <si>
    <t>SNFCA</t>
  </si>
  <si>
    <t>Security National Financial Corporation Class A Common Stock</t>
  </si>
  <si>
    <t>ALIM</t>
  </si>
  <si>
    <t>Alimera Sciences Inc. Common Stock</t>
  </si>
  <si>
    <t>RMAX</t>
  </si>
  <si>
    <t>RE/MAX Holdings Inc. Class A Common Stock</t>
  </si>
  <si>
    <t>VABK</t>
  </si>
  <si>
    <t>Virginia National Bankshares Corporation Common Stock</t>
  </si>
  <si>
    <t>COFS</t>
  </si>
  <si>
    <t>ChoiceOne Financial Services Inc. Common Stock</t>
  </si>
  <si>
    <t>EM</t>
  </si>
  <si>
    <t>Smart Share Global Limited American Depositary Shares</t>
  </si>
  <si>
    <t>SGC</t>
  </si>
  <si>
    <t>Superior Group of Companies Inc. Common Stock</t>
  </si>
  <si>
    <t>AKBA</t>
  </si>
  <si>
    <t>Akebia Therapeutics Inc. Common Stock</t>
  </si>
  <si>
    <t>NIU</t>
  </si>
  <si>
    <t>Niu Technologies American Depositary Shares</t>
  </si>
  <si>
    <t>SCWO</t>
  </si>
  <si>
    <t>374Water Inc. Common Stock</t>
  </si>
  <si>
    <t>Gibraltar</t>
  </si>
  <si>
    <t>SQFTP</t>
  </si>
  <si>
    <t>Presidio Property Trust Inc. 9.375% Series D Cumulative Redeemable Perpetual Preferred Stock $0.01 par value per share</t>
  </si>
  <si>
    <t>ESEA</t>
  </si>
  <si>
    <t>Euroseas Ltd. Common Stock (Marshall Islands)</t>
  </si>
  <si>
    <t>CTG</t>
  </si>
  <si>
    <t>Computer Task Group Inc. Common Stock</t>
  </si>
  <si>
    <t>NOTE</t>
  </si>
  <si>
    <t>FiscalNote Holdings Inc. Class A common stock</t>
  </si>
  <si>
    <t>OCUL</t>
  </si>
  <si>
    <t>Ocular Therapeutix Inc. Common Stock</t>
  </si>
  <si>
    <t>SUPV</t>
  </si>
  <si>
    <t>Grupo Supervielle S.A. American Depositary Shares each Representing five Class B shares</t>
  </si>
  <si>
    <t>CRESW</t>
  </si>
  <si>
    <t>Cresud S.A.C.I.F. y A. Warrant</t>
  </si>
  <si>
    <t>KOPN</t>
  </si>
  <si>
    <t>Kopin Corporation Common Stock</t>
  </si>
  <si>
    <t>IHIT</t>
  </si>
  <si>
    <t>Invesco High Income 2023 Target Term Fund Common Shares of Beneficial Interest</t>
  </si>
  <si>
    <t>PBYI</t>
  </si>
  <si>
    <t>Puma Biotechnology Inc Common Stock</t>
  </si>
  <si>
    <t>MPAA</t>
  </si>
  <si>
    <t>Motorcar Parts  of America Inc. Common Stock</t>
  </si>
  <si>
    <t>CIO</t>
  </si>
  <si>
    <t>City Office REIT Inc. Common Stock</t>
  </si>
  <si>
    <t>NMG</t>
  </si>
  <si>
    <t>Nouveau Monde Graphite Inc. Common Shares</t>
  </si>
  <si>
    <t>PVBC</t>
  </si>
  <si>
    <t>Provident Bancorp Inc. (MD) Common Stock</t>
  </si>
  <si>
    <t>ESSA</t>
  </si>
  <si>
    <t>ESSA Bancorp Inc. Common Stock</t>
  </si>
  <si>
    <t>VERY</t>
  </si>
  <si>
    <t>Vericity Inc. Common Stock</t>
  </si>
  <si>
    <t>PRLD</t>
  </si>
  <si>
    <t>Prelude Therapeutics Incorporated Common Stock</t>
  </si>
  <si>
    <t>LUXH</t>
  </si>
  <si>
    <t>LuxUrban Hotels Inc. Common Stock</t>
  </si>
  <si>
    <t>PDSB</t>
  </si>
  <si>
    <t>PDS Biotechnology Corporation Common Stock</t>
  </si>
  <si>
    <t>VUZI</t>
  </si>
  <si>
    <t>Vuzix Corporation Common Stock</t>
  </si>
  <si>
    <t>PTMN</t>
  </si>
  <si>
    <t>Portman Ridge Finance Corporation Common Stock</t>
  </si>
  <si>
    <t>VCXB</t>
  </si>
  <si>
    <t>10X Capital Venture Acquisition Corp. III Class A Ordinary Shares</t>
  </si>
  <si>
    <t>AIP</t>
  </si>
  <si>
    <t>Arteris Inc. Common Stock</t>
  </si>
  <si>
    <t>ALVR</t>
  </si>
  <si>
    <t>AlloVir Inc. Common Stock</t>
  </si>
  <si>
    <t>RPTX</t>
  </si>
  <si>
    <t>Repare Therapeutics Inc. Common Shares</t>
  </si>
  <si>
    <t>GNFT</t>
  </si>
  <si>
    <t>GENFIT S.A. American Depositary Shares</t>
  </si>
  <si>
    <t>SEVN</t>
  </si>
  <si>
    <t>Seven Hills Realty Trust Common Stock</t>
  </si>
  <si>
    <t>RCKY</t>
  </si>
  <si>
    <t>Rocky Brands Inc. Common Stock</t>
  </si>
  <si>
    <t>VSTM</t>
  </si>
  <si>
    <t>Verastem Inc. Common Stock</t>
  </si>
  <si>
    <t>LCNB</t>
  </si>
  <si>
    <t>LCNB Corporation Common Stock</t>
  </si>
  <si>
    <t>KLXE</t>
  </si>
  <si>
    <t>KLX Energy Services Holdings Inc. Common Stock</t>
  </si>
  <si>
    <t>FLL</t>
  </si>
  <si>
    <t>Full House Resorts Inc. Common Stock</t>
  </si>
  <si>
    <t>TBLAW</t>
  </si>
  <si>
    <t>Taboola.com Ltd. Warrant</t>
  </si>
  <si>
    <t>ORN</t>
  </si>
  <si>
    <t>Orion Group Holdings Inc. Common</t>
  </si>
  <si>
    <t>FT</t>
  </si>
  <si>
    <t>Franklin Universal Trust Common Stock</t>
  </si>
  <si>
    <t>WNEB</t>
  </si>
  <si>
    <t>Western New England Bancorp Inc. Common Stock</t>
  </si>
  <si>
    <t>GLUE</t>
  </si>
  <si>
    <t>Monte Rosa Therapeutics Inc. Common Stock</t>
  </si>
  <si>
    <t>AIXI</t>
  </si>
  <si>
    <t>XIAO-I Corporation American Depositary Shares</t>
  </si>
  <si>
    <t>DNMR</t>
  </si>
  <si>
    <t>Danimer Scientific Inc. Common Stock</t>
  </si>
  <si>
    <t>ALTO</t>
  </si>
  <si>
    <t>Alto Ingredients Inc. Common Stock</t>
  </si>
  <si>
    <t>CPSI</t>
  </si>
  <si>
    <t>Computer Programs and Systems Inc. Common Stock</t>
  </si>
  <si>
    <t>KGEI</t>
  </si>
  <si>
    <t>Kolibri Global Energy Inc. Common stock</t>
  </si>
  <si>
    <t>NUTX</t>
  </si>
  <si>
    <t>Nutex Health Inc. Common Stock</t>
  </si>
  <si>
    <t>ATLO</t>
  </si>
  <si>
    <t>Ames National Corporation Common Stock</t>
  </si>
  <si>
    <t>RDW</t>
  </si>
  <si>
    <t>Redwire Corporation Common Stock</t>
  </si>
  <si>
    <t>LYRA</t>
  </si>
  <si>
    <t>Lyra Therapeutics Inc. Common Stock</t>
  </si>
  <si>
    <t>MNSBP</t>
  </si>
  <si>
    <t>MainStreet Bancshares Inc. Depositary Shares</t>
  </si>
  <si>
    <t>PGYWW</t>
  </si>
  <si>
    <t>Pagaya Technologies Ltd. Warrants</t>
  </si>
  <si>
    <t>MKFG</t>
  </si>
  <si>
    <t>Markforged Holding Corporation Common Stock</t>
  </si>
  <si>
    <t>RGCO</t>
  </si>
  <si>
    <t>RGC Resources Inc. Common Stock</t>
  </si>
  <si>
    <t>PMTS</t>
  </si>
  <si>
    <t>CPI Card Group Inc. Common Stock</t>
  </si>
  <si>
    <t>TEAF</t>
  </si>
  <si>
    <t>Ecofin Sustainable and Social Impact Term Fund</t>
  </si>
  <si>
    <t>ELLO</t>
  </si>
  <si>
    <t>Ellomay Capital Ltd Ordinary Shares (Israel)</t>
  </si>
  <si>
    <t>GEOS</t>
  </si>
  <si>
    <t>Geospace Technologies Corporation Common Stock (Texas)</t>
  </si>
  <si>
    <t>RELL</t>
  </si>
  <si>
    <t>Richardson Electronics Ltd. Common Stock</t>
  </si>
  <si>
    <t>TGAN</t>
  </si>
  <si>
    <t>Transphorm Inc. Common Stock</t>
  </si>
  <si>
    <t>CBH</t>
  </si>
  <si>
    <t>Virtus Convertible &amp; Income 2024 Target Term Fund Common Shares of Beneficial Interest</t>
  </si>
  <si>
    <t>ALLK</t>
  </si>
  <si>
    <t>Allakos Inc. Common Stock</t>
  </si>
  <si>
    <t>SACH</t>
  </si>
  <si>
    <t>Sachem Capital Corp. Common Shares</t>
  </si>
  <si>
    <t>IVA</t>
  </si>
  <si>
    <t>Inventiva S.A. American Depository Shares</t>
  </si>
  <si>
    <t>MHLD</t>
  </si>
  <si>
    <t>Maiden Holdings Ltd.</t>
  </si>
  <si>
    <t>FBP</t>
  </si>
  <si>
    <t>First BanCorp. New Common Stock</t>
  </si>
  <si>
    <t>MRCC</t>
  </si>
  <si>
    <t>Monroe Capital Corporation Common Stock</t>
  </si>
  <si>
    <t>AEON</t>
  </si>
  <si>
    <t>AEON Biopharma Inc. Class A Common Stock</t>
  </si>
  <si>
    <t>TSAT</t>
  </si>
  <si>
    <t>Telesat Corporation Class A Common Shares and Class B Variable Voting Shares</t>
  </si>
  <si>
    <t>MNSB</t>
  </si>
  <si>
    <t>MainStreet Bancshares Inc. Common Stock</t>
  </si>
  <si>
    <t>GOEV</t>
  </si>
  <si>
    <t>Canoo Inc. Class A Common Stock</t>
  </si>
  <si>
    <t>IVVD</t>
  </si>
  <si>
    <t>Invivyd Inc. Common Stock</t>
  </si>
  <si>
    <t>EGIO</t>
  </si>
  <si>
    <t>Edgio Inc. Common Stock</t>
  </si>
  <si>
    <t>GRIN</t>
  </si>
  <si>
    <t>Grindrod Shipping Holdings Ltd. Ordinary Shares</t>
  </si>
  <si>
    <t>CMT</t>
  </si>
  <si>
    <t>Core Molding Technologies Inc Common Stock</t>
  </si>
  <si>
    <t>PETS</t>
  </si>
  <si>
    <t>PetMed Express Inc. Common Stock</t>
  </si>
  <si>
    <t>TOP</t>
  </si>
  <si>
    <t>TOP Financial Group Limited Ordinary Shares</t>
  </si>
  <si>
    <t>MBAC</t>
  </si>
  <si>
    <t>M3-Brigade Acquisition II Corp. Class A Common Stock</t>
  </si>
  <si>
    <t>PIM</t>
  </si>
  <si>
    <t>Putnam Master Intermediate Income Trust Common Stock</t>
  </si>
  <si>
    <t>OPRX</t>
  </si>
  <si>
    <t>OptimizeRx Corporation Common Stock</t>
  </si>
  <si>
    <t>IMRX</t>
  </si>
  <si>
    <t>Immuneering Corporation Class A Common Stock</t>
  </si>
  <si>
    <t>TG</t>
  </si>
  <si>
    <t>Tredegar Corporation Common Stock</t>
  </si>
  <si>
    <t>CIA</t>
  </si>
  <si>
    <t>Citizens Inc. Class A Common Stock ($1.00 Par)</t>
  </si>
  <si>
    <t>BTAI</t>
  </si>
  <si>
    <t>BioXcel Therapeutics Inc. Common Stock</t>
  </si>
  <si>
    <t>XTNT</t>
  </si>
  <si>
    <t>Xtant Medical Holdings Inc. Common Stock</t>
  </si>
  <si>
    <t>HWBK</t>
  </si>
  <si>
    <t>Hawthorn Bancshares Inc. Common Stock</t>
  </si>
  <si>
    <t>ZVRA</t>
  </si>
  <si>
    <t>Zevra Therapeutics Inc. Common Stock</t>
  </si>
  <si>
    <t>CIFRW</t>
  </si>
  <si>
    <t>Cipher Mining Inc. Warrant</t>
  </si>
  <si>
    <t>TSQ</t>
  </si>
  <si>
    <t>Townsquare Media Inc. Class A Common Stock</t>
  </si>
  <si>
    <t>STHO</t>
  </si>
  <si>
    <t>Star Holdings Shares of Beneficial Interest</t>
  </si>
  <si>
    <t>LOOP</t>
  </si>
  <si>
    <t>Loop Industries Inc. Common Stock</t>
  </si>
  <si>
    <t>NKSH</t>
  </si>
  <si>
    <t>National Bankshares Inc. Common Stock</t>
  </si>
  <si>
    <t>AERT</t>
  </si>
  <si>
    <t>Aeries Technology Inc. Class A Ordinary Share</t>
  </si>
  <si>
    <t>CANG</t>
  </si>
  <si>
    <t>Cango Inc. American Depositary Shares  each representing two (2) Class A Ordinary Shares</t>
  </si>
  <si>
    <t>Cango Inc. American Depositary Shares each representing two (2) Class A Ordinary Shares</t>
  </si>
  <si>
    <t>MOLN</t>
  </si>
  <si>
    <t>Molecular Partners AG American Depositary Shares</t>
  </si>
  <si>
    <t>MAPS</t>
  </si>
  <si>
    <t>WM Technology Inc. Class A Common Stock</t>
  </si>
  <si>
    <t>EVBN</t>
  </si>
  <si>
    <t>Evans Bancorp Inc. Common Stock</t>
  </si>
  <si>
    <t>PWOD</t>
  </si>
  <si>
    <t>Penns Woods Bancorp Inc. Common Stock</t>
  </si>
  <si>
    <t>BARK</t>
  </si>
  <si>
    <t>BARK Inc. Class A Common Stock</t>
  </si>
  <si>
    <t>CRNT</t>
  </si>
  <si>
    <t>Ceragon Networks Ltd. Ordinary Shares</t>
  </si>
  <si>
    <t>FRAF</t>
  </si>
  <si>
    <t>Franklin Financial Services Corporation Common Stock</t>
  </si>
  <si>
    <t>LITB</t>
  </si>
  <si>
    <t>LightInTheBox Holding Co. Ltd. American Depositary Shares each representing 2 ordinary shares</t>
  </si>
  <si>
    <t>INTT</t>
  </si>
  <si>
    <t>inTest Corporation Common Stock</t>
  </si>
  <si>
    <t>MYFW</t>
  </si>
  <si>
    <t>First Western Financial Inc. Common Stock</t>
  </si>
  <si>
    <t>SELB</t>
  </si>
  <si>
    <t>Selecta Biosciences Inc. Common Stock</t>
  </si>
  <si>
    <t>QRHC</t>
  </si>
  <si>
    <t>Quest Resource Holding Corporation Common Stock</t>
  </si>
  <si>
    <t>SKIL</t>
  </si>
  <si>
    <t>Skillsoft Corp. Class A Common Stock</t>
  </si>
  <si>
    <t>MRSN</t>
  </si>
  <si>
    <t>Mersana Therapeutics Inc. Common Stock</t>
  </si>
  <si>
    <t>PEBK</t>
  </si>
  <si>
    <t>Peoples Bancorp of North Carolina Inc. Common Stock</t>
  </si>
  <si>
    <t>STRRP</t>
  </si>
  <si>
    <t>Star Equity Holdings Inc. Series A Cumulative Perpetual Preferred Stock</t>
  </si>
  <si>
    <t>EP</t>
  </si>
  <si>
    <t>Empire Petroleum Corporation Common Stock</t>
  </si>
  <si>
    <t>TIO</t>
  </si>
  <si>
    <t>Tingo Group Inc. Common Stock</t>
  </si>
  <si>
    <t>CATO</t>
  </si>
  <si>
    <t>Cato Corporation (The) Class A Common Stock</t>
  </si>
  <si>
    <t>SOL</t>
  </si>
  <si>
    <t>Emeren Group Ltd American Depositary Shares each representing 10 shares</t>
  </si>
  <si>
    <t>MLGO</t>
  </si>
  <si>
    <t>MicroAlgo Inc. Ordinary Shares</t>
  </si>
  <si>
    <t>LCA</t>
  </si>
  <si>
    <t>Landcadia Holdings IV Inc. Class A Common Stock</t>
  </si>
  <si>
    <t>CSTE</t>
  </si>
  <si>
    <t>Caesarstone Ltd. Ordinary Shares</t>
  </si>
  <si>
    <t>ROOT</t>
  </si>
  <si>
    <t>Root Inc. Class A Common Stock</t>
  </si>
  <si>
    <t>OPT</t>
  </si>
  <si>
    <t>Opthea Limited American Depositary Shares</t>
  </si>
  <si>
    <t>MTA</t>
  </si>
  <si>
    <t>Metalla Royalty &amp; Streaming Ltd. Common Shares</t>
  </si>
  <si>
    <t>RIGL</t>
  </si>
  <si>
    <t>Rigel Pharmaceuticals Inc. Common Stock</t>
  </si>
  <si>
    <t>VIASP</t>
  </si>
  <si>
    <t>Via Renewables Inc. 8.75% Series A Fixed-to-Floating Rate Cumulative Redeemable Perpetual Preferred Stock</t>
  </si>
  <si>
    <t>DOUG</t>
  </si>
  <si>
    <t>Douglas Elliman Inc. Common Stock</t>
  </si>
  <si>
    <t>HNST</t>
  </si>
  <si>
    <t>The Honest Company Inc. Common Stock</t>
  </si>
  <si>
    <t>FRLA</t>
  </si>
  <si>
    <t>Fortune Rise Acquisition Corporation Class A Common Stock</t>
  </si>
  <si>
    <t>VTYX</t>
  </si>
  <si>
    <t>Ventyx Biosciences Inc. Common Stock</t>
  </si>
  <si>
    <t>GRX</t>
  </si>
  <si>
    <t>The Gabelli Healthcare &amp; Wellness Trust Common Shares of Beneficial Interest</t>
  </si>
  <si>
    <t>CMAX</t>
  </si>
  <si>
    <t>CareMax Inc. Class A Common Stock</t>
  </si>
  <si>
    <t>CDRO</t>
  </si>
  <si>
    <t>Codere Online Luxembourg S.A. Ordinary Shares</t>
  </si>
  <si>
    <t>SQNS</t>
  </si>
  <si>
    <t>Sequans Communications S.A. American Depositary Shares</t>
  </si>
  <si>
    <t>UBFO</t>
  </si>
  <si>
    <t>United Security Bancshares Common Stock</t>
  </si>
  <si>
    <t>NYXH</t>
  </si>
  <si>
    <t>Nyxoah SA Ordinary Shares</t>
  </si>
  <si>
    <t>STKS</t>
  </si>
  <si>
    <t>The ONE Group Hospitality Inc. Common Stock</t>
  </si>
  <si>
    <t>SHLT</t>
  </si>
  <si>
    <t>SHL Telemedicine Ltd American Depositary Shares</t>
  </si>
  <si>
    <t>NVCT</t>
  </si>
  <si>
    <t>Nuvectis Pharma Inc. Common Stock</t>
  </si>
  <si>
    <t>VOC</t>
  </si>
  <si>
    <t>VOC Energy Trust Units of Beneficial Interest</t>
  </si>
  <si>
    <t>INBK</t>
  </si>
  <si>
    <t>First Internet Bancorp Common Stock</t>
  </si>
  <si>
    <t>GLDG</t>
  </si>
  <si>
    <t>GoldMining Inc. Common Shares</t>
  </si>
  <si>
    <t>OFS</t>
  </si>
  <si>
    <t>OFS Capital Corporation Common Stock</t>
  </si>
  <si>
    <t>MPV</t>
  </si>
  <si>
    <t>Barings Participation Investors Common Stock</t>
  </si>
  <si>
    <t>FGFPP</t>
  </si>
  <si>
    <t>FG Financial Group Inc. 8.00% Cumulative Preferred Stock</t>
  </si>
  <si>
    <t>USAP</t>
  </si>
  <si>
    <t>Universal Stainless &amp; Alloy Products Inc. Common Stock</t>
  </si>
  <si>
    <t>OPTN</t>
  </si>
  <si>
    <t>OptiNose Inc. Common Stock</t>
  </si>
  <si>
    <t>RRGB</t>
  </si>
  <si>
    <t>Red Robin Gourmet Burgers Inc. Common Stock</t>
  </si>
  <si>
    <t>BSET</t>
  </si>
  <si>
    <t>Bassett Furniture Industries Incorporated Common Stock</t>
  </si>
  <si>
    <t>MVO</t>
  </si>
  <si>
    <t>MV Oil Trust Units of Beneficial Interests</t>
  </si>
  <si>
    <t>BHR</t>
  </si>
  <si>
    <t>Braemar Hotels &amp; Resorts Inc. Common Stock</t>
  </si>
  <si>
    <t>IH</t>
  </si>
  <si>
    <t>iHuman Inc. American depositary shares each representing five Class A ordinary shares</t>
  </si>
  <si>
    <t>FHTX</t>
  </si>
  <si>
    <t>Foghorn Therapeutics Inc. Common Stock</t>
  </si>
  <si>
    <t>GRTS</t>
  </si>
  <si>
    <t>Gritstone bio Inc. Common Stock</t>
  </si>
  <si>
    <t>LCUT</t>
  </si>
  <si>
    <t>Lifetime Brands Inc. Common Stock</t>
  </si>
  <si>
    <t>ZVIA</t>
  </si>
  <si>
    <t>Zevia PBC Class A Common Stock</t>
  </si>
  <si>
    <t>CNTY</t>
  </si>
  <si>
    <t>Century Casinos Inc. Common Stock</t>
  </si>
  <si>
    <t>GRPH</t>
  </si>
  <si>
    <t>Graphite Bio Inc. Common Stock</t>
  </si>
  <si>
    <t>NVTA</t>
  </si>
  <si>
    <t>Invitae Corporation Common Stock</t>
  </si>
  <si>
    <t>UCAR</t>
  </si>
  <si>
    <t>U Power Limited Ordinary Shares</t>
  </si>
  <si>
    <t>ALDX</t>
  </si>
  <si>
    <t>Aldeyra Therapeutics Inc. Common Stock</t>
  </si>
  <si>
    <t>ALT</t>
  </si>
  <si>
    <t>Altimmune Inc. Common Stock</t>
  </si>
  <si>
    <t>ISSC</t>
  </si>
  <si>
    <t>Innovative Solutions and Support Inc. Common Stock</t>
  </si>
  <si>
    <t>SST</t>
  </si>
  <si>
    <t>System1 Inc. Class A Common Stock</t>
  </si>
  <si>
    <t>MAMA</t>
  </si>
  <si>
    <t>Mama's Creations Inc. Common Stock</t>
  </si>
  <si>
    <t>AAIC</t>
  </si>
  <si>
    <t>Arlington Asset Investment Corp Class A (new)</t>
  </si>
  <si>
    <t>PCTI</t>
  </si>
  <si>
    <t>PCTEL Inc. Common Stock</t>
  </si>
  <si>
    <t>CCRD</t>
  </si>
  <si>
    <t>CoreCard Corporation Common Stock</t>
  </si>
  <si>
    <t>ATOM</t>
  </si>
  <si>
    <t>Atomera Incorporated Common Stock</t>
  </si>
  <si>
    <t>WILC</t>
  </si>
  <si>
    <t>G. Willi-Food International  Ltd. Ordinary Shares</t>
  </si>
  <si>
    <t>FCCO</t>
  </si>
  <si>
    <t>First Community Corporation Common Stock</t>
  </si>
  <si>
    <t>QUIK</t>
  </si>
  <si>
    <t>QuickLogic Corporation Common Stock</t>
  </si>
  <si>
    <t>MCRB</t>
  </si>
  <si>
    <t>Seres Therapeutics Inc. Common Stock</t>
  </si>
  <si>
    <t>GLSI</t>
  </si>
  <si>
    <t>Greenwich LifeSciences Inc. Common Stock</t>
  </si>
  <si>
    <t>FINW</t>
  </si>
  <si>
    <t>FinWise Bancorp Common Stock</t>
  </si>
  <si>
    <t>CNF</t>
  </si>
  <si>
    <t>CNFinance Holdings Limited American Depositary Shares each representing twenty (20) Ordinary Shares</t>
  </si>
  <si>
    <t>CNFinance Holdings Limited American Depositary Shares each representing  twenty (20) Ordinary Shares</t>
  </si>
  <si>
    <t>IMAB</t>
  </si>
  <si>
    <t>I-MAB American Depositary Shares</t>
  </si>
  <si>
    <t>RVPH</t>
  </si>
  <si>
    <t>Reviva Pharmaceuticals Holdings Inc. Common Stock</t>
  </si>
  <si>
    <t>AEVA</t>
  </si>
  <si>
    <t>Aeva Technologies Inc. Common Stock</t>
  </si>
  <si>
    <t>VRCA</t>
  </si>
  <si>
    <t>Verrica Pharmaceuticals Inc. Common Stock</t>
  </si>
  <si>
    <t>ATXS</t>
  </si>
  <si>
    <t>Astria Therapeutics Inc. Common Stock</t>
  </si>
  <si>
    <t>FNWB</t>
  </si>
  <si>
    <t>First Northwest Bancorp Common Stock</t>
  </si>
  <si>
    <t>UPLD</t>
  </si>
  <si>
    <t>Upland Software Inc. Common Stock</t>
  </si>
  <si>
    <t>NB</t>
  </si>
  <si>
    <t>NioCorp Developments Ltd. Common Stock</t>
  </si>
  <si>
    <t>LLAP</t>
  </si>
  <si>
    <t>Terran Orbital Corporation Common Stock</t>
  </si>
  <si>
    <t>HNVR</t>
  </si>
  <si>
    <t>Hanover Bancorp Inc. Common Stock</t>
  </si>
  <si>
    <t>PXDT</t>
  </si>
  <si>
    <t>Pixie Dust Technologies Inc. American Depositary Shares</t>
  </si>
  <si>
    <t>OPBK</t>
  </si>
  <si>
    <t>OP Bancorp Common Stock</t>
  </si>
  <si>
    <t>APLT</t>
  </si>
  <si>
    <t>Applied Therapeutics Inc. Common Stock</t>
  </si>
  <si>
    <t>LGO</t>
  </si>
  <si>
    <t>Largo Inc. Common Shares</t>
  </si>
  <si>
    <t>QSG</t>
  </si>
  <si>
    <t>QuantaSing Group Limited American Depositary Shares</t>
  </si>
  <si>
    <t>PAYS</t>
  </si>
  <si>
    <t>Paysign Inc. Common Stock</t>
  </si>
  <si>
    <t>FREE</t>
  </si>
  <si>
    <t>Whole Earth Brands Inc. Class A Common Stock</t>
  </si>
  <si>
    <t>EIC</t>
  </si>
  <si>
    <t>Eagle Point Income Company Inc. Common Stock</t>
  </si>
  <si>
    <t>SGA</t>
  </si>
  <si>
    <t>Saga Communications Inc. Class A Common Stock (FL)</t>
  </si>
  <si>
    <t>VAXX</t>
  </si>
  <si>
    <t>Vaxxinity Inc. Class A Common Stock</t>
  </si>
  <si>
    <t>TNYA</t>
  </si>
  <si>
    <t>Tenaya Therapeutics Inc. Common Stock</t>
  </si>
  <si>
    <t>ORGN</t>
  </si>
  <si>
    <t>Origin Materials Inc. Common Stock</t>
  </si>
  <si>
    <t>HURC</t>
  </si>
  <si>
    <t>Hurco Companies Inc. Common Stock</t>
  </si>
  <si>
    <t>GGT</t>
  </si>
  <si>
    <t>Gabelli Multi-Media Trust Inc. (The) Common Stock</t>
  </si>
  <si>
    <t>PRAX</t>
  </si>
  <si>
    <t>Praxis Precision Medicines Inc. Common Stock</t>
  </si>
  <si>
    <t>STRO</t>
  </si>
  <si>
    <t>Sutro Biopharma Inc. Common Stock</t>
  </si>
  <si>
    <t>ALYA</t>
  </si>
  <si>
    <t>Alithya Group inc. Class A Subordinate Voting Shares</t>
  </si>
  <si>
    <t>KVSA</t>
  </si>
  <si>
    <t>Khosla Ventures Acquisition Co. Class A Common Stock</t>
  </si>
  <si>
    <t>GALT</t>
  </si>
  <si>
    <t>PMEC</t>
  </si>
  <si>
    <t>Primech Holdings Ltd. Ordinary Shares</t>
  </si>
  <si>
    <t>PTRS</t>
  </si>
  <si>
    <t>Partners Bancorp Common Stock</t>
  </si>
  <si>
    <t>LBPH</t>
  </si>
  <si>
    <t>Longboard Pharmaceuticals Inc. Common Stock</t>
  </si>
  <si>
    <t>ULBI</t>
  </si>
  <si>
    <t>Ultralife Corporation Common Stock</t>
  </si>
  <si>
    <t>NSTB</t>
  </si>
  <si>
    <t>Northern Star Investment Corp. II Class A Common stock</t>
  </si>
  <si>
    <t>BIVI</t>
  </si>
  <si>
    <t>BioVie Inc. Class A Common Stock</t>
  </si>
  <si>
    <t>OPA</t>
  </si>
  <si>
    <t>Magnum Opus Acquisition Limited Class A Ordinary Shares</t>
  </si>
  <si>
    <t>INMB</t>
  </si>
  <si>
    <t>INmune Bio Inc. Common stock</t>
  </si>
  <si>
    <t>XFOR</t>
  </si>
  <si>
    <t>X4 Pharmaceuticals Inc. Common Stock</t>
  </si>
  <si>
    <t>CRGO</t>
  </si>
  <si>
    <t>Freightos Limited Ordinary shares</t>
  </si>
  <si>
    <t>INVE</t>
  </si>
  <si>
    <t>Identiv Inc. Common Stock</t>
  </si>
  <si>
    <t>ARBE</t>
  </si>
  <si>
    <t>Arbe Robotics Ltd. Ordinary Shares</t>
  </si>
  <si>
    <t>JYNT</t>
  </si>
  <si>
    <t>The Joint Corp. Common Stock</t>
  </si>
  <si>
    <t>MRBK</t>
  </si>
  <si>
    <t>Meridian Corporation Common Stock</t>
  </si>
  <si>
    <t>CTXR</t>
  </si>
  <si>
    <t>Citius Pharmaceuticals Inc. Common Stock</t>
  </si>
  <si>
    <t>RVSB</t>
  </si>
  <si>
    <t>Riverview Bancorp Inc Common Stock</t>
  </si>
  <si>
    <t>WRAP</t>
  </si>
  <si>
    <t>Wrap Technologies Inc. Common Stock</t>
  </si>
  <si>
    <t>AENT</t>
  </si>
  <si>
    <t>Alliance Entertainment Holding Corporation Class A Common Stock</t>
  </si>
  <si>
    <t>AJX</t>
  </si>
  <si>
    <t>Great Ajax Corp. Common Stock</t>
  </si>
  <si>
    <t>ZTEK</t>
  </si>
  <si>
    <t>Zentek Ltd. Common Stock</t>
  </si>
  <si>
    <t>RDCM</t>
  </si>
  <si>
    <t>Radcom Ltd. Ordinary Shares</t>
  </si>
  <si>
    <t>SKYX</t>
  </si>
  <si>
    <t>SKYX Platforms Corp. Common Stock</t>
  </si>
  <si>
    <t>VGAS</t>
  </si>
  <si>
    <t>Verde Clean Fuels Inc. Class A Common Stock</t>
  </si>
  <si>
    <t>NNAVW</t>
  </si>
  <si>
    <t>NextNav Inc. Warrant</t>
  </si>
  <si>
    <t>ATNM</t>
  </si>
  <si>
    <t>Actinium Pharmaceuticals Inc. (Delaware) Common Stock</t>
  </si>
  <si>
    <t>EPSN</t>
  </si>
  <si>
    <t>Epsilon Energy Ltd. Common Share</t>
  </si>
  <si>
    <t>WISH</t>
  </si>
  <si>
    <t>ContextLogic Inc. Class A Common Stock</t>
  </si>
  <si>
    <t>EGRX</t>
  </si>
  <si>
    <t>Eagle Pharmaceuticals Inc. Common Stock</t>
  </si>
  <si>
    <t>UFI</t>
  </si>
  <si>
    <t>Unifi Inc. New Common Stock</t>
  </si>
  <si>
    <t>RMBI</t>
  </si>
  <si>
    <t>Richmond Mutual Bancorporation Inc. Common Stock</t>
  </si>
  <si>
    <t>XBIT</t>
  </si>
  <si>
    <t>XBiotech Inc. Common Stock</t>
  </si>
  <si>
    <t>SMID</t>
  </si>
  <si>
    <t>Smith-Midland Corporation Common Stock</t>
  </si>
  <si>
    <t>FNCB</t>
  </si>
  <si>
    <t>FNCB Bancorp Inc. Common Stock</t>
  </si>
  <si>
    <t>VOR</t>
  </si>
  <si>
    <t>Vor Biopharma Inc. Common Stock</t>
  </si>
  <si>
    <t>BANX</t>
  </si>
  <si>
    <t>ArrowMark Financial Corp. Common Stock</t>
  </si>
  <si>
    <t>BVFL</t>
  </si>
  <si>
    <t>BV Financial Inc. Common Stock</t>
  </si>
  <si>
    <t>STXS</t>
  </si>
  <si>
    <t>Stereotaxis Inc. Common Stock</t>
  </si>
  <si>
    <t>FTK</t>
  </si>
  <si>
    <t>Flotek Industries Inc. Common Stock</t>
  </si>
  <si>
    <t>JHS</t>
  </si>
  <si>
    <t>John Hancock Income Securities Trust Common Stock</t>
  </si>
  <si>
    <t>UNB</t>
  </si>
  <si>
    <t>Union Bankshares Inc. Common Stock</t>
  </si>
  <si>
    <t>FUNC</t>
  </si>
  <si>
    <t>First United Corporation Common Stock</t>
  </si>
  <si>
    <t>WMPN</t>
  </si>
  <si>
    <t>William Penn Bancorporation Common Stock</t>
  </si>
  <si>
    <t>GOSS</t>
  </si>
  <si>
    <t>Gossamer Bio Inc. Common Stock</t>
  </si>
  <si>
    <t>OCFT</t>
  </si>
  <si>
    <t>OneConnect Financial Technology Co. Ltd. American Depositary Shares each representing thirty ordinary shares</t>
  </si>
  <si>
    <t>ABSI</t>
  </si>
  <si>
    <t>Absci Corporation Common Stock</t>
  </si>
  <si>
    <t>NDLS</t>
  </si>
  <si>
    <t>Noodles &amp; Company Class A Common Stock</t>
  </si>
  <si>
    <t>GAU</t>
  </si>
  <si>
    <t>Galiano Gold Inc.</t>
  </si>
  <si>
    <t>BGFV</t>
  </si>
  <si>
    <t>Big 5 Sporting Goods Corporation Common Stock</t>
  </si>
  <si>
    <t>FXNC</t>
  </si>
  <si>
    <t>First National Corporation Common Stock</t>
  </si>
  <si>
    <t>CWBC</t>
  </si>
  <si>
    <t>Community West Bancshares Common Stock</t>
  </si>
  <si>
    <t>CDXS</t>
  </si>
  <si>
    <t>Codexis Inc. Common Stock</t>
  </si>
  <si>
    <t>VIRC</t>
  </si>
  <si>
    <t>Virco Manufacturing Corporation Common Stock</t>
  </si>
  <si>
    <t>PHX</t>
  </si>
  <si>
    <t>PHX Minerals Inc. Common Stock</t>
  </si>
  <si>
    <t>OVBC</t>
  </si>
  <si>
    <t>Ohio Valley Banc Corp. Common Stock</t>
  </si>
  <si>
    <t>GRWG</t>
  </si>
  <si>
    <t>GrowGeneration Corp. Common Stock</t>
  </si>
  <si>
    <t>CRT</t>
  </si>
  <si>
    <t>Cross Timbers Royalty Trust Common Stock</t>
  </si>
  <si>
    <t>NTIC</t>
  </si>
  <si>
    <t>ARC</t>
  </si>
  <si>
    <t>ARC Document Solutions Inc. Common Stock</t>
  </si>
  <si>
    <t>CLLS</t>
  </si>
  <si>
    <t>Cellectis S.A. American Depositary Shares</t>
  </si>
  <si>
    <t>MNTX</t>
  </si>
  <si>
    <t>Manitex International Inc. Common Stock</t>
  </si>
  <si>
    <t>SKLZ</t>
  </si>
  <si>
    <t>Skillz Inc. Class A Common Stock</t>
  </si>
  <si>
    <t>EML</t>
  </si>
  <si>
    <t>Eastern Company (The) Common Stock</t>
  </si>
  <si>
    <t>DIT</t>
  </si>
  <si>
    <t>AMCON Distributing Company Common Stock</t>
  </si>
  <si>
    <t>VXRT</t>
  </si>
  <si>
    <t>Vaxart Inc Common Stock</t>
  </si>
  <si>
    <t>CSPI</t>
  </si>
  <si>
    <t>CSP Inc. Common Stock</t>
  </si>
  <si>
    <t>AMTD</t>
  </si>
  <si>
    <t>AMTD IDEA Group American Depositary Shares each representing two Class A Ordinary Shares</t>
  </si>
  <si>
    <t>ANNX</t>
  </si>
  <si>
    <t>Annexon Inc. Common Stock</t>
  </si>
  <si>
    <t>TELA</t>
  </si>
  <si>
    <t>TELA Bio Inc. Common Stock</t>
  </si>
  <si>
    <t>MIXT</t>
  </si>
  <si>
    <t>MiX Telematics Limited American Depositary Shares each representing 25 Ordinary Shares</t>
  </si>
  <si>
    <t>VCIG</t>
  </si>
  <si>
    <t>VCI Global Limited Ordinary Share</t>
  </si>
  <si>
    <t>GTH</t>
  </si>
  <si>
    <t>Genetron Holdings Limited ADS</t>
  </si>
  <si>
    <t>AADI</t>
  </si>
  <si>
    <t>Aadi Bioscience Inc. Common Stock</t>
  </si>
  <si>
    <t>DSGN</t>
  </si>
  <si>
    <t>Design Therapeutics Inc. Common Stock</t>
  </si>
  <si>
    <t>INGN</t>
  </si>
  <si>
    <t>Inogen Inc Common Stock</t>
  </si>
  <si>
    <t>SY</t>
  </si>
  <si>
    <t>So-Young International Inc. American Depository Shares</t>
  </si>
  <si>
    <t>AQST</t>
  </si>
  <si>
    <t>Aquestive Therapeutics Inc. Common Stock</t>
  </si>
  <si>
    <t>MDV</t>
  </si>
  <si>
    <t>Modiv Industrial Inc. Class C Common Stock</t>
  </si>
  <si>
    <t>NCL</t>
  </si>
  <si>
    <t>Northann Corp. Common Stock</t>
  </si>
  <si>
    <t>ACU</t>
  </si>
  <si>
    <t>Acme United Corporation. Common Stock</t>
  </si>
  <si>
    <t>TZOO</t>
  </si>
  <si>
    <t>Travelzoo Common Stock</t>
  </si>
  <si>
    <t>BFIN</t>
  </si>
  <si>
    <t>BankFinancial Corporation Common Stock</t>
  </si>
  <si>
    <t>CVM</t>
  </si>
  <si>
    <t>Cel-Sci Corporation Common Stock</t>
  </si>
  <si>
    <t>TSVT</t>
  </si>
  <si>
    <t>2seventy bio Inc. Common Stock</t>
  </si>
  <si>
    <t>ABOS</t>
  </si>
  <si>
    <t>Acumen Pharmaceuticals Inc. Common Stock</t>
  </si>
  <si>
    <t>PRQR</t>
  </si>
  <si>
    <t>ProQR Therapeutics N.V. Ordinary Shares</t>
  </si>
  <si>
    <t>CLPT</t>
  </si>
  <si>
    <t>ClearPoint Neuro Inc. Common Stock</t>
  </si>
  <si>
    <t>EBIX</t>
  </si>
  <si>
    <t>Ebix Inc. Common Stock</t>
  </si>
  <si>
    <t>DTI</t>
  </si>
  <si>
    <t>Drilling Tools International Corporation Common Stock</t>
  </si>
  <si>
    <t>CYT</t>
  </si>
  <si>
    <t>Cyteir Therapeutics Inc. Common Stock</t>
  </si>
  <si>
    <t>UEIC</t>
  </si>
  <si>
    <t>Universal Electronics Inc. Common Stock</t>
  </si>
  <si>
    <t>BIG</t>
  </si>
  <si>
    <t>Big Lots Inc. Common Stock</t>
  </si>
  <si>
    <t>JHI</t>
  </si>
  <si>
    <t>John Hancock Investors Trust Common Stock</t>
  </si>
  <si>
    <t>CZWI</t>
  </si>
  <si>
    <t>Citizens Community Bancorp Inc. Common Stock</t>
  </si>
  <si>
    <t>MHH</t>
  </si>
  <si>
    <t>Mastech Digital Inc Common Stock</t>
  </si>
  <si>
    <t>BDSX</t>
  </si>
  <si>
    <t>Biodesix Inc. Common Stock</t>
  </si>
  <si>
    <t>RLYB</t>
  </si>
  <si>
    <t>Rallybio Corporation Common Stock</t>
  </si>
  <si>
    <t>CBFV</t>
  </si>
  <si>
    <t>CB Financial Services Inc. Common Stock</t>
  </si>
  <si>
    <t>HOVNP</t>
  </si>
  <si>
    <t>Hovnanian Enterprises Inc Dep Shr Srs A Pfd</t>
  </si>
  <si>
    <t>FAT</t>
  </si>
  <si>
    <t>FAT Brands Inc. Class A Common Stock</t>
  </si>
  <si>
    <t>BYRN</t>
  </si>
  <si>
    <t>Byrna Technologies Inc. Common Stock</t>
  </si>
  <si>
    <t>BRAG</t>
  </si>
  <si>
    <t>Bragg Gaming Group Inc. Common Shares</t>
  </si>
  <si>
    <t>LAKE</t>
  </si>
  <si>
    <t>Lakeland Industries Inc. Common Stock</t>
  </si>
  <si>
    <t>BATL</t>
  </si>
  <si>
    <t>Battalion Oil Corporation Common Stock</t>
  </si>
  <si>
    <t>SJ</t>
  </si>
  <si>
    <t>Scienjoy Holding Corporation Class A Ordinary Shares</t>
  </si>
  <si>
    <t>BCOV</t>
  </si>
  <si>
    <t>Brightcove Inc. Common Stock</t>
  </si>
  <si>
    <t>ADAP</t>
  </si>
  <si>
    <t>Adaptimmune Therapeutics plc American Depositary Shares</t>
  </si>
  <si>
    <t>MITT</t>
  </si>
  <si>
    <t>AG Mortgage Investment Trust Inc. Common Stock</t>
  </si>
  <si>
    <t>ASTLW</t>
  </si>
  <si>
    <t>Algoma Steel Group Inc. Warrant</t>
  </si>
  <si>
    <t>NNBR</t>
  </si>
  <si>
    <t>NN Inc. Common Stock</t>
  </si>
  <si>
    <t>ONCY</t>
  </si>
  <si>
    <t>Oncolytics Biotech Inc. Common Shares</t>
  </si>
  <si>
    <t>BGSF</t>
  </si>
  <si>
    <t>BGSF Inc. Common Stock</t>
  </si>
  <si>
    <t>FGBI</t>
  </si>
  <si>
    <t>First Guaranty Bancshares Inc. Common Stock</t>
  </si>
  <si>
    <t>LRMR</t>
  </si>
  <si>
    <t>Larimar Therapeutics Inc. Common Stock</t>
  </si>
  <si>
    <t>ASRT</t>
  </si>
  <si>
    <t>Assertio Holdings Inc. Common Stock</t>
  </si>
  <si>
    <t>CFBK</t>
  </si>
  <si>
    <t>CF Bankshares Inc. Common Stock</t>
  </si>
  <si>
    <t>PESI</t>
  </si>
  <si>
    <t>Perma-Fix Environmental Services Inc. Common Stock</t>
  </si>
  <si>
    <t>EVF</t>
  </si>
  <si>
    <t>Eaton Vance Senior Income Trust Common Stock</t>
  </si>
  <si>
    <t>CMBM</t>
  </si>
  <si>
    <t>Cambium Networks Corporation Ordinary Shares</t>
  </si>
  <si>
    <t>FCUV</t>
  </si>
  <si>
    <t>Focus Universal Inc. Common Stock</t>
  </si>
  <si>
    <t>TLSI</t>
  </si>
  <si>
    <t>TriSalus Life Sciences Inc. Common Stock</t>
  </si>
  <si>
    <t>MYNA</t>
  </si>
  <si>
    <t>Mynaric AG American Depository Shares</t>
  </si>
  <si>
    <t>FBIOP</t>
  </si>
  <si>
    <t>Fortress Biotech Inc. 9.375% Series A Cumulative Redeemable Perpetual Preferred Stock</t>
  </si>
  <si>
    <t>CINT</t>
  </si>
  <si>
    <t>CI&amp;T Inc Class A Common Shares</t>
  </si>
  <si>
    <t>HGBL</t>
  </si>
  <si>
    <t>Heritage Global Inc. Common Stock</t>
  </si>
  <si>
    <t>CUE</t>
  </si>
  <si>
    <t>Cue Biopharma Inc. Common Stock</t>
  </si>
  <si>
    <t>ADTH</t>
  </si>
  <si>
    <t>AdTheorent Holding Company Inc. Common Stock</t>
  </si>
  <si>
    <t>ASPS</t>
  </si>
  <si>
    <t>Altisource Portfolio Solutions S.A. Common Stock</t>
  </si>
  <si>
    <t>OTLK</t>
  </si>
  <si>
    <t>Outlook Therapeutics Inc. Common Stock</t>
  </si>
  <si>
    <t>SLACU</t>
  </si>
  <si>
    <t>Social Leverage Acquisition Corp I Units each consisting of one share of Class A common stock and one-fourth of one redeemable warrant</t>
  </si>
  <si>
    <t>AOUT</t>
  </si>
  <si>
    <t>American Outdoor Brands Inc. Common Stock</t>
  </si>
  <si>
    <t>GIA</t>
  </si>
  <si>
    <t>GigCapital 5 Inc. Common Stock</t>
  </si>
  <si>
    <t>SLAC</t>
  </si>
  <si>
    <t>Social Leverage Acquisition Corp I Class A Common Stock</t>
  </si>
  <si>
    <t>LFT</t>
  </si>
  <si>
    <t>Lument Finance Trust Inc. Common Stock</t>
  </si>
  <si>
    <t>BNR</t>
  </si>
  <si>
    <t>Burning Rock Biotech Limited American Depositary Shares</t>
  </si>
  <si>
    <t>EBS</t>
  </si>
  <si>
    <t>Emergent Biosolutions Inc. Common Stock</t>
  </si>
  <si>
    <t>WPRT</t>
  </si>
  <si>
    <t>Westport Fuel Systems Inc Common Shares</t>
  </si>
  <si>
    <t>VRM</t>
  </si>
  <si>
    <t>Vroom Inc. Common Stock</t>
  </si>
  <si>
    <t>TRX</t>
  </si>
  <si>
    <t>TRX Gold Corporation Common Stock</t>
  </si>
  <si>
    <t>TOUR</t>
  </si>
  <si>
    <t>Tuniu Corporation American Depositary Shares</t>
  </si>
  <si>
    <t>FFNW</t>
  </si>
  <si>
    <t>First Financial Northwest Inc. Common Stock</t>
  </si>
  <si>
    <t>ALOT</t>
  </si>
  <si>
    <t>AstroNova Inc. Common Stock</t>
  </si>
  <si>
    <t>ESPR</t>
  </si>
  <si>
    <t>Esperion Therapeutics Inc. Common Stock</t>
  </si>
  <si>
    <t>CDXC</t>
  </si>
  <si>
    <t>ChromaDex Corporation Common Stock</t>
  </si>
  <si>
    <t>FSFG</t>
  </si>
  <si>
    <t>First Savings Financial Group Inc. Common Stock</t>
  </si>
  <si>
    <t>SPIR</t>
  </si>
  <si>
    <t>Spire Global Inc. Class A Common Stock</t>
  </si>
  <si>
    <t>PRCH</t>
  </si>
  <si>
    <t>Porch Group Inc. Common Stock</t>
  </si>
  <si>
    <t>CYBN</t>
  </si>
  <si>
    <t>Cybin Inc. Common Shares</t>
  </si>
  <si>
    <t>CAAS</t>
  </si>
  <si>
    <t>China Automotive Systems Inc. Common Stock</t>
  </si>
  <si>
    <t>BIRD</t>
  </si>
  <si>
    <t>Allbirds Inc. Class A Common Stock</t>
  </si>
  <si>
    <t>SHIP</t>
  </si>
  <si>
    <t>Seanergy Maritime Holdings Corp. Common Stock</t>
  </si>
  <si>
    <t>ABEO</t>
  </si>
  <si>
    <t>Abeona Therapeutics Inc. Common Stock</t>
  </si>
  <si>
    <t>CXE</t>
  </si>
  <si>
    <t>MFS High Income Municipal Trust Common Stock</t>
  </si>
  <si>
    <t>ASYS</t>
  </si>
  <si>
    <t>Amtech Systems Inc. Common Stock</t>
  </si>
  <si>
    <t>CYCCP</t>
  </si>
  <si>
    <t>Cyclacel Pharmaceuticals Inc. 6% Convertible Preferred Stock</t>
  </si>
  <si>
    <t>LVO</t>
  </si>
  <si>
    <t>LiveOne Inc. Common Stock</t>
  </si>
  <si>
    <t>AREC</t>
  </si>
  <si>
    <t>American Resources Corporation Class A Common Stock</t>
  </si>
  <si>
    <t>YGF</t>
  </si>
  <si>
    <t>YanGuFang International Group Co. Ltd. Ordinary Shares</t>
  </si>
  <si>
    <t>DHX</t>
  </si>
  <si>
    <t>DHI Group Inc. Common Stock</t>
  </si>
  <si>
    <t>HYLN</t>
  </si>
  <si>
    <t>Hyliion Holdings Corp. Class A Common Stock</t>
  </si>
  <si>
    <t>MNMD</t>
  </si>
  <si>
    <t>Mind Medicine (MindMed) Inc. Common Shares</t>
  </si>
  <si>
    <t>VCXA</t>
  </si>
  <si>
    <t>10X Capital Venture Acquisition Corp. II Class A Ordinary Share</t>
  </si>
  <si>
    <t>RTC</t>
  </si>
  <si>
    <t>Baijiayun Group Ltd. Class A Ordinary Shares</t>
  </si>
  <si>
    <t>HMST</t>
  </si>
  <si>
    <t>HomeStreet Inc. Common Stock</t>
  </si>
  <si>
    <t>NKTX</t>
  </si>
  <si>
    <t>Nkarta Inc. Common Stock</t>
  </si>
  <si>
    <t>SEER</t>
  </si>
  <si>
    <t>Seer Inc. Class A Common Stock</t>
  </si>
  <si>
    <t>ISTR</t>
  </si>
  <si>
    <t>Investar Holding Corporation Common Stock</t>
  </si>
  <si>
    <t>MGF</t>
  </si>
  <si>
    <t>MFS Government Markets Income Trust Common Stock</t>
  </si>
  <si>
    <t>WHG</t>
  </si>
  <si>
    <t>Westwood Holdings Group Inc Common Stock</t>
  </si>
  <si>
    <t>PLG</t>
  </si>
  <si>
    <t>Platinum Group Metals Ltd. Ordinary Shares (Canada)</t>
  </si>
  <si>
    <t>OGI</t>
  </si>
  <si>
    <t>Organigram Holdings Inc. Common Shares</t>
  </si>
  <si>
    <t>RANI</t>
  </si>
  <si>
    <t>Rani Therapeutics Holdings Inc. Class A Common Stock</t>
  </si>
  <si>
    <t>YTRA</t>
  </si>
  <si>
    <t>Yatra Online Inc. Ordinary Shares</t>
  </si>
  <si>
    <t>LARK</t>
  </si>
  <si>
    <t>Landmark Bancorp Inc. Common Stock</t>
  </si>
  <si>
    <t>XNET</t>
  </si>
  <si>
    <t>Xunlei Limited American Depositary Shares</t>
  </si>
  <si>
    <t>ECBK</t>
  </si>
  <si>
    <t>ECB Bancorp Inc. Common Stock</t>
  </si>
  <si>
    <t>GNTA</t>
  </si>
  <si>
    <t>Genenta Science S.p.A. American Depositary Shares</t>
  </si>
  <si>
    <t>ETON</t>
  </si>
  <si>
    <t>Eton Pharmaceuticals Inc. Common Stock</t>
  </si>
  <si>
    <t>AQMS</t>
  </si>
  <si>
    <t>Aqua Metals Inc. Common Stock</t>
  </si>
  <si>
    <t>MDWT</t>
  </si>
  <si>
    <t>Midwest Holding Inc. Common Stock</t>
  </si>
  <si>
    <t>FTLF</t>
  </si>
  <si>
    <t>FitLife Brands Inc. Common Stock</t>
  </si>
  <si>
    <t>ATGL</t>
  </si>
  <si>
    <t>Alpha Technology Group Limited Ordinary Shares</t>
  </si>
  <si>
    <t>PLX</t>
  </si>
  <si>
    <t>Protalix BioTherapeutics Inc. (DE) Common Stock</t>
  </si>
  <si>
    <t>KRMD</t>
  </si>
  <si>
    <t>KORU Medical Systems Inc. Common Stock (DE)</t>
  </si>
  <si>
    <t>SOND</t>
  </si>
  <si>
    <t>Sonder Holdings Inc. Class A Common Stock</t>
  </si>
  <si>
    <t>MIST</t>
  </si>
  <si>
    <t>Milestone Pharmaceuticals Inc. Common Shares</t>
  </si>
  <si>
    <t>SRFM</t>
  </si>
  <si>
    <t>Surf Air Mobility Inc. Common Stock</t>
  </si>
  <si>
    <t>LNKB</t>
  </si>
  <si>
    <t>LINKBANCORP Inc. Common Stock</t>
  </si>
  <si>
    <t>PMVP</t>
  </si>
  <si>
    <t>PMV Pharmaceuticals Inc. Common Stock</t>
  </si>
  <si>
    <t>CPHC</t>
  </si>
  <si>
    <t>Canterbury Park Holding Corporation 'New' Common Stock</t>
  </si>
  <si>
    <t>ACRV</t>
  </si>
  <si>
    <t>Acrivon Therapeutics Inc. Common Stock</t>
  </si>
  <si>
    <t>CARM</t>
  </si>
  <si>
    <t>Carisma Therapeutics Inc. Common Stock</t>
  </si>
  <si>
    <t>FONR</t>
  </si>
  <si>
    <t>Fonar Corporation Common Stock</t>
  </si>
  <si>
    <t>SSSS</t>
  </si>
  <si>
    <t>SuRo Capital Corp. Common Stock</t>
  </si>
  <si>
    <t>PFIE</t>
  </si>
  <si>
    <t>Profire Energy Inc. Common Stock</t>
  </si>
  <si>
    <t>MMLP</t>
  </si>
  <si>
    <t>Martin Midstream Partners L.P. Limited Partnership</t>
  </si>
  <si>
    <t>HITI</t>
  </si>
  <si>
    <t>High Tide Inc. Common Shares</t>
  </si>
  <si>
    <t>RMBL</t>
  </si>
  <si>
    <t>RumbleOn Inc. Class B Common Stock</t>
  </si>
  <si>
    <t>ADEX</t>
  </si>
  <si>
    <t>Adit EdTech Acquisition Corp. Common Stock</t>
  </si>
  <si>
    <t>NAUT</t>
  </si>
  <si>
    <t>Nautilus Biotechnolgy Inc. Common Stock</t>
  </si>
  <si>
    <t>BRID</t>
  </si>
  <si>
    <t>Bridgford Foods Corporation Common Stock</t>
  </si>
  <si>
    <t>BSBK</t>
  </si>
  <si>
    <t>Bogota Financial Corp. Common Stock</t>
  </si>
  <si>
    <t>SILC</t>
  </si>
  <si>
    <t>Silicom Ltd Ordinary Shares</t>
  </si>
  <si>
    <t>IVAC</t>
  </si>
  <si>
    <t>Intevac Inc. Common Stock</t>
  </si>
  <si>
    <t>APEI</t>
  </si>
  <si>
    <t>American Public Education Inc. Common Stock</t>
  </si>
  <si>
    <t>OMGA</t>
  </si>
  <si>
    <t>Omega Therapeutics Inc. Common Stock</t>
  </si>
  <si>
    <t>TCS</t>
  </si>
  <si>
    <t>Container Store (The) Common Stock</t>
  </si>
  <si>
    <t>ADVM</t>
  </si>
  <si>
    <t>Adverum Biotechnologies Inc. Common Stock</t>
  </si>
  <si>
    <t>SFBC</t>
  </si>
  <si>
    <t>Sound Financial Bancorp Inc. Common Stock</t>
  </si>
  <si>
    <t>STRT</t>
  </si>
  <si>
    <t>STRATTEC SECURITY CORPORATION Common Stock</t>
  </si>
  <si>
    <t>STIX</t>
  </si>
  <si>
    <t>Semantix Inc. Class A Ordinary Shares</t>
  </si>
  <si>
    <t>CHMI</t>
  </si>
  <si>
    <t>Cherry Hill Mortgage Investment Corporation Common Stock</t>
  </si>
  <si>
    <t>BW</t>
  </si>
  <si>
    <t>Babcock &amp; Wilcox Enterprises Inc. Common Stock</t>
  </si>
  <si>
    <t>INO</t>
  </si>
  <si>
    <t>Inovio Pharmaceuticals Inc. Common Stock</t>
  </si>
  <si>
    <t>DLNG</t>
  </si>
  <si>
    <t>Dynagas LNG Partners LP Common Units</t>
  </si>
  <si>
    <t>ARMP</t>
  </si>
  <si>
    <t>Armata Pharmaceuticals Inc. Common Stock</t>
  </si>
  <si>
    <t>RMI</t>
  </si>
  <si>
    <t>RiverNorth Opportunistic Municipal Income Fund Inc. Common Stock</t>
  </si>
  <si>
    <t>THRX</t>
  </si>
  <si>
    <t>Theseus Pharmaceuticals Inc. Common Stock</t>
  </si>
  <si>
    <t>OCGN</t>
  </si>
  <si>
    <t>Ocugen Inc. Common Stock</t>
  </si>
  <si>
    <t>MIRO</t>
  </si>
  <si>
    <t>Miromatrix Medical Inc. Common Stock</t>
  </si>
  <si>
    <t>CMCT</t>
  </si>
  <si>
    <t>Creative Media &amp; Community Trust Corporation Common stock</t>
  </si>
  <si>
    <t>EBMT</t>
  </si>
  <si>
    <t>Eagle Bancorp Montana Inc. Common Stock</t>
  </si>
  <si>
    <t>AFBI</t>
  </si>
  <si>
    <t>Affinity Bancshares Inc. Common Stock (MD)</t>
  </si>
  <si>
    <t>PEPG</t>
  </si>
  <si>
    <t>PepGen Inc. Common Stock</t>
  </si>
  <si>
    <t>BDTX</t>
  </si>
  <si>
    <t>Black Diamond Therapeutics Inc. Common Stock</t>
  </si>
  <si>
    <t>CNTB</t>
  </si>
  <si>
    <t>Connect Biopharma Holdings Limited American Depositary Shares</t>
  </si>
  <si>
    <t>LL</t>
  </si>
  <si>
    <t>LL Flooring Holdings Inc. Common Stock</t>
  </si>
  <si>
    <t>GGZ</t>
  </si>
  <si>
    <t>Gabelli Global Small and Mid Cap Value Trust (The) Common Shares of Beneficial Interest</t>
  </si>
  <si>
    <t>IZM</t>
  </si>
  <si>
    <t>ICZOOM Group Inc. Class A Ordinary Shares</t>
  </si>
  <si>
    <t>ANIX</t>
  </si>
  <si>
    <t>Anixa Biosciences Inc. Common Stock</t>
  </si>
  <si>
    <t>SANG</t>
  </si>
  <si>
    <t>Sangoma Technologies Corporation Common Shares</t>
  </si>
  <si>
    <t>VATE</t>
  </si>
  <si>
    <t>INNOVATE Corp. Common Stock</t>
  </si>
  <si>
    <t>CDT</t>
  </si>
  <si>
    <t>Conduit Pharmaceuticals Inc. Common Stock</t>
  </si>
  <si>
    <t>TPIC</t>
  </si>
  <si>
    <t>TPI Composites Inc. Common Stock</t>
  </si>
  <si>
    <t>KOD</t>
  </si>
  <si>
    <t>Kodiak Sciences Inc Common Stock</t>
  </si>
  <si>
    <t>LAZY</t>
  </si>
  <si>
    <t>Lazydays Holdings Inc. Common Stock</t>
  </si>
  <si>
    <t>DMAC</t>
  </si>
  <si>
    <t>DiaMedica Therapeutics Inc. Common Stock</t>
  </si>
  <si>
    <t>SBFG</t>
  </si>
  <si>
    <t>SB Financial Group Inc. Common Stock</t>
  </si>
  <si>
    <t>VOXR</t>
  </si>
  <si>
    <t>Vox Royalty Corp. Common Stock</t>
  </si>
  <si>
    <t>MAYS</t>
  </si>
  <si>
    <t>J. W. Mays Inc. Common Stock</t>
  </si>
  <si>
    <t>KVHI</t>
  </si>
  <si>
    <t>KVH Industries Inc. Common Stock</t>
  </si>
  <si>
    <t>FEAM</t>
  </si>
  <si>
    <t>5E Advanced Materials Inc. Common Stock</t>
  </si>
  <si>
    <t>MPTI</t>
  </si>
  <si>
    <t>M-tron Industries Inc. Common Stock</t>
  </si>
  <si>
    <t>BLRX</t>
  </si>
  <si>
    <t>BioLineRx Ltd. American Depositary Shares</t>
  </si>
  <si>
    <t>ELMD</t>
  </si>
  <si>
    <t>Electromed Inc. Common Stock</t>
  </si>
  <si>
    <t>RFM</t>
  </si>
  <si>
    <t>RiverNorth Flexible Municipal Income Fund Inc. Common Stock</t>
  </si>
  <si>
    <t>WESTW</t>
  </si>
  <si>
    <t>HMNF</t>
  </si>
  <si>
    <t>HMN Financial Inc. Common Stock</t>
  </si>
  <si>
    <t>MNOV</t>
  </si>
  <si>
    <t>Medicinova Inc Common Stock</t>
  </si>
  <si>
    <t>RLMD</t>
  </si>
  <si>
    <t>Relmada Therapeutics Inc. Common Stock</t>
  </si>
  <si>
    <t>GMGI</t>
  </si>
  <si>
    <t>Golden Matrix Group Inc. Common Stock</t>
  </si>
  <si>
    <t>KITT</t>
  </si>
  <si>
    <t>Nauticus Robotics Inc. Common stock</t>
  </si>
  <si>
    <t>GNT</t>
  </si>
  <si>
    <t>GAMCO Natural Resources Gold &amp; Income Trust</t>
  </si>
  <si>
    <t>NKTR</t>
  </si>
  <si>
    <t>Nektar Therapeutics  Common Stock</t>
  </si>
  <si>
    <t>ACHV</t>
  </si>
  <si>
    <t>Achieve Life Sciences Inc. Common Shares</t>
  </si>
  <si>
    <t>FATBB</t>
  </si>
  <si>
    <t>FAT Brands Inc. Class B Common Stock</t>
  </si>
  <si>
    <t>SLNG</t>
  </si>
  <si>
    <t>Stabilis Solutions Inc. Common Stock</t>
  </si>
  <si>
    <t>ARYD</t>
  </si>
  <si>
    <t>ARYA Sciences Acquisition Corp IV Class A Odinary Shares</t>
  </si>
  <si>
    <t>AXTI</t>
  </si>
  <si>
    <t>AXT Inc Common Stock</t>
  </si>
  <si>
    <t>LIVE</t>
  </si>
  <si>
    <t>Live Ventures Incorporated Common Stock</t>
  </si>
  <si>
    <t>MTC</t>
  </si>
  <si>
    <t>MMTec Inc. Common Shares</t>
  </si>
  <si>
    <t>ELA</t>
  </si>
  <si>
    <t>Envela Corporation Common Stock</t>
  </si>
  <si>
    <t>FCAP</t>
  </si>
  <si>
    <t>First Capital Inc. Common Stock</t>
  </si>
  <si>
    <t>SGHT</t>
  </si>
  <si>
    <t>Sight Sciences Inc. Common Stock</t>
  </si>
  <si>
    <t>AXR</t>
  </si>
  <si>
    <t>AMREP Corporation Common Stock</t>
  </si>
  <si>
    <t>SND</t>
  </si>
  <si>
    <t>Smart Sand Inc. Common Stock</t>
  </si>
  <si>
    <t>OPRT</t>
  </si>
  <si>
    <t>Oportun Financial Corporation Common Stock</t>
  </si>
  <si>
    <t>FLXS</t>
  </si>
  <si>
    <t>Flexsteel Industries Inc. Common Stock</t>
  </si>
  <si>
    <t>FNWD</t>
  </si>
  <si>
    <t>Finward Bancorp Common Stock</t>
  </si>
  <si>
    <t>EARN</t>
  </si>
  <si>
    <t>Ellington Residential Mortgage REIT Common Shares of Beneficial Interest</t>
  </si>
  <si>
    <t>CCCC</t>
  </si>
  <si>
    <t>C4 Therapeutics Inc. Common Stock</t>
  </si>
  <si>
    <t>ELVA</t>
  </si>
  <si>
    <t>Electrovaya Inc. Common Shares</t>
  </si>
  <si>
    <t>FORA</t>
  </si>
  <si>
    <t>Forian Inc. Common Stock</t>
  </si>
  <si>
    <t>CMU</t>
  </si>
  <si>
    <t>ACNT</t>
  </si>
  <si>
    <t>Ascent Industries Co. Common Stock</t>
  </si>
  <si>
    <t>STG</t>
  </si>
  <si>
    <t>Sunlands Technology Group American Depositary Shares representing Class A ordinary shares</t>
  </si>
  <si>
    <t>FRD</t>
  </si>
  <si>
    <t>Friedman Industries Inc. Common Stock</t>
  </si>
  <si>
    <t>TWOU</t>
  </si>
  <si>
    <t>2U Inc. Common Stock</t>
  </si>
  <si>
    <t>BEEM</t>
  </si>
  <si>
    <t>Beam Global Common Stock</t>
  </si>
  <si>
    <t>UCL</t>
  </si>
  <si>
    <t>uCloudlink Group Inc. American Depositary Shares</t>
  </si>
  <si>
    <t>TRVI</t>
  </si>
  <si>
    <t>Trevi Therapeutics Inc. Common Stock</t>
  </si>
  <si>
    <t>GP</t>
  </si>
  <si>
    <t>GreenPower Motor Company Inc. Common Shares</t>
  </si>
  <si>
    <t>CMRX</t>
  </si>
  <si>
    <t>Chimerix Inc. Common Stock</t>
  </si>
  <si>
    <t>IPVF</t>
  </si>
  <si>
    <t>InterPrivate III Financial Partners Inc. Class A Common Stock</t>
  </si>
  <si>
    <t>AREN</t>
  </si>
  <si>
    <t>The Arena Group Holdings Inc. Common Stock</t>
  </si>
  <si>
    <t>OPOF</t>
  </si>
  <si>
    <t>Old Point Financial Corporation Common Stock</t>
  </si>
  <si>
    <t>SRBK</t>
  </si>
  <si>
    <t>SR Bancorp Inc. Common stock</t>
  </si>
  <si>
    <t>APRN</t>
  </si>
  <si>
    <t>Blue Apron Holdings Inc. Class A Common Stock</t>
  </si>
  <si>
    <t>VERU</t>
  </si>
  <si>
    <t>Veru Inc. Common Stock</t>
  </si>
  <si>
    <t>HRTX</t>
  </si>
  <si>
    <t>Heron Therapeutics Inc. Common Stock</t>
  </si>
  <si>
    <t>AXDX</t>
  </si>
  <si>
    <t>Accelerate Diagnostics Inc. Common Stock</t>
  </si>
  <si>
    <t>LVLU</t>
  </si>
  <si>
    <t>Lulu's Fashion Lounge Holdings Inc. Common Stock</t>
  </si>
  <si>
    <t>HOWL</t>
  </si>
  <si>
    <t>Werewolf Therapeutics Inc. Common Stock</t>
  </si>
  <si>
    <t>SSBI</t>
  </si>
  <si>
    <t>Summit State Bank Common Stock</t>
  </si>
  <si>
    <t>NINE</t>
  </si>
  <si>
    <t>Nine Energy Service Inc. Common Stock</t>
  </si>
  <si>
    <t>NXG</t>
  </si>
  <si>
    <t>NXG NextGen Infrastructure Income Fund Common Shares of Beneficial Interest</t>
  </si>
  <si>
    <t>KPTI</t>
  </si>
  <si>
    <t>Karyopharm Therapeutics Inc. Common Stock</t>
  </si>
  <si>
    <t>ATPC</t>
  </si>
  <si>
    <t>Agape ATP Corporation Common Stock</t>
  </si>
  <si>
    <t>LNZAW</t>
  </si>
  <si>
    <t>LanzaTech Global Inc. Warrant</t>
  </si>
  <si>
    <t>WKHS</t>
  </si>
  <si>
    <t>Workhorse Group Inc. Common Stock</t>
  </si>
  <si>
    <t>PBHC</t>
  </si>
  <si>
    <t>Pathfinder Bancorp Inc. Common Stock (MD)</t>
  </si>
  <si>
    <t>CMLS</t>
  </si>
  <si>
    <t>Cumulus Media Inc. Class A Common Stock</t>
  </si>
  <si>
    <t>ATOS</t>
  </si>
  <si>
    <t>Atossa Therapeutics Inc. Common Stock</t>
  </si>
  <si>
    <t>MDBH</t>
  </si>
  <si>
    <t>MDB Capital Holdings LLC Class A common</t>
  </si>
  <si>
    <t>CLPR</t>
  </si>
  <si>
    <t>Clipper Realty Inc. Common Stock</t>
  </si>
  <si>
    <t>ESOA</t>
  </si>
  <si>
    <t>Energy Services of America Corporation Common Stock</t>
  </si>
  <si>
    <t>EJH</t>
  </si>
  <si>
    <t>E-Home Household Service Holdings Limited Ordinary Shares</t>
  </si>
  <si>
    <t>AE</t>
  </si>
  <si>
    <t>Adams Resources &amp; Energy Inc. Common Stock</t>
  </si>
  <si>
    <t>OMER</t>
  </si>
  <si>
    <t>Omeros Corporation Common Stock</t>
  </si>
  <si>
    <t>SOTK</t>
  </si>
  <si>
    <t>Sono-Tek Corporation Common Stock</t>
  </si>
  <si>
    <t>PROV</t>
  </si>
  <si>
    <t>Provident Financial Holdings Inc. Common Stock</t>
  </si>
  <si>
    <t>CTMX</t>
  </si>
  <si>
    <t>CytomX Therapeutics Inc. Common Stock</t>
  </si>
  <si>
    <t>STTK</t>
  </si>
  <si>
    <t>Shattuck Labs Inc. Common Stock</t>
  </si>
  <si>
    <t>SCX</t>
  </si>
  <si>
    <t>L.S. Starrett Company (The) Common Stock</t>
  </si>
  <si>
    <t>NXC</t>
  </si>
  <si>
    <t>Nuveen California Select Tax-Free Income Portfolio Common Stock</t>
  </si>
  <si>
    <t>ORMP</t>
  </si>
  <si>
    <t>Oramed Pharmaceuticals Inc. Common Stock</t>
  </si>
  <si>
    <t>PFX</t>
  </si>
  <si>
    <t>PhenixFIN Corporation Common Stock</t>
  </si>
  <si>
    <t>GLYC</t>
  </si>
  <si>
    <t>GlycoMimetics Inc. Common Stock</t>
  </si>
  <si>
    <t>TAYD</t>
  </si>
  <si>
    <t>Taylor Devices Inc. Common Stock</t>
  </si>
  <si>
    <t>IPSC</t>
  </si>
  <si>
    <t>Century Therapeutics Inc. Common Stock</t>
  </si>
  <si>
    <t>PRPH</t>
  </si>
  <si>
    <t>ProPhase Labs Inc. Common Stock (DE)</t>
  </si>
  <si>
    <t>CULL</t>
  </si>
  <si>
    <t>Cullman Bancorp Inc. Common Stock</t>
  </si>
  <si>
    <t>LRE</t>
  </si>
  <si>
    <t>Lead Real Estate Co. Ltd American Depositary Shares</t>
  </si>
  <si>
    <t>JSPR</t>
  </si>
  <si>
    <t>Jasper Therapeutics Inc. Common Stock</t>
  </si>
  <si>
    <t>CONN</t>
  </si>
  <si>
    <t>Conn's Inc. Common Stock</t>
  </si>
  <si>
    <t>WFCF</t>
  </si>
  <si>
    <t>Where Food Comes From Inc. Common Stock</t>
  </si>
  <si>
    <t>DTF</t>
  </si>
  <si>
    <t>DTF Tax-Free Income 2028 Term Fund Inc. Common Stock</t>
  </si>
  <si>
    <t>VSTA</t>
  </si>
  <si>
    <t>Vasta Platform Limited Class A Ordinary Shares</t>
  </si>
  <si>
    <t>GBIO</t>
  </si>
  <si>
    <t>Generation Bio Co. Common Stock</t>
  </si>
  <si>
    <t>BPT</t>
  </si>
  <si>
    <t>BP Prudhoe Bay Royalty Trust Common Stock</t>
  </si>
  <si>
    <t>CSBR</t>
  </si>
  <si>
    <t>Champions Oncology Inc. Common Stock</t>
  </si>
  <si>
    <t>VHAQ</t>
  </si>
  <si>
    <t>Viveon Health Acquisition Corp. Common Stock</t>
  </si>
  <si>
    <t>PWFL</t>
  </si>
  <si>
    <t>PowerFleet Inc. Common Stock</t>
  </si>
  <si>
    <t>CRGE</t>
  </si>
  <si>
    <t>Charge Enterprises Inc. Common Stock</t>
  </si>
  <si>
    <t>LINK</t>
  </si>
  <si>
    <t>Interlink Electronics Inc. Common Stock</t>
  </si>
  <si>
    <t>RSVRW</t>
  </si>
  <si>
    <t>Reservoir Media Inc. Warrant</t>
  </si>
  <si>
    <t>CBAT</t>
  </si>
  <si>
    <t>CBAK Energy Technology Inc. Common Stock</t>
  </si>
  <si>
    <t>GAN</t>
  </si>
  <si>
    <t>GAN Limited Ordinary Shares</t>
  </si>
  <si>
    <t>TUP</t>
  </si>
  <si>
    <t>Tupperware Brands Corporation Common Stock</t>
  </si>
  <si>
    <t>PED</t>
  </si>
  <si>
    <t>Pedevco Corp. Common Stock</t>
  </si>
  <si>
    <t>SURG</t>
  </si>
  <si>
    <t>SurgePays Inc. Common Stock</t>
  </si>
  <si>
    <t>USGO</t>
  </si>
  <si>
    <t>U.S. GoldMining Inc. Common stock</t>
  </si>
  <si>
    <t>GECC</t>
  </si>
  <si>
    <t>Great Elm Capital Corp. Common Stock</t>
  </si>
  <si>
    <t>TATT</t>
  </si>
  <si>
    <t>TAT Technologies Ltd. Ordinary Shares</t>
  </si>
  <si>
    <t>GROV</t>
  </si>
  <si>
    <t>Grove Collaborative Holdings Inc. Class A Common Stock</t>
  </si>
  <si>
    <t>HYPR</t>
  </si>
  <si>
    <t>Hyperfine Inc. Class A Common Stock</t>
  </si>
  <si>
    <t>SUP</t>
  </si>
  <si>
    <t>Superior Industries International Inc. Common Stock (DE)</t>
  </si>
  <si>
    <t>VFF</t>
  </si>
  <si>
    <t>Village Farms International Inc. Common Shares</t>
  </si>
  <si>
    <t>THM</t>
  </si>
  <si>
    <t>International Tower Hill Mines Ltd. Ordinary Shares (Canada)</t>
  </si>
  <si>
    <t>GTHX</t>
  </si>
  <si>
    <t>G1 Therapeutics Inc. Common Stock</t>
  </si>
  <si>
    <t>CODA</t>
  </si>
  <si>
    <t>Coda Octopus Group Inc. Common stock</t>
  </si>
  <si>
    <t>GMDA</t>
  </si>
  <si>
    <t>Gamida Cell Ltd. Ordinary Shares</t>
  </si>
  <si>
    <t>LFVN</t>
  </si>
  <si>
    <t>Lifevantage Corporation Common Stock (Delaware)</t>
  </si>
  <si>
    <t>CAPR</t>
  </si>
  <si>
    <t>Capricor Therapeutics Inc. Common Stock</t>
  </si>
  <si>
    <t>ZJYL</t>
  </si>
  <si>
    <t>JIN MEDICAL INTERNATIONAL LTD. Ordinary Shares</t>
  </si>
  <si>
    <t>FEIM</t>
  </si>
  <si>
    <t>Frequency Electronics Inc. Common Stock</t>
  </si>
  <si>
    <t>RBKB</t>
  </si>
  <si>
    <t>Rhinebeck Bancorp Inc. Common Stock</t>
  </si>
  <si>
    <t>JEQ</t>
  </si>
  <si>
    <t>abrdn Japan Equity Fund Inc. Common Stock</t>
  </si>
  <si>
    <t>OMEX</t>
  </si>
  <si>
    <t>Odyssey Marine Exploration Inc. Common Stock</t>
  </si>
  <si>
    <t>AUBN</t>
  </si>
  <si>
    <t>Auburn National Bancorporation Inc. Common Stock</t>
  </si>
  <si>
    <t>NTZ</t>
  </si>
  <si>
    <t>Natuzzi S.p.A.</t>
  </si>
  <si>
    <t>GLU</t>
  </si>
  <si>
    <t>Gabelli Global Utility Common Shares of Beneficial Ownership</t>
  </si>
  <si>
    <t>PYR</t>
  </si>
  <si>
    <t>PyroGenesis Canada Inc. Common Shares</t>
  </si>
  <si>
    <t>QBTS</t>
  </si>
  <si>
    <t>D-Wave Quantum Inc. Common Shares</t>
  </si>
  <si>
    <t>ZEPP</t>
  </si>
  <si>
    <t>Zepp Health Corporation American Depositary Shares</t>
  </si>
  <si>
    <t>AHT</t>
  </si>
  <si>
    <t>Ashford Hospitality Trust Inc Common Stock</t>
  </si>
  <si>
    <t>APLM</t>
  </si>
  <si>
    <t>Apollomics Inc. Class A Ordinary Shares</t>
  </si>
  <si>
    <t>ZFOX</t>
  </si>
  <si>
    <t>ZeroFox Holdings Inc. Common Stock</t>
  </si>
  <si>
    <t>IXHL</t>
  </si>
  <si>
    <t>Incannex Healthcare Limited American Depositary Shares</t>
  </si>
  <si>
    <t>AKA</t>
  </si>
  <si>
    <t>a.k.a. Brands Holding Corp. Common Stock</t>
  </si>
  <si>
    <t>TECTP</t>
  </si>
  <si>
    <t>Tectonic Financial Inc. 9.00% Fixed-to-Floating Rate Series B Non-Cumulative Perpetual Preferred Stock</t>
  </si>
  <si>
    <t>ELYM</t>
  </si>
  <si>
    <t>Eliem Therapeutics Inc Common Stock</t>
  </si>
  <si>
    <t>SNDA</t>
  </si>
  <si>
    <t>Sonida Senior Living Inc. Common Stock</t>
  </si>
  <si>
    <t>PVL</t>
  </si>
  <si>
    <t>Permianville Royalty Trust Trust Units</t>
  </si>
  <si>
    <t>FOSL</t>
  </si>
  <si>
    <t>Fossil Group Inc. Common Stock</t>
  </si>
  <si>
    <t>CDTX</t>
  </si>
  <si>
    <t>Cidara Therapeutics Inc. Common Stock</t>
  </si>
  <si>
    <t>NEOV</t>
  </si>
  <si>
    <t>NeoVolta Inc. Common Stock</t>
  </si>
  <si>
    <t>FOA</t>
  </si>
  <si>
    <t>Finance of America Companies Inc. Class A Common Stock</t>
  </si>
  <si>
    <t>TMQ</t>
  </si>
  <si>
    <t>Trilogy Metals Inc. Common Stock</t>
  </si>
  <si>
    <t>IFRX</t>
  </si>
  <si>
    <t>InflaRx N.V. Common Stock</t>
  </si>
  <si>
    <t>RSSS</t>
  </si>
  <si>
    <t>Research Solutions Inc Common Stock</t>
  </si>
  <si>
    <t>DERM</t>
  </si>
  <si>
    <t>Journey Medical Corporation Common Stock</t>
  </si>
  <si>
    <t>VNRX</t>
  </si>
  <si>
    <t>VolitionRX Limited Common Stock</t>
  </si>
  <si>
    <t>EVA</t>
  </si>
  <si>
    <t>Enviva Inc. Common Stock</t>
  </si>
  <si>
    <t>LSBK</t>
  </si>
  <si>
    <t>Lake Shore Bancorp Inc. Common Stock</t>
  </si>
  <si>
    <t>DAVE</t>
  </si>
  <si>
    <t>Dave Inc. Class A Common Stock</t>
  </si>
  <si>
    <t>OCCI</t>
  </si>
  <si>
    <t>OFS Credit Company Inc. Common Stock</t>
  </si>
  <si>
    <t>ADES</t>
  </si>
  <si>
    <t>Advanced Emissions Solutions Inc. Common Stock</t>
  </si>
  <si>
    <t>IMMX</t>
  </si>
  <si>
    <t>Immix Biopharma Inc. Common Stock</t>
  </si>
  <si>
    <t>CRVS</t>
  </si>
  <si>
    <t>Corvus Pharmaceuticals Inc. Common Stock</t>
  </si>
  <si>
    <t>NRT</t>
  </si>
  <si>
    <t>North European Oil Royality Trust Common Stock</t>
  </si>
  <si>
    <t>PYXS</t>
  </si>
  <si>
    <t>Pyxis Oncology Inc. Common Stock</t>
  </si>
  <si>
    <t>AFRIW</t>
  </si>
  <si>
    <t>Forafric Global PLC Warrants</t>
  </si>
  <si>
    <t>SIEB</t>
  </si>
  <si>
    <t>Siebert Financial Corp. Common Stock</t>
  </si>
  <si>
    <t>NSPR</t>
  </si>
  <si>
    <t>InspireMD Inc. Common Stock</t>
  </si>
  <si>
    <t>TACT</t>
  </si>
  <si>
    <t>TransAct Technologies Incorporated Common Stock</t>
  </si>
  <si>
    <t>ARQQ</t>
  </si>
  <si>
    <t>Arqit Quantum Inc. Ordinary Shares</t>
  </si>
  <si>
    <t>PET</t>
  </si>
  <si>
    <t>Wag! Group Co. Common Stock</t>
  </si>
  <si>
    <t>BCAB</t>
  </si>
  <si>
    <t>BioAtla Inc. Common Stock</t>
  </si>
  <si>
    <t>ELTK</t>
  </si>
  <si>
    <t>Eltek Ltd. Ordinary Shares</t>
  </si>
  <si>
    <t>TORO</t>
  </si>
  <si>
    <t>Toro Corp. Common Stock</t>
  </si>
  <si>
    <t>GCV</t>
  </si>
  <si>
    <t>Gabelli Convertible and Income Securities Fund Inc. (The) Common Stock</t>
  </si>
  <si>
    <t>EVLVW</t>
  </si>
  <si>
    <t>Evolv Technologies Holdings Inc. Warrant</t>
  </si>
  <si>
    <t>CEV</t>
  </si>
  <si>
    <t>Eaton Vance California Municipal Income Trust Shares of Beneficial Interest</t>
  </si>
  <si>
    <t>BHIL</t>
  </si>
  <si>
    <t>Benson Hill Inc. Common Stock</t>
  </si>
  <si>
    <t>CATX</t>
  </si>
  <si>
    <t>Perspective Therapeutics Inc. Common Stock</t>
  </si>
  <si>
    <t>CETY</t>
  </si>
  <si>
    <t>Clean Energy Technologies Inc. Common Stock</t>
  </si>
  <si>
    <t>GIFI</t>
  </si>
  <si>
    <t>Gulf Island Fabrication Inc. Common Stock</t>
  </si>
  <si>
    <t>RBT</t>
  </si>
  <si>
    <t>Rubicon Technologies Inc. Class A Common Stock</t>
  </si>
  <si>
    <t>SCLXW</t>
  </si>
  <si>
    <t>Scilex Holding Company Warrant</t>
  </si>
  <si>
    <t>DOMA</t>
  </si>
  <si>
    <t>Doma Holdings Inc. Common Stock</t>
  </si>
  <si>
    <t>PXLW</t>
  </si>
  <si>
    <t>Pixelworks Inc.  Common Stock</t>
  </si>
  <si>
    <t>XAIR</t>
  </si>
  <si>
    <t>Beyond Air Inc. Common Stock</t>
  </si>
  <si>
    <t>CULP</t>
  </si>
  <si>
    <t>Culp Inc. Common Stock</t>
  </si>
  <si>
    <t>BWAY</t>
  </si>
  <si>
    <t>BrainsWay Ltd. American Depositary Shares</t>
  </si>
  <si>
    <t>PDEX</t>
  </si>
  <si>
    <t>Pro-Dex Inc. Common Stock</t>
  </si>
  <si>
    <t>NHTC</t>
  </si>
  <si>
    <t>Natural Health Trends Corp. Common Stock</t>
  </si>
  <si>
    <t>ACR</t>
  </si>
  <si>
    <t>ACRES Commercial Realty Corp. Common Stock</t>
  </si>
  <si>
    <t>PRT</t>
  </si>
  <si>
    <t>PermRock Royalty Trust Trust Units</t>
  </si>
  <si>
    <t>INVZW</t>
  </si>
  <si>
    <t>Innoviz Technologies Ltd. Warrant</t>
  </si>
  <si>
    <t>GLT</t>
  </si>
  <si>
    <t>Glatfelter Corporation Common Stock</t>
  </si>
  <si>
    <t>GLV</t>
  </si>
  <si>
    <t>Clough Global Dividend and Income Fund Common Shares of beneficial interest</t>
  </si>
  <si>
    <t>NKGN</t>
  </si>
  <si>
    <t>NKGen Biotech Inc. Common Stock</t>
  </si>
  <si>
    <t>LIFE</t>
  </si>
  <si>
    <t>aTyr Pharma Inc. Common Stock</t>
  </si>
  <si>
    <t>AONC</t>
  </si>
  <si>
    <t>American Oncology Network Inc. Class A Common Stock</t>
  </si>
  <si>
    <t>AIRT</t>
  </si>
  <si>
    <t>Air T Inc. Common Stock</t>
  </si>
  <si>
    <t>SCYX</t>
  </si>
  <si>
    <t>SCYNEXIS Inc. Common Stock</t>
  </si>
  <si>
    <t>MGYR</t>
  </si>
  <si>
    <t>Magyar Bancorp Inc. Common Stock</t>
  </si>
  <si>
    <t>BCTX</t>
  </si>
  <si>
    <t>BriaCell Therapeutics Corp. Common Shares</t>
  </si>
  <si>
    <t>CLGN</t>
  </si>
  <si>
    <t>CollPlant Biotechnologies Ltd Ordinary Shares</t>
  </si>
  <si>
    <t>CXH</t>
  </si>
  <si>
    <t>MFS Investment Grade Municipal Trust Common Stock</t>
  </si>
  <si>
    <t>SRL</t>
  </si>
  <si>
    <t>Scully Royalty Ltd.</t>
  </si>
  <si>
    <t>STCN</t>
  </si>
  <si>
    <t>Steel Connect Inc. Common Stock</t>
  </si>
  <si>
    <t>PPSI</t>
  </si>
  <si>
    <t>Pioneer Power Solutions Inc. Common Stock</t>
  </si>
  <si>
    <t>TBNK</t>
  </si>
  <si>
    <t>Territorial Bancorp Inc. Common Stock</t>
  </si>
  <si>
    <t>GCMGW</t>
  </si>
  <si>
    <t>GCM Grosvenor Inc. Warrant</t>
  </si>
  <si>
    <t>TPCS</t>
  </si>
  <si>
    <t>TechPrecision Corporation Common stock</t>
  </si>
  <si>
    <t>ADAG</t>
  </si>
  <si>
    <t>Adagene Inc. American Depositary Shares</t>
  </si>
  <si>
    <t>VIOT</t>
  </si>
  <si>
    <t>Viomi Technology Co. Ltd American Depositary Shares</t>
  </si>
  <si>
    <t>ENZ</t>
  </si>
  <si>
    <t>Enzo Biochem Inc. Common Stock ($0.01 Par Value)</t>
  </si>
  <si>
    <t>ROSE</t>
  </si>
  <si>
    <t>Rose Hill Acquisition Corporation Class A Ordinary Shares</t>
  </si>
  <si>
    <t>TPST</t>
  </si>
  <si>
    <t>Tempest Therapeutics Inc. Common Stock</t>
  </si>
  <si>
    <t>JOB</t>
  </si>
  <si>
    <t>GEE Group Inc. Common Stock</t>
  </si>
  <si>
    <t>IKNA</t>
  </si>
  <si>
    <t>Ikena Oncology Inc. Common Stock</t>
  </si>
  <si>
    <t>NGM</t>
  </si>
  <si>
    <t>NGM Biopharmaceuticals Inc. Common Stock</t>
  </si>
  <si>
    <t>MFD</t>
  </si>
  <si>
    <t>Macquarie First Trust Global Common Stock</t>
  </si>
  <si>
    <t>IDR</t>
  </si>
  <si>
    <t>Idaho Strategic Resources Inc. Common Stock</t>
  </si>
  <si>
    <t>FTHM</t>
  </si>
  <si>
    <t>Fathom Holdings Inc. Common Stock</t>
  </si>
  <si>
    <t>IOBT</t>
  </si>
  <si>
    <t>IO Biotech Inc. Common Stock</t>
  </si>
  <si>
    <t>MCHX</t>
  </si>
  <si>
    <t>Marchex Inc. Class B Common Stock</t>
  </si>
  <si>
    <t>SEZL</t>
  </si>
  <si>
    <t>Sezzle Inc. Common Stock</t>
  </si>
  <si>
    <t>AVRO</t>
  </si>
  <si>
    <t>AVROBIO Inc. Common Stock</t>
  </si>
  <si>
    <t>APYX</t>
  </si>
  <si>
    <t>Apyx Medical Corporation Common Stock</t>
  </si>
  <si>
    <t>ISDR</t>
  </si>
  <si>
    <t>Issuer Direct Corporation Common Stock</t>
  </si>
  <si>
    <t>VERI</t>
  </si>
  <si>
    <t>Veritone Inc. Common Stock</t>
  </si>
  <si>
    <t>SOUNW</t>
  </si>
  <si>
    <t>SoundHound AI Inc. Warrant</t>
  </si>
  <si>
    <t>BWEN</t>
  </si>
  <si>
    <t>Broadwind Inc. Common Stock</t>
  </si>
  <si>
    <t>NVNO</t>
  </si>
  <si>
    <t>enVVeno Medical Corporation Common Stock</t>
  </si>
  <si>
    <t>GNSS</t>
  </si>
  <si>
    <t>Genasys Inc. Common Stock</t>
  </si>
  <si>
    <t>FLUX</t>
  </si>
  <si>
    <t>Flux Power Holdings Inc. Common Stock</t>
  </si>
  <si>
    <t>YHGJ</t>
  </si>
  <si>
    <t>Yunhong Green CTI Ltd. Common Stock</t>
  </si>
  <si>
    <t>CLSD</t>
  </si>
  <si>
    <t>Clearside Biomedical Inc. Common Stock</t>
  </si>
  <si>
    <t>TCBC</t>
  </si>
  <si>
    <t>TC Bancshares Inc. Common Stock</t>
  </si>
  <si>
    <t>SCOR</t>
  </si>
  <si>
    <t>comScore Inc. Common Stock</t>
  </si>
  <si>
    <t>EVGOW</t>
  </si>
  <si>
    <t>EVgo Inc. Warrants</t>
  </si>
  <si>
    <t>TLSA</t>
  </si>
  <si>
    <t>Tiziana Life Sciences Ltd. Common Shares</t>
  </si>
  <si>
    <t>PRPL</t>
  </si>
  <si>
    <t>Purple Innovation Inc. Common Stock</t>
  </si>
  <si>
    <t>ANVS</t>
  </si>
  <si>
    <t>Annovis Bio Inc. Common Stock</t>
  </si>
  <si>
    <t>OCUP</t>
  </si>
  <si>
    <t>Ocuphire Pharma Inc. Common Stock</t>
  </si>
  <si>
    <t>UXIN</t>
  </si>
  <si>
    <t>Uxin Limited ADS</t>
  </si>
  <si>
    <t>LRFC</t>
  </si>
  <si>
    <t>Logan Ridge Finance Corporation Common Stock</t>
  </si>
  <si>
    <t>BNED</t>
  </si>
  <si>
    <t>Barnes &amp; Noble Education Inc Common Stock</t>
  </si>
  <si>
    <t>BETRW</t>
  </si>
  <si>
    <t>Better Home &amp; Finance Holding Company Warrant</t>
  </si>
  <si>
    <t>XOS</t>
  </si>
  <si>
    <t>Xos Inc. Common Stock</t>
  </si>
  <si>
    <t>VBFC</t>
  </si>
  <si>
    <t>Village Bank and Trust Financial Corp. Common Stock</t>
  </si>
  <si>
    <t>DLA</t>
  </si>
  <si>
    <t>Delta Apparel Inc. Common Stock</t>
  </si>
  <si>
    <t>UBCP</t>
  </si>
  <si>
    <t>United Bancorp Inc. Common Stock</t>
  </si>
  <si>
    <t>CASI</t>
  </si>
  <si>
    <t>CASI Pharmaceuticals Inc. Ordinary Shares</t>
  </si>
  <si>
    <t>SPRO</t>
  </si>
  <si>
    <t>Spero Therapeutics Inc. Common Stock</t>
  </si>
  <si>
    <t>IHTA</t>
  </si>
  <si>
    <t>Invesco High Income 2024 Target Term Fund Common Shares of Beneficial Interest No par value per share</t>
  </si>
  <si>
    <t>FIXX</t>
  </si>
  <si>
    <t>Homology Medicines Inc. Common Stock</t>
  </si>
  <si>
    <t>SMSI</t>
  </si>
  <si>
    <t>Smith Micro Software Inc. Common Stock</t>
  </si>
  <si>
    <t>SYRS</t>
  </si>
  <si>
    <t>Syros Pharmaceuticals Inc. Common Stock</t>
  </si>
  <si>
    <t>KNTE</t>
  </si>
  <si>
    <t>Kinnate Biopharma Inc. Common Stock</t>
  </si>
  <si>
    <t>PRST</t>
  </si>
  <si>
    <t>Presto Automation Inc. Common Stock</t>
  </si>
  <si>
    <t>CLNN</t>
  </si>
  <si>
    <t>Clene Inc. Common Stock</t>
  </si>
  <si>
    <t>DRCT</t>
  </si>
  <si>
    <t>Direct Digital Holdings Inc. Class A Common Stock</t>
  </si>
  <si>
    <t>GRRR</t>
  </si>
  <si>
    <t>Gorilla Technology Group Inc. Ordinary shares</t>
  </si>
  <si>
    <t>GEG</t>
  </si>
  <si>
    <t>Great Elm Group Inc. Common Stock</t>
  </si>
  <si>
    <t>SSIC</t>
  </si>
  <si>
    <t>Silver Spike Investment Corp. Common Stock</t>
  </si>
  <si>
    <t>CPTN</t>
  </si>
  <si>
    <t>Cepton Inc. Common Stock</t>
  </si>
  <si>
    <t>ALLT</t>
  </si>
  <si>
    <t>Allot Ltd. Ordinary Shares</t>
  </si>
  <si>
    <t>CARA</t>
  </si>
  <si>
    <t>Cara Therapeutics Inc. Common Stock</t>
  </si>
  <si>
    <t>BGXX</t>
  </si>
  <si>
    <t>Bright Green Corporation Common Stock</t>
  </si>
  <si>
    <t>NICK</t>
  </si>
  <si>
    <t>Nicholas Financial Inc. Common Stock</t>
  </si>
  <si>
    <t>MYO</t>
  </si>
  <si>
    <t>Myomo Inc. Common Stock</t>
  </si>
  <si>
    <t>AIRTP</t>
  </si>
  <si>
    <t>Air T Inc. Air T Funding Alpha Income Trust Preferred Securities</t>
  </si>
  <si>
    <t>CTSO</t>
  </si>
  <si>
    <t>Cytosorbents Corporation Common Stock</t>
  </si>
  <si>
    <t>ATHA</t>
  </si>
  <si>
    <t>Athira Pharma Inc. Common Stock</t>
  </si>
  <si>
    <t>SATL</t>
  </si>
  <si>
    <t>Satellogic Inc. Class A Ordinary Shares</t>
  </si>
  <si>
    <t>CIZN</t>
  </si>
  <si>
    <t>Citizens Holding Company Common Stock</t>
  </si>
  <si>
    <t>DUNEU</t>
  </si>
  <si>
    <t>Dune Acquisition Corporation Unit</t>
  </si>
  <si>
    <t>YS</t>
  </si>
  <si>
    <t>YS Biopharma Co. Ltd. Ordinary Shares</t>
  </si>
  <si>
    <t>DUNE</t>
  </si>
  <si>
    <t>Dune Acquisition Corporation Class A Common Stock</t>
  </si>
  <si>
    <t>MDWD</t>
  </si>
  <si>
    <t>MediWound Ltd. Ordinary Shares</t>
  </si>
  <si>
    <t>GAIA</t>
  </si>
  <si>
    <t>Gaia Inc. Class A Common Stock</t>
  </si>
  <si>
    <t>ARKR</t>
  </si>
  <si>
    <t>Ark Restaurants Corp. Common Stock</t>
  </si>
  <si>
    <t>ASXC</t>
  </si>
  <si>
    <t>Asensus Surgical Inc. Common Stock</t>
  </si>
  <si>
    <t>PATI</t>
  </si>
  <si>
    <t>Patriot Transportation Holding Inc. Common Stock</t>
  </si>
  <si>
    <t>TKNO</t>
  </si>
  <si>
    <t>Alpha Teknova Inc. Common Stock</t>
  </si>
  <si>
    <t>SGMT</t>
  </si>
  <si>
    <t>Sagimet Biosciences Inc. Series A Common Stock</t>
  </si>
  <si>
    <t>ANEB</t>
  </si>
  <si>
    <t>Anebulo Pharmaceuticals Inc. Common Stock</t>
  </si>
  <si>
    <t>FTCI</t>
  </si>
  <si>
    <t>FTC Solar Inc. Common Stock</t>
  </si>
  <si>
    <t>OCEA</t>
  </si>
  <si>
    <t>Ocean Biomedical Inc. Common Stock</t>
  </si>
  <si>
    <t>LODE</t>
  </si>
  <si>
    <t>Comstock Inc. Common Stock</t>
  </si>
  <si>
    <t>BYFC</t>
  </si>
  <si>
    <t>Broadway Financial Corporation Class A Common Stock</t>
  </si>
  <si>
    <t>BHG</t>
  </si>
  <si>
    <t>Bright Health Group Inc. Common Stock</t>
  </si>
  <si>
    <t>CLST</t>
  </si>
  <si>
    <t>Catalyst Bancorp Inc. Common Stock</t>
  </si>
  <si>
    <t>CENN</t>
  </si>
  <si>
    <t>Cenntro Electric Group Limited Ordinary Shares</t>
  </si>
  <si>
    <t>MLSS</t>
  </si>
  <si>
    <t>Milestone Scientific Inc. Common Stock</t>
  </si>
  <si>
    <t>GSIT</t>
  </si>
  <si>
    <t>GSI Technology Common Stock</t>
  </si>
  <si>
    <t>VTSI</t>
  </si>
  <si>
    <t>VirTra Inc. Common Stock</t>
  </si>
  <si>
    <t>PODC</t>
  </si>
  <si>
    <t>PodcastOne Inc. Common Stock</t>
  </si>
  <si>
    <t>VIA</t>
  </si>
  <si>
    <t>Via Renewables Inc. Class A Common Stock</t>
  </si>
  <si>
    <t>BHM</t>
  </si>
  <si>
    <t>Bluerock Homes Trust Inc. Class A Common Stock</t>
  </si>
  <si>
    <t>LEE</t>
  </si>
  <si>
    <t>Lee Enterprises Incorporated Common Stock</t>
  </si>
  <si>
    <t>POET</t>
  </si>
  <si>
    <t>POET Technologies Inc. Common Shares</t>
  </si>
  <si>
    <t>ASPI</t>
  </si>
  <si>
    <t>ASP Isotopes Inc. Common Stock</t>
  </si>
  <si>
    <t>AP</t>
  </si>
  <si>
    <t>Ampco-Pittsburgh Corporation Common Stock</t>
  </si>
  <si>
    <t>CMCM</t>
  </si>
  <si>
    <t>Cheetah Mobile Inc. American Depositary Shares each representing fifty (50) Class A Ordinary Shares</t>
  </si>
  <si>
    <t>LOAN</t>
  </si>
  <si>
    <t>GGE</t>
  </si>
  <si>
    <t>Green Giant Inc. Common Stock</t>
  </si>
  <si>
    <t>SERA</t>
  </si>
  <si>
    <t>Sera Prognostics Inc. Class A Common Stock</t>
  </si>
  <si>
    <t>EAR</t>
  </si>
  <si>
    <t>Eargo Inc. Common Stock</t>
  </si>
  <si>
    <t>RGT</t>
  </si>
  <si>
    <t>Royce Global Value Trust Inc. Common Stock</t>
  </si>
  <si>
    <t>HRYU</t>
  </si>
  <si>
    <t>Hanryu Holdings Inc. Common Stock</t>
  </si>
  <si>
    <t>QUBT</t>
  </si>
  <si>
    <t>Quantum Computing Inc. Common Stock</t>
  </si>
  <si>
    <t>SGMO</t>
  </si>
  <si>
    <t>Sangamo Therapeutics Inc. Common Stock</t>
  </si>
  <si>
    <t>RBOT</t>
  </si>
  <si>
    <t>Vicarious Surgical Inc. Class A Common Stock</t>
  </si>
  <si>
    <t>RMTI</t>
  </si>
  <si>
    <t>Rockwell Medical Inc. Common Stock</t>
  </si>
  <si>
    <t>LTBR</t>
  </si>
  <si>
    <t>Lightbridge Corporation Common Stock</t>
  </si>
  <si>
    <t>ALGS</t>
  </si>
  <si>
    <t>Aligos Therapeutics Inc. Common Stock</t>
  </si>
  <si>
    <t>KEQU</t>
  </si>
  <si>
    <t>Kewaunee Scientific Corporation Common Stock</t>
  </si>
  <si>
    <t>MVSTW</t>
  </si>
  <si>
    <t>Microvast Holdings Inc. Warrants</t>
  </si>
  <si>
    <t>KZR</t>
  </si>
  <si>
    <t>Kezar Life Sciences Inc. Common Stock</t>
  </si>
  <si>
    <t>INTG</t>
  </si>
  <si>
    <t>Intergroup Corporation (The) Common Stock</t>
  </si>
  <si>
    <t>MDRRP</t>
  </si>
  <si>
    <t>Medalist Diversified REIT Inc. Series A Cumulative Redeemable Preferred Stock</t>
  </si>
  <si>
    <t>NSTG</t>
  </si>
  <si>
    <t>NanoString Technologies Inc. Common Stock</t>
  </si>
  <si>
    <t>ACET</t>
  </si>
  <si>
    <t>Adicet Bio Inc. Common Stock</t>
  </si>
  <si>
    <t>RSF</t>
  </si>
  <si>
    <t>RiverNorth Capital and Income Fund Common Stock</t>
  </si>
  <si>
    <t>BEST</t>
  </si>
  <si>
    <t>BEST Inc. American Depositary Shares each representing twenty (20) Class A Ordinary Shares</t>
  </si>
  <si>
    <t>ASM</t>
  </si>
  <si>
    <t>Avino Silver &amp; Gold Mines Ltd. Common Shares (Canada)</t>
  </si>
  <si>
    <t>USAS</t>
  </si>
  <si>
    <t>Americas Gold and Silver Corporation Common Shares no par value</t>
  </si>
  <si>
    <t>SELF</t>
  </si>
  <si>
    <t>Global Self Storage Inc. Common Stock</t>
  </si>
  <si>
    <t>PPIH</t>
  </si>
  <si>
    <t>Perma-Pipe International Holdings Inc. Common Stock</t>
  </si>
  <si>
    <t>GREEL</t>
  </si>
  <si>
    <t>Greenidge Generation Holdings Inc. 8.50% Senior Notes due 2026</t>
  </si>
  <si>
    <t>BDL</t>
  </si>
  <si>
    <t>Flanigan's Enterprises Inc. Common Stock</t>
  </si>
  <si>
    <t>NM</t>
  </si>
  <si>
    <t>Navios Maritime Holdings Inc. Common Stock</t>
  </si>
  <si>
    <t>FARM</t>
  </si>
  <si>
    <t>Farmer Brothers Company Common Stock</t>
  </si>
  <si>
    <t>FATBW</t>
  </si>
  <si>
    <t>FAT Brands Inc. Warrant</t>
  </si>
  <si>
    <t>BRBS</t>
  </si>
  <si>
    <t>Blue Ridge Bankshares Inc. Common Stock</t>
  </si>
  <si>
    <t>BODY</t>
  </si>
  <si>
    <t>The Beachbody Company Inc. Class A Common Stock</t>
  </si>
  <si>
    <t>SABS</t>
  </si>
  <si>
    <t>SAB Biotherapeutics Inc. Common Stock</t>
  </si>
  <si>
    <t>MFH</t>
  </si>
  <si>
    <t>Mercurity Fintech Holding Inc. Ordinary Shares</t>
  </si>
  <si>
    <t>LUCD</t>
  </si>
  <si>
    <t>Lucid Diagnostics Inc. Common Stock</t>
  </si>
  <si>
    <t>HUMAW</t>
  </si>
  <si>
    <t>Humacyte Inc. Warrant</t>
  </si>
  <si>
    <t>ICMB</t>
  </si>
  <si>
    <t>Investcorp Credit Management BDC Inc. Common Stock</t>
  </si>
  <si>
    <t>COYA</t>
  </si>
  <si>
    <t>Coya Therapeutics Inc. Common Stock</t>
  </si>
  <si>
    <t>SNAL</t>
  </si>
  <si>
    <t>Snail Inc. Class A Common Stock</t>
  </si>
  <si>
    <t>BNGO</t>
  </si>
  <si>
    <t>Bionano Genomics Inc. Common Stock</t>
  </si>
  <si>
    <t>KPLT</t>
  </si>
  <si>
    <t>Katapult Holdings Inc. Common Stock</t>
  </si>
  <si>
    <t>WIMI</t>
  </si>
  <si>
    <t>WiMi Hologram Cloud Inc. American Depositary Share</t>
  </si>
  <si>
    <t>HCWB</t>
  </si>
  <si>
    <t>HCW Biologics Inc. Common Stock</t>
  </si>
  <si>
    <t>ICCH</t>
  </si>
  <si>
    <t>ICC Holdings Inc. Common Stock</t>
  </si>
  <si>
    <t>FUSB</t>
  </si>
  <si>
    <t>First US Bancshares Inc. Common Stock</t>
  </si>
  <si>
    <t>DZSI</t>
  </si>
  <si>
    <t>DZS Inc. Common Stock</t>
  </si>
  <si>
    <t>NTIP</t>
  </si>
  <si>
    <t>Network-1 Technologies Inc. Common Stock</t>
  </si>
  <si>
    <t>APT</t>
  </si>
  <si>
    <t>Alpha Pro Tech Ltd. Common Stock</t>
  </si>
  <si>
    <t>ACXP</t>
  </si>
  <si>
    <t>Acurx Pharmaceuticals Inc. Common Stock</t>
  </si>
  <si>
    <t>PSNL</t>
  </si>
  <si>
    <t>Personalis Inc. Common Stock</t>
  </si>
  <si>
    <t>CGEN</t>
  </si>
  <si>
    <t>Compugen Ltd. Ordinary Shares</t>
  </si>
  <si>
    <t>CXDO</t>
  </si>
  <si>
    <t>Crexendo Inc. Common Stock</t>
  </si>
  <si>
    <t>ITRG</t>
  </si>
  <si>
    <t>Integra Resources Corp. Common Shares</t>
  </si>
  <si>
    <t>HHS</t>
  </si>
  <si>
    <t>Harte-Hanks Inc. Common Stock</t>
  </si>
  <si>
    <t>AEYE</t>
  </si>
  <si>
    <t>AudioEye Inc. Common Stock</t>
  </si>
  <si>
    <t>LPTH</t>
  </si>
  <si>
    <t>LightPath Technologies Inc. Class A Common Stock</t>
  </si>
  <si>
    <t>ELTX</t>
  </si>
  <si>
    <t>Elicio Therapeutics Inc. Common Stock</t>
  </si>
  <si>
    <t>AUID</t>
  </si>
  <si>
    <t>authID Inc. Common Stock</t>
  </si>
  <si>
    <t>IOR</t>
  </si>
  <si>
    <t>Income Opportunity Realty Investors Inc. Common Stock</t>
  </si>
  <si>
    <t>RCAT</t>
  </si>
  <si>
    <t>Red Cat Holdings Inc. Common Stock</t>
  </si>
  <si>
    <t>HNNA</t>
  </si>
  <si>
    <t>Hennessy Advisors Inc. Common Stock</t>
  </si>
  <si>
    <t>ASMB</t>
  </si>
  <si>
    <t>Assembly Biosciences Inc. Common Stock</t>
  </si>
  <si>
    <t>HOUR</t>
  </si>
  <si>
    <t>Hour Loop Inc. Common Stock</t>
  </si>
  <si>
    <t>INCR</t>
  </si>
  <si>
    <t>Intercure Ltd. Ordinary Shares</t>
  </si>
  <si>
    <t>CRDL</t>
  </si>
  <si>
    <t>Cardiol Therapeutics Inc. Class A Common Shares</t>
  </si>
  <si>
    <t>HLTH</t>
  </si>
  <si>
    <t>Cue Health Inc. Common Stock</t>
  </si>
  <si>
    <t>IROQ</t>
  </si>
  <si>
    <t>IF Bancorp Inc. Common Stock</t>
  </si>
  <si>
    <t>VANI</t>
  </si>
  <si>
    <t>Vivani Medical Inc. Common Stock (DE)</t>
  </si>
  <si>
    <t>FURY</t>
  </si>
  <si>
    <t>Fury Gold Mines Limited Common Shares</t>
  </si>
  <si>
    <t>CCM</t>
  </si>
  <si>
    <t>Concord Medical Services Holdings Limited ADS (Each represents three ordinary shares)</t>
  </si>
  <si>
    <t>SOLO</t>
  </si>
  <si>
    <t>Electrameccanica Vehicles Corp. Ltd. Common Stock</t>
  </si>
  <si>
    <t>AZ</t>
  </si>
  <si>
    <t>A2Z Smart Technologies Corp. Common Shares</t>
  </si>
  <si>
    <t>KXIN</t>
  </si>
  <si>
    <t>Kaixin Auto Holdings Ordinary Shares</t>
  </si>
  <si>
    <t>DYAI</t>
  </si>
  <si>
    <t>Dyadic International Inc. Common Stock</t>
  </si>
  <si>
    <t>NSTS</t>
  </si>
  <si>
    <t>NSTS Bancorp Inc. Common Stock</t>
  </si>
  <si>
    <t>MMAT</t>
  </si>
  <si>
    <t>Meta Materials Inc. Common Stock</t>
  </si>
  <si>
    <t>MOVE</t>
  </si>
  <si>
    <t>Movano Inc. Common Stock</t>
  </si>
  <si>
    <t>DMTK</t>
  </si>
  <si>
    <t>DermTech Inc. Common Stock</t>
  </si>
  <si>
    <t>MEIP</t>
  </si>
  <si>
    <t>MEI Pharma Inc. Common Stock</t>
  </si>
  <si>
    <t>AFMD</t>
  </si>
  <si>
    <t>Affimed N.V.</t>
  </si>
  <si>
    <t>EOSEW</t>
  </si>
  <si>
    <t>Eos Energy Enterprises Inc. Warrant</t>
  </si>
  <si>
    <t>IMUX</t>
  </si>
  <si>
    <t>Immunic Inc. Common Stock</t>
  </si>
  <si>
    <t>MMV</t>
  </si>
  <si>
    <t>MultiMetaVerse Holdings Limited Class A Ordinary Share</t>
  </si>
  <si>
    <t>SHOT</t>
  </si>
  <si>
    <t>Safety Shot Inc. Common Stock</t>
  </si>
  <si>
    <t>KRON</t>
  </si>
  <si>
    <t>Kronos Bio Inc. Common Stock</t>
  </si>
  <si>
    <t>ESP</t>
  </si>
  <si>
    <t>Espey Mfg. &amp; Electronics Corp. Common Stock</t>
  </si>
  <si>
    <t>PRE</t>
  </si>
  <si>
    <t>Prenetics Global Limited Class A Ordinary Share</t>
  </si>
  <si>
    <t>GDTC</t>
  </si>
  <si>
    <t>CytoMed Therapeutics Limited Ordinary Shares</t>
  </si>
  <si>
    <t>WHLRD</t>
  </si>
  <si>
    <t>Wheeler Real Estate Investment Trust Inc. Series D Cumulative Preferred Stock</t>
  </si>
  <si>
    <t>IPWR</t>
  </si>
  <si>
    <t>Ideal Power Inc. Common Stock</t>
  </si>
  <si>
    <t>RGF</t>
  </si>
  <si>
    <t>The Real Good Food Company Inc. Class A Common Stock</t>
  </si>
  <si>
    <t>MTNB</t>
  </si>
  <si>
    <t>Matinas Biopharma Holdings Inc. Common Stock</t>
  </si>
  <si>
    <t>EYEN</t>
  </si>
  <si>
    <t>Eyenovia Inc. Common Stock</t>
  </si>
  <si>
    <t>GSD</t>
  </si>
  <si>
    <t>Global Systems Dynamics Inc. Class A Common Stock</t>
  </si>
  <si>
    <t>CTCX</t>
  </si>
  <si>
    <t>Carmell Therapeutics Corporation Class A Common Stock</t>
  </si>
  <si>
    <t>USIO</t>
  </si>
  <si>
    <t>Usio Inc. Common Stock</t>
  </si>
  <si>
    <t>MDXH</t>
  </si>
  <si>
    <t>MDxHealth SA American Depositary Shares</t>
  </si>
  <si>
    <t>RNWWW</t>
  </si>
  <si>
    <t>ReNew Energy Global plc Warrant</t>
  </si>
  <si>
    <t>TIL</t>
  </si>
  <si>
    <t>Instil Bio Inc. Common Stock</t>
  </si>
  <si>
    <t>BOTJ</t>
  </si>
  <si>
    <t>Bank of the James Financial Group Inc. Common Stock</t>
  </si>
  <si>
    <t>RKDA</t>
  </si>
  <si>
    <t>Arcadia Biosciences Inc. Common Stock</t>
  </si>
  <si>
    <t>ASRV</t>
  </si>
  <si>
    <t>AmeriServ Financial Inc. Common Stock</t>
  </si>
  <si>
    <t>DCTH</t>
  </si>
  <si>
    <t>Delcath Systems Inc. Common Stock</t>
  </si>
  <si>
    <t>DTIL</t>
  </si>
  <si>
    <t>Precision BioSciences Inc. Common Stock</t>
  </si>
  <si>
    <t>KSCP</t>
  </si>
  <si>
    <t>Knightscope Inc. Class A Common Stock</t>
  </si>
  <si>
    <t>BKTI</t>
  </si>
  <si>
    <t>BK Technologies Corporation Common Stock</t>
  </si>
  <si>
    <t>CRDF</t>
  </si>
  <si>
    <t>Cardiff Oncology Inc. Common Stock</t>
  </si>
  <si>
    <t>SLDB</t>
  </si>
  <si>
    <t>Solid Biosciences Inc. Common Stock</t>
  </si>
  <si>
    <t>HUDI</t>
  </si>
  <si>
    <t>Huadi International Group Co. Ltd. Ordinary Shares</t>
  </si>
  <si>
    <t>CSLR</t>
  </si>
  <si>
    <t>Complete Solaria Inc. Common Stock</t>
  </si>
  <si>
    <t>RNLX</t>
  </si>
  <si>
    <t>Renalytix plc American Depositary Shares</t>
  </si>
  <si>
    <t>ACBA</t>
  </si>
  <si>
    <t>Ace Global Business Acquisition Limited Ordinary Shares</t>
  </si>
  <si>
    <t>COE</t>
  </si>
  <si>
    <t>51Talk Online Education Group American depositary shares each representing 60 Class A ordinary shares</t>
  </si>
  <si>
    <t>STRW</t>
  </si>
  <si>
    <t>Strawberry Fields REIT Inc. Common Stock</t>
  </si>
  <si>
    <t>OKYO</t>
  </si>
  <si>
    <t>OKYO Pharma Limited Ordinary Shares</t>
  </si>
  <si>
    <t>FLNT</t>
  </si>
  <si>
    <t>Fluent Inc. Common Stock</t>
  </si>
  <si>
    <t>BGI</t>
  </si>
  <si>
    <t>Birks Group Inc. Common Stock</t>
  </si>
  <si>
    <t>PFXNZ</t>
  </si>
  <si>
    <t>PhenixFIN Corporation  5.25% Notes due 2028</t>
  </si>
  <si>
    <t>NOTV</t>
  </si>
  <si>
    <t>Inotiv Inc. Common Stock</t>
  </si>
  <si>
    <t>BZFD</t>
  </si>
  <si>
    <t>BuzzFeed Inc. Class A Common Stock</t>
  </si>
  <si>
    <t>HUIZ</t>
  </si>
  <si>
    <t>Huize Holding Limited American Depositary Shares</t>
  </si>
  <si>
    <t>NXN</t>
  </si>
  <si>
    <t>Nuveen New York Select Tax-Free Income Portfolio Common Stock</t>
  </si>
  <si>
    <t>KTCC</t>
  </si>
  <si>
    <t>Key Tronic Corporation Common Stock</t>
  </si>
  <si>
    <t>RFL</t>
  </si>
  <si>
    <t>Rafael Holdings Inc. Class B Common Stock</t>
  </si>
  <si>
    <t>JZ</t>
  </si>
  <si>
    <t>Jianzhi Education Technology Group Company Limited American Depositary Shares</t>
  </si>
  <si>
    <t>DFLI</t>
  </si>
  <si>
    <t>Dragonfly Energy Holdings Corp. Common Stock (NV)</t>
  </si>
  <si>
    <t>CRWS</t>
  </si>
  <si>
    <t>Crown Crafts Inc Common Stock</t>
  </si>
  <si>
    <t>SNCR</t>
  </si>
  <si>
    <t>Synchronoss Technologies Inc. Common Stock</t>
  </si>
  <si>
    <t>QMCO</t>
  </si>
  <si>
    <t>Quantum Corporation Common Stock</t>
  </si>
  <si>
    <t>SPRB</t>
  </si>
  <si>
    <t>Spruce Biosciences Inc. Common Stock</t>
  </si>
  <si>
    <t>CCEL</t>
  </si>
  <si>
    <t>Cryo-Cell International Inc. Common Stock</t>
  </si>
  <si>
    <t>EDRY</t>
  </si>
  <si>
    <t>EuroDry Ltd. Common Shares</t>
  </si>
  <si>
    <t>RAIL</t>
  </si>
  <si>
    <t>FreightCar America Inc. Common Stock</t>
  </si>
  <si>
    <t>OWLT</t>
  </si>
  <si>
    <t>Owlet Inc. Class A Common Stock</t>
  </si>
  <si>
    <t>GREE</t>
  </si>
  <si>
    <t>Greenidge Generation Holdings Inc. Class A Common Stock</t>
  </si>
  <si>
    <t>HSON</t>
  </si>
  <si>
    <t>Hudson Global Inc. Common Stock</t>
  </si>
  <si>
    <t>DWSN</t>
  </si>
  <si>
    <t>Dawson Geophysical Company Common Stock</t>
  </si>
  <si>
    <t>RWLK</t>
  </si>
  <si>
    <t>ReWalk Robotics Ltd. Ordinary Shares</t>
  </si>
  <si>
    <t>SYPR</t>
  </si>
  <si>
    <t>Sypris Solutions Inc. Common Stock</t>
  </si>
  <si>
    <t>GGROW</t>
  </si>
  <si>
    <t>Gogoro Inc. Warrant</t>
  </si>
  <si>
    <t>ICCC</t>
  </si>
  <si>
    <t>ImmuCell Corporation Common Stock</t>
  </si>
  <si>
    <t>CELU</t>
  </si>
  <si>
    <t>Celularity Inc. Class A Common Stock</t>
  </si>
  <si>
    <t>AWH</t>
  </si>
  <si>
    <t>Aspira Women's Health Inc. Common Stock</t>
  </si>
  <si>
    <t>OSS</t>
  </si>
  <si>
    <t>One Stop Systems Inc. Common Stock</t>
  </si>
  <si>
    <t>RPID</t>
  </si>
  <si>
    <t>Rapid Micro Biosystems Inc. Class A Common Stock</t>
  </si>
  <si>
    <t>MGLD</t>
  </si>
  <si>
    <t>The Marygold Companies Inc. Common Stock</t>
  </si>
  <si>
    <t>HFBL</t>
  </si>
  <si>
    <t>Home Federal Bancorp Inc. of Louisiana Common Stock</t>
  </si>
  <si>
    <t>CASA</t>
  </si>
  <si>
    <t>Casa Systems Inc. Common Stock</t>
  </si>
  <si>
    <t>PFIN</t>
  </si>
  <si>
    <t>P &amp; F Industries Inc. Class A Common Stock</t>
  </si>
  <si>
    <t>REE</t>
  </si>
  <si>
    <t>REE Automotive Ltd. Class A Ordinary Shares</t>
  </si>
  <si>
    <t>Finland</t>
  </si>
  <si>
    <t>SLDPW</t>
  </si>
  <si>
    <t>Solid Power Inc. Warrant</t>
  </si>
  <si>
    <t>PIIIW</t>
  </si>
  <si>
    <t>P3 Health Partners Inc. Warrant</t>
  </si>
  <si>
    <t>OCSAW</t>
  </si>
  <si>
    <t>Oculis Holding AG Warrants</t>
  </si>
  <si>
    <t>TURN</t>
  </si>
  <si>
    <t>180 Degree Capital Corp. Common Stock</t>
  </si>
  <si>
    <t>DTCK</t>
  </si>
  <si>
    <t>Davis Commodities Limited Ordinary Shares</t>
  </si>
  <si>
    <t>AKTS</t>
  </si>
  <si>
    <t>Akoustis Technologies Inc. Common Stock</t>
  </si>
  <si>
    <t>CFSB</t>
  </si>
  <si>
    <t>CFSB Bancorp Inc. Common Stock</t>
  </si>
  <si>
    <t>HYFM</t>
  </si>
  <si>
    <t>Hydrofarm Holdings Group Inc. Common Stock</t>
  </si>
  <si>
    <t>CHCI</t>
  </si>
  <si>
    <t>Comstock Holding Companies Inc. Class A Common Stock</t>
  </si>
  <si>
    <t>TCBS</t>
  </si>
  <si>
    <t>Texas Community Bancshares Inc. Common Stock</t>
  </si>
  <si>
    <t>DPSI</t>
  </si>
  <si>
    <t>DecisionPoint Systems Inc. Common Stock</t>
  </si>
  <si>
    <t>XPL</t>
  </si>
  <si>
    <t>Solitario Resources Corp. Common Stock</t>
  </si>
  <si>
    <t>JYD</t>
  </si>
  <si>
    <t>Jayud Global Logistics Limited Class A Ordinary Shares</t>
  </si>
  <si>
    <t>HUBC</t>
  </si>
  <si>
    <t>Hub Cyber Security Ltd. Ordinary Shares</t>
  </si>
  <si>
    <t>HUGE</t>
  </si>
  <si>
    <t>FSD Pharma Inc. Class B Subordinate Voting Shares</t>
  </si>
  <si>
    <t>CPBI</t>
  </si>
  <si>
    <t>Central Plains Bancshares Inc. Common Stock</t>
  </si>
  <si>
    <t>PLAG</t>
  </si>
  <si>
    <t>Planet Green Holdings Corp. Common Stock</t>
  </si>
  <si>
    <t>CVV</t>
  </si>
  <si>
    <t>CVD Equipment Corporation Common Stock</t>
  </si>
  <si>
    <t>BCOW</t>
  </si>
  <si>
    <t>1895 Bancorp of Wisconsin Inc. (MD) Common Stock</t>
  </si>
  <si>
    <t>XLO</t>
  </si>
  <si>
    <t>Xilio Therapeutics Inc. Common Stock</t>
  </si>
  <si>
    <t>RAIN</t>
  </si>
  <si>
    <t>Rain Oncology Inc. Common Stock</t>
  </si>
  <si>
    <t>MHUA</t>
  </si>
  <si>
    <t>Meihua International Medical Technologies Co. Ltd. Ordinary Shares</t>
  </si>
  <si>
    <t>NAII</t>
  </si>
  <si>
    <t>Natural Alternatives International Inc. Common Stock</t>
  </si>
  <si>
    <t>BANL</t>
  </si>
  <si>
    <t>CBL International Limited Ordinary Shares</t>
  </si>
  <si>
    <t>JRSH</t>
  </si>
  <si>
    <t>Jerash Holdings (US) Inc. Common Stock</t>
  </si>
  <si>
    <t>APCX</t>
  </si>
  <si>
    <t>AppTech Payments Corp. Common Stock</t>
  </si>
  <si>
    <t>IPA</t>
  </si>
  <si>
    <t>ImmunoPrecise Antibodies Ltd. Common Stock</t>
  </si>
  <si>
    <t>BAFN</t>
  </si>
  <si>
    <t>BayFirst Financial Corp. Common Stock</t>
  </si>
  <si>
    <t>RDI</t>
  </si>
  <si>
    <t>Reading International Inc Class A Common Stock</t>
  </si>
  <si>
    <t>PXS</t>
  </si>
  <si>
    <t>Pyxis Tankers Inc. Common Stock</t>
  </si>
  <si>
    <t>LGVN</t>
  </si>
  <si>
    <t>Longeveron Inc. Class A Common Stock</t>
  </si>
  <si>
    <t>CKPT</t>
  </si>
  <si>
    <t>Checkpoint Therapeutics Inc. Common Stock</t>
  </si>
  <si>
    <t>AGLE</t>
  </si>
  <si>
    <t>Aeglea BioTherapeutics Inc. Common Stock</t>
  </si>
  <si>
    <t>ENCP</t>
  </si>
  <si>
    <t>Energem Corp Class A Ordinary Shares</t>
  </si>
  <si>
    <t>VEV</t>
  </si>
  <si>
    <t>Vicinity Motor Corp. Common Stock</t>
  </si>
  <si>
    <t>DCFC</t>
  </si>
  <si>
    <t>Tritium DCFC Limited Ordinary Shares</t>
  </si>
  <si>
    <t>ADVWW</t>
  </si>
  <si>
    <t>Advantage Solutions Inc. Warrant</t>
  </si>
  <si>
    <t>CVU</t>
  </si>
  <si>
    <t>CPI Aerostructures Inc. Common Stock</t>
  </si>
  <si>
    <t>MATH</t>
  </si>
  <si>
    <t>Metalpha Technology Holding Limited Ordinary Shares</t>
  </si>
  <si>
    <t>ADCT</t>
  </si>
  <si>
    <t>ADC Therapeutics SA Common Shares</t>
  </si>
  <si>
    <t>PLBY</t>
  </si>
  <si>
    <t>PLBY Group Inc. Common Stock</t>
  </si>
  <si>
    <t>EBON</t>
  </si>
  <si>
    <t>Ebang International Holdings Inc. Class A Ordinary Shares</t>
  </si>
  <si>
    <t>GOEVW</t>
  </si>
  <si>
    <t>Canoo Inc. Warrant</t>
  </si>
  <si>
    <t>KA</t>
  </si>
  <si>
    <t>Kineta Inc. Common Stock</t>
  </si>
  <si>
    <t>MNDO</t>
  </si>
  <si>
    <t>MIND C.T.I. Ltd. Ordinary Shares</t>
  </si>
  <si>
    <t>NA</t>
  </si>
  <si>
    <t>Nano Labs Ltd American Depositary Shares</t>
  </si>
  <si>
    <t>HOOK</t>
  </si>
  <si>
    <t>HOOKIPA Pharma Inc. Common Stock</t>
  </si>
  <si>
    <t>HUBCZ</t>
  </si>
  <si>
    <t>Hub Cyber Security Ltd. Warrant 8/22/2025</t>
  </si>
  <si>
    <t>FGEN</t>
  </si>
  <si>
    <t>FibroGen Inc Common Stock</t>
  </si>
  <si>
    <t>POCI</t>
  </si>
  <si>
    <t>Precision Optics Corporation Inc. Common stock</t>
  </si>
  <si>
    <t>KULR</t>
  </si>
  <si>
    <t>KULR Technology Group Inc. Common Stock</t>
  </si>
  <si>
    <t>AGMH</t>
  </si>
  <si>
    <t>AGM Group Holdings Inc. Class A Ordinary Shares</t>
  </si>
  <si>
    <t>INTS</t>
  </si>
  <si>
    <t>Intensity Therapeutics Inc. Common stock</t>
  </si>
  <si>
    <t>DGHI</t>
  </si>
  <si>
    <t>Digihost Technology Inc. Common Subordinate Voting Shares</t>
  </si>
  <si>
    <t>VTVT</t>
  </si>
  <si>
    <t>vTv Therapeutics Inc. Class A Common Stock</t>
  </si>
  <si>
    <t>BSQR</t>
  </si>
  <si>
    <t>BSQUARE Corporation Common Stock</t>
  </si>
  <si>
    <t>BOLT</t>
  </si>
  <si>
    <t>Bolt Biotherapeutics Inc. Common Stock</t>
  </si>
  <si>
    <t>LVTX</t>
  </si>
  <si>
    <t>LAVA Therapeutics N.V. Ordinary Shares</t>
  </si>
  <si>
    <t>STIM</t>
  </si>
  <si>
    <t>Neuronetics Inc. Common Stock</t>
  </si>
  <si>
    <t>HYMC</t>
  </si>
  <si>
    <t>Hycroft Mining Holding Corporation Class A Common Stock</t>
  </si>
  <si>
    <t>BYSI</t>
  </si>
  <si>
    <t>BeyondSpring Inc. Ordinary Shares</t>
  </si>
  <si>
    <t>RAVE</t>
  </si>
  <si>
    <t>Rave Restaurant Group Inc. Common Stock</t>
  </si>
  <si>
    <t>VGZ</t>
  </si>
  <si>
    <t>Vista Gold Corp Common Stock</t>
  </si>
  <si>
    <t>EFTR</t>
  </si>
  <si>
    <t>eFFECTOR Therapeutics Inc. Common Stock</t>
  </si>
  <si>
    <t>GTEC</t>
  </si>
  <si>
    <t>Greenland Technologies Holding Corporation Ordinary Shares</t>
  </si>
  <si>
    <t>INKT</t>
  </si>
  <si>
    <t>MiNK Therapeutics Inc. Common Stock</t>
  </si>
  <si>
    <t>CRIS</t>
  </si>
  <si>
    <t>Curis Inc. Common Stock</t>
  </si>
  <si>
    <t>MULN</t>
  </si>
  <si>
    <t>Mullen Automotive Inc. Common Stock</t>
  </si>
  <si>
    <t>LTRN</t>
  </si>
  <si>
    <t>Lantern Pharma Inc. Common Stock</t>
  </si>
  <si>
    <t>KFFB</t>
  </si>
  <si>
    <t>Kentucky First Federal Bancorp Common Stock</t>
  </si>
  <si>
    <t>SWIN</t>
  </si>
  <si>
    <t>Solowin Holdings Ordinary Share</t>
  </si>
  <si>
    <t>TLF</t>
  </si>
  <si>
    <t>Tandy Leather Factory Inc. Common Stock</t>
  </si>
  <si>
    <t>Express Inc. Common Stock</t>
  </si>
  <si>
    <t>DSWL</t>
  </si>
  <si>
    <t>Deswell Industries Inc. Common Shares</t>
  </si>
  <si>
    <t>SLGL</t>
  </si>
  <si>
    <t>Sol-Gel Technologies Ltd. Ordinary Shares</t>
  </si>
  <si>
    <t>TOON</t>
  </si>
  <si>
    <t>Kartoon Studios Inc. Common Stock</t>
  </si>
  <si>
    <t>LILMW</t>
  </si>
  <si>
    <t>Lilium N.V. Warrants</t>
  </si>
  <si>
    <t>JFU</t>
  </si>
  <si>
    <t>9F Inc. American Depositary Shares</t>
  </si>
  <si>
    <t>LPTX</t>
  </si>
  <si>
    <t>Leap Therapeutics Inc. Common Stock</t>
  </si>
  <si>
    <t>REFR</t>
  </si>
  <si>
    <t>Research Frontiers Incorporated Common Stock</t>
  </si>
  <si>
    <t>CURO</t>
  </si>
  <si>
    <t>CURO Group Holdings Corp. Common Stock</t>
  </si>
  <si>
    <t>CODX</t>
  </si>
  <si>
    <t>Co-Diagnostics Inc. Common Stock</t>
  </si>
  <si>
    <t>ICCM</t>
  </si>
  <si>
    <t>IceCure Medical Ltd. Ordinary Shares</t>
  </si>
  <si>
    <t>IZEA</t>
  </si>
  <si>
    <t>IZEA Worldwide Inc. Common Stock</t>
  </si>
  <si>
    <t>GANX</t>
  </si>
  <si>
    <t>Gain Therapeutics Inc. Common Stock</t>
  </si>
  <si>
    <t>NXPL</t>
  </si>
  <si>
    <t>NextPlat Corp Common Stock</t>
  </si>
  <si>
    <t>ADSEW</t>
  </si>
  <si>
    <t>ADS-TEC ENERGY PLC Warrant</t>
  </si>
  <si>
    <t>OMH</t>
  </si>
  <si>
    <t>Ohmyhome Limited Ordinary Shares</t>
  </si>
  <si>
    <t>ONMD</t>
  </si>
  <si>
    <t>OneMedNet Corp Class A Common Stock</t>
  </si>
  <si>
    <t>CPSH</t>
  </si>
  <si>
    <t>CPS Technologies Corp. Common Stock</t>
  </si>
  <si>
    <t>GROW</t>
  </si>
  <si>
    <t>U.S. Global Investors Inc. Class A Common Stock</t>
  </si>
  <si>
    <t>DOGZ</t>
  </si>
  <si>
    <t>Dogness (International) Corporation Class A Common Stock</t>
  </si>
  <si>
    <t>RENT</t>
  </si>
  <si>
    <t>Rent the Runway Inc. Class A Common Stock</t>
  </si>
  <si>
    <t>ECOR</t>
  </si>
  <si>
    <t>electroCore Inc. Common Stock</t>
  </si>
  <si>
    <t>FKWL</t>
  </si>
  <si>
    <t>Franklin Wireless Corp. Common Stock</t>
  </si>
  <si>
    <t>VWE</t>
  </si>
  <si>
    <t>Vintage Wine Estates Inc. Common Stock</t>
  </si>
  <si>
    <t>SNCE</t>
  </si>
  <si>
    <t>Science 37 Holdings Inc. Common Stock</t>
  </si>
  <si>
    <t>ICAD</t>
  </si>
  <si>
    <t>iCAD Inc. Common Stock</t>
  </si>
  <si>
    <t>RVPHW</t>
  </si>
  <si>
    <t>Reviva Pharmaceuticals Holdings Inc. Warrants</t>
  </si>
  <si>
    <t>RAND</t>
  </si>
  <si>
    <t>Rand Capital Corporation Common Stock</t>
  </si>
  <si>
    <t>IRIX</t>
  </si>
  <si>
    <t>IRIDEX Corporation Common Stock</t>
  </si>
  <si>
    <t>FSEA</t>
  </si>
  <si>
    <t>First Seacoast Bancorp Inc. Common Stock</t>
  </si>
  <si>
    <t>PBBK</t>
  </si>
  <si>
    <t>PB Bankshares Inc. Common Stock</t>
  </si>
  <si>
    <t>UAMY</t>
  </si>
  <si>
    <t>United States Antimony Corporation Common Stock</t>
  </si>
  <si>
    <t>AKLI</t>
  </si>
  <si>
    <t>Akili Inc. Common Stock</t>
  </si>
  <si>
    <t>SCTL</t>
  </si>
  <si>
    <t>Societal CDMO Inc. Common Stock</t>
  </si>
  <si>
    <t>CUTR</t>
  </si>
  <si>
    <t>Cutera Inc. Common Stock</t>
  </si>
  <si>
    <t>MINM</t>
  </si>
  <si>
    <t>Minim Inc. Common Stock</t>
  </si>
  <si>
    <t>ICD</t>
  </si>
  <si>
    <t>Independence Contract Drilling Inc. Common Stock</t>
  </si>
  <si>
    <t>FATH</t>
  </si>
  <si>
    <t>Fathom Digital Manufacturing Corporation Class A Common Stock</t>
  </si>
  <si>
    <t>LIDR</t>
  </si>
  <si>
    <t>AEye Inc. Class A Common Stock</t>
  </si>
  <si>
    <t>MYNZ</t>
  </si>
  <si>
    <t>Mainz Biomed N.V. Ordinary Shares</t>
  </si>
  <si>
    <t>CLIR</t>
  </si>
  <si>
    <t>ClearSign Technologies Corporation Common Stock (DE)</t>
  </si>
  <si>
    <t>ENLV</t>
  </si>
  <si>
    <t>Enlivex Therapeutics Ltd. Ordinary Shares</t>
  </si>
  <si>
    <t>ONDS</t>
  </si>
  <si>
    <t>Ondas Holdings Inc. Common Stock</t>
  </si>
  <si>
    <t>PASG</t>
  </si>
  <si>
    <t>Passage Bio Inc. Common Stock</t>
  </si>
  <si>
    <t>WGS</t>
  </si>
  <si>
    <t>GeneDx Holdings Corp. Class A Common Stock</t>
  </si>
  <si>
    <t>INAB</t>
  </si>
  <si>
    <t>IN8bio Inc. Common Stock</t>
  </si>
  <si>
    <t>IDN</t>
  </si>
  <si>
    <t>Intellicheck Inc. Common Stock</t>
  </si>
  <si>
    <t>QNCX</t>
  </si>
  <si>
    <t>Quince Therapeutics Inc. Common Stock</t>
  </si>
  <si>
    <t>ACHL</t>
  </si>
  <si>
    <t>Achilles Therapeutics plc American Depositary Shares</t>
  </si>
  <si>
    <t>DXR</t>
  </si>
  <si>
    <t>Daxor Corporation Common Stock</t>
  </si>
  <si>
    <t>SLNA</t>
  </si>
  <si>
    <t>Selina Hospitality PLC Ordinary Shares</t>
  </si>
  <si>
    <t>AAME</t>
  </si>
  <si>
    <t>Atlantic American Corporation Common Stock</t>
  </si>
  <si>
    <t>BEAT</t>
  </si>
  <si>
    <t>Heartbeam Inc. Common Stock</t>
  </si>
  <si>
    <t>UG</t>
  </si>
  <si>
    <t>United-Guardian Inc. Common Stock</t>
  </si>
  <si>
    <t>CGTX</t>
  </si>
  <si>
    <t>Cognition Therapeutics Inc. Common Stock</t>
  </si>
  <si>
    <t>INDO</t>
  </si>
  <si>
    <t>Indonesia Energy Corporation Limited Ordinary Shares</t>
  </si>
  <si>
    <t>CANO</t>
  </si>
  <si>
    <t>Cano Health Inc. Class A Common Stock</t>
  </si>
  <si>
    <t>AWRE</t>
  </si>
  <si>
    <t>Aware Inc. Common Stock</t>
  </si>
  <si>
    <t>EUDA</t>
  </si>
  <si>
    <t>EUDA Health Holdings Limited Ordinary Shares</t>
  </si>
  <si>
    <t>UTSI</t>
  </si>
  <si>
    <t>UTStarcom Holdings Corp. Ordinary Shares</t>
  </si>
  <si>
    <t>BTM</t>
  </si>
  <si>
    <t>Bitcoin Depot Inc. Class A Common Stock</t>
  </si>
  <si>
    <t>UP</t>
  </si>
  <si>
    <t>Wheels Up Experience Inc. Class A Common Stock</t>
  </si>
  <si>
    <t>FTEK</t>
  </si>
  <si>
    <t>Fuel Tech Inc. Common Stock</t>
  </si>
  <si>
    <t>AGBA</t>
  </si>
  <si>
    <t>AGBA Group Holding Limited Ordinary Share</t>
  </si>
  <si>
    <t>UHGWW</t>
  </si>
  <si>
    <t>United Homes Group Inc. Warrant</t>
  </si>
  <si>
    <t>CACO</t>
  </si>
  <si>
    <t>Caravelle International Group Ordinary Shares</t>
  </si>
  <si>
    <t>BEDU</t>
  </si>
  <si>
    <t>Bright Scholar Education Holdings Limited American Depositary Shares each  representing four Class A Ordinary Share</t>
  </si>
  <si>
    <t>Bright Scholar Education Holdings Limited American Depositary Shares each representing four Class A Ordinary Share</t>
  </si>
  <si>
    <t>NMTC</t>
  </si>
  <si>
    <t>NeuroOne Medical Technologies Corporation Common Stock</t>
  </si>
  <si>
    <t>NCTY</t>
  </si>
  <si>
    <t>The9 Limited American Depository Shares</t>
  </si>
  <si>
    <t>NCSM</t>
  </si>
  <si>
    <t>NCS Multistage Holdings Inc. Common Stock</t>
  </si>
  <si>
    <t>CNTG</t>
  </si>
  <si>
    <t>Centogene N.V. Common Shares</t>
  </si>
  <si>
    <t>KRRO</t>
  </si>
  <si>
    <t>Korro Bio Inc. Common Stock</t>
  </si>
  <si>
    <t>ATIP</t>
  </si>
  <si>
    <t>ATI Physical Therapy Inc. Class A Common Stock</t>
  </si>
  <si>
    <t>CTRM</t>
  </si>
  <si>
    <t>Castor Maritime Inc. Common Shares</t>
  </si>
  <si>
    <t>GLBS</t>
  </si>
  <si>
    <t>Globus Maritime Limited Common Stock</t>
  </si>
  <si>
    <t>BCAN</t>
  </si>
  <si>
    <t>BYND Cannasoft Enterprises Inc. Common Stock</t>
  </si>
  <si>
    <t>OESX</t>
  </si>
  <si>
    <t>Orion Energy Systems Inc. Common Stock</t>
  </si>
  <si>
    <t>TISI</t>
  </si>
  <si>
    <t>Team Inc. Common Stock</t>
  </si>
  <si>
    <t>KORE</t>
  </si>
  <si>
    <t>KORE Group Holdings Inc. Common Stock</t>
  </si>
  <si>
    <t>SRTS</t>
  </si>
  <si>
    <t>Sensus Healthcare Inc. Common Stock</t>
  </si>
  <si>
    <t>AGAE</t>
  </si>
  <si>
    <t>Allied Gaming &amp; Entertainment Inc. Common Stock</t>
  </si>
  <si>
    <t>SDOT</t>
  </si>
  <si>
    <t>Sadot Group Inc. Common Stock</t>
  </si>
  <si>
    <t>HLP</t>
  </si>
  <si>
    <t>Hongli Group Inc. Ordinary Shares</t>
  </si>
  <si>
    <t>NXTC</t>
  </si>
  <si>
    <t>NextCure Inc. Common Stock</t>
  </si>
  <si>
    <t>CMPOW</t>
  </si>
  <si>
    <t>CompoSecure Inc. Warrant</t>
  </si>
  <si>
    <t>INSG</t>
  </si>
  <si>
    <t>Inseego Corp. Common Stock</t>
  </si>
  <si>
    <t>WWR</t>
  </si>
  <si>
    <t>Westwater Resources Inc. Common Stock</t>
  </si>
  <si>
    <t>NLTX</t>
  </si>
  <si>
    <t>Neoleukin Therapeutics Inc. Common Stock</t>
  </si>
  <si>
    <t>MTEM</t>
  </si>
  <si>
    <t>Molecular Templates Inc. Common Stock</t>
  </si>
  <si>
    <t>RVP</t>
  </si>
  <si>
    <t>Retractable Technologies Inc. Common Stock</t>
  </si>
  <si>
    <t>SHFS</t>
  </si>
  <si>
    <t>SHF Holdings Inc. Class A Common Stock</t>
  </si>
  <si>
    <t>CWD</t>
  </si>
  <si>
    <t>CaliberCos Inc. Class A Common Stock</t>
  </si>
  <si>
    <t>USEG</t>
  </si>
  <si>
    <t>U.S. Energy Corp. Common Stock (DE)</t>
  </si>
  <si>
    <t>SOHO</t>
  </si>
  <si>
    <t>Sotherly Hotels Inc. Common Stock</t>
  </si>
  <si>
    <t>XPON</t>
  </si>
  <si>
    <t>Expion360 Inc. Common Stock</t>
  </si>
  <si>
    <t>SLGCW</t>
  </si>
  <si>
    <t>SomaLogic Inc. Warrant</t>
  </si>
  <si>
    <t>GNS</t>
  </si>
  <si>
    <t>Genius Group Limited Ordinary Shares</t>
  </si>
  <si>
    <t>BFI</t>
  </si>
  <si>
    <t>BurgerFi International Inc. Common Stock</t>
  </si>
  <si>
    <t>YQ</t>
  </si>
  <si>
    <t>17 Education &amp; Technology Group Inc. American Depositary Shares</t>
  </si>
  <si>
    <t>EPOW</t>
  </si>
  <si>
    <t>Sunrise New Energy Co. Ltd Ordinary Shares</t>
  </si>
  <si>
    <t>BTCM</t>
  </si>
  <si>
    <t>BIT Mining Limited ADS</t>
  </si>
  <si>
    <t>MFV</t>
  </si>
  <si>
    <t>MFS Special Value Trust Common Stock</t>
  </si>
  <si>
    <t>DRIO</t>
  </si>
  <si>
    <t>DarioHealth Corp. Common Stock</t>
  </si>
  <si>
    <t>ATER</t>
  </si>
  <si>
    <t>Aterian Inc. Common Stock</t>
  </si>
  <si>
    <t>GTIM</t>
  </si>
  <si>
    <t>Good Times Restaurants Inc. Common Stock</t>
  </si>
  <si>
    <t>DARE</t>
  </si>
  <si>
    <t>Dare Bioscience Inc. Common Stock</t>
  </si>
  <si>
    <t>MOGO</t>
  </si>
  <si>
    <t>Mogo Inc. Common Shares</t>
  </si>
  <si>
    <t>DCFCW</t>
  </si>
  <si>
    <t>Tritium DCFC Limited Warrant</t>
  </si>
  <si>
    <t>SDIG</t>
  </si>
  <si>
    <t>Stronghold Digital Mining Inc. Class A Common Stock</t>
  </si>
  <si>
    <t>BEEMW</t>
  </si>
  <si>
    <t>Beam Global Warrant</t>
  </si>
  <si>
    <t>NERV</t>
  </si>
  <si>
    <t>Minerva Neurosciences Inc Common Stock</t>
  </si>
  <si>
    <t>USAU</t>
  </si>
  <si>
    <t>U.S. Gold Corp. Common Stock</t>
  </si>
  <si>
    <t>USGOW</t>
  </si>
  <si>
    <t>U.S. GoldMining Inc. Warrant</t>
  </si>
  <si>
    <t>GEHI</t>
  </si>
  <si>
    <t>Gravitas Education Holdings Inc. American Depositary Share</t>
  </si>
  <si>
    <t>BMTX</t>
  </si>
  <si>
    <t>BM Technologies Inc. Common Stock</t>
  </si>
  <si>
    <t>KRKR</t>
  </si>
  <si>
    <t>36Kr Holdings Inc. American Depositary Shares</t>
  </si>
  <si>
    <t>SONM</t>
  </si>
  <si>
    <t>Sonim Technologies Inc. Common Stock</t>
  </si>
  <si>
    <t>CURI</t>
  </si>
  <si>
    <t>CuriosityStream Inc. Class A Common Stock</t>
  </si>
  <si>
    <t>HOLO</t>
  </si>
  <si>
    <t>MicroCloud Hologram Inc. Ordinary Shares</t>
  </si>
  <si>
    <t>QSI</t>
  </si>
  <si>
    <t>Quantum-Si Incorporated Class A Common Stock</t>
  </si>
  <si>
    <t>MAIA</t>
  </si>
  <si>
    <t>MAIA Biotechnology Inc. Common Stock</t>
  </si>
  <si>
    <t>PHXM</t>
  </si>
  <si>
    <t>PHAXIAM Therapeutics S.A.. American Depositary Shares</t>
  </si>
  <si>
    <t>RZLT</t>
  </si>
  <si>
    <t>Rezolute Inc. Common Stock (NV)</t>
  </si>
  <si>
    <t>ALPP</t>
  </si>
  <si>
    <t>Alpine 4 Holdings Inc. Class A Common Stock</t>
  </si>
  <si>
    <t>COEP</t>
  </si>
  <si>
    <t>Coeptis Therapeutics Holdings Inc. Common Stock</t>
  </si>
  <si>
    <t>ELBM</t>
  </si>
  <si>
    <t>Electra Battery Materials Corporation Common Stock</t>
  </si>
  <si>
    <t>INUV</t>
  </si>
  <si>
    <t>Inuvo Inc.</t>
  </si>
  <si>
    <t>CHR</t>
  </si>
  <si>
    <t>Cheer Holding Inc. Ordinary Share</t>
  </si>
  <si>
    <t>SANW</t>
  </si>
  <si>
    <t>S&amp;W Seed Company Common Stock (NV)</t>
  </si>
  <si>
    <t>DUOT</t>
  </si>
  <si>
    <t>Duos Technologies Group Inc. Common Stock</t>
  </si>
  <si>
    <t>DRMA</t>
  </si>
  <si>
    <t>Dermata Therapeutics Inc. Common Stock</t>
  </si>
  <si>
    <t>RFIL</t>
  </si>
  <si>
    <t>RF Industries Ltd. Common Stock</t>
  </si>
  <si>
    <t>OMIC</t>
  </si>
  <si>
    <t>Singular Genomics Systems Inc. Common Stock</t>
  </si>
  <si>
    <t>DAIO</t>
  </si>
  <si>
    <t>Data I/O Corporation Common Stock</t>
  </si>
  <si>
    <t>ELDN</t>
  </si>
  <si>
    <t>Eledon Pharmaceuticals Inc. Common Stock</t>
  </si>
  <si>
    <t>NVOS</t>
  </si>
  <si>
    <t>Novo Integrated Sciences Inc. Common Stock</t>
  </si>
  <si>
    <t>THTX</t>
  </si>
  <si>
    <t>Theratechnologies Inc. Common Shares</t>
  </si>
  <si>
    <t>SNT</t>
  </si>
  <si>
    <t>Senstar Technologies Ltd. Ordinary Shares</t>
  </si>
  <si>
    <t>AACG</t>
  </si>
  <si>
    <t>ATA Creativity Global American Depositary Shares</t>
  </si>
  <si>
    <t>CGA</t>
  </si>
  <si>
    <t>China Green Agriculture Inc. Common Stock</t>
  </si>
  <si>
    <t>APWC</t>
  </si>
  <si>
    <t>Asia Pacific Wire &amp; Cable Corporation Ltd. Ordinary Shares (Bermuda)</t>
  </si>
  <si>
    <t>IMPP</t>
  </si>
  <si>
    <t>Imperial Petroleum Inc. Common Shares</t>
  </si>
  <si>
    <t>ARBB</t>
  </si>
  <si>
    <t>ARB IOT Group Limited Ordinary Shares</t>
  </si>
  <si>
    <t>NRXP</t>
  </si>
  <si>
    <t>NRX Pharmaceuticals Inc. Common Stock</t>
  </si>
  <si>
    <t>SIF</t>
  </si>
  <si>
    <t>SIFCO Industries Inc. Common Stock</t>
  </si>
  <si>
    <t>WVVI</t>
  </si>
  <si>
    <t>Willamette Valley Vineyards Inc. Common Stock</t>
  </si>
  <si>
    <t>BSGM</t>
  </si>
  <si>
    <t>BioSig Technologies Inc. Common Stock</t>
  </si>
  <si>
    <t>DPRO</t>
  </si>
  <si>
    <t>Draganfly Inc. Common Shares</t>
  </si>
  <si>
    <t>CEI</t>
  </si>
  <si>
    <t>Camber Energy Inc. Common Stock</t>
  </si>
  <si>
    <t>MVLA</t>
  </si>
  <si>
    <t>Movella Holdings Inc. Common Stock</t>
  </si>
  <si>
    <t>ZDGE</t>
  </si>
  <si>
    <t>Zedge Inc. Class B Common Stock</t>
  </si>
  <si>
    <t>PAVM</t>
  </si>
  <si>
    <t>PAVmed Inc. Common Stock</t>
  </si>
  <si>
    <t>UBX</t>
  </si>
  <si>
    <t>Unity Biotechnology Inc. Common Stock</t>
  </si>
  <si>
    <t>MODD</t>
  </si>
  <si>
    <t>Modular Medical Inc. Common Stock</t>
  </si>
  <si>
    <t>CADL</t>
  </si>
  <si>
    <t>Candel Therapeutics Inc. Common Stock</t>
  </si>
  <si>
    <t>MRDB</t>
  </si>
  <si>
    <t>MariaDB plc Ordinary Shares</t>
  </si>
  <si>
    <t>CHSN</t>
  </si>
  <si>
    <t>Chanson International Holding Class A Ordinary Shares</t>
  </si>
  <si>
    <t>ABIO</t>
  </si>
  <si>
    <t>ARCA biopharma Inc. Common Stock</t>
  </si>
  <si>
    <t>SLS</t>
  </si>
  <si>
    <t>SELLAS Life Sciences Group Inc. Common Stock</t>
  </si>
  <si>
    <t>RGLS</t>
  </si>
  <si>
    <t>Regulus Therapeutics Inc. Common Stock</t>
  </si>
  <si>
    <t>NSYS</t>
  </si>
  <si>
    <t>Nortech Systems Incorporated Common Stock</t>
  </si>
  <si>
    <t>CYTH</t>
  </si>
  <si>
    <t>Cyclo Therapeutics Inc. Common Stock</t>
  </si>
  <si>
    <t>BFX</t>
  </si>
  <si>
    <t>BowFlex Inc. Common Stock</t>
  </si>
  <si>
    <t>LNSR</t>
  </si>
  <si>
    <t>LENSAR Inc. Common Stock</t>
  </si>
  <si>
    <t>RMCF</t>
  </si>
  <si>
    <t>Rocky Mountain Chocolate Factory Inc. Common Stock</t>
  </si>
  <si>
    <t>TRT</t>
  </si>
  <si>
    <t>Trio-Tech International Common Stock</t>
  </si>
  <si>
    <t>CPIX</t>
  </si>
  <si>
    <t>Cumberland Pharmaceuticals Inc. Common Stock</t>
  </si>
  <si>
    <t>LICN</t>
  </si>
  <si>
    <t>Lichen China Limited Class A Ordinary Shares</t>
  </si>
  <si>
    <t>ADN</t>
  </si>
  <si>
    <t>Advent Technologies Holdings Inc. Class A Common Stock</t>
  </si>
  <si>
    <t>KOSS</t>
  </si>
  <si>
    <t>Koss Corporation Common Stock</t>
  </si>
  <si>
    <t>PRTG</t>
  </si>
  <si>
    <t>Portage Biotech Inc. Common Stock</t>
  </si>
  <si>
    <t>PLUR</t>
  </si>
  <si>
    <t>Pluri Inc. Common Stock</t>
  </si>
  <si>
    <t>TMCWW</t>
  </si>
  <si>
    <t>TMC the metals company Inc. Warrants</t>
  </si>
  <si>
    <t>ASTR</t>
  </si>
  <si>
    <t>Astra Space Inc. Class A Common Stock</t>
  </si>
  <si>
    <t>ICLK</t>
  </si>
  <si>
    <t>iClick Interactive Asia Group Limited American Depositary Shares</t>
  </si>
  <si>
    <t>CLPS</t>
  </si>
  <si>
    <t>CLPS Incorporation Common Stock</t>
  </si>
  <si>
    <t>MTR</t>
  </si>
  <si>
    <t>Mesa Royalty Trust Common Stock</t>
  </si>
  <si>
    <t>MXC</t>
  </si>
  <si>
    <t>Mexco Energy Corporation Common Stock</t>
  </si>
  <si>
    <t>CKX</t>
  </si>
  <si>
    <t>CKX Lands Inc. Common Stock</t>
  </si>
  <si>
    <t>HARP</t>
  </si>
  <si>
    <t>Harpoon Therapeutics Inc. Common Stock</t>
  </si>
  <si>
    <t>VHC</t>
  </si>
  <si>
    <t>VirnetX Holding Corp Common Stock</t>
  </si>
  <si>
    <t>XGN</t>
  </si>
  <si>
    <t>Exagen Inc. Common Stock</t>
  </si>
  <si>
    <t>LGL</t>
  </si>
  <si>
    <t>LGL Group Inc. (The) Common Stock</t>
  </si>
  <si>
    <t>BRN</t>
  </si>
  <si>
    <t>Barnwell Industries Inc. Common Stock</t>
  </si>
  <si>
    <t>VIAO</t>
  </si>
  <si>
    <t>VIA optronics AG American Depositary Shares each representing one-fifth of an Ordinary Share</t>
  </si>
  <si>
    <t>AHG</t>
  </si>
  <si>
    <t>Akso Health Group ADS</t>
  </si>
  <si>
    <t>FLJ</t>
  </si>
  <si>
    <t>FLJ Group Limited American Depositary Shares</t>
  </si>
  <si>
    <t>LIFWZ</t>
  </si>
  <si>
    <t>MSP Recovery Inc. Warrant</t>
  </si>
  <si>
    <t>VTGN</t>
  </si>
  <si>
    <t>VistaGen Therapeutics Inc. Common Stock</t>
  </si>
  <si>
    <t>MRKR</t>
  </si>
  <si>
    <t>Marker Therapeutics Inc. Common Stock</t>
  </si>
  <si>
    <t>IDEX</t>
  </si>
  <si>
    <t>Ideanomics Inc. Common Stock</t>
  </si>
  <si>
    <t>ANGH</t>
  </si>
  <si>
    <t>Anghami Inc. Ordinary Shares</t>
  </si>
  <si>
    <t>PTN</t>
  </si>
  <si>
    <t>Palatin Technologies Inc. Common Stock</t>
  </si>
  <si>
    <t>PIRS</t>
  </si>
  <si>
    <t>Pieris Pharmaceuticals Inc. Common Stock</t>
  </si>
  <si>
    <t>ELUT</t>
  </si>
  <si>
    <t>Elutia Inc. Class A Common Stock</t>
  </si>
  <si>
    <t>LOCL</t>
  </si>
  <si>
    <t>Local Bounti Corporation Common Stock</t>
  </si>
  <si>
    <t>MRM</t>
  </si>
  <si>
    <t>MEDIROM Healthcare Technologies Inc. American Depositary Share</t>
  </si>
  <si>
    <t>KUKE</t>
  </si>
  <si>
    <t>Kuke Music Holding Limited American Depositary Shares each representing one Ordinary Share</t>
  </si>
  <si>
    <t>EMKR</t>
  </si>
  <si>
    <t>EMCORE Corporation Common Stock</t>
  </si>
  <si>
    <t>BBGI</t>
  </si>
  <si>
    <t>Beasley Broadcast Group Inc. Class A Common Stock</t>
  </si>
  <si>
    <t>GORO</t>
  </si>
  <si>
    <t>Gold Resource Corporation Common Stock</t>
  </si>
  <si>
    <t>ATRA</t>
  </si>
  <si>
    <t>Atara Biotherapeutics Inc. Common Stock</t>
  </si>
  <si>
    <t>OPHC</t>
  </si>
  <si>
    <t>OptimumBank Holdings Inc. Common Stock</t>
  </si>
  <si>
    <t>FSI</t>
  </si>
  <si>
    <t>Flexible Solutions International Inc. Common Stock (CDA)</t>
  </si>
  <si>
    <t>FGH</t>
  </si>
  <si>
    <t>FG Group Holdings Inc. Common Stock</t>
  </si>
  <si>
    <t>TRKA</t>
  </si>
  <si>
    <t>Troika Media Group Inc. Common Stock</t>
  </si>
  <si>
    <t>EVGN</t>
  </si>
  <si>
    <t>Evogene Ltd Ordinary Shares</t>
  </si>
  <si>
    <t>WHLM</t>
  </si>
  <si>
    <t>Wilhelmina International Inc. Common Stock</t>
  </si>
  <si>
    <t>SNTI</t>
  </si>
  <si>
    <t>Senti Biosciences Inc. Common Stock</t>
  </si>
  <si>
    <t>SVT</t>
  </si>
  <si>
    <t>Servotronics Inc. Common Stock</t>
  </si>
  <si>
    <t>SWAG</t>
  </si>
  <si>
    <t>Stran &amp; Company Inc. Common Stock</t>
  </si>
  <si>
    <t>WKSP</t>
  </si>
  <si>
    <t>Worksport Ltd. Common Stock</t>
  </si>
  <si>
    <t>LUMO</t>
  </si>
  <si>
    <t>Lumos Pharma Inc. Common Stock</t>
  </si>
  <si>
    <t>OCX</t>
  </si>
  <si>
    <t>Oncocyte Corporation Common Stock</t>
  </si>
  <si>
    <t>PSHG</t>
  </si>
  <si>
    <t>Performance Shipping Inc. Common Shares</t>
  </si>
  <si>
    <t>TCRT</t>
  </si>
  <si>
    <t>Alaunos Therapeutics Inc. Common Stock</t>
  </si>
  <si>
    <t>FTEL</t>
  </si>
  <si>
    <t>Fitell Corporation Ordinary Shares</t>
  </si>
  <si>
    <t>LPTV</t>
  </si>
  <si>
    <t>Loop Media Inc. Common Stock</t>
  </si>
  <si>
    <t>AGE</t>
  </si>
  <si>
    <t>AgeX Therapeutics Inc. Common Stock</t>
  </si>
  <si>
    <t>KINS</t>
  </si>
  <si>
    <t>Kingstone Companies Inc. Common Stock</t>
  </si>
  <si>
    <t>TKLF</t>
  </si>
  <si>
    <t>Yoshitsu Co. Ltd American Depositary Shares</t>
  </si>
  <si>
    <t>PNBK</t>
  </si>
  <si>
    <t>Patriot National Bancorp Inc. Common Stock</t>
  </si>
  <si>
    <t>VIRX</t>
  </si>
  <si>
    <t>Viracta Therapeutics Inc. Common Stock</t>
  </si>
  <si>
    <t>MIRA</t>
  </si>
  <si>
    <t>MIRA Pharmaceuticals Inc. Common Stock</t>
  </si>
  <si>
    <t>SGRP</t>
  </si>
  <si>
    <t>SPAR Group Inc. Common Stock</t>
  </si>
  <si>
    <t>LIQT</t>
  </si>
  <si>
    <t>LiqTech International Inc. Common Stock</t>
  </si>
  <si>
    <t>GYRE</t>
  </si>
  <si>
    <t>Gyre Therapeutics Inc. Common Stock</t>
  </si>
  <si>
    <t>TLIS</t>
  </si>
  <si>
    <t>Talis Biomedical Corporation Common Stock</t>
  </si>
  <si>
    <t>JT</t>
  </si>
  <si>
    <t>Jianpu Technology Inc. American depositary shares</t>
  </si>
  <si>
    <t>NTWK</t>
  </si>
  <si>
    <t>NetSol Technologies Inc. Common  Stock</t>
  </si>
  <si>
    <t>FPAY</t>
  </si>
  <si>
    <t>FlexShopper Inc. Common Stock</t>
  </si>
  <si>
    <t>ZENV</t>
  </si>
  <si>
    <t>Zenvia Inc. Class A Common Stock</t>
  </si>
  <si>
    <t>GFAI</t>
  </si>
  <si>
    <t>Guardforce AI Co. Limited Ordinary Shares</t>
  </si>
  <si>
    <t>DALN</t>
  </si>
  <si>
    <t>DallasNews Corporation Series A Common Stock</t>
  </si>
  <si>
    <t>LUNRW</t>
  </si>
  <si>
    <t>Intuitive Machines Inc. Warrants</t>
  </si>
  <si>
    <t>WALDW</t>
  </si>
  <si>
    <t>Waldencast plc Warrant</t>
  </si>
  <si>
    <t>WVVIP</t>
  </si>
  <si>
    <t>Willamette Valley Vineyards Inc. Series A Redeemable Preferred Stock</t>
  </si>
  <si>
    <t>UTRS</t>
  </si>
  <si>
    <t>Minerva Surgical Inc. Common Stock</t>
  </si>
  <si>
    <t>MYPSW</t>
  </si>
  <si>
    <t>PLAYSTUDIOS Inc. Warrant</t>
  </si>
  <si>
    <t>WKEY</t>
  </si>
  <si>
    <t>WISeKey International Holding Ltd American Depositary Shares</t>
  </si>
  <si>
    <t>GAME</t>
  </si>
  <si>
    <t>GameSquare Holdings Inc. Common Stock</t>
  </si>
  <si>
    <t>DLPN</t>
  </si>
  <si>
    <t>Dolphin Entertainment Inc. Common Stock</t>
  </si>
  <si>
    <t>MPU</t>
  </si>
  <si>
    <t>Mega Matrix Corp. Common Stock</t>
  </si>
  <si>
    <t>NCNA</t>
  </si>
  <si>
    <t>NuCana plc American Depositary Share</t>
  </si>
  <si>
    <t>AUVIP</t>
  </si>
  <si>
    <t>Applied UV Inc. 10.5% Series A Cumulative Perpetual Preferred Stock $0.0001 par value per share</t>
  </si>
  <si>
    <t>PEV</t>
  </si>
  <si>
    <t>Phoenix Motor Inc. Common Stock</t>
  </si>
  <si>
    <t>AZTR</t>
  </si>
  <si>
    <t>Azitra Inc Common Stock</t>
  </si>
  <si>
    <t>TXMD</t>
  </si>
  <si>
    <t>TherapeuticsMD Inc. Common Stock</t>
  </si>
  <si>
    <t>ZCMD</t>
  </si>
  <si>
    <t>Zhongchao Inc. Class A Ordinary Shares</t>
  </si>
  <si>
    <t>UPXI</t>
  </si>
  <si>
    <t>Upexi Inc. Common Stock</t>
  </si>
  <si>
    <t>BRLI</t>
  </si>
  <si>
    <t>Brilliant Acquisition Corporation Ordinary Shares</t>
  </si>
  <si>
    <t>STRM</t>
  </si>
  <si>
    <t>Streamline Health Solutions Inc. Common Stock</t>
  </si>
  <si>
    <t>ABLLW</t>
  </si>
  <si>
    <t>Abacus Life Inc. Warrant</t>
  </si>
  <si>
    <t>NLSP</t>
  </si>
  <si>
    <t>NLS Pharmaceutics Ltd. Ordinary Shares</t>
  </si>
  <si>
    <t>TAIT</t>
  </si>
  <si>
    <t>Taitron Components Incorporated Class A Common Stock</t>
  </si>
  <si>
    <t>SPI</t>
  </si>
  <si>
    <t>SPI Energy Co. Ltd. Ordinary Shares</t>
  </si>
  <si>
    <t>KNW</t>
  </si>
  <si>
    <t>Know Labs Inc. Common Stock</t>
  </si>
  <si>
    <t>AIM</t>
  </si>
  <si>
    <t>AIM ImmunoTech Inc. Common Stock</t>
  </si>
  <si>
    <t>NEPH</t>
  </si>
  <si>
    <t>Nephros Inc. Common Stock</t>
  </si>
  <si>
    <t>CXAI</t>
  </si>
  <si>
    <t>CXApp Inc. Class A Common Stock</t>
  </si>
  <si>
    <t>VSME</t>
  </si>
  <si>
    <t>VS Media Holdings Limited Class A Ordinary Shares</t>
  </si>
  <si>
    <t>DTST</t>
  </si>
  <si>
    <t>Data Storage Corporation Common Stock</t>
  </si>
  <si>
    <t>CHEK</t>
  </si>
  <si>
    <t>Check-Cap Ltd. Ordinary Share</t>
  </si>
  <si>
    <t>SALM</t>
  </si>
  <si>
    <t>Salem Media Group Inc. Class A Common Stock</t>
  </si>
  <si>
    <t>SBEV</t>
  </si>
  <si>
    <t>Splash Beverage Group Inc. (NV) Common Stock</t>
  </si>
  <si>
    <t>PPBT</t>
  </si>
  <si>
    <t>Purple Biotech Ltd. American Depositary Shares</t>
  </si>
  <si>
    <t>EKSO</t>
  </si>
  <si>
    <t>Ekso Bionics Holdings Inc. Common Stock</t>
  </si>
  <si>
    <t>ENTX</t>
  </si>
  <si>
    <t>Entera Bio Ltd. Ordinary Shares</t>
  </si>
  <si>
    <t>ELIQ</t>
  </si>
  <si>
    <t>Electriq Power Holdings Inc. Class A Common Stock</t>
  </si>
  <si>
    <t>UNCY</t>
  </si>
  <si>
    <t>Unicycive Therapeutics Inc. Common Stock</t>
  </si>
  <si>
    <t>EQS</t>
  </si>
  <si>
    <t>Equus Total Return Inc. Common Stock</t>
  </si>
  <si>
    <t>OCC</t>
  </si>
  <si>
    <t>Optical Cable Corporation Common Stock</t>
  </si>
  <si>
    <t>MOXC</t>
  </si>
  <si>
    <t>Moxian (BVI) Inc Ordinary Shares</t>
  </si>
  <si>
    <t>STBX</t>
  </si>
  <si>
    <t>Starbox Group Holdings Ltd. Ordinary Shares</t>
  </si>
  <si>
    <t>HUSA</t>
  </si>
  <si>
    <t>Houston American Energy Corporation Common Stock</t>
  </si>
  <si>
    <t>BRFH</t>
  </si>
  <si>
    <t>Barfresh Food Group Inc. Common Stock</t>
  </si>
  <si>
    <t>SDPI</t>
  </si>
  <si>
    <t>Superior Drilling Products Inc. Common Stock</t>
  </si>
  <si>
    <t>BIOR</t>
  </si>
  <si>
    <t>Biora Therapeutics Inc. Common Stock</t>
  </si>
  <si>
    <t>BCTXW</t>
  </si>
  <si>
    <t>BriaCell Therapeutics Corp. Warrant</t>
  </si>
  <si>
    <t>DSS</t>
  </si>
  <si>
    <t>DSS Inc. Common Stock</t>
  </si>
  <si>
    <t>KIRK</t>
  </si>
  <si>
    <t>Kirkland's Inc. COMMONSTOCK</t>
  </si>
  <si>
    <t>INDP</t>
  </si>
  <si>
    <t>Indaptus Therapeutics Inc. Common Stock</t>
  </si>
  <si>
    <t>JOAN</t>
  </si>
  <si>
    <t>JOANN Inc. Common Stock</t>
  </si>
  <si>
    <t>CISO</t>
  </si>
  <si>
    <t>CISO Global Inc. Common Stock</t>
  </si>
  <si>
    <t>TEDU</t>
  </si>
  <si>
    <t>Tarena International Inc. American Depositary Shares</t>
  </si>
  <si>
    <t>COCP</t>
  </si>
  <si>
    <t>Cocrystal Pharma Inc. Common Stock</t>
  </si>
  <si>
    <t>SGMA</t>
  </si>
  <si>
    <t>SigmaTron International Inc. Common Stock</t>
  </si>
  <si>
    <t>MCVT</t>
  </si>
  <si>
    <t>Mill City Ventures III Ltd. Common Stock</t>
  </si>
  <si>
    <t>CALC</t>
  </si>
  <si>
    <t>CalciMedica Inc. Common Stock</t>
  </si>
  <si>
    <t>PMCB</t>
  </si>
  <si>
    <t>PharmaCyte  Biotech Inc. Common Stock</t>
  </si>
  <si>
    <t>MESA</t>
  </si>
  <si>
    <t>Mesa Air Group Inc. Common Stock</t>
  </si>
  <si>
    <t>SSNT</t>
  </si>
  <si>
    <t>SilverSun Technologies Inc. Common Stock</t>
  </si>
  <si>
    <t>PZG</t>
  </si>
  <si>
    <t>Paramount Gold Nevada Corp. Common Stock</t>
  </si>
  <si>
    <t>PWM</t>
  </si>
  <si>
    <t>Prestige Wealth Inc. Ordinary Shares</t>
  </si>
  <si>
    <t>SRM</t>
  </si>
  <si>
    <t>SRM Entertainment Inc. Common Stock</t>
  </si>
  <si>
    <t>CLRB</t>
  </si>
  <si>
    <t>Cellectar Biosciences Inc.  Common Stock</t>
  </si>
  <si>
    <t>VMAR</t>
  </si>
  <si>
    <t>Vision Marine Technologies Inc. Common Shares</t>
  </si>
  <si>
    <t>GURE</t>
  </si>
  <si>
    <t>Gulf Resources Inc. (NV) Common Stock</t>
  </si>
  <si>
    <t>CCLD</t>
  </si>
  <si>
    <t>CareCloud Inc. Common Stock</t>
  </si>
  <si>
    <t>AAU</t>
  </si>
  <si>
    <t>Almaden Minerals Ltd. Common Shares</t>
  </si>
  <si>
    <t>LIZI</t>
  </si>
  <si>
    <t>LIZHI INC. American Depositary Shares</t>
  </si>
  <si>
    <t>NYC</t>
  </si>
  <si>
    <t>American Strategic Investment Co. Class A Common Stock</t>
  </si>
  <si>
    <t>TSRI</t>
  </si>
  <si>
    <t>TSR Inc. Common Stock</t>
  </si>
  <si>
    <t>USEA</t>
  </si>
  <si>
    <t>United Maritime Corporation Common Stock</t>
  </si>
  <si>
    <t>SEEL</t>
  </si>
  <si>
    <t>Seelos Therapeutics Inc. Common Stock</t>
  </si>
  <si>
    <t>FEDU</t>
  </si>
  <si>
    <t>Four Seasons Education (Cayman) Inc. American Depositary Shares each ADS representing 10 ordinary shares</t>
  </si>
  <si>
    <t>FRLN</t>
  </si>
  <si>
    <t>Freeline Therapeutics Holdings plc American Depositary Shares</t>
  </si>
  <si>
    <t>FEMY</t>
  </si>
  <si>
    <t>Femasys Inc. Common Stock</t>
  </si>
  <si>
    <t>TOMZ</t>
  </si>
  <si>
    <t>TOMI Environmental Solutions Inc. Common Stock</t>
  </si>
  <si>
    <t>GBNY</t>
  </si>
  <si>
    <t>Generations Bancorp NY Inc. Common Stock</t>
  </si>
  <si>
    <t>RGS</t>
  </si>
  <si>
    <t>Regis Corporation Common Stock</t>
  </si>
  <si>
    <t>IPW</t>
  </si>
  <si>
    <t>iPower Inc. Common Stock</t>
  </si>
  <si>
    <t>BQ</t>
  </si>
  <si>
    <t>Boqii Holding Limited American Depositary Shares representing Class A Ordinary Shares</t>
  </si>
  <si>
    <t>EVAX</t>
  </si>
  <si>
    <t>Evaxion Biotech A/S American Depositary Share</t>
  </si>
  <si>
    <t>SNSE</t>
  </si>
  <si>
    <t>Sensei Biotherapeutics Inc. Common Stock</t>
  </si>
  <si>
    <t>PHGE</t>
  </si>
  <si>
    <t>BiomX Inc. COmmon Stock</t>
  </si>
  <si>
    <t>MEGL</t>
  </si>
  <si>
    <t>Magic Empire Global Limited Ordinary Shares</t>
  </si>
  <si>
    <t>VINC</t>
  </si>
  <si>
    <t>Vincerx Pharma Inc. Common Stock</t>
  </si>
  <si>
    <t>BFRG</t>
  </si>
  <si>
    <t>Bullfrog AI Holdings Inc. Common Stock</t>
  </si>
  <si>
    <t>ASLN</t>
  </si>
  <si>
    <t>ASLAN Pharmaceuticals Limited American Depositary Shares</t>
  </si>
  <si>
    <t>VRAR</t>
  </si>
  <si>
    <t>The Glimpse Group Inc. Common Stock</t>
  </si>
  <si>
    <t>LSTA</t>
  </si>
  <si>
    <t>Lisata Therapeutics Inc. Common Stock</t>
  </si>
  <si>
    <t>PHUN</t>
  </si>
  <si>
    <t>Phunware Inc. Common Stock</t>
  </si>
  <si>
    <t>NEON</t>
  </si>
  <si>
    <t>Neonode Inc. Common Stock</t>
  </si>
  <si>
    <t>PAVS</t>
  </si>
  <si>
    <t>Paranovus Entertainment Technology Ltd. Class A Ordinary Shares</t>
  </si>
  <si>
    <t>NTRB</t>
  </si>
  <si>
    <t>Nutriband Inc. Common Stock</t>
  </si>
  <si>
    <t>SPEC</t>
  </si>
  <si>
    <t>Spectaire Holdings Inc. Common Stock</t>
  </si>
  <si>
    <t>AIRG</t>
  </si>
  <si>
    <t>Airgain Inc. Common Stock</t>
  </si>
  <si>
    <t>EQ</t>
  </si>
  <si>
    <t>Equillium Inc. Common Stock</t>
  </si>
  <si>
    <t>GPAK</t>
  </si>
  <si>
    <t>Gamer Pakistan Inc. Common Stock</t>
  </si>
  <si>
    <t>EVTV</t>
  </si>
  <si>
    <t>Envirotech Vehicles Inc. Common Stock</t>
  </si>
  <si>
    <t>ORGS</t>
  </si>
  <si>
    <t>Orgenesis Inc. Common Stock</t>
  </si>
  <si>
    <t>XELB</t>
  </si>
  <si>
    <t>Xcel Brands Inc. Common Stock</t>
  </si>
  <si>
    <t>ONCT</t>
  </si>
  <si>
    <t>Oncternal Therapeutics Inc. Common Stock</t>
  </si>
  <si>
    <t>AKTX</t>
  </si>
  <si>
    <t>Akari Therapeutics plc ADS</t>
  </si>
  <si>
    <t>SURGW</t>
  </si>
  <si>
    <t>SurgePays Inc. Warrant</t>
  </si>
  <si>
    <t>PALT</t>
  </si>
  <si>
    <t>Paltalk Inc. Common Stock</t>
  </si>
  <si>
    <t>AINC</t>
  </si>
  <si>
    <t>Ashford Inc. (Holding Company) Common Stock</t>
  </si>
  <si>
    <t>CNTX</t>
  </si>
  <si>
    <t>Context Therapeutics Inc. Common Stock</t>
  </si>
  <si>
    <t>INLX</t>
  </si>
  <si>
    <t>Intellinetics Inc. Common Stock</t>
  </si>
  <si>
    <t>HCTI</t>
  </si>
  <si>
    <t>Healthcare Triangle Inc. Common Stock</t>
  </si>
  <si>
    <t>TALKW</t>
  </si>
  <si>
    <t>Talkspace Inc. Warrant</t>
  </si>
  <si>
    <t>CTM</t>
  </si>
  <si>
    <t>Castellum Inc. Common Stock</t>
  </si>
  <si>
    <t>XELA</t>
  </si>
  <si>
    <t>Exela Technologies Inc. Common Stock</t>
  </si>
  <si>
    <t>MINDP</t>
  </si>
  <si>
    <t>MIND Technology Inc. Series A 9.00% Series A Cumulative Preferred Stock (DE)</t>
  </si>
  <si>
    <t>SFE</t>
  </si>
  <si>
    <t>Safeguard Scientifics Inc. Common Stock</t>
  </si>
  <si>
    <t>ACST</t>
  </si>
  <si>
    <t>Acasti Pharma Inc. Class A Common Stock</t>
  </si>
  <si>
    <t>NRBO</t>
  </si>
  <si>
    <t>NeuroBo Pharmaceuticals Inc. Common Stock</t>
  </si>
  <si>
    <t>JCTCF</t>
  </si>
  <si>
    <t>Jewett-Cameron Trading Company Common Shares</t>
  </si>
  <si>
    <t>CVR</t>
  </si>
  <si>
    <t>Chicago Rivet &amp; Machine Co. Common Stock</t>
  </si>
  <si>
    <t>ETAO</t>
  </si>
  <si>
    <t>Etao International Co. Ltd. Ordinary Shares</t>
  </si>
  <si>
    <t>AIH</t>
  </si>
  <si>
    <t>Aesthetic Medical International Holdings Group Ltd. American Depositary Shares</t>
  </si>
  <si>
    <t>ARVL</t>
  </si>
  <si>
    <t>Arrival Ordinary Shares</t>
  </si>
  <si>
    <t>AMPG</t>
  </si>
  <si>
    <t>Amplitech Group Inc. Common Stock</t>
  </si>
  <si>
    <t>DRTSW</t>
  </si>
  <si>
    <t>Alpha Tau Medical Ltd. Warrant</t>
  </si>
  <si>
    <t>TOIIW</t>
  </si>
  <si>
    <t>The Oncology Institute Inc. Warrant</t>
  </si>
  <si>
    <t>CLRO</t>
  </si>
  <si>
    <t>ClearOne Inc. (DE) Common Stock</t>
  </si>
  <si>
    <t>ELEV</t>
  </si>
  <si>
    <t>Elevation Oncology Inc. Common stock</t>
  </si>
  <si>
    <t>TRIB</t>
  </si>
  <si>
    <t>Trinity Biotech plc American Depositary Shares</t>
  </si>
  <si>
    <t>MBRX</t>
  </si>
  <si>
    <t>Moleculin Biotech Inc. Common Stock</t>
  </si>
  <si>
    <t>AYTU</t>
  </si>
  <si>
    <t>Aytu BioPharma Inc.  Common Stock</t>
  </si>
  <si>
    <t>ILAG</t>
  </si>
  <si>
    <t>Intelligent Living Application Group Inc. Ordinary Shares</t>
  </si>
  <si>
    <t>FRSX</t>
  </si>
  <si>
    <t>Foresight Autonomous Holdings Ltd. American Depositary Shares</t>
  </si>
  <si>
    <t>HKIT</t>
  </si>
  <si>
    <t>Hitek Global Inc. Ordinary Share</t>
  </si>
  <si>
    <t>GLBZ</t>
  </si>
  <si>
    <t>Glen Burnie Bancorp Common Stock</t>
  </si>
  <si>
    <t>BMRA</t>
  </si>
  <si>
    <t>Biomerica Inc. Common Stock</t>
  </si>
  <si>
    <t>TURB</t>
  </si>
  <si>
    <t>Turbo Energy S.A. American Depositary Shares</t>
  </si>
  <si>
    <t>APTO</t>
  </si>
  <si>
    <t>Aptose Biosciences Inc. Common Shares</t>
  </si>
  <si>
    <t>FBRX</t>
  </si>
  <si>
    <t>Forte Biosciences Inc. Common Stock</t>
  </si>
  <si>
    <t>MBOT</t>
  </si>
  <si>
    <t>Microbot Medical Inc. Common Stock</t>
  </si>
  <si>
    <t>IGC</t>
  </si>
  <si>
    <t>IGC Pharma Inc. Common Stock</t>
  </si>
  <si>
    <t>ZKIN</t>
  </si>
  <si>
    <t>ZK International Group Co. Ltd Ordinary Share</t>
  </si>
  <si>
    <t>NIOBW</t>
  </si>
  <si>
    <t>NioCorp Developments Ltd. Warrant</t>
  </si>
  <si>
    <t>OPTT</t>
  </si>
  <si>
    <t>Ocean Power Technologies Inc. Common Stock</t>
  </si>
  <si>
    <t>TBIO</t>
  </si>
  <si>
    <t>Telesis Bio Inc. Common Stock</t>
  </si>
  <si>
    <t>MTEX</t>
  </si>
  <si>
    <t>Mannatech Incorporated Common Stock</t>
  </si>
  <si>
    <t>TTOO</t>
  </si>
  <si>
    <t>T2 Biosystems Inc. Common Stock</t>
  </si>
  <si>
    <t>GLTO</t>
  </si>
  <si>
    <t>Galecto Inc. Common Stock</t>
  </si>
  <si>
    <t>UGRO</t>
  </si>
  <si>
    <t>urban-gro Inc. Common Stock</t>
  </si>
  <si>
    <t>BMR</t>
  </si>
  <si>
    <t>Beamr Imaging Ltd. Ordinary Share</t>
  </si>
  <si>
    <t>SEED</t>
  </si>
  <si>
    <t>Origin Agritech Limited Common Stock</t>
  </si>
  <si>
    <t>XIN</t>
  </si>
  <si>
    <t>Xinyuan Real Estate Co Ltd American Depositary Shares</t>
  </si>
  <si>
    <t>QLI</t>
  </si>
  <si>
    <t>Qilian International Holding Group Ltd. Ordinary Shares</t>
  </si>
  <si>
    <t>TRNR</t>
  </si>
  <si>
    <t>Interactive Strength Inc. Common Stock</t>
  </si>
  <si>
    <t>WYY</t>
  </si>
  <si>
    <t>WidePoint Corporation Common Stock</t>
  </si>
  <si>
    <t>VAPO</t>
  </si>
  <si>
    <t>Vapotherm Inc. Common Stock</t>
  </si>
  <si>
    <t>MYMD</t>
  </si>
  <si>
    <t>MyMD Pharmaceuticals Inc. Common Stock</t>
  </si>
  <si>
    <t>CREX</t>
  </si>
  <si>
    <t>Creative Realities Inc. Common Stock</t>
  </si>
  <si>
    <t>SONX</t>
  </si>
  <si>
    <t>Sonendo Inc. Common Stock</t>
  </si>
  <si>
    <t>YJ</t>
  </si>
  <si>
    <t>Yunji Inc. American Depository Shares</t>
  </si>
  <si>
    <t>GIGM</t>
  </si>
  <si>
    <t>GigaMedia Limited Ordinary Shares</t>
  </si>
  <si>
    <t>NCRA</t>
  </si>
  <si>
    <t>Nocera Inc. Common Stock</t>
  </si>
  <si>
    <t>VNCE</t>
  </si>
  <si>
    <t>Vince Holding Corp. Common Stock</t>
  </si>
  <si>
    <t>MDIA</t>
  </si>
  <si>
    <t>Mediaco Holding Inc. Class A Common Stock</t>
  </si>
  <si>
    <t>BOSC</t>
  </si>
  <si>
    <t>B.O.S. Better Online Solutions Common Stock</t>
  </si>
  <si>
    <t>LMDX</t>
  </si>
  <si>
    <t>LumiraDx Limited Common Shares</t>
  </si>
  <si>
    <t>FENG</t>
  </si>
  <si>
    <t>Phoenix New Media Limited American Depositary Shares each representing 48 Class A ordinary shares.</t>
  </si>
  <si>
    <t>VIRI</t>
  </si>
  <si>
    <t>Virios Therapeutics Inc. Common Stock</t>
  </si>
  <si>
    <t>HOFV</t>
  </si>
  <si>
    <t>Hall of Fame Resort &amp; Entertainment Company Common Stock</t>
  </si>
  <si>
    <t>FFIE</t>
  </si>
  <si>
    <t>Faraday Future Intelligent Electric Inc. Common Stock</t>
  </si>
  <si>
    <t>DRRX</t>
  </si>
  <si>
    <t>DURECT Corporation Common Stock</t>
  </si>
  <si>
    <t>TPHS</t>
  </si>
  <si>
    <t>Trinity Place Holdings Inc. Common Stock</t>
  </si>
  <si>
    <t>KZIA</t>
  </si>
  <si>
    <t>Kazia Therapeutics Limited American Depositary Shares</t>
  </si>
  <si>
    <t>CMAXW</t>
  </si>
  <si>
    <t>CareMax Inc. Warrant</t>
  </si>
  <si>
    <t>ARBEW</t>
  </si>
  <si>
    <t>Arbe Robotics Ltd. Warrant</t>
  </si>
  <si>
    <t>MOGU</t>
  </si>
  <si>
    <t>MOGU Inc. American Depositary Shares (each  representing 25 Class A Ordinary Shares)</t>
  </si>
  <si>
    <t>MOGU Inc. American Depositary Shares (each representing 25 Class A Ordinary Shares)</t>
  </si>
  <si>
    <t>AHI</t>
  </si>
  <si>
    <t>Advanced Health Intelligence Ltd. American Depositary Shares</t>
  </si>
  <si>
    <t>VIVK</t>
  </si>
  <si>
    <t>Vivakor Inc. Common Stock</t>
  </si>
  <si>
    <t>CRBP</t>
  </si>
  <si>
    <t>Corbus Pharmaceuticals Holdings Inc. Common Stock</t>
  </si>
  <si>
    <t>BNOX</t>
  </si>
  <si>
    <t>Bionomics Limited American Depository Shares</t>
  </si>
  <si>
    <t>APRE</t>
  </si>
  <si>
    <t>Aprea Therapeutics Inc. Common stock</t>
  </si>
  <si>
    <t>IINN</t>
  </si>
  <si>
    <t>Inspira Technologies Oxy B.H.N. Ltd. Ordinary Shares</t>
  </si>
  <si>
    <t>FGI</t>
  </si>
  <si>
    <t>FGI Industries Ltd. Ordinary Shares</t>
  </si>
  <si>
    <t>MDJH</t>
  </si>
  <si>
    <t>MDJM LTD Ordinary Share</t>
  </si>
  <si>
    <t>BTCS</t>
  </si>
  <si>
    <t>BTCS Inc. Common Stock</t>
  </si>
  <si>
    <t>GOVX</t>
  </si>
  <si>
    <t>GeoVax Labs Inc. Common Stock</t>
  </si>
  <si>
    <t>KALA</t>
  </si>
  <si>
    <t>KALA BIO Inc. Common Stock</t>
  </si>
  <si>
    <t>COCH</t>
  </si>
  <si>
    <t>Envoy Medical Inc. Class A Common Stock</t>
  </si>
  <si>
    <t>PETZ</t>
  </si>
  <si>
    <t>TDH Holdings Inc. Common Shares</t>
  </si>
  <si>
    <t>CHNR</t>
  </si>
  <si>
    <t>China Natural Resources Inc. Common Stock</t>
  </si>
  <si>
    <t>JEWL</t>
  </si>
  <si>
    <t>Adamas One Corp. Common Stock</t>
  </si>
  <si>
    <t>AMS</t>
  </si>
  <si>
    <t>American Shared Hospital Services Common Stock</t>
  </si>
  <si>
    <t>MTBL</t>
  </si>
  <si>
    <t>Moatable Inc. American Depositary Share (each representing forty-five (45) Class A Ordinary Shares)</t>
  </si>
  <si>
    <t>COHN</t>
  </si>
  <si>
    <t>Cohen &amp; Company Inc.</t>
  </si>
  <si>
    <t>STRR</t>
  </si>
  <si>
    <t>Star Equity Holdings Inc. Common Stock</t>
  </si>
  <si>
    <t>STRC</t>
  </si>
  <si>
    <t>Sarcos Technology and Robotics Corporation Common Stock</t>
  </si>
  <si>
    <t>IPDN</t>
  </si>
  <si>
    <t>Professional Diversity Network Inc. Common Stock</t>
  </si>
  <si>
    <t>SUNW</t>
  </si>
  <si>
    <t>Sunworks Inc. Common Stock</t>
  </si>
  <si>
    <t>VBIV</t>
  </si>
  <si>
    <t>VBI Vaccines Inc. New Common Stock (Canada)</t>
  </si>
  <si>
    <t>FAZE</t>
  </si>
  <si>
    <t>FaZe Holdings Inc. Common Stock</t>
  </si>
  <si>
    <t>LEJU</t>
  </si>
  <si>
    <t>Leju Holdings Limited American Depositary Shares each representing one Ordinary share</t>
  </si>
  <si>
    <t>GENE</t>
  </si>
  <si>
    <t>Genetic Technologies Ltd ADS</t>
  </si>
  <si>
    <t>TARA</t>
  </si>
  <si>
    <t>Protara Therapeutics Inc.  Common Stock</t>
  </si>
  <si>
    <t>LFLY</t>
  </si>
  <si>
    <t>Leafly Holdings Inc. Common Stock</t>
  </si>
  <si>
    <t>PETV</t>
  </si>
  <si>
    <t>PetVivo Holdings Inc. Common Stock</t>
  </si>
  <si>
    <t>CNVS</t>
  </si>
  <si>
    <t>Cineverse Corp. Class A Common Stock</t>
  </si>
  <si>
    <t>PMD</t>
  </si>
  <si>
    <t>Psychemedics Corporation</t>
  </si>
  <si>
    <t>CZOO</t>
  </si>
  <si>
    <t>Cazoo Group Ltd Class A Ordinary Shares</t>
  </si>
  <si>
    <t>ONTX</t>
  </si>
  <si>
    <t>Onconova Therapeutics Inc. Common Stock</t>
  </si>
  <si>
    <t>CRVO</t>
  </si>
  <si>
    <t>CervoMed Inc. Common Stock</t>
  </si>
  <si>
    <t>GYRO</t>
  </si>
  <si>
    <t>Gyrodyne LLC Common Stock</t>
  </si>
  <si>
    <t>LPCN</t>
  </si>
  <si>
    <t>Lipocine Inc. Common Stock</t>
  </si>
  <si>
    <t>JG</t>
  </si>
  <si>
    <t>Aurora Mobile Limited American Depositary Shares</t>
  </si>
  <si>
    <t>SHPW</t>
  </si>
  <si>
    <t>Shapeways Holdings Inc. Common Stock</t>
  </si>
  <si>
    <t>GNPX</t>
  </si>
  <si>
    <t>Genprex Inc. Common Stock</t>
  </si>
  <si>
    <t>ARQQW</t>
  </si>
  <si>
    <t>Arqit Quantum Inc. Warrants</t>
  </si>
  <si>
    <t>BOXL</t>
  </si>
  <si>
    <t>Boxlight Corporation Class A Common Stock</t>
  </si>
  <si>
    <t>EIGR</t>
  </si>
  <si>
    <t>Eiger BioPharmaceuticals Inc. Common Stock</t>
  </si>
  <si>
    <t>AXLA</t>
  </si>
  <si>
    <t>Axcella Health Inc. Common Stock</t>
  </si>
  <si>
    <t>UAVS</t>
  </si>
  <si>
    <t>AgEagle Aerial Systems Inc. Common Stock</t>
  </si>
  <si>
    <t>EDTK</t>
  </si>
  <si>
    <t>Skillful Craftsman Education Technology Limited Ordinary Share</t>
  </si>
  <si>
    <t>ISPO</t>
  </si>
  <si>
    <t>Inspirato Incorporated Class A Common Stock</t>
  </si>
  <si>
    <t>ZURAW</t>
  </si>
  <si>
    <t>Zura Bio Limited Warrants</t>
  </si>
  <si>
    <t>AIMD</t>
  </si>
  <si>
    <t>Ainos Inc. Common Stock</t>
  </si>
  <si>
    <t>FGF</t>
  </si>
  <si>
    <t>FG Financial Group Inc. Common Stock (NV)</t>
  </si>
  <si>
    <t>LKCO</t>
  </si>
  <si>
    <t>Luokung Technology Corp Ordinary Shares</t>
  </si>
  <si>
    <t>ALAR</t>
  </si>
  <si>
    <t>Alarum Technologies Ltd. American Depositary Share</t>
  </si>
  <si>
    <t>POAI</t>
  </si>
  <si>
    <t>Predictive Oncology Inc. Common Stock</t>
  </si>
  <si>
    <t>MBIO</t>
  </si>
  <si>
    <t>Mustang Bio Inc. Common Stock</t>
  </si>
  <si>
    <t>BIAF</t>
  </si>
  <si>
    <t>bioAffinity Technologies Inc. Common Stock</t>
  </si>
  <si>
    <t>ELSE</t>
  </si>
  <si>
    <t>Electro-Sensors Inc. Common Stock</t>
  </si>
  <si>
    <t>ASTC</t>
  </si>
  <si>
    <t>Astrotech Corporation (DE) Common Stock</t>
  </si>
  <si>
    <t>VEEE</t>
  </si>
  <si>
    <t>Twin Vee PowerCats Co. Common Stock</t>
  </si>
  <si>
    <t>NRXS</t>
  </si>
  <si>
    <t>Neuraxis Inc. Common Stock</t>
  </si>
  <si>
    <t>XXII</t>
  </si>
  <si>
    <t>22nd Century Group Inc. Common Stock</t>
  </si>
  <si>
    <t>USDP</t>
  </si>
  <si>
    <t>USD Partners LP Common Units representing limited partner interest</t>
  </si>
  <si>
    <t>SNMP</t>
  </si>
  <si>
    <t>Evolve Transition Infrastructure LP Common Units representing Class B Limited Liability Company Interests</t>
  </si>
  <si>
    <t>NXPLW</t>
  </si>
  <si>
    <t>NextPlat Corp Warrants</t>
  </si>
  <si>
    <t>ZAPP</t>
  </si>
  <si>
    <t>Zapp Electric Vehicles Group Limited Ordinary Shares</t>
  </si>
  <si>
    <t>NNVC</t>
  </si>
  <si>
    <t>NanoViricides Inc. Common Stock</t>
  </si>
  <si>
    <t>KAVL</t>
  </si>
  <si>
    <t>Kaival Brands Innovations Group Inc. Common Stock</t>
  </si>
  <si>
    <t>YGMZ</t>
  </si>
  <si>
    <t>MingZhu Logistics Holdings Limited Ordinary Shares</t>
  </si>
  <si>
    <t>ACOR</t>
  </si>
  <si>
    <t>Acorda Therapeutics Inc. Common Stock</t>
  </si>
  <si>
    <t>PMN</t>
  </si>
  <si>
    <t>ProMIS Neurosciences Inc. Common Shares (ON)</t>
  </si>
  <si>
    <t>APDN</t>
  </si>
  <si>
    <t>Applied DNA Sciences Inc. Common Stock</t>
  </si>
  <si>
    <t>FMST</t>
  </si>
  <si>
    <t>Foremost Lithium Resource &amp; Technology Ltd. Common stock</t>
  </si>
  <si>
    <t>PAPL</t>
  </si>
  <si>
    <t>Pineapple Financial Inc. Common Stock</t>
  </si>
  <si>
    <t>BTBD</t>
  </si>
  <si>
    <t>BT Brands Inc. Common Stock</t>
  </si>
  <si>
    <t>LITM</t>
  </si>
  <si>
    <t>Snow Lake Resources Ltd. Common Shares</t>
  </si>
  <si>
    <t>Bahamas</t>
  </si>
  <si>
    <t>BBLGW</t>
  </si>
  <si>
    <t>Bone Biologics Corp Warrants</t>
  </si>
  <si>
    <t>CDIO</t>
  </si>
  <si>
    <t>Cardio Diagnostics Holdings Inc. Common stock</t>
  </si>
  <si>
    <t>KITTW</t>
  </si>
  <si>
    <t>Nauticus Robotics Inc. Warrant</t>
  </si>
  <si>
    <t>LVOXW</t>
  </si>
  <si>
    <t>LiveVox Holdings Inc. Warrant</t>
  </si>
  <si>
    <t>ONVO</t>
  </si>
  <si>
    <t>Organovo Holdings Inc. Common Stock</t>
  </si>
  <si>
    <t>IDAI</t>
  </si>
  <si>
    <t>T Stamp Inc. Class A Common Stock</t>
  </si>
  <si>
    <t>OST</t>
  </si>
  <si>
    <t>Ostin Technology Group Co. Ltd. Ordinary Shares</t>
  </si>
  <si>
    <t>MDRR</t>
  </si>
  <si>
    <t>Medalist Diversified REIT Inc. Common Stock</t>
  </si>
  <si>
    <t>CAMP</t>
  </si>
  <si>
    <t>CalAmp Corp. Common Stock</t>
  </si>
  <si>
    <t>ANY</t>
  </si>
  <si>
    <t>Sphere 3D Corp. Common Shares</t>
  </si>
  <si>
    <t>HEPA</t>
  </si>
  <si>
    <t>Hepion Pharmaceuticals Inc. Common Stock</t>
  </si>
  <si>
    <t>MIMO</t>
  </si>
  <si>
    <t>Airspan Networks Holdings Inc. Common Stock</t>
  </si>
  <si>
    <t>WAVE</t>
  </si>
  <si>
    <t>Eco Wave Power Global AB (publ) American Depositary Shares</t>
  </si>
  <si>
    <t>FBIO</t>
  </si>
  <si>
    <t>Fortress Biotech Inc. Common Stock</t>
  </si>
  <si>
    <t>MSN</t>
  </si>
  <si>
    <t>Emerson Radio Corporation Common Stock</t>
  </si>
  <si>
    <t>RNXT</t>
  </si>
  <si>
    <t>RenovoRx Inc. Common Stock</t>
  </si>
  <si>
    <t>SHOTW</t>
  </si>
  <si>
    <t>Safety Shot Inc. Warrant</t>
  </si>
  <si>
    <t>BNRG</t>
  </si>
  <si>
    <t>Brenmiller Energy Ltd Ordinary Shares</t>
  </si>
  <si>
    <t>SSKN</t>
  </si>
  <si>
    <t>Strata Skin Sciences Inc. Common Stock</t>
  </si>
  <si>
    <t>VYNE</t>
  </si>
  <si>
    <t>VYNE Therapeutics Inc. Common Stock</t>
  </si>
  <si>
    <t>UUU</t>
  </si>
  <si>
    <t>Universal Security Instruments Inc. Common Stock</t>
  </si>
  <si>
    <t>LEXX</t>
  </si>
  <si>
    <t>Lexaria Bioscience Corp. Common Stock</t>
  </si>
  <si>
    <t>LRHC</t>
  </si>
  <si>
    <t>La Rosa Holdings Corp. Common Stock</t>
  </si>
  <si>
    <t>MGIH</t>
  </si>
  <si>
    <t>Millennium Group International Holdings Limited Ordinary Shares</t>
  </si>
  <si>
    <t>HPCO</t>
  </si>
  <si>
    <t>Hempacco Co. Inc. Common Stock</t>
  </si>
  <si>
    <t>VJET</t>
  </si>
  <si>
    <t>voxeljet AG American Depositary Shares</t>
  </si>
  <si>
    <t>PRPO</t>
  </si>
  <si>
    <t>Precipio Inc.  Common Stock</t>
  </si>
  <si>
    <t>VCNX</t>
  </si>
  <si>
    <t>Vaccinex Inc. Common Stock</t>
  </si>
  <si>
    <t>SAI</t>
  </si>
  <si>
    <t>SAI.TECH Global Corporation Class A Ordinary Shares</t>
  </si>
  <si>
    <t>CLWT</t>
  </si>
  <si>
    <t>Euro Tech Holdings Company Limited Common Stock</t>
  </si>
  <si>
    <t>COSM</t>
  </si>
  <si>
    <t>Cosmos Health Inc. Common Stock</t>
  </si>
  <si>
    <t>POLA</t>
  </si>
  <si>
    <t>Polar Power Inc. Common Stock</t>
  </si>
  <si>
    <t>LABP</t>
  </si>
  <si>
    <t>Landos Biopharma Inc. Common Stock</t>
  </si>
  <si>
    <t>SDAWW</t>
  </si>
  <si>
    <t>SunCar Technology Group Inc. Warrant</t>
  </si>
  <si>
    <t>VRME</t>
  </si>
  <si>
    <t>VerifyMe Inc. Common Stock</t>
  </si>
  <si>
    <t>INTZ</t>
  </si>
  <si>
    <t>Intrusion Inc. Common Stock</t>
  </si>
  <si>
    <t>AEI</t>
  </si>
  <si>
    <t>Alset Inc. Common Stock (TX)</t>
  </si>
  <si>
    <t>IHT</t>
  </si>
  <si>
    <t>InnSuites Hospitality Trust Shares of Beneficial Interest</t>
  </si>
  <si>
    <t>XBIOW</t>
  </si>
  <si>
    <t>Xenetic Biosciences Inc. Warrants</t>
  </si>
  <si>
    <t>WETG</t>
  </si>
  <si>
    <t>WeTrade Group Inc. Ordinary Shares</t>
  </si>
  <si>
    <t>MAPSW</t>
  </si>
  <si>
    <t>WM Technology Inc. Warrants</t>
  </si>
  <si>
    <t>RAYA</t>
  </si>
  <si>
    <t>Erayak Power Solution Group Inc. Class A Ordinary Shares</t>
  </si>
  <si>
    <t>NHWK</t>
  </si>
  <si>
    <t>NightHawk Biosciences Inc. Common Stock</t>
  </si>
  <si>
    <t>FTFT</t>
  </si>
  <si>
    <t>Future FinTech Group Inc. Common Stock</t>
  </si>
  <si>
    <t>SRZN</t>
  </si>
  <si>
    <t>Surrozen Inc. Common Stock</t>
  </si>
  <si>
    <t>CTNT</t>
  </si>
  <si>
    <t>Cheetah Net Supply Chain Service Inc. Class A Common Stock</t>
  </si>
  <si>
    <t>ECXWW</t>
  </si>
  <si>
    <t>ECARX Holdings Inc. Warrants</t>
  </si>
  <si>
    <t>DOMH</t>
  </si>
  <si>
    <t>Dominari Holdings Inc. Common Stock</t>
  </si>
  <si>
    <t>VERO</t>
  </si>
  <si>
    <t>Venus Concept Inc. Common Stock</t>
  </si>
  <si>
    <t>SIEN</t>
  </si>
  <si>
    <t>Sientra Inc. Common Stock</t>
  </si>
  <si>
    <t>IVDA</t>
  </si>
  <si>
    <t>Iveda Solutions Inc. Common Stock</t>
  </si>
  <si>
    <t>GIPR</t>
  </si>
  <si>
    <t>Generation Income Properties Inc. Common Stock</t>
  </si>
  <si>
    <t>ICU</t>
  </si>
  <si>
    <t>SeaStar Medical Holding Corporation Common Stock</t>
  </si>
  <si>
    <t>AAMC</t>
  </si>
  <si>
    <t>Altisource Asset Management Corp Com</t>
  </si>
  <si>
    <t>TPET</t>
  </si>
  <si>
    <t>Trio Petroleum Corp. Common Stock</t>
  </si>
  <si>
    <t>XELAP</t>
  </si>
  <si>
    <t>Exela Technologies Inc. 6.00% Series B Cumulative Convertible Perpetual Preferred Stock</t>
  </si>
  <si>
    <t>ENG</t>
  </si>
  <si>
    <t>ENGlobal Corporation Common Stock</t>
  </si>
  <si>
    <t>FRZA</t>
  </si>
  <si>
    <t>Forza X1 Inc. Common Stock</t>
  </si>
  <si>
    <t>ITRM</t>
  </si>
  <si>
    <t>Iterum Therapeutics plc Ordinary Share</t>
  </si>
  <si>
    <t>ARAV</t>
  </si>
  <si>
    <t>Aravive Inc. Common Stock</t>
  </si>
  <si>
    <t>RVYL</t>
  </si>
  <si>
    <t>Ryvyl Inc. Common Stock</t>
  </si>
  <si>
    <t>GBNH</t>
  </si>
  <si>
    <t>Greenbrook TMS Inc. Common Shares</t>
  </si>
  <si>
    <t>PXSAW</t>
  </si>
  <si>
    <t>Pyxis Tankers Inc. Warrant</t>
  </si>
  <si>
    <t>ARTW</t>
  </si>
  <si>
    <t>Art's-Way Manufacturing Co. Inc. Common Stock</t>
  </si>
  <si>
    <t>MARK</t>
  </si>
  <si>
    <t>Remark Holdings Inc. Common Stock</t>
  </si>
  <si>
    <t>TOPS</t>
  </si>
  <si>
    <t>TOP Ships Inc. Common Stock</t>
  </si>
  <si>
    <t>RCON</t>
  </si>
  <si>
    <t>Recon Technology Ltd. Class A Ordinary Shares</t>
  </si>
  <si>
    <t>PT</t>
  </si>
  <si>
    <t>Pintec Technology Holdings Limited American Depositary Shares</t>
  </si>
  <si>
    <t>EEIQ</t>
  </si>
  <si>
    <t>EpicQuest Education Group International Limited Common Stock</t>
  </si>
  <si>
    <t>AIRI</t>
  </si>
  <si>
    <t>Air Industries Group Common Stock</t>
  </si>
  <si>
    <t>NIR</t>
  </si>
  <si>
    <t>Near Intelligence Inc. Common Stock</t>
  </si>
  <si>
    <t>APCXW</t>
  </si>
  <si>
    <t>AppTech Payments Corp. Warrant</t>
  </si>
  <si>
    <t>SPGC</t>
  </si>
  <si>
    <t>Sacks Parente Golf Inc. Common Stock</t>
  </si>
  <si>
    <t>NXGL</t>
  </si>
  <si>
    <t>NexGel Inc Common Stock</t>
  </si>
  <si>
    <t>GTBP</t>
  </si>
  <si>
    <t>GT Biopharma Inc. Common Stock</t>
  </si>
  <si>
    <t>ATHE</t>
  </si>
  <si>
    <t>Alterity Therapeutics Limited American Depositary Shares</t>
  </si>
  <si>
    <t>ATIF</t>
  </si>
  <si>
    <t>ATIF Holdings Limited Ordinary Shares</t>
  </si>
  <si>
    <t>KTTA</t>
  </si>
  <si>
    <t>Pasithea Therapeutics Corp. Common Stock</t>
  </si>
  <si>
    <t>KIQ</t>
  </si>
  <si>
    <t>Kelso Technologies Inc Ordinary Shares</t>
  </si>
  <si>
    <t>ALZN</t>
  </si>
  <si>
    <t>Alzamend Neuro Inc. Common Stock</t>
  </si>
  <si>
    <t>BCEL</t>
  </si>
  <si>
    <t>Atreca Inc. Class A Common Stock</t>
  </si>
  <si>
    <t>DXYN</t>
  </si>
  <si>
    <t>Dixie Group Inc. (The) Common Stock</t>
  </si>
  <si>
    <t>GSUN</t>
  </si>
  <si>
    <t>Golden Sun Education Group Limited Class A Ordinary Shares</t>
  </si>
  <si>
    <t>CJJD</t>
  </si>
  <si>
    <t>China Jo-Jo Drugstores Inc. (Cayman Islands) Ordinary Shares</t>
  </si>
  <si>
    <t>JTAI</t>
  </si>
  <si>
    <t>Jet.AI Inc. Common Stock</t>
  </si>
  <si>
    <t>OLB</t>
  </si>
  <si>
    <t>The OLB Group Inc. Common Stock</t>
  </si>
  <si>
    <t>JSPRW</t>
  </si>
  <si>
    <t>Japer Therapeutics Inc. Warrants</t>
  </si>
  <si>
    <t>BHAT</t>
  </si>
  <si>
    <t>Blue Hat Interactive Entertainment Technology Ordinary Shares</t>
  </si>
  <si>
    <t>GDC</t>
  </si>
  <si>
    <t>GD Culture Group Limited Common Stock</t>
  </si>
  <si>
    <t>CNFR</t>
  </si>
  <si>
    <t>Conifer Holdings Inc. Common Stock</t>
  </si>
  <si>
    <t>CTHR</t>
  </si>
  <si>
    <t>Charles &amp; Colvard Ltd Common Stock</t>
  </si>
  <si>
    <t>OGEN</t>
  </si>
  <si>
    <t>Oragenics Inc. Common Stock</t>
  </si>
  <si>
    <t>IMRN</t>
  </si>
  <si>
    <t>Immuron Limited American Depositary Shares</t>
  </si>
  <si>
    <t>MIGI</t>
  </si>
  <si>
    <t>Mawson Infrastructure Group Inc. Common Stock</t>
  </si>
  <si>
    <t>SGLY</t>
  </si>
  <si>
    <t>Singularity Future Technology Ltd. Common Stock</t>
  </si>
  <si>
    <t>CSSE</t>
  </si>
  <si>
    <t>Chicken Soup for the Soul Entertainment Inc. Class A Common Stock</t>
  </si>
  <si>
    <t>WNW</t>
  </si>
  <si>
    <t>Meiwu Technology Company Limited Ordinary Shares</t>
  </si>
  <si>
    <t>BAERW</t>
  </si>
  <si>
    <t>Bridger Aerospace Group Holdings Inc. Warrant</t>
  </si>
  <si>
    <t>IMNN</t>
  </si>
  <si>
    <t>Imunon Inc. Common Stock</t>
  </si>
  <si>
    <t>SOBR</t>
  </si>
  <si>
    <t>SOBR Safe Inc. Common Stock</t>
  </si>
  <si>
    <t>AQB</t>
  </si>
  <si>
    <t>AquaBounty Technologies Inc. Common Stock</t>
  </si>
  <si>
    <t>LDWY</t>
  </si>
  <si>
    <t>Lendway Inc. Common Stock (DE)</t>
  </si>
  <si>
    <t>BRTX</t>
  </si>
  <si>
    <t>BioRestorative Therapies Inc. Common Stock (NV)</t>
  </si>
  <si>
    <t>MARPS</t>
  </si>
  <si>
    <t>Marine Petroleum Trust Units of Beneficial Interest</t>
  </si>
  <si>
    <t>GVP</t>
  </si>
  <si>
    <t>GSE Systems Inc. Common Stock</t>
  </si>
  <si>
    <t>HTCR</t>
  </si>
  <si>
    <t>Heartcore Enterprises Inc. Common Stock</t>
  </si>
  <si>
    <t>MRT</t>
  </si>
  <si>
    <t>Marti Technologies Inc. Class A Ordinary Shares</t>
  </si>
  <si>
    <t>EFTRW</t>
  </si>
  <si>
    <t>eFFECTOR Therapeutics Inc. Warrant</t>
  </si>
  <si>
    <t>EDUC</t>
  </si>
  <si>
    <t>Educational Development Corporation Common Stock</t>
  </si>
  <si>
    <t>NISN</t>
  </si>
  <si>
    <t>NiSun International Enterprise Development Group Co. Ltd. Class A Common Shares</t>
  </si>
  <si>
    <t>VRPX</t>
  </si>
  <si>
    <t>Virpax Pharmaceuticals Inc. Common Stock</t>
  </si>
  <si>
    <t>STKH</t>
  </si>
  <si>
    <t>Steakholder Foods Ltd. American Depositary Shares</t>
  </si>
  <si>
    <t>AUST</t>
  </si>
  <si>
    <t>Austin Gold Corp. Common Shares</t>
  </si>
  <si>
    <t>SYRA</t>
  </si>
  <si>
    <t>Syra Health Corp. Class A Common Stock</t>
  </si>
  <si>
    <t>SYBX</t>
  </si>
  <si>
    <t>Synlogic Inc. Common Stock</t>
  </si>
  <si>
    <t>BCDA</t>
  </si>
  <si>
    <t>BioCardia Inc. Common Stock</t>
  </si>
  <si>
    <t>ORGNW</t>
  </si>
  <si>
    <t>Origin Materials Inc. Warrants</t>
  </si>
  <si>
    <t>WATT</t>
  </si>
  <si>
    <t>Energous Corporation Common Stock</t>
  </si>
  <si>
    <t>TNXP</t>
  </si>
  <si>
    <t>Tonix Pharmaceuticals Holding Corp. Common Stock</t>
  </si>
  <si>
    <t>MSGM</t>
  </si>
  <si>
    <t>Motorsport Games Inc. Class A Common Stock</t>
  </si>
  <si>
    <t>MITQ</t>
  </si>
  <si>
    <t>Moving iMage Technologies Inc. Common Stock</t>
  </si>
  <si>
    <t>TFFP</t>
  </si>
  <si>
    <t>TFF Pharmaceuticals Inc. Common Stock</t>
  </si>
  <si>
    <t>AWIN</t>
  </si>
  <si>
    <t>AERWINS Technologies Inc. Common Stock</t>
  </si>
  <si>
    <t>LSF</t>
  </si>
  <si>
    <t>Laird Superfood Inc. Common Stock</t>
  </si>
  <si>
    <t>EDSA</t>
  </si>
  <si>
    <t>Edesa Biotech Inc. Common Shares</t>
  </si>
  <si>
    <t>EZFL</t>
  </si>
  <si>
    <t>EzFill Holdings Inc. Common Stock</t>
  </si>
  <si>
    <t>NEN</t>
  </si>
  <si>
    <t>New England Realty Associates Limited Partnership Class A Depositary Receipts Evidencing Units of Limited Partnership</t>
  </si>
  <si>
    <t>HIHO</t>
  </si>
  <si>
    <t>Highway Holdings Limited Common Stock</t>
  </si>
  <si>
    <t>AIMDW</t>
  </si>
  <si>
    <t>Ainos Inc. Warrants</t>
  </si>
  <si>
    <t>CREG</t>
  </si>
  <si>
    <t>Smart Powerr Corp. Common Stock</t>
  </si>
  <si>
    <t>OP</t>
  </si>
  <si>
    <t>OceanPal Inc. Common Stock</t>
  </si>
  <si>
    <t>ALRN</t>
  </si>
  <si>
    <t>Aileron Therapeutics Inc. Common Stock</t>
  </si>
  <si>
    <t>SOPA</t>
  </si>
  <si>
    <t>Society Pass Incorporated Common Stock</t>
  </si>
  <si>
    <t>MTEK</t>
  </si>
  <si>
    <t>Maris-Tech Ltd. Ordinary Shares</t>
  </si>
  <si>
    <t>TOVX</t>
  </si>
  <si>
    <t>Theriva Biologics Inc. Common Stock</t>
  </si>
  <si>
    <t>SCKT</t>
  </si>
  <si>
    <t>Socket Mobile Inc. Common Stock</t>
  </si>
  <si>
    <t>JXJT</t>
  </si>
  <si>
    <t>JX Luxventure Limited Common Stock</t>
  </si>
  <si>
    <t>ENSV</t>
  </si>
  <si>
    <t>Enservco Corporation Common Stock</t>
  </si>
  <si>
    <t>CANF</t>
  </si>
  <si>
    <t>Can-Fite Biopharma Ltd Sponsored ADR (Israel)</t>
  </si>
  <si>
    <t>TMBR</t>
  </si>
  <si>
    <t>Timber Pharmaceuticals Inc. Common Stock</t>
  </si>
  <si>
    <t>WLGS</t>
  </si>
  <si>
    <t>Wang &amp; Lee Group Inc. Ordinary Shares</t>
  </si>
  <si>
    <t>TRVN</t>
  </si>
  <si>
    <t>Trevena Inc. Common Stock</t>
  </si>
  <si>
    <t>VIEW</t>
  </si>
  <si>
    <t>View Inc. Class A Common Stock</t>
  </si>
  <si>
    <t>LCFY</t>
  </si>
  <si>
    <t>Locafy Limited Ordinary Share</t>
  </si>
  <si>
    <t>TC</t>
  </si>
  <si>
    <t>TuanChe Limited American Depositary Shares</t>
  </si>
  <si>
    <t>BLIN</t>
  </si>
  <si>
    <t>Bridgeline Digital Inc. Common Stock</t>
  </si>
  <si>
    <t>CORR</t>
  </si>
  <si>
    <t>CorEnergy Infrastructure Trust Inc. Common Stock</t>
  </si>
  <si>
    <t>WAFU</t>
  </si>
  <si>
    <t>Wah Fu Education Group Limited Ordinary Shares</t>
  </si>
  <si>
    <t>PCSA</t>
  </si>
  <si>
    <t>Processa Pharmaceuticals Inc. Common Stock</t>
  </si>
  <si>
    <t>BCLI</t>
  </si>
  <si>
    <t>Brainstorm Cell Therapeutics Inc. Common Stock</t>
  </si>
  <si>
    <t>MGRX</t>
  </si>
  <si>
    <t>Mangoceuticals Inc. Common Stock</t>
  </si>
  <si>
    <t>FAMI</t>
  </si>
  <si>
    <t>Farmmi Inc. Ordinary Shares</t>
  </si>
  <si>
    <t>GHSI</t>
  </si>
  <si>
    <t>Guardion Health Sciences Inc. Common Stock</t>
  </si>
  <si>
    <t>IBIO</t>
  </si>
  <si>
    <t>iBio Inc. Common Stock</t>
  </si>
  <si>
    <t>ACRX</t>
  </si>
  <si>
    <t>AcelRx Pharmaceuticals Inc. Common Stock</t>
  </si>
  <si>
    <t>SHPH</t>
  </si>
  <si>
    <t>Shuttle Pharmaceuticals Holdings Inc. Common Stock</t>
  </si>
  <si>
    <t>BTOG</t>
  </si>
  <si>
    <t>Bit Origin Limited Ordinary Shares</t>
  </si>
  <si>
    <t>HTOO</t>
  </si>
  <si>
    <t>Fusion Fuel Green PLC Class A Ordinary Shares</t>
  </si>
  <si>
    <t>ELWS</t>
  </si>
  <si>
    <t>Earlyworks Co. Ltd. American Depositary Shares</t>
  </si>
  <si>
    <t>PAVMZ</t>
  </si>
  <si>
    <t>PAVmed Inc. Series Z Warrant</t>
  </si>
  <si>
    <t>BLDEW</t>
  </si>
  <si>
    <t>Blade Air Mobility Inc. Warrants</t>
  </si>
  <si>
    <t>QH</t>
  </si>
  <si>
    <t>Quhuo Limited American Depository Shares</t>
  </si>
  <si>
    <t>SBFM</t>
  </si>
  <si>
    <t>Sunshine Biopharma Inc. Common Stock</t>
  </si>
  <si>
    <t>PEGY</t>
  </si>
  <si>
    <t>Pineapple Energy Inc. Common Stock</t>
  </si>
  <si>
    <t>BTCY</t>
  </si>
  <si>
    <t>Biotricity Inc. Common Stock</t>
  </si>
  <si>
    <t>XOSWW</t>
  </si>
  <si>
    <t>Xos Inc. Warrants</t>
  </si>
  <si>
    <t>NTBL</t>
  </si>
  <si>
    <t>Notable Labs Ltd. Ordinary Shares</t>
  </si>
  <si>
    <t>CARV</t>
  </si>
  <si>
    <t>Carver Bancorp Inc. Common Stock</t>
  </si>
  <si>
    <t>OXBR</t>
  </si>
  <si>
    <t>Oxbridge Re Holdings Limited Ordinary Shares</t>
  </si>
  <si>
    <t>FORD</t>
  </si>
  <si>
    <t>Forward Industries Inc. Common Stock</t>
  </si>
  <si>
    <t>BYU</t>
  </si>
  <si>
    <t>BAIYU Holdings Inc. Common Stock</t>
  </si>
  <si>
    <t>MGAM</t>
  </si>
  <si>
    <t>Mobile Global Esports Inc. Common Stock</t>
  </si>
  <si>
    <t>DTSS</t>
  </si>
  <si>
    <t>Datasea Inc. Common Stock</t>
  </si>
  <si>
    <t>CAUD</t>
  </si>
  <si>
    <t>Collective Audience Inc.. Common Stock</t>
  </si>
  <si>
    <t>CYTHW</t>
  </si>
  <si>
    <t>Cyclo Therapeutics Inc. Warrant</t>
  </si>
  <si>
    <t>MGOL</t>
  </si>
  <si>
    <t>MGO Global Inc. Common Stock</t>
  </si>
  <si>
    <t>NDRA</t>
  </si>
  <si>
    <t>ENDRA Life Sciences Inc. Common Stock</t>
  </si>
  <si>
    <t>MEDS</t>
  </si>
  <si>
    <t>TRxADE HEALTH Inc. Common Stock</t>
  </si>
  <si>
    <t>HCDIP</t>
  </si>
  <si>
    <t>Harbor Custom Development Inc. 8.0% Series A Cumulative Convertible Preferred Stock no par value</t>
  </si>
  <si>
    <t>AYRO</t>
  </si>
  <si>
    <t>AYRO Inc. Common Stock</t>
  </si>
  <si>
    <t>TCON</t>
  </si>
  <si>
    <t>TRACON Pharmaceuticals Inc. Common Stock</t>
  </si>
  <si>
    <t>AEZS</t>
  </si>
  <si>
    <t>Aeterna Zentaris Inc. Common Stock</t>
  </si>
  <si>
    <t>PRZO</t>
  </si>
  <si>
    <t>ParaZero Technologies Ltd. Ordinary Shares</t>
  </si>
  <si>
    <t>DGLY</t>
  </si>
  <si>
    <t>Digital Ally Inc. Common Stock</t>
  </si>
  <si>
    <t>NMRD</t>
  </si>
  <si>
    <t>Nemaura Medical Inc. Common Stock</t>
  </si>
  <si>
    <t>BPTH</t>
  </si>
  <si>
    <t>Bio-Path Holdings Inc. Common Stock</t>
  </si>
  <si>
    <t>GWAV</t>
  </si>
  <si>
    <t>Greenwave Technology Solutions Inc. Common Stock</t>
  </si>
  <si>
    <t>XWEL</t>
  </si>
  <si>
    <t>XWELL Inc. Common Stock</t>
  </si>
  <si>
    <t>LASE</t>
  </si>
  <si>
    <t>Laser Photonics Corporation Common Stock</t>
  </si>
  <si>
    <t>CYCC</t>
  </si>
  <si>
    <t>Cyclacel Pharmaceuticals Inc. Common Stock</t>
  </si>
  <si>
    <t>AWX</t>
  </si>
  <si>
    <t>Avalon Holdings Corporation Common Stock</t>
  </si>
  <si>
    <t>CMRA</t>
  </si>
  <si>
    <t>Comera Life Sciences Holdings Inc. Common Stock</t>
  </si>
  <si>
    <t>SGBX</t>
  </si>
  <si>
    <t>Safe &amp; Green Holdings Corp. Common Stock</t>
  </si>
  <si>
    <t>CNET</t>
  </si>
  <si>
    <t>ZW Data Action Technologies Inc. Common Stock</t>
  </si>
  <si>
    <t>GRNQ</t>
  </si>
  <si>
    <t>Greenpro Capital Corp. Common Stock</t>
  </si>
  <si>
    <t>ALBT</t>
  </si>
  <si>
    <t>Avalon GloboCare Corp. Common Stock</t>
  </si>
  <si>
    <t>APM</t>
  </si>
  <si>
    <t>Aptorum Group Limited Class A Ordinary Shares</t>
  </si>
  <si>
    <t>OSA</t>
  </si>
  <si>
    <t>ProSomnus Inc. Common Stock</t>
  </si>
  <si>
    <t>SIDU</t>
  </si>
  <si>
    <t>Sidus Space Inc. Class A Common Stock</t>
  </si>
  <si>
    <t>BURU</t>
  </si>
  <si>
    <t>Nuburu Inc. Common Stock</t>
  </si>
  <si>
    <t>BTTR</t>
  </si>
  <si>
    <t>Better Choice Company Inc. Common Stock</t>
  </si>
  <si>
    <t>CMMB</t>
  </si>
  <si>
    <t>Chemomab Therapeutics Ltd. American Depositary Share</t>
  </si>
  <si>
    <t>CYN</t>
  </si>
  <si>
    <t>Cyngn Inc. Common Stock</t>
  </si>
  <si>
    <t>AMTI</t>
  </si>
  <si>
    <t>Applied Molecular Transport Inc. Common Stock</t>
  </si>
  <si>
    <t>LIPO</t>
  </si>
  <si>
    <t>Lipella Pharmaceuticals Inc. Common Stock</t>
  </si>
  <si>
    <t>SWVL</t>
  </si>
  <si>
    <t>Swvl Holdings Corp Class A Common Shares</t>
  </si>
  <si>
    <t>AFIB</t>
  </si>
  <si>
    <t>Acutus Medical Inc. Common Stock</t>
  </si>
  <si>
    <t>LSEAW</t>
  </si>
  <si>
    <t>Landsea Homes Corporation Warrant</t>
  </si>
  <si>
    <t>ANTE</t>
  </si>
  <si>
    <t>AirNet Technology Inc. American Depositary Shares</t>
  </si>
  <si>
    <t>MIND</t>
  </si>
  <si>
    <t>MIND Technology Inc. Common Stock (DE)</t>
  </si>
  <si>
    <t>VINE</t>
  </si>
  <si>
    <t>Fresh Vine Wine Inc. Common Stock</t>
  </si>
  <si>
    <t>ERNA</t>
  </si>
  <si>
    <t>Eterna Therapeutics Inc. Common Stock</t>
  </si>
  <si>
    <t>VGASW</t>
  </si>
  <si>
    <t>Verde Clean Fuels Inc. Warrant</t>
  </si>
  <si>
    <t>PULM</t>
  </si>
  <si>
    <t>Pulmatrix Inc. Common Stock</t>
  </si>
  <si>
    <t>IMTE</t>
  </si>
  <si>
    <t>Integrated Media Technology Limited Ordinary Shares</t>
  </si>
  <si>
    <t>PSTV</t>
  </si>
  <si>
    <t>PLUS THERAPEUTICS Inc. Common Stock</t>
  </si>
  <si>
    <t>TTNP</t>
  </si>
  <si>
    <t>Titan Pharmaceuticals Inc. Common Stock</t>
  </si>
  <si>
    <t>FNCH</t>
  </si>
  <si>
    <t>Finch Therapeutics Group Inc. Common Stock</t>
  </si>
  <si>
    <t>SATLW</t>
  </si>
  <si>
    <t>Satellogic Inc. Warrant</t>
  </si>
  <si>
    <t>FLGC</t>
  </si>
  <si>
    <t>Flora Growth Corp. Common Stock</t>
  </si>
  <si>
    <t>LIXT</t>
  </si>
  <si>
    <t>Lixte Biotechnology Holdings Inc. Common Stock</t>
  </si>
  <si>
    <t>BAOS</t>
  </si>
  <si>
    <t>Baosheng Media Group Holdings Limited Ordinary shares</t>
  </si>
  <si>
    <t>LXEH</t>
  </si>
  <si>
    <t>Lixiang Education Holding Co. Ltd. American Depositary Shares</t>
  </si>
  <si>
    <t>BTTX</t>
  </si>
  <si>
    <t>Better Therapeutics Inc. Common Stock</t>
  </si>
  <si>
    <t>MNTS</t>
  </si>
  <si>
    <t>Momentus Inc. Class A Common Stock</t>
  </si>
  <si>
    <t>PYPD</t>
  </si>
  <si>
    <t>PolyPid Ltd. Ordinary Shares</t>
  </si>
  <si>
    <t>CELZ</t>
  </si>
  <si>
    <t>Creative Medical Technology Holdings Inc. Common Stock</t>
  </si>
  <si>
    <t>CNSP</t>
  </si>
  <si>
    <t>CNS Pharmaceuticals Inc. Common Stock</t>
  </si>
  <si>
    <t>IMCC</t>
  </si>
  <si>
    <t>IM Cannabis Corp. Common Shares</t>
  </si>
  <si>
    <t>MOB</t>
  </si>
  <si>
    <t>Mobilicom Limited American Depositary Shares</t>
  </si>
  <si>
    <t>WLDS</t>
  </si>
  <si>
    <t>Wearable Devices Ltd. Ordinary Share</t>
  </si>
  <si>
    <t>BIMI</t>
  </si>
  <si>
    <t>BIMI International Medical Inc. Common Stock</t>
  </si>
  <si>
    <t>WRNT</t>
  </si>
  <si>
    <t>Warrantee Inc. American Depositary Shares</t>
  </si>
  <si>
    <t>SNAX</t>
  </si>
  <si>
    <t>Stryve Foods Inc. Class A Common Stock</t>
  </si>
  <si>
    <t>IVP</t>
  </si>
  <si>
    <t>Inspire Veterinary Partners Inc. Class A Common Stock</t>
  </si>
  <si>
    <t>LMFA</t>
  </si>
  <si>
    <t>LM Funding America Inc. Common Stock</t>
  </si>
  <si>
    <t>OCG</t>
  </si>
  <si>
    <t>Oriental Culture Holding LTD Ordinary Shares</t>
  </si>
  <si>
    <t>BGLC</t>
  </si>
  <si>
    <t>BioNexus Gene Lab Corp Common stock</t>
  </si>
  <si>
    <t>NRSN</t>
  </si>
  <si>
    <t>NeuroSense Therapeutics Ltd. Ordinary Shares</t>
  </si>
  <si>
    <t>KWE</t>
  </si>
  <si>
    <t>KWESST Micro Systems Inc. Common Stock</t>
  </si>
  <si>
    <t>GETR</t>
  </si>
  <si>
    <t>Getaround Inc. Common Stock</t>
  </si>
  <si>
    <t>GV</t>
  </si>
  <si>
    <t>Visionary Education Technology Holdings Group Inc. Common Shares</t>
  </si>
  <si>
    <t>VISL</t>
  </si>
  <si>
    <t>Vislink Technologies Inc. Common Stock</t>
  </si>
  <si>
    <t>NRXPW</t>
  </si>
  <si>
    <t>NRX Pharmaceuticals Inc. Warrant</t>
  </si>
  <si>
    <t>TBLT</t>
  </si>
  <si>
    <t>ToughBuilt Industries Inc. Common Stock</t>
  </si>
  <si>
    <t>BWV</t>
  </si>
  <si>
    <t>Blue Water Biotech Inc. Common Stock</t>
  </si>
  <si>
    <t>GBR</t>
  </si>
  <si>
    <t>New Concept Energy Inc Common Stock</t>
  </si>
  <si>
    <t>EVLO</t>
  </si>
  <si>
    <t>Evelo Biosciences Inc. Common Stock</t>
  </si>
  <si>
    <t>NTRBW</t>
  </si>
  <si>
    <t>Nutriband Inc. Warrant</t>
  </si>
  <si>
    <t>BETS</t>
  </si>
  <si>
    <t>Bit Brother Limited Class A Ordinary Shares</t>
  </si>
  <si>
    <t>BNTC</t>
  </si>
  <si>
    <t>Benitec Biopharma Inc. Common Stock</t>
  </si>
  <si>
    <t>TANH</t>
  </si>
  <si>
    <t>Tantech Holdings Ltd. Common Shares</t>
  </si>
  <si>
    <t>TGL</t>
  </si>
  <si>
    <t>Treasure Global Inc. Common Stock</t>
  </si>
  <si>
    <t>JAGX</t>
  </si>
  <si>
    <t>Jaguar Health Inc. Common Stock</t>
  </si>
  <si>
    <t>XRTX</t>
  </si>
  <si>
    <t>XORTX Therapeutics Inc. Common Stock</t>
  </si>
  <si>
    <t>BLBX</t>
  </si>
  <si>
    <t>Blackboxstocks Inc. Common Stock</t>
  </si>
  <si>
    <t>CVKD</t>
  </si>
  <si>
    <t>Cadrenal Therapeutics Inc. Common Stock</t>
  </si>
  <si>
    <t>FRTX</t>
  </si>
  <si>
    <t>Fresh Tracks Therapeutics Inc. Common Stock</t>
  </si>
  <si>
    <t>CLEU</t>
  </si>
  <si>
    <t>China Liberal Education Holdings Limited Ordinary Shares</t>
  </si>
  <si>
    <t>AMST</t>
  </si>
  <si>
    <t>Amesite Inc. Common Stock</t>
  </si>
  <si>
    <t>TNON</t>
  </si>
  <si>
    <t>Tenon Medical Inc. Common Stock</t>
  </si>
  <si>
    <t>GRTX</t>
  </si>
  <si>
    <t>Galera Therapeutics Inc. Common Stock</t>
  </si>
  <si>
    <t>LEDS</t>
  </si>
  <si>
    <t>SemiLEDS Corporation Common Stock</t>
  </si>
  <si>
    <t>BTCT</t>
  </si>
  <si>
    <t>BTC Digital Ltd. Ordinary Shares</t>
  </si>
  <si>
    <t>IKT</t>
  </si>
  <si>
    <t>Inhibikase Therapeutics Inc. Common Stock</t>
  </si>
  <si>
    <t>IMPL</t>
  </si>
  <si>
    <t>Impel Pharmaceuticals Inc. Common Stock</t>
  </si>
  <si>
    <t>SBET</t>
  </si>
  <si>
    <t>SharpLink Gaming Ltd. Ordinary Shares</t>
  </si>
  <si>
    <t>VLCN</t>
  </si>
  <si>
    <t>Volcon Inc. Common stock</t>
  </si>
  <si>
    <t>CYCN</t>
  </si>
  <si>
    <t>Cyclerion Therapeutics Inc. Common Stock</t>
  </si>
  <si>
    <t>HYZNW</t>
  </si>
  <si>
    <t>Hyzon Motors Inc. Warrants</t>
  </si>
  <si>
    <t>SVREW</t>
  </si>
  <si>
    <t>SaverOne 2014 Ltd. Warrant</t>
  </si>
  <si>
    <t>MWG</t>
  </si>
  <si>
    <t>Multi Ways Holdings Limited Ordinary Shares</t>
  </si>
  <si>
    <t>NVVE</t>
  </si>
  <si>
    <t>Nuvve Holding Corp. Common Stock</t>
  </si>
  <si>
    <t>MNPR</t>
  </si>
  <si>
    <t>Monopar Therapeutics Inc. Common Stock</t>
  </si>
  <si>
    <t>LUCY</t>
  </si>
  <si>
    <t>Innovative Eyewear Inc. Common Stock</t>
  </si>
  <si>
    <t>CLNNW</t>
  </si>
  <si>
    <t>Clene Inc. Warrant</t>
  </si>
  <si>
    <t>WINT</t>
  </si>
  <si>
    <t>Windtree Therapeutics Inc. Common Stock</t>
  </si>
  <si>
    <t>XCUR</t>
  </si>
  <si>
    <t>Exicure Inc. Common Stock</t>
  </si>
  <si>
    <t>MDGS</t>
  </si>
  <si>
    <t>Medigus Ltd. American Depositary Shares</t>
  </si>
  <si>
    <t>RVSN</t>
  </si>
  <si>
    <t>Rail Vision Ltd. Ordinary Share</t>
  </si>
  <si>
    <t>SOFO</t>
  </si>
  <si>
    <t>Sonic Foundry Inc. Common Stock</t>
  </si>
  <si>
    <t>MF</t>
  </si>
  <si>
    <t>Missfresh Limited American Depositary Shares</t>
  </si>
  <si>
    <t>BFRI</t>
  </si>
  <si>
    <t>Biofrontera Inc. Common Stock</t>
  </si>
  <si>
    <t>ASST</t>
  </si>
  <si>
    <t>Asset Entities Inc. Class B Common Stock</t>
  </si>
  <si>
    <t>INBS</t>
  </si>
  <si>
    <t>Intelligent Bio Solutions Inc. Common Stock</t>
  </si>
  <si>
    <t>MRIN</t>
  </si>
  <si>
    <t>Marin Software Incorporated Common Stock</t>
  </si>
  <si>
    <t>CETX</t>
  </si>
  <si>
    <t>Cemtrex Inc. Common Stock</t>
  </si>
  <si>
    <t>MRAI</t>
  </si>
  <si>
    <t>Marpai Inc. Class A Common Stock</t>
  </si>
  <si>
    <t>CING</t>
  </si>
  <si>
    <t>Cingulate Inc. Common Stock</t>
  </si>
  <si>
    <t>CYAN</t>
  </si>
  <si>
    <t>Cyanotech Corporation Common Stock</t>
  </si>
  <si>
    <t>MDVL</t>
  </si>
  <si>
    <t>MedAvail Holdings Inc. Common Stock</t>
  </si>
  <si>
    <t>FUV</t>
  </si>
  <si>
    <t>Arcimoto Inc. Common Stock</t>
  </si>
  <si>
    <t>EZGO</t>
  </si>
  <si>
    <t>EZGO Technologies Ltd. Ordinary Shares</t>
  </si>
  <si>
    <t>VVPR</t>
  </si>
  <si>
    <t>VivoPower International PLC Ordinary Shares</t>
  </si>
  <si>
    <t>JVA</t>
  </si>
  <si>
    <t>Coffee Holding Co. Inc. Common Stock</t>
  </si>
  <si>
    <t>ISUN</t>
  </si>
  <si>
    <t>iSun Inc. Common Stock</t>
  </si>
  <si>
    <t>PRSO</t>
  </si>
  <si>
    <t>Peraso Inc. Common Stock</t>
  </si>
  <si>
    <t>DATS</t>
  </si>
  <si>
    <t>DatChat Inc. Common Stock</t>
  </si>
  <si>
    <t>INPX</t>
  </si>
  <si>
    <t>Inpixon Common Stock</t>
  </si>
  <si>
    <t>BON</t>
  </si>
  <si>
    <t>Bon Natural Life Limited Ordinary Shares</t>
  </si>
  <si>
    <t>SISI</t>
  </si>
  <si>
    <t>Shineco Inc. Common Stock</t>
  </si>
  <si>
    <t>ISPC</t>
  </si>
  <si>
    <t>iSpecimen Inc. Common Stock</t>
  </si>
  <si>
    <t>BOF</t>
  </si>
  <si>
    <t>BranchOut Food Inc. Common Stock</t>
  </si>
  <si>
    <t>DMK</t>
  </si>
  <si>
    <t>DMK Pharmaceuticals Corporation Common Stock</t>
  </si>
  <si>
    <t>KPRX</t>
  </si>
  <si>
    <t>Kiora Pharmaceuticals Inc.  Common Stock</t>
  </si>
  <si>
    <t>AVGR</t>
  </si>
  <si>
    <t>Avinger Inc. Common Stock</t>
  </si>
  <si>
    <t>PHUNW</t>
  </si>
  <si>
    <t>Phunware Inc. Warrants</t>
  </si>
  <si>
    <t>LYT</t>
  </si>
  <si>
    <t>Lytus Technologies Holdings PTV. Ltd. Common Shares</t>
  </si>
  <si>
    <t>DRUG</t>
  </si>
  <si>
    <t>Bright Minds Biosciences Inc. Common Stock</t>
  </si>
  <si>
    <t>STSS</t>
  </si>
  <si>
    <t>Sharps Technology Inc. Common Stock</t>
  </si>
  <si>
    <t>OPGN</t>
  </si>
  <si>
    <t>OpGen Inc. Common Stock</t>
  </si>
  <si>
    <t>AGIL</t>
  </si>
  <si>
    <t>AgileThought Inc. Class A Common Stock</t>
  </si>
  <si>
    <t>MI</t>
  </si>
  <si>
    <t>NFT Limited Class A Ordinary Share</t>
  </si>
  <si>
    <t>ATXG</t>
  </si>
  <si>
    <t>Addentax Group Corp. Common Stock</t>
  </si>
  <si>
    <t>REBN</t>
  </si>
  <si>
    <t>Reborn Coffee Inc. Common Stock</t>
  </si>
  <si>
    <t>CNEY</t>
  </si>
  <si>
    <t>CN Energy Group Inc. Class A Ordinary Shares</t>
  </si>
  <si>
    <t>ADXN</t>
  </si>
  <si>
    <t>Addex Therapeutics Ltd American Depositary Shares</t>
  </si>
  <si>
    <t>XBIO</t>
  </si>
  <si>
    <t>Xenetic Biosciences Inc. Common Stock</t>
  </si>
  <si>
    <t>WHLRP</t>
  </si>
  <si>
    <t>Wheeler Real Estate Investment Trust Inc. Class B Preferred Stock</t>
  </si>
  <si>
    <t>YOSH</t>
  </si>
  <si>
    <t>Yoshiharu Global Co. Class A Common Stock</t>
  </si>
  <si>
    <t>EFOI</t>
  </si>
  <si>
    <t>Energy Focus Inc. Common Stock</t>
  </si>
  <si>
    <t>LCFYW</t>
  </si>
  <si>
    <t>Locafy Limited Warrant</t>
  </si>
  <si>
    <t>XTLB</t>
  </si>
  <si>
    <t>XTL Biopharmaceuticals Ltd. American Depositary Shares</t>
  </si>
  <si>
    <t>BFRGW</t>
  </si>
  <si>
    <t>Bullfrog AI Holdings Inc. Warrants</t>
  </si>
  <si>
    <t>SBFMW</t>
  </si>
  <si>
    <t>Sunshine Biopharma Inc. Warrant</t>
  </si>
  <si>
    <t>CEAD</t>
  </si>
  <si>
    <t>CEA Industries Inc. Common Stock</t>
  </si>
  <si>
    <t>SNTG</t>
  </si>
  <si>
    <t>Sentage Holdings Inc. Ordinary Shares</t>
  </si>
  <si>
    <t>NURO</t>
  </si>
  <si>
    <t>NeuroMetrix Inc. Common Stock</t>
  </si>
  <si>
    <t>AEMD</t>
  </si>
  <si>
    <t>Aethlon Medical Inc. Common Stock</t>
  </si>
  <si>
    <t>SILO</t>
  </si>
  <si>
    <t>Silo Pharma Inc. Common Stock</t>
  </si>
  <si>
    <t>EUDAW</t>
  </si>
  <si>
    <t>EUDA Health Holdings Limited Warrant</t>
  </si>
  <si>
    <t>AUMN</t>
  </si>
  <si>
    <t>Golden Minerals Company Common Stock</t>
  </si>
  <si>
    <t>ABVC</t>
  </si>
  <si>
    <t>ABVC BioPharma Inc. Common Stock</t>
  </si>
  <si>
    <t>MCOM</t>
  </si>
  <si>
    <t>micromobility.com Inc. Class A Common stock</t>
  </si>
  <si>
    <t>EVOK</t>
  </si>
  <si>
    <t>Evoke Pharma Inc. Common Stock</t>
  </si>
  <si>
    <t>POL</t>
  </si>
  <si>
    <t>Polished Inc. Common Stock</t>
  </si>
  <si>
    <t>SLE</t>
  </si>
  <si>
    <t>Super League Enterprise Inc. Common Stock</t>
  </si>
  <si>
    <t>SNGX</t>
  </si>
  <si>
    <t>Soligenix Inc. Common Stock</t>
  </si>
  <si>
    <t>CPOP</t>
  </si>
  <si>
    <t>Pop Culture Group Co. Ltd Class A Ordinary Shares</t>
  </si>
  <si>
    <t>FRES</t>
  </si>
  <si>
    <t>Fresh2 Group Limited American Depositary Shares</t>
  </si>
  <si>
    <t>VRAX</t>
  </si>
  <si>
    <t>Virax Biolabs Group Limited Ordinary Shares</t>
  </si>
  <si>
    <t>NFTG</t>
  </si>
  <si>
    <t>The NFT Gaming Company Inc. Common Stock</t>
  </si>
  <si>
    <t>SSY</t>
  </si>
  <si>
    <t>SunLink Health Systems Inc. Common Stock</t>
  </si>
  <si>
    <t>BEATW</t>
  </si>
  <si>
    <t>Heartbeam Inc. Warrant</t>
  </si>
  <si>
    <t>BZFDW</t>
  </si>
  <si>
    <t>BuzzFeed Inc. Warrant</t>
  </si>
  <si>
    <t>UPC</t>
  </si>
  <si>
    <t>Universe Pharmaceuticals Inc. Ordinary Shares</t>
  </si>
  <si>
    <t>BPTS</t>
  </si>
  <si>
    <t>Biophytis SA American Depositary Share (0.01 Euro)</t>
  </si>
  <si>
    <t>AEY</t>
  </si>
  <si>
    <t>ADDvantage Technologies Group Inc. Common Stock</t>
  </si>
  <si>
    <t>NLSPW</t>
  </si>
  <si>
    <t>NLS Pharmaceutics Ltd. Warrant</t>
  </si>
  <si>
    <t>OMQS</t>
  </si>
  <si>
    <t>OMNIQ Corp. Common Stock</t>
  </si>
  <si>
    <t>QSIAW</t>
  </si>
  <si>
    <t>Quantum-Si Incorporated Warrant</t>
  </si>
  <si>
    <t>AGRX</t>
  </si>
  <si>
    <t>Agile Therapeutics Inc. Common Stock</t>
  </si>
  <si>
    <t>QNRX</t>
  </si>
  <si>
    <t>Quoin Pharmaceuticals Ltd. American Depositary Shares</t>
  </si>
  <si>
    <t>LSDI</t>
  </si>
  <si>
    <t>Lucy Scientific Discovery Inc. Common Stock</t>
  </si>
  <si>
    <t>AUUD</t>
  </si>
  <si>
    <t>Auddia Inc. Common Stock</t>
  </si>
  <si>
    <t>JCSE</t>
  </si>
  <si>
    <t>JE Cleantech Holdings Limited Ordinary Shares</t>
  </si>
  <si>
    <t>GRI</t>
  </si>
  <si>
    <t>GRI Bio Inc. Common Stock</t>
  </si>
  <si>
    <t>TENX</t>
  </si>
  <si>
    <t>Tenax Therapeutics Inc. Common Stock</t>
  </si>
  <si>
    <t>PIXY</t>
  </si>
  <si>
    <t>ShiftPixy Inc. Common Stock</t>
  </si>
  <si>
    <t>HSDT</t>
  </si>
  <si>
    <t>Helius Medical Technologies Inc. Class A Common Stock (DE)</t>
  </si>
  <si>
    <t>DBGIW</t>
  </si>
  <si>
    <t>Digital Brands Group Inc. Warrant</t>
  </si>
  <si>
    <t>HOTH</t>
  </si>
  <si>
    <t>Hoth Therapeutics Inc. Common Stock</t>
  </si>
  <si>
    <t>ARTL</t>
  </si>
  <si>
    <t>Artelo Biosciences Inc. Common Stock</t>
  </si>
  <si>
    <t>HALL</t>
  </si>
  <si>
    <t>Hallmark Financial Services Inc. Common Stock</t>
  </si>
  <si>
    <t>PALI</t>
  </si>
  <si>
    <t>Palisade Bio Inc. Common Stock</t>
  </si>
  <si>
    <t>WTO</t>
  </si>
  <si>
    <t>UTime Limited Ordinary Shares</t>
  </si>
  <si>
    <t>CDROW</t>
  </si>
  <si>
    <t>Codere Online Luxembourg S.A. Warrants</t>
  </si>
  <si>
    <t>QLGN</t>
  </si>
  <si>
    <t>Qualigen Therapeutics Inc. Common Stock</t>
  </si>
  <si>
    <t>SLNH</t>
  </si>
  <si>
    <t>Soluna Holdings Inc. Common Stock</t>
  </si>
  <si>
    <t>RETO</t>
  </si>
  <si>
    <t>ReTo Eco-Solutions Inc. Common Shares</t>
  </si>
  <si>
    <t>REVB</t>
  </si>
  <si>
    <t>Revelation Biosciences Inc. Common Stock</t>
  </si>
  <si>
    <t>JFBR</t>
  </si>
  <si>
    <t>Jeffs' Brands Ltd Ordinary Shares</t>
  </si>
  <si>
    <t>NOGN</t>
  </si>
  <si>
    <t>Nogin Inc. Common Stock</t>
  </si>
  <si>
    <t>WTER</t>
  </si>
  <si>
    <t>The Alkaline Water Company Inc. Common Stock</t>
  </si>
  <si>
    <t>PTIX</t>
  </si>
  <si>
    <t>Protagenic Therapeutics Inc. Common Stock</t>
  </si>
  <si>
    <t>DUO</t>
  </si>
  <si>
    <t>Fangdd Network Group Ltd. American Depositary Shares</t>
  </si>
  <si>
    <t>CELUW</t>
  </si>
  <si>
    <t>Celularity Inc. Warrant</t>
  </si>
  <si>
    <t>NCPL</t>
  </si>
  <si>
    <t>Netcapital Inc. Common Stock</t>
  </si>
  <si>
    <t>FREEW</t>
  </si>
  <si>
    <t>Whole Earth Brands Inc. Warrant</t>
  </si>
  <si>
    <t>BJDX</t>
  </si>
  <si>
    <t>Bluejay Diagnostics Inc. Common Stock</t>
  </si>
  <si>
    <t>OTRK</t>
  </si>
  <si>
    <t>Ontrak Inc. Common Stock</t>
  </si>
  <si>
    <t>ENVB</t>
  </si>
  <si>
    <t>Enveric Biosciences Inc. Common Stock</t>
  </si>
  <si>
    <t>RDHL</t>
  </si>
  <si>
    <t>Redhill Biopharma Ltd. American Depositary Shares</t>
  </si>
  <si>
    <t>GCTK</t>
  </si>
  <si>
    <t>GlucoTrack Inc. Common Stock</t>
  </si>
  <si>
    <t>AMBO</t>
  </si>
  <si>
    <t>Ambow Education Holding Ltd. American Depository Shares each representing two Class A ordinary shares</t>
  </si>
  <si>
    <t>NVFY</t>
  </si>
  <si>
    <t>Nova Lifestyle Inc. Common Stock</t>
  </si>
  <si>
    <t>MICS</t>
  </si>
  <si>
    <t>Diversified Electronic Products</t>
  </si>
  <si>
    <t>The Singing Machine Company Inc. Common Stock</t>
  </si>
  <si>
    <t>ONFO</t>
  </si>
  <si>
    <t>Onfolio Holdings Inc. Common Stock</t>
  </si>
  <si>
    <t>SMX</t>
  </si>
  <si>
    <t>SMX (Security Matters) Public Limited Company Class A Ordinary Shares</t>
  </si>
  <si>
    <t>CLOER</t>
  </si>
  <si>
    <t>Clover Leaf Capital Corp. Rights</t>
  </si>
  <si>
    <t>SXTP</t>
  </si>
  <si>
    <t>60 Degrees Pharmaceuticals Inc. Common Stock</t>
  </si>
  <si>
    <t>THAR</t>
  </si>
  <si>
    <t>Tharimmune Inc. Common Stock</t>
  </si>
  <si>
    <t>DFLIW</t>
  </si>
  <si>
    <t>Dragonfly Energy Holdings Corp. Warrant</t>
  </si>
  <si>
    <t>SVFD</t>
  </si>
  <si>
    <t>Save Foods Inc. Common Stock</t>
  </si>
  <si>
    <t>VVOS</t>
  </si>
  <si>
    <t>Vivos Therapeutics Inc. Common Stock</t>
  </si>
  <si>
    <t>SABSW</t>
  </si>
  <si>
    <t>SAB Biotherapeutics Inc. Warrant</t>
  </si>
  <si>
    <t>NXTP</t>
  </si>
  <si>
    <t>NextPlay Technologies Inc. Common Stock</t>
  </si>
  <si>
    <t>INVO</t>
  </si>
  <si>
    <t>INVO BioScience Inc. Common Stock</t>
  </si>
  <si>
    <t>ID</t>
  </si>
  <si>
    <t>PARTS iD Inc. Class A Common Stock</t>
  </si>
  <si>
    <t>KBNT</t>
  </si>
  <si>
    <t>Kubient Inc. Common Stock</t>
  </si>
  <si>
    <t>PETVW</t>
  </si>
  <si>
    <t>PetVivo Holdings Inc. Warrant</t>
  </si>
  <si>
    <t>RDZNW</t>
  </si>
  <si>
    <t>Roadzen Inc. Warrants</t>
  </si>
  <si>
    <t>TAOP</t>
  </si>
  <si>
    <t>Taoping Inc. Ordinary Shares</t>
  </si>
  <si>
    <t>ASNS</t>
  </si>
  <si>
    <t>Actelis Networks Inc. Common Stock</t>
  </si>
  <si>
    <t>CLVR</t>
  </si>
  <si>
    <t>Clever Leaves Holdings Inc. Common Shares</t>
  </si>
  <si>
    <t>PIK</t>
  </si>
  <si>
    <t>Kidpik Corp. Common Stock</t>
  </si>
  <si>
    <t>ITP</t>
  </si>
  <si>
    <t>IT Tech Packaging Inc. Common Stock</t>
  </si>
  <si>
    <t>HYMCW</t>
  </si>
  <si>
    <t>Hycroft Mining Holding Corporation  Warrant</t>
  </si>
  <si>
    <t>RHE</t>
  </si>
  <si>
    <t>Regional Health Properties Inc. Common Stock</t>
  </si>
  <si>
    <t>GOVXW</t>
  </si>
  <si>
    <t>GeoVax Labs Inc. Warrants</t>
  </si>
  <si>
    <t>AGFY</t>
  </si>
  <si>
    <t>Agrify Corporation Common Stock</t>
  </si>
  <si>
    <t>AEHL</t>
  </si>
  <si>
    <t>Antelope Enterprise Holdings Limited Class A Ordinary Shares</t>
  </si>
  <si>
    <t>ADNWW</t>
  </si>
  <si>
    <t>Advent Technologies Holdings Inc. Warrant</t>
  </si>
  <si>
    <t>SQL</t>
  </si>
  <si>
    <t>SeqLL Inc. Common stock</t>
  </si>
  <si>
    <t>GMBL</t>
  </si>
  <si>
    <t>Esports Entertainment Group Inc. Common Stock</t>
  </si>
  <si>
    <t>ODVWW</t>
  </si>
  <si>
    <t>Osisko Development Corp. Warrant</t>
  </si>
  <si>
    <t>SLRX</t>
  </si>
  <si>
    <t>Salarius Pharmaceuticals Inc. Common Stock</t>
  </si>
  <si>
    <t>ESLA</t>
  </si>
  <si>
    <t>Estrella Immunopharma Inc. Common Stock</t>
  </si>
  <si>
    <t>STAF</t>
  </si>
  <si>
    <t>Staffing 360 Solutions Inc. Common Stock (DE)</t>
  </si>
  <si>
    <t>JWEL</t>
  </si>
  <si>
    <t>Jowell Global Ltd. Ordinary Shares</t>
  </si>
  <si>
    <t>ACON</t>
  </si>
  <si>
    <t>Aclarion Inc. Common Stock</t>
  </si>
  <si>
    <t>PTPI</t>
  </si>
  <si>
    <t>Petros Pharmaceuticals Inc. Common Stock</t>
  </si>
  <si>
    <t>NXL</t>
  </si>
  <si>
    <t>Nexalin Technology Inc. Common Stock</t>
  </si>
  <si>
    <t>LEXXW</t>
  </si>
  <si>
    <t>Lexaria Bioscience Corp. Warrant</t>
  </si>
  <si>
    <t>GRRRW</t>
  </si>
  <si>
    <t>Gorilla Technology Group Inc. Warrant</t>
  </si>
  <si>
    <t>NEXI</t>
  </si>
  <si>
    <t>NexImmune Inc. Common Stock</t>
  </si>
  <si>
    <t>PRENW</t>
  </si>
  <si>
    <t>Prenetics Global Limited Warrant</t>
  </si>
  <si>
    <t>ADIL</t>
  </si>
  <si>
    <t>Adial Pharmaceuticals Inc Common Stock</t>
  </si>
  <si>
    <t>SNPX</t>
  </si>
  <si>
    <t>Synaptogenix Inc. Common Stock</t>
  </si>
  <si>
    <t>HYMCL</t>
  </si>
  <si>
    <t>Hycroft Mining Holding Corporation Warrants</t>
  </si>
  <si>
    <t>ZIVO</t>
  </si>
  <si>
    <t>Zivo Bioscience Inc. Common Stock</t>
  </si>
  <si>
    <t>KWESW</t>
  </si>
  <si>
    <t>KWESST Micro Systems Inc. Warrant</t>
  </si>
  <si>
    <t>THMO</t>
  </si>
  <si>
    <t>ThermoGenesis Holdings Inc. Common Stock</t>
  </si>
  <si>
    <t>YSBPW</t>
  </si>
  <si>
    <t>YS Biopharma Co. Ltd. Warrants</t>
  </si>
  <si>
    <t>WAVD</t>
  </si>
  <si>
    <t>WaveDancer Inc. Common Stock</t>
  </si>
  <si>
    <t>RELI</t>
  </si>
  <si>
    <t>Reliance Global Group Inc. Common Stock</t>
  </si>
  <si>
    <t>DYNT</t>
  </si>
  <si>
    <t>Dynatronics Corporation Common Stock</t>
  </si>
  <si>
    <t>IVDAW</t>
  </si>
  <si>
    <t>Iveda Solutions Inc. Warrant</t>
  </si>
  <si>
    <t>PHIO</t>
  </si>
  <si>
    <t>Phio Pharmaceuticals Corp. Common Stock</t>
  </si>
  <si>
    <t>COMS</t>
  </si>
  <si>
    <t>COMSovereign Holding Corp. Common Stock</t>
  </si>
  <si>
    <t>SASI</t>
  </si>
  <si>
    <t>Sigma Additive Solutions Inc. Common Stock</t>
  </si>
  <si>
    <t>HUBCW</t>
  </si>
  <si>
    <t>Hub Cyber Security Ltd. Warrant 2/27/28</t>
  </si>
  <si>
    <t>SHFSW</t>
  </si>
  <si>
    <t>SHF Holdings Inc. Warrants</t>
  </si>
  <si>
    <t>BREA</t>
  </si>
  <si>
    <t>Brera Holdings PLC Class B Ordinary Shares</t>
  </si>
  <si>
    <t>CWBR</t>
  </si>
  <si>
    <t>CohBar Inc. Common Stock</t>
  </si>
  <si>
    <t>PW</t>
  </si>
  <si>
    <t>Power REIT (MD) Common Stock</t>
  </si>
  <si>
    <t>NVIV</t>
  </si>
  <si>
    <t>InVivo Therapeutics Holdings Corp Common Stock</t>
  </si>
  <si>
    <t>VTAK</t>
  </si>
  <si>
    <t>Catheter Precision Inc. Common Stock</t>
  </si>
  <si>
    <t>SPRC</t>
  </si>
  <si>
    <t>SciSparc Ltd. Ordinary Shares</t>
  </si>
  <si>
    <t>ENSC</t>
  </si>
  <si>
    <t>Ensysce Biosciences Inc. Common Stock</t>
  </si>
  <si>
    <t>FOXO</t>
  </si>
  <si>
    <t>FOXO Technologies Inc. Class A Common Stock</t>
  </si>
  <si>
    <t>LGMK</t>
  </si>
  <si>
    <t>LogicMark Inc. Common Stock (NV)</t>
  </si>
  <si>
    <t>BROGW</t>
  </si>
  <si>
    <t>Brooge Holdings Limited Warrant expiring 12/20/2024</t>
  </si>
  <si>
    <t>CUEN</t>
  </si>
  <si>
    <t>Cuentas Inc. Common Stock</t>
  </si>
  <si>
    <t>TIRX</t>
  </si>
  <si>
    <t>TIAN RUIXIANG Holdings Ltd Class A Ordinary Shares</t>
  </si>
  <si>
    <t>NUZE</t>
  </si>
  <si>
    <t>NuZee Inc. Common Stock</t>
  </si>
  <si>
    <t>ATNF</t>
  </si>
  <si>
    <t>180 Life Sciences Corp. Common Stock</t>
  </si>
  <si>
    <t>PRFX</t>
  </si>
  <si>
    <t>PainReform Ltd. Ordinary Shares</t>
  </si>
  <si>
    <t>NXU</t>
  </si>
  <si>
    <t>Nxu Inc. Class A Common Stock</t>
  </si>
  <si>
    <t>SCNI</t>
  </si>
  <si>
    <t>Scinai Immunotherapeutics Ltd. American Depositary Shares</t>
  </si>
  <si>
    <t>MOTS</t>
  </si>
  <si>
    <t>Motus GI Holdings Inc. Common Stock</t>
  </si>
  <si>
    <t>NXGLW</t>
  </si>
  <si>
    <t>NexGel Inc Warrant</t>
  </si>
  <si>
    <t>ZFOXW</t>
  </si>
  <si>
    <t>ZeroFox Holdings Inc. Warrants</t>
  </si>
  <si>
    <t>AMPE</t>
  </si>
  <si>
    <t>Ampio Pharmaceuticals Inc.</t>
  </si>
  <si>
    <t>PBTS</t>
  </si>
  <si>
    <t>Powerbridge Technologies Co. Ltd. Ordinary Shares</t>
  </si>
  <si>
    <t>LMDXW</t>
  </si>
  <si>
    <t>LumiraDx Limited Warrant</t>
  </si>
  <si>
    <t>SONN</t>
  </si>
  <si>
    <t>Sonnet BioTherapeutics Holdings Inc. Common Stock</t>
  </si>
  <si>
    <t>ADD</t>
  </si>
  <si>
    <t>Color Star Technology Co. Ltd. Class A Ordinary Shares</t>
  </si>
  <si>
    <t>ZVSA</t>
  </si>
  <si>
    <t>ZyVersa Therapeutics Inc. Common Stock</t>
  </si>
  <si>
    <t>APVO</t>
  </si>
  <si>
    <t>Aptevo Therapeutics Inc. Common Stock</t>
  </si>
  <si>
    <t>SPCB</t>
  </si>
  <si>
    <t>SuperCom Ltd. Ordinary Shares (Israel)</t>
  </si>
  <si>
    <t>PRSTW</t>
  </si>
  <si>
    <t>Presto Automation Inc. Warrant</t>
  </si>
  <si>
    <t>YCBD</t>
  </si>
  <si>
    <t>cbdMD Inc. Common Stock</t>
  </si>
  <si>
    <t>JAN</t>
  </si>
  <si>
    <t>JanOne Inc. Common Stock (NV)</t>
  </si>
  <si>
    <t>AUVI</t>
  </si>
  <si>
    <t>Applied UV Inc. Common Stock</t>
  </si>
  <si>
    <t>NUWE</t>
  </si>
  <si>
    <t>Nuwellis Inc. Common Stock</t>
  </si>
  <si>
    <t>MVLAW</t>
  </si>
  <si>
    <t>Movella Holdings Inc. Warrant</t>
  </si>
  <si>
    <t>FWBI</t>
  </si>
  <si>
    <t>First Wave BioPharma Inc. Common Stock</t>
  </si>
  <si>
    <t>KERN</t>
  </si>
  <si>
    <t>Akerna Corp. Common Stock</t>
  </si>
  <si>
    <t>PXMD</t>
  </si>
  <si>
    <t>PaxMedica Inc. Common Stock</t>
  </si>
  <si>
    <t>UK</t>
  </si>
  <si>
    <t>Ucommune International Ltd Ordinary Shares</t>
  </si>
  <si>
    <t>WORX</t>
  </si>
  <si>
    <t>SCWorx Corp. Common Stock</t>
  </si>
  <si>
    <t>BFIIW</t>
  </si>
  <si>
    <t>BurgerFi International Inc. Warrant</t>
  </si>
  <si>
    <t>AIHS</t>
  </si>
  <si>
    <t>Senmiao Technology Limited Common Stock</t>
  </si>
  <si>
    <t>Thailand</t>
  </si>
  <si>
    <t>SVRE</t>
  </si>
  <si>
    <t>SaverOne 2014 Ltd. American Depositary Shares</t>
  </si>
  <si>
    <t>CMND</t>
  </si>
  <si>
    <t>Clearmind Medicine Inc. Common Shares</t>
  </si>
  <si>
    <t>HCDI</t>
  </si>
  <si>
    <t>Harbor Custom Development Inc. Common Stock</t>
  </si>
  <si>
    <t>ATXI</t>
  </si>
  <si>
    <t>Avenue Therapeutics Inc. Common Stock</t>
  </si>
  <si>
    <t>AVTX</t>
  </si>
  <si>
    <t>Avalo Therapeutics Inc. Common Stock</t>
  </si>
  <si>
    <t>MYSZ</t>
  </si>
  <si>
    <t>My Size Inc. Common Stock</t>
  </si>
  <si>
    <t>CRGOW</t>
  </si>
  <si>
    <t>Freightos Limited Warrants</t>
  </si>
  <si>
    <t>JZXN</t>
  </si>
  <si>
    <t>Jiuzi Holdings Inc. Ordinary Shares</t>
  </si>
  <si>
    <t>SLNHP</t>
  </si>
  <si>
    <t>Soluna Holdings Inc 9.0% Series A Cumulative Perpetual Preferred Stock</t>
  </si>
  <si>
    <t>EDBL</t>
  </si>
  <si>
    <t>Edible Garden AG Incorporated Common Stock</t>
  </si>
  <si>
    <t>PBLA</t>
  </si>
  <si>
    <t>Panbela Therapeutics Inc. Common Stock</t>
  </si>
  <si>
    <t>HOLOW</t>
  </si>
  <si>
    <t>MicroCloud Hologram Inc. Warrant</t>
  </si>
  <si>
    <t>VCXAW</t>
  </si>
  <si>
    <t>10X Capital Venture Acquisition Corp. II Warrant</t>
  </si>
  <si>
    <t>TIVC</t>
  </si>
  <si>
    <t>Tivic Health Systems Inc. Common Stock</t>
  </si>
  <si>
    <t>APLMW</t>
  </si>
  <si>
    <t>Apollomics Inc. Warrant</t>
  </si>
  <si>
    <t>BTMWW</t>
  </si>
  <si>
    <t>Bitcoin Depot Inc. Warrant</t>
  </si>
  <si>
    <t>BACK</t>
  </si>
  <si>
    <t>IMAC Holdings Inc. Common Stock</t>
  </si>
  <si>
    <t>HSCS</t>
  </si>
  <si>
    <t>Heart Test Laboratories Inc. Common Stock</t>
  </si>
  <si>
    <t>LIDRW</t>
  </si>
  <si>
    <t>AEye Inc. Warrant</t>
  </si>
  <si>
    <t>SINT</t>
  </si>
  <si>
    <t>SiNtx Technologies Inc. Common Stock</t>
  </si>
  <si>
    <t>NAOV</t>
  </si>
  <si>
    <t>NanoVibronix Inc. Common Stock</t>
  </si>
  <si>
    <t>IINNW</t>
  </si>
  <si>
    <t>Inspira Technologies Oxy B.H.N. Ltd. Warrant</t>
  </si>
  <si>
    <t>BDRX</t>
  </si>
  <si>
    <t>Biodexa Pharmaceuticals plc American Depositary Shs</t>
  </si>
  <si>
    <t>AONCW</t>
  </si>
  <si>
    <t>American Oncology Network Inc. Warrant</t>
  </si>
  <si>
    <t>BKYI</t>
  </si>
  <si>
    <t>BIO-key International Inc. Common Stock</t>
  </si>
  <si>
    <t>VS</t>
  </si>
  <si>
    <t>Versus Systems Inc. Common Shares</t>
  </si>
  <si>
    <t>AKAN</t>
  </si>
  <si>
    <t>Akanda Corp. Common Shares</t>
  </si>
  <si>
    <t>AENTW</t>
  </si>
  <si>
    <t>Alliance Entertainment Holding Corporation Warrants</t>
  </si>
  <si>
    <t>NBSE</t>
  </si>
  <si>
    <t>NeuBase Therapeutics Inc.  Common Stock</t>
  </si>
  <si>
    <t>BBLG</t>
  </si>
  <si>
    <t>Bone Biologics Corp Common Stock</t>
  </si>
  <si>
    <t>MCOMW</t>
  </si>
  <si>
    <t>micromobility.com Inc. Warrant</t>
  </si>
  <si>
    <t>EFSH</t>
  </si>
  <si>
    <t>1847 Holdings LLC Common Shares</t>
  </si>
  <si>
    <t>OCTO</t>
  </si>
  <si>
    <t>Eightco Holdings Inc. Common Stock</t>
  </si>
  <si>
    <t>AGRI</t>
  </si>
  <si>
    <t>AgriFORCE  Growing Systems Ltd. Common Shares</t>
  </si>
  <si>
    <t>RCRT</t>
  </si>
  <si>
    <t>Recruiter.com Group Inc. Common Stock</t>
  </si>
  <si>
    <t>CINGW</t>
  </si>
  <si>
    <t>Cingulate Inc. Warrants</t>
  </si>
  <si>
    <t>FGIWW</t>
  </si>
  <si>
    <t>FGI Industries Ltd. Warrant</t>
  </si>
  <si>
    <t>IONM</t>
  </si>
  <si>
    <t>Assure Holdings Corp. Common Stock</t>
  </si>
  <si>
    <t>CDTTW</t>
  </si>
  <si>
    <t>Conduit Pharmaceuticals Inc. Warrant</t>
  </si>
  <si>
    <t>OCEAW</t>
  </si>
  <si>
    <t>Ocean Biomediacal Inc. Warrants</t>
  </si>
  <si>
    <t>LUCYW</t>
  </si>
  <si>
    <t>Innovative Eyewear Inc. Series A Warrants</t>
  </si>
  <si>
    <t>YTEN</t>
  </si>
  <si>
    <t>Yield10 Bioscience Inc. Common Stock</t>
  </si>
  <si>
    <t>STSSW</t>
  </si>
  <si>
    <t>Sharps Technology Inc. Warrant</t>
  </si>
  <si>
    <t>COEPW</t>
  </si>
  <si>
    <t>Coeptis Therapeutics Holdings Inc. Warrants</t>
  </si>
  <si>
    <t>GNLN</t>
  </si>
  <si>
    <t>Greenlane Holdings Inc. Class A Common Stock</t>
  </si>
  <si>
    <t>CXAIW</t>
  </si>
  <si>
    <t>CXApp Inc. Warrant</t>
  </si>
  <si>
    <t>NBY</t>
  </si>
  <si>
    <t>NovaBay Pharmaceuticals Inc. Common Stock</t>
  </si>
  <si>
    <t>INM</t>
  </si>
  <si>
    <t>InMed Pharmaceuticals Inc. Common Shares</t>
  </si>
  <si>
    <t>NVVEW</t>
  </si>
  <si>
    <t>Nuvve Holding Corp. Warrant</t>
  </si>
  <si>
    <t>ALLR</t>
  </si>
  <si>
    <t>Allarity Therapeutics Inc. Common Stock</t>
  </si>
  <si>
    <t>WLDSW</t>
  </si>
  <si>
    <t>Wearable Devices Ltd. Warrant</t>
  </si>
  <si>
    <t>EAST</t>
  </si>
  <si>
    <t>Eastside Distilling Inc. Common Stock</t>
  </si>
  <si>
    <t>LQR</t>
  </si>
  <si>
    <t>LQR House Inc. Common Stock</t>
  </si>
  <si>
    <t>LGHL</t>
  </si>
  <si>
    <t>Lion Group Holding Ltd. American Depositary Share</t>
  </si>
  <si>
    <t>STIXW</t>
  </si>
  <si>
    <t>Semantix Inc. Warrant</t>
  </si>
  <si>
    <t>BXRX</t>
  </si>
  <si>
    <t>Baudax Bio Inc. Common Stock</t>
  </si>
  <si>
    <t>DBGI</t>
  </si>
  <si>
    <t>Digital Brands Group Inc. Common Stock</t>
  </si>
  <si>
    <t>BIOL</t>
  </si>
  <si>
    <t>Biolase Inc. Common Stock</t>
  </si>
  <si>
    <t>AULT</t>
  </si>
  <si>
    <t>Ault Alliance Inc. Common Stock</t>
  </si>
  <si>
    <t>AGBAW</t>
  </si>
  <si>
    <t>AGBA Group Holding Limited Warrant</t>
  </si>
  <si>
    <t>SMFL</t>
  </si>
  <si>
    <t>Smart for Life Inc. Common Stock</t>
  </si>
  <si>
    <t>BCDAW</t>
  </si>
  <si>
    <t>BioCardia Inc. Warrant</t>
  </si>
  <si>
    <t>SXTC</t>
  </si>
  <si>
    <t>China SXT Pharmaceuticals Inc. Ordinary Shares</t>
  </si>
  <si>
    <t>AREB</t>
  </si>
  <si>
    <t>American Rebel Holdings Inc. Common Stock</t>
  </si>
  <si>
    <t>SYTA</t>
  </si>
  <si>
    <t>Siyata Mobile Inc. Common Shares</t>
  </si>
  <si>
    <t>CURIW</t>
  </si>
  <si>
    <t>CuriosityStream Inc. Warrant</t>
  </si>
  <si>
    <t>CPHI</t>
  </si>
  <si>
    <t>China Pharma Holdings Inc. Common Stock</t>
  </si>
  <si>
    <t>FRGT</t>
  </si>
  <si>
    <t>Freight Technologies Inc. Ordinary Shares</t>
  </si>
  <si>
    <t>VWEWW</t>
  </si>
  <si>
    <t>Vintage Wine Estates Inc. Warrants</t>
  </si>
  <si>
    <t>MMVWW</t>
  </si>
  <si>
    <t>MultiMetaVerse Holdings Limited Warrant</t>
  </si>
  <si>
    <t>VERB</t>
  </si>
  <si>
    <t>Verb Technology Company Inc. Common Stock</t>
  </si>
  <si>
    <t>AWINW</t>
  </si>
  <si>
    <t>AERWINS Technologies Inc. Warrant</t>
  </si>
  <si>
    <t>TCBP</t>
  </si>
  <si>
    <t>TC BioPharm (Holdings) plc American Depositary Shares</t>
  </si>
  <si>
    <t>HTOOW</t>
  </si>
  <si>
    <t>Fusion Fuel Green PLC Warrant</t>
  </si>
  <si>
    <t>BIAFW</t>
  </si>
  <si>
    <t>bioAffinity Technologies Inc. Warrant</t>
  </si>
  <si>
    <t>MOBQ</t>
  </si>
  <si>
    <t>Mobiquity Technologies Inc. Common Stock</t>
  </si>
  <si>
    <t>WISA</t>
  </si>
  <si>
    <t>WiSA Technologies Inc. Common Stock</t>
  </si>
  <si>
    <t>CETXP</t>
  </si>
  <si>
    <t>Cemtrex Inc. Series 1 Preferred Stock</t>
  </si>
  <si>
    <t>SAITW</t>
  </si>
  <si>
    <t>SAI.TECH Global Corporation Warrant</t>
  </si>
  <si>
    <t>ROI</t>
  </si>
  <si>
    <t>RiskOn International Inc. Common Stock</t>
  </si>
  <si>
    <t>CDIOW</t>
  </si>
  <si>
    <t>Cardio Diagnostics Holdings Inc. Warrant</t>
  </si>
  <si>
    <t>GIPRW</t>
  </si>
  <si>
    <t>Generation Income Properties Inc Warrant</t>
  </si>
  <si>
    <t>LIFWW</t>
  </si>
  <si>
    <t>HSCSW</t>
  </si>
  <si>
    <t>Heart Test Laboratories Inc. Warrant</t>
  </si>
  <si>
    <t>SQFT</t>
  </si>
  <si>
    <t>Presidio Property Trust Inc. Class A Common Stock</t>
  </si>
  <si>
    <t>SECO</t>
  </si>
  <si>
    <t>Secoo Holding Limited ADS</t>
  </si>
  <si>
    <t>RSLS</t>
  </si>
  <si>
    <t>ReShape Lifesciences Inc. Common Stock</t>
  </si>
  <si>
    <t>ADTX</t>
  </si>
  <si>
    <t>Aditxt Inc. Common Stock</t>
  </si>
  <si>
    <t>WHLR</t>
  </si>
  <si>
    <t>Wheeler Real Estate Investment Trust Inc. Common Stock</t>
  </si>
  <si>
    <t>ROSEW</t>
  </si>
  <si>
    <t>Rose Hill Acquisition Corporation Warrant</t>
  </si>
  <si>
    <t>KBNTW</t>
  </si>
  <si>
    <t>Kubient Inc. Warrant</t>
  </si>
  <si>
    <t>CYTO</t>
  </si>
  <si>
    <t>Altamira Therapeutics Ltd. Common Shares</t>
  </si>
  <si>
    <t>CSLRW</t>
  </si>
  <si>
    <t>Complete Solaria Inc. Warrants</t>
  </si>
  <si>
    <t>SNOA</t>
  </si>
  <si>
    <t>Sonoma Pharmaceuticals Inc. Common Stock</t>
  </si>
  <si>
    <t>SNES</t>
  </si>
  <si>
    <t>SenesTech Inc. Common Stock</t>
  </si>
  <si>
    <t>NCPLW</t>
  </si>
  <si>
    <t>Netcapital Inc. Warrants</t>
  </si>
  <si>
    <t>RNAZ</t>
  </si>
  <si>
    <t>TransCode Therapeutics Inc. Common Stock</t>
  </si>
  <si>
    <t>GMBLW</t>
  </si>
  <si>
    <t>Esports Entertainment Group Inc. Warrant</t>
  </si>
  <si>
    <t>VINO</t>
  </si>
  <si>
    <t>Gaucho Group Holdings Inc. Common Stock</t>
  </si>
  <si>
    <t>KTRA</t>
  </si>
  <si>
    <t>Kintara Therapeutics Inc. Common Stock</t>
  </si>
  <si>
    <t>CRKN</t>
  </si>
  <si>
    <t>Crown Electrokinetics Corp. Common Stock</t>
  </si>
  <si>
    <t>DXF</t>
  </si>
  <si>
    <t>Dunxin Financial Holdings Limited American Depositary Shares</t>
  </si>
  <si>
    <t>GLMD</t>
  </si>
  <si>
    <t>Galmed Pharmaceuticals Ltd. Ordinary Shares</t>
  </si>
  <si>
    <t>FAZEW</t>
  </si>
  <si>
    <t>FaZe Holdings Inc. Warrant</t>
  </si>
  <si>
    <t>GROM</t>
  </si>
  <si>
    <t>Grom Social Enterprises Inc. Common Stock</t>
  </si>
  <si>
    <t>ICUCW</t>
  </si>
  <si>
    <t>SeaStar Medical Holding Corporation Warrant</t>
  </si>
  <si>
    <t>RVSNW</t>
  </si>
  <si>
    <t>Rail Vision Ltd. Warrant</t>
  </si>
  <si>
    <t>CMRAW</t>
  </si>
  <si>
    <t>Comera Life Sciences Holdings Inc. Warrant</t>
  </si>
  <si>
    <t>NIRWW</t>
  </si>
  <si>
    <t>Near Intelligence Inc. Warrant</t>
  </si>
  <si>
    <t>IFBD</t>
  </si>
  <si>
    <t>Infobird Co. Ltd Ordinary Shares</t>
  </si>
  <si>
    <t>ANGHW</t>
  </si>
  <si>
    <t>Anghami Inc. Warrants</t>
  </si>
  <si>
    <t>OBLG</t>
  </si>
  <si>
    <t>Oblong Inc. Common Stock</t>
  </si>
  <si>
    <t>ZIVOW</t>
  </si>
  <si>
    <t>Zivo Bioscience Inc. Warrants</t>
  </si>
  <si>
    <t>BSFC</t>
  </si>
  <si>
    <t>Blue Star Foods Corp. Common Stock</t>
  </si>
  <si>
    <t>ZAPPW</t>
  </si>
  <si>
    <t>Zapp Electric Vehicles Group Limited Warrant</t>
  </si>
  <si>
    <t>GSMGW</t>
  </si>
  <si>
    <t>Cheer Holding Inc. Warrant expiring 2/13/2025</t>
  </si>
  <si>
    <t>SLACW</t>
  </si>
  <si>
    <t>Social Leverage Acquisition Corp I Redeemable warrants each whole warrant exercisable for one share of Class A common stock at an exercise price of $11.50</t>
  </si>
  <si>
    <t>NEPT</t>
  </si>
  <si>
    <t>Neptune Wellness Solutions Inc. Ordinary Shares</t>
  </si>
  <si>
    <t>SPECW</t>
  </si>
  <si>
    <t>Spectaire Holdings Inc. Warrant</t>
  </si>
  <si>
    <t>CNXA</t>
  </si>
  <si>
    <t>Connexa Sports Technologies Inc. Common Stock</t>
  </si>
  <si>
    <t>WGSWW</t>
  </si>
  <si>
    <t>GeneDx Holdings Corp. Warrant</t>
  </si>
  <si>
    <t>DUNEW</t>
  </si>
  <si>
    <t>Dune Acquisition Corporation Warrant</t>
  </si>
  <si>
    <t>SXTPW</t>
  </si>
  <si>
    <t>60 Degrees Pharmaceuticals Inc. Warrant</t>
  </si>
  <si>
    <t>OXBRW</t>
  </si>
  <si>
    <t>Oxbridge Re Holdings Limited Warrant expiring 3/26/2024</t>
  </si>
  <si>
    <t>ACONW</t>
  </si>
  <si>
    <t>Aclarion Inc. Warrant</t>
  </si>
  <si>
    <t>CSSEL</t>
  </si>
  <si>
    <t>Chicken Soup for the Soul Entertainment Inc. Warrant</t>
  </si>
  <si>
    <t>SRZNW</t>
  </si>
  <si>
    <t>Surrozen Inc. Warrant</t>
  </si>
  <si>
    <t>CPTNW</t>
  </si>
  <si>
    <t>Cepton Inc. Warrant</t>
  </si>
  <si>
    <t>SQFTW</t>
  </si>
  <si>
    <t>Presidio Property Trust Inc. Series A Common Stock Purchase Warrants</t>
  </si>
  <si>
    <t>FFIEW</t>
  </si>
  <si>
    <t>Faraday Future Intelligent Electric Inc. Warrant</t>
  </si>
  <si>
    <t>COCHW</t>
  </si>
  <si>
    <t>Envoy Medical Inc Warrant</t>
  </si>
  <si>
    <t>FRBA</t>
  </si>
  <si>
    <t>First Bank Common Stock</t>
  </si>
  <si>
    <t>ASTI</t>
  </si>
  <si>
    <t>Ascent Solar Technologies Inc. Common Stock</t>
  </si>
  <si>
    <t>GFAIW</t>
  </si>
  <si>
    <t>Guardforce AI Co. Limited Warrant</t>
  </si>
  <si>
    <t>MTEKW</t>
  </si>
  <si>
    <t>Maris-Tech Ltd. Warrants</t>
  </si>
  <si>
    <t>STRCW</t>
  </si>
  <si>
    <t>Sarcos Technology and Robotics Corporation Warrants</t>
  </si>
  <si>
    <t>AGILW</t>
  </si>
  <si>
    <t>AgileThought Inc. Warrant</t>
  </si>
  <si>
    <t>GMBLZ</t>
  </si>
  <si>
    <t>DAVEW</t>
  </si>
  <si>
    <t>Dave Inc. Warrants</t>
  </si>
  <si>
    <t>KTTAW</t>
  </si>
  <si>
    <t>Pasithea Therapeutics Corp. Warrant</t>
  </si>
  <si>
    <t>TRKAW</t>
  </si>
  <si>
    <t>Troika Media Group Inc. Warrant</t>
  </si>
  <si>
    <t>SONDW</t>
  </si>
  <si>
    <t>Sonder Holdings Inc. Warrants</t>
  </si>
  <si>
    <t>LIXTW</t>
  </si>
  <si>
    <t>Lixte Biotechnology Holdings Inc. Warrants</t>
  </si>
  <si>
    <t>RELIW</t>
  </si>
  <si>
    <t>Reliance Global Group Inc. Series A Warrants</t>
  </si>
  <si>
    <t>KERNW</t>
  </si>
  <si>
    <t>Akerna Corp Warrant</t>
  </si>
  <si>
    <t>NOGNW</t>
  </si>
  <si>
    <t>Nogin Inc. Warrant</t>
  </si>
  <si>
    <t>ONMDW</t>
  </si>
  <si>
    <t>OneMedNet Corp Warrant</t>
  </si>
  <si>
    <t>CEADW</t>
  </si>
  <si>
    <t>CEA Industries Inc. Warrant</t>
  </si>
  <si>
    <t>SYTAW</t>
  </si>
  <si>
    <t>Siyata Mobile Inc. Warrant</t>
  </si>
  <si>
    <t>VSSYW</t>
  </si>
  <si>
    <t>Versus Systems Inc. Class A Warrants</t>
  </si>
  <si>
    <t>NXLIW</t>
  </si>
  <si>
    <t>Nexalin Technology Inc. Warrant</t>
  </si>
  <si>
    <t>BRSH</t>
  </si>
  <si>
    <t>Bruush Oral Care Inc. Common Stock</t>
  </si>
  <si>
    <t>ESLAW</t>
  </si>
  <si>
    <t>Estrella Immunopharma Inc. Warrant</t>
  </si>
  <si>
    <t>ENCPW</t>
  </si>
  <si>
    <t>Energem Corp Warrant</t>
  </si>
  <si>
    <t>EDBLW</t>
  </si>
  <si>
    <t>Edible Garden AG Incorporated Warrant</t>
  </si>
  <si>
    <t>SWVLW</t>
  </si>
  <si>
    <t>Swvl Holdings Corp Warrant</t>
  </si>
  <si>
    <t>REVBW</t>
  </si>
  <si>
    <t>Revelation Biosciences Inc. Warrant</t>
  </si>
  <si>
    <t>MNTSW</t>
  </si>
  <si>
    <t>Momentus Inc. Warrant</t>
  </si>
  <si>
    <t>SHPWW</t>
  </si>
  <si>
    <t>Shapeways Holdings Inc. Warrants</t>
  </si>
  <si>
    <t>ATNFW</t>
  </si>
  <si>
    <t>180 Life Sciences Corp. Warrant</t>
  </si>
  <si>
    <t>CREXW</t>
  </si>
  <si>
    <t>Creative Realities Inc. Warrant</t>
  </si>
  <si>
    <t>UKOMW</t>
  </si>
  <si>
    <t>Ucommune International Ltd Warrant expiring 11/17/2025</t>
  </si>
  <si>
    <t>SMXWW</t>
  </si>
  <si>
    <t>SMX (Security Matters) Public Limited Company Warrant</t>
  </si>
  <si>
    <t>BFRIW</t>
  </si>
  <si>
    <t>Biofrontera Inc. Warrants</t>
  </si>
  <si>
    <t>KPLTW</t>
  </si>
  <si>
    <t>Katapult Holdings Inc. Warrant</t>
  </si>
  <si>
    <t>VERBW</t>
  </si>
  <si>
    <t>Verb Technology Company Inc. Warrant</t>
  </si>
  <si>
    <t>VIEWW</t>
  </si>
  <si>
    <t>View Inc. Warrant</t>
  </si>
  <si>
    <t>TCBPW</t>
  </si>
  <si>
    <t>TC BioPharm (Holdings) plc Warrants</t>
  </si>
  <si>
    <t>AREBW</t>
  </si>
  <si>
    <t>American Rebel Holdings Inc. Warrants</t>
  </si>
  <si>
    <t>BTCTW</t>
  </si>
  <si>
    <t>BTC Digital Ltd. Warrant</t>
  </si>
  <si>
    <t>CLVRW</t>
  </si>
  <si>
    <t>Clever Leaves Holdings Inc. Warrant</t>
  </si>
  <si>
    <t>MOBQW</t>
  </si>
  <si>
    <t>Mobiquity Technologies Inc. Warrant</t>
  </si>
  <si>
    <t>AGRIW</t>
  </si>
  <si>
    <t>AgriFORCE  Growing Systems Ltd. Warrant</t>
  </si>
  <si>
    <t>HOFVW</t>
  </si>
  <si>
    <t>Hall of Fame Resort &amp;amp; Entertainment Company Warrant</t>
  </si>
  <si>
    <t>COMSW</t>
  </si>
  <si>
    <t>COMSovereign Holding Corp. Warrants</t>
  </si>
  <si>
    <t>SNAXW</t>
  </si>
  <si>
    <t>Stryve Foods Inc. Warrant</t>
  </si>
  <si>
    <t>HCDIW</t>
  </si>
  <si>
    <t>Harbor Custom Development Inc. Warrant</t>
  </si>
  <si>
    <t>LGHLW</t>
  </si>
  <si>
    <t>Lion Group Holding Ltd. Warrant</t>
  </si>
  <si>
    <t>HCDIZ</t>
  </si>
  <si>
    <t>BRSHW</t>
  </si>
  <si>
    <t>Bruush Oral Care Inc. Warrant</t>
  </si>
  <si>
    <t>IMACW</t>
  </si>
  <si>
    <t>IMAC Holdings Inc. Warrant</t>
  </si>
  <si>
    <t>QVCC</t>
  </si>
  <si>
    <t>QVC Inc. 6.250% Senior Secured Notes due 2068</t>
  </si>
  <si>
    <t>CTBB</t>
  </si>
  <si>
    <t>Qwest Corporation 6.5% Notes due 2056</t>
  </si>
  <si>
    <t>CTDD</t>
  </si>
  <si>
    <t>Qwest Corporation 6.75% Notes due 2057</t>
  </si>
  <si>
    <t>ACBAU</t>
  </si>
  <si>
    <t>Ace Global Business Acquisition Limited Unit</t>
  </si>
  <si>
    <t>EFHT</t>
  </si>
  <si>
    <t>EF Hutton Acquisition Corporation I Common Stock</t>
  </si>
  <si>
    <t>EFHTW</t>
  </si>
  <si>
    <t>EF Hutton Acquisition Corporation I Warrant</t>
  </si>
  <si>
    <t>CFFE</t>
  </si>
  <si>
    <t>CF Acquisition Corp. VIII Class A Common Stock</t>
  </si>
  <si>
    <t>CFFEU</t>
  </si>
  <si>
    <t>CF Acquisition Corp. VIII Unit</t>
  </si>
  <si>
    <t>CFFEW</t>
  </si>
  <si>
    <t>CF Acquisition Corp. VIII Warrant</t>
  </si>
  <si>
    <t>CISS</t>
  </si>
  <si>
    <t>C3is Inc. Common Stock</t>
  </si>
  <si>
    <t>FATP</t>
  </si>
  <si>
    <t>Fat Projects Acquisition Corp Class A Ordinary Share</t>
  </si>
  <si>
    <t>FATPU</t>
  </si>
  <si>
    <t>Fat Projects Acquisition Corp Unit</t>
  </si>
  <si>
    <t>FATPW</t>
  </si>
  <si>
    <t>Fat Projects Acquisition Corp Warrant</t>
  </si>
  <si>
    <t>IFIN</t>
  </si>
  <si>
    <t>InFinT Acquisition Corporation Class A Ordinary Shares</t>
  </si>
  <si>
    <t>IMAQ</t>
  </si>
  <si>
    <t>International Media Acquisition Corp. Class A Common Stock</t>
  </si>
  <si>
    <t>IMAQR</t>
  </si>
  <si>
    <t>International Media Acquisition Corp. Rights</t>
  </si>
  <si>
    <t>IMAQW</t>
  </si>
  <si>
    <t>International Media Acquisition Corp. Warrants</t>
  </si>
  <si>
    <t>OXSQG</t>
  </si>
  <si>
    <t>Oxford Square Capital Corp. 5.50% Notes due 2028</t>
  </si>
  <si>
    <t>OXSQL</t>
  </si>
  <si>
    <t>Oxford Square Capital Corp. 6.50% Notes due 2024</t>
  </si>
  <si>
    <t>QVCD</t>
  </si>
  <si>
    <t>QVC Inc. 6.375% Senior Secured Notes due 2067</t>
  </si>
  <si>
    <t>SHAP</t>
  </si>
  <si>
    <t>Spree Acquisition Corp. 1 Limited Class A Ordinary Shares</t>
  </si>
  <si>
    <t>TCJH</t>
  </si>
  <si>
    <t>Top KingWin Ltd Class A Ordinary Shares</t>
  </si>
  <si>
    <t>YOTA</t>
  </si>
  <si>
    <t>Yotta Acquisition Corporation Common Stock</t>
  </si>
  <si>
    <t>YOTAW</t>
  </si>
  <si>
    <t>Yotta Acquisition Corporation Warrant</t>
  </si>
  <si>
    <t>FLME</t>
  </si>
  <si>
    <t>Flame Acquisition Corp. Class A Common Stock</t>
  </si>
  <si>
    <t>HNRA</t>
  </si>
  <si>
    <t>HNR Acquisition Corp Common Stock</t>
  </si>
  <si>
    <t>NSS</t>
  </si>
  <si>
    <t>NuStar Logistics L.P. 7.625% Fixed-to-Floating Rate Subordinated Notes due 2043</t>
  </si>
  <si>
    <t>AACI</t>
  </si>
  <si>
    <t>Armada Acquisition Corp. I Common Stock</t>
  </si>
  <si>
    <t>AACIU</t>
  </si>
  <si>
    <t>Armada Acquisition Corp. I Unit</t>
  </si>
  <si>
    <t>AACIW</t>
  </si>
  <si>
    <t>Armada Acquisition Corp. I Warrant</t>
  </si>
  <si>
    <t>ACAB</t>
  </si>
  <si>
    <t>Atlantic Coastal Acquisition Corp. II Class A Common Stock</t>
  </si>
  <si>
    <t>ACABW</t>
  </si>
  <si>
    <t>Atlantic Coastal Acquisition Corp. II Warrant</t>
  </si>
  <si>
    <t>ACAC</t>
  </si>
  <si>
    <t>Acri Capital Acquisition Corporation Class A Common Stock</t>
  </si>
  <si>
    <t>ACACU</t>
  </si>
  <si>
    <t>Acri Capital Acquisition Corporation Unit</t>
  </si>
  <si>
    <t>ACACW</t>
  </si>
  <si>
    <t>Acri Capital Acquisition Corporation Warrant</t>
  </si>
  <si>
    <t>ACAH</t>
  </si>
  <si>
    <t>Atlantic Coastal Acquisition Corp. Class A Common Stock</t>
  </si>
  <si>
    <t>ACAHU</t>
  </si>
  <si>
    <t>Atlantic Coastal Acquisition Corp. Unit</t>
  </si>
  <si>
    <t>ACAHW</t>
  </si>
  <si>
    <t>Atlantic Coastal Acquisition Corp. Warrant</t>
  </si>
  <si>
    <t>ACRO</t>
  </si>
  <si>
    <t>Acropolis Infrastructure Acquisition Corp. Class A Common Stock</t>
  </si>
  <si>
    <t>AEAE</t>
  </si>
  <si>
    <t>AltEnergy Acquisition Corp. Class A Common Stock</t>
  </si>
  <si>
    <t>AEAEU</t>
  </si>
  <si>
    <t>AltEnergy Acquisition Corp. Unit</t>
  </si>
  <si>
    <t>ACP</t>
  </si>
  <si>
    <t>abrdn Income Credit Strategies Fund Common Shares</t>
  </si>
  <si>
    <t>ADX</t>
  </si>
  <si>
    <t>Adams Diversified Equity Fund Inc.</t>
  </si>
  <si>
    <t>AEAEW</t>
  </si>
  <si>
    <t>AltEnergy Acquisition Corp. Warrant</t>
  </si>
  <si>
    <t>AERTW</t>
  </si>
  <si>
    <t>Aeries Technology Inc. Warrant</t>
  </si>
  <si>
    <t>AFAR</t>
  </si>
  <si>
    <t>Aura FAT Projects Acquisition Corp Class A Ordinary Shares</t>
  </si>
  <si>
    <t>AIB</t>
  </si>
  <si>
    <t>AIB Acquisition Corporation Class A Ordinary Shares</t>
  </si>
  <si>
    <t>AIBBR</t>
  </si>
  <si>
    <t>AIB Acquisition Corporation Right</t>
  </si>
  <si>
    <t>AIF</t>
  </si>
  <si>
    <t>Apollo Tactical Income Fund Inc. Common Stock</t>
  </si>
  <si>
    <t>AFT</t>
  </si>
  <si>
    <t>Apollo Senior Floating Rate Fund Inc. Common Stock</t>
  </si>
  <si>
    <t>AFB</t>
  </si>
  <si>
    <t>AllianceBernstein National Municipal Income Fund Inc</t>
  </si>
  <si>
    <t>AGD</t>
  </si>
  <si>
    <t>abrdn Global Dynamic Dividend Fund Common Shares of Beneficial Interest</t>
  </si>
  <si>
    <t>AIMAW</t>
  </si>
  <si>
    <t>Aimfinity Investment Corp. I Warrant</t>
  </si>
  <si>
    <t>AIMBU</t>
  </si>
  <si>
    <t>Aimfinity Investment Corp. I Subunit</t>
  </si>
  <si>
    <t>ALCC</t>
  </si>
  <si>
    <t>AltC Acquisition Corp. Class A Common Stock</t>
  </si>
  <si>
    <t>ALCY</t>
  </si>
  <si>
    <t>Alchemy Investments Acquisition Corp 1 Class A Ordinary Shares</t>
  </si>
  <si>
    <t>ALCYU</t>
  </si>
  <si>
    <t>Alchemy Investments Acquisition Corp 1 Units</t>
  </si>
  <si>
    <t>ALOR</t>
  </si>
  <si>
    <t>ALSP Orchid Acquisition Corporation I Class A Ordinary Share</t>
  </si>
  <si>
    <t>ALORU</t>
  </si>
  <si>
    <t>ALSP Orchid Acquisition Corporation I Unit</t>
  </si>
  <si>
    <t>ALORW</t>
  </si>
  <si>
    <t>ALSP Orchid Acquisition Corporation I Warrant</t>
  </si>
  <si>
    <t>ALSA</t>
  </si>
  <si>
    <t>Alpha Star Acquisition Corporation Ordinary Shares</t>
  </si>
  <si>
    <t>ALSAR</t>
  </si>
  <si>
    <t>Alpha Star Acquisition Corporation Rights</t>
  </si>
  <si>
    <t>ALSAU</t>
  </si>
  <si>
    <t>Alpha Star Acquisition Corporation Units</t>
  </si>
  <si>
    <t>ALSAW</t>
  </si>
  <si>
    <t>Alpha Star Acquisition Corporation Warrants</t>
  </si>
  <si>
    <t>ALTU</t>
  </si>
  <si>
    <t>Altitude Acquisition Corp. Class A Common Stock</t>
  </si>
  <si>
    <t>ALTUW</t>
  </si>
  <si>
    <t>Altitude Acquisition Corp. Warrant</t>
  </si>
  <si>
    <t>APACW</t>
  </si>
  <si>
    <t>StoneBridge Acquisition Corporation Warrant</t>
  </si>
  <si>
    <t>APCA</t>
  </si>
  <si>
    <t>AP Acquisition Corp Class A Ordinary Shares</t>
  </si>
  <si>
    <t>APGB</t>
  </si>
  <si>
    <t>Apollo Strategic Growth Capital II Class A Ordinary Shares</t>
  </si>
  <si>
    <t>APXI</t>
  </si>
  <si>
    <t>APx Acquisition Corp. I Class A Ordinary Share</t>
  </si>
  <si>
    <t>APXIU</t>
  </si>
  <si>
    <t>APx Acquisition Corp. I Unit</t>
  </si>
  <si>
    <t>APXIW</t>
  </si>
  <si>
    <t>APx Acquisition Corp. I Warrant</t>
  </si>
  <si>
    <t>AQU</t>
  </si>
  <si>
    <t>Aquaron Acquisition Corp. Common Stock</t>
  </si>
  <si>
    <t>AQUNR</t>
  </si>
  <si>
    <t>Aquaron Acquisition Corp. Rights</t>
  </si>
  <si>
    <t>ARIZR</t>
  </si>
  <si>
    <t>Arisz Acquisition Corp. Right</t>
  </si>
  <si>
    <t>ARIZW</t>
  </si>
  <si>
    <t>Arisz Acquisition Corp. Warrant</t>
  </si>
  <si>
    <t>ARRW</t>
  </si>
  <si>
    <t>Arrowroot Acquisition Corp. Class A common stock</t>
  </si>
  <si>
    <t>ARRWW</t>
  </si>
  <si>
    <t>Arrowroot Acquisition Corp. Warrant</t>
  </si>
  <si>
    <t>ASCA</t>
  </si>
  <si>
    <t>A SPAC I Acquisition Corp. Class A Ordinary Share</t>
  </si>
  <si>
    <t>ASCB</t>
  </si>
  <si>
    <t>A SPAC II Acquisition Corp. Ordinary Shares</t>
  </si>
  <si>
    <t>ASCBR</t>
  </si>
  <si>
    <t>A SPAC II Acquisition Corp. Right</t>
  </si>
  <si>
    <t>ASCBU</t>
  </si>
  <si>
    <t>A SPAC II Acquisition Corp. Unit</t>
  </si>
  <si>
    <t>ATAK</t>
  </si>
  <si>
    <t>Aurora Technology Acquisition Corp. Class A Ordinary Shares</t>
  </si>
  <si>
    <t>ATAKR</t>
  </si>
  <si>
    <t>Aurora Technology Acquisition Corp. Rights</t>
  </si>
  <si>
    <t>ATAKW</t>
  </si>
  <si>
    <t>Aurora Technology Acquisition Corp. Warrants</t>
  </si>
  <si>
    <t>ATEK</t>
  </si>
  <si>
    <t>Athena Technology Acquisition Corp. II Class A Common Stock</t>
  </si>
  <si>
    <t>ATMCU</t>
  </si>
  <si>
    <t>AlphaTime Acquisition Corp Unit</t>
  </si>
  <si>
    <t>ATMCW</t>
  </si>
  <si>
    <t>AlphaTime Acquisition Corp Warrant</t>
  </si>
  <si>
    <t>ATMV</t>
  </si>
  <si>
    <t>AlphaVest Acquisition Corp Ordinary Shares</t>
  </si>
  <si>
    <t>ATMVR</t>
  </si>
  <si>
    <t>AlphaVest Acquisition Corp Right</t>
  </si>
  <si>
    <t>ATMVU</t>
  </si>
  <si>
    <t>AlphaVest Acquisition Corp Unit</t>
  </si>
  <si>
    <t>AVHI</t>
  </si>
  <si>
    <t>Achari Ventures Holdings Corp. I Common Stock</t>
  </si>
  <si>
    <t>BCSA</t>
  </si>
  <si>
    <t>Blockchain Coinvestors Acquisition Corp. I Class A Ordinary Shares</t>
  </si>
  <si>
    <t>BCSAU</t>
  </si>
  <si>
    <t>Blockchain Coinvestors Acquisition Corp. I Unit</t>
  </si>
  <si>
    <t>BCSAW</t>
  </si>
  <si>
    <t>Blockchain Coinvestors Acquisition Corp. I Warrant</t>
  </si>
  <si>
    <t>BEEP</t>
  </si>
  <si>
    <t>Mobile Infrastructure Corporation Common Stock</t>
  </si>
  <si>
    <t>BENFW</t>
  </si>
  <si>
    <t>Beneficient Warrant</t>
  </si>
  <si>
    <t>BFAC</t>
  </si>
  <si>
    <t>Battery Future Acquisition Corp. Class A Ordinary Shares</t>
  </si>
  <si>
    <t>BBN</t>
  </si>
  <si>
    <t>BlackRock Taxable Municipal Bond Trust Common Shares of Beneficial Interest</t>
  </si>
  <si>
    <t>BDJ</t>
  </si>
  <si>
    <t>Blackrock Enhanced Equity Dividend Trust</t>
  </si>
  <si>
    <t>BFK</t>
  </si>
  <si>
    <t>BlackRock Municipal Income Trust</t>
  </si>
  <si>
    <t>BFZ</t>
  </si>
  <si>
    <t>BlackRock California Municipal Income Trust</t>
  </si>
  <si>
    <t>BCV</t>
  </si>
  <si>
    <t>Bancroft Fund Ltd.</t>
  </si>
  <si>
    <t>AOD</t>
  </si>
  <si>
    <t>abrdn Total Dynamic Dividend Fund Common Shares of Beneficial Interest</t>
  </si>
  <si>
    <t>ASG</t>
  </si>
  <si>
    <t>Liberty All-Star Growth Fund Inc.</t>
  </si>
  <si>
    <t>ASGI</t>
  </si>
  <si>
    <t>abrdn Global Infrastructure Income Fund Common Shares of Beneficial Interest</t>
  </si>
  <si>
    <t>BGH</t>
  </si>
  <si>
    <t>Barings Global Short Duration High Yield Fund Common Shares of Beneficial Interests</t>
  </si>
  <si>
    <t>BANFP</t>
  </si>
  <si>
    <t>BancFirst Corporation - BFC Capital Trust II Cumulative Trust Preferred Securities</t>
  </si>
  <si>
    <t>AVK</t>
  </si>
  <si>
    <t>AWF</t>
  </si>
  <si>
    <t>Alliancebernstein Global High Income Fund</t>
  </si>
  <si>
    <t>AWP</t>
  </si>
  <si>
    <t>abrdn Global Premier Properties Fund Common Shares of Beneficial Interest</t>
  </si>
  <si>
    <t>BGB</t>
  </si>
  <si>
    <t>Blackstone Strategic Credit 2027 Term Fund Common Shares of Beneficial Interest</t>
  </si>
  <si>
    <t>BGT</t>
  </si>
  <si>
    <t>BGX</t>
  </si>
  <si>
    <t>Blackstone Long Short Credit Income Fund Common Shares</t>
  </si>
  <si>
    <t>ADOC</t>
  </si>
  <si>
    <t>Edoc Acquisition Corp. Class A Ordinary Share</t>
  </si>
  <si>
    <t>CLDI</t>
  </si>
  <si>
    <t>Calidi Biotherapeutics Inc. Common Stock</t>
  </si>
  <si>
    <t>NKGNW</t>
  </si>
  <si>
    <t>NKGen Biotech Inc. Warrants</t>
  </si>
  <si>
    <t>NAMSW</t>
  </si>
  <si>
    <t>NewAmsterdam Pharma Company N.V. Warrant</t>
  </si>
  <si>
    <t>PMGMU</t>
  </si>
  <si>
    <t>Priveterra Acquisition Corp. II Unit</t>
  </si>
  <si>
    <t>BHAC</t>
  </si>
  <si>
    <t>Crixus BH3 Acquisition Company Class A Common Stock</t>
  </si>
  <si>
    <t>BHACW</t>
  </si>
  <si>
    <t>Crixus BH3 Acquisition Company Warrants</t>
  </si>
  <si>
    <t>BITE</t>
  </si>
  <si>
    <t>Bite Acquisition Corp. Common Stock</t>
  </si>
  <si>
    <t>BLAC</t>
  </si>
  <si>
    <t>Bellevue Life Sciences Acquisition Corp. Common Stock</t>
  </si>
  <si>
    <t>BLACR</t>
  </si>
  <si>
    <t>Bellevue Life Sciences Acquisition Corp. Rights</t>
  </si>
  <si>
    <t>BLACU</t>
  </si>
  <si>
    <t>Bellevue Life Sciences Acquisition Corp. Unit</t>
  </si>
  <si>
    <t>BLEU</t>
  </si>
  <si>
    <t>bleuacacia ltd Class A Ordinary Shares</t>
  </si>
  <si>
    <t>BLEUR</t>
  </si>
  <si>
    <t>bleuacacia ltd Rights</t>
  </si>
  <si>
    <t>BLEUW</t>
  </si>
  <si>
    <t>bleuacacia ltd Warrants</t>
  </si>
  <si>
    <t>BLUA</t>
  </si>
  <si>
    <t>BlueRiver Acquisition Corp. Class A Ordinary Shares</t>
  </si>
  <si>
    <t>BMAC</t>
  </si>
  <si>
    <t>Black Mountain Acquisition Corp. Class A Common Stock</t>
  </si>
  <si>
    <t>BNIX</t>
  </si>
  <si>
    <t>Bannix Acquisition Corp. Common Stock</t>
  </si>
  <si>
    <t>BNIXR</t>
  </si>
  <si>
    <t>Bannix Acquisition Corp. Right</t>
  </si>
  <si>
    <t>BOCN</t>
  </si>
  <si>
    <t>Blue Ocean Acquisition Corp Class A Ordinary Shares</t>
  </si>
  <si>
    <t>BRAC</t>
  </si>
  <si>
    <t>Broad Capital Acquisition Corp Common Stock</t>
  </si>
  <si>
    <t>BRD</t>
  </si>
  <si>
    <t>Beard Energy Transition Acquisition Corp. Class A Common Stock</t>
  </si>
  <si>
    <t>BREZ</t>
  </si>
  <si>
    <t>Breeze Holdings Acquisition Corp. Common Stock</t>
  </si>
  <si>
    <t>BREZR</t>
  </si>
  <si>
    <t>Breeze Holdings Acquisition Corp. Right</t>
  </si>
  <si>
    <t>BREZW</t>
  </si>
  <si>
    <t>Breeze Holdings Acquisition Corp. Warrant</t>
  </si>
  <si>
    <t>BRKH</t>
  </si>
  <si>
    <t>BurTech Acquisition Corp. Class A Common Stock</t>
  </si>
  <si>
    <t>BRKHU</t>
  </si>
  <si>
    <t>BurTech Acquisition Corp. Unit</t>
  </si>
  <si>
    <t>BRKHW</t>
  </si>
  <si>
    <t>BurTech Acquisition Corp. Warrants</t>
  </si>
  <si>
    <t>BRLIR</t>
  </si>
  <si>
    <t>Brilliant Acquisition Corporation Rights</t>
  </si>
  <si>
    <t>BRLIU</t>
  </si>
  <si>
    <t>Brilliant Acquisition Corporation Unit</t>
  </si>
  <si>
    <t>BRLIW</t>
  </si>
  <si>
    <t>Brilliant Acquisition Corporation Warrants</t>
  </si>
  <si>
    <t>BUJA</t>
  </si>
  <si>
    <t>Bukit Jalil Global Acquisition 1 Ltd. Ordinary Shares</t>
  </si>
  <si>
    <t>BUJAW</t>
  </si>
  <si>
    <t>Bukit Jalil Global Acquisition 1 Ltd. Warrants</t>
  </si>
  <si>
    <t>BWAQ</t>
  </si>
  <si>
    <t>Blue World Acquisition Corporation Class A Ordinary Shares</t>
  </si>
  <si>
    <t>BWAQR</t>
  </si>
  <si>
    <t>Blue World Acquisition Corporation Right</t>
  </si>
  <si>
    <t>BWAQW</t>
  </si>
  <si>
    <t>Blue World Acquisition Corporation Warrant</t>
  </si>
  <si>
    <t>BYN</t>
  </si>
  <si>
    <t>Banyan Acquisition Corporation Class A Common Stock</t>
  </si>
  <si>
    <t>BYNO</t>
  </si>
  <si>
    <t>byNordic Acquisition Corporation Class A Common Stock</t>
  </si>
  <si>
    <t>BYNOU</t>
  </si>
  <si>
    <t>byNordic Acquisition Corporation Units</t>
  </si>
  <si>
    <t>BYNOW</t>
  </si>
  <si>
    <t>byNordic Acquisition Corporation Warrant</t>
  </si>
  <si>
    <t>BYTSW</t>
  </si>
  <si>
    <t>BYTE Acquisition Corp. Warrants</t>
  </si>
  <si>
    <t>CBRG</t>
  </si>
  <si>
    <t>Chain Bridge I Class A Ordinary Shares</t>
  </si>
  <si>
    <t>CCTS</t>
  </si>
  <si>
    <t>Cactus Acquisition Corp. 1 Limited Class A Ordinary Share</t>
  </si>
  <si>
    <t>CCTSU</t>
  </si>
  <si>
    <t>Cactus Acquisition Corp. 1 Limited Unit</t>
  </si>
  <si>
    <t>CCVI</t>
  </si>
  <si>
    <t>Churchill Capital Corp VI Class A Common Stock</t>
  </si>
  <si>
    <t>CDAQ</t>
  </si>
  <si>
    <t>Compass Digital Acquisition Corp. Class A Ordinary Shares</t>
  </si>
  <si>
    <t>CDAQW</t>
  </si>
  <si>
    <t>Compass Digital Acquisition Corp. Warrant</t>
  </si>
  <si>
    <t>CETU</t>
  </si>
  <si>
    <t>Cetus Capital Acquisition Corp. Class A Common Stock</t>
  </si>
  <si>
    <t>CETUU</t>
  </si>
  <si>
    <t>Cetus Capital Acquisition Corp. Unit</t>
  </si>
  <si>
    <t>CFFS</t>
  </si>
  <si>
    <t>CF Acquisition Corp. VII Class A Common Stock</t>
  </si>
  <si>
    <t>CFIV</t>
  </si>
  <si>
    <t>CF Acquisition Corp. IV Class A common stock</t>
  </si>
  <si>
    <t>CHAA</t>
  </si>
  <si>
    <t>Catcha Investment Corp. Class A Ordinary Shares</t>
  </si>
  <si>
    <t>CHEA</t>
  </si>
  <si>
    <t>Chenghe Acquisition Co. Class A Ordinary Share</t>
  </si>
  <si>
    <t>CITE</t>
  </si>
  <si>
    <t>Cartica Acquisition Corp Class A Ordinary Shares</t>
  </si>
  <si>
    <t>CITEW</t>
  </si>
  <si>
    <t>Cartica Acquisition Corp Warrant</t>
  </si>
  <si>
    <t>CLAY</t>
  </si>
  <si>
    <t>Chavant Capital Acquisition Corp. Ordinary Shares</t>
  </si>
  <si>
    <t>CLAYW</t>
  </si>
  <si>
    <t>Chavant Capital Acquisition Corp. Warrants</t>
  </si>
  <si>
    <t>CLRCR</t>
  </si>
  <si>
    <t>ClimateRock Right</t>
  </si>
  <si>
    <t>CLRCW</t>
  </si>
  <si>
    <t>ClimateRock Warrant</t>
  </si>
  <si>
    <t>CMCA</t>
  </si>
  <si>
    <t>Capitalworks Emerging Markets Acquisition Corp Class A Ordinary Shares</t>
  </si>
  <si>
    <t>CMCAW</t>
  </si>
  <si>
    <t>Capitalworks Emerging Markets Acquisition Corp Warrant</t>
  </si>
  <si>
    <t>CNDA</t>
  </si>
  <si>
    <t>Concord Acquisition Corp II Class A Common Stock</t>
  </si>
  <si>
    <t>CNDB</t>
  </si>
  <si>
    <t>Concord Acquisition Corp III Class A Common Stock</t>
  </si>
  <si>
    <t>CNGL</t>
  </si>
  <si>
    <t>Canna-Global Acquisition Corp. Class A Common Stock</t>
  </si>
  <si>
    <t>CNGLW</t>
  </si>
  <si>
    <t>Canna-Global Acquisition Corp Warrant</t>
  </si>
  <si>
    <t>CONX Corp. Class A Common Stock</t>
  </si>
  <si>
    <t>CONXW</t>
  </si>
  <si>
    <t>CONX Corp. Warrant</t>
  </si>
  <si>
    <t>COOL</t>
  </si>
  <si>
    <t>Corner Growth Acquisition Corp. Class A Ordinary Shares</t>
  </si>
  <si>
    <t>COOLU</t>
  </si>
  <si>
    <t>Corner Growth Acquisition Corp. Unit</t>
  </si>
  <si>
    <t>COOLW</t>
  </si>
  <si>
    <t>Corner Growth Acquisition Corp. Warrant</t>
  </si>
  <si>
    <t>CSLM</t>
  </si>
  <si>
    <t>CSLM Acquisition Corp. Class A Ordinary Share</t>
  </si>
  <si>
    <t>CSLMR</t>
  </si>
  <si>
    <t>CSLM Acquisition Corp. Right</t>
  </si>
  <si>
    <t>CSLMW</t>
  </si>
  <si>
    <t>CSLM Acquisition Corp. Warrant</t>
  </si>
  <si>
    <t>CSTA</t>
  </si>
  <si>
    <t>Constellation Acquisition Corp I Class A Ordinary Shares</t>
  </si>
  <si>
    <t>CVII</t>
  </si>
  <si>
    <t>Churchill Capital Corp VII Class A Common Stock</t>
  </si>
  <si>
    <t>DECA</t>
  </si>
  <si>
    <t>Denali Capital Acquisition Corp. Class A Ordinary Shares</t>
  </si>
  <si>
    <t>DHCA</t>
  </si>
  <si>
    <t>DHC Acquisition Corp. Class A ordinary share</t>
  </si>
  <si>
    <t>DHCAW</t>
  </si>
  <si>
    <t>DHC Acquisition Corp. Warrant</t>
  </si>
  <si>
    <t>DISA</t>
  </si>
  <si>
    <t>Disruptive Acquisition Corporation I Class A Ordinary Shares</t>
  </si>
  <si>
    <t>DISAU</t>
  </si>
  <si>
    <t>Disruptive Acquisition Corporation I Unit</t>
  </si>
  <si>
    <t>DISAW</t>
  </si>
  <si>
    <t>Disruptive Acquisition Corporation I Warrant</t>
  </si>
  <si>
    <t>DIST</t>
  </si>
  <si>
    <t>Distoken Acquisition Corporation Ordinary Shares</t>
  </si>
  <si>
    <t>DISTW</t>
  </si>
  <si>
    <t>Distoken Acquisition Corporation Warrant</t>
  </si>
  <si>
    <t>DMYY</t>
  </si>
  <si>
    <t>dMY Squared Technology Group Inc. Class A Common Stock</t>
  </si>
  <si>
    <t>DPCS</t>
  </si>
  <si>
    <t>DP Cap Acquisition Corp I Class A Ordinary Shares</t>
  </si>
  <si>
    <t>DPCSW</t>
  </si>
  <si>
    <t>DP Cap Acquisition Corp I Warrants</t>
  </si>
  <si>
    <t>DUET</t>
  </si>
  <si>
    <t>DUET Acquisition Corp. Class A Common Stock</t>
  </si>
  <si>
    <t>EAC</t>
  </si>
  <si>
    <t>Edify Acquisition Corp. Class A Common Stock</t>
  </si>
  <si>
    <t>EFHTR</t>
  </si>
  <si>
    <t>EF Hutton Acquisition Corporation I Rights</t>
  </si>
  <si>
    <t>EMCG</t>
  </si>
  <si>
    <t>Embrace Change Acquisition Corp Ordinary Shares</t>
  </si>
  <si>
    <t>EMCGW</t>
  </si>
  <si>
    <t>Embrace Change Acquisition Corp Warrants</t>
  </si>
  <si>
    <t>EMLD</t>
  </si>
  <si>
    <t>FTAC Emerald Acquisition Corp. Class A Common Stock</t>
  </si>
  <si>
    <t>EMLDU</t>
  </si>
  <si>
    <t>FTAC Emerald Acquisition Corp. Unit</t>
  </si>
  <si>
    <t>EMLDW</t>
  </si>
  <si>
    <t>FTAC Emerald Acquisition Corp. Warrant</t>
  </si>
  <si>
    <t>ENER</t>
  </si>
  <si>
    <t>Accretion Acquisition Corp. Common Stock</t>
  </si>
  <si>
    <t>ENERR</t>
  </si>
  <si>
    <t>Accretion Acquisition Corp. Right</t>
  </si>
  <si>
    <t>ENERW</t>
  </si>
  <si>
    <t>Accretion Acquisition Corp. Warrant</t>
  </si>
  <si>
    <t>ESAC</t>
  </si>
  <si>
    <t>ESGEN Acquisition Corporation Class A Ordinary Shares</t>
  </si>
  <si>
    <t>ESACW</t>
  </si>
  <si>
    <t>ESGEN Acquisition Corporation Warrants</t>
  </si>
  <si>
    <t>ESHA</t>
  </si>
  <si>
    <t>ESH Acquisition Corp. Class A Common Stock</t>
  </si>
  <si>
    <t>EVE</t>
  </si>
  <si>
    <t>EVe Mobility Acquisition Corp Class A Ordinary Shares</t>
  </si>
  <si>
    <t>EVGR</t>
  </si>
  <si>
    <t>Evergreen Corporation Class A Ordinary Share</t>
  </si>
  <si>
    <t>EVGRW</t>
  </si>
  <si>
    <t>Evergreen Corporation Warrant</t>
  </si>
  <si>
    <t>FEXD</t>
  </si>
  <si>
    <t>Fintech Ecosystem Development Corp. Class A Common Stock</t>
  </si>
  <si>
    <t>FEXDR</t>
  </si>
  <si>
    <t>Fintech Ecosystem Development Corp. Right</t>
  </si>
  <si>
    <t>FIAC</t>
  </si>
  <si>
    <t>Focus Impact Acquisition Corp. Class A Common Stock</t>
  </si>
  <si>
    <t>FIACW</t>
  </si>
  <si>
    <t>Focus Impact Acquisition Corp. Warrant</t>
  </si>
  <si>
    <t>FICV</t>
  </si>
  <si>
    <t>Frontier Investment Corp Class A Ordinary Shares</t>
  </si>
  <si>
    <t>FICVW</t>
  </si>
  <si>
    <t>Frontier Investment Corp Warrants</t>
  </si>
  <si>
    <t>FLFV</t>
  </si>
  <si>
    <t>Feutune Light Acquisition Corporation Class A Common Stock</t>
  </si>
  <si>
    <t>FLFVW</t>
  </si>
  <si>
    <t>Feutune Light Acquisition Corporation Warrant</t>
  </si>
  <si>
    <t>FNVT</t>
  </si>
  <si>
    <t>Finnovate Acquisition Corp. Class A Ordinary Shares</t>
  </si>
  <si>
    <t>FNVTW</t>
  </si>
  <si>
    <t>Finnovate Acquisition Corp. Warrants</t>
  </si>
  <si>
    <t>FORL</t>
  </si>
  <si>
    <t>Four Leaf Acquisition Corporation Class A Common Stock</t>
  </si>
  <si>
    <t>FRXB</t>
  </si>
  <si>
    <t>Forest Road Acquisition Corp. II Class A Common Stock</t>
  </si>
  <si>
    <t>FSRX</t>
  </si>
  <si>
    <t>FinServ Acquisition Corp. II Class A Common Stock</t>
  </si>
  <si>
    <t>FTII</t>
  </si>
  <si>
    <t>FutureTech II Acquisition Corp. Class A Common Stock</t>
  </si>
  <si>
    <t>FTIIW</t>
  </si>
  <si>
    <t>FutureTech II Acquisition Corp. Warrant</t>
  </si>
  <si>
    <t>GAMC</t>
  </si>
  <si>
    <t>Golden Arrow Merger Corp. Class A Common Stock</t>
  </si>
  <si>
    <t>GAMCU</t>
  </si>
  <si>
    <t>Golden Arrow Merger Corp. Unit</t>
  </si>
  <si>
    <t>GAQ</t>
  </si>
  <si>
    <t>Generation Asia I Acquisition Limited Class A Ordinary Shares</t>
  </si>
  <si>
    <t>GATE</t>
  </si>
  <si>
    <t>Marblegate Acquisition Corp. Class A Common Stock</t>
  </si>
  <si>
    <t>GATEW</t>
  </si>
  <si>
    <t>Marblegate Acquisition Corp. Warrant</t>
  </si>
  <si>
    <t>GBBK</t>
  </si>
  <si>
    <t>Global Blockchain Acquisition Corp. Common Stock</t>
  </si>
  <si>
    <t>GBBKR</t>
  </si>
  <si>
    <t>Global Blockchain Acquisition Corp. Right</t>
  </si>
  <si>
    <t>GBBKW</t>
  </si>
  <si>
    <t>Global Blockchain Acquisition Corp. Warrant</t>
  </si>
  <si>
    <t>GDNR</t>
  </si>
  <si>
    <t>Gardiner Healthcare Acquisitions Corp. Common Stock</t>
  </si>
  <si>
    <t>GDST</t>
  </si>
  <si>
    <t>Goldenstone Acquisition Limited Common Stock</t>
  </si>
  <si>
    <t>GDSTW</t>
  </si>
  <si>
    <t>Goldenstone Acquisition Limited Warrants</t>
  </si>
  <si>
    <t>GHIX</t>
  </si>
  <si>
    <t>Gores Holdings IX Inc. Class A Common Stock</t>
  </si>
  <si>
    <t>GMFI</t>
  </si>
  <si>
    <t>Aetherium Acquisition Corp. Class A Common Stock</t>
  </si>
  <si>
    <t>GMFIW</t>
  </si>
  <si>
    <t>Aetherium Acquisition Corp. Warrant</t>
  </si>
  <si>
    <t>GODN</t>
  </si>
  <si>
    <t>Golden Star Acquisition Corporation Ordinary Shares</t>
  </si>
  <si>
    <t>GPAC</t>
  </si>
  <si>
    <t>Global Partner Acquisition Corp II Class A Ordinary Share</t>
  </si>
  <si>
    <t>GPACU</t>
  </si>
  <si>
    <t>Global Partner Acquisition Corp II Unit</t>
  </si>
  <si>
    <t>GTAC</t>
  </si>
  <si>
    <t>Global Technology Acquisition Corp. I Class A Ordinary Shares</t>
  </si>
  <si>
    <t>GTACW</t>
  </si>
  <si>
    <t>Global Technology Acquisition Corp. I Warrant</t>
  </si>
  <si>
    <t>HAIA</t>
  </si>
  <si>
    <t>Healthcare AI Acquisition Corp. Class A Ordinary Shares</t>
  </si>
  <si>
    <t>HAIAU</t>
  </si>
  <si>
    <t>Healthcare AI Acquisition Corp. Unit</t>
  </si>
  <si>
    <t>HCMA</t>
  </si>
  <si>
    <t>HCM Acquisition Corp Class A Ordinary Shares</t>
  </si>
  <si>
    <t>HCMAU</t>
  </si>
  <si>
    <t>HCM Acquisition Corp Unit</t>
  </si>
  <si>
    <t>HCVI</t>
  </si>
  <si>
    <t>Hennessy Capital Investment Corp. VI Class A Common Stock</t>
  </si>
  <si>
    <t>HCVIW</t>
  </si>
  <si>
    <t>Hennessy Capital Investment Corp. VI Warrant</t>
  </si>
  <si>
    <t>HHGC</t>
  </si>
  <si>
    <t>HHG Capital Corporation Ordinary Shares</t>
  </si>
  <si>
    <t>HHGCR</t>
  </si>
  <si>
    <t>HHG Capital Corporation Rights</t>
  </si>
  <si>
    <t>HSPO</t>
  </si>
  <si>
    <t>Horizon Space Acquisition I Corp. Ordinary Shares</t>
  </si>
  <si>
    <t>HSPOR</t>
  </si>
  <si>
    <t>Horizon Space Acquisition I Corp. Right</t>
  </si>
  <si>
    <t>HSPOW</t>
  </si>
  <si>
    <t>Horizon Space Acquisition I Corp. Warrant</t>
  </si>
  <si>
    <t>HUDA</t>
  </si>
  <si>
    <t>Hudson Acquisition I Corp. Common Stock</t>
  </si>
  <si>
    <t>HWEL</t>
  </si>
  <si>
    <t>Healthwell Acquisition Corp. I Class A Common Stock</t>
  </si>
  <si>
    <t>HWELW</t>
  </si>
  <si>
    <t>Healthwell Acquisition Corp. I Warrant</t>
  </si>
  <si>
    <t>IGTA</t>
  </si>
  <si>
    <t>Inception Growth Acquisition Limited Common Stock</t>
  </si>
  <si>
    <t>IGTAU</t>
  </si>
  <si>
    <t>Inception Growth Acquisition Limited Unit</t>
  </si>
  <si>
    <t>IGTAW</t>
  </si>
  <si>
    <t>Inception Growth Acquisition Limited Warrants</t>
  </si>
  <si>
    <t>INAQ</t>
  </si>
  <si>
    <t>Insight Acquisition Corp. Class A Common Stock</t>
  </si>
  <si>
    <t>INAQU</t>
  </si>
  <si>
    <t>Insight Acquisition Corp. Units</t>
  </si>
  <si>
    <t>INTE</t>
  </si>
  <si>
    <t>Integral Acquisition Corporation 1 Class A Common Stock</t>
  </si>
  <si>
    <t>INTEW</t>
  </si>
  <si>
    <t>Integral Acquisition Corporation 1 Warrants</t>
  </si>
  <si>
    <t>IOAC</t>
  </si>
  <si>
    <t>Innovative International Acquisition Corp. Class A Ordinary Shares</t>
  </si>
  <si>
    <t>IOACU</t>
  </si>
  <si>
    <t>Innovative International Acquisition Corp. Unit</t>
  </si>
  <si>
    <t>IOACW</t>
  </si>
  <si>
    <t>Innovative International Acquisition Corp. Warrants</t>
  </si>
  <si>
    <t>IPXX</t>
  </si>
  <si>
    <t>Inflection Point Acquisition Corp. II Class A Ordinary Share</t>
  </si>
  <si>
    <t>IPXXU</t>
  </si>
  <si>
    <t>Inflection Point Acquisition Corp. II Unit</t>
  </si>
  <si>
    <t>IPXXW</t>
  </si>
  <si>
    <t>Inflection Point Acquisition Corp. II Warrant</t>
  </si>
  <si>
    <t>IRAA</t>
  </si>
  <si>
    <t>Iris Acquisition Corp Class A Common Stock</t>
  </si>
  <si>
    <t>IRAAW</t>
  </si>
  <si>
    <t>Iris Acquisition Corp Warrant</t>
  </si>
  <si>
    <t>IRRX</t>
  </si>
  <si>
    <t>Integrated Rail and Resources Acquisition Corp. Class A Common Stock</t>
  </si>
  <si>
    <t>ISPOW</t>
  </si>
  <si>
    <t>Inspirato Incorporated Warrant</t>
  </si>
  <si>
    <t>ISRL</t>
  </si>
  <si>
    <t>Israel Acquisitions Corp Class A Ordinary Shares</t>
  </si>
  <si>
    <t>ISRLU</t>
  </si>
  <si>
    <t>Israel Acquisitions Corp Unit</t>
  </si>
  <si>
    <t>ISRLW</t>
  </si>
  <si>
    <t>Israel Acquisitions Corp Warrant</t>
  </si>
  <si>
    <t>IVCA</t>
  </si>
  <si>
    <t>Investcorp India Acquisition Corp. Class A Ordinary Share</t>
  </si>
  <si>
    <t>IVCAW</t>
  </si>
  <si>
    <t>Investcorp India Acquisition Corp. Warrant</t>
  </si>
  <si>
    <t>IVCB</t>
  </si>
  <si>
    <t>Investcorp Europe Acquisition Corp I Class A Ordinary Shares</t>
  </si>
  <si>
    <t>IVCBW</t>
  </si>
  <si>
    <t>Investcorp Europe Acquisition Corp I Warrant</t>
  </si>
  <si>
    <t>IVCPU</t>
  </si>
  <si>
    <t>Swiftmerge Acquisition Corp. Unit</t>
  </si>
  <si>
    <t>IVCPW</t>
  </si>
  <si>
    <t>Swiftmerge Acquisition Corp. Warrants</t>
  </si>
  <si>
    <t>IXAQ</t>
  </si>
  <si>
    <t>IX Acquisition Corp. Class A Ordinary Share</t>
  </si>
  <si>
    <t>IXAQU</t>
  </si>
  <si>
    <t>IX Acquisition Corp. Unit</t>
  </si>
  <si>
    <t>JAQC</t>
  </si>
  <si>
    <t>Jupiter Acquisition Corporation Common stock</t>
  </si>
  <si>
    <t>JAQCU</t>
  </si>
  <si>
    <t>Jupiter Acquisition Corporation Units</t>
  </si>
  <si>
    <t>JAQCW</t>
  </si>
  <si>
    <t>Jupiter Acquisition Corporation Warrants</t>
  </si>
  <si>
    <t>JGGC</t>
  </si>
  <si>
    <t>Jaguar Global Growth Corporation I Class A Ordinary Shares</t>
  </si>
  <si>
    <t>JGGCR</t>
  </si>
  <si>
    <t>Jaguar Global Growth Corporation I Right</t>
  </si>
  <si>
    <t>JGGCU</t>
  </si>
  <si>
    <t>Jaguar Global Growth Corporation I Unit</t>
  </si>
  <si>
    <t>JGGCW</t>
  </si>
  <si>
    <t>Jaguar Global Growth Corporation I Warrant</t>
  </si>
  <si>
    <t>JTAIW</t>
  </si>
  <si>
    <t>Jet.AI Inc. Warrant</t>
  </si>
  <si>
    <t>JWSM</t>
  </si>
  <si>
    <t>Jaws Mustang Acquisition Corp. Class A Ordinary Shares</t>
  </si>
  <si>
    <t>KACL</t>
  </si>
  <si>
    <t>Kairous Acquisition Corp. Limited Ordinary Shares</t>
  </si>
  <si>
    <t>KACLR</t>
  </si>
  <si>
    <t>Kairous Acquisition Corp. Limited Rights</t>
  </si>
  <si>
    <t>KCGI</t>
  </si>
  <si>
    <t>Kensington Capital Acquisition Corp. V Class A Ordinary Shares</t>
  </si>
  <si>
    <t>KNSW</t>
  </si>
  <si>
    <t>KnightSwan Acquisition Corporation Class A Common Stock</t>
  </si>
  <si>
    <t>KRNL</t>
  </si>
  <si>
    <t>Kernel Group Holdings Inc. Class A Ordinary Shares</t>
  </si>
  <si>
    <t>KRNLW</t>
  </si>
  <si>
    <t>Kernel Group Holdings Inc. Warrants</t>
  </si>
  <si>
    <t>KYCH</t>
  </si>
  <si>
    <t>Keyarch Acquisition Corporation Ordinary Shares</t>
  </si>
  <si>
    <t>LBBBR</t>
  </si>
  <si>
    <t>Lakeshore Acquisition II Corp. Rights</t>
  </si>
  <si>
    <t>LBBBW</t>
  </si>
  <si>
    <t>Lakeshore Acquisition II Corp. Warrants</t>
  </si>
  <si>
    <t>LCAA</t>
  </si>
  <si>
    <t>L Catterton Asia Acquisition Corp Class A Ordinary Shares</t>
  </si>
  <si>
    <t>LCAAW</t>
  </si>
  <si>
    <t>L Catterton Asia Acquisition Corp Warrant</t>
  </si>
  <si>
    <t>LCAHW</t>
  </si>
  <si>
    <t>Landcadia Holdings IV Inc. Warrant</t>
  </si>
  <si>
    <t>LCW</t>
  </si>
  <si>
    <t>Learn CW Investment Corporation Class A Ordinary Shares</t>
  </si>
  <si>
    <t>LGSTW</t>
  </si>
  <si>
    <t>Semper Paratus Acquisition Corporation Warrant</t>
  </si>
  <si>
    <t>LIBY</t>
  </si>
  <si>
    <t>Liberty Resources Acquisition Corp. Class A Common Stock</t>
  </si>
  <si>
    <t>LIBYW</t>
  </si>
  <si>
    <t>Liberty Resources Acquisition Corp. Warrant</t>
  </si>
  <si>
    <t>LIVB</t>
  </si>
  <si>
    <t>LIV Capital Acquisition Corp. II Class A Ordinary Shares</t>
  </si>
  <si>
    <t>LOCC</t>
  </si>
  <si>
    <t>Live Oak Crestview Climate Acquisition Corp. Class A Common Stock</t>
  </si>
  <si>
    <t>MACA</t>
  </si>
  <si>
    <t>Moringa Acquisition Corp Class A Ordinary Shares</t>
  </si>
  <si>
    <t>MACAU</t>
  </si>
  <si>
    <t>Moringa Acquisition Corp Units</t>
  </si>
  <si>
    <t>MAQC</t>
  </si>
  <si>
    <t>Maquia Capital Acquisition Corporation Class A Common Stock</t>
  </si>
  <si>
    <t>MAQCW</t>
  </si>
  <si>
    <t>Maquia Capital Acquisition Corporation Warrant</t>
  </si>
  <si>
    <t>MARX</t>
  </si>
  <si>
    <t>Mars Acquisition Corp. Ordinary Shares</t>
  </si>
  <si>
    <t>MARXR</t>
  </si>
  <si>
    <t>Mars Acquisition Corp. Rights</t>
  </si>
  <si>
    <t>MBTC</t>
  </si>
  <si>
    <t>Nocturne Acquisition Corporation Ordinary Shares</t>
  </si>
  <si>
    <t>MCAA</t>
  </si>
  <si>
    <t>Mountain &amp; Co. I Acquisition Corp. Class A Ordinary Shares</t>
  </si>
  <si>
    <t>MCAC</t>
  </si>
  <si>
    <t>Monterey Capital Acquisition Corporation Class A Common Stock</t>
  </si>
  <si>
    <t>MCACR</t>
  </si>
  <si>
    <t>Monterey Capital Acquisition Corporation Rights</t>
  </si>
  <si>
    <t>MCACW</t>
  </si>
  <si>
    <t>Monterey Capital Acquisition Corporation Warrants</t>
  </si>
  <si>
    <t>MCAF</t>
  </si>
  <si>
    <t>Mountain Crest Acquisition Corp. IV Common Stock</t>
  </si>
  <si>
    <t>MCAFR</t>
  </si>
  <si>
    <t>Mountain Crest Acquisition Corp. IV Rights</t>
  </si>
  <si>
    <t>MITA</t>
  </si>
  <si>
    <t>Coliseum Acquisition Corp. Class A Ordinary Share</t>
  </si>
  <si>
    <t>MLEC</t>
  </si>
  <si>
    <t>Moolec Science SA Ordinary Shares</t>
  </si>
  <si>
    <t>MLECW</t>
  </si>
  <si>
    <t>Moolec Science SA Warrant</t>
  </si>
  <si>
    <t>MNTN</t>
  </si>
  <si>
    <t>Everest Consolidator Acquisition Corporation Class A Common Stock</t>
  </si>
  <si>
    <t>MOBV</t>
  </si>
  <si>
    <t>Mobiv Acquisition Corp Class A Common Stock</t>
  </si>
  <si>
    <t>MOBVU</t>
  </si>
  <si>
    <t>Mobiv Acquisition Corp Unit</t>
  </si>
  <si>
    <t>MOBVW</t>
  </si>
  <si>
    <t>Mobiv Acquisition Corp Warrant</t>
  </si>
  <si>
    <t>MSSA</t>
  </si>
  <si>
    <t>Metal Sky Star Acquisition Corporation Ordinary shares</t>
  </si>
  <si>
    <t>MSSAU</t>
  </si>
  <si>
    <t>Metal Sky Star Acquisition Corporation Unit</t>
  </si>
  <si>
    <t>MTAL</t>
  </si>
  <si>
    <t>Metals Acquisition Limited Ordinary Shares</t>
  </si>
  <si>
    <t>MTRY</t>
  </si>
  <si>
    <t>Monterey Innovation Acquisition Corp. Common Stock</t>
  </si>
  <si>
    <t>MTRYW</t>
  </si>
  <si>
    <t>Monterey Innovation Acquisition Corp. Warrant</t>
  </si>
  <si>
    <t>NBST</t>
  </si>
  <si>
    <t>Newbury Street Acquisition Corporation Common Stock</t>
  </si>
  <si>
    <t>NBSTW</t>
  </si>
  <si>
    <t>Newbury Street Acquisition Corporation Warrants</t>
  </si>
  <si>
    <t>NCAC</t>
  </si>
  <si>
    <t>Newcourt Acquisition Corp Class A Ordinary Share</t>
  </si>
  <si>
    <t>NCACU</t>
  </si>
  <si>
    <t>Newcourt Acquisition Corp Unit</t>
  </si>
  <si>
    <t>NCACW</t>
  </si>
  <si>
    <t>Newcourt Acquisition Corp Warrant</t>
  </si>
  <si>
    <t>NFYS</t>
  </si>
  <si>
    <t>Enphys Acquisition Corp. Class A Ordinary Shares</t>
  </si>
  <si>
    <t>NOVV</t>
  </si>
  <si>
    <t>Nova Vision Acquisition Corp. Ordinary share</t>
  </si>
  <si>
    <t>NOVVW</t>
  </si>
  <si>
    <t>Nova Vision Acquisition Corp. Warrant</t>
  </si>
  <si>
    <t>NPAB</t>
  </si>
  <si>
    <t>New Providence Acquisition Corp. II Class A Common Stock</t>
  </si>
  <si>
    <t>NRAC</t>
  </si>
  <si>
    <t>Northern Revival Acquisition Corporation Class A Ordinary Share</t>
  </si>
  <si>
    <t>NRACU</t>
  </si>
  <si>
    <t>Northern Revival Acquisition Corporation Unit</t>
  </si>
  <si>
    <t>NUBI</t>
  </si>
  <si>
    <t>Nubia Brand International Corp. Class A Common Stock</t>
  </si>
  <si>
    <t>NUBIU</t>
  </si>
  <si>
    <t>Nubia Brand International Corp. Unit</t>
  </si>
  <si>
    <t>OAKU</t>
  </si>
  <si>
    <t>Oak Woods Acquisition Corporation Class A Ordinary Shares</t>
  </si>
  <si>
    <t>OAKUW</t>
  </si>
  <si>
    <t>Oak Woods Acquisition Corporation Warrant</t>
  </si>
  <si>
    <t>OCAX</t>
  </si>
  <si>
    <t>OCA Acquisition Corp. Class A Common Stock</t>
  </si>
  <si>
    <t>OCAXU</t>
  </si>
  <si>
    <t>OCA Acquisition Corp. Unit</t>
  </si>
  <si>
    <t>OCAXW</t>
  </si>
  <si>
    <t>OCA Acquisition Corp. Warrant</t>
  </si>
  <si>
    <t>OHAA</t>
  </si>
  <si>
    <t>OPY Acquisition Corp. I Class A Common Stock</t>
  </si>
  <si>
    <t>OHAAU</t>
  </si>
  <si>
    <t>OPY Acquisition Corp. I Units</t>
  </si>
  <si>
    <t>OHAAW</t>
  </si>
  <si>
    <t>OPY Acquisition Corp. I Warrant</t>
  </si>
  <si>
    <t>ONYX</t>
  </si>
  <si>
    <t>Onyx Acquisition Co. I Class A Ordinary Shares</t>
  </si>
  <si>
    <t>ONYXW</t>
  </si>
  <si>
    <t>Onyx Acquisition Co. I Warrant</t>
  </si>
  <si>
    <t>OPTX</t>
  </si>
  <si>
    <t>Syntec Optics Holdings Inc. Class A Common Stock</t>
  </si>
  <si>
    <t>OPTXW</t>
  </si>
  <si>
    <t>Syntec Optics Holdings Inc. Warrant</t>
  </si>
  <si>
    <t>OTEC</t>
  </si>
  <si>
    <t>OceanTech Acquisitions I Corp. Class A Common Stock</t>
  </si>
  <si>
    <t>OXSQZ</t>
  </si>
  <si>
    <t>Oxford Square Capital Corp. 6.25% Notes due 2026</t>
  </si>
  <si>
    <t>OXUS</t>
  </si>
  <si>
    <t>Oxus Acquisition Corp. Class A Ordinary Shares</t>
  </si>
  <si>
    <t>OXUSW</t>
  </si>
  <si>
    <t>Oxus Acquisition Corp. Warrant</t>
  </si>
  <si>
    <t>PACI</t>
  </si>
  <si>
    <t>PROOF Acquisition Corp I Class A Common Stock</t>
  </si>
  <si>
    <t>PEGR</t>
  </si>
  <si>
    <t>Project Energy Reimagined Acquisition Corp. Class A Ordinary Share</t>
  </si>
  <si>
    <t>PEGRU</t>
  </si>
  <si>
    <t>Project Energy Reimagined Acquisition Corp. Unit</t>
  </si>
  <si>
    <t>PEGRW</t>
  </si>
  <si>
    <t>Project Energy Reimagined Acquisition Corp. Warrant</t>
  </si>
  <si>
    <t>PEPL</t>
  </si>
  <si>
    <t>PepperLime Health Acquisition Corporation Class A Ordinary Share</t>
  </si>
  <si>
    <t>PEPLW</t>
  </si>
  <si>
    <t>PepperLime Health Acquisition Corporation Warrrant</t>
  </si>
  <si>
    <t>PFTA</t>
  </si>
  <si>
    <t>Perception Capital Corp. III Class A Ordinary Share</t>
  </si>
  <si>
    <t>PFTAU</t>
  </si>
  <si>
    <t>Perception Capital Corp. III Unit</t>
  </si>
  <si>
    <t>PFTAW</t>
  </si>
  <si>
    <t>Perception Capital Corp. III Warrant</t>
  </si>
  <si>
    <t>PGSS</t>
  </si>
  <si>
    <t>Pegasus Digital Mobility Acquisition Corp. Class A Ordinary Shares</t>
  </si>
  <si>
    <t>PHYT</t>
  </si>
  <si>
    <t>Pyrophyte Acquisition Corp. Class A Ordinary Shares</t>
  </si>
  <si>
    <t>PLAO</t>
  </si>
  <si>
    <t>Patria Latin American Opportunity Acquisition Corp. Class A Ordinary Shares</t>
  </si>
  <si>
    <t>PLAOU</t>
  </si>
  <si>
    <t>Patria Latin American Opportunity Acquisition Corp. Unit</t>
  </si>
  <si>
    <t>PLAOW</t>
  </si>
  <si>
    <t>Patria Latin American Opportunity Acquisition Corp. Warrant</t>
  </si>
  <si>
    <t>PLMI</t>
  </si>
  <si>
    <t>Plum Acquisition Corp. I Class A Ordinary Share</t>
  </si>
  <si>
    <t>PLMIU</t>
  </si>
  <si>
    <t>Plum Acquisition Corp. I Units</t>
  </si>
  <si>
    <t>PLMIW</t>
  </si>
  <si>
    <t>Plum Acquisition Corp. I Warrant</t>
  </si>
  <si>
    <t>PLTN</t>
  </si>
  <si>
    <t>Plutonian Acquisition Corp. Common Stock</t>
  </si>
  <si>
    <t>PLTNU</t>
  </si>
  <si>
    <t>Plutonian Acquisition Corp. Unit</t>
  </si>
  <si>
    <t>PLTNW</t>
  </si>
  <si>
    <t>Plutonian Acquisition Corp. Warrant</t>
  </si>
  <si>
    <t>PMGM</t>
  </si>
  <si>
    <t>Priveterra Acquisition Corp. II Class A Common Stock</t>
  </si>
  <si>
    <t>PORT</t>
  </si>
  <si>
    <t>Southport Acquisition Corporation Class A Common Stock</t>
  </si>
  <si>
    <t>PPHP</t>
  </si>
  <si>
    <t>PHP Ventures Acquisition Corp. Class A Common Stock</t>
  </si>
  <si>
    <t>PPHPU</t>
  </si>
  <si>
    <t>PHP Ventures Acquisition Corp. Units</t>
  </si>
  <si>
    <t>PPHPW</t>
  </si>
  <si>
    <t>PHP Ventures Acquisition Corp. Warrants</t>
  </si>
  <si>
    <t>PRLH</t>
  </si>
  <si>
    <t>Pearl Holdings Acquisition Corp Class A Ordinary Shares</t>
  </si>
  <si>
    <t>PRLHU</t>
  </si>
  <si>
    <t>Pearl Holdings Acquisition Corp Unit</t>
  </si>
  <si>
    <t>PRLHW</t>
  </si>
  <si>
    <t>Pearl Holdings Acquisition Corp Warrant</t>
  </si>
  <si>
    <t>PRSR</t>
  </si>
  <si>
    <t>Prospector Capital Corp. Class A Ordinary Shares</t>
  </si>
  <si>
    <t>PRSRU</t>
  </si>
  <si>
    <t>Prospector Capital Corp. Unit</t>
  </si>
  <si>
    <t>PRSRW</t>
  </si>
  <si>
    <t>Prospector Capital Corp. Warrants</t>
  </si>
  <si>
    <t>PTHR</t>
  </si>
  <si>
    <t>Pono Capital Three Inc. Class A Ordinary Shares</t>
  </si>
  <si>
    <t>PTHRU</t>
  </si>
  <si>
    <t>Pono Capital Three Inc. Unit</t>
  </si>
  <si>
    <t>PTHRW</t>
  </si>
  <si>
    <t>Pono Capital Three Inc. Warrant</t>
  </si>
  <si>
    <t>PTWO</t>
  </si>
  <si>
    <t>Pono Capital Two Inc. Class A Common Stock</t>
  </si>
  <si>
    <t>PUCK</t>
  </si>
  <si>
    <t>Goal Acquisitions Corp. Common Stock</t>
  </si>
  <si>
    <t>PUCKW</t>
  </si>
  <si>
    <t>Goal Acquisitions Corp. Warrant</t>
  </si>
  <si>
    <t>PWUP</t>
  </si>
  <si>
    <t>PowerUp Acquisition Corp. Class A Ordinary Shares</t>
  </si>
  <si>
    <t>PWUPU</t>
  </si>
  <si>
    <t>PowerUp Acquisition Corp. Unit</t>
  </si>
  <si>
    <t>PWUPW</t>
  </si>
  <si>
    <t>PowerUp Acquisition Corp. Warrant</t>
  </si>
  <si>
    <t>QDRO</t>
  </si>
  <si>
    <t>Quadro Acquisition One Corp. Class A Ordinary Shares</t>
  </si>
  <si>
    <t>QDROW</t>
  </si>
  <si>
    <t>Quadro Acquisition One Corp.  Warrant</t>
  </si>
  <si>
    <t>QFTA</t>
  </si>
  <si>
    <t>Quantum FinTech Acquisition Corporation Common Stock</t>
  </si>
  <si>
    <t>RCAC</t>
  </si>
  <si>
    <t>Revelstone Capital Acquisition Corp. Class A Common Stock</t>
  </si>
  <si>
    <t>RCACW</t>
  </si>
  <si>
    <t>Revelstone Capital Acquisition Corp. Warrant</t>
  </si>
  <si>
    <t>RCFA</t>
  </si>
  <si>
    <t>RCF Acquisition Corp. Class A Ordinary Shares</t>
  </si>
  <si>
    <t>RENE</t>
  </si>
  <si>
    <t>Cartesian Growth Corporation II Class A Ordinary Shares</t>
  </si>
  <si>
    <t>RENEU</t>
  </si>
  <si>
    <t>Cartesian Growth Corporation II Unit</t>
  </si>
  <si>
    <t>RENEW</t>
  </si>
  <si>
    <t>Cartesian Growth Corporation II Warrant</t>
  </si>
  <si>
    <t>RFAC</t>
  </si>
  <si>
    <t>RF Acquisition Corp. Class A Common Stock</t>
  </si>
  <si>
    <t>RFACW</t>
  </si>
  <si>
    <t>RF Acquisition Corp. Warrants</t>
  </si>
  <si>
    <t>RMGC</t>
  </si>
  <si>
    <t>RMG Acquisition Corp. III Class A Ordinary Shares</t>
  </si>
  <si>
    <t>RMGCU</t>
  </si>
  <si>
    <t>RMG Acquisition Corp. III Unit</t>
  </si>
  <si>
    <t>RMGCW</t>
  </si>
  <si>
    <t>RMG Acquisition Corp. III Warrant</t>
  </si>
  <si>
    <t>ROCL</t>
  </si>
  <si>
    <t>Roth CH Acquisition V Co. Common Stock</t>
  </si>
  <si>
    <t>ROCLW</t>
  </si>
  <si>
    <t>Roth CH Acquisition V Co. Warrant</t>
  </si>
  <si>
    <t>ROSS</t>
  </si>
  <si>
    <t>Ross Acquisition Corp II Class A Ordinary Shares</t>
  </si>
  <si>
    <t>RRAC</t>
  </si>
  <si>
    <t>Rigel Resource Acquisition Corp. Class A Ordinary Shares</t>
  </si>
  <si>
    <t>RWOD</t>
  </si>
  <si>
    <t>Redwoods Acquisition Corp. Common Stock</t>
  </si>
  <si>
    <t>RWODR</t>
  </si>
  <si>
    <t>Redwoods Acquisition Corp. Rights</t>
  </si>
  <si>
    <t>RWODW</t>
  </si>
  <si>
    <t>Redwoods Acquisition Corp. Warrants</t>
  </si>
  <si>
    <t>SAGA</t>
  </si>
  <si>
    <t>Sagaliam Acquisition Corp. Class A Common Stock</t>
  </si>
  <si>
    <t>SAGAR</t>
  </si>
  <si>
    <t>Sagaliam Acquisition Corp. Rights</t>
  </si>
  <si>
    <t>SBXC</t>
  </si>
  <si>
    <t>SilverBox Corp III Class A Common Stock</t>
  </si>
  <si>
    <t>SCRM</t>
  </si>
  <si>
    <t>Screaming Eagle Acquisition Corp. Class A Ordinary Shares</t>
  </si>
  <si>
    <t>SCRMU</t>
  </si>
  <si>
    <t>Screaming Eagle Acquisition Corp. Unit</t>
  </si>
  <si>
    <t>SCRMW</t>
  </si>
  <si>
    <t>Screaming Eagle Acquisition Corp. Warrant</t>
  </si>
  <si>
    <t>SEDA</t>
  </si>
  <si>
    <t>SDCL EDGE Acquisition Corporation Class A Ordinary Shares</t>
  </si>
  <si>
    <t>SEPA</t>
  </si>
  <si>
    <t>SEP Acquisition Corp Class A Common Stock</t>
  </si>
  <si>
    <t>SEPAW</t>
  </si>
  <si>
    <t>SEP Acquisition Corp Warrants</t>
  </si>
  <si>
    <t>SGII</t>
  </si>
  <si>
    <t>Seaport Global Acquisition II Corp. Class A Common Stock</t>
  </si>
  <si>
    <t>SGIIW</t>
  </si>
  <si>
    <t>Seaport Global Acquisition II Corp. Warrants</t>
  </si>
  <si>
    <t>SKGR</t>
  </si>
  <si>
    <t>SK Growth Opportunities Corporation Class A Common Stock</t>
  </si>
  <si>
    <t>SKGRU</t>
  </si>
  <si>
    <t>SK Growth Opportunities Corporation Unit</t>
  </si>
  <si>
    <t>SKGRW</t>
  </si>
  <si>
    <t>SK Growth Opportunities Corporation Warrant</t>
  </si>
  <si>
    <t>SLAM</t>
  </si>
  <si>
    <t>Slam Corp. Class A Ordinary Share</t>
  </si>
  <si>
    <t>SLAMU</t>
  </si>
  <si>
    <t>Slam Corp. Unit</t>
  </si>
  <si>
    <t>SLAMW</t>
  </si>
  <si>
    <t>Slam Corp. warrant</t>
  </si>
  <si>
    <t>SLNAW</t>
  </si>
  <si>
    <t>Selina Hospitality PLC Warrant</t>
  </si>
  <si>
    <t>SMAP</t>
  </si>
  <si>
    <t>SportsMap Tech Acquisition Corp. Common Stock</t>
  </si>
  <si>
    <t>SUAC</t>
  </si>
  <si>
    <t>ShoulderUp Technology Acquisition Corp. Class A Common Stock</t>
  </si>
  <si>
    <t>SVII</t>
  </si>
  <si>
    <t>Spring Valley Acquisition Corp. II Class A Ordinary Shares</t>
  </si>
  <si>
    <t>SVIIU</t>
  </si>
  <si>
    <t>Spring Valley Acquisition Corp. II Unit</t>
  </si>
  <si>
    <t>SWSS</t>
  </si>
  <si>
    <t>Clean Energy Special Situations Corp. Common stock</t>
  </si>
  <si>
    <t>SZZL</t>
  </si>
  <si>
    <t>Sizzle Acquisition Corp. Common stock</t>
  </si>
  <si>
    <t>SZZLU</t>
  </si>
  <si>
    <t>Sizzle Acquisition Corp. Unit</t>
  </si>
  <si>
    <t>SZZLW</t>
  </si>
  <si>
    <t>Sizzle Acquisition Corp. Warrant</t>
  </si>
  <si>
    <t>TBCP</t>
  </si>
  <si>
    <t>Thunder Bridge Capital Partners III Inc. Class A Common Stock</t>
  </si>
  <si>
    <t>TBCPW</t>
  </si>
  <si>
    <t>Thunder Bridge Capital Partners III Inc. Warrant</t>
  </si>
  <si>
    <t>TBMC</t>
  </si>
  <si>
    <t>Trailblazer Merger Corporation I Class A Common Stock</t>
  </si>
  <si>
    <t>TBMCR</t>
  </si>
  <si>
    <t>Trailblazer Merger Corporation I Rights</t>
  </si>
  <si>
    <t>TCOA</t>
  </si>
  <si>
    <t>Zalatoris Acquisition Corp. Class A Common Stock</t>
  </si>
  <si>
    <t>TENK</t>
  </si>
  <si>
    <t>TenX Keane Acquisition Ordinary Share</t>
  </si>
  <si>
    <t>TENKR</t>
  </si>
  <si>
    <t>TenX Keane Acquisition Right</t>
  </si>
  <si>
    <t>TENKU</t>
  </si>
  <si>
    <t>TenX Keane Acquisition Unit</t>
  </si>
  <si>
    <t>TETE</t>
  </si>
  <si>
    <t>Technology &amp; Telecommunication Acquisition Corporation Class A Ordinary Shares</t>
  </si>
  <si>
    <t>TETEU</t>
  </si>
  <si>
    <t>Technology &amp; Telecommunication Acquisition Corporation Unit</t>
  </si>
  <si>
    <t>TGAA</t>
  </si>
  <si>
    <t>Target Global Acquisition I Corp. Class A Ordinary Share</t>
  </si>
  <si>
    <t>TGAAU</t>
  </si>
  <si>
    <t>Target Global Acquisition I Corp. Unit</t>
  </si>
  <si>
    <t>TGAAW</t>
  </si>
  <si>
    <t>Target Global Acquisition I Corp. Warrant</t>
  </si>
  <si>
    <t>TGVC</t>
  </si>
  <si>
    <t>TG Venture Acquisition Corp. Class A Common Stock</t>
  </si>
  <si>
    <t>TGVCU</t>
  </si>
  <si>
    <t>TG Venture Acquisition Corp. Units</t>
  </si>
  <si>
    <t>TGVCW</t>
  </si>
  <si>
    <t>TG Venture Acquisition Corp. Warrants</t>
  </si>
  <si>
    <t>TLGY</t>
  </si>
  <si>
    <t>TLGY Acquisition Corporation Class A Ordinary Share</t>
  </si>
  <si>
    <t>TLGYW</t>
  </si>
  <si>
    <t>TLGY Acquisition Corporation Warrant</t>
  </si>
  <si>
    <t>TMTC</t>
  </si>
  <si>
    <t>TMT Acquisition Corp Ordinary Shares</t>
  </si>
  <si>
    <t>TRIS</t>
  </si>
  <si>
    <t>Tristar Acquisition I Corp. Class A Ordinary Shares</t>
  </si>
  <si>
    <t>TRON</t>
  </si>
  <si>
    <t>Corner Growth Acquisition Corp. 2 Class A Ordinary Share</t>
  </si>
  <si>
    <t>TRONW</t>
  </si>
  <si>
    <t>Corner Growth Acquisition Corp. 2 Warrants</t>
  </si>
  <si>
    <t>TRTL</t>
  </si>
  <si>
    <t>TortoiseEcofin Acquisition Corp. III Class A Ordinary Shares</t>
  </si>
  <si>
    <t>TWLV</t>
  </si>
  <si>
    <t>Twelve Seas Investment Company II Class A Common Stock</t>
  </si>
  <si>
    <t>TWLVW</t>
  </si>
  <si>
    <t>Twelve Seas Investment Company II Warrant</t>
  </si>
  <si>
    <t>USCT</t>
  </si>
  <si>
    <t>Roth CH Acquisition Co. Class A Ordinary Shares</t>
  </si>
  <si>
    <t>VAQC</t>
  </si>
  <si>
    <t>Vector Acquisition Corporation II Class A Ordinary Shares</t>
  </si>
  <si>
    <t>VII</t>
  </si>
  <si>
    <t>7GC &amp; Co. Holdings Inc. Class A common stock</t>
  </si>
  <si>
    <t>VIIAU</t>
  </si>
  <si>
    <t>7GC &amp; Co. Holdings Inc. Unit</t>
  </si>
  <si>
    <t>VIIAW</t>
  </si>
  <si>
    <t>7GC &amp; Co. Holdings Inc. Warrant</t>
  </si>
  <si>
    <t>VMCA</t>
  </si>
  <si>
    <t>Valuence Merger Corp. I Class A Ordinary Shares</t>
  </si>
  <si>
    <t>VMCAU</t>
  </si>
  <si>
    <t>Valuence Merger Corp. I Unit</t>
  </si>
  <si>
    <t>VMCAW</t>
  </si>
  <si>
    <t>Valuence Merger Corp. I Warrant</t>
  </si>
  <si>
    <t>VSAC</t>
  </si>
  <si>
    <t>Vision Sensing Acquisition Corp. Class A Common Stock</t>
  </si>
  <si>
    <t>VSACW</t>
  </si>
  <si>
    <t>Vision Sensing Acquisition Corp. Warrants</t>
  </si>
  <si>
    <t>WEL</t>
  </si>
  <si>
    <t>Integrated Wellness Acquisition Corp Class A Ordinary Shares</t>
  </si>
  <si>
    <t>WINV</t>
  </si>
  <si>
    <t>WinVest Acquisition Corp. Common Stock</t>
  </si>
  <si>
    <t>WNNR</t>
  </si>
  <si>
    <t>Andretti Acquisition Corp. Class A Ordinary Shares</t>
  </si>
  <si>
    <t>WRAC</t>
  </si>
  <si>
    <t>Williams Rowland Acquisition Corp. Common Stock</t>
  </si>
  <si>
    <t>XFIN</t>
  </si>
  <si>
    <t>ExcelFin Acquisition Corp Class A Common Stock</t>
  </si>
  <si>
    <t>XFINU</t>
  </si>
  <si>
    <t>ExcelFin Acquisition Corp Unit</t>
  </si>
  <si>
    <t>XFINW</t>
  </si>
  <si>
    <t>ExcelFin Acquisition Corp Warrant</t>
  </si>
  <si>
    <t>XPDB</t>
  </si>
  <si>
    <t>Power &amp; Digital Infrastructure Acquisition II Corp. Class A Common Stock</t>
  </si>
  <si>
    <t>ZLS</t>
  </si>
  <si>
    <t>Zalatoris II Acquisition Corp Class A Ordinary Shares</t>
  </si>
  <si>
    <t>ZLSWW</t>
  </si>
  <si>
    <t>Zalatoris II Acquisition Corp Warrant</t>
  </si>
  <si>
    <t>CCZ</t>
  </si>
  <si>
    <t>Comcast Holdings ZONES</t>
  </si>
  <si>
    <t>MBNKP</t>
  </si>
  <si>
    <t>Medallion Bank Fixed-to-Floating Rate Non-Cumulative Perpetual Preferred Stock Series F</t>
  </si>
  <si>
    <t>AOGO</t>
  </si>
  <si>
    <t>Arogo Capital Acquisition Corp. Class A Common Stock</t>
  </si>
  <si>
    <t>AOGOU</t>
  </si>
  <si>
    <t>Arogo Capital Acquisition Corp. Unit</t>
  </si>
  <si>
    <t>AOGOW</t>
  </si>
  <si>
    <t>Arogo Capital Acquisition Corp. Warrant</t>
  </si>
  <si>
    <t>DMAQ</t>
  </si>
  <si>
    <t>Deep Medicine Acquisition Corp. Class A Common Stock</t>
  </si>
  <si>
    <t>GLLI</t>
  </si>
  <si>
    <t>Globalink Investment Inc. Common Stock</t>
  </si>
  <si>
    <t>GLLIW</t>
  </si>
  <si>
    <t>Globalink Investment Inc. Warrants</t>
  </si>
  <si>
    <t>GLST</t>
  </si>
  <si>
    <t>Global Star Acquisition Inc. Class A Common Stock</t>
  </si>
  <si>
    <t>NETC</t>
  </si>
  <si>
    <t>Nabors Energy Transition Corp. Class A Common Stock</t>
  </si>
  <si>
    <t>PBAX</t>
  </si>
  <si>
    <t>Phoenix Biotech Acquisition Corp. Class A Common Stock</t>
  </si>
  <si>
    <t>PBAXW</t>
  </si>
  <si>
    <t>Phoenix Biotech Acquisition Corp. Warrants</t>
  </si>
  <si>
    <t>THCPU</t>
  </si>
  <si>
    <t>Thunder Bridge Capital Partners IV Inc. Unit</t>
  </si>
  <si>
    <t>NRUC</t>
  </si>
  <si>
    <t>National Rural Utilities Cooperative Finance Corporation 5.500% Subordinated Notes due 2064 (Subordinated Deferrable Interest Notes)</t>
  </si>
  <si>
    <t>GDEVW</t>
  </si>
  <si>
    <t>GDEV Inc. Warrant</t>
  </si>
  <si>
    <t>WAVS</t>
  </si>
  <si>
    <t>Western Acquisition Ventures Corp. Common Stock</t>
  </si>
  <si>
    <t>WAVSU</t>
  </si>
  <si>
    <t>Western Acquisition Ventures Corp. Unit</t>
  </si>
  <si>
    <t>WAVSW</t>
  </si>
  <si>
    <t>Western Acquisition Ventures Corp. Warrant</t>
  </si>
  <si>
    <t>BHK</t>
  </si>
  <si>
    <t>Blackrock Core Bond Trust</t>
  </si>
  <si>
    <t>CEE</t>
  </si>
  <si>
    <t>The Central and Eastern Europe Fund Inc. (The) Common Stock</t>
  </si>
  <si>
    <t>DHF</t>
  </si>
  <si>
    <t>BNY Mellon High Yield Strategies Fund Common Stock</t>
  </si>
  <si>
    <t>DIAX</t>
  </si>
  <si>
    <t>Nuveen Dow 30SM Dynamic Overwrite Fund Common Shares of Beneficial Interest</t>
  </si>
  <si>
    <t>DSU</t>
  </si>
  <si>
    <t>Blackrock Debt Strategies Fund Inc. Common Stock</t>
  </si>
  <si>
    <t>EDD</t>
  </si>
  <si>
    <t>Morgan Stanley Emerging Markets Domestic Debt Fund Inc. Common Stock</t>
  </si>
  <si>
    <t>EDI</t>
  </si>
  <si>
    <t>Virtus Stone Harbor Emerging Markets Total Income Fund Common Shares of Beneficial Interest</t>
  </si>
  <si>
    <t>ETJ</t>
  </si>
  <si>
    <t>Eaton Vance Risk-Managed Diversified Equity Income Fund Common Shares of Beneficial Interest</t>
  </si>
  <si>
    <t>ETY</t>
  </si>
  <si>
    <t>Eaton Vance Tax-Managed Diversified Equity Income Fund Common Shares of Beneficial Interest</t>
  </si>
  <si>
    <t>EVT</t>
  </si>
  <si>
    <t>Eaton Vance Tax Advantaged Dividend Income Fund Common Shares of Beneficial Interest</t>
  </si>
  <si>
    <t>EXG</t>
  </si>
  <si>
    <t>Eaton Vance Tax-Managed Global Diversified Equity Income Fund Common Shares of Beneficial Interest</t>
  </si>
  <si>
    <t>FCT</t>
  </si>
  <si>
    <t>First Trust Senior Floating Rate Income Fund II Common Shares of Beneficial Interest</t>
  </si>
  <si>
    <t>GDO</t>
  </si>
  <si>
    <t>Western Asset Global Corporate Defined Opportunity Fund Inc.</t>
  </si>
  <si>
    <t>GIM</t>
  </si>
  <si>
    <t>Templeton Global Income Fund Inc. Common Stock</t>
  </si>
  <si>
    <t>HPF</t>
  </si>
  <si>
    <t>John Hancock Pfd Income Fund II Pfd Income Fund II</t>
  </si>
  <si>
    <t>HTD</t>
  </si>
  <si>
    <t>John Hancock Tax Advantaged Dividend Income Fund Common Shares of Beneficial Interest</t>
  </si>
  <si>
    <t>HYT</t>
  </si>
  <si>
    <t>Blackrock Corporate High Yield Fund Inc. Common Stock</t>
  </si>
  <si>
    <t>IGR</t>
  </si>
  <si>
    <t>CBRE Global Real Estate Income Fund Common Shares of Beneficial Interest</t>
  </si>
  <si>
    <t>JQC</t>
  </si>
  <si>
    <t>Nuveen Credit Strategies Income Fund Shares of Beneficial Interest</t>
  </si>
  <si>
    <t>JRI</t>
  </si>
  <si>
    <t>Nuveen Real Asset Income and Growth Fund Common Shares of Beneficial Interest</t>
  </si>
  <si>
    <t>LDP</t>
  </si>
  <si>
    <t>Cohen &amp; Steers Limited Duration Preferred and Income Fund Inc.</t>
  </si>
  <si>
    <t>MAV</t>
  </si>
  <si>
    <t>Pioneer Municipal High Income Advantage Fund Inc.</t>
  </si>
  <si>
    <t>MPA</t>
  </si>
  <si>
    <t>Blackrock MuniYield Pennsylvania Quality Fund Common Stock</t>
  </si>
  <si>
    <t>MXE</t>
  </si>
  <si>
    <t>Mexico Equity and Income Fund Inc. (The) Common Stock</t>
  </si>
  <si>
    <t>MYN</t>
  </si>
  <si>
    <t>Blackrock MuniYield New York Quality Fund Inc.Common Stock</t>
  </si>
  <si>
    <t>NBB</t>
  </si>
  <si>
    <t>Nuveen Taxable Municipal Income Fund Common Shares of Beneficial Interest</t>
  </si>
  <si>
    <t>NMS</t>
  </si>
  <si>
    <t>Nuveen Minnesota Quality Municipal Income Fund</t>
  </si>
  <si>
    <t>NTG</t>
  </si>
  <si>
    <t>Tortoise Midstream Energy Fund Inc. Common Stock</t>
  </si>
  <si>
    <t>NZF</t>
  </si>
  <si>
    <t>PDT</t>
  </si>
  <si>
    <t>PFL</t>
  </si>
  <si>
    <t>PIMCO Income Strategy Fund Shares of Beneficial Interest</t>
  </si>
  <si>
    <t>PFO</t>
  </si>
  <si>
    <t>Flaherty &amp; Crumrine Preferred and Income Opportunity Fund Incorporated</t>
  </si>
  <si>
    <t>PGP</t>
  </si>
  <si>
    <t>Pimco Global StocksPlus &amp; Income Fund Common Shares of Beneficial Interest</t>
  </si>
  <si>
    <t>PNF</t>
  </si>
  <si>
    <t>PIMCO New York Municipal Income Fund Common Stock</t>
  </si>
  <si>
    <t>RIV</t>
  </si>
  <si>
    <t>RiverNorth Opportunities Fund Inc. Common Stock</t>
  </si>
  <si>
    <t>SRV</t>
  </si>
  <si>
    <t>NXG Cushing Midstream Energy Fund Common Shares of Beneficial Interest</t>
  </si>
  <si>
    <t>SWZ</t>
  </si>
  <si>
    <t>Swiss Helvetia Fund Inc. (The) Common Stock</t>
  </si>
  <si>
    <t>TEI</t>
  </si>
  <si>
    <t>Templeton Emerging Markets Income Fund Inc. Common Stock</t>
  </si>
  <si>
    <t>THQ</t>
  </si>
  <si>
    <t>abrdn Healthcare Opportunities Fund Shares of Beneficial Interest</t>
  </si>
  <si>
    <t>THW</t>
  </si>
  <si>
    <t>abrdn World Healthcare Fund Shares of Beneficial Interest</t>
  </si>
  <si>
    <t>USA</t>
  </si>
  <si>
    <t>Liberty All-Star Equity Fund Common Stock</t>
  </si>
  <si>
    <t>UTF</t>
  </si>
  <si>
    <t>Cohen &amp; Steers Infrastructure Fund Inc Common Stock</t>
  </si>
  <si>
    <t>WIW</t>
  </si>
  <si>
    <t>Western Asset Inflation-Linked Opportunities &amp; Income Fund</t>
  </si>
  <si>
    <t>JBK</t>
  </si>
  <si>
    <t>Lehman ABS 3.50 3.50% Adjustable Corp Backed Tr Certs GS Cap I</t>
  </si>
  <si>
    <t>KTN</t>
  </si>
  <si>
    <t>Structured Products Corp 8.205% CorTS 8.205% Corporate Backed Trust Securities (CorTS)</t>
  </si>
  <si>
    <t>NFJ</t>
  </si>
  <si>
    <t>Virtus Dividend Interest &amp; Premium Strategy Fund Common Shares of Beneficial Interest</t>
  </si>
  <si>
    <t>PYT</t>
  </si>
  <si>
    <t>PPlus Tr GSC-2 Tr Ctf Fltg Rate</t>
  </si>
  <si>
    <t>BHV</t>
  </si>
  <si>
    <t>BLE</t>
  </si>
  <si>
    <t>BWG</t>
  </si>
  <si>
    <t>BrandywineGLOBAL Global Income Opportunities Fund Inc.</t>
  </si>
  <si>
    <t>CCIF</t>
  </si>
  <si>
    <t>Carlyle Credit Income Fund Shares of Beneficial Interest</t>
  </si>
  <si>
    <t>DCF</t>
  </si>
  <si>
    <t>BNY Mellon Alcentra Global Credit Income 2024 Target Term Fund Inc. Common Stock</t>
  </si>
  <si>
    <t>EMD</t>
  </si>
  <si>
    <t>Western Asset Emerging Markets Debt Fund Inc Common Stock</t>
  </si>
  <si>
    <t>EMF</t>
  </si>
  <si>
    <t>Templeton Emerging Markets Fund Common Stock</t>
  </si>
  <si>
    <t>EOI</t>
  </si>
  <si>
    <t>Eaton Vance Enhance Equity Income Fund Eaton Vance Enhanced Equity Income Fund Shares of Beneficial Interest</t>
  </si>
  <si>
    <t>FAM</t>
  </si>
  <si>
    <t>First Trust/abrdn Global Opportunity Income Fund Common Shares of Beneficial Interest</t>
  </si>
  <si>
    <t>FEI</t>
  </si>
  <si>
    <t>First Trust MLP and Energy Income Fund Common Shares of Beneficial Interest</t>
  </si>
  <si>
    <t>FGB</t>
  </si>
  <si>
    <t>First Trust Specialty Finance and Financial Opportunities Fund</t>
  </si>
  <si>
    <t>FIF</t>
  </si>
  <si>
    <t>First Trust Energy Infrastructure Fund Common Shares of Beneficial Interest</t>
  </si>
  <si>
    <t>FMY</t>
  </si>
  <si>
    <t>First Trust Motgage Income Fund Common Shares of Beneficial Interest</t>
  </si>
  <si>
    <t>GOF</t>
  </si>
  <si>
    <t>Guggenheim Strategic Opportunities Fund Common Shares of Beneficial Interest</t>
  </si>
  <si>
    <t>HFRO</t>
  </si>
  <si>
    <t>Highland Opportunities and Income Fund Common Shares of Beneficial Interest</t>
  </si>
  <si>
    <t>HIO</t>
  </si>
  <si>
    <t>Western Asset High Income Opportunity Fund Inc. Common Stock</t>
  </si>
  <si>
    <t>HIX</t>
  </si>
  <si>
    <t>Western Asset High Income Fund II Inc. Common Stock</t>
  </si>
  <si>
    <t>IDE</t>
  </si>
  <si>
    <t>Voya Infrastructure Industrials and Materials Fund Common Shares of Beneficial Interest</t>
  </si>
  <si>
    <t>IFN</t>
  </si>
  <si>
    <t>India Fund Inc. (The) Common Stock</t>
  </si>
  <si>
    <t>JHAA</t>
  </si>
  <si>
    <t>Nuveen Corporate Income 2023 Target Term Fund</t>
  </si>
  <si>
    <t>JRS</t>
  </si>
  <si>
    <t>Nuveen Real Estate Income Fund Common Shares of Beneficial Interest</t>
  </si>
  <si>
    <t>MHF</t>
  </si>
  <si>
    <t>Western Asset Municipal High Income Fund Inc. Common Stock</t>
  </si>
  <si>
    <t>NAZ</t>
  </si>
  <si>
    <t>Nuveen Arizona Quality Municipal Income Fund Common Stock</t>
  </si>
  <si>
    <t>NDP</t>
  </si>
  <si>
    <t>Tortoise Energy Independence Fund Inc. Common Stock</t>
  </si>
  <si>
    <t>NEA</t>
  </si>
  <si>
    <t>Nuveen AMT-Free Quality Municipal Income Fund Common Shares of Beneficial Interest Par Value $.01</t>
  </si>
  <si>
    <t>NKX</t>
  </si>
  <si>
    <t>Nuveen California AMT-Free Quality Municipal Income Fund</t>
  </si>
  <si>
    <t>NMT</t>
  </si>
  <si>
    <t>Nuveen Massachusetts Quality Municipal Income Fund Common Stock</t>
  </si>
  <si>
    <t>NMZ</t>
  </si>
  <si>
    <t>Nuveen Municipal High Income Opportunity Fund Common Stock $0.01 par value per share</t>
  </si>
  <si>
    <t>NXJ</t>
  </si>
  <si>
    <t>Nuveen New Jersey Qualified Municipal Fund</t>
  </si>
  <si>
    <t>OPP</t>
  </si>
  <si>
    <t>RiverNorth/DoubleLine Strategic Opportunity Fund Inc. Common Stock</t>
  </si>
  <si>
    <t>PEO</t>
  </si>
  <si>
    <t>Adams Natural Resources Fund Inc. Common Stock</t>
  </si>
  <si>
    <t>PFN</t>
  </si>
  <si>
    <t>PIMCO Income Strategy Fund II</t>
  </si>
  <si>
    <t>PHK</t>
  </si>
  <si>
    <t>Pimco High Income Fund</t>
  </si>
  <si>
    <t>PMF</t>
  </si>
  <si>
    <t>PIMCO Municipal Income Fund Common Stock</t>
  </si>
  <si>
    <t>SBI</t>
  </si>
  <si>
    <t>Western Asset Intermediate Muni Fund Inc Common Stock</t>
  </si>
  <si>
    <t>SPE</t>
  </si>
  <si>
    <t>Special Opportunities Fund Inc Common Stock</t>
  </si>
  <si>
    <t>TDF</t>
  </si>
  <si>
    <t>Templeton Dragon Fund Inc. Common Stock</t>
  </si>
  <si>
    <t>GJH</t>
  </si>
  <si>
    <t>Synthetic Fixed-Income Securities Inc 6.375% (STRATS) Cl A-1</t>
  </si>
  <si>
    <t>GJO</t>
  </si>
  <si>
    <t>Synthetic Fixed-Income Securities Inc. on behalf of STRATS(SM) Trust for Wal-Mart Stores Inc. Securities Series 2004-5</t>
  </si>
  <si>
    <t>GJP</t>
  </si>
  <si>
    <t>Synthetic Fixed-Income Securities Inc. on behalf of STRATS (SM) Trust for Dominion Resources Inc. Securities Series 2005-6 Floating Rate Structured Repackaged Asset-Backed Trust Securities (STRATS) Certificates</t>
  </si>
  <si>
    <t>GJT</t>
  </si>
  <si>
    <t>Synthetic Fixed-Income Securities Inc. Floating Rate Structured Repackaged Asset-Backed Trust Securities Certificates Series 2006-3</t>
  </si>
  <si>
    <t>BTO</t>
  </si>
  <si>
    <t>John Hancock Financial Opportunities Fund Common Stock</t>
  </si>
  <si>
    <t>BTT</t>
  </si>
  <si>
    <t>BlackRock Municipal 2030 Target Term Trust</t>
  </si>
  <si>
    <t>BXMX</t>
  </si>
  <si>
    <t>Nuveen S&amp;P 500 Buy-Write Income Fund Common Shares of Beneficial Interest</t>
  </si>
  <si>
    <t>BYM</t>
  </si>
  <si>
    <t>Blackrock Municipal Income Quality Trust Common Shares of Beneficial Interest</t>
  </si>
  <si>
    <t>CAF</t>
  </si>
  <si>
    <t>Morgan Stanley China A Share Fund Inc. Common Stock</t>
  </si>
  <si>
    <t>CHN</t>
  </si>
  <si>
    <t>China Fund Inc. (The) Common Stock</t>
  </si>
  <si>
    <t>CTR</t>
  </si>
  <si>
    <t>ClearBridge MLP and Midstream Total Return Fund Inc. Common Stock</t>
  </si>
  <si>
    <t>DFP</t>
  </si>
  <si>
    <t>Flaherty &amp; Crumrine Dynamic Preferred and Income Fund Inc. Common Stock</t>
  </si>
  <si>
    <t>DNP</t>
  </si>
  <si>
    <t>DSM</t>
  </si>
  <si>
    <t>BNY Mellon Strategic Municipal Bond Fund Inc. Common Stock</t>
  </si>
  <si>
    <t>EDF</t>
  </si>
  <si>
    <t>Virtus Stone Harbor Emerging Markets Income Fund Common Shares of Beneficial Interest</t>
  </si>
  <si>
    <t>EHI</t>
  </si>
  <si>
    <t>Western Asset Global High Income Fund Inc Common Stock</t>
  </si>
  <si>
    <t>EMO</t>
  </si>
  <si>
    <t>ClearBridge Energy Midstream Opportunity Fund Inc. Common Stock</t>
  </si>
  <si>
    <t>EOD</t>
  </si>
  <si>
    <t>Allspring Global Dividend Opportunity Fund Common Shares of Beneficial Interest</t>
  </si>
  <si>
    <t>ETG</t>
  </si>
  <si>
    <t>Eaton Vance Tax-Advantaged Global Dividend Income Fund Common Shares of Beneficial Interest</t>
  </si>
  <si>
    <t>EVG</t>
  </si>
  <si>
    <t>Eaton Vance Short Diversified Income Fund Eaton Vance Short Duration Diversified Income Fund Common Shares of Beneficial Interest</t>
  </si>
  <si>
    <t>FFA</t>
  </si>
  <si>
    <t>FSD</t>
  </si>
  <si>
    <t>First Trust High Income Long Short Fund Common Shares of Beneficial Interest</t>
  </si>
  <si>
    <t>GDL</t>
  </si>
  <si>
    <t>GDL Fund The Common Shares of Beneficial Interest</t>
  </si>
  <si>
    <t>GF</t>
  </si>
  <si>
    <t>New Germany Fund Inc. (The) Common Stock</t>
  </si>
  <si>
    <t>HEQ</t>
  </si>
  <si>
    <t>John Hancock Hedged Equity &amp; Income Fund Common Shares of Beneficial Interest</t>
  </si>
  <si>
    <t>HPS</t>
  </si>
  <si>
    <t>John Hancock Preferred Income Fund III Preferred Income Fund III</t>
  </si>
  <si>
    <t>HYB</t>
  </si>
  <si>
    <t>New America High Income Fund Inc. (The) Common Stock</t>
  </si>
  <si>
    <t>HYI</t>
  </si>
  <si>
    <t>Western Asset High Yield Defined Opportunity Fund Inc. Common Stock</t>
  </si>
  <si>
    <t>IGA</t>
  </si>
  <si>
    <t>Voya Global Advantage and Premium Opportunity Fund Common Shares of Beneficial Interest</t>
  </si>
  <si>
    <t>IGI</t>
  </si>
  <si>
    <t>Western Asset Investment Grade Defined Opportunity Trust Inc. Common Stock</t>
  </si>
  <si>
    <t>IHD</t>
  </si>
  <si>
    <t>Voya Emerging Markets High Income Dividend Equity Fund Common Shares</t>
  </si>
  <si>
    <t>INSI</t>
  </si>
  <si>
    <t>JGH</t>
  </si>
  <si>
    <t>Nuveen Global High Income Fund Common Shares of Beneficial Interest</t>
  </si>
  <si>
    <t>JLS</t>
  </si>
  <si>
    <t>JPC</t>
  </si>
  <si>
    <t>Nuveen Preferred &amp; Income Opportunities Fund</t>
  </si>
  <si>
    <t>KF</t>
  </si>
  <si>
    <t>Korea Fund Inc. (The) New Common Stock</t>
  </si>
  <si>
    <t>KIO</t>
  </si>
  <si>
    <t>KKR Income Opportunities Fund Common Shares</t>
  </si>
  <si>
    <t>KTH</t>
  </si>
  <si>
    <t>Structures Products Cp 8% CorTS Issued by Peco Energy Cap Tr II Preferred Stock</t>
  </si>
  <si>
    <t>MEGI</t>
  </si>
  <si>
    <t>MainStay CBRE Global Infrastructure Megatrends Term Fund Common Shares</t>
  </si>
  <si>
    <t>MHI</t>
  </si>
  <si>
    <t>Pioneer Municipal High Income Fund Inc.</t>
  </si>
  <si>
    <t>MIO</t>
  </si>
  <si>
    <t>Pioneer Municipal High Income Opportunities Fund Inc. Common Stock</t>
  </si>
  <si>
    <t>MMD</t>
  </si>
  <si>
    <t>MainStay MacKay DefinedTerm Municipal Opportunities Fund</t>
  </si>
  <si>
    <t>MMU</t>
  </si>
  <si>
    <t>Western Asset Managed Municipals Fund Inc. Common Stock</t>
  </si>
  <si>
    <t>NAC</t>
  </si>
  <si>
    <t>Nuveen California Quality Municipal Income Fund</t>
  </si>
  <si>
    <t>NAD</t>
  </si>
  <si>
    <t>Nuveen Quality Municipal Income Fund Common Stock</t>
  </si>
  <si>
    <t>NCA</t>
  </si>
  <si>
    <t>NMAI</t>
  </si>
  <si>
    <t>Nuveen Multi-Asset Income Fund Common Shares of Beneficial Interest</t>
  </si>
  <si>
    <t>NNY</t>
  </si>
  <si>
    <t>Nuveen New York Municipal Value Fund Common Stock</t>
  </si>
  <si>
    <t>NOM</t>
  </si>
  <si>
    <t>Nuveen Missouri Quality Municipal Income Fund</t>
  </si>
  <si>
    <t>NPCT</t>
  </si>
  <si>
    <t>Nuveen Core Plus Impact Fund Common Shares of Beneficial Interest</t>
  </si>
  <si>
    <t>NPV</t>
  </si>
  <si>
    <t>Nuveen Virginia Quality Municipal Income Fund Common Stock</t>
  </si>
  <si>
    <t>NUW</t>
  </si>
  <si>
    <t>Nuveen AMT-Free Municipal Value Fund</t>
  </si>
  <si>
    <t>NVG</t>
  </si>
  <si>
    <t>Nuveen AMT-Free Municipal Credit Income Fund</t>
  </si>
  <si>
    <t>PAXS</t>
  </si>
  <si>
    <t>PIMCO Access Income Fund Common Shares of Beneficial Interest</t>
  </si>
  <si>
    <t>PCN</t>
  </si>
  <si>
    <t>Pimco Corporate &amp; Income Strategy Fund Common Stock</t>
  </si>
  <si>
    <t>PCQ</t>
  </si>
  <si>
    <t>PIMCO California Municipal Income Fund Common Stock</t>
  </si>
  <si>
    <t>PFD</t>
  </si>
  <si>
    <t>Flaherty &amp; Crumrine Preferred and Income Fund Incorporated</t>
  </si>
  <si>
    <t>PGZ</t>
  </si>
  <si>
    <t>Principal Real Estate Income Fund Common Shares of Beneficial Interest</t>
  </si>
  <si>
    <t>PHD</t>
  </si>
  <si>
    <t>Pioneer Floating Rate Fund Inc.</t>
  </si>
  <si>
    <t>PHT</t>
  </si>
  <si>
    <t>Pioneer High Income Fund Inc.</t>
  </si>
  <si>
    <t>PML</t>
  </si>
  <si>
    <t>Pimco Municipal Income Fund II Common Shares of Beneficial Interest</t>
  </si>
  <si>
    <t>PTY</t>
  </si>
  <si>
    <t>Pimco Corporate &amp; Income Opportunity Fund</t>
  </si>
  <si>
    <t>PYN</t>
  </si>
  <si>
    <t>PIMCO New York Municipal Income Fund III Common Shares of Beneficial Interest</t>
  </si>
  <si>
    <t>PZC</t>
  </si>
  <si>
    <t>PIMCO California Municipal Income Fund III Common Shares of Beneficial Interest</t>
  </si>
  <si>
    <t>RA</t>
  </si>
  <si>
    <t>Brookfield Real Assets Income Fund Inc. Common Stock</t>
  </si>
  <si>
    <t>RCS</t>
  </si>
  <si>
    <t>PIMCO Strategic Income Fund Inc.</t>
  </si>
  <si>
    <t>RLTY</t>
  </si>
  <si>
    <t>Cohen &amp; Steers Real Estate Opportunities and Income Fund Common Shares of Beneficial Interest</t>
  </si>
  <si>
    <t>STEW</t>
  </si>
  <si>
    <t>SRH Total Return Fund Inc. Common Stock</t>
  </si>
  <si>
    <t>STK</t>
  </si>
  <si>
    <t>Columbia Seligman Premium Technology Growth Fund Inc</t>
  </si>
  <si>
    <t>TPZ</t>
  </si>
  <si>
    <t>Tortoise Power and Energy Infrastructure Fund Inc Common Stock</t>
  </si>
  <si>
    <t>TSI</t>
  </si>
  <si>
    <t>TCW Strategic Income Fund Inc. Common Stock</t>
  </si>
  <si>
    <t>VGI</t>
  </si>
  <si>
    <t>Virtus Global Multi-Sector Income Fund Common Shares of Beneficial Interest</t>
  </si>
  <si>
    <t>ZTR</t>
  </si>
  <si>
    <t>Virtus Total Return Fund Inc.</t>
  </si>
  <si>
    <t>BGY</t>
  </si>
  <si>
    <t>Blackrock Enhanced International Dividend Trust</t>
  </si>
  <si>
    <t>BIT</t>
  </si>
  <si>
    <t>BlackRock Multi-Sector Income Trust Common Shares of Beneficial Interest</t>
  </si>
  <si>
    <t>BKN</t>
  </si>
  <si>
    <t>BlackRock Investment Quality Municipal Trust Inc. (The)</t>
  </si>
  <si>
    <t>BMN</t>
  </si>
  <si>
    <t>BlackRock 2037 Municipal Target Term Trust Common Shares of Beneficial Interest</t>
  </si>
  <si>
    <t>BNY</t>
  </si>
  <si>
    <t>BlackRock New York Municipal Income Trust</t>
  </si>
  <si>
    <t>BOE</t>
  </si>
  <si>
    <t>Blackrock Enhanced Global Dividend Trust Common Shares of Beneficial Interest</t>
  </si>
  <si>
    <t>BRW</t>
  </si>
  <si>
    <t>Saba Capital Income &amp; Opportunities Fund SBI</t>
  </si>
  <si>
    <t>BSL</t>
  </si>
  <si>
    <t>Blackstone Senior Floating Rate 2027 Term Fund Common Shares of Beneficial Interest</t>
  </si>
  <si>
    <t>BTA</t>
  </si>
  <si>
    <t>BlackRock Long-Term Municipal Advantage Trust Common Shares of Beneficial Interest</t>
  </si>
  <si>
    <t>BUI</t>
  </si>
  <si>
    <t>BlackRock Utility Infrastructure &amp; Power Opportunities Trust</t>
  </si>
  <si>
    <t>BXSL</t>
  </si>
  <si>
    <t>Blackstone Secured Lending Fund Common Shares of Beneficial Interest</t>
  </si>
  <si>
    <t>CEM</t>
  </si>
  <si>
    <t>ClearBridge MLP and Midstream Fund Inc. Common Stock</t>
  </si>
  <si>
    <t>CIF</t>
  </si>
  <si>
    <t>DMA</t>
  </si>
  <si>
    <t>Destra Multi-Alternative Fund Common Stock</t>
  </si>
  <si>
    <t>DMB</t>
  </si>
  <si>
    <t>BNY Mellon Municipal Bond Infrastructure Fund Inc. Common Stock</t>
  </si>
  <si>
    <t>DMO</t>
  </si>
  <si>
    <t>Western Asset Mortgage Opportunity Fund Inc. Common Stock</t>
  </si>
  <si>
    <t>DPG</t>
  </si>
  <si>
    <t>Duff &amp; Phelps Utility and Infrastructure Fund Inc.</t>
  </si>
  <si>
    <t>EEA</t>
  </si>
  <si>
    <t>The European Equity Fund Inc. Common Stock</t>
  </si>
  <si>
    <t>EFR</t>
  </si>
  <si>
    <t>Eaton Vance Senior Floating-Rate Fund Common Shares of Beneficial Interest</t>
  </si>
  <si>
    <t>EGF</t>
  </si>
  <si>
    <t>Blackrock Enhanced Government Fund Inc. Common Stock</t>
  </si>
  <si>
    <t>EOS</t>
  </si>
  <si>
    <t>Eaton Vance Enhance Equity Income Fund II Common Stock</t>
  </si>
  <si>
    <t>FDEU</t>
  </si>
  <si>
    <t>First Trust Dynamic Europe Equity Income Fund Common Shares of Beneficial Interest</t>
  </si>
  <si>
    <t>FFC</t>
  </si>
  <si>
    <t>Flaherty &amp; Crumrine Preferred and Income Securities Fund Incorporated</t>
  </si>
  <si>
    <t>FLC</t>
  </si>
  <si>
    <t>Flaherty &amp; Crumrine Total Return Fund Inc Common Stock</t>
  </si>
  <si>
    <t>FPF</t>
  </si>
  <si>
    <t>First Trust Intermediate Duration Preferred &amp; Income Fund Common Shares of Beneficial Interest</t>
  </si>
  <si>
    <t>FPL</t>
  </si>
  <si>
    <t>First Trust New Opportunities MLP &amp; Energy Fund Common Shares of Beneficial Interest</t>
  </si>
  <si>
    <t>GHY</t>
  </si>
  <si>
    <t>PGIM Global High Yield Fund Inc.</t>
  </si>
  <si>
    <t>GUG</t>
  </si>
  <si>
    <t>Guggenheim Active Allocation Fund Common Shares of Beneficial Interest</t>
  </si>
  <si>
    <t>HGLB</t>
  </si>
  <si>
    <t>Highland Global Allocation Fund Common Stock</t>
  </si>
  <si>
    <t>HIE</t>
  </si>
  <si>
    <t>Miller/Howard High Income Equity Fund Common Shares of Beneficial Interest</t>
  </si>
  <si>
    <t>HPI</t>
  </si>
  <si>
    <t>John Hancock Preferred Income Fund Common Shares of Beneficial Interest</t>
  </si>
  <si>
    <t>HTY</t>
  </si>
  <si>
    <t>John Hancock Tax-Advantaged Global Shareholder Yield Fund Common Shares of Beneficial Interest</t>
  </si>
  <si>
    <t>IAE</t>
  </si>
  <si>
    <t>Voya Asia Pacific High Dividend Equity Income Fund ING Asia Pacific High Dividend Equity Income Fund Common Shares of Beneficial Interest</t>
  </si>
  <si>
    <t>IGD</t>
  </si>
  <si>
    <t>Voya Global Equity Dividend and Premium Opportunity Fund</t>
  </si>
  <si>
    <t>IIF</t>
  </si>
  <si>
    <t>Morgan Stanley India Investment Fund Inc. Common Stock</t>
  </si>
  <si>
    <t>ISD</t>
  </si>
  <si>
    <t>PGIM High Yield Bond Fund Inc.</t>
  </si>
  <si>
    <t>JCE</t>
  </si>
  <si>
    <t>Nuveen Core Equity Alpha Fund Common Shares of Beneficial Interest</t>
  </si>
  <si>
    <t>JFR</t>
  </si>
  <si>
    <t>Nuveen Floating Rate Income Fund Common Stock</t>
  </si>
  <si>
    <t>JMM</t>
  </si>
  <si>
    <t>Nuveen Multi-Market Income Fund (MA)</t>
  </si>
  <si>
    <t>JOF</t>
  </si>
  <si>
    <t>Japan Smaller Capitalization Fund Inc Common Stock</t>
  </si>
  <si>
    <t>KSM</t>
  </si>
  <si>
    <t>MSD</t>
  </si>
  <si>
    <t>Morgan Stanley Emerging Markets Debt Fund Inc. Common Stock</t>
  </si>
  <si>
    <t>MXF</t>
  </si>
  <si>
    <t>Mexico Fund Inc. (The) Common Stock</t>
  </si>
  <si>
    <t>NBXG</t>
  </si>
  <si>
    <t>Neuberger Berman Next Generation Connectivity Fund Inc. Common Stock</t>
  </si>
  <si>
    <t>NIM</t>
  </si>
  <si>
    <t>Nuveen Select Maturities Municipal Fund Common Stock</t>
  </si>
  <si>
    <t>NMI</t>
  </si>
  <si>
    <t>Nuveen Municipal Income Fund Inc. Common Stock</t>
  </si>
  <si>
    <t>NPFD</t>
  </si>
  <si>
    <t>Nuveen Variable Rate Preferred &amp; Income Fund Common Shares</t>
  </si>
  <si>
    <t>NQP</t>
  </si>
  <si>
    <t>Nuveen Pennsylvania Quality Municipal Income Fund Common Stock</t>
  </si>
  <si>
    <t>NRK</t>
  </si>
  <si>
    <t>Nuveen New York AMT-Free Quality Municipal Income Fund</t>
  </si>
  <si>
    <t>NUV</t>
  </si>
  <si>
    <t>Nuveen Municipal Value Fund Inc. Common Stock</t>
  </si>
  <si>
    <t>PAI</t>
  </si>
  <si>
    <t>Western Asset Investment Grade Income Fund Inc.</t>
  </si>
  <si>
    <t>PCF</t>
  </si>
  <si>
    <t>High Income Securities Fund Common Stock</t>
  </si>
  <si>
    <t>PCK</t>
  </si>
  <si>
    <t>Pimco California Municipal Income Fund II Common Shares of Beneficial Interest</t>
  </si>
  <si>
    <t>PCM</t>
  </si>
  <si>
    <t>PCM Fund Inc. Common Stock</t>
  </si>
  <si>
    <t>PMX</t>
  </si>
  <si>
    <t>PIMCO Municipal Income Fund III Common Shares of Beneficial Interest</t>
  </si>
  <si>
    <t>PNI</t>
  </si>
  <si>
    <t>Pimco New York Municipal Income Fund II Common Shares of Beneficial Interest</t>
  </si>
  <si>
    <t>SCD</t>
  </si>
  <si>
    <t>LMP Capital and Income Fund Inc. Common Stock</t>
  </si>
  <si>
    <t>SPXX</t>
  </si>
  <si>
    <t>TTP</t>
  </si>
  <si>
    <t>Tortoise Pipeline &amp; Energy Fund Inc. Common Stock</t>
  </si>
  <si>
    <t>TWN</t>
  </si>
  <si>
    <t>Taiwan Fund Inc. (The) Common Stock</t>
  </si>
  <si>
    <t>VBF</t>
  </si>
  <si>
    <t>Invesco Bond Fund Common Stock</t>
  </si>
  <si>
    <t>VLT</t>
  </si>
  <si>
    <t>Invesco High Income Trust II</t>
  </si>
  <si>
    <t>VVR</t>
  </si>
  <si>
    <t>Invesco Senior Income Trust Common Stock (DE)</t>
  </si>
  <si>
    <t>WDI</t>
  </si>
  <si>
    <t>Western Asset Diversified Income Fund Common Shares of Beneficial Interest</t>
  </si>
  <si>
    <t>WEA</t>
  </si>
  <si>
    <t>Western Asset Bond Fund Share of Beneficial Interest</t>
  </si>
  <si>
    <t>WIA</t>
  </si>
  <si>
    <t>Western Asset Inflation-Linked Income Fund</t>
  </si>
  <si>
    <t>CSWCZ</t>
  </si>
  <si>
    <t>Capital Southwest Corporation 7.75% Notes due 2028</t>
  </si>
  <si>
    <t>GECCO</t>
  </si>
  <si>
    <t>Great Elm Capital Corp. 5.875% Notes due 2026</t>
  </si>
  <si>
    <t>GECCZ</t>
  </si>
  <si>
    <t>Great Elm Capital Corp. 8.75% Notes due 2028</t>
  </si>
  <si>
    <t>QQQX</t>
  </si>
  <si>
    <t>Nuveen NASDAQ 100 Dynamic Overwrite Fund Shares of Beneficial Interest</t>
  </si>
  <si>
    <t>FRLAW</t>
  </si>
  <si>
    <t>Fortune Rise Acquisition Corporation Warrant</t>
  </si>
  <si>
    <t>GAINL</t>
  </si>
  <si>
    <t>Gladstone Investment Corporation 8.00% Notes due 2028</t>
  </si>
  <si>
    <t>GECCM</t>
  </si>
  <si>
    <t>Great Elm Capital Corp. 6.75% Notes Due 2025</t>
  </si>
  <si>
    <t>Credit Suisse Asset Management Income Fund Inc. Common Stock</t>
  </si>
  <si>
    <t>CLM</t>
  </si>
  <si>
    <t>Cornerstone Strategic Value Fund Inc. New Common Stock</t>
  </si>
  <si>
    <t>CRF</t>
  </si>
  <si>
    <t>Cornerstone Total Return Fund Inc. (The) Common Stock</t>
  </si>
  <si>
    <t>DHY</t>
  </si>
  <si>
    <t>Credit Suisse High Yield Bond Fund Common Stock</t>
  </si>
  <si>
    <t>EAD</t>
  </si>
  <si>
    <t>Allspring Income Opportunities Fund Common Shares</t>
  </si>
  <si>
    <t>ECF</t>
  </si>
  <si>
    <t>Ellsworth Growth and Income Fund Ltd.</t>
  </si>
  <si>
    <t>EIM</t>
  </si>
  <si>
    <t>Eaton Vance Municipal Bond Fund Common Shares of Beneficial Interest $.01 par value</t>
  </si>
  <si>
    <t>ENX</t>
  </si>
  <si>
    <t>Eaton Vance New York Municipal Bond Fund Common Shares of Beneficial Interest $.01 par value</t>
  </si>
  <si>
    <t>ERC</t>
  </si>
  <si>
    <t>Allspring Multi-Sector Income Fund Common Stock</t>
  </si>
  <si>
    <t>ERH</t>
  </si>
  <si>
    <t>Allspring Utilities and High Income Fund Common Shares</t>
  </si>
  <si>
    <t>EVM</t>
  </si>
  <si>
    <t>Eaton Vance California Municipal Bond Fund Common Shares of Beneficial Interest $.01 par value</t>
  </si>
  <si>
    <t>EVV</t>
  </si>
  <si>
    <t>Eaton Vance Limited Duration Income Fund Common Shares of Beneficial Interest</t>
  </si>
  <si>
    <t>FEN</t>
  </si>
  <si>
    <t>First Trust Energy Income and Growth Fund</t>
  </si>
  <si>
    <t>GGN</t>
  </si>
  <si>
    <t>GAMCO Global Gold Natural Resources &amp; Income Trust</t>
  </si>
  <si>
    <t>GLO</t>
  </si>
  <si>
    <t>Clough Global Opportunities Fund Common Stock</t>
  </si>
  <si>
    <t>GLQ</t>
  </si>
  <si>
    <t>Clough Global Equity Fund Clough Global Equity Fund Common Shares of Beneficial Interest</t>
  </si>
  <si>
    <t>GRF</t>
  </si>
  <si>
    <t>Eagle Capital Growth Fund Inc. Common Stock</t>
  </si>
  <si>
    <t>HNW</t>
  </si>
  <si>
    <t>Pioneer Diversified High Income Fund Inc.</t>
  </si>
  <si>
    <t>IAF</t>
  </si>
  <si>
    <t>abrdn Australia Equity Fund Inc. Common Stock</t>
  </si>
  <si>
    <t>NBH</t>
  </si>
  <si>
    <t>Neuberger Berman Municipal Fund Inc. Common Stock</t>
  </si>
  <si>
    <t>NML</t>
  </si>
  <si>
    <t>Neuberger Berman Energy Infrastructure and Income Fund Inc. Common Stock</t>
  </si>
  <si>
    <t>NRO</t>
  </si>
  <si>
    <t>Neuberger Berman Real Estate Securities Income Fund Inc.</t>
  </si>
  <si>
    <t>VFL</t>
  </si>
  <si>
    <t>abrdn National Municipal Income Fund Common Stock</t>
  </si>
  <si>
    <t>HHLA</t>
  </si>
  <si>
    <t>HH&amp;L Acquisition Co. Class A Ordinary Shares</t>
  </si>
  <si>
    <t>WTMA</t>
  </si>
  <si>
    <t>Welsbach Technology Metals Acquisition Corp. Common Stock</t>
  </si>
  <si>
    <t>WTMAR</t>
  </si>
  <si>
    <t>Welsbach Technology Metals Acquisition Corp. one right to receive 1/10th of a share of common stock</t>
  </si>
  <si>
    <t>CPTK</t>
  </si>
  <si>
    <t>Crown PropTech Acquisitions Class A Ordinary Shares</t>
  </si>
  <si>
    <t>CGO</t>
  </si>
  <si>
    <t>CHI</t>
  </si>
  <si>
    <t>Calamos Convertible Opportunities and Income Fund Common Stock</t>
  </si>
  <si>
    <t>CHW</t>
  </si>
  <si>
    <t>Calamos Global Dynamic Income Fund Common Stock</t>
  </si>
  <si>
    <t>CHY</t>
  </si>
  <si>
    <t>Calamos Convertible and High Income Fund Common Stock</t>
  </si>
  <si>
    <t>CUBA</t>
  </si>
  <si>
    <t>Herzfeld Caribbean Basin Fund Inc. (The) Common Stock</t>
  </si>
  <si>
    <t>FAX</t>
  </si>
  <si>
    <t>abrdn Asia-Pacific Income Fund Inc. Common Stock</t>
  </si>
  <si>
    <t>FCO</t>
  </si>
  <si>
    <t>abrdn Global Income Fund Inc. Common Stock</t>
  </si>
  <si>
    <t>HNNAZ</t>
  </si>
  <si>
    <t>Hennessy Advisors Inc. 4.875% Notes due 2026</t>
  </si>
  <si>
    <t>RCG</t>
  </si>
  <si>
    <t>RENN Fund Inc Common Stock</t>
  </si>
  <si>
    <t>UTG</t>
  </si>
  <si>
    <t>Reaves Utility Income Fund Common Shares of Beneficial Interest</t>
  </si>
  <si>
    <t>TLSIW</t>
  </si>
  <si>
    <t>TriSalus Life Sciences Inc. Warrant</t>
  </si>
  <si>
    <t>TNONW</t>
  </si>
  <si>
    <t>Tenon Medical Inc. Warrant</t>
  </si>
  <si>
    <t>MDAI</t>
  </si>
  <si>
    <t>Spectral AI Inc. Class A Common Stock</t>
  </si>
  <si>
    <t>MDAIW</t>
  </si>
  <si>
    <t>Spectral AI Inc. Warrants</t>
  </si>
  <si>
    <t>MGRM</t>
  </si>
  <si>
    <t>Monogram Orthopaedics Inc. Common Stock</t>
  </si>
  <si>
    <t>NVAC</t>
  </si>
  <si>
    <t>NorthView Acquisition Corporation Common Stock</t>
  </si>
  <si>
    <t>NVACR</t>
  </si>
  <si>
    <t>NorthView Acquisition Corporation Rights</t>
  </si>
  <si>
    <t>NVACW</t>
  </si>
  <si>
    <t>NorthView Acquisition Corporation Warrant</t>
  </si>
  <si>
    <t>DHAC</t>
  </si>
  <si>
    <t>Digital Health Acquisition Corp. Common Stock</t>
  </si>
  <si>
    <t>DHACU</t>
  </si>
  <si>
    <t>Digital Health Acquisition Corp. Unit</t>
  </si>
  <si>
    <t>DHACW</t>
  </si>
  <si>
    <t>Digital Health Acquisition Corp. Warrant</t>
  </si>
  <si>
    <t>FHLTW</t>
  </si>
  <si>
    <t>Future Health ESG Corp. Warrant</t>
  </si>
  <si>
    <t>RMCOW</t>
  </si>
  <si>
    <t>Royalty Management Holding Corporation Warrant</t>
  </si>
  <si>
    <t>ACAX</t>
  </si>
  <si>
    <t>Alset Capital Acquisition Corp. Class A Common Stock</t>
  </si>
  <si>
    <t>ACAXU</t>
  </si>
  <si>
    <t>Alset Capital Acquisition Corp. Unit</t>
  </si>
  <si>
    <t>CLIN</t>
  </si>
  <si>
    <t>Clean Earth Acquisitions Corp. Class A Common Stock</t>
  </si>
  <si>
    <t>CLINR</t>
  </si>
  <si>
    <t>Clean Earth Acquisitions Corp. Right</t>
  </si>
  <si>
    <t>CLINU</t>
  </si>
  <si>
    <t>Clean Earth Acquisitions Corp. Unit</t>
  </si>
  <si>
    <t>CLINW</t>
  </si>
  <si>
    <t>Clean Earth Acquisitions Corp. Warrant</t>
  </si>
  <si>
    <t>LHC</t>
  </si>
  <si>
    <t>Leo Holdings Corp. II Class A Ordinary Shares</t>
  </si>
  <si>
    <t>TWOA</t>
  </si>
  <si>
    <t>two Class A Ordinary Shares</t>
  </si>
  <si>
    <t>LANDP</t>
  </si>
  <si>
    <t>Gladstone Land Corporation 6.00% Series C Cumulative Redeemable Preferred Stock</t>
  </si>
  <si>
    <t>RGTI</t>
  </si>
  <si>
    <t>Rigetti Computing Inc. Common Stock</t>
  </si>
  <si>
    <t>RGTIW</t>
  </si>
  <si>
    <t>Rigetti Computing Inc. Warrants</t>
  </si>
  <si>
    <t>LAES</t>
  </si>
  <si>
    <t>SEALSQ Corp Ordinary Shares</t>
  </si>
  <si>
    <t>TYGO</t>
  </si>
  <si>
    <t>Tigo Energy Inc. Common Stock</t>
  </si>
  <si>
    <t>CCD</t>
  </si>
  <si>
    <t>Calamos Dynamic Convertible &amp; Income Fund Common Stock</t>
  </si>
  <si>
    <t>NHS</t>
  </si>
  <si>
    <t>Neuberger Berman High Yield Strategies Fund</t>
  </si>
  <si>
    <t>AACT</t>
  </si>
  <si>
    <t>Ares Acquisition Corporation II Class A Ordinary Shares</t>
  </si>
  <si>
    <t>ABLV</t>
  </si>
  <si>
    <t>Able View Global Inc. Class B Ordinary Shares</t>
  </si>
  <si>
    <t>AEFC</t>
  </si>
  <si>
    <t>Aegon Funding Company LLC 5.10% Subordinated Notes due 2049</t>
  </si>
  <si>
    <t>AITRU</t>
  </si>
  <si>
    <t>AI TRANSPORTATION ACQUISITION CORP Unit</t>
  </si>
  <si>
    <t>ANSCU</t>
  </si>
  <si>
    <t>Agriculture &amp; Natural Solutions Acquisition Corporation Unit</t>
  </si>
  <si>
    <t>APOS</t>
  </si>
  <si>
    <t>Apollo Global Management Inc. 7.625% Fixed-Rate Resettable Junior Subordinated Notes due 2053</t>
  </si>
  <si>
    <t>APTM</t>
  </si>
  <si>
    <t>Alpha Partners Technology Merger Corp. Class A Ordinary Shares</t>
  </si>
  <si>
    <t>APTMW</t>
  </si>
  <si>
    <t>Alpha Partners Technology Merger Corp. Warrant</t>
  </si>
  <si>
    <t>BEPH</t>
  </si>
  <si>
    <t>Brookfield BRP Holdings (Canada) Inc. 4.625% Perpetual Subordinated Notes</t>
  </si>
  <si>
    <t>BEPI</t>
  </si>
  <si>
    <t>Brookfield BRP Holdings (Canada) Inc. 4.875% Perpetual Subordinated Notes</t>
  </si>
  <si>
    <t>BIPI</t>
  </si>
  <si>
    <t>BIP Bermuda Holdings I Limited 5.125% Perpetual Subordinated Notes</t>
  </si>
  <si>
    <t>BOWNU</t>
  </si>
  <si>
    <t>Bowen Acquisition Corp Unit</t>
  </si>
  <si>
    <t>BRNS</t>
  </si>
  <si>
    <t>Barinthus Biotherapeutics plc American Depositary Shares</t>
  </si>
  <si>
    <t>CCG</t>
  </si>
  <si>
    <t>Cheche Group Inc. Class A Ordinary Shares</t>
  </si>
  <si>
    <t>CCGWW</t>
  </si>
  <si>
    <t>Cheche Group Inc. Warrant</t>
  </si>
  <si>
    <t>CREV</t>
  </si>
  <si>
    <t>Carbon Revolution Public Limited Ordinary Shares</t>
  </si>
  <si>
    <t>CREVW</t>
  </si>
  <si>
    <t>Carbon Revolution Public Limited Company Warrant</t>
  </si>
  <si>
    <t>CRGX</t>
  </si>
  <si>
    <t>CARGO Therapeutics Inc. Common Stock</t>
  </si>
  <si>
    <t>DBL</t>
  </si>
  <si>
    <t>DoubleLine Opportunistic Credit Fund Common Shares of Beneficial Interest</t>
  </si>
  <si>
    <t>DMAQR</t>
  </si>
  <si>
    <t>Deep Medicine Acquisition Corp. Rights</t>
  </si>
  <si>
    <t>EGOX</t>
  </si>
  <si>
    <t>Next.e.GO N.V. Ordinary Shares</t>
  </si>
  <si>
    <t>EICB</t>
  </si>
  <si>
    <t>Eagle Point Income Company Inc. 7.75% Series B Term Preferred Stock Due 2028</t>
  </si>
  <si>
    <t>ENGN</t>
  </si>
  <si>
    <t>enGene Holdings Inc. Common Stock</t>
  </si>
  <si>
    <t>ENGNW</t>
  </si>
  <si>
    <t>enGene Holdings Inc. Warrants</t>
  </si>
  <si>
    <t>ESGL</t>
  </si>
  <si>
    <t>ESGL Holdings Limited Ordinary Shares</t>
  </si>
  <si>
    <t>EXTO</t>
  </si>
  <si>
    <t>Almacenes Exito S.A. American Depositary Share each representing eight (8) Common Shares</t>
  </si>
  <si>
    <t>FBYD</t>
  </si>
  <si>
    <t>Falcon's Beyond Global Inc. Class A Common Stock</t>
  </si>
  <si>
    <t>FBYDW</t>
  </si>
  <si>
    <t>Falcon's Beyond Global Inc. Warrants</t>
  </si>
  <si>
    <t>FMSTW</t>
  </si>
  <si>
    <t>Foremost Lithium Resource &amp; Technology Ltd. Warrant</t>
  </si>
  <si>
    <t>GFR</t>
  </si>
  <si>
    <t>Greenfire Resources Ltd. Common Shares</t>
  </si>
  <si>
    <t>GLADZ</t>
  </si>
  <si>
    <t>Gladstone Capital Corporation 7.75% Notes due 2028</t>
  </si>
  <si>
    <t>GLLIR</t>
  </si>
  <si>
    <t>Globalink Investment Inc. Rights</t>
  </si>
  <si>
    <t>GLSTR</t>
  </si>
  <si>
    <t>Global Star Acquisition Inc. Right</t>
  </si>
  <si>
    <t>GVH</t>
  </si>
  <si>
    <t>Globavend Holdings Limited Ordinary Shares</t>
  </si>
  <si>
    <t>HG</t>
  </si>
  <si>
    <t>Hamilton Insurance Group Ltd.</t>
  </si>
  <si>
    <t>HYAC</t>
  </si>
  <si>
    <t>Haymaker Acquisition Corp. 4 Class A Ordinary Shares</t>
  </si>
  <si>
    <t>JNVR</t>
  </si>
  <si>
    <t>Janover Inc. Common Stock</t>
  </si>
  <si>
    <t>JTAIZ</t>
  </si>
  <si>
    <t>Jet.AI Inc. Merger Consideration Warrants</t>
  </si>
  <si>
    <t>KKRS</t>
  </si>
  <si>
    <t>KKR Group Finance Co. IX LLC 4.625% Subordinated Notes due 2061</t>
  </si>
  <si>
    <t>KVAC</t>
  </si>
  <si>
    <t>Keen Vision Acquisition Corporation Ordinary Shares</t>
  </si>
  <si>
    <t>KVACU</t>
  </si>
  <si>
    <t>Keen Vision Acquisition Corporation Units</t>
  </si>
  <si>
    <t>KVACW</t>
  </si>
  <si>
    <t>Keen Vision Acquisition Corporation Warrant</t>
  </si>
  <si>
    <t>LGI</t>
  </si>
  <si>
    <t>Lazard Global Total Return and Income Fund Common Stock</t>
  </si>
  <si>
    <t>LGVCW</t>
  </si>
  <si>
    <t>LAMF Global Ventures Corp. I Warrant</t>
  </si>
  <si>
    <t>LUXHP</t>
  </si>
  <si>
    <t>LuxUrban Hotels Inc. 13.00% Series A Cumulative Redeemable Preferred Stock</t>
  </si>
  <si>
    <t>LXEO</t>
  </si>
  <si>
    <t>Lexeo Therapeutics Inc. Common Stock</t>
  </si>
  <si>
    <t>MCN</t>
  </si>
  <si>
    <t>Madison Covered Call &amp; Equity Strategy Fund Common Stock</t>
  </si>
  <si>
    <t>MNY</t>
  </si>
  <si>
    <t>MoneyHero Limited Class A Ordinary Shares</t>
  </si>
  <si>
    <t>MNYWW</t>
  </si>
  <si>
    <t>MoneyHero Limited Warrants</t>
  </si>
  <si>
    <t>NCNC</t>
  </si>
  <si>
    <t>noco-noco Inc. Ordinary Share</t>
  </si>
  <si>
    <t>NCNCW</t>
  </si>
  <si>
    <t>noco-noco Inc. Warrant</t>
  </si>
  <si>
    <t>NETD</t>
  </si>
  <si>
    <t>Nabors Energy Transition Corp. II Class A Ordinary Shares</t>
  </si>
  <si>
    <t>NETDU</t>
  </si>
  <si>
    <t>Nabors Energy Transition Corp. II Unit</t>
  </si>
  <si>
    <t>NETDW</t>
  </si>
  <si>
    <t>Nabors Energy Transition Corp. II Warrant</t>
  </si>
  <si>
    <t>NNAG</t>
  </si>
  <si>
    <t>99 Acquisition Group Inc. Class A Common Stock</t>
  </si>
  <si>
    <t>NNAGU</t>
  </si>
  <si>
    <t>99 Acquisition Group Inc. Unit</t>
  </si>
  <si>
    <t>NNAGW</t>
  </si>
  <si>
    <t>99 Acquisition Group Inc. Warrant</t>
  </si>
  <si>
    <t>NVNI</t>
  </si>
  <si>
    <t>Nvni Group Limited Ordinary Shares</t>
  </si>
  <si>
    <t>NWGL</t>
  </si>
  <si>
    <t>Nature Wood Group Limited American Depositary Shares</t>
  </si>
  <si>
    <t>PMTU</t>
  </si>
  <si>
    <t>PennyMac Mortgage Investment Trust 8.50% Senior Notes due 2028</t>
  </si>
  <si>
    <t>REGCO</t>
  </si>
  <si>
    <t>Regency Centers Corporation 5.875% Series B Cumulative Redeemable Preferred Stock</t>
  </si>
  <si>
    <t>REGCP</t>
  </si>
  <si>
    <t>Regency Centers Corporation 6.25% Series A Cumulative Redeemable Preferred Stock</t>
  </si>
  <si>
    <t>RMCO</t>
  </si>
  <si>
    <t>Royalty Management Holding Corporation Class A Common Stock</t>
  </si>
  <si>
    <t>SGD</t>
  </si>
  <si>
    <t>Safe and Green Development Corporation Common Stock</t>
  </si>
  <si>
    <t>SGE</t>
  </si>
  <si>
    <t>Strong Global Entertainment Inc. Class A Common Voting Shares</t>
  </si>
  <si>
    <t>SPKLU</t>
  </si>
  <si>
    <t>Spark I Acquisition Corp. Unit</t>
  </si>
  <si>
    <t>SPPL</t>
  </si>
  <si>
    <t>SIMPPLE LTD. Ordinary Shares</t>
  </si>
  <si>
    <t>SWKHL</t>
  </si>
  <si>
    <t>SWK Holdings Corporation 9.00% Senior Notes due 2027</t>
  </si>
  <si>
    <t>TFSA</t>
  </si>
  <si>
    <t>Terra Income Fund 6 LLC 7.00% Notes due 2026</t>
  </si>
  <si>
    <t>TSBX</t>
  </si>
  <si>
    <t>Turnstone Biologics Corp. Common Stock</t>
  </si>
  <si>
    <t>ULY</t>
  </si>
  <si>
    <t>Urgent.ly Inc. Common Stock</t>
  </si>
  <si>
    <t>VFSWW</t>
  </si>
  <si>
    <t>VinFast Auto Ltd. Warrant</t>
  </si>
  <si>
    <t>WHFCL</t>
  </si>
  <si>
    <t>WhiteHorse Finance Inc. 7.875% Notes due 2028</t>
  </si>
  <si>
    <t>RCKTW</t>
  </si>
  <si>
    <t>Rocket Pharmaceuticals Inc. Warrant</t>
  </si>
  <si>
    <t>HHRS</t>
  </si>
  <si>
    <t>Hammerhead Energy Inc. Class A Common Stock</t>
  </si>
  <si>
    <t>LTRY</t>
  </si>
  <si>
    <t>Lottery.com Inc. Common Stock</t>
  </si>
  <si>
    <t>LTRYW</t>
  </si>
  <si>
    <t>Lottery.com Inc. Warrants</t>
  </si>
  <si>
    <t>OPXS</t>
  </si>
  <si>
    <t>Optex Systems Holdings Inc. Common Stock</t>
  </si>
  <si>
    <t>HBANL</t>
  </si>
  <si>
    <t>Huntington Bancshares Incorporated Depositary Shares Each Representing a 1/40th Interest in a Share of 6.875% Series J Non-Cumulative Perpetual Preferred Stock</t>
  </si>
  <si>
    <t>FTAIM</t>
  </si>
  <si>
    <t>FTAI Aviation Ltd. 9.500% Fixed-Rate Reset Series D Cumulative Perpetual Redeemable Preferred Shares</t>
  </si>
  <si>
    <t>AAIC^B</t>
  </si>
  <si>
    <t>Arlington Asset Investment Corp 7.00%</t>
  </si>
  <si>
    <t>AAIC^C</t>
  </si>
  <si>
    <t>Arlington Asset Investment Corp 8.250% Seies C Fixed-to-Floating Rate Cumulative Redeemable Preferred Stock</t>
  </si>
  <si>
    <t>ABR^D</t>
  </si>
  <si>
    <t>Arbor Realty Trust 6.375% Series D Cumulative Redeemable Preferred Stock Liquidation Preference $25.00 per Share</t>
  </si>
  <si>
    <t>ABR^E</t>
  </si>
  <si>
    <t>Arbor Realty Trust 6.25% Series E Cumulative Redeemable Preferred Stock</t>
  </si>
  <si>
    <t>ABR^F</t>
  </si>
  <si>
    <t>Arbor Realty Trust 6.25% Series F Fixed-to-Floating Rate Cumulative Redeemable Preferred Stock Liquidation Preference $25.00 per share</t>
  </si>
  <si>
    <t>ABVX</t>
  </si>
  <si>
    <t>Abivax SA American Depositary Shares</t>
  </si>
  <si>
    <t>ACP^A</t>
  </si>
  <si>
    <t>abrdn Income Credit Strategies Fund 5.250% Series A Perpetual Preferred Stock</t>
  </si>
  <si>
    <t>ACR^C</t>
  </si>
  <si>
    <t>ACRES Commercial Realty Corp. 8.625% Fixed-to-Floating Series C Cumulative Redeemable Preferred Stock</t>
  </si>
  <si>
    <t>ACR^D</t>
  </si>
  <si>
    <t>ACRES Commercial Realty Corp. 7.875% Series D Cumulative Redeemable Preferred Stock</t>
  </si>
  <si>
    <t>ADC^A</t>
  </si>
  <si>
    <t>Agree Realty Corporation Depositary Shares each representing 1/1000th of a 4.250% Series A Cumulative Redeemable Preferred Stock</t>
  </si>
  <si>
    <t>AEL^A</t>
  </si>
  <si>
    <t>American Equity Investment Life Holding Company Depositary Shares each representing a 1/1000th interest in a share of 5.95% Fixed-Rate Reset Non-Cumulative Preferred Stock Series A</t>
  </si>
  <si>
    <t>AEL^B</t>
  </si>
  <si>
    <t>American Equity Investment Life Holding Company Depositary Shares each representing a 1/1000th interest in a share of 6.625% Fixed-Rate Reset Non-Cumulative Preferred Stock Series B</t>
  </si>
  <si>
    <t>AGM^C</t>
  </si>
  <si>
    <t>Federal Agricultural Mortgage Corporation Preferred Series C Fixed to Fltg</t>
  </si>
  <si>
    <t>AGM^D</t>
  </si>
  <si>
    <t>Federal Agricultural Mortgage Corporation 5.700% Non-Cumulative Preferred Stock Series D</t>
  </si>
  <si>
    <t>AGM^E</t>
  </si>
  <si>
    <t>Federal Agricultural Mortgage Corporation 5.750% Non-Cumulative Preferred Stock Series E</t>
  </si>
  <si>
    <t>AGM^F</t>
  </si>
  <si>
    <t>Federal Agricultural Mortgage Corporation 5.250% Non-Cumulative Preferred Stock Series F</t>
  </si>
  <si>
    <t>AGM^G</t>
  </si>
  <si>
    <t>Federal Agricultural Mortgage Corporation 4.875% Non-Cumulative Preferred Stock Series G</t>
  </si>
  <si>
    <t>AHH^A</t>
  </si>
  <si>
    <t>Armada Hoffler Properties Inc. 6.75% Series A Cumulative Redeemable Perpetual Preferred Stock</t>
  </si>
  <si>
    <t>AHL^C</t>
  </si>
  <si>
    <t>Aspen Insurance Holdings Limited 5.95% Fixed-to-Floating Rate Perpetual Non-Cumulative Preference Shares</t>
  </si>
  <si>
    <t>AHL^D</t>
  </si>
  <si>
    <t>Aspen Insurance Holdings Limited 5.625% Perpetual Non-Cumulative Preference Shares</t>
  </si>
  <si>
    <t>AHL^E</t>
  </si>
  <si>
    <t>Aspen Insurance Holdings Limited Depositary Shares each representing a 1/1000th interest in a share of 5.625% Perpetual Non-Cumulative Preference Shares</t>
  </si>
  <si>
    <t>AHT^D</t>
  </si>
  <si>
    <t>Ashford Hospitality Trust Inc 8.45% Series D Cumulative Preferred Stock</t>
  </si>
  <si>
    <t>AHT^F</t>
  </si>
  <si>
    <t>Ashford Hospitality Trust Inc 7.375% Series F Cumulative Preferred Stock</t>
  </si>
  <si>
    <t>AHT^G</t>
  </si>
  <si>
    <t>Ashford Hospitality Trust Inc 7.375% Series G Cumulative Preferred Stock</t>
  </si>
  <si>
    <t>AHT^H</t>
  </si>
  <si>
    <t>Ashford Hospitality Trust Inc 7.50% Series H Cumulative Preferred Stock</t>
  </si>
  <si>
    <t>AHT^I</t>
  </si>
  <si>
    <t>Ashford Hospitality Trust Inc 7.50% Series I Cumulative Preferred Stock</t>
  </si>
  <si>
    <t>AIG^A</t>
  </si>
  <si>
    <t>American International Group Inc. Depositary Shares Each Representing a 1/1000th Interest in a Share of Series A 5.85% Non-Cumulative Perpetual Preferred Stock</t>
  </si>
  <si>
    <t>AKO/A</t>
  </si>
  <si>
    <t>Embotelladora Andina S.A.</t>
  </si>
  <si>
    <t>AKO/B</t>
  </si>
  <si>
    <t>AL^A</t>
  </si>
  <si>
    <t>Air Lease Corporation 6.150% Fixed-to-Floating Rate Non-Cumulative Perpetual Preferred Stock Series A</t>
  </si>
  <si>
    <t>ALL^B</t>
  </si>
  <si>
    <t>Allstate Corporation (The) 5.100% Fixed-to-Floating Rate Subordinated Debentures due 2053</t>
  </si>
  <si>
    <t>ALL^H</t>
  </si>
  <si>
    <t>Allstate Corporation (The) Depositary Shares each representing a 1/1000th interest in a share of Fixed Rate Noncumulative Perpetual Preferred Stock Series H</t>
  </si>
  <si>
    <t>ALL^I</t>
  </si>
  <si>
    <t>Allstate Corporation (The) Depositary Shares each representing a 1/1000th interest in a share of Fixed Rate Noncumulative Perpetual Preferred Stock Series I</t>
  </si>
  <si>
    <t>ALL^J</t>
  </si>
  <si>
    <t>Allstate Corporation (The) Depositary Shares each representing a 1/1000th interest in a share of Fixed Rate Noncumulative Perpetual Preferred Stock Series J</t>
  </si>
  <si>
    <t>ALTG^A</t>
  </si>
  <si>
    <t>Alta Equipment Group Inc. Depositary Shares (each representing 1/1000th in a share of 10% Series A Cumulative Perpetual Preferred Stock)</t>
  </si>
  <si>
    <t>AMH^G</t>
  </si>
  <si>
    <t>American Homes 4 Rent Series G cumulative redeemable perpetual preferred shares of beneficial interest</t>
  </si>
  <si>
    <t>AMH^H</t>
  </si>
  <si>
    <t>American Homes 4 Rent Series H cumulative redeemable perpetual Preferred Shares of Beneficial Interest</t>
  </si>
  <si>
    <t>APO^A</t>
  </si>
  <si>
    <t>Apollo Global Management Inc. 6.75% Series A Mandatory Convertible Preferred Stock</t>
  </si>
  <si>
    <t>ARGO^A</t>
  </si>
  <si>
    <t>Argo Group International Holdings Ltd. Depositary Shares Each Representing a 1/1000th Interest in a 7.00% Resettable Fixed Rate Preference Share Series A</t>
  </si>
  <si>
    <t>ARR^C</t>
  </si>
  <si>
    <t>ARMOUR Residential REIT Inc. 7% Series C Cumulative Redeemable Preferred Stock (liquidation preference $25.00 per share)</t>
  </si>
  <si>
    <t>ASB^E</t>
  </si>
  <si>
    <t>Associated Banc-Corp Depositary Shares each representing a 1/40th interest in a share of 5.875% Non-Cumulative Perpetual Preferred Stock Series E</t>
  </si>
  <si>
    <t>ASB^F</t>
  </si>
  <si>
    <t>Associated Banc-Corp Depositary Shares each representing a 1/40th interest in a share of Associated Banc-Corp 5.625% Non-Cumulative Perpetual Preferred Stock Series F</t>
  </si>
  <si>
    <t>ATCO^D</t>
  </si>
  <si>
    <t>Atlas Corp. 7.95% Series D</t>
  </si>
  <si>
    <t>ATCO^H</t>
  </si>
  <si>
    <t>Atlas Corp. 7.875% Series H</t>
  </si>
  <si>
    <t>ATH^A</t>
  </si>
  <si>
    <t>Athene Holding Ltd. Depositary Shares Each Representing a 1/1000th Interest in a 6.35% Fixed-to-Floating Rate Perpetual Non-Cumulative Preference Share Series A</t>
  </si>
  <si>
    <t>ATH^B</t>
  </si>
  <si>
    <t>Athene Holding Ltd. Depositary Shares Each Representing a 1/1000th Interest in a 5.625% Fixed Rate Perpetual Non- Cumulative Preference Share Series B par value $1.00 per share</t>
  </si>
  <si>
    <t>ATH^C</t>
  </si>
  <si>
    <t>Athene Holding Ltd. Depositary Shares each representing a 1/1000th Interest in a Share of 6.375% Fixed-Rate Reset Perpetual Non-Cumulative Preference Shares Series C</t>
  </si>
  <si>
    <t>ATH^D</t>
  </si>
  <si>
    <t>Athene Holding Ltd. Depositary Shares Each Representing a 1/1000th Interest in a 4.875% Fixed-Rate Perpetual Non-Cumulative Preference Share Series D</t>
  </si>
  <si>
    <t>ATH^E</t>
  </si>
  <si>
    <t>Athene Holding Ltd. Depositary Shares Each Representing a 1/1000th Interest in a 7.750% Fixed-Rate Reset Perpetual Non-Cumulative Preference Share Series E</t>
  </si>
  <si>
    <t>AUB^A</t>
  </si>
  <si>
    <t>Atlantic Union Bankshares Corporation Depositary Shares each representing a 1/400th ownership interest in a share of 6.875% Perpetual Non-Cumulative Preferred Stock Series A</t>
  </si>
  <si>
    <t>AULT^D</t>
  </si>
  <si>
    <t>Ault Alliance Inc. 13.00% Series D Cumulative Redeemable Perpetual Preferred Stock</t>
  </si>
  <si>
    <t>AXS^E</t>
  </si>
  <si>
    <t>Axis Capital Holdings Limited Depositary Shares each representing 1/100th interest in a share of a 5.50% Series E Preferred Shares</t>
  </si>
  <si>
    <t>BAC^B</t>
  </si>
  <si>
    <t>Bank of America Corporation Depositary Shares each representing a 1/1000th interest in a share of 6.000% Non-Cumulative Preferred Stock Series GG</t>
  </si>
  <si>
    <t>BAC^E</t>
  </si>
  <si>
    <t>Bank of America Corporation Depositary Sh repstg 1/1000th Perp Pfd Ser E</t>
  </si>
  <si>
    <t>BAC^K</t>
  </si>
  <si>
    <t>Bank of America Corporation Depositary Shares each representing a 1/1000th interest in a share of 5.875% Non- Cumulative Preferred Stock Series HH</t>
  </si>
  <si>
    <t>BAC^L</t>
  </si>
  <si>
    <t>Bank of America Corporation Non Cumulative Perpetual Conv Pfd Ser L</t>
  </si>
  <si>
    <t>BAC^M</t>
  </si>
  <si>
    <t>Bank of America Corporation Depositary Shares each representing a 1/1000th interest in a share of 5.375% Non-Cumulative Preferred Stock Series KK</t>
  </si>
  <si>
    <t>BAC^N</t>
  </si>
  <si>
    <t>Bank of America Corporation Depositary shares each representing 1/1000th interest in a share of 5.000% Non-Cumulative Preferred Stock Series LL</t>
  </si>
  <si>
    <t>BAC^O</t>
  </si>
  <si>
    <t>Bank of America Corporation Depositary shares each representing 1/1000th interest in a share of 4.375% Non-Cumulative Preferred Stock Series NN</t>
  </si>
  <si>
    <t>BAC^P</t>
  </si>
  <si>
    <t>Bank of America Corporation Depositary Shares each representing a 1/1000th interest in a share of 4.125% Non-Cumulative Preferred Stock Series PP</t>
  </si>
  <si>
    <t>BAC^Q</t>
  </si>
  <si>
    <t>Bank of America Corporation Depositary shares each representing 1/1000th interest in a share of 4.250% Non-Cumulative Preferred Stock Series QQ</t>
  </si>
  <si>
    <t>BAC^S</t>
  </si>
  <si>
    <t>Bank of America Corporation Depositary shares each representing 1/1000th interest in a share of 4.750% Non-Cumulative Preferred Stock Series SS</t>
  </si>
  <si>
    <t>BC^A</t>
  </si>
  <si>
    <t>Brunswick Corporation 6.500% Senior Notes due 2048</t>
  </si>
  <si>
    <t>BC^B</t>
  </si>
  <si>
    <t>Brunswick Corporation 6.625% Senior Notes due 2049</t>
  </si>
  <si>
    <t>BC^C</t>
  </si>
  <si>
    <t>Brunswick Corporation 6.375% Notes due 2049</t>
  </si>
  <si>
    <t>BCV^A</t>
  </si>
  <si>
    <t>Bancroft Fund Limited 5.375% Series A Cumulative Preferred Shares</t>
  </si>
  <si>
    <t>BEP^A</t>
  </si>
  <si>
    <t>Brookfield Renewable Partners L.P. 5.25% Class A Preferred Limited Partnership Units Series 17</t>
  </si>
  <si>
    <t>BF/A</t>
  </si>
  <si>
    <t>Brown Forman Corporation</t>
  </si>
  <si>
    <t>BF/B</t>
  </si>
  <si>
    <t>BFS^D</t>
  </si>
  <si>
    <t>Saul Centers Inc. Depositary Shares each representing 1/100th of a share of 6.125% Series D Cumulative Redeemable Preferred Stock</t>
  </si>
  <si>
    <t>BFS^E</t>
  </si>
  <si>
    <t>Saul Centers Inc. Depositary shares each representing a 1/100th fractional interest in a share of 6.000% Series E Cumulative Redeemable Preferred Stock</t>
  </si>
  <si>
    <t>BHR^B</t>
  </si>
  <si>
    <t>Braemar Hotels &amp; Resorts Inc. 5.50% Series B Cumulative Convertible Preferred Stock par value $0.01 per share</t>
  </si>
  <si>
    <t>BHR^D</t>
  </si>
  <si>
    <t>Braemar Hotels &amp; Resorts Inc. 8.25% Series D Cumulative Preferred Stock  par value $0.01 per share</t>
  </si>
  <si>
    <t>BIO/B</t>
  </si>
  <si>
    <t>Bio-Rad Laboratories Inc.</t>
  </si>
  <si>
    <t>BIP^A</t>
  </si>
  <si>
    <t>Brookfield Infrastructure Partners LP 5.125% Class A Preferred Limited Partnership Units Series 13</t>
  </si>
  <si>
    <t>BIP^B</t>
  </si>
  <si>
    <t>Brookfield Infrastructure Partners LP 5.000% Class A Preferred Limited Partnership Units Series 14</t>
  </si>
  <si>
    <t>BML^G</t>
  </si>
  <si>
    <t>Bank of America Corporation Depositary Shares (Each representing a 1/1200th interest in a share of Floating Rate Non-Cumulative Preferred Stock  Series 1)</t>
  </si>
  <si>
    <t>BML^H</t>
  </si>
  <si>
    <t>Bank of America Corporation Depositary Shares (Each representing a 1/1200th interest in a Share of Floating Rate Non-Cumulative Preferred Stock Series 2)</t>
  </si>
  <si>
    <t>BML^J</t>
  </si>
  <si>
    <t>Bank of America Corporation Depositary Shares (Each representing a 1/1200th interest in a Share of Floating Rate Non-Cumulative Preferred Stock Series 4)</t>
  </si>
  <si>
    <t>BML^L</t>
  </si>
  <si>
    <t>Bank of America Corporation Depositary Shares (Each representing a 1/1200th Interest in a Share of Floating Rate Non-Cumulative Preferred Stock Series 5)</t>
  </si>
  <si>
    <t>BOH^A</t>
  </si>
  <si>
    <t>Bank of Hawaii Corporation Depositary Shares Each Representing a 1/40th Interest in a Share of 4.375% Fixed Rate Non-Cumulative Perpetual Preferred Stock Series A</t>
  </si>
  <si>
    <t>BW^A</t>
  </si>
  <si>
    <t>Babcock &amp; Wilcox Enterprises Inc. 7.75% Series A Cumulative Perpetual Preferred Stock</t>
  </si>
  <si>
    <t>C^J</t>
  </si>
  <si>
    <t>Citigroup Inc. Dep Shs Repstg 1/1000 Pfd Ser J Fixed/Fltg</t>
  </si>
  <si>
    <t>C^K</t>
  </si>
  <si>
    <t>Citigroup Inc. Dep Shs Repstg 1/1000th Pfd Ser K</t>
  </si>
  <si>
    <t>C^N</t>
  </si>
  <si>
    <t>Citigroup Capital XIII 7.875% Fixed rate Floating Rate trust Preferred Securities (TruPS)</t>
  </si>
  <si>
    <t>CADE^A</t>
  </si>
  <si>
    <t>Cadence Bank 5.50% Series A</t>
  </si>
  <si>
    <t>CCIA</t>
  </si>
  <si>
    <t>Carlyle Credit Income Fund 8.75% Series A Preferred Shares due 2028</t>
  </si>
  <si>
    <t>CDR^B</t>
  </si>
  <si>
    <t>Cedar Realty Trust Inc. 7.25% Series B Cumulative Redeemable Preferred Stock</t>
  </si>
  <si>
    <t>CDR^C</t>
  </si>
  <si>
    <t>Cedar Realty Trust Inc. 6.50% Series C Cumulative Redeemable Preferred Stock</t>
  </si>
  <si>
    <t>CFG^D</t>
  </si>
  <si>
    <t>Citizens Financial Group Inc. Depositary Shares each representing a 1/40th Interest in a Share of 6.350% Fixed-to-Floating Rate Non-Cumulative Perpetual Preferred Stock Series D</t>
  </si>
  <si>
    <t>CFG^E</t>
  </si>
  <si>
    <t>Citizens Financial Group Inc. Depositary Shares Each Representing 1/40th Interest in a Share of 5.000% Fixed-Rate Non-Cumulative Perpetual Preferred Stock Series E</t>
  </si>
  <si>
    <t>CFR^B</t>
  </si>
  <si>
    <t>Cullen/Frost Bankers Inc. Depositary Shares each representing a 1/40th ownership interest in a share of 4.450% non-cumulative perpetual preferred stock Series B</t>
  </si>
  <si>
    <t>CHMI^A</t>
  </si>
  <si>
    <t>Cherry Hill Mortgage Investment Corporation 8.20% Series A Cumulative Redeemable Preferred Stock</t>
  </si>
  <si>
    <t>CHMI^B</t>
  </si>
  <si>
    <t>Cherry Hill Mortgage Investment Corporation 8.250% Series B Fixed-to-Floating Rate Cumulative Redeemable Preferred Stock</t>
  </si>
  <si>
    <t>CIM^A</t>
  </si>
  <si>
    <t>Chimera Investment Corporation 8.00% Series A Cumulative Redeemable Preferred Stock</t>
  </si>
  <si>
    <t>CIM^B</t>
  </si>
  <si>
    <t>Chimera Investment Corporation 8.00% Series B Fixed-to-Floating Rate Cumulative Redeemable Preferred Stock</t>
  </si>
  <si>
    <t>CIM^C</t>
  </si>
  <si>
    <t>Chimera Investment Corporation 7.75% Series C Fixed-to-Floating Rate  Cumulative Redeemable  Preferred Stock</t>
  </si>
  <si>
    <t>CIM^D</t>
  </si>
  <si>
    <t>Chimera Investment Corporation 8.00% Series D Fixed-to-Floating Rate Cumulative Redeemable Preferred Stock</t>
  </si>
  <si>
    <t>CIO^A</t>
  </si>
  <si>
    <t>City Office REIT Inc. 6.625% Series A Cumulative Redeemable Preferred Stock</t>
  </si>
  <si>
    <t>CLDT^A</t>
  </si>
  <si>
    <t>Chatham Lodging Trust (REIT) 6.625% Series A Cumulative Redeemable Preferred Shares of Beneficial Interest</t>
  </si>
  <si>
    <t>CLVT^A</t>
  </si>
  <si>
    <t>Clarivate Plc 5.25% Series A Mandatory Convertible Preferred Shares</t>
  </si>
  <si>
    <t>CMRE^B</t>
  </si>
  <si>
    <t>Costamare Inc. Perpetual Preferred Stock Series B (Marshall Islands)</t>
  </si>
  <si>
    <t>CMRE^C</t>
  </si>
  <si>
    <t>Costamare Inc. Perpetual Preferred Series C (Marshall Islands)</t>
  </si>
  <si>
    <t>CMRE^D</t>
  </si>
  <si>
    <t>Costamare Inc. 8.75% Series D Cumulative Redeemable Perpetual Preferred Stock</t>
  </si>
  <si>
    <t>CMRE^E</t>
  </si>
  <si>
    <t>Costamare Inc. 8.875% Series E Cumulative Redeemable Perpetual Preferred Stock par value $0.0001</t>
  </si>
  <si>
    <t>CMS^B</t>
  </si>
  <si>
    <t>CMS Energy Corporation Preferred Stock</t>
  </si>
  <si>
    <t>CMS^C</t>
  </si>
  <si>
    <t>CMS Energy Corporation Depositary Shares each representing a 1/1000th interest in a share of 4.200% Cumulative Redeemable Perpetual Preferred Stock Series C</t>
  </si>
  <si>
    <t>CNO^A</t>
  </si>
  <si>
    <t>CNO Financial Group Inc. 5.125% Subordinated Debentures due 2060</t>
  </si>
  <si>
    <t>CODI^A</t>
  </si>
  <si>
    <t>Compass Diversified Holdings 7.250% Series A Preferred Shares representing beneficial interest in Compass Diversified Holdings</t>
  </si>
  <si>
    <t>CODI^B</t>
  </si>
  <si>
    <t>Compass Diversified Holdings 7.875% Series B Fixed-to-Floating Rate Cumulative Preferred Shares representing beneficial interests in Compass Diversified Holdings</t>
  </si>
  <si>
    <t>CODI^C</t>
  </si>
  <si>
    <t>Compass Diversified Holdings 7.875% Series C Cumulative Preferred Shares</t>
  </si>
  <si>
    <t>COF^I</t>
  </si>
  <si>
    <t>Capital One Financial Corporation Depositary shares each representing a 1/40th interest in a share of Fixed Rate Non-Cumulative Perpetual Preferred Stock Series I of the Issuer</t>
  </si>
  <si>
    <t>COF^J</t>
  </si>
  <si>
    <t>Capital One Financial Corporation Depositary Shares Each Representing a 1/40th Interest in a Share of Fixed Rate Non- Cumulative Perpetual Preferred Stock Series J</t>
  </si>
  <si>
    <t>COF^K</t>
  </si>
  <si>
    <t>Capital One Financial Corporation Depositary Shares Each Representing a 1/40th Ownership Interest in a Share of Fixed Rate Non-Cumulative Perpetual Preferred Stock Series K</t>
  </si>
  <si>
    <t>COF^L</t>
  </si>
  <si>
    <t>Capital One Financial Corporation Depositary Shares Each Representing a 1/40th Interest in a Share of Fixed Rate Non-Cumulative Perpetual Preferred Stock Series L</t>
  </si>
  <si>
    <t>COF^N</t>
  </si>
  <si>
    <t>Capital One Financial Corporation Depositary Shares Each Representing a 1/40th Ownership Interest in a Share of Fixed Rate Non-Cumulative Perpetual Preferred Stock Series N</t>
  </si>
  <si>
    <t>CORR^A</t>
  </si>
  <si>
    <t>CorEnergy Infrastructure Trust Inc. Depositary Shares each representing a 1/100th fractional interest of a share of 7.375% Series A Cumulative Redeemable Preferred Stock</t>
  </si>
  <si>
    <t>CRD/A</t>
  </si>
  <si>
    <t>Crawford &amp; Company</t>
  </si>
  <si>
    <t>CRD/B</t>
  </si>
  <si>
    <t>CSR^C</t>
  </si>
  <si>
    <t>D/B/A Centerspace 6.625% Series C</t>
  </si>
  <si>
    <t>CTA^A</t>
  </si>
  <si>
    <t>EIDP Inc. Preferred Stock $3.50 Series</t>
  </si>
  <si>
    <t>CTA^B</t>
  </si>
  <si>
    <t>EIDP Inc. Preferred Stock $4.50 Series</t>
  </si>
  <si>
    <t>CTO^A</t>
  </si>
  <si>
    <t>CTO Realty Growth Inc. 6.375% Series A Cumulative Redeemable Preferred Stock</t>
  </si>
  <si>
    <t>CUBI^E</t>
  </si>
  <si>
    <t>Customers Bancorp Inc Fixed-to-Floating Rate Non-Cumulative Perpetual Preferred Stock Series E</t>
  </si>
  <si>
    <t>CUBI^F</t>
  </si>
  <si>
    <t>Customers Bancorp Inc Fixed-to-Floating Rate Non-Cumulative Perpetual Preferred Stock Series F</t>
  </si>
  <si>
    <t>DBRG^H</t>
  </si>
  <si>
    <t>DigitalBridge Group Inc. 7.125% Series H</t>
  </si>
  <si>
    <t>DBRG^I</t>
  </si>
  <si>
    <t>DigitalBridge Group Inc. 7.15% Series I</t>
  </si>
  <si>
    <t>DBRG^J</t>
  </si>
  <si>
    <t>DigitalBridge Group Inc. 7.125% Series J</t>
  </si>
  <si>
    <t>DLNG^A</t>
  </si>
  <si>
    <t>Dynagas LNG Partners LP 9.00% Series A Cumulative Redeemable Preferred Units</t>
  </si>
  <si>
    <t>DLNG^B</t>
  </si>
  <si>
    <t>Dynagas LNG Partners LP 8.75% Series B Fixed to Floating Rate Cumulative Redeemable Perpetual Preferred Units liquidation preference $25.00 per Uni</t>
  </si>
  <si>
    <t>DLR^J</t>
  </si>
  <si>
    <t>Digital Realty Trust Inc. 5.250% Series J Cumulative Redeemable Preferred Stock</t>
  </si>
  <si>
    <t>DLR^K</t>
  </si>
  <si>
    <t>Digital Realty Trust Inc. 5.850% Series K Cumulative Redeemable Preferred Stock par value $0.01 per share</t>
  </si>
  <si>
    <t>DLR^L</t>
  </si>
  <si>
    <t>Digital Realty Trust Inc. 5.200% Series L Cumulative Redeemable Preferred Stock</t>
  </si>
  <si>
    <t>DRH^A</t>
  </si>
  <si>
    <t>Diamondrock Hospitality Company 8.250% Series A Cumulative Redeemable Preferred Stock</t>
  </si>
  <si>
    <t>DSX^B</t>
  </si>
  <si>
    <t>Diana Shipping Inc. Perpetual Preferred Shares Series B (Marshall Islands)</t>
  </si>
  <si>
    <t>DUK^A</t>
  </si>
  <si>
    <t>Duke Energy Corporation Depositary Shares each representing a 1/1000th interest in a share of 5.75% Series A Cumulative Redeemable Perpetual Preferred Stock</t>
  </si>
  <si>
    <t>DX^C</t>
  </si>
  <si>
    <t>Dynex Capital Inc. 6.900% Series C Fixed-to-Floating Rate Cumulative Redeemable Preferred Stock</t>
  </si>
  <si>
    <t>ECC^D</t>
  </si>
  <si>
    <t>Eagle Point Credit Company Inc. 6.75% Series D Preferred Stock</t>
  </si>
  <si>
    <t>ECF^A</t>
  </si>
  <si>
    <t>Ellsworth Growth and Income Fund Ltd. 5.25% Series A Cumulative Preferred Shares (Liquidation Preference $25.00 per share)</t>
  </si>
  <si>
    <t>EFC^A</t>
  </si>
  <si>
    <t>Ellington Financial Inc. 6.750% Series A Fixed-to-Floating Rate Cumulative Redeemable Preferred Stock</t>
  </si>
  <si>
    <t>EFC^B</t>
  </si>
  <si>
    <t>Ellington Financial Inc. 6.250% Series B Fixed-Rate Reset Cumulative Redeemable Preferred Stock</t>
  </si>
  <si>
    <t>EFC^C</t>
  </si>
  <si>
    <t>Ellington Financial Inc. 8.625% Series C Fixed-Rate Reset Cumulative Redeemable Preferred Stock</t>
  </si>
  <si>
    <t>EP^C</t>
  </si>
  <si>
    <t>El Paso Corporation Preferred Stock</t>
  </si>
  <si>
    <t>EPR^C</t>
  </si>
  <si>
    <t>EPR Properties 5.75% Series C Cumulative Convertible Preferred Shares</t>
  </si>
  <si>
    <t>EPR^E</t>
  </si>
  <si>
    <t>EPR Properties Series E Cumulative Conv Pfd Shs Ser E</t>
  </si>
  <si>
    <t>EPR^G</t>
  </si>
  <si>
    <t>EPR Properties 5.750% Series G Cumulative Redeemable Preferred Shares</t>
  </si>
  <si>
    <t>EQC^D</t>
  </si>
  <si>
    <t>Equity Commonwealth 6.50% Pfd Conv Shs Ser D</t>
  </si>
  <si>
    <t>EQH^A</t>
  </si>
  <si>
    <t>Equitable Holdings Inc. Depositary Shares</t>
  </si>
  <si>
    <t>EQH^C</t>
  </si>
  <si>
    <t>Equitable Holdings Inc. Depositary Shares each representing a 1/1000th interest in a share of Fixed Rate Noncumulative Perpetual Preferred Stock Series C</t>
  </si>
  <si>
    <t>ET^C</t>
  </si>
  <si>
    <t>Energy Transfer L.P. 7.375% Series C Fixed-to-Floating Rate Cumulative Redeemable Perpetual Preferred Unit</t>
  </si>
  <si>
    <t>ET^D</t>
  </si>
  <si>
    <t>Energy Transfer L.P. 7.625% Series D Fixed-to-Floating Rate Cumulative Redeemable Perpetual Preferred Unit</t>
  </si>
  <si>
    <t>ET^E</t>
  </si>
  <si>
    <t>Energy Transfer L.P. 7.600% Series E Fixed-to-Floating Rate Cumulative Redeemable Perpetual Preferred Unit</t>
  </si>
  <si>
    <t>ET^I</t>
  </si>
  <si>
    <t>Energy Transfer L.P. Series I Fixed Rate Perpetual Preferred Units</t>
  </si>
  <si>
    <t>ETI^</t>
  </si>
  <si>
    <t>Entergy Texas Inc 5.375% Series A Preferred Stock Cumulative No Par Value</t>
  </si>
  <si>
    <t>F^B</t>
  </si>
  <si>
    <t>Ford Motor Company 6.20% Notes due June 1 2059</t>
  </si>
  <si>
    <t>F^C</t>
  </si>
  <si>
    <t>Ford Motor Company 6% Notes due December 1 2059</t>
  </si>
  <si>
    <t>F^D</t>
  </si>
  <si>
    <t>Ford Motor Company 6.500% Notes due August 15 2062</t>
  </si>
  <si>
    <t>FBRT^E</t>
  </si>
  <si>
    <t>Franklin BSP Realty Trust Inc. 7.50% Series E Cumulative Redeemable Preferred Stock</t>
  </si>
  <si>
    <t>FHN^B</t>
  </si>
  <si>
    <t>First Horizon Corporation Depositary Shares each representing a 1/400th interest in a share of Non-Cumulative Perpetual Preferred Stock Series B</t>
  </si>
  <si>
    <t>FHN^C</t>
  </si>
  <si>
    <t>First Horizon Corporation Depositary Shares each representing a 1/400th interest in a share of Non-Cumulative Perpetual Preferred Stock Series C</t>
  </si>
  <si>
    <t>FHN^D</t>
  </si>
  <si>
    <t>First Horizon Corporation Depositary Shares each representing a 1/400th interest in a share of Non-Cumulative Perpetual Preferred Stock Series D</t>
  </si>
  <si>
    <t>FHN^E</t>
  </si>
  <si>
    <t>First Horizon Corporation Depositary Shares each representing a 1/4000th interest in a share of Non-Cumulative Perpetual Preferred Stock Series E</t>
  </si>
  <si>
    <t>FHN^F</t>
  </si>
  <si>
    <t>First Horizon Corporation Depositary Shares each representing 1/4000th Interest in a Share of Non-Cumulative Perpetual Preferred Stock Series F</t>
  </si>
  <si>
    <t>FNB^E</t>
  </si>
  <si>
    <t>F.N.B. Corporation Depositary Shares each representing a 1/40th interest in a share of Fixed-to-Floating Rate Non-Cumulative Perpetual Preferred  Stock Series E</t>
  </si>
  <si>
    <t>FRT^C</t>
  </si>
  <si>
    <t>Federal Realty Investment Trust Depositary Shares each representing a 1/1000th interest in a 5.000% Series C Cumulative Redeemable Preferred Share</t>
  </si>
  <si>
    <t>GAB^G</t>
  </si>
  <si>
    <t>Gabelli Equity Trust Inc. (The) Series G Cumulative Preferred Stock</t>
  </si>
  <si>
    <t>GAB^H</t>
  </si>
  <si>
    <t>Gabelli Equity Trust Inc. (The) Pfd Ser H</t>
  </si>
  <si>
    <t>GAB^K</t>
  </si>
  <si>
    <t>Gabelli Equity Trust Inc. (The) 5.00% Series K Cumulative Preferred Stock</t>
  </si>
  <si>
    <t>GAM^B</t>
  </si>
  <si>
    <t>General American Investors Company Inc. Cumulative Preferred Stock</t>
  </si>
  <si>
    <t>GDL^C</t>
  </si>
  <si>
    <t>The GDL Fund Series C Cumulative Puttable and Callable Preferred Shares</t>
  </si>
  <si>
    <t>GDV^H</t>
  </si>
  <si>
    <t>The Gabelli Dividend &amp; Income Trust 5.375% Series H Cumulative Preferred Shares</t>
  </si>
  <si>
    <t>GDV^K</t>
  </si>
  <si>
    <t>The Gabelli Dividend &amp; Income Trust 4.250% Series K Cumulative Preferred Shares</t>
  </si>
  <si>
    <t>GGN^B</t>
  </si>
  <si>
    <t>GAMCO Global Gold Natural Reources &amp; Income Trust 5.00% Series B Cumulative 25.00 Liquidation Preference</t>
  </si>
  <si>
    <t>GGT^G</t>
  </si>
  <si>
    <t>Gabelli Multi-Media Trust Inc. (The) 5.125% Series G Cumulative Preferred Shares</t>
  </si>
  <si>
    <t>GL^D</t>
  </si>
  <si>
    <t>Globe Life Inc. 4.25% Junior Subordinated Debentures due 2061</t>
  </si>
  <si>
    <t>GLOG^A</t>
  </si>
  <si>
    <t>GasLog LP. 8.75% Series A Cumulative Redeemable Perpetual Preference Shares</t>
  </si>
  <si>
    <t>GLOP^A</t>
  </si>
  <si>
    <t>GasLog Partners LP 8.625% Series A Cumulative Redeemable Perpetual Fixed to Floating Rate Preference Units</t>
  </si>
  <si>
    <t>GLOP^B</t>
  </si>
  <si>
    <t>GasLog Partners LP 8.200% Series B Cumulative Redeemable Perpetual Fixed to Floating Rate Preference Units</t>
  </si>
  <si>
    <t>GLOP^C</t>
  </si>
  <si>
    <t>GasLog Partners LP 8.500% Series C Cumulative Redeemable Perpetual Fixed to Floating Rate Preference Units</t>
  </si>
  <si>
    <t>GLP^A</t>
  </si>
  <si>
    <t>Global Partners LP 9.75% Series A Fixed-to-Floating Rate Cumulative Redeemable Perpetual Preferred Units representing limited partner interests</t>
  </si>
  <si>
    <t>GLP^B</t>
  </si>
  <si>
    <t>Global Partners LP 9.50% Series B Fixed Rate Cumulative Redeemable Perpetual Preferred Units representing limited partner interests</t>
  </si>
  <si>
    <t>GLU^A</t>
  </si>
  <si>
    <t>The Gabelli Global Utility and Income Trust Series A Cumulative Puttable and Callable Preferred Shares</t>
  </si>
  <si>
    <t>GLU^B</t>
  </si>
  <si>
    <t>The Gabelli Global Utility and Income Trust Series B Cumulative Puttable and Callable Preferred Shares</t>
  </si>
  <si>
    <t>GMRE^A</t>
  </si>
  <si>
    <t>Global Medical REIT Inc. Series A Cumulative Redeemable Preferred Stock</t>
  </si>
  <si>
    <t>GNL^A</t>
  </si>
  <si>
    <t>Global Net Lease Inc. 7.25% Series A Cumulative Redeemable Preferred Stock $0.01 par value per share</t>
  </si>
  <si>
    <t>GNL^B</t>
  </si>
  <si>
    <t>Global Net Lease Inc. 6.875% Series B Cumulative Redeemable Perpetual Preferred Stock</t>
  </si>
  <si>
    <t>GNL^D</t>
  </si>
  <si>
    <t>Global Net Lease Inc. 7.50% Series D Cumulative Redeemable Perpetual Preferred Stock</t>
  </si>
  <si>
    <t>GNL^E</t>
  </si>
  <si>
    <t>Global Net Lease Inc. 7.375% Series E Cumulative Redeemable Perpetual Preferred Stock</t>
  </si>
  <si>
    <t>GNT^A</t>
  </si>
  <si>
    <t>GAMCO Natural Resources Gold &amp; Income Tust  5.20% Series A Cumulative Preferred Shares (Liquidation Preference $25.00 per share)</t>
  </si>
  <si>
    <t>GPMT^A</t>
  </si>
  <si>
    <t>Granite Point Mortgage Trust Inc. 7.00% Series A Fixed-to-Floating Rate Cumulative Redeemable Preferred Stock</t>
  </si>
  <si>
    <t>GRBK^A</t>
  </si>
  <si>
    <t>Green Brick Partners Inc. Depositary Shares (each representing a 1/1000th fractional interest in a share of 5.75% Series A Cumulative Perpetual Preferred Stock)</t>
  </si>
  <si>
    <t>GS^A</t>
  </si>
  <si>
    <t>Goldman Sachs Group Inc. (The) Depositary Shares each representing 1/1000th Interest in a Share of Floating Rate Non-Cumulative Preferred Stock Series A</t>
  </si>
  <si>
    <t>GS^C</t>
  </si>
  <si>
    <t>Goldman Sachs Group Inc. (The) Depositary Share repstg 1/1000th Preferred Series C</t>
  </si>
  <si>
    <t>GS^D</t>
  </si>
  <si>
    <t>Goldman Sachs Group Inc. (The) Dep Shs repstg 1/1000 Pfd Ser D Fltg</t>
  </si>
  <si>
    <t>GS^K</t>
  </si>
  <si>
    <t>Goldman Sachs Group Inc. (The) Dep Shs Repstg 1/1000 Int Sh Fxd/Fltg Non Cum Pfd Stk Ser K</t>
  </si>
  <si>
    <t>GSL^B</t>
  </si>
  <si>
    <t>Global Ship Lease Inc. Depository Shares Representing 1/100th Perpetual Preferred Series B% (Marshall Island)</t>
  </si>
  <si>
    <t>GTLS^B</t>
  </si>
  <si>
    <t>Chart Industries Inc. Depositary Shares each Representing a 1/20th Interest in a Share of 6.75% Series B Mandatory Convertible Preferred Stock</t>
  </si>
  <si>
    <t>GUT^C</t>
  </si>
  <si>
    <t>Gabelli Utility Trust (The) 5.375% Series C Cumulative Preferred Shares</t>
  </si>
  <si>
    <t>HEI/A</t>
  </si>
  <si>
    <t>Heico Corporation</t>
  </si>
  <si>
    <t>HFRO^A</t>
  </si>
  <si>
    <t>Highland Opportunities and Income Fund 5.375% Series A Cumulative Preferred Shares</t>
  </si>
  <si>
    <t>HIG^G</t>
  </si>
  <si>
    <t>Hartford Financial Services Group Inc. (The) Depositary Shares each representing a 1/1000th interest in a share of 6.000% Non-Cumulative Preferred Stock Series G $0.01 par value</t>
  </si>
  <si>
    <t>HL^B</t>
  </si>
  <si>
    <t>Hecla Mining Company Preferred Stock</t>
  </si>
  <si>
    <t>HPP^C</t>
  </si>
  <si>
    <t>Hudson Pacific Properties Inc. 4.750% Series C Cumulative Redeemable Preferred Stock</t>
  </si>
  <si>
    <t>HT^C</t>
  </si>
  <si>
    <t>Hersha Hospitality Trust 6.875% Series C Cumulative Redeemable Preferred Shares of Beneficial Interest</t>
  </si>
  <si>
    <t>HT^D</t>
  </si>
  <si>
    <t>Hersha Hospitality Trust 6.50% Series D Cumulative Redeemable Preferred Shares of Beneficial Interest $0.01 par value per share</t>
  </si>
  <si>
    <t>HT^E</t>
  </si>
  <si>
    <t>Hersha Hospitality Trust 6.50% Series E Cumulative Redeemable Preferred Shares of Beneficial Interest</t>
  </si>
  <si>
    <t>HVT/A</t>
  </si>
  <si>
    <t>Haverty Furniture Companies Inc.</t>
  </si>
  <si>
    <t>HWM^</t>
  </si>
  <si>
    <t>Howmet Aerospace Inc. $3.75 Preferred Stock</t>
  </si>
  <si>
    <t>ICR^A</t>
  </si>
  <si>
    <t>InPoint Commercial Real Estate Income Inc. 6.75% Series A Cumulative Redeemable Preferred Stock</t>
  </si>
  <si>
    <t>IIPR^A</t>
  </si>
  <si>
    <t>Innovative Industrial Properties Inc. 9.00% Series A Cumulative Redeemable Preferred Stock</t>
  </si>
  <si>
    <t>INN^E</t>
  </si>
  <si>
    <t>Summit Hotel Properties Inc. 6.250% Series E Cumulative Redeemable Preferred Stock</t>
  </si>
  <si>
    <t>INN^F</t>
  </si>
  <si>
    <t>Summit Hotel Properties Inc. 5.875% Series F Cumulative Redeemable Preferred Stock $0.01 par value per share</t>
  </si>
  <si>
    <t>IVR^B</t>
  </si>
  <si>
    <t>Invesco Mortgage Capital Inc. Preferred Series B Cum Fxd to Fltg</t>
  </si>
  <si>
    <t>IVR^C</t>
  </si>
  <si>
    <t>INVESCO MORTGAGE CAPITAL INC 7.5% Fixed-to-Floating Series C Cumulative Redeemable Preferred Stock Liquation Preference $25.00 per Share</t>
  </si>
  <si>
    <t>JPM^C</t>
  </si>
  <si>
    <t>J P Morgan Chase &amp; Co Depositary Shares each representing a 1/400th interest in a share of 6.00% Non-Cumulative  Preferred Stock Series EE</t>
  </si>
  <si>
    <t>JPM^D</t>
  </si>
  <si>
    <t>J P Morgan Chase &amp; Co Depositary Shares each representing a 1/400th  interest in a share of 5.75% Non-Cumulative  Preferred Stock Series DD</t>
  </si>
  <si>
    <t>JPM^J</t>
  </si>
  <si>
    <t>J P Morgan Chase &amp; Co Depositary Shares each representing a 1/400th interest in a share of JPMorgan Chase &amp; Co. 4.75% Non-Cumulative Preferred Stock Series GG</t>
  </si>
  <si>
    <t>JPM^K</t>
  </si>
  <si>
    <t>J P Morgan Chase &amp; Co Depositary Shares each representing a 1/400th interest in a share of 4.55% Non-Cumulative Preferred Stock Series JJ</t>
  </si>
  <si>
    <t>JPM^L</t>
  </si>
  <si>
    <t>J P Morgan Chase &amp; Co Depositary Shares each representing a 1/400th interest in a share of 4.625% Non-Cumulative Preferred Stock Series LL</t>
  </si>
  <si>
    <t>JPM^M</t>
  </si>
  <si>
    <t>J P Morgan Chase &amp; Co Depositary Shares each representing a 1/400th interest in a share of 4.20% Non-Cumulative Preferred Stock Series MM</t>
  </si>
  <si>
    <t>JXN^A</t>
  </si>
  <si>
    <t>Jackson Financial Inc. Depositary Shares each representing a 1/1000th interest in a share of Fixed-Rate Reset Noncumulative Perpetual Preferred Stock Series A</t>
  </si>
  <si>
    <t>KEY^I</t>
  </si>
  <si>
    <t>KeyCorp Depositary Shares Each Representing a 1/40th Ownership Interest in a Share of Fixed-to-Floating Rate Perpetual Non-Cumulative Preferred Stock Series E</t>
  </si>
  <si>
    <t>KEY^J</t>
  </si>
  <si>
    <t>KeyCorp Depositary Shares each representing a 1/40th ownership interest in a share of Fixed Rate Perpetual Non-Cumulative Preferred Stock Series F</t>
  </si>
  <si>
    <t>KEY^K</t>
  </si>
  <si>
    <t>KeyCorp Depositary Shares each representing a 1/40th ownership interest in a share of Fixed Rate Perpetual Non-Cumulative Preferred Stock Series G</t>
  </si>
  <si>
    <t>KEY^L</t>
  </si>
  <si>
    <t>KeyCorp Depositary Shares each representing a 1/40th ownership interest in a share of Fixed Rate Perpetual Non-Cumulative Preferred Stock Series H</t>
  </si>
  <si>
    <t>KIM^L</t>
  </si>
  <si>
    <t>Kimco Realty Corporation Class L Depositary Shares each of which represents a one-one thousandth fractional interest in a share of 5.125% Class L Cumulative Redeemable Preferred Stock liquidation preference $25000.00 per share</t>
  </si>
  <si>
    <t>KIM^M</t>
  </si>
  <si>
    <t>Kimco Realty Corporation Class M Depositary Shares each of which represents a one-one thousandth fractional interest in a share of 5.25% Class M Cumulative Redeemable Preferred Stock liquidation preference $25000.00 per share</t>
  </si>
  <si>
    <t>KREF^A</t>
  </si>
  <si>
    <t>KKR Real Estate Finance Trust Inc. 6.50% Series A Cumulative Redeemable Preferred Stock</t>
  </si>
  <si>
    <t>LFT^A</t>
  </si>
  <si>
    <t>Lument Finance Trust Inc. 7.875% Series A Cumulative Redeemable Preferred Stock</t>
  </si>
  <si>
    <t>LNC^D</t>
  </si>
  <si>
    <t>Lincoln National Corporation Depositary Shares Each Representing a 1/1000th Interest in a Share of 9.000% Non-Cumulative Preferred Stock Series D</t>
  </si>
  <si>
    <t>LXP^C</t>
  </si>
  <si>
    <t>LXP Industrial Trust 6.5% Series C Cumulative Convertible Preferred Stock</t>
  </si>
  <si>
    <t>MAA^I</t>
  </si>
  <si>
    <t>Mid-America Apartment Communities Inc. 8.50% Series I Cumulative Redeemable Preferred Stock</t>
  </si>
  <si>
    <t>MDV^A</t>
  </si>
  <si>
    <t>Modiv Industrial Inc. 7.375% Series A Cumulative Redeemable Perpetual Preferred Stock</t>
  </si>
  <si>
    <t>MER^K</t>
  </si>
  <si>
    <t>Bank of America Corporation Income Capital Obligation Notes initially due December 15 2066</t>
  </si>
  <si>
    <t>MET^A</t>
  </si>
  <si>
    <t>MetLife Inc. Preferred Series A Floating Rate</t>
  </si>
  <si>
    <t>MET^E</t>
  </si>
  <si>
    <t>MetLife Inc. Depositary shares each representing a 1/1000th interest in a share of the Issuera??s 5.625% Non-Cumulative Preferred Stock Series E.</t>
  </si>
  <si>
    <t>MET^F</t>
  </si>
  <si>
    <t>MetLife Inc. Depositary Shares each representing a 1/1000th interest in a share of 4.75% Non-Cumulative Preferred Stock Series F</t>
  </si>
  <si>
    <t>MFA^B</t>
  </si>
  <si>
    <t>MFA Financial Inc. Preferred Series B</t>
  </si>
  <si>
    <t>MFA^C</t>
  </si>
  <si>
    <t>MFA Financial Inc. 6.50% Series C Fixed-to-Floating Rate Cumulative Redeemable Preferred Stock</t>
  </si>
  <si>
    <t>MITT^A</t>
  </si>
  <si>
    <t>AG Mortgage Investment Trust Inc. 8.25% Preferred Series A</t>
  </si>
  <si>
    <t>MITT^B</t>
  </si>
  <si>
    <t>AG Mortgage Investment Trust Inc. Preferred Series B</t>
  </si>
  <si>
    <t>MITT^C</t>
  </si>
  <si>
    <t>AG Mortgage Investment Trust Inc. 8.00% Series C Fixed-to-Floating Rate Cumulative Redeemable Preferred Stock $0.01 par value per share</t>
  </si>
  <si>
    <t>MS^A</t>
  </si>
  <si>
    <t>Morgan Stanley Dep Shs repstg 1/1000 Pfd Ser A</t>
  </si>
  <si>
    <t>MS^E</t>
  </si>
  <si>
    <t>Morgan Stanley DEPOSITARY SHARES REP 1/1000TH SHARES FIXED/FLTG PREFERRED STOCK SERIES E</t>
  </si>
  <si>
    <t>MS^F</t>
  </si>
  <si>
    <t>Morgan Stanley Dep Shs Rpstg 1/1000th Int Prd Ser F Fxd to Flag</t>
  </si>
  <si>
    <t>MS^I</t>
  </si>
  <si>
    <t>Morgan Stanley Depository Shares Representing 1/1000th Preferred Series 1 Fixed to Floating Non (Cum)</t>
  </si>
  <si>
    <t>MS^K</t>
  </si>
  <si>
    <t>Morgan Stanley Depositary Shares each representing 1/1000th of a share of Fixed-to-Floating Rate Non-Cumulative Preferred Stock  Series K</t>
  </si>
  <si>
    <t>MS^L</t>
  </si>
  <si>
    <t>Morgan Stanley Depositary Shares each representing 1/1000th of a share of 4.875% Non-Cumulative Preferred Stock Series L</t>
  </si>
  <si>
    <t>MS^O</t>
  </si>
  <si>
    <t>Morgan Stanley Depositary Shares each representing 1/1000th of a share of 4.250% Non-Cumulative Preferred Stock Series O</t>
  </si>
  <si>
    <t>MS^P</t>
  </si>
  <si>
    <t>Morgan Stanley Depositary Shares each representing 1/1000th of a share of 6.500% Non-Cumulative Preferred Stock Series P</t>
  </si>
  <si>
    <t>MTB^H</t>
  </si>
  <si>
    <t>M&amp;T Bank Corporation Perpetual Fixed-to-Floating Rate Non-Cumulative Preferred Stock Series H</t>
  </si>
  <si>
    <t>NCV^A</t>
  </si>
  <si>
    <t>Virtus Convertible &amp; Income Fund 5.625% Series A Cumulative Preferred Shares</t>
  </si>
  <si>
    <t>NCZ^A</t>
  </si>
  <si>
    <t>Virtus Convertible &amp; Income Fund II 5.50% Series A Cumulative Preferred Shares</t>
  </si>
  <si>
    <t>NEE^N</t>
  </si>
  <si>
    <t>NextEra Energy Inc. Series N Junior Subordinated Debentures due March 1 2079</t>
  </si>
  <si>
    <t>NEE^R</t>
  </si>
  <si>
    <t>NextEra Energy Inc. 6.926% Corporate Units</t>
  </si>
  <si>
    <t>NGL^B</t>
  </si>
  <si>
    <t>NGL ENERGY PARTNERS LP 9.00% Class B Fixed-to-Floating Rate Cumulative Redeemable Perpetual Preferred Units representing limited partnership interests</t>
  </si>
  <si>
    <t>NGL^C</t>
  </si>
  <si>
    <t>NGL ENERGY PARTNERS LP 9.625% Class C Fixed-to-Floating Rate Cumulative  Redeemable Perpetual Preferred Units representing  limited partner interests</t>
  </si>
  <si>
    <t>NI^B</t>
  </si>
  <si>
    <t>NiSource Inc Depositary Shares representing 1/1000th ownership interest in a share of 6.50% Series B Preferred Stock and 1/1000th ownership interest in a share of Series B-1 Preferred Stock</t>
  </si>
  <si>
    <t>NLY^F</t>
  </si>
  <si>
    <t>Annaly Capital Management Inc 6.95% Series F</t>
  </si>
  <si>
    <t>NLY^G</t>
  </si>
  <si>
    <t>Annaly Capital Management Inc 6.50% Series G Fixed-to-Floating Rate Cumulative Redeemable Preferred Stock</t>
  </si>
  <si>
    <t>NLY^I</t>
  </si>
  <si>
    <t>Annaly Capital Management Inc 6.750% Series I Fixed-to-Floating Rate Cumulative Redeemable Preferred Stock</t>
  </si>
  <si>
    <t>NM^G</t>
  </si>
  <si>
    <t>Navios Maritime Holdings Inc. Sponsored ADR Representing 1/100th Perpetual Preferred Series G (Marshall Islands)</t>
  </si>
  <si>
    <t>NM^H</t>
  </si>
  <si>
    <t>Navios Maritime Holdings Inc. Sponsored ADR Representing 1/100th Perp. Preferred Series H%</t>
  </si>
  <si>
    <t>NMK^B</t>
  </si>
  <si>
    <t>Niagara Mohawk Holdings Inc. Preferred Stock</t>
  </si>
  <si>
    <t>NMK^C</t>
  </si>
  <si>
    <t>NREF^A</t>
  </si>
  <si>
    <t>NexPoint Real Estate Finance Inc. 8.50% Series A Cumulative Redeemable Preferred Stock</t>
  </si>
  <si>
    <t>NS^A</t>
  </si>
  <si>
    <t>Nustar Energy L.P. 8.50% Series A Fixed-to-Floating Rate Cumulative Redeemable Perpetual Preferred Units</t>
  </si>
  <si>
    <t>NS^B</t>
  </si>
  <si>
    <t>Nustar Energy L.P. 7.625% Series B Fixed-to-Floating Rate Cumulative Redeemable Perpetual Preferred Units representing limited partner interests</t>
  </si>
  <si>
    <t>NS^C</t>
  </si>
  <si>
    <t>Nustar Energy L.P. 9.00% Series C Fixed-to-Floating Rate Cumulative Redeemable Perpetual Preferred Units</t>
  </si>
  <si>
    <t>NSA^A</t>
  </si>
  <si>
    <t>National Storage Affiliates Trust 6.000% Series A Cumulative Redeemable Preferred Shares of Beneficial Interest (Liquidation Preference $25.00 per share)</t>
  </si>
  <si>
    <t>NXDT^A</t>
  </si>
  <si>
    <t>NexPoint Diversified Real Estate Trust 5.50% Series A Cumulative Preferred Shares ($25.00 liquidation preference per share)</t>
  </si>
  <si>
    <t>NYCB^A</t>
  </si>
  <si>
    <t>New York Community Bancorp Inc. Depositary shares each representing a 1/40th interest in a share of Fixed-to-Floating Rate Series A Noncumulative Perpetual Preferred Stock</t>
  </si>
  <si>
    <t>NYCB^U</t>
  </si>
  <si>
    <t>New York Community Bancorp Inc. New York Community Capital Tr V (BONUSES)</t>
  </si>
  <si>
    <t>OABIW</t>
  </si>
  <si>
    <t>OmniAb Inc. Warrant</t>
  </si>
  <si>
    <t>OAK^A</t>
  </si>
  <si>
    <t>Oaktree Capital Group LLC 6.625% Series A Preferred units</t>
  </si>
  <si>
    <t>OAK^B</t>
  </si>
  <si>
    <t>Oaktree Capital Group LLC 6.550% Series B Preferred Units</t>
  </si>
  <si>
    <t>OPP^A</t>
  </si>
  <si>
    <t>RiverNorth/DoubleLine Strategic Opportunity Fund Inc. 4.375% Series A Cumulative Preferred Stock</t>
  </si>
  <si>
    <t>OPP^B</t>
  </si>
  <si>
    <t>RiverNorth/DoubleLine Strategic Opportunity Fund Inc. 4.75% Series B Cumulative Preferred Stock</t>
  </si>
  <si>
    <t>PBI^B</t>
  </si>
  <si>
    <t>Pitney Bowes Inc 6.70% Notes Due 2043</t>
  </si>
  <si>
    <t>PCG^A</t>
  </si>
  <si>
    <t>Pacific Gas &amp; Electric Co. 6% Preferred Stock</t>
  </si>
  <si>
    <t>PCG^B</t>
  </si>
  <si>
    <t>Pacific Gas &amp; Electric Co. 5 1/2% Preferred Stock</t>
  </si>
  <si>
    <t>PCG^C</t>
  </si>
  <si>
    <t>Pacific Gas &amp; Electric Co. 5% 1st Preferred Stock</t>
  </si>
  <si>
    <t>PCG^D</t>
  </si>
  <si>
    <t>Pacific Gas &amp; Electric Co. 5% 1st  Red. Preferred Stock</t>
  </si>
  <si>
    <t>PCG^E</t>
  </si>
  <si>
    <t>Pacific Gas &amp; Electric Co. 5% 1st A Preferred Stock</t>
  </si>
  <si>
    <t>PCG^G</t>
  </si>
  <si>
    <t>Pacific Gas &amp; Electric Co. 4.80% 1st Preferred Stock</t>
  </si>
  <si>
    <t>PCG^H</t>
  </si>
  <si>
    <t>Pacific Gas &amp; Electric Co. 4.50% 1st Preferred Stock</t>
  </si>
  <si>
    <t>PCG^I</t>
  </si>
  <si>
    <t>Pacific Gas &amp; Electric Co. 4.36% 1st Preferred Stock</t>
  </si>
  <si>
    <t>PEB^E</t>
  </si>
  <si>
    <t>Pebblebrook Hotel Trust 6.375% Series E Cumulative Redeemable Preferred Shares of Beneficial Interest</t>
  </si>
  <si>
    <t>PEB^F</t>
  </si>
  <si>
    <t>Pebblebrook Hotel Trust 6.3% Series F Cumulative Redeemable Preferred Shares of Beneficial Interest</t>
  </si>
  <si>
    <t>PEB^G</t>
  </si>
  <si>
    <t>Pebblebrook Hotel Trust 6.375% Series G Cumulative Redeemable Preferred Shares of Beneficial Interest</t>
  </si>
  <si>
    <t>PEB^H</t>
  </si>
  <si>
    <t>Pebblebrook Hotel Trust 5.700% Series H Cumulative Redeemable Preferred Shares of Beneficial Interest</t>
  </si>
  <si>
    <t>PMT^A</t>
  </si>
  <si>
    <t>PennyMac Mortgage Investment Trust 8.125% Series A Fixed-to-Floating Rate Cumulative Redeemable Preferred Shares of Beneficial Interest</t>
  </si>
  <si>
    <t>PMT^B</t>
  </si>
  <si>
    <t>PennyMac Mortgage Investment Trust 8.00% Series B Fixed-to-Floating Rate Cumulative Redeemable Preferred Shares of Beneficial Interest</t>
  </si>
  <si>
    <t>PMT^C</t>
  </si>
  <si>
    <t>PennyMac Mortgage Investment Trust 6.75% Series C Cumulative Redeemable Preferred Shares of Beneficial Interest</t>
  </si>
  <si>
    <t>PRE^J</t>
  </si>
  <si>
    <t>PartnerRe Ltd. 4.875% Fixed Rate Non-Cumulative Redeemable Preferred Shares Series J</t>
  </si>
  <si>
    <t>PRIF^D</t>
  </si>
  <si>
    <t>Priority Income Fund Inc. 7.00% Series D Term Preferred Stock due 2029</t>
  </si>
  <si>
    <t>PRIF^F</t>
  </si>
  <si>
    <t>Priority Income Fund Inc. 6.625% Series F Term Preferred Stock due 2027</t>
  </si>
  <si>
    <t>PRIF^G</t>
  </si>
  <si>
    <t>Priority Income Fund Inc. 6.25% Series G Preferred Stock Due 2026</t>
  </si>
  <si>
    <t>PRIF^H</t>
  </si>
  <si>
    <t>Priority Income Fund Inc. 6.00% Series H Term Preferred Stock due 2026</t>
  </si>
  <si>
    <t>PRIF^I</t>
  </si>
  <si>
    <t>Priority Income Fund Inc. 6.125% Series I Term Preferred Stock due 2028</t>
  </si>
  <si>
    <t>PRIF^J</t>
  </si>
  <si>
    <t>Priority Income Fund Inc. 6.000% Series J Term Preferred Stock due 2028</t>
  </si>
  <si>
    <t>PRIF^K</t>
  </si>
  <si>
    <t>Priority Income Fund Inc. 7.000% Series K Cumulative Preferred Stock</t>
  </si>
  <si>
    <t>PRIF^L</t>
  </si>
  <si>
    <t>Priority Income Fund Inc. 6.375% Series L Term Preferred Stock Due 2029</t>
  </si>
  <si>
    <t>PSA^F</t>
  </si>
  <si>
    <t>Public Storage Depositary Shares Each Representing 1/1000 of a 5.15% Cumulative Preferred Share of Beneficial Interest Series F par value $0.01 per share</t>
  </si>
  <si>
    <t>PSA^G</t>
  </si>
  <si>
    <t>Public Storage Depositary Shares Each Representing 1/1000 of a 5.05% Cumulative Preferred Share of Beneficial Interest Series G</t>
  </si>
  <si>
    <t>PSA^H</t>
  </si>
  <si>
    <t>Public Storage Depositary Shares Each Representing 1/1000 of a  5.60% Cumulative Preferred  Share of Beneficial Interest Series H</t>
  </si>
  <si>
    <t>PSA^I</t>
  </si>
  <si>
    <t>Public Storage Depositary Shares Each Representing 1/1000 of a 4.875% Cumulative Preferred Share of Beneficial Interest Series I par value $0.01 per share</t>
  </si>
  <si>
    <t>PSA^J</t>
  </si>
  <si>
    <t>Public Storage Depositary Shares Each Representing 1/1000 of a 4.700% Cumulative Preferred Share of Beneficial Interest Series J par value $0.01 per share</t>
  </si>
  <si>
    <t>PSA^K</t>
  </si>
  <si>
    <t>Public Storage Depositary Shares Each Representing 1/1000 of a 4.75% Cumulative Preferred Share of Beneficial Interest Series K</t>
  </si>
  <si>
    <t>PSA^L</t>
  </si>
  <si>
    <t>Public Storage Depositary Shares Each Representing 1/1000 of a 4.625% Cumulative Preferred Share of Beneficial Interest Series L par value $0.01 per share</t>
  </si>
  <si>
    <t>PSA^M</t>
  </si>
  <si>
    <t>Public Storage Depositary Shares Each Representing 1/1000 of a 4.125% Cumulative Preferred Share of Beneficial Interest Series M</t>
  </si>
  <si>
    <t>PSA^N</t>
  </si>
  <si>
    <t>Public Storage Depositary Shares Each Representing 1/1000 of a 3.875% Cumulative Preferred Share of Beneficial Interest Series N</t>
  </si>
  <si>
    <t>PSA^O</t>
  </si>
  <si>
    <t>Public Storage Depositary Shares Each Representing 1/1000 of a 3.900% Cumulative Preferred Share of Beneficial Interest Series O</t>
  </si>
  <si>
    <t>PSA^P</t>
  </si>
  <si>
    <t>Public Storage Depositary Shares Each Representing 1/1000 of a 4.000% Cumulative Preferred Share of Bene cial Interest Series P</t>
  </si>
  <si>
    <t>PSA^Q</t>
  </si>
  <si>
    <t>Public Storage Depositary Shares Each Representing 1/1000 of a 3.950% Cumulative Preferred Share of Beneficial Interest Series Q par value $0.01 per share</t>
  </si>
  <si>
    <t>PSA^R</t>
  </si>
  <si>
    <t>Public Storage Depositary Shares Each Representing 1/1000 of a 4.00% Cumulative Preferred Share of Bene cial Interest Series R</t>
  </si>
  <si>
    <t>PSA^S</t>
  </si>
  <si>
    <t>Public Storage Depositary Shares Each Representing 1/1000 of a 4.100% Cumulative Preferred Share of Beneficial Interest Series S</t>
  </si>
  <si>
    <t>PSEC^A</t>
  </si>
  <si>
    <t>Prospect Capital Corporation 5.35% Series A Fixed Rate Cumulative Perpetual Preferred Stock</t>
  </si>
  <si>
    <t>QETAU</t>
  </si>
  <si>
    <t>Quetta Acquisition Corporation Unit</t>
  </si>
  <si>
    <t>RC^C</t>
  </si>
  <si>
    <t>Ready Capital Corporation 6.25% Series C Cumulative Convertible Preferred Stock</t>
  </si>
  <si>
    <t>RC^E</t>
  </si>
  <si>
    <t>Ready Capital Corporation 6.50% Series E Cumulative Redeemable Preferred Stock</t>
  </si>
  <si>
    <t>REXR^B</t>
  </si>
  <si>
    <t>Rexford Industrial Realty Inc. 5.875% Series B Cumulative Redeemable Preferred Stock</t>
  </si>
  <si>
    <t>REXR^C</t>
  </si>
  <si>
    <t>Rexford Industrial Realty Inc. 5.625% Series C Cumulative Redeemable Preferred Stock par value $0.01 per share</t>
  </si>
  <si>
    <t>RF^B</t>
  </si>
  <si>
    <t>Regions Financial Corporation Depositary Shares Representing 1/40th Perpetual Preferred Series B</t>
  </si>
  <si>
    <t>RF^C</t>
  </si>
  <si>
    <t>Regions Financial Corporation Depositary Shares each Representing a 1/40th Interest in a  Share of 5.700% Fixed-to-Floating Rate Non-Cumulative  Perpetual Preferred Stock Series C</t>
  </si>
  <si>
    <t>RF^E</t>
  </si>
  <si>
    <t>Regions Financial Corporation Depositary Shares Each Representing a 1/40th Interest in a Share of 4.45% Non-Cumulative Perpetual Preferred Stock Series E</t>
  </si>
  <si>
    <t>RHE^A</t>
  </si>
  <si>
    <t>Regional Health Properties Inc. 10.875% Series A Cumulative Redeemable Preferred Stock</t>
  </si>
  <si>
    <t>RITM^A</t>
  </si>
  <si>
    <t>Rithm Capital Corp. 7.50% Series A Fixed-to-Floating Rate Cumulative Redeemable Preferred Stock</t>
  </si>
  <si>
    <t>RITM^B</t>
  </si>
  <si>
    <t>Rithm Capital Corp. 7.125% Series B Fixed-to-Floating Rate Cumulative Redeemable Preferred Stock</t>
  </si>
  <si>
    <t>RITM^C</t>
  </si>
  <si>
    <t>Rithm Capital Corp. 6.375% Series C Fixed-to-Floating Rate Cumulative Redeemable Preferred Stock</t>
  </si>
  <si>
    <t>RITM^D</t>
  </si>
  <si>
    <t>Rithm Capital Corp. 7.00% Fixed-Rate Reset Series D Cumulative Redeemable Preferred Stock</t>
  </si>
  <si>
    <t>RIV^A</t>
  </si>
  <si>
    <t>RiverNorth Opportunities Fund Inc. 6.00% Series A Perpetual Preferred Stock</t>
  </si>
  <si>
    <t>RJF^B</t>
  </si>
  <si>
    <t>Raymond James Financial Inc. Depositary Shares each representing a 1/40th interest in a share of 6.375% Fixed-to-Floating Rate Series B Non-Cumulative Perpetual Preferred Stock</t>
  </si>
  <si>
    <t>RLJ^A</t>
  </si>
  <si>
    <t>RLJ Lodging Trust $1.95 Series A Cumulative Convertible  Preferred Shares</t>
  </si>
  <si>
    <t>RMPL^</t>
  </si>
  <si>
    <t>RiverNorth Capital and Income Fund 5.875%% Series A Term Preferred Stock $0.0001 par value per share</t>
  </si>
  <si>
    <t>RNR^F</t>
  </si>
  <si>
    <t>RenaissanceRe Holdings Ltd. Depositary Shares each Representing a 1/1000th Interest in a 5.750% Series F Preference Share</t>
  </si>
  <si>
    <t>RNR^G</t>
  </si>
  <si>
    <t>RenaissanceRe Holdings Ltd. Depositary Shares each representing a 1/1000th interest in a share of 4.20% Series G Preference Shares</t>
  </si>
  <si>
    <t>RPT^D</t>
  </si>
  <si>
    <t>RPT Realty 7.25%</t>
  </si>
  <si>
    <t>RWT^A</t>
  </si>
  <si>
    <t>Redwood Trust Inc. 10.00% Series A Fixed-Rate Reset Cumulative Redeemable Preferred Stock</t>
  </si>
  <si>
    <t>SACH^A</t>
  </si>
  <si>
    <t>Sachem Capital Corp. 7.75% Series A Cumulative Redeemable Preferred Stock</t>
  </si>
  <si>
    <t>SB^C</t>
  </si>
  <si>
    <t>Safe Bulkers Inc Cumulative Redeemable Perpetual Preferred Series C (Marshall Islands)</t>
  </si>
  <si>
    <t>SB^D</t>
  </si>
  <si>
    <t>Safe Bulkers Inc Perpetual Preferred Series D (Marshall Islands)</t>
  </si>
  <si>
    <t>SCE^G</t>
  </si>
  <si>
    <t>SCE Trust II Trust Preferred Securities</t>
  </si>
  <si>
    <t>SCE^H</t>
  </si>
  <si>
    <t>SCE Trust III Fixed/Floating Rate Trust Preference Securities</t>
  </si>
  <si>
    <t>SCE^J</t>
  </si>
  <si>
    <t>Southern California Edison Company 5.375% Fixed-to-Floating Rate Trust Preference Securities</t>
  </si>
  <si>
    <t>SCE^K</t>
  </si>
  <si>
    <t>Southern California Edison Company 5.45% Fixed-to-Floating Rate Trust Preference Securities</t>
  </si>
  <si>
    <t>SCE^L</t>
  </si>
  <si>
    <t>SCE TRUST VI</t>
  </si>
  <si>
    <t>SCHW^D</t>
  </si>
  <si>
    <t>The Charles Schwab Corporation Depositary Shares each representing 1/40th interest in a share of 5.95% Non-Cumulative Perpetual Preferred Stock Series D</t>
  </si>
  <si>
    <t>SCHW^J</t>
  </si>
  <si>
    <t>The Charles Schwab Corporation Depositary Shares Each Representing a 1/40th Interest in a Share of 4.450% Non-Cumulative Perpetual Preferred Stock Series J</t>
  </si>
  <si>
    <t>SEAL^A</t>
  </si>
  <si>
    <t>Seapeak LLC 9.00% Series A Cumulative Redeemable Perpetual Preferred Units</t>
  </si>
  <si>
    <t>SEAL^B</t>
  </si>
  <si>
    <t>Seapeak LLC 8.50% Series B Fixed-to-Floating Rate Cumulative Redeemable Perpetual Preferred Units</t>
  </si>
  <si>
    <t>SF^B</t>
  </si>
  <si>
    <t>Stifel Financial Corporation Depositary Shares Each Representing 1/1000th  Interest in a Share of 6.25% Non-Cumulative  Preferred Stock Series B</t>
  </si>
  <si>
    <t>SF^C</t>
  </si>
  <si>
    <t>Stifel Financial Corporation Depositary Shares Each Representing 1/1000th Interest in a Share of 6.125% Non Cumulative Preferred Stock Series C</t>
  </si>
  <si>
    <t>SF^D</t>
  </si>
  <si>
    <t>Stifel Financial Corporation Depositary Shares Each Representing 1/1000th Interest in a Share of 4.50% Non-Cumulative Preferred Stock Series D</t>
  </si>
  <si>
    <t>SHO^H</t>
  </si>
  <si>
    <t>Sunstone Hotel Investors Inc. 6.125% Series H Cumulative Redeemable Preferred Stock</t>
  </si>
  <si>
    <t>SHO^I</t>
  </si>
  <si>
    <t>Sunstone Hotel Investors Inc. 5.70% Series I Cumulative Redeemable Preferred Stock</t>
  </si>
  <si>
    <t>SITC^A</t>
  </si>
  <si>
    <t>SITE Centers Corp. 6.375% Class A Preferred Shares</t>
  </si>
  <si>
    <t>SLG^I</t>
  </si>
  <si>
    <t>SL Green Realty Corporation Preferred Series I</t>
  </si>
  <si>
    <t>SNV^D</t>
  </si>
  <si>
    <t>Synovus Financial Corp. Fixed-to-Floating Rate Non-Cumulative Perpetual Preferred Stock Series D Liquation Preference $25.00 per Share</t>
  </si>
  <si>
    <t>SNV^E</t>
  </si>
  <si>
    <t>Synovus Financial Corp. 5.875% Fixed-Rate Reset Non-Cumulative Perpetual Preferred Stock Series E</t>
  </si>
  <si>
    <t>SPE^C</t>
  </si>
  <si>
    <t>Special Opportunities Fund Inc. 2.75% Convertible Preferred Stock Series C</t>
  </si>
  <si>
    <t>SPG^J</t>
  </si>
  <si>
    <t>Simon Property Group Inc. Simon Property Group 8 3/8% Series J Cumulative Redeemable Preferred Stock</t>
  </si>
  <si>
    <t>SPLP^A</t>
  </si>
  <si>
    <t>Steel Partners Holdings LP 6.0% Series A Preferred Units no par value</t>
  </si>
  <si>
    <t>SPNT^B</t>
  </si>
  <si>
    <t>SiriusPoint Ltd. 8.00% Resettable Fixed Rate Preference Shares Series B $25.00 liquidation preference per share</t>
  </si>
  <si>
    <t>SR^A</t>
  </si>
  <si>
    <t>Spire Inc. Depositary Shares each representing a 1/1000th interest in a share of 5.90% Series A Cumulative Redeemable Perpetual Preferred Stock</t>
  </si>
  <si>
    <t>SRC^A</t>
  </si>
  <si>
    <t>Spirit Realty Capital Inc. 6.000% Series A Cumulative Redeemable Preferred Stock</t>
  </si>
  <si>
    <t>SRG^A</t>
  </si>
  <si>
    <t>Seritage Growth Properties 7.00% Series A Cumulative Redeemable Preferred Shares of Beneficial Interest</t>
  </si>
  <si>
    <t>STT^D</t>
  </si>
  <si>
    <t>State Street Corporation Depositary Shares representing 1/4000th Perpetual Preferred Series D</t>
  </si>
  <si>
    <t>STT^G</t>
  </si>
  <si>
    <t>State Street Corporation Depositary shares each representing a 1/4000th ownership interest in a share of Fixed-to-Floating Rate Non-Cumulative</t>
  </si>
  <si>
    <t>SYF^A</t>
  </si>
  <si>
    <t>Synchrony Financial Depositary Shares each Representing a 1/40th Interest in a Share of 5.625% Fixed Rate Non-Cumulative Perpetual Preferred Stock Series A</t>
  </si>
  <si>
    <t>T^A</t>
  </si>
  <si>
    <t>AT&amp;T Inc. Depositary Shares each representing a 1/1000th interest in a share of 5.000% Perpetual Preferred Stock Series A</t>
  </si>
  <si>
    <t>T^C</t>
  </si>
  <si>
    <t>AT&amp;T Inc. Depositary Shares each representing a 1/1000th interest in a share of 4.750% Perpetual Preferred Stock Series C</t>
  </si>
  <si>
    <t>TDS^U</t>
  </si>
  <si>
    <t>Telephone and Data Systems Inc. Depositary Shares Each Representing a 1/1000th Interest in a 6.625% Series UU Cumulative Redeemable Perpetual Preferred Stock</t>
  </si>
  <si>
    <t>TDS^V</t>
  </si>
  <si>
    <t>Telephone and Data Systems Inc. Depositary Shares Each Representing a 1/1000th Interest in a 6.000% Series VV Cumulative Redeemable Perpetual Preferred Stock</t>
  </si>
  <si>
    <t>TFC^I</t>
  </si>
  <si>
    <t>Truist Financial Corporation Depositary Shares</t>
  </si>
  <si>
    <t>TFC^O</t>
  </si>
  <si>
    <t>Truist Financial Corporation Depositary Shares Each Representing a 1/1000th Interest in a Share of Series O Non-Cumulative Perpetual Preferred Stock</t>
  </si>
  <si>
    <t>TFC^R</t>
  </si>
  <si>
    <t>Truist Financial Corporation Depositary Shares each representing 1/1000th interest in a share of Series R Non-Cumulative Perpetual Preferred Stock</t>
  </si>
  <si>
    <t>TGH^A</t>
  </si>
  <si>
    <t>Textainer Group Holdings Limited Depositary Shares each representing a 1/1000th interest in a share of 7.000% Series A Cumulative Redeemable Perpetual Preference Shares</t>
  </si>
  <si>
    <t>TGH^B</t>
  </si>
  <si>
    <t>Textainer Group Holdings Limited Depositary Shares each representing a 1/1000th interest in a share of 6.250% Series B Cumulative Redeemable Perpetual Preference Shares</t>
  </si>
  <si>
    <t>TNP^E</t>
  </si>
  <si>
    <t>Tsakos Energy Navigation Ltd Series E Fixed-to-Floating Rate Cumulative Redeemable Perpetual Preferred Shares par value $1.00</t>
  </si>
  <si>
    <t>TNP^F</t>
  </si>
  <si>
    <t>Tsakos Energy Navigation Ltd Series F Fixed-to-Floating Rate Cumulative Redeemable Perpetual Preferred Shares par value $1.00</t>
  </si>
  <si>
    <t>TRTN^A</t>
  </si>
  <si>
    <t>Triton International Limited 8.50% Series A Cumulative Redeemable Perpetual  Preference Shares</t>
  </si>
  <si>
    <t>TRTN^B</t>
  </si>
  <si>
    <t>Triton International Limited 8.00% Series B Cumulative Redeemable Perpetual Preference Shares</t>
  </si>
  <si>
    <t>TRTN^C</t>
  </si>
  <si>
    <t>Triton International Limited 7.375% Series C Cumulative Redeemable Perpetual Preference Shares</t>
  </si>
  <si>
    <t>TRTN^D</t>
  </si>
  <si>
    <t>Triton International Limited 6.875% Series D Cumulative Redeemable Perpetual Preference Shares</t>
  </si>
  <si>
    <t>TRTN^E</t>
  </si>
  <si>
    <t>Triton International Limited 5.75% Series E Cumulative Redeemable Perpetual Preference Shares</t>
  </si>
  <si>
    <t>TRTX^C</t>
  </si>
  <si>
    <t>TPG RE Finance Trust Inc. 6.25% Series C Cumulative Redeemable Preferred Stock $0.001 par value per share</t>
  </si>
  <si>
    <t>TWO^A</t>
  </si>
  <si>
    <t>Two Harbors Investments Corp 8.125% Series A Fixed-to-Floating Rate Cumulative Redeemable Preferred Stock ($25.00 liquidation preference per share)</t>
  </si>
  <si>
    <t>TWO^B</t>
  </si>
  <si>
    <t>Two Harbors Investments Corp 7.625% Series B Fixed-to-Floating Rate Cumulative Redeemable Preferred Stock</t>
  </si>
  <si>
    <t>TWO^C</t>
  </si>
  <si>
    <t>Two Harbors Investments Corp 7.25% Series C Fixed-to-Floating Rate Cumulative Redeemable Preferred Stock</t>
  </si>
  <si>
    <t>TY^</t>
  </si>
  <si>
    <t>Tri Continental Corporation Preferred Stock</t>
  </si>
  <si>
    <t>UMH^D</t>
  </si>
  <si>
    <t>UMH Properties Inc. 6.375% Series D Cumulative Redeemable Preferred Stock Liquidation Preference $25 per share</t>
  </si>
  <si>
    <t>USB^A</t>
  </si>
  <si>
    <t>U.S. Bancorp Depositary Shares Each representing a 1/100th interest in a share of Series A Non-CumulativePerpetual Pfd Stock</t>
  </si>
  <si>
    <t>USB^H</t>
  </si>
  <si>
    <t>U.S. Bancorp Depositary Shares repstg 1/1000th Pfd Ser B</t>
  </si>
  <si>
    <t>USB^P</t>
  </si>
  <si>
    <t>U.S. Bancorp Depositary Shares each representing a 1/1000th interest in a share of Series K Non-Cumulative Perpetual Preferred Stock</t>
  </si>
  <si>
    <t>USB^Q</t>
  </si>
  <si>
    <t>U.S. Bancorp Depositary Shares Each Representing a 1/1000th Interest in a Share of Series L Non-Cumulative Perpetual Preferred Stock</t>
  </si>
  <si>
    <t>USB^R</t>
  </si>
  <si>
    <t>U.S. Bancorp Depositary Shares Each Representing a 1/1000th Interest in a Share of Series M Non-Cumulative Perpetual Preferred Stock</t>
  </si>
  <si>
    <t>USB^S</t>
  </si>
  <si>
    <t>U.S. Bancorp Depositary Shares each representing a 1/1000th interest in a share of Series O Non-Cumulative Perpetual Preferred Stock</t>
  </si>
  <si>
    <t>VNO^L</t>
  </si>
  <si>
    <t>Vornado Realty Trust Pfd Ser L %</t>
  </si>
  <si>
    <t>VNO^M</t>
  </si>
  <si>
    <t>Vornado Realty Trust 5.25% Series M Cumulative Redeemable Preferred Shares of Beneficial Interest liquidation preference $25.00 per share no par value per share</t>
  </si>
  <si>
    <t>VNO^N</t>
  </si>
  <si>
    <t>Vornado Realty Trust 5.25% Series N Cumulative Redeemable Preferred Shares of Beneficial Interest liquidation preference $25.00 per share</t>
  </si>
  <si>
    <t>VNO^O</t>
  </si>
  <si>
    <t>Vornado Realty Trust 4.45% Series O Cumulative Redeemable Preferred Shares Liquidation Preference $25.00 Per Share</t>
  </si>
  <si>
    <t>VOYA^B</t>
  </si>
  <si>
    <t>Voya Financial Inc. Depositary Shares each representing a 1/40th interest in a share of 5.35% Fixed-Rate Reset Non-Cumulative Preferred Stock Series B</t>
  </si>
  <si>
    <t>WAL^A</t>
  </si>
  <si>
    <t>Western Alliance Bancorporation Depositary Shares Each Representing a 1/400th Interest in a Share of 4.250% Fixed-Rate Non-Cumulative Perpetual Preferred Stock Series A</t>
  </si>
  <si>
    <t>WBS^F</t>
  </si>
  <si>
    <t>Webster Financial Corporation Depositary Shares Each Representing 1/1000th Interest in a Share of 5.25% Series F Non-Cumulative Perpetual Preferred Stock</t>
  </si>
  <si>
    <t>WBS^G</t>
  </si>
  <si>
    <t>Webster Financial Corporation Depositary Shares each representing a 1/40th interest in a share of 6.50% Series G non-cumulative perpetual preferred stock</t>
  </si>
  <si>
    <t>WCC^A</t>
  </si>
  <si>
    <t>WESCO International Inc. Depositary Shares each representing 1/1000th interest in a share of Series A Fixed-Rate Reset Cumulative Perpetual Preferred Stock</t>
  </si>
  <si>
    <t>WFC^A</t>
  </si>
  <si>
    <t>Wells Fargo &amp; Company Depositary Shares each representing a 1/1000th interest in a share of Non-Cumulative Perpetual Class A Preferred Stock Series AA</t>
  </si>
  <si>
    <t>WFC^C</t>
  </si>
  <si>
    <t>Wells Fargo &amp; Company Depositary Shares each representing a 1/1000th interest in a share of Non-Cumulative Perpetual Class A Preferred Stock Series CC</t>
  </si>
  <si>
    <t>WFC^D</t>
  </si>
  <si>
    <t>Wells Fargo &amp; Company Depositary Shares each representing a 1/1000th interest in  a share of Non-Cumulative Perpetual Class A Preferred Stock Series DD</t>
  </si>
  <si>
    <t>WFC^L</t>
  </si>
  <si>
    <t>Wells Fargo &amp; Company 7.50% Non-Cumulative Perpetual Convertible Class A Preferred Stock Series L</t>
  </si>
  <si>
    <t>WFC^R</t>
  </si>
  <si>
    <t>Wells Fargo &amp; Company Dep Shs Repstg 1/1000th Int Perp Pfd Cl A (Ser R Fixed To Flltg)</t>
  </si>
  <si>
    <t>WFC^Y</t>
  </si>
  <si>
    <t>Wells Fargo &amp; Company Depositary Shares each representing a 1/1000th interest in a share of Non-Cumulative Perpetual Class A Preferred Stock Series Y</t>
  </si>
  <si>
    <t>WFC^Z</t>
  </si>
  <si>
    <t>Wells Fargo &amp; Company Depositary Shares each representing a 1/1000th interest in a share of Non-Cumulative Perpetual Class A Preferred Stock Series Z</t>
  </si>
  <si>
    <t>WMC</t>
  </si>
  <si>
    <t>Western Asset Mortgage Capital Corporation</t>
  </si>
  <si>
    <t>WRB^E</t>
  </si>
  <si>
    <t>W.R. Berkley Corporation 5.70% Subordinated Debentures due 2058</t>
  </si>
  <si>
    <t>WRB^F</t>
  </si>
  <si>
    <t>W.R. Berkley Corporation 5.10% Subordinated Debentures due 2059</t>
  </si>
  <si>
    <t>WRB^G</t>
  </si>
  <si>
    <t>W.R. Berkley Corporation 4.25% Subordinated Debentures due 2060</t>
  </si>
  <si>
    <t>WRB^H</t>
  </si>
  <si>
    <t>W.R. Berkley Corporation 4.125% Subordinated Debentures due 2061</t>
  </si>
  <si>
    <t>WSO/B</t>
  </si>
  <si>
    <t>Watsco Inc.</t>
  </si>
  <si>
    <t>XFLT^A</t>
  </si>
  <si>
    <t>XAI Octagon Floating Rate &amp; Alternative Income Term Trust 6.50% Series 2026 Term Preferred Shares (Liquidation Preference $25.00)</t>
  </si>
  <si>
    <t>YCBD^A</t>
  </si>
  <si>
    <t>cbdMD Inc. 8.0% Series A Cumulative Convertible Preferred Stock</t>
  </si>
  <si>
    <t>Arlington Asset Investment Corp 8.250% Seies C</t>
  </si>
  <si>
    <t>Arbor Realty Trust 6.25% Series F</t>
  </si>
  <si>
    <t>Agree Realty Corporation Depositary Shares</t>
  </si>
  <si>
    <t>Braemar Hotels &amp; Resorts Inc. 8.25% Series D Cumulative Preferred Stock par value $0.01 per share</t>
  </si>
  <si>
    <t>Bank of America Corporation Depositary Shares (Each representing a 1/1200th interest in a share of Floating Rate Non-Cumulative Preferred Stock Series 1)</t>
  </si>
  <si>
    <t>Chimera Investment Corporation 7.75% Series C Fixed-to-Floating Rate Cumulative Redeemable Preferred Stock</t>
  </si>
  <si>
    <t>F.N.B. Corporation Depositary Shares each representing a 1/40th interest in a share of Fixed-to-Floating Rate Non-Cumulative Perpetual Preferred Stock Series E</t>
  </si>
  <si>
    <t>GAMCO Natural Resources Gold &amp; Income Tust 5.20% Series A Cumulative Preferred Shares (Liquidation Preference $25.00 per share)</t>
  </si>
  <si>
    <t>J P Morgan Chase &amp; Co Depositary Shares each representing a 1/400th interest in a share of 6.00% Non-Cumulative Preferred Stock Series EE</t>
  </si>
  <si>
    <t>J P Morgan Chase &amp; Co Depositary Shares each representing a 1/400th interest in a share of 5.75% Non-Cumulative Preferred Stock Series DD</t>
  </si>
  <si>
    <t>Morgan Stanley Depositary Shares each representing 1/1000th of a share of Fixed-to-Floating Rate Non-Cumulative Preferred Stock Series K</t>
  </si>
  <si>
    <t>NGL ENERGY PARTNERS LP 9.625% Class C Fixed-to-Floating Rate Cumulative Redeemable Perpetual Preferred Units representing limited partner interests</t>
  </si>
  <si>
    <t>Public Storage Depositary Shares Each Representing 1/1000 of a 5.60% Cumulative Preferred Share of Beneficial Interest Series H</t>
  </si>
  <si>
    <t>Regions Financial Corporation Depositary Shares each Representing a 1/40th Interest in a Share of 5.700% Fixed-to-Floating Rate Non-Cumulative Perpetual Preferred Stock Series C</t>
  </si>
  <si>
    <t>RLJ Lodging Trust $1.95 Series A Cumulative Convertible Preferred Shares</t>
  </si>
  <si>
    <t>Stifel Financial Corporation Depositary Shares Each Representing 1/1000th Interest in a Share of 6.25% Non-Cumulative Preferred Stock Series B</t>
  </si>
  <si>
    <t>Triton International Limited 8.50% Series A Cumulative Redeemable Perpetual Preference Shares</t>
  </si>
  <si>
    <t>Wells Fargo &amp; Company Depositary Shares each representing a 1/1000th interest in a share of Non-Cumulative Perpetual Class A Preferred Stock Series DD</t>
  </si>
  <si>
    <t>3d</t>
  </si>
  <si>
    <t>\</t>
  </si>
  <si>
    <t>Brand Equity</t>
  </si>
  <si>
    <t>12 Months Ended</t>
  </si>
  <si>
    <t>EXPRESS</t>
  </si>
  <si>
    <t>Altman Z-score</t>
  </si>
  <si>
    <t>"Z-Score" model is a numerical measurement that is used to predict the chances of a business becoming bankrupt in the next two years.</t>
  </si>
  <si>
    <t>10-k, 1/28/23</t>
  </si>
  <si>
    <t>The formula takes into account profitability, leverage, liquidity, solvency, and activity ratios.</t>
  </si>
  <si>
    <t>Cover [Abstract]</t>
  </si>
  <si>
    <r>
      <rPr>
        <rFont val="Arial"/>
        <b/>
        <color theme="1"/>
        <sz val="12.0"/>
      </rPr>
      <t xml:space="preserve">  Steps:    </t>
    </r>
    <r>
      <rPr>
        <rFont val="Arial"/>
        <color theme="1"/>
      </rPr>
      <t xml:space="preserve">    1</t>
    </r>
  </si>
  <si>
    <t>working capital=</t>
  </si>
  <si>
    <t>Current Assets − Current Liabilities</t>
  </si>
  <si>
    <t>Working capital is a measure of a company's operational liquidity and short-term financial health.</t>
  </si>
  <si>
    <t>Document Type</t>
  </si>
  <si>
    <t>10-K</t>
  </si>
  <si>
    <t>Retained Earnings=</t>
  </si>
  <si>
    <t>Begin Retained Earnings+NI−Dividends</t>
  </si>
  <si>
    <t>Retained earnings=leftover profit after paying all its direct/indirect costs, taxes &amp; dividends</t>
  </si>
  <si>
    <t>Document Annual Report</t>
  </si>
  <si>
    <t>working cap</t>
  </si>
  <si>
    <t xml:space="preserve">EBIT= Operating income = </t>
  </si>
  <si>
    <t>gross profit - OpEx</t>
  </si>
  <si>
    <t>represents the point on the income statement where all operating costs have been deducted.</t>
  </si>
  <si>
    <t>Document Period End Date</t>
  </si>
  <si>
    <t>Question</t>
  </si>
  <si>
    <t>10-k january</t>
  </si>
  <si>
    <t>10q october</t>
  </si>
  <si>
    <t>Market Value of Equity(mktcap)=</t>
  </si>
  <si>
    <t>share price * # Outstanding Shares</t>
  </si>
  <si>
    <t xml:space="preserve">Shows the degree to which a company’s market value would decline when it declares bankruptcy before the value of liabilities exceeds the value of assets on the balance sheet. </t>
  </si>
  <si>
    <t>Current Fiscal Year End Date</t>
  </si>
  <si>
    <t>--01-28</t>
  </si>
  <si>
    <r>
      <rPr>
        <rFont val="Arial"/>
        <color theme="1"/>
        <sz val="12.0"/>
      </rPr>
      <t xml:space="preserve">Current </t>
    </r>
    <r>
      <rPr>
        <rFont val="Arial"/>
        <color rgb="FF00FF00"/>
        <sz val="12.0"/>
      </rPr>
      <t>Assets</t>
    </r>
    <r>
      <rPr>
        <rFont val="Arial"/>
        <color theme="1"/>
        <sz val="12.0"/>
      </rPr>
      <t>/</t>
    </r>
    <r>
      <rPr>
        <rFont val="Arial"/>
        <color rgb="FFFF0000"/>
        <sz val="12.0"/>
      </rPr>
      <t>Liab(-)</t>
    </r>
    <r>
      <rPr>
        <rFont val="Arial"/>
        <color theme="1"/>
        <sz val="12.0"/>
      </rPr>
      <t>=</t>
    </r>
  </si>
  <si>
    <t xml:space="preserve">found on balance sheet = </t>
  </si>
  <si>
    <t>A high market value of equity to total liabilities ratio can be interpreted to mean high investor confidence in the company’s financial strength.</t>
  </si>
  <si>
    <t>Document Transition Report</t>
  </si>
  <si>
    <r>
      <rPr>
        <rFont val="Arial"/>
        <color theme="1"/>
        <sz val="12.0"/>
      </rPr>
      <t xml:space="preserve">Total  </t>
    </r>
    <r>
      <rPr>
        <rFont val="Arial"/>
        <color rgb="FF00FF00"/>
        <sz val="12.0"/>
      </rPr>
      <t>Assets</t>
    </r>
    <r>
      <rPr>
        <rFont val="Arial"/>
        <color theme="1"/>
        <sz val="12.0"/>
      </rPr>
      <t>/</t>
    </r>
    <r>
      <rPr>
        <rFont val="Arial"/>
        <color rgb="FFFF0000"/>
        <sz val="12.0"/>
      </rPr>
      <t>Liab(-)=</t>
    </r>
  </si>
  <si>
    <r>
      <rPr>
        <rFont val="Arial"/>
        <b/>
        <color theme="1"/>
        <sz val="11.0"/>
      </rPr>
      <t xml:space="preserve">current assets </t>
    </r>
    <r>
      <rPr>
        <rFont val="Arial"/>
        <b/>
        <color theme="1"/>
        <sz val="11.0"/>
      </rPr>
      <t>(liabilities) = liquid assets that can be sold (received) within a year</t>
    </r>
  </si>
  <si>
    <t>Entity File Number</t>
  </si>
  <si>
    <t>001-34742</t>
  </si>
  <si>
    <t>Sales(net sales or rev)</t>
  </si>
  <si>
    <t>Book Value=Total Assets−Total Liabilities</t>
  </si>
  <si>
    <t>Entity Registrant Name</t>
  </si>
  <si>
    <t>EXPRESS, INC.</t>
  </si>
  <si>
    <t xml:space="preserve">Altman Z-Score = </t>
  </si>
  <si>
    <t>1.2ₓ₁ + 1.4ₓ₂ + 3.3ₓ₃ + 0.6ₓ₄ + 1.0ₓ₅</t>
  </si>
  <si>
    <t>Entity Incorporation, State or Country Code</t>
  </si>
  <si>
    <t>Entity Tax Identification Number</t>
  </si>
  <si>
    <t>26-2828128</t>
  </si>
  <si>
    <t>x1=</t>
  </si>
  <si>
    <t>/</t>
  </si>
  <si>
    <t>X1 = Working Capital / Total Assets (measures liquidity)</t>
  </si>
  <si>
    <t>Entity Address, Address Line One</t>
  </si>
  <si>
    <t>1 Express Drive</t>
  </si>
  <si>
    <t>x2=</t>
  </si>
  <si>
    <t>X2 = Retained Earnings / Total Assets</t>
  </si>
  <si>
    <t>Entity Address, City or Town</t>
  </si>
  <si>
    <t>Columbus</t>
  </si>
  <si>
    <t>x3=</t>
  </si>
  <si>
    <t>X3 = Earnings Before Tax and Interest (OI)/ Total Assets (measures how effectively the company uses its assets to get return)</t>
  </si>
  <si>
    <t>Entity Address, State or Province</t>
  </si>
  <si>
    <t>OH</t>
  </si>
  <si>
    <t>x4=</t>
  </si>
  <si>
    <t>X4 = Market Value of Equity / Total Liabilities (measures the market’s view of the company’s health)</t>
  </si>
  <si>
    <t>Entity Address, Postal Zip Code</t>
  </si>
  <si>
    <t>x5=</t>
  </si>
  <si>
    <t>X5 = Sales / Total Assets (indicated asset turnover)</t>
  </si>
  <si>
    <t>City Area Code</t>
  </si>
  <si>
    <t>Z=</t>
  </si>
  <si>
    <t>1.2(</t>
  </si>
  <si>
    <t>Local Phone Number</t>
  </si>
  <si>
    <t>474-4001</t>
  </si>
  <si>
    <r>
      <rPr>
        <rFont val="Arial"/>
        <b/>
        <color theme="1"/>
        <sz val="16.0"/>
      </rPr>
      <t>ζ₁</t>
    </r>
    <r>
      <rPr>
        <rFont val="Arial"/>
        <b val="0"/>
        <color theme="1"/>
        <sz val="16.0"/>
      </rPr>
      <t>=</t>
    </r>
  </si>
  <si>
    <t>1.2 X1 + 1.4 X2 + 3.3 X3 + 0.6 X4 + 1.0 X5</t>
  </si>
  <si>
    <t>=</t>
  </si>
  <si>
    <t>NYU Stern's Altman Z-score formula in 1967, and it was published in 1968. Over the years, Altman has continued to reevaluate his Z-score. From 1969-1975, Altman looked at 86 companies in distress, then 110 from 1976 to 1995, and finally 120 from 1996 to 1999, finding that the Z-score had an accuracy of between 82% and 94%.</t>
  </si>
  <si>
    <t>Title of 12(b) Security</t>
  </si>
  <si>
    <t>Common Stock, $.01 par value</t>
  </si>
  <si>
    <t>Trading Symbol</t>
  </si>
  <si>
    <t>Security Exchange Name</t>
  </si>
  <si>
    <t>Score below 1.8: Suggests a higher risk of financial distress and potential bankruptcy.</t>
  </si>
  <si>
    <t>Entity Well-known Seasoned Issuer</t>
  </si>
  <si>
    <t>No</t>
  </si>
  <si>
    <t>close to 0 suggests a company might be headed for bankruptcy.</t>
  </si>
  <si>
    <t>Entity Voluntary Filers</t>
  </si>
  <si>
    <t>A score closer to 3 suggests a company is in solid financial positioning</t>
  </si>
  <si>
    <t>Entity Current Reporting Status</t>
  </si>
  <si>
    <t>Yes</t>
  </si>
  <si>
    <t>Entity Interactive Data Current</t>
  </si>
  <si>
    <t>Entity Filer Category</t>
  </si>
  <si>
    <t>Accelerated Filer</t>
  </si>
  <si>
    <t>Entity Small Business</t>
  </si>
  <si>
    <t>A is the working capital / total assets ratio.</t>
  </si>
  <si>
    <t>Entity Emerging Growth Company</t>
  </si>
  <si>
    <t>B is the retained earnings / total assets ratio.</t>
  </si>
  <si>
    <t>ICFR Auditor Attestation Flag</t>
  </si>
  <si>
    <t>C is the earnings before interest and taxes (EBIT) / total assets ratio.</t>
  </si>
  <si>
    <t>Entity Shell Company</t>
  </si>
  <si>
    <t>D is the market value of equity / total liabilities ratio.</t>
  </si>
  <si>
    <t>Entity Public Float</t>
  </si>
  <si>
    <t>E is the sales / total assets ratio.</t>
  </si>
  <si>
    <t>Entity Common Stock, Shares Outstanding</t>
  </si>
  <si>
    <t>Documents Incorporated by Reference</t>
  </si>
  <si>
    <t>Certain portions of the registrant's definitive Proxy Statement for its 2023 A</t>
  </si>
  <si>
    <t>Entity Central Index Key</t>
  </si>
  <si>
    <t>Document Fiscal Year Focus</t>
  </si>
  <si>
    <t>Document Fiscal Period Focus</t>
  </si>
  <si>
    <t>FY</t>
  </si>
  <si>
    <t>Amendment Flag</t>
  </si>
  <si>
    <t>Audit Information</t>
  </si>
  <si>
    <t>1. Working Capital/Total Assets</t>
  </si>
  <si>
    <t>Audit Information [Abstract]</t>
  </si>
  <si>
    <t>Working capital is the difference between the current assets of a company and its current liabilities. The value of a company’s working capital determines its short-term financial health. A positive working capital means that a company can meet its short-term financial obligations and still make funds available to invest and grow.</t>
  </si>
  <si>
    <t>Auditor Name</t>
  </si>
  <si>
    <t>PricewaterhouseCoopers LLP</t>
  </si>
  <si>
    <t>Auditor Location</t>
  </si>
  <si>
    <t>Columbus, Ohio</t>
  </si>
  <si>
    <t>In contrast, negative working capital means that a company will struggle to meet its short-term financial obligations because there are inadequate current assets.</t>
  </si>
  <si>
    <t>Auditor Firm ID</t>
  </si>
  <si>
    <t>Consolidated Balance Sheets - USD ($)
$ in Thousands</t>
  </si>
  <si>
    <t>2. Retained Earnings/Total Assets</t>
  </si>
  <si>
    <t>Current Assets:</t>
  </si>
  <si>
    <t>The retained earnings/total assets ratio shows the amount of retained earnings or losses in a company. If a company reports a low retained earnings to total assets ratio, it means that it is financing its expenditure using borrowed funds rather than funds from its retained earnings. It increases the probability of a company going bankrupt.</t>
  </si>
  <si>
    <t>Cash and cash equivalents</t>
  </si>
  <si>
    <t>Receivables, net</t>
  </si>
  <si>
    <t>On the other hand, a high retained earnings to total assets ratio shows that a company uses its retained earnings to fund capital expenditure. It shows that the company achieved profitability over the years, and it does not need to rely on borrowings.</t>
  </si>
  <si>
    <t>Income tax receivable</t>
  </si>
  <si>
    <t>Inventories</t>
  </si>
  <si>
    <t>3. Earnings Before Interest and Tax/Total Assets</t>
  </si>
  <si>
    <t>Prepaid royalty</t>
  </si>
  <si>
    <t>EBIT, a measure of a company’s profitability, refers to the ability of a company to generate profits solely from its operations. The EBIT/Total Assets ratio demonstrates a company’s ability to generate enough revenues to stay profitable and fund ongoing operations and make debt payments.</t>
  </si>
  <si>
    <t>Prepaid rent</t>
  </si>
  <si>
    <t>Other</t>
  </si>
  <si>
    <t>4. Market Value of Equity/Total Liabilities</t>
  </si>
  <si>
    <t>Total current assets</t>
  </si>
  <si>
    <t>The market value, also known as market capitalization, is the value of a company’s equity. It is obtained by multiplying the number of outstanding shares by the current price of stocks.</t>
  </si>
  <si>
    <t>Right of Use Asset, Net</t>
  </si>
  <si>
    <t>Property and Equipment</t>
  </si>
  <si>
    <t>The market value of the equity/total liabilities ratio shows the degree to which a company’s market value would decline when it declares bankruptcy before the value of liabilities exceeds the value of assets on the balance sheet. A high market value of equity to total liabilities ratio can be interpreted to mean high investor confidence in the company’s financial strength.</t>
  </si>
  <si>
    <t>Less: accumulated depreciation</t>
  </si>
  <si>
    <t>Property and equipment, net</t>
  </si>
  <si>
    <t>5. Sales/Total Assets</t>
  </si>
  <si>
    <t>Non-Current Income Tax Receivable</t>
  </si>
  <si>
    <t>The sales to total assets ratio shows how efficiently the management uses assets to generate revenues vis-à-vis the competition. A high sales to total assets ratio is translated to mean that the management requires a small investment to generate sales, which increases the overall profitability of the company.</t>
  </si>
  <si>
    <t>Equity Method Investment</t>
  </si>
  <si>
    <t>In contrast, a low or falling sales to total assets ratio means that the management will need to use more resources to generate enough sales, which will reduce the company’s profitability.</t>
  </si>
  <si>
    <t>Other Assets</t>
  </si>
  <si>
    <t>TOTAL ASSETS</t>
  </si>
  <si>
    <t>39weeks = 0.75</t>
  </si>
  <si>
    <t>Current Liabilities:</t>
  </si>
  <si>
    <t>Short-term lease liability</t>
  </si>
  <si>
    <t>Accounts payable</t>
  </si>
  <si>
    <t>Deferred royalty income</t>
  </si>
  <si>
    <t>Deferred revenue</t>
  </si>
  <si>
    <r>
      <rPr>
        <rFont val="Arial"/>
        <b/>
        <color theme="1"/>
        <sz val="12.0"/>
      </rPr>
      <t xml:space="preserve">  Steps:    </t>
    </r>
    <r>
      <rPr>
        <rFont val="Arial"/>
        <color theme="1"/>
      </rPr>
      <t xml:space="preserve">    1</t>
    </r>
  </si>
  <si>
    <t>Short-term debt</t>
  </si>
  <si>
    <t>Accrued expenses</t>
  </si>
  <si>
    <t>Total current liabilities</t>
  </si>
  <si>
    <t>Long-Term Lease Liability</t>
  </si>
  <si>
    <r>
      <rPr>
        <rFont val="Arial"/>
        <color theme="1"/>
        <sz val="12.0"/>
      </rPr>
      <t xml:space="preserve">Current </t>
    </r>
    <r>
      <rPr>
        <rFont val="Arial"/>
        <color rgb="FF00FF00"/>
        <sz val="12.0"/>
      </rPr>
      <t>Assets</t>
    </r>
    <r>
      <rPr>
        <rFont val="Arial"/>
        <color theme="1"/>
        <sz val="12.0"/>
      </rPr>
      <t>/</t>
    </r>
    <r>
      <rPr>
        <rFont val="Arial"/>
        <color rgb="FFFF0000"/>
        <sz val="12.0"/>
      </rPr>
      <t>Liab(-)</t>
    </r>
    <r>
      <rPr>
        <rFont val="Arial"/>
        <color theme="1"/>
        <sz val="12.0"/>
      </rPr>
      <t>=</t>
    </r>
  </si>
  <si>
    <t>Long-Term Debt</t>
  </si>
  <si>
    <r>
      <rPr>
        <rFont val="Arial"/>
        <color theme="1"/>
        <sz val="12.0"/>
      </rPr>
      <t xml:space="preserve">Total  </t>
    </r>
    <r>
      <rPr>
        <rFont val="Arial"/>
        <color rgb="FF00FF00"/>
        <sz val="12.0"/>
      </rPr>
      <t>Assets</t>
    </r>
    <r>
      <rPr>
        <rFont val="Arial"/>
        <color theme="1"/>
        <sz val="12.0"/>
      </rPr>
      <t>/</t>
    </r>
    <r>
      <rPr>
        <rFont val="Arial"/>
        <color rgb="FFFF0000"/>
        <sz val="12.0"/>
      </rPr>
      <t>Liab(-)=</t>
    </r>
  </si>
  <si>
    <r>
      <rPr>
        <rFont val="Arial"/>
        <b/>
        <color theme="1"/>
        <sz val="11.0"/>
      </rPr>
      <t xml:space="preserve">current assets </t>
    </r>
    <r>
      <rPr>
        <rFont val="Arial"/>
        <b/>
        <color theme="1"/>
        <sz val="11.0"/>
      </rPr>
      <t>(liabilities) = liquid assets that can be sold (received) within a year</t>
    </r>
  </si>
  <si>
    <t>Other Long-Term Liabilities</t>
  </si>
  <si>
    <t>Total Liabilities</t>
  </si>
  <si>
    <t>Commitments and Contingencies (Note 12)</t>
  </si>
  <si>
    <t>Stockholders’ Equity:</t>
  </si>
  <si>
    <t>Preferred stock – $0.01 par value; 10,000 shares authorized; no shares issued or outstanding</t>
  </si>
  <si>
    <t>Common stock – $0.01 par value; 500,000 shares authorized; 99,067 shares and 93,632 shares issued at January 28, 2023 and January 29, 2022, respectively, and 73,760 shares and 67,072 shares outstanding at January 28, 2023 and January 29, 2022, respectively</t>
  </si>
  <si>
    <t>Additional paid-in capital</t>
  </si>
  <si>
    <t>Retained earnings</t>
  </si>
  <si>
    <t>Treasury stock – at average cost; 25,307 shares and 26,560 shares at January 28, 2023 and January 29, 2022, respectively</t>
  </si>
  <si>
    <t>Total stockholders’ equity</t>
  </si>
  <si>
    <r>
      <rPr>
        <rFont val="Arial"/>
        <b/>
        <color theme="1"/>
        <sz val="16.0"/>
      </rPr>
      <t>ζ₁</t>
    </r>
    <r>
      <rPr>
        <rFont val="Arial"/>
        <b val="0"/>
        <color theme="1"/>
        <sz val="16.0"/>
      </rPr>
      <t>=</t>
    </r>
  </si>
  <si>
    <t>TOTAL LIABILITIES AND STOCKHOLDERS' EQUITY</t>
  </si>
  <si>
    <t>Consolidated Balance Sheets (Parentheticals) - $ / shares</t>
  </si>
  <si>
    <t>Statement of Financial Position [Abstract]</t>
  </si>
  <si>
    <t>Preferred stock, par value (in USD per share)</t>
  </si>
  <si>
    <t>Preferred stock, shares authorized (in shares)</t>
  </si>
  <si>
    <t>Preferred stock, shares issued (in shares)</t>
  </si>
  <si>
    <t>Preferred stock, shares outstanding (in shares)</t>
  </si>
  <si>
    <t>Common stock, par value (in USD per share)</t>
  </si>
  <si>
    <t>Common stock, shares authorized (in shares)</t>
  </si>
  <si>
    <t>Common stock, shares, issued (in shares)</t>
  </si>
  <si>
    <t>Common stock, shares, outstanding (in shares)</t>
  </si>
  <si>
    <t>Treasury stock, shares at average cost (in shares)</t>
  </si>
  <si>
    <t>Consolidated Statements of Income and Comprehensive Income - USD ($)
shares in Thousands, $ in Thousands</t>
  </si>
  <si>
    <t>Income Statement [Abstract]</t>
  </si>
  <si>
    <t>Net Sales</t>
  </si>
  <si>
    <t>Cost of Goods Sold, Buying and Occupancy Costs</t>
  </si>
  <si>
    <t>GROSS PROFIT/(LOSS)</t>
  </si>
  <si>
    <t>Operating Expenses:</t>
  </si>
  <si>
    <t>Selling, general, and administrative expenses</t>
  </si>
  <si>
    <t>Other operating income, net</t>
  </si>
  <si>
    <t>TOTAL OPERATING EXPENSES</t>
  </si>
  <si>
    <t>OPERATING (LOSS)/INCOME</t>
  </si>
  <si>
    <t>Interest Expense, Net</t>
  </si>
  <si>
    <t>Gain on transaction with WHP</t>
  </si>
  <si>
    <t>Other (Income)/Expense, Net</t>
  </si>
  <si>
    <t>INCOME/(LOSS) BEFORE INCOME TAXES</t>
  </si>
  <si>
    <t>Income Tax Expense/(Benefit)</t>
  </si>
  <si>
    <t>NET INCOME/(LOSS)</t>
  </si>
  <si>
    <t>COMPREHENSIVE INCOME/(LOSS)</t>
  </si>
  <si>
    <t>EARNINGS PER SHARE:</t>
  </si>
  <si>
    <t>Basic (in USD per share)</t>
  </si>
  <si>
    <t>Diluted (in USD per share)</t>
  </si>
  <si>
    <t>WEIGHTED AVERAGE SHARES OUTSTANDING:</t>
  </si>
  <si>
    <t>Basic (in shares)</t>
  </si>
  <si>
    <t>Diluted (in shares)</t>
  </si>
  <si>
    <t>Consolidated Statements of Changes in Stockholders' Equity - USD ($)
shares in Thousands, $ in Thousands</t>
  </si>
  <si>
    <t>Total</t>
  </si>
  <si>
    <t>Common Stock</t>
  </si>
  <si>
    <t>Additional Paid-in Capital</t>
  </si>
  <si>
    <t>Retained Earnings</t>
  </si>
  <si>
    <t>Accumulated Other Comprehensive Loss</t>
  </si>
  <si>
    <t>Treasury Stock</t>
  </si>
  <si>
    <t>Balance, at start of period (in shares) at Feb. 01, 2020</t>
  </si>
  <si>
    <t>Balance, at start of period at Feb. 01, 2020</t>
  </si>
  <si>
    <t>Balance, at start of period, treasury stock (in shares) at Feb. 01, 2020</t>
  </si>
  <si>
    <t>Increase (Decrease) in Stockholders' Equity [Roll Forward]</t>
  </si>
  <si>
    <t>Net loss</t>
  </si>
  <si>
    <t>Exercise of stock options and restricted stock (in shares)</t>
  </si>
  <si>
    <t>Exercise of stock options and restricted stock</t>
  </si>
  <si>
    <t>Share-based compensation</t>
  </si>
  <si>
    <t>Repurchase of common stock (in shares)</t>
  </si>
  <si>
    <t>Repurchase of common stock</t>
  </si>
  <si>
    <t>Balance, at end of period (in shares) at Jan. 30, 2021</t>
  </si>
  <si>
    <t>Balance, at end of period at Jan. 30, 2021</t>
  </si>
  <si>
    <t>Balance, at end of period, treasury stock (in shares) at Jan. 30, 2021</t>
  </si>
  <si>
    <t>Balance, at end of period (in shares) at Jan. 29, 2022</t>
  </si>
  <si>
    <t>Balance, at end of period at Jan. 29, 2022</t>
  </si>
  <si>
    <t>Balance, at end of period, treasury stock (in shares) at Jan. 29, 2022</t>
  </si>
  <si>
    <t>Issuance of common stock (in shares)</t>
  </si>
  <si>
    <t>Issuance of common stock</t>
  </si>
  <si>
    <t>Balance, at end of period (in shares) at Jan. 28, 2023</t>
  </si>
  <si>
    <t>Balance, at end of period at Jan. 28, 2023</t>
  </si>
  <si>
    <t>Balance, at end of period, treasury stock (in shares) at Jan. 28, 2023</t>
  </si>
  <si>
    <t>Consolidated Statements of Cash Flows - USD ($)
$ in Thousands</t>
  </si>
  <si>
    <t>CASH FLOWS FROM OPERATING ACTIVITIES:</t>
  </si>
  <si>
    <t>Net income/(loss)</t>
  </si>
  <si>
    <t>Adjustments to reconcile net income/(loss) to net cash (used in) provided by operating activities:</t>
  </si>
  <si>
    <t>Depreciation and amortization</t>
  </si>
  <si>
    <t>Loss on extinguishment of debt</t>
  </si>
  <si>
    <t>Loss on disposal of property and equipment</t>
  </si>
  <si>
    <t>Impairment of property, equipment and lease assets</t>
  </si>
  <si>
    <t>Equity method investment impairment</t>
  </si>
  <si>
    <t>Deferred taxes</t>
  </si>
  <si>
    <t>Landlord allowance amortization</t>
  </si>
  <si>
    <t>Other non-cash adjustments</t>
  </si>
  <si>
    <t>Changes in operating assets and liabilities:</t>
  </si>
  <si>
    <t>Accounts payable, deferred revenue, and accrued expenses</t>
  </si>
  <si>
    <t>Other assets and liabilities</t>
  </si>
  <si>
    <t>NET CASH (USED IN) PROVIDED BY OPERATING ACTIVITIES</t>
  </si>
  <si>
    <t>CASH FLOWS FROM INVESTING ACTIVITIES:</t>
  </si>
  <si>
    <t>Capital expenditures</t>
  </si>
  <si>
    <t>Proceeds from WHP transaction</t>
  </si>
  <si>
    <t>NET CASH PROVIDED BY (USED IN) INVESTING ACTIVITIES</t>
  </si>
  <si>
    <t>CASH FLOWS FROM FINANCING ACTIVITIES:</t>
  </si>
  <si>
    <t>Proceeds from borrowings under the revolving credit facility</t>
  </si>
  <si>
    <t>Repayment of borrowings under the revolving credit facility</t>
  </si>
  <si>
    <t>Proceeds from borrowings under the term loan facility</t>
  </si>
  <si>
    <t>Repayment of borrowings under the term loan facility</t>
  </si>
  <si>
    <t>Proceeds on financing arrangements</t>
  </si>
  <si>
    <t>Repayments of financing arrangements</t>
  </si>
  <si>
    <t>Costs incurred in connection with debt arrangements</t>
  </si>
  <si>
    <t>Proceeds on issuance of common stock</t>
  </si>
  <si>
    <t>Repurchase of common stock for tax withholding obligations</t>
  </si>
  <si>
    <t>NET CASH (USED IN) PROVIDED BY FINANCING ACTIVITIES</t>
  </si>
  <si>
    <t>NET INCREASE/(DECREASE) IN CASH AND CASH EQUIVALENTS</t>
  </si>
  <si>
    <t>CASH AND CASH EQUIVALENTS, BEGINNING OF PERIOD</t>
  </si>
  <si>
    <t>CASH AND CASH EQUIVALENTS, END OF PERIOD</t>
  </si>
  <si>
    <t>SUPPLEMENTAL DISCLOSURE OF CASH FLOW INFORMATION:</t>
  </si>
  <si>
    <t>Cash paid for interest</t>
  </si>
  <si>
    <t>Cash paid to taxing authorities</t>
  </si>
  <si>
    <t>Description of Business and Basis of Presentation</t>
  </si>
  <si>
    <t>Description of Business and Basis of Presentation [Abstract]</t>
  </si>
  <si>
    <t>NOTE 1 | DESCRIPTION OF BUSINESS AND BASIS OF PRESENTATION
Business Description
Express, Inc., together with its subsidiaries (“Express” or the “Company”), is a fashion retail company whose business includes an omnichannel operating platform, physical and online stores, and a multi-brand portfolio that includes Express and UpWest. The Express brand launched in 1980 with the idea that style, quality and value should all be found in one place. Today, Express is a brand with a purpose - We Create Confidence. We Inspire Self-Expression. - powered by a styling community. UpWest launched in 2019 with a purpose to Provide Comfort for People &amp; Planet.
The Company operates 553 retail and factory outlet stores in the United States and Puerto Rico, the express.com online store and the Express mobile app. Express is comprised of the brands Express and UpWest. As of January 28, 2023, Express operated 355 primarily mall-based retail stores in the United States and Puerto Rico as well as 198 factory outlets.
WHP Strategic Partnership
On December 8, 2022, Express entered into a strategic partnership with WHP Global (“WHP”), a leading global brand management firm. The mutually transformative strategic partnership advances the Company's omnichannel platform which is expected to drive accelerated, long-term growth through the acquisition and operation of a portfolio of brands. The Company and WHP have also formed EXP Topco, LLC, an intellectual property joint venture (the “Joint Venture”), intended to scale the Express brand through new domestic category licensing and international expansion opportunities. Refer to Note 4 included elsewhere in this Annual Report for further discussion regarding the WHP partnership.
Fiscal Year
The Company's fiscal year ends on the Saturday closest to January 31. Fiscal years are referred to by the calendar year in which the fiscal year commences. All references herein to the Company's fiscal years are as follows:
Fiscal Year Year Ended Number of Weeks 2022 January 28, 2023 52 2021 January 29, 2022 52 2020 January 30, 2021 52 
Basis of Presentation
Express, Inc., a holding company, owns all of the outstanding equity interests in Express Topco LLC, a holding company, which owns all of the outstanding equity interests in Express Holding, LLC ("Express Holding"). Express Holding owns all of the outstanding equity interests in Express, LLC. Express, LLC, together with its subsidiaries, including Express Fashion Operations, LLC, conducts the operations of the Company and Express Fashion Investments, LLC which owns a 40% economic interest with significant influence in the Joint Venture.
Principles of Consolidation
The Consolidated Financial Statements include the accounts of the Company and its wholly-owned subsidiaries. The Company holds a 40% equity method interest in the Joint Venture, which is majority owned by WH Borrower, LLC. All intercompany transactions and balances have been eliminated in consolidation.
Segment Reporting
The Company defines an operating segment on the same basis that it uses to evaluate performance internally. The Company has determined that, together, its Chief Executive Officer and its President and Chief Operating Officer are the Chief Operating Decision Maker, and that there is one operating segment. Therefore, the Company reports results as a single segment, which includes the operation of its Express brick-and-mortar retail and outlet stores, eCommerce operations and franchise operations.
Use of Estimates in the Preparation of Financial Statements
The preparation of financial statements in conformity with generally accepted accounting principles in the United States of America ("GAAP") requires management to make estimates and assumptions that affect the reported amounts of assets and liabilities at the date of the Consolidated Financial Statements and the reported amounts of revenue and expense during the reporting period, as well as the related disclosure of contingent assets and liabilities as of the date of the Consolidated Financial Statements. Actual results may differ from those estimates. The Company revises its estimates and assumptions as new information becomes available.
Going Concern and Management’s Plans
The Company’s revenues, results of operations and cash flows have been materially adversely impacted in the third and fourth quarters of 2022 reversing the trend seen into the second quarter of 2022. The persistently challenging macroeconomic and retail apparel environments, which became more pronounced as the year progressed, significantly impacted the Company's performance. Net sales during 2022 decreased approximately $6.1 million compared to 2021 and this decline, coupled with an increase in promotional activity, drove gross margin and operating loss below the Company's expectations. For 2022, the Company reported operating loss of $67.5 million and negative operating cash flows of $157.1 million.
During the fourth quarter of 2022, the Company amended its existing $140.0 million Term Loan Credit Facility and existing $250.0 million Asset-Based Revolving Credit. The Amended Term Loan Facility refinanced the $90.0 million “first in, last out” term loan facility with a new $90.0 million “first in, last out” term loan facility and terminated the $50.0 million delayed draw term loan facility. The 2022 Amended Revolving Credit Facility increased the maximum revolver amount by $40.0 million to $290.0 million. Subsequent to the debt amendment transaction and prior to the closing of the fiscal year, the Company entered into the strategic partnership with WHP that provided $260.0 million in proceeds which it used to pay off (i) the remaining $90.0 million outstanding on our Term Loan and (ii) a portion of our Amended Revolving Credit Facility. Refer to Note 7 in the Company's Consolidated Financial Statements included elsewhere in this Annual Report for further details regarding the Amended Revolving Credit Facility. As of January 28, 2023, the Company is currently in compliance with its covenants, however, due to the uncertainty in the Company’s business, the Company could experience material further decreases to revenues and cash flows and may experience difficulty remaining in compliance with financial covenants under the Amended Revolving Credit Facility. When conditions and events, in the aggregate, impact an entity's ability to continue as a going concern, management evaluates the mitigating effect of its plans to determine if it is probable that the plans will be effectively implemented and, when implemented, the plans will mitigate the relevant conditions or events.
The Company's plans are focused on improving its results and liquidity through cost reductions and improved sales trends as we move through 2023. The Company has contingency plans which would further reduce or defer additional expenses and cash outlays, should operations weaken beyond current forecasts. The Company believes these plans are probable of being successfully implemented, which will result in adequate cash flows to support its ongoing operations and to meet its covenant requirements for at least one year following the date these financial statements are issued.
The accompanying Consolidated Financial Statements are prepared in accordance with generally accepted accounting principles applicable to a going concern, which contemplates the realization of assets and the satisfaction of liabilities in the normal course of business.</t>
  </si>
  <si>
    <t>Summary of Significant Accounting Policies</t>
  </si>
  <si>
    <t>Accounting Policies [Abstract]</t>
  </si>
  <si>
    <t>NOTE 2 | SUMMARY OF SIGNIFICANT ACCOUNTING POLICIES
Cash and Cash Equivalents
Cash and cash equivalents include investments in money market funds, payments due from banks for third-party credit and debit card transactions for up to five days of sales, cash on hand, and deposits with financial institutions. As of January 28, 2023 and January 29, 2022, amounts due from banks for credit and debit card transactions totaled approximately $10.1 million and $10.3 million, respectively.
Outstanding checks not yet presented for payment amounted to $31.2 million and $29.1 million as of January 28, 2023 and January 29, 2022, respectively, and are included in accounts payable on the Consolidated Balance Sheets.
Fair Value Measurements
Fair value is defined as the price that would be received to sell an asset or paid to transfer a liability in an orderly transaction between market participants at the measurement date. Assets and liabilities measured at fair value are classified using the following hierarchy, which is based upon the transparency of inputs to the valuation as of the measurement date.
■Level 1 - Valuation is based upon quoted prices (unadjusted) for identical assets or liabilities in active markets.
■Level 2 - Valuation is based upon quoted prices for similar assets and liabilities in active markets or other inputs that are observable for the asset or liability, either directly or indirectly, for substantially the full term of the financial instrument.
■Level 3 - Valuation is based upon other unobservable inputs that are significant to the fair value measurement.
Financial Assets
The following table presents the Company's financial assets, recorded in cash and cash equivalents on the Consolidated Balance Sheets, measured at fair value on a recurring basis as of January 28, 2023 and January 29, 2022, aggregated by the level in the fair value hierarchy within which those measurements fall.
January 28, 2023 Level 1 Level 2 Level 3 (in thousands) Money market funds $ 47,792  $ —  $ —  January 29, 2022 Level 1 Level 2 Level 3 (in thousands) Money market funds $ —  $ —  $ —  
The money market funds are valued using quoted market prices in active markets.
Non-Financial Assets
The Company's non-financial assets, which include fixtures, equipment, improvements, right of use assets, and equity method investment, are not required to be measured at fair value on a recurring basis. However, if certain triggering events occur indicating the carrying value of these assets may not be recoverable, or annually in the case of indefinite-lived intangibles, an impairment test is required. See additional discussion under the heading "Property and Equipment, Net" in this note below.
The carrying amounts reflected on the Consolidated Balance Sheets for the remaining cash, cash equivalents, receivables, prepaid expenses, and payables as of January 28, 2023 and January 29, 2022 approximated their fair values. The equity method investment is at cost, and is the result of a market participant transaction with WHP whereby the Company received proceeds for a 60% interest in the intellectual property it contributed to the Joint Venture. The Company has a 40% interest in the Joint Venture.
Receivables, Net
Receivables, net consist primarily of construction allowances, receivables from the Bank related to the Card Agreement, our franchisees, and third-party resellers of our gift cards, and other miscellaneous receivables. Outstanding receivables are continuously reviewed for collectability. The Company's allowance for estimated credit losses was not significant as of January 28, 2023 or January 29, 2022.
Inventories
Inventories are principally valued at the lower of cost or net realizable value on a weighted-average cost basis. The Company writes down inventory, the impact of which is reflected in cost of goods sold, buying and occupancy costs in the Consolidated Statements of Income and Comprehensive Income, if the cost of specific inventory items on hand exceeds the amount the Company expects to realize from the ultimate sale or disposal of the inventory. These estimates are based on management's judgment regarding future demand and market conditions and analysis of historical experience. The lower of cost or net realizable value adjustment to inventory as of January 28, 2023 and January 29, 2022 was $10.3 million and $14.2 million, respectively.
The Company also records an inventory shrink reserve for estimated merchandise inventory losses between the last physical inventory count and the balance sheet date. This estimate is based on management's analysis of historical results.
Advertising
Advertising production costs are expensed at the time the promotion first appears in media, stores, or on the website. Total advertising expense was $134.9 million, $135.0 million and $110.6 million in 2022, 2021, and 2020, respectively. Advertising costs are included in selling, general, and administrative expenses in the Consolidated Statements of Income and Comprehensive Income.
Property and Equipment, Net
Property and equipment are stated at cost. Depreciation of property and equipment is computed on a straight-line basis, using the following useful lives:
Category
 Depreciable Life
 Software, including software developed for internal use 3 - 7 years
 Store related assets and other property and equipment 3 - 10 years
 Furniture, fixtures and equipment 5 - 7 years
 Leasehold improvements Shorter of lease term or useful life of the asset, typically no longer than 10 years
 Building improvements 6 - 30 years
When a decision is made to dispose of property and equipment prior to the end of its previously estimated useful life, depreciation estimates are revised to reflect the use of the asset over the shortened estimated useful life. The cost of assets sold or retired and the related accumulated depreciation are removed from the accounts with any resulting gain or loss included in other operating income, net, in the Consolidated Statements of Income and Comprehensive Income. Maintenance and repairs are charged to expense as incurred. Major renewals and betterments that extend useful lives are capitalized.
Store Asset Impairment
Property and equipment, including the right of use assets, are not required to be measured at fair value on a recurring basis. However, if certain triggering events occur indicating the carrying value of these assets may not be recoverable, an impairment test is required. These events include, but are not limited to, material adverse changes in projected revenues, present cash flow losses combined with a history of cash flow losses and a forecast that demonstrates significant continuing losses, significant negative economic conditions, a significant decrease in the market value of an asset and store closure or relocation decisions. The reviews are conducted at the store level, the lowest identifiable level of cash flow.
Stores that display an indicator of impairment are subjected to an impairment assessment. Such stores are tested for recoverability by comparing the sum of the estimated future undiscounted cash flows to the carrying amount of the asset. This recoverability test requires management to make assumptions and judgments related, but not limited, to management’s expectations for future cash flows from operating the store.
▪The key assumption used in the undiscounted future store cash flow models is the sales growth rate.
An impairment loss may be recognized when these undiscounted future cash flows are less than the carrying amount of the asset group. In the circumstance of impairment, any loss would be measured as the excess of the carrying amount of the asset group over its fair value. Fair value of the store-related assets is determined at the individual store level based on the highest and best use of the asset group.
•The key assumptions used in the fair value analysis may include discounted estimates of future store cash flows from operating the store and/or comparable market rents.
During 2022, 2021 and 2020, the Company recognized impairment charges as follows:
2022 2021 2020 (in thousands) Right of use asset impairment $ 1,483  $ —  $ 25,117  Property and equipment asset impairment 667  —  9,263  Total asset impairment $ 2,150  $ —  $ 34,380  
Impairment charges are recorded in cost of goods sold, buying and occupancy costs in the Consolidated Statements of Income and Comprehensive Income.
Equity Method Investments
The Company accounts for each of its equity investments through which it exercises significant influence but does not have control over the investee under the equity method. Under the equity method, the Company recorded its investment in the investee on the balance sheet initially at cost, and subsequently adjusts the carrying amount based on its share of the investee's net income or loss. Royalty distributions received from the investee are recognized as a reduction of the carrying amount of the investment. The Company's share of equity (income)/losses and other adjustments associated with these equity investments will be included in other operating income, net in the Consolidated Statements of Income and Comprehensive Income. The carrying value for the Company's equity investment is reported in Equity Method Investment on the Consolidated Balance Sheets. The Company reports its share of earnings using a one-month lag because results are not available in time for it to record them in the concurrent period. This convention does not materially impact the Company's results.
The Company reviews its equity investments accounted for under the equity method of accounting for impairment by comparing the fair value of each of its investments to their carrying value. If the carrying value of an investment exceeds its fair value and the loss in value is other than temporary, the investment is considered impaired and reduced to fair value, and the impairment is recognized in the period identified. Factors providing evidence of such a loss include changes in the investee's operations or financial condition, significant continuing losses, significant negative economic conditions or a significant decrease in the market value. Impairment charges are recorded in other expense/(income), net in the Consolidated Statements of Income and Comprehensive Income.
Income Taxes
The Company accounts for income taxes using the asset and liability method. Under this method, the amount of taxes currently payable or refundable are accrued, and deferred tax assets and liabilities are recognized for the estimated future tax consequences of temporary differences that currently exist between the tax basis and financial reporting basis of the Company's assets and liabilities. Valuation allowances are established against deferred tax assets when it is more likely than not that the realization of those deferred tax assets will not occur.
Deferred tax assets and liabilities are measured using the enacted tax rates in effect in the years when those temporary differences are expected to reverse. The effect on deferred taxes from a change in tax rate is recognized through continuing operations in the period that includes the enactment date of the change. Changes in tax laws and rates could affect recorded deferred tax assets and liabilities in the future.
The Company considers all available evidence, both positive and negative, when evaluating whether deferred tax assets are realizable. Such factors include past operating results, taxable income in prior carryback years, future reversal of existing temporary differences, prudent and feasible tax planning strategies and forecasts of future operating income. The past operating results is given more weight than expectations of future profitability, which is
inherently uncertain. The assumptions utilized in determining future taxable income require significant judgment and actual operating results in future years could differ from the Company’s current assumptions and estimates.
A tax benefit from an uncertain tax position may be recognized when it is more-likely-than-not that the position will be sustained upon examination, including resolutions of any related appeals or litigation processes, based on the technical merits. Income tax positions must meet a more-likely-than-not recognition threshold to be recognized.
The Company recognizes tax liabilities for uncertain tax positions and adjusts these liabilities when the Company's judgment changes as a result of the evaluation of new information not previously available. Due to the complexity of some of these uncertainties, the ultimate resolution may result in a payment that is materially different from the current estimate of the tax liabilities. These differences will be reflected as increases or decreases to income tax expense and the effective tax rate in the period in which the new information becomes available.
Interest and penalties related to unrecognized tax benefits are recognized within income tax expense in the Consolidated Statements of Income and Comprehensive Income. Accrued interest and penalties are included within other long-term liabilities on the Consolidated Balance Sheets.
The income tax liability was $8.0 million and $0.8 million as of January 28, 2023 and January 29, 2022, respectively, and is included in accrued expenses on the Consolidated Balance Sheets.
The Company may be subject to periodic audits by the Internal Revenue Service ("IRS") and other taxing authorities. These audits may challenge certain of the Company's tax positions, such as the timing and amount of deductions and allocation of taxable income to various jurisdictions.
Self-Insurance
The Company is generally self-insured in the United States for medical, workers' compensation and general liability benefits up to certain stop-loss limits. Such costs are accrued based on known claims and estimates of incurred but not reported (“IBNR”) claims. IBNR claims are estimated using historical claim information and actuarial estimates. The accrued liability for self-insurance is included in accrued expenses on the Consolidated Balance Sheets.
Revenue Recognition
The following is information regarding the Company's major product categories and sales channels:
  2022 2021 2020 (in thousands) Apparel $ 1,667,833  $ 1,652,706  $ 1,033,140  Accessories and other 144,356  168,211  132,069  Other revenue 51,993  49,379  43,165  Total net sales $ 1,864,182  $ 1,870,296  $ 1,208,374  
  2022 2021 2020 (in thousands) Retail $ 1,314,647  $ 1,339,091  $ 860,613  Outlet 497,542  481,826  304,596  Other revenue 51,993  49,379  43,165  Total net sales $ 1,864,182  $ 1,870,296  $ 1,208,374  
Merchandise returns are reflected in the accounting records of the channel where they are physically returned. Other revenue consists primarily of revenue earned from our private label credit card agreement, shipping and handling revenue related to eCommerce activity, sell-off revenue related to marked-out-of-stock inventory sales to third parties, revenue from gift card breakage and revenue from franchise agreements.
Revenue related to the Company’s international franchise operations was not material for any period presented and, therefore, is not reported separately from domestic revenue.
Merchandise Sales
The Company recognizes sales for in-store purchases at the point-of-sale. Revenue related to eCommerce transactions is recognized upon shipment based on the fact that control transfers to the customer at that time. The Company has made a policy election to treat shipping and handling as costs to fulfill the contract, and as a result, any amounts received from customers are included in the transaction price allocated to the performance obligation of providing goods with a corresponding amount accrued within cost of goods sold, buying and occupancy costs in the Consolidated Statements of Income and Comprehensive Income for amounts paid to applicable carriers. Associate discounts on merchandise purchases are classified as a reduction of net sales. Net sales excludes sales tax collected from customers and remitted to governmental authorities.
The Company also sells merchandise to multiple franchisees pursuant to different franchise agreements. Revenues may consist of sales of merchandise and/or royalties. Revenues from merchandise sold to franchisees are recorded at the time title transfers to the franchisees. Royalty revenue is based upon a percentage of the franchisee’s net sales to third parties and is earned when such sales to third parties occur.
Loyalty Program
The Company maintains a customer loyalty program in which customers earn points toward rewards for qualifying purchases and other marketing activities. Upon reaching specified point values, customers are issued a reward, which they may redeem on merchandise purchases at the Company’s stores or on its website. Generally, rewards earned must be redeemed within 60 days from the date of issuance. The Company defers a portion of merchandise sales based on the estimated standalone selling price of the points earned. This deferred revenue is recognized as certificates are redeemed or expire. To calculate this deferral, the Company makes assumptions related to card holder redemption rates based on historical experience. The loyalty liability is included in deferred revenue on the Consolidated Balance Sheets.
2022 2021 (in thousands) Beginning balance loyalty deferred revenue $ 10,918  $ 8,951  (Revenue recognized)/reduction in revenue (979) 1,967  Ending balance loyalty deferred revenue $ 9,939  $ 10,918  
Sales Returns Reserve
The Company reduces net sales and provides a reserve for projected merchandise returns based on prior experience. Merchandise returns are often resalable merchandise and are refunded by issuing the same payment tender as the original purchase. The sales returns reserve was $9.0 million and $9.8 million as of January 28, 2023 and January 29, 2022, respectively, and is included in accrued expenses on the Consolidated Balance Sheets. The asset related to projected returned merchandise is included in other assets on the Consolidated Balance Sheets.
Gift Cards
The Company sells gift cards in its stores, on its eCommerce website and through third parties. These gift cards do not expire or lose value over periods of inactivity. The Company accounts for gift cards by recognizing a liability at the time a gift card is sold. The gift card liability balance was $25.6 million and $25.1 million as of January 28, 2023 and January 29, 2022, respectively, and is included in deferred revenue on the Consolidated Balance Sheets. During 2022 and 2021, the Company recognized approximately $13.9 million and $8.2 million of revenue that was previously included in the beginning gift card contract liability, respectively. The Company recognizes revenue from gift cards when they are redeemed by the customer. The Company also recognizes income on unredeemed gift cards, referred to as “gift card breakage.” Gift card breakage is recognized proportionately using a time-based attribution method from issuance of the gift card to the time when it can be determined that the likelihood of the gift card being redeemed is remote and that there is no legal obligation to remit unredeemed gift cards to relevant jurisdictions. The gift card breakage rate is based on historical redemption patterns. Gift card breakage is included within the other revenue component of net sales in the Consolidated Statements of Income and Comprehensive Income.
2022 2021 (in thousands) Beginning gift card liability $ 25,066  $ 23,478  Issuances 30,780  31,339  Redemptions (27,303) (27,218) Gift card breakage (2,939) (2,533) Ending gift card liability $ 25,604  $ 25,066  
Private Label Credit Card
The Company has an agreement with Comenity Bank (the “Bank”) to provide customers with private label credit cards (the “Card Agreement”) which was amended on August 28, 2017 to extend the term of the arrangement through December 31, 2024. Each private label credit card bears the logo of the Express brand and can only be used at the Company’s store locations and eCommerce channel. The Bank is the sole owner of the accounts issued under the private label credit card program and absorbs the losses associated with non-payment by the private label card holders and a portion of any fraudulent usage of the accounts.
Pursuant to the Card Agreement, the Company receives amounts from the Bank during the term based on a percentage of private label credit card sales and is also eligible to receive incentive payments for the achievement of certain performance targets. These funds are recorded within the other revenue component of net sales in the Consolidated Statements of Income and Comprehensive Income. The Company also receives reimbursement funds from the Bank for certain expenses the Company incurs. These reimbursement funds are used by the Company to fund marketing and other programs associated with the private label credit card. The reimbursement funds received related to private label credit cards are recorded within the other revenue component of net sales in the Consolidated Statements of Income and Comprehensive Income.
In connection with the Card Agreement, the Bank agreed to pay the Company a $20.0 million refundable payment which the Company recognized upon receipt as deferred revenue within other long-term liabilities in the Consolidated Balance Sheets and began to recognize into income on a straight-line basis commencing January 2018. As of January 28, 2023, the deferred revenue balance of $5.5 million will be recognized over the remaining term of the amended Card Agreement within the other revenue component of net sales in the Consolidated Statements of Income and Comprehensive Income.
2022 2021 (in thousands) Beginning balance refundable payment liability $ 8,394  $ 11,272  Recognized in revenue (2,878) (2,878) Ending balance refundable payment liability $ 5,516  $ 8,394  
Cost of Goods Sold, Buying and Occupancy Costs
Cost of goods sold, buying and occupancy costs, includes merchandise costs, freight, inventory shrinkage and other gross margin related expenses. Buying and occupancy expenses primarily include payroll, benefit costs, and other operating expenses for the buying departments (merchandising, design, manufacturing and planning and allocation), distribution, eCommerce fulfillment, rent, common area maintenance, real estate taxes, utilities, maintenance and depreciation for stores.
Selling, General, and Administrative Expenses
Selling, general, and administrative expenses include all operating costs not included in cost of goods sold, buying and occupancy costs, with the exception of proceeds received from insurance claims and gain/loss on disposal of
assets, which are included in other operating expense, net. These costs include payroll and other expenses related to operations at our corporate home office, store expenses other than occupancy, and marketing expenses.
Other Operating Income, Net
Other operating income, net primarily consists of gains/losses on disposal of assets, excess proceeds from the settlement of insurance claims and the write off of certain costs associated with aborted debt negotiations.
Gain on Transaction with WHP
Gain on transaction with WHP primarily consists of proceeds from the sale of majority interest of intellectual property to the Joint Venture, the equity method investment and the premium paid on the common shares by WHP discussed in Note 4.
Other (Income)/Expense, Net
Other (income)/expense, net primarily consists of payments received from Homage, LLC discussed in Note 4.</t>
  </si>
  <si>
    <t>Property and Equipment, Net</t>
  </si>
  <si>
    <t>Property, Plant and Equipment [Abstract]</t>
  </si>
  <si>
    <t>NOTE 3 | PROPERTY AND EQUIPMENT, NET
Property and equipment, net, consisted of:
January 28, 2023 January 29, 2022 (in thousands) Building improvements $ 16,312  $ 16,206  Furniture, fixtures and equipment, and software 582,205  557,130  Leasehold improvements 402,598  393,221  Construction in process 17,652  8,433  Other 810  812  Total 1,019,577  975,802  Less: accumulated depreciation (886,193) (827,820) Property and equipment, net $ 133,384  $ 147,982  
Depreciation expense totaled $61.5 million, $66.5 million and $76.1 million in 2022, 2021, and 2020, respectively, excluding impairment charges discussed in Note 2.</t>
  </si>
  <si>
    <t>Equity Method Investments and Joint Ventures [Abstract]</t>
  </si>
  <si>
    <t>NOTE 4 | EQUITY METHOD INVESTMENT
The following table is a summary of the Company’s equity method investment:
% of Ownership Balance Sheet Location January 28, 2023 (in thousands) EXP Topco, LLC. 40% Equity Method Investment $ 166,106  
The Company accounts for equity investments through which it exercises significant influence but does not have control over the investee under the equity method. Under the equity method, the Company recorded its investment in the investee on the balance sheet initially at cost, and subsequently adjusts the carrying amount based on its share of the investee's net income or loss. Royalty distributions received from the investee are recognized as a reduction of the carrying amount of the investment. The Company's share of equity (income)/losses and other adjustments associated with these equity investments will be included in other operating income, net in the Consolidated Statements of Income and Comprehensive Income. The carrying value for the Company's equity investment is reported in Equity Method Investment on the Consolidated Balance Sheets. The Company reports its share of earnings using a one-month lag because results are not available in time for it to record them in the
concurrent period. The Company will begin reporting information under S-X Rule 4-08(g) for the Joint Venture in future quarters.
Equity Method Investment with WHP Global
On December 8, 2022, the Company entered into a strategic partnership with WHP, a leading global brand management firm. On January 25, 2023 the related transactions closed and funded. The mutually transformative strategic partnership advances the Company's omnichannel platform which is expected to drive accelerated, long-term growth through the acquisition and operation of a portfolio of brands. The Company formed an intellectual property Joint Venture with WHP, which acquired certain intellectual property of the Company. Concurrently, the Company transformed into an omnichannel platform company, managed and run by its current leadership. All other aspects of the existing business remain unchanged.
The Company entered into an exclusive long-term License Agreement (as defined below) with multiple renewal options with the Joint Venture to use the contributed intellectual property for the Company’s existing business and will pay a royalty fee to the Joint Venture. Cash earnings in the Joint Venture will be distributed quarterly to the Company and WHP on a pro rata basis.
Under the derecognition guidance from ASC 810, the Company derecognized the intellectual property assets at their carrying amount upon their contribution to the Joint Venture. In exchange for the Company's contribution of its intellectual property assets to the Joint Venture, WHP invested $235.0 million for a 60% stake in the Joint Venture, implying a fair value of the Company’s retained 40% interest of approximately $156.7 million. The carrying amount of the intellectual property assets was zero, leading to recognition of a $391.7 million gain of which $156.7 million was related to the Company’s retained 40.0% interest in the Joint Venture. The gain was recorded in gain on transaction with WHP on the Consolidated Statements of Income and Comprehensive Income. Transaction costs capitalized in the cost of the equity method investment totaled $9.4 million.
Separately, under the terms of the transaction, WHP also made a common equity investment to acquire 5.4 million newly issued shares of the Company at $4.60 per share, representing an approximate pro forma ownership of 7.4%. The difference between the price paid and the fair value of the share price on the day of the transaction resulted in a gain of $17.8 million recorded in gain on transaction with WHP on the Consolidated Statements of Income and Comprehensive Income. Refer to Note 8 in our Consolidated Financial Statements included elsewhere in this Annual Report on Form 10-K for further discussion.
In connection with the strategic partnership with WHP, on January 25, 2023, the Company and the Joint Venture entered into an Intellectual Property License Agreement (the “License Agreement”). The License Agreement provides the Company with an exclusive license in the United States to the intellectual property contributed in connection with the Membership Interest Purchase Agreement and certain other intellectual property. The initial term of the License Agreement is 10 years, and the License Agreement automatically renews for successive renewal terms of 10 years (unless the Company provides notice of non-renewal at least 24 months prior to the end of the initial or applicable renewal term). Except for the Company’s right not to renew the License Agreement, the License Agreement is not terminable by either party. The Company will pay the Joint Venture a royalty on net sales of certain licensed goods and will commit to an annual guaranteed minimum annual royalty during the term of the License Agreement (i.e., $60.0 million in the first contract year, increasing by $1.0 million per year for the next five contract years, and remaining at $65.0 million following the sixth contract year). The Company will pay royalties at a rate of (i) 3.25% of net sales arising from retail sales of certain licensed goods in the first through fifth contract years (and 3.5% thereafter), and (ii) 8% of net sales arising from wholesale sales of such goods. The Company prepaid the Joint Venture’s first year guaranteed minimum royalty of $60.0 million with a portion of the transaction proceeds and recorded as a prepaid royalty on the Consolidated Balance Sheets.
As WHP is an affiliate of the Company as part of the transaction, the intellectual property purchase, stock purchase and related royalty payments are considered related party transactions.
Equity Method Investment in Homage, LLC
In 2016, the Company made a $10.1 million investment in Homage, LLC, a privately held retail company based in Columbus, Ohio. The non-controlling investment in the entity was being accounted for under the equity method.
During the third quarter of 2020, the Company sold all of its interest in Homage, LLC back to Homage, LLC in exchange for a promissory note payable to the Company in the principal amount of $1.5 million. The Company recorded a reserve against the full value of this promissory note.
During the fourth quarter of 2021, the Company revised the payment terms of the note receivable and collected $0.3 million which was recorded as other income within other (income)/expense, net in the Consolidated Statements of Income and Comprehensive Income.
During 2022, the Company collected $1.2 million which was recorded as other income within other (income)/expense, net in the Consolidated Statements of Income and Comprehensive Income. The Company has no remaining activity with Homage, LLC.</t>
  </si>
  <si>
    <t>Leases</t>
  </si>
  <si>
    <t>Leases [Abstract]</t>
  </si>
  <si>
    <t>NOTE 5 | LEASES
The Company accounts for leases under Accounting Standards Update (“ASU”) 2016-02, “Leases (Topic 842)” (“ASC 842”). This ASU is a comprehensive standard that requires lessees to recognize lease assets and lease liabilities for most leases, including those leases previously classified as operating leases.
The Company’s right of use assets represent a right to use underlying assets for the lease term and lease liabilities represent the Company’s obligation to make lease payments arising from the lease. Lease assets and liabilities are recognized at the lease commencement date (date on which the Company gains access to the property) based on the estimated present value of lease payments over the lease term, net of landlord allowances to be received. The Company accounts for the lease and non-lease components as a single lease component for all current classes of leases.
The Company leases all of its store locations and its corporate headquarters, which also includes its distribution center, under operating leases. The store leases typically have initial terms of 5 to 10 years however, most of the leases that are coming to the end of their lease lives are being renegotiated with shorter terms. The current lease term for the corporate headquarters expires in 2026, with one optional five-year extension period. The Company also leases certain equipment and other assets under operating leases, typically with initial terms of 3 to 5 years. The lease term includes the initial contractual term as well as any options to extend the lease when it is reasonably certain that the Company will exercise that option. Leases with an initial term of 12 months or less (short-term leases) are not recorded on the balance sheet. The Company does not currently have any material short-term leases. The Company is generally obligated for the cost of property taxes, insurance and other landlord costs, including common area maintenance charges, relating to its leases. If these charges are fixed, they are combined with lease payments in determining the lease liability; however, if such charges are not fixed, they are considered variable lease costs and are expensed as incurred. The variable payments are not included in the measurement of the lease liability or asset. The Company’s finance leases are immaterial.
Certain lease agreements include rental payments based on a percentage of retail sales over contractual levels and others include rental payments adjusted periodically for inflation. The Company’s lease agreements do not contain any material residual value guarantees or material restrictive covenants.
The Company’s lease agreements do not provide an implicit rate, so the Company uses an estimated incremental borrowing rate, which is derived from third-party information available at the lease commencement date, in determining the present value of lease payments. The rate used is for a secured borrowing of a similar term as the lease.
As a result of the impact of the COVID-19 pandemic, the Company did not initially make its store rent payments for certain stores in portions of the first and second quarter of 2020. The Company established an accrual for rent payments that were not made and has continued to recognize accrued rent expense. As a result of negotiations with certain landlords, the Company has since made rent payments for certain stores and some landlords have agreed to abate certain rent payments. The appropriate adjustments were made to accrued rent. Accrued rent is within accrued expenses on the Consolidated Balance Sheets. Accrued minimum rent as of January 28, 2023 and January 29, 2022, was $6.2 million and $7.7 million, respectively.
Annual store rent consists of a fixed minimum amount and/or contingent rent based on a percentage of sales exceeding a stipulated amount.
The following table is a summary of the Company’s components of net lease cost, which is included in cost of goods sold, buying and occupancy costs, in the Consolidated Statements of Income and Comprehensive Income:
2022 2021 2020 (in thousands) Operating lease costs $ 220,682  $ 234,911  $ 272,896  Variable and short-term lease costs 63,516  45,355  60,925  Total lease costs $ 284,198  $ 280,266  $ 333,821  
Supplemental cash flow information related to leases is as follows:
2022 2021 2020 (in thousands) Cash paid for amounts included in the measurement of lease liabilities: Operating cash flows for operating leases
 $ 253,197  $ 296,353  $ 197,824  Right of use assets obtained in exchange for operating lease liabilities $ 45,136  $ 44,952  $ 44,433  
Supplemental balance sheet information related to leases is as follows:
2022 2021 2020 Operating leases: Weighted average remaining lease term (in years) 3.8 4.4 5.1 Weighted average discount rate 6.9  % 6.5  % 5.4  % 
The following table reconciles the undiscounted cash flows for each of the first five years and total of the remaining years to the operating lease liabilities recorded on the Consolidated Balance Sheets as of January 28, 2023:
January 28, 2023 (in thousands) 2023 $ 209,072  2024 177,265  2025 132,509  2026 78,104  2027 45,314  Thereafter 33,809  Total minimum lease payments 676,073  Less: amount of lease payments representing interest 80,619  Present value of future minimum lease payments 595,454  Less: current obligations under leases 189,006  Long-term lease obligations $ 406,448</t>
  </si>
  <si>
    <t>Income Taxes</t>
  </si>
  <si>
    <t>Income Tax Disclosure [Abstract]</t>
  </si>
  <si>
    <t>NOTE 6 | INCOME TAXES
The provision (benefit) for income taxes consists of the following:
2022 2021 2020 Current: (in thousands) U.S. federal $ 8,273  $ (239) $ (109,627) U.S. state and local 1,312  554  (1,240) Total 9,585  315  (110,867) Deferred: U.S. federal 3,546  —  37,292  U.S. state and local 7,322  —  17,675  Total 10,868  —  54,967  Income tax (benefit)/expense $ 20,453  $ 315  $ (55,900) 
The following table provides a reconciliation between the statutory federal income tax rate and the effective tax rate:
  2022 2021 2020 Federal income tax rate 21.0  % 21.0  % 21.0  % State income taxes, net of federal income tax effect 6.4  % (5.0) % 5.2  % Change in uncertain tax positions 0.4  % 0.8  % 0.1  % Share-based compensation 0.1  % (3.2) % (0.3) % Non-deductible executive compensation 0.6  % (22.6) % (0.2) % Change in valuation allowance (21.8) % 4.0  % (22.9) % Change in tax law —  % —  % 9.1  % Tax credits (0.3) % 3.7  % 0.1  % Other items, net 0.1  % (0.9) % —  % Effective tax rate 6.5  % (2.2) % 12.1  % 
The increase in the tax rate in 2022 compared to 2021 is primarily attributable to the gain on the transaction with WHP. The gain on the transaction with WHP in 2022 allowed the Company to utilize certain deferred tax assets and tax attributes with a corresponding release to the Company's valuation allowance.
On March 27, 2020, the CARES Act was enacted into law. The CARES Act provides several provisions that impact the Company, including the establishment of a five-year carryback of net operating losses originating in the tax years 2018, 2019 and 2020, temporarily suspending the 80% limitation on the use of net operating losses, relaxing limitation rules on business interest deductions, and retroactively clarifying that businesses may immediately write-off certain qualified leasehold improvement property dating back to January 1, 2018. The Company carried back certain of its U.S. federal net operating losses to offset taxable income in the five-year carryback period as part of the CARES Act. As of January 28, 2023, the Company has a $52.3 million income tax receivable recorded as a non-current asset.
The decrease in the tax rate in 2021 compared to 2020 is primarily attributable to the impact of nondeductible executive compensation in 2021, as well as establishing a valuation allowance against the Company's net deferred tax assets in 2020. This was partially offset by the impact from the CARES Act of the 2019 and 2020 U.S. federal net operating losses that are able to be carried back to years with a higher federal statutory tax rate than is currently enacted.
The following table provides the effect of temporary differences that created deferred income taxes as of January 28, 2023 and January 29, 2022. Deferred tax assets and liabilities represent the future effects on income taxes resulting from temporary differences and carry-forwards at the end of the respective periods.
  January 28, 2023 January 29, 2022 (in thousands) Deferred tax assets: Accrued expenses and deferred compensation $ 9,999  $ 13,693  Lease liability 161,389  197,063  Intangible assets 10,851  21,402  Inventory 1,136  —  Deferred revenue 5,418  5,142  Other 871  986  Net operating losses, tax credit and other carryforwards 17,693  41,137  Valuation allowance (41,767) (107,669) Total deferred tax assets 165,590  171,754  Deferred tax liabilities: Prepaid expenses 2,374  2,844  Inventory —  1,305  Right of use asset 133,149  161,105  Investment in Joint Venture 36,500  —  Property and equipment 4,435  6,500  Total deferred tax liabilities 176,458  171,754  Net deferred tax asset/(liability) $ (10,868) $ —  
The Company evaluates whether deferred tax assets are realizable on a quarterly basis. The Company considers all available positive and negative evidence, including past operating results and expectations of future operating income. Accordingly, the Company has booked a valuation allowance against the amount of deferred tax assets not expected to be realized as of January 28, 2023.
As of January 28, 2023, the Company had U.S. state net operating loss carryforwards of $352.0 million. The U.S. state net operating losses have carryforward periods of five to twenty years with varying expiration dates and certain jurisdictions have an unlimited carryforward period. The Company had no remaining U.S. federal net operating loss carryforwards. The Company also has $0.1 million in foreign tax credits, which can be carried forward 10 years and expire starting in 2027. A valuation allowance has been recorded on all tax attributes not expected to be realized in future periods.
The net deferred tax liability as of January 28, 2023 is included in the Other Long-Term Liabilities on the Consolidated Balance Sheets.
The following table summarizes the changes in the valuation allowance:
2022 2021 2020 (in thousands) Valuation allowance, beginning of year $ 107,669  $ 108,418  $ 2,313  Changes in related gross deferred tax assets/liabilities 2,661  (228) 410  Charge/(release) (68,563) (521) 105,695  Valuation allowance, end of year $ 41,767  $ 107,669  $ 108,418  
The decrease in the valuation allowance in 2022 is primarily attributable to the gain on the transaction with WHP. The gain on the transaction with WHP in 2022 allowed the Company to utilize certain deferred tax assets and tax attributes with a corresponding release to the Company's valuation allowance.
Uncertain Tax Positions
The Company evaluates tax positions using a more likely than not recognition criterion.
A reconciliation of the beginning to ending unrecognized tax benefits is as follows:
January 28, 2023 January 29, 2022 January 30, 2021 (in thousands) Unrecognized tax benefits, beginning of year $ 1,573  $ 1,388  $ 1,305  Gross addition for tax positions of the current year 335  —  —  Gross addition for tax positions of the prior year 174  291  327  Settlements —  —  —  Reduction for tax positions of prior years —  —  —  Lapse of statute of limitations (115) (106) (244) Unrecognized tax benefits, end of year $ 1,967  $ 1,573  $ 1,388  
The amount of the above unrecognized tax benefits as of January 28, 2023, January 29, 2022 and January 30, 2021 that would impact the Company's effective tax rate, if recognized, is $2.0 million, $1.6 million and $1.4 million, respectively.
During 2022 and 2021, the Company released gross uncertain tax positions of $0.1 million and $0.1 million, respectively, and the related accrued interest and penalties of $0.1 million and $0.1 million, respectively, as a result of the expiration of associated statutes of limitation.
The Company recognizes accrued interest and penalties related to unrecognized tax benefits as a component of income tax expense. The total amount of net interest in tax expense related to interest and penalties included in the Consolidated Statements of Income and Comprehensive Income was $0.1 million for 2022, $(0.1) million for 2021 and $(0.1) million for 2020. As of January 28, 2023 and January 29, 2022, the Company had accrued interest and penalties of $0.5 million and $0.3 million, respectively.
The Company is subject to examination by the IRS for years subsequent to 2013. The Company is currently under audit for refund claims related to the carryback of U.S. federal net operating losses as a result of CARES Act provisions. The Company is also generally subject to examination by various U.S. state and local and non-U.S. tax jurisdictions for the years subsequent to 2013. The Company does not expect the results from any income tax audit to have a material impact on the Company’s financial statements.
The Company believes that over the next twelve months, it is reasonably possible that up to $0.2 million of unrecognized tax benefits could be resolved as the result of settlements of audits and the expiration of statutes of limitation. Final settlement of these issues may result in payments that are more or less than this amount, but the Company does not anticipate that the resolution of these matters will result in a material change to its consolidated financial position or results of operations.</t>
  </si>
  <si>
    <t>Debt Disclosure [Abstract]</t>
  </si>
  <si>
    <t>NOTE 7 | DEBT
The following table summarizes the Company's outstanding debt as of the dates indicated:
January 28, 2023 January 29, 2022 (in thousands) Term Loan Facility $ —  $ 96,737  Revolving Facility 122,000  35,000  Total outstanding borrowings 122,000  131,737  Less: unamortized debt issuance costs —  (2,940) Total debt, net 122,000  128,797  Less: current portion of long-term debt —  11,216  Long-term debt, net $ 122,000  $ 117,581  Outstanding letters of credit $ 19,636  $ 34,636  
Term Loan Facility
On January 13, 2021, Express Holding, LLC, a wholly-owned subsidiary of the Company (“Express Holding”), and its subsidiaries entered into the $140.0 million Asset-Based Term Loan Agreement (the “Term Loan Facility”), among the Loan Parties (as defined therein), Wells Fargo Bank, National Association (“Wells Fargo”), as administrative agent and collateral agent, and the other lenders named therein (the “Term Loan Lenders”).
The Term Loan Facility provided for a “first in, last out” term loan in an amount equal to $90.0 million (the “FILO Term Loan”) and a delayed draw term loan facility in an amount equal to $50.0 million (the “DDTL”). The Term Loan Facility is a senior secured obligation that ranks equally with the Loan Parties’ other senior secured obligations.
During 2021, the Company drew down the additional $50.0 million under the DDTL and repaid $43.3 million with proceeds from 2020 CARES Act tax refunds, as required under the Term Loan Facility. The fair value of the Term Loan Facility at January 29, 2022 was $98.0 million.
On November 23, 2022, the Company's $140.0 million Term Loan Facility was amended (the Amended Term Loan Facility") by refinancing its $90.0 million FILO Term Loan (the "Existing FILO Loans") with a new $90.0 million Term Loan Facility (the "Amendment FILO Term Loan") and terminating its $50.0 million DDTL (the "Existing DDTL"). The Amended Term Loan Facility (i) refinanced the outstanding principal balance of the Existing FILO Loans with the Amendment FILO Term Loan, (ii) terminated its Existing DDTL and (iii) modified the interest rate and maturity date of the Existing FILO Loans. The previous maturity date of the Existing FILO Loans of May 24, 2024 was extended by the Amended Term Loan Facility to the earlier of November 26, 2027 or the maturity date of the Amended Revolving Credit Facility. Additionally, the Amended Term Loan Facility replaced the London Interbank Offered Rate (“LIBOR”) as the interest rate benchmark with the Secured Overnight Financing Rate (“SOFR”) interest rate benchmark.
On January 25, 2023, the Company paid in full the outstanding Obligations (as defined in the FILO Term Loan) due under the Asset-Based Loan Credit Agreement dated as of January 13, 2021, by and among the Company, Express Topco, Express Holding, Express, LLC and the other loan parties named therein (such payment, the “FILO Term Loan Payoff”). The Company recognized $5.1 million of FILO Term Loan refinancing costs, $4.5 million of early debt termination fees related to the termination of the Term Loan and $1.8 million of accelerated Term Loan discount amortization. Pursuant to the FILO Term Loan Payoff, the Company has no further obligations under the FILO Term Loan. Cash interest paid in 2022 included the FILO Term Loan refinancing costs and the early debt termination fees related to the termination of the Term Loan.
Revolving Credit Facility
On May 24, 2019, Express Holding and its subsidiaries entered into a First Amendment to the Second Amended and Restated $250.0 million Asset-Based Loan Credit Agreement (as amended, the “Revolving Credit Facility”).
On March 17, 2020, the Company provided notice to the lenders under the Revolving Credit Facility of a request to borrow $165.0 million.
On January 13, 2021, Express Holding and its subsidiaries entered into the Second Amendment to the Second Amended and Restated $250.0 million Asset-Based Loan Credit Agreement and the Second Amendment to the Amended and Restated Security Agreement, among the Loan Parties (as defined therein), the lenders party thereto, and Wells Fargo Bank, National Association (“Wells Fargo”), as administrative agent and collateral agent, and Bank of America, N.A. (“Bank of America”), as documentation agent (the “2021 Revolving Credit Facility Amendment”). The 2021 Revolving Credit Facility Amendment amended the Loan Parties’ existing asset-based Revolving Credit Facility. The 2021 Revolving Credit Facility Amendment added the Company and Express Topco LLC as Loan Parties, fully obligated and bound by all of the respective covenants, representations, warranties and events of default.
On November 23, 2022, the Company entered into the Third Amendment to Second Amended and Restated Asset-Based Loan Credit Agreement and Restated Asset-Based Loan Credit Agreement and First Amendment to Second Amended and Restated Security Agreement, among the Loan Parties, the lenders party thereto, Wells Fargo, as administrative agent and collateral agent, and Bank of America, as documentation agent (the “2022 Revolving Credit Facility Amendment”). The 2022 Revolving Credit Facility Amendment amended the Loan Parties’ existing asset-based revolving credit facility, which was previously scheduled to expire on May 24, 2024. The maturity date was extended by the Amended Revolving Credit Facility to the earlier of November 26, 2027 or the maturity date of the Amended Term Loan Facility. The 2022 Revolving Credit Facility Amendment followed modification accounting which resulted in the unamortized fees related to the 2021 Revolving Credit Facility Amendment being amortized over the life of the 2022 Revolving Credit Facility Amendment.
Under the 2022 Revolving Credit Facility Amendment, the maximum borrowing amount was increased by $40.0 million to $290.0 million. Additionally, the Amended Term Loan Facility replaced the LIBOR as the interest rate benchmark with the SOFR interest rate benchmark.
On January 25, 2023, the Company entered into the Consent and Fourth Amendment to Second Amended and Restated Asset-Based Loan Credit Agreement and Amendment to Certain Ancillary Loan Documents, by and among the Loan Parties party thereto, the lenders party thereto, Wells Fargo, as administrative agent and collateral agent, and Bank of America, as documentation agent (the “Amended Revolving Credit Facility”). The Amended Revolving Credit Facility will mature on November 26, 2027.
Under the Amended Revolving Credit Facility, revolving loans may be borrowed, repaid and reborrowed until November 26, 2027, at which time all amounts borrowed must be repaid. Amounts borrowed under the Amended Revolving Credit Facility will bear interest at a variable rate indexed to SOFR plus a pricing margin ranging from 1.75% to 2.25% per annum, as determined in accordance with the provisions of the Amended Revolving Credit Facility based on average daily excess availability, as of any date of determination, for the most recently ended fiscal quarter, commencing April 30, 2023.
The Amended Revolving Credit Facility has a maximum borrowing amount of $290.0 million, subject to a borrowing base which is calculated based on specified percentages of eligible inventory, credit card receivables and cash, less certain reserves. Commitment reductions and termination of the Amended Revolving Credit Facility prior to the maturity date is permitted, subject in certain instances to a prepayment fee. As of January 28, 2023, the interest rate on the outstanding borrowings of $122.0 million was approximately 6.5%.
The unused line fee payable under the Amended Revolving Credit Facility is 0.25% per annum regardless of the average daily excess availability, payable in arrears monthly on the first day of each calendar month. The Borrower is also obligated to pay other customary closing fees, arrangement fees, administration fees and letter of credit fees for a credit facility of this size and type.
The Amended Revolving Credit Facility requires the Borrower to maintain minimum excess availability of at least the greater of (i) $25.0 million or (ii) 10% of the sum of Amended Revolving Credit Facility loan cap. From and after the date on which EBITDA (as defined therein) has exceeded $50.0 million for two consecutive fiscal quarters (each of
which consecutive fiscal quarters shall have commenced after November 2, 2024), at any time the excess availability is less than the greater of (i) $25.0 million or (ii) 10% of the Amended Revolving Credit Facility loan cap, and until the excess availability exceeds such amount for thirty consecutive days, the Borrower is required to maintain a fixed charge coverage ratio (as further described in the Amended Revolving Credit Facility) of at least 1.00:1.00, calculated as of the last day of each fiscal quarter (as further described in the Amended Revolving Credit Facility).
The Amended Revolving Credit Facility includes customary events of default that, include among other things, non-payment defaults, inaccuracy of representations and warranties, covenant defaults, cross-default to material indebtedness, bankruptcy and insolvency defaults, material judgment defaults, ERISA defaults, structural defaults under the loan documents and a change of control default. The occurrence of an event of default could result in the acceleration of the obligations under the Amended Revolving Credit Facility. Under certain circumstances, a default interest rate will apply on any amount payable under the Amended Revolving Credit Facility during the existence of an event of default at a per annum rate equal to 2.00% above the applicable interest rate for any principal and 2.00% above the rate applicable for base rate loans for any other interest.
All obligations under the Amended Revolving Credit Facility are guaranteed by the Loan Parties (other than the Borrower) and secured by (a) a first priority lien on substantially all of the Loan Parties’ assets, subject to certain permitted liens.
As of January 28, 2023, the Company had $122.0 million in borrowings outstanding under the Amended Revolving Credit Facility and approximately $148.4 million remained available for borrowing under the Amended Revolving Credit Facility after giving effect to outstanding letters of credit in the amount of $19.6 million and subject to certain borrowing base limitations as further discussed above. The fair value of the Amended Revolving Credit Facility at January 28, 2023 and January 29, 2022 was $115.0 million and $36.5 million, respectively.
Letters of Credit
The Company may enter into various trade letters of credit ("trade LCs") in favor of certain vendors to secure merchandise. These trade LCs are issued for a defined period of time, for specific shipments, and generally expire three weeks after the merchandise shipment date. As of January 28, 2023 and January 29, 2022, there were no outstanding trade LCs. Additionally, the Company enters into stand-by letters of credit ("stand-by LCs") on an as-needed basis to secure payment obligations for third party logistic services, merchandise purchases, and other general and administrative expenses. As of January 28, 2023 and January 29, 2022, outstanding stand-by LCs totaled $19.6 million and $34.6 million, respectively.</t>
  </si>
  <si>
    <t>Stockholders' Equity</t>
  </si>
  <si>
    <t>Equity [Abstract]</t>
  </si>
  <si>
    <t>NOTE 8 | STOCKHOLDERS' EQUITY
Share Repurchase Programs
On November 28, 2017, the Company's Board of Directors ("Board") approved a share repurchase program that authorizes the Company to repurchase up to $150.0 million of the Company’s outstanding common stock using available cash (the "Repurchase Program"). The Company may repurchase shares on the open market, including through Rule 10b5-1 plans, in privately negotiated transactions, through block purchases, or otherwise in compliance with applicable laws, including Rule 10b-18 of the Exchange Act of 1934. The timing and amount of stock repurchases will depend on a variety of factors, including business and market conditions as well as corporate and regulatory considerations. The share repurchase program may be suspended, modified, or discontinued at any time and the Company has no obligation to repurchase any amount of its common stock under the program. The Company did not repurchase shares of its common stock during 2022, 2021 or 2020. As of January 28, 2023, the Company had approximately $34.2 million remaining under this authorization.
ATM Equity Offering Sales Agreement
On June 3, 2021, the Company entered into an ATM Equity Offering Sales Agreement (the "Sales Agreement") with BofA Securities, Inc. ("BofA"), as the sales agent to sell up to 15.0 million shares of the Company's common stock, par value $0.01 per share, through an “at-the-market” offering program. Such shares are issued pursuant to the
Company’s shelf registration statement on Form S-3 (Registration No. 333-253368) filed with the SEC on April 6, 2021.
On December 2, 2022, the Company delivered written notice to BofA to terminate the Sales Agreement. The termination of the Sales Agreement became effective as of December 7, 2022. The Company exercised its option to terminate the Sales Agreement due to the fact that the Company no longer intends to utilize the Sales Agreement. There are no penalties associated with the termination of the Sales Agreement. Prior to its termination, the Company did not issue or sell any shares of its Common Stock pursuant to the Sales Agreement during 2022 or 2021.
Investment Agreement
On December 8, 2022, the Company, entered into an investment agreement (the “Investment Agreement”) with WHP, relating to the issuance and sale of shares of the Company’s common stock, par value $0.01, in a private placement to WHP. On January 25, 2023, the Company completed the transaction contemplated by the Investment Agreement. Pursuant to the Investment Agreement, the Company issued and sold 5.4 million shares of common stock to WHP (the “Purchased Shares”) for a purchase price of $4.60 per share, or an aggregate purchase price of $25.0 million (the “Stock Purchase”), representing an approximate pro forma ownership of 7.4%. The Investment Agreement contains customary representations, warranties and covenants of the Company and WHP. The excess paid over fair value of $17.8 million was recorded in gain on transaction with WHP on the Consolidated Statements of Income and Comprehensive Income.</t>
  </si>
  <si>
    <t>Long-Term Incentive Compensation</t>
  </si>
  <si>
    <t>Share-Based Payment Arrangement [Abstract]</t>
  </si>
  <si>
    <t>NOTE 9 | LONG-TERM INCENTIVE COMPENSATION
The Company records the fair value of share-based payments to employees in the Consolidated Statements of Income and Comprehensive Income as compensation expense, net of forfeitures, over the requisite service period. The Company issues shares of common stock from treasury stock, at average cost, upon exercise of stock options and vesting of restricted stock units, including those with performance conditions.
Long-Term Incentive Compensation Plans
On April 30, 2018, upon the recommendation of the Committee, the Board unanimously approved and adopted, subject to stockholder approval, the Express, Inc. 2018 Incentive Compensation Plan (the “2018 Plan”) to replace the previous plan. On June 13, 2018, stockholders of the Company approved the 2018 Plan and all grants made subsequent to that approval have been made under the 2018 Plan. The primary change made by the 2018 Plan was to increase the number of shares of common stock available for equity-based awards by 2.4 million shares.
In the third quarter of 2019, in connection with updates made by the Company to its policy regarding the clawback of incentive compensation awarded to associates, the Board approved an amendment to the 2018 Plan, solely for the purpose of updating the language regarding the recoupment of awards granted under the 2018 Plan.
On March 17, 2020, upon the recommendation of the Committee, the Board unanimously approved and adopted, subject to stockholder approval, a second amendment to the 2018 Plan, which increased the number of shares of common stock available under the 2018 Plan by 2.5 million shares. On June 10, 2020, stockholders of the Company approved this plan amendment.
The following summarizes long-term incentive compensation expense:
2022 2021 2020 (in thousands) Restricted stock units $ 4,075  $ 6,212  $ 8,220  Stock options 350  728  1,242  Performance-based restricted stock units 3,115  2,869  —  Total share-based compensation $ 7,540  $ 9,809  $ 9,462  Cash-settled awards 8,662  9,142  695  Total long-term incentive compensation $ 16,202  $ 18,951  $ 10,157  
The stock compensation related income tax benefit, excluding consideration of valuation allowances, recognized by the Company in 2022, 2021, and 2020 was $3.1 million, $4.2 million and $0.9 million, respectively.
The valuation allowances associated with these tax benefits were $3.1 million in 2022 compared to $4.2 million in 2021. There were no valuation allowances associated with the tax benefits in 2020.
Equity Awards
Restricted Stock Units
During 2022, the Company granted restricted stock units ("RSUs") under the terms of the 2018 Plan. The fair value of the RSUs is determined based on the Company's closing stock price on the day prior to the grant date in accordance with the 2018 Plan. The RSUs granted in 2022, in general, vest ratably over one to three years and the expense related to these RSUs will be recognized using the straight-line attribution method over this vesting period.
The Company's activity with respect to RSUs for 2022 was as follows:
Number of
Shares
 Grant Date
Weighted Average
Fair Value 
 (in thousands, except per share amounts) Unvested, January 29, 2022
 3,561  $ 2.55  Granted 373  $ 2.60  Vested (1,888) $ 2.84  Forfeited (313) $ 2.39  Unvested, January 28, 2023
 1,733  $ 2.27  
The total fair value of RSUs that vested during 2022, 2021, and 2020 was $5.4 million, $8.8 million and $7.4 million, respectively. As of January 28, 2023, there was approximately $1.2 million of total unrecognized compensation expense related to unvested RSUs, which is expected to be recognized over a weighted-average period of approximately 0.5 years.
Stock Options
During 2022, the Company did not grant stock options. The expense for stock options is recognized using the straight-line attribution method.
The Company's activity with respect to stock options during 2022 was as follows:
Number of
Shares
 Grant Date
Weighted Average
Exercise Price Weighted-Average Remaining Contractual Life
(in years) Aggregate Intrinsic Value (in thousands, except per share amounts and years) Outstanding, January 29, 2022
 2,973  $ 5.39  Granted —  $ —  Exercised —  $ —  Forfeited or expired (116) $ 18.91  Outstanding, January 28, 2023
 2,857  $ 4.84  5.8 $ —  Expected to vest at January 28, 2023
 279  $ 2.60  6.5 $ —  Exercisable at January 28, 2023
 2,577  $ 5.09  5.7 $ —  
As of January 28, 2023, there was approximately $0.2 million of total unrecognized compensation expense related to stock options, which is expected to be recognized over a weighted-average period of approximately 0.5 years.
The Company uses the Black-Scholes-Merton option-pricing model to value stock options granted to employees and directors. The Company's determination of the fair value of stock options is affected by the Company's stock price, as well as a number of subjective and complex assumptions. These assumptions include the risk-free interest rate, the Company's expected stock price volatility over the term of the awards, expected term of the award, and dividend yield. There were no stock options issued or exercised in 2022, 2021 and 2020.
Performance-Based Restricted Stock Units
During 2022, the Company granted performance shares to a limited number of senior executive-level employees, which entitle these employees to receive a specified number of shares of the Company’s common stock upon vesting. The number of shares earned could range between 0% and 200% of the target amount depending upon performance achieved over a three-year vesting period. The performance conditions of the award include adjusted earnings before interest, taxes, depreciation, and amortization ("Adjusted EBITDA") targets and total shareholder return ("TSR") of the Company’s common stock relative to a select group of peer companies. A Monte Carlo valuation model was used to determine the fair value of the awards. The TSR performance metric is a market condition. Therefore, fair value of the awards is fixed at the measurement date and is not revised based on actual performance. The number of shares that are expected to vest will change based on estimates of the Company’s Adjusted EBITDA performance in relation to the pre-established targets. The 2022 target grant currently corresponds to approximately 1.9 million shares, with a grant-date fair value of $3.97 per share. As of January 28, 2023, $5.5 million of total unrecognized compensation cost is expected to be recognized on performance-based restricted stock units over a remaining weighted-average period of 1.6 years.
Cash-Settled Awards
Time-Based Cash-Settled Awards
During 2022, the Company granted time-based cash-settled awards to employees that vest ratably over three years. These awards are classified as liabilities and do not vary based on changes in the Company's stock price or performance. The expense related to these awards will be accrued using a straight-line method over this vesting period. As of January 28, 2023, $11.9 million of total unrecognized compensation cost is expected to be recognized on time-based cash-settled awards over a weighted-average period of 1.4 years.
Performance-Based Cash-Settled Awards
In March 2020, the Company granted performance-based cash-settled awards to a limited number of senior executive-level employees. Due to the significant disruption caused by the COVID-19 pandemic on the Company’s
business operations, as well as its adverse impact on consumer confidence and demand, the Committee delayed setting performance targets for the 2020 long-term performance-based awards until February 2021. While the 2020 long-term performance awards remain subject to a three-year vesting cliff, these awards are subject to a two-year performance period instead of a three-year performance period. These awards are classified as liabilities, with the amount to be paid out estimated each reporting period. Expense is being recognized in proportion to the completed requisite period up until date of settlement. The amount of cash earned could range between 0% and 200% of the target amount depending upon performance achieved over a two-year performance period commencing on the first day of the Company’s 2021 fiscal year and ending on the last day of the Company’s 2022 fiscal year. The performance condition of the award is Adjusted EBITDA. The amount of cash earned will change based on estimates of the Company’s Adjusted EBITDA performance in relation to the pre-established targets. As of January 28, 2023, $0.6 million of total unrecognized compensation cost is expected to be recognized on performance-based cash-settled awards over a remaining weighted-average period of 0.2 years.</t>
  </si>
  <si>
    <t>Earnings Per Share</t>
  </si>
  <si>
    <t>Earnings Per Share [Abstract]</t>
  </si>
  <si>
    <t>NOTE 10 | EARNINGS PER SHARE
The following table provides a reconciliation between basic and diluted weighted-average shares used to calculate basic and diluted earnings per share:
2022 2021 2020 (in thousands) Weighted-average shares - basic 68,046  66,448  64,624  Dilutive effect of stock options, restricted stock units and restricted stock 1,012  —  —  Weighted-average shares - diluted 69,058  66,448  64,624  
Equity awards representing 3.4 million, 7.8 million and 10.6 million shares of common stock were excluded from the computation of diluted earnings per share for 2022, 2021, and 2020, respectively, as the inclusion of these awards would have been anti-dilutive.
Additionally, for 2022, 2.9 million shares were excluded from the computation of diluted weighted average shares because the number of shares that will ultimately be issued is contingent on the Company's performance compared to pre-established performance goals, which have not been achieved as of January 28, 2023.</t>
  </si>
  <si>
    <t>Retirement Benefits</t>
  </si>
  <si>
    <t>Retirement Benefits [Abstract]</t>
  </si>
  <si>
    <t>NOTE 11 | RETIREMENT BENEFITS
The employees of the Company, if eligible, participate in a qualified defined contribution retirement plan (the “Qualified Plan”) sponsored by the Company.
Participation in the Company's Qualified Plan is available to employees who meet certain age and service requirements. The Qualified Plan permits employees to elect contributions up to the lesser of 15% of their compensation or the maximum limits allowable under the Internal Revenue Code ("IRC"). The Company matches employee contributions according to a predetermined formula. Employee contributions and Company matching contributions vest immediately.
Total expense recognized related to the Qualified Plan employer match was $3.8 million, $3.7 million, and $3.4 million in 2022, 2021, and 2020, respectively.</t>
  </si>
  <si>
    <t>Commitments and Contingencies</t>
  </si>
  <si>
    <t>Commitments and Contingencies Disclosure [Abstract]</t>
  </si>
  <si>
    <t>NOTE 12 | COMMITMENTS AND CONTINGENCIES
In a complaint filed in January 2017 by Mr. Jorge Chacon in the Superior Court for the State of California for the County of Orange, certain subsidiaries of the Company were named as defendants in a representative action alleging violations of California state wage and hour statutes and other labor standards. The lawsuit seeks unspecified monetary damages and attorneys’ fees.
In July 2018, former associate Ms. Christie Carr filed suit in Alameda County Superior Court for the State of California naming certain subsidiaries of the Company as defendants in a representative action alleging violations of California State wage and hour statutes and other labor standard violations. The lawsuit seeks unspecified monetary damages and attorneys’ fees.
On January 29, 2019, Mr. Jorge Chacon filed a second representative action in the Superior Court for the State of California for the County of Orange alleging violations of California state wage and hour statutes and other labor standard violations, which was removed to federal court by the Company and is now pending in the United States District Court for the Central District of California (the “District Court”). The lawsuit seeks unspecified monetary damages and attorneys' fees. In June 2021, a portion of Mr. Chacon’s claims in this action were certified as a class action. Plaintiff and the Company both filed Motions for Summary Judgment on February 28, 2022.
In June 2022, as a result of a mediation process overseen by an independent mediator, the parties agreed, subject to approval by the District Court, to settle these matters for an amount not material to the Company. The proposed settlement will resolve the Chacon and Carr matters in their entirety and also provide for a broad release of claims asserted therein on behalf of the Company’s current and former employees in California for wage and hour violations.
As of January 28, 2023, the Company's Consolidated Balance Sheet includes an estimated liability based on its best estimate of the outcome of the unresolved matters.</t>
  </si>
  <si>
    <t>Summary of Significant Accounting Policies (Policies)</t>
  </si>
  <si>
    <t>Fiscal Year</t>
  </si>
  <si>
    <t>Fiscal Year The Company's fiscal year ends on the Saturday closest to January 31. Fiscal years are referred to by the calendar year in which the fiscal year commences.</t>
  </si>
  <si>
    <t>Basis of Presentation</t>
  </si>
  <si>
    <t>Basis of Presentation
Express, Inc., a holding company, owns all of the outstanding equity interests in Express Topco LLC, a holding company, which owns all of the outstanding equity interests in Express Holding, LLC ("Express Holding"). Express Holding owns all of the outstanding equity interests in Express, LLC. Express, LLC, together with its subsidiaries, including Express Fashion Operations, LLC, conducts the operations of the Company and Express Fashion Investments, LLC which owns a 40% economic interest with significant influence in the Joint Venture.</t>
  </si>
  <si>
    <t>Principles of Consolidation</t>
  </si>
  <si>
    <t>Principles of Consolidation
The Consolidated Financial Statements include the accounts of the Company and its wholly-owned subsidiaries. The Company holds a 40% equity method interest in the Joint Venture, which is majority owned by WH Borrower, LLC. All intercompany transactions and balances have been eliminated in consolidation.</t>
  </si>
  <si>
    <t>Segment Reporting</t>
  </si>
  <si>
    <t>Segment Reporting
The Company defines an operating segment on the same basis that it uses to evaluate performance internally. The Company has determined that, together, its Chief Executive Officer and its President and Chief Operating Officer are the Chief Operating Decision Maker, and that there is one operating segment. Therefore, the Company reports results as a single segment, which includes the operation of its Express brick-and-mortar retail and outlet stores, eCommerce operations and franchise operations.</t>
  </si>
  <si>
    <t>Use of Estimates in the Preparation of Financial Statements</t>
  </si>
  <si>
    <t>Use of Estimates in the Preparation of Financial Statements
The preparation of financial statements in conformity with generally accepted accounting principles in the United States of America ("GAAP") requires management to make estimates and assumptions that affect the reported amounts of assets and liabilities at the date of the Consolidated Financial Statements and the reported amounts of revenue and expense during the reporting period, as well as the related disclosure of contingent assets and liabilities as of the date of the Consolidated Financial Statements. Actual results may differ from those estimates. The Company revises its estimates and assumptions as new information becomes available.</t>
  </si>
  <si>
    <t>Cash and Cash Equivalents</t>
  </si>
  <si>
    <t>Cash and Cash EquivalentsCash and cash equivalents include investments in money market funds, payments due from banks for third-party credit and debit card transactions for up to five days of sales, cash on hand, and deposits with financial institutions.</t>
  </si>
  <si>
    <t>Fair Value Measurements</t>
  </si>
  <si>
    <t>Fair Value Measurements
Fair value is defined as the price that would be received to sell an asset or paid to transfer a liability in an orderly transaction between market participants at the measurement date. Assets and liabilities measured at fair value are classified using the following hierarchy, which is based upon the transparency of inputs to the valuation as of the measurement date.
■Level 1 - Valuation is based upon quoted prices (unadjusted) for identical assets or liabilities in active markets.
■Level 2 - Valuation is based upon quoted prices for similar assets and liabilities in active markets or other inputs that are observable for the asset or liability, either directly or indirectly, for substantially the full term of the financial instrument.
■Level 3 - Valuation is based upon other unobservable inputs that are significant to the fair value measurement.
Non-Financial Assets
The Company's non-financial assets, which include fixtures, equipment, improvements, right of use assets, and equity method investment, are not required to be measured at fair value on a recurring basis. However, if certain triggering events occur indicating the carrying value of these assets may not be recoverable, or annually in the case of indefinite-lived intangibles, an impairment test is required. See additional discussion under the heading "Property and Equipment, Net" in this note below.
The carrying amounts reflected on the Consolidated Balance Sheets for the remaining cash, cash equivalents, receivables, prepaid expenses, and payables as of January 28, 2023 and January 29, 2022 approximated their fair values. The equity method investment is at cost, and is the result of a market participant transaction with WHP whereby the Company received proceeds for a 60% interest in the intellectual property it contributed to the Joint Venture. The Company has a 40% interest in the Joint Venture.</t>
  </si>
  <si>
    <t>Receivables, Net</t>
  </si>
  <si>
    <t>Receivables, Net Receivables, net consist primarily of construction allowances, receivables from the Bank related to the Card Agreement, our franchisees, and third-party resellers of our gift cards, and other miscellaneous receivables. Outstanding receivables are continuously reviewed for collectability.</t>
  </si>
  <si>
    <t>Inventories
Inventories are principally valued at the lower of cost or net realizable value on a weighted-average cost basis. The Company writes down inventory, the impact of which is reflected in cost of goods sold, buying and occupancy costs in the Consolidated Statements of Income and Comprehensive Income, if the cost of specific inventory items on hand exceeds the amount the Company expects to realize from the ultimate sale or disposal of the inventory. These estimates are based on management's judgment regarding future demand and market conditions and analysis of historical experience. The lower of cost or net realizable value adjustment to inventory as of January 28, 2023 and January 29, 2022 was $10.3 million and $14.2 million, respectively.
The Company also records an inventory shrink reserve for estimated merchandise inventory losses between the last physical inventory count and the balance sheet date. This estimate is based on management's analysis of historical results.</t>
  </si>
  <si>
    <t>Advertising
Advertising production costs are expensed at the time the promotion first appears in media, stores, or on the website. Total advertising expense was $134.9 million, $135.0 million and $110.6 million in 2022, 2021, and 2020, respectively. Advertising costs are included in selling, general, and administrative expenses in the Consolidated Statements of Income and Comprehensive Income.</t>
  </si>
  <si>
    <t>Property and Equipment, Net
Property and equipment are stated at cost. Depreciation of property and equipment is computed on a straight-line basis, using the following useful lives:
Category
 Depreciable Life
 Software, including software developed for internal use 3 - 7 years
 Store related assets and other property and equipment 3 - 10 years
 Furniture, fixtures and equipment 5 - 7 years
 Leasehold improvements Shorter of lease term or useful life of the asset, typically no longer than 10 years
 Building improvements 6 - 30 years
When a decision is made to dispose of property and equipment prior to the end of its previously estimated useful life, depreciation estimates are revised to reflect the use of the asset over the shortened estimated useful life. The cost of assets sold or retired and the related accumulated depreciation are removed from the accounts with any resulting gain or loss included in other operating income, net, in the Consolidated Statements of Income and Comprehensive Income. Maintenance and repairs are charged to expense as incurred. Major renewals and betterments that extend useful lives are capitalized.
Store Asset Impairment
Property and equipment, including the right of use assets, are not required to be measured at fair value on a recurring basis. However, if certain triggering events occur indicating the carrying value of these assets may not be recoverable, an impairment test is required. These events include, but are not limited to, material adverse changes in projected revenues, present cash flow losses combined with a history of cash flow losses and a forecast that demonstrates significant continuing losses, significant negative economic conditions, a significant decrease in the market value of an asset and store closure or relocation decisions. The reviews are conducted at the store level, the lowest identifiable level of cash flow.
Stores that display an indicator of impairment are subjected to an impairment assessment. Such stores are tested for recoverability by comparing the sum of the estimated future undiscounted cash flows to the carrying amount of the asset. This recoverability test requires management to make assumptions and judgments related, but not limited, to management’s expectations for future cash flows from operating the store.
▪The key assumption used in the undiscounted future store cash flow models is the sales growth rate.
An impairment loss may be recognized when these undiscounted future cash flows are less than the carrying amount of the asset group. In the circumstance of impairment, any loss would be measured as the excess of the carrying amount of the asset group over its fair value. Fair value of the store-related assets is determined at the individual store level based on the highest and best use of the asset group.
•The key assumptions used in the fair value analysis may include discounted estimates of future store cash flows from operating the store and/or comparable market rents.
During 2022, 2021 and 2020, the Company recognized impairment charges as follows:
2022 2021 2020 (in thousands) Right of use asset impairment $ 1,483  $ —  $ 25,117  Property and equipment asset impairment 667  —  9,263  Total asset impairment $ 2,150  $ —  $ 34,380  
Impairment charges are recorded in cost of goods sold, buying and occupancy costs in the Consolidated Statements of Income and Comprehensive Income.</t>
  </si>
  <si>
    <t>Equity Method Investments</t>
  </si>
  <si>
    <t>Equity Method Investments
The Company accounts for each of its equity investments through which it exercises significant influence but does not have control over the investee under the equity method. Under the equity method, the Company recorded its investment in the investee on the balance sheet initially at cost, and subsequently adjusts the carrying amount based on its share of the investee's net income or loss. Royalty distributions received from the investee are recognized as a reduction of the carrying amount of the investment. The Company's share of equity (income)/losses and other adjustments associated with these equity investments will be included in other operating income, net in the Consolidated Statements of Income and Comprehensive Income. The carrying value for the Company's equity investment is reported in Equity Method Investment on the Consolidated Balance Sheets. The Company reports its share of earnings using a one-month lag because results are not available in time for it to record them in the concurrent period. This convention does not materially impact the Company's results.
The Company reviews its equity investments accounted for under the equity method of accounting for impairment by comparing the fair value of each of its investments to their carrying value. If the carrying value of an investment exceeds its fair value and the loss in value is other than temporary, the investment is considered impaired and reduced to fair value, and the impairment is recognized in the period identified. Factors providing evidence of such a loss include changes in the investee's operations or financial condition, significant continuing losses, significant negative economic conditions or a significant decrease in the market value. Impairment charges are recorded in other expense/(income), net in the Consolidated Statements of Income and Comprehensive Income.</t>
  </si>
  <si>
    <t>Income Taxes
The Company accounts for income taxes using the asset and liability method. Under this method, the amount of taxes currently payable or refundable are accrued, and deferred tax assets and liabilities are recognized for the estimated future tax consequences of temporary differences that currently exist between the tax basis and financial reporting basis of the Company's assets and liabilities. Valuation allowances are established against deferred tax assets when it is more likely than not that the realization of those deferred tax assets will not occur.
Deferred tax assets and liabilities are measured using the enacted tax rates in effect in the years when those temporary differences are expected to reverse. The effect on deferred taxes from a change in tax rate is recognized through continuing operations in the period that includes the enactment date of the change. Changes in tax laws and rates could affect recorded deferred tax assets and liabilities in the future.
The Company considers all available evidence, both positive and negative, when evaluating whether deferred tax assets are realizable. Such factors include past operating results, taxable income in prior carryback years, future reversal of existing temporary differences, prudent and feasible tax planning strategies and forecasts of future operating income. The past operating results is given more weight than expectations of future profitability, which is
inherently uncertain. The assumptions utilized in determining future taxable income require significant judgment and actual operating results in future years could differ from the Company’s current assumptions and estimates.
A tax benefit from an uncertain tax position may be recognized when it is more-likely-than-not that the position will be sustained upon examination, including resolutions of any related appeals or litigation processes, based on the technical merits. Income tax positions must meet a more-likely-than-not recognition threshold to be recognized.
The Company recognizes tax liabilities for uncertain tax positions and adjusts these liabilities when the Company's judgment changes as a result of the evaluation of new information not previously available. Due to the complexity of some of these uncertainties, the ultimate resolution may result in a payment that is materially different from the current estimate of the tax liabilities. These differences will be reflected as increases or decreases to income tax expense and the effective tax rate in the period in which the new information becomes available.
Interest and penalties related to unrecognized tax benefits are recognized within income tax expense in the Consolidated Statements of Income and Comprehensive Income. Accrued interest and penalties are included within other long-term liabilities on the Consolidated Balance Sheets.
The income tax liability was $8.0 million and $0.8 million as of January 28, 2023 and January 29, 2022, respectively, and is included in accrued expenses on the Consolidated Balance Sheets.
The Company may be subject to periodic audits by the Internal Revenue Service ("IRS") and other taxing authorities. These audits may challenge certain of the Company's tax positions, such as the timing and amount of deductions and allocation of taxable income to various jurisdictions.</t>
  </si>
  <si>
    <t>Self-Insurance</t>
  </si>
  <si>
    <t>Self-Insurance
The Company is generally self-insured in the United States for medical, workers' compensation and general liability benefits up to certain stop-loss limits. Such costs are accrued based on known claims and estimates of incurred but not reported (“IBNR”) claims. IBNR claims are estimated using historical claim information and actuarial estimates. The accrued liability for self-insurance is included in accrued expenses on the Consolidated Balance Sheets.</t>
  </si>
  <si>
    <t>Revenue Recognition</t>
  </si>
  <si>
    <t>Revenue Recognition
The following is information regarding the Company's major product categories and sales channels:
  2022 2021 2020 (in thousands) Apparel $ 1,667,833  $ 1,652,706  $ 1,033,140  Accessories and other 144,356  168,211  132,069  Other revenue 51,993  49,379  43,165  Total net sales $ 1,864,182  $ 1,870,296  $ 1,208,374  
  2022 2021 2020 (in thousands) Retail $ 1,314,647  $ 1,339,091  $ 860,613  Outlet 497,542  481,826  304,596  Other revenue 51,993  49,379  43,165  Total net sales $ 1,864,182  $ 1,870,296  $ 1,208,374  
Merchandise returns are reflected in the accounting records of the channel where they are physically returned. Other revenue consists primarily of revenue earned from our private label credit card agreement, shipping and handling revenue related to eCommerce activity, sell-off revenue related to marked-out-of-stock inventory sales to third parties, revenue from gift card breakage and revenue from franchise agreements.
Revenue related to the Company’s international franchise operations was not material for any period presented and, therefore, is not reported separately from domestic revenue.
Merchandise Sales
The Company recognizes sales for in-store purchases at the point-of-sale. Revenue related to eCommerce transactions is recognized upon shipment based on the fact that control transfers to the customer at that time. The Company has made a policy election to treat shipping and handling as costs to fulfill the contract, and as a result, any amounts received from customers are included in the transaction price allocated to the performance obligation of providing goods with a corresponding amount accrued within cost of goods sold, buying and occupancy costs in the Consolidated Statements of Income and Comprehensive Income for amounts paid to applicable carriers. Associate discounts on merchandise purchases are classified as a reduction of net sales. Net sales excludes sales tax collected from customers and remitted to governmental authorities.
The Company also sells merchandise to multiple franchisees pursuant to different franchise agreements. Revenues may consist of sales of merchandise and/or royalties. Revenues from merchandise sold to franchisees are recorded at the time title transfers to the franchisees. Royalty revenue is based upon a percentage of the franchisee’s net sales to third parties and is earned when such sales to third parties occur.
Loyalty Program
The Company maintains a customer loyalty program in which customers earn points toward rewards for qualifying purchases and other marketing activities. Upon reaching specified point values, customers are issued a reward, which they may redeem on merchandise purchases at the Company’s stores or on its website. Generally, rewards earned must be redeemed within 60 days from the date of issuance. The Company defers a portion of merchandise sales based on the estimated standalone selling price of the points earned. This deferred revenue is recognized as certificates are redeemed or expire. To calculate this deferral, the Company makes assumptions related to card holder redemption rates based on historical experience. The loyalty liability is included in deferred revenue on the Consolidated Balance Sheets.
2022 2021 (in thousands) Beginning balance loyalty deferred revenue $ 10,918  $ 8,951  (Revenue recognized)/reduction in revenue (979) 1,967  Ending balance loyalty deferred revenue $ 9,939  $ 10,918  
Sales Returns Reserve
The Company reduces net sales and provides a reserve for projected merchandise returns based on prior experience. Merchandise returns are often resalable merchandise and are refunded by issuing the same payment tender as the original purchase. The sales returns reserve was $9.0 million and $9.8 million as of January 28, 2023 and January 29, 2022, respectively, and is included in accrued expenses on the Consolidated Balance Sheets. The asset related to projected returned merchandise is included in other assets on the Consolidated Balance Sheets.
Gift Cards
The Company sells gift cards in its stores, on its eCommerce website and through third parties. These gift cards do not expire or lose value over periods of inactivity. The Company accounts for gift cards by recognizing a liability at the time a gift card is sold. The gift card liability balance was $25.6 million and $25.1 million as of January 28, 2023 and January 29, 2022, respectively, and is included in deferred revenue on the Consolidated Balance Sheets. During 2022 and 2021, the Company recognized approximately $13.9 million and $8.2 million of revenue that was previously included in the beginning gift card contract liability, respectively. The Company recognizes revenue from gift cards when they are redeemed by the customer. The Company also recognizes income on unredeemed gift cards, referred to as “gift card breakage.” Gift card breakage is recognized proportionately using a time-based attribution method from issuance of the gift card to the time when it can be determined that the likelihood of the gift card being redeemed is remote and that there is no legal obligation to remit unredeemed gift cards to relevant jurisdictions. The gift card breakage rate is based on historical redemption patterns. Gift card breakage is included within the other revenue component of net sales in the Consolidated Statements of Income and Comprehensive Income.
2022 2021 (in thousands) Beginning gift card liability $ 25,066  $ 23,478  Issuances 30,780  31,339  Redemptions (27,303) (27,218) Gift card breakage (2,939) (2,533) Ending gift card liability $ 25,604  $ 25,066  
Private Label Credit Card
The Company has an agreement with Comenity Bank (the “Bank”) to provide customers with private label credit cards (the “Card Agreement”) which was amended on August 28, 2017 to extend the term of the arrangement through December 31, 2024. Each private label credit card bears the logo of the Express brand and can only be used at the Company’s store locations and eCommerce channel. The Bank is the sole owner of the accounts issued under the private label credit card program and absorbs the losses associated with non-payment by the private label card holders and a portion of any fraudulent usage of the accounts.
Pursuant to the Card Agreement, the Company receives amounts from the Bank during the term based on a percentage of private label credit card sales and is also eligible to receive incentive payments for the achievement of certain performance targets. These funds are recorded within the other revenue component of net sales in the Consolidated Statements of Income and Comprehensive Income. The Company also receives reimbursement funds from the Bank for certain expenses the Company incurs. These reimbursement funds are used by the Company to fund marketing and other programs associated with the private label credit card. The reimbursement funds received related to private label credit cards are recorded within the other revenue component of net sales in the Consolidated Statements of Income and Comprehensive Income.
In connection with the Card Agreement, the Bank agreed to pay the Company a $20.0 million refundable payment which the Company recognized upon receipt as deferred revenue within other long-term liabilities in the Consolidated Balance Sheets and began to recognize into income on a straight-line basis commencing January 2018. As of January 28, 2023, the deferred revenue balance of $5.5 million will be recognized over the remaining term of the amended Card Agreement within the other revenue component of net sales in the Consolidated Statements of Income and Comprehensive Income.
2022 2021 (in thousands) Beginning balance refundable payment liability $ 8,394  $ 11,272  Recognized in revenue (2,878) (2,878) Ending balance refundable payment liability $ 5,516  $ 8,394  
Cost of Goods Sold, Buying and Occupancy Costs
Cost of goods sold, buying and occupancy costs, includes merchandise costs, freight, inventory shrinkage and other gross margin related expenses. Buying and occupancy expenses primarily include payroll, benefit costs, and other operating expenses for the buying departments (merchandising, design, manufacturing and planning and allocation), distribution, eCommerce fulfillment, rent, common area maintenance, real estate taxes, utilities, maintenance and depreciation for stores.</t>
  </si>
  <si>
    <t>Selling, General and Administrative Expenses</t>
  </si>
  <si>
    <t>Selling, General, and Administrative Expenses
Selling, general, and administrative expenses include all operating costs not included in cost of goods sold, buying and occupancy costs, with the exception of proceeds received from insurance claims and gain/loss on disposal of
assets, which are included in other operating expense, net. These costs include payroll and other expenses related to operations at our corporate home office, store expenses other than occupancy, and marketing expenses.</t>
  </si>
  <si>
    <t>Other Operating Income, Net</t>
  </si>
  <si>
    <t>Other Operating Income, Net
Other operating income, net primarily consists of gains/losses on disposal of assets, excess proceeds from the settlement of insurance claims and the write off of certain costs associated with aborted debt negotiations.</t>
  </si>
  <si>
    <t>Other (Income)/Expense, Net
Other (income)/expense, net primarily consists of payments received from Homage, LLC discussed in Note 4.</t>
  </si>
  <si>
    <t>Share-Based Compensation</t>
  </si>
  <si>
    <t>The Company records the fair value of share-based payments to employees in the Consolidated Statements of Income and Comprehensive Income as compensation expense, net of forfeitures, over the requisite service period. The Company issues shares of common stock from treasury stock, at average cost, upon exercise of stock options and vesting of restricted stock units, including those with performance conditions.The fair value of the RSUs is determined based on the Company's closing stock price on the day prior to the grant date in accordance with the 2018 Plan.The Company uses the Black-Scholes-Merton option-pricing model to value stock options granted to employees and directors. The Company's determination of the fair value of stock options is affected by the Company's stock price, as well as a number of subjective and complex assumptions. These assumptions include the risk-free interest rate, the Company's expected stock price volatility over the term of the awards, expected term of the award, and dividend yield.</t>
  </si>
  <si>
    <t>The employees of the Company, if eligible, participate in a qualified defined contribution retirement plan (the “Qualified Plan”) sponsored by the Company.
Participation in the Company's Qualified Plan is available to employees who meet certain age and service requirements. The Qualified Plan permits employees to elect contributions up to the lesser of 15% of their compensation or the maximum limits allowable under the Internal Revenue Code ("IRC"). The Company matches employee contributions according to a predetermined formula. Employee contributions and Company matching contributions vest immediately.
Total expense recognized related to the Qualified Plan employer match was $3.8 million, $3.7 million, and $3.4 million in 2022, 2021, and 2020, respectively.</t>
  </si>
  <si>
    <t>Description of Business and Basis of Presentation (Tables)</t>
  </si>
  <si>
    <t>Schedule of Fiscal Period</t>
  </si>
  <si>
    <t>All references herein to the Company's fiscal years are as follows:Fiscal Year Year Ended Number of Weeks 2022 January 28, 2023 52 2021 January 29, 2022 52 2020 January 30, 2021 52</t>
  </si>
  <si>
    <t>Summary of Significant Accounting Policies (Tables)</t>
  </si>
  <si>
    <t>Schedule of Fair Value, Assets, Measured on Recurring Basis</t>
  </si>
  <si>
    <t>The following table presents the Company's financial assets, recorded in cash and cash equivalents on the Consolidated Balance Sheets, measured at fair value on a recurring basis as of January 28, 2023 and January 29, 2022, aggregated by the level in the fair value hierarchy within which those measurements fall.
January 28, 2023 Level 1 Level 2 Level 3 (in thousands) Money market funds $ 47,792  $ —  $ —  January 29, 2022 Level 1 Level 2 Level 3 (in thousands) Money market funds $ —  $ —  $ —</t>
  </si>
  <si>
    <t>Schedule of Depreciable Lives</t>
  </si>
  <si>
    <t>Depreciation of property and equipment is computed on a straight-line basis, using the following useful lives:Category
 Depreciable Life
 Software, including software developed for internal use 3 - 7 years
 Store related assets and other property and equipment 3 - 10 years
 Furniture, fixtures and equipment 5 - 7 years
 Leasehold improvements Shorter of lease term or useful life of the asset, typically no longer than 10 years
 Building improvements 6 - 30 years</t>
  </si>
  <si>
    <t>Schedule of Impairment Charges</t>
  </si>
  <si>
    <t>During 2022, 2021 and 2020, the Company recognized impairment charges as follows:
2022 2021 2020 (in thousands) Right of use asset impairment $ 1,483  $ —  $ 25,117  Property and equipment asset impairment 667  —  9,263  Total asset impairment $ 2,150  $ —  $ 34,380</t>
  </si>
  <si>
    <t>Schedule of Revenue by Major Product Categories and Sales Channels</t>
  </si>
  <si>
    <t>The following is information regarding the Company's major product categories and sales channels:
  2022 2021 2020 (in thousands) Apparel $ 1,667,833  $ 1,652,706  $ 1,033,140  Accessories and other 144,356  168,211  132,069  Other revenue 51,993  49,379  43,165  Total net sales $ 1,864,182  $ 1,870,296  $ 1,208,374  
  2022 2021 2020 (in thousands) Retail $ 1,314,647  $ 1,339,091  $ 860,613  Outlet 497,542  481,826  304,596  Other revenue 51,993  49,379  43,165  Total net sales $ 1,864,182  $ 1,870,296  $ 1,208,374</t>
  </si>
  <si>
    <t>Schedule of Contract with Customer, Liability</t>
  </si>
  <si>
    <t>2022 2021 (in thousands) Beginning balance loyalty deferred revenue $ 10,918  $ 8,951  (Revenue recognized)/reduction in revenue (979) 1,967  Ending balance loyalty deferred revenue $ 9,939  $ 10,918  
2022 2021 (in thousands) Beginning gift card liability $ 25,066  $ 23,478  Issuances 30,780  31,339  Redemptions (27,303) (27,218) Gift card breakage (2,939) (2,533) Ending gift card liability $ 25,604  $ 25,066  
2022 2021 (in thousands) Beginning balance refundable payment liability $ 8,394  $ 11,272  Recognized in revenue (2,878) (2,878) Ending balance refundable payment liability $ 5,516  $ 8,394</t>
  </si>
  <si>
    <t>Property and Equipment, Net (Tables)</t>
  </si>
  <si>
    <t>Property and equipment, net, consisted of:
January 28, 2023 January 29, 2022 (in thousands) Building improvements $ 16,312  $ 16,206  Furniture, fixtures and equipment, and software 582,205  557,130  Leasehold improvements 402,598  393,221  Construction in process 17,652  8,433  Other 810  812  Total 1,019,577  975,802  Less: accumulated depreciation (886,193) (827,820) Property and equipment, net $ 133,384  $ 147,982</t>
  </si>
  <si>
    <t>Equity Method Investment (Tables)</t>
  </si>
  <si>
    <t>The following table is a summary of the Company’s equity method investment:
% of Ownership Balance Sheet Location January 28, 2023 (in thousands) EXP Topco, LLC. 40% Equity Method Investment $ 166,106</t>
  </si>
  <si>
    <t>Leases (Tables)</t>
  </si>
  <si>
    <t>Net Lease Cost and Supplemental Cash Flow Information</t>
  </si>
  <si>
    <t>The following table is a summary of the Company’s components of net lease cost, which is included in cost of goods sold, buying and occupancy costs, in the Consolidated Statements of Income and Comprehensive Income:
2022 2021 2020 (in thousands) Operating lease costs $ 220,682  $ 234,911  $ 272,896  Variable and short-term lease costs 63,516  45,355  60,925  Total lease costs $ 284,198  $ 280,266  $ 333,821  
Supplemental cash flow information related to leases is as follows:
2022 2021 2020 (in thousands) Cash paid for amounts included in the measurement of lease liabilities: Operating cash flows for operating leases
 $ 253,197  $ 296,353  $ 197,824  Right of use assets obtained in exchange for operating lease liabilities $ 45,136  $ 44,952  $ 44,433</t>
  </si>
  <si>
    <t>Balance Sheet Supplemental Disclosures, Lessee</t>
  </si>
  <si>
    <t>Supplemental balance sheet information related to leases is as follows:
2022 2021 2020 Operating leases: Weighted average remaining lease term (in years) 3.8 4.4 5.1 Weighted average discount rate 6.9  % 6.5  % 5.4  %</t>
  </si>
  <si>
    <t>Operating Lease Maturity</t>
  </si>
  <si>
    <t>The following table reconciles the undiscounted cash flows for each of the first five years and total of the remaining years to the operating lease liabilities recorded on the Consolidated Balance Sheets as of January 28, 2023:
January 28, 2023 (in thousands) 2023 $ 209,072  2024 177,265  2025 132,509  2026 78,104  2027 45,314  Thereafter 33,809  Total minimum lease payments 676,073  Less: amount of lease payments representing interest 80,619  Present value of future minimum lease payments 595,454  Less: current obligations under leases 189,006  Long-term lease obligations $ 406,448</t>
  </si>
  <si>
    <t>Income Taxes (Tables)</t>
  </si>
  <si>
    <t>Schedule of Provision for Income Taxes</t>
  </si>
  <si>
    <t>The provision (benefit) for income taxes consists of the following:
2022 2021 2020 Current: (in thousands) U.S. federal $ 8,273  $ (239) $ (109,627) U.S. state and local 1,312  554  (1,240) Total 9,585  315  (110,867) Deferred: U.S. federal 3,546  —  37,292  U.S. state and local 7,322  —  17,675  Total 10,868  —  54,967  Income tax (benefit)/expense $ 20,453  $ 315  $ (55,900)</t>
  </si>
  <si>
    <t>Schedule of Effective Income Tax Rate Reconciliation</t>
  </si>
  <si>
    <t>The following table provides a reconciliation between the statutory federal income tax rate and the effective tax rate:
  2022 2021 2020 Federal income tax rate 21.0  % 21.0  % 21.0  % State income taxes, net of federal income tax effect 6.4  % (5.0) % 5.2  % Change in uncertain tax positions 0.4  % 0.8  % 0.1  % Share-based compensation 0.1  % (3.2) % (0.3) % Non-deductible executive compensation 0.6  % (22.6) % (0.2) % Change in valuation allowance (21.8) % 4.0  % (22.9) % Change in tax law —  % —  % 9.1  % Tax credits (0.3) % 3.7  % 0.1  % Other items, net 0.1  % (0.9) % —  % Effective tax rate 6.5  % (2.2) % 12.1  %</t>
  </si>
  <si>
    <t>Schedule of Deferred Tax Assets and Liabilities</t>
  </si>
  <si>
    <t>The following table provides the effect of temporary differences that created deferred income taxes as of January 28, 2023 and January 29, 2022. Deferred tax assets and liabilities represent the future effects on income taxes resulting from temporary differences and carry-forwards at the end of the respective periods.
  January 28, 2023 January 29, 2022 (in thousands) Deferred tax assets: Accrued expenses and deferred compensation $ 9,999  $ 13,693  Lease liability 161,389  197,063  Intangible assets 10,851  21,402  Inventory 1,136  —  Deferred revenue 5,418  5,142  Other 871  986  Net operating losses, tax credit and other carryforwards 17,693  41,137  Valuation allowance (41,767) (107,669) Total deferred tax assets 165,590  171,754  Deferred tax liabilities: Prepaid expenses 2,374  2,844  Inventory —  1,305  Right of use asset 133,149  161,105  Investment in Joint Venture 36,500  —  Property and equipment 4,435  6,500  Total deferred tax liabilities 176,458  171,754  Net deferred tax asset/(liability) $ (10,868) $ —</t>
  </si>
  <si>
    <t>Summary of Valuation Allowance</t>
  </si>
  <si>
    <t>The following table summarizes the changes in the valuation allowance:
2022 2021 2020 (in thousands) Valuation allowance, beginning of year $ 107,669  $ 108,418  $ 2,313  Changes in related gross deferred tax assets/liabilities 2,661  (228) 410  Charge/(release) (68,563) (521) 105,695  Valuation allowance, end of year $ 41,767  $ 107,669  $ 108,418  
The decrease in the valuation allowance in 2022 is primarily attributable to the gain on the transaction with WHP. The gain on the transaction with WHP in 2022 allowed the Company to utilize certain deferred tax assets and tax attributes with a corresponding release to the Company's valuation allowance.</t>
  </si>
  <si>
    <t>Unrecognized Tax Benefits Rollforward</t>
  </si>
  <si>
    <t>A reconciliation of the beginning to ending unrecognized tax benefits is as follows:
January 28, 2023 January 29, 2022 January 30, 2021 (in thousands) Unrecognized tax benefits, beginning of year $ 1,573  $ 1,388  $ 1,305  Gross addition for tax positions of the current year 335  —  —  Gross addition for tax positions of the prior year 174  291  327  Settlements —  —  —  Reduction for tax positions of prior years —  —  —  Lapse of statute of limitations (115) (106) (244) Unrecognized tax benefits, end of year $ 1,967  $ 1,573  $ 1,388</t>
  </si>
  <si>
    <t>Debt (Tables)</t>
  </si>
  <si>
    <t>Schedule of Outstanding Debt</t>
  </si>
  <si>
    <t>The following table summarizes the Company's outstanding debt as of the dates indicated:
January 28, 2023 January 29, 2022 (in thousands) Term Loan Facility $ —  $ 96,737  Revolving Facility 122,000  35,000  Total outstanding borrowings 122,000  131,737  Less: unamortized debt issuance costs —  (2,940) Total debt, net 122,000  128,797  Less: current portion of long-term debt —  11,216  Long-term debt, net $ 122,000  $ 117,581  Outstanding letters of credit $ 19,636  $ 34,636</t>
  </si>
  <si>
    <t>Long-Term Incentive Compensation (Tables)</t>
  </si>
  <si>
    <t>Schedule of Shared-based Compensation Expense</t>
  </si>
  <si>
    <t>The following summarizes long-term incentive compensation expense:
2022 2021 2020 (in thousands) Restricted stock units $ 4,075  $ 6,212  $ 8,220  Stock options 350  728  1,242  Performance-based restricted stock units 3,115  2,869  —  Total share-based compensation $ 7,540  $ 9,809  $ 9,462  Cash-settled awards 8,662  9,142  695  Total long-term incentive compensation $ 16,202  $ 18,951  $ 10,157</t>
  </si>
  <si>
    <t>Schedule of Restricted Stock and Restricted Stock Units Activity</t>
  </si>
  <si>
    <t>The Company's activity with respect to RSUs for 2022 was as follows:
Number of
Shares
 Grant Date
Weighted Average
Fair Value 
 (in thousands, except per share amounts) Unvested, January 29, 2022
 3,561  $ 2.55  Granted 373  $ 2.60  Vested (1,888) $ 2.84  Forfeited (313) $ 2.39  Unvested, January 28, 2023
 1,733  $ 2.27</t>
  </si>
  <si>
    <t>Schedule of Stock Options Activity</t>
  </si>
  <si>
    <t>The Company's activity with respect to stock options during 2022 was as follows:
Number of
Shares
 Grant Date
Weighted Average
Exercise Price Weighted-Average Remaining Contractual Life
(in years) Aggregate Intrinsic Value (in thousands, except per share amounts and years) Outstanding, January 29, 2022
 2,973  $ 5.39  Granted —  $ —  Exercised —  $ —  Forfeited or expired (116) $ 18.91  Outstanding, January 28, 2023
 2,857  $ 4.84  5.8 $ —  Expected to vest at January 28, 2023
 279  $ 2.60  6.5 $ —  Exercisable at January 28, 2023
 2,577  $ 5.09  5.7 $ —</t>
  </si>
  <si>
    <t>Earnings Per Share (Tables)</t>
  </si>
  <si>
    <t>Reconciliation Between Basic and Diluted Weighted-Average Shares</t>
  </si>
  <si>
    <t>The following table provides a reconciliation between basic and diluted weighted-average shares used to calculate basic and diluted earnings per share:
2022 2021 2020 (in thousands) Weighted-average shares - basic 68,046  66,448  64,624  Dilutive effect of stock options, restricted stock units and restricted stock 1,012  —  —  Weighted-average shares - diluted 69,058  66,448  64,624</t>
  </si>
  <si>
    <t>Description of Business and Basis of Presentation - Narrative (Details)
$ in Thousands</t>
  </si>
  <si>
    <t>3 Months Ended</t>
  </si>
  <si>
    <t>Nov. 23, 2022
USD ($)</t>
  </si>
  <si>
    <t>Jan. 28, 2023
USD ($)
store</t>
  </si>
  <si>
    <t>Jan. 28, 2023
USD ($)
store
segment</t>
  </si>
  <si>
    <t>Jan. 29, 2022
USD ($)</t>
  </si>
  <si>
    <t>Jan. 30, 2021
USD ($)</t>
  </si>
  <si>
    <t>Jan. 13, 2021
USD ($)</t>
  </si>
  <si>
    <t>Description of Business and Basis of Presentation [Line Items]</t>
  </si>
  <si>
    <t>Number of operating segments | segment</t>
  </si>
  <si>
    <t>Increase (decrease) in revenue from comparable prior year</t>
  </si>
  <si>
    <t>Operating income (loss)</t>
  </si>
  <si>
    <t>Operating cash flow</t>
  </si>
  <si>
    <t>Proceeds from transaction with WHP</t>
  </si>
  <si>
    <t>Term Loan Facility | Secured Debt</t>
  </si>
  <si>
    <t>Debt, face amount</t>
  </si>
  <si>
    <t>FILO Term Loan | Secured Debt</t>
  </si>
  <si>
    <t>Amended First In, Last Out Term Loan | Secured Debt</t>
  </si>
  <si>
    <t>Delayed Draw Term Loan Facility | Secured Debt</t>
  </si>
  <si>
    <t>Debt terminated</t>
  </si>
  <si>
    <t>Third Amendment To The Second Amended And Restated Asset-Based Loan Credit Agreement | Line of Credit | Revolving Credit Facility</t>
  </si>
  <si>
    <t>Maximum borrowing capacity</t>
  </si>
  <si>
    <t>Maximum borrowing capacity increase</t>
  </si>
  <si>
    <t>Amended Revolving Credit Facility | Line of Credit | Revolving Credit Facility</t>
  </si>
  <si>
    <t>Joint Venture</t>
  </si>
  <si>
    <t>Equity method investment, ownership percentage</t>
  </si>
  <si>
    <t>Retail And Factory Outlet</t>
  </si>
  <si>
    <t>Number of stores | store</t>
  </si>
  <si>
    <t>Outlet</t>
  </si>
  <si>
    <t>Description of Business and Basis of Presentation - Fiscal Period (Details)</t>
  </si>
  <si>
    <t>Organization, Consolidation and Presentation of Financial Statements [Abstract]</t>
  </si>
  <si>
    <t>Fiscal period duration</t>
  </si>
  <si>
    <t>364 days</t>
  </si>
  <si>
    <t>Summary of Significant Accounting Policies - Narrative (Details) - USD ($)
$ in Thousands</t>
  </si>
  <si>
    <t>Disaggregation of Revenue [Line Items]</t>
  </si>
  <si>
    <t>Payments due from banks for third-party credit and debit card transactions</t>
  </si>
  <si>
    <t>5 days</t>
  </si>
  <si>
    <t>Amounts due from banks for credit and debit card transactions</t>
  </si>
  <si>
    <t>Outstanding checks not yet presented for payment</t>
  </si>
  <si>
    <t>Joint venture, ownership interest by third party</t>
  </si>
  <si>
    <t>Lower of cost or market adjustment to inventory</t>
  </si>
  <si>
    <t>Advertising expense</t>
  </si>
  <si>
    <t>Equity method investments, lag on reporting share of earnings, period</t>
  </si>
  <si>
    <t>1 month</t>
  </si>
  <si>
    <t>Income tax liability</t>
  </si>
  <si>
    <t>Redemption period for rewards earned</t>
  </si>
  <si>
    <t>60 days</t>
  </si>
  <si>
    <t>Sales returns reserve</t>
  </si>
  <si>
    <t>Deferred revenue, current</t>
  </si>
  <si>
    <t>EXP Topco LLC</t>
  </si>
  <si>
    <t>Gift Card Liability</t>
  </si>
  <si>
    <t>Gift card contract liability recognized in revenue</t>
  </si>
  <si>
    <t>Comenity Bank</t>
  </si>
  <si>
    <t>Comenity Bank | Credit Card</t>
  </si>
  <si>
    <t>Summary of Significant Accounting Policies - Fair Value Measurements (Details) - Money market funds - USD ($)
$ in Thousands</t>
  </si>
  <si>
    <t>Level 1</t>
  </si>
  <si>
    <t>Fair Value, Assets and Liabilities Measured on Recurring and Nonrecurring Basis [Line Items]</t>
  </si>
  <si>
    <t>Financial assets</t>
  </si>
  <si>
    <t>Level 2</t>
  </si>
  <si>
    <t>Level 3</t>
  </si>
  <si>
    <t>Summary of Significant Accounting Policies - Property and Equipment, Net (Details)</t>
  </si>
  <si>
    <t>Software, including software developed for internal use | Minimum</t>
  </si>
  <si>
    <t>Property, Plant and Equipment [Line Items]</t>
  </si>
  <si>
    <t>Property and equipment, useful life</t>
  </si>
  <si>
    <t>3 years</t>
  </si>
  <si>
    <t>Software, including software developed for internal use | Maximum</t>
  </si>
  <si>
    <t>7 years</t>
  </si>
  <si>
    <t>Store related assets and other property and equipment | Minimum</t>
  </si>
  <si>
    <t>Store related assets and other property and equipment | Maximum</t>
  </si>
  <si>
    <t>10 years</t>
  </si>
  <si>
    <t>Furniture, fixtures and equipment | Minimum</t>
  </si>
  <si>
    <t>5 years</t>
  </si>
  <si>
    <t>Furniture, fixtures and equipment | Maximum</t>
  </si>
  <si>
    <t>Leasehold improvements</t>
  </si>
  <si>
    <t>Building improvements | Minimum</t>
  </si>
  <si>
    <t>6 years</t>
  </si>
  <si>
    <t>Building improvements | Maximum</t>
  </si>
  <si>
    <t>30 years</t>
  </si>
  <si>
    <t>Summary of Significant Accounting Policies - Store Asset Impairment (Details) - USD ($)
$ in Thousands</t>
  </si>
  <si>
    <t>Right of use asset impairment</t>
  </si>
  <si>
    <t>Property and equipment asset impairment</t>
  </si>
  <si>
    <t>Total asset impairment</t>
  </si>
  <si>
    <t>Summary of Significant Accounting Policies - Revenue by Major Product Categories and Sales Channels (Details) - USD ($)
$ in Thousands</t>
  </si>
  <si>
    <t>Accessories and other</t>
  </si>
  <si>
    <t>Other revenue</t>
  </si>
  <si>
    <t>Summary of Significant Accounting Policies - Loyalty Deferred Revenue (Details) - USD ($)
$ in Thousands</t>
  </si>
  <si>
    <t>Contract With Customer, Liability [Roll Forward]</t>
  </si>
  <si>
    <t>Beginning balance</t>
  </si>
  <si>
    <t>Ending balance</t>
  </si>
  <si>
    <t>Loyalty Program</t>
  </si>
  <si>
    <t>Reduction in revenue/(revenue recognized)</t>
  </si>
  <si>
    <t>Summary of Significant Accounting Policies - Gift Card Liability (Details) - USD ($)
$ in Thousands</t>
  </si>
  <si>
    <t>Issuances</t>
  </si>
  <si>
    <t>Increase (decrease) in gift card liability</t>
  </si>
  <si>
    <t>Redemptions</t>
  </si>
  <si>
    <t>Gift card breakage</t>
  </si>
  <si>
    <t>Summary of Significant Accounting Policies - Refundable Payment Liability (Details) - Comenity Bank - USD ($)
$ in Thousands</t>
  </si>
  <si>
    <t>Beginning balance refundable payment liability</t>
  </si>
  <si>
    <t>Recognized in revenue</t>
  </si>
  <si>
    <t>Ending balance refundable payment liability</t>
  </si>
  <si>
    <t>Property and Equipment, Net (Details) - USD ($)
$ in Thousands</t>
  </si>
  <si>
    <t>Property and equipment, gross</t>
  </si>
  <si>
    <t>Depreciation</t>
  </si>
  <si>
    <t>Building improvements</t>
  </si>
  <si>
    <t>Furniture, fixtures and equipment, and software</t>
  </si>
  <si>
    <t>Construction in process</t>
  </si>
  <si>
    <t>Equity Method Investment - Schdeule of Equity Method Investment (Details) - USD ($)
$ in Thousands</t>
  </si>
  <si>
    <t>Schedule of Equity Method Investments [Line Items]</t>
  </si>
  <si>
    <t>Equity Method Investment - Narrative (Details) - USD ($)
$ / shares in Units, shares in Thousands</t>
  </si>
  <si>
    <t>License agreement, term</t>
  </si>
  <si>
    <t>License agreement, renewal term</t>
  </si>
  <si>
    <t>License agreement, minimum notice period for nonrenewal</t>
  </si>
  <si>
    <t>24 months</t>
  </si>
  <si>
    <t>License agreement, annual guaranteed minimum royalty in first year</t>
  </si>
  <si>
    <t>License agreement, annual guaranteed minimum royalty increase per year after first year and thru fifth year</t>
  </si>
  <si>
    <t>License agreement, annual guaranteed minimum royalty increase per year, period</t>
  </si>
  <si>
    <t>License agreement, annual guaranteed minimum royalty at sixth year and thereafter</t>
  </si>
  <si>
    <t>License agreement, royalty percentage on net sales from retail of certain licensed goods thru fifth year</t>
  </si>
  <si>
    <t>License agreement, royalty percentage on net sales from retail of certain licensed goods, thereafter fifth year</t>
  </si>
  <si>
    <t>License agreement, royalty percentage on net sales from wholesale of certain licensed goods</t>
  </si>
  <si>
    <t>Prepaid royalties, initially recorded</t>
  </si>
  <si>
    <t>Private Placement | WHP</t>
  </si>
  <si>
    <t>Shares sold in offering (in shares)</t>
  </si>
  <si>
    <t>Sale of stock, price per share (in dollars per share)</t>
  </si>
  <si>
    <t>Sale of stock, pro forma ownership percentage</t>
  </si>
  <si>
    <t>Gain on sale of stock</t>
  </si>
  <si>
    <t>Homage, LLC</t>
  </si>
  <si>
    <t>Notes receivable acquired on equity method investment interest</t>
  </si>
  <si>
    <t>Proceeds from notes receivable</t>
  </si>
  <si>
    <t>Equity method investment, transaction costs</t>
  </si>
  <si>
    <t>Joint Venture | Intellectual Property</t>
  </si>
  <si>
    <t>Finite-Lived Intangible Assets, Net</t>
  </si>
  <si>
    <t>Gain on contribution of intangible assets</t>
  </si>
  <si>
    <t>Joint Venture | WHP</t>
  </si>
  <si>
    <t>Payments to acquire interest in joint venture</t>
  </si>
  <si>
    <t>Leases - Narrative (Details)
$ in Millions</t>
  </si>
  <si>
    <t>Jan. 28, 2023
USD ($)
renewal_option</t>
  </si>
  <si>
    <t>Lessee, Lease, Description [Line Items]</t>
  </si>
  <si>
    <t>Accrued minimum rent | $</t>
  </si>
  <si>
    <t>Office Building</t>
  </si>
  <si>
    <t>Number of renewal options | renewal_option</t>
  </si>
  <si>
    <t>Lease renewal term</t>
  </si>
  <si>
    <t>Minimum | Retail</t>
  </si>
  <si>
    <t>Lease term</t>
  </si>
  <si>
    <t>Minimum | Equipment And Other Assets</t>
  </si>
  <si>
    <t>Maximum | Retail</t>
  </si>
  <si>
    <t>Maximum | Equipment And Other Assets</t>
  </si>
  <si>
    <t>Leases - Net Lease Cost (Details) - USD ($)
$ in Thousands</t>
  </si>
  <si>
    <t>Operating lease costs</t>
  </si>
  <si>
    <t>Variable and short-term lease costs</t>
  </si>
  <si>
    <t>Total lease costs</t>
  </si>
  <si>
    <t>Leases - Supplemental Cash Flow Information (Details) - USD ($)
$ in Thousands</t>
  </si>
  <si>
    <t>Operating cash flows for operating leases</t>
  </si>
  <si>
    <t>Right of use assets obtained in exchange for operating lease liabilities</t>
  </si>
  <si>
    <t>Leases - Supplemental Balance Sheet Information (Details)</t>
  </si>
  <si>
    <t>Weighted average remaining lease term (in years)</t>
  </si>
  <si>
    <t>3 years 9 months 18 days</t>
  </si>
  <si>
    <t>4 years 4 months 24 days</t>
  </si>
  <si>
    <t>5 years 1 month 6 days</t>
  </si>
  <si>
    <t>Weighted average discount rate</t>
  </si>
  <si>
    <t>Leases - Operating Lease Maturity (Details) - USD ($)
$ in Thousands</t>
  </si>
  <si>
    <t>Thereafter</t>
  </si>
  <si>
    <t>Total minimum lease payments</t>
  </si>
  <si>
    <t>Less: amount of lease payments representing interest</t>
  </si>
  <si>
    <t>Present value of future minimum lease payments</t>
  </si>
  <si>
    <t>Less: current obligations under leases</t>
  </si>
  <si>
    <t>Long-term lease obligations</t>
  </si>
  <si>
    <t>Income Taxes - Provision for Income Taxes (Details) - USD ($)
$ in Thousands</t>
  </si>
  <si>
    <t>Current:</t>
  </si>
  <si>
    <t>U.S. federal</t>
  </si>
  <si>
    <t>U.S. state and local</t>
  </si>
  <si>
    <t>Deferred:</t>
  </si>
  <si>
    <t>Income tax (benefit)/expense</t>
  </si>
  <si>
    <t>Income Taxes - Effective Tax Rate Reconciliation (Details)</t>
  </si>
  <si>
    <t>Federal income tax rate</t>
  </si>
  <si>
    <t>State income taxes, net of federal income tax effect</t>
  </si>
  <si>
    <t>Change in uncertain tax positions</t>
  </si>
  <si>
    <t>Non-deductible executive compensation</t>
  </si>
  <si>
    <t>Change in valuation allowance</t>
  </si>
  <si>
    <t>Change in tax law</t>
  </si>
  <si>
    <t>Tax credits</t>
  </si>
  <si>
    <t>Other items, net</t>
  </si>
  <si>
    <t>Effective tax rate</t>
  </si>
  <si>
    <t>Income Taxes - Net Deferred Tax Assets Liabilities (Details) - USD ($)
$ in Thousands</t>
  </si>
  <si>
    <t>Deferred tax assets:</t>
  </si>
  <si>
    <t>Accrued expenses and deferred compensation</t>
  </si>
  <si>
    <t>Lease liability</t>
  </si>
  <si>
    <t>Intangible assets</t>
  </si>
  <si>
    <t>Inventory</t>
  </si>
  <si>
    <t>Net operating losses, tax credit and other carryforwards</t>
  </si>
  <si>
    <t>Valuation allowance</t>
  </si>
  <si>
    <t>Total deferred tax assets</t>
  </si>
  <si>
    <t>Deferred tax liabilities:</t>
  </si>
  <si>
    <t>Prepaid expenses</t>
  </si>
  <si>
    <t>Right of use asset</t>
  </si>
  <si>
    <t>Investment in Joint Venture</t>
  </si>
  <si>
    <t>Property and equipment</t>
  </si>
  <si>
    <t>Total deferred tax liabilities</t>
  </si>
  <si>
    <t>Net deferred tax asset/(liability)</t>
  </si>
  <si>
    <t>Income Taxes - Narrative (Details) - USD ($)
$ in Thousands</t>
  </si>
  <si>
    <t>Operating Loss Carryforwards [Line Items]</t>
  </si>
  <si>
    <t>Income taxes receivable, net operating loss, CARES Act</t>
  </si>
  <si>
    <t>Deferred tax assets, operating loss carryforwards, state and local</t>
  </si>
  <si>
    <t>Deferred tax assets, tax credit carryforwards, foreign</t>
  </si>
  <si>
    <t>Unrecognized tax benefits that would impact effective tax rate</t>
  </si>
  <si>
    <t>Net interest in tax expense related to interest and penalties</t>
  </si>
  <si>
    <t>Accrued interest on unrecognized benefits</t>
  </si>
  <si>
    <t>Resolution of federal and state tax examinations could reduce the Company's unrecognized tax benefits</t>
  </si>
  <si>
    <t>Domestic Tax Authority</t>
  </si>
  <si>
    <t>Net operating loss carryforwards</t>
  </si>
  <si>
    <t>Uncertain tax positions</t>
  </si>
  <si>
    <t>Interest accrued</t>
  </si>
  <si>
    <t>Income Taxes - Changes in Valuation Allowance (Details) - USD ($)
$ in Thousands</t>
  </si>
  <si>
    <t>Deferred Tax Assets, Valuation Allowance [Roll Forward]</t>
  </si>
  <si>
    <t>Valuation allowance, beginning of year</t>
  </si>
  <si>
    <t>Changes in related gross deferred tax assets/liabilities</t>
  </si>
  <si>
    <t>Charge/(release)</t>
  </si>
  <si>
    <t>Valuation allowance, end of year</t>
  </si>
  <si>
    <t>Income Taxes - Uncertain Tax Positions (Details) - USD ($)
$ in Thousands</t>
  </si>
  <si>
    <t>Reconciliation of Unrecognized Tax Benefits, Excluding Amounts Pertaining to Examined Tax Returns [Roll Forward]</t>
  </si>
  <si>
    <t>Unrecognized tax benefits, beginning of year</t>
  </si>
  <si>
    <t>Gross addition for tax positions of the current year</t>
  </si>
  <si>
    <t>Gross addition for tax positions of the prior year</t>
  </si>
  <si>
    <t>Settlements</t>
  </si>
  <si>
    <t>Reduction for tax positions of prior years</t>
  </si>
  <si>
    <t>Lapse of statute of limitations</t>
  </si>
  <si>
    <t>Unrecognized tax benefits, end of year</t>
  </si>
  <si>
    <t>Debt - Outstanding Debt (Details) - USD ($)
$ in Thousands</t>
  </si>
  <si>
    <t>Debt Instrument [Line Items]</t>
  </si>
  <si>
    <t>Total outstanding borrowings</t>
  </si>
  <si>
    <t>Less: unamortized debt issuance costs</t>
  </si>
  <si>
    <t>Total debt, net</t>
  </si>
  <si>
    <t>Less: current portion of long-term debt</t>
  </si>
  <si>
    <t>Long-term debt, net</t>
  </si>
  <si>
    <t>Secured Debt</t>
  </si>
  <si>
    <t>Line of Credit</t>
  </si>
  <si>
    <t>Outstanding letters of credit</t>
  </si>
  <si>
    <t>Debt - Narrative (Details)</t>
  </si>
  <si>
    <t>Jan. 25, 2023
USD ($)</t>
  </si>
  <si>
    <t>Mar. 17, 2020
USD ($)</t>
  </si>
  <si>
    <t>Jan. 28, 2023
USD ($)</t>
  </si>
  <si>
    <t>May 24, 2019
USD ($)</t>
  </si>
  <si>
    <t>Proceeds from debt drawn down</t>
  </si>
  <si>
    <t>Secured Debt | Term Loan Facility</t>
  </si>
  <si>
    <t>Debt, fair value</t>
  </si>
  <si>
    <t>Secured Debt | FILO Term Loan</t>
  </si>
  <si>
    <t>Refinancing costs</t>
  </si>
  <si>
    <t>Early debt termination fees</t>
  </si>
  <si>
    <t>Amortization of debt discount</t>
  </si>
  <si>
    <t>Secured Debt | Delayed Draw Term Loan Facility</t>
  </si>
  <si>
    <t>Secured Debt | Amended First In, Last Out Term Loan</t>
  </si>
  <si>
    <t>Line of Credit | Revolving Credit Facility | Revolving Credit Facility</t>
  </si>
  <si>
    <t>Line of Credit | Revolving Credit Facility | Letter of Credit</t>
  </si>
  <si>
    <t>Line of Credit | Revolving Credit Facility | Trade Letter Of Credit</t>
  </si>
  <si>
    <t>Line of Credit | Amended Revolving Credit Facility | Revolving Credit Facility</t>
  </si>
  <si>
    <t>Line of Credit | Amended Revolving Credit Facility | Letter of Credit</t>
  </si>
  <si>
    <t>Line of Credit | Amended Revolving Credit Facility | Trade Letter Of Credit</t>
  </si>
  <si>
    <t>Expiration term for trade letters of credit</t>
  </si>
  <si>
    <t>21 days</t>
  </si>
  <si>
    <t>Line of Credit | Third Amendment To The Second Amended And Restated Asset-Based Loan Credit Agreement | Revolving Credit Facility</t>
  </si>
  <si>
    <t>Line of credit, borrowings outstanding</t>
  </si>
  <si>
    <t>Unused line fee payable</t>
  </si>
  <si>
    <t>Debt, covenant, minimum excess availability, amount</t>
  </si>
  <si>
    <t>Debt, covenant, minimum excess availability, percentage</t>
  </si>
  <si>
    <t>Debt, covenant, EBITDA threshold for two consecutive quarters</t>
  </si>
  <si>
    <t>Debt, covenant, minimum excess availability, consecutive trading days</t>
  </si>
  <si>
    <t>30 days</t>
  </si>
  <si>
    <t>Minimum fixed charge coverage ratio</t>
  </si>
  <si>
    <t>Debt default, principal, additional interest rate</t>
  </si>
  <si>
    <t>Debt default, base rate loans, additional interest rate</t>
  </si>
  <si>
    <t>Line of credit, remaining borrowing capacity</t>
  </si>
  <si>
    <t>Line of Credit | Third Amendment To The Second Amended And Restated Asset-Based Loan Credit Agreement | Revolving Credit Facility | Secured Overnight Financing Rate (SOFR)</t>
  </si>
  <si>
    <t>Effective interest rate</t>
  </si>
  <si>
    <t>Line of Credit | Third Amendment To The Second Amended And Restated Asset-Based Loan Credit Agreement | Revolving Credit Facility | Secured Overnight Financing Rate (SOFR) | Minimum</t>
  </si>
  <si>
    <t>Basis spread on variable rate</t>
  </si>
  <si>
    <t>Line of Credit | Third Amendment To The Second Amended And Restated Asset-Based Loan Credit Agreement | Revolving Credit Facility | Secured Overnight Financing Rate (SOFR) | Maximum</t>
  </si>
  <si>
    <t>Line of Credit | Third Amendment To The Second Amended And Restated Asset-Based Loan Credit Agreement | Letter of Credit</t>
  </si>
  <si>
    <t>Stockholders' Equity - Narrative (Details) - USD ($)
$ / shares in Units, shares in Thousands, $ in Millions</t>
  </si>
  <si>
    <t>Class of Stock [Line Items]</t>
  </si>
  <si>
    <t>Stock repurchase program, authorized amount</t>
  </si>
  <si>
    <t>Treasury stock, acquired (in shares)</t>
  </si>
  <si>
    <t>Stock repurchase program, remaining authorized repurchase amount</t>
  </si>
  <si>
    <t>At The Market Offering | Forecast</t>
  </si>
  <si>
    <t>Aggregate purchase price of stock</t>
  </si>
  <si>
    <t>Percentage of ownership after sale of stock</t>
  </si>
  <si>
    <t>Excess consideration received over fair value</t>
  </si>
  <si>
    <t>Long-Term Incentive Compensation - Narrative (Details) - USD ($)
$ / shares in Units, shares in Thousands, $ in Millions</t>
  </si>
  <si>
    <t>Share-based Compensation Arrangement by Share-based Payment Award [Line Items]</t>
  </si>
  <si>
    <t>Increase in shares available for equity-based awards (in shares)</t>
  </si>
  <si>
    <t>Tax benefit from share-based compensation expense</t>
  </si>
  <si>
    <t>Tax benefit from share-based compensation expense, valuation allowance</t>
  </si>
  <si>
    <t>Granted (in shares)</t>
  </si>
  <si>
    <t>Restricted stock units</t>
  </si>
  <si>
    <t>Fair value of options vested</t>
  </si>
  <si>
    <t>Unrecognized share-based compensation expense</t>
  </si>
  <si>
    <t>Granted (in USD per share)</t>
  </si>
  <si>
    <t>Restricted stock units | Minimum</t>
  </si>
  <si>
    <t>Award vesting period</t>
  </si>
  <si>
    <t>1 year</t>
  </si>
  <si>
    <t>Restricted stock units | Maximum</t>
  </si>
  <si>
    <t>Stock options</t>
  </si>
  <si>
    <t>Period for recognition</t>
  </si>
  <si>
    <t>6 months</t>
  </si>
  <si>
    <t>Performance shares, restricted stock units</t>
  </si>
  <si>
    <t>1 year 7 months 6 days</t>
  </si>
  <si>
    <t>Unrecognized compensation costs</t>
  </si>
  <si>
    <t>Performance shares, restricted stock units | Minimum</t>
  </si>
  <si>
    <t>Target percentage of performance-based restricted stock units which can be earned</t>
  </si>
  <si>
    <t>Performance shares, restricted stock units | Maximum</t>
  </si>
  <si>
    <t>Time-Based Cash-Settled Awards</t>
  </si>
  <si>
    <t>1 year 4 months 24 days</t>
  </si>
  <si>
    <t>Performance-Based Cash-Settled Awards</t>
  </si>
  <si>
    <t>2 months 12 days</t>
  </si>
  <si>
    <t>Award performance period</t>
  </si>
  <si>
    <t>2 years</t>
  </si>
  <si>
    <t>Performance-Based Cash-Settled Awards | Minimum</t>
  </si>
  <si>
    <t>Performance-Based Cash-Settled Awards | Maximum</t>
  </si>
  <si>
    <t>Performance-Based Cash-Settled Awards, Granted in 2020</t>
  </si>
  <si>
    <t>Long-Term Incentive Compensation - Cost by Award Type (Details) - USD ($)
$ in Thousands</t>
  </si>
  <si>
    <t>Long-term incentive compensation</t>
  </si>
  <si>
    <t>Performance-based restricted stock units</t>
  </si>
  <si>
    <t>Cash-settled awards</t>
  </si>
  <si>
    <t>Long-Term Incentive Compensation - Restricted Stock Units (Details) - Restricted stock units
shares in Thousands</t>
  </si>
  <si>
    <t>Jan. 28, 2023
$ / shares
shares</t>
  </si>
  <si>
    <t>Number of Shares</t>
  </si>
  <si>
    <t>Unvested at beginning of period (in shares) | shares</t>
  </si>
  <si>
    <t>Granted (in shares) | shares</t>
  </si>
  <si>
    <t>Vested (in shares) | shares</t>
  </si>
  <si>
    <t>Forfeited (in shares) | shares</t>
  </si>
  <si>
    <t>Unvested at end of period (in shares) | shares</t>
  </si>
  <si>
    <t>Grant Date Weighted Average Fair Value</t>
  </si>
  <si>
    <t>Grant date weighted average fair value at beginning of period (in USD per share) | $ / shares</t>
  </si>
  <si>
    <t>Granted (in USD per share) | $ / shares</t>
  </si>
  <si>
    <t>Vested (in USD per share) | $ / shares</t>
  </si>
  <si>
    <t>Forfeited (in USD per share) | $ / shares</t>
  </si>
  <si>
    <t>Grant date weighted average fair value at end of period (in USD per share) | $ / shares</t>
  </si>
  <si>
    <t>Long-Term Incentive Compensation - Schedule of Stock Options Activity (Details)
$ / shares in Units, shares in Thousands, $ in Thousands</t>
  </si>
  <si>
    <t>Jan. 28, 2023
USD ($)
$ / shares
shares</t>
  </si>
  <si>
    <t>Outstanding at beginning of period (in shares) | shares</t>
  </si>
  <si>
    <t>Exercised (in shares) | shares</t>
  </si>
  <si>
    <t>Forfeited or expired (in shares) | shares</t>
  </si>
  <si>
    <t>Outstanding at end of period (in shares) | shares</t>
  </si>
  <si>
    <t>Expected to vest at end of period (in shares) | shares</t>
  </si>
  <si>
    <t>Exercisable at end of period (in shares) | shares</t>
  </si>
  <si>
    <t>Grant Date Weighted Average Exercise Price</t>
  </si>
  <si>
    <t>Weighted average exercise price of beginning of period (in USD per share) | $ / shares</t>
  </si>
  <si>
    <t>Exercised (in USD per share) | $ / shares</t>
  </si>
  <si>
    <t>Forfeited or expired (in USD per share) | $ / shares</t>
  </si>
  <si>
    <t>Weighted average exercise price of end of period (in USD per share) | $ / shares</t>
  </si>
  <si>
    <t>Expected to vest at end of period (in USD per share) | $ / shares</t>
  </si>
  <si>
    <t>Exercisable at end of period (in USD per share) | $ / shares</t>
  </si>
  <si>
    <t>Weighted-Average Remaining Contractual Life (in years)</t>
  </si>
  <si>
    <t>Outstanding at end of period</t>
  </si>
  <si>
    <t>5 years 9 months 18 days</t>
  </si>
  <si>
    <t>Expected to vest at end of period</t>
  </si>
  <si>
    <t>6 years 6 months</t>
  </si>
  <si>
    <t>Exercisable at end of period</t>
  </si>
  <si>
    <t>5 years 8 months 12 days</t>
  </si>
  <si>
    <t>Aggregate Intrinsic Value</t>
  </si>
  <si>
    <t>Outstanding at end of period | $</t>
  </si>
  <si>
    <t>Expected to vest at end of period | $</t>
  </si>
  <si>
    <t>Exercisable at end of period | $</t>
  </si>
  <si>
    <t>Earnings Per Share (Details) - shares
shares in Thousands</t>
  </si>
  <si>
    <t>Antidilutive Securities Excluded from Computation of Earnings Per Share [Line Items]</t>
  </si>
  <si>
    <t>Weighted-average shares - basic (in shares)</t>
  </si>
  <si>
    <t>Dilutive effect of stock options, restricted stock units, and restricted stock (in shares)</t>
  </si>
  <si>
    <t>Weighted-average shares - diluted (in shares)</t>
  </si>
  <si>
    <t>Potentially dilutive securities (in shares)</t>
  </si>
  <si>
    <t>Retirement Benefits (Details) - USD ($)
$ in Millions</t>
  </si>
  <si>
    <t>Employee contributions percentage (up to)</t>
  </si>
  <si>
    <t>Employer match</t>
  </si>
  <si>
    <t>Terminology</t>
  </si>
  <si>
    <t>random jargon</t>
  </si>
  <si>
    <t>BOOKS &amp; ARTICLES</t>
  </si>
  <si>
    <t>coding</t>
  </si>
  <si>
    <t>HELP</t>
  </si>
  <si>
    <t>(STM)</t>
  </si>
  <si>
    <t>Software as a service (SaaS)</t>
  </si>
  <si>
    <t>Secrets of Successful Traders</t>
  </si>
  <si>
    <t>web server machine</t>
  </si>
  <si>
    <t>Simple way to select and edit range</t>
  </si>
  <si>
    <t>*Revenues Avg3</t>
  </si>
  <si>
    <t>INTERPOL wanted list</t>
  </si>
  <si>
    <t>formula help</t>
  </si>
  <si>
    <t>5 C's of Credit</t>
  </si>
  <si>
    <t>b2b marketing</t>
  </si>
  <si>
    <t>Absolute return</t>
  </si>
  <si>
    <t>p2p</t>
  </si>
  <si>
    <t>Accounts Receivabe &gt;90%ile</t>
  </si>
  <si>
    <t>chimerical,</t>
  </si>
  <si>
    <t>accruals</t>
  </si>
  <si>
    <t>heuristics</t>
  </si>
  <si>
    <t>Accumulated Depreciation</t>
  </si>
  <si>
    <t>Complex adaptive systems</t>
  </si>
  <si>
    <t>Accumulated Other Comprehensive Income (AOCI)</t>
  </si>
  <si>
    <t>non-linearity</t>
  </si>
  <si>
    <t>Acid Test Ratio</t>
  </si>
  <si>
    <t>linear regression</t>
  </si>
  <si>
    <t>Actionable</t>
  </si>
  <si>
    <t>decile</t>
  </si>
  <si>
    <t>Activity-Based Costing</t>
  </si>
  <si>
    <t>illusory</t>
  </si>
  <si>
    <t>Adjusted Gross Income</t>
  </si>
  <si>
    <t>diversity loss</t>
  </si>
  <si>
    <t>Altman Z' Score</t>
  </si>
  <si>
    <t>apophenia</t>
  </si>
  <si>
    <t>Altman Z'' Score</t>
  </si>
  <si>
    <t>breadth</t>
  </si>
  <si>
    <t>Analysis Framework</t>
  </si>
  <si>
    <t>frequency matching</t>
  </si>
  <si>
    <t>Annual Recurring Revenue (ARR)</t>
  </si>
  <si>
    <t>pattern recognition</t>
  </si>
  <si>
    <t>Ansoff Matrix</t>
  </si>
  <si>
    <t>incorrigible</t>
  </si>
  <si>
    <t>Asset Quality Index (AQI)</t>
  </si>
  <si>
    <t>econometrics</t>
  </si>
  <si>
    <t>Assets</t>
  </si>
  <si>
    <t>Assets Revaluation</t>
  </si>
  <si>
    <t>Assets/sh</t>
  </si>
  <si>
    <t>Assumptions/Drivers of a Financial Model</t>
  </si>
  <si>
    <t>Available Core Funding (ACF)</t>
  </si>
  <si>
    <t>Average inventory</t>
  </si>
  <si>
    <t>Avg Yield of AAA Corp Bonds</t>
  </si>
  <si>
    <t>Balance Sheet LHS</t>
  </si>
  <si>
    <t>Barriers to entry</t>
  </si>
  <si>
    <t>base rates</t>
  </si>
  <si>
    <t>Beachhead</t>
  </si>
  <si>
    <t>Begin Inventory</t>
  </si>
  <si>
    <t>Beneish M-Score</t>
  </si>
  <si>
    <t>Benford’s Law</t>
  </si>
  <si>
    <t>BM Earnings</t>
  </si>
  <si>
    <t>bm EPS</t>
  </si>
  <si>
    <t>bm EPS Avg3</t>
  </si>
  <si>
    <t>bm ROE 3yr %</t>
  </si>
  <si>
    <t>bm ROE 5yr %</t>
  </si>
  <si>
    <t>Bondholder</t>
  </si>
  <si>
    <t>Bonds</t>
  </si>
  <si>
    <t>Book</t>
  </si>
  <si>
    <t>Book Value</t>
  </si>
  <si>
    <t>Book Value of Debt</t>
  </si>
  <si>
    <t>Book Value per Share (B/S)</t>
  </si>
  <si>
    <t>Book Value/Price of Share (B/P)</t>
  </si>
  <si>
    <t>BS RHS</t>
  </si>
  <si>
    <t>Burn Multiple</t>
  </si>
  <si>
    <t>Burn Rate</t>
  </si>
  <si>
    <t>Burn rate vs. earned value</t>
  </si>
  <si>
    <t>Burn Rate, Projected</t>
  </si>
  <si>
    <t>C/SCSC (Cost/Schedule Control Systems Criteria)</t>
  </si>
  <si>
    <t>CAN SLIM system</t>
  </si>
  <si>
    <t>Cap Ex = Acc net Cap Ex(255) + Acquisitions (3975) + R&amp;D (2216)</t>
  </si>
  <si>
    <t>CapEx</t>
  </si>
  <si>
    <t>CapEx + Net Acq/D?</t>
  </si>
  <si>
    <t>CapEx + NetAcqs</t>
  </si>
  <si>
    <t>CapEx Avg3 /sh</t>
  </si>
  <si>
    <t>Capital /sh*</t>
  </si>
  <si>
    <t>Capital Asset Pricing Model (CAPM)</t>
  </si>
  <si>
    <t>Capital Expenditure Coverage Ratio</t>
  </si>
  <si>
    <t>Capital Structure</t>
  </si>
  <si>
    <t>Capitalization of Expenses</t>
  </si>
  <si>
    <t>Casey Free Ride “CFR” Method</t>
  </si>
  <si>
    <t>Cash (and cash equivalents)</t>
  </si>
  <si>
    <t>Cash Flow from Financing (CFF)</t>
  </si>
  <si>
    <t>Cash Flow from Investing (CFI)</t>
  </si>
  <si>
    <t>Cash Flow Model, Excess</t>
  </si>
  <si>
    <t>cash flow return on investment (CFROI)</t>
  </si>
  <si>
    <t>Cash Runway</t>
  </si>
  <si>
    <t>Cash Runway, Implied</t>
  </si>
  <si>
    <t>cash/price</t>
  </si>
  <si>
    <t>cash/sales</t>
  </si>
  <si>
    <t xml:space="preserve">causality </t>
  </si>
  <si>
    <t>CET1</t>
  </si>
  <si>
    <t>cf/p</t>
  </si>
  <si>
    <t>cfEBIT adj / TQ</t>
  </si>
  <si>
    <t>CFO</t>
  </si>
  <si>
    <t>CFO Avg3 / Net Com Ove*</t>
  </si>
  <si>
    <t>CFO Margin</t>
  </si>
  <si>
    <t>CFO Margin Avg3</t>
  </si>
  <si>
    <t>chart</t>
  </si>
  <si>
    <t>Capital Asset Pricing Model, Classical (CCAPM)</t>
  </si>
  <si>
    <t>Clustered Volatility</t>
  </si>
  <si>
    <t>COGS</t>
  </si>
  <si>
    <t>Coincident Indicator</t>
  </si>
  <si>
    <t>Common NetInc</t>
  </si>
  <si>
    <t>Competitive Position</t>
  </si>
  <si>
    <t>Comprehensive Income Statement</t>
  </si>
  <si>
    <t>Comprehensive Income, -AOCI?</t>
  </si>
  <si>
    <t>Comprehensive Income, "statement of" Other  -AOCI?</t>
  </si>
  <si>
    <t>Comprehensive Income, Total</t>
  </si>
  <si>
    <t>Core Funding Ratio (CFR)</t>
  </si>
  <si>
    <t>Cost Behavior Analysis</t>
  </si>
  <si>
    <t>Cost of Debt</t>
  </si>
  <si>
    <t>Cost of Sales</t>
  </si>
  <si>
    <t>Country Risk Premium (CRP)</t>
  </si>
  <si>
    <t>Credit Risk Score (CRS)</t>
  </si>
  <si>
    <t>CROIC</t>
  </si>
  <si>
    <t>CROIC Avg3</t>
  </si>
  <si>
    <t>CROSIC Avg3??</t>
  </si>
  <si>
    <t>Cross-currency interest rate swap (CIRS)</t>
  </si>
  <si>
    <t>cumulative abnormal stock returns</t>
  </si>
  <si>
    <t>Curr Other Lia</t>
  </si>
  <si>
    <t>Current Assets</t>
  </si>
  <si>
    <t>D/E</t>
  </si>
  <si>
    <t xml:space="preserve"> </t>
  </si>
  <si>
    <t>Damoradan Advanced Valuation Ratios</t>
  </si>
  <si>
    <t>Days of Inventory Outstanding (DIO)</t>
  </si>
  <si>
    <t>Days of Payables Outstanding (DPO)</t>
  </si>
  <si>
    <t>Days of Sales Outstanding (DSO)</t>
  </si>
  <si>
    <t>Days Sales in Receivables Index (DSRI)</t>
  </si>
  <si>
    <t>Days Sales Outstanding</t>
  </si>
  <si>
    <t>Debentures</t>
  </si>
  <si>
    <t>Debt Capacity</t>
  </si>
  <si>
    <t>Debt Service Coverage Ratio (DSCR)</t>
  </si>
  <si>
    <t>Debt Window Dressing</t>
  </si>
  <si>
    <t>Def Revs</t>
  </si>
  <si>
    <t>Definite-lived Intangible Assets</t>
  </si>
  <si>
    <t>Depr &amp; Amort</t>
  </si>
  <si>
    <t>Depreciation Index</t>
  </si>
  <si>
    <t>Depreciation Index (DEPI)</t>
  </si>
  <si>
    <t>Derivatives/Equity %</t>
  </si>
  <si>
    <t>Dilution</t>
  </si>
  <si>
    <t>Direct Costs</t>
  </si>
  <si>
    <t>Discont Com NetInc</t>
  </si>
  <si>
    <t>Discontinued Operations</t>
  </si>
  <si>
    <t>Discount at WACC</t>
  </si>
  <si>
    <t>Discount at WACC= Cost of Equity (Equity/(Debt + Equity)) + Cost of Debt (Debt/(Debt+ Equity))</t>
  </si>
  <si>
    <t>discounted cash flow model</t>
  </si>
  <si>
    <t>Distribution Yield (yield %)</t>
  </si>
  <si>
    <t>Div /sh</t>
  </si>
  <si>
    <t>dividend discount model</t>
  </si>
  <si>
    <t>Dividend Yield</t>
  </si>
  <si>
    <t>Dividends</t>
  </si>
  <si>
    <t>Duration to Effort Hour (DEH)</t>
  </si>
  <si>
    <t>Earned Value Analysis (EVA)</t>
  </si>
  <si>
    <t>earnings to price (e/p)</t>
  </si>
  <si>
    <t>EBIAT (NOPAT)</t>
  </si>
  <si>
    <t>EBIT</t>
  </si>
  <si>
    <t>EBIT Margin</t>
  </si>
  <si>
    <t>EBITA</t>
  </si>
  <si>
    <t>EBITDA</t>
  </si>
  <si>
    <t>EBITDA /sh</t>
  </si>
  <si>
    <t>EBITDA Avg3 /sh</t>
  </si>
  <si>
    <t>EBITDA Avg7 /sh</t>
  </si>
  <si>
    <t>EBITDA Margin</t>
  </si>
  <si>
    <t>EBITDA margin expansion (as % of gdp)</t>
  </si>
  <si>
    <t>ebitda/e</t>
  </si>
  <si>
    <t>Effective CTA</t>
  </si>
  <si>
    <t>Effective Yield</t>
  </si>
  <si>
    <t>employees/revenues</t>
  </si>
  <si>
    <t>Ending Inventory</t>
  </si>
  <si>
    <t xml:space="preserve">Enterprise Value (EV) </t>
  </si>
  <si>
    <t>Enterprise Value Multiplier</t>
  </si>
  <si>
    <t>EPS (TTM)</t>
  </si>
  <si>
    <t>EPS Growth</t>
  </si>
  <si>
    <t>Equity</t>
  </si>
  <si>
    <t>Equity Multiplier</t>
  </si>
  <si>
    <t>Equity Risk Premium (ERP)</t>
  </si>
  <si>
    <t>Equity Settlement Cycle</t>
  </si>
  <si>
    <t>Estimated free cash flow yield</t>
  </si>
  <si>
    <t>Estimated unlevered free cash flow to enterprise value</t>
  </si>
  <si>
    <t>EV/EBITD*</t>
  </si>
  <si>
    <t>EV/FCF</t>
  </si>
  <si>
    <t>EV/NTM Revenue</t>
  </si>
  <si>
    <t>Excess C?*, Net</t>
  </si>
  <si>
    <t>Excess Capital Raising Model</t>
  </si>
  <si>
    <t>Excess Cash</t>
  </si>
  <si>
    <t>Excess Cash &amp; ST</t>
  </si>
  <si>
    <t>Excess Payables</t>
  </si>
  <si>
    <t>Executive Compensation</t>
  </si>
  <si>
    <t>Exit Multiple Method</t>
  </si>
  <si>
    <t>Expectations</t>
  </si>
  <si>
    <t>Expected Net Present Value</t>
  </si>
  <si>
    <t>Expense Ratio</t>
  </si>
  <si>
    <t>Exposure at Default (EAD)</t>
  </si>
  <si>
    <t>Extend &amp; Pretend</t>
  </si>
  <si>
    <t>extrapolate</t>
  </si>
  <si>
    <t>Fake Cash Flow Fraud Model</t>
  </si>
  <si>
    <t>Fat Tails</t>
  </si>
  <si>
    <t>FCF-WACC X IC</t>
  </si>
  <si>
    <t>FCF~~~ Either of the above minus cost of capital</t>
  </si>
  <si>
    <t>fcff/EBIT (1-t)
- (Cap Ex - Depr)
- Change in WC</t>
  </si>
  <si>
    <t>Fixed Assets</t>
  </si>
  <si>
    <t>Floating Rate Notes (FRN)</t>
  </si>
  <si>
    <t>Free Cash Flow / Equity (FCFE)</t>
  </si>
  <si>
    <t>Free Cash Flow / Firms (FCFF)</t>
  </si>
  <si>
    <t>Free Cash Flow Yield</t>
  </si>
  <si>
    <t>Free Cash Flow Yield (EV)</t>
  </si>
  <si>
    <t>Free Cash Flow, Unlevered (UFCF)</t>
  </si>
  <si>
    <t>Friendly (Takeover) Bid</t>
  </si>
  <si>
    <t>Full-Time Equivalency Hours (FTE)</t>
  </si>
  <si>
    <t>Fundraising Activities</t>
  </si>
  <si>
    <t>Gearing Ratio</t>
  </si>
  <si>
    <t>Gross book value (GBV)</t>
  </si>
  <si>
    <t>Gross Burn</t>
  </si>
  <si>
    <t>Gross Debt Service (GDS) Ratio</t>
  </si>
  <si>
    <t>Gross Earnings</t>
  </si>
  <si>
    <t>Gross Inc / TO</t>
  </si>
  <si>
    <t>Gross Margin Avg3</t>
  </si>
  <si>
    <t>Gross Margin Index (GMI)</t>
  </si>
  <si>
    <t>Growth Rate, Compound Annual (CAGR%) xirr(</t>
  </si>
  <si>
    <t>Growth Rate, Risk-Adjusted Compound Annual</t>
  </si>
  <si>
    <t>Guidance</t>
  </si>
  <si>
    <t>heirarchcical</t>
  </si>
  <si>
    <t>Hostile Bid</t>
  </si>
  <si>
    <t>IC</t>
  </si>
  <si>
    <t>Implied Valutaion per Share</t>
  </si>
  <si>
    <t>Implied YTM/STM</t>
  </si>
  <si>
    <t>Income from Continuing Operations ?</t>
  </si>
  <si>
    <t>Income from Continuing Operations, Net ?</t>
  </si>
  <si>
    <t>Income statement</t>
  </si>
  <si>
    <t>Indenture</t>
  </si>
  <si>
    <t>Int Coverage - CFO + Int</t>
  </si>
  <si>
    <t>Intangibles</t>
  </si>
  <si>
    <t>Intangibles/Sales %</t>
  </si>
  <si>
    <t>Interest Rate Benchmark</t>
  </si>
  <si>
    <t>Intrinsic Value</t>
  </si>
  <si>
    <t>intrinsic value</t>
  </si>
  <si>
    <t>Issuer</t>
  </si>
  <si>
    <t>Lagging Indicator</t>
  </si>
  <si>
    <t>Last Twelve Months (LTM)</t>
  </si>
  <si>
    <t>Leading Indicator</t>
  </si>
  <si>
    <t>Leverage (OA/Bk)</t>
  </si>
  <si>
    <t>Leverage Index (LVGI)</t>
  </si>
  <si>
    <t>Leveraged loan</t>
  </si>
  <si>
    <t>Leveraged Loan Default Rate</t>
  </si>
  <si>
    <t>Leveraged Loan Market</t>
  </si>
  <si>
    <t>Levereaged Buyout (LBO)</t>
  </si>
  <si>
    <t>Levered Beta</t>
  </si>
  <si>
    <t>Logjam</t>
  </si>
  <si>
    <t>LT Debt</t>
  </si>
  <si>
    <t>LT Inv</t>
  </si>
  <si>
    <t>LT Other Assets</t>
  </si>
  <si>
    <t>LT Other Liabs</t>
  </si>
  <si>
    <t>LTM EBITDA</t>
  </si>
  <si>
    <t>Mark-to-market</t>
  </si>
  <si>
    <t>Market Value of Debt</t>
  </si>
  <si>
    <t>Market Value of Equity</t>
  </si>
  <si>
    <t>Market-to-book</t>
  </si>
  <si>
    <t>Master Limited Partnership (MLP)</t>
  </si>
  <si>
    <t>max3</t>
  </si>
  <si>
    <t>Middle Market</t>
  </si>
  <si>
    <t>minimum-variance portfolio inspired by Modern Portfolio Theory</t>
  </si>
  <si>
    <t>mktCap / EV</t>
  </si>
  <si>
    <t>Monteirs C-Score</t>
  </si>
  <si>
    <t>Moody's Seasoned Aaa Corporate Bond Yield?</t>
  </si>
  <si>
    <t>MSFCF Acqs</t>
  </si>
  <si>
    <t>multivariate linear regression model</t>
  </si>
  <si>
    <t>NCF</t>
  </si>
  <si>
    <t>NCF Margin</t>
  </si>
  <si>
    <t>NCF Margin Avg3</t>
  </si>
  <si>
    <t>Net Acqs / Divests</t>
  </si>
  <si>
    <t>Net Asset Value (NAV)</t>
  </si>
  <si>
    <t>Net Assets</t>
  </si>
  <si>
    <t>Net Burn</t>
  </si>
  <si>
    <t>Net Com Ov / Assets</t>
  </si>
  <si>
    <t>Net Common Overhang</t>
  </si>
  <si>
    <t>Net Debt / EBIT</t>
  </si>
  <si>
    <t>Net free cash flow yield</t>
  </si>
  <si>
    <t>Net free cash flow yield minus equity costs</t>
  </si>
  <si>
    <t>Net Inc Margin</t>
  </si>
  <si>
    <t>Net Income (Earnings)</t>
  </si>
  <si>
    <t>Net Income from Discontinued Operations</t>
  </si>
  <si>
    <t>Net Income/EBT(does EBT = income before taxes?)</t>
  </si>
  <si>
    <t>Net Long Term Debt</t>
  </si>
  <si>
    <t>Net Operating Assets</t>
  </si>
  <si>
    <t>Net Operating Income (NOI)</t>
  </si>
  <si>
    <t>Net Present Value (NPV)</t>
  </si>
  <si>
    <t>DSCR = Net Operating Income/Total Debt Service</t>
  </si>
  <si>
    <t>NOI</t>
  </si>
  <si>
    <t>TDS (NetInt-PrincipalPayments)</t>
  </si>
  <si>
    <t>Operating Revs - Operating Exp</t>
  </si>
  <si>
    <t>Op Rev</t>
  </si>
  <si>
    <t>Net-Net /sh</t>
  </si>
  <si>
    <t>Op Exp</t>
  </si>
  <si>
    <t>Next Twelve Months (NTM)</t>
  </si>
  <si>
    <t>Net Interest Expense</t>
  </si>
  <si>
    <t>Non-Common Equities</t>
  </si>
  <si>
    <t>Principle Payments</t>
  </si>
  <si>
    <t>Non-Current (Long-Term) Liabilities</t>
  </si>
  <si>
    <t>non-linear financials</t>
  </si>
  <si>
    <t>Non-Operating Cost</t>
  </si>
  <si>
    <t>Normalized EBITDA</t>
  </si>
  <si>
    <t>Note</t>
  </si>
  <si>
    <t>NTM Revenue</t>
  </si>
  <si>
    <t>Omega Ratio</t>
  </si>
  <si>
    <t>Omnichannel</t>
  </si>
  <si>
    <t>operating assets</t>
  </si>
  <si>
    <t>Operating Cash Flow (OCF), Cash Flow per share</t>
  </si>
  <si>
    <t>Operating Cash Flow Sales Ratio</t>
  </si>
  <si>
    <t>Operating Cost</t>
  </si>
  <si>
    <t>Operating Cycle</t>
  </si>
  <si>
    <t>Operating Expenses (OpEx)</t>
  </si>
  <si>
    <t>Operating Income (EBIT)</t>
  </si>
  <si>
    <t>Operating Margin</t>
  </si>
  <si>
    <t>Operating Revenues</t>
  </si>
  <si>
    <t>Oppurtunity Cost</t>
  </si>
  <si>
    <t>Order Book</t>
  </si>
  <si>
    <t>Origination</t>
  </si>
  <si>
    <t>Outstanding Letter of Credit Balance</t>
  </si>
  <si>
    <t>Outstanding Letters of Credit</t>
  </si>
  <si>
    <t>Outstanding shares</t>
  </si>
  <si>
    <t>Overhang</t>
  </si>
  <si>
    <t>Overhang (Dilution)</t>
  </si>
  <si>
    <t xml:space="preserve">Owners EArning = op cash flow - maintenance cap ex </t>
  </si>
  <si>
    <t>P/E 10</t>
  </si>
  <si>
    <t>P/E 30</t>
  </si>
  <si>
    <t>P/FCF</t>
  </si>
  <si>
    <t>pari-mutuel</t>
  </si>
  <si>
    <t>Payables</t>
  </si>
  <si>
    <t>PEG Ratio</t>
  </si>
  <si>
    <t>Percentage of Dedication</t>
  </si>
  <si>
    <t>Period Ending</t>
  </si>
  <si>
    <t>Perpetuity Growth Model(Gordon Growth Model)</t>
  </si>
  <si>
    <t>PESTEL Analysis</t>
  </si>
  <si>
    <t>Piotroski F-score</t>
  </si>
  <si>
    <t>PMS/P</t>
  </si>
  <si>
    <t>PMS/P + D</t>
  </si>
  <si>
    <t>Porter's five forces analysis</t>
  </si>
  <si>
    <t>pre-order book</t>
  </si>
  <si>
    <t>Pre-Tax Income (EBT)</t>
  </si>
  <si>
    <t>Preferred Shares</t>
  </si>
  <si>
    <t>Price Fair Value</t>
  </si>
  <si>
    <t>Price/Earnings</t>
  </si>
  <si>
    <t>Price/Earnings (TTM)</t>
  </si>
  <si>
    <t>Price/Tangible Book Value</t>
  </si>
  <si>
    <t>Pricing Power</t>
  </si>
  <si>
    <t>Principle Payment</t>
  </si>
  <si>
    <t>Probability of Default</t>
  </si>
  <si>
    <t>Proceeds From Borrowings</t>
  </si>
  <si>
    <t>Profit Manipulation: Gross Working Capital</t>
  </si>
  <si>
    <t>Profit Margin(Net Inc Margin)</t>
  </si>
  <si>
    <t>Provision for Income Taxes</t>
  </si>
  <si>
    <t>PTBV</t>
  </si>
  <si>
    <t>Qualified Dividend</t>
  </si>
  <si>
    <t>Qualitative Analysis</t>
  </si>
  <si>
    <t>Quantitative Analysis</t>
  </si>
  <si>
    <t>R&amp;D Expenses</t>
  </si>
  <si>
    <t>R&amp;D Margin</t>
  </si>
  <si>
    <t>Rebalancing</t>
  </si>
  <si>
    <t>Receivables</t>
  </si>
  <si>
    <t>Receny, Frequency, Monetary Value (RFM)</t>
  </si>
  <si>
    <t>Recovery Rate</t>
  </si>
  <si>
    <t>Refinancing</t>
  </si>
  <si>
    <t>Registered Security</t>
  </si>
  <si>
    <t>Relative Value</t>
  </si>
  <si>
    <t>Required Core Funding (RCF)</t>
  </si>
  <si>
    <t>Restructuring</t>
  </si>
  <si>
    <t>Restructuring Cost</t>
  </si>
  <si>
    <t>Retention Rate</t>
  </si>
  <si>
    <t>Return on Common Equity(ROCE)</t>
  </si>
  <si>
    <t>Return on Invested Capital (ROIC)</t>
  </si>
  <si>
    <t>Revenue</t>
  </si>
  <si>
    <t>Revenues/Net Com Over</t>
  </si>
  <si>
    <t>Revenues/share</t>
  </si>
  <si>
    <t>Reverse Stock Split</t>
  </si>
  <si>
    <t>Revolving Credit Facilites</t>
  </si>
  <si>
    <t>Risk-Return Trade Off</t>
  </si>
  <si>
    <t>ROA</t>
  </si>
  <si>
    <t>ROE**</t>
  </si>
  <si>
    <t>ROIC - WACC:EV(enterprise value)-IC(invested cap)</t>
  </si>
  <si>
    <t>ROIC Avg3</t>
  </si>
  <si>
    <t>Rule 10b5-1</t>
  </si>
  <si>
    <t>Sales Growth Index (SGI)</t>
  </si>
  <si>
    <t>Sales, General and Administrative Expenses Index (SGAI)</t>
  </si>
  <si>
    <t>Sales/Price</t>
  </si>
  <si>
    <t>Sales/Price + D</t>
  </si>
  <si>
    <t>SECF</t>
  </si>
  <si>
    <t>Second-lien debt (SLD)</t>
  </si>
  <si>
    <t>Second-lien debt/EBITDA (SLD/EBITDA)</t>
  </si>
  <si>
    <t>Secured Overnight Financing Rate (“SOFR”) interest rate benchmark</t>
  </si>
  <si>
    <t>SFCF Margin</t>
  </si>
  <si>
    <t>SFCF Margin Avg3</t>
  </si>
  <si>
    <t>SG&amp;A Margin</t>
  </si>
  <si>
    <t>Shadow default rate</t>
  </si>
  <si>
    <t>Shareholders' Equity</t>
  </si>
  <si>
    <t>Sharpe Ratio</t>
  </si>
  <si>
    <t>Short Interest</t>
  </si>
  <si>
    <t>Single-name total rate of return swaps (TRS)</t>
  </si>
  <si>
    <t>slippage assumptions</t>
  </si>
  <si>
    <t>slippage-free monthly rebalancing</t>
  </si>
  <si>
    <t>Speculative grade</t>
  </si>
  <si>
    <t>Spread</t>
  </si>
  <si>
    <t>Spread/Yield to call (STC/YTC)</t>
  </si>
  <si>
    <t>Springing liens/Collateral release requirement</t>
  </si>
  <si>
    <t>ST Debt</t>
  </si>
  <si>
    <t>ST Other Liab</t>
  </si>
  <si>
    <t>Standard Deviation of Sales</t>
  </si>
  <si>
    <t>SuperCore Inflation</t>
  </si>
  <si>
    <t>Survivorship Bias</t>
  </si>
  <si>
    <t>Swap Spread</t>
  </si>
  <si>
    <t>Swaps, Rate Anticipation (RAS)</t>
  </si>
  <si>
    <t>Swaps, Total Return (TRS)</t>
  </si>
  <si>
    <t>SWOT Analysis</t>
  </si>
  <si>
    <t>Synergy</t>
  </si>
  <si>
    <t>Synergy, Financial</t>
  </si>
  <si>
    <t>Systemic Risk</t>
  </si>
  <si>
    <t>T+1 Settlement Cycle</t>
  </si>
  <si>
    <t>T+2 Settlement Cycle</t>
  </si>
  <si>
    <t>Takeover Bid (Friendly,Hostile,Reverse,Backflip)</t>
  </si>
  <si>
    <t>Tang Book</t>
  </si>
  <si>
    <t>Tang Book /sh</t>
  </si>
  <si>
    <t>Tangible Assets</t>
  </si>
  <si>
    <t>Tax Assets</t>
  </si>
  <si>
    <t>Tax Liabs</t>
  </si>
  <si>
    <t>TBM Earnings</t>
  </si>
  <si>
    <t>tbm EPS</t>
  </si>
  <si>
    <t>tbm ROE 3yr %</t>
  </si>
  <si>
    <t>tbm ROE 5yr %</t>
  </si>
  <si>
    <t>Terminal Value= FCFF n+1/(r-gn)</t>
  </si>
  <si>
    <t>The Funding Process</t>
  </si>
  <si>
    <t>Theil-Sen estimation</t>
  </si>
  <si>
    <t>threshold</t>
  </si>
  <si>
    <t>Total Accruals to Total Assets (TATA)</t>
  </si>
  <si>
    <t>Total Addressable Market (TAM)</t>
  </si>
  <si>
    <t>Total Assets</t>
  </si>
  <si>
    <t>Total Debt</t>
  </si>
  <si>
    <t>Total Debt Service</t>
  </si>
  <si>
    <t>Total Debt Service (TDS) Ratio</t>
  </si>
  <si>
    <t>Total(Net) Fixed Assets</t>
  </si>
  <si>
    <t>Treasury Bills</t>
  </si>
  <si>
    <t>Trustee</t>
  </si>
  <si>
    <t>TTM Revenue?</t>
  </si>
  <si>
    <t>Turnover</t>
  </si>
  <si>
    <t>Turnover Avg3</t>
  </si>
  <si>
    <t>Underwriting Discount</t>
  </si>
  <si>
    <t>Unearned Revenue</t>
  </si>
  <si>
    <t>Unlevered Beta</t>
  </si>
  <si>
    <t>Unlevered free cash flow to enterprise value</t>
  </si>
  <si>
    <t>Unsystemic Risk</t>
  </si>
  <si>
    <t>Unweighted Average # Outstanding Shares</t>
  </si>
  <si>
    <t>Upside Maximizer (UM)</t>
  </si>
  <si>
    <t>Valuation Multiple</t>
  </si>
  <si>
    <t>Valuation Ratio</t>
  </si>
  <si>
    <t>Value of Operating Assets + Cash &amp; Non-op Assets = Value of Firm - Value of Debt = Value of Equity</t>
  </si>
  <si>
    <t>value proposition</t>
  </si>
  <si>
    <t>value ratios</t>
  </si>
  <si>
    <t>variable position sizing</t>
  </si>
  <si>
    <t>Venture Capital Due Diligence</t>
  </si>
  <si>
    <t>Venture Debt</t>
  </si>
  <si>
    <t>Weighted Average # Outstanding Shares</t>
  </si>
  <si>
    <t>White elephant</t>
  </si>
  <si>
    <t>Working Capital</t>
  </si>
  <si>
    <t>Working Capital /sh</t>
  </si>
  <si>
    <t>Working Capital, Net</t>
  </si>
  <si>
    <t>Year Ending</t>
  </si>
  <si>
    <t>Yield to Maturity (YTM)</t>
  </si>
  <si>
    <t>Zombie Meter</t>
  </si>
  <si>
    <t>Tranche</t>
  </si>
  <si>
    <t>Current expected credit losses</t>
  </si>
  <si>
    <t>Provisions</t>
  </si>
  <si>
    <t>Fama and French Three Factor Model</t>
  </si>
  <si>
    <t>Outside View</t>
  </si>
  <si>
    <t>Efficient Frontier</t>
  </si>
  <si>
    <t>High Minus Low (HML)</t>
  </si>
  <si>
    <t>Small Minus Big (SMB)</t>
  </si>
  <si>
    <t>Modern Portfolio Theory</t>
  </si>
  <si>
    <t>Capital Market Line (CML)</t>
  </si>
  <si>
    <t>Gamma Ramp</t>
  </si>
  <si>
    <t>Delta Distribution Curve</t>
  </si>
  <si>
    <t>Gamma Squeeze</t>
  </si>
  <si>
    <t>market tide</t>
  </si>
  <si>
    <t>Questions to ask about why to buy or sell a stock</t>
  </si>
  <si>
    <t xml:space="preserve">Interrogative determiners: Who what where why when can will </t>
  </si>
  <si>
    <t>1. Screening Requirements</t>
  </si>
  <si>
    <t>Bond info</t>
  </si>
  <si>
    <t>2. Holding Requirements</t>
  </si>
  <si>
    <t>quickly see the company’s historical return on equity.</t>
  </si>
  <si>
    <t>3. Selling Requirements</t>
  </si>
  <si>
    <t>I wanted to quickly see how these numbers compare to the other companies in the industry.</t>
  </si>
  <si>
    <t>-Think about adding data about insiders CEO quality etc</t>
  </si>
  <si>
    <t>if their profit margin was growing</t>
  </si>
  <si>
    <t>-Catalysts</t>
  </si>
  <si>
    <t>show me whether the company can make its debt payments.</t>
  </si>
  <si>
    <t>-Integrate API</t>
  </si>
  <si>
    <t>if the stock is undervalued based on a detailed discounted cash flow valuation.</t>
  </si>
  <si>
    <t>-Intregrate Scrapes</t>
  </si>
  <si>
    <t>Is the current P/E ratio of 96.82 high or low relative to other online retailers?(AMZN)</t>
  </si>
  <si>
    <t>-Integrate cashtag mentions from WSB, X etc.</t>
  </si>
  <si>
    <t>Is it high or low compared to the market average?</t>
  </si>
  <si>
    <t>Is it high or low compared to 2 years ago?</t>
  </si>
  <si>
    <t>when is a company with negative earnings a good investnment</t>
  </si>
  <si>
    <t>Is a stock repurchase ever a bad thing?</t>
  </si>
  <si>
    <t>Track record of board members, years</t>
  </si>
  <si>
    <t>How do I figure out the debt payment requirements for a public company</t>
  </si>
  <si>
    <t>What all should I screen for when choosing companies to invest in?</t>
  </si>
  <si>
    <t>How has Marks(Oaktree Cap) and his team have generated market-beating returns for decades, mainly by value investing in distressed debt and controlling risks.</t>
  </si>
  <si>
    <t>Make a tracker that analyzes and charts how a stock tends to move after a particular individual buys the stock.</t>
  </si>
  <si>
    <t>What does it mean to "buy low"?</t>
  </si>
  <si>
    <t>Firm is in stable growth; grows at constant rate forever. Domoradan?</t>
  </si>
  <si>
    <t>OK so lets say there are two companies that enter a strategic parthernship The first company invests 23 million dollars into the second company. The first company receives 5.4 million shares of the second company. the second company has good cash flows but has high debt levels. who got a better deal in this scenario?</t>
  </si>
  <si>
    <t>What are some signs of a successful company?</t>
  </si>
  <si>
    <t>What makes a company worthy of investing money into?</t>
  </si>
  <si>
    <t>How do i measure revenue growth?</t>
  </si>
  <si>
    <t>What are the top 5 ways to measure profitability?</t>
  </si>
  <si>
    <t>What is the single most effective way to measure profitability?</t>
  </si>
  <si>
    <t>What are some lesser known indicators of a stock that will appreciate in value?</t>
  </si>
  <si>
    <t>What's the question you want answered?</t>
  </si>
  <si>
    <t>Whats the fair market value of this company shares?</t>
  </si>
  <si>
    <t>Is the company overvalued or undervalued?</t>
  </si>
  <si>
    <t>What is a reasonable amount of money to lend a company&gt;</t>
  </si>
  <si>
    <t>What is the ability of this company to pay back a loan?</t>
  </si>
  <si>
    <t>What are the growth drivers of a company?</t>
  </si>
  <si>
    <t>How can qualitative analysis can be translated in to quantitative analysis by making changes to some assumptions (CFI)</t>
  </si>
  <si>
    <t>How do I calculate pricing power according to how much volume of business a contract brings in?</t>
  </si>
  <si>
    <t>How reliant is the company on commodities?</t>
  </si>
  <si>
    <t>How unique is the product?</t>
  </si>
  <si>
    <t>How Does Warren Buffett Choose His Stocks?</t>
  </si>
  <si>
    <t>What is a hollow order book &amp; fake sales?</t>
  </si>
  <si>
    <t>What financial assumptions should I make?</t>
  </si>
  <si>
    <t>Consider these questions before subscribing to an alpha research product:</t>
  </si>
  <si>
    <t>Is it a business promise or a fact?</t>
  </si>
  <si>
    <t>Is your thinking Inductuve or deductive?</t>
  </si>
  <si>
    <t>How will going from a T+2 to a T+1 settlement cycle affect public companies?</t>
  </si>
  <si>
    <t>Could shortening the settlement cycle affect the stock market negatively?</t>
  </si>
  <si>
    <t>What kind of costs will companies incur to upgrade their settlement cycle</t>
  </si>
  <si>
    <t>When did markets have T+5 settlement cycle</t>
  </si>
  <si>
    <t>What are &amp; What are the risks of using CUSIP #'s?</t>
  </si>
  <si>
    <t>When is increasing liquidity negative for the stock market?</t>
  </si>
  <si>
    <t>what is the volatility component of the DTCC</t>
  </si>
  <si>
    <t>What risks does the DTCC have associated with market movements and fluctuations in the value of the securities being cleared?</t>
  </si>
  <si>
    <t>What are the best value ratios?</t>
  </si>
  <si>
    <t>Why do we have two different versions of free cash flow, depending on whether we compare it to market cap or enterprise value?</t>
  </si>
  <si>
    <t>How can I tell when a public company has higher revenues because they are issuing debt?</t>
  </si>
  <si>
    <t>how do i use simple extrapolation algorithms to forecast</t>
  </si>
  <si>
    <t>What is sensitivity analysis?</t>
  </si>
  <si>
    <t>outside view/inside view</t>
  </si>
  <si>
    <t>what is the distinction between R&amp;D expenses and capital expenditures</t>
  </si>
  <si>
    <t>why you’re supposed to use market cap when considering net income but enterprise value when considering operating income</t>
  </si>
  <si>
    <t>if you think that a company’s cost of debt can exceed its cost of equity, your assessment of a company’s potential is likely to be flawed.</t>
  </si>
  <si>
    <t>What is capitalism?</t>
  </si>
  <si>
    <t>Does the united states have a mixed economy?</t>
  </si>
  <si>
    <t>What do people want to replace capitalism with?</t>
  </si>
  <si>
    <t>Do people believe bitcoin would do away with capitalism?</t>
  </si>
  <si>
    <t>what is financial autonomy?</t>
  </si>
  <si>
    <t>And it’s equally vital not to ignore any major aspect of a company’s financial statements. There are simply too many red flags. Is the company’s short-term debt, accruals, or net operating assets too large? Is its free cash flow consistently negative? Is its growth unsustainable? Some of these may not be warning signs, depending on what industry that company is in (financial and utility companies, for example, can thrive with negative free cash flow).</t>
  </si>
  <si>
    <t>Other numbers are also essential, and the most essential are the stock’s price and the volume traded. You may also benefit from taking into account the bid-ask spread, some historical prices and volume levels, how long it has been since the last earnings announcement, analyst estimates and recommendations and how they’ve changed, short interest, and so on.</t>
  </si>
  <si>
    <t>How does volatility affect the underlying?</t>
  </si>
  <si>
    <t>being mathematically savvy enough to realize when researchers are misusing mathematics.</t>
  </si>
  <si>
    <t>The Intrinsic Value of a Company</t>
  </si>
  <si>
    <t>What are Value Drivers</t>
  </si>
  <si>
    <t>How much money is the company spending on R&amp;D?</t>
  </si>
  <si>
    <t>A final challenge is considering causality from the point of view of attributes versus circumstances. Attributes are features that allow for categorization. For instance, animals with wings and feathers can fly. Circumstances capture causal mechanisms. Since the physics of lift causes flight, animals or objects that can create lift will fly, including most birds and airplanes, and those that can’t create lift won’t fly. To learn from history, you need to understand causality. We commonly limit our comparisons to attributes and hence miss essential insights.</t>
  </si>
  <si>
    <t>value, prospect of growth, and quality</t>
  </si>
  <si>
    <t>How can you “update your views effectively” if you can’t know if those updates will be good ones?</t>
  </si>
  <si>
    <t>What are succesful traits of forecasters</t>
  </si>
  <si>
    <t>What is Joel Tillinghast method for beating the market?</t>
  </si>
  <si>
    <t>What are the most important value ratios</t>
  </si>
  <si>
    <t>A warning: never use enterprise value–based ratios for companies in the financial sector. For a good number of those companies, the more debt they issue, the higher their revenue.</t>
  </si>
  <si>
    <t>The best value factors I found are all variations of free cash flow yield. As an investor, I’m interested in looking at a company from as many angles as possible. I therefore pay attention to both price-based ratios and EV-based ratios. portfolio123</t>
  </si>
  <si>
    <t>Summary</t>
  </si>
  <si>
    <t>Traces the history of the term "free cash flow" and explains its meanings.</t>
  </si>
  <si>
    <t>Argues in favor of a newer method of calculating free cash flow.</t>
  </si>
  <si>
    <t>Discusses the problems of firms with negative free cash flow.</t>
  </si>
  <si>
    <t>Gives examples of exceptional firms with terrific free cash flow.</t>
  </si>
  <si>
    <t>A company creates value when the present value of the cash flows from its investments are greater than the cost of the investments.</t>
  </si>
  <si>
    <t>Rethinking Free Cash Flow</t>
  </si>
  <si>
    <t>Top 10 Types of Financial Models</t>
  </si>
  <si>
    <t>I avoid companies with very low share liquidity or whose stock price is below a dollar or two per share, master limited partnerships, real estate investment trusts, utilities, and companies from countries that rank high on corruption indexes.</t>
  </si>
  <si>
    <t>What are some drivers of increasing returns?</t>
  </si>
  <si>
    <t>Top 10 Factors for Going Long or Short</t>
  </si>
  <si>
    <t>How do I predict growth</t>
  </si>
  <si>
    <t>How to catch a high flyer</t>
  </si>
  <si>
    <t>Identify potential conflicts where CEOs are selling during buybacks or authorizations, with precision around the CEO’s actual start date; includes detailed CEO buying/selling and buyback activity.</t>
  </si>
  <si>
    <t>investors should be wary of companies that have a high debt-to-equity ratio, as this could indicate financial distress.</t>
  </si>
  <si>
    <t xml:space="preserve">most meaningful information:
Risk Factors
Revenue Recognition
Critical Accounting Policies
Footnotes
MD&amp;A
Forward Looking Statements
</t>
  </si>
  <si>
    <t>Pitchbook.com</t>
  </si>
  <si>
    <t>The issuer struggled with limited liquidity, high leverage, high capex and elevated interest payments, which put pressure on FCF.</t>
  </si>
  <si>
    <t>Why is it important to know the difference between accuracy and precision?</t>
  </si>
  <si>
    <t>It is worth noting that many for-profit hospitals are owned by non-profits, often resulting in huge, multi-billion dollar endowments. Cleveland Clinic is one example I believe.</t>
  </si>
  <si>
    <t>What conditions would mean the federal reserve is not tight enough?</t>
  </si>
  <si>
    <t>Extract, Transform, Load (ETL)</t>
  </si>
  <si>
    <t>How can you parallelize predictive modeling for big data analytics?</t>
  </si>
  <si>
    <t>What are irrelevant or redundant features?</t>
  </si>
  <si>
    <t>Lakehouses</t>
  </si>
  <si>
    <t>Great use of Figma/PowerPoint background template for rounded edges.</t>
  </si>
  <si>
    <t>Why remove irrelevant or redundant features?</t>
  </si>
  <si>
    <t>DataWeave (dw) Format</t>
  </si>
  <si>
    <t>How to identify irrelevant or redundant features?</t>
  </si>
  <si>
    <t>XML</t>
  </si>
  <si>
    <t>How to evaluate the impact of removing irrelevant or redundant features?</t>
  </si>
  <si>
    <t>A/B testing</t>
  </si>
  <si>
    <t>Here’s what else to consider</t>
  </si>
  <si>
    <t>Database Management Systems (DBMS)</t>
  </si>
  <si>
    <t>DataOps</t>
  </si>
  <si>
    <t>You want to be able to analyze the data with a multi-cloud data tool that is inexpensive, fast, and does not create additional overhead of decentralized data governance. By using BigQuery Omni, we reduce these frictions with a unified interface.</t>
  </si>
  <si>
    <t>data engineering</t>
  </si>
  <si>
    <t>Hard Skills vs Soft Skills</t>
  </si>
  <si>
    <t>Causal Inference</t>
  </si>
  <si>
    <t>pedagogy</t>
  </si>
  <si>
    <t>Third Normal Form</t>
  </si>
  <si>
    <t>ERP</t>
  </si>
  <si>
    <t>siloed</t>
  </si>
  <si>
    <t>SDK</t>
  </si>
  <si>
    <t>DML statements</t>
  </si>
  <si>
    <t>Graham's Valuation</t>
  </si>
  <si>
    <t>A Stock-Picker’s Guide to Benjamin Graham’s Screening Rules</t>
  </si>
  <si>
    <t>V = EPS x (8.5 + 2g) x 4.4 / Y</t>
  </si>
  <si>
    <t>shares in millions instead of thousands15552752000000</t>
  </si>
  <si>
    <t>P/e ttm?</t>
  </si>
  <si>
    <t>current price</t>
  </si>
  <si>
    <t>latest earnings(net income)</t>
  </si>
  <si>
    <t xml:space="preserve"> latest OS #:</t>
  </si>
  <si>
    <t>Earnings Yield (e/p)</t>
  </si>
  <si>
    <t>EPS google finance</t>
  </si>
  <si>
    <t xml:space="preserve">V= </t>
  </si>
  <si>
    <t>P/e</t>
  </si>
  <si>
    <t>50.3*17*4.4</t>
  </si>
  <si>
    <t>%🔺 Current price/intrinsic value</t>
  </si>
  <si>
    <t>Buy or Sell:</t>
  </si>
  <si>
    <t>EPS*(P/e(nogrowth=8.5)*2g)*Avg Yield AA</t>
  </si>
  <si>
    <t>V, Intrinsic Value=</t>
  </si>
  <si>
    <t>Asmoradan Advanced Valuation Ratios</t>
  </si>
  <si>
    <t>Stock Price</t>
  </si>
  <si>
    <t>Margin of Safety(65%)Acceptable buy price</t>
  </si>
  <si>
    <t>GRahams REvised Valuation formula</t>
  </si>
  <si>
    <t>In finance, valuation is the process of determining the value of a (potential) investment, asset, or security. Generally, there are three approaches taken, namely discounted cashflow valuation, relative valuation, and contingent claim valuation.[1]
Valuations can be done for assets (for example, investments in marketable securities such as companies' shares and related rights, business enterprises, or intangible assets such as patents, data and trademarks) or for liabilities (e.g., bonds issued by a company). Valuation is a subjective exercise, and in fact, the process of valuation itself can also affect the value of the asset in question.
Valuations may be needed for various reasons such as investment analysis, capital budgeting, merger and acquisition transactions, financial reporting, taxable events to determine the proper tax liability. In a business valuation context, various techniques are used to determine the (hypothetical) price that a third party would pay for a given company; while in a portfolio management context, stock valuation is used by analysts to determine the price at which the stock is fairly valued relative to its projected and historical earnings, and to thus profit from related price movement.</t>
  </si>
  <si>
    <t>Valuation overview
Common terms for the value of an asset or liability are market value, fair value, and intrinsic value. The meanings of these terms differ. For instance, when an analyst believes a stock's intrinsic value is greater (or less) than its market price, an analyst makes a "buy" (or "sell") recommendation. Moreover, an asset's intrinsic value may be subject to personal opinion and vary among analysts. The International Valuation Standards include definitions for common bases of value and generally accepted practice procedures for valuing assets of all types. Regardless, the valuation itself is done generally using one or more of the following approaches;[2] but see also, Outline of finance § Valuation:
Absolute value models ("Intrinsic valuation") that determine the present value of an asset's expected future cash flows. These models take two general forms: multi-period models such as discounted cash flow models, or single-period models such as the Gordon model (which, in fact, often "telescope" the former). These models rely on mathematics rather than price observation. See § Discounted cash flow valuation there.
Relative value models determine value based on the observation of market prices of 'comparable' assets, relative to a common variable like earnings, cashflows, book value or sales. This result will often be used to complement / revisit the intrinsic valuation. See § Relative valuation there.
Option pricing models, in this context, are used to value specific balance-sheet items, or the asset itself, when these have option-like characteristics. Examples of the first type are warrants, employee stock options, and investments with embedded options such as callable bonds; the second type are usually real options. The most common option pricing models employed here are the Black–Scholes-Merton models and lattice models. This approach is sometimes referred to as contingent claim valuation, in that the value will be contingent on some other asset; see § Contingent claim valuation there.</t>
  </si>
  <si>
    <t xml:space="preserve">Usage
In finance, valuation analysis is required for many reasons including tax assessment, wills and estates, divorce settlements, business analysis, and basic bookkeeping and accounting. Since the value of things fluctuates over time, valuations are as of a specific date like the end of the accounting quarter or year. They may alternatively be mark-to-market estimates of the current value of assets or liabilities as of this minute or this day for the purposes of managing portfolios and associated financial risk (for example, within large financial firms including investment banks and stockbrokers).
Some balance sheet items are much easier to value than others. Publicly traded stocks and bonds have prices that are quoted frequently and readily available. Other assets are harder to value. For instance, private firms that have no frequently quoted price. Additionally, financial instruments that have prices that are partly dependent on theoretical models of one kind or another are difficult to value and this generates valuation risk. For example, options are generally valued using the Black–Scholes model while the liabilities of life assurance firms are valued using the theory of present value. Intangible business assets, like goodwill and intellectual property, are open to a wide range of value interpretations. Another intangible asset, data, is increasingly being recognized as a valuable asset in the information economy.[3]
It is possible and conventional for financial professionals to make their own estimates of the valuations of assets or liabilities that they are interested in. Their calculations are of various kinds including analyses of companies that focus on price-to-book, price-to-earnings, price-to-cash-flow and present value calculations, and analyses of bonds that focus on credit ratings, assessments of default risk, risk premia, and levels of real interest rates. All of these approaches may be thought of as creating estimates of value that compete for credibility with the prevailing share or bond prices, where applicable, and may or may not result in buying or selling by market participants. Where the valuation is for the purpose of a merger or acquisition the respective businesses make available further detailed financial information, usually on the completion of a non-disclosure agreement.
Valuation requires judgment and assumptions:
There are different circumstances and purposes to value an asset (e.g., distressed firm, tax purposes, mergers and acquisitions, financial reporting). Such differences can lead to different valuation methods or different interpretations of the method results
All valuation models and methods have limitations (e.g., degree of complexity, relevance of observations, mathematical form)
Model inputs can vary significantly because of necessary judgment and differing assumptions
Users of valuations benefit when key information, assumptions, and limitations are disclosed to them. Then they can weigh the degree of reliability of the result and make their decision.
</t>
  </si>
  <si>
    <t xml:space="preserve">Business valuation
Main article: Business valuation
Businesses or fractional interests in businesses may be valued for various purposes such as mergers and acquisitions, sale of securities, and taxable events. When correct, a valuation should reflect the capacity of the business to match a certain market demand, as it is the only true predictor of future cash flows. An accurate valuation of privately owned companies largely depends on the reliability of the firm's historic financial information. Public company financial statements are audited by Certified Public Accountants (USA), Chartered Certified Accountants (ACCA) or Chartered Accountants (UK), and Chartered Professional Accountants (Canada) and overseen by a government regulator. Alternatively, private firms do not have government oversight—unless operating in a regulated industry—and are usually not required to have their financial statements audited. Moreover, managers of private firms often prepare their financial statements to minimize profits and, therefore, taxes. Alternatively, managers of public firms tend to want higher profits to increase their stock price. Therefore, a firm's historic financial information may not be accurate and can lead to over- and undervaluation. In an acquisition, a buyer often performs due diligence to verify the seller's information.
Financial statements prepared in accordance with generally accepted accounting principles (GAAP) show many assets based on their historic costs rather than at their current market values. For instance, a firm's balance sheet will usually show the value of land it owns at what the firm paid for it rather than at its current market value. But under GAAP requirements, a firm must show the fair values (which usually approximates market value) of some types of assets such as financial instruments that are held for sale rather than at their original cost. When a firm is required to show some of its assets at fair value, some call this process "mark-to-market". But reporting asset values on financial statements at fair values gives managers ample opportunity to slant asset values upward to artificially increase profits and their stock prices. Managers may be motivated to alter earnings upward so they can earn bonuses. Despite the risk of manager bias, equity investors and creditors prefer to know the market values of a firm's assets—rather than their historical costs—because current values give them better information to make decisions.
There are commonly three pillars to valuing business entities: comparable company analyses, discounted cash flow analysis, and precedent transaction analysis. Business valuation credentials include the Chartered Business Valuator (CBV) offered by the CBV Institute, ASA and CEIV from the American Society of Appraisers, and the CVA by the National Association of Certified Valuators and Analysts.
Discounted cash flow method
Main article: Valuation using discounted cash flows
This method estimates the value of an asset based on its expected future cash flows, which are discounted to the present (i.e., the present value). This concept of discounting future money is commonly known as the time value of money. For instance, an asset that matures and pays $1 in one year is worth less than $1 today. The size of the discount is based on an opportunity cost of capital and it is expressed as a percentage or discount rate.
In finance theory, the amount of the opportunity cost is based on a relation between the risk and return of some sort of investment. Classic economic theory maintains that people are rational and averse to risk. They, therefore, need an incentive to accept risk. The incentive in finance comes in the form of higher expected returns after buying a risky asset. In other words, the more risky the investment, the more return investors want from that investment. Using the same example as above, assume the first investment opportunity is a government bond that will pay interest of 5% per year and the principal and interest payments are guaranteed by the government. Alternatively, the second investment opportunity is a bond issued by small company and that bond also pays annual interest of 5%. If given a choice between the two bonds, virtually all investors would buy the government bond rather than the small-firm bond because the first is less risky while paying the same interest rate as the riskier second bond. In this case, an investor has no incentive to buy the riskier second bond. Furthermore, in order to attract capital from investors, the small firm issuing the second bond must pay an interest rate higher than 5% that the government bond pays. Otherwise, no investor is likely to buy that bond and, therefore, the firm will be unable to raise capital. But by offering to pay an interest rate more than 5% the firm gives investors an incentive to buy a riskier bond.
For a valuation using the discounted cash flow method, one first estimates the future cash flows from the investment and then estimates a reasonable discount rate after considering the riskiness of those cash flows and interest rates in the capital markets. Next, one makes a calculation to compute the present value of the future cash flows.
Guideline companies method
Main article: Comparable company analysis
This method determines the value of a firm by observing the prices of similar companies (called "guideline companies") that sold in the market. Those sales could be shares of stock or sales of entire firms. The observed prices serve as valuation benchmarks. From the prices, one calculates price multiples such as the price-to-earnings or price-to-book ratios—one or more of which used to value the firm. For example, the average price-to-earnings multiple of the guideline companies is applied to the subject firm's earnings to estimate its value.
Many price multiples can be calculated. Most are based on a financial statement element such as a firm's earnings (price-to-earnings) or book value (price-to-book value) but multiples can be based on other factors such as price-per-subscriber.
Net asset value method
The third-most common method of estimating the value of a company looks to the assets and liabilities of the business. At a minimum, a solvent company could shut down operations, sell off the assets, and pay the creditors. Any cash that would remain establishes a floor value for the company. This method is known as the net asset value or cost method. In general the discounted cash flows of a well-performing company exceed this floor value. Some companies, however, are worth more "dead than alive", like weakly performing companies that own many tangible assets. This method can also be used to value heterogeneous portfolios of investments, as well as nonprofits, for which discounted cash flow analysis is not relevant. The valuation premise normally used is that of an orderly liquidation of the assets, although some valuation scenarios (e.g., purchase price allocation) imply an "in-use" valuation such as depreciated replacement cost new.
An alternative approach to the net asset value method is the excess earnings method. (This method was first described in the U.S. Internal Revenue Service's Appeals and Review Memorandum 34,[further explanation needed] and later refined by Revenue Ruling 68-609.) The excess earnings method has the appraiser identify the value of tangible assets, estimate an appropriate return on those tangible assets, and subtract that return from the total return for the business, leaving the "excess" return, which is presumed to come from the intangible assets. An appropriate capitalization rate is applied to the excess return, resulting in the value of those intangible assets. That value is added to the value of the tangible assets and any non-operating assets, and the total is the value estimate for the business as a whole. See Clean surplus accounting, Residual income valuation.
</t>
  </si>
  <si>
    <t>Specialised cases
The approaches to valuation, as outlined, are generic and will be modified for the unique positioning and characteristics [4] of the business in question. [5] In the below cases, however, more specific valuation-practices have developed [6] within the investment industry. For these, more than elsewhere, real options valuation may be applied. [7]
Valuation of a suffering company
Investors in a suffering company, or in other "distressed securities", may intend (i) to restructure the business, with the valuation reflecting its potential thereafter, or (ii) to purchase the company - or its debt - at a discount, as part of an Investment Strategy aimed at realizing a profit on recovery.
Preliminary to the valuation, the financial statements are initially recast, to "better reflect the firm's indebtedness, financing costs and recurring earnings".[8] Here adjustments are made to working capital, deferred capital expenditures, cost of goods sold, non-recurring professional fees and costs, above- or below-market leases, excess salaries in the case of private companies, and certain non-operating income/expense items.[9]
The valuation is built on this base, with any of the standard market-, income-, or asset-based approaches employed. Often these are used in combination, providing a "triangulation" or (weighted) average. Particularly in the second case above, the company may be valued using real options analysis, serving to complement (or sometimes replace) this standard value; see Business valuation § Option pricing approaches and Merton model.
As required, various adjustments are then made to this result, so as to reflect characteristics of the firm external to its profitability and cash flow. These adjustments consider any lack of marketability resulting in a discount, and re the stake in question, any control premium or lack of control discount. Balance sheet items external to the valuation, but due to the new owners, are similarly recognized; these include excess (or restricted) cash, and other non-operating assets and liabilities.
Valuation of a startup company
Startup companies such as Uber, which was valued at $50 billion in early 2015, are assigned post-money valuations based on the price at which their most recent investor put money into the company. The price reflects what investors, for the most part venture capital firms, are willing to pay for a share of the firm. They are not listed on any stock market, nor is the valuation based on their assets or profits, but on their potential for success, growth, and eventually, possible profits.[10] Many startup companies use internal growth factors to show their potential growth which may attribute to their valuation. The professional investors who fund startups are experts, but hardly infallible, see Dot-com bubble.[11] Valuation using discounted cash flows discusses various considerations here.
The valuation of early-stage startups can be more nuanced due to their lack of established track records. One common approach is using comparative valuations, although this method can be less accurate given the uniqueness of each startup.[12] Some methods adjust the average pre-money valuation of pre-revenue startups based on various attributes within the same market.[13] Average pre-money valuations in a particular region or sector, obtained from recent market deals, can also serve as reference points.[14] During Series A funding rounds, the typical valuation for startups is reported to be between $10 million to $15 million[15]
Valuation of intangible assets
Valuation models can be used to value intangible assets such as for patent valuation, but also in copyrights, software, trade secrets, and customer relationships.[16] As economies are becoming increasingly informational, it is recognized that there is a need for new methods to value data, another intangible asset.
Valuations here are often necessary both for financial reporting and intellectual property transactions. They are also inherent in securities analysis - listed and private - in cases where analysts must estimate the incremental contribution of patents (etc) to equity value; see next paragraph. Since few sales of benchmark intangible assets can ever be observed, one often values these sorts of assets using either a present value model, or by estimating the cost of recreating the asset in question. In some cases,[17] option-based techniques or decision trees may be applied. Regardless of the method, the process is often time-consuming and costly. If required, stock markets can give an indirect estimate of a corporation's intangible asset value: this can be reckoned as the difference between its market capitalisation and its book value (including only hard assets), i.e. effectively its goodwill; see also PVGO.
As regards listed equity, the above techniques are most often applied in the biotech-, life sciences- and pharmaceutical sectors [18] [19] [20] (see List of largest biotechnology and pharmaceutical companies). These businesses are involved in research and development (R&amp;D), and testing, that typically takes years to complete, and where the new product may ultimately not be approved (see Contingent value rights). Industry specialists thus apply the above techniques - and here especially rNPV - to the pipeline of products under development, and, at the same time,[16] also estimate the impact on existing revenue streams due to expiring patents. For relative valuation,[18] a specialized ratio is R&amp;D spend as a percentage of sales. Similar analysis may be applied to options on films re the valuation of film studios.
Valuation of mining projects
Further information: Mineral economics, Mineral resource estimation, and Mineral resource classification
In mining, valuation is the process of determining the value or worth of a mining property - i.e. as distinct from a listed mining corporate. Mining valuations are sometimes required for IPOs, fairness opinions, litigation, mergers and acquisitions, and shareholder-related matters. In valuing a mining project or mining property, fair market value is the standard of value to be used. In general, [21] this result will be a function of the property's "reserve" - the estimated size and grade of the deposit in question - and the complexity and costs of extracting this.[22] [23]
"CIMVal" generally applied by the Toronto Stock Exchange, is widely recognised as a "standard" for the valuation of mining projects. (CIMVal: Canadian Institute of Mining, Metallurgy and Petroleum on Valuation of Mineral Properties [24]) The Australasian equivalent is VALMIN; the Southern African is SAMVAL. These standards stress the use of the cost approach, market approach, and the income approach, depending on the stage of development of the mining property or project; see [25] for further discussion and context. Real Options analysis [26] [27] is sometimes [21] [25] [26] used when there is a need to evaluate the project under different scenarios from inception.
Analyzing listed mining corporates (and other resource companies) is also specialized,[22] as the valuation requires a good understanding of the company's overall assets, its operational business model as well as key market drivers,[28] and an understanding of that sector of the stock market.[22] Re the latter, a distinction is usually made based on size and financial capabilities; see Mining § Corporate classifications.
The price of a "Junior" mining stock, typically having one asset, will at its early stages be linked to the result of its feasibility study; later, the price will be a function of that mine's viability and value, largely applying the above techniques.
A "Major", on the other hand, has numerous properties, and the contents of any single deposit will impact stock value in a limited fashion; this due to diversification, access to funding, and, also, since the share price inheres goodwill. Typically, then, the exposure is more to the market value of each mineral in the portfolio, than to the individual properties.
Valuing financial services firms
There are two main difficulties with valuing financial services firms. [29] [30] [31] [32] The first is that the cash flows to a financial service firm cannot be easily estimated, since capital expenditures, working capital and debt are not clearly defined: "debt for a financial service firm is more akin to raw material than to a source of capital; the notion of cost of capital and enterprise value (EV) may be meaningless as a consequence."[29] (See related discussion re. the risk management of financial- vs non-financial firms.) The second is that these firms operate under a highly regulated environment, and valuation assumptions (and model outputs) must incorporate regulatory limits, at least as "bounds".[32]
The approach taken for a DCF valuation, is to then "remove" debt from the valuation, by discounting free cash flow to equity at the cost of equity (or equivalently to apply a modified dividend discount model). This is in contrast to the more typical approach of discounting free cash flow to the Firm where EBITDA less capital expenditures and working capital is discounted at the weighted average cost of capital, which incorporates the cost of debt.
For a multiple based valuation, similarly, price to earnings is preferred to EV/EBITDA. Here, there are also industry-specific measures used to compare between investments and within sub-sectors; this, once normalized by market cap (or other appropriate result), and recognizing regulatory differences:
Insurance companies: embedded value and actuarial reserves
Banking sector: net interest margin and provision for credit losses
Wealth- and investment management firms: assets under management
Investment banks: price to tangible book value and return on tangible equity.</t>
  </si>
  <si>
    <t>Mismarking
Further information: Product control and Mark-to-market accounting
Mismarking in securities valuation takes place when the value that is assigned to securities does not reflect what the securities are actually worth, due to intentional fraudulent mispricing.[33][34][35]
Mismarking misleads investors and fund executives about how much the securities in a securities portfolio managed by a trader are worth (the securities' net asset value, or NAV), and thus misrepresents performance.[36][37][38]
When a rogue trader engages in mismarking, it allows him to obtain a higher bonus from the financial firm for which he works, where his bonus is calculated by the performance of the securities portfolio that he is managing.[36][37]</t>
  </si>
  <si>
    <t>/html/body/div/table[2]</t>
  </si>
  <si>
    <t>&lt;ix:nonfraction unitref="usd" contextref="c-1" decimals="-6" name="us-gaap:CostOfGoodsAndServicesSold" format="ixt:num-dot-decimal" scale="6" id="f-78"&gt;214,137&lt;/ix:nonfraction&gt;</t>
  </si>
  <si>
    <t>&lt;table summary=""&gt;</t>
  </si>
  <si>
    <t>&lt;tbody&gt;&lt;tr bgcolor="#D6D6D6"&gt;</t>
  </si>
  <si>
    <t>&lt;th align="left" nowrap="nowrap" width="4%"&gt;Accepted&lt;/th&gt;</t>
  </si>
  <si>
    <t>&lt;th align="left" nowrap="nowrap" width="4%"&gt;Filing Date&lt;/th&gt;</t>
  </si>
  <si>
    <t>&lt;th align="left" nowrap="nowrap" width="4%"&gt;Form&lt;/th&gt;</t>
  </si>
  <si>
    <t>&lt;th align="left" nowrap="nowrap" width="4%"&gt;Formats&lt;/th&gt;</t>
  </si>
  <si>
    <t>&lt;th align="left" width="40%"&gt;Description&lt;/th&gt;</t>
  </si>
  <si>
    <t>full xpath</t>
  </si>
  <si>
    <t>if(A1=0,"",if(iserror(average(Q423:423)),"",average(O423:Q423)))</t>
  </si>
  <si>
    <t>IMPORTDATA(url)</t>
  </si>
  <si>
    <t>IMPORTXML("https://www.phish.com","/html/body/div[2]/main/section/article/div[1]/div/div/div[1]/h1")</t>
  </si>
  <si>
    <t>IMPORTXML("https://www.sec.gov/cgi-bin/browse-edgar?action=getcurrent", "xmlDoc.evaluate()")</t>
  </si>
  <si>
    <t>IMPORTXML(URL, XPath expression</t>
  </si>
  <si>
    <t>IMPORTXML(URL, XPath expression)</t>
  </si>
  <si>
    <t>var i = 1; [].forEach.call(document.getElementsByTagName("table"). function(x) {console.log(i++, x); });</t>
  </si>
  <si>
    <t>xmlDoc.evaluate(xpath, xmlDoc, null, XPathResult.ANY_TYPE,null);</t>
  </si>
  <si>
    <t>SPARKLINE(</t>
  </si>
  <si>
    <t>Query</t>
  </si>
  <si>
    <t>INDEX(A1:D6, MATCH(2, D1:D6, 0), MATCH("Guest Name", A1:D1, 0))</t>
  </si>
  <si>
    <t>INDEX and MATCH can be used together to perform more advanced and dynamic lookups.</t>
  </si>
  <si>
    <t>Tip: VLOOKUP can be used when the lookup value is to the left of the desired attribute to return. INDEX and MATCH can be used regardless of where the lookup value is located in the dataset.</t>
  </si>
  <si>
    <t>Balance on 3/21:</t>
  </si>
  <si>
    <t>LoopStdDev(“Sales(Ctr,Qtr)”,12,0). Yuval Taylor:Portfolio123</t>
  </si>
  <si>
    <t>4 lbs @ 1900</t>
  </si>
  <si>
    <t>IMPORTXML("https://finance.yahoo.com/quote/"&amp;B2,"/html/body/div[1]/div/div/div[1]/div/div[2]/div/div/div[5]/div/div/div/div[3]/div[1]/div[1]/fin-streamer[1]")</t>
  </si>
  <si>
    <t>1/2 oz @ 250</t>
  </si>
  <si>
    <t>=REGEXEXTRACT()</t>
  </si>
  <si>
    <t>7 carts @ $37</t>
  </si>
  <si>
    <t>=IF(ISBLANK(H513), INDEX(A!$A$1:$A$10000, 2, 8), "")</t>
  </si>
  <si>
    <t>1 cart live reson</t>
  </si>
  <si>
    <t>5 carts @ $30</t>
  </si>
  <si>
    <t>1 rosin cart</t>
  </si>
  <si>
    <t>=IF(ISBLANK(G533), VLOOKUP(ABC!$A:$Z, $A$Z, MATCH("Sector", ABC!$1:$1, 0), FALSE), "")</t>
  </si>
  <si>
    <t>delivered on 3/25</t>
  </si>
  <si>
    <t>70g wax (2.5 oz)</t>
  </si>
  <si>
    <t xml:space="preserve">7/19 balance was $10,481 before the wax, you said the balance was 8200 but forgot to include the 70g wax in new balance </t>
  </si>
  <si>
    <t>=IF(ISBLANK(G533)</t>
  </si>
  <si>
    <t>PAYMENT (3/25ish)</t>
  </si>
  <si>
    <t>=IF(ISBLANK(H516), INDEX(A!$B:$Z, MATCH(INDEX(A!$A:$Z, ROW()), A!$B$1:$Z$1, 0), MATCH("Industry", A!$B$1:$Z$1, 0)), "")</t>
  </si>
  <si>
    <t>Balance on 3/25</t>
  </si>
  <si>
    <t>=IF(ISBLANK(H517), INDEX(A!$B:$Z, MATCH(INDEX(A!$A:$Z, ROW()), A!$B$1:$Z$1, 0), MATCH("Industry", A!$B$1:$Z$1, 0)), "")</t>
  </si>
  <si>
    <t>Transactions</t>
  </si>
  <si>
    <t>5 oz wax</t>
  </si>
  <si>
    <t>july 11th asked about guy in town with wax and when i can send carts</t>
  </si>
  <si>
    <t>=IF(ISBLANK(H519), INDEX(A!$A$1:$Z$10, 2, 8), "")</t>
  </si>
  <si>
    <t>2 oz mushroom 80/oz</t>
  </si>
  <si>
    <t>15 carts @ $37</t>
  </si>
  <si>
    <t>1 lb @ 1900</t>
  </si>
  <si>
    <t>(Flower Adjustment) 3@ -400</t>
  </si>
  <si>
    <t>=IF(ISBLANK(H523), INDEX(A!$B:$Z, MATCH(INDEX(A!$A:$Z, ROW()), A!$B$1:$Z$1, 0), MATCH("Industry", A!$B$1:$Z$1, 0)), "")</t>
  </si>
  <si>
    <t>PAYMENT 1/23</t>
  </si>
  <si>
    <t>3 oz from Chris</t>
  </si>
  <si>
    <t>=IFERROR(IF(INDEX('sheetAAA'!$A:$A, MATCH(A530, BBB!$A:$A, 0)) = #REF!, VLOOKUP(#REF!, BBB!$A:$Z, MATCH("Sector", BBB!$1:$1, 0), FALSE), ""), "")</t>
  </si>
  <si>
    <t>CURRENT BALANCE</t>
  </si>
  <si>
    <t>=IF(ISBLANK(G543), (INDEX('CIK screener'!$A:$A, MATCH(A543, ABC!$A:$A, 0)) = A2, VLOOKUP(A2, ABC!$A:$Z, MATCH("Sector", ABC!$1:$1, 0), FALSE), ""), "")</t>
  </si>
  <si>
    <t>=IF(ISBLANK(G527), (INDEX(A!$A1:$Z1, MATCH(CIK screener!$A2$A12000,$I1:$I1000, 0)) = A2, VLOOKUP(A2, ABC!$A:$Z, MATCH("Sector", ABC!$1:$1, 0), FALSE)), "")</t>
  </si>
  <si>
    <t>Kirby</t>
  </si>
  <si>
    <t xml:space="preserve">3/24 Payment </t>
  </si>
  <si>
    <t>232g super soaker</t>
  </si>
  <si>
    <t>204g soap</t>
  </si>
  <si>
    <t>540.8g gg</t>
  </si>
  <si>
    <t>BALANCE</t>
  </si>
  <si>
    <t>MW</t>
  </si>
  <si>
    <t>Balthrop</t>
  </si>
  <si>
    <t>AD</t>
  </si>
  <si>
    <t>Balance</t>
  </si>
  <si>
    <t>11/28 carts</t>
  </si>
  <si>
    <t>9 oz squat mac</t>
  </si>
  <si>
    <t>owed in</t>
  </si>
  <si>
    <t>-3ozj</t>
  </si>
  <si>
    <t>next run total price</t>
  </si>
  <si>
    <t>9@2000</t>
  </si>
  <si>
    <t>Brad</t>
  </si>
  <si>
    <t>5@1900</t>
  </si>
  <si>
    <t>remaining mushroom</t>
  </si>
  <si>
    <t>5outdoor</t>
  </si>
  <si>
    <t>TOTAL ASSETS?</t>
  </si>
  <si>
    <t>1oz rosin+2g wax</t>
  </si>
  <si>
    <t>TOTAL LIAB(DEBT)</t>
  </si>
  <si>
    <t>Toe</t>
  </si>
  <si>
    <t>STOCK</t>
  </si>
  <si>
    <t>TOTAL EQUITY</t>
  </si>
  <si>
    <t>RoLe</t>
  </si>
  <si>
    <t>Matt</t>
  </si>
  <si>
    <t>transfer 1 lb gg plus 100 credit</t>
  </si>
  <si>
    <t>Chad</t>
  </si>
  <si>
    <t>4 oz(2@200,2@240)</t>
  </si>
  <si>
    <t>payment in records</t>
  </si>
  <si>
    <t>4oz@200</t>
  </si>
  <si>
    <t>Deo</t>
  </si>
  <si>
    <t>Ryan</t>
  </si>
  <si>
    <t>You might consider using a long vega trade if you think vol is low and could revert higher, or a short vega trade if you think vol is high and could revert lower.</t>
  </si>
  <si>
    <t>Year</t>
  </si>
  <si>
    <t>Subsector?</t>
  </si>
  <si>
    <t>Revenues</t>
  </si>
  <si>
    <t>Book Value per Share</t>
  </si>
  <si>
    <t>Revs Avg3</t>
  </si>
  <si>
    <t>Z'' Score</t>
  </si>
  <si>
    <t>market cap</t>
  </si>
  <si>
    <t>*CFO Avg3 / Net Com Ove</t>
  </si>
  <si>
    <t>*Excess Cash</t>
  </si>
  <si>
    <t>1m Ins</t>
  </si>
  <si>
    <t>6m Ins</t>
  </si>
  <si>
    <t>&lt;1w</t>
  </si>
  <si>
    <t>SGA Margin</t>
  </si>
  <si>
    <t>Revs / Net Com Over</t>
  </si>
  <si>
    <t>3m</t>
  </si>
  <si>
    <t>12m ($</t>
  </si>
  <si>
    <t>Revs /sh</t>
  </si>
  <si>
    <t>Assets /sh</t>
  </si>
  <si>
    <t>*Net Excess C</t>
  </si>
  <si>
    <t>Net Com Over</t>
  </si>
  <si>
    <t>Delevered Outstanding Shares</t>
  </si>
  <si>
    <t>Book /sh</t>
  </si>
  <si>
    <t>Current Outstanding Shares</t>
  </si>
  <si>
    <t>CFO Avg3 / NCO</t>
  </si>
  <si>
    <t>NCO / Assets</t>
  </si>
  <si>
    <t>? possible</t>
  </si>
  <si>
    <t>*ev/ebitd</t>
  </si>
  <si>
    <t>ROE</t>
  </si>
  <si>
    <t>Net Income</t>
  </si>
  <si>
    <t>AOCI</t>
  </si>
  <si>
    <t>*CapEx Avg3 /sh</t>
  </si>
  <si>
    <t>FCFF</t>
  </si>
  <si>
    <t>*** Capital /sh</t>
  </si>
  <si>
    <t>FCFE</t>
  </si>
  <si>
    <t>Notes:</t>
  </si>
  <si>
    <t>20 years of performance plus is wanted</t>
  </si>
  <si>
    <t>Present Value of Cash Flows, 20% discount rate, compounding 1</t>
  </si>
  <si>
    <t>Invesetment Style 2of2 : Doesnt do DCF Models bc value is just one factor</t>
  </si>
  <si>
    <t>1. sizeable discount often in relation to crude fundamentals face value/ sometimes the chart, historical operating of 20 years
balance sheet, revenues, earnings,  cash flow, gross and net margin, share count. Gap is reliable enough for his approach. Technical usually compliments Fundamentals for timing/ insider buying, 
Keep universe broad, benefit of large universe to be worth the associated cost of stepping outside wheelhouse</t>
  </si>
  <si>
    <t xml:space="preserve">2. Leverage/Credit Risk - dont shy away from leveraged companies. its a balancing act/ assessing credit risk 
metrics: the youlin of publicly traded debt, those bond folks are on the ball. esp if trading out a couple years and its priced in. Potential covenant breach, analysis of ratings agencies, who owns the debt, </t>
  </si>
  <si>
    <t>3. Insider Buying- weighs heavily - buying by prom execs CFO's insiders at least half mil plus. Seeing if the insiders are buying when its cheap/inflection point</t>
  </si>
  <si>
    <t>4. At least 20% insider ownership would like to see, not always a good thing when owned by a family. when respectable value shops and activists, tracking good analysis</t>
  </si>
  <si>
    <t>5. Confidence level</t>
  </si>
  <si>
    <r>
      <rPr/>
      <t xml:space="preserve">Tools Part 2 google sheets/finance functions, chrome has great features, 
1. Improve bookmarks/opening in groups, manage search engines for shortcuts, extensions: context menu search, search center, chart lists(stock charts) groupings, shortcuts, </t>
    </r>
    <r>
      <rPr>
        <b/>
      </rPr>
      <t>openinsider</t>
    </r>
    <r>
      <rPr/>
      <t xml:space="preserve">, whalewisdom, integrating with spreadsheets, Funds: scion, towle, greenlight, fairfax, baupost, abrams cap, appaloosa, weber alan, carl icahn, berkshire, lapides asset mgmt, perceptive advisor, ares mgmt, oaktree cap, MHR fund mgmt, hussman strategic, third avenue, walthausen, portolan capital, knowledge leaders, mcclain value mgmt, signia cap, bernzott cap advisor, sheffield asset mgmt, hodges cap, weitz, intrepid,old west, luminus, oshaughnessy, kopernik global, barel karsan, jeremy raper, jeremy blum, stephen simpson, carlton Getz, WYCO researcher, vincent ventures,Henrik Alex, Bumbershoot holdings, David Orr, scott Perry, Dmitriy Kozin, Rida Morwa, Prati Mgmt, Adam Levine-,Kingdom Capital, Timothy Stabosz, Strategic Investor, Magic investments, Rota Fortunae
FINRA Bond data yield to maturity, Moody's ratings, </t>
    </r>
    <r>
      <rPr>
        <color rgb="FF1155CC"/>
        <u/>
      </rPr>
      <t>insidertracking.com</t>
    </r>
    <r>
      <rPr/>
      <t>, fidelity historical sector performance, google sheet function list, ***google sheets scripting  site stack overflow, 24 minutes in video</t>
    </r>
  </si>
  <si>
    <r>
      <rPr/>
      <t xml:space="preserve">Tools Part 3 RK Tracker
share radar(vince), quandle(data aggregator), </t>
    </r>
    <r>
      <rPr>
        <color rgb="FF1155CC"/>
        <u/>
      </rPr>
      <t>flex.io</t>
    </r>
    <r>
      <rPr/>
      <t xml:space="preserve">, quantal?, data and flux, conditional formatting, broad financial metrics, 34minutes: sheer level of revenues, net margin, trends, net earnings ,common earnings, operating cash flow, simple free cashflow, loads of balance sheet stuff(book value, </t>
    </r>
  </si>
  <si>
    <t>b/s</t>
  </si>
  <si>
    <t>date</t>
  </si>
  <si>
    <t>entry price</t>
  </si>
  <si>
    <t>exit price</t>
  </si>
  <si>
    <t>% gain</t>
  </si>
  <si>
    <t>comments</t>
  </si>
  <si>
    <t>Up 58%</t>
  </si>
  <si>
    <r>
      <rPr>
        <rFont val="Arial"/>
        <color rgb="FF000000"/>
        <sz val="11.0"/>
      </rPr>
      <t xml:space="preserve">Digital signage installer and provider of signage software. Software biz has sticky, high-margin, and highly recurring revenues, putting CREX on the verge of an inflection as they ramp up sales of its software to other signage installers. The core digital signage business also continues to grow with three recent large customer wins. Meanwhile, CREX is trading at only 4.4x NTM EV/EBITDA with 50% expected growth over the next 12 months if they execute on their large backlog. </t>
    </r>
    <r>
      <rPr>
        <rFont val="Arial"/>
        <color rgb="FF1155CC"/>
        <sz val="11.0"/>
        <u/>
      </rPr>
      <t>https://www.deepsailcapital.com/_files/ugd/50dba3_a0c7512782854335bf671e5834a0f711.pdf</t>
    </r>
    <r>
      <rPr>
        <rFont val="Arial"/>
        <color rgb="FF000000"/>
        <sz val="11.0"/>
      </rPr>
      <t xml:space="preserve">
</t>
    </r>
  </si>
  <si>
    <t>Weaker USD and lower 10-year Treasury yields are bullish for $LBTYA / $LBTYK, yet shares have barely budged.</t>
  </si>
  <si>
    <t>Buffet</t>
  </si>
  <si>
    <t>cnbc article. battery much better than teslas</t>
  </si>
  <si>
    <t>GoodRX</t>
  </si>
  <si>
    <t>sold bc I'm up and also bc I'm trying to free capital due to a losing position</t>
  </si>
  <si>
    <t>UHAUL</t>
  </si>
  <si>
    <t>ENSTAR</t>
  </si>
  <si>
    <t>sold bc I'm up and also bc I'm trying to free capital due to a losing position. see if this goes higher bc of lower dollar</t>
  </si>
  <si>
    <t>paypal</t>
  </si>
  <si>
    <t>up 2.23%</t>
  </si>
  <si>
    <t xml:space="preserve">favorable p/e. negative news, store closings,chart pattern, </t>
  </si>
  <si>
    <t>symbol</t>
  </si>
  <si>
    <t>Valuation ratios</t>
  </si>
  <si>
    <t>retc</t>
  </si>
  <si>
    <t>12 Retech Corp</t>
  </si>
  <si>
    <t>atnfw</t>
  </si>
  <si>
    <t>180 Life Sciences</t>
  </si>
  <si>
    <t>kegs</t>
  </si>
  <si>
    <t>1812 Brewing Company Inc</t>
  </si>
  <si>
    <t>lrdg</t>
  </si>
  <si>
    <t>27 Health Holdings Corp</t>
  </si>
  <si>
    <t>dpsm</t>
  </si>
  <si>
    <t>3D Pioneer Systems Inc</t>
  </si>
  <si>
    <t>rnwr</t>
  </si>
  <si>
    <t>808 Renewable Energy Corp</t>
  </si>
  <si>
    <t>abqq</t>
  </si>
  <si>
    <t>Ab International Group Corp</t>
  </si>
  <si>
    <t>abce</t>
  </si>
  <si>
    <t>ABCO Energy Inc</t>
  </si>
  <si>
    <t>abilf</t>
  </si>
  <si>
    <t>Ability Inc</t>
  </si>
  <si>
    <t>acca</t>
  </si>
  <si>
    <t>Acacia Diversified Holdings Inc</t>
  </si>
  <si>
    <t>accr</t>
  </si>
  <si>
    <t>Access Power Corp</t>
  </si>
  <si>
    <t>ahfd</t>
  </si>
  <si>
    <t>Active Health Foods Inc</t>
  </si>
  <si>
    <t>atvi</t>
  </si>
  <si>
    <t>Activision Blizzard Ord Shs</t>
  </si>
  <si>
    <t>acur</t>
  </si>
  <si>
    <t>Acura Pharmaceuticals Inc</t>
  </si>
  <si>
    <t>actx</t>
  </si>
  <si>
    <t>Advanced Container Technologies Inc</t>
  </si>
  <si>
    <t>adgo</t>
  </si>
  <si>
    <t>Advantego Corp</t>
  </si>
  <si>
    <t>adyx</t>
  </si>
  <si>
    <t>Adynxx Inc</t>
  </si>
  <si>
    <t>tmna</t>
  </si>
  <si>
    <t>Agri-Fintech Holdings Inc</t>
  </si>
  <si>
    <t>agtk</t>
  </si>
  <si>
    <t>Agritek Holdings Inc</t>
  </si>
  <si>
    <t>airc</t>
  </si>
  <si>
    <t>Air China Ord Shs H</t>
  </si>
  <si>
    <t>afom</t>
  </si>
  <si>
    <t>All for One Media Corp</t>
  </si>
  <si>
    <t>alpe</t>
  </si>
  <si>
    <t>alpha-En Corporation</t>
  </si>
  <si>
    <t>abti</t>
  </si>
  <si>
    <t>Alterola Biotech Inc</t>
  </si>
  <si>
    <t>altd</t>
  </si>
  <si>
    <t>Altitude International Holdings Inc</t>
  </si>
  <si>
    <t>afpw</t>
  </si>
  <si>
    <t>Alumifuel Power Corp</t>
  </si>
  <si>
    <t>alye</t>
  </si>
  <si>
    <t>Aly Energy Services Inc</t>
  </si>
  <si>
    <t>ansu</t>
  </si>
  <si>
    <t>Amanasu Techno Holdings Corp</t>
  </si>
  <si>
    <t>amhg</t>
  </si>
  <si>
    <t>Amergent Hospitality Group Inc</t>
  </si>
  <si>
    <t>abmc</t>
  </si>
  <si>
    <t>American Bio Medica Corporation</t>
  </si>
  <si>
    <t>cryo</t>
  </si>
  <si>
    <t>American Cryostem Corp</t>
  </si>
  <si>
    <t>amct</t>
  </si>
  <si>
    <t>American Education Center Inc</t>
  </si>
  <si>
    <t>ewll</t>
  </si>
  <si>
    <t>American Health Protection Corp</t>
  </si>
  <si>
    <t>amih</t>
  </si>
  <si>
    <t>American International Holdings Corp</t>
  </si>
  <si>
    <t>amlh</t>
  </si>
  <si>
    <t>American Leisure Holdings, Inc. Common Stock</t>
  </si>
  <si>
    <t>atvk</t>
  </si>
  <si>
    <t>Ameritek Ventures Inc</t>
  </si>
  <si>
    <t>atcc</t>
  </si>
  <si>
    <t>Ameritrust Corp</t>
  </si>
  <si>
    <t>anfif</t>
  </si>
  <si>
    <t>Amira Nature Foods Ltd</t>
  </si>
  <si>
    <t>aggg</t>
  </si>
  <si>
    <t>Antilia Group Corp</t>
  </si>
  <si>
    <t>appb</t>
  </si>
  <si>
    <t>Applied Biosciences Corp</t>
  </si>
  <si>
    <t>amnl</t>
  </si>
  <si>
    <t>Applied Minerals Inc</t>
  </si>
  <si>
    <t>afiiq</t>
  </si>
  <si>
    <t>Armstrong Flooring Inc</t>
  </si>
  <si>
    <t>ttcm</t>
  </si>
  <si>
    <t>Artelligence Holdings Inc</t>
  </si>
  <si>
    <t>aitx</t>
  </si>
  <si>
    <t>Artificial Intelligence Tech Solutns Inc</t>
  </si>
  <si>
    <t>iptk</t>
  </si>
  <si>
    <t>AS-IP Tech Inc</t>
  </si>
  <si>
    <t>afhif</t>
  </si>
  <si>
    <t>Atlas Financial Holdings Inc</t>
  </si>
  <si>
    <t>auri</t>
  </si>
  <si>
    <t>Auri Inc</t>
  </si>
  <si>
    <t>asck</t>
  </si>
  <si>
    <t>AUSCRETE Ord Shs</t>
  </si>
  <si>
    <t>btdg</t>
  </si>
  <si>
    <t>B2Digital, Inc. Common Stock</t>
  </si>
  <si>
    <t>bssp</t>
  </si>
  <si>
    <t>Baseline Productions Inc</t>
  </si>
  <si>
    <t>brgo</t>
  </si>
  <si>
    <t>Bergio International Inc</t>
  </si>
  <si>
    <t>byoc</t>
  </si>
  <si>
    <t>Beyond Commerce Inc</t>
  </si>
  <si>
    <t>bnvif</t>
  </si>
  <si>
    <t>Binovi Technologies Corp</t>
  </si>
  <si>
    <t>benh</t>
  </si>
  <si>
    <t>Bio-En Holdings Corp</t>
  </si>
  <si>
    <t>bdpt</t>
  </si>
  <si>
    <t>Bioadaptives Inc</t>
  </si>
  <si>
    <t>lith</t>
  </si>
  <si>
    <t>Bioelife Corp</t>
  </si>
  <si>
    <t>blfe</t>
  </si>
  <si>
    <t>Biolife Sciences Inc</t>
  </si>
  <si>
    <t>bnkl</t>
  </si>
  <si>
    <t>Bionik Laboratories Corp</t>
  </si>
  <si>
    <t>biio</t>
  </si>
  <si>
    <t>Bionovate Technologies Corp</t>
  </si>
  <si>
    <t>bbbt</t>
  </si>
  <si>
    <t>Black Bird Biotech Inc</t>
  </si>
  <si>
    <t>begi</t>
  </si>
  <si>
    <t>Blackstar Enterprise Group Inc</t>
  </si>
  <si>
    <t>blms</t>
  </si>
  <si>
    <t>Bloomios Inc</t>
  </si>
  <si>
    <t>sgoo</t>
  </si>
  <si>
    <t>Blue Horse Direct Inc</t>
  </si>
  <si>
    <t>brrn</t>
  </si>
  <si>
    <t>Born Inc</t>
  </si>
  <si>
    <t>bncm</t>
  </si>
  <si>
    <t>Bounce Mobile Systems Ord Shs</t>
  </si>
  <si>
    <t>bleg</t>
  </si>
  <si>
    <t>BRANDED LEGACY Ord Shs</t>
  </si>
  <si>
    <t>lndc</t>
  </si>
  <si>
    <t>Brasilagro Companhia</t>
  </si>
  <si>
    <t>brbl</t>
  </si>
  <si>
    <t>Brewbilt Brewing Co</t>
  </si>
  <si>
    <t>bbrw</t>
  </si>
  <si>
    <t>Brewbilt Manufacturing Inc</t>
  </si>
  <si>
    <t>bzwr</t>
  </si>
  <si>
    <t>Business Warrior Corp</t>
  </si>
  <si>
    <t>oogi</t>
  </si>
  <si>
    <t>C2e Energy Inc</t>
  </si>
  <si>
    <t>cnna</t>
  </si>
  <si>
    <t>Cann American Corp</t>
  </si>
  <si>
    <t>cbgl</t>
  </si>
  <si>
    <t>Cannabis Global, Inc.</t>
  </si>
  <si>
    <t>nugs</t>
  </si>
  <si>
    <t>Cannabis Strategic Ventures</t>
  </si>
  <si>
    <t>cngt</t>
  </si>
  <si>
    <t>Cannagistics Inc</t>
  </si>
  <si>
    <t>cpmd</t>
  </si>
  <si>
    <t>Cannapharmarx Inc</t>
  </si>
  <si>
    <t>cnttq</t>
  </si>
  <si>
    <t>CannTrust Holdings Ord Shs</t>
  </si>
  <si>
    <t>cowi</t>
  </si>
  <si>
    <t>CarbonMeta Technologies Inc</t>
  </si>
  <si>
    <t>cdxi</t>
  </si>
  <si>
    <t>Cardax Inc</t>
  </si>
  <si>
    <t>cbkcq</t>
  </si>
  <si>
    <t>CB Wind-Down Corp</t>
  </si>
  <si>
    <t>cbdl</t>
  </si>
  <si>
    <t>CBD Life Sciences Ord Shs</t>
  </si>
  <si>
    <t>cenbf</t>
  </si>
  <si>
    <t>CEN BIOTECH Ord Shs</t>
  </si>
  <si>
    <t>ccob</t>
  </si>
  <si>
    <t>Century Cobalt Corp</t>
  </si>
  <si>
    <t>cgsi</t>
  </si>
  <si>
    <t>CGS International Inc</t>
  </si>
  <si>
    <t>gsmgw</t>
  </si>
  <si>
    <t>Cheer Holding</t>
  </si>
  <si>
    <t>chgi</t>
  </si>
  <si>
    <t>China Carbon Graphite Group  Inc</t>
  </si>
  <si>
    <t>cshef</t>
  </si>
  <si>
    <t>China Enterprises Limited</t>
  </si>
  <si>
    <t>jrjcy</t>
  </si>
  <si>
    <t>China Finance Online Co Ltd</t>
  </si>
  <si>
    <t>cuii</t>
  </si>
  <si>
    <t>China United Insurance Service Inc</t>
  </si>
  <si>
    <t>chno</t>
  </si>
  <si>
    <t>Classworx Inc</t>
  </si>
  <si>
    <t>clth</t>
  </si>
  <si>
    <t>CleanTech Biofuels Inc</t>
  </si>
  <si>
    <t>clis</t>
  </si>
  <si>
    <t>Clickstream Corp</t>
  </si>
  <si>
    <t>cmgr</t>
  </si>
  <si>
    <t>Clubhouse Media Group Inc</t>
  </si>
  <si>
    <t>cmgo</t>
  </si>
  <si>
    <t>CMG Holdings Group Inc</t>
  </si>
  <si>
    <t>cosg</t>
  </si>
  <si>
    <t>Coinllectibles Inc</t>
  </si>
  <si>
    <t>ncre</t>
  </si>
  <si>
    <t>Colambda Technologies Inc</t>
  </si>
  <si>
    <t>cmraw</t>
  </si>
  <si>
    <t>Comera Life Science Hldgs</t>
  </si>
  <si>
    <t>warm</t>
  </si>
  <si>
    <t>Cool Technologies Inc</t>
  </si>
  <si>
    <t>corg</t>
  </si>
  <si>
    <t>Cordia Corp</t>
  </si>
  <si>
    <t>cglo</t>
  </si>
  <si>
    <t>Coro Global Inc</t>
  </si>
  <si>
    <t>cotrp</t>
  </si>
  <si>
    <t>Corts Tr J C Penney Corporate-Backed Tr Secs Ctf 7.625%</t>
  </si>
  <si>
    <t>csli</t>
  </si>
  <si>
    <t>Critical Solutions Ord Shs</t>
  </si>
  <si>
    <t>cbca</t>
  </si>
  <si>
    <t>Crown Baus Capital Corp</t>
  </si>
  <si>
    <t>crcw</t>
  </si>
  <si>
    <t>Crypto Co</t>
  </si>
  <si>
    <t>ecxj</t>
  </si>
  <si>
    <t>Cxj Group Co Ltd</t>
  </si>
  <si>
    <t>cybf</t>
  </si>
  <si>
    <t>Cyberfort Software Inc</t>
  </si>
  <si>
    <t>dpls</t>
  </si>
  <si>
    <t>Darkpulse Inc</t>
  </si>
  <si>
    <t>dclt</t>
  </si>
  <si>
    <t>Data Call Technologies, Inc.</t>
  </si>
  <si>
    <t>dbrm</t>
  </si>
  <si>
    <t>Daybreak Oil and Gas Inc</t>
  </si>
  <si>
    <t>wdlf</t>
  </si>
  <si>
    <t>Decentral Life Inc</t>
  </si>
  <si>
    <t>dwog</t>
  </si>
  <si>
    <t>Deep Well Oil &amp; Gas, Inc.</t>
  </si>
  <si>
    <t>enmi</t>
  </si>
  <si>
    <t>DH Enchantment Inc</t>
  </si>
  <si>
    <t>diah</t>
  </si>
  <si>
    <t>Diamond Holdings Inc</t>
  </si>
  <si>
    <t>dpww</t>
  </si>
  <si>
    <t>Diego Pellicer Worldwide Inc</t>
  </si>
  <si>
    <t>digaf</t>
  </si>
  <si>
    <t>Digatrade Financial Corp</t>
  </si>
  <si>
    <t>dbmm</t>
  </si>
  <si>
    <t>Digital Brand Media &amp; Marketing Grp Inc</t>
  </si>
  <si>
    <t>dloc</t>
  </si>
  <si>
    <t>Digital Locations Inc</t>
  </si>
  <si>
    <t>dgtw</t>
  </si>
  <si>
    <t>DigitalTown Inc</t>
  </si>
  <si>
    <t>dpui</t>
  </si>
  <si>
    <t>Discount Print Usa Inc</t>
  </si>
  <si>
    <t>denr</t>
  </si>
  <si>
    <t>Discovery Energy Corp</t>
  </si>
  <si>
    <t>dlti</t>
  </si>
  <si>
    <t>DLT Resolution Inc</t>
  </si>
  <si>
    <t>dnax</t>
  </si>
  <si>
    <t>DNA Brands Inc</t>
  </si>
  <si>
    <t>dsgt</t>
  </si>
  <si>
    <t>DSG Global Inc</t>
  </si>
  <si>
    <t>dxief</t>
  </si>
  <si>
    <t>DXI Capital Corp</t>
  </si>
  <si>
    <t>clts</t>
  </si>
  <si>
    <t>Earth Life Sciences Inc</t>
  </si>
  <si>
    <t>eaph</t>
  </si>
  <si>
    <t>Easton Pharmaceuticals Inc</t>
  </si>
  <si>
    <t>ecgi</t>
  </si>
  <si>
    <t>ECGI Holdings Inc</t>
  </si>
  <si>
    <t>ecox</t>
  </si>
  <si>
    <t>Eco Innovation Group Ord Shs</t>
  </si>
  <si>
    <t>ecdd</t>
  </si>
  <si>
    <t>Ecrid Inc</t>
  </si>
  <si>
    <t>efir</t>
  </si>
  <si>
    <t>EGPI Firecreek, Inc. Common Stock</t>
  </si>
  <si>
    <t>ehvvf</t>
  </si>
  <si>
    <t>ehave Inc</t>
  </si>
  <si>
    <t>emed</t>
  </si>
  <si>
    <t>Electromedical Technologies Inc</t>
  </si>
  <si>
    <t>eegi</t>
  </si>
  <si>
    <t>Eline Entertainment Group Inc</t>
  </si>
  <si>
    <t>elio</t>
  </si>
  <si>
    <t>Elio Motors Ord Shs</t>
  </si>
  <si>
    <t>elra</t>
  </si>
  <si>
    <t>Elray Resources Inc</t>
  </si>
  <si>
    <t>emge</t>
  </si>
  <si>
    <t>Emergent Health Ord Shs</t>
  </si>
  <si>
    <t>epgg</t>
  </si>
  <si>
    <t>Empire Global Gaming Inc</t>
  </si>
  <si>
    <t>epwcf</t>
  </si>
  <si>
    <t>Empower Clinics Inc</t>
  </si>
  <si>
    <t>ednc</t>
  </si>
  <si>
    <t>Empresa Distribuidora y Cmrclzdr Nort SA</t>
  </si>
  <si>
    <t>encc</t>
  </si>
  <si>
    <t>Encompass Compliance Corp</t>
  </si>
  <si>
    <t>endpq</t>
  </si>
  <si>
    <t>Endo International PLC</t>
  </si>
  <si>
    <t>eari</t>
  </si>
  <si>
    <t>Entertainment Arts Research Ord Shs</t>
  </si>
  <si>
    <t>etni</t>
  </si>
  <si>
    <t>Entest Group Inc</t>
  </si>
  <si>
    <t>esh</t>
  </si>
  <si>
    <t>ESPRIT HLDGS HD-,10</t>
  </si>
  <si>
    <t>grst</t>
  </si>
  <si>
    <t>Ethema Health Corp</t>
  </si>
  <si>
    <t>tlgn</t>
  </si>
  <si>
    <t>Ever Harvest International Group Inc</t>
  </si>
  <si>
    <t>evvl</t>
  </si>
  <si>
    <t>Evil Empire Designs Inc</t>
  </si>
  <si>
    <t>evio</t>
  </si>
  <si>
    <t>EVIO Inc</t>
  </si>
  <si>
    <t>yayo</t>
  </si>
  <si>
    <t>EVMO Inc</t>
  </si>
  <si>
    <t>evoa</t>
  </si>
  <si>
    <t>EVO Transportation &amp; Energy Services Inc</t>
  </si>
  <si>
    <t>excl</t>
  </si>
  <si>
    <t>Excellerant Inc</t>
  </si>
  <si>
    <t>exeo</t>
  </si>
  <si>
    <t>Exeo Entertainment Inc</t>
  </si>
  <si>
    <t>exla</t>
  </si>
  <si>
    <t>Exla Resources Inc</t>
  </si>
  <si>
    <t>xtrm</t>
  </si>
  <si>
    <t>Extreme Biodiesel Inc</t>
  </si>
  <si>
    <t>fcti</t>
  </si>
  <si>
    <t>Fact Inc</t>
  </si>
  <si>
    <t>fhp</t>
  </si>
  <si>
    <t>Fandango Holdings PLC</t>
  </si>
  <si>
    <t>fbcd</t>
  </si>
  <si>
    <t>FBC Holding Inc</t>
  </si>
  <si>
    <t>ferl</t>
  </si>
  <si>
    <t>Fearless Films Inc</t>
  </si>
  <si>
    <t>fecof</t>
  </si>
  <si>
    <t>FEC Resources Inc</t>
  </si>
  <si>
    <t>fern</t>
  </si>
  <si>
    <t>Fernhill Corp</t>
  </si>
  <si>
    <t>fxcow</t>
  </si>
  <si>
    <t>FINANCIAL STRATEGIES ACQUISITION Corp</t>
  </si>
  <si>
    <t>fssn</t>
  </si>
  <si>
    <t>Fision Corp</t>
  </si>
  <si>
    <t>flxt</t>
  </si>
  <si>
    <t>Flexpoint Sensor Systems Inc</t>
  </si>
  <si>
    <t>fomc</t>
  </si>
  <si>
    <t>Fomo Worldwide Inc</t>
  </si>
  <si>
    <t>ftxp</t>
  </si>
  <si>
    <t>Foothills Exploration Inc</t>
  </si>
  <si>
    <t>fjhl</t>
  </si>
  <si>
    <t>Fovea Jewelry Holdings Ltd</t>
  </si>
  <si>
    <t>fmnj</t>
  </si>
  <si>
    <t>Franklin Mining Inc</t>
  </si>
  <si>
    <t>frli</t>
  </si>
  <si>
    <t>Frelii Inc</t>
  </si>
  <si>
    <t>fdbl</t>
  </si>
  <si>
    <t>Friendable Inc</t>
  </si>
  <si>
    <t>frfr</t>
  </si>
  <si>
    <t>Fritzy Tech Inc</t>
  </si>
  <si>
    <t>frtg</t>
  </si>
  <si>
    <t>Frontera Group Inc</t>
  </si>
  <si>
    <t>gaxy</t>
  </si>
  <si>
    <t>Galaxy Next Generation Inc</t>
  </si>
  <si>
    <t>gmgt</t>
  </si>
  <si>
    <t>Gaming Technologies Inc</t>
  </si>
  <si>
    <t>gtch</t>
  </si>
  <si>
    <t>GBT Technologies Inc</t>
  </si>
  <si>
    <t>gsac</t>
  </si>
  <si>
    <t>Gelstat Corp</t>
  </si>
  <si>
    <t>crxm</t>
  </si>
  <si>
    <t>Gene Biotherapeutics Inc</t>
  </si>
  <si>
    <t>gnal</t>
  </si>
  <si>
    <t>Generation Alpha Inc</t>
  </si>
  <si>
    <t>genn</t>
  </si>
  <si>
    <t>Genesis Healthcare Inc</t>
  </si>
  <si>
    <t>gnolf</t>
  </si>
  <si>
    <t>Genoil Inc</t>
  </si>
  <si>
    <t>gteh</t>
  </si>
  <si>
    <t>Gentech Holdings Inc</t>
  </si>
  <si>
    <t>gxxm</t>
  </si>
  <si>
    <t>GEX Management Inc</t>
  </si>
  <si>
    <t>gtor</t>
  </si>
  <si>
    <t>Ggtoor Inc</t>
  </si>
  <si>
    <t>bzrd</t>
  </si>
  <si>
    <t>Giant Motorsports, Inc</t>
  </si>
  <si>
    <t>gahc</t>
  </si>
  <si>
    <t>Global Arena Holding Inc</t>
  </si>
  <si>
    <t>gdsi</t>
  </si>
  <si>
    <t>Global Digital Solutions Inc</t>
  </si>
  <si>
    <t>gtll</t>
  </si>
  <si>
    <t>Global Technologies Ltd</t>
  </si>
  <si>
    <t>gwhp</t>
  </si>
  <si>
    <t>Global Wholehealth Partners Corp</t>
  </si>
  <si>
    <t>gstc</t>
  </si>
  <si>
    <t>GlobeStar Therapeutics Corp</t>
  </si>
  <si>
    <t>mblv</t>
  </si>
  <si>
    <t>Globex Holdings Corp</t>
  </si>
  <si>
    <t>gmev</t>
  </si>
  <si>
    <t>GME Innotainment Inc</t>
  </si>
  <si>
    <t>dvlp</t>
  </si>
  <si>
    <t>Golden Developing Solutions Inc</t>
  </si>
  <si>
    <t>gfmh</t>
  </si>
  <si>
    <t>Goliath Film and Media Holdings</t>
  </si>
  <si>
    <t>ghav</t>
  </si>
  <si>
    <t>Grand Havana Inc</t>
  </si>
  <si>
    <t>gpft</t>
  </si>
  <si>
    <t>Grapefruit USA Inc</t>
  </si>
  <si>
    <t>gyst</t>
  </si>
  <si>
    <t>Graystone Company Inc Class A</t>
  </si>
  <si>
    <t>gpldf</t>
  </si>
  <si>
    <t>Great Panther Mining Ltd</t>
  </si>
  <si>
    <t>gtbt</t>
  </si>
  <si>
    <t>Great Tang Bid Technology Inc</t>
  </si>
  <si>
    <t>gcan</t>
  </si>
  <si>
    <t>Greater Cannabis Company Inc</t>
  </si>
  <si>
    <t>gryn</t>
  </si>
  <si>
    <t>Green Hygienics Holdings Inc</t>
  </si>
  <si>
    <t>grlf</t>
  </si>
  <si>
    <t>Green Leaf Innovations Inc</t>
  </si>
  <si>
    <t>gsfi</t>
  </si>
  <si>
    <t>Green Stream Holdings Inc</t>
  </si>
  <si>
    <t>inkw</t>
  </si>
  <si>
    <t>Greene Concepts Ord Shs</t>
  </si>
  <si>
    <t>gkit</t>
  </si>
  <si>
    <t>Greenkraft Inc</t>
  </si>
  <si>
    <t>gnrsw</t>
  </si>
  <si>
    <t>Greenrose Holding Company (The)</t>
  </si>
  <si>
    <t>gnrs</t>
  </si>
  <si>
    <t>Greenrose Holding Company Inc</t>
  </si>
  <si>
    <t>grso</t>
  </si>
  <si>
    <t>Grow Solutions Holdings Inc</t>
  </si>
  <si>
    <t>phot</t>
  </si>
  <si>
    <t>Growlife Inc</t>
  </si>
  <si>
    <t>gspe</t>
  </si>
  <si>
    <t>GulfSlope Energy Inc</t>
  </si>
  <si>
    <t>gzic</t>
  </si>
  <si>
    <t>GZ6G Technologies Corp</t>
  </si>
  <si>
    <t>hllk</t>
  </si>
  <si>
    <t>Hallmark Venture Group Ord Shs</t>
  </si>
  <si>
    <t>hjgp</t>
  </si>
  <si>
    <t>Hanjiao Group Inc</t>
  </si>
  <si>
    <t>hdvy</t>
  </si>
  <si>
    <t>Health Discovery Corporation</t>
  </si>
  <si>
    <t>hsmd</t>
  </si>
  <si>
    <t>Healthcare Solutions Managmnt Grp Inc</t>
  </si>
  <si>
    <t>hcmc</t>
  </si>
  <si>
    <t>Healthier Choices Management Corp</t>
  </si>
  <si>
    <t>hltt</t>
  </si>
  <si>
    <t>Healthtech Solutions Inc</t>
  </si>
  <si>
    <t>hbis</t>
  </si>
  <si>
    <t>Home Bistro Inc</t>
  </si>
  <si>
    <t>homu</t>
  </si>
  <si>
    <t>HOUMU HLDGS Ord Shs</t>
  </si>
  <si>
    <t>hhc</t>
  </si>
  <si>
    <t>HOWARD HUGHES HOLDINGS ORD</t>
  </si>
  <si>
    <t>hmbl</t>
  </si>
  <si>
    <t>Humbl Inc</t>
  </si>
  <si>
    <t>hdii</t>
  </si>
  <si>
    <t>Hypertension Diagnostics, Inc.</t>
  </si>
  <si>
    <t>icnb</t>
  </si>
  <si>
    <t>Iconic Brands Inc</t>
  </si>
  <si>
    <t>insd</t>
  </si>
  <si>
    <t>IDP Holdings (USA) Corp</t>
  </si>
  <si>
    <t>ifmk</t>
  </si>
  <si>
    <t>iFresh Inc</t>
  </si>
  <si>
    <t>igen</t>
  </si>
  <si>
    <t>IGEN Networks Corp</t>
  </si>
  <si>
    <t>itox</t>
  </si>
  <si>
    <t>Iiot-Oxys Inc</t>
  </si>
  <si>
    <t>imacw</t>
  </si>
  <si>
    <t>icgl</t>
  </si>
  <si>
    <t>Image Chain Group Limited Inc</t>
  </si>
  <si>
    <t>iwsy</t>
  </si>
  <si>
    <t>ImageWare Systems, Inc. common stock</t>
  </si>
  <si>
    <t>inct</t>
  </si>
  <si>
    <t>InCapta Inc</t>
  </si>
  <si>
    <t>imii</t>
  </si>
  <si>
    <t>Inception Mining Inc</t>
  </si>
  <si>
    <t>igex</t>
  </si>
  <si>
    <t>Indo Global Exchange(s) Pte Ltd</t>
  </si>
  <si>
    <t>inqd</t>
  </si>
  <si>
    <t>Indoor Harvest Corp</t>
  </si>
  <si>
    <t>imci</t>
  </si>
  <si>
    <t>Infinite Group, Inc.</t>
  </si>
  <si>
    <t>innd</t>
  </si>
  <si>
    <t>InnerScope Hearing Technologies, Inc.</t>
  </si>
  <si>
    <t>ivst</t>
  </si>
  <si>
    <t>Innovest Global Inc</t>
  </si>
  <si>
    <t>fteg</t>
  </si>
  <si>
    <t>Integrity Health Corp</t>
  </si>
  <si>
    <t>icpt</t>
  </si>
  <si>
    <t>Intercept Pharmaceuticals Ord Shs</t>
  </si>
  <si>
    <t>itdn</t>
  </si>
  <si>
    <t>Interdyne Co</t>
  </si>
  <si>
    <t>iinx</t>
  </si>
  <si>
    <t>Ionix Technology Inc</t>
  </si>
  <si>
    <t>isgn</t>
  </si>
  <si>
    <t>Isign Solutions Inc</t>
  </si>
  <si>
    <t>inlb</t>
  </si>
  <si>
    <t>Item 9 Labs Corp</t>
  </si>
  <si>
    <t>kldo</t>
  </si>
  <si>
    <t>Kaleido Biosciences Inc</t>
  </si>
  <si>
    <t>kalo</t>
  </si>
  <si>
    <t>Kallo Inc</t>
  </si>
  <si>
    <t>katx</t>
  </si>
  <si>
    <t>Kat Exploration Inc</t>
  </si>
  <si>
    <t>bmmcf</t>
  </si>
  <si>
    <t>KBridge Energy Corp</t>
  </si>
  <si>
    <t>kbsg</t>
  </si>
  <si>
    <t>KBS Growth &amp; Income Reit Inc</t>
  </si>
  <si>
    <t>dlcr</t>
  </si>
  <si>
    <t>Kibush Capital Corp</t>
  </si>
  <si>
    <t>krfg</t>
  </si>
  <si>
    <t>King Resources, Inc.</t>
  </si>
  <si>
    <t>kssh</t>
  </si>
  <si>
    <t>Kingfish Holding Corp</t>
  </si>
  <si>
    <t>kgkg</t>
  </si>
  <si>
    <t>Kona Gold Beverage Inc</t>
  </si>
  <si>
    <t>knos</t>
  </si>
  <si>
    <t>Kronos Advanced Technologies Inc.</t>
  </si>
  <si>
    <t>kbntw</t>
  </si>
  <si>
    <t>Kubient</t>
  </si>
  <si>
    <t>kbnt</t>
  </si>
  <si>
    <t>Kubient Inc</t>
  </si>
  <si>
    <t>ltchw</t>
  </si>
  <si>
    <t>LATCH</t>
  </si>
  <si>
    <t>ltes</t>
  </si>
  <si>
    <t>Leet Technology Inc</t>
  </si>
  <si>
    <t>lfap</t>
  </si>
  <si>
    <t>LGBTQ Loyalty Holdings Inc</t>
  </si>
  <si>
    <t>syqh</t>
  </si>
  <si>
    <t>Liaoning Shuiyun Qinghe Rice Inds Co Ltd</t>
  </si>
  <si>
    <t>lclp</t>
  </si>
  <si>
    <t>Life Clips Inc</t>
  </si>
  <si>
    <t>lfer</t>
  </si>
  <si>
    <t>Life On Earth Inc</t>
  </si>
  <si>
    <t>boty</t>
  </si>
  <si>
    <t>Lingerie Fighting Championships Inc</t>
  </si>
  <si>
    <t>lbti</t>
  </si>
  <si>
    <t>Lithium &amp; Boron Technology Inc</t>
  </si>
  <si>
    <t>livc</t>
  </si>
  <si>
    <t>Live Current Media Inc</t>
  </si>
  <si>
    <t>lvvv</t>
  </si>
  <si>
    <t>Livewire Ergogenics Inc</t>
  </si>
  <si>
    <t>ltdh</t>
  </si>
  <si>
    <t>Living 3D Holdings Inc</t>
  </si>
  <si>
    <t>lxam</t>
  </si>
  <si>
    <t>Lux Amber Corp</t>
  </si>
  <si>
    <t>mdex</t>
  </si>
  <si>
    <t>Madison Technologies Inc</t>
  </si>
  <si>
    <t>masn</t>
  </si>
  <si>
    <t>Maison Luxe Inc</t>
  </si>
  <si>
    <t>mlfb</t>
  </si>
  <si>
    <t>Major League Football Inc</t>
  </si>
  <si>
    <t>hwin</t>
  </si>
  <si>
    <t>Makamer Holdings Inc</t>
  </si>
  <si>
    <t>mhtx</t>
  </si>
  <si>
    <t>Manhattan Scientifics Inc</t>
  </si>
  <si>
    <t>mapt</t>
  </si>
  <si>
    <t>Maptelligent Inc</t>
  </si>
  <si>
    <t>mcoa</t>
  </si>
  <si>
    <t>Marijuana Company Of America Inc</t>
  </si>
  <si>
    <t>tmgi</t>
  </si>
  <si>
    <t>Marquie Group Inc</t>
  </si>
  <si>
    <t>msto</t>
  </si>
  <si>
    <t>Masterbeat Corp</t>
  </si>
  <si>
    <t>maxd</t>
  </si>
  <si>
    <t>Max Sound Corp</t>
  </si>
  <si>
    <t>mdxl</t>
  </si>
  <si>
    <t>Medixall Group Inc</t>
  </si>
  <si>
    <t>mmnff</t>
  </si>
  <si>
    <t>Medmen Enterprises Inc</t>
  </si>
  <si>
    <t>ewlu</t>
  </si>
  <si>
    <t>Merion Inc</t>
  </si>
  <si>
    <t>mspc</t>
  </si>
  <si>
    <t>Metrospaces Inc</t>
  </si>
  <si>
    <t>mxsg</t>
  </si>
  <si>
    <t>Mexus Gold US</t>
  </si>
  <si>
    <t>mgti</t>
  </si>
  <si>
    <t>MGT Capital Investments Inc</t>
  </si>
  <si>
    <t>mlmn</t>
  </si>
  <si>
    <t>Millennium Prime Inc</t>
  </si>
  <si>
    <t>milc</t>
  </si>
  <si>
    <t>Millennium Sustainable Ventures Corp</t>
  </si>
  <si>
    <t>mngg</t>
  </si>
  <si>
    <t>Mining Global Inc</t>
  </si>
  <si>
    <t>mjhi</t>
  </si>
  <si>
    <t>MJ Harvest Inc</t>
  </si>
  <si>
    <t>mmex</t>
  </si>
  <si>
    <t>MMEX Resources Corp</t>
  </si>
  <si>
    <t>mobqw</t>
  </si>
  <si>
    <t>Mobiquity Technologies</t>
  </si>
  <si>
    <t>mkdty</t>
  </si>
  <si>
    <t>Molecular Data Inc - ADR</t>
  </si>
  <si>
    <t>mnvn</t>
  </si>
  <si>
    <t>Mondial Ventures Ord Shs</t>
  </si>
  <si>
    <t>mtam</t>
  </si>
  <si>
    <t>Motos America Inc</t>
  </si>
  <si>
    <t>xdsl</t>
  </si>
  <si>
    <t>mPhase Technologies Inc</t>
  </si>
  <si>
    <t>muss</t>
  </si>
  <si>
    <t>Multi Solutions II Inc</t>
  </si>
  <si>
    <t>opvs</t>
  </si>
  <si>
    <t>Nanoflex Power Corp</t>
  </si>
  <si>
    <t>nnmx</t>
  </si>
  <si>
    <t>Nanomix Corp</t>
  </si>
  <si>
    <t>nhmd</t>
  </si>
  <si>
    <t>Nate's Food Co</t>
  </si>
  <si>
    <t>ndvnq</t>
  </si>
  <si>
    <t>nDivision Inc</t>
  </si>
  <si>
    <t>nsav</t>
  </si>
  <si>
    <t>Net Savings Link Inc</t>
  </si>
  <si>
    <t>ntrr</t>
  </si>
  <si>
    <t>Neutra Corp</t>
  </si>
  <si>
    <t>nfei</t>
  </si>
  <si>
    <t>New Frontier Energy Inc.</t>
  </si>
  <si>
    <t>nnax</t>
  </si>
  <si>
    <t>New Momentum Corp</t>
  </si>
  <si>
    <t>nxmr</t>
  </si>
  <si>
    <t>NextMart Inc.</t>
  </si>
  <si>
    <t>nich</t>
  </si>
  <si>
    <t>Nitches Inc</t>
  </si>
  <si>
    <t>nafs</t>
  </si>
  <si>
    <t>North America Frac Sand Inc</t>
  </si>
  <si>
    <t>mdin</t>
  </si>
  <si>
    <t>Northstar Global Business Services, Inc. Common Stock</t>
  </si>
  <si>
    <t>nvgt</t>
  </si>
  <si>
    <t>Novagant Ord Shs</t>
  </si>
  <si>
    <t>nunz</t>
  </si>
  <si>
    <t>Nunzia Pharmaceutical Corp</t>
  </si>
  <si>
    <t>nphc</t>
  </si>
  <si>
    <t>Nutra Pharma Corp.</t>
  </si>
  <si>
    <t>nlbs</t>
  </si>
  <si>
    <t>Nutralife Biosciences Inc</t>
  </si>
  <si>
    <t>nnrx</t>
  </si>
  <si>
    <t>Nutranomics Ord Shs</t>
  </si>
  <si>
    <t>nuva</t>
  </si>
  <si>
    <t>NuVasive Ord Shs</t>
  </si>
  <si>
    <t>obcn</t>
  </si>
  <si>
    <t>Obocon Inc</t>
  </si>
  <si>
    <t>oibzq</t>
  </si>
  <si>
    <t>OI S A Sponsored ADR</t>
  </si>
  <si>
    <t>oibrq</t>
  </si>
  <si>
    <t>Oi SA - em Recuperacao Judicial ADR</t>
  </si>
  <si>
    <t>omws</t>
  </si>
  <si>
    <t>Omnia Wellness Inc</t>
  </si>
  <si>
    <t>onci</t>
  </si>
  <si>
    <t>On4 Communications Inc</t>
  </si>
  <si>
    <t>ogaa</t>
  </si>
  <si>
    <t>Organic Agricultural Co Ltd</t>
  </si>
  <si>
    <t>owcp</t>
  </si>
  <si>
    <t>OWC Pharmaceutical Research Corp</t>
  </si>
  <si>
    <t>ozsc</t>
  </si>
  <si>
    <t>Ozop Energy Solutions Inc</t>
  </si>
  <si>
    <t>pveg</t>
  </si>
  <si>
    <t>Pacific Vegas Global Strategies, Inc.</t>
  </si>
  <si>
    <t>pacv</t>
  </si>
  <si>
    <t>Pacific Ventures Group Inc</t>
  </si>
  <si>
    <t>plyn</t>
  </si>
  <si>
    <t>Palayan Resources Inc</t>
  </si>
  <si>
    <t>pzoo</t>
  </si>
  <si>
    <t>Pazoo Inc</t>
  </si>
  <si>
    <t>pctl</t>
  </si>
  <si>
    <t>PCT Ltd</t>
  </si>
  <si>
    <t>logx</t>
  </si>
  <si>
    <t>PeerLogix Inc</t>
  </si>
  <si>
    <t>pdpg</t>
  </si>
  <si>
    <t>Performance Drink Group Ord Shs</t>
  </si>
  <si>
    <t>prki</t>
  </si>
  <si>
    <t>Perk International Inc</t>
  </si>
  <si>
    <t>pgas</t>
  </si>
  <si>
    <t>Petrogress Inc</t>
  </si>
  <si>
    <t>bbls</t>
  </si>
  <si>
    <t>Petrolia Energy Corp</t>
  </si>
  <si>
    <t>pqeff</t>
  </si>
  <si>
    <t>Petroteq Energy Inc</t>
  </si>
  <si>
    <t>pgai</t>
  </si>
  <si>
    <t>PGI Inc</t>
  </si>
  <si>
    <t>phbi</t>
  </si>
  <si>
    <t>Pharmagreen Biotech Inc</t>
  </si>
  <si>
    <t>phil</t>
  </si>
  <si>
    <t>PHI Group, Inc. Common Stock</t>
  </si>
  <si>
    <t>pxpp</t>
  </si>
  <si>
    <t>Phoenix Apps Inc</t>
  </si>
  <si>
    <t>prcx</t>
  </si>
  <si>
    <t>Phoenix Rising Companies</t>
  </si>
  <si>
    <t>plyz</t>
  </si>
  <si>
    <t>Plyzer Technologies Inc</t>
  </si>
  <si>
    <t>pcnt</t>
  </si>
  <si>
    <t>Point of Care Nano-Technology Inc</t>
  </si>
  <si>
    <t>ptam</t>
  </si>
  <si>
    <t>Potash America Inc</t>
  </si>
  <si>
    <t>pred</t>
  </si>
  <si>
    <t>Predictive Technology Group Inc</t>
  </si>
  <si>
    <t>biei</t>
  </si>
  <si>
    <t>Premier Graphene Inc</t>
  </si>
  <si>
    <t>pmpg</t>
  </si>
  <si>
    <t>Premier Products Group Inc</t>
  </si>
  <si>
    <t>psww</t>
  </si>
  <si>
    <t>Principal Solar Inc</t>
  </si>
  <si>
    <t>psyc</t>
  </si>
  <si>
    <t>PSYC Ord Shs</t>
  </si>
  <si>
    <t>puge</t>
  </si>
  <si>
    <t>Puget Technologies Inc</t>
  </si>
  <si>
    <t>phcg</t>
  </si>
  <si>
    <t>Pure Harvest Corporate Group Inc</t>
  </si>
  <si>
    <t>pvnnf</t>
  </si>
  <si>
    <t>PV Nano Cell Ltd</t>
  </si>
  <si>
    <t>qbio</t>
  </si>
  <si>
    <t>Q BioMed Inc</t>
  </si>
  <si>
    <t>qian</t>
  </si>
  <si>
    <t>Qiansui International Group Co Ltd</t>
  </si>
  <si>
    <t>mmmm</t>
  </si>
  <si>
    <t>Quad M Solutions Inc</t>
  </si>
  <si>
    <t>qoeg</t>
  </si>
  <si>
    <t>Quality Online Education Group Inc</t>
  </si>
  <si>
    <t>qtxb</t>
  </si>
  <si>
    <t>Quantrx Biomedical Corp</t>
  </si>
  <si>
    <t>qtgi</t>
  </si>
  <si>
    <t>Quark Technology Global Ord Shs</t>
  </si>
  <si>
    <t>rdar</t>
  </si>
  <si>
    <t>Raadr Inc</t>
  </si>
  <si>
    <t>rakr</t>
  </si>
  <si>
    <t>Rainmaker Worldwide Ord Shs</t>
  </si>
  <si>
    <t>rtsl</t>
  </si>
  <si>
    <t>Rapid Therapeutic Science Laborators Inc</t>
  </si>
  <si>
    <t>rayt</t>
  </si>
  <si>
    <t>Rayont Inc</t>
  </si>
  <si>
    <t>rlbd</t>
  </si>
  <si>
    <t>Real Brands Inc</t>
  </si>
  <si>
    <t>rbsh</t>
  </si>
  <si>
    <t>Rebus Holdings Inc</t>
  </si>
  <si>
    <t>rmesf</t>
  </si>
  <si>
    <t>Red Metal Resources Ltd</t>
  </si>
  <si>
    <t>rgrx</t>
  </si>
  <si>
    <t>RegeneRx Biopharmaceuticals Inc</t>
  </si>
  <si>
    <t>rgin</t>
  </si>
  <si>
    <t>Regenicin Inc</t>
  </si>
  <si>
    <t>rbnw</t>
  </si>
  <si>
    <t>Renewable Energy and Power Inc</t>
  </si>
  <si>
    <t>rnva</t>
  </si>
  <si>
    <t>Rennova Health Inc</t>
  </si>
  <si>
    <t>rcar</t>
  </si>
  <si>
    <t>RenovaCare Inc</t>
  </si>
  <si>
    <t>reno</t>
  </si>
  <si>
    <t>Renovare Environmental Inc</t>
  </si>
  <si>
    <t>renn</t>
  </si>
  <si>
    <t>Renta Corporacion Real Estate SA</t>
  </si>
  <si>
    <t>rspi</t>
  </si>
  <si>
    <t>Respirerx Pharmaceuticals Inc</t>
  </si>
  <si>
    <t>rynl</t>
  </si>
  <si>
    <t>Reynaldo's Mexican Food Co Inc</t>
  </si>
  <si>
    <t>rbrxf</t>
  </si>
  <si>
    <t>Rhino Biotech Ltd</t>
  </si>
  <si>
    <t>rivx</t>
  </si>
  <si>
    <t>Rivex Technology Corp</t>
  </si>
  <si>
    <t>rmhb</t>
  </si>
  <si>
    <t>Rocky Mountain High Brands Inc</t>
  </si>
  <si>
    <t>rshn</t>
  </si>
  <si>
    <t>Rushnet Inc</t>
  </si>
  <si>
    <t>srmx</t>
  </si>
  <si>
    <t>Saddle Ranch Media Inc</t>
  </si>
  <si>
    <t>sdon</t>
  </si>
  <si>
    <t>Sandston Corp</t>
  </si>
  <si>
    <t>sgbi</t>
  </si>
  <si>
    <t>Sangui Biotech International Inc</t>
  </si>
  <si>
    <t>sanp</t>
  </si>
  <si>
    <t>Santo Mining Corp</t>
  </si>
  <si>
    <t>snwr</t>
  </si>
  <si>
    <t>Sanwire Corp</t>
  </si>
  <si>
    <t>sasbq</t>
  </si>
  <si>
    <t>SAS ADR</t>
  </si>
  <si>
    <t>scrh</t>
  </si>
  <si>
    <t>Scores Holding Company Inc</t>
  </si>
  <si>
    <t>sgen</t>
  </si>
  <si>
    <t>Seagen Ord Shs</t>
  </si>
  <si>
    <t>syev</t>
  </si>
  <si>
    <t>Seychelle Environmental Technologies Inc</t>
  </si>
  <si>
    <t>sflm</t>
  </si>
  <si>
    <t>SFLMAVEN Ord Shs</t>
  </si>
  <si>
    <t>seii</t>
  </si>
  <si>
    <t>Sharing Economy International Inc</t>
  </si>
  <si>
    <t>shrg</t>
  </si>
  <si>
    <t>Sharing Services Global Corp</t>
  </si>
  <si>
    <t>winr</t>
  </si>
  <si>
    <t>Simplicity Esports and Gaming Co</t>
  </si>
  <si>
    <t>simpq</t>
  </si>
  <si>
    <t>Simply Inc</t>
  </si>
  <si>
    <t>spup</t>
  </si>
  <si>
    <t>Sipup Corp</t>
  </si>
  <si>
    <t>ssof</t>
  </si>
  <si>
    <t>Sixty Six Oilfield Services Ord Shs</t>
  </si>
  <si>
    <t>slhpf</t>
  </si>
  <si>
    <t>Skylight Health Group 9.25 Perpetual Pref Shs</t>
  </si>
  <si>
    <t>slhgf</t>
  </si>
  <si>
    <t>Skylight Health Group Inc</t>
  </si>
  <si>
    <t>sdec</t>
  </si>
  <si>
    <t>Smart Decision Inc</t>
  </si>
  <si>
    <t>smsa</t>
  </si>
  <si>
    <t>Smart Metering Systems Assd Ord Shs</t>
  </si>
  <si>
    <t>smme</t>
  </si>
  <si>
    <t>SmartMetric, Inc. common stock</t>
  </si>
  <si>
    <t>sols</t>
  </si>
  <si>
    <t>Sollensys Corp</t>
  </si>
  <si>
    <t>spbv</t>
  </si>
  <si>
    <t>Sports Pouch Beverage Ord Shs</t>
  </si>
  <si>
    <t>sbigw</t>
  </si>
  <si>
    <t>SpringBig Holdings</t>
  </si>
  <si>
    <t>spyr</t>
  </si>
  <si>
    <t>SPYR Inc</t>
  </si>
  <si>
    <t>stal</t>
  </si>
  <si>
    <t>Star Alliance International Corp</t>
  </si>
  <si>
    <t>sfio</t>
  </si>
  <si>
    <t>Starfleet Innotech Inc</t>
  </si>
  <si>
    <t>stab</t>
  </si>
  <si>
    <t>Statera Biopharma Inc</t>
  </si>
  <si>
    <t>stcc</t>
  </si>
  <si>
    <t>Sterling Consolidated Corp</t>
  </si>
  <si>
    <t>leas</t>
  </si>
  <si>
    <t>Strategic Asset Leasing Ord Shs</t>
  </si>
  <si>
    <t>srus</t>
  </si>
  <si>
    <t>Stratus Capital Ord Shs</t>
  </si>
  <si>
    <t>stwc</t>
  </si>
  <si>
    <t>STWC Holdings Inc</t>
  </si>
  <si>
    <t>snpw</t>
  </si>
  <si>
    <t>Sun Pacific Holding Corp</t>
  </si>
  <si>
    <t>sigo</t>
  </si>
  <si>
    <t>Sunset Island Group Inc</t>
  </si>
  <si>
    <t>suwn</t>
  </si>
  <si>
    <t>Sunwin Stevia International Inc</t>
  </si>
  <si>
    <t>syne</t>
  </si>
  <si>
    <t>Synthesis Energy Systems Inc</t>
  </si>
  <si>
    <t>sysx</t>
  </si>
  <si>
    <t>Sysorex Inc</t>
  </si>
  <si>
    <t>cbdy</t>
  </si>
  <si>
    <t>Target Group Inc</t>
  </si>
  <si>
    <t>taug</t>
  </si>
  <si>
    <t>Tauriga Sciences Inc</t>
  </si>
  <si>
    <t>tchc</t>
  </si>
  <si>
    <t>Tech Central Inc</t>
  </si>
  <si>
    <t>tren</t>
  </si>
  <si>
    <t>Tecnicas Reunidas SA</t>
  </si>
  <si>
    <t>tldn</t>
  </si>
  <si>
    <t>Telidyne Inc</t>
  </si>
  <si>
    <t>tevnf</t>
  </si>
  <si>
    <t>Tevano Systems Holdings Inc</t>
  </si>
  <si>
    <t>thct</t>
  </si>
  <si>
    <t>Thc Therapeutics Inc</t>
  </si>
  <si>
    <t>ther</t>
  </si>
  <si>
    <t>Theralink Technologies Inc</t>
  </si>
  <si>
    <t>tsoi</t>
  </si>
  <si>
    <t>Therapeutic Solutions International Inc</t>
  </si>
  <si>
    <t>tgro</t>
  </si>
  <si>
    <t>Tiger Oil and Energy Inc</t>
  </si>
  <si>
    <t>tomdf</t>
  </si>
  <si>
    <t>Todos Medical Ltd</t>
  </si>
  <si>
    <t>tmbxf</t>
  </si>
  <si>
    <t>Tombstone Exploration Corp</t>
  </si>
  <si>
    <t>tghi</t>
  </si>
  <si>
    <t>Touchpoint Group Holdings Inc</t>
  </si>
  <si>
    <t>towtf</t>
  </si>
  <si>
    <t>Tower One Wireless Corp</t>
  </si>
  <si>
    <t>tptw</t>
  </si>
  <si>
    <t>TPT Global Tech Inc</t>
  </si>
  <si>
    <t>tkxhf</t>
  </si>
  <si>
    <t>TrackX Holdings Inc</t>
  </si>
  <si>
    <t>tggi</t>
  </si>
  <si>
    <t>Trans Global Group Inc</t>
  </si>
  <si>
    <t>tlss</t>
  </si>
  <si>
    <t>Transportation and Logistics Systems Inc</t>
  </si>
  <si>
    <t>tpii</t>
  </si>
  <si>
    <t>Triad Pro Innovators Inc</t>
  </si>
  <si>
    <t>tdnt</t>
  </si>
  <si>
    <t>Trident Brands Inc</t>
  </si>
  <si>
    <t>trirw</t>
  </si>
  <si>
    <t>TRITERRAS</t>
  </si>
  <si>
    <t>uryl</t>
  </si>
  <si>
    <t>Truenorth Quantum Inc</t>
  </si>
  <si>
    <t>tvog</t>
  </si>
  <si>
    <t>Turner Valley Oil and Gas Inc</t>
  </si>
  <si>
    <t>jcic</t>
  </si>
  <si>
    <t>Tyco International Plc Cedear</t>
  </si>
  <si>
    <t>uneq</t>
  </si>
  <si>
    <t>Uneeqo Inc</t>
  </si>
  <si>
    <t>unir</t>
  </si>
  <si>
    <t>Uniroyal Global Engineered Products Inc</t>
  </si>
  <si>
    <t>ughb</t>
  </si>
  <si>
    <t>Universal Global Hub Inc</t>
  </si>
  <si>
    <t>uvss</t>
  </si>
  <si>
    <t>Universal Syste Ord Shs</t>
  </si>
  <si>
    <t>updc</t>
  </si>
  <si>
    <t>UPD Holding Corp</t>
  </si>
  <si>
    <t>usrm</t>
  </si>
  <si>
    <t>US Stem Cell Inc</t>
  </si>
  <si>
    <t>uita</t>
  </si>
  <si>
    <t>Utilicraft Aerospace Industries Ord Shs</t>
  </si>
  <si>
    <t>psru</t>
  </si>
  <si>
    <t>Valiant Eagle Inc</t>
  </si>
  <si>
    <t>verbw</t>
  </si>
  <si>
    <t>vbhi</t>
  </si>
  <si>
    <t>Verde Bio Holdings Inc</t>
  </si>
  <si>
    <t>vrus</t>
  </si>
  <si>
    <t>Verus International Inc</t>
  </si>
  <si>
    <t>vtna</t>
  </si>
  <si>
    <t>Vetanova Inc</t>
  </si>
  <si>
    <t>vbvt</t>
  </si>
  <si>
    <t>Viabuilt Ventures Inc</t>
  </si>
  <si>
    <t>lvca</t>
  </si>
  <si>
    <t>Victoria Lake Inc</t>
  </si>
  <si>
    <t>vmhg</t>
  </si>
  <si>
    <t>Victory Marine Holdings Ord Shs</t>
  </si>
  <si>
    <t>vieww</t>
  </si>
  <si>
    <t>View</t>
  </si>
  <si>
    <t>vper</t>
  </si>
  <si>
    <t>Viper Networks Inc</t>
  </si>
  <si>
    <t>vxit</t>
  </si>
  <si>
    <t>VirExit Technologies Inc</t>
  </si>
  <si>
    <t>ottv</t>
  </si>
  <si>
    <t>Viva Entertainment Group Inc</t>
  </si>
  <si>
    <t>vive</t>
  </si>
  <si>
    <t>Viveve Medical Inc</t>
  </si>
  <si>
    <t>vizc</t>
  </si>
  <si>
    <t>Vizconnect Inc</t>
  </si>
  <si>
    <t>vmw</t>
  </si>
  <si>
    <t>VMware Class A Ord Shs</t>
  </si>
  <si>
    <t>vnue</t>
  </si>
  <si>
    <t>VNUE Inc</t>
  </si>
  <si>
    <t>vtxb</t>
  </si>
  <si>
    <t>Vortex Brands Co</t>
  </si>
  <si>
    <t>wesc</t>
  </si>
  <si>
    <t>W&amp;E Source Corp</t>
  </si>
  <si>
    <t>wtii</t>
  </si>
  <si>
    <t>Water Technologies International Inc</t>
  </si>
  <si>
    <t>wbba</t>
  </si>
  <si>
    <t>WB Burgers Asia Inc</t>
  </si>
  <si>
    <t>whsi</t>
  </si>
  <si>
    <t>Wearable Health Solutions Inc</t>
  </si>
  <si>
    <t>webb</t>
  </si>
  <si>
    <t>Web Blockchain Media Inc</t>
  </si>
  <si>
    <t>weidy</t>
  </si>
  <si>
    <t>Weidai Ltd</t>
  </si>
  <si>
    <t>wcui</t>
  </si>
  <si>
    <t>Wellness Center USA Inc</t>
  </si>
  <si>
    <t>mlyf</t>
  </si>
  <si>
    <t>Western Magnesium Corp</t>
  </si>
  <si>
    <t>wgei</t>
  </si>
  <si>
    <t>WindGen Energy Inc Common Stock</t>
  </si>
  <si>
    <t>wnbd</t>
  </si>
  <si>
    <t>Winning Brands Corporation</t>
  </si>
  <si>
    <t>when</t>
  </si>
  <si>
    <t>World Health Energy Holdings, Inc.</t>
  </si>
  <si>
    <t>wwsg</t>
  </si>
  <si>
    <t>Worldwide Strategies, Inc.</t>
  </si>
  <si>
    <t>xall</t>
  </si>
  <si>
    <t>Xalles Holdings Inc</t>
  </si>
  <si>
    <t>xcpl</t>
  </si>
  <si>
    <t>Xcpcnl Business Services Corp</t>
  </si>
  <si>
    <t>ltgj</t>
  </si>
  <si>
    <t>Xiamen Lutong Int Travel Agency Co Ltd</t>
  </si>
  <si>
    <t>cbtc</t>
  </si>
  <si>
    <t>XTRA Bitcoin Inc</t>
  </si>
  <si>
    <t>xfci</t>
  </si>
  <si>
    <t>Xtreme Fighting Championships Inc</t>
  </si>
  <si>
    <t>yriv</t>
  </si>
  <si>
    <t>Yangtze River Port and Logistics Ltd</t>
  </si>
  <si>
    <t>ybcn</t>
  </si>
  <si>
    <t>Yong Bai Chao New Retail Corp</t>
  </si>
  <si>
    <t>yumaq</t>
  </si>
  <si>
    <t>Yuma Energy Inc</t>
  </si>
  <si>
    <t>zaag</t>
  </si>
  <si>
    <t>ZA Group Inc</t>
  </si>
  <si>
    <t>zrfy</t>
  </si>
  <si>
    <t>Zerify Inc</t>
  </si>
  <si>
    <t>zgsi</t>
  </si>
  <si>
    <t>Zero Gravity Solutions Inc</t>
  </si>
  <si>
    <t>zicx</t>
  </si>
  <si>
    <t>Zicix Ord Shs</t>
  </si>
  <si>
    <t>znrg</t>
  </si>
  <si>
    <t>Znergy Inc</t>
  </si>
  <si>
    <t>zpas</t>
  </si>
  <si>
    <t>Zoompass Holdings Inc</t>
  </si>
  <si>
    <t>aac-un</t>
  </si>
  <si>
    <t>aac-wt</t>
  </si>
  <si>
    <t>aacp</t>
  </si>
  <si>
    <t>aaic</t>
  </si>
  <si>
    <t>aaic-pb</t>
  </si>
  <si>
    <t>aaic-pc</t>
  </si>
  <si>
    <t>aaidx</t>
  </si>
  <si>
    <t>aain</t>
  </si>
  <si>
    <t>aam-pa</t>
  </si>
  <si>
    <t>aam-pb</t>
  </si>
  <si>
    <t>aaqc</t>
  </si>
  <si>
    <t>aaqc-un</t>
  </si>
  <si>
    <t>aaqc-wt</t>
  </si>
  <si>
    <t>aatp</t>
  </si>
  <si>
    <t>aaww</t>
  </si>
  <si>
    <t>ab</t>
  </si>
  <si>
    <t>abcm</t>
  </si>
  <si>
    <t>abgi</t>
  </si>
  <si>
    <t>abmd</t>
  </si>
  <si>
    <t>abml</t>
  </si>
  <si>
    <t>abr-pd</t>
  </si>
  <si>
    <t>abr-pe</t>
  </si>
  <si>
    <t>abr-pf</t>
  </si>
  <si>
    <t>abst</t>
  </si>
  <si>
    <t>abtx</t>
  </si>
  <si>
    <t>ac</t>
  </si>
  <si>
    <t>acam</t>
  </si>
  <si>
    <t>acaq</t>
  </si>
  <si>
    <t>acaq-un</t>
  </si>
  <si>
    <t>acaq-wt</t>
  </si>
  <si>
    <t>acax</t>
  </si>
  <si>
    <t>acaxr</t>
  </si>
  <si>
    <t>acaxu</t>
  </si>
  <si>
    <t>acaxw</t>
  </si>
  <si>
    <t>acbi</t>
  </si>
  <si>
    <t>accv</t>
  </si>
  <si>
    <t>acdi</t>
  </si>
  <si>
    <t>acdi-un</t>
  </si>
  <si>
    <t>acdi-wt</t>
  </si>
  <si>
    <t>acer</t>
  </si>
  <si>
    <t>acev</t>
  </si>
  <si>
    <t>acevu</t>
  </si>
  <si>
    <t>acevw</t>
  </si>
  <si>
    <t>achhy</t>
  </si>
  <si>
    <t>achn</t>
  </si>
  <si>
    <t>achr-wt</t>
  </si>
  <si>
    <t>acii</t>
  </si>
  <si>
    <t>acii-un</t>
  </si>
  <si>
    <t>acii-wt</t>
  </si>
  <si>
    <t>acmc</t>
  </si>
  <si>
    <t>acmsy</t>
  </si>
  <si>
    <t>acp-pa</t>
  </si>
  <si>
    <t>acqr</t>
  </si>
  <si>
    <t>acqru</t>
  </si>
  <si>
    <t>acqrw</t>
  </si>
  <si>
    <t>acr-pc</t>
  </si>
  <si>
    <t>acr-pd</t>
  </si>
  <si>
    <t>acro-un</t>
  </si>
  <si>
    <t>acro-wt</t>
  </si>
  <si>
    <t>acrx</t>
  </si>
  <si>
    <t>acxp</t>
  </si>
  <si>
    <t>adal</t>
  </si>
  <si>
    <t>adalw</t>
  </si>
  <si>
    <t>adc-pa</t>
  </si>
  <si>
    <t>ader</t>
  </si>
  <si>
    <t>aderu</t>
  </si>
  <si>
    <t>aderw</t>
  </si>
  <si>
    <t>adex</t>
  </si>
  <si>
    <t>adex-un</t>
  </si>
  <si>
    <t>adex-wt</t>
  </si>
  <si>
    <t>adgi</t>
  </si>
  <si>
    <t>adilw</t>
  </si>
  <si>
    <t>admp</t>
  </si>
  <si>
    <t>adocr</t>
  </si>
  <si>
    <t>adra</t>
  </si>
  <si>
    <t>adra-wt</t>
  </si>
  <si>
    <t>adre</t>
  </si>
  <si>
    <t>adrt-wt</t>
  </si>
  <si>
    <t>adru</t>
  </si>
  <si>
    <t>advv</t>
  </si>
  <si>
    <t>advww</t>
  </si>
  <si>
    <t>ae</t>
  </si>
  <si>
    <t>aeac</t>
  </si>
  <si>
    <t>aeacu</t>
  </si>
  <si>
    <t>aeacw</t>
  </si>
  <si>
    <t>aefc</t>
  </si>
  <si>
    <t>aeha</t>
  </si>
  <si>
    <t>aehaw</t>
  </si>
  <si>
    <t>aeib</t>
  </si>
  <si>
    <t>ael-pa</t>
  </si>
  <si>
    <t>ael-pb</t>
  </si>
  <si>
    <t>aenz</t>
  </si>
  <si>
    <t>aeppz</t>
  </si>
  <si>
    <t>aerc</t>
  </si>
  <si>
    <t>aese</t>
  </si>
  <si>
    <t>aeva-wt</t>
  </si>
  <si>
    <t>afac</t>
  </si>
  <si>
    <t>afaq</t>
  </si>
  <si>
    <t>afaqu</t>
  </si>
  <si>
    <t>afaqw</t>
  </si>
  <si>
    <t>afcg</t>
  </si>
  <si>
    <t>affg</t>
  </si>
  <si>
    <t>aftc</t>
  </si>
  <si>
    <t>aftr</t>
  </si>
  <si>
    <t>aftr-un</t>
  </si>
  <si>
    <t>aftr-wt</t>
  </si>
  <si>
    <t>aftx</t>
  </si>
  <si>
    <t>ag</t>
  </si>
  <si>
    <t>agac</t>
  </si>
  <si>
    <t>agac-un</t>
  </si>
  <si>
    <t>agac-wt</t>
  </si>
  <si>
    <t>agbar</t>
  </si>
  <si>
    <t>agcb</t>
  </si>
  <si>
    <t>agcgv</t>
  </si>
  <si>
    <t>aggr</t>
  </si>
  <si>
    <t>aggru</t>
  </si>
  <si>
    <t>aggrw</t>
  </si>
  <si>
    <t>aggx</t>
  </si>
  <si>
    <t>aghc</t>
  </si>
  <si>
    <t>agilw</t>
  </si>
  <si>
    <t>agle</t>
  </si>
  <si>
    <t>agm-a</t>
  </si>
  <si>
    <t>agm-pc</t>
  </si>
  <si>
    <t>agm-pd</t>
  </si>
  <si>
    <t>agm-pe</t>
  </si>
  <si>
    <t>agm-pf</t>
  </si>
  <si>
    <t>agm-pg</t>
  </si>
  <si>
    <t>agtc</t>
  </si>
  <si>
    <t>ahh-pa</t>
  </si>
  <si>
    <t>ahl-pc</t>
  </si>
  <si>
    <t>ahl-pd</t>
  </si>
  <si>
    <t>ahl-pe</t>
  </si>
  <si>
    <t>ahpa</t>
  </si>
  <si>
    <t>ahpau</t>
  </si>
  <si>
    <t>ahpaw</t>
  </si>
  <si>
    <t>ahpi</t>
  </si>
  <si>
    <t>ahrn</t>
  </si>
  <si>
    <t>ahrnu</t>
  </si>
  <si>
    <t>ahrnw</t>
  </si>
  <si>
    <t>aht-pd</t>
  </si>
  <si>
    <t>aht-pf</t>
  </si>
  <si>
    <t>aht-pg</t>
  </si>
  <si>
    <t>aht-ph</t>
  </si>
  <si>
    <t>aht-pi</t>
  </si>
  <si>
    <t>ai</t>
  </si>
  <si>
    <t>aibbr</t>
  </si>
  <si>
    <t>aidg</t>
  </si>
  <si>
    <t>aig-pa</t>
  </si>
  <si>
    <t>aiki</t>
  </si>
  <si>
    <t>aima</t>
  </si>
  <si>
    <t>aimc</t>
  </si>
  <si>
    <t>ajrd</t>
  </si>
  <si>
    <t>akan</t>
  </si>
  <si>
    <t>akic</t>
  </si>
  <si>
    <t>akicu</t>
  </si>
  <si>
    <t>akicw</t>
  </si>
  <si>
    <t>akli</t>
  </si>
  <si>
    <t>ako-a</t>
  </si>
  <si>
    <t>ako-b</t>
  </si>
  <si>
    <t>akus</t>
  </si>
  <si>
    <t>al</t>
  </si>
  <si>
    <t>al-pa</t>
  </si>
  <si>
    <t>albo</t>
  </si>
  <si>
    <t>alef</t>
  </si>
  <si>
    <t>aleh</t>
  </si>
  <si>
    <t>alfiw</t>
  </si>
  <si>
    <t>aljj</t>
  </si>
  <si>
    <t>all-pb</t>
  </si>
  <si>
    <t>all-pg</t>
  </si>
  <si>
    <t>all-ph</t>
  </si>
  <si>
    <t>all-pi</t>
  </si>
  <si>
    <t>allg-wt</t>
  </si>
  <si>
    <t>alnaq</t>
  </si>
  <si>
    <t>aloha</t>
  </si>
  <si>
    <t>alor</t>
  </si>
  <si>
    <t>alorw</t>
  </si>
  <si>
    <t>alp-pq</t>
  </si>
  <si>
    <t>alpaw</t>
  </si>
  <si>
    <t>alpc</t>
  </si>
  <si>
    <t>alrt</t>
  </si>
  <si>
    <t>alsar</t>
  </si>
  <si>
    <t>altg-pa</t>
  </si>
  <si>
    <t>altt</t>
  </si>
  <si>
    <t>alwn</t>
  </si>
  <si>
    <t>am</t>
  </si>
  <si>
    <t>amao</t>
  </si>
  <si>
    <t>amaow</t>
  </si>
  <si>
    <t>ambc-wt</t>
  </si>
  <si>
    <t>ambp-wt</t>
  </si>
  <si>
    <t>amci</t>
  </si>
  <si>
    <t>amciu</t>
  </si>
  <si>
    <t>amciw</t>
  </si>
  <si>
    <t>amh-pg</t>
  </si>
  <si>
    <t>amh-ph</t>
  </si>
  <si>
    <t>amnd</t>
  </si>
  <si>
    <t>amov</t>
  </si>
  <si>
    <t>amovf</t>
  </si>
  <si>
    <t>ampi</t>
  </si>
  <si>
    <t>ampi-un</t>
  </si>
  <si>
    <t>ampi-wt</t>
  </si>
  <si>
    <t>amps-wt</t>
  </si>
  <si>
    <t>ampx-wt</t>
  </si>
  <si>
    <t>amrr</t>
  </si>
  <si>
    <t>amsiy</t>
  </si>
  <si>
    <t>amst</t>
  </si>
  <si>
    <t>amsu</t>
  </si>
  <si>
    <t>amtb</t>
  </si>
  <si>
    <t>amtd</t>
  </si>
  <si>
    <t>amti</t>
  </si>
  <si>
    <t>amtr</t>
  </si>
  <si>
    <t>amtx</t>
  </si>
  <si>
    <t>amty</t>
  </si>
  <si>
    <t>amub</t>
  </si>
  <si>
    <t>amwd</t>
  </si>
  <si>
    <t>amxvf</t>
  </si>
  <si>
    <t>amyt</t>
  </si>
  <si>
    <t>an</t>
  </si>
  <si>
    <t>anac</t>
  </si>
  <si>
    <t>anac-un</t>
  </si>
  <si>
    <t>anac-wt</t>
  </si>
  <si>
    <t>anav</t>
  </si>
  <si>
    <t>angn</t>
  </si>
  <si>
    <t>anpc</t>
  </si>
  <si>
    <t>anzu</t>
  </si>
  <si>
    <t>anzuu</t>
  </si>
  <si>
    <t>anzuw</t>
  </si>
  <si>
    <t>aomr</t>
  </si>
  <si>
    <t>ap-wt</t>
  </si>
  <si>
    <t>apca-wt</t>
  </si>
  <si>
    <t>apen</t>
  </si>
  <si>
    <t>apgb</t>
  </si>
  <si>
    <t>apgb-un</t>
  </si>
  <si>
    <t>apgb-wt</t>
  </si>
  <si>
    <t>apgc</t>
  </si>
  <si>
    <t>apgnw</t>
  </si>
  <si>
    <t>aphe</t>
  </si>
  <si>
    <t>apmiu</t>
  </si>
  <si>
    <t>apmiw</t>
  </si>
  <si>
    <t>apoa</t>
  </si>
  <si>
    <t>apphw</t>
  </si>
  <si>
    <t>aprn</t>
  </si>
  <si>
    <t>apts</t>
  </si>
  <si>
    <t>aptv-pa</t>
  </si>
  <si>
    <t>aptx</t>
  </si>
  <si>
    <t>apxx</t>
  </si>
  <si>
    <t>aqna</t>
  </si>
  <si>
    <t>aqua</t>
  </si>
  <si>
    <t>aqub</t>
  </si>
  <si>
    <t>arac</t>
  </si>
  <si>
    <t>arag</t>
  </si>
  <si>
    <t>arao</t>
  </si>
  <si>
    <t>arbe</t>
  </si>
  <si>
    <t>arbg</t>
  </si>
  <si>
    <t>arbgu</t>
  </si>
  <si>
    <t>arbgw</t>
  </si>
  <si>
    <t>arbk</t>
  </si>
  <si>
    <t>arce</t>
  </si>
  <si>
    <t>arck</t>
  </si>
  <si>
    <t>arcku</t>
  </si>
  <si>
    <t>arckw</t>
  </si>
  <si>
    <t>argo-pa</t>
  </si>
  <si>
    <t>argu</t>
  </si>
  <si>
    <t>arguu</t>
  </si>
  <si>
    <t>arguw</t>
  </si>
  <si>
    <t>arizr</t>
  </si>
  <si>
    <t>armc</t>
  </si>
  <si>
    <t>armt</t>
  </si>
  <si>
    <t>arnc</t>
  </si>
  <si>
    <t>arr-pc</t>
  </si>
  <si>
    <t>arsnd</t>
  </si>
  <si>
    <t>arteu</t>
  </si>
  <si>
    <t>artew</t>
  </si>
  <si>
    <t>arvl</t>
  </si>
  <si>
    <t>arye</t>
  </si>
  <si>
    <t>asaq</t>
  </si>
  <si>
    <t>asaq-un</t>
  </si>
  <si>
    <t>asaq-wt</t>
  </si>
  <si>
    <t>asax</t>
  </si>
  <si>
    <t>asaxu</t>
  </si>
  <si>
    <t>asaxw</t>
  </si>
  <si>
    <t>asb-pe</t>
  </si>
  <si>
    <t>asb-pf</t>
  </si>
  <si>
    <t>ascar</t>
  </si>
  <si>
    <t>ascbr</t>
  </si>
  <si>
    <t>ascix</t>
  </si>
  <si>
    <t>asdn</t>
  </si>
  <si>
    <t>asepf</t>
  </si>
  <si>
    <t>asgi</t>
  </si>
  <si>
    <t>asnb</t>
  </si>
  <si>
    <t>aspa</t>
  </si>
  <si>
    <t>aspaw</t>
  </si>
  <si>
    <t>aspp</t>
  </si>
  <si>
    <t>aspx</t>
  </si>
  <si>
    <t>assf</t>
  </si>
  <si>
    <t>asst</t>
  </si>
  <si>
    <t>asx</t>
  </si>
  <si>
    <t>asz</t>
  </si>
  <si>
    <t>asz-un</t>
  </si>
  <si>
    <t>asz-wt</t>
  </si>
  <si>
    <t>ata-wt</t>
  </si>
  <si>
    <t>atakr</t>
  </si>
  <si>
    <t>ataku</t>
  </si>
  <si>
    <t>atakw</t>
  </si>
  <si>
    <t>ataq</t>
  </si>
  <si>
    <t>atasy</t>
  </si>
  <si>
    <t>atax</t>
  </si>
  <si>
    <t>atco</t>
  </si>
  <si>
    <t>atco-pd</t>
  </si>
  <si>
    <t>atco-ph</t>
  </si>
  <si>
    <t>atco-pi</t>
  </si>
  <si>
    <t>atcx</t>
  </si>
  <si>
    <t>atgsy</t>
  </si>
  <si>
    <t>ath-pa</t>
  </si>
  <si>
    <t>ath-pb</t>
  </si>
  <si>
    <t>ath-pc</t>
  </si>
  <si>
    <t>ath-pd</t>
  </si>
  <si>
    <t>athx</t>
  </si>
  <si>
    <t>atip-wt</t>
  </si>
  <si>
    <t>atla</t>
  </si>
  <si>
    <t>atms</t>
  </si>
  <si>
    <t>atnx</t>
  </si>
  <si>
    <t>atryx</t>
  </si>
  <si>
    <t>atto</t>
  </si>
  <si>
    <t>atwo</t>
  </si>
  <si>
    <t>atxg</t>
  </si>
  <si>
    <t>atxi</t>
  </si>
  <si>
    <t>atxs</t>
  </si>
  <si>
    <t>atyg</t>
  </si>
  <si>
    <t>aubap</t>
  </si>
  <si>
    <t>aulgf</t>
  </si>
  <si>
    <t>aurc</t>
  </si>
  <si>
    <t>aurcu</t>
  </si>
  <si>
    <t>aurcw</t>
  </si>
  <si>
    <t>aurv</t>
  </si>
  <si>
    <t>aus-un</t>
  </si>
  <si>
    <t>aus-wt</t>
  </si>
  <si>
    <t>auvip</t>
  </si>
  <si>
    <t>auy</t>
  </si>
  <si>
    <t>avac</t>
  </si>
  <si>
    <t>avacw</t>
  </si>
  <si>
    <t>aval</t>
  </si>
  <si>
    <t>avan</t>
  </si>
  <si>
    <t>avan-un</t>
  </si>
  <si>
    <t>avan-wt</t>
  </si>
  <si>
    <t>avco</t>
  </si>
  <si>
    <t>avctw</t>
  </si>
  <si>
    <t>aveo</t>
  </si>
  <si>
    <t>avgop</t>
  </si>
  <si>
    <t>avid</t>
  </si>
  <si>
    <t>avlr</t>
  </si>
  <si>
    <t>avmr</t>
  </si>
  <si>
    <t>avya</t>
  </si>
  <si>
    <t>awys</t>
  </si>
  <si>
    <t>axac-ri</t>
  </si>
  <si>
    <t>axac-wt</t>
  </si>
  <si>
    <t>axas</t>
  </si>
  <si>
    <t>axh</t>
  </si>
  <si>
    <t>axin</t>
  </si>
  <si>
    <t>axla</t>
  </si>
  <si>
    <t>axs-pe</t>
  </si>
  <si>
    <t>ayla</t>
  </si>
  <si>
    <t>azihy</t>
  </si>
  <si>
    <t>azpn</t>
  </si>
  <si>
    <t>azre</t>
  </si>
  <si>
    <t>aztgy</t>
  </si>
  <si>
    <t>azyo</t>
  </si>
  <si>
    <t>bac-pb</t>
  </si>
  <si>
    <t>bac-pe</t>
  </si>
  <si>
    <t>bac-pk</t>
  </si>
  <si>
    <t>bac-pl</t>
  </si>
  <si>
    <t>bac-pm</t>
  </si>
  <si>
    <t>bac-pn</t>
  </si>
  <si>
    <t>bac-po</t>
  </si>
  <si>
    <t>bac-pp</t>
  </si>
  <si>
    <t>bac-pq</t>
  </si>
  <si>
    <t>bac-ps</t>
  </si>
  <si>
    <t>baca-un</t>
  </si>
  <si>
    <t>baca-wt</t>
  </si>
  <si>
    <t>bal</t>
  </si>
  <si>
    <t>baltf</t>
  </si>
  <si>
    <t>bamh</t>
  </si>
  <si>
    <t>bamr</t>
  </si>
  <si>
    <t>bark-wt</t>
  </si>
  <si>
    <t>basi</t>
  </si>
  <si>
    <t>baswq</t>
  </si>
  <si>
    <t>bbai-wt</t>
  </si>
  <si>
    <t>bbar</t>
  </si>
  <si>
    <t>bbby</t>
  </si>
  <si>
    <t>bbcpw</t>
  </si>
  <si>
    <t>bbln</t>
  </si>
  <si>
    <t>bbq</t>
  </si>
  <si>
    <t>bc-pa</t>
  </si>
  <si>
    <t>bc-pb</t>
  </si>
  <si>
    <t>bc-pc</t>
  </si>
  <si>
    <t>bcat</t>
  </si>
  <si>
    <t>bcgf</t>
  </si>
  <si>
    <t>bcor</t>
  </si>
  <si>
    <t>bcv-pa</t>
  </si>
  <si>
    <t>bdcx</t>
  </si>
  <si>
    <t>bdcz</t>
  </si>
  <si>
    <t>bdrex</t>
  </si>
  <si>
    <t>bdsi</t>
  </si>
  <si>
    <t>bdxb</t>
  </si>
  <si>
    <t>belp</t>
  </si>
  <si>
    <t>bener</t>
  </si>
  <si>
    <t>benew</t>
  </si>
  <si>
    <t>bep-pa</t>
  </si>
  <si>
    <t>berz</t>
  </si>
  <si>
    <t>bf-a</t>
  </si>
  <si>
    <t>bf-b</t>
  </si>
  <si>
    <t>bfac-un</t>
  </si>
  <si>
    <t>bfac-wt</t>
  </si>
  <si>
    <t>bfagy</t>
  </si>
  <si>
    <t>bfly-wt</t>
  </si>
  <si>
    <t>bfs-pd</t>
  </si>
  <si>
    <t>bfs-pe</t>
  </si>
  <si>
    <t>bfyw</t>
  </si>
  <si>
    <t>bfz</t>
  </si>
  <si>
    <t>bgac</t>
  </si>
  <si>
    <t>bgcp</t>
  </si>
  <si>
    <t>bgfdx</t>
  </si>
  <si>
    <t>bgry</t>
  </si>
  <si>
    <t>bgryw</t>
  </si>
  <si>
    <t>bgsx</t>
  </si>
  <si>
    <t>bgsx-un</t>
  </si>
  <si>
    <t>bgsx-wt</t>
  </si>
  <si>
    <t>bgtk</t>
  </si>
  <si>
    <t>bh-a</t>
  </si>
  <si>
    <t>bhfal</t>
  </si>
  <si>
    <t>bhil-wt</t>
  </si>
  <si>
    <t>bhr-pb</t>
  </si>
  <si>
    <t>bhr-pd</t>
  </si>
  <si>
    <t>bhse</t>
  </si>
  <si>
    <t>bhseu</t>
  </si>
  <si>
    <t>bhsew</t>
  </si>
  <si>
    <t>bign</t>
  </si>
  <si>
    <t>bio-b</t>
  </si>
  <si>
    <t>bioc</t>
  </si>
  <si>
    <t>biosw</t>
  </si>
  <si>
    <t>biotu</t>
  </si>
  <si>
    <t>biotw</t>
  </si>
  <si>
    <t>bip-pa</t>
  </si>
  <si>
    <t>bip-pb</t>
  </si>
  <si>
    <t>bite-un</t>
  </si>
  <si>
    <t>bite-wt</t>
  </si>
  <si>
    <t>bkep</t>
  </si>
  <si>
    <t>bkkt-wt</t>
  </si>
  <si>
    <t>bksy-wt</t>
  </si>
  <si>
    <t>bkyi</t>
  </si>
  <si>
    <t>bleur</t>
  </si>
  <si>
    <t>bli</t>
  </si>
  <si>
    <t>blng</t>
  </si>
  <si>
    <t>blngu</t>
  </si>
  <si>
    <t>blngw</t>
  </si>
  <si>
    <t>blnkw</t>
  </si>
  <si>
    <t>blrx</t>
  </si>
  <si>
    <t>blsa</t>
  </si>
  <si>
    <t>blts</t>
  </si>
  <si>
    <t>bltsu</t>
  </si>
  <si>
    <t>bltsw</t>
  </si>
  <si>
    <t>blua-un</t>
  </si>
  <si>
    <t>blua-wt</t>
  </si>
  <si>
    <t>blxx</t>
  </si>
  <si>
    <t>bmac</t>
  </si>
  <si>
    <t>bmac-un</t>
  </si>
  <si>
    <t>bmac-wt</t>
  </si>
  <si>
    <t>bmaq</t>
  </si>
  <si>
    <t>bmaqr</t>
  </si>
  <si>
    <t>bmaqu</t>
  </si>
  <si>
    <t>bmaqw</t>
  </si>
  <si>
    <t>bmix</t>
  </si>
  <si>
    <t>bml-pg</t>
  </si>
  <si>
    <t>bml-ph</t>
  </si>
  <si>
    <t>bml-pj</t>
  </si>
  <si>
    <t>bml-pl</t>
  </si>
  <si>
    <t>bmtx-wt</t>
  </si>
  <si>
    <t>bnft</t>
  </si>
  <si>
    <t>bngow</t>
  </si>
  <si>
    <t>bnixr</t>
  </si>
  <si>
    <t>bnnr</t>
  </si>
  <si>
    <t>bnnru</t>
  </si>
  <si>
    <t>bnnrw</t>
  </si>
  <si>
    <t>bnow</t>
  </si>
  <si>
    <t>bnso</t>
  </si>
  <si>
    <t>boac-un</t>
  </si>
  <si>
    <t>boac-wt</t>
  </si>
  <si>
    <t>boas</t>
  </si>
  <si>
    <t>boas-un</t>
  </si>
  <si>
    <t>boas-wt</t>
  </si>
  <si>
    <t>body-wt</t>
  </si>
  <si>
    <t>boh-pa</t>
  </si>
  <si>
    <t>bolif</t>
  </si>
  <si>
    <t>bomh</t>
  </si>
  <si>
    <t>bonz</t>
  </si>
  <si>
    <t>bouw</t>
  </si>
  <si>
    <t>boxd</t>
  </si>
  <si>
    <t>boxd-wt</t>
  </si>
  <si>
    <t>boxs</t>
  </si>
  <si>
    <t>bpac</t>
  </si>
  <si>
    <t>bpacw</t>
  </si>
  <si>
    <t>brcn</t>
  </si>
  <si>
    <t>brd-un</t>
  </si>
  <si>
    <t>brd-wt</t>
  </si>
  <si>
    <t>brds</t>
  </si>
  <si>
    <t>brds-wt</t>
  </si>
  <si>
    <t>brezr</t>
  </si>
  <si>
    <t>brg-pc</t>
  </si>
  <si>
    <t>brg-pd</t>
  </si>
  <si>
    <t>briv</t>
  </si>
  <si>
    <t>brivu</t>
  </si>
  <si>
    <t>brivw</t>
  </si>
  <si>
    <t>brk-a</t>
  </si>
  <si>
    <t>brk-b</t>
  </si>
  <si>
    <t>brli</t>
  </si>
  <si>
    <t>brliw</t>
  </si>
  <si>
    <t>brmk</t>
  </si>
  <si>
    <t>brmk-wt</t>
  </si>
  <si>
    <t>brni</t>
  </si>
  <si>
    <t>brogw</t>
  </si>
  <si>
    <t>brqs</t>
  </si>
  <si>
    <t>bsaq</t>
  </si>
  <si>
    <t>bsec</t>
  </si>
  <si>
    <t>bsga</t>
  </si>
  <si>
    <t>bsgar</t>
  </si>
  <si>
    <t>bsgau</t>
  </si>
  <si>
    <t>bsky</t>
  </si>
  <si>
    <t>bskyu</t>
  </si>
  <si>
    <t>bskyw</t>
  </si>
  <si>
    <t>bsmx</t>
  </si>
  <si>
    <t>bsqr</t>
  </si>
  <si>
    <t>bstg</t>
  </si>
  <si>
    <t>bsx-pa</t>
  </si>
  <si>
    <t>btb</t>
  </si>
  <si>
    <t>btegf</t>
  </si>
  <si>
    <t>btim</t>
  </si>
  <si>
    <t>btmdw</t>
  </si>
  <si>
    <t>btnc</t>
  </si>
  <si>
    <t>btrs</t>
  </si>
  <si>
    <t>btru</t>
  </si>
  <si>
    <t>btry</t>
  </si>
  <si>
    <t>btvc</t>
  </si>
  <si>
    <t>btwn</t>
  </si>
  <si>
    <t>btwnu</t>
  </si>
  <si>
    <t>btwnw</t>
  </si>
  <si>
    <t>bulz</t>
  </si>
  <si>
    <t>bvxv</t>
  </si>
  <si>
    <t>bw-pa</t>
  </si>
  <si>
    <t>bwac</t>
  </si>
  <si>
    <t>bwacw</t>
  </si>
  <si>
    <t>bwaqr</t>
  </si>
  <si>
    <t>bwc</t>
  </si>
  <si>
    <t>bwcaw</t>
  </si>
  <si>
    <t>bwv</t>
  </si>
  <si>
    <t>bxxy</t>
  </si>
  <si>
    <t>byn-un</t>
  </si>
  <si>
    <t>byn-wt</t>
  </si>
  <si>
    <t>byts</t>
  </si>
  <si>
    <t>bytsu</t>
  </si>
  <si>
    <t>c-pj</t>
  </si>
  <si>
    <t>c-pk</t>
  </si>
  <si>
    <t>c-pn</t>
  </si>
  <si>
    <t>cadcx</t>
  </si>
  <si>
    <t>cade-pa</t>
  </si>
  <si>
    <t>cajff</t>
  </si>
  <si>
    <t>calq</t>
  </si>
  <si>
    <t>cang</t>
  </si>
  <si>
    <t>cano-wt</t>
  </si>
  <si>
    <t>cbrgw</t>
  </si>
  <si>
    <t>cbtx</t>
  </si>
  <si>
    <t>ccai</t>
  </si>
  <si>
    <t>ccaiu</t>
  </si>
  <si>
    <t>ccaiw</t>
  </si>
  <si>
    <t>ccf</t>
  </si>
  <si>
    <t>cchwf</t>
  </si>
  <si>
    <t>cclfx</t>
  </si>
  <si>
    <t>ccnc</t>
  </si>
  <si>
    <t>cctc</t>
  </si>
  <si>
    <t>ccv-un</t>
  </si>
  <si>
    <t>ccv-wt</t>
  </si>
  <si>
    <t>ccvi</t>
  </si>
  <si>
    <t>ccvi-un</t>
  </si>
  <si>
    <t>ccvi-wt</t>
  </si>
  <si>
    <t>ccxi</t>
  </si>
  <si>
    <t>cdak</t>
  </si>
  <si>
    <t>cdaqu</t>
  </si>
  <si>
    <t>cday</t>
  </si>
  <si>
    <t>cdbmf</t>
  </si>
  <si>
    <t>cdix</t>
  </si>
  <si>
    <t>cdr-pb</t>
  </si>
  <si>
    <t>cdr-pc</t>
  </si>
  <si>
    <t>cdtg</t>
  </si>
  <si>
    <t>ceac</t>
  </si>
  <si>
    <t>ceai</t>
  </si>
  <si>
    <t>cece</t>
  </si>
  <si>
    <t>cecl</t>
  </si>
  <si>
    <t>cedax</t>
  </si>
  <si>
    <t>cefd</t>
  </si>
  <si>
    <t>celg-ri</t>
  </si>
  <si>
    <t>cenq</t>
  </si>
  <si>
    <t>cenqw</t>
  </si>
  <si>
    <t>ceqp</t>
  </si>
  <si>
    <t>ceqp-p</t>
  </si>
  <si>
    <t>cets</t>
  </si>
  <si>
    <t>cfcx</t>
  </si>
  <si>
    <t>cffe</t>
  </si>
  <si>
    <t>cffeu</t>
  </si>
  <si>
    <t>cffew</t>
  </si>
  <si>
    <t>cfg-pd</t>
  </si>
  <si>
    <t>cfg-pe</t>
  </si>
  <si>
    <t>cfiv</t>
  </si>
  <si>
    <t>cfivu</t>
  </si>
  <si>
    <t>cfivw</t>
  </si>
  <si>
    <t>cfms</t>
  </si>
  <si>
    <t>cfr-pb</t>
  </si>
  <si>
    <t>cfrx</t>
  </si>
  <si>
    <t>cfvi</t>
  </si>
  <si>
    <t>cfviu</t>
  </si>
  <si>
    <t>cfviw</t>
  </si>
  <si>
    <t>cgccx</t>
  </si>
  <si>
    <t>cgem</t>
  </si>
  <si>
    <t>cgen</t>
  </si>
  <si>
    <t>chaa-un</t>
  </si>
  <si>
    <t>chaa-wt</t>
  </si>
  <si>
    <t>chcr</t>
  </si>
  <si>
    <t>cheaw</t>
  </si>
  <si>
    <t>chekz</t>
  </si>
  <si>
    <t>chmi-pa</t>
  </si>
  <si>
    <t>chmi-pb</t>
  </si>
  <si>
    <t>chmt</t>
  </si>
  <si>
    <t>chnc</t>
  </si>
  <si>
    <t>chng</t>
  </si>
  <si>
    <t>chra</t>
  </si>
  <si>
    <t>cian</t>
  </si>
  <si>
    <t>cidm</t>
  </si>
  <si>
    <t>cig-c</t>
  </si>
  <si>
    <t>ciig</t>
  </si>
  <si>
    <t>ciigu</t>
  </si>
  <si>
    <t>ciigw</t>
  </si>
  <si>
    <t>cim-pa</t>
  </si>
  <si>
    <t>cim-pb</t>
  </si>
  <si>
    <t>cim-pc</t>
  </si>
  <si>
    <t>cim-pd</t>
  </si>
  <si>
    <t>cio-pa</t>
  </si>
  <si>
    <t>cixx</t>
  </si>
  <si>
    <t>cjoy</t>
  </si>
  <si>
    <t>ckx</t>
  </si>
  <si>
    <t>claa</t>
  </si>
  <si>
    <t>claa-un</t>
  </si>
  <si>
    <t>claq</t>
  </si>
  <si>
    <t>claqr</t>
  </si>
  <si>
    <t>claqu</t>
  </si>
  <si>
    <t>claqw</t>
  </si>
  <si>
    <t>clas</t>
  </si>
  <si>
    <t>clas-un</t>
  </si>
  <si>
    <t>clas-wt</t>
  </si>
  <si>
    <t>clayw</t>
  </si>
  <si>
    <t>clb</t>
  </si>
  <si>
    <t>clbr-un</t>
  </si>
  <si>
    <t>clbr-wt</t>
  </si>
  <si>
    <t>clcn</t>
  </si>
  <si>
    <t>cldt-pa</t>
  </si>
  <si>
    <t>clim-un</t>
  </si>
  <si>
    <t>clim-wt</t>
  </si>
  <si>
    <t>clin</t>
  </si>
  <si>
    <t>clinr</t>
  </si>
  <si>
    <t>clinu</t>
  </si>
  <si>
    <t>clinw</t>
  </si>
  <si>
    <t>clls</t>
  </si>
  <si>
    <t>cloer</t>
  </si>
  <si>
    <t>cloeu</t>
  </si>
  <si>
    <t>clrcr</t>
  </si>
  <si>
    <t>clrcu</t>
  </si>
  <si>
    <t>clrcw</t>
  </si>
  <si>
    <t>clrm</t>
  </si>
  <si>
    <t>clrmu</t>
  </si>
  <si>
    <t>clrmw</t>
  </si>
  <si>
    <t>clsn</t>
  </si>
  <si>
    <t>clvs</t>
  </si>
  <si>
    <t>clvt-pa</t>
  </si>
  <si>
    <t>clxt</t>
  </si>
  <si>
    <t>cmctp</t>
  </si>
  <si>
    <t>cmmb</t>
  </si>
  <si>
    <t>cmre-pb</t>
  </si>
  <si>
    <t>cmre-pc</t>
  </si>
  <si>
    <t>cmre-pd</t>
  </si>
  <si>
    <t>cmre-pe</t>
  </si>
  <si>
    <t>cms-pb</t>
  </si>
  <si>
    <t>cms-pc</t>
  </si>
  <si>
    <t>cmsa</t>
  </si>
  <si>
    <t>cmsc</t>
  </si>
  <si>
    <t>cnaq</t>
  </si>
  <si>
    <t>cnce</t>
  </si>
  <si>
    <t>cnd-un</t>
  </si>
  <si>
    <t>cnd-wt</t>
  </si>
  <si>
    <t>cnda-un</t>
  </si>
  <si>
    <t>cnda-wt</t>
  </si>
  <si>
    <t>cndb-un</t>
  </si>
  <si>
    <t>cndb-wt</t>
  </si>
  <si>
    <t>cnfrl</t>
  </si>
  <si>
    <t>cnnb</t>
  </si>
  <si>
    <t>cno-pa</t>
  </si>
  <si>
    <t>cnrlx</t>
  </si>
  <si>
    <t>cnrox</t>
  </si>
  <si>
    <t>cntb</t>
  </si>
  <si>
    <t>cntq</t>
  </si>
  <si>
    <t>cntqu</t>
  </si>
  <si>
    <t>cntqw</t>
  </si>
  <si>
    <t>cntww</t>
  </si>
  <si>
    <t>cnvy</t>
  </si>
  <si>
    <t>codi-pa</t>
  </si>
  <si>
    <t>codi-pb</t>
  </si>
  <si>
    <t>codi-pc</t>
  </si>
  <si>
    <t>cof-pi</t>
  </si>
  <si>
    <t>cof-pj</t>
  </si>
  <si>
    <t>cof-pk</t>
  </si>
  <si>
    <t>cof-pl</t>
  </si>
  <si>
    <t>cof-pn</t>
  </si>
  <si>
    <t>coli</t>
  </si>
  <si>
    <t>coliu</t>
  </si>
  <si>
    <t>coliw</t>
  </si>
  <si>
    <t>comsw</t>
  </si>
  <si>
    <t>corr-pa</t>
  </si>
  <si>
    <t>cors</t>
  </si>
  <si>
    <t>cors-un</t>
  </si>
  <si>
    <t>cors-wt</t>
  </si>
  <si>
    <t>coty</t>
  </si>
  <si>
    <t>coup</t>
  </si>
  <si>
    <t>cour</t>
  </si>
  <si>
    <t>couv</t>
  </si>
  <si>
    <t>cova</t>
  </si>
  <si>
    <t>covau</t>
  </si>
  <si>
    <t>covaw</t>
  </si>
  <si>
    <t>cown</t>
  </si>
  <si>
    <t>cownl</t>
  </si>
  <si>
    <t>cowtf</t>
  </si>
  <si>
    <t>cpaa</t>
  </si>
  <si>
    <t>cpaau</t>
  </si>
  <si>
    <t>cpaaw</t>
  </si>
  <si>
    <t>cpaq</t>
  </si>
  <si>
    <t>cpaqu</t>
  </si>
  <si>
    <t>cpaqw</t>
  </si>
  <si>
    <t>cpar</t>
  </si>
  <si>
    <t>cparu</t>
  </si>
  <si>
    <t>cparw</t>
  </si>
  <si>
    <t>cphi</t>
  </si>
  <si>
    <t>cppxf</t>
  </si>
  <si>
    <t>cprdx</t>
  </si>
  <si>
    <t>cptk-un</t>
  </si>
  <si>
    <t>cptk-wt</t>
  </si>
  <si>
    <t>cpuh</t>
  </si>
  <si>
    <t>cpuh-un</t>
  </si>
  <si>
    <t>cpuh-wt</t>
  </si>
  <si>
    <t>cpz</t>
  </si>
  <si>
    <t>crbp</t>
  </si>
  <si>
    <t>crd-a</t>
  </si>
  <si>
    <t>crd-b</t>
  </si>
  <si>
    <t>crdtx</t>
  </si>
  <si>
    <t>crec</t>
  </si>
  <si>
    <t>crecu</t>
  </si>
  <si>
    <t>crecw</t>
  </si>
  <si>
    <t>crexw</t>
  </si>
  <si>
    <t>crgh</t>
  </si>
  <si>
    <t>crhc</t>
  </si>
  <si>
    <t>crhc-un</t>
  </si>
  <si>
    <t>crhc-wt</t>
  </si>
  <si>
    <t>crhcf</t>
  </si>
  <si>
    <t>crkm</t>
  </si>
  <si>
    <t>crkr</t>
  </si>
  <si>
    <t>crtd</t>
  </si>
  <si>
    <t>cru-un</t>
  </si>
  <si>
    <t>cru-wt</t>
  </si>
  <si>
    <t>crxt</t>
  </si>
  <si>
    <t>crxtq</t>
  </si>
  <si>
    <t>crxtw</t>
  </si>
  <si>
    <t>crxwq</t>
  </si>
  <si>
    <t>crzn</t>
  </si>
  <si>
    <t>crznu</t>
  </si>
  <si>
    <t>crznw</t>
  </si>
  <si>
    <t>cscw</t>
  </si>
  <si>
    <t>csgkf</t>
  </si>
  <si>
    <t>csii</t>
  </si>
  <si>
    <t>csjt</t>
  </si>
  <si>
    <t>csr-pc</t>
  </si>
  <si>
    <t>csta</t>
  </si>
  <si>
    <t>csta-un</t>
  </si>
  <si>
    <t>csta-wt</t>
  </si>
  <si>
    <t>cta-pa</t>
  </si>
  <si>
    <t>cta-pb</t>
  </si>
  <si>
    <t>ctam</t>
  </si>
  <si>
    <t>ctaq</t>
  </si>
  <si>
    <t>ctaqw</t>
  </si>
  <si>
    <t>ctib</t>
  </si>
  <si>
    <t>ctic</t>
  </si>
  <si>
    <t>cto-pa</t>
  </si>
  <si>
    <t>ctos-wt</t>
  </si>
  <si>
    <t>ctv-wt</t>
  </si>
  <si>
    <t>ctxs</t>
  </si>
  <si>
    <t>cubi-pe</t>
  </si>
  <si>
    <t>cubi-pf</t>
  </si>
  <si>
    <t>curr</t>
  </si>
  <si>
    <t>cvet</t>
  </si>
  <si>
    <t>cvf</t>
  </si>
  <si>
    <t>cvii-un</t>
  </si>
  <si>
    <t>cvii-wt</t>
  </si>
  <si>
    <t>cvua</t>
  </si>
  <si>
    <t>cwen-a</t>
  </si>
  <si>
    <t>cwgrp</t>
  </si>
  <si>
    <t>cxac</t>
  </si>
  <si>
    <t>cxac-un</t>
  </si>
  <si>
    <t>cxac-wt</t>
  </si>
  <si>
    <t>cxdc</t>
  </si>
  <si>
    <t>cxkj</t>
  </si>
  <si>
    <t>cyrn</t>
  </si>
  <si>
    <t>cyrx</t>
  </si>
  <si>
    <t>cytr</t>
  </si>
  <si>
    <t>cyxt</t>
  </si>
  <si>
    <t>czni</t>
  </si>
  <si>
    <t>czoo-wt</t>
  </si>
  <si>
    <t>dals</t>
  </si>
  <si>
    <t>daoo</t>
  </si>
  <si>
    <t>daoou</t>
  </si>
  <si>
    <t>daoow</t>
  </si>
  <si>
    <t>dava</t>
  </si>
  <si>
    <t>dave</t>
  </si>
  <si>
    <t>dawn</t>
  </si>
  <si>
    <t>dbrg-ph</t>
  </si>
  <si>
    <t>dbrg-pi</t>
  </si>
  <si>
    <t>dbrg-pj</t>
  </si>
  <si>
    <t>dbs</t>
  </si>
  <si>
    <t>dbtx</t>
  </si>
  <si>
    <t>dc-wt</t>
  </si>
  <si>
    <t>dcac</t>
  </si>
  <si>
    <t>dcbo</t>
  </si>
  <si>
    <t>dcgow</t>
  </si>
  <si>
    <t>dcp-pb</t>
  </si>
  <si>
    <t>dcp-pc</t>
  </si>
  <si>
    <t>dcrd</t>
  </si>
  <si>
    <t>dcrdu</t>
  </si>
  <si>
    <t>dcrdw</t>
  </si>
  <si>
    <t>dct</t>
  </si>
  <si>
    <t>ddf</t>
  </si>
  <si>
    <t>deci</t>
  </si>
  <si>
    <t>deft</t>
  </si>
  <si>
    <t>defy</t>
  </si>
  <si>
    <t>desp</t>
  </si>
  <si>
    <t>desr</t>
  </si>
  <si>
    <t>destq</t>
  </si>
  <si>
    <t>dffn</t>
  </si>
  <si>
    <t>dfh</t>
  </si>
  <si>
    <t>dfp</t>
  </si>
  <si>
    <t>dfs</t>
  </si>
  <si>
    <t>dgl</t>
  </si>
  <si>
    <t>dgnu</t>
  </si>
  <si>
    <t>dgp</t>
  </si>
  <si>
    <t>dhbc</t>
  </si>
  <si>
    <t>dhbcu</t>
  </si>
  <si>
    <t>dhbcw</t>
  </si>
  <si>
    <t>dhhc</t>
  </si>
  <si>
    <t>dhhcu</t>
  </si>
  <si>
    <t>dhhcw</t>
  </si>
  <si>
    <t>dhr-pb</t>
  </si>
  <si>
    <t>dice</t>
  </si>
  <si>
    <t>dila</t>
  </si>
  <si>
    <t>dilau</t>
  </si>
  <si>
    <t>dilaw</t>
  </si>
  <si>
    <t>disa</t>
  </si>
  <si>
    <t>disau</t>
  </si>
  <si>
    <t>disaw</t>
  </si>
  <si>
    <t>dispf</t>
  </si>
  <si>
    <t>distu</t>
  </si>
  <si>
    <t>divvz</t>
  </si>
  <si>
    <t>djcb</t>
  </si>
  <si>
    <t>dkdca</t>
  </si>
  <si>
    <t>dkdcu</t>
  </si>
  <si>
    <t>dkdcw</t>
  </si>
  <si>
    <t>dlca</t>
  </si>
  <si>
    <t>dlcau</t>
  </si>
  <si>
    <t>dlcaw</t>
  </si>
  <si>
    <t>dlng-pa</t>
  </si>
  <si>
    <t>dlng-pb</t>
  </si>
  <si>
    <t>dlr-pj</t>
  </si>
  <si>
    <t>dlr-pk</t>
  </si>
  <si>
    <t>dlr-pl</t>
  </si>
  <si>
    <t>dmaq</t>
  </si>
  <si>
    <t>dmaqr</t>
  </si>
  <si>
    <t>dmlry</t>
  </si>
  <si>
    <t>dms</t>
  </si>
  <si>
    <t>dms-wt</t>
  </si>
  <si>
    <t>dmys</t>
  </si>
  <si>
    <t>dmys-un</t>
  </si>
  <si>
    <t>dmys-wt</t>
  </si>
  <si>
    <t>dna-wt</t>
  </si>
  <si>
    <t>dnab</t>
  </si>
  <si>
    <t>dnad</t>
  </si>
  <si>
    <t>dnay</t>
  </si>
  <si>
    <t>dnif</t>
  </si>
  <si>
    <t>dnify</t>
  </si>
  <si>
    <t>dnmr</t>
  </si>
  <si>
    <t>dnrrw</t>
  </si>
  <si>
    <t>dnz-un</t>
  </si>
  <si>
    <t>dnz-wt</t>
  </si>
  <si>
    <t>doma-wt</t>
  </si>
  <si>
    <t>dpac</t>
  </si>
  <si>
    <t>dpdw</t>
  </si>
  <si>
    <t>dpro</t>
  </si>
  <si>
    <t>dray</t>
  </si>
  <si>
    <t>drayu</t>
  </si>
  <si>
    <t>drayw</t>
  </si>
  <si>
    <t>drctw</t>
  </si>
  <si>
    <t>drh-pa</t>
  </si>
  <si>
    <t>drtt</t>
  </si>
  <si>
    <t>drvn</t>
  </si>
  <si>
    <t>ds-pb</t>
  </si>
  <si>
    <t>ds-pc</t>
  </si>
  <si>
    <t>ds-pd</t>
  </si>
  <si>
    <t>dsaq-wt</t>
  </si>
  <si>
    <t>dsey</t>
  </si>
  <si>
    <t>dslvf</t>
  </si>
  <si>
    <t>dspk</t>
  </si>
  <si>
    <t>dsro</t>
  </si>
  <si>
    <t>dsty</t>
  </si>
  <si>
    <t>dsx-pb</t>
  </si>
  <si>
    <t>dtea</t>
  </si>
  <si>
    <t>dtla-p</t>
  </si>
  <si>
    <t>dtoc</t>
  </si>
  <si>
    <t>dtocu</t>
  </si>
  <si>
    <t>dtocw</t>
  </si>
  <si>
    <t>dtp</t>
  </si>
  <si>
    <t>dtrt</t>
  </si>
  <si>
    <t>dtrtu</t>
  </si>
  <si>
    <t>dtrtw</t>
  </si>
  <si>
    <t>dtw</t>
  </si>
  <si>
    <t>duk-pa</t>
  </si>
  <si>
    <t>dukb</t>
  </si>
  <si>
    <t>dune</t>
  </si>
  <si>
    <t>dunew</t>
  </si>
  <si>
    <t>dwac</t>
  </si>
  <si>
    <t>dwacu</t>
  </si>
  <si>
    <t>dwacw</t>
  </si>
  <si>
    <t>dwin</t>
  </si>
  <si>
    <t>dwin-un</t>
  </si>
  <si>
    <t>dwin-wt</t>
  </si>
  <si>
    <t>dx-pc</t>
  </si>
  <si>
    <t>dxyz</t>
  </si>
  <si>
    <t>dycu</t>
  </si>
  <si>
    <t>eawc</t>
  </si>
  <si>
    <t>ebac</t>
  </si>
  <si>
    <t>ebacu</t>
  </si>
  <si>
    <t>ebacw</t>
  </si>
  <si>
    <t>ebix</t>
  </si>
  <si>
    <t>ebr-b</t>
  </si>
  <si>
    <t>ecc-pd</t>
  </si>
  <si>
    <t>ecec</t>
  </si>
  <si>
    <t>ecf-pa</t>
  </si>
  <si>
    <t>ecoa</t>
  </si>
  <si>
    <t>edap</t>
  </si>
  <si>
    <t>edbl</t>
  </si>
  <si>
    <t>edgs</t>
  </si>
  <si>
    <t>edncw</t>
  </si>
  <si>
    <t>edtx</t>
  </si>
  <si>
    <t>edtxu</t>
  </si>
  <si>
    <t>edtxw</t>
  </si>
  <si>
    <t>edxc</t>
  </si>
  <si>
    <t>efc-pa</t>
  </si>
  <si>
    <t>efc-pb</t>
  </si>
  <si>
    <t>efht</t>
  </si>
  <si>
    <t>efhtu</t>
  </si>
  <si>
    <t>egac</t>
  </si>
  <si>
    <t>eggf</t>
  </si>
  <si>
    <t>eioax</t>
  </si>
  <si>
    <t>elat</t>
  </si>
  <si>
    <t>elgp</t>
  </si>
  <si>
    <t>elox</t>
  </si>
  <si>
    <t>elsn</t>
  </si>
  <si>
    <t>embk</t>
  </si>
  <si>
    <t>embkw</t>
  </si>
  <si>
    <t>emcf</t>
  </si>
  <si>
    <t>emcgu</t>
  </si>
  <si>
    <t>emgc</t>
  </si>
  <si>
    <t>emhtf</t>
  </si>
  <si>
    <t>emld</t>
  </si>
  <si>
    <t>emma</t>
  </si>
  <si>
    <t>empw</t>
  </si>
  <si>
    <t>emtx</t>
  </si>
  <si>
    <t>emwpf</t>
  </si>
  <si>
    <t>enac</t>
  </si>
  <si>
    <t>enba</t>
  </si>
  <si>
    <t>encud</t>
  </si>
  <si>
    <t>encuf</t>
  </si>
  <si>
    <t>enerr</t>
  </si>
  <si>
    <t>eneru</t>
  </si>
  <si>
    <t>enj</t>
  </si>
  <si>
    <t>enjwq</t>
  </si>
  <si>
    <t>enjyq</t>
  </si>
  <si>
    <t>enob</t>
  </si>
  <si>
    <t>enpc</t>
  </si>
  <si>
    <t>enpc-un</t>
  </si>
  <si>
    <t>enpc-wt</t>
  </si>
  <si>
    <t>enrff</t>
  </si>
  <si>
    <t>entf</t>
  </si>
  <si>
    <t>entfu</t>
  </si>
  <si>
    <t>entfw</t>
  </si>
  <si>
    <t>entxw</t>
  </si>
  <si>
    <t>eoco</t>
  </si>
  <si>
    <t>eocw</t>
  </si>
  <si>
    <t>eocw-un</t>
  </si>
  <si>
    <t>eocw-wt</t>
  </si>
  <si>
    <t>ep-pc</t>
  </si>
  <si>
    <t>ephy</t>
  </si>
  <si>
    <t>ephyu</t>
  </si>
  <si>
    <t>ephyw</t>
  </si>
  <si>
    <t>epr-pc</t>
  </si>
  <si>
    <t>epr-pe</t>
  </si>
  <si>
    <t>epr-pg</t>
  </si>
  <si>
    <t>epwr</t>
  </si>
  <si>
    <t>eqc-pd</t>
  </si>
  <si>
    <t>eqcdx</t>
  </si>
  <si>
    <t>eqd</t>
  </si>
  <si>
    <t>eqd-un</t>
  </si>
  <si>
    <t>eqh-pa</t>
  </si>
  <si>
    <t>eqh-pc</t>
  </si>
  <si>
    <t>eqha</t>
  </si>
  <si>
    <t>eqha-un</t>
  </si>
  <si>
    <t>eqha-wt</t>
  </si>
  <si>
    <t>eqmef</t>
  </si>
  <si>
    <t>eqos</t>
  </si>
  <si>
    <t>eqrx</t>
  </si>
  <si>
    <t>eqrxw</t>
  </si>
  <si>
    <t>equr</t>
  </si>
  <si>
    <t>eres</t>
  </si>
  <si>
    <t>eresu</t>
  </si>
  <si>
    <t>eresw</t>
  </si>
  <si>
    <t>eryp</t>
  </si>
  <si>
    <t>esm-un</t>
  </si>
  <si>
    <t>esm-wt</t>
  </si>
  <si>
    <t>espi</t>
  </si>
  <si>
    <t>espid</t>
  </si>
  <si>
    <t>essc</t>
  </si>
  <si>
    <t>esscr</t>
  </si>
  <si>
    <t>esscu</t>
  </si>
  <si>
    <t>esscw</t>
  </si>
  <si>
    <t>essi</t>
  </si>
  <si>
    <t>este</t>
  </si>
  <si>
    <t>estwf</t>
  </si>
  <si>
    <t>et-pc</t>
  </si>
  <si>
    <t>et-pd</t>
  </si>
  <si>
    <t>et-pe</t>
  </si>
  <si>
    <t>etac</t>
  </si>
  <si>
    <t>ethof</t>
  </si>
  <si>
    <t>eti-p</t>
  </si>
  <si>
    <t>etwo-wt</t>
  </si>
  <si>
    <t>eucr</t>
  </si>
  <si>
    <t>eucru</t>
  </si>
  <si>
    <t>eucrw</t>
  </si>
  <si>
    <t>eve-un</t>
  </si>
  <si>
    <t>eve-wt</t>
  </si>
  <si>
    <t>evex-wt</t>
  </si>
  <si>
    <t>evh</t>
  </si>
  <si>
    <t>evoj</t>
  </si>
  <si>
    <t>evojw</t>
  </si>
  <si>
    <t>evop</t>
  </si>
  <si>
    <t>evtl</t>
  </si>
  <si>
    <t>evtl-wt</t>
  </si>
  <si>
    <t>evtn</t>
  </si>
  <si>
    <t>exac</t>
  </si>
  <si>
    <t>exd</t>
  </si>
  <si>
    <t>extn</t>
  </si>
  <si>
    <t>eyes</t>
  </si>
  <si>
    <t>ezagoo</t>
  </si>
  <si>
    <t>f-pb</t>
  </si>
  <si>
    <t>f-pc</t>
  </si>
  <si>
    <t>f-pd</t>
  </si>
  <si>
    <t>faca</t>
  </si>
  <si>
    <t>faca-un</t>
  </si>
  <si>
    <t>faca-wt</t>
  </si>
  <si>
    <t>fact-un</t>
  </si>
  <si>
    <t>fact-wt</t>
  </si>
  <si>
    <t>fath-wt</t>
  </si>
  <si>
    <t>fatp</t>
  </si>
  <si>
    <t>fatpu</t>
  </si>
  <si>
    <t>fatpw</t>
  </si>
  <si>
    <t>fbc</t>
  </si>
  <si>
    <t>fbds</t>
  </si>
  <si>
    <t>fbgx</t>
  </si>
  <si>
    <t>fbhs</t>
  </si>
  <si>
    <t>fbox</t>
  </si>
  <si>
    <t>fbrt-pe</t>
  </si>
  <si>
    <t>fcax</t>
  </si>
  <si>
    <t>fcax-un</t>
  </si>
  <si>
    <t>fcax-wt</t>
  </si>
  <si>
    <t>fcrd</t>
  </si>
  <si>
    <t>fcrex</t>
  </si>
  <si>
    <t>fdeu</t>
  </si>
  <si>
    <t>fdha</t>
  </si>
  <si>
    <t>fedl</t>
  </si>
  <si>
    <t>fexdr</t>
  </si>
  <si>
    <t>ffhl</t>
  </si>
  <si>
    <t>fgbi</t>
  </si>
  <si>
    <t>fgen</t>
  </si>
  <si>
    <t>fgld</t>
  </si>
  <si>
    <t>fgmc</t>
  </si>
  <si>
    <t>fgmcu</t>
  </si>
  <si>
    <t>fgmcw</t>
  </si>
  <si>
    <t>fgnb</t>
  </si>
  <si>
    <t>fhai</t>
  </si>
  <si>
    <t>fhn-pb</t>
  </si>
  <si>
    <t>fhn-pc</t>
  </si>
  <si>
    <t>fhn-pd</t>
  </si>
  <si>
    <t>fhn-pe</t>
  </si>
  <si>
    <t>fhn-pf</t>
  </si>
  <si>
    <t>fhtf</t>
  </si>
  <si>
    <t>fiee</t>
  </si>
  <si>
    <t>fifg</t>
  </si>
  <si>
    <t>fihd</t>
  </si>
  <si>
    <t>finmu</t>
  </si>
  <si>
    <t>fio</t>
  </si>
  <si>
    <t>flac</t>
  </si>
  <si>
    <t>flacu</t>
  </si>
  <si>
    <t>flacw</t>
  </si>
  <si>
    <t>flag</t>
  </si>
  <si>
    <t>flct</t>
  </si>
  <si>
    <t>flcx</t>
  </si>
  <si>
    <t>fles</t>
  </si>
  <si>
    <t>flex</t>
  </si>
  <si>
    <t>flfvr</t>
  </si>
  <si>
    <t>fllz</t>
  </si>
  <si>
    <t>flme-un</t>
  </si>
  <si>
    <t>flme-wt</t>
  </si>
  <si>
    <t>flrap</t>
  </si>
  <si>
    <t>flrz</t>
  </si>
  <si>
    <t>flya</t>
  </si>
  <si>
    <t>flya-un</t>
  </si>
  <si>
    <t>flya-wt</t>
  </si>
  <si>
    <t>flyd</t>
  </si>
  <si>
    <t>flyu</t>
  </si>
  <si>
    <t>fmiv</t>
  </si>
  <si>
    <t>fmivu</t>
  </si>
  <si>
    <t>fmivw</t>
  </si>
  <si>
    <t>fmtx</t>
  </si>
  <si>
    <t>fnb-pe</t>
  </si>
  <si>
    <t>fngs</t>
  </si>
  <si>
    <t>fnhc</t>
  </si>
  <si>
    <t>fnko</t>
  </si>
  <si>
    <t>foa-wt</t>
  </si>
  <si>
    <t>focs</t>
  </si>
  <si>
    <t>fogo</t>
  </si>
  <si>
    <t>forg</t>
  </si>
  <si>
    <t>forl</t>
  </si>
  <si>
    <t>form</t>
  </si>
  <si>
    <t>forr</t>
  </si>
  <si>
    <t>forz</t>
  </si>
  <si>
    <t>fosl</t>
  </si>
  <si>
    <t>fotb</t>
  </si>
  <si>
    <t>foxw</t>
  </si>
  <si>
    <t>foxwu</t>
  </si>
  <si>
    <t>foxww</t>
  </si>
  <si>
    <t>fpac</t>
  </si>
  <si>
    <t>fpac-un</t>
  </si>
  <si>
    <t>fpac-wt</t>
  </si>
  <si>
    <t>frbn</t>
  </si>
  <si>
    <t>frbnu</t>
  </si>
  <si>
    <t>frc</t>
  </si>
  <si>
    <t>frc-ph</t>
  </si>
  <si>
    <t>frc-pi</t>
  </si>
  <si>
    <t>frc-pj</t>
  </si>
  <si>
    <t>frc-pk</t>
  </si>
  <si>
    <t>frc-pl</t>
  </si>
  <si>
    <t>frc-pm</t>
  </si>
  <si>
    <t>frc-pn</t>
  </si>
  <si>
    <t>frey-wt</t>
  </si>
  <si>
    <t>frgap</t>
  </si>
  <si>
    <t>frgi</t>
  </si>
  <si>
    <t>fron</t>
  </si>
  <si>
    <t>fronu</t>
  </si>
  <si>
    <t>fronw</t>
  </si>
  <si>
    <t>fropx</t>
  </si>
  <si>
    <t>frprf</t>
  </si>
  <si>
    <t>frsg</t>
  </si>
  <si>
    <t>frsgu</t>
  </si>
  <si>
    <t>frsgw</t>
  </si>
  <si>
    <t>frt-pc</t>
  </si>
  <si>
    <t>frtm</t>
  </si>
  <si>
    <t>frwau</t>
  </si>
  <si>
    <t>frwaw</t>
  </si>
  <si>
    <t>frxb</t>
  </si>
  <si>
    <t>frxb-un</t>
  </si>
  <si>
    <t>frxb-wt</t>
  </si>
  <si>
    <t>fsfg</t>
  </si>
  <si>
    <t>fshp</t>
  </si>
  <si>
    <t>fsnb</t>
  </si>
  <si>
    <t>fsnb-un</t>
  </si>
  <si>
    <t>fsnb-wt</t>
  </si>
  <si>
    <t>fspr</t>
  </si>
  <si>
    <t>fsrd</t>
  </si>
  <si>
    <t>fsrdw</t>
  </si>
  <si>
    <t>fsrx</t>
  </si>
  <si>
    <t>fsrxu</t>
  </si>
  <si>
    <t>fsrxw</t>
  </si>
  <si>
    <t>fssi</t>
  </si>
  <si>
    <t>fssiw</t>
  </si>
  <si>
    <t>fstx</t>
  </si>
  <si>
    <t>ftaa</t>
  </si>
  <si>
    <t>ftaau</t>
  </si>
  <si>
    <t>ftaaw</t>
  </si>
  <si>
    <t>ftch</t>
  </si>
  <si>
    <t>ftcv</t>
  </si>
  <si>
    <t>ftcvu</t>
  </si>
  <si>
    <t>ftcvw</t>
  </si>
  <si>
    <t>fte</t>
  </si>
  <si>
    <t>ftev</t>
  </si>
  <si>
    <t>ftev-un</t>
  </si>
  <si>
    <t>ftev-wt</t>
  </si>
  <si>
    <t>ftpa</t>
  </si>
  <si>
    <t>ftpau</t>
  </si>
  <si>
    <t>ftpaw</t>
  </si>
  <si>
    <t>ftvi</t>
  </si>
  <si>
    <t>ftviu</t>
  </si>
  <si>
    <t>ftviw</t>
  </si>
  <si>
    <t>fue</t>
  </si>
  <si>
    <t>fvam</t>
  </si>
  <si>
    <t>fviv</t>
  </si>
  <si>
    <t>fviv-un</t>
  </si>
  <si>
    <t>fviv-wt</t>
  </si>
  <si>
    <t>fvt</t>
  </si>
  <si>
    <t>fvt-un</t>
  </si>
  <si>
    <t>fvt-wt</t>
  </si>
  <si>
    <t>fwac</t>
  </si>
  <si>
    <t>fwav</t>
  </si>
  <si>
    <t>fwp</t>
  </si>
  <si>
    <t>fzt</t>
  </si>
  <si>
    <t>fzt-un</t>
  </si>
  <si>
    <t>fzt-wt</t>
  </si>
  <si>
    <t>gab</t>
  </si>
  <si>
    <t>gab-pg</t>
  </si>
  <si>
    <t>gab-ph</t>
  </si>
  <si>
    <t>gab-pk</t>
  </si>
  <si>
    <t>gacq</t>
  </si>
  <si>
    <t>gacqu</t>
  </si>
  <si>
    <t>gacqw</t>
  </si>
  <si>
    <t>gam</t>
  </si>
  <si>
    <t>gam-pb</t>
  </si>
  <si>
    <t>gan</t>
  </si>
  <si>
    <t>gapa</t>
  </si>
  <si>
    <t>gapa-un</t>
  </si>
  <si>
    <t>gapa-wt</t>
  </si>
  <si>
    <t>gaq</t>
  </si>
  <si>
    <t>gaq-un</t>
  </si>
  <si>
    <t>gaq-wt</t>
  </si>
  <si>
    <t>gate</t>
  </si>
  <si>
    <t>gato</t>
  </si>
  <si>
    <t>gaz</t>
  </si>
  <si>
    <t>gb-wt</t>
  </si>
  <si>
    <t>gbbkr</t>
  </si>
  <si>
    <t>gbl</t>
  </si>
  <si>
    <t>gbox</t>
  </si>
  <si>
    <t>gbpt</t>
  </si>
  <si>
    <t>gbrg</t>
  </si>
  <si>
    <t>gbrgr</t>
  </si>
  <si>
    <t>gbrgu</t>
  </si>
  <si>
    <t>gbrgw</t>
  </si>
  <si>
    <t>gbtg-wt</t>
  </si>
  <si>
    <t>gbtt</t>
  </si>
  <si>
    <t>gbug</t>
  </si>
  <si>
    <t>gc</t>
  </si>
  <si>
    <t>gcrex</t>
  </si>
  <si>
    <t>gdl-pc</t>
  </si>
  <si>
    <t>gdmk</t>
  </si>
  <si>
    <t>gdnr</t>
  </si>
  <si>
    <t>gdnrw</t>
  </si>
  <si>
    <t>gdstr</t>
  </si>
  <si>
    <t>gdv-ph</t>
  </si>
  <si>
    <t>gdv-pk</t>
  </si>
  <si>
    <t>gdxu</t>
  </si>
  <si>
    <t>geccm</t>
  </si>
  <si>
    <t>geccn</t>
  </si>
  <si>
    <t>geex</t>
  </si>
  <si>
    <t>geexu</t>
  </si>
  <si>
    <t>geexw</t>
  </si>
  <si>
    <t>gef-b</t>
  </si>
  <si>
    <t>gehi</t>
  </si>
  <si>
    <t>gels</t>
  </si>
  <si>
    <t>genh</t>
  </si>
  <si>
    <t>geni-wt</t>
  </si>
  <si>
    <t>genq</t>
  </si>
  <si>
    <t>genqu</t>
  </si>
  <si>
    <t>genqw</t>
  </si>
  <si>
    <t>gety-wt</t>
  </si>
  <si>
    <t>gfgd</t>
  </si>
  <si>
    <t>gfgdr</t>
  </si>
  <si>
    <t>gfgdu</t>
  </si>
  <si>
    <t>gfld</t>
  </si>
  <si>
    <t>gflu</t>
  </si>
  <si>
    <t>gfor</t>
  </si>
  <si>
    <t>gfor-un</t>
  </si>
  <si>
    <t>gfor-wt</t>
  </si>
  <si>
    <t>gftx</t>
  </si>
  <si>
    <t>gfx</t>
  </si>
  <si>
    <t>gfx-un</t>
  </si>
  <si>
    <t>gfx-wt</t>
  </si>
  <si>
    <t>ggaa</t>
  </si>
  <si>
    <t>ggaau</t>
  </si>
  <si>
    <t>ggaaw</t>
  </si>
  <si>
    <t>ggmc</t>
  </si>
  <si>
    <t>ggmcu</t>
  </si>
  <si>
    <t>ggmcw</t>
  </si>
  <si>
    <t>ggn-pb</t>
  </si>
  <si>
    <t>ggt-pe</t>
  </si>
  <si>
    <t>ggt-pg</t>
  </si>
  <si>
    <t>ghac</t>
  </si>
  <si>
    <t>ghacu</t>
  </si>
  <si>
    <t>ghmp</t>
  </si>
  <si>
    <t>gia-un</t>
  </si>
  <si>
    <t>gia-wt</t>
  </si>
  <si>
    <t>giac</t>
  </si>
  <si>
    <t>giacu</t>
  </si>
  <si>
    <t>giacw</t>
  </si>
  <si>
    <t>giix</t>
  </si>
  <si>
    <t>giixu</t>
  </si>
  <si>
    <t>giixw</t>
  </si>
  <si>
    <t>gim</t>
  </si>
  <si>
    <t>girex</t>
  </si>
  <si>
    <t>giw</t>
  </si>
  <si>
    <t>giwww</t>
  </si>
  <si>
    <t>gjcu</t>
  </si>
  <si>
    <t>gl-pd</t>
  </si>
  <si>
    <t>glbd</t>
  </si>
  <si>
    <t>glblw</t>
  </si>
  <si>
    <t>glee</t>
  </si>
  <si>
    <t>gleeu</t>
  </si>
  <si>
    <t>gleew</t>
  </si>
  <si>
    <t>glha</t>
  </si>
  <si>
    <t>glhau</t>
  </si>
  <si>
    <t>glhaw</t>
  </si>
  <si>
    <t>gliv</t>
  </si>
  <si>
    <t>glli</t>
  </si>
  <si>
    <t>gllir</t>
  </si>
  <si>
    <t>glmd</t>
  </si>
  <si>
    <t>glog-pa</t>
  </si>
  <si>
    <t>glop</t>
  </si>
  <si>
    <t>glop-pa</t>
  </si>
  <si>
    <t>glop-pb</t>
  </si>
  <si>
    <t>glop-pc</t>
  </si>
  <si>
    <t>glp-pa</t>
  </si>
  <si>
    <t>glp-pb</t>
  </si>
  <si>
    <t>glpg</t>
  </si>
  <si>
    <t>gls-wt</t>
  </si>
  <si>
    <t>glta-un</t>
  </si>
  <si>
    <t>glta-wt</t>
  </si>
  <si>
    <t>glu-pa</t>
  </si>
  <si>
    <t>glu-pb</t>
  </si>
  <si>
    <t>gmre-pa</t>
  </si>
  <si>
    <t>gmtx</t>
  </si>
  <si>
    <t>gmvd</t>
  </si>
  <si>
    <t>gmvdw</t>
  </si>
  <si>
    <t>gmwx</t>
  </si>
  <si>
    <t>gnac</t>
  </si>
  <si>
    <t>gnacu</t>
  </si>
  <si>
    <t>gnacw</t>
  </si>
  <si>
    <t>gnbt</t>
  </si>
  <si>
    <t>gnca</t>
  </si>
  <si>
    <t>gne-pa</t>
  </si>
  <si>
    <t>gnl-pa</t>
  </si>
  <si>
    <t>gnl-pb</t>
  </si>
  <si>
    <t>gnt-pa</t>
  </si>
  <si>
    <t>gnus</t>
  </si>
  <si>
    <t>goev</t>
  </si>
  <si>
    <t>gogl</t>
  </si>
  <si>
    <t>gogn</t>
  </si>
  <si>
    <t>gogn-un</t>
  </si>
  <si>
    <t>gogn-wt</t>
  </si>
  <si>
    <t>gol</t>
  </si>
  <si>
    <t>gosc</t>
  </si>
  <si>
    <t>goxs</t>
  </si>
  <si>
    <t>gp</t>
  </si>
  <si>
    <t>gpat</t>
  </si>
  <si>
    <t>gpco</t>
  </si>
  <si>
    <t>gpcor</t>
  </si>
  <si>
    <t>gpcou</t>
  </si>
  <si>
    <t>gpcow</t>
  </si>
  <si>
    <t>gpja</t>
  </si>
  <si>
    <t>gpmt-pa</t>
  </si>
  <si>
    <t>gpp</t>
  </si>
  <si>
    <t>gramf</t>
  </si>
  <si>
    <t>grbk-pa</t>
  </si>
  <si>
    <t>grcy</t>
  </si>
  <si>
    <t>grcyw</t>
  </si>
  <si>
    <t>gril</t>
  </si>
  <si>
    <t>grmwf</t>
  </si>
  <si>
    <t>grna</t>
  </si>
  <si>
    <t>grnaw</t>
  </si>
  <si>
    <t>grouy</t>
  </si>
  <si>
    <t>grov-wt</t>
  </si>
  <si>
    <t>groy-wt</t>
  </si>
  <si>
    <t>grp-un</t>
  </si>
  <si>
    <t>grpx</t>
  </si>
  <si>
    <t>grrb</t>
  </si>
  <si>
    <t>grta</t>
  </si>
  <si>
    <t>grtr</t>
  </si>
  <si>
    <t>grts</t>
  </si>
  <si>
    <t>grvy</t>
  </si>
  <si>
    <t>grwc</t>
  </si>
  <si>
    <t>grwg</t>
  </si>
  <si>
    <t>gs-pa</t>
  </si>
  <si>
    <t>gs-pc</t>
  </si>
  <si>
    <t>gs-pd</t>
  </si>
  <si>
    <t>gs-pj</t>
  </si>
  <si>
    <t>gs-pk</t>
  </si>
  <si>
    <t>gsabf</t>
  </si>
  <si>
    <t>gsat</t>
  </si>
  <si>
    <t>gsev</t>
  </si>
  <si>
    <t>gsevu</t>
  </si>
  <si>
    <t>gsevw</t>
  </si>
  <si>
    <t>gsgg</t>
  </si>
  <si>
    <t>gsky</t>
  </si>
  <si>
    <t>gsl-pb</t>
  </si>
  <si>
    <t>gsmg</t>
  </si>
  <si>
    <t>gsqb</t>
  </si>
  <si>
    <t>gsqb-un</t>
  </si>
  <si>
    <t>gsqb-wt</t>
  </si>
  <si>
    <t>gsqd</t>
  </si>
  <si>
    <t>gsqd-un</t>
  </si>
  <si>
    <t>gsqd-wt</t>
  </si>
  <si>
    <t>gsrm</t>
  </si>
  <si>
    <t>gsrmr</t>
  </si>
  <si>
    <t>gsrmu</t>
  </si>
  <si>
    <t>gsrmw</t>
  </si>
  <si>
    <t>gsrx</t>
  </si>
  <si>
    <t>gsv</t>
  </si>
  <si>
    <t>gten</t>
  </si>
  <si>
    <t>gtn-a</t>
  </si>
  <si>
    <t>gtpa</t>
  </si>
  <si>
    <t>gtpau</t>
  </si>
  <si>
    <t>gtpaw</t>
  </si>
  <si>
    <t>gtpb</t>
  </si>
  <si>
    <t>gtpbu</t>
  </si>
  <si>
    <t>gtpbw</t>
  </si>
  <si>
    <t>gttj</t>
  </si>
  <si>
    <t>gttnq</t>
  </si>
  <si>
    <t>gtvi</t>
  </si>
  <si>
    <t>gtxap</t>
  </si>
  <si>
    <t>gtxo</t>
  </si>
  <si>
    <t>gut-pc</t>
  </si>
  <si>
    <t>gvac</t>
  </si>
  <si>
    <t>gvbt</t>
  </si>
  <si>
    <t>gvci</t>
  </si>
  <si>
    <t>gvciu</t>
  </si>
  <si>
    <t>gvciw</t>
  </si>
  <si>
    <t>gwghq</t>
  </si>
  <si>
    <t>gwh-wt</t>
  </si>
  <si>
    <t>gwii</t>
  </si>
  <si>
    <t>gwiiw</t>
  </si>
  <si>
    <t>gxii</t>
  </si>
  <si>
    <t>gxiiu</t>
  </si>
  <si>
    <t>gxiiw</t>
  </si>
  <si>
    <t>gzcc</t>
  </si>
  <si>
    <t>haac</t>
  </si>
  <si>
    <t>haacu</t>
  </si>
  <si>
    <t>haacw</t>
  </si>
  <si>
    <t>happ</t>
  </si>
  <si>
    <t>hcar</t>
  </si>
  <si>
    <t>hcaru</t>
  </si>
  <si>
    <t>hcarw</t>
  </si>
  <si>
    <t>hcci</t>
  </si>
  <si>
    <t>hcdi</t>
  </si>
  <si>
    <t>hcdip</t>
  </si>
  <si>
    <t>hcdiw</t>
  </si>
  <si>
    <t>hcdiz</t>
  </si>
  <si>
    <t>hcic</t>
  </si>
  <si>
    <t>hcicu</t>
  </si>
  <si>
    <t>hcicw</t>
  </si>
  <si>
    <t>hcii</t>
  </si>
  <si>
    <t>hciiw</t>
  </si>
  <si>
    <t>hcne</t>
  </si>
  <si>
    <t>hcneu</t>
  </si>
  <si>
    <t>hcnew</t>
  </si>
  <si>
    <t>hcxy</t>
  </si>
  <si>
    <t>hcyt</t>
  </si>
  <si>
    <t>hdlb</t>
  </si>
  <si>
    <t>hdls</t>
  </si>
  <si>
    <t>hei-a</t>
  </si>
  <si>
    <t>hep</t>
  </si>
  <si>
    <t>hera</t>
  </si>
  <si>
    <t>herau</t>
  </si>
  <si>
    <t>heraw</t>
  </si>
  <si>
    <t>hesp</t>
  </si>
  <si>
    <t>hexo</t>
  </si>
  <si>
    <t>hfro-pa</t>
  </si>
  <si>
    <t>hghh</t>
  </si>
  <si>
    <t>hgia</t>
  </si>
  <si>
    <t>hgmcf</t>
  </si>
  <si>
    <t>hgtxu</t>
  </si>
  <si>
    <t>hgty-wt</t>
  </si>
  <si>
    <t>hhgcr</t>
  </si>
  <si>
    <t>hhla-un</t>
  </si>
  <si>
    <t>hhla-wt</t>
  </si>
  <si>
    <t>hig-pg</t>
  </si>
  <si>
    <t>higa</t>
  </si>
  <si>
    <t>higa-wt</t>
  </si>
  <si>
    <t>hiii</t>
  </si>
  <si>
    <t>hiiiu</t>
  </si>
  <si>
    <t>hiiiw</t>
  </si>
  <si>
    <t>hipo-wt</t>
  </si>
  <si>
    <t>hl-pb</t>
  </si>
  <si>
    <t>hlah</t>
  </si>
  <si>
    <t>hlahu</t>
  </si>
  <si>
    <t>hlahw</t>
  </si>
  <si>
    <t>hlbz</t>
  </si>
  <si>
    <t>hlbzw</t>
  </si>
  <si>
    <t>hlgn-wt</t>
  </si>
  <si>
    <t>hlly-wt</t>
  </si>
  <si>
    <t>hlst</t>
  </si>
  <si>
    <t>hlwd</t>
  </si>
  <si>
    <t>hma</t>
  </si>
  <si>
    <t>hma-un</t>
  </si>
  <si>
    <t>hma-wt</t>
  </si>
  <si>
    <t>hmac</t>
  </si>
  <si>
    <t>hmacr</t>
  </si>
  <si>
    <t>hmacu</t>
  </si>
  <si>
    <t>hmacw</t>
  </si>
  <si>
    <t>hmco</t>
  </si>
  <si>
    <t>hmcou</t>
  </si>
  <si>
    <t>hmcow</t>
  </si>
  <si>
    <t>hmla</t>
  </si>
  <si>
    <t>hmlp</t>
  </si>
  <si>
    <t>hmlp-pa</t>
  </si>
  <si>
    <t>hmpt</t>
  </si>
  <si>
    <t>hmtv</t>
  </si>
  <si>
    <t>hnckf</t>
  </si>
  <si>
    <t>hngr</t>
  </si>
  <si>
    <t>hnpiy</t>
  </si>
  <si>
    <t>hnra-wt</t>
  </si>
  <si>
    <t>holi</t>
  </si>
  <si>
    <t>holx</t>
  </si>
  <si>
    <t>homb</t>
  </si>
  <si>
    <t>hook</t>
  </si>
  <si>
    <t>hope</t>
  </si>
  <si>
    <t>hori</t>
  </si>
  <si>
    <t>horiu</t>
  </si>
  <si>
    <t>hoti</t>
  </si>
  <si>
    <t>hous</t>
  </si>
  <si>
    <t>hpco</t>
  </si>
  <si>
    <t>hpk</t>
  </si>
  <si>
    <t>hplt</t>
  </si>
  <si>
    <t>hpltu</t>
  </si>
  <si>
    <t>hpltw</t>
  </si>
  <si>
    <t>hpp-pc</t>
  </si>
  <si>
    <t>hpx-un</t>
  </si>
  <si>
    <t>hpx-wt</t>
  </si>
  <si>
    <t>hrdg</t>
  </si>
  <si>
    <t>hs</t>
  </si>
  <si>
    <t>hsaq</t>
  </si>
  <si>
    <t>hsc</t>
  </si>
  <si>
    <t>hska</t>
  </si>
  <si>
    <t>ht</t>
  </si>
  <si>
    <t>ht-pc</t>
  </si>
  <si>
    <t>ht-pd</t>
  </si>
  <si>
    <t>ht-pe</t>
  </si>
  <si>
    <t>htaq</t>
  </si>
  <si>
    <t>htaq-un</t>
  </si>
  <si>
    <t>htaq-wt</t>
  </si>
  <si>
    <t>htgm</t>
  </si>
  <si>
    <t>hthc</t>
  </si>
  <si>
    <t>htpa</t>
  </si>
  <si>
    <t>htpa-un</t>
  </si>
  <si>
    <t>htpa-wt</t>
  </si>
  <si>
    <t>huak</t>
  </si>
  <si>
    <t>hugs</t>
  </si>
  <si>
    <t>hugs-un</t>
  </si>
  <si>
    <t>hugs-wt</t>
  </si>
  <si>
    <t>humaw</t>
  </si>
  <si>
    <t>huya</t>
  </si>
  <si>
    <t>hvbc</t>
  </si>
  <si>
    <t>hvt-a</t>
  </si>
  <si>
    <t>hwel</t>
  </si>
  <si>
    <t>hwelw</t>
  </si>
  <si>
    <t>hwgc</t>
  </si>
  <si>
    <t>hwkz</t>
  </si>
  <si>
    <t>hwkz-wt</t>
  </si>
  <si>
    <t>hwm-p</t>
  </si>
  <si>
    <t>hybt</t>
  </si>
  <si>
    <t>hyex</t>
  </si>
  <si>
    <t>hyfm</t>
  </si>
  <si>
    <t>hyiv</t>
  </si>
  <si>
    <t>hyln</t>
  </si>
  <si>
    <t>hymcz</t>
  </si>
  <si>
    <t>hypb</t>
  </si>
  <si>
    <t>hyre</t>
  </si>
  <si>
    <t>hzag</t>
  </si>
  <si>
    <t>hznp</t>
  </si>
  <si>
    <t>hzon</t>
  </si>
  <si>
    <t>hzon-un</t>
  </si>
  <si>
    <t>hzon-wt</t>
  </si>
  <si>
    <t>iacc</t>
  </si>
  <si>
    <t>iaci</t>
  </si>
  <si>
    <t>iba</t>
  </si>
  <si>
    <t>iber</t>
  </si>
  <si>
    <t>iber-un</t>
  </si>
  <si>
    <t>iber-wt</t>
  </si>
  <si>
    <t>icga</t>
  </si>
  <si>
    <t>icnc</t>
  </si>
  <si>
    <t>icnc-un</t>
  </si>
  <si>
    <t>icr-pa</t>
  </si>
  <si>
    <t>ictsf</t>
  </si>
  <si>
    <t>idba</t>
  </si>
  <si>
    <t>idiv</t>
  </si>
  <si>
    <t>idra</t>
  </si>
  <si>
    <t>idw</t>
  </si>
  <si>
    <t>ieaww</t>
  </si>
  <si>
    <t>ifed</t>
  </si>
  <si>
    <t>ifin-un</t>
  </si>
  <si>
    <t>ifin-wt</t>
  </si>
  <si>
    <t>ifny</t>
  </si>
  <si>
    <t>igac</t>
  </si>
  <si>
    <t>igacu</t>
  </si>
  <si>
    <t>igacw</t>
  </si>
  <si>
    <t>igicw</t>
  </si>
  <si>
    <t>igny</t>
  </si>
  <si>
    <t>ignyu</t>
  </si>
  <si>
    <t>ignyw</t>
  </si>
  <si>
    <t>igtar</t>
  </si>
  <si>
    <t>ihcpf</t>
  </si>
  <si>
    <t>ihit</t>
  </si>
  <si>
    <t>ihita</t>
  </si>
  <si>
    <t>iiii</t>
  </si>
  <si>
    <t>iiiiu</t>
  </si>
  <si>
    <t>iiiiw</t>
  </si>
  <si>
    <t>iipr-pa</t>
  </si>
  <si>
    <t>iivi</t>
  </si>
  <si>
    <t>iivip</t>
  </si>
  <si>
    <t>ikna</t>
  </si>
  <si>
    <t>imbi</t>
  </si>
  <si>
    <t>imbil</t>
  </si>
  <si>
    <t>imgo</t>
  </si>
  <si>
    <t>imh</t>
  </si>
  <si>
    <t>imlp</t>
  </si>
  <si>
    <t>impho</t>
  </si>
  <si>
    <t>impl</t>
  </si>
  <si>
    <t>impx</t>
  </si>
  <si>
    <t>impx-un</t>
  </si>
  <si>
    <t>impx-wt</t>
  </si>
  <si>
    <t>imra</t>
  </si>
  <si>
    <t>imrnw</t>
  </si>
  <si>
    <t>imun</t>
  </si>
  <si>
    <t>inab</t>
  </si>
  <si>
    <t>inaq-un</t>
  </si>
  <si>
    <t>inaq-wt</t>
  </si>
  <si>
    <t>inbt</t>
  </si>
  <si>
    <t>indiw</t>
  </si>
  <si>
    <t>inka</t>
  </si>
  <si>
    <t>inkaw</t>
  </si>
  <si>
    <t>inki</t>
  </si>
  <si>
    <t>inn-pe</t>
  </si>
  <si>
    <t>inn-pf</t>
  </si>
  <si>
    <t>intm</t>
  </si>
  <si>
    <t>ioac</t>
  </si>
  <si>
    <t>ioacu</t>
  </si>
  <si>
    <t>ioacw</t>
  </si>
  <si>
    <t>iogpq</t>
  </si>
  <si>
    <t>ionm</t>
  </si>
  <si>
    <t>ionq-wt</t>
  </si>
  <si>
    <t>ipax</t>
  </si>
  <si>
    <t>ipaxu</t>
  </si>
  <si>
    <t>ipaxw</t>
  </si>
  <si>
    <t>ipod</t>
  </si>
  <si>
    <t>ipod-un</t>
  </si>
  <si>
    <t>ipod-wt</t>
  </si>
  <si>
    <t>ipof</t>
  </si>
  <si>
    <t>ipof-un</t>
  </si>
  <si>
    <t>ipof-wt</t>
  </si>
  <si>
    <t>ipva</t>
  </si>
  <si>
    <t>ipva-un</t>
  </si>
  <si>
    <t>ipva-wt</t>
  </si>
  <si>
    <t>ipvf</t>
  </si>
  <si>
    <t>ipvf-wt</t>
  </si>
  <si>
    <t>ipvi</t>
  </si>
  <si>
    <t>ipviu</t>
  </si>
  <si>
    <t>ipviw</t>
  </si>
  <si>
    <t>ipwlk</t>
  </si>
  <si>
    <t>ipwlo</t>
  </si>
  <si>
    <t>iq</t>
  </si>
  <si>
    <t>iqmd</t>
  </si>
  <si>
    <t>iqmdu</t>
  </si>
  <si>
    <t>iqmdw</t>
  </si>
  <si>
    <t>ircc</t>
  </si>
  <si>
    <t>irnt</t>
  </si>
  <si>
    <t>irnt-wt</t>
  </si>
  <si>
    <t>iroq</t>
  </si>
  <si>
    <t>irrx</t>
  </si>
  <si>
    <t>irrx-un</t>
  </si>
  <si>
    <t>irrx-wt</t>
  </si>
  <si>
    <t>irs-wt</t>
  </si>
  <si>
    <t>isaa</t>
  </si>
  <si>
    <t>isbc</t>
  </si>
  <si>
    <t>isig</t>
  </si>
  <si>
    <t>isign</t>
  </si>
  <si>
    <t>isr</t>
  </si>
  <si>
    <t>itaq</t>
  </si>
  <si>
    <t>itaqu</t>
  </si>
  <si>
    <t>itaqw</t>
  </si>
  <si>
    <t>itcb</t>
  </si>
  <si>
    <t>itegy</t>
  </si>
  <si>
    <t>itepf</t>
  </si>
  <si>
    <t>itq</t>
  </si>
  <si>
    <t>itqru</t>
  </si>
  <si>
    <t>itqrw</t>
  </si>
  <si>
    <t>ivh</t>
  </si>
  <si>
    <t>ivr-pb</t>
  </si>
  <si>
    <t>ivr-pc</t>
  </si>
  <si>
    <t>iwdl</t>
  </si>
  <si>
    <t>iwfl</t>
  </si>
  <si>
    <t>iwml</t>
  </si>
  <si>
    <t>izm</t>
  </si>
  <si>
    <t>jaqc</t>
  </si>
  <si>
    <t>jaqcu</t>
  </si>
  <si>
    <t>jaqcw</t>
  </si>
  <si>
    <t>jatt</t>
  </si>
  <si>
    <t>jatt-wt</t>
  </si>
  <si>
    <t>jblu</t>
  </si>
  <si>
    <t>jcicu</t>
  </si>
  <si>
    <t>jcicw</t>
  </si>
  <si>
    <t>jco</t>
  </si>
  <si>
    <t>jemd</t>
  </si>
  <si>
    <t>jengq</t>
  </si>
  <si>
    <t>jggc</t>
  </si>
  <si>
    <t>jggcr</t>
  </si>
  <si>
    <t>jggcu</t>
  </si>
  <si>
    <t>jggcw</t>
  </si>
  <si>
    <t>jhaa</t>
  </si>
  <si>
    <t>jia</t>
  </si>
  <si>
    <t>jja</t>
  </si>
  <si>
    <t>jjc</t>
  </si>
  <si>
    <t>jje</t>
  </si>
  <si>
    <t>jjg</t>
  </si>
  <si>
    <t>jjm</t>
  </si>
  <si>
    <t>jjn</t>
  </si>
  <si>
    <t>jjoc</t>
  </si>
  <si>
    <t>jjoff</t>
  </si>
  <si>
    <t>jjp</t>
  </si>
  <si>
    <t>jjs</t>
  </si>
  <si>
    <t>jjt</t>
  </si>
  <si>
    <t>jju</t>
  </si>
  <si>
    <t>jmac</t>
  </si>
  <si>
    <t>jmacu</t>
  </si>
  <si>
    <t>jmacw</t>
  </si>
  <si>
    <t>jnce</t>
  </si>
  <si>
    <t>jo</t>
  </si>
  <si>
    <t>joby-wt</t>
  </si>
  <si>
    <t>joff</t>
  </si>
  <si>
    <t>joffu</t>
  </si>
  <si>
    <t>joffw</t>
  </si>
  <si>
    <t>jpm-pc</t>
  </si>
  <si>
    <t>jpm-pd</t>
  </si>
  <si>
    <t>jpm-pj</t>
  </si>
  <si>
    <t>jpm-pk</t>
  </si>
  <si>
    <t>jpm-pl</t>
  </si>
  <si>
    <t>jpm-pm</t>
  </si>
  <si>
    <t>jps</t>
  </si>
  <si>
    <t>jpt</t>
  </si>
  <si>
    <t>jro</t>
  </si>
  <si>
    <t>jrvs</t>
  </si>
  <si>
    <t>jsd</t>
  </si>
  <si>
    <t>jspr</t>
  </si>
  <si>
    <t>jugg</t>
  </si>
  <si>
    <t>juggu</t>
  </si>
  <si>
    <t>juggw</t>
  </si>
  <si>
    <t>jun</t>
  </si>
  <si>
    <t>jun-un</t>
  </si>
  <si>
    <t>jun-wt</t>
  </si>
  <si>
    <t>juns</t>
  </si>
  <si>
    <t>jupw</t>
  </si>
  <si>
    <t>jupww</t>
  </si>
  <si>
    <t>juvf</t>
  </si>
  <si>
    <t>jwac</t>
  </si>
  <si>
    <t>jwacr</t>
  </si>
  <si>
    <t>jwsm</t>
  </si>
  <si>
    <t>jwsm-un</t>
  </si>
  <si>
    <t>jwsm-wt</t>
  </si>
  <si>
    <t>jxhly</t>
  </si>
  <si>
    <t>jyac</t>
  </si>
  <si>
    <t>kaclu</t>
  </si>
  <si>
    <t>kaclw</t>
  </si>
  <si>
    <t>kahc</t>
  </si>
  <si>
    <t>kahc-un</t>
  </si>
  <si>
    <t>kahc-wt</t>
  </si>
  <si>
    <t>kaii</t>
  </si>
  <si>
    <t>kaiiu</t>
  </si>
  <si>
    <t>kaiiw</t>
  </si>
  <si>
    <t>kair</t>
  </si>
  <si>
    <t>kairu</t>
  </si>
  <si>
    <t>kairw</t>
  </si>
  <si>
    <t>kalww</t>
  </si>
  <si>
    <t>karx</t>
  </si>
  <si>
    <t>kb</t>
  </si>
  <si>
    <t>kbal</t>
  </si>
  <si>
    <t>kbrs</t>
  </si>
  <si>
    <t>kbtc</t>
  </si>
  <si>
    <t>kca-un</t>
  </si>
  <si>
    <t>kcac-un</t>
  </si>
  <si>
    <t>kcac-wt</t>
  </si>
  <si>
    <t>kcgi-un</t>
  </si>
  <si>
    <t>kcgi-wt</t>
  </si>
  <si>
    <t>kdny</t>
  </si>
  <si>
    <t>kelya</t>
  </si>
  <si>
    <t>kelyb</t>
  </si>
  <si>
    <t>kep</t>
  </si>
  <si>
    <t>kern</t>
  </si>
  <si>
    <t>key-pi</t>
  </si>
  <si>
    <t>key-pj</t>
  </si>
  <si>
    <t>key-pk</t>
  </si>
  <si>
    <t>key-pl</t>
  </si>
  <si>
    <t>kfsyf</t>
  </si>
  <si>
    <t>kgeif</t>
  </si>
  <si>
    <t>kgnr</t>
  </si>
  <si>
    <t>kiii</t>
  </si>
  <si>
    <t>kiiiu</t>
  </si>
  <si>
    <t>kiiiw</t>
  </si>
  <si>
    <t>kim-pl</t>
  </si>
  <si>
    <t>kim-pm</t>
  </si>
  <si>
    <t>kinz</t>
  </si>
  <si>
    <t>kinzu</t>
  </si>
  <si>
    <t>kinzw</t>
  </si>
  <si>
    <t>kkr-pc</t>
  </si>
  <si>
    <t>klaq</t>
  </si>
  <si>
    <t>klaqw</t>
  </si>
  <si>
    <t>klc</t>
  </si>
  <si>
    <t>klr-wt</t>
  </si>
  <si>
    <t>klxe</t>
  </si>
  <si>
    <t>kmf</t>
  </si>
  <si>
    <t>kmph</t>
  </si>
  <si>
    <t>knbe</t>
  </si>
  <si>
    <t>knsw</t>
  </si>
  <si>
    <t>knsw-un</t>
  </si>
  <si>
    <t>knsw-wt</t>
  </si>
  <si>
    <t>knwn</t>
  </si>
  <si>
    <t>kool</t>
  </si>
  <si>
    <t>kore-wt</t>
  </si>
  <si>
    <t>kpnt</t>
  </si>
  <si>
    <t>kprx</t>
  </si>
  <si>
    <t>kref-pa</t>
  </si>
  <si>
    <t>krnlu</t>
  </si>
  <si>
    <t>ksicu</t>
  </si>
  <si>
    <t>ksicw</t>
  </si>
  <si>
    <t>kusa</t>
  </si>
  <si>
    <t>kvsa</t>
  </si>
  <si>
    <t>kvsc</t>
  </si>
  <si>
    <t>kvsd</t>
  </si>
  <si>
    <t>kwbt</t>
  </si>
  <si>
    <t>kwemf</t>
  </si>
  <si>
    <t>laaa</t>
  </si>
  <si>
    <t>laaau</t>
  </si>
  <si>
    <t>laaaw</t>
  </si>
  <si>
    <t>laixy</t>
  </si>
  <si>
    <t>landm</t>
  </si>
  <si>
    <t>lando</t>
  </si>
  <si>
    <t>larax</t>
  </si>
  <si>
    <t>latgw</t>
  </si>
  <si>
    <t>lax</t>
  </si>
  <si>
    <t>laxxu</t>
  </si>
  <si>
    <t>laxxw</t>
  </si>
  <si>
    <t>lazy</t>
  </si>
  <si>
    <t>lazyw</t>
  </si>
  <si>
    <t>lbao</t>
  </si>
  <si>
    <t>lbbbr</t>
  </si>
  <si>
    <t>lbgj</t>
  </si>
  <si>
    <t>lci</t>
  </si>
  <si>
    <t>lcut</t>
  </si>
  <si>
    <t>lcw-wt</t>
  </si>
  <si>
    <t>ld</t>
  </si>
  <si>
    <t>ldha</t>
  </si>
  <si>
    <t>ldhau</t>
  </si>
  <si>
    <t>ldhaw</t>
  </si>
  <si>
    <t>ldsp</t>
  </si>
  <si>
    <t>ledg</t>
  </si>
  <si>
    <t>lega</t>
  </si>
  <si>
    <t>legau</t>
  </si>
  <si>
    <t>legaw</t>
  </si>
  <si>
    <t>legx</t>
  </si>
  <si>
    <t>lendx</t>
  </si>
  <si>
    <t>lev-wt</t>
  </si>
  <si>
    <t>lfac</t>
  </si>
  <si>
    <t>lfacu</t>
  </si>
  <si>
    <t>lfacw</t>
  </si>
  <si>
    <t>lfchy</t>
  </si>
  <si>
    <t>lft-pa</t>
  </si>
  <si>
    <t>lfta</t>
  </si>
  <si>
    <t>lftr</t>
  </si>
  <si>
    <t>lftru</t>
  </si>
  <si>
    <t>lftrw</t>
  </si>
  <si>
    <t>lfvn</t>
  </si>
  <si>
    <t>lgac</t>
  </si>
  <si>
    <t>lgacu</t>
  </si>
  <si>
    <t>lgacw</t>
  </si>
  <si>
    <t>lgf-a</t>
  </si>
  <si>
    <t>lgf-b</t>
  </si>
  <si>
    <t>lghlw</t>
  </si>
  <si>
    <t>lgl-wt</t>
  </si>
  <si>
    <t>lgndz</t>
  </si>
  <si>
    <t>lgnxz</t>
  </si>
  <si>
    <t>lgnyz</t>
  </si>
  <si>
    <t>lgnzz</t>
  </si>
  <si>
    <t>lgto</t>
  </si>
  <si>
    <t>lgtou</t>
  </si>
  <si>
    <t>lgtow</t>
  </si>
  <si>
    <t>lgv</t>
  </si>
  <si>
    <t>lgv-un</t>
  </si>
  <si>
    <t>lgv-wt</t>
  </si>
  <si>
    <t>lhaa</t>
  </si>
  <si>
    <t>lhc-un</t>
  </si>
  <si>
    <t>lhc-wt</t>
  </si>
  <si>
    <t>lhca</t>
  </si>
  <si>
    <t>lhcg</t>
  </si>
  <si>
    <t>lhdx</t>
  </si>
  <si>
    <t>libyu</t>
  </si>
  <si>
    <t>libyw</t>
  </si>
  <si>
    <t>lionw</t>
  </si>
  <si>
    <t>littu</t>
  </si>
  <si>
    <t>littw</t>
  </si>
  <si>
    <t>livb</t>
  </si>
  <si>
    <t>livbu</t>
  </si>
  <si>
    <t>livbw</t>
  </si>
  <si>
    <t>lizi</t>
  </si>
  <si>
    <t>ljaq</t>
  </si>
  <si>
    <t>ljaqu</t>
  </si>
  <si>
    <t>ljaqw</t>
  </si>
  <si>
    <t>lkva</t>
  </si>
  <si>
    <t>llap-wt</t>
  </si>
  <si>
    <t>lmaca</t>
  </si>
  <si>
    <t>lmacu</t>
  </si>
  <si>
    <t>lmacw</t>
  </si>
  <si>
    <t>lmao</t>
  </si>
  <si>
    <t>lmaou</t>
  </si>
  <si>
    <t>lmaow</t>
  </si>
  <si>
    <t>lmdx</t>
  </si>
  <si>
    <t>lmdxw</t>
  </si>
  <si>
    <t>lmnl</t>
  </si>
  <si>
    <t>lmst</t>
  </si>
  <si>
    <t>lngb</t>
  </si>
  <si>
    <t>lnzny</t>
  </si>
  <si>
    <t>locc</t>
  </si>
  <si>
    <t>locc-un</t>
  </si>
  <si>
    <t>locc-wt</t>
  </si>
  <si>
    <t>locl-wt</t>
  </si>
  <si>
    <t>logc</t>
  </si>
  <si>
    <t>loha</t>
  </si>
  <si>
    <t>lokm</t>
  </si>
  <si>
    <t>lokm-un</t>
  </si>
  <si>
    <t>lokm-wt</t>
  </si>
  <si>
    <t>lotz</t>
  </si>
  <si>
    <t>lotzw</t>
  </si>
  <si>
    <t>lphm</t>
  </si>
  <si>
    <t>lqda</t>
  </si>
  <si>
    <t>lqdt</t>
  </si>
  <si>
    <t>lrttf</t>
  </si>
  <si>
    <t>lsac</t>
  </si>
  <si>
    <t>lspr</t>
  </si>
  <si>
    <t>lsprw</t>
  </si>
  <si>
    <t>ltafx</t>
  </si>
  <si>
    <t>ltcfx</t>
  </si>
  <si>
    <t>ltifx</t>
  </si>
  <si>
    <t>ltmaq</t>
  </si>
  <si>
    <t>ltsc</t>
  </si>
  <si>
    <t>ltva</t>
  </si>
  <si>
    <t>luv</t>
  </si>
  <si>
    <t>luxa</t>
  </si>
  <si>
    <t>luxau</t>
  </si>
  <si>
    <t>luxaw</t>
  </si>
  <si>
    <t>lvac</t>
  </si>
  <si>
    <t>lvacw</t>
  </si>
  <si>
    <t>lvdw</t>
  </si>
  <si>
    <t>lvo</t>
  </si>
  <si>
    <t>lvox</t>
  </si>
  <si>
    <t>lvoxu</t>
  </si>
  <si>
    <t>lvoxw</t>
  </si>
  <si>
    <t>lvra</t>
  </si>
  <si>
    <t>lvs</t>
  </si>
  <si>
    <t>lwel</t>
  </si>
  <si>
    <t>lxp-pc</t>
  </si>
  <si>
    <t>lxxgf</t>
  </si>
  <si>
    <t>lylt</t>
  </si>
  <si>
    <t>lyts</t>
  </si>
  <si>
    <t>maa-pi</t>
  </si>
  <si>
    <t>maaq</t>
  </si>
  <si>
    <t>maaqr</t>
  </si>
  <si>
    <t>maaqw</t>
  </si>
  <si>
    <t>macc</t>
  </si>
  <si>
    <t>macc-un</t>
  </si>
  <si>
    <t>macc-wt</t>
  </si>
  <si>
    <t>madl</t>
  </si>
  <si>
    <t>mant</t>
  </si>
  <si>
    <t>mark</t>
  </si>
  <si>
    <t>marps</t>
  </si>
  <si>
    <t>maxr</t>
  </si>
  <si>
    <t>mbac</t>
  </si>
  <si>
    <t>mbac-wt</t>
  </si>
  <si>
    <t>mbsc</t>
  </si>
  <si>
    <t>mbsc-un</t>
  </si>
  <si>
    <t>mbsc-wt</t>
  </si>
  <si>
    <t>mbtcr</t>
  </si>
  <si>
    <t>mcacr</t>
  </si>
  <si>
    <t>mcae</t>
  </si>
  <si>
    <t>mcaer</t>
  </si>
  <si>
    <t>mcafr</t>
  </si>
  <si>
    <t>mcfe</t>
  </si>
  <si>
    <t>mcft</t>
  </si>
  <si>
    <t>mcfuf</t>
  </si>
  <si>
    <t>mcld</t>
  </si>
  <si>
    <t>mcldw</t>
  </si>
  <si>
    <t>mcty</t>
  </si>
  <si>
    <t>mdgsw</t>
  </si>
  <si>
    <t>mdh-wt</t>
  </si>
  <si>
    <t>mdls</t>
  </si>
  <si>
    <t>mdlvy</t>
  </si>
  <si>
    <t>mdv</t>
  </si>
  <si>
    <t>mdv-pa</t>
  </si>
  <si>
    <t>mdvp</t>
  </si>
  <si>
    <t>mdwt</t>
  </si>
  <si>
    <t>meac</t>
  </si>
  <si>
    <t>meacw</t>
  </si>
  <si>
    <t>meka</t>
  </si>
  <si>
    <t>meoa</t>
  </si>
  <si>
    <t>meoaw</t>
  </si>
  <si>
    <t>mer-pk</t>
  </si>
  <si>
    <t>met-pa</t>
  </si>
  <si>
    <t>met-pe</t>
  </si>
  <si>
    <t>met-pf</t>
  </si>
  <si>
    <t>metxw</t>
  </si>
  <si>
    <t>mfa-pb</t>
  </si>
  <si>
    <t>mfa-pc</t>
  </si>
  <si>
    <t>mfgp</t>
  </si>
  <si>
    <t>mfrm</t>
  </si>
  <si>
    <t>mgta</t>
  </si>
  <si>
    <t>mh-pa</t>
  </si>
  <si>
    <t>mh-pc</t>
  </si>
  <si>
    <t>mh-pd</t>
  </si>
  <si>
    <t>mhla</t>
  </si>
  <si>
    <t>miccf</t>
  </si>
  <si>
    <t>micr</t>
  </si>
  <si>
    <t>mict</t>
  </si>
  <si>
    <t>milof</t>
  </si>
  <si>
    <t>mimo-wt</t>
  </si>
  <si>
    <t>mir-wt</t>
  </si>
  <si>
    <t>miro</t>
  </si>
  <si>
    <t>mit-un</t>
  </si>
  <si>
    <t>mit-wt</t>
  </si>
  <si>
    <t>mito</t>
  </si>
  <si>
    <t>mitt-pa</t>
  </si>
  <si>
    <t>mitt-pb</t>
  </si>
  <si>
    <t>mitt-pc</t>
  </si>
  <si>
    <t>mkar</t>
  </si>
  <si>
    <t>mkd</t>
  </si>
  <si>
    <t>mkfg-wt</t>
  </si>
  <si>
    <t>mktww</t>
  </si>
  <si>
    <t>ml-wt</t>
  </si>
  <si>
    <t>mlac</t>
  </si>
  <si>
    <t>mlacu</t>
  </si>
  <si>
    <t>mlacw</t>
  </si>
  <si>
    <t>mlai</t>
  </si>
  <si>
    <t>mlaiw</t>
  </si>
  <si>
    <t>mlan</t>
  </si>
  <si>
    <t>mlct</t>
  </si>
  <si>
    <t>mlpb</t>
  </si>
  <si>
    <t>mlpo</t>
  </si>
  <si>
    <t>mlpr</t>
  </si>
  <si>
    <t>mlrkf</t>
  </si>
  <si>
    <t>mlst</t>
  </si>
  <si>
    <t>mlvf</t>
  </si>
  <si>
    <t>mlxa</t>
  </si>
  <si>
    <t>mmmb</t>
  </si>
  <si>
    <t>mmtif</t>
  </si>
  <si>
    <t>mmtlp</t>
  </si>
  <si>
    <t>mnao</t>
  </si>
  <si>
    <t>mndt</t>
  </si>
  <si>
    <t>mnkpf</t>
  </si>
  <si>
    <t>mnrl</t>
  </si>
  <si>
    <t>mnrlf</t>
  </si>
  <si>
    <t>mntn-un</t>
  </si>
  <si>
    <t>mntn-wt</t>
  </si>
  <si>
    <t>mntsw</t>
  </si>
  <si>
    <t>mntv</t>
  </si>
  <si>
    <t>mobv</t>
  </si>
  <si>
    <t>mobvu</t>
  </si>
  <si>
    <t>mog-a</t>
  </si>
  <si>
    <t>mog-b</t>
  </si>
  <si>
    <t>moho</t>
  </si>
  <si>
    <t>moncu</t>
  </si>
  <si>
    <t>moncw</t>
  </si>
  <si>
    <t>mondw</t>
  </si>
  <si>
    <t>most</t>
  </si>
  <si>
    <t>moxc</t>
  </si>
  <si>
    <t>mpacr</t>
  </si>
  <si>
    <t>mpacw</t>
  </si>
  <si>
    <t>mpgr</t>
  </si>
  <si>
    <t>mpln-wt</t>
  </si>
  <si>
    <t>mpra</t>
  </si>
  <si>
    <t>mprau</t>
  </si>
  <si>
    <t>mpwr</t>
  </si>
  <si>
    <t>mrtx</t>
  </si>
  <si>
    <t>ms-pa</t>
  </si>
  <si>
    <t>ms-pe</t>
  </si>
  <si>
    <t>ms-pf</t>
  </si>
  <si>
    <t>ms-pi</t>
  </si>
  <si>
    <t>ms-pk</t>
  </si>
  <si>
    <t>ms-pl</t>
  </si>
  <si>
    <t>ms-po</t>
  </si>
  <si>
    <t>ms-pp</t>
  </si>
  <si>
    <t>msac</t>
  </si>
  <si>
    <t>msda</t>
  </si>
  <si>
    <t>msdau</t>
  </si>
  <si>
    <t>msdaw</t>
  </si>
  <si>
    <t>msfix</t>
  </si>
  <si>
    <t>mslp</t>
  </si>
  <si>
    <t>msof</t>
  </si>
  <si>
    <t>mspr</t>
  </si>
  <si>
    <t>msprw</t>
  </si>
  <si>
    <t>msprz</t>
  </si>
  <si>
    <t>mssar</t>
  </si>
  <si>
    <t>mssau</t>
  </si>
  <si>
    <t>mssaw</t>
  </si>
  <si>
    <t>msyn</t>
  </si>
  <si>
    <t>mtac</t>
  </si>
  <si>
    <t>mtacu</t>
  </si>
  <si>
    <t>mtacw</t>
  </si>
  <si>
    <t>mtal-un</t>
  </si>
  <si>
    <t>mtal-wt</t>
  </si>
  <si>
    <t>mtb-ph</t>
  </si>
  <si>
    <t>mtbc</t>
  </si>
  <si>
    <t>mtbco</t>
  </si>
  <si>
    <t>mtbcp</t>
  </si>
  <si>
    <t>mtcn</t>
  </si>
  <si>
    <t>mtcr</t>
  </si>
  <si>
    <t>mtmt</t>
  </si>
  <si>
    <t>mtnb</t>
  </si>
  <si>
    <t>mtp</t>
  </si>
  <si>
    <t>mtry</t>
  </si>
  <si>
    <t>mtryu</t>
  </si>
  <si>
    <t>mtryw</t>
  </si>
  <si>
    <t>mtvc</t>
  </si>
  <si>
    <t>mtvc-un</t>
  </si>
  <si>
    <t>mtvc-wt</t>
  </si>
  <si>
    <t>muds</t>
  </si>
  <si>
    <t>mudsu</t>
  </si>
  <si>
    <t>mudsw</t>
  </si>
  <si>
    <t>murf</t>
  </si>
  <si>
    <t>murfu</t>
  </si>
  <si>
    <t>murfw</t>
  </si>
  <si>
    <t>mvrl</t>
  </si>
  <si>
    <t>mxchf</t>
  </si>
  <si>
    <t>myhi</t>
  </si>
  <si>
    <t>mymd</t>
  </si>
  <si>
    <t>mymx</t>
  </si>
  <si>
    <t>myov</t>
  </si>
  <si>
    <t>mysn</t>
  </si>
  <si>
    <t>mytg</t>
  </si>
  <si>
    <t>naac</t>
  </si>
  <si>
    <t>naacu</t>
  </si>
  <si>
    <t>naacw</t>
  </si>
  <si>
    <t>nac</t>
  </si>
  <si>
    <t>nad</t>
  </si>
  <si>
    <t>nak</t>
  </si>
  <si>
    <t>nan</t>
  </si>
  <si>
    <t>nann</t>
  </si>
  <si>
    <t>nat</t>
  </si>
  <si>
    <t>nati</t>
  </si>
  <si>
    <t>naz</t>
  </si>
  <si>
    <t>nbad</t>
  </si>
  <si>
    <t>nbb</t>
  </si>
  <si>
    <t>nbev</t>
  </si>
  <si>
    <t>nbevq</t>
  </si>
  <si>
    <t>nbgv</t>
  </si>
  <si>
    <t>nbh</t>
  </si>
  <si>
    <t>nbld</t>
  </si>
  <si>
    <t>nbo</t>
  </si>
  <si>
    <t>nbrv</t>
  </si>
  <si>
    <t>nbw</t>
  </si>
  <si>
    <t>nbxg</t>
  </si>
  <si>
    <t>ncac</t>
  </si>
  <si>
    <t>ncacu</t>
  </si>
  <si>
    <t>ncacw</t>
  </si>
  <si>
    <t>ncmgf</t>
  </si>
  <si>
    <t>ncmgy</t>
  </si>
  <si>
    <t>ncv-pa</t>
  </si>
  <si>
    <t>ncz-pa</t>
  </si>
  <si>
    <t>ndac</t>
  </si>
  <si>
    <t>ndacu</t>
  </si>
  <si>
    <t>ndacw</t>
  </si>
  <si>
    <t>ndvn</t>
  </si>
  <si>
    <t>neat</t>
  </si>
  <si>
    <t>neca</t>
  </si>
  <si>
    <t>nee-pn</t>
  </si>
  <si>
    <t>nee-pp</t>
  </si>
  <si>
    <t>nee-pq</t>
  </si>
  <si>
    <t>neik</t>
  </si>
  <si>
    <t>netc-un</t>
  </si>
  <si>
    <t>netc-wt</t>
  </si>
  <si>
    <t>neti</t>
  </si>
  <si>
    <t>newr</t>
  </si>
  <si>
    <t>newyy</t>
  </si>
  <si>
    <t>nex</t>
  </si>
  <si>
    <t>nfnt</t>
  </si>
  <si>
    <t>nfnt-un</t>
  </si>
  <si>
    <t>nfnt-wt</t>
  </si>
  <si>
    <t>nftt</t>
  </si>
  <si>
    <t>nfys-un</t>
  </si>
  <si>
    <t>nfys-wt</t>
  </si>
  <si>
    <t>ngc-un</t>
  </si>
  <si>
    <t>ngc-wt</t>
  </si>
  <si>
    <t>ngl-pb</t>
  </si>
  <si>
    <t>ngl-pc</t>
  </si>
  <si>
    <t>nhic</t>
  </si>
  <si>
    <t>nhicu</t>
  </si>
  <si>
    <t>nhicw</t>
  </si>
  <si>
    <t>nhle</t>
  </si>
  <si>
    <t>ni-pb</t>
  </si>
  <si>
    <t>nichx</t>
  </si>
  <si>
    <t>nid</t>
  </si>
  <si>
    <t>nile</t>
  </si>
  <si>
    <t>nile-pd</t>
  </si>
  <si>
    <t>nimc</t>
  </si>
  <si>
    <t>niobf</t>
  </si>
  <si>
    <t>niq</t>
  </si>
  <si>
    <t>nlab</t>
  </si>
  <si>
    <t>nlit</t>
  </si>
  <si>
    <t>nlitu</t>
  </si>
  <si>
    <t>nlitw</t>
  </si>
  <si>
    <t>nlon</t>
  </si>
  <si>
    <t>nls</t>
  </si>
  <si>
    <t>nlsn</t>
  </si>
  <si>
    <t>nltx</t>
  </si>
  <si>
    <t>nly-pf</t>
  </si>
  <si>
    <t>nly-pg</t>
  </si>
  <si>
    <t>nly-pi</t>
  </si>
  <si>
    <t>nm</t>
  </si>
  <si>
    <t>nm-pg</t>
  </si>
  <si>
    <t>nm-ph</t>
  </si>
  <si>
    <t>nmk-pb</t>
  </si>
  <si>
    <t>nmk-pc</t>
  </si>
  <si>
    <t>nmmc</t>
  </si>
  <si>
    <t>nmmcu</t>
  </si>
  <si>
    <t>nmmcw</t>
  </si>
  <si>
    <t>nmtr</t>
  </si>
  <si>
    <t>nnupd</t>
  </si>
  <si>
    <t>noac</t>
  </si>
  <si>
    <t>noacu</t>
  </si>
  <si>
    <t>noacw</t>
  </si>
  <si>
    <t>nognw</t>
  </si>
  <si>
    <t>norzf</t>
  </si>
  <si>
    <t>note-wt</t>
  </si>
  <si>
    <t>nova</t>
  </si>
  <si>
    <t>novc</t>
  </si>
  <si>
    <t>novi</t>
  </si>
  <si>
    <t>novvr</t>
  </si>
  <si>
    <t>npac</t>
  </si>
  <si>
    <t>nptx</t>
  </si>
  <si>
    <t>nrdy-wt</t>
  </si>
  <si>
    <t>nref</t>
  </si>
  <si>
    <t>nref-pa</t>
  </si>
  <si>
    <t>nrgx</t>
  </si>
  <si>
    <t>nrsax</t>
  </si>
  <si>
    <t>nrscx</t>
  </si>
  <si>
    <t>nrszx</t>
  </si>
  <si>
    <t>ns-pa</t>
  </si>
  <si>
    <t>ns-pb</t>
  </si>
  <si>
    <t>ns-pc</t>
  </si>
  <si>
    <t>nsa-pa</t>
  </si>
  <si>
    <t>nsl</t>
  </si>
  <si>
    <t>nsrwf</t>
  </si>
  <si>
    <t>nstb-un</t>
  </si>
  <si>
    <t>nstb-wt</t>
  </si>
  <si>
    <t>nstc-un</t>
  </si>
  <si>
    <t>nstc-wt</t>
  </si>
  <si>
    <t>nstd-un</t>
  </si>
  <si>
    <t>nstd-wt</t>
  </si>
  <si>
    <t>nsys</t>
  </si>
  <si>
    <t>ntox</t>
  </si>
  <si>
    <t>nuan</t>
  </si>
  <si>
    <t>nuvb-wt</t>
  </si>
  <si>
    <t>nuvg</t>
  </si>
  <si>
    <t>nvacr</t>
  </si>
  <si>
    <t>nvcn</t>
  </si>
  <si>
    <t>nvgi</t>
  </si>
  <si>
    <t>nvnow</t>
  </si>
  <si>
    <t>nvnt</t>
  </si>
  <si>
    <t>nvsa</t>
  </si>
  <si>
    <t>nvsau</t>
  </si>
  <si>
    <t>nvsaw</t>
  </si>
  <si>
    <t>nwac</t>
  </si>
  <si>
    <t>nwyu</t>
  </si>
  <si>
    <t>nxdt-pa</t>
  </si>
  <si>
    <t>nxgl</t>
  </si>
  <si>
    <t>nxgn</t>
  </si>
  <si>
    <t>nyc</t>
  </si>
  <si>
    <t>nycb-pa</t>
  </si>
  <si>
    <t>nycb-pu</t>
  </si>
  <si>
    <t>nymx</t>
  </si>
  <si>
    <t>oaca</t>
  </si>
  <si>
    <t>oacc</t>
  </si>
  <si>
    <t>oak-pa</t>
  </si>
  <si>
    <t>oak-pb</t>
  </si>
  <si>
    <t>obnk</t>
  </si>
  <si>
    <t>obsv</t>
  </si>
  <si>
    <t>obtx</t>
  </si>
  <si>
    <t>occi</t>
  </si>
  <si>
    <t>odac</t>
  </si>
  <si>
    <t>odrs</t>
  </si>
  <si>
    <t>oepw</t>
  </si>
  <si>
    <t>oepwu</t>
  </si>
  <si>
    <t>oepww</t>
  </si>
  <si>
    <t>ofc</t>
  </si>
  <si>
    <t>ofst</t>
  </si>
  <si>
    <t>og</t>
  </si>
  <si>
    <t>ohaa</t>
  </si>
  <si>
    <t>ohaau</t>
  </si>
  <si>
    <t>ohaaw</t>
  </si>
  <si>
    <t>ohpa</t>
  </si>
  <si>
    <t>ohpau</t>
  </si>
  <si>
    <t>ohpaw</t>
  </si>
  <si>
    <t>oiim</t>
  </si>
  <si>
    <t>oild</t>
  </si>
  <si>
    <t>oilnf</t>
  </si>
  <si>
    <t>oilu</t>
  </si>
  <si>
    <t>oily</t>
  </si>
  <si>
    <t>olit</t>
  </si>
  <si>
    <t>olitw</t>
  </si>
  <si>
    <t>omeg</t>
  </si>
  <si>
    <t>omps</t>
  </si>
  <si>
    <t>oncr</t>
  </si>
  <si>
    <t>oncs</t>
  </si>
  <si>
    <t>onem</t>
  </si>
  <si>
    <t>onfa</t>
  </si>
  <si>
    <t>onov</t>
  </si>
  <si>
    <t>ons</t>
  </si>
  <si>
    <t>opa-un</t>
  </si>
  <si>
    <t>opa-wt</t>
  </si>
  <si>
    <t>opad-wt</t>
  </si>
  <si>
    <t>opalw</t>
  </si>
  <si>
    <t>opfi-wt</t>
  </si>
  <si>
    <t>oplf</t>
  </si>
  <si>
    <t>opnt</t>
  </si>
  <si>
    <t>opp-pa</t>
  </si>
  <si>
    <t>opp-pb</t>
  </si>
  <si>
    <t>optt</t>
  </si>
  <si>
    <t>orcc</t>
  </si>
  <si>
    <t>oriau</t>
  </si>
  <si>
    <t>oriaw</t>
  </si>
  <si>
    <t>ortx</t>
  </si>
  <si>
    <t>osaa</t>
  </si>
  <si>
    <t>osh</t>
  </si>
  <si>
    <t>osi-un</t>
  </si>
  <si>
    <t>osi-wt</t>
  </si>
  <si>
    <t>ostk</t>
  </si>
  <si>
    <t>osto</t>
  </si>
  <si>
    <t>ostr</t>
  </si>
  <si>
    <t>ostru</t>
  </si>
  <si>
    <t>ostrw</t>
  </si>
  <si>
    <t>otic</t>
  </si>
  <si>
    <t>otmo</t>
  </si>
  <si>
    <t>otmow</t>
  </si>
  <si>
    <t>oust-wt</t>
  </si>
  <si>
    <t>owlt-wt</t>
  </si>
  <si>
    <t>owscx</t>
  </si>
  <si>
    <t>oxac</t>
  </si>
  <si>
    <t>oxacw</t>
  </si>
  <si>
    <t>oxlcn</t>
  </si>
  <si>
    <t>oxsql</t>
  </si>
  <si>
    <t>oxy-wt</t>
  </si>
  <si>
    <t>oyst</t>
  </si>
  <si>
    <t>ozon</t>
  </si>
  <si>
    <t>paasf</t>
  </si>
  <si>
    <t>paci</t>
  </si>
  <si>
    <t>paci-un</t>
  </si>
  <si>
    <t>paci-wt</t>
  </si>
  <si>
    <t>pacl</t>
  </si>
  <si>
    <t>pacqf</t>
  </si>
  <si>
    <t>pacw</t>
  </si>
  <si>
    <t>pacwp</t>
  </si>
  <si>
    <t>pacx</t>
  </si>
  <si>
    <t>pacxu</t>
  </si>
  <si>
    <t>pacxw</t>
  </si>
  <si>
    <t>pafo</t>
  </si>
  <si>
    <t>pafor</t>
  </si>
  <si>
    <t>pana</t>
  </si>
  <si>
    <t>paqc</t>
  </si>
  <si>
    <t>paqcu</t>
  </si>
  <si>
    <t>paqcw</t>
  </si>
  <si>
    <t>paraa</t>
  </si>
  <si>
    <t>parap</t>
  </si>
  <si>
    <t>parg</t>
  </si>
  <si>
    <t>pati</t>
  </si>
  <si>
    <t>paya</t>
  </si>
  <si>
    <t>pbfx</t>
  </si>
  <si>
    <t>pbi-pb</t>
  </si>
  <si>
    <t>pblt</t>
  </si>
  <si>
    <t>pbr-a</t>
  </si>
  <si>
    <t>pbts</t>
  </si>
  <si>
    <t>pbug</t>
  </si>
  <si>
    <t>pcct</t>
  </si>
  <si>
    <t>pcctu</t>
  </si>
  <si>
    <t>pcctw</t>
  </si>
  <si>
    <t>pcg-pa</t>
  </si>
  <si>
    <t>pcg-pb</t>
  </si>
  <si>
    <t>pcg-pd</t>
  </si>
  <si>
    <t>pcg-pe</t>
  </si>
  <si>
    <t>pcg-ph</t>
  </si>
  <si>
    <t>pcg-pi</t>
  </si>
  <si>
    <t>pcgu</t>
  </si>
  <si>
    <t>pcor</t>
  </si>
  <si>
    <t>pcpc</t>
  </si>
  <si>
    <t>pcpc-un</t>
  </si>
  <si>
    <t>pcpc-wt</t>
  </si>
  <si>
    <t>pcsb</t>
  </si>
  <si>
    <t>pcti</t>
  </si>
  <si>
    <t>pcxcw</t>
  </si>
  <si>
    <t>pcyg</t>
  </si>
  <si>
    <t>pdce</t>
  </si>
  <si>
    <t>pdot</t>
  </si>
  <si>
    <t>pdot-un</t>
  </si>
  <si>
    <t>pdot-wt</t>
  </si>
  <si>
    <t>pdsb</t>
  </si>
  <si>
    <t>pdskx</t>
  </si>
  <si>
    <t>pear</t>
  </si>
  <si>
    <t>pearw</t>
  </si>
  <si>
    <t>peb-pe</t>
  </si>
  <si>
    <t>peb-pf</t>
  </si>
  <si>
    <t>peb-pg</t>
  </si>
  <si>
    <t>peb-ph</t>
  </si>
  <si>
    <t>pei-pb</t>
  </si>
  <si>
    <t>pei-pc</t>
  </si>
  <si>
    <t>pei-pd</t>
  </si>
  <si>
    <t>petq</t>
  </si>
  <si>
    <t>peye</t>
  </si>
  <si>
    <t>pfalx</t>
  </si>
  <si>
    <t>pfbx</t>
  </si>
  <si>
    <t>pfdr</t>
  </si>
  <si>
    <t>pfdrw</t>
  </si>
  <si>
    <t>pffl</t>
  </si>
  <si>
    <t>pfflx</t>
  </si>
  <si>
    <t>pfh</t>
  </si>
  <si>
    <t>pfhc</t>
  </si>
  <si>
    <t>pfhd</t>
  </si>
  <si>
    <t>pfin</t>
  </si>
  <si>
    <t>pflex</t>
  </si>
  <si>
    <t>pfsw</t>
  </si>
  <si>
    <t>pfxnl</t>
  </si>
  <si>
    <t>pgrm</t>
  </si>
  <si>
    <t>pgrw</t>
  </si>
  <si>
    <t>pgrwu</t>
  </si>
  <si>
    <t>pgrww</t>
  </si>
  <si>
    <t>pgss-un</t>
  </si>
  <si>
    <t>pgss-wt</t>
  </si>
  <si>
    <t>phas</t>
  </si>
  <si>
    <t>phcc</t>
  </si>
  <si>
    <t>phcf</t>
  </si>
  <si>
    <t>phge-un</t>
  </si>
  <si>
    <t>phge-wt</t>
  </si>
  <si>
    <t>phic</t>
  </si>
  <si>
    <t>phicu</t>
  </si>
  <si>
    <t>phicw</t>
  </si>
  <si>
    <t>phr</t>
  </si>
  <si>
    <t>phunw</t>
  </si>
  <si>
    <t>phyt-un</t>
  </si>
  <si>
    <t>phyt-wt</t>
  </si>
  <si>
    <t>piai</t>
  </si>
  <si>
    <t>piai-un</t>
  </si>
  <si>
    <t>piai-wt</t>
  </si>
  <si>
    <t>picc</t>
  </si>
  <si>
    <t>picc-un</t>
  </si>
  <si>
    <t>picc-wt</t>
  </si>
  <si>
    <t>pics</t>
  </si>
  <si>
    <t>piivx</t>
  </si>
  <si>
    <t>ping</t>
  </si>
  <si>
    <t>pipp</t>
  </si>
  <si>
    <t>pipp-wt</t>
  </si>
  <si>
    <t>pkkw</t>
  </si>
  <si>
    <t>pl-wt</t>
  </si>
  <si>
    <t>pll</t>
  </si>
  <si>
    <t>plm</t>
  </si>
  <si>
    <t>plnhf</t>
  </si>
  <si>
    <t>plnt</t>
  </si>
  <si>
    <t>plow</t>
  </si>
  <si>
    <t>plpc</t>
  </si>
  <si>
    <t>plrtf</t>
  </si>
  <si>
    <t>plsi</t>
  </si>
  <si>
    <t>plxp</t>
  </si>
  <si>
    <t>plym-pa</t>
  </si>
  <si>
    <t>pmac</t>
  </si>
  <si>
    <t>pmfax</t>
  </si>
  <si>
    <t>pmflx</t>
  </si>
  <si>
    <t>pmt-pa</t>
  </si>
  <si>
    <t>pmt-pb</t>
  </si>
  <si>
    <t>pmt-pc</t>
  </si>
  <si>
    <t>pmtm</t>
  </si>
  <si>
    <t>pmvc</t>
  </si>
  <si>
    <t>pmvc-un</t>
  </si>
  <si>
    <t>pmvc-wt</t>
  </si>
  <si>
    <t>pnac</t>
  </si>
  <si>
    <t>pnacr</t>
  </si>
  <si>
    <t>pnacu</t>
  </si>
  <si>
    <t>pnacw</t>
  </si>
  <si>
    <t>pnc-pp</t>
  </si>
  <si>
    <t>pntm</t>
  </si>
  <si>
    <t>pntm-un</t>
  </si>
  <si>
    <t>pntm-wt</t>
  </si>
  <si>
    <t>pnxlf</t>
  </si>
  <si>
    <t>pol-wt</t>
  </si>
  <si>
    <t>poly</t>
  </si>
  <si>
    <t>pond-wt</t>
  </si>
  <si>
    <t>pono</t>
  </si>
  <si>
    <t>ponow</t>
  </si>
  <si>
    <t>port-un</t>
  </si>
  <si>
    <t>port-wt</t>
  </si>
  <si>
    <t>posh</t>
  </si>
  <si>
    <t>potn</t>
  </si>
  <si>
    <t>powru</t>
  </si>
  <si>
    <t>powrw</t>
  </si>
  <si>
    <t>ppbn</t>
  </si>
  <si>
    <t>ppbt</t>
  </si>
  <si>
    <t>ppcb</t>
  </si>
  <si>
    <t>prbm</t>
  </si>
  <si>
    <t>prbm-un</t>
  </si>
  <si>
    <t>prbm-wt</t>
  </si>
  <si>
    <t>prdex</t>
  </si>
  <si>
    <t>prds</t>
  </si>
  <si>
    <t>prdsy</t>
  </si>
  <si>
    <t>prdt</t>
  </si>
  <si>
    <t>pre-pj</t>
  </si>
  <si>
    <t>prif-pd</t>
  </si>
  <si>
    <t>prif-pf</t>
  </si>
  <si>
    <t>prif-pg</t>
  </si>
  <si>
    <t>prif-ph</t>
  </si>
  <si>
    <t>prif-pi</t>
  </si>
  <si>
    <t>prif-pj</t>
  </si>
  <si>
    <t>prif-pk</t>
  </si>
  <si>
    <t>prif-pl</t>
  </si>
  <si>
    <t>privx</t>
  </si>
  <si>
    <t>prlvx</t>
  </si>
  <si>
    <t>prmff</t>
  </si>
  <si>
    <t>prmi</t>
  </si>
  <si>
    <t>proq</t>
  </si>
  <si>
    <t>prpc</t>
  </si>
  <si>
    <t>prpc-un</t>
  </si>
  <si>
    <t>prpc-wt</t>
  </si>
  <si>
    <t>prsru</t>
  </si>
  <si>
    <t>prsrw</t>
  </si>
  <si>
    <t>prthw</t>
  </si>
  <si>
    <t>prtk</t>
  </si>
  <si>
    <t>prtm</t>
  </si>
  <si>
    <t>prty</t>
  </si>
  <si>
    <t>prvb</t>
  </si>
  <si>
    <t>psa-pf</t>
  </si>
  <si>
    <t>psa-pg</t>
  </si>
  <si>
    <t>psa-ph</t>
  </si>
  <si>
    <t>psa-pi</t>
  </si>
  <si>
    <t>psa-pj</t>
  </si>
  <si>
    <t>psa-pk</t>
  </si>
  <si>
    <t>psa-pl</t>
  </si>
  <si>
    <t>psa-pm</t>
  </si>
  <si>
    <t>psa-pn</t>
  </si>
  <si>
    <t>psa-po</t>
  </si>
  <si>
    <t>psa-pp</t>
  </si>
  <si>
    <t>psa-pq</t>
  </si>
  <si>
    <t>psa-pr</t>
  </si>
  <si>
    <t>psa-ps</t>
  </si>
  <si>
    <t>psag</t>
  </si>
  <si>
    <t>psagu</t>
  </si>
  <si>
    <t>psagw</t>
  </si>
  <si>
    <t>psb-px</t>
  </si>
  <si>
    <t>psb-py</t>
  </si>
  <si>
    <t>psb-pz</t>
  </si>
  <si>
    <t>psec-pa</t>
  </si>
  <si>
    <t>psfe-wt</t>
  </si>
  <si>
    <t>psly</t>
  </si>
  <si>
    <t>psnl</t>
  </si>
  <si>
    <t>psoix</t>
  </si>
  <si>
    <t>pspc</t>
  </si>
  <si>
    <t>pspc-un</t>
  </si>
  <si>
    <t>pspc-wt</t>
  </si>
  <si>
    <t>ptic</t>
  </si>
  <si>
    <t>pticu</t>
  </si>
  <si>
    <t>pticw</t>
  </si>
  <si>
    <t>ptoc</t>
  </si>
  <si>
    <t>ptocu</t>
  </si>
  <si>
    <t>ptocw</t>
  </si>
  <si>
    <t>ptra</t>
  </si>
  <si>
    <t>ptrcy</t>
  </si>
  <si>
    <t>ptrs</t>
  </si>
  <si>
    <t>pubc</t>
  </si>
  <si>
    <t>pubm</t>
  </si>
  <si>
    <t>puck</t>
  </si>
  <si>
    <t>puyi</t>
  </si>
  <si>
    <t>pv-un</t>
  </si>
  <si>
    <t>pv-wt</t>
  </si>
  <si>
    <t>pw-pa</t>
  </si>
  <si>
    <t>pwppw</t>
  </si>
  <si>
    <t>pype</t>
  </si>
  <si>
    <t>pzg</t>
  </si>
  <si>
    <t>pzn</t>
  </si>
  <si>
    <t>qban</t>
  </si>
  <si>
    <t>qbts-wt</t>
  </si>
  <si>
    <t>qegyd</t>
  </si>
  <si>
    <t>qfta-un</t>
  </si>
  <si>
    <t>qfta-wt</t>
  </si>
  <si>
    <t>qgen</t>
  </si>
  <si>
    <t>qhyg</t>
  </si>
  <si>
    <t>qk</t>
  </si>
  <si>
    <t>qngy</t>
  </si>
  <si>
    <t>qngy-wt</t>
  </si>
  <si>
    <t>qnta</t>
  </si>
  <si>
    <t>qnzl</t>
  </si>
  <si>
    <t>qprcd</t>
  </si>
  <si>
    <t>qqcy</t>
  </si>
  <si>
    <t>qqqx</t>
  </si>
  <si>
    <t>qsep</t>
  </si>
  <si>
    <t>qsmgd</t>
  </si>
  <si>
    <t>qtek</t>
  </si>
  <si>
    <t>qtekw</t>
  </si>
  <si>
    <t>qtnt</t>
  </si>
  <si>
    <t>qtt</t>
  </si>
  <si>
    <t>qull</t>
  </si>
  <si>
    <t>qumu</t>
  </si>
  <si>
    <t>quot</t>
  </si>
  <si>
    <t>raas</t>
  </si>
  <si>
    <t>racb</t>
  </si>
  <si>
    <t>rada</t>
  </si>
  <si>
    <t>radd</t>
  </si>
  <si>
    <t>radi</t>
  </si>
  <si>
    <t>ram</t>
  </si>
  <si>
    <t>rammu</t>
  </si>
  <si>
    <t>rammw</t>
  </si>
  <si>
    <t>ramx</t>
  </si>
  <si>
    <t>rasp</t>
  </si>
  <si>
    <t>rbot-wt</t>
  </si>
  <si>
    <t>rbspd</t>
  </si>
  <si>
    <t>rbt-wt</t>
  </si>
  <si>
    <t>rc-pc</t>
  </si>
  <si>
    <t>rc-pe</t>
  </si>
  <si>
    <t>rca</t>
  </si>
  <si>
    <t>rcda</t>
  </si>
  <si>
    <t>rcfa-wt</t>
  </si>
  <si>
    <t>rchg</t>
  </si>
  <si>
    <t>rchgu</t>
  </si>
  <si>
    <t>rchgw</t>
  </si>
  <si>
    <t>rciax</t>
  </si>
  <si>
    <t>rcii</t>
  </si>
  <si>
    <t>rclf</t>
  </si>
  <si>
    <t>rclfu</t>
  </si>
  <si>
    <t>rclfw</t>
  </si>
  <si>
    <t>rcmw</t>
  </si>
  <si>
    <t>rcon</t>
  </si>
  <si>
    <t>rcor</t>
  </si>
  <si>
    <t>rcpi</t>
  </si>
  <si>
    <t>rdmr</t>
  </si>
  <si>
    <t>rdw-wt</t>
  </si>
  <si>
    <t>rdxx</t>
  </si>
  <si>
    <t>rebl</t>
  </si>
  <si>
    <t>reeaw</t>
  </si>
  <si>
    <t>regi</t>
  </si>
  <si>
    <t>regn</t>
  </si>
  <si>
    <t>reph</t>
  </si>
  <si>
    <t>reta</t>
  </si>
  <si>
    <t>reun</t>
  </si>
  <si>
    <t>rev</t>
  </si>
  <si>
    <t>revbu</t>
  </si>
  <si>
    <t>reve</t>
  </si>
  <si>
    <t>revew</t>
  </si>
  <si>
    <t>revh</t>
  </si>
  <si>
    <t>revhu</t>
  </si>
  <si>
    <t>revhw</t>
  </si>
  <si>
    <t>rexr-pb</t>
  </si>
  <si>
    <t>rexr-pc</t>
  </si>
  <si>
    <t>rf-pb</t>
  </si>
  <si>
    <t>rf-pc</t>
  </si>
  <si>
    <t>rf-pe</t>
  </si>
  <si>
    <t>rfacr</t>
  </si>
  <si>
    <t>rfp</t>
  </si>
  <si>
    <t>rgg</t>
  </si>
  <si>
    <t>rhdm</t>
  </si>
  <si>
    <t>rhe-pa</t>
  </si>
  <si>
    <t>ride</t>
  </si>
  <si>
    <t>ritm-pa</t>
  </si>
  <si>
    <t>ritm-pb</t>
  </si>
  <si>
    <t>ritm-pc</t>
  </si>
  <si>
    <t>ritm-pd</t>
  </si>
  <si>
    <t>riv-pa</t>
  </si>
  <si>
    <t>rivu</t>
  </si>
  <si>
    <t>rjac</t>
  </si>
  <si>
    <t>rjac-un</t>
  </si>
  <si>
    <t>rjf-pa</t>
  </si>
  <si>
    <t>rjf-pb</t>
  </si>
  <si>
    <t>rji</t>
  </si>
  <si>
    <t>rjz</t>
  </si>
  <si>
    <t>rkda</t>
  </si>
  <si>
    <t>rkly</t>
  </si>
  <si>
    <t>rkly-wt</t>
  </si>
  <si>
    <t>rkta</t>
  </si>
  <si>
    <t>rlj-pa</t>
  </si>
  <si>
    <t>rlly</t>
  </si>
  <si>
    <t>rlty</t>
  </si>
  <si>
    <t>rmed</t>
  </si>
  <si>
    <t>rmm</t>
  </si>
  <si>
    <t>rmpl</t>
  </si>
  <si>
    <t>rmpl-p</t>
  </si>
  <si>
    <t>rndb</t>
  </si>
  <si>
    <t>rner</t>
  </si>
  <si>
    <t>rnerw</t>
  </si>
  <si>
    <t>rnr-pf</t>
  </si>
  <si>
    <t>rnr-pg</t>
  </si>
  <si>
    <t>rnwk</t>
  </si>
  <si>
    <t>roag</t>
  </si>
  <si>
    <t>roar</t>
  </si>
  <si>
    <t>rocar</t>
  </si>
  <si>
    <t>rocau</t>
  </si>
  <si>
    <t>rocc</t>
  </si>
  <si>
    <t>rocg</t>
  </si>
  <si>
    <t>roiv</t>
  </si>
  <si>
    <t>roivw</t>
  </si>
  <si>
    <t>rollp</t>
  </si>
  <si>
    <t>roni</t>
  </si>
  <si>
    <t>roni-un</t>
  </si>
  <si>
    <t>roni-wt</t>
  </si>
  <si>
    <t>roseu</t>
  </si>
  <si>
    <t>rosew</t>
  </si>
  <si>
    <t>ross-un</t>
  </si>
  <si>
    <t>ross-wt</t>
  </si>
  <si>
    <t>rotk</t>
  </si>
  <si>
    <t>rpgl</t>
  </si>
  <si>
    <t>rpt</t>
  </si>
  <si>
    <t>rpt-pd</t>
  </si>
  <si>
    <t>rrac-un</t>
  </si>
  <si>
    <t>rrac-wt</t>
  </si>
  <si>
    <t>rssks</t>
  </si>
  <si>
    <t>rtlpo</t>
  </si>
  <si>
    <t>rtlpp</t>
  </si>
  <si>
    <t>rtlr</t>
  </si>
  <si>
    <t>rtoky</t>
  </si>
  <si>
    <t>rtpx</t>
  </si>
  <si>
    <t>rtto</t>
  </si>
  <si>
    <t>rtva</t>
  </si>
  <si>
    <t>ruth</t>
  </si>
  <si>
    <t>rvic</t>
  </si>
  <si>
    <t>rviv</t>
  </si>
  <si>
    <t>rvlp</t>
  </si>
  <si>
    <t>rwbyf</t>
  </si>
  <si>
    <t>rwlk</t>
  </si>
  <si>
    <t>rxdx</t>
  </si>
  <si>
    <t>rxra</t>
  </si>
  <si>
    <t>rxrau</t>
  </si>
  <si>
    <t>rxraw</t>
  </si>
  <si>
    <t>ry-pt</t>
  </si>
  <si>
    <t>rzb</t>
  </si>
  <si>
    <t>saayy</t>
  </si>
  <si>
    <t>sabrp</t>
  </si>
  <si>
    <t>sach-pa</t>
  </si>
  <si>
    <t>saddp</t>
  </si>
  <si>
    <t>safe</t>
  </si>
  <si>
    <t>saft</t>
  </si>
  <si>
    <t>saga</t>
  </si>
  <si>
    <t>sagar</t>
  </si>
  <si>
    <t>sage</t>
  </si>
  <si>
    <t>sagn</t>
  </si>
  <si>
    <t>saia</t>
  </si>
  <si>
    <t>saic</t>
  </si>
  <si>
    <t>sama</t>
  </si>
  <si>
    <t>samau</t>
  </si>
  <si>
    <t>samaw</t>
  </si>
  <si>
    <t>sanbw</t>
  </si>
  <si>
    <t>sapmd</t>
  </si>
  <si>
    <t>sauhf</t>
  </si>
  <si>
    <t>sauhy</t>
  </si>
  <si>
    <t>sb-pc</t>
  </si>
  <si>
    <t>sb-pd</t>
  </si>
  <si>
    <t>sbev-wt</t>
  </si>
  <si>
    <t>sbii</t>
  </si>
  <si>
    <t>sbii-un</t>
  </si>
  <si>
    <t>sbii-wt</t>
  </si>
  <si>
    <t>sbnyp</t>
  </si>
  <si>
    <t>sbug</t>
  </si>
  <si>
    <t>scaq</t>
  </si>
  <si>
    <t>scaqu</t>
  </si>
  <si>
    <t>scaqw</t>
  </si>
  <si>
    <t>scdl</t>
  </si>
  <si>
    <t>sce-pg</t>
  </si>
  <si>
    <t>sce-ph</t>
  </si>
  <si>
    <t>sce-pj</t>
  </si>
  <si>
    <t>sce-pk</t>
  </si>
  <si>
    <t>sce-pl</t>
  </si>
  <si>
    <t>scem</t>
  </si>
  <si>
    <t>schw-pd</t>
  </si>
  <si>
    <t>schw-pj</t>
  </si>
  <si>
    <t>scit</t>
  </si>
  <si>
    <t>scle</t>
  </si>
  <si>
    <t>scleu</t>
  </si>
  <si>
    <t>sclew</t>
  </si>
  <si>
    <t>scoa</t>
  </si>
  <si>
    <t>scoau</t>
  </si>
  <si>
    <t>scoaw</t>
  </si>
  <si>
    <t>scob</t>
  </si>
  <si>
    <t>scobu</t>
  </si>
  <si>
    <t>scobw</t>
  </si>
  <si>
    <t>scu</t>
  </si>
  <si>
    <t>scua</t>
  </si>
  <si>
    <t>scua-un</t>
  </si>
  <si>
    <t>scua-wt</t>
  </si>
  <si>
    <t>sdac</t>
  </si>
  <si>
    <t>sdacu</t>
  </si>
  <si>
    <t>sdacw</t>
  </si>
  <si>
    <t>sdc</t>
  </si>
  <si>
    <t>sdrdw</t>
  </si>
  <si>
    <t>sdrww</t>
  </si>
  <si>
    <t>sdvi</t>
  </si>
  <si>
    <t>seal-pa</t>
  </si>
  <si>
    <t>seal-pb</t>
  </si>
  <si>
    <t>seda-un</t>
  </si>
  <si>
    <t>seda-wt</t>
  </si>
  <si>
    <t>sedrf</t>
  </si>
  <si>
    <t>selb</t>
  </si>
  <si>
    <t>sera</t>
  </si>
  <si>
    <t>ses-wt</t>
  </si>
  <si>
    <t>sesn</t>
  </si>
  <si>
    <t>sesu</t>
  </si>
  <si>
    <t>sevn</t>
  </si>
  <si>
    <t>sf-pb</t>
  </si>
  <si>
    <t>sf-pc</t>
  </si>
  <si>
    <t>sf-pd</t>
  </si>
  <si>
    <t>sfb</t>
  </si>
  <si>
    <t>sfeg</t>
  </si>
  <si>
    <t>sfet</t>
  </si>
  <si>
    <t>sgfy</t>
  </si>
  <si>
    <t>sghc-wt</t>
  </si>
  <si>
    <t>sghl</t>
  </si>
  <si>
    <t>sghlu</t>
  </si>
  <si>
    <t>sghlw</t>
  </si>
  <si>
    <t>sgii</t>
  </si>
  <si>
    <t>sgiiu</t>
  </si>
  <si>
    <t>sgiiw</t>
  </si>
  <si>
    <t>sgsvf</t>
  </si>
  <si>
    <t>sgtx</t>
  </si>
  <si>
    <t>shac</t>
  </si>
  <si>
    <t>shacw</t>
  </si>
  <si>
    <t>shap-un</t>
  </si>
  <si>
    <t>shap-wt</t>
  </si>
  <si>
    <t>shca</t>
  </si>
  <si>
    <t>shcau</t>
  </si>
  <si>
    <t>shcaw</t>
  </si>
  <si>
    <t>shg</t>
  </si>
  <si>
    <t>shiiy</t>
  </si>
  <si>
    <t>shlx</t>
  </si>
  <si>
    <t>shmp</t>
  </si>
  <si>
    <t>sho-ph</t>
  </si>
  <si>
    <t>sho-pi</t>
  </si>
  <si>
    <t>shpw-wt</t>
  </si>
  <si>
    <t>shqa</t>
  </si>
  <si>
    <t>shqau</t>
  </si>
  <si>
    <t>shqaw</t>
  </si>
  <si>
    <t>shua</t>
  </si>
  <si>
    <t>shuaw</t>
  </si>
  <si>
    <t>si</t>
  </si>
  <si>
    <t>si-pa</t>
  </si>
  <si>
    <t>siaf</t>
  </si>
  <si>
    <t>sier</t>
  </si>
  <si>
    <t>sierw</t>
  </si>
  <si>
    <t>sigip</t>
  </si>
  <si>
    <t>sigq</t>
  </si>
  <si>
    <t>sigy</t>
  </si>
  <si>
    <t>silod</t>
  </si>
  <si>
    <t>sirc</t>
  </si>
  <si>
    <t>sire</t>
  </si>
  <si>
    <t>sitc-pa</t>
  </si>
  <si>
    <t>sitoq</t>
  </si>
  <si>
    <t>sivb</t>
  </si>
  <si>
    <t>sivbp</t>
  </si>
  <si>
    <t>sji</t>
  </si>
  <si>
    <t>sjij</t>
  </si>
  <si>
    <t>sjiv</t>
  </si>
  <si>
    <t>sjr</t>
  </si>
  <si>
    <t>sjrwf</t>
  </si>
  <si>
    <t>skil-wt</t>
  </si>
  <si>
    <t>skya</t>
  </si>
  <si>
    <t>skyau</t>
  </si>
  <si>
    <t>skyaw</t>
  </si>
  <si>
    <t>skyh-wt</t>
  </si>
  <si>
    <t>slac-un</t>
  </si>
  <si>
    <t>slac-wt</t>
  </si>
  <si>
    <t>slcjf</t>
  </si>
  <si>
    <t>slcr</t>
  </si>
  <si>
    <t>slcru</t>
  </si>
  <si>
    <t>slcrw</t>
  </si>
  <si>
    <t>slg-pi</t>
  </si>
  <si>
    <t>slgc</t>
  </si>
  <si>
    <t>slgcw</t>
  </si>
  <si>
    <t>slgg</t>
  </si>
  <si>
    <t>slta</t>
  </si>
  <si>
    <t>slvru</t>
  </si>
  <si>
    <t>slvrw</t>
  </si>
  <si>
    <t>smap</t>
  </si>
  <si>
    <t>smapu</t>
  </si>
  <si>
    <t>smapw</t>
  </si>
  <si>
    <t>smfr</t>
  </si>
  <si>
    <t>smfrw</t>
  </si>
  <si>
    <t>smge</t>
  </si>
  <si>
    <t>smhb</t>
  </si>
  <si>
    <t>smhi</t>
  </si>
  <si>
    <t>smih</t>
  </si>
  <si>
    <t>smihu</t>
  </si>
  <si>
    <t>smihw</t>
  </si>
  <si>
    <t>smit</t>
  </si>
  <si>
    <t>smlp</t>
  </si>
  <si>
    <t>smr-wt</t>
  </si>
  <si>
    <t>smst</t>
  </si>
  <si>
    <t>smts</t>
  </si>
  <si>
    <t>smxt</t>
  </si>
  <si>
    <t>snap</t>
  </si>
  <si>
    <t>snax</t>
  </si>
  <si>
    <t>sndd</t>
  </si>
  <si>
    <t>sndl</t>
  </si>
  <si>
    <t>sndr</t>
  </si>
  <si>
    <t>sndx</t>
  </si>
  <si>
    <t>snp</t>
  </si>
  <si>
    <t>snrh</t>
  </si>
  <si>
    <t>snrhw</t>
  </si>
  <si>
    <t>snv-pd</t>
  </si>
  <si>
    <t>snv-pe</t>
  </si>
  <si>
    <t>socgp</t>
  </si>
  <si>
    <t>sohon</t>
  </si>
  <si>
    <t>sohoo</t>
  </si>
  <si>
    <t>sojc</t>
  </si>
  <si>
    <t>solo</t>
  </si>
  <si>
    <t>solow</t>
  </si>
  <si>
    <t>sonx</t>
  </si>
  <si>
    <t>sony</t>
  </si>
  <si>
    <t>sosh</t>
  </si>
  <si>
    <t>spcm</t>
  </si>
  <si>
    <t>spcmu</t>
  </si>
  <si>
    <t>spcmw</t>
  </si>
  <si>
    <t>spe-pc</t>
  </si>
  <si>
    <t>speyx</t>
  </si>
  <si>
    <t>spg-pj</t>
  </si>
  <si>
    <t>spgl</t>
  </si>
  <si>
    <t>spgs</t>
  </si>
  <si>
    <t>spgs-un</t>
  </si>
  <si>
    <t>spgs-wt</t>
  </si>
  <si>
    <t>spir-wt</t>
  </si>
  <si>
    <t>spkar</t>
  </si>
  <si>
    <t>spkb</t>
  </si>
  <si>
    <t>spkbu</t>
  </si>
  <si>
    <t>spkbw</t>
  </si>
  <si>
    <t>spkx</t>
  </si>
  <si>
    <t>spky</t>
  </si>
  <si>
    <t>splp-pa</t>
  </si>
  <si>
    <t>spne</t>
  </si>
  <si>
    <t>spnt-pb</t>
  </si>
  <si>
    <t>sppi</t>
  </si>
  <si>
    <t>sprj</t>
  </si>
  <si>
    <t>spta</t>
  </si>
  <si>
    <t>sptk</t>
  </si>
  <si>
    <t>sptku</t>
  </si>
  <si>
    <t>sptkw</t>
  </si>
  <si>
    <t>sr-pa</t>
  </si>
  <si>
    <t>src-pa</t>
  </si>
  <si>
    <t>srg-pa</t>
  </si>
  <si>
    <t>srga</t>
  </si>
  <si>
    <t>srgz</t>
  </si>
  <si>
    <t>srlp</t>
  </si>
  <si>
    <t>srne</t>
  </si>
  <si>
    <t>srrix</t>
  </si>
  <si>
    <t>srsau</t>
  </si>
  <si>
    <t>srsaw</t>
  </si>
  <si>
    <t>ssaa</t>
  </si>
  <si>
    <t>ssaau</t>
  </si>
  <si>
    <t>ssaaw</t>
  </si>
  <si>
    <t>sscr</t>
  </si>
  <si>
    <t>ssdt</t>
  </si>
  <si>
    <t>sspcf</t>
  </si>
  <si>
    <t>sssc</t>
  </si>
  <si>
    <t>sst-wt</t>
  </si>
  <si>
    <t>ssu-wt</t>
  </si>
  <si>
    <t>star-pd</t>
  </si>
  <si>
    <t>star-pg</t>
  </si>
  <si>
    <t>star-pi</t>
  </si>
  <si>
    <t>stet</t>
  </si>
  <si>
    <t>stet-un</t>
  </si>
  <si>
    <t>stet-wt</t>
  </si>
  <si>
    <t>stmh</t>
  </si>
  <si>
    <t>ston</t>
  </si>
  <si>
    <t>stor</t>
  </si>
  <si>
    <t>str-wt</t>
  </si>
  <si>
    <t>stre</t>
  </si>
  <si>
    <t>stre-un</t>
  </si>
  <si>
    <t>stre-wt</t>
  </si>
  <si>
    <t>strnw</t>
  </si>
  <si>
    <t>stry</t>
  </si>
  <si>
    <t>stry-wt</t>
  </si>
  <si>
    <t>strz</t>
  </si>
  <si>
    <t>stsa</t>
  </si>
  <si>
    <t>stsc</t>
  </si>
  <si>
    <t>stt-pd</t>
  </si>
  <si>
    <t>stt-pg</t>
  </si>
  <si>
    <t>stupf</t>
  </si>
  <si>
    <t>stwy</t>
  </si>
  <si>
    <t>stz-b</t>
  </si>
  <si>
    <t>suac</t>
  </si>
  <si>
    <t>suac-un</t>
  </si>
  <si>
    <t>suac-wt</t>
  </si>
  <si>
    <t>sumo</t>
  </si>
  <si>
    <t>sunf</t>
  </si>
  <si>
    <t>sunl</t>
  </si>
  <si>
    <t>supb</t>
  </si>
  <si>
    <t>surf</t>
  </si>
  <si>
    <t>svfa</t>
  </si>
  <si>
    <t>svfau</t>
  </si>
  <si>
    <t>svfaw</t>
  </si>
  <si>
    <t>svfb</t>
  </si>
  <si>
    <t>svna</t>
  </si>
  <si>
    <t>svnau</t>
  </si>
  <si>
    <t>svnaw</t>
  </si>
  <si>
    <t>svni</t>
  </si>
  <si>
    <t>swch</t>
  </si>
  <si>
    <t>swet</t>
  </si>
  <si>
    <t>swetu</t>
  </si>
  <si>
    <t>swetw</t>
  </si>
  <si>
    <t>swgc</t>
  </si>
  <si>
    <t>swgi</t>
  </si>
  <si>
    <t>swir</t>
  </si>
  <si>
    <t>swmaf</t>
  </si>
  <si>
    <t>swmay</t>
  </si>
  <si>
    <t>swt</t>
  </si>
  <si>
    <t>syf-pa</t>
  </si>
  <si>
    <t>synh</t>
  </si>
  <si>
    <t>szc</t>
  </si>
  <si>
    <t>t-pa</t>
  </si>
  <si>
    <t>t-pc</t>
  </si>
  <si>
    <t>taco</t>
  </si>
  <si>
    <t>tacq</t>
  </si>
  <si>
    <t>takax</t>
  </si>
  <si>
    <t>takix</t>
  </si>
  <si>
    <t>taklx</t>
  </si>
  <si>
    <t>takmx</t>
  </si>
  <si>
    <t>taknx</t>
  </si>
  <si>
    <t>takyx</t>
  </si>
  <si>
    <t>tals</t>
  </si>
  <si>
    <t>tanni</t>
  </si>
  <si>
    <t>tannl</t>
  </si>
  <si>
    <t>tannz</t>
  </si>
  <si>
    <t>tap-a</t>
  </si>
  <si>
    <t>tapm</t>
  </si>
  <si>
    <t>task</t>
  </si>
  <si>
    <t>tbcp</t>
  </si>
  <si>
    <t>tbcpu</t>
  </si>
  <si>
    <t>tbcpw</t>
  </si>
  <si>
    <t>tbkcp</t>
  </si>
  <si>
    <t>tbltw</t>
  </si>
  <si>
    <t>tbmcu</t>
  </si>
  <si>
    <t>tbsa</t>
  </si>
  <si>
    <t>tbsau</t>
  </si>
  <si>
    <t>tbsaw</t>
  </si>
  <si>
    <t>tcda</t>
  </si>
  <si>
    <t>tcfc</t>
  </si>
  <si>
    <t>tcoa-un</t>
  </si>
  <si>
    <t>tcoa-wt</t>
  </si>
  <si>
    <t>tcpc</t>
  </si>
  <si>
    <t>tcrr</t>
  </si>
  <si>
    <t>tcva</t>
  </si>
  <si>
    <t>tdac</t>
  </si>
  <si>
    <t>tdgmw</t>
  </si>
  <si>
    <t>tds-pu</t>
  </si>
  <si>
    <t>tds-pv</t>
  </si>
  <si>
    <t>tdw-wt</t>
  </si>
  <si>
    <t>tdw-wta</t>
  </si>
  <si>
    <t>tdw-wtb</t>
  </si>
  <si>
    <t>tedu</t>
  </si>
  <si>
    <t>tekc</t>
  </si>
  <si>
    <t>tekk</t>
  </si>
  <si>
    <t>tekku</t>
  </si>
  <si>
    <t>tekkw</t>
  </si>
  <si>
    <t>tess</t>
  </si>
  <si>
    <t>tetar</t>
  </si>
  <si>
    <t>tetc</t>
  </si>
  <si>
    <t>tetcu</t>
  </si>
  <si>
    <t>tetcw</t>
  </si>
  <si>
    <t>teum</t>
  </si>
  <si>
    <t>tfc-pi</t>
  </si>
  <si>
    <t>tfc-po</t>
  </si>
  <si>
    <t>tfc-pr</t>
  </si>
  <si>
    <t>tgh-pa</t>
  </si>
  <si>
    <t>tgh-pb</t>
  </si>
  <si>
    <t>tgr-un</t>
  </si>
  <si>
    <t>tgr-wt</t>
  </si>
  <si>
    <t>thac</t>
  </si>
  <si>
    <t>thacu</t>
  </si>
  <si>
    <t>thacw</t>
  </si>
  <si>
    <t>thca</t>
  </si>
  <si>
    <t>thcaw</t>
  </si>
  <si>
    <t>thmb</t>
  </si>
  <si>
    <t>thrn</t>
  </si>
  <si>
    <t>tinv</t>
  </si>
  <si>
    <t>tinv-un</t>
  </si>
  <si>
    <t>tinv-wt</t>
  </si>
  <si>
    <t>tioa</t>
  </si>
  <si>
    <t>tioau</t>
  </si>
  <si>
    <t>tioaw</t>
  </si>
  <si>
    <t>tiplx</t>
  </si>
  <si>
    <t>tkat</t>
  </si>
  <si>
    <t>tkoi</t>
  </si>
  <si>
    <t>tlf</t>
  </si>
  <si>
    <t>tlfa</t>
  </si>
  <si>
    <t>tlga</t>
  </si>
  <si>
    <t>tlga-un</t>
  </si>
  <si>
    <t>tlga-wt</t>
  </si>
  <si>
    <t>tlk</t>
  </si>
  <si>
    <t>tls</t>
  </si>
  <si>
    <t>tmac</t>
  </si>
  <si>
    <t>tmac-wt</t>
  </si>
  <si>
    <t>tmbr</t>
  </si>
  <si>
    <t>tmc</t>
  </si>
  <si>
    <t>tme</t>
  </si>
  <si>
    <t>tmkr</t>
  </si>
  <si>
    <t>tmkru</t>
  </si>
  <si>
    <t>tmkrw</t>
  </si>
  <si>
    <t>tmo</t>
  </si>
  <si>
    <t>tmp</t>
  </si>
  <si>
    <t>tmpm</t>
  </si>
  <si>
    <t>tmpmu</t>
  </si>
  <si>
    <t>tmpmw</t>
  </si>
  <si>
    <t>tmq</t>
  </si>
  <si>
    <t>tnp-pd</t>
  </si>
  <si>
    <t>tnp-pe</t>
  </si>
  <si>
    <t>tnp-pf</t>
  </si>
  <si>
    <t>tnt</t>
  </si>
  <si>
    <t>toac</t>
  </si>
  <si>
    <t>toacu</t>
  </si>
  <si>
    <t>toacw</t>
  </si>
  <si>
    <t>togl</t>
  </si>
  <si>
    <t>tpba</t>
  </si>
  <si>
    <t>tpbau</t>
  </si>
  <si>
    <t>tpbaw</t>
  </si>
  <si>
    <t>tpgy</t>
  </si>
  <si>
    <t>tpgy-un</t>
  </si>
  <si>
    <t>tpgy-wt</t>
  </si>
  <si>
    <t>traq</t>
  </si>
  <si>
    <t>traq-un</t>
  </si>
  <si>
    <t>traq-wt</t>
  </si>
  <si>
    <t>trca</t>
  </si>
  <si>
    <t>trca-un</t>
  </si>
  <si>
    <t>trca-wt</t>
  </si>
  <si>
    <t>trde</t>
  </si>
  <si>
    <t>trfpf</t>
  </si>
  <si>
    <t>trhc</t>
  </si>
  <si>
    <t>triq</t>
  </si>
  <si>
    <t>tris-un</t>
  </si>
  <si>
    <t>tris-wt</t>
  </si>
  <si>
    <t>trka</t>
  </si>
  <si>
    <t>trkaw</t>
  </si>
  <si>
    <t>trmr</t>
  </si>
  <si>
    <t>trnf</t>
  </si>
  <si>
    <t>trns</t>
  </si>
  <si>
    <t>trnx</t>
  </si>
  <si>
    <t>trny</t>
  </si>
  <si>
    <t>tron</t>
  </si>
  <si>
    <t>troo</t>
  </si>
  <si>
    <t>trq</t>
  </si>
  <si>
    <t>trrb</t>
  </si>
  <si>
    <t>trssf</t>
  </si>
  <si>
    <t>trtl-un</t>
  </si>
  <si>
    <t>trtl-wt</t>
  </si>
  <si>
    <t>trtn</t>
  </si>
  <si>
    <t>trtn-pa</t>
  </si>
  <si>
    <t>trtn-pb</t>
  </si>
  <si>
    <t>trtn-pc</t>
  </si>
  <si>
    <t>trtn-pd</t>
  </si>
  <si>
    <t>trtn-pe</t>
  </si>
  <si>
    <t>trtx-pc</t>
  </si>
  <si>
    <t>tsgn</t>
  </si>
  <si>
    <t>tsib</t>
  </si>
  <si>
    <t>tsibu</t>
  </si>
  <si>
    <t>tsibw</t>
  </si>
  <si>
    <t>tsifx</t>
  </si>
  <si>
    <t>tsio</t>
  </si>
  <si>
    <t>tsiv</t>
  </si>
  <si>
    <t>tspq</t>
  </si>
  <si>
    <t>tspq-un</t>
  </si>
  <si>
    <t>tspq-wt</t>
  </si>
  <si>
    <t>ttcf</t>
  </si>
  <si>
    <t>tuem</t>
  </si>
  <si>
    <t>tufu</t>
  </si>
  <si>
    <t>turo</t>
  </si>
  <si>
    <t>tvixf</t>
  </si>
  <si>
    <t>twcb</t>
  </si>
  <si>
    <t>twcbu</t>
  </si>
  <si>
    <t>twcbw</t>
  </si>
  <si>
    <t>twcg</t>
  </si>
  <si>
    <t>twcm</t>
  </si>
  <si>
    <t>twen</t>
  </si>
  <si>
    <t>twic</t>
  </si>
  <si>
    <t>twnd</t>
  </si>
  <si>
    <t>twnd-un</t>
  </si>
  <si>
    <t>twnd-wt</t>
  </si>
  <si>
    <t>twni</t>
  </si>
  <si>
    <t>twni-un</t>
  </si>
  <si>
    <t>twni-wt</t>
  </si>
  <si>
    <t>twnk</t>
  </si>
  <si>
    <t>two-pa</t>
  </si>
  <si>
    <t>two-pb</t>
  </si>
  <si>
    <t>two-pc</t>
  </si>
  <si>
    <t>twtr</t>
  </si>
  <si>
    <t>tyde</t>
  </si>
  <si>
    <t>tyme</t>
  </si>
  <si>
    <t>tytp</t>
  </si>
  <si>
    <t>tzps</t>
  </si>
  <si>
    <t>tzpsu</t>
  </si>
  <si>
    <t>tzpsw</t>
  </si>
  <si>
    <t>uba</t>
  </si>
  <si>
    <t>uboh</t>
  </si>
  <si>
    <t>ubp</t>
  </si>
  <si>
    <t>ubp-ph</t>
  </si>
  <si>
    <t>ubp-pk</t>
  </si>
  <si>
    <t>ubxg</t>
  </si>
  <si>
    <t>ucib</t>
  </si>
  <si>
    <t>ucix</t>
  </si>
  <si>
    <t>ueri</t>
  </si>
  <si>
    <t>ufab</t>
  </si>
  <si>
    <t>ufin</t>
  </si>
  <si>
    <t>ugazf</t>
  </si>
  <si>
    <t>ugldf</t>
  </si>
  <si>
    <t>uhid</t>
  </si>
  <si>
    <t>uhs</t>
  </si>
  <si>
    <t>uht</t>
  </si>
  <si>
    <t>uihc</t>
  </si>
  <si>
    <t>ukwi</t>
  </si>
  <si>
    <t>ulnv</t>
  </si>
  <si>
    <t>umh-pd</t>
  </si>
  <si>
    <t>umhl</t>
  </si>
  <si>
    <t>umpq</t>
  </si>
  <si>
    <t>unex</t>
  </si>
  <si>
    <t>unma</t>
  </si>
  <si>
    <t>unoo</t>
  </si>
  <si>
    <t>unov</t>
  </si>
  <si>
    <t>unrv</t>
  </si>
  <si>
    <t>unss</t>
  </si>
  <si>
    <t>uoli</t>
  </si>
  <si>
    <t>up-wt</t>
  </si>
  <si>
    <t>uph-wt</t>
  </si>
  <si>
    <t>upow</t>
  </si>
  <si>
    <t>uptd</t>
  </si>
  <si>
    <t>uptdw</t>
  </si>
  <si>
    <t>urgp</t>
  </si>
  <si>
    <t>usax</t>
  </si>
  <si>
    <t>usb-pa</t>
  </si>
  <si>
    <t>usb-ph</t>
  </si>
  <si>
    <t>usb-pp</t>
  </si>
  <si>
    <t>usb-pq</t>
  </si>
  <si>
    <t>usb-pr</t>
  </si>
  <si>
    <t>usb-ps</t>
  </si>
  <si>
    <t>usbl</t>
  </si>
  <si>
    <t>user</t>
  </si>
  <si>
    <t>uslvf</t>
  </si>
  <si>
    <t>usna</t>
  </si>
  <si>
    <t>usoi</t>
  </si>
  <si>
    <t>usph</t>
  </si>
  <si>
    <t>usqix</t>
  </si>
  <si>
    <t>usws</t>
  </si>
  <si>
    <t>uswsw</t>
  </si>
  <si>
    <t>usx</t>
  </si>
  <si>
    <t>utaa</t>
  </si>
  <si>
    <t>utaau</t>
  </si>
  <si>
    <t>utaaw</t>
  </si>
  <si>
    <t>utgn</t>
  </si>
  <si>
    <t>utme</t>
  </si>
  <si>
    <t>utxou</t>
  </si>
  <si>
    <t>uwmc-wt</t>
  </si>
  <si>
    <t>vacc</t>
  </si>
  <si>
    <t>vacx</t>
  </si>
  <si>
    <t>val-wt</t>
  </si>
  <si>
    <t>vaqa</t>
  </si>
  <si>
    <t>vbixd</t>
  </si>
  <si>
    <t>vblt</t>
  </si>
  <si>
    <t>vboc</t>
  </si>
  <si>
    <t>vbocu</t>
  </si>
  <si>
    <t>vcif</t>
  </si>
  <si>
    <t>vcka</t>
  </si>
  <si>
    <t>vckaw</t>
  </si>
  <si>
    <t>vcmix</t>
  </si>
  <si>
    <t>vcrrx</t>
  </si>
  <si>
    <t>vcxa</t>
  </si>
  <si>
    <t>vcxau</t>
  </si>
  <si>
    <t>vcxaw</t>
  </si>
  <si>
    <t>vcxb-un</t>
  </si>
  <si>
    <t>vcxb-wt</t>
  </si>
  <si>
    <t>vdnt</t>
  </si>
  <si>
    <t>vect</t>
  </si>
  <si>
    <t>vedu</t>
  </si>
  <si>
    <t>vegyf</t>
  </si>
  <si>
    <t>velo</t>
  </si>
  <si>
    <t>velou</t>
  </si>
  <si>
    <t>velow</t>
  </si>
  <si>
    <t>vemc</t>
  </si>
  <si>
    <t>vena</t>
  </si>
  <si>
    <t>venar</t>
  </si>
  <si>
    <t>venaw</t>
  </si>
  <si>
    <t>veon</t>
  </si>
  <si>
    <t>veri</t>
  </si>
  <si>
    <t>vero</t>
  </si>
  <si>
    <t>veru</t>
  </si>
  <si>
    <t>verv</t>
  </si>
  <si>
    <t>verx</t>
  </si>
  <si>
    <t>very</t>
  </si>
  <si>
    <t>vflex</t>
  </si>
  <si>
    <t>vgfc</t>
  </si>
  <si>
    <t>vhaq-wt</t>
  </si>
  <si>
    <t>vhna</t>
  </si>
  <si>
    <t>vhnau</t>
  </si>
  <si>
    <t>vhnaw</t>
  </si>
  <si>
    <t>vihd</t>
  </si>
  <si>
    <t>vii</t>
  </si>
  <si>
    <t>viiau</t>
  </si>
  <si>
    <t>viiaw</t>
  </si>
  <si>
    <t>viixf</t>
  </si>
  <si>
    <t>vincu</t>
  </si>
  <si>
    <t>vitx</t>
  </si>
  <si>
    <t>vivo</t>
  </si>
  <si>
    <t>vkin</t>
  </si>
  <si>
    <t>vlat</t>
  </si>
  <si>
    <t>vlatu</t>
  </si>
  <si>
    <t>vlatw</t>
  </si>
  <si>
    <t>vld-wt</t>
  </si>
  <si>
    <t>vldr</t>
  </si>
  <si>
    <t>vldrw</t>
  </si>
  <si>
    <t>vln-wt</t>
  </si>
  <si>
    <t>vlns</t>
  </si>
  <si>
    <t>vlon</t>
  </si>
  <si>
    <t>vlt</t>
  </si>
  <si>
    <t>vlta-wt</t>
  </si>
  <si>
    <t>vmcs</t>
  </si>
  <si>
    <t>vmga</t>
  </si>
  <si>
    <t>vmgau</t>
  </si>
  <si>
    <t>vmgaw</t>
  </si>
  <si>
    <t>vnmt</t>
  </si>
  <si>
    <t>vno-pl</t>
  </si>
  <si>
    <t>vno-pm</t>
  </si>
  <si>
    <t>vno-pn</t>
  </si>
  <si>
    <t>vno-po</t>
  </si>
  <si>
    <t>vntr</t>
  </si>
  <si>
    <t>vorb</t>
  </si>
  <si>
    <t>vorbw</t>
  </si>
  <si>
    <t>voxcf</t>
  </si>
  <si>
    <t>voya-pb</t>
  </si>
  <si>
    <t>vpcb</t>
  </si>
  <si>
    <t>vpcbu</t>
  </si>
  <si>
    <t>vray</t>
  </si>
  <si>
    <t>vrrmw</t>
  </si>
  <si>
    <t>vrscf</t>
  </si>
  <si>
    <t>vslax</t>
  </si>
  <si>
    <t>vslcx</t>
  </si>
  <si>
    <t>vslyx</t>
  </si>
  <si>
    <t>vssa</t>
  </si>
  <si>
    <t>vsym</t>
  </si>
  <si>
    <t>vtaq</t>
  </si>
  <si>
    <t>vtaqr</t>
  </si>
  <si>
    <t>vtaqu</t>
  </si>
  <si>
    <t>vtaqw</t>
  </si>
  <si>
    <t>vtiq</t>
  </si>
  <si>
    <t>vtiqu</t>
  </si>
  <si>
    <t>vtiqw</t>
  </si>
  <si>
    <t>vtn</t>
  </si>
  <si>
    <t>vuso</t>
  </si>
  <si>
    <t>vvnt</t>
  </si>
  <si>
    <t>vvpr</t>
  </si>
  <si>
    <t>vwtr</t>
  </si>
  <si>
    <t>vxi</t>
  </si>
  <si>
    <t>vxx</t>
  </si>
  <si>
    <t>vygg</t>
  </si>
  <si>
    <t>vygg-un</t>
  </si>
  <si>
    <t>vygg-wt</t>
  </si>
  <si>
    <t>vynt</t>
  </si>
  <si>
    <t>wal-pa</t>
  </si>
  <si>
    <t>warr</t>
  </si>
  <si>
    <t>wavc</t>
  </si>
  <si>
    <t>wbev</t>
  </si>
  <si>
    <t>wbs-pf</t>
  </si>
  <si>
    <t>wbs-pg</t>
  </si>
  <si>
    <t>wbx-wt</t>
  </si>
  <si>
    <t>wcap</t>
  </si>
  <si>
    <t>wcc-pa</t>
  </si>
  <si>
    <t>we-wt</t>
  </si>
  <si>
    <t>webr</t>
  </si>
  <si>
    <t>wefcx</t>
  </si>
  <si>
    <t>weib</t>
  </si>
  <si>
    <t>weifx</t>
  </si>
  <si>
    <t>wejo</t>
  </si>
  <si>
    <t>wejow</t>
  </si>
  <si>
    <t>wel-wt</t>
  </si>
  <si>
    <t>wesfx</t>
  </si>
  <si>
    <t>wetf</t>
  </si>
  <si>
    <t>wfc-pa</t>
  </si>
  <si>
    <t>wfc-pc</t>
  </si>
  <si>
    <t>wfc-pd</t>
  </si>
  <si>
    <t>wfc-pl</t>
  </si>
  <si>
    <t>wfc-pq</t>
  </si>
  <si>
    <t>wfc-pr</t>
  </si>
  <si>
    <t>wfc-py</t>
  </si>
  <si>
    <t>wfc-pz</t>
  </si>
  <si>
    <t>wftuf</t>
  </si>
  <si>
    <t>wilc</t>
  </si>
  <si>
    <t>winrw</t>
  </si>
  <si>
    <t>wism</t>
  </si>
  <si>
    <t>wkspw</t>
  </si>
  <si>
    <t>wlms</t>
  </si>
  <si>
    <t>wmpn</t>
  </si>
  <si>
    <t>wnnr-un</t>
  </si>
  <si>
    <t>wnnr-wt</t>
  </si>
  <si>
    <t>woda</t>
  </si>
  <si>
    <t>wolvd</t>
  </si>
  <si>
    <t>wpa</t>
  </si>
  <si>
    <t>wpca</t>
  </si>
  <si>
    <t>wpca-un</t>
  </si>
  <si>
    <t>wpca-wt</t>
  </si>
  <si>
    <t>wpcb</t>
  </si>
  <si>
    <t>wpcb-un</t>
  </si>
  <si>
    <t>wpcb-wt</t>
  </si>
  <si>
    <t>wqga</t>
  </si>
  <si>
    <t>wqga-un</t>
  </si>
  <si>
    <t>wqga-wt</t>
  </si>
  <si>
    <t>wrac</t>
  </si>
  <si>
    <t>wrb-pe</t>
  </si>
  <si>
    <t>wrb-pf</t>
  </si>
  <si>
    <t>wrb-pg</t>
  </si>
  <si>
    <t>wrb-ph</t>
  </si>
  <si>
    <t>wre</t>
  </si>
  <si>
    <t>wrmk</t>
  </si>
  <si>
    <t>wscrd</t>
  </si>
  <si>
    <t>wscrf</t>
  </si>
  <si>
    <t>wso-b</t>
  </si>
  <si>
    <t>wstg</t>
  </si>
  <si>
    <t>wtmar</t>
  </si>
  <si>
    <t>wtnw</t>
  </si>
  <si>
    <t>wtrh</t>
  </si>
  <si>
    <t>wtt</t>
  </si>
  <si>
    <t>wuyi</t>
  </si>
  <si>
    <t>wwac</t>
  </si>
  <si>
    <t>wwacu</t>
  </si>
  <si>
    <t>wwacw</t>
  </si>
  <si>
    <t>wwe</t>
  </si>
  <si>
    <t>wxt</t>
  </si>
  <si>
    <t>wytc</t>
  </si>
  <si>
    <t>xalcx</t>
  </si>
  <si>
    <t>xcapx</t>
  </si>
  <si>
    <t>xcwpx</t>
  </si>
  <si>
    <t>xdmbx</t>
  </si>
  <si>
    <t>xflt-pa</t>
  </si>
  <si>
    <t>xgeix</t>
  </si>
  <si>
    <t>xilsx</t>
  </si>
  <si>
    <t>xm</t>
  </si>
  <si>
    <t>xosww</t>
  </si>
  <si>
    <t>xpasx</t>
  </si>
  <si>
    <t>xpax</t>
  </si>
  <si>
    <t>xpaxu</t>
  </si>
  <si>
    <t>xpaxw</t>
  </si>
  <si>
    <t>xprtx</t>
  </si>
  <si>
    <t>xptfx</t>
  </si>
  <si>
    <t>xrxh</t>
  </si>
  <si>
    <t>xsiax</t>
  </si>
  <si>
    <t>xsicx</t>
  </si>
  <si>
    <t>xsiix</t>
  </si>
  <si>
    <t>xsiwx</t>
  </si>
  <si>
    <t>xslcx</t>
  </si>
  <si>
    <t>xspa</t>
  </si>
  <si>
    <t>xspt</t>
  </si>
  <si>
    <t>xwamx</t>
  </si>
  <si>
    <t>xwmfx</t>
  </si>
  <si>
    <t>xygj</t>
  </si>
  <si>
    <t>yala</t>
  </si>
  <si>
    <t>ybzn</t>
  </si>
  <si>
    <t>ycbd-pa</t>
  </si>
  <si>
    <t>yell</t>
  </si>
  <si>
    <t>yewb</t>
  </si>
  <si>
    <t>ygyi</t>
  </si>
  <si>
    <t>ygyip</t>
  </si>
  <si>
    <t>ymtx</t>
  </si>
  <si>
    <t>yorw</t>
  </si>
  <si>
    <t>yotar</t>
  </si>
  <si>
    <t>yswy</t>
  </si>
  <si>
    <t>ytpg</t>
  </si>
  <si>
    <t>yuanf</t>
  </si>
  <si>
    <t>yvr</t>
  </si>
  <si>
    <t>zdge</t>
  </si>
  <si>
    <t>zeno</t>
  </si>
  <si>
    <t>zest</t>
  </si>
  <si>
    <t>zev</t>
  </si>
  <si>
    <t>zev-wt</t>
  </si>
  <si>
    <t>zghb</t>
  </si>
  <si>
    <t>zgn-wt</t>
  </si>
  <si>
    <t>zhec</t>
  </si>
  <si>
    <t>zing</t>
  </si>
  <si>
    <t>zingu</t>
  </si>
  <si>
    <t>zingw</t>
  </si>
  <si>
    <t>zivzf</t>
  </si>
  <si>
    <t>zlme</t>
  </si>
  <si>
    <t>zmeny</t>
  </si>
  <si>
    <t>znh</t>
  </si>
  <si>
    <t>zsanq</t>
  </si>
  <si>
    <t>zt</t>
  </si>
  <si>
    <t>ztaqu</t>
  </si>
  <si>
    <t>ztaqw</t>
  </si>
  <si>
    <t>ztop</t>
  </si>
  <si>
    <t>zvo</t>
  </si>
  <si>
    <t>zwrk</t>
  </si>
  <si>
    <t>zwrku</t>
  </si>
  <si>
    <t>zwrkw</t>
  </si>
  <si>
    <t>zy</t>
  </si>
  <si>
    <t>zyjt</t>
  </si>
  <si>
    <t>zyne</t>
  </si>
  <si>
    <t>zyqg</t>
  </si>
  <si>
    <t>zzll</t>
  </si>
  <si>
    <t>The one constant in the stock markets is change. Otherwise put, volatility is a constant companion to investors, which is why the Cboe Volatility Index (VIX) is such a widely tracked market index. Ever since this measurement of investor sentiment regarding future volatility was introduced (with futures and options following later), many investors have wondered about the best ways to trade the VIX Index.</t>
  </si>
  <si>
    <t>Realizing the generally negative correlation between volatility and stock market performance, many investors have looked to use volatility instruments to hedge their portfolios. In this article, we'll review four ways you can trade the VIX using specific exchange-traded funds and exchange-traded notes.</t>
  </si>
  <si>
    <t>KEY TAKEAWAYS</t>
  </si>
  <si>
    <t>Since the Cboe Volatility Index (VIX) was introduced, investors have traded this measure of investor sentiment about future volatility.</t>
  </si>
  <si>
    <t>The primary way to trade the VIX is to buy exchange-traded funds (ETFs) and exchange-traded notes (ETNs) tied to the VIX itself.</t>
  </si>
  <si>
    <t>ETFs and ETNs related to the VIX include the iPath Series B S&amp;P 500 VIX Short-Term Futures ETN (VXX) and the ProShares Short VIX Short-Term Futures ETF (SVXY).</t>
  </si>
  <si>
    <t>Beware the Lag</t>
  </si>
  <si>
    <t>Investors considering these ETFs and ETNs should realize that they are not great proxies for the performance of the spot VIX. These funds can be expected to perform very differently from the VIX. Some may rise or fall in tandem with the VIX, but the rate at which they move and the lag time can make pinpointing entry and exit points challenging even for seasoned traders.</t>
  </si>
  <si>
    <t>Market volatility investments are best suited for investors with a short-time horizon who can closely watch their positions and move quickly if the market turns against them.</t>
  </si>
  <si>
    <t>If investors want to place bets on equity market volatility or use them as hedges, the VIX-related ETF and ETN products are acceptable but highly-flawed instruments; however, they certainly have a strong convenience aspect to them, as they trade like any other stock.</t>
  </si>
  <si>
    <t>What Is the VIX?</t>
  </si>
  <si>
    <t>The Cboe Volatility Index (VIX) represents the market’s expectations for the strength of short-term price changes (or volatility) in the S&amp;P 500 index (SPX). The level of market volatility is used to gauge market sentiment and the level of fear and uncertainty among market participants</t>
  </si>
  <si>
    <t>Volatility is a measure of dispersion seen in financial instruments. Volatility is represented by the CBOE Volatility Index (VIX) and investors have sought ways to trade this index, primarily as a means to hedge their portfolios. For investors, choosing exchange-traded notes (ETNs) and exchange-traded funds (ETFs) as investment vehicles for this purpose are easily accessible options with plenty to choose from.</t>
  </si>
  <si>
    <t>VIX, has a strong mean reverting tendency</t>
  </si>
  <si>
    <t>Known as Wall Street’s “fear gauge,” VIX1 is followed by a multitude of market participants; its levels and trends have become part of the common language of market commentary. Unfortunately, the meaning of a given VIX level is frequently misunderstood.</t>
  </si>
  <si>
    <t>VIX might be said to provide a crowd-sourced estimate for the degree to which the market is uncertain about the future.</t>
  </si>
  <si>
    <t>SIC Code</t>
  </si>
  <si>
    <t>Office</t>
  </si>
  <si>
    <t>Industry Title</t>
  </si>
  <si>
    <t>Industrial Applications and Services</t>
  </si>
  <si>
    <t>AGRICULTURAL PRODUCTION-CROPS</t>
  </si>
  <si>
    <t>AGRICULTURAL PROD-LIVESTOCK &amp; ANIMAL SPECIALTIES</t>
  </si>
  <si>
    <t>AGRICULTURAL SERVICES</t>
  </si>
  <si>
    <t>FORESTRY</t>
  </si>
  <si>
    <t>FISHING, HUNTING AND TRAPPING</t>
  </si>
  <si>
    <t>Office of Energy &amp; Transportation</t>
  </si>
  <si>
    <t>METAL MINING</t>
  </si>
  <si>
    <t>GOLD AND SILVER ORES</t>
  </si>
  <si>
    <t>MISCELLANEOUS METAL ORES</t>
  </si>
  <si>
    <t>BITUMINOUS COAL &amp; LIGNITE MINING</t>
  </si>
  <si>
    <t>BITUMINOUS COAL &amp; LIGNITE SURFACE MINING</t>
  </si>
  <si>
    <t>CRUDE PETROLEUM &amp; NATURAL GAS</t>
  </si>
  <si>
    <t>DRILLING OIL &amp; GAS WELLS</t>
  </si>
  <si>
    <t>OIL &amp; GAS FIELD EXPLORATION SERVICES</t>
  </si>
  <si>
    <t>OIL &amp; GAS FIELD SERVICES, NEC</t>
  </si>
  <si>
    <t>MINING &amp; QUARRYING OF NONMETALLIC MINERALS (NO FUELS)</t>
  </si>
  <si>
    <t>Office of Real Estate &amp; Construction</t>
  </si>
  <si>
    <t>GENERAL BLDG CONTRACTORS - RESIDENTIAL BLDGS</t>
  </si>
  <si>
    <t>OPERATIVE BUILDERS</t>
  </si>
  <si>
    <t>GENERAL BLDG CONTRACTORS - NONRESIDENTIAL BLDGS</t>
  </si>
  <si>
    <t>HEAVY CONSTRUCTION OTHER THAN BLDG CONST - CONTRACTORS</t>
  </si>
  <si>
    <t>WATER, SEWER, PIPELINE, COMM &amp; POWER LINE CONSTRUCTION</t>
  </si>
  <si>
    <t>CONSTRUCTION - SPECIAL TRADE CONTRACTORS</t>
  </si>
  <si>
    <t>ELECTRICAL WORK</t>
  </si>
  <si>
    <t>Office of Manufacturing</t>
  </si>
  <si>
    <t>FOOD AND KINDRED PRODUCTS</t>
  </si>
  <si>
    <t>MEAT PACKING PLANTS</t>
  </si>
  <si>
    <t>SAUSAGES &amp; OTHER PREPARED MEAT PRODUCTS</t>
  </si>
  <si>
    <t>POULTRY SLAUGHTERING AND PROCESSING</t>
  </si>
  <si>
    <t>DAIRY PRODUCTS</t>
  </si>
  <si>
    <t>ICE CREAM &amp; FROZEN DESSERTS</t>
  </si>
  <si>
    <t>CANNED, FROZEN &amp; PRESERVD FRUIT, VEG &amp; FOOD SPECIALTIES</t>
  </si>
  <si>
    <t>CANNED, FRUITS, VEG, PRESERVES, JAMS &amp; JELLIES</t>
  </si>
  <si>
    <t>GRAIN MILL PRODUCTS</t>
  </si>
  <si>
    <t>BAKERY PRODUCTS</t>
  </si>
  <si>
    <t>COOKIES &amp; CRACKERS</t>
  </si>
  <si>
    <t>SUGAR &amp; CONFECTIONERY PRODUCTS</t>
  </si>
  <si>
    <t>FATS &amp; OILS</t>
  </si>
  <si>
    <t>BEVERAGES</t>
  </si>
  <si>
    <t>MALT BEVERAGES</t>
  </si>
  <si>
    <t>BOTTLED &amp; CANNED SOFT DRINKS &amp; CARBONATED WATERS</t>
  </si>
  <si>
    <t>MISCELLANEOUS FOOD PREPARATIONS &amp; KINDRED PRODUCTS</t>
  </si>
  <si>
    <t>PREPARED FRESH OR FROZEN FISH &amp; SEAFOODS</t>
  </si>
  <si>
    <t>TOBACCO PRODUCTS</t>
  </si>
  <si>
    <t>CIGARETTES</t>
  </si>
  <si>
    <t>TEXTILE MILL PRODUCTS</t>
  </si>
  <si>
    <t>BROADWOVEN FABRIC MILLS, COTTON</t>
  </si>
  <si>
    <t>BROADWOVEN FABRIC MILLS, MAN MADE FIBER &amp; SILK</t>
  </si>
  <si>
    <t>KNITTING MILLS</t>
  </si>
  <si>
    <t>KNIT OUTERWEAR MILLS</t>
  </si>
  <si>
    <t>CARPETS &amp; RUGS</t>
  </si>
  <si>
    <t>APPAREL &amp; OTHER FINISHD PRODS OF FABRICS &amp; SIMILAR MATL</t>
  </si>
  <si>
    <t>MEN'S &amp; BOYS' FURNISHGS, WORK CLOTHG, &amp; ALLIED GARMENTS</t>
  </si>
  <si>
    <t>WOMEN'S, MISSES', AND JUNIORS OUTERWEAR</t>
  </si>
  <si>
    <t>WOMEN'S, MISSES', CHILDREN'S &amp; INFANTS' UNDERGARMENTS</t>
  </si>
  <si>
    <t>MISCELLANEOUS FABRICATED TEXTILE PRODUCTS</t>
  </si>
  <si>
    <t>LUMBER &amp; WOOD PRODUCTS (NO FURNITURE)</t>
  </si>
  <si>
    <t>SAWMILLS &amp; PLANTING MILLS, GENERAL</t>
  </si>
  <si>
    <t>MILLWOOD, VENEER, PLYWOOD, &amp; STRUCTURAL WOOD MEMBERS</t>
  </si>
  <si>
    <t>MOBILE HOMES</t>
  </si>
  <si>
    <t>PREFABRICATED WOOD BLDGS &amp; COMPONENTS</t>
  </si>
  <si>
    <t>HOUSEHOLD FURNITURE</t>
  </si>
  <si>
    <t>WOOD HOUSEHOLD FURNITURE, (NO UPHOLSTERED)</t>
  </si>
  <si>
    <t>OFFICE FURNITURE</t>
  </si>
  <si>
    <t>OFFICE FURNITURE (NO WOOD)</t>
  </si>
  <si>
    <t>PUBLIC BLDG &amp; RELATED FURNITURE</t>
  </si>
  <si>
    <t>PARTITIONS, SHELVG, LOCKERS, &amp; OFFICE &amp; STORE FIXTURES</t>
  </si>
  <si>
    <t>MISCELLANEOUS FURNITURE &amp; FIXTURES</t>
  </si>
  <si>
    <t>PAPERS &amp; ALLIED PRODUCTS</t>
  </si>
  <si>
    <t>PULP MILLS</t>
  </si>
  <si>
    <t>PAPER MILLS</t>
  </si>
  <si>
    <t>PAPERBOARD MILLS</t>
  </si>
  <si>
    <t>PAPERBOARD CONTAINERS &amp; BOXES</t>
  </si>
  <si>
    <t>CONVERTED PAPER &amp; PAPERBOARD PRODS (NO CONTANERS/BOXES)</t>
  </si>
  <si>
    <t>PLASTICS, FOIL &amp; COATED PAPER BAGS</t>
  </si>
  <si>
    <t>NEWSPAPERS: PUBLISHING OR PUBLISHING &amp; PRINTING</t>
  </si>
  <si>
    <t>PERIODICALS: PUBLISHING OR PUBLISHING &amp; PRINTING</t>
  </si>
  <si>
    <t>BOOKS: PUBLISHING OR PUBLISHING &amp; PRINTING</t>
  </si>
  <si>
    <t>BOOK PRINTING</t>
  </si>
  <si>
    <t>MISCELLANEOUS PUBLISHING</t>
  </si>
  <si>
    <t>COMMERCIAL PRINTING</t>
  </si>
  <si>
    <t>MANIFOLD BUSINESS FORMS</t>
  </si>
  <si>
    <t>GREETING CARDS</t>
  </si>
  <si>
    <t>BLANKBOOKS, LOOSELEAF BINDERS &amp; BOOKBINDG &amp; RELATD WORK</t>
  </si>
  <si>
    <t>SERVICE INDUSTRIES FOR THE PRINTING TRADE</t>
  </si>
  <si>
    <t>CHEMICALS &amp; ALLIED PRODUCTS</t>
  </si>
  <si>
    <t>INDUSTRIAL INORGANIC CHEMICALS</t>
  </si>
  <si>
    <t>PLASTIC MATERIAL, SYNTH RESIN/RUBBER, CELLULOS (NO GLASS)</t>
  </si>
  <si>
    <t>PLASTIC MATERIALS, SYNTH RESINS &amp; NONVULCAN ELASTOMERS</t>
  </si>
  <si>
    <t>Office of Life Sciences</t>
  </si>
  <si>
    <t>MEDICINAL CHEMICALS &amp; BOTANICAL PRODUCTS</t>
  </si>
  <si>
    <t>PHARMACEUTICAL PREPARATIONS</t>
  </si>
  <si>
    <t>IN VITRO &amp; IN VIVO DIAGNOSTIC SUBSTANCES</t>
  </si>
  <si>
    <t>BIOLOGICAL PRODUCTS, (NO DISGNOSTIC SUBSTANCES)</t>
  </si>
  <si>
    <t>SOAP, DETERGENTS, CLEANG PREPARATIONS, PERFUMES, COSMETICS</t>
  </si>
  <si>
    <t>SPECIALTY CLEANING, POLISHING AND SANITATION PREPARATIONS</t>
  </si>
  <si>
    <t>PERFUMES, COSMETICS &amp; OTHER TOILET PREPARATIONS</t>
  </si>
  <si>
    <t>PAINTS, VARNISHES, LACQUERS, ENAMELS &amp; ALLIED PRODS</t>
  </si>
  <si>
    <t>INDUSTRIAL ORGANIC CHEMICALS</t>
  </si>
  <si>
    <t>AGRICULTURAL CHEMICALS</t>
  </si>
  <si>
    <t>MISCELLANEOUS CHEMICAL PRODUCTS</t>
  </si>
  <si>
    <t>ADHESIVES &amp; SEALANTS</t>
  </si>
  <si>
    <t>PETROLEUM REFINING</t>
  </si>
  <si>
    <t>ASPHALT PAVING &amp; ROOFING MATERIALS</t>
  </si>
  <si>
    <t>MISCELLANEOUS PRODUCTS OF PETROLEUM &amp; COAL</t>
  </si>
  <si>
    <t>TIRES &amp; INNER TUBES</t>
  </si>
  <si>
    <t>RUBBER &amp; PLASTICS FOOTWEAR</t>
  </si>
  <si>
    <t>GASKETS, PACKG &amp; SEALG DEVICES &amp; RUBBER &amp; PLASTICS HOSE</t>
  </si>
  <si>
    <t>FABRICATED RUBBER PRODUCTS, NEC</t>
  </si>
  <si>
    <t>MISCELLANEOUS PLASTICS PRODUCTS</t>
  </si>
  <si>
    <t>UNSUPPORTED PLASTICS FILM &amp; SHEET</t>
  </si>
  <si>
    <t>PLASTICS FOAM PRODUCTS</t>
  </si>
  <si>
    <t>PLASTICS PRODUCTS, NEC</t>
  </si>
  <si>
    <t>LEATHER &amp; LEATHER PRODUCTS</t>
  </si>
  <si>
    <t>FOOTWEAR, (NO RUBBER)</t>
  </si>
  <si>
    <t>FLAT GLASS</t>
  </si>
  <si>
    <t>GLASS &amp; GLASSWARE, PRESSED OR BLOWN</t>
  </si>
  <si>
    <t>GLASS CONTAINERS</t>
  </si>
  <si>
    <t>GLASS PRODUCTS, MADE OF PURCHASED GLASS</t>
  </si>
  <si>
    <t>CEMENT, HYDRAULIC</t>
  </si>
  <si>
    <t>STRUCTURAL CLAY PRODUCTS</t>
  </si>
  <si>
    <t>POTTERY &amp; RELATED PRODUCTS</t>
  </si>
  <si>
    <t>CONCRETE, GYPSUM &amp; PLASTER PRODUCTS</t>
  </si>
  <si>
    <t>CONCRETE PRODUCTS, EXCEPT BLOCK &amp; BRICK</t>
  </si>
  <si>
    <t>CUT STONE &amp; STONE PRODUCTS</t>
  </si>
  <si>
    <t>ABRASIVE, ASBESTOS &amp; MISC NONMETALLIC MINERAL PRODS</t>
  </si>
  <si>
    <t>STEEL WORKS, BLAST FURNACES &amp; ROLLING &amp; FINISHING MILLS</t>
  </si>
  <si>
    <t>STEEL WORKS, BLAST FURNACES &amp; ROLLING MILLS (COKE OVENS)</t>
  </si>
  <si>
    <t>STEEL PIPE &amp; TUBES</t>
  </si>
  <si>
    <t>IRON &amp; STEEL FOUNDRIES</t>
  </si>
  <si>
    <t>PRIMARY SMELTING &amp; REFINING OF NONFERROUS METALS</t>
  </si>
  <si>
    <t>PRIMARY PRODUCTION OF ALUMINUM</t>
  </si>
  <si>
    <t>SECONDARY SMELTING &amp; REFINING OF NONFERROUS METALS</t>
  </si>
  <si>
    <t>ROLLING DRAWING &amp; EXTRUDING OF NONFERROUS METALS</t>
  </si>
  <si>
    <t>DRAWING &amp; INSULATING OF NONFERROUS WIRE</t>
  </si>
  <si>
    <t>NONFERROUS FOUNDRIES (CASTINGS)</t>
  </si>
  <si>
    <t>MISCELLANEOUS PRIMARY METAL PRODUCTS</t>
  </si>
  <si>
    <t>METAL CANS</t>
  </si>
  <si>
    <t>METAL SHIPPING BARRELS, DRUMS, KEGS &amp; PAILS</t>
  </si>
  <si>
    <t>CUTLERY, HANDTOOLS &amp; GENERAL HARDWARE</t>
  </si>
  <si>
    <t>HEATING EQUIP, EXCEPT ELEC &amp; WARM AIR; &amp; PLUMBING FIXTURES</t>
  </si>
  <si>
    <t>HEATING EQUIPMENT, EXCEPT ELECTRIC &amp; WARM AIR FURNACES</t>
  </si>
  <si>
    <t>FABRICATED STRUCTURAL METAL PRODUCTS</t>
  </si>
  <si>
    <t>METAL DOORS, SASH, FRAMES, MOLDINGS &amp; TRIM</t>
  </si>
  <si>
    <t>FABRICATED PLATE WORK (BOILER SHOPS)</t>
  </si>
  <si>
    <t>SHEET METAL WORK</t>
  </si>
  <si>
    <t>PREFABRICATED METAL BUILDINGS &amp; COMPONENTS</t>
  </si>
  <si>
    <t>SCREW MACHINE PRODUCTS</t>
  </si>
  <si>
    <t>BOLTS, NUTS, SCREWS, RIVETS &amp; WASHERS</t>
  </si>
  <si>
    <t>METAL FORGINGS &amp; STAMPINGS</t>
  </si>
  <si>
    <t>COATING, ENGRAVING &amp; ALLIED SERVICES</t>
  </si>
  <si>
    <t>ORDNANCE &amp; ACCESSORIES, (NO VEHICLES/GUIDED MISSILES)</t>
  </si>
  <si>
    <t>MISCELLANEOUS FABRICATED METAL PRODUCTS</t>
  </si>
  <si>
    <t>Office of Technology</t>
  </si>
  <si>
    <t>ENGINES &amp; TURBINES</t>
  </si>
  <si>
    <t>FARM MACHINERY &amp; EQUIPMENT</t>
  </si>
  <si>
    <t>LAWN &amp; GARDEN TRACTORS &amp; HOME LAWN &amp; GARDENS EQUIP</t>
  </si>
  <si>
    <t>CONSTRUCTION, MINING &amp; MATERIALS HANDLING MACHINERY &amp; EQUIP</t>
  </si>
  <si>
    <t>CONSTRUCTION MACHINERY &amp; EQUIP</t>
  </si>
  <si>
    <t>MINING MACHINERY &amp; EQUIP (NO OIL &amp; GAS FIELD MACH &amp; EQUIP)</t>
  </si>
  <si>
    <t>OIL &amp; GAS FIELD MACHINERY &amp; EQUIPMENT</t>
  </si>
  <si>
    <t>INDUSTRIAL TRUCKS, TRACTORS, TRAILORS &amp; STACKERS</t>
  </si>
  <si>
    <t>METALWORKG MACHINERY &amp; EQUIPMENT</t>
  </si>
  <si>
    <t>MACHINE TOOLS, METAL CUTTING TYPES</t>
  </si>
  <si>
    <t>SPECIAL INDUSTRY MACHINERY (NO METALWORKING MACHINERY)</t>
  </si>
  <si>
    <t>PRINTING TRADES MACHINERY &amp; EQUIPMENT</t>
  </si>
  <si>
    <t>SPECIAL INDUSTRY MACHINERY, NEC</t>
  </si>
  <si>
    <t>GENERAL INDUSTRIAL MACHINERY &amp; EQUIPMENT</t>
  </si>
  <si>
    <t>PUMPS &amp; PUMPING EQUIPMENT</t>
  </si>
  <si>
    <t>BALL &amp; ROLLER BEARINGS</t>
  </si>
  <si>
    <t>INDUSTRIAL &amp; COMMERCIAL FANS &amp; BLOWERS &amp; AIR PURIFING EQUIP</t>
  </si>
  <si>
    <t>INDUSTRIAL PROCESS FURNACES &amp; OVENS</t>
  </si>
  <si>
    <t>GENERAL INDUSTRIAL MACHINERY &amp; EQUIPMENT, NEC</t>
  </si>
  <si>
    <t>COMPUTER &amp; OFFICE EQUIPMENT</t>
  </si>
  <si>
    <t>ELECTRONIC COMPUTERS</t>
  </si>
  <si>
    <t>COMPUTER STORAGE DEVICES</t>
  </si>
  <si>
    <t>COMPUTER TERMINALS</t>
  </si>
  <si>
    <t>COMPUTER COMMUNICATIONS EQUIPMENT</t>
  </si>
  <si>
    <t>COMPUTER PERIPHERAL EQUIPMENT, NEC</t>
  </si>
  <si>
    <t>CALCULATING &amp; ACCOUNTING MACHINES (NO ELECTRONIC COMPUTERS)</t>
  </si>
  <si>
    <t>OFFICE MACHINES, NEC</t>
  </si>
  <si>
    <t>REFRIGERATION &amp; SERVICE INDUSTRY MACHINERY</t>
  </si>
  <si>
    <t>AIR-COND &amp; WARM AIR HEATG EQUIP &amp; COMM &amp; INDL REFRIG EQUIP</t>
  </si>
  <si>
    <t>MISC INDUSTRIAL &amp; COMMERCIAL MACHINERY &amp; EQUIPMENT</t>
  </si>
  <si>
    <t>ELECTRONIC &amp; OTHER ELECTRICAL EQUIPMENT (NO COMPUTER EQUIP)</t>
  </si>
  <si>
    <t>POWER, DISTRIBUTION &amp; SPECIALTY TRANSFORMERS</t>
  </si>
  <si>
    <t>SWITCHGEAR &amp; SWITCHBOARD APPARATUS</t>
  </si>
  <si>
    <t>ELECTRICAL INDUSTRIAL APPARATUS</t>
  </si>
  <si>
    <t>MOTORS &amp; GENERATORS</t>
  </si>
  <si>
    <t>HOUSEHOLD APPLIANCES</t>
  </si>
  <si>
    <t>ELECTRIC HOUSEWARES &amp; FANS</t>
  </si>
  <si>
    <t>ELECTRIC LIGHTING &amp; WIRING EQUIPMENT</t>
  </si>
  <si>
    <t>HOUSEHOLD AUDIO &amp; VIDEO EQUIPMENT</t>
  </si>
  <si>
    <t>PHONOGRAPH RECORDS &amp; PRERECORDED AUDIO TAPES &amp; DISKS</t>
  </si>
  <si>
    <t>TELEPHONE &amp; TELEGRAPH APPARATUS</t>
  </si>
  <si>
    <t>RADIO &amp; TV BROADCASTING &amp; COMMUNICATIONS EQUIPMENT</t>
  </si>
  <si>
    <t>COMMUNICATIONS EQUIPMENT, NEC</t>
  </si>
  <si>
    <t>ELECTRONIC COMPONENTS &amp; ACCESSORIES</t>
  </si>
  <si>
    <t>PRINTED CIRCUIT BOARDS</t>
  </si>
  <si>
    <t>SEMICONDUCTORS &amp; RELATED DEVICES</t>
  </si>
  <si>
    <t>ELECTRONIC COILS, TRANSFORMERS &amp; OTHER INDUCTORS</t>
  </si>
  <si>
    <t>ELECTRONIC CONNECTORS</t>
  </si>
  <si>
    <t>ELECTRONIC COMPONENTS, NEC</t>
  </si>
  <si>
    <t>MISCELLANEOUS ELECTRICAL MACHINERY, EQUIPMENT &amp; SUPPLIES</t>
  </si>
  <si>
    <t>MAGNETIC &amp; OPTICAL RECORDING MEDIA</t>
  </si>
  <si>
    <t>MOTOR VEHICLES &amp; PASSENGER CAR BODIES</t>
  </si>
  <si>
    <t>TRUCK &amp; BUS BODIES</t>
  </si>
  <si>
    <t>MOTOR VEHICLE PARTS &amp; ACCESSORIES</t>
  </si>
  <si>
    <t>TRUCK TRAILERS</t>
  </si>
  <si>
    <t>MOTOR HOMES</t>
  </si>
  <si>
    <t>AIRCRAFT &amp; PARTS</t>
  </si>
  <si>
    <t>AIRCRAFT</t>
  </si>
  <si>
    <t>AIRCRAFT ENGINES &amp; ENGINE PARTS</t>
  </si>
  <si>
    <t>AIRCRAFT PARTS &amp; AUXILIARY EQUIPMENT, NEC</t>
  </si>
  <si>
    <t>SHIP &amp; BOAT BUILDING &amp; REPAIRING</t>
  </si>
  <si>
    <t>RAILROAD EQUIPMENT</t>
  </si>
  <si>
    <t>MOTORCYCLES, BICYCLES &amp; PARTS</t>
  </si>
  <si>
    <t>GUIDED MISSILES &amp; SPACE VEHICLES &amp; PARTS</t>
  </si>
  <si>
    <t>MISCELLANEOUS TRANSPORTATION EQUIPMENT</t>
  </si>
  <si>
    <t>SEARCH, DETECTION, NAVAGATION, GUIDANCE, AERONAUTICAL SYS</t>
  </si>
  <si>
    <t>LABORATORY APPARATUS &amp; FURNITURE</t>
  </si>
  <si>
    <t>AUTO CONTROLS FOR REGULATING RESIDENTIAL &amp; COMML ENVIRONMENTS</t>
  </si>
  <si>
    <t>INDUSTRIAL INSTRUMENTS FOR MEASUREMENT, DISPLAY, AND CONTROL</t>
  </si>
  <si>
    <t>TOTALIZING FLUID METERS &amp; COUNTING DEVICES</t>
  </si>
  <si>
    <t>INSTRUMENTS FOR MEAS &amp; TESTING OF ELECTRICITY &amp; ELEC SIGNALS</t>
  </si>
  <si>
    <t>LABORATORY ANALYTICAL INSTRUMENTS</t>
  </si>
  <si>
    <t>OPTICAL INSTRUMENTS &amp; LENSES</t>
  </si>
  <si>
    <t>MEASURING &amp; CONTROLLING DEVICES, NEC</t>
  </si>
  <si>
    <t>SURGICAL &amp; MEDICAL INSTRUMENTS &amp; APPARATUS</t>
  </si>
  <si>
    <t>ORTHOPEDIC, PROSTHETIC &amp; SURGICAL APPLIANCES &amp; SUPPLIES</t>
  </si>
  <si>
    <t>DENTAL EQUIPMENT &amp; SUPPLIES</t>
  </si>
  <si>
    <t>X-RAY APPARATUS &amp; TUBES &amp; RELATED IRRADIATION APPARATUS</t>
  </si>
  <si>
    <t>ELECTROMEDICAL &amp; ELECTROTHERAPEUTIC APPARATUS</t>
  </si>
  <si>
    <t>OPHTHALMIC GOODS</t>
  </si>
  <si>
    <t>PHOTOGRAPHIC EQUIPMENT &amp; SUPPLIES</t>
  </si>
  <si>
    <t>WATCHES, CLOCKS, CLOCKWORK OPERATED DEVICES/PARTS</t>
  </si>
  <si>
    <t>JEWELRY, SILVERWARE &amp; PLATED WARE</t>
  </si>
  <si>
    <t>JEWELRY, PRECIOUS METAL</t>
  </si>
  <si>
    <t>MUSICAL INSTRUMENTS</t>
  </si>
  <si>
    <t>DOLLS &amp; STUFFED TOYS</t>
  </si>
  <si>
    <t>GAMES, TOYS &amp; CHILDREN'S VEHICLES (NO DOLLS &amp; BICYCLES)</t>
  </si>
  <si>
    <t>SPORTING &amp; ATHLETIC GOODS, NEC</t>
  </si>
  <si>
    <t>PENS, PENCILS &amp; OTHER ARTISTS' MATERIALS</t>
  </si>
  <si>
    <t>COSTUME JEWELRY &amp; NOVELTIES</t>
  </si>
  <si>
    <t>MISCELLANEOUS MANUFACTURING INDUSTRIES</t>
  </si>
  <si>
    <t>RAILROADS, LINE-HAUL OPERATING</t>
  </si>
  <si>
    <t>RAILROAD SWITCHING &amp; TERMINAL ESTABLISHMENTS</t>
  </si>
  <si>
    <t>LOCAL &amp; SUBURBAN TRANSIT &amp; INTERURBAN HWY PASSENGER TRANS</t>
  </si>
  <si>
    <t>TRUCKING &amp; COURIER SERVICES (NO AIR)</t>
  </si>
  <si>
    <t>TRUCKING (NO LOCAL)</t>
  </si>
  <si>
    <t>PUBLIC WAREHOUSING &amp; STORAGE</t>
  </si>
  <si>
    <t>TERMINAL MAINTENANCE FACILITIES FOR MOTOR FREIGHT TRANSPORT</t>
  </si>
  <si>
    <t>WATER TRANSPORTATION</t>
  </si>
  <si>
    <t>DEEP SEA FOREIGN TRANSPORTATION OF FREIGHT</t>
  </si>
  <si>
    <t>AIR TRANSPORTATION, SCHEDULED</t>
  </si>
  <si>
    <t>AIR COURIER SERVICES</t>
  </si>
  <si>
    <t>AIR TRANSPORTATION, NONSCHEDULED</t>
  </si>
  <si>
    <t>AIRPORTS, FLYING FIELDS &amp; AIRPORT TERMINAL SERVICES</t>
  </si>
  <si>
    <t>PIPE LINES (NO NATURAL GAS)</t>
  </si>
  <si>
    <t>TRANSPORTATION SERVICES</t>
  </si>
  <si>
    <t>ARRANGEMENT OF TRANSPORTATION OF FREIGHT &amp; CARGO</t>
  </si>
  <si>
    <t>RADIOTELEPHONE COMMUNICATIONS</t>
  </si>
  <si>
    <t>TELEPHONE COMMUNICATIONS (NO RADIOTELEPHONE)</t>
  </si>
  <si>
    <t>TELEGRAPH &amp; OTHER MESSAGE COMMUNICATIONS</t>
  </si>
  <si>
    <t>RADIO BROADCASTING STATIONS</t>
  </si>
  <si>
    <t>TELEVISION BROADCASTING STATIONS</t>
  </si>
  <si>
    <t>CABLE &amp; OTHER PAY TELEVISION SERVICES</t>
  </si>
  <si>
    <t>COMMUNICATIONS SERVICES, NEC</t>
  </si>
  <si>
    <t>ELECTRIC, GAS &amp; SANITARY SERVICES</t>
  </si>
  <si>
    <t>ELECTRIC SERVICES</t>
  </si>
  <si>
    <t>NATURAL GAS TRANSMISSION</t>
  </si>
  <si>
    <t>NATURAL GAS TRANSMISISON &amp; DISTRIBUTION</t>
  </si>
  <si>
    <t>NATURAL GAS DISTRIBUTION</t>
  </si>
  <si>
    <t>ELECTRIC &amp; OTHER SERVICES COMBINED</t>
  </si>
  <si>
    <t>GAS &amp; OTHER SERVICES COMBINED</t>
  </si>
  <si>
    <t>WATER SUPPLY</t>
  </si>
  <si>
    <t>SANITARY SERVICES</t>
  </si>
  <si>
    <t>REFUSE SYSTEMS</t>
  </si>
  <si>
    <t>HAZARDOUS WASTE MANAGEMENT</t>
  </si>
  <si>
    <t>STEAM &amp; AIR-CONDITIONING SUPPLY</t>
  </si>
  <si>
    <t>COGENERATION SERVICES &amp; SMALL POWER PRODUCERS</t>
  </si>
  <si>
    <t>Office of Trade &amp; Services</t>
  </si>
  <si>
    <t>WHOLESALE-DURABLE GOODS</t>
  </si>
  <si>
    <t>WHOLESALE-MOTOR VEHICLES &amp; MOTOR VEHICLE PARTS &amp; SUPPLIES</t>
  </si>
  <si>
    <t>WHOLESALE-MOTOR VEHICLE SUPPLIES &amp; NEW PARTS</t>
  </si>
  <si>
    <t>WHOLESALE-FURNITURE &amp; HOME FURNISHINGS</t>
  </si>
  <si>
    <t>WHOLESALE-LUMBER &amp; OTHER CONSTRUCTION MATERIALS</t>
  </si>
  <si>
    <t>WHOLESALE-LUMBER, PLYWOOD, MILLWORK &amp; WOOD PANELS</t>
  </si>
  <si>
    <t>WHOLESALE-PROFESSIONAL &amp; COMMERCIAL EQUIPMENT &amp; SUPPLIES</t>
  </si>
  <si>
    <t>WHOLESALE-COMPUTERS &amp; PERIPHERAL EQUIPMENT &amp; SOFTWARE</t>
  </si>
  <si>
    <t>WHOLESALE-MEDICAL, DENTAL &amp; HOSPITAL EQUIPMENT &amp; SUPPLIES</t>
  </si>
  <si>
    <t>WHOLESALE-METALS &amp; MINERALS (NO PETROLEUM)</t>
  </si>
  <si>
    <t>WHOLESALE-METALS SERVICE CENTERS &amp; OFFICES</t>
  </si>
  <si>
    <t>WHOLESALE-ELECTRICAL APPARATUS &amp; EQUIPMENT, WIRING SUPPLIES</t>
  </si>
  <si>
    <t>WHOLESALE-ELECTRICAL APPLIANCES, TV &amp; RADIO SETS</t>
  </si>
  <si>
    <t>WHOLESALE-ELECTRONIC PARTS &amp; EQUIPMENT, NEC</t>
  </si>
  <si>
    <t>WHOLESALE-HARDWARE &amp; PLUMBING &amp; HEATING EQUIPMENT &amp; SUPPLIES</t>
  </si>
  <si>
    <t>WHOLESALE-HARDWARE</t>
  </si>
  <si>
    <t>WHOLESALE-MACHINERY, EQUIPMENT &amp; SUPPLIES</t>
  </si>
  <si>
    <t>WHOLESALE-CONSTRUCTION &amp; MINING (NO PETRO) MACHINERY &amp; EQUIP</t>
  </si>
  <si>
    <t>WHOLESALE-INDUSTRIAL MACHINERY &amp; EQUIPMENT</t>
  </si>
  <si>
    <t>WHOLESALE-MISC DURABLE GOODS</t>
  </si>
  <si>
    <t>WHOLESALE-JEWELRY, WATCHES, PRECIOUS STONES &amp; METALS</t>
  </si>
  <si>
    <t>WHOLESALE-DURABLE GOODS, NEC</t>
  </si>
  <si>
    <t>WHOLESALE-PAPER &amp; PAPER PRODUCTS</t>
  </si>
  <si>
    <t>WHOLESALE-DRUGS, PROPRIETARIES &amp; DRUGGISTS' SUNDRIES</t>
  </si>
  <si>
    <t>WHOLESALE-APPAREL, PIECE GOODS &amp; NOTIONS</t>
  </si>
  <si>
    <t>WHOLESALE-GROCERIES &amp; RELATED PRODUCTS</t>
  </si>
  <si>
    <t>WHOLESALE-GROCERIES, GENERAL LINE</t>
  </si>
  <si>
    <t>WHOLESALE-FARM PRODUCT RAW MATERIALS</t>
  </si>
  <si>
    <t>WHOLESALE-CHEMICALS &amp; ALLIED PRODUCTS</t>
  </si>
  <si>
    <t>WHOLESALE-PETROLEUM BULK STATIONS &amp; TERMINALS</t>
  </si>
  <si>
    <t>WHOLESALE-PETROLEUM &amp; PETROLEUM PRODUCTS (NO BULK STATIONS)</t>
  </si>
  <si>
    <t>WHOLESALE-BEER, WINE &amp; DISTILLED ALCOHOLIC BEVERAGES</t>
  </si>
  <si>
    <t>WHOLESALE-MISCELLANEOUS NONDURABLE GOODS</t>
  </si>
  <si>
    <t>RETAIL-BUILDING MATERIALS, HARDWARE, GARDEN SUPPLY</t>
  </si>
  <si>
    <t>RETAIL-LUMBER &amp; OTHER BUILDING MATERIALS DEALERS</t>
  </si>
  <si>
    <t>RETAIL-MOBILE HOME DEALERS</t>
  </si>
  <si>
    <t>RETAIL-DEPARTMENT STORES</t>
  </si>
  <si>
    <t>RETAIL-VARIETY STORES</t>
  </si>
  <si>
    <t>RETAIL-MISC GENERAL MERCHANDISE STORES</t>
  </si>
  <si>
    <t>RETAIL-FOOD STORES</t>
  </si>
  <si>
    <t>RETAIL-GROCERY STORES</t>
  </si>
  <si>
    <t>RETAIL-CONVENIENCE STORES</t>
  </si>
  <si>
    <t>RETAIL-AUTO DEALERS &amp; GASOLINE STATIONS</t>
  </si>
  <si>
    <t>RETAIL-AUTO &amp; HOME SUPPLY STORES</t>
  </si>
  <si>
    <t>RETAIL-APPAREL &amp; ACCESSORY STORES</t>
  </si>
  <si>
    <t>RETAIL-WOMEN'S CLOTHING STORES</t>
  </si>
  <si>
    <t>RETAIL-FAMILY CLOTHING STORES</t>
  </si>
  <si>
    <t>RETAIL-SHOE STORES</t>
  </si>
  <si>
    <t>RETAIL-HOME FURNITURE, FURNISHINGS &amp; EQUIPMENT STORES</t>
  </si>
  <si>
    <t>RETAIL-FURNITURE STORES</t>
  </si>
  <si>
    <t>RETAIL-RADIO, TV &amp; CONSUMER ELECTRONICS STORES</t>
  </si>
  <si>
    <t>RETAIL-COMPUTER &amp; COMPUTER SOFTWARE STORES</t>
  </si>
  <si>
    <t>RETAIL-RECORD &amp; PRERECORDED TAPE STORES</t>
  </si>
  <si>
    <t>RETAIL-EATING &amp; DRINKING PLACES</t>
  </si>
  <si>
    <t>RETAIL-EATING PLACES</t>
  </si>
  <si>
    <t>RETAIL-MISCELLANEOUS RETAIL</t>
  </si>
  <si>
    <t>RETAIL-DRUG STORES AND PROPRIETARY STORES</t>
  </si>
  <si>
    <t>RETAIL-MISCELLANEOUS SHOPPING GOODS STORES</t>
  </si>
  <si>
    <t>RETAIL-JEWELRY STORES</t>
  </si>
  <si>
    <t>RETAIL-HOBBY, TOY &amp; GAME SHOPS</t>
  </si>
  <si>
    <t>RETAIL-NONSTORE RETAILERS</t>
  </si>
  <si>
    <t>RETAIL-CATALOG &amp; MAIL-ORDER HOUSES</t>
  </si>
  <si>
    <t>RETAIL-RETAIL STORES, NEC</t>
  </si>
  <si>
    <t>Office of Finance</t>
  </si>
  <si>
    <t>NATIONAL COMMERCIAL BANKS</t>
  </si>
  <si>
    <t>STATE COMMERCIAL BANKS</t>
  </si>
  <si>
    <t>COMMERCIAL BANKS, NEC</t>
  </si>
  <si>
    <t>SAVINGS INSTITUTION, FEDERALLY CHARTERED</t>
  </si>
  <si>
    <t>SAVINGS INSTITUTIONS, NOT FEDERALLY CHARTERED</t>
  </si>
  <si>
    <t>FUNCTIONS RELATED TO DEPOSITORY BANKING, NEC</t>
  </si>
  <si>
    <t>FEDERAL &amp; FEDERALLY-SPONSORED CREDIT AGENCIES</t>
  </si>
  <si>
    <t>PERSONAL CREDIT INSTITUTIONS</t>
  </si>
  <si>
    <t>SHORT-TERM BUSINESS CREDIT INSTITUTIONS</t>
  </si>
  <si>
    <t>MISCELLANEOUS BUSINESS CREDIT INSTITUTION</t>
  </si>
  <si>
    <t>MORTGAGE BANKERS &amp; LOAN CORRESPONDENTS</t>
  </si>
  <si>
    <t>LOAN BROKERS</t>
  </si>
  <si>
    <t>FINANCE LESSORS</t>
  </si>
  <si>
    <t>Office of Structured Finance</t>
  </si>
  <si>
    <t>ASSET-BACKED SECURITIES</t>
  </si>
  <si>
    <t>Office of Finance or Office of Crypto Assets</t>
  </si>
  <si>
    <t>FINANCE SERVICES</t>
  </si>
  <si>
    <t>SECURITY &amp; COMMODITY BROKERS, DEALERS, EXCHANGES &amp; SERVICES</t>
  </si>
  <si>
    <t>SECURITY BROKERS, DEALERS &amp; FLOTATION COMPANIES</t>
  </si>
  <si>
    <t>Office of Crypto Assets</t>
  </si>
  <si>
    <t>COMMODITY CONTRACTS BROKERS &amp; DEALERS</t>
  </si>
  <si>
    <t>INVESTMENT ADVICE</t>
  </si>
  <si>
    <t>LIFE INSURANCE</t>
  </si>
  <si>
    <t>ACCIDENT &amp; HEALTH INSURANCE</t>
  </si>
  <si>
    <t>HOSPITAL &amp; MEDICAL SERVICE PLANS</t>
  </si>
  <si>
    <t>FIRE, MARINE &amp; CASUALTY INSURANCE</t>
  </si>
  <si>
    <t>SURETY INSURANCE</t>
  </si>
  <si>
    <t>TITLE INSURANCE</t>
  </si>
  <si>
    <t>INSURANCE CARRIERS, NEC</t>
  </si>
  <si>
    <t>INSURANCE AGENTS, BROKERS &amp; SERVICE</t>
  </si>
  <si>
    <t>REAL ESTATE</t>
  </si>
  <si>
    <t>REAL ESTATE OPERATORS (NO DEVELOPERS) &amp; LESSORS</t>
  </si>
  <si>
    <t>OPERATORS OF NONRESIDENTIAL BUILDINGS</t>
  </si>
  <si>
    <t>OPERATORS OF APARTMENT BUILDINGS</t>
  </si>
  <si>
    <t>LESSORS OF REAL PROPERTY, NEC</t>
  </si>
  <si>
    <t>REAL ESTATE AGENTS &amp; MANAGERS (FOR OTHERS)</t>
  </si>
  <si>
    <t>REAL ESTATE DEALERS (FOR THEIR OWN ACCOUNT)</t>
  </si>
  <si>
    <t>LAND SUBDIVIDERS &amp; DEVELOPERS (NO CEMETERIES)</t>
  </si>
  <si>
    <t>BLANK CHECKS</t>
  </si>
  <si>
    <t>OIL ROYALTY TRADERS</t>
  </si>
  <si>
    <t>PATENT OWNERS &amp; LESSORS</t>
  </si>
  <si>
    <t>MINERAL ROYALTY TRADERS</t>
  </si>
  <si>
    <t>REAL ESTATE INVESTMENT TRUSTS</t>
  </si>
  <si>
    <t>INVESTORS, NEC</t>
  </si>
  <si>
    <t>HOTELS, ROOMING HOUSES, CAMPS &amp; OTHER LODGING PLACES</t>
  </si>
  <si>
    <t>HOTELS &amp; MOTELS</t>
  </si>
  <si>
    <t>SERVICES-PERSONAL SERVICES</t>
  </si>
  <si>
    <t>SERVICES-ADVERTISING</t>
  </si>
  <si>
    <t>SERVICES-ADVERTISING AGENCIES</t>
  </si>
  <si>
    <t>SERVICES-CONSUMER CREDIT REPORTING, COLLECTION AGENCIES</t>
  </si>
  <si>
    <t>SERVICES-MAILING, REPRODUCTION, COMMERCIAL ART &amp; PHOTOGRAPHY</t>
  </si>
  <si>
    <t>SERVICES-DIRECT MAIL ADVERTISING SERVICES</t>
  </si>
  <si>
    <t>SERVICES-TO DWELLINGS &amp; OTHER BUILDINGS</t>
  </si>
  <si>
    <t>SERVICES-MISCELLANEOUS EQUIPMENT RENTAL &amp; LEASING</t>
  </si>
  <si>
    <t>SERVICES-EQUIPMENT RENTAL &amp; LEASING, NEC</t>
  </si>
  <si>
    <t>SERVICES-EMPLOYMENT AGENCIES</t>
  </si>
  <si>
    <t>SERVICES-HELP SUPPLY SERVICES</t>
  </si>
  <si>
    <t>SERVICES-COMPUTER PROGRAMMING, DATA PROCESSING, ETC.</t>
  </si>
  <si>
    <t>SERVICES-COMPUTER PROGRAMMING SERVICES</t>
  </si>
  <si>
    <t>SERVICES-PREPACKAGED SOFTWARE</t>
  </si>
  <si>
    <t>SERVICES-COMPUTER INTEGRATED SYSTEMS DESIGN</t>
  </si>
  <si>
    <t>SERVICES-COMPUTER PROCESSING &amp; DATA PREPARATION</t>
  </si>
  <si>
    <t>SERVICES-COMPUTER RENTAL &amp; LEASING</t>
  </si>
  <si>
    <t>SERVICES-MISCELLANEOUS BUSINESS SERVICES</t>
  </si>
  <si>
    <t>SERVICES-DETECTIVE, GUARD &amp; ARMORED CAR SERVICES</t>
  </si>
  <si>
    <t>SERVICES-PHOTOFINISHING LABORATORIES</t>
  </si>
  <si>
    <t>SERVICES-TELEPHONE INTERCONNECT SYSTEMS</t>
  </si>
  <si>
    <t>SERVICES-BUSINESS SERVICES, NEC</t>
  </si>
  <si>
    <t>SERVICES-AUTOMOTIVE REPAIR, SERVICES &amp; PARKING</t>
  </si>
  <si>
    <t>SERVICES-AUTO RENTAL &amp; LEASING (NO DRIVERS)</t>
  </si>
  <si>
    <t>SERVICES-MISCELLANEOUS REPAIR SERVICES</t>
  </si>
  <si>
    <t>SERVICES-MOTION PICTURE &amp; VIDEO TAPE PRODUCTION</t>
  </si>
  <si>
    <t>SERVICES-ALLIED TO MOTION PICTURE PRODUCTION</t>
  </si>
  <si>
    <t>SERVICES-MOTION PICTURE &amp; VIDEO TAPE DISTRIBUTION</t>
  </si>
  <si>
    <t>SERVICES-ALLIED TO MOTION PICTURE DISTRIBUTION</t>
  </si>
  <si>
    <t>SERVICES-MOTION PICTURE THEATERS</t>
  </si>
  <si>
    <t>SERVICES-VIDEO TAPE RENTAL</t>
  </si>
  <si>
    <t>SERVICES-AMUSEMENT &amp; RECREATION SERVICES</t>
  </si>
  <si>
    <t>SERVICES-RACING, INCLUDING TRACK OPERATION</t>
  </si>
  <si>
    <t>SERVICES-MISCELLANEOUS AMUSEMENT &amp; RECREATION</t>
  </si>
  <si>
    <t>SERVICES-MEMBERSHIP SPORTS &amp; RECREATION CLUBS</t>
  </si>
  <si>
    <t>SERVICES-HEALTH SERVICES</t>
  </si>
  <si>
    <t>SERVICES-OFFICES &amp; CLINICS OF DOCTORS OF MEDICINE</t>
  </si>
  <si>
    <t>SERVICES-NURSING &amp; PERSONAL CARE FACILITIES</t>
  </si>
  <si>
    <t>SERVICES-SKILLED NURSING CARE FACILITIES</t>
  </si>
  <si>
    <t>SERVICES-HOSPITALS</t>
  </si>
  <si>
    <t>SERVICES-GENERAL MEDICAL &amp; SURGICAL HOSPITALS, NEC</t>
  </si>
  <si>
    <t>SERVICES-MEDICAL LABORATORIES</t>
  </si>
  <si>
    <t>SERVICES-HOME HEALTH CARE SERVICES</t>
  </si>
  <si>
    <t>SERVICES-MISC HEALTH &amp; ALLIED SERVICES, NEC</t>
  </si>
  <si>
    <t>SERVICES-SPECIALTY OUTPATIENT FACILITIES, NEC</t>
  </si>
  <si>
    <t>SERVICES-LEGAL SERVICES</t>
  </si>
  <si>
    <t>SERVICES-EDUCATIONAL SERVICES</t>
  </si>
  <si>
    <t>SERVICES-SOCIAL SERVICES</t>
  </si>
  <si>
    <t>SERVICES-CHILD DAY CARE SERVICES</t>
  </si>
  <si>
    <t>SERVICES-MEMBERSHIP ORGANIZATIONS</t>
  </si>
  <si>
    <t>SERVICES-ENGINEERING, ACCOUNTING, RESEARCH, MANAGEMENT</t>
  </si>
  <si>
    <t>SERVICES-ENGINEERING SERVICES</t>
  </si>
  <si>
    <t>SERVICES-COMMERCIAL PHYSICAL &amp; BIOLOGICAL RESEARCH</t>
  </si>
  <si>
    <t>SERVICES-TESTING LABORATORIES</t>
  </si>
  <si>
    <t>SERVICES-MANAGEMENT SERVICES</t>
  </si>
  <si>
    <t>SERVICES-MANAGEMENT CONSULTING SERVICES</t>
  </si>
  <si>
    <t>SERVICES-FACILITIES SUPPORT MANAGEMENT SERVICES</t>
  </si>
  <si>
    <t>Office of International Corp Fin</t>
  </si>
  <si>
    <t>AMERICAN DEPOSITARY RECEIPTS</t>
  </si>
  <si>
    <t>FOREIGN GOVERNMENTS</t>
  </si>
  <si>
    <t>SERVICES-SERVICES, NEC</t>
  </si>
  <si>
    <t>INTERNATIONAL AFFAIRS</t>
  </si>
  <si>
    <t>NON-OPERATING ESTABLISHMENTS</t>
  </si>
  <si>
    <t>VXV</t>
  </si>
  <si>
    <t>ILV</t>
  </si>
  <si>
    <t>AIOZ</t>
  </si>
  <si>
    <t>STOS</t>
  </si>
  <si>
    <t>Victoria VR</t>
  </si>
  <si>
    <t>in good buy zone</t>
  </si>
  <si>
    <t>Koinos</t>
  </si>
  <si>
    <t>High % of jacksons port. Have to use MEXC, and VPN. MetaMask</t>
  </si>
  <si>
    <t>BENQI</t>
  </si>
  <si>
    <t>Octopus Network</t>
  </si>
  <si>
    <t>Phase 1: Discovery –</t>
  </si>
  <si>
    <t>The data science team learn and investigate the problem.</t>
  </si>
  <si>
    <t>Develop context and understanding.</t>
  </si>
  <si>
    <t>Extract, transform, and load (ETL)</t>
  </si>
  <si>
    <t>Come to know about data sources needed and available for the project.</t>
  </si>
  <si>
    <t>The team formulates initial hypothesis that can be later tested with data.</t>
  </si>
  <si>
    <t>Phase 2: Data Preparation –</t>
  </si>
  <si>
    <t>Steps to explore, preprocess, and condition data prior to modeling and analysis.</t>
  </si>
  <si>
    <t>It requires the presence of an analytic sandbox, the team execute, load, and transform, to get data into the sandbox.</t>
  </si>
  <si>
    <t>Data preparation tasks are likely to be performed multiple times and not in predefined order.</t>
  </si>
  <si>
    <t>Several tools commonly used for this phase are – Hadoop, Alpine Miner, Open Refine, etc.</t>
  </si>
  <si>
    <t>Phase 3: Model Planning –</t>
  </si>
  <si>
    <t>Team explores data to learn about relationships between variables and subsequently, selects key variables and the most suitable models.</t>
  </si>
  <si>
    <t>In this phase, data science team develop data sets for training, testing, and production purposes.</t>
  </si>
  <si>
    <t>Team builds and executes models based on the work done in the model planning phase.</t>
  </si>
  <si>
    <t>Several tools commonly used for this phase are – Matlab, STASTICA.</t>
  </si>
  <si>
    <t>Phase 4: Model Building –</t>
  </si>
  <si>
    <t>Team develops datasets for testing, training, and production purposes.</t>
  </si>
  <si>
    <t>Team also considers whether its existing tools will suffice for running the models or if they need more robust environment for executing models.</t>
  </si>
  <si>
    <t>Free or open-source tools – Rand PL/R, Octave, WEKA.</t>
  </si>
  <si>
    <t>Commercial tools – Matlab , STASTICA.</t>
  </si>
  <si>
    <t>Phase 5: Communication Results –</t>
  </si>
  <si>
    <t>After executing model team need to compare outcomes of modeling to criteria established for success and failure.</t>
  </si>
  <si>
    <t>Team considers how best to articulate findings and outcomes to various team members and stakeholders, taking into account warning, assumptions.</t>
  </si>
  <si>
    <t>Team should identify key findings, quantify business value, and develop narrative to summarize and convey findings to stakeholders.</t>
  </si>
  <si>
    <t>Phase 6: Operationalize –</t>
  </si>
  <si>
    <t>The team communicates benefits of project more broadly and sets up pilot project to deploy work in controlled way before broadening the work to full enterprise of users.</t>
  </si>
  <si>
    <t>This approach enables team to learn about performance and related constraints of the model in production environment on small scale &amp;nbsp, and make adjustments before full deployment.</t>
  </si>
  <si>
    <t>The team delivers final reports, briefings, codes.</t>
  </si>
  <si>
    <t>Free or open source tools – Octave, WEKA, SQL, MADlib.</t>
  </si>
  <si>
    <t>Guest Name</t>
  </si>
  <si>
    <t>Dietary Restriction</t>
  </si>
  <si>
    <t>Sent Invitation</t>
  </si>
  <si>
    <t>Table Number</t>
  </si>
  <si>
    <t>David</t>
  </si>
  <si>
    <t>Vegetarian</t>
  </si>
  <si>
    <t>Yellow highlight indicates a formula exists in cell</t>
  </si>
  <si>
    <t>Bob</t>
  </si>
  <si>
    <t>None</t>
  </si>
  <si>
    <t>Red highlight indicates the intended formula output</t>
  </si>
  <si>
    <t>Returns the content of a cell, specified by row and column offset.</t>
  </si>
  <si>
    <t xml:space="preserve">INDEX and MATCH </t>
  </si>
  <si>
    <t>david</t>
  </si>
  <si>
    <t>Nancy</t>
  </si>
  <si>
    <t>Examples</t>
  </si>
  <si>
    <t>Mary</t>
  </si>
  <si>
    <t>Make a copy</t>
  </si>
  <si>
    <t>INDEX(reference,row,column)</t>
  </si>
  <si>
    <t>Formula Output</t>
  </si>
  <si>
    <t>index(A2:d6,2,1)</t>
  </si>
  <si>
    <t>INDEX(A1:D6, 6, 2)</t>
  </si>
  <si>
    <t>INDEX MATCH USE CASE</t>
  </si>
  <si>
    <t>Returns the cell(s) found by index value into the referenced range.</t>
  </si>
  <si>
    <t>Sample Usage</t>
  </si>
  <si>
    <t>INDEX(A1:C20, 5, 1)</t>
  </si>
  <si>
    <t>Syntax</t>
  </si>
  <si>
    <t>INDEX(reference, [row], [column])</t>
  </si>
  <si>
    <t>Goal</t>
  </si>
  <si>
    <t>Comment</t>
  </si>
  <si>
    <t>reference - The range of cells from which the values are returned.</t>
  </si>
  <si>
    <t>Find Mary's Dietary Restriction</t>
  </si>
  <si>
    <t>Both search key and index are hardcoded</t>
  </si>
  <si>
    <t>Row number is dynamic &amp; column number is hardcoded</t>
  </si>
  <si>
    <t>row - [OPTIONAL - 0 by default] - The index of the row to be returned from within the reference range of cells.</t>
  </si>
  <si>
    <t>Both row number &amp; column number are dynamic</t>
  </si>
  <si>
    <t>Find Who is at Table Number 2</t>
  </si>
  <si>
    <t>Using VLOOKUP, this would not be possible</t>
  </si>
  <si>
    <t>N/A</t>
  </si>
  <si>
    <t>VLOOKUP can only be used when the lookup value is to the left of the desired attribute to return</t>
  </si>
  <si>
    <t>column - [OPTIONAL - 0 by default] - The index of the column to be returned from within the reference range of cells.</t>
  </si>
  <si>
    <t>INDEX and MATCH can be used regardless of where the lookup value is located relative to the desired attribute to return</t>
  </si>
  <si>
    <t>Using INDEX and Match</t>
  </si>
  <si>
    <t>See Also</t>
  </si>
  <si>
    <t>MATCH: Returns the relative position of an item in a range that matches a specified value.</t>
  </si>
  <si>
    <t>OFFSET: Returns a range reference shifted a specified number of rows and columns from a starting cell reference.</t>
  </si>
  <si>
    <t>Notes</t>
  </si>
  <si>
    <t>If you set row or column to 0, INDEX returns the array of values for the entire column or row, respectively.</t>
  </si>
  <si>
    <t>Date updated:</t>
  </si>
  <si>
    <t>YouTube Video explaining estimation choices and process.</t>
  </si>
  <si>
    <t>Created by:</t>
  </si>
  <si>
    <t>Aswath Damodaran, adamodar@stern.nyu.edu</t>
  </si>
  <si>
    <t>if you are looking for a pure-play beta, i.e., a beta for a  business, the unlevered beta corrected for cash is your best bet. Since even sector betas can move over time, I have also reported the average of the this sector beta across time in the last column. This number, for obvious reasons, is less likely to be volatile over time.</t>
  </si>
  <si>
    <t>What is this data?</t>
  </si>
  <si>
    <t>Beta, Unlevered beta and other risk measures</t>
  </si>
  <si>
    <t>US companies</t>
  </si>
  <si>
    <t>Home Page:</t>
  </si>
  <si>
    <t>http://www.damodaran.com</t>
  </si>
  <si>
    <t>Data website:</t>
  </si>
  <si>
    <t>https://pages.stern.nyu.edu/~adamodar/New_Home_Page/data.html</t>
  </si>
  <si>
    <t>Companies in each industry:</t>
  </si>
  <si>
    <t>https://pages.stern.nyu.edu/~adamodar/pc/datasets/indname.xls</t>
  </si>
  <si>
    <t>Variable definitions:</t>
  </si>
  <si>
    <t>https://pages.stern.nyu.edu/~adamodar/New_Home_Page/datafile/variable.htm</t>
  </si>
  <si>
    <t>Do you want to use marginal or effective tax rates in unlevering betas?</t>
  </si>
  <si>
    <t>Marginal</t>
  </si>
  <si>
    <t>If marginal tax rate, enter the marginal tax rate to use</t>
  </si>
  <si>
    <t>Unlevered beta corrected for cash - Over time</t>
  </si>
  <si>
    <t>Industry Name</t>
  </si>
  <si>
    <t>Number of firms</t>
  </si>
  <si>
    <t xml:space="preserve">Beta </t>
  </si>
  <si>
    <t>D/E Ratio</t>
  </si>
  <si>
    <t>Effective Tax rate</t>
  </si>
  <si>
    <t>Unlevered beta</t>
  </si>
  <si>
    <t>Cash/Firm value</t>
  </si>
  <si>
    <t>Unlevered beta corrected for cash</t>
  </si>
  <si>
    <t>HiLo Risk</t>
  </si>
  <si>
    <t>Standard deviation of equity</t>
  </si>
  <si>
    <t>Standard deviation in operating income (last 10 years)</t>
  </si>
  <si>
    <t>2019</t>
  </si>
  <si>
    <t>2020</t>
  </si>
  <si>
    <t>2021</t>
  </si>
  <si>
    <t>2022</t>
  </si>
  <si>
    <t>Average (2019-23)</t>
  </si>
  <si>
    <t>Software (Entertainment)</t>
  </si>
  <si>
    <t>Shoe</t>
  </si>
  <si>
    <t>Software (System &amp; Application)</t>
  </si>
  <si>
    <t>Computers/Peripherals</t>
  </si>
  <si>
    <t>Semiconductor</t>
  </si>
  <si>
    <t>Oil/Gas (Integrated)</t>
  </si>
  <si>
    <t>Telecom. Equipment</t>
  </si>
  <si>
    <t>Semiconductor Equip</t>
  </si>
  <si>
    <t>Healthcare Products</t>
  </si>
  <si>
    <t>Information Services</t>
  </si>
  <si>
    <t>Drugs (Pharmaceutical)</t>
  </si>
  <si>
    <t>Heathcare Information and Technology</t>
  </si>
  <si>
    <t>Beverage (Soft)</t>
  </si>
  <si>
    <t>Drugs (Biotechnology)</t>
  </si>
  <si>
    <t>Household Products</t>
  </si>
  <si>
    <t>Electronics (Consumer &amp; Office)</t>
  </si>
  <si>
    <t>Software (Internet)</t>
  </si>
  <si>
    <t>Electronics (General)</t>
  </si>
  <si>
    <t>Retail (Online)</t>
  </si>
  <si>
    <t>Retail (General)</t>
  </si>
  <si>
    <t>Oil/Gas (Production and Exploration)</t>
  </si>
  <si>
    <t>Machinery</t>
  </si>
  <si>
    <t>Retail (Building Supply)</t>
  </si>
  <si>
    <t>Diversified</t>
  </si>
  <si>
    <t>Insurance (Prop/Cas.)</t>
  </si>
  <si>
    <t>Metals &amp; Mining</t>
  </si>
  <si>
    <t>Coal &amp; Related Energy</t>
  </si>
  <si>
    <t>Electrical Equipment</t>
  </si>
  <si>
    <t>Beverage (Alcoholic)</t>
  </si>
  <si>
    <t>Healthcare Support Services</t>
  </si>
  <si>
    <t>Environmental &amp; Waste Services</t>
  </si>
  <si>
    <t>Aerospace/Defense</t>
  </si>
  <si>
    <t>Total Market (without financials)</t>
  </si>
  <si>
    <t>Chemical (Specialty)</t>
  </si>
  <si>
    <t>Transportation (Railroads)</t>
  </si>
  <si>
    <t>Business &amp; Consumer Services</t>
  </si>
  <si>
    <t>Steel</t>
  </si>
  <si>
    <t>Food Processing</t>
  </si>
  <si>
    <t>Transportation</t>
  </si>
  <si>
    <t>Construction Supplies</t>
  </si>
  <si>
    <t>Insurance (General)</t>
  </si>
  <si>
    <t>Education</t>
  </si>
  <si>
    <t>Restaurant/Dining</t>
  </si>
  <si>
    <t>Engineering/Construction</t>
  </si>
  <si>
    <t>Computer Services</t>
  </si>
  <si>
    <t>Oilfield Svcs/Equip.</t>
  </si>
  <si>
    <t>Entertainment</t>
  </si>
  <si>
    <t>Farming/Agriculture</t>
  </si>
  <si>
    <t>Investments &amp; Asset Management</t>
  </si>
  <si>
    <t>Shipbuilding &amp; Marine</t>
  </si>
  <si>
    <t>Retail (Special Lines)</t>
  </si>
  <si>
    <t>Retail (Distributors)</t>
  </si>
  <si>
    <t>Real Estate (General/Diversified)</t>
  </si>
  <si>
    <t>Publishing &amp; Newspapers</t>
  </si>
  <si>
    <t>Auto Parts</t>
  </si>
  <si>
    <t>Utility (Water)</t>
  </si>
  <si>
    <t>Paper/Forest Products</t>
  </si>
  <si>
    <t>Trucking</t>
  </si>
  <si>
    <t>Reinsurance</t>
  </si>
  <si>
    <t>Food Wholesalers</t>
  </si>
  <si>
    <t>Chemical (Basic)</t>
  </si>
  <si>
    <t>Auto &amp; Truck</t>
  </si>
  <si>
    <t>Recreation</t>
  </si>
  <si>
    <t>Total Market</t>
  </si>
  <si>
    <t>Furn/Home Furnishings</t>
  </si>
  <si>
    <t>Retail (Automotive)</t>
  </si>
  <si>
    <t>Chemical (Diversified)</t>
  </si>
  <si>
    <t>Packaging &amp; Container</t>
  </si>
  <si>
    <t>Banks (Regional)</t>
  </si>
  <si>
    <t>Telecom (Wireless)</t>
  </si>
  <si>
    <t>Retail (Grocery and Food)</t>
  </si>
  <si>
    <t>Hotel/Gaming</t>
  </si>
  <si>
    <t>Office Equipment &amp; Services</t>
  </si>
  <si>
    <t>Oil/Gas Distribution</t>
  </si>
  <si>
    <t>Utility (General)</t>
  </si>
  <si>
    <t>Power</t>
  </si>
  <si>
    <t>R.E.I.T.</t>
  </si>
  <si>
    <t>Hospitals/Healthcare Facilities</t>
  </si>
  <si>
    <t>Insurance (Life)</t>
  </si>
  <si>
    <t>Cable TV</t>
  </si>
  <si>
    <t>Real Estate (Operations &amp; Services)</t>
  </si>
  <si>
    <t>Real Estate (Development)</t>
  </si>
  <si>
    <t>Telecom. Services</t>
  </si>
  <si>
    <t>Green &amp; Renewable Energy</t>
  </si>
  <si>
    <t>Air Transport</t>
  </si>
  <si>
    <t>Brokerage &amp; Investment Banking</t>
  </si>
  <si>
    <t>Bank (Money Center)</t>
  </si>
  <si>
    <t>Rubber&amp; Tires</t>
  </si>
  <si>
    <t>Financial Svcs. (Non-bank &amp; Insurance)</t>
  </si>
  <si>
    <t>Beneish M Score Calculator</t>
  </si>
  <si>
    <t>(in millions)</t>
  </si>
  <si>
    <t>Cost of Goods Sold</t>
  </si>
  <si>
    <t>Selling, General, &amp; Admin. Expense</t>
  </si>
  <si>
    <t>found on statement of operation</t>
  </si>
  <si>
    <t>cash flows statement</t>
  </si>
  <si>
    <t>Net Income from Continuing Operations</t>
  </si>
  <si>
    <t>Accounts Receivables</t>
  </si>
  <si>
    <t>Property, Plants, &amp; Equipment</t>
  </si>
  <si>
    <r>
      <rPr>
        <rFont val="Open Sans"/>
        <color theme="1"/>
        <sz val="10.0"/>
      </rPr>
      <t xml:space="preserve">Securities </t>
    </r>
    <r>
      <rPr>
        <rFont val="Open Sans"/>
        <color theme="1"/>
        <sz val="10.0"/>
        <vertAlign val="superscript"/>
      </rPr>
      <t>1</t>
    </r>
  </si>
  <si>
    <t>Current Liabilities</t>
  </si>
  <si>
    <t>Total Long-term Debt</t>
  </si>
  <si>
    <t>Cash Flow from Operations</t>
  </si>
  <si>
    <t>Securities is also referred to as total long term investments</t>
  </si>
  <si>
    <t>Financial Ratios Indexes</t>
  </si>
  <si>
    <t>Day Sales in Receivables Index (DSRI)</t>
  </si>
  <si>
    <t>Selling, General, &amp; Admin. Expenses Index (SGAI)</t>
  </si>
  <si>
    <t>Beneish M Score</t>
  </si>
  <si>
    <t>Interpretation</t>
  </si>
  <si>
    <t>Beneish M Score &lt; -2.22: Company is not likely to have manipulated their earnings</t>
  </si>
  <si>
    <t>Beneish M Score &gt; -2.22: Company is likely to have manipulated their earnings</t>
  </si>
  <si>
    <t>order_#</t>
  </si>
  <si>
    <t>citation</t>
  </si>
  <si>
    <t>document_number</t>
  </si>
  <si>
    <t>end_page</t>
  </si>
  <si>
    <t>html_url</t>
  </si>
  <si>
    <t>pdf_url</t>
  </si>
  <si>
    <t>publication_date</t>
  </si>
  <si>
    <t>signing_date</t>
  </si>
  <si>
    <t>start_page</t>
  </si>
  <si>
    <t>title</t>
  </si>
  <si>
    <t>disposition_notes</t>
  </si>
  <si>
    <t>64 FR 16333</t>
  </si>
  <si>
    <t>99-8433</t>
  </si>
  <si>
    <t>https://www.federalregister.gov/documents/1999/04/05/99-8433/identification-of-trade-expansion-priorities-and-discriminatory-procurement-practices</t>
  </si>
  <si>
    <t>https://www.govinfo.gov/content/pkg/FR-1999-04-05/pdf/99-8433.pdf</t>
  </si>
  <si>
    <t>Identification of Trade Expansion Priorities and Discriminatory Procurement Practices</t>
  </si>
  <si>
    <t>64 FR 16591</t>
  </si>
  <si>
    <t>99-8509</t>
  </si>
  <si>
    <t>https://www.federalregister.gov/documents/1999/04/05/99-8509/further-amendment-to-executive-order-12981-as-amended</t>
  </si>
  <si>
    <t>https://www.govinfo.gov/content/pkg/FR-1999-04-05/pdf/99-8509.pdf</t>
  </si>
  <si>
    <t>Further Amendment to Executive Order 12981, as Amended</t>
  </si>
  <si>
    <t>Amends: EO 12981, December 5, 1995 
Note: This Executive order amends the administration of export controls</t>
  </si>
  <si>
    <t>64 FR 16595</t>
  </si>
  <si>
    <t>99-8547</t>
  </si>
  <si>
    <t>https://www.federalregister.gov/documents/1999/04/05/99-8547/implementation-of-the-foreign-affairs-reform-and-restructuring-act-of-1998</t>
  </si>
  <si>
    <t>https://www.govinfo.gov/content/pkg/FR-1999-04-05/pdf/99-8547.pdf</t>
  </si>
  <si>
    <t>Implementation of the Foreign Affairs Reform and Restructuring Act of 1998</t>
  </si>
  <si>
    <t>Amends: EO 11223 of May 12, 1965; EO 11269 of February 14, 1966; EO 11958 of January 18, 1977; EO 12163 of September 29, 1979; EO 12188 of January 2, 1980; EO 12260 of December 31, 1980; EO 12293 of February 23, 1981; EO 12301 of March 26, 1981; EO 12703 of February 20, 1990; EO 12884 of December 1, 1993; Memorandum of March 23, 1999;;
 ;  Revokes: EO 12599 of June 23, 1987</t>
  </si>
  <si>
    <t>64 FR 18797</t>
  </si>
  <si>
    <t>99-9738</t>
  </si>
  <si>
    <t>https://www.federalregister.gov/documents/1999/04/16/99-9738/designation-of-federal-republic-of-yugoslavia-serbiamontenegro-albania-the-airspace-above-and</t>
  </si>
  <si>
    <t>https://www.govinfo.gov/content/pkg/FR-1999-04-16/pdf/99-9738.pdf</t>
  </si>
  <si>
    <t>Designation of Federal Republic of Yugoslavia (Serbia/Montenegro), Albania, the Airspace Above, and Adjacent Waters as a Combat Zone</t>
  </si>
  <si>
    <t>64 FR 23007</t>
  </si>
  <si>
    <t>99-10901</t>
  </si>
  <si>
    <t>https://www.federalregister.gov/documents/1999/04/29/99-10901/ordering-the-selected-reserve-and-certain-individual-ready-reserve-members-of-the-armed-forces-to</t>
  </si>
  <si>
    <t>https://www.govinfo.gov/content/pkg/FR-1999-04-29/pdf/99-10901.pdf</t>
  </si>
  <si>
    <t>Ordering the Selected Reserve and Certain Individual Ready Reserve Members of the Armed Forces to Active Duty</t>
  </si>
  <si>
    <t>Amended by: EO 13286, February 28, 2003</t>
  </si>
  <si>
    <t>64 FR 24021</t>
  </si>
  <si>
    <t>99-11410</t>
  </si>
  <si>
    <t>https://www.federalregister.gov/documents/1999/05/05/99-11410/blocking-property-of-the-governments-of-the-federal-republic-of-yugoslavia-serbia-and-montenegro-the</t>
  </si>
  <si>
    <t>https://www.govinfo.gov/content/pkg/FR-1999-05-05/pdf/99-11410.pdf</t>
  </si>
  <si>
    <t>Blocking Property of the Governments of the Federal Republic of Yugoslavia (Serbia and Montenegro), the Republic of Serbia, and the Republic of Montenegro, and Prohibiting Trade Transactions Involving the Federal Republic of Yugoslavia (Serbia and Montenegro) in Response to the Situation in Kosovo</t>
  </si>
  <si>
    <t>Amends: EO 13088, June 9, 1998
See: Notice of May 25, 2000; EO 13192, January 17, 2001; Notice of May 24, 2001
Revoked by: EO 13304, May 28, 2003</t>
  </si>
  <si>
    <t>64 FR 29201</t>
  </si>
  <si>
    <t>99-13825</t>
  </si>
  <si>
    <t>https://www.federalregister.gov/documents/1999/05/28/99-13825/interagency-task-force-on-the-economic-development-of-the-southwest-border</t>
  </si>
  <si>
    <t>https://www.govinfo.gov/content/pkg/FR-1999-05-28/pdf/99-13825.pdf</t>
  </si>
  <si>
    <t>Interagency Task Force on the Economic Development of the Southwest Border</t>
  </si>
  <si>
    <t>Amended by: EO 13284, January 23, 2003</t>
  </si>
  <si>
    <t>64 FR 30851</t>
  </si>
  <si>
    <t>99-14633</t>
  </si>
  <si>
    <t>https://www.federalregister.gov/documents/1999/06/08/99-14633/greening-the-government-through-efficient-energy-management</t>
  </si>
  <si>
    <t>https://www.govinfo.gov/content/pkg/FR-1999-06-08/pdf/99-14633.pdf</t>
  </si>
  <si>
    <t>Greening the Government Through Efficient Energy Management</t>
  </si>
  <si>
    <t>Revokes: EO 12759, April 17, 1991; EO 12845, April 21, 1993; EO 12902, March 9, 1994 
Revoked by: EO 13423, January 24, 2007
See: EO 13148, April 21, 2000</t>
  </si>
  <si>
    <t>64 FR 31103</t>
  </si>
  <si>
    <t>99-14825</t>
  </si>
  <si>
    <t>https://www.federalregister.gov/documents/1999/06/09/99-14825/amending-the-civil-service-rules-relating-to-federal-employees-with-psychiatric-disabilities</t>
  </si>
  <si>
    <t>https://www.govinfo.gov/content/pkg/FR-1999-06-09/pdf/99-14825.pdf</t>
  </si>
  <si>
    <t>Amending the Civil Service Rules Relating To Federal Employees With Psychiatric Disabilities</t>
  </si>
  <si>
    <t>64 FR 31105</t>
  </si>
  <si>
    <t>99-14901</t>
  </si>
  <si>
    <t>https://www.federalregister.gov/documents/1999/06/10/99-14901/increasing-participation-of-asian-americans-and-pacific-islanders-in-federal-programs</t>
  </si>
  <si>
    <t>https://www.govinfo.gov/content/pkg/FR-1999-06-10/pdf/99-14901.pdf</t>
  </si>
  <si>
    <t>Increasing Participation of Asian Americans and Pacific Islanders in Federal Programs</t>
  </si>
  <si>
    <t>Amended by: EO 13216, June 6, 2001 
Superseded by: EO 13515, October 14, 2009; EO 14031, May 28, 2021</t>
  </si>
  <si>
    <t>64 FR 32383</t>
  </si>
  <si>
    <t>99-15491</t>
  </si>
  <si>
    <t>https://www.federalregister.gov/documents/1999/06/16/99-15491/prohibition-of-acquisition-of-products-produced-by-forced-or-indentured-child-labor</t>
  </si>
  <si>
    <t>https://www.govinfo.gov/content/pkg/FR-1999-06-16/pdf/99-15491.pdf</t>
  </si>
  <si>
    <t>Prohibition of Acquisition of Products Produced by Forced or Indentured Child Labor</t>
  </si>
  <si>
    <t>64 FR 32793</t>
  </si>
  <si>
    <t>99-15623</t>
  </si>
  <si>
    <t>https://www.federalregister.gov/documents/1999/06/17/99-15623/amendment-to-executive-order-13073-year-2000-conversion</t>
  </si>
  <si>
    <t>https://www.govinfo.gov/content/pkg/FR-1999-06-17/pdf/99-15623.pdf</t>
  </si>
  <si>
    <t>Amendment to Executive Order 13073, Year 2000 Conversion</t>
  </si>
  <si>
    <t>Amends: EO 13073, February 4, 1998</t>
  </si>
  <si>
    <t>64 FR 34703</t>
  </si>
  <si>
    <t>99-16634</t>
  </si>
  <si>
    <t>https://www.federalregister.gov/documents/1999/06/28/99-16634/implementation-of-the-chemical-weapons-convention-and-the-chemical-weapons-convention-implementation</t>
  </si>
  <si>
    <t>https://www.govinfo.gov/content/pkg/FR-1999-06-28/pdf/99-16634.pdf</t>
  </si>
  <si>
    <t>Implementation of the Chemical Weapons Convention and the Chemical Weapons Convention Implementation Act</t>
  </si>
  <si>
    <t>Amends: EO 12938, November 14, 1994</t>
  </si>
  <si>
    <t>64 FR 36759</t>
  </si>
  <si>
    <t>99-17444</t>
  </si>
  <si>
    <t>https://www.federalregister.gov/documents/1999/07/07/99-17444/blocking-property-and-prohibiting-transactions-with-the-taliban</t>
  </si>
  <si>
    <t>https://www.govinfo.gov/content/pkg/FR-1999-07-07/pdf/99-17444.pdf</t>
  </si>
  <si>
    <t>Blocking Property and Prohibiting Transactions With the Taliban</t>
  </si>
  <si>
    <t>See: EO 13268, July 2, 2002</t>
  </si>
  <si>
    <t>64 FR 38535</t>
  </si>
  <si>
    <t>99-18476</t>
  </si>
  <si>
    <t>https://www.federalregister.gov/documents/1999/07/19/99-18476/national-infrastructure-assurance-council</t>
  </si>
  <si>
    <t>https://www.govinfo.gov/content/pkg/FR-1999-07-19/pdf/99-18476.pdf</t>
  </si>
  <si>
    <t>National Infrastructure Assurance Council</t>
  </si>
  <si>
    <t>Revoked by: EO 13231, October 16, 2001
See: EO 13010, July 15, 1996; EO 13286, February 28, 2003</t>
  </si>
  <si>
    <t>64 FR 40733</t>
  </si>
  <si>
    <t>99-19396</t>
  </si>
  <si>
    <t>https://www.federalregister.gov/documents/1999/07/27/99-19396/further-amendments-to-executive-order-12757-implementation-of-the-enterprise-for-the-americas</t>
  </si>
  <si>
    <t>https://www.govinfo.gov/content/pkg/FR-1999-07-27/pdf/99-19396.pdf</t>
  </si>
  <si>
    <t>Further Amendments to Executive Order 12757, Implementation of the Enterprise for the Americas Initiative</t>
  </si>
  <si>
    <t>Amends: EO 12757, March 19, 1991
See: EO 12823, December 3, 1992; EO 13028, December 3, 1996
Revoked by: EO 13345, July 8, 2004</t>
  </si>
  <si>
    <t>64 FR 43255</t>
  </si>
  <si>
    <t>99-20729</t>
  </si>
  <si>
    <t>https://www.federalregister.gov/documents/1999/08/10/99-20729/federalism</t>
  </si>
  <si>
    <t>https://www.govinfo.gov/content/pkg/FR-1999-08-10/pdf/99-20729.pdf</t>
  </si>
  <si>
    <t>Federalism</t>
  </si>
  <si>
    <t>Revokes: EO 12612, October 26, 1987; EO 12875, October 26, 1993; EO 13083, May 14, 1998; EO 13095, August 5, 1998;;
Supplements: EO 12372, July 14, 1982; EO 12866, September 30, 1993; EO 12988, February 5, 1996
See: EO 13175, November 6, 2000</t>
  </si>
  <si>
    <t>64 FR 43895</t>
  </si>
  <si>
    <t>99-20924</t>
  </si>
  <si>
    <t>https://www.federalregister.gov/documents/1999/08/11/99-20924/working-group-on-unlawful-conduct-on-the-internet</t>
  </si>
  <si>
    <t>https://www.govinfo.gov/content/pkg/FR-1999-08-11/pdf/99-20924.pdf</t>
  </si>
  <si>
    <t>Working Group on Unlawful Conduct on the Internet</t>
  </si>
  <si>
    <t>64 FR 44639</t>
  </si>
  <si>
    <t>99-21392</t>
  </si>
  <si>
    <t>https://www.federalregister.gov/documents/1999/08/16/99-21392/developing-and-promoting-biobased-products-and-bioenergy</t>
  </si>
  <si>
    <t>https://www.govinfo.gov/content/pkg/FR-1999-08-16/pdf/99-21392.pdf</t>
  </si>
  <si>
    <t>Developing and Promoting Biobased Products and Bioenergy</t>
  </si>
  <si>
    <t>Revoked by: EO 13225, September 28, 2001 (in part); EO 13423, January 24, 2007
See: EO 13148, April 21, 2000</t>
  </si>
  <si>
    <t>64 FR 47339</t>
  </si>
  <si>
    <t>99-22778</t>
  </si>
  <si>
    <t>https://www.federalregister.gov/documents/1999/08/31/99-22778/amendment-to-executive-order-12216-presidents-committee-on-the-international-labor-organization</t>
  </si>
  <si>
    <t>https://www.govinfo.gov/content/pkg/FR-1999-08-31/pdf/99-22778.pdf</t>
  </si>
  <si>
    <t>Amendment to Executive Order 12216, President's Committee on the International Labor Organization</t>
  </si>
  <si>
    <t>Amends: EO 12216, June 18, 1980</t>
  </si>
  <si>
    <t>64 FR 48931</t>
  </si>
  <si>
    <t>99-23508</t>
  </si>
  <si>
    <t>https://www.federalregister.gov/documents/1999/09/08/99-23508/amendment-to-executive-order-13090-presidents-commission-on-the-celebration-of-women-in-american</t>
  </si>
  <si>
    <t>https://www.govinfo.gov/content/pkg/FR-1999-09-08/pdf/99-23508.pdf</t>
  </si>
  <si>
    <t>Amendment to Executive Order 13090, President's Commission on the Celebration of Women in American History</t>
  </si>
  <si>
    <t>Amends: EO 13090, June 29, 1998</t>
  </si>
  <si>
    <t>64 FR 50733</t>
  </si>
  <si>
    <t>99-24582</t>
  </si>
  <si>
    <t>https://www.federalregister.gov/documents/1999/09/20/99-24582/amendment-to-executive-order-12975-as-amended-national-bioethics-advisory-commission</t>
  </si>
  <si>
    <t>https://www.govinfo.gov/content/pkg/FR-1999-09-20/pdf/99-24582.pdf</t>
  </si>
  <si>
    <t>Amendment to Executive Order 12975, as Amended, National Bioethics Advisory Commission</t>
  </si>
  <si>
    <t>Amends: EO 12975, October 3, 1995
See: EO 13316, September 17, 2003</t>
  </si>
  <si>
    <t>64 FR 53879</t>
  </si>
  <si>
    <t>99-25958</t>
  </si>
  <si>
    <t>https://www.federalregister.gov/documents/1999/10/04/99-25958/continuance-of-certain-federal-advisory-committees</t>
  </si>
  <si>
    <t>https://www.govinfo.gov/content/pkg/FR-1999-10-04/pdf/99-25958.pdf</t>
  </si>
  <si>
    <t>Continuance of Certain Federal Advisory Committees</t>
  </si>
  <si>
    <t>Amends: EO 12131, May 4, 1979; EO 12345, February 2, 1982; EO 12367, June 15, 1982; EO 13115, March 25, 1999
Supersedes: EO 13062, September 29, 1997 (in part)
Revokes: EO 12852, June 29, 1993; EO 12961, May 26, 1995; EO 13010, July 15, 1996, (in part); EO 13017, September 5, 1996; EO 13037, March 3, 1997; EO 13038, March 11, 1997; EO 13050, June 13, 1997
Superseded by: EO 13225, September 28, 2001 (in part)
Revoked by: EO 13226, September 30, 2001 (in part)</t>
  </si>
  <si>
    <t>64 FR 54175</t>
  </si>
  <si>
    <t>99-26078</t>
  </si>
  <si>
    <t>https://www.federalregister.gov/documents/1999/10/05/99-26078/improving-health-protection-of-military-personnel-participating-in-particular-military-operations</t>
  </si>
  <si>
    <t>https://www.govinfo.gov/content/pkg/FR-1999-10-05/pdf/99-26078.pdf</t>
  </si>
  <si>
    <t>Improving Health Protection of Military Personnel Participating in Particular Military Operations</t>
  </si>
  <si>
    <t>See: Food and Drug Administration rule of May 25, 1999 (64 FR 54180)</t>
  </si>
  <si>
    <t>64 FR 55115</t>
  </si>
  <si>
    <t>99-26670</t>
  </si>
  <si>
    <t>https://www.federalregister.gov/documents/1999/10/12/99-26670/1999-amendments-to-the-manual-for-courts-martial-united-states</t>
  </si>
  <si>
    <t>https://www.govinfo.gov/content/pkg/FR-1999-10-12/pdf/99-26670.pdf</t>
  </si>
  <si>
    <t>1999 Amendments to the Manual for Courts-Martial, United States</t>
  </si>
  <si>
    <t>Amends: EO 12473, April 13, 1984
See: EO 12484, July 13, 1984; EO 12550, February 19, 1986; EO 12586, March 3, 1987; EO 12708, March 23, 1990; EO 12767, June 27, 1991; EO 12888, December 23, 1993; EO 12936, November 10, 1994; EO 12960, May 12, 1995; EO 13086, May 27, 1998</t>
  </si>
  <si>
    <t>64 FR 63169</t>
  </si>
  <si>
    <t>99-30346</t>
  </si>
  <si>
    <t>https://www.federalregister.gov/documents/1999/11/18/99-30346/environmental-review-of-trade-agreements</t>
  </si>
  <si>
    <t>https://www.govinfo.gov/content/pkg/FR-1999-11-18/pdf/99-30346.pdf</t>
  </si>
  <si>
    <t>Environmental Review of Trade Agreements</t>
  </si>
  <si>
    <t>64 FR 66089</t>
  </si>
  <si>
    <t>99-30687</t>
  </si>
  <si>
    <t>https://www.federalregister.gov/documents/1999/11/23/99-30687/amendment-to-executive-order-12958-classified-national-security-information</t>
  </si>
  <si>
    <t>https://www.govinfo.gov/content/pkg/FR-1999-11-23/pdf/99-30687.pdf</t>
  </si>
  <si>
    <t>Amendment To Executive Order 12958-Classified National Security Information</t>
  </si>
  <si>
    <t>Amends: EO 12958, April 17, 1995</t>
  </si>
  <si>
    <t>64 FR 68273</t>
  </si>
  <si>
    <t>99-31748</t>
  </si>
  <si>
    <t>https://www.federalregister.gov/documents/1999/12/06/99-31748/amending-executive-order-10173-as-amended-prescribing-regulations-relating-to-the-safeguarding-of</t>
  </si>
  <si>
    <t>https://www.govinfo.gov/content/pkg/FR-1999-12-06/pdf/99-31748.pdf</t>
  </si>
  <si>
    <t>Amending Executive Order 10173, as Amended, Prescribing Regulations Relating to the Safeguarding of Vessels, Harbors, Ports, and Waterfront Facilities of the United States</t>
  </si>
  <si>
    <t>Amends: EO 10173, October 18, 1950</t>
  </si>
  <si>
    <t>64 FR 72237</t>
  </si>
  <si>
    <t>99-33511</t>
  </si>
  <si>
    <t>https://www.federalregister.gov/documents/1999/12/23/99-33511/adjustments-of-certain-rates-of-pay</t>
  </si>
  <si>
    <t>https://www.govinfo.gov/content/pkg/FR-1999-12-23/pdf/99-33511.pdf</t>
  </si>
  <si>
    <t>Adjustments of Certain Rates of Pay</t>
  </si>
  <si>
    <t>Supersedes: EO 13106, December 7, 1998 (in part)
Superseded by: EO 13182, December 23, 2000</t>
  </si>
  <si>
    <t>65 FR 6877</t>
  </si>
  <si>
    <t>00-3331</t>
  </si>
  <si>
    <t>https://www.federalregister.gov/documents/2000/02/10/00-3331/to-prohibit-discrimination-in-federal-employment-based-on-genetic-information</t>
  </si>
  <si>
    <t>https://www.govinfo.gov/content/pkg/FR-2000-02-10/pdf/00-3331.pdf</t>
  </si>
  <si>
    <t>To Prohibit Discrimination in Federal Employment Based on Genetic Information</t>
  </si>
  <si>
    <t>65 FR 11201</t>
  </si>
  <si>
    <t>00-5209</t>
  </si>
  <si>
    <t>https://www.federalregister.gov/documents/2000/03/02/00-5209/presidents-council-on-the-future-of-princeville-north-carolina</t>
  </si>
  <si>
    <t>https://www.govinfo.gov/content/pkg/FR-2000-03-02/pdf/00-5209.pdf</t>
  </si>
  <si>
    <t>President's Council on the Future of Princeville, North Carolina</t>
  </si>
  <si>
    <t>65 FR 13233</t>
  </si>
  <si>
    <t>00-6126</t>
  </si>
  <si>
    <t>https://www.federalregister.gov/documents/2000/03/10/00-6126/white-house-commission-on-complementary-and-alternative-medicine-policy</t>
  </si>
  <si>
    <t>https://www.govinfo.gov/content/pkg/FR-2000-03-10/pdf/00-6126.pdf</t>
  </si>
  <si>
    <t>White House Commission on Complementary and Alternative Medicine Policy</t>
  </si>
  <si>
    <t>Amended by: EO 13167, September 15, 2000
Revoked by: EO 13316, September 17, 2003</t>
  </si>
  <si>
    <t>65 FR 24595</t>
  </si>
  <si>
    <t>00-10550</t>
  </si>
  <si>
    <t>https://www.federalregister.gov/documents/2000/04/26/00-10550/greening-the-government-through-leadership-in-environmental-management</t>
  </si>
  <si>
    <t>https://www.govinfo.gov/content/pkg/FR-2000-04-26/pdf/00-10550.pdf</t>
  </si>
  <si>
    <t>Greening the Government Through Leadership in Environmental Management</t>
  </si>
  <si>
    <t>Revokes: EO 12088, October 13, 1978 (in part); EO 12843, April 21, 1993; EO 12856, August 3, 1993; EO 12969, August 8, 1995; Memorandum of April 26, 1994
See: EO 13101, September 14, 1998; EO 13123, June 3, 1999; EO 13134, August 12, 1999
Revoked by: EO 13423, January 24, 2007</t>
  </si>
  <si>
    <t>65 FR 24607</t>
  </si>
  <si>
    <t>00-10551</t>
  </si>
  <si>
    <t>https://www.federalregister.gov/documents/2000/04/26/00-10551/greening-the-government-through-federal-fleet-and-transportation-efficiency</t>
  </si>
  <si>
    <t>https://www.govinfo.gov/content/pkg/FR-2000-04-26/pdf/00-10551.pdf</t>
  </si>
  <si>
    <t>Greening the Government Through Federal Fleet and Transportation Efficiency</t>
  </si>
  <si>
    <t>Revokes: EO 13031, December 13, 1996
Revoked by: EO 13423, January 24, 2007
See:  EO 13101, September 14, 1998; Proc. 7308, May 15, 2000 (65 FR 31783)</t>
  </si>
  <si>
    <t>65 FR 24613</t>
  </si>
  <si>
    <t>00-10552</t>
  </si>
  <si>
    <t>https://www.federalregister.gov/documents/2000/04/26/00-10552/federal-workforce-transportation</t>
  </si>
  <si>
    <t>https://www.govinfo.gov/content/pkg/FR-2000-04-26/pdf/00-10552.pdf</t>
  </si>
  <si>
    <t>Federal Workforce Transportation</t>
  </si>
  <si>
    <t>65 FR 25619</t>
  </si>
  <si>
    <t>00-11070</t>
  </si>
  <si>
    <t>https://www.federalregister.gov/documents/2000/05/02/00-11070/global-disaster-information-network</t>
  </si>
  <si>
    <t>https://www.govinfo.gov/content/pkg/FR-2000-05-02/pdf/00-11070.pdf</t>
  </si>
  <si>
    <t>Global Disaster Information Network</t>
  </si>
  <si>
    <t>65 FR 26115</t>
  </si>
  <si>
    <t>00-11336</t>
  </si>
  <si>
    <t>https://www.federalregister.gov/documents/2000/05/04/00-11336/further-amendment-to-executive-order-11478-equal-employment-opportunity-in-federal-government</t>
  </si>
  <si>
    <t>https://www.govinfo.gov/content/pkg/FR-2000-05-04/pdf/00-11336.pdf</t>
  </si>
  <si>
    <t>Further Amendment to Executive Order 11478, Equal Employment Opportunity in Federal Government</t>
  </si>
  <si>
    <t>Amends:  EO 11478, August 8, 1969
Note: This Executive order expands equal employment policy in the Federal Government by prohibiting discrimination based on parental status.</t>
  </si>
  <si>
    <t>65 FR 26475</t>
  </si>
  <si>
    <t>00-11531</t>
  </si>
  <si>
    <t>https://www.federalregister.gov/documents/2000/05/05/00-11531/actions-to-improve-low-performing-schools</t>
  </si>
  <si>
    <t>https://www.govinfo.gov/content/pkg/FR-2000-05-05/pdf/00-11531.pdf</t>
  </si>
  <si>
    <t>Actions To Improve Low-Performing Schools</t>
  </si>
  <si>
    <t>65 FR 26479</t>
  </si>
  <si>
    <t>00-11532</t>
  </si>
  <si>
    <t>https://www.federalregister.gov/documents/2000/05/05/00-11532/establishing-the-kosovo-campaign-medal</t>
  </si>
  <si>
    <t>https://www.govinfo.gov/content/pkg/FR-2000-05-05/pdf/00-11532.pdf</t>
  </si>
  <si>
    <t>Establishing the Kosovo Campaign Medal</t>
  </si>
  <si>
    <t>See: EO 10977, December 4, 1961; EO 12985, January 11, 1996
Amended by: EO 13286, February 28, 2003</t>
  </si>
  <si>
    <t>65 FR 30521</t>
  </si>
  <si>
    <t>00-12177</t>
  </si>
  <si>
    <t>https://www.federalregister.gov/documents/2000/05/12/00-12177/access-to-hivaids-pharmaceuticals-and-medical</t>
  </si>
  <si>
    <t>https://www.govinfo.gov/content/pkg/FR-2000-05-12/pdf/00-12177.pdf</t>
  </si>
  <si>
    <t>Access to HIV/AIDS Pharmaceuticals and Medical</t>
  </si>
  <si>
    <t>65 FR 31785</t>
  </si>
  <si>
    <t>00-12840</t>
  </si>
  <si>
    <t>https://www.federalregister.gov/documents/2000/05/19/00-12840/amendment-to-executive-order-12871-regarding-the-national-partnership-council</t>
  </si>
  <si>
    <t>https://www.govinfo.gov/content/pkg/FR-2000-05-19/pdf/00-12840.pdf</t>
  </si>
  <si>
    <t>Amendment to Executive Order 12871 Regarding the National Partnership Council</t>
  </si>
  <si>
    <t>Amends:  EO 12871, October 1, 1993
See: EO 12983, December 21, 1995; EO 13203, February 17, 2001</t>
  </si>
  <si>
    <t>65 FR 34035</t>
  </si>
  <si>
    <t>00-13367</t>
  </si>
  <si>
    <t>https://www.federalregister.gov/documents/2000/05/25/00-13367/increasing-opportunities-for-women-owned-small-businesses</t>
  </si>
  <si>
    <t>https://www.govinfo.gov/content/pkg/FR-2000-05-25/pdf/00-13367.pdf</t>
  </si>
  <si>
    <t>Increasing Opportunities for Women-Owned Small Businesses</t>
  </si>
  <si>
    <t>65 FR 34909</t>
  </si>
  <si>
    <t>00-13830</t>
  </si>
  <si>
    <t>https://www.federalregister.gov/documents/2000/05/31/00-13830/marine-protected-areas</t>
  </si>
  <si>
    <t>https://www.govinfo.gov/content/pkg/FR-2000-05-31/pdf/00-13830.pdf</t>
  </si>
  <si>
    <t>Marine Protected Areas</t>
  </si>
  <si>
    <t>See:  Proc. 5030, March 10, 1983; Proc. 5928, December 27, 1988; Proc. 7219, September 2, 1999; EO 13178, December 4, 2000
Continued by: EO 13708, September 30, 2015; EO 13811, September 29, 2017</t>
  </si>
  <si>
    <t>65 FR 39279</t>
  </si>
  <si>
    <t>00-16252</t>
  </si>
  <si>
    <t>https://www.federalregister.gov/documents/2000/06/26/00-16252/blocking-property-of-the-government-of-the-russian-federation-relating-to-the-disposition-of-highly</t>
  </si>
  <si>
    <t>https://www.govinfo.gov/content/pkg/FR-2000-06-26/pdf/00-16252.pdf</t>
  </si>
  <si>
    <t>Blocking Property of the Government of the Russian Federation Relating to the Disposition of Highly Enriched Uranium Extracted From Nuclear Weapons</t>
  </si>
  <si>
    <t>See:  EO 12938, November 14, 1994; EO 13085, May 26, 1998; Notice of June 18, 2002; Notice of June 10, 2003; Notice of June 16, 2004; Notice of June 17, 2005; Notice of June 19, 2006; Notice of June 19, 2007; Notice of June 18, 2008; Notice of June 18, 2009; Notice of June 17, 2010</t>
  </si>
  <si>
    <t>65 FR 39775</t>
  </si>
  <si>
    <t>00-16434</t>
  </si>
  <si>
    <t>https://www.federalregister.gov/documents/2000/06/27/00-16434/nondiscrimination-on-the-basis-of-race-sex-color-national-origin-disability-religion-age-sexual</t>
  </si>
  <si>
    <t>https://www.govinfo.gov/content/pkg/FR-2000-06-27/pdf/00-16434.pdf</t>
  </si>
  <si>
    <t>Nondiscrimination on the Basis of Race, Sex, Color, National Origin, Disability, Religion, Age, Sexual Orientation, and Status as a Parent in Federally Conducted Education and Training Programs</t>
  </si>
  <si>
    <t>See:  EO 12250, November 2, 1980</t>
  </si>
  <si>
    <t>65 FR 41543</t>
  </si>
  <si>
    <t>00-17174</t>
  </si>
  <si>
    <t>https://www.federalregister.gov/documents/2000/07/05/00-17174/establishment-of-the-presidential-medal-of-valor-for-public-safety-officers</t>
  </si>
  <si>
    <t>https://www.govinfo.gov/content/pkg/FR-2000-07-05/pdf/00-17174.pdf</t>
  </si>
  <si>
    <t>Establishment of the Presidential Medal of Valor for Public Safety Officers</t>
  </si>
  <si>
    <t>65 FR 43211</t>
  </si>
  <si>
    <t>00-17829</t>
  </si>
  <si>
    <t>https://www.federalregister.gov/documents/2000/07/12/00-17829/federal-career-intern-program</t>
  </si>
  <si>
    <t>https://www.govinfo.gov/content/pkg/FR-2000-07-12/pdf/00-17829.pdf</t>
  </si>
  <si>
    <t>Federal Career Intern Program</t>
  </si>
  <si>
    <t>Revokes: EO 12596, May 7, 1987
Revoked by: EO 13562, December 27, 2010</t>
  </si>
  <si>
    <t>65 FR 46563</t>
  </si>
  <si>
    <t>00-19322</t>
  </si>
  <si>
    <t>https://www.federalregister.gov/documents/2000/07/28/00-19322/increasing-the-opportunity-for-individuals-with-disabilities-to-be-employed-in-the-federal</t>
  </si>
  <si>
    <t>https://www.govinfo.gov/content/pkg/FR-2000-07-28/pdf/00-19322.pdf</t>
  </si>
  <si>
    <t>Increasing the Opportunity for Individuals With Disabilities To Be Employed in the Federal Government</t>
  </si>
  <si>
    <t>See: EO 13548, July 26, 2010; EO 13583, August 18, 2011</t>
  </si>
  <si>
    <t>65 FR 46565</t>
  </si>
  <si>
    <t>00-19323</t>
  </si>
  <si>
    <t>https://www.federalregister.gov/documents/2000/07/28/00-19323/requiring-federal-agencies-to-establish-procedures-to-facilitate-the-provision-of-reasonable</t>
  </si>
  <si>
    <t>https://www.govinfo.gov/content/pkg/FR-2000-07-28/pdf/00-19323.pdf</t>
  </si>
  <si>
    <t>Requiring Federal Agencies To Establish Procedures To Facilitate the Provision of Reasonable Accommodation</t>
  </si>
  <si>
    <t>65 FR 49469</t>
  </si>
  <si>
    <t>00-20670</t>
  </si>
  <si>
    <t>https://www.federalregister.gov/documents/2000/08/14/00-20670/creation-of-the-white-house-task-force-on-drug-use-in-sports-and-authorization-for-the-director-of</t>
  </si>
  <si>
    <t>https://www.govinfo.gov/content/pkg/FR-2000-08-14/pdf/00-20670.pdf</t>
  </si>
  <si>
    <t>Creation of the White House Task Force on Drug Use in Sports and Authorization for the Director of the Office of National Drug Control Policy To Serve as the United States Government's Representative on the Board of the World Anti-Doping Agency</t>
  </si>
  <si>
    <t>65 FR 50121</t>
  </si>
  <si>
    <t>00-20938</t>
  </si>
  <si>
    <t>https://www.federalregister.gov/documents/2000/08/16/00-20938/improving-access-to-services-for-persons-with-limited-english-proficiency</t>
  </si>
  <si>
    <t>https://www.govinfo.gov/content/pkg/FR-2000-08-16/pdf/00-20938.pdf</t>
  </si>
  <si>
    <t>Improving Access to Services for Persons With Limited English Proficiency</t>
  </si>
  <si>
    <t>See:  Department of Justice notice of August 16, 2000 (65 FR 50123); EO 14091, February 16, 2023</t>
  </si>
  <si>
    <t>65 FR 57079</t>
  </si>
  <si>
    <t>00-24364</t>
  </si>
  <si>
    <t>https://www.federalregister.gov/documents/2000/09/20/00-24364/amendment-to-executive-order-13147-increasing-the-membership-of-the-white-house-commission-on</t>
  </si>
  <si>
    <t>https://www.govinfo.gov/content/pkg/FR-2000-09-20/pdf/00-24364.pdf</t>
  </si>
  <si>
    <t>Amendment to Executive Order 13147, Increasing the Membership of the White House Commission on Complementary and Alternative Medicine Policy</t>
  </si>
  <si>
    <t>Amends:  EO 13147, March 7, 2000</t>
  </si>
  <si>
    <t>65 FR 58217</t>
  </si>
  <si>
    <t>00-24978</t>
  </si>
  <si>
    <t>https://www.federalregister.gov/documents/2000/09/27/00-24978/presidents-commission-on-improving-economic-opportunity-in-communities-dependent-on-tobacco</t>
  </si>
  <si>
    <t>https://www.govinfo.gov/content/pkg/FR-2000-09-27/pdf/00-24978.pdf</t>
  </si>
  <si>
    <t>President's Commission on Improving Economic Opportunity in Communities Dependent on Tobacco Production While Protecting Public Health</t>
  </si>
  <si>
    <t>Revoked by: EO 13225, September 28, 2001</t>
  </si>
  <si>
    <t>65 FR 60581</t>
  </si>
  <si>
    <t>00-26397</t>
  </si>
  <si>
    <t>https://www.federalregister.gov/documents/2000/10/12/00-26397/assistance-to-small-business-exporters-and-dislocated</t>
  </si>
  <si>
    <t>https://www.govinfo.gov/content/pkg/FR-2000-10-12/pdf/00-26397.pdf</t>
  </si>
  <si>
    <t>Assistance to Small Business Exporters and Dislocated</t>
  </si>
  <si>
    <t>65 FR 60827</t>
  </si>
  <si>
    <t>00-26446</t>
  </si>
  <si>
    <t>https://www.federalregister.gov/documents/2000/10/12/00-26446/increasing-opportunities-and-access-for-disadvantaged-businesses</t>
  </si>
  <si>
    <t>https://www.govinfo.gov/content/pkg/FR-2000-10-12/pdf/00-26446.pdf</t>
  </si>
  <si>
    <t>Increasing Opportunities and Access for Disadvantaged Businesses</t>
  </si>
  <si>
    <t>See:  EO 11625, October 13, 1971</t>
  </si>
  <si>
    <t>65 FR 61251</t>
  </si>
  <si>
    <t>00-26716</t>
  </si>
  <si>
    <t>https://www.federalregister.gov/documents/2000/10/16/00-26716/hispanic-employment-in-the-federal-government</t>
  </si>
  <si>
    <t>https://www.govinfo.gov/content/pkg/FR-2000-10-16/pdf/00-26716.pdf</t>
  </si>
  <si>
    <t>Hispanic Employment in the Federal Government</t>
  </si>
  <si>
    <t>See: EO 13583, August 18, 2011</t>
  </si>
  <si>
    <t>65 FR 64577</t>
  </si>
  <si>
    <t>00-27892</t>
  </si>
  <si>
    <t>https://www.federalregister.gov/documents/2000/10/27/00-27892/amendment-to-executive-order-13078-to-expand-the-role-of-the-national-task-force-on-employment-of</t>
  </si>
  <si>
    <t>https://www.govinfo.gov/content/pkg/FR-2000-10-27/pdf/00-27892.pdf</t>
  </si>
  <si>
    <t>Amendment to Executive Order 13078, To Expand the Role of the National Task Force on Employment of Adults With Disabilities To Include a Focus on Youth</t>
  </si>
  <si>
    <t>Amends:  EO 13078, March 13, 1998</t>
  </si>
  <si>
    <t>65 FR 64579</t>
  </si>
  <si>
    <t>00-27893</t>
  </si>
  <si>
    <t>https://www.federalregister.gov/documents/2000/10/27/00-27893/interagency-task-force-on-the-economic-development-of-the-central-san-joaquin-valley</t>
  </si>
  <si>
    <t>https://www.govinfo.gov/content/pkg/FR-2000-10-27/pdf/00-27893.pdf</t>
  </si>
  <si>
    <t>Interagency Task Force on the Economic Development of the Central San Joaquin Valley</t>
  </si>
  <si>
    <t>Amended by: EO 13359, October 20, 2004</t>
  </si>
  <si>
    <t>65 FR 65705</t>
  </si>
  <si>
    <t>00-28299</t>
  </si>
  <si>
    <t>https://www.federalregister.gov/documents/2000/11/02/00-28299/commission-on-workers-communities-and-economic-change-in-the-new-economy</t>
  </si>
  <si>
    <t>https://www.govinfo.gov/content/pkg/FR-2000-11-02/pdf/00-28299.pdf</t>
  </si>
  <si>
    <t>Commission on Workers, Communities, and Economic Change in the New Economy</t>
  </si>
  <si>
    <t>Revoked by: EO 13218, June 20, 2001</t>
  </si>
  <si>
    <t>65 FR 67249</t>
  </si>
  <si>
    <t>00-29003</t>
  </si>
  <si>
    <t>https://www.federalregister.gov/documents/2000/11/09/00-29003/consultation-and-coordination-with-indian-tribal-governments</t>
  </si>
  <si>
    <t>https://www.govinfo.gov/content/pkg/FR-2000-11-09/pdf/00-29003.pdf</t>
  </si>
  <si>
    <t>Consultation and Coordination With Indian Tribal Governments</t>
  </si>
  <si>
    <t>Revokes: EO 13084, May 14, 1998
See:  EO 12866, September 30, 1993; EO 12988, February 5, 1996; EO 13132, August 4, 1999; EO 13336, April 30, 2004; Memorandum of April 29, 1994; EO 14096, April 21, 2023</t>
  </si>
  <si>
    <t>65 FR 71233</t>
  </si>
  <si>
    <t>00-30690</t>
  </si>
  <si>
    <t>https://www.federalregister.gov/documents/2000/11/30/00-30690/facilitation-of-a-presidential-transition</t>
  </si>
  <si>
    <t>https://www.govinfo.gov/content/pkg/FR-2000-11-30/pdf/00-30690.pdf</t>
  </si>
  <si>
    <t>Facilitation of a Presidential Transition</t>
  </si>
  <si>
    <t>Superseded by: EO 13476, October 9, 2008</t>
  </si>
  <si>
    <t>65 FR 76558</t>
  </si>
  <si>
    <t>00-31252</t>
  </si>
  <si>
    <t>https://www.federalregister.gov/documents/2000/12/06/00-31252/national-commission-on-the-use-of-offsets-in-defense-trade-and-presidents-council-on-the-use-of</t>
  </si>
  <si>
    <t>https://www.govinfo.gov/content/pkg/FR-2000-12-06/pdf/00-31252.pdf</t>
  </si>
  <si>
    <t>National Commission on the Use of Offsets in Defense Trade and President's Council on the Use of Offsets in Commercial Trade</t>
  </si>
  <si>
    <t>Revoked (in part) by: EO 13316, September 17, 2003</t>
  </si>
  <si>
    <t>65 FR 76903</t>
  </si>
  <si>
    <t>00-31313</t>
  </si>
  <si>
    <t>https://www.federalregister.gov/documents/2000/12/07/00-31313/northwestern-hawaiian-islands-coral-reef-ecosystem-reserve</t>
  </si>
  <si>
    <t>https://www.govinfo.gov/content/pkg/FR-2000-12-07/pdf/00-31313.pdf</t>
  </si>
  <si>
    <t>Northwestern Hawaiian Islands Coral Reef Ecosystem Reserve</t>
  </si>
  <si>
    <t>See: EO 13089, June 11, 1998; EO 13158, May 26, 2000; Proc. 5030, March 10, 1983; Proc. 5928, December 27, 1988; Proc. 7219, September 2, 1999
Amended by: EO 13196, January 18, 2001</t>
  </si>
  <si>
    <t>65 FR 77487</t>
  </si>
  <si>
    <t>00-31692</t>
  </si>
  <si>
    <t>https://www.federalregister.gov/documents/2000/12/11/00-31692/providing-compensation-to-americas-nuclear-weapons-workers</t>
  </si>
  <si>
    <t>https://www.govinfo.gov/content/pkg/FR-2000-12-11/pdf/00-31692.pdf</t>
  </si>
  <si>
    <t>Providing Compensation to America's Nuclear Weapons Workers</t>
  </si>
  <si>
    <t>See: EO 13699, June 26, 2015
Continued by:  EO 13708, September 30, 2015;  EO 13811, September 29, 2017</t>
  </si>
  <si>
    <t>65 FR 77493</t>
  </si>
  <si>
    <t>00-31697</t>
  </si>
  <si>
    <t>https://www.federalregister.gov/documents/2000/12/11/00-31697/air-traffic-performance-based-organization</t>
  </si>
  <si>
    <t>https://www.govinfo.gov/content/pkg/FR-2000-12-11/pdf/00-31697.pdf</t>
  </si>
  <si>
    <t>Air Traffic Performance-Based Organization</t>
  </si>
  <si>
    <t>Amended by: EO 13264, June 4, 2002</t>
  </si>
  <si>
    <t>65 FR 81321</t>
  </si>
  <si>
    <t>00-33004</t>
  </si>
  <si>
    <t>https://www.federalregister.gov/documents/2000/12/26/00-33004/to-protect-the-privacy-of-protected-health-information-in-oversight-investigations</t>
  </si>
  <si>
    <t>https://www.govinfo.gov/content/pkg/FR-2000-12-26/pdf/00-33004.pdf</t>
  </si>
  <si>
    <t>To Protect the Privacy of Protected Health Information in Oversight Investigations</t>
  </si>
  <si>
    <t>65 FR 82879</t>
  </si>
  <si>
    <t>00-33450</t>
  </si>
  <si>
    <t>https://www.federalregister.gov/documents/2000/12/29/00-33450/adjustments-of-certain-rates-of-pay</t>
  </si>
  <si>
    <t>https://www.govinfo.gov/content/pkg/FR-2000-12-29/pdf/00-33450.pdf</t>
  </si>
  <si>
    <t>Supersedes: EO 13144, December 21, 1999
Superseded by: EO 13249, December 28, 2001</t>
  </si>
  <si>
    <t>65 FR 82889</t>
  </si>
  <si>
    <t>00-33451</t>
  </si>
  <si>
    <t>https://www.federalregister.gov/documents/2000/12/29/00-33451/establishment-of-the-presidents-task-force-on-puerto-ricos-status</t>
  </si>
  <si>
    <t>https://www.govinfo.gov/content/pkg/FR-2000-12-29/pdf/00-33451.pdf</t>
  </si>
  <si>
    <t>Establishment of the President's Task Force on Puerto Rico's Status</t>
  </si>
  <si>
    <t>Amended by: EO 13209, April 30, 2001; EO 13319, December 3, 2003; EO 13517, October 30, 2009</t>
  </si>
  <si>
    <t>66 FR 697</t>
  </si>
  <si>
    <t>01-255</t>
  </si>
  <si>
    <t>https://www.federalregister.gov/documents/2001/01/03/01-255/revocation-of-executive-order-12834</t>
  </si>
  <si>
    <t>https://www.govinfo.gov/content/pkg/FR-2001-01-03/pdf/01-255.pdf</t>
  </si>
  <si>
    <t>Revocation of Executive Order 12834</t>
  </si>
  <si>
    <t>Revokes: EO 12834, January 20, 1993</t>
  </si>
  <si>
    <t>66 FR 701</t>
  </si>
  <si>
    <t>01-321</t>
  </si>
  <si>
    <t>https://www.federalregister.gov/documents/2001/01/03/01-321/to-strengthen-the-federal-government-university-research-partnership</t>
  </si>
  <si>
    <t>https://www.govinfo.gov/content/pkg/FR-2001-01-03/pdf/01-321.pdf</t>
  </si>
  <si>
    <t>To Strengthen the Federal Government-University Research Partnership</t>
  </si>
  <si>
    <t>66 FR 3853</t>
  </si>
  <si>
    <t>01-1387</t>
  </si>
  <si>
    <t>https://www.federalregister.gov/documents/2001/01/17/01-1387/responsibilities-of-federal-agencies-to-protect-migratory-birds</t>
  </si>
  <si>
    <t>https://www.govinfo.gov/content/pkg/FR-2001-01-17/pdf/01-1387.pdf</t>
  </si>
  <si>
    <t>Responsibilities of Federal Agencies To Protect Migratory Birds</t>
  </si>
  <si>
    <t>66 FR 3857</t>
  </si>
  <si>
    <t>01-1438</t>
  </si>
  <si>
    <t>https://www.federalregister.gov/documents/2001/01/17/01-1438/the-presidents-disability-employment-partnership-board</t>
  </si>
  <si>
    <t>https://www.govinfo.gov/content/pkg/FR-2001-01-17/pdf/01-1438.pdf</t>
  </si>
  <si>
    <t>The President's Disability Employment Partnership Board</t>
  </si>
  <si>
    <t>Amends: EO 13078, March 13, 1998
Revokes: EO 12640, May 10, 1988</t>
  </si>
  <si>
    <t>66 FR 5419</t>
  </si>
  <si>
    <t>01-1736</t>
  </si>
  <si>
    <t>https://www.federalregister.gov/documents/2001/01/18/01-1736/amendment-to-executive-order-13111-extension-of-the-advisory-committee-on-expanding-training</t>
  </si>
  <si>
    <t>https://www.govinfo.gov/content/pkg/FR-2001-01-18/pdf/01-1736.pdf</t>
  </si>
  <si>
    <t>Amendment to Executive Order 13111, Extension of the Advisory Committee on Expanding Training Opportunities</t>
  </si>
  <si>
    <t>Amends: EO 13111, January 12, 1999
See: EO 13316, September 17, 2003</t>
  </si>
  <si>
    <t>66 FR 5421</t>
  </si>
  <si>
    <t>01-1813</t>
  </si>
  <si>
    <t>https://www.federalregister.gov/documents/2001/01/19/01-1813/federal-interagency-task-force-on-the-district-of-columbia</t>
  </si>
  <si>
    <t>https://www.govinfo.gov/content/pkg/FR-2001-01-19/pdf/01-1813.pdf</t>
  </si>
  <si>
    <t>Federal Interagency Task Force on the District of Columbia</t>
  </si>
  <si>
    <t>66 FR 5424</t>
  </si>
  <si>
    <t>01-1814</t>
  </si>
  <si>
    <t>https://www.federalregister.gov/documents/2001/01/19/01-1814/presidents-commission-on-educational-resource-equity</t>
  </si>
  <si>
    <t>https://www.govinfo.gov/content/pkg/FR-2001-01-19/pdf/01-1814.pdf</t>
  </si>
  <si>
    <t>President's Commission on Educational Resource Equity</t>
  </si>
  <si>
    <t>66 FR 7271</t>
  </si>
  <si>
    <t>https://www.federalregister.gov/documents/2001/01/22/01-2014/implementation-of-the-african-growth-and-opportunity-act-and-the-united-states-caribbean-basin-trade</t>
  </si>
  <si>
    <t>https://www.govinfo.gov/content/pkg/FR-2001-01-22/pdf/01-2014.pdf</t>
  </si>
  <si>
    <t>Implementation of the African Growth and Opportunity Act and the United States-Caribbean Basin Trade Partnership Act</t>
  </si>
  <si>
    <t>66 FR 7379</t>
  </si>
  <si>
    <t>https://www.federalregister.gov/documents/2001/01/23/01-2138/lifting-and-modifying-measures-with-respect-to-the-federal-republic-of-yugoslavia-serbia-and</t>
  </si>
  <si>
    <t>https://www.govinfo.gov/content/pkg/FR-2001-01-23/pdf/01-2138.pdf</t>
  </si>
  <si>
    <t>Lifting and Modifying Measures With Respect to the Federal Republic of Yugoslavia (Serbia and Montenegro)</t>
  </si>
  <si>
    <t>Amends: EO 13088, June 9, 1998
See: EO 13121, April 30, 1999; Notice of May 24, 2001 
Revoked by: EO 13304, May 28, 2003</t>
  </si>
  <si>
    <t>66 FR 7387</t>
  </si>
  <si>
    <t>https://www.federalregister.gov/documents/2001/01/23/01-2139/federal-leadership-on-global-tobacco-control-and-prevention</t>
  </si>
  <si>
    <t>https://www.govinfo.gov/content/pkg/FR-2001-01-23/pdf/01-2139.pdf</t>
  </si>
  <si>
    <t>Federal Leadership on Global Tobacco Control and Prevention</t>
  </si>
  <si>
    <t>66 FR 7389</t>
  </si>
  <si>
    <t>https://www.federalregister.gov/documents/2001/01/23/01-2140/prohibiting-the-importation-of-rough-diamonds-from-sierra-leone</t>
  </si>
  <si>
    <t>https://www.govinfo.gov/content/pkg/FR-2001-01-23/pdf/01-2140.pdf</t>
  </si>
  <si>
    <t>Prohibiting the Importation of Rough Diamonds From Sierra Leone</t>
  </si>
  <si>
    <t>Amended by: EO 13213, May 22, 2001
See: Notice of January 15, 2002; Notice of January 16, 2003; EO 13312, July 29, 2003 
Revoked by: EO 13324, January 15, 2004</t>
  </si>
  <si>
    <t>66 FR 7391</t>
  </si>
  <si>
    <t>https://www.federalregister.gov/documents/2001/01/23/01-2141/trails-for-america-in-the-21st-century</t>
  </si>
  <si>
    <t>https://www.govinfo.gov/content/pkg/FR-2001-01-23/pdf/01-2141.pdf</t>
  </si>
  <si>
    <t>Trails for America in the 21st Century</t>
  </si>
  <si>
    <t>66 FR 7395</t>
  </si>
  <si>
    <t>https://www.federalregister.gov/documents/2001/01/23/01-2214/final-northwestern-hawaiian-islands-coral-reef-ecosystem-reserve</t>
  </si>
  <si>
    <t>https://www.govinfo.gov/content/pkg/FR-2001-01-23/pdf/01-2214.pdf</t>
  </si>
  <si>
    <t>Final Northwestern Hawaiian Islands Coral Reef Ecosystem Reserve</t>
  </si>
  <si>
    <t>Amends: EO 13178, December 4, 2000</t>
  </si>
  <si>
    <t>66 FR 7853</t>
  </si>
  <si>
    <t>https://www.federalregister.gov/documents/2001/01/25/01-2398/governmentwide-accountability-for-merit-system-principles-workforce-information</t>
  </si>
  <si>
    <t>https://www.govinfo.gov/content/pkg/FR-2001-01-25/pdf/01-2398.pdf</t>
  </si>
  <si>
    <t>Governmentwide Accountability for Merit System Principles; Workforce Information</t>
  </si>
  <si>
    <t>66 FR 8497</t>
  </si>
  <si>
    <t>https://www.federalregister.gov/documents/2001/01/31/01-2851/agency-responsibilities-with-respect-to-faith--based-and-community-initiatives</t>
  </si>
  <si>
    <t>https://www.govinfo.gov/content/pkg/FR-2001-01-31/pdf/01-2851.pdf</t>
  </si>
  <si>
    <t>Agency Responsibilities With Respect to Faith- Based and Community Initiatives</t>
  </si>
  <si>
    <t>See: EO 13559, November 17, 2010
Amended by: EO 14015, February 14, 2021</t>
  </si>
  <si>
    <t>66 FR 8499</t>
  </si>
  <si>
    <t>https://www.federalregister.gov/documents/2001/01/31/01-2852/establishment-of-white-house-office-of-faith--based-and-community-initiatives</t>
  </si>
  <si>
    <t>https://www.govinfo.gov/content/pkg/FR-2001-01-31/pdf/01-2852.pdf</t>
  </si>
  <si>
    <t>Establishment of White House Office of Faith- Based and Community Initiatives</t>
  </si>
  <si>
    <t>Amended by: EO 13498, February 5, 2009
See: EO 13559, November 17, 2010</t>
  </si>
  <si>
    <t>66 FR 10183</t>
  </si>
  <si>
    <t>https://www.federalregister.gov/documents/2001/02/14/01-3883/presidents-information-technology-advisory-committee-further-amendment-to-executive-order-13035-as</t>
  </si>
  <si>
    <t>https://www.govinfo.gov/content/pkg/FR-2001-02-14/pdf/01-3883.pdf</t>
  </si>
  <si>
    <t>President's Information Technology Advisory Committee, Further Amendment to Executive Order 13035, as Amended</t>
  </si>
  <si>
    <t>Amends:  EO 13035, February 11, 1997
See: EO 13092, July 24, 1998; EO 13113, February 10, 1999; EO 13215, May 31, 2001</t>
  </si>
  <si>
    <t>66 FR 11221</t>
  </si>
  <si>
    <t>https://www.federalregister.gov/documents/2001/02/22/01-4621/notification-of-employee-rights-concerning-payment-of-union-dues-or-fees</t>
  </si>
  <si>
    <t>https://www.govinfo.gov/content/pkg/FR-2001-02-22/pdf/01-4621.pdf</t>
  </si>
  <si>
    <t>Notification of Employee Rights Concerning Payment of Union Dues or Fees</t>
  </si>
  <si>
    <t>Revokes (in part): EO 12836, February 1, 1993
See:  EO 12800, April 13, 1992
Revoked by: EO 13496, January 30, 2009</t>
  </si>
  <si>
    <t>66 FR 11225</t>
  </si>
  <si>
    <t>https://www.federalregister.gov/documents/2001/02/22/01-4622/preservation-of-open-competition-and-government-neutrality-towards-government-contractorslabor</t>
  </si>
  <si>
    <t>https://www.govinfo.gov/content/pkg/FR-2001-02-22/pdf/01-4622.pdf</t>
  </si>
  <si>
    <t>Preservation of Open Competition and Government Neutrality Towards Government Contractors'Labor Relations on Federal and Federally Funded Construction Projects</t>
  </si>
  <si>
    <t>See: EO 12818, October 23, 1992
Revokes: EO 12836, February 1, 1993; Memorandum of June 5, 1997
Amended by: EO 13208, April 6, 2001
Revoked by: EO 13502, February 6, 2009</t>
  </si>
  <si>
    <t>66 FR 11227</t>
  </si>
  <si>
    <t>https://www.federalregister.gov/documents/2001/02/22/01-4623/revocation-of-executive-order-and-presidential-memorandum-concerning-labor-management-partnerships</t>
  </si>
  <si>
    <t>https://www.govinfo.gov/content/pkg/FR-2001-02-22/pdf/01-4623.pdf</t>
  </si>
  <si>
    <t>Revocation of Executive Order and Presidential Memorandum Concerning Labor-Management Partnerships</t>
  </si>
  <si>
    <t>Revokes: EO 12871, October 1, 1993; Memorandum of October 28, 1999
See:  EO 12983, December 21, 1995; EO 13156, May 17, 2000</t>
  </si>
  <si>
    <t>66 FR 11228</t>
  </si>
  <si>
    <t>https://www.federalregister.gov/documents/2001/02/22/01-4624/revocation-of-executive-order-on-nondisplacement-of-qualified-workers-under-certain-contracts</t>
  </si>
  <si>
    <t>https://www.govinfo.gov/content/pkg/FR-2001-02-22/pdf/01-4624.pdf</t>
  </si>
  <si>
    <t>Revocation of Executive Order on Nondisplacement of Qualified Workers Under Certain Contracts</t>
  </si>
  <si>
    <t>Revokes: EO 12933, October 20, 1994
Revoked by: EO 13495, January 30, 2009</t>
  </si>
  <si>
    <t>66 FR 15011</t>
  </si>
  <si>
    <t>https://www.federalregister.gov/documents/2001/03/14/01-6558/establishing-an-emergency-board-to-investigate-a-dispute-between-northwest-airlines-inc-and-its</t>
  </si>
  <si>
    <t>https://www.govinfo.gov/content/pkg/FR-2001-03-14/pdf/01-6558.pdf</t>
  </si>
  <si>
    <t>Establishing an Emergency Board To Investigate a Dispute Between Northwest Airlines, Inc., and Its Employees Represented by the Aircraft Mechanics Fraternal Association</t>
  </si>
  <si>
    <t>66 FR 18397</t>
  </si>
  <si>
    <t>https://www.federalregister.gov/documents/2001/04/09/01-8835/termination-of-emergency-authority-for-certain-export-controls</t>
  </si>
  <si>
    <t>https://www.govinfo.gov/content/pkg/FR-2001-04-09/pdf/01-8835.pdf</t>
  </si>
  <si>
    <t>Termination of Emergency Authority for Certain Export Controls</t>
  </si>
  <si>
    <t>See:  EO 12002, July 7, 1977; EO 12214, May 2, 1980; EO 12938, November 14, 1994; EO 12981, December 5, 1995; EO 13026, November 15, 1996
Revokes: EO 12924, August 19, 1994</t>
  </si>
  <si>
    <t>66 FR 18399</t>
  </si>
  <si>
    <t>https://www.federalregister.gov/documents/2001/04/09/01-8836/further-amendment-to-executive-order-10000-regulations-governing-additional-compensation-and-credit</t>
  </si>
  <si>
    <t>https://www.govinfo.gov/content/pkg/FR-2001-04-09/pdf/01-8836.pdf</t>
  </si>
  <si>
    <t>Further Amendment to Executive Order 10000, Regulations Governing Additional Compensation and Credit Granted Certain Employees of the Federal Government Serving Outside the United States</t>
  </si>
  <si>
    <t>Amends:  EO 10000, September 16, 1948</t>
  </si>
  <si>
    <t>66 FR 18717</t>
  </si>
  <si>
    <t>https://www.federalregister.gov/documents/2001/04/11/01-9086/amendment-to-executive-order-13202-preservation-of-open-competition-and-government-neutrality</t>
  </si>
  <si>
    <t>https://www.govinfo.gov/content/pkg/FR-2001-04-11/pdf/01-9086.pdf</t>
  </si>
  <si>
    <t>Amendment to Executive Order 13202, Preservation of Open Competition and Government Neutrality Towards Government Contractors' Labor Relations on Federal and Federally Funded Construction Projects</t>
  </si>
  <si>
    <t>Amends:  EO 13202, February 17, 2001
Revoked by: EO 13502, February 6, 2009</t>
  </si>
  <si>
    <t>66 FR 22105</t>
  </si>
  <si>
    <t>01-11210</t>
  </si>
  <si>
    <t>https://www.federalregister.gov/documents/2001/05/02/01-11210/amendment-to-executive-order-13183-establishment-of-the-presidents-task-force-on-puerto-ricos-statis</t>
  </si>
  <si>
    <t>https://www.govinfo.gov/content/pkg/FR-2001-05-02/pdf/01-11210.pdf</t>
  </si>
  <si>
    <t>Amendment to Executive Order 13183, Establishment of the President's Task Force on Puerto Rico's Statis</t>
  </si>
  <si>
    <t>Amends:  EO 13183, December 23, 2000</t>
  </si>
  <si>
    <t>66 FR 22895</t>
  </si>
  <si>
    <t>01-11505</t>
  </si>
  <si>
    <t>https://www.federalregister.gov/documents/2001/05/04/01-11505/presidents-commission-to-strengthen-social-security</t>
  </si>
  <si>
    <t>https://www.govinfo.gov/content/pkg/FR-2001-05-04/pdf/01-11505.pdf</t>
  </si>
  <si>
    <t>President's Commission To Strengthen Social Security</t>
  </si>
  <si>
    <t>Revoked by: EO 13316, September 17, 2003</t>
  </si>
  <si>
    <t>66 FR 28355</t>
  </si>
  <si>
    <t>01-13116</t>
  </si>
  <si>
    <t>https://www.federalregister.gov/documents/2001/05/22/01-13116/actions-concerning-regulations-that-significantly-affect-energy-supply-distribution-or-use</t>
  </si>
  <si>
    <t>https://www.govinfo.gov/content/pkg/FR-2001-05-22/pdf/01-13116.pdf</t>
  </si>
  <si>
    <t>Actions Concerning Regulations That Significantly Affect Energy Supply, Distribution, or Use</t>
  </si>
  <si>
    <t>66 FR 28357</t>
  </si>
  <si>
    <t>01-13117</t>
  </si>
  <si>
    <t>https://www.federalregister.gov/documents/2001/05/22/01-13117/actions-to-expedite-energy-related-projects</t>
  </si>
  <si>
    <t>https://www.govinfo.gov/content/pkg/FR-2001-05-22/pdf/01-13117.pdf</t>
  </si>
  <si>
    <t>Actions To Expedite Energy-Related Projects</t>
  </si>
  <si>
    <t>Amended by: EO 13286, February 28, 2003; EO 13302, May 15, 2003
See:  EO 13337, April 30, 2004</t>
  </si>
  <si>
    <t>66 FR 28829</t>
  </si>
  <si>
    <t>01-13381</t>
  </si>
  <si>
    <t>https://www.federalregister.gov/documents/2001/05/24/01-13381/additional-measures-with-respect-to-prohibiting-the-importation-of-rough-diamonds-from-sierra-leone</t>
  </si>
  <si>
    <t>https://www.govinfo.gov/content/pkg/FR-2001-05-24/pdf/01-13381.pdf</t>
  </si>
  <si>
    <t>Additional Measures With Respect To Prohibiting the Importation of Rough Diamonds From Sierra Leone</t>
  </si>
  <si>
    <t>Amends:  EO 13194, January 18, 2001
See:  Notice of January 15, 2002; Notice of January 16, 2003; EO 13312, July 29, 2003
Revoked by: EO 13324, January 15, 2004</t>
  </si>
  <si>
    <t>66 FR 29447</t>
  </si>
  <si>
    <t>01-13869</t>
  </si>
  <si>
    <t>https://www.federalregister.gov/documents/2001/05/31/01-13869/presidents-task-force-to-improve-health-care-delivery-for-our-nations-veterans</t>
  </si>
  <si>
    <t>https://www.govinfo.gov/content/pkg/FR-2001-05-31/pdf/01-13869.pdf</t>
  </si>
  <si>
    <t>President's Task Force To Improve Health Care Delivery for Our Nation's Veterans</t>
  </si>
  <si>
    <t>66 FR 30285</t>
  </si>
  <si>
    <t>01-14319</t>
  </si>
  <si>
    <t>https://www.federalregister.gov/documents/2001/06/05/01-14319/presidents-information-technology-advisory-committee-further-amendment-to-executive-order-13035-as</t>
  </si>
  <si>
    <t>https://www.govinfo.gov/content/pkg/FR-2001-06-05/pdf/01-14319.pdf</t>
  </si>
  <si>
    <t>President’s Information Technology Advisory Committee, Further Amendment to Executive Order 13035, as Amended</t>
  </si>
  <si>
    <t>Amends:  EO 13035, February 11, 1997
See:  EO 13092, July 24, 1998
EO 13113, February 10, 1999; EO 13200, February 11, 2001</t>
  </si>
  <si>
    <t>66 FR 31373</t>
  </si>
  <si>
    <t>01-14862</t>
  </si>
  <si>
    <t>https://www.federalregister.gov/documents/2001/06/11/01-14862/amendment-to-executive-order-13125-increasing-participation-of-asian-americans-and-pacific-islanders</t>
  </si>
  <si>
    <t>https://www.govinfo.gov/content/pkg/FR-2001-06-11/pdf/01-14862.pdf</t>
  </si>
  <si>
    <t>Amendment to Executive Order 13125, Increasing Participation of Asian Americans and Pacific Islanders in Federal Programs</t>
  </si>
  <si>
    <t>Amends:  EO 13125, June 7, 1999</t>
  </si>
  <si>
    <t>66 FR 33155</t>
  </si>
  <si>
    <t>01-15758</t>
  </si>
  <si>
    <t>https://www.federalregister.gov/documents/2001/06/21/01-15758/community-based-alternatives-for-individuals-with-disabilities</t>
  </si>
  <si>
    <t>https://www.govinfo.gov/content/pkg/FR-2001-06-21/pdf/01-15758.pdf</t>
  </si>
  <si>
    <t>Community-Based Alternatives for Individuals With Disabilities</t>
  </si>
  <si>
    <t>66 FR 33627</t>
  </si>
  <si>
    <t>01-15958</t>
  </si>
  <si>
    <t>https://www.federalregister.gov/documents/2001/06/22/01-15958/21st-century-workforce-initiative</t>
  </si>
  <si>
    <t>https://www.govinfo.gov/content/pkg/FR-2001-06-22/pdf/01-15958.pdf</t>
  </si>
  <si>
    <t>21st Century Workforce Initiative</t>
  </si>
  <si>
    <t>Amends:  EO 13111, January 12, 1999
Revokes: EO 13174, October 27, 2000
See:  EO 13316, September 17, 2003</t>
  </si>
  <si>
    <t>66 FR 34777</t>
  </si>
  <si>
    <t>01-16668</t>
  </si>
  <si>
    <t>https://www.federalregister.gov/documents/2001/06/29/01-16668/blocking-property-of-persons-who-threaten-international-stabilization-efforts-in-the-western-balkans</t>
  </si>
  <si>
    <t>https://www.govinfo.gov/content/pkg/FR-2001-06-29/pdf/01-16668.pdf</t>
  </si>
  <si>
    <t>Blocking Property of Persons Who Threaten International Stabilization Efforts in the Western Balkans</t>
  </si>
  <si>
    <t>Amended by: EO 13304, May 28, 2003
See:  Notice of June 20, 2003; Notice of June 24, 2004; Notice of June 23, 2005; Notice of June 22, 2006; Notice of June 22, 2007; Notice of June 24, 2008; Notice of June 22, 2009; Notice of June 8, 2010</t>
  </si>
  <si>
    <t>66 FR 35527</t>
  </si>
  <si>
    <t>01-17041</t>
  </si>
  <si>
    <t>https://www.federalregister.gov/documents/2001/07/05/01-17041/waiver-under-the-trade-act-of-1974-with-respect-to-the-republic-of-belarus</t>
  </si>
  <si>
    <t>https://www.govinfo.gov/content/pkg/FR-2001-07-05/pdf/01-17041.pdf</t>
  </si>
  <si>
    <t>Waiver Under the Trade Act of 1974 With Respect to the Republic of Belarus</t>
  </si>
  <si>
    <t>66 FR 40571</t>
  </si>
  <si>
    <t>01-19562</t>
  </si>
  <si>
    <t>https://www.federalregister.gov/documents/2001/08/02/01-19562/energy-efficient-standby-power-devices</t>
  </si>
  <si>
    <t>https://www.govinfo.gov/content/pkg/FR-2001-08-02/pdf/01-19562.pdf</t>
  </si>
  <si>
    <t>Energy Efficient Standby Power Devices</t>
  </si>
  <si>
    <t>66 FR 44025</t>
  </si>
  <si>
    <t>01-21338</t>
  </si>
  <si>
    <t>https://www.federalregister.gov/documents/2001/08/22/01-21338/continuation-of-export-control-regulations</t>
  </si>
  <si>
    <t>https://www.govinfo.gov/content/pkg/FR-2001-08-22/pdf/01-21338.pdf</t>
  </si>
  <si>
    <t>Continuation of Export Control Regulations</t>
  </si>
  <si>
    <t>See:  EO 12002, July 7, 1977; EO 12214, May 2, 1980; EO 12735, November 16, 1990; EO 12755, March 12, 1991; EO 12851, June 11, 1993; EO 13026, November 15, 1996; Notice of August 14, 2002 Notice of August 7, 2003; Notice of August 6, 2004; Notice of August 2, 2005; Memorandum of May 12, 2006; PD No. 2006-14 of May 18, 2006; Notice of August 3, 2006; Notice of August 15, 2007; Notice of July 23, 2008; Notice of August 13, 2009; Notice of August 12, 2010</t>
  </si>
  <si>
    <t>66 FR 48201</t>
  </si>
  <si>
    <t>01-23359</t>
  </si>
  <si>
    <t>https://www.federalregister.gov/documents/2001/09/18/01-23359/ordering-the-ready-reserve-of-the-armed-forces-to-active-duty-and-delegating-certain-authorities-to</t>
  </si>
  <si>
    <t>https://www.govinfo.gov/content/pkg/FR-2001-09-18/pdf/01-23359.pdf</t>
  </si>
  <si>
    <t>Ordering the Ready Reserve of the Armed Forces To Active Duty and Delegating Certain Authorities to the Secretary of Defense and the Secretary of Transportation</t>
  </si>
  <si>
    <t>Amended by: EO 13253, January 16, 2002; EO 13286, February 28, 2003; EO 13814, October 20, 2017
See:  Proclamation 7463, September 14, 2001 (66 FR 48199); Notice of September 12, 2002 (67 FR 58317); Notice of September 10, 2003 (68 FR 53665); Notice of September 10, 2004 (69 FR 55313); Notice of September 8, 2005 (70 FR 54229)</t>
  </si>
  <si>
    <t>66 FR 49079</t>
  </si>
  <si>
    <t>01-24205</t>
  </si>
  <si>
    <t>https://www.federalregister.gov/documents/2001/09/25/01-24205/blocking-property-and-prohibiting-transactions-with-persons-who-commit-threaten-to-commit-or-support</t>
  </si>
  <si>
    <t>https://www.govinfo.gov/content/pkg/FR-2001-09-25/pdf/01-24205.pdf</t>
  </si>
  <si>
    <t>Blocking Property and Prohibiting Transactions With Persons Who Commit, Threaten To Commit, or Support Terrorism</t>
  </si>
  <si>
    <t>Amended by: EO 13268, July 2, 2002; EO 13284, January 23, 2003 EO 13372, February 16, 2005
See:  Proclamation 7463, September 14, 2001 (66 FR 48199, September 18, 2001); Notice of September 19, 2002; Notice of September 18, 2003; EO 13338, May 11, 2004; Notice of September 21, 2004; Notice of September 21, 2005; Notice of September 21, 2006; Notice of September 20, 2007; Notice of September 18, 2008; Notice of September 21, 2009; Notice of September 16, 2010</t>
  </si>
  <si>
    <t>66 FR 50291</t>
  </si>
  <si>
    <t>01-24917</t>
  </si>
  <si>
    <t>https://www.federalregister.gov/documents/2001/10/03/01-24917/continuance-of-certain-federal-advisory-committees</t>
  </si>
  <si>
    <t>https://www.govinfo.gov/content/pkg/FR-2001-10-03/pdf/01-24917.pdf</t>
  </si>
  <si>
    <t>Continues: EO 11183, October 3, 1964; EO 11145, March 7, 1964; EO 11287, June 28, 1966; EO 12131, May 4, 1979; EO 12196, February 26, 1980; EO 12216, June 18, 1980; EO 12345, February 2, 1982; EO 12367, June 15, 1982; EO 12382, September 13, 1982; EO 12900, February 22, 1994; EO 12905, March 25, 1994; EO 12994, March 21, 1996; EO 13021, October 19, 1996 
Revokes: EO 13075, February 19, 1998; EO 13080, April 7, 1998; EO 13090, June 29, 1998; EO 13134, August 12, 1999 (in part); EO 13168, September 22, 2000
Supersedes (in part): EO 13138, September 30, 1999
Superseded by: EO 13316, September 17, 2003</t>
  </si>
  <si>
    <t>66 FR 50523</t>
  </si>
  <si>
    <t>01-24983</t>
  </si>
  <si>
    <t>https://www.federalregister.gov/documents/2001/10/03/01-24983/presidents-council-of-advisors-on-science-and-technology</t>
  </si>
  <si>
    <t>https://www.govinfo.gov/content/pkg/FR-2001-10-03/pdf/01-24983.pdf</t>
  </si>
  <si>
    <t>President's Council of Advisors on Science and Technology</t>
  </si>
  <si>
    <t>Revokes: EO 12882, November 23, 1993; EO 12907, April 14, 1994; EO 13138, September 30, 1999 (in part)
Amended by: EO 13305, May 28, 2003; EO 13349, July 23, 2004; EO 13385, September 29, 2005
Continued by: EO 13446, September 28, 2007; EO 13511, September 29, 2009
Revoked by: EO 13539, April 21, 2010</t>
  </si>
  <si>
    <t>66 FR 51287</t>
  </si>
  <si>
    <t>01-25344</t>
  </si>
  <si>
    <t>https://www.federalregister.gov/documents/2001/10/05/01-25344/presidents-commission-on-excellence-in-special-education</t>
  </si>
  <si>
    <t>https://www.govinfo.gov/content/pkg/FR-2001-10-05/pdf/01-25344.pdf</t>
  </si>
  <si>
    <t>President's Commission on Excellence in Special Education</t>
  </si>
  <si>
    <t>Amended by: EO 13255, February 6, 2002
Revoked by: EO 13316, September 17, 2003</t>
  </si>
  <si>
    <t>66 FR 51812</t>
  </si>
  <si>
    <t>01-25677</t>
  </si>
  <si>
    <t>https://www.federalregister.gov/documents/2001/10/10/01-25677/establishing-the-office-of-homeland-security-and-the-homeland-security-council</t>
  </si>
  <si>
    <t>https://www.govinfo.gov/content/pkg/FR-2001-10-10/pdf/01-25677.pdf</t>
  </si>
  <si>
    <t>Establishing the Office of Homeland Security and the Homeland Security Council</t>
  </si>
  <si>
    <t>Amends:  EO 12656, November 18, 1988
Amended by: EO 13284, January 23, 2003; EO 13286, February 28, 2003
See:  EO 13231, October 16, 2001; EO 13257, February 13, 2002</t>
  </si>
  <si>
    <t>66 FR 52013</t>
  </si>
  <si>
    <t>01-25788</t>
  </si>
  <si>
    <t>https://www.federalregister.gov/documents/2001/10/11/01-25788/amendment-to-executive-order-13045-extending-the-task-force-on-environmental-health-risks-and-safety</t>
  </si>
  <si>
    <t>https://www.govinfo.gov/content/pkg/FR-2001-10-11/pdf/01-25788.pdf</t>
  </si>
  <si>
    <t>Amendment to Executive Order 13045, Extending the Task Force on Environmental Health Risks and Safety Risks to Children</t>
  </si>
  <si>
    <t>Amends:  EO 13045, April 21, 1997</t>
  </si>
  <si>
    <t>66 FR 52841</t>
  </si>
  <si>
    <t>01-26339</t>
  </si>
  <si>
    <t>https://www.federalregister.gov/documents/2001/10/17/01-26339/presidents-advisory-commission-on-educational-excellence-for-hispanic-americans</t>
  </si>
  <si>
    <t>https://www.govinfo.gov/content/pkg/FR-2001-10-17/pdf/01-26339.pdf</t>
  </si>
  <si>
    <t>President's Advisory Commission on Educational Excellence for Hispanic Americans</t>
  </si>
  <si>
    <t>Revokes: EO 12900, February 22, 1994</t>
  </si>
  <si>
    <t>66 FR 53063</t>
  </si>
  <si>
    <t>01-26509</t>
  </si>
  <si>
    <t>https://www.federalregister.gov/documents/2001/10/18/01-26509/critical-infrastructure-protection-in-the-information-age</t>
  </si>
  <si>
    <t>https://www.govinfo.gov/content/pkg/FR-2001-10-18/pdf/01-26509.pdf</t>
  </si>
  <si>
    <t>Critical Infrastructure Protection in the Information Age</t>
  </si>
  <si>
    <t>See:  EO 12333, December 4, 1981; EO 12382, September 13, 1982; EO 12472, April 3, 1984; EO 12958, April 17, 1995; EO 13228, October 8, 2001; EO 13585, September 30, 2011
Revokes: EO 13130, July 14, 1999
Amended by: EO 13284, January 23, 2003; EO 13286, February 28, 2003; EO 13316, September 17, 2003; EO 13385, September 29, 2005;  EO 13652, September 30, 2013, EO 14048, September 30, 2021
Continued by: EO 13446, September 28, 2007; EO 13511, September 29, 2009; EO 13652, September 30, 2013; EO 13708, September 30, 2015; EO 13811, September 29, 2017</t>
  </si>
  <si>
    <t>66 FR 53941</t>
  </si>
  <si>
    <t>01-26990</t>
  </si>
  <si>
    <t>https://www.federalregister.gov/documents/2001/10/24/01-26990/further-amendment-to-executive-order-10789-as-amended-to-authorize-the-department-of-health-and</t>
  </si>
  <si>
    <t>https://www.govinfo.gov/content/pkg/FR-2001-10-24/pdf/01-26990.pdf</t>
  </si>
  <si>
    <t>Further Amendment to Executive Order 10789, as Amended, To Authorize the Department of Health and Human Services To Exercise Certain Contracting Authority in Connection With National Defense Functions</t>
  </si>
  <si>
    <t>Amends:  EO 10789, November 14, 1958</t>
  </si>
  <si>
    <t>66 FR 56025</t>
  </si>
  <si>
    <t>01-27917</t>
  </si>
  <si>
    <t>https://www.federalregister.gov/documents/2001/11/05/01-27917/further-implementation-of-the-presidential-records-act</t>
  </si>
  <si>
    <t>https://www.govinfo.gov/content/pkg/FR-2001-11-05/pdf/01-27917.pdf</t>
  </si>
  <si>
    <t>Further Implementation of the Presidential Records Act</t>
  </si>
  <si>
    <t>Revokes: EO 12667, January 18, 1989
Revoked by: EO 13489, January 21, 2009</t>
  </si>
  <si>
    <t>66 FR 57355</t>
  </si>
  <si>
    <t>01-28762</t>
  </si>
  <si>
    <t>https://www.federalregister.gov/documents/2001/11/15/01-28762/presidential-task-force-on-citizen-preparedness-in-the-war-on-terrorism</t>
  </si>
  <si>
    <t>https://www.govinfo.gov/content/pkg/FR-2001-11-15/pdf/01-28762.pdf</t>
  </si>
  <si>
    <t>Presidential Task Force on Citizen Preparedness in the War on Terrorism</t>
  </si>
  <si>
    <t>66 FR 58343</t>
  </si>
  <si>
    <t>01-29219</t>
  </si>
  <si>
    <t>https://www.federalregister.gov/documents/2001/11/20/01-29219/national-emergency-construction-authority</t>
  </si>
  <si>
    <t>https://www.govinfo.gov/content/pkg/FR-2001-11-20/pdf/01-29219.pdf</t>
  </si>
  <si>
    <t>National Emergency Construction Authority</t>
  </si>
  <si>
    <t>See:  Notice of September 12, 2002 (67 FR 58317); Notice of September 10, 2003 (68 FR 53665); Notice of September 10, 2004 (69 FR 55313); Notice of September 8, 2005 (70 FR 54229)</t>
  </si>
  <si>
    <t>66 FR 59671</t>
  </si>
  <si>
    <t>01-29831</t>
  </si>
  <si>
    <t>https://www.federalregister.gov/documents/2001/11/29/01-29831/waiver-of-dual-compensation-provisions-of-the-central-intelligence-agency-retirement-act-of-1964</t>
  </si>
  <si>
    <t>https://www.govinfo.gov/content/pkg/FR-2001-11-29/pdf/01-29831.pdf</t>
  </si>
  <si>
    <t>Waiver of Dual Compensation Provisions of the Central Intelligence Agency Retirement Act of 1964</t>
  </si>
  <si>
    <t>66 FR 59851</t>
  </si>
  <si>
    <t>01-29948</t>
  </si>
  <si>
    <t>https://www.federalregister.gov/documents/2001/11/30/01-29948/creation-of-the-presidents-council-on-bioethics</t>
  </si>
  <si>
    <t>https://www.govinfo.gov/content/pkg/FR-2001-11-30/pdf/01-29948.pdf</t>
  </si>
  <si>
    <t>Creation of the President's Council on Bioethics</t>
  </si>
  <si>
    <t>Amended by: EO 13316, September 17, 2003; EO 13385, September 29, 2005
Continued by: EO 13446, September 28, 2007
Superseded by: EO 13521, November 24, 2009</t>
  </si>
  <si>
    <t>66 FR 63903</t>
  </si>
  <si>
    <t>01-30624</t>
  </si>
  <si>
    <t>https://www.federalregister.gov/documents/2001/12/10/01-30624/closing-of-federal-government-executive-departments-and-agencies-on-monday-december-24-2001</t>
  </si>
  <si>
    <t>https://www.govinfo.gov/content/pkg/FR-2001-12-10/pdf/01-30624.pdf</t>
  </si>
  <si>
    <t>Closing of Federal Government Executive Departments and Agencies on Monday, December 24, 2001</t>
  </si>
  <si>
    <t>See:  EO 11582, February 11, 1971</t>
  </si>
  <si>
    <t>66 FR 64907</t>
  </si>
  <si>
    <t>01-31119</t>
  </si>
  <si>
    <t>https://www.federalregister.gov/documents/2001/12/14/01-31119/designation-of-afghanistan-and-the-airspace-above-as-a-combat-zone</t>
  </si>
  <si>
    <t>https://www.govinfo.gov/content/pkg/FR-2001-12-14/pdf/01-31119.pdf</t>
  </si>
  <si>
    <t>Designation of Afghanistan and the Airspace Above as a Combat Zone</t>
  </si>
  <si>
    <t>66 FR 66257</t>
  </si>
  <si>
    <t>01-31665</t>
  </si>
  <si>
    <t>https://www.federalregister.gov/documents/2001/12/21/01-31665/council-of-europe-in-respect-of-the-group-of-states-against-corruption</t>
  </si>
  <si>
    <t>https://www.govinfo.gov/content/pkg/FR-2001-12-21/pdf/01-31665.pdf</t>
  </si>
  <si>
    <t>Council of Europe in Respect of the Group of States Against Corruption</t>
  </si>
  <si>
    <t>Revokes: EO 11957, January 13, 1977
Amended by: EO 13261, March 19, 2002</t>
  </si>
  <si>
    <t>66 FR 66258</t>
  </si>
  <si>
    <t>01-31666</t>
  </si>
  <si>
    <t>https://www.federalregister.gov/documents/2001/12/21/01-31666/providing-an-order-of-succession-within-the-department-of-agriculture</t>
  </si>
  <si>
    <t>https://www.govinfo.gov/content/pkg/FR-2001-12-21/pdf/01-31666.pdf</t>
  </si>
  <si>
    <t>Providing an Order of Succession Within the Department of Agriculture</t>
  </si>
  <si>
    <t>Revoked by: EO 13542, May 13, 2010</t>
  </si>
  <si>
    <t>66 FR 66260</t>
  </si>
  <si>
    <t>01-31667</t>
  </si>
  <si>
    <t>https://www.federalregister.gov/documents/2001/12/21/01-31667/providing-an-order-of-succession-within-the-department-of-commerce</t>
  </si>
  <si>
    <t>https://www.govinfo.gov/content/pkg/FR-2001-12-21/pdf/01-31667.pdf</t>
  </si>
  <si>
    <t>Providing an Order of Succession Within the Department of Commerce</t>
  </si>
  <si>
    <t>Revokes: EO 11880, October 2, 1975; EO 12608, September 9, 1987 (in part); EO 12998, April 5, 1996
Amended by: EO 13261, March 19, 2002</t>
  </si>
  <si>
    <t>66 FR 66262</t>
  </si>
  <si>
    <t>01-31668</t>
  </si>
  <si>
    <t>https://www.federalregister.gov/documents/2001/12/21/01-31668/providing-an-order-of-succession-within-the-department-of-housing-and-urban-development</t>
  </si>
  <si>
    <t>https://www.govinfo.gov/content/pkg/FR-2001-12-21/pdf/01-31668.pdf</t>
  </si>
  <si>
    <t>Providing an Order of Succession Within the Department of Housing and Urban Development</t>
  </si>
  <si>
    <t>Revokes: EO 11274, March 30, 1966
Amended by: EO 13261, March 19, 2002</t>
  </si>
  <si>
    <t>66 FR 66267</t>
  </si>
  <si>
    <t>01-31669</t>
  </si>
  <si>
    <t>https://www.federalregister.gov/documents/2001/12/21/01-31669/providing-an-order-of-succession-within-the-department-of-the-interior</t>
  </si>
  <si>
    <t>https://www.govinfo.gov/content/pkg/FR-2001-12-21/pdf/01-31669.pdf</t>
  </si>
  <si>
    <t>Providing an Order of Succession Within the Department of the Interior</t>
  </si>
  <si>
    <t>Revokes: EO 11487, October 6, 1969
Amended by: EO 13261, March 19, 2002</t>
  </si>
  <si>
    <t>66 FR 66268</t>
  </si>
  <si>
    <t>01-31670</t>
  </si>
  <si>
    <t>https://www.federalregister.gov/documents/2001/12/21/01-31670/providing-an-order-of-succession-within-the-department-of-labor</t>
  </si>
  <si>
    <t>https://www.govinfo.gov/content/pkg/FR-2001-12-21/pdf/01-31670.pdf</t>
  </si>
  <si>
    <t>Providing an Order of Succession Within the Department of Labor</t>
  </si>
  <si>
    <t>Revokes: EO 10513, January 19, 1954
Amended by: EO 13261, March 19, 2002</t>
  </si>
  <si>
    <t>66 FR 66270</t>
  </si>
  <si>
    <t>01-31671</t>
  </si>
  <si>
    <t>https://www.federalregister.gov/documents/2001/12/21/01-31671/providing-an-order-of-succession-within-the-department-of-the-treasury</t>
  </si>
  <si>
    <t>https://www.govinfo.gov/content/pkg/FR-2001-12-21/pdf/01-31671.pdf</t>
  </si>
  <si>
    <t>Providing an Order of Succession Within the Department of the Treasury</t>
  </si>
  <si>
    <t>Revokes: EO 11822, December 10, 1974
Amended by: EO 13261, March 19, 2002</t>
  </si>
  <si>
    <t>66 FR 66271</t>
  </si>
  <si>
    <t>01-31672</t>
  </si>
  <si>
    <t>https://www.federalregister.gov/documents/2001/12/21/01-31672/providing-an-order-of-succession-within-the-department-of-veterans-affairs</t>
  </si>
  <si>
    <t>https://www.govinfo.gov/content/pkg/FR-2001-12-21/pdf/01-31672.pdf</t>
  </si>
  <si>
    <t>Providing an Order of Succession Within the Department of Veterans Affairs</t>
  </si>
  <si>
    <t>Amended by: EO 13261, March 19, 2002
See:  Memorandum of February 12, 2003 (68 FR 10141)</t>
  </si>
  <si>
    <t>66 FR 66705</t>
  </si>
  <si>
    <t>01-31959</t>
  </si>
  <si>
    <t>https://www.federalregister.gov/documents/2001/12/27/01-31959/establishing-an-emergency-board-to-investigate-a-dispute-between-united-airlines-inc-and-its</t>
  </si>
  <si>
    <t>https://www.govinfo.gov/content/pkg/FR-2001-12-27/pdf/01-31959.pdf</t>
  </si>
  <si>
    <t>Establishing an Emergency Board To Investigate a Dispute Between United Airlines, Inc., and its Mechanics and Related Employees Represented by the International Association of Machinists and Aerospace Workers</t>
  </si>
  <si>
    <t>67 FR 639</t>
  </si>
  <si>
    <t>02-448</t>
  </si>
  <si>
    <t>https://www.federalregister.gov/documents/2002/01/07/02-448/adjustments-of-certain-rates-of-pay</t>
  </si>
  <si>
    <t>https://www.govinfo.gov/content/pkg/FR-2002-01-07/pdf/02-448.pdf</t>
  </si>
  <si>
    <t>Supersedes: EO 13182, December 23, 2000</t>
  </si>
  <si>
    <t>67 FR 1597</t>
  </si>
  <si>
    <t>02-917</t>
  </si>
  <si>
    <t>https://www.federalregister.gov/documents/2002/01/11/02-917/providing-an-order-of-succession-within-the-department-of-health-and-human-services</t>
  </si>
  <si>
    <t>https://www.govinfo.gov/content/pkg/FR-2002-01-11/pdf/02-917.pdf</t>
  </si>
  <si>
    <t>Providing an Order of Succession Within the Department of Health and Human Services</t>
  </si>
  <si>
    <t>Amended by: EO 13261, March 19, 2002
Revoked by: EO 13461, February 15, 2008</t>
  </si>
  <si>
    <t>67 FR 1599</t>
  </si>
  <si>
    <t>02-918</t>
  </si>
  <si>
    <t>https://www.federalregister.gov/documents/2002/01/11/02-918/providing-an-order-of-succession-within-the-department-of-state</t>
  </si>
  <si>
    <t>https://www.govinfo.gov/content/pkg/FR-2002-01-11/pdf/02-918.pdf</t>
  </si>
  <si>
    <t>Providing an Order of Succession Within the Department of State</t>
  </si>
  <si>
    <t>Revokes: EO 12343, January 27, 1982
Amended by: EO 13261, March 19, 2002</t>
  </si>
  <si>
    <t>67 FR 1601</t>
  </si>
  <si>
    <t>02-919</t>
  </si>
  <si>
    <t>https://www.federalregister.gov/documents/2002/01/11/02-919/exclusions-from-the-federal-labor-management-relations-program</t>
  </si>
  <si>
    <t>https://www.govinfo.gov/content/pkg/FR-2002-01-11/pdf/02-919.pdf</t>
  </si>
  <si>
    <t>Exclusions From the Federal Labor-Management Relations Program</t>
  </si>
  <si>
    <t>Amends: EO 12171, November 19, 1979</t>
  </si>
  <si>
    <t>67 FR 2791</t>
  </si>
  <si>
    <t>02-1594</t>
  </si>
  <si>
    <t>https://www.federalregister.gov/documents/2002/01/18/02-1594/amendment-to-executive-order-13223-ordering-the-ready-reserve-of-the-armed-forces-to-active-duty-and</t>
  </si>
  <si>
    <t>https://www.govinfo.gov/content/pkg/FR-2002-01-18/pdf/02-1594.pdf</t>
  </si>
  <si>
    <t>Amendment to Executive Order 13223, Ordering the Ready Reserve of the Armed Forces to Active Duty and Delegating Certain Authorities to the Secretary of Defense and the</t>
  </si>
  <si>
    <t>Amends: EO 13223, September 14, 2001
See: Notice of September 12, 2002 (67 FR 58317); Notice of September 10, 2003 (68 FR 53665); Notice of September 10, 2004 (69 FR 55313); Notice of September 8, 2005 (70 FR 54229)</t>
  </si>
  <si>
    <t>67 FR 4869</t>
  </si>
  <si>
    <t>https://www.federalregister.gov/documents/2002/02/01/02-2638/establishing-the-usa-freedom-corps</t>
  </si>
  <si>
    <t>https://www.govinfo.gov/content/pkg/FR-2002-02-01/pdf/02-2638.pdf</t>
  </si>
  <si>
    <t>Establishing the USA Freedom Corps</t>
  </si>
  <si>
    <t>Amends: EO 13286, February 28, 2003</t>
  </si>
  <si>
    <t>67 FR 6157</t>
  </si>
  <si>
    <t>https://www.federalregister.gov/documents/2002/02/08/02-3337/amendment-to-executive-order-13227-presidents-commission-on-excellence-in-special-education</t>
  </si>
  <si>
    <t>https://www.govinfo.gov/content/pkg/FR-2002-02-08/pdf/02-3337.pdf</t>
  </si>
  <si>
    <t>Amendment to Executive Order 13227, President's Commission on Excellence in Special Education</t>
  </si>
  <si>
    <t>Amends: EO 13227, October 2, 2001
See: EO 13316, September 17, 2003</t>
  </si>
  <si>
    <t>67 FR 6823</t>
  </si>
  <si>
    <t>https://www.federalregister.gov/documents/2002/02/14/02-3826/presidents-board-of-advisors-on-historically-black-colleges-and-universities</t>
  </si>
  <si>
    <t>https://www.govinfo.gov/content/pkg/FR-2002-02-14/pdf/02-3826.pdf</t>
  </si>
  <si>
    <t>President's Board of Advisors on Historically Black Colleges and Universities</t>
  </si>
  <si>
    <t>Revokes: EO 12876, November 1, 1993
Amended by: EO 13316, September 17, 2003; EO 13385, September 29, 2005
Continued by: EO 13446, September 28, 2007; EO 13511, September 29, 2009
Revoked by: EO 13532, February 26, 2010</t>
  </si>
  <si>
    <t>67 FR 7259</t>
  </si>
  <si>
    <t>https://www.federalregister.gov/documents/2002/02/19/02-4071/presidents-interagency-task-force-to-monitor-and-combat-trafficking-in-persons</t>
  </si>
  <si>
    <t>https://www.govinfo.gov/content/pkg/FR-2002-02-19/pdf/02-4071.pdf</t>
  </si>
  <si>
    <t>President's Interagency Task Force To Monitor and Combat Trafficking in Persons</t>
  </si>
  <si>
    <t>Amends: EO 13286, February 28, 2003; See: EO 13228, October 8, 2001; Amended by: EO 13333, March 18, 2004</t>
  </si>
  <si>
    <t>67 FR 9385</t>
  </si>
  <si>
    <t>https://www.federalregister.gov/documents/2002/02/28/02-5069/amending-executive-order-12866-on-regulatory-planning-and-review</t>
  </si>
  <si>
    <t>https://www.govinfo.gov/content/pkg/FR-2002-02-28/pdf/02-5069.pdf</t>
  </si>
  <si>
    <t>Amending Executive Order 12866 on Regulatory Planning and Review</t>
  </si>
  <si>
    <t>Amends: EO 12866, September 30, 1993
Revoked by: EO 13497, January 30, 2009</t>
  </si>
  <si>
    <t>67 FR 13239</t>
  </si>
  <si>
    <t>02-07085</t>
  </si>
  <si>
    <t>https://www.federalregister.gov/documents/2002/03/21/02-07085/designation-of-public-international-organizations-for-purposes-of-the-securities-exchange-act-of</t>
  </si>
  <si>
    <t>https://www.govinfo.gov/content/pkg/FR-2002-03-21/pdf/02-07085.pdf</t>
  </si>
  <si>
    <t>Designation of Public International Organizations for Purposes of the Securities Exchange Act of 1934 and the Foreign Corrupt Practices Act of 1977</t>
  </si>
  <si>
    <t>67 FR 13241</t>
  </si>
  <si>
    <t>02-07086</t>
  </si>
  <si>
    <t>https://www.federalregister.gov/documents/2002/03/21/02-07086/establishing-the-presidents-homeland-security-advisory-council-and-senior-advisory-committees-for</t>
  </si>
  <si>
    <t>https://www.govinfo.gov/content/pkg/FR-2002-03-21/pdf/02-07086.pdf</t>
  </si>
  <si>
    <t>Establishing the President's Homeland Security Advisory Council and Senior Advisory Committees for Homeland</t>
  </si>
  <si>
    <t>Amends: EO 13286, February 28, 2003
Revoked by: EO 13286, February 28, 2003 eff. March 31, 2003</t>
  </si>
  <si>
    <t>67 FR 13243</t>
  </si>
  <si>
    <t>https://www.federalregister.gov/documents/2002/03/21/02-7087/providing-an-order-of-succession-in-the-environmental-protection-agency-and-amending-certain-orders</t>
  </si>
  <si>
    <t>https://www.govinfo.gov/content/pkg/FR-2002-03-21/pdf/02-7087.pdf</t>
  </si>
  <si>
    <t>Providing An Order of Succession in the Environmental Protection Agency and Amending Certain Orders on Succession</t>
  </si>
  <si>
    <t>Amends: EO 13241, December 18, 2001; EO 13242, December 18, 2001; EO 13243, December 18, 2001; EO 13244, December 18, 2001; EO 13245, December 18, 2001; EO 13246, December 18, 2001; EO 13247, December 18, 2001; EO 13250, December 28, 2001; EO 13251, December 28, 2001; Amended by: EO 13344, July 9, 2004</t>
  </si>
  <si>
    <t>67 FR 18773</t>
  </si>
  <si>
    <t>https://www.federalregister.gov/documents/2002/04/17/02-9536/2002-amendments-to-the-manual-for-courts-martial-united-states</t>
  </si>
  <si>
    <t>https://www.govinfo.gov/content/pkg/FR-2002-04-17/pdf/02-9536.pdf</t>
  </si>
  <si>
    <t>2002 Amendments to the Manual for Courts-Martial, United States</t>
  </si>
  <si>
    <t>Amends: EO 12473, April 13, 1984
See: EO 13447, September 28, 2007</t>
  </si>
  <si>
    <t>67 FR 22337</t>
  </si>
  <si>
    <t>02-11166</t>
  </si>
  <si>
    <t>https://www.federalregister.gov/documents/2002/05/03/02-11166/presidents-new-freedom-commission-on-mental-health</t>
  </si>
  <si>
    <t>https://www.govinfo.gov/content/pkg/FR-2002-05-03/pdf/02-11166.pdf</t>
  </si>
  <si>
    <t>President's New Freedom Commission on Mental Health</t>
  </si>
  <si>
    <t>Revoked by: EO 13316, September 17, 2003
See: Proclamation 7804 of July 26, 2004</t>
  </si>
  <si>
    <t>67 FR 39243</t>
  </si>
  <si>
    <t>02-14497</t>
  </si>
  <si>
    <t>https://www.federalregister.gov/documents/2002/06/07/02-14497/amendment-to-executive-order-13180-air-traffic-performance-based-organization</t>
  </si>
  <si>
    <t>https://www.govinfo.gov/content/pkg/FR-2002-06-07/pdf/02-14497.pdf</t>
  </si>
  <si>
    <t>Amendment to Executive Order 13180, Air Traffic Performance-Based Organization</t>
  </si>
  <si>
    <t>Amends: EO 13180, December 7, 2000</t>
  </si>
  <si>
    <t>67 FR 39841</t>
  </si>
  <si>
    <t>02-14807</t>
  </si>
  <si>
    <t>https://www.federalregister.gov/documents/2002/06/11/02-14807/presidents-council-on-physical-fitness-and-sports</t>
  </si>
  <si>
    <t>https://www.govinfo.gov/content/pkg/FR-2002-06-11/pdf/02-14807.pdf</t>
  </si>
  <si>
    <t>President's Council on Physical Fitness and Sports</t>
  </si>
  <si>
    <t>Revokes: EO 12345, February 2, 1982
Amended by: EO 13316, September 17, 2003; EO 13385, September 29, 2005; EO 13545, June 22, 2010; EO 13824, February 26, 2018; EO 14048, September 30, 2021
Continued by: EO 13446, September 28, 2007; EO 13511, September 29, 2009; EO 13652, September 30, 2013; EO 13708, September 30, 2015; EO 13811, September 29, 2017
See: EO 13585, September 30, 2011</t>
  </si>
  <si>
    <t>67 FR 42467</t>
  </si>
  <si>
    <t>02-16040</t>
  </si>
  <si>
    <t>https://www.federalregister.gov/documents/2002/06/24/02-16040/activities-to-promote-personal-fitness</t>
  </si>
  <si>
    <t>https://www.govinfo.gov/content/pkg/FR-2002-06-24/pdf/02-16040.pdf</t>
  </si>
  <si>
    <t>Activities To Promote Personal Fitness</t>
  </si>
  <si>
    <t>67 FR 42469</t>
  </si>
  <si>
    <t>02-16041</t>
  </si>
  <si>
    <t>https://www.federalregister.gov/documents/2002/06/24/02-16041/establishing-a-transition-planning-office-for-the-department-of-homeland-security-within-the-office</t>
  </si>
  <si>
    <t>https://www.govinfo.gov/content/pkg/FR-2002-06-24/pdf/02-16041.pdf</t>
  </si>
  <si>
    <t>Establishing a Transition Planning Office for the Department of Homeland Security Within the Office of Management and Budget</t>
  </si>
  <si>
    <t>67 FR 44751</t>
  </si>
  <si>
    <t>02-16951</t>
  </si>
  <si>
    <t>https://www.federalregister.gov/documents/2002/07/03/02-16951/termination-of-emergency-with-respect-to-the-taliban-and-amendment-of-executive-order-13224-of</t>
  </si>
  <si>
    <t>https://www.govinfo.gov/content/pkg/FR-2002-07-03/pdf/02-16951.pdf</t>
  </si>
  <si>
    <t>Termination of Emergency With Respect to the Taliban and Amendment of Executive Order 13224 of September 23, 2001</t>
  </si>
  <si>
    <t>See: EO 13129, July 4, 1999; EO 13371, February 16, 2005
Amends: EO 13224, September 23, 2001</t>
  </si>
  <si>
    <t>67 FR 45287</t>
  </si>
  <si>
    <t>02-17273</t>
  </si>
  <si>
    <t>https://www.federalregister.gov/documents/2002/07/08/02-17273/expedited-naturalization-of-aliens-and-noncitizen-nationals-serving-in-an-active-duty-status-during</t>
  </si>
  <si>
    <t>https://www.govinfo.gov/content/pkg/FR-2002-07-08/pdf/02-17273.pdf</t>
  </si>
  <si>
    <t>Expedited Naturalization of Aliens and Noncitizen Nationals Serving in an Active-Duty Status During the War on Terrorism</t>
  </si>
  <si>
    <t>67 FR 45288</t>
  </si>
  <si>
    <t>02-17274</t>
  </si>
  <si>
    <t>https://www.federalregister.gov/documents/2002/07/08/02-17274/tribal-colleges-and-universities</t>
  </si>
  <si>
    <t>https://www.govinfo.gov/content/pkg/FR-2002-07-08/pdf/02-17274.pdf</t>
  </si>
  <si>
    <t>Tribal Colleges and Universities</t>
  </si>
  <si>
    <t>Revokes: EO 13021, October 19, 1996
Amended by: EO 13316, September 17, 2003; EO 13385, September 29, 2005
See: EO 13585, September 30, 2011; EO 13592, December 2, 2011</t>
  </si>
  <si>
    <t>67 FR 46091</t>
  </si>
  <si>
    <t>02-17640</t>
  </si>
  <si>
    <t>https://www.federalregister.gov/documents/2002/07/11/02-17640/establishment-of-the-corporate-fraud-task-force</t>
  </si>
  <si>
    <t>https://www.govinfo.gov/content/pkg/FR-2002-07-11/pdf/02-17640.pdf</t>
  </si>
  <si>
    <t>Establishment of the Corporate Fraud Task Force</t>
  </si>
  <si>
    <t>Amended by: EO 13286, February 28, 2003
Revoked by: EO 13519, November 17, 2009</t>
  </si>
  <si>
    <t>67 FR 53461</t>
  </si>
  <si>
    <t>02-21056</t>
  </si>
  <si>
    <t>https://www.federalregister.gov/documents/2002/08/16/02-21056/proper-consideration-of-small-entities-in-agency-rulemaking</t>
  </si>
  <si>
    <t>https://www.govinfo.gov/content/pkg/FR-2002-08-16/pdf/02-21056.pdf</t>
  </si>
  <si>
    <t>Proper Consideration of Small Entities in Agency Rulemaking</t>
  </si>
  <si>
    <t>See: EO 12866, September 30, 1993</t>
  </si>
  <si>
    <t>67 FR 56215</t>
  </si>
  <si>
    <t>02-22526</t>
  </si>
  <si>
    <t>https://www.federalregister.gov/documents/2002/09/03/02-22526/further-amending-executive-order-10173-as-amended-prescribing-regulations-relating-to-the</t>
  </si>
  <si>
    <t>https://www.govinfo.gov/content/pkg/FR-2002-09-03/pdf/02-22526.pdf</t>
  </si>
  <si>
    <t>Further Amending Executive Order 10173, as Amended, Prescribing Regulations Relating to the Safeguarding of Vessels, Harbors, Ports, and Waterfront Facilities of the United States</t>
  </si>
  <si>
    <t>See: EO 10173, October 18, 1950</t>
  </si>
  <si>
    <t>67 FR 59449</t>
  </si>
  <si>
    <t>02-24252</t>
  </si>
  <si>
    <t>https://www.federalregister.gov/documents/2002/09/23/02-24252/environmental-stewardship-and-transportation-infrastructure-project-reviews</t>
  </si>
  <si>
    <t>https://www.govinfo.gov/content/pkg/FR-2002-09-23/pdf/02-24252.pdf</t>
  </si>
  <si>
    <t>Environmental Stewardship and Transportation Infrastructure Project Reviews</t>
  </si>
  <si>
    <t>67 FR 62869</t>
  </si>
  <si>
    <t>02-25900</t>
  </si>
  <si>
    <t>https://www.federalregister.gov/documents/2002/10/09/02-25900/creating-a-board-of-inquiry-to-report-on-certain-labor-disputes-affecting-the-maritime-industry-of</t>
  </si>
  <si>
    <t>https://www.govinfo.gov/content/pkg/FR-2002-10-09/pdf/02-25900.pdf</t>
  </si>
  <si>
    <t>Creating a Board of Inquiry To Report on Certain Labor Disputes Affecting the Maritime Industry of the United States</t>
  </si>
  <si>
    <t>67 FR 69985</t>
  </si>
  <si>
    <t>02-29580</t>
  </si>
  <si>
    <t>https://www.federalregister.gov/documents/2002/11/19/02-29580/delegation-of-responsibilities-concerning-undocumented-aliens-interdicted-or-intercepted-in-the</t>
  </si>
  <si>
    <t>https://www.govinfo.gov/content/pkg/FR-2002-11-19/pdf/02-29580.pdf</t>
  </si>
  <si>
    <t>Delegation of Responsibilities Concerning Undocumented Aliens Interdicted or Intercepted in the Caribbean Region</t>
  </si>
  <si>
    <t>See: EO 12807, May 24, 1992
Amends: EO 13286, February 28, 2003</t>
  </si>
  <si>
    <t>67 FR 70305</t>
  </si>
  <si>
    <t>02-29832</t>
  </si>
  <si>
    <t>https://www.federalregister.gov/documents/2002/11/21/02-29832/delegation-of-certain-authorities-and-assignment-of-certain-functions-under-the-trade-act-of-2002</t>
  </si>
  <si>
    <t>https://www.govinfo.gov/content/pkg/FR-2002-11-21/pdf/02-29832.pdf</t>
  </si>
  <si>
    <t>Delegation of Certain Authorities and Assignment of Certain Functions Under the Trade Act of 2002</t>
  </si>
  <si>
    <t>Amends: EO 11846, March 27, 1975
Amended by: EO 13346, July 8, 2004</t>
  </si>
  <si>
    <t>67 FR 76671</t>
  </si>
  <si>
    <t>02-31624</t>
  </si>
  <si>
    <t>https://www.federalregister.gov/documents/2002/12/13/02-31624/presidents-commission-on-the-united-states-postal-service</t>
  </si>
  <si>
    <t>https://www.govinfo.gov/content/pkg/FR-2002-12-13/pdf/02-31624.pdf</t>
  </si>
  <si>
    <t>President's Commission on the United States Postal Service</t>
  </si>
  <si>
    <t>67 FR 77141</t>
  </si>
  <si>
    <t>02-31831</t>
  </si>
  <si>
    <t>https://www.federalregister.gov/documents/2002/12/16/02-31831/equal-protection-of-the-laws-for-faith-based-and-community-organizations</t>
  </si>
  <si>
    <t>https://www.govinfo.gov/content/pkg/FR-2002-12-16/pdf/02-31831.pdf</t>
  </si>
  <si>
    <t>Equal Protection of the Laws for Faith-Based and Community Organizations</t>
  </si>
  <si>
    <t>Amends: EO 11246, September 24, 1965
Amended by: EO 13403, May 12, 2006; EO 13559, November 17, 2010; EO 14015, February 14, 2021</t>
  </si>
  <si>
    <t>67 FR 77145</t>
  </si>
  <si>
    <t>02-31832</t>
  </si>
  <si>
    <t>https://www.federalregister.gov/documents/2002/12/16/02-31832/responsibilities-of-the-department-of-agriculture-and-the-agency-for-international-development-with</t>
  </si>
  <si>
    <t>https://www.govinfo.gov/content/pkg/FR-2002-12-16/pdf/02-31832.pdf</t>
  </si>
  <si>
    <t>Responsibilities of the Department of Agriculture and the Agency for International Development With Respect to Faith-Based and Community Initiatives</t>
  </si>
  <si>
    <t>Amended by: EO 14015, February 14, 2021</t>
  </si>
  <si>
    <t>67 FR 78319</t>
  </si>
  <si>
    <t>02-32518</t>
  </si>
  <si>
    <t>https://www.federalregister.gov/documents/2002/12/23/02-32518/half-day-closing-of-executive-departments-and-agencies-of-the-federal-government-on-tuesday-december</t>
  </si>
  <si>
    <t>https://www.govinfo.gov/content/pkg/FR-2002-12-23/pdf/02-32518.pdf</t>
  </si>
  <si>
    <t>Half-Day Closing of Executive Departments and Agencies of the Federal Government on Tuesday, December 24, 2002</t>
  </si>
  <si>
    <t>68 FR 1133</t>
  </si>
  <si>
    <t>03-464</t>
  </si>
  <si>
    <t>https://www.federalregister.gov/documents/2003/01/08/03-464/adjustments-of-certain-rates-of-pay</t>
  </si>
  <si>
    <t>https://www.govinfo.gov/content/pkg/FR-2003-01-08/pdf/03-464.pdf</t>
  </si>
  <si>
    <t>Superseded by: EO 13322, December 30, 2003</t>
  </si>
  <si>
    <t>68 FR 3371</t>
  </si>
  <si>
    <t>03-1798</t>
  </si>
  <si>
    <t>https://www.federalregister.gov/documents/2003/01/24/03-1798/establishing-the-office-of-global-communications</t>
  </si>
  <si>
    <t>https://www.govinfo.gov/content/pkg/FR-2003-01-24/pdf/03-1798.pdf</t>
  </si>
  <si>
    <t>Establishing the Office of Global Communications</t>
  </si>
  <si>
    <t>See:  EO 12333, December 4, 1981
Revoked by: EO 13385, September 29, 2005</t>
  </si>
  <si>
    <t>68 FR 4075</t>
  </si>
  <si>
    <t>https://www.federalregister.gov/documents/2003/01/28/03-2069/amendment-of-executive-orders-and-other-actions-in-connection-with-the-establishment-of-the</t>
  </si>
  <si>
    <t>https://www.govinfo.gov/content/pkg/FR-2003-01-28/pdf/03-2069.pdf</t>
  </si>
  <si>
    <t>Amendment of Executive Orders, and Other Actions, in Connection With the Establishment of the Department of Homeland Security</t>
  </si>
  <si>
    <t>Amends:  EO 10865, February 20, 1960; EO 11423, August 16, 1968; EO 11958, January 18, 1977; EO 12260, December 31, 1980; EO 12333, December 4, 1981; EO 12590, March 26, 1987; EO 12859, August 16, 1993; EO 12881, November 23, 1993; EO 12992, March 15, 1996; EO 13011, July 16, 1996; EO 13048, June 10, 1997; EO 13122, May 25, 1999; EO 13151, April 27, 2000; EO 13224, September 23, 2001; EO 13228, October 8, 2001; EO 13231, October 16, 2001; EO 13234, November 9, 2001
See:  EO 12829, January 6, 1993; EO 12958, April 17, 1995; EO 12968, August 2, 1995; EO 13286, February 28, 2003; EO 13371, February 16, 2005</t>
  </si>
  <si>
    <t>68 FR 5203</t>
  </si>
  <si>
    <t>https://www.federalregister.gov/documents/2003/02/03/03-2606/presidents-council-on-service-and-civic-participation</t>
  </si>
  <si>
    <t>https://www.govinfo.gov/content/pkg/FR-2003-02-03/pdf/03-2606.pdf</t>
  </si>
  <si>
    <t>President's Council on Service and Civic Participation</t>
  </si>
  <si>
    <t>Amended by: EO 13371, February 16, 2005; EO 13424, January 26, 2007; EO 13471, August 28, 2008</t>
  </si>
  <si>
    <t>68 FR 10619</t>
  </si>
  <si>
    <t>https://www.federalregister.gov/documents/2003/03/05/03-5343/amendment-of-executive-orders-and-other-actions-in-connection-with-the-transfer-of-certain-functions</t>
  </si>
  <si>
    <t>https://www.govinfo.gov/content/pkg/FR-2003-03-05/pdf/03-5343.pdf</t>
  </si>
  <si>
    <t>Amendment of Executive Orders, and Other Actions, in Connection With the Transfer of Certain Functions to the Secretary of Homeland Security</t>
  </si>
  <si>
    <t>Amends:  EO 4601, March 1, 1927; EO 10113, February 24, 1950; EO 10163, September 25, 1950; EO 10179, November 8, 1950; EO 10271, July 7, 1951; EO 10448, April 22, 1953; EO 10499, November 4, 1953; EO 10554, August 18, 1954; EO 10631, August 17, 1955; EO 10637, September 16, 1955; EO 10694, January 10, 1957; EO 10789, November 14, 1958; EO 10977, December 4, 1961; EO 11016, April 25, 1962; EO 11046, August 24, 1962; EO 11079, January 25, 1963; EO 11139, January 7, 1964; EO 11190, December 29, 1964; EO 11231, July 8, 1965; EO 11239, July 31, 1965; EO 11366, August 4, 1967; EO 11438, December 3, 1968; EO 11446, January 16, 1969; EO 11448, January 16, 1969; EO 11623, October 12, 1971; EO 11645, February 8, 1972; EO 11800, August 17, 1974; EO 11858, May 7, 1975; EO 11926, July 19, 1976; EO 11965, January 19, 1977; EO 12002, July 7, 1977; EO 12146, July 18, 1979; EO 12148, July 20, 1979; EO 12160, September 26, 1979; EO 12188, January 2, 1980; EO 12208, April 15, 1980; EO 12341, January 21, 1982; EO 12382, September 13, 1982; EO 12472, April 3, 1984; EO 12501, January 28, 1985; EO 12555, March 10, 1986; EO 12580, January 23, 1987; EO 12656, November 18, 1988; EO 12657, November 18, 1988; EO 12699, January 5, 1990; EO 12727, August 22, 1990; EO 12728, August 22, 1990; EO 12733, November 13, 1990; EO 12742, January 8, 1991; EO 12743, January 18, 1991; EO 12777, October 18, 1991; EO 12788, January 15, 1992; EO 12789, February 10, 1992; EO 12793, March 20, 1992; EO 12807, May 24, 1992; EO 12824, December 7, 1992; EO 12830, January 9, 1993; EO 12835, January 25, 1993; EO 12870, September 30, 1993; EO 12906, April 11, 1994; EO 12919, June 3, 1994; EO 12977, October 19, 1995; EO 12978, October 21, 1995; EO 12982, December 8, 1995; EO 12985, January 11, 1996; EO 12989, February 13, 1996; EO 13011, July 16, 1996; EO 13076, February 24, 1998; EO 13100, August 25, 1998; EO 13112, February 3, 1999; EO 13120, April 27, 1999; EO 13133, August 5, 1999; EO 13154, May 3, 2000; EO 13165, August 9, 2000; EO 13212, May 18, 2001; EO 13223, September 14, 2001; EO 13228, October 8, 2001; EO 13231, October 16, 2001; EO 13254, January 29, 2002; EO 13257, February 13, 2002; EO 13260, March 19, 2002; EO 13271, July 9, 2002; EO 13274, September 18, 2002; EO 13276, November 15, 2002
See:  EO 13130, July 14, 1999; EO 13284, January 23, 2003; Notice of September 10, 2003 (68 FR 53665); Notice of September 10, 2004 (69 FR 55313); EO 13362, November 29, 2004; EO 13373, March 10, 2005; Notice of September 8, 2005 (70 FR 54229
Revokes: EO 13260, March 19, 2002 eff. March 31, 2002
Amended by: EO 13442, August 13, 2007; EO 13753, December 9, 2016</t>
  </si>
  <si>
    <t>68 FR 10635</t>
  </si>
  <si>
    <t>03-05344</t>
  </si>
  <si>
    <t>https://www.federalregister.gov/documents/2003/03/05/03-05344/preserve-america</t>
  </si>
  <si>
    <t>https://www.govinfo.gov/content/pkg/FR-2003-03-05/pdf/03-05344.pdf</t>
  </si>
  <si>
    <t>Preserve America</t>
  </si>
  <si>
    <t>68 FR 11457</t>
  </si>
  <si>
    <t>https://www.federalregister.gov/documents/2003/03/10/03-5848/blocking-property-of-persons-undermining-democratic-processes-or-institutions-in-zimbabwe</t>
  </si>
  <si>
    <t>https://www.govinfo.gov/content/pkg/FR-2003-03-10/pdf/03-5848.pdf</t>
  </si>
  <si>
    <t>Blocking Property of Persons Undermining Democratic Processes or Institutions in Zimbabwe</t>
  </si>
  <si>
    <t>See: Notice of March 2, 2004; Notice of March 2, 2005; Notice of February 27, 2006; Notice of February 28, 2007; Notice of March 4, 2008; EO 13469, July 25, 2008; Notice of March 3, 2009; Notice of March 1, 2010
Amended by: EO 13391, November 22, 2005
Superseded in part by: EO 13391, November 22, 2005</t>
  </si>
  <si>
    <t>68 FR 12567</t>
  </si>
  <si>
    <t>https://www.federalregister.gov/documents/2003/03/14/03-6445/establishing-the-global-war-on-terrorism-medals</t>
  </si>
  <si>
    <t>https://www.govinfo.gov/content/pkg/FR-2003-03-14/pdf/03-6445.pdf</t>
  </si>
  <si>
    <t>Establishing the Global War on Terrorism Medals</t>
  </si>
  <si>
    <t>See:  EO 10977, December 4, 1961; EO 12985, January 11, 1996; EO 13363, November 29, 2004;  EO 13723, March 30, 2016</t>
  </si>
  <si>
    <t>68 FR 14307</t>
  </si>
  <si>
    <t>https://www.federalregister.gov/documents/2003/03/24/03-7160/confiscating-and-vesting-certain-iraqi-property</t>
  </si>
  <si>
    <t>https://www.govinfo.gov/content/pkg/FR-2003-03-24/pdf/03-7160.pdf</t>
  </si>
  <si>
    <t>Confiscating and Vesting Certain Iraqi Property</t>
  </si>
  <si>
    <t>See:  EO 13303, May 22, 2003
Notice of July 31, 2003 (68 FR 45739); Notice of May 19, 2005 (70 FR 29435
Amended by: EO 13350, July 29, 2004</t>
  </si>
  <si>
    <t>68 FR 14525</t>
  </si>
  <si>
    <t>https://www.federalregister.gov/documents/2003/03/25/03-7313/further-adjustment-of-certain-rates-of-pay</t>
  </si>
  <si>
    <t>https://www.govinfo.gov/content/pkg/FR-2003-03-25/pdf/03-7313.pdf</t>
  </si>
  <si>
    <t>Further Adjustment of Certain Rates of Pay</t>
  </si>
  <si>
    <t>Amends:  EO 13282, December 31, 2002
See:  EO 13322, December 30, 2003</t>
  </si>
  <si>
    <t>68 FR 15315</t>
  </si>
  <si>
    <t>https://www.federalregister.gov/documents/2003/03/28/03-7736/further-amendment-to-executive-order-12958-as-amended-classified-national-security-information</t>
  </si>
  <si>
    <t>https://www.govinfo.gov/content/pkg/FR-2003-03-28/pdf/03-7736.pdf</t>
  </si>
  <si>
    <t>Further Amendment to Executive Order 12958, as Amended, Classified National Security Information</t>
  </si>
  <si>
    <t>See:  EO 12356, April 6, 1982
Amends:  EO 12958, April 17, 1995
Revoked by: EO 13526, December 29, 2009</t>
  </si>
  <si>
    <t>68 FR 15917</t>
  </si>
  <si>
    <t>https://www.federalregister.gov/documents/2003/04/01/03-8108/amendment-to-executive-order-10448-establishing-the-national-defense-service-medal</t>
  </si>
  <si>
    <t>https://www.govinfo.gov/content/pkg/FR-2003-04-01/pdf/03-8108.pdf</t>
  </si>
  <si>
    <t>Amendment to Executive Order 10448, Establishing the National Defense Service Medal</t>
  </si>
  <si>
    <t>Amends:  EO 10448, April 22, 1953
See:  EO 12776, October 8, 1991</t>
  </si>
  <si>
    <t>https://www.federalregister.gov/documents/2003/04/01/03-8109/regulations-relating-to-hazardous-duty-incentive-pay-aviation-career-incentive-pay-and-submarine</t>
  </si>
  <si>
    <t>https://www.govinfo.gov/content/pkg/FR-2003-04-01/pdf/03-8109.pdf</t>
  </si>
  <si>
    <t>Regulations Relating to Hazardous Duty Incentive Pay, Aviation Career Incentive Pay, and Submarine Duty Incentive Pay</t>
  </si>
  <si>
    <t>Revokes: EO 11157, June 22, 1964; EO 11800, August 17, 1974</t>
  </si>
  <si>
    <t>68 FR 17255</t>
  </si>
  <si>
    <t>https://www.federalregister.gov/documents/2003/04/09/03-8832/revised-list-of-quarantinable-communicable-diseases</t>
  </si>
  <si>
    <t>https://www.govinfo.gov/content/pkg/FR-2003-04-09/pdf/03-8832.pdf</t>
  </si>
  <si>
    <t>Revised List of Quarantinable Communicable Diseases</t>
  </si>
  <si>
    <t>Revokes: EO 12452, December 22, 1983
Amended by: EO 13375, April 1, 2005; EO 14047, September 17, 2021</t>
  </si>
  <si>
    <t>68 FR 19931</t>
  </si>
  <si>
    <t>03-10194</t>
  </si>
  <si>
    <t>https://www.federalregister.gov/documents/2003/04/23/03-10194/amendments-to-executive-order-13045-protection-of-children-from-environmental-health-risks-and</t>
  </si>
  <si>
    <t>https://www.govinfo.gov/content/pkg/FR-2003-04-23/pdf/03-10194.pdf</t>
  </si>
  <si>
    <t>Amendments to Executive Order 13045, Protection of Children From Environmental Health Risks and Safety Risks</t>
  </si>
  <si>
    <t>68 FR 22565</t>
  </si>
  <si>
    <t>03-10606</t>
  </si>
  <si>
    <t>https://www.federalregister.gov/documents/2003/04/28/03-10606/applying-the-federal-physicians-comparability-allowance-amendments-of-2000-to-participants-in-the</t>
  </si>
  <si>
    <t>https://www.govinfo.gov/content/pkg/FR-2003-04-28/pdf/03-10606.pdf</t>
  </si>
  <si>
    <t>Applying the Federal Physicians Comparability Allowance Amendments of 2000 to Participants in the Foreign Service Retirement and Disability System, the Foreign Service Pension System, and the Central Intelligence Agency Retirement and Disability System</t>
  </si>
  <si>
    <t>68 FR 24857</t>
  </si>
  <si>
    <t>03-11713</t>
  </si>
  <si>
    <t>https://www.federalregister.gov/documents/2003/05/08/03-11713/termination-of-emergency-with-respect-to-the-actions-and-policies-of-unita-and-revocation-of-related</t>
  </si>
  <si>
    <t>https://www.govinfo.gov/content/pkg/FR-2003-05-08/pdf/03-11713.pdf</t>
  </si>
  <si>
    <t>Termination of Emergency With Respect to the Actions and Policies of Unita and Revocation of Related Executive Orders</t>
  </si>
  <si>
    <t>Revokes: EO 12865, September 26, 1993; EO 13069, December 12, 1997; EO 13098, August 18, 1998</t>
  </si>
  <si>
    <t>68 FR 25477</t>
  </si>
  <si>
    <t>03-11969</t>
  </si>
  <si>
    <t>https://www.federalregister.gov/documents/2003/05/12/03-11969/interagency-group-on-insular-areas</t>
  </si>
  <si>
    <t>https://www.govinfo.gov/content/pkg/FR-2003-05-12/pdf/03-11969.pdf</t>
  </si>
  <si>
    <t>Interagency Group on Insular Areas</t>
  </si>
  <si>
    <t>Superseded by: EO 13537, April 14, 2010</t>
  </si>
  <si>
    <t>68 FR 25807</t>
  </si>
  <si>
    <t>03-12071</t>
  </si>
  <si>
    <t>https://www.federalregister.gov/documents/2003/05/13/03-12071/facilitating-the-administration-of-justice-in-the-federal-courts</t>
  </si>
  <si>
    <t>https://www.govinfo.gov/content/pkg/FR-2003-05-13/pdf/03-12071.pdf</t>
  </si>
  <si>
    <t>Facilitating the Administration of Justice in the Federal Courts</t>
  </si>
  <si>
    <t>68 FR 26981</t>
  </si>
  <si>
    <t>03-12661</t>
  </si>
  <si>
    <t>https://www.federalregister.gov/documents/2003/05/19/03-12661/increasing-the-number-of-members-on-the-intelligence-oversight-board</t>
  </si>
  <si>
    <t>https://www.govinfo.gov/content/pkg/FR-2003-05-19/pdf/03-12661.pdf</t>
  </si>
  <si>
    <t>Increasing the Number of Members on the Intelligence Oversight Board</t>
  </si>
  <si>
    <t>Amends:  EO 12863, September 13, 1993; EO 13070, December 15, 1997
See: EO 13376, April 13, 2005</t>
  </si>
  <si>
    <t>68 FR 27429</t>
  </si>
  <si>
    <t>03-12766</t>
  </si>
  <si>
    <t>https://www.federalregister.gov/documents/2003/05/20/03-12766/amending-executive-order-13212-actions-to-expedite-energy-related-projects</t>
  </si>
  <si>
    <t>https://www.govinfo.gov/content/pkg/FR-2003-05-20/pdf/03-12766.pdf</t>
  </si>
  <si>
    <t>Amending Executive Order 13212, Actions to Expedite Energy-Related Projects</t>
  </si>
  <si>
    <t>Amends:  EO 13212, May 18, 2001</t>
  </si>
  <si>
    <t>68 FR 31931</t>
  </si>
  <si>
    <t>03-13412</t>
  </si>
  <si>
    <t>https://www.federalregister.gov/documents/2003/05/28/03-13412/protecting-the-development-fund-for-iraq-and-certain-other-property-in-which-iraq-has-an-interest</t>
  </si>
  <si>
    <t>https://www.govinfo.gov/content/pkg/FR-2003-05-28/pdf/03-13412.pdf</t>
  </si>
  <si>
    <t>Protecting the Development Fund for Iraq and Certain Other Property in Which Iraq Has an Interest</t>
  </si>
  <si>
    <t>See: EO 12722, August 8, 1990; EO 12724, August 9, 1990; EO 13290, March 20, 2003; EO 13315, August 28, 2003; EO 13350, July 29, 2004; EO 13438, July 17, 2007; Notice of May 20, 2004; Notice of May 19, 2005; Notice of May 18, 2006; Notice of May 18, 2007; Notice of May 20, 2008; Notice of May 19, 2009; Notice of May 12, 2010; EO 13668, May 27, 2014
Amended by: EO 13364, November 29, 2004</t>
  </si>
  <si>
    <t>68 FR 32315</t>
  </si>
  <si>
    <t>03-13694</t>
  </si>
  <si>
    <t>https://www.federalregister.gov/documents/2003/05/29/03-13694/termination-of-emergencies-with-respect-to-yugoslavia-and-modification-of-executive-order-13219-of</t>
  </si>
  <si>
    <t>https://www.govinfo.gov/content/pkg/FR-2003-05-29/pdf/03-13694.pdf</t>
  </si>
  <si>
    <t>Termination of Emergencies With Respect to Yugoslavia and Modification of Executive Order 13219 of June 26, 2001</t>
  </si>
  <si>
    <t>Revokes: EO 12808, May 30, 1992; EO 12810, June 5, 1992; EO 12831, January 15, 1993; EO 13088, June 9, 1998; EO 13121, April 30, 1999; EO 13192, January 17, 2001
Amends: EO 13219, June 26, 2001 
See:  Notice of June 20, 2003; Notice of June 24, 2004; Notice of June 23, 2005; Notice of June 22, 2006; Notice of June 22, 2007; Notice of June 24, 2008; Notice of June 22, 2009; Notice of June 8, 2010</t>
  </si>
  <si>
    <t>68 FR 32323</t>
  </si>
  <si>
    <t>03-13750</t>
  </si>
  <si>
    <t>https://www.federalregister.gov/documents/2003/05/30/03-13750/extension-of-the-presidents-information-technology-advisory-committee-and-the-presidents-council-of</t>
  </si>
  <si>
    <t>https://www.govinfo.gov/content/pkg/FR-2003-05-30/pdf/03-13750.pdf</t>
  </si>
  <si>
    <t>Extension of the President's Information Technology Advisory Committee and the President's Council of Advisors on Science and Technology</t>
  </si>
  <si>
    <t>Amends:  EO 13035, February 11, 1997; EO 13226, September 30, 2001</t>
  </si>
  <si>
    <t>68 FR 33337</t>
  </si>
  <si>
    <t>03-14116</t>
  </si>
  <si>
    <t>https://www.federalregister.gov/documents/2003/06/03/03-14116/establishing-the-bob-hope-american-patriot-award</t>
  </si>
  <si>
    <t>https://www.govinfo.gov/content/pkg/FR-2003-06-03/pdf/03-14116.pdf</t>
  </si>
  <si>
    <t>Establishing the Bob Hope American Patriot Award</t>
  </si>
  <si>
    <t>68 FR 33338</t>
  </si>
  <si>
    <t>03-14117</t>
  </si>
  <si>
    <t>https://www.federalregister.gov/documents/2003/06/03/03-14117/european-central-bank</t>
  </si>
  <si>
    <t>https://www.govinfo.gov/content/pkg/FR-2003-06-03/pdf/03-14117.pdf</t>
  </si>
  <si>
    <t>European Central Bank</t>
  </si>
  <si>
    <t>68 FR 37691</t>
  </si>
  <si>
    <t>03-16102</t>
  </si>
  <si>
    <t>https://www.federalregister.gov/documents/2003/06/24/03-16102/further-amendment-to-executive-order-12580-as-amended-superfund-implementation</t>
  </si>
  <si>
    <t>https://www.govinfo.gov/content/pkg/FR-2003-06-24/pdf/03-16102.pdf</t>
  </si>
  <si>
    <t>Further Amendment to Executive Order 12580, as Amended, Superfund Implementation</t>
  </si>
  <si>
    <t>Amends:  EO 12580, January 23, 1987</t>
  </si>
  <si>
    <t>68 FR 44851</t>
  </si>
  <si>
    <t>03-19572</t>
  </si>
  <si>
    <t>https://www.federalregister.gov/documents/2003/07/30/03-19572/amendments-to-executive-order-12994-and-renaming-the-presidents-committee-on-mental-retardation-as</t>
  </si>
  <si>
    <t>https://www.govinfo.gov/content/pkg/FR-2003-07-30/pdf/03-19572.pdf</t>
  </si>
  <si>
    <t>Amendments to Executive Order 12994, and Renaming the President's Committee on Mental Retardation as the President's Committee for People with Intellectual Disabilities</t>
  </si>
  <si>
    <t>Amends:  EO 12994, March 21, 1996</t>
  </si>
  <si>
    <t>68 FR 44853</t>
  </si>
  <si>
    <t>03-19573</t>
  </si>
  <si>
    <t>https://www.federalregister.gov/documents/2003/07/30/03-19573/blocking-property-of-the-government-of-burma-and-prohibiting-certain-transactions</t>
  </si>
  <si>
    <t>https://www.govinfo.gov/content/pkg/FR-2003-07-30/pdf/03-19573.pdf</t>
  </si>
  <si>
    <t>Blocking Property of the Government of Burma and Prohibiting Certain Transactions</t>
  </si>
  <si>
    <t>Amends:  EO 13047, May 20, 1997
See: EO 13448, October 18, 2007; EO 13464, April 30, 2008; Notice of May 17, 2004;  Notice of May 17, 2005; Notice of May 18, 2006; Notice of May 17, 2007; Notice of May 16, 2008; Notice of May 14, 2009; Notice of May 13, 2010; EO 13619, July 11, 2012
Revoked by:   EO 13742, October 7, 2016</t>
  </si>
  <si>
    <t>68 FR 45149</t>
  </si>
  <si>
    <t>03-19675</t>
  </si>
  <si>
    <t>https://www.federalregister.gov/documents/2003/07/31/03-19675/homeland-security-information-sharing</t>
  </si>
  <si>
    <t>https://www.govinfo.gov/content/pkg/FR-2003-07-31/pdf/03-19675.pdf</t>
  </si>
  <si>
    <t>Homeland Security Information Sharing</t>
  </si>
  <si>
    <t>See:  EO 12958, April 17, 1995; EO 12968, August 2, 1995; EO 13356, August 27, 2004
Amended by: EO 13388, October 25, 2005</t>
  </si>
  <si>
    <t>68 FR 45151</t>
  </si>
  <si>
    <t>03-19676</t>
  </si>
  <si>
    <t>https://www.federalregister.gov/documents/2003/07/31/03-19676/implementing-the-clean-diamond-trade-act</t>
  </si>
  <si>
    <t>https://www.govinfo.gov/content/pkg/FR-2003-07-31/pdf/03-19676.pdf</t>
  </si>
  <si>
    <t>Implementing the Clean Diamond Trade Act</t>
  </si>
  <si>
    <t>See:  EO 13194, January 8, 2001; EO 13213, May 22, 2001</t>
  </si>
  <si>
    <t>68 FR 46073</t>
  </si>
  <si>
    <t>03-20013</t>
  </si>
  <si>
    <t>https://www.federalregister.gov/documents/2003/08/05/03-20013/delegation-of-certain-congressional-reporting-functions</t>
  </si>
  <si>
    <t>https://www.govinfo.gov/content/pkg/FR-2003-08-05/pdf/03-20013.pdf</t>
  </si>
  <si>
    <t>Delegation of Certain Congressional Reporting Functions</t>
  </si>
  <si>
    <t>68 FR 48249</t>
  </si>
  <si>
    <t>03-20764</t>
  </si>
  <si>
    <t>https://www.federalregister.gov/documents/2003/08/13/03-20764/waiver-under-the-trade-act-of-1974-with-respect-to-turkmenistan</t>
  </si>
  <si>
    <t>https://www.govinfo.gov/content/pkg/FR-2003-08-13/pdf/03-20764.pdf</t>
  </si>
  <si>
    <t>Waiver Under the Trade Act of 1974 With Respect to Turkmenistan</t>
  </si>
  <si>
    <t>68 FR 52315</t>
  </si>
  <si>
    <t>03-22543</t>
  </si>
  <si>
    <t>https://www.federalregister.gov/documents/2003/09/03/03-22543/blocking-property-of-the-former-iraqi-regime-its-senior-officials-and-their-family-members-and</t>
  </si>
  <si>
    <t>https://www.govinfo.gov/content/pkg/FR-2003-09-03/pdf/03-22543.pdf</t>
  </si>
  <si>
    <t>Blocking Property of the Former Iraqi Regime, Its Senior Officials and Their Family Members, and Taking Certain Other Actions</t>
  </si>
  <si>
    <t>See: EO 13303, May 22, 2003; EO 13364, November 29, 2004; EO 13438, July 17, 2007; Notice of May 20, 2004; Notice of May 19, 2005; Notice of May 18, 2006; Notice of May 18, 2007; Notice of May 20, 2008; Notice of May 19, 2009; Notice of May 12, 2010; EO 13668, May 27, 2014 
Superseded in part by:  EO 13350, July 29, 2004</t>
  </si>
  <si>
    <t>68 FR 55255</t>
  </si>
  <si>
    <t>03-24217</t>
  </si>
  <si>
    <t>https://www.federalregister.gov/documents/2003/09/23/03-24217/continuance-of-certain-federal-advisory-committees</t>
  </si>
  <si>
    <t>https://www.govinfo.gov/content/pkg/FR-2003-09-23/pdf/03-24217.pdf</t>
  </si>
  <si>
    <t>Continues: EO 11145, March 7, 1964; EO 11183, October 3, 1964; EO 11287, June 28, 1966; EO 12196, February 26, 1980; EO 12216, June 18, 1980; EO 12367, June 15, 1982; EO 12382, September 13, 1982; EO 12905, March 25, 1994; EO 13231, October 16, 2001; EO 13237, November 28, 2001; EO 13256, February 12, 2002; EO 13265, June 6, 2002; EO 13270, July 3, 2002
Amends:  EO 12131, May 4, 1979
Revokes: EO 12975, October 3, 1995; EO 13147, March 7, 2000; EO 13210, May 2, 2001; EO 13214, May 28, 2001; EO 13227, October 2, 2001; EO 13263, April 29, 2002; EO 13278, December 11, 2002
See:  EO 13018. September 16, 1996; EO 13046, May 16, 1997; EO 13137, September 15, 1999; EO 13167, September 15, 2000; EO 13188, January 12, 2001; EO 13218, June 20, 2001; EO 13255, February 6, 2002
Revokes in part: EO 13111, January 12, 1999; EO 13177, December 4, 2000
Supersedes: EO 13225, September 28, 2001
Superseded in part by: EO 13385, September 29, 2005</t>
  </si>
  <si>
    <t>68 FR 56515</t>
  </si>
  <si>
    <t>03-24919</t>
  </si>
  <si>
    <t>https://www.federalregister.gov/documents/2003/09/30/03-24919/volunteers-for-prosperity</t>
  </si>
  <si>
    <t>https://www.govinfo.gov/content/pkg/FR-2003-09-30/pdf/03-24919.pdf</t>
  </si>
  <si>
    <t>Volunteers for Prosperity</t>
  </si>
  <si>
    <t>Amended by: EO 13418, December 14, 2006</t>
  </si>
  <si>
    <t>68 FR 66317</t>
  </si>
  <si>
    <t>03-29644</t>
  </si>
  <si>
    <t>https://www.federalregister.gov/documents/2003/11/25/03-29644/presidential-management-fellows-program</t>
  </si>
  <si>
    <t>https://www.govinfo.gov/content/pkg/FR-2003-11-25/pdf/03-29644.pdf</t>
  </si>
  <si>
    <t>Presidential Management Fellows Program</t>
  </si>
  <si>
    <t>Supersedes: EO 12364, May 24, 1982 
Revoked by: EO 13562, December 27, 2010</t>
  </si>
  <si>
    <t>68 FR 68233</t>
  </si>
  <si>
    <t>03-30513</t>
  </si>
  <si>
    <t>https://www.federalregister.gov/documents/2003/12/08/03-30513/amendment-to-executive-order-13183-establishment-of-the-presidents-task-force-on-puerto-ricos-status</t>
  </si>
  <si>
    <t>https://www.govinfo.gov/content/pkg/FR-2003-12-08/pdf/03-30513.pdf</t>
  </si>
  <si>
    <t>Amendment to Executive Order 13183, Establishment of the President's Task Force on Puerto Rico's Status</t>
  </si>
  <si>
    <t>68 FR 69295</t>
  </si>
  <si>
    <t>03-30913</t>
  </si>
  <si>
    <t>https://www.federalregister.gov/documents/2003/12/12/03-30913/closing-of-executive-departments-and-agencies-of-the</t>
  </si>
  <si>
    <t>https://www.govinfo.gov/content/pkg/FR-2003-12-12/pdf/03-30913.pdf</t>
  </si>
  <si>
    <t>Closing of Executive Departments and Agencies of the</t>
  </si>
  <si>
    <t>68 FR 74465</t>
  </si>
  <si>
    <t>03-31594</t>
  </si>
  <si>
    <t>https://www.federalregister.gov/documents/2003/12/23/03-31594/appointments-during-national-emergency</t>
  </si>
  <si>
    <t>https://www.govinfo.gov/content/pkg/FR-2003-12-23/pdf/03-31594.pdf</t>
  </si>
  <si>
    <t>Appointments During National Emergency</t>
  </si>
  <si>
    <t>See:  EO 12396, December 9, 1982</t>
  </si>
  <si>
    <t>69 FR 231</t>
  </si>
  <si>
    <t>03-32328</t>
  </si>
  <si>
    <t>https://www.federalregister.gov/documents/2004/01/02/03-32328/adjustments-of-certain-rates-of-pay</t>
  </si>
  <si>
    <t>https://www.govinfo.gov/content/pkg/FR-2004-01-02/pdf/03-32328.pdf</t>
  </si>
  <si>
    <t>Supersedes: EO 13282, December 31, 2002
See: EO 13291, March 21, 2003
Superseded by: EO 13332, March 3, 2004</t>
  </si>
  <si>
    <t>69 FR 241</t>
  </si>
  <si>
    <t>03-32332</t>
  </si>
  <si>
    <t>https://www.federalregister.gov/documents/2004/01/02/03-32332/assignment-of-functions-relating-to-arrivals-in-and-departures-from-the-united-states</t>
  </si>
  <si>
    <t>https://www.govinfo.gov/content/pkg/FR-2004-01-02/pdf/03-32332.pdf</t>
  </si>
  <si>
    <t>Assignment of Functions Relating to Arrivals in and Departures From the United States</t>
  </si>
  <si>
    <t>69 FR 2823</t>
  </si>
  <si>
    <t>04-1322</t>
  </si>
  <si>
    <t>https://www.federalregister.gov/documents/2004/01/20/04-1322/termination-of-emergency-with-respect-to-sierra-leone-and-liberia</t>
  </si>
  <si>
    <t>https://www.govinfo.gov/content/pkg/FR-2004-01-20/pdf/04-1322.pdf</t>
  </si>
  <si>
    <t>Termination of Emergency With Respect to Sierra Leone and Liberia</t>
  </si>
  <si>
    <t>Revokes: EO 13194, January 8, 2001; EO 13213, May 2, 2001</t>
  </si>
  <si>
    <t>69 FR 4217</t>
  </si>
  <si>
    <t>https://www.federalregister.gov/documents/2004/01/28/04-1941/amendment-to-executive-order-12293-the-foreign-service-of-the-united-states</t>
  </si>
  <si>
    <t>https://www.govinfo.gov/content/pkg/FR-2004-01-28/pdf/04-1941.pdf</t>
  </si>
  <si>
    <t>Amendment to Executive Order 12293, the Foreign Service of the United States</t>
  </si>
  <si>
    <t>Amends: EO 12293, February 23, 1981
Revoked by: EO 13374, March 14, 2005</t>
  </si>
  <si>
    <t>69 FR 5255</t>
  </si>
  <si>
    <t>https://www.federalregister.gov/documents/2004/02/03/04-2408/presidents-commission-on-implementation-of-united-states-space-exploration-policy</t>
  </si>
  <si>
    <t>https://www.govinfo.gov/content/pkg/FR-2004-02-03/pdf/04-2408.pdf</t>
  </si>
  <si>
    <t>President's Commission on Implementation of United States Space Exploration Policy</t>
  </si>
  <si>
    <t>Revoked by: EO 13385, September 29, 2005</t>
  </si>
  <si>
    <t>69 FR 5897</t>
  </si>
  <si>
    <t>https://www.federalregister.gov/documents/2004/02/06/04-2773/federal-real-property-asset-management</t>
  </si>
  <si>
    <t>https://www.govinfo.gov/content/pkg/FR-2004-02-06/pdf/04-2773.pdf</t>
  </si>
  <si>
    <t>Federal Real Property Asset Management</t>
  </si>
  <si>
    <t>Revokes: EO 12512, April 29, 1985
Amended by: EO 13423, January 24, 2007; EO 13693, March 19, 2015</t>
  </si>
  <si>
    <t>69 FR 6901</t>
  </si>
  <si>
    <t>https://www.federalregister.gov/documents/2004/02/11/04-3170/commission-on-the-intelligence-capabilities-of-the-united-states-regarding-weapons-of-mass</t>
  </si>
  <si>
    <t>https://www.govinfo.gov/content/pkg/FR-2004-02-11/pdf/04-3170.pdf</t>
  </si>
  <si>
    <t>Commission on the Intelligence Capabilities of the United States Regarding Weapons of Mass Destruction</t>
  </si>
  <si>
    <t>69 FR 9181</t>
  </si>
  <si>
    <t>https://www.federalregister.gov/documents/2004/02/26/04-4436/encouraging-innovation-in-manufacturing</t>
  </si>
  <si>
    <t>https://www.govinfo.gov/content/pkg/FR-2004-02-26/pdf/04-4436.pdf</t>
  </si>
  <si>
    <t>Encouraging Innovation in Manufacturing</t>
  </si>
  <si>
    <t>See: EO 12958, April 17, 1995</t>
  </si>
  <si>
    <t>69 FR 9185</t>
  </si>
  <si>
    <t>https://www.federalregister.gov/documents/2004/02/26/04-4451/human-service-transportation-coordination</t>
  </si>
  <si>
    <t>https://www.govinfo.gov/content/pkg/FR-2004-02-26/pdf/04-4451.pdf</t>
  </si>
  <si>
    <t>Human Service Transportation Coordination</t>
  </si>
  <si>
    <t>See: Proclamation 7804 of July 26, 2004</t>
  </si>
  <si>
    <t>69 FR 9911</t>
  </si>
  <si>
    <t>https://www.federalregister.gov/documents/2004/03/03/04-4884/national-and-community-service-programs</t>
  </si>
  <si>
    <t>https://www.govinfo.gov/content/pkg/FR-2004-03-03/pdf/04-4884.pdf</t>
  </si>
  <si>
    <t>National and Community Service Programs</t>
  </si>
  <si>
    <t>69 FR 10891</t>
  </si>
  <si>
    <t>https://www.federalregister.gov/documents/2004/03/08/04-5322/further-adjustment-of-certain-rates-of-pay</t>
  </si>
  <si>
    <t>https://www.govinfo.gov/content/pkg/FR-2004-03-08/pdf/04-5322.pdf</t>
  </si>
  <si>
    <t>Supersedes: EO 13322, December 30, 2003
Superseded by: EO 13368, December 30, 2004</t>
  </si>
  <si>
    <t>69 FR 13455</t>
  </si>
  <si>
    <t>https://www.federalregister.gov/documents/2004/03/23/04-6622/amending-executive-order-13257-to-implement-the-trafficking-victims-protection-reauthorization-act</t>
  </si>
  <si>
    <t>https://www.govinfo.gov/content/pkg/FR-2004-03-23/pdf/04-6622.pdf</t>
  </si>
  <si>
    <t>Amending Executive Order 13257 To Implement the Trafficking Victims Protection Reauthorization Act of 2003</t>
  </si>
  <si>
    <t>Amends: EO 13257, February 13, 2002</t>
  </si>
  <si>
    <t>69 FR 19917</t>
  </si>
  <si>
    <t>https://www.federalregister.gov/documents/2004/04/14/04-8616/establishing-an-emergency-board-to-investigate-a-dispute-between-the-southeastern-pennsylvania</t>
  </si>
  <si>
    <t>https://www.govinfo.gov/content/pkg/FR-2004-04-14/pdf/04-8616.pdf</t>
  </si>
  <si>
    <t>Establishing an Emergency Board To Investigate a Dispute Between the Southeastern Pennsylvania Transportation Authority and its Conductors Represented by the United Transportation Union</t>
  </si>
  <si>
    <t>See: EO 13351, August 9, 2004</t>
  </si>
  <si>
    <t>69 FR 24059</t>
  </si>
  <si>
    <t>04-10024</t>
  </si>
  <si>
    <t>https://www.federalregister.gov/documents/2004/04/30/04-10024/incentives-for-the-use-of-health-information-technology-and-establishing-the-position-of-the</t>
  </si>
  <si>
    <t>https://www.govinfo.gov/content/pkg/FR-2004-04-30/pdf/04-10024.pdf</t>
  </si>
  <si>
    <t>Incentives for the Use of Health Information Technology and Establishing the Position of the National Health Information Technology Coordinator</t>
  </si>
  <si>
    <t>69 FR 25295</t>
  </si>
  <si>
    <t>04-10377</t>
  </si>
  <si>
    <t>https://www.federalregister.gov/documents/2004/05/05/04-10377/american-indian-and-alaska-native-education</t>
  </si>
  <si>
    <t>https://www.govinfo.gov/content/pkg/FR-2004-05-05/pdf/04-10377.pdf</t>
  </si>
  <si>
    <t>American Indian and Alaska Native Education</t>
  </si>
  <si>
    <t>Revokes: EO 13096, August 6, 1998
See: EO 13175, November 6, 2000; EO 13592, December 2, 2011</t>
  </si>
  <si>
    <t>69 FR 25299</t>
  </si>
  <si>
    <t>04-10378</t>
  </si>
  <si>
    <t>https://www.federalregister.gov/documents/2004/05/05/04-10378/issuance-of-permits-with-respect-to-certain-energy-related-facilities-and-land-transportation</t>
  </si>
  <si>
    <t>https://www.govinfo.gov/content/pkg/FR-2004-05-05/pdf/04-10378.pdf</t>
  </si>
  <si>
    <t>Issuance of Permits With Respect to Certain Energy-Related Facilities and Land Transportation Crossings on the International Boundaries of the United States</t>
  </si>
  <si>
    <t>See: EO 10485, September 3, 1953; EO 10530, May 10, 1954; EO 13212, May 18, 2001
Amends: EO 11423, August 16, 1968
Revoked by: EO 13867, April 10, 2019</t>
  </si>
  <si>
    <t>69 FR 26751</t>
  </si>
  <si>
    <t>04-11058</t>
  </si>
  <si>
    <t>https://www.federalregister.gov/documents/2004/05/13/04-11058/blocking-property-of-certain-persons-and-prohibiting-the-export-of-certain-goods-to-syria</t>
  </si>
  <si>
    <t>https://www.govinfo.gov/content/pkg/FR-2004-05-13/pdf/04-11058.pdf</t>
  </si>
  <si>
    <t>Blocking Property of Certain Persons and Prohibiting the Export of Certain Goods to Syria</t>
  </si>
  <si>
    <t xml:space="preserve">See: EO 13224, September 23, 2001; Notice of May 5, 2005; EO 13399, April 25, 2006; Notice of May 8, 2006; Notice of May 8, 2007; Notice of May 7, 2008; Notice of May 7, 2009; Notice of May 3, 2010; EO 13572, April 29, 2011; EO 13573, May 18, 2011; EO 13582, August 17, 2011
Amended by: EO 13460, February 13, 2008 </t>
  </si>
  <si>
    <t>69 FR 28037</t>
  </si>
  <si>
    <t>04-11271</t>
  </si>
  <si>
    <t>https://www.federalregister.gov/documents/2004/05/17/04-11271/increasing-economic-opportunity-and-business-participation-of-asian-americans-and-pacific-islanders</t>
  </si>
  <si>
    <t>https://www.govinfo.gov/content/pkg/FR-2004-05-17/pdf/04-11271.pdf</t>
  </si>
  <si>
    <t>Increasing Economic Opportunity and Business Participation of Asian Americans and Pacific Islanders</t>
  </si>
  <si>
    <t>Amended by: EO 13403, May 12, 2006
Superseded by: EO 13515, October 14, 2009; EO 14031, May 28, 2021</t>
  </si>
  <si>
    <t>69 FR 29043</t>
  </si>
  <si>
    <t>04-11592</t>
  </si>
  <si>
    <t>https://www.federalregister.gov/documents/2004/05/20/04-11592/establishment-of-great-lakes-interagency-task-force-and-promotion-of-a-regional-collaboration-of</t>
  </si>
  <si>
    <t>https://www.govinfo.gov/content/pkg/FR-2004-05-20/pdf/04-11592.pdf</t>
  </si>
  <si>
    <t>Establishment of Great Lakes Interagency Task Force and Promotion of a Regional Collaboration of National Significance for the Great Lakes</t>
  </si>
  <si>
    <t>69 FR 29843</t>
  </si>
  <si>
    <t>04-11991</t>
  </si>
  <si>
    <t>https://www.federalregister.gov/documents/2004/05/25/04-11991/further-amendment-to-executive-order-11023-providing-for-the-performance-by-the-secretary-of</t>
  </si>
  <si>
    <t>https://www.govinfo.gov/content/pkg/FR-2004-05-25/pdf/04-11991.pdf</t>
  </si>
  <si>
    <t>Further Amendment to Executive Order 11023, Providing for the Performance by the Secretary of Commerce of Certain Functions Relating to the National Oceanic and Atmospheric Administration</t>
  </si>
  <si>
    <t>69 FR 31509</t>
  </si>
  <si>
    <t>04-12745</t>
  </si>
  <si>
    <t>https://www.federalregister.gov/documents/2004/06/03/04-12745/responsibilities-of-the-departments-of-commerce-and-veterans-affairs-and-the-small-business</t>
  </si>
  <si>
    <t>https://www.govinfo.gov/content/pkg/FR-2004-06-03/pdf/04-12745.pdf</t>
  </si>
  <si>
    <t>Responsibilities of the Departments of Commerce and Veterans Affairs and the Small Business Administration With Respect to Faith-Based and Community Initiatives</t>
  </si>
  <si>
    <t>69 FR 32245</t>
  </si>
  <si>
    <t>04-13123</t>
  </si>
  <si>
    <t>https://www.federalregister.gov/documents/2004/06/08/04-13123/providing-for-the-closing-of-government-departments-and-agencies-on-june-11-2004</t>
  </si>
  <si>
    <t>https://www.govinfo.gov/content/pkg/FR-2004-06-08/pdf/04-13123.pdf</t>
  </si>
  <si>
    <t>Providing for the Closing of Government Departments and Agencies on June 11, 2004</t>
  </si>
  <si>
    <t>See: EO 11582, February 11, 1971</t>
  </si>
  <si>
    <t>69 FR 41747</t>
  </si>
  <si>
    <t>04-15787</t>
  </si>
  <si>
    <t>https://www.federalregister.gov/documents/2004/07/09/04-15787/amending-executive-order-13261-on-the-order-of-succession-in-the-environmental-protection-agency</t>
  </si>
  <si>
    <t>https://www.govinfo.gov/content/pkg/FR-2004-07-09/pdf/04-15787.pdf</t>
  </si>
  <si>
    <t>Amending Executive Order 13261 on the Order of Succession in the Environmental Protection Agency</t>
  </si>
  <si>
    <t>69 FR 41901</t>
  </si>
  <si>
    <t>04-15933</t>
  </si>
  <si>
    <t>https://www.federalregister.gov/documents/2004/07/13/04-15933/assigning-foreign-affairs-functions-and-implementing-the-enterprise-for-the-americas-initiative-and</t>
  </si>
  <si>
    <t>https://www.govinfo.gov/content/pkg/FR-2004-07-13/pdf/04-15933.pdf</t>
  </si>
  <si>
    <t>Assigning Foreign Affairs Functions and Implementing the Enterprise for the Americas Initiative and the Tropical Forest Conservation Act</t>
  </si>
  <si>
    <t>See: EO 11269, February 14, 1966
Revokes: EO 12757, March 19, 1991; EO 12823, December 3, 1992; EO 13028, December 3, 1996; EO 13131, July 22, 1999</t>
  </si>
  <si>
    <t>69 FR 41905</t>
  </si>
  <si>
    <t>04-15934</t>
  </si>
  <si>
    <t>https://www.federalregister.gov/documents/2004/07/13/04-15934/delegation-of-certain-waiver-determination-certification-recommendation-and-reporting-functions</t>
  </si>
  <si>
    <t>https://www.govinfo.gov/content/pkg/FR-2004-07-13/pdf/04-15934.pdf</t>
  </si>
  <si>
    <t>Delegation of Certain Waiver, Determination, Certification, Recommendation, and Reporting Functions</t>
  </si>
  <si>
    <t>Amends: EO 12163, September 29, 1979; EO 13277, November 19, 2002; See: EO 13419, December 20, 2006</t>
  </si>
  <si>
    <t>69 FR 44573</t>
  </si>
  <si>
    <t>04-17150</t>
  </si>
  <si>
    <t>https://www.federalregister.gov/documents/2004/07/26/04-17150/individuals-with-disabilities-in-emergency-preparedness</t>
  </si>
  <si>
    <t>https://www.govinfo.gov/content/pkg/FR-2004-07-26/pdf/04-17150.pdf</t>
  </si>
  <si>
    <t>Individuals With Disabilities in Emergency Preparedness</t>
  </si>
  <si>
    <t>69 FR 44885</t>
  </si>
  <si>
    <t>04-17205</t>
  </si>
  <si>
    <t>https://www.federalregister.gov/documents/2004/07/27/04-17205/blocking-property-of-certain-persons-and-prohibiting-the-importation-of-certain-goods-from-liberia</t>
  </si>
  <si>
    <t>https://www.govinfo.gov/content/pkg/FR-2004-07-27/pdf/04-17205.pdf</t>
  </si>
  <si>
    <t>Blocking Property of Certain Persons and Prohibiting the Importation of Certain Goods from Liberia</t>
  </si>
  <si>
    <t>See: Notice of July 19, 2005; Notice of July 18, 2006; Notice of July 19, 2007; Notice of July 16, 2008; Notice of July 16, 2009; Notice of July 19, 2010 
Revoked by: EO 13710, November 12, 2015</t>
  </si>
  <si>
    <t>69 FR 44891</t>
  </si>
  <si>
    <t>04-17204</t>
  </si>
  <si>
    <t>https://www.federalregister.gov/documents/2004/07/27/04-17204/amending-executive-order-13226-to-designate-the-presidents-council-of-advisors-on-science-and</t>
  </si>
  <si>
    <t>https://www.govinfo.gov/content/pkg/FR-2004-07-27/pdf/04-17204.pdf</t>
  </si>
  <si>
    <t>Amending Executive Order 13226 To Designate the President's Council of Advisors on Science and Technology To Serve as the National Nanotechnology Advisory Panel</t>
  </si>
  <si>
    <t>Amends: EO 13326, September 30, 2001</t>
  </si>
  <si>
    <t>69 FR 46055</t>
  </si>
  <si>
    <t>04-17636</t>
  </si>
  <si>
    <t>https://www.federalregister.gov/documents/2004/07/30/04-17636/termination-of-emergency-declared-in-executive-order-12722-with-respect-to-iraq-and-modification-of</t>
  </si>
  <si>
    <t>https://www.govinfo.gov/content/pkg/FR-2004-07-30/pdf/04-17636.pdf</t>
  </si>
  <si>
    <t>Termination of Emergency Declared in Executive Order 12722 With Respect to Iraq and Modification of Executive Order 13290, Executive Order 13303, and Executive Order 13315</t>
  </si>
  <si>
    <t>Revokes: EO 12722, August 2, 1990; EO 12724, August 9, 1990; EO 12734, November 14, 1990; EO 12743, January 18, 1991; EO 12751, February 14, 1991; EO 12817, October 21, 1992 
Amends: EO 13290, March 20, 2003 
Supersedes in part: EO 13315, August 28, 2003 
See: EO 13303, May 22, 2003; EO 13364, November 29, 2004; EO 13438, July 17, 2007; Notice of May 19, 2005; Notice of May 18, 2006; Notice of May 18, 2007; Notice of May 20, 2008; Notice of May 19, 2009; Notice of May 12, 2010</t>
  </si>
  <si>
    <t>69 FR 50047</t>
  </si>
  <si>
    <t>04-18575</t>
  </si>
  <si>
    <t>https://www.federalregister.gov/documents/2004/08/12/04-18575/establishing-an-emergency-board-to-investigate-a-dispute-between-the-southeastern-pennsylvania</t>
  </si>
  <si>
    <t>https://www.govinfo.gov/content/pkg/FR-2004-08-12/pdf/04-18575.pdf</t>
  </si>
  <si>
    <t>Establishing an Emergency Board To Investigate a Dispute Between the Southeastern Pennsylvania Transportation Authority and Its Conductors Represented by the United Transportation Union</t>
  </si>
  <si>
    <t>See: EO 13334, April 12, 2004; EO 13810, September 20, 2017</t>
  </si>
  <si>
    <t>69 FR 52989</t>
  </si>
  <si>
    <t>04-19909</t>
  </si>
  <si>
    <t>https://www.federalregister.gov/documents/2004/08/30/04-19909/facilitation-of-cooperative-conservation</t>
  </si>
  <si>
    <t>https://www.govinfo.gov/content/pkg/FR-2004-08-30/pdf/04-19909.pdf</t>
  </si>
  <si>
    <t>Facilitation of Cooperative Conservation</t>
  </si>
  <si>
    <t>69 FR 53585</t>
  </si>
  <si>
    <t>04-20049</t>
  </si>
  <si>
    <t>https://www.federalregister.gov/documents/2004/09/01/04-20049/establishing-the-presidents-board-on-safeguarding-americans-civil-liberties</t>
  </si>
  <si>
    <t>https://www.govinfo.gov/content/pkg/FR-2004-09-01/pdf/04-20049.pdf</t>
  </si>
  <si>
    <t>Establishing the President's Board on Safeguarding Americans' Civil Liberties</t>
  </si>
  <si>
    <t>69 FR 53589</t>
  </si>
  <si>
    <t>04-20050</t>
  </si>
  <si>
    <t>https://www.federalregister.gov/documents/2004/09/01/04-20050/national-counterterrorism-center</t>
  </si>
  <si>
    <t>https://www.govinfo.gov/content/pkg/FR-2004-09-01/pdf/04-20050.pdf</t>
  </si>
  <si>
    <t>National Counterterrorism Center</t>
  </si>
  <si>
    <t>Revoked by: EO 13470, July 30, 2008, read in conjunction with EO 12333, December 4, 1981
See: EO 12333, December 12, 1981; EO 12958, April 17, 1995; EO 13470, July 30, 2008</t>
  </si>
  <si>
    <t>69 FR 53593</t>
  </si>
  <si>
    <t>04-20051</t>
  </si>
  <si>
    <t>https://www.federalregister.gov/documents/2004/09/01/04-20051/strengthened-management-of-the-intelligence-community</t>
  </si>
  <si>
    <t>https://www.govinfo.gov/content/pkg/FR-2004-09-01/pdf/04-20051.pdf</t>
  </si>
  <si>
    <t>Strengthened Management of the Intelligence Community</t>
  </si>
  <si>
    <t>Amends: EO 12333, December 12, 1981
See: EO 13470, July 30, 2008
Revoked by: EO 13470, July 30, 2008, read in conjunction with EO 12333, December 4, 1981</t>
  </si>
  <si>
    <t>69 FR 53599</t>
  </si>
  <si>
    <t>04-20052</t>
  </si>
  <si>
    <t>https://www.federalregister.gov/documents/2004/09/01/04-20052/strengthening-the-sharing-of-terrorism-information-to-protect-americans</t>
  </si>
  <si>
    <t>https://www.govinfo.gov/content/pkg/FR-2004-09-01/pdf/04-20052.pdf</t>
  </si>
  <si>
    <t>Strengthening the Sharing of Terrorism Information To Protect Americans</t>
  </si>
  <si>
    <t>See: EO 12333, December 12, 1981; EO 12958, April 17, 1995; EO 13311, July 29, 2003 
Revoked by: EO 13388, October 25, 2005</t>
  </si>
  <si>
    <t>69 FR 56665</t>
  </si>
  <si>
    <t>04-21411</t>
  </si>
  <si>
    <t>https://www.federalregister.gov/documents/2004/09/22/04-21411/termination-of-emergency-declared-in-executive-order-12543-with-respect-to-the-policies-and-actions</t>
  </si>
  <si>
    <t>https://www.govinfo.gov/content/pkg/FR-2004-09-22/pdf/04-21411.pdf</t>
  </si>
  <si>
    <t>Termination of Emergency Declared in Executive Order 12543 With Respect to the Policies and Actions of the</t>
  </si>
  <si>
    <t>Revokes: EO 12538, November 15, 1985; EO 12543, January 7, 1986; EO 12544, January 8, 1986; EO 12801, April 15, 1992</t>
  </si>
  <si>
    <t>69 FR 58797</t>
  </si>
  <si>
    <t>04-22212</t>
  </si>
  <si>
    <t>https://www.federalregister.gov/documents/2004/09/30/04-22212/assignment-of-functions-relating-to-certain-appointments-promotions-and-commissions-in-the-armed</t>
  </si>
  <si>
    <t>https://www.govinfo.gov/content/pkg/FR-2004-09-30/pdf/04-22212.pdf</t>
  </si>
  <si>
    <t>Assignment of Functions Relating to Certain Appointments, Promotions, and Commissions in the Armed Forces</t>
  </si>
  <si>
    <t>69 FR 62391</t>
  </si>
  <si>
    <t>04-23994</t>
  </si>
  <si>
    <t>https://www.federalregister.gov/documents/2004/10/25/04-23994/amendment-to-executive-order-13173-interagency-task-force-on-the-economic-development-of-the-central</t>
  </si>
  <si>
    <t>https://www.govinfo.gov/content/pkg/FR-2004-10-25/pdf/04-23994.pdf</t>
  </si>
  <si>
    <t>Amendment to Executive Order 13173, Interagency Task Force on the Economic Development of the Central San Joaquin Valley</t>
  </si>
  <si>
    <t>Amends: EO 13173, October 25, 2000</t>
  </si>
  <si>
    <t>69 FR 62549</t>
  </si>
  <si>
    <t>04-24098</t>
  </si>
  <si>
    <t>https://www.federalregister.gov/documents/2004/10/26/04-24098/providing-opportunities-for-service-disabled-veteran-businesses-to-increase-their-federal</t>
  </si>
  <si>
    <t>https://www.govinfo.gov/content/pkg/FR-2004-10-26/pdf/04-24098.pdf</t>
  </si>
  <si>
    <t>Providing Opportunities for Service-Disabled Veteran Businesses To Increase Their Federal Contracting and Subcontracting</t>
  </si>
  <si>
    <t>69 FR 67633</t>
  </si>
  <si>
    <t>04-25866</t>
  </si>
  <si>
    <t>https://www.federalregister.gov/documents/2004/11/19/04-25866/assignment-of-functions-under-the-united-states-leadership-against-hivaids-tuberculosis-and-malaria</t>
  </si>
  <si>
    <t>https://www.govinfo.gov/content/pkg/FR-2004-11-19/pdf/04-25866.pdf</t>
  </si>
  <si>
    <t>Assignment of Functions Under the United States Leadership Against HIV/AIDS, Tuberculosis, and Malaria Act of 2003</t>
  </si>
  <si>
    <t>Amends: EO 12163, September 29, 1979</t>
  </si>
  <si>
    <t>69 FR 70173</t>
  </si>
  <si>
    <t>04-26684</t>
  </si>
  <si>
    <t>https://www.federalregister.gov/documents/2004/12/02/04-26684/designation-of-additional-officers-for-the-department-of-homeland-security-order-of-succession</t>
  </si>
  <si>
    <t>https://www.govinfo.gov/content/pkg/FR-2004-12-02/pdf/04-26684.pdf</t>
  </si>
  <si>
    <t>Designation of Additional Officers for the Department of Homeland Security Order of Succession</t>
  </si>
  <si>
    <t>See: EO 13286, February 28, 2003
Revoked by: EO 13442, August 13, 2007</t>
  </si>
  <si>
    <t>69 FR 70175</t>
  </si>
  <si>
    <t>04-26685</t>
  </si>
  <si>
    <t>https://www.federalregister.gov/documents/2004/12/02/04-26685/establishing-the-afghanistan-and-iraq-campaign-medals</t>
  </si>
  <si>
    <t>https://www.govinfo.gov/content/pkg/FR-2004-12-02/pdf/04-26685.pdf</t>
  </si>
  <si>
    <t>Establishing the Afghanistan and Iraq Campaign Medals</t>
  </si>
  <si>
    <t>See: EO 13289, March 12, 2003</t>
  </si>
  <si>
    <t>69 FR 70177</t>
  </si>
  <si>
    <t>04-26686</t>
  </si>
  <si>
    <t>https://www.federalregister.gov/documents/2004/12/02/04-26686/modifying-the-protection-granted-to-the-development-fund-for-iraq-and-certain-property-in-which-iraq</t>
  </si>
  <si>
    <t>https://www.govinfo.gov/content/pkg/FR-2004-12-02/pdf/04-26686.pdf</t>
  </si>
  <si>
    <t>Modifying the Protection Granted to the Development Fund for Iraq and Certain Property in Which Iraq Has an Interest and Protecting the Central Bank of Iraq</t>
  </si>
  <si>
    <t>Amends: EO 13303, May 22, 2003 
See: EO 13315, August 28, 2003; EO 13350, July 29, 2004; EO 13438, July 17, 2007; Notice of May 19, 2005; Notice of May 18, 2006; Notice of May 18, 2007; Notice of May 20, 2008; Notice of May 19, 2009; Notice of May 12, 2010</t>
  </si>
  <si>
    <t>69 FR 71333</t>
  </si>
  <si>
    <t>04-27076</t>
  </si>
  <si>
    <t>https://www.federalregister.gov/documents/2004/12/08/04-27076/2004-amendments-to-the-manual-for-courts-martial-united-states</t>
  </si>
  <si>
    <t>https://www.govinfo.gov/content/pkg/FR-2004-12-08/pdf/04-27076.pdf</t>
  </si>
  <si>
    <t>2004 Amendments to the Manual for Courts-Martial, United States</t>
  </si>
  <si>
    <t>Amends: EO 12473, April 13, 1984</t>
  </si>
  <si>
    <t>69 FR 76591</t>
  </si>
  <si>
    <t>04-28079</t>
  </si>
  <si>
    <t>https://www.federalregister.gov/documents/2004/12/21/04-28079/committee-on-ocean-policy</t>
  </si>
  <si>
    <t>https://www.govinfo.gov/content/pkg/FR-2004-12-21/pdf/04-28079.pdf</t>
  </si>
  <si>
    <t>Committee on Ocean Policy</t>
  </si>
  <si>
    <t>Revoked by: EO 13547, July 19, 2010</t>
  </si>
  <si>
    <t>69 FR 77605</t>
  </si>
  <si>
    <t>04-28404</t>
  </si>
  <si>
    <t>https://www.federalregister.gov/documents/2004/12/27/04-28404/united-states-mexico-border-health-commission</t>
  </si>
  <si>
    <t>https://www.govinfo.gov/content/pkg/FR-2004-12-27/pdf/04-28404.pdf</t>
  </si>
  <si>
    <t>United States-Mexico Border Health Commission</t>
  </si>
  <si>
    <t>70 FR 1147</t>
  </si>
  <si>
    <t>05-306</t>
  </si>
  <si>
    <t>https://www.federalregister.gov/documents/2005/01/05/05-306/adjustments-of-certain-rates-of-pay</t>
  </si>
  <si>
    <t>https://www.govinfo.gov/content/pkg/FR-2005-01-05/pdf/05-306.pdf</t>
  </si>
  <si>
    <t>Supersedes: EO 13332, March 3, 2004
Superseded by: EO 13393, December 22, 2005</t>
  </si>
  <si>
    <t>70 FR 2323</t>
  </si>
  <si>
    <t>05-771</t>
  </si>
  <si>
    <t>https://www.federalregister.gov/documents/2005/01/12/05-771/presidents-advisory-panel-on-federal-tax-reform</t>
  </si>
  <si>
    <t>https://www.govinfo.gov/content/pkg/FR-2005-01-12/pdf/05-771.pdf</t>
  </si>
  <si>
    <t>President's Advisory Panel on Federal Tax Reform</t>
  </si>
  <si>
    <t>Amended by: EO 13379, June 16, 2005; EO 13386, September 30, 2005; Revoked by: EO 13446, September 28, 2007</t>
  </si>
  <si>
    <t>70 FR 3137</t>
  </si>
  <si>
    <t>05-1170</t>
  </si>
  <si>
    <t>https://www.federalregister.gov/documents/2005/01/19/05-1170/providing-an-order-of-succession-in-the-office-of-management-and-budget</t>
  </si>
  <si>
    <t>https://www.govinfo.gov/content/pkg/FR-2005-01-19/pdf/05-1170.pdf</t>
  </si>
  <si>
    <t>Providing an Order of Succession in the Office of Management and Budget</t>
  </si>
  <si>
    <t>70 FR 5041</t>
  </si>
  <si>
    <t>05-1886</t>
  </si>
  <si>
    <t>https://www.federalregister.gov/documents/2005/01/31/05-1886/amendments-to-executive-order-13285-relating-to-the-presidents-council-on-service-and-civic</t>
  </si>
  <si>
    <t>https://www.govinfo.gov/content/pkg/FR-2005-01-31/pdf/05-1886.pdf</t>
  </si>
  <si>
    <t>Amendments to Executive Order 13285, Relating to the President's Council on Service and Civic Participation</t>
  </si>
  <si>
    <t>Amends: EO 13285, January 29, 2003</t>
  </si>
  <si>
    <t>70 FR 8499</t>
  </si>
  <si>
    <t>https://www.federalregister.gov/documents/2005/02/18/05-3385/clarification-of-certain-executive-orders-blocking-property-and-prohibiting-certain-transactions</t>
  </si>
  <si>
    <t>https://www.govinfo.gov/content/pkg/FR-2005-02-18/pdf/05-3385.pdf</t>
  </si>
  <si>
    <t>Clarification of Certain Executive Orders Blocking Property and Prohibiting Certain Transactions</t>
  </si>
  <si>
    <t>Amends: EO 12947, January 23, 1995; EO 13224, September 23, 2001; See: EO 13099, August 20, 1998; EO 13268, July 2, 2002; EO 13284, January 23, 2003</t>
  </si>
  <si>
    <t>70 FR 12579</t>
  </si>
  <si>
    <t>https://www.federalregister.gov/documents/2005/03/14/05-5097/amendments-to-executive-order-11926-relating-to-the-vice-presidential-service-badge</t>
  </si>
  <si>
    <t>https://www.govinfo.gov/content/pkg/FR-2005-03-14/pdf/05-5097.pdf</t>
  </si>
  <si>
    <t>Amendments to Executive Order 11926 Relating to the Vice Presidential Service Badge</t>
  </si>
  <si>
    <t>Amends: EO 11926, July 19, 1976; See: EO 13286, February 28, 2003</t>
  </si>
  <si>
    <t>70 FR 12961</t>
  </si>
  <si>
    <t>https://www.federalregister.gov/documents/2005/03/17/05-5434/amendments-to-executive-order-12293the-foreign-service-of-the-united-states</t>
  </si>
  <si>
    <t>https://www.govinfo.gov/content/pkg/FR-2005-03-17/pdf/05-5434.pdf</t>
  </si>
  <si>
    <t>Amendments to Executive Order 12293—The Foreign Service of the United States</t>
  </si>
  <si>
    <t>Amends: EO 12293, February 23, 1981; Revokes: EO 13325, January 23, 2004</t>
  </si>
  <si>
    <t>70 FR 17299</t>
  </si>
  <si>
    <t>https://www.federalregister.gov/documents/2005/04/05/05-6907/amendment-to-executive-order-13295-relating-to-certaininfluenza-viruses-and-quarantinable</t>
  </si>
  <si>
    <t>https://www.govinfo.gov/content/pkg/FR-2005-04-05/pdf/05-6907.pdf</t>
  </si>
  <si>
    <t>Amendment to Executive Order 13295 Relating to Certain
Influenza Viruses and Quarantinable Communicable Diseases</t>
  </si>
  <si>
    <t>Amends: EO 13295, April 4, 2003</t>
  </si>
  <si>
    <t>70 FR 20261</t>
  </si>
  <si>
    <t>https://www.federalregister.gov/documents/2005/04/18/05-7830/amendments-to-executive-order-12863-relating-to-the-presidents-foreign-intelligence-advisory-board</t>
  </si>
  <si>
    <t>https://www.govinfo.gov/content/pkg/FR-2005-04-18/pdf/05-7830.pdf</t>
  </si>
  <si>
    <t>Amendments to Executive Order 12863, Relating to the President's Foreign Intelligence Advisory Board</t>
  </si>
  <si>
    <t>Amends: EO 12863, September 13, 1993; See: EO 13070, December 15, 1997; EO 13301, May 14, 2003</t>
  </si>
  <si>
    <t>70 FR 20263</t>
  </si>
  <si>
    <t>https://www.federalregister.gov/documents/2005/04/18/05-7831/designating-the-african-union-as-a-public-international-organization-entitled-to-enjoy-certain</t>
  </si>
  <si>
    <t>https://www.govinfo.gov/content/pkg/FR-2005-04-18/pdf/05-7831.pdf</t>
  </si>
  <si>
    <t>Designating the African Union as a Public International Organization Entitled To Enjoy Certain Privileges, Exemptions, and Immunities</t>
  </si>
  <si>
    <t>Revokes: EO 11767, February 19, 1974</t>
  </si>
  <si>
    <t>70 FR 28413</t>
  </si>
  <si>
    <t>https://www.federalregister.gov/documents/2005/05/17/05-9892/amendments-to-executive-order-12788-relating-to-the-defense-economic-adjustment-program</t>
  </si>
  <si>
    <t>https://www.govinfo.gov/content/pkg/FR-2005-05-17/pdf/05-9892.pdf</t>
  </si>
  <si>
    <t>Amendments to Executive Order 12788 Relating to the Defense Economic Adjustment Program</t>
  </si>
  <si>
    <t>Amends: EO 12788, January 15, 1992</t>
  </si>
  <si>
    <t>70 FR 35505</t>
  </si>
  <si>
    <t>05-12284</t>
  </si>
  <si>
    <t>https://www.federalregister.gov/documents/2005/06/20/05-12284/amendment-to-executive-order-13369-relating-to-the-presidents-advisory-panel-on-federal-tax-reform</t>
  </si>
  <si>
    <t>https://www.govinfo.gov/content/pkg/FR-2005-06-20/pdf/05-12284.pdf</t>
  </si>
  <si>
    <t>Amendment to Executive Order 13369, Relating to the President's Advisory Panel on Federal Tax Reform</t>
  </si>
  <si>
    <t>Amends: EO 13369, January 7, 2005 
See: EO 13386, September 30, 2005; EO 13446, September 28, 2007</t>
  </si>
  <si>
    <t>70 FR 35509</t>
  </si>
  <si>
    <t>05-12354</t>
  </si>
  <si>
    <t>https://www.federalregister.gov/documents/2005/06/21/05-12354/implementing-amendments-to-agreement-on-border</t>
  </si>
  <si>
    <t>https://www.govinfo.gov/content/pkg/FR-2005-06-21/pdf/05-12354.pdf</t>
  </si>
  <si>
    <t>Implementing Amendments to Agreement on Border</t>
  </si>
  <si>
    <t>Amends: EO 13369, May 13, 1994</t>
  </si>
  <si>
    <t>70 FR 37953</t>
  </si>
  <si>
    <t>05-13098</t>
  </si>
  <si>
    <t>https://www.federalregister.gov/documents/2005/06/30/05-13098/strengthening-processes-relating-to-determining-eligibility-for-access-to-classified-national</t>
  </si>
  <si>
    <t>https://www.govinfo.gov/content/pkg/FR-2005-06-30/pdf/05-13098.pdf</t>
  </si>
  <si>
    <t>Strengthening Processes Relating to Determining Eligibility for Access to Classified National Security Information</t>
  </si>
  <si>
    <t>Amends: EO 12171, November 19, 1979 
See: EO 12958, April 17, 1995 
Amended by: EO 13403, May 12, 2006; EO 13408, June 29, 2006; EO 13436, June 28, 2007 
Revoked by: EO 13467, June 30, 2008</t>
  </si>
  <si>
    <t>70 FR 38567</t>
  </si>
  <si>
    <t>05-13214</t>
  </si>
  <si>
    <t>https://www.federalregister.gov/documents/2005/07/01/05-13214/blocking-property-of-weapons-of-mass-destruction-proliferators-and-their-supporters</t>
  </si>
  <si>
    <t>https://www.govinfo.gov/content/pkg/FR-2005-07-01/pdf/05-13214.pdf</t>
  </si>
  <si>
    <t>Blocking Property of Weapons of Mass Destruction Proliferators and Their Supporters</t>
  </si>
  <si>
    <t>Amends: EO 12938, November 14, 1994; See: EO 12735, November 16, 1990; EO 13094, July 28, 1998; Notice of October 25, 2005; Notice of October 27, 2006; Notice of November 8, 2007; Notice of November 10, 2008; Notice of November 6, 2009; EO 13810, September 20, 2017</t>
  </si>
  <si>
    <t>70 FR 41933</t>
  </si>
  <si>
    <t>05-14452</t>
  </si>
  <si>
    <t>https://www.federalregister.gov/documents/2005/07/20/05-14452/amending-executive-orders-12139-and-12949-in-light-of-establishment-of-the-office-of-director-of</t>
  </si>
  <si>
    <t>https://www.govinfo.gov/content/pkg/FR-2005-07-20/pdf/05-14452.pdf</t>
  </si>
  <si>
    <t>Amending Executive Orders 12139 and 12949 in Light of Establishment of the Office of Director of National Intelligence</t>
  </si>
  <si>
    <t>Amends: EO 12139, May 23, 1979; EO 12949, February 9, 1995</t>
  </si>
  <si>
    <t>70 FR 43739</t>
  </si>
  <si>
    <t>05-15160</t>
  </si>
  <si>
    <t>https://www.federalregister.gov/documents/2005/07/29/05-15160/assignment-of-functions-relating-to-original-appointments-as-commissioned-officers-and-chief-warrant</t>
  </si>
  <si>
    <t>https://www.govinfo.gov/content/pkg/FR-2005-07-29/pdf/05-15160.pdf</t>
  </si>
  <si>
    <t>Assignment of Functions Relating to Original Appointments as Commissioned Officers and Chief Warrant Officer Appointments in the Armed Forces</t>
  </si>
  <si>
    <t>70 FR 57989</t>
  </si>
  <si>
    <t>05-19993</t>
  </si>
  <si>
    <t>https://www.federalregister.gov/documents/2005/10/04/05-19993/continuance-of-certain-federal-advisory-committees-and-amendments-to-and-revocation-of-other</t>
  </si>
  <si>
    <t>https://www.govinfo.gov/content/pkg/FR-2005-10-04/pdf/05-19993.pdf</t>
  </si>
  <si>
    <t>Continuance of Certain Federal Advisory Committees and Amendments to and Revocation of Other Executive Orders</t>
  </si>
  <si>
    <t>Amends: EO 12216, June 18, 1980; EO 12367, June 15, 1982; EO 13226, September 30, 2001; EO 13231, October 16, 2001;
Supersedes in part: EO 13316, September 17, 2003;
Revokes: EO 13283, January 21, 2003; EO 13326, January 27, 2004; EO 13328, February 6, 2004; Continues: EO 11145, March 7, 1964; EO 11183, October 3, 1964; EO 11287, June 28, 1966; EO 12131, May 4, 1979; EO 12196, February 26, 1980; EO 12382, September 13, 1982; EO 12905, March 25, 1994; EO 12994, March 21, 1996; EO 13231, October 16, 2001; EO 13237, November 28, 2001; EO 13256, February 12, 2002; EO 13265, June 6, 2002; EO 13270, July 3, 2002 
Superseded in part by: EO 13446, September 28, 2007</t>
  </si>
  <si>
    <t>70 FR 58289</t>
  </si>
  <si>
    <t>05-20156</t>
  </si>
  <si>
    <t>https://www.federalregister.gov/documents/2005/10/05/05-20156/further-amendment-to-executive-order-13369-relating-to-the-presidents-advisory-panel-on-federal-tax</t>
  </si>
  <si>
    <t>https://www.govinfo.gov/content/pkg/FR-2005-10-05/pdf/05-20156.pdf</t>
  </si>
  <si>
    <t>Further Amendment to Executive Order 13369, Relating to the President's Advisory Panel on Federal Tax Reform</t>
  </si>
  <si>
    <t>Amends: EO 13369, January 7, 2005 
See: EO 13379, June 16, 2005; EO 13446, September 28, 2007</t>
  </si>
  <si>
    <t>70 FR 60697</t>
  </si>
  <si>
    <t>05-20944</t>
  </si>
  <si>
    <t>https://www.federalregister.gov/documents/2005/10/18/05-20944/2005-amendments-to-the-manual-for-courts-martial-united-states</t>
  </si>
  <si>
    <t>https://www.govinfo.gov/content/pkg/FR-2005-10-18/pdf/05-20944.pdf</t>
  </si>
  <si>
    <t>2005 Amendments to the Manual for Courts-Martial, United States</t>
  </si>
  <si>
    <t>Amends: EO 12473, April 13, 1984 
See: EO 12958, April 17, 1995</t>
  </si>
  <si>
    <t>70 FR 62023</t>
  </si>
  <si>
    <t>05-21571</t>
  </si>
  <si>
    <t>https://www.federalregister.gov/documents/2005/10/27/05-21571/further-strengthening-the-sharing-of-terrorism-information-to-protect-americans</t>
  </si>
  <si>
    <t>https://www.govinfo.gov/content/pkg/FR-2005-10-27/pdf/05-21571.pdf</t>
  </si>
  <si>
    <t>Further Strengthening the Sharing of Terrorism Information To Protect Americans</t>
  </si>
  <si>
    <t>Revokes: EO 13356, August 27, 2004 
Amends: EO 13311, July 29, 2003 
See: EO 12958, April 17, 1995</t>
  </si>
  <si>
    <t>70 FR 67325</t>
  </si>
  <si>
    <t>05-22132</t>
  </si>
  <si>
    <t>https://www.federalregister.gov/documents/2005/11/04/05-22132/creation-of-the-gulf-coast-recovery-and-rebuilding-council</t>
  </si>
  <si>
    <t>https://www.govinfo.gov/content/pkg/FR-2005-11-04/pdf/05-22132.pdf</t>
  </si>
  <si>
    <t>Creation of the Gulf Coast Recovery and Rebuilding Council</t>
  </si>
  <si>
    <t>Amended by: EO 13403, May 12, 2006; EO 13463, April 18, 2008</t>
  </si>
  <si>
    <t>70 FR 67327</t>
  </si>
  <si>
    <t>05-22133</t>
  </si>
  <si>
    <t>https://www.federalregister.gov/documents/2005/11/04/05-22133/establishment-of-a-coordinator-of-federal-support-for-the-recovery-and-rebuilding-of-the-gulf-coast</t>
  </si>
  <si>
    <t>https://www.govinfo.gov/content/pkg/FR-2005-11-04/pdf/05-22133.pdf</t>
  </si>
  <si>
    <t>Establishment of a Coordinator of Federal Support for the Recovery and Rebuilding of the Gulf Coast Region</t>
  </si>
  <si>
    <t>Amended by: EO 13463, April 18, 2008; EO 13504, February 19, 2009; EO 13512, September 29, 2009</t>
  </si>
  <si>
    <t>70 FR 71201</t>
  </si>
  <si>
    <t>05-23412</t>
  </si>
  <si>
    <t>https://www.federalregister.gov/documents/2005/11/25/05-23412/blocking-property-of-additional-persons-undermining-democratic-processes-or-institutions-in-zimbabwe</t>
  </si>
  <si>
    <t>https://www.govinfo.gov/content/pkg/FR-2005-11-25/pdf/05-23412.pdf</t>
  </si>
  <si>
    <t>Blocking Property of Additional Persons Undermining Democratic Processes or Institutions in Zimbabwe</t>
  </si>
  <si>
    <t>Amends: EO 13288, March 6, 2003; Supersedes in part: EO 13288, March 6, 2003; See: Notice of February 27, 2006; Notice of February 28, 2007; Notice of March 4, 2008; EO 13469, July 25, 2008; Notice of March 3, 2009; Notice of March 1, 2010</t>
  </si>
  <si>
    <t>70 FR 75373</t>
  </si>
  <si>
    <t>05-24255</t>
  </si>
  <si>
    <t>https://www.federalregister.gov/documents/2005/12/19/05-24255/improving-agency-disclosure-of-information</t>
  </si>
  <si>
    <t>https://www.govinfo.gov/content/pkg/FR-2005-12-19/pdf/05-24255.pdf</t>
  </si>
  <si>
    <t>Improving Agency Disclosure of Information</t>
  </si>
  <si>
    <t>70 FR 76655</t>
  </si>
  <si>
    <t>05-24596</t>
  </si>
  <si>
    <t>https://www.federalregister.gov/documents/2005/12/27/05-24596/adjustments-of-certain-rates-of-pay</t>
  </si>
  <si>
    <t>https://www.govinfo.gov/content/pkg/FR-2005-12-27/pdf/05-24596.pdf</t>
  </si>
  <si>
    <t>Supersedes: EO 13368, December 30, 2004</t>
  </si>
  <si>
    <t>70 FR 76665</t>
  </si>
  <si>
    <t>05-24597</t>
  </si>
  <si>
    <t>https://www.federalregister.gov/documents/2005/12/27/05-24597/providing-an-order-of-succession-within-the-department-of-defense</t>
  </si>
  <si>
    <t>https://www.govinfo.gov/content/pkg/FR-2005-12-27/pdf/05-24597.pdf</t>
  </si>
  <si>
    <t>Providing an Order of Succession Within the Department of Defense</t>
  </si>
  <si>
    <t>Revoked by: EO 13533, March 1, 2010 
Revokes: EO 13000, April 24, 1996; Memorandum of June 2, 2005</t>
  </si>
  <si>
    <t>71 FR 3203</t>
  </si>
  <si>
    <t>06-554</t>
  </si>
  <si>
    <t>https://www.federalregister.gov/documents/2006/01/19/06-554/designating-the-global-fund-to-fight-aids-tuberculosis-and-malaria-as-a-public-international</t>
  </si>
  <si>
    <t>https://www.govinfo.gov/content/pkg/FR-2006-01-19/pdf/06-554.pdf</t>
  </si>
  <si>
    <t>Designating the Global Fund To Fight AIDS, Tuberculosis and Malaria as a Public International Organization Entitled To Enjoy Certain Privileges, Exemptions, and Immunities</t>
  </si>
  <si>
    <t>71 FR 7389</t>
  </si>
  <si>
    <t>06-1316</t>
  </si>
  <si>
    <t>https://www.federalregister.gov/documents/2006/02/10/06-1316/blocking-property-of-certain-persons-contributing-to-the-conflict-in-cte-divoire</t>
  </si>
  <si>
    <t>https://www.govinfo.gov/content/pkg/FR-2006-02-10/pdf/06-1316.pdf</t>
  </si>
  <si>
    <t>Blocking Property of Certain Persons Contributing to the Conflict in Côte d'Ivoire</t>
  </si>
  <si>
    <t>See: Notice of February 5, 2007; Notice of February 5, 2008; Notice of February 4, 2009; Notice of February 2, 2010
Revoked by: EO 13739, September 14, 2016</t>
  </si>
  <si>
    <t>71 FR 12275</t>
  </si>
  <si>
    <t>https://www.federalregister.gov/documents/2006/03/09/06-2362/responsibilities-of-the-department-of-homeland-security-with-respect-to-faith-based-and-community</t>
  </si>
  <si>
    <t>https://www.govinfo.gov/content/pkg/FR-2006-03-09/pdf/06-2362.pdf</t>
  </si>
  <si>
    <t>Responsibilities of the Department of Homeland Security With Respect to Faith-Based and Community Initiatives</t>
  </si>
  <si>
    <t>71 FR 20519</t>
  </si>
  <si>
    <t>https://www.federalregister.gov/documents/2006/04/21/06-3865/national-mathematics-advisory-panel</t>
  </si>
  <si>
    <t>https://www.govinfo.gov/content/pkg/FR-2006-04-21/pdf/06-3865.pdf</t>
  </si>
  <si>
    <t>National Mathematics Advisory Panel</t>
  </si>
  <si>
    <t>71 FR 25059</t>
  </si>
  <si>
    <t>https://www.federalregister.gov/documents/2006/04/28/06-4085/blocking-property-of-additional-persons-in-connection-with-the-national-emergency-with-respect-to</t>
  </si>
  <si>
    <t>https://www.govinfo.gov/content/pkg/FR-2006-04-28/pdf/06-4085.pdf</t>
  </si>
  <si>
    <t>Blocking Property of Additional Persons in Connection With the National Emergency With Respect to Syria</t>
  </si>
  <si>
    <t>See: EO 13338, May 11, 2004; EO 13460, February 13, 2008; Notice of May 8, 2006; Notice of May 8, 2007; Notice of May 7, 2008; Notice of May 7, 2009; Notice of May 3, 2010; EO 13572, April 29, 2011; EO 13573, May 18, 2011; EO 13582, August 17, 2011</t>
  </si>
  <si>
    <t>71 FR 25483</t>
  </si>
  <si>
    <t>https://www.federalregister.gov/documents/2006/05/01/06-4121/blocking-property-of-persons-in-connection-with-the-conflict-in-sudans-darfur-region</t>
  </si>
  <si>
    <t>https://www.govinfo.gov/content/pkg/FR-2006-05-01/pdf/06-4121.pdf</t>
  </si>
  <si>
    <t>Blocking Property of Persons in Connection With the Conflict in Sudan's Darfur Region</t>
  </si>
  <si>
    <t>See: EO 13067, November 3, 1997; Notice of November 1, 2006; Notice of November 1, 2007; Notice of October 30, 2008; Notice of October 27, 2009; EO 13804, July 11, 2017; EO 14098, May 4, 2023</t>
  </si>
  <si>
    <t>71 FR 25737</t>
  </si>
  <si>
    <t>https://www.federalregister.gov/documents/2006/05/01/06-4132/responsibilities-of-federal-departments-and-agencies-with-respect-to-volunteer-community-service</t>
  </si>
  <si>
    <t>https://www.govinfo.gov/content/pkg/FR-2006-05-01/pdf/06-4132.pdf</t>
  </si>
  <si>
    <t>Responsibilities of Federal Departments and Agencies With Respect to Volunteer Community Service</t>
  </si>
  <si>
    <t>See: EO 12820, November 5, 1992</t>
  </si>
  <si>
    <t>71 FR 27945</t>
  </si>
  <si>
    <t>https://www.federalregister.gov/documents/2006/05/15/06-4552/strengthening-federal-efforts-to-protect-against-identity-theft</t>
  </si>
  <si>
    <t>https://www.govinfo.gov/content/pkg/FR-2006-05-15/pdf/06-4552.pdf</t>
  </si>
  <si>
    <t>Strengthening Federal Efforts To Protect Against Identity Theft</t>
  </si>
  <si>
    <t>Amended by: EO 13414, November 3, 2006</t>
  </si>
  <si>
    <t>71 FR 28543</t>
  </si>
  <si>
    <t>https://www.federalregister.gov/documents/2006/05/16/06-4652/amendments-to-executive-orders-11030-13279-13339-13381-and-13389-and-revocation-of-executive-order</t>
  </si>
  <si>
    <t>https://www.govinfo.gov/content/pkg/FR-2006-05-16/pdf/06-4652.pdf</t>
  </si>
  <si>
    <t>Amendments to Executive Orders 11030, 13279, 13339, 13381, and 13389, and Revocation of Executive Order 13011</t>
  </si>
  <si>
    <t>Amends: EO 11030, June 19, 1962; EO 13279, December 12, 2002; EO 13339, May 13, 2004; EO 13381, June 27, 2005; EO 13389, November 1, 2005 
Revokes: EO 13011, July 16, 1996</t>
  </si>
  <si>
    <t>71 FR 33593</t>
  </si>
  <si>
    <t>https://www.federalregister.gov/documents/2006/06/12/06-5351/task-force-on-new-americans</t>
  </si>
  <si>
    <t>https://www.govinfo.gov/content/pkg/FR-2006-06-12/pdf/06-5351.pdf</t>
  </si>
  <si>
    <t>Task Force on New Americans</t>
  </si>
  <si>
    <t>71 FR 35485</t>
  </si>
  <si>
    <t>https://www.federalregister.gov/documents/2006/06/20/06-5592/blocking-property-of-certain-persons-undermining-democratic-processes-or-institutions-in-belarus</t>
  </si>
  <si>
    <t>https://www.govinfo.gov/content/pkg/FR-2006-06-20/pdf/06-5592.pdf</t>
  </si>
  <si>
    <t>Blocking Property of Certain Persons Undermining Democratic Processes or Institutions in Belarus</t>
  </si>
  <si>
    <t>See: Notice of June 14, 2007; Notice of June 6, 2008; Notice of June 12, 2009; Notice of June 8, 2010</t>
  </si>
  <si>
    <t>71 FR 36973</t>
  </si>
  <si>
    <t>https://www.federalregister.gov/documents/2006/06/28/06-5828/protecting-the-property-rights-of-the-american-people</t>
  </si>
  <si>
    <t>https://www.govinfo.gov/content/pkg/FR-2006-06-28/pdf/06-5828.pdf</t>
  </si>
  <si>
    <t>Protecting the Property Rights of the American People</t>
  </si>
  <si>
    <t>See: EO 12630, March 15, 1988</t>
  </si>
  <si>
    <t>71 FR 36975</t>
  </si>
  <si>
    <t>https://www.federalregister.gov/documents/2006/06/28/06-5829/public-alert-and-warning-system</t>
  </si>
  <si>
    <t>https://www.govinfo.gov/content/pkg/FR-2006-06-28/pdf/06-5829.pdf</t>
  </si>
  <si>
    <t>Public Alert and Warning System</t>
  </si>
  <si>
    <t>Amends: EO 12472, April 3, 1984</t>
  </si>
  <si>
    <t>71 FR 37807</t>
  </si>
  <si>
    <t>https://www.federalregister.gov/documents/2006/07/03/06-5984/amending-executive-order-13381-as-amended-to-extend-its-duration-by-one-year</t>
  </si>
  <si>
    <t>https://www.govinfo.gov/content/pkg/FR-2006-07-03/pdf/06-5984.pdf</t>
  </si>
  <si>
    <t>Amending Executive Order 13381, As Amended, To Extend its Duration by One Year</t>
  </si>
  <si>
    <t>Amends: EO 13381, June 27, 2005</t>
  </si>
  <si>
    <t>71 FR 38511</t>
  </si>
  <si>
    <t>https://www.federalregister.gov/documents/2006/07/07/06-6101/establishing-an-emergency-board-to-investigate-a-dispute-between-southeastern-pennsylvania</t>
  </si>
  <si>
    <t>https://www.govinfo.gov/content/pkg/FR-2006-07-07/pdf/06-6101.pdf</t>
  </si>
  <si>
    <t>Establishing an Emergency Board To Investigate a Dispute Between Southeastern Pennsylvania Transportation Authority and Its Locomotive Engineers Represented by the Brotherhood of Locomotive Engineers and Trainmen</t>
  </si>
  <si>
    <t>71 FR 51089</t>
  </si>
  <si>
    <t>https://www.federalregister.gov/documents/2006/08/28/06-7220/promoting-quality-and-efficient-health-care-in-federal-government-administered-or-sponsored-health</t>
  </si>
  <si>
    <t>https://www.govinfo.gov/content/pkg/FR-2006-08-28/pdf/06-7220.pdf</t>
  </si>
  <si>
    <t>Promoting Quality and Efficient Health Care in Federal Government Administered or Sponsored Health Care Programs</t>
  </si>
  <si>
    <t>71 FR 52729</t>
  </si>
  <si>
    <t>https://www.federalregister.gov/documents/2006/09/06/06-7492/improving-assistance-for-disaster-victims</t>
  </si>
  <si>
    <t>https://www.govinfo.gov/content/pkg/FR-2006-09-06/pdf/06-7492.pdf</t>
  </si>
  <si>
    <t>Improving Assistance for Disaster Victims</t>
  </si>
  <si>
    <t>71 FR 61369</t>
  </si>
  <si>
    <t>https://www.federalregister.gov/documents/2006/10/17/06-8769/blocking-property-of-and-prohibiting-transactions-with-the-government-of-sudan</t>
  </si>
  <si>
    <t>https://www.govinfo.gov/content/pkg/FR-2006-10-17/pdf/06-8769.pdf</t>
  </si>
  <si>
    <t>Blocking Property of and Prohibiting Transactions With the Government of Sudan</t>
  </si>
  <si>
    <t>See: EO 13067, November 3, 1997; Notice of November 1, 2006; Notice of November 1, 2007; Notice of October 30, 2008; Notice of October 27, 2009; EO 13804, July 11, 2017</t>
  </si>
  <si>
    <t>71 FR 64105</t>
  </si>
  <si>
    <t>https://www.federalregister.gov/documents/2006/10/31/06-9020/blocking-property-of-certain-persons-contributing-to-the-conflict-in-the-democratic-republic-of-the</t>
  </si>
  <si>
    <t>https://www.govinfo.gov/content/pkg/FR-2006-10-31/pdf/06-9020.pdf</t>
  </si>
  <si>
    <t>Blocking Property of Certain Persons Contributing to the Conflict in the Democratic Republic of the Congo</t>
  </si>
  <si>
    <t>See: Notice of October 24, 2007; Notice of October 22, 2008; Notice of October 20, 2009;
 Amended by: EO 13671, July 8, 2014</t>
  </si>
  <si>
    <t>71 FR 65365</t>
  </si>
  <si>
    <t>https://www.federalregister.gov/documents/2006/11/08/06-9148/amendment-to-executive-order-13402-strengthening-federal-efforts-to-protect-against-identity-theft</t>
  </si>
  <si>
    <t>https://www.govinfo.gov/content/pkg/FR-2006-11-08/pdf/06-9148.pdf</t>
  </si>
  <si>
    <t>Amendment to Executive Order 13402, Strengthening Federal Efforts To Protect Against Identity Theft</t>
  </si>
  <si>
    <t>Amends: EO 13402, May 10, 2006</t>
  </si>
  <si>
    <t>71 FR 70641</t>
  </si>
  <si>
    <t>https://www.federalregister.gov/documents/2006/12/05/06-9561/assignment-of-certain-pay-related-functions</t>
  </si>
  <si>
    <t>https://www.govinfo.gov/content/pkg/FR-2006-12-05/pdf/06-9561.pdf</t>
  </si>
  <si>
    <t>Assignment of Certain Pay-Related Functions</t>
  </si>
  <si>
    <t>Revokes in part: EO 12748, February 1, 1991; EO 12828, January 5, 1993</t>
  </si>
  <si>
    <t>71 FR 71033</t>
  </si>
  <si>
    <t>https://www.federalregister.gov/documents/2006/12/07/06-9619/strengthening-surface-transportation-security</t>
  </si>
  <si>
    <t>https://www.govinfo.gov/content/pkg/FR-2006-12-07/pdf/06-9619.pdf</t>
  </si>
  <si>
    <t>Strengthening Surface Transportation Security</t>
  </si>
  <si>
    <t>71 FR 71459</t>
  </si>
  <si>
    <t>https://www.federalregister.gov/documents/2006/12/08/06-9632/establishing-an-emergency-board-to-investigate-disputes-between-metro-north-railroad-and-certain-of</t>
  </si>
  <si>
    <t>https://www.govinfo.gov/content/pkg/FR-2006-12-08/pdf/06-9632.pdf</t>
  </si>
  <si>
    <t>Establishing an Emergency Board To Investigate Disputes Between Metro-North Railroad and Certain of Its Employees Represented by Certain Labor Organizations</t>
  </si>
  <si>
    <t>71 FR 75647</t>
  </si>
  <si>
    <t>https://www.federalregister.gov/documents/2006/12/18/06-9770/amendment-to-executive-order-13317-volunteers-for-prosperity</t>
  </si>
  <si>
    <t>https://www.govinfo.gov/content/pkg/FR-2006-12-18/pdf/06-9770.pdf</t>
  </si>
  <si>
    <t>Amendment to Executive Order 13317, Volunteers for Prosperity</t>
  </si>
  <si>
    <t>Amends: EO 13317, September 25, 2003</t>
  </si>
  <si>
    <t>71 FR 77565</t>
  </si>
  <si>
    <t>https://www.federalregister.gov/documents/2006/12/26/06-9895/national-aeronautics-research-and-development</t>
  </si>
  <si>
    <t>https://www.govinfo.gov/content/pkg/FR-2006-12-26/pdf/06-9895.pdf</t>
  </si>
  <si>
    <t>National Aeronautics Research and Development</t>
  </si>
  <si>
    <t>See: EO 12881, November 23, 1993; EO 13346, July 8, 2004; EO 13479, November 18, 2008</t>
  </si>
  <si>
    <t>71 FR 77571</t>
  </si>
  <si>
    <t>https://www.federalregister.gov/documents/2006/12/26/06-9896/adjustments-of-certain-rates-of-pay</t>
  </si>
  <si>
    <t>https://www.govinfo.gov/content/pkg/FR-2006-12-26/pdf/06-9896.pdf</t>
  </si>
  <si>
    <t>Supersedes: EO 13393, December 22, 2005; Superseded by: EO 13454, January 4, 2008</t>
  </si>
  <si>
    <t>72 FR 425</t>
  </si>
  <si>
    <t>https://www.federalregister.gov/documents/2007/01/04/06-9993/providing-for-the-closing-of-government-departments-and-agencies-on-january-2-2007</t>
  </si>
  <si>
    <t>https://www.govinfo.gov/content/pkg/FR-2007-01-04/pdf/06-9993.pdf</t>
  </si>
  <si>
    <t>Providing for the Closing of Government Departments and Agencies on January 2, 2007</t>
  </si>
  <si>
    <t>72 FR 2763</t>
  </si>
  <si>
    <t>07-293</t>
  </si>
  <si>
    <t>https://www.federalregister.gov/documents/2007/01/23/07-293/further-amendment-to-executive-order-12866-on-regulatory-planning-and-review</t>
  </si>
  <si>
    <t>https://www.govinfo.gov/content/pkg/FR-2007-01-23/pdf/07-293.pdf</t>
  </si>
  <si>
    <t>Further Amendment to Executive Order 12866 on Regulatory Planning and Review</t>
  </si>
  <si>
    <t>Amends: EO 12866, September 30, 1993; Revoked by: EO 13497, January 30, 2009</t>
  </si>
  <si>
    <t>72 FR 3919</t>
  </si>
  <si>
    <t>07-374</t>
  </si>
  <si>
    <t>https://www.federalregister.gov/documents/2007/01/26/07-374/strengthening-federal-environmental-energy-and-transportation-management</t>
  </si>
  <si>
    <t>https://www.govinfo.gov/content/pkg/FR-2007-01-26/pdf/07-374.pdf</t>
  </si>
  <si>
    <t>Strengthening Federal Environmental, Energy, and Transportation Management</t>
  </si>
  <si>
    <t>Amends: EO 13327, February 4, 2004; Revokes: EO 13101, September 14, 1998; EO 13123, June 3, 1999; EO 13134, August 12, 1999; EO 13148, April 21, 2000; EO 13149, April 21, 2000; See: EO 13432, May 14, 2007; EO 13514, October 5, 2009
Revoked by: EO 13693, March 25, 2015</t>
  </si>
  <si>
    <t>72 FR 4409</t>
  </si>
  <si>
    <t>07-419</t>
  </si>
  <si>
    <t>https://www.federalregister.gov/documents/2007/01/30/07-419/further-amendment-to-executive-order-13285-relating-to-the-presidents-council-on-service-and-civic</t>
  </si>
  <si>
    <t>https://www.govinfo.gov/content/pkg/FR-2007-01-30/pdf/07-419.pdf</t>
  </si>
  <si>
    <t>Further Amendment to Executive Order 13285, Relating to the President's Council on Service and Civic Participation</t>
  </si>
  <si>
    <t>72 FR 7737</t>
  </si>
  <si>
    <t>07-780</t>
  </si>
  <si>
    <t>https://www.federalregister.gov/documents/2007/02/20/07-780/trial-of-alien-unlawful-enemy-combatants-by-military-commission</t>
  </si>
  <si>
    <t>https://www.govinfo.gov/content/pkg/FR-2007-02-20/pdf/07-780.pdf</t>
  </si>
  <si>
    <t>Trial of Alien Unlawful Enemy Combatants by Military Commission</t>
  </si>
  <si>
    <t>Supersedes: Military Order of November 13, 2001</t>
  </si>
  <si>
    <t>72 FR 10589</t>
  </si>
  <si>
    <t>07-1137</t>
  </si>
  <si>
    <t>https://www.federalregister.gov/documents/2007/03/08/07-1137/establishing-a-commission-on-care-for-americas-returning-wounded-warriors-and-a-task-force-on</t>
  </si>
  <si>
    <t>https://www.govinfo.gov/content/pkg/FR-2007-03-08/pdf/07-1137.pdf</t>
  </si>
  <si>
    <t>Establishing a Commission on Care for America's Returning Wounded Warriors and a Task Force on Returning Global War on Terror Heroes</t>
  </si>
  <si>
    <t>72 FR 10879</t>
  </si>
  <si>
    <t>07-1152</t>
  </si>
  <si>
    <t>https://www.federalregister.gov/documents/2007/03/09/07-1152/extending-privileges-and-immunities-to-the-permanent-observer-mission-of-the-holy-see-to-the-united</t>
  </si>
  <si>
    <t>https://www.govinfo.gov/content/pkg/FR-2007-03-09/pdf/07-1152.pdf</t>
  </si>
  <si>
    <t>Extending Privileges and Immunities to the Permanent Observer Mission of the Holy See to the United Nations</t>
  </si>
  <si>
    <t>72 FR 16693</t>
  </si>
  <si>
    <t>07-1704</t>
  </si>
  <si>
    <t>https://www.federalregister.gov/documents/2007/04/04/07-1704/renaming-a-national-forest-in-the-commonwealth-of-puerto-rico</t>
  </si>
  <si>
    <t>https://www.govinfo.gov/content/pkg/FR-2007-04-04/pdf/07-1704.pdf</t>
  </si>
  <si>
    <t>Renaming a National Forest in the Commonwealth of Puerto Rico</t>
  </si>
  <si>
    <t>See: EO 7059-A, June 4, 1935; EO 10992, February 9, 1962</t>
  </si>
  <si>
    <t>72 FR 18101</t>
  </si>
  <si>
    <t>07-1816</t>
  </si>
  <si>
    <t>https://www.federalregister.gov/documents/2007/04/10/07-1816/establishing-an-emergency-board-to-investigate-a-dispute-between-metro-north-railroad-and-its</t>
  </si>
  <si>
    <t>https://www.govinfo.gov/content/pkg/FR-2007-04-10/pdf/07-1816.pdf</t>
  </si>
  <si>
    <t>Establishing an Emergency Board To Investigate a Dispute Between Metro-North Railroad and Its Maintenance of Way Employees Represented by the International Brotherhood of Teamsters</t>
  </si>
  <si>
    <t>See: EO 13417, December 6, 2006</t>
  </si>
  <si>
    <t>72 FR 20213</t>
  </si>
  <si>
    <t>https://www.federalregister.gov/documents/2007/04/23/07-2027/2007-amendments-to-the-manual-for-courts-martial-united-states</t>
  </si>
  <si>
    <t>https://www.govinfo.gov/content/pkg/FR-2007-04-23/pdf/07-2027.pdf</t>
  </si>
  <si>
    <t>2007 Amendments to the Manual for Courts-Martial, United States</t>
  </si>
  <si>
    <t>72 FR 26709</t>
  </si>
  <si>
    <t>https://www.federalregister.gov/documents/2007/05/11/07-2367/establishment-of-temporary-organization-to-facilitate-united-states-government-assistance-for</t>
  </si>
  <si>
    <t>https://www.govinfo.gov/content/pkg/FR-2007-05-11/pdf/07-2367.pdf</t>
  </si>
  <si>
    <t>Establishment of Temporary Organization To Facilitate United States Government Assistance for Transition in Iraq</t>
  </si>
  <si>
    <t>72 FR 27717</t>
  </si>
  <si>
    <t>https://www.federalregister.gov/documents/2007/05/16/07-2462/cooperation-among-agencies-in-protecting-the-environment-with-respect-to-greenhouse-gas-emissions</t>
  </si>
  <si>
    <t>https://www.govinfo.gov/content/pkg/FR-2007-05-16/pdf/07-2462.pdf</t>
  </si>
  <si>
    <t>Cooperation Among Agencies in Protecting the Environment With Respect to Greenhouse Gas Emissions From Motor Vehicles, Nonroad Vehicles, and Nonroad Engines</t>
  </si>
  <si>
    <t>Amended by: EO 13693, March 19, 2015
See: EO 12866, September 30, 1993; EO 13423, January 24, 2007</t>
  </si>
  <si>
    <t>72 FR 28441</t>
  </si>
  <si>
    <t>https://www.federalregister.gov/documents/2007/05/18/07-2518/protecting-american-taxpayers-from-payment-of-contingency-fees</t>
  </si>
  <si>
    <t>https://www.govinfo.gov/content/pkg/FR-2007-05-18/pdf/07-2518.pdf</t>
  </si>
  <si>
    <t>Protecting American Taxpayers From Payment of Contingency Fees</t>
  </si>
  <si>
    <t>72 FR 28583</t>
  </si>
  <si>
    <t>https://www.federalregister.gov/documents/2007/05/22/07-2570/national-security-professional-development</t>
  </si>
  <si>
    <t>https://www.govinfo.gov/content/pkg/FR-2007-05-22/pdf/07-2570.pdf</t>
  </si>
  <si>
    <t>National Security Professional Development</t>
  </si>
  <si>
    <t>72 FR 34591</t>
  </si>
  <si>
    <t>https://www.federalregister.gov/documents/2007/06/22/07-3112/expanding-approved-stem-cell-lines-in-ethically-responsible-ways</t>
  </si>
  <si>
    <t>https://www.govinfo.gov/content/pkg/FR-2007-06-22/pdf/07-3112.pdf</t>
  </si>
  <si>
    <t>Expanding Approved Stem Cell Lines in Ethically Responsible Ways</t>
  </si>
  <si>
    <t>Revoked by: EO 13505, March 9, 2009</t>
  </si>
  <si>
    <t>72 FR 36337</t>
  </si>
  <si>
    <t>https://www.federalregister.gov/documents/2007/07/03/07-3258/further-amending-executive-order-13381-as-amended-to-extend-its-duration-by-one-year</t>
  </si>
  <si>
    <t>https://www.govinfo.gov/content/pkg/FR-2007-07-03/pdf/07-3258.pdf</t>
  </si>
  <si>
    <t>Further Amending Executive Order 13381, as Amended, To Extend Its Duration by One Year</t>
  </si>
  <si>
    <t>72 FR 36339</t>
  </si>
  <si>
    <t>https://www.federalregister.gov/documents/2007/07/03/07-3259/waiver-under-the-trade-act-of-1974-with-respect-to-turkmenistan</t>
  </si>
  <si>
    <t>https://www.govinfo.gov/content/pkg/FR-2007-07-03/pdf/07-3259.pdf</t>
  </si>
  <si>
    <t>72 FR 39719</t>
  </si>
  <si>
    <t>https://www.federalregister.gov/documents/2007/07/19/07-3552/blocking-property-of-certain-persons-who-threaten-stabilization-efforts-in-iraq</t>
  </si>
  <si>
    <t>https://www.govinfo.gov/content/pkg/FR-2007-07-19/pdf/07-3552.pdf</t>
  </si>
  <si>
    <t>Blocking Property of Certain Persons Who Threaten Stabilization Efforts in Iraq</t>
  </si>
  <si>
    <t>See: EO 13303, May 22, 2003; EO 13315, August 28, 2003; EO 13350, July 29, 2004; EO 13364, November 29, 2004; Notice of May 20, 2008; Notice of May 19, 2009; Notice of May 12, 2010</t>
  </si>
  <si>
    <t>72 FR 40053</t>
  </si>
  <si>
    <t>https://www.federalregister.gov/documents/2007/07/20/07-3593/establishing-an-interagency-working-group-on-import-safety</t>
  </si>
  <si>
    <t>https://www.govinfo.gov/content/pkg/FR-2007-07-20/pdf/07-3593.pdf</t>
  </si>
  <si>
    <t>Establishing an Interagency Working Group on Import Safety</t>
  </si>
  <si>
    <t>72 FR 40707</t>
  </si>
  <si>
    <t>https://www.federalregister.gov/documents/2007/07/24/07-3656/interpretation-of-the-geneva-conventions-common-article-3-as-applied-to-a-program-of-detention-and</t>
  </si>
  <si>
    <t>https://www.govinfo.gov/content/pkg/FR-2007-07-24/pdf/07-3656.pdf</t>
  </si>
  <si>
    <t>Interpretation of the Geneva Conventions Common Article 3 as Applied to a Program of Detention and Interrogation Operated by the Central Intelligence Agency</t>
  </si>
  <si>
    <t>Revoked by: EO 13491, January 22, 2009</t>
  </si>
  <si>
    <t>72 FR 43499</t>
  </si>
  <si>
    <t>https://www.federalregister.gov/documents/2007/08/03/07-3835/blocking-property-of-persons-undermining-the-sovereignty-of-lebanon-or-its-democratic-processes-and</t>
  </si>
  <si>
    <t>https://www.govinfo.gov/content/pkg/FR-2007-08-03/pdf/07-3835.pdf</t>
  </si>
  <si>
    <t>Blocking Property of Persons Undermining the Sovereignty of Lebanon or Its Democratic Processes and Institutions</t>
  </si>
  <si>
    <t>See: Notice of July 30, 2008; Notice of July 30, 2009; Notice of July 29, 2010</t>
  </si>
  <si>
    <t>72 FR 45877</t>
  </si>
  <si>
    <t>https://www.federalregister.gov/documents/2007/08/15/07-4023/amending-the-order-of-succession-in-the-department-of-homeland-security</t>
  </si>
  <si>
    <t>https://www.govinfo.gov/content/pkg/FR-2007-08-15/pdf/07-4023.pdf</t>
  </si>
  <si>
    <t>Amending the Order of Succession in the Department of Homeland Security</t>
  </si>
  <si>
    <t>Amends: EO 13286, February 28, 2003; Revokes: EO 13362, November 29, 2004</t>
  </si>
  <si>
    <t>72 FR 46537</t>
  </si>
  <si>
    <t>https://www.federalregister.gov/documents/2007/08/20/07-4115/facilitation-of-hunting-heritage-and-wildlife-conservation</t>
  </si>
  <si>
    <t>https://www.govinfo.gov/content/pkg/FR-2007-08-20/pdf/07-4115.pdf</t>
  </si>
  <si>
    <t>Facilitation of Hunting Heritage and Wildlife Conservation</t>
  </si>
  <si>
    <t>72 FR 52747</t>
  </si>
  <si>
    <t>https://www.federalregister.gov/documents/2007/09/14/07-4600/extending-privileges-and-immunities-to-the-african-union-mission-to-the-united-states</t>
  </si>
  <si>
    <t>https://www.govinfo.gov/content/pkg/FR-2007-09-14/pdf/07-4600.pdf</t>
  </si>
  <si>
    <t>Extending Privileges and Immunities to the African Union Mission to the United States</t>
  </si>
  <si>
    <t>72 FR 56165</t>
  </si>
  <si>
    <t>https://www.federalregister.gov/documents/2007/10/02/07-4890/strengthening-adult-education</t>
  </si>
  <si>
    <t>https://www.govinfo.gov/content/pkg/FR-2007-10-02/pdf/07-4890.pdf</t>
  </si>
  <si>
    <t>Strengthening Adult Education</t>
  </si>
  <si>
    <t>72 FR 56175</t>
  </si>
  <si>
    <t>https://www.federalregister.gov/documents/2007/10/02/07-4906/continuance-of-certain-federal-advisory-committees-and-amendments-to-and-revocation-of-other</t>
  </si>
  <si>
    <t>https://www.govinfo.gov/content/pkg/FR-2007-10-02/pdf/07-4906.pdf</t>
  </si>
  <si>
    <t>Amends: EO 12994, March 21, 1996
Continues: EO 11145, March 7, 1964; EO 11183, October 3, 1964; EO 11287, June 28, 1966; EO 12131, May 4, 1979; EO 12196, February 26, 1980; EO 12216, June 19, 1980; EO 12367, June 15, 1982; EO 12382, September 13, 1982; EO 12905, March 25, 1994; EO 12994, March 21, 1996; EO 13226, September 30, 2001; EO 13231, October 16, 2001; EO 13237, November 28, 2001; EO 13256, February 12, 2002; EO 13265, June 6, 2002; EO 13270, July 3, 2002
Revokes: EO 13369, January 7, 2005
See: EO 13379, June 16, 2005; EO 13386, September 30, 2005
Supersedes in part: EO 13385, September 29, 2005
Superseded in part by: EO 13511, September 29, 2009</t>
  </si>
  <si>
    <t>72 FR 56179</t>
  </si>
  <si>
    <t>https://www.federalregister.gov/documents/2007/10/02/07-4907/further-2007-amendments-to-the-manual-for-courts--martial-united-states</t>
  </si>
  <si>
    <t>https://www.govinfo.gov/content/pkg/FR-2007-10-02/pdf/07-4907.pdf</t>
  </si>
  <si>
    <t>Further 2007 Amendments to the Manual for Courts- Martial, United States</t>
  </si>
  <si>
    <t>See: EO 12473, April 13, 1984; EO 13262, April 11, 2002</t>
  </si>
  <si>
    <t>72 FR 60223</t>
  </si>
  <si>
    <t>https://www.federalregister.gov/documents/2007/10/23/07-5270/blocking-property-and-prohibiting-certain-transactions-related-to-burma</t>
  </si>
  <si>
    <t>https://www.govinfo.gov/content/pkg/FR-2007-10-23/pdf/07-5270.pdf</t>
  </si>
  <si>
    <t>Blocking Property and Prohibiting Certain Transactions Related to Burma</t>
  </si>
  <si>
    <t>See: EO 13047, May 20, 1997; EO 13310, July 28, 2003; EO 13464, April 30, 2008; Notice of May 16, 2008; Notice of May 14, 2009; Notice of May 13, 2010; EO 13619, July 11, 2012
Amended by: EO 13619, July 11, 2012
Revoked by: EO 13742, October 7, 2016</t>
  </si>
  <si>
    <t>72 FR 60531</t>
  </si>
  <si>
    <t>https://www.federalregister.gov/documents/2007/10/24/07-5299/protection-of-striped-bass-and-red-drum-fish-populations</t>
  </si>
  <si>
    <t>https://www.govinfo.gov/content/pkg/FR-2007-10-24/pdf/07-5299.pdf</t>
  </si>
  <si>
    <t>Protection of Striped Bass and Red Drum Fish Populations</t>
  </si>
  <si>
    <t>See: Proclamation 5030, March 10, 1983</t>
  </si>
  <si>
    <t>72 FR 64519</t>
  </si>
  <si>
    <t>https://www.federalregister.gov/documents/2007/11/15/07-5726/improving-government-program-performance</t>
  </si>
  <si>
    <t>https://www.govinfo.gov/content/pkg/FR-2007-11-15/pdf/07-5726.pdf</t>
  </si>
  <si>
    <t>Improving Government Program Performance</t>
  </si>
  <si>
    <t>72 FR 65653</t>
  </si>
  <si>
    <t>https://www.federalregister.gov/documents/2007/11/21/07-5816/designating-the-iter-international-fusion-energy-organization-as-a-public-international-organization</t>
  </si>
  <si>
    <t>https://www.govinfo.gov/content/pkg/FR-2007-11-21/pdf/07-5816.pdf</t>
  </si>
  <si>
    <t>Designating the ITER International Fusion Energy Organization as a Public International Organization Entitled To Enjoy Certain Privileges, Exemptions, and Immunities</t>
  </si>
  <si>
    <t>72 FR 67827</t>
  </si>
  <si>
    <t>https://www.federalregister.gov/documents/2007/11/30/07-5919/establishing-an-emergency-board-to-investigate-disputes-between-the-national-railroad-passenger</t>
  </si>
  <si>
    <t>https://www.govinfo.gov/content/pkg/FR-2007-11-30/pdf/07-5919.pdf</t>
  </si>
  <si>
    <t>Establishing an Emergency Board To Investigate Disputes Between the National Railroad Passenger Corporation and Certain of Its Employees Represented by Certain Labor Organizations</t>
  </si>
  <si>
    <t>72 FR 70477</t>
  </si>
  <si>
    <t>https://www.federalregister.gov/documents/2007/12/11/07-6022/closing-of-executive-departments-and-agencies-of-the-federal-government-on-monday-december-24-2007</t>
  </si>
  <si>
    <t>https://www.govinfo.gov/content/pkg/FR-2007-12-11/pdf/07-6022.pdf</t>
  </si>
  <si>
    <t>Closing of Executive Departments and Agencies of the Federal Government on Monday, December 24, 2007</t>
  </si>
  <si>
    <t>73 FR 1481</t>
  </si>
  <si>
    <t>08-62</t>
  </si>
  <si>
    <t>https://www.federalregister.gov/documents/2008/01/08/08-62/adjustments-of-certain-rates-of-pay</t>
  </si>
  <si>
    <t>https://www.govinfo.gov/content/pkg/FR-2008-01-08/pdf/08-62.pdf</t>
  </si>
  <si>
    <t>Supersedes: EO 13420, December 21, 2006;  Superseded by: EO 13483, December 18, 2008</t>
  </si>
  <si>
    <t>73 FR 4445</t>
  </si>
  <si>
    <t>08-325</t>
  </si>
  <si>
    <t>https://www.federalregister.gov/documents/2008/01/24/08-325/establishing-the-presidents-advisory-council-on-financial-literacy</t>
  </si>
  <si>
    <t>https://www.govinfo.gov/content/pkg/FR-2008-01-24/pdf/08-325.pdf</t>
  </si>
  <si>
    <t>Establishing the President's Advisory Council on Financial Literacy</t>
  </si>
  <si>
    <t>73 FR 4677</t>
  </si>
  <si>
    <t>08-360</t>
  </si>
  <si>
    <t>https://www.federalregister.gov/documents/2008/01/25/08-360/further-amendment-of-executive-order-11858-concerning-foreign-investment-in-the-united-states</t>
  </si>
  <si>
    <t>https://www.govinfo.gov/content/pkg/FR-2008-01-25/pdf/08-360.pdf</t>
  </si>
  <si>
    <t>Further Amendment of Executive Order 11858 Concerning Foreign Investment in the United States</t>
  </si>
  <si>
    <t>Amends: EO 11858, May 7, 1975; Revokes in part: EO 12919, June 3, 1994</t>
  </si>
  <si>
    <t>73 FR 6417</t>
  </si>
  <si>
    <t>08-483</t>
  </si>
  <si>
    <t>https://www.federalregister.gov/documents/2008/02/01/08-483/protecting-american-taxpayers-from-government-spending-on-wasteful-earmarks</t>
  </si>
  <si>
    <t>https://www.govinfo.gov/content/pkg/FR-2008-02-01/pdf/08-483.pdf</t>
  </si>
  <si>
    <t>Protecting American Taxpayers From Government Spending on Wasteful Earmarks</t>
  </si>
  <si>
    <t>73 FR 7181</t>
  </si>
  <si>
    <t>08-568</t>
  </si>
  <si>
    <t>https://www.federalregister.gov/documents/2008/02/06/08-568/implementation-of-the-protocol-additional-to-the-agreement-between-the-united-states-and-the</t>
  </si>
  <si>
    <t>https://www.govinfo.gov/content/pkg/FR-2008-02-06/pdf/08-568.pdf</t>
  </si>
  <si>
    <t>Implementation of the Protocol Additional to the Agreement Between the United States and the International Atomic Energy Agency for the Application of Safeguards in the United States of America</t>
  </si>
  <si>
    <t>73 FR 8003</t>
  </si>
  <si>
    <t>08-658</t>
  </si>
  <si>
    <t>https://www.federalregister.gov/documents/2008/02/12/08-658/improving-the-coordination-and-effectiveness-of-youth-programs</t>
  </si>
  <si>
    <t>https://www.govinfo.gov/content/pkg/FR-2008-02-12/pdf/08-658.pdf</t>
  </si>
  <si>
    <t>Improving the Coordination and Effectiveness of Youth Programs</t>
  </si>
  <si>
    <t>73 FR 8991</t>
  </si>
  <si>
    <t>08-761</t>
  </si>
  <si>
    <t>https://www.federalregister.gov/documents/2008/02/15/08-761/blocking-property-of-additional-persons-in-connection-with-the-national-emergency-with-respect-to</t>
  </si>
  <si>
    <t>https://www.govinfo.gov/content/pkg/FR-2008-02-15/pdf/08-761.pdf</t>
  </si>
  <si>
    <t>Amends: EO 13338, May 11, 2004; See: EO 13399, April 25, 2006; Notice of May 7, 2008; Notice of May 7, 2009; Notice of May 3, 2010; EO 13572, April 29, 2011; EO 13573, May 18, 2011; EO 13582, August 17, 2011</t>
  </si>
  <si>
    <t>73 FR 9437</t>
  </si>
  <si>
    <t>08-797</t>
  </si>
  <si>
    <t>https://www.federalregister.gov/documents/2008/02/20/08-797/providing-an-order-of-succession-within-the-department-of-health-and-human-services</t>
  </si>
  <si>
    <t>https://www.govinfo.gov/content/pkg/FR-2008-02-20/pdf/08-797.pdf</t>
  </si>
  <si>
    <t>Revokes: EO 13250, December 28, 2001; Memorandum of March 19, 2002</t>
  </si>
  <si>
    <t>73 FR 11805</t>
  </si>
  <si>
    <t>08-970</t>
  </si>
  <si>
    <t>https://www.federalregister.gov/documents/2008/03/04/08-970/presidents-intelligence-advisory-board-and-intelligence-oversight-board</t>
  </si>
  <si>
    <t>https://www.govinfo.gov/content/pkg/FR-2008-03-04/pdf/08-970.pdf</t>
  </si>
  <si>
    <t>President's Intelligence Advisory Board and Intelligence Oversight Board</t>
  </si>
  <si>
    <t>Amended by: EO 13516, October 28, 2009; Revokes: EO 12863, September 13, 1993; See: EO 12333, December 4, 1981; EO 12958, April 17, 1995; EO 12968, August 2, 1995; EO 13470, July 30, 2008</t>
  </si>
  <si>
    <t>73 FR 22047</t>
  </si>
  <si>
    <t>08-1182</t>
  </si>
  <si>
    <t>https://www.federalregister.gov/documents/2008/04/23/08-1182/amending-executive-orders-13389-and-13390</t>
  </si>
  <si>
    <t>https://www.govinfo.gov/content/pkg/FR-2008-04-23/pdf/08-1182.pdf</t>
  </si>
  <si>
    <t>Amending Executive Orders 13389 and 13390</t>
  </si>
  <si>
    <t>Amends: EO 13389, November 1, 2005; EO 13390, November 1, 2005</t>
  </si>
  <si>
    <t>73 FR 24491</t>
  </si>
  <si>
    <t>08-1215</t>
  </si>
  <si>
    <t>https://www.federalregister.gov/documents/2008/05/02/08-1215/blocking-property-and-prohibiting-certain-transactions-related-to-burma</t>
  </si>
  <si>
    <t>https://www.govinfo.gov/content/pkg/FR-2008-05-02/pdf/08-1215.pdf</t>
  </si>
  <si>
    <t>Amended by: EO 13619, July 11, 2012
See: EO 13047, May 20, 1997; EO 13310, July 28, 2003; EO 13448, October 18, 2007; Notice of May 16, 2008; Notice of May 14, 2009; Notice of May 13, 2010; EO 13619, July 11, 2012
Revoked by: EO 13742, October 7, 2016</t>
  </si>
  <si>
    <t>73 FR 33285</t>
  </si>
  <si>
    <t>08-1348</t>
  </si>
  <si>
    <t>https://www.federalregister.gov/documents/2008/06/11/08-1348/amending-executive-order-12989-as-amended</t>
  </si>
  <si>
    <t>https://www.govinfo.gov/content/pkg/FR-2008-06-11/pdf/08-1348.pdf</t>
  </si>
  <si>
    <t>Amending Executive Order 12989, as Amended</t>
  </si>
  <si>
    <t>Amends: EO 12989, February 5, 1996</t>
  </si>
  <si>
    <t>73 FR 36787</t>
  </si>
  <si>
    <t>08-1399</t>
  </si>
  <si>
    <t>https://www.federalregister.gov/documents/2008/06/27/08-1399/continuing-certain-restrictions-with-respect-to-north-korea-and-north-korean-nationals</t>
  </si>
  <si>
    <t>https://www.govinfo.gov/content/pkg/FR-2008-06-27/pdf/08-1399.pdf</t>
  </si>
  <si>
    <t>Continuing Certain Restrictions With Respect to North Korea and North Korean Nationals</t>
  </si>
  <si>
    <t>See: Notice of June 24, 2009; Notice of June 14, 2010; EO 13551, August 30, 2010; EO 13570, April 18, 2011; EO 13687, January 2, 2015; EO 13722, March 15, 2016; EO 13810, September 20, 2017</t>
  </si>
  <si>
    <t>73 FR 38103</t>
  </si>
  <si>
    <t>08-1409</t>
  </si>
  <si>
    <t>https://www.federalregister.gov/documents/2008/07/02/08-1409/reforming-processes-related-to-suitability-for-government-employment-fitness-for-contractor</t>
  </si>
  <si>
    <t>https://www.govinfo.gov/content/pkg/FR-2008-07-02/pdf/08-1409.pdf</t>
  </si>
  <si>
    <t>Reforming Processes Related to Suitability for Government Employment, Fitness for Contractor Employees, and Eligibility for Access to Classified National Security Information</t>
  </si>
  <si>
    <t>Amends: EO 12171, November 19, 1979; EO 12968, August 2, 1995
Amend by: EO 13741, September 29, 2016; EO 13764, January 17, 2017; Revokes: EO 13381, June 27, 2005; 
See: EO 10450, April 27, 1953; EO 10577, November 23, 1954; EO 10865, February 20, 1960; EO 12333, December 4, 1981; EO 12829, January 6, 1993; EO 12958, April 17, 1995; EO 13476, October 9, 2008; EO 13488, January 16, 2008; EO 13549, August 18, 2010</t>
  </si>
  <si>
    <t>73 FR 43827</t>
  </si>
  <si>
    <t>08-1472</t>
  </si>
  <si>
    <t>https://www.federalregister.gov/documents/2008/07/28/08-1472/2008-amendments-to-the-manual-for-courts-martial-united-states</t>
  </si>
  <si>
    <t>https://www.govinfo.gov/content/pkg/FR-2008-07-28/pdf/08-1472.pdf</t>
  </si>
  <si>
    <t>2008 Amendments to the Manual for Courts-Martial, United States</t>
  </si>
  <si>
    <t>See: EO 12473, April 13, 1984</t>
  </si>
  <si>
    <t>73 FR 43841</t>
  </si>
  <si>
    <t>08-1480</t>
  </si>
  <si>
    <t>https://www.federalregister.gov/documents/2008/07/29/08-1480/blocking-property-of-additional-persons-undermining-democratic-processes-or-institutions-in-zimbabwe</t>
  </si>
  <si>
    <t>https://www.govinfo.gov/content/pkg/FR-2008-07-29/pdf/08-1480.pdf</t>
  </si>
  <si>
    <t>See: EO 13288, March 6, 2003; EO 13391, November 22, 2005; Notice of March 3, 2009; Notice of March 1, 2010</t>
  </si>
  <si>
    <t>73 FR 45325</t>
  </si>
  <si>
    <t>E8-17940</t>
  </si>
  <si>
    <t>https://www.federalregister.gov/documents/2008/08/04/E8-17940/further-amendments-to-executive-order-12333-united-states-intelligence-activities</t>
  </si>
  <si>
    <t>https://www.govinfo.gov/content/pkg/FR-2008-08-04/pdf/E8-17940.pdf</t>
  </si>
  <si>
    <t>Further Amendments to Executive Order 12333, United States Intelligence Activities</t>
  </si>
  <si>
    <t>See: EO 12036, January 24, 1978; EO 12958, April 17, 1995; EO 13354, August 27, 2004; EO 13355, August 27, 2004; EO 13462, February 29, 2008; Amends: EO 12333, December 4, 1981;  Revokes: EO 13354, August 27, 2004, and EO 13355, August 27, 2004, read in conjunction with EO 12333, December 4, 1981</t>
  </si>
  <si>
    <t>73 FR 51209</t>
  </si>
  <si>
    <t>E8-20436</t>
  </si>
  <si>
    <t>https://www.federalregister.gov/documents/2008/09/02/E8-20436/further-amendments-to-executive-order-13285-presidents-council-on-service-and-civic-participation</t>
  </si>
  <si>
    <t>https://www.govinfo.gov/content/pkg/FR-2008-09-02/pdf/E8-20436.pdf</t>
  </si>
  <si>
    <t>Further Amendments To Executive Order 13285, President's Council On Service And Civic Participation</t>
  </si>
  <si>
    <t>73 FR 53353</t>
  </si>
  <si>
    <t>E8-21651</t>
  </si>
  <si>
    <t>https://www.federalregister.gov/documents/2008/09/15/E8-21651/executive-branch-responsibilities-with-respect-to-orders-of-succession</t>
  </si>
  <si>
    <t>https://www.govinfo.gov/content/pkg/FR-2008-09-15/pdf/E8-21651.pdf</t>
  </si>
  <si>
    <t>Executive Branch Responsibilities With Respect To Orders of Succession</t>
  </si>
  <si>
    <t>See: EO 11030, June 15, 1962</t>
  </si>
  <si>
    <t>73 FR 56703</t>
  </si>
  <si>
    <t>E8-23125</t>
  </si>
  <si>
    <t>https://www.federalregister.gov/documents/2008/09/30/E8-23125/to-authorize-certain-noncompetitive-appointments-in-the-civil-service-for-spouses-of-certain-members</t>
  </si>
  <si>
    <t>https://www.govinfo.gov/content/pkg/FR-2008-09-30/pdf/E8-23125.pdf</t>
  </si>
  <si>
    <t>To Authorize Certain Noncompetitive Appointments in the Civil Service for Spouses of Certain Members of the Armed Forces</t>
  </si>
  <si>
    <t>73 FR 57229</t>
  </si>
  <si>
    <t>E8-23235</t>
  </si>
  <si>
    <t>https://www.federalregister.gov/documents/2008/10/01/E8-23235/amendments-to-executive-order-12962</t>
  </si>
  <si>
    <t>https://www.govinfo.gov/content/pkg/FR-2008-10-01/pdf/E8-23235.pdf</t>
  </si>
  <si>
    <t>Amendments to Executive Order 12962</t>
  </si>
  <si>
    <t>Amends: EO 12962, June 7, 1995</t>
  </si>
  <si>
    <t>73 FR 60095</t>
  </si>
  <si>
    <t>E8-24342</t>
  </si>
  <si>
    <t>https://www.federalregister.gov/documents/2008/10/10/E8-24342/further-amendments-to-executive-orders-12139-and-12949-in-light-of-the-foreign-intelligence</t>
  </si>
  <si>
    <t>https://www.govinfo.gov/content/pkg/FR-2008-10-10/pdf/E8-24342.pdf</t>
  </si>
  <si>
    <t>Further Amendments To Executive Orders 12139 And 12949 In Light of the Foreign Intelligence Surveillance Act of 1978 Amendments Act of 2008</t>
  </si>
  <si>
    <t>73 FR 60605</t>
  </si>
  <si>
    <t>E8-24465</t>
  </si>
  <si>
    <t>https://www.federalregister.gov/documents/2008/10/14/E8-24465/facilitation-of-a-presidential-transition</t>
  </si>
  <si>
    <t>https://www.govinfo.gov/content/pkg/FR-2008-10-14/pdf/E8-24465.pdf</t>
  </si>
  <si>
    <t>See: EO 13467, June 30, 2008 
Supersedes: EO 13176, November 27, 2000</t>
  </si>
  <si>
    <t>73 FR 65965</t>
  </si>
  <si>
    <t>E8-26531</t>
  </si>
  <si>
    <t>https://www.federalregister.gov/documents/2008/11/05/E8-26531/settlement-of-claims-against-libya</t>
  </si>
  <si>
    <t>https://www.govinfo.gov/content/pkg/FR-2008-11-05/pdf/E8-26531.pdf</t>
  </si>
  <si>
    <t>Settlement of Claims Against Libya</t>
  </si>
  <si>
    <t>73 FR 70239</t>
  </si>
  <si>
    <t>E8-27771</t>
  </si>
  <si>
    <t>https://www.federalregister.gov/documents/2008/11/20/E8-27771/amendments-to-executive-order-9397-relating-to-federal-agency-use-of-social-security-numbers</t>
  </si>
  <si>
    <t>https://www.govinfo.gov/content/pkg/FR-2008-11-20/pdf/E8-27771.pdf</t>
  </si>
  <si>
    <t>Amendments To Executive Order 9397 Relating To Federal Agency Use of Social Security Numbers</t>
  </si>
  <si>
    <t>Amends: EO 9397, November 22, 1943</t>
  </si>
  <si>
    <t>73 FR 70241</t>
  </si>
  <si>
    <t>E8-27777</t>
  </si>
  <si>
    <t>https://www.federalregister.gov/documents/2008/11/20/E8-27777/transformation-of-the-national-air-transportation-system</t>
  </si>
  <si>
    <t>https://www.govinfo.gov/content/pkg/FR-2008-11-20/pdf/E8-27777.pdf</t>
  </si>
  <si>
    <t>Transformation of the National Air Transportation System</t>
  </si>
  <si>
    <t>See: EO 13419, December 20, 2006</t>
  </si>
  <si>
    <t>73 FR 73991</t>
  </si>
  <si>
    <t>E8-28912</t>
  </si>
  <si>
    <t>https://www.federalregister.gov/documents/2008/12/04/E8-28912/exclusions-from-the-federal-labor-management-relations-program</t>
  </si>
  <si>
    <t>https://www.govinfo.gov/content/pkg/FR-2008-12-04/pdf/E8-28912.pdf</t>
  </si>
  <si>
    <t>Exclusions From the Federal Labor-management Relations Program</t>
  </si>
  <si>
    <t>73 FR 75531</t>
  </si>
  <si>
    <t>E8-29564</t>
  </si>
  <si>
    <t>https://www.federalregister.gov/documents/2008/12/11/E8-29564/providing-an-order-of-succession-within-the-department-of-justice</t>
  </si>
  <si>
    <t>https://www.govinfo.gov/content/pkg/FR-2008-12-11/pdf/E8-29564.pdf</t>
  </si>
  <si>
    <t>Providing An Order of Succession Within the Department of Justice</t>
  </si>
  <si>
    <t>Supersedes: Memorandum of December 8, 2006
Revoked by: EO 13557, November 4, 2010</t>
  </si>
  <si>
    <t>73 FR 76501</t>
  </si>
  <si>
    <t>E8-30042</t>
  </si>
  <si>
    <t>https://www.federalregister.gov/documents/2008/12/16/E8-30042/closing-of-executive-departments-and-agencies-of-the-federal-government-on-friday-december-26-2008</t>
  </si>
  <si>
    <t>https://www.govinfo.gov/content/pkg/FR-2008-12-16/pdf/E8-30042.pdf</t>
  </si>
  <si>
    <t>Closing of Executive Departments and Agencies of the Federal Government on Friday, December 26, 2008</t>
  </si>
  <si>
    <t>73 FR 78587</t>
  </si>
  <si>
    <t>E8-30700</t>
  </si>
  <si>
    <t>https://www.federalregister.gov/documents/2008/12/23/E8-30700/adjustments-of-certain-rates-of-pay</t>
  </si>
  <si>
    <t>https://www.govinfo.gov/content/pkg/FR-2008-12-23/pdf/E8-30700.pdf</t>
  </si>
  <si>
    <t>Superseded by: EO 13525, December 23, 2009 
Supersedes: EO 13454, January, 4, 2008</t>
  </si>
  <si>
    <t>74 FR 2285</t>
  </si>
  <si>
    <t>E9-811</t>
  </si>
  <si>
    <t>https://www.federalregister.gov/documents/2009/01/14/E9-811/amending-the-order-of-succession-within-the-department-of-agriculture</t>
  </si>
  <si>
    <t>https://www.govinfo.gov/content/pkg/FR-2009-01-14/pdf/E9-811.pdf</t>
  </si>
  <si>
    <t>Amending the Order of Succession Within the Department of Agriculture</t>
  </si>
  <si>
    <t>Amends: EO 13241, December 18, 2001</t>
  </si>
  <si>
    <t>74 FR 2287</t>
  </si>
  <si>
    <t>E9-814</t>
  </si>
  <si>
    <t>https://www.federalregister.gov/documents/2009/01/14/E9-814/providing-an-order-of-succession-within-the-department-of-transportation</t>
  </si>
  <si>
    <t>https://www.govinfo.gov/content/pkg/FR-2009-01-14/pdf/E9-814.pdf</t>
  </si>
  <si>
    <t>Providing an Order of Succession Within the Department of Transportation</t>
  </si>
  <si>
    <t>Supersedes: Memorandum of March 19, 2002</t>
  </si>
  <si>
    <t>74 FR 2289</t>
  </si>
  <si>
    <t>E9-818</t>
  </si>
  <si>
    <t>https://www.federalregister.gov/documents/2009/01/14/E9-818/strengthening-laboratory-biosecurity-in-the-united-states</t>
  </si>
  <si>
    <t>https://www.govinfo.gov/content/pkg/FR-2009-01-14/pdf/E9-818.pdf</t>
  </si>
  <si>
    <t>Strengthening Laboratory Biosecurity in the United States</t>
  </si>
  <si>
    <t>74 FR 4097</t>
  </si>
  <si>
    <t>E9-1538</t>
  </si>
  <si>
    <t>https://www.federalregister.gov/documents/2009/01/22/E9-1538/establishment-of-a-temporary-organization-to-facilitate-united-states-government-support-for</t>
  </si>
  <si>
    <t>https://www.govinfo.gov/content/pkg/FR-2009-01-22/pdf/E9-1538.pdf</t>
  </si>
  <si>
    <t>Establishment of a Temporary Organization To Facilitate United States Government Support for Afghanistan</t>
  </si>
  <si>
    <t>74 FR 4111</t>
  </si>
  <si>
    <t>E9-1574</t>
  </si>
  <si>
    <t>https://www.federalregister.gov/documents/2009/01/22/E9-1574/granting-reciprocity-on-excepted-service-and-federal-contractor-employee-fitness-and-reinvestigating</t>
  </si>
  <si>
    <t>https://www.govinfo.gov/content/pkg/FR-2009-01-22/pdf/E9-1574.pdf</t>
  </si>
  <si>
    <t>Granting Reciprocity on Excepted Service and Federal Contractor Employee Fitness and Reinvestigating Individuals in Positions of Public Trust</t>
  </si>
  <si>
    <t>See: EO 10450, April 27, 1953; EO 13467, June 30, 2008
Amended by: EO 13764, January 17, 2017</t>
  </si>
  <si>
    <t>74 FR 4669</t>
  </si>
  <si>
    <t>E9-1712</t>
  </si>
  <si>
    <t>https://www.federalregister.gov/documents/2009/01/26/E9-1712/presidential-records</t>
  </si>
  <si>
    <t>https://www.govinfo.gov/content/pkg/FR-2009-01-26/pdf/E9-1712.pdf</t>
  </si>
  <si>
    <t>Presidential Records</t>
  </si>
  <si>
    <t>Revokes: EO 13233, November 1, 2001</t>
  </si>
  <si>
    <t>74 FR 4673</t>
  </si>
  <si>
    <t>E9-1719</t>
  </si>
  <si>
    <t>https://www.federalregister.gov/documents/2009/01/26/E9-1719/ethics-commitments-by-executive-branch-personnel</t>
  </si>
  <si>
    <t>https://www.govinfo.gov/content/pkg/FR-2009-01-26/pdf/E9-1719.pdf</t>
  </si>
  <si>
    <t>Ethics Commitments by Executive Branch Personnel</t>
  </si>
  <si>
    <t>Superseded by: EO 13770, January 28, 2017</t>
  </si>
  <si>
    <t>74 FR 4893</t>
  </si>
  <si>
    <t>E9-1885</t>
  </si>
  <si>
    <t>https://www.federalregister.gov/documents/2009/01/27/E9-1885/ensuring-lawful-interrogations</t>
  </si>
  <si>
    <t>https://www.govinfo.gov/content/pkg/FR-2009-01-27/pdf/E9-1885.pdf</t>
  </si>
  <si>
    <t>Ensuring Lawful Interrogations</t>
  </si>
  <si>
    <t>See: EO 13567, March 7, 2011
Revokes: EO 13440, July 20, 2007</t>
  </si>
  <si>
    <t>74 FR 4897</t>
  </si>
  <si>
    <t>E9-1893</t>
  </si>
  <si>
    <t>https://www.federalregister.gov/documents/2009/01/27/E9-1893/review-and-disposition-of-individuals-detained-at-the-guantanamo-bay-naval-base-and-closure-of</t>
  </si>
  <si>
    <t>https://www.govinfo.gov/content/pkg/FR-2009-01-27/pdf/E9-1893.pdf</t>
  </si>
  <si>
    <t>Review and Disposition of Individuals Detained At the Guantanamo Bay Naval Base and Closure of Detention Facilities</t>
  </si>
  <si>
    <t>See: EO 13567, March 7, 2011; Revoked by: EP 13823, January 30, 2018</t>
  </si>
  <si>
    <t>74 FR 4901</t>
  </si>
  <si>
    <t>E9-1895</t>
  </si>
  <si>
    <t>https://www.federalregister.gov/documents/2009/01/27/E9-1895/review-of-detention-policy-options</t>
  </si>
  <si>
    <t>https://www.govinfo.gov/content/pkg/FR-2009-01-27/pdf/E9-1895.pdf</t>
  </si>
  <si>
    <t>Review of Detention Policy Options</t>
  </si>
  <si>
    <t>74 FR 6101</t>
  </si>
  <si>
    <t>E9-2483</t>
  </si>
  <si>
    <t>https://www.federalregister.gov/documents/2009/02/04/E9-2483/economy-in-government-contracting</t>
  </si>
  <si>
    <t>https://www.govinfo.gov/content/pkg/FR-2009-02-04/pdf/E9-2483.pdf</t>
  </si>
  <si>
    <t>Economy in Government Contracting</t>
  </si>
  <si>
    <t>Amended by: EO 13517, October 30, 2009</t>
  </si>
  <si>
    <t>74 FR 6103</t>
  </si>
  <si>
    <t>E9-2484</t>
  </si>
  <si>
    <t>https://www.federalregister.gov/documents/2009/02/04/E9-2484/nondisplacement-of-qualified-workers-under-service-contracts</t>
  </si>
  <si>
    <t>https://www.govinfo.gov/content/pkg/FR-2009-02-04/pdf/E9-2484.pdf</t>
  </si>
  <si>
    <t>Nondisplacement of Qualified Workers Under Service Contracts</t>
  </si>
  <si>
    <t>Revokes: EO 13204, February 17, 2001</t>
  </si>
  <si>
    <t>74 FR 6107</t>
  </si>
  <si>
    <t>E9-2485</t>
  </si>
  <si>
    <t>https://www.federalregister.gov/documents/2009/02/04/E9-2485/notification-of-employee-rights-under-federal-labor-laws</t>
  </si>
  <si>
    <t>https://www.govinfo.gov/content/pkg/FR-2009-02-04/pdf/E9-2485.pdf</t>
  </si>
  <si>
    <t>Notification of Employee Rights Under Federal Labor Laws</t>
  </si>
  <si>
    <t>Revokes: EO 13201, February 17, 2001</t>
  </si>
  <si>
    <t>74 FR 6113</t>
  </si>
  <si>
    <t>E9-2486</t>
  </si>
  <si>
    <t>https://www.federalregister.gov/documents/2009/02/04/E9-2486/revocation-of-certain-executive-orders-concerning-regulatory-planning-and-review</t>
  </si>
  <si>
    <t>https://www.govinfo.gov/content/pkg/FR-2009-02-04/pdf/E9-2486.pdf</t>
  </si>
  <si>
    <t>Revocation of Certain Executive Orders Concerning Regulatory Planning and Review</t>
  </si>
  <si>
    <t>Revokes: EO 13258, February 26, 2002; EO 13422, January 18, 2007; See: EO 12866, September 30, 1993</t>
  </si>
  <si>
    <t>74 FR 6533</t>
  </si>
  <si>
    <t>E9-2893</t>
  </si>
  <si>
    <t>https://www.federalregister.gov/documents/2009/02/09/E9-2893/amendments-to-executive-order-13199-and-establishment-of-the-presidents-advisory-council-for</t>
  </si>
  <si>
    <t>https://www.govinfo.gov/content/pkg/FR-2009-02-09/pdf/E9-2893.pdf</t>
  </si>
  <si>
    <t>Amendments to Executive Order 13199 and Establishment of the President's Advisory Council for Faith-Based and Neighborhood Partnerships</t>
  </si>
  <si>
    <t>Amends: EO 13199, July 29, 2001
See: EO 13559, November 17, 2010; EO 13569, April 5, 2011; EO 13640, April 5, 2013; EO 13652, September 30, 2013;  EO 13708, September 30, 3015</t>
  </si>
  <si>
    <t>74 FR 6979</t>
  </si>
  <si>
    <t>E9-3106</t>
  </si>
  <si>
    <t>https://www.federalregister.gov/documents/2009/02/11/E9-3106/further-amendments-to-executive-order-12835-establishment-of-the-national-economic-council</t>
  </si>
  <si>
    <t>https://www.govinfo.gov/content/pkg/FR-2009-02-11/pdf/E9-3106.pdf</t>
  </si>
  <si>
    <t>Further Amendments to Executive Order 12835, Establishment of the National Economic Council</t>
  </si>
  <si>
    <t>Amends: EO 12835, January 25, 1993</t>
  </si>
  <si>
    <t>74 FR 6981</t>
  </si>
  <si>
    <t>E9-3108</t>
  </si>
  <si>
    <t>https://www.federalregister.gov/documents/2009/02/11/E9-3108/further-amendments-to-executive-order-12859-establishment-of-the-domestic-policy-council</t>
  </si>
  <si>
    <t>https://www.govinfo.gov/content/pkg/FR-2009-02-11/pdf/E9-3108.pdf</t>
  </si>
  <si>
    <t>Further Amendments to Executive Order 12859, Establishment of the Domestic Policy Council</t>
  </si>
  <si>
    <t>Amends: EO 12859, August 16, 1993</t>
  </si>
  <si>
    <t>74 FR 6983</t>
  </si>
  <si>
    <t>E9-3112</t>
  </si>
  <si>
    <t>https://www.federalregister.gov/documents/2009/02/11/E9-3112/establishment-of-the-presidents-economic-recovery-advisory-board</t>
  </si>
  <si>
    <t>https://www.govinfo.gov/content/pkg/FR-2009-02-11/pdf/E9-3112.pdf</t>
  </si>
  <si>
    <t>Establishment of the President's Economic Recovery Advisory Board</t>
  </si>
  <si>
    <t>Revoked by: EO 13564, January 31, 2011</t>
  </si>
  <si>
    <t>74 FR 6985</t>
  </si>
  <si>
    <t>E9-3113</t>
  </si>
  <si>
    <t>https://www.federalregister.gov/documents/2009/02/11/E9-3113/use-of-project-labor-agreements-for-federal-construction-projects</t>
  </si>
  <si>
    <t>https://www.govinfo.gov/content/pkg/FR-2009-02-11/pdf/E9-3113.pdf</t>
  </si>
  <si>
    <t>Use of Project Labor Agreements for Federal Construction Projects</t>
  </si>
  <si>
    <t>Revokes: EO 13202, February 17, 2001; EO 13208, April 6, 2001 
Revoked by: EO 14063, February 4, 2022</t>
  </si>
  <si>
    <t>74 FR 8139</t>
  </si>
  <si>
    <t>E9-4068</t>
  </si>
  <si>
    <t>https://www.federalregister.gov/documents/2009/02/24/E9-4068/establishment-of-the-white-house-office-of-urban-affairs</t>
  </si>
  <si>
    <t>https://www.govinfo.gov/content/pkg/FR-2009-02-24/pdf/E9-4068.pdf</t>
  </si>
  <si>
    <t>Establishment of the White House Office of Urban Affairs</t>
  </si>
  <si>
    <t>74 FR 8431</t>
  </si>
  <si>
    <t>E9-4103</t>
  </si>
  <si>
    <t>https://www.federalregister.gov/documents/2009/02/24/E9-4103/amending-executive-order-13390</t>
  </si>
  <si>
    <t>https://www.govinfo.gov/content/pkg/FR-2009-02-24/pdf/E9-4103.pdf</t>
  </si>
  <si>
    <t>Amending Executive Order 13390</t>
  </si>
  <si>
    <t>Amends: EO 13390, November 1, 2005</t>
  </si>
  <si>
    <t>74 FR 10667</t>
  </si>
  <si>
    <t>E9-5441</t>
  </si>
  <si>
    <t>https://www.federalregister.gov/documents/2009/03/11/E9-5441/removing-barriers-to-responsible-scientific-research-involving-human-stem-cells</t>
  </si>
  <si>
    <t>https://www.govinfo.gov/content/pkg/FR-2009-03-11/pdf/E9-5441.pdf</t>
  </si>
  <si>
    <t>Removing Barriers to Responsible Scientific Research Involving Human Stem Cells</t>
  </si>
  <si>
    <t>Revokes: EO 13435, June 20, 2007</t>
  </si>
  <si>
    <t>74 FR 11271</t>
  </si>
  <si>
    <t>E9-5802</t>
  </si>
  <si>
    <t>https://www.federalregister.gov/documents/2009/03/16/E9-5802/establishing-a-white-house-council-on-women-and-girls</t>
  </si>
  <si>
    <t>https://www.govinfo.gov/content/pkg/FR-2009-03-16/pdf/E9-5802.pdf</t>
  </si>
  <si>
    <t>Establishing a White House Council on Women And Girls</t>
  </si>
  <si>
    <t>74 FR 17071</t>
  </si>
  <si>
    <t>E9-8572</t>
  </si>
  <si>
    <t>https://www.federalregister.gov/documents/2009/04/13/E9-8572/establishment-of-the-white-house-office-of-health-reform</t>
  </si>
  <si>
    <t>https://www.govinfo.gov/content/pkg/FR-2009-04-13/pdf/E9-8572.pdf</t>
  </si>
  <si>
    <t>Establishment of the White House Office of Health Reform</t>
  </si>
  <si>
    <t>Revoked by: EO 13569, April 5, 2011</t>
  </si>
  <si>
    <t>74 FR 23099</t>
  </si>
  <si>
    <t>E9-11547</t>
  </si>
  <si>
    <t>https://www.federalregister.gov/documents/2009/05/15/E9-11547/chesapeake-bay-protection-and-restoration</t>
  </si>
  <si>
    <t>https://www.govinfo.gov/content/pkg/FR-2009-05-15/pdf/E9-11547.pdf</t>
  </si>
  <si>
    <t>Chesapeake Bay Protection and Restoration</t>
  </si>
  <si>
    <t>74 FR 30903</t>
  </si>
  <si>
    <t>E9-15368</t>
  </si>
  <si>
    <t>https://www.federalregister.gov/documents/2009/06/26/E9-15368/establishing-a-white-house-council-on-automotive-communities-and-workers</t>
  </si>
  <si>
    <t>https://www.govinfo.gov/content/pkg/FR-2009-06-26/pdf/E9-15368.pdf</t>
  </si>
  <si>
    <t>Establishing a White House Council on Automotive Communities and Workers</t>
  </si>
  <si>
    <t>Revoked by: EO 13578, July 6, 2011</t>
  </si>
  <si>
    <t>74 FR 32047</t>
  </si>
  <si>
    <t>E9-16034</t>
  </si>
  <si>
    <t>https://www.federalregister.gov/documents/2009/07/06/E9-16034/waiver-under-the-trade-act-of-1974-with-respect-to-the-republic-of-belarus</t>
  </si>
  <si>
    <t>https://www.govinfo.gov/content/pkg/FR-2009-07-06/pdf/E9-16034.pdf</t>
  </si>
  <si>
    <t>74 FR 50909</t>
  </si>
  <si>
    <t>E9-23886</t>
  </si>
  <si>
    <t>https://www.federalregister.gov/documents/2009/10/01/E9-23886/continuance-of-certain-federal-advisory-committees</t>
  </si>
  <si>
    <t>https://www.govinfo.gov/content/pkg/FR-2009-10-01/pdf/E9-23886.pdf</t>
  </si>
  <si>
    <t>Continues: EO 11145, March 7, 1964; EO 11183, October 3, 1964; EO 11287, June 28, 1966; EO 12131, May 4, 1979; EO 12196, February 26, 1980; EO 12216, June 18, 1980; EO 12367, February 15, 1982; EO 12382, September 13, 1982; EO 12905, March 25, 1994; EO 12994, March 21, 1996; EO 13226, September 30, 2001; EO 13231, October 16, 2001; EO 13256, February 12, 2002; EO 13265, June 6, 2002; EO 13270, July 3, 2002; Supersedes in part: EO 13446, September 28, 2007; Superseded by: EO 13585, September 30, 2011</t>
  </si>
  <si>
    <t>74 FR 50911</t>
  </si>
  <si>
    <t>E9-23915</t>
  </si>
  <si>
    <t>https://www.federalregister.gov/documents/2009/10/02/E9-23915/amending-executive-order-13390</t>
  </si>
  <si>
    <t>https://www.govinfo.gov/content/pkg/FR-2009-10-02/pdf/E9-23915.pdf</t>
  </si>
  <si>
    <t>74 FR 51225</t>
  </si>
  <si>
    <t>E9-24203</t>
  </si>
  <si>
    <t>https://www.federalregister.gov/documents/2009/10/06/E9-24203/federal-leadership-on-reducing-text-messaging-while-driving</t>
  </si>
  <si>
    <t>https://www.govinfo.gov/content/pkg/FR-2009-10-06/pdf/E9-24203.pdf</t>
  </si>
  <si>
    <t>Federal Leadership On Reducing Text Messaging While Driving</t>
  </si>
  <si>
    <t>74 FR 52117</t>
  </si>
  <si>
    <t>E9-24518</t>
  </si>
  <si>
    <t>https://www.federalregister.gov/documents/2009/10/08/E9-24518/federal-leadership-in-environmental-energy-and-economic-performance</t>
  </si>
  <si>
    <t>https://www.govinfo.gov/content/pkg/FR-2009-10-08/pdf/E9-24518.pdf</t>
  </si>
  <si>
    <t>Federal Leadership in Environmental, Energy, and Economic Performance</t>
  </si>
  <si>
    <t>See: EO 13423, January 24, 2007; EO 13677, September 23, 2014
Revoked by: EO 13693, March 25, 2015</t>
  </si>
  <si>
    <t>74 FR 53635</t>
  </si>
  <si>
    <t>E9-25268</t>
  </si>
  <si>
    <t>https://www.federalregister.gov/documents/2009/10/19/E9-25268/increasing-participation-of-asian-americans-and-pacific-islanders-in-federal-programs</t>
  </si>
  <si>
    <t>https://www.govinfo.gov/content/pkg/FR-2009-10-19/pdf/E9-25268.pdf</t>
  </si>
  <si>
    <t>Supersedes: EO 13125, June 7, 1999; EO 13339, May 13, 2004;
Amended by: EO 13585, September 30, 2011; EO 13652, September 30, 2013;
Continued by: EO 13652, September 30, 2013;  EO 13708, September 30, 2015; EO 13811, September 29, 2017 
Superseded by: EO 14031, May 28, 2021</t>
  </si>
  <si>
    <t>74 FR 56521</t>
  </si>
  <si>
    <t>E9-26408</t>
  </si>
  <si>
    <t>https://www.federalregister.gov/documents/2009/11/02/E9-26408/amending-executive-order-13462</t>
  </si>
  <si>
    <t>https://www.govinfo.gov/content/pkg/FR-2009-11-02/pdf/E9-26408.pdf</t>
  </si>
  <si>
    <t>Amending Executive Order 13462</t>
  </si>
  <si>
    <t>Federal Register correction page and date: 74 FR 57241, November 5, 2009</t>
  </si>
  <si>
    <t>74 FR 57239</t>
  </si>
  <si>
    <t>E9-26834</t>
  </si>
  <si>
    <t>https://www.federalregister.gov/documents/2009/11/05/E9-26834/amendments-to-executive-orders-13183-and-13494</t>
  </si>
  <si>
    <t>https://www.govinfo.gov/content/pkg/FR-2009-11-05/pdf/E9-26834.pdf</t>
  </si>
  <si>
    <t>Amendments to Executive Orders 13183 and 13494</t>
  </si>
  <si>
    <t>Amends: EO 13183, December 23, 2000; EO 13494, January 30, 2009</t>
  </si>
  <si>
    <t>74 FR 58533</t>
  </si>
  <si>
    <t>E9-27441</t>
  </si>
  <si>
    <t>https://www.federalregister.gov/documents/2009/11/13/E9-27441/employment-of-veterans-in-the-federal-government</t>
  </si>
  <si>
    <t>https://www.govinfo.gov/content/pkg/FR-2009-11-13/pdf/E9-27441.pdf</t>
  </si>
  <si>
    <t>Employment of Veterans in the Federal Government</t>
  </si>
  <si>
    <t>74 FR 60123</t>
  </si>
  <si>
    <t>E9-28022</t>
  </si>
  <si>
    <t>https://www.federalregister.gov/documents/2009/11/19/E9-28022/establishment-of-the-financial-fraud-enforcement-task-force</t>
  </si>
  <si>
    <t>https://www.govinfo.gov/content/pkg/FR-2009-11-19/pdf/E9-28022.pdf</t>
  </si>
  <si>
    <t>Establishment of the Financial Fraud Enforcement Task Force</t>
  </si>
  <si>
    <t>Terminates: EO 13271, July 9, 2002</t>
  </si>
  <si>
    <t>74 FR 62201</t>
  </si>
  <si>
    <t>E9-28493</t>
  </si>
  <si>
    <t>https://www.federalregister.gov/documents/2009/11/25/E9-28493/reducing-improper-payments</t>
  </si>
  <si>
    <t>https://www.govinfo.gov/content/pkg/FR-2009-11-25/pdf/E9-28493.pdf</t>
  </si>
  <si>
    <t>Reducing Improper Payments</t>
  </si>
  <si>
    <t>74 FR 62671</t>
  </si>
  <si>
    <t>E9-28805</t>
  </si>
  <si>
    <t>https://www.federalregister.gov/documents/2009/11/30/E9-28805/establishing-the-presidential-commission-for-the-study-of-bioethical-issues</t>
  </si>
  <si>
    <t>https://www.govinfo.gov/content/pkg/FR-2009-11-30/pdf/E9-28805.pdf</t>
  </si>
  <si>
    <t>Establishing the Presidential Commission for the Study of Bioethical Issues</t>
  </si>
  <si>
    <t>Continued by: EO 13652, September 30, 2013; EO 13708, September 30, 2015
See: EO 13591, November 23, 2011
Supersedes: EO 13237, November 28, 2001</t>
  </si>
  <si>
    <t>74 FR 66203</t>
  </si>
  <si>
    <t>E9-29781</t>
  </si>
  <si>
    <t>https://www.federalregister.gov/documents/2009/12/14/E9-29781/creating-labor-management-forums-to-improve-delivery-of-government-services</t>
  </si>
  <si>
    <t>https://www.govinfo.gov/content/pkg/FR-2009-12-14/pdf/E9-29781.pdf</t>
  </si>
  <si>
    <t>Creating Labor-Management Forums to Improve Delivery of Government Services</t>
  </si>
  <si>
    <t>Continued by: EO 13652, September 30, 2013; EO 13708, September 30, 2015
See: EO 13591, November 23, 2011
Revoked by: EO 13812, September 29, 2017</t>
  </si>
  <si>
    <t>74 FR 66563</t>
  </si>
  <si>
    <t>E9-30020</t>
  </si>
  <si>
    <t>https://www.federalregister.gov/documents/2009/12/16/E9-30020/half-day-closing-of-executive-departments-and-agencies-on-thursday-december-24-2009</t>
  </si>
  <si>
    <t>https://www.govinfo.gov/content/pkg/FR-2009-12-16/pdf/E9-30020.pdf</t>
  </si>
  <si>
    <t>Half-Day Closing of Executive Departments and Agencies on Thursday, December 24, 2009</t>
  </si>
  <si>
    <t>Federal Register correction page and date: 74 FR 67049, December 18, 2009</t>
  </si>
  <si>
    <t>74 FR 67803</t>
  </si>
  <si>
    <t>E9-30413</t>
  </si>
  <si>
    <t>https://www.federalregister.gov/documents/2009/12/21/E9-30413/amending-executive-order-12425-designating-interpol-as-a-public-international-organization-entitled</t>
  </si>
  <si>
    <t>https://www.govinfo.gov/content/pkg/FR-2009-12-21/pdf/E9-30413.pdf</t>
  </si>
  <si>
    <t>Amending Executive Order 12425 Designating Interpol as a Public International Organization Entitled To Enjoy Certain Privileges, Exemptions, and Immunities</t>
  </si>
  <si>
    <t>Amends: EO 12425, June 16, 1983</t>
  </si>
  <si>
    <t>74 FR 69231</t>
  </si>
  <si>
    <t>E9-31098</t>
  </si>
  <si>
    <t>https://www.federalregister.gov/documents/2009/12/30/E9-31098/adjustments-of-certain-rates-of-pay</t>
  </si>
  <si>
    <t>https://www.govinfo.gov/content/pkg/FR-2009-12-30/pdf/E9-31098.pdf</t>
  </si>
  <si>
    <t>75 FR 1013</t>
  </si>
  <si>
    <t>C1-2009-31418</t>
  </si>
  <si>
    <t>https://www.federalregister.gov/documents/2010/01/08/C1-2009-31418/correction</t>
  </si>
  <si>
    <t>https://www.govinfo.gov/content/pkg/FR-2010-01-08/pdf/C1-2009-31418.pdf</t>
  </si>
  <si>
    <t>Correction</t>
  </si>
  <si>
    <t>75 FR 707</t>
  </si>
  <si>
    <t>E9-31418</t>
  </si>
  <si>
    <t>https://www.federalregister.gov/documents/2010/01/05/E9-31418/classified-national-security-information</t>
  </si>
  <si>
    <t>https://www.govinfo.gov/content/pkg/FR-2010-01-05/pdf/E9-31418.pdf</t>
  </si>
  <si>
    <t>Classified National Security Information</t>
  </si>
  <si>
    <t>Federal Register correction page and date: 75 FR 1013, January 8, 2010, Executive Order 13526 - Correction; Revokes: EO 12958, April 17, 1995; EO 13292, March 25, 2003;  See: EO 12333, December 4, 1981; Memorandum of December 29, 2009 (75 FR 733); Order of December 29, 2009 (75 FR 735); EO 13549, August 18, 2010; EO 13556, November 4, 2010; EO 13618, July 6, 2012</t>
  </si>
  <si>
    <t>75 FR 737</t>
  </si>
  <si>
    <t>2010-38</t>
  </si>
  <si>
    <t>https://www.federalregister.gov/documents/2010/01/06/2010-38/establishing-federal-capability-for-the-timely-provision-of-medical-countermeasures-following-a</t>
  </si>
  <si>
    <t>https://www.govinfo.gov/content/pkg/FR-2010-01-06/pdf/2010-38.pdf</t>
  </si>
  <si>
    <t>Establishing Federal Capability for the Timely Provision of Medical Countermeasures Following a Biological Attack</t>
  </si>
  <si>
    <t>75 FR 2053</t>
  </si>
  <si>
    <t>2010-705</t>
  </si>
  <si>
    <t>https://www.federalregister.gov/documents/2010/01/14/2010-705/establishment-of-the-council-of-governors</t>
  </si>
  <si>
    <t>https://www.govinfo.gov/content/pkg/FR-2010-01-14/pdf/2010-705.pdf</t>
  </si>
  <si>
    <t>Establishment of the Council of Governors</t>
  </si>
  <si>
    <t>75 FR 3331</t>
  </si>
  <si>
    <t>2010-1229</t>
  </si>
  <si>
    <t>https://www.federalregister.gov/documents/2010/01/21/2010-1229/ordering-the-selected-reserve-and-certain-individual-ready-reserve-members-of-the-armed-forces-to</t>
  </si>
  <si>
    <t>https://www.govinfo.gov/content/pkg/FR-2010-01-21/pdf/2010-1229.pdf</t>
  </si>
  <si>
    <t>75 FR 5481</t>
  </si>
  <si>
    <t>2010-2419</t>
  </si>
  <si>
    <t>https://www.federalregister.gov/documents/2010/02/03/2010-2419/presidents-advisory-council-on-financial-capability</t>
  </si>
  <si>
    <t>https://www.govinfo.gov/content/pkg/FR-2010-02-03/pdf/2010-2419.pdf</t>
  </si>
  <si>
    <t>President's Advisory Council on Financial Capability</t>
  </si>
  <si>
    <t>Amended by: EO 13591, November 23, 2011</t>
  </si>
  <si>
    <t>75 FR 7927</t>
  </si>
  <si>
    <t>2010-3725</t>
  </si>
  <si>
    <t>https://www.federalregister.gov/documents/2010/02/23/2010-3725/national-commission-on-fiscal-responsibility-and-reform</t>
  </si>
  <si>
    <t>https://www.govinfo.gov/content/pkg/FR-2010-02-23/pdf/2010-3725.pdf</t>
  </si>
  <si>
    <t>National Commission on Fiscal Responsibility and Reform</t>
  </si>
  <si>
    <t>75 FR 9749</t>
  </si>
  <si>
    <t>2010-4593</t>
  </si>
  <si>
    <t>https://www.federalregister.gov/documents/2010/03/03/2010-4593/promoting-excellence-innovation-and-sustainability-at-historically-black-colleges-and-universities</t>
  </si>
  <si>
    <t>https://www.govinfo.gov/content/pkg/FR-2010-03-03/pdf/2010-4593.pdf</t>
  </si>
  <si>
    <t>Promoting Excellence, Innovation, and Sustainability at Historically Black Colleges and Universities</t>
  </si>
  <si>
    <t>Amended by: EO 13569, April 5, 2011 
Continued by: EO 13652, September 30, 2013; EO 13708, September 30, 2015
Revokes: EO 13256, February 12, 2002 
See: EO 13591, November 23, 2011; EO 13621, July 26, 2012
Revoked by: EO 13779 of February 28, 2017</t>
  </si>
  <si>
    <t>75 FR 10163</t>
  </si>
  <si>
    <t>2010-4884</t>
  </si>
  <si>
    <t>https://www.federalregister.gov/documents/2010/03/05/2010-4884/providing-an-order-of-succession-within-the-department-of-defense</t>
  </si>
  <si>
    <t>https://www.govinfo.gov/content/pkg/FR-2010-03-05/pdf/2010-4884.pdf</t>
  </si>
  <si>
    <t>Revokes: EO 13394, December 22, 2005; Revoked by: EO 13963, December 10, 2020</t>
  </si>
  <si>
    <t>75 FR 12433</t>
  </si>
  <si>
    <t>2010-5837</t>
  </si>
  <si>
    <t>https://www.federalregister.gov/documents/2010/03/16/2010-5837/national-export-initiative</t>
  </si>
  <si>
    <t>https://www.govinfo.gov/content/pkg/FR-2010-03-16/pdf/2010-5837.pdf</t>
  </si>
  <si>
    <t>National Export Initiative</t>
  </si>
  <si>
    <t>See: EO 12870, September 30, 1993; EO 13630, December 6, 2012</t>
  </si>
  <si>
    <t>75 FR 15599</t>
  </si>
  <si>
    <t>2010-7154</t>
  </si>
  <si>
    <t>https://www.federalregister.gov/documents/2010/03/29/2010-7154/ensuring-enforcement-and-implementation-of-abortion-restrictions-in-the-patient-protection-and</t>
  </si>
  <si>
    <t>https://www.govinfo.gov/content/pkg/FR-2010-03-29/pdf/2010-7154.pdf</t>
  </si>
  <si>
    <t>Ensuring Enforcement and Implementation of Abortion Restrictions in the Patient Protection and Affordable Care Act</t>
  </si>
  <si>
    <t>75 FR 19869</t>
  </si>
  <si>
    <t>2010-8878</t>
  </si>
  <si>
    <t>https://www.federalregister.gov/documents/2010/04/15/2010-8878/blocking-property-of-certain-persons-contributing-to-the-conflict-in-somalia</t>
  </si>
  <si>
    <t>https://www.govinfo.gov/content/pkg/FR-2010-04-15/pdf/2010-8878.pdf</t>
  </si>
  <si>
    <t>Blocking Property of Certain Persons Contributing to the Conflict in Somalia</t>
  </si>
  <si>
    <t>See: EO 13620, July 20, 2012</t>
  </si>
  <si>
    <t>75 FR 20237</t>
  </si>
  <si>
    <t>2010-9078</t>
  </si>
  <si>
    <t>https://www.federalregister.gov/documents/2010/04/19/2010-9078/interagency-group-on-insular-areas</t>
  </si>
  <si>
    <t>https://www.govinfo.gov/content/pkg/FR-2010-04-19/pdf/2010-9078.pdf</t>
  </si>
  <si>
    <t>Supersedes: EO 13299, May 8, 2003</t>
  </si>
  <si>
    <t>75 FR 20895</t>
  </si>
  <si>
    <t>2010-9451</t>
  </si>
  <si>
    <t>https://www.federalregister.gov/documents/2010/04/22/2010-9451/establishing-the-presidents-management-advisory-board</t>
  </si>
  <si>
    <t>https://www.govinfo.gov/content/pkg/FR-2010-04-22/pdf/2010-9451.pdf</t>
  </si>
  <si>
    <t>Establishing the President's Management Advisory Board</t>
  </si>
  <si>
    <t>Amended by: EO 13652, September 30, 2013
Continued by: EO 13652, September 30, 2013;  EO 13708, September 30, 2015
See: EO 13591, November 23, 2011</t>
  </si>
  <si>
    <t>75 FR 21973</t>
  </si>
  <si>
    <t>2010-9796</t>
  </si>
  <si>
    <t>https://www.federalregister.gov/documents/2010/04/27/2010-9796/presidents-council-of-advisors-on-science-and-technology</t>
  </si>
  <si>
    <t>https://www.govinfo.gov/content/pkg/FR-2010-04-27/pdf/2010-9796.pdf</t>
  </si>
  <si>
    <t>Revokes: EO 13226, September 30, 2001
See: EO 12968, August 2, 1995; EO 13591, November 23, 2011
Amended by: EO 13596, December 19, 2011
Continued by: EO 13652, September 30, 2013;  EO 13708, September 30, 2015; EO 13811, September 29, 2017</t>
  </si>
  <si>
    <t>75 FR 22497</t>
  </si>
  <si>
    <t>2010-10172</t>
  </si>
  <si>
    <t>https://www.federalregister.gov/documents/2010/04/29/2010-10172/interagency-task-force-on-veterans-small-business-development</t>
  </si>
  <si>
    <t>https://www.govinfo.gov/content/pkg/FR-2010-04-29/pdf/2010-10172.pdf</t>
  </si>
  <si>
    <t>Interagency Task Force on Veterans Small Business Development</t>
  </si>
  <si>
    <t>Continued by: EO 13652, September 30, 2013;  EO 13708, September 30, 2015; EO 13811, September 29, 2017
Supersedes: EO 13299, May 8, 2003</t>
  </si>
  <si>
    <t>75 FR 26879</t>
  </si>
  <si>
    <t>2010-11557</t>
  </si>
  <si>
    <t>https://www.federalregister.gov/documents/2010/05/12/2010-11557/temporary-organization-to-facilitate-a-strategic-partnership-with-the-republic-of-iraq</t>
  </si>
  <si>
    <t>https://www.govinfo.gov/content/pkg/FR-2010-05-12/pdf/2010-11557.pdf</t>
  </si>
  <si>
    <t>Temporary Organization To Facilitate a Strategic Partnership With the Republic of Iraq</t>
  </si>
  <si>
    <t>75 FR 27921</t>
  </si>
  <si>
    <t>2010-12070</t>
  </si>
  <si>
    <t>https://www.federalregister.gov/documents/2010/05/18/2010-12070/providing-an-order-of-succession-within-the-department-of-agriculture</t>
  </si>
  <si>
    <t>https://www.govinfo.gov/content/pkg/FR-2010-05-18/pdf/2010-12070.pdf</t>
  </si>
  <si>
    <t>Revokes: EO 13241, December 18, 2001</t>
  </si>
  <si>
    <t>75 FR 29397</t>
  </si>
  <si>
    <t>2010-12805</t>
  </si>
  <si>
    <t>https://www.federalregister.gov/documents/2010/05/26/2010-12805/national-commission-on-the-bp-deepwater-horizon-oil-spill-and-offshore-drilling</t>
  </si>
  <si>
    <t>https://www.govinfo.gov/content/pkg/FR-2010-05-26/pdf/2010-12805.pdf</t>
  </si>
  <si>
    <t>National Commission on the BP Deepwater Horizon Oil Spill and Offshore Drilling</t>
  </si>
  <si>
    <t>75 FR 33983</t>
  </si>
  <si>
    <t>2010-14613</t>
  </si>
  <si>
    <t>https://www.federalregister.gov/documents/2010/06/16/2010-14613/establishing-the-national-prevention-health-promotion-and-public-health-council</t>
  </si>
  <si>
    <t>https://www.govinfo.gov/content/pkg/FR-2010-06-16/pdf/2010-14613.pdf</t>
  </si>
  <si>
    <t>Establishing the National Prevention, Health Promotion, and Public Health Council</t>
  </si>
  <si>
    <t>See: EO 13591, November 23, 2011; EO 13631, December 7, 2012; EO 13652, September 30, 2013
Continued by:  EO 13708, September 30, 2015</t>
  </si>
  <si>
    <t>75 FR 37283</t>
  </si>
  <si>
    <t>2010-15851</t>
  </si>
  <si>
    <t>https://www.federalregister.gov/documents/2010/06/28/2010-15851/presidents-council-on-fitness-sports-and-nutrition</t>
  </si>
  <si>
    <t>https://www.govinfo.gov/content/pkg/FR-2010-06-28/pdf/2010-15851.pdf</t>
  </si>
  <si>
    <t>President's Council on Fitness, Sports, and Nutrition</t>
  </si>
  <si>
    <t>See: EO 10830, July 24, 1959; Amends: EO 13265, June 6, 2002; Revoked by: EO 13824, February 26, 2018</t>
  </si>
  <si>
    <t>75 FR 39439</t>
  </si>
  <si>
    <t>2010-16864</t>
  </si>
  <si>
    <t>https://www.federalregister.gov/documents/2010/07/08/2010-16864/optimizing-the-security-of-biological-select-agents-and-toxins-in-the-united-states</t>
  </si>
  <si>
    <t>https://www.govinfo.gov/content/pkg/FR-2010-07-08/pdf/2010-16864.pdf</t>
  </si>
  <si>
    <t>Optimizing the Security of Biological Select Agents and Toxins in the United States</t>
  </si>
  <si>
    <t>75 FR 43023</t>
  </si>
  <si>
    <t>2010-18169</t>
  </si>
  <si>
    <t>https://www.federalregister.gov/documents/2010/07/22/2010-18169/stewardship-of-the-ocean-our-coasts-and-the-great-lakes</t>
  </si>
  <si>
    <t>https://www.govinfo.gov/content/pkg/FR-2010-07-22/pdf/2010-18169.pdf</t>
  </si>
  <si>
    <t>Stewardship of the Ocean, Our Coasts, and the Great Lakes</t>
  </si>
  <si>
    <t>Revokes: EO 13366, December 17, 2004</t>
  </si>
  <si>
    <t>75 FR 45039</t>
  </si>
  <si>
    <t>2010-18988</t>
  </si>
  <si>
    <t>https://www.federalregister.gov/documents/2010/07/30/2010-18988/increasing-federal-employment-of-individuals-with-disabilities</t>
  </si>
  <si>
    <t>https://www.govinfo.gov/content/pkg/FR-2010-07-30/pdf/2010-18988.pdf</t>
  </si>
  <si>
    <t>Increasing Federal Employment of Individuals With Disabilities</t>
  </si>
  <si>
    <t>See: EO 13163, July 26, 2000; EO 13583, August 18, 2011</t>
  </si>
  <si>
    <t>75 FR 51609</t>
  </si>
  <si>
    <t>2010-21016</t>
  </si>
  <si>
    <t>https://www.federalregister.gov/documents/2010/08/23/2010-21016/classified-national-security-information-program-for-state-local-tribal-and-private-sector-entities</t>
  </si>
  <si>
    <t>https://www.govinfo.gov/content/pkg/FR-2010-08-23/pdf/2010-21016.pdf</t>
  </si>
  <si>
    <t>Classified National Security Information Program for State, Local, Tribal, and Private Sector Entities</t>
  </si>
  <si>
    <t>See: EO 12333, December 4, 1981; EO 12829, January 6, 1993; EO 12968, August 2, 1995; EO 13467, June 30, 2008; EO 13526, December 29, 2009; EO 13591, November 23, 2011; EO 13636, February 12, 2013; EO 13691, February 13, 2015
Continued by: EO 13652, September 30, 2013; EO 13708, September 30, 2015; EO 13811, September 29, 2017</t>
  </si>
  <si>
    <t>75 FR 51615</t>
  </si>
  <si>
    <t>2010-21020</t>
  </si>
  <si>
    <t>https://www.federalregister.gov/documents/2010/08/23/2010-21020/establishment-of-pakistan-and-afghanistan-support-office</t>
  </si>
  <si>
    <t>https://www.govinfo.gov/content/pkg/FR-2010-08-23/pdf/2010-21020.pdf</t>
  </si>
  <si>
    <t>Establishment of Pakistan and Afghanistan Support Office</t>
  </si>
  <si>
    <t>75 FR 53837</t>
  </si>
  <si>
    <t>2010-22002</t>
  </si>
  <si>
    <t>https://www.federalregister.gov/documents/2010/09/01/2010-22002/blocking-property-of-certain-persons-with-respect-to-north-korea</t>
  </si>
  <si>
    <t>https://www.govinfo.gov/content/pkg/FR-2010-09-01/pdf/2010-22002.pdf</t>
  </si>
  <si>
    <t>Blocking Property of Certain Persons With Respect to North Korea</t>
  </si>
  <si>
    <t>75 FR 54263</t>
  </si>
  <si>
    <t>2010-22279</t>
  </si>
  <si>
    <t>https://www.federalregister.gov/documents/2010/09/03/2010-22279/2010-amendments-to-the-manual-for-courts-martial-united-states</t>
  </si>
  <si>
    <t>https://www.govinfo.gov/content/pkg/FR-2010-09-03/pdf/2010-22279.pdf</t>
  </si>
  <si>
    <t>2010 Amendments to the Manual for Courts-Martial, United States</t>
  </si>
  <si>
    <t>75 FR 60567</t>
  </si>
  <si>
    <t>2010-24839</t>
  </si>
  <si>
    <t>https://www.federalregister.gov/documents/2010/10/01/2010-24839/blocking-property-of-certain-persons-with-respect-to-serious-human-rights-abuses-by-the-government</t>
  </si>
  <si>
    <t>https://www.govinfo.gov/content/pkg/FR-2010-10-01/pdf/2010-24839.pdf</t>
  </si>
  <si>
    <t>Blocking Property of Certain Persons With Respect to Serious Human Rights Abuses by the Government of Iran and Taking Certain Other Actions</t>
  </si>
  <si>
    <t>See: EO 12957, March 15, 1995</t>
  </si>
  <si>
    <t>75 FR 62313</t>
  </si>
  <si>
    <t>2010-25578</t>
  </si>
  <si>
    <t>https://www.federalregister.gov/documents/2010/10/08/2010-25578/establishing-the-gulf-coast-ecosystem-restoration-task-force</t>
  </si>
  <si>
    <t>https://www.govinfo.gov/content/pkg/FR-2010-10-08/pdf/2010-25578.pdf</t>
  </si>
  <si>
    <t>Establishing the Gulf Coast Ecosystem Restoration Task Force</t>
  </si>
  <si>
    <t>See: EO 13626, September 10, 2012</t>
  </si>
  <si>
    <t>75 FR 65417</t>
  </si>
  <si>
    <t>2010-27004</t>
  </si>
  <si>
    <t>https://www.federalregister.gov/documents/2010/10/22/2010-27004/white-house-initiative-on-educational-excellence-for-hispanics</t>
  </si>
  <si>
    <t>https://www.govinfo.gov/content/pkg/FR-2010-10-22/pdf/2010-27004.pdf</t>
  </si>
  <si>
    <t>White House Initiative on Educational Excellence for Hispanics</t>
  </si>
  <si>
    <t>See: EO 13634, December 21, 2012; EO 13652, September 30, 2013
Continued by: EO 13708, September 30, 2015; EO 13811, September 29, 2017</t>
  </si>
  <si>
    <t>75 FR 68675</t>
  </si>
  <si>
    <t>2010-28360</t>
  </si>
  <si>
    <t>https://www.federalregister.gov/documents/2010/11/09/2010-28360/controlled-unclassified-information</t>
  </si>
  <si>
    <t>https://www.govinfo.gov/content/pkg/FR-2010-11-09/pdf/2010-28360.pdf</t>
  </si>
  <si>
    <t>Controlled Unclassified Information</t>
  </si>
  <si>
    <t>Revokes: Memorandum of May 7, 2008
See: EO 13526, December 29, 2009</t>
  </si>
  <si>
    <t>75 FR 68679</t>
  </si>
  <si>
    <t>2010-28365</t>
  </si>
  <si>
    <t>https://www.federalregister.gov/documents/2010/11/09/2010-28365/providing-an-order-of-succession-within-the-department-of-justice</t>
  </si>
  <si>
    <t>https://www.govinfo.gov/content/pkg/FR-2010-11-09/pdf/2010-28365.pdf</t>
  </si>
  <si>
    <t>Providing an Order of Succession Within the Department of Justice</t>
  </si>
  <si>
    <t>Revokes: EO 13481, December 9, 2008</t>
  </si>
  <si>
    <t>75 FR 69573</t>
  </si>
  <si>
    <t>2010-28854</t>
  </si>
  <si>
    <t>https://www.federalregister.gov/documents/2010/11/15/2010-28854/export-enforcement-coordination-center</t>
  </si>
  <si>
    <t>https://www.govinfo.gov/content/pkg/FR-2010-11-15/pdf/2010-28854.pdf</t>
  </si>
  <si>
    <t>Export Enforcement Coordination Center</t>
  </si>
  <si>
    <t>75 FR 71319</t>
  </si>
  <si>
    <t>2010-29579</t>
  </si>
  <si>
    <t>https://www.federalregister.gov/documents/2010/11/22/2010-29579/fundamental-principles-and-policymaking-criteria-for-partnerships-with-faith-based-and-other</t>
  </si>
  <si>
    <t>https://www.govinfo.gov/content/pkg/FR-2010-11-22/pdf/2010-29579.pdf</t>
  </si>
  <si>
    <t>Fundamental Principles and Policymaking Criteria for Partnerships With Faith-Based and Other Neighborhood Organizations</t>
  </si>
  <si>
    <t>Amends: EO 13279, December 12, 2002
See: EO 13198, January 29, 2001; EO 13199, January 29, 2001; EO 13498, February 5, 2009</t>
  </si>
  <si>
    <t>75 FR 78875</t>
  </si>
  <si>
    <t>2010-31878</t>
  </si>
  <si>
    <t>https://www.federalregister.gov/documents/2010/12/17/2010-31878/white-house-council-for-community-solutions</t>
  </si>
  <si>
    <t>https://www.govinfo.gov/content/pkg/FR-2010-12-17/pdf/2010-31878.pdf</t>
  </si>
  <si>
    <t>White House Council for Community Solutions</t>
  </si>
  <si>
    <t>Superseded by: EO 13748, November 16, 2016</t>
  </si>
  <si>
    <t>75 FR 81817</t>
  </si>
  <si>
    <t>2010-32960</t>
  </si>
  <si>
    <t>https://www.federalregister.gov/documents/2010/12/29/2010-32960/adjustments-of-certain-rates-of-pay</t>
  </si>
  <si>
    <t>https://www.govinfo.gov/content/pkg/FR-2010-12-29/pdf/2010-32960.pdf</t>
  </si>
  <si>
    <t>75 FR 82585</t>
  </si>
  <si>
    <t>2010-33169</t>
  </si>
  <si>
    <t>https://www.federalregister.gov/documents/2010/12/30/2010-33169/recruiting-and-hiring-students-and-recent-graduates</t>
  </si>
  <si>
    <t>https://www.govinfo.gov/content/pkg/FR-2010-12-30/pdf/2010-33169.pdf</t>
  </si>
  <si>
    <t>Recruiting and Hiring Students and Recent Graduates</t>
  </si>
  <si>
    <t>Supersedes: EO 12015, October 26, 1977
Revokes: EO 13318, November 21, 2003; EO 13162, July 6, 2000
See: EO 14100, June 9, 2023</t>
  </si>
  <si>
    <t>76 FR 3821</t>
  </si>
  <si>
    <t>2011-1385</t>
  </si>
  <si>
    <t>https://www.federalregister.gov/documents/2011/01/21/2011-1385/improving-regulation-and-regulatory-review</t>
  </si>
  <si>
    <t>https://www.govinfo.gov/content/pkg/FR-2011-01-21/pdf/2011-1385.pdf</t>
  </si>
  <si>
    <t>Improving Regulation and Regulatory Review</t>
  </si>
  <si>
    <t>See: EO 12866, September 30, 1993; EO 13579, July 11, 2011; EO 13604, March 22, 2012; EO 13609, May 1, 2012; EO 13610, May 10, 2012; EO 13636, February 12, 2013; EO 13707, September 15, 2015; EO 13777, February 24, 2017; EO 14094, April 6, 2023</t>
  </si>
  <si>
    <t>76 FR 6309</t>
  </si>
  <si>
    <t>2011-2577</t>
  </si>
  <si>
    <t>https://www.federalregister.gov/documents/2011/02/03/2011-2577/establishment-of-the-presidents-council-on-jobs-and-competitiveness</t>
  </si>
  <si>
    <t>https://www.govinfo.gov/content/pkg/FR-2011-02-03/pdf/2011-2577.pdf</t>
  </si>
  <si>
    <t>Establishment of the President's Council on Jobs and Competitiveness</t>
  </si>
  <si>
    <t>Revokes: EO 13501, February 6, 2009</t>
  </si>
  <si>
    <t>76 FR 7681</t>
  </si>
  <si>
    <t>2011-3257</t>
  </si>
  <si>
    <t>https://www.federalregister.gov/documents/2011/02/11/2011-3257/establishment-of-the-intellectual-property-enforcement-advisory-committees</t>
  </si>
  <si>
    <t>https://www.govinfo.gov/content/pkg/FR-2011-02-11/pdf/2011-3257.pdf</t>
  </si>
  <si>
    <t>Establishment of the Intellectual Property Enforcement Advisory Committees</t>
  </si>
  <si>
    <t>76 FR 11315</t>
  </si>
  <si>
    <t>2011-4753</t>
  </si>
  <si>
    <t>https://www.federalregister.gov/documents/2011/03/02/2011-4753/blocking-property-and-prohibiting-certain-transactions-related-to-libya</t>
  </si>
  <si>
    <t>https://www.govinfo.gov/content/pkg/FR-2011-03-02/pdf/2011-4753.pdf</t>
  </si>
  <si>
    <t>Blocking Property and Prohibiting Certain Transactions Related to Libya</t>
  </si>
  <si>
    <t>See: EO 13726, April 19, 2016</t>
  </si>
  <si>
    <t>76 FR 13277</t>
  </si>
  <si>
    <t>2011-5728</t>
  </si>
  <si>
    <t>https://www.federalregister.gov/documents/2011/03/10/2011-5728/periodic-review-of-individuals-detained-at-guantnamo-bay-naval-station-pursuant-to-the-authorization</t>
  </si>
  <si>
    <t>https://www.govinfo.gov/content/pkg/FR-2011-03-10/pdf/2011-5728.pdf</t>
  </si>
  <si>
    <t>Periodic Review of Individuals Detained at Guantánamo Bay Naval Station Pursuant to the Authorization for Use of Military Force</t>
  </si>
  <si>
    <t>See: EO 13491, January 22, 2009; EO 13492, January 22, 2009</t>
  </si>
  <si>
    <t>76 FR 13497</t>
  </si>
  <si>
    <t>2011-5903</t>
  </si>
  <si>
    <t>https://www.federalregister.gov/documents/2011/03/11/2011-5903/extending-provisions-of-the-international-organizations-immunities-act-to-the-office-of-the-high</t>
  </si>
  <si>
    <t>https://www.govinfo.gov/content/pkg/FR-2011-03-11/pdf/2011-5903.pdf</t>
  </si>
  <si>
    <t>Extending Provisions of the International Organizations Immunities Act to the Office of the High Representative in Bosnia and Herzegovina and the International Civilian Office in Kosovo</t>
  </si>
  <si>
    <t>76 FR 19891</t>
  </si>
  <si>
    <t>2011-8642</t>
  </si>
  <si>
    <t>https://www.federalregister.gov/documents/2011/04/08/2011-8642/amendments-to-executive-orders-12824-12835-12859-and-13532-reestablishment-pursuant-to-executive</t>
  </si>
  <si>
    <t>https://www.govinfo.gov/content/pkg/FR-2011-04-08/pdf/2011-8642.pdf</t>
  </si>
  <si>
    <t>Amendments to Executive Orders 12824, 12835, 12859, and 13532, Reestablishment Pursuant to Executive Order 13498, and Revocation of Executive Order 13507</t>
  </si>
  <si>
    <t>Amends: EO 12824, December 7, 1992; EO 12835, January 25, 1993; EO 12859, August 16, 1993; EO 13532, February 26, 2010
Revokes: EO 13507, April 8, 2009
See: EO 13498, February 5, 2009</t>
  </si>
  <si>
    <t>76 FR 22291</t>
  </si>
  <si>
    <t>2011-9739</t>
  </si>
  <si>
    <t>https://www.federalregister.gov/documents/2011/04/20/2011-9739/prohibiting-certain-transactions-with-respect-to-north-korea</t>
  </si>
  <si>
    <t>https://www.govinfo.gov/content/pkg/FR-2011-04-20/pdf/2011-9739.pdf</t>
  </si>
  <si>
    <t>Prohibiting Certain Transactions With Respect to North Korea</t>
  </si>
  <si>
    <t>See: EO 13466, June 26, 2008; EO 13551, August 30, 2010; EO 13687, January 2, 2015</t>
  </si>
  <si>
    <t>76 FR 24339</t>
  </si>
  <si>
    <t>2011-10732</t>
  </si>
  <si>
    <t>https://www.federalregister.gov/documents/2011/05/02/2011-10732/streamlining-service-delivery-and-improving-customer-service</t>
  </si>
  <si>
    <t>https://www.govinfo.gov/content/pkg/FR-2011-05-02/pdf/2011-10732.pdf</t>
  </si>
  <si>
    <t>Streamlining Service Delivery and Improving Customer Service</t>
  </si>
  <si>
    <t>See: EO 12862, September 11, 1993; Memoranda of March 22, 1995, and March 3, 1998</t>
  </si>
  <si>
    <t>76 FR 24787</t>
  </si>
  <si>
    <t>2011-10910</t>
  </si>
  <si>
    <t>https://www.federalregister.gov/documents/2011/05/03/2011-10910/blocking-property-of-certain-persons-with-respect-to-human-rights-abuses-in-syria</t>
  </si>
  <si>
    <t>https://www.govinfo.gov/content/pkg/FR-2011-05-03/pdf/2011-10910.pdf</t>
  </si>
  <si>
    <t>Blocking Property of Certain Persons With Respect to Human Rights Abuses in Syria</t>
  </si>
  <si>
    <t>See: EO 13338, May 11, 2004; EO 13399, April 25, 2006; EO 13460, February 13, 2008; EO 13573, May 18, 2011; EO 13582, August 17, 2011</t>
  </si>
  <si>
    <t>76 FR 29143</t>
  </si>
  <si>
    <t>2011-12645</t>
  </si>
  <si>
    <t>https://www.federalregister.gov/documents/2011/05/20/2011-12645/blocking-property-of-senior-officials-of-the-government-of-syria</t>
  </si>
  <si>
    <t>https://www.govinfo.gov/content/pkg/FR-2011-05-20/pdf/2011-12645.pdf</t>
  </si>
  <si>
    <t>Blocking Property of Senior Officials of the Government of Syria</t>
  </si>
  <si>
    <t>See: EO 13338, May 11, 2004; EO 13399, April 25, 2006; EO 13460, February 13, 2008; EO 13572, April 29, 2011; EO 13582, August 17, 2011</t>
  </si>
  <si>
    <t>76 FR 30505</t>
  </si>
  <si>
    <t>2011-13173</t>
  </si>
  <si>
    <t>https://www.federalregister.gov/documents/2011/05/25/2011-13173/authorizing-the-implementation-of-certain-sanctions-set-forth-in-the-iran-sanctions-act-of-1996-as</t>
  </si>
  <si>
    <t>https://www.govinfo.gov/content/pkg/FR-2011-05-25/pdf/2011-13173.pdf</t>
  </si>
  <si>
    <t>Authorizing the Implementation of Certain Sanctions Set Forth in the Iran Sanctions Act of 1996, as Amended</t>
  </si>
  <si>
    <t>See: EO 12957, March 15, 1995
Revoked by: EO 13716, January 16, 2016</t>
  </si>
  <si>
    <t>76 FR 34841</t>
  </si>
  <si>
    <t>2011-14919</t>
  </si>
  <si>
    <t>https://www.federalregister.gov/documents/2011/06/14/2011-14919/establishment-of-the-white-house-rural-council</t>
  </si>
  <si>
    <t>https://www.govinfo.gov/content/pkg/FR-2011-06-14/pdf/2011-14919.pdf</t>
  </si>
  <si>
    <t>Establishment of the White House Rural Council</t>
  </si>
  <si>
    <t>Revoked by: EO 13790 of April 25, 2017</t>
  </si>
  <si>
    <t>76 FR 35297</t>
  </si>
  <si>
    <t>2011-15181</t>
  </si>
  <si>
    <t>https://www.federalregister.gov/documents/2011/06/16/2011-15181/delivering-an-efficient-effective-and-accountable-government</t>
  </si>
  <si>
    <t>https://www.govinfo.gov/content/pkg/FR-2011-06-16/pdf/2011-15181.pdf</t>
  </si>
  <si>
    <t>Delivering an Efficient, Effective, and Accountable Government</t>
  </si>
  <si>
    <t>76 FR 35715</t>
  </si>
  <si>
    <t>2011-15443</t>
  </si>
  <si>
    <t>https://www.federalregister.gov/documents/2011/06/20/2011-15443/establishment-of-the-selectusa-initiative</t>
  </si>
  <si>
    <t>https://www.govinfo.gov/content/pkg/FR-2011-06-20/pdf/2011-15443.pdf</t>
  </si>
  <si>
    <t>Establishment of the SelectUSA Initiative</t>
  </si>
  <si>
    <t>76 FR 40591</t>
  </si>
  <si>
    <t>2011-17447</t>
  </si>
  <si>
    <t>https://www.federalregister.gov/documents/2011/07/11/2011-17447/coordinating-policies-on-automotive-communities-and-workers</t>
  </si>
  <si>
    <t>https://www.govinfo.gov/content/pkg/FR-2011-07-11/pdf/2011-17447.pdf</t>
  </si>
  <si>
    <t>Coordinating Policies on Automotive Communities and Workers</t>
  </si>
  <si>
    <t>Revokes: EO 13509, June 23, 2009</t>
  </si>
  <si>
    <t>76 FR 41587</t>
  </si>
  <si>
    <t>2011-17953</t>
  </si>
  <si>
    <t>https://www.federalregister.gov/documents/2011/07/14/2011-17953/regulation-and-independent-regulatory-agencies</t>
  </si>
  <si>
    <t>https://www.govinfo.gov/content/pkg/FR-2011-07-14/pdf/2011-17953.pdf</t>
  </si>
  <si>
    <t>Regulation and Independent Regulatory Agencies</t>
  </si>
  <si>
    <t>See: EO 12866, September 30, 1993; EO 13563, January 18, 2011</t>
  </si>
  <si>
    <t>76 FR 41989</t>
  </si>
  <si>
    <t>2011-18065</t>
  </si>
  <si>
    <t>https://www.federalregister.gov/documents/2011/07/15/2011-18065/interagency-working-group-on-coordination-of-domestic-energy-development-and-permitting-in-alaska</t>
  </si>
  <si>
    <t>https://www.govinfo.gov/content/pkg/FR-2011-07-15/pdf/2011-18065.pdf</t>
  </si>
  <si>
    <t>Interagency Working Group on Coordination of Domestic Energy Development and Permitting in Alaska</t>
  </si>
  <si>
    <t>See: EO 13547, June 19, 2010</t>
  </si>
  <si>
    <t>76 FR 44757</t>
  </si>
  <si>
    <t>2011-19156</t>
  </si>
  <si>
    <t>https://www.federalregister.gov/documents/2011/07/27/2011-19156/blocking-property-of-transnational-criminal-organizations</t>
  </si>
  <si>
    <t>https://www.govinfo.gov/content/pkg/FR-2011-07-27/pdf/2011-19156.pdf</t>
  </si>
  <si>
    <t>Blocking Property of Transnational Criminal Organizations</t>
  </si>
  <si>
    <t>76 FR 52209</t>
  </si>
  <si>
    <t>2011-21505</t>
  </si>
  <si>
    <t>https://www.federalregister.gov/documents/2011/08/22/2011-21505/blocking-property-of-the-government-of-syria-and-prohibiting-certain-transactions-with-respect-to</t>
  </si>
  <si>
    <t>https://www.govinfo.gov/content/pkg/FR-2011-08-22/pdf/2011-21505.pdf</t>
  </si>
  <si>
    <t>Blocking Property of the Government of Syria and Prohibiting Certain Transactions With Respect to Syria</t>
  </si>
  <si>
    <t>See: EO 13338, May 11, 2004; EO 13399, April 25, 2006; EO 13460, February 13, 2008; EO 13572, April 29, 2011; and EO 13573, May 18, 2011</t>
  </si>
  <si>
    <t>76 FR 52847</t>
  </si>
  <si>
    <t>2011-21704</t>
  </si>
  <si>
    <t>https://www.federalregister.gov/documents/2011/08/23/2011-21704/establishing-a-coordinated-government-wide-initiative-to-promote-diversity-and-inclusion-in-the</t>
  </si>
  <si>
    <t>https://www.govinfo.gov/content/pkg/FR-2011-08-23/pdf/2011-21704.pdf</t>
  </si>
  <si>
    <t>Establishing a Coordinated Government-Wide Initiative to Promote Diversity and Inclusion in the Federal Workforce</t>
  </si>
  <si>
    <t>See: EO 13078, March 13, 1998; EO 13163, July 26, 2000; EO 13171, October 12, 2000; EO 13518, November 9, 2009; EO 13548, July 26, 2010; EO 13583, August 18, 2011; EO 14100, June 9, 2023</t>
  </si>
  <si>
    <t>76 FR 56945</t>
  </si>
  <si>
    <t>2011-23891</t>
  </si>
  <si>
    <t>https://www.federalregister.gov/documents/2011/09/15/2011-23891/developing-an-integrated-strategic-counterterrorism-communications-initiative-and-establishing-a</t>
  </si>
  <si>
    <t>https://www.govinfo.gov/content/pkg/FR-2011-09-15/pdf/2011-23891.pdf</t>
  </si>
  <si>
    <t>Developing an Integrated Strategic Counterterrorism Communications Initiative and Establishing a Temporary Organization to Support Certain Government-wide Communications Activities Directed Abroad</t>
  </si>
  <si>
    <t>Revoked by: EO 13721, March 14, 2016</t>
  </si>
  <si>
    <t>76 FR 62281</t>
  </si>
  <si>
    <t>2011-26141</t>
  </si>
  <si>
    <t>https://www.federalregister.gov/documents/2011/10/07/2011-26141/continuance-of-certain-federal-advisory-committees</t>
  </si>
  <si>
    <t>https://www.govinfo.gov/content/pkg/FR-2011-10-07/pdf/2011-26141.pdf</t>
  </si>
  <si>
    <t>See: EO 11145, March 7, 1964; EO 11183, October 3, 1964; EO 11287, June 28, 1966; EO 11612, July 26, 1971; EO 12131, May 4, 1979; EO 12216, June 18, 1980; EO 12367, June 15, 1982; EO 12382, September 13, 1982; EO 12829, January 6, 1993; EO 12905, March 25, 1994; EO 12994, March 21, 1996; EO 13231, October 16, 2001; EO 13265, June 6, 2002; EO 13270, July 3, 2002; EO 13515, October 14, 2009; EO 13592, December 2, 2011 ;
 Supersedes: EO 13511, September 29, 2009;
 Superseded in part by: EO 13652, September 30, 2013;
 Amends: EO 13515, October 14, 2009</t>
  </si>
  <si>
    <t>76 FR 63533</t>
  </si>
  <si>
    <t>2011-26574</t>
  </si>
  <si>
    <t>https://www.federalregister.gov/documents/2011/10/12/2011-26574/establishing-an-emergency-board-to-investigate-disputes-between-certain-railroads-represented-by-the</t>
  </si>
  <si>
    <t>https://www.govinfo.gov/content/pkg/FR-2011-10-12/pdf/2011-26574.pdf</t>
  </si>
  <si>
    <t>Establishing an Emergency Board to Investigate Disputes Between Certain Railroads Represented by the National Carriers' Conference Committee of the National Railway Labor Conference and Their Employees Represented by Certain Labor Organizations</t>
  </si>
  <si>
    <t>76 FR 63811</t>
  </si>
  <si>
    <t>2011-26729</t>
  </si>
  <si>
    <t>https://www.federalregister.gov/documents/2011/10/13/2011-26729/structural-reforms-to-improve-the-security-of-classified-networks-and-the-responsible-sharing-and</t>
  </si>
  <si>
    <t>https://www.govinfo.gov/content/pkg/FR-2011-10-13/pdf/2011-26729.pdf</t>
  </si>
  <si>
    <t>Structural Reforms To Improve the Security of Classified Networks and the Responsible Sharing and Safeguarding of Classified Information</t>
  </si>
  <si>
    <t>76 FR 68295</t>
  </si>
  <si>
    <t>2011-28728</t>
  </si>
  <si>
    <t>https://www.federalregister.gov/documents/2011/11/03/2011-28728/reducing-prescription-drug-shortages</t>
  </si>
  <si>
    <t>https://www.govinfo.gov/content/pkg/FR-2011-11-03/pdf/2011-28728.pdf</t>
  </si>
  <si>
    <t>Reducing Prescription Drug Shortages</t>
  </si>
  <si>
    <t>76 FR 70863</t>
  </si>
  <si>
    <t>2011-29683</t>
  </si>
  <si>
    <t>https://www.federalregister.gov/documents/2011/11/15/2011-29683/promoting-efficient-spending</t>
  </si>
  <si>
    <t>https://www.govinfo.gov/content/pkg/FR-2011-11-15/pdf/2011-29683.pdf</t>
  </si>
  <si>
    <t>Promoting Efficient Spending</t>
  </si>
  <si>
    <t>See: EO 13576, June 13, 2011; Memorandum of May 24, 2011</t>
  </si>
  <si>
    <t>76 FR 72609</t>
  </si>
  <si>
    <t>2011-30463</t>
  </si>
  <si>
    <t>https://www.federalregister.gov/documents/2011/11/23/2011-30463/authorizing-the-imposition-of-certain-sanctions-with-respect-to-the-provision-of-goods-services</t>
  </si>
  <si>
    <t>https://www.govinfo.gov/content/pkg/FR-2011-11-23/pdf/2011-30463.pdf</t>
  </si>
  <si>
    <t>Authorizing the Imposition of Certain Sanctions With Respect to the Provision of Goods, Services, Technology, or Support for Iran's Energy and Petrochemical Sectors</t>
  </si>
  <si>
    <t>76 FR 74623</t>
  </si>
  <si>
    <t>2011-30990</t>
  </si>
  <si>
    <t>https://www.federalregister.gov/documents/2011/11/30/2011-30990/continuance-of-certain-federal-advisory-committees</t>
  </si>
  <si>
    <t>https://www.govinfo.gov/content/pkg/FR-2011-11-30/pdf/2011-30990.pdf</t>
  </si>
  <si>
    <t>See: EO 13521, November 24, 2009; EO 13522, December 9, 2009; EO 13532, February 26, 2010; EO 13538, April 22, 2010; EO 13539, April 21, 2011; EO 13540, April 26, 2010; EO 13549, August 18, 2010; EO 13544, June 10, 2010; EO 13631, December 7, 2012</t>
  </si>
  <si>
    <t>76 FR 76603</t>
  </si>
  <si>
    <t>2011-31624</t>
  </si>
  <si>
    <t>https://www.federalregister.gov/documents/2011/12/08/2011-31624/improving-american-indian-and-alaska-native-educational-opportunities-and-strengthening-tribal</t>
  </si>
  <si>
    <t>https://www.govinfo.gov/content/pkg/FR-2011-12-08/pdf/2011-31624.pdf</t>
  </si>
  <si>
    <t>Improving American Indian and Alaska Native Educational Opportunities and Strengthening Tribal Colleges and Universities</t>
  </si>
  <si>
    <t>Revokes: EO 13270, July 3, 2002; EO 13336, April 30, 2004; EO 13585, September 30, 2011 
Superseded by: EP 14049, October 11, 2021</t>
  </si>
  <si>
    <t>76 FR 78451</t>
  </si>
  <si>
    <t>2011-32486</t>
  </si>
  <si>
    <t>https://www.federalregister.gov/documents/2011/12/16/2011-32486/2011-amendments-to-the-manual-for-courts-martial-united-states</t>
  </si>
  <si>
    <t>https://www.govinfo.gov/content/pkg/FR-2011-12-16/pdf/2011-32486.pdf</t>
  </si>
  <si>
    <t>2011 Amendments to the Manual for Courts-Martial, United States</t>
  </si>
  <si>
    <t>76 FR 80191</t>
  </si>
  <si>
    <t>2011-33087</t>
  </si>
  <si>
    <t>https://www.federalregister.gov/documents/2011/12/23/2011-33087/adjustments-of-certain-rates-of-pay</t>
  </si>
  <si>
    <t>https://www.govinfo.gov/content/pkg/FR-2011-12-23/pdf/2011-33087.pdf</t>
  </si>
  <si>
    <t>Supersedes: EO 13561, December 22, 2010</t>
  </si>
  <si>
    <t>76 FR 80205</t>
  </si>
  <si>
    <t>2011-33089</t>
  </si>
  <si>
    <t>https://www.federalregister.gov/documents/2011/12/23/2011-33089/instituting-a-national-action-plan-on-women-peace-and-security</t>
  </si>
  <si>
    <t>https://www.govinfo.gov/content/pkg/FR-2011-12-23/pdf/2011-33089.pdf</t>
  </si>
  <si>
    <t>Instituting a National Action Plan On Women, Peace, And Security</t>
  </si>
  <si>
    <t>76 FR 80725</t>
  </si>
  <si>
    <t>2011-33335</t>
  </si>
  <si>
    <t>https://www.federalregister.gov/documents/2011/12/27/2011-33335/amendments-to-executive-orders-12131-and-13539</t>
  </si>
  <si>
    <t>https://www.govinfo.gov/content/pkg/FR-2011-12-27/pdf/2011-33335.pdf</t>
  </si>
  <si>
    <t>Amendments to Executive Orders 12131 and 13539</t>
  </si>
  <si>
    <t>Amends: EO 12131, May 4, 1979; EO 13539, April 21, 2010</t>
  </si>
  <si>
    <t>77 FR 3373</t>
  </si>
  <si>
    <t>2012-1568</t>
  </si>
  <si>
    <t>https://www.federalregister.gov/documents/2012/01/24/2012-1568/establishing-visa-and-foreign-visitor-processing-goals-and-the-task-force-on-travel-and</t>
  </si>
  <si>
    <t>https://www.govinfo.gov/content/pkg/FR-2012-01-24/pdf/2012-1568.pdf</t>
  </si>
  <si>
    <t>Establishing Visa and Foreign Visitor Processing Goals and the Task Force On Travel and Competitiveness</t>
  </si>
  <si>
    <t>See: EO 13749, November 29, 2016
Amended by: EO 13802, June 21, 2017</t>
  </si>
  <si>
    <t>77 FR 5371</t>
  </si>
  <si>
    <t>2012-2557</t>
  </si>
  <si>
    <t>https://www.federalregister.gov/documents/2012/02/02/2012-2557/assignment-of-functions-relating-to-certain-promotion-and-appointment-actions-in-the-armed-forces</t>
  </si>
  <si>
    <t>https://www.govinfo.gov/content/pkg/FR-2012-02-02/pdf/2012-2557.pdf</t>
  </si>
  <si>
    <t>Assignment of Functions Relating to Certain Promotion and Appointment Actions in the Armed Forces</t>
  </si>
  <si>
    <t>77 FR 6659</t>
  </si>
  <si>
    <t>2012-3097</t>
  </si>
  <si>
    <t>https://www.federalregister.gov/documents/2012/02/08/2012-3097/blocking-property-of-the-government-of-iran-and-iranian-financial-institutions</t>
  </si>
  <si>
    <t>https://www.govinfo.gov/content/pkg/FR-2012-02-08/pdf/2012-3097.pdf</t>
  </si>
  <si>
    <t>Blocking Property of the Government of Iran and Iranian Financial Institutions</t>
  </si>
  <si>
    <t>See: EO 12957, March 15, 1995; EO 12170, November 14, 1979; EO 12281, January 19, 1981; EO 13628, October 9, 2012</t>
  </si>
  <si>
    <t>77 FR 8713</t>
  </si>
  <si>
    <t>2012-3616</t>
  </si>
  <si>
    <t>https://www.federalregister.gov/documents/2012/02/14/2012-3616/establishing-the-presidents-global-development-council</t>
  </si>
  <si>
    <t>https://www.govinfo.gov/content/pkg/FR-2012-02-14/pdf/2012-3616.pdf</t>
  </si>
  <si>
    <t>Establishing the President's Global Development Council</t>
  </si>
  <si>
    <t>Amended by: EO 13652, September 30, 2013;
Continued by: EO 13652, September 30, 2013; EO 13708, September 30, 2015</t>
  </si>
  <si>
    <t>77 FR 12981</t>
  </si>
  <si>
    <t>2012-5366</t>
  </si>
  <si>
    <t>https://www.federalregister.gov/documents/2012/03/05/2012-5366/establishment-of-the-interagency-trade-enforcement-center</t>
  </si>
  <si>
    <t>https://www.govinfo.gov/content/pkg/FR-2012-03-05/pdf/2012-5366.pdf</t>
  </si>
  <si>
    <t>Establishment of the Interagency Trade Enforcement Center</t>
  </si>
  <si>
    <t>77 FR 16131</t>
  </si>
  <si>
    <t>2012-6797</t>
  </si>
  <si>
    <t>https://www.federalregister.gov/documents/2012/03/20/2012-6797/establishing-a-white-house-council-on-strong-cities-strong-communities</t>
  </si>
  <si>
    <t>https://www.govinfo.gov/content/pkg/FR-2012-03-20/pdf/2012-6797.pdf</t>
  </si>
  <si>
    <t>Establishing a White House Council on Strong Cities, Strong Communities</t>
  </si>
  <si>
    <t>Revoked by: EO 13748, November 16, 2016</t>
  </si>
  <si>
    <t>77 FR 16651</t>
  </si>
  <si>
    <t>2012-7019</t>
  </si>
  <si>
    <t>https://www.federalregister.gov/documents/2012/03/22/2012-7019/national-defense-resources-preparedness</t>
  </si>
  <si>
    <t>https://www.govinfo.gov/content/pkg/FR-2012-03-22/pdf/2012-7019.pdf</t>
  </si>
  <si>
    <t>National Defense Resources Preparedness</t>
  </si>
  <si>
    <t>See: EO 11858, May 7, 1975; EO 12472, April 3, 1984; EO 12656, November 18, 1988</t>
  </si>
  <si>
    <t>77 FR 18887</t>
  </si>
  <si>
    <t>2012-7636</t>
  </si>
  <si>
    <t>https://www.federalregister.gov/documents/2012/03/28/2012-7636/improving-performance-of-federal-permitting-and-review-of-infrastructure-projects</t>
  </si>
  <si>
    <t>https://www.govinfo.gov/content/pkg/FR-2012-03-28/pdf/2012-7636.pdf</t>
  </si>
  <si>
    <t>Improving Performance of Federal Permitting and Review of Infrastructure Projects</t>
  </si>
  <si>
    <t>See: EO 13563, January 18, 2011; EO 13580, July 12, 2011; EO 13616, June 14, 2012</t>
  </si>
  <si>
    <t>77 FR 23107</t>
  </si>
  <si>
    <t>2012-9473</t>
  </si>
  <si>
    <t>https://www.federalregister.gov/documents/2012/04/17/2012-9473/supporting-safe-and-responsible-development-of-unconventional-domestic-natural-gas-resources</t>
  </si>
  <si>
    <t>https://www.govinfo.gov/content/pkg/FR-2012-04-17/pdf/2012-9473.pdf</t>
  </si>
  <si>
    <t>Supporting Safe and Responsible Development of Unconventional Domestic Natural Gas Resources</t>
  </si>
  <si>
    <t>77 FR 24571</t>
  </si>
  <si>
    <t>2012-10034</t>
  </si>
  <si>
    <t>https://www.federalregister.gov/documents/2012/04/24/2012-10034/blocking-the-property-and-suspending-entry-into-the-united-states-of-certain-persons-with-respect-to</t>
  </si>
  <si>
    <t>https://www.govinfo.gov/content/pkg/FR-2012-04-24/pdf/2012-10034.pdf</t>
  </si>
  <si>
    <t>Blocking the Property and Suspending Entry Into the United States of Certain Persons With Respect to Grave Human Rights Abuses by the Governments of Iran and Syria via Information Technology</t>
  </si>
  <si>
    <t>See: EO 12957, March 15, 1995; EO 13338, May 11, 2004</t>
  </si>
  <si>
    <t>77 FR 25861</t>
  </si>
  <si>
    <t>2012-10715</t>
  </si>
  <si>
    <t>https://www.federalregister.gov/documents/2012/05/02/2012-10715/establishing-principles-of-excellence-for-educational-institutions-serving-service-members-veterans</t>
  </si>
  <si>
    <t>https://www.govinfo.gov/content/pkg/FR-2012-05-02/pdf/2012-10715.pdf</t>
  </si>
  <si>
    <t>Establishing Principles of Excellence for Educational Institutions Serving Service Members, Veterans, Spouses, and Other Family Members</t>
  </si>
  <si>
    <t>77 FR 26409</t>
  </si>
  <si>
    <t>2012-10884</t>
  </si>
  <si>
    <t>https://www.federalregister.gov/documents/2012/05/03/2012-10884/prohibiting-certain-transactions-with-and-suspending-entry-into-the-united-states-of-foreign</t>
  </si>
  <si>
    <t>https://www.govinfo.gov/content/pkg/FR-2012-05-03/pdf/2012-10884.pdf</t>
  </si>
  <si>
    <t>Prohibiting Certain Transactions With and Suspending Entry Into the United States of Foreign Sanctions Evaders With Respect to Iran and Syria</t>
  </si>
  <si>
    <t>See: EO 12938, November 4, 1994; EO 12957, March 15, 1995; EO 13224, September 23, 2001; EO 13338, May 1, 2004</t>
  </si>
  <si>
    <t>77 FR 26413</t>
  </si>
  <si>
    <t>2012-10968</t>
  </si>
  <si>
    <t>https://www.federalregister.gov/documents/2012/05/04/2012-10968/promoting-international-regulatory-cooperation</t>
  </si>
  <si>
    <t>https://www.govinfo.gov/content/pkg/FR-2012-05-04/pdf/2012-10968.pdf</t>
  </si>
  <si>
    <t>Promoting International Regulatory Cooperation</t>
  </si>
  <si>
    <t>77 FR 28469</t>
  </si>
  <si>
    <t>2012-11798</t>
  </si>
  <si>
    <t>https://www.federalregister.gov/documents/2012/05/14/2012-11798/identifying-and-reducing-regulatory-burdens</t>
  </si>
  <si>
    <t>https://www.govinfo.gov/content/pkg/FR-2012-05-14/pdf/2012-11798.pdf</t>
  </si>
  <si>
    <t>Identifying and Reducing Regulatory Burdens</t>
  </si>
  <si>
    <t>See: EO 12866, September 30, 1993; EO 13563, January 18, 2011; EO 13636, February 12, 2013; EO 13707, September 15, 2015</t>
  </si>
  <si>
    <t>77 FR 29533</t>
  </si>
  <si>
    <t>2012-12225</t>
  </si>
  <si>
    <t>https://www.federalregister.gov/documents/2012/05/18/2012-12225/blocking-property-of-persons-threatening-the-peace-security-or-stability-of-yemen</t>
  </si>
  <si>
    <t>https://www.govinfo.gov/content/pkg/FR-2012-05-18/pdf/2012-12225.pdf</t>
  </si>
  <si>
    <t>Blocking Property of Persons Threatening the Peace, Security, or Stability of Yemen</t>
  </si>
  <si>
    <t>77 FR 31153</t>
  </si>
  <si>
    <t>2012-12881</t>
  </si>
  <si>
    <t>https://www.federalregister.gov/documents/2012/05/24/2012-12881/providing-an-order-of-succession-within-the-department-of-agriculture</t>
  </si>
  <si>
    <t>https://www.govinfo.gov/content/pkg/FR-2012-05-24/pdf/2012-12881.pdf</t>
  </si>
  <si>
    <t>Revokes: EO 13542, May 13, 2010</t>
  </si>
  <si>
    <t>77 FR 31155</t>
  </si>
  <si>
    <t>2012-12882</t>
  </si>
  <si>
    <t>https://www.federalregister.gov/documents/2012/05/24/2012-12882/providing-an-order-of-succession-within-the-department-of-commerce</t>
  </si>
  <si>
    <t>https://www.govinfo.gov/content/pkg/FR-2012-05-24/pdf/2012-12882.pdf</t>
  </si>
  <si>
    <t>Revokes: EO 13242, December 18, 2001</t>
  </si>
  <si>
    <t>77 FR 31157</t>
  </si>
  <si>
    <t>2012-12883</t>
  </si>
  <si>
    <t>https://www.federalregister.gov/documents/2012/05/24/2012-12883/providing-an-order-of-succession-within-the-environmental-protection-agency</t>
  </si>
  <si>
    <t>https://www.govinfo.gov/content/pkg/FR-2012-05-24/pdf/2012-12883.pdf</t>
  </si>
  <si>
    <t>Providing an Order of Succession Within the Environmental Protection Agency</t>
  </si>
  <si>
    <t>Revokes: EO 13261, March 19, 2002; EO 13344, July 7, 2004</t>
  </si>
  <si>
    <t>77 FR 31159</t>
  </si>
  <si>
    <t>2012-12889</t>
  </si>
  <si>
    <t>https://www.federalregister.gov/documents/2012/05/24/2012-12889/providing-an-order-of-succession-within-the-office-of-management-and-budget</t>
  </si>
  <si>
    <t>https://www.govinfo.gov/content/pkg/FR-2012-05-24/pdf/2012-12889.pdf</t>
  </si>
  <si>
    <t>Providing an Order of Succession Within the Office of Management and Budget</t>
  </si>
  <si>
    <t>Revokes: EO 13370, January 13, 2005</t>
  </si>
  <si>
    <t>77 FR 36903</t>
  </si>
  <si>
    <t>2012-15183</t>
  </si>
  <si>
    <t>https://www.federalregister.gov/documents/2012/06/20/2012-15183/accelerating-broadband-infrastructure-deployment</t>
  </si>
  <si>
    <t>https://www.govinfo.gov/content/pkg/FR-2012-06-20/pdf/2012-15183.pdf</t>
  </si>
  <si>
    <t>Accelerating Broadband Infrastructure Deployment</t>
  </si>
  <si>
    <t>See: EO 13604, March 2, 2012</t>
  </si>
  <si>
    <t>77 FR 38459</t>
  </si>
  <si>
    <t>2012-15954</t>
  </si>
  <si>
    <t>https://www.federalregister.gov/documents/2012/06/27/2012-15954/blocking-property-of-the-government-of-the-russian-federation-relating-to-the-disposition-of-highly</t>
  </si>
  <si>
    <t>https://www.govinfo.gov/content/pkg/FR-2012-06-27/pdf/2012-15954.pdf</t>
  </si>
  <si>
    <t>See: EO 12938, November 14, 1994; EO 13085, May 26, 1998; EO 13159, June 21, 2000
Revoked by: EO 13695, May 26, 2015</t>
  </si>
  <si>
    <t>77 FR 40779</t>
  </si>
  <si>
    <t>2012-17022</t>
  </si>
  <si>
    <t>https://www.federalregister.gov/documents/2012/07/11/2012-17022/assignment-of-national-security-and-emergency-preparedness-communications-functions</t>
  </si>
  <si>
    <t>https://www.govinfo.gov/content/pkg/FR-2012-07-11/pdf/2012-17022.pdf</t>
  </si>
  <si>
    <t>Assignment of National Security and Emergency Preparedness Communications Functions</t>
  </si>
  <si>
    <t>Revokes: EO 12472, April 3, 1984
Amends: EO 12382, September 13, 1982
See: EO 12333, December 4, 1981; EO 13526, December 29, 2009</t>
  </si>
  <si>
    <t>77 FR 41243</t>
  </si>
  <si>
    <t>2012-17264</t>
  </si>
  <si>
    <t>https://www.federalregister.gov/documents/2012/07/13/2012-17264/blocking-property-of-persons-threatening-the-peace-security-or-stability-of-burma</t>
  </si>
  <si>
    <t>https://www.govinfo.gov/content/pkg/FR-2012-07-13/pdf/2012-17264.pdf</t>
  </si>
  <si>
    <t>Blocking Property of Persons Threatening the Peace, Security, or Stability of Burma</t>
  </si>
  <si>
    <t xml:space="preserve">Amends: EO 13448, October 18, 2007; EO 13464, April 30, 2008
See: EO 13047, May 20, 1997; EO 13310, July 28, 2003; EO 13448, October 18, 2007; EO 13464, April 30, 2008
Revoked by: EO 13742, October 7, 2016
</t>
  </si>
  <si>
    <t>77 FR 43483</t>
  </si>
  <si>
    <t>2012-18237</t>
  </si>
  <si>
    <t>https://www.federalregister.gov/documents/2012/07/24/2012-18237/taking-additional-steps-to-address-the-national-emergency-with-respect-to-somalia</t>
  </si>
  <si>
    <t>https://www.govinfo.gov/content/pkg/FR-2012-07-24/pdf/2012-18237.pdf</t>
  </si>
  <si>
    <t>Taking Additional Steps to Address the National Emergency With Respect to Somalia</t>
  </si>
  <si>
    <t>See: EO 13536, April 12, 2010</t>
  </si>
  <si>
    <t>77 FR 45471</t>
  </si>
  <si>
    <t>2012-18868</t>
  </si>
  <si>
    <t>https://www.federalregister.gov/documents/2012/08/01/2012-18868/white-house-initiative-on-educational-excellence-for-african-americans</t>
  </si>
  <si>
    <t>https://www.govinfo.gov/content/pkg/FR-2012-08-01/pdf/2012-18868.pdf</t>
  </si>
  <si>
    <t>White House Initiative on Educational Excellence for African Americans</t>
  </si>
  <si>
    <t>Continued by: EO 13652 , September 30, 2013; EO 13708, September 30, 2015; EO 13811, September 29, 2017 
Superseded by: EO 14050, October 19, 2021
See: EO 13532, February 26, 2010</t>
  </si>
  <si>
    <t>77 FR 45897</t>
  </si>
  <si>
    <t>2012-19055</t>
  </si>
  <si>
    <t>https://www.federalregister.gov/documents/2012/08/02/2012-19055/authorizing-additional-sanctions-with-respect-to-iran</t>
  </si>
  <si>
    <t>https://www.govinfo.gov/content/pkg/FR-2012-08-02/pdf/2012-19055.pdf</t>
  </si>
  <si>
    <t>Authorizing Additional Sanctions With Respect to Iran</t>
  </si>
  <si>
    <t>Amended by: EO 13628, October 9, 2012
See: EO 12957, March 15, 1995; EO 13628, October 9, 2012
Revoked by: EO 13716, January 16, 2016</t>
  </si>
  <si>
    <t>77 FR 49345</t>
  </si>
  <si>
    <t>2012-20259</t>
  </si>
  <si>
    <t>https://www.federalregister.gov/documents/2012/08/16/2012-20259/preventing-and-responding-to-violence-against-women-and-girls-globally</t>
  </si>
  <si>
    <t>https://www.govinfo.gov/content/pkg/FR-2012-08-16/pdf/2012-20259.pdf</t>
  </si>
  <si>
    <t>Preventing and Responding to Violence Against Women and Girls Globally</t>
  </si>
  <si>
    <t>77 FR 54779</t>
  </si>
  <si>
    <t>2012-22030</t>
  </si>
  <si>
    <t>https://www.federalregister.gov/documents/2012/09/05/2012-22030/accelerating-investment-in-industrial-energy-efficiency</t>
  </si>
  <si>
    <t>https://www.govinfo.gov/content/pkg/FR-2012-09-05/pdf/2012-22030.pdf</t>
  </si>
  <si>
    <t>Accelerating Investment in Industrial Energy Efficiency</t>
  </si>
  <si>
    <t>77 FR 54783</t>
  </si>
  <si>
    <t>2012-22062</t>
  </si>
  <si>
    <t>https://www.federalregister.gov/documents/2012/09/05/2012-22062/improving-access-to-mental-health-services-for-veterans-service-members-and-military-families</t>
  </si>
  <si>
    <t>https://www.govinfo.gov/content/pkg/FR-2012-09-05/pdf/2012-22062.pdf</t>
  </si>
  <si>
    <t>Improving Access to Mental Health Services for Veterans, Service Members, and Military Families</t>
  </si>
  <si>
    <t>77 FR 56749</t>
  </si>
  <si>
    <t>2012-22807</t>
  </si>
  <si>
    <t>https://www.federalregister.gov/documents/2012/09/13/2012-22807/gulf-coast-ecosystem-restoration</t>
  </si>
  <si>
    <t>https://www.govinfo.gov/content/pkg/FR-2012-09-13/pdf/2012-22807.pdf</t>
  </si>
  <si>
    <t>Gulf Coast Ecosystem Restoration</t>
  </si>
  <si>
    <t>See: EO 12777, October 18,1991; EO 13554, October 5, 2010</t>
  </si>
  <si>
    <t>77 FR 60029</t>
  </si>
  <si>
    <t>2012-24374</t>
  </si>
  <si>
    <t>https://www.federalregister.gov/documents/2012/10/02/2012-24374/strengthening-protections-against-trafficking-in-persons-in-federal-contracts</t>
  </si>
  <si>
    <t>https://www.govinfo.gov/content/pkg/FR-2012-10-02/pdf/2012-24374.pdf</t>
  </si>
  <si>
    <t>Strengthening Protections Against Trafficking in Persons in Federal Contracts</t>
  </si>
  <si>
    <t>77 FR 62139</t>
  </si>
  <si>
    <t>2012-25236</t>
  </si>
  <si>
    <t>https://www.federalregister.gov/documents/2012/10/12/2012-25236/authorizing-the-implementation-of-certain-sanctions-set-forth-in-the-iran-threat-reduction-and-syria</t>
  </si>
  <si>
    <t>https://www.govinfo.gov/content/pkg/FR-2012-10-12/pdf/2012-25236.pdf</t>
  </si>
  <si>
    <t>Authorizing the Implementation of Certain Sanctions Set Forth in the Iran Threat Reduction and Syria Human Rights Act of 2012 and Additional Sanctions With Respect to Iran</t>
  </si>
  <si>
    <t>Amends: EO 13622, July 30, 2012
See: EO 12957, March 15, 1995; EO 12959, May 6, 1995; EO 13059, August 19, 1997; EO 13599, February 5, 2012; EO 13622, July 30, 2012
Amended by: EO 13716, January 16, 2016</t>
  </si>
  <si>
    <t>77 FR 66353</t>
  </si>
  <si>
    <t>2012-27002</t>
  </si>
  <si>
    <t>https://www.federalregister.gov/documents/2012/11/02/2012-27002/establishing-the-white-house-homeland-security-partnership-council</t>
  </si>
  <si>
    <t>https://www.govinfo.gov/content/pkg/FR-2012-11-02/pdf/2012-27002.pdf</t>
  </si>
  <si>
    <t>Establishing the White House Homeland Security Partnership Council</t>
  </si>
  <si>
    <t>77 FR 73893</t>
  </si>
  <si>
    <t>2012-30060</t>
  </si>
  <si>
    <t>https://www.federalregister.gov/documents/2012/12/11/2012-30060/establishment-of-an-interagency-task-force-on-commercial-advocacy</t>
  </si>
  <si>
    <t>https://www.govinfo.gov/content/pkg/FR-2012-12-11/pdf/2012-30060.pdf</t>
  </si>
  <si>
    <t>Establishment of an Interagency Task Force on Commercial Advocacy</t>
  </si>
  <si>
    <t>See: EO 13534, March 11, 2010</t>
  </si>
  <si>
    <t>77 FR 74101</t>
  </si>
  <si>
    <t>2012-30170</t>
  </si>
  <si>
    <t>https://www.federalregister.gov/documents/2012/12/12/2012-30170/reestablishment-of-advisory-group</t>
  </si>
  <si>
    <t>https://www.govinfo.gov/content/pkg/FR-2012-12-12/pdf/2012-30170.pdf</t>
  </si>
  <si>
    <t>Reestablishment of Advisory Group</t>
  </si>
  <si>
    <t>Continued by: EO 13652, September 30, 2013;
 See: EO 13544, June 10, 2010; EO 13591, November 23, 2011</t>
  </si>
  <si>
    <t>77 FR 74341</t>
  </si>
  <si>
    <t>2012-30310</t>
  </si>
  <si>
    <t>https://www.federalregister.gov/documents/2012/12/14/2012-30310/establishing-the-hurricane-sandy-rebuilding-task-force</t>
  </si>
  <si>
    <t>https://www.govinfo.gov/content/pkg/FR-2012-12-14/pdf/2012-30310.pdf</t>
  </si>
  <si>
    <t>Establishing the Hurricane Sandy Rebuilding Task Force</t>
  </si>
  <si>
    <t>77 FR 76339</t>
  </si>
  <si>
    <t>2012-31225</t>
  </si>
  <si>
    <t>https://www.federalregister.gov/documents/2012/12/28/2012-31225/closing-of-executive-departments-and-agencies-of-the-federal-government-on-monday-december-24-2012</t>
  </si>
  <si>
    <t>https://www.govinfo.gov/content/pkg/FR-2012-12-28/pdf/2012-31225.pdf</t>
  </si>
  <si>
    <t>Closing of Executive Departments and Agencies of the Federal Government on Monday, December 24, 2012</t>
  </si>
  <si>
    <t>77 FR 77249</t>
  </si>
  <si>
    <t>2012-31574</t>
  </si>
  <si>
    <t>https://www.federalregister.gov/documents/2012/12/31/2012-31574/reestablishment-of-advisory-commission</t>
  </si>
  <si>
    <t>https://www.govinfo.gov/content/pkg/FR-2012-12-31/pdf/2012-31574.pdf</t>
  </si>
  <si>
    <t>Reestablishment of Advisory Commission</t>
  </si>
  <si>
    <t>Continued by: EO 13652, September 30, 2013;
 See: EO 13555, October 19, 2010</t>
  </si>
  <si>
    <t>78 FR 649</t>
  </si>
  <si>
    <t>2013-00002</t>
  </si>
  <si>
    <t>https://www.federalregister.gov/documents/2013/01/03/2013-00002/adjustments-of-certain-rates-of-pay</t>
  </si>
  <si>
    <t>https://www.govinfo.gov/content/pkg/FR-2013-01-03/pdf/2013-00002.pdf</t>
  </si>
  <si>
    <t>Supersedes: EO 13594, December 19, 2011;
 Superseded by EO 13641, April 5, 2013</t>
  </si>
  <si>
    <t>78 FR 11739</t>
  </si>
  <si>
    <t>2013-03915</t>
  </si>
  <si>
    <t>https://www.federalregister.gov/documents/2013/02/19/2013-03915/improving-critical-infrastructure-cybersecurity</t>
  </si>
  <si>
    <t>https://www.govinfo.gov/content/pkg/FR-2013-02-19/pdf/2013-03915.pdf</t>
  </si>
  <si>
    <t>Improving Critical Infrastructure Cybersecurity</t>
  </si>
  <si>
    <t>See: EO 13549, August 18, 2010; EO 12866, September 30, 1993; EO 13563, January 18, 2011 EO 13609, May 1, 2012; EO 13610, May 10, 2012; EO 13800, May 11, 2017</t>
  </si>
  <si>
    <t>78 FR 16129</t>
  </si>
  <si>
    <t>2013-05967</t>
  </si>
  <si>
    <t>https://www.federalregister.gov/documents/2013/03/13/2013-05967/administration-of-reformed-export-controls</t>
  </si>
  <si>
    <t>https://www.govinfo.gov/content/pkg/FR-2013-03-13/pdf/2013-05967.pdf</t>
  </si>
  <si>
    <t>Administration of Reformed Export Controls</t>
  </si>
  <si>
    <t>78 FR 17589</t>
  </si>
  <si>
    <t>2013-06712</t>
  </si>
  <si>
    <t>https://www.federalregister.gov/documents/2013/03/21/2013-06712/amendments-to-executive-order-12777</t>
  </si>
  <si>
    <t>https://www.govinfo.gov/content/pkg/FR-2013-03-21/pdf/2013-06712.pdf</t>
  </si>
  <si>
    <t>Amendments to Executive Order 12777</t>
  </si>
  <si>
    <t>78 FR 19979</t>
  </si>
  <si>
    <t>2013-07837</t>
  </si>
  <si>
    <t>https://www.federalregister.gov/documents/2013/04/03/2013-07837/establishment-of-the-presidential-commission-on-election-administration</t>
  </si>
  <si>
    <t>https://www.govinfo.gov/content/pkg/FR-2013-04-03/pdf/2013-07837.pdf</t>
  </si>
  <si>
    <t>Establishment of the Presidential Commission on Election Administration</t>
  </si>
  <si>
    <t>78 FR 21211</t>
  </si>
  <si>
    <t>2013-08501</t>
  </si>
  <si>
    <t>https://www.federalregister.gov/documents/2013/04/10/2013-08501/continuance-of-advisory-council</t>
  </si>
  <si>
    <t>https://www.govinfo.gov/content/pkg/FR-2013-04-10/pdf/2013-08501.pdf</t>
  </si>
  <si>
    <t>Continuance of Advisory Council</t>
  </si>
  <si>
    <t>Continued by: EO 13652, September 30, 2013;
 See: EO 13498, February 5, 2009; EO 13569, April 5, 2011</t>
  </si>
  <si>
    <t>78 FR 21503</t>
  </si>
  <si>
    <t>2013-08626</t>
  </si>
  <si>
    <t>https://www.federalregister.gov/documents/2013/04/11/2013-08626/adjustments-of-certain-rates-of-pay</t>
  </si>
  <si>
    <t>https://www.govinfo.gov/content/pkg/FR-2013-04-11/pdf/2013-08626.pdf</t>
  </si>
  <si>
    <t>Supersedes: EO 13635, December 27, 2012;
 Superseded by: EO 13655, December 23, 2013</t>
  </si>
  <si>
    <t>78 FR 28111</t>
  </si>
  <si>
    <t>2013-11533</t>
  </si>
  <si>
    <t>https://www.federalregister.gov/documents/2013/05/14/2013-11533/making-open-and-machine-readable-the-new-default-for-government-information</t>
  </si>
  <si>
    <t>https://www.govinfo.gov/content/pkg/FR-2013-05-14/pdf/2013-11533.pdf</t>
  </si>
  <si>
    <t>Making Open and Machine Readable the New Default for Government Information</t>
  </si>
  <si>
    <t>See: EO 13744, October 13, 2016</t>
  </si>
  <si>
    <t>78 FR 29559</t>
  </si>
  <si>
    <t>2013-12157</t>
  </si>
  <si>
    <t>https://www.federalregister.gov/documents/2013/05/21/2013-12157/2013-amendments-to-the-manual-for-courts-martial-united-states</t>
  </si>
  <si>
    <t>https://www.govinfo.gov/content/pkg/FR-2013-05-21/pdf/2013-12157.pdf</t>
  </si>
  <si>
    <t>2013 Amendments to the Manual for Courts-Martial, United States</t>
  </si>
  <si>
    <t>78 FR 31813</t>
  </si>
  <si>
    <t>2013-12650</t>
  </si>
  <si>
    <t>https://www.federalregister.gov/documents/2013/05/24/2013-12650/amendment-to-executive-order-13639</t>
  </si>
  <si>
    <t>https://www.govinfo.gov/content/pkg/FR-2013-05-24/pdf/2013-12650.pdf</t>
  </si>
  <si>
    <t>Amendment to Executive Order 13639</t>
  </si>
  <si>
    <t>78 FR 33945</t>
  </si>
  <si>
    <t>2013-13523</t>
  </si>
  <si>
    <t>https://www.federalregister.gov/documents/2013/06/05/2013-13523/authorizing-the-implementation-of-certain-sanctions-set-forth-in-the-iran-freedom-and-counter-</t>
  </si>
  <si>
    <t>https://www.govinfo.gov/content/pkg/FR-2013-06-05/pdf/2013-13523.pdf</t>
  </si>
  <si>
    <t>Authorizing the Implementation of Certain Sanctions Set Forth in the Iran Freedom and Counter- Proliferation Act of 2012 and Additional Sanctions With Respect To Iran</t>
  </si>
  <si>
    <t>Revoked by: EO 13716, January 16, 2016</t>
  </si>
  <si>
    <t>78 FR 39159</t>
  </si>
  <si>
    <t>2013-15782</t>
  </si>
  <si>
    <t>https://www.federalregister.gov/documents/2013/06/28/2013-15782/establishing-the-presidents-advisory-council-on-financial-capability-for-young-americans</t>
  </si>
  <si>
    <t>https://www.govinfo.gov/content/pkg/FR-2013-06-28/pdf/2013-15782.pdf</t>
  </si>
  <si>
    <t>Establishing the President's Advisory Council on Financial Capability for Young Americans</t>
  </si>
  <si>
    <t>78 FR 39539</t>
  </si>
  <si>
    <t>2013-15942</t>
  </si>
  <si>
    <t>https://www.federalregister.gov/documents/2013/07/01/2013-15942/establishing-the-white-house-council-on-native-american-affairs</t>
  </si>
  <si>
    <t>https://www.govinfo.gov/content/pkg/FR-2013-07-01/pdf/2013-15942.pdf</t>
  </si>
  <si>
    <t>Establishing the White House Council on Native American Affairs</t>
  </si>
  <si>
    <t>78 FR 40621</t>
  </si>
  <si>
    <t>2013-16387</t>
  </si>
  <si>
    <t>https://www.federalregister.gov/documents/2013/07/05/2013-16387/combating-wildlife-trafficking</t>
  </si>
  <si>
    <t>https://www.govinfo.gov/content/pkg/FR-2013-07-05/pdf/2013-16387.pdf</t>
  </si>
  <si>
    <t>Combating Wildlife Trafficking</t>
  </si>
  <si>
    <t>See: EO 13708, September 30, 2015
Continued by: EO 13708, September 30, 2015</t>
  </si>
  <si>
    <t>78 FR 43057</t>
  </si>
  <si>
    <t>2013-17478</t>
  </si>
  <si>
    <t>https://www.federalregister.gov/documents/2013/07/18/2013-17478/accelerating-improvements-in-hiv-prevention-and-care-in-the-united-states-through-the-hiv-care</t>
  </si>
  <si>
    <t>https://www.govinfo.gov/content/pkg/FR-2013-07-18/pdf/2013-17478.pdf</t>
  </si>
  <si>
    <t>Accelerating Improvements in HIV Prevention and Care in the United States Through the HIV Care Continuum Initiative</t>
  </si>
  <si>
    <t>See: EO 13703, July 30, 2015</t>
  </si>
  <si>
    <t>78 FR 48029</t>
  </si>
  <si>
    <t>2013-19220</t>
  </si>
  <si>
    <t>https://www.federalregister.gov/documents/2013/08/07/2013-19220/improving-chemical-facility-safety-and-security</t>
  </si>
  <si>
    <t>https://www.govinfo.gov/content/pkg/FR-2013-08-07/pdf/2013-19220.pdf</t>
  </si>
  <si>
    <t>Improving Chemical Facility Safety and Security</t>
  </si>
  <si>
    <t>78 FR 48793</t>
  </si>
  <si>
    <t>2013-19520</t>
  </si>
  <si>
    <t>https://www.federalregister.gov/documents/2013/08/09/2013-19520/prohibiting-certain-imports-of-burmese-jadeite-and-rubies</t>
  </si>
  <si>
    <t>https://www.govinfo.gov/content/pkg/FR-2013-08-09/pdf/2013-19520.pdf</t>
  </si>
  <si>
    <t>Prohibiting Certain Imports of Burmese Jadeite and Rubies</t>
  </si>
  <si>
    <t>See: EO 13047, May 20, 1997; EO 13310, July 28, 2003; EO 13448, October 18, 2007; EO 13464, April 30, 2008; EO 13619, July 11, 2012; EO 13742, October 7, 2016</t>
  </si>
  <si>
    <t>78 FR 61817</t>
  </si>
  <si>
    <t>2013-24388</t>
  </si>
  <si>
    <t>https://www.federalregister.gov/documents/2013/10/04/2013-24388/continuance-of-certain-federal-advisory-committees</t>
  </si>
  <si>
    <t>https://www.govinfo.gov/content/pkg/FR-2013-10-04/pdf/2013-24388.pdf</t>
  </si>
  <si>
    <t>Continuance Of Certain Federal Advisory Committees</t>
  </si>
  <si>
    <t>Amends: EO 13043, April 16, 1997; EO 13231, October 16, 2001; EO 13515, October 14, 2009; EO 13538, April 19, 2010; EO 13600, February 9, 2012;
 Supersedes in part: EO 13585, September 30, 2011; EO 13591, November 23, 2011;  EO 13708, September 30, 2015
 Continues: EO 11145, March 7, 1964; EO 11183, October 3, 1964; EO 11287, June 28, 1966; EO 11612, July 26, 1971; EO 12131, May 4, 1979; EO 12216, June 19, 1980; EO 12367, June 15, 1982; EO 12382, September 13, 1982; EO 12829, January 6, 1993; EO 12905, March 25, 1994; EO 12994, March 21, 1996; EO 13231, October 16, 2001; EO 13265, June 6, 2002; EO 13515, October 14, 2009; EO 13521, November 24, 2009; EO 13522, December 9, 2009; EO 13532, February 26, 2010; EO 13538, April 19, 2010; EO 13539, April 21, 2010; EO 13540, April 26, 2010; EO 13549, August 18, 2010; EO 13600, February 9, 2012; EO 13621, July 26, 2012; EO 13631, December 7, 2012; EO 13634, December 21, 2012; EO 13640, January 5, 2013;
 ee: EO 13498, February 5, 2009; EO 13544, June 10, 2010; EO 13555, October 19, 2010</t>
  </si>
  <si>
    <t>78 FR 66819</t>
  </si>
  <si>
    <t>2013-26785</t>
  </si>
  <si>
    <t>https://www.federalregister.gov/documents/2013/11/06/2013-26785/preparing-the-united-states-for-the-impacts-of-climate-change</t>
  </si>
  <si>
    <t>https://www.govinfo.gov/content/pkg/FR-2013-11-06/pdf/2013-26785.pdf</t>
  </si>
  <si>
    <t>Preparing the United States for the Impacts of Climate Change</t>
  </si>
  <si>
    <t>Amended by: EO 13693, March 19, 2015
See:   EO 13677, September 23, 2014; EO 13683, December 11, 2014
Revoked by: EO 13783, March 28, 2017</t>
  </si>
  <si>
    <t>78 FR 70843</t>
  </si>
  <si>
    <t>2013-28581</t>
  </si>
  <si>
    <t>https://www.federalregister.gov/documents/2013/11/26/2013-28581/establishing-an-emergency-board-to-investigate-disputes-between-the-long-island-rail-road-company</t>
  </si>
  <si>
    <t>https://www.govinfo.gov/content/pkg/FR-2013-11-26/pdf/2013-28581.pdf</t>
  </si>
  <si>
    <t>Establishing an Emergency Board To Investigate Disputes Between the Long Island Rail Road Company and Certain of Its Employees Represented by Certain Labor Organizations</t>
  </si>
  <si>
    <t>See: EO 13663, March 20, 2014</t>
  </si>
  <si>
    <t>78 FR 80451</t>
  </si>
  <si>
    <t>2013-31445</t>
  </si>
  <si>
    <t>https://www.federalregister.gov/documents/2013/12/31/2013-31445/adjustments-of-certain-rates-of-pay</t>
  </si>
  <si>
    <t>https://www.govinfo.gov/content/pkg/FR-2013-12-31/pdf/2013-31445.pdf</t>
  </si>
  <si>
    <t>Supersedes: EO 13641, April 5, 2013; EO 13686, December 19, 2014</t>
  </si>
  <si>
    <t>79 FR 4263</t>
  </si>
  <si>
    <t>2014-01523</t>
  </si>
  <si>
    <t>https://www.federalregister.gov/documents/2014/01/24/2014-01523/establishment-of-afghanistan-and-pakistan-strategic-partnership-office-and-amendment-to-executive</t>
  </si>
  <si>
    <t>https://www.govinfo.gov/content/pkg/FR-2014-01-24/pdf/2014-01523.pdf</t>
  </si>
  <si>
    <t>Establishment of Afghanistan and Pakistan Strategic Partnership Office and Amendment to Executive Order 12163</t>
  </si>
  <si>
    <t>79 FR 8823</t>
  </si>
  <si>
    <t>2014-03474</t>
  </si>
  <si>
    <t>https://www.federalregister.gov/documents/2014/02/14/2014-03474/changing-the-name-of-the-national-security-staff-to-the-national-security-council-staff</t>
  </si>
  <si>
    <t>https://www.govinfo.gov/content/pkg/FR-2014-02-14/pdf/2014-03474.pdf</t>
  </si>
  <si>
    <t>Changing the Name of the National Security Staff to the National Security Council Staff</t>
  </si>
  <si>
    <t>79 FR 9851</t>
  </si>
  <si>
    <t>2014-03805</t>
  </si>
  <si>
    <t>https://www.federalregister.gov/documents/2014/02/20/2014-03805/establishing-a-minimum-wage-for-contractors</t>
  </si>
  <si>
    <t>https://www.govinfo.gov/content/pkg/FR-2014-02-20/pdf/2014-03805.pdf</t>
  </si>
  <si>
    <t>Establishing a Minimum Wage for Contractors</t>
  </si>
  <si>
    <t>See:   EO 13673, July 31, 2014; Superseded by: EO 14026, April 27, 2021</t>
  </si>
  <si>
    <t>79 FR 10657</t>
  </si>
  <si>
    <t>2014-04254</t>
  </si>
  <si>
    <t>https://www.federalregister.gov/documents/2014/02/25/2014-04254/streamlining-the-exportimport-process-for-americas-businesses</t>
  </si>
  <si>
    <t>https://www.govinfo.gov/content/pkg/FR-2014-02-25/pdf/2014-04254.pdf</t>
  </si>
  <si>
    <t>Streamlining the Export/Import Process for America's Businesses</t>
  </si>
  <si>
    <t>79 FR 13493</t>
  </si>
  <si>
    <t>2014-05323</t>
  </si>
  <si>
    <t>https://www.federalregister.gov/documents/2014/03/10/2014-05323/blocking-property-of-certain-persons-contributing-to-the-situation-in-ukraine</t>
  </si>
  <si>
    <t>https://www.govinfo.gov/content/pkg/FR-2014-03-10/pdf/2014-05323.pdf</t>
  </si>
  <si>
    <t>Blocking Property of Certain Persons Contributing to the Situation in Ukraine</t>
  </si>
  <si>
    <t xml:space="preserve">See: EO 13661, March 16, 2014; EO 13662, March 20, 2014; EO 13685, December 19, 2014 </t>
  </si>
  <si>
    <t>79 FR 15535</t>
  </si>
  <si>
    <t>2014-06141</t>
  </si>
  <si>
    <t>https://www.federalregister.gov/documents/2014/03/19/2014-06141/blocking-property-of-additional-persons-contributing-to-the-situation-in-ukraine</t>
  </si>
  <si>
    <t>https://www.govinfo.gov/content/pkg/FR-2014-03-19/pdf/2014-06141.pdf</t>
  </si>
  <si>
    <t>Blocking Property of Additional Persons Contributing to the Situation in Ukraine</t>
  </si>
  <si>
    <t>See: EO 13660, March 6, 2014; EO 13662, March 20, 2014; EO 13685, December 19, 2014</t>
  </si>
  <si>
    <t>79 FR 16169</t>
  </si>
  <si>
    <t>2014-06612</t>
  </si>
  <si>
    <t>https://www.federalregister.gov/documents/2014/03/24/2014-06612/blocking-property-of-additional-persons-contributing-to-the-situation-in-ukraine</t>
  </si>
  <si>
    <t>https://www.govinfo.gov/content/pkg/FR-2014-03-24/pdf/2014-06612.pdf</t>
  </si>
  <si>
    <t>See: EO 13660, March 6, 2014; EO 13661, March 16, 2014; EO 13685, December 19, 2014</t>
  </si>
  <si>
    <t>79 FR 16647</t>
  </si>
  <si>
    <t>2014-06768</t>
  </si>
  <si>
    <t>https://www.federalregister.gov/documents/2014/03/25/2014-06768/establishing-an-emergency-board-to-investigate-disputes-between-the-long-island-rail-road-company</t>
  </si>
  <si>
    <t>https://www.govinfo.gov/content/pkg/FR-2014-03-25/pdf/2014-06768.pdf</t>
  </si>
  <si>
    <t>Establishing an Emergency Board to Investigate Disputes Between the Long Island Rail Road Company and Certain of Its Employees Represented by Certain Labor Organizations</t>
  </si>
  <si>
    <t>See: EO 13654, November 21, 2013</t>
  </si>
  <si>
    <t>79 FR 19283</t>
  </si>
  <si>
    <t>2014-07895</t>
  </si>
  <si>
    <t>https://www.federalregister.gov/documents/2014/04/07/2014-07895/blocking-property-of-certain-persons-with-respect-to-south-sudan</t>
  </si>
  <si>
    <t>https://www.govinfo.gov/content/pkg/FR-2014-04-07/pdf/2014-07895.pdf</t>
  </si>
  <si>
    <t>Blocking Property of Certain Persons With Respect to South Sudan</t>
  </si>
  <si>
    <t>79 FR 20749</t>
  </si>
  <si>
    <t>2014-08426</t>
  </si>
  <si>
    <t>https://www.federalregister.gov/documents/2014/04/11/2014-08426/non-retaliation-for-disclosure-of-compensation-information</t>
  </si>
  <si>
    <t>https://www.govinfo.gov/content/pkg/FR-2014-04-11/pdf/2014-08426.pdf</t>
  </si>
  <si>
    <t>Non-Retaliation for Disclosure of Compensation Information</t>
  </si>
  <si>
    <t>79 FR 22591</t>
  </si>
  <si>
    <t>2014-09343</t>
  </si>
  <si>
    <t>https://www.federalregister.gov/documents/2014/04/23/2014-09343/expanding-eligibility-for-the-defense-meritorious-service-medal</t>
  </si>
  <si>
    <t>https://www.govinfo.gov/content/pkg/FR-2014-04-23/pdf/2014-09343.pdf</t>
  </si>
  <si>
    <t>Expanding Eligibility for the Defense Meritorious Service Medal</t>
  </si>
  <si>
    <t>79 FR 28387</t>
  </si>
  <si>
    <t>2014-11442</t>
  </si>
  <si>
    <t>https://www.federalregister.gov/documents/2014/05/15/2014-11442/blocking-property-of-certain-persons-contributing-to-the-conflict-in-the-central-african-republic</t>
  </si>
  <si>
    <t>https://www.govinfo.gov/content/pkg/FR-2014-05-15/pdf/2014-11442.pdf</t>
  </si>
  <si>
    <t>Blocking Property of Certain Persons Contributing to the Conflict in the Central African Republic</t>
  </si>
  <si>
    <t>79 FR 31019</t>
  </si>
  <si>
    <t>2014-12651</t>
  </si>
  <si>
    <t>https://www.federalregister.gov/documents/2014/05/29/2014-12651/ending-immunities-granted-to-the-development-fund-for-iraq-and-certain-other-iraqi-property-and</t>
  </si>
  <si>
    <t>https://www.govinfo.gov/content/pkg/FR-2014-05-29/pdf/2014-12651.pdf</t>
  </si>
  <si>
    <t>Ending Immunities Granted to the Development Fund for Iraq and Certain Other Iraqi Property and Interests in Property Pursuant to Executive Order 13303, as Amended</t>
  </si>
  <si>
    <t>See: EO 13303, May 22, 2003; EO 13364, November 29, 2004; EO 13315, August 28, 2003</t>
  </si>
  <si>
    <t>79 FR 34999</t>
  </si>
  <si>
    <t>2014-14429</t>
  </si>
  <si>
    <t>https://www.federalregister.gov/documents/2014/06/18/2014-14429/2014-amendments-to-the-manual-for-courts-martial-united-states</t>
  </si>
  <si>
    <t>https://www.govinfo.gov/content/pkg/FR-2014-06-18/pdf/2014-14429.pdf</t>
  </si>
  <si>
    <t>2014 Amendments to the Manual for Courts-Martial, United States</t>
  </si>
  <si>
    <t>79 FR 35029</t>
  </si>
  <si>
    <t>2014-14432</t>
  </si>
  <si>
    <t>https://www.federalregister.gov/documents/2014/06/18/2014-14432/establishing-an-emergency-board-to-investigate-disputes-between-the-southeastern-pennsylvania</t>
  </si>
  <si>
    <t>https://www.govinfo.gov/content/pkg/FR-2014-06-18/pdf/2014-14432.pdf</t>
  </si>
  <si>
    <t>Establishing an Emergency Board To Investigate Disputes Between the Southeastern Pennsylvania Transportation Authority and Certain of Its Employees Represented by Certain Labor Organizations</t>
  </si>
  <si>
    <t>79 FR 39949</t>
  </si>
  <si>
    <t>2014-16360</t>
  </si>
  <si>
    <t>https://www.federalregister.gov/documents/2014/07/10/2014-16360/taking-additional-steps-to-address-the-national-emergency-with-respect-to-the-conflict-in-the</t>
  </si>
  <si>
    <t>https://www.govinfo.gov/content/pkg/FR-2014-07-10/pdf/2014-16360.pdf</t>
  </si>
  <si>
    <t>Taking Additional Steps to Address the National Emergency With Respect to the Conflict in the Democratic Republic of the Congo</t>
  </si>
  <si>
    <t>Amends: EO 13413, October 27, 2006</t>
  </si>
  <si>
    <t>79 FR 42971</t>
  </si>
  <si>
    <t>2014-17522</t>
  </si>
  <si>
    <t>https://www.federalregister.gov/documents/2014/07/23/2014-17522/further-amendments-to-executive-order-11478-equal-employment-opportunity-in-the-federal-government</t>
  </si>
  <si>
    <t>https://www.govinfo.gov/content/pkg/FR-2014-07-23/pdf/2014-17522.pdf</t>
  </si>
  <si>
    <t>Further Amendments to Executive Order 11478, Equal Employment Opportunity in the Federal Government, and Executive Order 11246, Equal Employment Opportunity</t>
  </si>
  <si>
    <t>Amends: EO 11246, September 24, 1965; EO 11478, August 8, 1969</t>
  </si>
  <si>
    <t>79 FR 45309</t>
  </si>
  <si>
    <t>2014-18561</t>
  </si>
  <si>
    <t>https://www.federalregister.gov/documents/2014/08/05/2014-18561/fair-pay-and-safe-workplaces</t>
  </si>
  <si>
    <t>https://www.govinfo.gov/content/pkg/FR-2014-08-05/pdf/2014-18561.pdf</t>
  </si>
  <si>
    <t>Fair Pay and Safe Workplaces</t>
  </si>
  <si>
    <t>See: EO 11246, September 24, 1965; EO 13658, February 12, 2014; EO 13683, December 11, 2014; EO 13738, August 23, 2016
Revoked by: EO 13782, March 27, 2017</t>
  </si>
  <si>
    <t>79 FR 45671</t>
  </si>
  <si>
    <t>2014-18682</t>
  </si>
  <si>
    <t>https://www.federalregister.gov/documents/2014/08/06/2014-18682/revised-list-of-quarantinable-communicable-diseases</t>
  </si>
  <si>
    <t>https://www.govinfo.gov/content/pkg/FR-2014-08-06/pdf/2014-18682.pdf</t>
  </si>
  <si>
    <t>79 FR 46661</t>
  </si>
  <si>
    <t>2014-18998</t>
  </si>
  <si>
    <t>https://www.federalregister.gov/documents/2014/08/08/2014-18998/establishing-the-presidents-advisory-council-on-doing-business-in-africa</t>
  </si>
  <si>
    <t>https://www.govinfo.gov/content/pkg/FR-2014-08-08/pdf/2014-18998.pdf</t>
  </si>
  <si>
    <t>Establishing the President's Advisory Council on Doing Business in Africa</t>
  </si>
  <si>
    <t>See: EO 12870, September 30, 1993,
Continued by: EO 13708, September 30, 2015; EO 13811, September 29, 2017
Amended by: EO 13734, August 3, 2016</t>
  </si>
  <si>
    <t>79 FR 56931</t>
  </si>
  <si>
    <t>2014-22805</t>
  </si>
  <si>
    <t>https://www.federalregister.gov/documents/2014/09/23/2014-22805/combating-antibiotic-resistant-bacteria</t>
  </si>
  <si>
    <t>https://www.govinfo.gov/content/pkg/FR-2014-09-23/pdf/2014-22805.pdf</t>
  </si>
  <si>
    <t>Combating Antibiotic-Resistant Bacteria</t>
  </si>
  <si>
    <t>Continued by: EO 13708, September 30, 2015; EO 13811, September 29, 2017</t>
  </si>
  <si>
    <t>79 FR 58231</t>
  </si>
  <si>
    <t>2014-23228</t>
  </si>
  <si>
    <t>https://www.federalregister.gov/documents/2014/09/26/2014-23228/climate-resilient-international-development</t>
  </si>
  <si>
    <t>https://www.govinfo.gov/content/pkg/FR-2014-09-26/pdf/2014-23228.pdf</t>
  </si>
  <si>
    <t>Climate-Resilient International Development</t>
  </si>
  <si>
    <t>Amended by: EO 13693, March 19, 2015
See: EO 13514, October 5, 2009; EO 13653, November 1, 2013</t>
  </si>
  <si>
    <t>79 FR 60949</t>
  </si>
  <si>
    <t>2014-24218</t>
  </si>
  <si>
    <t>https://www.federalregister.gov/documents/2014/10/08/2014-24218/conversion-authority-for-criminal-investigators-special-agents-of-the-bureau-of-alcohol-tobacco</t>
  </si>
  <si>
    <t>https://www.govinfo.gov/content/pkg/FR-2014-10-08/pdf/2014-24218.pdf</t>
  </si>
  <si>
    <t>Conversion Authority for Criminal Investigators (Special Agents) of the Bureau of Alcohol, Tobacco, Firearms, and Explosives</t>
  </si>
  <si>
    <t>79 FR 62323</t>
  </si>
  <si>
    <t>2014-24851</t>
  </si>
  <si>
    <t>https://www.federalregister.gov/documents/2014/10/17/2014-24851/establishing-an-emergency-board-to-investigate-a-dispute-between-the-southeastern-pennsylvania</t>
  </si>
  <si>
    <t>https://www.govinfo.gov/content/pkg/FR-2014-10-17/pdf/2014-24851.pdf</t>
  </si>
  <si>
    <t>Establishing an Emergency Board To Investigate a Dispute Between the Southeastern Pennsylvania Transportation Authority and Its Locomotive Engineers Represented by the Brotherhood of Locomotive Engineers and Trainmen</t>
  </si>
  <si>
    <t xml:space="preserve"> EO 13679, October 10, 2014</t>
  </si>
  <si>
    <t>79 FR 63287</t>
  </si>
  <si>
    <t>2014-25292</t>
  </si>
  <si>
    <t>https://www.federalregister.gov/documents/2014/10/23/2014-25292/ordering-the-selected-reserve-and-certain-individual-ready-reserve-members-of-the-armed-forces-to</t>
  </si>
  <si>
    <t>https://www.govinfo.gov/content/pkg/FR-2014-10-23/pdf/2014-25292.pdf</t>
  </si>
  <si>
    <t>79 FR 63491</t>
  </si>
  <si>
    <t>2014-25439</t>
  </si>
  <si>
    <t>https://www.federalregister.gov/documents/2014/10/23/2014-25439/improving-the-security-of-consumer-financial-transactions</t>
  </si>
  <si>
    <t>https://www.govinfo.gov/content/pkg/FR-2014-10-23/pdf/2014-25439.pdf</t>
  </si>
  <si>
    <t>Improving the Security of Consumer Financial Transactions</t>
  </si>
  <si>
    <t>79 FR 73459</t>
  </si>
  <si>
    <t>2014-29121</t>
  </si>
  <si>
    <t>https://www.federalregister.gov/documents/2014/12/10/2014-29121/closing-of-executive-departments-and-agencies-of-the-federal-government-on-friday-december-26-2014</t>
  </si>
  <si>
    <t>https://www.govinfo.gov/content/pkg/FR-2014-12-10/pdf/2014-29121.pdf</t>
  </si>
  <si>
    <t>Closing of Executive Departments and Agencies of the Federal Government on Friday, December 26, 2014</t>
  </si>
  <si>
    <t>79 FR 75041</t>
  </si>
  <si>
    <t>2014-29625</t>
  </si>
  <si>
    <t>https://www.federalregister.gov/documents/2014/12/16/2014-29625/amendments-to-executive-orders-11030-13653-and-13673</t>
  </si>
  <si>
    <t>https://www.govinfo.gov/content/pkg/FR-2014-12-16/pdf/2014-29625.pdf</t>
  </si>
  <si>
    <t>Amendments to Executive Orders 11030, 13653, and 13673</t>
  </si>
  <si>
    <t>Amends: EO 11030, June 19, 1962; EO 13653, November 1, 2013; EO 13673, July 31, 2014
Amended by: EO 13782, March 27, 2017
 See: EO 13653, November 1, 2013</t>
  </si>
  <si>
    <t>79 FR 76865</t>
  </si>
  <si>
    <t>2014-30195</t>
  </si>
  <si>
    <t>https://www.federalregister.gov/documents/2014/12/23/2014-30195/establishment-of-the-presidents-task-force-on-21st-century-policing</t>
  </si>
  <si>
    <t>https://www.govinfo.gov/content/pkg/FR-2014-12-23/pdf/2014-30195.pdf</t>
  </si>
  <si>
    <t>Establishment of the President's Task Force on 21st Century Policing</t>
  </si>
  <si>
    <t>79 FR 77357</t>
  </si>
  <si>
    <t>2014-30323</t>
  </si>
  <si>
    <t>https://www.federalregister.gov/documents/2014/12/24/2014-30323/blocking-property-of-certain-persons-and-prohibiting-certain-transactions-with-respect-to-the-crimea</t>
  </si>
  <si>
    <t>https://www.govinfo.gov/content/pkg/FR-2014-12-24/pdf/2014-30323.pdf</t>
  </si>
  <si>
    <t>Blocking Property of Certain Persons and Prohibiting Certain Transactions With Respect to the Crimea Region of Ukraine</t>
  </si>
  <si>
    <t>See: EO 13660, March 6, 2014; EO 13661, March 16, 2014; EO 13662, March 20, 2014</t>
  </si>
  <si>
    <t>79 FR 77361</t>
  </si>
  <si>
    <t>2014-30363</t>
  </si>
  <si>
    <t>https://www.federalregister.gov/documents/2014/12/24/2014-30363/adjustments-of-certain-rates-of-pay</t>
  </si>
  <si>
    <t>https://www.govinfo.gov/content/pkg/FR-2014-12-24/pdf/2014-30363.pdf</t>
  </si>
  <si>
    <t>Supersedes: EO 13655, December 23, 2013
Superseded by: EO 13715, December 18, 2015</t>
  </si>
  <si>
    <t>80 FR 817</t>
  </si>
  <si>
    <t>2015-00058</t>
  </si>
  <si>
    <t>https://www.federalregister.gov/documents/2015/01/06/2015-00058/imposing-additional-sanctions-with-respect-to-north-korea</t>
  </si>
  <si>
    <t>https://www.govinfo.gov/content/pkg/FR-2015-01-06/pdf/2015-00058.pdf</t>
  </si>
  <si>
    <t>Imposing Additional Sanctions With Respect To North Korea</t>
  </si>
  <si>
    <t>See: EO 13466, June 26, 2008; EO 13551, August 30, 2010; EO 13570, April 18, 2011; EO 13810, September 20, 2017</t>
  </si>
  <si>
    <t>80 FR 3451</t>
  </si>
  <si>
    <t>2015-01255</t>
  </si>
  <si>
    <t>https://www.federalregister.gov/documents/2015/01/22/2015-01255/federal-support-for-local-law-enforcement-equipment-acquisition</t>
  </si>
  <si>
    <t>https://www.govinfo.gov/content/pkg/FR-2015-01-22/pdf/2015-01255.pdf</t>
  </si>
  <si>
    <t>Federal Support for Local Law Enforcement Equipment Acquisition</t>
  </si>
  <si>
    <t>Revoked by: EO 13809, August 28, 2017</t>
  </si>
  <si>
    <t>80 FR 4189</t>
  </si>
  <si>
    <t>2015-01522</t>
  </si>
  <si>
    <t>https://www.federalregister.gov/documents/2015/01/26/2015-01522/enhancing-coordination-of-national-efforts-in-the-arctic</t>
  </si>
  <si>
    <t>https://www.govinfo.gov/content/pkg/FR-2015-01-26/pdf/2015-01522.pdf</t>
  </si>
  <si>
    <t>Enhancing Coordination of National Efforts in the Arctic</t>
  </si>
  <si>
    <t>80 FR 6425</t>
  </si>
  <si>
    <t>2015-02379</t>
  </si>
  <si>
    <t>https://www.federalregister.gov/documents/2015/02/04/2015-02379/establishing-a-federal-flood-risk-management-standard-and-a-process-for-further-soliciting-and</t>
  </si>
  <si>
    <t>https://www.govinfo.gov/content/pkg/FR-2015-02-04/pdf/2015-02379.pdf</t>
  </si>
  <si>
    <t>Establishing a Federal Flood Risk Management Standard and a Process for Further Soliciting and Considering Stakeholder Input</t>
  </si>
  <si>
    <t xml:space="preserve">Revoked by: EO 13807, August 15, 2017
Reinstated by: EO 14030, May 20, 2021
</t>
  </si>
  <si>
    <t>80 FR 9347</t>
  </si>
  <si>
    <t>2015-03714</t>
  </si>
  <si>
    <t>https://www.federalregister.gov/documents/2015/02/20/2015-03714/promoting-private-sector-cybersecurity-information-sharing</t>
  </si>
  <si>
    <t>https://www.govinfo.gov/content/pkg/FR-2015-02-20/pdf/2015-03714.pdf</t>
  </si>
  <si>
    <t>Promoting Private Sector Cybersecurity Information Sharing</t>
  </si>
  <si>
    <t>Amends: EO 12829, January 6, 1993
See: EO 13549, August 18, 2010</t>
  </si>
  <si>
    <t>80 FR 12747</t>
  </si>
  <si>
    <t>2015-05677</t>
  </si>
  <si>
    <t>https://www.federalregister.gov/documents/2015/03/11/2015-05677/blocking-property-and-suspending-entry-of-certain-persons-contributing-to-the-situation-in-venezuela</t>
  </si>
  <si>
    <t>https://www.govinfo.gov/content/pkg/FR-2015-03-11/pdf/2015-05677.pdf</t>
  </si>
  <si>
    <t>Blocking Property and Suspending Entry of Certain Persons Contributing to the Situation in Venezuela</t>
  </si>
  <si>
    <t>See: EO 13808, August 24, 2017</t>
  </si>
  <si>
    <t>80 FR 15871</t>
  </si>
  <si>
    <t>2015-07016</t>
  </si>
  <si>
    <t>https://www.federalregister.gov/documents/2015/03/25/2015-07016/planning-for-federal-sustainability-in-the-next-decade</t>
  </si>
  <si>
    <t>https://www.govinfo.gov/content/pkg/FR-2015-03-25/pdf/2015-07016.pdf</t>
  </si>
  <si>
    <t>Planning for Federal Sustainability in the Next Decade</t>
  </si>
  <si>
    <t>Amends: EO 13327, February 4, 2004; EO 13432, May 14, 2007; EO 13653, November 1, 2013; EO 13677, September 23, 2014
Revokes: EO 13423, January 24, 2007; EO 13514, October 5, 2009; Memorandum of May 24, 2011; Memorandum of December 2, 2011; Memorandum of February 21, 2012; Memorandum of December 5, 2013 
Revoked by: EO 13834, May 17, 2018</t>
  </si>
  <si>
    <t>80 FR 18077</t>
  </si>
  <si>
    <t>2015-07788</t>
  </si>
  <si>
    <t>https://www.federalregister.gov/documents/2015/04/02/2015-07788/blocking-the-property-of-certain-persons-engaging-in-significant-malicious-cyber-enabled-activities</t>
  </si>
  <si>
    <t>https://www.govinfo.gov/content/pkg/FR-2015-04-02/pdf/2015-07788.pdf</t>
  </si>
  <si>
    <t>Blocking the Property of Certain Persons Engaging in Significant Malicious Cyber-Enabled Activities</t>
  </si>
  <si>
    <t>See: Proc. 8693, July 24, 2011
Amended by: EO 13757, December 28, 2016</t>
  </si>
  <si>
    <t>80 FR 30331</t>
  </si>
  <si>
    <t>2015-13055</t>
  </si>
  <si>
    <t>https://www.federalregister.gov/documents/2015/05/28/2015-13055/termination-of-emergency-with-respect-to-the-risk-of-nuclear-proliferation-created-by-the</t>
  </si>
  <si>
    <t>https://www.govinfo.gov/content/pkg/FR-2015-05-28/pdf/2015-13055.pdf</t>
  </si>
  <si>
    <t>Termination of Emergency With Respect to the Risk of Nuclear Proliferation Created by the Accumulation of a Large Volume of Weapons-Usable Fissile Material in the Territory of the Russian Federation</t>
  </si>
  <si>
    <t>Revokes: EO 13617, June 25, 2012</t>
  </si>
  <si>
    <t>80 FR 35783</t>
  </si>
  <si>
    <t>2015-15495</t>
  </si>
  <si>
    <t>https://www.federalregister.gov/documents/2015/06/22/2015-15495/2015-amendments-to-the-manual-for-courts-martial-united-states</t>
  </si>
  <si>
    <t>https://www.govinfo.gov/content/pkg/FR-2015-06-22/pdf/2015-15495.pdf</t>
  </si>
  <si>
    <t>2015 Amendments to the Manual for Courts-Martial, United States</t>
  </si>
  <si>
    <t>80 FR 36691</t>
  </si>
  <si>
    <t>2015-15828</t>
  </si>
  <si>
    <t>https://www.federalregister.gov/documents/2015/06/25/2015-15828/amendment-to-executive-order-11155-awards-for-special-capability-in-career-and-technical-education</t>
  </si>
  <si>
    <t>https://www.govinfo.gov/content/pkg/FR-2015-06-25/pdf/2015-15828.pdf</t>
  </si>
  <si>
    <t>Amendment to Executive Order 11155, Awards for Special Capability in Career and Technical Education</t>
  </si>
  <si>
    <t>Amends: EO 11155, May 23, 1964</t>
  </si>
  <si>
    <t>80 FR 37131</t>
  </si>
  <si>
    <t>2015-16122</t>
  </si>
  <si>
    <t>https://www.federalregister.gov/documents/2015/06/29/2015-16122/hostage-recovery-activities</t>
  </si>
  <si>
    <t>https://www.govinfo.gov/content/pkg/FR-2015-06-29/pdf/2015-16122.pdf</t>
  </si>
  <si>
    <t>Hostage Recovery Activities</t>
  </si>
  <si>
    <t>80 FR 37529</t>
  </si>
  <si>
    <t>2015-16334</t>
  </si>
  <si>
    <t>https://www.federalregister.gov/documents/2015/07/01/2015-16334/establishing-the-advisory-board-on-toxic-substances-and-worker-health</t>
  </si>
  <si>
    <t>https://www.govinfo.gov/content/pkg/FR-2015-07-01/pdf/2015-16334.pdf</t>
  </si>
  <si>
    <t>Establishing the Advisory Board on Toxic Substances and Worker Health</t>
  </si>
  <si>
    <t>See: EO 13179, December 7, 2000</t>
  </si>
  <si>
    <t>80 FR 43003</t>
  </si>
  <si>
    <t>2015-17926</t>
  </si>
  <si>
    <t>https://www.federalregister.gov/documents/2015/07/20/2015-17926/establishing-an-emergency-board-to-investigate-disputes-between-new-jersey-transit-rail-and-certain</t>
  </si>
  <si>
    <t>https://www.govinfo.gov/content/pkg/FR-2015-07-20/pdf/2015-17926.pdf</t>
  </si>
  <si>
    <t>Establishing an Emergency Board To Investigate Disputes Between New Jersey Transit Rail and Certain of Its Employees Represented by Certain Labor Organizations</t>
  </si>
  <si>
    <t>See: EO 13711, November 12, 2015</t>
  </si>
  <si>
    <t>80 FR 43901</t>
  </si>
  <si>
    <t>2015-18292</t>
  </si>
  <si>
    <t>https://www.federalregister.gov/documents/2015/07/23/2015-18292/delegation-of-certain-authorities-and-assignment-of-certain-functions-under-the-bipartisan</t>
  </si>
  <si>
    <t>https://www.govinfo.gov/content/pkg/FR-2015-07-23/pdf/2015-18292.pdf</t>
  </si>
  <si>
    <t>Delegation of Certain Authorities and Assignment of Certain Functions Under the Bipartisan Congressional Trade Priorities and Accountability Act of 2015</t>
  </si>
  <si>
    <t>80 FR 46177</t>
  </si>
  <si>
    <t>2015-19183</t>
  </si>
  <si>
    <t>https://www.federalregister.gov/documents/2015/08/03/2015-19183/creating-a-national-strategic-computing-initiative</t>
  </si>
  <si>
    <t>https://www.govinfo.gov/content/pkg/FR-2015-08-03/pdf/2015-19183.pdf</t>
  </si>
  <si>
    <t>Creating a National Strategic Computing Initiative</t>
  </si>
  <si>
    <t>See: EO 12881, November 23, 1993</t>
  </si>
  <si>
    <t>80 FR 46181</t>
  </si>
  <si>
    <t>2015-19209</t>
  </si>
  <si>
    <t>https://www.federalregister.gov/documents/2015/08/04/2015-19209/implementing-the-national-hivaids-strategy-for-the-united-states-for-2015-2020</t>
  </si>
  <si>
    <t>https://www.govinfo.gov/content/pkg/FR-2015-08-04/pdf/2015-19209.pdf</t>
  </si>
  <si>
    <t>Implementing the National HIV/AIDS Strategy for the United States for 2015-2020</t>
  </si>
  <si>
    <t>See: EO 12963, June 14, 1995; EO 13649, July 15, 2013</t>
  </si>
  <si>
    <t>80 FR 50749</t>
  </si>
  <si>
    <t>2015-20801</t>
  </si>
  <si>
    <t>https://www.federalregister.gov/documents/2015/08/20/2015-20801/presidential-innovation-fellows-program</t>
  </si>
  <si>
    <t>https://www.govinfo.gov/content/pkg/FR-2015-08-20/pdf/2015-20801.pdf</t>
  </si>
  <si>
    <t>Presidential Innovation Fellows Program</t>
  </si>
  <si>
    <t>80 FR 54405</t>
  </si>
  <si>
    <t>2015-22888</t>
  </si>
  <si>
    <t>https://www.federalregister.gov/documents/2015/09/09/2015-22888/designating-the-international-renewable-energy-agency-as-a-public-international-organization</t>
  </si>
  <si>
    <t>https://www.govinfo.gov/content/pkg/FR-2015-09-09/pdf/2015-22888.pdf</t>
  </si>
  <si>
    <t>Designating the International Renewable Energy Agency as a Public International Organization Entitled To Enjoy Certain Privileges, Exemptions, and Immunities</t>
  </si>
  <si>
    <t>80 FR 54697</t>
  </si>
  <si>
    <t>2015-22998</t>
  </si>
  <si>
    <t>https://www.federalregister.gov/documents/2015/09/10/2015-22998/establishing-paid-sick-leave-for-federal-contractors</t>
  </si>
  <si>
    <t>https://www.govinfo.gov/content/pkg/FR-2015-09-10/pdf/2015-22998.pdf</t>
  </si>
  <si>
    <t>Establishing Paid Sick Leave for Federal Contractors</t>
  </si>
  <si>
    <t>80 FR 56365</t>
  </si>
  <si>
    <t>2015-23630</t>
  </si>
  <si>
    <t>https://www.federalregister.gov/documents/2015/09/18/2015-23630/using-behavioral-science-insights-to-better-serve-the-american-people</t>
  </si>
  <si>
    <t>https://www.govinfo.gov/content/pkg/FR-2015-09-18/pdf/2015-23630.pdf</t>
  </si>
  <si>
    <t>Using Behavioral Science Insights To Better Serve the American People</t>
  </si>
  <si>
    <t>See: EO 13563, January 18, 2011; EO 13610, May 10, 2012</t>
  </si>
  <si>
    <t>80 FR 60271</t>
  </si>
  <si>
    <t>2015-25489</t>
  </si>
  <si>
    <t>https://www.federalregister.gov/documents/2015/10/05/2015-25489/continuance-or-reestablishment-of-certain-federal-advisory-committees</t>
  </si>
  <si>
    <t>https://www.govinfo.gov/content/pkg/FR-2015-10-05/pdf/2015-25489.pdf</t>
  </si>
  <si>
    <t>Continuance or Reestablishment of Certain Federal Advisory Committees</t>
  </si>
  <si>
    <t>Amends: EO 12829, January 6, 1993
Supersedes in part: EO 13652, September 30, 2013
Continues: EO 11145, March 7, 1964; EO 11183, October 3, 1964; EO 11287, June 28, 1966; EO 11612, July 26, 1971; EO 12216, June 18, 1980; EO 12367, June 15, 1982; EO 12382, September 13, 1982; EO 12829, January 6, 1993; EO 12905, March 25, 1994; EO 12915, May 13, 1994; EO 12916, May 13, 1994; EO 12963, June 14, 1995; EO 12994, March 21, 1996; EO 13112, February 3, 1999; EO 13158, May 26, 2000; EO 13179, December 7, 2000; EO 13231, October 16, 2001; EO 13265, June 6, 2002; EO 13498, February 5, 2009; EO 13515, October 14, 2009; EO 13521, November 24, 2009; EO 13522, December 9, 2009; EO 13532, February 26, 2010; EO 13538, April 19, 2010; EO 13539, April 21, 2010; EO 13540, April 26, 2010; EO 13544, June 10, 2010; EO 13549, August 18, 2010; EO 13555, October 19, 2010; EO 13600, February 9, 2012; EO 13621, July 26, 2012; EO 13648, July 1, 2013; EO 13675, August 5, 2014; EO 13676, September 18, 2014; Proc. 8967, April 30, 2013 (80 FR 60271)
Amended by: EO 13811, September 29, 2017</t>
  </si>
  <si>
    <t>80 FR 60793</t>
  </si>
  <si>
    <t>2015-25744</t>
  </si>
  <si>
    <t>https://www.federalregister.gov/documents/2015/10/07/2015-25744/national-security-medal</t>
  </si>
  <si>
    <t>https://www.govinfo.gov/content/pkg/FR-2015-10-07/pdf/2015-25744.pdf</t>
  </si>
  <si>
    <t>National Security Medal</t>
  </si>
  <si>
    <t>Amends: EO 10431, January 19, 1953
Supersedes in part: EO 10431, January 19, 1953</t>
  </si>
  <si>
    <t>80 FR 71677</t>
  </si>
  <si>
    <t>2015-29403</t>
  </si>
  <si>
    <t>https://www.federalregister.gov/documents/2015/11/16/2015-29403/termination-of-emergency-with-respect-to-the-actions-and-policies-of-former-liberian-president</t>
  </si>
  <si>
    <t>https://www.govinfo.gov/content/pkg/FR-2015-11-16/pdf/2015-29403.pdf</t>
  </si>
  <si>
    <t>Termination of Emergency With Respect to the Actions and Policies of Former Liberian President Charles Taylor</t>
  </si>
  <si>
    <t>Revokes: EO 13348, July 22, 2004</t>
  </si>
  <si>
    <t>80 FR 71921</t>
  </si>
  <si>
    <t>2015-29498</t>
  </si>
  <si>
    <t>https://www.federalregister.gov/documents/2015/11/17/2015-29498/establishing-an-emergency-board-to-investigate-disputes-between-new-jersey-transit-rail-and-certain</t>
  </si>
  <si>
    <t>https://www.govinfo.gov/content/pkg/FR-2015-11-17/pdf/2015-29498.pdf</t>
  </si>
  <si>
    <t>See: EO 13700, July 15, 2015</t>
  </si>
  <si>
    <t>80 FR 73633</t>
  </si>
  <si>
    <t>2015-30191</t>
  </si>
  <si>
    <t>https://www.federalregister.gov/documents/2015/11/25/2015-30191/blocking-property-of-certain-persons-contributing-to-the-situation-in-burundi</t>
  </si>
  <si>
    <t>https://www.govinfo.gov/content/pkg/FR-2015-11-25/pdf/2015-30191.pdf</t>
  </si>
  <si>
    <t>Blocking Property of Certain Persons Contributing to the Situation in Burundi</t>
  </si>
  <si>
    <t>See: Proc. 8693, July 24, 2011 (76 FR 44751) 
Revoked by: EO 14054, November 18, 2021</t>
  </si>
  <si>
    <t>80 FR 78117</t>
  </si>
  <si>
    <t>2015-31749</t>
  </si>
  <si>
    <t>https://www.federalregister.gov/documents/2015/12/16/2015-31749/half-day-closing-of-executive-departments-and-agencies-of-the-federal-government-on-thursday</t>
  </si>
  <si>
    <t>https://www.govinfo.gov/content/pkg/FR-2015-12-16/pdf/2015-31749.pdf</t>
  </si>
  <si>
    <t>Half-Day Closing of Executive Departments and Agencies of the Federal Government on Thursday, December 24, 2015</t>
  </si>
  <si>
    <t>80 FR 79223</t>
  </si>
  <si>
    <t>2015-32060</t>
  </si>
  <si>
    <t>https://www.federalregister.gov/documents/2015/12/18/2015-32060/strengthening-the-senior-executive-service</t>
  </si>
  <si>
    <t>https://www.govinfo.gov/content/pkg/FR-2015-12-18/pdf/2015-32060.pdf</t>
  </si>
  <si>
    <t>Strengthening the Senior Executive Service</t>
  </si>
  <si>
    <t>80 FR 80195</t>
  </si>
  <si>
    <t>2015-32582</t>
  </si>
  <si>
    <t>https://www.federalregister.gov/documents/2015/12/23/2015-32582/adjustments-of-certain-rates-of-pay</t>
  </si>
  <si>
    <t>https://www.govinfo.gov/content/pkg/FR-2015-12-23/pdf/2015-32582.pdf</t>
  </si>
  <si>
    <t>Supersedes: EO 13686, December 19, 2014
Superseded by: EO 13756, December 27, 2016</t>
  </si>
  <si>
    <t>81 FR 3693</t>
  </si>
  <si>
    <t>2016-01325</t>
  </si>
  <si>
    <t>https://www.federalregister.gov/documents/2016/01/21/2016-01325/revocation-of-executive-orders-13574-13590-13622-and-13645-with-respect-to-iran-amendment-of</t>
  </si>
  <si>
    <t>https://www.govinfo.gov/content/pkg/FR-2016-01-21/pdf/2016-01325.pdf</t>
  </si>
  <si>
    <t>Revocation of Executive Orders 13574, 13590, 13622, and 13645 With Respect to Iran, Amendment of Executive Order 13628 With Respect to Iran, and Provision of Implementation Authorities for Aspects of Certain Statutory Sanctions Outside the Scope of U.S. Commitments Under the Joint Comprehensive Plan of Action of July 14, 2015</t>
  </si>
  <si>
    <t>Amends: EO 13628, October 9, 2012
Revokes: EO 13574, May 23, 2011; EO 13590, November 20, 2011; EO 13622, July 30, 2012; EO 13645, June 3, 2013</t>
  </si>
  <si>
    <t>81 FR 6405</t>
  </si>
  <si>
    <t>2016-02475</t>
  </si>
  <si>
    <t>https://www.federalregister.gov/documents/2016/02/05/2016-02475/establishing-a-federal-earthquake-risk-management-standard</t>
  </si>
  <si>
    <t>https://www.govinfo.gov/content/pkg/FR-2016-02-05/pdf/2016-02475.pdf</t>
  </si>
  <si>
    <t>Establishing a Federal Earthquake Risk Management Standard</t>
  </si>
  <si>
    <t>Revokes: EO 12699, January 5, 1990; EO 12941, December 1, 1994</t>
  </si>
  <si>
    <t>81 FR 7441</t>
  </si>
  <si>
    <t>2016-03038</t>
  </si>
  <si>
    <t>https://www.federalregister.gov/documents/2016/02/12/2016-03038/commission-on-enhancing-national-cybersecurity</t>
  </si>
  <si>
    <t>https://www.govinfo.gov/content/pkg/FR-2016-02-12/pdf/2016-03038.pdf</t>
  </si>
  <si>
    <t>Commission on Enhancing National Cybersecurity</t>
  </si>
  <si>
    <t>81 FR 7687</t>
  </si>
  <si>
    <t>2016-03141</t>
  </si>
  <si>
    <t>https://www.federalregister.gov/documents/2016/02/12/2016-03141/establishment-of-the-federal-privacy-council</t>
  </si>
  <si>
    <t>https://www.govinfo.gov/content/pkg/FR-2016-02-12/pdf/2016-03141.pdf</t>
  </si>
  <si>
    <t>Establishment of the Federal Privacy Council</t>
  </si>
  <si>
    <t>81 FR 11089</t>
  </si>
  <si>
    <t>2016-04770</t>
  </si>
  <si>
    <t>https://www.federalregister.gov/documents/2016/03/02/2016-04770/delegation-of-certain-authorities-and-assignment-of-certain-functions-under-the-trade-preferences</t>
  </si>
  <si>
    <t>https://www.govinfo.gov/content/pkg/FR-2016-03-02/pdf/2016-04770.pdf</t>
  </si>
  <si>
    <t>Delegation of Certain Authorities and Assignment of Certain Functions Under the Trade Preferences Extension Act of 2015</t>
  </si>
  <si>
    <t>81 FR 14685</t>
  </si>
  <si>
    <t>2016-06250</t>
  </si>
  <si>
    <t>https://www.federalregister.gov/documents/2016/03/17/2016-06250/developing-an-integrated-global-engagement-center-to-support-government-wide-counterterrorism</t>
  </si>
  <si>
    <t>https://www.govinfo.gov/content/pkg/FR-2016-03-17/pdf/2016-06250.pdf</t>
  </si>
  <si>
    <t>Developing an Integrated Global Engagement Center To Support Government-wide Counterterrorism Communications Activities Directed Abroad and Revoking Executive Order 13584</t>
  </si>
  <si>
    <t>Revokes: EO 13584, September 9, 2011</t>
  </si>
  <si>
    <t>81 FR 14943</t>
  </si>
  <si>
    <t>2016-06355</t>
  </si>
  <si>
    <t>https://www.federalregister.gov/documents/2016/03/18/2016-06355/blocking-property-of-the-government-of-north-korea-and-the-workers-party-of-korea-and-prohibiting</t>
  </si>
  <si>
    <t>https://www.govinfo.gov/content/pkg/FR-2016-03-18/pdf/2016-06355.pdf</t>
  </si>
  <si>
    <t>Blocking Property of the Government of North Korea and the Workers' Party of Korea, and Prohibiting Certain Transactions With Respect to North Korea</t>
  </si>
  <si>
    <t>See: EO 13466, June 26, 2008; EO 13810, September 20, 2017</t>
  </si>
  <si>
    <t>81 FR 19017</t>
  </si>
  <si>
    <t>2016-07703</t>
  </si>
  <si>
    <t>https://www.federalregister.gov/documents/2016/04/01/2016-07703/establishing-the-inherent-resolve-campaign-medal</t>
  </si>
  <si>
    <t>https://www.govinfo.gov/content/pkg/FR-2016-04-01/pdf/2016-07703.pdf</t>
  </si>
  <si>
    <t>Establishing the Inherent Resolve Campaign Medal</t>
  </si>
  <si>
    <t>81 FR 22021</t>
  </si>
  <si>
    <t>2016-08713</t>
  </si>
  <si>
    <t>https://www.federalregister.gov/documents/2016/04/13/2016-08713/amending-executive-order-12137</t>
  </si>
  <si>
    <t>https://www.govinfo.gov/content/pkg/FR-2016-04-13/pdf/2016-08713.pdf</t>
  </si>
  <si>
    <t>Amending Executive Order 12137</t>
  </si>
  <si>
    <t>Amends: EO 12137, May 16, 1979</t>
  </si>
  <si>
    <t>81 FR 23417</t>
  </si>
  <si>
    <t>2016-09346</t>
  </si>
  <si>
    <t>https://www.federalregister.gov/documents/2016/04/20/2016-09346/steps-to-increase-competition-and-better-inform-consumers-and-workers-to-support-continued-growth-of</t>
  </si>
  <si>
    <t>https://www.govinfo.gov/content/pkg/FR-2016-04-20/pdf/2016-09346.pdf</t>
  </si>
  <si>
    <t>Steps to Increase Competition and Better Inform Consumers and Workers to Support Continued Growth of the American Economy</t>
  </si>
  <si>
    <t>81 FR 23559</t>
  </si>
  <si>
    <t>2016-09483</t>
  </si>
  <si>
    <t>https://www.federalregister.gov/documents/2016/04/21/2016-09483/blocking-property-and-suspending-entry-into-the-united-states-of-persons-contributing-to-the</t>
  </si>
  <si>
    <t>https://www.govinfo.gov/content/pkg/FR-2016-04-21/pdf/2016-09483.pdf</t>
  </si>
  <si>
    <t>Blocking Property and Suspending Entry Into the United States of Persons Contributing to the Situation in Libya</t>
  </si>
  <si>
    <t>See: EO 13566, February 25, 2011; Proc. 8693</t>
  </si>
  <si>
    <t>81 FR 29465</t>
  </si>
  <si>
    <t>2016-11300</t>
  </si>
  <si>
    <t>https://www.federalregister.gov/documents/2016/05/11/2016-11300/facilitation-of-a-presidential-transition</t>
  </si>
  <si>
    <t>https://www.govinfo.gov/content/pkg/FR-2016-05-11/pdf/2016-11300.pdf</t>
  </si>
  <si>
    <t>See: Memorandum of July 11, 2001</t>
  </si>
  <si>
    <t>81 FR 32223</t>
  </si>
  <si>
    <t>2016-12155</t>
  </si>
  <si>
    <t>https://www.federalregister.gov/documents/2016/05/20/2016-12155/wildland-urban-interface-federal-risk-mitigation</t>
  </si>
  <si>
    <t>https://www.govinfo.gov/content/pkg/FR-2016-05-20/pdf/2016-12155.pdf</t>
  </si>
  <si>
    <t>Wildland-Urban Interface Federal Risk Mitigation</t>
  </si>
  <si>
    <t>81 FR 32611</t>
  </si>
  <si>
    <t>2016-12307</t>
  </si>
  <si>
    <t>https://www.federalregister.gov/documents/2016/05/23/2016-12307/a-comprehensive-approach-to-atrocity-prevention-and-response</t>
  </si>
  <si>
    <t>https://www.govinfo.gov/content/pkg/FR-2016-05-23/pdf/2016-12307.pdf</t>
  </si>
  <si>
    <t>A Comprehensive Approach to Atrocity Prevention and Response</t>
  </si>
  <si>
    <t>81 FR 33331</t>
  </si>
  <si>
    <t>2016-12579</t>
  </si>
  <si>
    <t>https://www.federalregister.gov/documents/2016/05/26/2016-12579/2016-amendments-to-the-manual-for-courts-martial-united-states</t>
  </si>
  <si>
    <t>https://www.govinfo.gov/content/pkg/FR-2016-05-26/pdf/2016-12579.pdf</t>
  </si>
  <si>
    <t>2016 Amendments to the Manual for Courts-Martial, United States</t>
  </si>
  <si>
    <t>81 FR 42221</t>
  </si>
  <si>
    <t>2016-15542</t>
  </si>
  <si>
    <t>https://www.federalregister.gov/documents/2016/06/29/2016-15542/global-entrepreneurship</t>
  </si>
  <si>
    <t>https://www.govinfo.gov/content/pkg/FR-2016-06-29/pdf/2016-15542.pdf</t>
  </si>
  <si>
    <t>Global Entrepreneurship</t>
  </si>
  <si>
    <t>81 FR 44485</t>
  </si>
  <si>
    <t>2016-16295</t>
  </si>
  <si>
    <t>https://www.federalregister.gov/documents/2016/07/07/2016-16295/united-states-policy-on-pre--and-post-strike-measures-to-address-civilian-casualties-in-us</t>
  </si>
  <si>
    <t>https://www.govinfo.gov/content/pkg/FR-2016-07-07/pdf/2016-16295.pdf</t>
  </si>
  <si>
    <t>United States Policy on Pre- and Post-Strike Measures To Address Civilian Casualties in U.S. Operations Involving the Use of Force</t>
  </si>
  <si>
    <t>81 FR 49515</t>
  </si>
  <si>
    <t>2016-17945</t>
  </si>
  <si>
    <t>https://www.federalregister.gov/documents/2016/07/27/2016-17945/delegation-of-certain-authorities-and-assignment-of-certain-functions-under-the-trade-facilitation</t>
  </si>
  <si>
    <t>https://www.govinfo.gov/content/pkg/FR-2016-07-27/pdf/2016-17945.pdf</t>
  </si>
  <si>
    <t>Delegation of Certain Authorities and Assignment of Certain Functions Under the Trade Facilitation and Trade Enforcement Act of 2015</t>
  </si>
  <si>
    <t>81 FR 52321</t>
  </si>
  <si>
    <t>2016-18872</t>
  </si>
  <si>
    <t>https://www.federalregister.gov/documents/2016/08/08/2016-18872/amending-executive-order-13675-to-expand-membership-on-the-presidents-advisory-council-on-doing</t>
  </si>
  <si>
    <t>https://www.govinfo.gov/content/pkg/FR-2016-08-08/pdf/2016-18872.pdf</t>
  </si>
  <si>
    <t>Amending Executive Order 13675 To Expand Membership on the President's Advisory Council on Doing Business in Africa</t>
  </si>
  <si>
    <t>81 FR 54709</t>
  </si>
  <si>
    <t>2016-19723</t>
  </si>
  <si>
    <t>https://www.federalregister.gov/documents/2016/08/17/2016-19723/providing-an-order-of-succession-within-the-department-of-the-treasury</t>
  </si>
  <si>
    <t>https://www.govinfo.gov/content/pkg/FR-2016-08-17/pdf/2016-19723.pdf</t>
  </si>
  <si>
    <t>81 FR 54711</t>
  </si>
  <si>
    <t>2016-19724</t>
  </si>
  <si>
    <t>https://www.federalregister.gov/documents/2016/08/17/2016-19724/providing-an-order-of-succession-within-the-department-of-veterans-affairs</t>
  </si>
  <si>
    <t>https://www.govinfo.gov/content/pkg/FR-2016-08-17/pdf/2016-19724.pdf</t>
  </si>
  <si>
    <t>81 FR 54713</t>
  </si>
  <si>
    <t>2016-19725</t>
  </si>
  <si>
    <t>https://www.federalregister.gov/documents/2016/08/17/2016-19725/providing-an-order-of-succession-within-the-environmental-protection-agency</t>
  </si>
  <si>
    <t>https://www.govinfo.gov/content/pkg/FR-2016-08-17/pdf/2016-19725.pdf</t>
  </si>
  <si>
    <t>Revoked by: EO 13763, January 13, 2017</t>
  </si>
  <si>
    <t>81 FR 58807</t>
  </si>
  <si>
    <t>2016-20713</t>
  </si>
  <si>
    <t>https://www.federalregister.gov/documents/2016/08/26/2016-20713/amendment-to-executive-order-13673</t>
  </si>
  <si>
    <t>https://www.govinfo.gov/content/pkg/FR-2016-08-26/pdf/2016-20713.pdf</t>
  </si>
  <si>
    <t>Amendment to Executive Order 13673</t>
  </si>
  <si>
    <t>Amends: EO 13673, July 31, 2014
Revoked by: EO 13783, March 28, 2017</t>
  </si>
  <si>
    <t>81 FR 63673</t>
  </si>
  <si>
    <t>2016-22454</t>
  </si>
  <si>
    <t>https://www.federalregister.gov/documents/2016/09/16/2016-22454/termination-of-emergency-with-respect-to-the-situation-in-or-in-relation-to-cte-divoire</t>
  </si>
  <si>
    <t>https://www.govinfo.gov/content/pkg/FR-2016-09-16/pdf/2016-22454.pdf</t>
  </si>
  <si>
    <t>Termination of Emergency With Respect to the Situation in or in Relation to Côte d'Ivoire</t>
  </si>
  <si>
    <t>Revokes: EO 13396, February 7, 2006</t>
  </si>
  <si>
    <t>81 FR 65175</t>
  </si>
  <si>
    <t>2016-22962</t>
  </si>
  <si>
    <t>https://www.federalregister.gov/documents/2016/09/22/2016-22962/2016-amendments-to-the-manual-for-courts-martial-united-states</t>
  </si>
  <si>
    <t>https://www.govinfo.gov/content/pkg/FR-2016-09-22/pdf/2016-22962.pdf</t>
  </si>
  <si>
    <t>81 FR 68289</t>
  </si>
  <si>
    <t>2016-24066</t>
  </si>
  <si>
    <t>https://www.federalregister.gov/documents/2016/10/04/2016-24066/amending-executive-order-13467-to-establish-the-roles-and-responsibilities-of-the-national</t>
  </si>
  <si>
    <t>https://www.govinfo.gov/content/pkg/FR-2016-10-04/pdf/2016-24066.pdf</t>
  </si>
  <si>
    <t>Amending Executive Order 13467 To Establish the Roles and Responsibilities of the National Background Investigations Bureau and Related Matters</t>
  </si>
  <si>
    <t>Amends: EO 12171, November 19, 1979; EO 13467, June 30, 2008</t>
  </si>
  <si>
    <t>81 FR 70593</t>
  </si>
  <si>
    <t>2016-24847</t>
  </si>
  <si>
    <t>https://www.federalregister.gov/documents/2016/10/12/2016-24847/termination-of-emergency-with-respect-to-the-actions-and-policies-of-the-government-of-burma</t>
  </si>
  <si>
    <t>https://www.govinfo.gov/content/pkg/FR-2016-10-12/pdf/2016-24847.pdf</t>
  </si>
  <si>
    <t>Termination of Emergency With Respect to the Actions and Policies of the Government of Burma</t>
  </si>
  <si>
    <t>Revokes: EO 13047, May 20, 1997; EO 13310, July 28, 2003; EO 13448, October 18, 2007; EO 13464, April 30, 2008; EO 13619, July 11, 2012
See: EO 13651, August 6, 2013; Proc. 8693</t>
  </si>
  <si>
    <t>81 FR 71571</t>
  </si>
  <si>
    <t>2016-25288</t>
  </si>
  <si>
    <t>https://www.federalregister.gov/documents/2016/10/18/2016-25288/charitable-fundraising</t>
  </si>
  <si>
    <t>https://www.govinfo.gov/content/pkg/FR-2016-10-18/pdf/2016-25288.pdf</t>
  </si>
  <si>
    <t>Charitable Fundraising</t>
  </si>
  <si>
    <t>Amends: EO 12353, March 23, 1982</t>
  </si>
  <si>
    <t>81 FR 71573</t>
  </si>
  <si>
    <t>2016-25290</t>
  </si>
  <si>
    <t>https://www.federalregister.gov/documents/2016/10/18/2016-25290/coordinating-efforts-to-prepare-the-nation-for-space-weather-events</t>
  </si>
  <si>
    <t>https://www.govinfo.gov/content/pkg/FR-2016-10-18/pdf/2016-25290.pdf</t>
  </si>
  <si>
    <t>Coordinating Efforts To Prepare the Nation for Space Weather Events</t>
  </si>
  <si>
    <t>See: EO 12881, November 23, 1993; EO 13642, May 9, 2013</t>
  </si>
  <si>
    <t>81 FR 76493</t>
  </si>
  <si>
    <t>2016-26753</t>
  </si>
  <si>
    <t>https://www.federalregister.gov/documents/2016/11/03/2016-26753/delegation-of-function-to-the-director-of-the-office-of-personnel-management</t>
  </si>
  <si>
    <t>https://www.govinfo.gov/content/pkg/FR-2016-11-03/pdf/2016-26753.pdf</t>
  </si>
  <si>
    <t>Delegation of Function to the Director of the Office of Personnel Management</t>
  </si>
  <si>
    <t>81 FR 78697</t>
  </si>
  <si>
    <t>2016-27156</t>
  </si>
  <si>
    <t>https://www.federalregister.gov/documents/2016/11/08/2016-27156/advancing-the-goals-of-the-power-africa-initiative-to-expand-access-to-electricity-in-sub--saharan</t>
  </si>
  <si>
    <t>https://www.govinfo.gov/content/pkg/FR-2016-11-08/pdf/2016-27156.pdf</t>
  </si>
  <si>
    <t>Advancing the Goals of the Power Africa Initiative to Expand Access to Electricity in Sub- Saharan Africa Through the Establishment of the President's Power Africa Working Group</t>
  </si>
  <si>
    <t>81 FR 78701</t>
  </si>
  <si>
    <t>2016-27171</t>
  </si>
  <si>
    <t>https://www.federalregister.gov/documents/2016/11/09/2016-27171/advancing-the-global-health-security-agenda-to-achieve-a-world-safe-and-secure-from-infectious</t>
  </si>
  <si>
    <t>https://www.govinfo.gov/content/pkg/FR-2016-11-09/pdf/2016-27171.pdf</t>
  </si>
  <si>
    <t>Advancing the Global Health Security Agenda To Achieve a World Safe and Secure From Infectious Disease Threats</t>
  </si>
  <si>
    <t>81 FR 83619</t>
  </si>
  <si>
    <t>2016-28203</t>
  </si>
  <si>
    <t>https://www.federalregister.gov/documents/2016/11/21/2016-28203/establishing-a-community-solutions-council</t>
  </si>
  <si>
    <t>https://www.govinfo.gov/content/pkg/FR-2016-11-21/pdf/2016-28203.pdf</t>
  </si>
  <si>
    <t>Establishing a Community Solutions Council</t>
  </si>
  <si>
    <t>Revokes: EO 13602, March 15, 2012
Supersedes: EO 13560, December 14, 2010</t>
  </si>
  <si>
    <t>81 FR 87391</t>
  </si>
  <si>
    <t>2016-29165</t>
  </si>
  <si>
    <t>https://www.federalregister.gov/documents/2016/12/02/2016-29165/providing-for-the-appointment-in-the-competitive-service-of-certain-employees-of-the-foreign-service</t>
  </si>
  <si>
    <t>https://www.govinfo.gov/content/pkg/FR-2016-12-02/pdf/2016-29165.pdf</t>
  </si>
  <si>
    <t>Providing for the Appointment in the Competitive Service of Certain Employees of the Foreign Service</t>
  </si>
  <si>
    <t>See: EO 13597, January 19, 2012</t>
  </si>
  <si>
    <t>81 FR 87393</t>
  </si>
  <si>
    <t>2016-29169</t>
  </si>
  <si>
    <t>https://www.federalregister.gov/documents/2016/12/02/2016-29169/providing-for-the-appointment-of-alumni-of-the-fulbright-us-student-program-the-benjamin-a-gilman</t>
  </si>
  <si>
    <t>https://www.govinfo.gov/content/pkg/FR-2016-12-02/pdf/2016-29169.pdf</t>
  </si>
  <si>
    <t>Providing for the Appointment of Alumni of the Fulbright U.S. Student Program, the Benjamin A. Gilman International Scholarship Program, and the Critical Language Scholarship Program to the Competitive Service</t>
  </si>
  <si>
    <t>81 FR 88609</t>
  </si>
  <si>
    <t>2016-29519</t>
  </si>
  <si>
    <t>https://www.federalregister.gov/documents/2016/12/08/2016-29519/safeguarding-the-nation-from-the-impacts-of-invasive-species</t>
  </si>
  <si>
    <t>https://www.govinfo.gov/content/pkg/FR-2016-12-08/pdf/2016-29519.pdf</t>
  </si>
  <si>
    <t>Safeguarding the Nation From the Impacts of Invasive Species</t>
  </si>
  <si>
    <t>Amends: EO 13112, February 3, 1999</t>
  </si>
  <si>
    <t>81 FR 90181</t>
  </si>
  <si>
    <t>2016-30101</t>
  </si>
  <si>
    <t>https://www.federalregister.gov/documents/2016/12/13/2016-30101/relating-to-the-implementation-of-the-convention-on-the-international-recovery-of-child-support-and</t>
  </si>
  <si>
    <t>https://www.govinfo.gov/content/pkg/FR-2016-12-13/pdf/2016-30101.pdf</t>
  </si>
  <si>
    <t>Relating to the Implementation of the Convention on the International Recovery of Child Support and Other Forms of Family Maintenance</t>
  </si>
  <si>
    <t>81 FR 90667</t>
  </si>
  <si>
    <t>2016-30272</t>
  </si>
  <si>
    <t>https://www.federalregister.gov/documents/2016/12/14/2016-30272/amending-the-order-of-succession-in-the-department-of-homeland-security</t>
  </si>
  <si>
    <t>https://www.govinfo.gov/content/pkg/FR-2016-12-14/pdf/2016-30272.pdf</t>
  </si>
  <si>
    <t xml:space="preserve">Amends: EO 13286, February 28, 2003
Revokes: EO 13442, August 13, 2007
</t>
  </si>
  <si>
    <t>81 FR 90669</t>
  </si>
  <si>
    <t>2016-30277</t>
  </si>
  <si>
    <t>https://www.federalregister.gov/documents/2016/12/14/2016-30277/northern-bering-sea-climate-resilience</t>
  </si>
  <si>
    <t>https://www.govinfo.gov/content/pkg/FR-2016-12-14/pdf/2016-30277.pdf</t>
  </si>
  <si>
    <t>Northern Bering Sea Climate Resilience</t>
  </si>
  <si>
    <t>Revoked by: EO 13795, April 28, 2017</t>
  </si>
  <si>
    <t>81 FR 96329</t>
  </si>
  <si>
    <t>2016-31792</t>
  </si>
  <si>
    <t>https://www.federalregister.gov/documents/2016/12/30/2016-31792/providing-an-order-of-succession-within-the-department-of-labor</t>
  </si>
  <si>
    <t>https://www.govinfo.gov/content/pkg/FR-2016-12-30/pdf/2016-31792.pdf</t>
  </si>
  <si>
    <t>81 FR 97099</t>
  </si>
  <si>
    <t>2016-31875</t>
  </si>
  <si>
    <t>https://www.federalregister.gov/documents/2016/12/30/2016-31875/adjustments-of-certain-rates-of-pay</t>
  </si>
  <si>
    <t>https://www.govinfo.gov/content/pkg/FR-2016-12-30/pdf/2016-31875.pdf</t>
  </si>
  <si>
    <t>Supersedes: EO 13715, December 18, 2015
Superseded by: EO 13819, December 22, 2017</t>
  </si>
  <si>
    <t>82 FR 1</t>
  </si>
  <si>
    <t>2016-31922</t>
  </si>
  <si>
    <t>https://www.federalregister.gov/documents/2017/01/03/2016-31922/taking-additional-steps-to-address-the-national-emergency-with-respect-to-significant-malicious</t>
  </si>
  <si>
    <t>https://www.govinfo.gov/content/pkg/FR-2017-01-03/pdf/2016-31922.pdf</t>
  </si>
  <si>
    <t>Taking Additional Steps to Address the National Emergency With Respect to Significant Malicious Cyber- Enabled Activities</t>
  </si>
  <si>
    <t>Amends: EO 13694, April 1, 2015</t>
  </si>
  <si>
    <t>82 FR 5321</t>
  </si>
  <si>
    <t>2017-01164</t>
  </si>
  <si>
    <t>https://www.federalregister.gov/documents/2017/01/17/2017-01164/amending-executive-order-11016-to-update-eligibility-criteria-for-award-of-the-purple-heart</t>
  </si>
  <si>
    <t>https://www.govinfo.gov/content/pkg/FR-2017-01-17/pdf/2017-01164.pdf</t>
  </si>
  <si>
    <t>Amending Executive Order 11016 To Update Eligibility Criteria for Award of the Purple Heart</t>
  </si>
  <si>
    <t>Amends: EO 11016, April 25, 1962</t>
  </si>
  <si>
    <t>82 FR 5323</t>
  </si>
  <si>
    <t>2017-01168</t>
  </si>
  <si>
    <t>https://www.federalregister.gov/documents/2017/01/17/2017-01168/designating-the-world-organisation-for-animal-health-as-a-public-international-organization-entitled</t>
  </si>
  <si>
    <t>https://www.govinfo.gov/content/pkg/FR-2017-01-17/pdf/2017-01168.pdf</t>
  </si>
  <si>
    <t>Designating the World Organisation for Animal Health as a Public International Organization Entitled To Enjoy Certain Privileges, Exemptions, and Immunities</t>
  </si>
  <si>
    <t>82 FR 5325</t>
  </si>
  <si>
    <t>2017-01169</t>
  </si>
  <si>
    <t>https://www.federalregister.gov/documents/2017/01/17/2017-01169/exclusions-from-the-federal-labor-management-relations-program</t>
  </si>
  <si>
    <t>https://www.govinfo.gov/content/pkg/FR-2017-01-17/pdf/2017-01169.pdf</t>
  </si>
  <si>
    <t>82 FR 5331</t>
  </si>
  <si>
    <t>2017-01197</t>
  </si>
  <si>
    <t>https://www.federalregister.gov/documents/2017/01/18/2017-01197/recognizing-positive-actions-by-the-government-of-sudan-and-providing-for-the-revocation-of-certain</t>
  </si>
  <si>
    <t>https://www.govinfo.gov/content/pkg/FR-2017-01-18/pdf/2017-01197.pdf</t>
  </si>
  <si>
    <t>Recognizing Positive Actions by the Government of Sudan and Providing for the Revocation of Certain Sudan-Related Sanctions</t>
  </si>
  <si>
    <t>See: EO 14098, May 4, 2023
Revokes in part: EO 13067, November 3, 1997
Revokes: EO 13412, October 13, 2006
Amended by: EO 13804, July 11, 2017</t>
  </si>
  <si>
    <t>82 FR 7619</t>
  </si>
  <si>
    <t>2017-01487</t>
  </si>
  <si>
    <t>https://www.federalregister.gov/documents/2017/01/19/2017-01487/providing-an-order-of-succession-within-the-department-of-justice</t>
  </si>
  <si>
    <t>https://www.govinfo.gov/content/pkg/FR-2017-01-19/pdf/2017-01487.pdf</t>
  </si>
  <si>
    <t>Revokes: EO 13557, November 4, 2010
Revoked by: EO 13775, February 9, 2017</t>
  </si>
  <si>
    <t>82 FR 7621</t>
  </si>
  <si>
    <t>2017-01489</t>
  </si>
  <si>
    <t>https://www.federalregister.gov/documents/2017/01/19/2017-01489/providing-an-order-of-succession-within-the-environmental-protection-agency</t>
  </si>
  <si>
    <t>https://www.govinfo.gov/content/pkg/FR-2017-01-19/pdf/2017-01489.pdf</t>
  </si>
  <si>
    <t>Revokes: EO 13737, August 12, 2016</t>
  </si>
  <si>
    <t>82 FR 8115</t>
  </si>
  <si>
    <t>2017-01623</t>
  </si>
  <si>
    <t>https://www.federalregister.gov/documents/2017/01/23/2017-01623/amending-the-civil-service-rules-executive-order-13488-and-executive-order-13467-to-modernize-the</t>
  </si>
  <si>
    <t>https://www.govinfo.gov/content/pkg/FR-2017-01-23/pdf/2017-01623.pdf</t>
  </si>
  <si>
    <t>Amending the Civil Service Rules, Executive Order 13488, and Executive Order 13467 To Modernize the Executive Branch-Wide Governance Structure and Processes for Security Clearances, Suitability and Fitness for Employment, and Credentialing, and Related Matters</t>
  </si>
  <si>
    <t>Amends: EO 13467, June 30, 2008; EO 13488, January 16, 2009</t>
  </si>
  <si>
    <t>82 FR 8351</t>
  </si>
  <si>
    <t>2017-01799</t>
  </si>
  <si>
    <t>https://www.federalregister.gov/documents/2017/01/24/2017-01799/minimizing-the-economic-burden-of-the-patient-protection-and-affordable-care-act-pending-repeal</t>
  </si>
  <si>
    <t>https://www.govinfo.gov/content/pkg/FR-2017-01-24/pdf/2017-01799.pdf</t>
  </si>
  <si>
    <t>Minimizing the Economic Burden of the Patient Protection and Affordable Care Act Pending Repeal</t>
  </si>
  <si>
    <t>Revoked by: EO 14009, January 28, 2021</t>
  </si>
  <si>
    <t>82 FR 8657</t>
  </si>
  <si>
    <t>2017-02029</t>
  </si>
  <si>
    <t>https://www.federalregister.gov/documents/2017/01/30/2017-02029/expediting-environmental-reviews-and-approvals-for-high-priority-infrastructure-projects</t>
  </si>
  <si>
    <t>https://www.govinfo.gov/content/pkg/FR-2017-01-30/pdf/2017-02029.pdf</t>
  </si>
  <si>
    <t>Expediting Environmental Reviews and Approvals for High Priority Infrastructure Projects</t>
  </si>
  <si>
    <t>See: EO 13807, August 15, 2017; Revoked by: EO 13990, January 20, 2021</t>
  </si>
  <si>
    <t>82 FR 8793</t>
  </si>
  <si>
    <t>2017-02095</t>
  </si>
  <si>
    <t>https://www.federalregister.gov/documents/2017/01/30/2017-02095/border-security-and-immigration-enforcement-improvements</t>
  </si>
  <si>
    <t>https://www.govinfo.gov/content/pkg/FR-2017-01-30/pdf/2017-02095.pdf</t>
  </si>
  <si>
    <t>Border Security and Immigration Enforcement Improvements</t>
  </si>
  <si>
    <t>Revoked by: EO 14010, February 2, 2021</t>
  </si>
  <si>
    <t>82 FR 8799</t>
  </si>
  <si>
    <t>2017-02102</t>
  </si>
  <si>
    <t>https://www.federalregister.gov/documents/2017/01/30/2017-02102/enhancing-public-safety-in-the-interior-of-the-united-states</t>
  </si>
  <si>
    <t>https://www.govinfo.gov/content/pkg/FR-2017-01-30/pdf/2017-02102.pdf</t>
  </si>
  <si>
    <t>Enhancing Public Safety in the Interior of the United States</t>
  </si>
  <si>
    <t>Revoked by: EO 13993 of January 20, 2021</t>
  </si>
  <si>
    <t>82 FR 8977</t>
  </si>
  <si>
    <t>2017-02281</t>
  </si>
  <si>
    <t>https://www.federalregister.gov/documents/2017/02/01/2017-02281/protecting-the-nation-from-foreign-terrorist-entry-into-the-united-states</t>
  </si>
  <si>
    <t>https://www.govinfo.gov/content/pkg/FR-2017-02-01/pdf/2017-02281.pdf</t>
  </si>
  <si>
    <t>Protecting the Nation From Foreign Terrorist Entry Into the United States</t>
  </si>
  <si>
    <t>See: EO 13780, March 6, 2017</t>
  </si>
  <si>
    <t>82 FR 9333</t>
  </si>
  <si>
    <t>2017-02450</t>
  </si>
  <si>
    <t>https://www.federalregister.gov/documents/2017/02/03/2017-02450/ethics-commitments-by-executive-branch-appointees</t>
  </si>
  <si>
    <t>https://www.govinfo.gov/content/pkg/FR-2017-02-03/pdf/2017-02450.pdf</t>
  </si>
  <si>
    <t>Ethics Commitments by Executive Branch Appointees</t>
  </si>
  <si>
    <t>Supersedes: EO 13490, January 21, 2009</t>
  </si>
  <si>
    <t>82 FR 9339</t>
  </si>
  <si>
    <t>2017-02451</t>
  </si>
  <si>
    <t>https://www.federalregister.gov/documents/2017/02/03/2017-02451/reducing-regulation-and-controlling-regulatory-costs</t>
  </si>
  <si>
    <t>https://www.govinfo.gov/content/pkg/FR-2017-02-03/pdf/2017-02451.pdf</t>
  </si>
  <si>
    <t>Reducing Regulation and Controlling Regulatory Costs</t>
  </si>
  <si>
    <t>See: EO 12866, September 30, 1993; EO 13777, February 24, 2017; EO 13782, March 27, 2017; EO 13790, April 25, 2017; EO 13817, December 20, 2017
 Revoked by: EO 13992, January 20, 2021</t>
  </si>
  <si>
    <t>82 FR 9965</t>
  </si>
  <si>
    <t>2017-02762</t>
  </si>
  <si>
    <t>https://www.federalregister.gov/documents/2017/02/08/2017-02762/core-principles-for-regulating-the-united-states-financial-system</t>
  </si>
  <si>
    <t>https://www.govinfo.gov/content/pkg/FR-2017-02-08/pdf/2017-02762.pdf</t>
  </si>
  <si>
    <t>Core Principles for Regulating the United States Financial System</t>
  </si>
  <si>
    <t>Revoked by: EO 14018, February 24, 2021</t>
  </si>
  <si>
    <t>82 FR 10691</t>
  </si>
  <si>
    <t>2017-03113</t>
  </si>
  <si>
    <t>https://www.federalregister.gov/documents/2017/02/14/2017-03113/enforcing-federal-law-with-respect-to-transnational-criminal-organizations-and-preventing</t>
  </si>
  <si>
    <t>https://www.govinfo.gov/content/pkg/FR-2017-02-14/pdf/2017-03113.pdf</t>
  </si>
  <si>
    <t>Enforcing Federal Law With Respect to Transnational Criminal Organizations and Preventing International Trafficking</t>
  </si>
  <si>
    <t>82 FR 10695</t>
  </si>
  <si>
    <t>2017-03115</t>
  </si>
  <si>
    <t>https://www.federalregister.gov/documents/2017/02/14/2017-03115/preventing-violence-against-federal-state-tribal-and-local-law-enforcement-officers</t>
  </si>
  <si>
    <t>https://www.govinfo.gov/content/pkg/FR-2017-02-14/pdf/2017-03115.pdf</t>
  </si>
  <si>
    <t>Preventing Violence Against Federal, State, Tribal, and Local Law Enforcement Officers</t>
  </si>
  <si>
    <t>82 FR 10697</t>
  </si>
  <si>
    <t>2017-03116</t>
  </si>
  <si>
    <t>https://www.federalregister.gov/documents/2017/02/14/2017-03116/providing-an-order-of-succession-within-the-department-of-justice</t>
  </si>
  <si>
    <t>https://www.govinfo.gov/content/pkg/FR-2017-02-14/pdf/2017-03116.pdf</t>
  </si>
  <si>
    <t>Revokes: EO 13762, January 13, 2017
Revoked by: EO 13787, March 31, 2017</t>
  </si>
  <si>
    <t>82 FR 10699</t>
  </si>
  <si>
    <t>2017-03118</t>
  </si>
  <si>
    <t>https://www.federalregister.gov/documents/2017/02/14/2017-03118/task-force-on-crime-reduction-and-public-safety</t>
  </si>
  <si>
    <t>https://www.govinfo.gov/content/pkg/FR-2017-02-14/pdf/2017-03118.pdf</t>
  </si>
  <si>
    <t>Task Force on Crime Reduction and Public Safety</t>
  </si>
  <si>
    <t>82 FR 12285</t>
  </si>
  <si>
    <t>2017-04107</t>
  </si>
  <si>
    <t>https://www.federalregister.gov/documents/2017/03/01/2017-04107/enforcing-the-regulatory-reform-agenda</t>
  </si>
  <si>
    <t>https://www.govinfo.gov/content/pkg/FR-2017-03-01/pdf/2017-04107.pdf</t>
  </si>
  <si>
    <t>Enforcing the Regulatory Reform Agenda</t>
  </si>
  <si>
    <t>See: EO 12866, September 30, 1993; EO 13563, January 18, 2011; EO 13771, January 30, 2017 
Revoked by: EO 13992, January 20, 2021</t>
  </si>
  <si>
    <t>82 FR 12497</t>
  </si>
  <si>
    <t>2017-04353</t>
  </si>
  <si>
    <t>https://www.federalregister.gov/documents/2017/03/03/2017-04353/restoring-the-rule-of-law-federalism-and-economic-growth-by-reviewing-the-waters-of-the-united</t>
  </si>
  <si>
    <t>https://www.govinfo.gov/content/pkg/FR-2017-03-03/pdf/2017-04353.pdf</t>
  </si>
  <si>
    <t>Restoring the Rule of Law, Federalism, and Economic Growth by Reviewing the ``Waters of the United States'' Rule</t>
  </si>
  <si>
    <t>See: EO 13790 of April 25, 2017; Revoked by: EO 13990, January 20, 2021</t>
  </si>
  <si>
    <t>82 FR 12499</t>
  </si>
  <si>
    <t>2017-04357</t>
  </si>
  <si>
    <t>https://www.federalregister.gov/documents/2017/03/03/2017-04357/white-house-initiative-to-promote-excellence-and-innovation-at-historically-black-colleges-and</t>
  </si>
  <si>
    <t>https://www.govinfo.gov/content/pkg/FR-2017-03-03/pdf/2017-04357.pdf</t>
  </si>
  <si>
    <t>White House Initiative To Promote Excellence and Innovation at Historically Black Colleges and Universities</t>
  </si>
  <si>
    <t>Revokes: EO 13532, February 26, 2010
Continued by: EO 13811, September 29, 2017 
Superseded by: EP 14041, September 3, 2021</t>
  </si>
  <si>
    <t>82 FR 13209</t>
  </si>
  <si>
    <t>2017-04837</t>
  </si>
  <si>
    <t>https://www.federalregister.gov/documents/2017/03/09/2017-04837/protecting-the-nation-from-foreign-terrorist-entry-into-the-united-states</t>
  </si>
  <si>
    <t>https://www.govinfo.gov/content/pkg/FR-2017-03-09/pdf/2017-04837.pdf</t>
  </si>
  <si>
    <t>See: EO 13769, January 27, 2017; EO 13815, October 24, 2017</t>
  </si>
  <si>
    <t>82 FR 13959</t>
  </si>
  <si>
    <t>2017-05399</t>
  </si>
  <si>
    <t>https://www.federalregister.gov/documents/2017/03/16/2017-05399/comprehensive-plan-for-reorganizing-the-executive-branch</t>
  </si>
  <si>
    <t>https://www.govinfo.gov/content/pkg/FR-2017-03-16/pdf/2017-05399.pdf</t>
  </si>
  <si>
    <t>Comprehensive Plan for Reorganizing the Executive Branch</t>
  </si>
  <si>
    <t>See: EO 13807, August 15, 2017</t>
  </si>
  <si>
    <t>82 FR 15607</t>
  </si>
  <si>
    <t>2017-06382</t>
  </si>
  <si>
    <t>https://www.federalregister.gov/documents/2017/03/30/2017-06382/revocation-of-federal-contracting-executive-orders</t>
  </si>
  <si>
    <t>https://www.govinfo.gov/content/pkg/FR-2017-03-30/pdf/2017-06382.pdf</t>
  </si>
  <si>
    <t>Revocation of Federal Contracting Executive Orders</t>
  </si>
  <si>
    <t>Revokes: EO 13673, July 31, 2014; EO 13738, August 23, 2016
Revokes in part: EO 13683, December 11, 2014
See: EO 13771, January 30, 2017</t>
  </si>
  <si>
    <t>82 FR 16093</t>
  </si>
  <si>
    <t>2017-06576</t>
  </si>
  <si>
    <t>https://www.federalregister.gov/documents/2017/03/31/2017-06576/promoting-energy-independence-and-economic-growth</t>
  </si>
  <si>
    <t>https://www.govinfo.gov/content/pkg/FR-2017-03-31/pdf/2017-06576.pdf</t>
  </si>
  <si>
    <t>Promoting Energy Independence and Economic Growth</t>
  </si>
  <si>
    <t>Revokes: EO 13653, November 1, 2013
See: EO 13790, April 25, 2017; EO 13817, December 20, 2017; Revoked by: EO 13990, January 20, 2021</t>
  </si>
  <si>
    <t>82 FR 16283</t>
  </si>
  <si>
    <t>2017-06716</t>
  </si>
  <si>
    <t>https://www.federalregister.gov/documents/2017/04/03/2017-06716/establishing-the-presidents-commission-on-combating-drug-addiction-and-the-opioid-crisis</t>
  </si>
  <si>
    <t>https://www.govinfo.gov/content/pkg/FR-2017-04-03/pdf/2017-06716.pdf</t>
  </si>
  <si>
    <t>Establishing the President's Commission on Combating Drug Addiction and the Opioid Crisis</t>
  </si>
  <si>
    <t>82 FR 16719</t>
  </si>
  <si>
    <t>2017-06967</t>
  </si>
  <si>
    <t>https://www.federalregister.gov/documents/2017/04/05/2017-06967/establishing-enhanced-collection-and-enforcement-of-antidumping-and-countervailing-duties-and</t>
  </si>
  <si>
    <t>https://www.govinfo.gov/content/pkg/FR-2017-04-05/pdf/2017-06967.pdf</t>
  </si>
  <si>
    <t>Establishing Enhanced Collection and Enforcement of Antidumping and Countervailing Duties and Violations of Trade and Customs Laws</t>
  </si>
  <si>
    <t>82 FR 16721</t>
  </si>
  <si>
    <t>2017-06968</t>
  </si>
  <si>
    <t>https://www.federalregister.gov/documents/2017/04/05/2017-06968/omnibus-report-on-significant-trade-deficits</t>
  </si>
  <si>
    <t>https://www.govinfo.gov/content/pkg/FR-2017-04-05/pdf/2017-06968.pdf</t>
  </si>
  <si>
    <t>Omnibus Report on Significant Trade Deficits</t>
  </si>
  <si>
    <t>82 FR 16723</t>
  </si>
  <si>
    <t>2017-06971</t>
  </si>
  <si>
    <t>https://www.federalregister.gov/documents/2017/04/05/2017-06971/providing-an-order-of-succession-within-the-department-of-justice</t>
  </si>
  <si>
    <t>https://www.govinfo.gov/content/pkg/FR-2017-04-05/pdf/2017-06971.pdf</t>
  </si>
  <si>
    <t>Revokes: EO 13775, February 9, 2017</t>
  </si>
  <si>
    <t>82 FR 18837</t>
  </si>
  <si>
    <t>2017-08311</t>
  </si>
  <si>
    <t>https://www.federalregister.gov/documents/2017/04/21/2017-08311/buy-american-and-hire-american</t>
  </si>
  <si>
    <t>https://www.govinfo.gov/content/pkg/FR-2017-04-21/pdf/2017-08311.pdf</t>
  </si>
  <si>
    <t>Buy American and Hire American</t>
  </si>
  <si>
    <t>See: EO 13797, April 29, 2017; Revoked by: EO 14006, January 25, 2021</t>
  </si>
  <si>
    <t>82 FR 19317</t>
  </si>
  <si>
    <t>2017-08586</t>
  </si>
  <si>
    <t>https://www.federalregister.gov/documents/2017/04/26/2017-08586/identifying-and-reducing-tax-regulatory-burdens</t>
  </si>
  <si>
    <t>https://www.govinfo.gov/content/pkg/FR-2017-04-26/pdf/2017-08586.pdf</t>
  </si>
  <si>
    <t>Identifying and Reducing Tax Regulatory Burdens</t>
  </si>
  <si>
    <t>82 FR 20237</t>
  </si>
  <si>
    <t>2017-08818</t>
  </si>
  <si>
    <t>https://www.federalregister.gov/documents/2017/04/28/2017-08818/promoting-agriculture-and-rural-prosperity-in-america</t>
  </si>
  <si>
    <t>https://www.govinfo.gov/content/pkg/FR-2017-04-28/pdf/2017-08818.pdf</t>
  </si>
  <si>
    <t>Promoting Agriculture and Rural Prosperity in America</t>
  </si>
  <si>
    <t>See: EO 13771, January 30, 2017; EO 13778, February 28, 2017; EO 13783, March 28, 2017
Revokes: EO 13575, June 9, 2011</t>
  </si>
  <si>
    <t>82 FR 20427</t>
  </si>
  <si>
    <t>2017-08905</t>
  </si>
  <si>
    <t>https://www.federalregister.gov/documents/2017/05/01/2017-08905/enforcing-statutory-prohibitions-on-federal-control-of-education</t>
  </si>
  <si>
    <t>https://www.govinfo.gov/content/pkg/FR-2017-05-01/pdf/2017-08905.pdf</t>
  </si>
  <si>
    <t>Enforcing Statutory Prohibitions on Federal Control of Education</t>
  </si>
  <si>
    <t>82 FR 20429</t>
  </si>
  <si>
    <t>2017-08908</t>
  </si>
  <si>
    <t>https://www.federalregister.gov/documents/2017/05/01/2017-08908/review-of-designations-under-the-antiquities-act</t>
  </si>
  <si>
    <t>https://www.govinfo.gov/content/pkg/FR-2017-05-01/pdf/2017-08908.pdf</t>
  </si>
  <si>
    <t>Review of Designations Under the Antiquities Act</t>
  </si>
  <si>
    <t>Revoked by: EO 13990, January 20, 2021</t>
  </si>
  <si>
    <t>82 FR 20539</t>
  </si>
  <si>
    <t>2017-08990</t>
  </si>
  <si>
    <t>https://www.federalregister.gov/documents/2017/05/02/2017-08990/improving-accountability-and-whistleblower-protection-at-the-department-of-veterans-affairs</t>
  </si>
  <si>
    <t>https://www.govinfo.gov/content/pkg/FR-2017-05-02/pdf/2017-08990.pdf</t>
  </si>
  <si>
    <t>Improving Accountability and Whistleblower Protection at the Department of Veterans Affairs</t>
  </si>
  <si>
    <t>82 FR 20811</t>
  </si>
  <si>
    <t>2017-09083</t>
  </si>
  <si>
    <t>https://www.federalregister.gov/documents/2017/05/03/2017-09083/establishment-of-the-american-technology-council</t>
  </si>
  <si>
    <t>https://www.govinfo.gov/content/pkg/FR-2017-05-03/pdf/2017-09083.pdf</t>
  </si>
  <si>
    <t>Establishment of the American Technology Council</t>
  </si>
  <si>
    <t>82 FR 20815</t>
  </si>
  <si>
    <t>2017-09087</t>
  </si>
  <si>
    <t>https://www.federalregister.gov/documents/2017/05/03/2017-09087/implementing-an-america-first-offshore-energy-strategy</t>
  </si>
  <si>
    <t>https://www.govinfo.gov/content/pkg/FR-2017-05-03/pdf/2017-09087.pdf</t>
  </si>
  <si>
    <t>Implementing an America-First Offshore Energy Strategy</t>
  </si>
  <si>
    <t>Revokes: EO 13754, December 9, 2016; Revoked by: EO 13990, January 20, 2021</t>
  </si>
  <si>
    <t>82 FR 20819</t>
  </si>
  <si>
    <t>2017-09156</t>
  </si>
  <si>
    <t>https://www.federalregister.gov/documents/2017/05/04/2017-09156/addressing-trade-agreement-violations-and-abuses</t>
  </si>
  <si>
    <t>https://www.govinfo.gov/content/pkg/FR-2017-05-04/pdf/2017-09156.pdf</t>
  </si>
  <si>
    <t>Addressing Trade Agreement Violations and Abuses</t>
  </si>
  <si>
    <t>82 FR 20821</t>
  </si>
  <si>
    <t>2017-09161</t>
  </si>
  <si>
    <t>https://www.federalregister.gov/documents/2017/05/04/2017-09161/establishment-of-office-of-trade-and-manufacturing-policy</t>
  </si>
  <si>
    <t>https://www.govinfo.gov/content/pkg/FR-2017-05-04/pdf/2017-09161.pdf</t>
  </si>
  <si>
    <t>Establishment of Office of Trade and Manufacturing Policy</t>
  </si>
  <si>
    <t>See: EO 13788, April 18, 2017</t>
  </si>
  <si>
    <t>82 FR 21675</t>
  </si>
  <si>
    <t>2017-09574</t>
  </si>
  <si>
    <t>https://www.federalregister.gov/documents/2017/05/09/2017-09574/promoting-free-speech-and-religious-liberty</t>
  </si>
  <si>
    <t>https://www.govinfo.gov/content/pkg/FR-2017-05-09/pdf/2017-09574.pdf</t>
  </si>
  <si>
    <t>Promoting Free Speech and Religious Liberty</t>
  </si>
  <si>
    <t>82 FR 22389</t>
  </si>
  <si>
    <t>2017-10003</t>
  </si>
  <si>
    <t>https://www.federalregister.gov/documents/2017/05/16/2017-10003/establishment-of-presidential-advisory-commission-on-election-integrity</t>
  </si>
  <si>
    <t>https://www.govinfo.gov/content/pkg/FR-2017-05-16/pdf/2017-10003.pdf</t>
  </si>
  <si>
    <t>Establishment of Presidential Advisory Commission on Election Integrity</t>
  </si>
  <si>
    <t>82 FR 22391</t>
  </si>
  <si>
    <t>2017-10004</t>
  </si>
  <si>
    <t>https://www.federalregister.gov/documents/2017/05/16/2017-10004/strengthening-the-cybersecurity-of-federal-networks-and-critical-infrastructure</t>
  </si>
  <si>
    <t>https://www.govinfo.gov/content/pkg/FR-2017-05-16/pdf/2017-10004.pdf</t>
  </si>
  <si>
    <t>Strengthening the Cybersecurity of Federal Networks and Critical Infrastructure</t>
  </si>
  <si>
    <t>See: EO 13636, February 12, 2013</t>
  </si>
  <si>
    <t>82 FR 28229</t>
  </si>
  <si>
    <t>2017-13012</t>
  </si>
  <si>
    <t>https://www.federalregister.gov/documents/2017/06/20/2017-13012/expanding-apprenticeships-in-america</t>
  </si>
  <si>
    <t>https://www.govinfo.gov/content/pkg/FR-2017-06-20/pdf/2017-13012.pdf</t>
  </si>
  <si>
    <t>Expanding Apprenticeships in America</t>
  </si>
  <si>
    <t>Revoked by: EO 14016, February 17, 2021</t>
  </si>
  <si>
    <t>82 FR 28747</t>
  </si>
  <si>
    <t>2017-13458</t>
  </si>
  <si>
    <t>https://www.federalregister.gov/documents/2017/06/26/2017-13458/amending-executive-order-13597</t>
  </si>
  <si>
    <t>https://www.govinfo.gov/content/pkg/FR-2017-06-26/pdf/2017-13458.pdf</t>
  </si>
  <si>
    <t>Amending Executive Order 13597</t>
  </si>
  <si>
    <t>Amends:  EO 13597, January 19, 2012</t>
  </si>
  <si>
    <t>82 FR 31429</t>
  </si>
  <si>
    <t>2017-14378</t>
  </si>
  <si>
    <t>https://www.federalregister.gov/documents/2017/07/07/2017-14378/reviving-the-national-space-council</t>
  </si>
  <si>
    <t>https://www.govinfo.gov/content/pkg/FR-2017-07-07/pdf/2017-14378.pdf</t>
  </si>
  <si>
    <t>Reviving the National Space Council</t>
  </si>
  <si>
    <t>Supersedes: EO 12675, April 20, 1989 
Revoked by: EO 14056, December 1, 2021</t>
  </si>
  <si>
    <t>82 FR 32611</t>
  </si>
  <si>
    <t>2017-14992</t>
  </si>
  <si>
    <t>https://www.federalregister.gov/documents/2017/07/14/2017-14992/allowing-additional-time-for-recognizing-positive-actions-by-the-government-of-sudan-and-amending</t>
  </si>
  <si>
    <t>https://www.govinfo.gov/content/pkg/FR-2017-07-14/pdf/2017-14992.pdf</t>
  </si>
  <si>
    <t>Allowing Additional Time for Recognizing Positive Actions by the Government of Sudan and Amending Executive Order 13761</t>
  </si>
  <si>
    <t>Amends: EO 13761, January 13, 2017
See: EO 13067, November 3, 1997; EO 13412, October 13, 2006; EO 13761, January 13, 2017; EO 14098, May 4, 2023</t>
  </si>
  <si>
    <t>82 FR 34383</t>
  </si>
  <si>
    <t>2017-15680</t>
  </si>
  <si>
    <t>https://www.federalregister.gov/documents/2017/07/25/2017-15680/establishing-a-presidential-advisory-council-on-infrastructure</t>
  </si>
  <si>
    <t>https://www.govinfo.gov/content/pkg/FR-2017-07-25/pdf/2017-15680.pdf</t>
  </si>
  <si>
    <t>Establishing a Presidential Advisory Council on Infrastructure</t>
  </si>
  <si>
    <t>Revoked by: EO 13811, September 29, 2017</t>
  </si>
  <si>
    <t>82 FR 34597</t>
  </si>
  <si>
    <t>2017-15860</t>
  </si>
  <si>
    <t>https://www.federalregister.gov/documents/2017/07/26/2017-15860/assessing-and-strengthening-the-manufacturing-and-defense-industrial-base-and-supply-chain</t>
  </si>
  <si>
    <t>https://www.govinfo.gov/content/pkg/FR-2017-07-26/pdf/2017-15860.pdf</t>
  </si>
  <si>
    <t>Assessing and Strengthening the Manufacturing and Defense Industrial Base and Supply Chain Resiliency of the United States</t>
  </si>
  <si>
    <t>82 FR 40463</t>
  </si>
  <si>
    <t>2017-18134</t>
  </si>
  <si>
    <t>https://www.federalregister.gov/documents/2017/08/24/2017-18134/establishing-discipline-and-accountability-in-the-environmental-review-and-permitting-process-for</t>
  </si>
  <si>
    <t>https://www.govinfo.gov/content/pkg/FR-2017-08-24/pdf/2017-18134.pdf</t>
  </si>
  <si>
    <t>Establishing Discipline and Accountability in the Environmental Review and Permitting Process for Infrastructure Projects</t>
  </si>
  <si>
    <t>Revokes: EO 13690, January 30, 2015
See: EO 13766, January 24, 2017; EO 13781, March 13, 2017; EO 13817, December 20, 2017; EO 14030, May 20, 2021 
Revoked by: EO 13990, January 20, 2021</t>
  </si>
  <si>
    <t>82 FR 41155</t>
  </si>
  <si>
    <t>2017-18468</t>
  </si>
  <si>
    <t>https://www.federalregister.gov/documents/2017/08/29/2017-18468/imposing-additional-sanctions-with-respect-to-the-situation-in-venezuela</t>
  </si>
  <si>
    <t>https://www.govinfo.gov/content/pkg/FR-2017-08-29/pdf/2017-18468.pdf</t>
  </si>
  <si>
    <t>Imposing Additional Sanctions With Respect to the Situation in Venezuela</t>
  </si>
  <si>
    <t>See: EO 13692, March 8, 2015</t>
  </si>
  <si>
    <t>82 FR 41499</t>
  </si>
  <si>
    <t>2017-18679</t>
  </si>
  <si>
    <t>https://www.federalregister.gov/documents/2017/08/31/2017-18679/restoring-state-tribal-and-local-law-enforcements-access-to-life-saving-equipment-and-resources</t>
  </si>
  <si>
    <t>https://www.govinfo.gov/content/pkg/FR-2017-08-31/pdf/2017-18679.pdf</t>
  </si>
  <si>
    <t>Restoring State, Tribal, and Local Law Enforcement's Access to Life-Saving Equipment and Resources</t>
  </si>
  <si>
    <t>Revokes:  EO 13688, January 16, 2015 
Revoked by: EO 14074, May 25, 2022</t>
  </si>
  <si>
    <t>82 FR 44705</t>
  </si>
  <si>
    <t>2017-20647</t>
  </si>
  <si>
    <t>https://www.federalregister.gov/documents/2017/09/25/2017-20647/imposing-additional-sanctions-with-respect-to-north-korea</t>
  </si>
  <si>
    <t>https://www.govinfo.gov/content/pkg/FR-2017-09-25/pdf/2017-20647.pdf</t>
  </si>
  <si>
    <t>Imposing Additional Sanctions With Respect to North Korea</t>
  </si>
  <si>
    <t>See: EO 13466, June 26, 2008; EO 13551,  August 30, 2010; EO 13687, January 2, 2015; EO 13722, March 15, 2016; EO 13382, June 28, 2005</t>
  </si>
  <si>
    <t>82 FR 46363</t>
  </si>
  <si>
    <t>2017-21555</t>
  </si>
  <si>
    <t>https://www.federalregister.gov/documents/2017/10/04/2017-21555/continuance-of-certain-federal-advisory-committees</t>
  </si>
  <si>
    <t>https://www.govinfo.gov/content/pkg/FR-2017-10-04/pdf/2017-21555.pdf</t>
  </si>
  <si>
    <t>Supersedes: EO 13708, September 30, 2015 Revokes: EO 13805, July 19, 2017</t>
  </si>
  <si>
    <t>82 FR 46367</t>
  </si>
  <si>
    <t>2017-21559</t>
  </si>
  <si>
    <t>https://www.federalregister.gov/documents/2017/10/04/2017-21559/revocation-of-executive-order-creating-labor--management-forums</t>
  </si>
  <si>
    <t>https://www.govinfo.gov/content/pkg/FR-2017-10-04/pdf/2017-21559.pdf</t>
  </si>
  <si>
    <t>Revocation of Executive Order Creating Labor- Management Forums</t>
  </si>
  <si>
    <t>Revokes: EO 13522, December 9, 2009; Executive Order 13708 of September 30, 2015</t>
  </si>
  <si>
    <t>82 FR 48385</t>
  </si>
  <si>
    <t>2017-22677</t>
  </si>
  <si>
    <t>https://www.federalregister.gov/documents/2017/10/17/2017-22677/promoting-healthcare-choice-and-competition-across-the-united-states</t>
  </si>
  <si>
    <t>https://www.govinfo.gov/content/pkg/FR-2017-10-17/pdf/2017-22677.pdf</t>
  </si>
  <si>
    <t>Promoting Healthcare Choice and Competition Across the United States</t>
  </si>
  <si>
    <t>82 FR 49273</t>
  </si>
  <si>
    <t>2017-23270</t>
  </si>
  <si>
    <t>https://www.federalregister.gov/documents/2017/10/24/2017-23270/amending-executive-order-13223</t>
  </si>
  <si>
    <t>https://www.govinfo.gov/content/pkg/FR-2017-10-24/pdf/2017-23270.pdf</t>
  </si>
  <si>
    <t>Amending Executive Order 13223</t>
  </si>
  <si>
    <t>Amends:  EO 13223, September 14, 2001</t>
  </si>
  <si>
    <t>82 FR 50055</t>
  </si>
  <si>
    <t>2017-23630</t>
  </si>
  <si>
    <t>https://www.federalregister.gov/documents/2017/10/27/2017-23630/resuming-the-united-states-refugee-admissions-program-with-enhanced-vetting-capabilities</t>
  </si>
  <si>
    <t>https://www.govinfo.gov/content/pkg/FR-2017-10-27/pdf/2017-23630.pdf</t>
  </si>
  <si>
    <t>Resuming the United States Refugee Admissions Program With Enhanced Vetting Capabilities</t>
  </si>
  <si>
    <t>See: EO 13815, October 24, 2017; Revoked by: EO 14013, February 4, 2021</t>
  </si>
  <si>
    <t>82 FR 58701</t>
  </si>
  <si>
    <t>2017-27034</t>
  </si>
  <si>
    <t>https://www.federalregister.gov/documents/2017/12/13/2017-27034/revising-the-seal-for-the-national-credit-union-administration</t>
  </si>
  <si>
    <t>https://www.govinfo.gov/content/pkg/FR-2017-12-13/pdf/2017-27034.pdf</t>
  </si>
  <si>
    <t>Revising the Seal for the National Credit Union Administration</t>
  </si>
  <si>
    <t>Revokes: EO 11580, January 20, 1971</t>
  </si>
  <si>
    <t>82 FR 60835</t>
  </si>
  <si>
    <t>2017-27899</t>
  </si>
  <si>
    <t>https://www.federalregister.gov/documents/2017/12/26/2017-27899/a-federal-strategy-to-ensure-secure-and-reliable-supplies-of-critical-minerals</t>
  </si>
  <si>
    <t>https://www.govinfo.gov/content/pkg/FR-2017-12-26/pdf/2017-27899.pdf</t>
  </si>
  <si>
    <t>A Federal Strategy To Ensure Secure and Reliable Supplies of Critical Minerals</t>
  </si>
  <si>
    <t>See: EO 13771, January 30, 2017; EO 13783, March 28, 2017; EO 13807, August 15, 2017; EO 12866, September 30, 1993</t>
  </si>
  <si>
    <t>82 FR 60839</t>
  </si>
  <si>
    <t>2017-27925</t>
  </si>
  <si>
    <t>https://www.federalregister.gov/documents/2017/12/26/2017-27925/blocking-the-property-of-persons-involved-in-serious-human-rights-abuse-or-corruption</t>
  </si>
  <si>
    <t>https://www.govinfo.gov/content/pkg/FR-2017-12-26/pdf/2017-27925.pdf</t>
  </si>
  <si>
    <t>Blocking the Property of Persons Involved in Serious Human Rights Abuse or Corruption</t>
  </si>
  <si>
    <t>82 FR 61431</t>
  </si>
  <si>
    <t>2017-28160</t>
  </si>
  <si>
    <t>https://www.federalregister.gov/documents/2017/12/27/2017-28160/adjustments-of-certain-rates-of-pay</t>
  </si>
  <si>
    <t>https://www.govinfo.gov/content/pkg/FR-2017-12-27/pdf/2017-28160.pdf</t>
  </si>
  <si>
    <t>Supersedes: EO 13756, December 27, 2016</t>
  </si>
  <si>
    <t>83 FR 969</t>
  </si>
  <si>
    <t>2018-00240</t>
  </si>
  <si>
    <t>https://www.federalregister.gov/documents/2018/01/08/2018-00240/termination-of-presidential-advisory-commission-on-election-integrity</t>
  </si>
  <si>
    <t>https://www.govinfo.gov/content/pkg/FR-2018-01-08/pdf/2018-00240.pdf</t>
  </si>
  <si>
    <t>Termination of Presidential Advisory Commission on Election Integrity</t>
  </si>
  <si>
    <t>Revokes: EO 13799, May 11, 2017</t>
  </si>
  <si>
    <t>83 FR 1507</t>
  </si>
  <si>
    <t>2018-00553</t>
  </si>
  <si>
    <t>https://www.federalregister.gov/documents/2018/01/11/2018-00553/streamlining-and-expediting-requests-to-locate-broadband-facilities-in-rural-america</t>
  </si>
  <si>
    <t>https://www.govinfo.gov/content/pkg/FR-2018-01-11/pdf/2018-00553.pdf</t>
  </si>
  <si>
    <t>Streamlining and Expediting Requests To Locate Broadband Facilities in Rural America</t>
  </si>
  <si>
    <t>See: EO 13327, February 4, 2004</t>
  </si>
  <si>
    <t>83 FR 1513</t>
  </si>
  <si>
    <t>2018-00630</t>
  </si>
  <si>
    <t>https://www.federalregister.gov/documents/2018/01/12/2018-00630/supporting-our-veterans-during-their-transition-from-uniformed-service-to-civilian-life</t>
  </si>
  <si>
    <t>https://www.govinfo.gov/content/pkg/FR-2018-01-12/pdf/2018-00630.pdf</t>
  </si>
  <si>
    <t>Supporting Our Veterans During Their Transition From Uniformed Service to Civilian Life</t>
  </si>
  <si>
    <t>83 FR 4831</t>
  </si>
  <si>
    <t>2018-02261</t>
  </si>
  <si>
    <t>https://www.federalregister.gov/documents/2018/02/02/2018-02261/protecting-america-through-lawful-detention-of-terrorists</t>
  </si>
  <si>
    <t>https://www.govinfo.gov/content/pkg/FR-2018-02-02/pdf/2018-02261.pdf</t>
  </si>
  <si>
    <t>Protecting America Through Lawful Detention of Terrorists</t>
  </si>
  <si>
    <t>Revokes: EO 13492, January 22, 2009; See: EO 13567, March 7, 2011</t>
  </si>
  <si>
    <t>83 FR 8923</t>
  </si>
  <si>
    <t>2018-04414</t>
  </si>
  <si>
    <t>https://www.federalregister.gov/documents/2018/03/02/2018-04414/presidents-council-on-sports-fitness-and-nutrition</t>
  </si>
  <si>
    <t>https://www.govinfo.gov/content/pkg/FR-2018-03-02/pdf/2018-04414.pdf</t>
  </si>
  <si>
    <t>President's Council on Sports, Fitness, and Nutrition</t>
  </si>
  <si>
    <t xml:space="preserve">Revokes: EO 13545, June 22, 2010; Amends: EO 13265, June 6, 2002 
See: EO 10830, JulyР В Р’В Р вЂ™Р’В Р В РІР‚в„ўР вЂ™Р’В Р В Р’В Р Р†Р вЂљРІвЂћСћР В РІР‚в„ўР вЂ™Р’В Р В Р’В Р вЂ™Р’В Р В Р вЂ Р В РІР‚С™Р Р†РІР‚С›РЎС›Р В Р’В Р Р†Р вЂљРІвЂћСћР В РІР‚в„ўР вЂ™Р’В Р В Р’В Р вЂ™Р’В Р В РІР‚в„ўР вЂ™Р’В Р В Р’В Р вЂ™Р’В Р В Р вЂ Р В РІР‚С™Р вЂ™Р’В Р В Р’В Р вЂ™Р’В Р В РІР‚в„ўР вЂ™Р’В Р В Р’В Р В РІР‚В Р В Р’В Р Р†Р вЂљРЎв„ўР В Р Р‹Р Р†РІР‚С›РЎС›Р В Р’В Р вЂ™Р’В Р В Р’В Р Р†Р вЂљР’В Р В Р’В Р В РІР‚В Р В Р’В Р Р†Р вЂљРЎв„ўР В Р Р‹Р Р†Р вЂљРЎвЂќР В Р’В Р В Р вЂ№Р В Р Р‹Р Р†Р вЂљРЎвЂќР В Р’В Р вЂ™Р’В Р В РІР‚в„ўР вЂ™Р’В Р В Р’В Р Р†Р вЂљРІвЂћСћР В РІР‚в„ўР вЂ™Р’В Р В Р’В Р вЂ™Р’В Р В Р’В Р Р†Р вЂљР’В Р В Р’В Р вЂ™Р’В Р В Р вЂ Р В РІР‚С™Р РЋРІвЂћСћР В Р’В Р В РІР‚В Р В Р вЂ Р В РІР‚С™Р РЋРІР‚С”Р В Р Р‹Р РЋРІР‚С”Р В Р’В Р вЂ™Р’В Р В РІР‚в„ўР вЂ™Р’В Р В Р’В Р В РІР‚В Р В Р’В Р Р†Р вЂљРЎв„ўР В Р вЂ Р Р†Р вЂљРЎвЂєР РЋРЎвЂєР В Р’В Р вЂ™Р’В Р В Р вЂ Р В РІР‚С™Р Р†РІР‚С›РЎС›Р В Р’В Р Р†Р вЂљРІвЂћСћР В РІР‚в„ўР вЂ™Р’В 24, 1959 </t>
  </si>
  <si>
    <t>83 FR 9889</t>
  </si>
  <si>
    <t>2018-04860</t>
  </si>
  <si>
    <t>https://www.federalregister.gov/documents/2018/03/08/2018-04860/2018-amendments-to-the-manual-for-courts-martial-united-states</t>
  </si>
  <si>
    <t>https://www.govinfo.gov/content/pkg/FR-2018-03-08/pdf/2018-04860.pdf</t>
  </si>
  <si>
    <t>2018 Amendments to the Manual for Courts-Martial, United States</t>
  </si>
  <si>
    <t>83 FR 10771</t>
  </si>
  <si>
    <t>2018-05113</t>
  </si>
  <si>
    <t>https://www.federalregister.gov/documents/2018/03/12/2018-05113/federal-interagency-council-on-crime-prevention-and-improving-reentry</t>
  </si>
  <si>
    <t>https://www.govinfo.gov/content/pkg/FR-2018-03-12/pdf/2018-05113.pdf</t>
  </si>
  <si>
    <t>Federal Interagency Council on Crime Prevention and Improving Reentry</t>
  </si>
  <si>
    <t>83 FR 12469</t>
  </si>
  <si>
    <t>2018-05916</t>
  </si>
  <si>
    <t>https://www.federalregister.gov/documents/2018/03/21/2018-05916/taking-additional-steps-to-address-the-situation-in-venezuela</t>
  </si>
  <si>
    <t>https://www.govinfo.gov/content/pkg/FR-2018-03-21/pdf/2018-05916.pdf</t>
  </si>
  <si>
    <t>Taking Additional Steps to Address the Situation in Venezuela</t>
  </si>
  <si>
    <t>See: EO 13692, March 8, 2015; EO 13808, August 24, 2017</t>
  </si>
  <si>
    <t>83 FR 15941</t>
  </si>
  <si>
    <t>2018-07874</t>
  </si>
  <si>
    <t>https://www.federalregister.gov/documents/2018/04/13/2018-07874/reducing-poverty-in-america-by-promoting-opportunity-and-economic-mobility</t>
  </si>
  <si>
    <t>https://www.govinfo.gov/content/pkg/FR-2018-04-13/pdf/2018-07874.pdf</t>
  </si>
  <si>
    <t>Reducing Poverty in America by Promoting Opportunity and Economic Mobility</t>
  </si>
  <si>
    <t>83 FR 17281</t>
  </si>
  <si>
    <t>2018-08272</t>
  </si>
  <si>
    <t>https://www.federalregister.gov/documents/2018/04/18/2018-08272/task-force-on-the-united-states-postal-system</t>
  </si>
  <si>
    <t>https://www.govinfo.gov/content/pkg/FR-2018-04-18/pdf/2018-08272.pdf</t>
  </si>
  <si>
    <t>Task Force on the United States Postal System</t>
  </si>
  <si>
    <t>See: EO 13781, March 13, 2017</t>
  </si>
  <si>
    <t>83 FR 18191</t>
  </si>
  <si>
    <t>2018-08883</t>
  </si>
  <si>
    <t>https://www.federalregister.gov/documents/2018/04/25/2018-08883/delegation-of-authority-to-approve-certain-military-decorations</t>
  </si>
  <si>
    <t>https://www.govinfo.gov/content/pkg/FR-2018-04-25/pdf/2018-08883.pdf</t>
  </si>
  <si>
    <t>Delegation of Authority To Approve Certain Military Decorations</t>
  </si>
  <si>
    <t>Supersedes: 4601, March 1, 1927; EO 9260, October 29, 1942 
See: Proclamation 2714, December 31, 1946
Amended by: EO 14085, October 3, 2022</t>
  </si>
  <si>
    <t>83 FR 20715</t>
  </si>
  <si>
    <t>2018-09895</t>
  </si>
  <si>
    <t>https://www.federalregister.gov/documents/2018/05/08/2018-09895/establishment-of-a-white-house-faith-and-opportunity-initiative</t>
  </si>
  <si>
    <t>https://www.govinfo.gov/content/pkg/FR-2018-05-08/pdf/2018-09895.pdf</t>
  </si>
  <si>
    <t>Establishment of a White House Faith and Opportunity Initiative</t>
  </si>
  <si>
    <t>See: EO 13798, May 4, 2017 
Amends: EO 13198, January 29, 2001, EO 13280, December 12, 2002; EO 13342, June 1, 2004; EO 13397, March 7, 2006; EO 13359, November 17, 2010 
Revokes: EO 13199, January 29, 2001; EO 13498, February 5, 2009 
Revoked by: EO 14015, February 14, 2021</t>
  </si>
  <si>
    <t>83 FR 22343</t>
  </si>
  <si>
    <t>2018-10403</t>
  </si>
  <si>
    <t>https://www.federalregister.gov/documents/2018/05/14/2018-10403/enhancing-noncompetitive-civil-service-appointments-of-military-spouses</t>
  </si>
  <si>
    <t>https://www.govinfo.gov/content/pkg/FR-2018-05-14/pdf/2018-10403.pdf</t>
  </si>
  <si>
    <t>Enhancing Noncompetitive Civil Service Appointments of Military Spouses</t>
  </si>
  <si>
    <t>See: EO 14100, June 9, 2023</t>
  </si>
  <si>
    <t>83 FR 23345</t>
  </si>
  <si>
    <t>2018-10855</t>
  </si>
  <si>
    <t>https://www.federalregister.gov/documents/2018/05/18/2018-10855/enhancing-the-effectiveness-of-agency-chief-information-officers</t>
  </si>
  <si>
    <t>https://www.govinfo.gov/content/pkg/FR-2018-05-18/pdf/2018-10855.pdf</t>
  </si>
  <si>
    <t>Enhancing the Effectiveness of Agency Chief Information Officers</t>
  </si>
  <si>
    <t>See: EO 13781, March 13, 2017; EO 13800, May 11, 2017</t>
  </si>
  <si>
    <t>83 FR 23771</t>
  </si>
  <si>
    <t>2018-11101</t>
  </si>
  <si>
    <t>https://www.federalregister.gov/documents/2018/05/22/2018-11101/efficient-federal-operations</t>
  </si>
  <si>
    <t>https://www.govinfo.gov/content/pkg/FR-2018-05-22/pdf/2018-11101.pdf</t>
  </si>
  <si>
    <t>Efficient Federal Operations</t>
  </si>
  <si>
    <t>Revokes:  EO 13693, March 19, 2015 
Revoked in part by: EO 13990, January 20, 2021 
Revoked by: EO 14057, December 8, 2021</t>
  </si>
  <si>
    <t>83 FR 24001</t>
  </si>
  <si>
    <t>2018-11335</t>
  </si>
  <si>
    <t>https://www.federalregister.gov/documents/2018/05/24/2018-11335/prohibiting-certain-additional-transactions-with-respect-to-venezuela</t>
  </si>
  <si>
    <t>https://www.govinfo.gov/content/pkg/FR-2018-05-24/pdf/2018-11335.pdf</t>
  </si>
  <si>
    <t>Prohibiting Certain Additional Transactions With Respect to Venezuela</t>
  </si>
  <si>
    <t>See: EO 13692, March 8, 2015; EO 13808, August 24, 2017; EO 13827, March 19, 2018</t>
  </si>
  <si>
    <t>83 FR 25329</t>
  </si>
  <si>
    <t>2018-11913</t>
  </si>
  <si>
    <t>https://www.federalregister.gov/documents/2018/06/01/2018-11913/developing-efficient-effective-and-cost--reducing-approaches-to-federal-sector-collective-bargaining</t>
  </si>
  <si>
    <t>https://www.govinfo.gov/content/pkg/FR-2018-06-01/pdf/2018-11913.pdf</t>
  </si>
  <si>
    <t>Developing Efficient, Effective, and Cost- Reducing Approaches To Federal Sector Collective Bargaining</t>
  </si>
  <si>
    <t>See: EO 12871, October 1, 1993; EO 13522, December 9, 2009; Revoked by: EO 14003 of January 22, 2021</t>
  </si>
  <si>
    <t>83 FR 25335</t>
  </si>
  <si>
    <t>2018-11916</t>
  </si>
  <si>
    <t>https://www.federalregister.gov/documents/2018/06/01/2018-11916/ensuring-transparency-accountability-and-efficiency-in-taxpayer-funded-union-time-use</t>
  </si>
  <si>
    <t>https://www.govinfo.gov/content/pkg/FR-2018-06-01/pdf/2018-11916.pdf</t>
  </si>
  <si>
    <t>Ensuring Transparency, Accountability, and Efficiency in Taxpayer-Funded Union Time Use</t>
  </si>
  <si>
    <t>See: EO 13836, May 25, 2018; Revoked by: EO 14003 of January 22, 2021</t>
  </si>
  <si>
    <t>83 FR 25341</t>
  </si>
  <si>
    <t>2018-11936</t>
  </si>
  <si>
    <t>https://www.federalregister.gov/documents/2018/06/01/2018-11936/exemption-from-executive-order-13658-for-recreational-services-on-federal-lands</t>
  </si>
  <si>
    <t>https://www.govinfo.gov/content/pkg/FR-2018-06-01/pdf/2018-11936.pdf</t>
  </si>
  <si>
    <t>Exemption From Executive Order 13658 for Recreational Services on Federal Lands</t>
  </si>
  <si>
    <t>Amends: EO 13658, February 12, 2014; Revoked by: EO 14026, April 27, 2021</t>
  </si>
  <si>
    <t>83 FR 25343</t>
  </si>
  <si>
    <t>2018-11939</t>
  </si>
  <si>
    <t>https://www.federalregister.gov/documents/2018/06/01/2018-11939/promoting-accountability-and-streamlining-removal-procedures-consistent-with-merit-system-principles</t>
  </si>
  <si>
    <t>https://www.govinfo.gov/content/pkg/FR-2018-06-01/pdf/2018-11939.pdf</t>
  </si>
  <si>
    <t>Promoting Accountability and Streamlining Removal Procedures Consistent With Merit System Principles</t>
  </si>
  <si>
    <t>Revoked by: EO 14003 of January 22, 2021</t>
  </si>
  <si>
    <t>83 FR 29431</t>
  </si>
  <si>
    <t>2018-13640</t>
  </si>
  <si>
    <t>https://www.federalregister.gov/documents/2018/06/22/2018-13640/ocean-policy-to-advance-the-economic-security-and-environmental-interests-of-the-united-states</t>
  </si>
  <si>
    <t>https://www.govinfo.gov/content/pkg/FR-2018-06-22/pdf/2018-13640.pdf</t>
  </si>
  <si>
    <t>Ocean Policy To Advance the Economic, Security, and Environmental Interests of the United States</t>
  </si>
  <si>
    <t>83 FR 29435</t>
  </si>
  <si>
    <t>2018-13696</t>
  </si>
  <si>
    <t>https://www.federalregister.gov/documents/2018/06/25/2018-13696/affording-congress-an-opportunity-to-address-family-separation</t>
  </si>
  <si>
    <t>https://www.govinfo.gov/content/pkg/FR-2018-06-25/pdf/2018-13696.pdf</t>
  </si>
  <si>
    <t>Affording Congress an Opportunity To Address Family Separation</t>
  </si>
  <si>
    <t>Revoked by: EO 14011, February 2, 2021</t>
  </si>
  <si>
    <t>83 FR 32753</t>
  </si>
  <si>
    <t>2018-15195</t>
  </si>
  <si>
    <t>https://www.federalregister.gov/documents/2018/07/13/2018-15195/establishing-an-exception-to-competitive-examining-rules-for-appointment-to-certain-positions-in-the</t>
  </si>
  <si>
    <t>https://www.govinfo.gov/content/pkg/FR-2018-07-13/pdf/2018-15195.pdf</t>
  </si>
  <si>
    <t>Establishing an Exception to Competitive Examining Rules for Appointment to Certain Positions in the United States Marshals Service, Department of Justice</t>
  </si>
  <si>
    <t>83 FR 32755</t>
  </si>
  <si>
    <t>2018-15202</t>
  </si>
  <si>
    <t>https://www.federalregister.gov/documents/2018/07/13/2018-15202/excepting-administrative-law-judges-from-the-competitive-service</t>
  </si>
  <si>
    <t>https://www.govinfo.gov/content/pkg/FR-2018-07-13/pdf/2018-15202.pdf</t>
  </si>
  <si>
    <t>Excepting Administrative Law Judges From the Competitive Service</t>
  </si>
  <si>
    <t>83 FR 33115</t>
  </si>
  <si>
    <t>2018-15299</t>
  </si>
  <si>
    <t>https://www.federalregister.gov/documents/2018/07/16/2018-15299/establishment-of-the-task-force-on-market-integrity-and-consumer-fraud</t>
  </si>
  <si>
    <t>https://www.govinfo.gov/content/pkg/FR-2018-07-16/pdf/2018-15299.pdf</t>
  </si>
  <si>
    <t>Establishment of the Task Force on Market Integrity and Consumer Fraud</t>
  </si>
  <si>
    <t>Revokes: EO 13519, November 17, 2009</t>
  </si>
  <si>
    <t>83 FR 35099</t>
  </si>
  <si>
    <t>2018-15955</t>
  </si>
  <si>
    <t>https://www.federalregister.gov/documents/2018/07/24/2018-15955/establishing-the-presidents-national-council-for-the-american-worker</t>
  </si>
  <si>
    <t>https://www.govinfo.gov/content/pkg/FR-2018-07-24/pdf/2018-15955.pdf</t>
  </si>
  <si>
    <t>Establishing the President's National Council for the American Worker</t>
  </si>
  <si>
    <t>See: EO 13801, June 15, 2017; Revoked by: EO 14025 of April 26, 2021</t>
  </si>
  <si>
    <t>83 FR 38939</t>
  </si>
  <si>
    <t>2018-17068</t>
  </si>
  <si>
    <t>https://www.federalregister.gov/documents/2018/08/07/2018-17068/reimposing-certain-sanctions-with-respect-to-iran</t>
  </si>
  <si>
    <t>https://www.govinfo.gov/content/pkg/FR-2018-08-07/pdf/2018-17068.pdf</t>
  </si>
  <si>
    <t>Reimposing Certain Sanctions With Respect to Iran</t>
  </si>
  <si>
    <t>See: EO 13257, March 15, 1995; EO 12959, May 6, 1995; EO 13059, August 19, 1997; EO 13599, February 5, 2012; Supersedes: EO 13628, October 9, 2012; EO 13716, January 16, 2016</t>
  </si>
  <si>
    <t>83 FR 45321</t>
  </si>
  <si>
    <t>2018-19514</t>
  </si>
  <si>
    <t>https://www.federalregister.gov/documents/2018/09/06/2018-19514/strengthening-retirement-security-in-america</t>
  </si>
  <si>
    <t>https://www.govinfo.gov/content/pkg/FR-2018-09-06/pdf/2018-19514.pdf</t>
  </si>
  <si>
    <t>Strengthening Retirement Security in America</t>
  </si>
  <si>
    <t>83 FR 46843</t>
  </si>
  <si>
    <t>2018-20203</t>
  </si>
  <si>
    <t>https://www.federalregister.gov/documents/2018/09/14/2018-20203/imposing-certain-sanctions-in-the-event-of-foreign-interference-in-a-united-states-election</t>
  </si>
  <si>
    <t>https://www.govinfo.gov/content/pkg/FR-2018-09-14/pdf/2018-20203.pdf</t>
  </si>
  <si>
    <t>Imposing Certain Sanctions in the Event of Foreign Interference in a United States Election</t>
  </si>
  <si>
    <t>See: EO 13694, April 1, 2015; EO 13757, December 28, 2016, Proc. 8693, July 24, 2011</t>
  </si>
  <si>
    <t>83 FR 48195</t>
  </si>
  <si>
    <t>2018-20816</t>
  </si>
  <si>
    <t>https://www.federalregister.gov/documents/2018/09/21/2018-20816/authorizing-the-implementation-of-certain-sanctions-set-forth-in-the-countering-americas-adversaries</t>
  </si>
  <si>
    <t>https://www.govinfo.gov/content/pkg/FR-2018-09-21/pdf/2018-20816.pdf</t>
  </si>
  <si>
    <t>Authorizing the Implementation of Certain Sanctions Set Forth in the Countering America's Adversaries Through Sanctions Act</t>
  </si>
  <si>
    <t>See: EO 13660, March 6, 2014; EO 13694, April 1, 2015; EO 13757, December 28, 2016</t>
  </si>
  <si>
    <t>83 FR 55243</t>
  </si>
  <si>
    <t>2018-24254</t>
  </si>
  <si>
    <t>https://www.federalregister.gov/documents/2018/11/02/2018-24254/blocking-property-of-additional-persons-contributing-to-the-situation-in-venezuela</t>
  </si>
  <si>
    <t>https://www.govinfo.gov/content/pkg/FR-2018-11-02/pdf/2018-24254.pdf</t>
  </si>
  <si>
    <t>Blocking Property of Additional Persons Contributing to the Situation in Venezuela</t>
  </si>
  <si>
    <t>See: EO 13692 of March 8, 2015; EO 13808, August 34, 2017; EO 13827, March 19, 2018; EO 13835, May 21, 2018 and Proc. 8693, July 24, 2011</t>
  </si>
  <si>
    <t>83 FR 61505</t>
  </si>
  <si>
    <t>2018-26156</t>
  </si>
  <si>
    <t>https://www.federalregister.gov/documents/2018/11/29/2018-26156/blocking-property-of-certain-persons-contributing-to-the-situation-in-nicaragua</t>
  </si>
  <si>
    <t>https://www.govinfo.gov/content/pkg/FR-2018-11-29/pdf/2018-26156.pdf</t>
  </si>
  <si>
    <t>Blocking Property of Certain Persons Contributing to the Situation in Nicaragua</t>
  </si>
  <si>
    <t>See: Proclamation 8693, July 24, 2011
Amended by: EO 14088 of October 24, 2022</t>
  </si>
  <si>
    <t>83 FR 62687</t>
  </si>
  <si>
    <t>2018-26552</t>
  </si>
  <si>
    <t>https://www.federalregister.gov/documents/2018/12/04/2018-26552/providing-for-the-closing-of-executive-departments-and-agencies-of-the-federal-government-on</t>
  </si>
  <si>
    <t>https://www.govinfo.gov/content/pkg/FR-2018-12-04/pdf/2018-26552.pdf</t>
  </si>
  <si>
    <t>Providing for the Closing of Executive Departments and Agencies of the Federal Government on December 5, 2018</t>
  </si>
  <si>
    <t>83 FR 65071</t>
  </si>
  <si>
    <t>2018-27515</t>
  </si>
  <si>
    <t>https://www.federalregister.gov/documents/2018/12/18/2018-27515/establishing-the-white-house-opportunity-and-revitalization-council</t>
  </si>
  <si>
    <t>https://www.govinfo.gov/content/pkg/FR-2018-12-18/pdf/2018-27515.pdf</t>
  </si>
  <si>
    <t>Establishing the White House Opportunity and Revitalization Council</t>
  </si>
  <si>
    <t>Amends: EO 13845, July 19, 2018
Revoked by: EO 14091, February 16, 2023</t>
  </si>
  <si>
    <t>83 FR 65481</t>
  </si>
  <si>
    <t>2018-27945</t>
  </si>
  <si>
    <t>https://www.federalregister.gov/documents/2018/12/21/2018-27945/providing-for-the-closing-of-executive-departments-and-agencies-of-the-federal-government-on</t>
  </si>
  <si>
    <t>https://www.govinfo.gov/content/pkg/FR-2018-12-21/pdf/2018-27945.pdf</t>
  </si>
  <si>
    <t>Providing for the Closing of Executive Departments and Agencies of the Federal Government on December 24, 2018</t>
  </si>
  <si>
    <t>84 FR 45</t>
  </si>
  <si>
    <t>2019-00014</t>
  </si>
  <si>
    <t>https://www.federalregister.gov/documents/2019/01/07/2019-00014/promoting-active-management-of-americas-forests-rangelands-and-other-federal-lands-to-improve</t>
  </si>
  <si>
    <t>https://www.govinfo.gov/content/pkg/FR-2019-01-07/pdf/2019-00014.pdf</t>
  </si>
  <si>
    <t>Promoting Active Management of America's Forests, Rangelands, and Other Federal Lands To Improve Conditions and Reduce Wildfire Risk</t>
  </si>
  <si>
    <t>84 FR 65</t>
  </si>
  <si>
    <t>2019-00048</t>
  </si>
  <si>
    <t>https://www.federalregister.gov/documents/2019/01/08/2019-00048/adjustments-of-certain-rates-of-pay</t>
  </si>
  <si>
    <t>https://www.govinfo.gov/content/pkg/FR-2019-01-08/pdf/2019-00048.pdf</t>
  </si>
  <si>
    <t>Supersedes: EO 13819, December 22, 2017</t>
  </si>
  <si>
    <t>84 FR 509</t>
  </si>
  <si>
    <t>2019-00615</t>
  </si>
  <si>
    <t>https://www.federalregister.gov/documents/2019/01/30/2019-00615/taking-additional-steps-to-address-the-national-emergency-with-respect-to-venezuela</t>
  </si>
  <si>
    <t>https://www.govinfo.gov/content/pkg/FR-2019-01-30/pdf/2019-00615.pdf</t>
  </si>
  <si>
    <t>Taking Additional Steps To Address the National Emergency With Respect to Venezuela</t>
  </si>
  <si>
    <t>See: EO 13692, March 8, 2015; EO 13808, August 24, 2017; EO 13827, March 19, 2018; EO 13835, May 21, 2018; EO 13850, November 1, 2018</t>
  </si>
  <si>
    <t>84 FR 2039</t>
  </si>
  <si>
    <t>2019-01426</t>
  </si>
  <si>
    <t>https://www.federalregister.gov/documents/2019/02/05/2019-01426/strengthening-buy-american-preferences-for-infrastructure-projects</t>
  </si>
  <si>
    <t>https://www.govinfo.gov/content/pkg/FR-2019-02-05/pdf/2019-01426.pdf</t>
  </si>
  <si>
    <t>Strengthening Buy-American Preferences for Infrastructure Projects</t>
  </si>
  <si>
    <t>Amends: EO 13788, April 18, 2017; Partially revoked by: EO 14006, January 25, 2021</t>
  </si>
  <si>
    <t>84 FR 3967</t>
  </si>
  <si>
    <t>2019-02544</t>
  </si>
  <si>
    <t>https://www.federalregister.gov/documents/2019/02/14/2019-02544/maintaining-american-leadership-in-artificial-intelligence</t>
  </si>
  <si>
    <t>https://www.govinfo.gov/content/pkg/FR-2019-02-14/pdf/2019-02544.pdf</t>
  </si>
  <si>
    <t>Maintaining American Leadership in Artificial Intelligence</t>
  </si>
  <si>
    <t>See: EO 13719, February 9, 2016</t>
  </si>
  <si>
    <t>84 FR 8407</t>
  </si>
  <si>
    <t>2019-04298</t>
  </si>
  <si>
    <t>https://www.federalregister.gov/documents/2019/03/07/2019-04298/supporting-the-transition-of-active-duty-service-members-and-military-veterans-into-the-merchant</t>
  </si>
  <si>
    <t>https://www.govinfo.gov/content/pkg/FR-2019-03-07/pdf/2019-04298.pdf</t>
  </si>
  <si>
    <t>Supporting the Transition of Active Duty Service Members and Military Veterans Into the Merchant Marine</t>
  </si>
  <si>
    <t>84 FR 8585</t>
  </si>
  <si>
    <t>2019-04437</t>
  </si>
  <si>
    <t>https://www.federalregister.gov/documents/2019/03/08/2019-04437/national-roadmap-to-empower-veterans-and-end-suicide</t>
  </si>
  <si>
    <t>https://www.govinfo.gov/content/pkg/FR-2019-03-08/pdf/2019-04437.pdf</t>
  </si>
  <si>
    <t>National Roadmap to Empower Veterans and End Suicide</t>
  </si>
  <si>
    <t>84 FR 8789</t>
  </si>
  <si>
    <t>2019-04595</t>
  </si>
  <si>
    <t>https://www.federalregister.gov/documents/2019/03/11/2019-04595/revocation-of-reporting-requirement</t>
  </si>
  <si>
    <t>https://www.govinfo.gov/content/pkg/FR-2019-03-11/pdf/2019-04595.pdf</t>
  </si>
  <si>
    <t>Revocation of Reporting Requirement</t>
  </si>
  <si>
    <t>Amends: EO 13732, July 1, 2016</t>
  </si>
  <si>
    <t>84 FR 10255</t>
  </si>
  <si>
    <t>2019-05370</t>
  </si>
  <si>
    <t>https://www.federalregister.gov/documents/2019/03/19/2019-05370/taking-additional-steps-to-address-the-national-emergency-with-respect-to-significant-transnational</t>
  </si>
  <si>
    <t>https://www.govinfo.gov/content/pkg/FR-2019-03-19/pdf/2019-05370.pdf</t>
  </si>
  <si>
    <t>Taking Additional Steps to Address the National Emergency With Respect to Significant Transnational Criminal Organizations</t>
  </si>
  <si>
    <t>Amends: EO 13581, July 24, 2011</t>
  </si>
  <si>
    <t>84 FR 11401</t>
  </si>
  <si>
    <t>2019-05934</t>
  </si>
  <si>
    <t>https://www.federalregister.gov/documents/2019/03/26/2019-05934/improving-free-inquiry-transparency-and-accountability-at-colleges-and-universities</t>
  </si>
  <si>
    <t>https://www.govinfo.gov/content/pkg/FR-2019-03-26/pdf/2019-05934.pdf</t>
  </si>
  <si>
    <t>Improving Free Inquiry, Transparency, and Accountability at Colleges and Universities</t>
  </si>
  <si>
    <t>See: EO 13845, July 19, 2018</t>
  </si>
  <si>
    <t>84 FR 12041</t>
  </si>
  <si>
    <t>2019-06325</t>
  </si>
  <si>
    <t>https://www.federalregister.gov/documents/2019/03/29/2019-06325/coordinating-national-resilience-to-electromagnetic-pulses</t>
  </si>
  <si>
    <t>https://www.govinfo.gov/content/pkg/FR-2019-03-29/pdf/2019-06325.pdf</t>
  </si>
  <si>
    <t>Coordinating National Resilience to Electromagnetic Pulses</t>
  </si>
  <si>
    <t>See: EO 13800, May 11, 2017</t>
  </si>
  <si>
    <t>84 FR 12853</t>
  </si>
  <si>
    <t>2019-06548</t>
  </si>
  <si>
    <t>https://www.federalregister.gov/documents/2019/04/02/2019-06548/adjustments-of-certain-rates-of-pay</t>
  </si>
  <si>
    <t>https://www.govinfo.gov/content/pkg/FR-2019-04-02/pdf/2019-06548.pdf</t>
  </si>
  <si>
    <t>Supersedes: EO 13856, December 28, 2018</t>
  </si>
  <si>
    <t>84 FR 15491</t>
  </si>
  <si>
    <t>2019-07645</t>
  </si>
  <si>
    <t>https://www.federalregister.gov/documents/2019/04/15/2019-07645/issuance-of-permits-with-respect-to-facilities-and-land-transportation-crossings-at-the</t>
  </si>
  <si>
    <t>https://www.govinfo.gov/content/pkg/FR-2019-04-15/pdf/2019-07645.pdf</t>
  </si>
  <si>
    <t>Issuance of Permits With Respect to Facilities and Land Transportation Crossings at the International Boundaries of the United States</t>
  </si>
  <si>
    <t>See: EO 10485, September 3, 1953; EO 10530 of May 10, 1954 Revokes: EO 11423 of August 16, 1968; EO 13337, April 30, 2004</t>
  </si>
  <si>
    <t>84 FR 15495</t>
  </si>
  <si>
    <t>2019-07656</t>
  </si>
  <si>
    <t>https://www.federalregister.gov/documents/2019/04/15/2019-07656/promoting-energy-infrastructure-and-economic-growth</t>
  </si>
  <si>
    <t>https://www.govinfo.gov/content/pkg/FR-2019-04-15/pdf/2019-07656.pdf</t>
  </si>
  <si>
    <t>Promoting Energy Infrastructure and Economic Growth</t>
  </si>
  <si>
    <t>84 FR 18125</t>
  </si>
  <si>
    <t>2019-08797</t>
  </si>
  <si>
    <t>https://www.federalregister.gov/documents/2019/04/29/2019-08797/transferring-responsibility-for-background-investigations-to-the-department-of-defense</t>
  </si>
  <si>
    <t>https://www.govinfo.gov/content/pkg/FR-2019-04-29/pdf/2019-08797.pdf</t>
  </si>
  <si>
    <t>Transferring Responsibility for Background Investigations to the Department of Defense</t>
  </si>
  <si>
    <t>Amends: EO 13467, June 30, 2008; EO 12171, November 18, 1979 See: EO 13488, January 16, 2009</t>
  </si>
  <si>
    <t>84 FR 20523</t>
  </si>
  <si>
    <t>2019-09750</t>
  </si>
  <si>
    <t>https://www.federalregister.gov/documents/2019/05/09/2019-09750/americas-cybersecurity-workforce</t>
  </si>
  <si>
    <t>https://www.govinfo.gov/content/pkg/FR-2019-05-09/pdf/2019-09750.pdf</t>
  </si>
  <si>
    <t>America's Cybersecurity Workforce</t>
  </si>
  <si>
    <t>See:  EO 13800, May 11, 2017;  EO 10694, January 10, 1957</t>
  </si>
  <si>
    <t>84 FR 20761</t>
  </si>
  <si>
    <t>2019-09877</t>
  </si>
  <si>
    <t>https://www.federalregister.gov/documents/2019/05/10/2019-09877/imposing-sanctions-with-respect-to-the-iron-steel-aluminum-and-copper-sectors-of-iran</t>
  </si>
  <si>
    <t>https://www.govinfo.gov/content/pkg/FR-2019-05-10/pdf/2019-09877.pdf</t>
  </si>
  <si>
    <t>Imposing Sanctions With Respect to the Iron, Steel, Aluminum, and Copper Sectors of Iran</t>
  </si>
  <si>
    <t>84 FR 22321</t>
  </si>
  <si>
    <t>2019-10398</t>
  </si>
  <si>
    <t>https://www.federalregister.gov/documents/2019/05/16/2019-10398/economic-empowerment-of-asian-americans-and-pacific-islanders</t>
  </si>
  <si>
    <t>https://www.govinfo.gov/content/pkg/FR-2019-05-16/pdf/2019-10398.pdf</t>
  </si>
  <si>
    <t>Economic Empowerment of Asian Americans and Pacific Islanders</t>
  </si>
  <si>
    <t>Supersedes: EO 13811, September 29, 2017; EO 13515 of October 14, 2009 
Superseded by: EO 14031, May 28, 2021</t>
  </si>
  <si>
    <t>84 FR 22689</t>
  </si>
  <si>
    <t>2019-10538</t>
  </si>
  <si>
    <t>https://www.federalregister.gov/documents/2019/05/17/2019-10538/securing-the-information-and-communications-technology-and-services-supply-chain</t>
  </si>
  <si>
    <t>https://www.govinfo.gov/content/pkg/FR-2019-05-17/pdf/2019-10538.pdf</t>
  </si>
  <si>
    <t>Securing the Information and Communications Technology and Services Supply Chain</t>
  </si>
  <si>
    <t>84 FR 27899</t>
  </si>
  <si>
    <t>2019-12802</t>
  </si>
  <si>
    <t>https://www.federalregister.gov/documents/2019/06/14/2019-12802/modernizing-the-regulatory-framework-for-agricultural-biotechnology-products</t>
  </si>
  <si>
    <t>https://www.govinfo.gov/content/pkg/FR-2019-06-14/pdf/2019-12802.pdf</t>
  </si>
  <si>
    <t>Modernizing the Regulatory Framework for Agricultural Biotechnology Products</t>
  </si>
  <si>
    <t>84 FR 28711</t>
  </si>
  <si>
    <t>2019-13175</t>
  </si>
  <si>
    <t>https://www.federalregister.gov/documents/2019/06/19/2019-13175/evaluating-and-improving-the-utility-of-federal-advisory-committees</t>
  </si>
  <si>
    <t>https://www.govinfo.gov/content/pkg/FR-2019-06-19/pdf/2019-13175.pdf</t>
  </si>
  <si>
    <t>Evaluating and Improving the Utility of Federal Advisory Committees</t>
  </si>
  <si>
    <t>Revoked by: EO 13992, January 20, 2021</t>
  </si>
  <si>
    <t>84 FR 30573</t>
  </si>
  <si>
    <t>2019-13793</t>
  </si>
  <si>
    <t>https://www.federalregister.gov/documents/2019/06/26/2019-13793/imposing-sanctions-with-respect-to-iran</t>
  </si>
  <si>
    <t>https://www.govinfo.gov/content/pkg/FR-2019-06-26/pdf/2019-13793.pdf</t>
  </si>
  <si>
    <t>Imposing Sanctions With Respect to Iran</t>
  </si>
  <si>
    <t>84 FR 30849</t>
  </si>
  <si>
    <t>2019-13945</t>
  </si>
  <si>
    <t>https://www.federalregister.gov/documents/2019/06/27/2019-13945/improving-price-and-quality-transparency-in-american-healthcare-to-put-patients-first</t>
  </si>
  <si>
    <t>https://www.govinfo.gov/content/pkg/FR-2019-06-27/pdf/2019-13945.pdf</t>
  </si>
  <si>
    <t>Improving Price and Quality Transparency in American Healthcare To Put Patients First</t>
  </si>
  <si>
    <t>See: EO 13813, October 12, 2017</t>
  </si>
  <si>
    <t>84 FR 30853</t>
  </si>
  <si>
    <t>2019-14016</t>
  </si>
  <si>
    <t>https://www.federalregister.gov/documents/2019/06/28/2019-14016/establishing-a-white-house-council-on-eliminating-regulatory-barriers-to-affordable-housing</t>
  </si>
  <si>
    <t>https://www.govinfo.gov/content/pkg/FR-2019-06-28/pdf/2019-14016.pdf</t>
  </si>
  <si>
    <t>Establishing a White House Council on Eliminating Regulatory Barriers to Affordable Housing</t>
  </si>
  <si>
    <t>84 FR 33817</t>
  </si>
  <si>
    <t>2019-15159</t>
  </si>
  <si>
    <t>https://www.federalregister.gov/documents/2019/07/15/2019-15159/advancing-american-kidney-health</t>
  </si>
  <si>
    <t>https://www.govinfo.gov/content/pkg/FR-2019-07-15/pdf/2019-15159.pdf</t>
  </si>
  <si>
    <t>Advancing American Kidney Health</t>
  </si>
  <si>
    <t>84 FR 33821</t>
  </si>
  <si>
    <t>2019-15222</t>
  </si>
  <si>
    <t>https://www.federalregister.gov/documents/2019/07/16/2019-15222/collecting-information-about-citizenship-status-in-connection-with-the-decennial-census</t>
  </si>
  <si>
    <t>https://www.govinfo.gov/content/pkg/FR-2019-07-16/pdf/2019-15222.pdf</t>
  </si>
  <si>
    <t>Collecting Information About Citizenship Status in Connection With the Decennial Census</t>
  </si>
  <si>
    <t>Revoked by: EO 13986, January 20, 2021</t>
  </si>
  <si>
    <t>84 FR 34257</t>
  </si>
  <si>
    <t>2019-15449</t>
  </si>
  <si>
    <t>https://www.federalregister.gov/documents/2019/07/18/2019-15449/maximizing-use-of-american-made-goods-products-and-materials</t>
  </si>
  <si>
    <t>https://www.govinfo.gov/content/pkg/FR-2019-07-18/pdf/2019-15449.pdf</t>
  </si>
  <si>
    <t>Maximizing Use of American-Made Goods, Products, and Materials</t>
  </si>
  <si>
    <t>See: EO 13788, April 18, 2017; EO 13858, January 31, 2019; Revokes: EO 10582, December 17, 1954; Superseded by: EO 14006, January 25, 2021</t>
  </si>
  <si>
    <t>84 FR 37055</t>
  </si>
  <si>
    <t>2019-16383</t>
  </si>
  <si>
    <t>https://www.federalregister.gov/documents/2019/07/30/2019-16383/blocking-property-and-suspending-entry-of-certain-persons-contributing-to-the-situation-in-mali</t>
  </si>
  <si>
    <t>https://www.govinfo.gov/content/pkg/FR-2019-07-30/pdf/2019-16383.pdf</t>
  </si>
  <si>
    <t>Blocking Property and Suspending Entry of Certain Persons Contributing to the Situation in Mali</t>
  </si>
  <si>
    <t>84 FR 38113</t>
  </si>
  <si>
    <t>2019-16879</t>
  </si>
  <si>
    <t>https://www.federalregister.gov/documents/2019/08/05/2019-16879/administration-of-proliferation-sanctions-and-amendment-of-executive-order-12851</t>
  </si>
  <si>
    <t>https://www.govinfo.gov/content/pkg/FR-2019-08-05/pdf/2019-16879.pdf</t>
  </si>
  <si>
    <t>Administration of Proliferation Sanctions and Amendment of Executive Order 12851</t>
  </si>
  <si>
    <t>See: EO 12938, November 14, 1994; Amends: EO 12851, June 11, 1993</t>
  </si>
  <si>
    <t>84 FR 38843</t>
  </si>
  <si>
    <t>2019-17052</t>
  </si>
  <si>
    <t>https://www.federalregister.gov/documents/2019/08/07/2019-17052/blocking-property-of-the-government-of-venezuela</t>
  </si>
  <si>
    <t>https://www.govinfo.gov/content/pkg/FR-2019-08-07/pdf/2019-17052.pdf</t>
  </si>
  <si>
    <t>Blocking Property of the Government of Venezuela</t>
  </si>
  <si>
    <t>84 FR 46873</t>
  </si>
  <si>
    <t>2019-19367</t>
  </si>
  <si>
    <t>https://www.federalregister.gov/documents/2019/09/05/2019-19367/establishing-the-national-quantum-initiative-advisory-committee</t>
  </si>
  <si>
    <t>https://www.govinfo.gov/content/pkg/FR-2019-09-05/pdf/2019-19367.pdf</t>
  </si>
  <si>
    <t>Establishing the National Quantum Initiative Advisory Committee</t>
  </si>
  <si>
    <t>Revoked by: EO 14073, May 4, 2022
See: EO 13526, December 29, 2009</t>
  </si>
  <si>
    <t>84 FR 48041</t>
  </si>
  <si>
    <t>2019-19895</t>
  </si>
  <si>
    <t>https://www.federalregister.gov/documents/2019/09/12/2019-19895/modernizing-sanctions-to-combat-terrorism</t>
  </si>
  <si>
    <t>https://www.govinfo.gov/content/pkg/FR-2019-09-12/pdf/2019-19895.pdf</t>
  </si>
  <si>
    <t>Modernizing Sanctions To Combat Terrorism</t>
  </si>
  <si>
    <t>Revokes: EO 12947, January 23, 1995; See: EO 13099, August 20, 1998; Amends: EO 13224, September 23, 2001</t>
  </si>
  <si>
    <t>84 FR 49935</t>
  </si>
  <si>
    <t>2019-20804</t>
  </si>
  <si>
    <t>https://www.federalregister.gov/documents/2019/09/24/2019-20804/modernizing-influenza-vaccines-in-the-united-states-to-promote-national-security-and-public-health</t>
  </si>
  <si>
    <t>https://www.govinfo.gov/content/pkg/FR-2019-09-24/pdf/2019-20804.pdf</t>
  </si>
  <si>
    <t>Modernizing Influenza Vaccines in the United States to Promote National Security and Public Health</t>
  </si>
  <si>
    <t>84 FR 52355</t>
  </si>
  <si>
    <t>2019-21505</t>
  </si>
  <si>
    <t>https://www.federalregister.gov/documents/2019/10/01/2019-21505/enhancing-state-and-local-involvement-in-refugee-resettlement</t>
  </si>
  <si>
    <t>https://www.govinfo.gov/content/pkg/FR-2019-10-01/pdf/2019-21505.pdf</t>
  </si>
  <si>
    <t>Enhancing State and Local Involvement in Refugee Resettlement</t>
  </si>
  <si>
    <t>See: EO 13780, March 6, 2017; Revoked by: EO 14013, February 4, 2021</t>
  </si>
  <si>
    <t>84 FR 52743</t>
  </si>
  <si>
    <t>2019-21630</t>
  </si>
  <si>
    <t>https://www.federalregister.gov/documents/2019/10/02/2019-21630/continuance-of-certain-federal-advisory-committees</t>
  </si>
  <si>
    <t>https://www.govinfo.gov/content/pkg/FR-2019-10-02/pdf/2019-21630.pdf</t>
  </si>
  <si>
    <t>Supersedes: EO 13811, September 29, 2017; EO 13515 of October 14, 2009 
Superseded by: EO 14031, May 28, 2021; partially superseded by: EO 14048, September 30, 2021</t>
  </si>
  <si>
    <t>84 FR 53573</t>
  </si>
  <si>
    <t>2019-22073</t>
  </si>
  <si>
    <t>https://www.federalregister.gov/documents/2019/10/08/2019-22073/protecting-and-improving-medicare-for-our-nations-seniors</t>
  </si>
  <si>
    <t>https://www.govinfo.gov/content/pkg/FR-2019-10-08/pdf/2019-22073.pdf</t>
  </si>
  <si>
    <t>Protecting and Improving Medicare for Our Nation's Seniors</t>
  </si>
  <si>
    <t>84 FR 55235</t>
  </si>
  <si>
    <t>2019-22623</t>
  </si>
  <si>
    <t>https://www.federalregister.gov/documents/2019/10/15/2019-22623/promoting-the-rule-of-law-through-improved-agency-guidance-documents</t>
  </si>
  <si>
    <t>https://www.govinfo.gov/content/pkg/FR-2019-10-15/pdf/2019-22623.pdf</t>
  </si>
  <si>
    <t>Promoting the Rule of Law Through Improved Agency Guidance Documents</t>
  </si>
  <si>
    <t>See: EO 12866, September 30, 1993; EO 13563 of January 18, 2011; EO 1609 of May 1, 2012; EO 13771 of January 30, 2017; EO 13777 of February 25, 2017; Revoked by: EO 13992, January 20, 2021</t>
  </si>
  <si>
    <t>84 FR 55239</t>
  </si>
  <si>
    <t>2019-22624</t>
  </si>
  <si>
    <t>https://www.federalregister.gov/documents/2019/10/15/2019-22624/promoting-the-rule-of-law-through-transparency-and-fairness-in-civil-administrative-enforcement-and</t>
  </si>
  <si>
    <t>https://www.govinfo.gov/content/pkg/FR-2019-10-15/pdf/2019-22624.pdf</t>
  </si>
  <si>
    <t>Promoting the Rule of Law Through Transparency and Fairness in Civil Administrative Enforcement and Adjudication</t>
  </si>
  <si>
    <t>84 FR 55487</t>
  </si>
  <si>
    <t>2019-22749</t>
  </si>
  <si>
    <t>https://www.federalregister.gov/documents/2019/10/16/2019-22749/increasing-government-accountability-for-administrative-actions-by-reinvigorating-administrative</t>
  </si>
  <si>
    <t>https://www.govinfo.gov/content/pkg/FR-2019-10-16/pdf/2019-22749.pdf</t>
  </si>
  <si>
    <t>Increasing Government Accountability for Administrative Actions by Reinvigorating Administrative PAYGO</t>
  </si>
  <si>
    <t>84 FR 55851</t>
  </si>
  <si>
    <t>2019-22849</t>
  </si>
  <si>
    <t>https://www.federalregister.gov/documents/2019/10/17/2019-22849/blocking-property-and-suspending-entry-of-certain-persons-contributing-to-the-situation-in-syria</t>
  </si>
  <si>
    <t>https://www.govinfo.gov/content/pkg/FR-2019-10-17/pdf/2019-22849.pdf</t>
  </si>
  <si>
    <t>Blocking Property and Suspending Entry of Certain Persons Contributing to the Situation in Syria</t>
  </si>
  <si>
    <t>84 FR 57309</t>
  </si>
  <si>
    <t>2019-23525</t>
  </si>
  <si>
    <t>https://www.federalregister.gov/documents/2019/10/25/2019-23525/presidents-council-of-advisors-on-science-and-technology</t>
  </si>
  <si>
    <t>https://www.govinfo.gov/content/pkg/FR-2019-10-25/pdf/2019-23525.pdf</t>
  </si>
  <si>
    <t>Revokes: EO 13539, April 21, 2010; See: EO 12968, August 2, 1995; Revoked by: EO 14007, January 27, 2021</t>
  </si>
  <si>
    <t>84 FR 58595</t>
  </si>
  <si>
    <t>2019-24040</t>
  </si>
  <si>
    <t>https://www.federalregister.gov/documents/2019/11/01/2019-24040/commission-on-law-enforcement-and-the-administration-of-justice</t>
  </si>
  <si>
    <t>https://www.govinfo.gov/content/pkg/FR-2019-11-01/pdf/2019-24040.pdf</t>
  </si>
  <si>
    <t>Commission on Law Enforcement and the Administration of Justice</t>
  </si>
  <si>
    <t>84 FR 59709</t>
  </si>
  <si>
    <t>2019-24288</t>
  </si>
  <si>
    <t>https://www.federalregister.gov/documents/2019/11/05/2019-24288/improving-federal-contractor-operations-by-revoking-executive-order-13495</t>
  </si>
  <si>
    <t>https://www.govinfo.gov/content/pkg/FR-2019-11-05/pdf/2019-24288.pdf</t>
  </si>
  <si>
    <t>Improving Federal Contractor Operations by Revoking Executive Order 13495</t>
  </si>
  <si>
    <t>Revokes: EO 13495, January 30, 2009 
Revoked by: EO 14055 of November 18, 2021</t>
  </si>
  <si>
    <t>84 FR 66059</t>
  </si>
  <si>
    <t>2019-26178</t>
  </si>
  <si>
    <t>https://www.federalregister.gov/documents/2019/12/02/2019-26178/establishing-the-task-force-on-missing-and-murdered-american-indians-and-alaska-natives</t>
  </si>
  <si>
    <t>https://www.govinfo.gov/content/pkg/FR-2019-12-02/pdf/2019-26178.pdf</t>
  </si>
  <si>
    <t>Establishing the Task Force on Missing and Murdered American Indians and Alaska Natives</t>
  </si>
  <si>
    <t>84 FR 68779</t>
  </si>
  <si>
    <t>2019-27217</t>
  </si>
  <si>
    <t>https://www.federalregister.gov/documents/2019/12/16/2019-27217/combating-anti-semitism</t>
  </si>
  <si>
    <t>https://www.govinfo.gov/content/pkg/FR-2019-12-16/pdf/2019-27217.pdf</t>
  </si>
  <si>
    <t>Combating Anti-Semitism</t>
  </si>
  <si>
    <t>84 FR 69983</t>
  </si>
  <si>
    <t>2019-27678</t>
  </si>
  <si>
    <t>https://www.federalregister.gov/documents/2019/12/20/2019-27678/providing-for-the-closing-of-executive-departments-and-agencies-of-the-federal-government-on</t>
  </si>
  <si>
    <t>https://www.govinfo.gov/content/pkg/FR-2019-12-20/pdf/2019-27678.pdf</t>
  </si>
  <si>
    <t>Providing for the Closing of Executive Departments and Agencies of the Federal Government on December 24, 2019</t>
  </si>
  <si>
    <t>84 FR 72213</t>
  </si>
  <si>
    <t>2019-28286</t>
  </si>
  <si>
    <t>https://www.federalregister.gov/documents/2019/12/30/2019-28286/adjustments-of-certain-rates-of-pay</t>
  </si>
  <si>
    <t>https://www.govinfo.gov/content/pkg/FR-2019-12-30/pdf/2019-28286.pdf</t>
  </si>
  <si>
    <t>Supersedes:  EO 13866, March 28, 2019</t>
  </si>
  <si>
    <t>85 FR 2003</t>
  </si>
  <si>
    <t>2020-00534</t>
  </si>
  <si>
    <t>https://www.federalregister.gov/documents/2020/01/14/2020-00534/imposing-sanctions-with-respect-to-additional-sectors-of-iran</t>
  </si>
  <si>
    <t>https://www.govinfo.gov/content/pkg/FR-2020-01-14/pdf/2020-00534.pdf</t>
  </si>
  <si>
    <t>Imposing Sanctions With Respect to Additional Sectors of Iran</t>
  </si>
  <si>
    <t>85 FR 6721</t>
  </si>
  <si>
    <t>2020-02438</t>
  </si>
  <si>
    <t>https://www.federalregister.gov/documents/2020/02/05/2020-02438/combating-human-trafficking-and-online-child-exploitation-in-the-united-states</t>
  </si>
  <si>
    <t>https://www.govinfo.gov/content/pkg/FR-2020-02-05/pdf/2020-02438.pdf</t>
  </si>
  <si>
    <t>Combating Human Trafficking and Online Child Exploitation in the United States</t>
  </si>
  <si>
    <t>See: EO 13898, November 26, 2019</t>
  </si>
  <si>
    <t>85 FR 6725</t>
  </si>
  <si>
    <t>2020-02439</t>
  </si>
  <si>
    <t>https://www.federalregister.gov/documents/2020/02/05/2020-02439/ensuring-safe-and-lawful-e-commerce-for-united-states-consumers-businesses-government-supply-chains</t>
  </si>
  <si>
    <t>https://www.govinfo.gov/content/pkg/FR-2020-02-05/pdf/2020-02439.pdf</t>
  </si>
  <si>
    <t>Ensuring Safe and Lawful E-Commerce for United States Consumers, Businesses, Government Supply Chains, and Intellectual Property Rights Holders</t>
  </si>
  <si>
    <t>See: EO 12549, February 18, 1986</t>
  </si>
  <si>
    <t>85 FR 9359</t>
  </si>
  <si>
    <t>2020-03337</t>
  </si>
  <si>
    <t>https://www.federalregister.gov/documents/2020/02/18/2020-03337/strengthening-national-resilience-through-responsible-use-of-positioning-navigation-and-timing</t>
  </si>
  <si>
    <t>https://www.govinfo.gov/content/pkg/FR-2020-02-18/pdf/2020-03337.pdf</t>
  </si>
  <si>
    <t>Strengthening National Resilience Through Responsible Use of Positioning, Navigation, and Timing Services</t>
  </si>
  <si>
    <t>85 FR 10031</t>
  </si>
  <si>
    <t>2020-03556</t>
  </si>
  <si>
    <t>https://www.federalregister.gov/documents/2020/02/20/2020-03556/amending-executive-order-13803reviving-the-national-space-council</t>
  </si>
  <si>
    <t>https://www.govinfo.gov/content/pkg/FR-2020-02-20/pdf/2020-03556.pdf</t>
  </si>
  <si>
    <t>Amending Executive Order 13803Reviving the National Space Council</t>
  </si>
  <si>
    <t>Amends: EO 13803, June 30, 2017 
Revoked by: EO 14056, December 1, 2021</t>
  </si>
  <si>
    <t>85 FR 12977</t>
  </si>
  <si>
    <t>2020-04730</t>
  </si>
  <si>
    <t>https://www.federalregister.gov/documents/2020/03/05/2020-04730/establishment-of-the-interagency-environment-committee-for-monitoring-and-enforcement-under-section</t>
  </si>
  <si>
    <t>https://www.govinfo.gov/content/pkg/FR-2020-03-05/pdf/2020-04730.pdf</t>
  </si>
  <si>
    <t>Establishment of the Interagency Environment Committee for Monitoring and Enforcement Under Section 811 of the United States-Mexico-Canada Agreement Implementation Act</t>
  </si>
  <si>
    <t>85 FR 12983</t>
  </si>
  <si>
    <t>2020-04755</t>
  </si>
  <si>
    <t>https://www.federalregister.gov/documents/2020/03/06/2020-04755/establishment-of-the-interagency-committee-on-trade-in-automotive-goods-under-section-202a-of-the</t>
  </si>
  <si>
    <t>https://www.govinfo.gov/content/pkg/FR-2020-03-06/pdf/2020-04755.pdf</t>
  </si>
  <si>
    <t>Establishment of the Interagency Committee on Trade in Automotive Goods Under Section 202A of the United States Mexico Canada Agreement Implementation Act</t>
  </si>
  <si>
    <t>85 FR 16227</t>
  </si>
  <si>
    <t>2020-06161</t>
  </si>
  <si>
    <t>https://www.federalregister.gov/documents/2020/03/23/2020-06161/prioritizing-and-allocating-health-and-medical-resources-to-respond-to-the-spread-of-covid-19</t>
  </si>
  <si>
    <t>https://www.govinfo.gov/content/pkg/FR-2020-03-23/pdf/2020-06161.pdf</t>
  </si>
  <si>
    <t>Prioritizing and Allocating Health and Medical Resources to Respond to the Spread of COVID-19</t>
  </si>
  <si>
    <t>See: EO 13603, March 16, 2012</t>
  </si>
  <si>
    <t>85 FR 17001</t>
  </si>
  <si>
    <t>2020-06478</t>
  </si>
  <si>
    <t>https://www.federalregister.gov/documents/2020/03/26/2020-06478/preventing-hoarding-of-health-and-medical-resources-to-respond-to-the-spread-of-covid-19</t>
  </si>
  <si>
    <t>https://www.govinfo.gov/content/pkg/FR-2020-03-26/pdf/2020-06478.pdf</t>
  </si>
  <si>
    <t>Preventing Hoarding of Health and Medical Resources To Respond to the Spread of COVID-19</t>
  </si>
  <si>
    <t>See: EO 13909, March 18, 2020</t>
  </si>
  <si>
    <t>85 FR 18403</t>
  </si>
  <si>
    <t>2020-06969</t>
  </si>
  <si>
    <t>https://www.federalregister.gov/documents/2020/04/01/2020-06969/delegating-additional-authority-under-the-defense-production-act-with-respect-to-health-and-medical</t>
  </si>
  <si>
    <t>https://www.govinfo.gov/content/pkg/FR-2020-04-01/pdf/2020-06969.pdf</t>
  </si>
  <si>
    <t>Delegating Additional Authority Under the Defense Production Act With Respect to Health and Medical Resources To Respond to the Spread of COVID-19</t>
  </si>
  <si>
    <t>See: EO 13603, March 16, 2012; EO 13909, March 18, 2020; EO 13910, March 23, 2020</t>
  </si>
  <si>
    <t>85 FR 18407</t>
  </si>
  <si>
    <t>2020-06985</t>
  </si>
  <si>
    <t>https://www.federalregister.gov/documents/2020/04/01/2020-06985/national-emergency-authority-to-order-the-selected-reserve-and-certain-members-of-the-individual</t>
  </si>
  <si>
    <t>https://www.govinfo.gov/content/pkg/FR-2020-04-01/pdf/2020-06985.pdf</t>
  </si>
  <si>
    <t>National Emergency Authority To Order the Selected Reserve and Certain Members of the Individual Ready Reserve of the Armed Forces to Active Duty</t>
  </si>
  <si>
    <t>85 FR 19643</t>
  </si>
  <si>
    <t>2020-07530</t>
  </si>
  <si>
    <t>https://www.federalregister.gov/documents/2020/04/08/2020-07530/establishing-the-committee-for-the-assessment-of-foreign-participation-in-the-united-states</t>
  </si>
  <si>
    <t>https://www.govinfo.gov/content/pkg/FR-2020-04-08/pdf/2020-07530.pdf</t>
  </si>
  <si>
    <t>Establishing the Committee for the Assessment of Foreign Participation in the United States Telecommunications Services Sector</t>
  </si>
  <si>
    <t>See: EO 12333, December 4, 1981</t>
  </si>
  <si>
    <t>85 FR 20381</t>
  </si>
  <si>
    <t>2020-07800</t>
  </si>
  <si>
    <t>https://www.federalregister.gov/documents/2020/04/10/2020-07800/encouraging-international-support-for-the-recovery-and-use-of-space-resources</t>
  </si>
  <si>
    <t>https://www.govinfo.gov/content/pkg/FR-2020-04-10/pdf/2020-07800.pdf</t>
  </si>
  <si>
    <t>Encouraging International Support for the Recovery and Use of Space Resources</t>
  </si>
  <si>
    <t>85 FR 21733</t>
  </si>
  <si>
    <t>2020-08392</t>
  </si>
  <si>
    <t>https://www.federalregister.gov/documents/2020/04/17/2020-08392/providing-an-order-of-succession-within-the-department-of-the-interior</t>
  </si>
  <si>
    <t>https://www.govinfo.gov/content/pkg/FR-2020-04-17/pdf/2020-08392.pdf</t>
  </si>
  <si>
    <t>Revokes: EO 13244, December 18, 2001</t>
  </si>
  <si>
    <t>85 FR 22951</t>
  </si>
  <si>
    <t>2020-08846</t>
  </si>
  <si>
    <t>https://www.federalregister.gov/documents/2020/04/23/2020-08846/national-emergency-authority-to-temporarily-extend-deadlines-for-certain-estimated-payments</t>
  </si>
  <si>
    <t>https://www.govinfo.gov/content/pkg/FR-2020-04-23/pdf/2020-08846.pdf</t>
  </si>
  <si>
    <t>National Emergency Authority To Temporarily Extend Deadlines for Certain Estimated Payments</t>
  </si>
  <si>
    <t>85 FR 26313</t>
  </si>
  <si>
    <t>2020-09536</t>
  </si>
  <si>
    <t>https://www.federalregister.gov/documents/2020/05/01/2020-09536/delegating-authority-under-the-defense-production-act-with-respect-to-food-supply-chain-resources</t>
  </si>
  <si>
    <t>https://www.govinfo.gov/content/pkg/FR-2020-05-01/pdf/2020-09536.pdf</t>
  </si>
  <si>
    <t>Delegating Authority Under the Defense Production Act With Respect to Food Supply Chain Resources During the National Emergency Caused by the Outbreak of COVID- 19</t>
  </si>
  <si>
    <t>85 FR 26315</t>
  </si>
  <si>
    <t>2020-09537</t>
  </si>
  <si>
    <t>https://www.federalregister.gov/documents/2020/05/01/2020-09537/establishment-of-the-interagency-labor-committee-for-monitoring-and-enforcement-under-section-711-of</t>
  </si>
  <si>
    <t>https://www.govinfo.gov/content/pkg/FR-2020-05-01/pdf/2020-09537.pdf</t>
  </si>
  <si>
    <t>Establishment of the Interagency Labor Committee for Monitoring and Enforcement Under Section 711 of the United States-Mexico-Canada Agreement Implementation Act</t>
  </si>
  <si>
    <t>85 FR 26591</t>
  </si>
  <si>
    <t>2020-09645</t>
  </si>
  <si>
    <t>https://www.federalregister.gov/documents/2020/05/04/2020-09645/ordering-the-selected-reserve-of-the-armed-forces-to-active-duty</t>
  </si>
  <si>
    <t>https://www.govinfo.gov/content/pkg/FR-2020-05-04/pdf/2020-09645.pdf</t>
  </si>
  <si>
    <t>Ordering the Selected Reserve of the Armed Forces to Active Duty</t>
  </si>
  <si>
    <t>85 FR 26595</t>
  </si>
  <si>
    <t>2020-09695</t>
  </si>
  <si>
    <t>https://www.federalregister.gov/documents/2020/05/04/2020-09695/securing-the-united-states-bulk-power-system</t>
  </si>
  <si>
    <t>https://www.govinfo.gov/content/pkg/FR-2020-05-04/pdf/2020-09695.pdf</t>
  </si>
  <si>
    <t>Securing the United States Bulk-Power System</t>
  </si>
  <si>
    <t>Suspended by: EO 13990, January 20, 2021</t>
  </si>
  <si>
    <t>85 FR 28471</t>
  </si>
  <si>
    <t>2020-10315</t>
  </si>
  <si>
    <t>https://www.federalregister.gov/documents/2020/05/12/2020-10315/promoting-american-seafood-competitiveness-and-economic-growth</t>
  </si>
  <si>
    <t>https://www.govinfo.gov/content/pkg/FR-2020-05-12/pdf/2020-10315.pdf</t>
  </si>
  <si>
    <t>Promoting American Seafood Competitiveness and Economic Growth</t>
  </si>
  <si>
    <t>85 FR 30583</t>
  </si>
  <si>
    <t>2020-10953</t>
  </si>
  <si>
    <t>https://www.federalregister.gov/documents/2020/05/19/2020-10953/delegating-authority-under-the-defense-production-act-to-the-chief-executive-officer-of-the-united</t>
  </si>
  <si>
    <t>https://www.govinfo.gov/content/pkg/FR-2020-05-19/pdf/2020-10953.pdf</t>
  </si>
  <si>
    <t>Delegating Authority Under the Defense Production Act to the Chief Executive Officer of the United States International Development Finance Corporation To Respond to the COVID-19 Outbreak</t>
  </si>
  <si>
    <t>See: EO 13603, March 16, 2012; EO 13911, March 27, 2020</t>
  </si>
  <si>
    <t>85 FR 30587</t>
  </si>
  <si>
    <t>2020-10993</t>
  </si>
  <si>
    <t>https://www.federalregister.gov/documents/2020/05/20/2020-10993/establishment-of-the-forced-labor-enforcement-task-force-under-section-741-of-the-united-states-</t>
  </si>
  <si>
    <t>https://www.govinfo.gov/content/pkg/FR-2020-05-20/pdf/2020-10993.pdf</t>
  </si>
  <si>
    <t>Establishment of the Forced Labor Enforcement Task Force Under Section 741 of the United States- Mexico-Canada Agreement Implementation Act</t>
  </si>
  <si>
    <t>85 FR 31353</t>
  </si>
  <si>
    <t>2020-11301</t>
  </si>
  <si>
    <t>https://www.federalregister.gov/documents/2020/05/22/2020-11301/regulatory-relief-to-support-economic-recovery</t>
  </si>
  <si>
    <t>https://www.govinfo.gov/content/pkg/FR-2020-05-22/pdf/2020-11301.pdf</t>
  </si>
  <si>
    <t>Regulatory Relief To Support Economic Recovery</t>
  </si>
  <si>
    <t>See: EO 13892, October 9, 2019; Revoked by: EO 14018, February 24, 2021</t>
  </si>
  <si>
    <t>85 FR 34079</t>
  </si>
  <si>
    <t>2020-12030</t>
  </si>
  <si>
    <t>https://www.federalregister.gov/documents/2020/06/02/2020-12030/preventing-online-censorship</t>
  </si>
  <si>
    <t>https://www.govinfo.gov/content/pkg/FR-2020-06-02/pdf/2020-12030.pdf</t>
  </si>
  <si>
    <t>Preventing Online Censorship</t>
  </si>
  <si>
    <t>Revoked by: EO 14029, May 14, 2021</t>
  </si>
  <si>
    <t>85 FR 34951</t>
  </si>
  <si>
    <t>2020-12430</t>
  </si>
  <si>
    <t>https://www.federalregister.gov/documents/2020/06/05/2020-12430/advancing-international-religious-freedom</t>
  </si>
  <si>
    <t>https://www.govinfo.gov/content/pkg/FR-2020-06-05/pdf/2020-12430.pdf</t>
  </si>
  <si>
    <t>Advancing International Religious Freedom</t>
  </si>
  <si>
    <t>See: EO 13818, December 20, 2017</t>
  </si>
  <si>
    <t>85 FR 35165</t>
  </si>
  <si>
    <t>2020-12584</t>
  </si>
  <si>
    <t>https://www.federalregister.gov/documents/2020/06/09/2020-12584/accelerating-the-nations-economic-recovery-from-the-covid-19-emergency-by-expediting-infrastructure</t>
  </si>
  <si>
    <t>https://www.govinfo.gov/content/pkg/FR-2020-06-09/pdf/2020-12584.pdf</t>
  </si>
  <si>
    <t>Accelerating the Nation's Economic Recovery From the COVID-19 Emergency by Expediting Infrastructure Investments and Other Activities</t>
  </si>
  <si>
    <t>85 FR 36139</t>
  </si>
  <si>
    <t>2020-12953</t>
  </si>
  <si>
    <t>https://www.federalregister.gov/documents/2020/06/15/2020-12953/blocking-property-of-certain-persons-associated-with-the-international-criminal-court</t>
  </si>
  <si>
    <t>https://www.govinfo.gov/content/pkg/FR-2020-06-15/pdf/2020-12953.pdf</t>
  </si>
  <si>
    <t>Blocking Property of Certain Persons Associated With the International Criminal Court</t>
  </si>
  <si>
    <t>Revoked by: EO 14022, April 1, 2021</t>
  </si>
  <si>
    <t>85 FR 37325</t>
  </si>
  <si>
    <t>2020-13449</t>
  </si>
  <si>
    <t>https://www.federalregister.gov/documents/2020/06/19/2020-13449/safe-policing-for-safe-communities</t>
  </si>
  <si>
    <t>https://www.govinfo.gov/content/pkg/FR-2020-06-19/pdf/2020-13449.pdf</t>
  </si>
  <si>
    <t>Safe Policing for Safe Communities</t>
  </si>
  <si>
    <t>Revoked by: EO 14074, May 25, 2022</t>
  </si>
  <si>
    <t>85 FR 38741</t>
  </si>
  <si>
    <t>2020-14077</t>
  </si>
  <si>
    <t>https://www.federalregister.gov/documents/2020/06/29/2020-14077/strengthening-the-child-welfare-system-for-americas-children</t>
  </si>
  <si>
    <t>https://www.govinfo.gov/content/pkg/FR-2020-06-29/pdf/2020-14077.pdf</t>
  </si>
  <si>
    <t>Strengthening the Child Welfare System for America's Children</t>
  </si>
  <si>
    <t>85 FR 39455</t>
  </si>
  <si>
    <t>2020-14328</t>
  </si>
  <si>
    <t>https://www.federalregister.gov/documents/2020/07/01/2020-14328/continuing-the-presidents-national-council-for-the-american-worker-and-the-american-workforce-policy</t>
  </si>
  <si>
    <t>https://www.govinfo.gov/content/pkg/FR-2020-07-01/pdf/2020-14328.pdf</t>
  </si>
  <si>
    <t>Continuing the President's National Council for the American Worker and the American Workforce Policy Advisory Board</t>
  </si>
  <si>
    <t>See: EO 13845, July 19, 2018; Revoked by: EO 14025 of April 26, 2021</t>
  </si>
  <si>
    <t>85 FR 39457</t>
  </si>
  <si>
    <t>2020-14337</t>
  </si>
  <si>
    <t>https://www.federalregister.gov/documents/2020/07/01/2020-14337/modernizing-and-reforming-the-assessment-and-hiring-of-federal-job-candidates</t>
  </si>
  <si>
    <t>https://www.govinfo.gov/content/pkg/FR-2020-07-01/pdf/2020-14337.pdf</t>
  </si>
  <si>
    <t>Modernizing and Reforming the Assessment and Hiring of Federal Job Candidates</t>
  </si>
  <si>
    <t>85 FR 40081</t>
  </si>
  <si>
    <t>2020-14509</t>
  </si>
  <si>
    <t>https://www.federalregister.gov/documents/2020/07/02/2020-14509/protecting-american-monuments-memorials-and-statues-and-combating-recent-criminal-violence</t>
  </si>
  <si>
    <t>https://www.govinfo.gov/content/pkg/FR-2020-07-02/pdf/2020-14509.pdf</t>
  </si>
  <si>
    <t>Protecting American Monuments, Memorials, and Statues and Combating Recent Criminal Violence</t>
  </si>
  <si>
    <t>85 FR 41165</t>
  </si>
  <si>
    <t>2020-14872</t>
  </si>
  <si>
    <t>https://www.federalregister.gov/documents/2020/07/08/2020-14872/building-and-rebuilding-monuments-to-american-heroes</t>
  </si>
  <si>
    <t>https://www.govinfo.gov/content/pkg/FR-2020-07-08/pdf/2020-14872.pdf</t>
  </si>
  <si>
    <t>Building and Rebuilding Monuments to American Heroes</t>
  </si>
  <si>
    <t>See: EO 13933, June 26, 2020; Revoked by: EO 13978, January 18, 2021</t>
  </si>
  <si>
    <t>85 FR 42683</t>
  </si>
  <si>
    <t>2020-15338</t>
  </si>
  <si>
    <t>https://www.federalregister.gov/documents/2020/07/14/2020-15338/white-house-hispanic-prosperity-initiative</t>
  </si>
  <si>
    <t>https://www.govinfo.gov/content/pkg/FR-2020-07-14/pdf/2020-15338.pdf</t>
  </si>
  <si>
    <t>White House Hispanic Prosperity Initiative</t>
  </si>
  <si>
    <t>Supersedes: EO 13555, October 19, 2010 
Partially supersedes: EO 13889, September 27, 2019 
Superseded by: EO 14045, September 13, 2021</t>
  </si>
  <si>
    <t>85 FR 43413</t>
  </si>
  <si>
    <t>2020-15646</t>
  </si>
  <si>
    <t>https://www.federalregister.gov/documents/2020/07/17/2020-15646/the-presidents-executive-order-on-hong-kong-normalization</t>
  </si>
  <si>
    <t>https://www.govinfo.gov/content/pkg/FR-2020-07-17/pdf/2020-15646.pdf</t>
  </si>
  <si>
    <t>The President's Executive Order on Hong Kong Normalization</t>
  </si>
  <si>
    <t>85 FR 45755</t>
  </si>
  <si>
    <t>2020-16623</t>
  </si>
  <si>
    <t>https://www.federalregister.gov/documents/2020/07/29/2020-16623/access-to-affordable-life-saving-medications</t>
  </si>
  <si>
    <t>https://www.govinfo.gov/content/pkg/FR-2020-07-29/pdf/2020-16623.pdf</t>
  </si>
  <si>
    <t>Access to Affordable Life-Saving Medications</t>
  </si>
  <si>
    <t>85 FR 45757</t>
  </si>
  <si>
    <t>2020-16624</t>
  </si>
  <si>
    <t>https://www.federalregister.gov/documents/2020/07/29/2020-16624/increasing-drug-importation-to-lower-prices-for-american-patients</t>
  </si>
  <si>
    <t>https://www.govinfo.gov/content/pkg/FR-2020-07-29/pdf/2020-16624.pdf</t>
  </si>
  <si>
    <t>Increasing Drug Importation To Lower Prices for American Patients</t>
  </si>
  <si>
    <t>85 FR 45759</t>
  </si>
  <si>
    <t>2020-16625</t>
  </si>
  <si>
    <t>https://www.federalregister.gov/documents/2020/07/29/2020-16625/lowering-prices-for-patients-by-eliminating-kickbacks-to-middlemen</t>
  </si>
  <si>
    <t>https://www.govinfo.gov/content/pkg/FR-2020-07-29/pdf/2020-16625.pdf</t>
  </si>
  <si>
    <t>Lowering Prices for Patients by Eliminating Kickbacks to Middlemen</t>
  </si>
  <si>
    <t>85 FR 47879</t>
  </si>
  <si>
    <t>2020-17363</t>
  </si>
  <si>
    <t>https://www.federalregister.gov/documents/2020/08/06/2020-17363/aligning-federal-contracting-and-hiring-practices-with-the-interests-of-american-workers</t>
  </si>
  <si>
    <t>https://www.govinfo.gov/content/pkg/FR-2020-08-06/pdf/2020-17363.pdf</t>
  </si>
  <si>
    <t>Aligning Federal Contracting and Hiring Practices With the Interests of American Workers</t>
  </si>
  <si>
    <t>See: EO 11935, September 2, 1976</t>
  </si>
  <si>
    <t>85 FR 47881</t>
  </si>
  <si>
    <t>2020-17364</t>
  </si>
  <si>
    <t>https://www.federalregister.gov/documents/2020/08/06/2020-17364/improving-rural-health-and-telehealth-access</t>
  </si>
  <si>
    <t>https://www.govinfo.gov/content/pkg/FR-2020-08-06/pdf/2020-17364.pdf</t>
  </si>
  <si>
    <t>Improving Rural Health and Telehealth Access</t>
  </si>
  <si>
    <t>85 FR 48637</t>
  </si>
  <si>
    <t>2020-17699</t>
  </si>
  <si>
    <t>https://www.federalregister.gov/documents/2020/08/11/2020-17699/addressing-the-threat-posed-by-tiktok-and-taking-additional-steps-to-address-the-national-emergency</t>
  </si>
  <si>
    <t>https://www.govinfo.gov/content/pkg/FR-2020-08-11/pdf/2020-17699.pdf</t>
  </si>
  <si>
    <t>Addressing the Threat Posed by TikTok, and Taking Additional Steps To Address the National Emergency With Respect to the Information and Communications Technology and Services Supply Chain</t>
  </si>
  <si>
    <t>See: EO 13873, May 15, 2019 
Revoked by: EO 14034, June 9, 2021</t>
  </si>
  <si>
    <t>85 FR 48641</t>
  </si>
  <si>
    <t>2020-17700</t>
  </si>
  <si>
    <t>https://www.federalregister.gov/documents/2020/08/11/2020-17700/addressing-the-threat-posed-by-wechat-and-taking-additional-steps-to-address-the-national-emergency</t>
  </si>
  <si>
    <t>https://www.govinfo.gov/content/pkg/FR-2020-08-11/pdf/2020-17700.pdf</t>
  </si>
  <si>
    <t>Addressing the Threat Posed by WeChat, and Taking Additional Steps To Address the National Emergency With Respect to the Information and Communications Technology and Services Supply Chain</t>
  </si>
  <si>
    <t>See: EO 13873, May 15, 2019; EO 13942, August 6, 2020 
Revoked by: EO 14034, June 9, 2021</t>
  </si>
  <si>
    <t>85 FR 49929</t>
  </si>
  <si>
    <t>2020-18012</t>
  </si>
  <si>
    <t>https://www.federalregister.gov/documents/2020/08/14/2020-18012/combating-public-health-emergencies-and-strengthening-national-security-by-ensuring-essential</t>
  </si>
  <si>
    <t>https://www.govinfo.gov/content/pkg/FR-2020-08-14/pdf/2020-18012.pdf</t>
  </si>
  <si>
    <t>Combating Public Health Emergencies and Strengthening National Security by Ensuring Essential Medicines, Medical Countermeasures, and Critical Inputs Are Made in the United States</t>
  </si>
  <si>
    <t>85 FR 49935</t>
  </si>
  <si>
    <t>2020-18015</t>
  </si>
  <si>
    <t>https://www.federalregister.gov/documents/2020/08/14/2020-18015/fighting-the-spread-of-covid-19-by-providing-assistance-to-renters-and-homeowners</t>
  </si>
  <si>
    <t>https://www.govinfo.gov/content/pkg/FR-2020-08-14/pdf/2020-18015.pdf</t>
  </si>
  <si>
    <t>Fighting the Spread of COVID-19 by Providing Assistance to Renters and Homeowners</t>
  </si>
  <si>
    <t>85 FR 52879</t>
  </si>
  <si>
    <t>2020-19032</t>
  </si>
  <si>
    <t>https://www.federalregister.gov/documents/2020/08/27/2020-19032/targeting-opportunity-zones-and-other-distressed-communities-for-federal-site-locations</t>
  </si>
  <si>
    <t>https://www.govinfo.gov/content/pkg/FR-2020-08-27/pdf/2020-19032.pdf</t>
  </si>
  <si>
    <t>Targeting Opportunity Zones and Other Distressed Communities for Federal Site Locations</t>
  </si>
  <si>
    <t>Amends: EO 12072, August 16, 1978; EO 13006, May 21, 1996
Revoked by: EO 14091, February 16, 2023</t>
  </si>
  <si>
    <t>85 FR 59171</t>
  </si>
  <si>
    <t>2020-20887</t>
  </si>
  <si>
    <t>https://www.federalregister.gov/documents/2020/09/18/2020-20887/lowering-drug-prices-by-putting-america-first</t>
  </si>
  <si>
    <t>https://www.govinfo.gov/content/pkg/FR-2020-09-18/pdf/2020-20887.pdf</t>
  </si>
  <si>
    <t>Lowering Drug Prices by Putting America First</t>
  </si>
  <si>
    <t>85 FR 59649</t>
  </si>
  <si>
    <t>2020-21129</t>
  </si>
  <si>
    <t>https://www.federalregister.gov/documents/2020/09/23/2020-21129/lowering-drug-prices-by-putting-america-first</t>
  </si>
  <si>
    <t>https://www.govinfo.gov/content/pkg/FR-2020-09-23/pdf/2020-21129.pdf</t>
  </si>
  <si>
    <t>Revokes: EO 13947, July 24, 2020</t>
  </si>
  <si>
    <t>85 FR 60043</t>
  </si>
  <si>
    <t>2020-21160</t>
  </si>
  <si>
    <t>https://www.federalregister.gov/documents/2020/09/23/2020-21160/blocking-property-of-certain-persons-with-respect-to-the-conventional-arms-activities-of-iran</t>
  </si>
  <si>
    <t>https://www.govinfo.gov/content/pkg/FR-2020-09-23/pdf/2020-21160.pdf</t>
  </si>
  <si>
    <t>Blocking Property of Certain Persons With Respect to the Conventional Arms Activities of Iran</t>
  </si>
  <si>
    <t>See: EO 12170, November 14, 1979;  EO 12281, January 19, 1981; EO 12957, March 15, 1995</t>
  </si>
  <si>
    <t>85 FR 60683</t>
  </si>
  <si>
    <t>2020-21534</t>
  </si>
  <si>
    <t>https://www.federalregister.gov/documents/2020/09/28/2020-21534/combating-race-and-sex-stereotyping</t>
  </si>
  <si>
    <t>https://www.govinfo.gov/content/pkg/FR-2020-09-28/pdf/2020-21534.pdf</t>
  </si>
  <si>
    <t>Combating Race and Sex Stereotyping</t>
  </si>
  <si>
    <t>See: EO 11246, September 24, 1965; Revoked by: EO 13985, January 20, 2021</t>
  </si>
  <si>
    <t>85 FR 62179</t>
  </si>
  <si>
    <t>2020-21914</t>
  </si>
  <si>
    <t>https://www.federalregister.gov/documents/2020/10/01/2020-21914/an-america-first-healthcare-plan</t>
  </si>
  <si>
    <t>https://www.govinfo.gov/content/pkg/FR-2020-10-01/pdf/2020-21914.pdf</t>
  </si>
  <si>
    <t>An America-First Healthcare Plan</t>
  </si>
  <si>
    <t>See: EO 13813, October 12, 2017; EO 13861, March 5, 2019; EO 13877, June 24, 2019; EO 13879, July 10, 2019; EO 13890, October 3, 2019; EO 13887, October 19, 2019; EO 13937, July 24, 2020; EO 13938, July 24, 2020; EO 13939, July 24, 2020; EO 13941, August 3, 2020; EO 13944, August 6, 2020; EO 13948, September 3, 2020</t>
  </si>
  <si>
    <t>85 FR 62187</t>
  </si>
  <si>
    <t>2020-21960</t>
  </si>
  <si>
    <t>https://www.federalregister.gov/documents/2020/10/02/2020-21960/protecting-vulnerable-newborn-and-infant-children</t>
  </si>
  <si>
    <t>https://www.govinfo.gov/content/pkg/FR-2020-10-02/pdf/2020-21960.pdf</t>
  </si>
  <si>
    <t>Protecting Vulnerable Newborn and Infant Children</t>
  </si>
  <si>
    <t>85 FR 62539</t>
  </si>
  <si>
    <t>2020-22064</t>
  </si>
  <si>
    <t>https://www.federalregister.gov/documents/2020/10/05/2020-22064/addressing-the-threat-to-the-domestic-supply-chain-from-reliance-on-critical-minerals-from-foreign</t>
  </si>
  <si>
    <t>https://www.govinfo.gov/content/pkg/FR-2020-10-05/pdf/2020-22064.pdf</t>
  </si>
  <si>
    <t>Addressing the Threat to the Domestic Supply Chain From Reliance on Critical Minerals From Foreign Adversaries and Supporting the Domestic Mining and Processing Industries</t>
  </si>
  <si>
    <t>Amends: EO 13817, December 20, 2017; See: EO 13603, March 16, 2012</t>
  </si>
  <si>
    <t>85 FR 63977</t>
  </si>
  <si>
    <t>2020-22510</t>
  </si>
  <si>
    <t>https://www.federalregister.gov/documents/2020/10/08/2020-22510/saving-lives-through-increased-support-for-mental--and-behavioral-health-needs</t>
  </si>
  <si>
    <t>https://www.govinfo.gov/content/pkg/FR-2020-10-08/pdf/2020-22510.pdf</t>
  </si>
  <si>
    <t>Saving Lives Through Increased Support for Mental- and Behavioral-Health Needs</t>
  </si>
  <si>
    <t>85 FR 65643</t>
  </si>
  <si>
    <t>2020-23115</t>
  </si>
  <si>
    <t>https://www.federalregister.gov/documents/2020/10/16/2020-23115/establishing-the-one-trillion-trees-interagency-council</t>
  </si>
  <si>
    <t>https://www.govinfo.gov/content/pkg/FR-2020-10-16/pdf/2020-23115.pdf</t>
  </si>
  <si>
    <t>Establishing the One Trillion Trees Interagency Council</t>
  </si>
  <si>
    <t>See: EO 13855, December 21, 2018</t>
  </si>
  <si>
    <t>85 FR 65647</t>
  </si>
  <si>
    <t>2020-23116</t>
  </si>
  <si>
    <t>https://www.federalregister.gov/documents/2020/10/16/2020-23116/modernizing-americas-water-resource-management-and-water-infrastructure</t>
  </si>
  <si>
    <t>https://www.govinfo.gov/content/pkg/FR-2020-10-16/pdf/2020-23116.pdf</t>
  </si>
  <si>
    <t>Modernizing America's Water Resource Management and Water Infrastructure</t>
  </si>
  <si>
    <t>85 FR 67631</t>
  </si>
  <si>
    <t>2020-23780</t>
  </si>
  <si>
    <t>https://www.federalregister.gov/documents/2020/10/26/2020-23780/creating-schedule-f-in-the-excepted-service</t>
  </si>
  <si>
    <t>https://www.govinfo.gov/content/pkg/FR-2020-10-26/pdf/2020-23780.pdf</t>
  </si>
  <si>
    <t>Creating Schedule F in the Excepted Service</t>
  </si>
  <si>
    <t>85 FR 70951</t>
  </si>
  <si>
    <t>2020-24793</t>
  </si>
  <si>
    <t>https://www.federalregister.gov/documents/2020/11/05/2020-24793/establishing-the-presidents-advisory-1776-commission</t>
  </si>
  <si>
    <t>https://www.govinfo.gov/content/pkg/FR-2020-11-05/pdf/2020-24793.pdf</t>
  </si>
  <si>
    <t>Establishing the President's Advisory 1776 Commission</t>
  </si>
  <si>
    <t>Revoked by: EO 13985, January 1, 2021</t>
  </si>
  <si>
    <t>85 FR 73185</t>
  </si>
  <si>
    <t>2020-25459</t>
  </si>
  <si>
    <t>https://www.federalregister.gov/documents/2020/11/17/2020-25459/addressing-the-threat-from-securities-investments-that-finance-communist-chinese-military-companies</t>
  </si>
  <si>
    <t>https://www.govinfo.gov/content/pkg/FR-2020-11-17/pdf/2020-25459.pdf</t>
  </si>
  <si>
    <t>Addressing the Threat From Securities Investments That Finance Communist Chinese Military Companies</t>
  </si>
  <si>
    <t>Amended by: EO 13974, January 13, 2021 
Superseded in part by: EO 14032, June 3, 2021</t>
  </si>
  <si>
    <t>85 FR 78939</t>
  </si>
  <si>
    <t>2020-27065</t>
  </si>
  <si>
    <t>https://www.federalregister.gov/documents/2020/12/08/2020-27065/promoting-the-use-of-trustworthy-artificial-intelligence-in-the-federal-government</t>
  </si>
  <si>
    <t>https://www.govinfo.gov/content/pkg/FR-2020-12-08/pdf/2020-27065.pdf</t>
  </si>
  <si>
    <t>Promoting the Use of Trustworthy Artificial Intelligence in the Federal Government</t>
  </si>
  <si>
    <t>See: EO 13859, February 11, 2019</t>
  </si>
  <si>
    <t>85 FR 79379</t>
  </si>
  <si>
    <t>2020-27353</t>
  </si>
  <si>
    <t>https://www.federalregister.gov/documents/2020/12/10/2020-27353/governance-and-integration-of-federal-mission-resilience</t>
  </si>
  <si>
    <t>https://www.govinfo.gov/content/pkg/FR-2020-12-10/pdf/2020-27353.pdf</t>
  </si>
  <si>
    <t>Governance and Integration of Federal Mission Resilience</t>
  </si>
  <si>
    <t>Amends: EO 13618, July 6, 2012</t>
  </si>
  <si>
    <t>85 FR 79777</t>
  </si>
  <si>
    <t>2020-27455</t>
  </si>
  <si>
    <t>https://www.federalregister.gov/documents/2020/12/11/2020-27455/ensuring-access-to-united-states-government-covid-19-vaccines</t>
  </si>
  <si>
    <t>https://www.govinfo.gov/content/pkg/FR-2020-12-11/pdf/2020-27455.pdf</t>
  </si>
  <si>
    <t>Ensuring Access to United States Government COVID-19 Vaccines</t>
  </si>
  <si>
    <t>85 FR 81331</t>
  </si>
  <si>
    <t>2020-27739</t>
  </si>
  <si>
    <t>https://www.federalregister.gov/documents/2020/12/15/2020-27739/providing-an-order-of-succession-within-the-department-of-defense</t>
  </si>
  <si>
    <t>https://www.govinfo.gov/content/pkg/FR-2020-12-15/pdf/2020-27739.pdf</t>
  </si>
  <si>
    <t>Revokes: EO 13533, March 1, 2010</t>
  </si>
  <si>
    <t>85 FR 81333</t>
  </si>
  <si>
    <t>2020-27740</t>
  </si>
  <si>
    <t>https://www.federalregister.gov/documents/2020/12/15/2020-27740/rebranding-united-states-foreign-assistance-to-advance-american-influence</t>
  </si>
  <si>
    <t>https://www.govinfo.gov/content/pkg/FR-2020-12-15/pdf/2020-27740.pdf</t>
  </si>
  <si>
    <t>Rebranding United States Foreign Assistance To Advance American Influence</t>
  </si>
  <si>
    <t>85 FR 81337</t>
  </si>
  <si>
    <t>2020-27807</t>
  </si>
  <si>
    <t>https://www.federalregister.gov/documents/2020/12/16/2020-27807/providing-for-the-closing-of-executive-departments-and-agencies-of-the-federal-government-on</t>
  </si>
  <si>
    <t>https://www.govinfo.gov/content/pkg/FR-2020-12-16/pdf/2020-27807.pdf</t>
  </si>
  <si>
    <t>Providing for the Closing of Executive Departments and Agencies of the Federal Government on December 24, 2020</t>
  </si>
  <si>
    <t>85 FR 81777</t>
  </si>
  <si>
    <t>2020-27948</t>
  </si>
  <si>
    <t>https://www.federalregister.gov/documents/2020/12/17/2020-27948/increasing-economic-and-geographic-mobility</t>
  </si>
  <si>
    <t>https://www.govinfo.gov/content/pkg/FR-2020-12-17/pdf/2020-27948.pdf</t>
  </si>
  <si>
    <t>Increasing Economic and Geographic Mobility</t>
  </si>
  <si>
    <t>See: EO 13777, February 24, 2017</t>
  </si>
  <si>
    <t>85 FR 83739</t>
  </si>
  <si>
    <t>2020-28605</t>
  </si>
  <si>
    <t>https://www.federalregister.gov/documents/2020/12/23/2020-28605/promoting-beautiful-federal-civic-architecture</t>
  </si>
  <si>
    <t>https://www.govinfo.gov/content/pkg/FR-2020-12-23/pdf/2020-28605.pdf</t>
  </si>
  <si>
    <t>Promoting Beautiful Federal Civic Architecture</t>
  </si>
  <si>
    <t>85 FR 83745</t>
  </si>
  <si>
    <t>2020-28606</t>
  </si>
  <si>
    <t>https://www.federalregister.gov/documents/2020/12/23/2020-28606/promoting-redemption-of-savings-bonds</t>
  </si>
  <si>
    <t>https://www.govinfo.gov/content/pkg/FR-2020-12-23/pdf/2020-28606.pdf</t>
  </si>
  <si>
    <t>Promoting Redemption of Savings Bonds</t>
  </si>
  <si>
    <t>86 FR 219</t>
  </si>
  <si>
    <t>2020-29235</t>
  </si>
  <si>
    <t>https://www.federalregister.gov/documents/2021/01/04/2020-29235/expanding-educational-opportunity-through-school-choice</t>
  </si>
  <si>
    <t>https://www.govinfo.gov/content/pkg/FR-2021-01-04/pdf/2020-29235.pdf</t>
  </si>
  <si>
    <t>Expanding Educational Opportunity Through School Choice</t>
  </si>
  <si>
    <t>86 FR 421</t>
  </si>
  <si>
    <t>2021-00040</t>
  </si>
  <si>
    <t>https://www.federalregister.gov/documents/2021/01/06/2021-00040/adjustments-of-certain-rates-of-pay</t>
  </si>
  <si>
    <t>https://www.govinfo.gov/content/pkg/FR-2021-01-06/pdf/2021-00040.pdf</t>
  </si>
  <si>
    <t>Supersedes: EO 13901, December 26, 2019 
Superseded by: EO 14061, December 22, 2021</t>
  </si>
  <si>
    <t>86 FR 1249</t>
  </si>
  <si>
    <t>2021-00305</t>
  </si>
  <si>
    <t>https://www.federalregister.gov/documents/2021/01/08/2021-00305/addressing-the-threat-posed-by-applications-and-other-software-developed-or-controlled-by-chinese</t>
  </si>
  <si>
    <t>https://www.govinfo.gov/content/pkg/FR-2021-01-08/pdf/2021-00305.pdf</t>
  </si>
  <si>
    <t>Addressing the Threat Posed by Applications and Other Software Developed or Controlled by Chinese Companies</t>
  </si>
  <si>
    <t>86 FR 3727</t>
  </si>
  <si>
    <t>2021-01013</t>
  </si>
  <si>
    <t>https://www.federalregister.gov/documents/2021/01/14/2021-01013/promoting-small-modular-reactors-for-national-defense-and-space-exploration</t>
  </si>
  <si>
    <t>https://www.govinfo.gov/content/pkg/FR-2021-01-14/pdf/2021-01013.pdf</t>
  </si>
  <si>
    <t>Promoting Small Modular Reactors for National Defense and Space Exploration</t>
  </si>
  <si>
    <t>86 FR 3733</t>
  </si>
  <si>
    <t>2021-01094</t>
  </si>
  <si>
    <t>https://www.federalregister.gov/documents/2021/01/15/2021-01094/providing-an-order-of-succession-within-the-environmental-protection-agency</t>
  </si>
  <si>
    <t>https://www.govinfo.gov/content/pkg/FR-2021-01-15/pdf/2021-01094.pdf</t>
  </si>
  <si>
    <t>Revokes: EO 13763, January 13, 2017</t>
  </si>
  <si>
    <t>86 FR 4875</t>
  </si>
  <si>
    <t>2021-01228</t>
  </si>
  <si>
    <t>https://www.federalregister.gov/documents/2021/01/19/2021-01228/amending-executive-order-13959addressing-the-threat-from-securities-investments-that-finance</t>
  </si>
  <si>
    <t>https://www.govinfo.gov/content/pkg/FR-2021-01-19/pdf/2021-01228.pdf</t>
  </si>
  <si>
    <t>Amending Executive Order 13959Addressing the Threat From Securities Investments That Finance Communist Chinese Military Companies</t>
  </si>
  <si>
    <t>Amends: EO 13959, November 12, 2020 
Revoked by: EO 14032, June 3, 2021</t>
  </si>
  <si>
    <t>86 FR 6547</t>
  </si>
  <si>
    <t>2021-01469</t>
  </si>
  <si>
    <t>https://www.federalregister.gov/documents/2021/01/21/2021-01469/encouraging-buy-american-policies-for-the-united-states-postal-service</t>
  </si>
  <si>
    <t>https://www.govinfo.gov/content/pkg/FR-2021-01-21/pdf/2021-01469.pdf</t>
  </si>
  <si>
    <t>Encouraging Buy American Policies for the United States Postal Service</t>
  </si>
  <si>
    <t>See: EO 13788, April 18, 2017; EO 13858, January 31, 2019; EO 13881, July 15, 2019; Revoked by: EO 14006, January 25, 2021</t>
  </si>
  <si>
    <t>86 FR 6549</t>
  </si>
  <si>
    <t>2021-01476</t>
  </si>
  <si>
    <t>https://www.federalregister.gov/documents/2021/01/21/2021-01476/establishing-the-wildland-fire-management-policy-committee</t>
  </si>
  <si>
    <t>https://www.govinfo.gov/content/pkg/FR-2021-01-21/pdf/2021-01476.pdf</t>
  </si>
  <si>
    <t>Establishing the Wildland Fire Management Policy Committee</t>
  </si>
  <si>
    <t>86 FR 6803</t>
  </si>
  <si>
    <t>2021-01635</t>
  </si>
  <si>
    <t>https://www.federalregister.gov/documents/2021/01/22/2021-01635/protecting-law-enforcement-officers-judges-prosecutors-and-their-families</t>
  </si>
  <si>
    <t>https://www.govinfo.gov/content/pkg/FR-2021-01-22/pdf/2021-01635.pdf</t>
  </si>
  <si>
    <t>Protecting Law Enforcement Officers, Judges, Prosecutors, and Their Families</t>
  </si>
  <si>
    <t>86 FR 6809</t>
  </si>
  <si>
    <t>2021-01643</t>
  </si>
  <si>
    <t>https://www.federalregister.gov/documents/2021/01/22/2021-01643/building-the-national-garden-of-american-heroes</t>
  </si>
  <si>
    <t>https://www.govinfo.gov/content/pkg/FR-2021-01-22/pdf/2021-01643.pdf</t>
  </si>
  <si>
    <t>Building the National Garden of American Heroes</t>
  </si>
  <si>
    <t>Amends: EO 13934, July 3, 2020; Revoked by: EO 14029, May 14, 2021</t>
  </si>
  <si>
    <t>86 FR 6813</t>
  </si>
  <si>
    <t>2021-01644</t>
  </si>
  <si>
    <t>https://www.federalregister.gov/documents/2021/01/22/2021-01644/ensuring-democratic-accountability-in-agency-rulemaking</t>
  </si>
  <si>
    <t>https://www.govinfo.gov/content/pkg/FR-2021-01-22/pdf/2021-01644.pdf</t>
  </si>
  <si>
    <t>Ensuring Democratic Accountability in Agency Rulemaking</t>
  </si>
  <si>
    <t>See: EO 12866, September 30, 1993; Revoked by: EO 14018, February 24, 2021</t>
  </si>
  <si>
    <t>86 FR 6817</t>
  </si>
  <si>
    <t>2021-01645</t>
  </si>
  <si>
    <t>https://www.federalregister.gov/documents/2021/01/22/2021-01645/protecting-americans-from-overcriminalization-through-regulatory-reform</t>
  </si>
  <si>
    <t>https://www.govinfo.gov/content/pkg/FR-2021-01-22/pdf/2021-01645.pdf</t>
  </si>
  <si>
    <t>Protecting Americans From Overcriminalization Through Regulatory Reform</t>
  </si>
  <si>
    <t>86 FR 6821</t>
  </si>
  <si>
    <t>2021-01646</t>
  </si>
  <si>
    <t>https://www.federalregister.gov/documents/2021/01/22/2021-01646/protecting-the-united-states-from-certain-unmanned-aircraft-systems</t>
  </si>
  <si>
    <t>https://www.govinfo.gov/content/pkg/FR-2021-01-22/pdf/2021-01646.pdf</t>
  </si>
  <si>
    <t>Protecting the United States From Certain Unmanned Aircraft Systems</t>
  </si>
  <si>
    <t>86 FR 6833</t>
  </si>
  <si>
    <t>2021-01712</t>
  </si>
  <si>
    <t>https://www.federalregister.gov/documents/2021/01/25/2021-01712/care-of-veterans-with-service-in-uzbekistan</t>
  </si>
  <si>
    <t>https://www.govinfo.gov/content/pkg/FR-2021-01-25/pdf/2021-01712.pdf</t>
  </si>
  <si>
    <t>Care of Veterans With Service in Uzbekistan</t>
  </si>
  <si>
    <t>86 FR 6835</t>
  </si>
  <si>
    <t>2021-01713</t>
  </si>
  <si>
    <t>https://www.federalregister.gov/documents/2021/01/25/2021-01713/revocation-of-executive-order-13770</t>
  </si>
  <si>
    <t>https://www.govinfo.gov/content/pkg/FR-2021-01-25/pdf/2021-01713.pdf</t>
  </si>
  <si>
    <t>Revocation of Executive Order 13770</t>
  </si>
  <si>
    <t>Revokes: EO 13770, January 28, 2017</t>
  </si>
  <si>
    <t>86 FR 6837</t>
  </si>
  <si>
    <t>2021-01714</t>
  </si>
  <si>
    <t>https://www.federalregister.gov/documents/2021/01/25/2021-01714/taking-additional-steps-to-address-the-national-emergency-with-respect-to-significant-malicious</t>
  </si>
  <si>
    <t>https://www.govinfo.gov/content/pkg/FR-2021-01-25/pdf/2021-01714.pdf</t>
  </si>
  <si>
    <t>Taking Additional Steps To Address the National Emergency With Respect to Significant Malicious Cyber- Enabled Activities</t>
  </si>
  <si>
    <t>86 FR 7009</t>
  </si>
  <si>
    <t>2021-01753</t>
  </si>
  <si>
    <t>https://www.federalregister.gov/documents/2021/01/25/2021-01753/advancing-racial-equity-and-support-for-underserved-communities-through-the-federal-government</t>
  </si>
  <si>
    <t>https://www.govinfo.gov/content/pkg/FR-2021-01-25/pdf/2021-01753.pdf</t>
  </si>
  <si>
    <t>Advancing Racial Equity and Support for Underserved Communities Through the Federal Government</t>
  </si>
  <si>
    <t>Revokes: EO 13950, September 22, 2020; EO 13958, November 2, 2020
See: EO 14089, December 13, 2022; EO 14091, February 16, 2023; EO 14096, April 21, 2023</t>
  </si>
  <si>
    <t>86 FR 7015</t>
  </si>
  <si>
    <t>2021-01755</t>
  </si>
  <si>
    <t>https://www.federalregister.gov/documents/2021/01/25/2021-01755/ensuring-a-lawful-and-accurate-enumeration-and-apportionment-pursuant-to-the-decennial-census</t>
  </si>
  <si>
    <t>https://www.govinfo.gov/content/pkg/FR-2021-01-25/pdf/2021-01755.pdf</t>
  </si>
  <si>
    <t>Ensuring a Lawful and Accurate Enumeration and Apportionment Pursuant to the Decennial Census</t>
  </si>
  <si>
    <t>Revokes: EO 13880, July 11, 2019</t>
  </si>
  <si>
    <t>86 FR 7019</t>
  </si>
  <si>
    <t>2021-01759</t>
  </si>
  <si>
    <t>https://www.federalregister.gov/documents/2021/01/25/2021-01759/organizing-and-mobilizing-the-united-states-government-to-provide-a-unified-and-effective-response</t>
  </si>
  <si>
    <t>https://www.govinfo.gov/content/pkg/FR-2021-01-25/pdf/2021-01759.pdf</t>
  </si>
  <si>
    <t>Organizing and Mobilizing the United States Government To Provide a Unified and Effective Response To Combat COVID-19 and To Provide United States Leadership on Global Health and Security</t>
  </si>
  <si>
    <t>See: EO 13747, November 4, 2016</t>
  </si>
  <si>
    <t>86 FR 7023</t>
  </si>
  <si>
    <t>2021-01761</t>
  </si>
  <si>
    <t>https://www.federalregister.gov/documents/2021/01/25/2021-01761/preventing-and-combating-discrimination-on-the-basis-of-gender-identity-or-sexual-orientation</t>
  </si>
  <si>
    <t>https://www.govinfo.gov/content/pkg/FR-2021-01-25/pdf/2021-01761.pdf</t>
  </si>
  <si>
    <t>Preventing and Combating Discrimination on the Basis of Gender Identity or Sexual Orientation</t>
  </si>
  <si>
    <t>See: EO 14091, February 16, 2023</t>
  </si>
  <si>
    <t>86 FR 7029</t>
  </si>
  <si>
    <t>2021-01762</t>
  </si>
  <si>
    <t>https://www.federalregister.gov/documents/2021/01/25/2021-01762/ethics-commitments-by-executive-branch-personnel</t>
  </si>
  <si>
    <t>https://www.govinfo.gov/content/pkg/FR-2021-01-25/pdf/2021-01762.pdf</t>
  </si>
  <si>
    <t>86 FR 7037</t>
  </si>
  <si>
    <t>2021-01765</t>
  </si>
  <si>
    <t>https://www.federalregister.gov/documents/2021/01/25/2021-01765/protecting-public-health-and-the-environment-and-restoring-science-to-tackle-the-climate-crisis</t>
  </si>
  <si>
    <t>https://www.govinfo.gov/content/pkg/FR-2021-01-25/pdf/2021-01765.pdf</t>
  </si>
  <si>
    <t>Protecting Public Health and the Environment and Restoring Science To Tackle the Climate Crisis</t>
  </si>
  <si>
    <t xml:space="preserve">Revokes: EO 13766, January 24, 2017; EO 13778, February 28, 2017; EO 13783, March 28, 2017; EO 13792, April 26, 2017; EO 13795, April 28, 2017; EO 13807, August 15, 2017; EO 13868 of April 10, 2019; EO 13927, June 4, 2020
Revokes in part: EO 13834, May 17, 2018
Suspends: EO 13920, May 1, 2020
See: EO 14096, April 21, 2023;  </t>
  </si>
  <si>
    <t>86 FR 7045</t>
  </si>
  <si>
    <t>2021-01766</t>
  </si>
  <si>
    <t>https://www.federalregister.gov/documents/2021/01/25/2021-01766/protecting-the-federal-workforce-and-requiring-mask-wearing</t>
  </si>
  <si>
    <t>https://www.govinfo.gov/content/pkg/FR-2021-01-25/pdf/2021-01766.pdf</t>
  </si>
  <si>
    <t>Protecting the Federal Workforce and Requiring Mask-Wearing</t>
  </si>
  <si>
    <t>86 FR 7049</t>
  </si>
  <si>
    <t>2021-01767</t>
  </si>
  <si>
    <t>https://www.federalregister.gov/documents/2021/01/25/2021-01767/revocation-of-certain-executive-orders-concerning-federal-regulation</t>
  </si>
  <si>
    <t>https://www.govinfo.gov/content/pkg/FR-2021-01-25/pdf/2021-01767.pdf</t>
  </si>
  <si>
    <t>Revocation of Certain Executive Orders Concerning Federal Regulation</t>
  </si>
  <si>
    <t>Revokes: EO 13771, January 30, 2017; EO 13777, February 24, 2017;  EO 13875, June 14, 2019; EO 13891, October 9, 2019; EO 13892, October 9, 2019; EO 13893, October 10, 2019</t>
  </si>
  <si>
    <t>86 FR 7051</t>
  </si>
  <si>
    <t>2021-01768</t>
  </si>
  <si>
    <t>https://www.federalregister.gov/documents/2021/01/25/2021-01768/revision-of-civil-immigration-enforcement-policies-and-priorities</t>
  </si>
  <si>
    <t>https://www.govinfo.gov/content/pkg/FR-2021-01-25/pdf/2021-01768.pdf</t>
  </si>
  <si>
    <t>Revision of Civil Immigration Enforcement Policies and Priorities</t>
  </si>
  <si>
    <t>Revokes: EO 13768, January 25, 2017</t>
  </si>
  <si>
    <t>86 FR 7189</t>
  </si>
  <si>
    <t>2021-01849</t>
  </si>
  <si>
    <t>https://www.federalregister.gov/documents/2021/01/26/2021-01849/ensuring-a-data-driven-response-to-covid-19-and-future-high-consequence-public-health-threats</t>
  </si>
  <si>
    <t>https://www.govinfo.gov/content/pkg/FR-2021-01-26/pdf/2021-01849.pdf</t>
  </si>
  <si>
    <t>Ensuring a Data-Driven Response to COVID-19 and Future High-Consequence Public Health Threats</t>
  </si>
  <si>
    <t>86 FR 7193</t>
  </si>
  <si>
    <t>2021-01852</t>
  </si>
  <si>
    <t>https://www.federalregister.gov/documents/2021/01/26/2021-01852/ensuring-an-equitable-pandemic-response-and-recovery</t>
  </si>
  <si>
    <t>https://www.govinfo.gov/content/pkg/FR-2021-01-26/pdf/2021-01852.pdf</t>
  </si>
  <si>
    <t>Ensuring an Equitable Pandemic Response and Recovery</t>
  </si>
  <si>
    <t>See: EO 13994, January 21, 2021</t>
  </si>
  <si>
    <t>86 FR 7197</t>
  </si>
  <si>
    <t>2021-01854</t>
  </si>
  <si>
    <t>https://www.federalregister.gov/documents/2021/01/26/2021-01854/establishing-the-covid-19-pandemic-testing-board-and-ensuring-a-sustainable-public-health-workforce</t>
  </si>
  <si>
    <t>https://www.govinfo.gov/content/pkg/FR-2021-01-26/pdf/2021-01854.pdf</t>
  </si>
  <si>
    <t>Establishing the COVID-19 Pandemic Testing Board and Ensuring a Sustainable Public Health Workforce for COVID-19 and Other Biological Threats</t>
  </si>
  <si>
    <t>86 FR 7201</t>
  </si>
  <si>
    <t>2021-01858</t>
  </si>
  <si>
    <t>https://www.federalregister.gov/documents/2021/01/26/2021-01858/improving-and-expanding-access-to-care-and-treatments-for-covid-19</t>
  </si>
  <si>
    <t>https://www.govinfo.gov/content/pkg/FR-2021-01-26/pdf/2021-01858.pdf</t>
  </si>
  <si>
    <t>Improving and Expanding Access to Care and Treatments for COVID-19</t>
  </si>
  <si>
    <t>86 FR 7205</t>
  </si>
  <si>
    <t>2021-01859</t>
  </si>
  <si>
    <t>https://www.federalregister.gov/documents/2021/01/26/2021-01859/promoting-covid-19-safety-in-domestic-and-international-travel</t>
  </si>
  <si>
    <t>https://www.govinfo.gov/content/pkg/FR-2021-01-26/pdf/2021-01859.pdf</t>
  </si>
  <si>
    <t>Promoting COVID-19 Safety in Domestic and International Travel</t>
  </si>
  <si>
    <t>86 FR 7211</t>
  </si>
  <si>
    <t>2021-01863</t>
  </si>
  <si>
    <t>https://www.federalregister.gov/documents/2021/01/26/2021-01863/protecting-worker-health-and-safety</t>
  </si>
  <si>
    <t>https://www.govinfo.gov/content/pkg/FR-2021-01-26/pdf/2021-01863.pdf</t>
  </si>
  <si>
    <t>Protecting Worker Health and Safety</t>
  </si>
  <si>
    <t>86 FR 7215</t>
  </si>
  <si>
    <t>2021-01864</t>
  </si>
  <si>
    <t>https://www.federalregister.gov/documents/2021/01/26/2021-01864/supporting-the-reopening-and-continuing-operation-of-schools-and-early-childhood-education-providers</t>
  </si>
  <si>
    <t>https://www.govinfo.gov/content/pkg/FR-2021-01-26/pdf/2021-01864.pdf</t>
  </si>
  <si>
    <t>Supporting the Reopening and Continuing Operation of Schools and Early Childhood Education Providers</t>
  </si>
  <si>
    <t>See: EO 14098, May 4, 2023</t>
  </si>
  <si>
    <t>86 FR 7219</t>
  </si>
  <si>
    <t>2021-01865</t>
  </si>
  <si>
    <t>https://www.federalregister.gov/documents/2021/01/26/2021-01865/a-sustainable-public-health-supply-chain</t>
  </si>
  <si>
    <t>https://www.govinfo.gov/content/pkg/FR-2021-01-26/pdf/2021-01865.pdf</t>
  </si>
  <si>
    <t>A Sustainable Public Health Supply Chain</t>
  </si>
  <si>
    <t>See: EO 13910, March 23, 2020</t>
  </si>
  <si>
    <t>86 FR 7229</t>
  </si>
  <si>
    <t>2021-01923</t>
  </si>
  <si>
    <t>https://www.federalregister.gov/documents/2021/01/27/2021-01923/economic-relief-related-to-the-covid-19-pandemic</t>
  </si>
  <si>
    <t>https://www.govinfo.gov/content/pkg/FR-2021-01-27/pdf/2021-01923.pdf</t>
  </si>
  <si>
    <t>Economic Relief Related to the COVID-19 Pandemic</t>
  </si>
  <si>
    <t>86 FR 7231</t>
  </si>
  <si>
    <t>2021-01924</t>
  </si>
  <si>
    <t>https://www.federalregister.gov/documents/2021/01/27/2021-01924/protecting-the-federal-workforce</t>
  </si>
  <si>
    <t>https://www.govinfo.gov/content/pkg/FR-2021-01-27/pdf/2021-01924.pdf</t>
  </si>
  <si>
    <t>Protecting the Federal Workforce</t>
  </si>
  <si>
    <t>Revokes: EO 13957 of October 21, 2020; EO EO 13836, May 25, 2018; EO 13837, May 25, 2018; EO 13839, May 25, 2018</t>
  </si>
  <si>
    <t>86 FR 7471</t>
  </si>
  <si>
    <t>2021-02034</t>
  </si>
  <si>
    <t>https://www.federalregister.gov/documents/2021/01/28/2021-02034/enabling-all-qualified-americans-to-serve-their-country-in-uniform</t>
  </si>
  <si>
    <t>https://www.govinfo.gov/content/pkg/FR-2021-01-28/pdf/2021-02034.pdf</t>
  </si>
  <si>
    <t>Enabling All Qualified Americans To Serve Their Country in Uniform</t>
  </si>
  <si>
    <t>86 FR 7475</t>
  </si>
  <si>
    <t>2021-02038</t>
  </si>
  <si>
    <t>https://www.federalregister.gov/documents/2021/01/28/2021-02038/ensuring-the-future-is-made-in-all-of-america-by-all-of-americas-workers</t>
  </si>
  <si>
    <t>https://www.govinfo.gov/content/pkg/FR-2021-01-28/pdf/2021-02038.pdf</t>
  </si>
  <si>
    <t>Ensuring the Future Is Made in All of America by All of America's Workers</t>
  </si>
  <si>
    <t xml:space="preserve">Supersedes: EO 10582, December 17, 1954; EO 13881, July 15, 2019
See: EO 12866, September 30, 1993; EO 14104, July 28, 2023
Revokes: EO 13788, April 18, 2017; EO 13975, January 14, 2021
Partially revokes: EO 13858, January 31, 2019 </t>
  </si>
  <si>
    <t>86 FR 7483</t>
  </si>
  <si>
    <t>2021-02070</t>
  </si>
  <si>
    <t>https://www.federalregister.gov/documents/2021/01/29/2021-02070/reforming-our-incarceration-system-to-eliminate-the-use-of-privately-operated-criminal-detention</t>
  </si>
  <si>
    <t>https://www.govinfo.gov/content/pkg/FR-2021-01-29/pdf/2021-02070.pdf</t>
  </si>
  <si>
    <t>Reforming Our Incarceration System To Eliminate the Use of Privately Operated Criminal Detention Facilities</t>
  </si>
  <si>
    <t>86 FR 7615</t>
  </si>
  <si>
    <t>2021-02176</t>
  </si>
  <si>
    <t>https://www.federalregister.gov/documents/2021/02/01/2021-02176/presidents-council-of-advisors-on-science-and-technology</t>
  </si>
  <si>
    <t>https://www.govinfo.gov/content/pkg/FR-2021-02-01/pdf/2021-02176.pdf</t>
  </si>
  <si>
    <t>See: EO 12968, August 2, 1995 
Revokes: EO 13895, October 22, 2019
Amended by: EO 14044, September 13, 2021</t>
  </si>
  <si>
    <t>86 FR 7619</t>
  </si>
  <si>
    <t>2021-02177</t>
  </si>
  <si>
    <t>https://www.federalregister.gov/documents/2021/02/01/2021-02177/tackling-the-climate-crisis-at-home-and-abroad</t>
  </si>
  <si>
    <t>https://www.govinfo.gov/content/pkg/FR-2021-02-01/pdf/2021-02177.pdf</t>
  </si>
  <si>
    <t>Tackling the Climate Crisis at Home and Abroad</t>
  </si>
  <si>
    <t>Amends: EO 12898, February 11, 1994
See: EO 14005 of January 25, 2021; EO 14091, February 16, 2023; EO 14096, April 21, 2023
Amended by: EO 14082, September 12, 2022</t>
  </si>
  <si>
    <t>86 FR 7793</t>
  </si>
  <si>
    <t>2021-02252</t>
  </si>
  <si>
    <t>https://www.federalregister.gov/documents/2021/02/02/2021-02252/strengthening-medicaid-and-the-affordable-care-act</t>
  </si>
  <si>
    <t>https://www.govinfo.gov/content/pkg/FR-2021-02-02/pdf/2021-02252.pdf</t>
  </si>
  <si>
    <t>Strengthening Medicaid and the Affordable Care Act</t>
  </si>
  <si>
    <t>Revokes: EO 13765, January 20, 2017; EO 13813, October 12, 2017
Amends: EO 14031, May 28, 2021; EO 14084, September 30, 2022
Supersedes: EO 14048, September 30, 2021</t>
  </si>
  <si>
    <t>86 FR 8267</t>
  </si>
  <si>
    <t>2021-02561</t>
  </si>
  <si>
    <t>https://www.federalregister.gov/documents/2021/02/05/2021-02561/creating-a-comprehensive-regional-framework-to-address-the-causes-of-migration-to-manage-migration</t>
  </si>
  <si>
    <t>https://www.govinfo.gov/content/pkg/FR-2021-02-05/pdf/2021-02561.pdf</t>
  </si>
  <si>
    <t>Creating a Comprehensive Regional Framework To Address the Causes of Migration, To Manage Migration Throughout North and Central America, and To Provide Safe and Orderly Processing of Asylum Seekers at the United States Border</t>
  </si>
  <si>
    <t>Revokes: EO 13767, January 25, 2017</t>
  </si>
  <si>
    <t>86 FR 8273</t>
  </si>
  <si>
    <t>2021-02562</t>
  </si>
  <si>
    <t>https://www.federalregister.gov/documents/2021/02/05/2021-02562/establishment-of-interagency-task-force-on-the-reunification-of-families</t>
  </si>
  <si>
    <t>https://www.govinfo.gov/content/pkg/FR-2021-02-05/pdf/2021-02562.pdf</t>
  </si>
  <si>
    <t>Establishment of Interagency Task Force on the Reunification of Families</t>
  </si>
  <si>
    <t>Revokes: EO 13841, June 20, 2018</t>
  </si>
  <si>
    <t>86 FR 8277</t>
  </si>
  <si>
    <t>2021-02563</t>
  </si>
  <si>
    <t>https://www.federalregister.gov/documents/2021/02/05/2021-02563/restoring-faith-in-our-legal-immigration-systems-and-strengthening-integration-and-inclusion-efforts</t>
  </si>
  <si>
    <t>https://www.govinfo.gov/content/pkg/FR-2021-02-05/pdf/2021-02563.pdf</t>
  </si>
  <si>
    <t>Restoring Faith in Our Legal Immigration Systems and Strengthening Integration and Inclusion Efforts for New Americans</t>
  </si>
  <si>
    <t>86 FR 8839</t>
  </si>
  <si>
    <t>2021-02804</t>
  </si>
  <si>
    <t>https://www.federalregister.gov/documents/2021/02/09/2021-02804/rebuilding-and-enhancing-programs-to-resettle-refugees-and-planning-for-the-impact-of-climate-change</t>
  </si>
  <si>
    <t>https://www.govinfo.gov/content/pkg/FR-2021-02-09/pdf/2021-02804.pdf</t>
  </si>
  <si>
    <t>Rebuilding and Enhancing Programs To Resettle Refugees and Planning for the Impact of Climate Change on Migration</t>
  </si>
  <si>
    <t>Revokes: EO 13815, October 24, 2017; EO 13888, September 26, 2019</t>
  </si>
  <si>
    <t>86 FR 9429</t>
  </si>
  <si>
    <t>2021-03139</t>
  </si>
  <si>
    <t>https://www.federalregister.gov/documents/2021/02/12/2021-03139/blocking-property-with-respect-to-the-situation-in-burma</t>
  </si>
  <si>
    <t>https://www.govinfo.gov/content/pkg/FR-2021-02-12/pdf/2021-03139.pdf</t>
  </si>
  <si>
    <t>Blocking Property With Respect to the Situation in Burma</t>
  </si>
  <si>
    <t>See: EO 13742, October 7, 2016</t>
  </si>
  <si>
    <t>86 FR 10007</t>
  </si>
  <si>
    <t>2021-03424</t>
  </si>
  <si>
    <t>https://www.federalregister.gov/documents/2021/02/18/2021-03424/establishment-of-the-white-house-office-of-faith--based-and-neighborhood-partnerships</t>
  </si>
  <si>
    <t>https://www.govinfo.gov/content/pkg/FR-2021-02-18/pdf/2021-03424.pdf</t>
  </si>
  <si>
    <t>Establishment of the White House Office of Faith- Based and Neighborhood Partnerships</t>
  </si>
  <si>
    <t>Amends: EO 13198, January 29, 2001; EO 13279, December 12, 2002;  EO 13280, December 12, 2002, EO 13342, June 1, 2004; EO 13397, March 7, 2006; Revokes: EO 13831, May 3, 2018</t>
  </si>
  <si>
    <t>86 FR 11089</t>
  </si>
  <si>
    <t>2021-03874</t>
  </si>
  <si>
    <t>https://www.federalregister.gov/documents/2021/02/23/2021-03874/revocation-of-executive-order-13801</t>
  </si>
  <si>
    <t>https://www.govinfo.gov/content/pkg/FR-2021-02-23/pdf/2021-03874.pdf</t>
  </si>
  <si>
    <t>Revocation of Executive Order 13801</t>
  </si>
  <si>
    <t>Revokes: EO 13801, June 15, 2017</t>
  </si>
  <si>
    <t>86 FR 11849</t>
  </si>
  <si>
    <t>2021-04280</t>
  </si>
  <si>
    <t>https://www.federalregister.gov/documents/2021/03/01/2021-04280/americas-supply-chains</t>
  </si>
  <si>
    <t>https://www.govinfo.gov/content/pkg/FR-2021-03-01/pdf/2021-04280.pdf</t>
  </si>
  <si>
    <t>America's Supply Chains</t>
  </si>
  <si>
    <t>See: EO 13806, July 21, 2017; EO 13953, September 30, 2020; EO 14001, January 21, 2021</t>
  </si>
  <si>
    <t>86 FR 11855</t>
  </si>
  <si>
    <t>2021-04281</t>
  </si>
  <si>
    <t>https://www.federalregister.gov/documents/2021/03/01/2021-04281/revocation-of-certain-presidential-actions</t>
  </si>
  <si>
    <t>https://www.govinfo.gov/content/pkg/FR-2021-03-01/pdf/2021-04281.pdf</t>
  </si>
  <si>
    <t>Revocation of Certain Presidential Actions</t>
  </si>
  <si>
    <t>Revokes: EO 13772, February 3, 2017; EO 13828, April 10, 2018; Memorandum of January 29, 2020; EO 13924, May 19, 2020; Memorandum of September 2, 2020; EO 13967, December 18, 2020; EO 13979, January 18, 2021</t>
  </si>
  <si>
    <t>86 FR 13623</t>
  </si>
  <si>
    <t>2021-05087</t>
  </si>
  <si>
    <t>https://www.federalregister.gov/documents/2021/03/10/2021-05087/promoting-access-to-voting</t>
  </si>
  <si>
    <t>https://www.govinfo.gov/content/pkg/FR-2021-03-10/pdf/2021-05087.pdf</t>
  </si>
  <si>
    <t>Promoting Access to Voting</t>
  </si>
  <si>
    <t>Partially supersedes: EO 12926, September 12, 1994</t>
  </si>
  <si>
    <t>86 FR 13797</t>
  </si>
  <si>
    <t>2021-05183</t>
  </si>
  <si>
    <t>https://www.federalregister.gov/documents/2021/03/11/2021-05183/establishment-of-the-white-house-gender-policy-council</t>
  </si>
  <si>
    <t>https://www.govinfo.gov/content/pkg/FR-2021-03-11/pdf/2021-05183.pdf</t>
  </si>
  <si>
    <t>Establishment of the White House Gender Policy Council</t>
  </si>
  <si>
    <t>See: EO 12250, November 2, 1980; EO 13995, January 21, 2021; EO 14091, February 16, 2023</t>
  </si>
  <si>
    <t>86 FR 13803</t>
  </si>
  <si>
    <t>2021-05200</t>
  </si>
  <si>
    <t>https://www.federalregister.gov/documents/2021/03/11/2021-05200/guaranteeing-an-educational-environment-free-from-discrimination-on-the-basis-of-sex-including</t>
  </si>
  <si>
    <t>https://www.govinfo.gov/content/pkg/FR-2021-03-11/pdf/2021-05200.pdf</t>
  </si>
  <si>
    <t>Guaranteeing an Educational Environment Free From Discrimination on the Basis of Sex, Including Sexual Orientation or Gender Identity</t>
  </si>
  <si>
    <t>86 FR 17895</t>
  </si>
  <si>
    <t>2021-07239</t>
  </si>
  <si>
    <t>https://www.federalregister.gov/documents/2021/04/07/2021-07239/termination-of-emergency-with-respect-to-the-international-criminal-court</t>
  </si>
  <si>
    <t>https://www.govinfo.gov/content/pkg/FR-2021-04-07/pdf/2021-07239.pdf</t>
  </si>
  <si>
    <t>Termination of Emergency With Respect to the International Criminal Court</t>
  </si>
  <si>
    <t>Revokes: EO 13928, June 11, 2020</t>
  </si>
  <si>
    <t>86 FR 19569</t>
  </si>
  <si>
    <t>2021-07756</t>
  </si>
  <si>
    <t>https://www.federalregister.gov/documents/2021/04/14/2021-07756/establishment-of-the-presidential-commission-on-the-supreme-court-of-the-united-states</t>
  </si>
  <si>
    <t>https://www.govinfo.gov/content/pkg/FR-2021-04-14/pdf/2021-07756.pdf</t>
  </si>
  <si>
    <t>Establishment of the Presidential Commission on the Supreme Court of the United States</t>
  </si>
  <si>
    <t>86 FR 20249</t>
  </si>
  <si>
    <t>2021-08098</t>
  </si>
  <si>
    <t>https://www.federalregister.gov/documents/2021/04/19/2021-08098/blocking-property-with-respect-to-specified-harmful-foreign-activities-of-the-government-of-the</t>
  </si>
  <si>
    <t>https://www.govinfo.gov/content/pkg/FR-2021-04-19/pdf/2021-08098.pdf</t>
  </si>
  <si>
    <t>Blocking Property With Respect To Specified Harmful Foreign Activities of the Government of the Russian Federation</t>
  </si>
  <si>
    <t>Amended by: EO 14114, December 12, 2023</t>
  </si>
  <si>
    <t>86 FR 22829</t>
  </si>
  <si>
    <t>2021-09213</t>
  </si>
  <si>
    <t>https://www.federalregister.gov/documents/2021/04/29/2021-09213/worker-organizing-and-empowerment</t>
  </si>
  <si>
    <t>https://www.govinfo.gov/content/pkg/FR-2021-04-29/pdf/2021-09213.pdf</t>
  </si>
  <si>
    <t>Worker Organizing and Empowerment</t>
  </si>
  <si>
    <t>Revokes: EO 13845, July 19, 2018; EO 13931, June 26, 2020</t>
  </si>
  <si>
    <t>86 FR 22835</t>
  </si>
  <si>
    <t>2021-09263</t>
  </si>
  <si>
    <t>https://www.federalregister.gov/documents/2021/04/30/2021-09263/increasing-the-minimum-wage-for-federal-contractors</t>
  </si>
  <si>
    <t>https://www.govinfo.gov/content/pkg/FR-2021-04-30/pdf/2021-09263.pdf</t>
  </si>
  <si>
    <t>Increasing the Minimum Wage for Federal Contractors</t>
  </si>
  <si>
    <t>Revokes: EO 13838, May 25, 2018 
Supersedes: EO 13658, February 12, 2014</t>
  </si>
  <si>
    <t>86 FR 25947</t>
  </si>
  <si>
    <t>2021-10139</t>
  </si>
  <si>
    <t>https://www.federalregister.gov/documents/2021/05/12/2021-10139/establishment-of-the-climate-change-support-office</t>
  </si>
  <si>
    <t>https://www.govinfo.gov/content/pkg/FR-2021-05-12/pdf/2021-10139.pdf</t>
  </si>
  <si>
    <t>Establishment of the Climate Change Support Office</t>
  </si>
  <si>
    <t>See: EO 14008, January 27, 2021</t>
  </si>
  <si>
    <t>86 FR 26633</t>
  </si>
  <si>
    <t>2021-10460</t>
  </si>
  <si>
    <t>https://www.federalregister.gov/documents/2021/05/17/2021-10460/improving-the-nations-cybersecurity</t>
  </si>
  <si>
    <t>https://www.govinfo.gov/content/pkg/FR-2021-05-17/pdf/2021-10460.pdf</t>
  </si>
  <si>
    <t>Improving the Nation's Cybersecurity</t>
  </si>
  <si>
    <t>86 FR 27025</t>
  </si>
  <si>
    <t>2021-10691</t>
  </si>
  <si>
    <t>https://www.federalregister.gov/documents/2021/05/19/2021-10691/revocation-of-certain-presidential-actions-and-technical-amendment</t>
  </si>
  <si>
    <t>https://www.govinfo.gov/content/pkg/FR-2021-05-19/pdf/2021-10691.pdf</t>
  </si>
  <si>
    <t>Revocation of Certain Presidential Actions and Technical Amendment</t>
  </si>
  <si>
    <t>Revokes: EO 13925, May 28, 2020; EO 13933, June 26, 2020; EO 13934, July 3, 2020; EO 13964, December 10, 2020; EO 13978, January 18, 2021; EO 13980, January 18, 2021 
See: EO 14003, January 22, 2021; EO 13957, October 21, 2020</t>
  </si>
  <si>
    <t>86 FR 27967</t>
  </si>
  <si>
    <t>2021-11168</t>
  </si>
  <si>
    <t>https://www.federalregister.gov/documents/2021/05/25/2021-11168/climate-related-financial-risk</t>
  </si>
  <si>
    <t>https://www.govinfo.gov/content/pkg/FR-2021-05-25/pdf/2021-11168.pdf</t>
  </si>
  <si>
    <t>Climate-Related Financial Risk</t>
  </si>
  <si>
    <t>See: EO 13707, September 15, 2015; EO 13807, August 15, 2017; EO 13985, January 20, 2021; EO 14008, January 27, 2021
Reinstates: EO 13690, January 30, 2015</t>
  </si>
  <si>
    <t>86 FR 29675</t>
  </si>
  <si>
    <t>2021-11792</t>
  </si>
  <si>
    <t>https://www.federalregister.gov/documents/2021/06/03/2021-11792/advancing-equity-justice-and-opportunity-for-asian-americans-native-hawaiians-and-pacific-islanders</t>
  </si>
  <si>
    <t>https://www.govinfo.gov/content/pkg/FR-2021-06-03/pdf/2021-11792.pdf</t>
  </si>
  <si>
    <t>Advancing Equity, Justice, and Opportunity for Asian Americans, Native Hawaiians, and Pacific Islanders</t>
  </si>
  <si>
    <t>Supersedes: EO 13125, June 7, 1999; EO 13339, May 13, 2004; EO 13515, October 14, 2009; EO 13872, May 13, 2019
See: EO 13985, January 20, 2021; EO 14091, February 16, 2023
Amended by: EO 14109, September 29, 2023</t>
  </si>
  <si>
    <t>86 FR 30145</t>
  </si>
  <si>
    <t>2021-12019</t>
  </si>
  <si>
    <t>https://www.federalregister.gov/documents/2021/06/07/2021-12019/addressing-the-threat-from-securities-investments-that-finance-certain-companies-of-the-peoples</t>
  </si>
  <si>
    <t>https://www.govinfo.gov/content/pkg/FR-2021-06-07/pdf/2021-12019.pdf</t>
  </si>
  <si>
    <t>Addressing the Threat From Securities Investments That Finance Certain Companies of the People's Republic of China</t>
  </si>
  <si>
    <t>Supersedes in part: EO 13959, November 12, 2020 
Revokes: EO 13974, January 13, 2021</t>
  </si>
  <si>
    <t>86 FR 31079</t>
  </si>
  <si>
    <t>2021-12382</t>
  </si>
  <si>
    <t>https://www.federalregister.gov/documents/2021/06/10/2021-12382/blocking-property-and-suspending-entry-into-the-united-states-of-certain-persons-contributing-to-the</t>
  </si>
  <si>
    <t>https://www.govinfo.gov/content/pkg/FR-2021-06-10/pdf/2021-12382.pdf</t>
  </si>
  <si>
    <t>Blocking Property and Suspending Entry Into the United States of Certain Persons Contributing to the Destabilizing Situation in the Western Balkans</t>
  </si>
  <si>
    <t>See: EO 13219, June 26, 2001; EO 13304, May 28, 2003</t>
  </si>
  <si>
    <t>86 FR 31423</t>
  </si>
  <si>
    <t>2021-12506</t>
  </si>
  <si>
    <t>https://www.federalregister.gov/documents/2021/06/11/2021-12506/protecting-americans-sensitive-data-from-foreign-adversaries</t>
  </si>
  <si>
    <t>https://www.govinfo.gov/content/pkg/FR-2021-06-11/pdf/2021-12506.pdf</t>
  </si>
  <si>
    <t>Protecting Americans' Sensitive Data From Foreign Adversaries</t>
  </si>
  <si>
    <t>See: EO 13873, May 15, 2019 
Revokes: EO 13942, August 6, 2020; EO 13943, August 6, 2020; EO 13971, January 5, 2021</t>
  </si>
  <si>
    <t>86 FR 34593</t>
  </si>
  <si>
    <t>2021-14127</t>
  </si>
  <si>
    <t>https://www.federalregister.gov/documents/2021/06/30/2021-14127/diversity-equity-inclusion-and-accessibility-in-the-federal-workforce</t>
  </si>
  <si>
    <t>https://www.govinfo.gov/content/pkg/FR-2021-06-30/pdf/2021-14127.pdf</t>
  </si>
  <si>
    <t>Diversity, Equity, Inclusion, and Accessibility in the Federal Workforce</t>
  </si>
  <si>
    <t>See: EO 13548, July 26, 2010; EO 13583, August 18, 2011; EO 13985, January 20, 2021; EO 13988, January 20, 2021; EO 14020, March 8, 2021; EO 14091, February 16, 2023; EO 14100, June 9, 2023</t>
  </si>
  <si>
    <t>86 FR 36987</t>
  </si>
  <si>
    <t>2021-15069</t>
  </si>
  <si>
    <t>https://www.federalregister.gov/documents/2021/07/14/2021-15069/promoting-competition-in-the-american-economy</t>
  </si>
  <si>
    <t>https://www.govinfo.gov/content/pkg/FR-2021-07-14/pdf/2021-15069.pdf</t>
  </si>
  <si>
    <t>Promoting Competition in the American Economy</t>
  </si>
  <si>
    <t>See: EO 13725, April 15, 2016</t>
  </si>
  <si>
    <t>86 FR 43583</t>
  </si>
  <si>
    <t>2021-17121</t>
  </si>
  <si>
    <t>https://www.federalregister.gov/documents/2021/08/10/2021-17121/strengthening-american-leadership-in-clean-cars-and-trucks</t>
  </si>
  <si>
    <t>https://www.govinfo.gov/content/pkg/FR-2021-08-10/pdf/2021-17121.pdf</t>
  </si>
  <si>
    <t>Strengthening American Leadership in Clean Cars and Trucks</t>
  </si>
  <si>
    <t>86 FR 43905</t>
  </si>
  <si>
    <t>2021-17253</t>
  </si>
  <si>
    <t>https://www.federalregister.gov/documents/2021/08/11/2021-17253/blocking-property-of-additional-persons-contributing-to-the-situation-in-belarus</t>
  </si>
  <si>
    <t>https://www.govinfo.gov/content/pkg/FR-2021-08-11/pdf/2021-17253.pdf</t>
  </si>
  <si>
    <t>Blocking Property of Additional Persons Contributing to the Situation in Belarus</t>
  </si>
  <si>
    <t>See: EO 13405, June 16, 2006</t>
  </si>
  <si>
    <t>86 FR 47205</t>
  </si>
  <si>
    <t>2021-18306</t>
  </si>
  <si>
    <t>https://www.federalregister.gov/documents/2021/08/24/2021-18306/blocking-property-with-respect-to-certain-russian-energy-export-pipelines</t>
  </si>
  <si>
    <t>https://www.govinfo.gov/content/pkg/FR-2021-08-24/pdf/2021-18306.pdf</t>
  </si>
  <si>
    <t>Blocking Property With Respect to Certain Russian Energy Export Pipelines</t>
  </si>
  <si>
    <t>See: EO 14024, April 15, 2021; EO 14114, December 12, 2023</t>
  </si>
  <si>
    <t>86 FR 50439</t>
  </si>
  <si>
    <t>2021-19578</t>
  </si>
  <si>
    <t>https://www.federalregister.gov/documents/2021/09/09/2021-19578/declassification-reviews-of-certain-documents-concerning-the-terrorist-attacks-of-september-11-2001</t>
  </si>
  <si>
    <t>https://www.govinfo.gov/content/pkg/FR-2021-09-09/pdf/2021-19578.pdf</t>
  </si>
  <si>
    <t>Declassification Reviews of Certain Documents Concerning the Terrorist Attacks of September 11, 2001</t>
  </si>
  <si>
    <t>See: EO 13526, December 29, 2009</t>
  </si>
  <si>
    <t>86 FR 50443</t>
  </si>
  <si>
    <t>2021-19579</t>
  </si>
  <si>
    <t>https://www.federalregister.gov/documents/2021/09/09/2021-19579/white-house-initiative-on-advancing-educational-equity-excellence-and-economic-opportunity-through</t>
  </si>
  <si>
    <t>https://www.govinfo.gov/content/pkg/FR-2021-09-09/pdf/2021-19579.pdf</t>
  </si>
  <si>
    <t>White House Initiative on Advancing Educational Equity, Excellence, and Economic Opportunity Through Historically Black Colleges and Universities</t>
  </si>
  <si>
    <t>See: EO 14091, February 16, 2023
Supersedes: EO 13779, February 28, 2017</t>
  </si>
  <si>
    <t>86 FR 50985</t>
  </si>
  <si>
    <t>2021-19924</t>
  </si>
  <si>
    <t>https://www.federalregister.gov/documents/2021/09/14/2021-19924/ensuring-adequate-covid-safety-protocols-for-federal-contractors</t>
  </si>
  <si>
    <t>https://www.govinfo.gov/content/pkg/FR-2021-09-14/pdf/2021-19924.pdf</t>
  </si>
  <si>
    <t>Ensuring Adequate COVID Safety Protocols for Federal Contractors</t>
  </si>
  <si>
    <t>Revoked by: EO 14099, May 9, 2023</t>
  </si>
  <si>
    <t>86 FR 50989</t>
  </si>
  <si>
    <t>2021-19927</t>
  </si>
  <si>
    <t>https://www.federalregister.gov/documents/2021/09/14/2021-19927/requiring-coronavirus-disease-2019-vaccination-for-federal-employees</t>
  </si>
  <si>
    <t>https://www.govinfo.gov/content/pkg/FR-2021-09-14/pdf/2021-19927.pdf</t>
  </si>
  <si>
    <t>Requiring Coronavirus Disease 2019 Vaccination for Federal Employees</t>
  </si>
  <si>
    <t>See:  EO 13991, January 20, 2021
Revoked by: EO 14099, May 9, 2023</t>
  </si>
  <si>
    <t>86 FR 51579</t>
  </si>
  <si>
    <t>2021-20164</t>
  </si>
  <si>
    <t>https://www.federalregister.gov/documents/2021/09/16/2021-20164/amending-executive-order-14007</t>
  </si>
  <si>
    <t>https://www.govinfo.gov/content/pkg/FR-2021-09-16/pdf/2021-20164.pdf</t>
  </si>
  <si>
    <t>Amending Executive Order 14007</t>
  </si>
  <si>
    <t>Amends: EO 14007, January 27, 2021</t>
  </si>
  <si>
    <t>86 FR 51581</t>
  </si>
  <si>
    <t>2021-20165</t>
  </si>
  <si>
    <t>https://www.federalregister.gov/documents/2021/09/16/2021-20165/white-house-initiative-on-advancing-educational-equity-excellence-and-economic-opportunity-for</t>
  </si>
  <si>
    <t>https://www.govinfo.gov/content/pkg/FR-2021-09-16/pdf/2021-20165.pdf</t>
  </si>
  <si>
    <t>White House Initiative on Advancing Educational Equity, Excellence, and Economic Opportunity for Hispanics</t>
  </si>
  <si>
    <t xml:space="preserve">Supersedes: EO 13935, July 9, 2020
See: EO 14091, February 16, 2023 </t>
  </si>
  <si>
    <t>86 FR 52389</t>
  </si>
  <si>
    <t>2021-20508</t>
  </si>
  <si>
    <t>https://www.federalregister.gov/documents/2021/09/21/2021-20508/imposing-sanctions-on-certain-persons-with-respect-to-the-humanitarian-and-human-rights-crisis-in</t>
  </si>
  <si>
    <t>https://www.govinfo.gov/content/pkg/FR-2021-09-21/pdf/2021-20508.pdf</t>
  </si>
  <si>
    <t>Imposing Sanctions on Certain Persons With Respect to the Humanitarian and Human Rights Crisis in Ethiopia</t>
  </si>
  <si>
    <t>86 FR 52591</t>
  </si>
  <si>
    <t>2021-20629</t>
  </si>
  <si>
    <t>https://www.federalregister.gov/documents/2021/09/22/2021-20629/adding-measles-to-the-list-of-quarantinable-communicable-diseases</t>
  </si>
  <si>
    <t>https://www.govinfo.gov/content/pkg/FR-2021-09-22/pdf/2021-20629.pdf</t>
  </si>
  <si>
    <t>Adding Measles to the List of Quarantinable Communicable Diseases</t>
  </si>
  <si>
    <t>Amends: EO 13295, April 4, 2003 
See: EO 13375, April 1, 2005; EO 13674, July 31, 2014</t>
  </si>
  <si>
    <t>86 FR 55465</t>
  </si>
  <si>
    <t>2021-21908</t>
  </si>
  <si>
    <t>https://www.federalregister.gov/documents/2021/10/05/2021-21908/continuance-or-reestablishment-of-certain-federal-advisory-committees-and-amendments-to-other</t>
  </si>
  <si>
    <t>https://www.govinfo.gov/content/pkg/FR-2021-10-05/pdf/2021-21908.pdf</t>
  </si>
  <si>
    <t>Continuance or Reestablishment of Certain Federal Advisory Committees and Amendments to Other Executive Orders</t>
  </si>
  <si>
    <t>Amends: EO 11287, June 28, 1966; EO 12382, September 13, 1982; EO 13231, October 16, 2001; EO 13265, June 6, 2002 
Partially supersedes: EO 13889, September 27, 2019 
See: EO 11145, March 7, 1964; EO 11183, October 3, 1964; EO 11287, June 28, 1966; EO 11612, July 26, 1971; EO 12131, May 4, 1979; EO 12216, June 18, 1980; EO 12382, September 13, 1982; EO 12829, January 6, 1993; EO 12905, March 25, 1994; EO 12915, May 13, 1994; EO 12916, May 13, 1994; EO 12963, June 14, 1995; EO 12994, March 21, 1996; EO 13112, February 3, 1999; EO 13179, December 7, 2000; EO 13231, October 16, 2001; EO 13265, June 6, 2002; EO 13540, April 26, 2010; EO 13549, August 8, 2010; EO 13621, July 26, 2012; EO 13675, August 8, 2014; EO 14007, January 29, 2021; EO 14008, January 27, 2021; EO 14031, May 28, 2021; EO 14041, September 2, 2021; EO 14045, September 13, 2021
Superseded by: EO 14109, September 29, 2023</t>
  </si>
  <si>
    <t>86 FR 57313</t>
  </si>
  <si>
    <t>2021-22588</t>
  </si>
  <si>
    <t>https://www.federalregister.gov/documents/2021/10/14/2021-22588/white-house-initiative-on-advancing-educational-equity-excellence-and-economic-opportunity-for</t>
  </si>
  <si>
    <t>https://www.govinfo.gov/content/pkg/FR-2021-10-14/pdf/2021-22588.pdf</t>
  </si>
  <si>
    <t>White House Initiative on Advancing Educational Equity, Excellence, and Economic Opportunity for Native Americans and Strengthening Tribal Colleges and Universities</t>
  </si>
  <si>
    <t>Supersedes: EO 13592, December 2, 2011
See: EO 13647, June 26, 2013; EO 14091, February 16, 2023</t>
  </si>
  <si>
    <t>86 FR 58551</t>
  </si>
  <si>
    <t>2021-23224</t>
  </si>
  <si>
    <t>https://www.federalregister.gov/documents/2021/10/22/2021-23224/white-house-initiative-on-advancing-educational-equity-excellence-and-economic-opportunity-for-black</t>
  </si>
  <si>
    <t>https://www.govinfo.gov/content/pkg/FR-2021-10-22/pdf/2021-23224.pdf</t>
  </si>
  <si>
    <t>White House Initiative on Advancing Educational Equity, Excellence, and Economic Opportunity for Black Americans</t>
  </si>
  <si>
    <t>Supersedes: EO 13621, July 26, 2012
See: EO 14091, February 16, 2023</t>
  </si>
  <si>
    <t>86 FR 60747</t>
  </si>
  <si>
    <t>2021-24183</t>
  </si>
  <si>
    <t>https://www.federalregister.gov/documents/2021/11/03/2021-24183/designation-to-exercise-authority-over-the-national-defense-stockpile</t>
  </si>
  <si>
    <t>https://www.govinfo.gov/content/pkg/FR-2021-11-03/pdf/2021-24183.pdf</t>
  </si>
  <si>
    <t>Designation To Exercise Authority Over the National Defense Stockpile</t>
  </si>
  <si>
    <t>See: EO 13603, March 16, 2012; EO 14017, February 24, 2021</t>
  </si>
  <si>
    <t>86 FR 64335</t>
  </si>
  <si>
    <t>2021-25286</t>
  </si>
  <si>
    <t>https://www.federalregister.gov/documents/2021/11/18/2021-25286/implementation-of-the-infrastructure-investment-and-jobs-act</t>
  </si>
  <si>
    <t>https://www.govinfo.gov/content/pkg/FR-2021-11-18/pdf/2021-25286.pdf</t>
  </si>
  <si>
    <t>Implementation of the Infrastructure Investment and Jobs Act</t>
  </si>
  <si>
    <t>Amended by: EO 14082, September 12, 2022
See: EO 14096, April 21, 2023</t>
  </si>
  <si>
    <t>86 FR 64337</t>
  </si>
  <si>
    <t>2021-25287</t>
  </si>
  <si>
    <t>https://www.federalregister.gov/documents/2021/11/18/2021-25287/improving-public-safety-and-criminal-justice-for-native-americans-and-addressing-the-crisis-of</t>
  </si>
  <si>
    <t>https://www.govinfo.gov/content/pkg/FR-2021-11-18/pdf/2021-25287.pdf</t>
  </si>
  <si>
    <t>Improving Public Safety and Criminal Justice for Native Americans and Addressing the Crisis of Missing or Murdered Indigenous People</t>
  </si>
  <si>
    <t>86 FR 66149</t>
  </si>
  <si>
    <t>2021-25548</t>
  </si>
  <si>
    <t>https://www.federalregister.gov/documents/2021/11/19/2021-25548/termination-of-emergency-with-respect-to-the-situation-in-burundi</t>
  </si>
  <si>
    <t>https://www.govinfo.gov/content/pkg/FR-2021-11-19/pdf/2021-25548.pdf</t>
  </si>
  <si>
    <t>Termination of Emergency With Respect to the Situation in Burundi</t>
  </si>
  <si>
    <t>Revokes: EO 13712, November 22, 2015</t>
  </si>
  <si>
    <t>86 FR 66397</t>
  </si>
  <si>
    <t>2021-25715</t>
  </si>
  <si>
    <t>https://www.federalregister.gov/documents/2021/11/23/2021-25715/nondisplacement-of-qualified-workers-under-service-contracts</t>
  </si>
  <si>
    <t>https://www.govinfo.gov/content/pkg/FR-2021-11-23/pdf/2021-25715.pdf</t>
  </si>
  <si>
    <t>Revokes: EO 13897, October 31, 2019</t>
  </si>
  <si>
    <t>86 FR 68871</t>
  </si>
  <si>
    <t>2021-26459</t>
  </si>
  <si>
    <t>https://www.federalregister.gov/documents/2021/12/03/2021-26459/the-national-space-council</t>
  </si>
  <si>
    <t>https://www.govinfo.gov/content/pkg/FR-2021-12-03/pdf/2021-26459.pdf</t>
  </si>
  <si>
    <t>The National Space Council</t>
  </si>
  <si>
    <t>Revokes: EO 13803, June 30, 2017; EO 13906, February 13, 2020</t>
  </si>
  <si>
    <t>86 FR 70935</t>
  </si>
  <si>
    <t>2021-27114</t>
  </si>
  <si>
    <t>https://www.federalregister.gov/documents/2021/12/13/2021-27114/catalyzing-clean-energy-industries-and-jobs-through-federal-sustainability</t>
  </si>
  <si>
    <t>https://www.govinfo.gov/content/pkg/FR-2021-12-13/pdf/2021-27114.pdf</t>
  </si>
  <si>
    <t>Catalyzing Clean Energy Industries and Jobs Through Federal Sustainability</t>
  </si>
  <si>
    <t>Revokes: EO 13834, May 17, 2018 
See: EO 13423, January 24, 2007; EO 13985, January 20, 2021; EO 13990, January 20, 2021; EO 14005, January 25, 2021; EO 14008,  January 27, 2021; EO 14017, February 24, 2021; EO 14030, May 20, 2021; EO 14096, April 21, 2023</t>
  </si>
  <si>
    <t>86 FR 71357</t>
  </si>
  <si>
    <t>2021-27380</t>
  </si>
  <si>
    <t>https://www.federalregister.gov/documents/2021/12/16/2021-27380/transforming-federal-customer-experience-and-service-delivery-to-rebuild-trust-in-government</t>
  </si>
  <si>
    <t>https://www.govinfo.gov/content/pkg/FR-2021-12-16/pdf/2021-27380.pdf</t>
  </si>
  <si>
    <t>Transforming Federal Customer Experience and Service Delivery To Rebuild Trust in Government</t>
  </si>
  <si>
    <t>See: EO 13571, April 27, 2011; EO 13707, September 15, 2015; EO 13985, January 20, 2021; EO 14091, February 16, 2023; 14112, December 6, 2023</t>
  </si>
  <si>
    <t>86 FR 71549</t>
  </si>
  <si>
    <t>2021-27505</t>
  </si>
  <si>
    <t>https://www.federalregister.gov/documents/2021/12/17/2021-27505/imposing-sanctions-on-foreign-persons-involved-in-the-global-illicit-drug-trade</t>
  </si>
  <si>
    <t>https://www.govinfo.gov/content/pkg/FR-2021-12-17/pdf/2021-27505.pdf</t>
  </si>
  <si>
    <t>Imposing Sanctions on Foreign Persons Involved in the Global Illicit Drug Trade</t>
  </si>
  <si>
    <t>See: EO 14097, April 27, 2023</t>
  </si>
  <si>
    <t>86 FR 71793</t>
  </si>
  <si>
    <t>2021-27605</t>
  </si>
  <si>
    <t>https://www.federalregister.gov/documents/2021/12/20/2021-27605/establishing-the-united-states-council-on-transnational-organized-crime</t>
  </si>
  <si>
    <t>https://www.govinfo.gov/content/pkg/FR-2021-12-20/pdf/2021-27605.pdf</t>
  </si>
  <si>
    <t>Establishing the United States Council on Transnational Organized Crime</t>
  </si>
  <si>
    <t>See: EO 13773, February 9, 2017</t>
  </si>
  <si>
    <t>86 FR 73601</t>
  </si>
  <si>
    <t>2021-28313</t>
  </si>
  <si>
    <t>https://www.federalregister.gov/documents/2021/12/28/2021-28313/adjustments-of-certain-rates-of-pay</t>
  </si>
  <si>
    <t>https://www.govinfo.gov/content/pkg/FR-2021-12-28/pdf/2021-28313.pdf</t>
  </si>
  <si>
    <t>Supersedes: EO 13970, December 31, 2020
Superseded by: EO 14090, December 23, 2022</t>
  </si>
  <si>
    <t>87 FR 4763</t>
  </si>
  <si>
    <t>2022-02027</t>
  </si>
  <si>
    <t>https://www.federalregister.gov/documents/2022/01/31/2022-02027/2022-amendments-to-the-manual-for-courts-martial-united-states</t>
  </si>
  <si>
    <t>https://www.govinfo.gov/content/pkg/FR-2022-01-31/pdf/2022-02027.pdf</t>
  </si>
  <si>
    <t>2022 Amendments to the Manual for Courts-Martial, United States</t>
  </si>
  <si>
    <t>87 FR 7363</t>
  </si>
  <si>
    <t>2022-02869</t>
  </si>
  <si>
    <t>https://www.federalregister.gov/documents/2022/02/09/2022-02869/use-of-project-labor-agreements-for-federal-construction-projects</t>
  </si>
  <si>
    <t>https://www.govinfo.gov/content/pkg/FR-2022-02-09/pdf/2022-02869.pdf</t>
  </si>
  <si>
    <t>Revokes: EO 13502, February 6, 2009</t>
  </si>
  <si>
    <t>87 FR 8391</t>
  </si>
  <si>
    <t>2022-03346</t>
  </si>
  <si>
    <t>https://www.federalregister.gov/documents/2022/02/15/2022-03346/protecting-certain-property-of-da-afghanistan-bank-for-the-benefit-of-the-people-of-afghanistan</t>
  </si>
  <si>
    <t>https://www.govinfo.gov/content/pkg/FR-2022-02-15/pdf/2022-03346.pdf</t>
  </si>
  <si>
    <t>Protecting Certain Property of Da Afghanistan Bank for the Benefit of the People of Afghanistan</t>
  </si>
  <si>
    <t>87 FR 10293</t>
  </si>
  <si>
    <t>2022-04020</t>
  </si>
  <si>
    <t>https://www.federalregister.gov/documents/2022/02/23/2022-04020/blocking-property-of-certain-persons-and-prohibiting-certain-transactions-with-respect-to-continued</t>
  </si>
  <si>
    <t>https://www.govinfo.gov/content/pkg/FR-2022-02-23/pdf/2022-04020.pdf</t>
  </si>
  <si>
    <t>Blocking Property of Certain Persons and Prohibiting Certain Transactions With Respect to Continued Russian Efforts To Undermine the Sovereignty and Territorial Integrity of Ukraine</t>
  </si>
  <si>
    <t>See: EO 13660, March 6, 2014; EO 13661, March 16, 2014; EO 13662, March 20, 2014; EO 13685, December 19, 2014; EO 13849, September 20, 2018</t>
  </si>
  <si>
    <t>87 FR 13625</t>
  </si>
  <si>
    <t>2022-05232</t>
  </si>
  <si>
    <t>https://www.federalregister.gov/documents/2022/03/10/2022-05232/prohibiting-certain-imports-and-new-investments-with-respect-to-continued-russian-federation-efforts</t>
  </si>
  <si>
    <t>https://www.govinfo.gov/content/pkg/FR-2022-03-10/pdf/2022-05232.pdf</t>
  </si>
  <si>
    <t>Prohibiting Certain Imports and New Investments With Respect to Continued Russian Federation Efforts To Undermine the Sovereignty and Territorial Integrity of Ukraine</t>
  </si>
  <si>
    <t>See: EO 14024, April 15, 2021; EO 14039, August 20, 2021; EO 14114, December 12, 2023</t>
  </si>
  <si>
    <t>87 FR 14143</t>
  </si>
  <si>
    <t>2022-05471</t>
  </si>
  <si>
    <t>https://www.federalregister.gov/documents/2022/03/14/2022-05471/ensuring-responsible-development-of-digital-assets</t>
  </si>
  <si>
    <t>https://www.govinfo.gov/content/pkg/FR-2022-03-14/pdf/2022-05471.pdf</t>
  </si>
  <si>
    <t>Ensuring Responsible Development of Digital Assets</t>
  </si>
  <si>
    <t>87 FR 14381</t>
  </si>
  <si>
    <t>2022-05554</t>
  </si>
  <si>
    <t>https://www.federalregister.gov/documents/2022/03/15/2022-05554/prohibiting-certain-imports-exports-and-new-investment-with-respect-to-continued-russian-federation</t>
  </si>
  <si>
    <t>https://www.govinfo.gov/content/pkg/FR-2022-03-15/pdf/2022-05554.pdf</t>
  </si>
  <si>
    <t>Prohibiting Certain Imports, Exports, and New Investment With Respect to Continued Russian Federation Aggression</t>
  </si>
  <si>
    <t>See: EO 14024, April 15, 2021; EO 14039, August 20, 2021; EO 14066, March 8, 2022
Amended by: EO 14114, December 12, 2023</t>
  </si>
  <si>
    <t>87 FR 15315</t>
  </si>
  <si>
    <t>2022-05949</t>
  </si>
  <si>
    <t>https://www.federalregister.gov/documents/2022/03/18/2022-05949/advancing-economy-efficiency-and-effectiveness-in-federal-contracting-by-promoting-pay-equity-and</t>
  </si>
  <si>
    <t>https://www.govinfo.gov/content/pkg/FR-2022-03-18/pdf/2022-05949.pdf</t>
  </si>
  <si>
    <t>Advancing Economy, Efficiency, and Effectiveness in Federal Contracting by Promoting Pay Equity and Transparency</t>
  </si>
  <si>
    <t>See: EO 14035, June 25, 2021</t>
  </si>
  <si>
    <t>87 FR 20689</t>
  </si>
  <si>
    <t>2022-07716</t>
  </si>
  <si>
    <t>https://www.federalregister.gov/documents/2022/04/08/2022-07716/continuing-to-strengthen-americans-access-to-affordable-quality-health-coverage</t>
  </si>
  <si>
    <t>https://www.govinfo.gov/content/pkg/FR-2022-04-08/pdf/2022-07716.pdf</t>
  </si>
  <si>
    <t>Continuing To Strengthen Americans' Access to Affordable, Quality Health Coverage</t>
  </si>
  <si>
    <t>See: EO 14009, January 28, 2021</t>
  </si>
  <si>
    <t>87 FR 20999</t>
  </si>
  <si>
    <t>2022-07757</t>
  </si>
  <si>
    <t>https://www.federalregister.gov/documents/2022/04/08/2022-07757/prohibiting-new-investment-in-and-certain-services-to-the-russian-federation-in-response-to</t>
  </si>
  <si>
    <t>https://www.govinfo.gov/content/pkg/FR-2022-04-08/pdf/2022-07757.pdf</t>
  </si>
  <si>
    <t>Prohibiting New Investment in and Certain Services to the Russian Federation in Response to Continued Russian Federation Aggression</t>
  </si>
  <si>
    <t>See: EO 14024, April 15, 2021; EO 14039, August 20, 2021; EO 14066, March 8, 2022; EO 14114, December 12, 2023</t>
  </si>
  <si>
    <t>87 FR 24851</t>
  </si>
  <si>
    <t>2022-09138</t>
  </si>
  <si>
    <t>https://www.federalregister.gov/documents/2022/04/27/2022-09138/strengthening-the-nations-forests-communities-and-local-economies</t>
  </si>
  <si>
    <t>https://www.govinfo.gov/content/pkg/FR-2022-04-27/pdf/2022-09138.pdf</t>
  </si>
  <si>
    <t>Strengthening the Nation's Forests, Communities, and Local Economies</t>
  </si>
  <si>
    <t>87 FR 27909</t>
  </si>
  <si>
    <t>2022-10076</t>
  </si>
  <si>
    <t>https://www.federalregister.gov/documents/2022/05/09/2022-10076/enhancing-the-national-quantum-initiative-advisory-committee</t>
  </si>
  <si>
    <t>https://www.govinfo.gov/content/pkg/FR-2022-05-09/pdf/2022-10076.pdf</t>
  </si>
  <si>
    <t>Enhancing the National Quantum Initiative Advisory Committee</t>
  </si>
  <si>
    <t>Revokes: EO 13885, August 30, 2019 
See: EO 13526, December 29, 2009</t>
  </si>
  <si>
    <t>87 FR 32945</t>
  </si>
  <si>
    <t>2022-11810</t>
  </si>
  <si>
    <t>https://www.federalregister.gov/documents/2022/05/31/2022-11810/advancing-effective-accountable-policing-and-criminal-justice-practices-to-enhance-public-trust-and</t>
  </si>
  <si>
    <t>https://www.govinfo.gov/content/pkg/FR-2022-05-31/pdf/2022-11810.pdf</t>
  </si>
  <si>
    <t>Advancing Effective, Accountable Policing and Criminal Justice Practices To Enhance Public Trust and Public Safety</t>
  </si>
  <si>
    <t>Revokes: EO 13809, August 28, 2017; EO 13929, June 16, 2020 
See: EO 12250, November 2, 1980; EO 13688, January 16, 2015; EO 13985, January 20, 2021; EO 14035, June 25, 2021</t>
  </si>
  <si>
    <t>87 FR 37189</t>
  </si>
  <si>
    <t>2022-13391</t>
  </si>
  <si>
    <t>https://www.federalregister.gov/documents/2022/06/21/2022-13391/advancing-equality-for-lesbian-gay-bisexual-transgender-queer-and-intersex-individuals</t>
  </si>
  <si>
    <t>https://www.govinfo.gov/content/pkg/FR-2022-06-21/pdf/2022-13391.pdf</t>
  </si>
  <si>
    <t>Advancing Equality for Lesbian, Gay, Bisexual, Transgender, Queer, and Intersex Individuals</t>
  </si>
  <si>
    <t xml:space="preserve">See: EO 13985, January 20, 2021; EO 13988, January 20, 2021 </t>
  </si>
  <si>
    <t>87 FR 42053</t>
  </si>
  <si>
    <t>2022-15138</t>
  </si>
  <si>
    <t>https://www.federalregister.gov/documents/2022/07/13/2022-15138/protecting-access-to-reproductive-healthcare-services</t>
  </si>
  <si>
    <t>https://www.govinfo.gov/content/pkg/FR-2022-07-13/pdf/2022-15138.pdf</t>
  </si>
  <si>
    <t>Protecting Access to Reproductive Healthcare Services</t>
  </si>
  <si>
    <t>See: EO 14101, June 23, 2023</t>
  </si>
  <si>
    <t>87 FR 43203</t>
  </si>
  <si>
    <t>2022-15628</t>
  </si>
  <si>
    <t>https://www.federalregister.gov/documents/2022/07/20/2022-15628/establishing-an-emergency-board-to-investigate-disputes-between-certain-railroads-represented-by-the</t>
  </si>
  <si>
    <t>https://www.govinfo.gov/content/pkg/FR-2022-07-20/pdf/2022-15628.pdf</t>
  </si>
  <si>
    <t>Establishing an Emergency Board To Investigate Disputes Between Certain Railroads Represented by the National Carriers' Conference Committee of the National Railway Labor Conference and Their Employees Represented by Certain Labor Organizations</t>
  </si>
  <si>
    <t>87 FR 43389</t>
  </si>
  <si>
    <t>2022-15743</t>
  </si>
  <si>
    <t>https://www.federalregister.gov/documents/2022/07/21/2022-15743/bolstering-efforts-to-bring-hostages-and-wrongfully-detained-united-states-nationals-home</t>
  </si>
  <si>
    <t>https://www.govinfo.gov/content/pkg/FR-2022-07-21/pdf/2022-15743.pdf</t>
  </si>
  <si>
    <t>Bolstering Efforts To Bring Hostages and Wrongfully Detained United States Nationals Home</t>
  </si>
  <si>
    <t xml:space="preserve">See: EO 13698, June 24, 2015 </t>
  </si>
  <si>
    <t>87 FR 49505</t>
  </si>
  <si>
    <t>2022-17420</t>
  </si>
  <si>
    <t>https://www.federalregister.gov/documents/2022/08/11/2022-17420/securing-access-to-reproductive-and-other-healthcare-services</t>
  </si>
  <si>
    <t>https://www.govinfo.gov/content/pkg/FR-2022-08-11/pdf/2022-17420.pdf</t>
  </si>
  <si>
    <t>Securing Access to Reproductive and Other Healthcare Services</t>
  </si>
  <si>
    <t>See: EO 14076, July 8, 2022; EO 14101; June 23, 2023</t>
  </si>
  <si>
    <t>87 FR 52847</t>
  </si>
  <si>
    <t>2022-18840</t>
  </si>
  <si>
    <t>https://www.federalregister.gov/documents/2022/08/30/2022-18840/implementation-of-the-chips-act-of-2022</t>
  </si>
  <si>
    <t>https://www.govinfo.gov/content/pkg/FR-2022-08-30/pdf/2022-18840.pdf</t>
  </si>
  <si>
    <t>Implementation of the CHIPS Act of 2022</t>
  </si>
  <si>
    <t>87 FR 56849</t>
  </si>
  <si>
    <t>2022-20167</t>
  </si>
  <si>
    <t>https://www.federalregister.gov/documents/2022/09/15/2022-20167/advancing-biotechnology-and-biomanufacturing-innovation-for-a-sustainable-safe-and-secure-american</t>
  </si>
  <si>
    <t>https://www.govinfo.gov/content/pkg/FR-2022-09-15/pdf/2022-20167.pdf</t>
  </si>
  <si>
    <t>Advancing Biotechnology and Biomanufacturing Innovation for a Sustainable, Safe, and Secure American Bioeconomy</t>
  </si>
  <si>
    <t>See: EO 13985, January 20, 2021;  EO 14028, May 12, 2021; EO 13874 June 11, 2019; EO 14049, October 11, 2021; EO 14041, September 3, 2021; EO 14034, June 9, 2021</t>
  </si>
  <si>
    <t>87 FR 56861</t>
  </si>
  <si>
    <t>2022-20210</t>
  </si>
  <si>
    <t>https://www.federalregister.gov/documents/2022/09/16/2022-20210/implementation-of-the-energy-and-infrastructure-provisions-of-the-inflation-reduction-act-of-2022</t>
  </si>
  <si>
    <t>https://www.govinfo.gov/content/pkg/FR-2022-09-16/pdf/2022-20210.pdf</t>
  </si>
  <si>
    <t>Implementation of the Energy and Infrastructure Provisions of the Inflation Reduction Act of 2022</t>
  </si>
  <si>
    <t>Amends: EO 12898, February 11, 1994; EO 14008, January 27, 2021; EO 14052, November 15, 2021
See: EO 14096, April 21, 2023</t>
  </si>
  <si>
    <t>87 FR 57369</t>
  </si>
  <si>
    <t>2022-20450</t>
  </si>
  <si>
    <t>https://www.federalregister.gov/documents/2022/09/20/2022-20450/ensuring-robust-consideration-of-evolving-national-security-risks-by-the-committee-on-foreign</t>
  </si>
  <si>
    <t>https://www.govinfo.gov/content/pkg/FR-2022-09-20/pdf/2022-20450.pdf</t>
  </si>
  <si>
    <t>Ensuring Robust Consideration of Evolving National Security Risks by the Committee on Foreign Investment in the United States</t>
  </si>
  <si>
    <t>See: EO 14017, February 24, 2021; EO 14028, May 12, 2021; EO 14034, June 9, 2021</t>
  </si>
  <si>
    <t>87 FR 60535</t>
  </si>
  <si>
    <t>2022-21839</t>
  </si>
  <si>
    <t>https://www.federalregister.gov/documents/2022/10/05/2022-21839/promoting-the-arts-the-humanities-and-museum-and-library-services</t>
  </si>
  <si>
    <t>https://www.govinfo.gov/content/pkg/FR-2022-10-05/pdf/2022-21839.pdf</t>
  </si>
  <si>
    <t>Promoting the Arts, the Humanities, and Museum and Library Services</t>
  </si>
  <si>
    <t>See:  EO 13985, January 20, 2021
Amended by: EO 14109, September 29, 2023</t>
  </si>
  <si>
    <t>87 FR 60541</t>
  </si>
  <si>
    <t>2022-21911</t>
  </si>
  <si>
    <t>https://www.federalregister.gov/documents/2022/10/06/2022-21911/expanding-eligibility-for-certain-military-decorations-and-awards</t>
  </si>
  <si>
    <t>https://www.govinfo.gov/content/pkg/FR-2022-10-06/pdf/2022-21911.pdf</t>
  </si>
  <si>
    <t>Expanding Eligibility for Certain Military Decorations and Awards</t>
  </si>
  <si>
    <t>Amends: EO 9158, May 11, 1942; EO 8809, June 28, 1941; EO 10694, January 10, 1957; EO 1046, August 24, 1962; EO 11545, July 9, 1970 EO 13830, April 20, 2018</t>
  </si>
  <si>
    <t>87 FR 62283</t>
  </si>
  <si>
    <t>2022-22531</t>
  </si>
  <si>
    <t>https://www.federalregister.gov/documents/2022/10/14/2022-22531/enhancing-safeguards-for-united-states-signals-intelligence-activities</t>
  </si>
  <si>
    <t>https://www.govinfo.gov/content/pkg/FR-2022-10-14/pdf/2022-22531.pdf</t>
  </si>
  <si>
    <t>Enhancing Safeguards for United States Signals Intelligence Activities</t>
  </si>
  <si>
    <t>See: EO 12333, December 4, 1981; EO 13526, December 29, 2009</t>
  </si>
  <si>
    <t>87 FR 63399</t>
  </si>
  <si>
    <t>2022-22834</t>
  </si>
  <si>
    <t>https://www.federalregister.gov/documents/2022/10/19/2022-22834/lowering-prescription-drug-costs-for-americans</t>
  </si>
  <si>
    <t>https://www.govinfo.gov/content/pkg/FR-2022-10-19/pdf/2022-22834.pdf</t>
  </si>
  <si>
    <t>Lowering Prescription Drug Costs for Americans</t>
  </si>
  <si>
    <t>See: EO 14036, July 9, 2021</t>
  </si>
  <si>
    <t>87 FR 64685</t>
  </si>
  <si>
    <t>2022-23433</t>
  </si>
  <si>
    <t>https://www.federalregister.gov/documents/2022/10/26/2022-23433/taking-additional-steps-to-address-the-national-emergency-with-respect-to-the-situation-in-nicaragua</t>
  </si>
  <si>
    <t>https://www.govinfo.gov/content/pkg/FR-2022-10-26/pdf/2022-23433.pdf</t>
  </si>
  <si>
    <t>Taking Additional Steps To Address the National Emergency With Respect to the Situation in Nicaragua</t>
  </si>
  <si>
    <t xml:space="preserve">Amends: EO 13851, November 27, 2018 </t>
  </si>
  <si>
    <t>87 FR 77459</t>
  </si>
  <si>
    <t>2022-27585</t>
  </si>
  <si>
    <t>https://www.federalregister.gov/documents/2022/12/19/2022-27585/establishing-the-presidents-advisory-council-on-african-diaspora-engagement-in-the-united-states</t>
  </si>
  <si>
    <t>https://www.govinfo.gov/content/pkg/FR-2022-12-19/pdf/2022-27585.pdf</t>
  </si>
  <si>
    <t>Establishing the President's Advisory Council on African Diaspora Engagement in the United States</t>
  </si>
  <si>
    <t>See: EO 13985, January 20, 2021</t>
  </si>
  <si>
    <t>87 FR 79985</t>
  </si>
  <si>
    <t>2022-28474</t>
  </si>
  <si>
    <t>https://www.federalregister.gov/documents/2022/12/29/2022-28474/adjustments-of-certain-rates-of-pay</t>
  </si>
  <si>
    <t>https://www.govinfo.gov/content/pkg/FR-2022-12-29/pdf/2022-28474.pdf</t>
  </si>
  <si>
    <t>Supersedes: EO 14061, December 22, 2021
Superseded by: EO 14113, December 21, 2023</t>
  </si>
  <si>
    <t>88 FR 10825</t>
  </si>
  <si>
    <t>2023-03779</t>
  </si>
  <si>
    <t>https://www.federalregister.gov/documents/2023/02/22/2023-03779/further-advancing-racial-equity-and-support-for-underserved-communities-through-the-federal</t>
  </si>
  <si>
    <t>https://www.govinfo.gov/content/pkg/FR-2023-02-22/pdf/2023-03779.pdf</t>
  </si>
  <si>
    <t>Further Advancing Racial Equity and Support for Underserved Communities Through the Federal Government</t>
  </si>
  <si>
    <t>See: EO 12072, August 16, 1978; EO 12866, September 30, 1993; EO 13006, May 21, 1996; EO 13166, August 11, 2000; EO 13985, January 20, 2021; EO 13988, January 20, 2021; EO 13989, January 20, 2021; EO 14008, January 27, 2021; Memo of January 27, 2021; EO 14020, March 8, 2021; EO 14031, May 28, 2021; EO 14035, June 25, 2021; EO 14041, September 3, 2021; EO 14045, September 13, 2021; EO 14049, October 11, 2021; EO 14050, October 19, 2021; EO 14058, December 13, 2021
Revokes: EO 13853, December 12, 2018; EO 13946, August 24, 2020</t>
  </si>
  <si>
    <t>88 FR 16527</t>
  </si>
  <si>
    <t>2023-05714</t>
  </si>
  <si>
    <t>https://www.federalregister.gov/documents/2023/03/17/2023-05714/reducing-gun-violence-and-making-our-communities-safer</t>
  </si>
  <si>
    <t>https://www.govinfo.gov/content/pkg/FR-2023-03-17/pdf/2023-05714.pdf</t>
  </si>
  <si>
    <t>Reducing Gun Violence and Making Our Communities Safer</t>
  </si>
  <si>
    <t>88 FR 18957</t>
  </si>
  <si>
    <t>2023-06730</t>
  </si>
  <si>
    <t>https://www.federalregister.gov/documents/2023/03/30/2023-06730/prohibition-on-use-by-the-united-states-government-of-commercial-spyware-that-poses-risks-to</t>
  </si>
  <si>
    <t>https://www.govinfo.gov/content/pkg/FR-2023-03-30/pdf/2023-06730.pdf</t>
  </si>
  <si>
    <t>Prohibition on Use by the United States Government of Commercial Spyware That Poses Risks to National Security</t>
  </si>
  <si>
    <t>88 FR 21879</t>
  </si>
  <si>
    <t>2023-07760</t>
  </si>
  <si>
    <t>https://www.federalregister.gov/documents/2023/04/11/2023-07760/modernizing-regulatory-review</t>
  </si>
  <si>
    <t>https://www.govinfo.gov/content/pkg/FR-2023-04-11/pdf/2023-07760.pdf</t>
  </si>
  <si>
    <t>Modernizing Regulatory Review</t>
  </si>
  <si>
    <t>See: EO 12866, September 30, 1993;  EO 13563, January 18, 2021; Memo. of January 20, 2021</t>
  </si>
  <si>
    <t>88 FR 24669</t>
  </si>
  <si>
    <t>2023-08659</t>
  </si>
  <si>
    <t>https://www.federalregister.gov/documents/2023/04/21/2023-08659/increasing-access-to-high-quality-care-and-supporting-caregivers</t>
  </si>
  <si>
    <t>https://www.govinfo.gov/content/pkg/FR-2023-04-21/pdf/2023-08659.pdf</t>
  </si>
  <si>
    <t>Increasing Access to High-Quality Care and Supporting Caregivers</t>
  </si>
  <si>
    <t>88 FR 25251</t>
  </si>
  <si>
    <t>2023-08955</t>
  </si>
  <si>
    <t>https://www.federalregister.gov/documents/2023/04/26/2023-08955/revitalizing-our-nations-commitment-to-environmental-justice-for-all</t>
  </si>
  <si>
    <t>https://www.govinfo.gov/content/pkg/FR-2023-04-26/pdf/2023-08955.pdf</t>
  </si>
  <si>
    <t>Revitalizing Our Nation's Commitment to Environmental Justice for All</t>
  </si>
  <si>
    <t>See: EO 12250, November 2, 1980; EO 12975, October 3, 1995; EO 13007, May 24, 1996; EO 13175, November 6, 2000; EO 13985, January 20, 2021; EO 13990, January 20, 2021; Memo. of January 26, 2021; EO 14008, January 27, 2021; EO 14052, November 15, 2021; EO 14057, December 8, 2021; EO 14082, September 12, 2022; Memo. of November 30, 2022; EO 14091, February 16, 2023
Amends: EO 12898, February 11, 1994</t>
  </si>
  <si>
    <t>88 FR 26471</t>
  </si>
  <si>
    <t>2023-09318</t>
  </si>
  <si>
    <t>https://www.federalregister.gov/documents/2023/05/01/2023-09318/authority-to-order-the-ready-reserve-of-the-armed-forces-to-active-duty-to-address-international</t>
  </si>
  <si>
    <t>https://www.govinfo.gov/content/pkg/FR-2023-05-01/pdf/2023-09318.pdf</t>
  </si>
  <si>
    <t>Authority To Order the Ready Reserve of the Armed Forces to Active Duty To Address International Drug Trafficking</t>
  </si>
  <si>
    <t>See: EO 14059, December 15, 2021</t>
  </si>
  <si>
    <t>88 FR 29529</t>
  </si>
  <si>
    <t>2023-09826</t>
  </si>
  <si>
    <t>https://www.federalregister.gov/documents/2023/05/05/2023-09826/imposing-sanctions-on-certain-persons-destabilizing-sudan-and-undermining-the-goal-of-a-democratic</t>
  </si>
  <si>
    <t>https://www.govinfo.gov/content/pkg/FR-2023-05-05/pdf/2023-09826.pdf</t>
  </si>
  <si>
    <t>Imposing Sanctions on Certain Persons Destabilizing Sudan and Undermining the Goal of a Democratic Transition</t>
  </si>
  <si>
    <t>See: EO 13067, November 3, 1997; EO 13400, April 26, 2006; Proc. 8693 of July 24, 2011; EO 13761, January 13, 2017; EO 13804, January 11, 2017</t>
  </si>
  <si>
    <t>88 FR 30891</t>
  </si>
  <si>
    <t>2023-10407</t>
  </si>
  <si>
    <t>https://www.federalregister.gov/documents/2023/05/15/2023-10407/moving-beyond-covid-19-vaccination-requirements-for-federal-workers</t>
  </si>
  <si>
    <t>https://www.govinfo.gov/content/pkg/FR-2023-05-15/pdf/2023-10407.pdf</t>
  </si>
  <si>
    <t>Moving Beyond COVID-19 Vaccination Requirements for Federal Workers</t>
  </si>
  <si>
    <t>Revokes: EO 14043, September 9, 2021; EO 14042, September 9, 2021</t>
  </si>
  <si>
    <t>88 FR 39111</t>
  </si>
  <si>
    <t>2023-12974</t>
  </si>
  <si>
    <t>https://www.federalregister.gov/documents/2023/06/15/2023-12974/advancing-economic-security-for-military-and-veteran-spouses-military-caregivers-and-survivors</t>
  </si>
  <si>
    <t>https://www.govinfo.gov/content/pkg/FR-2023-06-15/pdf/2023-12974.pdf</t>
  </si>
  <si>
    <t>Advancing Economic Security for Military and Veteran Spouses, Military Caregivers, and Survivors</t>
  </si>
  <si>
    <t>See: EO 13562, December 27, 2010; EO 13583, August 18, 2011; EO 13832, May 9, 2018; EO 14035, June 25, 2021; EO 14091, February 16, 2023</t>
  </si>
  <si>
    <t>88 FR 41815</t>
  </si>
  <si>
    <t>2023-13889</t>
  </si>
  <si>
    <t>https://www.federalregister.gov/documents/2023/06/28/2023-13889/strengthening-access-to-affordable-high-quality-contraception-and-family-planning-services</t>
  </si>
  <si>
    <t>https://www.govinfo.gov/content/pkg/FR-2023-06-28/pdf/2023-13889.pdf</t>
  </si>
  <si>
    <t>Strengthening Access to Affordable, High-Quality Contraception and Family Planning Services</t>
  </si>
  <si>
    <t>See: EO 14076, July 8, 2022; EO 14079, August 13, 2022</t>
  </si>
  <si>
    <t>88 FR 45807</t>
  </si>
  <si>
    <t>2023-15347</t>
  </si>
  <si>
    <t>https://www.federalregister.gov/documents/2023/07/18/2023-15347/ordering-the-selected-reserve-and-certain-members-of-the-individual-ready-reserve-of-the-armed</t>
  </si>
  <si>
    <t>https://www.govinfo.gov/content/pkg/FR-2023-07-18/pdf/2023-15347.pdf</t>
  </si>
  <si>
    <t>Ordering the Selected Reserve and Certain Members of the Individual Ready Reserve of the Armed Forces to Active Duty</t>
  </si>
  <si>
    <t>88 FR 50535</t>
  </si>
  <si>
    <t>2023-16570</t>
  </si>
  <si>
    <t>https://www.federalregister.gov/documents/2023/08/02/2023-16570/2023-amendments-to-the-manual-for-courts-martial-united-states</t>
  </si>
  <si>
    <t>https://www.govinfo.gov/content/pkg/FR-2023-08-02/pdf/2023-16570.pdf</t>
  </si>
  <si>
    <t>2023 Amendments to the Manual for Courts-Martial, United States</t>
  </si>
  <si>
    <t>88 FR 51203</t>
  </si>
  <si>
    <t>2023-16636</t>
  </si>
  <si>
    <t>https://www.federalregister.gov/documents/2023/08/02/2023-16636/federal-research-and-development-in-support-of-domestic-manufacturing-and-united-states-jobs</t>
  </si>
  <si>
    <t>https://www.govinfo.gov/content/pkg/FR-2023-08-02/pdf/2023-16636.pdf</t>
  </si>
  <si>
    <t>Federal Research and Development in Support of Domestic Manufacturing and United States Jobs</t>
  </si>
  <si>
    <t>See: EO 14005, January 25, 2021</t>
  </si>
  <si>
    <t>88 FR 54867</t>
  </si>
  <si>
    <t>2023-17449</t>
  </si>
  <si>
    <t>https://www.federalregister.gov/documents/2023/08/11/2023-17449/addressing-united-states-investments-in-certain-national-security-technologies-and-products-in</t>
  </si>
  <si>
    <t>https://www.govinfo.gov/content/pkg/FR-2023-08-11/pdf/2023-17449.pdf</t>
  </si>
  <si>
    <t>Addressing United States Investments in Certain National Security Technologies and Products in Countries of Concern</t>
  </si>
  <si>
    <t>88 FR 55905</t>
  </si>
  <si>
    <t>2023-17832</t>
  </si>
  <si>
    <t>https://www.federalregister.gov/documents/2023/08/17/2023-17832/united-states-coast-guard-officer-personnel-management</t>
  </si>
  <si>
    <t>https://www.govinfo.gov/content/pkg/FR-2023-08-17/pdf/2023-17832.pdf</t>
  </si>
  <si>
    <t>United States Coast Guard Officer Personnel Management</t>
  </si>
  <si>
    <t>88 FR 62441</t>
  </si>
  <si>
    <t>2023-19798</t>
  </si>
  <si>
    <t>https://www.federalregister.gov/documents/2023/09/12/2023-19798/exemption-of-paul-h-maurer-from-mandatory-separation</t>
  </si>
  <si>
    <t>https://www.govinfo.gov/content/pkg/FR-2023-09-12/pdf/2023-19798.pdf</t>
  </si>
  <si>
    <t>Exemption of Paul H. Maurer From Mandatory Separation</t>
  </si>
  <si>
    <t>88 FR 66265</t>
  </si>
  <si>
    <t>2023-21174</t>
  </si>
  <si>
    <t>https://www.federalregister.gov/documents/2023/09/26/2023-21174/ensuring-the-people-of-east-palestine-are-protected-now-and-in-the-future</t>
  </si>
  <si>
    <t>https://www.govinfo.gov/content/pkg/FR-2023-09-26/pdf/2023-21174.pdf</t>
  </si>
  <si>
    <t>Ensuring the People of East Palestine Are Protected Now and in the Future</t>
  </si>
  <si>
    <t>88 FR 68447</t>
  </si>
  <si>
    <t>2023-22250</t>
  </si>
  <si>
    <t>https://www.federalregister.gov/documents/2023/10/04/2023-22250/continuance-of-certain-federal-advisory-committees-and-amendments-to-other-executive-orders</t>
  </si>
  <si>
    <t>https://www.govinfo.gov/content/pkg/FR-2023-10-04/pdf/2023-22250.pdf</t>
  </si>
  <si>
    <t>Continuance of Certain Federal Advisory Committees and Amendments to Other Executive Orders</t>
  </si>
  <si>
    <t>Amends: EO 14031, May 28, 2021; EO 14084, September 30, 2022
Supersedes: EO 14048, September 30, 2021</t>
  </si>
  <si>
    <t>88 FR 75191</t>
  </si>
  <si>
    <t>2023-24283</t>
  </si>
  <si>
    <t>https://www.federalregister.gov/documents/2023/11/01/2023-24283/safe-secure-and-trustworthy-development-and-use-of-artificial-intelligence</t>
  </si>
  <si>
    <t>https://www.govinfo.gov/content/pkg/FR-2023-11-01/pdf/2023-24283.pdf</t>
  </si>
  <si>
    <t>Safe, Secure, and Trustworthy Development and Use of Artificial Intelligence</t>
  </si>
  <si>
    <t>88 FR 83809</t>
  </si>
  <si>
    <t>2023-26569</t>
  </si>
  <si>
    <t>https://www.federalregister.gov/documents/2023/12/01/2023-26569/interagency-security-committee</t>
  </si>
  <si>
    <t>https://www.govinfo.gov/content/pkg/FR-2023-12-01/pdf/2023-26569.pdf</t>
  </si>
  <si>
    <t>Interagency Security Committee</t>
  </si>
  <si>
    <t>Revokes: EO 12977, October 19, 1995
Supersedes: EO 12977,  October 19, 1995</t>
  </si>
  <si>
    <t>88 FR 86021</t>
  </si>
  <si>
    <t>2023-27318</t>
  </si>
  <si>
    <t>https://www.federalregister.gov/documents/2023/12/11/2023-27318/reforming-federal-funding-and-support-for-tribal-nations-to-better-embrace-our-trust</t>
  </si>
  <si>
    <t>https://www.govinfo.gov/content/pkg/FR-2023-12-11/pdf/2023-27318.pdf</t>
  </si>
  <si>
    <t>Reforming Federal Funding and Support for Tribal Nations To Better Embrace Our Trust Responsibilities and Promote the Next Era of Tribal Self-Determination</t>
  </si>
  <si>
    <t>See: EO 14058, December 13, 2021</t>
  </si>
  <si>
    <t>88 FR 89259</t>
  </si>
  <si>
    <t>2023-28661</t>
  </si>
  <si>
    <t>https://www.federalregister.gov/documents/2023/12/26/2023-28661/adjustments-of-certain-rates-of-pay</t>
  </si>
  <si>
    <t>https://www.govinfo.gov/content/pkg/FR-2023-12-26/pdf/2023-28661.pdf</t>
  </si>
  <si>
    <t xml:space="preserve"> Supersedes: EO 14090, December 23, 2022</t>
  </si>
  <si>
    <t>88 FR 89271</t>
  </si>
  <si>
    <t>2023-28662</t>
  </si>
  <si>
    <t>https://www.federalregister.gov/documents/2023/12/26/2023-28662/taking-additional-steps-with-respect-to-the-russian-federations-harmful-activities</t>
  </si>
  <si>
    <t>https://www.govinfo.gov/content/pkg/FR-2023-12-26/pdf/2023-28662.pdf</t>
  </si>
  <si>
    <t>Taking Additional Steps With Respect to the Russian Federation's Harmful Activities</t>
  </si>
  <si>
    <t>Amends: EO 14024, May 15, 2021; EO 14068,  March 11, 2022
See: EO 14039, August 20, 2021; EO 14066, March 8, 2022; EO 14071, April 6, 2022</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</si>
</sst>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_(&quot;$&quot;* #,##0.00_);_(&quot;$&quot;* \(#,##0.00\);_(&quot;$&quot;* &quot;-&quot;??_);_(@_)"/>
    <numFmt numFmtId="165" formatCode="0.000"/>
    <numFmt numFmtId="166" formatCode="0.000%"/>
    <numFmt numFmtId="167" formatCode="&quot;$&quot;#,##0.00"/>
    <numFmt numFmtId="168" formatCode="# &quot;Days Change&quot;"/>
    <numFmt numFmtId="169" formatCode="mmm. d, yyyy"/>
    <numFmt numFmtId="170" formatCode="0.00000000"/>
    <numFmt numFmtId="171" formatCode="_(&quot;$&quot;* #,##0_);_(&quot;$&quot;* \(#,##0\);_(&quot;$&quot;* &quot;-&quot;??_);_(@_)"/>
    <numFmt numFmtId="172" formatCode="&quot;$&quot;#,##0"/>
    <numFmt numFmtId="173" formatCode="mmm. dd, yyyy"/>
    <numFmt numFmtId="174" formatCode="m/d"/>
    <numFmt numFmtId="175" formatCode="0.0000"/>
    <numFmt numFmtId="176" formatCode="&quot;Year &quot;0"/>
    <numFmt numFmtId="177" formatCode="@\⁽\¹\⁾"/>
    <numFmt numFmtId="178" formatCode="_(* #,##0_);_(* \(#,##0\);_(* &quot;-&quot;??_);_(@_)"/>
    <numFmt numFmtId="179" formatCode="_ * #,##0_ ;_ * \-#,##0_ ;_ * &quot;-&quot;??_ ;_ @_ "/>
    <numFmt numFmtId="180" formatCode="mm/dd/yyyy"/>
    <numFmt numFmtId="181" formatCode="yyyy-mm-dd"/>
    <numFmt numFmtId="182" formatCode="m/d/yyyy"/>
    <numFmt numFmtId="183" formatCode="mm-yyyy"/>
  </numFmts>
  <fonts count="276">
    <font>
      <sz val="10.0"/>
      <color rgb="FF000000"/>
      <name val="Arial"/>
      <scheme val="minor"/>
    </font>
    <font>
      <b/>
      <sz val="12.0"/>
      <color theme="1"/>
      <name val="Arial"/>
      <scheme val="minor"/>
    </font>
    <font>
      <b/>
      <sz val="12.0"/>
      <color theme="1"/>
      <name val="Arial"/>
    </font>
    <font>
      <b/>
      <color theme="1"/>
      <name val="Arial"/>
      <scheme val="minor"/>
    </font>
    <font>
      <b/>
      <color theme="1"/>
      <name val="Arial"/>
    </font>
    <font>
      <color theme="1"/>
      <name val="Arial"/>
      <scheme val="minor"/>
    </font>
    <font>
      <b/>
      <sz val="18.0"/>
      <color theme="1"/>
      <name val="Arial"/>
      <scheme val="minor"/>
    </font>
    <font>
      <b/>
      <sz val="14.0"/>
      <color theme="1"/>
      <name val="Arial"/>
      <scheme val="minor"/>
    </font>
    <font>
      <sz val="12.0"/>
      <color theme="1"/>
      <name val="Arial"/>
      <scheme val="minor"/>
    </font>
    <font>
      <sz val="10.0"/>
      <color theme="1"/>
      <name val="Arial"/>
      <scheme val="minor"/>
    </font>
    <font>
      <b/>
      <u/>
      <sz val="14.0"/>
      <color rgb="FF333333"/>
      <name val="Palatino"/>
    </font>
    <font>
      <sz val="14.0"/>
      <color rgb="FF333333"/>
      <name val="Palatino"/>
    </font>
    <font>
      <u/>
      <sz val="14.0"/>
      <color rgb="FF333333"/>
      <name val="Palatino"/>
    </font>
    <font>
      <sz val="24.0"/>
      <color rgb="FF333333"/>
      <name val="Arial"/>
    </font>
    <font>
      <sz val="13.0"/>
      <color theme="1"/>
      <name val="Arial"/>
      <scheme val="minor"/>
    </font>
    <font>
      <sz val="13.0"/>
      <color theme="1"/>
      <name val="Arial"/>
    </font>
    <font>
      <color theme="1"/>
      <name val="Arial"/>
    </font>
    <font>
      <sz val="9.0"/>
      <color rgb="FF1F1F1F"/>
      <name val="&quot;Google Sans&quot;"/>
    </font>
    <font>
      <sz val="9.0"/>
      <color rgb="FF1F1F1F"/>
      <name val="Google Sans"/>
    </font>
    <font>
      <sz val="9.0"/>
      <color rgb="FF000000"/>
      <name val="&quot;Google Sans Mono&quot;"/>
    </font>
    <font>
      <b/>
      <sz val="11.0"/>
      <color theme="1"/>
      <name val="Arial"/>
    </font>
    <font>
      <i/>
      <color rgb="FF9900FF"/>
      <name val="Arial"/>
    </font>
    <font>
      <sz val="9.0"/>
      <color theme="1"/>
      <name val="&quot;Google Sans Mono&quot;"/>
    </font>
    <font>
      <b/>
      <sz val="13.0"/>
      <color theme="1"/>
      <name val="Arial"/>
    </font>
    <font>
      <i/>
      <color theme="1"/>
      <name val="Arial"/>
    </font>
    <font>
      <color rgb="FF000000"/>
      <name val="Arial"/>
    </font>
    <font>
      <u/>
      <color rgb="FF000000"/>
      <name val="Helvetica"/>
    </font>
    <font>
      <u/>
      <sz val="9.0"/>
      <color rgb="FF000000"/>
      <name val="&quot;Google Sans Mono&quot;"/>
    </font>
    <font>
      <u/>
      <color rgb="FF0000FF"/>
    </font>
    <font>
      <color rgb="FF000000"/>
      <name val="Arial"/>
      <scheme val="minor"/>
    </font>
    <font>
      <color rgb="FF2B333A"/>
      <name val="&quot;Source Code Pro&quot;"/>
    </font>
    <font>
      <sz val="12.0"/>
      <color rgb="FF030327"/>
      <name val="Inter"/>
    </font>
    <font>
      <sz val="9.0"/>
      <color theme="1"/>
      <name val="Google Sans Mono"/>
    </font>
    <font>
      <color rgb="FF35434C"/>
      <name val="&quot;Source Code Pro&quot;"/>
    </font>
    <font>
      <sz val="24.0"/>
      <color theme="1"/>
      <name val="Arial"/>
      <scheme val="minor"/>
    </font>
    <font>
      <sz val="36.0"/>
      <color theme="1"/>
      <name val="Arial"/>
      <scheme val="minor"/>
    </font>
    <font>
      <sz val="11.0"/>
      <color rgb="FF000000"/>
      <name val="Roboto"/>
    </font>
    <font>
      <sz val="11.0"/>
      <color theme="1"/>
      <name val="Roboto"/>
    </font>
    <font>
      <sz val="9.0"/>
      <color rgb="FFFF0000"/>
      <name val="&quot;Google Sans Mono&quot;"/>
    </font>
    <font>
      <sz val="16.0"/>
      <color rgb="FF000000"/>
      <name val="Arial"/>
      <scheme val="minor"/>
    </font>
    <font>
      <b/>
      <sz val="17.0"/>
      <color rgb="FF000000"/>
      <name val="Arial"/>
      <scheme val="minor"/>
    </font>
    <font>
      <sz val="23.0"/>
      <color theme="1"/>
      <name val="Arial"/>
      <scheme val="minor"/>
    </font>
    <font>
      <sz val="22.0"/>
      <color theme="1"/>
      <name val="Arial"/>
      <scheme val="minor"/>
    </font>
    <font>
      <sz val="21.0"/>
      <color theme="1"/>
      <name val="Arial"/>
      <scheme val="minor"/>
    </font>
    <font>
      <b/>
      <sz val="11.0"/>
      <color rgb="FF000000"/>
      <name val="&quot;Google Sans Mono&quot;"/>
    </font>
    <font>
      <b/>
      <i/>
      <color rgb="FFCC0000"/>
      <name val="Arial"/>
      <scheme val="minor"/>
    </font>
    <font>
      <b/>
      <sz val="11.0"/>
      <color theme="1"/>
      <name val="Arial"/>
      <scheme val="minor"/>
    </font>
    <font>
      <sz val="12.0"/>
      <color rgb="FFECECF1"/>
      <name val="Söhne"/>
    </font>
    <font>
      <b/>
      <sz val="20.0"/>
      <color rgb="FF000000"/>
      <name val="Arial"/>
      <scheme val="minor"/>
    </font>
    <font>
      <b/>
      <color rgb="FF000000"/>
      <name val="Arial"/>
      <scheme val="minor"/>
    </font>
    <font>
      <sz val="17.0"/>
      <color theme="1"/>
      <name val="Arial"/>
      <scheme val="minor"/>
    </font>
    <font>
      <sz val="11.0"/>
      <color rgb="FF454545"/>
      <name val="&quot;Courier new&quot;"/>
    </font>
    <font>
      <sz val="11.0"/>
      <color rgb="FF000000"/>
      <name val="&quot;Söhne Mono&quot;"/>
    </font>
    <font>
      <sz val="8.0"/>
      <color rgb="FF188038"/>
      <name val="Arial"/>
    </font>
    <font>
      <sz val="11.0"/>
      <color theme="1"/>
      <name val="Arial"/>
    </font>
    <font>
      <sz val="17.0"/>
      <color rgb="FF3366FF"/>
      <name val="Helvetica"/>
    </font>
    <font>
      <sz val="11.0"/>
      <color theme="1"/>
      <name val="&quot;Söhne Mono&quot;"/>
    </font>
    <font>
      <sz val="11.0"/>
      <color rgb="FFFFFFFF"/>
      <name val="&quot;Söhne Mono&quot;"/>
    </font>
    <font>
      <sz val="11.0"/>
      <color rgb="FF444746"/>
      <name val="&quot;Google Sans&quot;"/>
    </font>
    <font>
      <sz val="11.0"/>
      <color rgb="FF1F1F1F"/>
      <name val="&quot;Google Sans&quot;"/>
    </font>
    <font>
      <sz val="12.0"/>
      <color rgb="FF000000"/>
      <name val="Söhne"/>
    </font>
    <font>
      <sz val="20.0"/>
      <color theme="1"/>
      <name val="Arial"/>
      <scheme val="minor"/>
    </font>
    <font>
      <b/>
      <sz val="8.0"/>
      <color theme="1"/>
      <name val="Arial"/>
      <scheme val="minor"/>
    </font>
    <font>
      <color rgb="FF4A86E8"/>
      <name val="Arial"/>
      <scheme val="minor"/>
    </font>
    <font>
      <color rgb="FF0000FF"/>
      <name val="Arial"/>
      <scheme val="minor"/>
    </font>
    <font>
      <sz val="12.0"/>
      <color rgb="FF198639"/>
      <name val="Monospace"/>
    </font>
    <font>
      <sz val="12.0"/>
      <color rgb="FF198639"/>
      <name val="Arial"/>
    </font>
    <font>
      <b/>
      <color rgb="FF000000"/>
      <name val="Arial"/>
    </font>
    <font>
      <sz val="14.0"/>
      <color rgb="FF111111"/>
      <name val="Arial"/>
    </font>
    <font/>
    <font>
      <u/>
      <sz val="14.0"/>
      <color rgb="FF111111"/>
      <name val="SourceSansPro"/>
    </font>
    <font>
      <sz val="8.0"/>
      <color rgb="FF000000"/>
      <name val="Arial"/>
    </font>
    <font>
      <b/>
      <i/>
      <sz val="11.0"/>
      <color rgb="FF5B0F00"/>
      <name val="Arial"/>
      <scheme val="minor"/>
    </font>
    <font>
      <sz val="12.0"/>
      <color rgb="FF000000"/>
      <name val="Times"/>
    </font>
    <font>
      <sz val="14.0"/>
      <color rgb="FF111111"/>
      <name val="SourceSansPro"/>
    </font>
    <font>
      <sz val="10.0"/>
      <color rgb="FF212529"/>
      <name val="-apple-system"/>
    </font>
    <font>
      <b/>
      <sz val="12.0"/>
      <color rgb="FF6AA84F"/>
      <name val="Arial"/>
      <scheme val="minor"/>
    </font>
    <font>
      <sz val="9.0"/>
      <color theme="1"/>
      <name val="Arial"/>
      <scheme val="minor"/>
    </font>
    <font>
      <b/>
      <sz val="12.0"/>
      <color rgb="FFBF9000"/>
      <name val="-apple-system"/>
    </font>
    <font>
      <b/>
      <sz val="11.0"/>
      <color theme="1"/>
      <name val="Google Sans"/>
    </font>
    <font>
      <sz val="12.0"/>
      <color theme="1"/>
      <name val="&quot;Google Sans&quot;"/>
    </font>
    <font>
      <b/>
      <sz val="12.0"/>
      <color rgb="FF8E7CC3"/>
      <name val="Arial"/>
      <scheme val="minor"/>
    </font>
    <font>
      <b/>
      <sz val="12.0"/>
      <color rgb="FF3C78D8"/>
      <name val="Arial"/>
      <scheme val="minor"/>
    </font>
    <font>
      <sz val="12.0"/>
      <color theme="1"/>
      <name val="Söhne"/>
    </font>
    <font>
      <sz val="12.0"/>
      <color theme="1"/>
      <name val="Arial"/>
    </font>
    <font>
      <sz val="12.0"/>
      <color rgb="FF00FF00"/>
      <name val="-apple-system"/>
    </font>
    <font>
      <b/>
      <sz val="12.0"/>
      <color rgb="FF00FF00"/>
      <name val="-apple-system"/>
    </font>
    <font>
      <b/>
      <sz val="12.0"/>
      <color rgb="FFFF0000"/>
      <name val="Arial"/>
    </font>
    <font>
      <b/>
      <sz val="11.0"/>
      <color rgb="FF000000"/>
      <name val="Arial"/>
    </font>
    <font>
      <sz val="8.0"/>
      <color theme="1"/>
      <name val="Arial"/>
    </font>
    <font>
      <b/>
      <sz val="12.0"/>
      <color rgb="FFFF0000"/>
      <name val="-apple-system"/>
    </font>
    <font>
      <sz val="15.0"/>
      <color theme="1"/>
      <name val="KaTeX_Main"/>
    </font>
    <font>
      <sz val="12.0"/>
      <color theme="1"/>
      <name val="Times"/>
    </font>
    <font>
      <sz val="12.0"/>
      <color rgb="FF212529"/>
      <name val="Arial"/>
    </font>
    <font>
      <b/>
      <sz val="12.0"/>
      <color rgb="FFFFD966"/>
      <name val="-apple-system"/>
    </font>
    <font>
      <b/>
      <sz val="15.0"/>
      <color theme="1"/>
      <name val="KaTeX_Main"/>
    </font>
    <font>
      <b/>
      <sz val="9.0"/>
      <color theme="1"/>
      <name val="KaTeX_Main"/>
    </font>
    <font>
      <sz val="12.0"/>
      <color rgb="FF212529"/>
      <name val="-apple-system"/>
    </font>
    <font>
      <b/>
      <sz val="12.0"/>
      <color rgb="FF3A3A3A"/>
      <name val="Open Sans"/>
    </font>
    <font>
      <b/>
      <sz val="12.0"/>
      <color rgb="FF8E7CC3"/>
      <name val="-apple-system"/>
    </font>
    <font>
      <sz val="16.0"/>
      <color rgb="FF3A3A3A"/>
      <name val="&quot;Open Sans&quot;"/>
    </font>
    <font>
      <b/>
      <sz val="16.0"/>
      <color theme="1"/>
      <name val="Arial"/>
      <scheme val="minor"/>
    </font>
    <font>
      <b/>
      <sz val="14.0"/>
      <color rgb="FF000000"/>
      <name val="Arial"/>
    </font>
    <font>
      <color rgb="FF3A3A3A"/>
      <name val="&quot;Open Sans&quot;"/>
    </font>
    <font>
      <sz val="14.0"/>
      <color rgb="FF57595D"/>
      <name val="&quot;Open Sans&quot;"/>
    </font>
    <font>
      <color rgb="FF3A3A3A"/>
      <name val="Open Sans"/>
    </font>
    <font>
      <i/>
      <sz val="12.0"/>
      <color rgb="FFD1D5DB"/>
      <name val="KaTeX_Math"/>
    </font>
    <font>
      <b/>
      <color rgb="FF132E57"/>
      <name val="&quot;Open Sans&quot;"/>
    </font>
    <font>
      <u/>
      <sz val="14.0"/>
      <color rgb="FF3271D2"/>
      <name val="&quot;Open Sans&quot;"/>
    </font>
    <font>
      <sz val="10.0"/>
      <color rgb="FF212529"/>
      <name val="Arial"/>
    </font>
    <font>
      <b/>
      <sz val="12.0"/>
      <color rgb="FFBF9000"/>
      <name val="Arial"/>
    </font>
    <font>
      <b/>
      <sz val="12.0"/>
      <color rgb="FF00FF00"/>
      <name val="Arial"/>
    </font>
    <font>
      <b/>
      <sz val="12.0"/>
      <color rgb="FFFFD966"/>
      <name val="Arial"/>
    </font>
    <font>
      <u/>
      <color rgb="FF000000"/>
    </font>
    <font>
      <b/>
      <sz val="12.0"/>
      <color rgb="FF000000"/>
      <name val="Arial"/>
    </font>
    <font>
      <b/>
      <u/>
      <sz val="12.0"/>
      <color rgb="FF000000"/>
      <name val="Arial"/>
    </font>
    <font>
      <b/>
      <u/>
      <color theme="1"/>
      <name val="Arial"/>
      <scheme val="minor"/>
    </font>
    <font>
      <color theme="1"/>
      <name val="&quot;Google Sans&quot;"/>
    </font>
    <font>
      <sz val="14.0"/>
      <color rgb="FF3E5B67"/>
      <name val="Spectral"/>
    </font>
    <font>
      <sz val="15.0"/>
      <color theme="1"/>
      <name val="&quot;Google Sans&quot;"/>
    </font>
    <font>
      <u/>
      <color rgb="FF0000FF"/>
      <name val="Arial"/>
    </font>
    <font>
      <color theme="1"/>
      <name val="&quot;Google Sans Text&quot;"/>
    </font>
    <font>
      <sz val="12.0"/>
      <color rgb="FF707070"/>
      <name val="&quot;Open Sans&quot;"/>
    </font>
    <font>
      <sz val="13.0"/>
      <color rgb="FF303030"/>
      <name val="Arial"/>
    </font>
    <font>
      <sz val="14.0"/>
      <color rgb="FF3D3D3D"/>
      <name val="Rubik"/>
    </font>
    <font>
      <sz val="12.0"/>
      <color rgb="FF000000"/>
      <name val="&quot;Times New Roman&quot;"/>
    </font>
    <font>
      <b/>
      <sz val="10.0"/>
      <color theme="1"/>
      <name val="Arial"/>
      <scheme val="minor"/>
    </font>
    <font>
      <b/>
      <color theme="1"/>
      <name val="&quot;Google Sans&quot;"/>
    </font>
    <font>
      <color rgb="FF000000"/>
      <name val="&quot;Times New Roman&quot;"/>
    </font>
    <font>
      <sz val="14.0"/>
      <color theme="1"/>
      <name val="Rubik"/>
    </font>
    <font>
      <sz val="12.0"/>
      <color rgb="FF3A3A3A"/>
      <name val="&quot;Open Sans&quot;"/>
    </font>
    <font>
      <sz val="21.0"/>
      <color theme="1"/>
      <name val="&quot;Google Sans&quot;"/>
    </font>
    <font>
      <sz val="14.0"/>
      <color rgb="FF575757"/>
      <name val="&quot;Helvetica Neue&quot;"/>
    </font>
    <font>
      <sz val="11.0"/>
      <color rgb="FF000000"/>
      <name val="&quot;Oracle Sans&quot;"/>
    </font>
    <font>
      <sz val="21.0"/>
      <color rgb="FFE8EAED"/>
      <name val="&quot;Google Sans&quot;"/>
    </font>
    <font>
      <b/>
      <color rgb="FFFFFFFF"/>
      <name val="Arial"/>
      <scheme val="minor"/>
    </font>
    <font>
      <color rgb="FFFFFFFF"/>
      <name val="Arial"/>
      <scheme val="minor"/>
    </font>
    <font>
      <color theme="1"/>
      <name val="Monospace"/>
    </font>
    <font>
      <sz val="12.0"/>
      <color rgb="FF111111"/>
      <name val="Arial"/>
    </font>
    <font>
      <b/>
      <sz val="12.0"/>
      <color rgb="FF303030"/>
      <name val="-apple-system"/>
    </font>
    <font>
      <color rgb="FF303030"/>
      <name val="Inherit"/>
    </font>
    <font>
      <color theme="1"/>
      <name val="Agrandir-Medium"/>
    </font>
    <font>
      <sz val="11.0"/>
      <color rgb="FF202122"/>
      <name val="Arial"/>
    </font>
    <font>
      <sz val="12.0"/>
      <color rgb="FF000000"/>
      <name val="&quot;Google Sans&quot;"/>
    </font>
    <font>
      <b/>
      <sz val="12.0"/>
      <color rgb="FF0D084D"/>
      <name val="Arial"/>
    </font>
    <font>
      <sz val="13.0"/>
      <color rgb="FF3A3A3A"/>
      <name val="&quot;Open Sans&quot;"/>
    </font>
    <font>
      <sz val="12.0"/>
      <color rgb="FF9900FF"/>
      <name val="Arial"/>
      <scheme val="minor"/>
    </font>
    <font>
      <b/>
      <sz val="14.0"/>
      <color rgb="FF3D3D3D"/>
      <name val="Rubik"/>
    </font>
    <font>
      <sz val="13.0"/>
      <color rgb="FF3A3A3A"/>
      <name val="&quot;docs-Open Sans&quot;"/>
    </font>
    <font>
      <sz val="30.0"/>
      <color rgb="FF3A3A3A"/>
      <name val="&quot;Open Sans&quot;"/>
    </font>
    <font>
      <sz val="11.0"/>
      <color rgb="FF000000"/>
      <name val="Arial"/>
    </font>
    <font>
      <b/>
      <sz val="12.0"/>
      <color rgb="FF0D084D"/>
      <name val="-apple-system"/>
    </font>
    <font>
      <sz val="12.0"/>
      <color rgb="FFD1D5DB"/>
      <name val="Söhne"/>
    </font>
    <font>
      <sz val="9.0"/>
      <color rgb="FF000000"/>
      <name val="Arial"/>
    </font>
    <font>
      <b/>
      <sz val="9.0"/>
      <color rgb="FF000000"/>
      <name val="Arial"/>
    </font>
    <font>
      <i/>
      <color rgb="FF020202"/>
      <name val="Inherit"/>
    </font>
    <font>
      <sz val="12.0"/>
      <color rgb="FF303030"/>
      <name val="Inherit"/>
    </font>
    <font>
      <sz val="12.0"/>
      <color rgb="FF303030"/>
      <name val="Arial"/>
    </font>
    <font>
      <sz val="12.0"/>
      <color rgb="FF202122"/>
      <name val="Arial"/>
    </font>
    <font>
      <b/>
      <sz val="15.0"/>
      <color rgb="FF1A1A1A"/>
      <name val="&quot;Roboto Condensed&quot;"/>
    </font>
    <font>
      <sz val="12.0"/>
      <color rgb="FF000000"/>
      <name val="Arial"/>
    </font>
    <font>
      <sz val="17.0"/>
      <color rgb="FFFFFFFF"/>
      <name val="Lato"/>
    </font>
    <font>
      <sz val="12.0"/>
      <color rgb="FF3D3D3D"/>
      <name val="Rubik"/>
    </font>
    <font>
      <b/>
      <sz val="14.0"/>
      <color rgb="FF222222"/>
      <name val="Arial"/>
    </font>
    <font>
      <u/>
      <sz val="14.0"/>
      <color rgb="FF0000FF"/>
      <name val="Rubik"/>
    </font>
    <font>
      <sz val="12.0"/>
      <color rgb="FF3A3A3A"/>
      <name val="&quot;docs-Open Sans&quot;"/>
    </font>
    <font>
      <sz val="14.0"/>
      <color theme="1"/>
      <name val="Arial"/>
      <scheme val="minor"/>
    </font>
    <font>
      <color rgb="FF111111"/>
      <name val="Cabin-semi-bold"/>
    </font>
    <font>
      <color rgb="FF111111"/>
      <name val="Arial"/>
    </font>
    <font>
      <sz val="20.0"/>
      <color theme="8"/>
      <name val="Arial"/>
      <scheme val="minor"/>
    </font>
    <font>
      <b/>
      <sz val="15.0"/>
      <color theme="1"/>
      <name val="Arial"/>
      <scheme val="minor"/>
    </font>
    <font>
      <sz val="14.0"/>
      <color rgb="FF181B31"/>
      <name val="Poppins"/>
    </font>
    <font>
      <sz val="14.0"/>
      <color rgb="FF000000"/>
      <name val="Poppins"/>
    </font>
    <font>
      <sz val="14.0"/>
      <color theme="1"/>
      <name val="Söhne"/>
    </font>
    <font>
      <sz val="14.0"/>
      <color rgb="FF222222"/>
      <name val="Georgia"/>
    </font>
    <font>
      <sz val="11.0"/>
      <color theme="1"/>
      <name val="&quot;Google Sans&quot;"/>
    </font>
    <font>
      <b/>
      <sz val="14.0"/>
      <color rgb="FF212529"/>
      <name val="-apple-system"/>
    </font>
    <font>
      <sz val="14.0"/>
      <color rgb="FF212529"/>
      <name val="Arial"/>
    </font>
    <font>
      <sz val="14.0"/>
      <color rgb="FF000000"/>
      <name val="Arial"/>
    </font>
    <font>
      <color rgb="FF000000"/>
      <name val="Söhne"/>
    </font>
    <font>
      <color theme="1"/>
      <name val="Söhne"/>
    </font>
    <font>
      <u/>
      <sz val="14.0"/>
      <color rgb="FF3D3D3D"/>
      <name val="Rubik"/>
    </font>
    <font>
      <i/>
      <u/>
      <color rgb="FF208DE5"/>
      <name val="Inherit"/>
    </font>
    <font>
      <b/>
      <color rgb="FF020202"/>
      <name val="Inherit"/>
    </font>
    <font>
      <color rgb="FF555555"/>
      <name val="Rubik"/>
    </font>
    <font>
      <i/>
      <sz val="14.0"/>
      <color rgb="FF3D3D3D"/>
      <name val="Rubik"/>
    </font>
    <font>
      <u/>
      <color rgb="FF000000"/>
      <name val="Arial"/>
    </font>
    <font>
      <sz val="12.0"/>
      <color rgb="FF000000"/>
      <name val="Arimo"/>
    </font>
    <font>
      <i/>
      <color rgb="FF000000"/>
      <name val="Arial"/>
    </font>
    <font>
      <sz val="15.0"/>
      <color rgb="FF4C4C4C"/>
      <name val="Swis721CnBT"/>
    </font>
    <font>
      <u/>
      <sz val="15.0"/>
      <color rgb="FF333333"/>
      <name val="Math"/>
    </font>
    <font>
      <u/>
      <sz val="12.0"/>
      <color rgb="FF000000"/>
      <name val="-apple-system"/>
    </font>
    <font>
      <sz val="12.0"/>
      <color rgb="FF000000"/>
      <name val="Lato"/>
    </font>
    <font>
      <sz val="11.0"/>
      <color rgb="FFE7E9EA"/>
      <name val="TwitterChirp"/>
    </font>
    <font>
      <sz val="14.0"/>
      <color rgb="FF000000"/>
      <name val="-apple-system"/>
    </font>
    <font>
      <sz val="11.0"/>
      <color rgb="FF000000"/>
      <name val="&quot;Google Sans&quot;"/>
    </font>
    <font>
      <color rgb="FFFFFFFF"/>
      <name val="&quot;Source Sans Pro&quot;"/>
    </font>
    <font>
      <sz val="11.0"/>
      <color rgb="FF000000"/>
      <name val="-apple-system"/>
    </font>
    <font>
      <sz val="24.0"/>
      <color rgb="FF000000"/>
      <name val="-apple-system"/>
    </font>
    <font>
      <u/>
      <color rgb="FF8AB4F8"/>
      <name val="Roboto"/>
    </font>
    <font>
      <sz val="25.0"/>
      <color rgb="FF032D60"/>
      <name val="&quot;ITC Avant Garde&quot;"/>
    </font>
    <font>
      <sz val="17.0"/>
      <color rgb="FF202124"/>
      <name val="Roboto"/>
    </font>
    <font>
      <sz val="16.0"/>
      <color rgb="FF2C573E"/>
      <name val="&quot;Alegreya Sans&quot;"/>
    </font>
    <font>
      <sz val="24.0"/>
      <color theme="1"/>
      <name val="Poppins"/>
    </font>
    <font>
      <sz val="12.0"/>
      <color rgb="FF202124"/>
      <name val="Roboto"/>
    </font>
    <font>
      <b/>
      <sz val="15.0"/>
      <color theme="1"/>
      <name val="Arial"/>
    </font>
    <font>
      <b/>
      <u/>
      <sz val="9.0"/>
      <color rgb="FF0000FF"/>
      <name val="Poppins"/>
    </font>
    <font>
      <sz val="8.0"/>
      <color rgb="FF3366CC"/>
      <name val="Arial"/>
    </font>
    <font>
      <color rgb="FF3C4043"/>
      <name val="Roboto Mono"/>
    </font>
    <font>
      <color rgb="FFB31412"/>
      <name val="&quot;Roboto Mono&quot;"/>
    </font>
    <font>
      <u/>
      <color rgb="FF1155CC"/>
      <name val="Arial"/>
    </font>
    <font>
      <sz val="12.0"/>
      <color rgb="FF1F1F1F"/>
      <name val="Google Sans"/>
    </font>
    <font>
      <sz val="12.0"/>
      <color rgb="FF1F1F1F"/>
      <name val="&quot;Google Sans&quot;"/>
    </font>
    <font>
      <color rgb="FF1C1C1C"/>
      <name val="&quot;Noto Mono&quot;"/>
    </font>
    <font>
      <color rgb="FF202124"/>
      <name val="&quot;Roboto Mono&quot;"/>
    </font>
    <font>
      <sz val="11.0"/>
      <color rgb="FF1B1B1B"/>
      <name val="&quot;Noto Sans&quot;"/>
    </font>
    <font>
      <color rgb="FF202124"/>
      <name val="Roboto Mono"/>
    </font>
    <font>
      <sz val="11.0"/>
      <color theme="1"/>
      <name val="Consolas"/>
    </font>
    <font>
      <color rgb="FF3C4043"/>
      <name val="&quot;Roboto Mono&quot;"/>
    </font>
    <font>
      <sz val="11.0"/>
      <color rgb="FFFFFFFF"/>
      <name val="Roboto"/>
    </font>
    <font>
      <u/>
      <sz val="12.0"/>
      <color rgb="FF000000"/>
      <name val="TDAmeritradeSansScreen"/>
    </font>
    <font>
      <color rgb="FFFF9900"/>
      <name val="Arial"/>
      <scheme val="minor"/>
    </font>
    <font>
      <color rgb="FF9900FF"/>
      <name val="Arial"/>
      <scheme val="minor"/>
    </font>
    <font>
      <color rgb="FF6AA84F"/>
      <name val="Arial"/>
      <scheme val="minor"/>
    </font>
    <font>
      <u/>
      <sz val="11.0"/>
      <color rgb="FFE7E9EA"/>
      <name val="Arial"/>
    </font>
    <font>
      <u/>
      <sz val="13.0"/>
      <color rgb="FF000000"/>
      <name val="Arial"/>
    </font>
    <font>
      <sz val="12.0"/>
      <color rgb="FF000000"/>
      <name val="Arial"/>
      <scheme val="minor"/>
    </font>
    <font>
      <b/>
      <sz val="12.0"/>
      <color rgb="FF111111"/>
      <name val="Arial"/>
    </font>
    <font>
      <u/>
      <sz val="14.0"/>
      <color rgb="FF111111"/>
      <name val="SourceSansPro"/>
    </font>
    <font>
      <b/>
      <color rgb="FF111111"/>
      <name val="Cabin-semi-bold"/>
    </font>
    <font>
      <u/>
      <sz val="14.0"/>
      <color rgb="FF2C40D0"/>
      <name val="SourceSansPro"/>
    </font>
    <font>
      <u/>
      <sz val="14.0"/>
      <color rgb="FF111111"/>
      <name val="SourceSansPro"/>
    </font>
    <font>
      <sz val="15.0"/>
      <color rgb="FF242424"/>
      <name val="Source-serif-pro"/>
    </font>
    <font>
      <b/>
      <sz val="14.0"/>
      <color theme="1"/>
      <name val="Inherit"/>
    </font>
    <font>
      <sz val="9.0"/>
      <color rgb="FF101F36"/>
      <name val="Inherit"/>
    </font>
    <font>
      <b/>
      <sz val="13.0"/>
      <color rgb="FFFFFFFF"/>
      <name val="Nunito"/>
    </font>
    <font>
      <b/>
      <sz val="11.0"/>
      <color rgb="FF222222"/>
      <name val="&quot;Google Sans&quot;"/>
    </font>
    <font>
      <b/>
      <u/>
      <color rgb="FFFFFFFF"/>
      <name val="Arial"/>
      <scheme val="minor"/>
    </font>
    <font>
      <color rgb="FF1F1F1F"/>
      <name val="&quot;Google Sans&quot;"/>
    </font>
    <font>
      <color rgb="FF1F1F1F"/>
      <name val="&quot;Google Sans Text&quot;"/>
    </font>
    <font>
      <u/>
      <color rgb="FFF2F2F2"/>
      <name val="&quot;Google Sans&quot;"/>
    </font>
    <font>
      <b/>
      <color rgb="FF1F1F1F"/>
      <name val="&quot;Google Sans&quot;"/>
    </font>
    <font>
      <sz val="11.0"/>
      <color rgb="FF1F1F1F"/>
      <name val="&quot;Google Sans Text&quot;"/>
    </font>
    <font>
      <b/>
      <sz val="13.0"/>
      <color theme="1"/>
      <name val="Arial"/>
      <scheme val="minor"/>
    </font>
    <font>
      <color rgb="FF198639"/>
      <name val="Monospace"/>
    </font>
    <font>
      <color rgb="FF198639"/>
      <name val="Arial"/>
    </font>
    <font>
      <u/>
      <color rgb="FF0B57D0"/>
      <name val="&quot;Google Sans&quot;"/>
    </font>
    <font>
      <color rgb="FF0B57D0"/>
      <name val="&quot;Google Sans&quot;"/>
    </font>
    <font>
      <b/>
      <sz val="12.0"/>
      <color theme="1"/>
      <name val="Calibri"/>
    </font>
    <font>
      <i/>
      <sz val="12.0"/>
      <color theme="1"/>
      <name val="Calibri"/>
    </font>
    <font>
      <u/>
      <sz val="14.0"/>
      <color rgb="FF0000FF"/>
      <name val="Calibri"/>
    </font>
    <font>
      <sz val="12.0"/>
      <color theme="1"/>
      <name val="Calibri"/>
    </font>
    <font>
      <u/>
      <sz val="12.0"/>
      <color rgb="FF0000FF"/>
      <name val="Calibri"/>
    </font>
    <font>
      <u/>
      <sz val="12.0"/>
      <color rgb="FF0000FF"/>
      <name val="Calibri"/>
    </font>
    <font>
      <u/>
      <sz val="12.0"/>
      <color rgb="FF0000FF"/>
      <name val="Calibri"/>
    </font>
    <font>
      <b/>
      <i/>
      <sz val="12.0"/>
      <color theme="1"/>
      <name val="Calibri"/>
    </font>
    <font>
      <i/>
      <color theme="1"/>
      <name val="Verdana"/>
    </font>
    <font>
      <sz val="11.0"/>
      <color theme="1"/>
      <name val="Open Sans"/>
    </font>
    <font>
      <sz val="8.0"/>
      <color theme="0"/>
      <name val="Open Sans"/>
    </font>
    <font>
      <sz val="12.0"/>
      <color theme="1"/>
      <name val="Open Sans"/>
    </font>
    <font>
      <b/>
      <sz val="14.0"/>
      <color rgb="FF3271D2"/>
      <name val="Open Sans"/>
    </font>
    <font>
      <sz val="11.0"/>
      <color rgb="FF0000FF"/>
      <name val="Open Sans"/>
    </font>
    <font>
      <sz val="10.0"/>
      <color theme="1"/>
      <name val="Open Sans"/>
    </font>
    <font>
      <sz val="10.0"/>
      <color rgb="FF3271D2"/>
      <name val="Open Sans"/>
    </font>
    <font>
      <sz val="10.0"/>
      <color theme="0"/>
      <name val="Open Sans"/>
    </font>
    <font>
      <b/>
      <sz val="10.0"/>
      <color rgb="FFFFFFFF"/>
      <name val="Open Sans"/>
    </font>
    <font>
      <b/>
      <sz val="10.0"/>
      <color theme="0"/>
      <name val="Open Sans"/>
    </font>
    <font>
      <i/>
      <sz val="10.0"/>
      <color theme="1"/>
      <name val="Open Sans"/>
    </font>
    <font>
      <sz val="10.0"/>
      <color rgb="FF0000FF"/>
      <name val="Open Sans"/>
    </font>
    <font>
      <b/>
      <sz val="10.0"/>
      <color rgb="FF000000"/>
      <name val="Open Sans"/>
    </font>
    <font>
      <sz val="10.0"/>
      <color rgb="FF000000"/>
      <name val="Open Sans"/>
    </font>
    <font>
      <b/>
      <sz val="10.0"/>
      <color theme="1"/>
      <name val="Open Sans"/>
    </font>
    <font>
      <u/>
      <sz val="10.0"/>
      <color rgb="FF0070C0"/>
      <name val="Open Sans"/>
    </font>
    <font>
      <b/>
      <sz val="13.0"/>
      <color rgb="FF0000FF"/>
      <name val="Arial"/>
      <scheme val="minor"/>
    </font>
    <font>
      <sz val="18.0"/>
      <color theme="1"/>
      <name val="Arial"/>
      <scheme val="minor"/>
    </font>
    <font>
      <u/>
      <color rgb="FF0000FF"/>
    </font>
  </fonts>
  <fills count="57">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theme="6"/>
        <bgColor theme="6"/>
      </patternFill>
    </fill>
    <fill>
      <patternFill patternType="solid">
        <fgColor rgb="FFCCCCCC"/>
        <bgColor rgb="FFCCCCCC"/>
      </patternFill>
    </fill>
    <fill>
      <patternFill patternType="solid">
        <fgColor rgb="FFFFFFFF"/>
        <bgColor rgb="FFFFFFFF"/>
      </patternFill>
    </fill>
    <fill>
      <patternFill patternType="solid">
        <fgColor rgb="FFF0F0F1"/>
        <bgColor rgb="FFF0F0F1"/>
      </patternFill>
    </fill>
    <fill>
      <patternFill patternType="solid">
        <fgColor rgb="FFFFD966"/>
        <bgColor rgb="FFFFD966"/>
      </patternFill>
    </fill>
    <fill>
      <patternFill patternType="solid">
        <fgColor rgb="FF9900FF"/>
        <bgColor rgb="FF9900FF"/>
      </patternFill>
    </fill>
    <fill>
      <patternFill patternType="solid">
        <fgColor rgb="FFFF0000"/>
        <bgColor rgb="FFFF0000"/>
      </patternFill>
    </fill>
    <fill>
      <patternFill patternType="solid">
        <fgColor rgb="FFFFFF00"/>
        <bgColor rgb="FFFFFF00"/>
      </patternFill>
    </fill>
    <fill>
      <patternFill patternType="solid">
        <fgColor rgb="FF4A86E8"/>
        <bgColor rgb="FF4A86E8"/>
      </patternFill>
    </fill>
    <fill>
      <patternFill patternType="solid">
        <fgColor rgb="FF93C47D"/>
        <bgColor rgb="FF93C47D"/>
      </patternFill>
    </fill>
    <fill>
      <patternFill patternType="solid">
        <fgColor rgb="FFD9D2E9"/>
        <bgColor rgb="FFD9D2E9"/>
      </patternFill>
    </fill>
    <fill>
      <patternFill patternType="solid">
        <fgColor rgb="FFB4A7D6"/>
        <bgColor rgb="FFB4A7D6"/>
      </patternFill>
    </fill>
    <fill>
      <patternFill patternType="solid">
        <fgColor rgb="FFAACCFF"/>
        <bgColor rgb="FFAACCFF"/>
      </patternFill>
    </fill>
    <fill>
      <patternFill patternType="solid">
        <fgColor rgb="FF3D85C6"/>
        <bgColor rgb="FF3D85C6"/>
      </patternFill>
    </fill>
    <fill>
      <patternFill patternType="solid">
        <fgColor rgb="FF20124D"/>
        <bgColor rgb="FF20124D"/>
      </patternFill>
    </fill>
    <fill>
      <patternFill patternType="solid">
        <fgColor rgb="FFA4C2F4"/>
        <bgColor rgb="FFA4C2F4"/>
      </patternFill>
    </fill>
    <fill>
      <patternFill patternType="solid">
        <fgColor theme="9"/>
        <bgColor theme="9"/>
      </patternFill>
    </fill>
    <fill>
      <patternFill patternType="solid">
        <fgColor rgb="FF6AA84F"/>
        <bgColor rgb="FF6AA84F"/>
      </patternFill>
    </fill>
    <fill>
      <patternFill patternType="solid">
        <fgColor rgb="FFB7E1CD"/>
        <bgColor rgb="FFB7E1CD"/>
      </patternFill>
    </fill>
    <fill>
      <patternFill patternType="solid">
        <fgColor rgb="FFE69138"/>
        <bgColor rgb="FFE69138"/>
      </patternFill>
    </fill>
    <fill>
      <patternFill patternType="solid">
        <fgColor rgb="FFDDEEFF"/>
        <bgColor rgb="FFDDEEFF"/>
      </patternFill>
    </fill>
    <fill>
      <patternFill patternType="solid">
        <fgColor rgb="FF343541"/>
        <bgColor rgb="FF343541"/>
      </patternFill>
    </fill>
    <fill>
      <patternFill patternType="solid">
        <fgColor rgb="FFF0F0F0"/>
        <bgColor rgb="FFF0F0F0"/>
      </patternFill>
    </fill>
    <fill>
      <patternFill patternType="solid">
        <fgColor rgb="FFF5FCFF"/>
        <bgColor rgb="FFF5FCFF"/>
      </patternFill>
    </fill>
    <fill>
      <patternFill patternType="solid">
        <fgColor rgb="FFE06666"/>
        <bgColor rgb="FFE06666"/>
      </patternFill>
    </fill>
    <fill>
      <patternFill patternType="solid">
        <fgColor rgb="FF202124"/>
        <bgColor rgb="FF202124"/>
      </patternFill>
    </fill>
    <fill>
      <patternFill patternType="solid">
        <fgColor rgb="FFEA9999"/>
        <bgColor rgb="FFEA9999"/>
      </patternFill>
    </fill>
    <fill>
      <patternFill patternType="solid">
        <fgColor rgb="FF0A4059"/>
        <bgColor rgb="FF0A4059"/>
      </patternFill>
    </fill>
    <fill>
      <patternFill patternType="solid">
        <fgColor rgb="FFD9EAD3"/>
        <bgColor rgb="FFD9EAD3"/>
      </patternFill>
    </fill>
    <fill>
      <patternFill patternType="solid">
        <fgColor rgb="FF042436"/>
        <bgColor rgb="FF042436"/>
      </patternFill>
    </fill>
    <fill>
      <patternFill patternType="solid">
        <fgColor rgb="FFF2F2F2"/>
        <bgColor rgb="FFF2F2F2"/>
      </patternFill>
    </fill>
    <fill>
      <patternFill patternType="solid">
        <fgColor rgb="FFFEFEFE"/>
        <bgColor rgb="FFFEFEFE"/>
      </patternFill>
    </fill>
    <fill>
      <patternFill patternType="solid">
        <fgColor rgb="FFF8F9FA"/>
        <bgColor rgb="FFF8F9FA"/>
      </patternFill>
    </fill>
    <fill>
      <patternFill patternType="solid">
        <fgColor rgb="FFF6F7F8"/>
        <bgColor rgb="FFF6F7F8"/>
      </patternFill>
    </fill>
    <fill>
      <patternFill patternType="solid">
        <fgColor rgb="FF00FF00"/>
        <bgColor rgb="FF00FF00"/>
      </patternFill>
    </fill>
    <fill>
      <patternFill patternType="solid">
        <fgColor rgb="FF131417"/>
        <bgColor rgb="FF131417"/>
      </patternFill>
    </fill>
    <fill>
      <patternFill patternType="solid">
        <fgColor rgb="FFD8E5F8"/>
        <bgColor rgb="FFD8E5F8"/>
      </patternFill>
    </fill>
    <fill>
      <patternFill patternType="solid">
        <fgColor rgb="FF000000"/>
        <bgColor rgb="FF000000"/>
      </patternFill>
    </fill>
    <fill>
      <patternFill patternType="solid">
        <fgColor rgb="FFF3F3F3"/>
        <bgColor rgb="FFF3F3F3"/>
      </patternFill>
    </fill>
    <fill>
      <patternFill patternType="solid">
        <fgColor rgb="FFFFF2CC"/>
        <bgColor rgb="FFFFF2CC"/>
      </patternFill>
    </fill>
    <fill>
      <patternFill patternType="solid">
        <fgColor rgb="FFD9D9D9"/>
        <bgColor rgb="FFD9D9D9"/>
      </patternFill>
    </fill>
    <fill>
      <patternFill patternType="solid">
        <fgColor rgb="FFE3E3E3"/>
        <bgColor rgb="FFE3E3E3"/>
      </patternFill>
    </fill>
    <fill>
      <patternFill patternType="solid">
        <fgColor rgb="FFD8D8D8"/>
        <bgColor rgb="FFD8D8D8"/>
      </patternFill>
    </fill>
    <fill>
      <patternFill patternType="solid">
        <fgColor rgb="FFBFBFBF"/>
        <bgColor rgb="FFBFBFBF"/>
      </patternFill>
    </fill>
    <fill>
      <patternFill patternType="solid">
        <fgColor rgb="FFFCF305"/>
        <bgColor rgb="FFFCF305"/>
      </patternFill>
    </fill>
    <fill>
      <patternFill patternType="solid">
        <fgColor rgb="FFDBE5F1"/>
        <bgColor rgb="FFDBE5F1"/>
      </patternFill>
    </fill>
    <fill>
      <patternFill patternType="solid">
        <fgColor rgb="FF132E57"/>
        <bgColor rgb="FF132E57"/>
      </patternFill>
    </fill>
    <fill>
      <patternFill patternType="solid">
        <fgColor rgb="FFBCD1F0"/>
        <bgColor rgb="FFBCD1F0"/>
      </patternFill>
    </fill>
    <fill>
      <patternFill patternType="solid">
        <fgColor rgb="FFD9E5F7"/>
        <bgColor rgb="FFD9E5F7"/>
      </patternFill>
    </fill>
  </fills>
  <borders count="62">
    <border/>
    <border>
      <bottom style="thin">
        <color rgb="FF000000"/>
      </bottom>
    </border>
    <border>
      <left style="thin">
        <color rgb="FF000000"/>
      </left>
      <right style="thin">
        <color rgb="FF000000"/>
      </right>
      <top style="thin">
        <color rgb="FF000000"/>
      </top>
      <bottom style="thin">
        <color rgb="FF000000"/>
      </bottom>
    </border>
    <border>
      <bottom style="thick">
        <color rgb="FF198639"/>
      </bottom>
    </border>
    <border>
      <bottom style="thick">
        <color rgb="FF000000"/>
      </bottom>
    </border>
    <border>
      <top style="thick">
        <color rgb="FF000000"/>
      </top>
    </border>
    <border>
      <left style="thick">
        <color rgb="FF000000"/>
      </left>
      <right style="thick">
        <color rgb="FF000000"/>
      </right>
    </border>
    <border>
      <left style="thick">
        <color rgb="FF000000"/>
      </left>
    </border>
    <border>
      <left style="thick">
        <color rgb="FF000000"/>
      </left>
      <right style="thick">
        <color rgb="FF000000"/>
      </right>
      <bottom style="thick">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AACCFF"/>
      </left>
      <right style="medium">
        <color rgb="FFAACCFF"/>
      </right>
      <top style="medium">
        <color rgb="FFAACCFF"/>
      </top>
    </border>
    <border>
      <left style="medium">
        <color rgb="FFAACCFF"/>
      </left>
      <right style="medium">
        <color rgb="FFAACCFF"/>
      </right>
      <top style="medium">
        <color rgb="FFAACCFF"/>
      </top>
      <bottom style="medium">
        <color rgb="FFAACCFF"/>
      </bottom>
    </border>
    <border>
      <right style="double">
        <color rgb="FF000000"/>
      </right>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left style="medium">
        <color rgb="FFAACCFF"/>
      </left>
      <right style="medium">
        <color rgb="FFAACCFF"/>
      </right>
      <bottom style="medium">
        <color rgb="FFAACCFF"/>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double">
        <color rgb="FF000000"/>
      </right>
      <top style="double">
        <color rgb="FF000000"/>
      </top>
    </border>
    <border>
      <left style="double">
        <color rgb="FF000000"/>
      </left>
      <right style="double">
        <color rgb="FF000000"/>
      </right>
    </border>
    <border>
      <left style="double">
        <color rgb="FF000000"/>
      </left>
      <right style="double">
        <color rgb="FF000000"/>
      </right>
      <bottom style="double">
        <color rgb="FF000000"/>
      </bottom>
    </border>
    <border>
      <top style="thin">
        <color rgb="FFDEE2E6"/>
      </top>
    </border>
    <border>
      <left style="double">
        <color rgb="FF000000"/>
      </left>
      <right style="double">
        <color rgb="FF000000"/>
      </right>
      <top style="double">
        <color rgb="FF000000"/>
      </top>
      <bottom style="double">
        <color rgb="FF000000"/>
      </bottom>
    </border>
    <border>
      <left style="medium">
        <color rgb="FFAACCFF"/>
      </left>
      <right style="medium">
        <color rgb="FFAACCFF"/>
      </right>
      <top style="medium">
        <color rgb="FFAACCFF"/>
      </top>
      <bottom style="thin">
        <color rgb="FF000000"/>
      </bottom>
    </border>
    <border>
      <left style="medium">
        <color rgb="FFAACCFF"/>
      </left>
      <top style="medium">
        <color rgb="FFAACCFF"/>
      </top>
      <bottom style="medium">
        <color rgb="FFAACCFF"/>
      </bottom>
    </border>
    <border>
      <top style="medium">
        <color rgb="FFAACCFF"/>
      </top>
      <bottom style="medium">
        <color rgb="FFAACCFF"/>
      </bottom>
    </border>
    <border>
      <right style="medium">
        <color rgb="FFAACCFF"/>
      </right>
      <top style="medium">
        <color rgb="FFAACCFF"/>
      </top>
      <bottom style="medium">
        <color rgb="FFAACCFF"/>
      </bottom>
    </border>
    <border>
      <top style="thin">
        <color rgb="FF000000"/>
      </top>
    </border>
    <border>
      <right style="thin">
        <color rgb="FF000000"/>
      </right>
    </border>
    <border>
      <left style="thin">
        <color rgb="FF000000"/>
      </left>
    </border>
    <border>
      <left style="thin">
        <color rgb="FF000000"/>
      </left>
      <bottom style="thin">
        <color rgb="FF000000"/>
      </bottom>
    </border>
    <border>
      <left style="thick">
        <color rgb="FF198639"/>
      </left>
      <right style="thick">
        <color rgb="FF198639"/>
      </right>
      <top style="thick">
        <color rgb="FF198639"/>
      </top>
      <bottom style="thick">
        <color rgb="FF198639"/>
      </bottom>
    </border>
    <border>
      <left style="thin">
        <color rgb="FFBFBFBF"/>
      </left>
      <right style="thin">
        <color rgb="FFBFBFBF"/>
      </right>
      <top style="thin">
        <color rgb="FFDDDDDD"/>
      </top>
      <bottom style="thin">
        <color rgb="FFDDDDDD"/>
      </bottom>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A9ACAA"/>
      </left>
      <right style="thin">
        <color rgb="FFA9ACAA"/>
      </right>
      <top style="thin">
        <color rgb="FFA9ACAA"/>
      </top>
      <bottom style="thin">
        <color rgb="FFA9ACAA"/>
      </bottom>
    </border>
    <border>
      <top style="thin">
        <color rgb="FF000000"/>
      </top>
      <bottom style="thin">
        <color rgb="FF000000"/>
      </bottom>
    </border>
    <border>
      <left style="thin">
        <color rgb="FF000000"/>
      </left>
      <top style="thin">
        <color rgb="FF000000"/>
      </top>
      <bottom style="thin">
        <color rgb="FF000000"/>
      </bottom>
    </border>
    <border>
      <left style="thin">
        <color rgb="FFA9ACAA"/>
      </left>
      <top style="thin">
        <color rgb="FFA9ACAA"/>
      </top>
      <bottom style="thin">
        <color rgb="FFA9ACAA"/>
      </bottom>
    </border>
    <border>
      <top style="thin">
        <color rgb="FFA9ACAA"/>
      </top>
      <bottom style="thin">
        <color rgb="FFA9ACAA"/>
      </bottom>
    </border>
    <border>
      <right style="thin">
        <color rgb="FFA9ACAA"/>
      </right>
      <top style="thin">
        <color rgb="FFA9ACAA"/>
      </top>
      <bottom style="thin">
        <color rgb="FFA9ACAA"/>
      </bottom>
    </border>
    <border>
      <left style="thin">
        <color rgb="FF000000"/>
      </left>
      <right style="thin">
        <color rgb="FF000000"/>
      </right>
      <top style="thin">
        <color rgb="FF000000"/>
      </top>
    </border>
    <border>
      <left style="thin">
        <color rgb="FF000000"/>
      </left>
      <right style="thin">
        <color rgb="FF000000"/>
      </right>
    </border>
    <border>
      <left style="thin">
        <color rgb="FFA9ACAA"/>
      </left>
      <right style="thin">
        <color rgb="FFA9ACAA"/>
      </right>
      <top style="thin">
        <color rgb="FFA9ACAA"/>
      </top>
    </border>
    <border>
      <left style="thin">
        <color rgb="FFA9ACAA"/>
      </left>
      <right style="thin">
        <color rgb="FFA9ACAA"/>
      </right>
    </border>
    <border>
      <left style="thin">
        <color rgb="FFA9ACAA"/>
      </left>
      <right style="thin">
        <color rgb="FFA9ACAA"/>
      </right>
      <bottom style="thin">
        <color rgb="FFA9ACAA"/>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right style="medium">
        <color rgb="FF000000"/>
      </right>
    </border>
    <border>
      <left style="medium">
        <color rgb="FF000000"/>
      </left>
      <right style="thin">
        <color rgb="FF000000"/>
      </right>
    </border>
    <border>
      <bottom style="medium">
        <color rgb="FF000000"/>
      </bottom>
    </border>
    <border>
      <right style="medium">
        <color rgb="FF000000"/>
      </right>
      <bottom style="medium">
        <color rgb="FF000000"/>
      </bottom>
    </border>
    <border>
      <right style="medium">
        <color rgb="FF000000"/>
      </right>
      <bottom style="thin">
        <color rgb="FF000000"/>
      </bottom>
    </border>
    <border>
      <left/>
      <right/>
      <top/>
      <bottom/>
    </border>
  </borders>
  <cellStyleXfs count="1">
    <xf borderId="0" fillId="0" fontId="0" numFmtId="0" applyAlignment="1" applyFont="1"/>
  </cellStyleXfs>
  <cellXfs count="9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vertical="bottom"/>
    </xf>
    <xf borderId="0" fillId="0" fontId="3" numFmtId="0" xfId="0" applyAlignment="1" applyFont="1">
      <alignment readingOrder="0"/>
    </xf>
    <xf borderId="0" fillId="0" fontId="3" numFmtId="0" xfId="0" applyFont="1"/>
    <xf borderId="0" fillId="0" fontId="4" numFmtId="0" xfId="0" applyAlignment="1" applyFont="1">
      <alignment vertical="bottom"/>
    </xf>
    <xf borderId="0" fillId="0" fontId="5" numFmtId="0" xfId="0" applyAlignment="1" applyFont="1">
      <alignment readingOrder="0"/>
    </xf>
    <xf borderId="0" fillId="2" fontId="6" numFmtId="0" xfId="0" applyAlignment="1" applyFill="1" applyFont="1">
      <alignment horizontal="center" readingOrder="0"/>
    </xf>
    <xf borderId="0" fillId="2" fontId="7" numFmtId="0" xfId="0" applyAlignment="1" applyFont="1">
      <alignment horizontal="center" readingOrder="0"/>
    </xf>
    <xf borderId="0" fillId="2" fontId="7" numFmtId="0" xfId="0" applyAlignment="1" applyFont="1">
      <alignment readingOrder="0"/>
    </xf>
    <xf borderId="0" fillId="2" fontId="3" numFmtId="0" xfId="0" applyFont="1"/>
    <xf borderId="0" fillId="2" fontId="5" numFmtId="0" xfId="0" applyFont="1"/>
    <xf borderId="0" fillId="3" fontId="1" numFmtId="0" xfId="0" applyAlignment="1" applyFill="1" applyFont="1">
      <alignment readingOrder="0"/>
    </xf>
    <xf borderId="0" fillId="3" fontId="5" numFmtId="0" xfId="0" applyFont="1"/>
    <xf borderId="0" fillId="3" fontId="7" numFmtId="0" xfId="0" applyAlignment="1" applyFont="1">
      <alignment horizontal="center" readingOrder="0"/>
    </xf>
    <xf borderId="0" fillId="3" fontId="7" numFmtId="0" xfId="0" applyAlignment="1" applyFont="1">
      <alignment readingOrder="0"/>
    </xf>
    <xf borderId="0" fillId="4" fontId="1" numFmtId="0" xfId="0" applyAlignment="1" applyFill="1" applyFont="1">
      <alignment readingOrder="0"/>
    </xf>
    <xf borderId="0" fillId="4" fontId="5" numFmtId="0" xfId="0" applyFont="1"/>
    <xf borderId="0" fillId="4" fontId="3" numFmtId="0" xfId="0" applyFont="1"/>
    <xf borderId="0" fillId="5" fontId="1" numFmtId="0" xfId="0" applyAlignment="1" applyFill="1" applyFont="1">
      <alignment readingOrder="0"/>
    </xf>
    <xf borderId="0" fillId="5" fontId="5" numFmtId="0" xfId="0" applyFont="1"/>
    <xf borderId="0" fillId="5" fontId="3" numFmtId="0" xfId="0" applyFont="1"/>
    <xf borderId="0" fillId="0" fontId="5" numFmtId="9" xfId="0" applyAlignment="1" applyFont="1" applyNumberFormat="1">
      <alignment readingOrder="0"/>
    </xf>
    <xf borderId="0" fillId="0" fontId="8" numFmtId="0" xfId="0" applyAlignment="1" applyFont="1">
      <alignment readingOrder="0"/>
    </xf>
    <xf borderId="0" fillId="6" fontId="1" numFmtId="0" xfId="0" applyAlignment="1" applyFill="1" applyFont="1">
      <alignment readingOrder="0"/>
    </xf>
    <xf borderId="0" fillId="6" fontId="1" numFmtId="0" xfId="0" applyFont="1"/>
    <xf borderId="0" fillId="0" fontId="9" numFmtId="0" xfId="0" applyAlignment="1" applyFont="1">
      <alignment readingOrder="0"/>
    </xf>
    <xf borderId="0" fillId="7" fontId="1" numFmtId="0" xfId="0" applyAlignment="1" applyFill="1" applyFont="1">
      <alignment readingOrder="0"/>
    </xf>
    <xf borderId="0" fillId="7" fontId="1" numFmtId="0" xfId="0" applyFont="1"/>
    <xf borderId="0" fillId="8" fontId="1" numFmtId="0" xfId="0" applyAlignment="1" applyFill="1" applyFont="1">
      <alignment readingOrder="0"/>
    </xf>
    <xf borderId="0" fillId="8" fontId="1" numFmtId="0" xfId="0" applyFont="1"/>
    <xf borderId="0" fillId="9" fontId="7" numFmtId="0" xfId="0" applyAlignment="1" applyFill="1" applyFont="1">
      <alignment readingOrder="0"/>
    </xf>
    <xf borderId="0" fillId="9" fontId="5" numFmtId="0" xfId="0" applyFont="1"/>
    <xf borderId="0" fillId="9" fontId="3" numFmtId="0" xfId="0" applyFont="1"/>
    <xf borderId="0" fillId="0" fontId="7" numFmtId="0" xfId="0" applyAlignment="1" applyFont="1">
      <alignment readingOrder="0"/>
    </xf>
    <xf borderId="0" fillId="0" fontId="7" numFmtId="0" xfId="0" applyFont="1"/>
    <xf borderId="0" fillId="10" fontId="10" numFmtId="0" xfId="0" applyAlignment="1" applyFill="1" applyFont="1">
      <alignment horizontal="left" readingOrder="0"/>
    </xf>
    <xf borderId="0" fillId="10" fontId="11" numFmtId="0" xfId="0" applyAlignment="1" applyFont="1">
      <alignment horizontal="left" readingOrder="0"/>
    </xf>
    <xf borderId="0" fillId="10" fontId="12" numFmtId="0" xfId="0" applyAlignment="1" applyFont="1">
      <alignment horizontal="left" readingOrder="0"/>
    </xf>
    <xf borderId="0" fillId="10" fontId="13" numFmtId="0" xfId="0" applyAlignment="1" applyFont="1">
      <alignment horizontal="left" readingOrder="0"/>
    </xf>
    <xf borderId="1" fillId="0" fontId="14" numFmtId="0" xfId="0" applyAlignment="1" applyBorder="1" applyFont="1">
      <alignment readingOrder="0"/>
    </xf>
    <xf borderId="1" fillId="0" fontId="15" numFmtId="0" xfId="0" applyAlignment="1" applyBorder="1" applyFont="1">
      <alignment shrinkToFit="0" vertical="bottom" wrapText="0"/>
    </xf>
    <xf borderId="1" fillId="0" fontId="16" numFmtId="0" xfId="0" applyAlignment="1" applyBorder="1" applyFont="1">
      <alignment vertical="bottom"/>
    </xf>
    <xf borderId="1" fillId="0" fontId="15" numFmtId="0" xfId="0" applyAlignment="1" applyBorder="1" applyFont="1">
      <alignment vertical="bottom"/>
    </xf>
    <xf borderId="0" fillId="0" fontId="14" numFmtId="0" xfId="0" applyAlignment="1" applyFont="1">
      <alignment readingOrder="0"/>
    </xf>
    <xf borderId="2" fillId="0" fontId="14" numFmtId="0" xfId="0" applyAlignment="1" applyBorder="1" applyFont="1">
      <alignment readingOrder="0"/>
    </xf>
    <xf borderId="0" fillId="0" fontId="15" numFmtId="0" xfId="0" applyAlignment="1" applyFont="1">
      <alignment readingOrder="0" vertical="bottom"/>
    </xf>
    <xf borderId="0" fillId="0" fontId="16" numFmtId="0" xfId="0" applyAlignment="1" applyFont="1">
      <alignment horizontal="right" vertical="bottom"/>
    </xf>
    <xf borderId="0" fillId="0" fontId="16" numFmtId="0" xfId="0" applyAlignment="1" applyFont="1">
      <alignment vertical="bottom"/>
    </xf>
    <xf borderId="0" fillId="0" fontId="15" numFmtId="0" xfId="0" applyAlignment="1" applyFont="1">
      <alignment vertical="bottom"/>
    </xf>
    <xf borderId="0" fillId="0" fontId="14" numFmtId="164" xfId="0" applyAlignment="1" applyFont="1" applyNumberFormat="1">
      <alignment readingOrder="0"/>
    </xf>
    <xf borderId="0" fillId="10" fontId="17" numFmtId="0" xfId="0" applyAlignment="1" applyFont="1">
      <alignment readingOrder="0"/>
    </xf>
    <xf borderId="0" fillId="10" fontId="18" numFmtId="0" xfId="0" applyAlignment="1" applyFont="1">
      <alignment vertical="bottom"/>
    </xf>
    <xf borderId="0" fillId="0" fontId="15" numFmtId="0" xfId="0" applyAlignment="1" applyFont="1">
      <alignment shrinkToFit="0" vertical="bottom" wrapText="0"/>
    </xf>
    <xf borderId="0" fillId="10" fontId="19" numFmtId="0" xfId="0" applyFont="1"/>
    <xf borderId="0" fillId="10" fontId="19" numFmtId="165" xfId="0" applyFont="1" applyNumberFormat="1"/>
    <xf borderId="0" fillId="0" fontId="20" numFmtId="0" xfId="0" applyAlignment="1" applyFont="1">
      <alignment vertical="bottom"/>
    </xf>
    <xf borderId="0" fillId="0" fontId="16" numFmtId="0" xfId="0" applyAlignment="1" applyFont="1">
      <alignment readingOrder="0" vertical="bottom"/>
    </xf>
    <xf borderId="0" fillId="0" fontId="21" numFmtId="0" xfId="0" applyAlignment="1" applyFont="1">
      <alignment vertical="bottom"/>
    </xf>
    <xf borderId="0" fillId="0" fontId="21" numFmtId="0" xfId="0" applyAlignment="1" applyFont="1">
      <alignment vertical="bottom"/>
    </xf>
    <xf borderId="0" fillId="10" fontId="22" numFmtId="0" xfId="0" applyAlignment="1" applyFont="1">
      <alignment horizontal="right" vertical="bottom"/>
    </xf>
    <xf borderId="0" fillId="0" fontId="14" numFmtId="46" xfId="0" applyAlignment="1" applyFont="1" applyNumberFormat="1">
      <alignment readingOrder="0"/>
    </xf>
    <xf borderId="0" fillId="0" fontId="21" numFmtId="0" xfId="0" applyAlignment="1" applyFont="1">
      <alignment readingOrder="0" vertical="bottom"/>
    </xf>
    <xf borderId="0" fillId="0" fontId="16" numFmtId="166" xfId="0" applyAlignment="1" applyFont="1" applyNumberFormat="1">
      <alignment horizontal="right" vertical="bottom"/>
    </xf>
    <xf borderId="0" fillId="0" fontId="16" numFmtId="0" xfId="0" applyAlignment="1" applyFont="1">
      <alignment horizontal="right" vertical="bottom"/>
    </xf>
    <xf borderId="0" fillId="0" fontId="23" numFmtId="0" xfId="0" applyAlignment="1" applyFont="1">
      <alignment vertical="bottom"/>
    </xf>
    <xf borderId="3" fillId="0" fontId="16" numFmtId="0" xfId="0" applyAlignment="1" applyBorder="1" applyFont="1">
      <alignment horizontal="right" vertical="bottom"/>
    </xf>
    <xf borderId="0" fillId="0" fontId="14" numFmtId="3" xfId="0" applyAlignment="1" applyFont="1" applyNumberFormat="1">
      <alignment readingOrder="0"/>
    </xf>
    <xf borderId="0" fillId="0" fontId="24" numFmtId="0" xfId="0" applyAlignment="1" applyFont="1">
      <alignment readingOrder="0" vertical="bottom"/>
    </xf>
    <xf borderId="0" fillId="0" fontId="24" numFmtId="4" xfId="0" applyAlignment="1" applyFont="1" applyNumberFormat="1">
      <alignment vertical="bottom"/>
    </xf>
    <xf borderId="0" fillId="0" fontId="16" numFmtId="0" xfId="0" applyAlignment="1" applyFont="1">
      <alignment vertical="bottom"/>
    </xf>
    <xf borderId="0" fillId="0" fontId="16" numFmtId="2" xfId="0" applyAlignment="1" applyFont="1" applyNumberFormat="1">
      <alignment horizontal="right" vertical="bottom"/>
    </xf>
    <xf borderId="0" fillId="0" fontId="23" numFmtId="167" xfId="0" applyAlignment="1" applyFont="1" applyNumberFormat="1">
      <alignment horizontal="right" vertical="bottom"/>
    </xf>
    <xf borderId="0" fillId="0" fontId="23" numFmtId="0" xfId="0" applyAlignment="1" applyFont="1">
      <alignment vertical="bottom"/>
    </xf>
    <xf borderId="0" fillId="0" fontId="15" numFmtId="167" xfId="0" applyAlignment="1" applyFont="1" applyNumberFormat="1">
      <alignment horizontal="right" vertical="bottom"/>
    </xf>
    <xf borderId="0" fillId="0" fontId="16" numFmtId="2" xfId="0" applyAlignment="1" applyFont="1" applyNumberFormat="1">
      <alignment horizontal="right" vertical="bottom"/>
    </xf>
    <xf borderId="0" fillId="0" fontId="15" numFmtId="2" xfId="0" applyAlignment="1" applyFont="1" applyNumberFormat="1">
      <alignment horizontal="right" vertical="bottom"/>
    </xf>
    <xf borderId="0" fillId="0" fontId="25" numFmtId="0" xfId="0" applyAlignment="1" applyFont="1">
      <alignment readingOrder="0" vertical="bottom"/>
    </xf>
    <xf borderId="0" fillId="0" fontId="23" numFmtId="0" xfId="0" applyAlignment="1" applyFont="1">
      <alignment readingOrder="0" vertical="bottom"/>
    </xf>
    <xf borderId="0" fillId="0" fontId="3" numFmtId="0" xfId="0" applyAlignment="1" applyFont="1">
      <alignment horizontal="center"/>
    </xf>
    <xf borderId="0" fillId="0" fontId="5" numFmtId="0" xfId="0" applyAlignment="1" applyFont="1">
      <alignment readingOrder="0"/>
    </xf>
    <xf borderId="0" fillId="0" fontId="5" numFmtId="0" xfId="0" applyAlignment="1" applyFont="1">
      <alignment readingOrder="0"/>
    </xf>
    <xf borderId="0" fillId="10" fontId="26" numFmtId="0" xfId="0" applyAlignment="1" applyFont="1">
      <alignment readingOrder="0"/>
    </xf>
    <xf borderId="0" fillId="10" fontId="27" numFmtId="0" xfId="0" applyAlignment="1" applyFont="1">
      <alignment readingOrder="0" shrinkToFit="0" wrapText="0"/>
    </xf>
    <xf borderId="0" fillId="0" fontId="28" numFmtId="0" xfId="0" applyAlignment="1" applyFont="1">
      <alignment readingOrder="0"/>
    </xf>
    <xf borderId="0" fillId="0" fontId="29" numFmtId="0" xfId="0" applyAlignment="1" applyFont="1">
      <alignment readingOrder="0"/>
    </xf>
    <xf borderId="4" fillId="0" fontId="29" numFmtId="0" xfId="0" applyAlignment="1" applyBorder="1" applyFont="1">
      <alignment readingOrder="0"/>
    </xf>
    <xf borderId="4" fillId="0" fontId="5" numFmtId="0" xfId="0" applyBorder="1" applyFont="1"/>
    <xf borderId="0" fillId="0" fontId="5" numFmtId="0" xfId="0" applyAlignment="1" applyFont="1">
      <alignment readingOrder="0" shrinkToFit="0" wrapText="1"/>
    </xf>
    <xf borderId="0" fillId="0" fontId="5" numFmtId="0" xfId="0" applyAlignment="1" applyFont="1">
      <alignment readingOrder="0" shrinkToFit="0" wrapText="1"/>
    </xf>
    <xf borderId="0" fillId="10" fontId="30" numFmtId="0" xfId="0" applyAlignment="1" applyFont="1">
      <alignment horizontal="left" readingOrder="0" shrinkToFit="0" wrapText="0"/>
    </xf>
    <xf borderId="0" fillId="10" fontId="31" numFmtId="0" xfId="0" applyAlignment="1" applyFont="1">
      <alignment readingOrder="0"/>
    </xf>
    <xf borderId="5" fillId="0" fontId="5" numFmtId="0" xfId="0" applyBorder="1" applyFont="1"/>
    <xf borderId="5" fillId="10" fontId="19" numFmtId="0" xfId="0" applyBorder="1" applyFont="1"/>
    <xf borderId="0" fillId="10" fontId="32" numFmtId="0" xfId="0" applyAlignment="1" applyFont="1">
      <alignment vertical="bottom"/>
    </xf>
    <xf borderId="0" fillId="11" fontId="33" numFmtId="0" xfId="0" applyAlignment="1" applyFill="1" applyFont="1">
      <alignment horizontal="left"/>
    </xf>
    <xf borderId="0" fillId="10" fontId="19" numFmtId="0" xfId="0" applyFont="1"/>
    <xf borderId="0" fillId="0" fontId="34" numFmtId="0" xfId="0" applyAlignment="1" applyFont="1">
      <alignment horizontal="center" readingOrder="0" vertical="center"/>
    </xf>
    <xf borderId="0" fillId="0" fontId="5" numFmtId="0" xfId="0" applyFont="1"/>
    <xf borderId="0" fillId="0" fontId="35" numFmtId="0" xfId="0" applyAlignment="1" applyFont="1">
      <alignment horizontal="center" readingOrder="0" vertical="center"/>
    </xf>
    <xf borderId="0" fillId="0" fontId="36" numFmtId="0" xfId="0" applyAlignment="1" applyFont="1">
      <alignment readingOrder="0"/>
    </xf>
    <xf borderId="0" fillId="12" fontId="5" numFmtId="0" xfId="0" applyAlignment="1" applyFill="1" applyFont="1">
      <alignment readingOrder="0"/>
    </xf>
    <xf borderId="0" fillId="12" fontId="5" numFmtId="168" xfId="0" applyAlignment="1" applyFont="1" applyNumberFormat="1">
      <alignment horizontal="center" readingOrder="0"/>
    </xf>
    <xf borderId="0" fillId="0" fontId="5" numFmtId="10" xfId="0" applyFont="1" applyNumberFormat="1"/>
    <xf borderId="0" fillId="10" fontId="19" numFmtId="0" xfId="0" applyAlignment="1" applyFont="1">
      <alignment readingOrder="0"/>
    </xf>
    <xf borderId="0" fillId="10" fontId="36" numFmtId="0" xfId="0" applyFont="1"/>
    <xf borderId="0" fillId="0" fontId="37" numFmtId="0" xfId="0" applyFont="1"/>
    <xf borderId="0" fillId="10" fontId="25" numFmtId="0" xfId="0" applyAlignment="1" applyFont="1">
      <alignment horizontal="left" readingOrder="0"/>
    </xf>
    <xf borderId="0" fillId="13" fontId="38" numFmtId="0" xfId="0" applyFill="1" applyFont="1"/>
    <xf borderId="0" fillId="14" fontId="39" numFmtId="0" xfId="0" applyAlignment="1" applyFill="1" applyFont="1">
      <alignment horizontal="center" readingOrder="0" shrinkToFit="0" wrapText="1"/>
    </xf>
    <xf borderId="0" fillId="15" fontId="40" numFmtId="0" xfId="0" applyAlignment="1" applyFill="1" applyFont="1">
      <alignment horizontal="center" readingOrder="0" shrinkToFit="0" wrapText="1"/>
    </xf>
    <xf borderId="0" fillId="16" fontId="41" numFmtId="0" xfId="0" applyAlignment="1" applyFill="1" applyFont="1">
      <alignment horizontal="center" readingOrder="0"/>
    </xf>
    <xf borderId="0" fillId="12" fontId="42" numFmtId="0" xfId="0" applyAlignment="1" applyFont="1">
      <alignment horizontal="center" readingOrder="0"/>
    </xf>
    <xf borderId="6" fillId="17" fontId="43" numFmtId="2" xfId="0" applyAlignment="1" applyBorder="1" applyFill="1" applyFont="1" applyNumberFormat="1">
      <alignment horizontal="center" readingOrder="0"/>
    </xf>
    <xf borderId="0" fillId="18" fontId="43" numFmtId="0" xfId="0" applyAlignment="1" applyFill="1" applyFont="1">
      <alignment horizontal="center" readingOrder="0"/>
    </xf>
    <xf borderId="0" fillId="19" fontId="43" numFmtId="0" xfId="0" applyAlignment="1" applyFill="1" applyFont="1">
      <alignment horizontal="center" readingOrder="0"/>
    </xf>
    <xf borderId="0" fillId="10" fontId="44" numFmtId="168" xfId="0" applyAlignment="1" applyFont="1" applyNumberFormat="1">
      <alignment horizontal="center" readingOrder="0" vertical="center"/>
    </xf>
    <xf borderId="0" fillId="0" fontId="45" numFmtId="0" xfId="0" applyAlignment="1" applyFont="1">
      <alignment horizontal="center" readingOrder="0" vertical="center"/>
    </xf>
    <xf borderId="0" fillId="0" fontId="46" numFmtId="0" xfId="0" applyAlignment="1" applyFont="1">
      <alignment horizontal="center" readingOrder="0" vertical="center"/>
    </xf>
    <xf borderId="0" fillId="0" fontId="8" numFmtId="0" xfId="0" applyAlignment="1" applyFont="1">
      <alignment readingOrder="0"/>
    </xf>
    <xf borderId="0" fillId="0" fontId="47" numFmtId="0" xfId="0" applyAlignment="1" applyFont="1">
      <alignment readingOrder="0"/>
    </xf>
    <xf borderId="0" fillId="0" fontId="48" numFmtId="0" xfId="0" applyAlignment="1" applyFont="1">
      <alignment horizontal="center" readingOrder="0" shrinkToFit="0" wrapText="1"/>
    </xf>
    <xf borderId="0" fillId="15" fontId="49" numFmtId="0" xfId="0" applyAlignment="1" applyFont="1">
      <alignment horizontal="center" readingOrder="0" shrinkToFit="0" wrapText="1"/>
    </xf>
    <xf borderId="0" fillId="20" fontId="50" numFmtId="0" xfId="0" applyAlignment="1" applyFill="1" applyFont="1">
      <alignment horizontal="right"/>
    </xf>
    <xf borderId="0" fillId="12" fontId="5" numFmtId="0" xfId="0" applyFont="1"/>
    <xf borderId="6" fillId="17" fontId="5" numFmtId="2" xfId="0" applyBorder="1" applyFont="1" applyNumberFormat="1"/>
    <xf borderId="0" fillId="18" fontId="5" numFmtId="0" xfId="0" applyFont="1"/>
    <xf borderId="0" fillId="19" fontId="5" numFmtId="0" xfId="0" applyFont="1"/>
    <xf borderId="0" fillId="0" fontId="5" numFmtId="4" xfId="0" applyAlignment="1" applyFont="1" applyNumberFormat="1">
      <alignment horizontal="left"/>
    </xf>
    <xf borderId="0" fillId="0" fontId="16" numFmtId="0" xfId="0" applyAlignment="1" applyFont="1">
      <alignment horizontal="center" vertical="bottom"/>
    </xf>
    <xf borderId="0" fillId="10" fontId="51" numFmtId="0" xfId="0" applyAlignment="1" applyFont="1">
      <alignment horizontal="left"/>
    </xf>
    <xf borderId="7" fillId="18" fontId="5" numFmtId="0" xfId="0" applyBorder="1" applyFont="1"/>
    <xf borderId="0" fillId="6" fontId="5" numFmtId="0" xfId="0" applyFont="1"/>
    <xf borderId="0" fillId="6" fontId="19" numFmtId="0" xfId="0" applyFont="1"/>
    <xf borderId="0" fillId="18" fontId="16" numFmtId="0" xfId="0" applyAlignment="1" applyFont="1">
      <alignment readingOrder="0" shrinkToFit="0" vertical="bottom" wrapText="0"/>
    </xf>
    <xf borderId="0" fillId="18" fontId="16" numFmtId="0" xfId="0" applyAlignment="1" applyFont="1">
      <alignment vertical="bottom"/>
    </xf>
    <xf borderId="0" fillId="18" fontId="32" numFmtId="0" xfId="0" applyAlignment="1" applyFont="1">
      <alignment horizontal="center" readingOrder="0" vertical="bottom"/>
    </xf>
    <xf borderId="0" fillId="10" fontId="32" numFmtId="0" xfId="0" applyAlignment="1" applyFont="1">
      <alignment vertical="bottom"/>
    </xf>
    <xf borderId="0" fillId="18" fontId="52" numFmtId="0" xfId="0" applyAlignment="1" applyFont="1">
      <alignment horizontal="left"/>
    </xf>
    <xf borderId="0" fillId="18" fontId="32" numFmtId="0" xfId="0" applyAlignment="1" applyFont="1">
      <alignment horizontal="center" vertical="bottom"/>
    </xf>
    <xf borderId="0" fillId="10" fontId="53" numFmtId="0" xfId="0" applyFont="1"/>
    <xf borderId="0" fillId="18" fontId="16" numFmtId="0" xfId="0" applyAlignment="1" applyFont="1">
      <alignment readingOrder="0" vertical="bottom"/>
    </xf>
    <xf borderId="0" fillId="18" fontId="54" numFmtId="0" xfId="0" applyAlignment="1" applyFont="1">
      <alignment horizontal="center" readingOrder="0" vertical="bottom"/>
    </xf>
    <xf quotePrefix="1" borderId="0" fillId="18" fontId="55" numFmtId="0" xfId="0" applyAlignment="1" applyFont="1">
      <alignment readingOrder="0"/>
    </xf>
    <xf quotePrefix="1" borderId="0" fillId="18" fontId="55" numFmtId="0" xfId="0" applyAlignment="1" applyFont="1">
      <alignment readingOrder="0" shrinkToFit="0" wrapText="0"/>
    </xf>
    <xf borderId="0" fillId="18" fontId="54" numFmtId="0" xfId="0" applyAlignment="1" applyFont="1">
      <alignment vertical="bottom"/>
    </xf>
    <xf quotePrefix="1" borderId="0" fillId="18" fontId="16" numFmtId="0" xfId="0" applyAlignment="1" applyFont="1">
      <alignment readingOrder="0" vertical="bottom"/>
    </xf>
    <xf borderId="0" fillId="18" fontId="32" numFmtId="0" xfId="0" applyAlignment="1" applyFont="1">
      <alignment horizontal="center" vertical="bottom"/>
    </xf>
    <xf borderId="0" fillId="18" fontId="32" numFmtId="0" xfId="0" applyAlignment="1" applyFont="1">
      <alignment horizontal="left" readingOrder="0" vertical="bottom"/>
    </xf>
    <xf borderId="0" fillId="18" fontId="19" numFmtId="0" xfId="0" applyFont="1"/>
    <xf borderId="0" fillId="18" fontId="56" numFmtId="0" xfId="0" applyAlignment="1" applyFont="1">
      <alignment horizontal="left"/>
    </xf>
    <xf borderId="0" fillId="18" fontId="57" numFmtId="0" xfId="0" applyAlignment="1" applyFont="1">
      <alignment horizontal="left"/>
    </xf>
    <xf borderId="0" fillId="10" fontId="58" numFmtId="0" xfId="0" applyAlignment="1" applyFont="1">
      <alignment horizontal="left"/>
    </xf>
    <xf borderId="0" fillId="19" fontId="5" numFmtId="0" xfId="0" applyAlignment="1" applyFont="1">
      <alignment readingOrder="0"/>
    </xf>
    <xf borderId="0" fillId="0" fontId="56" numFmtId="0" xfId="0" applyAlignment="1" applyFont="1">
      <alignment horizontal="left"/>
    </xf>
    <xf borderId="0" fillId="18" fontId="16" numFmtId="0" xfId="0" applyAlignment="1" applyFont="1">
      <alignment shrinkToFit="0" vertical="bottom" wrapText="0"/>
    </xf>
    <xf borderId="0" fillId="10" fontId="59" numFmtId="0" xfId="0" applyFont="1"/>
    <xf borderId="0" fillId="10" fontId="55" numFmtId="0" xfId="0" applyAlignment="1" applyFont="1">
      <alignment readingOrder="0"/>
    </xf>
    <xf quotePrefix="1" borderId="0" fillId="10" fontId="55" numFmtId="0" xfId="0" applyAlignment="1" applyFont="1">
      <alignment readingOrder="0"/>
    </xf>
    <xf quotePrefix="1" borderId="0" fillId="10" fontId="55" numFmtId="0" xfId="0" applyAlignment="1" applyFont="1">
      <alignment readingOrder="0" shrinkToFit="0" wrapText="0"/>
    </xf>
    <xf borderId="0" fillId="0" fontId="60" numFmtId="0" xfId="0" applyAlignment="1" applyFont="1">
      <alignment readingOrder="0"/>
    </xf>
    <xf borderId="6" fillId="17" fontId="5" numFmtId="1" xfId="0" applyBorder="1" applyFont="1" applyNumberFormat="1"/>
    <xf borderId="4" fillId="21" fontId="39" numFmtId="0" xfId="0" applyAlignment="1" applyBorder="1" applyFill="1" applyFont="1">
      <alignment horizontal="center" readingOrder="0" shrinkToFit="0" wrapText="1"/>
    </xf>
    <xf borderId="4" fillId="21" fontId="40" numFmtId="0" xfId="0" applyAlignment="1" applyBorder="1" applyFont="1">
      <alignment horizontal="center" readingOrder="0" shrinkToFit="0" wrapText="1"/>
    </xf>
    <xf borderId="4" fillId="21" fontId="41" numFmtId="0" xfId="0" applyAlignment="1" applyBorder="1" applyFont="1">
      <alignment horizontal="center" readingOrder="0"/>
    </xf>
    <xf borderId="4" fillId="21" fontId="42" numFmtId="0" xfId="0" applyAlignment="1" applyBorder="1" applyFont="1">
      <alignment horizontal="center" readingOrder="0"/>
    </xf>
    <xf borderId="8" fillId="21" fontId="43" numFmtId="2" xfId="0" applyAlignment="1" applyBorder="1" applyFont="1" applyNumberFormat="1">
      <alignment horizontal="center" readingOrder="0"/>
    </xf>
    <xf borderId="4" fillId="21" fontId="43" numFmtId="0" xfId="0" applyAlignment="1" applyBorder="1" applyFont="1">
      <alignment horizontal="center" readingOrder="0"/>
    </xf>
    <xf borderId="4" fillId="21" fontId="44" numFmtId="168" xfId="0" applyAlignment="1" applyBorder="1" applyFont="1" applyNumberFormat="1">
      <alignment horizontal="center" readingOrder="0" vertical="center"/>
    </xf>
    <xf borderId="4" fillId="21" fontId="45" numFmtId="0" xfId="0" applyAlignment="1" applyBorder="1" applyFont="1">
      <alignment horizontal="center" readingOrder="0" vertical="center"/>
    </xf>
    <xf borderId="4" fillId="21" fontId="46" numFmtId="4" xfId="0" applyAlignment="1" applyBorder="1" applyFont="1" applyNumberFormat="1">
      <alignment horizontal="left" readingOrder="0" vertical="center"/>
    </xf>
    <xf borderId="4" fillId="21" fontId="5" numFmtId="0" xfId="0" applyBorder="1" applyFont="1"/>
    <xf borderId="4" fillId="21" fontId="47" numFmtId="0" xfId="0" applyAlignment="1" applyBorder="1" applyFont="1">
      <alignment readingOrder="0"/>
    </xf>
    <xf borderId="0" fillId="22" fontId="61" numFmtId="0" xfId="0" applyAlignment="1" applyFill="1" applyFont="1">
      <alignment horizontal="center" readingOrder="0" shrinkToFit="0" wrapText="1"/>
    </xf>
    <xf borderId="0" fillId="22" fontId="5" numFmtId="0" xfId="0" applyAlignment="1" applyFont="1">
      <alignment horizontal="center" readingOrder="0" shrinkToFit="0" wrapText="1"/>
    </xf>
    <xf borderId="0" fillId="22" fontId="50" numFmtId="0" xfId="0" applyAlignment="1" applyFont="1">
      <alignment horizontal="right"/>
    </xf>
    <xf borderId="0" fillId="22" fontId="5" numFmtId="0" xfId="0" applyFont="1"/>
    <xf borderId="0" fillId="22" fontId="5" numFmtId="2" xfId="0" applyFont="1" applyNumberFormat="1"/>
    <xf borderId="0" fillId="22" fontId="22" numFmtId="0" xfId="0" applyFont="1"/>
    <xf borderId="0" fillId="22" fontId="5" numFmtId="4" xfId="0" applyAlignment="1" applyFont="1" applyNumberFormat="1">
      <alignment horizontal="left"/>
    </xf>
    <xf borderId="0" fillId="0" fontId="61" numFmtId="0" xfId="0" applyAlignment="1" applyFont="1">
      <alignment horizontal="center" readingOrder="0" shrinkToFit="0" wrapText="1"/>
    </xf>
    <xf borderId="0" fillId="0" fontId="5" numFmtId="0" xfId="0" applyAlignment="1" applyFont="1">
      <alignment horizontal="center" readingOrder="0" shrinkToFit="0" wrapText="1"/>
    </xf>
    <xf borderId="0" fillId="0" fontId="50" numFmtId="0" xfId="0" applyAlignment="1" applyFont="1">
      <alignment horizontal="right"/>
    </xf>
    <xf borderId="0" fillId="0" fontId="5" numFmtId="2" xfId="0" applyFont="1" applyNumberFormat="1"/>
    <xf borderId="0" fillId="0" fontId="22" numFmtId="0" xfId="0" applyFont="1"/>
    <xf borderId="0" fillId="23" fontId="5" numFmtId="0" xfId="0" applyAlignment="1" applyFill="1" applyFont="1">
      <alignment horizontal="center" readingOrder="0"/>
    </xf>
    <xf borderId="0" fillId="23" fontId="5" numFmtId="0" xfId="0" applyAlignment="1" applyFont="1">
      <alignment readingOrder="0"/>
    </xf>
    <xf borderId="0" fillId="23" fontId="7" numFmtId="0" xfId="0" applyAlignment="1" applyFont="1">
      <alignment horizontal="center" readingOrder="0"/>
    </xf>
    <xf borderId="0" fillId="23" fontId="3" numFmtId="0" xfId="0" applyAlignment="1" applyFont="1">
      <alignment readingOrder="0" shrinkToFit="0" wrapText="0"/>
    </xf>
    <xf borderId="0" fillId="23" fontId="4" numFmtId="3" xfId="0" applyAlignment="1" applyFont="1" applyNumberFormat="1">
      <alignment horizontal="center" readingOrder="0" vertical="bottom"/>
    </xf>
    <xf borderId="0" fillId="23" fontId="5" numFmtId="167" xfId="0" applyAlignment="1" applyFont="1" applyNumberFormat="1">
      <alignment readingOrder="0"/>
    </xf>
    <xf borderId="0" fillId="23" fontId="5" numFmtId="0" xfId="0" applyFont="1"/>
    <xf borderId="0" fillId="0" fontId="5" numFmtId="0" xfId="0" applyAlignment="1" applyFont="1">
      <alignment horizontal="center" readingOrder="0"/>
    </xf>
    <xf borderId="0" fillId="0" fontId="62" numFmtId="0" xfId="0" applyAlignment="1" applyFont="1">
      <alignment horizontal="center" readingOrder="0"/>
    </xf>
    <xf borderId="0" fillId="0" fontId="3" numFmtId="0" xfId="0" applyAlignment="1" applyFont="1">
      <alignment readingOrder="0" shrinkToFit="0" wrapText="0"/>
    </xf>
    <xf borderId="0" fillId="0" fontId="16" numFmtId="3" xfId="0" applyAlignment="1" applyFont="1" applyNumberFormat="1">
      <alignment horizontal="right" vertical="bottom"/>
    </xf>
    <xf borderId="0" fillId="0" fontId="5" numFmtId="167" xfId="0" applyAlignment="1" applyFont="1" applyNumberFormat="1">
      <alignment readingOrder="0"/>
    </xf>
    <xf borderId="0" fillId="0" fontId="63" numFmtId="0" xfId="0" applyAlignment="1" applyFont="1">
      <alignment readingOrder="0"/>
    </xf>
    <xf borderId="0" fillId="0" fontId="62" numFmtId="0" xfId="0" applyAlignment="1" applyFont="1">
      <alignment horizontal="center"/>
    </xf>
    <xf borderId="0" fillId="0" fontId="5" numFmtId="3" xfId="0" applyAlignment="1" applyFont="1" applyNumberFormat="1">
      <alignment horizontal="right" readingOrder="0"/>
    </xf>
    <xf borderId="0" fillId="10" fontId="64" numFmtId="0" xfId="0" applyAlignment="1" applyFont="1">
      <alignment readingOrder="0"/>
    </xf>
    <xf borderId="0" fillId="0" fontId="5" numFmtId="0" xfId="0" applyAlignment="1" applyFont="1">
      <alignment horizontal="left" readingOrder="0"/>
    </xf>
    <xf borderId="0" fillId="0" fontId="3" numFmtId="0" xfId="0" applyAlignment="1" applyFont="1">
      <alignment horizontal="left" readingOrder="0" shrinkToFit="0" wrapText="0"/>
    </xf>
    <xf borderId="0" fillId="24" fontId="5" numFmtId="0" xfId="0" applyAlignment="1" applyFill="1" applyFont="1">
      <alignment horizontal="center" readingOrder="0"/>
    </xf>
    <xf borderId="0" fillId="0" fontId="5" numFmtId="167" xfId="0" applyAlignment="1" applyFont="1" applyNumberFormat="1">
      <alignment horizontal="center" readingOrder="0"/>
    </xf>
    <xf borderId="0" fillId="0" fontId="5" numFmtId="0" xfId="0" applyAlignment="1" applyFont="1">
      <alignment horizontal="center"/>
    </xf>
    <xf borderId="0" fillId="0" fontId="3" numFmtId="0" xfId="0" applyAlignment="1" applyFont="1">
      <alignment shrinkToFit="0" wrapText="0"/>
    </xf>
    <xf borderId="0" fillId="0" fontId="5" numFmtId="0" xfId="0" applyAlignment="1" applyFont="1">
      <alignment horizontal="left"/>
    </xf>
    <xf borderId="2" fillId="0" fontId="5" numFmtId="0" xfId="0" applyAlignment="1" applyBorder="1" applyFont="1">
      <alignment horizontal="center" readingOrder="0"/>
    </xf>
    <xf borderId="2" fillId="0" fontId="5" numFmtId="0" xfId="0" applyBorder="1" applyFont="1"/>
    <xf borderId="2" fillId="0" fontId="62" numFmtId="0" xfId="0" applyAlignment="1" applyBorder="1" applyFont="1">
      <alignment horizontal="center" readingOrder="0"/>
    </xf>
    <xf borderId="2" fillId="0" fontId="3" numFmtId="0" xfId="0" applyAlignment="1" applyBorder="1" applyFont="1">
      <alignment readingOrder="0" shrinkToFit="0" wrapText="0"/>
    </xf>
    <xf borderId="2" fillId="0" fontId="16" numFmtId="3" xfId="0" applyAlignment="1" applyBorder="1" applyFont="1" applyNumberFormat="1">
      <alignment horizontal="right" vertical="bottom"/>
    </xf>
    <xf borderId="2" fillId="0" fontId="5" numFmtId="167" xfId="0" applyAlignment="1" applyBorder="1" applyFont="1" applyNumberFormat="1">
      <alignment readingOrder="0"/>
    </xf>
    <xf borderId="2" fillId="0" fontId="5" numFmtId="0" xfId="0" applyAlignment="1" applyBorder="1" applyFont="1">
      <alignment readingOrder="0"/>
    </xf>
    <xf borderId="0" fillId="25" fontId="8" numFmtId="0" xfId="0" applyAlignment="1" applyFill="1" applyFont="1">
      <alignment horizontal="center" readingOrder="0"/>
    </xf>
    <xf borderId="0" fillId="25" fontId="5" numFmtId="0" xfId="0" applyAlignment="1" applyFont="1">
      <alignment readingOrder="0"/>
    </xf>
    <xf borderId="0" fillId="25" fontId="62" numFmtId="0" xfId="0" applyAlignment="1" applyFont="1">
      <alignment horizontal="center" readingOrder="0"/>
    </xf>
    <xf borderId="0" fillId="25" fontId="3" numFmtId="0" xfId="0" applyAlignment="1" applyFont="1">
      <alignment readingOrder="0" shrinkToFit="0" wrapText="0"/>
    </xf>
    <xf borderId="0" fillId="25" fontId="1" numFmtId="3" xfId="0" applyAlignment="1" applyFont="1" applyNumberFormat="1">
      <alignment horizontal="right" readingOrder="0"/>
    </xf>
    <xf borderId="0" fillId="25" fontId="3" numFmtId="0" xfId="0" applyAlignment="1" applyFont="1">
      <alignment readingOrder="0"/>
    </xf>
    <xf borderId="0" fillId="0" fontId="5" numFmtId="3" xfId="0" applyAlignment="1" applyFont="1" applyNumberFormat="1">
      <alignment horizontal="right"/>
    </xf>
    <xf borderId="0" fillId="25" fontId="1" numFmtId="0" xfId="0" applyAlignment="1" applyFont="1">
      <alignment horizontal="center" readingOrder="0"/>
    </xf>
    <xf borderId="4" fillId="0" fontId="5" numFmtId="0" xfId="0" applyAlignment="1" applyBorder="1" applyFont="1">
      <alignment horizontal="center" readingOrder="0"/>
    </xf>
    <xf borderId="4" fillId="0" fontId="5" numFmtId="0" xfId="0" applyAlignment="1" applyBorder="1" applyFont="1">
      <alignment horizontal="left"/>
    </xf>
    <xf borderId="4" fillId="0" fontId="5" numFmtId="0" xfId="0" applyAlignment="1" applyBorder="1" applyFont="1">
      <alignment horizontal="center"/>
    </xf>
    <xf borderId="4" fillId="0" fontId="3" numFmtId="0" xfId="0" applyAlignment="1" applyBorder="1" applyFont="1">
      <alignment horizontal="left" readingOrder="0" shrinkToFit="0" wrapText="0"/>
    </xf>
    <xf borderId="4" fillId="0" fontId="5" numFmtId="3" xfId="0" applyAlignment="1" applyBorder="1" applyFont="1" applyNumberFormat="1">
      <alignment horizontal="right"/>
    </xf>
    <xf borderId="4" fillId="0" fontId="5" numFmtId="167" xfId="0" applyAlignment="1" applyBorder="1" applyFont="1" applyNumberFormat="1">
      <alignment horizontal="center" readingOrder="0"/>
    </xf>
    <xf borderId="0" fillId="23" fontId="16" numFmtId="0" xfId="0" applyAlignment="1" applyFont="1">
      <alignment horizontal="center" vertical="bottom"/>
    </xf>
    <xf borderId="0" fillId="23" fontId="16" numFmtId="0" xfId="0" applyAlignment="1" applyFont="1">
      <alignment vertical="bottom"/>
    </xf>
    <xf borderId="0" fillId="0" fontId="16" numFmtId="0" xfId="0" applyAlignment="1" applyFont="1">
      <alignment horizontal="center" readingOrder="0" vertical="bottom"/>
    </xf>
    <xf borderId="0" fillId="0" fontId="16" numFmtId="0" xfId="0" applyAlignment="1" applyFont="1">
      <alignment shrinkToFit="0" vertical="bottom" wrapText="0"/>
    </xf>
    <xf borderId="0" fillId="26" fontId="16" numFmtId="0" xfId="0" applyAlignment="1" applyFill="1" applyFont="1">
      <alignment horizontal="center" vertical="bottom"/>
    </xf>
    <xf borderId="1" fillId="0" fontId="16" numFmtId="0" xfId="0" applyAlignment="1" applyBorder="1" applyFont="1">
      <alignment horizontal="center" vertical="bottom"/>
    </xf>
    <xf borderId="1" fillId="0" fontId="16" numFmtId="0" xfId="0" applyAlignment="1" applyBorder="1" applyFont="1">
      <alignment vertical="bottom"/>
    </xf>
    <xf borderId="9" fillId="0" fontId="16" numFmtId="0" xfId="0" applyAlignment="1" applyBorder="1" applyFont="1">
      <alignment horizontal="center" vertical="bottom"/>
    </xf>
    <xf borderId="10" fillId="0" fontId="16" numFmtId="0" xfId="0" applyAlignment="1" applyBorder="1" applyFont="1">
      <alignment vertical="bottom"/>
    </xf>
    <xf borderId="0" fillId="26" fontId="16" numFmtId="0" xfId="0" applyAlignment="1" applyFont="1">
      <alignment vertical="bottom"/>
    </xf>
    <xf borderId="0" fillId="25" fontId="16" numFmtId="0" xfId="0" applyAlignment="1" applyFont="1">
      <alignment vertical="bottom"/>
    </xf>
    <xf borderId="4" fillId="26" fontId="16" numFmtId="0" xfId="0" applyAlignment="1" applyBorder="1" applyFont="1">
      <alignment horizontal="center" vertical="bottom"/>
    </xf>
    <xf borderId="4" fillId="0" fontId="16" numFmtId="0" xfId="0" applyAlignment="1" applyBorder="1" applyFont="1">
      <alignment vertical="bottom"/>
    </xf>
    <xf borderId="0" fillId="10" fontId="65" numFmtId="0" xfId="0" applyAlignment="1" applyFont="1">
      <alignment horizontal="left" readingOrder="0"/>
    </xf>
    <xf borderId="0" fillId="10" fontId="66" numFmtId="0" xfId="0" applyAlignment="1" applyFont="1">
      <alignment readingOrder="0"/>
    </xf>
    <xf borderId="11" fillId="20" fontId="67" numFmtId="0" xfId="0" applyAlignment="1" applyBorder="1" applyFont="1">
      <alignment horizontal="center" readingOrder="0"/>
    </xf>
    <xf borderId="12" fillId="20" fontId="49" numFmtId="0" xfId="0" applyAlignment="1" applyBorder="1" applyFont="1">
      <alignment horizontal="center" readingOrder="0"/>
    </xf>
    <xf borderId="12" fillId="20" fontId="49" numFmtId="0" xfId="0" applyAlignment="1" applyBorder="1" applyFont="1">
      <alignment horizontal="center"/>
    </xf>
    <xf borderId="0" fillId="10" fontId="68" numFmtId="0" xfId="0" applyAlignment="1" applyFont="1">
      <alignment readingOrder="0"/>
    </xf>
    <xf borderId="13" fillId="0" fontId="5" numFmtId="0" xfId="0" applyBorder="1" applyFont="1"/>
    <xf borderId="14" fillId="27" fontId="14" numFmtId="0" xfId="0" applyAlignment="1" applyBorder="1" applyFill="1" applyFont="1">
      <alignment readingOrder="0"/>
    </xf>
    <xf borderId="15" fillId="27" fontId="37" numFmtId="0" xfId="0" applyAlignment="1" applyBorder="1" applyFont="1">
      <alignment horizontal="left" readingOrder="0"/>
    </xf>
    <xf borderId="15" fillId="27" fontId="5" numFmtId="0" xfId="0" applyBorder="1" applyFont="1"/>
    <xf borderId="16" fillId="27" fontId="5" numFmtId="0" xfId="0" applyBorder="1" applyFont="1"/>
    <xf borderId="17" fillId="0" fontId="5" numFmtId="0" xfId="0" applyBorder="1" applyFont="1"/>
    <xf borderId="18" fillId="0" fontId="69" numFmtId="0" xfId="0" applyBorder="1" applyFont="1"/>
    <xf borderId="12" fillId="20" fontId="49" numFmtId="169" xfId="0" applyAlignment="1" applyBorder="1" applyFont="1" applyNumberFormat="1">
      <alignment horizontal="center" readingOrder="0"/>
    </xf>
    <xf borderId="0" fillId="10" fontId="70" numFmtId="0" xfId="0" applyAlignment="1" applyFont="1">
      <alignment readingOrder="0"/>
    </xf>
    <xf borderId="0" fillId="0" fontId="71" numFmtId="3" xfId="0" applyAlignment="1" applyFont="1" applyNumberFormat="1">
      <alignment horizontal="right" readingOrder="0" vertical="bottom"/>
    </xf>
    <xf borderId="0" fillId="0" fontId="72" numFmtId="0" xfId="0" applyAlignment="1" applyFont="1">
      <alignment readingOrder="0"/>
    </xf>
    <xf borderId="19" fillId="27" fontId="73" numFmtId="0" xfId="0" applyAlignment="1" applyBorder="1" applyFont="1">
      <alignment readingOrder="0" vertical="bottom"/>
    </xf>
    <xf borderId="20" fillId="27" fontId="74" numFmtId="0" xfId="0" applyAlignment="1" applyBorder="1" applyFont="1">
      <alignment readingOrder="0"/>
    </xf>
    <xf borderId="20" fillId="27" fontId="5" numFmtId="0" xfId="0" applyBorder="1" applyFont="1"/>
    <xf borderId="21" fillId="27" fontId="5" numFmtId="0" xfId="0" applyBorder="1" applyFont="1"/>
    <xf borderId="12" fillId="28" fontId="29" numFmtId="0" xfId="0" applyAlignment="1" applyBorder="1" applyFill="1" applyFont="1">
      <alignment horizontal="left" readingOrder="0" vertical="top"/>
    </xf>
    <xf borderId="12" fillId="28" fontId="29" numFmtId="0" xfId="0" applyAlignment="1" applyBorder="1" applyFont="1">
      <alignment horizontal="left"/>
    </xf>
    <xf borderId="0" fillId="10" fontId="73" numFmtId="0" xfId="0" applyAlignment="1" applyFont="1">
      <alignment readingOrder="0" vertical="bottom"/>
    </xf>
    <xf borderId="13" fillId="0" fontId="5" numFmtId="0" xfId="0" applyAlignment="1" applyBorder="1" applyFont="1">
      <alignment readingOrder="0"/>
    </xf>
    <xf borderId="0" fillId="0" fontId="5" numFmtId="0" xfId="0" applyAlignment="1" applyFont="1">
      <alignment horizontal="right" readingOrder="0"/>
    </xf>
    <xf borderId="0" fillId="0" fontId="73" numFmtId="0" xfId="0" applyAlignment="1" applyFont="1">
      <alignment readingOrder="0" vertical="bottom"/>
    </xf>
    <xf borderId="0" fillId="10" fontId="75" numFmtId="3" xfId="0" applyAlignment="1" applyFont="1" applyNumberFormat="1">
      <alignment horizontal="right" readingOrder="0"/>
    </xf>
    <xf borderId="22" fillId="0" fontId="76" numFmtId="3" xfId="0" applyBorder="1" applyFont="1" applyNumberFormat="1"/>
    <xf borderId="15" fillId="0" fontId="20" numFmtId="0" xfId="0" applyAlignment="1" applyBorder="1" applyFont="1">
      <alignment shrinkToFit="0" vertical="bottom" wrapText="0"/>
    </xf>
    <xf borderId="12" fillId="10" fontId="29" numFmtId="0" xfId="0" applyAlignment="1" applyBorder="1" applyFont="1">
      <alignment horizontal="left" readingOrder="0" vertical="top"/>
    </xf>
    <xf borderId="12" fillId="10" fontId="29" numFmtId="0" xfId="0" applyAlignment="1" applyBorder="1" applyFont="1">
      <alignment horizontal="left" readingOrder="0"/>
    </xf>
    <xf borderId="12" fillId="10" fontId="29" numFmtId="0" xfId="0" applyAlignment="1" applyBorder="1" applyFont="1">
      <alignment horizontal="left"/>
    </xf>
    <xf borderId="0" fillId="10" fontId="68" numFmtId="3" xfId="0" applyAlignment="1" applyFont="1" applyNumberFormat="1">
      <alignment horizontal="left" readingOrder="0"/>
    </xf>
    <xf borderId="0" fillId="0" fontId="77" numFmtId="0" xfId="0" applyAlignment="1" applyFont="1">
      <alignment readingOrder="0"/>
    </xf>
    <xf borderId="0" fillId="0" fontId="9" numFmtId="0" xfId="0" applyAlignment="1" applyFont="1">
      <alignment horizontal="right" readingOrder="0"/>
    </xf>
    <xf borderId="23" fillId="10" fontId="78" numFmtId="3" xfId="0" applyAlignment="1" applyBorder="1" applyFont="1" applyNumberFormat="1">
      <alignment horizontal="right" readingOrder="0"/>
    </xf>
    <xf borderId="0" fillId="0" fontId="79" numFmtId="0" xfId="0" applyAlignment="1" applyFont="1">
      <alignment shrinkToFit="0" vertical="bottom" wrapText="0"/>
    </xf>
    <xf borderId="0" fillId="0" fontId="80" numFmtId="0" xfId="0" applyAlignment="1" applyFont="1">
      <alignment horizontal="left" readingOrder="0"/>
    </xf>
    <xf borderId="12" fillId="28" fontId="29" numFmtId="0" xfId="0" applyAlignment="1" applyBorder="1" applyFont="1">
      <alignment horizontal="left" readingOrder="0"/>
    </xf>
    <xf borderId="0" fillId="10" fontId="74" numFmtId="0" xfId="0" applyAlignment="1" applyFont="1">
      <alignment readingOrder="0"/>
    </xf>
    <xf borderId="23" fillId="0" fontId="81" numFmtId="3" xfId="0" applyBorder="1" applyFont="1" applyNumberFormat="1"/>
    <xf borderId="0" fillId="0" fontId="20" numFmtId="0" xfId="0" applyAlignment="1" applyFont="1">
      <alignment shrinkToFit="0" vertical="bottom" wrapText="0"/>
    </xf>
    <xf borderId="12" fillId="10" fontId="29" numFmtId="169" xfId="0" applyAlignment="1" applyBorder="1" applyFont="1" applyNumberFormat="1">
      <alignment horizontal="left" readingOrder="0"/>
    </xf>
    <xf borderId="0" fillId="10" fontId="25" numFmtId="0" xfId="0" applyAlignment="1" applyFont="1">
      <alignment readingOrder="0"/>
    </xf>
    <xf borderId="0" fillId="10" fontId="74" numFmtId="0" xfId="0" applyFont="1"/>
    <xf borderId="0" fillId="0" fontId="9" numFmtId="167" xfId="0" applyAlignment="1" applyFont="1" applyNumberFormat="1">
      <alignment readingOrder="0"/>
    </xf>
    <xf borderId="24" fillId="0" fontId="82" numFmtId="3" xfId="0" applyBorder="1" applyFont="1" applyNumberFormat="1"/>
    <xf borderId="0" fillId="0" fontId="20" numFmtId="0" xfId="0" applyAlignment="1" applyFont="1">
      <alignment readingOrder="0" shrinkToFit="0" vertical="bottom" wrapText="0"/>
    </xf>
    <xf borderId="0" fillId="0" fontId="83" numFmtId="0" xfId="0" applyAlignment="1" applyFont="1">
      <alignment readingOrder="0"/>
    </xf>
    <xf borderId="0" fillId="0" fontId="84" numFmtId="3" xfId="0" applyAlignment="1" applyFont="1" applyNumberFormat="1">
      <alignment readingOrder="0" vertical="bottom"/>
    </xf>
    <xf borderId="0" fillId="10" fontId="85" numFmtId="3" xfId="0" applyAlignment="1" applyFont="1" applyNumberFormat="1">
      <alignment vertical="bottom"/>
    </xf>
    <xf borderId="14" fillId="10" fontId="86" numFmtId="3" xfId="0" applyAlignment="1" applyBorder="1" applyFont="1" applyNumberFormat="1">
      <alignment horizontal="right" vertical="bottom"/>
    </xf>
    <xf borderId="15" fillId="10" fontId="86" numFmtId="3" xfId="0" applyAlignment="1" applyBorder="1" applyFont="1" applyNumberFormat="1">
      <alignment horizontal="right" vertical="bottom"/>
    </xf>
    <xf borderId="16" fillId="10" fontId="87" numFmtId="3" xfId="0" applyAlignment="1" applyBorder="1" applyFont="1" applyNumberFormat="1">
      <alignment horizontal="right" readingOrder="0"/>
    </xf>
    <xf borderId="0" fillId="10" fontId="88" numFmtId="0" xfId="0" applyAlignment="1" applyFont="1">
      <alignment horizontal="left" readingOrder="0"/>
    </xf>
    <xf borderId="0" fillId="0" fontId="89" numFmtId="0" xfId="0" applyAlignment="1" applyFont="1">
      <alignment horizontal="left" readingOrder="0" vertical="top"/>
    </xf>
    <xf borderId="0" fillId="0" fontId="89" numFmtId="0" xfId="0" applyAlignment="1" applyFont="1">
      <alignment horizontal="left" readingOrder="0" vertical="bottom"/>
    </xf>
    <xf borderId="0" fillId="10" fontId="74" numFmtId="3" xfId="0" applyAlignment="1" applyFont="1" applyNumberFormat="1">
      <alignment readingOrder="0"/>
    </xf>
    <xf borderId="13" fillId="0" fontId="73" numFmtId="0" xfId="0" applyAlignment="1" applyBorder="1" applyFont="1">
      <alignment horizontal="right" vertical="bottom"/>
    </xf>
    <xf borderId="0" fillId="0" fontId="83" numFmtId="0" xfId="0" applyAlignment="1" applyFont="1">
      <alignment horizontal="left" readingOrder="0"/>
    </xf>
    <xf borderId="0" fillId="0" fontId="71" numFmtId="0" xfId="0" applyAlignment="1" applyFont="1">
      <alignment horizontal="left" readingOrder="0" vertical="bottom"/>
    </xf>
    <xf borderId="19" fillId="10" fontId="86" numFmtId="3" xfId="0" applyAlignment="1" applyBorder="1" applyFont="1" applyNumberFormat="1">
      <alignment horizontal="right" readingOrder="0"/>
    </xf>
    <xf borderId="20" fillId="0" fontId="3" numFmtId="0" xfId="0" applyAlignment="1" applyBorder="1" applyFont="1">
      <alignment horizontal="right"/>
    </xf>
    <xf borderId="21" fillId="10" fontId="90" numFmtId="3" xfId="0" applyAlignment="1" applyBorder="1" applyFont="1" applyNumberFormat="1">
      <alignment horizontal="right" readingOrder="0"/>
    </xf>
    <xf borderId="17" fillId="0" fontId="20" numFmtId="0" xfId="0" applyAlignment="1" applyBorder="1" applyFont="1">
      <alignment shrinkToFit="0" vertical="bottom" wrapText="0"/>
    </xf>
    <xf borderId="0" fillId="0" fontId="91" numFmtId="0" xfId="0" applyAlignment="1" applyFont="1">
      <alignment horizontal="left" readingOrder="0" shrinkToFit="0" vertical="bottom" wrapText="0"/>
    </xf>
    <xf borderId="0" fillId="0" fontId="92" numFmtId="0" xfId="0" applyAlignment="1" applyFont="1">
      <alignment readingOrder="0" vertical="bottom"/>
    </xf>
    <xf borderId="20" fillId="0" fontId="84" numFmtId="3" xfId="0" applyAlignment="1" applyBorder="1" applyFont="1" applyNumberFormat="1">
      <alignment readingOrder="0" vertical="bottom"/>
    </xf>
    <xf borderId="20" fillId="10" fontId="93" numFmtId="3" xfId="0" applyAlignment="1" applyBorder="1" applyFont="1" applyNumberFormat="1">
      <alignment readingOrder="0" vertical="bottom"/>
    </xf>
    <xf borderId="20" fillId="0" fontId="91" numFmtId="0" xfId="0" applyAlignment="1" applyBorder="1" applyFont="1">
      <alignment horizontal="left" readingOrder="0" shrinkToFit="0" vertical="bottom" wrapText="0"/>
    </xf>
    <xf borderId="20" fillId="10" fontId="94" numFmtId="3" xfId="0" applyAlignment="1" applyBorder="1" applyFont="1" applyNumberFormat="1">
      <alignment horizontal="right" readingOrder="0"/>
    </xf>
    <xf borderId="20" fillId="0" fontId="95" numFmtId="0" xfId="0" applyAlignment="1" applyBorder="1" applyFont="1">
      <alignment horizontal="left" readingOrder="0" shrinkToFit="0" vertical="bottom" wrapText="0"/>
    </xf>
    <xf borderId="20" fillId="0" fontId="96" numFmtId="0" xfId="0" applyAlignment="1" applyBorder="1" applyFont="1">
      <alignment horizontal="left" readingOrder="0" shrinkToFit="0" vertical="bottom" wrapText="0"/>
    </xf>
    <xf borderId="20" fillId="0" fontId="20" numFmtId="0" xfId="0" applyAlignment="1" applyBorder="1" applyFont="1">
      <alignment shrinkToFit="0" vertical="bottom" wrapText="0"/>
    </xf>
    <xf borderId="20" fillId="0" fontId="5" numFmtId="0" xfId="0" applyBorder="1" applyFont="1"/>
    <xf borderId="19" fillId="0" fontId="5" numFmtId="0" xfId="0" applyBorder="1" applyFont="1"/>
    <xf borderId="0" fillId="10" fontId="68" numFmtId="3" xfId="0" applyAlignment="1" applyFont="1" applyNumberFormat="1">
      <alignment vertical="bottom"/>
    </xf>
    <xf borderId="0" fillId="10" fontId="68" numFmtId="3" xfId="0" applyAlignment="1" applyFont="1" applyNumberFormat="1">
      <alignment readingOrder="0" vertical="bottom"/>
    </xf>
    <xf borderId="25" fillId="10" fontId="97" numFmtId="3" xfId="0" applyAlignment="1" applyBorder="1" applyFont="1" applyNumberFormat="1">
      <alignment horizontal="left" readingOrder="0" vertical="top"/>
    </xf>
    <xf borderId="0" fillId="0" fontId="97" numFmtId="3" xfId="0" applyAlignment="1" applyFont="1" applyNumberFormat="1">
      <alignment horizontal="left" readingOrder="0"/>
    </xf>
    <xf borderId="0" fillId="0" fontId="76" numFmtId="164" xfId="0" applyAlignment="1" applyFont="1" applyNumberFormat="1">
      <alignment horizontal="right" readingOrder="0"/>
    </xf>
    <xf borderId="0" fillId="10" fontId="86" numFmtId="3" xfId="0" applyAlignment="1" applyFont="1" applyNumberFormat="1">
      <alignment horizontal="right" readingOrder="0"/>
    </xf>
    <xf borderId="0" fillId="0" fontId="1" numFmtId="170" xfId="0" applyAlignment="1" applyFont="1" applyNumberFormat="1">
      <alignment horizontal="center"/>
    </xf>
    <xf borderId="14" fillId="10" fontId="98" numFmtId="0" xfId="0" applyAlignment="1" applyBorder="1" applyFont="1">
      <alignment shrinkToFit="0" vertical="bottom" wrapText="0"/>
    </xf>
    <xf borderId="15" fillId="0" fontId="5" numFmtId="0" xfId="0" applyBorder="1" applyFont="1"/>
    <xf borderId="22" fillId="0" fontId="5" numFmtId="0" xfId="0" applyBorder="1" applyFont="1"/>
    <xf borderId="0" fillId="0" fontId="5" numFmtId="4" xfId="0" applyFont="1" applyNumberFormat="1"/>
    <xf borderId="0" fillId="10" fontId="78" numFmtId="171" xfId="0" applyAlignment="1" applyFont="1" applyNumberFormat="1">
      <alignment horizontal="right" readingOrder="0"/>
    </xf>
    <xf borderId="17" fillId="10" fontId="98" numFmtId="0" xfId="0" applyAlignment="1" applyBorder="1" applyFont="1">
      <alignment shrinkToFit="0" vertical="bottom" wrapText="0"/>
    </xf>
    <xf borderId="23" fillId="0" fontId="5" numFmtId="0" xfId="0" applyBorder="1" applyFont="1"/>
    <xf borderId="0" fillId="10" fontId="97" numFmtId="3" xfId="0" applyAlignment="1" applyFont="1" applyNumberFormat="1">
      <alignment horizontal="left" readingOrder="0"/>
    </xf>
    <xf borderId="0" fillId="10" fontId="99" numFmtId="171" xfId="0" applyAlignment="1" applyFont="1" applyNumberFormat="1">
      <alignment horizontal="right" readingOrder="0"/>
    </xf>
    <xf borderId="0" fillId="0" fontId="82" numFmtId="171" xfId="0" applyAlignment="1" applyFont="1" applyNumberFormat="1">
      <alignment horizontal="right" readingOrder="0"/>
    </xf>
    <xf borderId="0" fillId="10" fontId="90" numFmtId="3" xfId="0" applyAlignment="1" applyFont="1" applyNumberFormat="1">
      <alignment horizontal="right" readingOrder="0"/>
    </xf>
    <xf borderId="0" fillId="10" fontId="100" numFmtId="0" xfId="0" applyAlignment="1" applyFont="1">
      <alignment readingOrder="0"/>
    </xf>
    <xf borderId="0" fillId="10" fontId="94" numFmtId="171" xfId="0" applyAlignment="1" applyFont="1" applyNumberFormat="1">
      <alignment horizontal="right" readingOrder="0"/>
    </xf>
    <xf borderId="19" fillId="10" fontId="98" numFmtId="0" xfId="0" applyAlignment="1" applyBorder="1" applyFont="1">
      <alignment shrinkToFit="0" vertical="bottom" wrapText="0"/>
    </xf>
    <xf borderId="24" fillId="0" fontId="5" numFmtId="0" xfId="0" applyBorder="1" applyFont="1"/>
    <xf borderId="0" fillId="10" fontId="74" numFmtId="3" xfId="0" applyAlignment="1" applyFont="1" applyNumberFormat="1">
      <alignment vertical="bottom"/>
    </xf>
    <xf borderId="0" fillId="10" fontId="16" numFmtId="0" xfId="0" applyAlignment="1" applyFont="1">
      <alignment vertical="bottom"/>
    </xf>
    <xf borderId="0" fillId="0" fontId="101" numFmtId="0" xfId="0" applyAlignment="1" applyFont="1">
      <alignment readingOrder="0"/>
    </xf>
    <xf quotePrefix="1" borderId="0" fillId="10" fontId="102" numFmtId="0" xfId="0" applyAlignment="1" applyFont="1">
      <alignment horizontal="right" readingOrder="0"/>
    </xf>
    <xf borderId="26" fillId="0" fontId="7" numFmtId="170" xfId="0" applyAlignment="1" applyBorder="1" applyFont="1" applyNumberFormat="1">
      <alignment readingOrder="0"/>
    </xf>
    <xf borderId="0" fillId="10" fontId="68" numFmtId="0" xfId="0" applyAlignment="1" applyFont="1">
      <alignment readingOrder="0" shrinkToFit="0" wrapText="1"/>
    </xf>
    <xf borderId="0" fillId="10" fontId="103" numFmtId="0" xfId="0" applyAlignment="1" applyFont="1">
      <alignment readingOrder="0"/>
    </xf>
    <xf borderId="0" fillId="10" fontId="74" numFmtId="0" xfId="0" applyAlignment="1" applyFont="1">
      <alignment vertical="bottom"/>
    </xf>
    <xf borderId="0" fillId="10" fontId="104" numFmtId="164" xfId="0" applyAlignment="1" applyFont="1" applyNumberFormat="1">
      <alignment horizontal="left" readingOrder="0"/>
    </xf>
    <xf borderId="0" fillId="10" fontId="97" numFmtId="164" xfId="0" applyAlignment="1" applyFont="1" applyNumberFormat="1">
      <alignment horizontal="left" readingOrder="0"/>
    </xf>
    <xf borderId="0" fillId="10" fontId="105" numFmtId="0" xfId="0" applyAlignment="1" applyFont="1">
      <alignment shrinkToFit="0" vertical="bottom" wrapText="0"/>
    </xf>
    <xf borderId="0" fillId="0" fontId="60" numFmtId="0" xfId="0" applyAlignment="1" applyFont="1">
      <alignment horizontal="left" readingOrder="0"/>
    </xf>
    <xf borderId="0" fillId="10" fontId="74" numFmtId="0" xfId="0" applyAlignment="1" applyFont="1">
      <alignment shrinkToFit="0" vertical="bottom" wrapText="0"/>
    </xf>
    <xf borderId="0" fillId="10" fontId="105" numFmtId="0" xfId="0" applyAlignment="1" applyFont="1">
      <alignment readingOrder="0" shrinkToFit="0" vertical="bottom" wrapText="0"/>
    </xf>
    <xf borderId="0" fillId="0" fontId="84" numFmtId="0" xfId="0" applyAlignment="1" applyFont="1">
      <alignment shrinkToFit="0" vertical="bottom" wrapText="0"/>
    </xf>
    <xf borderId="0" fillId="0" fontId="9" numFmtId="164" xfId="0" applyAlignment="1" applyFont="1" applyNumberFormat="1">
      <alignment readingOrder="0"/>
    </xf>
    <xf borderId="0" fillId="10" fontId="68" numFmtId="0" xfId="0" applyAlignment="1" applyFont="1">
      <alignment readingOrder="0" shrinkToFit="0" vertical="bottom" wrapText="0"/>
    </xf>
    <xf borderId="0" fillId="10" fontId="68" numFmtId="0" xfId="0" applyAlignment="1" applyFont="1">
      <alignment horizontal="left" readingOrder="0"/>
    </xf>
    <xf borderId="0" fillId="10" fontId="93" numFmtId="164" xfId="0" applyAlignment="1" applyFont="1" applyNumberFormat="1">
      <alignment horizontal="left" readingOrder="0"/>
    </xf>
    <xf borderId="0" fillId="10" fontId="103" numFmtId="0" xfId="0" applyFont="1"/>
    <xf borderId="0" fillId="29" fontId="106" numFmtId="0" xfId="0" applyAlignment="1" applyFill="1" applyFont="1">
      <alignment readingOrder="0" shrinkToFit="0" wrapText="0"/>
    </xf>
    <xf borderId="0" fillId="10" fontId="107" numFmtId="0" xfId="0" applyAlignment="1" applyFont="1">
      <alignment readingOrder="0"/>
    </xf>
    <xf borderId="20" fillId="10" fontId="104" numFmtId="0" xfId="0" applyAlignment="1" applyBorder="1" applyFont="1">
      <alignment readingOrder="0"/>
    </xf>
    <xf borderId="0" fillId="10" fontId="104" numFmtId="0" xfId="0" applyFont="1"/>
    <xf borderId="16" fillId="0" fontId="5" numFmtId="0" xfId="0" applyBorder="1" applyFont="1"/>
    <xf borderId="12" fillId="28" fontId="29" numFmtId="172" xfId="0" applyAlignment="1" applyBorder="1" applyFont="1" applyNumberFormat="1">
      <alignment horizontal="right" readingOrder="0" shrinkToFit="0" wrapText="0"/>
    </xf>
    <xf borderId="0" fillId="10" fontId="104" numFmtId="0" xfId="0" applyAlignment="1" applyFont="1">
      <alignment readingOrder="0"/>
    </xf>
    <xf borderId="12" fillId="10" fontId="29" numFmtId="3" xfId="0" applyAlignment="1" applyBorder="1" applyFont="1" applyNumberFormat="1">
      <alignment horizontal="right" readingOrder="0" shrinkToFit="0" wrapText="0"/>
    </xf>
    <xf borderId="0" fillId="29" fontId="106" numFmtId="0" xfId="0" applyAlignment="1" applyFont="1">
      <alignment shrinkToFit="0" wrapText="0"/>
    </xf>
    <xf borderId="11" fillId="20" fontId="49" numFmtId="0" xfId="0" applyAlignment="1" applyBorder="1" applyFont="1">
      <alignment horizontal="center" readingOrder="0"/>
    </xf>
    <xf borderId="0" fillId="10" fontId="108" numFmtId="0" xfId="0" applyAlignment="1" applyFont="1">
      <alignment readingOrder="0"/>
    </xf>
    <xf borderId="12" fillId="28" fontId="49" numFmtId="0" xfId="0" applyAlignment="1" applyBorder="1" applyFont="1">
      <alignment horizontal="left" readingOrder="0" vertical="top"/>
    </xf>
    <xf borderId="12" fillId="10" fontId="29" numFmtId="172" xfId="0" applyAlignment="1" applyBorder="1" applyFont="1" applyNumberFormat="1">
      <alignment horizontal="right" readingOrder="0" shrinkToFit="0" wrapText="0"/>
    </xf>
    <xf borderId="12" fillId="28" fontId="29" numFmtId="3" xfId="0" applyAlignment="1" applyBorder="1" applyFont="1" applyNumberFormat="1">
      <alignment horizontal="right" readingOrder="0" shrinkToFit="0" wrapText="0"/>
    </xf>
    <xf borderId="0" fillId="10" fontId="107" numFmtId="0" xfId="0" applyFont="1"/>
    <xf borderId="12" fillId="10" fontId="29" numFmtId="0" xfId="0" applyAlignment="1" applyBorder="1" applyFont="1">
      <alignment horizontal="right" readingOrder="0" shrinkToFit="0" wrapText="0"/>
    </xf>
    <xf borderId="27" fillId="28" fontId="29" numFmtId="3" xfId="0" applyAlignment="1" applyBorder="1" applyFont="1" applyNumberFormat="1">
      <alignment horizontal="right" readingOrder="0" shrinkToFit="0" wrapText="0"/>
    </xf>
    <xf borderId="12" fillId="28" fontId="29" numFmtId="0" xfId="0" applyAlignment="1" applyBorder="1" applyFont="1">
      <alignment horizontal="right" readingOrder="0" shrinkToFit="0" wrapText="0"/>
    </xf>
    <xf borderId="0" fillId="10" fontId="109" numFmtId="3" xfId="0" applyAlignment="1" applyFont="1" applyNumberFormat="1">
      <alignment horizontal="right" readingOrder="0"/>
    </xf>
    <xf borderId="23" fillId="10" fontId="110" numFmtId="3" xfId="0" applyAlignment="1" applyBorder="1" applyFont="1" applyNumberFormat="1">
      <alignment horizontal="right" readingOrder="0"/>
    </xf>
    <xf borderId="0" fillId="0" fontId="9" numFmtId="3" xfId="0" applyAlignment="1" applyFont="1" applyNumberFormat="1">
      <alignment horizontal="right" readingOrder="0"/>
    </xf>
    <xf borderId="14" fillId="10" fontId="111" numFmtId="3" xfId="0" applyAlignment="1" applyBorder="1" applyFont="1" applyNumberFormat="1">
      <alignment horizontal="right" readingOrder="0" vertical="bottom"/>
    </xf>
    <xf borderId="19" fillId="10" fontId="111" numFmtId="3" xfId="0" applyAlignment="1" applyBorder="1" applyFont="1" applyNumberFormat="1">
      <alignment horizontal="right" readingOrder="0"/>
    </xf>
    <xf borderId="21" fillId="10" fontId="87" numFmtId="3" xfId="0" applyAlignment="1" applyBorder="1" applyFont="1" applyNumberFormat="1">
      <alignment horizontal="right" readingOrder="0"/>
    </xf>
    <xf borderId="20" fillId="10" fontId="112" numFmtId="3" xfId="0" applyAlignment="1" applyBorder="1" applyFont="1" applyNumberFormat="1">
      <alignment horizontal="right" readingOrder="0"/>
    </xf>
    <xf borderId="27" fillId="10" fontId="29" numFmtId="172" xfId="0" applyAlignment="1" applyBorder="1" applyFont="1" applyNumberFormat="1">
      <alignment horizontal="right" readingOrder="0" shrinkToFit="0" wrapText="0"/>
    </xf>
    <xf borderId="12" fillId="10" fontId="29" numFmtId="167" xfId="0" applyAlignment="1" applyBorder="1" applyFont="1" applyNumberFormat="1">
      <alignment horizontal="right" readingOrder="0" shrinkToFit="0" wrapText="0"/>
    </xf>
    <xf borderId="28" fillId="20" fontId="49" numFmtId="0" xfId="0" applyAlignment="1" applyBorder="1" applyFont="1">
      <alignment horizontal="center" readingOrder="0"/>
    </xf>
    <xf borderId="29" fillId="0" fontId="69" numFmtId="0" xfId="0" applyBorder="1" applyFont="1"/>
    <xf borderId="30" fillId="0" fontId="69" numFmtId="0" xfId="0" applyBorder="1" applyFont="1"/>
    <xf borderId="27" fillId="10" fontId="29" numFmtId="3" xfId="0" applyAlignment="1" applyBorder="1" applyFont="1" applyNumberFormat="1">
      <alignment horizontal="right" readingOrder="0" shrinkToFit="0" wrapText="0"/>
    </xf>
    <xf borderId="27" fillId="28" fontId="29" numFmtId="0" xfId="0" applyAlignment="1" applyBorder="1" applyFont="1">
      <alignment horizontal="right" readingOrder="0" shrinkToFit="0" wrapText="0"/>
    </xf>
    <xf borderId="12" fillId="28" fontId="29" numFmtId="167" xfId="0" applyAlignment="1" applyBorder="1" applyFont="1" applyNumberFormat="1">
      <alignment horizontal="right" readingOrder="0" shrinkToFit="0" wrapText="0"/>
    </xf>
    <xf borderId="12" fillId="30" fontId="29" numFmtId="0" xfId="0" applyAlignment="1" applyBorder="1" applyFill="1" applyFont="1">
      <alignment horizontal="left" readingOrder="0" vertical="top"/>
    </xf>
    <xf borderId="12" fillId="30" fontId="29" numFmtId="0" xfId="0" applyAlignment="1" applyBorder="1" applyFont="1">
      <alignment horizontal="left"/>
    </xf>
    <xf borderId="12" fillId="30" fontId="29" numFmtId="3" xfId="0" applyAlignment="1" applyBorder="1" applyFont="1" applyNumberFormat="1">
      <alignment horizontal="right" readingOrder="0" shrinkToFit="0" wrapText="0"/>
    </xf>
    <xf borderId="12" fillId="30" fontId="29" numFmtId="172" xfId="0" applyAlignment="1" applyBorder="1" applyFont="1" applyNumberFormat="1">
      <alignment horizontal="right" readingOrder="0" shrinkToFit="0" wrapText="0"/>
    </xf>
    <xf borderId="12" fillId="30" fontId="29" numFmtId="0" xfId="0" applyAlignment="1" applyBorder="1" applyFont="1">
      <alignment horizontal="right" readingOrder="0" shrinkToFit="0" wrapText="0"/>
    </xf>
    <xf borderId="12" fillId="10" fontId="113" numFmtId="0" xfId="0" applyAlignment="1" applyBorder="1" applyFont="1">
      <alignment horizontal="left" readingOrder="0"/>
    </xf>
    <xf borderId="12" fillId="28" fontId="114" numFmtId="0" xfId="0" applyAlignment="1" applyBorder="1" applyFont="1">
      <alignment readingOrder="0"/>
    </xf>
    <xf borderId="12" fillId="10" fontId="114" numFmtId="0" xfId="0" applyAlignment="1" applyBorder="1" applyFont="1">
      <alignment readingOrder="0"/>
    </xf>
    <xf borderId="12" fillId="28" fontId="115" numFmtId="0" xfId="0" applyAlignment="1" applyBorder="1" applyFont="1">
      <alignment readingOrder="0"/>
    </xf>
    <xf borderId="12" fillId="28" fontId="25" numFmtId="0" xfId="0" applyAlignment="1" applyBorder="1" applyFont="1">
      <alignment readingOrder="0"/>
    </xf>
    <xf borderId="12" fillId="10" fontId="25" numFmtId="0" xfId="0" applyAlignment="1" applyBorder="1" applyFont="1">
      <alignment readingOrder="0"/>
    </xf>
    <xf borderId="12" fillId="10" fontId="25" numFmtId="0" xfId="0" applyAlignment="1" applyBorder="1" applyFont="1">
      <alignment horizontal="left" readingOrder="0"/>
    </xf>
    <xf borderId="12" fillId="20" fontId="49" numFmtId="173" xfId="0" applyAlignment="1" applyBorder="1" applyFont="1" applyNumberFormat="1">
      <alignment horizontal="center" readingOrder="0"/>
    </xf>
    <xf borderId="12" fillId="20" fontId="49" numFmtId="0" xfId="0" applyAlignment="1" applyBorder="1" applyFont="1">
      <alignment horizontal="left" readingOrder="0" vertical="top"/>
    </xf>
    <xf borderId="12" fillId="20" fontId="49" numFmtId="0" xfId="0" applyAlignment="1" applyBorder="1" applyFont="1">
      <alignment horizontal="left"/>
    </xf>
    <xf borderId="12" fillId="10" fontId="29" numFmtId="10" xfId="0" applyAlignment="1" applyBorder="1" applyFont="1" applyNumberFormat="1">
      <alignment horizontal="right" readingOrder="0" shrinkToFit="0" wrapText="0"/>
    </xf>
    <xf borderId="12" fillId="28" fontId="29" numFmtId="10" xfId="0" applyAlignment="1" applyBorder="1" applyFont="1" applyNumberFormat="1">
      <alignment horizontal="right" readingOrder="0" shrinkToFit="0" wrapText="0"/>
    </xf>
    <xf borderId="27" fillId="10" fontId="29" numFmtId="0" xfId="0" applyAlignment="1" applyBorder="1" applyFont="1">
      <alignment horizontal="left"/>
    </xf>
    <xf borderId="27" fillId="10" fontId="29" numFmtId="0" xfId="0" applyAlignment="1" applyBorder="1" applyFont="1">
      <alignment horizontal="right" readingOrder="0" shrinkToFit="0" wrapText="0"/>
    </xf>
    <xf borderId="27" fillId="28" fontId="29" numFmtId="172" xfId="0" applyAlignment="1" applyBorder="1" applyFont="1" applyNumberFormat="1">
      <alignment horizontal="right" readingOrder="0" shrinkToFit="0" wrapText="0"/>
    </xf>
    <xf borderId="27" fillId="28" fontId="29" numFmtId="10" xfId="0" applyAlignment="1" applyBorder="1" applyFont="1" applyNumberFormat="1">
      <alignment horizontal="right" readingOrder="0" shrinkToFit="0" wrapText="0"/>
    </xf>
    <xf borderId="27" fillId="28" fontId="29" numFmtId="0" xfId="0" applyAlignment="1" applyBorder="1" applyFont="1">
      <alignment horizontal="left"/>
    </xf>
    <xf borderId="0" fillId="0" fontId="7" numFmtId="0" xfId="0" applyAlignment="1" applyFont="1">
      <alignment horizontal="center" readingOrder="0"/>
    </xf>
    <xf borderId="0" fillId="0" fontId="7" numFmtId="0" xfId="0" applyAlignment="1" applyFont="1">
      <alignment horizontal="center" readingOrder="0"/>
    </xf>
    <xf borderId="0" fillId="0" fontId="4" numFmtId="0" xfId="0" applyAlignment="1" applyFont="1">
      <alignment horizontal="center" readingOrder="0" shrinkToFit="0" wrapText="1"/>
    </xf>
    <xf borderId="0" fillId="0" fontId="116" numFmtId="0" xfId="0" applyAlignment="1" applyFont="1">
      <alignment readingOrder="0"/>
    </xf>
    <xf borderId="0" fillId="0" fontId="117" numFmtId="0" xfId="0" applyAlignment="1" applyFont="1">
      <alignment readingOrder="0"/>
    </xf>
    <xf borderId="0" fillId="31" fontId="118" numFmtId="0" xfId="0" applyAlignment="1" applyFill="1" applyFont="1">
      <alignment readingOrder="0"/>
    </xf>
    <xf borderId="0" fillId="0" fontId="5" numFmtId="0" xfId="0" applyAlignment="1" applyFont="1">
      <alignment readingOrder="0"/>
    </xf>
    <xf borderId="0" fillId="0" fontId="119" numFmtId="0" xfId="0" applyAlignment="1" applyFont="1">
      <alignment horizontal="left" readingOrder="0"/>
    </xf>
    <xf borderId="0" fillId="0" fontId="119" numFmtId="0" xfId="0" applyAlignment="1" applyFont="1">
      <alignment horizontal="left" readingOrder="0"/>
    </xf>
    <xf borderId="0" fillId="0" fontId="5" numFmtId="0" xfId="0" applyAlignment="1" applyFont="1">
      <alignment horizontal="center" readingOrder="0" vertical="bottom"/>
    </xf>
    <xf borderId="0" fillId="0" fontId="16" numFmtId="0" xfId="0" applyAlignment="1" applyFont="1">
      <alignment horizontal="center" readingOrder="0" shrinkToFit="0" wrapText="1"/>
    </xf>
    <xf borderId="0" fillId="0" fontId="120" numFmtId="0" xfId="0" applyAlignment="1" applyFont="1">
      <alignment horizontal="center" readingOrder="0" shrinkToFit="0" wrapText="1"/>
    </xf>
    <xf borderId="0" fillId="0" fontId="5" numFmtId="0" xfId="0" applyAlignment="1" applyFont="1">
      <alignment horizontal="left" readingOrder="0" vertical="bottom"/>
    </xf>
    <xf borderId="0" fillId="0" fontId="121" numFmtId="0" xfId="0" applyAlignment="1" applyFont="1">
      <alignment shrinkToFit="0" wrapText="1"/>
    </xf>
    <xf borderId="0" fillId="0" fontId="5" numFmtId="0" xfId="0" applyAlignment="1" applyFont="1">
      <alignment readingOrder="0"/>
    </xf>
    <xf borderId="0" fillId="10" fontId="122" numFmtId="0" xfId="0" applyAlignment="1" applyFont="1">
      <alignment horizontal="left" readingOrder="0"/>
    </xf>
    <xf borderId="0" fillId="17" fontId="5" numFmtId="0" xfId="0" applyAlignment="1" applyFont="1">
      <alignment horizontal="center" readingOrder="0" vertical="bottom"/>
    </xf>
    <xf borderId="0" fillId="0" fontId="5" numFmtId="0" xfId="0" applyAlignment="1" applyFont="1">
      <alignment horizontal="left" readingOrder="0" vertical="bottom"/>
    </xf>
    <xf borderId="0" fillId="0" fontId="121" numFmtId="0" xfId="0" applyAlignment="1" applyFont="1">
      <alignment readingOrder="0" shrinkToFit="0" wrapText="1"/>
    </xf>
    <xf borderId="0" fillId="0" fontId="117" numFmtId="0" xfId="0" applyAlignment="1" applyFont="1">
      <alignment shrinkToFit="0" wrapText="1"/>
    </xf>
    <xf borderId="0" fillId="0" fontId="117" numFmtId="0" xfId="0" applyAlignment="1" applyFont="1">
      <alignment readingOrder="0" shrinkToFit="0" wrapText="1"/>
    </xf>
    <xf borderId="0" fillId="10" fontId="123" numFmtId="0" xfId="0" applyAlignment="1" applyFont="1">
      <alignment readingOrder="0"/>
    </xf>
    <xf borderId="0" fillId="10" fontId="124" numFmtId="0" xfId="0" applyAlignment="1" applyFont="1">
      <alignment readingOrder="0"/>
    </xf>
    <xf borderId="0" fillId="0" fontId="5" numFmtId="0" xfId="0" applyAlignment="1" applyFont="1">
      <alignment horizontal="left" vertical="bottom"/>
    </xf>
    <xf borderId="0" fillId="10" fontId="124" numFmtId="0" xfId="0" applyAlignment="1" applyFont="1">
      <alignment readingOrder="0"/>
    </xf>
    <xf borderId="0" fillId="0" fontId="117" numFmtId="0" xfId="0" applyAlignment="1" applyFont="1">
      <alignment horizontal="center" readingOrder="0" shrinkToFit="0" wrapText="1"/>
    </xf>
    <xf borderId="0" fillId="32" fontId="8" numFmtId="0" xfId="0" applyAlignment="1" applyFill="1" applyFont="1">
      <alignment readingOrder="0"/>
    </xf>
    <xf borderId="0" fillId="0" fontId="117" numFmtId="0" xfId="0" applyAlignment="1" applyFont="1">
      <alignment horizontal="center" shrinkToFit="0" wrapText="1"/>
    </xf>
    <xf borderId="0" fillId="32" fontId="125" numFmtId="0" xfId="0" applyAlignment="1" applyFont="1">
      <alignment horizontal="left" readingOrder="0"/>
    </xf>
    <xf borderId="0" fillId="0" fontId="126" numFmtId="0" xfId="0" applyAlignment="1" applyFont="1">
      <alignment horizontal="center" readingOrder="0" vertical="bottom"/>
    </xf>
    <xf borderId="0" fillId="0" fontId="127" numFmtId="0" xfId="0" applyAlignment="1" applyFont="1">
      <alignment horizontal="left" readingOrder="0" shrinkToFit="0" wrapText="1"/>
    </xf>
    <xf borderId="0" fillId="0" fontId="5" numFmtId="0" xfId="0" applyAlignment="1" applyFont="1">
      <alignment horizontal="center" vertical="bottom"/>
    </xf>
    <xf borderId="0" fillId="0" fontId="117" numFmtId="0" xfId="0" applyAlignment="1" applyFont="1">
      <alignment horizontal="center" readingOrder="0" shrinkToFit="0" vertical="top" wrapText="1"/>
    </xf>
    <xf borderId="0" fillId="10" fontId="128" numFmtId="0" xfId="0" applyAlignment="1" applyFont="1">
      <alignment horizontal="left" readingOrder="0"/>
    </xf>
    <xf borderId="0" fillId="10" fontId="129" numFmtId="0" xfId="0" applyAlignment="1" applyFont="1">
      <alignment readingOrder="0"/>
    </xf>
    <xf borderId="0" fillId="0" fontId="5" numFmtId="0" xfId="0" applyAlignment="1" applyFont="1">
      <alignment horizontal="center" readingOrder="0" vertical="bottom"/>
    </xf>
    <xf borderId="0" fillId="32" fontId="130" numFmtId="0" xfId="0" applyAlignment="1" applyFont="1">
      <alignment readingOrder="0"/>
    </xf>
    <xf borderId="0" fillId="0" fontId="84" numFmtId="0" xfId="0" applyAlignment="1" applyFont="1">
      <alignment readingOrder="0" vertical="bottom"/>
    </xf>
    <xf borderId="0" fillId="33" fontId="131" numFmtId="0" xfId="0" applyAlignment="1" applyFill="1" applyFont="1">
      <alignment readingOrder="0"/>
    </xf>
    <xf borderId="0" fillId="10" fontId="132" numFmtId="0" xfId="0" applyAlignment="1" applyFont="1">
      <alignment readingOrder="0"/>
    </xf>
    <xf borderId="0" fillId="0" fontId="5" numFmtId="0" xfId="0" applyFont="1"/>
    <xf borderId="0" fillId="0" fontId="117" numFmtId="0" xfId="0" applyAlignment="1" applyFont="1">
      <alignment horizontal="center" shrinkToFit="0" vertical="top" wrapText="1"/>
    </xf>
    <xf borderId="0" fillId="10" fontId="133" numFmtId="0" xfId="0" applyAlignment="1" applyFont="1">
      <alignment readingOrder="0"/>
    </xf>
    <xf borderId="0" fillId="0" fontId="5" numFmtId="0" xfId="0" applyAlignment="1" applyFont="1">
      <alignment horizontal="center" readingOrder="0" vertical="bottom"/>
    </xf>
    <xf borderId="0" fillId="32" fontId="84" numFmtId="0" xfId="0" applyAlignment="1" applyFont="1">
      <alignment vertical="bottom"/>
    </xf>
    <xf borderId="0" fillId="33" fontId="134" numFmtId="0" xfId="0" applyAlignment="1" applyFont="1">
      <alignment readingOrder="0"/>
    </xf>
    <xf borderId="0" fillId="0" fontId="16" numFmtId="0" xfId="0" applyAlignment="1" applyFont="1">
      <alignment vertical="bottom"/>
    </xf>
    <xf borderId="0" fillId="0" fontId="135" numFmtId="0" xfId="0" applyAlignment="1" applyFont="1">
      <alignment readingOrder="0" shrinkToFit="0" wrapText="0"/>
    </xf>
    <xf borderId="0" fillId="0" fontId="136" numFmtId="0" xfId="0" applyFont="1"/>
    <xf borderId="0" fillId="0" fontId="67" numFmtId="0" xfId="0" applyAlignment="1" applyFont="1">
      <alignment horizontal="center" readingOrder="0" shrinkToFit="0" vertical="center" wrapText="1"/>
    </xf>
    <xf borderId="0" fillId="0" fontId="5" numFmtId="0" xfId="0" applyAlignment="1" applyFont="1">
      <alignment vertical="center"/>
    </xf>
    <xf borderId="0" fillId="0" fontId="25" numFmtId="0" xfId="0" applyAlignment="1" applyFont="1">
      <alignment horizontal="center" readingOrder="0" shrinkToFit="0" vertical="center" wrapText="1"/>
    </xf>
    <xf borderId="0" fillId="0" fontId="8" numFmtId="0" xfId="0" applyAlignment="1" applyFont="1">
      <alignment readingOrder="0"/>
    </xf>
    <xf borderId="0" fillId="0" fontId="137" numFmtId="0" xfId="0" applyAlignment="1" applyFont="1">
      <alignment horizontal="center" readingOrder="0" shrinkToFit="0" wrapText="1"/>
    </xf>
    <xf borderId="0" fillId="0" fontId="84" numFmtId="0" xfId="0" applyAlignment="1" applyFont="1">
      <alignment vertical="bottom"/>
    </xf>
    <xf borderId="0" fillId="10" fontId="138" numFmtId="0" xfId="0" applyAlignment="1" applyFont="1">
      <alignment readingOrder="0"/>
    </xf>
    <xf borderId="0" fillId="0" fontId="137" numFmtId="0" xfId="0" applyAlignment="1" applyFont="1">
      <alignment horizontal="center" shrinkToFit="0" wrapText="1"/>
    </xf>
    <xf borderId="0" fillId="0" fontId="126" numFmtId="0" xfId="0" applyAlignment="1" applyFont="1">
      <alignment horizontal="center" readingOrder="0" vertical="bottom"/>
    </xf>
    <xf borderId="0" fillId="0" fontId="5" numFmtId="0" xfId="0" applyAlignment="1" applyFont="1">
      <alignment horizontal="left" readingOrder="0" vertical="center"/>
    </xf>
    <xf borderId="0" fillId="0" fontId="16" numFmtId="0" xfId="0" applyAlignment="1" applyFont="1">
      <alignment horizontal="center" readingOrder="0" shrinkToFit="0" vertical="center" wrapText="1"/>
    </xf>
    <xf borderId="0" fillId="0" fontId="5" numFmtId="0" xfId="0" applyAlignment="1" applyFont="1">
      <alignment horizontal="center" readingOrder="0" vertical="center"/>
    </xf>
    <xf borderId="0" fillId="10" fontId="123" numFmtId="0" xfId="0" applyAlignment="1" applyFont="1">
      <alignment readingOrder="0"/>
    </xf>
    <xf borderId="0" fillId="10" fontId="139" numFmtId="0" xfId="0" applyAlignment="1" applyFont="1">
      <alignment readingOrder="0"/>
    </xf>
    <xf borderId="0" fillId="10" fontId="68" numFmtId="0" xfId="0" applyAlignment="1" applyFont="1">
      <alignment horizontal="left" readingOrder="0"/>
    </xf>
    <xf borderId="0" fillId="10" fontId="140" numFmtId="0" xfId="0" applyAlignment="1" applyFont="1">
      <alignment readingOrder="0"/>
    </xf>
    <xf borderId="0" fillId="10" fontId="141" numFmtId="0" xfId="0" applyAlignment="1" applyFont="1">
      <alignment readingOrder="0"/>
    </xf>
    <xf borderId="0" fillId="10" fontId="132" numFmtId="0" xfId="0" applyAlignment="1" applyFont="1">
      <alignment readingOrder="0"/>
    </xf>
    <xf borderId="0" fillId="0" fontId="16" numFmtId="0" xfId="0" applyAlignment="1" applyFont="1">
      <alignment readingOrder="0" shrinkToFit="0" vertical="bottom" wrapText="0"/>
    </xf>
    <xf borderId="0" fillId="10" fontId="142" numFmtId="0" xfId="0" applyAlignment="1" applyFont="1">
      <alignment readingOrder="0"/>
    </xf>
    <xf borderId="0" fillId="10" fontId="143" numFmtId="0" xfId="0" applyAlignment="1" applyFont="1">
      <alignment horizontal="left" readingOrder="0"/>
    </xf>
    <xf borderId="0" fillId="0" fontId="16" numFmtId="0" xfId="0" applyAlignment="1" applyFont="1">
      <alignment readingOrder="0" vertical="bottom"/>
    </xf>
    <xf borderId="0" fillId="10" fontId="144" numFmtId="0" xfId="0" applyAlignment="1" applyFont="1">
      <alignment readingOrder="0"/>
    </xf>
    <xf borderId="0" fillId="10" fontId="25" numFmtId="0" xfId="0" applyAlignment="1" applyFont="1">
      <alignment horizontal="left" readingOrder="0"/>
    </xf>
    <xf borderId="0" fillId="10" fontId="130" numFmtId="0" xfId="0" applyAlignment="1" applyFont="1">
      <alignment readingOrder="0"/>
    </xf>
    <xf borderId="0" fillId="10" fontId="145" numFmtId="0" xfId="0" applyAlignment="1" applyFont="1">
      <alignment readingOrder="0"/>
    </xf>
    <xf borderId="0" fillId="0" fontId="146" numFmtId="0" xfId="0" applyAlignment="1" applyFont="1">
      <alignment readingOrder="0"/>
    </xf>
    <xf borderId="0" fillId="10" fontId="147" numFmtId="0" xfId="0" applyAlignment="1" applyFont="1">
      <alignment horizontal="left" readingOrder="0"/>
    </xf>
    <xf borderId="0" fillId="10" fontId="148" numFmtId="0" xfId="0" applyAlignment="1" applyFont="1">
      <alignment horizontal="left" readingOrder="0"/>
    </xf>
    <xf borderId="0" fillId="10" fontId="149" numFmtId="0" xfId="0" applyAlignment="1" applyFont="1">
      <alignment readingOrder="0"/>
    </xf>
    <xf borderId="0" fillId="34" fontId="5" numFmtId="0" xfId="0" applyAlignment="1" applyFill="1" applyFont="1">
      <alignment readingOrder="0"/>
    </xf>
    <xf borderId="0" fillId="10" fontId="150" numFmtId="0" xfId="0" applyAlignment="1" applyFont="1">
      <alignment readingOrder="0"/>
    </xf>
    <xf borderId="0" fillId="10" fontId="151" numFmtId="0" xfId="0" applyAlignment="1" applyFont="1">
      <alignment readingOrder="0"/>
    </xf>
    <xf borderId="0" fillId="0" fontId="5" numFmtId="0" xfId="0" applyFont="1"/>
    <xf borderId="0" fillId="10" fontId="130" numFmtId="0" xfId="0" applyAlignment="1" applyFont="1">
      <alignment readingOrder="0"/>
    </xf>
    <xf borderId="0" fillId="29" fontId="152" numFmtId="0" xfId="0" applyAlignment="1" applyFont="1">
      <alignment horizontal="left" readingOrder="0"/>
    </xf>
    <xf borderId="0" fillId="10" fontId="153" numFmtId="0" xfId="0" applyAlignment="1" applyFont="1">
      <alignment horizontal="left" readingOrder="0"/>
    </xf>
    <xf borderId="0" fillId="14" fontId="154" numFmtId="0" xfId="0" applyAlignment="1" applyFill="1" applyFont="1">
      <alignment readingOrder="0"/>
    </xf>
    <xf borderId="0" fillId="0" fontId="84" numFmtId="0" xfId="0" applyAlignment="1" applyFont="1">
      <alignment readingOrder="0" shrinkToFit="0" vertical="bottom" wrapText="0"/>
    </xf>
    <xf borderId="0" fillId="10" fontId="155" numFmtId="0" xfId="0" applyAlignment="1" applyFont="1">
      <alignment readingOrder="0"/>
    </xf>
    <xf borderId="0" fillId="10" fontId="147" numFmtId="0" xfId="0" applyAlignment="1" applyFont="1">
      <alignment readingOrder="0"/>
    </xf>
    <xf borderId="0" fillId="10" fontId="156" numFmtId="0" xfId="0" applyAlignment="1" applyFont="1">
      <alignment readingOrder="0"/>
    </xf>
    <xf borderId="0" fillId="10" fontId="151" numFmtId="0" xfId="0" applyAlignment="1" applyFont="1">
      <alignment readingOrder="0"/>
    </xf>
    <xf borderId="0" fillId="5" fontId="147" numFmtId="0" xfId="0" applyAlignment="1" applyFont="1">
      <alignment horizontal="left" readingOrder="0"/>
    </xf>
    <xf borderId="0" fillId="31" fontId="118" numFmtId="0" xfId="0" applyAlignment="1" applyFont="1">
      <alignment readingOrder="0"/>
    </xf>
    <xf borderId="0" fillId="10" fontId="147" numFmtId="0" xfId="0" applyAlignment="1" applyFont="1">
      <alignment horizontal="left" readingOrder="0"/>
    </xf>
    <xf borderId="0" fillId="10" fontId="157" numFmtId="0" xfId="0" applyAlignment="1" applyFont="1">
      <alignment readingOrder="0"/>
    </xf>
    <xf borderId="0" fillId="10" fontId="59" numFmtId="0" xfId="0" applyAlignment="1" applyFont="1">
      <alignment readingOrder="0"/>
    </xf>
    <xf borderId="0" fillId="10" fontId="139" numFmtId="0" xfId="0" applyAlignment="1" applyFont="1">
      <alignment readingOrder="0"/>
    </xf>
    <xf borderId="0" fillId="10" fontId="49" numFmtId="0" xfId="0" applyAlignment="1" applyFont="1">
      <alignment readingOrder="0"/>
    </xf>
    <xf borderId="0" fillId="10" fontId="145" numFmtId="0" xfId="0" applyAlignment="1" applyFont="1">
      <alignment horizontal="left" readingOrder="0"/>
    </xf>
    <xf borderId="0" fillId="10" fontId="158" numFmtId="0" xfId="0" applyAlignment="1" applyFont="1">
      <alignment readingOrder="0"/>
    </xf>
    <xf borderId="0" fillId="0" fontId="2" numFmtId="0" xfId="0" applyAlignment="1" applyFont="1">
      <alignment readingOrder="0" vertical="bottom"/>
    </xf>
    <xf borderId="0" fillId="10" fontId="144" numFmtId="0" xfId="0" applyAlignment="1" applyFont="1">
      <alignment readingOrder="0"/>
    </xf>
    <xf borderId="0" fillId="10" fontId="159" numFmtId="0" xfId="0" applyAlignment="1" applyFont="1">
      <alignment readingOrder="0"/>
    </xf>
    <xf borderId="0" fillId="0" fontId="5" numFmtId="164" xfId="0" applyFont="1" applyNumberFormat="1"/>
    <xf borderId="0" fillId="0" fontId="5" numFmtId="164" xfId="0" applyAlignment="1" applyFont="1" applyNumberFormat="1">
      <alignment readingOrder="0"/>
    </xf>
    <xf borderId="0" fillId="0" fontId="93" numFmtId="3" xfId="0" applyAlignment="1" applyFont="1" applyNumberFormat="1">
      <alignment horizontal="left" readingOrder="0"/>
    </xf>
    <xf borderId="0" fillId="0" fontId="5" numFmtId="3" xfId="0" applyFont="1" applyNumberFormat="1"/>
    <xf borderId="0" fillId="10" fontId="29" numFmtId="0" xfId="0" applyAlignment="1" applyFont="1">
      <alignment readingOrder="0"/>
    </xf>
    <xf borderId="0" fillId="34" fontId="8" numFmtId="0" xfId="0" applyAlignment="1" applyFont="1">
      <alignment readingOrder="0"/>
    </xf>
    <xf borderId="0" fillId="10" fontId="138" numFmtId="0" xfId="0" applyAlignment="1" applyFont="1">
      <alignment readingOrder="0"/>
    </xf>
    <xf borderId="0" fillId="10" fontId="138" numFmtId="0" xfId="0" applyAlignment="1" applyFont="1">
      <alignment readingOrder="0"/>
    </xf>
    <xf borderId="0" fillId="32" fontId="84" numFmtId="0" xfId="0" applyAlignment="1" applyFont="1">
      <alignment readingOrder="0" vertical="bottom"/>
    </xf>
    <xf borderId="0" fillId="14" fontId="154" numFmtId="0" xfId="0" applyAlignment="1" applyFont="1">
      <alignment readingOrder="0"/>
    </xf>
    <xf borderId="0" fillId="33" fontId="134" numFmtId="0" xfId="0" applyAlignment="1" applyFont="1">
      <alignment readingOrder="0"/>
    </xf>
    <xf borderId="0" fillId="10" fontId="133" numFmtId="0" xfId="0" applyAlignment="1" applyFont="1">
      <alignment readingOrder="0"/>
    </xf>
    <xf borderId="0" fillId="10" fontId="160" numFmtId="0" xfId="0" applyAlignment="1" applyFont="1">
      <alignment horizontal="left" readingOrder="0"/>
    </xf>
    <xf borderId="0" fillId="35" fontId="161" numFmtId="0" xfId="0" applyAlignment="1" applyFill="1" applyFont="1">
      <alignment readingOrder="0"/>
    </xf>
    <xf borderId="0" fillId="36" fontId="162" numFmtId="0" xfId="0" applyAlignment="1" applyFill="1" applyFont="1">
      <alignment horizontal="left" readingOrder="0"/>
    </xf>
    <xf borderId="0" fillId="10" fontId="3" numFmtId="0" xfId="0" applyAlignment="1" applyFont="1">
      <alignment readingOrder="0"/>
    </xf>
    <xf borderId="0" fillId="0" fontId="119" numFmtId="0" xfId="0" applyAlignment="1" applyFont="1">
      <alignment horizontal="left" readingOrder="0"/>
    </xf>
    <xf borderId="0" fillId="10" fontId="163" numFmtId="0" xfId="0" applyAlignment="1" applyFont="1">
      <alignment horizontal="left" readingOrder="0"/>
    </xf>
    <xf borderId="0" fillId="10" fontId="164" numFmtId="0" xfId="0" applyAlignment="1" applyFont="1">
      <alignment readingOrder="0"/>
    </xf>
    <xf borderId="0" fillId="10" fontId="165" numFmtId="0" xfId="0" applyAlignment="1" applyFont="1">
      <alignment horizontal="left" readingOrder="0"/>
    </xf>
    <xf borderId="0" fillId="10" fontId="143" numFmtId="0" xfId="0" applyAlignment="1" applyFont="1">
      <alignment horizontal="left" readingOrder="0"/>
    </xf>
    <xf borderId="0" fillId="10" fontId="3" numFmtId="0" xfId="0" applyAlignment="1" applyFont="1">
      <alignment readingOrder="0"/>
    </xf>
    <xf borderId="0" fillId="36" fontId="162" numFmtId="0" xfId="0" applyAlignment="1" applyFont="1">
      <alignment horizontal="left" readingOrder="0"/>
    </xf>
    <xf borderId="0" fillId="10" fontId="74" numFmtId="0" xfId="0" applyAlignment="1" applyFont="1">
      <alignment horizontal="left" readingOrder="0"/>
    </xf>
    <xf borderId="0" fillId="10" fontId="123" numFmtId="0" xfId="0" applyAlignment="1" applyFont="1">
      <alignment readingOrder="0"/>
    </xf>
    <xf borderId="0" fillId="0" fontId="166" numFmtId="0" xfId="0" applyAlignment="1" applyFont="1">
      <alignment readingOrder="0"/>
    </xf>
    <xf borderId="0" fillId="10" fontId="167" numFmtId="0" xfId="0" applyAlignment="1" applyFont="1">
      <alignment readingOrder="0"/>
    </xf>
    <xf borderId="0" fillId="10" fontId="167" numFmtId="0" xfId="0" applyAlignment="1" applyFont="1">
      <alignment readingOrder="0"/>
    </xf>
    <xf borderId="0" fillId="10" fontId="168" numFmtId="0" xfId="0" applyAlignment="1" applyFont="1">
      <alignment readingOrder="0"/>
    </xf>
    <xf borderId="0" fillId="0" fontId="169" numFmtId="0" xfId="0" applyAlignment="1" applyFont="1">
      <alignment readingOrder="0" shrinkToFit="0" wrapText="1"/>
    </xf>
    <xf borderId="0" fillId="0" fontId="170" numFmtId="0" xfId="0" applyAlignment="1" applyFont="1">
      <alignment readingOrder="0" shrinkToFit="0" wrapText="1"/>
    </xf>
    <xf borderId="0" fillId="10" fontId="171" numFmtId="0" xfId="0" applyAlignment="1" applyFont="1">
      <alignment horizontal="left" readingOrder="0" shrinkToFit="0" wrapText="1"/>
    </xf>
    <xf borderId="0" fillId="10" fontId="171" numFmtId="0" xfId="0" applyAlignment="1" applyFont="1">
      <alignment shrinkToFit="0" vertical="bottom" wrapText="1"/>
    </xf>
    <xf borderId="0" fillId="10" fontId="171" numFmtId="0" xfId="0" applyAlignment="1" applyFont="1">
      <alignment shrinkToFit="0" vertical="bottom" wrapText="1"/>
    </xf>
    <xf borderId="0" fillId="10" fontId="172" numFmtId="0" xfId="0" applyAlignment="1" applyFont="1">
      <alignment horizontal="left" readingOrder="0" shrinkToFit="0" wrapText="1"/>
    </xf>
    <xf borderId="0" fillId="0" fontId="173" numFmtId="0" xfId="0" applyAlignment="1" applyFont="1">
      <alignment readingOrder="0" shrinkToFit="0" wrapText="1"/>
    </xf>
    <xf borderId="0" fillId="0" fontId="166" numFmtId="0" xfId="0" applyAlignment="1" applyFont="1">
      <alignment readingOrder="0" shrinkToFit="0" wrapText="1"/>
    </xf>
    <xf borderId="0" fillId="0" fontId="61" numFmtId="0" xfId="0" applyAlignment="1" applyFont="1">
      <alignment readingOrder="0" shrinkToFit="0" wrapText="1"/>
    </xf>
    <xf borderId="0" fillId="0" fontId="83" numFmtId="0" xfId="0" applyAlignment="1" applyFont="1">
      <alignment readingOrder="0" shrinkToFit="0" wrapText="1"/>
    </xf>
    <xf borderId="0" fillId="10" fontId="174" numFmtId="0" xfId="0" applyAlignment="1" applyFont="1">
      <alignment readingOrder="0" shrinkToFit="0" wrapText="1"/>
    </xf>
    <xf borderId="0" fillId="0" fontId="5" numFmtId="0" xfId="0" applyAlignment="1" applyFont="1">
      <alignment readingOrder="0" shrinkToFit="0" wrapText="1"/>
    </xf>
    <xf borderId="0" fillId="0" fontId="175" numFmtId="0" xfId="0" applyAlignment="1" applyFont="1">
      <alignment horizontal="left" readingOrder="0" shrinkToFit="0" wrapText="1"/>
    </xf>
    <xf borderId="0" fillId="0" fontId="5" numFmtId="0" xfId="0" applyAlignment="1" applyFont="1">
      <alignment shrinkToFit="0" wrapText="1"/>
    </xf>
    <xf borderId="0" fillId="29" fontId="47" numFmtId="0" xfId="0" applyAlignment="1" applyFont="1">
      <alignment readingOrder="0" shrinkToFit="0" wrapText="1"/>
    </xf>
    <xf borderId="0" fillId="10" fontId="167" numFmtId="0" xfId="0" applyAlignment="1" applyFont="1">
      <alignment readingOrder="0" shrinkToFit="0" wrapText="1"/>
    </xf>
    <xf borderId="0" fillId="10" fontId="176" numFmtId="0" xfId="0" applyAlignment="1" applyFont="1">
      <alignment horizontal="center" readingOrder="0" shrinkToFit="0" wrapText="1"/>
    </xf>
    <xf borderId="0" fillId="10" fontId="177" numFmtId="0" xfId="0" applyAlignment="1" applyFont="1">
      <alignment horizontal="center" readingOrder="0" shrinkToFit="0" wrapText="1"/>
    </xf>
    <xf borderId="0" fillId="0" fontId="60" numFmtId="0" xfId="0" applyAlignment="1" applyFont="1">
      <alignment readingOrder="0" shrinkToFit="0" wrapText="1"/>
    </xf>
    <xf borderId="0" fillId="0" fontId="178" numFmtId="0" xfId="0" applyAlignment="1" applyFont="1">
      <alignment horizontal="center" readingOrder="0" shrinkToFit="0" wrapText="1"/>
    </xf>
    <xf borderId="0" fillId="0" fontId="179" numFmtId="0" xfId="0" applyAlignment="1" applyFont="1">
      <alignment readingOrder="0" shrinkToFit="0" wrapText="1"/>
    </xf>
    <xf borderId="0" fillId="0" fontId="180" numFmtId="0" xfId="0" applyAlignment="1" applyFont="1">
      <alignment readingOrder="0" shrinkToFit="0" wrapText="1"/>
    </xf>
    <xf borderId="0" fillId="10" fontId="124" numFmtId="0" xfId="0" applyAlignment="1" applyFont="1">
      <alignment readingOrder="0" shrinkToFit="0" wrapText="1"/>
    </xf>
    <xf borderId="0" fillId="10" fontId="181" numFmtId="0" xfId="0" applyAlignment="1" applyFont="1">
      <alignment readingOrder="0" shrinkToFit="0" wrapText="1"/>
    </xf>
    <xf borderId="0" fillId="0" fontId="182" numFmtId="0" xfId="0" applyAlignment="1" applyFont="1">
      <alignment readingOrder="0" shrinkToFit="0" wrapText="1"/>
    </xf>
    <xf borderId="0" fillId="10" fontId="155" numFmtId="0" xfId="0" applyAlignment="1" applyFont="1">
      <alignment readingOrder="0" shrinkToFit="0" wrapText="1"/>
    </xf>
    <xf borderId="0" fillId="10" fontId="183" numFmtId="0" xfId="0" applyAlignment="1" applyFont="1">
      <alignment readingOrder="0" shrinkToFit="0" wrapText="1"/>
    </xf>
    <xf borderId="0" fillId="10" fontId="184" numFmtId="0" xfId="0" applyAlignment="1" applyFont="1">
      <alignment readingOrder="0" shrinkToFit="0" wrapText="1"/>
    </xf>
    <xf borderId="0" fillId="10" fontId="185" numFmtId="0" xfId="0" applyAlignment="1" applyFont="1">
      <alignment readingOrder="0" shrinkToFit="0" wrapText="1"/>
    </xf>
    <xf borderId="0" fillId="0" fontId="3" numFmtId="0" xfId="0" applyAlignment="1" applyFont="1">
      <alignment readingOrder="0" shrinkToFit="0" wrapText="1"/>
    </xf>
    <xf borderId="0" fillId="0" fontId="7" numFmtId="0" xfId="0" applyAlignment="1" applyFont="1">
      <alignment readingOrder="0" shrinkToFit="0" wrapText="1"/>
    </xf>
    <xf borderId="0" fillId="10" fontId="186" numFmtId="0" xfId="0" applyAlignment="1" applyFont="1">
      <alignment horizontal="left" readingOrder="0" shrinkToFit="0" wrapText="1"/>
    </xf>
    <xf borderId="0" fillId="10" fontId="107" numFmtId="0" xfId="0" applyAlignment="1" applyFont="1">
      <alignment readingOrder="0" shrinkToFit="0" wrapText="1"/>
    </xf>
    <xf borderId="0" fillId="10" fontId="187" numFmtId="0" xfId="0" applyAlignment="1" applyFont="1">
      <alignment horizontal="left" readingOrder="0" shrinkToFit="0" wrapText="1"/>
    </xf>
    <xf borderId="0" fillId="10" fontId="25" numFmtId="0" xfId="0" applyAlignment="1" applyFont="1">
      <alignment horizontal="left" readingOrder="0" shrinkToFit="0" wrapText="1"/>
    </xf>
    <xf borderId="0" fillId="0" fontId="188" numFmtId="0" xfId="0" applyAlignment="1" applyFont="1">
      <alignment horizontal="left" readingOrder="0" shrinkToFit="0" wrapText="1"/>
    </xf>
    <xf borderId="0" fillId="10" fontId="160" numFmtId="0" xfId="0" applyAlignment="1" applyFont="1">
      <alignment horizontal="left" readingOrder="0" shrinkToFit="0" wrapText="1"/>
    </xf>
    <xf borderId="0" fillId="10" fontId="189" numFmtId="0" xfId="0" applyAlignment="1" applyFont="1">
      <alignment horizontal="left" readingOrder="0"/>
    </xf>
    <xf borderId="0" fillId="10" fontId="190" numFmtId="0" xfId="0" applyAlignment="1" applyFont="1">
      <alignment readingOrder="0"/>
    </xf>
    <xf borderId="0" fillId="10" fontId="188" numFmtId="0" xfId="0" applyAlignment="1" applyFont="1">
      <alignment horizontal="left" readingOrder="0" shrinkToFit="0" wrapText="1"/>
    </xf>
    <xf borderId="0" fillId="10" fontId="191" numFmtId="0" xfId="0" applyAlignment="1" applyFont="1">
      <alignment horizontal="left" readingOrder="0" shrinkToFit="0" wrapText="1"/>
    </xf>
    <xf borderId="0" fillId="10" fontId="192" numFmtId="0" xfId="0" applyAlignment="1" applyFont="1">
      <alignment readingOrder="0"/>
    </xf>
    <xf borderId="0" fillId="10" fontId="60" numFmtId="0" xfId="0" applyAlignment="1" applyFont="1">
      <alignment readingOrder="0"/>
    </xf>
    <xf borderId="0" fillId="10" fontId="193" numFmtId="0" xfId="0" applyAlignment="1" applyFill="1" applyFont="1">
      <alignment readingOrder="0"/>
    </xf>
    <xf borderId="0" fillId="0" fontId="61" numFmtId="0" xfId="0" applyAlignment="1" applyFont="1">
      <alignment shrinkToFit="0" wrapText="1"/>
    </xf>
    <xf borderId="0" fillId="10" fontId="194" numFmtId="0" xfId="0" applyAlignment="1" applyFont="1">
      <alignment readingOrder="0"/>
    </xf>
    <xf borderId="0" fillId="10" fontId="195" numFmtId="0" xfId="0" applyAlignment="1" applyFont="1">
      <alignment horizontal="left" readingOrder="0"/>
    </xf>
    <xf borderId="0" fillId="37" fontId="196" numFmtId="0" xfId="0" applyAlignment="1" applyFill="1" applyFont="1">
      <alignment horizontal="center" readingOrder="0"/>
    </xf>
    <xf borderId="0" fillId="38" fontId="197" numFmtId="0" xfId="0" applyAlignment="1" applyFill="1" applyFont="1">
      <alignment readingOrder="0"/>
    </xf>
    <xf borderId="0" fillId="10" fontId="198" numFmtId="0" xfId="0" applyAlignment="1" applyFont="1">
      <alignment readingOrder="0"/>
    </xf>
    <xf borderId="0" fillId="33" fontId="199" numFmtId="0" xfId="0" applyAlignment="1" applyFont="1">
      <alignment horizontal="left" readingOrder="0"/>
    </xf>
    <xf borderId="0" fillId="39" fontId="200" numFmtId="0" xfId="0" applyAlignment="1" applyFill="1" applyFont="1">
      <alignment readingOrder="0"/>
    </xf>
    <xf borderId="0" fillId="10" fontId="150" numFmtId="0" xfId="0" applyAlignment="1" applyFont="1">
      <alignment readingOrder="0"/>
    </xf>
    <xf borderId="0" fillId="10" fontId="201" numFmtId="0" xfId="0" applyAlignment="1" applyFont="1">
      <alignment readingOrder="0"/>
    </xf>
    <xf borderId="0" fillId="10" fontId="202" numFmtId="0" xfId="0" applyAlignment="1" applyFont="1">
      <alignment horizontal="left" readingOrder="0"/>
    </xf>
    <xf borderId="0" fillId="10" fontId="197" numFmtId="0" xfId="0" applyAlignment="1" applyFont="1">
      <alignment readingOrder="0"/>
    </xf>
    <xf borderId="0" fillId="10" fontId="203" numFmtId="0" xfId="0" applyAlignment="1" applyFont="1">
      <alignment readingOrder="0"/>
    </xf>
    <xf borderId="0" fillId="10" fontId="204" numFmtId="0" xfId="0" applyAlignment="1" applyFont="1">
      <alignment readingOrder="0"/>
    </xf>
    <xf borderId="0" fillId="0" fontId="205" numFmtId="0" xfId="0" applyAlignment="1" applyFont="1">
      <alignment horizontal="center" vertical="bottom"/>
    </xf>
    <xf borderId="0" fillId="10" fontId="206" numFmtId="0" xfId="0" applyAlignment="1" applyFont="1">
      <alignment horizontal="center" readingOrder="0" shrinkToFit="0" wrapText="1"/>
    </xf>
    <xf borderId="31" fillId="0" fontId="5" numFmtId="0" xfId="0" applyBorder="1" applyFont="1"/>
    <xf borderId="32" fillId="0" fontId="5" numFmtId="37" xfId="0" applyAlignment="1" applyBorder="1" applyFont="1" applyNumberFormat="1">
      <alignment horizontal="right" readingOrder="0" vertical="top"/>
    </xf>
    <xf borderId="33" fillId="0" fontId="5" numFmtId="0" xfId="0" applyBorder="1" applyFont="1"/>
    <xf borderId="0" fillId="0" fontId="5" numFmtId="4" xfId="0" applyAlignment="1" applyFont="1" applyNumberFormat="1">
      <alignment readingOrder="0"/>
    </xf>
    <xf borderId="32" fillId="0" fontId="5" numFmtId="0" xfId="0" applyBorder="1" applyFont="1"/>
    <xf borderId="33" fillId="0" fontId="16" numFmtId="0" xfId="0" applyAlignment="1" applyBorder="1" applyFont="1">
      <alignment horizontal="right" vertical="bottom"/>
    </xf>
    <xf borderId="0" fillId="10" fontId="25" numFmtId="167" xfId="0" applyAlignment="1" applyFont="1" applyNumberFormat="1">
      <alignment horizontal="right" readingOrder="0"/>
    </xf>
    <xf borderId="0" fillId="0" fontId="5" numFmtId="37" xfId="0" applyAlignment="1" applyFont="1" applyNumberFormat="1">
      <alignment horizontal="right" readingOrder="0" vertical="top"/>
    </xf>
    <xf borderId="0" fillId="0" fontId="16" numFmtId="49" xfId="0" applyAlignment="1" applyFont="1" applyNumberFormat="1">
      <alignment horizontal="right" vertical="bottom"/>
    </xf>
    <xf borderId="0" fillId="15" fontId="16" numFmtId="0" xfId="0" applyAlignment="1" applyFont="1">
      <alignment horizontal="right" vertical="bottom"/>
    </xf>
    <xf borderId="0" fillId="0" fontId="5" numFmtId="167" xfId="0" applyFont="1" applyNumberFormat="1"/>
    <xf borderId="0" fillId="0" fontId="16" numFmtId="0" xfId="0" applyAlignment="1" applyFont="1">
      <alignment horizontal="right" readingOrder="0" vertical="bottom"/>
    </xf>
    <xf borderId="34" fillId="0" fontId="5" numFmtId="0" xfId="0" applyBorder="1" applyFont="1"/>
    <xf borderId="1" fillId="0" fontId="5" numFmtId="0" xfId="0" applyBorder="1" applyFont="1"/>
    <xf borderId="1" fillId="0" fontId="5" numFmtId="0" xfId="0" applyAlignment="1" applyBorder="1" applyFont="1">
      <alignment readingOrder="0"/>
    </xf>
    <xf borderId="10" fillId="0" fontId="5" numFmtId="0" xfId="0" applyBorder="1" applyFont="1"/>
    <xf borderId="35" fillId="0" fontId="23" numFmtId="167" xfId="0" applyAlignment="1" applyBorder="1" applyFont="1" applyNumberFormat="1">
      <alignment horizontal="right" vertical="bottom"/>
    </xf>
    <xf borderId="0" fillId="0" fontId="5" numFmtId="167" xfId="0" applyFont="1" applyNumberFormat="1"/>
    <xf borderId="0" fillId="0" fontId="207" numFmtId="0" xfId="0" applyAlignment="1" applyFont="1">
      <alignment readingOrder="0" shrinkToFit="0" wrapText="0"/>
    </xf>
    <xf borderId="0" fillId="0" fontId="5" numFmtId="0" xfId="0" applyAlignment="1" applyFont="1">
      <alignment shrinkToFit="0" wrapText="1"/>
    </xf>
    <xf borderId="0" fillId="0" fontId="16" numFmtId="0" xfId="0" applyAlignment="1" applyFont="1">
      <alignment shrinkToFit="0" vertical="bottom" wrapText="1"/>
    </xf>
    <xf borderId="0" fillId="40" fontId="208" numFmtId="0" xfId="0" applyAlignment="1" applyFill="1" applyFont="1">
      <alignment shrinkToFit="0" vertical="bottom" wrapText="1"/>
    </xf>
    <xf borderId="0" fillId="0" fontId="16" numFmtId="0" xfId="0" applyAlignment="1" applyFont="1">
      <alignment shrinkToFit="0" vertical="bottom" wrapText="1"/>
    </xf>
    <xf borderId="0" fillId="40" fontId="209" numFmtId="0" xfId="0" applyAlignment="1" applyFont="1">
      <alignment readingOrder="0" shrinkToFit="0" wrapText="1"/>
    </xf>
    <xf borderId="0" fillId="0" fontId="210" numFmtId="0" xfId="0" applyAlignment="1" applyFont="1">
      <alignment shrinkToFit="0" vertical="bottom" wrapText="1"/>
    </xf>
    <xf borderId="0" fillId="10" fontId="211" numFmtId="0" xfId="0" applyAlignment="1" applyFont="1">
      <alignment shrinkToFit="0" vertical="bottom" wrapText="1"/>
    </xf>
    <xf borderId="0" fillId="0" fontId="8" numFmtId="0" xfId="0" applyFont="1"/>
    <xf borderId="0" fillId="10" fontId="65" numFmtId="0" xfId="0" applyAlignment="1" applyFont="1">
      <alignment horizontal="left" readingOrder="0" shrinkToFit="0" wrapText="1"/>
    </xf>
    <xf borderId="0" fillId="10" fontId="212" numFmtId="0" xfId="0" applyAlignment="1" applyFont="1">
      <alignment readingOrder="0"/>
    </xf>
    <xf borderId="0" fillId="10" fontId="32" numFmtId="0" xfId="0" applyAlignment="1" applyFont="1">
      <alignment shrinkToFit="0" vertical="bottom" wrapText="1"/>
    </xf>
    <xf borderId="0" fillId="0" fontId="213" numFmtId="0" xfId="0" applyFont="1"/>
    <xf borderId="0" fillId="40" fontId="214" numFmtId="0" xfId="0" applyAlignment="1" applyFont="1">
      <alignment readingOrder="0" shrinkToFit="0" wrapText="1"/>
    </xf>
    <xf borderId="0" fillId="10" fontId="215" numFmtId="0" xfId="0" applyFont="1"/>
    <xf borderId="0" fillId="40" fontId="216" numFmtId="0" xfId="0" applyAlignment="1" applyFont="1">
      <alignment shrinkToFit="0" vertical="bottom" wrapText="1"/>
    </xf>
    <xf borderId="0" fillId="10" fontId="217" numFmtId="0" xfId="0" applyAlignment="1" applyFont="1">
      <alignment shrinkToFit="0" vertical="bottom" wrapText="1"/>
    </xf>
    <xf borderId="0" fillId="40" fontId="214" numFmtId="0" xfId="0" applyAlignment="1" applyFont="1">
      <alignment readingOrder="0"/>
    </xf>
    <xf borderId="0" fillId="40" fontId="218" numFmtId="0" xfId="0" applyAlignment="1" applyFont="1">
      <alignment readingOrder="0"/>
    </xf>
    <xf borderId="0" fillId="0" fontId="136" numFmtId="0" xfId="0" applyAlignment="1" applyFont="1">
      <alignment readingOrder="0" shrinkToFit="0" wrapText="1"/>
    </xf>
    <xf borderId="0" fillId="41" fontId="213" numFmtId="0" xfId="0" applyAlignment="1" applyFill="1" applyFont="1">
      <alignment shrinkToFit="0" wrapText="1"/>
    </xf>
    <xf borderId="0" fillId="0" fontId="84" numFmtId="0" xfId="0" applyAlignment="1" applyFont="1">
      <alignment horizontal="center" shrinkToFit="0" vertical="bottom" wrapText="1"/>
    </xf>
    <xf borderId="0" fillId="10" fontId="19" numFmtId="0" xfId="0" applyAlignment="1" applyFont="1">
      <alignment horizontal="center"/>
    </xf>
    <xf borderId="0" fillId="10" fontId="215" numFmtId="0" xfId="0" applyAlignment="1" applyFont="1">
      <alignment shrinkToFit="0" wrapText="1"/>
    </xf>
    <xf borderId="0" fillId="10" fontId="65" numFmtId="0" xfId="0" applyAlignment="1" applyFont="1">
      <alignment horizontal="center" shrinkToFit="0" vertical="bottom" wrapText="1"/>
    </xf>
    <xf borderId="0" fillId="10" fontId="32" numFmtId="0" xfId="0" applyAlignment="1" applyFont="1">
      <alignment horizontal="center" shrinkToFit="0" vertical="bottom" wrapText="1"/>
    </xf>
    <xf borderId="0" fillId="0" fontId="84" numFmtId="0" xfId="0" applyAlignment="1" applyFont="1">
      <alignment horizontal="center" shrinkToFit="0" vertical="bottom" wrapText="1"/>
    </xf>
    <xf borderId="0" fillId="0" fontId="5" numFmtId="0" xfId="0" applyAlignment="1" applyFont="1">
      <alignment horizontal="right"/>
    </xf>
    <xf borderId="0" fillId="10" fontId="19" numFmtId="0" xfId="0" applyAlignment="1" applyFont="1">
      <alignment horizontal="left" shrinkToFit="0" wrapText="1"/>
    </xf>
    <xf borderId="0" fillId="0" fontId="16" numFmtId="0" xfId="0" applyAlignment="1" applyFont="1">
      <alignment readingOrder="0" shrinkToFit="0" vertical="bottom" wrapText="1"/>
    </xf>
    <xf borderId="0" fillId="38" fontId="162" numFmtId="0" xfId="0" applyAlignment="1" applyFont="1">
      <alignment horizontal="left" readingOrder="0" shrinkToFit="0" wrapText="1"/>
    </xf>
    <xf borderId="0" fillId="10" fontId="59" numFmtId="0" xfId="0" applyAlignment="1" applyFont="1">
      <alignment readingOrder="0" shrinkToFit="0" wrapText="1"/>
    </xf>
    <xf quotePrefix="1" borderId="0" fillId="0" fontId="5" numFmtId="0" xfId="0" applyAlignment="1" applyFont="1">
      <alignment readingOrder="0" shrinkToFit="0" wrapText="1"/>
    </xf>
    <xf quotePrefix="1" borderId="0" fillId="18" fontId="16" numFmtId="0" xfId="0" applyAlignment="1" applyFont="1">
      <alignment readingOrder="0" shrinkToFit="0" vertical="bottom" wrapText="1"/>
    </xf>
    <xf borderId="0" fillId="18" fontId="16" numFmtId="0" xfId="0" applyAlignment="1" applyFont="1">
      <alignment readingOrder="0" shrinkToFit="0" vertical="bottom" wrapText="1"/>
    </xf>
    <xf borderId="0" fillId="18" fontId="5" numFmtId="0" xfId="0" applyAlignment="1" applyFont="1">
      <alignment shrinkToFit="0" wrapText="1"/>
    </xf>
    <xf quotePrefix="1" borderId="0" fillId="18" fontId="32" numFmtId="0" xfId="0" applyAlignment="1" applyFont="1">
      <alignment horizontal="left" readingOrder="0" shrinkToFit="0" vertical="bottom" wrapText="1"/>
    </xf>
    <xf quotePrefix="1" borderId="0" fillId="18" fontId="32" numFmtId="0" xfId="0" applyAlignment="1" applyFont="1">
      <alignment horizontal="center" readingOrder="0" shrinkToFit="0" vertical="bottom" wrapText="1"/>
    </xf>
    <xf quotePrefix="1" borderId="0" fillId="18" fontId="54" numFmtId="0" xfId="0" applyAlignment="1" applyFont="1">
      <alignment horizontal="center" readingOrder="0" shrinkToFit="0" vertical="bottom" wrapText="1"/>
    </xf>
    <xf borderId="0" fillId="18" fontId="16" numFmtId="0" xfId="0" applyAlignment="1" applyFont="1">
      <alignment shrinkToFit="0" vertical="bottom" wrapText="1"/>
    </xf>
    <xf borderId="0" fillId="0" fontId="16" numFmtId="0" xfId="0" applyAlignment="1" applyFont="1">
      <alignment horizontal="center" vertical="bottom"/>
    </xf>
    <xf quotePrefix="1" borderId="0" fillId="18" fontId="16" numFmtId="0" xfId="0" applyAlignment="1" applyFont="1">
      <alignment readingOrder="0" shrinkToFit="0" vertical="bottom" wrapText="1"/>
    </xf>
    <xf borderId="0" fillId="0" fontId="5" numFmtId="172" xfId="0" applyAlignment="1" applyFont="1" applyNumberFormat="1">
      <alignment readingOrder="0"/>
    </xf>
    <xf borderId="0" fillId="18" fontId="32" numFmtId="0" xfId="0" applyAlignment="1" applyFont="1">
      <alignment horizontal="center" shrinkToFit="0" vertical="bottom" wrapText="1"/>
    </xf>
    <xf borderId="0" fillId="18" fontId="16" numFmtId="0" xfId="0" applyAlignment="1" applyFont="1">
      <alignment shrinkToFit="0" vertical="bottom" wrapText="1"/>
    </xf>
    <xf borderId="0" fillId="17" fontId="5" numFmtId="172" xfId="0" applyFont="1" applyNumberFormat="1"/>
    <xf borderId="0" fillId="42" fontId="5" numFmtId="0" xfId="0" applyFill="1" applyFont="1"/>
    <xf borderId="0" fillId="10" fontId="219" numFmtId="0" xfId="0" applyFill="1" applyFont="1"/>
    <xf borderId="0" fillId="10" fontId="220" numFmtId="0" xfId="0" applyAlignment="1" applyFont="1">
      <alignment horizontal="left" readingOrder="0"/>
    </xf>
    <xf borderId="0" fillId="0" fontId="221" numFmtId="0" xfId="0" applyAlignment="1" applyFont="1">
      <alignment readingOrder="0"/>
    </xf>
    <xf borderId="0" fillId="0" fontId="4" numFmtId="0" xfId="0" applyAlignment="1" applyFont="1">
      <alignment readingOrder="0" vertical="bottom"/>
    </xf>
    <xf borderId="0" fillId="0" fontId="222" numFmtId="0" xfId="0" applyAlignment="1" applyFont="1">
      <alignment readingOrder="0"/>
    </xf>
    <xf borderId="0" fillId="0" fontId="223" numFmtId="0" xfId="0" applyAlignment="1" applyFont="1">
      <alignment readingOrder="0"/>
    </xf>
    <xf borderId="0" fillId="10" fontId="128" numFmtId="0" xfId="0" applyAlignment="1" applyFont="1">
      <alignment horizontal="left" readingOrder="0"/>
    </xf>
    <xf borderId="0" fillId="0" fontId="5" numFmtId="174" xfId="0" applyAlignment="1" applyFont="1" applyNumberFormat="1">
      <alignment readingOrder="0"/>
    </xf>
    <xf borderId="0" fillId="10" fontId="224" numFmtId="0" xfId="0" applyAlignment="1" applyFont="1">
      <alignment readingOrder="0"/>
    </xf>
    <xf borderId="0" fillId="10" fontId="225" numFmtId="0" xfId="0" applyAlignment="1" applyFont="1">
      <alignment readingOrder="0" shrinkToFit="0" wrapText="1"/>
    </xf>
    <xf borderId="0" fillId="0" fontId="226" numFmtId="0" xfId="0" applyAlignment="1" applyFont="1">
      <alignment readingOrder="0"/>
    </xf>
    <xf borderId="0" fillId="10" fontId="227" numFmtId="0" xfId="0" applyAlignment="1" applyFont="1">
      <alignment readingOrder="0"/>
    </xf>
    <xf borderId="0" fillId="20" fontId="166" numFmtId="0" xfId="0" applyAlignment="1" applyFont="1">
      <alignment horizontal="right"/>
    </xf>
    <xf borderId="0" fillId="10" fontId="228" numFmtId="0" xfId="0" applyFont="1"/>
    <xf borderId="0" fillId="0" fontId="17" numFmtId="0" xfId="0" applyAlignment="1" applyFont="1">
      <alignment readingOrder="0"/>
    </xf>
    <xf borderId="0" fillId="10" fontId="229" numFmtId="0" xfId="0" applyAlignment="1" applyFont="1">
      <alignment readingOrder="0"/>
    </xf>
    <xf borderId="0" fillId="10" fontId="230" numFmtId="0" xfId="0" applyAlignment="1" applyFont="1">
      <alignment readingOrder="0"/>
    </xf>
    <xf borderId="0" fillId="10" fontId="231" numFmtId="0" xfId="0" applyFont="1"/>
    <xf borderId="0" fillId="10" fontId="232" numFmtId="0" xfId="0" applyAlignment="1" applyFont="1">
      <alignment readingOrder="0"/>
    </xf>
    <xf borderId="0" fillId="0" fontId="233" numFmtId="0" xfId="0" applyAlignment="1" applyFont="1">
      <alignment horizontal="center" readingOrder="0"/>
    </xf>
    <xf borderId="0" fillId="0" fontId="7" numFmtId="0" xfId="0" applyAlignment="1" applyFont="1">
      <alignment horizontal="center" readingOrder="0"/>
    </xf>
    <xf borderId="0" fillId="0" fontId="7" numFmtId="0" xfId="0" applyAlignment="1" applyFont="1">
      <alignment horizontal="center"/>
    </xf>
    <xf borderId="36" fillId="0" fontId="234" numFmtId="0" xfId="0" applyAlignment="1" applyBorder="1" applyFont="1">
      <alignment horizontal="left" readingOrder="0" vertical="top"/>
    </xf>
    <xf borderId="0" fillId="43" fontId="235" numFmtId="0" xfId="0" applyAlignment="1" applyFill="1" applyFont="1">
      <alignment horizontal="left" readingOrder="0"/>
    </xf>
    <xf borderId="0" fillId="44" fontId="236" numFmtId="0" xfId="0" applyAlignment="1" applyFill="1" applyFont="1">
      <alignment readingOrder="0"/>
    </xf>
    <xf borderId="0" fillId="43" fontId="235" numFmtId="0" xfId="0" applyAlignment="1" applyFont="1">
      <alignment horizontal="center" readingOrder="0"/>
    </xf>
    <xf borderId="2" fillId="0" fontId="67" numFmtId="0" xfId="0" applyAlignment="1" applyBorder="1" applyFont="1">
      <alignment horizontal="center" readingOrder="0" shrinkToFit="0" wrapText="1"/>
    </xf>
    <xf borderId="0" fillId="45" fontId="237" numFmtId="0" xfId="0" applyAlignment="1" applyFill="1" applyFont="1">
      <alignment readingOrder="0"/>
    </xf>
    <xf borderId="0" fillId="46" fontId="238" numFmtId="0" xfId="0" applyAlignment="1" applyFill="1" applyFont="1">
      <alignment readingOrder="0"/>
    </xf>
    <xf borderId="37" fillId="0" fontId="25" numFmtId="0" xfId="0" applyAlignment="1" applyBorder="1" applyFont="1">
      <alignment horizontal="center" readingOrder="0" shrinkToFit="0" wrapText="1"/>
    </xf>
    <xf borderId="31" fillId="0" fontId="25" numFmtId="0" xfId="0" applyAlignment="1" applyBorder="1" applyFont="1">
      <alignment horizontal="center" readingOrder="0" shrinkToFit="0" wrapText="1"/>
    </xf>
    <xf borderId="38" fillId="0" fontId="25" numFmtId="0" xfId="0" applyAlignment="1" applyBorder="1" applyFont="1">
      <alignment horizontal="center" readingOrder="0" shrinkToFit="0" wrapText="1"/>
    </xf>
    <xf borderId="2" fillId="47" fontId="5" numFmtId="0" xfId="0" applyAlignment="1" applyBorder="1" applyFill="1" applyFont="1">
      <alignment horizontal="left" readingOrder="0" vertical="bottom"/>
    </xf>
    <xf borderId="0" fillId="46" fontId="239" numFmtId="0" xfId="0" applyAlignment="1" applyFont="1">
      <alignment shrinkToFit="0" wrapText="1"/>
    </xf>
    <xf borderId="33" fillId="0" fontId="25" numFmtId="0" xfId="0" applyAlignment="1" applyBorder="1" applyFont="1">
      <alignment horizontal="center" readingOrder="0" shrinkToFit="0" wrapText="1"/>
    </xf>
    <xf borderId="0" fillId="0" fontId="25" numFmtId="0" xfId="0" applyAlignment="1" applyFont="1">
      <alignment horizontal="center" readingOrder="0" shrinkToFit="0" wrapText="1"/>
    </xf>
    <xf borderId="32" fillId="0" fontId="25" numFmtId="0" xfId="0" applyAlignment="1" applyBorder="1" applyFont="1">
      <alignment horizontal="center" readingOrder="0" shrinkToFit="0" wrapText="1"/>
    </xf>
    <xf borderId="2" fillId="48" fontId="5" numFmtId="0" xfId="0" applyAlignment="1" applyBorder="1" applyFill="1" applyFont="1">
      <alignment horizontal="left" readingOrder="0" vertical="bottom"/>
    </xf>
    <xf borderId="0" fillId="46" fontId="239" numFmtId="0" xfId="0" applyAlignment="1" applyFont="1">
      <alignment readingOrder="0" shrinkToFit="0" wrapText="1"/>
    </xf>
    <xf borderId="0" fillId="46" fontId="238" numFmtId="0" xfId="0" applyAlignment="1" applyFont="1">
      <alignment shrinkToFit="0" wrapText="1"/>
    </xf>
    <xf borderId="0" fillId="46" fontId="238" numFmtId="0" xfId="0" applyAlignment="1" applyFont="1">
      <alignment readingOrder="0" shrinkToFit="0" wrapText="1"/>
    </xf>
    <xf borderId="34" fillId="0" fontId="25" numFmtId="0" xfId="0" applyAlignment="1" applyBorder="1" applyFont="1">
      <alignment horizontal="center" readingOrder="0" shrinkToFit="0" wrapText="1"/>
    </xf>
    <xf borderId="1" fillId="0" fontId="25" numFmtId="0" xfId="0" applyAlignment="1" applyBorder="1" applyFont="1">
      <alignment horizontal="center" readingOrder="0" shrinkToFit="0" wrapText="1"/>
    </xf>
    <xf borderId="10" fillId="0" fontId="25" numFmtId="0" xfId="0" applyAlignment="1" applyBorder="1" applyFont="1">
      <alignment horizontal="center" readingOrder="0" shrinkToFit="0" wrapText="1"/>
    </xf>
    <xf borderId="0" fillId="46" fontId="240" numFmtId="0" xfId="0" applyAlignment="1" applyFont="1">
      <alignment horizontal="center" readingOrder="0" shrinkToFit="0" wrapText="1"/>
    </xf>
    <xf borderId="1" fillId="0" fontId="5" numFmtId="0" xfId="0" applyAlignment="1" applyBorder="1" applyFont="1">
      <alignment horizontal="left" vertical="bottom"/>
    </xf>
    <xf borderId="0" fillId="46" fontId="117" numFmtId="0" xfId="0" applyAlignment="1" applyFont="1">
      <alignment horizontal="center" shrinkToFit="0" wrapText="1"/>
    </xf>
    <xf borderId="39" fillId="48" fontId="126" numFmtId="0" xfId="0" applyAlignment="1" applyBorder="1" applyFont="1">
      <alignment horizontal="center" readingOrder="0" vertical="bottom"/>
    </xf>
    <xf borderId="39" fillId="48" fontId="126" numFmtId="0" xfId="0" applyAlignment="1" applyBorder="1" applyFont="1">
      <alignment horizontal="center" readingOrder="0" vertical="bottom"/>
    </xf>
    <xf borderId="33" fillId="0" fontId="5" numFmtId="0" xfId="0" applyAlignment="1" applyBorder="1" applyFont="1">
      <alignment horizontal="left" vertical="bottom"/>
    </xf>
    <xf borderId="40" fillId="46" fontId="241" numFmtId="0" xfId="0" applyAlignment="1" applyBorder="1" applyFont="1">
      <alignment horizontal="left" readingOrder="0" shrinkToFit="0" wrapText="1"/>
    </xf>
    <xf borderId="40" fillId="49" fontId="241" numFmtId="0" xfId="0" applyAlignment="1" applyBorder="1" applyFill="1" applyFont="1">
      <alignment horizontal="left" readingOrder="0" shrinkToFit="0" wrapText="1"/>
    </xf>
    <xf borderId="38" fillId="47" fontId="5" numFmtId="0" xfId="0" applyAlignment="1" applyBorder="1" applyFont="1">
      <alignment horizontal="center" readingOrder="0" vertical="bottom"/>
    </xf>
    <xf borderId="31" fillId="48" fontId="5" numFmtId="0" xfId="0" applyAlignment="1" applyBorder="1" applyFont="1">
      <alignment horizontal="center" vertical="bottom"/>
    </xf>
    <xf borderId="40" fillId="46" fontId="117" numFmtId="0" xfId="0" applyAlignment="1" applyBorder="1" applyFont="1">
      <alignment horizontal="center" readingOrder="0" shrinkToFit="0" vertical="top" wrapText="1"/>
    </xf>
    <xf borderId="40" fillId="38" fontId="117" numFmtId="0" xfId="0" applyAlignment="1" applyBorder="1" applyFont="1">
      <alignment horizontal="center" readingOrder="0" shrinkToFit="0" vertical="top" wrapText="1"/>
    </xf>
    <xf borderId="32" fillId="47" fontId="5" numFmtId="0" xfId="0" applyAlignment="1" applyBorder="1" applyFont="1">
      <alignment horizontal="center" readingOrder="0" vertical="bottom"/>
    </xf>
    <xf borderId="0" fillId="48" fontId="5" numFmtId="0" xfId="0" applyAlignment="1" applyFont="1">
      <alignment horizontal="center" readingOrder="0" vertical="bottom"/>
    </xf>
    <xf borderId="0" fillId="10" fontId="242" numFmtId="0" xfId="0" applyAlignment="1" applyFont="1">
      <alignment readingOrder="0"/>
    </xf>
    <xf borderId="40" fillId="10" fontId="117" numFmtId="0" xfId="0" applyAlignment="1" applyBorder="1" applyFont="1">
      <alignment horizontal="center" readingOrder="0" shrinkToFit="0" vertical="top" wrapText="1"/>
    </xf>
    <xf borderId="32" fillId="47" fontId="5" numFmtId="0" xfId="0" applyAlignment="1" applyBorder="1" applyFont="1">
      <alignment horizontal="center" readingOrder="0" vertical="bottom"/>
    </xf>
    <xf borderId="10" fillId="47" fontId="5" numFmtId="0" xfId="0" applyAlignment="1" applyBorder="1" applyFont="1">
      <alignment horizontal="center" readingOrder="0" vertical="bottom"/>
    </xf>
    <xf borderId="1" fillId="48" fontId="5" numFmtId="0" xfId="0" applyAlignment="1" applyBorder="1" applyFont="1">
      <alignment horizontal="center" readingOrder="0" vertical="bottom"/>
    </xf>
    <xf borderId="31" fillId="0" fontId="5" numFmtId="0" xfId="0" applyAlignment="1" applyBorder="1" applyFont="1">
      <alignment horizontal="left" vertical="bottom"/>
    </xf>
    <xf borderId="41" fillId="48" fontId="126" numFmtId="0" xfId="0" applyAlignment="1" applyBorder="1" applyFont="1">
      <alignment horizontal="center" readingOrder="0" vertical="bottom"/>
    </xf>
    <xf borderId="41" fillId="0" fontId="69" numFmtId="0" xfId="0" applyBorder="1" applyFont="1"/>
    <xf borderId="39" fillId="0" fontId="69" numFmtId="0" xfId="0" applyBorder="1" applyFont="1"/>
    <xf borderId="2" fillId="47" fontId="5" numFmtId="0" xfId="0" applyAlignment="1" applyBorder="1" applyFont="1">
      <alignment horizontal="left" readingOrder="0" vertical="bottom"/>
    </xf>
    <xf borderId="41" fillId="0" fontId="5" numFmtId="0" xfId="0" applyAlignment="1" applyBorder="1" applyFont="1">
      <alignment horizontal="left" vertical="bottom"/>
    </xf>
    <xf borderId="39" fillId="0" fontId="5" numFmtId="0" xfId="0" applyAlignment="1" applyBorder="1" applyFont="1">
      <alignment horizontal="left" vertical="bottom"/>
    </xf>
    <xf borderId="40" fillId="46" fontId="117" numFmtId="0" xfId="0" applyAlignment="1" applyBorder="1" applyFont="1">
      <alignment horizontal="center" shrinkToFit="0" vertical="top" wrapText="1"/>
    </xf>
    <xf borderId="0" fillId="0" fontId="243" numFmtId="0" xfId="0" applyAlignment="1" applyFont="1">
      <alignment readingOrder="0"/>
    </xf>
    <xf borderId="40" fillId="46" fontId="117" numFmtId="0" xfId="0" applyAlignment="1" applyBorder="1" applyFont="1">
      <alignment horizontal="center" shrinkToFit="0" vertical="top" wrapText="1"/>
    </xf>
    <xf borderId="41" fillId="48" fontId="126" numFmtId="0" xfId="0" applyAlignment="1" applyBorder="1" applyFont="1">
      <alignment horizontal="center" readingOrder="0" vertical="bottom"/>
    </xf>
    <xf borderId="42" fillId="48" fontId="5" numFmtId="0" xfId="0" applyAlignment="1" applyBorder="1" applyFont="1">
      <alignment horizontal="center" readingOrder="0" vertical="bottom"/>
    </xf>
    <xf borderId="41" fillId="48" fontId="5" numFmtId="0" xfId="0" applyAlignment="1" applyBorder="1" applyFont="1">
      <alignment horizontal="center" vertical="bottom"/>
    </xf>
    <xf borderId="39" fillId="48" fontId="5" numFmtId="0" xfId="0" applyAlignment="1" applyBorder="1" applyFont="1">
      <alignment horizontal="center" vertical="bottom"/>
    </xf>
    <xf borderId="40" fillId="0" fontId="241" numFmtId="0" xfId="0" applyAlignment="1" applyBorder="1" applyFont="1">
      <alignment horizontal="left" readingOrder="0" shrinkToFit="0" wrapText="1"/>
    </xf>
    <xf borderId="43" fillId="0" fontId="241" numFmtId="0" xfId="0" applyAlignment="1" applyBorder="1" applyFont="1">
      <alignment horizontal="left" readingOrder="0" shrinkToFit="0" wrapText="1"/>
    </xf>
    <xf borderId="44" fillId="0" fontId="69" numFmtId="0" xfId="0" applyBorder="1" applyFont="1"/>
    <xf borderId="45" fillId="0" fontId="69" numFmtId="0" xfId="0" applyBorder="1" applyFont="1"/>
    <xf borderId="2" fillId="48" fontId="126" numFmtId="0" xfId="0" applyAlignment="1" applyBorder="1" applyFont="1">
      <alignment horizontal="center" readingOrder="0" vertical="bottom"/>
    </xf>
    <xf borderId="40" fillId="0" fontId="117" numFmtId="0" xfId="0" applyAlignment="1" applyBorder="1" applyFont="1">
      <alignment horizontal="center" shrinkToFit="0" vertical="top" wrapText="1"/>
    </xf>
    <xf borderId="40" fillId="0" fontId="117" numFmtId="0" xfId="0" applyAlignment="1" applyBorder="1" applyFont="1">
      <alignment horizontal="center" readingOrder="0" shrinkToFit="0" vertical="top" wrapText="1"/>
    </xf>
    <xf borderId="46" fillId="47" fontId="5" numFmtId="0" xfId="0" applyAlignment="1" applyBorder="1" applyFont="1">
      <alignment horizontal="center" readingOrder="0" vertical="bottom"/>
    </xf>
    <xf borderId="46" fillId="48" fontId="5" numFmtId="0" xfId="0" applyAlignment="1" applyBorder="1" applyFont="1">
      <alignment horizontal="center" readingOrder="0" vertical="bottom"/>
    </xf>
    <xf borderId="47" fillId="10" fontId="5" numFmtId="0" xfId="0" applyAlignment="1" applyBorder="1" applyFont="1">
      <alignment horizontal="center" readingOrder="0" vertical="bottom"/>
    </xf>
    <xf borderId="47" fillId="48" fontId="5" numFmtId="0" xfId="0" applyAlignment="1" applyBorder="1" applyFont="1">
      <alignment horizontal="center" readingOrder="0" vertical="bottom"/>
    </xf>
    <xf borderId="47" fillId="10" fontId="5" numFmtId="0" xfId="0" applyAlignment="1" applyBorder="1" applyFont="1">
      <alignment horizontal="center" readingOrder="0" vertical="bottom"/>
    </xf>
    <xf borderId="48" fillId="46" fontId="117" numFmtId="0" xfId="0" applyAlignment="1" applyBorder="1" applyFont="1">
      <alignment horizontal="center" shrinkToFit="0" vertical="top" wrapText="1"/>
    </xf>
    <xf borderId="49" fillId="0" fontId="69" numFmtId="0" xfId="0" applyBorder="1" applyFont="1"/>
    <xf borderId="9" fillId="10" fontId="5" numFmtId="0" xfId="0" applyAlignment="1" applyBorder="1" applyFont="1">
      <alignment horizontal="center" readingOrder="0" vertical="bottom"/>
    </xf>
    <xf borderId="9" fillId="48" fontId="5" numFmtId="0" xfId="0" applyAlignment="1" applyBorder="1" applyFont="1">
      <alignment horizontal="center" readingOrder="0" vertical="bottom"/>
    </xf>
    <xf borderId="50" fillId="0" fontId="69" numFmtId="0" xfId="0" applyBorder="1" applyFont="1"/>
    <xf borderId="0" fillId="45" fontId="135" numFmtId="0" xfId="0" applyAlignment="1" applyFont="1">
      <alignment readingOrder="0" shrinkToFit="0" wrapText="0"/>
    </xf>
    <xf borderId="0" fillId="45" fontId="136" numFmtId="0" xfId="0" applyFont="1"/>
    <xf borderId="0" fillId="46" fontId="117" numFmtId="0" xfId="0" applyAlignment="1" applyFont="1">
      <alignment horizontal="center" readingOrder="0" shrinkToFit="0" wrapText="1"/>
    </xf>
    <xf borderId="0" fillId="46" fontId="238" numFmtId="0" xfId="0" applyAlignment="1" applyFont="1">
      <alignment horizontal="center" shrinkToFit="0" wrapText="1"/>
    </xf>
    <xf borderId="42" fillId="0" fontId="67" numFmtId="0" xfId="0" applyAlignment="1" applyBorder="1" applyFont="1">
      <alignment horizontal="center" readingOrder="0" shrinkToFit="0" vertical="center" wrapText="1"/>
    </xf>
    <xf borderId="41" fillId="0" fontId="67" numFmtId="0" xfId="0" applyAlignment="1" applyBorder="1" applyFont="1">
      <alignment horizontal="center" readingOrder="0" shrinkToFit="0" vertical="center" wrapText="1"/>
    </xf>
    <xf borderId="39" fillId="0" fontId="67" numFmtId="0" xfId="0" applyAlignment="1" applyBorder="1" applyFont="1">
      <alignment horizontal="center" readingOrder="0" shrinkToFit="0" vertical="center" wrapText="1"/>
    </xf>
    <xf borderId="0" fillId="46" fontId="238" numFmtId="0" xfId="0" applyAlignment="1" applyFont="1">
      <alignment horizontal="center" readingOrder="0" shrinkToFit="0" wrapText="1"/>
    </xf>
    <xf borderId="37" fillId="0" fontId="25" numFmtId="0" xfId="0" applyAlignment="1" applyBorder="1" applyFont="1">
      <alignment horizontal="center" readingOrder="0" shrinkToFit="0" vertical="center" wrapText="1"/>
    </xf>
    <xf borderId="31" fillId="0" fontId="25" numFmtId="0" xfId="0" applyAlignment="1" applyBorder="1" applyFont="1">
      <alignment horizontal="center" readingOrder="0" shrinkToFit="0" vertical="center" wrapText="1"/>
    </xf>
    <xf borderId="38" fillId="0" fontId="25" numFmtId="0" xfId="0" applyAlignment="1" applyBorder="1" applyFont="1">
      <alignment horizontal="center" readingOrder="0" shrinkToFit="0" vertical="center" wrapText="1"/>
    </xf>
    <xf borderId="33" fillId="0" fontId="25" numFmtId="0" xfId="0" applyAlignment="1" applyBorder="1" applyFont="1">
      <alignment horizontal="center" readingOrder="0" shrinkToFit="0" vertical="center" wrapText="1"/>
    </xf>
    <xf borderId="32" fillId="0" fontId="25" numFmtId="0" xfId="0" applyAlignment="1" applyBorder="1" applyFont="1">
      <alignment horizontal="center" readingOrder="0" shrinkToFit="0" vertical="center" wrapText="1"/>
    </xf>
    <xf borderId="0" fillId="46" fontId="244" numFmtId="0" xfId="0" applyAlignment="1" applyFont="1">
      <alignment horizontal="center" readingOrder="0" shrinkToFit="0" wrapText="1"/>
    </xf>
    <xf borderId="34" fillId="0" fontId="25"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10" fillId="0" fontId="25" numFmtId="0" xfId="0" applyAlignment="1" applyBorder="1" applyFont="1">
      <alignment horizontal="center" readingOrder="0" shrinkToFit="0" vertical="center" wrapText="1"/>
    </xf>
    <xf borderId="0" fillId="46" fontId="245" numFmtId="0" xfId="0" applyAlignment="1" applyFont="1">
      <alignment horizontal="center" readingOrder="0" shrinkToFit="0" wrapText="1"/>
    </xf>
    <xf borderId="0" fillId="46" fontId="244" numFmtId="0" xfId="0" applyAlignment="1" applyFont="1">
      <alignment horizontal="center" shrinkToFit="0" wrapText="1"/>
    </xf>
    <xf borderId="2" fillId="48" fontId="126" numFmtId="0" xfId="0" applyAlignment="1" applyBorder="1" applyFont="1">
      <alignment horizontal="center" readingOrder="0" vertical="bottom"/>
    </xf>
    <xf borderId="47" fillId="10" fontId="5" numFmtId="0" xfId="0" applyAlignment="1" applyBorder="1" applyFont="1">
      <alignment horizontal="left" readingOrder="0" vertical="center"/>
    </xf>
    <xf borderId="37" fillId="47" fontId="25" numFmtId="0" xfId="0" applyAlignment="1" applyBorder="1" applyFont="1">
      <alignment horizontal="center" readingOrder="0" shrinkToFit="0" vertical="center" wrapText="1"/>
    </xf>
    <xf borderId="46" fillId="48" fontId="5" numFmtId="0" xfId="0" applyAlignment="1" applyBorder="1" applyFont="1">
      <alignment horizontal="center" readingOrder="0" vertical="center"/>
    </xf>
    <xf borderId="33" fillId="47" fontId="25" numFmtId="0" xfId="0" applyAlignment="1" applyBorder="1" applyFont="1">
      <alignment horizontal="center" readingOrder="0" shrinkToFit="0" vertical="center" wrapText="1"/>
    </xf>
    <xf borderId="47" fillId="48" fontId="5" numFmtId="0" xfId="0" applyAlignment="1" applyBorder="1" applyFont="1">
      <alignment horizontal="center" readingOrder="0" vertical="center"/>
    </xf>
    <xf borderId="33" fillId="10" fontId="25" numFmtId="0" xfId="0" applyAlignment="1" applyBorder="1" applyFont="1">
      <alignment horizontal="center" readingOrder="0" shrinkToFit="0" vertical="center" wrapText="1"/>
    </xf>
    <xf borderId="9" fillId="10" fontId="5" numFmtId="0" xfId="0" applyAlignment="1" applyBorder="1" applyFont="1">
      <alignment horizontal="left" readingOrder="0" vertical="center"/>
    </xf>
    <xf borderId="34" fillId="47" fontId="25" numFmtId="0" xfId="0" applyAlignment="1" applyBorder="1" applyFont="1">
      <alignment horizontal="center" readingOrder="0" shrinkToFit="0" vertical="center" wrapText="1"/>
    </xf>
    <xf borderId="9" fillId="48" fontId="5" numFmtId="0" xfId="0" applyAlignment="1" applyBorder="1" applyFont="1">
      <alignment horizontal="center" readingOrder="0" vertical="center"/>
    </xf>
    <xf borderId="0" fillId="46" fontId="246" numFmtId="0" xfId="0" applyAlignment="1" applyFont="1">
      <alignment horizontal="center" readingOrder="0" shrinkToFit="0" wrapText="1"/>
    </xf>
    <xf borderId="40" fillId="38" fontId="117" numFmtId="0" xfId="0" applyAlignment="1" applyBorder="1" applyFont="1">
      <alignment horizontal="center" shrinkToFit="0" vertical="top" wrapText="1"/>
    </xf>
    <xf borderId="40" fillId="10" fontId="117" numFmtId="0" xfId="0" applyAlignment="1" applyBorder="1" applyFont="1">
      <alignment horizontal="center" shrinkToFit="0" vertical="top" wrapText="1"/>
    </xf>
    <xf borderId="0" fillId="46" fontId="247" numFmtId="0" xfId="0" applyAlignment="1" applyFont="1">
      <alignment horizontal="center" shrinkToFit="0" wrapText="1"/>
    </xf>
    <xf borderId="0" fillId="46" fontId="5" numFmtId="0" xfId="0" applyFont="1"/>
    <xf borderId="51" fillId="50" fontId="248" numFmtId="0" xfId="0" applyAlignment="1" applyBorder="1" applyFill="1" applyFont="1">
      <alignment vertical="bottom"/>
    </xf>
    <xf borderId="52" fillId="50" fontId="249" numFmtId="15" xfId="0" applyAlignment="1" applyBorder="1" applyFont="1" applyNumberFormat="1">
      <alignment vertical="bottom"/>
    </xf>
    <xf borderId="52" fillId="0" fontId="69" numFmtId="0" xfId="0" applyBorder="1" applyFont="1"/>
    <xf borderId="53" fillId="0" fontId="69" numFmtId="0" xfId="0" applyBorder="1" applyFont="1"/>
    <xf borderId="38" fillId="51" fontId="250" numFmtId="0" xfId="0" applyAlignment="1" applyBorder="1" applyFill="1" applyFont="1">
      <alignment horizontal="center" shrinkToFit="0" wrapText="1"/>
    </xf>
    <xf borderId="52" fillId="0" fontId="248" numFmtId="0" xfId="0" applyAlignment="1" applyBorder="1" applyFont="1">
      <alignment horizontal="center" vertical="bottom"/>
    </xf>
    <xf borderId="54" fillId="0" fontId="69" numFmtId="0" xfId="0" applyBorder="1" applyFont="1"/>
    <xf borderId="0" fillId="0" fontId="251" numFmtId="0" xfId="0" applyAlignment="1" applyFont="1">
      <alignment vertical="bottom"/>
    </xf>
    <xf borderId="0" fillId="0" fontId="251" numFmtId="2" xfId="0" applyAlignment="1" applyFont="1" applyNumberFormat="1">
      <alignment vertical="bottom"/>
    </xf>
    <xf borderId="55" fillId="50" fontId="248" numFmtId="0" xfId="0" applyAlignment="1" applyBorder="1" applyFont="1">
      <alignment vertical="bottom"/>
    </xf>
    <xf borderId="1" fillId="50" fontId="252" numFmtId="0" xfId="0" applyAlignment="1" applyBorder="1" applyFont="1">
      <alignment vertical="bottom"/>
    </xf>
    <xf borderId="1" fillId="0" fontId="69" numFmtId="0" xfId="0" applyBorder="1" applyFont="1"/>
    <xf borderId="10" fillId="0" fontId="69" numFmtId="0" xfId="0" applyBorder="1" applyFont="1"/>
    <xf borderId="32" fillId="0" fontId="69" numFmtId="0" xfId="0" applyBorder="1" applyFont="1"/>
    <xf borderId="0" fillId="0" fontId="251" numFmtId="0" xfId="0" applyAlignment="1" applyFont="1">
      <alignment shrinkToFit="0" vertical="top" wrapText="1"/>
    </xf>
    <xf borderId="56" fillId="0" fontId="69" numFmtId="0" xfId="0" applyBorder="1" applyFont="1"/>
    <xf borderId="1" fillId="50" fontId="251" numFmtId="0" xfId="0" applyAlignment="1" applyBorder="1" applyFont="1">
      <alignment vertical="bottom"/>
    </xf>
    <xf borderId="1" fillId="50" fontId="253" numFmtId="15" xfId="0" applyAlignment="1" applyBorder="1" applyFont="1" applyNumberFormat="1">
      <alignment vertical="bottom"/>
    </xf>
    <xf borderId="57" fillId="50" fontId="248" numFmtId="0" xfId="0" applyAlignment="1" applyBorder="1" applyFont="1">
      <alignment vertical="bottom"/>
    </xf>
    <xf borderId="0" fillId="50" fontId="254" numFmtId="0" xfId="0" applyAlignment="1" applyFont="1">
      <alignment vertical="bottom"/>
    </xf>
    <xf borderId="58" fillId="0" fontId="69" numFmtId="0" xfId="0" applyBorder="1" applyFont="1"/>
    <xf borderId="59" fillId="0" fontId="69" numFmtId="0" xfId="0" applyBorder="1" applyFont="1"/>
    <xf borderId="0" fillId="0" fontId="251" numFmtId="0" xfId="0" applyAlignment="1" applyFont="1">
      <alignment shrinkToFit="0" vertical="bottom" wrapText="0"/>
    </xf>
    <xf borderId="32" fillId="0" fontId="251" numFmtId="0" xfId="0" applyAlignment="1" applyBorder="1" applyFont="1">
      <alignment vertical="bottom"/>
    </xf>
    <xf borderId="10" fillId="52" fontId="251" numFmtId="0" xfId="0" applyAlignment="1" applyBorder="1" applyFill="1" applyFont="1">
      <alignment horizontal="center" vertical="bottom"/>
    </xf>
    <xf borderId="0" fillId="0" fontId="251" numFmtId="10" xfId="0" applyAlignment="1" applyFont="1" applyNumberFormat="1">
      <alignment vertical="bottom"/>
    </xf>
    <xf borderId="58" fillId="0" fontId="251" numFmtId="0" xfId="0" applyAlignment="1" applyBorder="1" applyFont="1">
      <alignment vertical="bottom"/>
    </xf>
    <xf borderId="58" fillId="0" fontId="251" numFmtId="2" xfId="0" applyAlignment="1" applyBorder="1" applyFont="1" applyNumberFormat="1">
      <alignment vertical="bottom"/>
    </xf>
    <xf borderId="1" fillId="0" fontId="251" numFmtId="0" xfId="0" applyAlignment="1" applyBorder="1" applyFont="1">
      <alignment shrinkToFit="0" vertical="bottom" wrapText="0"/>
    </xf>
    <xf borderId="1" fillId="0" fontId="251" numFmtId="0" xfId="0" applyAlignment="1" applyBorder="1" applyFont="1">
      <alignment vertical="bottom"/>
    </xf>
    <xf borderId="1" fillId="0" fontId="251" numFmtId="2" xfId="0" applyAlignment="1" applyBorder="1" applyFont="1" applyNumberFormat="1">
      <alignment vertical="bottom"/>
    </xf>
    <xf borderId="10" fillId="0" fontId="251" numFmtId="0" xfId="0" applyAlignment="1" applyBorder="1" applyFont="1">
      <alignment vertical="bottom"/>
    </xf>
    <xf borderId="10" fillId="52" fontId="251" numFmtId="10" xfId="0" applyAlignment="1" applyBorder="1" applyFont="1" applyNumberFormat="1">
      <alignment horizontal="center" vertical="bottom"/>
    </xf>
    <xf borderId="60" fillId="0" fontId="251" numFmtId="10" xfId="0" applyAlignment="1" applyBorder="1" applyFont="1" applyNumberFormat="1">
      <alignment vertical="bottom"/>
    </xf>
    <xf borderId="58" fillId="0" fontId="255" numFmtId="0" xfId="0" applyAlignment="1" applyBorder="1" applyFont="1">
      <alignment horizontal="center" vertical="bottom"/>
    </xf>
    <xf borderId="9" fillId="10" fontId="256" numFmtId="0" xfId="0" applyAlignment="1" applyBorder="1" applyFont="1">
      <alignment shrinkToFit="0" vertical="bottom" wrapText="1"/>
    </xf>
    <xf borderId="10" fillId="10" fontId="256" numFmtId="0" xfId="0" applyAlignment="1" applyBorder="1" applyFont="1">
      <alignment horizontal="center" shrinkToFit="0" vertical="bottom" wrapText="1"/>
    </xf>
    <xf borderId="10" fillId="10" fontId="256" numFmtId="2" xfId="0" applyAlignment="1" applyBorder="1" applyFont="1" applyNumberFormat="1">
      <alignment horizontal="center" shrinkToFit="0" vertical="bottom" wrapText="1"/>
    </xf>
    <xf borderId="10" fillId="10" fontId="256" numFmtId="10" xfId="0" applyAlignment="1" applyBorder="1" applyFont="1" applyNumberFormat="1">
      <alignment horizontal="center" shrinkToFit="0" vertical="bottom" wrapText="1"/>
    </xf>
    <xf borderId="9" fillId="53" fontId="251" numFmtId="0" xfId="0" applyAlignment="1" applyBorder="1" applyFill="1" applyFont="1">
      <alignment vertical="bottom"/>
    </xf>
    <xf borderId="10" fillId="53" fontId="251" numFmtId="0" xfId="0" applyAlignment="1" applyBorder="1" applyFont="1">
      <alignment horizontal="center" vertical="bottom"/>
    </xf>
    <xf borderId="10" fillId="53" fontId="251" numFmtId="2" xfId="0" applyAlignment="1" applyBorder="1" applyFont="1" applyNumberFormat="1">
      <alignment horizontal="center" vertical="bottom"/>
    </xf>
    <xf borderId="10" fillId="53" fontId="251" numFmtId="10" xfId="0" applyAlignment="1" applyBorder="1" applyFont="1" applyNumberFormat="1">
      <alignment horizontal="center" vertical="bottom"/>
    </xf>
    <xf borderId="10" fillId="53" fontId="251" numFmtId="175" xfId="0" applyAlignment="1" applyBorder="1" applyFont="1" applyNumberFormat="1">
      <alignment horizontal="center" vertical="bottom"/>
    </xf>
    <xf borderId="32" fillId="53" fontId="251" numFmtId="0" xfId="0" applyAlignment="1" applyBorder="1" applyFont="1">
      <alignment horizontal="center" vertical="bottom"/>
    </xf>
    <xf borderId="0" fillId="53" fontId="251" numFmtId="2" xfId="0" applyAlignment="1" applyFont="1" applyNumberFormat="1">
      <alignment horizontal="center" vertical="bottom"/>
    </xf>
    <xf borderId="9" fillId="50" fontId="251" numFmtId="0" xfId="0" applyAlignment="1" applyBorder="1" applyFont="1">
      <alignment vertical="bottom"/>
    </xf>
    <xf borderId="10" fillId="50" fontId="251" numFmtId="0" xfId="0" applyAlignment="1" applyBorder="1" applyFont="1">
      <alignment horizontal="center" vertical="bottom"/>
    </xf>
    <xf borderId="10" fillId="50" fontId="251" numFmtId="2" xfId="0" applyAlignment="1" applyBorder="1" applyFont="1" applyNumberFormat="1">
      <alignment horizontal="center" vertical="bottom"/>
    </xf>
    <xf borderId="10" fillId="50" fontId="251" numFmtId="10" xfId="0" applyAlignment="1" applyBorder="1" applyFont="1" applyNumberFormat="1">
      <alignment horizontal="center" vertical="bottom"/>
    </xf>
    <xf borderId="10" fillId="50" fontId="251" numFmtId="175" xfId="0" applyAlignment="1" applyBorder="1" applyFont="1" applyNumberFormat="1">
      <alignment horizontal="center" vertical="bottom"/>
    </xf>
    <xf borderId="32" fillId="50" fontId="251" numFmtId="0" xfId="0" applyAlignment="1" applyBorder="1" applyFont="1">
      <alignment horizontal="center" vertical="bottom"/>
    </xf>
    <xf borderId="0" fillId="50" fontId="251" numFmtId="2" xfId="0" applyAlignment="1" applyFont="1" applyNumberFormat="1">
      <alignment horizontal="center" vertical="bottom"/>
    </xf>
    <xf borderId="9" fillId="10" fontId="251" numFmtId="0" xfId="0" applyAlignment="1" applyBorder="1" applyFont="1">
      <alignment vertical="bottom"/>
    </xf>
    <xf borderId="10" fillId="10" fontId="251" numFmtId="0" xfId="0" applyAlignment="1" applyBorder="1" applyFont="1">
      <alignment horizontal="center" vertical="bottom"/>
    </xf>
    <xf borderId="10" fillId="10" fontId="251" numFmtId="2" xfId="0" applyAlignment="1" applyBorder="1" applyFont="1" applyNumberFormat="1">
      <alignment horizontal="center" vertical="bottom"/>
    </xf>
    <xf borderId="10" fillId="10" fontId="251" numFmtId="10" xfId="0" applyAlignment="1" applyBorder="1" applyFont="1" applyNumberFormat="1">
      <alignment horizontal="center" vertical="bottom"/>
    </xf>
    <xf borderId="10" fillId="10" fontId="251" numFmtId="175" xfId="0" applyAlignment="1" applyBorder="1" applyFont="1" applyNumberFormat="1">
      <alignment horizontal="center" vertical="bottom"/>
    </xf>
    <xf borderId="10" fillId="10" fontId="248" numFmtId="2" xfId="0" applyAlignment="1" applyBorder="1" applyFont="1" applyNumberFormat="1">
      <alignment horizontal="center" vertical="bottom"/>
    </xf>
    <xf borderId="32" fillId="10" fontId="251" numFmtId="0" xfId="0" applyAlignment="1" applyBorder="1" applyFont="1">
      <alignment horizontal="center" vertical="bottom"/>
    </xf>
    <xf borderId="0" fillId="10" fontId="251" numFmtId="2" xfId="0" applyAlignment="1" applyFont="1" applyNumberFormat="1">
      <alignment horizontal="center" vertical="bottom"/>
    </xf>
    <xf borderId="10" fillId="50" fontId="248" numFmtId="2" xfId="0" applyAlignment="1" applyBorder="1" applyFont="1" applyNumberFormat="1">
      <alignment horizontal="center" vertical="bottom"/>
    </xf>
    <xf borderId="0" fillId="0" fontId="257" numFmtId="9" xfId="0" applyFont="1" applyNumberFormat="1"/>
    <xf borderId="61" fillId="54" fontId="258" numFmtId="9" xfId="0" applyBorder="1" applyFill="1" applyFont="1" applyNumberFormat="1"/>
    <xf borderId="61" fillId="54" fontId="259" numFmtId="9" xfId="0" applyBorder="1" applyFont="1" applyNumberFormat="1"/>
    <xf borderId="61" fillId="54" fontId="259" numFmtId="9" xfId="0" applyAlignment="1" applyBorder="1" applyFont="1" applyNumberFormat="1">
      <alignment horizontal="center"/>
    </xf>
    <xf borderId="0" fillId="0" fontId="257" numFmtId="0" xfId="0" applyFont="1"/>
    <xf borderId="61" fillId="55" fontId="260" numFmtId="0" xfId="0" applyAlignment="1" applyBorder="1" applyFill="1" applyFont="1">
      <alignment vertical="center"/>
    </xf>
    <xf borderId="0" fillId="0" fontId="261" numFmtId="0" xfId="0" applyAlignment="1" applyFont="1">
      <alignment horizontal="right"/>
    </xf>
    <xf borderId="0" fillId="0" fontId="262" numFmtId="0" xfId="0" applyFont="1"/>
    <xf borderId="0" fillId="0" fontId="263" numFmtId="0" xfId="0" applyAlignment="1" applyFont="1">
      <alignment horizontal="right" readingOrder="0"/>
    </xf>
    <xf borderId="61" fillId="54" fontId="264" numFmtId="0" xfId="0" applyBorder="1" applyFont="1"/>
    <xf borderId="61" fillId="54" fontId="265" numFmtId="176" xfId="0" applyAlignment="1" applyBorder="1" applyFont="1" applyNumberFormat="1">
      <alignment readingOrder="0"/>
    </xf>
    <xf borderId="61" fillId="54" fontId="266" numFmtId="176" xfId="0" applyBorder="1" applyFont="1" applyNumberFormat="1"/>
    <xf borderId="0" fillId="0" fontId="263" numFmtId="172" xfId="0" applyAlignment="1" applyFont="1" applyNumberFormat="1">
      <alignment horizontal="right" readingOrder="0"/>
    </xf>
    <xf borderId="0" fillId="0" fontId="262" numFmtId="0" xfId="0" applyAlignment="1" applyFont="1">
      <alignment readingOrder="0"/>
    </xf>
    <xf borderId="0" fillId="0" fontId="263" numFmtId="172" xfId="0" applyAlignment="1" applyFont="1" applyNumberFormat="1">
      <alignment horizontal="right"/>
    </xf>
    <xf borderId="0" fillId="0" fontId="267" numFmtId="177" xfId="0" applyAlignment="1" applyFont="1" applyNumberFormat="1">
      <alignment horizontal="left"/>
    </xf>
    <xf borderId="0" fillId="0" fontId="262" numFmtId="0" xfId="0" applyAlignment="1" applyFont="1">
      <alignment horizontal="left"/>
    </xf>
    <xf borderId="0" fillId="0" fontId="268" numFmtId="172" xfId="0" applyAlignment="1" applyFont="1" applyNumberFormat="1">
      <alignment horizontal="right"/>
    </xf>
    <xf borderId="0" fillId="0" fontId="268" numFmtId="178" xfId="0" applyAlignment="1" applyFont="1" applyNumberFormat="1">
      <alignment horizontal="right"/>
    </xf>
    <xf borderId="61" fillId="56" fontId="269" numFmtId="0" xfId="0" applyBorder="1" applyFill="1" applyFont="1"/>
    <xf borderId="61" fillId="56" fontId="270" numFmtId="0" xfId="0" applyBorder="1" applyFont="1"/>
    <xf borderId="61" fillId="56" fontId="269" numFmtId="176" xfId="0" applyBorder="1" applyFont="1" applyNumberFormat="1"/>
    <xf borderId="61" fillId="56" fontId="269" numFmtId="0" xfId="0" applyAlignment="1" applyBorder="1" applyFont="1">
      <alignment horizontal="right"/>
    </xf>
    <xf borderId="0" fillId="0" fontId="262" numFmtId="2" xfId="0" applyFont="1" applyNumberFormat="1"/>
    <xf borderId="0" fillId="0" fontId="262" numFmtId="172" xfId="0" applyFont="1" applyNumberFormat="1"/>
    <xf borderId="61" fillId="51" fontId="262" numFmtId="2" xfId="0" applyBorder="1" applyFont="1" applyNumberFormat="1"/>
    <xf borderId="61" fillId="56" fontId="271" numFmtId="0" xfId="0" applyAlignment="1" applyBorder="1" applyFont="1">
      <alignment vertical="center"/>
    </xf>
    <xf borderId="61" fillId="56" fontId="271" numFmtId="0" xfId="0" applyBorder="1" applyFont="1"/>
    <xf borderId="61" fillId="56" fontId="262" numFmtId="165" xfId="0" applyAlignment="1" applyBorder="1" applyFont="1" applyNumberFormat="1">
      <alignment vertical="center"/>
    </xf>
    <xf borderId="0" fillId="0" fontId="271" numFmtId="0" xfId="0" applyFont="1"/>
    <xf borderId="61" fillId="56" fontId="262" numFmtId="0" xfId="0" applyBorder="1" applyFont="1"/>
    <xf borderId="0" fillId="0" fontId="264" numFmtId="0" xfId="0" applyFont="1"/>
    <xf borderId="0" fillId="0" fontId="262" numFmtId="179" xfId="0" applyFont="1" applyNumberFormat="1"/>
    <xf borderId="0" fillId="0" fontId="272" numFmtId="0" xfId="0" applyFont="1"/>
    <xf borderId="0" fillId="0" fontId="3" numFmtId="0" xfId="0" applyAlignment="1" applyFont="1">
      <alignment horizontal="center" readingOrder="0"/>
    </xf>
    <xf borderId="0" fillId="0" fontId="273" numFmtId="0" xfId="0" applyAlignment="1" applyFont="1">
      <alignment horizontal="center" readingOrder="0"/>
    </xf>
    <xf borderId="0" fillId="0" fontId="274" numFmtId="0" xfId="0" applyAlignment="1" applyFont="1">
      <alignment horizontal="center" readingOrder="0"/>
    </xf>
    <xf borderId="0" fillId="0" fontId="275" numFmtId="0" xfId="0" applyAlignment="1" applyFont="1">
      <alignment readingOrder="0"/>
    </xf>
    <xf borderId="0" fillId="0" fontId="5" numFmtId="180" xfId="0" applyAlignment="1" applyFont="1" applyNumberFormat="1">
      <alignment readingOrder="0"/>
    </xf>
    <xf borderId="0" fillId="0" fontId="273" numFmtId="181" xfId="0" applyAlignment="1" applyFont="1" applyNumberFormat="1">
      <alignment readingOrder="0"/>
    </xf>
    <xf borderId="0" fillId="0" fontId="274" numFmtId="0" xfId="0" applyAlignment="1" applyFont="1">
      <alignment readingOrder="0"/>
    </xf>
    <xf borderId="0" fillId="0" fontId="5" numFmtId="182" xfId="0" applyAlignment="1" applyFont="1" applyNumberFormat="1">
      <alignment readingOrder="0"/>
    </xf>
    <xf borderId="0" fillId="0" fontId="5" numFmtId="183" xfId="0" applyAlignment="1" applyFont="1" applyNumberFormat="1">
      <alignment readingOrder="0"/>
    </xf>
    <xf borderId="0" fillId="0" fontId="273" numFmtId="0" xfId="0" applyFont="1"/>
    <xf borderId="0" fillId="0" fontId="274" numFmtId="0" xfId="0" applyFont="1"/>
  </cellXfs>
  <cellStyles count="1">
    <cellStyle xfId="0" name="Normal" builtinId="0"/>
  </cellStyles>
  <dxfs count="12">
    <dxf>
      <font/>
      <fill>
        <patternFill patternType="solid">
          <fgColor rgb="FFB7E1CD"/>
          <bgColor rgb="FFB7E1CD"/>
        </patternFill>
      </fill>
      <border/>
    </dxf>
    <dxf>
      <font/>
      <fill>
        <patternFill patternType="none"/>
      </fill>
      <border/>
    </dxf>
    <dxf>
      <font/>
      <fill>
        <patternFill patternType="solid">
          <fgColor rgb="FFF46524"/>
          <bgColor rgb="FFF46524"/>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rgb="FFFFCCBC"/>
          <bgColor rgb="FFFFCCBC"/>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E6DD"/>
          <bgColor rgb="FFFFE6DD"/>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tableStyles count="3">
    <tableStyle count="4" pivot="0" name="Library-style">
      <tableStyleElement dxfId="2" type="headerRow"/>
      <tableStyleElement dxfId="3" type="firstRowStripe"/>
      <tableStyleElement dxfId="4" type="secondRowStripe"/>
      <tableStyleElement dxfId="5" type="totalRow"/>
    </tableStyle>
    <tableStyle count="3" pivot="0" name="Library-style 2">
      <tableStyleElement dxfId="6" type="headerRow"/>
      <tableStyleElement dxfId="7" type="firstRowStripe"/>
      <tableStyleElement dxfId="8" type="secondRowStripe"/>
    </tableStyle>
    <tableStyle count="3" pivot="0" name="calc-style">
      <tableStyleElement dxfId="7" type="firstRowStripe"/>
      <tableStyleElement dxfId="9" type="secondRowStripe"/>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4" Type="http://schemas.openxmlformats.org/officeDocument/2006/relationships/worksheet" Target="worksheets/sheet31.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17</xdr:row>
      <xdr:rowOff>0</xdr:rowOff>
    </xdr:from>
    <xdr:ext cx="2057400" cy="1543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80</xdr:row>
      <xdr:rowOff>0</xdr:rowOff>
    </xdr:from>
    <xdr:ext cx="266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390525" cy="200025"/>
    <xdr:pic>
      <xdr:nvPicPr>
        <xdr:cNvPr descr="dasf&#10;"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390525" cy="200025"/>
    <xdr:pic>
      <xdr:nvPicPr>
        <xdr:cNvPr descr="dasf&#10;"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xdr:row>
      <xdr:rowOff>0</xdr:rowOff>
    </xdr:from>
    <xdr:ext cx="390525" cy="200025"/>
    <xdr:pic>
      <xdr:nvPicPr>
        <xdr:cNvPr descr="dasf&#10;"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390525" cy="200025"/>
    <xdr:pic>
      <xdr:nvPicPr>
        <xdr:cNvPr descr="dasf&#10;"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7</xdr:row>
      <xdr:rowOff>0</xdr:rowOff>
    </xdr:from>
    <xdr:ext cx="3905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8</xdr:row>
      <xdr:rowOff>0</xdr:rowOff>
    </xdr:from>
    <xdr:ext cx="3905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9</xdr:row>
      <xdr:rowOff>0</xdr:rowOff>
    </xdr:from>
    <xdr:ext cx="3905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101</xdr:row>
      <xdr:rowOff>0</xdr:rowOff>
    </xdr:from>
    <xdr:ext cx="3105150" cy="23145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447925" cy="7524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headerRowCount="0" ref="A1:C496" displayName="Table_1" name="Table_1" id="1">
  <tableColumns count="3">
    <tableColumn totalsRowLabel="market tide" name="Column1" id="1"/>
    <tableColumn name="Column2" id="2"/>
    <tableColumn name="Column3" id="3"/>
  </tableColumns>
  <tableStyleInfo name="Libr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G15" displayName="Table_2" name="Table_2" id="2">
  <tableColumns count="1">
    <tableColumn name="Column1" id="1"/>
  </tableColumns>
  <tableStyleInfo name="Libra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totalsRowCount="1" headerRowCount="0" ref="A55:A70" displayName="Table_3" name="Table_3" id="3">
  <tableColumns count="1">
    <tableColumn totalsRowLabel="=IF(ISBLANK(I520), INDEX(A!$A$1:$Z$10000, 2, 8), &quot;&quot;)" name="Column1" id="1"/>
  </tableColumns>
  <tableStyleInfo name="cal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iplinger.com/investing/etfs/best-growth-etfs" TargetMode="External"/><Relationship Id="rId2" Type="http://schemas.openxmlformats.org/officeDocument/2006/relationships/hyperlink" Target="https://www.ishares.com/us/literature/fact-sheet/ivw-ishares-s-p-500-growth-etf-fund-fact-sheet-en-us.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data.sec.gov" TargetMode="External"/><Relationship Id="rId3" Type="http://schemas.openxmlformats.org/officeDocument/2006/relationships/hyperlink" Target="https://www.sec.gov/cgi-bin/browse-edgar?action=getcurrent" TargetMode="External"/><Relationship Id="rId4" Type="http://schemas.openxmlformats.org/officeDocument/2006/relationships/hyperlink" Target="https://www.sec.gov/comments/s7-08-20/s70820.htm" TargetMode="External"/><Relationship Id="rId5" Type="http://schemas.openxmlformats.org/officeDocument/2006/relationships/hyperlink" Target="https://www.youtube.com/@Dividendology/search?query=stock%20watch" TargetMode="External"/><Relationship Id="rId6" Type="http://schemas.openxmlformats.org/officeDocument/2006/relationships/drawing" Target="../drawings/drawing5.xml"/><Relationship Id="rId7"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corporatefinanceinstitute.com/resources/accounting/current-liabilities/" TargetMode="External"/><Relationship Id="rId3" Type="http://schemas.openxmlformats.org/officeDocument/2006/relationships/hyperlink" Target="https://corporatefinanceinstitute.com/resources/financial-modeling/market-capitalization-template/" TargetMode="External"/><Relationship Id="rId4" Type="http://schemas.openxmlformats.org/officeDocument/2006/relationships/hyperlink" Target="https://www.sec.gov/cgi-bin/viewer?action=view&amp;cik=1483510&amp;accession_number=0001483510-23-000024&amp;xbrl_type=v" TargetMode="External"/><Relationship Id="rId10" Type="http://schemas.openxmlformats.org/officeDocument/2006/relationships/vmlDrawing" Target="../drawings/vmlDrawing6.vml"/><Relationship Id="rId9" Type="http://schemas.openxmlformats.org/officeDocument/2006/relationships/drawing" Target="../drawings/drawing10.xml"/><Relationship Id="rId5" Type="http://schemas.openxmlformats.org/officeDocument/2006/relationships/hyperlink" Target="https://www.sec.gov/cgi-bin/viewer?action=view&amp;cik=1483510&amp;accession_number=0001483510-23-000024&amp;xbrl_type=v" TargetMode="External"/><Relationship Id="rId6" Type="http://schemas.openxmlformats.org/officeDocument/2006/relationships/hyperlink" Target="https://www.sec.gov/cgi-bin/viewer?action=view&amp;cik=1483510&amp;accession_number=0001483510-23-000024&amp;xbrl_type=v" TargetMode="External"/><Relationship Id="rId7" Type="http://schemas.openxmlformats.org/officeDocument/2006/relationships/hyperlink" Target="https://www.sec.gov/cgi-bin/viewer?action=view&amp;cik=1483510&amp;accession_number=0001483510-23-000024&amp;xbrl_type=v" TargetMode="External"/><Relationship Id="rId8" Type="http://schemas.openxmlformats.org/officeDocument/2006/relationships/hyperlink" Target="https://www.sec.gov/cgi-bin/viewer?action=view&amp;cik=1483510&amp;accession_number=0001483510-23-000024&amp;xbrl_type=v"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support.google.com/docs/answer/46977?hl=en&amp;ref_topic=1361471&amp;sjid=7053362992091367995-NC" TargetMode="External"/><Relationship Id="rId3" Type="http://schemas.openxmlformats.org/officeDocument/2006/relationships/hyperlink" Target="https://support.google.com/docs/answer/46977?sjid=7053362992091367995-NC" TargetMode="External"/><Relationship Id="rId4" Type="http://schemas.openxmlformats.org/officeDocument/2006/relationships/hyperlink" Target="https://blog.portfolio123.com/what-are-the-best-value-ratios/" TargetMode="Externa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drawing" Target="../drawings/drawing11.xml"/><Relationship Id="rId6"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seekingalpha.com/article/4143240-equity-versus-debt-showdown" TargetMode="External"/><Relationship Id="rId3" Type="http://schemas.openxmlformats.org/officeDocument/2006/relationships/hyperlink" Target="https://seekingalpha.com/article/4132962-favorite-balance-sheet-ratio" TargetMode="External"/><Relationship Id="rId4" Type="http://schemas.openxmlformats.org/officeDocument/2006/relationships/hyperlink" Target="https://docs.google.com/document/u/0/d/1Tuk6ziCjLGTC-C2yMyJ95KiiPNFXGCrA4iCmPGTlRlk/edit" TargetMode="External"/><Relationship Id="rId5" Type="http://schemas.openxmlformats.org/officeDocument/2006/relationships/hyperlink" Target="https://fastercapital.com/content/Debt-to-equity-ratio--Leveraged-Leases--Balancing-Debt-to-Equity-Ratios.html" TargetMode="External"/><Relationship Id="rId6" Type="http://schemas.openxmlformats.org/officeDocument/2006/relationships/hyperlink" Target="http://pitchbook.com" TargetMode="External"/><Relationship Id="rId7" Type="http://schemas.openxmlformats.org/officeDocument/2006/relationships/drawing" Target="../drawings/drawing12.xml"/><Relationship Id="rId8"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google.com/url?sa=t&amp;rct=j&amp;q=&amp;esrc=s&amp;source=web&amp;cd=&amp;ved=2ahUKEwiK1JHbtN6EAxX2AjQIHeV-AOMQFnoECBgQAQ&amp;url=https%3A%2F%2Fdocs.mulesoft.com%2Fdataweave%2Flatest%2Fdataweave-formats-dw&amp;usg=AOvVaw2KUgPUEQbwRYvnG2s0ywyE&amp;opi=89978449" TargetMode="External"/><Relationship Id="rId3" Type="http://schemas.openxmlformats.org/officeDocument/2006/relationships/drawing" Target="../drawings/drawing13.xml"/><Relationship Id="rId4"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blog.portfolio123.com/a-stock-pickers-guide-to-benjamin-grahams-screening-rules/" TargetMode="External"/><Relationship Id="rId3" Type="http://schemas.openxmlformats.org/officeDocument/2006/relationships/drawing" Target="../drawings/drawing14.xml"/><Relationship Id="rId4"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www.sec.gov/cgi-bin/browse-edgar?action=getcurrent" TargetMode="External"/><Relationship Id="rId3" Type="http://schemas.openxmlformats.org/officeDocument/2006/relationships/drawing" Target="../drawings/drawing15.xml"/><Relationship Id="rId4" Type="http://schemas.openxmlformats.org/officeDocument/2006/relationships/vmlDrawing" Target="../drawings/vmlDrawing11.vml"/><Relationship Id="rId6"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insidertracking.com/" TargetMode="External"/><Relationship Id="rId3" Type="http://schemas.openxmlformats.org/officeDocument/2006/relationships/hyperlink" Target="http://flex.io/" TargetMode="External"/><Relationship Id="rId4" Type="http://schemas.openxmlformats.org/officeDocument/2006/relationships/drawing" Target="../drawings/drawing18.xml"/><Relationship Id="rId5"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deepsailcapital.com/_files/ugd/50dba3_a0c7512782854335bf671e5834a0f711.pdf" TargetMode="External"/><Relationship Id="rId2" Type="http://schemas.openxmlformats.org/officeDocument/2006/relationships/hyperlink" Target="https://twitter.com/search?q=%24LBTYA&amp;src=cashtag_click"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0.xml"/><Relationship Id="rId3"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1.xml"/><Relationship Id="rId3"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investopedia.com/terms/v/vix.asp" TargetMode="External"/><Relationship Id="rId2" Type="http://schemas.openxmlformats.org/officeDocument/2006/relationships/hyperlink" Target="https://www.investopedia.com/terms/e/exit-point.asp"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docs.google.com/spreadsheets/d/1h7HWc7dn2hRFr6cUpSIBBXGfcgUcEIlmX9RLcEmj8QQ/copy" TargetMode="External"/><Relationship Id="rId3" Type="http://schemas.openxmlformats.org/officeDocument/2006/relationships/hyperlink" Target="https://support.google.com/docs/answer/3093318?hl=en" TargetMode="External"/><Relationship Id="rId4" Type="http://schemas.openxmlformats.org/officeDocument/2006/relationships/hyperlink" Target="https://support.google.com/docs/answer/3093378" TargetMode="External"/><Relationship Id="rId5" Type="http://schemas.openxmlformats.org/officeDocument/2006/relationships/hyperlink" Target="https://support.google.com/docs/answer/3093379" TargetMode="External"/><Relationship Id="rId6" Type="http://schemas.openxmlformats.org/officeDocument/2006/relationships/drawing" Target="../drawings/drawing28.xml"/><Relationship Id="rId7"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www.stern.nyu.edu/~adamodar/New_Home_Page/data.html"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392" Type="http://schemas.openxmlformats.org/officeDocument/2006/relationships/hyperlink" Target="https://www.govinfo.gov/content/pkg/FR-2003-07-31/pdf/03-19675.pdf" TargetMode="External"/><Relationship Id="rId391" Type="http://schemas.openxmlformats.org/officeDocument/2006/relationships/hyperlink" Target="https://www.federalregister.gov/documents/2003/07/31/03-19675/homeland-security-information-sharing" TargetMode="External"/><Relationship Id="rId390" Type="http://schemas.openxmlformats.org/officeDocument/2006/relationships/hyperlink" Target="https://www.govinfo.gov/content/pkg/FR-2003-07-30/pdf/03-19573.pdf" TargetMode="External"/><Relationship Id="rId1" Type="http://schemas.openxmlformats.org/officeDocument/2006/relationships/hyperlink" Target="https://www.federalregister.gov/documents/1999/04/05/99-8433/identification-of-trade-expansion-priorities-and-discriminatory-procurement-practices" TargetMode="External"/><Relationship Id="rId2" Type="http://schemas.openxmlformats.org/officeDocument/2006/relationships/hyperlink" Target="https://www.govinfo.gov/content/pkg/FR-1999-04-05/pdf/99-8433.pdf" TargetMode="External"/><Relationship Id="rId3" Type="http://schemas.openxmlformats.org/officeDocument/2006/relationships/hyperlink" Target="https://www.federalregister.gov/documents/1999/04/05/99-8509/further-amendment-to-executive-order-12981-as-amended" TargetMode="External"/><Relationship Id="rId4" Type="http://schemas.openxmlformats.org/officeDocument/2006/relationships/hyperlink" Target="https://www.govinfo.gov/content/pkg/FR-1999-04-05/pdf/99-8509.pdf" TargetMode="External"/><Relationship Id="rId9" Type="http://schemas.openxmlformats.org/officeDocument/2006/relationships/hyperlink" Target="https://www.federalregister.gov/documents/1999/04/29/99-10901/ordering-the-selected-reserve-and-certain-individual-ready-reserve-members-of-the-armed-forces-to" TargetMode="External"/><Relationship Id="rId385" Type="http://schemas.openxmlformats.org/officeDocument/2006/relationships/hyperlink" Target="https://www.federalregister.gov/documents/2003/06/24/03-16102/further-amendment-to-executive-order-12580-as-amended-superfund-implementation" TargetMode="External"/><Relationship Id="rId384" Type="http://schemas.openxmlformats.org/officeDocument/2006/relationships/hyperlink" Target="https://www.govinfo.gov/content/pkg/FR-2003-06-03/pdf/03-14117.pdf" TargetMode="External"/><Relationship Id="rId383" Type="http://schemas.openxmlformats.org/officeDocument/2006/relationships/hyperlink" Target="https://www.federalregister.gov/documents/2003/06/03/03-14117/european-central-bank" TargetMode="External"/><Relationship Id="rId382" Type="http://schemas.openxmlformats.org/officeDocument/2006/relationships/hyperlink" Target="https://www.govinfo.gov/content/pkg/FR-2003-06-03/pdf/03-14116.pdf" TargetMode="External"/><Relationship Id="rId5" Type="http://schemas.openxmlformats.org/officeDocument/2006/relationships/hyperlink" Target="https://www.federalregister.gov/documents/1999/04/05/99-8547/implementation-of-the-foreign-affairs-reform-and-restructuring-act-of-1998" TargetMode="External"/><Relationship Id="rId389" Type="http://schemas.openxmlformats.org/officeDocument/2006/relationships/hyperlink" Target="https://www.federalregister.gov/documents/2003/07/30/03-19573/blocking-property-of-the-government-of-burma-and-prohibiting-certain-transactions" TargetMode="External"/><Relationship Id="rId6" Type="http://schemas.openxmlformats.org/officeDocument/2006/relationships/hyperlink" Target="https://www.govinfo.gov/content/pkg/FR-1999-04-05/pdf/99-8547.pdf" TargetMode="External"/><Relationship Id="rId388" Type="http://schemas.openxmlformats.org/officeDocument/2006/relationships/hyperlink" Target="https://www.govinfo.gov/content/pkg/FR-2003-07-30/pdf/03-19572.pdf" TargetMode="External"/><Relationship Id="rId7" Type="http://schemas.openxmlformats.org/officeDocument/2006/relationships/hyperlink" Target="https://www.federalregister.gov/documents/1999/04/16/99-9738/designation-of-federal-republic-of-yugoslavia-serbiamontenegro-albania-the-airspace-above-and" TargetMode="External"/><Relationship Id="rId387" Type="http://schemas.openxmlformats.org/officeDocument/2006/relationships/hyperlink" Target="https://www.federalregister.gov/documents/2003/07/30/03-19572/amendments-to-executive-order-12994-and-renaming-the-presidents-committee-on-mental-retardation-as" TargetMode="External"/><Relationship Id="rId8" Type="http://schemas.openxmlformats.org/officeDocument/2006/relationships/hyperlink" Target="https://www.govinfo.gov/content/pkg/FR-1999-04-16/pdf/99-9738.pdf" TargetMode="External"/><Relationship Id="rId386" Type="http://schemas.openxmlformats.org/officeDocument/2006/relationships/hyperlink" Target="https://www.govinfo.gov/content/pkg/FR-2003-06-24/pdf/03-16102.pdf" TargetMode="External"/><Relationship Id="rId381" Type="http://schemas.openxmlformats.org/officeDocument/2006/relationships/hyperlink" Target="https://www.federalregister.gov/documents/2003/06/03/03-14116/establishing-the-bob-hope-american-patriot-award" TargetMode="External"/><Relationship Id="rId380" Type="http://schemas.openxmlformats.org/officeDocument/2006/relationships/hyperlink" Target="https://www.govinfo.gov/content/pkg/FR-2003-05-30/pdf/03-13750.pdf" TargetMode="External"/><Relationship Id="rId379" Type="http://schemas.openxmlformats.org/officeDocument/2006/relationships/hyperlink" Target="https://www.federalregister.gov/documents/2003/05/30/03-13750/extension-of-the-presidents-information-technology-advisory-committee-and-the-presidents-council-of" TargetMode="External"/><Relationship Id="rId374" Type="http://schemas.openxmlformats.org/officeDocument/2006/relationships/hyperlink" Target="https://www.govinfo.gov/content/pkg/FR-2003-05-20/pdf/03-12766.pdf" TargetMode="External"/><Relationship Id="rId373" Type="http://schemas.openxmlformats.org/officeDocument/2006/relationships/hyperlink" Target="https://www.federalregister.gov/documents/2003/05/20/03-12766/amending-executive-order-13212-actions-to-expedite-energy-related-projects" TargetMode="External"/><Relationship Id="rId372" Type="http://schemas.openxmlformats.org/officeDocument/2006/relationships/hyperlink" Target="https://www.govinfo.gov/content/pkg/FR-2003-05-19/pdf/03-12661.pdf" TargetMode="External"/><Relationship Id="rId371" Type="http://schemas.openxmlformats.org/officeDocument/2006/relationships/hyperlink" Target="https://www.federalregister.gov/documents/2003/05/19/03-12661/increasing-the-number-of-members-on-the-intelligence-oversight-board" TargetMode="External"/><Relationship Id="rId378" Type="http://schemas.openxmlformats.org/officeDocument/2006/relationships/hyperlink" Target="https://www.govinfo.gov/content/pkg/FR-2003-05-29/pdf/03-13694.pdf" TargetMode="External"/><Relationship Id="rId377" Type="http://schemas.openxmlformats.org/officeDocument/2006/relationships/hyperlink" Target="https://www.federalregister.gov/documents/2003/05/29/03-13694/termination-of-emergencies-with-respect-to-yugoslavia-and-modification-of-executive-order-13219-of" TargetMode="External"/><Relationship Id="rId376" Type="http://schemas.openxmlformats.org/officeDocument/2006/relationships/hyperlink" Target="https://www.govinfo.gov/content/pkg/FR-2003-05-28/pdf/03-13412.pdf" TargetMode="External"/><Relationship Id="rId375" Type="http://schemas.openxmlformats.org/officeDocument/2006/relationships/hyperlink" Target="https://www.federalregister.gov/documents/2003/05/28/03-13412/protecting-the-development-fund-for-iraq-and-certain-other-property-in-which-iraq-has-an-interest" TargetMode="External"/><Relationship Id="rId396" Type="http://schemas.openxmlformats.org/officeDocument/2006/relationships/hyperlink" Target="https://www.govinfo.gov/content/pkg/FR-2003-08-05/pdf/03-20013.pdf" TargetMode="External"/><Relationship Id="rId395" Type="http://schemas.openxmlformats.org/officeDocument/2006/relationships/hyperlink" Target="https://www.federalregister.gov/documents/2003/08/05/03-20013/delegation-of-certain-congressional-reporting-functions" TargetMode="External"/><Relationship Id="rId394" Type="http://schemas.openxmlformats.org/officeDocument/2006/relationships/hyperlink" Target="https://www.govinfo.gov/content/pkg/FR-2003-07-31/pdf/03-19676.pdf" TargetMode="External"/><Relationship Id="rId393" Type="http://schemas.openxmlformats.org/officeDocument/2006/relationships/hyperlink" Target="https://www.federalregister.gov/documents/2003/07/31/03-19676/implementing-the-clean-diamond-trade-act" TargetMode="External"/><Relationship Id="rId399" Type="http://schemas.openxmlformats.org/officeDocument/2006/relationships/hyperlink" Target="https://www.federalregister.gov/documents/2003/09/03/03-22543/blocking-property-of-the-former-iraqi-regime-its-senior-officials-and-their-family-members-and" TargetMode="External"/><Relationship Id="rId398" Type="http://schemas.openxmlformats.org/officeDocument/2006/relationships/hyperlink" Target="https://www.govinfo.gov/content/pkg/FR-2003-08-13/pdf/03-20764.pdf" TargetMode="External"/><Relationship Id="rId397" Type="http://schemas.openxmlformats.org/officeDocument/2006/relationships/hyperlink" Target="https://www.federalregister.gov/documents/2003/08/13/03-20764/waiver-under-the-trade-act-of-1974-with-respect-to-turkmenistan" TargetMode="External"/><Relationship Id="rId1730" Type="http://schemas.openxmlformats.org/officeDocument/2006/relationships/hyperlink" Target="https://www.govinfo.gov/content/pkg/FR-2021-01-22/pdf/2021-01644.pdf" TargetMode="External"/><Relationship Id="rId1731" Type="http://schemas.openxmlformats.org/officeDocument/2006/relationships/hyperlink" Target="https://www.federalregister.gov/documents/2021/01/22/2021-01645/protecting-americans-from-overcriminalization-through-regulatory-reform" TargetMode="External"/><Relationship Id="rId1732" Type="http://schemas.openxmlformats.org/officeDocument/2006/relationships/hyperlink" Target="https://www.govinfo.gov/content/pkg/FR-2021-01-22/pdf/2021-01645.pdf" TargetMode="External"/><Relationship Id="rId1733" Type="http://schemas.openxmlformats.org/officeDocument/2006/relationships/hyperlink" Target="https://www.federalregister.gov/documents/2021/01/22/2021-01646/protecting-the-united-states-from-certain-unmanned-aircraft-systems" TargetMode="External"/><Relationship Id="rId1734" Type="http://schemas.openxmlformats.org/officeDocument/2006/relationships/hyperlink" Target="https://www.govinfo.gov/content/pkg/FR-2021-01-22/pdf/2021-01646.pdf" TargetMode="External"/><Relationship Id="rId1735" Type="http://schemas.openxmlformats.org/officeDocument/2006/relationships/hyperlink" Target="https://www.federalregister.gov/documents/2021/01/25/2021-01712/care-of-veterans-with-service-in-uzbekistan" TargetMode="External"/><Relationship Id="rId1736" Type="http://schemas.openxmlformats.org/officeDocument/2006/relationships/hyperlink" Target="https://www.govinfo.gov/content/pkg/FR-2021-01-25/pdf/2021-01712.pdf" TargetMode="External"/><Relationship Id="rId1737" Type="http://schemas.openxmlformats.org/officeDocument/2006/relationships/hyperlink" Target="https://www.federalregister.gov/documents/2021/01/25/2021-01713/revocation-of-executive-order-13770" TargetMode="External"/><Relationship Id="rId1738" Type="http://schemas.openxmlformats.org/officeDocument/2006/relationships/hyperlink" Target="https://www.govinfo.gov/content/pkg/FR-2021-01-25/pdf/2021-01713.pdf" TargetMode="External"/><Relationship Id="rId1739" Type="http://schemas.openxmlformats.org/officeDocument/2006/relationships/hyperlink" Target="https://www.federalregister.gov/documents/2021/01/25/2021-01714/taking-additional-steps-to-address-the-national-emergency-with-respect-to-significant-malicious" TargetMode="External"/><Relationship Id="rId1720" Type="http://schemas.openxmlformats.org/officeDocument/2006/relationships/hyperlink" Target="https://www.govinfo.gov/content/pkg/FR-2021-01-19/pdf/2021-01228.pdf" TargetMode="External"/><Relationship Id="rId1721" Type="http://schemas.openxmlformats.org/officeDocument/2006/relationships/hyperlink" Target="https://www.federalregister.gov/documents/2021/01/21/2021-01469/encouraging-buy-american-policies-for-the-united-states-postal-service" TargetMode="External"/><Relationship Id="rId1722" Type="http://schemas.openxmlformats.org/officeDocument/2006/relationships/hyperlink" Target="https://www.govinfo.gov/content/pkg/FR-2021-01-21/pdf/2021-01469.pdf" TargetMode="External"/><Relationship Id="rId1723" Type="http://schemas.openxmlformats.org/officeDocument/2006/relationships/hyperlink" Target="https://www.federalregister.gov/documents/2021/01/21/2021-01476/establishing-the-wildland-fire-management-policy-committee" TargetMode="External"/><Relationship Id="rId1724" Type="http://schemas.openxmlformats.org/officeDocument/2006/relationships/hyperlink" Target="https://www.govinfo.gov/content/pkg/FR-2021-01-21/pdf/2021-01476.pdf" TargetMode="External"/><Relationship Id="rId1725" Type="http://schemas.openxmlformats.org/officeDocument/2006/relationships/hyperlink" Target="https://www.federalregister.gov/documents/2021/01/22/2021-01635/protecting-law-enforcement-officers-judges-prosecutors-and-their-families" TargetMode="External"/><Relationship Id="rId1726" Type="http://schemas.openxmlformats.org/officeDocument/2006/relationships/hyperlink" Target="https://www.govinfo.gov/content/pkg/FR-2021-01-22/pdf/2021-01635.pdf" TargetMode="External"/><Relationship Id="rId1727" Type="http://schemas.openxmlformats.org/officeDocument/2006/relationships/hyperlink" Target="https://www.federalregister.gov/documents/2021/01/22/2021-01643/building-the-national-garden-of-american-heroes" TargetMode="External"/><Relationship Id="rId1728" Type="http://schemas.openxmlformats.org/officeDocument/2006/relationships/hyperlink" Target="https://www.govinfo.gov/content/pkg/FR-2021-01-22/pdf/2021-01643.pdf" TargetMode="External"/><Relationship Id="rId1729" Type="http://schemas.openxmlformats.org/officeDocument/2006/relationships/hyperlink" Target="https://www.federalregister.gov/documents/2021/01/22/2021-01644/ensuring-democratic-accountability-in-agency-rulemaking" TargetMode="External"/><Relationship Id="rId1752" Type="http://schemas.openxmlformats.org/officeDocument/2006/relationships/hyperlink" Target="https://www.govinfo.gov/content/pkg/FR-2021-01-25/pdf/2021-01765.pdf" TargetMode="External"/><Relationship Id="rId1753" Type="http://schemas.openxmlformats.org/officeDocument/2006/relationships/hyperlink" Target="https://www.federalregister.gov/documents/2021/01/25/2021-01766/protecting-the-federal-workforce-and-requiring-mask-wearing" TargetMode="External"/><Relationship Id="rId1754" Type="http://schemas.openxmlformats.org/officeDocument/2006/relationships/hyperlink" Target="https://www.govinfo.gov/content/pkg/FR-2021-01-25/pdf/2021-01766.pdf" TargetMode="External"/><Relationship Id="rId1755" Type="http://schemas.openxmlformats.org/officeDocument/2006/relationships/hyperlink" Target="https://www.federalregister.gov/documents/2021/01/25/2021-01767/revocation-of-certain-executive-orders-concerning-federal-regulation" TargetMode="External"/><Relationship Id="rId1756" Type="http://schemas.openxmlformats.org/officeDocument/2006/relationships/hyperlink" Target="https://www.govinfo.gov/content/pkg/FR-2021-01-25/pdf/2021-01767.pdf" TargetMode="External"/><Relationship Id="rId1757" Type="http://schemas.openxmlformats.org/officeDocument/2006/relationships/hyperlink" Target="https://www.federalregister.gov/documents/2021/01/25/2021-01768/revision-of-civil-immigration-enforcement-policies-and-priorities" TargetMode="External"/><Relationship Id="rId1758" Type="http://schemas.openxmlformats.org/officeDocument/2006/relationships/hyperlink" Target="https://www.govinfo.gov/content/pkg/FR-2021-01-25/pdf/2021-01768.pdf" TargetMode="External"/><Relationship Id="rId1759" Type="http://schemas.openxmlformats.org/officeDocument/2006/relationships/hyperlink" Target="https://www.federalregister.gov/documents/2021/01/26/2021-01849/ensuring-a-data-driven-response-to-covid-19-and-future-high-consequence-public-health-threats" TargetMode="External"/><Relationship Id="rId808" Type="http://schemas.openxmlformats.org/officeDocument/2006/relationships/hyperlink" Target="https://www.govinfo.gov/content/pkg/FR-2009-11-19/pdf/E9-28022.pdf" TargetMode="External"/><Relationship Id="rId807" Type="http://schemas.openxmlformats.org/officeDocument/2006/relationships/hyperlink" Target="https://www.federalregister.gov/documents/2009/11/19/E9-28022/establishment-of-the-financial-fraud-enforcement-task-force" TargetMode="External"/><Relationship Id="rId806" Type="http://schemas.openxmlformats.org/officeDocument/2006/relationships/hyperlink" Target="https://www.govinfo.gov/content/pkg/FR-2009-11-13/pdf/E9-27441.pdf" TargetMode="External"/><Relationship Id="rId805" Type="http://schemas.openxmlformats.org/officeDocument/2006/relationships/hyperlink" Target="https://www.federalregister.gov/documents/2009/11/13/E9-27441/employment-of-veterans-in-the-federal-government" TargetMode="External"/><Relationship Id="rId809" Type="http://schemas.openxmlformats.org/officeDocument/2006/relationships/hyperlink" Target="https://www.federalregister.gov/documents/2009/11/25/E9-28493/reducing-improper-payments" TargetMode="External"/><Relationship Id="rId800" Type="http://schemas.openxmlformats.org/officeDocument/2006/relationships/hyperlink" Target="https://www.govinfo.gov/content/pkg/FR-2009-10-19/pdf/E9-25268.pdf" TargetMode="External"/><Relationship Id="rId804" Type="http://schemas.openxmlformats.org/officeDocument/2006/relationships/hyperlink" Target="https://www.govinfo.gov/content/pkg/FR-2009-11-05/pdf/E9-26834.pdf" TargetMode="External"/><Relationship Id="rId803" Type="http://schemas.openxmlformats.org/officeDocument/2006/relationships/hyperlink" Target="https://www.federalregister.gov/documents/2009/11/05/E9-26834/amendments-to-executive-orders-13183-and-13494" TargetMode="External"/><Relationship Id="rId802" Type="http://schemas.openxmlformats.org/officeDocument/2006/relationships/hyperlink" Target="https://www.govinfo.gov/content/pkg/FR-2009-11-02/pdf/E9-26408.pdf" TargetMode="External"/><Relationship Id="rId801" Type="http://schemas.openxmlformats.org/officeDocument/2006/relationships/hyperlink" Target="https://www.federalregister.gov/documents/2009/11/02/E9-26408/amending-executive-order-13462" TargetMode="External"/><Relationship Id="rId1750" Type="http://schemas.openxmlformats.org/officeDocument/2006/relationships/hyperlink" Target="https://www.govinfo.gov/content/pkg/FR-2021-01-25/pdf/2021-01762.pdf" TargetMode="External"/><Relationship Id="rId1751" Type="http://schemas.openxmlformats.org/officeDocument/2006/relationships/hyperlink" Target="https://www.federalregister.gov/documents/2021/01/25/2021-01765/protecting-public-health-and-the-environment-and-restoring-science-to-tackle-the-climate-crisis" TargetMode="External"/><Relationship Id="rId1741" Type="http://schemas.openxmlformats.org/officeDocument/2006/relationships/hyperlink" Target="https://www.federalregister.gov/documents/2021/01/25/2021-01753/advancing-racial-equity-and-support-for-underserved-communities-through-the-federal-government" TargetMode="External"/><Relationship Id="rId1742" Type="http://schemas.openxmlformats.org/officeDocument/2006/relationships/hyperlink" Target="https://www.govinfo.gov/content/pkg/FR-2021-01-25/pdf/2021-01753.pdf" TargetMode="External"/><Relationship Id="rId1743" Type="http://schemas.openxmlformats.org/officeDocument/2006/relationships/hyperlink" Target="https://www.federalregister.gov/documents/2021/01/25/2021-01755/ensuring-a-lawful-and-accurate-enumeration-and-apportionment-pursuant-to-the-decennial-census" TargetMode="External"/><Relationship Id="rId1744" Type="http://schemas.openxmlformats.org/officeDocument/2006/relationships/hyperlink" Target="https://www.govinfo.gov/content/pkg/FR-2021-01-25/pdf/2021-01755.pdf" TargetMode="External"/><Relationship Id="rId1745" Type="http://schemas.openxmlformats.org/officeDocument/2006/relationships/hyperlink" Target="https://www.federalregister.gov/documents/2021/01/25/2021-01759/organizing-and-mobilizing-the-united-states-government-to-provide-a-unified-and-effective-response" TargetMode="External"/><Relationship Id="rId1746" Type="http://schemas.openxmlformats.org/officeDocument/2006/relationships/hyperlink" Target="https://www.govinfo.gov/content/pkg/FR-2021-01-25/pdf/2021-01759.pdf" TargetMode="External"/><Relationship Id="rId1747" Type="http://schemas.openxmlformats.org/officeDocument/2006/relationships/hyperlink" Target="https://www.federalregister.gov/documents/2021/01/25/2021-01761/preventing-and-combating-discrimination-on-the-basis-of-gender-identity-or-sexual-orientation" TargetMode="External"/><Relationship Id="rId1748" Type="http://schemas.openxmlformats.org/officeDocument/2006/relationships/hyperlink" Target="https://www.govinfo.gov/content/pkg/FR-2021-01-25/pdf/2021-01761.pdf" TargetMode="External"/><Relationship Id="rId1749" Type="http://schemas.openxmlformats.org/officeDocument/2006/relationships/hyperlink" Target="https://www.federalregister.gov/documents/2021/01/25/2021-01762/ethics-commitments-by-executive-branch-personnel" TargetMode="External"/><Relationship Id="rId1740" Type="http://schemas.openxmlformats.org/officeDocument/2006/relationships/hyperlink" Target="https://www.govinfo.gov/content/pkg/FR-2021-01-25/pdf/2021-01714.pdf" TargetMode="External"/><Relationship Id="rId1710" Type="http://schemas.openxmlformats.org/officeDocument/2006/relationships/hyperlink" Target="https://www.govinfo.gov/content/pkg/FR-2021-01-04/pdf/2020-29235.pdf" TargetMode="External"/><Relationship Id="rId1711" Type="http://schemas.openxmlformats.org/officeDocument/2006/relationships/hyperlink" Target="https://www.federalregister.gov/documents/2021/01/06/2021-00040/adjustments-of-certain-rates-of-pay" TargetMode="External"/><Relationship Id="rId1712" Type="http://schemas.openxmlformats.org/officeDocument/2006/relationships/hyperlink" Target="https://www.govinfo.gov/content/pkg/FR-2021-01-06/pdf/2021-00040.pdf" TargetMode="External"/><Relationship Id="rId1713" Type="http://schemas.openxmlformats.org/officeDocument/2006/relationships/hyperlink" Target="https://www.federalregister.gov/documents/2021/01/08/2021-00305/addressing-the-threat-posed-by-applications-and-other-software-developed-or-controlled-by-chinese" TargetMode="External"/><Relationship Id="rId1714" Type="http://schemas.openxmlformats.org/officeDocument/2006/relationships/hyperlink" Target="https://www.govinfo.gov/content/pkg/FR-2021-01-08/pdf/2021-00305.pdf" TargetMode="External"/><Relationship Id="rId1715" Type="http://schemas.openxmlformats.org/officeDocument/2006/relationships/hyperlink" Target="https://www.federalregister.gov/documents/2021/01/14/2021-01013/promoting-small-modular-reactors-for-national-defense-and-space-exploration" TargetMode="External"/><Relationship Id="rId1716" Type="http://schemas.openxmlformats.org/officeDocument/2006/relationships/hyperlink" Target="https://www.govinfo.gov/content/pkg/FR-2021-01-14/pdf/2021-01013.pdf" TargetMode="External"/><Relationship Id="rId1717" Type="http://schemas.openxmlformats.org/officeDocument/2006/relationships/hyperlink" Target="https://www.federalregister.gov/documents/2021/01/15/2021-01094/providing-an-order-of-succession-within-the-environmental-protection-agency" TargetMode="External"/><Relationship Id="rId1718" Type="http://schemas.openxmlformats.org/officeDocument/2006/relationships/hyperlink" Target="https://www.govinfo.gov/content/pkg/FR-2021-01-15/pdf/2021-01094.pdf" TargetMode="External"/><Relationship Id="rId1719" Type="http://schemas.openxmlformats.org/officeDocument/2006/relationships/hyperlink" Target="https://www.federalregister.gov/documents/2021/01/19/2021-01228/amending-executive-order-13959addressing-the-threat-from-securities-investments-that-finance" TargetMode="External"/><Relationship Id="rId1700" Type="http://schemas.openxmlformats.org/officeDocument/2006/relationships/hyperlink" Target="https://www.govinfo.gov/content/pkg/FR-2020-12-15/pdf/2020-27740.pdf" TargetMode="External"/><Relationship Id="rId1701" Type="http://schemas.openxmlformats.org/officeDocument/2006/relationships/hyperlink" Target="https://www.federalregister.gov/documents/2020/12/16/2020-27807/providing-for-the-closing-of-executive-departments-and-agencies-of-the-federal-government-on" TargetMode="External"/><Relationship Id="rId1702" Type="http://schemas.openxmlformats.org/officeDocument/2006/relationships/hyperlink" Target="https://www.govinfo.gov/content/pkg/FR-2020-12-16/pdf/2020-27807.pdf" TargetMode="External"/><Relationship Id="rId1703" Type="http://schemas.openxmlformats.org/officeDocument/2006/relationships/hyperlink" Target="https://www.federalregister.gov/documents/2020/12/17/2020-27948/increasing-economic-and-geographic-mobility" TargetMode="External"/><Relationship Id="rId1704" Type="http://schemas.openxmlformats.org/officeDocument/2006/relationships/hyperlink" Target="https://www.govinfo.gov/content/pkg/FR-2020-12-17/pdf/2020-27948.pdf" TargetMode="External"/><Relationship Id="rId1705" Type="http://schemas.openxmlformats.org/officeDocument/2006/relationships/hyperlink" Target="https://www.federalregister.gov/documents/2020/12/23/2020-28605/promoting-beautiful-federal-civic-architecture" TargetMode="External"/><Relationship Id="rId1706" Type="http://schemas.openxmlformats.org/officeDocument/2006/relationships/hyperlink" Target="https://www.govinfo.gov/content/pkg/FR-2020-12-23/pdf/2020-28605.pdf" TargetMode="External"/><Relationship Id="rId1707" Type="http://schemas.openxmlformats.org/officeDocument/2006/relationships/hyperlink" Target="https://www.federalregister.gov/documents/2020/12/23/2020-28606/promoting-redemption-of-savings-bonds" TargetMode="External"/><Relationship Id="rId1708" Type="http://schemas.openxmlformats.org/officeDocument/2006/relationships/hyperlink" Target="https://www.govinfo.gov/content/pkg/FR-2020-12-23/pdf/2020-28606.pdf" TargetMode="External"/><Relationship Id="rId1709" Type="http://schemas.openxmlformats.org/officeDocument/2006/relationships/hyperlink" Target="https://www.federalregister.gov/documents/2021/01/04/2020-29235/expanding-educational-opportunity-through-school-choice" TargetMode="External"/><Relationship Id="rId40" Type="http://schemas.openxmlformats.org/officeDocument/2006/relationships/hyperlink" Target="https://www.govinfo.gov/content/pkg/FR-1999-08-31/pdf/99-22778.pdf" TargetMode="External"/><Relationship Id="rId1334" Type="http://schemas.openxmlformats.org/officeDocument/2006/relationships/hyperlink" Target="https://www.govinfo.gov/content/pkg/FR-2017-03-16/pdf/2017-05399.pdf" TargetMode="External"/><Relationship Id="rId1335" Type="http://schemas.openxmlformats.org/officeDocument/2006/relationships/hyperlink" Target="https://www.federalregister.gov/documents/2017/03/30/2017-06382/revocation-of-federal-contracting-executive-orders" TargetMode="External"/><Relationship Id="rId42" Type="http://schemas.openxmlformats.org/officeDocument/2006/relationships/hyperlink" Target="https://www.govinfo.gov/content/pkg/FR-1999-09-08/pdf/99-23508.pdf" TargetMode="External"/><Relationship Id="rId1336" Type="http://schemas.openxmlformats.org/officeDocument/2006/relationships/hyperlink" Target="https://www.govinfo.gov/content/pkg/FR-2017-03-30/pdf/2017-06382.pdf" TargetMode="External"/><Relationship Id="rId41" Type="http://schemas.openxmlformats.org/officeDocument/2006/relationships/hyperlink" Target="https://www.federalregister.gov/documents/1999/09/08/99-23508/amendment-to-executive-order-13090-presidents-commission-on-the-celebration-of-women-in-american" TargetMode="External"/><Relationship Id="rId1337" Type="http://schemas.openxmlformats.org/officeDocument/2006/relationships/hyperlink" Target="https://www.federalregister.gov/documents/2017/03/31/2017-06576/promoting-energy-independence-and-economic-growth" TargetMode="External"/><Relationship Id="rId44" Type="http://schemas.openxmlformats.org/officeDocument/2006/relationships/hyperlink" Target="https://www.govinfo.gov/content/pkg/FR-1999-09-20/pdf/99-24582.pdf" TargetMode="External"/><Relationship Id="rId1338" Type="http://schemas.openxmlformats.org/officeDocument/2006/relationships/hyperlink" Target="https://www.govinfo.gov/content/pkg/FR-2017-03-31/pdf/2017-06576.pdf" TargetMode="External"/><Relationship Id="rId43" Type="http://schemas.openxmlformats.org/officeDocument/2006/relationships/hyperlink" Target="https://www.federalregister.gov/documents/1999/09/20/99-24582/amendment-to-executive-order-12975-as-amended-national-bioethics-advisory-commission" TargetMode="External"/><Relationship Id="rId1339" Type="http://schemas.openxmlformats.org/officeDocument/2006/relationships/hyperlink" Target="https://www.federalregister.gov/documents/2017/04/03/2017-06716/establishing-the-presidents-commission-on-combating-drug-addiction-and-the-opioid-crisis" TargetMode="External"/><Relationship Id="rId46" Type="http://schemas.openxmlformats.org/officeDocument/2006/relationships/hyperlink" Target="https://www.govinfo.gov/content/pkg/FR-1999-10-04/pdf/99-25958.pdf" TargetMode="External"/><Relationship Id="rId45" Type="http://schemas.openxmlformats.org/officeDocument/2006/relationships/hyperlink" Target="https://www.federalregister.gov/documents/1999/10/04/99-25958/continuance-of-certain-federal-advisory-committees" TargetMode="External"/><Relationship Id="rId745" Type="http://schemas.openxmlformats.org/officeDocument/2006/relationships/hyperlink" Target="https://www.federalregister.gov/documents/2009/01/22/E9-1574/granting-reciprocity-on-excepted-service-and-federal-contractor-employee-fitness-and-reinvestigating" TargetMode="External"/><Relationship Id="rId744" Type="http://schemas.openxmlformats.org/officeDocument/2006/relationships/hyperlink" Target="https://www.govinfo.gov/content/pkg/FR-2009-01-22/pdf/E9-1538.pdf" TargetMode="External"/><Relationship Id="rId743" Type="http://schemas.openxmlformats.org/officeDocument/2006/relationships/hyperlink" Target="https://www.federalregister.gov/documents/2009/01/22/E9-1538/establishment-of-a-temporary-organization-to-facilitate-united-states-government-support-for" TargetMode="External"/><Relationship Id="rId742" Type="http://schemas.openxmlformats.org/officeDocument/2006/relationships/hyperlink" Target="https://www.govinfo.gov/content/pkg/FR-2009-01-14/pdf/E9-818.pdf" TargetMode="External"/><Relationship Id="rId749" Type="http://schemas.openxmlformats.org/officeDocument/2006/relationships/hyperlink" Target="https://www.federalregister.gov/documents/2009/01/26/E9-1719/ethics-commitments-by-executive-branch-personnel" TargetMode="External"/><Relationship Id="rId748" Type="http://schemas.openxmlformats.org/officeDocument/2006/relationships/hyperlink" Target="https://www.govinfo.gov/content/pkg/FR-2009-01-26/pdf/E9-1712.pdf" TargetMode="External"/><Relationship Id="rId747" Type="http://schemas.openxmlformats.org/officeDocument/2006/relationships/hyperlink" Target="https://www.federalregister.gov/documents/2009/01/26/E9-1712/presidential-records" TargetMode="External"/><Relationship Id="rId746" Type="http://schemas.openxmlformats.org/officeDocument/2006/relationships/hyperlink" Target="https://www.govinfo.gov/content/pkg/FR-2009-01-22/pdf/E9-1574.pdf" TargetMode="External"/><Relationship Id="rId48" Type="http://schemas.openxmlformats.org/officeDocument/2006/relationships/hyperlink" Target="https://www.govinfo.gov/content/pkg/FR-1999-10-05/pdf/99-26078.pdf" TargetMode="External"/><Relationship Id="rId47" Type="http://schemas.openxmlformats.org/officeDocument/2006/relationships/hyperlink" Target="https://www.federalregister.gov/documents/1999/10/05/99-26078/improving-health-protection-of-military-personnel-participating-in-particular-military-operations" TargetMode="External"/><Relationship Id="rId49" Type="http://schemas.openxmlformats.org/officeDocument/2006/relationships/hyperlink" Target="https://www.federalregister.gov/documents/1999/10/12/99-26670/1999-amendments-to-the-manual-for-courts-martial-united-states" TargetMode="External"/><Relationship Id="rId741" Type="http://schemas.openxmlformats.org/officeDocument/2006/relationships/hyperlink" Target="https://www.federalregister.gov/documents/2009/01/14/E9-818/strengthening-laboratory-biosecurity-in-the-united-states" TargetMode="External"/><Relationship Id="rId1330" Type="http://schemas.openxmlformats.org/officeDocument/2006/relationships/hyperlink" Target="https://www.govinfo.gov/content/pkg/FR-2017-03-03/pdf/2017-04357.pdf" TargetMode="External"/><Relationship Id="rId740" Type="http://schemas.openxmlformats.org/officeDocument/2006/relationships/hyperlink" Target="https://www.govinfo.gov/content/pkg/FR-2009-01-14/pdf/E9-814.pdf" TargetMode="External"/><Relationship Id="rId1331" Type="http://schemas.openxmlformats.org/officeDocument/2006/relationships/hyperlink" Target="https://www.federalregister.gov/documents/2017/03/09/2017-04837/protecting-the-nation-from-foreign-terrorist-entry-into-the-united-states" TargetMode="External"/><Relationship Id="rId1332" Type="http://schemas.openxmlformats.org/officeDocument/2006/relationships/hyperlink" Target="https://www.govinfo.gov/content/pkg/FR-2017-03-09/pdf/2017-04837.pdf" TargetMode="External"/><Relationship Id="rId1333" Type="http://schemas.openxmlformats.org/officeDocument/2006/relationships/hyperlink" Target="https://www.federalregister.gov/documents/2017/03/16/2017-05399/comprehensive-plan-for-reorganizing-the-executive-branch" TargetMode="External"/><Relationship Id="rId1323" Type="http://schemas.openxmlformats.org/officeDocument/2006/relationships/hyperlink" Target="https://www.federalregister.gov/documents/2017/02/14/2017-03118/task-force-on-crime-reduction-and-public-safety" TargetMode="External"/><Relationship Id="rId1324" Type="http://schemas.openxmlformats.org/officeDocument/2006/relationships/hyperlink" Target="https://www.govinfo.gov/content/pkg/FR-2017-02-14/pdf/2017-03118.pdf" TargetMode="External"/><Relationship Id="rId31" Type="http://schemas.openxmlformats.org/officeDocument/2006/relationships/hyperlink" Target="https://www.federalregister.gov/documents/1999/07/27/99-19396/further-amendments-to-executive-order-12757-implementation-of-the-enterprise-for-the-americas" TargetMode="External"/><Relationship Id="rId1325" Type="http://schemas.openxmlformats.org/officeDocument/2006/relationships/hyperlink" Target="https://www.federalregister.gov/documents/2017/03/01/2017-04107/enforcing-the-regulatory-reform-agenda" TargetMode="External"/><Relationship Id="rId30" Type="http://schemas.openxmlformats.org/officeDocument/2006/relationships/hyperlink" Target="https://www.govinfo.gov/content/pkg/FR-1999-07-19/pdf/99-18476.pdf" TargetMode="External"/><Relationship Id="rId1326" Type="http://schemas.openxmlformats.org/officeDocument/2006/relationships/hyperlink" Target="https://www.govinfo.gov/content/pkg/FR-2017-03-01/pdf/2017-04107.pdf" TargetMode="External"/><Relationship Id="rId33" Type="http://schemas.openxmlformats.org/officeDocument/2006/relationships/hyperlink" Target="https://www.federalregister.gov/documents/1999/08/10/99-20729/federalism" TargetMode="External"/><Relationship Id="rId1327" Type="http://schemas.openxmlformats.org/officeDocument/2006/relationships/hyperlink" Target="https://www.federalregister.gov/documents/2017/03/03/2017-04353/restoring-the-rule-of-law-federalism-and-economic-growth-by-reviewing-the-waters-of-the-united" TargetMode="External"/><Relationship Id="rId32" Type="http://schemas.openxmlformats.org/officeDocument/2006/relationships/hyperlink" Target="https://www.govinfo.gov/content/pkg/FR-1999-07-27/pdf/99-19396.pdf" TargetMode="External"/><Relationship Id="rId1328" Type="http://schemas.openxmlformats.org/officeDocument/2006/relationships/hyperlink" Target="https://www.govinfo.gov/content/pkg/FR-2017-03-03/pdf/2017-04353.pdf" TargetMode="External"/><Relationship Id="rId35" Type="http://schemas.openxmlformats.org/officeDocument/2006/relationships/hyperlink" Target="https://www.federalregister.gov/documents/1999/08/11/99-20924/working-group-on-unlawful-conduct-on-the-internet" TargetMode="External"/><Relationship Id="rId1329" Type="http://schemas.openxmlformats.org/officeDocument/2006/relationships/hyperlink" Target="https://www.federalregister.gov/documents/2017/03/03/2017-04357/white-house-initiative-to-promote-excellence-and-innovation-at-historically-black-colleges-and" TargetMode="External"/><Relationship Id="rId34" Type="http://schemas.openxmlformats.org/officeDocument/2006/relationships/hyperlink" Target="https://www.govinfo.gov/content/pkg/FR-1999-08-10/pdf/99-20729.pdf" TargetMode="External"/><Relationship Id="rId739" Type="http://schemas.openxmlformats.org/officeDocument/2006/relationships/hyperlink" Target="https://www.federalregister.gov/documents/2009/01/14/E9-814/providing-an-order-of-succession-within-the-department-of-transportation" TargetMode="External"/><Relationship Id="rId734" Type="http://schemas.openxmlformats.org/officeDocument/2006/relationships/hyperlink" Target="https://www.govinfo.gov/content/pkg/FR-2008-12-16/pdf/E8-30042.pdf" TargetMode="External"/><Relationship Id="rId733" Type="http://schemas.openxmlformats.org/officeDocument/2006/relationships/hyperlink" Target="https://www.federalregister.gov/documents/2008/12/16/E8-30042/closing-of-executive-departments-and-agencies-of-the-federal-government-on-friday-december-26-2008" TargetMode="External"/><Relationship Id="rId732" Type="http://schemas.openxmlformats.org/officeDocument/2006/relationships/hyperlink" Target="https://www.govinfo.gov/content/pkg/FR-2008-12-11/pdf/E8-29564.pdf" TargetMode="External"/><Relationship Id="rId731" Type="http://schemas.openxmlformats.org/officeDocument/2006/relationships/hyperlink" Target="https://www.federalregister.gov/documents/2008/12/11/E8-29564/providing-an-order-of-succession-within-the-department-of-justice" TargetMode="External"/><Relationship Id="rId738" Type="http://schemas.openxmlformats.org/officeDocument/2006/relationships/hyperlink" Target="https://www.govinfo.gov/content/pkg/FR-2009-01-14/pdf/E9-811.pdf" TargetMode="External"/><Relationship Id="rId737" Type="http://schemas.openxmlformats.org/officeDocument/2006/relationships/hyperlink" Target="https://www.federalregister.gov/documents/2009/01/14/E9-811/amending-the-order-of-succession-within-the-department-of-agriculture" TargetMode="External"/><Relationship Id="rId736" Type="http://schemas.openxmlformats.org/officeDocument/2006/relationships/hyperlink" Target="https://www.govinfo.gov/content/pkg/FR-2008-12-23/pdf/E8-30700.pdf" TargetMode="External"/><Relationship Id="rId735" Type="http://schemas.openxmlformats.org/officeDocument/2006/relationships/hyperlink" Target="https://www.federalregister.gov/documents/2008/12/23/E8-30700/adjustments-of-certain-rates-of-pay" TargetMode="External"/><Relationship Id="rId37" Type="http://schemas.openxmlformats.org/officeDocument/2006/relationships/hyperlink" Target="https://www.federalregister.gov/documents/1999/08/16/99-21392/developing-and-promoting-biobased-products-and-bioenergy" TargetMode="External"/><Relationship Id="rId36" Type="http://schemas.openxmlformats.org/officeDocument/2006/relationships/hyperlink" Target="https://www.govinfo.gov/content/pkg/FR-1999-08-11/pdf/99-20924.pdf" TargetMode="External"/><Relationship Id="rId39" Type="http://schemas.openxmlformats.org/officeDocument/2006/relationships/hyperlink" Target="https://www.federalregister.gov/documents/1999/08/31/99-22778/amendment-to-executive-order-12216-presidents-committee-on-the-international-labor-organization" TargetMode="External"/><Relationship Id="rId38" Type="http://schemas.openxmlformats.org/officeDocument/2006/relationships/hyperlink" Target="https://www.govinfo.gov/content/pkg/FR-1999-08-16/pdf/99-21392.pdf" TargetMode="External"/><Relationship Id="rId730" Type="http://schemas.openxmlformats.org/officeDocument/2006/relationships/hyperlink" Target="https://www.govinfo.gov/content/pkg/FR-2008-12-04/pdf/E8-28912.pdf" TargetMode="External"/><Relationship Id="rId1320" Type="http://schemas.openxmlformats.org/officeDocument/2006/relationships/hyperlink" Target="https://www.govinfo.gov/content/pkg/FR-2017-02-14/pdf/2017-03115.pdf" TargetMode="External"/><Relationship Id="rId1321" Type="http://schemas.openxmlformats.org/officeDocument/2006/relationships/hyperlink" Target="https://www.federalregister.gov/documents/2017/02/14/2017-03116/providing-an-order-of-succession-within-the-department-of-justice" TargetMode="External"/><Relationship Id="rId1322" Type="http://schemas.openxmlformats.org/officeDocument/2006/relationships/hyperlink" Target="https://www.govinfo.gov/content/pkg/FR-2017-02-14/pdf/2017-03116.pdf" TargetMode="External"/><Relationship Id="rId1356" Type="http://schemas.openxmlformats.org/officeDocument/2006/relationships/hyperlink" Target="https://www.govinfo.gov/content/pkg/FR-2017-05-01/pdf/2017-08908.pdf" TargetMode="External"/><Relationship Id="rId1357" Type="http://schemas.openxmlformats.org/officeDocument/2006/relationships/hyperlink" Target="https://www.federalregister.gov/documents/2017/05/02/2017-08990/improving-accountability-and-whistleblower-protection-at-the-department-of-veterans-affairs" TargetMode="External"/><Relationship Id="rId20" Type="http://schemas.openxmlformats.org/officeDocument/2006/relationships/hyperlink" Target="https://www.govinfo.gov/content/pkg/FR-1999-06-10/pdf/99-14901.pdf" TargetMode="External"/><Relationship Id="rId1358" Type="http://schemas.openxmlformats.org/officeDocument/2006/relationships/hyperlink" Target="https://www.govinfo.gov/content/pkg/FR-2017-05-02/pdf/2017-08990.pdf" TargetMode="External"/><Relationship Id="rId1359" Type="http://schemas.openxmlformats.org/officeDocument/2006/relationships/hyperlink" Target="https://www.federalregister.gov/documents/2017/05/03/2017-09083/establishment-of-the-american-technology-council" TargetMode="External"/><Relationship Id="rId22" Type="http://schemas.openxmlformats.org/officeDocument/2006/relationships/hyperlink" Target="https://www.govinfo.gov/content/pkg/FR-1999-06-16/pdf/99-15491.pdf" TargetMode="External"/><Relationship Id="rId21" Type="http://schemas.openxmlformats.org/officeDocument/2006/relationships/hyperlink" Target="https://www.federalregister.gov/documents/1999/06/16/99-15491/prohibition-of-acquisition-of-products-produced-by-forced-or-indentured-child-labor" TargetMode="External"/><Relationship Id="rId24" Type="http://schemas.openxmlformats.org/officeDocument/2006/relationships/hyperlink" Target="https://www.govinfo.gov/content/pkg/FR-1999-06-17/pdf/99-15623.pdf" TargetMode="External"/><Relationship Id="rId23" Type="http://schemas.openxmlformats.org/officeDocument/2006/relationships/hyperlink" Target="https://www.federalregister.gov/documents/1999/06/17/99-15623/amendment-to-executive-order-13073-year-2000-conversion" TargetMode="External"/><Relationship Id="rId767" Type="http://schemas.openxmlformats.org/officeDocument/2006/relationships/hyperlink" Target="https://www.federalregister.gov/documents/2009/02/11/E9-3106/further-amendments-to-executive-order-12835-establishment-of-the-national-economic-council" TargetMode="External"/><Relationship Id="rId766" Type="http://schemas.openxmlformats.org/officeDocument/2006/relationships/hyperlink" Target="https://www.govinfo.gov/content/pkg/FR-2009-02-09/pdf/E9-2893.pdf" TargetMode="External"/><Relationship Id="rId765" Type="http://schemas.openxmlformats.org/officeDocument/2006/relationships/hyperlink" Target="https://www.federalregister.gov/documents/2009/02/09/E9-2893/amendments-to-executive-order-13199-and-establishment-of-the-presidents-advisory-council-for" TargetMode="External"/><Relationship Id="rId764" Type="http://schemas.openxmlformats.org/officeDocument/2006/relationships/hyperlink" Target="https://www.govinfo.gov/content/pkg/FR-2009-02-04/pdf/E9-2486.pdf" TargetMode="External"/><Relationship Id="rId769" Type="http://schemas.openxmlformats.org/officeDocument/2006/relationships/hyperlink" Target="https://www.federalregister.gov/documents/2009/02/11/E9-3108/further-amendments-to-executive-order-12859-establishment-of-the-domestic-policy-council" TargetMode="External"/><Relationship Id="rId768" Type="http://schemas.openxmlformats.org/officeDocument/2006/relationships/hyperlink" Target="https://www.govinfo.gov/content/pkg/FR-2009-02-11/pdf/E9-3106.pdf" TargetMode="External"/><Relationship Id="rId26" Type="http://schemas.openxmlformats.org/officeDocument/2006/relationships/hyperlink" Target="https://www.govinfo.gov/content/pkg/FR-1999-06-28/pdf/99-16634.pdf" TargetMode="External"/><Relationship Id="rId25" Type="http://schemas.openxmlformats.org/officeDocument/2006/relationships/hyperlink" Target="https://www.federalregister.gov/documents/1999/06/28/99-16634/implementation-of-the-chemical-weapons-convention-and-the-chemical-weapons-convention-implementation" TargetMode="External"/><Relationship Id="rId28" Type="http://schemas.openxmlformats.org/officeDocument/2006/relationships/hyperlink" Target="https://www.govinfo.gov/content/pkg/FR-1999-07-07/pdf/99-17444.pdf" TargetMode="External"/><Relationship Id="rId1350" Type="http://schemas.openxmlformats.org/officeDocument/2006/relationships/hyperlink" Target="https://www.govinfo.gov/content/pkg/FR-2017-04-26/pdf/2017-08586.pdf" TargetMode="External"/><Relationship Id="rId27" Type="http://schemas.openxmlformats.org/officeDocument/2006/relationships/hyperlink" Target="https://www.federalregister.gov/documents/1999/07/07/99-17444/blocking-property-and-prohibiting-transactions-with-the-taliban" TargetMode="External"/><Relationship Id="rId1351" Type="http://schemas.openxmlformats.org/officeDocument/2006/relationships/hyperlink" Target="https://www.federalregister.gov/documents/2017/04/28/2017-08818/promoting-agriculture-and-rural-prosperity-in-america" TargetMode="External"/><Relationship Id="rId763" Type="http://schemas.openxmlformats.org/officeDocument/2006/relationships/hyperlink" Target="https://www.federalregister.gov/documents/2009/02/04/E9-2486/revocation-of-certain-executive-orders-concerning-regulatory-planning-and-review" TargetMode="External"/><Relationship Id="rId1352" Type="http://schemas.openxmlformats.org/officeDocument/2006/relationships/hyperlink" Target="https://www.govinfo.gov/content/pkg/FR-2017-04-28/pdf/2017-08818.pdf" TargetMode="External"/><Relationship Id="rId29" Type="http://schemas.openxmlformats.org/officeDocument/2006/relationships/hyperlink" Target="https://www.federalregister.gov/documents/1999/07/19/99-18476/national-infrastructure-assurance-council" TargetMode="External"/><Relationship Id="rId762" Type="http://schemas.openxmlformats.org/officeDocument/2006/relationships/hyperlink" Target="https://www.govinfo.gov/content/pkg/FR-2009-02-04/pdf/E9-2485.pdf" TargetMode="External"/><Relationship Id="rId1353" Type="http://schemas.openxmlformats.org/officeDocument/2006/relationships/hyperlink" Target="https://www.federalregister.gov/documents/2017/05/01/2017-08905/enforcing-statutory-prohibitions-on-federal-control-of-education" TargetMode="External"/><Relationship Id="rId761" Type="http://schemas.openxmlformats.org/officeDocument/2006/relationships/hyperlink" Target="https://www.federalregister.gov/documents/2009/02/04/E9-2485/notification-of-employee-rights-under-federal-labor-laws" TargetMode="External"/><Relationship Id="rId1354" Type="http://schemas.openxmlformats.org/officeDocument/2006/relationships/hyperlink" Target="https://www.govinfo.gov/content/pkg/FR-2017-05-01/pdf/2017-08905.pdf" TargetMode="External"/><Relationship Id="rId760" Type="http://schemas.openxmlformats.org/officeDocument/2006/relationships/hyperlink" Target="https://www.govinfo.gov/content/pkg/FR-2009-02-04/pdf/E9-2484.pdf" TargetMode="External"/><Relationship Id="rId1355" Type="http://schemas.openxmlformats.org/officeDocument/2006/relationships/hyperlink" Target="https://www.federalregister.gov/documents/2017/05/01/2017-08908/review-of-designations-under-the-antiquities-act" TargetMode="External"/><Relationship Id="rId1345" Type="http://schemas.openxmlformats.org/officeDocument/2006/relationships/hyperlink" Target="https://www.federalregister.gov/documents/2017/04/05/2017-06971/providing-an-order-of-succession-within-the-department-of-justice" TargetMode="External"/><Relationship Id="rId1346" Type="http://schemas.openxmlformats.org/officeDocument/2006/relationships/hyperlink" Target="https://www.govinfo.gov/content/pkg/FR-2017-04-05/pdf/2017-06971.pdf" TargetMode="External"/><Relationship Id="rId1347" Type="http://schemas.openxmlformats.org/officeDocument/2006/relationships/hyperlink" Target="https://www.federalregister.gov/documents/2017/04/21/2017-08311/buy-american-and-hire-american" TargetMode="External"/><Relationship Id="rId1348" Type="http://schemas.openxmlformats.org/officeDocument/2006/relationships/hyperlink" Target="https://www.govinfo.gov/content/pkg/FR-2017-04-21/pdf/2017-08311.pdf" TargetMode="External"/><Relationship Id="rId11" Type="http://schemas.openxmlformats.org/officeDocument/2006/relationships/hyperlink" Target="https://www.federalregister.gov/documents/1999/05/05/99-11410/blocking-property-of-the-governments-of-the-federal-republic-of-yugoslavia-serbia-and-montenegro-the" TargetMode="External"/><Relationship Id="rId1349" Type="http://schemas.openxmlformats.org/officeDocument/2006/relationships/hyperlink" Target="https://www.federalregister.gov/documents/2017/04/26/2017-08586/identifying-and-reducing-tax-regulatory-burdens" TargetMode="External"/><Relationship Id="rId10" Type="http://schemas.openxmlformats.org/officeDocument/2006/relationships/hyperlink" Target="https://www.govinfo.gov/content/pkg/FR-1999-04-29/pdf/99-10901.pdf" TargetMode="External"/><Relationship Id="rId13" Type="http://schemas.openxmlformats.org/officeDocument/2006/relationships/hyperlink" Target="https://www.federalregister.gov/documents/1999/05/28/99-13825/interagency-task-force-on-the-economic-development-of-the-southwest-border" TargetMode="External"/><Relationship Id="rId12" Type="http://schemas.openxmlformats.org/officeDocument/2006/relationships/hyperlink" Target="https://www.govinfo.gov/content/pkg/FR-1999-05-05/pdf/99-11410.pdf" TargetMode="External"/><Relationship Id="rId756" Type="http://schemas.openxmlformats.org/officeDocument/2006/relationships/hyperlink" Target="https://www.govinfo.gov/content/pkg/FR-2009-01-27/pdf/E9-1895.pdf" TargetMode="External"/><Relationship Id="rId755" Type="http://schemas.openxmlformats.org/officeDocument/2006/relationships/hyperlink" Target="https://www.federalregister.gov/documents/2009/01/27/E9-1895/review-of-detention-policy-options" TargetMode="External"/><Relationship Id="rId754" Type="http://schemas.openxmlformats.org/officeDocument/2006/relationships/hyperlink" Target="https://www.govinfo.gov/content/pkg/FR-2009-01-27/pdf/E9-1893.pdf" TargetMode="External"/><Relationship Id="rId753" Type="http://schemas.openxmlformats.org/officeDocument/2006/relationships/hyperlink" Target="https://www.federalregister.gov/documents/2009/01/27/E9-1893/review-and-disposition-of-individuals-detained-at-the-guantanamo-bay-naval-base-and-closure-of" TargetMode="External"/><Relationship Id="rId759" Type="http://schemas.openxmlformats.org/officeDocument/2006/relationships/hyperlink" Target="https://www.federalregister.gov/documents/2009/02/04/E9-2484/nondisplacement-of-qualified-workers-under-service-contracts" TargetMode="External"/><Relationship Id="rId758" Type="http://schemas.openxmlformats.org/officeDocument/2006/relationships/hyperlink" Target="https://www.govinfo.gov/content/pkg/FR-2009-02-04/pdf/E9-2483.pdf" TargetMode="External"/><Relationship Id="rId757" Type="http://schemas.openxmlformats.org/officeDocument/2006/relationships/hyperlink" Target="https://www.federalregister.gov/documents/2009/02/04/E9-2483/economy-in-government-contracting" TargetMode="External"/><Relationship Id="rId15" Type="http://schemas.openxmlformats.org/officeDocument/2006/relationships/hyperlink" Target="https://www.federalregister.gov/documents/1999/06/08/99-14633/greening-the-government-through-efficient-energy-management" TargetMode="External"/><Relationship Id="rId14" Type="http://schemas.openxmlformats.org/officeDocument/2006/relationships/hyperlink" Target="https://www.govinfo.gov/content/pkg/FR-1999-05-28/pdf/99-13825.pdf" TargetMode="External"/><Relationship Id="rId17" Type="http://schemas.openxmlformats.org/officeDocument/2006/relationships/hyperlink" Target="https://www.federalregister.gov/documents/1999/06/09/99-14825/amending-the-civil-service-rules-relating-to-federal-employees-with-psychiatric-disabilities" TargetMode="External"/><Relationship Id="rId16" Type="http://schemas.openxmlformats.org/officeDocument/2006/relationships/hyperlink" Target="https://www.govinfo.gov/content/pkg/FR-1999-06-08/pdf/99-14633.pdf" TargetMode="External"/><Relationship Id="rId1340" Type="http://schemas.openxmlformats.org/officeDocument/2006/relationships/hyperlink" Target="https://www.govinfo.gov/content/pkg/FR-2017-04-03/pdf/2017-06716.pdf" TargetMode="External"/><Relationship Id="rId19" Type="http://schemas.openxmlformats.org/officeDocument/2006/relationships/hyperlink" Target="https://www.federalregister.gov/documents/1999/06/10/99-14901/increasing-participation-of-asian-americans-and-pacific-islanders-in-federal-programs" TargetMode="External"/><Relationship Id="rId752" Type="http://schemas.openxmlformats.org/officeDocument/2006/relationships/hyperlink" Target="https://www.govinfo.gov/content/pkg/FR-2009-01-27/pdf/E9-1885.pdf" TargetMode="External"/><Relationship Id="rId1341" Type="http://schemas.openxmlformats.org/officeDocument/2006/relationships/hyperlink" Target="https://www.federalregister.gov/documents/2017/04/05/2017-06967/establishing-enhanced-collection-and-enforcement-of-antidumping-and-countervailing-duties-and" TargetMode="External"/><Relationship Id="rId18" Type="http://schemas.openxmlformats.org/officeDocument/2006/relationships/hyperlink" Target="https://www.govinfo.gov/content/pkg/FR-1999-06-09/pdf/99-14825.pdf" TargetMode="External"/><Relationship Id="rId751" Type="http://schemas.openxmlformats.org/officeDocument/2006/relationships/hyperlink" Target="https://www.federalregister.gov/documents/2009/01/27/E9-1885/ensuring-lawful-interrogations" TargetMode="External"/><Relationship Id="rId1342" Type="http://schemas.openxmlformats.org/officeDocument/2006/relationships/hyperlink" Target="https://www.govinfo.gov/content/pkg/FR-2017-04-05/pdf/2017-06967.pdf" TargetMode="External"/><Relationship Id="rId750" Type="http://schemas.openxmlformats.org/officeDocument/2006/relationships/hyperlink" Target="https://www.govinfo.gov/content/pkg/FR-2009-01-26/pdf/E9-1719.pdf" TargetMode="External"/><Relationship Id="rId1343" Type="http://schemas.openxmlformats.org/officeDocument/2006/relationships/hyperlink" Target="https://www.federalregister.gov/documents/2017/04/05/2017-06968/omnibus-report-on-significant-trade-deficits" TargetMode="External"/><Relationship Id="rId1344" Type="http://schemas.openxmlformats.org/officeDocument/2006/relationships/hyperlink" Target="https://www.govinfo.gov/content/pkg/FR-2017-04-05/pdf/2017-06968.pdf" TargetMode="External"/><Relationship Id="rId84" Type="http://schemas.openxmlformats.org/officeDocument/2006/relationships/hyperlink" Target="https://www.govinfo.gov/content/pkg/FR-2000-05-25/pdf/00-13367.pdf" TargetMode="External"/><Relationship Id="rId1774" Type="http://schemas.openxmlformats.org/officeDocument/2006/relationships/hyperlink" Target="https://www.govinfo.gov/content/pkg/FR-2021-01-26/pdf/2021-01865.pdf" TargetMode="External"/><Relationship Id="rId83" Type="http://schemas.openxmlformats.org/officeDocument/2006/relationships/hyperlink" Target="https://www.federalregister.gov/documents/2000/05/25/00-13367/increasing-opportunities-for-women-owned-small-businesses" TargetMode="External"/><Relationship Id="rId1775" Type="http://schemas.openxmlformats.org/officeDocument/2006/relationships/hyperlink" Target="https://www.federalregister.gov/documents/2021/01/27/2021-01923/economic-relief-related-to-the-covid-19-pandemic" TargetMode="External"/><Relationship Id="rId86" Type="http://schemas.openxmlformats.org/officeDocument/2006/relationships/hyperlink" Target="https://www.govinfo.gov/content/pkg/FR-2000-05-31/pdf/00-13830.pdf" TargetMode="External"/><Relationship Id="rId1776" Type="http://schemas.openxmlformats.org/officeDocument/2006/relationships/hyperlink" Target="https://www.govinfo.gov/content/pkg/FR-2021-01-27/pdf/2021-01923.pdf" TargetMode="External"/><Relationship Id="rId85" Type="http://schemas.openxmlformats.org/officeDocument/2006/relationships/hyperlink" Target="https://www.federalregister.gov/documents/2000/05/31/00-13830/marine-protected-areas" TargetMode="External"/><Relationship Id="rId1777" Type="http://schemas.openxmlformats.org/officeDocument/2006/relationships/hyperlink" Target="https://www.federalregister.gov/documents/2021/01/27/2021-01924/protecting-the-federal-workforce" TargetMode="External"/><Relationship Id="rId88" Type="http://schemas.openxmlformats.org/officeDocument/2006/relationships/hyperlink" Target="https://www.govinfo.gov/content/pkg/FR-2000-06-26/pdf/00-16252.pdf" TargetMode="External"/><Relationship Id="rId1778" Type="http://schemas.openxmlformats.org/officeDocument/2006/relationships/hyperlink" Target="https://www.govinfo.gov/content/pkg/FR-2021-01-27/pdf/2021-01924.pdf" TargetMode="External"/><Relationship Id="rId87" Type="http://schemas.openxmlformats.org/officeDocument/2006/relationships/hyperlink" Target="https://www.federalregister.gov/documents/2000/06/26/00-16252/blocking-property-of-the-government-of-the-russian-federation-relating-to-the-disposition-of-highly" TargetMode="External"/><Relationship Id="rId1779" Type="http://schemas.openxmlformats.org/officeDocument/2006/relationships/hyperlink" Target="https://www.federalregister.gov/documents/2021/01/28/2021-02034/enabling-all-qualified-americans-to-serve-their-country-in-uniform" TargetMode="External"/><Relationship Id="rId89" Type="http://schemas.openxmlformats.org/officeDocument/2006/relationships/hyperlink" Target="https://www.federalregister.gov/documents/2000/06/27/00-16434/nondiscrimination-on-the-basis-of-race-sex-color-national-origin-disability-religion-age-sexual" TargetMode="External"/><Relationship Id="rId709" Type="http://schemas.openxmlformats.org/officeDocument/2006/relationships/hyperlink" Target="https://www.federalregister.gov/documents/2008/08/04/E8-17940/further-amendments-to-executive-order-12333-united-states-intelligence-activities" TargetMode="External"/><Relationship Id="rId708" Type="http://schemas.openxmlformats.org/officeDocument/2006/relationships/hyperlink" Target="https://www.govinfo.gov/content/pkg/FR-2008-07-29/pdf/08-1480.pdf" TargetMode="External"/><Relationship Id="rId707" Type="http://schemas.openxmlformats.org/officeDocument/2006/relationships/hyperlink" Target="https://www.federalregister.gov/documents/2008/07/29/08-1480/blocking-property-of-additional-persons-undermining-democratic-processes-or-institutions-in-zimbabwe" TargetMode="External"/><Relationship Id="rId706" Type="http://schemas.openxmlformats.org/officeDocument/2006/relationships/hyperlink" Target="https://www.govinfo.gov/content/pkg/FR-2008-07-28/pdf/08-1472.pdf" TargetMode="External"/><Relationship Id="rId80" Type="http://schemas.openxmlformats.org/officeDocument/2006/relationships/hyperlink" Target="https://www.govinfo.gov/content/pkg/FR-2000-05-12/pdf/00-12177.pdf" TargetMode="External"/><Relationship Id="rId82" Type="http://schemas.openxmlformats.org/officeDocument/2006/relationships/hyperlink" Target="https://www.govinfo.gov/content/pkg/FR-2000-05-19/pdf/00-12840.pdf" TargetMode="External"/><Relationship Id="rId81" Type="http://schemas.openxmlformats.org/officeDocument/2006/relationships/hyperlink" Target="https://www.federalregister.gov/documents/2000/05/19/00-12840/amendment-to-executive-order-12871-regarding-the-national-partnership-council" TargetMode="External"/><Relationship Id="rId701" Type="http://schemas.openxmlformats.org/officeDocument/2006/relationships/hyperlink" Target="https://www.federalregister.gov/documents/2008/06/27/08-1399/continuing-certain-restrictions-with-respect-to-north-korea-and-north-korean-nationals" TargetMode="External"/><Relationship Id="rId700" Type="http://schemas.openxmlformats.org/officeDocument/2006/relationships/hyperlink" Target="https://www.govinfo.gov/content/pkg/FR-2008-06-11/pdf/08-1348.pdf" TargetMode="External"/><Relationship Id="rId705" Type="http://schemas.openxmlformats.org/officeDocument/2006/relationships/hyperlink" Target="https://www.federalregister.gov/documents/2008/07/28/08-1472/2008-amendments-to-the-manual-for-courts-martial-united-states" TargetMode="External"/><Relationship Id="rId704" Type="http://schemas.openxmlformats.org/officeDocument/2006/relationships/hyperlink" Target="https://www.govinfo.gov/content/pkg/FR-2008-07-02/pdf/08-1409.pdf" TargetMode="External"/><Relationship Id="rId703" Type="http://schemas.openxmlformats.org/officeDocument/2006/relationships/hyperlink" Target="https://www.federalregister.gov/documents/2008/07/02/08-1409/reforming-processes-related-to-suitability-for-government-employment-fitness-for-contractor" TargetMode="External"/><Relationship Id="rId702" Type="http://schemas.openxmlformats.org/officeDocument/2006/relationships/hyperlink" Target="https://www.govinfo.gov/content/pkg/FR-2008-06-27/pdf/08-1399.pdf" TargetMode="External"/><Relationship Id="rId1770" Type="http://schemas.openxmlformats.org/officeDocument/2006/relationships/hyperlink" Target="https://www.govinfo.gov/content/pkg/FR-2021-01-26/pdf/2021-01863.pdf" TargetMode="External"/><Relationship Id="rId1771" Type="http://schemas.openxmlformats.org/officeDocument/2006/relationships/hyperlink" Target="https://www.federalregister.gov/documents/2021/01/26/2021-01864/supporting-the-reopening-and-continuing-operation-of-schools-and-early-childhood-education-providers" TargetMode="External"/><Relationship Id="rId1772" Type="http://schemas.openxmlformats.org/officeDocument/2006/relationships/hyperlink" Target="https://www.govinfo.gov/content/pkg/FR-2021-01-26/pdf/2021-01864.pdf" TargetMode="External"/><Relationship Id="rId1773" Type="http://schemas.openxmlformats.org/officeDocument/2006/relationships/hyperlink" Target="https://www.federalregister.gov/documents/2021/01/26/2021-01865/a-sustainable-public-health-supply-chain" TargetMode="External"/><Relationship Id="rId73" Type="http://schemas.openxmlformats.org/officeDocument/2006/relationships/hyperlink" Target="https://www.federalregister.gov/documents/2000/05/04/00-11336/further-amendment-to-executive-order-11478-equal-employment-opportunity-in-federal-government" TargetMode="External"/><Relationship Id="rId1763" Type="http://schemas.openxmlformats.org/officeDocument/2006/relationships/hyperlink" Target="https://www.federalregister.gov/documents/2021/01/26/2021-01854/establishing-the-covid-19-pandemic-testing-board-and-ensuring-a-sustainable-public-health-workforce" TargetMode="External"/><Relationship Id="rId72" Type="http://schemas.openxmlformats.org/officeDocument/2006/relationships/hyperlink" Target="https://www.govinfo.gov/content/pkg/FR-2000-05-02/pdf/00-11070.pdf" TargetMode="External"/><Relationship Id="rId1764" Type="http://schemas.openxmlformats.org/officeDocument/2006/relationships/hyperlink" Target="https://www.govinfo.gov/content/pkg/FR-2021-01-26/pdf/2021-01854.pdf" TargetMode="External"/><Relationship Id="rId75" Type="http://schemas.openxmlformats.org/officeDocument/2006/relationships/hyperlink" Target="https://www.federalregister.gov/documents/2000/05/05/00-11531/actions-to-improve-low-performing-schools" TargetMode="External"/><Relationship Id="rId1765" Type="http://schemas.openxmlformats.org/officeDocument/2006/relationships/hyperlink" Target="https://www.federalregister.gov/documents/2021/01/26/2021-01858/improving-and-expanding-access-to-care-and-treatments-for-covid-19" TargetMode="External"/><Relationship Id="rId74" Type="http://schemas.openxmlformats.org/officeDocument/2006/relationships/hyperlink" Target="https://www.govinfo.gov/content/pkg/FR-2000-05-04/pdf/00-11336.pdf" TargetMode="External"/><Relationship Id="rId1766" Type="http://schemas.openxmlformats.org/officeDocument/2006/relationships/hyperlink" Target="https://www.govinfo.gov/content/pkg/FR-2021-01-26/pdf/2021-01858.pdf" TargetMode="External"/><Relationship Id="rId77" Type="http://schemas.openxmlformats.org/officeDocument/2006/relationships/hyperlink" Target="https://www.federalregister.gov/documents/2000/05/05/00-11532/establishing-the-kosovo-campaign-medal" TargetMode="External"/><Relationship Id="rId1767" Type="http://schemas.openxmlformats.org/officeDocument/2006/relationships/hyperlink" Target="https://www.federalregister.gov/documents/2021/01/26/2021-01859/promoting-covid-19-safety-in-domestic-and-international-travel" TargetMode="External"/><Relationship Id="rId76" Type="http://schemas.openxmlformats.org/officeDocument/2006/relationships/hyperlink" Target="https://www.govinfo.gov/content/pkg/FR-2000-05-05/pdf/00-11531.pdf" TargetMode="External"/><Relationship Id="rId1768" Type="http://schemas.openxmlformats.org/officeDocument/2006/relationships/hyperlink" Target="https://www.govinfo.gov/content/pkg/FR-2021-01-26/pdf/2021-01859.pdf" TargetMode="External"/><Relationship Id="rId79" Type="http://schemas.openxmlformats.org/officeDocument/2006/relationships/hyperlink" Target="https://www.federalregister.gov/documents/2000/05/12/00-12177/access-to-hivaids-pharmaceuticals-and-medical" TargetMode="External"/><Relationship Id="rId1769" Type="http://schemas.openxmlformats.org/officeDocument/2006/relationships/hyperlink" Target="https://www.federalregister.gov/documents/2021/01/26/2021-01863/protecting-worker-health-and-safety" TargetMode="External"/><Relationship Id="rId78" Type="http://schemas.openxmlformats.org/officeDocument/2006/relationships/hyperlink" Target="https://www.govinfo.gov/content/pkg/FR-2000-05-05/pdf/00-11532.pdf" TargetMode="External"/><Relationship Id="rId71" Type="http://schemas.openxmlformats.org/officeDocument/2006/relationships/hyperlink" Target="https://www.federalregister.gov/documents/2000/05/02/00-11070/global-disaster-information-network" TargetMode="External"/><Relationship Id="rId70" Type="http://schemas.openxmlformats.org/officeDocument/2006/relationships/hyperlink" Target="https://www.govinfo.gov/content/pkg/FR-2000-04-26/pdf/00-10552.pdf" TargetMode="External"/><Relationship Id="rId1760" Type="http://schemas.openxmlformats.org/officeDocument/2006/relationships/hyperlink" Target="https://www.govinfo.gov/content/pkg/FR-2021-01-26/pdf/2021-01849.pdf" TargetMode="External"/><Relationship Id="rId1761" Type="http://schemas.openxmlformats.org/officeDocument/2006/relationships/hyperlink" Target="https://www.federalregister.gov/documents/2021/01/26/2021-01852/ensuring-an-equitable-pandemic-response-and-recovery" TargetMode="External"/><Relationship Id="rId1762" Type="http://schemas.openxmlformats.org/officeDocument/2006/relationships/hyperlink" Target="https://www.govinfo.gov/content/pkg/FR-2021-01-26/pdf/2021-01852.pdf" TargetMode="External"/><Relationship Id="rId62" Type="http://schemas.openxmlformats.org/officeDocument/2006/relationships/hyperlink" Target="https://www.govinfo.gov/content/pkg/FR-2000-03-02/pdf/00-5209.pdf" TargetMode="External"/><Relationship Id="rId1312" Type="http://schemas.openxmlformats.org/officeDocument/2006/relationships/hyperlink" Target="https://www.govinfo.gov/content/pkg/FR-2017-02-03/pdf/2017-02450.pdf" TargetMode="External"/><Relationship Id="rId1796" Type="http://schemas.openxmlformats.org/officeDocument/2006/relationships/hyperlink" Target="https://www.govinfo.gov/content/pkg/FR-2021-02-05/pdf/2021-02563.pdf" TargetMode="External"/><Relationship Id="rId61" Type="http://schemas.openxmlformats.org/officeDocument/2006/relationships/hyperlink" Target="https://www.federalregister.gov/documents/2000/03/02/00-5209/presidents-council-on-the-future-of-princeville-north-carolina" TargetMode="External"/><Relationship Id="rId1313" Type="http://schemas.openxmlformats.org/officeDocument/2006/relationships/hyperlink" Target="https://www.federalregister.gov/documents/2017/02/03/2017-02451/reducing-regulation-and-controlling-regulatory-costs" TargetMode="External"/><Relationship Id="rId1797" Type="http://schemas.openxmlformats.org/officeDocument/2006/relationships/hyperlink" Target="https://www.federalregister.gov/documents/2021/02/09/2021-02804/rebuilding-and-enhancing-programs-to-resettle-refugees-and-planning-for-the-impact-of-climate-change" TargetMode="External"/><Relationship Id="rId64" Type="http://schemas.openxmlformats.org/officeDocument/2006/relationships/hyperlink" Target="https://www.govinfo.gov/content/pkg/FR-2000-03-10/pdf/00-6126.pdf" TargetMode="External"/><Relationship Id="rId1314" Type="http://schemas.openxmlformats.org/officeDocument/2006/relationships/hyperlink" Target="https://www.govinfo.gov/content/pkg/FR-2017-02-03/pdf/2017-02451.pdf" TargetMode="External"/><Relationship Id="rId1798" Type="http://schemas.openxmlformats.org/officeDocument/2006/relationships/hyperlink" Target="https://www.govinfo.gov/content/pkg/FR-2021-02-09/pdf/2021-02804.pdf" TargetMode="External"/><Relationship Id="rId63" Type="http://schemas.openxmlformats.org/officeDocument/2006/relationships/hyperlink" Target="https://www.federalregister.gov/documents/2000/03/10/00-6126/white-house-commission-on-complementary-and-alternative-medicine-policy" TargetMode="External"/><Relationship Id="rId1315" Type="http://schemas.openxmlformats.org/officeDocument/2006/relationships/hyperlink" Target="https://www.federalregister.gov/documents/2017/02/08/2017-02762/core-principles-for-regulating-the-united-states-financial-system" TargetMode="External"/><Relationship Id="rId1799" Type="http://schemas.openxmlformats.org/officeDocument/2006/relationships/hyperlink" Target="https://www.federalregister.gov/documents/2021/02/12/2021-03139/blocking-property-with-respect-to-the-situation-in-burma" TargetMode="External"/><Relationship Id="rId66" Type="http://schemas.openxmlformats.org/officeDocument/2006/relationships/hyperlink" Target="https://www.govinfo.gov/content/pkg/FR-2000-04-26/pdf/00-10550.pdf" TargetMode="External"/><Relationship Id="rId1316" Type="http://schemas.openxmlformats.org/officeDocument/2006/relationships/hyperlink" Target="https://www.govinfo.gov/content/pkg/FR-2017-02-08/pdf/2017-02762.pdf" TargetMode="External"/><Relationship Id="rId65" Type="http://schemas.openxmlformats.org/officeDocument/2006/relationships/hyperlink" Target="https://www.federalregister.gov/documents/2000/04/26/00-10550/greening-the-government-through-leadership-in-environmental-management" TargetMode="External"/><Relationship Id="rId1317" Type="http://schemas.openxmlformats.org/officeDocument/2006/relationships/hyperlink" Target="https://www.federalregister.gov/documents/2017/02/14/2017-03113/enforcing-federal-law-with-respect-to-transnational-criminal-organizations-and-preventing" TargetMode="External"/><Relationship Id="rId68" Type="http://schemas.openxmlformats.org/officeDocument/2006/relationships/hyperlink" Target="https://www.govinfo.gov/content/pkg/FR-2000-04-26/pdf/00-10551.pdf" TargetMode="External"/><Relationship Id="rId1318" Type="http://schemas.openxmlformats.org/officeDocument/2006/relationships/hyperlink" Target="https://www.govinfo.gov/content/pkg/FR-2017-02-14/pdf/2017-03113.pdf" TargetMode="External"/><Relationship Id="rId67" Type="http://schemas.openxmlformats.org/officeDocument/2006/relationships/hyperlink" Target="https://www.federalregister.gov/documents/2000/04/26/00-10551/greening-the-government-through-federal-fleet-and-transportation-efficiency" TargetMode="External"/><Relationship Id="rId1319" Type="http://schemas.openxmlformats.org/officeDocument/2006/relationships/hyperlink" Target="https://www.federalregister.gov/documents/2017/02/14/2017-03115/preventing-violence-against-federal-state-tribal-and-local-law-enforcement-officers" TargetMode="External"/><Relationship Id="rId729" Type="http://schemas.openxmlformats.org/officeDocument/2006/relationships/hyperlink" Target="https://www.federalregister.gov/documents/2008/12/04/E8-28912/exclusions-from-the-federal-labor-management-relations-program" TargetMode="External"/><Relationship Id="rId728" Type="http://schemas.openxmlformats.org/officeDocument/2006/relationships/hyperlink" Target="https://www.govinfo.gov/content/pkg/FR-2008-11-20/pdf/E8-27777.pdf" TargetMode="External"/><Relationship Id="rId60" Type="http://schemas.openxmlformats.org/officeDocument/2006/relationships/hyperlink" Target="https://www.govinfo.gov/content/pkg/FR-2000-02-10/pdf/00-3331.pdf" TargetMode="External"/><Relationship Id="rId723" Type="http://schemas.openxmlformats.org/officeDocument/2006/relationships/hyperlink" Target="https://www.federalregister.gov/documents/2008/11/05/E8-26531/settlement-of-claims-against-libya" TargetMode="External"/><Relationship Id="rId722" Type="http://schemas.openxmlformats.org/officeDocument/2006/relationships/hyperlink" Target="https://www.govinfo.gov/content/pkg/FR-2008-10-14/pdf/E8-24465.pdf" TargetMode="External"/><Relationship Id="rId721" Type="http://schemas.openxmlformats.org/officeDocument/2006/relationships/hyperlink" Target="https://www.federalregister.gov/documents/2008/10/14/E8-24465/facilitation-of-a-presidential-transition" TargetMode="External"/><Relationship Id="rId720" Type="http://schemas.openxmlformats.org/officeDocument/2006/relationships/hyperlink" Target="https://www.govinfo.gov/content/pkg/FR-2008-10-10/pdf/E8-24342.pdf" TargetMode="External"/><Relationship Id="rId727" Type="http://schemas.openxmlformats.org/officeDocument/2006/relationships/hyperlink" Target="https://www.federalregister.gov/documents/2008/11/20/E8-27777/transformation-of-the-national-air-transportation-system" TargetMode="External"/><Relationship Id="rId726" Type="http://schemas.openxmlformats.org/officeDocument/2006/relationships/hyperlink" Target="https://www.govinfo.gov/content/pkg/FR-2008-11-20/pdf/E8-27771.pdf" TargetMode="External"/><Relationship Id="rId725" Type="http://schemas.openxmlformats.org/officeDocument/2006/relationships/hyperlink" Target="https://www.federalregister.gov/documents/2008/11/20/E8-27771/amendments-to-executive-order-9397-relating-to-federal-agency-use-of-social-security-numbers" TargetMode="External"/><Relationship Id="rId724" Type="http://schemas.openxmlformats.org/officeDocument/2006/relationships/hyperlink" Target="https://www.govinfo.gov/content/pkg/FR-2008-11-05/pdf/E8-26531.pdf" TargetMode="External"/><Relationship Id="rId69" Type="http://schemas.openxmlformats.org/officeDocument/2006/relationships/hyperlink" Target="https://www.federalregister.gov/documents/2000/04/26/00-10552/federal-workforce-transportation" TargetMode="External"/><Relationship Id="rId1790" Type="http://schemas.openxmlformats.org/officeDocument/2006/relationships/hyperlink" Target="https://www.govinfo.gov/content/pkg/FR-2021-02-02/pdf/2021-02252.pdf" TargetMode="External"/><Relationship Id="rId1791" Type="http://schemas.openxmlformats.org/officeDocument/2006/relationships/hyperlink" Target="https://www.federalregister.gov/documents/2021/02/05/2021-02561/creating-a-comprehensive-regional-framework-to-address-the-causes-of-migration-to-manage-migration" TargetMode="External"/><Relationship Id="rId1792" Type="http://schemas.openxmlformats.org/officeDocument/2006/relationships/hyperlink" Target="https://www.govinfo.gov/content/pkg/FR-2021-02-05/pdf/2021-02561.pdf" TargetMode="External"/><Relationship Id="rId1793" Type="http://schemas.openxmlformats.org/officeDocument/2006/relationships/hyperlink" Target="https://www.federalregister.gov/documents/2021/02/05/2021-02562/establishment-of-interagency-task-force-on-the-reunification-of-families" TargetMode="External"/><Relationship Id="rId1310" Type="http://schemas.openxmlformats.org/officeDocument/2006/relationships/hyperlink" Target="https://www.govinfo.gov/content/pkg/FR-2017-02-01/pdf/2017-02281.pdf" TargetMode="External"/><Relationship Id="rId1794" Type="http://schemas.openxmlformats.org/officeDocument/2006/relationships/hyperlink" Target="https://www.govinfo.gov/content/pkg/FR-2021-02-05/pdf/2021-02562.pdf" TargetMode="External"/><Relationship Id="rId1311" Type="http://schemas.openxmlformats.org/officeDocument/2006/relationships/hyperlink" Target="https://www.federalregister.gov/documents/2017/02/03/2017-02450/ethics-commitments-by-executive-branch-appointees" TargetMode="External"/><Relationship Id="rId1795" Type="http://schemas.openxmlformats.org/officeDocument/2006/relationships/hyperlink" Target="https://www.federalregister.gov/documents/2021/02/05/2021-02563/restoring-faith-in-our-legal-immigration-systems-and-strengthening-integration-and-inclusion-efforts" TargetMode="External"/><Relationship Id="rId51" Type="http://schemas.openxmlformats.org/officeDocument/2006/relationships/hyperlink" Target="https://www.federalregister.gov/documents/1999/11/18/99-30346/environmental-review-of-trade-agreements" TargetMode="External"/><Relationship Id="rId1301" Type="http://schemas.openxmlformats.org/officeDocument/2006/relationships/hyperlink" Target="https://www.federalregister.gov/documents/2017/01/24/2017-01799/minimizing-the-economic-burden-of-the-patient-protection-and-affordable-care-act-pending-repeal" TargetMode="External"/><Relationship Id="rId1785" Type="http://schemas.openxmlformats.org/officeDocument/2006/relationships/hyperlink" Target="https://www.federalregister.gov/documents/2021/02/01/2021-02176/presidents-council-of-advisors-on-science-and-technology" TargetMode="External"/><Relationship Id="rId50" Type="http://schemas.openxmlformats.org/officeDocument/2006/relationships/hyperlink" Target="https://www.govinfo.gov/content/pkg/FR-1999-10-12/pdf/99-26670.pdf" TargetMode="External"/><Relationship Id="rId1302" Type="http://schemas.openxmlformats.org/officeDocument/2006/relationships/hyperlink" Target="https://www.govinfo.gov/content/pkg/FR-2017-01-24/pdf/2017-01799.pdf" TargetMode="External"/><Relationship Id="rId1786" Type="http://schemas.openxmlformats.org/officeDocument/2006/relationships/hyperlink" Target="https://www.govinfo.gov/content/pkg/FR-2021-02-01/pdf/2021-02176.pdf" TargetMode="External"/><Relationship Id="rId53" Type="http://schemas.openxmlformats.org/officeDocument/2006/relationships/hyperlink" Target="https://www.federalregister.gov/documents/1999/11/23/99-30687/amendment-to-executive-order-12958-classified-national-security-information" TargetMode="External"/><Relationship Id="rId1303" Type="http://schemas.openxmlformats.org/officeDocument/2006/relationships/hyperlink" Target="https://www.federalregister.gov/documents/2017/01/30/2017-02029/expediting-environmental-reviews-and-approvals-for-high-priority-infrastructure-projects" TargetMode="External"/><Relationship Id="rId1787" Type="http://schemas.openxmlformats.org/officeDocument/2006/relationships/hyperlink" Target="https://www.federalregister.gov/documents/2021/02/01/2021-02177/tackling-the-climate-crisis-at-home-and-abroad" TargetMode="External"/><Relationship Id="rId52" Type="http://schemas.openxmlformats.org/officeDocument/2006/relationships/hyperlink" Target="https://www.govinfo.gov/content/pkg/FR-1999-11-18/pdf/99-30346.pdf" TargetMode="External"/><Relationship Id="rId1304" Type="http://schemas.openxmlformats.org/officeDocument/2006/relationships/hyperlink" Target="https://www.govinfo.gov/content/pkg/FR-2017-01-30/pdf/2017-02029.pdf" TargetMode="External"/><Relationship Id="rId1788" Type="http://schemas.openxmlformats.org/officeDocument/2006/relationships/hyperlink" Target="https://www.govinfo.gov/content/pkg/FR-2021-02-01/pdf/2021-02177.pdf" TargetMode="External"/><Relationship Id="rId55" Type="http://schemas.openxmlformats.org/officeDocument/2006/relationships/hyperlink" Target="https://www.federalregister.gov/documents/1999/12/06/99-31748/amending-executive-order-10173-as-amended-prescribing-regulations-relating-to-the-safeguarding-of" TargetMode="External"/><Relationship Id="rId1305" Type="http://schemas.openxmlformats.org/officeDocument/2006/relationships/hyperlink" Target="https://www.federalregister.gov/documents/2017/01/30/2017-02095/border-security-and-immigration-enforcement-improvements" TargetMode="External"/><Relationship Id="rId1789" Type="http://schemas.openxmlformats.org/officeDocument/2006/relationships/hyperlink" Target="https://www.federalregister.gov/documents/2021/02/02/2021-02252/strengthening-medicaid-and-the-affordable-care-act" TargetMode="External"/><Relationship Id="rId54" Type="http://schemas.openxmlformats.org/officeDocument/2006/relationships/hyperlink" Target="https://www.govinfo.gov/content/pkg/FR-1999-11-23/pdf/99-30687.pdf" TargetMode="External"/><Relationship Id="rId1306" Type="http://schemas.openxmlformats.org/officeDocument/2006/relationships/hyperlink" Target="https://www.govinfo.gov/content/pkg/FR-2017-01-30/pdf/2017-02095.pdf" TargetMode="External"/><Relationship Id="rId57" Type="http://schemas.openxmlformats.org/officeDocument/2006/relationships/hyperlink" Target="https://www.federalregister.gov/documents/1999/12/23/99-33511/adjustments-of-certain-rates-of-pay" TargetMode="External"/><Relationship Id="rId1307" Type="http://schemas.openxmlformats.org/officeDocument/2006/relationships/hyperlink" Target="https://www.federalregister.gov/documents/2017/01/30/2017-02102/enhancing-public-safety-in-the-interior-of-the-united-states" TargetMode="External"/><Relationship Id="rId56" Type="http://schemas.openxmlformats.org/officeDocument/2006/relationships/hyperlink" Target="https://www.govinfo.gov/content/pkg/FR-1999-12-06/pdf/99-31748.pdf" TargetMode="External"/><Relationship Id="rId1308" Type="http://schemas.openxmlformats.org/officeDocument/2006/relationships/hyperlink" Target="https://www.govinfo.gov/content/pkg/FR-2017-01-30/pdf/2017-02102.pdf" TargetMode="External"/><Relationship Id="rId1309" Type="http://schemas.openxmlformats.org/officeDocument/2006/relationships/hyperlink" Target="https://www.federalregister.gov/documents/2017/02/01/2017-02281/protecting-the-nation-from-foreign-terrorist-entry-into-the-united-states" TargetMode="External"/><Relationship Id="rId719" Type="http://schemas.openxmlformats.org/officeDocument/2006/relationships/hyperlink" Target="https://www.federalregister.gov/documents/2008/10/10/E8-24342/further-amendments-to-executive-orders-12139-and-12949-in-light-of-the-foreign-intelligence" TargetMode="External"/><Relationship Id="rId718" Type="http://schemas.openxmlformats.org/officeDocument/2006/relationships/hyperlink" Target="https://www.govinfo.gov/content/pkg/FR-2008-10-01/pdf/E8-23235.pdf" TargetMode="External"/><Relationship Id="rId717" Type="http://schemas.openxmlformats.org/officeDocument/2006/relationships/hyperlink" Target="https://www.federalregister.gov/documents/2008/10/01/E8-23235/amendments-to-executive-order-12962" TargetMode="External"/><Relationship Id="rId712" Type="http://schemas.openxmlformats.org/officeDocument/2006/relationships/hyperlink" Target="https://www.govinfo.gov/content/pkg/FR-2008-09-02/pdf/E8-20436.pdf" TargetMode="External"/><Relationship Id="rId711" Type="http://schemas.openxmlformats.org/officeDocument/2006/relationships/hyperlink" Target="https://www.federalregister.gov/documents/2008/09/02/E8-20436/further-amendments-to-executive-order-13285-presidents-council-on-service-and-civic-participation" TargetMode="External"/><Relationship Id="rId710" Type="http://schemas.openxmlformats.org/officeDocument/2006/relationships/hyperlink" Target="https://www.govinfo.gov/content/pkg/FR-2008-08-04/pdf/E8-17940.pdf" TargetMode="External"/><Relationship Id="rId716" Type="http://schemas.openxmlformats.org/officeDocument/2006/relationships/hyperlink" Target="https://www.govinfo.gov/content/pkg/FR-2008-09-30/pdf/E8-23125.pdf" TargetMode="External"/><Relationship Id="rId715" Type="http://schemas.openxmlformats.org/officeDocument/2006/relationships/hyperlink" Target="https://www.federalregister.gov/documents/2008/09/30/E8-23125/to-authorize-certain-noncompetitive-appointments-in-the-civil-service-for-spouses-of-certain-members" TargetMode="External"/><Relationship Id="rId714" Type="http://schemas.openxmlformats.org/officeDocument/2006/relationships/hyperlink" Target="https://www.govinfo.gov/content/pkg/FR-2008-09-15/pdf/E8-21651.pdf" TargetMode="External"/><Relationship Id="rId713" Type="http://schemas.openxmlformats.org/officeDocument/2006/relationships/hyperlink" Target="https://www.federalregister.gov/documents/2008/09/15/E8-21651/executive-branch-responsibilities-with-respect-to-orders-of-succession" TargetMode="External"/><Relationship Id="rId59" Type="http://schemas.openxmlformats.org/officeDocument/2006/relationships/hyperlink" Target="https://www.federalregister.gov/documents/2000/02/10/00-3331/to-prohibit-discrimination-in-federal-employment-based-on-genetic-information" TargetMode="External"/><Relationship Id="rId58" Type="http://schemas.openxmlformats.org/officeDocument/2006/relationships/hyperlink" Target="https://www.govinfo.gov/content/pkg/FR-1999-12-23/pdf/99-33511.pdf" TargetMode="External"/><Relationship Id="rId1780" Type="http://schemas.openxmlformats.org/officeDocument/2006/relationships/hyperlink" Target="https://www.govinfo.gov/content/pkg/FR-2021-01-28/pdf/2021-02034.pdf" TargetMode="External"/><Relationship Id="rId1781" Type="http://schemas.openxmlformats.org/officeDocument/2006/relationships/hyperlink" Target="https://www.federalregister.gov/documents/2021/01/28/2021-02038/ensuring-the-future-is-made-in-all-of-america-by-all-of-americas-workers" TargetMode="External"/><Relationship Id="rId1782" Type="http://schemas.openxmlformats.org/officeDocument/2006/relationships/hyperlink" Target="https://www.govinfo.gov/content/pkg/FR-2021-01-28/pdf/2021-02038.pdf" TargetMode="External"/><Relationship Id="rId1783" Type="http://schemas.openxmlformats.org/officeDocument/2006/relationships/hyperlink" Target="https://www.federalregister.gov/documents/2021/01/29/2021-02070/reforming-our-incarceration-system-to-eliminate-the-use-of-privately-operated-criminal-detention" TargetMode="External"/><Relationship Id="rId1300" Type="http://schemas.openxmlformats.org/officeDocument/2006/relationships/hyperlink" Target="https://www.govinfo.gov/content/pkg/FR-2017-01-23/pdf/2017-01623.pdf" TargetMode="External"/><Relationship Id="rId1784" Type="http://schemas.openxmlformats.org/officeDocument/2006/relationships/hyperlink" Target="https://www.govinfo.gov/content/pkg/FR-2021-01-29/pdf/2021-02070.pdf" TargetMode="External"/><Relationship Id="rId349" Type="http://schemas.openxmlformats.org/officeDocument/2006/relationships/hyperlink" Target="https://www.federalregister.gov/documents/2003/03/24/03-7160/confiscating-and-vesting-certain-iraqi-property" TargetMode="External"/><Relationship Id="rId348" Type="http://schemas.openxmlformats.org/officeDocument/2006/relationships/hyperlink" Target="https://www.govinfo.gov/content/pkg/FR-2003-03-14/pdf/03-6445.pdf" TargetMode="External"/><Relationship Id="rId347" Type="http://schemas.openxmlformats.org/officeDocument/2006/relationships/hyperlink" Target="https://www.federalregister.gov/documents/2003/03/14/03-6445/establishing-the-global-war-on-terrorism-medals" TargetMode="External"/><Relationship Id="rId346" Type="http://schemas.openxmlformats.org/officeDocument/2006/relationships/hyperlink" Target="https://www.govinfo.gov/content/pkg/FR-2003-03-10/pdf/03-5848.pdf" TargetMode="External"/><Relationship Id="rId341" Type="http://schemas.openxmlformats.org/officeDocument/2006/relationships/hyperlink" Target="https://www.federalregister.gov/documents/2003/03/05/03-5343/amendment-of-executive-orders-and-other-actions-in-connection-with-the-transfer-of-certain-functions" TargetMode="External"/><Relationship Id="rId340" Type="http://schemas.openxmlformats.org/officeDocument/2006/relationships/hyperlink" Target="https://www.govinfo.gov/content/pkg/FR-2003-02-03/pdf/03-2606.pdf" TargetMode="External"/><Relationship Id="rId345" Type="http://schemas.openxmlformats.org/officeDocument/2006/relationships/hyperlink" Target="https://www.federalregister.gov/documents/2003/03/10/03-5848/blocking-property-of-persons-undermining-democratic-processes-or-institutions-in-zimbabwe" TargetMode="External"/><Relationship Id="rId344" Type="http://schemas.openxmlformats.org/officeDocument/2006/relationships/hyperlink" Target="https://www.govinfo.gov/content/pkg/FR-2003-03-05/pdf/03-05344.pdf" TargetMode="External"/><Relationship Id="rId343" Type="http://schemas.openxmlformats.org/officeDocument/2006/relationships/hyperlink" Target="https://www.federalregister.gov/documents/2003/03/05/03-05344/preserve-america" TargetMode="External"/><Relationship Id="rId342" Type="http://schemas.openxmlformats.org/officeDocument/2006/relationships/hyperlink" Target="https://www.govinfo.gov/content/pkg/FR-2003-03-05/pdf/03-5343.pdf" TargetMode="External"/><Relationship Id="rId338" Type="http://schemas.openxmlformats.org/officeDocument/2006/relationships/hyperlink" Target="https://www.govinfo.gov/content/pkg/FR-2003-01-28/pdf/03-2069.pdf" TargetMode="External"/><Relationship Id="rId337" Type="http://schemas.openxmlformats.org/officeDocument/2006/relationships/hyperlink" Target="https://www.federalregister.gov/documents/2003/01/28/03-2069/amendment-of-executive-orders-and-other-actions-in-connection-with-the-establishment-of-the" TargetMode="External"/><Relationship Id="rId336" Type="http://schemas.openxmlformats.org/officeDocument/2006/relationships/hyperlink" Target="https://www.govinfo.gov/content/pkg/FR-2003-01-24/pdf/03-1798.pdf" TargetMode="External"/><Relationship Id="rId335" Type="http://schemas.openxmlformats.org/officeDocument/2006/relationships/hyperlink" Target="https://www.federalregister.gov/documents/2003/01/24/03-1798/establishing-the-office-of-global-communications" TargetMode="External"/><Relationship Id="rId339" Type="http://schemas.openxmlformats.org/officeDocument/2006/relationships/hyperlink" Target="https://www.federalregister.gov/documents/2003/02/03/03-2606/presidents-council-on-service-and-civic-participation" TargetMode="External"/><Relationship Id="rId330" Type="http://schemas.openxmlformats.org/officeDocument/2006/relationships/hyperlink" Target="https://www.govinfo.gov/content/pkg/FR-2002-12-16/pdf/02-31832.pdf" TargetMode="External"/><Relationship Id="rId334" Type="http://schemas.openxmlformats.org/officeDocument/2006/relationships/hyperlink" Target="https://www.govinfo.gov/content/pkg/FR-2003-01-08/pdf/03-464.pdf" TargetMode="External"/><Relationship Id="rId333" Type="http://schemas.openxmlformats.org/officeDocument/2006/relationships/hyperlink" Target="https://www.federalregister.gov/documents/2003/01/08/03-464/adjustments-of-certain-rates-of-pay" TargetMode="External"/><Relationship Id="rId332" Type="http://schemas.openxmlformats.org/officeDocument/2006/relationships/hyperlink" Target="https://www.govinfo.gov/content/pkg/FR-2002-12-23/pdf/02-32518.pdf" TargetMode="External"/><Relationship Id="rId331" Type="http://schemas.openxmlformats.org/officeDocument/2006/relationships/hyperlink" Target="https://www.federalregister.gov/documents/2002/12/23/02-32518/half-day-closing-of-executive-departments-and-agencies-of-the-federal-government-on-tuesday-december" TargetMode="External"/><Relationship Id="rId370" Type="http://schemas.openxmlformats.org/officeDocument/2006/relationships/hyperlink" Target="https://www.govinfo.gov/content/pkg/FR-2003-05-13/pdf/03-12071.pdf" TargetMode="External"/><Relationship Id="rId369" Type="http://schemas.openxmlformats.org/officeDocument/2006/relationships/hyperlink" Target="https://www.federalregister.gov/documents/2003/05/13/03-12071/facilitating-the-administration-of-justice-in-the-federal-courts" TargetMode="External"/><Relationship Id="rId368" Type="http://schemas.openxmlformats.org/officeDocument/2006/relationships/hyperlink" Target="https://www.govinfo.gov/content/pkg/FR-2003-05-12/pdf/03-11969.pdf" TargetMode="External"/><Relationship Id="rId363" Type="http://schemas.openxmlformats.org/officeDocument/2006/relationships/hyperlink" Target="https://www.federalregister.gov/documents/2003/04/28/03-10606/applying-the-federal-physicians-comparability-allowance-amendments-of-2000-to-participants-in-the" TargetMode="External"/><Relationship Id="rId362" Type="http://schemas.openxmlformats.org/officeDocument/2006/relationships/hyperlink" Target="https://www.govinfo.gov/content/pkg/FR-2003-04-23/pdf/03-10194.pdf" TargetMode="External"/><Relationship Id="rId361" Type="http://schemas.openxmlformats.org/officeDocument/2006/relationships/hyperlink" Target="https://www.federalregister.gov/documents/2003/04/23/03-10194/amendments-to-executive-order-13045-protection-of-children-from-environmental-health-risks-and" TargetMode="External"/><Relationship Id="rId360" Type="http://schemas.openxmlformats.org/officeDocument/2006/relationships/hyperlink" Target="https://www.govinfo.gov/content/pkg/FR-2003-04-09/pdf/03-8832.pdf" TargetMode="External"/><Relationship Id="rId367" Type="http://schemas.openxmlformats.org/officeDocument/2006/relationships/hyperlink" Target="https://www.federalregister.gov/documents/2003/05/12/03-11969/interagency-group-on-insular-areas" TargetMode="External"/><Relationship Id="rId366" Type="http://schemas.openxmlformats.org/officeDocument/2006/relationships/hyperlink" Target="https://www.govinfo.gov/content/pkg/FR-2003-05-08/pdf/03-11713.pdf" TargetMode="External"/><Relationship Id="rId365" Type="http://schemas.openxmlformats.org/officeDocument/2006/relationships/hyperlink" Target="https://www.federalregister.gov/documents/2003/05/08/03-11713/termination-of-emergency-with-respect-to-the-actions-and-policies-of-unita-and-revocation-of-related" TargetMode="External"/><Relationship Id="rId364" Type="http://schemas.openxmlformats.org/officeDocument/2006/relationships/hyperlink" Target="https://www.govinfo.gov/content/pkg/FR-2003-04-28/pdf/03-10606.pdf" TargetMode="External"/><Relationship Id="rId95" Type="http://schemas.openxmlformats.org/officeDocument/2006/relationships/hyperlink" Target="https://www.federalregister.gov/documents/2000/07/28/00-19322/increasing-the-opportunity-for-individuals-with-disabilities-to-be-employed-in-the-federal" TargetMode="External"/><Relationship Id="rId94" Type="http://schemas.openxmlformats.org/officeDocument/2006/relationships/hyperlink" Target="https://www.govinfo.gov/content/pkg/FR-2000-07-12/pdf/00-17829.pdf" TargetMode="External"/><Relationship Id="rId97" Type="http://schemas.openxmlformats.org/officeDocument/2006/relationships/hyperlink" Target="https://www.federalregister.gov/documents/2000/07/28/00-19323/requiring-federal-agencies-to-establish-procedures-to-facilitate-the-provision-of-reasonable" TargetMode="External"/><Relationship Id="rId96" Type="http://schemas.openxmlformats.org/officeDocument/2006/relationships/hyperlink" Target="https://www.govinfo.gov/content/pkg/FR-2000-07-28/pdf/00-19322.pdf" TargetMode="External"/><Relationship Id="rId99" Type="http://schemas.openxmlformats.org/officeDocument/2006/relationships/hyperlink" Target="https://www.federalregister.gov/documents/2000/08/14/00-20670/creation-of-the-white-house-task-force-on-drug-use-in-sports-and-authorization-for-the-director-of" TargetMode="External"/><Relationship Id="rId98" Type="http://schemas.openxmlformats.org/officeDocument/2006/relationships/hyperlink" Target="https://www.govinfo.gov/content/pkg/FR-2000-07-28/pdf/00-19323.pdf" TargetMode="External"/><Relationship Id="rId91" Type="http://schemas.openxmlformats.org/officeDocument/2006/relationships/hyperlink" Target="https://www.federalregister.gov/documents/2000/07/05/00-17174/establishment-of-the-presidential-medal-of-valor-for-public-safety-officers" TargetMode="External"/><Relationship Id="rId90" Type="http://schemas.openxmlformats.org/officeDocument/2006/relationships/hyperlink" Target="https://www.govinfo.gov/content/pkg/FR-2000-06-27/pdf/00-16434.pdf" TargetMode="External"/><Relationship Id="rId93" Type="http://schemas.openxmlformats.org/officeDocument/2006/relationships/hyperlink" Target="https://www.federalregister.gov/documents/2000/07/12/00-17829/federal-career-intern-program" TargetMode="External"/><Relationship Id="rId92" Type="http://schemas.openxmlformats.org/officeDocument/2006/relationships/hyperlink" Target="https://www.govinfo.gov/content/pkg/FR-2000-07-05/pdf/00-17174.pdf" TargetMode="External"/><Relationship Id="rId359" Type="http://schemas.openxmlformats.org/officeDocument/2006/relationships/hyperlink" Target="https://www.federalregister.gov/documents/2003/04/09/03-8832/revised-list-of-quarantinable-communicable-diseases" TargetMode="External"/><Relationship Id="rId358" Type="http://schemas.openxmlformats.org/officeDocument/2006/relationships/hyperlink" Target="https://www.govinfo.gov/content/pkg/FR-2003-04-01/pdf/03-8109.pdf" TargetMode="External"/><Relationship Id="rId357" Type="http://schemas.openxmlformats.org/officeDocument/2006/relationships/hyperlink" Target="https://www.federalregister.gov/documents/2003/04/01/03-8109/regulations-relating-to-hazardous-duty-incentive-pay-aviation-career-incentive-pay-and-submarine" TargetMode="External"/><Relationship Id="rId352" Type="http://schemas.openxmlformats.org/officeDocument/2006/relationships/hyperlink" Target="https://www.govinfo.gov/content/pkg/FR-2003-03-25/pdf/03-7313.pdf" TargetMode="External"/><Relationship Id="rId351" Type="http://schemas.openxmlformats.org/officeDocument/2006/relationships/hyperlink" Target="https://www.federalregister.gov/documents/2003/03/25/03-7313/further-adjustment-of-certain-rates-of-pay" TargetMode="External"/><Relationship Id="rId350" Type="http://schemas.openxmlformats.org/officeDocument/2006/relationships/hyperlink" Target="https://www.govinfo.gov/content/pkg/FR-2003-03-24/pdf/03-7160.pdf" TargetMode="External"/><Relationship Id="rId356" Type="http://schemas.openxmlformats.org/officeDocument/2006/relationships/hyperlink" Target="https://www.govinfo.gov/content/pkg/FR-2003-04-01/pdf/03-8108.pdf" TargetMode="External"/><Relationship Id="rId355" Type="http://schemas.openxmlformats.org/officeDocument/2006/relationships/hyperlink" Target="https://www.federalregister.gov/documents/2003/04/01/03-8108/amendment-to-executive-order-10448-establishing-the-national-defense-service-medal" TargetMode="External"/><Relationship Id="rId354" Type="http://schemas.openxmlformats.org/officeDocument/2006/relationships/hyperlink" Target="https://www.govinfo.gov/content/pkg/FR-2003-03-28/pdf/03-7736.pdf" TargetMode="External"/><Relationship Id="rId353" Type="http://schemas.openxmlformats.org/officeDocument/2006/relationships/hyperlink" Target="https://www.federalregister.gov/documents/2003/03/28/03-7736/further-amendment-to-executive-order-12958-as-amended-classified-national-security-information" TargetMode="External"/><Relationship Id="rId1378" Type="http://schemas.openxmlformats.org/officeDocument/2006/relationships/hyperlink" Target="https://www.govinfo.gov/content/pkg/FR-2017-07-07/pdf/2017-14378.pdf" TargetMode="External"/><Relationship Id="rId1379" Type="http://schemas.openxmlformats.org/officeDocument/2006/relationships/hyperlink" Target="https://www.federalregister.gov/documents/2017/07/14/2017-14992/allowing-additional-time-for-recognizing-positive-actions-by-the-government-of-sudan-and-amending" TargetMode="External"/><Relationship Id="rId305" Type="http://schemas.openxmlformats.org/officeDocument/2006/relationships/hyperlink" Target="https://www.federalregister.gov/documents/2002/07/03/02-16951/termination-of-emergency-with-respect-to-the-taliban-and-amendment-of-executive-order-13224-of" TargetMode="External"/><Relationship Id="rId789" Type="http://schemas.openxmlformats.org/officeDocument/2006/relationships/hyperlink" Target="https://www.federalregister.gov/documents/2009/07/06/E9-16034/waiver-under-the-trade-act-of-1974-with-respect-to-the-republic-of-belarus" TargetMode="External"/><Relationship Id="rId304" Type="http://schemas.openxmlformats.org/officeDocument/2006/relationships/hyperlink" Target="https://www.govinfo.gov/content/pkg/FR-2002-06-24/pdf/02-16041.pdf" TargetMode="External"/><Relationship Id="rId788" Type="http://schemas.openxmlformats.org/officeDocument/2006/relationships/hyperlink" Target="https://www.govinfo.gov/content/pkg/FR-2009-06-26/pdf/E9-15368.pdf" TargetMode="External"/><Relationship Id="rId303" Type="http://schemas.openxmlformats.org/officeDocument/2006/relationships/hyperlink" Target="https://www.federalregister.gov/documents/2002/06/24/02-16041/establishing-a-transition-planning-office-for-the-department-of-homeland-security-within-the-office" TargetMode="External"/><Relationship Id="rId787" Type="http://schemas.openxmlformats.org/officeDocument/2006/relationships/hyperlink" Target="https://www.federalregister.gov/documents/2009/06/26/E9-15368/establishing-a-white-house-council-on-automotive-communities-and-workers" TargetMode="External"/><Relationship Id="rId302" Type="http://schemas.openxmlformats.org/officeDocument/2006/relationships/hyperlink" Target="https://www.govinfo.gov/content/pkg/FR-2002-06-24/pdf/02-16040.pdf" TargetMode="External"/><Relationship Id="rId786" Type="http://schemas.openxmlformats.org/officeDocument/2006/relationships/hyperlink" Target="https://www.govinfo.gov/content/pkg/FR-2009-05-15/pdf/E9-11547.pdf" TargetMode="External"/><Relationship Id="rId309" Type="http://schemas.openxmlformats.org/officeDocument/2006/relationships/hyperlink" Target="https://www.federalregister.gov/documents/2002/07/08/02-17274/tribal-colleges-and-universities" TargetMode="External"/><Relationship Id="rId308" Type="http://schemas.openxmlformats.org/officeDocument/2006/relationships/hyperlink" Target="https://www.govinfo.gov/content/pkg/FR-2002-07-08/pdf/02-17273.pdf" TargetMode="External"/><Relationship Id="rId307" Type="http://schemas.openxmlformats.org/officeDocument/2006/relationships/hyperlink" Target="https://www.federalregister.gov/documents/2002/07/08/02-17273/expedited-naturalization-of-aliens-and-noncitizen-nationals-serving-in-an-active-duty-status-during" TargetMode="External"/><Relationship Id="rId306" Type="http://schemas.openxmlformats.org/officeDocument/2006/relationships/hyperlink" Target="https://www.govinfo.gov/content/pkg/FR-2002-07-03/pdf/02-16951.pdf" TargetMode="External"/><Relationship Id="rId781" Type="http://schemas.openxmlformats.org/officeDocument/2006/relationships/hyperlink" Target="https://www.federalregister.gov/documents/2009/03/16/E9-5802/establishing-a-white-house-council-on-women-and-girls" TargetMode="External"/><Relationship Id="rId1370" Type="http://schemas.openxmlformats.org/officeDocument/2006/relationships/hyperlink" Target="https://www.govinfo.gov/content/pkg/FR-2017-05-16/pdf/2017-10003.pdf" TargetMode="External"/><Relationship Id="rId780" Type="http://schemas.openxmlformats.org/officeDocument/2006/relationships/hyperlink" Target="https://www.govinfo.gov/content/pkg/FR-2009-03-11/pdf/E9-5441.pdf" TargetMode="External"/><Relationship Id="rId1371" Type="http://schemas.openxmlformats.org/officeDocument/2006/relationships/hyperlink" Target="https://www.federalregister.gov/documents/2017/05/16/2017-10004/strengthening-the-cybersecurity-of-federal-networks-and-critical-infrastructure" TargetMode="External"/><Relationship Id="rId1372" Type="http://schemas.openxmlformats.org/officeDocument/2006/relationships/hyperlink" Target="https://www.govinfo.gov/content/pkg/FR-2017-05-16/pdf/2017-10004.pdf" TargetMode="External"/><Relationship Id="rId1373" Type="http://schemas.openxmlformats.org/officeDocument/2006/relationships/hyperlink" Target="https://www.federalregister.gov/documents/2017/06/20/2017-13012/expanding-apprenticeships-in-america" TargetMode="External"/><Relationship Id="rId301" Type="http://schemas.openxmlformats.org/officeDocument/2006/relationships/hyperlink" Target="https://www.federalregister.gov/documents/2002/06/24/02-16040/activities-to-promote-personal-fitness" TargetMode="External"/><Relationship Id="rId785" Type="http://schemas.openxmlformats.org/officeDocument/2006/relationships/hyperlink" Target="https://www.federalregister.gov/documents/2009/05/15/E9-11547/chesapeake-bay-protection-and-restoration" TargetMode="External"/><Relationship Id="rId1374" Type="http://schemas.openxmlformats.org/officeDocument/2006/relationships/hyperlink" Target="https://www.govinfo.gov/content/pkg/FR-2017-06-20/pdf/2017-13012.pdf" TargetMode="External"/><Relationship Id="rId300" Type="http://schemas.openxmlformats.org/officeDocument/2006/relationships/hyperlink" Target="https://www.govinfo.gov/content/pkg/FR-2002-06-11/pdf/02-14807.pdf" TargetMode="External"/><Relationship Id="rId784" Type="http://schemas.openxmlformats.org/officeDocument/2006/relationships/hyperlink" Target="https://www.govinfo.gov/content/pkg/FR-2009-04-13/pdf/E9-8572.pdf" TargetMode="External"/><Relationship Id="rId1375" Type="http://schemas.openxmlformats.org/officeDocument/2006/relationships/hyperlink" Target="https://www.federalregister.gov/documents/2017/06/26/2017-13458/amending-executive-order-13597" TargetMode="External"/><Relationship Id="rId783" Type="http://schemas.openxmlformats.org/officeDocument/2006/relationships/hyperlink" Target="https://www.federalregister.gov/documents/2009/04/13/E9-8572/establishment-of-the-white-house-office-of-health-reform" TargetMode="External"/><Relationship Id="rId1376" Type="http://schemas.openxmlformats.org/officeDocument/2006/relationships/hyperlink" Target="https://www.govinfo.gov/content/pkg/FR-2017-06-26/pdf/2017-13458.pdf" TargetMode="External"/><Relationship Id="rId782" Type="http://schemas.openxmlformats.org/officeDocument/2006/relationships/hyperlink" Target="https://www.govinfo.gov/content/pkg/FR-2009-03-16/pdf/E9-5802.pdf" TargetMode="External"/><Relationship Id="rId1377" Type="http://schemas.openxmlformats.org/officeDocument/2006/relationships/hyperlink" Target="https://www.federalregister.gov/documents/2017/07/07/2017-14378/reviving-the-national-space-council" TargetMode="External"/><Relationship Id="rId1367" Type="http://schemas.openxmlformats.org/officeDocument/2006/relationships/hyperlink" Target="https://www.federalregister.gov/documents/2017/05/09/2017-09574/promoting-free-speech-and-religious-liberty" TargetMode="External"/><Relationship Id="rId1368" Type="http://schemas.openxmlformats.org/officeDocument/2006/relationships/hyperlink" Target="https://www.govinfo.gov/content/pkg/FR-2017-05-09/pdf/2017-09574.pdf" TargetMode="External"/><Relationship Id="rId1369" Type="http://schemas.openxmlformats.org/officeDocument/2006/relationships/hyperlink" Target="https://www.federalregister.gov/documents/2017/05/16/2017-10003/establishment-of-presidential-advisory-commission-on-election-integrity" TargetMode="External"/><Relationship Id="rId778" Type="http://schemas.openxmlformats.org/officeDocument/2006/relationships/hyperlink" Target="https://www.govinfo.gov/content/pkg/FR-2009-02-24/pdf/E9-4103.pdf" TargetMode="External"/><Relationship Id="rId777" Type="http://schemas.openxmlformats.org/officeDocument/2006/relationships/hyperlink" Target="https://www.federalregister.gov/documents/2009/02/24/E9-4103/amending-executive-order-13390" TargetMode="External"/><Relationship Id="rId776" Type="http://schemas.openxmlformats.org/officeDocument/2006/relationships/hyperlink" Target="https://www.govinfo.gov/content/pkg/FR-2009-02-24/pdf/E9-4068.pdf" TargetMode="External"/><Relationship Id="rId775" Type="http://schemas.openxmlformats.org/officeDocument/2006/relationships/hyperlink" Target="https://www.federalregister.gov/documents/2009/02/24/E9-4068/establishment-of-the-white-house-office-of-urban-affairs" TargetMode="External"/><Relationship Id="rId779" Type="http://schemas.openxmlformats.org/officeDocument/2006/relationships/hyperlink" Target="https://www.federalregister.gov/documents/2009/03/11/E9-5441/removing-barriers-to-responsible-scientific-research-involving-human-stem-cells" TargetMode="External"/><Relationship Id="rId770" Type="http://schemas.openxmlformats.org/officeDocument/2006/relationships/hyperlink" Target="https://www.govinfo.gov/content/pkg/FR-2009-02-11/pdf/E9-3108.pdf" TargetMode="External"/><Relationship Id="rId1360" Type="http://schemas.openxmlformats.org/officeDocument/2006/relationships/hyperlink" Target="https://www.govinfo.gov/content/pkg/FR-2017-05-03/pdf/2017-09083.pdf" TargetMode="External"/><Relationship Id="rId1361" Type="http://schemas.openxmlformats.org/officeDocument/2006/relationships/hyperlink" Target="https://www.federalregister.gov/documents/2017/05/03/2017-09087/implementing-an-america-first-offshore-energy-strategy" TargetMode="External"/><Relationship Id="rId1362" Type="http://schemas.openxmlformats.org/officeDocument/2006/relationships/hyperlink" Target="https://www.govinfo.gov/content/pkg/FR-2017-05-03/pdf/2017-09087.pdf" TargetMode="External"/><Relationship Id="rId774" Type="http://schemas.openxmlformats.org/officeDocument/2006/relationships/hyperlink" Target="https://www.govinfo.gov/content/pkg/FR-2009-02-11/pdf/E9-3113.pdf" TargetMode="External"/><Relationship Id="rId1363" Type="http://schemas.openxmlformats.org/officeDocument/2006/relationships/hyperlink" Target="https://www.federalregister.gov/documents/2017/05/04/2017-09156/addressing-trade-agreement-violations-and-abuses" TargetMode="External"/><Relationship Id="rId773" Type="http://schemas.openxmlformats.org/officeDocument/2006/relationships/hyperlink" Target="https://www.federalregister.gov/documents/2009/02/11/E9-3113/use-of-project-labor-agreements-for-federal-construction-projects" TargetMode="External"/><Relationship Id="rId1364" Type="http://schemas.openxmlformats.org/officeDocument/2006/relationships/hyperlink" Target="https://www.govinfo.gov/content/pkg/FR-2017-05-04/pdf/2017-09156.pdf" TargetMode="External"/><Relationship Id="rId772" Type="http://schemas.openxmlformats.org/officeDocument/2006/relationships/hyperlink" Target="https://www.govinfo.gov/content/pkg/FR-2009-02-11/pdf/E9-3112.pdf" TargetMode="External"/><Relationship Id="rId1365" Type="http://schemas.openxmlformats.org/officeDocument/2006/relationships/hyperlink" Target="https://www.federalregister.gov/documents/2017/05/04/2017-09161/establishment-of-office-of-trade-and-manufacturing-policy" TargetMode="External"/><Relationship Id="rId771" Type="http://schemas.openxmlformats.org/officeDocument/2006/relationships/hyperlink" Target="https://www.federalregister.gov/documents/2009/02/11/E9-3112/establishment-of-the-presidents-economic-recovery-advisory-board" TargetMode="External"/><Relationship Id="rId1366" Type="http://schemas.openxmlformats.org/officeDocument/2006/relationships/hyperlink" Target="https://www.govinfo.gov/content/pkg/FR-2017-05-04/pdf/2017-09161.pdf" TargetMode="External"/><Relationship Id="rId327" Type="http://schemas.openxmlformats.org/officeDocument/2006/relationships/hyperlink" Target="https://www.federalregister.gov/documents/2002/12/16/02-31831/equal-protection-of-the-laws-for-faith-based-and-community-organizations" TargetMode="External"/><Relationship Id="rId326" Type="http://schemas.openxmlformats.org/officeDocument/2006/relationships/hyperlink" Target="https://www.govinfo.gov/content/pkg/FR-2002-12-13/pdf/02-31624.pdf" TargetMode="External"/><Relationship Id="rId325" Type="http://schemas.openxmlformats.org/officeDocument/2006/relationships/hyperlink" Target="https://www.federalregister.gov/documents/2002/12/13/02-31624/presidents-commission-on-the-united-states-postal-service" TargetMode="External"/><Relationship Id="rId324" Type="http://schemas.openxmlformats.org/officeDocument/2006/relationships/hyperlink" Target="https://www.govinfo.gov/content/pkg/FR-2002-11-21/pdf/02-29832.pdf" TargetMode="External"/><Relationship Id="rId329" Type="http://schemas.openxmlformats.org/officeDocument/2006/relationships/hyperlink" Target="https://www.federalregister.gov/documents/2002/12/16/02-31832/responsibilities-of-the-department-of-agriculture-and-the-agency-for-international-development-with" TargetMode="External"/><Relationship Id="rId1390" Type="http://schemas.openxmlformats.org/officeDocument/2006/relationships/hyperlink" Target="https://www.govinfo.gov/content/pkg/FR-2017-08-31/pdf/2017-18679.pdf" TargetMode="External"/><Relationship Id="rId328" Type="http://schemas.openxmlformats.org/officeDocument/2006/relationships/hyperlink" Target="https://www.govinfo.gov/content/pkg/FR-2002-12-16/pdf/02-31831.pdf" TargetMode="External"/><Relationship Id="rId1391" Type="http://schemas.openxmlformats.org/officeDocument/2006/relationships/hyperlink" Target="https://www.federalregister.gov/documents/2017/09/25/2017-20647/imposing-additional-sanctions-with-respect-to-north-korea" TargetMode="External"/><Relationship Id="rId1392" Type="http://schemas.openxmlformats.org/officeDocument/2006/relationships/hyperlink" Target="https://www.govinfo.gov/content/pkg/FR-2017-09-25/pdf/2017-20647.pdf" TargetMode="External"/><Relationship Id="rId1393" Type="http://schemas.openxmlformats.org/officeDocument/2006/relationships/hyperlink" Target="https://www.federalregister.gov/documents/2017/10/04/2017-21555/continuance-of-certain-federal-advisory-committees" TargetMode="External"/><Relationship Id="rId1394" Type="http://schemas.openxmlformats.org/officeDocument/2006/relationships/hyperlink" Target="https://www.govinfo.gov/content/pkg/FR-2017-10-04/pdf/2017-21555.pdf" TargetMode="External"/><Relationship Id="rId1395" Type="http://schemas.openxmlformats.org/officeDocument/2006/relationships/hyperlink" Target="https://www.federalregister.gov/documents/2017/10/04/2017-21559/revocation-of-executive-order-creating-labor--management-forums" TargetMode="External"/><Relationship Id="rId323" Type="http://schemas.openxmlformats.org/officeDocument/2006/relationships/hyperlink" Target="https://www.federalregister.gov/documents/2002/11/21/02-29832/delegation-of-certain-authorities-and-assignment-of-certain-functions-under-the-trade-act-of-2002" TargetMode="External"/><Relationship Id="rId1396" Type="http://schemas.openxmlformats.org/officeDocument/2006/relationships/hyperlink" Target="https://www.govinfo.gov/content/pkg/FR-2017-10-04/pdf/2017-21559.pdf" TargetMode="External"/><Relationship Id="rId322" Type="http://schemas.openxmlformats.org/officeDocument/2006/relationships/hyperlink" Target="https://www.govinfo.gov/content/pkg/FR-2002-11-19/pdf/02-29580.pdf" TargetMode="External"/><Relationship Id="rId1397" Type="http://schemas.openxmlformats.org/officeDocument/2006/relationships/hyperlink" Target="https://www.federalregister.gov/documents/2017/10/17/2017-22677/promoting-healthcare-choice-and-competition-across-the-united-states" TargetMode="External"/><Relationship Id="rId321" Type="http://schemas.openxmlformats.org/officeDocument/2006/relationships/hyperlink" Target="https://www.federalregister.gov/documents/2002/11/19/02-29580/delegation-of-responsibilities-concerning-undocumented-aliens-interdicted-or-intercepted-in-the" TargetMode="External"/><Relationship Id="rId1398" Type="http://schemas.openxmlformats.org/officeDocument/2006/relationships/hyperlink" Target="https://www.govinfo.gov/content/pkg/FR-2017-10-17/pdf/2017-22677.pdf" TargetMode="External"/><Relationship Id="rId320" Type="http://schemas.openxmlformats.org/officeDocument/2006/relationships/hyperlink" Target="https://www.govinfo.gov/content/pkg/FR-2002-10-09/pdf/02-25900.pdf" TargetMode="External"/><Relationship Id="rId1399" Type="http://schemas.openxmlformats.org/officeDocument/2006/relationships/hyperlink" Target="https://www.federalregister.gov/documents/2017/10/24/2017-23270/amending-executive-order-13223" TargetMode="External"/><Relationship Id="rId1389" Type="http://schemas.openxmlformats.org/officeDocument/2006/relationships/hyperlink" Target="https://www.federalregister.gov/documents/2017/08/31/2017-18679/restoring-state-tribal-and-local-law-enforcements-access-to-life-saving-equipment-and-resources" TargetMode="External"/><Relationship Id="rId316" Type="http://schemas.openxmlformats.org/officeDocument/2006/relationships/hyperlink" Target="https://www.govinfo.gov/content/pkg/FR-2002-09-03/pdf/02-22526.pdf" TargetMode="External"/><Relationship Id="rId315" Type="http://schemas.openxmlformats.org/officeDocument/2006/relationships/hyperlink" Target="https://www.federalregister.gov/documents/2002/09/03/02-22526/further-amending-executive-order-10173-as-amended-prescribing-regulations-relating-to-the" TargetMode="External"/><Relationship Id="rId799" Type="http://schemas.openxmlformats.org/officeDocument/2006/relationships/hyperlink" Target="https://www.federalregister.gov/documents/2009/10/19/E9-25268/increasing-participation-of-asian-americans-and-pacific-islanders-in-federal-programs" TargetMode="External"/><Relationship Id="rId314" Type="http://schemas.openxmlformats.org/officeDocument/2006/relationships/hyperlink" Target="https://www.govinfo.gov/content/pkg/FR-2002-08-16/pdf/02-21056.pdf" TargetMode="External"/><Relationship Id="rId798" Type="http://schemas.openxmlformats.org/officeDocument/2006/relationships/hyperlink" Target="https://www.govinfo.gov/content/pkg/FR-2009-10-08/pdf/E9-24518.pdf" TargetMode="External"/><Relationship Id="rId313" Type="http://schemas.openxmlformats.org/officeDocument/2006/relationships/hyperlink" Target="https://www.federalregister.gov/documents/2002/08/16/02-21056/proper-consideration-of-small-entities-in-agency-rulemaking" TargetMode="External"/><Relationship Id="rId797" Type="http://schemas.openxmlformats.org/officeDocument/2006/relationships/hyperlink" Target="https://www.federalregister.gov/documents/2009/10/08/E9-24518/federal-leadership-in-environmental-energy-and-economic-performance" TargetMode="External"/><Relationship Id="rId319" Type="http://schemas.openxmlformats.org/officeDocument/2006/relationships/hyperlink" Target="https://www.federalregister.gov/documents/2002/10/09/02-25900/creating-a-board-of-inquiry-to-report-on-certain-labor-disputes-affecting-the-maritime-industry-of" TargetMode="External"/><Relationship Id="rId318" Type="http://schemas.openxmlformats.org/officeDocument/2006/relationships/hyperlink" Target="https://www.govinfo.gov/content/pkg/FR-2002-09-23/pdf/02-24252.pdf" TargetMode="External"/><Relationship Id="rId317" Type="http://schemas.openxmlformats.org/officeDocument/2006/relationships/hyperlink" Target="https://www.federalregister.gov/documents/2002/09/23/02-24252/environmental-stewardship-and-transportation-infrastructure-project-reviews" TargetMode="External"/><Relationship Id="rId1380" Type="http://schemas.openxmlformats.org/officeDocument/2006/relationships/hyperlink" Target="https://www.govinfo.gov/content/pkg/FR-2017-07-14/pdf/2017-14992.pdf" TargetMode="External"/><Relationship Id="rId792" Type="http://schemas.openxmlformats.org/officeDocument/2006/relationships/hyperlink" Target="https://www.govinfo.gov/content/pkg/FR-2009-10-01/pdf/E9-23886.pdf" TargetMode="External"/><Relationship Id="rId1381" Type="http://schemas.openxmlformats.org/officeDocument/2006/relationships/hyperlink" Target="https://www.federalregister.gov/documents/2017/07/25/2017-15680/establishing-a-presidential-advisory-council-on-infrastructure" TargetMode="External"/><Relationship Id="rId791" Type="http://schemas.openxmlformats.org/officeDocument/2006/relationships/hyperlink" Target="https://www.federalregister.gov/documents/2009/10/01/E9-23886/continuance-of-certain-federal-advisory-committees" TargetMode="External"/><Relationship Id="rId1382" Type="http://schemas.openxmlformats.org/officeDocument/2006/relationships/hyperlink" Target="https://www.govinfo.gov/content/pkg/FR-2017-07-25/pdf/2017-15680.pdf" TargetMode="External"/><Relationship Id="rId790" Type="http://schemas.openxmlformats.org/officeDocument/2006/relationships/hyperlink" Target="https://www.govinfo.gov/content/pkg/FR-2009-07-06/pdf/E9-16034.pdf" TargetMode="External"/><Relationship Id="rId1383" Type="http://schemas.openxmlformats.org/officeDocument/2006/relationships/hyperlink" Target="https://www.federalregister.gov/documents/2017/07/26/2017-15860/assessing-and-strengthening-the-manufacturing-and-defense-industrial-base-and-supply-chain" TargetMode="External"/><Relationship Id="rId1384" Type="http://schemas.openxmlformats.org/officeDocument/2006/relationships/hyperlink" Target="https://www.govinfo.gov/content/pkg/FR-2017-07-26/pdf/2017-15860.pdf" TargetMode="External"/><Relationship Id="rId312" Type="http://schemas.openxmlformats.org/officeDocument/2006/relationships/hyperlink" Target="https://www.govinfo.gov/content/pkg/FR-2002-07-11/pdf/02-17640.pdf" TargetMode="External"/><Relationship Id="rId796" Type="http://schemas.openxmlformats.org/officeDocument/2006/relationships/hyperlink" Target="https://www.govinfo.gov/content/pkg/FR-2009-10-06/pdf/E9-24203.pdf" TargetMode="External"/><Relationship Id="rId1385" Type="http://schemas.openxmlformats.org/officeDocument/2006/relationships/hyperlink" Target="https://www.federalregister.gov/documents/2017/08/24/2017-18134/establishing-discipline-and-accountability-in-the-environmental-review-and-permitting-process-for" TargetMode="External"/><Relationship Id="rId311" Type="http://schemas.openxmlformats.org/officeDocument/2006/relationships/hyperlink" Target="https://www.federalregister.gov/documents/2002/07/11/02-17640/establishment-of-the-corporate-fraud-task-force" TargetMode="External"/><Relationship Id="rId795" Type="http://schemas.openxmlformats.org/officeDocument/2006/relationships/hyperlink" Target="https://www.federalregister.gov/documents/2009/10/06/E9-24203/federal-leadership-on-reducing-text-messaging-while-driving" TargetMode="External"/><Relationship Id="rId1386" Type="http://schemas.openxmlformats.org/officeDocument/2006/relationships/hyperlink" Target="https://www.govinfo.gov/content/pkg/FR-2017-08-24/pdf/2017-18134.pdf" TargetMode="External"/><Relationship Id="rId310" Type="http://schemas.openxmlformats.org/officeDocument/2006/relationships/hyperlink" Target="https://www.govinfo.gov/content/pkg/FR-2002-07-08/pdf/02-17274.pdf" TargetMode="External"/><Relationship Id="rId794" Type="http://schemas.openxmlformats.org/officeDocument/2006/relationships/hyperlink" Target="https://www.govinfo.gov/content/pkg/FR-2009-10-02/pdf/E9-23915.pdf" TargetMode="External"/><Relationship Id="rId1387" Type="http://schemas.openxmlformats.org/officeDocument/2006/relationships/hyperlink" Target="https://www.federalregister.gov/documents/2017/08/29/2017-18468/imposing-additional-sanctions-with-respect-to-the-situation-in-venezuela" TargetMode="External"/><Relationship Id="rId793" Type="http://schemas.openxmlformats.org/officeDocument/2006/relationships/hyperlink" Target="https://www.federalregister.gov/documents/2009/10/02/E9-23915/amending-executive-order-13390" TargetMode="External"/><Relationship Id="rId1388" Type="http://schemas.openxmlformats.org/officeDocument/2006/relationships/hyperlink" Target="https://www.govinfo.gov/content/pkg/FR-2017-08-29/pdf/2017-18468.pdf" TargetMode="External"/><Relationship Id="rId297" Type="http://schemas.openxmlformats.org/officeDocument/2006/relationships/hyperlink" Target="https://www.federalregister.gov/documents/2002/06/07/02-14497/amendment-to-executive-order-13180-air-traffic-performance-based-organization" TargetMode="External"/><Relationship Id="rId296" Type="http://schemas.openxmlformats.org/officeDocument/2006/relationships/hyperlink" Target="https://www.govinfo.gov/content/pkg/FR-2002-05-03/pdf/02-11166.pdf" TargetMode="External"/><Relationship Id="rId295" Type="http://schemas.openxmlformats.org/officeDocument/2006/relationships/hyperlink" Target="https://www.federalregister.gov/documents/2002/05/03/02-11166/presidents-new-freedom-commission-on-mental-health" TargetMode="External"/><Relationship Id="rId294" Type="http://schemas.openxmlformats.org/officeDocument/2006/relationships/hyperlink" Target="https://www.govinfo.gov/content/pkg/FR-2002-04-17/pdf/02-9536.pdf" TargetMode="External"/><Relationship Id="rId299" Type="http://schemas.openxmlformats.org/officeDocument/2006/relationships/hyperlink" Target="https://www.federalregister.gov/documents/2002/06/11/02-14807/presidents-council-on-physical-fitness-and-sports" TargetMode="External"/><Relationship Id="rId298" Type="http://schemas.openxmlformats.org/officeDocument/2006/relationships/hyperlink" Target="https://www.govinfo.gov/content/pkg/FR-2002-06-07/pdf/02-14497.pdf" TargetMode="External"/><Relationship Id="rId271" Type="http://schemas.openxmlformats.org/officeDocument/2006/relationships/hyperlink" Target="https://www.federalregister.gov/documents/2002/01/11/02-918/providing-an-order-of-succession-within-the-department-of-state" TargetMode="External"/><Relationship Id="rId270" Type="http://schemas.openxmlformats.org/officeDocument/2006/relationships/hyperlink" Target="https://www.govinfo.gov/content/pkg/FR-2002-01-11/pdf/02-917.pdf" TargetMode="External"/><Relationship Id="rId269" Type="http://schemas.openxmlformats.org/officeDocument/2006/relationships/hyperlink" Target="https://www.federalregister.gov/documents/2002/01/11/02-917/providing-an-order-of-succession-within-the-department-of-health-and-human-services" TargetMode="External"/><Relationship Id="rId264" Type="http://schemas.openxmlformats.org/officeDocument/2006/relationships/hyperlink" Target="https://www.govinfo.gov/content/pkg/FR-2001-12-21/pdf/01-31672.pdf" TargetMode="External"/><Relationship Id="rId263" Type="http://schemas.openxmlformats.org/officeDocument/2006/relationships/hyperlink" Target="https://www.federalregister.gov/documents/2001/12/21/01-31672/providing-an-order-of-succession-within-the-department-of-veterans-affairs" TargetMode="External"/><Relationship Id="rId262" Type="http://schemas.openxmlformats.org/officeDocument/2006/relationships/hyperlink" Target="https://www.govinfo.gov/content/pkg/FR-2001-12-21/pdf/01-31671.pdf" TargetMode="External"/><Relationship Id="rId261" Type="http://schemas.openxmlformats.org/officeDocument/2006/relationships/hyperlink" Target="https://www.federalregister.gov/documents/2001/12/21/01-31671/providing-an-order-of-succession-within-the-department-of-the-treasury" TargetMode="External"/><Relationship Id="rId268" Type="http://schemas.openxmlformats.org/officeDocument/2006/relationships/hyperlink" Target="https://www.govinfo.gov/content/pkg/FR-2002-01-07/pdf/02-448.pdf" TargetMode="External"/><Relationship Id="rId267" Type="http://schemas.openxmlformats.org/officeDocument/2006/relationships/hyperlink" Target="https://www.federalregister.gov/documents/2002/01/07/02-448/adjustments-of-certain-rates-of-pay" TargetMode="External"/><Relationship Id="rId266" Type="http://schemas.openxmlformats.org/officeDocument/2006/relationships/hyperlink" Target="https://www.govinfo.gov/content/pkg/FR-2001-12-27/pdf/01-31959.pdf" TargetMode="External"/><Relationship Id="rId265" Type="http://schemas.openxmlformats.org/officeDocument/2006/relationships/hyperlink" Target="https://www.federalregister.gov/documents/2001/12/27/01-31959/establishing-an-emergency-board-to-investigate-a-dispute-between-united-airlines-inc-and-its" TargetMode="External"/><Relationship Id="rId260" Type="http://schemas.openxmlformats.org/officeDocument/2006/relationships/hyperlink" Target="https://www.govinfo.gov/content/pkg/FR-2001-12-21/pdf/01-31670.pdf" TargetMode="External"/><Relationship Id="rId259" Type="http://schemas.openxmlformats.org/officeDocument/2006/relationships/hyperlink" Target="https://www.federalregister.gov/documents/2001/12/21/01-31670/providing-an-order-of-succession-within-the-department-of-labor" TargetMode="External"/><Relationship Id="rId258" Type="http://schemas.openxmlformats.org/officeDocument/2006/relationships/hyperlink" Target="https://www.govinfo.gov/content/pkg/FR-2001-12-21/pdf/01-31669.pdf" TargetMode="External"/><Relationship Id="rId253" Type="http://schemas.openxmlformats.org/officeDocument/2006/relationships/hyperlink" Target="https://www.federalregister.gov/documents/2001/12/21/01-31667/providing-an-order-of-succession-within-the-department-of-commerce" TargetMode="External"/><Relationship Id="rId252" Type="http://schemas.openxmlformats.org/officeDocument/2006/relationships/hyperlink" Target="https://www.govinfo.gov/content/pkg/FR-2001-12-21/pdf/01-31666.pdf" TargetMode="External"/><Relationship Id="rId251" Type="http://schemas.openxmlformats.org/officeDocument/2006/relationships/hyperlink" Target="https://www.federalregister.gov/documents/2001/12/21/01-31666/providing-an-order-of-succession-within-the-department-of-agriculture" TargetMode="External"/><Relationship Id="rId250" Type="http://schemas.openxmlformats.org/officeDocument/2006/relationships/hyperlink" Target="https://www.govinfo.gov/content/pkg/FR-2001-12-21/pdf/01-31665.pdf" TargetMode="External"/><Relationship Id="rId257" Type="http://schemas.openxmlformats.org/officeDocument/2006/relationships/hyperlink" Target="https://www.federalregister.gov/documents/2001/12/21/01-31669/providing-an-order-of-succession-within-the-department-of-the-interior" TargetMode="External"/><Relationship Id="rId256" Type="http://schemas.openxmlformats.org/officeDocument/2006/relationships/hyperlink" Target="https://www.govinfo.gov/content/pkg/FR-2001-12-21/pdf/01-31668.pdf" TargetMode="External"/><Relationship Id="rId255" Type="http://schemas.openxmlformats.org/officeDocument/2006/relationships/hyperlink" Target="https://www.federalregister.gov/documents/2001/12/21/01-31668/providing-an-order-of-succession-within-the-department-of-housing-and-urban-development" TargetMode="External"/><Relationship Id="rId254" Type="http://schemas.openxmlformats.org/officeDocument/2006/relationships/hyperlink" Target="https://www.govinfo.gov/content/pkg/FR-2001-12-21/pdf/01-31667.pdf" TargetMode="External"/><Relationship Id="rId293" Type="http://schemas.openxmlformats.org/officeDocument/2006/relationships/hyperlink" Target="https://www.federalregister.gov/documents/2002/04/17/02-9536/2002-amendments-to-the-manual-for-courts-martial-united-states" TargetMode="External"/><Relationship Id="rId292" Type="http://schemas.openxmlformats.org/officeDocument/2006/relationships/hyperlink" Target="https://www.govinfo.gov/content/pkg/FR-2002-03-21/pdf/02-7087.pdf" TargetMode="External"/><Relationship Id="rId291" Type="http://schemas.openxmlformats.org/officeDocument/2006/relationships/hyperlink" Target="https://www.federalregister.gov/documents/2002/03/21/02-7087/providing-an-order-of-succession-in-the-environmental-protection-agency-and-amending-certain-orders" TargetMode="External"/><Relationship Id="rId290" Type="http://schemas.openxmlformats.org/officeDocument/2006/relationships/hyperlink" Target="https://www.govinfo.gov/content/pkg/FR-2002-03-21/pdf/02-07086.pdf" TargetMode="External"/><Relationship Id="rId286" Type="http://schemas.openxmlformats.org/officeDocument/2006/relationships/hyperlink" Target="https://www.govinfo.gov/content/pkg/FR-2002-02-28/pdf/02-5069.pdf" TargetMode="External"/><Relationship Id="rId285" Type="http://schemas.openxmlformats.org/officeDocument/2006/relationships/hyperlink" Target="https://www.federalregister.gov/documents/2002/02/28/02-5069/amending-executive-order-12866-on-regulatory-planning-and-review" TargetMode="External"/><Relationship Id="rId284" Type="http://schemas.openxmlformats.org/officeDocument/2006/relationships/hyperlink" Target="https://www.govinfo.gov/content/pkg/FR-2002-02-19/pdf/02-4071.pdf" TargetMode="External"/><Relationship Id="rId283" Type="http://schemas.openxmlformats.org/officeDocument/2006/relationships/hyperlink" Target="https://www.federalregister.gov/documents/2002/02/19/02-4071/presidents-interagency-task-force-to-monitor-and-combat-trafficking-in-persons" TargetMode="External"/><Relationship Id="rId289" Type="http://schemas.openxmlformats.org/officeDocument/2006/relationships/hyperlink" Target="https://www.federalregister.gov/documents/2002/03/21/02-07086/establishing-the-presidents-homeland-security-advisory-council-and-senior-advisory-committees-for" TargetMode="External"/><Relationship Id="rId288" Type="http://schemas.openxmlformats.org/officeDocument/2006/relationships/hyperlink" Target="https://www.govinfo.gov/content/pkg/FR-2002-03-21/pdf/02-07085.pdf" TargetMode="External"/><Relationship Id="rId287" Type="http://schemas.openxmlformats.org/officeDocument/2006/relationships/hyperlink" Target="https://www.federalregister.gov/documents/2002/03/21/02-07085/designation-of-public-international-organizations-for-purposes-of-the-securities-exchange-act-of" TargetMode="External"/><Relationship Id="rId282" Type="http://schemas.openxmlformats.org/officeDocument/2006/relationships/hyperlink" Target="https://www.govinfo.gov/content/pkg/FR-2002-02-14/pdf/02-3826.pdf" TargetMode="External"/><Relationship Id="rId281" Type="http://schemas.openxmlformats.org/officeDocument/2006/relationships/hyperlink" Target="https://www.federalregister.gov/documents/2002/02/14/02-3826/presidents-board-of-advisors-on-historically-black-colleges-and-universities" TargetMode="External"/><Relationship Id="rId280" Type="http://schemas.openxmlformats.org/officeDocument/2006/relationships/hyperlink" Target="https://www.govinfo.gov/content/pkg/FR-2002-02-08/pdf/02-3337.pdf" TargetMode="External"/><Relationship Id="rId275" Type="http://schemas.openxmlformats.org/officeDocument/2006/relationships/hyperlink" Target="https://www.federalregister.gov/documents/2002/01/18/02-1594/amendment-to-executive-order-13223-ordering-the-ready-reserve-of-the-armed-forces-to-active-duty-and" TargetMode="External"/><Relationship Id="rId274" Type="http://schemas.openxmlformats.org/officeDocument/2006/relationships/hyperlink" Target="https://www.govinfo.gov/content/pkg/FR-2002-01-11/pdf/02-919.pdf" TargetMode="External"/><Relationship Id="rId273" Type="http://schemas.openxmlformats.org/officeDocument/2006/relationships/hyperlink" Target="https://www.federalregister.gov/documents/2002/01/11/02-919/exclusions-from-the-federal-labor-management-relations-program" TargetMode="External"/><Relationship Id="rId272" Type="http://schemas.openxmlformats.org/officeDocument/2006/relationships/hyperlink" Target="https://www.govinfo.gov/content/pkg/FR-2002-01-11/pdf/02-918.pdf" TargetMode="External"/><Relationship Id="rId279" Type="http://schemas.openxmlformats.org/officeDocument/2006/relationships/hyperlink" Target="https://www.federalregister.gov/documents/2002/02/08/02-3337/amendment-to-executive-order-13227-presidents-commission-on-excellence-in-special-education" TargetMode="External"/><Relationship Id="rId278" Type="http://schemas.openxmlformats.org/officeDocument/2006/relationships/hyperlink" Target="https://www.govinfo.gov/content/pkg/FR-2002-02-01/pdf/02-2638.pdf" TargetMode="External"/><Relationship Id="rId277" Type="http://schemas.openxmlformats.org/officeDocument/2006/relationships/hyperlink" Target="https://www.federalregister.gov/documents/2002/02/01/02-2638/establishing-the-usa-freedom-corps" TargetMode="External"/><Relationship Id="rId276" Type="http://schemas.openxmlformats.org/officeDocument/2006/relationships/hyperlink" Target="https://www.govinfo.gov/content/pkg/FR-2002-01-18/pdf/02-1594.pdf" TargetMode="External"/><Relationship Id="rId1851" Type="http://schemas.openxmlformats.org/officeDocument/2006/relationships/hyperlink" Target="https://www.federalregister.gov/documents/2021/09/09/2021-19578/declassification-reviews-of-certain-documents-concerning-the-terrorist-attacks-of-september-11-2001" TargetMode="External"/><Relationship Id="rId1852" Type="http://schemas.openxmlformats.org/officeDocument/2006/relationships/hyperlink" Target="https://www.govinfo.gov/content/pkg/FR-2021-09-09/pdf/2021-19578.pdf" TargetMode="External"/><Relationship Id="rId1853" Type="http://schemas.openxmlformats.org/officeDocument/2006/relationships/hyperlink" Target="https://www.federalregister.gov/documents/2021/09/09/2021-19579/white-house-initiative-on-advancing-educational-equity-excellence-and-economic-opportunity-through" TargetMode="External"/><Relationship Id="rId1854" Type="http://schemas.openxmlformats.org/officeDocument/2006/relationships/hyperlink" Target="https://www.govinfo.gov/content/pkg/FR-2021-09-09/pdf/2021-19579.pdf" TargetMode="External"/><Relationship Id="rId1855" Type="http://schemas.openxmlformats.org/officeDocument/2006/relationships/hyperlink" Target="https://www.federalregister.gov/documents/2021/09/14/2021-19924/ensuring-adequate-covid-safety-protocols-for-federal-contractors" TargetMode="External"/><Relationship Id="rId1856" Type="http://schemas.openxmlformats.org/officeDocument/2006/relationships/hyperlink" Target="https://www.govinfo.gov/content/pkg/FR-2021-09-14/pdf/2021-19924.pdf" TargetMode="External"/><Relationship Id="rId1857" Type="http://schemas.openxmlformats.org/officeDocument/2006/relationships/hyperlink" Target="https://www.federalregister.gov/documents/2021/09/14/2021-19927/requiring-coronavirus-disease-2019-vaccination-for-federal-employees" TargetMode="External"/><Relationship Id="rId1858" Type="http://schemas.openxmlformats.org/officeDocument/2006/relationships/hyperlink" Target="https://www.govinfo.gov/content/pkg/FR-2021-09-14/pdf/2021-19927.pdf" TargetMode="External"/><Relationship Id="rId1859" Type="http://schemas.openxmlformats.org/officeDocument/2006/relationships/hyperlink" Target="https://www.federalregister.gov/documents/2021/09/16/2021-20164/amending-executive-order-14007" TargetMode="External"/><Relationship Id="rId1850" Type="http://schemas.openxmlformats.org/officeDocument/2006/relationships/hyperlink" Target="https://www.govinfo.gov/content/pkg/FR-2021-08-24/pdf/2021-18306.pdf" TargetMode="External"/><Relationship Id="rId1840" Type="http://schemas.openxmlformats.org/officeDocument/2006/relationships/hyperlink" Target="https://www.govinfo.gov/content/pkg/FR-2021-06-11/pdf/2021-12506.pdf" TargetMode="External"/><Relationship Id="rId1841" Type="http://schemas.openxmlformats.org/officeDocument/2006/relationships/hyperlink" Target="https://www.federalregister.gov/documents/2021/06/30/2021-14127/diversity-equity-inclusion-and-accessibility-in-the-federal-workforce" TargetMode="External"/><Relationship Id="rId1842" Type="http://schemas.openxmlformats.org/officeDocument/2006/relationships/hyperlink" Target="https://www.govinfo.gov/content/pkg/FR-2021-06-30/pdf/2021-14127.pdf" TargetMode="External"/><Relationship Id="rId1843" Type="http://schemas.openxmlformats.org/officeDocument/2006/relationships/hyperlink" Target="https://www.federalregister.gov/documents/2021/07/14/2021-15069/promoting-competition-in-the-american-economy" TargetMode="External"/><Relationship Id="rId1844" Type="http://schemas.openxmlformats.org/officeDocument/2006/relationships/hyperlink" Target="https://www.govinfo.gov/content/pkg/FR-2021-07-14/pdf/2021-15069.pdf" TargetMode="External"/><Relationship Id="rId1845" Type="http://schemas.openxmlformats.org/officeDocument/2006/relationships/hyperlink" Target="https://www.federalregister.gov/documents/2021/08/10/2021-17121/strengthening-american-leadership-in-clean-cars-and-trucks" TargetMode="External"/><Relationship Id="rId1846" Type="http://schemas.openxmlformats.org/officeDocument/2006/relationships/hyperlink" Target="https://www.govinfo.gov/content/pkg/FR-2021-08-10/pdf/2021-17121.pdf" TargetMode="External"/><Relationship Id="rId1847" Type="http://schemas.openxmlformats.org/officeDocument/2006/relationships/hyperlink" Target="https://www.federalregister.gov/documents/2021/08/11/2021-17253/blocking-property-of-additional-persons-contributing-to-the-situation-in-belarus" TargetMode="External"/><Relationship Id="rId1848" Type="http://schemas.openxmlformats.org/officeDocument/2006/relationships/hyperlink" Target="https://www.govinfo.gov/content/pkg/FR-2021-08-11/pdf/2021-17253.pdf" TargetMode="External"/><Relationship Id="rId1849" Type="http://schemas.openxmlformats.org/officeDocument/2006/relationships/hyperlink" Target="https://www.federalregister.gov/documents/2021/08/24/2021-18306/blocking-property-with-respect-to-certain-russian-energy-export-pipelines" TargetMode="External"/><Relationship Id="rId1873" Type="http://schemas.openxmlformats.org/officeDocument/2006/relationships/hyperlink" Target="https://www.federalregister.gov/documents/2021/11/03/2021-24183/designation-to-exercise-authority-over-the-national-defense-stockpile" TargetMode="External"/><Relationship Id="rId1874" Type="http://schemas.openxmlformats.org/officeDocument/2006/relationships/hyperlink" Target="https://www.govinfo.gov/content/pkg/FR-2021-11-03/pdf/2021-24183.pdf" TargetMode="External"/><Relationship Id="rId1875" Type="http://schemas.openxmlformats.org/officeDocument/2006/relationships/hyperlink" Target="https://www.federalregister.gov/documents/2021/11/18/2021-25286/implementation-of-the-infrastructure-investment-and-jobs-act" TargetMode="External"/><Relationship Id="rId1876" Type="http://schemas.openxmlformats.org/officeDocument/2006/relationships/hyperlink" Target="https://www.govinfo.gov/content/pkg/FR-2021-11-18/pdf/2021-25286.pdf" TargetMode="External"/><Relationship Id="rId1877" Type="http://schemas.openxmlformats.org/officeDocument/2006/relationships/hyperlink" Target="https://www.federalregister.gov/documents/2021/11/18/2021-25287/improving-public-safety-and-criminal-justice-for-native-americans-and-addressing-the-crisis-of" TargetMode="External"/><Relationship Id="rId1878" Type="http://schemas.openxmlformats.org/officeDocument/2006/relationships/hyperlink" Target="https://www.govinfo.gov/content/pkg/FR-2021-11-18/pdf/2021-25287.pdf" TargetMode="External"/><Relationship Id="rId1879" Type="http://schemas.openxmlformats.org/officeDocument/2006/relationships/hyperlink" Target="https://www.federalregister.gov/documents/2021/11/19/2021-25548/termination-of-emergency-with-respect-to-the-situation-in-burundi" TargetMode="External"/><Relationship Id="rId1870" Type="http://schemas.openxmlformats.org/officeDocument/2006/relationships/hyperlink" Target="https://www.govinfo.gov/content/pkg/FR-2021-10-14/pdf/2021-22588.pdf" TargetMode="External"/><Relationship Id="rId1871" Type="http://schemas.openxmlformats.org/officeDocument/2006/relationships/hyperlink" Target="https://www.federalregister.gov/documents/2021/10/22/2021-23224/white-house-initiative-on-advancing-educational-equity-excellence-and-economic-opportunity-for-black" TargetMode="External"/><Relationship Id="rId1872" Type="http://schemas.openxmlformats.org/officeDocument/2006/relationships/hyperlink" Target="https://www.govinfo.gov/content/pkg/FR-2021-10-22/pdf/2021-23224.pdf" TargetMode="External"/><Relationship Id="rId1862" Type="http://schemas.openxmlformats.org/officeDocument/2006/relationships/hyperlink" Target="https://www.govinfo.gov/content/pkg/FR-2021-09-16/pdf/2021-20165.pdf" TargetMode="External"/><Relationship Id="rId1863" Type="http://schemas.openxmlformats.org/officeDocument/2006/relationships/hyperlink" Target="https://www.federalregister.gov/documents/2021/09/21/2021-20508/imposing-sanctions-on-certain-persons-with-respect-to-the-humanitarian-and-human-rights-crisis-in" TargetMode="External"/><Relationship Id="rId1864" Type="http://schemas.openxmlformats.org/officeDocument/2006/relationships/hyperlink" Target="https://www.govinfo.gov/content/pkg/FR-2021-09-21/pdf/2021-20508.pdf" TargetMode="External"/><Relationship Id="rId1865" Type="http://schemas.openxmlformats.org/officeDocument/2006/relationships/hyperlink" Target="https://www.federalregister.gov/documents/2021/09/22/2021-20629/adding-measles-to-the-list-of-quarantinable-communicable-diseases" TargetMode="External"/><Relationship Id="rId1866" Type="http://schemas.openxmlformats.org/officeDocument/2006/relationships/hyperlink" Target="https://www.govinfo.gov/content/pkg/FR-2021-09-22/pdf/2021-20629.pdf" TargetMode="External"/><Relationship Id="rId1867" Type="http://schemas.openxmlformats.org/officeDocument/2006/relationships/hyperlink" Target="https://www.federalregister.gov/documents/2021/10/05/2021-21908/continuance-or-reestablishment-of-certain-federal-advisory-committees-and-amendments-to-other" TargetMode="External"/><Relationship Id="rId1868" Type="http://schemas.openxmlformats.org/officeDocument/2006/relationships/hyperlink" Target="https://www.govinfo.gov/content/pkg/FR-2021-10-05/pdf/2021-21908.pdf" TargetMode="External"/><Relationship Id="rId1869" Type="http://schemas.openxmlformats.org/officeDocument/2006/relationships/hyperlink" Target="https://www.federalregister.gov/documents/2021/10/14/2021-22588/white-house-initiative-on-advancing-educational-equity-excellence-and-economic-opportunity-for" TargetMode="External"/><Relationship Id="rId1860" Type="http://schemas.openxmlformats.org/officeDocument/2006/relationships/hyperlink" Target="https://www.govinfo.gov/content/pkg/FR-2021-09-16/pdf/2021-20164.pdf" TargetMode="External"/><Relationship Id="rId1861" Type="http://schemas.openxmlformats.org/officeDocument/2006/relationships/hyperlink" Target="https://www.federalregister.gov/documents/2021/09/16/2021-20165/white-house-initiative-on-advancing-educational-equity-excellence-and-economic-opportunity-for" TargetMode="External"/><Relationship Id="rId1810" Type="http://schemas.openxmlformats.org/officeDocument/2006/relationships/hyperlink" Target="https://www.govinfo.gov/content/pkg/FR-2021-03-10/pdf/2021-05087.pdf" TargetMode="External"/><Relationship Id="rId1811" Type="http://schemas.openxmlformats.org/officeDocument/2006/relationships/hyperlink" Target="https://www.federalregister.gov/documents/2021/03/11/2021-05183/establishment-of-the-white-house-gender-policy-council" TargetMode="External"/><Relationship Id="rId1812" Type="http://schemas.openxmlformats.org/officeDocument/2006/relationships/hyperlink" Target="https://www.govinfo.gov/content/pkg/FR-2021-03-11/pdf/2021-05183.pdf" TargetMode="External"/><Relationship Id="rId1813" Type="http://schemas.openxmlformats.org/officeDocument/2006/relationships/hyperlink" Target="https://www.federalregister.gov/documents/2021/03/11/2021-05200/guaranteeing-an-educational-environment-free-from-discrimination-on-the-basis-of-sex-including" TargetMode="External"/><Relationship Id="rId1814" Type="http://schemas.openxmlformats.org/officeDocument/2006/relationships/hyperlink" Target="https://www.govinfo.gov/content/pkg/FR-2021-03-11/pdf/2021-05200.pdf" TargetMode="External"/><Relationship Id="rId1815" Type="http://schemas.openxmlformats.org/officeDocument/2006/relationships/hyperlink" Target="https://www.federalregister.gov/documents/2021/04/07/2021-07239/termination-of-emergency-with-respect-to-the-international-criminal-court" TargetMode="External"/><Relationship Id="rId1816" Type="http://schemas.openxmlformats.org/officeDocument/2006/relationships/hyperlink" Target="https://www.govinfo.gov/content/pkg/FR-2021-04-07/pdf/2021-07239.pdf" TargetMode="External"/><Relationship Id="rId1817" Type="http://schemas.openxmlformats.org/officeDocument/2006/relationships/hyperlink" Target="https://www.federalregister.gov/documents/2021/04/14/2021-07756/establishment-of-the-presidential-commission-on-the-supreme-court-of-the-united-states" TargetMode="External"/><Relationship Id="rId1818" Type="http://schemas.openxmlformats.org/officeDocument/2006/relationships/hyperlink" Target="https://www.govinfo.gov/content/pkg/FR-2021-04-14/pdf/2021-07756.pdf" TargetMode="External"/><Relationship Id="rId1819" Type="http://schemas.openxmlformats.org/officeDocument/2006/relationships/hyperlink" Target="https://www.federalregister.gov/documents/2021/04/19/2021-08098/blocking-property-with-respect-to-specified-harmful-foreign-activities-of-the-government-of-the" TargetMode="External"/><Relationship Id="rId1800" Type="http://schemas.openxmlformats.org/officeDocument/2006/relationships/hyperlink" Target="https://www.govinfo.gov/content/pkg/FR-2021-02-12/pdf/2021-03139.pdf" TargetMode="External"/><Relationship Id="rId1801" Type="http://schemas.openxmlformats.org/officeDocument/2006/relationships/hyperlink" Target="https://www.federalregister.gov/documents/2021/02/18/2021-03424/establishment-of-the-white-house-office-of-faith--based-and-neighborhood-partnerships" TargetMode="External"/><Relationship Id="rId1802" Type="http://schemas.openxmlformats.org/officeDocument/2006/relationships/hyperlink" Target="https://www.govinfo.gov/content/pkg/FR-2021-02-18/pdf/2021-03424.pdf" TargetMode="External"/><Relationship Id="rId1803" Type="http://schemas.openxmlformats.org/officeDocument/2006/relationships/hyperlink" Target="https://www.federalregister.gov/documents/2021/02/23/2021-03874/revocation-of-executive-order-13801" TargetMode="External"/><Relationship Id="rId1804" Type="http://schemas.openxmlformats.org/officeDocument/2006/relationships/hyperlink" Target="https://www.govinfo.gov/content/pkg/FR-2021-02-23/pdf/2021-03874.pdf" TargetMode="External"/><Relationship Id="rId1805" Type="http://schemas.openxmlformats.org/officeDocument/2006/relationships/hyperlink" Target="https://www.federalregister.gov/documents/2021/03/01/2021-04280/americas-supply-chains" TargetMode="External"/><Relationship Id="rId1806" Type="http://schemas.openxmlformats.org/officeDocument/2006/relationships/hyperlink" Target="https://www.govinfo.gov/content/pkg/FR-2021-03-01/pdf/2021-04280.pdf" TargetMode="External"/><Relationship Id="rId1807" Type="http://schemas.openxmlformats.org/officeDocument/2006/relationships/hyperlink" Target="https://www.federalregister.gov/documents/2021/03/01/2021-04281/revocation-of-certain-presidential-actions" TargetMode="External"/><Relationship Id="rId1808" Type="http://schemas.openxmlformats.org/officeDocument/2006/relationships/hyperlink" Target="https://www.govinfo.gov/content/pkg/FR-2021-03-01/pdf/2021-04281.pdf" TargetMode="External"/><Relationship Id="rId1809" Type="http://schemas.openxmlformats.org/officeDocument/2006/relationships/hyperlink" Target="https://www.federalregister.gov/documents/2021/03/10/2021-05087/promoting-access-to-voting" TargetMode="External"/><Relationship Id="rId1830" Type="http://schemas.openxmlformats.org/officeDocument/2006/relationships/hyperlink" Target="https://www.govinfo.gov/content/pkg/FR-2021-05-19/pdf/2021-10691.pdf" TargetMode="External"/><Relationship Id="rId1831" Type="http://schemas.openxmlformats.org/officeDocument/2006/relationships/hyperlink" Target="https://www.federalregister.gov/documents/2021/05/25/2021-11168/climate-related-financial-risk" TargetMode="External"/><Relationship Id="rId1832" Type="http://schemas.openxmlformats.org/officeDocument/2006/relationships/hyperlink" Target="https://www.govinfo.gov/content/pkg/FR-2021-05-25/pdf/2021-11168.pdf" TargetMode="External"/><Relationship Id="rId1833" Type="http://schemas.openxmlformats.org/officeDocument/2006/relationships/hyperlink" Target="https://www.federalregister.gov/documents/2021/06/03/2021-11792/advancing-equity-justice-and-opportunity-for-asian-americans-native-hawaiians-and-pacific-islanders" TargetMode="External"/><Relationship Id="rId1834" Type="http://schemas.openxmlformats.org/officeDocument/2006/relationships/hyperlink" Target="https://www.govinfo.gov/content/pkg/FR-2021-06-03/pdf/2021-11792.pdf" TargetMode="External"/><Relationship Id="rId1835" Type="http://schemas.openxmlformats.org/officeDocument/2006/relationships/hyperlink" Target="https://www.federalregister.gov/documents/2021/06/07/2021-12019/addressing-the-threat-from-securities-investments-that-finance-certain-companies-of-the-peoples" TargetMode="External"/><Relationship Id="rId1836" Type="http://schemas.openxmlformats.org/officeDocument/2006/relationships/hyperlink" Target="https://www.govinfo.gov/content/pkg/FR-2021-06-07/pdf/2021-12019.pdf" TargetMode="External"/><Relationship Id="rId1837" Type="http://schemas.openxmlformats.org/officeDocument/2006/relationships/hyperlink" Target="https://www.federalregister.gov/documents/2021/06/10/2021-12382/blocking-property-and-suspending-entry-into-the-united-states-of-certain-persons-contributing-to-the" TargetMode="External"/><Relationship Id="rId1838" Type="http://schemas.openxmlformats.org/officeDocument/2006/relationships/hyperlink" Target="https://www.govinfo.gov/content/pkg/FR-2021-06-10/pdf/2021-12382.pdf" TargetMode="External"/><Relationship Id="rId1839" Type="http://schemas.openxmlformats.org/officeDocument/2006/relationships/hyperlink" Target="https://www.federalregister.gov/documents/2021/06/11/2021-12506/protecting-americans-sensitive-data-from-foreign-adversaries" TargetMode="External"/><Relationship Id="rId1820" Type="http://schemas.openxmlformats.org/officeDocument/2006/relationships/hyperlink" Target="https://www.govinfo.gov/content/pkg/FR-2021-04-19/pdf/2021-08098.pdf" TargetMode="External"/><Relationship Id="rId1821" Type="http://schemas.openxmlformats.org/officeDocument/2006/relationships/hyperlink" Target="https://www.federalregister.gov/documents/2021/04/29/2021-09213/worker-organizing-and-empowerment" TargetMode="External"/><Relationship Id="rId1822" Type="http://schemas.openxmlformats.org/officeDocument/2006/relationships/hyperlink" Target="https://www.govinfo.gov/content/pkg/FR-2021-04-29/pdf/2021-09213.pdf" TargetMode="External"/><Relationship Id="rId1823" Type="http://schemas.openxmlformats.org/officeDocument/2006/relationships/hyperlink" Target="https://www.federalregister.gov/documents/2021/04/30/2021-09263/increasing-the-minimum-wage-for-federal-contractors" TargetMode="External"/><Relationship Id="rId1824" Type="http://schemas.openxmlformats.org/officeDocument/2006/relationships/hyperlink" Target="https://www.govinfo.gov/content/pkg/FR-2021-04-30/pdf/2021-09263.pdf" TargetMode="External"/><Relationship Id="rId1825" Type="http://schemas.openxmlformats.org/officeDocument/2006/relationships/hyperlink" Target="https://www.federalregister.gov/documents/2021/05/12/2021-10139/establishment-of-the-climate-change-support-office" TargetMode="External"/><Relationship Id="rId1826" Type="http://schemas.openxmlformats.org/officeDocument/2006/relationships/hyperlink" Target="https://www.govinfo.gov/content/pkg/FR-2021-05-12/pdf/2021-10139.pdf" TargetMode="External"/><Relationship Id="rId1827" Type="http://schemas.openxmlformats.org/officeDocument/2006/relationships/hyperlink" Target="https://www.federalregister.gov/documents/2021/05/17/2021-10460/improving-the-nations-cybersecurity" TargetMode="External"/><Relationship Id="rId1828" Type="http://schemas.openxmlformats.org/officeDocument/2006/relationships/hyperlink" Target="https://www.govinfo.gov/content/pkg/FR-2021-05-17/pdf/2021-10460.pdf" TargetMode="External"/><Relationship Id="rId1829" Type="http://schemas.openxmlformats.org/officeDocument/2006/relationships/hyperlink" Target="https://www.federalregister.gov/documents/2021/05/19/2021-10691/revocation-of-certain-presidential-actions-and-technical-amendment" TargetMode="External"/><Relationship Id="rId1455" Type="http://schemas.openxmlformats.org/officeDocument/2006/relationships/hyperlink" Target="https://www.federalregister.gov/documents/2018/07/13/2018-15195/establishing-an-exception-to-competitive-examining-rules-for-appointment-to-certain-positions-in-the" TargetMode="External"/><Relationship Id="rId1456" Type="http://schemas.openxmlformats.org/officeDocument/2006/relationships/hyperlink" Target="https://www.govinfo.gov/content/pkg/FR-2018-07-13/pdf/2018-15195.pdf" TargetMode="External"/><Relationship Id="rId1457" Type="http://schemas.openxmlformats.org/officeDocument/2006/relationships/hyperlink" Target="https://www.federalregister.gov/documents/2018/07/13/2018-15202/excepting-administrative-law-judges-from-the-competitive-service" TargetMode="External"/><Relationship Id="rId1458" Type="http://schemas.openxmlformats.org/officeDocument/2006/relationships/hyperlink" Target="https://www.govinfo.gov/content/pkg/FR-2018-07-13/pdf/2018-15202.pdf" TargetMode="External"/><Relationship Id="rId1459" Type="http://schemas.openxmlformats.org/officeDocument/2006/relationships/hyperlink" Target="https://www.federalregister.gov/documents/2018/07/16/2018-15299/establishment-of-the-task-force-on-market-integrity-and-consumer-fraud" TargetMode="External"/><Relationship Id="rId629" Type="http://schemas.openxmlformats.org/officeDocument/2006/relationships/hyperlink" Target="https://www.federalregister.gov/documents/2007/04/23/07-2027/2007-amendments-to-the-manual-for-courts-martial-united-states" TargetMode="External"/><Relationship Id="rId624" Type="http://schemas.openxmlformats.org/officeDocument/2006/relationships/hyperlink" Target="https://www.govinfo.gov/content/pkg/FR-2007-03-09/pdf/07-1152.pdf" TargetMode="External"/><Relationship Id="rId623" Type="http://schemas.openxmlformats.org/officeDocument/2006/relationships/hyperlink" Target="https://www.federalregister.gov/documents/2007/03/09/07-1152/extending-privileges-and-immunities-to-the-permanent-observer-mission-of-the-holy-see-to-the-united" TargetMode="External"/><Relationship Id="rId622" Type="http://schemas.openxmlformats.org/officeDocument/2006/relationships/hyperlink" Target="https://www.govinfo.gov/content/pkg/FR-2007-03-08/pdf/07-1137.pdf" TargetMode="External"/><Relationship Id="rId621" Type="http://schemas.openxmlformats.org/officeDocument/2006/relationships/hyperlink" Target="https://www.federalregister.gov/documents/2007/03/08/07-1137/establishing-a-commission-on-care-for-americas-returning-wounded-warriors-and-a-task-force-on" TargetMode="External"/><Relationship Id="rId628" Type="http://schemas.openxmlformats.org/officeDocument/2006/relationships/hyperlink" Target="https://www.govinfo.gov/content/pkg/FR-2007-04-10/pdf/07-1816.pdf" TargetMode="External"/><Relationship Id="rId627" Type="http://schemas.openxmlformats.org/officeDocument/2006/relationships/hyperlink" Target="https://www.federalregister.gov/documents/2007/04/10/07-1816/establishing-an-emergency-board-to-investigate-a-dispute-between-metro-north-railroad-and-its" TargetMode="External"/><Relationship Id="rId626" Type="http://schemas.openxmlformats.org/officeDocument/2006/relationships/hyperlink" Target="https://www.govinfo.gov/content/pkg/FR-2007-04-04/pdf/07-1704.pdf" TargetMode="External"/><Relationship Id="rId625" Type="http://schemas.openxmlformats.org/officeDocument/2006/relationships/hyperlink" Target="https://www.federalregister.gov/documents/2007/04/04/07-1704/renaming-a-national-forest-in-the-commonwealth-of-puerto-rico" TargetMode="External"/><Relationship Id="rId1450" Type="http://schemas.openxmlformats.org/officeDocument/2006/relationships/hyperlink" Target="https://www.govinfo.gov/content/pkg/FR-2018-06-01/pdf/2018-11939.pdf" TargetMode="External"/><Relationship Id="rId620" Type="http://schemas.openxmlformats.org/officeDocument/2006/relationships/hyperlink" Target="https://www.govinfo.gov/content/pkg/FR-2007-02-20/pdf/07-780.pdf" TargetMode="External"/><Relationship Id="rId1451" Type="http://schemas.openxmlformats.org/officeDocument/2006/relationships/hyperlink" Target="https://www.federalregister.gov/documents/2018/06/22/2018-13640/ocean-policy-to-advance-the-economic-security-and-environmental-interests-of-the-united-states" TargetMode="External"/><Relationship Id="rId1452" Type="http://schemas.openxmlformats.org/officeDocument/2006/relationships/hyperlink" Target="https://www.govinfo.gov/content/pkg/FR-2018-06-22/pdf/2018-13640.pdf" TargetMode="External"/><Relationship Id="rId1453" Type="http://schemas.openxmlformats.org/officeDocument/2006/relationships/hyperlink" Target="https://www.federalregister.gov/documents/2018/06/25/2018-13696/affording-congress-an-opportunity-to-address-family-separation" TargetMode="External"/><Relationship Id="rId1454" Type="http://schemas.openxmlformats.org/officeDocument/2006/relationships/hyperlink" Target="https://www.govinfo.gov/content/pkg/FR-2018-06-25/pdf/2018-13696.pdf" TargetMode="External"/><Relationship Id="rId1444" Type="http://schemas.openxmlformats.org/officeDocument/2006/relationships/hyperlink" Target="https://www.govinfo.gov/content/pkg/FR-2018-06-01/pdf/2018-11913.pdf" TargetMode="External"/><Relationship Id="rId1445" Type="http://schemas.openxmlformats.org/officeDocument/2006/relationships/hyperlink" Target="https://www.federalregister.gov/documents/2018/06/01/2018-11916/ensuring-transparency-accountability-and-efficiency-in-taxpayer-funded-union-time-use" TargetMode="External"/><Relationship Id="rId1446" Type="http://schemas.openxmlformats.org/officeDocument/2006/relationships/hyperlink" Target="https://www.govinfo.gov/content/pkg/FR-2018-06-01/pdf/2018-11916.pdf" TargetMode="External"/><Relationship Id="rId1447" Type="http://schemas.openxmlformats.org/officeDocument/2006/relationships/hyperlink" Target="https://www.federalregister.gov/documents/2018/06/01/2018-11936/exemption-from-executive-order-13658-for-recreational-services-on-federal-lands" TargetMode="External"/><Relationship Id="rId1448" Type="http://schemas.openxmlformats.org/officeDocument/2006/relationships/hyperlink" Target="https://www.govinfo.gov/content/pkg/FR-2018-06-01/pdf/2018-11936.pdf" TargetMode="External"/><Relationship Id="rId1449" Type="http://schemas.openxmlformats.org/officeDocument/2006/relationships/hyperlink" Target="https://www.federalregister.gov/documents/2018/06/01/2018-11939/promoting-accountability-and-streamlining-removal-procedures-consistent-with-merit-system-principles" TargetMode="External"/><Relationship Id="rId619" Type="http://schemas.openxmlformats.org/officeDocument/2006/relationships/hyperlink" Target="https://www.federalregister.gov/documents/2007/02/20/07-780/trial-of-alien-unlawful-enemy-combatants-by-military-commission" TargetMode="External"/><Relationship Id="rId618" Type="http://schemas.openxmlformats.org/officeDocument/2006/relationships/hyperlink" Target="https://www.govinfo.gov/content/pkg/FR-2007-01-30/pdf/07-419.pdf" TargetMode="External"/><Relationship Id="rId613" Type="http://schemas.openxmlformats.org/officeDocument/2006/relationships/hyperlink" Target="https://www.federalregister.gov/documents/2007/01/23/07-293/further-amendment-to-executive-order-12866-on-regulatory-planning-and-review" TargetMode="External"/><Relationship Id="rId612" Type="http://schemas.openxmlformats.org/officeDocument/2006/relationships/hyperlink" Target="https://www.govinfo.gov/content/pkg/FR-2007-01-04/pdf/06-9993.pdf" TargetMode="External"/><Relationship Id="rId611" Type="http://schemas.openxmlformats.org/officeDocument/2006/relationships/hyperlink" Target="https://www.federalregister.gov/documents/2007/01/04/06-9993/providing-for-the-closing-of-government-departments-and-agencies-on-january-2-2007" TargetMode="External"/><Relationship Id="rId610" Type="http://schemas.openxmlformats.org/officeDocument/2006/relationships/hyperlink" Target="https://www.govinfo.gov/content/pkg/FR-2006-12-26/pdf/06-9896.pdf" TargetMode="External"/><Relationship Id="rId617" Type="http://schemas.openxmlformats.org/officeDocument/2006/relationships/hyperlink" Target="https://www.federalregister.gov/documents/2007/01/30/07-419/further-amendment-to-executive-order-13285-relating-to-the-presidents-council-on-service-and-civic" TargetMode="External"/><Relationship Id="rId616" Type="http://schemas.openxmlformats.org/officeDocument/2006/relationships/hyperlink" Target="https://www.govinfo.gov/content/pkg/FR-2007-01-26/pdf/07-374.pdf" TargetMode="External"/><Relationship Id="rId615" Type="http://schemas.openxmlformats.org/officeDocument/2006/relationships/hyperlink" Target="https://www.federalregister.gov/documents/2007/01/26/07-374/strengthening-federal-environmental-energy-and-transportation-management" TargetMode="External"/><Relationship Id="rId614" Type="http://schemas.openxmlformats.org/officeDocument/2006/relationships/hyperlink" Target="https://www.govinfo.gov/content/pkg/FR-2007-01-23/pdf/07-293.pdf" TargetMode="External"/><Relationship Id="rId1440" Type="http://schemas.openxmlformats.org/officeDocument/2006/relationships/hyperlink" Target="https://www.govinfo.gov/content/pkg/FR-2018-05-22/pdf/2018-11101.pdf" TargetMode="External"/><Relationship Id="rId1441" Type="http://schemas.openxmlformats.org/officeDocument/2006/relationships/hyperlink" Target="https://www.federalregister.gov/documents/2018/05/24/2018-11335/prohibiting-certain-additional-transactions-with-respect-to-venezuela" TargetMode="External"/><Relationship Id="rId1442" Type="http://schemas.openxmlformats.org/officeDocument/2006/relationships/hyperlink" Target="https://www.govinfo.gov/content/pkg/FR-2018-05-24/pdf/2018-11335.pdf" TargetMode="External"/><Relationship Id="rId1443" Type="http://schemas.openxmlformats.org/officeDocument/2006/relationships/hyperlink" Target="https://www.federalregister.gov/documents/2018/06/01/2018-11913/developing-efficient-effective-and-cost--reducing-approaches-to-federal-sector-collective-bargaining" TargetMode="External"/><Relationship Id="rId1477" Type="http://schemas.openxmlformats.org/officeDocument/2006/relationships/hyperlink" Target="https://www.federalregister.gov/documents/2018/12/18/2018-27515/establishing-the-white-house-opportunity-and-revitalization-council" TargetMode="External"/><Relationship Id="rId1478" Type="http://schemas.openxmlformats.org/officeDocument/2006/relationships/hyperlink" Target="https://www.govinfo.gov/content/pkg/FR-2018-12-18/pdf/2018-27515.pdf" TargetMode="External"/><Relationship Id="rId1479" Type="http://schemas.openxmlformats.org/officeDocument/2006/relationships/hyperlink" Target="https://www.federalregister.gov/documents/2018/12/21/2018-27945/providing-for-the-closing-of-executive-departments-and-agencies-of-the-federal-government-on" TargetMode="External"/><Relationship Id="rId646" Type="http://schemas.openxmlformats.org/officeDocument/2006/relationships/hyperlink" Target="https://www.govinfo.gov/content/pkg/FR-2007-07-19/pdf/07-3552.pdf" TargetMode="External"/><Relationship Id="rId645" Type="http://schemas.openxmlformats.org/officeDocument/2006/relationships/hyperlink" Target="https://www.federalregister.gov/documents/2007/07/19/07-3552/blocking-property-of-certain-persons-who-threaten-stabilization-efforts-in-iraq" TargetMode="External"/><Relationship Id="rId644" Type="http://schemas.openxmlformats.org/officeDocument/2006/relationships/hyperlink" Target="https://www.govinfo.gov/content/pkg/FR-2007-07-03/pdf/07-3259.pdf" TargetMode="External"/><Relationship Id="rId643" Type="http://schemas.openxmlformats.org/officeDocument/2006/relationships/hyperlink" Target="https://www.federalregister.gov/documents/2007/07/03/07-3259/waiver-under-the-trade-act-of-1974-with-respect-to-turkmenistan" TargetMode="External"/><Relationship Id="rId649" Type="http://schemas.openxmlformats.org/officeDocument/2006/relationships/hyperlink" Target="https://www.federalregister.gov/documents/2007/07/24/07-3656/interpretation-of-the-geneva-conventions-common-article-3-as-applied-to-a-program-of-detention-and" TargetMode="External"/><Relationship Id="rId648" Type="http://schemas.openxmlformats.org/officeDocument/2006/relationships/hyperlink" Target="https://www.govinfo.gov/content/pkg/FR-2007-07-20/pdf/07-3593.pdf" TargetMode="External"/><Relationship Id="rId647" Type="http://schemas.openxmlformats.org/officeDocument/2006/relationships/hyperlink" Target="https://www.federalregister.gov/documents/2007/07/20/07-3593/establishing-an-interagency-working-group-on-import-safety" TargetMode="External"/><Relationship Id="rId1470" Type="http://schemas.openxmlformats.org/officeDocument/2006/relationships/hyperlink" Target="https://www.govinfo.gov/content/pkg/FR-2018-09-21/pdf/2018-20816.pdf" TargetMode="External"/><Relationship Id="rId1471" Type="http://schemas.openxmlformats.org/officeDocument/2006/relationships/hyperlink" Target="https://www.federalregister.gov/documents/2018/11/02/2018-24254/blocking-property-of-additional-persons-contributing-to-the-situation-in-venezuela" TargetMode="External"/><Relationship Id="rId1472" Type="http://schemas.openxmlformats.org/officeDocument/2006/relationships/hyperlink" Target="https://www.govinfo.gov/content/pkg/FR-2018-11-02/pdf/2018-24254.pdf" TargetMode="External"/><Relationship Id="rId642" Type="http://schemas.openxmlformats.org/officeDocument/2006/relationships/hyperlink" Target="https://www.govinfo.gov/content/pkg/FR-2007-07-03/pdf/07-3258.pdf" TargetMode="External"/><Relationship Id="rId1473" Type="http://schemas.openxmlformats.org/officeDocument/2006/relationships/hyperlink" Target="https://www.federalregister.gov/documents/2018/11/29/2018-26156/blocking-property-of-certain-persons-contributing-to-the-situation-in-nicaragua" TargetMode="External"/><Relationship Id="rId641" Type="http://schemas.openxmlformats.org/officeDocument/2006/relationships/hyperlink" Target="https://www.federalregister.gov/documents/2007/07/03/07-3258/further-amending-executive-order-13381-as-amended-to-extend-its-duration-by-one-year" TargetMode="External"/><Relationship Id="rId1474" Type="http://schemas.openxmlformats.org/officeDocument/2006/relationships/hyperlink" Target="https://www.govinfo.gov/content/pkg/FR-2018-11-29/pdf/2018-26156.pdf" TargetMode="External"/><Relationship Id="rId640" Type="http://schemas.openxmlformats.org/officeDocument/2006/relationships/hyperlink" Target="https://www.govinfo.gov/content/pkg/FR-2007-06-22/pdf/07-3112.pdf" TargetMode="External"/><Relationship Id="rId1475" Type="http://schemas.openxmlformats.org/officeDocument/2006/relationships/hyperlink" Target="https://www.federalregister.gov/documents/2018/12/04/2018-26552/providing-for-the-closing-of-executive-departments-and-agencies-of-the-federal-government-on" TargetMode="External"/><Relationship Id="rId1476" Type="http://schemas.openxmlformats.org/officeDocument/2006/relationships/hyperlink" Target="https://www.govinfo.gov/content/pkg/FR-2018-12-04/pdf/2018-26552.pdf" TargetMode="External"/><Relationship Id="rId1466" Type="http://schemas.openxmlformats.org/officeDocument/2006/relationships/hyperlink" Target="https://www.govinfo.gov/content/pkg/FR-2018-09-06/pdf/2018-19514.pdf" TargetMode="External"/><Relationship Id="rId1467" Type="http://schemas.openxmlformats.org/officeDocument/2006/relationships/hyperlink" Target="https://www.federalregister.gov/documents/2018/09/14/2018-20203/imposing-certain-sanctions-in-the-event-of-foreign-interference-in-a-united-states-election" TargetMode="External"/><Relationship Id="rId1468" Type="http://schemas.openxmlformats.org/officeDocument/2006/relationships/hyperlink" Target="https://www.govinfo.gov/content/pkg/FR-2018-09-14/pdf/2018-20203.pdf" TargetMode="External"/><Relationship Id="rId1469" Type="http://schemas.openxmlformats.org/officeDocument/2006/relationships/hyperlink" Target="https://www.federalregister.gov/documents/2018/09/21/2018-20816/authorizing-the-implementation-of-certain-sanctions-set-forth-in-the-countering-americas-adversaries" TargetMode="External"/><Relationship Id="rId635" Type="http://schemas.openxmlformats.org/officeDocument/2006/relationships/hyperlink" Target="https://www.federalregister.gov/documents/2007/05/18/07-2518/protecting-american-taxpayers-from-payment-of-contingency-fees" TargetMode="External"/><Relationship Id="rId634" Type="http://schemas.openxmlformats.org/officeDocument/2006/relationships/hyperlink" Target="https://www.govinfo.gov/content/pkg/FR-2007-05-16/pdf/07-2462.pdf" TargetMode="External"/><Relationship Id="rId633" Type="http://schemas.openxmlformats.org/officeDocument/2006/relationships/hyperlink" Target="https://www.federalregister.gov/documents/2007/05/16/07-2462/cooperation-among-agencies-in-protecting-the-environment-with-respect-to-greenhouse-gas-emissions" TargetMode="External"/><Relationship Id="rId632" Type="http://schemas.openxmlformats.org/officeDocument/2006/relationships/hyperlink" Target="https://www.govinfo.gov/content/pkg/FR-2007-05-11/pdf/07-2367.pdf" TargetMode="External"/><Relationship Id="rId639" Type="http://schemas.openxmlformats.org/officeDocument/2006/relationships/hyperlink" Target="https://www.federalregister.gov/documents/2007/06/22/07-3112/expanding-approved-stem-cell-lines-in-ethically-responsible-ways" TargetMode="External"/><Relationship Id="rId638" Type="http://schemas.openxmlformats.org/officeDocument/2006/relationships/hyperlink" Target="https://www.govinfo.gov/content/pkg/FR-2007-05-22/pdf/07-2570.pdf" TargetMode="External"/><Relationship Id="rId637" Type="http://schemas.openxmlformats.org/officeDocument/2006/relationships/hyperlink" Target="https://www.federalregister.gov/documents/2007/05/22/07-2570/national-security-professional-development" TargetMode="External"/><Relationship Id="rId636" Type="http://schemas.openxmlformats.org/officeDocument/2006/relationships/hyperlink" Target="https://www.govinfo.gov/content/pkg/FR-2007-05-18/pdf/07-2518.pdf" TargetMode="External"/><Relationship Id="rId1460" Type="http://schemas.openxmlformats.org/officeDocument/2006/relationships/hyperlink" Target="https://www.govinfo.gov/content/pkg/FR-2018-07-16/pdf/2018-15299.pdf" TargetMode="External"/><Relationship Id="rId1461" Type="http://schemas.openxmlformats.org/officeDocument/2006/relationships/hyperlink" Target="https://www.federalregister.gov/documents/2018/07/24/2018-15955/establishing-the-presidents-national-council-for-the-american-worker" TargetMode="External"/><Relationship Id="rId631" Type="http://schemas.openxmlformats.org/officeDocument/2006/relationships/hyperlink" Target="https://www.federalregister.gov/documents/2007/05/11/07-2367/establishment-of-temporary-organization-to-facilitate-united-states-government-assistance-for" TargetMode="External"/><Relationship Id="rId1462" Type="http://schemas.openxmlformats.org/officeDocument/2006/relationships/hyperlink" Target="https://www.govinfo.gov/content/pkg/FR-2018-07-24/pdf/2018-15955.pdf" TargetMode="External"/><Relationship Id="rId630" Type="http://schemas.openxmlformats.org/officeDocument/2006/relationships/hyperlink" Target="https://www.govinfo.gov/content/pkg/FR-2007-04-23/pdf/07-2027.pdf" TargetMode="External"/><Relationship Id="rId1463" Type="http://schemas.openxmlformats.org/officeDocument/2006/relationships/hyperlink" Target="https://www.federalregister.gov/documents/2018/08/07/2018-17068/reimposing-certain-sanctions-with-respect-to-iran" TargetMode="External"/><Relationship Id="rId1464" Type="http://schemas.openxmlformats.org/officeDocument/2006/relationships/hyperlink" Target="https://www.govinfo.gov/content/pkg/FR-2018-08-07/pdf/2018-17068.pdf" TargetMode="External"/><Relationship Id="rId1465" Type="http://schemas.openxmlformats.org/officeDocument/2006/relationships/hyperlink" Target="https://www.federalregister.gov/documents/2018/09/06/2018-19514/strengthening-retirement-security-in-america" TargetMode="External"/><Relationship Id="rId1411" Type="http://schemas.openxmlformats.org/officeDocument/2006/relationships/hyperlink" Target="https://www.federalregister.gov/documents/2018/01/08/2018-00240/termination-of-presidential-advisory-commission-on-election-integrity" TargetMode="External"/><Relationship Id="rId1895" Type="http://schemas.openxmlformats.org/officeDocument/2006/relationships/hyperlink" Target="https://www.federalregister.gov/documents/2022/01/31/2022-02027/2022-amendments-to-the-manual-for-courts-martial-united-states" TargetMode="External"/><Relationship Id="rId1412" Type="http://schemas.openxmlformats.org/officeDocument/2006/relationships/hyperlink" Target="https://www.govinfo.gov/content/pkg/FR-2018-01-08/pdf/2018-00240.pdf" TargetMode="External"/><Relationship Id="rId1896" Type="http://schemas.openxmlformats.org/officeDocument/2006/relationships/hyperlink" Target="https://www.govinfo.gov/content/pkg/FR-2022-01-31/pdf/2022-02027.pdf" TargetMode="External"/><Relationship Id="rId1413" Type="http://schemas.openxmlformats.org/officeDocument/2006/relationships/hyperlink" Target="https://www.federalregister.gov/documents/2018/01/11/2018-00553/streamlining-and-expediting-requests-to-locate-broadband-facilities-in-rural-america" TargetMode="External"/><Relationship Id="rId1897" Type="http://schemas.openxmlformats.org/officeDocument/2006/relationships/hyperlink" Target="https://www.federalregister.gov/documents/2022/02/09/2022-02869/use-of-project-labor-agreements-for-federal-construction-projects" TargetMode="External"/><Relationship Id="rId1414" Type="http://schemas.openxmlformats.org/officeDocument/2006/relationships/hyperlink" Target="https://www.govinfo.gov/content/pkg/FR-2018-01-11/pdf/2018-00553.pdf" TargetMode="External"/><Relationship Id="rId1898" Type="http://schemas.openxmlformats.org/officeDocument/2006/relationships/hyperlink" Target="https://www.govinfo.gov/content/pkg/FR-2022-02-09/pdf/2022-02869.pdf" TargetMode="External"/><Relationship Id="rId1415" Type="http://schemas.openxmlformats.org/officeDocument/2006/relationships/hyperlink" Target="https://www.federalregister.gov/documents/2018/01/12/2018-00630/supporting-our-veterans-during-their-transition-from-uniformed-service-to-civilian-life" TargetMode="External"/><Relationship Id="rId1899" Type="http://schemas.openxmlformats.org/officeDocument/2006/relationships/hyperlink" Target="https://www.federalregister.gov/documents/2022/02/15/2022-03346/protecting-certain-property-of-da-afghanistan-bank-for-the-benefit-of-the-people-of-afghanistan" TargetMode="External"/><Relationship Id="rId1416" Type="http://schemas.openxmlformats.org/officeDocument/2006/relationships/hyperlink" Target="https://www.govinfo.gov/content/pkg/FR-2018-01-12/pdf/2018-00630.pdf" TargetMode="External"/><Relationship Id="rId1417" Type="http://schemas.openxmlformats.org/officeDocument/2006/relationships/hyperlink" Target="https://www.federalregister.gov/documents/2018/02/02/2018-02261/protecting-america-through-lawful-detention-of-terrorists" TargetMode="External"/><Relationship Id="rId1418" Type="http://schemas.openxmlformats.org/officeDocument/2006/relationships/hyperlink" Target="https://www.govinfo.gov/content/pkg/FR-2018-02-02/pdf/2018-02261.pdf" TargetMode="External"/><Relationship Id="rId1419" Type="http://schemas.openxmlformats.org/officeDocument/2006/relationships/hyperlink" Target="https://www.federalregister.gov/documents/2018/03/02/2018-04414/presidents-council-on-sports-fitness-and-nutrition" TargetMode="External"/><Relationship Id="rId1890" Type="http://schemas.openxmlformats.org/officeDocument/2006/relationships/hyperlink" Target="https://www.govinfo.gov/content/pkg/FR-2021-12-17/pdf/2021-27505.pdf" TargetMode="External"/><Relationship Id="rId1891" Type="http://schemas.openxmlformats.org/officeDocument/2006/relationships/hyperlink" Target="https://www.federalregister.gov/documents/2021/12/20/2021-27605/establishing-the-united-states-council-on-transnational-organized-crime" TargetMode="External"/><Relationship Id="rId1892" Type="http://schemas.openxmlformats.org/officeDocument/2006/relationships/hyperlink" Target="https://www.govinfo.gov/content/pkg/FR-2021-12-20/pdf/2021-27605.pdf" TargetMode="External"/><Relationship Id="rId1893" Type="http://schemas.openxmlformats.org/officeDocument/2006/relationships/hyperlink" Target="https://www.federalregister.gov/documents/2021/12/28/2021-28313/adjustments-of-certain-rates-of-pay" TargetMode="External"/><Relationship Id="rId1410" Type="http://schemas.openxmlformats.org/officeDocument/2006/relationships/hyperlink" Target="https://www.govinfo.gov/content/pkg/FR-2017-12-27/pdf/2017-28160.pdf" TargetMode="External"/><Relationship Id="rId1894" Type="http://schemas.openxmlformats.org/officeDocument/2006/relationships/hyperlink" Target="https://www.govinfo.gov/content/pkg/FR-2021-12-28/pdf/2021-28313.pdf" TargetMode="External"/><Relationship Id="rId1400" Type="http://schemas.openxmlformats.org/officeDocument/2006/relationships/hyperlink" Target="https://www.govinfo.gov/content/pkg/FR-2017-10-24/pdf/2017-23270.pdf" TargetMode="External"/><Relationship Id="rId1884" Type="http://schemas.openxmlformats.org/officeDocument/2006/relationships/hyperlink" Target="https://www.govinfo.gov/content/pkg/FR-2021-12-03/pdf/2021-26459.pdf" TargetMode="External"/><Relationship Id="rId1401" Type="http://schemas.openxmlformats.org/officeDocument/2006/relationships/hyperlink" Target="https://www.federalregister.gov/documents/2017/10/27/2017-23630/resuming-the-united-states-refugee-admissions-program-with-enhanced-vetting-capabilities" TargetMode="External"/><Relationship Id="rId1885" Type="http://schemas.openxmlformats.org/officeDocument/2006/relationships/hyperlink" Target="https://www.federalregister.gov/documents/2021/12/13/2021-27114/catalyzing-clean-energy-industries-and-jobs-through-federal-sustainability" TargetMode="External"/><Relationship Id="rId1402" Type="http://schemas.openxmlformats.org/officeDocument/2006/relationships/hyperlink" Target="https://www.govinfo.gov/content/pkg/FR-2017-10-27/pdf/2017-23630.pdf" TargetMode="External"/><Relationship Id="rId1886" Type="http://schemas.openxmlformats.org/officeDocument/2006/relationships/hyperlink" Target="https://www.govinfo.gov/content/pkg/FR-2021-12-13/pdf/2021-27114.pdf" TargetMode="External"/><Relationship Id="rId1403" Type="http://schemas.openxmlformats.org/officeDocument/2006/relationships/hyperlink" Target="https://www.federalregister.gov/documents/2017/12/13/2017-27034/revising-the-seal-for-the-national-credit-union-administration" TargetMode="External"/><Relationship Id="rId1887" Type="http://schemas.openxmlformats.org/officeDocument/2006/relationships/hyperlink" Target="https://www.federalregister.gov/documents/2021/12/16/2021-27380/transforming-federal-customer-experience-and-service-delivery-to-rebuild-trust-in-government" TargetMode="External"/><Relationship Id="rId1404" Type="http://schemas.openxmlformats.org/officeDocument/2006/relationships/hyperlink" Target="https://www.govinfo.gov/content/pkg/FR-2017-12-13/pdf/2017-27034.pdf" TargetMode="External"/><Relationship Id="rId1888" Type="http://schemas.openxmlformats.org/officeDocument/2006/relationships/hyperlink" Target="https://www.govinfo.gov/content/pkg/FR-2021-12-16/pdf/2021-27380.pdf" TargetMode="External"/><Relationship Id="rId1405" Type="http://schemas.openxmlformats.org/officeDocument/2006/relationships/hyperlink" Target="https://www.federalregister.gov/documents/2017/12/26/2017-27899/a-federal-strategy-to-ensure-secure-and-reliable-supplies-of-critical-minerals" TargetMode="External"/><Relationship Id="rId1889" Type="http://schemas.openxmlformats.org/officeDocument/2006/relationships/hyperlink" Target="https://www.federalregister.gov/documents/2021/12/17/2021-27505/imposing-sanctions-on-foreign-persons-involved-in-the-global-illicit-drug-trade" TargetMode="External"/><Relationship Id="rId1406" Type="http://schemas.openxmlformats.org/officeDocument/2006/relationships/hyperlink" Target="https://www.govinfo.gov/content/pkg/FR-2017-12-26/pdf/2017-27899.pdf" TargetMode="External"/><Relationship Id="rId1407" Type="http://schemas.openxmlformats.org/officeDocument/2006/relationships/hyperlink" Target="https://www.federalregister.gov/documents/2017/12/26/2017-27925/blocking-the-property-of-persons-involved-in-serious-human-rights-abuse-or-corruption" TargetMode="External"/><Relationship Id="rId1408" Type="http://schemas.openxmlformats.org/officeDocument/2006/relationships/hyperlink" Target="https://www.govinfo.gov/content/pkg/FR-2017-12-26/pdf/2017-27925.pdf" TargetMode="External"/><Relationship Id="rId1409" Type="http://schemas.openxmlformats.org/officeDocument/2006/relationships/hyperlink" Target="https://www.federalregister.gov/documents/2017/12/27/2017-28160/adjustments-of-certain-rates-of-pay" TargetMode="External"/><Relationship Id="rId1880" Type="http://schemas.openxmlformats.org/officeDocument/2006/relationships/hyperlink" Target="https://www.govinfo.gov/content/pkg/FR-2021-11-19/pdf/2021-25548.pdf" TargetMode="External"/><Relationship Id="rId1881" Type="http://schemas.openxmlformats.org/officeDocument/2006/relationships/hyperlink" Target="https://www.federalregister.gov/documents/2021/11/23/2021-25715/nondisplacement-of-qualified-workers-under-service-contracts" TargetMode="External"/><Relationship Id="rId1882" Type="http://schemas.openxmlformats.org/officeDocument/2006/relationships/hyperlink" Target="https://www.govinfo.gov/content/pkg/FR-2021-11-23/pdf/2021-25715.pdf" TargetMode="External"/><Relationship Id="rId1883" Type="http://schemas.openxmlformats.org/officeDocument/2006/relationships/hyperlink" Target="https://www.federalregister.gov/documents/2021/12/03/2021-26459/the-national-space-council" TargetMode="External"/><Relationship Id="rId1433" Type="http://schemas.openxmlformats.org/officeDocument/2006/relationships/hyperlink" Target="https://www.federalregister.gov/documents/2018/05/08/2018-09895/establishment-of-a-white-house-faith-and-opportunity-initiative" TargetMode="External"/><Relationship Id="rId1434" Type="http://schemas.openxmlformats.org/officeDocument/2006/relationships/hyperlink" Target="https://www.govinfo.gov/content/pkg/FR-2018-05-08/pdf/2018-09895.pdf" TargetMode="External"/><Relationship Id="rId1435" Type="http://schemas.openxmlformats.org/officeDocument/2006/relationships/hyperlink" Target="https://www.federalregister.gov/documents/2018/05/14/2018-10403/enhancing-noncompetitive-civil-service-appointments-of-military-spouses" TargetMode="External"/><Relationship Id="rId1436" Type="http://schemas.openxmlformats.org/officeDocument/2006/relationships/hyperlink" Target="https://www.govinfo.gov/content/pkg/FR-2018-05-14/pdf/2018-10403.pdf" TargetMode="External"/><Relationship Id="rId1437" Type="http://schemas.openxmlformats.org/officeDocument/2006/relationships/hyperlink" Target="https://www.federalregister.gov/documents/2018/05/18/2018-10855/enhancing-the-effectiveness-of-agency-chief-information-officers" TargetMode="External"/><Relationship Id="rId1438" Type="http://schemas.openxmlformats.org/officeDocument/2006/relationships/hyperlink" Target="https://www.govinfo.gov/content/pkg/FR-2018-05-18/pdf/2018-10855.pdf" TargetMode="External"/><Relationship Id="rId1439" Type="http://schemas.openxmlformats.org/officeDocument/2006/relationships/hyperlink" Target="https://www.federalregister.gov/documents/2018/05/22/2018-11101/efficient-federal-operations" TargetMode="External"/><Relationship Id="rId609" Type="http://schemas.openxmlformats.org/officeDocument/2006/relationships/hyperlink" Target="https://www.federalregister.gov/documents/2006/12/26/06-9896/adjustments-of-certain-rates-of-pay" TargetMode="External"/><Relationship Id="rId608" Type="http://schemas.openxmlformats.org/officeDocument/2006/relationships/hyperlink" Target="https://www.govinfo.gov/content/pkg/FR-2006-12-26/pdf/06-9895.pdf" TargetMode="External"/><Relationship Id="rId607" Type="http://schemas.openxmlformats.org/officeDocument/2006/relationships/hyperlink" Target="https://www.federalregister.gov/documents/2006/12/26/06-9895/national-aeronautics-research-and-development" TargetMode="External"/><Relationship Id="rId602" Type="http://schemas.openxmlformats.org/officeDocument/2006/relationships/hyperlink" Target="https://www.govinfo.gov/content/pkg/FR-2006-12-07/pdf/06-9619.pdf" TargetMode="External"/><Relationship Id="rId601" Type="http://schemas.openxmlformats.org/officeDocument/2006/relationships/hyperlink" Target="https://www.federalregister.gov/documents/2006/12/07/06-9619/strengthening-surface-transportation-security" TargetMode="External"/><Relationship Id="rId600" Type="http://schemas.openxmlformats.org/officeDocument/2006/relationships/hyperlink" Target="https://www.govinfo.gov/content/pkg/FR-2006-12-05/pdf/06-9561.pdf" TargetMode="External"/><Relationship Id="rId606" Type="http://schemas.openxmlformats.org/officeDocument/2006/relationships/hyperlink" Target="https://www.govinfo.gov/content/pkg/FR-2006-12-18/pdf/06-9770.pdf" TargetMode="External"/><Relationship Id="rId605" Type="http://schemas.openxmlformats.org/officeDocument/2006/relationships/hyperlink" Target="https://www.federalregister.gov/documents/2006/12/18/06-9770/amendment-to-executive-order-13317-volunteers-for-prosperity" TargetMode="External"/><Relationship Id="rId604" Type="http://schemas.openxmlformats.org/officeDocument/2006/relationships/hyperlink" Target="https://www.govinfo.gov/content/pkg/FR-2006-12-08/pdf/06-9632.pdf" TargetMode="External"/><Relationship Id="rId603" Type="http://schemas.openxmlformats.org/officeDocument/2006/relationships/hyperlink" Target="https://www.federalregister.gov/documents/2006/12/08/06-9632/establishing-an-emergency-board-to-investigate-disputes-between-metro-north-railroad-and-certain-of" TargetMode="External"/><Relationship Id="rId1430" Type="http://schemas.openxmlformats.org/officeDocument/2006/relationships/hyperlink" Target="https://www.govinfo.gov/content/pkg/FR-2018-04-18/pdf/2018-08272.pdf" TargetMode="External"/><Relationship Id="rId1431" Type="http://schemas.openxmlformats.org/officeDocument/2006/relationships/hyperlink" Target="https://www.federalregister.gov/documents/2018/04/25/2018-08883/delegation-of-authority-to-approve-certain-military-decorations" TargetMode="External"/><Relationship Id="rId1432" Type="http://schemas.openxmlformats.org/officeDocument/2006/relationships/hyperlink" Target="https://www.govinfo.gov/content/pkg/FR-2018-04-25/pdf/2018-08883.pdf" TargetMode="External"/><Relationship Id="rId1422" Type="http://schemas.openxmlformats.org/officeDocument/2006/relationships/hyperlink" Target="https://www.govinfo.gov/content/pkg/FR-2018-03-08/pdf/2018-04860.pdf" TargetMode="External"/><Relationship Id="rId1423" Type="http://schemas.openxmlformats.org/officeDocument/2006/relationships/hyperlink" Target="https://www.federalregister.gov/documents/2018/03/12/2018-05113/federal-interagency-council-on-crime-prevention-and-improving-reentry" TargetMode="External"/><Relationship Id="rId1424" Type="http://schemas.openxmlformats.org/officeDocument/2006/relationships/hyperlink" Target="https://www.govinfo.gov/content/pkg/FR-2018-03-12/pdf/2018-05113.pdf" TargetMode="External"/><Relationship Id="rId1425" Type="http://schemas.openxmlformats.org/officeDocument/2006/relationships/hyperlink" Target="https://www.federalregister.gov/documents/2018/03/21/2018-05916/taking-additional-steps-to-address-the-situation-in-venezuela" TargetMode="External"/><Relationship Id="rId1426" Type="http://schemas.openxmlformats.org/officeDocument/2006/relationships/hyperlink" Target="https://www.govinfo.gov/content/pkg/FR-2018-03-21/pdf/2018-05916.pdf" TargetMode="External"/><Relationship Id="rId1427" Type="http://schemas.openxmlformats.org/officeDocument/2006/relationships/hyperlink" Target="https://www.federalregister.gov/documents/2018/04/13/2018-07874/reducing-poverty-in-america-by-promoting-opportunity-and-economic-mobility" TargetMode="External"/><Relationship Id="rId1428" Type="http://schemas.openxmlformats.org/officeDocument/2006/relationships/hyperlink" Target="https://www.govinfo.gov/content/pkg/FR-2018-04-13/pdf/2018-07874.pdf" TargetMode="External"/><Relationship Id="rId1429" Type="http://schemas.openxmlformats.org/officeDocument/2006/relationships/hyperlink" Target="https://www.federalregister.gov/documents/2018/04/18/2018-08272/task-force-on-the-united-states-postal-system" TargetMode="External"/><Relationship Id="rId1420" Type="http://schemas.openxmlformats.org/officeDocument/2006/relationships/hyperlink" Target="https://www.govinfo.gov/content/pkg/FR-2018-03-02/pdf/2018-04414.pdf" TargetMode="External"/><Relationship Id="rId1421" Type="http://schemas.openxmlformats.org/officeDocument/2006/relationships/hyperlink" Target="https://www.federalregister.gov/documents/2018/03/08/2018-04860/2018-amendments-to-the-manual-for-courts-martial-united-states" TargetMode="External"/><Relationship Id="rId1059" Type="http://schemas.openxmlformats.org/officeDocument/2006/relationships/hyperlink" Target="https://www.federalregister.gov/documents/2013/05/24/2013-12650/amendment-to-executive-order-13639" TargetMode="External"/><Relationship Id="rId228" Type="http://schemas.openxmlformats.org/officeDocument/2006/relationships/hyperlink" Target="https://www.govinfo.gov/content/pkg/FR-2001-10-11/pdf/01-25788.pdf" TargetMode="External"/><Relationship Id="rId227" Type="http://schemas.openxmlformats.org/officeDocument/2006/relationships/hyperlink" Target="https://www.federalregister.gov/documents/2001/10/11/01-25788/amendment-to-executive-order-13045-extending-the-task-force-on-environmental-health-risks-and-safety" TargetMode="External"/><Relationship Id="rId226" Type="http://schemas.openxmlformats.org/officeDocument/2006/relationships/hyperlink" Target="https://www.govinfo.gov/content/pkg/FR-2001-10-10/pdf/01-25677.pdf" TargetMode="External"/><Relationship Id="rId225" Type="http://schemas.openxmlformats.org/officeDocument/2006/relationships/hyperlink" Target="https://www.federalregister.gov/documents/2001/10/10/01-25677/establishing-the-office-of-homeland-security-and-the-homeland-security-council" TargetMode="External"/><Relationship Id="rId229" Type="http://schemas.openxmlformats.org/officeDocument/2006/relationships/hyperlink" Target="https://www.federalregister.gov/documents/2001/10/17/01-26339/presidents-advisory-commission-on-educational-excellence-for-hispanic-americans" TargetMode="External"/><Relationship Id="rId1050" Type="http://schemas.openxmlformats.org/officeDocument/2006/relationships/hyperlink" Target="https://www.govinfo.gov/content/pkg/FR-2013-04-03/pdf/2013-07837.pdf" TargetMode="External"/><Relationship Id="rId220" Type="http://schemas.openxmlformats.org/officeDocument/2006/relationships/hyperlink" Target="https://www.govinfo.gov/content/pkg/FR-2001-10-03/pdf/01-24917.pdf" TargetMode="External"/><Relationship Id="rId1051" Type="http://schemas.openxmlformats.org/officeDocument/2006/relationships/hyperlink" Target="https://www.federalregister.gov/documents/2013/04/10/2013-08501/continuance-of-advisory-council" TargetMode="External"/><Relationship Id="rId1052" Type="http://schemas.openxmlformats.org/officeDocument/2006/relationships/hyperlink" Target="https://www.govinfo.gov/content/pkg/FR-2013-04-10/pdf/2013-08501.pdf" TargetMode="External"/><Relationship Id="rId1053" Type="http://schemas.openxmlformats.org/officeDocument/2006/relationships/hyperlink" Target="https://www.federalregister.gov/documents/2013/04/11/2013-08626/adjustments-of-certain-rates-of-pay" TargetMode="External"/><Relationship Id="rId1054" Type="http://schemas.openxmlformats.org/officeDocument/2006/relationships/hyperlink" Target="https://www.govinfo.gov/content/pkg/FR-2013-04-11/pdf/2013-08626.pdf" TargetMode="External"/><Relationship Id="rId224" Type="http://schemas.openxmlformats.org/officeDocument/2006/relationships/hyperlink" Target="https://www.govinfo.gov/content/pkg/FR-2001-10-05/pdf/01-25344.pdf" TargetMode="External"/><Relationship Id="rId1055" Type="http://schemas.openxmlformats.org/officeDocument/2006/relationships/hyperlink" Target="https://www.federalregister.gov/documents/2013/05/14/2013-11533/making-open-and-machine-readable-the-new-default-for-government-information" TargetMode="External"/><Relationship Id="rId223" Type="http://schemas.openxmlformats.org/officeDocument/2006/relationships/hyperlink" Target="https://www.federalregister.gov/documents/2001/10/05/01-25344/presidents-commission-on-excellence-in-special-education" TargetMode="External"/><Relationship Id="rId1056" Type="http://schemas.openxmlformats.org/officeDocument/2006/relationships/hyperlink" Target="https://www.govinfo.gov/content/pkg/FR-2013-05-14/pdf/2013-11533.pdf" TargetMode="External"/><Relationship Id="rId222" Type="http://schemas.openxmlformats.org/officeDocument/2006/relationships/hyperlink" Target="https://www.govinfo.gov/content/pkg/FR-2001-10-03/pdf/01-24983.pdf" TargetMode="External"/><Relationship Id="rId1057" Type="http://schemas.openxmlformats.org/officeDocument/2006/relationships/hyperlink" Target="https://www.federalregister.gov/documents/2013/05/21/2013-12157/2013-amendments-to-the-manual-for-courts-martial-united-states" TargetMode="External"/><Relationship Id="rId221" Type="http://schemas.openxmlformats.org/officeDocument/2006/relationships/hyperlink" Target="https://www.federalregister.gov/documents/2001/10/03/01-24983/presidents-council-of-advisors-on-science-and-technology" TargetMode="External"/><Relationship Id="rId1058" Type="http://schemas.openxmlformats.org/officeDocument/2006/relationships/hyperlink" Target="https://www.govinfo.gov/content/pkg/FR-2013-05-21/pdf/2013-12157.pdf" TargetMode="External"/><Relationship Id="rId1048" Type="http://schemas.openxmlformats.org/officeDocument/2006/relationships/hyperlink" Target="https://www.govinfo.gov/content/pkg/FR-2013-03-21/pdf/2013-06712.pdf" TargetMode="External"/><Relationship Id="rId1049" Type="http://schemas.openxmlformats.org/officeDocument/2006/relationships/hyperlink" Target="https://www.federalregister.gov/documents/2013/04/03/2013-07837/establishment-of-the-presidential-commission-on-election-administration" TargetMode="External"/><Relationship Id="rId217" Type="http://schemas.openxmlformats.org/officeDocument/2006/relationships/hyperlink" Target="https://www.federalregister.gov/documents/2001/09/25/01-24205/blocking-property-and-prohibiting-transactions-with-persons-who-commit-threaten-to-commit-or-support" TargetMode="External"/><Relationship Id="rId216" Type="http://schemas.openxmlformats.org/officeDocument/2006/relationships/hyperlink" Target="https://www.govinfo.gov/content/pkg/FR-2001-09-18/pdf/01-23359.pdf" TargetMode="External"/><Relationship Id="rId215" Type="http://schemas.openxmlformats.org/officeDocument/2006/relationships/hyperlink" Target="https://www.federalregister.gov/documents/2001/09/18/01-23359/ordering-the-ready-reserve-of-the-armed-forces-to-active-duty-and-delegating-certain-authorities-to" TargetMode="External"/><Relationship Id="rId699" Type="http://schemas.openxmlformats.org/officeDocument/2006/relationships/hyperlink" Target="https://www.federalregister.gov/documents/2008/06/11/08-1348/amending-executive-order-12989-as-amended" TargetMode="External"/><Relationship Id="rId214" Type="http://schemas.openxmlformats.org/officeDocument/2006/relationships/hyperlink" Target="https://www.govinfo.gov/content/pkg/FR-2001-08-22/pdf/01-21338.pdf" TargetMode="External"/><Relationship Id="rId698" Type="http://schemas.openxmlformats.org/officeDocument/2006/relationships/hyperlink" Target="https://www.govinfo.gov/content/pkg/FR-2008-05-02/pdf/08-1215.pdf" TargetMode="External"/><Relationship Id="rId219" Type="http://schemas.openxmlformats.org/officeDocument/2006/relationships/hyperlink" Target="https://www.federalregister.gov/documents/2001/10/03/01-24917/continuance-of-certain-federal-advisory-committees" TargetMode="External"/><Relationship Id="rId218" Type="http://schemas.openxmlformats.org/officeDocument/2006/relationships/hyperlink" Target="https://www.govinfo.gov/content/pkg/FR-2001-09-25/pdf/01-24205.pdf" TargetMode="External"/><Relationship Id="rId693" Type="http://schemas.openxmlformats.org/officeDocument/2006/relationships/hyperlink" Target="https://www.federalregister.gov/documents/2008/03/04/08-970/presidents-intelligence-advisory-board-and-intelligence-oversight-board" TargetMode="External"/><Relationship Id="rId1040" Type="http://schemas.openxmlformats.org/officeDocument/2006/relationships/hyperlink" Target="https://www.govinfo.gov/content/pkg/FR-2012-12-31/pdf/2012-31574.pdf" TargetMode="External"/><Relationship Id="rId692" Type="http://schemas.openxmlformats.org/officeDocument/2006/relationships/hyperlink" Target="https://www.govinfo.gov/content/pkg/FR-2008-02-20/pdf/08-797.pdf" TargetMode="External"/><Relationship Id="rId1041" Type="http://schemas.openxmlformats.org/officeDocument/2006/relationships/hyperlink" Target="https://www.federalregister.gov/documents/2013/01/03/2013-00002/adjustments-of-certain-rates-of-pay" TargetMode="External"/><Relationship Id="rId691" Type="http://schemas.openxmlformats.org/officeDocument/2006/relationships/hyperlink" Target="https://www.federalregister.gov/documents/2008/02/20/08-797/providing-an-order-of-succession-within-the-department-of-health-and-human-services" TargetMode="External"/><Relationship Id="rId1042" Type="http://schemas.openxmlformats.org/officeDocument/2006/relationships/hyperlink" Target="https://www.govinfo.gov/content/pkg/FR-2013-01-03/pdf/2013-00002.pdf" TargetMode="External"/><Relationship Id="rId690" Type="http://schemas.openxmlformats.org/officeDocument/2006/relationships/hyperlink" Target="https://www.govinfo.gov/content/pkg/FR-2008-02-15/pdf/08-761.pdf" TargetMode="External"/><Relationship Id="rId1043" Type="http://schemas.openxmlformats.org/officeDocument/2006/relationships/hyperlink" Target="https://www.federalregister.gov/documents/2013/02/19/2013-03915/improving-critical-infrastructure-cybersecurity" TargetMode="External"/><Relationship Id="rId213" Type="http://schemas.openxmlformats.org/officeDocument/2006/relationships/hyperlink" Target="https://www.federalregister.gov/documents/2001/08/22/01-21338/continuation-of-export-control-regulations" TargetMode="External"/><Relationship Id="rId697" Type="http://schemas.openxmlformats.org/officeDocument/2006/relationships/hyperlink" Target="https://www.federalregister.gov/documents/2008/05/02/08-1215/blocking-property-and-prohibiting-certain-transactions-related-to-burma" TargetMode="External"/><Relationship Id="rId1044" Type="http://schemas.openxmlformats.org/officeDocument/2006/relationships/hyperlink" Target="https://www.govinfo.gov/content/pkg/FR-2013-02-19/pdf/2013-03915.pdf" TargetMode="External"/><Relationship Id="rId212" Type="http://schemas.openxmlformats.org/officeDocument/2006/relationships/hyperlink" Target="https://www.govinfo.gov/content/pkg/FR-2001-08-02/pdf/01-19562.pdf" TargetMode="External"/><Relationship Id="rId696" Type="http://schemas.openxmlformats.org/officeDocument/2006/relationships/hyperlink" Target="https://www.govinfo.gov/content/pkg/FR-2008-04-23/pdf/08-1182.pdf" TargetMode="External"/><Relationship Id="rId1045" Type="http://schemas.openxmlformats.org/officeDocument/2006/relationships/hyperlink" Target="https://www.federalregister.gov/documents/2013/03/13/2013-05967/administration-of-reformed-export-controls" TargetMode="External"/><Relationship Id="rId211" Type="http://schemas.openxmlformats.org/officeDocument/2006/relationships/hyperlink" Target="https://www.federalregister.gov/documents/2001/08/02/01-19562/energy-efficient-standby-power-devices" TargetMode="External"/><Relationship Id="rId695" Type="http://schemas.openxmlformats.org/officeDocument/2006/relationships/hyperlink" Target="https://www.federalregister.gov/documents/2008/04/23/08-1182/amending-executive-orders-13389-and-13390" TargetMode="External"/><Relationship Id="rId1046" Type="http://schemas.openxmlformats.org/officeDocument/2006/relationships/hyperlink" Target="https://www.govinfo.gov/content/pkg/FR-2013-03-13/pdf/2013-05967.pdf" TargetMode="External"/><Relationship Id="rId210" Type="http://schemas.openxmlformats.org/officeDocument/2006/relationships/hyperlink" Target="https://www.govinfo.gov/content/pkg/FR-2001-07-05/pdf/01-17041.pdf" TargetMode="External"/><Relationship Id="rId694" Type="http://schemas.openxmlformats.org/officeDocument/2006/relationships/hyperlink" Target="https://www.govinfo.gov/content/pkg/FR-2008-03-04/pdf/08-970.pdf" TargetMode="External"/><Relationship Id="rId1047" Type="http://schemas.openxmlformats.org/officeDocument/2006/relationships/hyperlink" Target="https://www.federalregister.gov/documents/2013/03/21/2013-06712/amendments-to-executive-order-12777" TargetMode="External"/><Relationship Id="rId249" Type="http://schemas.openxmlformats.org/officeDocument/2006/relationships/hyperlink" Target="https://www.federalregister.gov/documents/2001/12/21/01-31665/council-of-europe-in-respect-of-the-group-of-states-against-corruption" TargetMode="External"/><Relationship Id="rId248" Type="http://schemas.openxmlformats.org/officeDocument/2006/relationships/hyperlink" Target="https://www.govinfo.gov/content/pkg/FR-2001-12-14/pdf/01-31119.pdf" TargetMode="External"/><Relationship Id="rId247" Type="http://schemas.openxmlformats.org/officeDocument/2006/relationships/hyperlink" Target="https://www.federalregister.gov/documents/2001/12/14/01-31119/designation-of-afghanistan-and-the-airspace-above-as-a-combat-zone" TargetMode="External"/><Relationship Id="rId1070" Type="http://schemas.openxmlformats.org/officeDocument/2006/relationships/hyperlink" Target="https://www.govinfo.gov/content/pkg/FR-2013-07-18/pdf/2013-17478.pdf" TargetMode="External"/><Relationship Id="rId1071" Type="http://schemas.openxmlformats.org/officeDocument/2006/relationships/hyperlink" Target="https://www.federalregister.gov/documents/2013/08/07/2013-19220/improving-chemical-facility-safety-and-security" TargetMode="External"/><Relationship Id="rId1072" Type="http://schemas.openxmlformats.org/officeDocument/2006/relationships/hyperlink" Target="https://www.govinfo.gov/content/pkg/FR-2013-08-07/pdf/2013-19220.pdf" TargetMode="External"/><Relationship Id="rId242" Type="http://schemas.openxmlformats.org/officeDocument/2006/relationships/hyperlink" Target="https://www.govinfo.gov/content/pkg/FR-2001-11-29/pdf/01-29831.pdf" TargetMode="External"/><Relationship Id="rId1073" Type="http://schemas.openxmlformats.org/officeDocument/2006/relationships/hyperlink" Target="https://www.federalregister.gov/documents/2013/08/09/2013-19520/prohibiting-certain-imports-of-burmese-jadeite-and-rubies" TargetMode="External"/><Relationship Id="rId241" Type="http://schemas.openxmlformats.org/officeDocument/2006/relationships/hyperlink" Target="https://www.federalregister.gov/documents/2001/11/29/01-29831/waiver-of-dual-compensation-provisions-of-the-central-intelligence-agency-retirement-act-of-1964" TargetMode="External"/><Relationship Id="rId1074" Type="http://schemas.openxmlformats.org/officeDocument/2006/relationships/hyperlink" Target="https://www.govinfo.gov/content/pkg/FR-2013-08-09/pdf/2013-19520.pdf" TargetMode="External"/><Relationship Id="rId240" Type="http://schemas.openxmlformats.org/officeDocument/2006/relationships/hyperlink" Target="https://www.govinfo.gov/content/pkg/FR-2001-11-20/pdf/01-29219.pdf" TargetMode="External"/><Relationship Id="rId1075" Type="http://schemas.openxmlformats.org/officeDocument/2006/relationships/hyperlink" Target="https://www.federalregister.gov/documents/2013/10/04/2013-24388/continuance-of-certain-federal-advisory-committees" TargetMode="External"/><Relationship Id="rId1076" Type="http://schemas.openxmlformats.org/officeDocument/2006/relationships/hyperlink" Target="https://www.govinfo.gov/content/pkg/FR-2013-10-04/pdf/2013-24388.pdf" TargetMode="External"/><Relationship Id="rId246" Type="http://schemas.openxmlformats.org/officeDocument/2006/relationships/hyperlink" Target="https://www.govinfo.gov/content/pkg/FR-2001-12-10/pdf/01-30624.pdf" TargetMode="External"/><Relationship Id="rId1077" Type="http://schemas.openxmlformats.org/officeDocument/2006/relationships/hyperlink" Target="https://www.federalregister.gov/documents/2013/11/06/2013-26785/preparing-the-united-states-for-the-impacts-of-climate-change" TargetMode="External"/><Relationship Id="rId245" Type="http://schemas.openxmlformats.org/officeDocument/2006/relationships/hyperlink" Target="https://www.federalregister.gov/documents/2001/12/10/01-30624/closing-of-federal-government-executive-departments-and-agencies-on-monday-december-24-2001" TargetMode="External"/><Relationship Id="rId1078" Type="http://schemas.openxmlformats.org/officeDocument/2006/relationships/hyperlink" Target="https://www.govinfo.gov/content/pkg/FR-2013-11-06/pdf/2013-26785.pdf" TargetMode="External"/><Relationship Id="rId244" Type="http://schemas.openxmlformats.org/officeDocument/2006/relationships/hyperlink" Target="https://www.govinfo.gov/content/pkg/FR-2001-11-30/pdf/01-29948.pdf" TargetMode="External"/><Relationship Id="rId1079" Type="http://schemas.openxmlformats.org/officeDocument/2006/relationships/hyperlink" Target="https://www.federalregister.gov/documents/2013/11/26/2013-28581/establishing-an-emergency-board-to-investigate-disputes-between-the-long-island-rail-road-company" TargetMode="External"/><Relationship Id="rId243" Type="http://schemas.openxmlformats.org/officeDocument/2006/relationships/hyperlink" Target="https://www.federalregister.gov/documents/2001/11/30/01-29948/creation-of-the-presidents-council-on-bioethics" TargetMode="External"/><Relationship Id="rId239" Type="http://schemas.openxmlformats.org/officeDocument/2006/relationships/hyperlink" Target="https://www.federalregister.gov/documents/2001/11/20/01-29219/national-emergency-construction-authority" TargetMode="External"/><Relationship Id="rId238" Type="http://schemas.openxmlformats.org/officeDocument/2006/relationships/hyperlink" Target="https://www.govinfo.gov/content/pkg/FR-2001-11-15/pdf/01-28762.pdf" TargetMode="External"/><Relationship Id="rId237" Type="http://schemas.openxmlformats.org/officeDocument/2006/relationships/hyperlink" Target="https://www.federalregister.gov/documents/2001/11/15/01-28762/presidential-task-force-on-citizen-preparedness-in-the-war-on-terrorism" TargetMode="External"/><Relationship Id="rId236" Type="http://schemas.openxmlformats.org/officeDocument/2006/relationships/hyperlink" Target="https://www.govinfo.gov/content/pkg/FR-2001-11-05/pdf/01-27917.pdf" TargetMode="External"/><Relationship Id="rId1060" Type="http://schemas.openxmlformats.org/officeDocument/2006/relationships/hyperlink" Target="https://www.govinfo.gov/content/pkg/FR-2013-05-24/pdf/2013-12650.pdf" TargetMode="External"/><Relationship Id="rId1061" Type="http://schemas.openxmlformats.org/officeDocument/2006/relationships/hyperlink" Target="https://www.federalregister.gov/documents/2013/06/05/2013-13523/authorizing-the-implementation-of-certain-sanctions-set-forth-in-the-iran-freedom-and-counter-" TargetMode="External"/><Relationship Id="rId231" Type="http://schemas.openxmlformats.org/officeDocument/2006/relationships/hyperlink" Target="https://www.federalregister.gov/documents/2001/10/18/01-26509/critical-infrastructure-protection-in-the-information-age" TargetMode="External"/><Relationship Id="rId1062" Type="http://schemas.openxmlformats.org/officeDocument/2006/relationships/hyperlink" Target="https://www.govinfo.gov/content/pkg/FR-2013-06-05/pdf/2013-13523.pdf" TargetMode="External"/><Relationship Id="rId230" Type="http://schemas.openxmlformats.org/officeDocument/2006/relationships/hyperlink" Target="https://www.govinfo.gov/content/pkg/FR-2001-10-17/pdf/01-26339.pdf" TargetMode="External"/><Relationship Id="rId1063" Type="http://schemas.openxmlformats.org/officeDocument/2006/relationships/hyperlink" Target="https://www.federalregister.gov/documents/2013/06/28/2013-15782/establishing-the-presidents-advisory-council-on-financial-capability-for-young-americans" TargetMode="External"/><Relationship Id="rId1064" Type="http://schemas.openxmlformats.org/officeDocument/2006/relationships/hyperlink" Target="https://www.govinfo.gov/content/pkg/FR-2013-06-28/pdf/2013-15782.pdf" TargetMode="External"/><Relationship Id="rId1065" Type="http://schemas.openxmlformats.org/officeDocument/2006/relationships/hyperlink" Target="https://www.federalregister.gov/documents/2013/07/01/2013-15942/establishing-the-white-house-council-on-native-american-affairs" TargetMode="External"/><Relationship Id="rId235" Type="http://schemas.openxmlformats.org/officeDocument/2006/relationships/hyperlink" Target="https://www.federalregister.gov/documents/2001/11/05/01-27917/further-implementation-of-the-presidential-records-act" TargetMode="External"/><Relationship Id="rId1066" Type="http://schemas.openxmlformats.org/officeDocument/2006/relationships/hyperlink" Target="https://www.govinfo.gov/content/pkg/FR-2013-07-01/pdf/2013-15942.pdf" TargetMode="External"/><Relationship Id="rId234" Type="http://schemas.openxmlformats.org/officeDocument/2006/relationships/hyperlink" Target="https://www.govinfo.gov/content/pkg/FR-2001-10-24/pdf/01-26990.pdf" TargetMode="External"/><Relationship Id="rId1067" Type="http://schemas.openxmlformats.org/officeDocument/2006/relationships/hyperlink" Target="https://www.federalregister.gov/documents/2013/07/05/2013-16387/combating-wildlife-trafficking" TargetMode="External"/><Relationship Id="rId233" Type="http://schemas.openxmlformats.org/officeDocument/2006/relationships/hyperlink" Target="https://www.federalregister.gov/documents/2001/10/24/01-26990/further-amendment-to-executive-order-10789-as-amended-to-authorize-the-department-of-health-and" TargetMode="External"/><Relationship Id="rId1068" Type="http://schemas.openxmlformats.org/officeDocument/2006/relationships/hyperlink" Target="https://www.govinfo.gov/content/pkg/FR-2013-07-05/pdf/2013-16387.pdf" TargetMode="External"/><Relationship Id="rId232" Type="http://schemas.openxmlformats.org/officeDocument/2006/relationships/hyperlink" Target="https://www.govinfo.gov/content/pkg/FR-2001-10-18/pdf/01-26509.pdf" TargetMode="External"/><Relationship Id="rId1069" Type="http://schemas.openxmlformats.org/officeDocument/2006/relationships/hyperlink" Target="https://www.federalregister.gov/documents/2013/07/18/2013-17478/accelerating-improvements-in-hiv-prevention-and-care-in-the-united-states-through-the-hiv-care" TargetMode="External"/><Relationship Id="rId1015" Type="http://schemas.openxmlformats.org/officeDocument/2006/relationships/hyperlink" Target="https://www.federalregister.gov/documents/2012/08/02/2012-19055/authorizing-additional-sanctions-with-respect-to-iran" TargetMode="External"/><Relationship Id="rId1499" Type="http://schemas.openxmlformats.org/officeDocument/2006/relationships/hyperlink" Target="https://www.federalregister.gov/documents/2019/03/26/2019-05934/improving-free-inquiry-transparency-and-accountability-at-colleges-and-universities" TargetMode="External"/><Relationship Id="rId1016" Type="http://schemas.openxmlformats.org/officeDocument/2006/relationships/hyperlink" Target="https://www.govinfo.gov/content/pkg/FR-2012-08-02/pdf/2012-19055.pdf" TargetMode="External"/><Relationship Id="rId1017" Type="http://schemas.openxmlformats.org/officeDocument/2006/relationships/hyperlink" Target="https://www.federalregister.gov/documents/2012/08/16/2012-20259/preventing-and-responding-to-violence-against-women-and-girls-globally" TargetMode="External"/><Relationship Id="rId1018" Type="http://schemas.openxmlformats.org/officeDocument/2006/relationships/hyperlink" Target="https://www.govinfo.gov/content/pkg/FR-2012-08-16/pdf/2012-20259.pdf" TargetMode="External"/><Relationship Id="rId1019" Type="http://schemas.openxmlformats.org/officeDocument/2006/relationships/hyperlink" Target="https://www.federalregister.gov/documents/2012/09/05/2012-22030/accelerating-investment-in-industrial-energy-efficiency" TargetMode="External"/><Relationship Id="rId668" Type="http://schemas.openxmlformats.org/officeDocument/2006/relationships/hyperlink" Target="https://www.govinfo.gov/content/pkg/FR-2007-10-24/pdf/07-5299.pdf" TargetMode="External"/><Relationship Id="rId667" Type="http://schemas.openxmlformats.org/officeDocument/2006/relationships/hyperlink" Target="https://www.federalregister.gov/documents/2007/10/24/07-5299/protection-of-striped-bass-and-red-drum-fish-populations" TargetMode="External"/><Relationship Id="rId666" Type="http://schemas.openxmlformats.org/officeDocument/2006/relationships/hyperlink" Target="https://www.govinfo.gov/content/pkg/FR-2007-10-23/pdf/07-5270.pdf" TargetMode="External"/><Relationship Id="rId665" Type="http://schemas.openxmlformats.org/officeDocument/2006/relationships/hyperlink" Target="https://www.federalregister.gov/documents/2007/10/23/07-5270/blocking-property-and-prohibiting-certain-transactions-related-to-burma" TargetMode="External"/><Relationship Id="rId669" Type="http://schemas.openxmlformats.org/officeDocument/2006/relationships/hyperlink" Target="https://www.federalregister.gov/documents/2007/11/15/07-5726/improving-government-program-performance" TargetMode="External"/><Relationship Id="rId1490" Type="http://schemas.openxmlformats.org/officeDocument/2006/relationships/hyperlink" Target="https://www.govinfo.gov/content/pkg/FR-2019-02-14/pdf/2019-02544.pdf" TargetMode="External"/><Relationship Id="rId660" Type="http://schemas.openxmlformats.org/officeDocument/2006/relationships/hyperlink" Target="https://www.govinfo.gov/content/pkg/FR-2007-10-02/pdf/07-4890.pdf" TargetMode="External"/><Relationship Id="rId1491" Type="http://schemas.openxmlformats.org/officeDocument/2006/relationships/hyperlink" Target="https://www.federalregister.gov/documents/2019/03/07/2019-04298/supporting-the-transition-of-active-duty-service-members-and-military-veterans-into-the-merchant" TargetMode="External"/><Relationship Id="rId1492" Type="http://schemas.openxmlformats.org/officeDocument/2006/relationships/hyperlink" Target="https://www.govinfo.gov/content/pkg/FR-2019-03-07/pdf/2019-04298.pdf" TargetMode="External"/><Relationship Id="rId1493" Type="http://schemas.openxmlformats.org/officeDocument/2006/relationships/hyperlink" Target="https://www.federalregister.gov/documents/2019/03/08/2019-04437/national-roadmap-to-empower-veterans-and-end-suicide" TargetMode="External"/><Relationship Id="rId1010" Type="http://schemas.openxmlformats.org/officeDocument/2006/relationships/hyperlink" Target="https://www.govinfo.gov/content/pkg/FR-2012-07-13/pdf/2012-17264.pdf" TargetMode="External"/><Relationship Id="rId1494" Type="http://schemas.openxmlformats.org/officeDocument/2006/relationships/hyperlink" Target="https://www.govinfo.gov/content/pkg/FR-2019-03-08/pdf/2019-04437.pdf" TargetMode="External"/><Relationship Id="rId664" Type="http://schemas.openxmlformats.org/officeDocument/2006/relationships/hyperlink" Target="https://www.govinfo.gov/content/pkg/FR-2007-10-02/pdf/07-4907.pdf" TargetMode="External"/><Relationship Id="rId1011" Type="http://schemas.openxmlformats.org/officeDocument/2006/relationships/hyperlink" Target="https://www.federalregister.gov/documents/2012/07/24/2012-18237/taking-additional-steps-to-address-the-national-emergency-with-respect-to-somalia" TargetMode="External"/><Relationship Id="rId1495" Type="http://schemas.openxmlformats.org/officeDocument/2006/relationships/hyperlink" Target="https://www.federalregister.gov/documents/2019/03/11/2019-04595/revocation-of-reporting-requirement" TargetMode="External"/><Relationship Id="rId663" Type="http://schemas.openxmlformats.org/officeDocument/2006/relationships/hyperlink" Target="https://www.federalregister.gov/documents/2007/10/02/07-4907/further-2007-amendments-to-the-manual-for-courts--martial-united-states" TargetMode="External"/><Relationship Id="rId1012" Type="http://schemas.openxmlformats.org/officeDocument/2006/relationships/hyperlink" Target="https://www.govinfo.gov/content/pkg/FR-2012-07-24/pdf/2012-18237.pdf" TargetMode="External"/><Relationship Id="rId1496" Type="http://schemas.openxmlformats.org/officeDocument/2006/relationships/hyperlink" Target="https://www.govinfo.gov/content/pkg/FR-2019-03-11/pdf/2019-04595.pdf" TargetMode="External"/><Relationship Id="rId662" Type="http://schemas.openxmlformats.org/officeDocument/2006/relationships/hyperlink" Target="https://www.govinfo.gov/content/pkg/FR-2007-10-02/pdf/07-4906.pdf" TargetMode="External"/><Relationship Id="rId1013" Type="http://schemas.openxmlformats.org/officeDocument/2006/relationships/hyperlink" Target="https://www.federalregister.gov/documents/2012/08/01/2012-18868/white-house-initiative-on-educational-excellence-for-african-americans" TargetMode="External"/><Relationship Id="rId1497" Type="http://schemas.openxmlformats.org/officeDocument/2006/relationships/hyperlink" Target="https://www.federalregister.gov/documents/2019/03/19/2019-05370/taking-additional-steps-to-address-the-national-emergency-with-respect-to-significant-transnational" TargetMode="External"/><Relationship Id="rId661" Type="http://schemas.openxmlformats.org/officeDocument/2006/relationships/hyperlink" Target="https://www.federalregister.gov/documents/2007/10/02/07-4906/continuance-of-certain-federal-advisory-committees-and-amendments-to-and-revocation-of-other" TargetMode="External"/><Relationship Id="rId1014" Type="http://schemas.openxmlformats.org/officeDocument/2006/relationships/hyperlink" Target="https://www.govinfo.gov/content/pkg/FR-2012-08-01/pdf/2012-18868.pdf" TargetMode="External"/><Relationship Id="rId1498" Type="http://schemas.openxmlformats.org/officeDocument/2006/relationships/hyperlink" Target="https://www.govinfo.gov/content/pkg/FR-2019-03-19/pdf/2019-05370.pdf" TargetMode="External"/><Relationship Id="rId1004" Type="http://schemas.openxmlformats.org/officeDocument/2006/relationships/hyperlink" Target="https://www.govinfo.gov/content/pkg/FR-2012-06-20/pdf/2012-15183.pdf" TargetMode="External"/><Relationship Id="rId1488" Type="http://schemas.openxmlformats.org/officeDocument/2006/relationships/hyperlink" Target="https://www.govinfo.gov/content/pkg/FR-2019-02-05/pdf/2019-01426.pdf" TargetMode="External"/><Relationship Id="rId1005" Type="http://schemas.openxmlformats.org/officeDocument/2006/relationships/hyperlink" Target="https://www.federalregister.gov/documents/2012/06/27/2012-15954/blocking-property-of-the-government-of-the-russian-federation-relating-to-the-disposition-of-highly" TargetMode="External"/><Relationship Id="rId1489" Type="http://schemas.openxmlformats.org/officeDocument/2006/relationships/hyperlink" Target="https://www.federalregister.gov/documents/2019/02/14/2019-02544/maintaining-american-leadership-in-artificial-intelligence" TargetMode="External"/><Relationship Id="rId1006" Type="http://schemas.openxmlformats.org/officeDocument/2006/relationships/hyperlink" Target="https://www.govinfo.gov/content/pkg/FR-2012-06-27/pdf/2012-15954.pdf" TargetMode="External"/><Relationship Id="rId1007" Type="http://schemas.openxmlformats.org/officeDocument/2006/relationships/hyperlink" Target="https://www.federalregister.gov/documents/2012/07/11/2012-17022/assignment-of-national-security-and-emergency-preparedness-communications-functions" TargetMode="External"/><Relationship Id="rId1008" Type="http://schemas.openxmlformats.org/officeDocument/2006/relationships/hyperlink" Target="https://www.govinfo.gov/content/pkg/FR-2012-07-11/pdf/2012-17022.pdf" TargetMode="External"/><Relationship Id="rId1009" Type="http://schemas.openxmlformats.org/officeDocument/2006/relationships/hyperlink" Target="https://www.federalregister.gov/documents/2012/07/13/2012-17264/blocking-property-of-persons-threatening-the-peace-security-or-stability-of-burma" TargetMode="External"/><Relationship Id="rId657" Type="http://schemas.openxmlformats.org/officeDocument/2006/relationships/hyperlink" Target="https://www.federalregister.gov/documents/2007/09/14/07-4600/extending-privileges-and-immunities-to-the-african-union-mission-to-the-united-states" TargetMode="External"/><Relationship Id="rId656" Type="http://schemas.openxmlformats.org/officeDocument/2006/relationships/hyperlink" Target="https://www.govinfo.gov/content/pkg/FR-2007-08-20/pdf/07-4115.pdf" TargetMode="External"/><Relationship Id="rId655" Type="http://schemas.openxmlformats.org/officeDocument/2006/relationships/hyperlink" Target="https://www.federalregister.gov/documents/2007/08/20/07-4115/facilitation-of-hunting-heritage-and-wildlife-conservation" TargetMode="External"/><Relationship Id="rId654" Type="http://schemas.openxmlformats.org/officeDocument/2006/relationships/hyperlink" Target="https://www.govinfo.gov/content/pkg/FR-2007-08-15/pdf/07-4023.pdf" TargetMode="External"/><Relationship Id="rId659" Type="http://schemas.openxmlformats.org/officeDocument/2006/relationships/hyperlink" Target="https://www.federalregister.gov/documents/2007/10/02/07-4890/strengthening-adult-education" TargetMode="External"/><Relationship Id="rId658" Type="http://schemas.openxmlformats.org/officeDocument/2006/relationships/hyperlink" Target="https://www.govinfo.gov/content/pkg/FR-2007-09-14/pdf/07-4600.pdf" TargetMode="External"/><Relationship Id="rId1480" Type="http://schemas.openxmlformats.org/officeDocument/2006/relationships/hyperlink" Target="https://www.govinfo.gov/content/pkg/FR-2018-12-21/pdf/2018-27945.pdf" TargetMode="External"/><Relationship Id="rId1481" Type="http://schemas.openxmlformats.org/officeDocument/2006/relationships/hyperlink" Target="https://www.federalregister.gov/documents/2019/01/07/2019-00014/promoting-active-management-of-americas-forests-rangelands-and-other-federal-lands-to-improve" TargetMode="External"/><Relationship Id="rId1482" Type="http://schemas.openxmlformats.org/officeDocument/2006/relationships/hyperlink" Target="https://www.govinfo.gov/content/pkg/FR-2019-01-07/pdf/2019-00014.pdf" TargetMode="External"/><Relationship Id="rId1483" Type="http://schemas.openxmlformats.org/officeDocument/2006/relationships/hyperlink" Target="https://www.federalregister.gov/documents/2019/01/08/2019-00048/adjustments-of-certain-rates-of-pay" TargetMode="External"/><Relationship Id="rId653" Type="http://schemas.openxmlformats.org/officeDocument/2006/relationships/hyperlink" Target="https://www.federalregister.gov/documents/2007/08/15/07-4023/amending-the-order-of-succession-in-the-department-of-homeland-security" TargetMode="External"/><Relationship Id="rId1000" Type="http://schemas.openxmlformats.org/officeDocument/2006/relationships/hyperlink" Target="https://www.govinfo.gov/content/pkg/FR-2012-05-24/pdf/2012-12883.pdf" TargetMode="External"/><Relationship Id="rId1484" Type="http://schemas.openxmlformats.org/officeDocument/2006/relationships/hyperlink" Target="https://www.govinfo.gov/content/pkg/FR-2019-01-08/pdf/2019-00048.pdf" TargetMode="External"/><Relationship Id="rId652" Type="http://schemas.openxmlformats.org/officeDocument/2006/relationships/hyperlink" Target="https://www.govinfo.gov/content/pkg/FR-2007-08-03/pdf/07-3835.pdf" TargetMode="External"/><Relationship Id="rId1001" Type="http://schemas.openxmlformats.org/officeDocument/2006/relationships/hyperlink" Target="https://www.federalregister.gov/documents/2012/05/24/2012-12889/providing-an-order-of-succession-within-the-office-of-management-and-budget" TargetMode="External"/><Relationship Id="rId1485" Type="http://schemas.openxmlformats.org/officeDocument/2006/relationships/hyperlink" Target="https://www.federalregister.gov/documents/2019/01/30/2019-00615/taking-additional-steps-to-address-the-national-emergency-with-respect-to-venezuela" TargetMode="External"/><Relationship Id="rId651" Type="http://schemas.openxmlformats.org/officeDocument/2006/relationships/hyperlink" Target="https://www.federalregister.gov/documents/2007/08/03/07-3835/blocking-property-of-persons-undermining-the-sovereignty-of-lebanon-or-its-democratic-processes-and" TargetMode="External"/><Relationship Id="rId1002" Type="http://schemas.openxmlformats.org/officeDocument/2006/relationships/hyperlink" Target="https://www.govinfo.gov/content/pkg/FR-2012-05-24/pdf/2012-12889.pdf" TargetMode="External"/><Relationship Id="rId1486" Type="http://schemas.openxmlformats.org/officeDocument/2006/relationships/hyperlink" Target="https://www.govinfo.gov/content/pkg/FR-2019-01-30/pdf/2019-00615.pdf" TargetMode="External"/><Relationship Id="rId650" Type="http://schemas.openxmlformats.org/officeDocument/2006/relationships/hyperlink" Target="https://www.govinfo.gov/content/pkg/FR-2007-07-24/pdf/07-3656.pdf" TargetMode="External"/><Relationship Id="rId1003" Type="http://schemas.openxmlformats.org/officeDocument/2006/relationships/hyperlink" Target="https://www.federalregister.gov/documents/2012/06/20/2012-15183/accelerating-broadband-infrastructure-deployment" TargetMode="External"/><Relationship Id="rId1487" Type="http://schemas.openxmlformats.org/officeDocument/2006/relationships/hyperlink" Target="https://www.federalregister.gov/documents/2019/02/05/2019-01426/strengthening-buy-american-preferences-for-infrastructure-projects" TargetMode="External"/><Relationship Id="rId1037" Type="http://schemas.openxmlformats.org/officeDocument/2006/relationships/hyperlink" Target="https://www.federalregister.gov/documents/2012/12/28/2012-31225/closing-of-executive-departments-and-agencies-of-the-federal-government-on-monday-december-24-2012" TargetMode="External"/><Relationship Id="rId1038" Type="http://schemas.openxmlformats.org/officeDocument/2006/relationships/hyperlink" Target="https://www.govinfo.gov/content/pkg/FR-2012-12-28/pdf/2012-31225.pdf" TargetMode="External"/><Relationship Id="rId1039" Type="http://schemas.openxmlformats.org/officeDocument/2006/relationships/hyperlink" Target="https://www.federalregister.gov/documents/2012/12/31/2012-31574/reestablishment-of-advisory-commission" TargetMode="External"/><Relationship Id="rId206" Type="http://schemas.openxmlformats.org/officeDocument/2006/relationships/hyperlink" Target="https://www.govinfo.gov/content/pkg/FR-2001-06-22/pdf/01-15958.pdf" TargetMode="External"/><Relationship Id="rId205" Type="http://schemas.openxmlformats.org/officeDocument/2006/relationships/hyperlink" Target="https://www.federalregister.gov/documents/2001/06/22/01-15958/21st-century-workforce-initiative" TargetMode="External"/><Relationship Id="rId689" Type="http://schemas.openxmlformats.org/officeDocument/2006/relationships/hyperlink" Target="https://www.federalregister.gov/documents/2008/02/15/08-761/blocking-property-of-additional-persons-in-connection-with-the-national-emergency-with-respect-to" TargetMode="External"/><Relationship Id="rId204" Type="http://schemas.openxmlformats.org/officeDocument/2006/relationships/hyperlink" Target="https://www.govinfo.gov/content/pkg/FR-2001-06-21/pdf/01-15758.pdf" TargetMode="External"/><Relationship Id="rId688" Type="http://schemas.openxmlformats.org/officeDocument/2006/relationships/hyperlink" Target="https://www.govinfo.gov/content/pkg/FR-2008-02-12/pdf/08-658.pdf" TargetMode="External"/><Relationship Id="rId203" Type="http://schemas.openxmlformats.org/officeDocument/2006/relationships/hyperlink" Target="https://www.federalregister.gov/documents/2001/06/21/01-15758/community-based-alternatives-for-individuals-with-disabilities" TargetMode="External"/><Relationship Id="rId687" Type="http://schemas.openxmlformats.org/officeDocument/2006/relationships/hyperlink" Target="https://www.federalregister.gov/documents/2008/02/12/08-658/improving-the-coordination-and-effectiveness-of-youth-programs" TargetMode="External"/><Relationship Id="rId209" Type="http://schemas.openxmlformats.org/officeDocument/2006/relationships/hyperlink" Target="https://www.federalregister.gov/documents/2001/07/05/01-17041/waiver-under-the-trade-act-of-1974-with-respect-to-the-republic-of-belarus" TargetMode="External"/><Relationship Id="rId208" Type="http://schemas.openxmlformats.org/officeDocument/2006/relationships/hyperlink" Target="https://www.govinfo.gov/content/pkg/FR-2001-06-29/pdf/01-16668.pdf" TargetMode="External"/><Relationship Id="rId207" Type="http://schemas.openxmlformats.org/officeDocument/2006/relationships/hyperlink" Target="https://www.federalregister.gov/documents/2001/06/29/01-16668/blocking-property-of-persons-who-threaten-international-stabilization-efforts-in-the-western-balkans" TargetMode="External"/><Relationship Id="rId682" Type="http://schemas.openxmlformats.org/officeDocument/2006/relationships/hyperlink" Target="https://www.govinfo.gov/content/pkg/FR-2008-01-25/pdf/08-360.pdf" TargetMode="External"/><Relationship Id="rId681" Type="http://schemas.openxmlformats.org/officeDocument/2006/relationships/hyperlink" Target="https://www.federalregister.gov/documents/2008/01/25/08-360/further-amendment-of-executive-order-11858-concerning-foreign-investment-in-the-united-states" TargetMode="External"/><Relationship Id="rId1030" Type="http://schemas.openxmlformats.org/officeDocument/2006/relationships/hyperlink" Target="https://www.govinfo.gov/content/pkg/FR-2012-11-02/pdf/2012-27002.pdf" TargetMode="External"/><Relationship Id="rId680" Type="http://schemas.openxmlformats.org/officeDocument/2006/relationships/hyperlink" Target="https://www.govinfo.gov/content/pkg/FR-2008-01-24/pdf/08-325.pdf" TargetMode="External"/><Relationship Id="rId1031" Type="http://schemas.openxmlformats.org/officeDocument/2006/relationships/hyperlink" Target="https://www.federalregister.gov/documents/2012/12/11/2012-30060/establishment-of-an-interagency-task-force-on-commercial-advocacy" TargetMode="External"/><Relationship Id="rId1032" Type="http://schemas.openxmlformats.org/officeDocument/2006/relationships/hyperlink" Target="https://www.govinfo.gov/content/pkg/FR-2012-12-11/pdf/2012-30060.pdf" TargetMode="External"/><Relationship Id="rId202" Type="http://schemas.openxmlformats.org/officeDocument/2006/relationships/hyperlink" Target="https://www.govinfo.gov/content/pkg/FR-2001-06-11/pdf/01-14862.pdf" TargetMode="External"/><Relationship Id="rId686" Type="http://schemas.openxmlformats.org/officeDocument/2006/relationships/hyperlink" Target="https://www.govinfo.gov/content/pkg/FR-2008-02-06/pdf/08-568.pdf" TargetMode="External"/><Relationship Id="rId1033" Type="http://schemas.openxmlformats.org/officeDocument/2006/relationships/hyperlink" Target="https://www.federalregister.gov/documents/2012/12/12/2012-30170/reestablishment-of-advisory-group" TargetMode="External"/><Relationship Id="rId201" Type="http://schemas.openxmlformats.org/officeDocument/2006/relationships/hyperlink" Target="https://www.federalregister.gov/documents/2001/06/11/01-14862/amendment-to-executive-order-13125-increasing-participation-of-asian-americans-and-pacific-islanders" TargetMode="External"/><Relationship Id="rId685" Type="http://schemas.openxmlformats.org/officeDocument/2006/relationships/hyperlink" Target="https://www.federalregister.gov/documents/2008/02/06/08-568/implementation-of-the-protocol-additional-to-the-agreement-between-the-united-states-and-the" TargetMode="External"/><Relationship Id="rId1034" Type="http://schemas.openxmlformats.org/officeDocument/2006/relationships/hyperlink" Target="https://www.govinfo.gov/content/pkg/FR-2012-12-12/pdf/2012-30170.pdf" TargetMode="External"/><Relationship Id="rId200" Type="http://schemas.openxmlformats.org/officeDocument/2006/relationships/hyperlink" Target="https://www.govinfo.gov/content/pkg/FR-2001-06-05/pdf/01-14319.pdf" TargetMode="External"/><Relationship Id="rId684" Type="http://schemas.openxmlformats.org/officeDocument/2006/relationships/hyperlink" Target="https://www.govinfo.gov/content/pkg/FR-2008-02-01/pdf/08-483.pdf" TargetMode="External"/><Relationship Id="rId1035" Type="http://schemas.openxmlformats.org/officeDocument/2006/relationships/hyperlink" Target="https://www.federalregister.gov/documents/2012/12/14/2012-30310/establishing-the-hurricane-sandy-rebuilding-task-force" TargetMode="External"/><Relationship Id="rId683" Type="http://schemas.openxmlformats.org/officeDocument/2006/relationships/hyperlink" Target="https://www.federalregister.gov/documents/2008/02/01/08-483/protecting-american-taxpayers-from-government-spending-on-wasteful-earmarks" TargetMode="External"/><Relationship Id="rId1036" Type="http://schemas.openxmlformats.org/officeDocument/2006/relationships/hyperlink" Target="https://www.govinfo.gov/content/pkg/FR-2012-12-14/pdf/2012-30310.pdf" TargetMode="External"/><Relationship Id="rId1026" Type="http://schemas.openxmlformats.org/officeDocument/2006/relationships/hyperlink" Target="https://www.govinfo.gov/content/pkg/FR-2012-10-02/pdf/2012-24374.pdf" TargetMode="External"/><Relationship Id="rId1027" Type="http://schemas.openxmlformats.org/officeDocument/2006/relationships/hyperlink" Target="https://www.federalregister.gov/documents/2012/10/12/2012-25236/authorizing-the-implementation-of-certain-sanctions-set-forth-in-the-iran-threat-reduction-and-syria" TargetMode="External"/><Relationship Id="rId1028" Type="http://schemas.openxmlformats.org/officeDocument/2006/relationships/hyperlink" Target="https://www.govinfo.gov/content/pkg/FR-2012-10-12/pdf/2012-25236.pdf" TargetMode="External"/><Relationship Id="rId1029" Type="http://schemas.openxmlformats.org/officeDocument/2006/relationships/hyperlink" Target="https://www.federalregister.gov/documents/2012/11/02/2012-27002/establishing-the-white-house-homeland-security-partnership-council" TargetMode="External"/><Relationship Id="rId679" Type="http://schemas.openxmlformats.org/officeDocument/2006/relationships/hyperlink" Target="https://www.federalregister.gov/documents/2008/01/24/08-325/establishing-the-presidents-advisory-council-on-financial-literacy" TargetMode="External"/><Relationship Id="rId678" Type="http://schemas.openxmlformats.org/officeDocument/2006/relationships/hyperlink" Target="https://www.govinfo.gov/content/pkg/FR-2008-01-08/pdf/08-62.pdf" TargetMode="External"/><Relationship Id="rId677" Type="http://schemas.openxmlformats.org/officeDocument/2006/relationships/hyperlink" Target="https://www.federalregister.gov/documents/2008/01/08/08-62/adjustments-of-certain-rates-of-pay" TargetMode="External"/><Relationship Id="rId676" Type="http://schemas.openxmlformats.org/officeDocument/2006/relationships/hyperlink" Target="https://www.govinfo.gov/content/pkg/FR-2007-12-11/pdf/07-6022.pdf" TargetMode="External"/><Relationship Id="rId671" Type="http://schemas.openxmlformats.org/officeDocument/2006/relationships/hyperlink" Target="https://www.federalregister.gov/documents/2007/11/21/07-5816/designating-the-iter-international-fusion-energy-organization-as-a-public-international-organization" TargetMode="External"/><Relationship Id="rId670" Type="http://schemas.openxmlformats.org/officeDocument/2006/relationships/hyperlink" Target="https://www.govinfo.gov/content/pkg/FR-2007-11-15/pdf/07-5726.pdf" TargetMode="External"/><Relationship Id="rId1020" Type="http://schemas.openxmlformats.org/officeDocument/2006/relationships/hyperlink" Target="https://www.govinfo.gov/content/pkg/FR-2012-09-05/pdf/2012-22030.pdf" TargetMode="External"/><Relationship Id="rId1021" Type="http://schemas.openxmlformats.org/officeDocument/2006/relationships/hyperlink" Target="https://www.federalregister.gov/documents/2012/09/05/2012-22062/improving-access-to-mental-health-services-for-veterans-service-members-and-military-families" TargetMode="External"/><Relationship Id="rId675" Type="http://schemas.openxmlformats.org/officeDocument/2006/relationships/hyperlink" Target="https://www.federalregister.gov/documents/2007/12/11/07-6022/closing-of-executive-departments-and-agencies-of-the-federal-government-on-monday-december-24-2007" TargetMode="External"/><Relationship Id="rId1022" Type="http://schemas.openxmlformats.org/officeDocument/2006/relationships/hyperlink" Target="https://www.govinfo.gov/content/pkg/FR-2012-09-05/pdf/2012-22062.pdf" TargetMode="External"/><Relationship Id="rId674" Type="http://schemas.openxmlformats.org/officeDocument/2006/relationships/hyperlink" Target="https://www.govinfo.gov/content/pkg/FR-2007-11-30/pdf/07-5919.pdf" TargetMode="External"/><Relationship Id="rId1023" Type="http://schemas.openxmlformats.org/officeDocument/2006/relationships/hyperlink" Target="https://www.federalregister.gov/documents/2012/09/13/2012-22807/gulf-coast-ecosystem-restoration" TargetMode="External"/><Relationship Id="rId673" Type="http://schemas.openxmlformats.org/officeDocument/2006/relationships/hyperlink" Target="https://www.federalregister.gov/documents/2007/11/30/07-5919/establishing-an-emergency-board-to-investigate-disputes-between-the-national-railroad-passenger" TargetMode="External"/><Relationship Id="rId1024" Type="http://schemas.openxmlformats.org/officeDocument/2006/relationships/hyperlink" Target="https://www.govinfo.gov/content/pkg/FR-2012-09-13/pdf/2012-22807.pdf" TargetMode="External"/><Relationship Id="rId672" Type="http://schemas.openxmlformats.org/officeDocument/2006/relationships/hyperlink" Target="https://www.govinfo.gov/content/pkg/FR-2007-11-21/pdf/07-5816.pdf" TargetMode="External"/><Relationship Id="rId1025" Type="http://schemas.openxmlformats.org/officeDocument/2006/relationships/hyperlink" Target="https://www.federalregister.gov/documents/2012/10/02/2012-24374/strengthening-protections-against-trafficking-in-persons-in-federal-contracts" TargetMode="External"/><Relationship Id="rId190" Type="http://schemas.openxmlformats.org/officeDocument/2006/relationships/hyperlink" Target="https://www.govinfo.gov/content/pkg/FR-2001-05-04/pdf/01-11505.pdf" TargetMode="External"/><Relationship Id="rId194" Type="http://schemas.openxmlformats.org/officeDocument/2006/relationships/hyperlink" Target="https://www.govinfo.gov/content/pkg/FR-2001-05-22/pdf/01-13117.pdf" TargetMode="External"/><Relationship Id="rId193" Type="http://schemas.openxmlformats.org/officeDocument/2006/relationships/hyperlink" Target="https://www.federalregister.gov/documents/2001/05/22/01-13117/actions-to-expedite-energy-related-projects" TargetMode="External"/><Relationship Id="rId192" Type="http://schemas.openxmlformats.org/officeDocument/2006/relationships/hyperlink" Target="https://www.govinfo.gov/content/pkg/FR-2001-05-22/pdf/01-13116.pdf" TargetMode="External"/><Relationship Id="rId191" Type="http://schemas.openxmlformats.org/officeDocument/2006/relationships/hyperlink" Target="https://www.federalregister.gov/documents/2001/05/22/01-13116/actions-concerning-regulations-that-significantly-affect-energy-supply-distribution-or-use" TargetMode="External"/><Relationship Id="rId187" Type="http://schemas.openxmlformats.org/officeDocument/2006/relationships/hyperlink" Target="https://www.federalregister.gov/documents/2001/05/02/01-11210/amendment-to-executive-order-13183-establishment-of-the-presidents-task-force-on-puerto-ricos-statis" TargetMode="External"/><Relationship Id="rId186" Type="http://schemas.openxmlformats.org/officeDocument/2006/relationships/hyperlink" Target="https://www.govinfo.gov/content/pkg/FR-2001-04-11/pdf/01-9086.pdf" TargetMode="External"/><Relationship Id="rId185" Type="http://schemas.openxmlformats.org/officeDocument/2006/relationships/hyperlink" Target="https://www.federalregister.gov/documents/2001/04/11/01-9086/amendment-to-executive-order-13202-preservation-of-open-competition-and-government-neutrality" TargetMode="External"/><Relationship Id="rId184" Type="http://schemas.openxmlformats.org/officeDocument/2006/relationships/hyperlink" Target="https://www.govinfo.gov/content/pkg/FR-2001-04-09/pdf/01-8836.pdf" TargetMode="External"/><Relationship Id="rId189" Type="http://schemas.openxmlformats.org/officeDocument/2006/relationships/hyperlink" Target="https://www.federalregister.gov/documents/2001/05/04/01-11505/presidents-commission-to-strengthen-social-security" TargetMode="External"/><Relationship Id="rId188" Type="http://schemas.openxmlformats.org/officeDocument/2006/relationships/hyperlink" Target="https://www.govinfo.gov/content/pkg/FR-2001-05-02/pdf/01-11210.pdf" TargetMode="External"/><Relationship Id="rId183" Type="http://schemas.openxmlformats.org/officeDocument/2006/relationships/hyperlink" Target="https://www.federalregister.gov/documents/2001/04/09/01-8836/further-amendment-to-executive-order-10000-regulations-governing-additional-compensation-and-credit" TargetMode="External"/><Relationship Id="rId182" Type="http://schemas.openxmlformats.org/officeDocument/2006/relationships/hyperlink" Target="https://www.govinfo.gov/content/pkg/FR-2001-04-09/pdf/01-8835.pdf" TargetMode="External"/><Relationship Id="rId181" Type="http://schemas.openxmlformats.org/officeDocument/2006/relationships/hyperlink" Target="https://www.federalregister.gov/documents/2001/04/09/01-8835/termination-of-emergency-authority-for-certain-export-controls" TargetMode="External"/><Relationship Id="rId180" Type="http://schemas.openxmlformats.org/officeDocument/2006/relationships/hyperlink" Target="https://www.govinfo.gov/content/pkg/FR-2001-03-14/pdf/01-6558.pdf" TargetMode="External"/><Relationship Id="rId176" Type="http://schemas.openxmlformats.org/officeDocument/2006/relationships/hyperlink" Target="https://www.govinfo.gov/content/pkg/FR-2001-02-22/pdf/01-4623.pdf" TargetMode="External"/><Relationship Id="rId175" Type="http://schemas.openxmlformats.org/officeDocument/2006/relationships/hyperlink" Target="https://www.federalregister.gov/documents/2001/02/22/01-4623/revocation-of-executive-order-and-presidential-memorandum-concerning-labor-management-partnerships" TargetMode="External"/><Relationship Id="rId174" Type="http://schemas.openxmlformats.org/officeDocument/2006/relationships/hyperlink" Target="https://www.govinfo.gov/content/pkg/FR-2001-02-22/pdf/01-4622.pdf" TargetMode="External"/><Relationship Id="rId173" Type="http://schemas.openxmlformats.org/officeDocument/2006/relationships/hyperlink" Target="https://www.federalregister.gov/documents/2001/02/22/01-4622/preservation-of-open-competition-and-government-neutrality-towards-government-contractorslabor" TargetMode="External"/><Relationship Id="rId179" Type="http://schemas.openxmlformats.org/officeDocument/2006/relationships/hyperlink" Target="https://www.federalregister.gov/documents/2001/03/14/01-6558/establishing-an-emergency-board-to-investigate-a-dispute-between-northwest-airlines-inc-and-its" TargetMode="External"/><Relationship Id="rId178" Type="http://schemas.openxmlformats.org/officeDocument/2006/relationships/hyperlink" Target="https://www.govinfo.gov/content/pkg/FR-2001-02-22/pdf/01-4624.pdf" TargetMode="External"/><Relationship Id="rId177" Type="http://schemas.openxmlformats.org/officeDocument/2006/relationships/hyperlink" Target="https://www.federalregister.gov/documents/2001/02/22/01-4624/revocation-of-executive-order-on-nondisplacement-of-qualified-workers-under-certain-contracts" TargetMode="External"/><Relationship Id="rId1910" Type="http://schemas.openxmlformats.org/officeDocument/2006/relationships/hyperlink" Target="https://www.govinfo.gov/content/pkg/FR-2022-03-18/pdf/2022-05949.pdf" TargetMode="External"/><Relationship Id="rId1911" Type="http://schemas.openxmlformats.org/officeDocument/2006/relationships/hyperlink" Target="https://www.federalregister.gov/documents/2022/04/08/2022-07716/continuing-to-strengthen-americans-access-to-affordable-quality-health-coverage" TargetMode="External"/><Relationship Id="rId1912" Type="http://schemas.openxmlformats.org/officeDocument/2006/relationships/hyperlink" Target="https://www.govinfo.gov/content/pkg/FR-2022-04-08/pdf/2022-07716.pdf" TargetMode="External"/><Relationship Id="rId1913" Type="http://schemas.openxmlformats.org/officeDocument/2006/relationships/hyperlink" Target="https://www.federalregister.gov/documents/2022/04/08/2022-07757/prohibiting-new-investment-in-and-certain-services-to-the-russian-federation-in-response-to" TargetMode="External"/><Relationship Id="rId1914" Type="http://schemas.openxmlformats.org/officeDocument/2006/relationships/hyperlink" Target="https://www.govinfo.gov/content/pkg/FR-2022-04-08/pdf/2022-07757.pdf" TargetMode="External"/><Relationship Id="rId1915" Type="http://schemas.openxmlformats.org/officeDocument/2006/relationships/hyperlink" Target="https://www.federalregister.gov/documents/2022/04/27/2022-09138/strengthening-the-nations-forests-communities-and-local-economies" TargetMode="External"/><Relationship Id="rId1916" Type="http://schemas.openxmlformats.org/officeDocument/2006/relationships/hyperlink" Target="https://www.govinfo.gov/content/pkg/FR-2022-04-27/pdf/2022-09138.pdf" TargetMode="External"/><Relationship Id="rId1917" Type="http://schemas.openxmlformats.org/officeDocument/2006/relationships/hyperlink" Target="https://www.federalregister.gov/documents/2022/05/09/2022-10076/enhancing-the-national-quantum-initiative-advisory-committee" TargetMode="External"/><Relationship Id="rId1918" Type="http://schemas.openxmlformats.org/officeDocument/2006/relationships/hyperlink" Target="https://www.govinfo.gov/content/pkg/FR-2022-05-09/pdf/2022-10076.pdf" TargetMode="External"/><Relationship Id="rId1919" Type="http://schemas.openxmlformats.org/officeDocument/2006/relationships/hyperlink" Target="https://www.federalregister.gov/documents/2022/05/31/2022-11810/advancing-effective-accountable-policing-and-criminal-justice-practices-to-enhance-public-trust-and" TargetMode="External"/><Relationship Id="rId1900" Type="http://schemas.openxmlformats.org/officeDocument/2006/relationships/hyperlink" Target="https://www.govinfo.gov/content/pkg/FR-2022-02-15/pdf/2022-03346.pdf" TargetMode="External"/><Relationship Id="rId1901" Type="http://schemas.openxmlformats.org/officeDocument/2006/relationships/hyperlink" Target="https://www.federalregister.gov/documents/2022/02/23/2022-04020/blocking-property-of-certain-persons-and-prohibiting-certain-transactions-with-respect-to-continued" TargetMode="External"/><Relationship Id="rId1902" Type="http://schemas.openxmlformats.org/officeDocument/2006/relationships/hyperlink" Target="https://www.govinfo.gov/content/pkg/FR-2022-02-23/pdf/2022-04020.pdf" TargetMode="External"/><Relationship Id="rId1903" Type="http://schemas.openxmlformats.org/officeDocument/2006/relationships/hyperlink" Target="https://www.federalregister.gov/documents/2022/03/10/2022-05232/prohibiting-certain-imports-and-new-investments-with-respect-to-continued-russian-federation-efforts" TargetMode="External"/><Relationship Id="rId1904" Type="http://schemas.openxmlformats.org/officeDocument/2006/relationships/hyperlink" Target="https://www.govinfo.gov/content/pkg/FR-2022-03-10/pdf/2022-05232.pdf" TargetMode="External"/><Relationship Id="rId1905" Type="http://schemas.openxmlformats.org/officeDocument/2006/relationships/hyperlink" Target="https://www.federalregister.gov/documents/2022/03/14/2022-05471/ensuring-responsible-development-of-digital-assets" TargetMode="External"/><Relationship Id="rId1906" Type="http://schemas.openxmlformats.org/officeDocument/2006/relationships/hyperlink" Target="https://www.govinfo.gov/content/pkg/FR-2022-03-14/pdf/2022-05471.pdf" TargetMode="External"/><Relationship Id="rId1907" Type="http://schemas.openxmlformats.org/officeDocument/2006/relationships/hyperlink" Target="https://www.federalregister.gov/documents/2022/03/15/2022-05554/prohibiting-certain-imports-exports-and-new-investment-with-respect-to-continued-russian-federation" TargetMode="External"/><Relationship Id="rId1908" Type="http://schemas.openxmlformats.org/officeDocument/2006/relationships/hyperlink" Target="https://www.govinfo.gov/content/pkg/FR-2022-03-15/pdf/2022-05554.pdf" TargetMode="External"/><Relationship Id="rId1909" Type="http://schemas.openxmlformats.org/officeDocument/2006/relationships/hyperlink" Target="https://www.federalregister.gov/documents/2022/03/18/2022-05949/advancing-economy-efficiency-and-effectiveness-in-federal-contracting-by-promoting-pay-equity-and" TargetMode="External"/><Relationship Id="rId198" Type="http://schemas.openxmlformats.org/officeDocument/2006/relationships/hyperlink" Target="https://www.govinfo.gov/content/pkg/FR-2001-05-31/pdf/01-13869.pdf" TargetMode="External"/><Relationship Id="rId197" Type="http://schemas.openxmlformats.org/officeDocument/2006/relationships/hyperlink" Target="https://www.federalregister.gov/documents/2001/05/31/01-13869/presidents-task-force-to-improve-health-care-delivery-for-our-nations-veterans" TargetMode="External"/><Relationship Id="rId196" Type="http://schemas.openxmlformats.org/officeDocument/2006/relationships/hyperlink" Target="https://www.govinfo.gov/content/pkg/FR-2001-05-24/pdf/01-13381.pdf" TargetMode="External"/><Relationship Id="rId195" Type="http://schemas.openxmlformats.org/officeDocument/2006/relationships/hyperlink" Target="https://www.federalregister.gov/documents/2001/05/24/01-13381/additional-measures-with-respect-to-prohibiting-the-importation-of-rough-diamonds-from-sierra-leone" TargetMode="External"/><Relationship Id="rId199" Type="http://schemas.openxmlformats.org/officeDocument/2006/relationships/hyperlink" Target="https://www.federalregister.gov/documents/2001/06/05/01-14319/presidents-information-technology-advisory-committee-further-amendment-to-executive-order-13035-as" TargetMode="External"/><Relationship Id="rId150" Type="http://schemas.openxmlformats.org/officeDocument/2006/relationships/hyperlink" Target="https://www.govinfo.gov/content/pkg/FR-2001-01-19/pdf/01-1814.pdf" TargetMode="External"/><Relationship Id="rId149" Type="http://schemas.openxmlformats.org/officeDocument/2006/relationships/hyperlink" Target="https://www.federalregister.gov/documents/2001/01/19/01-1814/presidents-commission-on-educational-resource-equity" TargetMode="External"/><Relationship Id="rId148" Type="http://schemas.openxmlformats.org/officeDocument/2006/relationships/hyperlink" Target="https://www.govinfo.gov/content/pkg/FR-2001-01-19/pdf/01-1813.pdf" TargetMode="External"/><Relationship Id="rId1090" Type="http://schemas.openxmlformats.org/officeDocument/2006/relationships/hyperlink" Target="https://www.govinfo.gov/content/pkg/FR-2014-02-25/pdf/2014-04254.pdf" TargetMode="External"/><Relationship Id="rId1091" Type="http://schemas.openxmlformats.org/officeDocument/2006/relationships/hyperlink" Target="https://www.federalregister.gov/documents/2014/03/10/2014-05323/blocking-property-of-certain-persons-contributing-to-the-situation-in-ukraine" TargetMode="External"/><Relationship Id="rId1092" Type="http://schemas.openxmlformats.org/officeDocument/2006/relationships/hyperlink" Target="https://www.govinfo.gov/content/pkg/FR-2014-03-10/pdf/2014-05323.pdf" TargetMode="External"/><Relationship Id="rId1093" Type="http://schemas.openxmlformats.org/officeDocument/2006/relationships/hyperlink" Target="https://www.federalregister.gov/documents/2014/03/19/2014-06141/blocking-property-of-additional-persons-contributing-to-the-situation-in-ukraine" TargetMode="External"/><Relationship Id="rId1094" Type="http://schemas.openxmlformats.org/officeDocument/2006/relationships/hyperlink" Target="https://www.govinfo.gov/content/pkg/FR-2014-03-19/pdf/2014-06141.pdf" TargetMode="External"/><Relationship Id="rId143" Type="http://schemas.openxmlformats.org/officeDocument/2006/relationships/hyperlink" Target="https://www.federalregister.gov/documents/2001/01/17/01-1438/the-presidents-disability-employment-partnership-board" TargetMode="External"/><Relationship Id="rId1095" Type="http://schemas.openxmlformats.org/officeDocument/2006/relationships/hyperlink" Target="https://www.federalregister.gov/documents/2014/03/24/2014-06612/blocking-property-of-additional-persons-contributing-to-the-situation-in-ukraine" TargetMode="External"/><Relationship Id="rId142" Type="http://schemas.openxmlformats.org/officeDocument/2006/relationships/hyperlink" Target="https://www.govinfo.gov/content/pkg/FR-2001-01-17/pdf/01-1387.pdf" TargetMode="External"/><Relationship Id="rId1096" Type="http://schemas.openxmlformats.org/officeDocument/2006/relationships/hyperlink" Target="https://www.govinfo.gov/content/pkg/FR-2014-03-24/pdf/2014-06612.pdf" TargetMode="External"/><Relationship Id="rId141" Type="http://schemas.openxmlformats.org/officeDocument/2006/relationships/hyperlink" Target="https://www.federalregister.gov/documents/2001/01/17/01-1387/responsibilities-of-federal-agencies-to-protect-migratory-birds" TargetMode="External"/><Relationship Id="rId1097" Type="http://schemas.openxmlformats.org/officeDocument/2006/relationships/hyperlink" Target="https://www.federalregister.gov/documents/2014/03/25/2014-06768/establishing-an-emergency-board-to-investigate-disputes-between-the-long-island-rail-road-company" TargetMode="External"/><Relationship Id="rId140" Type="http://schemas.openxmlformats.org/officeDocument/2006/relationships/hyperlink" Target="https://www.govinfo.gov/content/pkg/FR-2001-01-03/pdf/01-321.pdf" TargetMode="External"/><Relationship Id="rId1098" Type="http://schemas.openxmlformats.org/officeDocument/2006/relationships/hyperlink" Target="https://www.govinfo.gov/content/pkg/FR-2014-03-25/pdf/2014-06768.pdf" TargetMode="External"/><Relationship Id="rId147" Type="http://schemas.openxmlformats.org/officeDocument/2006/relationships/hyperlink" Target="https://www.federalregister.gov/documents/2001/01/19/01-1813/federal-interagency-task-force-on-the-district-of-columbia" TargetMode="External"/><Relationship Id="rId1099" Type="http://schemas.openxmlformats.org/officeDocument/2006/relationships/hyperlink" Target="https://www.federalregister.gov/documents/2014/04/07/2014-07895/blocking-property-of-certain-persons-with-respect-to-south-sudan" TargetMode="External"/><Relationship Id="rId146" Type="http://schemas.openxmlformats.org/officeDocument/2006/relationships/hyperlink" Target="https://www.govinfo.gov/content/pkg/FR-2001-01-18/pdf/01-1736.pdf" TargetMode="External"/><Relationship Id="rId145" Type="http://schemas.openxmlformats.org/officeDocument/2006/relationships/hyperlink" Target="https://www.federalregister.gov/documents/2001/01/18/01-1736/amendment-to-executive-order-13111-extension-of-the-advisory-committee-on-expanding-training" TargetMode="External"/><Relationship Id="rId144" Type="http://schemas.openxmlformats.org/officeDocument/2006/relationships/hyperlink" Target="https://www.govinfo.gov/content/pkg/FR-2001-01-17/pdf/01-1438.pdf" TargetMode="External"/><Relationship Id="rId139" Type="http://schemas.openxmlformats.org/officeDocument/2006/relationships/hyperlink" Target="https://www.federalregister.gov/documents/2001/01/03/01-321/to-strengthen-the-federal-government-university-research-partnership" TargetMode="External"/><Relationship Id="rId138" Type="http://schemas.openxmlformats.org/officeDocument/2006/relationships/hyperlink" Target="https://www.govinfo.gov/content/pkg/FR-2001-01-03/pdf/01-255.pdf" TargetMode="External"/><Relationship Id="rId137" Type="http://schemas.openxmlformats.org/officeDocument/2006/relationships/hyperlink" Target="https://www.federalregister.gov/documents/2001/01/03/01-255/revocation-of-executive-order-12834" TargetMode="External"/><Relationship Id="rId1080" Type="http://schemas.openxmlformats.org/officeDocument/2006/relationships/hyperlink" Target="https://www.govinfo.gov/content/pkg/FR-2013-11-26/pdf/2013-28581.pdf" TargetMode="External"/><Relationship Id="rId1081" Type="http://schemas.openxmlformats.org/officeDocument/2006/relationships/hyperlink" Target="https://www.federalregister.gov/documents/2013/12/31/2013-31445/adjustments-of-certain-rates-of-pay" TargetMode="External"/><Relationship Id="rId1082" Type="http://schemas.openxmlformats.org/officeDocument/2006/relationships/hyperlink" Target="https://www.govinfo.gov/content/pkg/FR-2013-12-31/pdf/2013-31445.pdf" TargetMode="External"/><Relationship Id="rId1083" Type="http://schemas.openxmlformats.org/officeDocument/2006/relationships/hyperlink" Target="https://www.federalregister.gov/documents/2014/01/24/2014-01523/establishment-of-afghanistan-and-pakistan-strategic-partnership-office-and-amendment-to-executive" TargetMode="External"/><Relationship Id="rId132" Type="http://schemas.openxmlformats.org/officeDocument/2006/relationships/hyperlink" Target="https://www.govinfo.gov/content/pkg/FR-2000-12-26/pdf/00-33004.pdf" TargetMode="External"/><Relationship Id="rId1084" Type="http://schemas.openxmlformats.org/officeDocument/2006/relationships/hyperlink" Target="https://www.govinfo.gov/content/pkg/FR-2014-01-24/pdf/2014-01523.pdf" TargetMode="External"/><Relationship Id="rId131" Type="http://schemas.openxmlformats.org/officeDocument/2006/relationships/hyperlink" Target="https://www.federalregister.gov/documents/2000/12/26/00-33004/to-protect-the-privacy-of-protected-health-information-in-oversight-investigations" TargetMode="External"/><Relationship Id="rId1085" Type="http://schemas.openxmlformats.org/officeDocument/2006/relationships/hyperlink" Target="https://www.federalregister.gov/documents/2014/02/14/2014-03474/changing-the-name-of-the-national-security-staff-to-the-national-security-council-staff" TargetMode="External"/><Relationship Id="rId130" Type="http://schemas.openxmlformats.org/officeDocument/2006/relationships/hyperlink" Target="https://www.govinfo.gov/content/pkg/FR-2000-12-11/pdf/00-31697.pdf" TargetMode="External"/><Relationship Id="rId1086" Type="http://schemas.openxmlformats.org/officeDocument/2006/relationships/hyperlink" Target="https://www.govinfo.gov/content/pkg/FR-2014-02-14/pdf/2014-03474.pdf" TargetMode="External"/><Relationship Id="rId1087" Type="http://schemas.openxmlformats.org/officeDocument/2006/relationships/hyperlink" Target="https://www.federalregister.gov/documents/2014/02/20/2014-03805/establishing-a-minimum-wage-for-contractors" TargetMode="External"/><Relationship Id="rId136" Type="http://schemas.openxmlformats.org/officeDocument/2006/relationships/hyperlink" Target="https://www.govinfo.gov/content/pkg/FR-2000-12-29/pdf/00-33451.pdf" TargetMode="External"/><Relationship Id="rId1088" Type="http://schemas.openxmlformats.org/officeDocument/2006/relationships/hyperlink" Target="https://www.govinfo.gov/content/pkg/FR-2014-02-20/pdf/2014-03805.pdf" TargetMode="External"/><Relationship Id="rId135" Type="http://schemas.openxmlformats.org/officeDocument/2006/relationships/hyperlink" Target="https://www.federalregister.gov/documents/2000/12/29/00-33451/establishment-of-the-presidents-task-force-on-puerto-ricos-status" TargetMode="External"/><Relationship Id="rId1089" Type="http://schemas.openxmlformats.org/officeDocument/2006/relationships/hyperlink" Target="https://www.federalregister.gov/documents/2014/02/25/2014-04254/streamlining-the-exportimport-process-for-americas-businesses" TargetMode="External"/><Relationship Id="rId134" Type="http://schemas.openxmlformats.org/officeDocument/2006/relationships/hyperlink" Target="https://www.govinfo.gov/content/pkg/FR-2000-12-29/pdf/00-33450.pdf" TargetMode="External"/><Relationship Id="rId133" Type="http://schemas.openxmlformats.org/officeDocument/2006/relationships/hyperlink" Target="https://www.federalregister.gov/documents/2000/12/29/00-33450/adjustments-of-certain-rates-of-pay" TargetMode="External"/><Relationship Id="rId172" Type="http://schemas.openxmlformats.org/officeDocument/2006/relationships/hyperlink" Target="https://www.govinfo.gov/content/pkg/FR-2001-02-22/pdf/01-4621.pdf" TargetMode="External"/><Relationship Id="rId171" Type="http://schemas.openxmlformats.org/officeDocument/2006/relationships/hyperlink" Target="https://www.federalregister.gov/documents/2001/02/22/01-4621/notification-of-employee-rights-concerning-payment-of-union-dues-or-fees" TargetMode="External"/><Relationship Id="rId170" Type="http://schemas.openxmlformats.org/officeDocument/2006/relationships/hyperlink" Target="https://www.govinfo.gov/content/pkg/FR-2001-02-14/pdf/01-3883.pdf" TargetMode="External"/><Relationship Id="rId165" Type="http://schemas.openxmlformats.org/officeDocument/2006/relationships/hyperlink" Target="https://www.federalregister.gov/documents/2001/01/31/01-2851/agency-responsibilities-with-respect-to-faith--based-and-community-initiatives" TargetMode="External"/><Relationship Id="rId164" Type="http://schemas.openxmlformats.org/officeDocument/2006/relationships/hyperlink" Target="https://www.govinfo.gov/content/pkg/FR-2001-01-25/pdf/01-2398.pdf" TargetMode="External"/><Relationship Id="rId163" Type="http://schemas.openxmlformats.org/officeDocument/2006/relationships/hyperlink" Target="https://www.federalregister.gov/documents/2001/01/25/01-2398/governmentwide-accountability-for-merit-system-principles-workforce-information" TargetMode="External"/><Relationship Id="rId162" Type="http://schemas.openxmlformats.org/officeDocument/2006/relationships/hyperlink" Target="https://www.govinfo.gov/content/pkg/FR-2001-01-23/pdf/01-2214.pdf" TargetMode="External"/><Relationship Id="rId169" Type="http://schemas.openxmlformats.org/officeDocument/2006/relationships/hyperlink" Target="https://www.federalregister.gov/documents/2001/02/14/01-3883/presidents-information-technology-advisory-committee-further-amendment-to-executive-order-13035-as" TargetMode="External"/><Relationship Id="rId168" Type="http://schemas.openxmlformats.org/officeDocument/2006/relationships/hyperlink" Target="https://www.govinfo.gov/content/pkg/FR-2001-01-31/pdf/01-2852.pdf" TargetMode="External"/><Relationship Id="rId167" Type="http://schemas.openxmlformats.org/officeDocument/2006/relationships/hyperlink" Target="https://www.federalregister.gov/documents/2001/01/31/01-2852/establishment-of-white-house-office-of-faith--based-and-community-initiatives" TargetMode="External"/><Relationship Id="rId166" Type="http://schemas.openxmlformats.org/officeDocument/2006/relationships/hyperlink" Target="https://www.govinfo.gov/content/pkg/FR-2001-01-31/pdf/01-2851.pdf" TargetMode="External"/><Relationship Id="rId161" Type="http://schemas.openxmlformats.org/officeDocument/2006/relationships/hyperlink" Target="https://www.federalregister.gov/documents/2001/01/23/01-2214/final-northwestern-hawaiian-islands-coral-reef-ecosystem-reserve" TargetMode="External"/><Relationship Id="rId160" Type="http://schemas.openxmlformats.org/officeDocument/2006/relationships/hyperlink" Target="https://www.govinfo.gov/content/pkg/FR-2001-01-23/pdf/01-2141.pdf" TargetMode="External"/><Relationship Id="rId159" Type="http://schemas.openxmlformats.org/officeDocument/2006/relationships/hyperlink" Target="https://www.federalregister.gov/documents/2001/01/23/01-2141/trails-for-america-in-the-21st-century" TargetMode="External"/><Relationship Id="rId154" Type="http://schemas.openxmlformats.org/officeDocument/2006/relationships/hyperlink" Target="https://www.govinfo.gov/content/pkg/FR-2001-01-23/pdf/01-2138.pdf" TargetMode="External"/><Relationship Id="rId153" Type="http://schemas.openxmlformats.org/officeDocument/2006/relationships/hyperlink" Target="https://www.federalregister.gov/documents/2001/01/23/01-2138/lifting-and-modifying-measures-with-respect-to-the-federal-republic-of-yugoslavia-serbia-and" TargetMode="External"/><Relationship Id="rId152" Type="http://schemas.openxmlformats.org/officeDocument/2006/relationships/hyperlink" Target="https://www.govinfo.gov/content/pkg/FR-2001-01-22/pdf/01-2014.pdf" TargetMode="External"/><Relationship Id="rId151" Type="http://schemas.openxmlformats.org/officeDocument/2006/relationships/hyperlink" Target="https://www.federalregister.gov/documents/2001/01/22/01-2014/implementation-of-the-african-growth-and-opportunity-act-and-the-united-states-caribbean-basin-trade" TargetMode="External"/><Relationship Id="rId158" Type="http://schemas.openxmlformats.org/officeDocument/2006/relationships/hyperlink" Target="https://www.govinfo.gov/content/pkg/FR-2001-01-23/pdf/01-2140.pdf" TargetMode="External"/><Relationship Id="rId157" Type="http://schemas.openxmlformats.org/officeDocument/2006/relationships/hyperlink" Target="https://www.federalregister.gov/documents/2001/01/23/01-2140/prohibiting-the-importation-of-rough-diamonds-from-sierra-leone" TargetMode="External"/><Relationship Id="rId156" Type="http://schemas.openxmlformats.org/officeDocument/2006/relationships/hyperlink" Target="https://www.govinfo.gov/content/pkg/FR-2001-01-23/pdf/01-2139.pdf" TargetMode="External"/><Relationship Id="rId155" Type="http://schemas.openxmlformats.org/officeDocument/2006/relationships/hyperlink" Target="https://www.federalregister.gov/documents/2001/01/23/01-2139/federal-leadership-on-global-tobacco-control-and-prevention" TargetMode="External"/><Relationship Id="rId1972" Type="http://schemas.openxmlformats.org/officeDocument/2006/relationships/hyperlink" Target="https://www.govinfo.gov/content/pkg/FR-2023-06-15/pdf/2023-12974.pdf" TargetMode="External"/><Relationship Id="rId1973" Type="http://schemas.openxmlformats.org/officeDocument/2006/relationships/hyperlink" Target="https://www.federalregister.gov/documents/2023/06/28/2023-13889/strengthening-access-to-affordable-high-quality-contraception-and-family-planning-services" TargetMode="External"/><Relationship Id="rId1974" Type="http://schemas.openxmlformats.org/officeDocument/2006/relationships/hyperlink" Target="https://www.govinfo.gov/content/pkg/FR-2023-06-28/pdf/2023-13889.pdf" TargetMode="External"/><Relationship Id="rId1975" Type="http://schemas.openxmlformats.org/officeDocument/2006/relationships/hyperlink" Target="https://www.federalregister.gov/documents/2023/07/18/2023-15347/ordering-the-selected-reserve-and-certain-members-of-the-individual-ready-reserve-of-the-armed" TargetMode="External"/><Relationship Id="rId1976" Type="http://schemas.openxmlformats.org/officeDocument/2006/relationships/hyperlink" Target="https://www.govinfo.gov/content/pkg/FR-2023-07-18/pdf/2023-15347.pdf" TargetMode="External"/><Relationship Id="rId1977" Type="http://schemas.openxmlformats.org/officeDocument/2006/relationships/hyperlink" Target="https://www.federalregister.gov/documents/2023/08/02/2023-16570/2023-amendments-to-the-manual-for-courts-martial-united-states" TargetMode="External"/><Relationship Id="rId1978" Type="http://schemas.openxmlformats.org/officeDocument/2006/relationships/hyperlink" Target="https://www.govinfo.gov/content/pkg/FR-2023-08-02/pdf/2023-16570.pdf" TargetMode="External"/><Relationship Id="rId1979" Type="http://schemas.openxmlformats.org/officeDocument/2006/relationships/hyperlink" Target="https://www.federalregister.gov/documents/2023/08/02/2023-16636/federal-research-and-development-in-support-of-domestic-manufacturing-and-united-states-jobs" TargetMode="External"/><Relationship Id="rId1970" Type="http://schemas.openxmlformats.org/officeDocument/2006/relationships/hyperlink" Target="https://www.govinfo.gov/content/pkg/FR-2023-05-15/pdf/2023-10407.pdf" TargetMode="External"/><Relationship Id="rId1971" Type="http://schemas.openxmlformats.org/officeDocument/2006/relationships/hyperlink" Target="https://www.federalregister.gov/documents/2023/06/15/2023-12974/advancing-economic-security-for-military-and-veteran-spouses-military-caregivers-and-survivors" TargetMode="External"/><Relationship Id="rId1961" Type="http://schemas.openxmlformats.org/officeDocument/2006/relationships/hyperlink" Target="https://www.federalregister.gov/documents/2023/04/21/2023-08659/increasing-access-to-high-quality-care-and-supporting-caregivers" TargetMode="External"/><Relationship Id="rId1962" Type="http://schemas.openxmlformats.org/officeDocument/2006/relationships/hyperlink" Target="https://www.govinfo.gov/content/pkg/FR-2023-04-21/pdf/2023-08659.pdf" TargetMode="External"/><Relationship Id="rId1963" Type="http://schemas.openxmlformats.org/officeDocument/2006/relationships/hyperlink" Target="https://www.federalregister.gov/documents/2023/04/26/2023-08955/revitalizing-our-nations-commitment-to-environmental-justice-for-all" TargetMode="External"/><Relationship Id="rId1964" Type="http://schemas.openxmlformats.org/officeDocument/2006/relationships/hyperlink" Target="https://www.govinfo.gov/content/pkg/FR-2023-04-26/pdf/2023-08955.pdf" TargetMode="External"/><Relationship Id="rId1965" Type="http://schemas.openxmlformats.org/officeDocument/2006/relationships/hyperlink" Target="https://www.federalregister.gov/documents/2023/05/01/2023-09318/authority-to-order-the-ready-reserve-of-the-armed-forces-to-active-duty-to-address-international" TargetMode="External"/><Relationship Id="rId1966" Type="http://schemas.openxmlformats.org/officeDocument/2006/relationships/hyperlink" Target="https://www.govinfo.gov/content/pkg/FR-2023-05-01/pdf/2023-09318.pdf" TargetMode="External"/><Relationship Id="rId1967" Type="http://schemas.openxmlformats.org/officeDocument/2006/relationships/hyperlink" Target="https://www.federalregister.gov/documents/2023/05/05/2023-09826/imposing-sanctions-on-certain-persons-destabilizing-sudan-and-undermining-the-goal-of-a-democratic" TargetMode="External"/><Relationship Id="rId1968" Type="http://schemas.openxmlformats.org/officeDocument/2006/relationships/hyperlink" Target="https://www.govinfo.gov/content/pkg/FR-2023-05-05/pdf/2023-09826.pdf" TargetMode="External"/><Relationship Id="rId1969" Type="http://schemas.openxmlformats.org/officeDocument/2006/relationships/hyperlink" Target="https://www.federalregister.gov/documents/2023/05/15/2023-10407/moving-beyond-covid-19-vaccination-requirements-for-federal-workers" TargetMode="External"/><Relationship Id="rId1960" Type="http://schemas.openxmlformats.org/officeDocument/2006/relationships/hyperlink" Target="https://www.govinfo.gov/content/pkg/FR-2023-04-11/pdf/2023-07760.pdf" TargetMode="External"/><Relationship Id="rId1510" Type="http://schemas.openxmlformats.org/officeDocument/2006/relationships/hyperlink" Target="https://www.govinfo.gov/content/pkg/FR-2019-04-29/pdf/2019-08797.pdf" TargetMode="External"/><Relationship Id="rId1994" Type="http://schemas.openxmlformats.org/officeDocument/2006/relationships/hyperlink" Target="https://www.govinfo.gov/content/pkg/FR-2023-12-01/pdf/2023-26569.pdf" TargetMode="External"/><Relationship Id="rId1511" Type="http://schemas.openxmlformats.org/officeDocument/2006/relationships/hyperlink" Target="https://www.federalregister.gov/documents/2019/05/09/2019-09750/americas-cybersecurity-workforce" TargetMode="External"/><Relationship Id="rId1995" Type="http://schemas.openxmlformats.org/officeDocument/2006/relationships/hyperlink" Target="https://www.federalregister.gov/documents/2023/12/11/2023-27318/reforming-federal-funding-and-support-for-tribal-nations-to-better-embrace-our-trust" TargetMode="External"/><Relationship Id="rId1512" Type="http://schemas.openxmlformats.org/officeDocument/2006/relationships/hyperlink" Target="https://www.govinfo.gov/content/pkg/FR-2019-05-09/pdf/2019-09750.pdf" TargetMode="External"/><Relationship Id="rId1996" Type="http://schemas.openxmlformats.org/officeDocument/2006/relationships/hyperlink" Target="https://www.govinfo.gov/content/pkg/FR-2023-12-11/pdf/2023-27318.pdf" TargetMode="External"/><Relationship Id="rId1513" Type="http://schemas.openxmlformats.org/officeDocument/2006/relationships/hyperlink" Target="https://www.federalregister.gov/documents/2019/05/10/2019-09877/imposing-sanctions-with-respect-to-the-iron-steel-aluminum-and-copper-sectors-of-iran" TargetMode="External"/><Relationship Id="rId1997" Type="http://schemas.openxmlformats.org/officeDocument/2006/relationships/hyperlink" Target="https://www.federalregister.gov/documents/2023/12/26/2023-28661/adjustments-of-certain-rates-of-pay" TargetMode="External"/><Relationship Id="rId1514" Type="http://schemas.openxmlformats.org/officeDocument/2006/relationships/hyperlink" Target="https://www.govinfo.gov/content/pkg/FR-2019-05-10/pdf/2019-09877.pdf" TargetMode="External"/><Relationship Id="rId1998" Type="http://schemas.openxmlformats.org/officeDocument/2006/relationships/hyperlink" Target="https://www.govinfo.gov/content/pkg/FR-2023-12-26/pdf/2023-28661.pdf" TargetMode="External"/><Relationship Id="rId1515" Type="http://schemas.openxmlformats.org/officeDocument/2006/relationships/hyperlink" Target="https://www.federalregister.gov/documents/2019/05/16/2019-10398/economic-empowerment-of-asian-americans-and-pacific-islanders" TargetMode="External"/><Relationship Id="rId1999" Type="http://schemas.openxmlformats.org/officeDocument/2006/relationships/hyperlink" Target="https://www.federalregister.gov/documents/2023/12/26/2023-28662/taking-additional-steps-with-respect-to-the-russian-federations-harmful-activities" TargetMode="External"/><Relationship Id="rId1516" Type="http://schemas.openxmlformats.org/officeDocument/2006/relationships/hyperlink" Target="https://www.govinfo.gov/content/pkg/FR-2019-05-16/pdf/2019-10398.pdf" TargetMode="External"/><Relationship Id="rId1517" Type="http://schemas.openxmlformats.org/officeDocument/2006/relationships/hyperlink" Target="https://www.federalregister.gov/documents/2019/05/17/2019-10538/securing-the-information-and-communications-technology-and-services-supply-chain" TargetMode="External"/><Relationship Id="rId1518" Type="http://schemas.openxmlformats.org/officeDocument/2006/relationships/hyperlink" Target="https://www.govinfo.gov/content/pkg/FR-2019-05-17/pdf/2019-10538.pdf" TargetMode="External"/><Relationship Id="rId1519" Type="http://schemas.openxmlformats.org/officeDocument/2006/relationships/hyperlink" Target="https://www.federalregister.gov/documents/2019/06/14/2019-12802/modernizing-the-regulatory-framework-for-agricultural-biotechnology-products" TargetMode="External"/><Relationship Id="rId1990" Type="http://schemas.openxmlformats.org/officeDocument/2006/relationships/hyperlink" Target="https://www.govinfo.gov/content/pkg/FR-2023-10-04/pdf/2023-22250.pdf" TargetMode="External"/><Relationship Id="rId1991" Type="http://schemas.openxmlformats.org/officeDocument/2006/relationships/hyperlink" Target="https://www.federalregister.gov/documents/2023/11/01/2023-24283/safe-secure-and-trustworthy-development-and-use-of-artificial-intelligence" TargetMode="External"/><Relationship Id="rId1992" Type="http://schemas.openxmlformats.org/officeDocument/2006/relationships/hyperlink" Target="https://www.govinfo.gov/content/pkg/FR-2023-11-01/pdf/2023-24283.pdf" TargetMode="External"/><Relationship Id="rId1993" Type="http://schemas.openxmlformats.org/officeDocument/2006/relationships/hyperlink" Target="https://www.federalregister.gov/documents/2023/12/01/2023-26569/interagency-security-committee" TargetMode="External"/><Relationship Id="rId1983" Type="http://schemas.openxmlformats.org/officeDocument/2006/relationships/hyperlink" Target="https://www.federalregister.gov/documents/2023/08/17/2023-17832/united-states-coast-guard-officer-personnel-management" TargetMode="External"/><Relationship Id="rId1500" Type="http://schemas.openxmlformats.org/officeDocument/2006/relationships/hyperlink" Target="https://www.govinfo.gov/content/pkg/FR-2019-03-26/pdf/2019-05934.pdf" TargetMode="External"/><Relationship Id="rId1984" Type="http://schemas.openxmlformats.org/officeDocument/2006/relationships/hyperlink" Target="https://www.govinfo.gov/content/pkg/FR-2023-08-17/pdf/2023-17832.pdf" TargetMode="External"/><Relationship Id="rId1501" Type="http://schemas.openxmlformats.org/officeDocument/2006/relationships/hyperlink" Target="https://www.federalregister.gov/documents/2019/03/29/2019-06325/coordinating-national-resilience-to-electromagnetic-pulses" TargetMode="External"/><Relationship Id="rId1985" Type="http://schemas.openxmlformats.org/officeDocument/2006/relationships/hyperlink" Target="https://www.federalregister.gov/documents/2023/09/12/2023-19798/exemption-of-paul-h-maurer-from-mandatory-separation" TargetMode="External"/><Relationship Id="rId1502" Type="http://schemas.openxmlformats.org/officeDocument/2006/relationships/hyperlink" Target="https://www.govinfo.gov/content/pkg/FR-2019-03-29/pdf/2019-06325.pdf" TargetMode="External"/><Relationship Id="rId1986" Type="http://schemas.openxmlformats.org/officeDocument/2006/relationships/hyperlink" Target="https://www.govinfo.gov/content/pkg/FR-2023-09-12/pdf/2023-19798.pdf" TargetMode="External"/><Relationship Id="rId1503" Type="http://schemas.openxmlformats.org/officeDocument/2006/relationships/hyperlink" Target="https://www.federalregister.gov/documents/2019/04/02/2019-06548/adjustments-of-certain-rates-of-pay" TargetMode="External"/><Relationship Id="rId1987" Type="http://schemas.openxmlformats.org/officeDocument/2006/relationships/hyperlink" Target="https://www.federalregister.gov/documents/2023/09/26/2023-21174/ensuring-the-people-of-east-palestine-are-protected-now-and-in-the-future" TargetMode="External"/><Relationship Id="rId1504" Type="http://schemas.openxmlformats.org/officeDocument/2006/relationships/hyperlink" Target="https://www.govinfo.gov/content/pkg/FR-2019-04-02/pdf/2019-06548.pdf" TargetMode="External"/><Relationship Id="rId1988" Type="http://schemas.openxmlformats.org/officeDocument/2006/relationships/hyperlink" Target="https://www.govinfo.gov/content/pkg/FR-2023-09-26/pdf/2023-21174.pdf" TargetMode="External"/><Relationship Id="rId1505" Type="http://schemas.openxmlformats.org/officeDocument/2006/relationships/hyperlink" Target="https://www.federalregister.gov/documents/2019/04/15/2019-07645/issuance-of-permits-with-respect-to-facilities-and-land-transportation-crossings-at-the" TargetMode="External"/><Relationship Id="rId1989" Type="http://schemas.openxmlformats.org/officeDocument/2006/relationships/hyperlink" Target="https://www.federalregister.gov/documents/2023/10/04/2023-22250/continuance-of-certain-federal-advisory-committees-and-amendments-to-other-executive-orders" TargetMode="External"/><Relationship Id="rId1506" Type="http://schemas.openxmlformats.org/officeDocument/2006/relationships/hyperlink" Target="https://www.govinfo.gov/content/pkg/FR-2019-04-15/pdf/2019-07645.pdf" TargetMode="External"/><Relationship Id="rId1507" Type="http://schemas.openxmlformats.org/officeDocument/2006/relationships/hyperlink" Target="https://www.federalregister.gov/documents/2019/04/15/2019-07656/promoting-energy-infrastructure-and-economic-growth" TargetMode="External"/><Relationship Id="rId1508" Type="http://schemas.openxmlformats.org/officeDocument/2006/relationships/hyperlink" Target="https://www.govinfo.gov/content/pkg/FR-2019-04-15/pdf/2019-07656.pdf" TargetMode="External"/><Relationship Id="rId1509" Type="http://schemas.openxmlformats.org/officeDocument/2006/relationships/hyperlink" Target="https://www.federalregister.gov/documents/2019/04/29/2019-08797/transferring-responsibility-for-background-investigations-to-the-department-of-defense" TargetMode="External"/><Relationship Id="rId1980" Type="http://schemas.openxmlformats.org/officeDocument/2006/relationships/hyperlink" Target="https://www.govinfo.gov/content/pkg/FR-2023-08-02/pdf/2023-16636.pdf" TargetMode="External"/><Relationship Id="rId1981" Type="http://schemas.openxmlformats.org/officeDocument/2006/relationships/hyperlink" Target="https://www.federalregister.gov/documents/2023/08/11/2023-17449/addressing-united-states-investments-in-certain-national-security-technologies-and-products-in" TargetMode="External"/><Relationship Id="rId1982" Type="http://schemas.openxmlformats.org/officeDocument/2006/relationships/hyperlink" Target="https://www.govinfo.gov/content/pkg/FR-2023-08-11/pdf/2023-17449.pdf" TargetMode="External"/><Relationship Id="rId1930" Type="http://schemas.openxmlformats.org/officeDocument/2006/relationships/hyperlink" Target="https://www.govinfo.gov/content/pkg/FR-2022-08-11/pdf/2022-17420.pdf" TargetMode="External"/><Relationship Id="rId1931" Type="http://schemas.openxmlformats.org/officeDocument/2006/relationships/hyperlink" Target="https://www.federalregister.gov/documents/2022/08/30/2022-18840/implementation-of-the-chips-act-of-2022" TargetMode="External"/><Relationship Id="rId1932" Type="http://schemas.openxmlformats.org/officeDocument/2006/relationships/hyperlink" Target="https://www.govinfo.gov/content/pkg/FR-2022-08-30/pdf/2022-18840.pdf" TargetMode="External"/><Relationship Id="rId1933" Type="http://schemas.openxmlformats.org/officeDocument/2006/relationships/hyperlink" Target="https://www.federalregister.gov/documents/2022/09/15/2022-20167/advancing-biotechnology-and-biomanufacturing-innovation-for-a-sustainable-safe-and-secure-american" TargetMode="External"/><Relationship Id="rId1934" Type="http://schemas.openxmlformats.org/officeDocument/2006/relationships/hyperlink" Target="https://www.govinfo.gov/content/pkg/FR-2022-09-15/pdf/2022-20167.pdf" TargetMode="External"/><Relationship Id="rId1935" Type="http://schemas.openxmlformats.org/officeDocument/2006/relationships/hyperlink" Target="https://www.federalregister.gov/documents/2022/09/16/2022-20210/implementation-of-the-energy-and-infrastructure-provisions-of-the-inflation-reduction-act-of-2022" TargetMode="External"/><Relationship Id="rId1936" Type="http://schemas.openxmlformats.org/officeDocument/2006/relationships/hyperlink" Target="https://www.govinfo.gov/content/pkg/FR-2022-09-16/pdf/2022-20210.pdf" TargetMode="External"/><Relationship Id="rId1937" Type="http://schemas.openxmlformats.org/officeDocument/2006/relationships/hyperlink" Target="https://www.federalregister.gov/documents/2022/09/20/2022-20450/ensuring-robust-consideration-of-evolving-national-security-risks-by-the-committee-on-foreign" TargetMode="External"/><Relationship Id="rId1938" Type="http://schemas.openxmlformats.org/officeDocument/2006/relationships/hyperlink" Target="https://www.govinfo.gov/content/pkg/FR-2022-09-20/pdf/2022-20450.pdf" TargetMode="External"/><Relationship Id="rId1939" Type="http://schemas.openxmlformats.org/officeDocument/2006/relationships/hyperlink" Target="https://www.federalregister.gov/documents/2022/10/05/2022-21839/promoting-the-arts-the-humanities-and-museum-and-library-services" TargetMode="External"/><Relationship Id="rId1920" Type="http://schemas.openxmlformats.org/officeDocument/2006/relationships/hyperlink" Target="https://www.govinfo.gov/content/pkg/FR-2022-05-31/pdf/2022-11810.pdf" TargetMode="External"/><Relationship Id="rId1921" Type="http://schemas.openxmlformats.org/officeDocument/2006/relationships/hyperlink" Target="https://www.federalregister.gov/documents/2022/06/21/2022-13391/advancing-equality-for-lesbian-gay-bisexual-transgender-queer-and-intersex-individuals" TargetMode="External"/><Relationship Id="rId1922" Type="http://schemas.openxmlformats.org/officeDocument/2006/relationships/hyperlink" Target="https://www.govinfo.gov/content/pkg/FR-2022-06-21/pdf/2022-13391.pdf" TargetMode="External"/><Relationship Id="rId1923" Type="http://schemas.openxmlformats.org/officeDocument/2006/relationships/hyperlink" Target="https://www.federalregister.gov/documents/2022/07/13/2022-15138/protecting-access-to-reproductive-healthcare-services" TargetMode="External"/><Relationship Id="rId1924" Type="http://schemas.openxmlformats.org/officeDocument/2006/relationships/hyperlink" Target="https://www.govinfo.gov/content/pkg/FR-2022-07-13/pdf/2022-15138.pdf" TargetMode="External"/><Relationship Id="rId1925" Type="http://schemas.openxmlformats.org/officeDocument/2006/relationships/hyperlink" Target="https://www.federalregister.gov/documents/2022/07/20/2022-15628/establishing-an-emergency-board-to-investigate-disputes-between-certain-railroads-represented-by-the" TargetMode="External"/><Relationship Id="rId1926" Type="http://schemas.openxmlformats.org/officeDocument/2006/relationships/hyperlink" Target="https://www.govinfo.gov/content/pkg/FR-2022-07-20/pdf/2022-15628.pdf" TargetMode="External"/><Relationship Id="rId1927" Type="http://schemas.openxmlformats.org/officeDocument/2006/relationships/hyperlink" Target="https://www.federalregister.gov/documents/2022/07/21/2022-15743/bolstering-efforts-to-bring-hostages-and-wrongfully-detained-united-states-nationals-home" TargetMode="External"/><Relationship Id="rId1928" Type="http://schemas.openxmlformats.org/officeDocument/2006/relationships/hyperlink" Target="https://www.govinfo.gov/content/pkg/FR-2022-07-21/pdf/2022-15743.pdf" TargetMode="External"/><Relationship Id="rId1929" Type="http://schemas.openxmlformats.org/officeDocument/2006/relationships/hyperlink" Target="https://www.federalregister.gov/documents/2022/08/11/2022-17420/securing-access-to-reproductive-and-other-healthcare-services" TargetMode="External"/><Relationship Id="rId1950" Type="http://schemas.openxmlformats.org/officeDocument/2006/relationships/hyperlink" Target="https://www.govinfo.gov/content/pkg/FR-2022-12-19/pdf/2022-27585.pdf" TargetMode="External"/><Relationship Id="rId1951" Type="http://schemas.openxmlformats.org/officeDocument/2006/relationships/hyperlink" Target="https://www.federalregister.gov/documents/2022/12/29/2022-28474/adjustments-of-certain-rates-of-pay" TargetMode="External"/><Relationship Id="rId1952" Type="http://schemas.openxmlformats.org/officeDocument/2006/relationships/hyperlink" Target="https://www.govinfo.gov/content/pkg/FR-2022-12-29/pdf/2022-28474.pdf" TargetMode="External"/><Relationship Id="rId1953" Type="http://schemas.openxmlformats.org/officeDocument/2006/relationships/hyperlink" Target="https://www.federalregister.gov/documents/2023/02/22/2023-03779/further-advancing-racial-equity-and-support-for-underserved-communities-through-the-federal" TargetMode="External"/><Relationship Id="rId1954" Type="http://schemas.openxmlformats.org/officeDocument/2006/relationships/hyperlink" Target="https://www.govinfo.gov/content/pkg/FR-2023-02-22/pdf/2023-03779.pdf" TargetMode="External"/><Relationship Id="rId1955" Type="http://schemas.openxmlformats.org/officeDocument/2006/relationships/hyperlink" Target="https://www.federalregister.gov/documents/2023/03/17/2023-05714/reducing-gun-violence-and-making-our-communities-safer" TargetMode="External"/><Relationship Id="rId1956" Type="http://schemas.openxmlformats.org/officeDocument/2006/relationships/hyperlink" Target="https://www.govinfo.gov/content/pkg/FR-2023-03-17/pdf/2023-05714.pdf" TargetMode="External"/><Relationship Id="rId1957" Type="http://schemas.openxmlformats.org/officeDocument/2006/relationships/hyperlink" Target="https://www.federalregister.gov/documents/2023/03/30/2023-06730/prohibition-on-use-by-the-united-states-government-of-commercial-spyware-that-poses-risks-to" TargetMode="External"/><Relationship Id="rId1958" Type="http://schemas.openxmlformats.org/officeDocument/2006/relationships/hyperlink" Target="https://www.govinfo.gov/content/pkg/FR-2023-03-30/pdf/2023-06730.pdf" TargetMode="External"/><Relationship Id="rId1959" Type="http://schemas.openxmlformats.org/officeDocument/2006/relationships/hyperlink" Target="https://www.federalregister.gov/documents/2023/04/11/2023-07760/modernizing-regulatory-review" TargetMode="External"/><Relationship Id="rId1940" Type="http://schemas.openxmlformats.org/officeDocument/2006/relationships/hyperlink" Target="https://www.govinfo.gov/content/pkg/FR-2022-10-05/pdf/2022-21839.pdf" TargetMode="External"/><Relationship Id="rId1941" Type="http://schemas.openxmlformats.org/officeDocument/2006/relationships/hyperlink" Target="https://www.federalregister.gov/documents/2022/10/06/2022-21911/expanding-eligibility-for-certain-military-decorations-and-awards" TargetMode="External"/><Relationship Id="rId1942" Type="http://schemas.openxmlformats.org/officeDocument/2006/relationships/hyperlink" Target="https://www.govinfo.gov/content/pkg/FR-2022-10-06/pdf/2022-21911.pdf" TargetMode="External"/><Relationship Id="rId1943" Type="http://schemas.openxmlformats.org/officeDocument/2006/relationships/hyperlink" Target="https://www.federalregister.gov/documents/2022/10/14/2022-22531/enhancing-safeguards-for-united-states-signals-intelligence-activities" TargetMode="External"/><Relationship Id="rId1944" Type="http://schemas.openxmlformats.org/officeDocument/2006/relationships/hyperlink" Target="https://www.govinfo.gov/content/pkg/FR-2022-10-14/pdf/2022-22531.pdf" TargetMode="External"/><Relationship Id="rId1945" Type="http://schemas.openxmlformats.org/officeDocument/2006/relationships/hyperlink" Target="https://www.federalregister.gov/documents/2022/10/19/2022-22834/lowering-prescription-drug-costs-for-americans" TargetMode="External"/><Relationship Id="rId1946" Type="http://schemas.openxmlformats.org/officeDocument/2006/relationships/hyperlink" Target="https://www.govinfo.gov/content/pkg/FR-2022-10-19/pdf/2022-22834.pdf" TargetMode="External"/><Relationship Id="rId1947" Type="http://schemas.openxmlformats.org/officeDocument/2006/relationships/hyperlink" Target="https://www.federalregister.gov/documents/2022/10/26/2022-23433/taking-additional-steps-to-address-the-national-emergency-with-respect-to-the-situation-in-nicaragua" TargetMode="External"/><Relationship Id="rId1948" Type="http://schemas.openxmlformats.org/officeDocument/2006/relationships/hyperlink" Target="https://www.govinfo.gov/content/pkg/FR-2022-10-26/pdf/2022-23433.pdf" TargetMode="External"/><Relationship Id="rId1949" Type="http://schemas.openxmlformats.org/officeDocument/2006/relationships/hyperlink" Target="https://www.federalregister.gov/documents/2022/12/19/2022-27585/establishing-the-presidents-advisory-council-on-african-diaspora-engagement-in-the-united-states" TargetMode="External"/><Relationship Id="rId1576" Type="http://schemas.openxmlformats.org/officeDocument/2006/relationships/hyperlink" Target="https://www.govinfo.gov/content/pkg/FR-2020-01-14/pdf/2020-00534.pdf" TargetMode="External"/><Relationship Id="rId1577" Type="http://schemas.openxmlformats.org/officeDocument/2006/relationships/hyperlink" Target="https://www.federalregister.gov/documents/2020/02/05/2020-02438/combating-human-trafficking-and-online-child-exploitation-in-the-united-states" TargetMode="External"/><Relationship Id="rId1578" Type="http://schemas.openxmlformats.org/officeDocument/2006/relationships/hyperlink" Target="https://www.govinfo.gov/content/pkg/FR-2020-02-05/pdf/2020-02438.pdf" TargetMode="External"/><Relationship Id="rId1579" Type="http://schemas.openxmlformats.org/officeDocument/2006/relationships/hyperlink" Target="https://www.federalregister.gov/documents/2020/02/05/2020-02439/ensuring-safe-and-lawful-e-commerce-for-united-states-consumers-businesses-government-supply-chains" TargetMode="External"/><Relationship Id="rId509" Type="http://schemas.openxmlformats.org/officeDocument/2006/relationships/hyperlink" Target="https://www.federalregister.gov/documents/2005/01/19/05-1170/providing-an-order-of-succession-in-the-office-of-management-and-budget" TargetMode="External"/><Relationship Id="rId508" Type="http://schemas.openxmlformats.org/officeDocument/2006/relationships/hyperlink" Target="https://www.govinfo.gov/content/pkg/FR-2005-01-12/pdf/05-771.pdf" TargetMode="External"/><Relationship Id="rId503" Type="http://schemas.openxmlformats.org/officeDocument/2006/relationships/hyperlink" Target="https://www.federalregister.gov/documents/2004/12/27/04-28404/united-states-mexico-border-health-commission" TargetMode="External"/><Relationship Id="rId987" Type="http://schemas.openxmlformats.org/officeDocument/2006/relationships/hyperlink" Target="https://www.federalregister.gov/documents/2012/05/03/2012-10884/prohibiting-certain-transactions-with-and-suspending-entry-into-the-united-states-of-foreign" TargetMode="External"/><Relationship Id="rId502" Type="http://schemas.openxmlformats.org/officeDocument/2006/relationships/hyperlink" Target="https://www.govinfo.gov/content/pkg/FR-2004-12-21/pdf/04-28079.pdf" TargetMode="External"/><Relationship Id="rId986" Type="http://schemas.openxmlformats.org/officeDocument/2006/relationships/hyperlink" Target="https://www.govinfo.gov/content/pkg/FR-2012-05-02/pdf/2012-10715.pdf" TargetMode="External"/><Relationship Id="rId501" Type="http://schemas.openxmlformats.org/officeDocument/2006/relationships/hyperlink" Target="https://www.federalregister.gov/documents/2004/12/21/04-28079/committee-on-ocean-policy" TargetMode="External"/><Relationship Id="rId985" Type="http://schemas.openxmlformats.org/officeDocument/2006/relationships/hyperlink" Target="https://www.federalregister.gov/documents/2012/05/02/2012-10715/establishing-principles-of-excellence-for-educational-institutions-serving-service-members-veterans" TargetMode="External"/><Relationship Id="rId500" Type="http://schemas.openxmlformats.org/officeDocument/2006/relationships/hyperlink" Target="https://www.govinfo.gov/content/pkg/FR-2004-12-08/pdf/04-27076.pdf" TargetMode="External"/><Relationship Id="rId984" Type="http://schemas.openxmlformats.org/officeDocument/2006/relationships/hyperlink" Target="https://www.govinfo.gov/content/pkg/FR-2012-04-24/pdf/2012-10034.pdf" TargetMode="External"/><Relationship Id="rId507" Type="http://schemas.openxmlformats.org/officeDocument/2006/relationships/hyperlink" Target="https://www.federalregister.gov/documents/2005/01/12/05-771/presidents-advisory-panel-on-federal-tax-reform" TargetMode="External"/><Relationship Id="rId506" Type="http://schemas.openxmlformats.org/officeDocument/2006/relationships/hyperlink" Target="https://www.govinfo.gov/content/pkg/FR-2005-01-05/pdf/05-306.pdf" TargetMode="External"/><Relationship Id="rId505" Type="http://schemas.openxmlformats.org/officeDocument/2006/relationships/hyperlink" Target="https://www.federalregister.gov/documents/2005/01/05/05-306/adjustments-of-certain-rates-of-pay" TargetMode="External"/><Relationship Id="rId989" Type="http://schemas.openxmlformats.org/officeDocument/2006/relationships/hyperlink" Target="https://www.federalregister.gov/documents/2012/05/04/2012-10968/promoting-international-regulatory-cooperation" TargetMode="External"/><Relationship Id="rId504" Type="http://schemas.openxmlformats.org/officeDocument/2006/relationships/hyperlink" Target="https://www.govinfo.gov/content/pkg/FR-2004-12-27/pdf/04-28404.pdf" TargetMode="External"/><Relationship Id="rId988" Type="http://schemas.openxmlformats.org/officeDocument/2006/relationships/hyperlink" Target="https://www.govinfo.gov/content/pkg/FR-2012-05-03/pdf/2012-10884.pdf" TargetMode="External"/><Relationship Id="rId1570" Type="http://schemas.openxmlformats.org/officeDocument/2006/relationships/hyperlink" Target="https://www.govinfo.gov/content/pkg/FR-2019-12-16/pdf/2019-27217.pdf" TargetMode="External"/><Relationship Id="rId1571" Type="http://schemas.openxmlformats.org/officeDocument/2006/relationships/hyperlink" Target="https://www.federalregister.gov/documents/2019/12/20/2019-27678/providing-for-the-closing-of-executive-departments-and-agencies-of-the-federal-government-on" TargetMode="External"/><Relationship Id="rId983" Type="http://schemas.openxmlformats.org/officeDocument/2006/relationships/hyperlink" Target="https://www.federalregister.gov/documents/2012/04/24/2012-10034/blocking-the-property-and-suspending-entry-into-the-united-states-of-certain-persons-with-respect-to" TargetMode="External"/><Relationship Id="rId1572" Type="http://schemas.openxmlformats.org/officeDocument/2006/relationships/hyperlink" Target="https://www.govinfo.gov/content/pkg/FR-2019-12-20/pdf/2019-27678.pdf" TargetMode="External"/><Relationship Id="rId982" Type="http://schemas.openxmlformats.org/officeDocument/2006/relationships/hyperlink" Target="https://www.govinfo.gov/content/pkg/FR-2012-04-17/pdf/2012-9473.pdf" TargetMode="External"/><Relationship Id="rId1573" Type="http://schemas.openxmlformats.org/officeDocument/2006/relationships/hyperlink" Target="https://www.federalregister.gov/documents/2019/12/30/2019-28286/adjustments-of-certain-rates-of-pay" TargetMode="External"/><Relationship Id="rId981" Type="http://schemas.openxmlformats.org/officeDocument/2006/relationships/hyperlink" Target="https://www.federalregister.gov/documents/2012/04/17/2012-9473/supporting-safe-and-responsible-development-of-unconventional-domestic-natural-gas-resources" TargetMode="External"/><Relationship Id="rId1574" Type="http://schemas.openxmlformats.org/officeDocument/2006/relationships/hyperlink" Target="https://www.govinfo.gov/content/pkg/FR-2019-12-30/pdf/2019-28286.pdf" TargetMode="External"/><Relationship Id="rId980" Type="http://schemas.openxmlformats.org/officeDocument/2006/relationships/hyperlink" Target="https://www.govinfo.gov/content/pkg/FR-2012-03-28/pdf/2012-7636.pdf" TargetMode="External"/><Relationship Id="rId1575" Type="http://schemas.openxmlformats.org/officeDocument/2006/relationships/hyperlink" Target="https://www.federalregister.gov/documents/2020/01/14/2020-00534/imposing-sanctions-with-respect-to-additional-sectors-of-iran" TargetMode="External"/><Relationship Id="rId1565" Type="http://schemas.openxmlformats.org/officeDocument/2006/relationships/hyperlink" Target="https://www.federalregister.gov/documents/2019/11/05/2019-24288/improving-federal-contractor-operations-by-revoking-executive-order-13495" TargetMode="External"/><Relationship Id="rId1566" Type="http://schemas.openxmlformats.org/officeDocument/2006/relationships/hyperlink" Target="https://www.govinfo.gov/content/pkg/FR-2019-11-05/pdf/2019-24288.pdf" TargetMode="External"/><Relationship Id="rId1567" Type="http://schemas.openxmlformats.org/officeDocument/2006/relationships/hyperlink" Target="https://www.federalregister.gov/documents/2019/12/02/2019-26178/establishing-the-task-force-on-missing-and-murdered-american-indians-and-alaska-natives" TargetMode="External"/><Relationship Id="rId1568" Type="http://schemas.openxmlformats.org/officeDocument/2006/relationships/hyperlink" Target="https://www.govinfo.gov/content/pkg/FR-2019-12-02/pdf/2019-26178.pdf" TargetMode="External"/><Relationship Id="rId1569" Type="http://schemas.openxmlformats.org/officeDocument/2006/relationships/hyperlink" Target="https://www.federalregister.gov/documents/2019/12/16/2019-27217/combating-anti-semitism" TargetMode="External"/><Relationship Id="rId976" Type="http://schemas.openxmlformats.org/officeDocument/2006/relationships/hyperlink" Target="https://www.govinfo.gov/content/pkg/FR-2012-03-20/pdf/2012-6797.pdf" TargetMode="External"/><Relationship Id="rId975" Type="http://schemas.openxmlformats.org/officeDocument/2006/relationships/hyperlink" Target="https://www.federalregister.gov/documents/2012/03/20/2012-6797/establishing-a-white-house-council-on-strong-cities-strong-communities" TargetMode="External"/><Relationship Id="rId974" Type="http://schemas.openxmlformats.org/officeDocument/2006/relationships/hyperlink" Target="https://www.govinfo.gov/content/pkg/FR-2012-03-05/pdf/2012-5366.pdf" TargetMode="External"/><Relationship Id="rId973" Type="http://schemas.openxmlformats.org/officeDocument/2006/relationships/hyperlink" Target="https://www.federalregister.gov/documents/2012/03/05/2012-5366/establishment-of-the-interagency-trade-enforcement-center" TargetMode="External"/><Relationship Id="rId979" Type="http://schemas.openxmlformats.org/officeDocument/2006/relationships/hyperlink" Target="https://www.federalregister.gov/documents/2012/03/28/2012-7636/improving-performance-of-federal-permitting-and-review-of-infrastructure-projects" TargetMode="External"/><Relationship Id="rId978" Type="http://schemas.openxmlformats.org/officeDocument/2006/relationships/hyperlink" Target="https://www.govinfo.gov/content/pkg/FR-2012-03-22/pdf/2012-7019.pdf" TargetMode="External"/><Relationship Id="rId977" Type="http://schemas.openxmlformats.org/officeDocument/2006/relationships/hyperlink" Target="https://www.federalregister.gov/documents/2012/03/22/2012-7019/national-defense-resources-preparedness" TargetMode="External"/><Relationship Id="rId1560" Type="http://schemas.openxmlformats.org/officeDocument/2006/relationships/hyperlink" Target="https://www.govinfo.gov/content/pkg/FR-2019-10-17/pdf/2019-22849.pdf" TargetMode="External"/><Relationship Id="rId972" Type="http://schemas.openxmlformats.org/officeDocument/2006/relationships/hyperlink" Target="https://www.govinfo.gov/content/pkg/FR-2012-02-14/pdf/2012-3616.pdf" TargetMode="External"/><Relationship Id="rId1561" Type="http://schemas.openxmlformats.org/officeDocument/2006/relationships/hyperlink" Target="https://www.federalregister.gov/documents/2019/10/25/2019-23525/presidents-council-of-advisors-on-science-and-technology" TargetMode="External"/><Relationship Id="rId971" Type="http://schemas.openxmlformats.org/officeDocument/2006/relationships/hyperlink" Target="https://www.federalregister.gov/documents/2012/02/14/2012-3616/establishing-the-presidents-global-development-council" TargetMode="External"/><Relationship Id="rId1562" Type="http://schemas.openxmlformats.org/officeDocument/2006/relationships/hyperlink" Target="https://www.govinfo.gov/content/pkg/FR-2019-10-25/pdf/2019-23525.pdf" TargetMode="External"/><Relationship Id="rId970" Type="http://schemas.openxmlformats.org/officeDocument/2006/relationships/hyperlink" Target="https://www.govinfo.gov/content/pkg/FR-2012-02-08/pdf/2012-3097.pdf" TargetMode="External"/><Relationship Id="rId1563" Type="http://schemas.openxmlformats.org/officeDocument/2006/relationships/hyperlink" Target="https://www.federalregister.gov/documents/2019/11/01/2019-24040/commission-on-law-enforcement-and-the-administration-of-justice" TargetMode="External"/><Relationship Id="rId1564" Type="http://schemas.openxmlformats.org/officeDocument/2006/relationships/hyperlink" Target="https://www.govinfo.gov/content/pkg/FR-2019-11-01/pdf/2019-24040.pdf" TargetMode="External"/><Relationship Id="rId1114" Type="http://schemas.openxmlformats.org/officeDocument/2006/relationships/hyperlink" Target="https://www.govinfo.gov/content/pkg/FR-2014-07-10/pdf/2014-16360.pdf" TargetMode="External"/><Relationship Id="rId1598" Type="http://schemas.openxmlformats.org/officeDocument/2006/relationships/hyperlink" Target="https://www.govinfo.gov/content/pkg/FR-2020-04-08/pdf/2020-07530.pdf" TargetMode="External"/><Relationship Id="rId1115" Type="http://schemas.openxmlformats.org/officeDocument/2006/relationships/hyperlink" Target="https://www.federalregister.gov/documents/2014/07/23/2014-17522/further-amendments-to-executive-order-11478-equal-employment-opportunity-in-the-federal-government" TargetMode="External"/><Relationship Id="rId1599" Type="http://schemas.openxmlformats.org/officeDocument/2006/relationships/hyperlink" Target="https://www.federalregister.gov/documents/2020/04/10/2020-07800/encouraging-international-support-for-the-recovery-and-use-of-space-resources" TargetMode="External"/><Relationship Id="rId1116" Type="http://schemas.openxmlformats.org/officeDocument/2006/relationships/hyperlink" Target="https://www.govinfo.gov/content/pkg/FR-2014-07-23/pdf/2014-17522.pdf" TargetMode="External"/><Relationship Id="rId1117" Type="http://schemas.openxmlformats.org/officeDocument/2006/relationships/hyperlink" Target="https://www.federalregister.gov/documents/2014/08/05/2014-18561/fair-pay-and-safe-workplaces" TargetMode="External"/><Relationship Id="rId1118" Type="http://schemas.openxmlformats.org/officeDocument/2006/relationships/hyperlink" Target="https://www.govinfo.gov/content/pkg/FR-2014-08-05/pdf/2014-18561.pdf" TargetMode="External"/><Relationship Id="rId1119" Type="http://schemas.openxmlformats.org/officeDocument/2006/relationships/hyperlink" Target="https://www.federalregister.gov/documents/2014/08/06/2014-18682/revised-list-of-quarantinable-communicable-diseases" TargetMode="External"/><Relationship Id="rId525" Type="http://schemas.openxmlformats.org/officeDocument/2006/relationships/hyperlink" Target="https://www.federalregister.gov/documents/2005/05/17/05-9892/amendments-to-executive-order-12788-relating-to-the-defense-economic-adjustment-program" TargetMode="External"/><Relationship Id="rId524" Type="http://schemas.openxmlformats.org/officeDocument/2006/relationships/hyperlink" Target="https://www.govinfo.gov/content/pkg/FR-2005-04-18/pdf/05-7831.pdf" TargetMode="External"/><Relationship Id="rId523" Type="http://schemas.openxmlformats.org/officeDocument/2006/relationships/hyperlink" Target="https://www.federalregister.gov/documents/2005/04/18/05-7831/designating-the-african-union-as-a-public-international-organization-entitled-to-enjoy-certain" TargetMode="External"/><Relationship Id="rId522" Type="http://schemas.openxmlformats.org/officeDocument/2006/relationships/hyperlink" Target="https://www.govinfo.gov/content/pkg/FR-2005-04-18/pdf/05-7830.pdf" TargetMode="External"/><Relationship Id="rId529" Type="http://schemas.openxmlformats.org/officeDocument/2006/relationships/hyperlink" Target="https://www.federalregister.gov/documents/2005/06/21/05-12354/implementing-amendments-to-agreement-on-border" TargetMode="External"/><Relationship Id="rId528" Type="http://schemas.openxmlformats.org/officeDocument/2006/relationships/hyperlink" Target="https://www.govinfo.gov/content/pkg/FR-2005-06-20/pdf/05-12284.pdf" TargetMode="External"/><Relationship Id="rId527" Type="http://schemas.openxmlformats.org/officeDocument/2006/relationships/hyperlink" Target="https://www.federalregister.gov/documents/2005/06/20/05-12284/amendment-to-executive-order-13369-relating-to-the-presidents-advisory-panel-on-federal-tax-reform" TargetMode="External"/><Relationship Id="rId526" Type="http://schemas.openxmlformats.org/officeDocument/2006/relationships/hyperlink" Target="https://www.govinfo.gov/content/pkg/FR-2005-05-17/pdf/05-9892.pdf" TargetMode="External"/><Relationship Id="rId1590" Type="http://schemas.openxmlformats.org/officeDocument/2006/relationships/hyperlink" Target="https://www.govinfo.gov/content/pkg/FR-2020-03-23/pdf/2020-06161.pdf" TargetMode="External"/><Relationship Id="rId1591" Type="http://schemas.openxmlformats.org/officeDocument/2006/relationships/hyperlink" Target="https://www.federalregister.gov/documents/2020/03/26/2020-06478/preventing-hoarding-of-health-and-medical-resources-to-respond-to-the-spread-of-covid-19" TargetMode="External"/><Relationship Id="rId1592" Type="http://schemas.openxmlformats.org/officeDocument/2006/relationships/hyperlink" Target="https://www.govinfo.gov/content/pkg/FR-2020-03-26/pdf/2020-06478.pdf" TargetMode="External"/><Relationship Id="rId1593" Type="http://schemas.openxmlformats.org/officeDocument/2006/relationships/hyperlink" Target="https://www.federalregister.gov/documents/2020/04/01/2020-06969/delegating-additional-authority-under-the-defense-production-act-with-respect-to-health-and-medical" TargetMode="External"/><Relationship Id="rId521" Type="http://schemas.openxmlformats.org/officeDocument/2006/relationships/hyperlink" Target="https://www.federalregister.gov/documents/2005/04/18/05-7830/amendments-to-executive-order-12863-relating-to-the-presidents-foreign-intelligence-advisory-board" TargetMode="External"/><Relationship Id="rId1110" Type="http://schemas.openxmlformats.org/officeDocument/2006/relationships/hyperlink" Target="https://www.govinfo.gov/content/pkg/FR-2014-06-18/pdf/2014-14429.pdf" TargetMode="External"/><Relationship Id="rId1594" Type="http://schemas.openxmlformats.org/officeDocument/2006/relationships/hyperlink" Target="https://www.govinfo.gov/content/pkg/FR-2020-04-01/pdf/2020-06969.pdf" TargetMode="External"/><Relationship Id="rId520" Type="http://schemas.openxmlformats.org/officeDocument/2006/relationships/hyperlink" Target="https://www.govinfo.gov/content/pkg/FR-2005-04-05/pdf/05-6907.pdf" TargetMode="External"/><Relationship Id="rId1111" Type="http://schemas.openxmlformats.org/officeDocument/2006/relationships/hyperlink" Target="https://www.federalregister.gov/documents/2014/06/18/2014-14432/establishing-an-emergency-board-to-investigate-disputes-between-the-southeastern-pennsylvania" TargetMode="External"/><Relationship Id="rId1595" Type="http://schemas.openxmlformats.org/officeDocument/2006/relationships/hyperlink" Target="https://www.federalregister.gov/documents/2020/04/01/2020-06985/national-emergency-authority-to-order-the-selected-reserve-and-certain-members-of-the-individual" TargetMode="External"/><Relationship Id="rId1112" Type="http://schemas.openxmlformats.org/officeDocument/2006/relationships/hyperlink" Target="https://www.govinfo.gov/content/pkg/FR-2014-06-18/pdf/2014-14432.pdf" TargetMode="External"/><Relationship Id="rId1596" Type="http://schemas.openxmlformats.org/officeDocument/2006/relationships/hyperlink" Target="https://www.govinfo.gov/content/pkg/FR-2020-04-01/pdf/2020-06985.pdf" TargetMode="External"/><Relationship Id="rId1113" Type="http://schemas.openxmlformats.org/officeDocument/2006/relationships/hyperlink" Target="https://www.federalregister.gov/documents/2014/07/10/2014-16360/taking-additional-steps-to-address-the-national-emergency-with-respect-to-the-conflict-in-the" TargetMode="External"/><Relationship Id="rId1597" Type="http://schemas.openxmlformats.org/officeDocument/2006/relationships/hyperlink" Target="https://www.federalregister.gov/documents/2020/04/08/2020-07530/establishing-the-committee-for-the-assessment-of-foreign-participation-in-the-united-states" TargetMode="External"/><Relationship Id="rId1103" Type="http://schemas.openxmlformats.org/officeDocument/2006/relationships/hyperlink" Target="https://www.federalregister.gov/documents/2014/04/23/2014-09343/expanding-eligibility-for-the-defense-meritorious-service-medal" TargetMode="External"/><Relationship Id="rId1587" Type="http://schemas.openxmlformats.org/officeDocument/2006/relationships/hyperlink" Target="https://www.federalregister.gov/documents/2020/03/06/2020-04755/establishment-of-the-interagency-committee-on-trade-in-automotive-goods-under-section-202a-of-the" TargetMode="External"/><Relationship Id="rId1104" Type="http://schemas.openxmlformats.org/officeDocument/2006/relationships/hyperlink" Target="https://www.govinfo.gov/content/pkg/FR-2014-04-23/pdf/2014-09343.pdf" TargetMode="External"/><Relationship Id="rId1588" Type="http://schemas.openxmlformats.org/officeDocument/2006/relationships/hyperlink" Target="https://www.govinfo.gov/content/pkg/FR-2020-03-06/pdf/2020-04755.pdf" TargetMode="External"/><Relationship Id="rId1105" Type="http://schemas.openxmlformats.org/officeDocument/2006/relationships/hyperlink" Target="https://www.federalregister.gov/documents/2014/05/15/2014-11442/blocking-property-of-certain-persons-contributing-to-the-conflict-in-the-central-african-republic" TargetMode="External"/><Relationship Id="rId1589" Type="http://schemas.openxmlformats.org/officeDocument/2006/relationships/hyperlink" Target="https://www.federalregister.gov/documents/2020/03/23/2020-06161/prioritizing-and-allocating-health-and-medical-resources-to-respond-to-the-spread-of-covid-19" TargetMode="External"/><Relationship Id="rId1106" Type="http://schemas.openxmlformats.org/officeDocument/2006/relationships/hyperlink" Target="https://www.govinfo.gov/content/pkg/FR-2014-05-15/pdf/2014-11442.pdf" TargetMode="External"/><Relationship Id="rId1107" Type="http://schemas.openxmlformats.org/officeDocument/2006/relationships/hyperlink" Target="https://www.federalregister.gov/documents/2014/05/29/2014-12651/ending-immunities-granted-to-the-development-fund-for-iraq-and-certain-other-iraqi-property-and" TargetMode="External"/><Relationship Id="rId1108" Type="http://schemas.openxmlformats.org/officeDocument/2006/relationships/hyperlink" Target="https://www.govinfo.gov/content/pkg/FR-2014-05-29/pdf/2014-12651.pdf" TargetMode="External"/><Relationship Id="rId1109" Type="http://schemas.openxmlformats.org/officeDocument/2006/relationships/hyperlink" Target="https://www.federalregister.gov/documents/2014/06/18/2014-14429/2014-amendments-to-the-manual-for-courts-martial-united-states" TargetMode="External"/><Relationship Id="rId519" Type="http://schemas.openxmlformats.org/officeDocument/2006/relationships/hyperlink" Target="https://www.federalregister.gov/documents/2005/04/05/05-6907/amendment-to-executive-order-13295-relating-to-certaininfluenza-viruses-and-quarantinable" TargetMode="External"/><Relationship Id="rId514" Type="http://schemas.openxmlformats.org/officeDocument/2006/relationships/hyperlink" Target="https://www.govinfo.gov/content/pkg/FR-2005-02-18/pdf/05-3385.pdf" TargetMode="External"/><Relationship Id="rId998" Type="http://schemas.openxmlformats.org/officeDocument/2006/relationships/hyperlink" Target="https://www.govinfo.gov/content/pkg/FR-2012-05-24/pdf/2012-12882.pdf" TargetMode="External"/><Relationship Id="rId513" Type="http://schemas.openxmlformats.org/officeDocument/2006/relationships/hyperlink" Target="https://www.federalregister.gov/documents/2005/02/18/05-3385/clarification-of-certain-executive-orders-blocking-property-and-prohibiting-certain-transactions" TargetMode="External"/><Relationship Id="rId997" Type="http://schemas.openxmlformats.org/officeDocument/2006/relationships/hyperlink" Target="https://www.federalregister.gov/documents/2012/05/24/2012-12882/providing-an-order-of-succession-within-the-department-of-commerce" TargetMode="External"/><Relationship Id="rId512" Type="http://schemas.openxmlformats.org/officeDocument/2006/relationships/hyperlink" Target="https://www.govinfo.gov/content/pkg/FR-2005-01-31/pdf/05-1886.pdf" TargetMode="External"/><Relationship Id="rId996" Type="http://schemas.openxmlformats.org/officeDocument/2006/relationships/hyperlink" Target="https://www.govinfo.gov/content/pkg/FR-2012-05-24/pdf/2012-12881.pdf" TargetMode="External"/><Relationship Id="rId511" Type="http://schemas.openxmlformats.org/officeDocument/2006/relationships/hyperlink" Target="https://www.federalregister.gov/documents/2005/01/31/05-1886/amendments-to-executive-order-13285-relating-to-the-presidents-council-on-service-and-civic" TargetMode="External"/><Relationship Id="rId995" Type="http://schemas.openxmlformats.org/officeDocument/2006/relationships/hyperlink" Target="https://www.federalregister.gov/documents/2012/05/24/2012-12881/providing-an-order-of-succession-within-the-department-of-agriculture" TargetMode="External"/><Relationship Id="rId518" Type="http://schemas.openxmlformats.org/officeDocument/2006/relationships/hyperlink" Target="https://www.govinfo.gov/content/pkg/FR-2005-03-17/pdf/05-5434.pdf" TargetMode="External"/><Relationship Id="rId517" Type="http://schemas.openxmlformats.org/officeDocument/2006/relationships/hyperlink" Target="https://www.federalregister.gov/documents/2005/03/17/05-5434/amendments-to-executive-order-12293the-foreign-service-of-the-united-states" TargetMode="External"/><Relationship Id="rId516" Type="http://schemas.openxmlformats.org/officeDocument/2006/relationships/hyperlink" Target="https://www.govinfo.gov/content/pkg/FR-2005-03-14/pdf/05-5097.pdf" TargetMode="External"/><Relationship Id="rId515" Type="http://schemas.openxmlformats.org/officeDocument/2006/relationships/hyperlink" Target="https://www.federalregister.gov/documents/2005/03/14/05-5097/amendments-to-executive-order-11926-relating-to-the-vice-presidential-service-badge" TargetMode="External"/><Relationship Id="rId999" Type="http://schemas.openxmlformats.org/officeDocument/2006/relationships/hyperlink" Target="https://www.federalregister.gov/documents/2012/05/24/2012-12883/providing-an-order-of-succession-within-the-environmental-protection-agency" TargetMode="External"/><Relationship Id="rId990" Type="http://schemas.openxmlformats.org/officeDocument/2006/relationships/hyperlink" Target="https://www.govinfo.gov/content/pkg/FR-2012-05-04/pdf/2012-10968.pdf" TargetMode="External"/><Relationship Id="rId1580" Type="http://schemas.openxmlformats.org/officeDocument/2006/relationships/hyperlink" Target="https://www.govinfo.gov/content/pkg/FR-2020-02-05/pdf/2020-02439.pdf" TargetMode="External"/><Relationship Id="rId1581" Type="http://schemas.openxmlformats.org/officeDocument/2006/relationships/hyperlink" Target="https://www.federalregister.gov/documents/2020/02/18/2020-03337/strengthening-national-resilience-through-responsible-use-of-positioning-navigation-and-timing" TargetMode="External"/><Relationship Id="rId1582" Type="http://schemas.openxmlformats.org/officeDocument/2006/relationships/hyperlink" Target="https://www.govinfo.gov/content/pkg/FR-2020-02-18/pdf/2020-03337.pdf" TargetMode="External"/><Relationship Id="rId510" Type="http://schemas.openxmlformats.org/officeDocument/2006/relationships/hyperlink" Target="https://www.govinfo.gov/content/pkg/FR-2005-01-19/pdf/05-1170.pdf" TargetMode="External"/><Relationship Id="rId994" Type="http://schemas.openxmlformats.org/officeDocument/2006/relationships/hyperlink" Target="https://www.govinfo.gov/content/pkg/FR-2012-05-18/pdf/2012-12225.pdf" TargetMode="External"/><Relationship Id="rId1583" Type="http://schemas.openxmlformats.org/officeDocument/2006/relationships/hyperlink" Target="https://www.federalregister.gov/documents/2020/02/20/2020-03556/amending-executive-order-13803reviving-the-national-space-council" TargetMode="External"/><Relationship Id="rId993" Type="http://schemas.openxmlformats.org/officeDocument/2006/relationships/hyperlink" Target="https://www.federalregister.gov/documents/2012/05/18/2012-12225/blocking-property-of-persons-threatening-the-peace-security-or-stability-of-yemen" TargetMode="External"/><Relationship Id="rId1100" Type="http://schemas.openxmlformats.org/officeDocument/2006/relationships/hyperlink" Target="https://www.govinfo.gov/content/pkg/FR-2014-04-07/pdf/2014-07895.pdf" TargetMode="External"/><Relationship Id="rId1584" Type="http://schemas.openxmlformats.org/officeDocument/2006/relationships/hyperlink" Target="https://www.govinfo.gov/content/pkg/FR-2020-02-20/pdf/2020-03556.pdf" TargetMode="External"/><Relationship Id="rId992" Type="http://schemas.openxmlformats.org/officeDocument/2006/relationships/hyperlink" Target="https://www.govinfo.gov/content/pkg/FR-2012-05-14/pdf/2012-11798.pdf" TargetMode="External"/><Relationship Id="rId1101" Type="http://schemas.openxmlformats.org/officeDocument/2006/relationships/hyperlink" Target="https://www.federalregister.gov/documents/2014/04/11/2014-08426/non-retaliation-for-disclosure-of-compensation-information" TargetMode="External"/><Relationship Id="rId1585" Type="http://schemas.openxmlformats.org/officeDocument/2006/relationships/hyperlink" Target="https://www.federalregister.gov/documents/2020/03/05/2020-04730/establishment-of-the-interagency-environment-committee-for-monitoring-and-enforcement-under-section" TargetMode="External"/><Relationship Id="rId991" Type="http://schemas.openxmlformats.org/officeDocument/2006/relationships/hyperlink" Target="https://www.federalregister.gov/documents/2012/05/14/2012-11798/identifying-and-reducing-regulatory-burdens" TargetMode="External"/><Relationship Id="rId1102" Type="http://schemas.openxmlformats.org/officeDocument/2006/relationships/hyperlink" Target="https://www.govinfo.gov/content/pkg/FR-2014-04-11/pdf/2014-08426.pdf" TargetMode="External"/><Relationship Id="rId1586" Type="http://schemas.openxmlformats.org/officeDocument/2006/relationships/hyperlink" Target="https://www.govinfo.gov/content/pkg/FR-2020-03-05/pdf/2020-04730.pdf" TargetMode="External"/><Relationship Id="rId1532" Type="http://schemas.openxmlformats.org/officeDocument/2006/relationships/hyperlink" Target="https://www.govinfo.gov/content/pkg/FR-2019-07-16/pdf/2019-15222.pdf" TargetMode="External"/><Relationship Id="rId1533" Type="http://schemas.openxmlformats.org/officeDocument/2006/relationships/hyperlink" Target="https://www.federalregister.gov/documents/2019/07/18/2019-15449/maximizing-use-of-american-made-goods-products-and-materials" TargetMode="External"/><Relationship Id="rId1534" Type="http://schemas.openxmlformats.org/officeDocument/2006/relationships/hyperlink" Target="https://www.govinfo.gov/content/pkg/FR-2019-07-18/pdf/2019-15449.pdf" TargetMode="External"/><Relationship Id="rId1535" Type="http://schemas.openxmlformats.org/officeDocument/2006/relationships/hyperlink" Target="https://www.federalregister.gov/documents/2019/07/30/2019-16383/blocking-property-and-suspending-entry-of-certain-persons-contributing-to-the-situation-in-mali" TargetMode="External"/><Relationship Id="rId1536" Type="http://schemas.openxmlformats.org/officeDocument/2006/relationships/hyperlink" Target="https://www.govinfo.gov/content/pkg/FR-2019-07-30/pdf/2019-16383.pdf" TargetMode="External"/><Relationship Id="rId1537" Type="http://schemas.openxmlformats.org/officeDocument/2006/relationships/hyperlink" Target="https://www.federalregister.gov/documents/2019/08/05/2019-16879/administration-of-proliferation-sanctions-and-amendment-of-executive-order-12851" TargetMode="External"/><Relationship Id="rId1538" Type="http://schemas.openxmlformats.org/officeDocument/2006/relationships/hyperlink" Target="https://www.govinfo.gov/content/pkg/FR-2019-08-05/pdf/2019-16879.pdf" TargetMode="External"/><Relationship Id="rId1539" Type="http://schemas.openxmlformats.org/officeDocument/2006/relationships/hyperlink" Target="https://www.federalregister.gov/documents/2019/08/07/2019-17052/blocking-property-of-the-government-of-venezuela" TargetMode="External"/><Relationship Id="rId949" Type="http://schemas.openxmlformats.org/officeDocument/2006/relationships/hyperlink" Target="https://www.federalregister.gov/documents/2011/11/15/2011-29683/promoting-efficient-spending" TargetMode="External"/><Relationship Id="rId948" Type="http://schemas.openxmlformats.org/officeDocument/2006/relationships/hyperlink" Target="https://www.govinfo.gov/content/pkg/FR-2011-11-03/pdf/2011-28728.pdf" TargetMode="External"/><Relationship Id="rId943" Type="http://schemas.openxmlformats.org/officeDocument/2006/relationships/hyperlink" Target="https://www.federalregister.gov/documents/2011/10/12/2011-26574/establishing-an-emergency-board-to-investigate-disputes-between-certain-railroads-represented-by-the" TargetMode="External"/><Relationship Id="rId942" Type="http://schemas.openxmlformats.org/officeDocument/2006/relationships/hyperlink" Target="https://www.govinfo.gov/content/pkg/FR-2011-10-07/pdf/2011-26141.pdf" TargetMode="External"/><Relationship Id="rId941" Type="http://schemas.openxmlformats.org/officeDocument/2006/relationships/hyperlink" Target="https://www.federalregister.gov/documents/2011/10/07/2011-26141/continuance-of-certain-federal-advisory-committees" TargetMode="External"/><Relationship Id="rId940" Type="http://schemas.openxmlformats.org/officeDocument/2006/relationships/hyperlink" Target="https://www.govinfo.gov/content/pkg/FR-2011-09-15/pdf/2011-23891.pdf" TargetMode="External"/><Relationship Id="rId947" Type="http://schemas.openxmlformats.org/officeDocument/2006/relationships/hyperlink" Target="https://www.federalregister.gov/documents/2011/11/03/2011-28728/reducing-prescription-drug-shortages" TargetMode="External"/><Relationship Id="rId946" Type="http://schemas.openxmlformats.org/officeDocument/2006/relationships/hyperlink" Target="https://www.govinfo.gov/content/pkg/FR-2011-10-13/pdf/2011-26729.pdf" TargetMode="External"/><Relationship Id="rId945" Type="http://schemas.openxmlformats.org/officeDocument/2006/relationships/hyperlink" Target="https://www.federalregister.gov/documents/2011/10/13/2011-26729/structural-reforms-to-improve-the-security-of-classified-networks-and-the-responsible-sharing-and" TargetMode="External"/><Relationship Id="rId944" Type="http://schemas.openxmlformats.org/officeDocument/2006/relationships/hyperlink" Target="https://www.govinfo.gov/content/pkg/FR-2011-10-12/pdf/2011-26574.pdf" TargetMode="External"/><Relationship Id="rId1530" Type="http://schemas.openxmlformats.org/officeDocument/2006/relationships/hyperlink" Target="https://www.govinfo.gov/content/pkg/FR-2019-07-15/pdf/2019-15159.pdf" TargetMode="External"/><Relationship Id="rId1531" Type="http://schemas.openxmlformats.org/officeDocument/2006/relationships/hyperlink" Target="https://www.federalregister.gov/documents/2019/07/16/2019-15222/collecting-information-about-citizenship-status-in-connection-with-the-decennial-census" TargetMode="External"/><Relationship Id="rId1521" Type="http://schemas.openxmlformats.org/officeDocument/2006/relationships/hyperlink" Target="https://www.federalregister.gov/documents/2019/06/19/2019-13175/evaluating-and-improving-the-utility-of-federal-advisory-committees" TargetMode="External"/><Relationship Id="rId1522" Type="http://schemas.openxmlformats.org/officeDocument/2006/relationships/hyperlink" Target="https://www.govinfo.gov/content/pkg/FR-2019-06-19/pdf/2019-13175.pdf" TargetMode="External"/><Relationship Id="rId1523" Type="http://schemas.openxmlformats.org/officeDocument/2006/relationships/hyperlink" Target="https://www.federalregister.gov/documents/2019/06/26/2019-13793/imposing-sanctions-with-respect-to-iran" TargetMode="External"/><Relationship Id="rId1524" Type="http://schemas.openxmlformats.org/officeDocument/2006/relationships/hyperlink" Target="https://www.govinfo.gov/content/pkg/FR-2019-06-26/pdf/2019-13793.pdf" TargetMode="External"/><Relationship Id="rId1525" Type="http://schemas.openxmlformats.org/officeDocument/2006/relationships/hyperlink" Target="https://www.federalregister.gov/documents/2019/06/27/2019-13945/improving-price-and-quality-transparency-in-american-healthcare-to-put-patients-first" TargetMode="External"/><Relationship Id="rId1526" Type="http://schemas.openxmlformats.org/officeDocument/2006/relationships/hyperlink" Target="https://www.govinfo.gov/content/pkg/FR-2019-06-27/pdf/2019-13945.pdf" TargetMode="External"/><Relationship Id="rId1527" Type="http://schemas.openxmlformats.org/officeDocument/2006/relationships/hyperlink" Target="https://www.federalregister.gov/documents/2019/06/28/2019-14016/establishing-a-white-house-council-on-eliminating-regulatory-barriers-to-affordable-housing" TargetMode="External"/><Relationship Id="rId1528" Type="http://schemas.openxmlformats.org/officeDocument/2006/relationships/hyperlink" Target="https://www.govinfo.gov/content/pkg/FR-2019-06-28/pdf/2019-14016.pdf" TargetMode="External"/><Relationship Id="rId1529" Type="http://schemas.openxmlformats.org/officeDocument/2006/relationships/hyperlink" Target="https://www.federalregister.gov/documents/2019/07/15/2019-15159/advancing-american-kidney-health" TargetMode="External"/><Relationship Id="rId939" Type="http://schemas.openxmlformats.org/officeDocument/2006/relationships/hyperlink" Target="https://www.federalregister.gov/documents/2011/09/15/2011-23891/developing-an-integrated-strategic-counterterrorism-communications-initiative-and-establishing-a" TargetMode="External"/><Relationship Id="rId938" Type="http://schemas.openxmlformats.org/officeDocument/2006/relationships/hyperlink" Target="https://www.govinfo.gov/content/pkg/FR-2011-08-23/pdf/2011-21704.pdf" TargetMode="External"/><Relationship Id="rId937" Type="http://schemas.openxmlformats.org/officeDocument/2006/relationships/hyperlink" Target="https://www.federalregister.gov/documents/2011/08/23/2011-21704/establishing-a-coordinated-government-wide-initiative-to-promote-diversity-and-inclusion-in-the" TargetMode="External"/><Relationship Id="rId932" Type="http://schemas.openxmlformats.org/officeDocument/2006/relationships/hyperlink" Target="https://www.govinfo.gov/content/pkg/FR-2011-07-15/pdf/2011-18065.pdf" TargetMode="External"/><Relationship Id="rId931" Type="http://schemas.openxmlformats.org/officeDocument/2006/relationships/hyperlink" Target="https://www.federalregister.gov/documents/2011/07/15/2011-18065/interagency-working-group-on-coordination-of-domestic-energy-development-and-permitting-in-alaska" TargetMode="External"/><Relationship Id="rId930" Type="http://schemas.openxmlformats.org/officeDocument/2006/relationships/hyperlink" Target="https://www.govinfo.gov/content/pkg/FR-2011-07-14/pdf/2011-17953.pdf" TargetMode="External"/><Relationship Id="rId936" Type="http://schemas.openxmlformats.org/officeDocument/2006/relationships/hyperlink" Target="https://www.govinfo.gov/content/pkg/FR-2011-08-22/pdf/2011-21505.pdf" TargetMode="External"/><Relationship Id="rId935" Type="http://schemas.openxmlformats.org/officeDocument/2006/relationships/hyperlink" Target="https://www.federalregister.gov/documents/2011/08/22/2011-21505/blocking-property-of-the-government-of-syria-and-prohibiting-certain-transactions-with-respect-to" TargetMode="External"/><Relationship Id="rId934" Type="http://schemas.openxmlformats.org/officeDocument/2006/relationships/hyperlink" Target="https://www.govinfo.gov/content/pkg/FR-2011-07-27/pdf/2011-19156.pdf" TargetMode="External"/><Relationship Id="rId933" Type="http://schemas.openxmlformats.org/officeDocument/2006/relationships/hyperlink" Target="https://www.federalregister.gov/documents/2011/07/27/2011-19156/blocking-property-of-transnational-criminal-organizations" TargetMode="External"/><Relationship Id="rId1520" Type="http://schemas.openxmlformats.org/officeDocument/2006/relationships/hyperlink" Target="https://www.govinfo.gov/content/pkg/FR-2019-06-14/pdf/2019-12802.pdf" TargetMode="External"/><Relationship Id="rId1554" Type="http://schemas.openxmlformats.org/officeDocument/2006/relationships/hyperlink" Target="https://www.govinfo.gov/content/pkg/FR-2019-10-15/pdf/2019-22623.pdf" TargetMode="External"/><Relationship Id="rId1555" Type="http://schemas.openxmlformats.org/officeDocument/2006/relationships/hyperlink" Target="https://www.federalregister.gov/documents/2019/10/15/2019-22624/promoting-the-rule-of-law-through-transparency-and-fairness-in-civil-administrative-enforcement-and" TargetMode="External"/><Relationship Id="rId1556" Type="http://schemas.openxmlformats.org/officeDocument/2006/relationships/hyperlink" Target="https://www.govinfo.gov/content/pkg/FR-2019-10-15/pdf/2019-22624.pdf" TargetMode="External"/><Relationship Id="rId1557" Type="http://schemas.openxmlformats.org/officeDocument/2006/relationships/hyperlink" Target="https://www.federalregister.gov/documents/2019/10/16/2019-22749/increasing-government-accountability-for-administrative-actions-by-reinvigorating-administrative" TargetMode="External"/><Relationship Id="rId1558" Type="http://schemas.openxmlformats.org/officeDocument/2006/relationships/hyperlink" Target="https://www.govinfo.gov/content/pkg/FR-2019-10-16/pdf/2019-22749.pdf" TargetMode="External"/><Relationship Id="rId1559" Type="http://schemas.openxmlformats.org/officeDocument/2006/relationships/hyperlink" Target="https://www.federalregister.gov/documents/2019/10/17/2019-22849/blocking-property-and-suspending-entry-of-certain-persons-contributing-to-the-situation-in-syria" TargetMode="External"/><Relationship Id="rId965" Type="http://schemas.openxmlformats.org/officeDocument/2006/relationships/hyperlink" Target="https://www.federalregister.gov/documents/2012/01/24/2012-1568/establishing-visa-and-foreign-visitor-processing-goals-and-the-task-force-on-travel-and" TargetMode="External"/><Relationship Id="rId964" Type="http://schemas.openxmlformats.org/officeDocument/2006/relationships/hyperlink" Target="https://www.govinfo.gov/content/pkg/FR-2011-12-27/pdf/2011-33335.pdf" TargetMode="External"/><Relationship Id="rId963" Type="http://schemas.openxmlformats.org/officeDocument/2006/relationships/hyperlink" Target="https://www.federalregister.gov/documents/2011/12/27/2011-33335/amendments-to-executive-orders-12131-and-13539" TargetMode="External"/><Relationship Id="rId962" Type="http://schemas.openxmlformats.org/officeDocument/2006/relationships/hyperlink" Target="https://www.govinfo.gov/content/pkg/FR-2011-12-23/pdf/2011-33089.pdf" TargetMode="External"/><Relationship Id="rId969" Type="http://schemas.openxmlformats.org/officeDocument/2006/relationships/hyperlink" Target="https://www.federalregister.gov/documents/2012/02/08/2012-3097/blocking-property-of-the-government-of-iran-and-iranian-financial-institutions" TargetMode="External"/><Relationship Id="rId968" Type="http://schemas.openxmlformats.org/officeDocument/2006/relationships/hyperlink" Target="https://www.govinfo.gov/content/pkg/FR-2012-02-02/pdf/2012-2557.pdf" TargetMode="External"/><Relationship Id="rId967" Type="http://schemas.openxmlformats.org/officeDocument/2006/relationships/hyperlink" Target="https://www.federalregister.gov/documents/2012/02/02/2012-2557/assignment-of-functions-relating-to-certain-promotion-and-appointment-actions-in-the-armed-forces" TargetMode="External"/><Relationship Id="rId966" Type="http://schemas.openxmlformats.org/officeDocument/2006/relationships/hyperlink" Target="https://www.govinfo.gov/content/pkg/FR-2012-01-24/pdf/2012-1568.pdf" TargetMode="External"/><Relationship Id="rId961" Type="http://schemas.openxmlformats.org/officeDocument/2006/relationships/hyperlink" Target="https://www.federalregister.gov/documents/2011/12/23/2011-33089/instituting-a-national-action-plan-on-women-peace-and-security" TargetMode="External"/><Relationship Id="rId1550" Type="http://schemas.openxmlformats.org/officeDocument/2006/relationships/hyperlink" Target="https://www.govinfo.gov/content/pkg/FR-2019-10-02/pdf/2019-21630.pdf" TargetMode="External"/><Relationship Id="rId960" Type="http://schemas.openxmlformats.org/officeDocument/2006/relationships/hyperlink" Target="https://www.govinfo.gov/content/pkg/FR-2011-12-23/pdf/2011-33087.pdf" TargetMode="External"/><Relationship Id="rId1551" Type="http://schemas.openxmlformats.org/officeDocument/2006/relationships/hyperlink" Target="https://www.federalregister.gov/documents/2019/10/08/2019-22073/protecting-and-improving-medicare-for-our-nations-seniors" TargetMode="External"/><Relationship Id="rId1552" Type="http://schemas.openxmlformats.org/officeDocument/2006/relationships/hyperlink" Target="https://www.govinfo.gov/content/pkg/FR-2019-10-08/pdf/2019-22073.pdf" TargetMode="External"/><Relationship Id="rId1553" Type="http://schemas.openxmlformats.org/officeDocument/2006/relationships/hyperlink" Target="https://www.federalregister.gov/documents/2019/10/15/2019-22623/promoting-the-rule-of-law-through-improved-agency-guidance-documents" TargetMode="External"/><Relationship Id="rId1543" Type="http://schemas.openxmlformats.org/officeDocument/2006/relationships/hyperlink" Target="https://www.federalregister.gov/documents/2019/09/12/2019-19895/modernizing-sanctions-to-combat-terrorism" TargetMode="External"/><Relationship Id="rId1544" Type="http://schemas.openxmlformats.org/officeDocument/2006/relationships/hyperlink" Target="https://www.govinfo.gov/content/pkg/FR-2019-09-12/pdf/2019-19895.pdf" TargetMode="External"/><Relationship Id="rId1545" Type="http://schemas.openxmlformats.org/officeDocument/2006/relationships/hyperlink" Target="https://www.federalregister.gov/documents/2019/09/24/2019-20804/modernizing-influenza-vaccines-in-the-united-states-to-promote-national-security-and-public-health" TargetMode="External"/><Relationship Id="rId1546" Type="http://schemas.openxmlformats.org/officeDocument/2006/relationships/hyperlink" Target="https://www.govinfo.gov/content/pkg/FR-2019-09-24/pdf/2019-20804.pdf" TargetMode="External"/><Relationship Id="rId1547" Type="http://schemas.openxmlformats.org/officeDocument/2006/relationships/hyperlink" Target="https://www.federalregister.gov/documents/2019/10/01/2019-21505/enhancing-state-and-local-involvement-in-refugee-resettlement" TargetMode="External"/><Relationship Id="rId1548" Type="http://schemas.openxmlformats.org/officeDocument/2006/relationships/hyperlink" Target="https://www.govinfo.gov/content/pkg/FR-2019-10-01/pdf/2019-21505.pdf" TargetMode="External"/><Relationship Id="rId1549" Type="http://schemas.openxmlformats.org/officeDocument/2006/relationships/hyperlink" Target="https://www.federalregister.gov/documents/2019/10/02/2019-21630/continuance-of-certain-federal-advisory-committees" TargetMode="External"/><Relationship Id="rId959" Type="http://schemas.openxmlformats.org/officeDocument/2006/relationships/hyperlink" Target="https://www.federalregister.gov/documents/2011/12/23/2011-33087/adjustments-of-certain-rates-of-pay" TargetMode="External"/><Relationship Id="rId954" Type="http://schemas.openxmlformats.org/officeDocument/2006/relationships/hyperlink" Target="https://www.govinfo.gov/content/pkg/FR-2011-11-30/pdf/2011-30990.pdf" TargetMode="External"/><Relationship Id="rId953" Type="http://schemas.openxmlformats.org/officeDocument/2006/relationships/hyperlink" Target="https://www.federalregister.gov/documents/2011/11/30/2011-30990/continuance-of-certain-federal-advisory-committees" TargetMode="External"/><Relationship Id="rId952" Type="http://schemas.openxmlformats.org/officeDocument/2006/relationships/hyperlink" Target="https://www.govinfo.gov/content/pkg/FR-2011-11-23/pdf/2011-30463.pdf" TargetMode="External"/><Relationship Id="rId951" Type="http://schemas.openxmlformats.org/officeDocument/2006/relationships/hyperlink" Target="https://www.federalregister.gov/documents/2011/11/23/2011-30463/authorizing-the-imposition-of-certain-sanctions-with-respect-to-the-provision-of-goods-services" TargetMode="External"/><Relationship Id="rId958" Type="http://schemas.openxmlformats.org/officeDocument/2006/relationships/hyperlink" Target="https://www.govinfo.gov/content/pkg/FR-2011-12-16/pdf/2011-32486.pdf" TargetMode="External"/><Relationship Id="rId957" Type="http://schemas.openxmlformats.org/officeDocument/2006/relationships/hyperlink" Target="https://www.federalregister.gov/documents/2011/12/16/2011-32486/2011-amendments-to-the-manual-for-courts-martial-united-states" TargetMode="External"/><Relationship Id="rId956" Type="http://schemas.openxmlformats.org/officeDocument/2006/relationships/hyperlink" Target="https://www.govinfo.gov/content/pkg/FR-2011-12-08/pdf/2011-31624.pdf" TargetMode="External"/><Relationship Id="rId955" Type="http://schemas.openxmlformats.org/officeDocument/2006/relationships/hyperlink" Target="https://www.federalregister.gov/documents/2011/12/08/2011-31624/improving-american-indian-and-alaska-native-educational-opportunities-and-strengthening-tribal" TargetMode="External"/><Relationship Id="rId950" Type="http://schemas.openxmlformats.org/officeDocument/2006/relationships/hyperlink" Target="https://www.govinfo.gov/content/pkg/FR-2011-11-15/pdf/2011-29683.pdf" TargetMode="External"/><Relationship Id="rId1540" Type="http://schemas.openxmlformats.org/officeDocument/2006/relationships/hyperlink" Target="https://www.govinfo.gov/content/pkg/FR-2019-08-07/pdf/2019-17052.pdf" TargetMode="External"/><Relationship Id="rId1541" Type="http://schemas.openxmlformats.org/officeDocument/2006/relationships/hyperlink" Target="https://www.federalregister.gov/documents/2019/09/05/2019-19367/establishing-the-national-quantum-initiative-advisory-committee" TargetMode="External"/><Relationship Id="rId1542" Type="http://schemas.openxmlformats.org/officeDocument/2006/relationships/hyperlink" Target="https://www.govinfo.gov/content/pkg/FR-2019-09-05/pdf/2019-19367.pdf" TargetMode="External"/><Relationship Id="rId590" Type="http://schemas.openxmlformats.org/officeDocument/2006/relationships/hyperlink" Target="https://www.govinfo.gov/content/pkg/FR-2006-08-28/pdf/06-7220.pdf" TargetMode="External"/><Relationship Id="rId107" Type="http://schemas.openxmlformats.org/officeDocument/2006/relationships/hyperlink" Target="https://www.federalregister.gov/documents/2000/10/12/00-26397/assistance-to-small-business-exporters-and-dislocated" TargetMode="External"/><Relationship Id="rId106" Type="http://schemas.openxmlformats.org/officeDocument/2006/relationships/hyperlink" Target="https://www.govinfo.gov/content/pkg/FR-2000-09-27/pdf/00-24978.pdf" TargetMode="External"/><Relationship Id="rId105" Type="http://schemas.openxmlformats.org/officeDocument/2006/relationships/hyperlink" Target="https://www.federalregister.gov/documents/2000/09/27/00-24978/presidents-commission-on-improving-economic-opportunity-in-communities-dependent-on-tobacco" TargetMode="External"/><Relationship Id="rId589" Type="http://schemas.openxmlformats.org/officeDocument/2006/relationships/hyperlink" Target="https://www.federalregister.gov/documents/2006/08/28/06-7220/promoting-quality-and-efficient-health-care-in-federal-government-administered-or-sponsored-health" TargetMode="External"/><Relationship Id="rId104" Type="http://schemas.openxmlformats.org/officeDocument/2006/relationships/hyperlink" Target="https://www.govinfo.gov/content/pkg/FR-2000-09-20/pdf/00-24364.pdf" TargetMode="External"/><Relationship Id="rId588" Type="http://schemas.openxmlformats.org/officeDocument/2006/relationships/hyperlink" Target="https://www.govinfo.gov/content/pkg/FR-2006-07-07/pdf/06-6101.pdf" TargetMode="External"/><Relationship Id="rId109" Type="http://schemas.openxmlformats.org/officeDocument/2006/relationships/hyperlink" Target="https://www.federalregister.gov/documents/2000/10/12/00-26446/increasing-opportunities-and-access-for-disadvantaged-businesses" TargetMode="External"/><Relationship Id="rId1170" Type="http://schemas.openxmlformats.org/officeDocument/2006/relationships/hyperlink" Target="https://www.govinfo.gov/content/pkg/FR-2015-07-01/pdf/2015-16334.pdf" TargetMode="External"/><Relationship Id="rId108" Type="http://schemas.openxmlformats.org/officeDocument/2006/relationships/hyperlink" Target="https://www.govinfo.gov/content/pkg/FR-2000-10-12/pdf/00-26397.pdf" TargetMode="External"/><Relationship Id="rId1171" Type="http://schemas.openxmlformats.org/officeDocument/2006/relationships/hyperlink" Target="https://www.federalregister.gov/documents/2015/07/20/2015-17926/establishing-an-emergency-board-to-investigate-disputes-between-new-jersey-transit-rail-and-certain" TargetMode="External"/><Relationship Id="rId583" Type="http://schemas.openxmlformats.org/officeDocument/2006/relationships/hyperlink" Target="https://www.federalregister.gov/documents/2006/06/28/06-5829/public-alert-and-warning-system" TargetMode="External"/><Relationship Id="rId1172" Type="http://schemas.openxmlformats.org/officeDocument/2006/relationships/hyperlink" Target="https://www.govinfo.gov/content/pkg/FR-2015-07-20/pdf/2015-17926.pdf" TargetMode="External"/><Relationship Id="rId582" Type="http://schemas.openxmlformats.org/officeDocument/2006/relationships/hyperlink" Target="https://www.govinfo.gov/content/pkg/FR-2006-06-28/pdf/06-5828.pdf" TargetMode="External"/><Relationship Id="rId1173" Type="http://schemas.openxmlformats.org/officeDocument/2006/relationships/hyperlink" Target="https://www.federalregister.gov/documents/2015/07/23/2015-18292/delegation-of-certain-authorities-and-assignment-of-certain-functions-under-the-bipartisan" TargetMode="External"/><Relationship Id="rId581" Type="http://schemas.openxmlformats.org/officeDocument/2006/relationships/hyperlink" Target="https://www.federalregister.gov/documents/2006/06/28/06-5828/protecting-the-property-rights-of-the-american-people" TargetMode="External"/><Relationship Id="rId1174" Type="http://schemas.openxmlformats.org/officeDocument/2006/relationships/hyperlink" Target="https://www.govinfo.gov/content/pkg/FR-2015-07-23/pdf/2015-18292.pdf" TargetMode="External"/><Relationship Id="rId580" Type="http://schemas.openxmlformats.org/officeDocument/2006/relationships/hyperlink" Target="https://www.govinfo.gov/content/pkg/FR-2006-06-20/pdf/06-5592.pdf" TargetMode="External"/><Relationship Id="rId1175" Type="http://schemas.openxmlformats.org/officeDocument/2006/relationships/hyperlink" Target="https://www.federalregister.gov/documents/2015/08/03/2015-19183/creating-a-national-strategic-computing-initiative" TargetMode="External"/><Relationship Id="rId103" Type="http://schemas.openxmlformats.org/officeDocument/2006/relationships/hyperlink" Target="https://www.federalregister.gov/documents/2000/09/20/00-24364/amendment-to-executive-order-13147-increasing-the-membership-of-the-white-house-commission-on" TargetMode="External"/><Relationship Id="rId587" Type="http://schemas.openxmlformats.org/officeDocument/2006/relationships/hyperlink" Target="https://www.federalregister.gov/documents/2006/07/07/06-6101/establishing-an-emergency-board-to-investigate-a-dispute-between-southeastern-pennsylvania" TargetMode="External"/><Relationship Id="rId1176" Type="http://schemas.openxmlformats.org/officeDocument/2006/relationships/hyperlink" Target="https://www.govinfo.gov/content/pkg/FR-2015-08-03/pdf/2015-19183.pdf" TargetMode="External"/><Relationship Id="rId102" Type="http://schemas.openxmlformats.org/officeDocument/2006/relationships/hyperlink" Target="https://www.govinfo.gov/content/pkg/FR-2000-08-16/pdf/00-20938.pdf" TargetMode="External"/><Relationship Id="rId586" Type="http://schemas.openxmlformats.org/officeDocument/2006/relationships/hyperlink" Target="https://www.govinfo.gov/content/pkg/FR-2006-07-03/pdf/06-5984.pdf" TargetMode="External"/><Relationship Id="rId1177" Type="http://schemas.openxmlformats.org/officeDocument/2006/relationships/hyperlink" Target="https://www.federalregister.gov/documents/2015/08/04/2015-19209/implementing-the-national-hivaids-strategy-for-the-united-states-for-2015-2020" TargetMode="External"/><Relationship Id="rId101" Type="http://schemas.openxmlformats.org/officeDocument/2006/relationships/hyperlink" Target="https://www.federalregister.gov/documents/2000/08/16/00-20938/improving-access-to-services-for-persons-with-limited-english-proficiency" TargetMode="External"/><Relationship Id="rId585" Type="http://schemas.openxmlformats.org/officeDocument/2006/relationships/hyperlink" Target="https://www.federalregister.gov/documents/2006/07/03/06-5984/amending-executive-order-13381-as-amended-to-extend-its-duration-by-one-year" TargetMode="External"/><Relationship Id="rId1178" Type="http://schemas.openxmlformats.org/officeDocument/2006/relationships/hyperlink" Target="https://www.govinfo.gov/content/pkg/FR-2015-08-04/pdf/2015-19209.pdf" TargetMode="External"/><Relationship Id="rId100" Type="http://schemas.openxmlformats.org/officeDocument/2006/relationships/hyperlink" Target="https://www.govinfo.gov/content/pkg/FR-2000-08-14/pdf/00-20670.pdf" TargetMode="External"/><Relationship Id="rId584" Type="http://schemas.openxmlformats.org/officeDocument/2006/relationships/hyperlink" Target="https://www.govinfo.gov/content/pkg/FR-2006-06-28/pdf/06-5829.pdf" TargetMode="External"/><Relationship Id="rId1179" Type="http://schemas.openxmlformats.org/officeDocument/2006/relationships/hyperlink" Target="https://www.federalregister.gov/documents/2015/08/20/2015-20801/presidential-innovation-fellows-program" TargetMode="External"/><Relationship Id="rId1169" Type="http://schemas.openxmlformats.org/officeDocument/2006/relationships/hyperlink" Target="https://www.federalregister.gov/documents/2015/07/01/2015-16334/establishing-the-advisory-board-on-toxic-substances-and-worker-health" TargetMode="External"/><Relationship Id="rId579" Type="http://schemas.openxmlformats.org/officeDocument/2006/relationships/hyperlink" Target="https://www.federalregister.gov/documents/2006/06/20/06-5592/blocking-property-of-certain-persons-undermining-democratic-processes-or-institutions-in-belarus" TargetMode="External"/><Relationship Id="rId578" Type="http://schemas.openxmlformats.org/officeDocument/2006/relationships/hyperlink" Target="https://www.govinfo.gov/content/pkg/FR-2006-06-12/pdf/06-5351.pdf" TargetMode="External"/><Relationship Id="rId577" Type="http://schemas.openxmlformats.org/officeDocument/2006/relationships/hyperlink" Target="https://www.federalregister.gov/documents/2006/06/12/06-5351/task-force-on-new-americans" TargetMode="External"/><Relationship Id="rId1160" Type="http://schemas.openxmlformats.org/officeDocument/2006/relationships/hyperlink" Target="https://www.govinfo.gov/content/pkg/FR-2015-04-02/pdf/2015-07788.pdf" TargetMode="External"/><Relationship Id="rId572" Type="http://schemas.openxmlformats.org/officeDocument/2006/relationships/hyperlink" Target="https://www.govinfo.gov/content/pkg/FR-2006-05-01/pdf/06-4132.pdf" TargetMode="External"/><Relationship Id="rId1161" Type="http://schemas.openxmlformats.org/officeDocument/2006/relationships/hyperlink" Target="https://www.federalregister.gov/documents/2015/05/28/2015-13055/termination-of-emergency-with-respect-to-the-risk-of-nuclear-proliferation-created-by-the" TargetMode="External"/><Relationship Id="rId571" Type="http://schemas.openxmlformats.org/officeDocument/2006/relationships/hyperlink" Target="https://www.federalregister.gov/documents/2006/05/01/06-4132/responsibilities-of-federal-departments-and-agencies-with-respect-to-volunteer-community-service" TargetMode="External"/><Relationship Id="rId1162" Type="http://schemas.openxmlformats.org/officeDocument/2006/relationships/hyperlink" Target="https://www.govinfo.gov/content/pkg/FR-2015-05-28/pdf/2015-13055.pdf" TargetMode="External"/><Relationship Id="rId570" Type="http://schemas.openxmlformats.org/officeDocument/2006/relationships/hyperlink" Target="https://www.govinfo.gov/content/pkg/FR-2006-05-01/pdf/06-4121.pdf" TargetMode="External"/><Relationship Id="rId1163" Type="http://schemas.openxmlformats.org/officeDocument/2006/relationships/hyperlink" Target="https://www.federalregister.gov/documents/2015/06/22/2015-15495/2015-amendments-to-the-manual-for-courts-martial-united-states" TargetMode="External"/><Relationship Id="rId1164" Type="http://schemas.openxmlformats.org/officeDocument/2006/relationships/hyperlink" Target="https://www.govinfo.gov/content/pkg/FR-2015-06-22/pdf/2015-15495.pdf" TargetMode="External"/><Relationship Id="rId576" Type="http://schemas.openxmlformats.org/officeDocument/2006/relationships/hyperlink" Target="https://www.govinfo.gov/content/pkg/FR-2006-05-16/pdf/06-4652.pdf" TargetMode="External"/><Relationship Id="rId1165" Type="http://schemas.openxmlformats.org/officeDocument/2006/relationships/hyperlink" Target="https://www.federalregister.gov/documents/2015/06/25/2015-15828/amendment-to-executive-order-11155-awards-for-special-capability-in-career-and-technical-education" TargetMode="External"/><Relationship Id="rId575" Type="http://schemas.openxmlformats.org/officeDocument/2006/relationships/hyperlink" Target="https://www.federalregister.gov/documents/2006/05/16/06-4652/amendments-to-executive-orders-11030-13279-13339-13381-and-13389-and-revocation-of-executive-order" TargetMode="External"/><Relationship Id="rId1166" Type="http://schemas.openxmlformats.org/officeDocument/2006/relationships/hyperlink" Target="https://www.govinfo.gov/content/pkg/FR-2015-06-25/pdf/2015-15828.pdf" TargetMode="External"/><Relationship Id="rId574" Type="http://schemas.openxmlformats.org/officeDocument/2006/relationships/hyperlink" Target="https://www.govinfo.gov/content/pkg/FR-2006-05-15/pdf/06-4552.pdf" TargetMode="External"/><Relationship Id="rId1167" Type="http://schemas.openxmlformats.org/officeDocument/2006/relationships/hyperlink" Target="https://www.federalregister.gov/documents/2015/06/29/2015-16122/hostage-recovery-activities" TargetMode="External"/><Relationship Id="rId573" Type="http://schemas.openxmlformats.org/officeDocument/2006/relationships/hyperlink" Target="https://www.federalregister.gov/documents/2006/05/15/06-4552/strengthening-federal-efforts-to-protect-against-identity-theft" TargetMode="External"/><Relationship Id="rId1168" Type="http://schemas.openxmlformats.org/officeDocument/2006/relationships/hyperlink" Target="https://www.govinfo.gov/content/pkg/FR-2015-06-29/pdf/2015-16122.pdf" TargetMode="External"/><Relationship Id="rId129" Type="http://schemas.openxmlformats.org/officeDocument/2006/relationships/hyperlink" Target="https://www.federalregister.gov/documents/2000/12/11/00-31697/air-traffic-performance-based-organization" TargetMode="External"/><Relationship Id="rId128" Type="http://schemas.openxmlformats.org/officeDocument/2006/relationships/hyperlink" Target="https://www.govinfo.gov/content/pkg/FR-2000-12-11/pdf/00-31692.pdf" TargetMode="External"/><Relationship Id="rId127" Type="http://schemas.openxmlformats.org/officeDocument/2006/relationships/hyperlink" Target="https://www.federalregister.gov/documents/2000/12/11/00-31692/providing-compensation-to-americas-nuclear-weapons-workers" TargetMode="External"/><Relationship Id="rId126" Type="http://schemas.openxmlformats.org/officeDocument/2006/relationships/hyperlink" Target="https://www.govinfo.gov/content/pkg/FR-2000-12-07/pdf/00-31313.pdf" TargetMode="External"/><Relationship Id="rId1190" Type="http://schemas.openxmlformats.org/officeDocument/2006/relationships/hyperlink" Target="https://www.govinfo.gov/content/pkg/FR-2015-10-07/pdf/2015-25744.pdf" TargetMode="External"/><Relationship Id="rId1191" Type="http://schemas.openxmlformats.org/officeDocument/2006/relationships/hyperlink" Target="https://www.federalregister.gov/documents/2015/11/16/2015-29403/termination-of-emergency-with-respect-to-the-actions-and-policies-of-former-liberian-president" TargetMode="External"/><Relationship Id="rId1192" Type="http://schemas.openxmlformats.org/officeDocument/2006/relationships/hyperlink" Target="https://www.govinfo.gov/content/pkg/FR-2015-11-16/pdf/2015-29403.pdf" TargetMode="External"/><Relationship Id="rId1193" Type="http://schemas.openxmlformats.org/officeDocument/2006/relationships/hyperlink" Target="https://www.federalregister.gov/documents/2015/11/17/2015-29498/establishing-an-emergency-board-to-investigate-disputes-between-new-jersey-transit-rail-and-certain" TargetMode="External"/><Relationship Id="rId121" Type="http://schemas.openxmlformats.org/officeDocument/2006/relationships/hyperlink" Target="https://www.federalregister.gov/documents/2000/11/30/00-30690/facilitation-of-a-presidential-transition" TargetMode="External"/><Relationship Id="rId1194" Type="http://schemas.openxmlformats.org/officeDocument/2006/relationships/hyperlink" Target="https://www.govinfo.gov/content/pkg/FR-2015-11-17/pdf/2015-29498.pdf" TargetMode="External"/><Relationship Id="rId120" Type="http://schemas.openxmlformats.org/officeDocument/2006/relationships/hyperlink" Target="https://www.govinfo.gov/content/pkg/FR-2000-11-09/pdf/00-29003.pdf" TargetMode="External"/><Relationship Id="rId1195" Type="http://schemas.openxmlformats.org/officeDocument/2006/relationships/hyperlink" Target="https://www.federalregister.gov/documents/2015/11/25/2015-30191/blocking-property-of-certain-persons-contributing-to-the-situation-in-burundi" TargetMode="External"/><Relationship Id="rId1196" Type="http://schemas.openxmlformats.org/officeDocument/2006/relationships/hyperlink" Target="https://www.govinfo.gov/content/pkg/FR-2015-11-25/pdf/2015-30191.pdf" TargetMode="External"/><Relationship Id="rId1197" Type="http://schemas.openxmlformats.org/officeDocument/2006/relationships/hyperlink" Target="https://www.federalregister.gov/documents/2015/12/16/2015-31749/half-day-closing-of-executive-departments-and-agencies-of-the-federal-government-on-thursday" TargetMode="External"/><Relationship Id="rId125" Type="http://schemas.openxmlformats.org/officeDocument/2006/relationships/hyperlink" Target="https://www.federalregister.gov/documents/2000/12/07/00-31313/northwestern-hawaiian-islands-coral-reef-ecosystem-reserve" TargetMode="External"/><Relationship Id="rId1198" Type="http://schemas.openxmlformats.org/officeDocument/2006/relationships/hyperlink" Target="https://www.govinfo.gov/content/pkg/FR-2015-12-16/pdf/2015-31749.pdf" TargetMode="External"/><Relationship Id="rId124" Type="http://schemas.openxmlformats.org/officeDocument/2006/relationships/hyperlink" Target="https://www.govinfo.gov/content/pkg/FR-2000-12-06/pdf/00-31252.pdf" TargetMode="External"/><Relationship Id="rId1199" Type="http://schemas.openxmlformats.org/officeDocument/2006/relationships/hyperlink" Target="https://www.federalregister.gov/documents/2015/12/18/2015-32060/strengthening-the-senior-executive-service" TargetMode="External"/><Relationship Id="rId123" Type="http://schemas.openxmlformats.org/officeDocument/2006/relationships/hyperlink" Target="https://www.federalregister.gov/documents/2000/12/06/00-31252/national-commission-on-the-use-of-offsets-in-defense-trade-and-presidents-council-on-the-use-of" TargetMode="External"/><Relationship Id="rId122" Type="http://schemas.openxmlformats.org/officeDocument/2006/relationships/hyperlink" Target="https://www.govinfo.gov/content/pkg/FR-2000-11-30/pdf/00-30690.pdf" TargetMode="External"/><Relationship Id="rId118" Type="http://schemas.openxmlformats.org/officeDocument/2006/relationships/hyperlink" Target="https://www.govinfo.gov/content/pkg/FR-2000-11-02/pdf/00-28299.pdf" TargetMode="External"/><Relationship Id="rId117" Type="http://schemas.openxmlformats.org/officeDocument/2006/relationships/hyperlink" Target="https://www.federalregister.gov/documents/2000/11/02/00-28299/commission-on-workers-communities-and-economic-change-in-the-new-economy" TargetMode="External"/><Relationship Id="rId116" Type="http://schemas.openxmlformats.org/officeDocument/2006/relationships/hyperlink" Target="https://www.govinfo.gov/content/pkg/FR-2000-10-27/pdf/00-27893.pdf" TargetMode="External"/><Relationship Id="rId115" Type="http://schemas.openxmlformats.org/officeDocument/2006/relationships/hyperlink" Target="https://www.federalregister.gov/documents/2000/10/27/00-27893/interagency-task-force-on-the-economic-development-of-the-central-san-joaquin-valley" TargetMode="External"/><Relationship Id="rId599" Type="http://schemas.openxmlformats.org/officeDocument/2006/relationships/hyperlink" Target="https://www.federalregister.gov/documents/2006/12/05/06-9561/assignment-of-certain-pay-related-functions" TargetMode="External"/><Relationship Id="rId1180" Type="http://schemas.openxmlformats.org/officeDocument/2006/relationships/hyperlink" Target="https://www.govinfo.gov/content/pkg/FR-2015-08-20/pdf/2015-20801.pdf" TargetMode="External"/><Relationship Id="rId1181" Type="http://schemas.openxmlformats.org/officeDocument/2006/relationships/hyperlink" Target="https://www.federalregister.gov/documents/2015/09/09/2015-22888/designating-the-international-renewable-energy-agency-as-a-public-international-organization" TargetMode="External"/><Relationship Id="rId119" Type="http://schemas.openxmlformats.org/officeDocument/2006/relationships/hyperlink" Target="https://www.federalregister.gov/documents/2000/11/09/00-29003/consultation-and-coordination-with-indian-tribal-governments" TargetMode="External"/><Relationship Id="rId1182" Type="http://schemas.openxmlformats.org/officeDocument/2006/relationships/hyperlink" Target="https://www.govinfo.gov/content/pkg/FR-2015-09-09/pdf/2015-22888.pdf" TargetMode="External"/><Relationship Id="rId110" Type="http://schemas.openxmlformats.org/officeDocument/2006/relationships/hyperlink" Target="https://www.govinfo.gov/content/pkg/FR-2000-10-12/pdf/00-26446.pdf" TargetMode="External"/><Relationship Id="rId594" Type="http://schemas.openxmlformats.org/officeDocument/2006/relationships/hyperlink" Target="https://www.govinfo.gov/content/pkg/FR-2006-10-17/pdf/06-8769.pdf" TargetMode="External"/><Relationship Id="rId1183" Type="http://schemas.openxmlformats.org/officeDocument/2006/relationships/hyperlink" Target="https://www.federalregister.gov/documents/2015/09/10/2015-22998/establishing-paid-sick-leave-for-federal-contractors" TargetMode="External"/><Relationship Id="rId593" Type="http://schemas.openxmlformats.org/officeDocument/2006/relationships/hyperlink" Target="https://www.federalregister.gov/documents/2006/10/17/06-8769/blocking-property-of-and-prohibiting-transactions-with-the-government-of-sudan" TargetMode="External"/><Relationship Id="rId1184" Type="http://schemas.openxmlformats.org/officeDocument/2006/relationships/hyperlink" Target="https://www.govinfo.gov/content/pkg/FR-2015-09-10/pdf/2015-22998.pdf" TargetMode="External"/><Relationship Id="rId592" Type="http://schemas.openxmlformats.org/officeDocument/2006/relationships/hyperlink" Target="https://www.govinfo.gov/content/pkg/FR-2006-09-06/pdf/06-7492.pdf" TargetMode="External"/><Relationship Id="rId1185" Type="http://schemas.openxmlformats.org/officeDocument/2006/relationships/hyperlink" Target="https://www.federalregister.gov/documents/2015/09/18/2015-23630/using-behavioral-science-insights-to-better-serve-the-american-people" TargetMode="External"/><Relationship Id="rId591" Type="http://schemas.openxmlformats.org/officeDocument/2006/relationships/hyperlink" Target="https://www.federalregister.gov/documents/2006/09/06/06-7492/improving-assistance-for-disaster-victims" TargetMode="External"/><Relationship Id="rId1186" Type="http://schemas.openxmlformats.org/officeDocument/2006/relationships/hyperlink" Target="https://www.govinfo.gov/content/pkg/FR-2015-09-18/pdf/2015-23630.pdf" TargetMode="External"/><Relationship Id="rId114" Type="http://schemas.openxmlformats.org/officeDocument/2006/relationships/hyperlink" Target="https://www.govinfo.gov/content/pkg/FR-2000-10-27/pdf/00-27892.pdf" TargetMode="External"/><Relationship Id="rId598" Type="http://schemas.openxmlformats.org/officeDocument/2006/relationships/hyperlink" Target="https://www.govinfo.gov/content/pkg/FR-2006-11-08/pdf/06-9148.pdf" TargetMode="External"/><Relationship Id="rId1187" Type="http://schemas.openxmlformats.org/officeDocument/2006/relationships/hyperlink" Target="https://www.federalregister.gov/documents/2015/10/05/2015-25489/continuance-or-reestablishment-of-certain-federal-advisory-committees" TargetMode="External"/><Relationship Id="rId113" Type="http://schemas.openxmlformats.org/officeDocument/2006/relationships/hyperlink" Target="https://www.federalregister.gov/documents/2000/10/27/00-27892/amendment-to-executive-order-13078-to-expand-the-role-of-the-national-task-force-on-employment-of" TargetMode="External"/><Relationship Id="rId597" Type="http://schemas.openxmlformats.org/officeDocument/2006/relationships/hyperlink" Target="https://www.federalregister.gov/documents/2006/11/08/06-9148/amendment-to-executive-order-13402-strengthening-federal-efforts-to-protect-against-identity-theft" TargetMode="External"/><Relationship Id="rId1188" Type="http://schemas.openxmlformats.org/officeDocument/2006/relationships/hyperlink" Target="https://www.govinfo.gov/content/pkg/FR-2015-10-05/pdf/2015-25489.pdf" TargetMode="External"/><Relationship Id="rId112" Type="http://schemas.openxmlformats.org/officeDocument/2006/relationships/hyperlink" Target="https://www.govinfo.gov/content/pkg/FR-2000-10-16/pdf/00-26716.pdf" TargetMode="External"/><Relationship Id="rId596" Type="http://schemas.openxmlformats.org/officeDocument/2006/relationships/hyperlink" Target="https://www.govinfo.gov/content/pkg/FR-2006-10-31/pdf/06-9020.pdf" TargetMode="External"/><Relationship Id="rId1189" Type="http://schemas.openxmlformats.org/officeDocument/2006/relationships/hyperlink" Target="https://www.federalregister.gov/documents/2015/10/07/2015-25744/national-security-medal" TargetMode="External"/><Relationship Id="rId111" Type="http://schemas.openxmlformats.org/officeDocument/2006/relationships/hyperlink" Target="https://www.federalregister.gov/documents/2000/10/16/00-26716/hispanic-employment-in-the-federal-government" TargetMode="External"/><Relationship Id="rId595" Type="http://schemas.openxmlformats.org/officeDocument/2006/relationships/hyperlink" Target="https://www.federalregister.gov/documents/2006/10/31/06-9020/blocking-property-of-certain-persons-contributing-to-the-conflict-in-the-democratic-republic-of-the" TargetMode="External"/><Relationship Id="rId1136" Type="http://schemas.openxmlformats.org/officeDocument/2006/relationships/hyperlink" Target="https://www.govinfo.gov/content/pkg/FR-2014-12-10/pdf/2014-29121.pdf" TargetMode="External"/><Relationship Id="rId1137" Type="http://schemas.openxmlformats.org/officeDocument/2006/relationships/hyperlink" Target="https://www.federalregister.gov/documents/2014/12/16/2014-29625/amendments-to-executive-orders-11030-13653-and-13673" TargetMode="External"/><Relationship Id="rId1138" Type="http://schemas.openxmlformats.org/officeDocument/2006/relationships/hyperlink" Target="https://www.govinfo.gov/content/pkg/FR-2014-12-16/pdf/2014-29625.pdf" TargetMode="External"/><Relationship Id="rId1139" Type="http://schemas.openxmlformats.org/officeDocument/2006/relationships/hyperlink" Target="https://www.federalregister.gov/documents/2014/12/23/2014-30195/establishment-of-the-presidents-task-force-on-21st-century-policing" TargetMode="External"/><Relationship Id="rId547" Type="http://schemas.openxmlformats.org/officeDocument/2006/relationships/hyperlink" Target="https://www.federalregister.gov/documents/2005/11/04/05-22132/creation-of-the-gulf-coast-recovery-and-rebuilding-council" TargetMode="External"/><Relationship Id="rId546" Type="http://schemas.openxmlformats.org/officeDocument/2006/relationships/hyperlink" Target="https://www.govinfo.gov/content/pkg/FR-2005-10-27/pdf/05-21571.pdf" TargetMode="External"/><Relationship Id="rId545" Type="http://schemas.openxmlformats.org/officeDocument/2006/relationships/hyperlink" Target="https://www.federalregister.gov/documents/2005/10/27/05-21571/further-strengthening-the-sharing-of-terrorism-information-to-protect-americans" TargetMode="External"/><Relationship Id="rId544" Type="http://schemas.openxmlformats.org/officeDocument/2006/relationships/hyperlink" Target="https://www.govinfo.gov/content/pkg/FR-2005-10-18/pdf/05-20944.pdf" TargetMode="External"/><Relationship Id="rId549" Type="http://schemas.openxmlformats.org/officeDocument/2006/relationships/hyperlink" Target="https://www.federalregister.gov/documents/2005/11/04/05-22133/establishment-of-a-coordinator-of-federal-support-for-the-recovery-and-rebuilding-of-the-gulf-coast" TargetMode="External"/><Relationship Id="rId548" Type="http://schemas.openxmlformats.org/officeDocument/2006/relationships/hyperlink" Target="https://www.govinfo.gov/content/pkg/FR-2005-11-04/pdf/05-22132.pdf" TargetMode="External"/><Relationship Id="rId1130" Type="http://schemas.openxmlformats.org/officeDocument/2006/relationships/hyperlink" Target="https://www.govinfo.gov/content/pkg/FR-2014-10-17/pdf/2014-24851.pdf" TargetMode="External"/><Relationship Id="rId1131" Type="http://schemas.openxmlformats.org/officeDocument/2006/relationships/hyperlink" Target="https://www.federalregister.gov/documents/2014/10/23/2014-25292/ordering-the-selected-reserve-and-certain-individual-ready-reserve-members-of-the-armed-forces-to" TargetMode="External"/><Relationship Id="rId543" Type="http://schemas.openxmlformats.org/officeDocument/2006/relationships/hyperlink" Target="https://www.federalregister.gov/documents/2005/10/18/05-20944/2005-amendments-to-the-manual-for-courts-martial-united-states" TargetMode="External"/><Relationship Id="rId1132" Type="http://schemas.openxmlformats.org/officeDocument/2006/relationships/hyperlink" Target="https://www.govinfo.gov/content/pkg/FR-2014-10-23/pdf/2014-25292.pdf" TargetMode="External"/><Relationship Id="rId542" Type="http://schemas.openxmlformats.org/officeDocument/2006/relationships/hyperlink" Target="https://www.govinfo.gov/content/pkg/FR-2005-10-05/pdf/05-20156.pdf" TargetMode="External"/><Relationship Id="rId1133" Type="http://schemas.openxmlformats.org/officeDocument/2006/relationships/hyperlink" Target="https://www.federalregister.gov/documents/2014/10/23/2014-25439/improving-the-security-of-consumer-financial-transactions" TargetMode="External"/><Relationship Id="rId541" Type="http://schemas.openxmlformats.org/officeDocument/2006/relationships/hyperlink" Target="https://www.federalregister.gov/documents/2005/10/05/05-20156/further-amendment-to-executive-order-13369-relating-to-the-presidents-advisory-panel-on-federal-tax" TargetMode="External"/><Relationship Id="rId1134" Type="http://schemas.openxmlformats.org/officeDocument/2006/relationships/hyperlink" Target="https://www.govinfo.gov/content/pkg/FR-2014-10-23/pdf/2014-25439.pdf" TargetMode="External"/><Relationship Id="rId540" Type="http://schemas.openxmlformats.org/officeDocument/2006/relationships/hyperlink" Target="https://www.govinfo.gov/content/pkg/FR-2005-10-04/pdf/05-19993.pdf" TargetMode="External"/><Relationship Id="rId1135" Type="http://schemas.openxmlformats.org/officeDocument/2006/relationships/hyperlink" Target="https://www.federalregister.gov/documents/2014/12/10/2014-29121/closing-of-executive-departments-and-agencies-of-the-federal-government-on-friday-december-26-2014" TargetMode="External"/><Relationship Id="rId1125" Type="http://schemas.openxmlformats.org/officeDocument/2006/relationships/hyperlink" Target="https://www.federalregister.gov/documents/2014/09/26/2014-23228/climate-resilient-international-development" TargetMode="External"/><Relationship Id="rId1126" Type="http://schemas.openxmlformats.org/officeDocument/2006/relationships/hyperlink" Target="https://www.govinfo.gov/content/pkg/FR-2014-09-26/pdf/2014-23228.pdf" TargetMode="External"/><Relationship Id="rId1127" Type="http://schemas.openxmlformats.org/officeDocument/2006/relationships/hyperlink" Target="https://www.federalregister.gov/documents/2014/10/08/2014-24218/conversion-authority-for-criminal-investigators-special-agents-of-the-bureau-of-alcohol-tobacco" TargetMode="External"/><Relationship Id="rId1128" Type="http://schemas.openxmlformats.org/officeDocument/2006/relationships/hyperlink" Target="https://www.govinfo.gov/content/pkg/FR-2014-10-08/pdf/2014-24218.pdf" TargetMode="External"/><Relationship Id="rId1129" Type="http://schemas.openxmlformats.org/officeDocument/2006/relationships/hyperlink" Target="https://www.federalregister.gov/documents/2014/10/17/2014-24851/establishing-an-emergency-board-to-investigate-a-dispute-between-the-southeastern-pennsylvania" TargetMode="External"/><Relationship Id="rId536" Type="http://schemas.openxmlformats.org/officeDocument/2006/relationships/hyperlink" Target="https://www.govinfo.gov/content/pkg/FR-2005-07-20/pdf/05-14452.pdf" TargetMode="External"/><Relationship Id="rId535" Type="http://schemas.openxmlformats.org/officeDocument/2006/relationships/hyperlink" Target="https://www.federalregister.gov/documents/2005/07/20/05-14452/amending-executive-orders-12139-and-12949-in-light-of-establishment-of-the-office-of-director-of" TargetMode="External"/><Relationship Id="rId534" Type="http://schemas.openxmlformats.org/officeDocument/2006/relationships/hyperlink" Target="https://www.govinfo.gov/content/pkg/FR-2005-07-01/pdf/05-13214.pdf" TargetMode="External"/><Relationship Id="rId533" Type="http://schemas.openxmlformats.org/officeDocument/2006/relationships/hyperlink" Target="https://www.federalregister.gov/documents/2005/07/01/05-13214/blocking-property-of-weapons-of-mass-destruction-proliferators-and-their-supporters" TargetMode="External"/><Relationship Id="rId539" Type="http://schemas.openxmlformats.org/officeDocument/2006/relationships/hyperlink" Target="https://www.federalregister.gov/documents/2005/10/04/05-19993/continuance-of-certain-federal-advisory-committees-and-amendments-to-and-revocation-of-other" TargetMode="External"/><Relationship Id="rId538" Type="http://schemas.openxmlformats.org/officeDocument/2006/relationships/hyperlink" Target="https://www.govinfo.gov/content/pkg/FR-2005-07-29/pdf/05-15160.pdf" TargetMode="External"/><Relationship Id="rId537" Type="http://schemas.openxmlformats.org/officeDocument/2006/relationships/hyperlink" Target="https://www.federalregister.gov/documents/2005/07/29/05-15160/assignment-of-functions-relating-to-original-appointments-as-commissioned-officers-and-chief-warrant" TargetMode="External"/><Relationship Id="rId1120" Type="http://schemas.openxmlformats.org/officeDocument/2006/relationships/hyperlink" Target="https://www.govinfo.gov/content/pkg/FR-2014-08-06/pdf/2014-18682.pdf" TargetMode="External"/><Relationship Id="rId532" Type="http://schemas.openxmlformats.org/officeDocument/2006/relationships/hyperlink" Target="https://www.govinfo.gov/content/pkg/FR-2005-06-30/pdf/05-13098.pdf" TargetMode="External"/><Relationship Id="rId1121" Type="http://schemas.openxmlformats.org/officeDocument/2006/relationships/hyperlink" Target="https://www.federalregister.gov/documents/2014/08/08/2014-18998/establishing-the-presidents-advisory-council-on-doing-business-in-africa" TargetMode="External"/><Relationship Id="rId531" Type="http://schemas.openxmlformats.org/officeDocument/2006/relationships/hyperlink" Target="https://www.federalregister.gov/documents/2005/06/30/05-13098/strengthening-processes-relating-to-determining-eligibility-for-access-to-classified-national" TargetMode="External"/><Relationship Id="rId1122" Type="http://schemas.openxmlformats.org/officeDocument/2006/relationships/hyperlink" Target="https://www.govinfo.gov/content/pkg/FR-2014-08-08/pdf/2014-18998.pdf" TargetMode="External"/><Relationship Id="rId530" Type="http://schemas.openxmlformats.org/officeDocument/2006/relationships/hyperlink" Target="https://www.govinfo.gov/content/pkg/FR-2005-06-21/pdf/05-12354.pdf" TargetMode="External"/><Relationship Id="rId1123" Type="http://schemas.openxmlformats.org/officeDocument/2006/relationships/hyperlink" Target="https://www.federalregister.gov/documents/2014/09/23/2014-22805/combating-antibiotic-resistant-bacteria" TargetMode="External"/><Relationship Id="rId1124" Type="http://schemas.openxmlformats.org/officeDocument/2006/relationships/hyperlink" Target="https://www.govinfo.gov/content/pkg/FR-2014-09-23/pdf/2014-22805.pdf" TargetMode="External"/><Relationship Id="rId1158" Type="http://schemas.openxmlformats.org/officeDocument/2006/relationships/hyperlink" Target="https://www.govinfo.gov/content/pkg/FR-2015-03-25/pdf/2015-07016.pdf" TargetMode="External"/><Relationship Id="rId1159" Type="http://schemas.openxmlformats.org/officeDocument/2006/relationships/hyperlink" Target="https://www.federalregister.gov/documents/2015/04/02/2015-07788/blocking-the-property-of-certain-persons-engaging-in-significant-malicious-cyber-enabled-activities" TargetMode="External"/><Relationship Id="rId569" Type="http://schemas.openxmlformats.org/officeDocument/2006/relationships/hyperlink" Target="https://www.federalregister.gov/documents/2006/05/01/06-4121/blocking-property-of-persons-in-connection-with-the-conflict-in-sudans-darfur-region" TargetMode="External"/><Relationship Id="rId568" Type="http://schemas.openxmlformats.org/officeDocument/2006/relationships/hyperlink" Target="https://www.govinfo.gov/content/pkg/FR-2006-04-28/pdf/06-4085.pdf" TargetMode="External"/><Relationship Id="rId567" Type="http://schemas.openxmlformats.org/officeDocument/2006/relationships/hyperlink" Target="https://www.federalregister.gov/documents/2006/04/28/06-4085/blocking-property-of-additional-persons-in-connection-with-the-national-emergency-with-respect-to" TargetMode="External"/><Relationship Id="rId566" Type="http://schemas.openxmlformats.org/officeDocument/2006/relationships/hyperlink" Target="https://www.govinfo.gov/content/pkg/FR-2006-04-21/pdf/06-3865.pdf" TargetMode="External"/><Relationship Id="rId561" Type="http://schemas.openxmlformats.org/officeDocument/2006/relationships/hyperlink" Target="https://www.federalregister.gov/documents/2006/02/10/06-1316/blocking-property-of-certain-persons-contributing-to-the-conflict-in-cte-divoire" TargetMode="External"/><Relationship Id="rId1150" Type="http://schemas.openxmlformats.org/officeDocument/2006/relationships/hyperlink" Target="https://www.govinfo.gov/content/pkg/FR-2015-01-26/pdf/2015-01522.pdf" TargetMode="External"/><Relationship Id="rId560" Type="http://schemas.openxmlformats.org/officeDocument/2006/relationships/hyperlink" Target="https://www.govinfo.gov/content/pkg/FR-2006-01-19/pdf/06-554.pdf" TargetMode="External"/><Relationship Id="rId1151" Type="http://schemas.openxmlformats.org/officeDocument/2006/relationships/hyperlink" Target="https://www.federalregister.gov/documents/2015/02/04/2015-02379/establishing-a-federal-flood-risk-management-standard-and-a-process-for-further-soliciting-and" TargetMode="External"/><Relationship Id="rId1152" Type="http://schemas.openxmlformats.org/officeDocument/2006/relationships/hyperlink" Target="https://www.govinfo.gov/content/pkg/FR-2015-02-04/pdf/2015-02379.pdf" TargetMode="External"/><Relationship Id="rId1153" Type="http://schemas.openxmlformats.org/officeDocument/2006/relationships/hyperlink" Target="https://www.federalregister.gov/documents/2015/02/20/2015-03714/promoting-private-sector-cybersecurity-information-sharing" TargetMode="External"/><Relationship Id="rId2000" Type="http://schemas.openxmlformats.org/officeDocument/2006/relationships/hyperlink" Target="https://www.govinfo.gov/content/pkg/FR-2023-12-26/pdf/2023-28662.pdf" TargetMode="External"/><Relationship Id="rId565" Type="http://schemas.openxmlformats.org/officeDocument/2006/relationships/hyperlink" Target="https://www.federalregister.gov/documents/2006/04/21/06-3865/national-mathematics-advisory-panel" TargetMode="External"/><Relationship Id="rId1154" Type="http://schemas.openxmlformats.org/officeDocument/2006/relationships/hyperlink" Target="https://www.govinfo.gov/content/pkg/FR-2015-02-20/pdf/2015-03714.pdf" TargetMode="External"/><Relationship Id="rId2001" Type="http://schemas.openxmlformats.org/officeDocument/2006/relationships/drawing" Target="../drawings/drawing31.xml"/><Relationship Id="rId564" Type="http://schemas.openxmlformats.org/officeDocument/2006/relationships/hyperlink" Target="https://www.govinfo.gov/content/pkg/FR-2006-03-09/pdf/06-2362.pdf" TargetMode="External"/><Relationship Id="rId1155" Type="http://schemas.openxmlformats.org/officeDocument/2006/relationships/hyperlink" Target="https://www.federalregister.gov/documents/2015/03/11/2015-05677/blocking-property-and-suspending-entry-of-certain-persons-contributing-to-the-situation-in-venezuela" TargetMode="External"/><Relationship Id="rId563" Type="http://schemas.openxmlformats.org/officeDocument/2006/relationships/hyperlink" Target="https://www.federalregister.gov/documents/2006/03/09/06-2362/responsibilities-of-the-department-of-homeland-security-with-respect-to-faith-based-and-community" TargetMode="External"/><Relationship Id="rId1156" Type="http://schemas.openxmlformats.org/officeDocument/2006/relationships/hyperlink" Target="https://www.govinfo.gov/content/pkg/FR-2015-03-11/pdf/2015-05677.pdf" TargetMode="External"/><Relationship Id="rId562" Type="http://schemas.openxmlformats.org/officeDocument/2006/relationships/hyperlink" Target="https://www.govinfo.gov/content/pkg/FR-2006-02-10/pdf/06-1316.pdf" TargetMode="External"/><Relationship Id="rId1157" Type="http://schemas.openxmlformats.org/officeDocument/2006/relationships/hyperlink" Target="https://www.federalregister.gov/documents/2015/03/25/2015-07016/planning-for-federal-sustainability-in-the-next-decade" TargetMode="External"/><Relationship Id="rId1147" Type="http://schemas.openxmlformats.org/officeDocument/2006/relationships/hyperlink" Target="https://www.federalregister.gov/documents/2015/01/22/2015-01255/federal-support-for-local-law-enforcement-equipment-acquisition" TargetMode="External"/><Relationship Id="rId1148" Type="http://schemas.openxmlformats.org/officeDocument/2006/relationships/hyperlink" Target="https://www.govinfo.gov/content/pkg/FR-2015-01-22/pdf/2015-01255.pdf" TargetMode="External"/><Relationship Id="rId1149" Type="http://schemas.openxmlformats.org/officeDocument/2006/relationships/hyperlink" Target="https://www.federalregister.gov/documents/2015/01/26/2015-01522/enhancing-coordination-of-national-efforts-in-the-arctic" TargetMode="External"/><Relationship Id="rId558" Type="http://schemas.openxmlformats.org/officeDocument/2006/relationships/hyperlink" Target="https://www.govinfo.gov/content/pkg/FR-2005-12-27/pdf/05-24597.pdf" TargetMode="External"/><Relationship Id="rId557" Type="http://schemas.openxmlformats.org/officeDocument/2006/relationships/hyperlink" Target="https://www.federalregister.gov/documents/2005/12/27/05-24597/providing-an-order-of-succession-within-the-department-of-defense" TargetMode="External"/><Relationship Id="rId556" Type="http://schemas.openxmlformats.org/officeDocument/2006/relationships/hyperlink" Target="https://www.govinfo.gov/content/pkg/FR-2005-12-27/pdf/05-24596.pdf" TargetMode="External"/><Relationship Id="rId555" Type="http://schemas.openxmlformats.org/officeDocument/2006/relationships/hyperlink" Target="https://www.federalregister.gov/documents/2005/12/27/05-24596/adjustments-of-certain-rates-of-pay" TargetMode="External"/><Relationship Id="rId559" Type="http://schemas.openxmlformats.org/officeDocument/2006/relationships/hyperlink" Target="https://www.federalregister.gov/documents/2006/01/19/06-554/designating-the-global-fund-to-fight-aids-tuberculosis-and-malaria-as-a-public-international" TargetMode="External"/><Relationship Id="rId550" Type="http://schemas.openxmlformats.org/officeDocument/2006/relationships/hyperlink" Target="https://www.govinfo.gov/content/pkg/FR-2005-11-04/pdf/05-22133.pdf" TargetMode="External"/><Relationship Id="rId1140" Type="http://schemas.openxmlformats.org/officeDocument/2006/relationships/hyperlink" Target="https://www.govinfo.gov/content/pkg/FR-2014-12-23/pdf/2014-30195.pdf" TargetMode="External"/><Relationship Id="rId1141" Type="http://schemas.openxmlformats.org/officeDocument/2006/relationships/hyperlink" Target="https://www.federalregister.gov/documents/2014/12/24/2014-30323/blocking-property-of-certain-persons-and-prohibiting-certain-transactions-with-respect-to-the-crimea" TargetMode="External"/><Relationship Id="rId1142" Type="http://schemas.openxmlformats.org/officeDocument/2006/relationships/hyperlink" Target="https://www.govinfo.gov/content/pkg/FR-2014-12-24/pdf/2014-30323.pdf" TargetMode="External"/><Relationship Id="rId554" Type="http://schemas.openxmlformats.org/officeDocument/2006/relationships/hyperlink" Target="https://www.govinfo.gov/content/pkg/FR-2005-12-19/pdf/05-24255.pdf" TargetMode="External"/><Relationship Id="rId1143" Type="http://schemas.openxmlformats.org/officeDocument/2006/relationships/hyperlink" Target="https://www.federalregister.gov/documents/2014/12/24/2014-30363/adjustments-of-certain-rates-of-pay" TargetMode="External"/><Relationship Id="rId553" Type="http://schemas.openxmlformats.org/officeDocument/2006/relationships/hyperlink" Target="https://www.federalregister.gov/documents/2005/12/19/05-24255/improving-agency-disclosure-of-information" TargetMode="External"/><Relationship Id="rId1144" Type="http://schemas.openxmlformats.org/officeDocument/2006/relationships/hyperlink" Target="https://www.govinfo.gov/content/pkg/FR-2014-12-24/pdf/2014-30363.pdf" TargetMode="External"/><Relationship Id="rId552" Type="http://schemas.openxmlformats.org/officeDocument/2006/relationships/hyperlink" Target="https://www.govinfo.gov/content/pkg/FR-2005-11-25/pdf/05-23412.pdf" TargetMode="External"/><Relationship Id="rId1145" Type="http://schemas.openxmlformats.org/officeDocument/2006/relationships/hyperlink" Target="https://www.federalregister.gov/documents/2015/01/06/2015-00058/imposing-additional-sanctions-with-respect-to-north-korea" TargetMode="External"/><Relationship Id="rId551" Type="http://schemas.openxmlformats.org/officeDocument/2006/relationships/hyperlink" Target="https://www.federalregister.gov/documents/2005/11/25/05-23412/blocking-property-of-additional-persons-undermining-democratic-processes-or-institutions-in-zimbabwe" TargetMode="External"/><Relationship Id="rId1146" Type="http://schemas.openxmlformats.org/officeDocument/2006/relationships/hyperlink" Target="https://www.govinfo.gov/content/pkg/FR-2015-01-06/pdf/2015-00058.pdf" TargetMode="External"/><Relationship Id="rId495" Type="http://schemas.openxmlformats.org/officeDocument/2006/relationships/hyperlink" Target="https://www.federalregister.gov/documents/2004/12/02/04-26685/establishing-the-afghanistan-and-iraq-campaign-medals" TargetMode="External"/><Relationship Id="rId494" Type="http://schemas.openxmlformats.org/officeDocument/2006/relationships/hyperlink" Target="https://www.govinfo.gov/content/pkg/FR-2004-12-02/pdf/04-26684.pdf" TargetMode="External"/><Relationship Id="rId493" Type="http://schemas.openxmlformats.org/officeDocument/2006/relationships/hyperlink" Target="https://www.federalregister.gov/documents/2004/12/02/04-26684/designation-of-additional-officers-for-the-department-of-homeland-security-order-of-succession" TargetMode="External"/><Relationship Id="rId492" Type="http://schemas.openxmlformats.org/officeDocument/2006/relationships/hyperlink" Target="https://www.govinfo.gov/content/pkg/FR-2004-11-19/pdf/04-25866.pdf" TargetMode="External"/><Relationship Id="rId499" Type="http://schemas.openxmlformats.org/officeDocument/2006/relationships/hyperlink" Target="https://www.federalregister.gov/documents/2004/12/08/04-27076/2004-amendments-to-the-manual-for-courts-martial-united-states" TargetMode="External"/><Relationship Id="rId498" Type="http://schemas.openxmlformats.org/officeDocument/2006/relationships/hyperlink" Target="https://www.govinfo.gov/content/pkg/FR-2004-12-02/pdf/04-26686.pdf" TargetMode="External"/><Relationship Id="rId497" Type="http://schemas.openxmlformats.org/officeDocument/2006/relationships/hyperlink" Target="https://www.federalregister.gov/documents/2004/12/02/04-26686/modifying-the-protection-granted-to-the-development-fund-for-iraq-and-certain-property-in-which-iraq" TargetMode="External"/><Relationship Id="rId496" Type="http://schemas.openxmlformats.org/officeDocument/2006/relationships/hyperlink" Target="https://www.govinfo.gov/content/pkg/FR-2004-12-02/pdf/04-26685.pdf" TargetMode="External"/><Relationship Id="rId1610" Type="http://schemas.openxmlformats.org/officeDocument/2006/relationships/hyperlink" Target="https://www.govinfo.gov/content/pkg/FR-2020-05-04/pdf/2020-09645.pdf" TargetMode="External"/><Relationship Id="rId1611" Type="http://schemas.openxmlformats.org/officeDocument/2006/relationships/hyperlink" Target="https://www.federalregister.gov/documents/2020/05/04/2020-09695/securing-the-united-states-bulk-power-system" TargetMode="External"/><Relationship Id="rId1612" Type="http://schemas.openxmlformats.org/officeDocument/2006/relationships/hyperlink" Target="https://www.govinfo.gov/content/pkg/FR-2020-05-04/pdf/2020-09695.pdf" TargetMode="External"/><Relationship Id="rId1613" Type="http://schemas.openxmlformats.org/officeDocument/2006/relationships/hyperlink" Target="https://www.federalregister.gov/documents/2020/05/12/2020-10315/promoting-american-seafood-competitiveness-and-economic-growth" TargetMode="External"/><Relationship Id="rId1614" Type="http://schemas.openxmlformats.org/officeDocument/2006/relationships/hyperlink" Target="https://www.govinfo.gov/content/pkg/FR-2020-05-12/pdf/2020-10315.pdf" TargetMode="External"/><Relationship Id="rId1615" Type="http://schemas.openxmlformats.org/officeDocument/2006/relationships/hyperlink" Target="https://www.federalregister.gov/documents/2020/05/19/2020-10953/delegating-authority-under-the-defense-production-act-to-the-chief-executive-officer-of-the-united" TargetMode="External"/><Relationship Id="rId1616" Type="http://schemas.openxmlformats.org/officeDocument/2006/relationships/hyperlink" Target="https://www.govinfo.gov/content/pkg/FR-2020-05-19/pdf/2020-10953.pdf" TargetMode="External"/><Relationship Id="rId907" Type="http://schemas.openxmlformats.org/officeDocument/2006/relationships/hyperlink" Target="https://www.federalregister.gov/documents/2011/03/11/2011-5903/extending-provisions-of-the-international-organizations-immunities-act-to-the-office-of-the-high" TargetMode="External"/><Relationship Id="rId1617" Type="http://schemas.openxmlformats.org/officeDocument/2006/relationships/hyperlink" Target="https://www.federalregister.gov/documents/2020/05/20/2020-10993/establishment-of-the-forced-labor-enforcement-task-force-under-section-741-of-the-united-states-" TargetMode="External"/><Relationship Id="rId906" Type="http://schemas.openxmlformats.org/officeDocument/2006/relationships/hyperlink" Target="https://www.govinfo.gov/content/pkg/FR-2011-03-10/pdf/2011-5728.pdf" TargetMode="External"/><Relationship Id="rId1618" Type="http://schemas.openxmlformats.org/officeDocument/2006/relationships/hyperlink" Target="https://www.govinfo.gov/content/pkg/FR-2020-05-20/pdf/2020-10993.pdf" TargetMode="External"/><Relationship Id="rId905" Type="http://schemas.openxmlformats.org/officeDocument/2006/relationships/hyperlink" Target="https://www.federalregister.gov/documents/2011/03/10/2011-5728/periodic-review-of-individuals-detained-at-guantnamo-bay-naval-station-pursuant-to-the-authorization" TargetMode="External"/><Relationship Id="rId1619" Type="http://schemas.openxmlformats.org/officeDocument/2006/relationships/hyperlink" Target="https://www.federalregister.gov/documents/2020/05/22/2020-11301/regulatory-relief-to-support-economic-recovery" TargetMode="External"/><Relationship Id="rId904" Type="http://schemas.openxmlformats.org/officeDocument/2006/relationships/hyperlink" Target="https://www.govinfo.gov/content/pkg/FR-2011-03-02/pdf/2011-4753.pdf" TargetMode="External"/><Relationship Id="rId909" Type="http://schemas.openxmlformats.org/officeDocument/2006/relationships/hyperlink" Target="https://www.federalregister.gov/documents/2011/04/08/2011-8642/amendments-to-executive-orders-12824-12835-12859-and-13532-reestablishment-pursuant-to-executive" TargetMode="External"/><Relationship Id="rId908" Type="http://schemas.openxmlformats.org/officeDocument/2006/relationships/hyperlink" Target="https://www.govinfo.gov/content/pkg/FR-2011-03-11/pdf/2011-5903.pdf" TargetMode="External"/><Relationship Id="rId903" Type="http://schemas.openxmlformats.org/officeDocument/2006/relationships/hyperlink" Target="https://www.federalregister.gov/documents/2011/03/02/2011-4753/blocking-property-and-prohibiting-certain-transactions-related-to-libya" TargetMode="External"/><Relationship Id="rId902" Type="http://schemas.openxmlformats.org/officeDocument/2006/relationships/hyperlink" Target="https://www.govinfo.gov/content/pkg/FR-2011-02-11/pdf/2011-3257.pdf" TargetMode="External"/><Relationship Id="rId901" Type="http://schemas.openxmlformats.org/officeDocument/2006/relationships/hyperlink" Target="https://www.federalregister.gov/documents/2011/02/11/2011-3257/establishment-of-the-intellectual-property-enforcement-advisory-committees" TargetMode="External"/><Relationship Id="rId900" Type="http://schemas.openxmlformats.org/officeDocument/2006/relationships/hyperlink" Target="https://www.govinfo.gov/content/pkg/FR-2011-02-03/pdf/2011-2577.pdf" TargetMode="External"/><Relationship Id="rId1600" Type="http://schemas.openxmlformats.org/officeDocument/2006/relationships/hyperlink" Target="https://www.govinfo.gov/content/pkg/FR-2020-04-10/pdf/2020-07800.pdf" TargetMode="External"/><Relationship Id="rId1601" Type="http://schemas.openxmlformats.org/officeDocument/2006/relationships/hyperlink" Target="https://www.federalregister.gov/documents/2020/04/17/2020-08392/providing-an-order-of-succession-within-the-department-of-the-interior" TargetMode="External"/><Relationship Id="rId1602" Type="http://schemas.openxmlformats.org/officeDocument/2006/relationships/hyperlink" Target="https://www.govinfo.gov/content/pkg/FR-2020-04-17/pdf/2020-08392.pdf" TargetMode="External"/><Relationship Id="rId1603" Type="http://schemas.openxmlformats.org/officeDocument/2006/relationships/hyperlink" Target="https://www.federalregister.gov/documents/2020/04/23/2020-08846/national-emergency-authority-to-temporarily-extend-deadlines-for-certain-estimated-payments" TargetMode="External"/><Relationship Id="rId1604" Type="http://schemas.openxmlformats.org/officeDocument/2006/relationships/hyperlink" Target="https://www.govinfo.gov/content/pkg/FR-2020-04-23/pdf/2020-08846.pdf" TargetMode="External"/><Relationship Id="rId1605" Type="http://schemas.openxmlformats.org/officeDocument/2006/relationships/hyperlink" Target="https://www.federalregister.gov/documents/2020/05/01/2020-09536/delegating-authority-under-the-defense-production-act-with-respect-to-food-supply-chain-resources" TargetMode="External"/><Relationship Id="rId1606" Type="http://schemas.openxmlformats.org/officeDocument/2006/relationships/hyperlink" Target="https://www.govinfo.gov/content/pkg/FR-2020-05-01/pdf/2020-09536.pdf" TargetMode="External"/><Relationship Id="rId1607" Type="http://schemas.openxmlformats.org/officeDocument/2006/relationships/hyperlink" Target="https://www.federalregister.gov/documents/2020/05/01/2020-09537/establishment-of-the-interagency-labor-committee-for-monitoring-and-enforcement-under-section-711-of" TargetMode="External"/><Relationship Id="rId1608" Type="http://schemas.openxmlformats.org/officeDocument/2006/relationships/hyperlink" Target="https://www.govinfo.gov/content/pkg/FR-2020-05-01/pdf/2020-09537.pdf" TargetMode="External"/><Relationship Id="rId1609" Type="http://schemas.openxmlformats.org/officeDocument/2006/relationships/hyperlink" Target="https://www.federalregister.gov/documents/2020/05/04/2020-09645/ordering-the-selected-reserve-of-the-armed-forces-to-active-duty" TargetMode="External"/><Relationship Id="rId1631" Type="http://schemas.openxmlformats.org/officeDocument/2006/relationships/hyperlink" Target="https://www.federalregister.gov/documents/2020/06/29/2020-14077/strengthening-the-child-welfare-system-for-americas-children" TargetMode="External"/><Relationship Id="rId1632" Type="http://schemas.openxmlformats.org/officeDocument/2006/relationships/hyperlink" Target="https://www.govinfo.gov/content/pkg/FR-2020-06-29/pdf/2020-14077.pdf" TargetMode="External"/><Relationship Id="rId1633" Type="http://schemas.openxmlformats.org/officeDocument/2006/relationships/hyperlink" Target="https://www.federalregister.gov/documents/2020/07/01/2020-14328/continuing-the-presidents-national-council-for-the-american-worker-and-the-american-workforce-policy" TargetMode="External"/><Relationship Id="rId1634" Type="http://schemas.openxmlformats.org/officeDocument/2006/relationships/hyperlink" Target="https://www.govinfo.gov/content/pkg/FR-2020-07-01/pdf/2020-14328.pdf" TargetMode="External"/><Relationship Id="rId1635" Type="http://schemas.openxmlformats.org/officeDocument/2006/relationships/hyperlink" Target="https://www.federalregister.gov/documents/2020/07/01/2020-14337/modernizing-and-reforming-the-assessment-and-hiring-of-federal-job-candidates" TargetMode="External"/><Relationship Id="rId1636" Type="http://schemas.openxmlformats.org/officeDocument/2006/relationships/hyperlink" Target="https://www.govinfo.gov/content/pkg/FR-2020-07-01/pdf/2020-14337.pdf" TargetMode="External"/><Relationship Id="rId1637" Type="http://schemas.openxmlformats.org/officeDocument/2006/relationships/hyperlink" Target="https://www.federalregister.gov/documents/2020/07/02/2020-14509/protecting-american-monuments-memorials-and-statues-and-combating-recent-criminal-violence" TargetMode="External"/><Relationship Id="rId1638" Type="http://schemas.openxmlformats.org/officeDocument/2006/relationships/hyperlink" Target="https://www.govinfo.gov/content/pkg/FR-2020-07-02/pdf/2020-14509.pdf" TargetMode="External"/><Relationship Id="rId929" Type="http://schemas.openxmlformats.org/officeDocument/2006/relationships/hyperlink" Target="https://www.federalregister.gov/documents/2011/07/14/2011-17953/regulation-and-independent-regulatory-agencies" TargetMode="External"/><Relationship Id="rId1639" Type="http://schemas.openxmlformats.org/officeDocument/2006/relationships/hyperlink" Target="https://www.federalregister.gov/documents/2020/07/08/2020-14872/building-and-rebuilding-monuments-to-american-heroes" TargetMode="External"/><Relationship Id="rId928" Type="http://schemas.openxmlformats.org/officeDocument/2006/relationships/hyperlink" Target="https://www.govinfo.gov/content/pkg/FR-2011-07-11/pdf/2011-17447.pdf" TargetMode="External"/><Relationship Id="rId927" Type="http://schemas.openxmlformats.org/officeDocument/2006/relationships/hyperlink" Target="https://www.federalregister.gov/documents/2011/07/11/2011-17447/coordinating-policies-on-automotive-communities-and-workers" TargetMode="External"/><Relationship Id="rId926" Type="http://schemas.openxmlformats.org/officeDocument/2006/relationships/hyperlink" Target="https://www.govinfo.gov/content/pkg/FR-2011-06-20/pdf/2011-15443.pdf" TargetMode="External"/><Relationship Id="rId921" Type="http://schemas.openxmlformats.org/officeDocument/2006/relationships/hyperlink" Target="https://www.federalregister.gov/documents/2011/06/14/2011-14919/establishment-of-the-white-house-rural-council" TargetMode="External"/><Relationship Id="rId920" Type="http://schemas.openxmlformats.org/officeDocument/2006/relationships/hyperlink" Target="https://www.govinfo.gov/content/pkg/FR-2011-05-25/pdf/2011-13173.pdf" TargetMode="External"/><Relationship Id="rId925" Type="http://schemas.openxmlformats.org/officeDocument/2006/relationships/hyperlink" Target="https://www.federalregister.gov/documents/2011/06/20/2011-15443/establishment-of-the-selectusa-initiative" TargetMode="External"/><Relationship Id="rId924" Type="http://schemas.openxmlformats.org/officeDocument/2006/relationships/hyperlink" Target="https://www.govinfo.gov/content/pkg/FR-2011-06-16/pdf/2011-15181.pdf" TargetMode="External"/><Relationship Id="rId923" Type="http://schemas.openxmlformats.org/officeDocument/2006/relationships/hyperlink" Target="https://www.federalregister.gov/documents/2011/06/16/2011-15181/delivering-an-efficient-effective-and-accountable-government" TargetMode="External"/><Relationship Id="rId922" Type="http://schemas.openxmlformats.org/officeDocument/2006/relationships/hyperlink" Target="https://www.govinfo.gov/content/pkg/FR-2011-06-14/pdf/2011-14919.pdf" TargetMode="External"/><Relationship Id="rId1630" Type="http://schemas.openxmlformats.org/officeDocument/2006/relationships/hyperlink" Target="https://www.govinfo.gov/content/pkg/FR-2020-06-19/pdf/2020-13449.pdf" TargetMode="External"/><Relationship Id="rId1620" Type="http://schemas.openxmlformats.org/officeDocument/2006/relationships/hyperlink" Target="https://www.govinfo.gov/content/pkg/FR-2020-05-22/pdf/2020-11301.pdf" TargetMode="External"/><Relationship Id="rId1621" Type="http://schemas.openxmlformats.org/officeDocument/2006/relationships/hyperlink" Target="https://www.federalregister.gov/documents/2020/06/02/2020-12030/preventing-online-censorship" TargetMode="External"/><Relationship Id="rId1622" Type="http://schemas.openxmlformats.org/officeDocument/2006/relationships/hyperlink" Target="https://www.govinfo.gov/content/pkg/FR-2020-06-02/pdf/2020-12030.pdf" TargetMode="External"/><Relationship Id="rId1623" Type="http://schemas.openxmlformats.org/officeDocument/2006/relationships/hyperlink" Target="https://www.federalregister.gov/documents/2020/06/05/2020-12430/advancing-international-religious-freedom" TargetMode="External"/><Relationship Id="rId1624" Type="http://schemas.openxmlformats.org/officeDocument/2006/relationships/hyperlink" Target="https://www.govinfo.gov/content/pkg/FR-2020-06-05/pdf/2020-12430.pdf" TargetMode="External"/><Relationship Id="rId1625" Type="http://schemas.openxmlformats.org/officeDocument/2006/relationships/hyperlink" Target="https://www.federalregister.gov/documents/2020/06/09/2020-12584/accelerating-the-nations-economic-recovery-from-the-covid-19-emergency-by-expediting-infrastructure" TargetMode="External"/><Relationship Id="rId1626" Type="http://schemas.openxmlformats.org/officeDocument/2006/relationships/hyperlink" Target="https://www.govinfo.gov/content/pkg/FR-2020-06-09/pdf/2020-12584.pdf" TargetMode="External"/><Relationship Id="rId1627" Type="http://schemas.openxmlformats.org/officeDocument/2006/relationships/hyperlink" Target="https://www.federalregister.gov/documents/2020/06/15/2020-12953/blocking-property-of-certain-persons-associated-with-the-international-criminal-court" TargetMode="External"/><Relationship Id="rId918" Type="http://schemas.openxmlformats.org/officeDocument/2006/relationships/hyperlink" Target="https://www.govinfo.gov/content/pkg/FR-2011-05-20/pdf/2011-12645.pdf" TargetMode="External"/><Relationship Id="rId1628" Type="http://schemas.openxmlformats.org/officeDocument/2006/relationships/hyperlink" Target="https://www.govinfo.gov/content/pkg/FR-2020-06-15/pdf/2020-12953.pdf" TargetMode="External"/><Relationship Id="rId917" Type="http://schemas.openxmlformats.org/officeDocument/2006/relationships/hyperlink" Target="https://www.federalregister.gov/documents/2011/05/20/2011-12645/blocking-property-of-senior-officials-of-the-government-of-syria" TargetMode="External"/><Relationship Id="rId1629" Type="http://schemas.openxmlformats.org/officeDocument/2006/relationships/hyperlink" Target="https://www.federalregister.gov/documents/2020/06/19/2020-13449/safe-policing-for-safe-communities" TargetMode="External"/><Relationship Id="rId916" Type="http://schemas.openxmlformats.org/officeDocument/2006/relationships/hyperlink" Target="https://www.govinfo.gov/content/pkg/FR-2011-05-03/pdf/2011-10910.pdf" TargetMode="External"/><Relationship Id="rId915" Type="http://schemas.openxmlformats.org/officeDocument/2006/relationships/hyperlink" Target="https://www.federalregister.gov/documents/2011/05/03/2011-10910/blocking-property-of-certain-persons-with-respect-to-human-rights-abuses-in-syria" TargetMode="External"/><Relationship Id="rId919" Type="http://schemas.openxmlformats.org/officeDocument/2006/relationships/hyperlink" Target="https://www.federalregister.gov/documents/2011/05/25/2011-13173/authorizing-the-implementation-of-certain-sanctions-set-forth-in-the-iran-sanctions-act-of-1996-as" TargetMode="External"/><Relationship Id="rId910" Type="http://schemas.openxmlformats.org/officeDocument/2006/relationships/hyperlink" Target="https://www.govinfo.gov/content/pkg/FR-2011-04-08/pdf/2011-8642.pdf" TargetMode="External"/><Relationship Id="rId914" Type="http://schemas.openxmlformats.org/officeDocument/2006/relationships/hyperlink" Target="https://www.govinfo.gov/content/pkg/FR-2011-05-02/pdf/2011-10732.pdf" TargetMode="External"/><Relationship Id="rId913" Type="http://schemas.openxmlformats.org/officeDocument/2006/relationships/hyperlink" Target="https://www.federalregister.gov/documents/2011/05/02/2011-10732/streamlining-service-delivery-and-improving-customer-service" TargetMode="External"/><Relationship Id="rId912" Type="http://schemas.openxmlformats.org/officeDocument/2006/relationships/hyperlink" Target="https://www.govinfo.gov/content/pkg/FR-2011-04-20/pdf/2011-9739.pdf" TargetMode="External"/><Relationship Id="rId911" Type="http://schemas.openxmlformats.org/officeDocument/2006/relationships/hyperlink" Target="https://www.federalregister.gov/documents/2011/04/20/2011-9739/prohibiting-certain-transactions-with-respect-to-north-korea" TargetMode="External"/><Relationship Id="rId1213" Type="http://schemas.openxmlformats.org/officeDocument/2006/relationships/hyperlink" Target="https://www.federalregister.gov/documents/2016/03/17/2016-06250/developing-an-integrated-global-engagement-center-to-support-government-wide-counterterrorism" TargetMode="External"/><Relationship Id="rId1697" Type="http://schemas.openxmlformats.org/officeDocument/2006/relationships/hyperlink" Target="https://www.federalregister.gov/documents/2020/12/15/2020-27739/providing-an-order-of-succession-within-the-department-of-defense" TargetMode="External"/><Relationship Id="rId1214" Type="http://schemas.openxmlformats.org/officeDocument/2006/relationships/hyperlink" Target="https://www.govinfo.gov/content/pkg/FR-2016-03-17/pdf/2016-06250.pdf" TargetMode="External"/><Relationship Id="rId1698" Type="http://schemas.openxmlformats.org/officeDocument/2006/relationships/hyperlink" Target="https://www.govinfo.gov/content/pkg/FR-2020-12-15/pdf/2020-27739.pdf" TargetMode="External"/><Relationship Id="rId1215" Type="http://schemas.openxmlformats.org/officeDocument/2006/relationships/hyperlink" Target="https://www.federalregister.gov/documents/2016/03/18/2016-06355/blocking-property-of-the-government-of-north-korea-and-the-workers-party-of-korea-and-prohibiting" TargetMode="External"/><Relationship Id="rId1699" Type="http://schemas.openxmlformats.org/officeDocument/2006/relationships/hyperlink" Target="https://www.federalregister.gov/documents/2020/12/15/2020-27740/rebranding-united-states-foreign-assistance-to-advance-american-influence" TargetMode="External"/><Relationship Id="rId1216" Type="http://schemas.openxmlformats.org/officeDocument/2006/relationships/hyperlink" Target="https://www.govinfo.gov/content/pkg/FR-2016-03-18/pdf/2016-06355.pdf" TargetMode="External"/><Relationship Id="rId1217" Type="http://schemas.openxmlformats.org/officeDocument/2006/relationships/hyperlink" Target="https://www.federalregister.gov/documents/2016/04/01/2016-07703/establishing-the-inherent-resolve-campaign-medal" TargetMode="External"/><Relationship Id="rId1218" Type="http://schemas.openxmlformats.org/officeDocument/2006/relationships/hyperlink" Target="https://www.govinfo.gov/content/pkg/FR-2016-04-01/pdf/2016-07703.pdf" TargetMode="External"/><Relationship Id="rId1219" Type="http://schemas.openxmlformats.org/officeDocument/2006/relationships/hyperlink" Target="https://www.federalregister.gov/documents/2016/04/13/2016-08713/amending-executive-order-12137" TargetMode="External"/><Relationship Id="rId866" Type="http://schemas.openxmlformats.org/officeDocument/2006/relationships/hyperlink" Target="https://www.govinfo.gov/content/pkg/FR-2010-07-22/pdf/2010-18169.pdf" TargetMode="External"/><Relationship Id="rId865" Type="http://schemas.openxmlformats.org/officeDocument/2006/relationships/hyperlink" Target="https://www.federalregister.gov/documents/2010/07/22/2010-18169/stewardship-of-the-ocean-our-coasts-and-the-great-lakes" TargetMode="External"/><Relationship Id="rId864" Type="http://schemas.openxmlformats.org/officeDocument/2006/relationships/hyperlink" Target="https://www.govinfo.gov/content/pkg/FR-2010-07-08/pdf/2010-16864.pdf" TargetMode="External"/><Relationship Id="rId863" Type="http://schemas.openxmlformats.org/officeDocument/2006/relationships/hyperlink" Target="https://www.federalregister.gov/documents/2010/07/08/2010-16864/optimizing-the-security-of-biological-select-agents-and-toxins-in-the-united-states" TargetMode="External"/><Relationship Id="rId869" Type="http://schemas.openxmlformats.org/officeDocument/2006/relationships/hyperlink" Target="https://www.federalregister.gov/documents/2010/08/23/2010-21016/classified-national-security-information-program-for-state-local-tribal-and-private-sector-entities" TargetMode="External"/><Relationship Id="rId868" Type="http://schemas.openxmlformats.org/officeDocument/2006/relationships/hyperlink" Target="https://www.govinfo.gov/content/pkg/FR-2010-07-30/pdf/2010-18988.pdf" TargetMode="External"/><Relationship Id="rId867" Type="http://schemas.openxmlformats.org/officeDocument/2006/relationships/hyperlink" Target="https://www.federalregister.gov/documents/2010/07/30/2010-18988/increasing-federal-employment-of-individuals-with-disabilities" TargetMode="External"/><Relationship Id="rId1690" Type="http://schemas.openxmlformats.org/officeDocument/2006/relationships/hyperlink" Target="https://www.govinfo.gov/content/pkg/FR-2020-11-17/pdf/2020-25459.pdf" TargetMode="External"/><Relationship Id="rId1691" Type="http://schemas.openxmlformats.org/officeDocument/2006/relationships/hyperlink" Target="https://www.federalregister.gov/documents/2020/12/08/2020-27065/promoting-the-use-of-trustworthy-artificial-intelligence-in-the-federal-government" TargetMode="External"/><Relationship Id="rId1692" Type="http://schemas.openxmlformats.org/officeDocument/2006/relationships/hyperlink" Target="https://www.govinfo.gov/content/pkg/FR-2020-12-08/pdf/2020-27065.pdf" TargetMode="External"/><Relationship Id="rId862" Type="http://schemas.openxmlformats.org/officeDocument/2006/relationships/hyperlink" Target="https://www.govinfo.gov/content/pkg/FR-2010-06-28/pdf/2010-15851.pdf" TargetMode="External"/><Relationship Id="rId1693" Type="http://schemas.openxmlformats.org/officeDocument/2006/relationships/hyperlink" Target="https://www.federalregister.gov/documents/2020/12/10/2020-27353/governance-and-integration-of-federal-mission-resilience" TargetMode="External"/><Relationship Id="rId861" Type="http://schemas.openxmlformats.org/officeDocument/2006/relationships/hyperlink" Target="https://www.federalregister.gov/documents/2010/06/28/2010-15851/presidents-council-on-fitness-sports-and-nutrition" TargetMode="External"/><Relationship Id="rId1210" Type="http://schemas.openxmlformats.org/officeDocument/2006/relationships/hyperlink" Target="https://www.govinfo.gov/content/pkg/FR-2016-02-12/pdf/2016-03141.pdf" TargetMode="External"/><Relationship Id="rId1694" Type="http://schemas.openxmlformats.org/officeDocument/2006/relationships/hyperlink" Target="https://www.govinfo.gov/content/pkg/FR-2020-12-10/pdf/2020-27353.pdf" TargetMode="External"/><Relationship Id="rId860" Type="http://schemas.openxmlformats.org/officeDocument/2006/relationships/hyperlink" Target="https://www.govinfo.gov/content/pkg/FR-2010-06-16/pdf/2010-14613.pdf" TargetMode="External"/><Relationship Id="rId1211" Type="http://schemas.openxmlformats.org/officeDocument/2006/relationships/hyperlink" Target="https://www.federalregister.gov/documents/2016/03/02/2016-04770/delegation-of-certain-authorities-and-assignment-of-certain-functions-under-the-trade-preferences" TargetMode="External"/><Relationship Id="rId1695" Type="http://schemas.openxmlformats.org/officeDocument/2006/relationships/hyperlink" Target="https://www.federalregister.gov/documents/2020/12/11/2020-27455/ensuring-access-to-united-states-government-covid-19-vaccines" TargetMode="External"/><Relationship Id="rId1212" Type="http://schemas.openxmlformats.org/officeDocument/2006/relationships/hyperlink" Target="https://www.govinfo.gov/content/pkg/FR-2016-03-02/pdf/2016-04770.pdf" TargetMode="External"/><Relationship Id="rId1696" Type="http://schemas.openxmlformats.org/officeDocument/2006/relationships/hyperlink" Target="https://www.govinfo.gov/content/pkg/FR-2020-12-11/pdf/2020-27455.pdf" TargetMode="External"/><Relationship Id="rId1202" Type="http://schemas.openxmlformats.org/officeDocument/2006/relationships/hyperlink" Target="https://www.govinfo.gov/content/pkg/FR-2015-12-23/pdf/2015-32582.pdf" TargetMode="External"/><Relationship Id="rId1686" Type="http://schemas.openxmlformats.org/officeDocument/2006/relationships/hyperlink" Target="https://www.govinfo.gov/content/pkg/FR-2020-10-26/pdf/2020-23780.pdf" TargetMode="External"/><Relationship Id="rId1203" Type="http://schemas.openxmlformats.org/officeDocument/2006/relationships/hyperlink" Target="https://www.federalregister.gov/documents/2016/01/21/2016-01325/revocation-of-executive-orders-13574-13590-13622-and-13645-with-respect-to-iran-amendment-of" TargetMode="External"/><Relationship Id="rId1687" Type="http://schemas.openxmlformats.org/officeDocument/2006/relationships/hyperlink" Target="https://www.federalregister.gov/documents/2020/11/05/2020-24793/establishing-the-presidents-advisory-1776-commission" TargetMode="External"/><Relationship Id="rId1204" Type="http://schemas.openxmlformats.org/officeDocument/2006/relationships/hyperlink" Target="https://www.govinfo.gov/content/pkg/FR-2016-01-21/pdf/2016-01325.pdf" TargetMode="External"/><Relationship Id="rId1688" Type="http://schemas.openxmlformats.org/officeDocument/2006/relationships/hyperlink" Target="https://www.govinfo.gov/content/pkg/FR-2020-11-05/pdf/2020-24793.pdf" TargetMode="External"/><Relationship Id="rId1205" Type="http://schemas.openxmlformats.org/officeDocument/2006/relationships/hyperlink" Target="https://www.federalregister.gov/documents/2016/02/05/2016-02475/establishing-a-federal-earthquake-risk-management-standard" TargetMode="External"/><Relationship Id="rId1689" Type="http://schemas.openxmlformats.org/officeDocument/2006/relationships/hyperlink" Target="https://www.federalregister.gov/documents/2020/11/17/2020-25459/addressing-the-threat-from-securities-investments-that-finance-communist-chinese-military-companies" TargetMode="External"/><Relationship Id="rId1206" Type="http://schemas.openxmlformats.org/officeDocument/2006/relationships/hyperlink" Target="https://www.govinfo.gov/content/pkg/FR-2016-02-05/pdf/2016-02475.pdf" TargetMode="External"/><Relationship Id="rId1207" Type="http://schemas.openxmlformats.org/officeDocument/2006/relationships/hyperlink" Target="https://www.federalregister.gov/documents/2016/02/12/2016-03038/commission-on-enhancing-national-cybersecurity" TargetMode="External"/><Relationship Id="rId1208" Type="http://schemas.openxmlformats.org/officeDocument/2006/relationships/hyperlink" Target="https://www.govinfo.gov/content/pkg/FR-2016-02-12/pdf/2016-03038.pdf" TargetMode="External"/><Relationship Id="rId1209" Type="http://schemas.openxmlformats.org/officeDocument/2006/relationships/hyperlink" Target="https://www.federalregister.gov/documents/2016/02/12/2016-03141/establishment-of-the-federal-privacy-council" TargetMode="External"/><Relationship Id="rId855" Type="http://schemas.openxmlformats.org/officeDocument/2006/relationships/hyperlink" Target="https://www.federalregister.gov/documents/2010/05/18/2010-12070/providing-an-order-of-succession-within-the-department-of-agriculture" TargetMode="External"/><Relationship Id="rId854" Type="http://schemas.openxmlformats.org/officeDocument/2006/relationships/hyperlink" Target="https://www.govinfo.gov/content/pkg/FR-2010-05-12/pdf/2010-11557.pdf" TargetMode="External"/><Relationship Id="rId853" Type="http://schemas.openxmlformats.org/officeDocument/2006/relationships/hyperlink" Target="https://www.federalregister.gov/documents/2010/05/12/2010-11557/temporary-organization-to-facilitate-a-strategic-partnership-with-the-republic-of-iraq" TargetMode="External"/><Relationship Id="rId852" Type="http://schemas.openxmlformats.org/officeDocument/2006/relationships/hyperlink" Target="https://www.govinfo.gov/content/pkg/FR-2010-04-29/pdf/2010-10172.pdf" TargetMode="External"/><Relationship Id="rId859" Type="http://schemas.openxmlformats.org/officeDocument/2006/relationships/hyperlink" Target="https://www.federalregister.gov/documents/2010/06/16/2010-14613/establishing-the-national-prevention-health-promotion-and-public-health-council" TargetMode="External"/><Relationship Id="rId858" Type="http://schemas.openxmlformats.org/officeDocument/2006/relationships/hyperlink" Target="https://www.govinfo.gov/content/pkg/FR-2010-05-26/pdf/2010-12805.pdf" TargetMode="External"/><Relationship Id="rId857" Type="http://schemas.openxmlformats.org/officeDocument/2006/relationships/hyperlink" Target="https://www.federalregister.gov/documents/2010/05/26/2010-12805/national-commission-on-the-bp-deepwater-horizon-oil-spill-and-offshore-drilling" TargetMode="External"/><Relationship Id="rId856" Type="http://schemas.openxmlformats.org/officeDocument/2006/relationships/hyperlink" Target="https://www.govinfo.gov/content/pkg/FR-2010-05-18/pdf/2010-12070.pdf" TargetMode="External"/><Relationship Id="rId1680" Type="http://schemas.openxmlformats.org/officeDocument/2006/relationships/hyperlink" Target="https://www.govinfo.gov/content/pkg/FR-2020-10-08/pdf/2020-22510.pdf" TargetMode="External"/><Relationship Id="rId1681" Type="http://schemas.openxmlformats.org/officeDocument/2006/relationships/hyperlink" Target="https://www.federalregister.gov/documents/2020/10/16/2020-23115/establishing-the-one-trillion-trees-interagency-council" TargetMode="External"/><Relationship Id="rId851" Type="http://schemas.openxmlformats.org/officeDocument/2006/relationships/hyperlink" Target="https://www.federalregister.gov/documents/2010/04/29/2010-10172/interagency-task-force-on-veterans-small-business-development" TargetMode="External"/><Relationship Id="rId1682" Type="http://schemas.openxmlformats.org/officeDocument/2006/relationships/hyperlink" Target="https://www.govinfo.gov/content/pkg/FR-2020-10-16/pdf/2020-23115.pdf" TargetMode="External"/><Relationship Id="rId850" Type="http://schemas.openxmlformats.org/officeDocument/2006/relationships/hyperlink" Target="https://www.govinfo.gov/content/pkg/FR-2010-04-27/pdf/2010-9796.pdf" TargetMode="External"/><Relationship Id="rId1683" Type="http://schemas.openxmlformats.org/officeDocument/2006/relationships/hyperlink" Target="https://www.federalregister.gov/documents/2020/10/16/2020-23116/modernizing-americas-water-resource-management-and-water-infrastructure" TargetMode="External"/><Relationship Id="rId1200" Type="http://schemas.openxmlformats.org/officeDocument/2006/relationships/hyperlink" Target="https://www.govinfo.gov/content/pkg/FR-2015-12-18/pdf/2015-32060.pdf" TargetMode="External"/><Relationship Id="rId1684" Type="http://schemas.openxmlformats.org/officeDocument/2006/relationships/hyperlink" Target="https://www.govinfo.gov/content/pkg/FR-2020-10-16/pdf/2020-23116.pdf" TargetMode="External"/><Relationship Id="rId1201" Type="http://schemas.openxmlformats.org/officeDocument/2006/relationships/hyperlink" Target="https://www.federalregister.gov/documents/2015/12/23/2015-32582/adjustments-of-certain-rates-of-pay" TargetMode="External"/><Relationship Id="rId1685" Type="http://schemas.openxmlformats.org/officeDocument/2006/relationships/hyperlink" Target="https://www.federalregister.gov/documents/2020/10/26/2020-23780/creating-schedule-f-in-the-excepted-service" TargetMode="External"/><Relationship Id="rId1235" Type="http://schemas.openxmlformats.org/officeDocument/2006/relationships/hyperlink" Target="https://www.federalregister.gov/documents/2016/07/07/2016-16295/united-states-policy-on-pre--and-post-strike-measures-to-address-civilian-casualties-in-us" TargetMode="External"/><Relationship Id="rId1236" Type="http://schemas.openxmlformats.org/officeDocument/2006/relationships/hyperlink" Target="https://www.govinfo.gov/content/pkg/FR-2016-07-07/pdf/2016-16295.pdf" TargetMode="External"/><Relationship Id="rId1237" Type="http://schemas.openxmlformats.org/officeDocument/2006/relationships/hyperlink" Target="https://www.federalregister.gov/documents/2016/07/27/2016-17945/delegation-of-certain-authorities-and-assignment-of-certain-functions-under-the-trade-facilitation" TargetMode="External"/><Relationship Id="rId1238" Type="http://schemas.openxmlformats.org/officeDocument/2006/relationships/hyperlink" Target="https://www.govinfo.gov/content/pkg/FR-2016-07-27/pdf/2016-17945.pdf" TargetMode="External"/><Relationship Id="rId1239" Type="http://schemas.openxmlformats.org/officeDocument/2006/relationships/hyperlink" Target="https://www.federalregister.gov/documents/2016/08/08/2016-18872/amending-executive-order-13675-to-expand-membership-on-the-presidents-advisory-council-on-doing" TargetMode="External"/><Relationship Id="rId409" Type="http://schemas.openxmlformats.org/officeDocument/2006/relationships/hyperlink" Target="https://www.federalregister.gov/documents/2003/12/12/03-30913/closing-of-executive-departments-and-agencies-of-the" TargetMode="External"/><Relationship Id="rId404" Type="http://schemas.openxmlformats.org/officeDocument/2006/relationships/hyperlink" Target="https://www.govinfo.gov/content/pkg/FR-2003-09-30/pdf/03-24919.pdf" TargetMode="External"/><Relationship Id="rId888" Type="http://schemas.openxmlformats.org/officeDocument/2006/relationships/hyperlink" Target="https://www.govinfo.gov/content/pkg/FR-2010-11-15/pdf/2010-28854.pdf" TargetMode="External"/><Relationship Id="rId403" Type="http://schemas.openxmlformats.org/officeDocument/2006/relationships/hyperlink" Target="https://www.federalregister.gov/documents/2003/09/30/03-24919/volunteers-for-prosperity" TargetMode="External"/><Relationship Id="rId887" Type="http://schemas.openxmlformats.org/officeDocument/2006/relationships/hyperlink" Target="https://www.federalregister.gov/documents/2010/11/15/2010-28854/export-enforcement-coordination-center" TargetMode="External"/><Relationship Id="rId402" Type="http://schemas.openxmlformats.org/officeDocument/2006/relationships/hyperlink" Target="https://www.govinfo.gov/content/pkg/FR-2003-09-23/pdf/03-24217.pdf" TargetMode="External"/><Relationship Id="rId886" Type="http://schemas.openxmlformats.org/officeDocument/2006/relationships/hyperlink" Target="https://www.govinfo.gov/content/pkg/FR-2010-11-09/pdf/2010-28365.pdf" TargetMode="External"/><Relationship Id="rId401" Type="http://schemas.openxmlformats.org/officeDocument/2006/relationships/hyperlink" Target="https://www.federalregister.gov/documents/2003/09/23/03-24217/continuance-of-certain-federal-advisory-committees" TargetMode="External"/><Relationship Id="rId885" Type="http://schemas.openxmlformats.org/officeDocument/2006/relationships/hyperlink" Target="https://www.federalregister.gov/documents/2010/11/09/2010-28365/providing-an-order-of-succession-within-the-department-of-justice" TargetMode="External"/><Relationship Id="rId408" Type="http://schemas.openxmlformats.org/officeDocument/2006/relationships/hyperlink" Target="https://www.govinfo.gov/content/pkg/FR-2003-12-08/pdf/03-30513.pdf" TargetMode="External"/><Relationship Id="rId407" Type="http://schemas.openxmlformats.org/officeDocument/2006/relationships/hyperlink" Target="https://www.federalregister.gov/documents/2003/12/08/03-30513/amendment-to-executive-order-13183-establishment-of-the-presidents-task-force-on-puerto-ricos-status" TargetMode="External"/><Relationship Id="rId406" Type="http://schemas.openxmlformats.org/officeDocument/2006/relationships/hyperlink" Target="https://www.govinfo.gov/content/pkg/FR-2003-11-25/pdf/03-29644.pdf" TargetMode="External"/><Relationship Id="rId405" Type="http://schemas.openxmlformats.org/officeDocument/2006/relationships/hyperlink" Target="https://www.federalregister.gov/documents/2003/11/25/03-29644/presidential-management-fellows-program" TargetMode="External"/><Relationship Id="rId889" Type="http://schemas.openxmlformats.org/officeDocument/2006/relationships/hyperlink" Target="https://www.federalregister.gov/documents/2010/11/22/2010-29579/fundamental-principles-and-policymaking-criteria-for-partnerships-with-faith-based-and-other" TargetMode="External"/><Relationship Id="rId880" Type="http://schemas.openxmlformats.org/officeDocument/2006/relationships/hyperlink" Target="https://www.govinfo.gov/content/pkg/FR-2010-10-08/pdf/2010-25578.pdf" TargetMode="External"/><Relationship Id="rId1230" Type="http://schemas.openxmlformats.org/officeDocument/2006/relationships/hyperlink" Target="https://www.govinfo.gov/content/pkg/FR-2016-05-23/pdf/2016-12307.pdf" TargetMode="External"/><Relationship Id="rId400" Type="http://schemas.openxmlformats.org/officeDocument/2006/relationships/hyperlink" Target="https://www.govinfo.gov/content/pkg/FR-2003-09-03/pdf/03-22543.pdf" TargetMode="External"/><Relationship Id="rId884" Type="http://schemas.openxmlformats.org/officeDocument/2006/relationships/hyperlink" Target="https://www.govinfo.gov/content/pkg/FR-2010-11-09/pdf/2010-28360.pdf" TargetMode="External"/><Relationship Id="rId1231" Type="http://schemas.openxmlformats.org/officeDocument/2006/relationships/hyperlink" Target="https://www.federalregister.gov/documents/2016/05/26/2016-12579/2016-amendments-to-the-manual-for-courts-martial-united-states" TargetMode="External"/><Relationship Id="rId883" Type="http://schemas.openxmlformats.org/officeDocument/2006/relationships/hyperlink" Target="https://www.federalregister.gov/documents/2010/11/09/2010-28360/controlled-unclassified-information" TargetMode="External"/><Relationship Id="rId1232" Type="http://schemas.openxmlformats.org/officeDocument/2006/relationships/hyperlink" Target="https://www.govinfo.gov/content/pkg/FR-2016-05-26/pdf/2016-12579.pdf" TargetMode="External"/><Relationship Id="rId882" Type="http://schemas.openxmlformats.org/officeDocument/2006/relationships/hyperlink" Target="https://www.govinfo.gov/content/pkg/FR-2010-10-22/pdf/2010-27004.pdf" TargetMode="External"/><Relationship Id="rId1233" Type="http://schemas.openxmlformats.org/officeDocument/2006/relationships/hyperlink" Target="https://www.federalregister.gov/documents/2016/06/29/2016-15542/global-entrepreneurship" TargetMode="External"/><Relationship Id="rId881" Type="http://schemas.openxmlformats.org/officeDocument/2006/relationships/hyperlink" Target="https://www.federalregister.gov/documents/2010/10/22/2010-27004/white-house-initiative-on-educational-excellence-for-hispanics" TargetMode="External"/><Relationship Id="rId1234" Type="http://schemas.openxmlformats.org/officeDocument/2006/relationships/hyperlink" Target="https://www.govinfo.gov/content/pkg/FR-2016-06-29/pdf/2016-15542.pdf" TargetMode="External"/><Relationship Id="rId1224" Type="http://schemas.openxmlformats.org/officeDocument/2006/relationships/hyperlink" Target="https://www.govinfo.gov/content/pkg/FR-2016-04-21/pdf/2016-09483.pdf" TargetMode="External"/><Relationship Id="rId1225" Type="http://schemas.openxmlformats.org/officeDocument/2006/relationships/hyperlink" Target="https://www.federalregister.gov/documents/2016/05/11/2016-11300/facilitation-of-a-presidential-transition" TargetMode="External"/><Relationship Id="rId1226" Type="http://schemas.openxmlformats.org/officeDocument/2006/relationships/hyperlink" Target="https://www.govinfo.gov/content/pkg/FR-2016-05-11/pdf/2016-11300.pdf" TargetMode="External"/><Relationship Id="rId1227" Type="http://schemas.openxmlformats.org/officeDocument/2006/relationships/hyperlink" Target="https://www.federalregister.gov/documents/2016/05/20/2016-12155/wildland-urban-interface-federal-risk-mitigation" TargetMode="External"/><Relationship Id="rId1228" Type="http://schemas.openxmlformats.org/officeDocument/2006/relationships/hyperlink" Target="https://www.govinfo.gov/content/pkg/FR-2016-05-20/pdf/2016-12155.pdf" TargetMode="External"/><Relationship Id="rId1229" Type="http://schemas.openxmlformats.org/officeDocument/2006/relationships/hyperlink" Target="https://www.federalregister.gov/documents/2016/05/23/2016-12307/a-comprehensive-approach-to-atrocity-prevention-and-response" TargetMode="External"/><Relationship Id="rId877" Type="http://schemas.openxmlformats.org/officeDocument/2006/relationships/hyperlink" Target="https://www.federalregister.gov/documents/2010/10/01/2010-24839/blocking-property-of-certain-persons-with-respect-to-serious-human-rights-abuses-by-the-government" TargetMode="External"/><Relationship Id="rId876" Type="http://schemas.openxmlformats.org/officeDocument/2006/relationships/hyperlink" Target="https://www.govinfo.gov/content/pkg/FR-2010-09-03/pdf/2010-22279.pdf" TargetMode="External"/><Relationship Id="rId875" Type="http://schemas.openxmlformats.org/officeDocument/2006/relationships/hyperlink" Target="https://www.federalregister.gov/documents/2010/09/03/2010-22279/2010-amendments-to-the-manual-for-courts-martial-united-states" TargetMode="External"/><Relationship Id="rId874" Type="http://schemas.openxmlformats.org/officeDocument/2006/relationships/hyperlink" Target="https://www.govinfo.gov/content/pkg/FR-2010-09-01/pdf/2010-22002.pdf" TargetMode="External"/><Relationship Id="rId879" Type="http://schemas.openxmlformats.org/officeDocument/2006/relationships/hyperlink" Target="https://www.federalregister.gov/documents/2010/10/08/2010-25578/establishing-the-gulf-coast-ecosystem-restoration-task-force" TargetMode="External"/><Relationship Id="rId878" Type="http://schemas.openxmlformats.org/officeDocument/2006/relationships/hyperlink" Target="https://www.govinfo.gov/content/pkg/FR-2010-10-01/pdf/2010-24839.pdf" TargetMode="External"/><Relationship Id="rId873" Type="http://schemas.openxmlformats.org/officeDocument/2006/relationships/hyperlink" Target="https://www.federalregister.gov/documents/2010/09/01/2010-22002/blocking-property-of-certain-persons-with-respect-to-north-korea" TargetMode="External"/><Relationship Id="rId1220" Type="http://schemas.openxmlformats.org/officeDocument/2006/relationships/hyperlink" Target="https://www.govinfo.gov/content/pkg/FR-2016-04-13/pdf/2016-08713.pdf" TargetMode="External"/><Relationship Id="rId872" Type="http://schemas.openxmlformats.org/officeDocument/2006/relationships/hyperlink" Target="https://www.govinfo.gov/content/pkg/FR-2010-08-23/pdf/2010-21020.pdf" TargetMode="External"/><Relationship Id="rId1221" Type="http://schemas.openxmlformats.org/officeDocument/2006/relationships/hyperlink" Target="https://www.federalregister.gov/documents/2016/04/20/2016-09346/steps-to-increase-competition-and-better-inform-consumers-and-workers-to-support-continued-growth-of" TargetMode="External"/><Relationship Id="rId871" Type="http://schemas.openxmlformats.org/officeDocument/2006/relationships/hyperlink" Target="https://www.federalregister.gov/documents/2010/08/23/2010-21020/establishment-of-pakistan-and-afghanistan-support-office" TargetMode="External"/><Relationship Id="rId1222" Type="http://schemas.openxmlformats.org/officeDocument/2006/relationships/hyperlink" Target="https://www.govinfo.gov/content/pkg/FR-2016-04-20/pdf/2016-09346.pdf" TargetMode="External"/><Relationship Id="rId870" Type="http://schemas.openxmlformats.org/officeDocument/2006/relationships/hyperlink" Target="https://www.govinfo.gov/content/pkg/FR-2010-08-23/pdf/2010-21016.pdf" TargetMode="External"/><Relationship Id="rId1223" Type="http://schemas.openxmlformats.org/officeDocument/2006/relationships/hyperlink" Target="https://www.federalregister.gov/documents/2016/04/21/2016-09483/blocking-property-and-suspending-entry-into-the-united-states-of-persons-contributing-to-the" TargetMode="External"/><Relationship Id="rId1653" Type="http://schemas.openxmlformats.org/officeDocument/2006/relationships/hyperlink" Target="https://www.federalregister.gov/documents/2020/08/06/2020-17364/improving-rural-health-and-telehealth-access" TargetMode="External"/><Relationship Id="rId1654" Type="http://schemas.openxmlformats.org/officeDocument/2006/relationships/hyperlink" Target="https://www.govinfo.gov/content/pkg/FR-2020-08-06/pdf/2020-17364.pdf" TargetMode="External"/><Relationship Id="rId1655" Type="http://schemas.openxmlformats.org/officeDocument/2006/relationships/hyperlink" Target="https://www.federalregister.gov/documents/2020/08/11/2020-17699/addressing-the-threat-posed-by-tiktok-and-taking-additional-steps-to-address-the-national-emergency" TargetMode="External"/><Relationship Id="rId1656" Type="http://schemas.openxmlformats.org/officeDocument/2006/relationships/hyperlink" Target="https://www.govinfo.gov/content/pkg/FR-2020-08-11/pdf/2020-17699.pdf" TargetMode="External"/><Relationship Id="rId1657" Type="http://schemas.openxmlformats.org/officeDocument/2006/relationships/hyperlink" Target="https://www.federalregister.gov/documents/2020/08/11/2020-17700/addressing-the-threat-posed-by-wechat-and-taking-additional-steps-to-address-the-national-emergency" TargetMode="External"/><Relationship Id="rId1658" Type="http://schemas.openxmlformats.org/officeDocument/2006/relationships/hyperlink" Target="https://www.govinfo.gov/content/pkg/FR-2020-08-11/pdf/2020-17700.pdf" TargetMode="External"/><Relationship Id="rId1659" Type="http://schemas.openxmlformats.org/officeDocument/2006/relationships/hyperlink" Target="https://www.federalregister.gov/documents/2020/08/14/2020-18012/combating-public-health-emergencies-and-strengthening-national-security-by-ensuring-essential" TargetMode="External"/><Relationship Id="rId829" Type="http://schemas.openxmlformats.org/officeDocument/2006/relationships/hyperlink" Target="https://www.federalregister.gov/documents/2010/01/21/2010-1229/ordering-the-selected-reserve-and-certain-individual-ready-reserve-members-of-the-armed-forces-to" TargetMode="External"/><Relationship Id="rId828" Type="http://schemas.openxmlformats.org/officeDocument/2006/relationships/hyperlink" Target="https://www.govinfo.gov/content/pkg/FR-2010-01-14/pdf/2010-705.pdf" TargetMode="External"/><Relationship Id="rId827" Type="http://schemas.openxmlformats.org/officeDocument/2006/relationships/hyperlink" Target="https://www.federalregister.gov/documents/2010/01/14/2010-705/establishment-of-the-council-of-governors" TargetMode="External"/><Relationship Id="rId822" Type="http://schemas.openxmlformats.org/officeDocument/2006/relationships/hyperlink" Target="https://www.govinfo.gov/content/pkg/FR-2010-01-08/pdf/C1-2009-31418.pdf" TargetMode="External"/><Relationship Id="rId821" Type="http://schemas.openxmlformats.org/officeDocument/2006/relationships/hyperlink" Target="https://www.federalregister.gov/documents/2010/01/08/C1-2009-31418/correction" TargetMode="External"/><Relationship Id="rId820" Type="http://schemas.openxmlformats.org/officeDocument/2006/relationships/hyperlink" Target="https://www.govinfo.gov/content/pkg/FR-2009-12-30/pdf/E9-31098.pdf" TargetMode="External"/><Relationship Id="rId826" Type="http://schemas.openxmlformats.org/officeDocument/2006/relationships/hyperlink" Target="https://www.govinfo.gov/content/pkg/FR-2010-01-06/pdf/2010-38.pdf" TargetMode="External"/><Relationship Id="rId825" Type="http://schemas.openxmlformats.org/officeDocument/2006/relationships/hyperlink" Target="https://www.federalregister.gov/documents/2010/01/06/2010-38/establishing-federal-capability-for-the-timely-provision-of-medical-countermeasures-following-a" TargetMode="External"/><Relationship Id="rId824" Type="http://schemas.openxmlformats.org/officeDocument/2006/relationships/hyperlink" Target="https://www.govinfo.gov/content/pkg/FR-2010-01-05/pdf/E9-31418.pdf" TargetMode="External"/><Relationship Id="rId823" Type="http://schemas.openxmlformats.org/officeDocument/2006/relationships/hyperlink" Target="https://www.federalregister.gov/documents/2010/01/05/E9-31418/classified-national-security-information" TargetMode="External"/><Relationship Id="rId1650" Type="http://schemas.openxmlformats.org/officeDocument/2006/relationships/hyperlink" Target="https://www.govinfo.gov/content/pkg/FR-2020-07-29/pdf/2020-16625.pdf" TargetMode="External"/><Relationship Id="rId1651" Type="http://schemas.openxmlformats.org/officeDocument/2006/relationships/hyperlink" Target="https://www.federalregister.gov/documents/2020/08/06/2020-17363/aligning-federal-contracting-and-hiring-practices-with-the-interests-of-american-workers" TargetMode="External"/><Relationship Id="rId1652" Type="http://schemas.openxmlformats.org/officeDocument/2006/relationships/hyperlink" Target="https://www.govinfo.gov/content/pkg/FR-2020-08-06/pdf/2020-17363.pdf" TargetMode="External"/><Relationship Id="rId1642" Type="http://schemas.openxmlformats.org/officeDocument/2006/relationships/hyperlink" Target="https://www.govinfo.gov/content/pkg/FR-2020-07-14/pdf/2020-15338.pdf" TargetMode="External"/><Relationship Id="rId1643" Type="http://schemas.openxmlformats.org/officeDocument/2006/relationships/hyperlink" Target="https://www.federalregister.gov/documents/2020/07/17/2020-15646/the-presidents-executive-order-on-hong-kong-normalization" TargetMode="External"/><Relationship Id="rId1644" Type="http://schemas.openxmlformats.org/officeDocument/2006/relationships/hyperlink" Target="https://www.govinfo.gov/content/pkg/FR-2020-07-17/pdf/2020-15646.pdf" TargetMode="External"/><Relationship Id="rId1645" Type="http://schemas.openxmlformats.org/officeDocument/2006/relationships/hyperlink" Target="https://www.federalregister.gov/documents/2020/07/29/2020-16623/access-to-affordable-life-saving-medications" TargetMode="External"/><Relationship Id="rId1646" Type="http://schemas.openxmlformats.org/officeDocument/2006/relationships/hyperlink" Target="https://www.govinfo.gov/content/pkg/FR-2020-07-29/pdf/2020-16623.pdf" TargetMode="External"/><Relationship Id="rId1647" Type="http://schemas.openxmlformats.org/officeDocument/2006/relationships/hyperlink" Target="https://www.federalregister.gov/documents/2020/07/29/2020-16624/increasing-drug-importation-to-lower-prices-for-american-patients" TargetMode="External"/><Relationship Id="rId1648" Type="http://schemas.openxmlformats.org/officeDocument/2006/relationships/hyperlink" Target="https://www.govinfo.gov/content/pkg/FR-2020-07-29/pdf/2020-16624.pdf" TargetMode="External"/><Relationship Id="rId1649" Type="http://schemas.openxmlformats.org/officeDocument/2006/relationships/hyperlink" Target="https://www.federalregister.gov/documents/2020/07/29/2020-16625/lowering-prices-for-patients-by-eliminating-kickbacks-to-middlemen" TargetMode="External"/><Relationship Id="rId819" Type="http://schemas.openxmlformats.org/officeDocument/2006/relationships/hyperlink" Target="https://www.federalregister.gov/documents/2009/12/30/E9-31098/adjustments-of-certain-rates-of-pay" TargetMode="External"/><Relationship Id="rId818" Type="http://schemas.openxmlformats.org/officeDocument/2006/relationships/hyperlink" Target="https://www.govinfo.gov/content/pkg/FR-2009-12-21/pdf/E9-30413.pdf" TargetMode="External"/><Relationship Id="rId817" Type="http://schemas.openxmlformats.org/officeDocument/2006/relationships/hyperlink" Target="https://www.federalregister.gov/documents/2009/12/21/E9-30413/amending-executive-order-12425-designating-interpol-as-a-public-international-organization-entitled" TargetMode="External"/><Relationship Id="rId816" Type="http://schemas.openxmlformats.org/officeDocument/2006/relationships/hyperlink" Target="https://www.govinfo.gov/content/pkg/FR-2009-12-16/pdf/E9-30020.pdf" TargetMode="External"/><Relationship Id="rId811" Type="http://schemas.openxmlformats.org/officeDocument/2006/relationships/hyperlink" Target="https://www.federalregister.gov/documents/2009/11/30/E9-28805/establishing-the-presidential-commission-for-the-study-of-bioethical-issues" TargetMode="External"/><Relationship Id="rId810" Type="http://schemas.openxmlformats.org/officeDocument/2006/relationships/hyperlink" Target="https://www.govinfo.gov/content/pkg/FR-2009-11-25/pdf/E9-28493.pdf" TargetMode="External"/><Relationship Id="rId815" Type="http://schemas.openxmlformats.org/officeDocument/2006/relationships/hyperlink" Target="https://www.federalregister.gov/documents/2009/12/16/E9-30020/half-day-closing-of-executive-departments-and-agencies-on-thursday-december-24-2009" TargetMode="External"/><Relationship Id="rId814" Type="http://schemas.openxmlformats.org/officeDocument/2006/relationships/hyperlink" Target="https://www.govinfo.gov/content/pkg/FR-2009-12-14/pdf/E9-29781.pdf" TargetMode="External"/><Relationship Id="rId813" Type="http://schemas.openxmlformats.org/officeDocument/2006/relationships/hyperlink" Target="https://www.federalregister.gov/documents/2009/12/14/E9-29781/creating-labor-management-forums-to-improve-delivery-of-government-services" TargetMode="External"/><Relationship Id="rId812" Type="http://schemas.openxmlformats.org/officeDocument/2006/relationships/hyperlink" Target="https://www.govinfo.gov/content/pkg/FR-2009-11-30/pdf/E9-28805.pdf" TargetMode="External"/><Relationship Id="rId1640" Type="http://schemas.openxmlformats.org/officeDocument/2006/relationships/hyperlink" Target="https://www.govinfo.gov/content/pkg/FR-2020-07-08/pdf/2020-14872.pdf" TargetMode="External"/><Relationship Id="rId1641" Type="http://schemas.openxmlformats.org/officeDocument/2006/relationships/hyperlink" Target="https://www.federalregister.gov/documents/2020/07/14/2020-15338/white-house-hispanic-prosperity-initiative" TargetMode="External"/><Relationship Id="rId1675" Type="http://schemas.openxmlformats.org/officeDocument/2006/relationships/hyperlink" Target="https://www.federalregister.gov/documents/2020/10/02/2020-21960/protecting-vulnerable-newborn-and-infant-children" TargetMode="External"/><Relationship Id="rId1676" Type="http://schemas.openxmlformats.org/officeDocument/2006/relationships/hyperlink" Target="https://www.govinfo.gov/content/pkg/FR-2020-10-02/pdf/2020-21960.pdf" TargetMode="External"/><Relationship Id="rId1677" Type="http://schemas.openxmlformats.org/officeDocument/2006/relationships/hyperlink" Target="https://www.federalregister.gov/documents/2020/10/05/2020-22064/addressing-the-threat-to-the-domestic-supply-chain-from-reliance-on-critical-minerals-from-foreign" TargetMode="External"/><Relationship Id="rId1678" Type="http://schemas.openxmlformats.org/officeDocument/2006/relationships/hyperlink" Target="https://www.govinfo.gov/content/pkg/FR-2020-10-05/pdf/2020-22064.pdf" TargetMode="External"/><Relationship Id="rId1679" Type="http://schemas.openxmlformats.org/officeDocument/2006/relationships/hyperlink" Target="https://www.federalregister.gov/documents/2020/10/08/2020-22510/saving-lives-through-increased-support-for-mental--and-behavioral-health-needs" TargetMode="External"/><Relationship Id="rId849" Type="http://schemas.openxmlformats.org/officeDocument/2006/relationships/hyperlink" Target="https://www.federalregister.gov/documents/2010/04/27/2010-9796/presidents-council-of-advisors-on-science-and-technology" TargetMode="External"/><Relationship Id="rId844" Type="http://schemas.openxmlformats.org/officeDocument/2006/relationships/hyperlink" Target="https://www.govinfo.gov/content/pkg/FR-2010-04-15/pdf/2010-8878.pdf" TargetMode="External"/><Relationship Id="rId843" Type="http://schemas.openxmlformats.org/officeDocument/2006/relationships/hyperlink" Target="https://www.federalregister.gov/documents/2010/04/15/2010-8878/blocking-property-of-certain-persons-contributing-to-the-conflict-in-somalia" TargetMode="External"/><Relationship Id="rId842" Type="http://schemas.openxmlformats.org/officeDocument/2006/relationships/hyperlink" Target="https://www.govinfo.gov/content/pkg/FR-2010-03-29/pdf/2010-7154.pdf" TargetMode="External"/><Relationship Id="rId841" Type="http://schemas.openxmlformats.org/officeDocument/2006/relationships/hyperlink" Target="https://www.federalregister.gov/documents/2010/03/29/2010-7154/ensuring-enforcement-and-implementation-of-abortion-restrictions-in-the-patient-protection-and" TargetMode="External"/><Relationship Id="rId848" Type="http://schemas.openxmlformats.org/officeDocument/2006/relationships/hyperlink" Target="https://www.govinfo.gov/content/pkg/FR-2010-04-22/pdf/2010-9451.pdf" TargetMode="External"/><Relationship Id="rId847" Type="http://schemas.openxmlformats.org/officeDocument/2006/relationships/hyperlink" Target="https://www.federalregister.gov/documents/2010/04/22/2010-9451/establishing-the-presidents-management-advisory-board" TargetMode="External"/><Relationship Id="rId846" Type="http://schemas.openxmlformats.org/officeDocument/2006/relationships/hyperlink" Target="https://www.govinfo.gov/content/pkg/FR-2010-04-19/pdf/2010-9078.pdf" TargetMode="External"/><Relationship Id="rId845" Type="http://schemas.openxmlformats.org/officeDocument/2006/relationships/hyperlink" Target="https://www.federalregister.gov/documents/2010/04/19/2010-9078/interagency-group-on-insular-areas" TargetMode="External"/><Relationship Id="rId1670" Type="http://schemas.openxmlformats.org/officeDocument/2006/relationships/hyperlink" Target="https://www.govinfo.gov/content/pkg/FR-2020-09-23/pdf/2020-21160.pdf" TargetMode="External"/><Relationship Id="rId840" Type="http://schemas.openxmlformats.org/officeDocument/2006/relationships/hyperlink" Target="https://www.govinfo.gov/content/pkg/FR-2010-03-16/pdf/2010-5837.pdf" TargetMode="External"/><Relationship Id="rId1671" Type="http://schemas.openxmlformats.org/officeDocument/2006/relationships/hyperlink" Target="https://www.federalregister.gov/documents/2020/09/28/2020-21534/combating-race-and-sex-stereotyping" TargetMode="External"/><Relationship Id="rId1672" Type="http://schemas.openxmlformats.org/officeDocument/2006/relationships/hyperlink" Target="https://www.govinfo.gov/content/pkg/FR-2020-09-28/pdf/2020-21534.pdf" TargetMode="External"/><Relationship Id="rId1673" Type="http://schemas.openxmlformats.org/officeDocument/2006/relationships/hyperlink" Target="https://www.federalregister.gov/documents/2020/10/01/2020-21914/an-america-first-healthcare-plan" TargetMode="External"/><Relationship Id="rId1674" Type="http://schemas.openxmlformats.org/officeDocument/2006/relationships/hyperlink" Target="https://www.govinfo.gov/content/pkg/FR-2020-10-01/pdf/2020-21914.pdf" TargetMode="External"/><Relationship Id="rId1664" Type="http://schemas.openxmlformats.org/officeDocument/2006/relationships/hyperlink" Target="https://www.govinfo.gov/content/pkg/FR-2020-08-27/pdf/2020-19032.pdf" TargetMode="External"/><Relationship Id="rId1665" Type="http://schemas.openxmlformats.org/officeDocument/2006/relationships/hyperlink" Target="https://www.federalregister.gov/documents/2020/09/18/2020-20887/lowering-drug-prices-by-putting-america-first" TargetMode="External"/><Relationship Id="rId1666" Type="http://schemas.openxmlformats.org/officeDocument/2006/relationships/hyperlink" Target="https://www.govinfo.gov/content/pkg/FR-2020-09-18/pdf/2020-20887.pdf" TargetMode="External"/><Relationship Id="rId1667" Type="http://schemas.openxmlformats.org/officeDocument/2006/relationships/hyperlink" Target="https://www.federalregister.gov/documents/2020/09/23/2020-21129/lowering-drug-prices-by-putting-america-first" TargetMode="External"/><Relationship Id="rId1668" Type="http://schemas.openxmlformats.org/officeDocument/2006/relationships/hyperlink" Target="https://www.govinfo.gov/content/pkg/FR-2020-09-23/pdf/2020-21129.pdf" TargetMode="External"/><Relationship Id="rId1669" Type="http://schemas.openxmlformats.org/officeDocument/2006/relationships/hyperlink" Target="https://www.federalregister.gov/documents/2020/09/23/2020-21160/blocking-property-of-certain-persons-with-respect-to-the-conventional-arms-activities-of-iran" TargetMode="External"/><Relationship Id="rId839" Type="http://schemas.openxmlformats.org/officeDocument/2006/relationships/hyperlink" Target="https://www.federalregister.gov/documents/2010/03/16/2010-5837/national-export-initiative" TargetMode="External"/><Relationship Id="rId838" Type="http://schemas.openxmlformats.org/officeDocument/2006/relationships/hyperlink" Target="https://www.govinfo.gov/content/pkg/FR-2010-03-05/pdf/2010-4884.pdf" TargetMode="External"/><Relationship Id="rId833" Type="http://schemas.openxmlformats.org/officeDocument/2006/relationships/hyperlink" Target="https://www.federalregister.gov/documents/2010/02/23/2010-3725/national-commission-on-fiscal-responsibility-and-reform" TargetMode="External"/><Relationship Id="rId832" Type="http://schemas.openxmlformats.org/officeDocument/2006/relationships/hyperlink" Target="https://www.govinfo.gov/content/pkg/FR-2010-02-03/pdf/2010-2419.pdf" TargetMode="External"/><Relationship Id="rId831" Type="http://schemas.openxmlformats.org/officeDocument/2006/relationships/hyperlink" Target="https://www.federalregister.gov/documents/2010/02/03/2010-2419/presidents-advisory-council-on-financial-capability" TargetMode="External"/><Relationship Id="rId830" Type="http://schemas.openxmlformats.org/officeDocument/2006/relationships/hyperlink" Target="https://www.govinfo.gov/content/pkg/FR-2010-01-21/pdf/2010-1229.pdf" TargetMode="External"/><Relationship Id="rId837" Type="http://schemas.openxmlformats.org/officeDocument/2006/relationships/hyperlink" Target="https://www.federalregister.gov/documents/2010/03/05/2010-4884/providing-an-order-of-succession-within-the-department-of-defense" TargetMode="External"/><Relationship Id="rId836" Type="http://schemas.openxmlformats.org/officeDocument/2006/relationships/hyperlink" Target="https://www.govinfo.gov/content/pkg/FR-2010-03-03/pdf/2010-4593.pdf" TargetMode="External"/><Relationship Id="rId835" Type="http://schemas.openxmlformats.org/officeDocument/2006/relationships/hyperlink" Target="https://www.federalregister.gov/documents/2010/03/03/2010-4593/promoting-excellence-innovation-and-sustainability-at-historically-black-colleges-and-universities" TargetMode="External"/><Relationship Id="rId834" Type="http://schemas.openxmlformats.org/officeDocument/2006/relationships/hyperlink" Target="https://www.govinfo.gov/content/pkg/FR-2010-02-23/pdf/2010-3725.pdf" TargetMode="External"/><Relationship Id="rId1660" Type="http://schemas.openxmlformats.org/officeDocument/2006/relationships/hyperlink" Target="https://www.govinfo.gov/content/pkg/FR-2020-08-14/pdf/2020-18012.pdf" TargetMode="External"/><Relationship Id="rId1661" Type="http://schemas.openxmlformats.org/officeDocument/2006/relationships/hyperlink" Target="https://www.federalregister.gov/documents/2020/08/14/2020-18015/fighting-the-spread-of-covid-19-by-providing-assistance-to-renters-and-homeowners" TargetMode="External"/><Relationship Id="rId1662" Type="http://schemas.openxmlformats.org/officeDocument/2006/relationships/hyperlink" Target="https://www.govinfo.gov/content/pkg/FR-2020-08-14/pdf/2020-18015.pdf" TargetMode="External"/><Relationship Id="rId1663" Type="http://schemas.openxmlformats.org/officeDocument/2006/relationships/hyperlink" Target="https://www.federalregister.gov/documents/2020/08/27/2020-19032/targeting-opportunity-zones-and-other-distressed-communities-for-federal-site-locations" TargetMode="External"/><Relationship Id="rId469" Type="http://schemas.openxmlformats.org/officeDocument/2006/relationships/hyperlink" Target="https://www.federalregister.gov/documents/2004/07/30/04-17636/termination-of-emergency-declared-in-executive-order-12722-with-respect-to-iraq-and-modification-of" TargetMode="External"/><Relationship Id="rId468" Type="http://schemas.openxmlformats.org/officeDocument/2006/relationships/hyperlink" Target="https://www.govinfo.gov/content/pkg/FR-2004-07-27/pdf/04-17204.pdf" TargetMode="External"/><Relationship Id="rId467" Type="http://schemas.openxmlformats.org/officeDocument/2006/relationships/hyperlink" Target="https://www.federalregister.gov/documents/2004/07/27/04-17204/amending-executive-order-13226-to-designate-the-presidents-council-of-advisors-on-science-and" TargetMode="External"/><Relationship Id="rId1290" Type="http://schemas.openxmlformats.org/officeDocument/2006/relationships/hyperlink" Target="https://www.govinfo.gov/content/pkg/FR-2017-01-17/pdf/2017-01168.pdf" TargetMode="External"/><Relationship Id="rId1291" Type="http://schemas.openxmlformats.org/officeDocument/2006/relationships/hyperlink" Target="https://www.federalregister.gov/documents/2017/01/17/2017-01169/exclusions-from-the-federal-labor-management-relations-program" TargetMode="External"/><Relationship Id="rId1292" Type="http://schemas.openxmlformats.org/officeDocument/2006/relationships/hyperlink" Target="https://www.govinfo.gov/content/pkg/FR-2017-01-17/pdf/2017-01169.pdf" TargetMode="External"/><Relationship Id="rId462" Type="http://schemas.openxmlformats.org/officeDocument/2006/relationships/hyperlink" Target="https://www.govinfo.gov/content/pkg/FR-2004-07-13/pdf/04-15934.pdf" TargetMode="External"/><Relationship Id="rId1293" Type="http://schemas.openxmlformats.org/officeDocument/2006/relationships/hyperlink" Target="https://www.federalregister.gov/documents/2017/01/18/2017-01197/recognizing-positive-actions-by-the-government-of-sudan-and-providing-for-the-revocation-of-certain" TargetMode="External"/><Relationship Id="rId461" Type="http://schemas.openxmlformats.org/officeDocument/2006/relationships/hyperlink" Target="https://www.federalregister.gov/documents/2004/07/13/04-15934/delegation-of-certain-waiver-determination-certification-recommendation-and-reporting-functions" TargetMode="External"/><Relationship Id="rId1294" Type="http://schemas.openxmlformats.org/officeDocument/2006/relationships/hyperlink" Target="https://www.govinfo.gov/content/pkg/FR-2017-01-18/pdf/2017-01197.pdf" TargetMode="External"/><Relationship Id="rId460" Type="http://schemas.openxmlformats.org/officeDocument/2006/relationships/hyperlink" Target="https://www.govinfo.gov/content/pkg/FR-2004-07-13/pdf/04-15933.pdf" TargetMode="External"/><Relationship Id="rId1295" Type="http://schemas.openxmlformats.org/officeDocument/2006/relationships/hyperlink" Target="https://www.federalregister.gov/documents/2017/01/19/2017-01487/providing-an-order-of-succession-within-the-department-of-justice" TargetMode="External"/><Relationship Id="rId1296" Type="http://schemas.openxmlformats.org/officeDocument/2006/relationships/hyperlink" Target="https://www.govinfo.gov/content/pkg/FR-2017-01-19/pdf/2017-01487.pdf" TargetMode="External"/><Relationship Id="rId466" Type="http://schemas.openxmlformats.org/officeDocument/2006/relationships/hyperlink" Target="https://www.govinfo.gov/content/pkg/FR-2004-07-27/pdf/04-17205.pdf" TargetMode="External"/><Relationship Id="rId1297" Type="http://schemas.openxmlformats.org/officeDocument/2006/relationships/hyperlink" Target="https://www.federalregister.gov/documents/2017/01/19/2017-01489/providing-an-order-of-succession-within-the-environmental-protection-agency" TargetMode="External"/><Relationship Id="rId465" Type="http://schemas.openxmlformats.org/officeDocument/2006/relationships/hyperlink" Target="https://www.federalregister.gov/documents/2004/07/27/04-17205/blocking-property-of-certain-persons-and-prohibiting-the-importation-of-certain-goods-from-liberia" TargetMode="External"/><Relationship Id="rId1298" Type="http://schemas.openxmlformats.org/officeDocument/2006/relationships/hyperlink" Target="https://www.govinfo.gov/content/pkg/FR-2017-01-19/pdf/2017-01489.pdf" TargetMode="External"/><Relationship Id="rId464" Type="http://schemas.openxmlformats.org/officeDocument/2006/relationships/hyperlink" Target="https://www.govinfo.gov/content/pkg/FR-2004-07-26/pdf/04-17150.pdf" TargetMode="External"/><Relationship Id="rId1299" Type="http://schemas.openxmlformats.org/officeDocument/2006/relationships/hyperlink" Target="https://www.federalregister.gov/documents/2017/01/23/2017-01623/amending-the-civil-service-rules-executive-order-13488-and-executive-order-13467-to-modernize-the" TargetMode="External"/><Relationship Id="rId463" Type="http://schemas.openxmlformats.org/officeDocument/2006/relationships/hyperlink" Target="https://www.federalregister.gov/documents/2004/07/26/04-17150/individuals-with-disabilities-in-emergency-preparedness" TargetMode="External"/><Relationship Id="rId459" Type="http://schemas.openxmlformats.org/officeDocument/2006/relationships/hyperlink" Target="https://www.federalregister.gov/documents/2004/07/13/04-15933/assigning-foreign-affairs-functions-and-implementing-the-enterprise-for-the-americas-initiative-and" TargetMode="External"/><Relationship Id="rId458" Type="http://schemas.openxmlformats.org/officeDocument/2006/relationships/hyperlink" Target="https://www.govinfo.gov/content/pkg/FR-2004-07-09/pdf/04-15787.pdf" TargetMode="External"/><Relationship Id="rId457" Type="http://schemas.openxmlformats.org/officeDocument/2006/relationships/hyperlink" Target="https://www.federalregister.gov/documents/2004/07/09/04-15787/amending-executive-order-13261-on-the-order-of-succession-in-the-environmental-protection-agency" TargetMode="External"/><Relationship Id="rId456" Type="http://schemas.openxmlformats.org/officeDocument/2006/relationships/hyperlink" Target="https://www.govinfo.gov/content/pkg/FR-2004-06-08/pdf/04-13123.pdf" TargetMode="External"/><Relationship Id="rId1280" Type="http://schemas.openxmlformats.org/officeDocument/2006/relationships/hyperlink" Target="https://www.govinfo.gov/content/pkg/FR-2016-12-14/pdf/2016-30277.pdf" TargetMode="External"/><Relationship Id="rId1281" Type="http://schemas.openxmlformats.org/officeDocument/2006/relationships/hyperlink" Target="https://www.federalregister.gov/documents/2016/12/30/2016-31792/providing-an-order-of-succession-within-the-department-of-labor" TargetMode="External"/><Relationship Id="rId451" Type="http://schemas.openxmlformats.org/officeDocument/2006/relationships/hyperlink" Target="https://www.federalregister.gov/documents/2004/05/25/04-11991/further-amendment-to-executive-order-11023-providing-for-the-performance-by-the-secretary-of" TargetMode="External"/><Relationship Id="rId1282" Type="http://schemas.openxmlformats.org/officeDocument/2006/relationships/hyperlink" Target="https://www.govinfo.gov/content/pkg/FR-2016-12-30/pdf/2016-31792.pdf" TargetMode="External"/><Relationship Id="rId450" Type="http://schemas.openxmlformats.org/officeDocument/2006/relationships/hyperlink" Target="https://www.govinfo.gov/content/pkg/FR-2004-05-20/pdf/04-11592.pdf" TargetMode="External"/><Relationship Id="rId1283" Type="http://schemas.openxmlformats.org/officeDocument/2006/relationships/hyperlink" Target="https://www.federalregister.gov/documents/2016/12/30/2016-31875/adjustments-of-certain-rates-of-pay" TargetMode="External"/><Relationship Id="rId1284" Type="http://schemas.openxmlformats.org/officeDocument/2006/relationships/hyperlink" Target="https://www.govinfo.gov/content/pkg/FR-2016-12-30/pdf/2016-31875.pdf" TargetMode="External"/><Relationship Id="rId1285" Type="http://schemas.openxmlformats.org/officeDocument/2006/relationships/hyperlink" Target="https://www.federalregister.gov/documents/2017/01/03/2016-31922/taking-additional-steps-to-address-the-national-emergency-with-respect-to-significant-malicious" TargetMode="External"/><Relationship Id="rId455" Type="http://schemas.openxmlformats.org/officeDocument/2006/relationships/hyperlink" Target="https://www.federalregister.gov/documents/2004/06/08/04-13123/providing-for-the-closing-of-government-departments-and-agencies-on-june-11-2004" TargetMode="External"/><Relationship Id="rId1286" Type="http://schemas.openxmlformats.org/officeDocument/2006/relationships/hyperlink" Target="https://www.govinfo.gov/content/pkg/FR-2017-01-03/pdf/2016-31922.pdf" TargetMode="External"/><Relationship Id="rId454" Type="http://schemas.openxmlformats.org/officeDocument/2006/relationships/hyperlink" Target="https://www.govinfo.gov/content/pkg/FR-2004-06-03/pdf/04-12745.pdf" TargetMode="External"/><Relationship Id="rId1287" Type="http://schemas.openxmlformats.org/officeDocument/2006/relationships/hyperlink" Target="https://www.federalregister.gov/documents/2017/01/17/2017-01164/amending-executive-order-11016-to-update-eligibility-criteria-for-award-of-the-purple-heart" TargetMode="External"/><Relationship Id="rId453" Type="http://schemas.openxmlformats.org/officeDocument/2006/relationships/hyperlink" Target="https://www.federalregister.gov/documents/2004/06/03/04-12745/responsibilities-of-the-departments-of-commerce-and-veterans-affairs-and-the-small-business" TargetMode="External"/><Relationship Id="rId1288" Type="http://schemas.openxmlformats.org/officeDocument/2006/relationships/hyperlink" Target="https://www.govinfo.gov/content/pkg/FR-2017-01-17/pdf/2017-01164.pdf" TargetMode="External"/><Relationship Id="rId452" Type="http://schemas.openxmlformats.org/officeDocument/2006/relationships/hyperlink" Target="https://www.govinfo.gov/content/pkg/FR-2004-05-25/pdf/04-11991.pdf" TargetMode="External"/><Relationship Id="rId1289" Type="http://schemas.openxmlformats.org/officeDocument/2006/relationships/hyperlink" Target="https://www.federalregister.gov/documents/2017/01/17/2017-01168/designating-the-world-organisation-for-animal-health-as-a-public-international-organization-entitled" TargetMode="External"/><Relationship Id="rId491" Type="http://schemas.openxmlformats.org/officeDocument/2006/relationships/hyperlink" Target="https://www.federalregister.gov/documents/2004/11/19/04-25866/assignment-of-functions-under-the-united-states-leadership-against-hivaids-tuberculosis-and-malaria" TargetMode="External"/><Relationship Id="rId490" Type="http://schemas.openxmlformats.org/officeDocument/2006/relationships/hyperlink" Target="https://www.govinfo.gov/content/pkg/FR-2004-10-26/pdf/04-24098.pdf" TargetMode="External"/><Relationship Id="rId489" Type="http://schemas.openxmlformats.org/officeDocument/2006/relationships/hyperlink" Target="https://www.federalregister.gov/documents/2004/10/26/04-24098/providing-opportunities-for-service-disabled-veteran-businesses-to-increase-their-federal" TargetMode="External"/><Relationship Id="rId484" Type="http://schemas.openxmlformats.org/officeDocument/2006/relationships/hyperlink" Target="https://www.govinfo.gov/content/pkg/FR-2004-09-22/pdf/04-21411.pdf" TargetMode="External"/><Relationship Id="rId483" Type="http://schemas.openxmlformats.org/officeDocument/2006/relationships/hyperlink" Target="https://www.federalregister.gov/documents/2004/09/22/04-21411/termination-of-emergency-declared-in-executive-order-12543-with-respect-to-the-policies-and-actions" TargetMode="External"/><Relationship Id="rId482" Type="http://schemas.openxmlformats.org/officeDocument/2006/relationships/hyperlink" Target="https://www.govinfo.gov/content/pkg/FR-2004-09-01/pdf/04-20052.pdf" TargetMode="External"/><Relationship Id="rId481" Type="http://schemas.openxmlformats.org/officeDocument/2006/relationships/hyperlink" Target="https://www.federalregister.gov/documents/2004/09/01/04-20052/strengthening-the-sharing-of-terrorism-information-to-protect-americans" TargetMode="External"/><Relationship Id="rId488" Type="http://schemas.openxmlformats.org/officeDocument/2006/relationships/hyperlink" Target="https://www.govinfo.gov/content/pkg/FR-2004-10-25/pdf/04-23994.pdf" TargetMode="External"/><Relationship Id="rId487" Type="http://schemas.openxmlformats.org/officeDocument/2006/relationships/hyperlink" Target="https://www.federalregister.gov/documents/2004/10/25/04-23994/amendment-to-executive-order-13173-interagency-task-force-on-the-economic-development-of-the-central" TargetMode="External"/><Relationship Id="rId486" Type="http://schemas.openxmlformats.org/officeDocument/2006/relationships/hyperlink" Target="https://www.govinfo.gov/content/pkg/FR-2004-09-30/pdf/04-22212.pdf" TargetMode="External"/><Relationship Id="rId485" Type="http://schemas.openxmlformats.org/officeDocument/2006/relationships/hyperlink" Target="https://www.federalregister.gov/documents/2004/09/30/04-22212/assignment-of-functions-relating-to-certain-appointments-promotions-and-commissions-in-the-armed" TargetMode="External"/><Relationship Id="rId480" Type="http://schemas.openxmlformats.org/officeDocument/2006/relationships/hyperlink" Target="https://www.govinfo.gov/content/pkg/FR-2004-09-01/pdf/04-20051.pdf" TargetMode="External"/><Relationship Id="rId479" Type="http://schemas.openxmlformats.org/officeDocument/2006/relationships/hyperlink" Target="https://www.federalregister.gov/documents/2004/09/01/04-20051/strengthened-management-of-the-intelligence-community" TargetMode="External"/><Relationship Id="rId478" Type="http://schemas.openxmlformats.org/officeDocument/2006/relationships/hyperlink" Target="https://www.govinfo.gov/content/pkg/FR-2004-09-01/pdf/04-20050.pdf" TargetMode="External"/><Relationship Id="rId473" Type="http://schemas.openxmlformats.org/officeDocument/2006/relationships/hyperlink" Target="https://www.federalregister.gov/documents/2004/08/30/04-19909/facilitation-of-cooperative-conservation" TargetMode="External"/><Relationship Id="rId472" Type="http://schemas.openxmlformats.org/officeDocument/2006/relationships/hyperlink" Target="https://www.govinfo.gov/content/pkg/FR-2004-08-12/pdf/04-18575.pdf" TargetMode="External"/><Relationship Id="rId471" Type="http://schemas.openxmlformats.org/officeDocument/2006/relationships/hyperlink" Target="https://www.federalregister.gov/documents/2004/08/12/04-18575/establishing-an-emergency-board-to-investigate-a-dispute-between-the-southeastern-pennsylvania" TargetMode="External"/><Relationship Id="rId470" Type="http://schemas.openxmlformats.org/officeDocument/2006/relationships/hyperlink" Target="https://www.govinfo.gov/content/pkg/FR-2004-07-30/pdf/04-17636.pdf" TargetMode="External"/><Relationship Id="rId477" Type="http://schemas.openxmlformats.org/officeDocument/2006/relationships/hyperlink" Target="https://www.federalregister.gov/documents/2004/09/01/04-20050/national-counterterrorism-center" TargetMode="External"/><Relationship Id="rId476" Type="http://schemas.openxmlformats.org/officeDocument/2006/relationships/hyperlink" Target="https://www.govinfo.gov/content/pkg/FR-2004-09-01/pdf/04-20049.pdf" TargetMode="External"/><Relationship Id="rId475" Type="http://schemas.openxmlformats.org/officeDocument/2006/relationships/hyperlink" Target="https://www.federalregister.gov/documents/2004/09/01/04-20049/establishing-the-presidents-board-on-safeguarding-americans-civil-liberties" TargetMode="External"/><Relationship Id="rId474" Type="http://schemas.openxmlformats.org/officeDocument/2006/relationships/hyperlink" Target="https://www.govinfo.gov/content/pkg/FR-2004-08-30/pdf/04-19909.pdf" TargetMode="External"/><Relationship Id="rId1257" Type="http://schemas.openxmlformats.org/officeDocument/2006/relationships/hyperlink" Target="https://www.federalregister.gov/documents/2016/10/18/2016-25288/charitable-fundraising" TargetMode="External"/><Relationship Id="rId1258" Type="http://schemas.openxmlformats.org/officeDocument/2006/relationships/hyperlink" Target="https://www.govinfo.gov/content/pkg/FR-2016-10-18/pdf/2016-25288.pdf" TargetMode="External"/><Relationship Id="rId1259" Type="http://schemas.openxmlformats.org/officeDocument/2006/relationships/hyperlink" Target="https://www.federalregister.gov/documents/2016/10/18/2016-25290/coordinating-efforts-to-prepare-the-nation-for-space-weather-events" TargetMode="External"/><Relationship Id="rId426" Type="http://schemas.openxmlformats.org/officeDocument/2006/relationships/hyperlink" Target="https://www.govinfo.gov/content/pkg/FR-2004-02-11/pdf/04-3170.pdf" TargetMode="External"/><Relationship Id="rId425" Type="http://schemas.openxmlformats.org/officeDocument/2006/relationships/hyperlink" Target="https://www.federalregister.gov/documents/2004/02/11/04-3170/commission-on-the-intelligence-capabilities-of-the-united-states-regarding-weapons-of-mass" TargetMode="External"/><Relationship Id="rId424" Type="http://schemas.openxmlformats.org/officeDocument/2006/relationships/hyperlink" Target="https://www.govinfo.gov/content/pkg/FR-2004-02-06/pdf/04-2773.pdf" TargetMode="External"/><Relationship Id="rId423" Type="http://schemas.openxmlformats.org/officeDocument/2006/relationships/hyperlink" Target="https://www.federalregister.gov/documents/2004/02/06/04-2773/federal-real-property-asset-management" TargetMode="External"/><Relationship Id="rId429" Type="http://schemas.openxmlformats.org/officeDocument/2006/relationships/hyperlink" Target="https://www.federalregister.gov/documents/2004/02/26/04-4451/human-service-transportation-coordination" TargetMode="External"/><Relationship Id="rId428" Type="http://schemas.openxmlformats.org/officeDocument/2006/relationships/hyperlink" Target="https://www.govinfo.gov/content/pkg/FR-2004-02-26/pdf/04-4436.pdf" TargetMode="External"/><Relationship Id="rId427" Type="http://schemas.openxmlformats.org/officeDocument/2006/relationships/hyperlink" Target="https://www.federalregister.gov/documents/2004/02/26/04-4436/encouraging-innovation-in-manufacturing" TargetMode="External"/><Relationship Id="rId1250" Type="http://schemas.openxmlformats.org/officeDocument/2006/relationships/hyperlink" Target="https://www.govinfo.gov/content/pkg/FR-2016-09-16/pdf/2016-22454.pdf" TargetMode="External"/><Relationship Id="rId1251" Type="http://schemas.openxmlformats.org/officeDocument/2006/relationships/hyperlink" Target="https://www.federalregister.gov/documents/2016/09/22/2016-22962/2016-amendments-to-the-manual-for-courts-martial-united-states" TargetMode="External"/><Relationship Id="rId1252" Type="http://schemas.openxmlformats.org/officeDocument/2006/relationships/hyperlink" Target="https://www.govinfo.gov/content/pkg/FR-2016-09-22/pdf/2016-22962.pdf" TargetMode="External"/><Relationship Id="rId422" Type="http://schemas.openxmlformats.org/officeDocument/2006/relationships/hyperlink" Target="https://www.govinfo.gov/content/pkg/FR-2004-02-03/pdf/04-2408.pdf" TargetMode="External"/><Relationship Id="rId1253" Type="http://schemas.openxmlformats.org/officeDocument/2006/relationships/hyperlink" Target="https://www.federalregister.gov/documents/2016/10/04/2016-24066/amending-executive-order-13467-to-establish-the-roles-and-responsibilities-of-the-national" TargetMode="External"/><Relationship Id="rId421" Type="http://schemas.openxmlformats.org/officeDocument/2006/relationships/hyperlink" Target="https://www.federalregister.gov/documents/2004/02/03/04-2408/presidents-commission-on-implementation-of-united-states-space-exploration-policy" TargetMode="External"/><Relationship Id="rId1254" Type="http://schemas.openxmlformats.org/officeDocument/2006/relationships/hyperlink" Target="https://www.govinfo.gov/content/pkg/FR-2016-10-04/pdf/2016-24066.pdf" TargetMode="External"/><Relationship Id="rId420" Type="http://schemas.openxmlformats.org/officeDocument/2006/relationships/hyperlink" Target="https://www.govinfo.gov/content/pkg/FR-2004-01-28/pdf/04-1941.pdf" TargetMode="External"/><Relationship Id="rId1255" Type="http://schemas.openxmlformats.org/officeDocument/2006/relationships/hyperlink" Target="https://www.federalregister.gov/documents/2016/10/12/2016-24847/termination-of-emergency-with-respect-to-the-actions-and-policies-of-the-government-of-burma" TargetMode="External"/><Relationship Id="rId1256" Type="http://schemas.openxmlformats.org/officeDocument/2006/relationships/hyperlink" Target="https://www.govinfo.gov/content/pkg/FR-2016-10-12/pdf/2016-24847.pdf" TargetMode="External"/><Relationship Id="rId1246" Type="http://schemas.openxmlformats.org/officeDocument/2006/relationships/hyperlink" Target="https://www.govinfo.gov/content/pkg/FR-2016-08-17/pdf/2016-19725.pdf" TargetMode="External"/><Relationship Id="rId1247" Type="http://schemas.openxmlformats.org/officeDocument/2006/relationships/hyperlink" Target="https://www.federalregister.gov/documents/2016/08/26/2016-20713/amendment-to-executive-order-13673" TargetMode="External"/><Relationship Id="rId1248" Type="http://schemas.openxmlformats.org/officeDocument/2006/relationships/hyperlink" Target="https://www.govinfo.gov/content/pkg/FR-2016-08-26/pdf/2016-20713.pdf" TargetMode="External"/><Relationship Id="rId1249" Type="http://schemas.openxmlformats.org/officeDocument/2006/relationships/hyperlink" Target="https://www.federalregister.gov/documents/2016/09/16/2016-22454/termination-of-emergency-with-respect-to-the-situation-in-or-in-relation-to-cte-divoire" TargetMode="External"/><Relationship Id="rId415" Type="http://schemas.openxmlformats.org/officeDocument/2006/relationships/hyperlink" Target="https://www.federalregister.gov/documents/2004/01/02/03-32332/assignment-of-functions-relating-to-arrivals-in-and-departures-from-the-united-states" TargetMode="External"/><Relationship Id="rId899" Type="http://schemas.openxmlformats.org/officeDocument/2006/relationships/hyperlink" Target="https://www.federalregister.gov/documents/2011/02/03/2011-2577/establishment-of-the-presidents-council-on-jobs-and-competitiveness" TargetMode="External"/><Relationship Id="rId414" Type="http://schemas.openxmlformats.org/officeDocument/2006/relationships/hyperlink" Target="https://www.govinfo.gov/content/pkg/FR-2004-01-02/pdf/03-32328.pdf" TargetMode="External"/><Relationship Id="rId898" Type="http://schemas.openxmlformats.org/officeDocument/2006/relationships/hyperlink" Target="https://www.govinfo.gov/content/pkg/FR-2011-01-21/pdf/2011-1385.pdf" TargetMode="External"/><Relationship Id="rId413" Type="http://schemas.openxmlformats.org/officeDocument/2006/relationships/hyperlink" Target="https://www.federalregister.gov/documents/2004/01/02/03-32328/adjustments-of-certain-rates-of-pay" TargetMode="External"/><Relationship Id="rId897" Type="http://schemas.openxmlformats.org/officeDocument/2006/relationships/hyperlink" Target="https://www.federalregister.gov/documents/2011/01/21/2011-1385/improving-regulation-and-regulatory-review" TargetMode="External"/><Relationship Id="rId412" Type="http://schemas.openxmlformats.org/officeDocument/2006/relationships/hyperlink" Target="https://www.govinfo.gov/content/pkg/FR-2003-12-23/pdf/03-31594.pdf" TargetMode="External"/><Relationship Id="rId896" Type="http://schemas.openxmlformats.org/officeDocument/2006/relationships/hyperlink" Target="https://www.govinfo.gov/content/pkg/FR-2010-12-30/pdf/2010-33169.pdf" TargetMode="External"/><Relationship Id="rId419" Type="http://schemas.openxmlformats.org/officeDocument/2006/relationships/hyperlink" Target="https://www.federalregister.gov/documents/2004/01/28/04-1941/amendment-to-executive-order-12293-the-foreign-service-of-the-united-states" TargetMode="External"/><Relationship Id="rId418" Type="http://schemas.openxmlformats.org/officeDocument/2006/relationships/hyperlink" Target="https://www.govinfo.gov/content/pkg/FR-2004-01-20/pdf/04-1322.pdf" TargetMode="External"/><Relationship Id="rId417" Type="http://schemas.openxmlformats.org/officeDocument/2006/relationships/hyperlink" Target="https://www.federalregister.gov/documents/2004/01/20/04-1322/termination-of-emergency-with-respect-to-sierra-leone-and-liberia" TargetMode="External"/><Relationship Id="rId416" Type="http://schemas.openxmlformats.org/officeDocument/2006/relationships/hyperlink" Target="https://www.govinfo.gov/content/pkg/FR-2004-01-02/pdf/03-32332.pdf" TargetMode="External"/><Relationship Id="rId891" Type="http://schemas.openxmlformats.org/officeDocument/2006/relationships/hyperlink" Target="https://www.federalregister.gov/documents/2010/12/17/2010-31878/white-house-council-for-community-solutions" TargetMode="External"/><Relationship Id="rId890" Type="http://schemas.openxmlformats.org/officeDocument/2006/relationships/hyperlink" Target="https://www.govinfo.gov/content/pkg/FR-2010-11-22/pdf/2010-29579.pdf" TargetMode="External"/><Relationship Id="rId1240" Type="http://schemas.openxmlformats.org/officeDocument/2006/relationships/hyperlink" Target="https://www.govinfo.gov/content/pkg/FR-2016-08-08/pdf/2016-18872.pdf" TargetMode="External"/><Relationship Id="rId1241" Type="http://schemas.openxmlformats.org/officeDocument/2006/relationships/hyperlink" Target="https://www.federalregister.gov/documents/2016/08/17/2016-19723/providing-an-order-of-succession-within-the-department-of-the-treasury" TargetMode="External"/><Relationship Id="rId411" Type="http://schemas.openxmlformats.org/officeDocument/2006/relationships/hyperlink" Target="https://www.federalregister.gov/documents/2003/12/23/03-31594/appointments-during-national-emergency" TargetMode="External"/><Relationship Id="rId895" Type="http://schemas.openxmlformats.org/officeDocument/2006/relationships/hyperlink" Target="https://www.federalregister.gov/documents/2010/12/30/2010-33169/recruiting-and-hiring-students-and-recent-graduates" TargetMode="External"/><Relationship Id="rId1242" Type="http://schemas.openxmlformats.org/officeDocument/2006/relationships/hyperlink" Target="https://www.govinfo.gov/content/pkg/FR-2016-08-17/pdf/2016-19723.pdf" TargetMode="External"/><Relationship Id="rId410" Type="http://schemas.openxmlformats.org/officeDocument/2006/relationships/hyperlink" Target="https://www.govinfo.gov/content/pkg/FR-2003-12-12/pdf/03-30913.pdf" TargetMode="External"/><Relationship Id="rId894" Type="http://schemas.openxmlformats.org/officeDocument/2006/relationships/hyperlink" Target="https://www.govinfo.gov/content/pkg/FR-2010-12-29/pdf/2010-32960.pdf" TargetMode="External"/><Relationship Id="rId1243" Type="http://schemas.openxmlformats.org/officeDocument/2006/relationships/hyperlink" Target="https://www.federalregister.gov/documents/2016/08/17/2016-19724/providing-an-order-of-succession-within-the-department-of-veterans-affairs" TargetMode="External"/><Relationship Id="rId893" Type="http://schemas.openxmlformats.org/officeDocument/2006/relationships/hyperlink" Target="https://www.federalregister.gov/documents/2010/12/29/2010-32960/adjustments-of-certain-rates-of-pay" TargetMode="External"/><Relationship Id="rId1244" Type="http://schemas.openxmlformats.org/officeDocument/2006/relationships/hyperlink" Target="https://www.govinfo.gov/content/pkg/FR-2016-08-17/pdf/2016-19724.pdf" TargetMode="External"/><Relationship Id="rId892" Type="http://schemas.openxmlformats.org/officeDocument/2006/relationships/hyperlink" Target="https://www.govinfo.gov/content/pkg/FR-2010-12-17/pdf/2010-31878.pdf" TargetMode="External"/><Relationship Id="rId1245" Type="http://schemas.openxmlformats.org/officeDocument/2006/relationships/hyperlink" Target="https://www.federalregister.gov/documents/2016/08/17/2016-19725/providing-an-order-of-succession-within-the-environmental-protection-agency" TargetMode="External"/><Relationship Id="rId1279" Type="http://schemas.openxmlformats.org/officeDocument/2006/relationships/hyperlink" Target="https://www.federalregister.gov/documents/2016/12/14/2016-30277/northern-bering-sea-climate-resilience" TargetMode="External"/><Relationship Id="rId448" Type="http://schemas.openxmlformats.org/officeDocument/2006/relationships/hyperlink" Target="https://www.govinfo.gov/content/pkg/FR-2004-05-17/pdf/04-11271.pdf" TargetMode="External"/><Relationship Id="rId447" Type="http://schemas.openxmlformats.org/officeDocument/2006/relationships/hyperlink" Target="https://www.federalregister.gov/documents/2004/05/17/04-11271/increasing-economic-opportunity-and-business-participation-of-asian-americans-and-pacific-islanders" TargetMode="External"/><Relationship Id="rId446" Type="http://schemas.openxmlformats.org/officeDocument/2006/relationships/hyperlink" Target="https://www.govinfo.gov/content/pkg/FR-2004-05-13/pdf/04-11058.pdf" TargetMode="External"/><Relationship Id="rId445" Type="http://schemas.openxmlformats.org/officeDocument/2006/relationships/hyperlink" Target="https://www.federalregister.gov/documents/2004/05/13/04-11058/blocking-property-of-certain-persons-and-prohibiting-the-export-of-certain-goods-to-syria" TargetMode="External"/><Relationship Id="rId449" Type="http://schemas.openxmlformats.org/officeDocument/2006/relationships/hyperlink" Target="https://www.federalregister.gov/documents/2004/05/20/04-11592/establishment-of-great-lakes-interagency-task-force-and-promotion-of-a-regional-collaboration-of" TargetMode="External"/><Relationship Id="rId1270" Type="http://schemas.openxmlformats.org/officeDocument/2006/relationships/hyperlink" Target="https://www.govinfo.gov/content/pkg/FR-2016-12-02/pdf/2016-29165.pdf" TargetMode="External"/><Relationship Id="rId440" Type="http://schemas.openxmlformats.org/officeDocument/2006/relationships/hyperlink" Target="https://www.govinfo.gov/content/pkg/FR-2004-04-30/pdf/04-10024.pdf" TargetMode="External"/><Relationship Id="rId1271" Type="http://schemas.openxmlformats.org/officeDocument/2006/relationships/hyperlink" Target="https://www.federalregister.gov/documents/2016/12/02/2016-29169/providing-for-the-appointment-of-alumni-of-the-fulbright-us-student-program-the-benjamin-a-gilman" TargetMode="External"/><Relationship Id="rId1272" Type="http://schemas.openxmlformats.org/officeDocument/2006/relationships/hyperlink" Target="https://www.govinfo.gov/content/pkg/FR-2016-12-02/pdf/2016-29169.pdf" TargetMode="External"/><Relationship Id="rId1273" Type="http://schemas.openxmlformats.org/officeDocument/2006/relationships/hyperlink" Target="https://www.federalregister.gov/documents/2016/12/08/2016-29519/safeguarding-the-nation-from-the-impacts-of-invasive-species" TargetMode="External"/><Relationship Id="rId1274" Type="http://schemas.openxmlformats.org/officeDocument/2006/relationships/hyperlink" Target="https://www.govinfo.gov/content/pkg/FR-2016-12-08/pdf/2016-29519.pdf" TargetMode="External"/><Relationship Id="rId444" Type="http://schemas.openxmlformats.org/officeDocument/2006/relationships/hyperlink" Target="https://www.govinfo.gov/content/pkg/FR-2004-05-05/pdf/04-10378.pdf" TargetMode="External"/><Relationship Id="rId1275" Type="http://schemas.openxmlformats.org/officeDocument/2006/relationships/hyperlink" Target="https://www.federalregister.gov/documents/2016/12/13/2016-30101/relating-to-the-implementation-of-the-convention-on-the-international-recovery-of-child-support-and" TargetMode="External"/><Relationship Id="rId443" Type="http://schemas.openxmlformats.org/officeDocument/2006/relationships/hyperlink" Target="https://www.federalregister.gov/documents/2004/05/05/04-10378/issuance-of-permits-with-respect-to-certain-energy-related-facilities-and-land-transportation" TargetMode="External"/><Relationship Id="rId1276" Type="http://schemas.openxmlformats.org/officeDocument/2006/relationships/hyperlink" Target="https://www.govinfo.gov/content/pkg/FR-2016-12-13/pdf/2016-30101.pdf" TargetMode="External"/><Relationship Id="rId442" Type="http://schemas.openxmlformats.org/officeDocument/2006/relationships/hyperlink" Target="https://www.govinfo.gov/content/pkg/FR-2004-05-05/pdf/04-10377.pdf" TargetMode="External"/><Relationship Id="rId1277" Type="http://schemas.openxmlformats.org/officeDocument/2006/relationships/hyperlink" Target="https://www.federalregister.gov/documents/2016/12/14/2016-30272/amending-the-order-of-succession-in-the-department-of-homeland-security" TargetMode="External"/><Relationship Id="rId441" Type="http://schemas.openxmlformats.org/officeDocument/2006/relationships/hyperlink" Target="https://www.federalregister.gov/documents/2004/05/05/04-10377/american-indian-and-alaska-native-education" TargetMode="External"/><Relationship Id="rId1278" Type="http://schemas.openxmlformats.org/officeDocument/2006/relationships/hyperlink" Target="https://www.govinfo.gov/content/pkg/FR-2016-12-14/pdf/2016-30272.pdf" TargetMode="External"/><Relationship Id="rId1268" Type="http://schemas.openxmlformats.org/officeDocument/2006/relationships/hyperlink" Target="https://www.govinfo.gov/content/pkg/FR-2016-11-21/pdf/2016-28203.pdf" TargetMode="External"/><Relationship Id="rId1269" Type="http://schemas.openxmlformats.org/officeDocument/2006/relationships/hyperlink" Target="https://www.federalregister.gov/documents/2016/12/02/2016-29165/providing-for-the-appointment-in-the-competitive-service-of-certain-employees-of-the-foreign-service" TargetMode="External"/><Relationship Id="rId437" Type="http://schemas.openxmlformats.org/officeDocument/2006/relationships/hyperlink" Target="https://www.federalregister.gov/documents/2004/04/14/04-8616/establishing-an-emergency-board-to-investigate-a-dispute-between-the-southeastern-pennsylvania" TargetMode="External"/><Relationship Id="rId436" Type="http://schemas.openxmlformats.org/officeDocument/2006/relationships/hyperlink" Target="https://www.govinfo.gov/content/pkg/FR-2004-03-23/pdf/04-6622.pdf" TargetMode="External"/><Relationship Id="rId435" Type="http://schemas.openxmlformats.org/officeDocument/2006/relationships/hyperlink" Target="https://www.federalregister.gov/documents/2004/03/23/04-6622/amending-executive-order-13257-to-implement-the-trafficking-victims-protection-reauthorization-act" TargetMode="External"/><Relationship Id="rId434" Type="http://schemas.openxmlformats.org/officeDocument/2006/relationships/hyperlink" Target="https://www.govinfo.gov/content/pkg/FR-2004-03-08/pdf/04-5322.pdf" TargetMode="External"/><Relationship Id="rId439" Type="http://schemas.openxmlformats.org/officeDocument/2006/relationships/hyperlink" Target="https://www.federalregister.gov/documents/2004/04/30/04-10024/incentives-for-the-use-of-health-information-technology-and-establishing-the-position-of-the" TargetMode="External"/><Relationship Id="rId438" Type="http://schemas.openxmlformats.org/officeDocument/2006/relationships/hyperlink" Target="https://www.govinfo.gov/content/pkg/FR-2004-04-14/pdf/04-8616.pdf" TargetMode="External"/><Relationship Id="rId1260" Type="http://schemas.openxmlformats.org/officeDocument/2006/relationships/hyperlink" Target="https://www.govinfo.gov/content/pkg/FR-2016-10-18/pdf/2016-25290.pdf" TargetMode="External"/><Relationship Id="rId1261" Type="http://schemas.openxmlformats.org/officeDocument/2006/relationships/hyperlink" Target="https://www.federalregister.gov/documents/2016/11/03/2016-26753/delegation-of-function-to-the-director-of-the-office-of-personnel-management" TargetMode="External"/><Relationship Id="rId1262" Type="http://schemas.openxmlformats.org/officeDocument/2006/relationships/hyperlink" Target="https://www.govinfo.gov/content/pkg/FR-2016-11-03/pdf/2016-26753.pdf" TargetMode="External"/><Relationship Id="rId1263" Type="http://schemas.openxmlformats.org/officeDocument/2006/relationships/hyperlink" Target="https://www.federalregister.gov/documents/2016/11/08/2016-27156/advancing-the-goals-of-the-power-africa-initiative-to-expand-access-to-electricity-in-sub--saharan" TargetMode="External"/><Relationship Id="rId433" Type="http://schemas.openxmlformats.org/officeDocument/2006/relationships/hyperlink" Target="https://www.federalregister.gov/documents/2004/03/08/04-5322/further-adjustment-of-certain-rates-of-pay" TargetMode="External"/><Relationship Id="rId1264" Type="http://schemas.openxmlformats.org/officeDocument/2006/relationships/hyperlink" Target="https://www.govinfo.gov/content/pkg/FR-2016-11-08/pdf/2016-27156.pdf" TargetMode="External"/><Relationship Id="rId432" Type="http://schemas.openxmlformats.org/officeDocument/2006/relationships/hyperlink" Target="https://www.govinfo.gov/content/pkg/FR-2004-03-03/pdf/04-4884.pdf" TargetMode="External"/><Relationship Id="rId1265" Type="http://schemas.openxmlformats.org/officeDocument/2006/relationships/hyperlink" Target="https://www.federalregister.gov/documents/2016/11/09/2016-27171/advancing-the-global-health-security-agenda-to-achieve-a-world-safe-and-secure-from-infectious" TargetMode="External"/><Relationship Id="rId431" Type="http://schemas.openxmlformats.org/officeDocument/2006/relationships/hyperlink" Target="https://www.federalregister.gov/documents/2004/03/03/04-4884/national-and-community-service-programs" TargetMode="External"/><Relationship Id="rId1266" Type="http://schemas.openxmlformats.org/officeDocument/2006/relationships/hyperlink" Target="https://www.govinfo.gov/content/pkg/FR-2016-11-09/pdf/2016-27171.pdf" TargetMode="External"/><Relationship Id="rId430" Type="http://schemas.openxmlformats.org/officeDocument/2006/relationships/hyperlink" Target="https://www.govinfo.gov/content/pkg/FR-2004-02-26/pdf/04-4451.pdf" TargetMode="External"/><Relationship Id="rId1267" Type="http://schemas.openxmlformats.org/officeDocument/2006/relationships/hyperlink" Target="https://www.federalregister.gov/documents/2016/11/21/2016-28203/establishing-a-community-solutions-counci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5"/>
    <col customWidth="1" min="24" max="24" width="18.38"/>
    <col customWidth="1" min="28" max="28" width="5.13"/>
    <col customWidth="1" min="29" max="29" width="13.75"/>
    <col customWidth="1" min="30" max="33" width="7.63"/>
    <col customWidth="1" min="34" max="35" width="14.0"/>
    <col customWidth="1" min="36" max="36" width="10.0"/>
    <col customWidth="1" min="37" max="37" width="7.63"/>
    <col customWidth="1" min="38" max="38" width="12.63"/>
    <col customWidth="1" min="39" max="39" width="9.63"/>
    <col customWidth="1" min="40" max="57" width="7.63"/>
  </cols>
  <sheetData>
    <row r="4">
      <c r="A4" s="1" t="s">
        <v>0</v>
      </c>
      <c r="B4" s="1" t="s">
        <v>1</v>
      </c>
      <c r="C4" s="1" t="s">
        <v>2</v>
      </c>
      <c r="D4" s="1" t="s">
        <v>3</v>
      </c>
      <c r="E4" s="1" t="s">
        <v>4</v>
      </c>
      <c r="F4" s="2"/>
      <c r="G4" s="1" t="s">
        <v>5</v>
      </c>
      <c r="H4" s="1" t="s">
        <v>3</v>
      </c>
      <c r="I4" s="1" t="s">
        <v>6</v>
      </c>
      <c r="J4" s="1" t="s">
        <v>3</v>
      </c>
      <c r="K4" s="2"/>
      <c r="L4" s="1" t="s">
        <v>7</v>
      </c>
      <c r="M4" s="1" t="s">
        <v>3</v>
      </c>
      <c r="N4" s="2"/>
      <c r="O4" s="2"/>
      <c r="P4" s="1" t="s">
        <v>8</v>
      </c>
      <c r="Q4" s="1" t="s">
        <v>3</v>
      </c>
      <c r="R4" s="2"/>
      <c r="S4" s="3"/>
      <c r="T4" s="3" t="s">
        <v>9</v>
      </c>
      <c r="U4" s="3" t="s">
        <v>3</v>
      </c>
      <c r="V4" s="2"/>
      <c r="W4" s="2"/>
      <c r="X4" s="1" t="s">
        <v>10</v>
      </c>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row>
    <row r="5">
      <c r="A5" s="4"/>
      <c r="B5" s="4" t="s">
        <v>11</v>
      </c>
      <c r="C5" s="4" t="s">
        <v>12</v>
      </c>
      <c r="D5" s="4" t="s">
        <v>13</v>
      </c>
      <c r="E5" s="5"/>
      <c r="F5" s="4"/>
      <c r="G5" s="4" t="s">
        <v>12</v>
      </c>
      <c r="H5" s="5"/>
      <c r="I5" s="5"/>
      <c r="J5" s="4" t="s">
        <v>13</v>
      </c>
      <c r="K5" s="4" t="s">
        <v>14</v>
      </c>
      <c r="L5" s="4" t="s">
        <v>12</v>
      </c>
      <c r="M5" s="5"/>
      <c r="N5" s="5"/>
      <c r="O5" s="5"/>
      <c r="P5" s="4" t="s">
        <v>12</v>
      </c>
      <c r="Q5" s="5"/>
      <c r="R5" s="5"/>
      <c r="S5" s="6"/>
      <c r="T5" s="6" t="s">
        <v>12</v>
      </c>
      <c r="U5" s="6"/>
      <c r="V5" s="5"/>
      <c r="W5" s="5"/>
      <c r="X5" s="4" t="s">
        <v>15</v>
      </c>
      <c r="Y5" s="5"/>
      <c r="Z5" s="4" t="s">
        <v>16</v>
      </c>
      <c r="AA5" s="4" t="s">
        <v>17</v>
      </c>
      <c r="AB5" s="4" t="s">
        <v>18</v>
      </c>
      <c r="AC5" s="4" t="s">
        <v>19</v>
      </c>
      <c r="AD5" s="4" t="s">
        <v>20</v>
      </c>
      <c r="AE5" s="4" t="s">
        <v>21</v>
      </c>
      <c r="AF5" s="4" t="s">
        <v>13</v>
      </c>
      <c r="AG5" s="4" t="s">
        <v>22</v>
      </c>
      <c r="AH5" s="4" t="s">
        <v>23</v>
      </c>
      <c r="AI5" s="4" t="s">
        <v>24</v>
      </c>
      <c r="AJ5" s="4" t="s">
        <v>25</v>
      </c>
      <c r="AK5" s="4" t="s">
        <v>26</v>
      </c>
      <c r="AL5" s="4" t="s">
        <v>27</v>
      </c>
      <c r="AM5" s="4" t="s">
        <v>28</v>
      </c>
      <c r="AN5" s="4" t="s">
        <v>29</v>
      </c>
      <c r="AO5" s="4" t="s">
        <v>30</v>
      </c>
      <c r="AP5" s="4" t="s">
        <v>31</v>
      </c>
      <c r="AQ5" s="4" t="s">
        <v>32</v>
      </c>
      <c r="AR5" s="4" t="s">
        <v>33</v>
      </c>
      <c r="AS5" s="4" t="s">
        <v>34</v>
      </c>
      <c r="AT5" s="4" t="s">
        <v>35</v>
      </c>
      <c r="AU5" s="4" t="s">
        <v>36</v>
      </c>
      <c r="AV5" s="4" t="s">
        <v>37</v>
      </c>
      <c r="AW5" s="4" t="s">
        <v>38</v>
      </c>
      <c r="AX5" s="4" t="s">
        <v>39</v>
      </c>
      <c r="AY5" s="4" t="s">
        <v>40</v>
      </c>
      <c r="AZ5" s="4" t="s">
        <v>41</v>
      </c>
      <c r="BA5" s="4" t="s">
        <v>42</v>
      </c>
      <c r="BB5" s="4" t="s">
        <v>43</v>
      </c>
      <c r="BC5" s="4" t="s">
        <v>44</v>
      </c>
      <c r="BD5" s="4" t="s">
        <v>45</v>
      </c>
      <c r="BE5" s="4" t="s">
        <v>46</v>
      </c>
    </row>
    <row r="6">
      <c r="A6" s="7"/>
      <c r="B6" s="7" t="s">
        <v>47</v>
      </c>
      <c r="C6" s="7" t="s">
        <v>48</v>
      </c>
      <c r="G6" s="7" t="s">
        <v>49</v>
      </c>
      <c r="I6" s="7" t="s">
        <v>50</v>
      </c>
      <c r="L6" s="7" t="s">
        <v>51</v>
      </c>
      <c r="P6" s="7" t="s">
        <v>52</v>
      </c>
      <c r="T6" s="7" t="s">
        <v>53</v>
      </c>
      <c r="X6" s="7" t="s">
        <v>54</v>
      </c>
    </row>
    <row r="7">
      <c r="A7" s="7"/>
      <c r="B7" s="7" t="s">
        <v>2</v>
      </c>
      <c r="C7" s="7" t="s">
        <v>55</v>
      </c>
      <c r="G7" s="7" t="s">
        <v>56</v>
      </c>
      <c r="I7" s="7" t="s">
        <v>57</v>
      </c>
      <c r="L7" s="7" t="s">
        <v>58</v>
      </c>
      <c r="P7" s="7" t="s">
        <v>59</v>
      </c>
      <c r="T7" s="7" t="s">
        <v>60</v>
      </c>
      <c r="X7" s="7" t="s">
        <v>61</v>
      </c>
    </row>
    <row r="8">
      <c r="A8" s="7"/>
      <c r="B8" s="7" t="s">
        <v>62</v>
      </c>
      <c r="C8" s="7" t="s">
        <v>63</v>
      </c>
      <c r="G8" s="7" t="s">
        <v>64</v>
      </c>
      <c r="I8" s="7" t="s">
        <v>65</v>
      </c>
      <c r="L8" s="7" t="s">
        <v>66</v>
      </c>
      <c r="P8" s="7" t="s">
        <v>67</v>
      </c>
      <c r="T8" s="7" t="s">
        <v>68</v>
      </c>
      <c r="X8" s="7" t="s">
        <v>69</v>
      </c>
    </row>
    <row r="9">
      <c r="A9" s="7"/>
      <c r="B9" s="7" t="s">
        <v>6</v>
      </c>
      <c r="C9" s="7" t="s">
        <v>70</v>
      </c>
      <c r="G9" s="7" t="s">
        <v>71</v>
      </c>
      <c r="I9" s="7" t="s">
        <v>72</v>
      </c>
      <c r="L9" s="7" t="s">
        <v>73</v>
      </c>
      <c r="P9" s="7" t="s">
        <v>74</v>
      </c>
      <c r="T9" s="7" t="s">
        <v>50</v>
      </c>
      <c r="X9" s="7" t="s">
        <v>75</v>
      </c>
    </row>
    <row r="10">
      <c r="A10" s="7"/>
      <c r="B10" s="7" t="s">
        <v>7</v>
      </c>
      <c r="C10" s="7" t="s">
        <v>76</v>
      </c>
      <c r="G10" s="7" t="s">
        <v>77</v>
      </c>
      <c r="I10" s="7" t="s">
        <v>78</v>
      </c>
      <c r="L10" s="7" t="s">
        <v>79</v>
      </c>
      <c r="P10" s="7" t="s">
        <v>80</v>
      </c>
      <c r="T10" s="7" t="s">
        <v>81</v>
      </c>
      <c r="X10" s="7" t="s">
        <v>82</v>
      </c>
    </row>
    <row r="11">
      <c r="A11" s="7"/>
      <c r="B11" s="7" t="s">
        <v>83</v>
      </c>
      <c r="C11" s="7" t="s">
        <v>84</v>
      </c>
      <c r="G11" s="7" t="s">
        <v>85</v>
      </c>
      <c r="I11" s="7" t="s">
        <v>86</v>
      </c>
      <c r="L11" s="7" t="s">
        <v>87</v>
      </c>
      <c r="P11" s="7" t="s">
        <v>88</v>
      </c>
      <c r="T11" s="7" t="s">
        <v>89</v>
      </c>
      <c r="X11" s="7" t="s">
        <v>90</v>
      </c>
    </row>
    <row r="12">
      <c r="A12" s="7"/>
      <c r="B12" s="7" t="s">
        <v>9</v>
      </c>
      <c r="C12" s="7" t="s">
        <v>91</v>
      </c>
      <c r="G12" s="7" t="s">
        <v>92</v>
      </c>
      <c r="I12" s="7" t="s">
        <v>93</v>
      </c>
      <c r="L12" s="7" t="s">
        <v>94</v>
      </c>
      <c r="P12" s="7" t="s">
        <v>95</v>
      </c>
      <c r="T12" s="7" t="s">
        <v>96</v>
      </c>
      <c r="X12" s="7" t="s">
        <v>97</v>
      </c>
    </row>
    <row r="13">
      <c r="A13" s="7"/>
      <c r="B13" s="7" t="s">
        <v>98</v>
      </c>
      <c r="C13" s="7" t="s">
        <v>99</v>
      </c>
      <c r="G13" s="7" t="s">
        <v>100</v>
      </c>
      <c r="I13" s="7" t="s">
        <v>101</v>
      </c>
      <c r="L13" s="7" t="s">
        <v>102</v>
      </c>
      <c r="P13" s="7" t="s">
        <v>103</v>
      </c>
      <c r="T13" s="7" t="s">
        <v>104</v>
      </c>
      <c r="X13" s="7" t="s">
        <v>76</v>
      </c>
    </row>
    <row r="14">
      <c r="A14" s="7"/>
      <c r="B14" s="7" t="s">
        <v>105</v>
      </c>
      <c r="C14" s="7" t="s">
        <v>106</v>
      </c>
      <c r="G14" s="7" t="s">
        <v>107</v>
      </c>
      <c r="I14" s="7" t="s">
        <v>108</v>
      </c>
      <c r="L14" s="7" t="s">
        <v>109</v>
      </c>
      <c r="P14" s="7" t="s">
        <v>110</v>
      </c>
      <c r="T14" s="7" t="s">
        <v>111</v>
      </c>
      <c r="X14" s="7" t="s">
        <v>91</v>
      </c>
    </row>
    <row r="15">
      <c r="A15" s="7"/>
      <c r="B15" s="7" t="s">
        <v>112</v>
      </c>
      <c r="C15" s="7" t="s">
        <v>113</v>
      </c>
      <c r="G15" s="7" t="s">
        <v>114</v>
      </c>
      <c r="I15" s="7" t="s">
        <v>115</v>
      </c>
      <c r="L15" s="7" t="s">
        <v>116</v>
      </c>
      <c r="P15" s="7" t="s">
        <v>117</v>
      </c>
      <c r="T15" s="7" t="s">
        <v>118</v>
      </c>
      <c r="X15" s="7" t="s">
        <v>119</v>
      </c>
    </row>
    <row r="16">
      <c r="A16" s="7"/>
      <c r="B16" s="7" t="s">
        <v>120</v>
      </c>
      <c r="C16" s="7" t="s">
        <v>121</v>
      </c>
      <c r="G16" s="7" t="s">
        <v>122</v>
      </c>
      <c r="I16" s="7" t="s">
        <v>123</v>
      </c>
      <c r="L16" s="7" t="s">
        <v>124</v>
      </c>
      <c r="P16" s="7" t="s">
        <v>125</v>
      </c>
      <c r="T16" s="7" t="s">
        <v>126</v>
      </c>
      <c r="X16" s="7" t="s">
        <v>127</v>
      </c>
    </row>
    <row r="17">
      <c r="A17" s="7"/>
      <c r="B17" s="7" t="s">
        <v>128</v>
      </c>
      <c r="C17" s="7" t="s">
        <v>129</v>
      </c>
      <c r="G17" s="7" t="s">
        <v>130</v>
      </c>
      <c r="I17" s="7" t="s">
        <v>131</v>
      </c>
      <c r="L17" s="7" t="s">
        <v>132</v>
      </c>
      <c r="P17" s="7" t="s">
        <v>133</v>
      </c>
      <c r="T17" s="7" t="s">
        <v>134</v>
      </c>
      <c r="X17" s="7" t="s">
        <v>135</v>
      </c>
    </row>
    <row r="18">
      <c r="A18" s="7"/>
      <c r="B18" s="7" t="s">
        <v>136</v>
      </c>
      <c r="C18" s="7" t="s">
        <v>137</v>
      </c>
      <c r="G18" s="7" t="s">
        <v>138</v>
      </c>
      <c r="I18" s="7" t="s">
        <v>139</v>
      </c>
      <c r="L18" s="7" t="s">
        <v>140</v>
      </c>
      <c r="P18" s="7" t="s">
        <v>141</v>
      </c>
      <c r="T18" s="7" t="s">
        <v>142</v>
      </c>
      <c r="X18" s="7" t="s">
        <v>73</v>
      </c>
    </row>
    <row r="19">
      <c r="A19" s="7"/>
      <c r="B19" s="7" t="s">
        <v>143</v>
      </c>
      <c r="C19" s="7" t="s">
        <v>144</v>
      </c>
      <c r="G19" s="7" t="s">
        <v>145</v>
      </c>
      <c r="I19" s="7" t="s">
        <v>146</v>
      </c>
      <c r="L19" s="7" t="s">
        <v>147</v>
      </c>
      <c r="P19" s="7" t="s">
        <v>148</v>
      </c>
      <c r="T19" s="7" t="s">
        <v>149</v>
      </c>
      <c r="X19" s="7" t="s">
        <v>150</v>
      </c>
    </row>
    <row r="20">
      <c r="C20" s="7" t="s">
        <v>144</v>
      </c>
      <c r="G20" s="7" t="s">
        <v>151</v>
      </c>
      <c r="I20" s="7" t="s">
        <v>152</v>
      </c>
      <c r="L20" s="7" t="s">
        <v>153</v>
      </c>
      <c r="P20" s="7" t="s">
        <v>154</v>
      </c>
      <c r="T20" s="7" t="s">
        <v>155</v>
      </c>
      <c r="X20" s="7" t="s">
        <v>51</v>
      </c>
    </row>
    <row r="21">
      <c r="C21" s="7" t="s">
        <v>156</v>
      </c>
      <c r="G21" s="7" t="s">
        <v>157</v>
      </c>
      <c r="I21" s="7" t="s">
        <v>158</v>
      </c>
      <c r="L21" s="7" t="s">
        <v>159</v>
      </c>
      <c r="P21" s="7" t="s">
        <v>160</v>
      </c>
      <c r="T21" s="7" t="s">
        <v>161</v>
      </c>
      <c r="X21" s="7" t="s">
        <v>162</v>
      </c>
    </row>
    <row r="22">
      <c r="G22" s="7" t="s">
        <v>127</v>
      </c>
      <c r="I22" s="7" t="s">
        <v>163</v>
      </c>
      <c r="L22" s="7" t="s">
        <v>164</v>
      </c>
      <c r="P22" s="7" t="s">
        <v>165</v>
      </c>
      <c r="T22" s="7" t="s">
        <v>166</v>
      </c>
      <c r="X22" s="7" t="s">
        <v>167</v>
      </c>
    </row>
    <row r="23">
      <c r="G23" s="7" t="s">
        <v>168</v>
      </c>
      <c r="I23" s="7" t="s">
        <v>169</v>
      </c>
      <c r="L23" s="7" t="s">
        <v>170</v>
      </c>
      <c r="P23" s="7" t="s">
        <v>171</v>
      </c>
      <c r="T23" s="7" t="s">
        <v>172</v>
      </c>
      <c r="X23" s="7" t="s">
        <v>173</v>
      </c>
    </row>
    <row r="24">
      <c r="G24" s="7" t="s">
        <v>174</v>
      </c>
      <c r="I24" s="7" t="s">
        <v>175</v>
      </c>
      <c r="L24" s="7" t="s">
        <v>176</v>
      </c>
      <c r="P24" s="7" t="s">
        <v>177</v>
      </c>
      <c r="T24" s="7" t="s">
        <v>178</v>
      </c>
      <c r="X24" s="7" t="s">
        <v>179</v>
      </c>
    </row>
    <row r="25">
      <c r="G25" s="7" t="s">
        <v>180</v>
      </c>
      <c r="I25" s="7" t="s">
        <v>181</v>
      </c>
      <c r="L25" s="7" t="s">
        <v>182</v>
      </c>
      <c r="P25" s="7" t="s">
        <v>183</v>
      </c>
      <c r="T25" s="7" t="s">
        <v>184</v>
      </c>
      <c r="X25" s="7" t="s">
        <v>185</v>
      </c>
    </row>
    <row r="26">
      <c r="G26" s="7" t="s">
        <v>186</v>
      </c>
      <c r="I26" s="7" t="s">
        <v>187</v>
      </c>
      <c r="L26" s="7" t="s">
        <v>188</v>
      </c>
      <c r="T26" s="7" t="s">
        <v>189</v>
      </c>
      <c r="X26" s="7" t="s">
        <v>190</v>
      </c>
    </row>
    <row r="27">
      <c r="X27" s="7" t="s">
        <v>191</v>
      </c>
    </row>
    <row r="28">
      <c r="X28" s="7" t="s">
        <v>192</v>
      </c>
    </row>
    <row r="29">
      <c r="X29" s="7" t="s">
        <v>193</v>
      </c>
    </row>
    <row r="30">
      <c r="X30" s="7" t="s">
        <v>194</v>
      </c>
    </row>
    <row r="31">
      <c r="X31" s="7" t="s">
        <v>195</v>
      </c>
    </row>
    <row r="32">
      <c r="X32" s="7" t="s">
        <v>196</v>
      </c>
    </row>
    <row r="33">
      <c r="X33" s="7" t="s">
        <v>197</v>
      </c>
    </row>
    <row r="34">
      <c r="X34" s="7" t="s">
        <v>198</v>
      </c>
    </row>
    <row r="35">
      <c r="X35" s="7" t="s">
        <v>199</v>
      </c>
    </row>
    <row r="36">
      <c r="X36" s="7" t="s">
        <v>200</v>
      </c>
    </row>
    <row r="37">
      <c r="X37" s="7" t="s">
        <v>201</v>
      </c>
    </row>
    <row r="38">
      <c r="X38" s="7" t="s">
        <v>202</v>
      </c>
    </row>
    <row r="39">
      <c r="X39" s="7" t="s">
        <v>203</v>
      </c>
    </row>
    <row r="40">
      <c r="X40" s="7" t="s">
        <v>177</v>
      </c>
    </row>
    <row r="41">
      <c r="X41" s="7" t="s">
        <v>204</v>
      </c>
    </row>
    <row r="42">
      <c r="X42" s="7" t="s">
        <v>197</v>
      </c>
    </row>
    <row r="43">
      <c r="X43" s="7" t="s">
        <v>205</v>
      </c>
    </row>
    <row r="44">
      <c r="X44" s="7" t="s">
        <v>196</v>
      </c>
    </row>
    <row r="45">
      <c r="X45" s="7" t="s">
        <v>206</v>
      </c>
    </row>
    <row r="46">
      <c r="X46" s="7" t="s">
        <v>207</v>
      </c>
    </row>
    <row r="47">
      <c r="X47" s="7" t="s">
        <v>208</v>
      </c>
    </row>
    <row r="48">
      <c r="X48" s="7" t="s">
        <v>209</v>
      </c>
    </row>
    <row r="49">
      <c r="X49" s="7" t="s">
        <v>210</v>
      </c>
    </row>
    <row r="50">
      <c r="X50" s="7" t="s">
        <v>172</v>
      </c>
    </row>
    <row r="51">
      <c r="X51" s="7" t="s">
        <v>211</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4.25"/>
    <col customWidth="1" min="3" max="3" width="7.13"/>
    <col customWidth="1" min="4" max="4" width="100.38"/>
    <col customWidth="1" min="5" max="5" width="16.88"/>
  </cols>
  <sheetData>
    <row r="1">
      <c r="A1" s="8" t="s">
        <v>212</v>
      </c>
      <c r="B1" s="9" t="s">
        <v>213</v>
      </c>
      <c r="C1" s="9" t="s">
        <v>214</v>
      </c>
      <c r="D1" s="9" t="s">
        <v>215</v>
      </c>
      <c r="E1" s="10" t="s">
        <v>216</v>
      </c>
      <c r="F1" s="11"/>
      <c r="G1" s="12"/>
      <c r="H1" s="12"/>
      <c r="I1" s="12"/>
      <c r="J1" s="12"/>
      <c r="K1" s="12"/>
      <c r="L1" s="12"/>
      <c r="M1" s="12"/>
      <c r="N1" s="12"/>
      <c r="O1" s="12"/>
      <c r="P1" s="12"/>
      <c r="Q1" s="12"/>
      <c r="R1" s="12"/>
      <c r="S1" s="12"/>
      <c r="T1" s="12"/>
      <c r="U1" s="12"/>
      <c r="V1" s="12"/>
      <c r="W1" s="12"/>
      <c r="X1" s="12"/>
      <c r="Y1" s="12"/>
      <c r="Z1" s="12"/>
    </row>
    <row r="2">
      <c r="A2" s="13" t="s">
        <v>217</v>
      </c>
      <c r="B2" s="14"/>
      <c r="C2" s="14"/>
      <c r="D2" s="15"/>
      <c r="E2" s="16"/>
      <c r="F2" s="5"/>
    </row>
    <row r="3">
      <c r="A3" s="7" t="s">
        <v>218</v>
      </c>
      <c r="B3" s="7" t="s">
        <v>219</v>
      </c>
      <c r="C3" s="7" t="s">
        <v>220</v>
      </c>
      <c r="D3" s="7" t="s">
        <v>221</v>
      </c>
      <c r="E3" s="7" t="s">
        <v>222</v>
      </c>
      <c r="F3" s="5"/>
    </row>
    <row r="4">
      <c r="A4" s="7" t="s">
        <v>223</v>
      </c>
      <c r="B4" s="7" t="s">
        <v>224</v>
      </c>
      <c r="C4" s="7" t="s">
        <v>225</v>
      </c>
      <c r="D4" s="7" t="s">
        <v>226</v>
      </c>
      <c r="E4" s="7" t="s">
        <v>227</v>
      </c>
      <c r="F4" s="5"/>
    </row>
    <row r="5">
      <c r="A5" s="7" t="s">
        <v>228</v>
      </c>
      <c r="D5" s="7" t="s">
        <v>229</v>
      </c>
      <c r="E5" s="7" t="s">
        <v>230</v>
      </c>
      <c r="F5" s="5"/>
    </row>
    <row r="6">
      <c r="A6" s="17" t="s">
        <v>231</v>
      </c>
      <c r="B6" s="18"/>
      <c r="C6" s="18"/>
      <c r="D6" s="18"/>
      <c r="E6" s="18"/>
      <c r="F6" s="19"/>
      <c r="G6" s="18"/>
      <c r="H6" s="18"/>
      <c r="I6" s="18"/>
      <c r="J6" s="18"/>
      <c r="K6" s="18"/>
      <c r="L6" s="18"/>
      <c r="M6" s="18"/>
      <c r="N6" s="18"/>
      <c r="O6" s="18"/>
      <c r="P6" s="18"/>
      <c r="Q6" s="18"/>
      <c r="R6" s="18"/>
      <c r="S6" s="18"/>
      <c r="T6" s="18"/>
      <c r="U6" s="18"/>
      <c r="V6" s="18"/>
      <c r="W6" s="18"/>
      <c r="X6" s="18"/>
      <c r="Y6" s="18"/>
      <c r="Z6" s="18"/>
    </row>
    <row r="7">
      <c r="A7" s="7" t="s">
        <v>232</v>
      </c>
      <c r="B7" s="7"/>
      <c r="C7" s="7"/>
      <c r="D7" s="7" t="s">
        <v>233</v>
      </c>
      <c r="E7" s="7" t="s">
        <v>234</v>
      </c>
      <c r="F7" s="5"/>
    </row>
    <row r="8">
      <c r="A8" s="7" t="s">
        <v>235</v>
      </c>
      <c r="B8" s="7"/>
      <c r="C8" s="7"/>
      <c r="D8" s="7" t="s">
        <v>236</v>
      </c>
      <c r="E8" s="7" t="s">
        <v>237</v>
      </c>
      <c r="F8" s="5"/>
    </row>
    <row r="9">
      <c r="A9" s="7" t="s">
        <v>238</v>
      </c>
      <c r="B9" s="7" t="s">
        <v>239</v>
      </c>
      <c r="C9" s="7" t="s">
        <v>240</v>
      </c>
      <c r="D9" s="7" t="s">
        <v>241</v>
      </c>
      <c r="F9" s="5"/>
    </row>
    <row r="10">
      <c r="A10" s="7" t="s">
        <v>242</v>
      </c>
      <c r="B10" s="7" t="s">
        <v>220</v>
      </c>
      <c r="C10" s="7" t="s">
        <v>243</v>
      </c>
      <c r="D10" s="7" t="s">
        <v>244</v>
      </c>
      <c r="F10" s="5"/>
    </row>
    <row r="11">
      <c r="A11" s="20" t="s">
        <v>245</v>
      </c>
      <c r="B11" s="21"/>
      <c r="C11" s="21"/>
      <c r="D11" s="21"/>
      <c r="E11" s="21"/>
      <c r="F11" s="22"/>
      <c r="G11" s="21"/>
      <c r="H11" s="21"/>
      <c r="I11" s="21"/>
      <c r="J11" s="21"/>
      <c r="K11" s="21"/>
      <c r="L11" s="21"/>
      <c r="M11" s="21"/>
      <c r="N11" s="21"/>
      <c r="O11" s="21"/>
      <c r="P11" s="21"/>
      <c r="Q11" s="21"/>
      <c r="R11" s="21"/>
      <c r="S11" s="21"/>
      <c r="T11" s="21"/>
      <c r="U11" s="21"/>
      <c r="V11" s="21"/>
      <c r="W11" s="21"/>
      <c r="X11" s="21"/>
      <c r="Y11" s="21"/>
      <c r="Z11" s="21"/>
    </row>
    <row r="12">
      <c r="A12" s="7" t="s">
        <v>246</v>
      </c>
      <c r="B12" s="23">
        <v>0.45</v>
      </c>
      <c r="C12" s="23">
        <v>0.43</v>
      </c>
      <c r="D12" s="24" t="s">
        <v>247</v>
      </c>
      <c r="F12" s="5"/>
    </row>
    <row r="13">
      <c r="A13" s="7" t="s">
        <v>248</v>
      </c>
      <c r="B13" s="23">
        <v>0.1</v>
      </c>
      <c r="C13" s="23">
        <v>0.09</v>
      </c>
      <c r="D13" s="24" t="s">
        <v>249</v>
      </c>
      <c r="F13" s="5"/>
    </row>
    <row r="14">
      <c r="A14" s="25" t="s">
        <v>250</v>
      </c>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7" t="s">
        <v>251</v>
      </c>
      <c r="D15" s="24" t="s">
        <v>252</v>
      </c>
      <c r="F15" s="5"/>
    </row>
    <row r="16">
      <c r="A16" s="27" t="s">
        <v>253</v>
      </c>
      <c r="D16" s="24" t="s">
        <v>254</v>
      </c>
      <c r="F16" s="5"/>
    </row>
    <row r="17">
      <c r="A17" s="27" t="s">
        <v>255</v>
      </c>
      <c r="D17" s="24" t="s">
        <v>256</v>
      </c>
      <c r="E17" s="24" t="s">
        <v>257</v>
      </c>
      <c r="F17" s="5"/>
    </row>
    <row r="18">
      <c r="A18" s="27" t="s">
        <v>258</v>
      </c>
      <c r="D18" s="24" t="s">
        <v>259</v>
      </c>
      <c r="E18" s="24" t="s">
        <v>260</v>
      </c>
      <c r="F18" s="5"/>
    </row>
    <row r="19">
      <c r="A19" s="27" t="s">
        <v>261</v>
      </c>
      <c r="D19" s="24" t="s">
        <v>262</v>
      </c>
      <c r="E19" s="24" t="s">
        <v>263</v>
      </c>
      <c r="F19" s="5"/>
    </row>
    <row r="20">
      <c r="A20" s="28" t="s">
        <v>250</v>
      </c>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7" t="s">
        <v>264</v>
      </c>
      <c r="D21" s="7" t="s">
        <v>265</v>
      </c>
      <c r="E21" s="7" t="s">
        <v>266</v>
      </c>
      <c r="F21" s="5"/>
    </row>
    <row r="22">
      <c r="A22" s="7" t="s">
        <v>267</v>
      </c>
      <c r="D22" s="7" t="s">
        <v>268</v>
      </c>
      <c r="E22" s="7" t="s">
        <v>269</v>
      </c>
      <c r="F22" s="5"/>
    </row>
    <row r="23">
      <c r="A23" s="7" t="s">
        <v>270</v>
      </c>
      <c r="D23" s="7" t="s">
        <v>271</v>
      </c>
      <c r="E23" s="7" t="s">
        <v>272</v>
      </c>
      <c r="F23" s="5"/>
    </row>
    <row r="24">
      <c r="A24" s="7" t="s">
        <v>273</v>
      </c>
      <c r="D24" s="7" t="s">
        <v>274</v>
      </c>
      <c r="E24" s="7" t="s">
        <v>275</v>
      </c>
      <c r="F24" s="5"/>
    </row>
    <row r="25">
      <c r="A25" s="30" t="s">
        <v>276</v>
      </c>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7" t="s">
        <v>277</v>
      </c>
      <c r="D26" s="7" t="s">
        <v>278</v>
      </c>
      <c r="E26" s="7" t="s">
        <v>279</v>
      </c>
      <c r="F26" s="4" t="s">
        <v>280</v>
      </c>
      <c r="G26" s="7" t="s">
        <v>281</v>
      </c>
    </row>
    <row r="27">
      <c r="A27" s="7" t="s">
        <v>282</v>
      </c>
      <c r="D27" s="7" t="s">
        <v>283</v>
      </c>
      <c r="E27" s="7" t="s">
        <v>284</v>
      </c>
      <c r="F27" s="5"/>
    </row>
    <row r="28">
      <c r="A28" s="7" t="s">
        <v>285</v>
      </c>
      <c r="D28" s="7" t="s">
        <v>286</v>
      </c>
      <c r="F28" s="4" t="s">
        <v>287</v>
      </c>
    </row>
    <row r="29">
      <c r="A29" s="7" t="s">
        <v>288</v>
      </c>
      <c r="D29" s="7" t="s">
        <v>289</v>
      </c>
      <c r="E29" s="7" t="s">
        <v>290</v>
      </c>
      <c r="F29" s="5"/>
    </row>
    <row r="30">
      <c r="A30" s="7" t="s">
        <v>291</v>
      </c>
      <c r="D30" s="7" t="s">
        <v>292</v>
      </c>
      <c r="E30" s="7" t="s">
        <v>293</v>
      </c>
      <c r="F30" s="5"/>
    </row>
    <row r="31">
      <c r="A31" s="7" t="s">
        <v>294</v>
      </c>
      <c r="E31" s="7" t="s">
        <v>295</v>
      </c>
      <c r="F31" s="4" t="s">
        <v>296</v>
      </c>
    </row>
    <row r="32">
      <c r="A32" s="7" t="s">
        <v>297</v>
      </c>
      <c r="E32" s="7" t="s">
        <v>298</v>
      </c>
      <c r="F32" s="4" t="s">
        <v>299</v>
      </c>
    </row>
    <row r="33">
      <c r="A33" s="7" t="s">
        <v>300</v>
      </c>
      <c r="E33" s="7" t="s">
        <v>301</v>
      </c>
      <c r="F33" s="4" t="s">
        <v>302</v>
      </c>
    </row>
    <row r="34">
      <c r="A34" s="32" t="s">
        <v>303</v>
      </c>
      <c r="B34" s="33"/>
      <c r="C34" s="33"/>
      <c r="D34" s="33"/>
      <c r="E34" s="33"/>
      <c r="F34" s="34"/>
      <c r="G34" s="33"/>
      <c r="H34" s="33"/>
      <c r="I34" s="33"/>
      <c r="J34" s="33"/>
      <c r="K34" s="33"/>
      <c r="L34" s="33"/>
      <c r="M34" s="33"/>
      <c r="N34" s="33"/>
      <c r="O34" s="33"/>
      <c r="P34" s="33"/>
      <c r="Q34" s="33"/>
      <c r="R34" s="33"/>
      <c r="S34" s="33"/>
      <c r="T34" s="33"/>
      <c r="U34" s="33"/>
      <c r="V34" s="33"/>
      <c r="W34" s="33"/>
      <c r="X34" s="33"/>
      <c r="Y34" s="33"/>
      <c r="Z34" s="33"/>
    </row>
    <row r="35">
      <c r="A35" s="35"/>
      <c r="F35" s="5"/>
    </row>
    <row r="36">
      <c r="A36" s="35"/>
      <c r="F36" s="5"/>
    </row>
    <row r="37">
      <c r="A37" s="36"/>
      <c r="F37" s="5"/>
    </row>
    <row r="38">
      <c r="A38" s="35" t="s">
        <v>304</v>
      </c>
      <c r="F38" s="5"/>
    </row>
    <row r="39">
      <c r="A39" s="36"/>
      <c r="F39" s="5"/>
    </row>
    <row r="40">
      <c r="A40" s="35" t="s">
        <v>305</v>
      </c>
      <c r="F40" s="5"/>
    </row>
    <row r="41">
      <c r="A41" s="35" t="s">
        <v>306</v>
      </c>
      <c r="F41" s="5"/>
    </row>
    <row r="42">
      <c r="A42" s="36"/>
      <c r="F42" s="5"/>
    </row>
    <row r="43">
      <c r="A43" s="35" t="s">
        <v>307</v>
      </c>
      <c r="F43" s="5"/>
    </row>
    <row r="44">
      <c r="A44" s="36"/>
      <c r="F44" s="5"/>
    </row>
    <row r="45">
      <c r="A45" s="35" t="s">
        <v>308</v>
      </c>
      <c r="F45" s="5"/>
    </row>
    <row r="46">
      <c r="A46" s="35" t="s">
        <v>309</v>
      </c>
      <c r="F46" s="5"/>
    </row>
    <row r="47">
      <c r="A47" s="36"/>
      <c r="F47" s="5"/>
    </row>
    <row r="48">
      <c r="A48" s="35" t="s">
        <v>310</v>
      </c>
      <c r="F48" s="5"/>
    </row>
    <row r="49">
      <c r="A49" s="36"/>
      <c r="F49" s="5"/>
    </row>
    <row r="50">
      <c r="A50" s="35" t="s">
        <v>311</v>
      </c>
      <c r="F50" s="5"/>
    </row>
    <row r="51">
      <c r="A51" s="35" t="s">
        <v>312</v>
      </c>
      <c r="F51" s="5"/>
    </row>
    <row r="52">
      <c r="A52" s="36"/>
      <c r="F52" s="5"/>
    </row>
    <row r="53">
      <c r="A53" s="35" t="s">
        <v>313</v>
      </c>
      <c r="F53" s="5"/>
    </row>
    <row r="54">
      <c r="A54" s="36"/>
      <c r="F54" s="5"/>
    </row>
    <row r="55">
      <c r="A55" s="35" t="s">
        <v>314</v>
      </c>
      <c r="F55" s="5"/>
    </row>
    <row r="56">
      <c r="A56" s="35" t="s">
        <v>315</v>
      </c>
      <c r="F56" s="5"/>
    </row>
    <row r="57">
      <c r="A57" s="35" t="s">
        <v>316</v>
      </c>
      <c r="F57" s="5"/>
    </row>
    <row r="58">
      <c r="A58" s="36"/>
      <c r="F58" s="5"/>
    </row>
    <row r="59">
      <c r="A59" s="35" t="s">
        <v>317</v>
      </c>
      <c r="F59" s="5"/>
    </row>
    <row r="60">
      <c r="A60" s="36"/>
      <c r="F60" s="5"/>
    </row>
    <row r="61">
      <c r="A61" s="35" t="s">
        <v>318</v>
      </c>
      <c r="F61" s="5"/>
    </row>
    <row r="62">
      <c r="A62" s="36"/>
      <c r="F62" s="5"/>
    </row>
    <row r="63">
      <c r="A63" s="35" t="s">
        <v>319</v>
      </c>
      <c r="F63" s="5"/>
    </row>
    <row r="64">
      <c r="A64" s="35" t="s">
        <v>320</v>
      </c>
      <c r="F64" s="5"/>
    </row>
    <row r="65">
      <c r="A65" s="36"/>
      <c r="F65" s="5"/>
    </row>
    <row r="66">
      <c r="A66" s="35" t="s">
        <v>321</v>
      </c>
      <c r="F66" s="5"/>
    </row>
    <row r="67">
      <c r="A67" s="36"/>
      <c r="F67" s="5"/>
    </row>
    <row r="68">
      <c r="A68" s="35" t="s">
        <v>322</v>
      </c>
      <c r="F68" s="5"/>
    </row>
    <row r="69">
      <c r="A69" s="35" t="s">
        <v>323</v>
      </c>
      <c r="F69" s="5"/>
    </row>
    <row r="70">
      <c r="A70" s="35" t="s">
        <v>324</v>
      </c>
      <c r="F70" s="5"/>
    </row>
    <row r="71">
      <c r="A71" s="36"/>
      <c r="F71" s="5"/>
    </row>
    <row r="72">
      <c r="A72" s="35" t="s">
        <v>325</v>
      </c>
      <c r="F72" s="5"/>
    </row>
    <row r="73">
      <c r="A73" s="36"/>
      <c r="F73" s="5"/>
    </row>
    <row r="74">
      <c r="A74" s="35" t="s">
        <v>326</v>
      </c>
      <c r="F74" s="5"/>
    </row>
    <row r="75">
      <c r="A75" s="36"/>
      <c r="F75" s="5"/>
    </row>
    <row r="76">
      <c r="A76" s="35" t="s">
        <v>327</v>
      </c>
      <c r="F76" s="5"/>
    </row>
    <row r="77">
      <c r="A77" s="36"/>
      <c r="F77" s="5"/>
    </row>
    <row r="78">
      <c r="A78" s="35" t="s">
        <v>328</v>
      </c>
      <c r="F78" s="5"/>
    </row>
    <row r="79">
      <c r="A79" s="36"/>
      <c r="F79" s="5"/>
    </row>
    <row r="80">
      <c r="F80" s="5"/>
    </row>
    <row r="81">
      <c r="F81" s="5"/>
    </row>
    <row r="82">
      <c r="F82" s="5"/>
    </row>
    <row r="83">
      <c r="F83" s="5"/>
    </row>
    <row r="84">
      <c r="F84" s="5"/>
    </row>
    <row r="85">
      <c r="F85" s="5"/>
    </row>
    <row r="86">
      <c r="F86" s="5"/>
    </row>
    <row r="87">
      <c r="F87" s="5"/>
    </row>
    <row r="88">
      <c r="F88" s="5"/>
    </row>
    <row r="89">
      <c r="F89" s="5"/>
    </row>
    <row r="90">
      <c r="F90" s="5"/>
    </row>
    <row r="91">
      <c r="F91" s="5"/>
    </row>
    <row r="92">
      <c r="F92" s="5"/>
    </row>
    <row r="93">
      <c r="F93" s="5"/>
    </row>
    <row r="94">
      <c r="F94" s="5"/>
    </row>
    <row r="95">
      <c r="F95" s="5"/>
    </row>
    <row r="96">
      <c r="F96" s="5"/>
    </row>
    <row r="97">
      <c r="F97" s="5"/>
    </row>
    <row r="98">
      <c r="F98" s="5"/>
    </row>
    <row r="99">
      <c r="F99" s="5"/>
    </row>
    <row r="100">
      <c r="F100" s="5"/>
    </row>
    <row r="101">
      <c r="F101" s="5"/>
    </row>
    <row r="102">
      <c r="F102" s="5"/>
    </row>
    <row r="103">
      <c r="F103" s="5"/>
    </row>
    <row r="104">
      <c r="F104" s="5"/>
    </row>
    <row r="105">
      <c r="F105" s="5"/>
    </row>
    <row r="106">
      <c r="F106" s="5"/>
    </row>
    <row r="107">
      <c r="F107" s="5"/>
    </row>
    <row r="108">
      <c r="F108" s="5"/>
    </row>
    <row r="109">
      <c r="F109" s="5"/>
    </row>
    <row r="110">
      <c r="F110" s="5"/>
    </row>
    <row r="111">
      <c r="F111" s="5"/>
    </row>
    <row r="112">
      <c r="F112" s="5"/>
    </row>
    <row r="113">
      <c r="F113" s="5"/>
    </row>
    <row r="114">
      <c r="F114" s="5"/>
    </row>
    <row r="115">
      <c r="F115" s="5"/>
    </row>
    <row r="116">
      <c r="F116" s="5"/>
    </row>
    <row r="117">
      <c r="F117" s="5"/>
    </row>
    <row r="118">
      <c r="F118" s="5"/>
    </row>
    <row r="119">
      <c r="F119" s="5"/>
    </row>
    <row r="120">
      <c r="F120" s="5"/>
    </row>
    <row r="121">
      <c r="F121" s="5"/>
    </row>
    <row r="122">
      <c r="F122" s="5"/>
    </row>
    <row r="123">
      <c r="F123" s="5"/>
    </row>
    <row r="124">
      <c r="F124" s="5"/>
    </row>
    <row r="125">
      <c r="F125" s="5"/>
    </row>
    <row r="126">
      <c r="F126" s="5"/>
    </row>
    <row r="127">
      <c r="F127" s="5"/>
    </row>
    <row r="128">
      <c r="F128" s="5"/>
    </row>
    <row r="129">
      <c r="F129" s="5"/>
    </row>
    <row r="130">
      <c r="F130" s="5"/>
    </row>
    <row r="131">
      <c r="F131" s="5"/>
    </row>
    <row r="132">
      <c r="F132" s="5"/>
    </row>
    <row r="133">
      <c r="F133" s="5"/>
    </row>
    <row r="134">
      <c r="F134" s="5"/>
    </row>
    <row r="135">
      <c r="F135" s="5"/>
    </row>
    <row r="136">
      <c r="F136" s="5"/>
    </row>
    <row r="137">
      <c r="F137" s="5"/>
    </row>
    <row r="138">
      <c r="F138" s="5"/>
    </row>
    <row r="139">
      <c r="F139" s="5"/>
    </row>
    <row r="140">
      <c r="F140" s="5"/>
    </row>
    <row r="141">
      <c r="F141" s="5"/>
    </row>
    <row r="142">
      <c r="F142" s="5"/>
    </row>
    <row r="143">
      <c r="F143" s="5"/>
    </row>
    <row r="144">
      <c r="F144" s="5"/>
    </row>
    <row r="145">
      <c r="F145" s="5"/>
    </row>
    <row r="146">
      <c r="F146" s="5"/>
    </row>
    <row r="147">
      <c r="F147" s="5"/>
    </row>
    <row r="148">
      <c r="F148" s="5"/>
    </row>
    <row r="149">
      <c r="F149" s="5"/>
    </row>
    <row r="150">
      <c r="F150" s="5"/>
    </row>
    <row r="151">
      <c r="F151" s="5"/>
    </row>
    <row r="152">
      <c r="F152" s="5"/>
    </row>
    <row r="153">
      <c r="F153" s="5"/>
    </row>
    <row r="154">
      <c r="F154" s="5"/>
    </row>
    <row r="155">
      <c r="F155" s="5"/>
    </row>
    <row r="156">
      <c r="F156" s="5"/>
    </row>
    <row r="157">
      <c r="F157" s="5"/>
    </row>
    <row r="158">
      <c r="F158" s="5"/>
    </row>
    <row r="159">
      <c r="F159" s="5"/>
    </row>
    <row r="160">
      <c r="F160" s="5"/>
    </row>
    <row r="161">
      <c r="F161" s="5"/>
    </row>
    <row r="162">
      <c r="F162" s="5"/>
    </row>
    <row r="163">
      <c r="F163" s="5"/>
    </row>
    <row r="164">
      <c r="F164" s="5"/>
    </row>
    <row r="165">
      <c r="F165" s="5"/>
    </row>
    <row r="166">
      <c r="F166" s="5"/>
    </row>
    <row r="167">
      <c r="F167" s="5"/>
    </row>
    <row r="168">
      <c r="F168" s="5"/>
    </row>
    <row r="169">
      <c r="F169" s="5"/>
    </row>
    <row r="170">
      <c r="F170" s="5"/>
    </row>
    <row r="171">
      <c r="F171" s="5"/>
    </row>
    <row r="172">
      <c r="F172" s="5"/>
    </row>
    <row r="173">
      <c r="F173" s="5"/>
    </row>
    <row r="174">
      <c r="F174" s="5"/>
    </row>
    <row r="175">
      <c r="F175" s="5"/>
    </row>
    <row r="176">
      <c r="F176" s="5"/>
    </row>
    <row r="177">
      <c r="F177" s="5"/>
    </row>
    <row r="178">
      <c r="F178" s="5"/>
    </row>
    <row r="179">
      <c r="F179" s="5"/>
    </row>
    <row r="180">
      <c r="F180" s="5"/>
    </row>
    <row r="181">
      <c r="F181" s="5"/>
    </row>
    <row r="182">
      <c r="F182" s="5"/>
    </row>
    <row r="183">
      <c r="F183" s="5"/>
    </row>
    <row r="184">
      <c r="F184" s="5"/>
    </row>
    <row r="185">
      <c r="F185" s="5"/>
    </row>
    <row r="186">
      <c r="F186" s="5"/>
    </row>
    <row r="187">
      <c r="F187" s="5"/>
    </row>
    <row r="188">
      <c r="F188" s="5"/>
    </row>
    <row r="189">
      <c r="F189" s="5"/>
    </row>
    <row r="190">
      <c r="F190" s="5"/>
    </row>
    <row r="191">
      <c r="F191" s="5"/>
    </row>
    <row r="192">
      <c r="F192" s="5"/>
    </row>
    <row r="193">
      <c r="F193" s="5"/>
    </row>
    <row r="194">
      <c r="F194" s="5"/>
    </row>
    <row r="195">
      <c r="F195" s="5"/>
    </row>
    <row r="196">
      <c r="F196" s="5"/>
    </row>
    <row r="197">
      <c r="F197" s="5"/>
    </row>
    <row r="198">
      <c r="F198" s="5"/>
    </row>
    <row r="199">
      <c r="F199" s="5"/>
    </row>
    <row r="200">
      <c r="F200" s="5"/>
    </row>
    <row r="201">
      <c r="F201" s="5"/>
    </row>
    <row r="202">
      <c r="F202" s="5"/>
    </row>
    <row r="203">
      <c r="F203" s="5"/>
    </row>
    <row r="204">
      <c r="F204" s="5"/>
    </row>
    <row r="205">
      <c r="F205" s="5"/>
    </row>
    <row r="206">
      <c r="F206" s="5"/>
    </row>
    <row r="207">
      <c r="F207" s="5"/>
    </row>
    <row r="208">
      <c r="F208" s="5"/>
    </row>
    <row r="209">
      <c r="F209" s="5"/>
    </row>
    <row r="210">
      <c r="F210" s="5"/>
    </row>
    <row r="211">
      <c r="F211" s="5"/>
    </row>
    <row r="212">
      <c r="F212" s="5"/>
    </row>
    <row r="213">
      <c r="F213" s="5"/>
    </row>
    <row r="214">
      <c r="F214" s="5"/>
    </row>
    <row r="215">
      <c r="F215" s="5"/>
    </row>
    <row r="216">
      <c r="F216" s="5"/>
    </row>
    <row r="217">
      <c r="F217" s="5"/>
    </row>
    <row r="218">
      <c r="F218" s="5"/>
    </row>
    <row r="219">
      <c r="F219" s="5"/>
    </row>
    <row r="220">
      <c r="F220" s="5"/>
    </row>
    <row r="221">
      <c r="F221" s="5"/>
    </row>
    <row r="222">
      <c r="F222" s="5"/>
    </row>
    <row r="223">
      <c r="F223" s="5"/>
    </row>
    <row r="224">
      <c r="F224" s="5"/>
    </row>
    <row r="225">
      <c r="F225" s="5"/>
    </row>
    <row r="226">
      <c r="F226" s="5"/>
    </row>
    <row r="227">
      <c r="F227" s="5"/>
    </row>
    <row r="228">
      <c r="F228" s="5"/>
    </row>
    <row r="229">
      <c r="F229" s="5"/>
    </row>
    <row r="230">
      <c r="F230" s="5"/>
    </row>
    <row r="231">
      <c r="F231" s="5"/>
    </row>
    <row r="232">
      <c r="F232" s="5"/>
    </row>
    <row r="233">
      <c r="F233" s="5"/>
    </row>
    <row r="234">
      <c r="F234" s="5"/>
    </row>
    <row r="235">
      <c r="F235" s="5"/>
    </row>
    <row r="236">
      <c r="F236" s="5"/>
    </row>
    <row r="237">
      <c r="F237" s="5"/>
    </row>
    <row r="238">
      <c r="F238" s="5"/>
    </row>
    <row r="239">
      <c r="F239" s="5"/>
    </row>
    <row r="240">
      <c r="F240" s="5"/>
    </row>
    <row r="241">
      <c r="F241" s="5"/>
    </row>
    <row r="242">
      <c r="F242" s="5"/>
    </row>
    <row r="243">
      <c r="F243" s="5"/>
    </row>
    <row r="244">
      <c r="F244" s="5"/>
    </row>
    <row r="245">
      <c r="F245" s="5"/>
    </row>
    <row r="246">
      <c r="F246" s="5"/>
    </row>
    <row r="247">
      <c r="F247" s="5"/>
    </row>
    <row r="248">
      <c r="F248" s="5"/>
    </row>
    <row r="249">
      <c r="F249" s="5"/>
    </row>
    <row r="250">
      <c r="F250" s="5"/>
    </row>
    <row r="251">
      <c r="F251" s="5"/>
    </row>
    <row r="252">
      <c r="F252" s="5"/>
    </row>
    <row r="253">
      <c r="F253" s="5"/>
    </row>
    <row r="254">
      <c r="F254" s="5"/>
    </row>
    <row r="255">
      <c r="F255" s="5"/>
    </row>
    <row r="256">
      <c r="F256" s="5"/>
    </row>
    <row r="257">
      <c r="F257" s="5"/>
    </row>
    <row r="258">
      <c r="F258" s="5"/>
    </row>
    <row r="259">
      <c r="F259" s="5"/>
    </row>
    <row r="260">
      <c r="F260" s="5"/>
    </row>
    <row r="261">
      <c r="F261" s="5"/>
    </row>
    <row r="262">
      <c r="F262" s="5"/>
    </row>
    <row r="263">
      <c r="F263" s="5"/>
    </row>
    <row r="264">
      <c r="F264" s="5"/>
    </row>
    <row r="265">
      <c r="F265" s="5"/>
    </row>
    <row r="266">
      <c r="F266" s="5"/>
    </row>
    <row r="267">
      <c r="F267" s="5"/>
    </row>
    <row r="268">
      <c r="F268" s="5"/>
    </row>
    <row r="269">
      <c r="F269" s="5"/>
    </row>
    <row r="270">
      <c r="F270" s="5"/>
    </row>
    <row r="271">
      <c r="F271" s="5"/>
    </row>
    <row r="272">
      <c r="F272" s="5"/>
    </row>
    <row r="273">
      <c r="F273" s="5"/>
    </row>
    <row r="274">
      <c r="F274" s="5"/>
    </row>
    <row r="275">
      <c r="F275" s="5"/>
    </row>
    <row r="276">
      <c r="F276" s="5"/>
    </row>
    <row r="277">
      <c r="F277" s="5"/>
    </row>
    <row r="278">
      <c r="F278" s="5"/>
    </row>
    <row r="279">
      <c r="F279" s="5"/>
    </row>
    <row r="280">
      <c r="F280" s="5"/>
    </row>
    <row r="281">
      <c r="F281" s="5"/>
    </row>
    <row r="282">
      <c r="F282" s="5"/>
    </row>
    <row r="283">
      <c r="F283" s="5"/>
    </row>
    <row r="284">
      <c r="F284" s="5"/>
    </row>
    <row r="285">
      <c r="F285" s="5"/>
    </row>
    <row r="286">
      <c r="F286" s="5"/>
    </row>
    <row r="287">
      <c r="F287" s="5"/>
    </row>
    <row r="288">
      <c r="F288" s="5"/>
    </row>
    <row r="289">
      <c r="F289" s="5"/>
    </row>
    <row r="290">
      <c r="F290" s="5"/>
    </row>
    <row r="291">
      <c r="F291" s="5"/>
    </row>
    <row r="292">
      <c r="F292" s="5"/>
    </row>
    <row r="293">
      <c r="F293" s="5"/>
    </row>
    <row r="294">
      <c r="F294" s="5"/>
    </row>
    <row r="295">
      <c r="F295" s="5"/>
    </row>
    <row r="296">
      <c r="F296" s="5"/>
    </row>
    <row r="297">
      <c r="F297" s="5"/>
    </row>
    <row r="298">
      <c r="F298" s="5"/>
    </row>
    <row r="299">
      <c r="F299" s="5"/>
    </row>
    <row r="300">
      <c r="F300" s="5"/>
    </row>
    <row r="301">
      <c r="F301" s="5"/>
    </row>
    <row r="302">
      <c r="F302" s="5"/>
    </row>
    <row r="303">
      <c r="F303" s="5"/>
    </row>
    <row r="304">
      <c r="F304" s="5"/>
    </row>
    <row r="305">
      <c r="F305" s="5"/>
    </row>
    <row r="306">
      <c r="F306" s="5"/>
    </row>
    <row r="307">
      <c r="F307" s="5"/>
    </row>
    <row r="308">
      <c r="F308" s="5"/>
    </row>
    <row r="309">
      <c r="F309" s="5"/>
    </row>
    <row r="310">
      <c r="F310" s="5"/>
    </row>
    <row r="311">
      <c r="F311" s="5"/>
    </row>
    <row r="312">
      <c r="F312" s="5"/>
    </row>
    <row r="313">
      <c r="F313" s="5"/>
    </row>
    <row r="314">
      <c r="F314" s="5"/>
    </row>
    <row r="315">
      <c r="F315" s="5"/>
    </row>
    <row r="316">
      <c r="F316" s="5"/>
    </row>
    <row r="317">
      <c r="F317" s="5"/>
    </row>
    <row r="318">
      <c r="F318" s="5"/>
    </row>
    <row r="319">
      <c r="F319" s="5"/>
    </row>
    <row r="320">
      <c r="F320" s="5"/>
    </row>
    <row r="321">
      <c r="F321" s="5"/>
    </row>
    <row r="322">
      <c r="F322" s="5"/>
    </row>
    <row r="323">
      <c r="F323" s="5"/>
    </row>
    <row r="324">
      <c r="F324" s="5"/>
    </row>
    <row r="325">
      <c r="F325" s="5"/>
    </row>
    <row r="326">
      <c r="F326" s="5"/>
    </row>
    <row r="327">
      <c r="F327" s="5"/>
    </row>
    <row r="328">
      <c r="F328" s="5"/>
    </row>
    <row r="329">
      <c r="F329" s="5"/>
    </row>
    <row r="330">
      <c r="F330" s="5"/>
    </row>
    <row r="331">
      <c r="F331" s="5"/>
    </row>
    <row r="332">
      <c r="F332" s="5"/>
    </row>
    <row r="333">
      <c r="F333" s="5"/>
    </row>
    <row r="334">
      <c r="F334" s="5"/>
    </row>
    <row r="335">
      <c r="F335" s="5"/>
    </row>
    <row r="336">
      <c r="F336" s="5"/>
    </row>
    <row r="337">
      <c r="F337" s="5"/>
    </row>
    <row r="338">
      <c r="F338" s="5"/>
    </row>
    <row r="339">
      <c r="F339" s="5"/>
    </row>
    <row r="340">
      <c r="F340" s="5"/>
    </row>
    <row r="341">
      <c r="F341" s="5"/>
    </row>
    <row r="342">
      <c r="F342" s="5"/>
    </row>
    <row r="343">
      <c r="F343" s="5"/>
    </row>
    <row r="344">
      <c r="F344" s="5"/>
    </row>
    <row r="345">
      <c r="F345" s="5"/>
    </row>
    <row r="346">
      <c r="F346" s="5"/>
    </row>
    <row r="347">
      <c r="F347" s="5"/>
    </row>
    <row r="348">
      <c r="F348" s="5"/>
    </row>
    <row r="349">
      <c r="F349" s="5"/>
    </row>
    <row r="350">
      <c r="F350" s="5"/>
    </row>
    <row r="351">
      <c r="F351" s="5"/>
    </row>
    <row r="352">
      <c r="F352" s="5"/>
    </row>
    <row r="353">
      <c r="F353" s="5"/>
    </row>
    <row r="354">
      <c r="F354" s="5"/>
    </row>
    <row r="355">
      <c r="F355" s="5"/>
    </row>
    <row r="356">
      <c r="F356" s="5"/>
    </row>
    <row r="357">
      <c r="F357" s="5"/>
    </row>
    <row r="358">
      <c r="F358" s="5"/>
    </row>
    <row r="359">
      <c r="F359" s="5"/>
    </row>
    <row r="360">
      <c r="F360" s="5"/>
    </row>
    <row r="361">
      <c r="F361" s="5"/>
    </row>
    <row r="362">
      <c r="F362" s="5"/>
    </row>
    <row r="363">
      <c r="F363" s="5"/>
    </row>
    <row r="364">
      <c r="F364" s="5"/>
    </row>
    <row r="365">
      <c r="F365" s="5"/>
    </row>
    <row r="366">
      <c r="F366" s="5"/>
    </row>
    <row r="367">
      <c r="F367" s="5"/>
    </row>
    <row r="368">
      <c r="F368" s="5"/>
    </row>
    <row r="369">
      <c r="F369" s="5"/>
    </row>
    <row r="370">
      <c r="F370" s="5"/>
    </row>
    <row r="371">
      <c r="F371" s="5"/>
    </row>
    <row r="372">
      <c r="F372" s="5"/>
    </row>
    <row r="373">
      <c r="F373" s="5"/>
    </row>
    <row r="374">
      <c r="F374" s="5"/>
    </row>
    <row r="375">
      <c r="F375" s="5"/>
    </row>
    <row r="376">
      <c r="F376" s="5"/>
    </row>
    <row r="377">
      <c r="F377" s="5"/>
    </row>
    <row r="378">
      <c r="F378" s="5"/>
    </row>
    <row r="379">
      <c r="F379" s="5"/>
    </row>
    <row r="380">
      <c r="F380" s="5"/>
    </row>
    <row r="381">
      <c r="F381" s="5"/>
    </row>
    <row r="382">
      <c r="F382" s="5"/>
    </row>
    <row r="383">
      <c r="F383" s="5"/>
    </row>
    <row r="384">
      <c r="F384" s="5"/>
    </row>
    <row r="385">
      <c r="F385" s="5"/>
    </row>
    <row r="386">
      <c r="F386" s="5"/>
    </row>
    <row r="387">
      <c r="F387" s="5"/>
    </row>
    <row r="388">
      <c r="F388" s="5"/>
    </row>
    <row r="389">
      <c r="F389" s="5"/>
    </row>
    <row r="390">
      <c r="F390" s="5"/>
    </row>
    <row r="391">
      <c r="F391" s="5"/>
    </row>
    <row r="392">
      <c r="F392" s="5"/>
    </row>
    <row r="393">
      <c r="F393" s="5"/>
    </row>
    <row r="394">
      <c r="F394" s="5"/>
    </row>
    <row r="395">
      <c r="F395" s="5"/>
    </row>
    <row r="396">
      <c r="F396" s="5"/>
    </row>
    <row r="397">
      <c r="F397" s="5"/>
    </row>
    <row r="398">
      <c r="F398" s="5"/>
    </row>
    <row r="399">
      <c r="F399" s="5"/>
    </row>
    <row r="400">
      <c r="F400" s="5"/>
    </row>
    <row r="401">
      <c r="F401" s="5"/>
    </row>
    <row r="402">
      <c r="F402" s="5"/>
    </row>
    <row r="403">
      <c r="F403" s="5"/>
    </row>
    <row r="404">
      <c r="F404" s="5"/>
    </row>
    <row r="405">
      <c r="F405" s="5"/>
    </row>
    <row r="406">
      <c r="F406" s="5"/>
    </row>
    <row r="407">
      <c r="F407" s="5"/>
    </row>
    <row r="408">
      <c r="F408" s="5"/>
    </row>
    <row r="409">
      <c r="F409" s="5"/>
    </row>
    <row r="410">
      <c r="F410" s="5"/>
    </row>
    <row r="411">
      <c r="F411" s="5"/>
    </row>
    <row r="412">
      <c r="F412" s="5"/>
    </row>
    <row r="413">
      <c r="F413" s="5"/>
    </row>
    <row r="414">
      <c r="F414" s="5"/>
    </row>
    <row r="415">
      <c r="F415" s="5"/>
    </row>
    <row r="416">
      <c r="F416" s="5"/>
    </row>
    <row r="417">
      <c r="F417" s="5"/>
    </row>
    <row r="418">
      <c r="F418" s="5"/>
    </row>
    <row r="419">
      <c r="F419" s="5"/>
    </row>
    <row r="420">
      <c r="F420" s="5"/>
    </row>
    <row r="421">
      <c r="F421" s="5"/>
    </row>
    <row r="422">
      <c r="F422" s="5"/>
    </row>
    <row r="423">
      <c r="F423" s="5"/>
    </row>
    <row r="424">
      <c r="F424" s="5"/>
    </row>
    <row r="425">
      <c r="F425" s="5"/>
    </row>
    <row r="426">
      <c r="F426" s="5"/>
    </row>
    <row r="427">
      <c r="F427" s="5"/>
    </row>
    <row r="428">
      <c r="F428" s="5"/>
    </row>
    <row r="429">
      <c r="F429" s="5"/>
    </row>
    <row r="430">
      <c r="F430" s="5"/>
    </row>
    <row r="431">
      <c r="F431" s="5"/>
    </row>
    <row r="432">
      <c r="F432" s="5"/>
    </row>
    <row r="433">
      <c r="F433" s="5"/>
    </row>
    <row r="434">
      <c r="F434" s="5"/>
    </row>
    <row r="435">
      <c r="F435" s="5"/>
    </row>
    <row r="436">
      <c r="F436" s="5"/>
    </row>
    <row r="437">
      <c r="F437" s="5"/>
    </row>
    <row r="438">
      <c r="F438" s="5"/>
    </row>
    <row r="439">
      <c r="F439" s="5"/>
    </row>
    <row r="440">
      <c r="F440" s="5"/>
    </row>
    <row r="441">
      <c r="F441" s="5"/>
    </row>
    <row r="442">
      <c r="F442" s="5"/>
    </row>
    <row r="443">
      <c r="F443" s="5"/>
    </row>
    <row r="444">
      <c r="F444" s="5"/>
    </row>
    <row r="445">
      <c r="F445" s="5"/>
    </row>
    <row r="446">
      <c r="F446" s="5"/>
    </row>
    <row r="447">
      <c r="F447" s="5"/>
    </row>
    <row r="448">
      <c r="F448" s="5"/>
    </row>
    <row r="449">
      <c r="F449" s="5"/>
    </row>
    <row r="450">
      <c r="F450" s="5"/>
    </row>
    <row r="451">
      <c r="F451" s="5"/>
    </row>
    <row r="452">
      <c r="F452" s="5"/>
    </row>
    <row r="453">
      <c r="F453" s="5"/>
    </row>
    <row r="454">
      <c r="F454" s="5"/>
    </row>
    <row r="455">
      <c r="F455" s="5"/>
    </row>
    <row r="456">
      <c r="F456" s="5"/>
    </row>
    <row r="457">
      <c r="F457" s="5"/>
    </row>
    <row r="458">
      <c r="F458" s="5"/>
    </row>
    <row r="459">
      <c r="F459" s="5"/>
    </row>
    <row r="460">
      <c r="F460" s="5"/>
    </row>
    <row r="461">
      <c r="F461" s="5"/>
    </row>
    <row r="462">
      <c r="F462" s="5"/>
    </row>
    <row r="463">
      <c r="F463" s="5"/>
    </row>
    <row r="464">
      <c r="F464" s="5"/>
    </row>
    <row r="465">
      <c r="F465" s="5"/>
    </row>
    <row r="466">
      <c r="F466" s="5"/>
    </row>
    <row r="467">
      <c r="F467" s="5"/>
    </row>
    <row r="468">
      <c r="F468" s="5"/>
    </row>
    <row r="469">
      <c r="F469" s="5"/>
    </row>
    <row r="470">
      <c r="F470" s="5"/>
    </row>
    <row r="471">
      <c r="F471" s="5"/>
    </row>
    <row r="472">
      <c r="F472" s="5"/>
    </row>
    <row r="473">
      <c r="F473" s="5"/>
    </row>
    <row r="474">
      <c r="F474" s="5"/>
    </row>
    <row r="475">
      <c r="F475" s="5"/>
    </row>
    <row r="476">
      <c r="F476" s="5"/>
    </row>
    <row r="477">
      <c r="F477" s="5"/>
    </row>
    <row r="478">
      <c r="F478" s="5"/>
    </row>
    <row r="479">
      <c r="F479" s="5"/>
    </row>
    <row r="480">
      <c r="F480" s="5"/>
    </row>
    <row r="481">
      <c r="F481" s="5"/>
    </row>
    <row r="482">
      <c r="F482" s="5"/>
    </row>
    <row r="483">
      <c r="F483" s="5"/>
    </row>
    <row r="484">
      <c r="F484" s="5"/>
    </row>
    <row r="485">
      <c r="F485" s="5"/>
    </row>
    <row r="486">
      <c r="F486" s="5"/>
    </row>
    <row r="487">
      <c r="F487" s="5"/>
    </row>
    <row r="488">
      <c r="F488" s="5"/>
    </row>
    <row r="489">
      <c r="F489" s="5"/>
    </row>
    <row r="490">
      <c r="F490" s="5"/>
    </row>
    <row r="491">
      <c r="F491" s="5"/>
    </row>
    <row r="492">
      <c r="F492" s="5"/>
    </row>
    <row r="493">
      <c r="F493" s="5"/>
    </row>
    <row r="494">
      <c r="F494" s="5"/>
    </row>
    <row r="495">
      <c r="F495" s="5"/>
    </row>
    <row r="496">
      <c r="F496" s="5"/>
    </row>
    <row r="497">
      <c r="F497" s="5"/>
    </row>
    <row r="498">
      <c r="F498" s="5"/>
    </row>
    <row r="499">
      <c r="F499" s="5"/>
    </row>
    <row r="500">
      <c r="F500" s="5"/>
    </row>
    <row r="501">
      <c r="F501" s="5"/>
    </row>
    <row r="502">
      <c r="F502" s="5"/>
    </row>
    <row r="503">
      <c r="F503" s="5"/>
    </row>
    <row r="504">
      <c r="F504" s="5"/>
    </row>
    <row r="505">
      <c r="F505" s="5"/>
    </row>
    <row r="506">
      <c r="F506" s="5"/>
    </row>
    <row r="507">
      <c r="F507" s="5"/>
    </row>
    <row r="508">
      <c r="F508" s="5"/>
    </row>
    <row r="509">
      <c r="F509" s="5"/>
    </row>
    <row r="510">
      <c r="F510" s="5"/>
    </row>
    <row r="511">
      <c r="F511" s="5"/>
    </row>
    <row r="512">
      <c r="F512" s="5"/>
    </row>
    <row r="513">
      <c r="F513" s="5"/>
    </row>
    <row r="514">
      <c r="F514" s="5"/>
    </row>
    <row r="515">
      <c r="F515" s="5"/>
    </row>
    <row r="516">
      <c r="F516" s="5"/>
    </row>
    <row r="517">
      <c r="F517" s="5"/>
    </row>
    <row r="518">
      <c r="F518" s="5"/>
    </row>
    <row r="519">
      <c r="F519" s="5"/>
    </row>
    <row r="520">
      <c r="F520" s="5"/>
    </row>
    <row r="521">
      <c r="F521" s="5"/>
    </row>
    <row r="522">
      <c r="F522" s="5"/>
    </row>
    <row r="523">
      <c r="F523" s="5"/>
    </row>
    <row r="524">
      <c r="F524" s="5"/>
    </row>
    <row r="525">
      <c r="F525" s="5"/>
    </row>
    <row r="526">
      <c r="F526" s="5"/>
    </row>
    <row r="527">
      <c r="F527" s="5"/>
    </row>
    <row r="528">
      <c r="F528" s="5"/>
    </row>
    <row r="529">
      <c r="F529" s="5"/>
    </row>
    <row r="530">
      <c r="F530" s="5"/>
    </row>
    <row r="531">
      <c r="F531" s="5"/>
    </row>
    <row r="532">
      <c r="F532" s="5"/>
    </row>
    <row r="533">
      <c r="F533" s="5"/>
    </row>
    <row r="534">
      <c r="F534" s="5"/>
    </row>
    <row r="535">
      <c r="F535" s="5"/>
    </row>
    <row r="536">
      <c r="F536" s="5"/>
    </row>
    <row r="537">
      <c r="F537" s="5"/>
    </row>
    <row r="538">
      <c r="F538" s="5"/>
    </row>
    <row r="539">
      <c r="F539" s="5"/>
    </row>
    <row r="540">
      <c r="F540" s="5"/>
    </row>
    <row r="541">
      <c r="F541" s="5"/>
    </row>
    <row r="542">
      <c r="F542" s="5"/>
    </row>
    <row r="543">
      <c r="F543" s="5"/>
    </row>
    <row r="544">
      <c r="F544" s="5"/>
    </row>
    <row r="545">
      <c r="F545" s="5"/>
    </row>
    <row r="546">
      <c r="F546" s="5"/>
    </row>
    <row r="547">
      <c r="F547" s="5"/>
    </row>
    <row r="548">
      <c r="F548" s="5"/>
    </row>
    <row r="549">
      <c r="F549" s="5"/>
    </row>
    <row r="550">
      <c r="F550" s="5"/>
    </row>
    <row r="551">
      <c r="F551" s="5"/>
    </row>
    <row r="552">
      <c r="F552" s="5"/>
    </row>
    <row r="553">
      <c r="F553" s="5"/>
    </row>
    <row r="554">
      <c r="F554" s="5"/>
    </row>
    <row r="555">
      <c r="F555" s="5"/>
    </row>
    <row r="556">
      <c r="F556" s="5"/>
    </row>
    <row r="557">
      <c r="F557" s="5"/>
    </row>
    <row r="558">
      <c r="F558" s="5"/>
    </row>
    <row r="559">
      <c r="F559" s="5"/>
    </row>
    <row r="560">
      <c r="F560" s="5"/>
    </row>
    <row r="561">
      <c r="F561" s="5"/>
    </row>
    <row r="562">
      <c r="F562" s="5"/>
    </row>
    <row r="563">
      <c r="F563" s="5"/>
    </row>
    <row r="564">
      <c r="F564" s="5"/>
    </row>
    <row r="565">
      <c r="F565" s="5"/>
    </row>
    <row r="566">
      <c r="F566" s="5"/>
    </row>
    <row r="567">
      <c r="F567" s="5"/>
    </row>
    <row r="568">
      <c r="F568" s="5"/>
    </row>
    <row r="569">
      <c r="F569" s="5"/>
    </row>
    <row r="570">
      <c r="F570" s="5"/>
    </row>
    <row r="571">
      <c r="F571" s="5"/>
    </row>
    <row r="572">
      <c r="F572" s="5"/>
    </row>
    <row r="573">
      <c r="F573" s="5"/>
    </row>
    <row r="574">
      <c r="F574" s="5"/>
    </row>
    <row r="575">
      <c r="F575" s="5"/>
    </row>
    <row r="576">
      <c r="F576" s="5"/>
    </row>
    <row r="577">
      <c r="F577" s="5"/>
    </row>
    <row r="578">
      <c r="F578" s="5"/>
    </row>
    <row r="579">
      <c r="F579" s="5"/>
    </row>
    <row r="580">
      <c r="F580" s="5"/>
    </row>
    <row r="581">
      <c r="F581" s="5"/>
    </row>
    <row r="582">
      <c r="F582" s="5"/>
    </row>
    <row r="583">
      <c r="F583" s="5"/>
    </row>
    <row r="584">
      <c r="F584" s="5"/>
    </row>
    <row r="585">
      <c r="F585" s="5"/>
    </row>
    <row r="586">
      <c r="F586" s="5"/>
    </row>
    <row r="587">
      <c r="F587" s="5"/>
    </row>
    <row r="588">
      <c r="F588" s="5"/>
    </row>
    <row r="589">
      <c r="F589" s="5"/>
    </row>
    <row r="590">
      <c r="F590" s="5"/>
    </row>
    <row r="591">
      <c r="F591" s="5"/>
    </row>
    <row r="592">
      <c r="F592" s="5"/>
    </row>
    <row r="593">
      <c r="F593" s="5"/>
    </row>
    <row r="594">
      <c r="F594" s="5"/>
    </row>
    <row r="595">
      <c r="F595" s="5"/>
    </row>
    <row r="596">
      <c r="F596" s="5"/>
    </row>
    <row r="597">
      <c r="F597" s="5"/>
    </row>
    <row r="598">
      <c r="F598" s="5"/>
    </row>
    <row r="599">
      <c r="F599" s="5"/>
    </row>
    <row r="600">
      <c r="F600" s="5"/>
    </row>
    <row r="601">
      <c r="F601" s="5"/>
    </row>
    <row r="602">
      <c r="F602" s="5"/>
    </row>
    <row r="603">
      <c r="F603" s="5"/>
    </row>
    <row r="604">
      <c r="F604" s="5"/>
    </row>
    <row r="605">
      <c r="F605" s="5"/>
    </row>
    <row r="606">
      <c r="F606" s="5"/>
    </row>
    <row r="607">
      <c r="F607" s="5"/>
    </row>
    <row r="608">
      <c r="F608" s="5"/>
    </row>
    <row r="609">
      <c r="F609" s="5"/>
    </row>
    <row r="610">
      <c r="F610" s="5"/>
    </row>
    <row r="611">
      <c r="F611" s="5"/>
    </row>
    <row r="612">
      <c r="F612" s="5"/>
    </row>
    <row r="613">
      <c r="F613" s="5"/>
    </row>
    <row r="614">
      <c r="F614" s="5"/>
    </row>
    <row r="615">
      <c r="F615" s="5"/>
    </row>
    <row r="616">
      <c r="F616" s="5"/>
    </row>
    <row r="617">
      <c r="F617" s="5"/>
    </row>
    <row r="618">
      <c r="F618" s="5"/>
    </row>
    <row r="619">
      <c r="F619" s="5"/>
    </row>
    <row r="620">
      <c r="F620" s="5"/>
    </row>
    <row r="621">
      <c r="F621" s="5"/>
    </row>
    <row r="622">
      <c r="F622" s="5"/>
    </row>
    <row r="623">
      <c r="F623" s="5"/>
    </row>
    <row r="624">
      <c r="F624" s="5"/>
    </row>
    <row r="625">
      <c r="F625" s="5"/>
    </row>
    <row r="626">
      <c r="F626" s="5"/>
    </row>
    <row r="627">
      <c r="F627" s="5"/>
    </row>
    <row r="628">
      <c r="F628" s="5"/>
    </row>
    <row r="629">
      <c r="F629" s="5"/>
    </row>
    <row r="630">
      <c r="F630" s="5"/>
    </row>
    <row r="631">
      <c r="F631" s="5"/>
    </row>
    <row r="632">
      <c r="F632" s="5"/>
    </row>
    <row r="633">
      <c r="F633" s="5"/>
    </row>
    <row r="634">
      <c r="F634" s="5"/>
    </row>
    <row r="635">
      <c r="F635" s="5"/>
    </row>
    <row r="636">
      <c r="F636" s="5"/>
    </row>
    <row r="637">
      <c r="F637" s="5"/>
    </row>
    <row r="638">
      <c r="F638" s="5"/>
    </row>
    <row r="639">
      <c r="F639" s="5"/>
    </row>
    <row r="640">
      <c r="F640" s="5"/>
    </row>
    <row r="641">
      <c r="F641" s="5"/>
    </row>
    <row r="642">
      <c r="F642" s="5"/>
    </row>
    <row r="643">
      <c r="F643" s="5"/>
    </row>
    <row r="644">
      <c r="F644" s="5"/>
    </row>
    <row r="645">
      <c r="F645" s="5"/>
    </row>
    <row r="646">
      <c r="F646" s="5"/>
    </row>
    <row r="647">
      <c r="F647" s="5"/>
    </row>
    <row r="648">
      <c r="F648" s="5"/>
    </row>
    <row r="649">
      <c r="F649" s="5"/>
    </row>
    <row r="650">
      <c r="F650" s="5"/>
    </row>
    <row r="651">
      <c r="F651" s="5"/>
    </row>
    <row r="652">
      <c r="F652" s="5"/>
    </row>
    <row r="653">
      <c r="F653" s="5"/>
    </row>
    <row r="654">
      <c r="F654" s="5"/>
    </row>
    <row r="655">
      <c r="F655" s="5"/>
    </row>
    <row r="656">
      <c r="F656" s="5"/>
    </row>
    <row r="657">
      <c r="F657" s="5"/>
    </row>
    <row r="658">
      <c r="F658" s="5"/>
    </row>
    <row r="659">
      <c r="F659" s="5"/>
    </row>
    <row r="660">
      <c r="F660" s="5"/>
    </row>
    <row r="661">
      <c r="F661" s="5"/>
    </row>
    <row r="662">
      <c r="F662" s="5"/>
    </row>
    <row r="663">
      <c r="F663" s="5"/>
    </row>
    <row r="664">
      <c r="F664" s="5"/>
    </row>
    <row r="665">
      <c r="F665" s="5"/>
    </row>
    <row r="666">
      <c r="F666" s="5"/>
    </row>
    <row r="667">
      <c r="F667" s="5"/>
    </row>
    <row r="668">
      <c r="F668" s="5"/>
    </row>
    <row r="669">
      <c r="F669" s="5"/>
    </row>
    <row r="670">
      <c r="F670" s="5"/>
    </row>
    <row r="671">
      <c r="F671" s="5"/>
    </row>
    <row r="672">
      <c r="F672" s="5"/>
    </row>
    <row r="673">
      <c r="F673" s="5"/>
    </row>
    <row r="674">
      <c r="F674" s="5"/>
    </row>
    <row r="675">
      <c r="F675" s="5"/>
    </row>
    <row r="676">
      <c r="F676" s="5"/>
    </row>
    <row r="677">
      <c r="F677" s="5"/>
    </row>
    <row r="678">
      <c r="F678" s="5"/>
    </row>
    <row r="679">
      <c r="F679" s="5"/>
    </row>
    <row r="680">
      <c r="F680" s="5"/>
    </row>
    <row r="681">
      <c r="F681" s="5"/>
    </row>
    <row r="682">
      <c r="F682" s="5"/>
    </row>
    <row r="683">
      <c r="F683" s="5"/>
    </row>
    <row r="684">
      <c r="F684" s="5"/>
    </row>
    <row r="685">
      <c r="F685" s="5"/>
    </row>
    <row r="686">
      <c r="F686" s="5"/>
    </row>
    <row r="687">
      <c r="F687" s="5"/>
    </row>
    <row r="688">
      <c r="F688" s="5"/>
    </row>
    <row r="689">
      <c r="F689" s="5"/>
    </row>
    <row r="690">
      <c r="F690" s="5"/>
    </row>
    <row r="691">
      <c r="F691" s="5"/>
    </row>
    <row r="692">
      <c r="F692" s="5"/>
    </row>
    <row r="693">
      <c r="F693" s="5"/>
    </row>
    <row r="694">
      <c r="F694" s="5"/>
    </row>
    <row r="695">
      <c r="F695" s="5"/>
    </row>
    <row r="696">
      <c r="F696" s="5"/>
    </row>
    <row r="697">
      <c r="F697" s="5"/>
    </row>
    <row r="698">
      <c r="F698" s="5"/>
    </row>
    <row r="699">
      <c r="F699" s="5"/>
    </row>
    <row r="700">
      <c r="F700" s="5"/>
    </row>
    <row r="701">
      <c r="F701" s="5"/>
    </row>
    <row r="702">
      <c r="F702" s="5"/>
    </row>
    <row r="703">
      <c r="F703" s="5"/>
    </row>
    <row r="704">
      <c r="F704" s="5"/>
    </row>
    <row r="705">
      <c r="F705" s="5"/>
    </row>
    <row r="706">
      <c r="F706" s="5"/>
    </row>
    <row r="707">
      <c r="F707" s="5"/>
    </row>
    <row r="708">
      <c r="F708" s="5"/>
    </row>
    <row r="709">
      <c r="F709" s="5"/>
    </row>
    <row r="710">
      <c r="F710" s="5"/>
    </row>
    <row r="711">
      <c r="F711" s="5"/>
    </row>
    <row r="712">
      <c r="F712" s="5"/>
    </row>
    <row r="713">
      <c r="F713" s="5"/>
    </row>
    <row r="714">
      <c r="F714" s="5"/>
    </row>
    <row r="715">
      <c r="F715" s="5"/>
    </row>
    <row r="716">
      <c r="F716" s="5"/>
    </row>
    <row r="717">
      <c r="F717" s="5"/>
    </row>
    <row r="718">
      <c r="F718" s="5"/>
    </row>
    <row r="719">
      <c r="F719" s="5"/>
    </row>
    <row r="720">
      <c r="F720" s="5"/>
    </row>
    <row r="721">
      <c r="F721" s="5"/>
    </row>
    <row r="722">
      <c r="F722" s="5"/>
    </row>
    <row r="723">
      <c r="F723" s="5"/>
    </row>
    <row r="724">
      <c r="F724" s="5"/>
    </row>
    <row r="725">
      <c r="F725" s="5"/>
    </row>
    <row r="726">
      <c r="F726" s="5"/>
    </row>
    <row r="727">
      <c r="F727" s="5"/>
    </row>
    <row r="728">
      <c r="F728" s="5"/>
    </row>
    <row r="729">
      <c r="F729" s="5"/>
    </row>
    <row r="730">
      <c r="F730" s="5"/>
    </row>
    <row r="731">
      <c r="F731" s="5"/>
    </row>
    <row r="732">
      <c r="F732" s="5"/>
    </row>
    <row r="733">
      <c r="F733" s="5"/>
    </row>
    <row r="734">
      <c r="F734" s="5"/>
    </row>
    <row r="735">
      <c r="F735" s="5"/>
    </row>
    <row r="736">
      <c r="F736" s="5"/>
    </row>
    <row r="737">
      <c r="F737" s="5"/>
    </row>
    <row r="738">
      <c r="F738" s="5"/>
    </row>
    <row r="739">
      <c r="F739" s="5"/>
    </row>
    <row r="740">
      <c r="F740" s="5"/>
    </row>
    <row r="741">
      <c r="F741" s="5"/>
    </row>
    <row r="742">
      <c r="F742" s="5"/>
    </row>
    <row r="743">
      <c r="F743" s="5"/>
    </row>
    <row r="744">
      <c r="F744" s="5"/>
    </row>
    <row r="745">
      <c r="F745" s="5"/>
    </row>
    <row r="746">
      <c r="F746" s="5"/>
    </row>
    <row r="747">
      <c r="F747" s="5"/>
    </row>
    <row r="748">
      <c r="F748" s="5"/>
    </row>
    <row r="749">
      <c r="F749" s="5"/>
    </row>
    <row r="750">
      <c r="F750" s="5"/>
    </row>
    <row r="751">
      <c r="F751" s="5"/>
    </row>
    <row r="752">
      <c r="F752" s="5"/>
    </row>
    <row r="753">
      <c r="F753" s="5"/>
    </row>
    <row r="754">
      <c r="F754" s="5"/>
    </row>
    <row r="755">
      <c r="F755" s="5"/>
    </row>
    <row r="756">
      <c r="F756" s="5"/>
    </row>
    <row r="757">
      <c r="F757" s="5"/>
    </row>
    <row r="758">
      <c r="F758" s="5"/>
    </row>
    <row r="759">
      <c r="F759" s="5"/>
    </row>
    <row r="760">
      <c r="F760" s="5"/>
    </row>
    <row r="761">
      <c r="F761" s="5"/>
    </row>
    <row r="762">
      <c r="F762" s="5"/>
    </row>
    <row r="763">
      <c r="F763" s="5"/>
    </row>
    <row r="764">
      <c r="F764" s="5"/>
    </row>
    <row r="765">
      <c r="F765" s="5"/>
    </row>
    <row r="766">
      <c r="F766" s="5"/>
    </row>
    <row r="767">
      <c r="F767" s="5"/>
    </row>
    <row r="768">
      <c r="F768" s="5"/>
    </row>
    <row r="769">
      <c r="F769" s="5"/>
    </row>
    <row r="770">
      <c r="F770" s="5"/>
    </row>
    <row r="771">
      <c r="F771" s="5"/>
    </row>
    <row r="772">
      <c r="F772" s="5"/>
    </row>
    <row r="773">
      <c r="F773" s="5"/>
    </row>
    <row r="774">
      <c r="F774" s="5"/>
    </row>
    <row r="775">
      <c r="F775" s="5"/>
    </row>
    <row r="776">
      <c r="F776" s="5"/>
    </row>
    <row r="777">
      <c r="F777" s="5"/>
    </row>
    <row r="778">
      <c r="F778" s="5"/>
    </row>
    <row r="779">
      <c r="F779" s="5"/>
    </row>
    <row r="780">
      <c r="F780" s="5"/>
    </row>
    <row r="781">
      <c r="F781" s="5"/>
    </row>
    <row r="782">
      <c r="F782" s="5"/>
    </row>
    <row r="783">
      <c r="F783" s="5"/>
    </row>
    <row r="784">
      <c r="F784" s="5"/>
    </row>
    <row r="785">
      <c r="F785" s="5"/>
    </row>
    <row r="786">
      <c r="F786" s="5"/>
    </row>
    <row r="787">
      <c r="F787" s="5"/>
    </row>
    <row r="788">
      <c r="F788" s="5"/>
    </row>
    <row r="789">
      <c r="F789" s="5"/>
    </row>
    <row r="790">
      <c r="F790" s="5"/>
    </row>
    <row r="791">
      <c r="F791" s="5"/>
    </row>
    <row r="792">
      <c r="F792" s="5"/>
    </row>
    <row r="793">
      <c r="F793" s="5"/>
    </row>
    <row r="794">
      <c r="F794" s="5"/>
    </row>
    <row r="795">
      <c r="F795" s="5"/>
    </row>
    <row r="796">
      <c r="F796" s="5"/>
    </row>
    <row r="797">
      <c r="F797" s="5"/>
    </row>
    <row r="798">
      <c r="F798" s="5"/>
    </row>
    <row r="799">
      <c r="F799" s="5"/>
    </row>
    <row r="800">
      <c r="F800" s="5"/>
    </row>
    <row r="801">
      <c r="F801" s="5"/>
    </row>
    <row r="802">
      <c r="F802" s="5"/>
    </row>
    <row r="803">
      <c r="F803" s="5"/>
    </row>
    <row r="804">
      <c r="F804" s="5"/>
    </row>
    <row r="805">
      <c r="F805" s="5"/>
    </row>
    <row r="806">
      <c r="F806" s="5"/>
    </row>
    <row r="807">
      <c r="F807" s="5"/>
    </row>
    <row r="808">
      <c r="F808" s="5"/>
    </row>
    <row r="809">
      <c r="F809" s="5"/>
    </row>
    <row r="810">
      <c r="F810" s="5"/>
    </row>
    <row r="811">
      <c r="F811" s="5"/>
    </row>
    <row r="812">
      <c r="F812" s="5"/>
    </row>
    <row r="813">
      <c r="F813" s="5"/>
    </row>
    <row r="814">
      <c r="F814" s="5"/>
    </row>
    <row r="815">
      <c r="F815" s="5"/>
    </row>
    <row r="816">
      <c r="F816" s="5"/>
    </row>
    <row r="817">
      <c r="F817" s="5"/>
    </row>
    <row r="818">
      <c r="F818" s="5"/>
    </row>
    <row r="819">
      <c r="F819" s="5"/>
    </row>
    <row r="820">
      <c r="F820" s="5"/>
    </row>
    <row r="821">
      <c r="F821" s="5"/>
    </row>
    <row r="822">
      <c r="F822" s="5"/>
    </row>
    <row r="823">
      <c r="F823" s="5"/>
    </row>
    <row r="824">
      <c r="F824" s="5"/>
    </row>
    <row r="825">
      <c r="F825" s="5"/>
    </row>
    <row r="826">
      <c r="F826" s="5"/>
    </row>
    <row r="827">
      <c r="F827" s="5"/>
    </row>
    <row r="828">
      <c r="F828" s="5"/>
    </row>
    <row r="829">
      <c r="F829" s="5"/>
    </row>
    <row r="830">
      <c r="F830" s="5"/>
    </row>
    <row r="831">
      <c r="F831" s="5"/>
    </row>
    <row r="832">
      <c r="F832" s="5"/>
    </row>
    <row r="833">
      <c r="F833" s="5"/>
    </row>
    <row r="834">
      <c r="F834" s="5"/>
    </row>
    <row r="835">
      <c r="F835" s="5"/>
    </row>
    <row r="836">
      <c r="F836" s="5"/>
    </row>
    <row r="837">
      <c r="F837" s="5"/>
    </row>
    <row r="838">
      <c r="F838" s="5"/>
    </row>
    <row r="839">
      <c r="F839" s="5"/>
    </row>
    <row r="840">
      <c r="F840" s="5"/>
    </row>
    <row r="841">
      <c r="F841" s="5"/>
    </row>
    <row r="842">
      <c r="F842" s="5"/>
    </row>
    <row r="843">
      <c r="F843" s="5"/>
    </row>
    <row r="844">
      <c r="F844" s="5"/>
    </row>
    <row r="845">
      <c r="F845" s="5"/>
    </row>
    <row r="846">
      <c r="F846" s="5"/>
    </row>
    <row r="847">
      <c r="F847" s="5"/>
    </row>
    <row r="848">
      <c r="F848" s="5"/>
    </row>
    <row r="849">
      <c r="F849" s="5"/>
    </row>
    <row r="850">
      <c r="F850" s="5"/>
    </row>
    <row r="851">
      <c r="F851" s="5"/>
    </row>
    <row r="852">
      <c r="F852" s="5"/>
    </row>
    <row r="853">
      <c r="F853" s="5"/>
    </row>
    <row r="854">
      <c r="F854" s="5"/>
    </row>
    <row r="855">
      <c r="F855" s="5"/>
    </row>
    <row r="856">
      <c r="F856" s="5"/>
    </row>
    <row r="857">
      <c r="F857" s="5"/>
    </row>
    <row r="858">
      <c r="F858" s="5"/>
    </row>
    <row r="859">
      <c r="F859" s="5"/>
    </row>
    <row r="860">
      <c r="F860" s="5"/>
    </row>
    <row r="861">
      <c r="F861" s="5"/>
    </row>
    <row r="862">
      <c r="F862" s="5"/>
    </row>
    <row r="863">
      <c r="F863" s="5"/>
    </row>
    <row r="864">
      <c r="F864" s="5"/>
    </row>
    <row r="865">
      <c r="F865" s="5"/>
    </row>
    <row r="866">
      <c r="F866" s="5"/>
    </row>
    <row r="867">
      <c r="F867" s="5"/>
    </row>
    <row r="868">
      <c r="F868" s="5"/>
    </row>
    <row r="869">
      <c r="F869" s="5"/>
    </row>
    <row r="870">
      <c r="F870" s="5"/>
    </row>
    <row r="871">
      <c r="F871" s="5"/>
    </row>
    <row r="872">
      <c r="F872" s="5"/>
    </row>
    <row r="873">
      <c r="F873" s="5"/>
    </row>
    <row r="874">
      <c r="F874" s="5"/>
    </row>
    <row r="875">
      <c r="F875" s="5"/>
    </row>
    <row r="876">
      <c r="F876" s="5"/>
    </row>
    <row r="877">
      <c r="F877" s="5"/>
    </row>
    <row r="878">
      <c r="F878" s="5"/>
    </row>
    <row r="879">
      <c r="F879" s="5"/>
    </row>
    <row r="880">
      <c r="F880" s="5"/>
    </row>
    <row r="881">
      <c r="F881" s="5"/>
    </row>
    <row r="882">
      <c r="F882" s="5"/>
    </row>
    <row r="883">
      <c r="F883" s="5"/>
    </row>
    <row r="884">
      <c r="F884" s="5"/>
    </row>
    <row r="885">
      <c r="F885" s="5"/>
    </row>
    <row r="886">
      <c r="F886" s="5"/>
    </row>
    <row r="887">
      <c r="F887" s="5"/>
    </row>
    <row r="888">
      <c r="F888" s="5"/>
    </row>
    <row r="889">
      <c r="F889" s="5"/>
    </row>
    <row r="890">
      <c r="F890" s="5"/>
    </row>
    <row r="891">
      <c r="F891" s="5"/>
    </row>
    <row r="892">
      <c r="F892" s="5"/>
    </row>
    <row r="893">
      <c r="F893" s="5"/>
    </row>
    <row r="894">
      <c r="F894" s="5"/>
    </row>
    <row r="895">
      <c r="F895" s="5"/>
    </row>
    <row r="896">
      <c r="F896" s="5"/>
    </row>
    <row r="897">
      <c r="F897" s="5"/>
    </row>
    <row r="898">
      <c r="F898" s="5"/>
    </row>
    <row r="899">
      <c r="F899" s="5"/>
    </row>
    <row r="900">
      <c r="F900" s="5"/>
    </row>
    <row r="901">
      <c r="F901" s="5"/>
    </row>
    <row r="902">
      <c r="F902" s="5"/>
    </row>
    <row r="903">
      <c r="F903" s="5"/>
    </row>
    <row r="904">
      <c r="F904" s="5"/>
    </row>
    <row r="905">
      <c r="F905" s="5"/>
    </row>
    <row r="906">
      <c r="F906" s="5"/>
    </row>
    <row r="907">
      <c r="F907" s="5"/>
    </row>
    <row r="908">
      <c r="F908" s="5"/>
    </row>
    <row r="909">
      <c r="F909" s="5"/>
    </row>
    <row r="910">
      <c r="F910" s="5"/>
    </row>
    <row r="911">
      <c r="F911" s="5"/>
    </row>
    <row r="912">
      <c r="F912" s="5"/>
    </row>
    <row r="913">
      <c r="F913" s="5"/>
    </row>
    <row r="914">
      <c r="F914" s="5"/>
    </row>
    <row r="915">
      <c r="F915" s="5"/>
    </row>
    <row r="916">
      <c r="F916" s="5"/>
    </row>
    <row r="917">
      <c r="F917" s="5"/>
    </row>
    <row r="918">
      <c r="F918" s="5"/>
    </row>
    <row r="919">
      <c r="F919" s="5"/>
    </row>
    <row r="920">
      <c r="F920" s="5"/>
    </row>
    <row r="921">
      <c r="F921" s="5"/>
    </row>
    <row r="922">
      <c r="F922" s="5"/>
    </row>
    <row r="923">
      <c r="F923" s="5"/>
    </row>
    <row r="924">
      <c r="F924" s="5"/>
    </row>
    <row r="925">
      <c r="F925" s="5"/>
    </row>
    <row r="926">
      <c r="F926" s="5"/>
    </row>
    <row r="927">
      <c r="F927" s="5"/>
    </row>
    <row r="928">
      <c r="F928" s="5"/>
    </row>
    <row r="929">
      <c r="F929" s="5"/>
    </row>
    <row r="930">
      <c r="F930" s="5"/>
    </row>
    <row r="931">
      <c r="F931" s="5"/>
    </row>
    <row r="932">
      <c r="F932" s="5"/>
    </row>
    <row r="933">
      <c r="F933" s="5"/>
    </row>
    <row r="934">
      <c r="F934" s="5"/>
    </row>
    <row r="935">
      <c r="F935" s="5"/>
    </row>
    <row r="936">
      <c r="F936" s="5"/>
    </row>
    <row r="937">
      <c r="F937" s="5"/>
    </row>
    <row r="938">
      <c r="F938" s="5"/>
    </row>
    <row r="939">
      <c r="F939" s="5"/>
    </row>
    <row r="940">
      <c r="F940" s="5"/>
    </row>
    <row r="941">
      <c r="F941" s="5"/>
    </row>
    <row r="942">
      <c r="F942" s="5"/>
    </row>
    <row r="943">
      <c r="F943" s="5"/>
    </row>
    <row r="944">
      <c r="F944" s="5"/>
    </row>
    <row r="945">
      <c r="F945" s="5"/>
    </row>
    <row r="946">
      <c r="F946" s="5"/>
    </row>
    <row r="947">
      <c r="F947" s="5"/>
    </row>
    <row r="948">
      <c r="F948" s="5"/>
    </row>
    <row r="949">
      <c r="F949" s="5"/>
    </row>
    <row r="950">
      <c r="F950" s="5"/>
    </row>
    <row r="951">
      <c r="F951" s="5"/>
    </row>
    <row r="952">
      <c r="F952" s="5"/>
    </row>
    <row r="953">
      <c r="F953" s="5"/>
    </row>
    <row r="954">
      <c r="F954" s="5"/>
    </row>
    <row r="955">
      <c r="F955" s="5"/>
    </row>
    <row r="956">
      <c r="F956" s="5"/>
    </row>
    <row r="957">
      <c r="F957" s="5"/>
    </row>
    <row r="958">
      <c r="F958" s="5"/>
    </row>
    <row r="959">
      <c r="F959" s="5"/>
    </row>
    <row r="960">
      <c r="F960" s="5"/>
    </row>
    <row r="961">
      <c r="F961" s="5"/>
    </row>
    <row r="962">
      <c r="F962" s="5"/>
    </row>
    <row r="963">
      <c r="F963" s="5"/>
    </row>
    <row r="964">
      <c r="F964" s="5"/>
    </row>
    <row r="965">
      <c r="F965" s="5"/>
    </row>
    <row r="966">
      <c r="F966" s="5"/>
    </row>
    <row r="967">
      <c r="F967" s="5"/>
    </row>
    <row r="968">
      <c r="F968" s="5"/>
    </row>
    <row r="969">
      <c r="F969" s="5"/>
    </row>
    <row r="970">
      <c r="F970" s="5"/>
    </row>
    <row r="971">
      <c r="F971" s="5"/>
    </row>
    <row r="972">
      <c r="F972" s="5"/>
    </row>
    <row r="973">
      <c r="F973" s="5"/>
    </row>
    <row r="974">
      <c r="F974" s="5"/>
    </row>
    <row r="975">
      <c r="F975" s="5"/>
    </row>
    <row r="976">
      <c r="F976" s="5"/>
    </row>
    <row r="977">
      <c r="F977" s="5"/>
    </row>
    <row r="978">
      <c r="F978" s="5"/>
    </row>
    <row r="979">
      <c r="F979" s="5"/>
    </row>
    <row r="980">
      <c r="F980" s="5"/>
    </row>
    <row r="981">
      <c r="F981" s="5"/>
    </row>
    <row r="982">
      <c r="F982" s="5"/>
    </row>
    <row r="983">
      <c r="F983" s="5"/>
    </row>
    <row r="984">
      <c r="F984" s="5"/>
    </row>
    <row r="985">
      <c r="F985" s="5"/>
    </row>
    <row r="986">
      <c r="F986" s="5"/>
    </row>
    <row r="987">
      <c r="F987" s="5"/>
    </row>
    <row r="988">
      <c r="F988" s="5"/>
    </row>
    <row r="989">
      <c r="F989" s="5"/>
    </row>
    <row r="990">
      <c r="F990" s="5"/>
    </row>
    <row r="991">
      <c r="F991" s="5"/>
    </row>
    <row r="992">
      <c r="F992" s="5"/>
    </row>
    <row r="993">
      <c r="F993" s="5"/>
    </row>
    <row r="994">
      <c r="F994" s="5"/>
    </row>
    <row r="995">
      <c r="F995" s="5"/>
    </row>
    <row r="996">
      <c r="F996" s="5"/>
    </row>
    <row r="997">
      <c r="F997" s="5"/>
    </row>
    <row r="998">
      <c r="F998" s="5"/>
    </row>
    <row r="999">
      <c r="F999" s="5"/>
    </row>
    <row r="1000">
      <c r="F1000" s="5"/>
    </row>
    <row r="1001">
      <c r="F1001" s="5"/>
    </row>
    <row r="1002">
      <c r="F1002" s="5"/>
    </row>
    <row r="1003">
      <c r="F1003" s="5"/>
    </row>
    <row r="1004">
      <c r="F1004" s="5"/>
    </row>
    <row r="1005">
      <c r="F1005" s="5"/>
    </row>
    <row r="1006">
      <c r="F1006" s="5"/>
    </row>
    <row r="1007">
      <c r="F1007" s="5"/>
    </row>
    <row r="1008">
      <c r="F1008" s="5"/>
    </row>
    <row r="1009">
      <c r="F1009" s="5"/>
    </row>
    <row r="1010">
      <c r="F1010" s="5"/>
    </row>
  </sheetData>
  <conditionalFormatting sqref="A1:Z1">
    <cfRule type="colorScale" priority="1">
      <colorScale>
        <cfvo type="min"/>
        <cfvo type="max"/>
        <color rgb="FFFFFFFF"/>
        <color rgb="FF57BB8A"/>
      </colorScale>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329</v>
      </c>
    </row>
    <row r="2">
      <c r="A2" s="7" t="s">
        <v>330</v>
      </c>
    </row>
    <row r="3">
      <c r="A3" s="37" t="s">
        <v>331</v>
      </c>
    </row>
    <row r="4">
      <c r="A4" s="38" t="s">
        <v>332</v>
      </c>
    </row>
    <row r="5">
      <c r="A5" s="39" t="s">
        <v>333</v>
      </c>
    </row>
    <row r="6">
      <c r="A6" s="38" t="s">
        <v>334</v>
      </c>
    </row>
    <row r="7">
      <c r="A7" s="40" t="s">
        <v>335</v>
      </c>
    </row>
  </sheetData>
  <hyperlinks>
    <hyperlink r:id="rId1" ref="A3"/>
    <hyperlink r:id="rId2" ref="A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25"/>
    <col customWidth="1" min="4" max="4" width="33.0"/>
    <col customWidth="1" min="5" max="6" width="24.13"/>
    <col customWidth="1" min="7" max="7" width="9.75"/>
    <col customWidth="1" min="8" max="8" width="15.75"/>
  </cols>
  <sheetData>
    <row r="1">
      <c r="A1" s="41" t="b">
        <v>0</v>
      </c>
      <c r="B1" s="41" t="s">
        <v>17</v>
      </c>
      <c r="C1" s="41" t="s">
        <v>336</v>
      </c>
      <c r="D1" s="41" t="s">
        <v>337</v>
      </c>
      <c r="E1" s="41"/>
      <c r="F1" s="41"/>
      <c r="G1" s="41"/>
      <c r="H1" s="41"/>
      <c r="I1" s="41"/>
      <c r="J1" s="41"/>
      <c r="K1" s="41"/>
      <c r="L1" s="41"/>
      <c r="M1" s="42" t="s">
        <v>338</v>
      </c>
      <c r="N1" s="43"/>
      <c r="O1" s="42" t="s">
        <v>339</v>
      </c>
      <c r="P1" s="43"/>
      <c r="Q1" s="42" t="s">
        <v>340</v>
      </c>
      <c r="R1" s="43"/>
      <c r="S1" s="44" t="s">
        <v>341</v>
      </c>
      <c r="T1" s="41"/>
      <c r="U1" s="41"/>
      <c r="V1" s="41"/>
      <c r="W1" s="41"/>
      <c r="X1" s="41"/>
      <c r="Y1" s="41"/>
      <c r="Z1" s="41"/>
      <c r="AA1" s="41"/>
      <c r="AB1" s="41"/>
      <c r="AC1" s="41"/>
      <c r="AD1" s="41"/>
      <c r="AE1" s="41"/>
      <c r="AF1" s="41"/>
      <c r="AG1" s="41"/>
      <c r="AH1" s="41"/>
      <c r="AI1" s="41"/>
      <c r="AJ1" s="41"/>
      <c r="AK1" s="41"/>
    </row>
    <row r="2">
      <c r="A2" s="45" t="s">
        <v>342</v>
      </c>
      <c r="B2" s="46" t="s">
        <v>343</v>
      </c>
      <c r="C2" s="45"/>
      <c r="D2" s="47" t="s">
        <v>344</v>
      </c>
      <c r="E2" s="48">
        <f>IFERROR(__xludf.DUMMYFUNCTION("GOOGLEFINANCE(B2,""changepct"")"),-1.09)</f>
        <v>-1.09</v>
      </c>
      <c r="F2" s="48"/>
      <c r="G2" s="45"/>
      <c r="H2" s="45"/>
      <c r="I2" s="45"/>
      <c r="J2" s="45"/>
      <c r="K2" s="45"/>
      <c r="L2" s="45"/>
      <c r="M2" s="44" t="s">
        <v>345</v>
      </c>
      <c r="N2" s="49"/>
      <c r="O2" s="50" t="s">
        <v>30</v>
      </c>
      <c r="P2" s="49"/>
      <c r="Q2" s="50" t="s">
        <v>346</v>
      </c>
      <c r="R2" s="49"/>
      <c r="S2" s="50" t="s">
        <v>347</v>
      </c>
      <c r="T2" s="45"/>
      <c r="U2" s="45"/>
      <c r="V2" s="45"/>
      <c r="W2" s="45"/>
      <c r="X2" s="45"/>
      <c r="Y2" s="45"/>
      <c r="Z2" s="45"/>
      <c r="AA2" s="45"/>
      <c r="AB2" s="45"/>
      <c r="AC2" s="45"/>
      <c r="AD2" s="45"/>
      <c r="AE2" s="45"/>
      <c r="AF2" s="45"/>
      <c r="AG2" s="45"/>
      <c r="AH2" s="45"/>
      <c r="AI2" s="45"/>
      <c r="AJ2" s="45"/>
      <c r="AK2" s="45"/>
    </row>
    <row r="3">
      <c r="A3" s="50" t="s">
        <v>346</v>
      </c>
      <c r="B3" s="45"/>
      <c r="C3" s="45"/>
      <c r="D3" s="47" t="s">
        <v>21</v>
      </c>
      <c r="E3" s="51">
        <f>IFERROR(__xludf.DUMMYFUNCTION("GOOGLEFINANCE(B2,""marketcap"")"),3.03195451295E11)</f>
        <v>303195451295</v>
      </c>
      <c r="F3" s="51"/>
      <c r="G3" s="52"/>
      <c r="H3" s="45"/>
      <c r="I3" s="45"/>
      <c r="J3" s="45"/>
      <c r="K3" s="45"/>
      <c r="L3" s="45"/>
      <c r="M3" s="50" t="s">
        <v>21</v>
      </c>
      <c r="N3" s="49"/>
      <c r="O3" s="50" t="s">
        <v>31</v>
      </c>
      <c r="P3" s="49"/>
      <c r="Q3" s="53" t="s">
        <v>348</v>
      </c>
      <c r="R3" s="49"/>
      <c r="S3" s="50" t="s">
        <v>349</v>
      </c>
      <c r="T3" s="45"/>
      <c r="U3" s="45"/>
      <c r="V3" s="45"/>
      <c r="W3" s="45"/>
      <c r="X3" s="45"/>
      <c r="Y3" s="45"/>
      <c r="Z3" s="45"/>
      <c r="AA3" s="45"/>
      <c r="AB3" s="45"/>
      <c r="AC3" s="45"/>
      <c r="AD3" s="45"/>
      <c r="AE3" s="45"/>
      <c r="AF3" s="45"/>
      <c r="AG3" s="45"/>
      <c r="AH3" s="45"/>
      <c r="AI3" s="45"/>
      <c r="AJ3" s="45"/>
      <c r="AK3" s="45"/>
    </row>
    <row r="4">
      <c r="A4" s="53" t="s">
        <v>348</v>
      </c>
      <c r="B4" s="45"/>
      <c r="C4" s="45"/>
      <c r="D4" s="47" t="s">
        <v>350</v>
      </c>
      <c r="E4" s="45"/>
      <c r="F4" s="45"/>
      <c r="G4" s="45"/>
      <c r="H4" s="45"/>
      <c r="I4" s="45"/>
      <c r="J4" s="45"/>
      <c r="K4" s="45"/>
      <c r="L4" s="45"/>
      <c r="M4" s="50" t="s">
        <v>13</v>
      </c>
      <c r="N4" s="49"/>
      <c r="O4" s="50" t="s">
        <v>32</v>
      </c>
      <c r="P4" s="49"/>
      <c r="Q4" s="50" t="s">
        <v>351</v>
      </c>
      <c r="R4" s="49"/>
      <c r="S4" s="50" t="s">
        <v>352</v>
      </c>
      <c r="T4" s="45"/>
      <c r="U4" s="45"/>
      <c r="V4" s="45"/>
      <c r="W4" s="45"/>
      <c r="X4" s="45"/>
      <c r="Y4" s="45"/>
      <c r="Z4" s="45"/>
      <c r="AA4" s="45"/>
      <c r="AB4" s="45"/>
      <c r="AC4" s="45"/>
      <c r="AD4" s="45"/>
      <c r="AE4" s="45"/>
      <c r="AF4" s="45"/>
      <c r="AG4" s="45"/>
      <c r="AH4" s="45"/>
      <c r="AI4" s="45"/>
      <c r="AJ4" s="45"/>
      <c r="AK4" s="45"/>
    </row>
    <row r="5">
      <c r="A5" s="50" t="s">
        <v>351</v>
      </c>
      <c r="B5" s="45"/>
      <c r="C5" s="45"/>
      <c r="D5" s="47" t="s">
        <v>353</v>
      </c>
      <c r="E5" s="45"/>
      <c r="F5" s="45"/>
      <c r="G5" s="45"/>
      <c r="H5" s="45"/>
      <c r="I5" s="45"/>
      <c r="J5" s="45"/>
      <c r="K5" s="45"/>
      <c r="L5" s="45"/>
      <c r="M5" s="54" t="s">
        <v>22</v>
      </c>
      <c r="N5" s="49"/>
      <c r="O5" s="50" t="s">
        <v>33</v>
      </c>
      <c r="P5" s="49"/>
      <c r="Q5" s="50" t="s">
        <v>19</v>
      </c>
      <c r="R5" s="49"/>
      <c r="S5" s="50" t="s">
        <v>354</v>
      </c>
      <c r="T5" s="45"/>
      <c r="U5" s="45"/>
      <c r="V5" s="45"/>
      <c r="W5" s="45"/>
      <c r="X5" s="45"/>
      <c r="Y5" s="45"/>
      <c r="Z5" s="45"/>
      <c r="AA5" s="45"/>
      <c r="AB5" s="45"/>
      <c r="AC5" s="45"/>
      <c r="AD5" s="45"/>
      <c r="AE5" s="45"/>
      <c r="AF5" s="45"/>
      <c r="AG5" s="45"/>
      <c r="AH5" s="45"/>
      <c r="AI5" s="45"/>
      <c r="AJ5" s="45"/>
      <c r="AK5" s="45"/>
    </row>
    <row r="6">
      <c r="A6" s="50" t="s">
        <v>19</v>
      </c>
      <c r="B6" s="45"/>
      <c r="C6" s="45"/>
      <c r="D6" s="47" t="s">
        <v>355</v>
      </c>
      <c r="E6" s="55">
        <f>IFERROR(__xludf.DUMMYFUNCTION("GOOGLEFINANCE(B2,""pe"")"),38.28)</f>
        <v>38.28</v>
      </c>
      <c r="F6" s="55"/>
      <c r="G6" s="45"/>
      <c r="H6" s="45"/>
      <c r="I6" s="45"/>
      <c r="J6" s="45"/>
      <c r="K6" s="45"/>
      <c r="L6" s="45"/>
      <c r="M6" s="50" t="s">
        <v>28</v>
      </c>
      <c r="N6" s="49"/>
      <c r="O6" s="50" t="s">
        <v>34</v>
      </c>
      <c r="P6" s="49"/>
      <c r="Q6" s="50" t="s">
        <v>20</v>
      </c>
      <c r="R6" s="49"/>
      <c r="S6" s="50" t="s">
        <v>26</v>
      </c>
      <c r="T6" s="45"/>
      <c r="U6" s="45"/>
      <c r="V6" s="45"/>
      <c r="W6" s="45"/>
      <c r="X6" s="45"/>
      <c r="Y6" s="45"/>
      <c r="Z6" s="45"/>
      <c r="AA6" s="45"/>
      <c r="AB6" s="45"/>
      <c r="AC6" s="45"/>
      <c r="AD6" s="45"/>
      <c r="AE6" s="45"/>
      <c r="AF6" s="45"/>
      <c r="AG6" s="45"/>
      <c r="AH6" s="45"/>
      <c r="AI6" s="45"/>
      <c r="AJ6" s="45"/>
      <c r="AK6" s="45"/>
    </row>
    <row r="7">
      <c r="A7" s="50" t="s">
        <v>20</v>
      </c>
      <c r="B7" s="45"/>
      <c r="C7" s="45"/>
      <c r="D7" s="47" t="s">
        <v>35</v>
      </c>
      <c r="E7" s="56">
        <f>(1/E6)</f>
        <v>0.02612330199</v>
      </c>
      <c r="F7" s="56"/>
      <c r="G7" s="45"/>
      <c r="H7" s="57"/>
      <c r="I7" s="58"/>
      <c r="J7" s="45"/>
      <c r="K7" s="45"/>
      <c r="L7" s="45"/>
      <c r="M7" s="54" t="s">
        <v>29</v>
      </c>
      <c r="N7" s="49"/>
      <c r="O7" s="50" t="s">
        <v>35</v>
      </c>
      <c r="P7" s="49"/>
      <c r="Q7" s="49"/>
      <c r="R7" s="49"/>
      <c r="S7" s="54" t="s">
        <v>27</v>
      </c>
      <c r="T7" s="45"/>
      <c r="U7" s="45"/>
      <c r="V7" s="45"/>
      <c r="W7" s="45"/>
      <c r="X7" s="45"/>
      <c r="Y7" s="45"/>
      <c r="Z7" s="45"/>
      <c r="AA7" s="45"/>
      <c r="AB7" s="45"/>
      <c r="AC7" s="45"/>
      <c r="AD7" s="45"/>
      <c r="AE7" s="45"/>
      <c r="AF7" s="45"/>
      <c r="AG7" s="45"/>
      <c r="AH7" s="45"/>
      <c r="AI7" s="45"/>
      <c r="AJ7" s="45"/>
      <c r="AK7" s="45"/>
    </row>
    <row r="8">
      <c r="A8" s="59" t="s">
        <v>356</v>
      </c>
      <c r="B8" s="48">
        <v>11.0</v>
      </c>
      <c r="C8" s="45"/>
      <c r="D8" s="47" t="s">
        <v>357</v>
      </c>
      <c r="E8" s="55">
        <f>IFERROR(__xludf.DUMMYFUNCTION("GOOGLEFINANCE(B2, ""eps"")"),7.51)</f>
        <v>7.51</v>
      </c>
      <c r="F8" s="55"/>
      <c r="G8" s="45"/>
      <c r="H8" s="60"/>
      <c r="I8" s="61"/>
      <c r="J8" s="45"/>
      <c r="K8" s="45"/>
      <c r="L8" s="45"/>
      <c r="M8" s="49" t="s">
        <v>358</v>
      </c>
      <c r="N8" s="49"/>
      <c r="O8" s="50" t="s">
        <v>36</v>
      </c>
      <c r="P8" s="49"/>
      <c r="Q8" s="49"/>
      <c r="R8" s="49"/>
      <c r="S8" s="49"/>
      <c r="T8" s="45"/>
      <c r="U8" s="45"/>
      <c r="V8" s="45"/>
      <c r="W8" s="45"/>
      <c r="X8" s="45"/>
      <c r="Y8" s="45"/>
      <c r="Z8" s="45"/>
      <c r="AA8" s="45"/>
      <c r="AB8" s="45"/>
      <c r="AC8" s="45"/>
      <c r="AD8" s="45"/>
      <c r="AE8" s="45"/>
      <c r="AF8" s="45"/>
      <c r="AG8" s="45"/>
      <c r="AH8" s="45"/>
      <c r="AI8" s="45"/>
      <c r="AJ8" s="45"/>
      <c r="AK8" s="45"/>
    </row>
    <row r="9">
      <c r="A9" s="59" t="s">
        <v>359</v>
      </c>
      <c r="B9" s="48">
        <v>8.5</v>
      </c>
      <c r="C9" s="45"/>
      <c r="D9" s="47" t="s">
        <v>360</v>
      </c>
      <c r="E9" s="62">
        <f>IFERROR(__xludf.DUMMYFUNCTION("GOOGLEFINANCE(B2,""datadelay"")"),0.0)</f>
        <v>0</v>
      </c>
      <c r="F9" s="62"/>
      <c r="G9" s="45"/>
      <c r="H9" s="63"/>
      <c r="I9" s="64"/>
      <c r="J9" s="45"/>
      <c r="K9" s="45"/>
      <c r="L9" s="45"/>
      <c r="M9" s="49" t="s">
        <v>361</v>
      </c>
      <c r="N9" s="49"/>
      <c r="O9" s="50" t="s">
        <v>37</v>
      </c>
      <c r="P9" s="49"/>
      <c r="Q9" s="49"/>
      <c r="R9" s="49"/>
      <c r="S9" s="49"/>
      <c r="T9" s="45"/>
      <c r="U9" s="45"/>
      <c r="V9" s="45"/>
      <c r="W9" s="45"/>
      <c r="X9" s="45"/>
      <c r="Y9" s="45"/>
      <c r="Z9" s="45"/>
      <c r="AA9" s="45"/>
      <c r="AB9" s="45"/>
      <c r="AC9" s="45"/>
      <c r="AD9" s="45"/>
      <c r="AE9" s="45"/>
      <c r="AF9" s="45"/>
      <c r="AG9" s="45"/>
      <c r="AH9" s="45"/>
      <c r="AI9" s="45"/>
      <c r="AJ9" s="45"/>
      <c r="AK9" s="45"/>
    </row>
    <row r="10">
      <c r="A10" s="59" t="s">
        <v>362</v>
      </c>
      <c r="B10" s="48">
        <f>2*(B9)</f>
        <v>17</v>
      </c>
      <c r="C10" s="45"/>
      <c r="D10" s="47" t="s">
        <v>363</v>
      </c>
      <c r="E10" s="47">
        <f>IFERROR(__xludf.DUMMYFUNCTION("GOOGLEFINANCE(B2,""high52"")"),316.67)</f>
        <v>316.67</v>
      </c>
      <c r="F10" s="47"/>
      <c r="G10" s="45"/>
      <c r="H10" s="60"/>
      <c r="I10" s="65"/>
      <c r="J10" s="45"/>
      <c r="K10" s="45"/>
      <c r="L10" s="45"/>
      <c r="M10" s="49" t="s">
        <v>364</v>
      </c>
      <c r="N10" s="49"/>
      <c r="O10" s="50" t="s">
        <v>38</v>
      </c>
      <c r="P10" s="49"/>
      <c r="Q10" s="49"/>
      <c r="R10" s="49"/>
      <c r="S10" s="49"/>
      <c r="T10" s="45"/>
      <c r="U10" s="45"/>
      <c r="V10" s="45"/>
      <c r="W10" s="45"/>
      <c r="X10" s="45"/>
      <c r="Y10" s="45"/>
      <c r="Z10" s="45"/>
      <c r="AA10" s="45"/>
      <c r="AB10" s="45"/>
      <c r="AC10" s="45"/>
      <c r="AD10" s="45"/>
      <c r="AE10" s="45"/>
      <c r="AF10" s="45"/>
      <c r="AG10" s="45"/>
      <c r="AH10" s="45"/>
      <c r="AI10" s="45"/>
      <c r="AJ10" s="45"/>
      <c r="AK10" s="45"/>
    </row>
    <row r="11">
      <c r="A11" s="59" t="s">
        <v>365</v>
      </c>
      <c r="B11" s="48">
        <v>4.64</v>
      </c>
      <c r="C11" s="45"/>
      <c r="D11" s="47" t="s">
        <v>366</v>
      </c>
      <c r="E11" s="50">
        <f>IFERROR(__xludf.DUMMYFUNCTION("GOOGLEFINANCE(B2,""low52"")"),159.36)</f>
        <v>159.36</v>
      </c>
      <c r="F11" s="50"/>
      <c r="G11" s="45"/>
      <c r="H11" s="60"/>
      <c r="I11" s="65"/>
      <c r="J11" s="45"/>
      <c r="K11" s="45"/>
      <c r="L11" s="45"/>
      <c r="M11" s="66" t="s">
        <v>367</v>
      </c>
      <c r="N11" s="49"/>
      <c r="O11" s="50" t="s">
        <v>39</v>
      </c>
      <c r="P11" s="49"/>
      <c r="Q11" s="49"/>
      <c r="R11" s="49"/>
      <c r="S11" s="49"/>
      <c r="T11" s="45"/>
      <c r="U11" s="45"/>
      <c r="V11" s="45"/>
      <c r="W11" s="45"/>
      <c r="X11" s="45"/>
      <c r="Y11" s="45"/>
      <c r="Z11" s="45"/>
      <c r="AA11" s="45"/>
      <c r="AB11" s="45"/>
      <c r="AC11" s="45"/>
      <c r="AD11" s="45"/>
      <c r="AE11" s="45"/>
      <c r="AF11" s="45"/>
      <c r="AG11" s="45"/>
      <c r="AH11" s="45"/>
      <c r="AI11" s="45"/>
      <c r="AJ11" s="45"/>
      <c r="AK11" s="45"/>
    </row>
    <row r="12">
      <c r="A12" s="59" t="s">
        <v>368</v>
      </c>
      <c r="B12" s="48">
        <v>4.77</v>
      </c>
      <c r="C12" s="45"/>
      <c r="D12" s="47" t="s">
        <v>358</v>
      </c>
      <c r="E12" s="45" t="s">
        <v>369</v>
      </c>
      <c r="F12" s="45"/>
      <c r="G12" s="45"/>
      <c r="H12" s="60"/>
      <c r="I12" s="65"/>
      <c r="J12" s="45"/>
      <c r="K12" s="45"/>
      <c r="L12" s="45"/>
      <c r="M12" s="49" t="s">
        <v>370</v>
      </c>
      <c r="N12" s="49"/>
      <c r="O12" s="50" t="s">
        <v>40</v>
      </c>
      <c r="P12" s="49"/>
      <c r="Q12" s="49"/>
      <c r="R12" s="49"/>
      <c r="S12" s="49"/>
      <c r="T12" s="45"/>
      <c r="U12" s="45"/>
      <c r="V12" s="45"/>
      <c r="W12" s="45"/>
      <c r="X12" s="45"/>
      <c r="Y12" s="45"/>
      <c r="Z12" s="45"/>
      <c r="AA12" s="45"/>
      <c r="AB12" s="45"/>
      <c r="AC12" s="45"/>
      <c r="AD12" s="45"/>
      <c r="AE12" s="45"/>
      <c r="AF12" s="45"/>
      <c r="AG12" s="45"/>
      <c r="AH12" s="45"/>
      <c r="AI12" s="45"/>
      <c r="AJ12" s="45"/>
      <c r="AK12" s="45"/>
    </row>
    <row r="13">
      <c r="A13" s="49"/>
      <c r="B13" s="48">
        <f>11+17</f>
        <v>28</v>
      </c>
      <c r="C13" s="45"/>
      <c r="D13" s="47" t="s">
        <v>371</v>
      </c>
      <c r="E13" s="45">
        <f>IFERROR(__xludf.DUMMYFUNCTION("GOOGLEFINANCE(B2,""beta"")"),1.56)</f>
        <v>1.56</v>
      </c>
      <c r="F13" s="45"/>
      <c r="G13" s="45"/>
      <c r="H13" s="60"/>
      <c r="I13" s="65"/>
      <c r="J13" s="45"/>
      <c r="K13" s="45"/>
      <c r="L13" s="45"/>
      <c r="M13" s="49" t="s">
        <v>372</v>
      </c>
      <c r="N13" s="49"/>
      <c r="O13" s="50" t="s">
        <v>41</v>
      </c>
      <c r="P13" s="49"/>
      <c r="Q13" s="49"/>
      <c r="R13" s="49"/>
      <c r="S13" s="49"/>
      <c r="T13" s="45"/>
      <c r="U13" s="45"/>
      <c r="V13" s="45"/>
      <c r="W13" s="45"/>
      <c r="X13" s="45"/>
      <c r="Y13" s="45"/>
      <c r="Z13" s="45"/>
      <c r="AA13" s="45"/>
      <c r="AB13" s="45"/>
      <c r="AC13" s="45"/>
      <c r="AD13" s="45"/>
      <c r="AE13" s="45"/>
      <c r="AF13" s="45"/>
      <c r="AG13" s="45"/>
      <c r="AH13" s="45"/>
      <c r="AI13" s="45"/>
      <c r="AJ13" s="45"/>
      <c r="AK13" s="45"/>
    </row>
    <row r="14">
      <c r="A14" s="49"/>
      <c r="B14" s="67">
        <f>(B7)*(B8+(2*(B9)))*(B11)</f>
        <v>0</v>
      </c>
      <c r="C14" s="45"/>
      <c r="D14" s="47" t="s">
        <v>373</v>
      </c>
      <c r="E14" s="68">
        <f>IFERROR(__xludf.DUMMYFUNCTION("GOOGLEFINANCE(B2,""shares"")"),1.054814E9)</f>
        <v>1054814000</v>
      </c>
      <c r="F14" s="68"/>
      <c r="G14" s="45"/>
      <c r="H14" s="60"/>
      <c r="I14" s="65"/>
      <c r="J14" s="45"/>
      <c r="K14" s="45"/>
      <c r="L14" s="45"/>
      <c r="M14" s="49" t="s">
        <v>374</v>
      </c>
      <c r="N14" s="49"/>
      <c r="O14" s="50" t="s">
        <v>42</v>
      </c>
      <c r="P14" s="49"/>
      <c r="Q14" s="49"/>
      <c r="R14" s="49"/>
      <c r="S14" s="49"/>
      <c r="T14" s="45"/>
      <c r="U14" s="45"/>
      <c r="V14" s="45"/>
      <c r="W14" s="45"/>
      <c r="X14" s="45"/>
      <c r="Y14" s="45"/>
      <c r="Z14" s="45"/>
      <c r="AA14" s="45"/>
      <c r="AB14" s="45"/>
      <c r="AC14" s="45"/>
      <c r="AD14" s="45"/>
      <c r="AE14" s="45"/>
      <c r="AF14" s="45"/>
      <c r="AG14" s="45"/>
      <c r="AH14" s="45"/>
      <c r="AI14" s="45"/>
      <c r="AJ14" s="45"/>
      <c r="AK14" s="45"/>
    </row>
    <row r="15">
      <c r="A15" s="45"/>
      <c r="B15" s="45"/>
      <c r="C15" s="45"/>
      <c r="D15" s="47" t="s">
        <v>360</v>
      </c>
      <c r="E15" s="62">
        <f>IFERROR(__xludf.DUMMYFUNCTION("GOOGLEFINANCE(B2,""datadelay"")"),0.0)</f>
        <v>0</v>
      </c>
      <c r="F15" s="62"/>
      <c r="G15" s="45"/>
      <c r="H15" s="60"/>
      <c r="I15" s="65"/>
      <c r="J15" s="45"/>
      <c r="K15" s="45"/>
      <c r="L15" s="45"/>
      <c r="M15" s="49" t="s">
        <v>375</v>
      </c>
      <c r="N15" s="49"/>
      <c r="O15" s="50" t="s">
        <v>43</v>
      </c>
      <c r="P15" s="49"/>
      <c r="Q15" s="49"/>
      <c r="R15" s="49"/>
      <c r="S15" s="49"/>
      <c r="T15" s="45"/>
      <c r="U15" s="45"/>
      <c r="V15" s="45"/>
      <c r="W15" s="45"/>
      <c r="X15" s="45"/>
      <c r="Y15" s="45"/>
      <c r="Z15" s="45"/>
      <c r="AA15" s="45"/>
      <c r="AB15" s="45"/>
      <c r="AC15" s="45"/>
      <c r="AD15" s="45"/>
      <c r="AE15" s="45"/>
      <c r="AF15" s="45"/>
      <c r="AG15" s="45"/>
      <c r="AH15" s="45"/>
      <c r="AI15" s="45"/>
      <c r="AJ15" s="45"/>
      <c r="AK15" s="45"/>
    </row>
    <row r="16">
      <c r="A16" s="45"/>
      <c r="B16" s="45"/>
      <c r="C16" s="45"/>
      <c r="D16" s="69" t="s">
        <v>376</v>
      </c>
      <c r="E16" s="70">
        <f>IFERROR(__xludf.DUMMYFUNCTION("GOOGLEFINANCE(B2,""closeyest"")"),290.62)</f>
        <v>290.62</v>
      </c>
      <c r="F16" s="70"/>
      <c r="G16" s="45"/>
      <c r="H16" s="71"/>
      <c r="I16" s="65"/>
      <c r="J16" s="45"/>
      <c r="K16" s="45"/>
      <c r="L16" s="45"/>
      <c r="M16" s="58" t="s">
        <v>377</v>
      </c>
      <c r="N16" s="49"/>
      <c r="O16" s="50" t="s">
        <v>44</v>
      </c>
      <c r="P16" s="49"/>
      <c r="Q16" s="49"/>
      <c r="R16" s="49"/>
      <c r="S16" s="49"/>
      <c r="T16" s="45"/>
      <c r="U16" s="45"/>
      <c r="V16" s="45"/>
      <c r="W16" s="45"/>
      <c r="X16" s="45"/>
      <c r="Y16" s="45"/>
      <c r="Z16" s="45"/>
      <c r="AA16" s="45"/>
      <c r="AB16" s="45"/>
      <c r="AC16" s="45"/>
      <c r="AD16" s="45"/>
      <c r="AE16" s="45"/>
      <c r="AF16" s="45"/>
      <c r="AG16" s="45"/>
      <c r="AH16" s="45"/>
      <c r="AI16" s="45"/>
      <c r="AJ16" s="45"/>
      <c r="AK16" s="45"/>
    </row>
    <row r="17">
      <c r="A17" s="47"/>
      <c r="B17" s="62"/>
      <c r="C17" s="45"/>
      <c r="D17" s="47" t="s">
        <v>13</v>
      </c>
      <c r="E17" s="72">
        <f>IFERROR(__xludf.DUMMYFUNCTION("GOOGLEFINANCE(B2,""price"")"),287.44)</f>
        <v>287.44</v>
      </c>
      <c r="F17" s="72"/>
      <c r="G17" s="45"/>
      <c r="H17" s="71"/>
      <c r="I17" s="65"/>
      <c r="J17" s="45"/>
      <c r="K17" s="45"/>
      <c r="L17" s="45"/>
      <c r="M17" s="49"/>
      <c r="N17" s="49"/>
      <c r="O17" s="50" t="s">
        <v>45</v>
      </c>
      <c r="P17" s="49"/>
      <c r="Q17" s="49"/>
      <c r="R17" s="49"/>
      <c r="S17" s="49"/>
      <c r="T17" s="45"/>
      <c r="U17" s="45"/>
      <c r="V17" s="45"/>
      <c r="W17" s="45"/>
      <c r="X17" s="45"/>
      <c r="Y17" s="45"/>
      <c r="Z17" s="45"/>
      <c r="AA17" s="45"/>
      <c r="AB17" s="45"/>
      <c r="AC17" s="45"/>
      <c r="AD17" s="45"/>
      <c r="AE17" s="45"/>
      <c r="AF17" s="45"/>
      <c r="AG17" s="45"/>
      <c r="AH17" s="45"/>
      <c r="AI17" s="45"/>
      <c r="AJ17" s="45"/>
      <c r="AK17" s="45"/>
    </row>
    <row r="18">
      <c r="A18" s="47"/>
      <c r="B18" s="45"/>
      <c r="C18" s="45"/>
      <c r="D18" s="66"/>
      <c r="E18" s="73"/>
      <c r="F18" s="73"/>
      <c r="G18" s="45"/>
      <c r="H18" s="74"/>
      <c r="I18" s="75"/>
      <c r="J18" s="45"/>
      <c r="K18" s="45"/>
      <c r="L18" s="45"/>
      <c r="M18" s="49"/>
      <c r="N18" s="49"/>
      <c r="O18" s="50" t="s">
        <v>46</v>
      </c>
      <c r="P18" s="49"/>
      <c r="Q18" s="49"/>
      <c r="R18" s="49"/>
      <c r="S18" s="49"/>
      <c r="T18" s="45"/>
      <c r="U18" s="45"/>
      <c r="V18" s="45"/>
      <c r="W18" s="45"/>
      <c r="X18" s="45"/>
      <c r="Y18" s="45"/>
      <c r="Z18" s="45"/>
      <c r="AA18" s="45"/>
      <c r="AB18" s="45"/>
      <c r="AC18" s="45"/>
      <c r="AD18" s="45"/>
      <c r="AE18" s="45"/>
      <c r="AF18" s="45"/>
      <c r="AG18" s="45"/>
      <c r="AH18" s="45"/>
      <c r="AI18" s="45"/>
      <c r="AJ18" s="45"/>
      <c r="AK18" s="45"/>
    </row>
    <row r="19">
      <c r="A19" s="45"/>
      <c r="B19" s="45"/>
      <c r="C19" s="45"/>
      <c r="D19" s="49"/>
      <c r="E19" s="48"/>
      <c r="F19" s="48"/>
      <c r="G19" s="45"/>
      <c r="H19" s="71"/>
      <c r="I19" s="65"/>
      <c r="J19" s="45"/>
      <c r="K19" s="45"/>
      <c r="L19" s="45"/>
      <c r="M19" s="49"/>
      <c r="N19" s="49"/>
      <c r="O19" s="42" t="s">
        <v>378</v>
      </c>
      <c r="P19" s="49"/>
      <c r="Q19" s="49"/>
      <c r="R19" s="49"/>
      <c r="S19" s="49"/>
      <c r="T19" s="45"/>
      <c r="U19" s="45"/>
      <c r="V19" s="45"/>
      <c r="W19" s="45"/>
      <c r="X19" s="45"/>
      <c r="Y19" s="45"/>
      <c r="Z19" s="45"/>
      <c r="AA19" s="45"/>
      <c r="AB19" s="45"/>
      <c r="AC19" s="45"/>
      <c r="AD19" s="45"/>
      <c r="AE19" s="45"/>
      <c r="AF19" s="45"/>
      <c r="AG19" s="45"/>
      <c r="AH19" s="45"/>
      <c r="AI19" s="45"/>
      <c r="AJ19" s="45"/>
      <c r="AK19" s="45"/>
    </row>
    <row r="20">
      <c r="A20" s="45"/>
      <c r="B20" s="45"/>
      <c r="C20" s="45"/>
      <c r="D20" s="49"/>
      <c r="E20" s="76"/>
      <c r="F20" s="76"/>
      <c r="G20" s="45"/>
      <c r="H20" s="71"/>
      <c r="I20" s="76"/>
      <c r="J20" s="45"/>
      <c r="K20" s="45"/>
      <c r="L20" s="45"/>
      <c r="M20" s="49"/>
      <c r="N20" s="49"/>
      <c r="O20" s="54" t="s">
        <v>23</v>
      </c>
      <c r="P20" s="49"/>
      <c r="Q20" s="49"/>
      <c r="R20" s="49"/>
      <c r="S20" s="49"/>
      <c r="T20" s="45"/>
      <c r="U20" s="45"/>
      <c r="V20" s="45"/>
      <c r="W20" s="45"/>
      <c r="X20" s="45"/>
      <c r="Y20" s="45"/>
      <c r="Z20" s="45"/>
      <c r="AA20" s="45"/>
      <c r="AB20" s="45"/>
      <c r="AC20" s="45"/>
      <c r="AD20" s="45"/>
      <c r="AE20" s="45"/>
      <c r="AF20" s="45"/>
      <c r="AG20" s="45"/>
      <c r="AH20" s="45"/>
      <c r="AI20" s="45"/>
      <c r="AJ20" s="45"/>
      <c r="AK20" s="45"/>
    </row>
    <row r="21">
      <c r="A21" s="45"/>
      <c r="B21" s="45"/>
      <c r="C21" s="45"/>
      <c r="D21" s="49"/>
      <c r="E21" s="77"/>
      <c r="F21" s="77"/>
      <c r="G21" s="45"/>
      <c r="H21" s="71"/>
      <c r="I21" s="77"/>
      <c r="J21" s="45"/>
      <c r="K21" s="45"/>
      <c r="L21" s="45"/>
      <c r="M21" s="49"/>
      <c r="N21" s="49"/>
      <c r="O21" s="54" t="s">
        <v>24</v>
      </c>
      <c r="P21" s="49"/>
      <c r="Q21" s="49"/>
      <c r="R21" s="49"/>
      <c r="S21" s="49"/>
      <c r="T21" s="45"/>
      <c r="U21" s="45"/>
      <c r="V21" s="45"/>
      <c r="W21" s="45"/>
      <c r="X21" s="45"/>
      <c r="Y21" s="45"/>
      <c r="Z21" s="45"/>
      <c r="AA21" s="45"/>
      <c r="AB21" s="45"/>
      <c r="AC21" s="45"/>
      <c r="AD21" s="45"/>
      <c r="AE21" s="45"/>
      <c r="AF21" s="45"/>
      <c r="AG21" s="45"/>
      <c r="AH21" s="45"/>
      <c r="AI21" s="45"/>
      <c r="AJ21" s="45"/>
      <c r="AK21" s="45"/>
    </row>
    <row r="22">
      <c r="A22" s="45"/>
      <c r="B22" s="45"/>
      <c r="C22" s="45"/>
      <c r="D22" s="49"/>
      <c r="E22" s="49"/>
      <c r="F22" s="49"/>
      <c r="G22" s="45"/>
      <c r="H22" s="71"/>
      <c r="I22" s="71"/>
      <c r="J22" s="45"/>
      <c r="K22" s="45"/>
      <c r="L22" s="45"/>
      <c r="M22" s="49"/>
      <c r="N22" s="49"/>
      <c r="O22" s="50" t="s">
        <v>25</v>
      </c>
      <c r="P22" s="49"/>
      <c r="Q22" s="49"/>
      <c r="R22" s="49"/>
      <c r="S22" s="49"/>
      <c r="T22" s="45"/>
      <c r="U22" s="45"/>
      <c r="V22" s="45"/>
      <c r="W22" s="45"/>
      <c r="X22" s="45"/>
      <c r="Y22" s="45"/>
      <c r="Z22" s="45"/>
      <c r="AA22" s="45"/>
      <c r="AB22" s="45"/>
      <c r="AC22" s="45"/>
      <c r="AD22" s="45"/>
      <c r="AE22" s="45"/>
      <c r="AF22" s="45"/>
      <c r="AG22" s="45"/>
      <c r="AH22" s="45"/>
      <c r="AI22" s="45"/>
      <c r="AJ22" s="45"/>
      <c r="AK22" s="45"/>
    </row>
    <row r="23">
      <c r="A23" s="45"/>
      <c r="B23" s="45"/>
      <c r="C23" s="45"/>
      <c r="D23" s="69"/>
      <c r="E23" s="70"/>
      <c r="F23" s="70"/>
      <c r="G23" s="45"/>
      <c r="H23" s="45"/>
      <c r="I23" s="45"/>
      <c r="J23" s="45"/>
      <c r="K23" s="45"/>
      <c r="L23" s="45"/>
      <c r="M23" s="45"/>
      <c r="N23" s="45"/>
      <c r="O23" s="47" t="s">
        <v>379</v>
      </c>
      <c r="P23" s="45"/>
      <c r="Q23" s="45"/>
      <c r="R23" s="45"/>
      <c r="S23" s="45"/>
      <c r="T23" s="45"/>
      <c r="U23" s="45"/>
      <c r="V23" s="45"/>
      <c r="W23" s="45"/>
      <c r="X23" s="45"/>
      <c r="Y23" s="45"/>
      <c r="Z23" s="45"/>
      <c r="AA23" s="45"/>
      <c r="AB23" s="45"/>
      <c r="AC23" s="45"/>
      <c r="AD23" s="45"/>
      <c r="AE23" s="45"/>
      <c r="AF23" s="45"/>
      <c r="AG23" s="45"/>
      <c r="AH23" s="45"/>
      <c r="AI23" s="45"/>
      <c r="AJ23" s="45"/>
      <c r="AK23" s="45"/>
    </row>
    <row r="24">
      <c r="A24" s="45"/>
      <c r="B24" s="45"/>
      <c r="C24" s="45"/>
      <c r="D24" s="78"/>
      <c r="E24" s="48"/>
      <c r="F24" s="48"/>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row>
    <row r="25">
      <c r="A25" s="45"/>
      <c r="B25" s="45"/>
      <c r="C25" s="45"/>
      <c r="D25" s="58"/>
      <c r="E25" s="48"/>
      <c r="F25" s="48"/>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row>
    <row r="26">
      <c r="A26" s="45"/>
      <c r="B26" s="45"/>
      <c r="C26" s="45"/>
      <c r="D26" s="58"/>
      <c r="E26" s="48"/>
      <c r="F26" s="48"/>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row>
    <row r="27">
      <c r="A27" s="45"/>
      <c r="B27" s="45"/>
      <c r="C27" s="45"/>
      <c r="D27" s="79"/>
      <c r="E27" s="73"/>
      <c r="F27" s="73"/>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row>
    <row r="28">
      <c r="A28" s="45"/>
      <c r="B28" s="45"/>
      <c r="C28" s="45"/>
      <c r="D28" s="58"/>
      <c r="E28" s="48"/>
      <c r="F28" s="48"/>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row>
    <row r="29">
      <c r="A29" s="45"/>
      <c r="B29" s="45"/>
      <c r="C29" s="45"/>
      <c r="D29" s="58"/>
      <c r="E29" s="76"/>
      <c r="F29" s="76"/>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row>
    <row r="30">
      <c r="A30" s="45"/>
      <c r="B30" s="45"/>
      <c r="C30" s="45"/>
      <c r="D30" s="58"/>
      <c r="E30" s="77"/>
      <c r="F30" s="77"/>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row>
    <row r="31">
      <c r="A31" s="45"/>
      <c r="B31" s="45"/>
      <c r="C31" s="45"/>
      <c r="D31" s="58"/>
      <c r="E31" s="49"/>
      <c r="F31" s="49"/>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c r="D37" s="45"/>
      <c r="E37" s="45"/>
      <c r="F37" s="45"/>
    </row>
    <row r="53">
      <c r="E53" s="80"/>
      <c r="F53" s="80"/>
    </row>
    <row r="54">
      <c r="E54" s="80"/>
      <c r="F54" s="80"/>
    </row>
    <row r="55">
      <c r="E55" s="80"/>
      <c r="F55" s="80"/>
    </row>
  </sheetData>
  <dataValidations>
    <dataValidation type="list" allowBlank="1" showErrorMessage="1" sqref="B1">
      <formula1>"ticker,Company Name,CIK,Sector,Technical,Fundamental,ASDF,ALL"</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30.38"/>
    <col customWidth="1" min="4" max="4" width="20.13"/>
  </cols>
  <sheetData>
    <row r="1">
      <c r="A1" s="81"/>
      <c r="B1" s="82" t="s">
        <v>380</v>
      </c>
      <c r="C1" s="83" t="s">
        <v>381</v>
      </c>
      <c r="D1" s="84" t="s">
        <v>382</v>
      </c>
      <c r="E1" s="85" t="s">
        <v>383</v>
      </c>
    </row>
    <row r="2">
      <c r="A2" s="86"/>
      <c r="B2" s="7" t="s">
        <v>384</v>
      </c>
      <c r="C2" s="85" t="s">
        <v>385</v>
      </c>
    </row>
    <row r="3">
      <c r="A3" s="87"/>
      <c r="B3" s="88"/>
      <c r="C3" s="88"/>
      <c r="D3" s="88"/>
      <c r="E3" s="88"/>
      <c r="F3" s="88"/>
      <c r="G3" s="88"/>
      <c r="H3" s="88"/>
      <c r="I3" s="88"/>
      <c r="J3" s="88"/>
      <c r="K3" s="88"/>
      <c r="L3" s="88"/>
      <c r="M3" s="88"/>
      <c r="N3" s="88"/>
      <c r="O3" s="88"/>
      <c r="P3" s="88"/>
      <c r="Q3" s="88"/>
      <c r="R3" s="88"/>
      <c r="S3" s="88"/>
      <c r="T3" s="88"/>
      <c r="U3" s="88"/>
      <c r="V3" s="88"/>
      <c r="W3" s="88"/>
      <c r="X3" s="88"/>
      <c r="Y3" s="88"/>
      <c r="Z3" s="88"/>
    </row>
    <row r="4">
      <c r="A4" s="89"/>
      <c r="B4" s="90"/>
    </row>
    <row r="5">
      <c r="A5" s="91" t="s">
        <v>386</v>
      </c>
      <c r="B5" s="92" t="s">
        <v>387</v>
      </c>
      <c r="M5" s="82"/>
    </row>
    <row r="6">
      <c r="A6" s="91" t="s">
        <v>388</v>
      </c>
      <c r="B6" s="92" t="s">
        <v>389</v>
      </c>
    </row>
    <row r="7">
      <c r="F7" s="55"/>
    </row>
    <row r="8">
      <c r="A8" s="93"/>
      <c r="B8" s="93"/>
      <c r="C8" s="93"/>
      <c r="D8" s="93"/>
      <c r="E8" s="93"/>
      <c r="F8" s="94"/>
      <c r="G8" s="93"/>
      <c r="H8" s="93"/>
      <c r="I8" s="93"/>
      <c r="J8" s="93"/>
      <c r="K8" s="93"/>
      <c r="L8" s="93"/>
      <c r="M8" s="93"/>
      <c r="N8" s="93"/>
      <c r="O8" s="93"/>
      <c r="P8" s="93"/>
      <c r="Q8" s="93"/>
      <c r="R8" s="93"/>
      <c r="S8" s="93"/>
      <c r="T8" s="93"/>
      <c r="U8" s="93"/>
      <c r="V8" s="93"/>
      <c r="W8" s="93"/>
      <c r="X8" s="93"/>
      <c r="Y8" s="93"/>
      <c r="Z8" s="93"/>
    </row>
    <row r="10">
      <c r="A10" s="95" t="str">
        <f>IFERROR(__xludf.DUMMYFUNCTION("IMPORTHTML(""https://finviz.com/quote.ashx?t=EXPR&amp;ty=c&amp;ta=1&amp;p=d"",""table"",""10"")"),"Loading...")</f>
        <v>Loading...</v>
      </c>
      <c r="B10" s="71"/>
      <c r="C10" s="71"/>
      <c r="D10" s="71"/>
      <c r="E10" s="71"/>
      <c r="F10" s="71"/>
      <c r="G10" s="71"/>
      <c r="H10" s="71"/>
      <c r="I10" s="71"/>
      <c r="J10" s="71"/>
      <c r="K10" s="71"/>
      <c r="L10" s="71"/>
    </row>
    <row r="11">
      <c r="A11" s="71"/>
      <c r="B11" s="71"/>
      <c r="C11" s="71"/>
      <c r="D11" s="71"/>
      <c r="E11" s="71"/>
      <c r="F11" s="95"/>
      <c r="G11" s="71"/>
      <c r="H11" s="71"/>
      <c r="I11" s="71"/>
      <c r="J11" s="71"/>
      <c r="K11" s="71"/>
      <c r="L11" s="71"/>
    </row>
    <row r="12">
      <c r="A12" s="71"/>
      <c r="B12" s="71"/>
      <c r="C12" s="71"/>
      <c r="D12" s="71"/>
      <c r="E12" s="71"/>
      <c r="F12" s="95"/>
      <c r="G12" s="71"/>
      <c r="H12" s="71"/>
      <c r="I12" s="71"/>
      <c r="J12" s="71"/>
      <c r="K12" s="71"/>
      <c r="L12" s="71"/>
    </row>
    <row r="13">
      <c r="A13" s="71"/>
      <c r="B13" s="71"/>
      <c r="C13" s="71"/>
      <c r="D13" s="71"/>
      <c r="E13" s="71"/>
      <c r="F13" s="71"/>
      <c r="G13" s="71"/>
      <c r="H13" s="71"/>
      <c r="I13" s="71"/>
      <c r="J13" s="71"/>
      <c r="K13" s="71"/>
      <c r="L13" s="71"/>
    </row>
    <row r="14">
      <c r="A14" s="71"/>
      <c r="B14" s="71"/>
      <c r="C14" s="71"/>
      <c r="D14" s="71"/>
      <c r="E14" s="71"/>
      <c r="F14" s="71"/>
      <c r="G14" s="71"/>
      <c r="H14" s="71"/>
      <c r="I14" s="71"/>
      <c r="J14" s="71"/>
      <c r="K14" s="71"/>
      <c r="L14" s="71"/>
    </row>
    <row r="15">
      <c r="A15" s="71"/>
      <c r="B15" s="71"/>
      <c r="C15" s="71"/>
      <c r="D15" s="71"/>
      <c r="E15" s="71"/>
      <c r="F15" s="71"/>
      <c r="G15" s="71"/>
      <c r="H15" s="71"/>
      <c r="I15" s="71"/>
      <c r="J15" s="71"/>
      <c r="K15" s="71"/>
      <c r="L15" s="71"/>
    </row>
    <row r="16">
      <c r="A16" s="71"/>
      <c r="B16" s="71"/>
      <c r="C16" s="71"/>
      <c r="D16" s="71"/>
      <c r="E16" s="71"/>
      <c r="F16" s="71"/>
      <c r="G16" s="71"/>
      <c r="H16" s="71"/>
      <c r="I16" s="71"/>
      <c r="J16" s="71"/>
      <c r="K16" s="71"/>
      <c r="L16" s="71"/>
    </row>
    <row r="17">
      <c r="A17" s="71"/>
      <c r="B17" s="71"/>
      <c r="C17" s="71"/>
      <c r="D17" s="71"/>
      <c r="E17" s="71"/>
      <c r="F17" s="71"/>
      <c r="G17" s="71"/>
      <c r="H17" s="71"/>
      <c r="I17" s="71"/>
      <c r="J17" s="71"/>
      <c r="K17" s="71"/>
      <c r="L17" s="71"/>
    </row>
    <row r="18">
      <c r="A18" s="71"/>
      <c r="B18" s="71"/>
      <c r="C18" s="71"/>
      <c r="D18" s="71"/>
      <c r="E18" s="71"/>
      <c r="F18" s="71"/>
      <c r="G18" s="71"/>
      <c r="H18" s="71"/>
      <c r="I18" s="71"/>
      <c r="J18" s="71"/>
      <c r="K18" s="71"/>
      <c r="L18" s="71"/>
    </row>
    <row r="19">
      <c r="A19" s="71"/>
      <c r="B19" s="71"/>
      <c r="C19" s="71"/>
      <c r="D19" s="71"/>
      <c r="E19" s="71"/>
      <c r="F19" s="71"/>
      <c r="G19" s="71"/>
      <c r="H19" s="71"/>
      <c r="I19" s="71"/>
      <c r="J19" s="71"/>
      <c r="K19" s="71"/>
      <c r="L19" s="71"/>
    </row>
    <row r="20">
      <c r="A20" s="71"/>
      <c r="B20" s="71"/>
      <c r="C20" s="71"/>
      <c r="D20" s="71"/>
      <c r="E20" s="71"/>
      <c r="F20" s="71"/>
      <c r="G20" s="71"/>
      <c r="H20" s="71"/>
      <c r="I20" s="71"/>
      <c r="J20" s="71"/>
      <c r="K20" s="71"/>
      <c r="L20" s="71"/>
    </row>
    <row r="21">
      <c r="A21" s="71"/>
      <c r="B21" s="71"/>
      <c r="C21" s="71"/>
      <c r="D21" s="71"/>
      <c r="E21" s="71"/>
      <c r="F21" s="71"/>
      <c r="G21" s="71"/>
      <c r="H21" s="71"/>
      <c r="I21" s="71"/>
      <c r="J21" s="71"/>
      <c r="K21" s="71"/>
      <c r="L21" s="71"/>
    </row>
    <row r="23">
      <c r="A23" s="93"/>
      <c r="B23" s="93"/>
      <c r="C23" s="93"/>
      <c r="D23" s="93"/>
      <c r="E23" s="93"/>
      <c r="F23" s="93"/>
      <c r="G23" s="93"/>
      <c r="H23" s="93"/>
      <c r="I23" s="93"/>
      <c r="J23" s="93"/>
      <c r="K23" s="93"/>
      <c r="L23" s="93"/>
      <c r="M23" s="93"/>
      <c r="N23" s="93"/>
      <c r="O23" s="93"/>
    </row>
    <row r="24">
      <c r="A24" s="7" t="s">
        <v>390</v>
      </c>
    </row>
    <row r="25">
      <c r="A25" s="96" t="str">
        <f>IFERROR(__xludf.DUMMYFUNCTION("IMPORTHTML(""https://finance.yahoo.com/currencies"",""table"",1)"),"Loading...")</f>
        <v>Loading...</v>
      </c>
    </row>
    <row r="50">
      <c r="H50" s="97"/>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4">
      <c r="B54" s="98" t="s">
        <v>391</v>
      </c>
      <c r="E54" s="7" t="s">
        <v>392</v>
      </c>
      <c r="G54" s="99" t="str">
        <f>IFERROR(__xludf.DUMMYFUNCTION("SPARKLINE(GOOGLEFINANCE(B56,""price"",today()-700,today()))"),"")</f>
        <v/>
      </c>
      <c r="M54" s="97" t="str">
        <v>#ERROR!</v>
      </c>
    </row>
    <row r="55">
      <c r="E55" s="7" t="s">
        <v>393</v>
      </c>
      <c r="M55" s="99" t="str">
        <f>IFERROR(__xludf.DUMMYFUNCTION("IMPORTHTML(""https://www.sec.gov/cgi-bin/browse-edgar?action=getcurrent"",""table"",""7"")"),"Loading...")</f>
        <v>Loading...</v>
      </c>
    </row>
    <row r="56">
      <c r="B56" s="100" t="s">
        <v>394</v>
      </c>
      <c r="E56" s="7" t="s">
        <v>395</v>
      </c>
    </row>
    <row r="57">
      <c r="E57" s="7" t="s">
        <v>396</v>
      </c>
    </row>
    <row r="58">
      <c r="E58" s="7" t="s">
        <v>363</v>
      </c>
    </row>
    <row r="59">
      <c r="E59" s="7" t="s">
        <v>366</v>
      </c>
    </row>
    <row r="60">
      <c r="E60" s="7" t="s">
        <v>397</v>
      </c>
    </row>
    <row r="62">
      <c r="A62" s="97" t="str">
        <f>IFERROR(__xludf.DUMMYFUNCTION("IMPORTHTML(""https://finviz.com/quote.ashx?t=""&amp;B56,""table"",""10"")"),"Loading...")</f>
        <v>Loading...</v>
      </c>
    </row>
    <row r="74">
      <c r="G74" s="97"/>
    </row>
    <row r="75">
      <c r="A75" s="101" t="s">
        <v>398</v>
      </c>
      <c r="I75" s="97"/>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1"/>
    </row>
    <row r="79">
      <c r="A79" s="102" t="s">
        <v>399</v>
      </c>
      <c r="B79" s="102" t="s">
        <v>400</v>
      </c>
      <c r="C79" s="102" t="s">
        <v>345</v>
      </c>
      <c r="D79" s="103">
        <v>555.0</v>
      </c>
      <c r="E79" s="102" t="s">
        <v>401</v>
      </c>
      <c r="F79" s="102" t="s">
        <v>402</v>
      </c>
      <c r="G79" s="102" t="s">
        <v>403</v>
      </c>
      <c r="H79" s="102" t="s">
        <v>404</v>
      </c>
      <c r="I79" s="102" t="s">
        <v>83</v>
      </c>
    </row>
    <row r="80" ht="81.0" customHeight="1">
      <c r="A80" s="7" t="s">
        <v>405</v>
      </c>
      <c r="B80" s="99" t="str">
        <f>IFERROR(__xludf.DUMMYFUNCTION("GOOGLEFINANCE(A80,""name"")"),"#N/A")</f>
        <v>#N/A</v>
      </c>
      <c r="C80" s="99" t="str">
        <f>IFERROR(__xludf.DUMMYFUNCTION("GOOGLEFINANCE(A80,""price"")"),"#N/A")</f>
        <v>#N/A</v>
      </c>
      <c r="D80" s="99" t="str">
        <f>IFERROR(__xludf.DUMMYFUNCTION("(SPARKLINE(index(GOOGLEFINANCE(A80,""Price"",today()-$D$79,today()),,2),{""charttype"",""line"";""color"",""purple""}))"),"#N/A")</f>
        <v>#N/A</v>
      </c>
      <c r="E80" s="99" t="str">
        <f>IFERROR(__xludf.DUMMYFUNCTION("Googlefinance(A80,""change"")"),"#N/A")</f>
        <v>#N/A</v>
      </c>
      <c r="F80" s="104" t="str">
        <f>IFERROR(__xludf.DUMMYFUNCTION("Googlefinance(A80,""changepct"")/100"),"#N/A")</f>
        <v>#N/A</v>
      </c>
      <c r="G80" s="105" t="str">
        <f>IFERROR(__xludf.DUMMYFUNCTION("if($A$80="""","""",substitute(SUBSTITUTE(index(importhtml(""http://finviz.com/quote.ashx?t=""&amp;$A$80,""table"",10),7,2),""*"",""""),""-"",""0.00""))"),"Loading...")</f>
        <v>Loading...</v>
      </c>
      <c r="H80" s="106" t="str">
        <f>IFERROR(__xludf.DUMMYFUNCTION("(GOOGLEFINANCE(A80,""price"")/index(GOOGLEFINANCE(A2,""price"", datevalue(today()-365)),2,2)-1)"),"#N/A")</f>
        <v>#N/A</v>
      </c>
      <c r="I80" s="107" t="str">
        <f>if(O2="","",Left(O2, Search(" |",O2)))</f>
        <v/>
      </c>
      <c r="K80" s="107" t="str">
        <f>IFERROR(__xludf.DUMMYFUNCTION("if(A2="""","""",IFERROR(substitute(Index(IMPORTHTML(""https://finviz.com/quote.ashx?t=""&amp;A2,""Table"",8),2,1),""*"",""""),""-""))"),"")</f>
        <v/>
      </c>
    </row>
    <row r="81">
      <c r="G81" s="105"/>
      <c r="H81" s="7" t="s">
        <v>406</v>
      </c>
      <c r="I81" s="7" t="s">
        <v>407</v>
      </c>
    </row>
    <row r="82">
      <c r="H82" s="7" t="s">
        <v>408</v>
      </c>
      <c r="I82" s="7" t="s">
        <v>409</v>
      </c>
    </row>
    <row r="83">
      <c r="H83" s="7" t="s">
        <v>410</v>
      </c>
      <c r="I83" s="4" t="s">
        <v>411</v>
      </c>
    </row>
    <row r="84">
      <c r="A84" s="108" t="s">
        <v>412</v>
      </c>
      <c r="H84" s="7" t="s">
        <v>413</v>
      </c>
      <c r="I84" s="7" t="s">
        <v>414</v>
      </c>
    </row>
    <row r="85">
      <c r="A85" s="109" t="str">
        <f>IFERROR(__xludf.DUMMYFUNCTION("IMPORTHTML(""https://finviz.com/quote.ashx?t=""&amp;A80,""table"",""11"")"),"Loading...")</f>
        <v>Loading...</v>
      </c>
      <c r="I85" s="7" t="str">
        <f>IFERROR(__xludf.DUMMYFUNCTION("IMPORTXML(""http://finance.yahoo.com/quote/AAPL/profile?p=AAPL"",""//section/div[1]/div/div/p[2]/span[2]"")"),"#N/A")</f>
        <v>#N/A</v>
      </c>
    </row>
    <row r="86">
      <c r="A86" s="7"/>
      <c r="E86" s="106" t="str">
        <f>if(O2="","",Left(O2, Search(" |",O2)))</f>
        <v/>
      </c>
      <c r="I86" s="7" t="s">
        <v>415</v>
      </c>
    </row>
    <row r="87">
      <c r="I87" s="105" t="s">
        <v>416</v>
      </c>
    </row>
    <row r="88">
      <c r="I88" s="7" t="s">
        <v>417</v>
      </c>
    </row>
    <row r="89">
      <c r="I89" s="7" t="s">
        <v>418</v>
      </c>
    </row>
    <row r="90">
      <c r="I90" s="7" t="s">
        <v>419</v>
      </c>
    </row>
    <row r="91">
      <c r="I91" s="7" t="s">
        <v>420</v>
      </c>
    </row>
    <row r="92">
      <c r="I92" s="7" t="s">
        <v>421</v>
      </c>
    </row>
    <row r="93">
      <c r="I93" s="7" t="s">
        <v>420</v>
      </c>
    </row>
    <row r="94">
      <c r="I94" s="7" t="s">
        <v>422</v>
      </c>
    </row>
    <row r="95">
      <c r="I95" s="7" t="s">
        <v>420</v>
      </c>
    </row>
    <row r="96">
      <c r="I96" s="7" t="s">
        <v>423</v>
      </c>
    </row>
    <row r="97">
      <c r="I97" s="7" t="s">
        <v>424</v>
      </c>
    </row>
    <row r="98">
      <c r="I98" s="7" t="s">
        <v>418</v>
      </c>
    </row>
    <row r="99">
      <c r="I99" s="7" t="s">
        <v>425</v>
      </c>
    </row>
    <row r="100">
      <c r="I100" s="7" t="s">
        <v>420</v>
      </c>
    </row>
    <row r="101">
      <c r="I101" s="7" t="s">
        <v>426</v>
      </c>
    </row>
    <row r="103">
      <c r="I103" s="7" t="s">
        <v>420</v>
      </c>
    </row>
    <row r="104">
      <c r="I104" s="7" t="s">
        <v>427</v>
      </c>
    </row>
    <row r="105">
      <c r="I105" s="7" t="s">
        <v>420</v>
      </c>
    </row>
    <row r="106">
      <c r="I106" s="7" t="s">
        <v>428</v>
      </c>
    </row>
    <row r="107">
      <c r="I107" s="7" t="s">
        <v>420</v>
      </c>
    </row>
    <row r="108">
      <c r="I108" s="7" t="s">
        <v>429</v>
      </c>
    </row>
    <row r="109">
      <c r="I109" s="7" t="s">
        <v>424</v>
      </c>
    </row>
    <row r="110">
      <c r="I110" s="7" t="s">
        <v>424</v>
      </c>
    </row>
  </sheetData>
  <mergeCells count="3">
    <mergeCell ref="B54:C55"/>
    <mergeCell ref="G54:L60"/>
    <mergeCell ref="B56:C59"/>
  </mergeCells>
  <hyperlinks>
    <hyperlink r:id="rId2" ref="C1"/>
    <hyperlink r:id="rId3" ref="D1"/>
    <hyperlink r:id="rId4" location="meetings" ref="E1"/>
    <hyperlink r:id="rId5" ref="C2"/>
  </hyperlin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7.5"/>
    <col customWidth="1" min="3" max="3" width="74.75"/>
    <col customWidth="1" min="5" max="5" width="8.5"/>
    <col customWidth="1" min="6" max="6" width="28.88"/>
    <col customWidth="1" min="7" max="7" width="8.25"/>
    <col customWidth="1" min="10" max="10" width="17.5"/>
    <col customWidth="1" min="12" max="12" width="14.88"/>
    <col customWidth="1" min="14" max="14" width="14.0"/>
    <col hidden="1" min="15" max="30" width="12.63"/>
  </cols>
  <sheetData>
    <row r="1">
      <c r="A1" s="110" t="s">
        <v>430</v>
      </c>
      <c r="B1" s="111" t="s">
        <v>346</v>
      </c>
      <c r="C1" s="112" t="s">
        <v>431</v>
      </c>
      <c r="D1" s="113" t="s">
        <v>432</v>
      </c>
      <c r="E1" s="114" t="s">
        <v>13</v>
      </c>
      <c r="F1" s="115"/>
      <c r="G1" s="115"/>
      <c r="H1" s="115" t="s">
        <v>348</v>
      </c>
      <c r="I1" s="116" t="s">
        <v>83</v>
      </c>
      <c r="J1" s="117">
        <v>1.0</v>
      </c>
      <c r="K1" s="118" t="s">
        <v>433</v>
      </c>
      <c r="L1" s="119" t="s">
        <v>21</v>
      </c>
      <c r="M1" s="120" t="s">
        <v>434</v>
      </c>
      <c r="N1" s="7" t="s">
        <v>435</v>
      </c>
      <c r="Q1" s="121"/>
    </row>
    <row r="2">
      <c r="A2" s="122" t="s">
        <v>436</v>
      </c>
      <c r="B2" s="123">
        <v>925661.0</v>
      </c>
      <c r="C2" s="124" t="s">
        <v>437</v>
      </c>
      <c r="D2" s="125"/>
      <c r="E2" s="126">
        <v>0.01</v>
      </c>
      <c r="F2" s="127"/>
      <c r="G2" s="127"/>
      <c r="H2" s="127"/>
      <c r="I2" s="128"/>
      <c r="K2" s="105" t="str">
        <f>IFERROR(__xludf.DUMMYFUNCTION("if(A2="""","""",substitute(SUBSTITUTE(index(importhtml(""http://finviz.com/quote.ashx?t=""&amp;A2,""table"",10),7,2),""*"",""""),""-"",""0.00""))"),"Loading...")</f>
        <v>Loading...</v>
      </c>
      <c r="L2" s="129">
        <v>1530.0</v>
      </c>
      <c r="M2" s="130" t="e">
        <v>#N/A</v>
      </c>
    </row>
    <row r="3">
      <c r="A3" s="122" t="s">
        <v>438</v>
      </c>
      <c r="B3" s="123">
        <v>1704795.0</v>
      </c>
      <c r="C3" s="124" t="s">
        <v>439</v>
      </c>
      <c r="D3" s="125"/>
      <c r="E3" s="126">
        <v>0.01</v>
      </c>
      <c r="F3" s="127"/>
      <c r="G3" s="127"/>
      <c r="H3" s="127"/>
      <c r="I3" s="128"/>
      <c r="K3" s="105" t="str">
        <f>IFERROR(__xludf.DUMMYFUNCTION("if(A3="""","""",substitute(SUBSTITUTE(index(importhtml(""http://finviz.com/quote.ashx?t=""&amp;A3,""table"",10),7,2),""*"",""""),""-"",""0.00""))"),"Loading...")</f>
        <v>Loading...</v>
      </c>
      <c r="L3" s="129">
        <v>48960.0</v>
      </c>
      <c r="M3" s="99">
        <v>5.31</v>
      </c>
    </row>
    <row r="4">
      <c r="A4" s="122" t="s">
        <v>440</v>
      </c>
      <c r="B4" s="123">
        <v>100716.0</v>
      </c>
      <c r="C4" s="124" t="s">
        <v>441</v>
      </c>
      <c r="D4" s="125"/>
      <c r="E4" s="126">
        <v>0.01</v>
      </c>
      <c r="F4" s="127"/>
      <c r="G4" s="127"/>
      <c r="H4" s="127"/>
      <c r="I4" s="128"/>
      <c r="K4" s="105" t="str">
        <f>IFERROR(__xludf.DUMMYFUNCTION("if(A4="""","""",substitute(SUBSTITUTE(index(importhtml(""http://finviz.com/quote.ashx?t=""&amp;A4,""table"",10),7,2),""*"",""""),""-"",""0.00""))"),"Loading...")</f>
        <v>Loading...</v>
      </c>
      <c r="L4" s="129">
        <v>53050.0</v>
      </c>
      <c r="M4" s="99">
        <v>0.07</v>
      </c>
    </row>
    <row r="5">
      <c r="A5" s="122" t="s">
        <v>442</v>
      </c>
      <c r="B5" s="123">
        <v>795212.0</v>
      </c>
      <c r="C5" s="124" t="s">
        <v>443</v>
      </c>
      <c r="D5" s="125"/>
      <c r="E5" s="126">
        <v>0.01</v>
      </c>
      <c r="F5" s="127"/>
      <c r="G5" s="127"/>
      <c r="H5" s="127"/>
      <c r="I5" s="128"/>
      <c r="K5" s="105" t="str">
        <f>IFERROR(__xludf.DUMMYFUNCTION("if(A5="""","""",substitute(SUBSTITUTE(index(importhtml(""http://finviz.com/quote.ashx?t=""&amp;A5,""table"",10),7,2),""*"",""""),""-"",""0.00""))"),"Loading...")</f>
        <v>Loading...</v>
      </c>
      <c r="L5" s="129">
        <v>59640.0</v>
      </c>
      <c r="M5" s="99">
        <v>0.51</v>
      </c>
    </row>
    <row r="6">
      <c r="A6" s="122" t="s">
        <v>444</v>
      </c>
      <c r="B6" s="123">
        <v>225628.0</v>
      </c>
      <c r="C6" s="124" t="s">
        <v>445</v>
      </c>
      <c r="D6" s="125"/>
      <c r="E6" s="126">
        <v>0.01</v>
      </c>
      <c r="F6" s="127"/>
      <c r="G6" s="127"/>
      <c r="H6" s="127"/>
      <c r="I6" s="128"/>
      <c r="K6" s="105" t="str">
        <f>IFERROR(__xludf.DUMMYFUNCTION("if(A6="""","""",substitute(SUBSTITUTE(index(importhtml(""http://finviz.com/quote.ashx?t=""&amp;A6,""table"",10),7,2),""*"",""""),""-"",""0.00""))"),"Loading...")</f>
        <v>Loading...</v>
      </c>
      <c r="L6" s="129">
        <v>77120.0</v>
      </c>
      <c r="M6" s="99" t="e">
        <v>#N/A</v>
      </c>
    </row>
    <row r="7">
      <c r="A7" s="122" t="s">
        <v>446</v>
      </c>
      <c r="B7" s="123">
        <v>1077319.0</v>
      </c>
      <c r="C7" s="124" t="s">
        <v>447</v>
      </c>
      <c r="D7" s="125"/>
      <c r="E7" s="126">
        <v>0.01</v>
      </c>
      <c r="F7" s="127"/>
      <c r="G7" s="127"/>
      <c r="H7" s="127"/>
      <c r="I7" s="128"/>
      <c r="K7" s="105" t="str">
        <f>IFERROR(__xludf.DUMMYFUNCTION("if(A7="""","""",substitute(SUBSTITUTE(index(importhtml(""http://finviz.com/quote.ashx?t=""&amp;A7,""table"",10),7,2),""*"",""""),""-"",""0.00""))"),"Loading...")</f>
        <v>Loading...</v>
      </c>
      <c r="L7" s="129">
        <v>86810.0</v>
      </c>
      <c r="M7" s="99">
        <v>0.59</v>
      </c>
    </row>
    <row r="8">
      <c r="A8" s="122" t="s">
        <v>448</v>
      </c>
      <c r="B8" s="123">
        <v>1227282.0</v>
      </c>
      <c r="C8" s="124" t="s">
        <v>449</v>
      </c>
      <c r="D8" s="125"/>
      <c r="E8" s="126">
        <v>0.01</v>
      </c>
      <c r="F8" s="127"/>
      <c r="G8" s="127"/>
      <c r="H8" s="127"/>
      <c r="I8" s="128"/>
      <c r="K8" s="105" t="str">
        <f>IFERROR(__xludf.DUMMYFUNCTION("if(A8="""","""",substitute(SUBSTITUTE(index(importhtml(""http://finviz.com/quote.ashx?t=""&amp;A8,""table"",10),7,2),""*"",""""),""-"",""0.00""))"),"Loading...")</f>
        <v>Loading...</v>
      </c>
      <c r="L8" s="129">
        <v>120510.0</v>
      </c>
      <c r="M8" s="99" t="e">
        <v>#N/A</v>
      </c>
    </row>
    <row r="9">
      <c r="A9" s="122" t="s">
        <v>450</v>
      </c>
      <c r="B9" s="123">
        <v>1717556.0</v>
      </c>
      <c r="C9" s="124" t="s">
        <v>451</v>
      </c>
      <c r="D9" s="125"/>
      <c r="E9" s="126">
        <v>0.01</v>
      </c>
      <c r="F9" s="127"/>
      <c r="G9" s="127"/>
      <c r="H9" s="127"/>
      <c r="I9" s="128"/>
      <c r="K9" s="105" t="str">
        <f>IFERROR(__xludf.DUMMYFUNCTION("if(A9="""","""",substitute(SUBSTITUTE(index(importhtml(""http://finviz.com/quote.ashx?t=""&amp;A9,""table"",10),7,2),""*"",""""),""-"",""0.00""))"),"Loading...")</f>
        <v>Loading...</v>
      </c>
      <c r="L9" s="129">
        <v>124489.0</v>
      </c>
      <c r="M9" s="99">
        <v>0.18</v>
      </c>
    </row>
    <row r="10">
      <c r="A10" s="122" t="s">
        <v>452</v>
      </c>
      <c r="B10" s="123">
        <v>1145898.0</v>
      </c>
      <c r="C10" s="124" t="s">
        <v>453</v>
      </c>
      <c r="D10" s="125"/>
      <c r="E10" s="126">
        <v>0.01</v>
      </c>
      <c r="F10" s="127"/>
      <c r="G10" s="127"/>
      <c r="H10" s="127"/>
      <c r="I10" s="128"/>
      <c r="K10" s="105" t="str">
        <f>IFERROR(__xludf.DUMMYFUNCTION("if(A10="""","""",substitute(SUBSTITUTE(index(importhtml(""http://finviz.com/quote.ashx?t=""&amp;A10,""table"",10),7,2),""*"",""""),""-"",""0.00""))"),"Loading...")</f>
        <v>Loading...</v>
      </c>
      <c r="L10" s="129">
        <v>124830.0</v>
      </c>
      <c r="M10" s="99">
        <v>6.55</v>
      </c>
    </row>
    <row r="11">
      <c r="A11" s="122" t="s">
        <v>454</v>
      </c>
      <c r="B11" s="123">
        <v>1716324.0</v>
      </c>
      <c r="C11" s="124" t="s">
        <v>455</v>
      </c>
      <c r="D11" s="125"/>
      <c r="E11" s="126">
        <v>0.01</v>
      </c>
      <c r="F11" s="127"/>
      <c r="G11" s="127"/>
      <c r="H11" s="127"/>
      <c r="I11" s="128"/>
      <c r="K11" s="105" t="str">
        <f>IFERROR(__xludf.DUMMYFUNCTION("if(A11="""","""",substitute(SUBSTITUTE(index(importhtml(""http://finviz.com/quote.ashx?t=""&amp;A11,""table"",10),7,2),""*"",""""),""-"",""0.00""))"),"Loading...")</f>
        <v>Loading...</v>
      </c>
      <c r="L11" s="129">
        <v>135410.0</v>
      </c>
      <c r="M11" s="99">
        <v>6.36</v>
      </c>
    </row>
    <row r="12">
      <c r="A12" s="122" t="s">
        <v>456</v>
      </c>
      <c r="B12" s="123">
        <v>1673481.0</v>
      </c>
      <c r="C12" s="124" t="s">
        <v>457</v>
      </c>
      <c r="D12" s="125"/>
      <c r="E12" s="126">
        <v>0.01</v>
      </c>
      <c r="F12" s="127"/>
      <c r="G12" s="127"/>
      <c r="H12" s="127"/>
      <c r="I12" s="128"/>
      <c r="K12" s="105" t="str">
        <f>IFERROR(__xludf.DUMMYFUNCTION("if(A12="""","""",substitute(SUBSTITUTE(index(importhtml(""http://finviz.com/quote.ashx?t=""&amp;A12,""table"",10),7,2),""*"",""""),""-"",""0.00""))"),"#N/A")</f>
        <v>#N/A</v>
      </c>
      <c r="L12" s="129">
        <v>154382.0</v>
      </c>
      <c r="M12" s="99">
        <v>4.5</v>
      </c>
    </row>
    <row r="13">
      <c r="A13" s="122" t="s">
        <v>458</v>
      </c>
      <c r="B13" s="123">
        <v>1653876.0</v>
      </c>
      <c r="C13" s="124" t="s">
        <v>459</v>
      </c>
      <c r="D13" s="125"/>
      <c r="E13" s="126">
        <v>0.01</v>
      </c>
      <c r="F13" s="127"/>
      <c r="G13" s="127"/>
      <c r="H13" s="127"/>
      <c r="I13" s="128"/>
      <c r="K13" s="105" t="str">
        <f>IFERROR(__xludf.DUMMYFUNCTION("if(A13="""","""",substitute(SUBSTITUTE(index(importhtml(""http://finviz.com/quote.ashx?t=""&amp;A13,""table"",10),7,2),""*"",""""),""-"",""0.00""))"),"Loading...")</f>
        <v>Loading...</v>
      </c>
      <c r="L13" s="129">
        <v>168890.0</v>
      </c>
      <c r="M13" s="99" t="e">
        <v>#N/A</v>
      </c>
    </row>
    <row r="14">
      <c r="A14" s="122" t="s">
        <v>460</v>
      </c>
      <c r="B14" s="123">
        <v>1668987.0</v>
      </c>
      <c r="C14" s="124" t="s">
        <v>461</v>
      </c>
      <c r="D14" s="125"/>
      <c r="E14" s="126">
        <v>0.01</v>
      </c>
      <c r="F14" s="127"/>
      <c r="G14" s="127"/>
      <c r="H14" s="127"/>
      <c r="I14" s="128"/>
      <c r="K14" s="105" t="str">
        <f>IFERROR(__xludf.DUMMYFUNCTION("if(A14="""","""",substitute(SUBSTITUTE(index(importhtml(""http://finviz.com/quote.ashx?t=""&amp;A14,""table"",10),7,2),""*"",""""),""-"",""0.00""))"),"#N/A")</f>
        <v>#N/A</v>
      </c>
      <c r="L14" s="129">
        <v>205264.0</v>
      </c>
      <c r="M14" s="99">
        <v>2.06</v>
      </c>
    </row>
    <row r="15">
      <c r="A15" s="122" t="s">
        <v>462</v>
      </c>
      <c r="B15" s="123">
        <v>1017110.0</v>
      </c>
      <c r="C15" s="124" t="s">
        <v>463</v>
      </c>
      <c r="D15" s="125"/>
      <c r="E15" s="126">
        <v>0.01</v>
      </c>
      <c r="F15" s="127"/>
      <c r="G15" s="127"/>
      <c r="H15" s="127"/>
      <c r="I15" s="128"/>
      <c r="K15" s="105" t="str">
        <f>IFERROR(__xludf.DUMMYFUNCTION("if(A15="""","""",substitute(SUBSTITUTE(index(importhtml(""http://finviz.com/quote.ashx?t=""&amp;A15,""table"",10),7,2),""*"",""""),""-"",""0.00""))"),"Loading...")</f>
        <v>Loading...</v>
      </c>
      <c r="L15" s="129">
        <v>212040.0</v>
      </c>
      <c r="M15" s="99">
        <v>-0.26</v>
      </c>
    </row>
    <row r="16">
      <c r="A16" s="122" t="s">
        <v>464</v>
      </c>
      <c r="B16" s="123">
        <v>919175.0</v>
      </c>
      <c r="C16" s="124" t="s">
        <v>465</v>
      </c>
      <c r="D16" s="125"/>
      <c r="E16" s="126">
        <v>0.01</v>
      </c>
      <c r="F16" s="127"/>
      <c r="G16" s="127"/>
      <c r="H16" s="127"/>
      <c r="I16" s="128"/>
      <c r="K16" s="105" t="str">
        <f>IFERROR(__xludf.DUMMYFUNCTION("if(A16="""","""",substitute(SUBSTITUTE(index(importhtml(""http://finviz.com/quote.ashx?t=""&amp;A16,""table"",10),7,2),""*"",""""),""-"",""0.00""))"),"Loading...")</f>
        <v>Loading...</v>
      </c>
      <c r="L16" s="129">
        <v>230735.0</v>
      </c>
      <c r="M16" s="99">
        <v>0.21</v>
      </c>
    </row>
    <row r="17">
      <c r="A17" s="122" t="s">
        <v>466</v>
      </c>
      <c r="B17" s="123">
        <v>1465885.0</v>
      </c>
      <c r="C17" s="124" t="s">
        <v>467</v>
      </c>
      <c r="D17" s="125"/>
      <c r="E17" s="126">
        <v>0.01</v>
      </c>
      <c r="F17" s="127"/>
      <c r="G17" s="127"/>
      <c r="H17" s="127"/>
      <c r="I17" s="128"/>
      <c r="K17" s="105" t="str">
        <f>IFERROR(__xludf.DUMMYFUNCTION("if(A17="""","""",substitute(SUBSTITUTE(index(importhtml(""http://finviz.com/quote.ashx?t=""&amp;A17,""table"",10),7,2),""*"",""""),""-"",""0.00""))"),"Loading...")</f>
        <v>Loading...</v>
      </c>
      <c r="L17" s="129">
        <v>250340.0</v>
      </c>
      <c r="M17" s="99" t="e">
        <v>#N/A</v>
      </c>
    </row>
    <row r="18">
      <c r="A18" s="122" t="s">
        <v>468</v>
      </c>
      <c r="B18" s="123">
        <v>1282496.0</v>
      </c>
      <c r="C18" s="124" t="s">
        <v>469</v>
      </c>
      <c r="D18" s="125"/>
      <c r="E18" s="126">
        <v>0.01</v>
      </c>
      <c r="F18" s="127"/>
      <c r="G18" s="127"/>
      <c r="H18" s="127"/>
      <c r="I18" s="128"/>
      <c r="K18" s="105" t="str">
        <f>IFERROR(__xludf.DUMMYFUNCTION("if(A18="""","""",substitute(SUBSTITUTE(index(importhtml(""http://finviz.com/quote.ashx?t=""&amp;A18,""table"",10),7,2),""*"",""""),""-"",""0.00""))"),"Loading...")</f>
        <v>Loading...</v>
      </c>
      <c r="L18" s="129">
        <v>263896.0</v>
      </c>
      <c r="M18" s="99">
        <v>-4.25</v>
      </c>
    </row>
    <row r="19">
      <c r="A19" s="122" t="s">
        <v>470</v>
      </c>
      <c r="B19" s="123">
        <v>1703625.0</v>
      </c>
      <c r="C19" s="124" t="s">
        <v>471</v>
      </c>
      <c r="D19" s="125"/>
      <c r="E19" s="126">
        <v>0.01</v>
      </c>
      <c r="F19" s="127"/>
      <c r="G19" s="127"/>
      <c r="H19" s="127"/>
      <c r="I19" s="128"/>
      <c r="K19" s="105" t="str">
        <f>IFERROR(__xludf.DUMMYFUNCTION("if(A19="""","""",substitute(SUBSTITUTE(index(importhtml(""http://finviz.com/quote.ashx?t=""&amp;A19,""table"",10),7,2),""*"",""""),""-"",""0.00""))"),"Loading...")</f>
        <v>Loading...</v>
      </c>
      <c r="L19" s="129">
        <v>276760.0</v>
      </c>
      <c r="M19" s="99">
        <v>49.62</v>
      </c>
    </row>
    <row r="20">
      <c r="A20" s="122" t="s">
        <v>472</v>
      </c>
      <c r="B20" s="123">
        <v>84129.0</v>
      </c>
      <c r="C20" s="124" t="s">
        <v>473</v>
      </c>
      <c r="D20" s="125"/>
      <c r="E20" s="126">
        <v>0.01</v>
      </c>
      <c r="F20" s="127"/>
      <c r="G20" s="127"/>
      <c r="H20" s="127"/>
      <c r="I20" s="128"/>
      <c r="K20" s="105" t="str">
        <f>IFERROR(__xludf.DUMMYFUNCTION("if(A20="""","""",substitute(SUBSTITUTE(index(importhtml(""http://finviz.com/quote.ashx?t=""&amp;A20,""table"",10),7,2),""*"",""""),""-"",""0.00""))"),"Loading...")</f>
        <v>Loading...</v>
      </c>
      <c r="L20" s="129">
        <v>278380.0</v>
      </c>
      <c r="M20" s="99" t="e">
        <v>#N/A</v>
      </c>
    </row>
    <row r="21">
      <c r="A21" s="122" t="s">
        <v>474</v>
      </c>
      <c r="B21" s="123">
        <v>1553264.0</v>
      </c>
      <c r="C21" s="124" t="s">
        <v>475</v>
      </c>
      <c r="D21" s="125"/>
      <c r="E21" s="126">
        <v>0.01</v>
      </c>
      <c r="F21" s="127"/>
      <c r="G21" s="127"/>
      <c r="H21" s="127"/>
      <c r="I21" s="128"/>
      <c r="K21" s="105" t="str">
        <f>IFERROR(__xludf.DUMMYFUNCTION("if(A21="""","""",substitute(SUBSTITUTE(index(importhtml(""http://finviz.com/quote.ashx?t=""&amp;A21,""table"",10),7,2),""*"",""""),""-"",""0.00""))"),"Loading...")</f>
        <v>Loading...</v>
      </c>
      <c r="L21" s="129">
        <v>281868.0</v>
      </c>
      <c r="M21" s="99">
        <v>0.7</v>
      </c>
    </row>
    <row r="22">
      <c r="A22" s="122" t="s">
        <v>476</v>
      </c>
      <c r="B22" s="123">
        <v>1611852.0</v>
      </c>
      <c r="C22" s="124" t="s">
        <v>477</v>
      </c>
      <c r="D22" s="125"/>
      <c r="E22" s="126">
        <v>0.01</v>
      </c>
      <c r="F22" s="127"/>
      <c r="G22" s="127"/>
      <c r="H22" s="127"/>
      <c r="I22" s="128"/>
      <c r="K22" s="105" t="str">
        <f>IFERROR(__xludf.DUMMYFUNCTION("if(A22="""","""",substitute(SUBSTITUTE(index(importhtml(""http://finviz.com/quote.ashx?t=""&amp;A22,""table"",10),7,2),""*"",""""),""-"",""0.00""))"),"Loading...")</f>
        <v>Loading...</v>
      </c>
      <c r="L22" s="129">
        <v>296370.0</v>
      </c>
      <c r="M22" s="99">
        <v>-1.71</v>
      </c>
    </row>
    <row r="23">
      <c r="A23" s="122" t="s">
        <v>478</v>
      </c>
      <c r="B23" s="123">
        <v>1772028.0</v>
      </c>
      <c r="C23" s="124" t="s">
        <v>479</v>
      </c>
      <c r="D23" s="125"/>
      <c r="E23" s="126">
        <v>0.01</v>
      </c>
      <c r="F23" s="127"/>
      <c r="G23" s="127"/>
      <c r="H23" s="127"/>
      <c r="I23" s="128"/>
      <c r="K23" s="105" t="str">
        <f>IFERROR(__xludf.DUMMYFUNCTION("if(A23="""","""",substitute(SUBSTITUTE(index(importhtml(""http://finviz.com/quote.ashx?t=""&amp;A23,""table"",10),7,2),""*"",""""),""-"",""0.00""))"),"Loading...")</f>
        <v>Loading...</v>
      </c>
      <c r="L23" s="129">
        <v>315630.0</v>
      </c>
      <c r="M23" s="99">
        <v>1.46</v>
      </c>
    </row>
    <row r="24">
      <c r="A24" s="122" t="s">
        <v>480</v>
      </c>
      <c r="B24" s="123">
        <v>1561686.0</v>
      </c>
      <c r="C24" s="124" t="s">
        <v>481</v>
      </c>
      <c r="D24" s="125"/>
      <c r="E24" s="126">
        <v>0.01</v>
      </c>
      <c r="F24" s="127"/>
      <c r="G24" s="127"/>
      <c r="H24" s="127"/>
      <c r="I24" s="128"/>
      <c r="K24" s="105" t="str">
        <f>IFERROR(__xludf.DUMMYFUNCTION("if(A24="""","""",substitute(SUBSTITUTE(index(importhtml(""http://finviz.com/quote.ashx?t=""&amp;A24,""table"",10),7,2),""*"",""""),""-"",""0.00""))"),"Loading...")</f>
        <v>Loading...</v>
      </c>
      <c r="L24" s="129">
        <v>364026.0</v>
      </c>
      <c r="M24" s="99">
        <v>-0.4</v>
      </c>
    </row>
    <row r="25">
      <c r="A25" s="122" t="s">
        <v>482</v>
      </c>
      <c r="B25" s="123">
        <v>1343009.0</v>
      </c>
      <c r="C25" s="124" t="s">
        <v>483</v>
      </c>
      <c r="D25" s="125"/>
      <c r="E25" s="126">
        <v>0.01</v>
      </c>
      <c r="F25" s="127"/>
      <c r="G25" s="127"/>
      <c r="H25" s="127"/>
      <c r="I25" s="128"/>
      <c r="K25" s="105" t="str">
        <f>IFERROR(__xludf.DUMMYFUNCTION("if(A25="""","""",substitute(SUBSTITUTE(index(importhtml(""http://finviz.com/quote.ashx?t=""&amp;A25,""table"",10),7,2),""*"",""""),""-"",""0.00""))"),"Loading...")</f>
        <v>Loading...</v>
      </c>
      <c r="L25" s="129">
        <v>378107.0</v>
      </c>
      <c r="M25" s="99">
        <v>0.68</v>
      </c>
    </row>
    <row r="26">
      <c r="A26" s="122" t="s">
        <v>484</v>
      </c>
      <c r="B26" s="123">
        <v>1273931.0</v>
      </c>
      <c r="C26" s="124" t="s">
        <v>485</v>
      </c>
      <c r="D26" s="125"/>
      <c r="E26" s="126">
        <v>0.01</v>
      </c>
      <c r="F26" s="127"/>
      <c r="G26" s="127"/>
      <c r="H26" s="127"/>
      <c r="I26" s="128"/>
      <c r="K26" s="105" t="str">
        <f>IFERROR(__xludf.DUMMYFUNCTION("if(A26="""","""",substitute(SUBSTITUTE(index(importhtml(""http://finviz.com/quote.ashx?t=""&amp;A26,""table"",10),7,2),""*"",""""),""-"",""0.00""))"),"Loading...")</f>
        <v>Loading...</v>
      </c>
      <c r="L26" s="129">
        <v>386200.0</v>
      </c>
      <c r="M26" s="99">
        <v>-5.5</v>
      </c>
    </row>
    <row r="27">
      <c r="A27" s="122" t="s">
        <v>486</v>
      </c>
      <c r="B27" s="123">
        <v>1324759.0</v>
      </c>
      <c r="C27" s="124" t="s">
        <v>487</v>
      </c>
      <c r="D27" s="125"/>
      <c r="E27" s="126">
        <v>0.01</v>
      </c>
      <c r="F27" s="127"/>
      <c r="G27" s="127"/>
      <c r="H27" s="127"/>
      <c r="I27" s="128"/>
      <c r="K27" s="105" t="str">
        <f>IFERROR(__xludf.DUMMYFUNCTION("if(A27="""","""",substitute(SUBSTITUTE(index(importhtml(""http://finviz.com/quote.ashx?t=""&amp;A27,""table"",10),7,2),""*"",""""),""-"",""0.00""))"),"Loading...")</f>
        <v>Loading...</v>
      </c>
      <c r="L27" s="129">
        <v>388128.0</v>
      </c>
      <c r="M27" s="99">
        <v>2.58</v>
      </c>
    </row>
    <row r="28">
      <c r="A28" s="122" t="s">
        <v>488</v>
      </c>
      <c r="B28" s="123">
        <v>1471302.0</v>
      </c>
      <c r="C28" s="124" t="s">
        <v>489</v>
      </c>
      <c r="D28" s="125"/>
      <c r="E28" s="126">
        <v>0.01</v>
      </c>
      <c r="F28" s="127"/>
      <c r="G28" s="127"/>
      <c r="H28" s="127"/>
      <c r="I28" s="128"/>
      <c r="K28" s="105" t="str">
        <f>IFERROR(__xludf.DUMMYFUNCTION("if(A28="""","""",substitute(SUBSTITUTE(index(importhtml(""http://finviz.com/quote.ashx?t=""&amp;A28,""table"",10),7,2),""*"",""""),""-"",""0.00""))"),"Loading...")</f>
        <v>Loading...</v>
      </c>
      <c r="L28" s="129">
        <v>404640.0</v>
      </c>
      <c r="M28" s="99">
        <v>66.48</v>
      </c>
    </row>
    <row r="29">
      <c r="A29" s="122" t="s">
        <v>490</v>
      </c>
      <c r="B29" s="123">
        <v>1381105.0</v>
      </c>
      <c r="C29" s="124" t="s">
        <v>491</v>
      </c>
      <c r="D29" s="125"/>
      <c r="E29" s="126">
        <v>0.01</v>
      </c>
      <c r="F29" s="127"/>
      <c r="G29" s="127"/>
      <c r="H29" s="127"/>
      <c r="I29" s="128"/>
      <c r="K29" s="105" t="str">
        <f>IFERROR(__xludf.DUMMYFUNCTION("if(A29="""","""",substitute(SUBSTITUTE(index(importhtml(""http://finviz.com/quote.ashx?t=""&amp;A29,""table"",10),7,2),""*"",""""),""-"",""0.00""))"),"Loading...")</f>
        <v>Loading...</v>
      </c>
      <c r="L29" s="129">
        <v>426914.0</v>
      </c>
      <c r="M29" s="99">
        <v>-0.06</v>
      </c>
    </row>
    <row r="30">
      <c r="A30" s="122" t="s">
        <v>492</v>
      </c>
      <c r="B30" s="123">
        <v>1819876.0</v>
      </c>
      <c r="C30" s="124" t="s">
        <v>493</v>
      </c>
      <c r="D30" s="125"/>
      <c r="E30" s="126">
        <v>0.01</v>
      </c>
      <c r="F30" s="127"/>
      <c r="G30" s="127"/>
      <c r="H30" s="127"/>
      <c r="I30" s="128"/>
      <c r="K30" s="105" t="str">
        <f>IFERROR(__xludf.DUMMYFUNCTION("if(A30="""","""",substitute(SUBSTITUTE(index(importhtml(""http://finviz.com/quote.ashx?t=""&amp;A30,""table"",10),7,2),""*"",""""),""-"",""0.00""))"),"Loading...")</f>
        <v>Loading...</v>
      </c>
      <c r="L30" s="129">
        <v>459144.0</v>
      </c>
      <c r="M30" s="99">
        <v>0.86</v>
      </c>
    </row>
    <row r="31">
      <c r="A31" s="122" t="s">
        <v>494</v>
      </c>
      <c r="B31" s="123">
        <v>1535079.0</v>
      </c>
      <c r="C31" s="124" t="s">
        <v>495</v>
      </c>
      <c r="D31" s="125"/>
      <c r="E31" s="126">
        <v>0.01</v>
      </c>
      <c r="F31" s="127"/>
      <c r="G31" s="127"/>
      <c r="H31" s="127"/>
      <c r="I31" s="128"/>
      <c r="K31" s="105" t="str">
        <f>IFERROR(__xludf.DUMMYFUNCTION("if(A31="""","""",substitute(SUBSTITUTE(index(importhtml(""http://finviz.com/quote.ashx?t=""&amp;A31,""table"",10),7,2),""*"",""""),""-"",""0.00""))"),"Loading...")</f>
        <v>Loading...</v>
      </c>
      <c r="L31" s="129">
        <v>510650.0</v>
      </c>
      <c r="M31" s="99" t="e">
        <v>#N/A</v>
      </c>
    </row>
    <row r="32">
      <c r="A32" s="122" t="s">
        <v>496</v>
      </c>
      <c r="B32" s="123">
        <v>1635136.0</v>
      </c>
      <c r="C32" s="124" t="s">
        <v>497</v>
      </c>
      <c r="D32" s="125"/>
      <c r="E32" s="126">
        <v>0.01</v>
      </c>
      <c r="F32" s="127"/>
      <c r="G32" s="127"/>
      <c r="H32" s="127"/>
      <c r="I32" s="128"/>
      <c r="K32" s="105" t="str">
        <f>IFERROR(__xludf.DUMMYFUNCTION("if(A32="""","""",substitute(SUBSTITUTE(index(importhtml(""http://finviz.com/quote.ashx?t=""&amp;A32,""table"",10),7,2),""*"",""""),""-"",""0.00""))"),"Loading...")</f>
        <v>Loading...</v>
      </c>
      <c r="L32" s="129">
        <v>530260.0</v>
      </c>
      <c r="M32" s="99">
        <v>1.05</v>
      </c>
    </row>
    <row r="33">
      <c r="A33" s="122" t="s">
        <v>498</v>
      </c>
      <c r="B33" s="123">
        <v>1961.0</v>
      </c>
      <c r="C33" s="124" t="s">
        <v>499</v>
      </c>
      <c r="D33" s="125"/>
      <c r="E33" s="126">
        <v>0.01</v>
      </c>
      <c r="F33" s="127"/>
      <c r="G33" s="127"/>
      <c r="H33" s="127"/>
      <c r="I33" s="128"/>
      <c r="K33" s="105" t="str">
        <f>IFERROR(__xludf.DUMMYFUNCTION("if(A33="""","""",substitute(SUBSTITUTE(index(importhtml(""http://finviz.com/quote.ashx?t=""&amp;A33,""table"",10),7,2),""*"",""""),""-"",""0.00""))"),"Loading...")</f>
        <v>Loading...</v>
      </c>
      <c r="L33" s="129">
        <v>537144.0</v>
      </c>
      <c r="M33" s="99">
        <v>0.8</v>
      </c>
    </row>
    <row r="34">
      <c r="A34" s="122" t="s">
        <v>500</v>
      </c>
      <c r="B34" s="123">
        <v>1076262.0</v>
      </c>
      <c r="C34" s="124" t="s">
        <v>501</v>
      </c>
      <c r="D34" s="125"/>
      <c r="E34" s="126">
        <v>0.01</v>
      </c>
      <c r="F34" s="127"/>
      <c r="G34" s="127"/>
      <c r="H34" s="127"/>
      <c r="I34" s="128"/>
      <c r="K34" s="105" t="str">
        <f>IFERROR(__xludf.DUMMYFUNCTION("if(A34="""","""",substitute(SUBSTITUTE(index(importhtml(""http://finviz.com/quote.ashx?t=""&amp;A34,""table"",10),7,2),""*"",""""),""-"",""0.00""))"),"Loading...")</f>
        <v>Loading...</v>
      </c>
      <c r="L34" s="129">
        <v>573581.0</v>
      </c>
      <c r="M34" s="99">
        <v>2.42</v>
      </c>
    </row>
    <row r="35">
      <c r="A35" s="122" t="s">
        <v>502</v>
      </c>
      <c r="B35" s="123">
        <v>1357671.0</v>
      </c>
      <c r="C35" s="124" t="s">
        <v>503</v>
      </c>
      <c r="D35" s="125"/>
      <c r="E35" s="126">
        <v>0.01</v>
      </c>
      <c r="F35" s="127"/>
      <c r="G35" s="127"/>
      <c r="H35" s="127"/>
      <c r="I35" s="128"/>
      <c r="K35" s="105" t="str">
        <f>IFERROR(__xludf.DUMMYFUNCTION("if(A35="""","""",substitute(SUBSTITUTE(index(importhtml(""http://finviz.com/quote.ashx?t=""&amp;A35,""table"",10),7,2),""*"",""""),""-"",""0.00""))"),"Loading...")</f>
        <v>Loading...</v>
      </c>
      <c r="L35" s="129">
        <v>587766.0</v>
      </c>
      <c r="M35" s="99">
        <v>4.22</v>
      </c>
    </row>
    <row r="36">
      <c r="A36" s="122" t="s">
        <v>504</v>
      </c>
      <c r="B36" s="123">
        <v>1117228.0</v>
      </c>
      <c r="C36" s="124" t="s">
        <v>505</v>
      </c>
      <c r="D36" s="125"/>
      <c r="E36" s="126">
        <v>0.01</v>
      </c>
      <c r="F36" s="127"/>
      <c r="G36" s="127"/>
      <c r="H36" s="127"/>
      <c r="I36" s="128"/>
      <c r="K36" s="105" t="str">
        <f>IFERROR(__xludf.DUMMYFUNCTION("if(A36="""","""",substitute(SUBSTITUTE(index(importhtml(""http://finviz.com/quote.ashx?t=""&amp;A36,""table"",10),7,2),""*"",""""),""-"",""0.00""))"),"Loading...")</f>
        <v>Loading...</v>
      </c>
      <c r="L36" s="129">
        <v>629781.0</v>
      </c>
      <c r="M36" s="99">
        <v>0.22</v>
      </c>
    </row>
    <row r="37">
      <c r="A37" s="122" t="s">
        <v>506</v>
      </c>
      <c r="B37" s="123">
        <v>1810560.0</v>
      </c>
      <c r="C37" s="124" t="s">
        <v>507</v>
      </c>
      <c r="D37" s="125"/>
      <c r="E37" s="126">
        <v>0.01</v>
      </c>
      <c r="F37" s="127"/>
      <c r="G37" s="127"/>
      <c r="H37" s="127"/>
      <c r="I37" s="128"/>
      <c r="K37" s="105" t="str">
        <f>IFERROR(__xludf.DUMMYFUNCTION("if(A37="""","""",substitute(SUBSTITUTE(index(importhtml(""http://finviz.com/quote.ashx?t=""&amp;A37,""table"",10),7,2),""*"",""""),""-"",""0.00""))"),"Loading...")</f>
        <v>Loading...</v>
      </c>
      <c r="L37" s="129">
        <v>639181.0</v>
      </c>
      <c r="M37" s="99">
        <v>1.88</v>
      </c>
    </row>
    <row r="38">
      <c r="A38" s="122" t="s">
        <v>508</v>
      </c>
      <c r="B38" s="123">
        <v>1598323.0</v>
      </c>
      <c r="C38" s="124" t="s">
        <v>509</v>
      </c>
      <c r="D38" s="125"/>
      <c r="E38" s="126">
        <v>0.01</v>
      </c>
      <c r="F38" s="127"/>
      <c r="G38" s="127"/>
      <c r="H38" s="127"/>
      <c r="I38" s="128"/>
      <c r="K38" s="105" t="str">
        <f>IFERROR(__xludf.DUMMYFUNCTION("if(A38="""","""",substitute(SUBSTITUTE(index(importhtml(""http://finviz.com/quote.ashx?t=""&amp;A38,""table"",10),7,2),""*"",""""),""-"",""0.00""))"),"Loading...")</f>
        <v>Loading...</v>
      </c>
      <c r="L38" s="129">
        <v>658030.0</v>
      </c>
      <c r="M38" s="99">
        <v>2.89</v>
      </c>
    </row>
    <row r="39">
      <c r="A39" s="122" t="s">
        <v>510</v>
      </c>
      <c r="B39" s="123">
        <v>1410708.0</v>
      </c>
      <c r="C39" s="124" t="s">
        <v>511</v>
      </c>
      <c r="D39" s="125"/>
      <c r="E39" s="126">
        <v>0.01</v>
      </c>
      <c r="F39" s="127"/>
      <c r="G39" s="127"/>
      <c r="H39" s="127"/>
      <c r="I39" s="128"/>
      <c r="K39" s="105" t="str">
        <f>IFERROR(__xludf.DUMMYFUNCTION("if(A39="""","""",substitute(SUBSTITUTE(index(importhtml(""http://finviz.com/quote.ashx?t=""&amp;A39,""table"",10),7,2),""*"",""""),""-"",""0.00""))"),"Loading...")</f>
        <v>Loading...</v>
      </c>
      <c r="L39" s="129">
        <v>672320.0</v>
      </c>
      <c r="M39" s="99">
        <v>-1.47</v>
      </c>
    </row>
    <row r="40">
      <c r="A40" s="122" t="s">
        <v>512</v>
      </c>
      <c r="B40" s="123">
        <v>1370496.0</v>
      </c>
      <c r="C40" s="124" t="s">
        <v>513</v>
      </c>
      <c r="D40" s="125"/>
      <c r="E40" s="126">
        <v>0.01</v>
      </c>
      <c r="F40" s="127"/>
      <c r="G40" s="127"/>
      <c r="H40" s="127"/>
      <c r="I40" s="128"/>
      <c r="K40" s="105" t="str">
        <f>IFERROR(__xludf.DUMMYFUNCTION("if(A40="""","""",substitute(SUBSTITUTE(index(importhtml(""http://finviz.com/quote.ashx?t=""&amp;A40,""table"",10),7,2),""*"",""""),""-"",""0.00""))"),"Loading...")</f>
        <v>Loading...</v>
      </c>
      <c r="L40" s="129">
        <v>701939.0</v>
      </c>
      <c r="M40" s="99">
        <v>1.52</v>
      </c>
    </row>
    <row r="41">
      <c r="A41" s="122" t="s">
        <v>514</v>
      </c>
      <c r="B41" s="123">
        <v>1370496.0</v>
      </c>
      <c r="C41" s="124" t="s">
        <v>513</v>
      </c>
      <c r="D41" s="125"/>
      <c r="E41" s="126">
        <v>0.01</v>
      </c>
      <c r="F41" s="127"/>
      <c r="G41" s="127"/>
      <c r="H41" s="127"/>
      <c r="I41" s="128"/>
      <c r="K41" s="105" t="str">
        <f>IFERROR(__xludf.DUMMYFUNCTION("if(A41="""","""",substitute(SUBSTITUTE(index(importhtml(""http://finviz.com/quote.ashx?t=""&amp;A41,""table"",10),7,2),""*"",""""),""-"",""0.00""))"),"Loading...")</f>
        <v>Loading...</v>
      </c>
      <c r="L41" s="129">
        <v>701939.0</v>
      </c>
      <c r="M41" s="99">
        <v>2.2</v>
      </c>
    </row>
    <row r="42">
      <c r="A42" s="122" t="s">
        <v>515</v>
      </c>
      <c r="B42" s="123">
        <v>1872812.0</v>
      </c>
      <c r="C42" s="124" t="s">
        <v>516</v>
      </c>
      <c r="D42" s="125"/>
      <c r="E42" s="126">
        <v>0.01</v>
      </c>
      <c r="F42" s="127"/>
      <c r="G42" s="127"/>
      <c r="H42" s="127"/>
      <c r="I42" s="128"/>
      <c r="K42" s="105" t="str">
        <f>IFERROR(__xludf.DUMMYFUNCTION("if(A42="""","""",substitute(SUBSTITUTE(index(importhtml(""http://finviz.com/quote.ashx?t=""&amp;A42,""table"",10),7,2),""*"",""""),""-"",""0.00""))"),"Loading...")</f>
        <v>Loading...</v>
      </c>
      <c r="L42" s="129">
        <v>715432.0</v>
      </c>
      <c r="M42" s="99" t="e">
        <v>#N/A</v>
      </c>
    </row>
    <row r="43">
      <c r="A43" s="122" t="s">
        <v>517</v>
      </c>
      <c r="B43" s="123">
        <v>1584480.0</v>
      </c>
      <c r="C43" s="124" t="s">
        <v>518</v>
      </c>
      <c r="D43" s="125"/>
      <c r="E43" s="126">
        <v>0.01</v>
      </c>
      <c r="F43" s="127"/>
      <c r="G43" s="127"/>
      <c r="H43" s="127"/>
      <c r="I43" s="128"/>
      <c r="K43" s="105" t="str">
        <f>IFERROR(__xludf.DUMMYFUNCTION("if(A43="""","""",substitute(SUBSTITUTE(index(importhtml(""http://finviz.com/quote.ashx?t=""&amp;A43,""table"",10),7,2),""*"",""""),""-"",""0.00""))"),"Loading...")</f>
        <v>Loading...</v>
      </c>
      <c r="L43" s="129">
        <v>758090.0</v>
      </c>
      <c r="M43" s="99">
        <v>-0.28</v>
      </c>
    </row>
    <row r="44">
      <c r="A44" s="122" t="s">
        <v>519</v>
      </c>
      <c r="B44" s="123">
        <v>922330.0</v>
      </c>
      <c r="C44" s="124" t="s">
        <v>520</v>
      </c>
      <c r="D44" s="125"/>
      <c r="E44" s="126">
        <v>0.01</v>
      </c>
      <c r="F44" s="127"/>
      <c r="G44" s="127"/>
      <c r="H44" s="127"/>
      <c r="I44" s="128"/>
      <c r="K44" s="105" t="str">
        <f>IFERROR(__xludf.DUMMYFUNCTION("if(A44="""","""",substitute(SUBSTITUTE(index(importhtml(""http://finviz.com/quote.ashx?t=""&amp;A44,""table"",10),7,2),""*"",""""),""-"",""0.00""))"),"Loading...")</f>
        <v>Loading...</v>
      </c>
      <c r="L44" s="129">
        <v>761570.0</v>
      </c>
      <c r="M44" s="99">
        <v>0.5</v>
      </c>
    </row>
    <row r="45">
      <c r="A45" s="122" t="s">
        <v>521</v>
      </c>
      <c r="B45" s="123">
        <v>1485074.0</v>
      </c>
      <c r="C45" s="124" t="s">
        <v>522</v>
      </c>
      <c r="D45" s="125"/>
      <c r="E45" s="126">
        <v>0.01</v>
      </c>
      <c r="F45" s="127"/>
      <c r="G45" s="127"/>
      <c r="H45" s="127"/>
      <c r="I45" s="128"/>
      <c r="K45" s="105" t="str">
        <f>IFERROR(__xludf.DUMMYFUNCTION("if(A45="""","""",substitute(SUBSTITUTE(index(importhtml(""http://finviz.com/quote.ashx?t=""&amp;A45,""table"",10),7,2),""*"",""""),""-"",""0.00""))"),"Loading...")</f>
        <v>Loading...</v>
      </c>
      <c r="L45" s="129">
        <v>835375.0</v>
      </c>
      <c r="M45" s="99">
        <v>0.26</v>
      </c>
    </row>
    <row r="46">
      <c r="A46" s="122" t="s">
        <v>523</v>
      </c>
      <c r="B46" s="123">
        <v>1833371.0</v>
      </c>
      <c r="C46" s="124" t="s">
        <v>524</v>
      </c>
      <c r="D46" s="125"/>
      <c r="E46" s="126">
        <v>0.01</v>
      </c>
      <c r="F46" s="127"/>
      <c r="G46" s="127"/>
      <c r="H46" s="127"/>
      <c r="I46" s="128"/>
      <c r="K46" s="105" t="str">
        <f>IFERROR(__xludf.DUMMYFUNCTION("if(A46="""","""",substitute(SUBSTITUTE(index(importhtml(""http://finviz.com/quote.ashx?t=""&amp;A46,""table"",10),7,2),""*"",""""),""-"",""0.00""))"),"Loading...")</f>
        <v>Loading...</v>
      </c>
      <c r="L46" s="129">
        <v>839270.0</v>
      </c>
      <c r="M46" s="99" t="e">
        <v>#N/A</v>
      </c>
    </row>
    <row r="47">
      <c r="A47" s="122" t="s">
        <v>525</v>
      </c>
      <c r="B47" s="123">
        <v>1383637.0</v>
      </c>
      <c r="C47" s="124" t="s">
        <v>526</v>
      </c>
      <c r="D47" s="125"/>
      <c r="E47" s="126">
        <v>0.01</v>
      </c>
      <c r="F47" s="127"/>
      <c r="G47" s="127"/>
      <c r="H47" s="127"/>
      <c r="I47" s="128"/>
      <c r="K47" s="105" t="str">
        <f>IFERROR(__xludf.DUMMYFUNCTION("if(A47="""","""",substitute(SUBSTITUTE(index(importhtml(""http://finviz.com/quote.ashx?t=""&amp;A47,""table"",10),7,2),""*"",""""),""-"",""0.00""))"),"Loading...")</f>
        <v>Loading...</v>
      </c>
      <c r="L47" s="129">
        <v>899240.0</v>
      </c>
      <c r="M47" s="99">
        <v>2.91</v>
      </c>
    </row>
    <row r="48">
      <c r="A48" s="122" t="s">
        <v>527</v>
      </c>
      <c r="B48" s="123">
        <v>1509786.0</v>
      </c>
      <c r="C48" s="124" t="s">
        <v>528</v>
      </c>
      <c r="D48" s="125"/>
      <c r="E48" s="126">
        <v>0.01</v>
      </c>
      <c r="F48" s="127"/>
      <c r="G48" s="127"/>
      <c r="H48" s="127"/>
      <c r="I48" s="128"/>
      <c r="K48" s="105" t="str">
        <f>IFERROR(__xludf.DUMMYFUNCTION("if(A48="""","""",substitute(SUBSTITUTE(index(importhtml(""http://finviz.com/quote.ashx?t=""&amp;A48,""table"",10),7,2),""*"",""""),""-"",""0.00""))"),"Loading...")</f>
        <v>Loading...</v>
      </c>
      <c r="L48" s="129">
        <v>907105.0</v>
      </c>
      <c r="M48" s="99">
        <v>0.04</v>
      </c>
    </row>
    <row r="49">
      <c r="A49" s="122" t="s">
        <v>529</v>
      </c>
      <c r="B49" s="123">
        <v>1871928.0</v>
      </c>
      <c r="C49" s="124" t="s">
        <v>530</v>
      </c>
      <c r="D49" s="125"/>
      <c r="E49" s="126">
        <v>0.01</v>
      </c>
      <c r="F49" s="127"/>
      <c r="G49" s="127"/>
      <c r="H49" s="127"/>
      <c r="I49" s="128"/>
      <c r="K49" s="105" t="str">
        <f>IFERROR(__xludf.DUMMYFUNCTION("if(A49="""","""",substitute(SUBSTITUTE(index(importhtml(""http://finviz.com/quote.ashx?t=""&amp;A49,""table"",10),7,2),""*"",""""),""-"",""0.00""))"),"Loading...")</f>
        <v>Loading...</v>
      </c>
      <c r="L49" s="129">
        <v>975577.0</v>
      </c>
      <c r="M49" s="99" t="e">
        <v>#N/A</v>
      </c>
    </row>
    <row r="50">
      <c r="A50" s="122" t="s">
        <v>531</v>
      </c>
      <c r="B50" s="123">
        <v>897078.0</v>
      </c>
      <c r="C50" s="124" t="s">
        <v>532</v>
      </c>
      <c r="D50" s="125"/>
      <c r="E50" s="126">
        <v>0.01</v>
      </c>
      <c r="F50" s="127"/>
      <c r="G50" s="127"/>
      <c r="H50" s="127"/>
      <c r="I50" s="128"/>
      <c r="K50" s="105" t="str">
        <f>IFERROR(__xludf.DUMMYFUNCTION("if(A50="""","""",substitute(SUBSTITUTE(index(importhtml(""http://finviz.com/quote.ashx?t=""&amp;A50,""table"",10),7,2),""*"",""""),""-"",""0.00""))"),"Loading...")</f>
        <v>Loading...</v>
      </c>
      <c r="L50" s="129">
        <v>996170.0</v>
      </c>
      <c r="M50" s="99">
        <v>1.03</v>
      </c>
    </row>
    <row r="51">
      <c r="A51" s="122" t="s">
        <v>533</v>
      </c>
      <c r="B51" s="123">
        <v>1560905.0</v>
      </c>
      <c r="C51" s="124" t="s">
        <v>534</v>
      </c>
      <c r="D51" s="125"/>
      <c r="E51" s="126">
        <v>0.01</v>
      </c>
      <c r="F51" s="127"/>
      <c r="G51" s="127"/>
      <c r="H51" s="127"/>
      <c r="I51" s="128"/>
      <c r="K51" s="105" t="str">
        <f>IFERROR(__xludf.DUMMYFUNCTION("if(A51="""","""",substitute(SUBSTITUTE(index(importhtml(""http://finviz.com/quote.ashx?t=""&amp;A51,""table"",10),7,2),""*"",""""),""-"",""0.00""))"),"Loading...")</f>
        <v>Loading...</v>
      </c>
      <c r="L51" s="129">
        <v>1010750.0</v>
      </c>
      <c r="M51" s="99" t="e">
        <v>#N/A</v>
      </c>
    </row>
    <row r="52">
      <c r="A52" s="122" t="s">
        <v>535</v>
      </c>
      <c r="B52" s="123">
        <v>1445467.0</v>
      </c>
      <c r="C52" s="124" t="s">
        <v>536</v>
      </c>
      <c r="D52" s="125"/>
      <c r="E52" s="126">
        <v>0.01</v>
      </c>
      <c r="F52" s="127"/>
      <c r="G52" s="127"/>
      <c r="H52" s="127"/>
      <c r="I52" s="128"/>
      <c r="K52" s="105" t="str">
        <f>IFERROR(__xludf.DUMMYFUNCTION("if(A52="""","""",substitute(SUBSTITUTE(index(importhtml(""http://finviz.com/quote.ashx?t=""&amp;A52,""table"",10),7,2),""*"",""""),""-"",""0.00""))"),"Loading...")</f>
        <v>Loading...</v>
      </c>
      <c r="L52" s="129">
        <v>1064100.0</v>
      </c>
      <c r="M52" s="99">
        <v>3.64</v>
      </c>
    </row>
    <row r="53">
      <c r="A53" s="122" t="s">
        <v>537</v>
      </c>
      <c r="B53" s="123">
        <v>860543.0</v>
      </c>
      <c r="C53" s="124" t="s">
        <v>538</v>
      </c>
      <c r="D53" s="125"/>
      <c r="E53" s="126">
        <v>0.01</v>
      </c>
      <c r="F53" s="127"/>
      <c r="G53" s="127"/>
      <c r="H53" s="127"/>
      <c r="I53" s="128"/>
      <c r="K53" s="105" t="str">
        <f>IFERROR(__xludf.DUMMYFUNCTION("if(A53="""","""",substitute(SUBSTITUTE(index(importhtml(""http://finviz.com/quote.ashx?t=""&amp;A53,""table"",10),7,2),""*"",""""),""-"",""0.00""))"),"Loading...")</f>
        <v>Loading...</v>
      </c>
      <c r="L53" s="129">
        <v>1077260.0</v>
      </c>
      <c r="M53" s="99">
        <v>-1.55</v>
      </c>
    </row>
    <row r="54">
      <c r="A54" s="122" t="s">
        <v>539</v>
      </c>
      <c r="B54" s="123">
        <v>1531477.0</v>
      </c>
      <c r="C54" s="124" t="s">
        <v>540</v>
      </c>
      <c r="D54" s="125"/>
      <c r="E54" s="126">
        <v>0.01</v>
      </c>
      <c r="F54" s="127"/>
      <c r="G54" s="127"/>
      <c r="H54" s="127"/>
      <c r="I54" s="128"/>
      <c r="K54" s="105" t="str">
        <f>IFERROR(__xludf.DUMMYFUNCTION("if(A54="""","""",substitute(SUBSTITUTE(index(importhtml(""http://finviz.com/quote.ashx?t=""&amp;A54,""table"",10),7,2),""*"",""""),""-"",""0.00""))"),"Loading...")</f>
        <v>Loading...</v>
      </c>
      <c r="L54" s="129">
        <v>1097090.0</v>
      </c>
      <c r="M54" s="99">
        <v>2.01</v>
      </c>
    </row>
    <row r="55">
      <c r="A55" s="122" t="s">
        <v>541</v>
      </c>
      <c r="B55" s="123">
        <v>1165320.0</v>
      </c>
      <c r="C55" s="124" t="s">
        <v>542</v>
      </c>
      <c r="D55" s="125"/>
      <c r="E55" s="126">
        <v>0.01</v>
      </c>
      <c r="F55" s="127"/>
      <c r="G55" s="127"/>
      <c r="H55" s="127"/>
      <c r="I55" s="128"/>
      <c r="K55" s="105" t="str">
        <f>IFERROR(__xludf.DUMMYFUNCTION("if(A55="""","""",substitute(SUBSTITUTE(index(importhtml(""http://finviz.com/quote.ashx?t=""&amp;A55,""table"",10),7,2),""*"",""""),""-"",""0.00""))"),"Loading...")</f>
        <v>Loading...</v>
      </c>
      <c r="L55" s="129">
        <v>1120617.0</v>
      </c>
      <c r="M55" s="99">
        <v>0.3</v>
      </c>
    </row>
    <row r="56">
      <c r="A56" s="122" t="s">
        <v>543</v>
      </c>
      <c r="B56" s="123">
        <v>1528172.0</v>
      </c>
      <c r="C56" s="124" t="s">
        <v>544</v>
      </c>
      <c r="D56" s="125"/>
      <c r="E56" s="126">
        <v>0.01</v>
      </c>
      <c r="F56" s="127"/>
      <c r="G56" s="127"/>
      <c r="H56" s="127"/>
      <c r="I56" s="128"/>
      <c r="K56" s="105" t="str">
        <f>IFERROR(__xludf.DUMMYFUNCTION("if(A56="""","""",substitute(SUBSTITUTE(index(importhtml(""http://finviz.com/quote.ashx?t=""&amp;A56,""table"",10),7,2),""*"",""""),""-"",""0.00""))"),"Loading...")</f>
        <v>Loading...</v>
      </c>
      <c r="L56" s="129">
        <v>1147506.0</v>
      </c>
      <c r="M56" s="99">
        <v>-0.79</v>
      </c>
    </row>
    <row r="57">
      <c r="A57" s="122" t="s">
        <v>545</v>
      </c>
      <c r="B57" s="123">
        <v>1084475.0</v>
      </c>
      <c r="C57" s="124" t="s">
        <v>546</v>
      </c>
      <c r="D57" s="125"/>
      <c r="E57" s="126">
        <v>0.01</v>
      </c>
      <c r="F57" s="127"/>
      <c r="G57" s="127"/>
      <c r="H57" s="127"/>
      <c r="I57" s="128"/>
      <c r="K57" s="105" t="str">
        <f>IFERROR(__xludf.DUMMYFUNCTION("if(A57="""","""",substitute(SUBSTITUTE(index(importhtml(""http://finviz.com/quote.ashx?t=""&amp;A57,""table"",10),7,2),""*"",""""),""-"",""0.00""))"),"Loading...")</f>
        <v>Loading...</v>
      </c>
      <c r="L57" s="129">
        <v>1197513.0</v>
      </c>
      <c r="M57" s="99">
        <v>1.73</v>
      </c>
    </row>
    <row r="58">
      <c r="A58" s="122" t="s">
        <v>547</v>
      </c>
      <c r="B58" s="123">
        <v>897429.0</v>
      </c>
      <c r="C58" s="124" t="s">
        <v>548</v>
      </c>
      <c r="D58" s="125"/>
      <c r="E58" s="126">
        <v>0.01</v>
      </c>
      <c r="F58" s="127"/>
      <c r="G58" s="127"/>
      <c r="H58" s="127"/>
      <c r="I58" s="128"/>
      <c r="K58" s="105" t="str">
        <f>IFERROR(__xludf.DUMMYFUNCTION("if(A58="""","""",substitute(SUBSTITUTE(index(importhtml(""http://finviz.com/quote.ashx?t=""&amp;A58,""table"",10),7,2),""*"",""""),""-"",""0.00""))"),"Loading...")</f>
        <v>Loading...</v>
      </c>
      <c r="L58" s="129">
        <v>1240239.0</v>
      </c>
      <c r="M58" s="99">
        <v>8.67</v>
      </c>
    </row>
    <row r="59">
      <c r="A59" s="122" t="s">
        <v>549</v>
      </c>
      <c r="B59" s="123">
        <v>1648087.0</v>
      </c>
      <c r="C59" s="124" t="s">
        <v>550</v>
      </c>
      <c r="D59" s="125"/>
      <c r="E59" s="126">
        <v>0.01</v>
      </c>
      <c r="F59" s="127"/>
      <c r="G59" s="127"/>
      <c r="H59" s="127"/>
      <c r="I59" s="128"/>
      <c r="K59" s="105" t="str">
        <f>IFERROR(__xludf.DUMMYFUNCTION("if(A59="""","""",substitute(SUBSTITUTE(index(importhtml(""http://finviz.com/quote.ashx?t=""&amp;A59,""table"",10),7,2),""*"",""""),""-"",""0.00""))"),"Loading...")</f>
        <v>Loading...</v>
      </c>
      <c r="L59" s="129">
        <v>1247314.0</v>
      </c>
      <c r="M59" s="99" t="e">
        <v>#N/A</v>
      </c>
    </row>
    <row r="60">
      <c r="A60" s="122" t="s">
        <v>551</v>
      </c>
      <c r="B60" s="123">
        <v>1821424.0</v>
      </c>
      <c r="C60" s="124" t="s">
        <v>552</v>
      </c>
      <c r="D60" s="125"/>
      <c r="E60" s="126">
        <v>0.01</v>
      </c>
      <c r="F60" s="127"/>
      <c r="G60" s="127"/>
      <c r="H60" s="127"/>
      <c r="I60" s="128"/>
      <c r="K60" s="105" t="str">
        <f>IFERROR(__xludf.DUMMYFUNCTION("if(A60="""","""",substitute(SUBSTITUTE(index(importhtml(""http://finviz.com/quote.ashx?t=""&amp;A60,""table"",10),7,2),""*"",""""),""-"",""0.00""))"),"Loading...")</f>
        <v>Loading...</v>
      </c>
      <c r="L60" s="129">
        <v>1269717.0</v>
      </c>
      <c r="M60" s="99">
        <v>0.08</v>
      </c>
    </row>
    <row r="61">
      <c r="A61" s="122" t="s">
        <v>553</v>
      </c>
      <c r="B61" s="123">
        <v>1442626.0</v>
      </c>
      <c r="C61" s="124" t="s">
        <v>554</v>
      </c>
      <c r="D61" s="125"/>
      <c r="E61" s="126">
        <v>0.01</v>
      </c>
      <c r="F61" s="127"/>
      <c r="G61" s="127"/>
      <c r="H61" s="127"/>
      <c r="I61" s="128"/>
      <c r="K61" s="105" t="str">
        <f>IFERROR(__xludf.DUMMYFUNCTION("if(A61="""","""",substitute(SUBSTITUTE(index(importhtml(""http://finviz.com/quote.ashx?t=""&amp;A61,""table"",10),7,2),""*"",""""),""-"",""0.00""))"),"Loading...")</f>
        <v>Loading...</v>
      </c>
      <c r="L61" s="129">
        <v>1277640.0</v>
      </c>
      <c r="M61" s="99">
        <v>4.81</v>
      </c>
    </row>
    <row r="62">
      <c r="A62" s="122" t="s">
        <v>555</v>
      </c>
      <c r="B62" s="123">
        <v>6494.0</v>
      </c>
      <c r="C62" s="124" t="s">
        <v>556</v>
      </c>
      <c r="D62" s="125"/>
      <c r="E62" s="126">
        <v>0.01</v>
      </c>
      <c r="F62" s="127"/>
      <c r="G62" s="127"/>
      <c r="H62" s="127"/>
      <c r="I62" s="128"/>
      <c r="K62" s="105" t="str">
        <f>IFERROR(__xludf.DUMMYFUNCTION("if(A62="""","""",substitute(SUBSTITUTE(index(importhtml(""http://finviz.com/quote.ashx?t=""&amp;A62,""table"",10),7,2),""*"",""""),""-"",""0.00""))"),"Loading...")</f>
        <v>Loading...</v>
      </c>
      <c r="L62" s="129">
        <v>1417099.0</v>
      </c>
      <c r="M62" s="99">
        <v>0.28</v>
      </c>
    </row>
    <row r="63">
      <c r="A63" s="122" t="s">
        <v>557</v>
      </c>
      <c r="B63" s="123">
        <v>1612875.0</v>
      </c>
      <c r="C63" s="124" t="s">
        <v>558</v>
      </c>
      <c r="D63" s="125"/>
      <c r="E63" s="126">
        <v>0.01</v>
      </c>
      <c r="F63" s="127"/>
      <c r="G63" s="127"/>
      <c r="H63" s="127"/>
      <c r="I63" s="128"/>
      <c r="K63" s="105" t="str">
        <f>IFERROR(__xludf.DUMMYFUNCTION("if(A63="""","""",substitute(SUBSTITUTE(index(importhtml(""http://finviz.com/quote.ashx?t=""&amp;A63,""table"",10),7,2),""*"",""""),""-"",""0.00""))"),"Loading...")</f>
        <v>Loading...</v>
      </c>
      <c r="L63" s="129">
        <v>1458019.0</v>
      </c>
      <c r="M63" s="99">
        <v>0.97</v>
      </c>
    </row>
    <row r="64">
      <c r="A64" s="122" t="s">
        <v>559</v>
      </c>
      <c r="B64" s="123">
        <v>1698113.0</v>
      </c>
      <c r="C64" s="124" t="s">
        <v>560</v>
      </c>
      <c r="D64" s="125"/>
      <c r="E64" s="126">
        <v>0.01</v>
      </c>
      <c r="F64" s="127"/>
      <c r="G64" s="127"/>
      <c r="H64" s="127"/>
      <c r="I64" s="128"/>
      <c r="K64" s="105" t="str">
        <f>IFERROR(__xludf.DUMMYFUNCTION("if(A64="""","""",substitute(SUBSTITUTE(index(importhtml(""http://finviz.com/quote.ashx?t=""&amp;A64,""table"",10),7,2),""*"",""""),""-"",""0.00""))"),"Loading...")</f>
        <v>Loading...</v>
      </c>
      <c r="L64" s="129">
        <v>1471910.0</v>
      </c>
      <c r="M64" s="99">
        <v>0.67</v>
      </c>
    </row>
    <row r="65">
      <c r="A65" s="122" t="s">
        <v>561</v>
      </c>
      <c r="B65" s="123">
        <v>1605888.0</v>
      </c>
      <c r="C65" s="124" t="s">
        <v>562</v>
      </c>
      <c r="D65" s="125"/>
      <c r="E65" s="126">
        <v>0.01</v>
      </c>
      <c r="F65" s="127"/>
      <c r="G65" s="127"/>
      <c r="H65" s="127"/>
      <c r="I65" s="128"/>
      <c r="K65" s="105" t="str">
        <f>IFERROR(__xludf.DUMMYFUNCTION("if(A65="""","""",substitute(SUBSTITUTE(index(importhtml(""http://finviz.com/quote.ashx?t=""&amp;A65,""table"",10),7,2),""*"",""""),""-"",""0.00""))"),"Loading...")</f>
        <v>Loading...</v>
      </c>
      <c r="L65" s="129">
        <v>1522588.0</v>
      </c>
      <c r="M65" s="99" t="e">
        <v>#N/A</v>
      </c>
    </row>
    <row r="66">
      <c r="A66" s="122" t="s">
        <v>563</v>
      </c>
      <c r="B66" s="123">
        <v>1082733.0</v>
      </c>
      <c r="C66" s="124" t="s">
        <v>564</v>
      </c>
      <c r="D66" s="125"/>
      <c r="E66" s="126">
        <v>0.01</v>
      </c>
      <c r="F66" s="127"/>
      <c r="G66" s="127"/>
      <c r="H66" s="127"/>
      <c r="I66" s="128"/>
      <c r="K66" s="105" t="str">
        <f>IFERROR(__xludf.DUMMYFUNCTION("if(A66="""","""",substitute(SUBSTITUTE(index(importhtml(""http://finviz.com/quote.ashx?t=""&amp;A66,""table"",10),7,2),""*"",""""),""-"",""0.00""))"),"Loading...")</f>
        <v>Loading...</v>
      </c>
      <c r="L66" s="129">
        <v>1527358.0</v>
      </c>
      <c r="M66" s="99">
        <v>2.27</v>
      </c>
    </row>
    <row r="67">
      <c r="A67" s="122" t="s">
        <v>565</v>
      </c>
      <c r="B67" s="123">
        <v>1826397.0</v>
      </c>
      <c r="C67" s="124" t="s">
        <v>566</v>
      </c>
      <c r="D67" s="125"/>
      <c r="E67" s="126">
        <v>0.01</v>
      </c>
      <c r="F67" s="127"/>
      <c r="G67" s="127"/>
      <c r="H67" s="127"/>
      <c r="I67" s="128"/>
      <c r="K67" s="105" t="str">
        <f>IFERROR(__xludf.DUMMYFUNCTION("if(A67="""","""",substitute(SUBSTITUTE(index(importhtml(""http://finviz.com/quote.ashx?t=""&amp;A67,""table"",10),7,2),""*"",""""),""-"",""0.00""))"),"Loading...")</f>
        <v>Loading...</v>
      </c>
      <c r="L67" s="129">
        <v>1534441.0</v>
      </c>
      <c r="M67" s="99" t="e">
        <v>#N/A</v>
      </c>
    </row>
    <row r="68">
      <c r="A68" s="122" t="s">
        <v>567</v>
      </c>
      <c r="B68" s="123">
        <v>1099814.0</v>
      </c>
      <c r="C68" s="124" t="s">
        <v>568</v>
      </c>
      <c r="D68" s="125"/>
      <c r="E68" s="126">
        <v>0.01</v>
      </c>
      <c r="F68" s="127"/>
      <c r="G68" s="127"/>
      <c r="H68" s="127"/>
      <c r="I68" s="128"/>
      <c r="K68" s="105" t="str">
        <f>IFERROR(__xludf.DUMMYFUNCTION("if(A68="""","""",substitute(SUBSTITUTE(index(importhtml(""http://finviz.com/quote.ashx?t=""&amp;A68,""table"",10),7,2),""*"",""""),""-"",""0.00""))"),"Loading...")</f>
        <v>Loading...</v>
      </c>
      <c r="L68" s="129">
        <v>1637880.0</v>
      </c>
      <c r="M68" s="99">
        <v>-0.23</v>
      </c>
    </row>
    <row r="69">
      <c r="A69" s="122" t="s">
        <v>569</v>
      </c>
      <c r="B69" s="123">
        <v>1421636.0</v>
      </c>
      <c r="C69" s="124" t="s">
        <v>570</v>
      </c>
      <c r="D69" s="125"/>
      <c r="E69" s="126">
        <v>0.01</v>
      </c>
      <c r="F69" s="127"/>
      <c r="G69" s="127"/>
      <c r="H69" s="127"/>
      <c r="I69" s="128"/>
      <c r="K69" s="105" t="str">
        <f>IFERROR(__xludf.DUMMYFUNCTION("if(A69="""","""",substitute(SUBSTITUTE(index(importhtml(""http://finviz.com/quote.ashx?t=""&amp;A69,""table"",10),7,2),""*"",""""),""-"",""0.00""))"),"Loading...")</f>
        <v>Loading...</v>
      </c>
      <c r="L69" s="129">
        <v>1699689.0</v>
      </c>
      <c r="M69" s="99">
        <v>0.64</v>
      </c>
    </row>
    <row r="70">
      <c r="A70" s="122" t="s">
        <v>571</v>
      </c>
      <c r="B70" s="123">
        <v>1126162.0</v>
      </c>
      <c r="C70" s="124" t="s">
        <v>572</v>
      </c>
      <c r="D70" s="125"/>
      <c r="E70" s="126">
        <v>0.01</v>
      </c>
      <c r="F70" s="127"/>
      <c r="G70" s="127"/>
      <c r="H70" s="127"/>
      <c r="I70" s="128"/>
      <c r="K70" s="105" t="str">
        <f>IFERROR(__xludf.DUMMYFUNCTION("if(A70="""","""",substitute(SUBSTITUTE(index(importhtml(""http://finviz.com/quote.ashx?t=""&amp;A70,""table"",10),7,2),""*"",""""),""-"",""0.00""))"),"Loading...")</f>
        <v>Loading...</v>
      </c>
      <c r="L70" s="129">
        <v>1708270.0</v>
      </c>
      <c r="M70" s="99" t="e">
        <v>#N/A</v>
      </c>
    </row>
    <row r="71">
      <c r="A71" s="122" t="s">
        <v>573</v>
      </c>
      <c r="B71" s="123">
        <v>1454742.0</v>
      </c>
      <c r="C71" s="124" t="s">
        <v>574</v>
      </c>
      <c r="D71" s="125"/>
      <c r="E71" s="126">
        <v>0.01</v>
      </c>
      <c r="F71" s="127"/>
      <c r="G71" s="127"/>
      <c r="H71" s="127"/>
      <c r="I71" s="128"/>
      <c r="K71" s="105" t="str">
        <f>IFERROR(__xludf.DUMMYFUNCTION("if(A71="""","""",substitute(SUBSTITUTE(index(importhtml(""http://finviz.com/quote.ashx?t=""&amp;A71,""table"",10),7,2),""*"",""""),""-"",""0.00""))"),"Loading...")</f>
        <v>Loading...</v>
      </c>
      <c r="L71" s="129">
        <v>1743075.0</v>
      </c>
      <c r="M71" s="99">
        <v>0.33</v>
      </c>
    </row>
    <row r="72">
      <c r="A72" s="122" t="s">
        <v>575</v>
      </c>
      <c r="B72" s="123">
        <v>1913210.0</v>
      </c>
      <c r="C72" s="124" t="s">
        <v>576</v>
      </c>
      <c r="D72" s="125"/>
      <c r="E72" s="126">
        <v>0.01</v>
      </c>
      <c r="F72" s="127"/>
      <c r="G72" s="127"/>
      <c r="H72" s="127"/>
      <c r="I72" s="128"/>
      <c r="K72" s="105" t="str">
        <f>IFERROR(__xludf.DUMMYFUNCTION("if(A72="""","""",substitute(SUBSTITUTE(index(importhtml(""http://finviz.com/quote.ashx?t=""&amp;A72,""table"",10),7,2),""*"",""""),""-"",""0.00""))"),"Loading...")</f>
        <v>Loading...</v>
      </c>
      <c r="L72" s="129">
        <v>1753937.0</v>
      </c>
      <c r="M72" s="99" t="e">
        <v>#N/A</v>
      </c>
    </row>
    <row r="73">
      <c r="A73" s="122" t="s">
        <v>577</v>
      </c>
      <c r="B73" s="123">
        <v>1158702.0</v>
      </c>
      <c r="C73" s="124" t="s">
        <v>578</v>
      </c>
      <c r="D73" s="125"/>
      <c r="E73" s="126">
        <v>0.01</v>
      </c>
      <c r="F73" s="127"/>
      <c r="G73" s="127"/>
      <c r="H73" s="127"/>
      <c r="I73" s="128"/>
      <c r="K73" s="105" t="str">
        <f>IFERROR(__xludf.DUMMYFUNCTION("if(A73="""","""",substitute(SUBSTITUTE(index(importhtml(""http://finviz.com/quote.ashx?t=""&amp;A73,""table"",10),7,2),""*"",""""),""-"",""0.00""))"),"Loading...")</f>
        <v>Loading...</v>
      </c>
      <c r="L73" s="129">
        <v>1837280.0</v>
      </c>
      <c r="M73" s="99">
        <v>2.85</v>
      </c>
    </row>
    <row r="74">
      <c r="A74" s="122" t="s">
        <v>579</v>
      </c>
      <c r="B74" s="123">
        <v>827099.0</v>
      </c>
      <c r="C74" s="124" t="s">
        <v>580</v>
      </c>
      <c r="D74" s="125"/>
      <c r="E74" s="126">
        <v>0.01</v>
      </c>
      <c r="F74" s="127"/>
      <c r="G74" s="127"/>
      <c r="H74" s="127"/>
      <c r="I74" s="128"/>
      <c r="K74" s="105" t="str">
        <f>IFERROR(__xludf.DUMMYFUNCTION("if(A74="""","""",substitute(SUBSTITUTE(index(importhtml(""http://finviz.com/quote.ashx?t=""&amp;A74,""table"",10),7,2),""*"",""""),""-"",""0.00""))"),"Loading...")</f>
        <v>Loading...</v>
      </c>
      <c r="L74" s="129">
        <v>1843700.0</v>
      </c>
      <c r="M74" s="99" t="e">
        <v>#N/A</v>
      </c>
    </row>
    <row r="75">
      <c r="A75" s="122" t="s">
        <v>581</v>
      </c>
      <c r="B75" s="123">
        <v>1608092.0</v>
      </c>
      <c r="C75" s="124" t="s">
        <v>582</v>
      </c>
      <c r="D75" s="125"/>
      <c r="E75" s="126">
        <v>0.01</v>
      </c>
      <c r="F75" s="127"/>
      <c r="G75" s="127"/>
      <c r="H75" s="127"/>
      <c r="I75" s="128"/>
      <c r="K75" s="105" t="str">
        <f>IFERROR(__xludf.DUMMYFUNCTION("if(A75="""","""",substitute(SUBSTITUTE(index(importhtml(""http://finviz.com/quote.ashx?t=""&amp;A75,""table"",10),7,2),""*"",""""),""-"",""0.00""))"),"Loading...")</f>
        <v>Loading...</v>
      </c>
      <c r="L75" s="129">
        <v>1894289.0</v>
      </c>
      <c r="M75" s="99">
        <v>2.79</v>
      </c>
    </row>
    <row r="76">
      <c r="A76" s="122" t="s">
        <v>583</v>
      </c>
      <c r="B76" s="123">
        <v>1624517.0</v>
      </c>
      <c r="C76" s="124" t="s">
        <v>584</v>
      </c>
      <c r="D76" s="125"/>
      <c r="E76" s="126">
        <v>0.01</v>
      </c>
      <c r="F76" s="127"/>
      <c r="G76" s="127"/>
      <c r="H76" s="127"/>
      <c r="I76" s="128"/>
      <c r="K76" s="105" t="str">
        <f>IFERROR(__xludf.DUMMYFUNCTION("if(A76="""","""",substitute(SUBSTITUTE(index(importhtml(""http://finviz.com/quote.ashx?t=""&amp;A76,""table"",10),7,2),""*"",""""),""-"",""0.00""))"),"Loading...")</f>
        <v>Loading...</v>
      </c>
      <c r="L76" s="129">
        <v>1929296.0</v>
      </c>
      <c r="M76" s="99">
        <v>2.44</v>
      </c>
    </row>
    <row r="77">
      <c r="A77" s="122" t="s">
        <v>585</v>
      </c>
      <c r="B77" s="123">
        <v>863678.0</v>
      </c>
      <c r="C77" s="124" t="s">
        <v>586</v>
      </c>
      <c r="D77" s="125"/>
      <c r="E77" s="126">
        <v>0.01</v>
      </c>
      <c r="F77" s="127"/>
      <c r="G77" s="127"/>
      <c r="H77" s="127"/>
      <c r="I77" s="128"/>
      <c r="K77" s="105" t="str">
        <f>IFERROR(__xludf.DUMMYFUNCTION("if(A77="""","""",substitute(SUBSTITUTE(index(importhtml(""http://finviz.com/quote.ashx?t=""&amp;A77,""table"",10),7,2),""*"",""""),""-"",""0.00""))"),"Loading...")</f>
        <v>Loading...</v>
      </c>
      <c r="L77" s="129">
        <v>2017740.0</v>
      </c>
      <c r="M77" s="99">
        <v>0.19</v>
      </c>
    </row>
    <row r="78">
      <c r="A78" s="122" t="s">
        <v>587</v>
      </c>
      <c r="B78" s="123">
        <v>1475430.0</v>
      </c>
      <c r="C78" s="124" t="s">
        <v>588</v>
      </c>
      <c r="D78" s="125"/>
      <c r="E78" s="126">
        <v>0.01</v>
      </c>
      <c r="F78" s="127"/>
      <c r="G78" s="127"/>
      <c r="H78" s="127"/>
      <c r="I78" s="128"/>
      <c r="K78" s="105" t="str">
        <f>IFERROR(__xludf.DUMMYFUNCTION("if(A78="""","""",substitute(SUBSTITUTE(index(importhtml(""http://finviz.com/quote.ashx?t=""&amp;A78,""table"",10),7,2),""*"",""""),""-"",""0.00""))"),"Loading...")</f>
        <v>Loading...</v>
      </c>
      <c r="L78" s="129">
        <v>2051664.0</v>
      </c>
      <c r="M78" s="99">
        <v>0.2</v>
      </c>
    </row>
    <row r="79">
      <c r="A79" s="122" t="s">
        <v>589</v>
      </c>
      <c r="B79" s="123">
        <v>1525852.0</v>
      </c>
      <c r="C79" s="124" t="s">
        <v>590</v>
      </c>
      <c r="D79" s="125"/>
      <c r="E79" s="126">
        <v>0.01</v>
      </c>
      <c r="F79" s="127"/>
      <c r="G79" s="127"/>
      <c r="H79" s="127"/>
      <c r="I79" s="128"/>
      <c r="K79" s="105" t="str">
        <f>IFERROR(__xludf.DUMMYFUNCTION("if(A79="""","""",substitute(SUBSTITUTE(index(importhtml(""http://finviz.com/quote.ashx?t=""&amp;A79,""table"",10),7,2),""*"",""""),""-"",""0.00""))"),"Loading...")</f>
        <v>Loading...</v>
      </c>
      <c r="L79" s="129">
        <v>2149150.0</v>
      </c>
      <c r="M79" s="99">
        <v>0.37</v>
      </c>
    </row>
    <row r="80">
      <c r="A80" s="122" t="s">
        <v>591</v>
      </c>
      <c r="B80" s="123">
        <v>842722.0</v>
      </c>
      <c r="C80" s="124" t="s">
        <v>592</v>
      </c>
      <c r="D80" s="125"/>
      <c r="E80" s="126">
        <v>0.01</v>
      </c>
      <c r="F80" s="127"/>
      <c r="G80" s="127"/>
      <c r="H80" s="127"/>
      <c r="I80" s="128"/>
      <c r="K80" s="105" t="str">
        <f>IFERROR(__xludf.DUMMYFUNCTION("if(A80="""","""",substitute(SUBSTITUTE(index(importhtml(""http://finviz.com/quote.ashx?t=""&amp;A80,""table"",10),7,2),""*"",""""),""-"",""0.00""))"),"Loading...")</f>
        <v>Loading...</v>
      </c>
      <c r="L80" s="129">
        <v>2307700.0</v>
      </c>
      <c r="M80" s="99">
        <v>1.35</v>
      </c>
    </row>
    <row r="81">
      <c r="A81" s="122" t="s">
        <v>593</v>
      </c>
      <c r="B81" s="123">
        <v>1819074.0</v>
      </c>
      <c r="C81" s="124" t="s">
        <v>594</v>
      </c>
      <c r="D81" s="125"/>
      <c r="E81" s="126">
        <v>0.01</v>
      </c>
      <c r="F81" s="127"/>
      <c r="G81" s="127"/>
      <c r="H81" s="127"/>
      <c r="I81" s="128"/>
      <c r="K81" s="105" t="str">
        <f>IFERROR(__xludf.DUMMYFUNCTION("if(A81="""","""",substitute(SUBSTITUTE(index(importhtml(""http://finviz.com/quote.ashx?t=""&amp;A81,""table"",10),7,2),""*"",""""),""-"",""0.00""))"),"Loading...")</f>
        <v>Loading...</v>
      </c>
      <c r="L81" s="129">
        <v>2331529.0</v>
      </c>
      <c r="M81" s="99">
        <v>0.72</v>
      </c>
    </row>
    <row r="82">
      <c r="A82" s="122" t="s">
        <v>595</v>
      </c>
      <c r="B82" s="123">
        <v>1590695.0</v>
      </c>
      <c r="C82" s="124" t="s">
        <v>596</v>
      </c>
      <c r="D82" s="125"/>
      <c r="E82" s="126">
        <v>0.01</v>
      </c>
      <c r="F82" s="127"/>
      <c r="G82" s="127"/>
      <c r="H82" s="127"/>
      <c r="I82" s="128"/>
      <c r="K82" s="105" t="str">
        <f>IFERROR(__xludf.DUMMYFUNCTION("if(A82="""","""",substitute(SUBSTITUTE(index(importhtml(""http://finviz.com/quote.ashx?t=""&amp;A82,""table"",10),7,2),""*"",""""),""-"",""0.00""))"),"Loading...")</f>
        <v>Loading...</v>
      </c>
      <c r="L82" s="129">
        <v>2590930.0</v>
      </c>
      <c r="M82" s="99">
        <v>0.18</v>
      </c>
    </row>
    <row r="83">
      <c r="A83" s="122" t="s">
        <v>597</v>
      </c>
      <c r="B83" s="123">
        <v>1355250.0</v>
      </c>
      <c r="C83" s="124" t="s">
        <v>598</v>
      </c>
      <c r="D83" s="125"/>
      <c r="E83" s="126">
        <v>0.01</v>
      </c>
      <c r="F83" s="127"/>
      <c r="G83" s="127"/>
      <c r="H83" s="127"/>
      <c r="I83" s="128"/>
      <c r="K83" s="105" t="str">
        <f>IFERROR(__xludf.DUMMYFUNCTION("if(A83="""","""",substitute(SUBSTITUTE(index(importhtml(""http://finviz.com/quote.ashx?t=""&amp;A83,""table"",10),7,2),""*"",""""),""-"",""0.00""))"),"Loading...")</f>
        <v>Loading...</v>
      </c>
      <c r="L83" s="129">
        <v>2648758.0</v>
      </c>
      <c r="M83" s="99">
        <v>-0.29</v>
      </c>
    </row>
    <row r="84">
      <c r="A84" s="122" t="s">
        <v>599</v>
      </c>
      <c r="B84" s="123">
        <v>1809750.0</v>
      </c>
      <c r="C84" s="124" t="s">
        <v>600</v>
      </c>
      <c r="D84" s="125"/>
      <c r="E84" s="126">
        <v>0.01</v>
      </c>
      <c r="F84" s="127"/>
      <c r="G84" s="127"/>
      <c r="H84" s="127"/>
      <c r="I84" s="128"/>
      <c r="K84" s="105" t="str">
        <f>IFERROR(__xludf.DUMMYFUNCTION("if(A84="""","""",substitute(SUBSTITUTE(index(importhtml(""http://finviz.com/quote.ashx?t=""&amp;A84,""table"",10),7,2),""*"",""""),""-"",""0.00""))"),"Loading...")</f>
        <v>Loading...</v>
      </c>
      <c r="L84" s="129">
        <v>2656875.0</v>
      </c>
      <c r="M84" s="99" t="e">
        <v>#N/A</v>
      </c>
    </row>
    <row r="85">
      <c r="A85" s="122" t="s">
        <v>601</v>
      </c>
      <c r="B85" s="123">
        <v>1755101.0</v>
      </c>
      <c r="C85" s="124" t="s">
        <v>602</v>
      </c>
      <c r="D85" s="125"/>
      <c r="E85" s="126">
        <v>0.01</v>
      </c>
      <c r="F85" s="127"/>
      <c r="G85" s="127"/>
      <c r="H85" s="127"/>
      <c r="I85" s="128"/>
      <c r="K85" s="105" t="str">
        <f>IFERROR(__xludf.DUMMYFUNCTION("if(A85="""","""",substitute(SUBSTITUTE(index(importhtml(""http://finviz.com/quote.ashx?t=""&amp;A85,""table"",10),7,2),""*"",""""),""-"",""0.00""))"),"Loading...")</f>
        <v>Loading...</v>
      </c>
      <c r="L85" s="129">
        <v>2739893.0</v>
      </c>
      <c r="M85" s="99">
        <v>-6.02</v>
      </c>
    </row>
    <row r="86">
      <c r="A86" s="122" t="s">
        <v>603</v>
      </c>
      <c r="B86" s="123">
        <v>1507964.0</v>
      </c>
      <c r="C86" s="124" t="s">
        <v>604</v>
      </c>
      <c r="D86" s="125"/>
      <c r="E86" s="126">
        <v>0.01</v>
      </c>
      <c r="F86" s="127"/>
      <c r="G86" s="127"/>
      <c r="H86" s="127"/>
      <c r="I86" s="128"/>
      <c r="K86" s="105" t="str">
        <f>IFERROR(__xludf.DUMMYFUNCTION("if(A86="""","""",substitute(SUBSTITUTE(index(importhtml(""http://finviz.com/quote.ashx?t=""&amp;A86,""table"",10),7,2),""*"",""""),""-"",""0.00""))"),"Loading...")</f>
        <v>Loading...</v>
      </c>
      <c r="L86" s="129">
        <v>2936400.0</v>
      </c>
      <c r="M86" s="99" t="e">
        <v>#N/A</v>
      </c>
    </row>
    <row r="87">
      <c r="A87" s="122" t="s">
        <v>605</v>
      </c>
      <c r="B87" s="123">
        <v>1096768.0</v>
      </c>
      <c r="C87" s="124" t="s">
        <v>606</v>
      </c>
      <c r="D87" s="125"/>
      <c r="E87" s="126">
        <v>0.01</v>
      </c>
      <c r="F87" s="127"/>
      <c r="G87" s="127"/>
      <c r="H87" s="127"/>
      <c r="I87" s="128"/>
      <c r="K87" s="105" t="str">
        <f>IFERROR(__xludf.DUMMYFUNCTION("if(A87="""","""",substitute(SUBSTITUTE(index(importhtml(""http://finviz.com/quote.ashx?t=""&amp;A87,""table"",10),7,2),""*"",""""),""-"",""0.00""))"),"Loading...")</f>
        <v>Loading...</v>
      </c>
      <c r="L87" s="129">
        <v>3095463.0</v>
      </c>
      <c r="M87" s="99">
        <v>-0.06</v>
      </c>
    </row>
    <row r="88">
      <c r="A88" s="122" t="s">
        <v>607</v>
      </c>
      <c r="B88" s="123">
        <v>1410187.0</v>
      </c>
      <c r="C88" s="124" t="s">
        <v>608</v>
      </c>
      <c r="D88" s="125"/>
      <c r="E88" s="126">
        <v>0.01</v>
      </c>
      <c r="F88" s="127"/>
      <c r="G88" s="127"/>
      <c r="H88" s="127"/>
      <c r="I88" s="128"/>
      <c r="K88" s="105" t="str">
        <f>IFERROR(__xludf.DUMMYFUNCTION("if(A88="""","""",substitute(SUBSTITUTE(index(importhtml(""http://finviz.com/quote.ashx?t=""&amp;A88,""table"",10),7,2),""*"",""""),""-"",""0.00""))"),"Loading...")</f>
        <v>Loading...</v>
      </c>
      <c r="L88" s="129">
        <v>3144854.0</v>
      </c>
      <c r="M88" s="99">
        <v>4.82</v>
      </c>
    </row>
    <row r="89">
      <c r="A89" s="122" t="s">
        <v>609</v>
      </c>
      <c r="B89" s="123">
        <v>1565146.0</v>
      </c>
      <c r="C89" s="124" t="s">
        <v>610</v>
      </c>
      <c r="D89" s="125"/>
      <c r="E89" s="126">
        <v>0.01</v>
      </c>
      <c r="F89" s="127"/>
      <c r="G89" s="127"/>
      <c r="H89" s="127"/>
      <c r="I89" s="128"/>
      <c r="K89" s="105" t="str">
        <f>IFERROR(__xludf.DUMMYFUNCTION("if(A89="""","""",substitute(SUBSTITUTE(index(importhtml(""http://finviz.com/quote.ashx?t=""&amp;A89,""table"",10),7,2),""*"",""""),""-"",""0.00""))"),"#N/A")</f>
        <v>#N/A</v>
      </c>
      <c r="L89" s="129">
        <v>3314484.0</v>
      </c>
      <c r="M89" s="99">
        <v>0.59</v>
      </c>
    </row>
    <row r="90">
      <c r="A90" s="122" t="s">
        <v>611</v>
      </c>
      <c r="B90" s="123">
        <v>1451448.0</v>
      </c>
      <c r="C90" s="124" t="s">
        <v>612</v>
      </c>
      <c r="D90" s="125"/>
      <c r="E90" s="126">
        <v>0.01</v>
      </c>
      <c r="F90" s="127"/>
      <c r="G90" s="127"/>
      <c r="H90" s="127"/>
      <c r="I90" s="128"/>
      <c r="K90" s="105" t="str">
        <f>IFERROR(__xludf.DUMMYFUNCTION("if(A90="""","""",substitute(SUBSTITUTE(index(importhtml(""http://finviz.com/quote.ashx?t=""&amp;A90,""table"",10),7,2),""*"",""""),""-"",""0.00""))"),"Loading...")</f>
        <v>Loading...</v>
      </c>
      <c r="L90" s="129">
        <v>3439950.0</v>
      </c>
      <c r="M90" s="99" t="e">
        <v>#N/A</v>
      </c>
    </row>
    <row r="91">
      <c r="A91" s="122" t="s">
        <v>613</v>
      </c>
      <c r="B91" s="123">
        <v>945617.0</v>
      </c>
      <c r="C91" s="124" t="s">
        <v>614</v>
      </c>
      <c r="D91" s="125"/>
      <c r="E91" s="126">
        <v>0.01</v>
      </c>
      <c r="F91" s="127"/>
      <c r="G91" s="127"/>
      <c r="H91" s="127"/>
      <c r="I91" s="128"/>
      <c r="K91" s="105" t="str">
        <f>IFERROR(__xludf.DUMMYFUNCTION("if(A91="""","""",substitute(SUBSTITUTE(index(importhtml(""http://finviz.com/quote.ashx?t=""&amp;A91,""table"",10),7,2),""*"",""""),""-"",""0.00""))"),"Loading...")</f>
        <v>Loading...</v>
      </c>
      <c r="L91" s="129">
        <v>3490246.0</v>
      </c>
      <c r="M91" s="99">
        <v>0.95</v>
      </c>
    </row>
    <row r="92">
      <c r="A92" s="122" t="s">
        <v>615</v>
      </c>
      <c r="B92" s="123">
        <v>1706145.0</v>
      </c>
      <c r="C92" s="124" t="s">
        <v>616</v>
      </c>
      <c r="D92" s="125"/>
      <c r="E92" s="126">
        <v>0.01</v>
      </c>
      <c r="F92" s="127"/>
      <c r="G92" s="127"/>
      <c r="H92" s="127"/>
      <c r="I92" s="128"/>
      <c r="K92" s="105" t="str">
        <f>IFERROR(__xludf.DUMMYFUNCTION("if(A92="""","""",substitute(SUBSTITUTE(index(importhtml(""http://finviz.com/quote.ashx?t=""&amp;A92,""table"",10),7,2),""*"",""""),""-"",""0.00""))"),"Loading...")</f>
        <v>Loading...</v>
      </c>
      <c r="L92" s="129">
        <v>3548759.0</v>
      </c>
      <c r="M92" s="99">
        <v>-0.05</v>
      </c>
    </row>
    <row r="93">
      <c r="A93" s="122" t="s">
        <v>617</v>
      </c>
      <c r="B93" s="123">
        <v>1691936.0</v>
      </c>
      <c r="C93" s="124" t="s">
        <v>618</v>
      </c>
      <c r="D93" s="125"/>
      <c r="E93" s="126">
        <v>0.01</v>
      </c>
      <c r="F93" s="127"/>
      <c r="G93" s="127"/>
      <c r="H93" s="127"/>
      <c r="I93" s="128"/>
      <c r="K93" s="105" t="str">
        <f>IFERROR(__xludf.DUMMYFUNCTION("if(A93="""","""",substitute(SUBSTITUTE(index(importhtml(""http://finviz.com/quote.ashx?t=""&amp;A93,""table"",10),7,2),""*"",""""),""-"",""0.00""))"),"Loading...")</f>
        <v>Loading...</v>
      </c>
      <c r="L93" s="129">
        <v>3599637.0</v>
      </c>
      <c r="M93" s="99">
        <v>1.88</v>
      </c>
    </row>
    <row r="94">
      <c r="A94" s="122" t="s">
        <v>619</v>
      </c>
      <c r="B94" s="123">
        <v>711665.0</v>
      </c>
      <c r="C94" s="124" t="s">
        <v>620</v>
      </c>
      <c r="D94" s="125"/>
      <c r="E94" s="126">
        <v>0.01</v>
      </c>
      <c r="F94" s="127"/>
      <c r="G94" s="127"/>
      <c r="H94" s="127"/>
      <c r="I94" s="128"/>
      <c r="K94" s="105" t="str">
        <f>IFERROR(__xludf.DUMMYFUNCTION("if(A94="""","""",substitute(SUBSTITUTE(index(importhtml(""http://finviz.com/quote.ashx?t=""&amp;A94,""table"",10),7,2),""*"",""""),""-"",""0.00""))"),"Loading...")</f>
        <v>Loading...</v>
      </c>
      <c r="L94" s="129">
        <v>3653550.0</v>
      </c>
      <c r="M94" s="99" t="e">
        <v>#N/A</v>
      </c>
    </row>
    <row r="95">
      <c r="A95" s="122" t="s">
        <v>621</v>
      </c>
      <c r="B95" s="123">
        <v>70866.0</v>
      </c>
      <c r="C95" s="124" t="s">
        <v>622</v>
      </c>
      <c r="D95" s="125"/>
      <c r="E95" s="126">
        <v>0.01</v>
      </c>
      <c r="F95" s="127"/>
      <c r="G95" s="127"/>
      <c r="H95" s="127"/>
      <c r="I95" s="128"/>
      <c r="K95" s="105" t="str">
        <f>IFERROR(__xludf.DUMMYFUNCTION("if(A95="""","""",substitute(SUBSTITUTE(index(importhtml(""http://finviz.com/quote.ashx?t=""&amp;A95,""table"",10),7,2),""*"",""""),""-"",""0.00""))"),"Loading...")</f>
        <v>Loading...</v>
      </c>
      <c r="L95" s="129">
        <v>3843060.0</v>
      </c>
      <c r="M95" s="99" t="e">
        <v>#N/A</v>
      </c>
    </row>
    <row r="96">
      <c r="A96" s="122" t="s">
        <v>623</v>
      </c>
      <c r="B96" s="123">
        <v>1623360.0</v>
      </c>
      <c r="C96" s="124" t="s">
        <v>624</v>
      </c>
      <c r="D96" s="125"/>
      <c r="E96" s="126">
        <v>0.01</v>
      </c>
      <c r="F96" s="127"/>
      <c r="G96" s="127"/>
      <c r="H96" s="127"/>
      <c r="I96" s="128"/>
      <c r="K96" s="105" t="str">
        <f>IFERROR(__xludf.DUMMYFUNCTION("if(A96="""","""",substitute(SUBSTITUTE(index(importhtml(""http://finviz.com/quote.ashx?t=""&amp;A96,""table"",10),7,2),""*"",""""),""-"",""0.00""))"),"Loading...")</f>
        <v>Loading...</v>
      </c>
      <c r="L96" s="129">
        <v>3886799.0</v>
      </c>
      <c r="M96" s="99" t="e">
        <v>#N/A</v>
      </c>
    </row>
    <row r="97">
      <c r="A97" s="122" t="s">
        <v>625</v>
      </c>
      <c r="B97" s="123">
        <v>1759352.0</v>
      </c>
      <c r="C97" s="124" t="s">
        <v>626</v>
      </c>
      <c r="D97" s="125"/>
      <c r="E97" s="126">
        <v>0.01</v>
      </c>
      <c r="F97" s="127"/>
      <c r="G97" s="127"/>
      <c r="H97" s="127"/>
      <c r="I97" s="128"/>
      <c r="K97" s="105" t="str">
        <f>IFERROR(__xludf.DUMMYFUNCTION("if(A97="""","""",substitute(SUBSTITUTE(index(importhtml(""http://finviz.com/quote.ashx?t=""&amp;A97,""table"",10),7,2),""*"",""""),""-"",""0.00""))"),"Loading...")</f>
        <v>Loading...</v>
      </c>
      <c r="L97" s="129">
        <v>3963449.0</v>
      </c>
      <c r="M97" s="99">
        <v>-0.01</v>
      </c>
    </row>
    <row r="98">
      <c r="A98" s="122" t="s">
        <v>627</v>
      </c>
      <c r="B98" s="123">
        <v>1593549.0</v>
      </c>
      <c r="C98" s="124" t="s">
        <v>628</v>
      </c>
      <c r="D98" s="125"/>
      <c r="E98" s="126">
        <v>0.01</v>
      </c>
      <c r="F98" s="127"/>
      <c r="G98" s="127"/>
      <c r="H98" s="127"/>
      <c r="I98" s="128"/>
      <c r="K98" s="105" t="str">
        <f>IFERROR(__xludf.DUMMYFUNCTION("if(A98="""","""",substitute(SUBSTITUTE(index(importhtml(""http://finviz.com/quote.ashx?t=""&amp;A98,""table"",10),7,2),""*"",""""),""-"",""0.00""))"),"Loading...")</f>
        <v>Loading...</v>
      </c>
      <c r="L98" s="129">
        <v>4040695.0</v>
      </c>
      <c r="M98" s="99">
        <v>4.59</v>
      </c>
    </row>
    <row r="99">
      <c r="A99" s="122" t="s">
        <v>629</v>
      </c>
      <c r="B99" s="123">
        <v>1482541.0</v>
      </c>
      <c r="C99" s="124" t="s">
        <v>630</v>
      </c>
      <c r="D99" s="125"/>
      <c r="E99" s="126">
        <v>0.01</v>
      </c>
      <c r="F99" s="127"/>
      <c r="G99" s="127"/>
      <c r="H99" s="127"/>
      <c r="I99" s="128"/>
      <c r="K99" s="105" t="str">
        <f>IFERROR(__xludf.DUMMYFUNCTION("if(A99="""","""",substitute(SUBSTITUTE(index(importhtml(""http://finviz.com/quote.ashx?t=""&amp;A99,""table"",10),7,2),""*"",""""),""-"",""0.00""))"),"Loading...")</f>
        <v>Loading...</v>
      </c>
      <c r="L99" s="129">
        <v>4244206.0</v>
      </c>
      <c r="M99" s="99" t="e">
        <v>#N/A</v>
      </c>
    </row>
    <row r="100">
      <c r="A100" s="122" t="s">
        <v>631</v>
      </c>
      <c r="B100" s="123">
        <v>1371128.0</v>
      </c>
      <c r="C100" s="124" t="s">
        <v>632</v>
      </c>
      <c r="D100" s="125"/>
      <c r="E100" s="126">
        <v>0.01</v>
      </c>
      <c r="F100" s="127"/>
      <c r="G100" s="127"/>
      <c r="H100" s="127"/>
      <c r="I100" s="128"/>
      <c r="K100" s="105" t="str">
        <f>IFERROR(__xludf.DUMMYFUNCTION("if(A100="""","""",substitute(SUBSTITUTE(index(importhtml(""http://finviz.com/quote.ashx?t=""&amp;A100,""table"",10),7,2),""*"",""""),""-"",""0.00""))"),"Loading...")</f>
        <v>Loading...</v>
      </c>
      <c r="L100" s="129">
        <v>4261432.0</v>
      </c>
      <c r="M100" s="99">
        <v>1.78</v>
      </c>
    </row>
    <row r="101">
      <c r="A101" s="122" t="s">
        <v>633</v>
      </c>
      <c r="B101" s="123">
        <v>1281845.0</v>
      </c>
      <c r="C101" s="124" t="s">
        <v>634</v>
      </c>
      <c r="D101" s="125"/>
      <c r="E101" s="126">
        <v>0.01</v>
      </c>
      <c r="F101" s="127"/>
      <c r="G101" s="127"/>
      <c r="H101" s="127"/>
      <c r="I101" s="128"/>
      <c r="K101" s="105" t="str">
        <f>IFERROR(__xludf.DUMMYFUNCTION("if(A101="""","""",substitute(SUBSTITUTE(index(importhtml(""http://finviz.com/quote.ashx?t=""&amp;A101,""table"",10),7,2),""*"",""""),""-"",""0.00""))"),"Loading...")</f>
        <v>Loading...</v>
      </c>
      <c r="L101" s="129">
        <v>4303857.0</v>
      </c>
      <c r="M101" s="99">
        <v>-3.08</v>
      </c>
    </row>
    <row r="102">
      <c r="A102" s="122" t="s">
        <v>635</v>
      </c>
      <c r="B102" s="123">
        <v>1621221.0</v>
      </c>
      <c r="C102" s="124" t="s">
        <v>636</v>
      </c>
      <c r="D102" s="125"/>
      <c r="E102" s="126">
        <v>0.01</v>
      </c>
      <c r="F102" s="127"/>
      <c r="G102" s="127"/>
      <c r="H102" s="127"/>
      <c r="I102" s="128"/>
      <c r="K102" s="105" t="str">
        <f>IFERROR(__xludf.DUMMYFUNCTION("if(A102="""","""",substitute(SUBSTITUTE(index(importhtml(""http://finviz.com/quote.ashx?t=""&amp;A102,""table"",10),7,2),""*"",""""),""-"",""0.00""))"),"Loading...")</f>
        <v>Loading...</v>
      </c>
      <c r="L102" s="129">
        <v>4368868.0</v>
      </c>
      <c r="M102" s="99">
        <v>4.36</v>
      </c>
    </row>
    <row r="103">
      <c r="A103" s="122" t="s">
        <v>637</v>
      </c>
      <c r="B103" s="123">
        <v>1680962.0</v>
      </c>
      <c r="C103" s="124" t="s">
        <v>638</v>
      </c>
      <c r="D103" s="125"/>
      <c r="E103" s="126">
        <v>0.01</v>
      </c>
      <c r="F103" s="127"/>
      <c r="G103" s="127"/>
      <c r="H103" s="127"/>
      <c r="I103" s="128"/>
      <c r="K103" s="105" t="str">
        <f>IFERROR(__xludf.DUMMYFUNCTION("if(A103="""","""",substitute(SUBSTITUTE(index(importhtml(""http://finviz.com/quote.ashx?t=""&amp;A103,""table"",10),7,2),""*"",""""),""-"",""0.00""))"),"Loading...")</f>
        <v>Loading...</v>
      </c>
      <c r="L103" s="129">
        <v>4459910.0</v>
      </c>
      <c r="M103" s="99">
        <v>0.61</v>
      </c>
    </row>
    <row r="104">
      <c r="A104" s="122" t="s">
        <v>639</v>
      </c>
      <c r="B104" s="123">
        <v>66901.0</v>
      </c>
      <c r="C104" s="124" t="s">
        <v>640</v>
      </c>
      <c r="D104" s="125"/>
      <c r="E104" s="126">
        <v>0.01</v>
      </c>
      <c r="F104" s="127"/>
      <c r="G104" s="127"/>
      <c r="H104" s="127"/>
      <c r="I104" s="128"/>
      <c r="K104" s="105" t="str">
        <f>IFERROR(__xludf.DUMMYFUNCTION("if(A104="""","""",substitute(SUBSTITUTE(index(importhtml(""http://finviz.com/quote.ashx?t=""&amp;A104,""table"",10),7,2),""*"",""""),""-"",""0.00""))"),"Loading...")</f>
        <v>Loading...</v>
      </c>
      <c r="L104" s="129">
        <v>4497734.0</v>
      </c>
      <c r="M104" s="99" t="e">
        <v>#N/A</v>
      </c>
    </row>
    <row r="105">
      <c r="A105" s="122" t="s">
        <v>641</v>
      </c>
      <c r="B105" s="123">
        <v>1448705.0</v>
      </c>
      <c r="C105" s="124" t="s">
        <v>642</v>
      </c>
      <c r="D105" s="125"/>
      <c r="E105" s="126">
        <v>0.01</v>
      </c>
      <c r="F105" s="127"/>
      <c r="G105" s="127"/>
      <c r="H105" s="127"/>
      <c r="I105" s="128"/>
      <c r="K105" s="105" t="str">
        <f>IFERROR(__xludf.DUMMYFUNCTION("if(A105="""","""",substitute(SUBSTITUTE(index(importhtml(""http://finviz.com/quote.ashx?t=""&amp;A105,""table"",10),7,2),""*"",""""),""-"",""0.00""))"),"Loading...")</f>
        <v>Loading...</v>
      </c>
      <c r="L105" s="129">
        <v>4691768.0</v>
      </c>
      <c r="M105" s="99">
        <v>1.85</v>
      </c>
    </row>
    <row r="106">
      <c r="A106" s="122" t="s">
        <v>643</v>
      </c>
      <c r="B106" s="123">
        <v>1502758.0</v>
      </c>
      <c r="C106" s="124" t="s">
        <v>644</v>
      </c>
      <c r="D106" s="125"/>
      <c r="E106" s="126">
        <v>0.01</v>
      </c>
      <c r="F106" s="127"/>
      <c r="G106" s="127"/>
      <c r="H106" s="127"/>
      <c r="I106" s="128"/>
      <c r="K106" s="105" t="str">
        <f>IFERROR(__xludf.DUMMYFUNCTION("if(A106="""","""",substitute(SUBSTITUTE(index(importhtml(""http://finviz.com/quote.ashx?t=""&amp;A106,""table"",10),7,2),""*"",""""),""-"",""0.00""))"),"Loading...")</f>
        <v>Loading...</v>
      </c>
      <c r="L106" s="129">
        <v>4774304.0</v>
      </c>
      <c r="M106" s="99">
        <v>0.85</v>
      </c>
    </row>
    <row r="107">
      <c r="A107" s="122" t="s">
        <v>645</v>
      </c>
      <c r="B107" s="123">
        <v>1924482.0</v>
      </c>
      <c r="C107" s="124" t="s">
        <v>646</v>
      </c>
      <c r="D107" s="125"/>
      <c r="E107" s="126">
        <v>0.01</v>
      </c>
      <c r="F107" s="127"/>
      <c r="G107" s="127"/>
      <c r="H107" s="127"/>
      <c r="I107" s="128"/>
      <c r="K107" s="105" t="str">
        <f>IFERROR(__xludf.DUMMYFUNCTION("if(A107="""","""",substitute(SUBSTITUTE(index(importhtml(""http://finviz.com/quote.ashx?t=""&amp;A107,""table"",10),7,2),""*"",""""),""-"",""0.00""))"),"Loading...")</f>
        <v>Loading...</v>
      </c>
      <c r="L107" s="129">
        <v>4781619.0</v>
      </c>
      <c r="M107" s="99" t="e">
        <v>#N/A</v>
      </c>
    </row>
    <row r="108">
      <c r="A108" s="122" t="s">
        <v>647</v>
      </c>
      <c r="B108" s="123">
        <v>1324736.0</v>
      </c>
      <c r="C108" s="124" t="s">
        <v>648</v>
      </c>
      <c r="D108" s="125"/>
      <c r="E108" s="126">
        <v>0.01</v>
      </c>
      <c r="F108" s="127"/>
      <c r="G108" s="127"/>
      <c r="H108" s="127"/>
      <c r="I108" s="128"/>
      <c r="K108" s="105" t="str">
        <f>IFERROR(__xludf.DUMMYFUNCTION("if(A108="""","""",substitute(SUBSTITUTE(index(importhtml(""http://finviz.com/quote.ashx?t=""&amp;A108,""table"",10),7,2),""*"",""""),""-"",""0.00""))"),"Loading...")</f>
        <v>Loading...</v>
      </c>
      <c r="L108" s="129">
        <v>4810929.0</v>
      </c>
      <c r="M108" s="99">
        <v>-0.34</v>
      </c>
    </row>
    <row r="109">
      <c r="A109" s="122" t="s">
        <v>649</v>
      </c>
      <c r="B109" s="123">
        <v>1701963.0</v>
      </c>
      <c r="C109" s="124" t="s">
        <v>650</v>
      </c>
      <c r="D109" s="125"/>
      <c r="E109" s="126">
        <v>0.01</v>
      </c>
      <c r="F109" s="127"/>
      <c r="G109" s="127"/>
      <c r="H109" s="127"/>
      <c r="I109" s="128"/>
      <c r="K109" s="105" t="str">
        <f>IFERROR(__xludf.DUMMYFUNCTION("if(A109="""","""",substitute(SUBSTITUTE(index(importhtml(""http://finviz.com/quote.ashx?t=""&amp;A109,""table"",10),7,2),""*"",""""),""-"",""0.00""))"),"Loading...")</f>
        <v>Loading...</v>
      </c>
      <c r="L109" s="129">
        <v>5444463.0</v>
      </c>
      <c r="M109" s="99" t="e">
        <v>#N/A</v>
      </c>
    </row>
    <row r="110">
      <c r="A110" s="122" t="s">
        <v>651</v>
      </c>
      <c r="B110" s="123">
        <v>1458631.0</v>
      </c>
      <c r="C110" s="124" t="s">
        <v>652</v>
      </c>
      <c r="D110" s="125"/>
      <c r="E110" s="126">
        <v>0.01</v>
      </c>
      <c r="F110" s="127"/>
      <c r="G110" s="127"/>
      <c r="H110" s="127"/>
      <c r="I110" s="128"/>
      <c r="K110" s="105" t="str">
        <f>IFERROR(__xludf.DUMMYFUNCTION("if(A110="""","""",substitute(SUBSTITUTE(index(importhtml(""http://finviz.com/quote.ashx?t=""&amp;A110,""table"",10),7,2),""*"",""""),""-"",""0.00""))"),"Loading...")</f>
        <v>Loading...</v>
      </c>
      <c r="L110" s="129">
        <v>5500665.0</v>
      </c>
      <c r="M110" s="99">
        <v>-2.08</v>
      </c>
    </row>
    <row r="111">
      <c r="A111" s="122" t="s">
        <v>653</v>
      </c>
      <c r="B111" s="123">
        <v>1166708.0</v>
      </c>
      <c r="C111" s="124" t="s">
        <v>654</v>
      </c>
      <c r="D111" s="125"/>
      <c r="E111" s="126">
        <v>0.01</v>
      </c>
      <c r="F111" s="127"/>
      <c r="G111" s="127"/>
      <c r="H111" s="127"/>
      <c r="I111" s="128"/>
      <c r="K111" s="105" t="str">
        <f>IFERROR(__xludf.DUMMYFUNCTION("if(A111="""","""",substitute(SUBSTITUTE(index(importhtml(""http://finviz.com/quote.ashx?t=""&amp;A111,""table"",10),7,2),""*"",""""),""-"",""0.00""))"),"Loading...")</f>
        <v>Loading...</v>
      </c>
      <c r="L111" s="129">
        <v>5534060.0</v>
      </c>
      <c r="M111" s="99">
        <v>1.03</v>
      </c>
    </row>
    <row r="112">
      <c r="A112" s="122" t="s">
        <v>655</v>
      </c>
      <c r="B112" s="123">
        <v>1588837.0</v>
      </c>
      <c r="C112" s="124" t="s">
        <v>656</v>
      </c>
      <c r="D112" s="125"/>
      <c r="E112" s="126">
        <v>0.01</v>
      </c>
      <c r="F112" s="127"/>
      <c r="G112" s="127"/>
      <c r="H112" s="127"/>
      <c r="I112" s="128"/>
      <c r="K112" s="105" t="str">
        <f>IFERROR(__xludf.DUMMYFUNCTION("if(A112="""","""",substitute(SUBSTITUTE(index(importhtml(""http://finviz.com/quote.ashx?t=""&amp;A112,""table"",10),7,2),""*"",""""),""-"",""0.00""))"),"Loading...")</f>
        <v>Loading...</v>
      </c>
      <c r="L112" s="129">
        <v>6010222.0</v>
      </c>
      <c r="M112" s="99">
        <v>2.02</v>
      </c>
    </row>
    <row r="113">
      <c r="A113" s="122" t="s">
        <v>657</v>
      </c>
      <c r="B113" s="123">
        <v>1679063.0</v>
      </c>
      <c r="C113" s="124" t="s">
        <v>658</v>
      </c>
      <c r="D113" s="125"/>
      <c r="E113" s="126">
        <v>0.01</v>
      </c>
      <c r="F113" s="127"/>
      <c r="G113" s="127"/>
      <c r="H113" s="127"/>
      <c r="I113" s="128"/>
      <c r="K113" s="105" t="str">
        <f>IFERROR(__xludf.DUMMYFUNCTION("if(A113="""","""",substitute(SUBSTITUTE(index(importhtml(""http://finviz.com/quote.ashx?t=""&amp;A113,""table"",10),7,2),""*"",""""),""-"",""0.00""))"),"Loading...")</f>
        <v>Loading...</v>
      </c>
      <c r="L113" s="129">
        <v>6250465.0</v>
      </c>
      <c r="M113" s="99">
        <v>1.38</v>
      </c>
    </row>
    <row r="114">
      <c r="A114" s="122" t="s">
        <v>659</v>
      </c>
      <c r="B114" s="123">
        <v>1841330.0</v>
      </c>
      <c r="C114" s="124" t="s">
        <v>660</v>
      </c>
      <c r="D114" s="125"/>
      <c r="E114" s="126">
        <v>0.01</v>
      </c>
      <c r="F114" s="127"/>
      <c r="G114" s="127"/>
      <c r="H114" s="127"/>
      <c r="I114" s="128"/>
      <c r="K114" s="105" t="str">
        <f>IFERROR(__xludf.DUMMYFUNCTION("if(A114="""","""",substitute(SUBSTITUTE(index(importhtml(""http://finviz.com/quote.ashx?t=""&amp;A114,""table"",10),7,2),""*"",""""),""-"",""0.00""))"),"Loading...")</f>
        <v>Loading...</v>
      </c>
      <c r="L114" s="129">
        <v>6771895.0</v>
      </c>
      <c r="M114" s="99" t="e">
        <v>#N/A</v>
      </c>
    </row>
    <row r="115">
      <c r="A115" s="122" t="s">
        <v>661</v>
      </c>
      <c r="B115" s="123">
        <v>1510518.0</v>
      </c>
      <c r="C115" s="124" t="s">
        <v>662</v>
      </c>
      <c r="D115" s="125"/>
      <c r="E115" s="126">
        <v>0.01</v>
      </c>
      <c r="F115" s="127"/>
      <c r="G115" s="127"/>
      <c r="H115" s="127"/>
      <c r="I115" s="128"/>
      <c r="K115" s="105" t="str">
        <f>IFERROR(__xludf.DUMMYFUNCTION("if(A115="""","""",substitute(SUBSTITUTE(index(importhtml(""http://finviz.com/quote.ashx?t=""&amp;A115,""table"",10),7,2),""*"",""""),""-"",""0.00""))"),"Loading...")</f>
        <v>Loading...</v>
      </c>
      <c r="L115" s="129">
        <v>7199210.0</v>
      </c>
      <c r="M115" s="99">
        <v>2.29</v>
      </c>
    </row>
    <row r="116">
      <c r="A116" s="122" t="s">
        <v>663</v>
      </c>
      <c r="B116" s="123">
        <v>1408146.0</v>
      </c>
      <c r="C116" s="124" t="s">
        <v>664</v>
      </c>
      <c r="D116" s="125"/>
      <c r="E116" s="126">
        <v>0.01</v>
      </c>
      <c r="F116" s="127"/>
      <c r="G116" s="127"/>
      <c r="H116" s="127"/>
      <c r="I116" s="128"/>
      <c r="K116" s="105" t="str">
        <f>IFERROR(__xludf.DUMMYFUNCTION("if(A116="""","""",substitute(SUBSTITUTE(index(importhtml(""http://finviz.com/quote.ashx?t=""&amp;A116,""table"",10),7,2),""*"",""""),""-"",""0.00""))"),"Loading...")</f>
        <v>Loading...</v>
      </c>
      <c r="L116" s="129">
        <v>7413765.0</v>
      </c>
      <c r="M116" s="99">
        <v>-0.4</v>
      </c>
    </row>
    <row r="117">
      <c r="A117" s="122" t="s">
        <v>665</v>
      </c>
      <c r="B117" s="123">
        <v>743758.0</v>
      </c>
      <c r="C117" s="124" t="s">
        <v>666</v>
      </c>
      <c r="D117" s="125"/>
      <c r="E117" s="126">
        <v>0.01</v>
      </c>
      <c r="F117" s="127"/>
      <c r="G117" s="127"/>
      <c r="H117" s="127"/>
      <c r="I117" s="128"/>
      <c r="K117" s="105" t="str">
        <f>IFERROR(__xludf.DUMMYFUNCTION("if(A117="""","""",substitute(SUBSTITUTE(index(importhtml(""http://finviz.com/quote.ashx?t=""&amp;A117,""table"",10),7,2),""*"",""""),""-"",""0.00""))"),"Loading...")</f>
        <v>Loading...</v>
      </c>
      <c r="L117" s="129">
        <v>7792944.0</v>
      </c>
      <c r="M117" s="99">
        <v>-1.12</v>
      </c>
    </row>
    <row r="118">
      <c r="A118" s="122" t="s">
        <v>667</v>
      </c>
      <c r="B118" s="123">
        <v>1520592.0</v>
      </c>
      <c r="C118" s="124" t="s">
        <v>668</v>
      </c>
      <c r="D118" s="125"/>
      <c r="E118" s="126">
        <v>0.01</v>
      </c>
      <c r="F118" s="127"/>
      <c r="G118" s="127"/>
      <c r="H118" s="127"/>
      <c r="I118" s="128"/>
      <c r="K118" s="105" t="str">
        <f>IFERROR(__xludf.DUMMYFUNCTION("if(A118="""","""",substitute(SUBSTITUTE(index(importhtml(""http://finviz.com/quote.ashx?t=""&amp;A118,""table"",10),7,2),""*"",""""),""-"",""0.00""))"),"Loading...")</f>
        <v>Loading...</v>
      </c>
      <c r="L118" s="129">
        <v>8062840.0</v>
      </c>
      <c r="M118" s="99" t="e">
        <v>#N/A</v>
      </c>
    </row>
    <row r="119">
      <c r="A119" s="122" t="s">
        <v>669</v>
      </c>
      <c r="B119" s="123">
        <v>1818644.0</v>
      </c>
      <c r="C119" s="124" t="s">
        <v>670</v>
      </c>
      <c r="D119" s="125"/>
      <c r="E119" s="126">
        <v>0.01</v>
      </c>
      <c r="F119" s="127"/>
      <c r="G119" s="127"/>
      <c r="H119" s="127"/>
      <c r="I119" s="128"/>
      <c r="K119" s="105" t="str">
        <f>IFERROR(__xludf.DUMMYFUNCTION("if(A119="""","""",substitute(SUBSTITUTE(index(importhtml(""http://finviz.com/quote.ashx?t=""&amp;A119,""table"",10),7,2),""*"",""""),""-"",""0.00""))"),"Loading...")</f>
        <v>Loading...</v>
      </c>
      <c r="L119" s="129">
        <v>8097439.0</v>
      </c>
      <c r="M119" s="99">
        <v>3.46</v>
      </c>
    </row>
    <row r="120">
      <c r="A120" s="122" t="s">
        <v>671</v>
      </c>
      <c r="B120" s="123">
        <v>1456453.0</v>
      </c>
      <c r="C120" s="124" t="s">
        <v>672</v>
      </c>
      <c r="D120" s="125"/>
      <c r="E120" s="126">
        <v>0.01</v>
      </c>
      <c r="F120" s="127"/>
      <c r="G120" s="127"/>
      <c r="H120" s="127"/>
      <c r="I120" s="128"/>
      <c r="K120" s="105" t="str">
        <f>IFERROR(__xludf.DUMMYFUNCTION("if(A120="""","""",substitute(SUBSTITUTE(index(importhtml(""http://finviz.com/quote.ashx?t=""&amp;A120,""table"",10),7,2),""*"",""""),""-"",""0.00""))"),"Loading...")</f>
        <v>Loading...</v>
      </c>
      <c r="L120" s="129">
        <v>8980080.0</v>
      </c>
      <c r="M120" s="99">
        <v>1.35</v>
      </c>
    </row>
    <row r="121">
      <c r="A121" s="122" t="s">
        <v>673</v>
      </c>
      <c r="B121" s="123">
        <v>1551206.0</v>
      </c>
      <c r="C121" s="124" t="s">
        <v>674</v>
      </c>
      <c r="D121" s="125"/>
      <c r="E121" s="126">
        <v>0.01</v>
      </c>
      <c r="F121" s="127"/>
      <c r="G121" s="127"/>
      <c r="H121" s="127"/>
      <c r="I121" s="128"/>
      <c r="K121" s="105" t="str">
        <f>IFERROR(__xludf.DUMMYFUNCTION("if(A121="""","""",substitute(SUBSTITUTE(index(importhtml(""http://finviz.com/quote.ashx?t=""&amp;A121,""table"",10),7,2),""*"",""""),""-"",""0.00""))"),"Loading...")</f>
        <v>Loading...</v>
      </c>
      <c r="L121" s="129">
        <v>9319110.0</v>
      </c>
      <c r="M121" s="99">
        <v>2.42</v>
      </c>
    </row>
    <row r="122">
      <c r="A122" s="122" t="s">
        <v>675</v>
      </c>
      <c r="B122" s="123">
        <v>1613895.0</v>
      </c>
      <c r="C122" s="124" t="s">
        <v>676</v>
      </c>
      <c r="D122" s="125"/>
      <c r="E122" s="126">
        <v>0.01</v>
      </c>
      <c r="F122" s="127"/>
      <c r="G122" s="127"/>
      <c r="H122" s="127"/>
      <c r="I122" s="128"/>
      <c r="K122" s="105" t="str">
        <f>IFERROR(__xludf.DUMMYFUNCTION("if(A122="""","""",substitute(SUBSTITUTE(index(importhtml(""http://finviz.com/quote.ashx?t=""&amp;A122,""table"",10),7,2),""*"",""""),""-"",""0.00""))"),"Loading...")</f>
        <v>Loading...</v>
      </c>
      <c r="L122" s="129">
        <v>9507216.0</v>
      </c>
      <c r="M122" s="99">
        <v>1.58</v>
      </c>
    </row>
    <row r="123">
      <c r="A123" s="122" t="s">
        <v>677</v>
      </c>
      <c r="B123" s="123">
        <v>1419793.0</v>
      </c>
      <c r="C123" s="124" t="s">
        <v>678</v>
      </c>
      <c r="D123" s="125"/>
      <c r="E123" s="126">
        <v>0.01</v>
      </c>
      <c r="F123" s="127"/>
      <c r="G123" s="127"/>
      <c r="H123" s="127"/>
      <c r="I123" s="128"/>
      <c r="K123" s="105" t="str">
        <f>IFERROR(__xludf.DUMMYFUNCTION("if(A123="""","""",substitute(SUBSTITUTE(index(importhtml(""http://finviz.com/quote.ashx?t=""&amp;A123,""table"",10),7,2),""*"",""""),""-"",""0.00""))"),"Loading...")</f>
        <v>Loading...</v>
      </c>
      <c r="L123" s="129">
        <v>1.0030375E7</v>
      </c>
      <c r="M123" s="99">
        <v>1.23</v>
      </c>
    </row>
    <row r="124">
      <c r="A124" s="122" t="s">
        <v>679</v>
      </c>
      <c r="B124" s="123">
        <v>1567388.0</v>
      </c>
      <c r="C124" s="124" t="s">
        <v>680</v>
      </c>
      <c r="D124" s="125"/>
      <c r="E124" s="126">
        <v>0.01</v>
      </c>
      <c r="F124" s="127"/>
      <c r="G124" s="127"/>
      <c r="H124" s="127"/>
      <c r="I124" s="128"/>
      <c r="K124" s="105" t="str">
        <f>IFERROR(__xludf.DUMMYFUNCTION("if(A124="""","""",substitute(SUBSTITUTE(index(importhtml(""http://finviz.com/quote.ashx?t=""&amp;A124,""table"",10),7,2),""*"",""""),""-"",""0.00""))"),"Loading...")</f>
        <v>Loading...</v>
      </c>
      <c r="L124" s="129">
        <v>1.1402577E7</v>
      </c>
      <c r="M124" s="99" t="e">
        <v>#N/A</v>
      </c>
    </row>
    <row r="125">
      <c r="A125" s="122" t="s">
        <v>681</v>
      </c>
      <c r="B125" s="123">
        <v>1826681.0</v>
      </c>
      <c r="C125" s="124" t="s">
        <v>682</v>
      </c>
      <c r="D125" s="125"/>
      <c r="E125" s="126">
        <v>0.01</v>
      </c>
      <c r="F125" s="127"/>
      <c r="G125" s="127"/>
      <c r="H125" s="127"/>
      <c r="I125" s="128"/>
      <c r="K125" s="105" t="str">
        <f>IFERROR(__xludf.DUMMYFUNCTION("if(A125="""","""",substitute(SUBSTITUTE(index(importhtml(""http://finviz.com/quote.ashx?t=""&amp;A125,""table"",10),7,2),""*"",""""),""-"",""0.00""))"),"Loading...")</f>
        <v>Loading...</v>
      </c>
      <c r="L125" s="129">
        <v>1.3028002E7</v>
      </c>
      <c r="M125" s="99" t="e">
        <v>#N/A</v>
      </c>
    </row>
    <row r="126">
      <c r="A126" s="122" t="s">
        <v>683</v>
      </c>
      <c r="B126" s="123">
        <v>1412126.0</v>
      </c>
      <c r="C126" s="124" t="s">
        <v>684</v>
      </c>
      <c r="D126" s="125"/>
      <c r="E126" s="126">
        <v>0.01</v>
      </c>
      <c r="F126" s="127"/>
      <c r="G126" s="127"/>
      <c r="H126" s="127"/>
      <c r="I126" s="128"/>
      <c r="K126" s="105" t="str">
        <f>IFERROR(__xludf.DUMMYFUNCTION("if(A126="""","""",substitute(SUBSTITUTE(index(importhtml(""http://finviz.com/quote.ashx?t=""&amp;A126,""table"",10),7,2),""*"",""""),""-"",""0.00""))"),"Loading...")</f>
        <v>Loading...</v>
      </c>
      <c r="L126" s="129">
        <v>1.4408033E7</v>
      </c>
      <c r="M126" s="99">
        <v>-0.43</v>
      </c>
    </row>
    <row r="127">
      <c r="A127" s="122" t="s">
        <v>685</v>
      </c>
      <c r="B127" s="123">
        <v>1805521.0</v>
      </c>
      <c r="C127" s="124" t="s">
        <v>686</v>
      </c>
      <c r="D127" s="125"/>
      <c r="E127" s="126">
        <v>0.01</v>
      </c>
      <c r="F127" s="127"/>
      <c r="G127" s="127"/>
      <c r="H127" s="127"/>
      <c r="I127" s="128"/>
      <c r="K127" s="105" t="str">
        <f>IFERROR(__xludf.DUMMYFUNCTION("if(A127="""","""",substitute(SUBSTITUTE(index(importhtml(""http://finviz.com/quote.ashx?t=""&amp;A127,""table"",10),7,2),""*"",""""),""-"",""0.00""))"),"Loading...")</f>
        <v>Loading...</v>
      </c>
      <c r="L127" s="129">
        <v>1.4718155E7</v>
      </c>
      <c r="M127" s="99">
        <v>0.92</v>
      </c>
    </row>
    <row r="128">
      <c r="A128" s="122" t="s">
        <v>687</v>
      </c>
      <c r="B128" s="123">
        <v>1128252.0</v>
      </c>
      <c r="C128" s="124" t="s">
        <v>688</v>
      </c>
      <c r="D128" s="125"/>
      <c r="E128" s="126">
        <v>0.01</v>
      </c>
      <c r="F128" s="127"/>
      <c r="G128" s="127"/>
      <c r="H128" s="127"/>
      <c r="I128" s="128"/>
      <c r="K128" s="105" t="str">
        <f>IFERROR(__xludf.DUMMYFUNCTION("if(A128="""","""",substitute(SUBSTITUTE(index(importhtml(""http://finviz.com/quote.ashx?t=""&amp;A128,""table"",10),7,2),""*"",""""),""-"",""0.00""))"),"Loading...")</f>
        <v>Loading...</v>
      </c>
      <c r="L128" s="129">
        <v>1.474557E7</v>
      </c>
      <c r="M128" s="99">
        <v>2.19</v>
      </c>
    </row>
    <row r="129">
      <c r="A129" s="122" t="s">
        <v>689</v>
      </c>
      <c r="B129" s="123">
        <v>1824893.0</v>
      </c>
      <c r="C129" s="124" t="s">
        <v>690</v>
      </c>
      <c r="D129" s="125"/>
      <c r="E129" s="126">
        <v>0.01</v>
      </c>
      <c r="F129" s="127"/>
      <c r="G129" s="127"/>
      <c r="H129" s="127"/>
      <c r="I129" s="128"/>
      <c r="K129" s="105" t="str">
        <f>IFERROR(__xludf.DUMMYFUNCTION("if(A129="""","""",substitute(SUBSTITUTE(index(importhtml(""http://finviz.com/quote.ashx?t=""&amp;A129,""table"",10),7,2),""*"",""""),""-"",""0.00""))"),"Loading...")</f>
        <v>Loading...</v>
      </c>
      <c r="L129" s="129">
        <v>1.7936933E7</v>
      </c>
      <c r="M129" s="99">
        <v>1.36</v>
      </c>
    </row>
    <row r="130">
      <c r="A130" s="122" t="s">
        <v>691</v>
      </c>
      <c r="B130" s="123">
        <v>1708176.0</v>
      </c>
      <c r="C130" s="124" t="s">
        <v>692</v>
      </c>
      <c r="D130" s="125"/>
      <c r="E130" s="126">
        <v>0.01</v>
      </c>
      <c r="F130" s="127"/>
      <c r="G130" s="127"/>
      <c r="H130" s="127"/>
      <c r="I130" s="128"/>
      <c r="K130" s="105" t="str">
        <f>IFERROR(__xludf.DUMMYFUNCTION("if(A130="""","""",substitute(SUBSTITUTE(index(importhtml(""http://finviz.com/quote.ashx?t=""&amp;A130,""table"",10),7,2),""*"",""""),""-"",""0.00""))"),"Loading...")</f>
        <v>Loading...</v>
      </c>
      <c r="L130" s="129">
        <v>2.2394482E7</v>
      </c>
      <c r="M130" s="99">
        <v>3.55</v>
      </c>
    </row>
    <row r="131">
      <c r="A131" s="122" t="s">
        <v>693</v>
      </c>
      <c r="B131" s="123">
        <v>1863460.0</v>
      </c>
      <c r="C131" s="124" t="s">
        <v>694</v>
      </c>
      <c r="D131" s="125"/>
      <c r="E131" s="126">
        <v>0.01</v>
      </c>
      <c r="F131" s="127"/>
      <c r="G131" s="127"/>
      <c r="H131" s="127"/>
      <c r="I131" s="128"/>
      <c r="K131" s="105" t="str">
        <f>IFERROR(__xludf.DUMMYFUNCTION("if(A131="""","""",substitute(SUBSTITUTE(index(importhtml(""http://finviz.com/quote.ashx?t=""&amp;A131,""table"",10),7,2),""*"",""""),""-"",""0.00""))"),"Loading...")</f>
        <v>Loading...</v>
      </c>
      <c r="L131" s="129">
        <v>2.547825E7</v>
      </c>
      <c r="M131" s="99" t="e">
        <v>#N/A</v>
      </c>
    </row>
    <row r="132">
      <c r="A132" s="122" t="s">
        <v>695</v>
      </c>
      <c r="B132" s="123">
        <v>1786182.0</v>
      </c>
      <c r="C132" s="124" t="s">
        <v>696</v>
      </c>
      <c r="D132" s="125"/>
      <c r="E132" s="126">
        <v>0.01</v>
      </c>
      <c r="F132" s="127"/>
      <c r="G132" s="127"/>
      <c r="H132" s="127"/>
      <c r="I132" s="128"/>
      <c r="K132" s="105" t="str">
        <f>IFERROR(__xludf.DUMMYFUNCTION("if(A132="""","""",substitute(SUBSTITUTE(index(importhtml(""http://finviz.com/quote.ashx?t=""&amp;A132,""table"",10),7,2),""*"",""""),""-"",""0.00""))"),"Loading...")</f>
        <v>Loading...</v>
      </c>
      <c r="L132" s="129">
        <v>2.5864504E7</v>
      </c>
      <c r="M132" s="99" t="e">
        <v>#N/A</v>
      </c>
    </row>
    <row r="133">
      <c r="A133" s="122" t="s">
        <v>697</v>
      </c>
      <c r="B133" s="123">
        <v>1820566.0</v>
      </c>
      <c r="C133" s="124" t="s">
        <v>698</v>
      </c>
      <c r="D133" s="125"/>
      <c r="E133" s="126">
        <v>0.01</v>
      </c>
      <c r="F133" s="127"/>
      <c r="G133" s="127"/>
      <c r="H133" s="127"/>
      <c r="I133" s="128"/>
      <c r="K133" s="105" t="str">
        <f>IFERROR(__xludf.DUMMYFUNCTION("if(A133="""","""",substitute(SUBSTITUTE(index(importhtml(""http://finviz.com/quote.ashx?t=""&amp;A133,""table"",10),7,2),""*"",""""),""-"",""0.00""))"),"Loading...")</f>
        <v>Loading...</v>
      </c>
      <c r="L133" s="129">
        <v>2.6687033E7</v>
      </c>
      <c r="M133" s="99">
        <v>0.4</v>
      </c>
    </row>
    <row r="134">
      <c r="A134" s="122" t="s">
        <v>699</v>
      </c>
      <c r="B134" s="123">
        <v>1776909.0</v>
      </c>
      <c r="C134" s="124" t="s">
        <v>700</v>
      </c>
      <c r="D134" s="125"/>
      <c r="E134" s="126">
        <v>0.01</v>
      </c>
      <c r="F134" s="127"/>
      <c r="G134" s="127"/>
      <c r="H134" s="127"/>
      <c r="I134" s="128"/>
      <c r="K134" s="105" t="str">
        <f>IFERROR(__xludf.DUMMYFUNCTION("if(A134="""","""",substitute(SUBSTITUTE(index(importhtml(""http://finviz.com/quote.ashx?t=""&amp;A134,""table"",10),7,2),""*"",""""),""-"",""0.00""))"),"Loading...")</f>
        <v>Loading...</v>
      </c>
      <c r="L134" s="129">
        <v>2.8132708E7</v>
      </c>
      <c r="M134" s="99">
        <v>0.91</v>
      </c>
    </row>
    <row r="135">
      <c r="A135" s="122" t="s">
        <v>701</v>
      </c>
      <c r="B135" s="123">
        <v>1834045.0</v>
      </c>
      <c r="C135" s="124" t="s">
        <v>702</v>
      </c>
      <c r="D135" s="125"/>
      <c r="E135" s="126">
        <v>0.01</v>
      </c>
      <c r="F135" s="127"/>
      <c r="G135" s="127"/>
      <c r="H135" s="127"/>
      <c r="I135" s="128"/>
      <c r="K135" s="105" t="str">
        <f>IFERROR(__xludf.DUMMYFUNCTION("if(A135="""","""",substitute(SUBSTITUTE(index(importhtml(""http://finviz.com/quote.ashx?t=""&amp;A135,""table"",10),7,2),""*"",""""),""-"",""0.00""))"),"Loading...")</f>
        <v>Loading...</v>
      </c>
      <c r="L135" s="129">
        <v>2.8162364E7</v>
      </c>
      <c r="M135" s="99">
        <v>-0.08</v>
      </c>
    </row>
    <row r="136">
      <c r="A136" s="122" t="s">
        <v>703</v>
      </c>
      <c r="B136" s="123">
        <v>1813914.0</v>
      </c>
      <c r="C136" s="124" t="s">
        <v>704</v>
      </c>
      <c r="D136" s="125"/>
      <c r="E136" s="126">
        <v>0.01</v>
      </c>
      <c r="F136" s="127"/>
      <c r="G136" s="127"/>
      <c r="H136" s="127"/>
      <c r="I136" s="128"/>
      <c r="K136" s="105" t="str">
        <f>IFERROR(__xludf.DUMMYFUNCTION("if(A136="""","""",substitute(SUBSTITUTE(index(importhtml(""http://finviz.com/quote.ashx?t=""&amp;A136,""table"",10),7,2),""*"",""""),""-"",""0.00""))"),"Loading...")</f>
        <v>Loading...</v>
      </c>
      <c r="L136" s="129">
        <v>2.8272395E7</v>
      </c>
      <c r="M136" s="99">
        <v>1.48</v>
      </c>
    </row>
    <row r="137">
      <c r="A137" s="122" t="s">
        <v>705</v>
      </c>
      <c r="B137" s="123">
        <v>1858685.0</v>
      </c>
      <c r="C137" s="124" t="s">
        <v>706</v>
      </c>
      <c r="D137" s="125"/>
      <c r="E137" s="126">
        <v>0.01</v>
      </c>
      <c r="F137" s="127"/>
      <c r="G137" s="127"/>
      <c r="H137" s="127"/>
      <c r="I137" s="128"/>
      <c r="K137" s="105" t="str">
        <f>IFERROR(__xludf.DUMMYFUNCTION("if(A137="""","""",substitute(SUBSTITUTE(index(importhtml(""http://finviz.com/quote.ashx?t=""&amp;A137,""table"",10),7,2),""*"",""""),""-"",""0.00""))"),"Loading...")</f>
        <v>Loading...</v>
      </c>
      <c r="L137" s="129">
        <v>2.931752E7</v>
      </c>
      <c r="M137" s="99" t="e">
        <v>#N/A</v>
      </c>
    </row>
    <row r="138">
      <c r="A138" s="122" t="s">
        <v>707</v>
      </c>
      <c r="B138" s="123">
        <v>1819395.0</v>
      </c>
      <c r="C138" s="124" t="s">
        <v>708</v>
      </c>
      <c r="D138" s="125"/>
      <c r="E138" s="126">
        <v>0.01</v>
      </c>
      <c r="F138" s="127"/>
      <c r="G138" s="127"/>
      <c r="H138" s="127"/>
      <c r="I138" s="128"/>
      <c r="K138" s="105" t="str">
        <f>IFERROR(__xludf.DUMMYFUNCTION("if(A138="""","""",substitute(SUBSTITUTE(index(importhtml(""http://finviz.com/quote.ashx?t=""&amp;A138,""table"",10),7,2),""*"",""""),""-"",""0.00""))"),"Loading...")</f>
        <v>Loading...</v>
      </c>
      <c r="L138" s="129">
        <v>2.9432182E7</v>
      </c>
      <c r="M138" s="99" t="e">
        <v>#N/A</v>
      </c>
    </row>
    <row r="139">
      <c r="A139" s="122" t="s">
        <v>709</v>
      </c>
      <c r="B139" s="123">
        <v>1875609.0</v>
      </c>
      <c r="C139" s="124" t="s">
        <v>710</v>
      </c>
      <c r="D139" s="125"/>
      <c r="E139" s="126">
        <v>0.01</v>
      </c>
      <c r="F139" s="127"/>
      <c r="G139" s="127"/>
      <c r="H139" s="127"/>
      <c r="I139" s="128"/>
      <c r="K139" s="105" t="str">
        <f>IFERROR(__xludf.DUMMYFUNCTION("if(A139="""","""",substitute(SUBSTITUTE(index(importhtml(""http://finviz.com/quote.ashx?t=""&amp;A139,""table"",10),7,2),""*"",""""),""-"",""0.00""))"),"Loading...")</f>
        <v>Loading...</v>
      </c>
      <c r="L139" s="129">
        <v>3.4637179E7</v>
      </c>
      <c r="M139" s="99" t="e">
        <v>#N/A</v>
      </c>
    </row>
    <row r="140">
      <c r="A140" s="122" t="s">
        <v>711</v>
      </c>
      <c r="B140" s="123">
        <v>1498233.0</v>
      </c>
      <c r="C140" s="124" t="s">
        <v>712</v>
      </c>
      <c r="D140" s="125"/>
      <c r="E140" s="126">
        <v>0.01</v>
      </c>
      <c r="F140" s="127"/>
      <c r="G140" s="127"/>
      <c r="H140" s="127"/>
      <c r="I140" s="128"/>
      <c r="K140" s="105" t="str">
        <f>IFERROR(__xludf.DUMMYFUNCTION("if(A140="""","""",substitute(SUBSTITUTE(index(importhtml(""http://finviz.com/quote.ashx?t=""&amp;A140,""table"",10),7,2),""*"",""""),""-"",""0.00""))"),"Loading...")</f>
        <v>Loading...</v>
      </c>
      <c r="L140" s="129">
        <v>4.0885078E7</v>
      </c>
      <c r="M140" s="99" t="e">
        <v>#N/A</v>
      </c>
    </row>
    <row r="141">
      <c r="A141" s="122" t="s">
        <v>713</v>
      </c>
      <c r="B141" s="123">
        <v>1858028.0</v>
      </c>
      <c r="C141" s="124" t="s">
        <v>714</v>
      </c>
      <c r="D141" s="125"/>
      <c r="E141" s="126">
        <v>0.01</v>
      </c>
      <c r="F141" s="127"/>
      <c r="G141" s="127"/>
      <c r="H141" s="127"/>
      <c r="I141" s="128"/>
      <c r="K141" s="105" t="str">
        <f>IFERROR(__xludf.DUMMYFUNCTION("if(A141="""","""",substitute(SUBSTITUTE(index(importhtml(""http://finviz.com/quote.ashx?t=""&amp;A141,""table"",10),7,2),""*"",""""),""-"",""0.00""))"),"Loading...")</f>
        <v>Loading...</v>
      </c>
      <c r="L141" s="129">
        <v>4.114497E7</v>
      </c>
      <c r="M141" s="99" t="e">
        <v>#N/A</v>
      </c>
    </row>
    <row r="142">
      <c r="A142" s="122" t="s">
        <v>715</v>
      </c>
      <c r="B142" s="123">
        <v>1106213.0</v>
      </c>
      <c r="C142" s="124" t="s">
        <v>716</v>
      </c>
      <c r="D142" s="125"/>
      <c r="E142" s="126">
        <v>0.01</v>
      </c>
      <c r="F142" s="127"/>
      <c r="G142" s="127"/>
      <c r="H142" s="127"/>
      <c r="I142" s="128"/>
      <c r="K142" s="105" t="str">
        <f>IFERROR(__xludf.DUMMYFUNCTION("if(A142="""","""",substitute(SUBSTITUTE(index(importhtml(""http://finviz.com/quote.ashx?t=""&amp;A142,""table"",10),7,2),""*"",""""),""-"",""0.00""))"),"Loading...")</f>
        <v>Loading...</v>
      </c>
      <c r="L142" s="129">
        <v>4.152086E7</v>
      </c>
      <c r="M142" s="99">
        <v>0.49</v>
      </c>
    </row>
    <row r="143">
      <c r="A143" s="122" t="s">
        <v>717</v>
      </c>
      <c r="B143" s="123">
        <v>1824884.0</v>
      </c>
      <c r="C143" s="124" t="s">
        <v>718</v>
      </c>
      <c r="D143" s="125"/>
      <c r="E143" s="126">
        <v>0.01</v>
      </c>
      <c r="F143" s="127"/>
      <c r="G143" s="127"/>
      <c r="H143" s="127"/>
      <c r="I143" s="128"/>
      <c r="K143" s="105" t="str">
        <f>IFERROR(__xludf.DUMMYFUNCTION("if(A143="""","""",substitute(SUBSTITUTE(index(importhtml(""http://finviz.com/quote.ashx?t=""&amp;A143,""table"",10),7,2),""*"",""""),""-"",""0.00""))"),"Loading...")</f>
        <v>Loading...</v>
      </c>
      <c r="L143" s="129">
        <v>4.2537432E7</v>
      </c>
      <c r="M143" s="99">
        <v>-3.46</v>
      </c>
    </row>
    <row r="144">
      <c r="A144" s="122" t="s">
        <v>719</v>
      </c>
      <c r="B144" s="123">
        <v>1823086.0</v>
      </c>
      <c r="C144" s="124" t="s">
        <v>720</v>
      </c>
      <c r="D144" s="125"/>
      <c r="E144" s="126">
        <v>0.01</v>
      </c>
      <c r="F144" s="127"/>
      <c r="G144" s="127"/>
      <c r="H144" s="127"/>
      <c r="I144" s="128"/>
      <c r="K144" s="105" t="str">
        <f>IFERROR(__xludf.DUMMYFUNCTION("if(A144="""","""",substitute(SUBSTITUTE(index(importhtml(""http://finviz.com/quote.ashx?t=""&amp;A144,""table"",10),7,2),""*"",""""),""-"",""0.00""))"),"Loading...")</f>
        <v>Loading...</v>
      </c>
      <c r="L144" s="129">
        <v>4.3808E7</v>
      </c>
      <c r="M144" s="99">
        <v>2.02</v>
      </c>
    </row>
    <row r="145">
      <c r="A145" s="122" t="s">
        <v>721</v>
      </c>
      <c r="B145" s="123">
        <v>1854463.0</v>
      </c>
      <c r="C145" s="124" t="s">
        <v>722</v>
      </c>
      <c r="D145" s="125"/>
      <c r="E145" s="126">
        <v>0.01</v>
      </c>
      <c r="F145" s="127"/>
      <c r="G145" s="127"/>
      <c r="H145" s="127"/>
      <c r="I145" s="128"/>
      <c r="K145" s="105" t="str">
        <f>IFERROR(__xludf.DUMMYFUNCTION("if(A145="""","""",substitute(SUBSTITUTE(index(importhtml(""http://finviz.com/quote.ashx?t=""&amp;A145,""table"",10),7,2),""*"",""""),""-"",""0.00""))"),"Loading...")</f>
        <v>Loading...</v>
      </c>
      <c r="L145" s="129">
        <v>4.63728E7</v>
      </c>
      <c r="M145" s="99" t="e">
        <v>#N/A</v>
      </c>
    </row>
    <row r="146">
      <c r="A146" s="122" t="s">
        <v>723</v>
      </c>
      <c r="B146" s="123">
        <v>1785424.0</v>
      </c>
      <c r="C146" s="124" t="s">
        <v>724</v>
      </c>
      <c r="D146" s="125"/>
      <c r="E146" s="126">
        <v>0.01</v>
      </c>
      <c r="F146" s="127"/>
      <c r="G146" s="127"/>
      <c r="H146" s="127"/>
      <c r="I146" s="128"/>
      <c r="K146" s="105" t="str">
        <f>IFERROR(__xludf.DUMMYFUNCTION("if(A146="""","""",substitute(SUBSTITUTE(index(importhtml(""http://finviz.com/quote.ashx?t=""&amp;A146,""table"",10),7,2),""*"",""""),""-"",""0.00""))"),"Loading...")</f>
        <v>Loading...</v>
      </c>
      <c r="L146" s="129">
        <v>4.7481245E7</v>
      </c>
      <c r="M146" s="99">
        <v>1.76</v>
      </c>
    </row>
    <row r="147">
      <c r="A147" s="122" t="s">
        <v>725</v>
      </c>
      <c r="B147" s="123">
        <v>1903464.0</v>
      </c>
      <c r="C147" s="124" t="s">
        <v>726</v>
      </c>
      <c r="D147" s="125"/>
      <c r="E147" s="126">
        <v>0.01</v>
      </c>
      <c r="F147" s="127"/>
      <c r="G147" s="127"/>
      <c r="H147" s="127"/>
      <c r="I147" s="128"/>
      <c r="K147" s="105" t="str">
        <f>IFERROR(__xludf.DUMMYFUNCTION("if(A147="""","""",substitute(SUBSTITUTE(index(importhtml(""http://finviz.com/quote.ashx?t=""&amp;A147,""table"",10),7,2),""*"",""""),""-"",""0.00""))"),"Loading...")</f>
        <v>Loading...</v>
      </c>
      <c r="L147" s="129">
        <v>4.9348E7</v>
      </c>
      <c r="M147" s="99" t="e">
        <v>#N/A</v>
      </c>
    </row>
    <row r="148">
      <c r="A148" s="122" t="s">
        <v>727</v>
      </c>
      <c r="B148" s="123">
        <v>1896049.0</v>
      </c>
      <c r="C148" s="124" t="s">
        <v>728</v>
      </c>
      <c r="D148" s="125"/>
      <c r="E148" s="126">
        <v>0.01</v>
      </c>
      <c r="F148" s="127"/>
      <c r="G148" s="127"/>
      <c r="H148" s="127"/>
      <c r="I148" s="128"/>
      <c r="K148" s="105" t="str">
        <f>IFERROR(__xludf.DUMMYFUNCTION("if(A148="""","""",substitute(SUBSTITUTE(index(importhtml(""http://finviz.com/quote.ashx?t=""&amp;A148,""table"",10),7,2),""*"",""""),""-"",""0.00""))"),"Loading...")</f>
        <v>Loading...</v>
      </c>
      <c r="L148" s="129">
        <v>5.1546564E7</v>
      </c>
      <c r="M148" s="99" t="e">
        <v>#N/A</v>
      </c>
    </row>
    <row r="149">
      <c r="A149" s="122" t="s">
        <v>729</v>
      </c>
      <c r="B149" s="123">
        <v>1462223.0</v>
      </c>
      <c r="C149" s="124" t="s">
        <v>730</v>
      </c>
      <c r="D149" s="125"/>
      <c r="E149" s="126">
        <v>0.01</v>
      </c>
      <c r="F149" s="127"/>
      <c r="G149" s="127"/>
      <c r="H149" s="127"/>
      <c r="I149" s="128"/>
      <c r="K149" s="105" t="str">
        <f>IFERROR(__xludf.DUMMYFUNCTION("if(A149="""","""",substitute(SUBSTITUTE(index(importhtml(""http://finviz.com/quote.ashx?t=""&amp;A149,""table"",10),7,2),""*"",""""),""-"",""0.00""))"),"Loading...")</f>
        <v>Loading...</v>
      </c>
      <c r="L149" s="129">
        <v>5.674216E7</v>
      </c>
      <c r="M149" s="99" t="e">
        <v>#N/A</v>
      </c>
    </row>
    <row r="150">
      <c r="A150" s="122" t="s">
        <v>731</v>
      </c>
      <c r="B150" s="123">
        <v>1876431.0</v>
      </c>
      <c r="C150" s="124" t="s">
        <v>732</v>
      </c>
      <c r="D150" s="125"/>
      <c r="E150" s="126">
        <v>0.01</v>
      </c>
      <c r="F150" s="127"/>
      <c r="G150" s="127"/>
      <c r="H150" s="127"/>
      <c r="I150" s="128"/>
      <c r="K150" s="105" t="str">
        <f>IFERROR(__xludf.DUMMYFUNCTION("if(A150="""","""",substitute(SUBSTITUTE(index(importhtml(""http://finviz.com/quote.ashx?t=""&amp;A150,""table"",10),7,2),""*"",""""),""-"",""0.00""))"),"Loading...")</f>
        <v>Loading...</v>
      </c>
      <c r="L150" s="129">
        <v>5.9970416E7</v>
      </c>
      <c r="M150" s="99" t="e">
        <v>#N/A</v>
      </c>
    </row>
    <row r="151">
      <c r="A151" s="122" t="s">
        <v>733</v>
      </c>
      <c r="B151" s="123">
        <v>1481028.0</v>
      </c>
      <c r="C151" s="124" t="s">
        <v>734</v>
      </c>
      <c r="D151" s="125"/>
      <c r="E151" s="126">
        <v>0.01</v>
      </c>
      <c r="F151" s="127"/>
      <c r="G151" s="127"/>
      <c r="H151" s="127"/>
      <c r="I151" s="128"/>
      <c r="K151" s="105" t="str">
        <f>IFERROR(__xludf.DUMMYFUNCTION("if(A151="""","""",substitute(SUBSTITUTE(index(importhtml(""http://finviz.com/quote.ashx?t=""&amp;A151,""table"",10),7,2),""*"",""""),""-"",""0.00""))"),"Loading...")</f>
        <v>Loading...</v>
      </c>
      <c r="L151" s="129">
        <v>6.3087322E7</v>
      </c>
      <c r="M151" s="99">
        <v>3.74</v>
      </c>
    </row>
    <row r="152">
      <c r="A152" s="122" t="s">
        <v>735</v>
      </c>
      <c r="B152" s="123">
        <v>1847607.0</v>
      </c>
      <c r="C152" s="124" t="s">
        <v>736</v>
      </c>
      <c r="D152" s="125"/>
      <c r="E152" s="126">
        <v>0.01</v>
      </c>
      <c r="F152" s="127"/>
      <c r="G152" s="127"/>
      <c r="H152" s="127"/>
      <c r="I152" s="128"/>
      <c r="K152" s="105" t="str">
        <f>IFERROR(__xludf.DUMMYFUNCTION("if(A152="""","""",substitute(SUBSTITUTE(index(importhtml(""http://finviz.com/quote.ashx?t=""&amp;A152,""table"",10),7,2),""*"",""""),""-"",""0.00""))"),"Loading...")</f>
        <v>Loading...</v>
      </c>
      <c r="L152" s="129">
        <v>7.728937E7</v>
      </c>
      <c r="M152" s="99" t="e">
        <v>#N/A</v>
      </c>
    </row>
    <row r="153">
      <c r="A153" s="122" t="s">
        <v>737</v>
      </c>
      <c r="B153" s="123">
        <v>1855693.0</v>
      </c>
      <c r="C153" s="124" t="s">
        <v>738</v>
      </c>
      <c r="D153" s="125"/>
      <c r="E153" s="126">
        <v>0.01</v>
      </c>
      <c r="F153" s="127"/>
      <c r="G153" s="127"/>
      <c r="H153" s="127"/>
      <c r="I153" s="128"/>
      <c r="K153" s="105" t="str">
        <f>IFERROR(__xludf.DUMMYFUNCTION("if(A153="""","""",substitute(SUBSTITUTE(index(importhtml(""http://finviz.com/quote.ashx?t=""&amp;A153,""table"",10),7,2),""*"",""""),""-"",""0.00""))"),"Loading...")</f>
        <v>Loading...</v>
      </c>
      <c r="L153" s="129">
        <v>8.731343E7</v>
      </c>
      <c r="M153" s="99" t="e">
        <v>#N/A</v>
      </c>
    </row>
    <row r="154">
      <c r="A154" s="122" t="s">
        <v>739</v>
      </c>
      <c r="B154" s="123">
        <v>1832765.0</v>
      </c>
      <c r="C154" s="124" t="s">
        <v>740</v>
      </c>
      <c r="D154" s="125"/>
      <c r="E154" s="126">
        <v>0.01</v>
      </c>
      <c r="F154" s="127"/>
      <c r="G154" s="127"/>
      <c r="H154" s="127"/>
      <c r="I154" s="128"/>
      <c r="K154" s="105" t="str">
        <f>IFERROR(__xludf.DUMMYFUNCTION("if(A154="""","""",substitute(SUBSTITUTE(index(importhtml(""http://finviz.com/quote.ashx?t=""&amp;A154,""table"",10),7,2),""*"",""""),""-"",""0.00""))"),"Loading...")</f>
        <v>Loading...</v>
      </c>
      <c r="L154" s="129">
        <v>8.855255E7</v>
      </c>
      <c r="M154" s="99" t="e">
        <v>#N/A</v>
      </c>
    </row>
    <row r="155">
      <c r="A155" s="122" t="s">
        <v>741</v>
      </c>
      <c r="B155" s="123">
        <v>1865111.0</v>
      </c>
      <c r="C155" s="124" t="s">
        <v>742</v>
      </c>
      <c r="D155" s="125"/>
      <c r="E155" s="126">
        <v>0.01</v>
      </c>
      <c r="F155" s="127"/>
      <c r="G155" s="127"/>
      <c r="H155" s="127"/>
      <c r="I155" s="128"/>
      <c r="K155" s="105" t="str">
        <f>IFERROR(__xludf.DUMMYFUNCTION("if(A155="""","""",substitute(SUBSTITUTE(index(importhtml(""http://finviz.com/quote.ashx?t=""&amp;A155,""table"",10),7,2),""*"",""""),""-"",""0.00""))"),"Loading...")</f>
        <v>Loading...</v>
      </c>
      <c r="L155" s="129">
        <v>1.00492571E8</v>
      </c>
      <c r="M155" s="99" t="e">
        <v>#N/A</v>
      </c>
    </row>
    <row r="156">
      <c r="A156" s="122" t="s">
        <v>743</v>
      </c>
      <c r="B156" s="123">
        <v>1857855.0</v>
      </c>
      <c r="C156" s="124" t="s">
        <v>744</v>
      </c>
      <c r="D156" s="125"/>
      <c r="E156" s="126">
        <v>0.01</v>
      </c>
      <c r="F156" s="127"/>
      <c r="G156" s="127"/>
      <c r="H156" s="127"/>
      <c r="I156" s="128"/>
      <c r="K156" s="105" t="str">
        <f>IFERROR(__xludf.DUMMYFUNCTION("if(A156="""","""",substitute(SUBSTITUTE(index(importhtml(""http://finviz.com/quote.ashx?t=""&amp;A156,""table"",10),7,2),""*"",""""),""-"",""0.00""))"),"Loading...")</f>
        <v>Loading...</v>
      </c>
      <c r="L156" s="129">
        <v>1.01307E8</v>
      </c>
      <c r="M156" s="99" t="e">
        <v>#N/A</v>
      </c>
    </row>
    <row r="157">
      <c r="A157" s="122" t="s">
        <v>745</v>
      </c>
      <c r="B157" s="123">
        <v>1817565.0</v>
      </c>
      <c r="C157" s="124" t="s">
        <v>746</v>
      </c>
      <c r="D157" s="125"/>
      <c r="E157" s="126">
        <v>0.01</v>
      </c>
      <c r="F157" s="127"/>
      <c r="G157" s="127"/>
      <c r="H157" s="127"/>
      <c r="I157" s="128"/>
      <c r="K157" s="105" t="str">
        <f>IFERROR(__xludf.DUMMYFUNCTION("if(A157="""","""",substitute(SUBSTITUTE(index(importhtml(""http://finviz.com/quote.ashx?t=""&amp;A157,""table"",10),7,2),""*"",""""),""-"",""0.00""))"),"Loading...")</f>
        <v>Loading...</v>
      </c>
      <c r="L157" s="129">
        <v>1.474545E8</v>
      </c>
      <c r="M157" s="99" t="e">
        <v>#N/A</v>
      </c>
    </row>
    <row r="158">
      <c r="A158" s="122" t="s">
        <v>747</v>
      </c>
      <c r="B158" s="123">
        <v>1895249.0</v>
      </c>
      <c r="C158" s="124" t="s">
        <v>748</v>
      </c>
      <c r="D158" s="125"/>
      <c r="E158" s="126">
        <v>0.01</v>
      </c>
      <c r="F158" s="127"/>
      <c r="G158" s="127"/>
      <c r="H158" s="127"/>
      <c r="I158" s="128"/>
      <c r="K158" s="105" t="str">
        <f>IFERROR(__xludf.DUMMYFUNCTION("if(A158="""","""",substitute(SUBSTITUTE(index(importhtml(""http://finviz.com/quote.ashx?t=""&amp;A158,""table"",10),7,2),""*"",""""),""-"",""0.00""))"),"Loading...")</f>
        <v>Loading...</v>
      </c>
      <c r="L158" s="129">
        <v>2.07455102E8</v>
      </c>
      <c r="M158" s="99" t="e">
        <v>#N/A</v>
      </c>
    </row>
    <row r="159">
      <c r="A159" s="122" t="s">
        <v>749</v>
      </c>
      <c r="B159" s="123">
        <v>1098009.0</v>
      </c>
      <c r="C159" s="124" t="s">
        <v>750</v>
      </c>
      <c r="D159" s="125"/>
      <c r="E159" s="126">
        <v>0.01</v>
      </c>
      <c r="F159" s="127"/>
      <c r="G159" s="127"/>
      <c r="H159" s="127"/>
      <c r="I159" s="128"/>
      <c r="K159" s="105" t="str">
        <f>IFERROR(__xludf.DUMMYFUNCTION("if(A159="""","""",substitute(SUBSTITUTE(index(importhtml(""http://finviz.com/quote.ashx?t=""&amp;A159,""table"",10),7,2),""*"",""""),""-"",""0.00""))"),"Loading...")</f>
        <v>Loading...</v>
      </c>
      <c r="L159" s="129">
        <v>2.32177218E8</v>
      </c>
      <c r="M159" s="99">
        <v>3.23</v>
      </c>
    </row>
    <row r="160">
      <c r="A160" s="122" t="s">
        <v>751</v>
      </c>
      <c r="B160" s="123">
        <v>1673362.0</v>
      </c>
      <c r="C160" s="124" t="s">
        <v>752</v>
      </c>
      <c r="D160" s="125"/>
      <c r="E160" s="126">
        <v>0.01</v>
      </c>
      <c r="F160" s="127"/>
      <c r="G160" s="127"/>
      <c r="H160" s="127"/>
      <c r="I160" s="128"/>
      <c r="K160" s="105" t="str">
        <f>IFERROR(__xludf.DUMMYFUNCTION("if(A160="""","""",substitute(SUBSTITUTE(index(importhtml(""http://finviz.com/quote.ashx?t=""&amp;A160,""table"",10),7,2),""*"",""""),""-"",""0.00""))"),"Loading...")</f>
        <v>Loading...</v>
      </c>
      <c r="L160" s="129" t="e">
        <v>#N/A</v>
      </c>
      <c r="M160" s="99">
        <v>-4.48</v>
      </c>
    </row>
    <row r="161">
      <c r="A161" s="122" t="s">
        <v>753</v>
      </c>
      <c r="B161" s="123">
        <v>1432290.0</v>
      </c>
      <c r="C161" s="124" t="s">
        <v>754</v>
      </c>
      <c r="D161" s="125"/>
      <c r="E161" s="126">
        <v>0.01</v>
      </c>
      <c r="F161" s="127"/>
      <c r="G161" s="127"/>
      <c r="H161" s="127"/>
      <c r="I161" s="128"/>
      <c r="K161" s="105" t="str">
        <f>IFERROR(__xludf.DUMMYFUNCTION("if(A161="""","""",substitute(SUBSTITUTE(index(importhtml(""http://finviz.com/quote.ashx?t=""&amp;A161,""table"",10),7,2),""*"",""""),""-"",""0.00""))"),"Loading...")</f>
        <v>Loading...</v>
      </c>
      <c r="L161" s="129" t="e">
        <v>#N/A</v>
      </c>
      <c r="M161" s="99">
        <v>-1.66</v>
      </c>
    </row>
    <row r="162">
      <c r="A162" s="122" t="s">
        <v>755</v>
      </c>
      <c r="B162" s="123">
        <v>1886958.0</v>
      </c>
      <c r="C162" s="124" t="s">
        <v>756</v>
      </c>
      <c r="D162" s="125"/>
      <c r="E162" s="126">
        <v>0.01</v>
      </c>
      <c r="F162" s="127"/>
      <c r="G162" s="127"/>
      <c r="H162" s="127"/>
      <c r="I162" s="128"/>
      <c r="K162" s="105" t="str">
        <f>IFERROR(__xludf.DUMMYFUNCTION("if(A162="""","""",substitute(SUBSTITUTE(index(importhtml(""http://finviz.com/quote.ashx?t=""&amp;A162,""table"",10),7,2),""*"",""""),""-"",""0.00""))"),"Loading...")</f>
        <v>Loading...</v>
      </c>
      <c r="L162" s="129" t="e">
        <v>#N/A</v>
      </c>
      <c r="M162" s="99">
        <v>0.43</v>
      </c>
    </row>
    <row r="163">
      <c r="A163" s="122" t="s">
        <v>757</v>
      </c>
      <c r="B163" s="123">
        <v>1069680.0</v>
      </c>
      <c r="C163" s="124" t="s">
        <v>758</v>
      </c>
      <c r="D163" s="125"/>
      <c r="E163" s="126">
        <v>0.01</v>
      </c>
      <c r="F163" s="127"/>
      <c r="G163" s="127"/>
      <c r="H163" s="127"/>
      <c r="I163" s="128"/>
      <c r="K163" s="105" t="str">
        <f>IFERROR(__xludf.DUMMYFUNCTION("if(A163="""","""",substitute(SUBSTITUTE(index(importhtml(""http://finviz.com/quote.ashx?t=""&amp;A163,""table"",10),7,2),""*"",""""),""-"",""0.00""))"),"Loading...")</f>
        <v>Loading...</v>
      </c>
      <c r="L163" s="129" t="e">
        <v>#N/A</v>
      </c>
      <c r="M163" s="99">
        <v>0.63</v>
      </c>
    </row>
    <row r="164">
      <c r="A164" s="122" t="s">
        <v>759</v>
      </c>
      <c r="B164" s="123">
        <v>925741.0</v>
      </c>
      <c r="C164" s="124" t="s">
        <v>760</v>
      </c>
      <c r="D164" s="125"/>
      <c r="E164" s="126">
        <v>0.01</v>
      </c>
      <c r="F164" s="127"/>
      <c r="G164" s="127"/>
      <c r="H164" s="127"/>
      <c r="I164" s="128"/>
      <c r="K164" s="105" t="str">
        <f>IFERROR(__xludf.DUMMYFUNCTION("if(A164="""","""",substitute(SUBSTITUTE(index(importhtml(""http://finviz.com/quote.ashx?t=""&amp;A164,""table"",10),7,2),""*"",""""),""-"",""0.00""))"),"Loading...")</f>
        <v>Loading...</v>
      </c>
      <c r="L164" s="129" t="e">
        <v>#N/A</v>
      </c>
      <c r="M164" s="99">
        <v>1.38</v>
      </c>
    </row>
    <row r="165">
      <c r="A165" s="122" t="s">
        <v>761</v>
      </c>
      <c r="B165" s="123">
        <v>1713539.0</v>
      </c>
      <c r="C165" s="124" t="s">
        <v>762</v>
      </c>
      <c r="D165" s="125"/>
      <c r="E165" s="126">
        <v>0.01</v>
      </c>
      <c r="F165" s="127"/>
      <c r="G165" s="127"/>
      <c r="H165" s="127"/>
      <c r="I165" s="128"/>
      <c r="K165" s="105" t="str">
        <f>IFERROR(__xludf.DUMMYFUNCTION("if(A165="""","""",substitute(SUBSTITUTE(index(importhtml(""http://finviz.com/quote.ashx?t=""&amp;A165,""table"",10),7,2),""*"",""""),""-"",""0.00""))"),"Loading...")</f>
        <v>Loading...</v>
      </c>
      <c r="L165" s="129" t="e">
        <v>#N/A</v>
      </c>
      <c r="M165" s="99">
        <v>1.57</v>
      </c>
    </row>
    <row r="166">
      <c r="A166" s="122" t="s">
        <v>763</v>
      </c>
      <c r="B166" s="123">
        <v>1002771.0</v>
      </c>
      <c r="C166" s="124" t="s">
        <v>764</v>
      </c>
      <c r="D166" s="125"/>
      <c r="E166" s="126">
        <v>0.01</v>
      </c>
      <c r="F166" s="127"/>
      <c r="G166" s="127"/>
      <c r="H166" s="127"/>
      <c r="I166" s="128"/>
      <c r="K166" s="105" t="str">
        <f>IFERROR(__xludf.DUMMYFUNCTION("if(A166="""","""",substitute(SUBSTITUTE(index(importhtml(""http://finviz.com/quote.ashx?t=""&amp;A166,""table"",10),7,2),""*"",""""),""-"",""0.00""))"),"Loading...")</f>
        <v>Loading...</v>
      </c>
      <c r="L166" s="129" t="e">
        <v>#N/A</v>
      </c>
      <c r="M166" s="99">
        <v>1.78</v>
      </c>
    </row>
    <row r="167">
      <c r="A167" s="122" t="s">
        <v>765</v>
      </c>
      <c r="B167" s="123">
        <v>1339205.0</v>
      </c>
      <c r="C167" s="124" t="s">
        <v>766</v>
      </c>
      <c r="D167" s="125"/>
      <c r="E167" s="126">
        <v>0.01</v>
      </c>
      <c r="F167" s="127"/>
      <c r="G167" s="127"/>
      <c r="H167" s="127"/>
      <c r="I167" s="128"/>
      <c r="K167" s="105" t="str">
        <f>IFERROR(__xludf.DUMMYFUNCTION("if(A167="""","""",substitute(SUBSTITUTE(index(importhtml(""http://finviz.com/quote.ashx?t=""&amp;A167,""table"",10),7,2),""*"",""""),""-"",""0.00""))"),"Loading...")</f>
        <v>Loading...</v>
      </c>
      <c r="L167" s="129" t="e">
        <v>#N/A</v>
      </c>
      <c r="M167" s="99">
        <v>2.12</v>
      </c>
    </row>
    <row r="168">
      <c r="A168" s="122" t="s">
        <v>767</v>
      </c>
      <c r="B168" s="123">
        <v>1726286.0</v>
      </c>
      <c r="C168" s="124" t="s">
        <v>768</v>
      </c>
      <c r="D168" s="125"/>
      <c r="E168" s="126">
        <v>0.01</v>
      </c>
      <c r="F168" s="127"/>
      <c r="G168" s="127"/>
      <c r="H168" s="127"/>
      <c r="I168" s="128"/>
      <c r="K168" s="105" t="str">
        <f>IFERROR(__xludf.DUMMYFUNCTION("if(A168="""","""",substitute(SUBSTITUTE(index(importhtml(""http://finviz.com/quote.ashx?t=""&amp;A168,""table"",10),7,2),""*"",""""),""-"",""0.00""))"),"Loading...")</f>
        <v>Loading...</v>
      </c>
      <c r="L168" s="129" t="e">
        <v>#N/A</v>
      </c>
      <c r="M168" s="99">
        <v>2.73</v>
      </c>
    </row>
    <row r="169">
      <c r="A169" s="122" t="s">
        <v>769</v>
      </c>
      <c r="B169" s="123">
        <v>1822529.0</v>
      </c>
      <c r="C169" s="124" t="s">
        <v>770</v>
      </c>
      <c r="D169" s="125"/>
      <c r="E169" s="126">
        <v>0.01</v>
      </c>
      <c r="F169" s="127"/>
      <c r="G169" s="127"/>
      <c r="H169" s="127"/>
      <c r="I169" s="128"/>
      <c r="K169" s="105" t="str">
        <f>IFERROR(__xludf.DUMMYFUNCTION("if(A169="""","""",substitute(SUBSTITUTE(index(importhtml(""http://finviz.com/quote.ashx?t=""&amp;A169,""table"",10),7,2),""*"",""""),""-"",""0.00""))"),"Loading...")</f>
        <v>Loading...</v>
      </c>
      <c r="L169" s="129" t="e">
        <v>#N/A</v>
      </c>
      <c r="M169" s="99">
        <v>2.76</v>
      </c>
    </row>
    <row r="170">
      <c r="A170" s="122" t="s">
        <v>771</v>
      </c>
      <c r="B170" s="123">
        <v>1863976.0</v>
      </c>
      <c r="C170" s="124" t="s">
        <v>772</v>
      </c>
      <c r="D170" s="125"/>
      <c r="E170" s="126">
        <v>0.01</v>
      </c>
      <c r="F170" s="127"/>
      <c r="G170" s="127"/>
      <c r="H170" s="127"/>
      <c r="I170" s="128"/>
      <c r="K170" s="105" t="str">
        <f>IFERROR(__xludf.DUMMYFUNCTION("if(A170="""","""",substitute(SUBSTITUTE(index(importhtml(""http://finviz.com/quote.ashx?t=""&amp;A170,""table"",10),7,2),""*"",""""),""-"",""0.00""))"),"Loading...")</f>
        <v>Loading...</v>
      </c>
      <c r="L170" s="129" t="e">
        <v>#N/A</v>
      </c>
      <c r="M170" s="99">
        <v>3.3</v>
      </c>
    </row>
    <row r="171">
      <c r="A171" s="122" t="s">
        <v>773</v>
      </c>
      <c r="B171" s="123">
        <v>1486297.0</v>
      </c>
      <c r="C171" s="124" t="s">
        <v>774</v>
      </c>
      <c r="D171" s="125"/>
      <c r="E171" s="126">
        <v>0.01</v>
      </c>
      <c r="F171" s="127"/>
      <c r="G171" s="127"/>
      <c r="H171" s="127"/>
      <c r="I171" s="128"/>
      <c r="K171" s="105" t="str">
        <f>IFERROR(__xludf.DUMMYFUNCTION("if(A171="""","""",substitute(SUBSTITUTE(index(importhtml(""http://finviz.com/quote.ashx?t=""&amp;A171,""table"",10),7,2),""*"",""""),""-"",""0.00""))"),"Loading...")</f>
        <v>Loading...</v>
      </c>
      <c r="L171" s="129" t="e">
        <v>#N/A</v>
      </c>
      <c r="M171" s="99">
        <v>3.42</v>
      </c>
    </row>
    <row r="172">
      <c r="A172" s="122" t="s">
        <v>775</v>
      </c>
      <c r="B172" s="123">
        <v>1498372.0</v>
      </c>
      <c r="C172" s="124" t="s">
        <v>776</v>
      </c>
      <c r="D172" s="125"/>
      <c r="E172" s="126">
        <v>0.01</v>
      </c>
      <c r="F172" s="127"/>
      <c r="G172" s="127"/>
      <c r="H172" s="127"/>
      <c r="I172" s="128"/>
      <c r="K172" s="105" t="str">
        <f>IFERROR(__xludf.DUMMYFUNCTION("if(A172="""","""",substitute(SUBSTITUTE(index(importhtml(""http://finviz.com/quote.ashx?t=""&amp;A172,""table"",10),7,2),""*"",""""),""-"",""0.00""))"),"Loading...")</f>
        <v>Loading...</v>
      </c>
      <c r="L172" s="129" t="e">
        <v>#N/A</v>
      </c>
      <c r="M172" s="99">
        <v>3.61</v>
      </c>
    </row>
    <row r="173">
      <c r="A173" s="122" t="s">
        <v>777</v>
      </c>
      <c r="B173" s="123">
        <v>1898798.0</v>
      </c>
      <c r="C173" s="124" t="s">
        <v>778</v>
      </c>
      <c r="D173" s="125"/>
      <c r="E173" s="126">
        <v>0.01</v>
      </c>
      <c r="F173" s="127"/>
      <c r="G173" s="127"/>
      <c r="H173" s="127"/>
      <c r="I173" s="128"/>
      <c r="K173" s="105" t="str">
        <f>IFERROR(__xludf.DUMMYFUNCTION("if(A173="""","""",substitute(SUBSTITUTE(index(importhtml(""http://finviz.com/quote.ashx?t=""&amp;A173,""table"",10),7,2),""*"",""""),""-"",""0.00""))"),"Loading...")</f>
        <v>Loading...</v>
      </c>
      <c r="L173" s="129" t="e">
        <v>#N/A</v>
      </c>
      <c r="M173" s="99">
        <v>4.14</v>
      </c>
    </row>
    <row r="174">
      <c r="A174" s="122" t="s">
        <v>779</v>
      </c>
      <c r="B174" s="123">
        <v>1825270.0</v>
      </c>
      <c r="C174" s="124" t="s">
        <v>780</v>
      </c>
      <c r="D174" s="125"/>
      <c r="E174" s="126">
        <v>0.01</v>
      </c>
      <c r="F174" s="127"/>
      <c r="G174" s="127"/>
      <c r="H174" s="127"/>
      <c r="I174" s="128"/>
      <c r="K174" s="105" t="str">
        <f>IFERROR(__xludf.DUMMYFUNCTION("if(A174="""","""",substitute(SUBSTITUTE(index(importhtml(""http://finviz.com/quote.ashx?t=""&amp;A174,""table"",10),7,2),""*"",""""),""-"",""0.00""))"),"Loading...")</f>
        <v>Loading...</v>
      </c>
      <c r="L174" s="129" t="e">
        <v>#N/A</v>
      </c>
      <c r="M174" s="99">
        <v>4.17</v>
      </c>
    </row>
    <row r="175">
      <c r="A175" s="122" t="s">
        <v>781</v>
      </c>
      <c r="B175" s="123">
        <v>1073489.0</v>
      </c>
      <c r="C175" s="124" t="s">
        <v>782</v>
      </c>
      <c r="D175" s="125"/>
      <c r="E175" s="126">
        <v>0.01</v>
      </c>
      <c r="F175" s="127"/>
      <c r="G175" s="127"/>
      <c r="H175" s="127"/>
      <c r="I175" s="128"/>
      <c r="K175" s="105" t="str">
        <f>IFERROR(__xludf.DUMMYFUNCTION("if(A175="""","""",substitute(SUBSTITUTE(index(importhtml(""http://finviz.com/quote.ashx?t=""&amp;A175,""table"",10),7,2),""*"",""""),""-"",""0.00""))"),"Loading...")</f>
        <v>Loading...</v>
      </c>
      <c r="L175" s="129" t="e">
        <v>#N/A</v>
      </c>
      <c r="M175" s="99">
        <v>8.41</v>
      </c>
    </row>
    <row r="176">
      <c r="A176" s="122" t="s">
        <v>783</v>
      </c>
      <c r="B176" s="123">
        <v>1507713.0</v>
      </c>
      <c r="C176" s="124" t="s">
        <v>784</v>
      </c>
      <c r="D176" s="125"/>
      <c r="E176" s="126">
        <v>0.01</v>
      </c>
      <c r="F176" s="127"/>
      <c r="G176" s="127"/>
      <c r="H176" s="127"/>
      <c r="I176" s="128"/>
      <c r="K176" s="105" t="str">
        <f>IFERROR(__xludf.DUMMYFUNCTION("if(A176="""","""",substitute(SUBSTITUTE(index(importhtml(""http://finviz.com/quote.ashx?t=""&amp;A176,""table"",10),7,2),""*"",""""),""-"",""0.00""))"),"Loading...")</f>
        <v>Loading...</v>
      </c>
      <c r="L176" s="129" t="e">
        <v>#N/A</v>
      </c>
      <c r="M176" s="99" t="e">
        <v>#N/A</v>
      </c>
    </row>
    <row r="177">
      <c r="A177" s="122" t="s">
        <v>785</v>
      </c>
      <c r="B177" s="123">
        <v>42050.0</v>
      </c>
      <c r="C177" s="124" t="s">
        <v>786</v>
      </c>
      <c r="D177" s="125"/>
      <c r="E177" s="126">
        <v>0.01</v>
      </c>
      <c r="F177" s="127"/>
      <c r="G177" s="127"/>
      <c r="H177" s="127"/>
      <c r="I177" s="128"/>
      <c r="K177" s="105" t="str">
        <f>IFERROR(__xludf.DUMMYFUNCTION("if(A177="""","""",substitute(SUBSTITUTE(index(importhtml(""http://finviz.com/quote.ashx?t=""&amp;A177,""table"",10),7,2),""*"",""""),""-"",""0.00""))"),"Loading...")</f>
        <v>Loading...</v>
      </c>
      <c r="L177" s="129" t="e">
        <v>#N/A</v>
      </c>
      <c r="M177" s="99" t="e">
        <v>#N/A</v>
      </c>
    </row>
    <row r="178">
      <c r="A178" s="122" t="s">
        <v>787</v>
      </c>
      <c r="B178" s="123">
        <v>1424182.0</v>
      </c>
      <c r="C178" s="124" t="s">
        <v>788</v>
      </c>
      <c r="D178" s="125"/>
      <c r="E178" s="126">
        <v>0.02</v>
      </c>
      <c r="F178" s="127"/>
      <c r="G178" s="127"/>
      <c r="H178" s="127"/>
      <c r="I178" s="128"/>
      <c r="K178" s="55" t="s">
        <v>789</v>
      </c>
      <c r="L178" s="129">
        <v>3.5057886E7</v>
      </c>
      <c r="M178" s="99" t="e">
        <v>#N/A</v>
      </c>
    </row>
    <row r="179">
      <c r="A179" s="122" t="s">
        <v>790</v>
      </c>
      <c r="B179" s="123">
        <v>928953.0</v>
      </c>
      <c r="C179" s="124" t="s">
        <v>791</v>
      </c>
      <c r="D179" s="125"/>
      <c r="E179" s="126">
        <v>0.02</v>
      </c>
      <c r="F179" s="127"/>
      <c r="G179" s="127"/>
      <c r="H179" s="127"/>
      <c r="I179" s="128"/>
      <c r="K179" s="105" t="str">
        <f>IFERROR(__xludf.DUMMYFUNCTION("if(A179="""","""",substitute(SUBSTITUTE(index(importhtml(""http://finviz.com/quote.ashx?t=""&amp;A179,""table"",10),7,2),""*"",""""),""-"",""0.00""))"),"Loading...")</f>
        <v>Loading...</v>
      </c>
      <c r="L179" s="129">
        <v>13140.0</v>
      </c>
      <c r="M179" s="130" t="e">
        <v>#N/A</v>
      </c>
    </row>
    <row r="180">
      <c r="A180" s="122" t="s">
        <v>792</v>
      </c>
      <c r="B180" s="123">
        <v>737207.0</v>
      </c>
      <c r="C180" s="124" t="s">
        <v>793</v>
      </c>
      <c r="D180" s="125"/>
      <c r="E180" s="126">
        <v>0.02</v>
      </c>
      <c r="F180" s="127"/>
      <c r="G180" s="127"/>
      <c r="H180" s="127"/>
      <c r="I180" s="128"/>
      <c r="K180" s="105" t="str">
        <f>IFERROR(__xludf.DUMMYFUNCTION("if(A180="""","""",substitute(SUBSTITUTE(index(importhtml(""http://finviz.com/quote.ashx?t=""&amp;A180,""table"",10),7,2),""*"",""""),""-"",""0.00""))"),"Loading...")</f>
        <v>Loading...</v>
      </c>
      <c r="L180" s="129">
        <v>81232.0</v>
      </c>
      <c r="M180" s="99">
        <v>-0.03</v>
      </c>
    </row>
    <row r="181">
      <c r="A181" s="122" t="s">
        <v>794</v>
      </c>
      <c r="B181" s="123">
        <v>813716.0</v>
      </c>
      <c r="C181" s="124" t="s">
        <v>795</v>
      </c>
      <c r="D181" s="125"/>
      <c r="E181" s="126">
        <v>0.02</v>
      </c>
      <c r="F181" s="127"/>
      <c r="G181" s="127"/>
      <c r="H181" s="127"/>
      <c r="I181" s="128"/>
      <c r="K181" s="105" t="str">
        <f>IFERROR(__xludf.DUMMYFUNCTION("if(A181="""","""",substitute(SUBSTITUTE(index(importhtml(""http://finviz.com/quote.ashx?t=""&amp;A181,""table"",10),7,2),""*"",""""),""-"",""0.00""))"),"Loading...")</f>
        <v>Loading...</v>
      </c>
      <c r="L181" s="129">
        <v>114239.0</v>
      </c>
      <c r="M181" s="99">
        <v>-0.21</v>
      </c>
    </row>
    <row r="182">
      <c r="A182" s="122" t="s">
        <v>796</v>
      </c>
      <c r="B182" s="123">
        <v>918545.0</v>
      </c>
      <c r="C182" s="124" t="s">
        <v>797</v>
      </c>
      <c r="D182" s="125"/>
      <c r="E182" s="126">
        <v>0.02</v>
      </c>
      <c r="F182" s="127"/>
      <c r="G182" s="127"/>
      <c r="H182" s="127"/>
      <c r="I182" s="128"/>
      <c r="K182" s="105" t="str">
        <f>IFERROR(__xludf.DUMMYFUNCTION("if(A182="""","""",substitute(SUBSTITUTE(index(importhtml(""http://finviz.com/quote.ashx?t=""&amp;A182,""table"",10),7,2),""*"",""""),""-"",""0.00""))"),"Loading...")</f>
        <v>Loading...</v>
      </c>
      <c r="L182" s="129">
        <v>175610.0</v>
      </c>
      <c r="M182" s="99">
        <v>-1.47</v>
      </c>
    </row>
    <row r="183">
      <c r="A183" s="122" t="s">
        <v>798</v>
      </c>
      <c r="B183" s="123">
        <v>1515251.0</v>
      </c>
      <c r="C183" s="124" t="s">
        <v>799</v>
      </c>
      <c r="D183" s="125"/>
      <c r="E183" s="126">
        <v>0.02</v>
      </c>
      <c r="F183" s="127"/>
      <c r="G183" s="127"/>
      <c r="H183" s="127"/>
      <c r="I183" s="128"/>
      <c r="K183" s="105" t="str">
        <f>IFERROR(__xludf.DUMMYFUNCTION("if(A183="""","""",substitute(SUBSTITUTE(index(importhtml(""http://finviz.com/quote.ashx?t=""&amp;A183,""table"",10),7,2),""*"",""""),""-"",""0.00""))"),"Loading...")</f>
        <v>Loading...</v>
      </c>
      <c r="L183" s="129">
        <v>195820.0</v>
      </c>
      <c r="M183" s="99">
        <v>2.84</v>
      </c>
    </row>
    <row r="184">
      <c r="A184" s="122" t="s">
        <v>800</v>
      </c>
      <c r="B184" s="123">
        <v>1433309.0</v>
      </c>
      <c r="C184" s="124" t="s">
        <v>801</v>
      </c>
      <c r="D184" s="125"/>
      <c r="E184" s="126">
        <v>0.02</v>
      </c>
      <c r="F184" s="127"/>
      <c r="G184" s="127"/>
      <c r="H184" s="127"/>
      <c r="I184" s="128"/>
      <c r="K184" s="105" t="str">
        <f>IFERROR(__xludf.DUMMYFUNCTION("if(A184="""","""",substitute(SUBSTITUTE(index(importhtml(""http://finviz.com/quote.ashx?t=""&amp;A184,""table"",10),7,2),""*"",""""),""-"",""0.00""))"),"Loading...")</f>
        <v>Loading...</v>
      </c>
      <c r="L184" s="129">
        <v>200540.0</v>
      </c>
      <c r="M184" s="99">
        <v>1.4</v>
      </c>
    </row>
    <row r="185">
      <c r="A185" s="122" t="s">
        <v>802</v>
      </c>
      <c r="B185" s="123">
        <v>318996.0</v>
      </c>
      <c r="C185" s="124" t="s">
        <v>803</v>
      </c>
      <c r="D185" s="125"/>
      <c r="E185" s="126">
        <v>0.02</v>
      </c>
      <c r="F185" s="127"/>
      <c r="G185" s="127"/>
      <c r="H185" s="127"/>
      <c r="I185" s="128"/>
      <c r="K185" s="105" t="str">
        <f>IFERROR(__xludf.DUMMYFUNCTION("if(A185="""","""",substitute(SUBSTITUTE(index(importhtml(""http://finviz.com/quote.ashx?t=""&amp;A185,""table"",10),7,2),""*"",""""),""-"",""0.00""))"),"Loading...")</f>
        <v>Loading...</v>
      </c>
      <c r="L185" s="129">
        <v>228770.0</v>
      </c>
      <c r="M185" s="99" t="e">
        <v>#N/A</v>
      </c>
    </row>
    <row r="186">
      <c r="A186" s="122" t="s">
        <v>804</v>
      </c>
      <c r="B186" s="123">
        <v>1404804.0</v>
      </c>
      <c r="C186" s="124" t="s">
        <v>805</v>
      </c>
      <c r="D186" s="125"/>
      <c r="E186" s="126">
        <v>0.02</v>
      </c>
      <c r="F186" s="127"/>
      <c r="G186" s="127"/>
      <c r="H186" s="127"/>
      <c r="I186" s="128"/>
      <c r="K186" s="105" t="str">
        <f>IFERROR(__xludf.DUMMYFUNCTION("if(A186="""","""",substitute(SUBSTITUTE(index(importhtml(""http://finviz.com/quote.ashx?t=""&amp;A186,""table"",10),7,2),""*"",""""),""-"",""0.00""))"),"Loading...")</f>
        <v>Loading...</v>
      </c>
      <c r="L186" s="129">
        <v>331420.0</v>
      </c>
      <c r="M186" s="99">
        <v>-0.51</v>
      </c>
    </row>
    <row r="187">
      <c r="A187" s="122" t="s">
        <v>806</v>
      </c>
      <c r="B187" s="123">
        <v>1049011.0</v>
      </c>
      <c r="C187" s="124" t="s">
        <v>807</v>
      </c>
      <c r="D187" s="125"/>
      <c r="E187" s="126">
        <v>0.02</v>
      </c>
      <c r="F187" s="127"/>
      <c r="G187" s="127"/>
      <c r="H187" s="127"/>
      <c r="I187" s="128"/>
      <c r="K187" s="105" t="str">
        <f>IFERROR(__xludf.DUMMYFUNCTION("if(A187="""","""",substitute(SUBSTITUTE(index(importhtml(""http://finviz.com/quote.ashx?t=""&amp;A187,""table"",10),7,2),""*"",""""),""-"",""0.00""))"),"Loading...")</f>
        <v>Loading...</v>
      </c>
      <c r="L187" s="129">
        <v>357200.0</v>
      </c>
      <c r="M187" s="99" t="e">
        <v>#N/A</v>
      </c>
    </row>
    <row r="188">
      <c r="A188" s="122" t="s">
        <v>808</v>
      </c>
      <c r="B188" s="123">
        <v>1724979.0</v>
      </c>
      <c r="C188" s="124" t="s">
        <v>809</v>
      </c>
      <c r="D188" s="125"/>
      <c r="E188" s="126">
        <v>0.02</v>
      </c>
      <c r="F188" s="127"/>
      <c r="G188" s="127"/>
      <c r="H188" s="127"/>
      <c r="I188" s="128"/>
      <c r="K188" s="105" t="str">
        <f>IFERROR(__xludf.DUMMYFUNCTION("if(A188="""","""",substitute(SUBSTITUTE(index(importhtml(""http://finviz.com/quote.ashx?t=""&amp;A188,""table"",10),7,2),""*"",""""),""-"",""0.00""))"),"Loading...")</f>
        <v>Loading...</v>
      </c>
      <c r="L188" s="129">
        <v>390480.0</v>
      </c>
      <c r="M188" s="99" t="e">
        <v>#N/A</v>
      </c>
    </row>
    <row r="189">
      <c r="A189" s="122" t="s">
        <v>810</v>
      </c>
      <c r="B189" s="123">
        <v>1629205.0</v>
      </c>
      <c r="C189" s="124" t="s">
        <v>811</v>
      </c>
      <c r="D189" s="125"/>
      <c r="E189" s="126">
        <v>0.02</v>
      </c>
      <c r="F189" s="127"/>
      <c r="G189" s="127"/>
      <c r="H189" s="127"/>
      <c r="I189" s="128"/>
      <c r="K189" s="105" t="str">
        <f>IFERROR(__xludf.DUMMYFUNCTION("if(A189="""","""",substitute(SUBSTITUTE(index(importhtml(""http://finviz.com/quote.ashx?t=""&amp;A189,""table"",10),7,2),""*"",""""),""-"",""0.00""))"),"Loading...")</f>
        <v>Loading...</v>
      </c>
      <c r="L189" s="129">
        <v>494350.0</v>
      </c>
      <c r="M189" s="99">
        <v>-34.5</v>
      </c>
    </row>
    <row r="190">
      <c r="A190" s="122" t="s">
        <v>812</v>
      </c>
      <c r="B190" s="123">
        <v>1039466.0</v>
      </c>
      <c r="C190" s="124" t="s">
        <v>813</v>
      </c>
      <c r="D190" s="125"/>
      <c r="E190" s="126">
        <v>0.02</v>
      </c>
      <c r="F190" s="127"/>
      <c r="G190" s="127"/>
      <c r="H190" s="127"/>
      <c r="I190" s="128"/>
      <c r="K190" s="105" t="str">
        <f>IFERROR(__xludf.DUMMYFUNCTION("if(A190="""","""",substitute(SUBSTITUTE(index(importhtml(""http://finviz.com/quote.ashx?t=""&amp;A190,""table"",10),7,2),""*"",""""),""-"",""0.00""))"),"Loading...")</f>
        <v>Loading...</v>
      </c>
      <c r="L190" s="129">
        <v>589310.0</v>
      </c>
      <c r="M190" s="99">
        <v>1.51</v>
      </c>
    </row>
    <row r="191">
      <c r="A191" s="122" t="s">
        <v>814</v>
      </c>
      <c r="B191" s="123">
        <v>1360442.0</v>
      </c>
      <c r="C191" s="124" t="s">
        <v>815</v>
      </c>
      <c r="D191" s="125"/>
      <c r="E191" s="126">
        <v>0.02</v>
      </c>
      <c r="F191" s="127"/>
      <c r="G191" s="127"/>
      <c r="H191" s="127"/>
      <c r="I191" s="128"/>
      <c r="K191" s="105" t="str">
        <f>IFERROR(__xludf.DUMMYFUNCTION("if(A191="""","""",substitute(SUBSTITUTE(index(importhtml(""http://finviz.com/quote.ashx?t=""&amp;A191,""table"",10),7,2),""*"",""""),""-"",""0.00""))"),"Loading...")</f>
        <v>Loading...</v>
      </c>
      <c r="L191" s="129">
        <v>634139.0</v>
      </c>
      <c r="M191" s="99">
        <v>1.44</v>
      </c>
    </row>
    <row r="192">
      <c r="A192" s="122" t="s">
        <v>816</v>
      </c>
      <c r="B192" s="123">
        <v>894552.0</v>
      </c>
      <c r="C192" s="124" t="s">
        <v>817</v>
      </c>
      <c r="D192" s="125"/>
      <c r="E192" s="126">
        <v>0.02</v>
      </c>
      <c r="F192" s="127"/>
      <c r="G192" s="127"/>
      <c r="H192" s="127"/>
      <c r="I192" s="128"/>
      <c r="K192" s="105" t="str">
        <f>IFERROR(__xludf.DUMMYFUNCTION("if(A192="""","""",substitute(SUBSTITUTE(index(importhtml(""http://finviz.com/quote.ashx?t=""&amp;A192,""table"",10),7,2),""*"",""""),""-"",""0.00""))"),"Loading...")</f>
        <v>Loading...</v>
      </c>
      <c r="L192" s="129">
        <v>638410.0</v>
      </c>
      <c r="M192" s="99">
        <v>-0.92</v>
      </c>
    </row>
    <row r="193">
      <c r="A193" s="122" t="s">
        <v>818</v>
      </c>
      <c r="B193" s="123">
        <v>1698370.0</v>
      </c>
      <c r="C193" s="124" t="s">
        <v>819</v>
      </c>
      <c r="D193" s="125"/>
      <c r="E193" s="126">
        <v>0.02</v>
      </c>
      <c r="F193" s="127"/>
      <c r="G193" s="127"/>
      <c r="H193" s="127"/>
      <c r="I193" s="128"/>
      <c r="K193" s="105" t="str">
        <f>IFERROR(__xludf.DUMMYFUNCTION("if(A193="""","""",substitute(SUBSTITUTE(index(importhtml(""http://finviz.com/quote.ashx?t=""&amp;A193,""table"",10),7,2),""*"",""""),""-"",""0.00""))"),"Loading...")</f>
        <v>Loading...</v>
      </c>
      <c r="L193" s="129">
        <v>702820.0</v>
      </c>
      <c r="M193" s="99">
        <v>1.8</v>
      </c>
    </row>
    <row r="194">
      <c r="A194" s="122" t="s">
        <v>820</v>
      </c>
      <c r="B194" s="123">
        <v>823546.0</v>
      </c>
      <c r="C194" s="124" t="s">
        <v>821</v>
      </c>
      <c r="D194" s="125"/>
      <c r="E194" s="126">
        <v>0.02</v>
      </c>
      <c r="F194" s="127"/>
      <c r="G194" s="127"/>
      <c r="H194" s="127"/>
      <c r="I194" s="128"/>
      <c r="K194" s="105" t="str">
        <f>IFERROR(__xludf.DUMMYFUNCTION("if(A194="""","""",substitute(SUBSTITUTE(index(importhtml(""http://finviz.com/quote.ashx?t=""&amp;A194,""table"",10),7,2),""*"",""""),""-"",""0.00""))"),"Loading...")</f>
        <v>Loading...</v>
      </c>
      <c r="L194" s="129">
        <v>712100.0</v>
      </c>
      <c r="M194" s="99">
        <v>1.4</v>
      </c>
    </row>
    <row r="195">
      <c r="A195" s="122" t="s">
        <v>822</v>
      </c>
      <c r="B195" s="123">
        <v>1624985.0</v>
      </c>
      <c r="C195" s="124" t="s">
        <v>823</v>
      </c>
      <c r="D195" s="125"/>
      <c r="E195" s="126">
        <v>0.02</v>
      </c>
      <c r="F195" s="127"/>
      <c r="G195" s="127"/>
      <c r="H195" s="127"/>
      <c r="I195" s="128"/>
      <c r="K195" s="105" t="str">
        <f>IFERROR(__xludf.DUMMYFUNCTION("if(A195="""","""",substitute(SUBSTITUTE(index(importhtml(""http://finviz.com/quote.ashx?t=""&amp;A195,""table"",10),7,2),""*"",""""),""-"",""0.00""))"),"Loading...")</f>
        <v>Loading...</v>
      </c>
      <c r="L195" s="129">
        <v>798710.0</v>
      </c>
      <c r="M195" s="99">
        <v>0.18</v>
      </c>
    </row>
    <row r="196">
      <c r="A196" s="122" t="s">
        <v>824</v>
      </c>
      <c r="B196" s="123">
        <v>1518336.0</v>
      </c>
      <c r="C196" s="124" t="s">
        <v>825</v>
      </c>
      <c r="D196" s="125"/>
      <c r="E196" s="126">
        <v>0.02</v>
      </c>
      <c r="F196" s="127"/>
      <c r="G196" s="127"/>
      <c r="H196" s="127"/>
      <c r="I196" s="128"/>
      <c r="K196" s="105" t="str">
        <f>IFERROR(__xludf.DUMMYFUNCTION("if(A196="""","""",substitute(SUBSTITUTE(index(importhtml(""http://finviz.com/quote.ashx?t=""&amp;A196,""table"",10),7,2),""*"",""""),""-"",""0.00""))"),"Loading...")</f>
        <v>Loading...</v>
      </c>
      <c r="L196" s="129">
        <v>848700.0</v>
      </c>
      <c r="M196" s="99">
        <v>0.4</v>
      </c>
    </row>
    <row r="197">
      <c r="A197" s="122" t="s">
        <v>826</v>
      </c>
      <c r="B197" s="123">
        <v>1456857.0</v>
      </c>
      <c r="C197" s="124" t="s">
        <v>827</v>
      </c>
      <c r="D197" s="125"/>
      <c r="E197" s="126">
        <v>0.02</v>
      </c>
      <c r="F197" s="127"/>
      <c r="G197" s="127"/>
      <c r="H197" s="127"/>
      <c r="I197" s="128"/>
      <c r="K197" s="105" t="str">
        <f>IFERROR(__xludf.DUMMYFUNCTION("if(A197="""","""",substitute(SUBSTITUTE(index(importhtml(""http://finviz.com/quote.ashx?t=""&amp;A197,""table"",10),7,2),""*"",""""),""-"",""0.00""))"),"Loading...")</f>
        <v>Loading...</v>
      </c>
      <c r="L197" s="129">
        <v>891271.0</v>
      </c>
      <c r="M197" s="99">
        <v>0.15</v>
      </c>
    </row>
    <row r="198">
      <c r="A198" s="122" t="s">
        <v>828</v>
      </c>
      <c r="B198" s="123">
        <v>1125699.0</v>
      </c>
      <c r="C198" s="124" t="s">
        <v>829</v>
      </c>
      <c r="D198" s="125"/>
      <c r="E198" s="126">
        <v>0.02</v>
      </c>
      <c r="F198" s="127"/>
      <c r="G198" s="127"/>
      <c r="H198" s="127"/>
      <c r="I198" s="128"/>
      <c r="K198" s="105" t="str">
        <f>IFERROR(__xludf.DUMMYFUNCTION("if(A198="""","""",substitute(SUBSTITUTE(index(importhtml(""http://finviz.com/quote.ashx?t=""&amp;A198,""table"",10),7,2),""*"",""""),""-"",""0.00""))"),"Loading...")</f>
        <v>Loading...</v>
      </c>
      <c r="L198" s="129">
        <v>1020490.0</v>
      </c>
      <c r="M198" s="99">
        <v>-0.49</v>
      </c>
    </row>
    <row r="199">
      <c r="A199" s="122" t="s">
        <v>830</v>
      </c>
      <c r="B199" s="123">
        <v>1064722.0</v>
      </c>
      <c r="C199" s="124" t="s">
        <v>831</v>
      </c>
      <c r="D199" s="125"/>
      <c r="E199" s="126">
        <v>0.02</v>
      </c>
      <c r="F199" s="127"/>
      <c r="G199" s="127"/>
      <c r="H199" s="127"/>
      <c r="I199" s="128"/>
      <c r="K199" s="105" t="str">
        <f>IFERROR(__xludf.DUMMYFUNCTION("if(A199="""","""",substitute(SUBSTITUTE(index(importhtml(""http://finviz.com/quote.ashx?t=""&amp;A199,""table"",10),7,2),""*"",""""),""-"",""0.00""))"),"Loading...")</f>
        <v>Loading...</v>
      </c>
      <c r="L199" s="129">
        <v>1024750.0</v>
      </c>
      <c r="M199" s="99">
        <v>0.58</v>
      </c>
    </row>
    <row r="200">
      <c r="A200" s="122" t="s">
        <v>832</v>
      </c>
      <c r="B200" s="123">
        <v>1076682.0</v>
      </c>
      <c r="C200" s="124" t="s">
        <v>833</v>
      </c>
      <c r="D200" s="125"/>
      <c r="E200" s="126">
        <v>0.02</v>
      </c>
      <c r="F200" s="127"/>
      <c r="G200" s="127"/>
      <c r="H200" s="127"/>
      <c r="I200" s="128"/>
      <c r="K200" s="105" t="str">
        <f>IFERROR(__xludf.DUMMYFUNCTION("if(A200="""","""",substitute(SUBSTITUTE(index(importhtml(""http://finviz.com/quote.ashx?t=""&amp;A200,""table"",10),7,2),""*"",""""),""-"",""0.00""))"),"Loading...")</f>
        <v>Loading...</v>
      </c>
      <c r="L200" s="129">
        <v>1120830.0</v>
      </c>
      <c r="M200" s="99">
        <v>-1.51</v>
      </c>
    </row>
    <row r="201">
      <c r="A201" s="122" t="s">
        <v>834</v>
      </c>
      <c r="B201" s="123">
        <v>1862150.0</v>
      </c>
      <c r="C201" s="124" t="s">
        <v>835</v>
      </c>
      <c r="D201" s="125"/>
      <c r="E201" s="126">
        <v>0.02</v>
      </c>
      <c r="F201" s="127"/>
      <c r="G201" s="127"/>
      <c r="H201" s="127"/>
      <c r="I201" s="128"/>
      <c r="K201" s="105" t="str">
        <f>IFERROR(__xludf.DUMMYFUNCTION("if(A201="""","""",substitute(SUBSTITUTE(index(importhtml(""http://finviz.com/quote.ashx?t=""&amp;A201,""table"",10),7,2),""*"",""""),""-"",""0.00""))"),"Loading...")</f>
        <v>Loading...</v>
      </c>
      <c r="L201" s="129">
        <v>1246210.0</v>
      </c>
      <c r="M201" s="99" t="e">
        <v>#N/A</v>
      </c>
    </row>
    <row r="202">
      <c r="A202" s="122" t="s">
        <v>836</v>
      </c>
      <c r="B202" s="123">
        <v>1780097.0</v>
      </c>
      <c r="C202" s="124" t="s">
        <v>837</v>
      </c>
      <c r="D202" s="125"/>
      <c r="E202" s="126">
        <v>0.02</v>
      </c>
      <c r="F202" s="127"/>
      <c r="G202" s="127"/>
      <c r="H202" s="127"/>
      <c r="I202" s="128"/>
      <c r="K202" s="105" t="str">
        <f>IFERROR(__xludf.DUMMYFUNCTION("if(A202="""","""",substitute(SUBSTITUTE(index(importhtml(""http://finviz.com/quote.ashx?t=""&amp;A202,""table"",10),7,2),""*"",""""),""-"",""0.00""))"),"#N/A")</f>
        <v>#N/A</v>
      </c>
      <c r="L202" s="129">
        <v>1263324.0</v>
      </c>
      <c r="M202" s="99">
        <v>1.58</v>
      </c>
    </row>
    <row r="203">
      <c r="A203" s="122" t="s">
        <v>838</v>
      </c>
      <c r="B203" s="123">
        <v>1335288.0</v>
      </c>
      <c r="C203" s="124" t="s">
        <v>839</v>
      </c>
      <c r="D203" s="125"/>
      <c r="E203" s="126">
        <v>0.02</v>
      </c>
      <c r="F203" s="127"/>
      <c r="G203" s="127"/>
      <c r="H203" s="127"/>
      <c r="I203" s="128"/>
      <c r="K203" s="105" t="str">
        <f>IFERROR(__xludf.DUMMYFUNCTION("if(A203="""","""",substitute(SUBSTITUTE(index(importhtml(""http://finviz.com/quote.ashx?t=""&amp;A203,""table"",10),7,2),""*"",""""),""-"",""0.00""))"),"Loading...")</f>
        <v>Loading...</v>
      </c>
      <c r="L203" s="129">
        <v>1291900.0</v>
      </c>
      <c r="M203" s="99">
        <v>-2.27</v>
      </c>
    </row>
    <row r="204">
      <c r="A204" s="122" t="s">
        <v>840</v>
      </c>
      <c r="B204" s="123">
        <v>1424657.0</v>
      </c>
      <c r="C204" s="124" t="s">
        <v>841</v>
      </c>
      <c r="D204" s="125"/>
      <c r="E204" s="126">
        <v>0.02</v>
      </c>
      <c r="F204" s="127"/>
      <c r="G204" s="127"/>
      <c r="H204" s="127"/>
      <c r="I204" s="128"/>
      <c r="K204" s="105" t="str">
        <f>IFERROR(__xludf.DUMMYFUNCTION("if(A204="""","""",substitute(SUBSTITUTE(index(importhtml(""http://finviz.com/quote.ashx?t=""&amp;A204,""table"",10),7,2),""*"",""""),""-"",""0.00""))"),"Loading...")</f>
        <v>Loading...</v>
      </c>
      <c r="L204" s="129">
        <v>1404387.0</v>
      </c>
      <c r="M204" s="99">
        <v>1.76</v>
      </c>
    </row>
    <row r="205">
      <c r="A205" s="122" t="s">
        <v>842</v>
      </c>
      <c r="B205" s="123">
        <v>1611831.0</v>
      </c>
      <c r="C205" s="124" t="s">
        <v>843</v>
      </c>
      <c r="D205" s="125"/>
      <c r="E205" s="126">
        <v>0.02</v>
      </c>
      <c r="F205" s="127"/>
      <c r="G205" s="127"/>
      <c r="H205" s="127"/>
      <c r="I205" s="128"/>
      <c r="K205" s="105" t="str">
        <f>IFERROR(__xludf.DUMMYFUNCTION("if(A205="""","""",substitute(SUBSTITUTE(index(importhtml(""http://finviz.com/quote.ashx?t=""&amp;A205,""table"",10),7,2),""*"",""""),""-"",""0.00""))"),"Loading...")</f>
        <v>Loading...</v>
      </c>
      <c r="L205" s="129">
        <v>1498749.0</v>
      </c>
      <c r="M205" s="99">
        <v>1.4</v>
      </c>
    </row>
    <row r="206">
      <c r="A206" s="122" t="s">
        <v>844</v>
      </c>
      <c r="B206" s="123">
        <v>814926.0</v>
      </c>
      <c r="C206" s="124" t="s">
        <v>845</v>
      </c>
      <c r="D206" s="125"/>
      <c r="E206" s="126">
        <v>0.02</v>
      </c>
      <c r="F206" s="127"/>
      <c r="G206" s="127"/>
      <c r="H206" s="127"/>
      <c r="I206" s="128"/>
      <c r="K206" s="105" t="str">
        <f>IFERROR(__xludf.DUMMYFUNCTION("if(A206="""","""",substitute(SUBSTITUTE(index(importhtml(""http://finviz.com/quote.ashx?t=""&amp;A206,""table"",10),7,2),""*"",""""),""-"",""0.00""))"),"Loading...")</f>
        <v>Loading...</v>
      </c>
      <c r="L206" s="129">
        <v>1513658.0</v>
      </c>
      <c r="M206" s="99">
        <v>-0.06</v>
      </c>
    </row>
    <row r="207">
      <c r="A207" s="122" t="s">
        <v>846</v>
      </c>
      <c r="B207" s="123">
        <v>1593001.0</v>
      </c>
      <c r="C207" s="124" t="s">
        <v>847</v>
      </c>
      <c r="D207" s="125"/>
      <c r="E207" s="126">
        <v>0.02</v>
      </c>
      <c r="F207" s="127"/>
      <c r="G207" s="127"/>
      <c r="H207" s="127"/>
      <c r="I207" s="128"/>
      <c r="K207" s="105" t="str">
        <f>IFERROR(__xludf.DUMMYFUNCTION("if(A207="""","""",substitute(SUBSTITUTE(index(importhtml(""http://finviz.com/quote.ashx?t=""&amp;A207,""table"",10),7,2),""*"",""""),""-"",""0.00""))"),"Loading...")</f>
        <v>Loading...</v>
      </c>
      <c r="L207" s="129">
        <v>1552099.0</v>
      </c>
      <c r="M207" s="99">
        <v>0.22</v>
      </c>
    </row>
    <row r="208">
      <c r="A208" s="122" t="s">
        <v>848</v>
      </c>
      <c r="B208" s="123">
        <v>1414767.0</v>
      </c>
      <c r="C208" s="124" t="s">
        <v>849</v>
      </c>
      <c r="D208" s="125"/>
      <c r="E208" s="126">
        <v>0.02</v>
      </c>
      <c r="F208" s="127"/>
      <c r="G208" s="127"/>
      <c r="H208" s="127"/>
      <c r="I208" s="128"/>
      <c r="K208" s="105" t="str">
        <f>IFERROR(__xludf.DUMMYFUNCTION("if(A208="""","""",substitute(SUBSTITUTE(index(importhtml(""http://finviz.com/quote.ashx?t=""&amp;A208,""table"",10),7,2),""*"",""""),""-"",""0.00""))"),"Loading...")</f>
        <v>Loading...</v>
      </c>
      <c r="L208" s="129">
        <v>1644016.0</v>
      </c>
      <c r="M208" s="99" t="e">
        <v>#N/A</v>
      </c>
    </row>
    <row r="209">
      <c r="A209" s="122" t="s">
        <v>850</v>
      </c>
      <c r="B209" s="123">
        <v>1313938.0</v>
      </c>
      <c r="C209" s="124" t="s">
        <v>851</v>
      </c>
      <c r="D209" s="125"/>
      <c r="E209" s="126">
        <v>0.02</v>
      </c>
      <c r="F209" s="127"/>
      <c r="G209" s="127"/>
      <c r="H209" s="127"/>
      <c r="I209" s="128"/>
      <c r="K209" s="105" t="str">
        <f>IFERROR(__xludf.DUMMYFUNCTION("if(A209="""","""",substitute(SUBSTITUTE(index(importhtml(""http://finviz.com/quote.ashx?t=""&amp;A209,""table"",10),7,2),""*"",""""),""-"",""0.00""))"),"Loading...")</f>
        <v>Loading...</v>
      </c>
      <c r="L209" s="129">
        <v>1765357.0</v>
      </c>
      <c r="M209" s="99">
        <v>4.64</v>
      </c>
    </row>
    <row r="210">
      <c r="A210" s="122" t="s">
        <v>852</v>
      </c>
      <c r="B210" s="123">
        <v>1028357.0</v>
      </c>
      <c r="C210" s="124" t="s">
        <v>853</v>
      </c>
      <c r="D210" s="125"/>
      <c r="E210" s="126">
        <v>0.02</v>
      </c>
      <c r="F210" s="127"/>
      <c r="G210" s="127"/>
      <c r="H210" s="127"/>
      <c r="I210" s="128"/>
      <c r="K210" s="105" t="str">
        <f>IFERROR(__xludf.DUMMYFUNCTION("if(A210="""","""",substitute(SUBSTITUTE(index(importhtml(""http://finviz.com/quote.ashx?t=""&amp;A210,""table"",10),7,2),""*"",""""),""-"",""0.00""))"),"Loading...")</f>
        <v>Loading...</v>
      </c>
      <c r="L210" s="129">
        <v>1873669.0</v>
      </c>
      <c r="M210" s="99">
        <v>0.95</v>
      </c>
    </row>
    <row r="211">
      <c r="A211" s="122" t="s">
        <v>854</v>
      </c>
      <c r="B211" s="123">
        <v>1041633.0</v>
      </c>
      <c r="C211" s="124" t="s">
        <v>855</v>
      </c>
      <c r="D211" s="125"/>
      <c r="E211" s="126">
        <v>0.02</v>
      </c>
      <c r="F211" s="127"/>
      <c r="G211" s="127"/>
      <c r="H211" s="127"/>
      <c r="I211" s="128"/>
      <c r="K211" s="105" t="str">
        <f>IFERROR(__xludf.DUMMYFUNCTION("if(A211="""","""",substitute(SUBSTITUTE(index(importhtml(""http://finviz.com/quote.ashx?t=""&amp;A211,""table"",10),7,2),""*"",""""),""-"",""0.00""))"),"Loading...")</f>
        <v>Loading...</v>
      </c>
      <c r="L211" s="129">
        <v>1914967.0</v>
      </c>
      <c r="M211" s="99">
        <v>1.7</v>
      </c>
    </row>
    <row r="212">
      <c r="A212" s="122" t="s">
        <v>856</v>
      </c>
      <c r="B212" s="123">
        <v>925541.0</v>
      </c>
      <c r="C212" s="124" t="s">
        <v>857</v>
      </c>
      <c r="D212" s="125"/>
      <c r="E212" s="126">
        <v>0.02</v>
      </c>
      <c r="F212" s="127"/>
      <c r="G212" s="127"/>
      <c r="H212" s="127"/>
      <c r="I212" s="128"/>
      <c r="K212" s="105" t="str">
        <f>IFERROR(__xludf.DUMMYFUNCTION("if(A212="""","""",substitute(SUBSTITUTE(index(importhtml(""http://finviz.com/quote.ashx?t=""&amp;A212,""table"",10),7,2),""*"",""""),""-"",""0.00""))"),"Loading...")</f>
        <v>Loading...</v>
      </c>
      <c r="L212" s="129">
        <v>2065399.0</v>
      </c>
      <c r="M212" s="99">
        <v>2.38</v>
      </c>
    </row>
    <row r="213">
      <c r="A213" s="122" t="s">
        <v>858</v>
      </c>
      <c r="B213" s="123">
        <v>1126115.0</v>
      </c>
      <c r="C213" s="124" t="s">
        <v>859</v>
      </c>
      <c r="D213" s="125"/>
      <c r="E213" s="126">
        <v>0.02</v>
      </c>
      <c r="F213" s="127"/>
      <c r="G213" s="127"/>
      <c r="H213" s="127"/>
      <c r="I213" s="128"/>
      <c r="K213" s="105" t="str">
        <f>IFERROR(__xludf.DUMMYFUNCTION("if(A213="""","""",substitute(SUBSTITUTE(index(importhtml(""http://finviz.com/quote.ashx?t=""&amp;A213,""table"",10),7,2),""*"",""""),""-"",""0.00""))"),"Loading...")</f>
        <v>Loading...</v>
      </c>
      <c r="L213" s="129">
        <v>2316350.0</v>
      </c>
      <c r="M213" s="99">
        <v>-2.11</v>
      </c>
    </row>
    <row r="214">
      <c r="A214" s="122" t="s">
        <v>860</v>
      </c>
      <c r="B214" s="123">
        <v>1319643.0</v>
      </c>
      <c r="C214" s="124" t="s">
        <v>861</v>
      </c>
      <c r="D214" s="125"/>
      <c r="E214" s="126">
        <v>0.02</v>
      </c>
      <c r="F214" s="127"/>
      <c r="G214" s="127"/>
      <c r="H214" s="127"/>
      <c r="I214" s="128"/>
      <c r="K214" s="105" t="str">
        <f>IFERROR(__xludf.DUMMYFUNCTION("if(A214="""","""",substitute(SUBSTITUTE(index(importhtml(""http://finviz.com/quote.ashx?t=""&amp;A214,""table"",10),7,2),""*"",""""),""-"",""0.00""))"),"Loading...")</f>
        <v>Loading...</v>
      </c>
      <c r="L214" s="129">
        <v>2418750.0</v>
      </c>
      <c r="M214" s="99">
        <v>1.34</v>
      </c>
    </row>
    <row r="215">
      <c r="A215" s="122" t="s">
        <v>862</v>
      </c>
      <c r="B215" s="123">
        <v>1424404.0</v>
      </c>
      <c r="C215" s="124" t="s">
        <v>863</v>
      </c>
      <c r="D215" s="125"/>
      <c r="E215" s="126">
        <v>0.02</v>
      </c>
      <c r="F215" s="127"/>
      <c r="G215" s="127"/>
      <c r="H215" s="127"/>
      <c r="I215" s="128"/>
      <c r="K215" s="105" t="str">
        <f>IFERROR(__xludf.DUMMYFUNCTION("if(A215="""","""",substitute(SUBSTITUTE(index(importhtml(""http://finviz.com/quote.ashx?t=""&amp;A215,""table"",10),7,2),""*"",""""),""-"",""0.00""))"),"Loading...")</f>
        <v>Loading...</v>
      </c>
      <c r="L215" s="129">
        <v>2423380.0</v>
      </c>
      <c r="M215" s="99">
        <v>-2.91</v>
      </c>
    </row>
    <row r="216">
      <c r="A216" s="122" t="s">
        <v>864</v>
      </c>
      <c r="B216" s="123">
        <v>1284237.0</v>
      </c>
      <c r="C216" s="124" t="s">
        <v>865</v>
      </c>
      <c r="D216" s="125"/>
      <c r="E216" s="126">
        <v>0.02</v>
      </c>
      <c r="F216" s="127"/>
      <c r="G216" s="127"/>
      <c r="H216" s="127"/>
      <c r="I216" s="128"/>
      <c r="K216" s="105" t="str">
        <f>IFERROR(__xludf.DUMMYFUNCTION("if(A216="""","""",substitute(SUBSTITUTE(index(importhtml(""http://finviz.com/quote.ashx?t=""&amp;A216,""table"",10),7,2),""*"",""""),""-"",""0.00""))"),"Loading...")</f>
        <v>Loading...</v>
      </c>
      <c r="L216" s="129">
        <v>2517590.0</v>
      </c>
      <c r="M216" s="99">
        <v>1.78</v>
      </c>
    </row>
    <row r="217">
      <c r="A217" s="122" t="s">
        <v>866</v>
      </c>
      <c r="B217" s="123">
        <v>1349706.0</v>
      </c>
      <c r="C217" s="124" t="s">
        <v>867</v>
      </c>
      <c r="D217" s="125"/>
      <c r="E217" s="126">
        <v>0.02</v>
      </c>
      <c r="F217" s="127"/>
      <c r="G217" s="127"/>
      <c r="H217" s="127"/>
      <c r="I217" s="128"/>
      <c r="K217" s="105" t="str">
        <f>IFERROR(__xludf.DUMMYFUNCTION("if(A217="""","""",substitute(SUBSTITUTE(index(importhtml(""http://finviz.com/quote.ashx?t=""&amp;A217,""table"",10),7,2),""*"",""""),""-"",""0.00""))"),"Loading...")</f>
        <v>Loading...</v>
      </c>
      <c r="L217" s="129">
        <v>2577254.0</v>
      </c>
      <c r="M217" s="99">
        <v>0.49</v>
      </c>
    </row>
    <row r="218">
      <c r="A218" s="122" t="s">
        <v>868</v>
      </c>
      <c r="B218" s="123">
        <v>1788717.0</v>
      </c>
      <c r="C218" s="124" t="s">
        <v>869</v>
      </c>
      <c r="D218" s="125"/>
      <c r="E218" s="126">
        <v>0.02</v>
      </c>
      <c r="F218" s="127"/>
      <c r="G218" s="127"/>
      <c r="H218" s="127"/>
      <c r="I218" s="128"/>
      <c r="K218" s="105" t="str">
        <f>IFERROR(__xludf.DUMMYFUNCTION("if(A218="""","""",substitute(SUBSTITUTE(index(importhtml(""http://finviz.com/quote.ashx?t=""&amp;A218,""table"",10),7,2),""*"",""""),""-"",""0.00""))"),"Loading...")</f>
        <v>Loading...</v>
      </c>
      <c r="L218" s="129">
        <v>2579323.0</v>
      </c>
      <c r="M218" s="99" t="e">
        <v>#N/A</v>
      </c>
    </row>
    <row r="219">
      <c r="A219" s="122" t="s">
        <v>870</v>
      </c>
      <c r="B219" s="123">
        <v>1502966.0</v>
      </c>
      <c r="C219" s="124" t="s">
        <v>871</v>
      </c>
      <c r="D219" s="125"/>
      <c r="E219" s="126">
        <v>0.02</v>
      </c>
      <c r="F219" s="127"/>
      <c r="G219" s="127"/>
      <c r="H219" s="127"/>
      <c r="I219" s="128"/>
      <c r="K219" s="105" t="str">
        <f>IFERROR(__xludf.DUMMYFUNCTION("if(A219="""","""",substitute(SUBSTITUTE(index(importhtml(""http://finviz.com/quote.ashx?t=""&amp;A219,""table"",10),7,2),""*"",""""),""-"",""0.00""))"),"Loading...")</f>
        <v>Loading...</v>
      </c>
      <c r="L219" s="129">
        <v>2635373.0</v>
      </c>
      <c r="M219" s="99">
        <v>0.82</v>
      </c>
    </row>
    <row r="220">
      <c r="A220" s="122" t="s">
        <v>872</v>
      </c>
      <c r="B220" s="123">
        <v>1755953.0</v>
      </c>
      <c r="C220" s="124" t="s">
        <v>873</v>
      </c>
      <c r="D220" s="125"/>
      <c r="E220" s="126">
        <v>0.02</v>
      </c>
      <c r="F220" s="127"/>
      <c r="G220" s="127"/>
      <c r="H220" s="127"/>
      <c r="I220" s="128"/>
      <c r="K220" s="105" t="str">
        <f>IFERROR(__xludf.DUMMYFUNCTION("if(A220="""","""",substitute(SUBSTITUTE(index(importhtml(""http://finviz.com/quote.ashx?t=""&amp;A220,""table"",10),7,2),""*"",""""),""-"",""0.00""))"),"Loading...")</f>
        <v>Loading...</v>
      </c>
      <c r="L220" s="129">
        <v>2748457.0</v>
      </c>
      <c r="M220" s="99">
        <v>4.66</v>
      </c>
    </row>
    <row r="221">
      <c r="A221" s="122" t="s">
        <v>874</v>
      </c>
      <c r="B221" s="123">
        <v>1346022.0</v>
      </c>
      <c r="C221" s="124" t="s">
        <v>875</v>
      </c>
      <c r="D221" s="125"/>
      <c r="E221" s="126">
        <v>0.02</v>
      </c>
      <c r="F221" s="127"/>
      <c r="G221" s="127"/>
      <c r="H221" s="127"/>
      <c r="I221" s="128"/>
      <c r="K221" s="105" t="str">
        <f>IFERROR(__xludf.DUMMYFUNCTION("if(A221="""","""",substitute(SUBSTITUTE(index(importhtml(""http://finviz.com/quote.ashx?t=""&amp;A221,""table"",10),7,2),""*"",""""),""-"",""0.00""))"),"Loading...")</f>
        <v>Loading...</v>
      </c>
      <c r="L221" s="129">
        <v>2750116.0</v>
      </c>
      <c r="M221" s="99">
        <v>-0.53</v>
      </c>
    </row>
    <row r="222">
      <c r="A222" s="122" t="s">
        <v>876</v>
      </c>
      <c r="B222" s="123">
        <v>59860.0</v>
      </c>
      <c r="C222" s="124" t="s">
        <v>877</v>
      </c>
      <c r="D222" s="125"/>
      <c r="E222" s="126">
        <v>0.02</v>
      </c>
      <c r="F222" s="127"/>
      <c r="G222" s="127"/>
      <c r="H222" s="127"/>
      <c r="I222" s="128"/>
      <c r="K222" s="105" t="str">
        <f>IFERROR(__xludf.DUMMYFUNCTION("if(A222="""","""",substitute(SUBSTITUTE(index(importhtml(""http://finviz.com/quote.ashx?t=""&amp;A222,""table"",10),7,2),""*"",""""),""-"",""0.00""))"),"Loading...")</f>
        <v>Loading...</v>
      </c>
      <c r="L222" s="129">
        <v>2968050.0</v>
      </c>
      <c r="M222" s="99">
        <v>1.74</v>
      </c>
    </row>
    <row r="223">
      <c r="A223" s="122" t="s">
        <v>878</v>
      </c>
      <c r="B223" s="123">
        <v>720762.0</v>
      </c>
      <c r="C223" s="124" t="s">
        <v>879</v>
      </c>
      <c r="D223" s="125"/>
      <c r="E223" s="126">
        <v>0.02</v>
      </c>
      <c r="F223" s="127"/>
      <c r="G223" s="127"/>
      <c r="H223" s="127"/>
      <c r="I223" s="128"/>
      <c r="K223" s="105" t="str">
        <f>IFERROR(__xludf.DUMMYFUNCTION("if(A223="""","""",substitute(SUBSTITUTE(index(importhtml(""http://finviz.com/quote.ashx?t=""&amp;A223,""table"",10),7,2),""*"",""""),""-"",""0.00""))"),"Loading...")</f>
        <v>Loading...</v>
      </c>
      <c r="L223" s="129">
        <v>3065250.0</v>
      </c>
      <c r="M223" s="99">
        <v>0.54</v>
      </c>
    </row>
    <row r="224">
      <c r="A224" s="122" t="s">
        <v>880</v>
      </c>
      <c r="B224" s="123">
        <v>1384066.0</v>
      </c>
      <c r="C224" s="124" t="s">
        <v>881</v>
      </c>
      <c r="D224" s="125"/>
      <c r="E224" s="126">
        <v>0.02</v>
      </c>
      <c r="F224" s="127"/>
      <c r="G224" s="127"/>
      <c r="H224" s="127"/>
      <c r="I224" s="128"/>
      <c r="K224" s="105" t="str">
        <f>IFERROR(__xludf.DUMMYFUNCTION("if(A224="""","""",substitute(SUBSTITUTE(index(importhtml(""http://finviz.com/quote.ashx?t=""&amp;A224,""table"",10),7,2),""*"",""""),""-"",""0.00""))"),"Loading...")</f>
        <v>Loading...</v>
      </c>
      <c r="L224" s="129">
        <v>3541229.0</v>
      </c>
      <c r="M224" s="99">
        <v>2.3</v>
      </c>
    </row>
    <row r="225">
      <c r="A225" s="122" t="s">
        <v>882</v>
      </c>
      <c r="B225" s="123">
        <v>1500620.0</v>
      </c>
      <c r="C225" s="124" t="s">
        <v>883</v>
      </c>
      <c r="D225" s="125"/>
      <c r="E225" s="126">
        <v>0.02</v>
      </c>
      <c r="F225" s="127"/>
      <c r="G225" s="127"/>
      <c r="H225" s="127"/>
      <c r="I225" s="128"/>
      <c r="K225" s="105" t="str">
        <f>IFERROR(__xludf.DUMMYFUNCTION("if(A225="""","""",substitute(SUBSTITUTE(index(importhtml(""http://finviz.com/quote.ashx?t=""&amp;A225,""table"",10),7,2),""*"",""""),""-"",""0.00""))"),"Loading...")</f>
        <v>Loading...</v>
      </c>
      <c r="L225" s="129">
        <v>3703415.0</v>
      </c>
      <c r="M225" s="99">
        <v>2.25</v>
      </c>
    </row>
    <row r="226">
      <c r="A226" s="122" t="s">
        <v>884</v>
      </c>
      <c r="B226" s="123">
        <v>1778651.0</v>
      </c>
      <c r="C226" s="124" t="s">
        <v>885</v>
      </c>
      <c r="D226" s="125"/>
      <c r="E226" s="126">
        <v>0.02</v>
      </c>
      <c r="F226" s="127"/>
      <c r="G226" s="127"/>
      <c r="H226" s="127"/>
      <c r="I226" s="128"/>
      <c r="K226" s="105" t="str">
        <f>IFERROR(__xludf.DUMMYFUNCTION("if(A226="""","""",substitute(SUBSTITUTE(index(importhtml(""http://finviz.com/quote.ashx?t=""&amp;A226,""table"",10),7,2),""*"",""""),""-"",""0.00""))"),"Loading...")</f>
        <v>Loading...</v>
      </c>
      <c r="L226" s="129">
        <v>3782580.0</v>
      </c>
      <c r="M226" s="99">
        <v>6.82</v>
      </c>
    </row>
    <row r="227">
      <c r="A227" s="122" t="s">
        <v>886</v>
      </c>
      <c r="B227" s="123">
        <v>1669400.0</v>
      </c>
      <c r="C227" s="124" t="s">
        <v>887</v>
      </c>
      <c r="D227" s="125"/>
      <c r="E227" s="126">
        <v>0.02</v>
      </c>
      <c r="F227" s="127"/>
      <c r="G227" s="127"/>
      <c r="H227" s="127"/>
      <c r="I227" s="128"/>
      <c r="K227" s="105" t="str">
        <f>IFERROR(__xludf.DUMMYFUNCTION("if(A227="""","""",substitute(SUBSTITUTE(index(importhtml(""http://finviz.com/quote.ashx?t=""&amp;A227,""table"",10),7,2),""*"",""""),""-"",""0.00""))"),"Loading...")</f>
        <v>Loading...</v>
      </c>
      <c r="L227" s="129">
        <v>3818400.0</v>
      </c>
      <c r="M227" s="99">
        <v>1.01</v>
      </c>
    </row>
    <row r="228">
      <c r="A228" s="122" t="s">
        <v>888</v>
      </c>
      <c r="B228" s="123">
        <v>1362516.0</v>
      </c>
      <c r="C228" s="124" t="s">
        <v>889</v>
      </c>
      <c r="D228" s="125"/>
      <c r="E228" s="126">
        <v>0.02</v>
      </c>
      <c r="F228" s="127"/>
      <c r="G228" s="127"/>
      <c r="H228" s="127"/>
      <c r="I228" s="128"/>
      <c r="K228" s="105" t="str">
        <f>IFERROR(__xludf.DUMMYFUNCTION("if(A228="""","""",substitute(SUBSTITUTE(index(importhtml(""http://finviz.com/quote.ashx?t=""&amp;A228,""table"",10),7,2),""*"",""""),""-"",""0.00""))"),"Loading...")</f>
        <v>Loading...</v>
      </c>
      <c r="L228" s="129">
        <v>3895730.0</v>
      </c>
      <c r="M228" s="99">
        <v>0.99</v>
      </c>
    </row>
    <row r="229">
      <c r="A229" s="122" t="s">
        <v>890</v>
      </c>
      <c r="B229" s="123">
        <v>1554818.0</v>
      </c>
      <c r="C229" s="124" t="s">
        <v>891</v>
      </c>
      <c r="D229" s="125"/>
      <c r="E229" s="126">
        <v>0.02</v>
      </c>
      <c r="F229" s="127"/>
      <c r="G229" s="127"/>
      <c r="H229" s="127"/>
      <c r="I229" s="128"/>
      <c r="K229" s="105" t="str">
        <f>IFERROR(__xludf.DUMMYFUNCTION("if(A229="""","""",substitute(SUBSTITUTE(index(importhtml(""http://finviz.com/quote.ashx?t=""&amp;A229,""table"",10),7,2),""*"",""""),""-"",""0.00""))"),"Loading...")</f>
        <v>Loading...</v>
      </c>
      <c r="L229" s="129">
        <v>3938865.0</v>
      </c>
      <c r="M229" s="99">
        <v>-2.38</v>
      </c>
    </row>
    <row r="230">
      <c r="A230" s="122" t="s">
        <v>892</v>
      </c>
      <c r="B230" s="123">
        <v>1376793.0</v>
      </c>
      <c r="C230" s="124" t="s">
        <v>893</v>
      </c>
      <c r="D230" s="125"/>
      <c r="E230" s="126">
        <v>0.02</v>
      </c>
      <c r="F230" s="127"/>
      <c r="G230" s="127"/>
      <c r="H230" s="127"/>
      <c r="I230" s="128"/>
      <c r="K230" s="105" t="str">
        <f>IFERROR(__xludf.DUMMYFUNCTION("if(A230="""","""",substitute(SUBSTITUTE(index(importhtml(""http://finviz.com/quote.ashx?t=""&amp;A230,""table"",10),7,2),""*"",""""),""-"",""0.00""))"),"Loading...")</f>
        <v>Loading...</v>
      </c>
      <c r="L230" s="129">
        <v>4120780.0</v>
      </c>
      <c r="M230" s="99">
        <v>0.94</v>
      </c>
    </row>
    <row r="231">
      <c r="A231" s="122" t="s">
        <v>894</v>
      </c>
      <c r="B231" s="123">
        <v>1022899.0</v>
      </c>
      <c r="C231" s="124" t="s">
        <v>895</v>
      </c>
      <c r="D231" s="125"/>
      <c r="E231" s="126">
        <v>0.02</v>
      </c>
      <c r="F231" s="127"/>
      <c r="G231" s="127"/>
      <c r="H231" s="127"/>
      <c r="I231" s="128"/>
      <c r="K231" s="105" t="str">
        <f>IFERROR(__xludf.DUMMYFUNCTION("if(A231="""","""",substitute(SUBSTITUTE(index(importhtml(""http://finviz.com/quote.ashx?t=""&amp;A231,""table"",10),7,2),""*"",""""),""-"",""0.00""))"),"Loading...")</f>
        <v>Loading...</v>
      </c>
      <c r="L231" s="129">
        <v>4302082.0</v>
      </c>
      <c r="M231" s="99" t="e">
        <v>#N/A</v>
      </c>
    </row>
    <row r="232">
      <c r="A232" s="122" t="s">
        <v>896</v>
      </c>
      <c r="B232" s="123">
        <v>1515139.0</v>
      </c>
      <c r="C232" s="124" t="s">
        <v>897</v>
      </c>
      <c r="D232" s="125"/>
      <c r="E232" s="126">
        <v>0.02</v>
      </c>
      <c r="F232" s="127"/>
      <c r="G232" s="127"/>
      <c r="H232" s="127"/>
      <c r="I232" s="128"/>
      <c r="K232" s="105" t="str">
        <f>IFERROR(__xludf.DUMMYFUNCTION("if(A232="""","""",substitute(SUBSTITUTE(index(importhtml(""http://finviz.com/quote.ashx?t=""&amp;A232,""table"",10),7,2),""*"",""""),""-"",""0.00""))"),"Loading...")</f>
        <v>Loading...</v>
      </c>
      <c r="L232" s="129">
        <v>4352320.0</v>
      </c>
      <c r="M232" s="99">
        <v>3.83</v>
      </c>
    </row>
    <row r="233">
      <c r="A233" s="122" t="s">
        <v>898</v>
      </c>
      <c r="B233" s="123">
        <v>1909152.0</v>
      </c>
      <c r="C233" s="124" t="s">
        <v>899</v>
      </c>
      <c r="D233" s="125"/>
      <c r="E233" s="126">
        <v>0.02</v>
      </c>
      <c r="F233" s="127"/>
      <c r="G233" s="127"/>
      <c r="H233" s="127"/>
      <c r="I233" s="128"/>
      <c r="K233" s="105" t="str">
        <f>IFERROR(__xludf.DUMMYFUNCTION("if(A233="""","""",substitute(SUBSTITUTE(index(importhtml(""http://finviz.com/quote.ashx?t=""&amp;A233,""table"",10),7,2),""*"",""""),""-"",""0.00""))"),"Loading...")</f>
        <v>Loading...</v>
      </c>
      <c r="L233" s="129">
        <v>4374623.0</v>
      </c>
      <c r="M233" s="99" t="e">
        <v>#N/A</v>
      </c>
    </row>
    <row r="234">
      <c r="A234" s="122" t="s">
        <v>900</v>
      </c>
      <c r="B234" s="123">
        <v>1128189.0</v>
      </c>
      <c r="C234" s="124" t="s">
        <v>901</v>
      </c>
      <c r="D234" s="125"/>
      <c r="E234" s="126">
        <v>0.02</v>
      </c>
      <c r="F234" s="127"/>
      <c r="G234" s="127"/>
      <c r="H234" s="127"/>
      <c r="I234" s="128"/>
      <c r="K234" s="105" t="str">
        <f>IFERROR(__xludf.DUMMYFUNCTION("if(A234="""","""",substitute(SUBSTITUTE(index(importhtml(""http://finviz.com/quote.ashx?t=""&amp;A234,""table"",10),7,2),""*"",""""),""-"",""0.00""))"),"Loading...")</f>
        <v>Loading...</v>
      </c>
      <c r="L234" s="129">
        <v>4391381.0</v>
      </c>
      <c r="M234" s="99">
        <v>0.05</v>
      </c>
    </row>
    <row r="235">
      <c r="A235" s="122" t="s">
        <v>902</v>
      </c>
      <c r="B235" s="123">
        <v>1514946.0</v>
      </c>
      <c r="C235" s="124" t="s">
        <v>903</v>
      </c>
      <c r="D235" s="125"/>
      <c r="E235" s="126">
        <v>0.02</v>
      </c>
      <c r="F235" s="127"/>
      <c r="G235" s="127"/>
      <c r="H235" s="127"/>
      <c r="I235" s="128"/>
      <c r="K235" s="105" t="str">
        <f>IFERROR(__xludf.DUMMYFUNCTION("if(A235="""","""",substitute(SUBSTITUTE(index(importhtml(""http://finviz.com/quote.ashx?t=""&amp;A235,""table"",10),7,2),""*"",""""),""-"",""0.00""))"),"Loading...")</f>
        <v>Loading...</v>
      </c>
      <c r="L235" s="129">
        <v>4472088.0</v>
      </c>
      <c r="M235" s="99">
        <v>1.56</v>
      </c>
    </row>
    <row r="236">
      <c r="A236" s="122" t="s">
        <v>904</v>
      </c>
      <c r="B236" s="123">
        <v>1716947.0</v>
      </c>
      <c r="C236" s="124" t="s">
        <v>905</v>
      </c>
      <c r="D236" s="125"/>
      <c r="E236" s="126">
        <v>0.02</v>
      </c>
      <c r="F236" s="127"/>
      <c r="G236" s="127"/>
      <c r="H236" s="127"/>
      <c r="I236" s="128"/>
      <c r="K236" s="105" t="str">
        <f>IFERROR(__xludf.DUMMYFUNCTION("if(A236="""","""",substitute(SUBSTITUTE(index(importhtml(""http://finviz.com/quote.ashx?t=""&amp;A236,""table"",10),7,2),""*"",""""),""-"",""0.00""))"),"Loading...")</f>
        <v>Loading...</v>
      </c>
      <c r="L236" s="129">
        <v>4844953.0</v>
      </c>
      <c r="M236" s="99">
        <v>1.62</v>
      </c>
    </row>
    <row r="237">
      <c r="A237" s="122" t="s">
        <v>906</v>
      </c>
      <c r="B237" s="123">
        <v>1375195.0</v>
      </c>
      <c r="C237" s="124" t="s">
        <v>907</v>
      </c>
      <c r="D237" s="125"/>
      <c r="E237" s="126">
        <v>0.02</v>
      </c>
      <c r="F237" s="127"/>
      <c r="G237" s="127"/>
      <c r="H237" s="127"/>
      <c r="I237" s="128"/>
      <c r="K237" s="105" t="str">
        <f>IFERROR(__xludf.DUMMYFUNCTION("if(A237="""","""",substitute(SUBSTITUTE(index(importhtml(""http://finviz.com/quote.ashx?t=""&amp;A237,""table"",10),7,2),""*"",""""),""-"",""0.00""))"),"Loading...")</f>
        <v>Loading...</v>
      </c>
      <c r="L237" s="129">
        <v>4858181.0</v>
      </c>
      <c r="M237" s="99">
        <v>0.31</v>
      </c>
    </row>
    <row r="238">
      <c r="A238" s="122" t="s">
        <v>908</v>
      </c>
      <c r="B238" s="123">
        <v>1555214.0</v>
      </c>
      <c r="C238" s="124" t="s">
        <v>909</v>
      </c>
      <c r="D238" s="125"/>
      <c r="E238" s="126">
        <v>0.02</v>
      </c>
      <c r="F238" s="131" t="str">
        <f t="array" ref="F238">INDEX(A1:C10, MATCH("Cranberry", C1:C10, 0))</f>
        <v>#N/A</v>
      </c>
      <c r="G238" s="127"/>
      <c r="H238" s="127"/>
      <c r="I238" s="128"/>
      <c r="K238" s="105" t="str">
        <f>IFERROR(__xludf.DUMMYFUNCTION("if(A238="""","""",substitute(SUBSTITUTE(index(importhtml(""http://finviz.com/quote.ashx?t=""&amp;A238,""table"",10),7,2),""*"",""""),""-"",""0.00""))"),"Loading...")</f>
        <v>Loading...</v>
      </c>
      <c r="L238" s="129">
        <v>5221630.0</v>
      </c>
      <c r="M238" s="99">
        <v>0.88</v>
      </c>
    </row>
    <row r="239">
      <c r="A239" s="122" t="s">
        <v>910</v>
      </c>
      <c r="B239" s="123">
        <v>1631463.0</v>
      </c>
      <c r="C239" s="124" t="s">
        <v>911</v>
      </c>
      <c r="D239" s="125"/>
      <c r="E239" s="126">
        <v>0.02</v>
      </c>
      <c r="F239" s="127"/>
      <c r="G239" s="127"/>
      <c r="H239" s="127"/>
      <c r="I239" s="128"/>
      <c r="K239" s="105" t="str">
        <f>IFERROR(__xludf.DUMMYFUNCTION("if(A239="""","""",substitute(SUBSTITUTE(index(importhtml(""http://finviz.com/quote.ashx?t=""&amp;A239,""table"",10),7,2),""*"",""""),""-"",""0.00""))"),"Loading...")</f>
        <v>Loading...</v>
      </c>
      <c r="L239" s="129">
        <v>5427245.0</v>
      </c>
      <c r="M239" s="99">
        <v>-4.99</v>
      </c>
    </row>
    <row r="240">
      <c r="A240" s="122" t="s">
        <v>912</v>
      </c>
      <c r="B240" s="123">
        <v>1572386.0</v>
      </c>
      <c r="C240" s="124" t="s">
        <v>913</v>
      </c>
      <c r="D240" s="125"/>
      <c r="E240" s="126">
        <v>0.02</v>
      </c>
      <c r="F240" s="127"/>
      <c r="G240" s="127"/>
      <c r="H240" s="127"/>
      <c r="I240" s="128"/>
      <c r="K240" s="105" t="str">
        <f>IFERROR(__xludf.DUMMYFUNCTION("if(A240="""","""",substitute(SUBSTITUTE(index(importhtml(""http://finviz.com/quote.ashx?t=""&amp;A240,""table"",10),7,2),""*"",""""),""-"",""0.00""))"),"Loading...")</f>
        <v>Loading...</v>
      </c>
      <c r="L240" s="129">
        <v>5732570.0</v>
      </c>
      <c r="M240" s="99">
        <v>-0.9</v>
      </c>
    </row>
    <row r="241">
      <c r="A241" s="122" t="s">
        <v>914</v>
      </c>
      <c r="B241" s="123">
        <v>1584831.0</v>
      </c>
      <c r="C241" s="124" t="s">
        <v>915</v>
      </c>
      <c r="D241" s="125"/>
      <c r="E241" s="126">
        <v>0.02</v>
      </c>
      <c r="F241" s="127"/>
      <c r="G241" s="127"/>
      <c r="H241" s="127"/>
      <c r="I241" s="128"/>
      <c r="K241" s="105" t="str">
        <f>IFERROR(__xludf.DUMMYFUNCTION("if(A241="""","""",substitute(SUBSTITUTE(index(importhtml(""http://finviz.com/quote.ashx?t=""&amp;A241,""table"",10),7,2),""*"",""""),""-"",""0.00""))"),"Loading...")</f>
        <v>Loading...</v>
      </c>
      <c r="L241" s="129">
        <v>5907799.0</v>
      </c>
      <c r="M241" s="99">
        <v>0.49</v>
      </c>
    </row>
    <row r="242">
      <c r="A242" s="122" t="s">
        <v>916</v>
      </c>
      <c r="B242" s="123">
        <v>1481504.0</v>
      </c>
      <c r="C242" s="124" t="s">
        <v>917</v>
      </c>
      <c r="D242" s="125"/>
      <c r="E242" s="126">
        <v>0.02</v>
      </c>
      <c r="F242" s="127"/>
      <c r="G242" s="127"/>
      <c r="H242" s="127"/>
      <c r="I242" s="128"/>
      <c r="K242" s="105" t="str">
        <f>IFERROR(__xludf.DUMMYFUNCTION("if(A242="""","""",substitute(SUBSTITUTE(index(importhtml(""http://finviz.com/quote.ashx?t=""&amp;A242,""table"",10),7,2),""*"",""""),""-"",""0.00""))"),"Loading...")</f>
        <v>Loading...</v>
      </c>
      <c r="L242" s="129">
        <v>6084096.0</v>
      </c>
      <c r="M242" s="99">
        <v>1.03</v>
      </c>
    </row>
    <row r="243">
      <c r="A243" s="122" t="s">
        <v>918</v>
      </c>
      <c r="B243" s="123">
        <v>1580110.0</v>
      </c>
      <c r="C243" s="124" t="s">
        <v>919</v>
      </c>
      <c r="D243" s="125"/>
      <c r="E243" s="126">
        <v>0.02</v>
      </c>
      <c r="F243" s="127"/>
      <c r="G243" s="127"/>
      <c r="H243" s="127"/>
      <c r="I243" s="128"/>
      <c r="K243" s="105" t="str">
        <f>IFERROR(__xludf.DUMMYFUNCTION("if(A243="""","""",substitute(SUBSTITUTE(index(importhtml(""http://finviz.com/quote.ashx?t=""&amp;A243,""table"",10),7,2),""*"",""""),""-"",""0.00""))"),"Loading...")</f>
        <v>Loading...</v>
      </c>
      <c r="L243" s="129">
        <v>6117205.0</v>
      </c>
      <c r="M243" s="99">
        <v>3.21</v>
      </c>
    </row>
    <row r="244">
      <c r="A244" s="122" t="s">
        <v>920</v>
      </c>
      <c r="B244" s="123">
        <v>1108329.0</v>
      </c>
      <c r="C244" s="124" t="s">
        <v>921</v>
      </c>
      <c r="D244" s="125"/>
      <c r="E244" s="126">
        <v>0.02</v>
      </c>
      <c r="F244" s="127"/>
      <c r="G244" s="127"/>
      <c r="H244" s="127"/>
      <c r="I244" s="128"/>
      <c r="K244" s="105" t="str">
        <f>IFERROR(__xludf.DUMMYFUNCTION("if(A244="""","""",substitute(SUBSTITUTE(index(importhtml(""http://finviz.com/quote.ashx?t=""&amp;A244,""table"",10),7,2),""*"",""""),""-"",""0.00""))"),"Loading...")</f>
        <v>Loading...</v>
      </c>
      <c r="L244" s="129">
        <v>6472836.0</v>
      </c>
      <c r="M244" s="99" t="e">
        <v>#N/A</v>
      </c>
    </row>
    <row r="245">
      <c r="A245" s="122" t="s">
        <v>922</v>
      </c>
      <c r="B245" s="123">
        <v>1522142.0</v>
      </c>
      <c r="C245" s="124" t="s">
        <v>923</v>
      </c>
      <c r="D245" s="125"/>
      <c r="E245" s="126">
        <v>0.02</v>
      </c>
      <c r="F245" s="127"/>
      <c r="G245" s="127"/>
      <c r="H245" s="127"/>
      <c r="I245" s="128"/>
      <c r="K245" s="105" t="str">
        <f>IFERROR(__xludf.DUMMYFUNCTION("if(A245="""","""",substitute(SUBSTITUTE(index(importhtml(""http://finviz.com/quote.ashx?t=""&amp;A245,""table"",10),7,2),""*"",""""),""-"",""0.00""))"),"Loading...")</f>
        <v>Loading...</v>
      </c>
      <c r="L245" s="129">
        <v>6525395.0</v>
      </c>
      <c r="M245" s="99">
        <v>1.37</v>
      </c>
    </row>
    <row r="246">
      <c r="A246" s="122" t="s">
        <v>924</v>
      </c>
      <c r="B246" s="123">
        <v>1528188.0</v>
      </c>
      <c r="C246" s="124" t="s">
        <v>925</v>
      </c>
      <c r="D246" s="125"/>
      <c r="E246" s="126">
        <v>0.02</v>
      </c>
      <c r="F246" s="127"/>
      <c r="G246" s="127"/>
      <c r="H246" s="127"/>
      <c r="I246" s="128"/>
      <c r="K246" s="105" t="str">
        <f>IFERROR(__xludf.DUMMYFUNCTION("if(A246="""","""",substitute(SUBSTITUTE(index(importhtml(""http://finviz.com/quote.ashx?t=""&amp;A246,""table"",10),7,2),""*"",""""),""-"",""0.00""))"),"Loading...")</f>
        <v>Loading...</v>
      </c>
      <c r="L246" s="129">
        <v>7646930.0</v>
      </c>
      <c r="M246" s="99" t="e">
        <v>#N/A</v>
      </c>
    </row>
    <row r="247">
      <c r="A247" s="122" t="s">
        <v>926</v>
      </c>
      <c r="B247" s="123">
        <v>1104038.0</v>
      </c>
      <c r="C247" s="124" t="s">
        <v>927</v>
      </c>
      <c r="D247" s="125"/>
      <c r="E247" s="126">
        <v>0.02</v>
      </c>
      <c r="F247" s="127"/>
      <c r="G247" s="127"/>
      <c r="H247" s="127"/>
      <c r="I247" s="128"/>
      <c r="K247" s="105" t="str">
        <f>IFERROR(__xludf.DUMMYFUNCTION("if(A247="""","""",substitute(SUBSTITUTE(index(importhtml(""http://finviz.com/quote.ashx?t=""&amp;A247,""table"",10),7,2),""*"",""""),""-"",""0.00""))"),"Loading...")</f>
        <v>Loading...</v>
      </c>
      <c r="L247" s="129">
        <v>1.0791149E7</v>
      </c>
      <c r="M247" s="99">
        <v>-2.82</v>
      </c>
    </row>
    <row r="248">
      <c r="A248" s="122" t="s">
        <v>928</v>
      </c>
      <c r="B248" s="123">
        <v>1744494.0</v>
      </c>
      <c r="C248" s="124" t="s">
        <v>929</v>
      </c>
      <c r="D248" s="125"/>
      <c r="E248" s="126">
        <v>0.02</v>
      </c>
      <c r="F248" s="127"/>
      <c r="G248" s="127"/>
      <c r="H248" s="127"/>
      <c r="I248" s="128"/>
      <c r="K248" s="105" t="str">
        <f>IFERROR(__xludf.DUMMYFUNCTION("if(A248="""","""",substitute(SUBSTITUTE(index(importhtml(""http://finviz.com/quote.ashx?t=""&amp;A248,""table"",10),7,2),""*"",""""),""-"",""0.00""))"),"Loading...")</f>
        <v>Loading...</v>
      </c>
      <c r="L248" s="129">
        <v>1.0896065E7</v>
      </c>
      <c r="M248" s="99">
        <v>3.18</v>
      </c>
    </row>
    <row r="249">
      <c r="A249" s="122" t="s">
        <v>930</v>
      </c>
      <c r="B249" s="123">
        <v>312070.0</v>
      </c>
      <c r="C249" s="124" t="s">
        <v>931</v>
      </c>
      <c r="D249" s="125"/>
      <c r="E249" s="126">
        <v>0.02</v>
      </c>
      <c r="F249" s="127"/>
      <c r="G249" s="127"/>
      <c r="H249" s="127"/>
      <c r="I249" s="128"/>
      <c r="K249" s="105" t="str">
        <f>IFERROR(__xludf.DUMMYFUNCTION("if(A249="""","""",substitute(SUBSTITUTE(index(importhtml(""http://finviz.com/quote.ashx?t=""&amp;A249,""table"",10),7,2),""*"",""""),""-"",""0.00""))"),"Loading...")</f>
        <v>Loading...</v>
      </c>
      <c r="L249" s="129">
        <v>1.1840429E7</v>
      </c>
      <c r="M249" s="99" t="e">
        <v>#N/A</v>
      </c>
    </row>
    <row r="250">
      <c r="A250" s="122" t="s">
        <v>932</v>
      </c>
      <c r="B250" s="123">
        <v>1326390.0</v>
      </c>
      <c r="C250" s="124" t="s">
        <v>933</v>
      </c>
      <c r="D250" s="125"/>
      <c r="E250" s="126">
        <v>0.02</v>
      </c>
      <c r="F250" s="127"/>
      <c r="G250" s="127"/>
      <c r="H250" s="127"/>
      <c r="I250" s="128"/>
      <c r="K250" s="105" t="str">
        <f>IFERROR(__xludf.DUMMYFUNCTION("if(A250="""","""",substitute(SUBSTITUTE(index(importhtml(""http://finviz.com/quote.ashx?t=""&amp;A250,""table"",10),7,2),""*"",""""),""-"",""0.00""))"),"Loading...")</f>
        <v>Loading...</v>
      </c>
      <c r="L250" s="129">
        <v>1.3111658E7</v>
      </c>
      <c r="M250" s="99" t="e">
        <v>#N/A</v>
      </c>
    </row>
    <row r="251">
      <c r="A251" s="122" t="s">
        <v>934</v>
      </c>
      <c r="B251" s="123">
        <v>1839360.0</v>
      </c>
      <c r="C251" s="124" t="s">
        <v>935</v>
      </c>
      <c r="D251" s="125"/>
      <c r="E251" s="126">
        <v>0.02</v>
      </c>
      <c r="F251" s="127"/>
      <c r="G251" s="127"/>
      <c r="H251" s="127"/>
      <c r="I251" s="128"/>
      <c r="K251" s="105" t="str">
        <f>IFERROR(__xludf.DUMMYFUNCTION("if(A251="""","""",substitute(SUBSTITUTE(index(importhtml(""http://finviz.com/quote.ashx?t=""&amp;A251,""table"",10),7,2),""*"",""""),""-"",""0.00""))"),"Loading...")</f>
        <v>Loading...</v>
      </c>
      <c r="L251" s="129">
        <v>1.5030393E7</v>
      </c>
      <c r="M251" s="99" t="e">
        <v>#N/A</v>
      </c>
    </row>
    <row r="252">
      <c r="A252" s="122" t="s">
        <v>936</v>
      </c>
      <c r="B252" s="123">
        <v>1498067.0</v>
      </c>
      <c r="C252" s="124" t="s">
        <v>937</v>
      </c>
      <c r="D252" s="125"/>
      <c r="E252" s="126">
        <v>0.02</v>
      </c>
      <c r="F252" s="127"/>
      <c r="G252" s="127"/>
      <c r="H252" s="127"/>
      <c r="I252" s="128"/>
      <c r="K252" s="105" t="str">
        <f>IFERROR(__xludf.DUMMYFUNCTION("if(A252="""","""",substitute(SUBSTITUTE(index(importhtml(""http://finviz.com/quote.ashx?t=""&amp;A252,""table"",10),7,2),""*"",""""),""-"",""0.00""))"),"Loading...")</f>
        <v>Loading...</v>
      </c>
      <c r="L252" s="129">
        <v>1.738267E7</v>
      </c>
      <c r="M252" s="99">
        <v>0.64</v>
      </c>
    </row>
    <row r="253">
      <c r="A253" s="122" t="s">
        <v>938</v>
      </c>
      <c r="B253" s="123">
        <v>1400271.0</v>
      </c>
      <c r="C253" s="124" t="s">
        <v>939</v>
      </c>
      <c r="D253" s="125"/>
      <c r="E253" s="126">
        <v>0.02</v>
      </c>
      <c r="F253" s="127"/>
      <c r="G253" s="127"/>
      <c r="H253" s="127"/>
      <c r="I253" s="128"/>
      <c r="K253" s="105" t="str">
        <f>IFERROR(__xludf.DUMMYFUNCTION("if(A253="""","""",substitute(SUBSTITUTE(index(importhtml(""http://finviz.com/quote.ashx?t=""&amp;A253,""table"",10),7,2),""*"",""""),""-"",""0.00""))"),"Loading...")</f>
        <v>Loading...</v>
      </c>
      <c r="L253" s="129">
        <v>1.7809521E7</v>
      </c>
      <c r="M253" s="99">
        <v>0.21</v>
      </c>
    </row>
    <row r="254">
      <c r="A254" s="122" t="s">
        <v>940</v>
      </c>
      <c r="B254" s="123">
        <v>747435.0</v>
      </c>
      <c r="C254" s="124" t="s">
        <v>941</v>
      </c>
      <c r="D254" s="125"/>
      <c r="E254" s="126">
        <v>0.02</v>
      </c>
      <c r="F254" s="127"/>
      <c r="G254" s="127"/>
      <c r="H254" s="127"/>
      <c r="I254" s="128"/>
      <c r="K254" s="105" t="str">
        <f>IFERROR(__xludf.DUMMYFUNCTION("if(A254="""","""",substitute(SUBSTITUTE(index(importhtml(""http://finviz.com/quote.ashx?t=""&amp;A254,""table"",10),7,2),""*"",""""),""-"",""0.00""))"),"Loading...")</f>
        <v>Loading...</v>
      </c>
      <c r="L254" s="129">
        <v>2.0467279E7</v>
      </c>
      <c r="M254" s="99">
        <v>2.16</v>
      </c>
    </row>
    <row r="255">
      <c r="A255" s="122" t="s">
        <v>942</v>
      </c>
      <c r="B255" s="123">
        <v>1849820.0</v>
      </c>
      <c r="C255" s="124" t="s">
        <v>943</v>
      </c>
      <c r="D255" s="125"/>
      <c r="E255" s="126">
        <v>0.02</v>
      </c>
      <c r="F255" s="127"/>
      <c r="G255" s="127"/>
      <c r="H255" s="127"/>
      <c r="I255" s="128"/>
      <c r="K255" s="105" t="str">
        <f>IFERROR(__xludf.DUMMYFUNCTION("if(A255="""","""",substitute(SUBSTITUTE(index(importhtml(""http://finviz.com/quote.ashx?t=""&amp;A255,""table"",10),7,2),""*"",""""),""-"",""0.00""))"),"Loading...")</f>
        <v>Loading...</v>
      </c>
      <c r="L255" s="129">
        <v>2.139649E7</v>
      </c>
      <c r="M255" s="99" t="e">
        <v>#N/A</v>
      </c>
    </row>
    <row r="256">
      <c r="A256" s="122" t="s">
        <v>944</v>
      </c>
      <c r="B256" s="123">
        <v>1417663.0</v>
      </c>
      <c r="C256" s="124" t="s">
        <v>945</v>
      </c>
      <c r="D256" s="125"/>
      <c r="E256" s="126">
        <v>0.02</v>
      </c>
      <c r="F256" s="127"/>
      <c r="G256" s="127"/>
      <c r="H256" s="127"/>
      <c r="I256" s="128"/>
      <c r="K256" s="105" t="str">
        <f>IFERROR(__xludf.DUMMYFUNCTION("if(A256="""","""",substitute(SUBSTITUTE(index(importhtml(""http://finviz.com/quote.ashx?t=""&amp;A256,""table"",10),7,2),""*"",""""),""-"",""0.00""))"),"Loading...")</f>
        <v>Loading...</v>
      </c>
      <c r="L256" s="129">
        <v>2.1670632E7</v>
      </c>
      <c r="M256" s="99">
        <v>1.04</v>
      </c>
    </row>
    <row r="257">
      <c r="A257" s="122" t="s">
        <v>946</v>
      </c>
      <c r="B257" s="123">
        <v>1865701.0</v>
      </c>
      <c r="C257" s="124" t="s">
        <v>947</v>
      </c>
      <c r="D257" s="125"/>
      <c r="E257" s="126">
        <v>0.02</v>
      </c>
      <c r="F257" s="127"/>
      <c r="G257" s="127"/>
      <c r="H257" s="127"/>
      <c r="I257" s="128"/>
      <c r="K257" s="105" t="str">
        <f>IFERROR(__xludf.DUMMYFUNCTION("if(A257="""","""",substitute(SUBSTITUTE(index(importhtml(""http://finviz.com/quote.ashx?t=""&amp;A257,""table"",10),7,2),""*"",""""),""-"",""0.00""))"),"Loading...")</f>
        <v>Loading...</v>
      </c>
      <c r="L257" s="129">
        <v>2.2295597E7</v>
      </c>
      <c r="M257" s="99" t="e">
        <v>#N/A</v>
      </c>
    </row>
    <row r="258">
      <c r="A258" s="122" t="s">
        <v>948</v>
      </c>
      <c r="B258" s="123">
        <v>1769624.0</v>
      </c>
      <c r="C258" s="124" t="s">
        <v>949</v>
      </c>
      <c r="D258" s="125"/>
      <c r="E258" s="126">
        <v>0.02</v>
      </c>
      <c r="F258" s="127"/>
      <c r="G258" s="127"/>
      <c r="H258" s="127"/>
      <c r="I258" s="128"/>
      <c r="K258" s="105" t="str">
        <f>IFERROR(__xludf.DUMMYFUNCTION("if(A258="""","""",substitute(SUBSTITUTE(index(importhtml(""http://finviz.com/quote.ashx?t=""&amp;A258,""table"",10),7,2),""*"",""""),""-"",""0.00""))"),"Loading...")</f>
        <v>Loading...</v>
      </c>
      <c r="L258" s="129">
        <v>2.4805113E7</v>
      </c>
      <c r="M258" s="99">
        <v>2.61</v>
      </c>
    </row>
    <row r="259">
      <c r="A259" s="122" t="s">
        <v>950</v>
      </c>
      <c r="B259" s="123">
        <v>1630511.0</v>
      </c>
      <c r="C259" s="124" t="s">
        <v>951</v>
      </c>
      <c r="D259" s="125"/>
      <c r="E259" s="126">
        <v>0.02</v>
      </c>
      <c r="F259" s="127"/>
      <c r="G259" s="127"/>
      <c r="H259" s="127"/>
      <c r="I259" s="128"/>
      <c r="K259" s="105" t="str">
        <f>IFERROR(__xludf.DUMMYFUNCTION("if(A259="""","""",substitute(SUBSTITUTE(index(importhtml(""http://finviz.com/quote.ashx?t=""&amp;A259,""table"",10),7,2),""*"",""""),""-"",""0.00""))"),"Loading...")</f>
        <v>Loading...</v>
      </c>
      <c r="L259" s="129">
        <v>2.622619E7</v>
      </c>
      <c r="M259" s="99">
        <v>2.29</v>
      </c>
    </row>
    <row r="260">
      <c r="A260" s="122" t="s">
        <v>952</v>
      </c>
      <c r="B260" s="123">
        <v>862651.0</v>
      </c>
      <c r="C260" s="124" t="s">
        <v>953</v>
      </c>
      <c r="D260" s="125"/>
      <c r="E260" s="126">
        <v>0.02</v>
      </c>
      <c r="F260" s="127"/>
      <c r="G260" s="127"/>
      <c r="H260" s="127"/>
      <c r="I260" s="128"/>
      <c r="K260" s="105" t="str">
        <f>IFERROR(__xludf.DUMMYFUNCTION("if(A260="""","""",substitute(SUBSTITUTE(index(importhtml(""http://finviz.com/quote.ashx?t=""&amp;A260,""table"",10),7,2),""*"",""""),""-"",""0.00""))"),"Loading...")</f>
        <v>Loading...</v>
      </c>
      <c r="L260" s="129">
        <v>2.8757453E7</v>
      </c>
      <c r="M260" s="99">
        <v>3.4</v>
      </c>
    </row>
    <row r="261">
      <c r="A261" s="122" t="s">
        <v>954</v>
      </c>
      <c r="B261" s="123">
        <v>926042.0</v>
      </c>
      <c r="C261" s="124" t="s">
        <v>955</v>
      </c>
      <c r="D261" s="125"/>
      <c r="E261" s="126">
        <v>0.02</v>
      </c>
      <c r="F261" s="127"/>
      <c r="G261" s="127"/>
      <c r="H261" s="127"/>
      <c r="I261" s="128"/>
      <c r="K261" s="105" t="str">
        <f>IFERROR(__xludf.DUMMYFUNCTION("if(A261="""","""",substitute(SUBSTITUTE(index(importhtml(""http://finviz.com/quote.ashx?t=""&amp;A261,""table"",10),7,2),""*"",""""),""-"",""0.00""))"),"Loading...")</f>
        <v>Loading...</v>
      </c>
      <c r="L261" s="129">
        <v>3.2134119E7</v>
      </c>
      <c r="M261" s="99" t="str">
        <f>IFERROR(__xludf.DUMMYFUNCTION("GOOGLEFINANCE(A261,""beta"")"),"#N/A")</f>
        <v>#N/A</v>
      </c>
    </row>
    <row r="262">
      <c r="A262" s="122" t="s">
        <v>956</v>
      </c>
      <c r="B262" s="123">
        <v>1718405.0</v>
      </c>
      <c r="C262" s="124" t="s">
        <v>957</v>
      </c>
      <c r="D262" s="125"/>
      <c r="E262" s="126">
        <v>0.02</v>
      </c>
      <c r="F262" s="127"/>
      <c r="G262" s="127"/>
      <c r="H262" s="127"/>
      <c r="I262" s="128"/>
      <c r="K262" s="105" t="str">
        <f>IFERROR(__xludf.DUMMYFUNCTION("if(A262="""","""",substitute(SUBSTITUTE(index(importhtml(""http://finviz.com/quote.ashx?t=""&amp;A262,""table"",10),7,2),""*"",""""),""-"",""0.00""))"),"Loading...")</f>
        <v>Loading...</v>
      </c>
      <c r="L262" s="129">
        <v>4.0628692E7</v>
      </c>
      <c r="M262" s="99">
        <v>4.99</v>
      </c>
    </row>
    <row r="263">
      <c r="A263" s="122" t="s">
        <v>958</v>
      </c>
      <c r="B263" s="123">
        <v>1410738.0</v>
      </c>
      <c r="C263" s="124" t="s">
        <v>959</v>
      </c>
      <c r="D263" s="125"/>
      <c r="E263" s="126">
        <v>0.02</v>
      </c>
      <c r="F263" s="127"/>
      <c r="G263" s="127"/>
      <c r="H263" s="127"/>
      <c r="I263" s="128"/>
      <c r="K263" s="105" t="str">
        <f>IFERROR(__xludf.DUMMYFUNCTION("if(A263="""","""",substitute(SUBSTITUTE(index(importhtml(""http://finviz.com/quote.ashx?t=""&amp;A263,""table"",10),7,2),""*"",""""),""-"",""0.00""))"),"Loading...")</f>
        <v>Loading...</v>
      </c>
      <c r="L263" s="129">
        <v>4.0832043E7</v>
      </c>
      <c r="M263" s="99">
        <v>0.18</v>
      </c>
    </row>
    <row r="264">
      <c r="A264" s="122" t="s">
        <v>960</v>
      </c>
      <c r="B264" s="123">
        <v>1868775.0</v>
      </c>
      <c r="C264" s="124" t="s">
        <v>961</v>
      </c>
      <c r="D264" s="125"/>
      <c r="E264" s="126">
        <v>0.02</v>
      </c>
      <c r="F264" s="127"/>
      <c r="G264" s="127"/>
      <c r="H264" s="127"/>
      <c r="I264" s="128"/>
      <c r="K264" s="105" t="str">
        <f>IFERROR(__xludf.DUMMYFUNCTION("if(A264="""","""",substitute(SUBSTITUTE(index(importhtml(""http://finviz.com/quote.ashx?t=""&amp;A264,""table"",10),7,2),""*"",""""),""-"",""0.00""))"),"Loading...")</f>
        <v>Loading...</v>
      </c>
      <c r="L264" s="129">
        <v>4.091665E7</v>
      </c>
      <c r="M264" s="99" t="str">
        <f>IFERROR(__xludf.DUMMYFUNCTION("GOOGLEFINANCE(A264,""beta"")"),"#N/A")</f>
        <v>#N/A</v>
      </c>
    </row>
    <row r="265">
      <c r="A265" s="122" t="s">
        <v>962</v>
      </c>
      <c r="B265" s="123">
        <v>1907730.0</v>
      </c>
      <c r="C265" s="124" t="s">
        <v>963</v>
      </c>
      <c r="D265" s="125"/>
      <c r="E265" s="126">
        <v>0.02</v>
      </c>
      <c r="F265" s="127"/>
      <c r="G265" s="127"/>
      <c r="H265" s="127"/>
      <c r="I265" s="128"/>
      <c r="K265" s="105" t="str">
        <f>IFERROR(__xludf.DUMMYFUNCTION("if(A265="""","""",substitute(SUBSTITUTE(index(importhtml(""http://finviz.com/quote.ashx?t=""&amp;A265,""table"",10),7,2),""*"",""""),""-"",""0.00""))"),"Loading...")</f>
        <v>Loading...</v>
      </c>
      <c r="L265" s="129">
        <v>4.2012491E7</v>
      </c>
      <c r="M265" s="99" t="str">
        <f>IFERROR(__xludf.DUMMYFUNCTION("GOOGLEFINANCE(A265,""beta"")"),"#N/A")</f>
        <v>#N/A</v>
      </c>
    </row>
    <row r="266">
      <c r="A266" s="122" t="s">
        <v>964</v>
      </c>
      <c r="B266" s="123">
        <v>1865191.0</v>
      </c>
      <c r="C266" s="124" t="s">
        <v>965</v>
      </c>
      <c r="D266" s="125"/>
      <c r="E266" s="126">
        <v>0.02</v>
      </c>
      <c r="F266" s="127"/>
      <c r="G266" s="127"/>
      <c r="H266" s="127"/>
      <c r="I266" s="128"/>
      <c r="K266" s="105" t="str">
        <f>IFERROR(__xludf.DUMMYFUNCTION("if(A266="""","""",substitute(SUBSTITUTE(index(importhtml(""http://finviz.com/quote.ashx?t=""&amp;A266,""table"",10),7,2),""*"",""""),""-"",""0.00""))"),"Loading...")</f>
        <v>Loading...</v>
      </c>
      <c r="L266" s="129">
        <v>4.2426335E7</v>
      </c>
      <c r="M266" s="99" t="str">
        <f>IFERROR(__xludf.DUMMYFUNCTION("GOOGLEFINANCE(A266,""beta"")"),"#N/A")</f>
        <v>#N/A</v>
      </c>
    </row>
    <row r="267">
      <c r="A267" s="122" t="s">
        <v>966</v>
      </c>
      <c r="B267" s="123">
        <v>1879373.0</v>
      </c>
      <c r="C267" s="124" t="s">
        <v>967</v>
      </c>
      <c r="D267" s="125"/>
      <c r="E267" s="126">
        <v>0.02</v>
      </c>
      <c r="F267" s="127"/>
      <c r="G267" s="127"/>
      <c r="H267" s="127"/>
      <c r="I267" s="128"/>
      <c r="K267" s="105" t="str">
        <f>IFERROR(__xludf.DUMMYFUNCTION("if(A267="""","""",substitute(SUBSTITUTE(index(importhtml(""http://finviz.com/quote.ashx?t=""&amp;A267,""table"",10),7,2),""*"",""""),""-"",""0.00""))"),"Loading...")</f>
        <v>Loading...</v>
      </c>
      <c r="L267" s="129">
        <v>4.7446756E7</v>
      </c>
      <c r="M267" s="99" t="str">
        <f>IFERROR(__xludf.DUMMYFUNCTION("GOOGLEFINANCE(A267,""beta"")"),"#N/A")</f>
        <v>#N/A</v>
      </c>
    </row>
    <row r="268">
      <c r="A268" s="122" t="s">
        <v>968</v>
      </c>
      <c r="B268" s="123">
        <v>1068618.0</v>
      </c>
      <c r="C268" s="124" t="s">
        <v>969</v>
      </c>
      <c r="D268" s="125"/>
      <c r="E268" s="126">
        <v>0.02</v>
      </c>
      <c r="F268" s="127"/>
      <c r="G268" s="127"/>
      <c r="H268" s="127"/>
      <c r="I268" s="128"/>
      <c r="K268" s="105" t="str">
        <f>IFERROR(__xludf.DUMMYFUNCTION("if(A268="""","""",substitute(SUBSTITUTE(index(importhtml(""http://finviz.com/quote.ashx?t=""&amp;A268,""table"",10),7,2),""*"",""""),""-"",""0.00""))"),"Loading...")</f>
        <v>Loading...</v>
      </c>
      <c r="L268" s="129">
        <v>5.1137687E7</v>
      </c>
      <c r="M268" s="99">
        <f>IFERROR(__xludf.DUMMYFUNCTION("GOOGLEFINANCE(A268,""beta"")"),10.38)</f>
        <v>10.38</v>
      </c>
    </row>
    <row r="269">
      <c r="A269" s="122" t="s">
        <v>970</v>
      </c>
      <c r="B269" s="123">
        <v>1833214.0</v>
      </c>
      <c r="C269" s="124" t="s">
        <v>971</v>
      </c>
      <c r="D269" s="125"/>
      <c r="E269" s="126">
        <v>0.02</v>
      </c>
      <c r="F269" s="127"/>
      <c r="G269" s="127"/>
      <c r="H269" s="127"/>
      <c r="I269" s="128"/>
      <c r="K269" s="105" t="str">
        <f>IFERROR(__xludf.DUMMYFUNCTION("if(A269="""","""",substitute(SUBSTITUTE(index(importhtml(""http://finviz.com/quote.ashx?t=""&amp;A269,""table"",10),7,2),""*"",""""),""-"",""0.00""))"),"Loading...")</f>
        <v>Loading...</v>
      </c>
      <c r="L269" s="129">
        <v>5.4983938E7</v>
      </c>
      <c r="M269" s="99">
        <f>IFERROR(__xludf.DUMMYFUNCTION("GOOGLEFINANCE(A269,""beta"")"),1.13)</f>
        <v>1.13</v>
      </c>
    </row>
    <row r="270">
      <c r="A270" s="122" t="s">
        <v>972</v>
      </c>
      <c r="B270" s="123">
        <v>1822886.0</v>
      </c>
      <c r="C270" s="124" t="s">
        <v>973</v>
      </c>
      <c r="D270" s="125"/>
      <c r="E270" s="126">
        <v>0.02</v>
      </c>
      <c r="F270" s="127"/>
      <c r="G270" s="127"/>
      <c r="H270" s="127"/>
      <c r="I270" s="128"/>
      <c r="K270" s="105" t="str">
        <f>IFERROR(__xludf.DUMMYFUNCTION("if(A270="""","""",substitute(SUBSTITUTE(index(importhtml(""http://finviz.com/quote.ashx?t=""&amp;A270,""table"",10),7,2),""*"",""""),""-"",""0.00""))"),"Loading...")</f>
        <v>Loading...</v>
      </c>
      <c r="L270" s="129">
        <v>5.6058194E7</v>
      </c>
      <c r="M270" s="99" t="str">
        <f>IFERROR(__xludf.DUMMYFUNCTION("GOOGLEFINANCE(A270,""beta"")"),"#N/A")</f>
        <v>#N/A</v>
      </c>
    </row>
    <row r="271">
      <c r="A271" s="122" t="s">
        <v>974</v>
      </c>
      <c r="B271" s="123">
        <v>1845942.0</v>
      </c>
      <c r="C271" s="124" t="s">
        <v>975</v>
      </c>
      <c r="D271" s="125"/>
      <c r="E271" s="126">
        <v>0.02</v>
      </c>
      <c r="F271" s="127"/>
      <c r="G271" s="127"/>
      <c r="H271" s="127"/>
      <c r="I271" s="128"/>
      <c r="K271" s="105" t="str">
        <f>IFERROR(__xludf.DUMMYFUNCTION("if(A271="""","""",substitute(SUBSTITUTE(index(importhtml(""http://finviz.com/quote.ashx?t=""&amp;A271,""table"",10),7,2),""*"",""""),""-"",""0.00""))"),"Loading...")</f>
        <v>Loading...</v>
      </c>
      <c r="L271" s="129">
        <v>5.9280192E7</v>
      </c>
      <c r="M271" s="99" t="str">
        <f>IFERROR(__xludf.DUMMYFUNCTION("GOOGLEFINANCE(A271,""beta"")"),"#N/A")</f>
        <v>#N/A</v>
      </c>
    </row>
    <row r="272">
      <c r="A272" s="122" t="s">
        <v>976</v>
      </c>
      <c r="B272" s="123">
        <v>783280.0</v>
      </c>
      <c r="C272" s="124" t="s">
        <v>977</v>
      </c>
      <c r="D272" s="125"/>
      <c r="E272" s="126">
        <v>0.02</v>
      </c>
      <c r="F272" s="127"/>
      <c r="G272" s="127"/>
      <c r="H272" s="127"/>
      <c r="I272" s="128"/>
      <c r="K272" s="105" t="str">
        <f>IFERROR(__xludf.DUMMYFUNCTION("if(A272="""","""",substitute(SUBSTITUTE(index(importhtml(""http://finviz.com/quote.ashx?t=""&amp;A272,""table"",10),7,2),""*"",""""),""-"",""0.00""))"),"Loading...")</f>
        <v>Loading...</v>
      </c>
      <c r="L272" s="129">
        <v>6.2797258E7</v>
      </c>
      <c r="M272" s="99" t="str">
        <f>IFERROR(__xludf.DUMMYFUNCTION("GOOGLEFINANCE(A272,""beta"")"),"#N/A")</f>
        <v>#N/A</v>
      </c>
    </row>
    <row r="273">
      <c r="A273" s="122" t="s">
        <v>978</v>
      </c>
      <c r="B273" s="123">
        <v>1901886.0</v>
      </c>
      <c r="C273" s="124" t="s">
        <v>979</v>
      </c>
      <c r="D273" s="125"/>
      <c r="E273" s="126">
        <v>0.02</v>
      </c>
      <c r="F273" s="127"/>
      <c r="G273" s="127"/>
      <c r="H273" s="127"/>
      <c r="I273" s="128"/>
      <c r="K273" s="105" t="str">
        <f>IFERROR(__xludf.DUMMYFUNCTION("if(A273="""","""",substitute(SUBSTITUTE(index(importhtml(""http://finviz.com/quote.ashx?t=""&amp;A273,""table"",10),7,2),""*"",""""),""-"",""0.00""))"),"Loading...")</f>
        <v>Loading...</v>
      </c>
      <c r="L273" s="129">
        <v>6.342521E7</v>
      </c>
      <c r="M273" s="99" t="str">
        <f>IFERROR(__xludf.DUMMYFUNCTION("GOOGLEFINANCE(A273,""beta"")"),"#N/A")</f>
        <v>#N/A</v>
      </c>
    </row>
    <row r="274">
      <c r="A274" s="122" t="s">
        <v>980</v>
      </c>
      <c r="B274" s="123">
        <v>1721181.0</v>
      </c>
      <c r="C274" s="124" t="s">
        <v>981</v>
      </c>
      <c r="D274" s="125"/>
      <c r="E274" s="126">
        <v>0.02</v>
      </c>
      <c r="F274" s="127"/>
      <c r="G274" s="127"/>
      <c r="H274" s="127"/>
      <c r="I274" s="128"/>
      <c r="K274" s="105" t="str">
        <f>IFERROR(__xludf.DUMMYFUNCTION("if(A274="""","""",substitute(SUBSTITUTE(index(importhtml(""http://finviz.com/quote.ashx?t=""&amp;A274,""table"",10),7,2),""*"",""""),""-"",""0.00""))"),"Loading...")</f>
        <v>Loading...</v>
      </c>
      <c r="L274" s="129">
        <v>6.4880549E7</v>
      </c>
      <c r="M274" s="99" t="str">
        <f>IFERROR(__xludf.DUMMYFUNCTION("GOOGLEFINANCE(A274,""beta"")"),"#N/A")</f>
        <v>#N/A</v>
      </c>
    </row>
    <row r="275">
      <c r="A275" s="122" t="s">
        <v>982</v>
      </c>
      <c r="B275" s="123">
        <v>1844419.0</v>
      </c>
      <c r="C275" s="124" t="s">
        <v>983</v>
      </c>
      <c r="D275" s="125"/>
      <c r="E275" s="126">
        <v>0.02</v>
      </c>
      <c r="F275" s="127"/>
      <c r="G275" s="127"/>
      <c r="H275" s="127"/>
      <c r="I275" s="128"/>
      <c r="K275" s="105" t="str">
        <f>IFERROR(__xludf.DUMMYFUNCTION("if(A275="""","""",substitute(SUBSTITUTE(index(importhtml(""http://finviz.com/quote.ashx?t=""&amp;A275,""table"",10),7,2),""*"",""""),""-"",""0.00""))"),"Loading...")</f>
        <v>Loading...</v>
      </c>
      <c r="L275" s="129">
        <v>6.7782418E7</v>
      </c>
      <c r="M275" s="99" t="str">
        <f>IFERROR(__xludf.DUMMYFUNCTION("GOOGLEFINANCE(A275,""beta"")"),"#N/A")</f>
        <v>#N/A</v>
      </c>
    </row>
    <row r="276">
      <c r="A276" s="122" t="s">
        <v>984</v>
      </c>
      <c r="B276" s="123">
        <v>1900679.0</v>
      </c>
      <c r="C276" s="124" t="s">
        <v>985</v>
      </c>
      <c r="D276" s="125"/>
      <c r="E276" s="126">
        <v>0.02</v>
      </c>
      <c r="F276" s="127"/>
      <c r="G276" s="127"/>
      <c r="H276" s="127"/>
      <c r="I276" s="128"/>
      <c r="K276" s="105" t="str">
        <f>IFERROR(__xludf.DUMMYFUNCTION("if(A276="""","""",substitute(SUBSTITUTE(index(importhtml(""http://finviz.com/quote.ashx?t=""&amp;A276,""table"",10),7,2),""*"",""""),""-"",""0.00""))"),"Loading...")</f>
        <v>Loading...</v>
      </c>
      <c r="L276" s="129">
        <v>7.4056815E7</v>
      </c>
      <c r="M276" s="99" t="str">
        <f>IFERROR(__xludf.DUMMYFUNCTION("GOOGLEFINANCE(A276,""beta"")"),"#N/A")</f>
        <v>#N/A</v>
      </c>
    </row>
    <row r="277">
      <c r="A277" s="122" t="s">
        <v>986</v>
      </c>
      <c r="B277" s="123">
        <v>1852407.0</v>
      </c>
      <c r="C277" s="124" t="s">
        <v>987</v>
      </c>
      <c r="D277" s="125"/>
      <c r="E277" s="126">
        <v>0.02</v>
      </c>
      <c r="F277" s="127"/>
      <c r="G277" s="127"/>
      <c r="H277" s="127"/>
      <c r="I277" s="128"/>
      <c r="K277" s="105" t="str">
        <f>IFERROR(__xludf.DUMMYFUNCTION("if(A277="""","""",substitute(SUBSTITUTE(index(importhtml(""http://finviz.com/quote.ashx?t=""&amp;A277,""table"",10),7,2),""*"",""""),""-"",""0.00""))"),"Loading...")</f>
        <v>Loading...</v>
      </c>
      <c r="L277" s="129">
        <v>7.484481E7</v>
      </c>
      <c r="M277" s="99" t="str">
        <f>IFERROR(__xludf.DUMMYFUNCTION("GOOGLEFINANCE(A277,""beta"")"),"#N/A")</f>
        <v>#N/A</v>
      </c>
    </row>
    <row r="278">
      <c r="A278" s="122" t="s">
        <v>988</v>
      </c>
      <c r="B278" s="123">
        <v>1802457.0</v>
      </c>
      <c r="C278" s="124" t="s">
        <v>989</v>
      </c>
      <c r="D278" s="125"/>
      <c r="E278" s="126">
        <v>0.02</v>
      </c>
      <c r="F278" s="127"/>
      <c r="G278" s="127"/>
      <c r="H278" s="127"/>
      <c r="I278" s="128"/>
      <c r="K278" s="105" t="str">
        <f>IFERROR(__xludf.DUMMYFUNCTION("if(A278="""","""",substitute(SUBSTITUTE(index(importhtml(""http://finviz.com/quote.ashx?t=""&amp;A278,""table"",10),7,2),""*"",""""),""-"",""0.00""))"),"Loading...")</f>
        <v>Loading...</v>
      </c>
      <c r="L278" s="129">
        <v>7.6689777E7</v>
      </c>
      <c r="M278" s="99">
        <v>1.57</v>
      </c>
    </row>
    <row r="279">
      <c r="A279" s="122" t="s">
        <v>990</v>
      </c>
      <c r="B279" s="123">
        <v>1894951.0</v>
      </c>
      <c r="C279" s="124" t="s">
        <v>991</v>
      </c>
      <c r="D279" s="125"/>
      <c r="E279" s="126">
        <v>0.02</v>
      </c>
      <c r="F279" s="127"/>
      <c r="G279" s="127"/>
      <c r="H279" s="127"/>
      <c r="I279" s="128"/>
      <c r="K279" s="105" t="str">
        <f>IFERROR(__xludf.DUMMYFUNCTION("if(A279="""","""",substitute(SUBSTITUTE(index(importhtml(""http://finviz.com/quote.ashx?t=""&amp;A279,""table"",10),7,2),""*"",""""),""-"",""0.00""))"),"Loading...")</f>
        <v>Loading...</v>
      </c>
      <c r="L279" s="129">
        <v>7.731271E7</v>
      </c>
      <c r="M279" s="99" t="str">
        <f>IFERROR(__xludf.DUMMYFUNCTION("GOOGLEFINANCE(A279,""beta"")"),"#N/A")</f>
        <v>#N/A</v>
      </c>
    </row>
    <row r="280">
      <c r="A280" s="122" t="s">
        <v>992</v>
      </c>
      <c r="B280" s="123">
        <v>1876716.0</v>
      </c>
      <c r="C280" s="124" t="s">
        <v>993</v>
      </c>
      <c r="D280" s="125"/>
      <c r="E280" s="126">
        <v>0.02</v>
      </c>
      <c r="F280" s="127"/>
      <c r="G280" s="127"/>
      <c r="H280" s="127"/>
      <c r="I280" s="128"/>
      <c r="K280" s="105" t="str">
        <f>IFERROR(__xludf.DUMMYFUNCTION("if(A280="""","""",substitute(SUBSTITUTE(index(importhtml(""http://finviz.com/quote.ashx?t=""&amp;A280,""table"",10),7,2),""*"",""""),""-"",""0.00""))"),"Loading...")</f>
        <v>Loading...</v>
      </c>
      <c r="L280" s="129">
        <v>7.916589E7</v>
      </c>
      <c r="M280" s="99" t="str">
        <f>IFERROR(__xludf.DUMMYFUNCTION("GOOGLEFINANCE(A280,""beta"")"),"#N/A")</f>
        <v>#N/A</v>
      </c>
    </row>
    <row r="281">
      <c r="A281" s="122" t="s">
        <v>994</v>
      </c>
      <c r="B281" s="123">
        <v>1843370.0</v>
      </c>
      <c r="C281" s="124" t="s">
        <v>995</v>
      </c>
      <c r="D281" s="125"/>
      <c r="E281" s="126">
        <v>0.02</v>
      </c>
      <c r="F281" s="127"/>
      <c r="G281" s="127"/>
      <c r="H281" s="127"/>
      <c r="I281" s="128"/>
      <c r="K281" s="105" t="str">
        <f>IFERROR(__xludf.DUMMYFUNCTION("if(A281="""","""",substitute(SUBSTITUTE(index(importhtml(""http://finviz.com/quote.ashx?t=""&amp;A281,""table"",10),7,2),""*"",""""),""-"",""0.00""))"),"Loading...")</f>
        <v>Loading...</v>
      </c>
      <c r="L281" s="129">
        <v>8.0979598E7</v>
      </c>
      <c r="M281" s="99" t="str">
        <f>IFERROR(__xludf.DUMMYFUNCTION("GOOGLEFINANCE(A281,""beta"")"),"#N/A")</f>
        <v>#N/A</v>
      </c>
    </row>
    <row r="282">
      <c r="A282" s="122" t="s">
        <v>996</v>
      </c>
      <c r="B282" s="123">
        <v>1836100.0</v>
      </c>
      <c r="C282" s="124" t="s">
        <v>997</v>
      </c>
      <c r="D282" s="125"/>
      <c r="E282" s="126">
        <v>0.02</v>
      </c>
      <c r="F282" s="127"/>
      <c r="G282" s="127"/>
      <c r="H282" s="127"/>
      <c r="I282" s="128"/>
      <c r="K282" s="105" t="str">
        <f>IFERROR(__xludf.DUMMYFUNCTION("if(A282="""","""",substitute(SUBSTITUTE(index(importhtml(""http://finviz.com/quote.ashx?t=""&amp;A282,""table"",10),7,2),""*"",""""),""-"",""0.00""))"),"Loading...")</f>
        <v>Loading...</v>
      </c>
      <c r="L282" s="129">
        <v>8.202124E7</v>
      </c>
      <c r="M282" s="99" t="str">
        <f>IFERROR(__xludf.DUMMYFUNCTION("GOOGLEFINANCE(A282,""beta"")"),"#N/A")</f>
        <v>#N/A</v>
      </c>
    </row>
    <row r="283">
      <c r="A283" s="122" t="s">
        <v>998</v>
      </c>
      <c r="B283" s="123">
        <v>1858007.0</v>
      </c>
      <c r="C283" s="124" t="s">
        <v>999</v>
      </c>
      <c r="D283" s="125"/>
      <c r="E283" s="126">
        <v>0.02</v>
      </c>
      <c r="F283" s="127"/>
      <c r="G283" s="127"/>
      <c r="H283" s="127"/>
      <c r="I283" s="128"/>
      <c r="K283" s="105" t="str">
        <f>IFERROR(__xludf.DUMMYFUNCTION("if(A283="""","""",substitute(SUBSTITUTE(index(importhtml(""http://finviz.com/quote.ashx?t=""&amp;A283,""table"",10),7,2),""*"",""""),""-"",""0.00""))"),"Loading...")</f>
        <v>Loading...</v>
      </c>
      <c r="L283" s="129">
        <v>8.241931E7</v>
      </c>
      <c r="M283" s="99">
        <f>IFERROR(__xludf.DUMMYFUNCTION("GOOGLEFINANCE(A283,""beta"")"),20.14)</f>
        <v>20.14</v>
      </c>
    </row>
    <row r="284">
      <c r="A284" s="122" t="s">
        <v>1000</v>
      </c>
      <c r="B284" s="123">
        <v>1860514.0</v>
      </c>
      <c r="C284" s="124" t="s">
        <v>1001</v>
      </c>
      <c r="D284" s="125"/>
      <c r="E284" s="126">
        <v>0.02</v>
      </c>
      <c r="F284" s="127"/>
      <c r="G284" s="127"/>
      <c r="H284" s="127"/>
      <c r="I284" s="128"/>
      <c r="K284" s="105" t="str">
        <f>IFERROR(__xludf.DUMMYFUNCTION("if(A284="""","""",substitute(SUBSTITUTE(index(importhtml(""http://finviz.com/quote.ashx?t=""&amp;A284,""table"",10),7,2),""*"",""""),""-"",""0.00""))"),"Loading...")</f>
        <v>Loading...</v>
      </c>
      <c r="L284" s="129">
        <v>8.632552E7</v>
      </c>
      <c r="M284" s="99" t="str">
        <f>IFERROR(__xludf.DUMMYFUNCTION("GOOGLEFINANCE(A284,""beta"")"),"#N/A")</f>
        <v>#N/A</v>
      </c>
    </row>
    <row r="285">
      <c r="A285" s="122" t="s">
        <v>1002</v>
      </c>
      <c r="B285" s="123">
        <v>1912582.0</v>
      </c>
      <c r="C285" s="124" t="s">
        <v>1003</v>
      </c>
      <c r="D285" s="125"/>
      <c r="E285" s="126">
        <v>0.02</v>
      </c>
      <c r="F285" s="127"/>
      <c r="G285" s="127"/>
      <c r="H285" s="127"/>
      <c r="I285" s="128"/>
      <c r="K285" s="105" t="str">
        <f>IFERROR(__xludf.DUMMYFUNCTION("if(A285="""","""",substitute(SUBSTITUTE(index(importhtml(""http://finviz.com/quote.ashx?t=""&amp;A285,""table"",10),7,2),""*"",""""),""-"",""0.00""))"),"Loading...")</f>
        <v>Loading...</v>
      </c>
      <c r="L285" s="129">
        <v>8.6888964E7</v>
      </c>
      <c r="M285" s="99" t="str">
        <f>IFERROR(__xludf.DUMMYFUNCTION("GOOGLEFINANCE(A285,""beta"")"),"#N/A")</f>
        <v>#N/A</v>
      </c>
    </row>
    <row r="286">
      <c r="A286" s="122" t="s">
        <v>1004</v>
      </c>
      <c r="B286" s="123">
        <v>1888734.0</v>
      </c>
      <c r="C286" s="124" t="s">
        <v>1005</v>
      </c>
      <c r="D286" s="125"/>
      <c r="E286" s="126">
        <v>0.02</v>
      </c>
      <c r="F286" s="127"/>
      <c r="G286" s="127"/>
      <c r="H286" s="127"/>
      <c r="I286" s="128"/>
      <c r="K286" s="105" t="str">
        <f>IFERROR(__xludf.DUMMYFUNCTION("if(A286="""","""",substitute(SUBSTITUTE(index(importhtml(""http://finviz.com/quote.ashx?t=""&amp;A286,""table"",10),7,2),""*"",""""),""-"",""0.00""))"),"Loading...")</f>
        <v>Loading...</v>
      </c>
      <c r="L286" s="129">
        <v>8.9293384E7</v>
      </c>
      <c r="M286" s="99" t="str">
        <f>IFERROR(__xludf.DUMMYFUNCTION("GOOGLEFINANCE(A286,""beta"")"),"#N/A")</f>
        <v>#N/A</v>
      </c>
    </row>
    <row r="287">
      <c r="A287" s="122" t="s">
        <v>1006</v>
      </c>
      <c r="B287" s="123">
        <v>1889450.0</v>
      </c>
      <c r="C287" s="124" t="s">
        <v>1007</v>
      </c>
      <c r="D287" s="125"/>
      <c r="E287" s="126">
        <v>0.02</v>
      </c>
      <c r="F287" s="127"/>
      <c r="G287" s="127"/>
      <c r="H287" s="127"/>
      <c r="I287" s="128"/>
      <c r="K287" s="105" t="str">
        <f>IFERROR(__xludf.DUMMYFUNCTION("if(A287="""","""",substitute(SUBSTITUTE(index(importhtml(""http://finviz.com/quote.ashx?t=""&amp;A287,""table"",10),7,2),""*"",""""),""-"",""0.00""))"),"Loading...")</f>
        <v>Loading...</v>
      </c>
      <c r="L287" s="129">
        <v>9.3166408E7</v>
      </c>
      <c r="M287" s="99">
        <f>IFERROR(__xludf.DUMMYFUNCTION("GOOGLEFINANCE(A287,""beta"")"),-0.07)</f>
        <v>-0.07</v>
      </c>
    </row>
    <row r="288">
      <c r="A288" s="122" t="s">
        <v>1008</v>
      </c>
      <c r="B288" s="123">
        <v>1867443.0</v>
      </c>
      <c r="C288" s="124" t="s">
        <v>1009</v>
      </c>
      <c r="D288" s="125"/>
      <c r="E288" s="126">
        <v>0.02</v>
      </c>
      <c r="F288" s="127"/>
      <c r="G288" s="127"/>
      <c r="H288" s="127"/>
      <c r="I288" s="128"/>
      <c r="K288" s="105" t="str">
        <f>IFERROR(__xludf.DUMMYFUNCTION("if(A288="""","""",substitute(SUBSTITUTE(index(importhtml(""http://finviz.com/quote.ashx?t=""&amp;A288,""table"",10),7,2),""*"",""""),""-"",""0.00""))"),"Loading...")</f>
        <v>Loading...</v>
      </c>
      <c r="L288" s="129">
        <v>9.8683263E7</v>
      </c>
      <c r="M288" s="99" t="str">
        <f>IFERROR(__xludf.DUMMYFUNCTION("GOOGLEFINANCE(A288,""beta"")"),"#N/A")</f>
        <v>#N/A</v>
      </c>
    </row>
    <row r="289">
      <c r="A289" s="122" t="s">
        <v>1010</v>
      </c>
      <c r="B289" s="123">
        <v>1823575.0</v>
      </c>
      <c r="C289" s="124" t="s">
        <v>1011</v>
      </c>
      <c r="D289" s="125"/>
      <c r="E289" s="126">
        <v>0.02</v>
      </c>
      <c r="F289" s="127"/>
      <c r="G289" s="127"/>
      <c r="H289" s="127"/>
      <c r="I289" s="128"/>
      <c r="K289" s="105" t="str">
        <f>IFERROR(__xludf.DUMMYFUNCTION("if(A289="""","""",substitute(SUBSTITUTE(index(importhtml(""http://finviz.com/quote.ashx?t=""&amp;A289,""table"",10),7,2),""*"",""""),""-"",""0.00""))"),"Loading...")</f>
        <v>Loading...</v>
      </c>
      <c r="L289" s="129">
        <v>1.18848893E8</v>
      </c>
      <c r="M289" s="99">
        <v>1.59</v>
      </c>
    </row>
    <row r="290">
      <c r="A290" s="122" t="s">
        <v>1012</v>
      </c>
      <c r="B290" s="123">
        <v>1879814.0</v>
      </c>
      <c r="C290" s="124" t="s">
        <v>1013</v>
      </c>
      <c r="D290" s="125"/>
      <c r="E290" s="126">
        <v>0.02</v>
      </c>
      <c r="F290" s="127"/>
      <c r="G290" s="127"/>
      <c r="H290" s="127"/>
      <c r="I290" s="128"/>
      <c r="K290" s="105" t="str">
        <f>IFERROR(__xludf.DUMMYFUNCTION("if(A290="""","""",substitute(SUBSTITUTE(index(importhtml(""http://finviz.com/quote.ashx?t=""&amp;A290,""table"",10),7,2),""*"",""""),""-"",""0.00""))"),"Loading...")</f>
        <v>Loading...</v>
      </c>
      <c r="L290" s="129">
        <v>1.459716E8</v>
      </c>
      <c r="M290" s="99" t="str">
        <f>IFERROR(__xludf.DUMMYFUNCTION("GOOGLEFINANCE(A290,""beta"")"),"#N/A")</f>
        <v>#N/A</v>
      </c>
    </row>
    <row r="291">
      <c r="A291" s="122" t="s">
        <v>1014</v>
      </c>
      <c r="B291" s="123">
        <v>1643154.0</v>
      </c>
      <c r="C291" s="124" t="s">
        <v>1015</v>
      </c>
      <c r="D291" s="125"/>
      <c r="E291" s="126">
        <v>0.02</v>
      </c>
      <c r="F291" s="127"/>
      <c r="G291" s="127"/>
      <c r="H291" s="127"/>
      <c r="I291" s="128"/>
      <c r="K291" s="105" t="str">
        <f>IFERROR(__xludf.DUMMYFUNCTION("if(A291="""","""",substitute(SUBSTITUTE(index(importhtml(""http://finviz.com/quote.ashx?t=""&amp;A291,""table"",10),7,2),""*"",""""),""-"",""0.00""))"),"Loading...")</f>
        <v>Loading...</v>
      </c>
      <c r="L291" s="129">
        <v>1.71981806E8</v>
      </c>
      <c r="M291" s="99">
        <v>0.73</v>
      </c>
    </row>
    <row r="292">
      <c r="A292" s="122" t="s">
        <v>1016</v>
      </c>
      <c r="B292" s="123">
        <v>1607245.0</v>
      </c>
      <c r="C292" s="124" t="s">
        <v>1017</v>
      </c>
      <c r="D292" s="125"/>
      <c r="E292" s="126">
        <v>0.02</v>
      </c>
      <c r="F292" s="127"/>
      <c r="G292" s="127"/>
      <c r="H292" s="127"/>
      <c r="I292" s="128"/>
      <c r="K292" s="105" t="str">
        <f>IFERROR(__xludf.DUMMYFUNCTION("if(A292="""","""",substitute(SUBSTITUTE(index(importhtml(""http://finviz.com/quote.ashx?t=""&amp;A292,""table"",10),7,2),""*"",""""),""-"",""0.00""))"),"#N/A")</f>
        <v>#N/A</v>
      </c>
      <c r="L292" s="129">
        <v>2.1172219E8</v>
      </c>
      <c r="M292" s="99" t="str">
        <f>IFERROR(__xludf.DUMMYFUNCTION("GOOGLEFINANCE(A292,""beta"")"),"#N/A")</f>
        <v>#N/A</v>
      </c>
    </row>
    <row r="293">
      <c r="A293" s="122" t="s">
        <v>1018</v>
      </c>
      <c r="B293" s="123">
        <v>829365.0</v>
      </c>
      <c r="C293" s="124" t="s">
        <v>1019</v>
      </c>
      <c r="D293" s="125"/>
      <c r="E293" s="126">
        <v>0.02</v>
      </c>
      <c r="F293" s="127"/>
      <c r="G293" s="127"/>
      <c r="H293" s="127"/>
      <c r="I293" s="128"/>
      <c r="K293" s="105" t="str">
        <f>IFERROR(__xludf.DUMMYFUNCTION("if(A293="""","""",substitute(SUBSTITUTE(index(importhtml(""http://finviz.com/quote.ashx?t=""&amp;A293,""table"",10),7,2),""*"",""""),""-"",""0.00""))"),"Loading...")</f>
        <v>Loading...</v>
      </c>
      <c r="L293" s="129">
        <v>2.48187387E8</v>
      </c>
      <c r="M293" s="99" t="str">
        <f>IFERROR(__xludf.DUMMYFUNCTION("GOOGLEFINANCE(A293,""beta"")"),"#N/A")</f>
        <v>#N/A</v>
      </c>
    </row>
    <row r="294">
      <c r="A294" s="122" t="s">
        <v>1020</v>
      </c>
      <c r="B294" s="123">
        <v>1856961.0</v>
      </c>
      <c r="C294" s="124" t="s">
        <v>1021</v>
      </c>
      <c r="D294" s="125"/>
      <c r="E294" s="126">
        <v>0.02</v>
      </c>
      <c r="F294" s="127"/>
      <c r="G294" s="127"/>
      <c r="H294" s="127"/>
      <c r="I294" s="128"/>
      <c r="K294" s="105" t="str">
        <f>IFERROR(__xludf.DUMMYFUNCTION("if(A294="""","""",substitute(SUBSTITUTE(index(importhtml(""http://finviz.com/quote.ashx?t=""&amp;A294,""table"",10),7,2),""*"",""""),""-"",""0.00""))"),"Loading...")</f>
        <v>Loading...</v>
      </c>
      <c r="L294" s="129">
        <v>2.58534256E8</v>
      </c>
      <c r="M294" s="99" t="str">
        <f>IFERROR(__xludf.DUMMYFUNCTION("GOOGLEFINANCE(A294,""beta"")"),"#N/A")</f>
        <v>#N/A</v>
      </c>
    </row>
    <row r="295">
      <c r="A295" s="122" t="s">
        <v>1022</v>
      </c>
      <c r="B295" s="123">
        <v>1854480.0</v>
      </c>
      <c r="C295" s="124" t="s">
        <v>1023</v>
      </c>
      <c r="D295" s="125"/>
      <c r="E295" s="126">
        <v>0.02</v>
      </c>
      <c r="F295" s="127"/>
      <c r="G295" s="127"/>
      <c r="H295" s="127"/>
      <c r="I295" s="128"/>
      <c r="K295" s="105" t="str">
        <f>IFERROR(__xludf.DUMMYFUNCTION("if(A295="""","""",substitute(SUBSTITUTE(index(importhtml(""http://finviz.com/quote.ashx?t=""&amp;A295,""table"",10),7,2),""*"",""""),""-"",""0.00""))"),"Loading...")</f>
        <v>Loading...</v>
      </c>
      <c r="L295" s="129">
        <v>3.11603674E8</v>
      </c>
      <c r="M295" s="99" t="str">
        <f>IFERROR(__xludf.DUMMYFUNCTION("GOOGLEFINANCE(A295,""beta"")"),"#N/A")</f>
        <v>#N/A</v>
      </c>
    </row>
    <row r="296">
      <c r="A296" s="122" t="s">
        <v>1024</v>
      </c>
      <c r="B296" s="123">
        <v>1807616.0</v>
      </c>
      <c r="C296" s="124" t="s">
        <v>1025</v>
      </c>
      <c r="D296" s="125"/>
      <c r="E296" s="126">
        <v>0.02</v>
      </c>
      <c r="F296" s="127"/>
      <c r="G296" s="127"/>
      <c r="H296" s="127"/>
      <c r="I296" s="128"/>
      <c r="K296" s="105" t="str">
        <f>IFERROR(__xludf.DUMMYFUNCTION("if(A296="""","""",substitute(SUBSTITUTE(index(importhtml(""http://finviz.com/quote.ashx?t=""&amp;A296,""table"",10),7,2),""*"",""""),""-"",""0.00""))"),"Loading...")</f>
        <v>Loading...</v>
      </c>
      <c r="L296" s="129" t="e">
        <v>#N/A</v>
      </c>
      <c r="M296" s="99">
        <v>-0.23</v>
      </c>
    </row>
    <row r="297">
      <c r="A297" s="122" t="s">
        <v>1026</v>
      </c>
      <c r="B297" s="123">
        <v>1104023.0</v>
      </c>
      <c r="C297" s="124" t="s">
        <v>1027</v>
      </c>
      <c r="D297" s="125"/>
      <c r="E297" s="126">
        <v>0.02</v>
      </c>
      <c r="F297" s="127"/>
      <c r="G297" s="127"/>
      <c r="H297" s="127"/>
      <c r="I297" s="128"/>
      <c r="K297" s="105" t="str">
        <f>IFERROR(__xludf.DUMMYFUNCTION("if(A297="""","""",substitute(SUBSTITUTE(index(importhtml(""http://finviz.com/quote.ashx?t=""&amp;A297,""table"",10),7,2),""*"",""""),""-"",""0.00""))"),"Loading...")</f>
        <v>Loading...</v>
      </c>
      <c r="L297" s="129" t="e">
        <v>#N/A</v>
      </c>
      <c r="M297" s="99">
        <v>1.7</v>
      </c>
    </row>
    <row r="298">
      <c r="A298" s="122" t="s">
        <v>1028</v>
      </c>
      <c r="B298" s="123">
        <v>1763329.0</v>
      </c>
      <c r="C298" s="124" t="s">
        <v>1029</v>
      </c>
      <c r="D298" s="125"/>
      <c r="E298" s="126">
        <v>0.02</v>
      </c>
      <c r="F298" s="127"/>
      <c r="G298" s="127"/>
      <c r="H298" s="127"/>
      <c r="I298" s="128"/>
      <c r="K298" s="105" t="str">
        <f>IFERROR(__xludf.DUMMYFUNCTION("if(A298="""","""",substitute(SUBSTITUTE(index(importhtml(""http://finviz.com/quote.ashx?t=""&amp;A298,""table"",10),7,2),""*"",""""),""-"",""0.00""))"),"Loading...")</f>
        <v>Loading...</v>
      </c>
      <c r="L298" s="129" t="e">
        <v>#N/A</v>
      </c>
      <c r="M298" s="99">
        <v>2.95</v>
      </c>
    </row>
    <row r="299">
      <c r="A299" s="122" t="s">
        <v>1030</v>
      </c>
      <c r="B299" s="123">
        <v>1880249.0</v>
      </c>
      <c r="C299" s="124" t="s">
        <v>1031</v>
      </c>
      <c r="D299" s="125"/>
      <c r="E299" s="126">
        <v>0.02</v>
      </c>
      <c r="F299" s="127"/>
      <c r="G299" s="127"/>
      <c r="H299" s="127"/>
      <c r="I299" s="128"/>
      <c r="K299" s="105" t="str">
        <f>IFERROR(__xludf.DUMMYFUNCTION("if(A299="""","""",substitute(SUBSTITUTE(index(importhtml(""http://finviz.com/quote.ashx?t=""&amp;A299,""table"",10),7,2),""*"",""""),""-"",""0.00""))"),"Loading...")</f>
        <v>Loading...</v>
      </c>
      <c r="L299" s="129" t="e">
        <v>#N/A</v>
      </c>
      <c r="M299" s="99" t="e">
        <v>#N/A</v>
      </c>
    </row>
    <row r="300">
      <c r="A300" s="122" t="s">
        <v>1032</v>
      </c>
      <c r="B300" s="123">
        <v>1158420.0</v>
      </c>
      <c r="C300" s="124" t="s">
        <v>1033</v>
      </c>
      <c r="D300" s="125"/>
      <c r="E300" s="126">
        <v>0.03</v>
      </c>
      <c r="F300" s="127"/>
      <c r="G300" s="127"/>
      <c r="H300" s="127"/>
      <c r="I300" s="128"/>
      <c r="K300" s="55" t="s">
        <v>1034</v>
      </c>
      <c r="L300" s="129">
        <v>3386957.0</v>
      </c>
      <c r="M300" s="99">
        <v>1.11</v>
      </c>
    </row>
    <row r="301">
      <c r="A301" s="122" t="s">
        <v>1035</v>
      </c>
      <c r="B301" s="123">
        <v>1533357.0</v>
      </c>
      <c r="C301" s="124" t="s">
        <v>1036</v>
      </c>
      <c r="D301" s="125"/>
      <c r="E301" s="126">
        <v>0.03</v>
      </c>
      <c r="F301" s="127"/>
      <c r="G301" s="127"/>
      <c r="H301" s="127"/>
      <c r="I301" s="128"/>
      <c r="K301" s="105" t="str">
        <f>IFERROR(__xludf.DUMMYFUNCTION("if(A301="""","""",substitute(SUBSTITUTE(index(importhtml(""http://finviz.com/quote.ashx?t=""&amp;A301,""table"",10),7,2),""*"",""""),""-"",""0.00""))"),"Loading...")</f>
        <v>Loading...</v>
      </c>
      <c r="L301" s="129">
        <v>80947.0</v>
      </c>
      <c r="M301" s="99">
        <v>-3.11</v>
      </c>
    </row>
    <row r="302">
      <c r="A302" s="122" t="s">
        <v>1037</v>
      </c>
      <c r="B302" s="123">
        <v>1405660.0</v>
      </c>
      <c r="C302" s="124" t="s">
        <v>1038</v>
      </c>
      <c r="D302" s="125"/>
      <c r="E302" s="126">
        <v>0.03</v>
      </c>
      <c r="F302" s="127"/>
      <c r="G302" s="127"/>
      <c r="H302" s="127"/>
      <c r="I302" s="128"/>
      <c r="K302" s="105" t="str">
        <f>IFERROR(__xludf.DUMMYFUNCTION("if(A302="""","""",substitute(SUBSTITUTE(index(importhtml(""http://finviz.com/quote.ashx?t=""&amp;A302,""table"",10),7,2),""*"",""""),""-"",""0.00""))"),"Loading...")</f>
        <v>Loading...</v>
      </c>
      <c r="L302" s="129">
        <v>98580.0</v>
      </c>
      <c r="M302" s="99">
        <v>1.56</v>
      </c>
    </row>
    <row r="303">
      <c r="A303" s="122" t="s">
        <v>1039</v>
      </c>
      <c r="B303" s="123">
        <v>1496671.0</v>
      </c>
      <c r="C303" s="124" t="s">
        <v>1040</v>
      </c>
      <c r="D303" s="125"/>
      <c r="E303" s="126">
        <v>0.03</v>
      </c>
      <c r="F303" s="127"/>
      <c r="G303" s="127"/>
      <c r="H303" s="127"/>
      <c r="I303" s="128"/>
      <c r="K303" s="105" t="str">
        <f>IFERROR(__xludf.DUMMYFUNCTION("if(A303="""","""",substitute(SUBSTITUTE(index(importhtml(""http://finviz.com/quote.ashx?t=""&amp;A303,""table"",10),7,2),""*"",""""),""-"",""0.00""))"),"Loading...")</f>
        <v>Loading...</v>
      </c>
      <c r="L303" s="129">
        <v>158614.0</v>
      </c>
      <c r="M303" s="99">
        <v>1.32</v>
      </c>
    </row>
    <row r="304">
      <c r="A304" s="122" t="s">
        <v>1041</v>
      </c>
      <c r="B304" s="123">
        <v>1696411.0</v>
      </c>
      <c r="C304" s="124" t="s">
        <v>1042</v>
      </c>
      <c r="D304" s="125"/>
      <c r="E304" s="126">
        <v>0.03</v>
      </c>
      <c r="F304" s="127"/>
      <c r="G304" s="127"/>
      <c r="H304" s="127"/>
      <c r="I304" s="128"/>
      <c r="K304" s="105" t="str">
        <f>IFERROR(__xludf.DUMMYFUNCTION("if(A304="""","""",substitute(SUBSTITUTE(index(importhtml(""http://finviz.com/quote.ashx?t=""&amp;A304,""table"",10),7,2),""*"",""""),""-"",""0.00""))"),"Loading...")</f>
        <v>Loading...</v>
      </c>
      <c r="L304" s="129">
        <v>164360.0</v>
      </c>
      <c r="M304" s="99">
        <v>2.01</v>
      </c>
    </row>
    <row r="305">
      <c r="A305" s="122" t="s">
        <v>1043</v>
      </c>
      <c r="B305" s="123">
        <v>1405663.0</v>
      </c>
      <c r="C305" s="124" t="s">
        <v>1044</v>
      </c>
      <c r="D305" s="125"/>
      <c r="E305" s="126">
        <v>0.03</v>
      </c>
      <c r="F305" s="127"/>
      <c r="G305" s="127"/>
      <c r="H305" s="127"/>
      <c r="I305" s="128"/>
      <c r="K305" s="105" t="str">
        <f>IFERROR(__xludf.DUMMYFUNCTION("if(A305="""","""",substitute(SUBSTITUTE(index(importhtml(""http://finviz.com/quote.ashx?t=""&amp;A305,""table"",10),7,2),""*"",""""),""-"",""0.00""))"),"Loading...")</f>
        <v>Loading...</v>
      </c>
      <c r="L305" s="129">
        <v>187459.0</v>
      </c>
      <c r="M305" s="99">
        <v>0.32</v>
      </c>
    </row>
    <row r="306">
      <c r="A306" s="122" t="s">
        <v>1045</v>
      </c>
      <c r="B306" s="123">
        <v>1637866.0</v>
      </c>
      <c r="C306" s="124" t="s">
        <v>1046</v>
      </c>
      <c r="D306" s="125"/>
      <c r="E306" s="126">
        <v>0.03</v>
      </c>
      <c r="F306" s="127"/>
      <c r="G306" s="127"/>
      <c r="H306" s="127"/>
      <c r="I306" s="128"/>
      <c r="K306" s="105" t="str">
        <f>IFERROR(__xludf.DUMMYFUNCTION("if(A306="""","""",substitute(SUBSTITUTE(index(importhtml(""http://finviz.com/quote.ashx?t=""&amp;A306,""table"",10),7,2),""*"",""""),""-"",""0.00""))"),"Loading...")</f>
        <v>Loading...</v>
      </c>
      <c r="L306" s="129">
        <v>266530.0</v>
      </c>
      <c r="M306" s="99">
        <v>0.36</v>
      </c>
    </row>
    <row r="307">
      <c r="A307" s="122" t="s">
        <v>1047</v>
      </c>
      <c r="B307" s="123">
        <v>1618835.0</v>
      </c>
      <c r="C307" s="124" t="s">
        <v>1048</v>
      </c>
      <c r="D307" s="125"/>
      <c r="E307" s="126">
        <v>0.03</v>
      </c>
      <c r="F307" s="127"/>
      <c r="G307" s="127"/>
      <c r="H307" s="127"/>
      <c r="I307" s="128"/>
      <c r="K307" s="105" t="str">
        <f>IFERROR(__xludf.DUMMYFUNCTION("if(A307="""","""",substitute(SUBSTITUTE(index(importhtml(""http://finviz.com/quote.ashx?t=""&amp;A307,""table"",10),7,2),""*"",""""),""-"",""0.00""))"),"Loading...")</f>
        <v>Loading...</v>
      </c>
      <c r="L307" s="129">
        <v>309127.0</v>
      </c>
      <c r="M307" s="99">
        <v>-1.51</v>
      </c>
    </row>
    <row r="308">
      <c r="A308" s="122" t="s">
        <v>1049</v>
      </c>
      <c r="B308" s="123">
        <v>1517389.0</v>
      </c>
      <c r="C308" s="124" t="s">
        <v>1050</v>
      </c>
      <c r="D308" s="125"/>
      <c r="E308" s="126">
        <v>0.03</v>
      </c>
      <c r="F308" s="127"/>
      <c r="G308" s="127"/>
      <c r="H308" s="127"/>
      <c r="I308" s="128"/>
      <c r="K308" s="105" t="str">
        <f>IFERROR(__xludf.DUMMYFUNCTION("if(A308="""","""",substitute(SUBSTITUTE(index(importhtml(""http://finviz.com/quote.ashx?t=""&amp;A308,""table"",10),7,2),""*"",""""),""-"",""0.00""))"),"Loading...")</f>
        <v>Loading...</v>
      </c>
      <c r="L308" s="129">
        <v>539610.0</v>
      </c>
      <c r="M308" s="99">
        <v>0.41</v>
      </c>
    </row>
    <row r="309">
      <c r="A309" s="122" t="s">
        <v>1051</v>
      </c>
      <c r="B309" s="123">
        <v>1580262.0</v>
      </c>
      <c r="C309" s="124" t="s">
        <v>1052</v>
      </c>
      <c r="D309" s="125"/>
      <c r="E309" s="126">
        <v>0.03</v>
      </c>
      <c r="F309" s="127"/>
      <c r="G309" s="127"/>
      <c r="H309" s="127"/>
      <c r="I309" s="128"/>
      <c r="K309" s="105" t="str">
        <f>IFERROR(__xludf.DUMMYFUNCTION("if(A309="""","""",substitute(SUBSTITUTE(index(importhtml(""http://finviz.com/quote.ashx?t=""&amp;A309,""table"",10),7,2),""*"",""""),""-"",""0.00""))"),"Loading...")</f>
        <v>Loading...</v>
      </c>
      <c r="L309" s="129">
        <v>596148.0</v>
      </c>
      <c r="M309" s="99">
        <v>1.55</v>
      </c>
    </row>
    <row r="310">
      <c r="A310" s="122" t="s">
        <v>1053</v>
      </c>
      <c r="B310" s="123">
        <v>1282977.0</v>
      </c>
      <c r="C310" s="124" t="s">
        <v>1054</v>
      </c>
      <c r="D310" s="125"/>
      <c r="E310" s="126">
        <v>0.03</v>
      </c>
      <c r="F310" s="127"/>
      <c r="G310" s="127"/>
      <c r="H310" s="127"/>
      <c r="I310" s="128"/>
      <c r="K310" s="105" t="str">
        <f>IFERROR(__xludf.DUMMYFUNCTION("if(A310="""","""",substitute(SUBSTITUTE(index(importhtml(""http://finviz.com/quote.ashx?t=""&amp;A310,""table"",10),7,2),""*"",""""),""-"",""0.00""))"),"Loading...")</f>
        <v>Loading...</v>
      </c>
      <c r="L310" s="129">
        <v>695060.0</v>
      </c>
      <c r="M310" s="99">
        <v>-0.66</v>
      </c>
    </row>
    <row r="311">
      <c r="A311" s="122" t="s">
        <v>1055</v>
      </c>
      <c r="B311" s="123">
        <v>1532595.0</v>
      </c>
      <c r="C311" s="124" t="s">
        <v>1056</v>
      </c>
      <c r="D311" s="125"/>
      <c r="E311" s="126">
        <v>0.03</v>
      </c>
      <c r="F311" s="127"/>
      <c r="G311" s="127"/>
      <c r="H311" s="127"/>
      <c r="I311" s="128"/>
      <c r="K311" s="105" t="str">
        <f>IFERROR(__xludf.DUMMYFUNCTION("if(A311="""","""",substitute(SUBSTITUTE(index(importhtml(""http://finviz.com/quote.ashx?t=""&amp;A311,""table"",10),7,2),""*"",""""),""-"",""0.00""))"),"Loading...")</f>
        <v>Loading...</v>
      </c>
      <c r="L311" s="129">
        <v>773850.0</v>
      </c>
      <c r="M311" s="99">
        <v>-0.04</v>
      </c>
    </row>
    <row r="312">
      <c r="A312" s="122" t="s">
        <v>1057</v>
      </c>
      <c r="B312" s="123">
        <v>1538217.0</v>
      </c>
      <c r="C312" s="124" t="s">
        <v>1058</v>
      </c>
      <c r="D312" s="125"/>
      <c r="E312" s="126">
        <v>0.03</v>
      </c>
      <c r="F312" s="127"/>
      <c r="G312" s="127"/>
      <c r="H312" s="127"/>
      <c r="I312" s="128"/>
      <c r="K312" s="105" t="str">
        <f>IFERROR(__xludf.DUMMYFUNCTION("if(A312="""","""",substitute(SUBSTITUTE(index(importhtml(""http://finviz.com/quote.ashx?t=""&amp;A312,""table"",10),7,2),""*"",""""),""-"",""0.00""))"),"Loading...")</f>
        <v>Loading...</v>
      </c>
      <c r="L312" s="129">
        <v>883169.0</v>
      </c>
      <c r="M312" s="99">
        <v>1.63</v>
      </c>
    </row>
    <row r="313">
      <c r="A313" s="122" t="s">
        <v>1059</v>
      </c>
      <c r="B313" s="123">
        <v>773318.0</v>
      </c>
      <c r="C313" s="124" t="s">
        <v>1060</v>
      </c>
      <c r="D313" s="125"/>
      <c r="E313" s="126">
        <v>0.03</v>
      </c>
      <c r="F313" s="127"/>
      <c r="G313" s="127"/>
      <c r="H313" s="127"/>
      <c r="I313" s="128"/>
      <c r="K313" s="105" t="str">
        <f>IFERROR(__xludf.DUMMYFUNCTION("if(A313="""","""",substitute(SUBSTITUTE(index(importhtml(""http://finviz.com/quote.ashx?t=""&amp;A313,""table"",10),7,2),""*"",""""),""-"",""0.00""))"),"Loading...")</f>
        <v>Loading...</v>
      </c>
      <c r="L313" s="129">
        <v>1074680.0</v>
      </c>
      <c r="M313" s="99">
        <v>0.26</v>
      </c>
    </row>
    <row r="314">
      <c r="A314" s="122" t="s">
        <v>1061</v>
      </c>
      <c r="B314" s="123">
        <v>1494413.0</v>
      </c>
      <c r="C314" s="124" t="s">
        <v>1062</v>
      </c>
      <c r="D314" s="125"/>
      <c r="E314" s="126">
        <v>0.03</v>
      </c>
      <c r="F314" s="127"/>
      <c r="G314" s="127"/>
      <c r="H314" s="127"/>
      <c r="I314" s="128"/>
      <c r="K314" s="105" t="str">
        <f>IFERROR(__xludf.DUMMYFUNCTION("if(A314="""","""",substitute(SUBSTITUTE(index(importhtml(""http://finviz.com/quote.ashx?t=""&amp;A314,""table"",10),7,2),""*"",""""),""-"",""0.00""))"),"Loading...")</f>
        <v>Loading...</v>
      </c>
      <c r="L314" s="129">
        <v>1166209.0</v>
      </c>
      <c r="M314" s="99">
        <v>-2.2</v>
      </c>
    </row>
    <row r="315">
      <c r="A315" s="122" t="s">
        <v>1063</v>
      </c>
      <c r="B315" s="123">
        <v>1680132.0</v>
      </c>
      <c r="C315" s="124" t="s">
        <v>1064</v>
      </c>
      <c r="D315" s="125"/>
      <c r="E315" s="126">
        <v>0.03</v>
      </c>
      <c r="F315" s="127"/>
      <c r="G315" s="127"/>
      <c r="H315" s="127"/>
      <c r="I315" s="128"/>
      <c r="K315" s="105" t="str">
        <f>IFERROR(__xludf.DUMMYFUNCTION("if(A315="""","""",substitute(SUBSTITUTE(index(importhtml(""http://finviz.com/quote.ashx?t=""&amp;A315,""table"",10),7,2),""*"",""""),""-"",""0.00""))"),"Loading...")</f>
        <v>Loading...</v>
      </c>
      <c r="L315" s="129">
        <v>1200174.0</v>
      </c>
      <c r="M315" s="99">
        <v>-2.45</v>
      </c>
    </row>
    <row r="316">
      <c r="A316" s="122" t="s">
        <v>1065</v>
      </c>
      <c r="B316" s="123">
        <v>1128353.0</v>
      </c>
      <c r="C316" s="124" t="s">
        <v>1066</v>
      </c>
      <c r="D316" s="125"/>
      <c r="E316" s="126">
        <v>0.03</v>
      </c>
      <c r="F316" s="127"/>
      <c r="G316" s="127"/>
      <c r="H316" s="127"/>
      <c r="I316" s="128"/>
      <c r="K316" s="105" t="str">
        <f>IFERROR(__xludf.DUMMYFUNCTION("if(A316="""","""",substitute(SUBSTITUTE(index(importhtml(""http://finviz.com/quote.ashx?t=""&amp;A316,""table"",10),7,2),""*"",""""),""-"",""0.00""))"),"Loading...")</f>
        <v>Loading...</v>
      </c>
      <c r="L316" s="129">
        <v>1207840.0</v>
      </c>
      <c r="M316" s="99">
        <v>-1.98</v>
      </c>
    </row>
    <row r="317">
      <c r="A317" s="122" t="s">
        <v>1067</v>
      </c>
      <c r="B317" s="123">
        <v>1131903.0</v>
      </c>
      <c r="C317" s="124" t="s">
        <v>1068</v>
      </c>
      <c r="D317" s="125"/>
      <c r="E317" s="126">
        <v>0.03</v>
      </c>
      <c r="F317" s="127"/>
      <c r="G317" s="127"/>
      <c r="H317" s="127"/>
      <c r="I317" s="128"/>
      <c r="K317" s="105" t="str">
        <f>IFERROR(__xludf.DUMMYFUNCTION("if(A317="""","""",substitute(SUBSTITUTE(index(importhtml(""http://finviz.com/quote.ashx?t=""&amp;A317,""table"",10),7,2),""*"",""""),""-"",""0.00""))"),"Loading...")</f>
        <v>Loading...</v>
      </c>
      <c r="L317" s="129">
        <v>1260540.0</v>
      </c>
      <c r="M317" s="99">
        <v>-0.91</v>
      </c>
    </row>
    <row r="318">
      <c r="A318" s="122" t="s">
        <v>1069</v>
      </c>
      <c r="B318" s="123">
        <v>1113148.0</v>
      </c>
      <c r="C318" s="124" t="s">
        <v>1070</v>
      </c>
      <c r="D318" s="125"/>
      <c r="E318" s="126">
        <v>0.03</v>
      </c>
      <c r="F318" s="127"/>
      <c r="G318" s="127"/>
      <c r="H318" s="127"/>
      <c r="I318" s="128"/>
      <c r="K318" s="105" t="str">
        <f>IFERROR(__xludf.DUMMYFUNCTION("if(A318="""","""",substitute(SUBSTITUTE(index(importhtml(""http://finviz.com/quote.ashx?t=""&amp;A318,""table"",10),7,2),""*"",""""),""-"",""0.00""))"),"Loading...")</f>
        <v>Loading...</v>
      </c>
      <c r="L318" s="129">
        <v>1379775.0</v>
      </c>
      <c r="M318" s="99">
        <v>0.14</v>
      </c>
    </row>
    <row r="319">
      <c r="A319" s="122" t="s">
        <v>1071</v>
      </c>
      <c r="B319" s="123">
        <v>1836875.0</v>
      </c>
      <c r="C319" s="124" t="s">
        <v>1072</v>
      </c>
      <c r="D319" s="125"/>
      <c r="E319" s="126">
        <v>0.03</v>
      </c>
      <c r="F319" s="127"/>
      <c r="G319" s="127"/>
      <c r="H319" s="127"/>
      <c r="I319" s="128"/>
      <c r="K319" s="105" t="str">
        <f>IFERROR(__xludf.DUMMYFUNCTION("if(A319="""","""",substitute(SUBSTITUTE(index(importhtml(""http://finviz.com/quote.ashx?t=""&amp;A319,""table"",10),7,2),""*"",""""),""-"",""0.00""))"),"Loading...")</f>
        <v>Loading...</v>
      </c>
      <c r="L319" s="129">
        <v>1404692.0</v>
      </c>
      <c r="M319" s="99">
        <v>8.55</v>
      </c>
    </row>
    <row r="320">
      <c r="A320" s="122" t="s">
        <v>1073</v>
      </c>
      <c r="B320" s="123">
        <v>768411.0</v>
      </c>
      <c r="C320" s="124" t="s">
        <v>1074</v>
      </c>
      <c r="D320" s="125"/>
      <c r="E320" s="126">
        <v>0.03</v>
      </c>
      <c r="F320" s="127"/>
      <c r="G320" s="127"/>
      <c r="H320" s="127"/>
      <c r="I320" s="128"/>
      <c r="K320" s="105" t="str">
        <f>IFERROR(__xludf.DUMMYFUNCTION("if(A320="""","""",substitute(SUBSTITUTE(index(importhtml(""http://finviz.com/quote.ashx?t=""&amp;A320,""table"",10),7,2),""*"",""""),""-"",""0.00""))"),"Loading...")</f>
        <v>Loading...</v>
      </c>
      <c r="L320" s="129">
        <v>1423041.0</v>
      </c>
      <c r="M320" s="99">
        <f>IFERROR(__xludf.DUMMYFUNCTION("GOOGLEFINANCE(A320,""beta"")"),30.66)</f>
        <v>30.66</v>
      </c>
    </row>
    <row r="321">
      <c r="A321" s="122" t="s">
        <v>1075</v>
      </c>
      <c r="B321" s="123">
        <v>1177167.0</v>
      </c>
      <c r="C321" s="124" t="s">
        <v>1076</v>
      </c>
      <c r="D321" s="125"/>
      <c r="E321" s="126">
        <v>0.03</v>
      </c>
      <c r="F321" s="127"/>
      <c r="G321" s="127"/>
      <c r="H321" s="127"/>
      <c r="I321" s="128"/>
      <c r="K321" s="105" t="str">
        <f>IFERROR(__xludf.DUMMYFUNCTION("if(A321="""","""",substitute(SUBSTITUTE(index(importhtml(""http://finviz.com/quote.ashx?t=""&amp;A321,""table"",10),7,2),""*"",""""),""-"",""0.00""))"),"Loading...")</f>
        <v>Loading...</v>
      </c>
      <c r="L321" s="129">
        <v>1425700.0</v>
      </c>
      <c r="M321" s="99">
        <f>IFERROR(__xludf.DUMMYFUNCTION("GOOGLEFINANCE(A321,""beta"")"),0.39)</f>
        <v>0.39</v>
      </c>
    </row>
    <row r="322">
      <c r="A322" s="122" t="s">
        <v>1077</v>
      </c>
      <c r="B322" s="123">
        <v>1845991.0</v>
      </c>
      <c r="C322" s="124" t="s">
        <v>1078</v>
      </c>
      <c r="D322" s="125"/>
      <c r="E322" s="126">
        <v>0.03</v>
      </c>
      <c r="F322" s="127"/>
      <c r="G322" s="127"/>
      <c r="H322" s="127"/>
      <c r="I322" s="128"/>
      <c r="K322" s="105" t="str">
        <f>IFERROR(__xludf.DUMMYFUNCTION("if(A322="""","""",substitute(SUBSTITUTE(index(importhtml(""http://finviz.com/quote.ashx?t=""&amp;A322,""table"",10),7,2),""*"",""""),""-"",""0.00""))"),"Loading...")</f>
        <v>Loading...</v>
      </c>
      <c r="L322" s="129">
        <v>1437091.0</v>
      </c>
      <c r="M322" s="99">
        <f>IFERROR(__xludf.DUMMYFUNCTION("GOOGLEFINANCE(A322,""beta"")"),-0.05)</f>
        <v>-0.05</v>
      </c>
    </row>
    <row r="323">
      <c r="A323" s="122" t="s">
        <v>1079</v>
      </c>
      <c r="B323" s="123">
        <v>1853816.0</v>
      </c>
      <c r="C323" s="124" t="s">
        <v>1080</v>
      </c>
      <c r="D323" s="125"/>
      <c r="E323" s="126">
        <v>0.03</v>
      </c>
      <c r="F323" s="127"/>
      <c r="G323" s="127"/>
      <c r="H323" s="127"/>
      <c r="I323" s="128"/>
      <c r="K323" s="105" t="str">
        <f>IFERROR(__xludf.DUMMYFUNCTION("if(A323="""","""",substitute(SUBSTITUTE(index(importhtml(""http://finviz.com/quote.ashx?t=""&amp;A323,""table"",10),7,2),""*"",""""),""-"",""0.00""))"),"Loading...")</f>
        <v>Loading...</v>
      </c>
      <c r="L323" s="129">
        <v>1668070.0</v>
      </c>
      <c r="M323" s="99">
        <f>IFERROR(__xludf.DUMMYFUNCTION("GOOGLEFINANCE(A323,""beta"")"),1.41)</f>
        <v>1.41</v>
      </c>
    </row>
    <row r="324">
      <c r="A324" s="122" t="s">
        <v>1081</v>
      </c>
      <c r="B324" s="123">
        <v>1625288.0</v>
      </c>
      <c r="C324" s="124" t="s">
        <v>1082</v>
      </c>
      <c r="D324" s="125"/>
      <c r="E324" s="126">
        <v>0.03</v>
      </c>
      <c r="F324" s="127"/>
      <c r="G324" s="127"/>
      <c r="H324" s="127"/>
      <c r="I324" s="128"/>
      <c r="K324" s="105" t="str">
        <f>IFERROR(__xludf.DUMMYFUNCTION("if(A324="""","""",substitute(SUBSTITUTE(index(importhtml(""http://finviz.com/quote.ashx?t=""&amp;A324,""table"",10),7,2),""*"",""""),""-"",""0.00""))"),"Loading...")</f>
        <v>Loading...</v>
      </c>
      <c r="L324" s="129">
        <v>1764303.0</v>
      </c>
      <c r="M324" s="99">
        <v>1.4</v>
      </c>
    </row>
    <row r="325">
      <c r="A325" s="122" t="s">
        <v>1083</v>
      </c>
      <c r="B325" s="123">
        <v>903571.0</v>
      </c>
      <c r="C325" s="124" t="s">
        <v>1084</v>
      </c>
      <c r="D325" s="125"/>
      <c r="E325" s="126">
        <v>0.03</v>
      </c>
      <c r="F325" s="127"/>
      <c r="G325" s="127"/>
      <c r="H325" s="127"/>
      <c r="I325" s="128"/>
      <c r="K325" s="105" t="str">
        <f>IFERROR(__xludf.DUMMYFUNCTION("if(A325="""","""",substitute(SUBSTITUTE(index(importhtml(""http://finviz.com/quote.ashx?t=""&amp;A325,""table"",10),7,2),""*"",""""),""-"",""0.00""))"),"Loading...")</f>
        <v>Loading...</v>
      </c>
      <c r="L325" s="129">
        <v>2004040.0</v>
      </c>
      <c r="M325" s="99">
        <v>0.97</v>
      </c>
    </row>
    <row r="326">
      <c r="A326" s="122" t="s">
        <v>1085</v>
      </c>
      <c r="B326" s="123">
        <v>1543637.0</v>
      </c>
      <c r="C326" s="124" t="s">
        <v>1086</v>
      </c>
      <c r="D326" s="125"/>
      <c r="E326" s="126">
        <v>0.03</v>
      </c>
      <c r="F326" s="127"/>
      <c r="G326" s="127"/>
      <c r="H326" s="127"/>
      <c r="I326" s="128"/>
      <c r="K326" s="105" t="str">
        <f>IFERROR(__xludf.DUMMYFUNCTION("if(A326="""","""",substitute(SUBSTITUTE(index(importhtml(""http://finviz.com/quote.ashx?t=""&amp;A326,""table"",10),7,2),""*"",""""),""-"",""0.00""))"),"Loading...")</f>
        <v>Loading...</v>
      </c>
      <c r="L326" s="129">
        <v>2296059.0</v>
      </c>
      <c r="M326" s="99">
        <v>0.68</v>
      </c>
    </row>
    <row r="327">
      <c r="A327" s="122" t="s">
        <v>1087</v>
      </c>
      <c r="B327" s="123">
        <v>1842430.0</v>
      </c>
      <c r="C327" s="124" t="s">
        <v>1088</v>
      </c>
      <c r="D327" s="125"/>
      <c r="E327" s="126">
        <v>0.03</v>
      </c>
      <c r="F327" s="127"/>
      <c r="G327" s="127"/>
      <c r="H327" s="127"/>
      <c r="I327" s="128"/>
      <c r="K327" s="105" t="str">
        <f>IFERROR(__xludf.DUMMYFUNCTION("if(A327="""","""",substitute(SUBSTITUTE(index(importhtml(""http://finviz.com/quote.ashx?t=""&amp;A327,""table"",10),7,2),""*"",""""),""-"",""0.00""))"),"Loading...")</f>
        <v>Loading...</v>
      </c>
      <c r="L327" s="129">
        <v>2299379.0</v>
      </c>
      <c r="M327" s="99">
        <v>1.29</v>
      </c>
    </row>
    <row r="328">
      <c r="A328" s="122" t="s">
        <v>1089</v>
      </c>
      <c r="B328" s="123">
        <v>1307748.0</v>
      </c>
      <c r="C328" s="124" t="s">
        <v>1090</v>
      </c>
      <c r="D328" s="125"/>
      <c r="E328" s="126">
        <v>0.03</v>
      </c>
      <c r="F328" s="127"/>
      <c r="G328" s="127"/>
      <c r="H328" s="127"/>
      <c r="I328" s="128"/>
      <c r="K328" s="105" t="str">
        <f>IFERROR(__xludf.DUMMYFUNCTION("if(A328="""","""",substitute(SUBSTITUTE(index(importhtml(""http://finviz.com/quote.ashx?t=""&amp;A328,""table"",10),7,2),""*"",""""),""-"",""0.00""))"),"Loading...")</f>
        <v>Loading...</v>
      </c>
      <c r="L328" s="129">
        <v>2353660.0</v>
      </c>
      <c r="M328" s="99">
        <f>IFERROR(__xludf.DUMMYFUNCTION("GOOGLEFINANCE(A328,""beta"")"),-0.48)</f>
        <v>-0.48</v>
      </c>
    </row>
    <row r="329">
      <c r="A329" s="122" t="s">
        <v>1091</v>
      </c>
      <c r="B329" s="123">
        <v>1551887.0</v>
      </c>
      <c r="C329" s="124" t="s">
        <v>1092</v>
      </c>
      <c r="D329" s="125"/>
      <c r="E329" s="126">
        <v>0.03</v>
      </c>
      <c r="F329" s="127"/>
      <c r="G329" s="127"/>
      <c r="H329" s="127"/>
      <c r="I329" s="128"/>
      <c r="K329" s="105" t="str">
        <f>IFERROR(__xludf.DUMMYFUNCTION("if(A329="""","""",substitute(SUBSTITUTE(index(importhtml(""http://finviz.com/quote.ashx?t=""&amp;A329,""table"",10),7,2),""*"",""""),""-"",""0.00""))"),"Loading...")</f>
        <v>Loading...</v>
      </c>
      <c r="L329" s="129">
        <v>2479500.0</v>
      </c>
      <c r="M329" s="99">
        <v>-2.65</v>
      </c>
    </row>
    <row r="330">
      <c r="A330" s="122" t="s">
        <v>1093</v>
      </c>
      <c r="B330" s="123">
        <v>1169652.0</v>
      </c>
      <c r="C330" s="124" t="s">
        <v>1094</v>
      </c>
      <c r="D330" s="125"/>
      <c r="E330" s="126">
        <v>0.03</v>
      </c>
      <c r="F330" s="127"/>
      <c r="G330" s="127"/>
      <c r="H330" s="127"/>
      <c r="I330" s="128"/>
      <c r="K330" s="105" t="str">
        <f>IFERROR(__xludf.DUMMYFUNCTION("if(A330="""","""",substitute(SUBSTITUTE(index(importhtml(""http://finviz.com/quote.ashx?t=""&amp;A330,""table"",10),7,2),""*"",""""),""-"",""0.00""))"),"Loading...")</f>
        <v>Loading...</v>
      </c>
      <c r="L330" s="129">
        <v>2791627.0</v>
      </c>
      <c r="M330" s="99">
        <v>-20.45</v>
      </c>
    </row>
    <row r="331">
      <c r="A331" s="122" t="s">
        <v>1095</v>
      </c>
      <c r="B331" s="123">
        <v>1511820.0</v>
      </c>
      <c r="C331" s="124" t="s">
        <v>1096</v>
      </c>
      <c r="D331" s="125"/>
      <c r="E331" s="126">
        <v>0.03</v>
      </c>
      <c r="F331" s="127"/>
      <c r="G331" s="127"/>
      <c r="H331" s="127"/>
      <c r="I331" s="128"/>
      <c r="K331" s="105" t="str">
        <f>IFERROR(__xludf.DUMMYFUNCTION("if(A331="""","""",substitute(SUBSTITUTE(index(importhtml(""http://finviz.com/quote.ashx?t=""&amp;A331,""table"",10),7,2),""*"",""""),""-"",""0.00""))"),"Loading...")</f>
        <v>Loading...</v>
      </c>
      <c r="L331" s="129">
        <v>3234342.0</v>
      </c>
      <c r="M331" s="99">
        <v>2.46</v>
      </c>
    </row>
    <row r="332">
      <c r="A332" s="122" t="s">
        <v>1097</v>
      </c>
      <c r="B332" s="123">
        <v>1451448.0</v>
      </c>
      <c r="C332" s="124" t="s">
        <v>612</v>
      </c>
      <c r="D332" s="125"/>
      <c r="E332" s="126">
        <v>0.03</v>
      </c>
      <c r="F332" s="127"/>
      <c r="G332" s="127"/>
      <c r="H332" s="127"/>
      <c r="I332" s="128"/>
      <c r="K332" s="105" t="str">
        <f>IFERROR(__xludf.DUMMYFUNCTION("if(A332="""","""",substitute(SUBSTITUTE(index(importhtml(""http://finviz.com/quote.ashx?t=""&amp;A332,""table"",10),7,2),""*"",""""),""-"",""0.00""))"),"Loading...")</f>
        <v>Loading...</v>
      </c>
      <c r="L332" s="129">
        <v>3439950.0</v>
      </c>
      <c r="M332" s="99">
        <v>2.66</v>
      </c>
    </row>
    <row r="333">
      <c r="A333" s="122" t="s">
        <v>1098</v>
      </c>
      <c r="B333" s="123">
        <v>1480313.0</v>
      </c>
      <c r="C333" s="124" t="s">
        <v>1099</v>
      </c>
      <c r="D333" s="125"/>
      <c r="E333" s="126">
        <v>0.03</v>
      </c>
      <c r="F333" s="127"/>
      <c r="G333" s="127"/>
      <c r="H333" s="127"/>
      <c r="I333" s="128"/>
      <c r="K333" s="105" t="str">
        <f>IFERROR(__xludf.DUMMYFUNCTION("if(A333="""","""",substitute(SUBSTITUTE(index(importhtml(""http://finviz.com/quote.ashx?t=""&amp;A333,""table"",10),7,2),""*"",""""),""-"",""0.00""))"),"Loading...")</f>
        <v>Loading...</v>
      </c>
      <c r="L333" s="129">
        <v>3801663.0</v>
      </c>
      <c r="M333" s="99">
        <v>1.18</v>
      </c>
    </row>
    <row r="334">
      <c r="A334" s="122" t="s">
        <v>1100</v>
      </c>
      <c r="B334" s="123">
        <v>724445.0</v>
      </c>
      <c r="C334" s="124" t="s">
        <v>1101</v>
      </c>
      <c r="D334" s="125"/>
      <c r="E334" s="126">
        <v>0.03</v>
      </c>
      <c r="F334" s="127"/>
      <c r="G334" s="127"/>
      <c r="H334" s="127"/>
      <c r="I334" s="128"/>
      <c r="K334" s="105" t="str">
        <f>IFERROR(__xludf.DUMMYFUNCTION("if(A334="""","""",substitute(SUBSTITUTE(index(importhtml(""http://finviz.com/quote.ashx?t=""&amp;A334,""table"",10),7,2),""*"",""""),""-"",""0.00""))"),"Loading...")</f>
        <v>Loading...</v>
      </c>
      <c r="L334" s="129">
        <v>3943448.0</v>
      </c>
      <c r="M334" s="99">
        <v>1.91</v>
      </c>
    </row>
    <row r="335">
      <c r="A335" s="122" t="s">
        <v>1102</v>
      </c>
      <c r="B335" s="123">
        <v>1335112.0</v>
      </c>
      <c r="C335" s="124" t="s">
        <v>1103</v>
      </c>
      <c r="D335" s="125"/>
      <c r="E335" s="126">
        <v>0.03</v>
      </c>
      <c r="F335" s="127"/>
      <c r="G335" s="127"/>
      <c r="H335" s="127"/>
      <c r="I335" s="128"/>
      <c r="K335" s="105" t="str">
        <f>IFERROR(__xludf.DUMMYFUNCTION("if(A335="""","""",substitute(SUBSTITUTE(index(importhtml(""http://finviz.com/quote.ashx?t=""&amp;A335,""table"",10),7,2),""*"",""""),""-"",""0.00""))"),"Loading...")</f>
        <v>Loading...</v>
      </c>
      <c r="L335" s="129">
        <v>4263158.0</v>
      </c>
      <c r="M335" s="99">
        <v>0.51</v>
      </c>
    </row>
    <row r="336">
      <c r="A336" s="122" t="s">
        <v>1104</v>
      </c>
      <c r="B336" s="123">
        <v>1450894.0</v>
      </c>
      <c r="C336" s="124" t="s">
        <v>1105</v>
      </c>
      <c r="D336" s="125"/>
      <c r="E336" s="126">
        <v>0.03</v>
      </c>
      <c r="F336" s="127"/>
      <c r="G336" s="127"/>
      <c r="H336" s="127"/>
      <c r="I336" s="128"/>
      <c r="K336" s="105" t="str">
        <f>IFERROR(__xludf.DUMMYFUNCTION("if(A336="""","""",substitute(SUBSTITUTE(index(importhtml(""http://finviz.com/quote.ashx?t=""&amp;A336,""table"",10),7,2),""*"",""""),""-"",""0.00""))"),"Loading...")</f>
        <v>Loading...</v>
      </c>
      <c r="L336" s="129">
        <v>4803060.0</v>
      </c>
      <c r="M336" s="99">
        <v>0.62</v>
      </c>
    </row>
    <row r="337">
      <c r="A337" s="122" t="s">
        <v>1106</v>
      </c>
      <c r="B337" s="123">
        <v>1833908.0</v>
      </c>
      <c r="C337" s="124" t="s">
        <v>1107</v>
      </c>
      <c r="D337" s="125"/>
      <c r="E337" s="126">
        <v>0.03</v>
      </c>
      <c r="F337" s="127"/>
      <c r="G337" s="127"/>
      <c r="H337" s="127"/>
      <c r="I337" s="128"/>
      <c r="K337" s="105" t="str">
        <f>IFERROR(__xludf.DUMMYFUNCTION("if(A337="""","""",substitute(SUBSTITUTE(index(importhtml(""http://finviz.com/quote.ashx?t=""&amp;A337,""table"",10),7,2),""*"",""""),""-"",""0.00""))"),"Loading...")</f>
        <v>Loading...</v>
      </c>
      <c r="L337" s="129">
        <v>5131310.0</v>
      </c>
      <c r="M337" s="99" t="str">
        <f>IFERROR(__xludf.DUMMYFUNCTION("GOOGLEFINANCE(A337,""beta"")"),"#N/A")</f>
        <v>#N/A</v>
      </c>
    </row>
    <row r="338">
      <c r="A338" s="122" t="s">
        <v>1108</v>
      </c>
      <c r="B338" s="123">
        <v>1014052.0</v>
      </c>
      <c r="C338" s="124" t="s">
        <v>1109</v>
      </c>
      <c r="D338" s="125"/>
      <c r="E338" s="126">
        <v>0.03</v>
      </c>
      <c r="F338" s="127"/>
      <c r="G338" s="127"/>
      <c r="H338" s="127"/>
      <c r="I338" s="128"/>
      <c r="K338" s="105" t="str">
        <f>IFERROR(__xludf.DUMMYFUNCTION("if(A338="""","""",substitute(SUBSTITUTE(index(importhtml(""http://finviz.com/quote.ashx?t=""&amp;A338,""table"",10),7,2),""*"",""""),""-"",""0.00""))"),"Loading...")</f>
        <v>Loading...</v>
      </c>
      <c r="L338" s="129">
        <v>5276734.0</v>
      </c>
      <c r="M338" s="99">
        <v>-0.04</v>
      </c>
    </row>
    <row r="339">
      <c r="A339" s="122" t="s">
        <v>1110</v>
      </c>
      <c r="B339" s="123">
        <v>1454263.0</v>
      </c>
      <c r="C339" s="124" t="s">
        <v>1111</v>
      </c>
      <c r="D339" s="125"/>
      <c r="E339" s="126">
        <v>0.03</v>
      </c>
      <c r="F339" s="127"/>
      <c r="G339" s="127"/>
      <c r="H339" s="127"/>
      <c r="I339" s="128"/>
      <c r="K339" s="105" t="str">
        <f>IFERROR(__xludf.DUMMYFUNCTION("if(A339="""","""",substitute(SUBSTITUTE(index(importhtml(""http://finviz.com/quote.ashx?t=""&amp;A339,""table"",10),7,2),""*"",""""),""-"",""0.00""))"),"Loading...")</f>
        <v>Loading...</v>
      </c>
      <c r="L339" s="129">
        <v>5532880.0</v>
      </c>
      <c r="M339" s="99">
        <v>0.55</v>
      </c>
    </row>
    <row r="340">
      <c r="A340" s="122" t="s">
        <v>1112</v>
      </c>
      <c r="B340" s="123">
        <v>1677522.0</v>
      </c>
      <c r="C340" s="124" t="s">
        <v>1113</v>
      </c>
      <c r="D340" s="125"/>
      <c r="E340" s="126">
        <v>0.03</v>
      </c>
      <c r="F340" s="127"/>
      <c r="G340" s="127"/>
      <c r="H340" s="127"/>
      <c r="I340" s="128"/>
      <c r="K340" s="105" t="str">
        <f>IFERROR(__xludf.DUMMYFUNCTION("if(A340="""","""",substitute(SUBSTITUTE(index(importhtml(""http://finviz.com/quote.ashx?t=""&amp;A340,""table"",10),7,2),""*"",""""),""-"",""0.00""))"),"Loading...")</f>
        <v>Loading...</v>
      </c>
      <c r="L340" s="129">
        <v>5582710.0</v>
      </c>
      <c r="M340" s="99">
        <v>1.0</v>
      </c>
    </row>
    <row r="341">
      <c r="A341" s="122" t="s">
        <v>1114</v>
      </c>
      <c r="B341" s="123">
        <v>1533106.0</v>
      </c>
      <c r="C341" s="124" t="s">
        <v>1115</v>
      </c>
      <c r="D341" s="125"/>
      <c r="E341" s="126">
        <v>0.03</v>
      </c>
      <c r="F341" s="127"/>
      <c r="G341" s="127"/>
      <c r="H341" s="127"/>
      <c r="I341" s="128"/>
      <c r="K341" s="105" t="str">
        <f>IFERROR(__xludf.DUMMYFUNCTION("if(A341="""","""",substitute(SUBSTITUTE(index(importhtml(""http://finviz.com/quote.ashx?t=""&amp;A341,""table"",10),7,2),""*"",""""),""-"",""0.00""))"),"Loading...")</f>
        <v>Loading...</v>
      </c>
      <c r="L341" s="129">
        <v>5791968.0</v>
      </c>
      <c r="M341" s="99">
        <v>0.63</v>
      </c>
    </row>
    <row r="342">
      <c r="A342" s="122" t="s">
        <v>1116</v>
      </c>
      <c r="B342" s="123">
        <v>1603519.0</v>
      </c>
      <c r="C342" s="124" t="s">
        <v>1117</v>
      </c>
      <c r="D342" s="125"/>
      <c r="E342" s="126">
        <v>0.03</v>
      </c>
      <c r="F342" s="127"/>
      <c r="G342" s="127"/>
      <c r="H342" s="127"/>
      <c r="I342" s="128"/>
      <c r="K342" s="105" t="str">
        <f>IFERROR(__xludf.DUMMYFUNCTION("if(A342="""","""",substitute(SUBSTITUTE(index(importhtml(""http://finviz.com/quote.ashx?t=""&amp;A342,""table"",10),7,2),""*"",""""),""-"",""0.00""))"),"Loading...")</f>
        <v>Loading...</v>
      </c>
      <c r="L342" s="129">
        <v>7466099.0</v>
      </c>
      <c r="M342" s="99">
        <v>2.19</v>
      </c>
    </row>
    <row r="343">
      <c r="A343" s="122" t="s">
        <v>1118</v>
      </c>
      <c r="B343" s="123">
        <v>1841420.0</v>
      </c>
      <c r="C343" s="124" t="s">
        <v>1119</v>
      </c>
      <c r="D343" s="125"/>
      <c r="E343" s="126">
        <v>0.03</v>
      </c>
      <c r="F343" s="127"/>
      <c r="G343" s="127"/>
      <c r="H343" s="127"/>
      <c r="I343" s="128"/>
      <c r="K343" s="105" t="str">
        <f>IFERROR(__xludf.DUMMYFUNCTION("if(A343="""","""",substitute(SUBSTITUTE(index(importhtml(""http://finviz.com/quote.ashx?t=""&amp;A343,""table"",10),7,2),""*"",""""),""-"",""0.00""))"),"Loading...")</f>
        <v>Loading...</v>
      </c>
      <c r="L343" s="129">
        <v>8351354.0</v>
      </c>
      <c r="M343" s="99">
        <v>-0.72</v>
      </c>
    </row>
    <row r="344">
      <c r="A344" s="122" t="s">
        <v>1120</v>
      </c>
      <c r="B344" s="123">
        <v>1493712.0</v>
      </c>
      <c r="C344" s="124" t="s">
        <v>1121</v>
      </c>
      <c r="D344" s="125"/>
      <c r="E344" s="126">
        <v>0.03</v>
      </c>
      <c r="F344" s="127"/>
      <c r="G344" s="127"/>
      <c r="H344" s="127"/>
      <c r="I344" s="128"/>
      <c r="K344" s="105" t="str">
        <f>IFERROR(__xludf.DUMMYFUNCTION("if(A344="""","""",substitute(SUBSTITUTE(index(importhtml(""http://finviz.com/quote.ashx?t=""&amp;A344,""table"",10),7,2),""*"",""""),""-"",""0.00""))"),"Loading...")</f>
        <v>Loading...</v>
      </c>
      <c r="L344" s="129">
        <v>8842088.0</v>
      </c>
      <c r="M344" s="99">
        <v>1.56</v>
      </c>
    </row>
    <row r="345">
      <c r="A345" s="122" t="s">
        <v>1122</v>
      </c>
      <c r="B345" s="123">
        <v>1785592.0</v>
      </c>
      <c r="C345" s="124" t="s">
        <v>1123</v>
      </c>
      <c r="D345" s="125"/>
      <c r="E345" s="126">
        <v>0.03</v>
      </c>
      <c r="F345" s="127"/>
      <c r="G345" s="127"/>
      <c r="H345" s="127"/>
      <c r="I345" s="128"/>
      <c r="K345" s="105" t="str">
        <f>IFERROR(__xludf.DUMMYFUNCTION("if(A345="""","""",substitute(SUBSTITUTE(index(importhtml(""http://finviz.com/quote.ashx?t=""&amp;A345,""table"",10),7,2),""*"",""""),""-"",""0.00""))"),"Loading...")</f>
        <v>Loading...</v>
      </c>
      <c r="L345" s="129">
        <v>9146427.0</v>
      </c>
      <c r="M345" s="99">
        <v>1.68</v>
      </c>
    </row>
    <row r="346">
      <c r="A346" s="122" t="s">
        <v>1124</v>
      </c>
      <c r="B346" s="123">
        <v>1725750.0</v>
      </c>
      <c r="C346" s="124" t="s">
        <v>1125</v>
      </c>
      <c r="D346" s="125"/>
      <c r="E346" s="126">
        <v>0.03</v>
      </c>
      <c r="F346" s="127"/>
      <c r="G346" s="127"/>
      <c r="H346" s="127"/>
      <c r="I346" s="128"/>
      <c r="K346" s="105" t="str">
        <f>IFERROR(__xludf.DUMMYFUNCTION("if(A346="""","""",substitute(SUBSTITUTE(index(importhtml(""http://finviz.com/quote.ashx?t=""&amp;A346,""table"",10),7,2),""*"",""""),""-"",""0.00""))"),"Loading...")</f>
        <v>Loading...</v>
      </c>
      <c r="L346" s="129">
        <v>9407572.0</v>
      </c>
      <c r="M346" s="99" t="str">
        <f>IFERROR(__xludf.DUMMYFUNCTION("GOOGLEFINANCE(A346,""beta"")"),"#N/A")</f>
        <v>#N/A</v>
      </c>
    </row>
    <row r="347">
      <c r="A347" s="122" t="s">
        <v>1126</v>
      </c>
      <c r="B347" s="123">
        <v>1568969.0</v>
      </c>
      <c r="C347" s="124" t="s">
        <v>1127</v>
      </c>
      <c r="D347" s="125"/>
      <c r="E347" s="126">
        <v>0.03</v>
      </c>
      <c r="F347" s="127"/>
      <c r="G347" s="127"/>
      <c r="H347" s="127"/>
      <c r="I347" s="128"/>
      <c r="K347" s="105" t="str">
        <f>IFERROR(__xludf.DUMMYFUNCTION("if(A347="""","""",substitute(SUBSTITUTE(index(importhtml(""http://finviz.com/quote.ashx?t=""&amp;A347,""table"",10),7,2),""*"",""""),""-"",""0.00""))"),"Loading...")</f>
        <v>Loading...</v>
      </c>
      <c r="L347" s="129">
        <v>9424251.0</v>
      </c>
      <c r="M347" s="99">
        <v>1.52</v>
      </c>
    </row>
    <row r="348">
      <c r="A348" s="122" t="s">
        <v>1128</v>
      </c>
      <c r="B348" s="123">
        <v>1741489.0</v>
      </c>
      <c r="C348" s="124" t="s">
        <v>1129</v>
      </c>
      <c r="D348" s="125"/>
      <c r="E348" s="126">
        <v>0.03</v>
      </c>
      <c r="F348" s="127"/>
      <c r="G348" s="127"/>
      <c r="H348" s="127"/>
      <c r="I348" s="128"/>
      <c r="K348" s="105" t="str">
        <f>IFERROR(__xludf.DUMMYFUNCTION("if(A348="""","""",substitute(SUBSTITUTE(index(importhtml(""http://finviz.com/quote.ashx?t=""&amp;A348,""table"",10),7,2),""*"",""""),""-"",""0.00""))"),"Loading...")</f>
        <v>Loading...</v>
      </c>
      <c r="L348" s="129">
        <v>1.0899998E7</v>
      </c>
      <c r="M348" s="99">
        <v>2.1</v>
      </c>
    </row>
    <row r="349">
      <c r="A349" s="122" t="s">
        <v>1130</v>
      </c>
      <c r="B349" s="123">
        <v>1851182.0</v>
      </c>
      <c r="C349" s="124" t="s">
        <v>1131</v>
      </c>
      <c r="D349" s="125"/>
      <c r="E349" s="126">
        <v>0.03</v>
      </c>
      <c r="F349" s="127"/>
      <c r="G349" s="127"/>
      <c r="H349" s="127"/>
      <c r="I349" s="128"/>
      <c r="K349" s="105" t="str">
        <f>IFERROR(__xludf.DUMMYFUNCTION("if(A349="""","""",substitute(SUBSTITUTE(index(importhtml(""http://finviz.com/quote.ashx?t=""&amp;A349,""table"",10),7,2),""*"",""""),""-"",""0.00""))"),"Loading...")</f>
        <v>Loading...</v>
      </c>
      <c r="L349" s="129">
        <v>1.090024E7</v>
      </c>
      <c r="M349" s="99" t="str">
        <f>IFERROR(__xludf.DUMMYFUNCTION("GOOGLEFINANCE(A349,""beta"")"),"#N/A")</f>
        <v>#N/A</v>
      </c>
    </row>
    <row r="350">
      <c r="A350" s="122" t="s">
        <v>1132</v>
      </c>
      <c r="B350" s="123">
        <v>1722731.0</v>
      </c>
      <c r="C350" s="124" t="s">
        <v>1133</v>
      </c>
      <c r="D350" s="125"/>
      <c r="E350" s="126">
        <v>0.03</v>
      </c>
      <c r="F350" s="127"/>
      <c r="G350" s="127"/>
      <c r="H350" s="127"/>
      <c r="I350" s="128"/>
      <c r="K350" s="105" t="str">
        <f>IFERROR(__xludf.DUMMYFUNCTION("if(A350="""","""",substitute(SUBSTITUTE(index(importhtml(""http://finviz.com/quote.ashx?t=""&amp;A350,""table"",10),7,2),""*"",""""),""-"",""0.00""))"),"Loading...")</f>
        <v>Loading...</v>
      </c>
      <c r="L350" s="129">
        <v>1.1608743E7</v>
      </c>
      <c r="M350" s="99">
        <v>0.52</v>
      </c>
    </row>
    <row r="351">
      <c r="A351" s="122" t="s">
        <v>1134</v>
      </c>
      <c r="B351" s="123">
        <v>1497649.0</v>
      </c>
      <c r="C351" s="124" t="s">
        <v>1135</v>
      </c>
      <c r="D351" s="125"/>
      <c r="E351" s="126">
        <v>0.03</v>
      </c>
      <c r="F351" s="127"/>
      <c r="G351" s="127"/>
      <c r="H351" s="127"/>
      <c r="I351" s="128"/>
      <c r="K351" s="105" t="str">
        <f>IFERROR(__xludf.DUMMYFUNCTION("if(A351="""","""",substitute(SUBSTITUTE(index(importhtml(""http://finviz.com/quote.ashx?t=""&amp;A351,""table"",10),7,2),""*"",""""),""-"",""0.00""))"),"Loading...")</f>
        <v>Loading...</v>
      </c>
      <c r="L351" s="129">
        <v>1.2656777E7</v>
      </c>
      <c r="M351" s="99">
        <v>-1.4</v>
      </c>
    </row>
    <row r="352">
      <c r="A352" s="122" t="s">
        <v>1136</v>
      </c>
      <c r="B352" s="123">
        <v>1383088.0</v>
      </c>
      <c r="C352" s="124" t="s">
        <v>1137</v>
      </c>
      <c r="D352" s="125"/>
      <c r="E352" s="126">
        <v>0.03</v>
      </c>
      <c r="F352" s="127"/>
      <c r="G352" s="127"/>
      <c r="H352" s="127"/>
      <c r="I352" s="128"/>
      <c r="K352" s="105" t="str">
        <f>IFERROR(__xludf.DUMMYFUNCTION("if(A352="""","""",substitute(SUBSTITUTE(index(importhtml(""http://finviz.com/quote.ashx?t=""&amp;A352,""table"",10),7,2),""*"",""""),""-"",""0.00""))"),"Loading...")</f>
        <v>Loading...</v>
      </c>
      <c r="L352" s="129">
        <v>1.4175459E7</v>
      </c>
      <c r="M352" s="99">
        <v>1.57</v>
      </c>
    </row>
    <row r="353">
      <c r="A353" s="122" t="s">
        <v>1138</v>
      </c>
      <c r="B353" s="123">
        <v>1651932.0</v>
      </c>
      <c r="C353" s="124" t="s">
        <v>1139</v>
      </c>
      <c r="D353" s="125"/>
      <c r="E353" s="126">
        <v>0.03</v>
      </c>
      <c r="F353" s="127"/>
      <c r="G353" s="127"/>
      <c r="H353" s="127"/>
      <c r="I353" s="128"/>
      <c r="K353" s="105" t="str">
        <f>IFERROR(__xludf.DUMMYFUNCTION("if(A353="""","""",substitute(SUBSTITUTE(index(importhtml(""http://finviz.com/quote.ashx?t=""&amp;A353,""table"",10),7,2),""*"",""""),""-"",""0.00""))"),"Loading...")</f>
        <v>Loading...</v>
      </c>
      <c r="L353" s="129">
        <v>2.03747E7</v>
      </c>
      <c r="M353" s="99">
        <v>-1.62</v>
      </c>
    </row>
    <row r="354">
      <c r="A354" s="122" t="s">
        <v>1140</v>
      </c>
      <c r="B354" s="123">
        <v>1871983.0</v>
      </c>
      <c r="C354" s="124" t="s">
        <v>1141</v>
      </c>
      <c r="D354" s="125"/>
      <c r="E354" s="126">
        <v>0.03</v>
      </c>
      <c r="F354" s="127"/>
      <c r="G354" s="127"/>
      <c r="H354" s="127"/>
      <c r="I354" s="128"/>
      <c r="K354" s="105" t="str">
        <f>IFERROR(__xludf.DUMMYFUNCTION("if(A354="""","""",substitute(SUBSTITUTE(index(importhtml(""http://finviz.com/quote.ashx?t=""&amp;A354,""table"",10),7,2),""*"",""""),""-"",""0.00""))"),"Loading...")</f>
        <v>Loading...</v>
      </c>
      <c r="L354" s="129">
        <v>2.7792913E7</v>
      </c>
      <c r="M354" s="99">
        <v>4.77</v>
      </c>
    </row>
    <row r="355">
      <c r="A355" s="122" t="s">
        <v>1142</v>
      </c>
      <c r="B355" s="123">
        <v>1903145.0</v>
      </c>
      <c r="C355" s="124" t="s">
        <v>1143</v>
      </c>
      <c r="D355" s="125"/>
      <c r="E355" s="126">
        <v>0.03</v>
      </c>
      <c r="F355" s="127"/>
      <c r="G355" s="127"/>
      <c r="H355" s="127"/>
      <c r="I355" s="128"/>
      <c r="K355" s="105" t="str">
        <f>IFERROR(__xludf.DUMMYFUNCTION("if(A355="""","""",substitute(SUBSTITUTE(index(importhtml(""http://finviz.com/quote.ashx?t=""&amp;A355,""table"",10),7,2),""*"",""""),""-"",""0.00""))"),"Loading...")</f>
        <v>Loading...</v>
      </c>
      <c r="L355" s="129">
        <v>3.7951772E7</v>
      </c>
      <c r="M355" s="99">
        <f>IFERROR(__xludf.DUMMYFUNCTION("GOOGLEFINANCE(A355,""beta"")"),-1.3)</f>
        <v>-1.3</v>
      </c>
    </row>
    <row r="356">
      <c r="A356" s="122" t="s">
        <v>1144</v>
      </c>
      <c r="B356" s="123">
        <v>1867287.0</v>
      </c>
      <c r="C356" s="124" t="s">
        <v>1145</v>
      </c>
      <c r="D356" s="125"/>
      <c r="E356" s="126">
        <v>0.03</v>
      </c>
      <c r="F356" s="127"/>
      <c r="G356" s="127"/>
      <c r="H356" s="127"/>
      <c r="I356" s="128"/>
      <c r="K356" s="105" t="str">
        <f>IFERROR(__xludf.DUMMYFUNCTION("if(A356="""","""",substitute(SUBSTITUTE(index(importhtml(""http://finviz.com/quote.ashx?t=""&amp;A356,""table"",10),7,2),""*"",""""),""-"",""0.00""))"),"Loading...")</f>
        <v>Loading...</v>
      </c>
      <c r="L356" s="129">
        <v>3.9505631E7</v>
      </c>
      <c r="M356" s="99" t="str">
        <f>IFERROR(__xludf.DUMMYFUNCTION("GOOGLEFINANCE(A356,""beta"")"),"#N/A")</f>
        <v>#N/A</v>
      </c>
    </row>
    <row r="357">
      <c r="A357" s="122" t="s">
        <v>1146</v>
      </c>
      <c r="B357" s="123">
        <v>1718405.0</v>
      </c>
      <c r="C357" s="124" t="s">
        <v>957</v>
      </c>
      <c r="D357" s="125"/>
      <c r="E357" s="126">
        <v>0.03</v>
      </c>
      <c r="F357" s="127"/>
      <c r="G357" s="127"/>
      <c r="H357" s="127"/>
      <c r="I357" s="128"/>
      <c r="K357" s="105" t="str">
        <f>IFERROR(__xludf.DUMMYFUNCTION("if(A357="""","""",substitute(SUBSTITUTE(index(importhtml(""http://finviz.com/quote.ashx?t=""&amp;A357,""table"",10),7,2),""*"",""""),""-"",""0.00""))"),"Loading...")</f>
        <v>Loading...</v>
      </c>
      <c r="L357" s="129">
        <v>4.0628692E7</v>
      </c>
      <c r="M357" s="99">
        <v>5.53</v>
      </c>
    </row>
    <row r="358">
      <c r="A358" s="122" t="s">
        <v>1147</v>
      </c>
      <c r="B358" s="123">
        <v>1844389.0</v>
      </c>
      <c r="C358" s="124" t="s">
        <v>1148</v>
      </c>
      <c r="D358" s="125"/>
      <c r="E358" s="126">
        <v>0.03</v>
      </c>
      <c r="F358" s="127"/>
      <c r="G358" s="127"/>
      <c r="H358" s="127"/>
      <c r="I358" s="128"/>
      <c r="K358" s="105" t="str">
        <f>IFERROR(__xludf.DUMMYFUNCTION("if(A358="""","""",substitute(SUBSTITUTE(index(importhtml(""http://finviz.com/quote.ashx?t=""&amp;A358,""table"",10),7,2),""*"",""""),""-"",""0.00""))"),"Loading...")</f>
        <v>Loading...</v>
      </c>
      <c r="L358" s="129">
        <v>4.110552E7</v>
      </c>
      <c r="M358" s="99" t="str">
        <f>IFERROR(__xludf.DUMMYFUNCTION("GOOGLEFINANCE(A358,""beta"")"),"#N/A")</f>
        <v>#N/A</v>
      </c>
    </row>
    <row r="359">
      <c r="A359" s="122" t="s">
        <v>1149</v>
      </c>
      <c r="B359" s="123">
        <v>1881741.0</v>
      </c>
      <c r="C359" s="124" t="s">
        <v>1150</v>
      </c>
      <c r="D359" s="125"/>
      <c r="E359" s="126">
        <v>0.03</v>
      </c>
      <c r="F359" s="127"/>
      <c r="G359" s="127"/>
      <c r="H359" s="127"/>
      <c r="I359" s="128"/>
      <c r="K359" s="105" t="str">
        <f>IFERROR(__xludf.DUMMYFUNCTION("if(A359="""","""",substitute(SUBSTITUTE(index(importhtml(""http://finviz.com/quote.ashx?t=""&amp;A359,""table"",10),7,2),""*"",""""),""-"",""0.00""))"),"Loading...")</f>
        <v>Loading...</v>
      </c>
      <c r="L359" s="129">
        <v>4.697902E7</v>
      </c>
      <c r="M359" s="99" t="str">
        <f>IFERROR(__xludf.DUMMYFUNCTION("GOOGLEFINANCE(A359,""beta"")"),"#N/A")</f>
        <v>#N/A</v>
      </c>
    </row>
    <row r="360">
      <c r="A360" s="122" t="s">
        <v>1151</v>
      </c>
      <c r="B360" s="123">
        <v>1883983.0</v>
      </c>
      <c r="C360" s="124" t="s">
        <v>1152</v>
      </c>
      <c r="D360" s="125"/>
      <c r="E360" s="126">
        <v>0.03</v>
      </c>
      <c r="F360" s="127"/>
      <c r="G360" s="127"/>
      <c r="H360" s="127"/>
      <c r="I360" s="128"/>
      <c r="K360" s="105" t="str">
        <f>IFERROR(__xludf.DUMMYFUNCTION("if(A360="""","""",substitute(SUBSTITUTE(index(importhtml(""http://finviz.com/quote.ashx?t=""&amp;A360,""table"",10),7,2),""*"",""""),""-"",""0.00""))"),"Loading...")</f>
        <v>Loading...</v>
      </c>
      <c r="L360" s="129">
        <v>5.136727E7</v>
      </c>
      <c r="M360" s="99" t="str">
        <f>IFERROR(__xludf.DUMMYFUNCTION("GOOGLEFINANCE(A360,""beta"")"),"#N/A")</f>
        <v>#N/A</v>
      </c>
    </row>
    <row r="361">
      <c r="A361" s="122" t="s">
        <v>1153</v>
      </c>
      <c r="B361" s="123">
        <v>1266806.0</v>
      </c>
      <c r="C361" s="124" t="s">
        <v>1154</v>
      </c>
      <c r="D361" s="125"/>
      <c r="E361" s="126">
        <v>0.03</v>
      </c>
      <c r="F361" s="127"/>
      <c r="G361" s="127"/>
      <c r="H361" s="127"/>
      <c r="I361" s="128"/>
      <c r="K361" s="105" t="str">
        <f>IFERROR(__xludf.DUMMYFUNCTION("if(A361="""","""",substitute(SUBSTITUTE(index(importhtml(""http://finviz.com/quote.ashx?t=""&amp;A361,""table"",10),7,2),""*"",""""),""-"",""0.00""))"),"Loading...")</f>
        <v>Loading...</v>
      </c>
      <c r="L361" s="129">
        <v>5.25558E7</v>
      </c>
      <c r="M361" s="99">
        <v>3.05</v>
      </c>
    </row>
    <row r="362">
      <c r="A362" s="122" t="s">
        <v>1155</v>
      </c>
      <c r="B362" s="123">
        <v>1838513.0</v>
      </c>
      <c r="C362" s="124" t="s">
        <v>1156</v>
      </c>
      <c r="D362" s="125"/>
      <c r="E362" s="126">
        <v>0.03</v>
      </c>
      <c r="F362" s="127"/>
      <c r="G362" s="127"/>
      <c r="H362" s="127"/>
      <c r="I362" s="128"/>
      <c r="K362" s="105" t="str">
        <f>IFERROR(__xludf.DUMMYFUNCTION("if(A362="""","""",substitute(SUBSTITUTE(index(importhtml(""http://finviz.com/quote.ashx?t=""&amp;A362,""table"",10),7,2),""*"",""""),""-"",""0.00""))"),"Loading...")</f>
        <v>Loading...</v>
      </c>
      <c r="L362" s="129">
        <v>7.25328E7</v>
      </c>
      <c r="M362" s="99" t="str">
        <f>IFERROR(__xludf.DUMMYFUNCTION("GOOGLEFINANCE(A362,""beta"")"),"#N/A")</f>
        <v>#N/A</v>
      </c>
    </row>
    <row r="363">
      <c r="A363" s="122" t="s">
        <v>1157</v>
      </c>
      <c r="B363" s="123">
        <v>1831874.0</v>
      </c>
      <c r="C363" s="124" t="s">
        <v>1158</v>
      </c>
      <c r="D363" s="125"/>
      <c r="E363" s="126">
        <v>0.03</v>
      </c>
      <c r="F363" s="127"/>
      <c r="G363" s="127"/>
      <c r="H363" s="127"/>
      <c r="I363" s="128"/>
      <c r="K363" s="105" t="str">
        <f>IFERROR(__xludf.DUMMYFUNCTION("if(A363="""","""",substitute(SUBSTITUTE(index(importhtml(""http://finviz.com/quote.ashx?t=""&amp;A363,""table"",10),7,2),""*"",""""),""-"",""0.00""))"),"Loading...")</f>
        <v>Loading...</v>
      </c>
      <c r="L363" s="129">
        <v>7.5331131E7</v>
      </c>
      <c r="M363" s="99" t="str">
        <f>IFERROR(__xludf.DUMMYFUNCTION("GOOGLEFINANCE(A363,""beta"")"),"#N/A")</f>
        <v>#N/A</v>
      </c>
    </row>
    <row r="364">
      <c r="A364" s="122" t="s">
        <v>1159</v>
      </c>
      <c r="B364" s="123">
        <v>1874218.0</v>
      </c>
      <c r="C364" s="124" t="s">
        <v>1160</v>
      </c>
      <c r="D364" s="125"/>
      <c r="E364" s="126">
        <v>0.03</v>
      </c>
      <c r="F364" s="127"/>
      <c r="G364" s="127"/>
      <c r="H364" s="127"/>
      <c r="I364" s="128"/>
      <c r="K364" s="105" t="str">
        <f>IFERROR(__xludf.DUMMYFUNCTION("if(A364="""","""",substitute(SUBSTITUTE(index(importhtml(""http://finviz.com/quote.ashx?t=""&amp;A364,""table"",10),7,2),""*"",""""),""-"",""0.00""))"),"Loading...")</f>
        <v>Loading...</v>
      </c>
      <c r="L364" s="129">
        <v>8.190124E7</v>
      </c>
      <c r="M364" s="99" t="str">
        <f>IFERROR(__xludf.DUMMYFUNCTION("GOOGLEFINANCE(A364,""beta"")"),"#N/A")</f>
        <v>#N/A</v>
      </c>
    </row>
    <row r="365">
      <c r="A365" s="122" t="s">
        <v>1161</v>
      </c>
      <c r="B365" s="123">
        <v>1890671.0</v>
      </c>
      <c r="C365" s="124" t="s">
        <v>1162</v>
      </c>
      <c r="D365" s="125"/>
      <c r="E365" s="126">
        <v>0.03</v>
      </c>
      <c r="F365" s="127"/>
      <c r="G365" s="127"/>
      <c r="H365" s="127"/>
      <c r="I365" s="128"/>
      <c r="K365" s="105" t="str">
        <f>IFERROR(__xludf.DUMMYFUNCTION("if(A365="""","""",substitute(SUBSTITUTE(index(importhtml(""http://finviz.com/quote.ashx?t=""&amp;A365,""table"",10),7,2),""*"",""""),""-"",""0.00""))"),"Loading...")</f>
        <v>Loading...</v>
      </c>
      <c r="L365" s="129">
        <v>8.39043E7</v>
      </c>
      <c r="M365" s="99" t="str">
        <f>IFERROR(__xludf.DUMMYFUNCTION("GOOGLEFINANCE(A365,""beta"")"),"#N/A")</f>
        <v>#N/A</v>
      </c>
    </row>
    <row r="366">
      <c r="A366" s="122" t="s">
        <v>1163</v>
      </c>
      <c r="B366" s="123">
        <v>1846235.0</v>
      </c>
      <c r="C366" s="124" t="s">
        <v>1164</v>
      </c>
      <c r="D366" s="125"/>
      <c r="E366" s="126">
        <v>0.03</v>
      </c>
      <c r="F366" s="127"/>
      <c r="G366" s="127"/>
      <c r="H366" s="127"/>
      <c r="I366" s="128"/>
      <c r="K366" s="105" t="str">
        <f>IFERROR(__xludf.DUMMYFUNCTION("if(A366="""","""",substitute(SUBSTITUTE(index(importhtml(""http://finviz.com/quote.ashx?t=""&amp;A366,""table"",10),7,2),""*"",""""),""-"",""0.00""))"),"Loading...")</f>
        <v>Loading...</v>
      </c>
      <c r="L366" s="129">
        <v>8.5078686E7</v>
      </c>
      <c r="M366" s="99">
        <f>IFERROR(__xludf.DUMMYFUNCTION("GOOGLEFINANCE(A366,""beta"")"),1.67)</f>
        <v>1.67</v>
      </c>
    </row>
    <row r="367">
      <c r="A367" s="122" t="s">
        <v>1165</v>
      </c>
      <c r="B367" s="123">
        <v>1852749.0</v>
      </c>
      <c r="C367" s="124" t="s">
        <v>1166</v>
      </c>
      <c r="D367" s="125"/>
      <c r="E367" s="126">
        <v>0.03</v>
      </c>
      <c r="F367" s="127"/>
      <c r="G367" s="127"/>
      <c r="H367" s="127"/>
      <c r="I367" s="128"/>
      <c r="K367" s="105" t="str">
        <f>IFERROR(__xludf.DUMMYFUNCTION("if(A367="""","""",substitute(SUBSTITUTE(index(importhtml(""http://finviz.com/quote.ashx?t=""&amp;A367,""table"",10),7,2),""*"",""""),""-"",""0.00""))"),"#N/A")</f>
        <v>#N/A</v>
      </c>
      <c r="L367" s="129">
        <v>8.587656E7</v>
      </c>
      <c r="M367" s="99" t="str">
        <f>IFERROR(__xludf.DUMMYFUNCTION("GOOGLEFINANCE(A367,""beta"")"),"#N/A")</f>
        <v>#N/A</v>
      </c>
    </row>
    <row r="368">
      <c r="A368" s="122" t="s">
        <v>1167</v>
      </c>
      <c r="B368" s="123">
        <v>1822366.0</v>
      </c>
      <c r="C368" s="124" t="s">
        <v>1168</v>
      </c>
      <c r="D368" s="125"/>
      <c r="E368" s="126">
        <v>0.03</v>
      </c>
      <c r="F368" s="127"/>
      <c r="G368" s="127"/>
      <c r="H368" s="127"/>
      <c r="I368" s="128"/>
      <c r="K368" s="105" t="str">
        <f>IFERROR(__xludf.DUMMYFUNCTION("if(A368="""","""",substitute(SUBSTITUTE(index(importhtml(""http://finviz.com/quote.ashx?t=""&amp;A368,""table"",10),7,2),""*"",""""),""-"",""0.00""))"),"Loading...")</f>
        <v>Loading...</v>
      </c>
      <c r="L368" s="129">
        <v>8.6874254E7</v>
      </c>
      <c r="M368" s="99">
        <v>-0.92</v>
      </c>
    </row>
    <row r="369">
      <c r="A369" s="122" t="s">
        <v>1169</v>
      </c>
      <c r="B369" s="123">
        <v>1831964.0</v>
      </c>
      <c r="C369" s="124" t="s">
        <v>1170</v>
      </c>
      <c r="D369" s="125"/>
      <c r="E369" s="126">
        <v>0.03</v>
      </c>
      <c r="F369" s="127"/>
      <c r="G369" s="127"/>
      <c r="H369" s="127"/>
      <c r="I369" s="128"/>
      <c r="K369" s="105" t="str">
        <f>IFERROR(__xludf.DUMMYFUNCTION("if(A369="""","""",substitute(SUBSTITUTE(index(importhtml(""http://finviz.com/quote.ashx?t=""&amp;A369,""table"",10),7,2),""*"",""""),""-"",""0.00""))"),"Loading...")</f>
        <v>Loading...</v>
      </c>
      <c r="L369" s="129">
        <v>8.742518E7</v>
      </c>
      <c r="M369" s="99" t="str">
        <f>IFERROR(__xludf.DUMMYFUNCTION("GOOGLEFINANCE(A369,""beta"")"),"#N/A")</f>
        <v>#N/A</v>
      </c>
    </row>
    <row r="370">
      <c r="A370" s="122" t="s">
        <v>1171</v>
      </c>
      <c r="B370" s="123">
        <v>1852019.0</v>
      </c>
      <c r="C370" s="124" t="s">
        <v>1172</v>
      </c>
      <c r="D370" s="125"/>
      <c r="E370" s="126">
        <v>0.03</v>
      </c>
      <c r="F370" s="127"/>
      <c r="G370" s="127"/>
      <c r="H370" s="127"/>
      <c r="I370" s="128"/>
      <c r="K370" s="105" t="str">
        <f>IFERROR(__xludf.DUMMYFUNCTION("if(A370="""","""",substitute(SUBSTITUTE(index(importhtml(""http://finviz.com/quote.ashx?t=""&amp;A370,""table"",10),7,2),""*"",""""),""-"",""0.00""))"),"Loading...")</f>
        <v>Loading...</v>
      </c>
      <c r="L370" s="129">
        <v>9.558831E7</v>
      </c>
      <c r="M370" s="99" t="str">
        <f>IFERROR(__xludf.DUMMYFUNCTION("GOOGLEFINANCE(A370,""beta"")"),"#N/A")</f>
        <v>#N/A</v>
      </c>
    </row>
    <row r="371">
      <c r="A371" s="122" t="s">
        <v>1173</v>
      </c>
      <c r="B371" s="123">
        <v>1836274.0</v>
      </c>
      <c r="C371" s="124" t="s">
        <v>1174</v>
      </c>
      <c r="D371" s="125"/>
      <c r="E371" s="126">
        <v>0.03</v>
      </c>
      <c r="F371" s="127"/>
      <c r="G371" s="127"/>
      <c r="H371" s="127"/>
      <c r="I371" s="128"/>
      <c r="K371" s="105" t="str">
        <f>IFERROR(__xludf.DUMMYFUNCTION("if(A371="""","""",substitute(SUBSTITUTE(index(importhtml(""http://finviz.com/quote.ashx?t=""&amp;A371,""table"",10),7,2),""*"",""""),""-"",""0.00""))"),"Loading...")</f>
        <v>Loading...</v>
      </c>
      <c r="L371" s="129">
        <v>1.159183E8</v>
      </c>
      <c r="M371" s="99" t="str">
        <f>IFERROR(__xludf.DUMMYFUNCTION("GOOGLEFINANCE(A371,""beta"")"),"#N/A")</f>
        <v>#N/A</v>
      </c>
    </row>
    <row r="372">
      <c r="A372" s="122" t="s">
        <v>1175</v>
      </c>
      <c r="B372" s="123">
        <v>1879297.0</v>
      </c>
      <c r="C372" s="124" t="s">
        <v>1176</v>
      </c>
      <c r="D372" s="125"/>
      <c r="E372" s="126">
        <v>0.03</v>
      </c>
      <c r="F372" s="127"/>
      <c r="G372" s="127"/>
      <c r="H372" s="127"/>
      <c r="I372" s="128"/>
      <c r="K372" s="105" t="str">
        <f>IFERROR(__xludf.DUMMYFUNCTION("if(A372="""","""",substitute(SUBSTITUTE(index(importhtml(""http://finviz.com/quote.ashx?t=""&amp;A372,""table"",10),7,2),""*"",""""),""-"",""0.00""))"),"Loading...")</f>
        <v>Loading...</v>
      </c>
      <c r="L372" s="129">
        <v>1.36911772E8</v>
      </c>
      <c r="M372" s="99" t="str">
        <f>IFERROR(__xludf.DUMMYFUNCTION("GOOGLEFINANCE(A372,""beta"")"),"#N/A")</f>
        <v>#N/A</v>
      </c>
    </row>
    <row r="373">
      <c r="A373" s="122" t="s">
        <v>1177</v>
      </c>
      <c r="B373" s="123">
        <v>1847241.0</v>
      </c>
      <c r="C373" s="124" t="s">
        <v>1178</v>
      </c>
      <c r="D373" s="125"/>
      <c r="E373" s="126">
        <v>0.03</v>
      </c>
      <c r="F373" s="127"/>
      <c r="G373" s="127"/>
      <c r="H373" s="127"/>
      <c r="I373" s="128"/>
      <c r="K373" s="105" t="str">
        <f>IFERROR(__xludf.DUMMYFUNCTION("if(A373="""","""",substitute(SUBSTITUTE(index(importhtml(""http://finviz.com/quote.ashx?t=""&amp;A373,""table"",10),7,2),""*"",""""),""-"",""0.00""))"),"Loading...")</f>
        <v>Loading...</v>
      </c>
      <c r="L373" s="129">
        <v>1.86095537E8</v>
      </c>
      <c r="M373" s="99" t="str">
        <f>IFERROR(__xludf.DUMMYFUNCTION("GOOGLEFINANCE(A373,""beta"")"),"#N/A")</f>
        <v>#N/A</v>
      </c>
    </row>
    <row r="374">
      <c r="A374" s="122" t="s">
        <v>1179</v>
      </c>
      <c r="B374" s="123">
        <v>1816723.0</v>
      </c>
      <c r="C374" s="124" t="s">
        <v>1180</v>
      </c>
      <c r="D374" s="125"/>
      <c r="E374" s="126">
        <v>0.03</v>
      </c>
      <c r="F374" s="127"/>
      <c r="G374" s="127"/>
      <c r="H374" s="127"/>
      <c r="I374" s="128"/>
      <c r="K374" s="105" t="str">
        <f>IFERROR(__xludf.DUMMYFUNCTION("if(A374="""","""",substitute(SUBSTITUTE(index(importhtml(""http://finviz.com/quote.ashx?t=""&amp;A374,""table"",10),7,2),""*"",""""),""-"",""0.00""))"),"Loading...")</f>
        <v>Loading...</v>
      </c>
      <c r="L374" s="129">
        <v>2.05854429E8</v>
      </c>
      <c r="M374" s="99" t="str">
        <f>IFERROR(__xludf.DUMMYFUNCTION("GOOGLEFINANCE(A374,""beta"")"),"#N/A")</f>
        <v>#N/A</v>
      </c>
    </row>
    <row r="375">
      <c r="A375" s="122" t="s">
        <v>1181</v>
      </c>
      <c r="B375" s="123">
        <v>1844817.0</v>
      </c>
      <c r="C375" s="124" t="s">
        <v>1182</v>
      </c>
      <c r="D375" s="125"/>
      <c r="E375" s="126">
        <v>0.03</v>
      </c>
      <c r="F375" s="127"/>
      <c r="G375" s="127"/>
      <c r="H375" s="127"/>
      <c r="I375" s="128"/>
      <c r="K375" s="105" t="str">
        <f>IFERROR(__xludf.DUMMYFUNCTION("if(A375="""","""",substitute(SUBSTITUTE(index(importhtml(""http://finviz.com/quote.ashx?t=""&amp;A375,""table"",10),7,2),""*"",""""),""-"",""0.00""))"),"Loading...")</f>
        <v>Loading...</v>
      </c>
      <c r="L375" s="129">
        <v>2.31582917E8</v>
      </c>
      <c r="M375" s="99" t="str">
        <f>IFERROR(__xludf.DUMMYFUNCTION("GOOGLEFINANCE(A375,""beta"")"),"#N/A")</f>
        <v>#N/A</v>
      </c>
    </row>
    <row r="376">
      <c r="A376" s="122" t="s">
        <v>1183</v>
      </c>
      <c r="B376" s="123">
        <v>1841408.0</v>
      </c>
      <c r="C376" s="124" t="s">
        <v>1184</v>
      </c>
      <c r="D376" s="125"/>
      <c r="E376" s="126">
        <v>0.03</v>
      </c>
      <c r="F376" s="127"/>
      <c r="G376" s="127"/>
      <c r="H376" s="127"/>
      <c r="I376" s="128"/>
      <c r="K376" s="105" t="str">
        <f>IFERROR(__xludf.DUMMYFUNCTION("if(A376="""","""",substitute(SUBSTITUTE(index(importhtml(""http://finviz.com/quote.ashx?t=""&amp;A376,""table"",10),7,2),""*"",""""),""-"",""0.00""))"),"Loading...")</f>
        <v>Loading...</v>
      </c>
      <c r="L376" s="129">
        <v>2.66351156E8</v>
      </c>
      <c r="M376" s="99">
        <f>IFERROR(__xludf.DUMMYFUNCTION("GOOGLEFINANCE(A376,""beta"")"),7.62)</f>
        <v>7.62</v>
      </c>
    </row>
    <row r="377">
      <c r="A377" s="122" t="s">
        <v>1185</v>
      </c>
      <c r="B377" s="123">
        <v>1837607.0</v>
      </c>
      <c r="C377" s="124" t="s">
        <v>1186</v>
      </c>
      <c r="D377" s="125"/>
      <c r="E377" s="126">
        <v>0.03</v>
      </c>
      <c r="F377" s="127"/>
      <c r="G377" s="127"/>
      <c r="H377" s="127"/>
      <c r="I377" s="128"/>
      <c r="K377" s="105" t="str">
        <f>IFERROR(__xludf.DUMMYFUNCTION("if(A377="""","""",substitute(SUBSTITUTE(index(importhtml(""http://finviz.com/quote.ashx?t=""&amp;A377,""table"",10),7,2),""*"",""""),""-"",""0.00""))"),"Loading...")</f>
        <v>Loading...</v>
      </c>
      <c r="L377" s="129">
        <v>3.07739989E8</v>
      </c>
      <c r="M377" s="99" t="str">
        <f>IFERROR(__xludf.DUMMYFUNCTION("GOOGLEFINANCE(A377,""beta"")"),"#N/A")</f>
        <v>#N/A</v>
      </c>
    </row>
    <row r="378">
      <c r="A378" s="122" t="s">
        <v>1187</v>
      </c>
      <c r="B378" s="123">
        <v>1832761.0</v>
      </c>
      <c r="C378" s="124" t="s">
        <v>1188</v>
      </c>
      <c r="D378" s="125"/>
      <c r="E378" s="126">
        <v>0.03</v>
      </c>
      <c r="F378" s="127"/>
      <c r="G378" s="127"/>
      <c r="H378" s="127"/>
      <c r="I378" s="128"/>
      <c r="K378" s="105" t="str">
        <f>IFERROR(__xludf.DUMMYFUNCTION("if(A378="""","""",substitute(SUBSTITUTE(index(importhtml(""http://finviz.com/quote.ashx?t=""&amp;A378,""table"",10),7,2),""*"",""""),""-"",""0.00""))"),"Loading...")</f>
        <v>Loading...</v>
      </c>
      <c r="L378" s="129" t="e">
        <v>#N/A</v>
      </c>
      <c r="M378" s="99">
        <v>-2.95</v>
      </c>
    </row>
    <row r="379">
      <c r="A379" s="122" t="s">
        <v>1189</v>
      </c>
      <c r="B379" s="123">
        <v>1398172.0</v>
      </c>
      <c r="C379" s="124" t="s">
        <v>1190</v>
      </c>
      <c r="D379" s="125"/>
      <c r="E379" s="126">
        <v>0.03</v>
      </c>
      <c r="F379" s="127"/>
      <c r="G379" s="127"/>
      <c r="H379" s="127"/>
      <c r="I379" s="128"/>
      <c r="K379" s="105" t="str">
        <f>IFERROR(__xludf.DUMMYFUNCTION("if(A379="""","""",substitute(SUBSTITUTE(index(importhtml(""http://finviz.com/quote.ashx?t=""&amp;A379,""table"",10),7,2),""*"",""""),""-"",""0.00""))"),"#N/A")</f>
        <v>#N/A</v>
      </c>
      <c r="L379" s="129" t="e">
        <v>#N/A</v>
      </c>
      <c r="M379" s="99">
        <v>-0.61</v>
      </c>
    </row>
    <row r="380">
      <c r="A380" s="122" t="s">
        <v>1191</v>
      </c>
      <c r="B380" s="123">
        <v>1103310.0</v>
      </c>
      <c r="C380" s="124" t="s">
        <v>1192</v>
      </c>
      <c r="D380" s="125"/>
      <c r="E380" s="126">
        <v>0.03</v>
      </c>
      <c r="F380" s="127"/>
      <c r="G380" s="127"/>
      <c r="H380" s="127"/>
      <c r="I380" s="128"/>
      <c r="K380" s="105" t="str">
        <f>IFERROR(__xludf.DUMMYFUNCTION("if(A380="""","""",substitute(SUBSTITUTE(index(importhtml(""http://finviz.com/quote.ashx?t=""&amp;A380,""table"",10),7,2),""*"",""""),""-"",""0.00""))"),"Loading...")</f>
        <v>Loading...</v>
      </c>
      <c r="L380" s="129" t="e">
        <v>#N/A</v>
      </c>
      <c r="M380" s="99">
        <v>0.93</v>
      </c>
    </row>
    <row r="381">
      <c r="A381" s="122" t="s">
        <v>1193</v>
      </c>
      <c r="B381" s="123">
        <v>1761510.0</v>
      </c>
      <c r="C381" s="124" t="s">
        <v>1194</v>
      </c>
      <c r="D381" s="125"/>
      <c r="E381" s="126">
        <v>0.03</v>
      </c>
      <c r="F381" s="127"/>
      <c r="G381" s="127"/>
      <c r="H381" s="127"/>
      <c r="I381" s="128"/>
      <c r="K381" s="105" t="str">
        <f>IFERROR(__xludf.DUMMYFUNCTION("if(A381="""","""",substitute(SUBSTITUTE(index(importhtml(""http://finviz.com/quote.ashx?t=""&amp;A381,""table"",10),7,2),""*"",""""),""-"",""0.00""))"),"#N/A")</f>
        <v>#N/A</v>
      </c>
      <c r="L381" s="129" t="e">
        <v>#N/A</v>
      </c>
      <c r="M381" s="99">
        <v>1.12</v>
      </c>
    </row>
    <row r="382">
      <c r="A382" s="122" t="s">
        <v>1195</v>
      </c>
      <c r="B382" s="123">
        <v>90391.0</v>
      </c>
      <c r="C382" s="124" t="s">
        <v>1196</v>
      </c>
      <c r="D382" s="125"/>
      <c r="E382" s="126">
        <v>0.03</v>
      </c>
      <c r="F382" s="127"/>
      <c r="G382" s="127"/>
      <c r="H382" s="127"/>
      <c r="I382" s="128"/>
      <c r="K382" s="105" t="str">
        <f>IFERROR(__xludf.DUMMYFUNCTION("if(A382="""","""",substitute(SUBSTITUTE(index(importhtml(""http://finviz.com/quote.ashx?t=""&amp;A382,""table"",10),7,2),""*"",""""),""-"",""0.00""))"),"Loading...")</f>
        <v>Loading...</v>
      </c>
      <c r="L382" s="129" t="e">
        <v>#N/A</v>
      </c>
      <c r="M382" s="99">
        <v>1.28</v>
      </c>
    </row>
    <row r="383">
      <c r="A383" s="122" t="s">
        <v>1197</v>
      </c>
      <c r="B383" s="123">
        <v>1875236.0</v>
      </c>
      <c r="C383" s="124" t="s">
        <v>1198</v>
      </c>
      <c r="D383" s="125"/>
      <c r="E383" s="126">
        <v>0.03</v>
      </c>
      <c r="F383" s="127"/>
      <c r="G383" s="127"/>
      <c r="H383" s="127"/>
      <c r="I383" s="128"/>
      <c r="K383" s="105" t="str">
        <f>IFERROR(__xludf.DUMMYFUNCTION("if(A383="""","""",substitute(SUBSTITUTE(index(importhtml(""http://finviz.com/quote.ashx?t=""&amp;A383,""table"",10),7,2),""*"",""""),""-"",""0.00""))"),"Loading...")</f>
        <v>Loading...</v>
      </c>
      <c r="L383" s="129" t="e">
        <v>#N/A</v>
      </c>
      <c r="M383" s="99" t="e">
        <v>#N/A</v>
      </c>
    </row>
    <row r="384">
      <c r="A384" s="122" t="s">
        <v>1199</v>
      </c>
      <c r="B384" s="123">
        <v>1556266.0</v>
      </c>
      <c r="C384" s="124" t="s">
        <v>1200</v>
      </c>
      <c r="D384" s="125"/>
      <c r="E384" s="126">
        <v>0.04</v>
      </c>
      <c r="F384" s="127"/>
      <c r="G384" s="127"/>
      <c r="H384" s="127"/>
      <c r="I384" s="128"/>
      <c r="K384" s="55" t="s">
        <v>1034</v>
      </c>
      <c r="L384" s="129">
        <v>1343800.0</v>
      </c>
      <c r="M384" s="99">
        <v>0.67</v>
      </c>
    </row>
    <row r="385">
      <c r="A385" s="122" t="s">
        <v>1201</v>
      </c>
      <c r="B385" s="123">
        <v>1807046.0</v>
      </c>
      <c r="C385" s="124" t="s">
        <v>1202</v>
      </c>
      <c r="D385" s="125"/>
      <c r="E385" s="126">
        <v>0.04</v>
      </c>
      <c r="F385" s="127"/>
      <c r="G385" s="127"/>
      <c r="H385" s="127"/>
      <c r="I385" s="128"/>
      <c r="K385" s="55" t="s">
        <v>1034</v>
      </c>
      <c r="L385" s="129">
        <v>1787598.0</v>
      </c>
      <c r="M385" s="99">
        <f>IFERROR(__xludf.DUMMYFUNCTION("GOOGLEFINANCE(A385,""beta"")"),0.4)</f>
        <v>0.4</v>
      </c>
    </row>
    <row r="386">
      <c r="A386" s="122" t="s">
        <v>1203</v>
      </c>
      <c r="B386" s="123">
        <v>1532926.0</v>
      </c>
      <c r="C386" s="124" t="s">
        <v>1204</v>
      </c>
      <c r="D386" s="125"/>
      <c r="E386" s="126">
        <v>0.04</v>
      </c>
      <c r="F386" s="127"/>
      <c r="G386" s="127"/>
      <c r="H386" s="127"/>
      <c r="I386" s="128"/>
      <c r="K386" s="105" t="str">
        <f>IFERROR(__xludf.DUMMYFUNCTION("if(A386="""","""",substitute(SUBSTITUTE(index(importhtml(""http://finviz.com/quote.ashx?t=""&amp;A386,""table"",10),7,2),""*"",""""),""-"",""0.00""))"),"Loading...")</f>
        <v>Loading...</v>
      </c>
      <c r="L386" s="129">
        <v>35040.0</v>
      </c>
      <c r="M386" s="99">
        <v>1.25</v>
      </c>
    </row>
    <row r="387">
      <c r="A387" s="122" t="s">
        <v>1205</v>
      </c>
      <c r="B387" s="123">
        <v>731245.0</v>
      </c>
      <c r="C387" s="124" t="s">
        <v>1206</v>
      </c>
      <c r="D387" s="125"/>
      <c r="E387" s="126">
        <v>0.04</v>
      </c>
      <c r="F387" s="127"/>
      <c r="G387" s="127"/>
      <c r="H387" s="127"/>
      <c r="I387" s="128"/>
      <c r="K387" s="105" t="str">
        <f>IFERROR(__xludf.DUMMYFUNCTION("if(A387="""","""",substitute(SUBSTITUTE(index(importhtml(""http://finviz.com/quote.ashx?t=""&amp;A387,""table"",10),7,2),""*"",""""),""-"",""0.00""))"),"Loading...")</f>
        <v>Loading...</v>
      </c>
      <c r="L387" s="129">
        <v>191430.0</v>
      </c>
      <c r="M387" s="99">
        <v>-7.41</v>
      </c>
    </row>
    <row r="388">
      <c r="A388" s="122" t="s">
        <v>1207</v>
      </c>
      <c r="B388" s="123">
        <v>1760026.0</v>
      </c>
      <c r="C388" s="124" t="s">
        <v>1208</v>
      </c>
      <c r="D388" s="125"/>
      <c r="E388" s="126">
        <v>0.04</v>
      </c>
      <c r="F388" s="127"/>
      <c r="G388" s="127"/>
      <c r="H388" s="127"/>
      <c r="I388" s="128"/>
      <c r="K388" s="105" t="str">
        <f>IFERROR(__xludf.DUMMYFUNCTION("if(A388="""","""",substitute(SUBSTITUTE(index(importhtml(""http://finviz.com/quote.ashx?t=""&amp;A388,""table"",10),7,2),""*"",""""),""-"",""0.00""))"),"Loading...")</f>
        <v>Loading...</v>
      </c>
      <c r="L388" s="129">
        <v>441635.0</v>
      </c>
      <c r="M388" s="99">
        <v>1.08</v>
      </c>
    </row>
    <row r="389">
      <c r="A389" s="122" t="s">
        <v>1209</v>
      </c>
      <c r="B389" s="123">
        <v>1794942.0</v>
      </c>
      <c r="C389" s="124" t="s">
        <v>1210</v>
      </c>
      <c r="D389" s="125"/>
      <c r="E389" s="126">
        <v>0.04</v>
      </c>
      <c r="F389" s="127"/>
      <c r="G389" s="127"/>
      <c r="H389" s="127"/>
      <c r="I389" s="128"/>
      <c r="K389" s="105" t="str">
        <f>IFERROR(__xludf.DUMMYFUNCTION("if(A389="""","""",substitute(SUBSTITUTE(index(importhtml(""http://finviz.com/quote.ashx?t=""&amp;A389,""table"",10),7,2),""*"",""""),""-"",""0.00""))"),"Loading...")</f>
        <v>Loading...</v>
      </c>
      <c r="L389" s="129">
        <v>445681.0</v>
      </c>
      <c r="M389" s="99">
        <v>9.78</v>
      </c>
    </row>
    <row r="390">
      <c r="A390" s="122" t="s">
        <v>1211</v>
      </c>
      <c r="B390" s="123">
        <v>1644440.0</v>
      </c>
      <c r="C390" s="124" t="s">
        <v>1212</v>
      </c>
      <c r="D390" s="125"/>
      <c r="E390" s="126">
        <v>0.04</v>
      </c>
      <c r="F390" s="127"/>
      <c r="G390" s="127"/>
      <c r="H390" s="127"/>
      <c r="I390" s="128"/>
      <c r="K390" s="105" t="e">
        <v>#N/A</v>
      </c>
      <c r="L390" s="129">
        <v>500893.0</v>
      </c>
      <c r="M390" s="99" t="str">
        <f>IFERROR(__xludf.DUMMYFUNCTION("GOOGLEFINANCE(A390,""beta"")"),"#N/A")</f>
        <v>#N/A</v>
      </c>
    </row>
    <row r="391">
      <c r="A391" s="122" t="s">
        <v>1213</v>
      </c>
      <c r="B391" s="123">
        <v>1745078.0</v>
      </c>
      <c r="C391" s="124" t="s">
        <v>1214</v>
      </c>
      <c r="D391" s="125"/>
      <c r="E391" s="126">
        <v>0.04</v>
      </c>
      <c r="F391" s="127"/>
      <c r="G391" s="127"/>
      <c r="H391" s="127"/>
      <c r="I391" s="128"/>
      <c r="K391" s="105" t="str">
        <f>IFERROR(__xludf.DUMMYFUNCTION("if(A391="""","""",substitute(SUBSTITUTE(index(importhtml(""http://finviz.com/quote.ashx?t=""&amp;A391,""table"",10),7,2),""*"",""""),""-"",""0.00""))"),"Loading...")</f>
        <v>Loading...</v>
      </c>
      <c r="L391" s="129">
        <v>506680.0</v>
      </c>
      <c r="M391" s="99">
        <v>44.53</v>
      </c>
    </row>
    <row r="392">
      <c r="A392" s="122" t="s">
        <v>1215</v>
      </c>
      <c r="B392" s="123">
        <v>1308027.0</v>
      </c>
      <c r="C392" s="124" t="s">
        <v>1216</v>
      </c>
      <c r="D392" s="125"/>
      <c r="E392" s="126">
        <v>0.04</v>
      </c>
      <c r="F392" s="127"/>
      <c r="G392" s="127"/>
      <c r="H392" s="127"/>
      <c r="I392" s="128"/>
      <c r="K392" s="105" t="str">
        <f>IFERROR(__xludf.DUMMYFUNCTION("if(A392="""","""",substitute(SUBSTITUTE(index(importhtml(""http://finviz.com/quote.ashx?t=""&amp;A392,""table"",10),7,2),""*"",""""),""-"",""0.00""))"),"Loading...")</f>
        <v>Loading...</v>
      </c>
      <c r="L392" s="129">
        <v>530649.0</v>
      </c>
      <c r="M392" s="99">
        <v>0.76</v>
      </c>
    </row>
    <row r="393">
      <c r="A393" s="122" t="s">
        <v>1217</v>
      </c>
      <c r="B393" s="123">
        <v>1694665.0</v>
      </c>
      <c r="C393" s="124" t="s">
        <v>1218</v>
      </c>
      <c r="D393" s="125"/>
      <c r="E393" s="126">
        <v>0.04</v>
      </c>
      <c r="F393" s="127"/>
      <c r="G393" s="127"/>
      <c r="H393" s="127"/>
      <c r="I393" s="128"/>
      <c r="K393" s="105" t="str">
        <f>IFERROR(__xludf.DUMMYFUNCTION("if(A393="""","""",substitute(SUBSTITUTE(index(importhtml(""http://finviz.com/quote.ashx?t=""&amp;A393,""table"",10),7,2),""*"",""""),""-"",""0.00""))"),"Loading...")</f>
        <v>Loading...</v>
      </c>
      <c r="L393" s="129">
        <v>850830.0</v>
      </c>
      <c r="M393" s="99">
        <v>1.73</v>
      </c>
    </row>
    <row r="394">
      <c r="A394" s="122" t="s">
        <v>1219</v>
      </c>
      <c r="B394" s="123">
        <v>934796.0</v>
      </c>
      <c r="C394" s="124" t="s">
        <v>1220</v>
      </c>
      <c r="D394" s="125"/>
      <c r="E394" s="126">
        <v>0.04</v>
      </c>
      <c r="F394" s="127"/>
      <c r="G394" s="127"/>
      <c r="H394" s="127"/>
      <c r="I394" s="128"/>
      <c r="K394" s="105" t="str">
        <f>IFERROR(__xludf.DUMMYFUNCTION("if(A394="""","""",substitute(SUBSTITUTE(index(importhtml(""http://finviz.com/quote.ashx?t=""&amp;A394,""table"",10),7,2),""*"",""""),""-"",""0.00""))"),"Loading...")</f>
        <v>Loading...</v>
      </c>
      <c r="L394" s="129">
        <v>861280.0</v>
      </c>
      <c r="M394" s="99">
        <v>-8.01</v>
      </c>
    </row>
    <row r="395">
      <c r="A395" s="122" t="s">
        <v>1221</v>
      </c>
      <c r="B395" s="123">
        <v>1530746.0</v>
      </c>
      <c r="C395" s="124" t="s">
        <v>1222</v>
      </c>
      <c r="D395" s="125"/>
      <c r="E395" s="126">
        <v>0.04</v>
      </c>
      <c r="F395" s="127"/>
      <c r="G395" s="127"/>
      <c r="H395" s="127"/>
      <c r="I395" s="128"/>
      <c r="K395" s="105" t="str">
        <f>IFERROR(__xludf.DUMMYFUNCTION("if(A395="""","""",substitute(SUBSTITUTE(index(importhtml(""http://finviz.com/quote.ashx?t=""&amp;A395,""table"",10),7,2),""*"",""""),""-"",""0.00""))"),"Loading...")</f>
        <v>Loading...</v>
      </c>
      <c r="L395" s="129">
        <v>886909.0</v>
      </c>
      <c r="M395" s="99">
        <v>0.36</v>
      </c>
    </row>
    <row r="396">
      <c r="A396" s="122" t="s">
        <v>1223</v>
      </c>
      <c r="B396" s="123">
        <v>1907685.0</v>
      </c>
      <c r="C396" s="124" t="s">
        <v>1224</v>
      </c>
      <c r="D396" s="125"/>
      <c r="E396" s="126">
        <v>0.04</v>
      </c>
      <c r="F396" s="127"/>
      <c r="G396" s="127"/>
      <c r="H396" s="127"/>
      <c r="I396" s="128"/>
      <c r="K396" s="105" t="str">
        <f>IFERROR(__xludf.DUMMYFUNCTION("if(A396="""","""",substitute(SUBSTITUTE(index(importhtml(""http://finviz.com/quote.ashx?t=""&amp;A396,""table"",10),7,2),""*"",""""),""-"",""0.00""))"),"Loading...")</f>
        <v>Loading...</v>
      </c>
      <c r="L396" s="129">
        <v>968240.0</v>
      </c>
      <c r="M396" s="99">
        <v>0.31</v>
      </c>
    </row>
    <row r="397">
      <c r="A397" s="122" t="s">
        <v>1225</v>
      </c>
      <c r="B397" s="123">
        <v>1619227.0</v>
      </c>
      <c r="C397" s="124" t="s">
        <v>1226</v>
      </c>
      <c r="D397" s="125"/>
      <c r="E397" s="126">
        <v>0.04</v>
      </c>
      <c r="F397" s="127"/>
      <c r="G397" s="127"/>
      <c r="H397" s="127"/>
      <c r="I397" s="128"/>
      <c r="K397" s="105" t="str">
        <f>IFERROR(__xludf.DUMMYFUNCTION("if(A397="""","""",substitute(SUBSTITUTE(index(importhtml(""http://finviz.com/quote.ashx?t=""&amp;A397,""table"",10),7,2),""*"",""""),""-"",""0.00""))"),"Loading...")</f>
        <v>Loading...</v>
      </c>
      <c r="L397" s="129">
        <v>1022363.0</v>
      </c>
      <c r="M397" s="99">
        <v>1.84</v>
      </c>
    </row>
    <row r="398">
      <c r="A398" s="122" t="s">
        <v>1227</v>
      </c>
      <c r="B398" s="123">
        <v>1509957.0</v>
      </c>
      <c r="C398" s="124" t="s">
        <v>1228</v>
      </c>
      <c r="D398" s="125"/>
      <c r="E398" s="126">
        <v>0.04</v>
      </c>
      <c r="F398" s="127"/>
      <c r="G398" s="127"/>
      <c r="H398" s="127"/>
      <c r="I398" s="128"/>
      <c r="K398" s="105" t="str">
        <f>IFERROR(__xludf.DUMMYFUNCTION("if(A398="""","""",substitute(SUBSTITUTE(index(importhtml(""http://finviz.com/quote.ashx?t=""&amp;A398,""table"",10),7,2),""*"",""""),""-"",""0.00""))"),"Loading...")</f>
        <v>Loading...</v>
      </c>
      <c r="L398" s="129">
        <v>1191808.0</v>
      </c>
      <c r="M398" s="99">
        <v>1.41</v>
      </c>
    </row>
    <row r="399">
      <c r="A399" s="122" t="s">
        <v>1229</v>
      </c>
      <c r="B399" s="123">
        <v>1543623.0</v>
      </c>
      <c r="C399" s="124" t="s">
        <v>1230</v>
      </c>
      <c r="D399" s="125"/>
      <c r="E399" s="126">
        <v>0.04</v>
      </c>
      <c r="F399" s="127"/>
      <c r="G399" s="127"/>
      <c r="H399" s="127"/>
      <c r="I399" s="128"/>
      <c r="K399" s="105" t="str">
        <f>IFERROR(__xludf.DUMMYFUNCTION("if(A399="""","""",substitute(SUBSTITUTE(index(importhtml(""http://finviz.com/quote.ashx?t=""&amp;A399,""table"",10),7,2),""*"",""""),""-"",""0.00""))"),"Loading...")</f>
        <v>Loading...</v>
      </c>
      <c r="L399" s="129">
        <v>1814653.0</v>
      </c>
      <c r="M399" s="99">
        <v>-0.74</v>
      </c>
    </row>
    <row r="400">
      <c r="A400" s="122" t="s">
        <v>1231</v>
      </c>
      <c r="B400" s="123">
        <v>1133798.0</v>
      </c>
      <c r="C400" s="124" t="s">
        <v>1232</v>
      </c>
      <c r="D400" s="125"/>
      <c r="E400" s="126">
        <v>0.04</v>
      </c>
      <c r="F400" s="127"/>
      <c r="G400" s="127"/>
      <c r="H400" s="127"/>
      <c r="I400" s="128"/>
      <c r="K400" s="105" t="str">
        <f>IFERROR(__xludf.DUMMYFUNCTION("if(A400="""","""",substitute(SUBSTITUTE(index(importhtml(""http://finviz.com/quote.ashx?t=""&amp;A400,""table"",10),7,2),""*"",""""),""-"",""0.00""))"),"Loading...")</f>
        <v>Loading...</v>
      </c>
      <c r="L400" s="129">
        <v>1980047.0</v>
      </c>
      <c r="M400" s="99">
        <v>-2.27</v>
      </c>
    </row>
    <row r="401">
      <c r="A401" s="122" t="s">
        <v>1233</v>
      </c>
      <c r="B401" s="123">
        <v>1812727.0</v>
      </c>
      <c r="C401" s="124" t="s">
        <v>1234</v>
      </c>
      <c r="D401" s="125"/>
      <c r="E401" s="126">
        <v>0.04</v>
      </c>
      <c r="F401" s="127"/>
      <c r="G401" s="127"/>
      <c r="H401" s="127"/>
      <c r="I401" s="128"/>
      <c r="K401" s="105" t="str">
        <f>IFERROR(__xludf.DUMMYFUNCTION("if(A401="""","""",substitute(SUBSTITUTE(index(importhtml(""http://finviz.com/quote.ashx?t=""&amp;A401,""table"",10),7,2),""*"",""""),""-"",""0.00""))"),"Loading...")</f>
        <v>Loading...</v>
      </c>
      <c r="L401" s="129">
        <v>2146469.0</v>
      </c>
      <c r="M401" s="99">
        <f>IFERROR(__xludf.DUMMYFUNCTION("GOOGLEFINANCE(A401,""beta"")"),0.84)</f>
        <v>0.84</v>
      </c>
    </row>
    <row r="402">
      <c r="A402" s="122" t="s">
        <v>1235</v>
      </c>
      <c r="B402" s="123">
        <v>711034.0</v>
      </c>
      <c r="C402" s="124" t="s">
        <v>1236</v>
      </c>
      <c r="D402" s="125"/>
      <c r="E402" s="126">
        <v>0.04</v>
      </c>
      <c r="F402" s="127"/>
      <c r="G402" s="127"/>
      <c r="H402" s="127"/>
      <c r="I402" s="128"/>
      <c r="K402" s="105" t="str">
        <f>IFERROR(__xludf.DUMMYFUNCTION("if(A402="""","""",substitute(SUBSTITUTE(index(importhtml(""http://finviz.com/quote.ashx?t=""&amp;A402,""table"",10),7,2),""*"",""""),""-"",""0.00""))"),"Loading...")</f>
        <v>Loading...</v>
      </c>
      <c r="L402" s="129">
        <v>2484120.0</v>
      </c>
      <c r="M402" s="99">
        <v>0.78</v>
      </c>
    </row>
    <row r="403">
      <c r="A403" s="122" t="s">
        <v>1237</v>
      </c>
      <c r="B403" s="123">
        <v>1513818.0</v>
      </c>
      <c r="C403" s="124" t="s">
        <v>1238</v>
      </c>
      <c r="D403" s="125"/>
      <c r="E403" s="126">
        <v>0.04</v>
      </c>
      <c r="F403" s="127" t="str">
        <f t="array" ref="F403">IF(ISBLANK(H403), INDEX(BBB!$A$1:$AB$10000, 2, 8), "")</f>
        <v/>
      </c>
      <c r="G403" s="127"/>
      <c r="H403" s="127" t="str">
        <f t="array" ref="H403">IF(ISBLANK(A403), INDEX(BBB!$A$1:$AB$100, 2, 8), "")</f>
        <v/>
      </c>
      <c r="I403" s="128"/>
      <c r="K403" s="105" t="str">
        <f>IFERROR(__xludf.DUMMYFUNCTION("if(A403="""","""",substitute(SUBSTITUTE(index(importhtml(""http://finviz.com/quote.ashx?t=""&amp;A403,""table"",10),7,2),""*"",""""),""-"",""0.00""))"),"Loading...")</f>
        <v>Loading...</v>
      </c>
      <c r="L403" s="129" t="e">
        <v>#N/A</v>
      </c>
      <c r="M403" s="99" t="e">
        <v>#N/A</v>
      </c>
    </row>
    <row r="404">
      <c r="A404" s="122" t="s">
        <v>1239</v>
      </c>
      <c r="B404" s="123">
        <v>1385799.0</v>
      </c>
      <c r="C404" s="124" t="s">
        <v>1240</v>
      </c>
      <c r="D404" s="125"/>
      <c r="E404" s="126">
        <v>0.04</v>
      </c>
      <c r="F404" s="127"/>
      <c r="G404" s="127"/>
      <c r="H404" s="127"/>
      <c r="I404" s="128"/>
      <c r="K404" s="105" t="str">
        <f>IFERROR(__xludf.DUMMYFUNCTION("if(A404="""","""",substitute(SUBSTITUTE(index(importhtml(""http://finviz.com/quote.ashx?t=""&amp;A404,""table"",10),7,2),""*"",""""),""-"",""0.00""))"),"Loading...")</f>
        <v>Loading...</v>
      </c>
      <c r="L404" s="129">
        <v>2800740.0</v>
      </c>
      <c r="M404" s="99">
        <v>3.93</v>
      </c>
    </row>
    <row r="405">
      <c r="A405" s="122" t="s">
        <v>1241</v>
      </c>
      <c r="B405" s="123">
        <v>1694617.0</v>
      </c>
      <c r="C405" s="124" t="s">
        <v>1242</v>
      </c>
      <c r="D405" s="125"/>
      <c r="E405" s="126">
        <v>0.04</v>
      </c>
      <c r="F405" s="127"/>
      <c r="G405" s="127"/>
      <c r="H405" s="127"/>
      <c r="I405" s="128"/>
      <c r="K405" s="105" t="str">
        <f>IFERROR(__xludf.DUMMYFUNCTION("if(A405="""","""",substitute(SUBSTITUTE(index(importhtml(""http://finviz.com/quote.ashx?t=""&amp;A405,""table"",10),7,2),""*"",""""),""-"",""0.00""))"),"Loading...")</f>
        <v>Loading...</v>
      </c>
      <c r="L405" s="129">
        <v>2910646.0</v>
      </c>
      <c r="M405" s="99">
        <v>0.18</v>
      </c>
    </row>
    <row r="406">
      <c r="A406" s="122" t="s">
        <v>1243</v>
      </c>
      <c r="B406" s="123">
        <v>1643721.0</v>
      </c>
      <c r="C406" s="124" t="s">
        <v>1244</v>
      </c>
      <c r="D406" s="125"/>
      <c r="E406" s="126">
        <v>0.04</v>
      </c>
      <c r="F406" s="127"/>
      <c r="G406" s="127"/>
      <c r="H406" s="127"/>
      <c r="I406" s="128"/>
      <c r="K406" s="105" t="str">
        <f>IFERROR(__xludf.DUMMYFUNCTION("if(A406="""","""",substitute(SUBSTITUTE(index(importhtml(""http://finviz.com/quote.ashx?t=""&amp;A406,""table"",10),7,2),""*"",""""),""-"",""0.00""))"),"Loading...")</f>
        <v>Loading...</v>
      </c>
      <c r="L406" s="129">
        <v>3344401.0</v>
      </c>
      <c r="M406" s="99">
        <v>1.01</v>
      </c>
    </row>
    <row r="407">
      <c r="A407" s="122" t="s">
        <v>1245</v>
      </c>
      <c r="B407" s="123">
        <v>1811764.0</v>
      </c>
      <c r="C407" s="124" t="s">
        <v>1246</v>
      </c>
      <c r="D407" s="125"/>
      <c r="E407" s="126">
        <v>0.04</v>
      </c>
      <c r="F407" s="127"/>
      <c r="G407" s="127"/>
      <c r="H407" s="127"/>
      <c r="I407" s="128"/>
      <c r="K407" s="105" t="str">
        <f>IFERROR(__xludf.DUMMYFUNCTION("if(A407="""","""",substitute(SUBSTITUTE(index(importhtml(""http://finviz.com/quote.ashx?t=""&amp;A407,""table"",10),7,2),""*"",""""),""-"",""0.00""))"),"Loading...")</f>
        <v>Loading...</v>
      </c>
      <c r="L407" s="129">
        <v>3486647.0</v>
      </c>
      <c r="M407" s="99" t="str">
        <f>IFERROR(__xludf.DUMMYFUNCTION("GOOGLEFINANCE(A407,""beta"")"),"#N/A")</f>
        <v>#N/A</v>
      </c>
    </row>
    <row r="408">
      <c r="A408" s="122" t="s">
        <v>1247</v>
      </c>
      <c r="B408" s="123">
        <v>1622244.0</v>
      </c>
      <c r="C408" s="124" t="s">
        <v>1248</v>
      </c>
      <c r="D408" s="125"/>
      <c r="E408" s="126">
        <v>0.04</v>
      </c>
      <c r="F408" s="127"/>
      <c r="G408" s="127"/>
      <c r="H408" s="127"/>
      <c r="I408" s="128"/>
      <c r="K408" s="105" t="str">
        <f>IFERROR(__xludf.DUMMYFUNCTION("if(A408="""","""",substitute(SUBSTITUTE(index(importhtml(""http://finviz.com/quote.ashx?t=""&amp;A408,""table"",10),7,2),""*"",""""),""-"",""0.00""))"),"Loading...")</f>
        <v>Loading...</v>
      </c>
      <c r="L408" s="129">
        <v>3585248.0</v>
      </c>
      <c r="M408" s="99">
        <v>-0.42</v>
      </c>
    </row>
    <row r="409">
      <c r="A409" s="122" t="s">
        <v>1249</v>
      </c>
      <c r="B409" s="123">
        <v>1205059.0</v>
      </c>
      <c r="C409" s="124" t="s">
        <v>1250</v>
      </c>
      <c r="D409" s="125"/>
      <c r="E409" s="126">
        <v>0.04</v>
      </c>
      <c r="F409" s="127"/>
      <c r="G409" s="127"/>
      <c r="H409" s="127"/>
      <c r="I409" s="128"/>
      <c r="K409" s="105" t="str">
        <f>IFERROR(__xludf.DUMMYFUNCTION("if(A409="""","""",substitute(SUBSTITUTE(index(importhtml(""http://finviz.com/quote.ashx?t=""&amp;A409,""table"",10),7,2),""*"",""""),""-"",""0.00""))"),"Loading...")</f>
        <v>Loading...</v>
      </c>
      <c r="L409" s="129">
        <v>3900090.0</v>
      </c>
      <c r="M409" s="99">
        <v>0.59</v>
      </c>
    </row>
    <row r="410">
      <c r="A410" s="122" t="s">
        <v>1251</v>
      </c>
      <c r="B410" s="123">
        <v>1696025.0</v>
      </c>
      <c r="C410" s="124" t="s">
        <v>1252</v>
      </c>
      <c r="D410" s="125"/>
      <c r="E410" s="126">
        <v>0.04</v>
      </c>
      <c r="F410" s="127"/>
      <c r="G410" s="127"/>
      <c r="H410" s="127"/>
      <c r="I410" s="128"/>
      <c r="K410" s="105" t="str">
        <f>IFERROR(__xludf.DUMMYFUNCTION("if(A410="""","""",substitute(SUBSTITUTE(index(importhtml(""http://finviz.com/quote.ashx?t=""&amp;A410,""table"",10),7,2),""*"",""""),""-"",""0.00""))"),"#N/A")</f>
        <v>#N/A</v>
      </c>
      <c r="L410" s="129">
        <v>3926800.0</v>
      </c>
      <c r="M410" s="99">
        <v>-1.64</v>
      </c>
    </row>
    <row r="411">
      <c r="A411" s="122" t="s">
        <v>1253</v>
      </c>
      <c r="B411" s="123">
        <v>1107280.0</v>
      </c>
      <c r="C411" s="124" t="s">
        <v>1254</v>
      </c>
      <c r="D411" s="125"/>
      <c r="E411" s="126">
        <v>0.04</v>
      </c>
      <c r="F411" s="127"/>
      <c r="G411" s="127"/>
      <c r="H411" s="127"/>
      <c r="I411" s="128"/>
      <c r="K411" s="105" t="str">
        <f>IFERROR(__xludf.DUMMYFUNCTION("if(A411="""","""",substitute(SUBSTITUTE(index(importhtml(""http://finviz.com/quote.ashx?t=""&amp;A411,""table"",10),7,2),""*"",""""),""-"",""0.00""))"),"Loading...")</f>
        <v>Loading...</v>
      </c>
      <c r="L411" s="129">
        <v>4114020.0</v>
      </c>
      <c r="M411" s="99">
        <v>1.69</v>
      </c>
    </row>
    <row r="412">
      <c r="A412" s="122" t="s">
        <v>1255</v>
      </c>
      <c r="B412" s="123">
        <v>1524872.0</v>
      </c>
      <c r="C412" s="124" t="s">
        <v>1256</v>
      </c>
      <c r="D412" s="125"/>
      <c r="E412" s="126">
        <v>0.04</v>
      </c>
      <c r="F412" s="127"/>
      <c r="G412" s="127"/>
      <c r="H412" s="127"/>
      <c r="I412" s="128"/>
      <c r="K412" s="105" t="str">
        <f>IFERROR(__xludf.DUMMYFUNCTION("if(A412="""","""",substitute(SUBSTITUTE(index(importhtml(""http://finviz.com/quote.ashx?t=""&amp;A412,""table"",10),7,2),""*"",""""),""-"",""0.00""))"),"Loading...")</f>
        <v>Loading...</v>
      </c>
      <c r="L412" s="129">
        <v>4231670.0</v>
      </c>
      <c r="M412" s="99">
        <v>6.57</v>
      </c>
    </row>
    <row r="413">
      <c r="A413" s="122" t="s">
        <v>1257</v>
      </c>
      <c r="B413" s="123">
        <v>810509.0</v>
      </c>
      <c r="C413" s="124" t="s">
        <v>1258</v>
      </c>
      <c r="D413" s="125"/>
      <c r="E413" s="126">
        <v>0.04</v>
      </c>
      <c r="F413" s="127"/>
      <c r="G413" s="127"/>
      <c r="H413" s="127"/>
      <c r="I413" s="128"/>
      <c r="K413" s="105" t="str">
        <f>IFERROR(__xludf.DUMMYFUNCTION("if(A413="""","""",substitute(SUBSTITUTE(index(importhtml(""http://finviz.com/quote.ashx?t=""&amp;A413,""table"",10),7,2),""*"",""""),""-"",""0.00""))"),"Loading...")</f>
        <v>Loading...</v>
      </c>
      <c r="L413" s="129">
        <v>4277534.0</v>
      </c>
      <c r="M413" s="99">
        <v>1.15</v>
      </c>
    </row>
    <row r="414">
      <c r="A414" s="122" t="s">
        <v>1259</v>
      </c>
      <c r="B414" s="123">
        <v>1121795.0</v>
      </c>
      <c r="C414" s="124" t="s">
        <v>1260</v>
      </c>
      <c r="D414" s="125"/>
      <c r="E414" s="126">
        <v>0.04</v>
      </c>
      <c r="F414" s="127"/>
      <c r="G414" s="127"/>
      <c r="H414" s="127"/>
      <c r="I414" s="128"/>
      <c r="K414" s="105" t="str">
        <f>IFERROR(__xludf.DUMMYFUNCTION("if(A414="""","""",substitute(SUBSTITUTE(index(importhtml(""http://finviz.com/quote.ashx?t=""&amp;A414,""table"",10),7,2),""*"",""""),""-"",""0.00""))"),"Loading...")</f>
        <v>Loading...</v>
      </c>
      <c r="L414" s="129">
        <v>4687240.0</v>
      </c>
      <c r="M414" s="99">
        <v>0.71</v>
      </c>
    </row>
    <row r="415">
      <c r="A415" s="122" t="s">
        <v>1261</v>
      </c>
      <c r="B415" s="123">
        <v>1415332.0</v>
      </c>
      <c r="C415" s="124" t="s">
        <v>1262</v>
      </c>
      <c r="D415" s="125"/>
      <c r="E415" s="126">
        <v>0.04</v>
      </c>
      <c r="F415" s="127"/>
      <c r="G415" s="127"/>
      <c r="H415" s="127"/>
      <c r="I415" s="128"/>
      <c r="K415" s="105" t="str">
        <f>IFERROR(__xludf.DUMMYFUNCTION("if(A415="""","""",substitute(SUBSTITUTE(index(importhtml(""http://finviz.com/quote.ashx?t=""&amp;A415,""table"",10),7,2),""*"",""""),""-"",""0.00""))"),"Loading...")</f>
        <v>Loading...</v>
      </c>
      <c r="L415" s="129">
        <v>5185127.0</v>
      </c>
      <c r="M415" s="99">
        <v>0.59</v>
      </c>
    </row>
    <row r="416">
      <c r="A416" s="122" t="s">
        <v>1263</v>
      </c>
      <c r="B416" s="123">
        <v>1819615.0</v>
      </c>
      <c r="C416" s="124" t="s">
        <v>1264</v>
      </c>
      <c r="D416" s="125"/>
      <c r="E416" s="126">
        <v>0.04</v>
      </c>
      <c r="F416" s="127"/>
      <c r="G416" s="127"/>
      <c r="H416" s="127"/>
      <c r="I416" s="128"/>
      <c r="K416" s="105" t="str">
        <f>IFERROR(__xludf.DUMMYFUNCTION("if(A416="""","""",substitute(SUBSTITUTE(index(importhtml(""http://finviz.com/quote.ashx?t=""&amp;A416,""table"",10),7,2),""*"",""""),""-"",""0.00""))"),"Loading...")</f>
        <v>Loading...</v>
      </c>
      <c r="L416" s="129">
        <v>5218001.0</v>
      </c>
      <c r="M416" s="99">
        <v>3.03</v>
      </c>
    </row>
    <row r="417">
      <c r="A417" s="122" t="s">
        <v>1265</v>
      </c>
      <c r="B417" s="123">
        <v>1530163.0</v>
      </c>
      <c r="C417" s="124" t="s">
        <v>1266</v>
      </c>
      <c r="D417" s="125"/>
      <c r="E417" s="126">
        <v>0.04</v>
      </c>
      <c r="F417" s="127"/>
      <c r="G417" s="127"/>
      <c r="H417" s="127"/>
      <c r="I417" s="128"/>
      <c r="K417" s="105" t="str">
        <f>IFERROR(__xludf.DUMMYFUNCTION("if(A417="""","""",substitute(SUBSTITUTE(index(importhtml(""http://finviz.com/quote.ashx?t=""&amp;A417,""table"",10),7,2),""*"",""""),""-"",""0.00""))"),"Loading...")</f>
        <v>Loading...</v>
      </c>
      <c r="L417" s="129">
        <v>5352294.0</v>
      </c>
      <c r="M417" s="99">
        <v>3.03</v>
      </c>
    </row>
    <row r="418">
      <c r="A418" s="122" t="s">
        <v>1267</v>
      </c>
      <c r="B418" s="123">
        <v>1510964.0</v>
      </c>
      <c r="C418" s="124" t="s">
        <v>1268</v>
      </c>
      <c r="D418" s="125"/>
      <c r="E418" s="126">
        <v>0.04</v>
      </c>
      <c r="F418" s="127"/>
      <c r="G418" s="127"/>
      <c r="H418" s="127"/>
      <c r="I418" s="128"/>
      <c r="K418" s="105" t="str">
        <f>IFERROR(__xludf.DUMMYFUNCTION("if(A418="""","""",substitute(SUBSTITUTE(index(importhtml(""http://finviz.com/quote.ashx?t=""&amp;A418,""table"",10),7,2),""*"",""""),""-"",""0.00""))"),"Loading...")</f>
        <v>Loading...</v>
      </c>
      <c r="L418" s="129">
        <v>5463734.0</v>
      </c>
      <c r="M418" s="99">
        <v>0.6</v>
      </c>
    </row>
    <row r="419">
      <c r="A419" s="122" t="s">
        <v>1269</v>
      </c>
      <c r="B419" s="123">
        <v>1856653.0</v>
      </c>
      <c r="C419" s="124" t="s">
        <v>1270</v>
      </c>
      <c r="D419" s="125"/>
      <c r="E419" s="126">
        <v>0.04</v>
      </c>
      <c r="F419" s="127"/>
      <c r="G419" s="127"/>
      <c r="H419" s="127"/>
      <c r="I419" s="128"/>
      <c r="K419" s="105" t="str">
        <f>IFERROR(__xludf.DUMMYFUNCTION("if(A419="""","""",substitute(SUBSTITUTE(index(importhtml(""http://finviz.com/quote.ashx?t=""&amp;A419,""table"",10),7,2),""*"",""""),""-"",""0.00""))"),"Loading...")</f>
        <v>Loading...</v>
      </c>
      <c r="L419" s="129">
        <v>5633986.0</v>
      </c>
      <c r="M419" s="99" t="str">
        <f>IFERROR(__xludf.DUMMYFUNCTION("GOOGLEFINANCE(A419,""beta"")"),"#N/A")</f>
        <v>#N/A</v>
      </c>
    </row>
    <row r="420">
      <c r="A420" s="122" t="s">
        <v>1271</v>
      </c>
      <c r="B420" s="123">
        <v>832489.0</v>
      </c>
      <c r="C420" s="124" t="s">
        <v>1272</v>
      </c>
      <c r="D420" s="125"/>
      <c r="E420" s="126">
        <v>0.04</v>
      </c>
      <c r="F420" s="127"/>
      <c r="G420" s="127"/>
      <c r="H420" s="127"/>
      <c r="I420" s="128"/>
      <c r="K420" s="105" t="str">
        <f>IFERROR(__xludf.DUMMYFUNCTION("if(A420="""","""",substitute(SUBSTITUTE(index(importhtml(""http://finviz.com/quote.ashx?t=""&amp;A420,""table"",10),7,2),""*"",""""),""-"",""0.00""))"),"Loading...")</f>
        <v>Loading...</v>
      </c>
      <c r="L420" s="129">
        <v>5896452.0</v>
      </c>
      <c r="M420" s="99">
        <v>1.32</v>
      </c>
    </row>
    <row r="421">
      <c r="A421" s="122" t="s">
        <v>1273</v>
      </c>
      <c r="B421" s="123">
        <v>1304409.0</v>
      </c>
      <c r="C421" s="124" t="s">
        <v>1274</v>
      </c>
      <c r="D421" s="125"/>
      <c r="E421" s="126">
        <v>0.04</v>
      </c>
      <c r="F421" s="127"/>
      <c r="G421" s="127"/>
      <c r="H421" s="127"/>
      <c r="I421" s="128"/>
      <c r="K421" s="105" t="str">
        <f>IFERROR(__xludf.DUMMYFUNCTION("if(A421="""","""",substitute(SUBSTITUTE(index(importhtml(""http://finviz.com/quote.ashx?t=""&amp;A421,""table"",10),7,2),""*"",""""),""-"",""0.00""))"),"Loading...")</f>
        <v>Loading...</v>
      </c>
      <c r="L421" s="129">
        <v>6075766.0</v>
      </c>
      <c r="M421" s="99">
        <v>-0.83</v>
      </c>
    </row>
    <row r="422">
      <c r="A422" s="122" t="s">
        <v>1275</v>
      </c>
      <c r="B422" s="123">
        <v>1403870.0</v>
      </c>
      <c r="C422" s="124" t="s">
        <v>1276</v>
      </c>
      <c r="D422" s="125"/>
      <c r="E422" s="126">
        <v>0.04</v>
      </c>
      <c r="F422" s="127"/>
      <c r="G422" s="127"/>
      <c r="H422" s="127"/>
      <c r="I422" s="128"/>
      <c r="K422" s="105" t="str">
        <f>IFERROR(__xludf.DUMMYFUNCTION("if(A422="""","""",substitute(SUBSTITUTE(index(importhtml(""http://finviz.com/quote.ashx?t=""&amp;A422,""table"",10),7,2),""*"",""""),""-"",""0.00""))"),"Loading...")</f>
        <v>Loading...</v>
      </c>
      <c r="L422" s="129">
        <v>7657909.0</v>
      </c>
      <c r="M422" s="99">
        <v>1.32</v>
      </c>
    </row>
    <row r="423">
      <c r="A423" s="122" t="s">
        <v>1277</v>
      </c>
      <c r="B423" s="123">
        <v>1022505.0</v>
      </c>
      <c r="C423" s="124" t="s">
        <v>1278</v>
      </c>
      <c r="D423" s="125"/>
      <c r="E423" s="126">
        <v>0.04</v>
      </c>
      <c r="F423" s="127"/>
      <c r="G423" s="127"/>
      <c r="H423" s="127"/>
      <c r="I423" s="128"/>
      <c r="K423" s="105" t="str">
        <f>IFERROR(__xludf.DUMMYFUNCTION("if(A423="""","""",substitute(SUBSTITUTE(index(importhtml(""http://finviz.com/quote.ashx?t=""&amp;A423,""table"",10),7,2),""*"",""""),""-"",""0.00""))"),"Loading...")</f>
        <v>Loading...</v>
      </c>
      <c r="L423" s="129">
        <v>8243510.0</v>
      </c>
      <c r="M423" s="99">
        <v>0.16</v>
      </c>
    </row>
    <row r="424">
      <c r="A424" s="122" t="s">
        <v>1279</v>
      </c>
      <c r="B424" s="123">
        <v>1826058.0</v>
      </c>
      <c r="C424" s="124" t="s">
        <v>1280</v>
      </c>
      <c r="D424" s="125"/>
      <c r="E424" s="126">
        <v>0.04</v>
      </c>
      <c r="F424" s="127"/>
      <c r="G424" s="127"/>
      <c r="H424" s="127"/>
      <c r="I424" s="128"/>
      <c r="K424" s="105" t="str">
        <f>IFERROR(__xludf.DUMMYFUNCTION("if(A424="""","""",substitute(SUBSTITUTE(index(importhtml(""http://finviz.com/quote.ashx?t=""&amp;A424,""table"",10),7,2),""*"",""""),""-"",""0.00""))"),"Loading...")</f>
        <v>Loading...</v>
      </c>
      <c r="L424" s="129">
        <v>8260000.0</v>
      </c>
      <c r="M424" s="99">
        <v>4.59</v>
      </c>
    </row>
    <row r="425">
      <c r="A425" s="122" t="s">
        <v>1281</v>
      </c>
      <c r="B425" s="123">
        <v>1137774.0</v>
      </c>
      <c r="C425" s="124" t="s">
        <v>1282</v>
      </c>
      <c r="D425" s="125"/>
      <c r="E425" s="126">
        <v>0.04</v>
      </c>
      <c r="F425" s="127"/>
      <c r="G425" s="127"/>
      <c r="H425" s="127"/>
      <c r="I425" s="128"/>
      <c r="K425" s="105" t="str">
        <f>IFERROR(__xludf.DUMMYFUNCTION("if(A425="""","""",substitute(SUBSTITUTE(index(importhtml(""http://finviz.com/quote.ashx?t=""&amp;A425,""table"",10),7,2),""*"",""""),""-"",""0.00""))"),"Loading...")</f>
        <v>Loading...</v>
      </c>
      <c r="L425" s="129">
        <v>9482214.0</v>
      </c>
      <c r="M425" s="99">
        <f>IFERROR(__xludf.DUMMYFUNCTION("GOOGLEFINANCE(A425,""beta"")"),0.32)</f>
        <v>0.32</v>
      </c>
    </row>
    <row r="426">
      <c r="A426" s="122" t="s">
        <v>1283</v>
      </c>
      <c r="B426" s="123">
        <v>1310291.0</v>
      </c>
      <c r="C426" s="124" t="s">
        <v>1284</v>
      </c>
      <c r="D426" s="125"/>
      <c r="E426" s="126">
        <v>0.04</v>
      </c>
      <c r="F426" s="127"/>
      <c r="G426" s="127"/>
      <c r="H426" s="127"/>
      <c r="I426" s="128"/>
      <c r="K426" s="105" t="str">
        <f>IFERROR(__xludf.DUMMYFUNCTION("if(A426="""","""",substitute(SUBSTITUTE(index(importhtml(""http://finviz.com/quote.ashx?t=""&amp;A426,""table"",10),7,2),""*"",""""),""-"",""0.00""))"),"Loading...")</f>
        <v>Loading...</v>
      </c>
      <c r="L426" s="129">
        <v>1.0642458E7</v>
      </c>
      <c r="M426" s="99">
        <v>2.16</v>
      </c>
    </row>
    <row r="427">
      <c r="A427" s="122" t="s">
        <v>1285</v>
      </c>
      <c r="B427" s="123">
        <v>1563298.0</v>
      </c>
      <c r="C427" s="124" t="s">
        <v>1286</v>
      </c>
      <c r="D427" s="125"/>
      <c r="E427" s="126">
        <v>0.04</v>
      </c>
      <c r="F427" s="127"/>
      <c r="G427" s="127"/>
      <c r="H427" s="127"/>
      <c r="I427" s="128"/>
      <c r="K427" s="105" t="str">
        <f>IFERROR(__xludf.DUMMYFUNCTION("if(A427="""","""",substitute(SUBSTITUTE(index(importhtml(""http://finviz.com/quote.ashx?t=""&amp;A427,""table"",10),7,2),""*"",""""),""-"",""0.00""))"),"Loading...")</f>
        <v>Loading...</v>
      </c>
      <c r="L427" s="129">
        <v>1.0780053E7</v>
      </c>
      <c r="M427" s="99">
        <v>-24.81</v>
      </c>
    </row>
    <row r="428">
      <c r="A428" s="122" t="s">
        <v>1287</v>
      </c>
      <c r="B428" s="123">
        <v>1593184.0</v>
      </c>
      <c r="C428" s="124" t="s">
        <v>1288</v>
      </c>
      <c r="D428" s="125"/>
      <c r="E428" s="126">
        <v>0.04</v>
      </c>
      <c r="F428" s="127"/>
      <c r="G428" s="127"/>
      <c r="H428" s="127"/>
      <c r="I428" s="128"/>
      <c r="K428" s="105" t="str">
        <f>IFERROR(__xludf.DUMMYFUNCTION("if(A428="""","""",substitute(SUBSTITUTE(index(importhtml(""http://finviz.com/quote.ashx?t=""&amp;A428,""table"",10),7,2),""*"",""""),""-"",""0.00""))"),"Loading...")</f>
        <v>Loading...</v>
      </c>
      <c r="L428" s="129">
        <v>1.2583428E7</v>
      </c>
      <c r="M428" s="99">
        <v>-2.66</v>
      </c>
    </row>
    <row r="429">
      <c r="A429" s="122" t="s">
        <v>1289</v>
      </c>
      <c r="B429" s="123">
        <v>811830.0</v>
      </c>
      <c r="C429" s="124" t="s">
        <v>1290</v>
      </c>
      <c r="D429" s="125"/>
      <c r="E429" s="126">
        <v>0.04</v>
      </c>
      <c r="F429" s="127"/>
      <c r="G429" s="127"/>
      <c r="H429" s="127"/>
      <c r="I429" s="128"/>
      <c r="K429" s="105" t="str">
        <f>IFERROR(__xludf.DUMMYFUNCTION("if(A429="""","""",substitute(SUBSTITUTE(index(importhtml(""http://finviz.com/quote.ashx?t=""&amp;A429,""table"",10),7,2),""*"",""""),""-"",""0.00""))"),"Loading...")</f>
        <v>Loading...</v>
      </c>
      <c r="L429" s="129">
        <v>1.3813606E7</v>
      </c>
      <c r="M429" s="99" t="str">
        <f>IFERROR(__xludf.DUMMYFUNCTION("GOOGLEFINANCE(A429,""beta"")"),"#N/A")</f>
        <v>#N/A</v>
      </c>
    </row>
    <row r="430">
      <c r="A430" s="122" t="s">
        <v>1291</v>
      </c>
      <c r="B430" s="123">
        <v>908259.0</v>
      </c>
      <c r="C430" s="124" t="s">
        <v>1292</v>
      </c>
      <c r="D430" s="125"/>
      <c r="E430" s="126">
        <v>0.04</v>
      </c>
      <c r="F430" s="127"/>
      <c r="G430" s="127"/>
      <c r="H430" s="127"/>
      <c r="I430" s="128"/>
      <c r="K430" s="105" t="str">
        <f>IFERROR(__xludf.DUMMYFUNCTION("if(A430="""","""",substitute(SUBSTITUTE(index(importhtml(""http://finviz.com/quote.ashx?t=""&amp;A430,""table"",10),7,2),""*"",""""),""-"",""0.00""))"),"Loading...")</f>
        <v>Loading...</v>
      </c>
      <c r="L430" s="129">
        <v>1.5168999E7</v>
      </c>
      <c r="M430" s="99">
        <v>0.19</v>
      </c>
    </row>
    <row r="431">
      <c r="A431" s="122" t="s">
        <v>1293</v>
      </c>
      <c r="B431" s="123">
        <v>1723580.0</v>
      </c>
      <c r="C431" s="124" t="s">
        <v>1294</v>
      </c>
      <c r="D431" s="125"/>
      <c r="E431" s="126">
        <v>0.04</v>
      </c>
      <c r="F431" s="127"/>
      <c r="G431" s="127"/>
      <c r="H431" s="127"/>
      <c r="I431" s="128"/>
      <c r="K431" s="105" t="str">
        <f>IFERROR(__xludf.DUMMYFUNCTION("if(A431="""","""",substitute(SUBSTITUTE(index(importhtml(""http://finviz.com/quote.ashx?t=""&amp;A431,""table"",10),7,2),""*"",""""),""-"",""0.00""))"),"Loading...")</f>
        <v>Loading...</v>
      </c>
      <c r="L431" s="129">
        <v>1.7385256E7</v>
      </c>
      <c r="M431" s="99">
        <v>3.28</v>
      </c>
    </row>
    <row r="432">
      <c r="A432" s="122" t="s">
        <v>1295</v>
      </c>
      <c r="B432" s="123">
        <v>1498547.0</v>
      </c>
      <c r="C432" s="124" t="s">
        <v>1296</v>
      </c>
      <c r="D432" s="125"/>
      <c r="E432" s="126">
        <v>0.04</v>
      </c>
      <c r="F432" s="127"/>
      <c r="G432" s="127"/>
      <c r="H432" s="127"/>
      <c r="I432" s="128"/>
      <c r="K432" s="105" t="str">
        <f>IFERROR(__xludf.DUMMYFUNCTION("if(A432="""","""",substitute(SUBSTITUTE(index(importhtml(""http://finviz.com/quote.ashx?t=""&amp;A432,""table"",10),7,2),""*"",""""),""-"",""0.00""))"),"Loading...")</f>
        <v>Loading...</v>
      </c>
      <c r="L432" s="129">
        <v>1.7472E7</v>
      </c>
      <c r="M432" s="99" t="str">
        <f>IFERROR(__xludf.DUMMYFUNCTION("GOOGLEFINANCE(A432,""beta"")"),"#N/A")</f>
        <v>#N/A</v>
      </c>
    </row>
    <row r="433">
      <c r="A433" s="122" t="s">
        <v>1297</v>
      </c>
      <c r="B433" s="123">
        <v>1862490.0</v>
      </c>
      <c r="C433" s="124" t="s">
        <v>1298</v>
      </c>
      <c r="D433" s="125"/>
      <c r="E433" s="126">
        <v>0.04</v>
      </c>
      <c r="F433" s="127"/>
      <c r="G433" s="127"/>
      <c r="H433" s="127"/>
      <c r="I433" s="128"/>
      <c r="K433" s="105" t="str">
        <f>IFERROR(__xludf.DUMMYFUNCTION("if(A433="""","""",substitute(SUBSTITUTE(index(importhtml(""http://finviz.com/quote.ashx?t=""&amp;A433,""table"",10),7,2),""*"",""""),""-"",""0.00""))"),"Loading...")</f>
        <v>Loading...</v>
      </c>
      <c r="L433" s="129">
        <v>2.1445721E7</v>
      </c>
      <c r="M433" s="99" t="str">
        <f>IFERROR(__xludf.DUMMYFUNCTION("GOOGLEFINANCE(A433,""beta"")"),"#N/A")</f>
        <v>#N/A</v>
      </c>
    </row>
    <row r="434">
      <c r="A434" s="122" t="s">
        <v>1299</v>
      </c>
      <c r="B434" s="123">
        <v>1391426.0</v>
      </c>
      <c r="C434" s="124" t="s">
        <v>1300</v>
      </c>
      <c r="D434" s="125"/>
      <c r="E434" s="126">
        <v>0.04</v>
      </c>
      <c r="F434" s="127"/>
      <c r="G434" s="127"/>
      <c r="H434" s="127"/>
      <c r="I434" s="128"/>
      <c r="K434" s="105" t="str">
        <f>IFERROR(__xludf.DUMMYFUNCTION("if(A434="""","""",substitute(SUBSTITUTE(index(importhtml(""http://finviz.com/quote.ashx?t=""&amp;A434,""table"",10),7,2),""*"",""""),""-"",""0.00""))"),"Loading...")</f>
        <v>Loading...</v>
      </c>
      <c r="L434" s="129">
        <v>2.2609346E7</v>
      </c>
      <c r="M434" s="99">
        <v>2.36</v>
      </c>
    </row>
    <row r="435">
      <c r="A435" s="122" t="s">
        <v>1301</v>
      </c>
      <c r="B435" s="123">
        <v>1913577.0</v>
      </c>
      <c r="C435" s="124" t="s">
        <v>1302</v>
      </c>
      <c r="D435" s="125"/>
      <c r="E435" s="126">
        <v>0.04</v>
      </c>
      <c r="F435" s="127"/>
      <c r="G435" s="127"/>
      <c r="H435" s="127"/>
      <c r="I435" s="128"/>
      <c r="K435" s="105" t="str">
        <f>IFERROR(__xludf.DUMMYFUNCTION("if(A435="""","""",substitute(SUBSTITUTE(index(importhtml(""http://finviz.com/quote.ashx?t=""&amp;A435,""table"",10),7,2),""*"",""""),""-"",""0.00""))"),"Loading...")</f>
        <v>Loading...</v>
      </c>
      <c r="L435" s="129">
        <v>3.3347443E7</v>
      </c>
      <c r="M435" s="99" t="str">
        <f>IFERROR(__xludf.DUMMYFUNCTION("GOOGLEFINANCE(A435,""beta"")"),"#N/A")</f>
        <v>#N/A</v>
      </c>
    </row>
    <row r="436">
      <c r="A436" s="122" t="s">
        <v>1303</v>
      </c>
      <c r="B436" s="123">
        <v>1413119.0</v>
      </c>
      <c r="C436" s="124" t="s">
        <v>1304</v>
      </c>
      <c r="D436" s="125"/>
      <c r="E436" s="126">
        <v>0.04</v>
      </c>
      <c r="F436" s="127"/>
      <c r="G436" s="127"/>
      <c r="H436" s="127"/>
      <c r="I436" s="128"/>
      <c r="K436" s="105" t="str">
        <f>IFERROR(__xludf.DUMMYFUNCTION("if(A436="""","""",substitute(SUBSTITUTE(index(importhtml(""http://finviz.com/quote.ashx?t=""&amp;A436,""table"",10),7,2),""*"",""""),""-"",""0.00""))"),"Loading...")</f>
        <v>Loading...</v>
      </c>
      <c r="L436" s="129">
        <v>4.1070422E7</v>
      </c>
      <c r="M436" s="99">
        <v>0.19</v>
      </c>
    </row>
    <row r="437">
      <c r="A437" s="122" t="s">
        <v>1305</v>
      </c>
      <c r="B437" s="123">
        <v>1835416.0</v>
      </c>
      <c r="C437" s="124" t="s">
        <v>1306</v>
      </c>
      <c r="D437" s="125"/>
      <c r="E437" s="126">
        <v>0.04</v>
      </c>
      <c r="F437" s="127"/>
      <c r="G437" s="127"/>
      <c r="H437" s="127"/>
      <c r="I437" s="128"/>
      <c r="K437" s="105" t="str">
        <f>IFERROR(__xludf.DUMMYFUNCTION("if(A437="""","""",substitute(SUBSTITUTE(index(importhtml(""http://finviz.com/quote.ashx?t=""&amp;A437,""table"",10),7,2),""*"",""""),""-"",""0.00""))"),"Loading...")</f>
        <v>Loading...</v>
      </c>
      <c r="L437" s="129">
        <v>4.249281E7</v>
      </c>
      <c r="M437" s="99" t="str">
        <f>IFERROR(__xludf.DUMMYFUNCTION("GOOGLEFINANCE(A437,""beta"")"),"#N/A")</f>
        <v>#N/A</v>
      </c>
    </row>
    <row r="438">
      <c r="A438" s="122" t="s">
        <v>1307</v>
      </c>
      <c r="B438" s="123">
        <v>1844981.0</v>
      </c>
      <c r="C438" s="124" t="s">
        <v>1308</v>
      </c>
      <c r="D438" s="125"/>
      <c r="E438" s="126">
        <v>0.04</v>
      </c>
      <c r="F438" s="127"/>
      <c r="G438" s="127"/>
      <c r="H438" s="127"/>
      <c r="I438" s="128"/>
      <c r="K438" s="105" t="str">
        <f>IFERROR(__xludf.DUMMYFUNCTION("if(A438="""","""",substitute(SUBSTITUTE(index(importhtml(""http://finviz.com/quote.ashx?t=""&amp;A438,""table"",10),7,2),""*"",""""),""-"",""0.00""))"),"Loading...")</f>
        <v>Loading...</v>
      </c>
      <c r="L438" s="129">
        <v>6.3219722E7</v>
      </c>
      <c r="M438" s="99" t="e">
        <v>#N/A</v>
      </c>
    </row>
    <row r="439">
      <c r="A439" s="122" t="s">
        <v>1309</v>
      </c>
      <c r="B439" s="123">
        <v>1873324.0</v>
      </c>
      <c r="C439" s="124" t="s">
        <v>1310</v>
      </c>
      <c r="D439" s="125"/>
      <c r="E439" s="126">
        <v>0.04</v>
      </c>
      <c r="F439" s="127"/>
      <c r="G439" s="127"/>
      <c r="H439" s="127"/>
      <c r="I439" s="128"/>
      <c r="K439" s="105" t="str">
        <f>IFERROR(__xludf.DUMMYFUNCTION("if(A439="""","""",substitute(SUBSTITUTE(index(importhtml(""http://finviz.com/quote.ashx?t=""&amp;A439,""table"",10),7,2),""*"",""""),""-"",""0.00""))"),"Loading...")</f>
        <v>Loading...</v>
      </c>
      <c r="L439" s="129">
        <v>5.529735E7</v>
      </c>
      <c r="M439" s="99" t="str">
        <f>IFERROR(__xludf.DUMMYFUNCTION("GOOGLEFINANCE(A439,""beta"")"),"#N/A")</f>
        <v>#N/A</v>
      </c>
    </row>
    <row r="440">
      <c r="A440" s="122" t="s">
        <v>1311</v>
      </c>
      <c r="B440" s="123">
        <v>1865861.0</v>
      </c>
      <c r="C440" s="124" t="s">
        <v>1312</v>
      </c>
      <c r="D440" s="125"/>
      <c r="E440" s="126">
        <v>0.04</v>
      </c>
      <c r="F440" s="127"/>
      <c r="G440" s="127"/>
      <c r="H440" s="127"/>
      <c r="I440" s="128"/>
      <c r="K440" s="105" t="str">
        <f>IFERROR(__xludf.DUMMYFUNCTION("if(A440="""","""",substitute(SUBSTITUTE(index(importhtml(""http://finviz.com/quote.ashx?t=""&amp;A440,""table"",10),7,2),""*"",""""),""-"",""0.00""))"),"Loading...")</f>
        <v>Loading...</v>
      </c>
      <c r="L440" s="129">
        <v>5.6178809E7</v>
      </c>
      <c r="M440" s="99" t="str">
        <f>IFERROR(__xludf.DUMMYFUNCTION("GOOGLEFINANCE(A440,""beta"")"),"#N/A")</f>
        <v>#N/A</v>
      </c>
    </row>
    <row r="441">
      <c r="A441" s="122" t="s">
        <v>1313</v>
      </c>
      <c r="B441" s="123">
        <v>1860871.0</v>
      </c>
      <c r="C441" s="124" t="s">
        <v>1314</v>
      </c>
      <c r="D441" s="125"/>
      <c r="E441" s="126">
        <v>0.04</v>
      </c>
      <c r="F441" s="127"/>
      <c r="G441" s="127"/>
      <c r="H441" s="127"/>
      <c r="I441" s="128"/>
      <c r="K441" s="105" t="str">
        <f>IFERROR(__xludf.DUMMYFUNCTION("if(A441="""","""",substitute(SUBSTITUTE(index(importhtml(""http://finviz.com/quote.ashx?t=""&amp;A441,""table"",10),7,2),""*"",""""),""-"",""0.00""))"),"Loading...")</f>
        <v>Loading...</v>
      </c>
      <c r="L441" s="129">
        <v>6.2729139E7</v>
      </c>
      <c r="M441" s="99" t="str">
        <f>IFERROR(__xludf.DUMMYFUNCTION("GOOGLEFINANCE(A441,""beta"")"),"#N/A")</f>
        <v>#N/A</v>
      </c>
    </row>
    <row r="442">
      <c r="A442" s="122" t="s">
        <v>1315</v>
      </c>
      <c r="B442" s="123">
        <v>1849294.0</v>
      </c>
      <c r="C442" s="124" t="s">
        <v>1316</v>
      </c>
      <c r="D442" s="125"/>
      <c r="E442" s="126">
        <v>0.04</v>
      </c>
      <c r="F442" s="127"/>
      <c r="G442" s="127"/>
      <c r="H442" s="127"/>
      <c r="I442" s="128"/>
      <c r="K442" s="105" t="str">
        <f>IFERROR(__xludf.DUMMYFUNCTION("if(A442="""","""",substitute(SUBSTITUTE(index(importhtml(""http://finviz.com/quote.ashx?t=""&amp;A442,""table"",10),7,2),""*"",""""),""-"",""0.00""))"),"Loading...")</f>
        <v>Loading...</v>
      </c>
      <c r="L442" s="129">
        <v>6.949151E7</v>
      </c>
      <c r="M442" s="99" t="str">
        <f>IFERROR(__xludf.DUMMYFUNCTION("GOOGLEFINANCE(A442,""beta"")"),"#N/A")</f>
        <v>#N/A</v>
      </c>
    </row>
    <row r="443">
      <c r="A443" s="122" t="s">
        <v>1317</v>
      </c>
      <c r="B443" s="123">
        <v>1848821.0</v>
      </c>
      <c r="C443" s="124" t="s">
        <v>1318</v>
      </c>
      <c r="D443" s="125"/>
      <c r="E443" s="126">
        <v>0.04</v>
      </c>
      <c r="F443" s="127"/>
      <c r="G443" s="127"/>
      <c r="H443" s="127"/>
      <c r="I443" s="128"/>
      <c r="K443" s="105" t="str">
        <f>IFERROR(__xludf.DUMMYFUNCTION("if(A443="""","""",substitute(SUBSTITUTE(index(importhtml(""http://finviz.com/quote.ashx?t=""&amp;A443,""table"",10),7,2),""*"",""""),""-"",""0.00""))"),"Loading...")</f>
        <v>Loading...</v>
      </c>
      <c r="L443" s="129">
        <v>7.721006E7</v>
      </c>
      <c r="M443" s="99" t="str">
        <f>IFERROR(__xludf.DUMMYFUNCTION("GOOGLEFINANCE(A443,""beta"")"),"#N/A")</f>
        <v>#N/A</v>
      </c>
    </row>
    <row r="444">
      <c r="A444" s="122" t="s">
        <v>1319</v>
      </c>
      <c r="B444" s="123">
        <v>1852016.0</v>
      </c>
      <c r="C444" s="124" t="s">
        <v>1320</v>
      </c>
      <c r="D444" s="125"/>
      <c r="E444" s="126">
        <v>0.04</v>
      </c>
      <c r="F444" s="127"/>
      <c r="G444" s="127"/>
      <c r="H444" s="127"/>
      <c r="I444" s="128"/>
      <c r="K444" s="105" t="str">
        <f>IFERROR(__xludf.DUMMYFUNCTION("if(A444="""","""",substitute(SUBSTITUTE(index(importhtml(""http://finviz.com/quote.ashx?t=""&amp;A444,""table"",10),7,2),""*"",""""),""-"",""0.00""))"),"Loading...")</f>
        <v>Loading...</v>
      </c>
      <c r="L444" s="129">
        <v>8.045571E7</v>
      </c>
      <c r="M444" s="99">
        <f>IFERROR(__xludf.DUMMYFUNCTION("GOOGLEFINANCE(A444,""beta"")"),-0.6)</f>
        <v>-0.6</v>
      </c>
    </row>
    <row r="445">
      <c r="A445" s="122" t="s">
        <v>1321</v>
      </c>
      <c r="B445" s="123">
        <v>1845123.0</v>
      </c>
      <c r="C445" s="124" t="s">
        <v>1322</v>
      </c>
      <c r="D445" s="125"/>
      <c r="E445" s="126">
        <v>0.04</v>
      </c>
      <c r="F445" s="127"/>
      <c r="G445" s="127"/>
      <c r="H445" s="127"/>
      <c r="I445" s="128"/>
      <c r="K445" s="105" t="str">
        <f>IFERROR(__xludf.DUMMYFUNCTION("if(A445="""","""",substitute(SUBSTITUTE(index(importhtml(""http://finviz.com/quote.ashx?t=""&amp;A445,""table"",10),7,2),""*"",""""),""-"",""0.00""))"),"#N/A")</f>
        <v>#N/A</v>
      </c>
      <c r="L445" s="129">
        <v>8.635485E7</v>
      </c>
      <c r="M445" s="99" t="str">
        <f>IFERROR(__xludf.DUMMYFUNCTION("GOOGLEFINANCE(A445,""beta"")"),"#N/A")</f>
        <v>#N/A</v>
      </c>
    </row>
    <row r="446">
      <c r="A446" s="122" t="s">
        <v>1323</v>
      </c>
      <c r="B446" s="123">
        <v>1849548.0</v>
      </c>
      <c r="C446" s="124" t="s">
        <v>1324</v>
      </c>
      <c r="D446" s="125"/>
      <c r="E446" s="126">
        <v>0.04</v>
      </c>
      <c r="F446" s="127"/>
      <c r="G446" s="127"/>
      <c r="H446" s="127"/>
      <c r="I446" s="128"/>
      <c r="K446" s="105" t="str">
        <f>IFERROR(__xludf.DUMMYFUNCTION("if(A446="""","""",substitute(SUBSTITUTE(index(importhtml(""http://finviz.com/quote.ashx?t=""&amp;A446,""table"",10),7,2),""*"",""""),""-"",""0.00""))"),"Loading...")</f>
        <v>Loading...</v>
      </c>
      <c r="L446" s="129">
        <v>9.547129E7</v>
      </c>
      <c r="M446" s="99" t="str">
        <f>IFERROR(__xludf.DUMMYFUNCTION("GOOGLEFINANCE(A446,""beta"")"),"#N/A")</f>
        <v>#N/A</v>
      </c>
    </row>
    <row r="447">
      <c r="A447" s="122" t="s">
        <v>1325</v>
      </c>
      <c r="B447" s="123">
        <v>1847345.0</v>
      </c>
      <c r="C447" s="124" t="s">
        <v>1326</v>
      </c>
      <c r="D447" s="125"/>
      <c r="E447" s="126">
        <v>0.04</v>
      </c>
      <c r="F447" s="127"/>
      <c r="G447" s="127"/>
      <c r="H447" s="127"/>
      <c r="I447" s="128"/>
      <c r="K447" s="105" t="str">
        <f>IFERROR(__xludf.DUMMYFUNCTION("if(A447="""","""",substitute(SUBSTITUTE(index(importhtml(""http://finviz.com/quote.ashx?t=""&amp;A447,""table"",10),7,2),""*"",""""),""-"",""0.00""))"),"Loading...")</f>
        <v>Loading...</v>
      </c>
      <c r="L447" s="129">
        <v>9.809431E7</v>
      </c>
      <c r="M447" s="99" t="str">
        <f>IFERROR(__xludf.DUMMYFUNCTION("GOOGLEFINANCE(A447,""beta"")"),"#N/A")</f>
        <v>#N/A</v>
      </c>
    </row>
    <row r="448">
      <c r="A448" s="122" t="s">
        <v>1327</v>
      </c>
      <c r="B448" s="123">
        <v>1838163.0</v>
      </c>
      <c r="C448" s="124" t="s">
        <v>1328</v>
      </c>
      <c r="D448" s="125"/>
      <c r="E448" s="126">
        <v>0.04</v>
      </c>
      <c r="F448" s="127"/>
      <c r="G448" s="127"/>
      <c r="H448" s="127"/>
      <c r="I448" s="128"/>
      <c r="K448" s="105" t="str">
        <f>IFERROR(__xludf.DUMMYFUNCTION("if(A448="""","""",substitute(SUBSTITUTE(index(importhtml(""http://finviz.com/quote.ashx?t=""&amp;A448,""table"",10),7,2),""*"",""""),""-"",""0.00""))"),"Loading...")</f>
        <v>Loading...</v>
      </c>
      <c r="L448" s="129">
        <v>1.04190909E8</v>
      </c>
      <c r="M448" s="99" t="str">
        <f>IFERROR(__xludf.DUMMYFUNCTION("GOOGLEFINANCE(A448,""beta"")"),"#N/A")</f>
        <v>#N/A</v>
      </c>
    </row>
    <row r="449">
      <c r="A449" s="122" t="s">
        <v>1329</v>
      </c>
      <c r="B449" s="123">
        <v>1779474.0</v>
      </c>
      <c r="C449" s="124" t="s">
        <v>1330</v>
      </c>
      <c r="D449" s="125"/>
      <c r="E449" s="126">
        <v>0.04</v>
      </c>
      <c r="F449" s="127"/>
      <c r="G449" s="127"/>
      <c r="H449" s="127"/>
      <c r="I449" s="128"/>
      <c r="K449" s="105" t="str">
        <f>IFERROR(__xludf.DUMMYFUNCTION("if(A449="""","""",substitute(SUBSTITUTE(index(importhtml(""http://finviz.com/quote.ashx?t=""&amp;A449,""table"",10),7,2),""*"",""""),""-"",""0.00""))"),"Loading...")</f>
        <v>Loading...</v>
      </c>
      <c r="L449" s="129">
        <v>1.2593868E8</v>
      </c>
      <c r="M449" s="99">
        <v>3.45</v>
      </c>
    </row>
    <row r="450">
      <c r="A450" s="122" t="s">
        <v>1331</v>
      </c>
      <c r="B450" s="123">
        <v>1892747.0</v>
      </c>
      <c r="C450" s="124" t="s">
        <v>1332</v>
      </c>
      <c r="D450" s="125"/>
      <c r="E450" s="126">
        <v>0.04</v>
      </c>
      <c r="F450" s="127"/>
      <c r="G450" s="127"/>
      <c r="H450" s="127"/>
      <c r="I450" s="128"/>
      <c r="K450" s="105" t="str">
        <f>IFERROR(__xludf.DUMMYFUNCTION("if(A450="""","""",substitute(SUBSTITUTE(index(importhtml(""http://finviz.com/quote.ashx?t=""&amp;A450,""table"",10),7,2),""*"",""""),""-"",""0.00""))"),"Loading...")</f>
        <v>Loading...</v>
      </c>
      <c r="L450" s="129">
        <v>1.316565E8</v>
      </c>
      <c r="M450" s="99" t="str">
        <f>IFERROR(__xludf.DUMMYFUNCTION("GOOGLEFINANCE(A450,""beta"")"),"#N/A")</f>
        <v>#N/A</v>
      </c>
    </row>
    <row r="451">
      <c r="A451" s="122" t="s">
        <v>1333</v>
      </c>
      <c r="B451" s="123">
        <v>1845368.0</v>
      </c>
      <c r="C451" s="124" t="s">
        <v>1334</v>
      </c>
      <c r="D451" s="125"/>
      <c r="E451" s="126">
        <v>0.04</v>
      </c>
      <c r="F451" s="127"/>
      <c r="G451" s="127"/>
      <c r="H451" s="127"/>
      <c r="I451" s="128"/>
      <c r="K451" s="105" t="str">
        <f>IFERROR(__xludf.DUMMYFUNCTION("if(A451="""","""",substitute(SUBSTITUTE(index(importhtml(""http://finviz.com/quote.ashx?t=""&amp;A451,""table"",10),7,2),""*"",""""),""-"",""0.00""))"),"Loading...")</f>
        <v>Loading...</v>
      </c>
      <c r="L451" s="129">
        <v>1.32382344E8</v>
      </c>
      <c r="M451" s="99" t="str">
        <f>IFERROR(__xludf.DUMMYFUNCTION("GOOGLEFINANCE(A451,""beta"")"),"#N/A")</f>
        <v>#N/A</v>
      </c>
    </row>
    <row r="452">
      <c r="A452" s="122" t="s">
        <v>1335</v>
      </c>
      <c r="B452" s="123">
        <v>1832950.0</v>
      </c>
      <c r="C452" s="124" t="s">
        <v>1336</v>
      </c>
      <c r="D452" s="125"/>
      <c r="E452" s="126">
        <v>0.04</v>
      </c>
      <c r="F452" s="127"/>
      <c r="G452" s="127"/>
      <c r="H452" s="127"/>
      <c r="I452" s="128"/>
      <c r="K452" s="105" t="str">
        <f>IFERROR(__xludf.DUMMYFUNCTION("if(A452="""","""",substitute(SUBSTITUTE(index(importhtml(""http://finviz.com/quote.ashx?t=""&amp;A452,""table"",10),7,2),""*"",""""),""-"",""0.00""))"),"Loading...")</f>
        <v>Loading...</v>
      </c>
      <c r="L452" s="129">
        <v>1.4937988E8</v>
      </c>
      <c r="M452" s="99" t="str">
        <f>IFERROR(__xludf.DUMMYFUNCTION("GOOGLEFINANCE(A452,""beta"")"),"#N/A")</f>
        <v>#N/A</v>
      </c>
    </row>
    <row r="453">
      <c r="A453" s="122" t="s">
        <v>1337</v>
      </c>
      <c r="B453" s="123">
        <v>1716583.0</v>
      </c>
      <c r="C453" s="124" t="s">
        <v>1338</v>
      </c>
      <c r="D453" s="125"/>
      <c r="E453" s="126">
        <v>0.04</v>
      </c>
      <c r="F453" s="127"/>
      <c r="G453" s="127"/>
      <c r="H453" s="127"/>
      <c r="I453" s="128"/>
      <c r="K453" s="105" t="str">
        <f>IFERROR(__xludf.DUMMYFUNCTION("if(A453="""","""",substitute(SUBSTITUTE(index(importhtml(""http://finviz.com/quote.ashx?t=""&amp;A453,""table"",10),7,2),""*"",""""),""-"",""0.00""))"),"Loading...")</f>
        <v>Loading...</v>
      </c>
      <c r="L453" s="129">
        <v>1.89165518E8</v>
      </c>
      <c r="M453" s="99">
        <v>5.6</v>
      </c>
    </row>
    <row r="454">
      <c r="A454" s="122" t="s">
        <v>1339</v>
      </c>
      <c r="B454" s="123">
        <v>1856995.0</v>
      </c>
      <c r="C454" s="124" t="s">
        <v>1340</v>
      </c>
      <c r="D454" s="125"/>
      <c r="E454" s="126">
        <v>0.04</v>
      </c>
      <c r="F454" s="127"/>
      <c r="G454" s="127"/>
      <c r="H454" s="127"/>
      <c r="I454" s="128"/>
      <c r="K454" s="105" t="str">
        <f>IFERROR(__xludf.DUMMYFUNCTION("if(A454="""","""",substitute(SUBSTITUTE(index(importhtml(""http://finviz.com/quote.ashx?t=""&amp;A454,""table"",10),7,2),""*"",""""),""-"",""0.00""))"),"Loading...")</f>
        <v>Loading...</v>
      </c>
      <c r="L454" s="129">
        <v>1.96108355E8</v>
      </c>
      <c r="M454" s="99" t="str">
        <f>IFERROR(__xludf.DUMMYFUNCTION("GOOGLEFINANCE(A454,""beta"")"),"#N/A")</f>
        <v>#N/A</v>
      </c>
    </row>
    <row r="455">
      <c r="A455" s="122" t="s">
        <v>1341</v>
      </c>
      <c r="B455" s="123">
        <v>1857803.0</v>
      </c>
      <c r="C455" s="124" t="s">
        <v>1342</v>
      </c>
      <c r="D455" s="125"/>
      <c r="E455" s="126">
        <v>0.04</v>
      </c>
      <c r="F455" s="127"/>
      <c r="G455" s="127"/>
      <c r="H455" s="127"/>
      <c r="I455" s="128"/>
      <c r="K455" s="105" t="str">
        <f>IFERROR(__xludf.DUMMYFUNCTION("if(A455="""","""",substitute(SUBSTITUTE(index(importhtml(""http://finviz.com/quote.ashx?t=""&amp;A455,""table"",10),7,2),""*"",""""),""-"",""0.00""))"),"Loading...")</f>
        <v>Loading...</v>
      </c>
      <c r="L455" s="129">
        <v>3.02719436E8</v>
      </c>
      <c r="M455" s="99" t="str">
        <f>IFERROR(__xludf.DUMMYFUNCTION("GOOGLEFINANCE(A455,""beta"")"),"#N/A")</f>
        <v>#N/A</v>
      </c>
    </row>
    <row r="456">
      <c r="A456" s="122" t="s">
        <v>1343</v>
      </c>
      <c r="B456" s="123">
        <v>1816233.0</v>
      </c>
      <c r="C456" s="124" t="s">
        <v>1344</v>
      </c>
      <c r="D456" s="125"/>
      <c r="E456" s="126">
        <v>0.04</v>
      </c>
      <c r="F456" s="127"/>
      <c r="G456" s="127"/>
      <c r="H456" s="127"/>
      <c r="I456" s="128"/>
      <c r="K456" s="105" t="str">
        <f>IFERROR(__xludf.DUMMYFUNCTION("if(A456="""","""",substitute(SUBSTITUTE(index(importhtml(""http://finviz.com/quote.ashx?t=""&amp;A456,""table"",10),7,2),""*"",""""),""-"",""0.00""))"),"Loading...")</f>
        <v>Loading...</v>
      </c>
      <c r="L456" s="129">
        <v>4.1233583E8</v>
      </c>
      <c r="M456" s="99">
        <v>-0.02</v>
      </c>
    </row>
    <row r="457">
      <c r="A457" s="122" t="s">
        <v>1345</v>
      </c>
      <c r="B457" s="123">
        <v>1468978.0</v>
      </c>
      <c r="C457" s="124" t="s">
        <v>1346</v>
      </c>
      <c r="D457" s="125"/>
      <c r="E457" s="126">
        <v>0.04</v>
      </c>
      <c r="F457" s="127"/>
      <c r="G457" s="127"/>
      <c r="H457" s="127"/>
      <c r="I457" s="128"/>
      <c r="K457" s="105" t="str">
        <f>IFERROR(__xludf.DUMMYFUNCTION("if(A457="""","""",substitute(SUBSTITUTE(index(importhtml(""http://finviz.com/quote.ashx?t=""&amp;A457,""table"",10),7,2),""*"",""""),""-"",""0.00""))"),"Loading...")</f>
        <v>Loading...</v>
      </c>
      <c r="L457" s="129" t="e">
        <v>#N/A</v>
      </c>
      <c r="M457" s="99">
        <v>-0.05</v>
      </c>
    </row>
    <row r="458">
      <c r="A458" s="122" t="s">
        <v>1347</v>
      </c>
      <c r="B458" s="123">
        <v>1882781.0</v>
      </c>
      <c r="C458" s="124" t="s">
        <v>1348</v>
      </c>
      <c r="D458" s="125"/>
      <c r="E458" s="126">
        <v>0.04</v>
      </c>
      <c r="F458" s="127"/>
      <c r="G458" s="127"/>
      <c r="H458" s="127"/>
      <c r="I458" s="128"/>
      <c r="K458" s="105" t="str">
        <f>IFERROR(__xludf.DUMMYFUNCTION("if(A458="""","""",substitute(SUBSTITUTE(index(importhtml(""http://finviz.com/quote.ashx?t=""&amp;A458,""table"",10),7,2),""*"",""""),""-"",""0.00""))"),"Loading...")</f>
        <v>Loading...</v>
      </c>
      <c r="L458" s="129" t="e">
        <v>#N/A</v>
      </c>
      <c r="M458" s="99">
        <v>0.54</v>
      </c>
    </row>
    <row r="459">
      <c r="A459" s="122" t="s">
        <v>1349</v>
      </c>
      <c r="B459" s="123">
        <v>1873722.0</v>
      </c>
      <c r="C459" s="124" t="s">
        <v>1350</v>
      </c>
      <c r="D459" s="125"/>
      <c r="E459" s="126">
        <v>0.04</v>
      </c>
      <c r="F459" s="127"/>
      <c r="G459" s="127"/>
      <c r="H459" s="127"/>
      <c r="I459" s="128"/>
      <c r="K459" s="105" t="str">
        <f>IFERROR(__xludf.DUMMYFUNCTION("if(A459="""","""",substitute(SUBSTITUTE(index(importhtml(""http://finviz.com/quote.ashx?t=""&amp;A459,""table"",10),7,2),""*"",""""),""-"",""0.00""))"),"Loading...")</f>
        <v>Loading...</v>
      </c>
      <c r="L459" s="129" t="e">
        <v>#N/A</v>
      </c>
      <c r="M459" s="99">
        <v>0.92</v>
      </c>
    </row>
    <row r="460">
      <c r="A460" s="122" t="s">
        <v>1351</v>
      </c>
      <c r="B460" s="123">
        <v>1828972.0</v>
      </c>
      <c r="C460" s="124" t="s">
        <v>1352</v>
      </c>
      <c r="D460" s="125"/>
      <c r="E460" s="126">
        <v>0.04</v>
      </c>
      <c r="F460" s="127"/>
      <c r="G460" s="127"/>
      <c r="H460" s="127"/>
      <c r="I460" s="128"/>
      <c r="K460" s="105" t="str">
        <f>IFERROR(__xludf.DUMMYFUNCTION("if(A460="""","""",substitute(SUBSTITUTE(index(importhtml(""http://finviz.com/quote.ashx?t=""&amp;A460,""table"",10),7,2),""*"",""""),""-"",""0.00""))"),"Loading...")</f>
        <v>Loading...</v>
      </c>
      <c r="L460" s="129" t="e">
        <v>#N/A</v>
      </c>
      <c r="M460" s="99" t="e">
        <v>#N/A</v>
      </c>
    </row>
    <row r="461">
      <c r="A461" s="122" t="s">
        <v>1353</v>
      </c>
      <c r="B461" s="123">
        <v>1941771.0</v>
      </c>
      <c r="C461" s="124" t="s">
        <v>1354</v>
      </c>
      <c r="D461" s="125"/>
      <c r="E461" s="126">
        <v>0.04</v>
      </c>
      <c r="F461" s="127"/>
      <c r="G461" s="127"/>
      <c r="H461" s="127"/>
      <c r="I461" s="128"/>
      <c r="K461" s="105" t="str">
        <f>IFERROR(__xludf.DUMMYFUNCTION("if(A461="""","""",substitute(SUBSTITUTE(index(importhtml(""http://finviz.com/quote.ashx?t=""&amp;A461,""table"",10),7,2),""*"",""""),""-"",""0.00""))"),"Loading...")</f>
        <v>Loading...</v>
      </c>
      <c r="L461" s="129" t="e">
        <v>#N/A</v>
      </c>
      <c r="M461" s="99" t="e">
        <v>#N/A</v>
      </c>
    </row>
    <row r="462">
      <c r="A462" s="122" t="s">
        <v>1355</v>
      </c>
      <c r="B462" s="123">
        <v>1837929.0</v>
      </c>
      <c r="C462" s="124" t="s">
        <v>1356</v>
      </c>
      <c r="D462" s="125"/>
      <c r="E462" s="126">
        <v>0.04</v>
      </c>
      <c r="F462" s="127"/>
      <c r="G462" s="127"/>
      <c r="H462" s="127"/>
      <c r="I462" s="128"/>
      <c r="K462" s="105" t="str">
        <f>IFERROR(__xludf.DUMMYFUNCTION("if(A462="""","""",substitute(SUBSTITUTE(index(importhtml(""http://finviz.com/quote.ashx?t=""&amp;A462,""table"",10),7,2),""*"",""""),""-"",""0.00""))"),"Loading...")</f>
        <v>Loading...</v>
      </c>
      <c r="L462" s="129" t="e">
        <v>#N/A</v>
      </c>
      <c r="M462" s="99" t="e">
        <v>#N/A</v>
      </c>
    </row>
    <row r="463">
      <c r="A463" s="122" t="s">
        <v>1357</v>
      </c>
      <c r="B463" s="123">
        <v>1590875.0</v>
      </c>
      <c r="C463" s="124" t="s">
        <v>1358</v>
      </c>
      <c r="D463" s="125"/>
      <c r="E463" s="126">
        <v>0.04</v>
      </c>
      <c r="F463" s="127"/>
      <c r="G463" s="127"/>
      <c r="H463" s="127"/>
      <c r="I463" s="128"/>
      <c r="K463" s="105" t="str">
        <f>IFERROR(__xludf.DUMMYFUNCTION("if(A463="""","""",substitute(SUBSTITUTE(index(importhtml(""http://finviz.com/quote.ashx?t=""&amp;A463,""table"",10),7,2),""*"",""""),""-"",""0.00""))"),"Loading...")</f>
        <v>Loading...</v>
      </c>
      <c r="L463" s="129" t="e">
        <v>#N/A</v>
      </c>
      <c r="M463" s="99" t="e">
        <v>#N/A</v>
      </c>
    </row>
    <row r="464">
      <c r="A464" s="122" t="s">
        <v>1359</v>
      </c>
      <c r="B464" s="123">
        <v>1652350.0</v>
      </c>
      <c r="C464" s="124" t="s">
        <v>1360</v>
      </c>
      <c r="D464" s="125"/>
      <c r="E464" s="126">
        <v>0.04</v>
      </c>
      <c r="F464" s="127"/>
      <c r="G464" s="127"/>
      <c r="H464" s="127"/>
      <c r="I464" s="128"/>
      <c r="K464" s="105" t="str">
        <f>IFERROR(__xludf.DUMMYFUNCTION("if(A464="""","""",substitute(SUBSTITUTE(index(importhtml(""http://finviz.com/quote.ashx?t=""&amp;A464,""table"",10),7,2),""*"",""""),""-"",""0.00""))"),"Loading...")</f>
        <v>Loading...</v>
      </c>
      <c r="L464" s="129" t="e">
        <v>#N/A</v>
      </c>
      <c r="M464" s="99" t="e">
        <v>#N/A</v>
      </c>
    </row>
    <row r="465">
      <c r="A465" s="122" t="s">
        <v>1361</v>
      </c>
      <c r="B465" s="123">
        <v>1916879.0</v>
      </c>
      <c r="C465" s="124" t="s">
        <v>1362</v>
      </c>
      <c r="D465" s="125"/>
      <c r="E465" s="126">
        <v>0.05</v>
      </c>
      <c r="F465" s="127"/>
      <c r="G465" s="127"/>
      <c r="H465" s="127"/>
      <c r="I465" s="128"/>
      <c r="K465" s="105" t="str">
        <f>IFERROR(__xludf.DUMMYFUNCTION("if(A465="""","""",substitute(SUBSTITUTE(index(importhtml(""http://finviz.com/quote.ashx?t=""&amp;A465,""table"",10),7,2),""*"",""""),""-"",""0.00""))"),"Loading...")</f>
        <v>Loading...</v>
      </c>
      <c r="L465" s="129">
        <v>86560.0</v>
      </c>
      <c r="M465" s="99">
        <v>5.1</v>
      </c>
    </row>
    <row r="466">
      <c r="A466" s="122" t="s">
        <v>1363</v>
      </c>
      <c r="B466" s="123">
        <v>802257.0</v>
      </c>
      <c r="C466" s="124" t="s">
        <v>1364</v>
      </c>
      <c r="D466" s="125"/>
      <c r="E466" s="126">
        <v>0.05</v>
      </c>
      <c r="F466" s="127"/>
      <c r="G466" s="127"/>
      <c r="H466" s="127"/>
      <c r="I466" s="128"/>
      <c r="K466" s="105" t="str">
        <f>IFERROR(__xludf.DUMMYFUNCTION("if(A466="""","""",substitute(SUBSTITUTE(index(importhtml(""http://finviz.com/quote.ashx?t=""&amp;A466,""table"",10),7,2),""*"",""""),""-"",""0.00""))"),"Loading...")</f>
        <v>Loading...</v>
      </c>
      <c r="L466" s="129">
        <v>292320.0</v>
      </c>
      <c r="M466" s="99" t="str">
        <f>IFERROR(__xludf.DUMMYFUNCTION("GOOGLEFINANCE(A466,""beta"")"),"#N/A")</f>
        <v>#N/A</v>
      </c>
    </row>
    <row r="467">
      <c r="A467" s="122" t="s">
        <v>1365</v>
      </c>
      <c r="B467" s="123">
        <v>1534133.0</v>
      </c>
      <c r="C467" s="124" t="s">
        <v>1366</v>
      </c>
      <c r="D467" s="125"/>
      <c r="E467" s="126">
        <v>0.05</v>
      </c>
      <c r="F467" s="127"/>
      <c r="G467" s="127"/>
      <c r="H467" s="127"/>
      <c r="I467" s="128"/>
      <c r="K467" s="105" t="str">
        <f>IFERROR(__xludf.DUMMYFUNCTION("if(A467="""","""",substitute(SUBSTITUTE(index(importhtml(""http://finviz.com/quote.ashx?t=""&amp;A467,""table"",10),7,2),""*"",""""),""-"",""0.00""))"),"Loading...")</f>
        <v>Loading...</v>
      </c>
      <c r="L467" s="129">
        <v>880490.0</v>
      </c>
      <c r="M467" s="99" t="str">
        <f>IFERROR(__xludf.DUMMYFUNCTION("GOOGLEFINANCE(A467,""beta"")"),"#N/A")</f>
        <v>#N/A</v>
      </c>
    </row>
    <row r="468">
      <c r="A468" s="122" t="s">
        <v>1367</v>
      </c>
      <c r="B468" s="123">
        <v>1599117.0</v>
      </c>
      <c r="C468" s="124" t="s">
        <v>1368</v>
      </c>
      <c r="D468" s="125"/>
      <c r="E468" s="126">
        <v>0.05</v>
      </c>
      <c r="F468" s="127"/>
      <c r="G468" s="127"/>
      <c r="H468" s="127"/>
      <c r="I468" s="128"/>
      <c r="K468" s="105" t="str">
        <f>IFERROR(__xludf.DUMMYFUNCTION("if(A468="""","""",substitute(SUBSTITUTE(index(importhtml(""http://finviz.com/quote.ashx?t=""&amp;A468,""table"",10),7,2),""*"",""""),""-"",""0.00""))"),"Loading...")</f>
        <v>Loading...</v>
      </c>
      <c r="L468" s="129">
        <v>1168330.0</v>
      </c>
      <c r="M468" s="99">
        <v>-0.14</v>
      </c>
    </row>
    <row r="469">
      <c r="A469" s="122" t="s">
        <v>1369</v>
      </c>
      <c r="B469" s="123">
        <v>1400732.0</v>
      </c>
      <c r="C469" s="124" t="s">
        <v>1370</v>
      </c>
      <c r="D469" s="125"/>
      <c r="E469" s="126">
        <v>0.05</v>
      </c>
      <c r="F469" s="127"/>
      <c r="G469" s="127"/>
      <c r="H469" s="127"/>
      <c r="I469" s="128"/>
      <c r="K469" s="105" t="str">
        <f>IFERROR(__xludf.DUMMYFUNCTION("if(A469="""","""",substitute(SUBSTITUTE(index(importhtml(""http://finviz.com/quote.ashx?t=""&amp;A469,""table"",10),7,2),""*"",""""),""-"",""0.00""))"),"Loading...")</f>
        <v>Loading...</v>
      </c>
      <c r="L469" s="129">
        <v>1297300.0</v>
      </c>
      <c r="M469" s="99">
        <v>3.32</v>
      </c>
    </row>
    <row r="470">
      <c r="A470" s="122" t="s">
        <v>1371</v>
      </c>
      <c r="B470" s="123">
        <v>1574553.0</v>
      </c>
      <c r="C470" s="124" t="s">
        <v>1372</v>
      </c>
      <c r="D470" s="125"/>
      <c r="E470" s="126">
        <v>0.05</v>
      </c>
      <c r="F470" s="127"/>
      <c r="G470" s="127"/>
      <c r="H470" s="127"/>
      <c r="I470" s="128"/>
      <c r="K470" s="105" t="str">
        <f>IFERROR(__xludf.DUMMYFUNCTION("if(A470="""","""",substitute(SUBSTITUTE(index(importhtml(""http://finviz.com/quote.ashx?t=""&amp;A470,""table"",10),7,2),""*"",""""),""-"",""0.00""))"),"Loading...")</f>
        <v>Loading...</v>
      </c>
      <c r="L470" s="129">
        <v>1312620.0</v>
      </c>
      <c r="M470" s="99">
        <v>1.74</v>
      </c>
    </row>
    <row r="471">
      <c r="A471" s="122" t="s">
        <v>1373</v>
      </c>
      <c r="B471" s="123">
        <v>1616291.0</v>
      </c>
      <c r="C471" s="124" t="s">
        <v>1374</v>
      </c>
      <c r="D471" s="125"/>
      <c r="E471" s="126">
        <v>0.05</v>
      </c>
      <c r="F471" s="127"/>
      <c r="G471" s="127"/>
      <c r="H471" s="127"/>
      <c r="I471" s="128"/>
      <c r="K471" s="105" t="str">
        <f>IFERROR(__xludf.DUMMYFUNCTION("if(A471="""","""",substitute(SUBSTITUTE(index(importhtml(""http://finviz.com/quote.ashx?t=""&amp;A471,""table"",10),7,2),""*"",""""),""-"",""0.00""))"),"Loading...")</f>
        <v>Loading...</v>
      </c>
      <c r="L471" s="129">
        <v>1632436.0</v>
      </c>
      <c r="M471" s="99">
        <v>1.63</v>
      </c>
    </row>
    <row r="472">
      <c r="A472" s="122" t="s">
        <v>1375</v>
      </c>
      <c r="B472" s="123">
        <v>1603345.0</v>
      </c>
      <c r="C472" s="124" t="s">
        <v>1376</v>
      </c>
      <c r="D472" s="125"/>
      <c r="E472" s="126">
        <v>0.05</v>
      </c>
      <c r="F472" s="127"/>
      <c r="G472" s="127"/>
      <c r="H472" s="127"/>
      <c r="I472" s="128"/>
      <c r="K472" s="105" t="str">
        <f>IFERROR(__xludf.DUMMYFUNCTION("if(A472="""","""",substitute(SUBSTITUTE(index(importhtml(""http://finviz.com/quote.ashx?t=""&amp;A472,""table"",10),7,2),""*"",""""),""-"",""0.00""))"),"Loading...")</f>
        <v>Loading...</v>
      </c>
      <c r="L472" s="129">
        <v>2003350.0</v>
      </c>
      <c r="M472" s="99">
        <v>-6.16</v>
      </c>
    </row>
    <row r="473">
      <c r="A473" s="122" t="s">
        <v>1377</v>
      </c>
      <c r="B473" s="123">
        <v>858043.0</v>
      </c>
      <c r="C473" s="124" t="s">
        <v>1378</v>
      </c>
      <c r="D473" s="125"/>
      <c r="E473" s="126">
        <v>0.05</v>
      </c>
      <c r="F473" s="127"/>
      <c r="G473" s="127"/>
      <c r="H473" s="127"/>
      <c r="I473" s="128"/>
      <c r="K473" s="105" t="str">
        <f>IFERROR(__xludf.DUMMYFUNCTION("if(A473="""","""",substitute(SUBSTITUTE(index(importhtml(""http://finviz.com/quote.ashx?t=""&amp;A473,""table"",10),7,2),""*"",""""),""-"",""0.00""))"),"Loading...")</f>
        <v>Loading...</v>
      </c>
      <c r="L473" s="129">
        <v>2636594.0</v>
      </c>
      <c r="M473" s="99" t="str">
        <f>IFERROR(__xludf.DUMMYFUNCTION("GOOGLEFINANCE(A473,""beta"")"),"#N/A")</f>
        <v>#N/A</v>
      </c>
    </row>
    <row r="474">
      <c r="A474" s="122" t="s">
        <v>1379</v>
      </c>
      <c r="B474" s="123">
        <v>1025771.0</v>
      </c>
      <c r="C474" s="124" t="s">
        <v>1380</v>
      </c>
      <c r="D474" s="125"/>
      <c r="E474" s="126">
        <v>0.05</v>
      </c>
      <c r="F474" s="127"/>
      <c r="G474" s="127"/>
      <c r="H474" s="127"/>
      <c r="I474" s="128"/>
      <c r="K474" s="105" t="str">
        <f>IFERROR(__xludf.DUMMYFUNCTION("if(A474="""","""",substitute(SUBSTITUTE(index(importhtml(""http://finviz.com/quote.ashx?t=""&amp;A474,""table"",10),7,2),""*"",""""),""-"",""0.00""))"),"Loading...")</f>
        <v>Loading...</v>
      </c>
      <c r="L474" s="129">
        <v>2809450.0</v>
      </c>
      <c r="M474" s="99">
        <v>-0.83</v>
      </c>
    </row>
    <row r="475">
      <c r="A475" s="122" t="s">
        <v>1381</v>
      </c>
      <c r="B475" s="123">
        <v>1383394.0</v>
      </c>
      <c r="C475" s="124" t="s">
        <v>1382</v>
      </c>
      <c r="D475" s="125"/>
      <c r="E475" s="126">
        <v>0.05</v>
      </c>
      <c r="F475" s="127"/>
      <c r="G475" s="127"/>
      <c r="H475" s="127"/>
      <c r="I475" s="128"/>
      <c r="K475" s="105" t="str">
        <f>IFERROR(__xludf.DUMMYFUNCTION("if(A475="""","""",substitute(SUBSTITUTE(index(importhtml(""http://finviz.com/quote.ashx?t=""&amp;A475,""table"",10),7,2),""*"",""""),""-"",""0.00""))"),"Loading...")</f>
        <v>Loading...</v>
      </c>
      <c r="L475" s="129">
        <v>3280870.0</v>
      </c>
      <c r="M475" s="99" t="str">
        <f>IFERROR(__xludf.DUMMYFUNCTION("GOOGLEFINANCE(A475,""beta"")"),"#N/A")</f>
        <v>#N/A</v>
      </c>
    </row>
    <row r="476">
      <c r="A476" s="122" t="s">
        <v>1383</v>
      </c>
      <c r="B476" s="123">
        <v>1648960.0</v>
      </c>
      <c r="C476" s="124" t="s">
        <v>1384</v>
      </c>
      <c r="D476" s="125"/>
      <c r="E476" s="126">
        <v>0.05</v>
      </c>
      <c r="F476" s="127"/>
      <c r="G476" s="127"/>
      <c r="H476" s="127"/>
      <c r="I476" s="128"/>
      <c r="K476" s="105" t="str">
        <f>IFERROR(__xludf.DUMMYFUNCTION("if(A476="""","""",substitute(SUBSTITUTE(index(importhtml(""http://finviz.com/quote.ashx?t=""&amp;A476,""table"",10),7,2),""*"",""""),""-"",""0.00""))"),"Loading...")</f>
        <v>Loading...</v>
      </c>
      <c r="L476" s="129">
        <v>3331627.0</v>
      </c>
      <c r="M476" s="99" t="str">
        <f>IFERROR(__xludf.DUMMYFUNCTION("GOOGLEFINANCE(A476,""beta"")"),"#N/A")</f>
        <v>#N/A</v>
      </c>
    </row>
    <row r="477">
      <c r="A477" s="122" t="s">
        <v>1385</v>
      </c>
      <c r="B477" s="123">
        <v>834285.0</v>
      </c>
      <c r="C477" s="124" t="s">
        <v>1386</v>
      </c>
      <c r="D477" s="125"/>
      <c r="E477" s="126">
        <v>0.05</v>
      </c>
      <c r="F477" s="127"/>
      <c r="G477" s="127"/>
      <c r="H477" s="127"/>
      <c r="I477" s="128"/>
      <c r="K477" s="105" t="str">
        <f>IFERROR(__xludf.DUMMYFUNCTION("if(A477="""","""",substitute(SUBSTITUTE(index(importhtml(""http://finviz.com/quote.ashx?t=""&amp;A477,""table"",10),7,2),""*"",""""),""-"",""0.00""))"),"Loading...")</f>
        <v>Loading...</v>
      </c>
      <c r="L477" s="129">
        <v>3372848.0</v>
      </c>
      <c r="M477" s="99">
        <v>0.82</v>
      </c>
    </row>
    <row r="478">
      <c r="A478" s="122" t="s">
        <v>1387</v>
      </c>
      <c r="B478" s="123">
        <v>1395445.0</v>
      </c>
      <c r="C478" s="124" t="s">
        <v>1388</v>
      </c>
      <c r="D478" s="125"/>
      <c r="E478" s="126">
        <v>0.05</v>
      </c>
      <c r="F478" s="127"/>
      <c r="G478" s="127"/>
      <c r="H478" s="127"/>
      <c r="I478" s="128"/>
      <c r="K478" s="105" t="str">
        <f>IFERROR(__xludf.DUMMYFUNCTION("if(A478="""","""",substitute(SUBSTITUTE(index(importhtml(""http://finviz.com/quote.ashx?t=""&amp;A478,""table"",10),7,2),""*"",""""),""-"",""0.00""))"),"Loading...")</f>
        <v>Loading...</v>
      </c>
      <c r="L478" s="129">
        <v>4020110.0</v>
      </c>
      <c r="M478" s="99">
        <v>2.37</v>
      </c>
    </row>
    <row r="479">
      <c r="A479" s="122" t="s">
        <v>1389</v>
      </c>
      <c r="B479" s="123">
        <v>1635077.0</v>
      </c>
      <c r="C479" s="124" t="s">
        <v>1390</v>
      </c>
      <c r="D479" s="125"/>
      <c r="E479" s="126">
        <v>0.05</v>
      </c>
      <c r="F479" s="127"/>
      <c r="G479" s="127"/>
      <c r="H479" s="127"/>
      <c r="I479" s="128"/>
      <c r="K479" s="105" t="str">
        <f>IFERROR(__xludf.DUMMYFUNCTION("if(A479="""","""",substitute(SUBSTITUTE(index(importhtml(""http://finviz.com/quote.ashx?t=""&amp;A479,""table"",10),7,2),""*"",""""),""-"",""0.00""))"),"Loading...")</f>
        <v>Loading...</v>
      </c>
      <c r="L479" s="129">
        <v>4263477.0</v>
      </c>
      <c r="M479" s="99">
        <f>IFERROR(__xludf.DUMMYFUNCTION("GOOGLEFINANCE(A479,""beta"")"),1.75)</f>
        <v>1.75</v>
      </c>
    </row>
    <row r="480">
      <c r="A480" s="122" t="s">
        <v>1391</v>
      </c>
      <c r="B480" s="123">
        <v>1209028.0</v>
      </c>
      <c r="C480" s="124" t="s">
        <v>1392</v>
      </c>
      <c r="D480" s="125"/>
      <c r="E480" s="126">
        <v>0.05</v>
      </c>
      <c r="F480" s="127"/>
      <c r="G480" s="127"/>
      <c r="H480" s="127"/>
      <c r="I480" s="128"/>
      <c r="K480" s="105" t="str">
        <f>IFERROR(__xludf.DUMMYFUNCTION("if(A480="""","""",substitute(SUBSTITUTE(index(importhtml(""http://finviz.com/quote.ashx?t=""&amp;A480,""table"",10),7,2),""*"",""""),""-"",""0.00""))"),"Loading...")</f>
        <v>Loading...</v>
      </c>
      <c r="L480" s="129">
        <v>4544190.0</v>
      </c>
      <c r="M480" s="99" t="str">
        <f>IFERROR(__xludf.DUMMYFUNCTION("GOOGLEFINANCE(A480,""beta"")"),"#N/A")</f>
        <v>#N/A</v>
      </c>
    </row>
    <row r="481">
      <c r="A481" s="122" t="s">
        <v>1393</v>
      </c>
      <c r="B481" s="123">
        <v>1014763.0</v>
      </c>
      <c r="C481" s="124" t="s">
        <v>1394</v>
      </c>
      <c r="D481" s="125"/>
      <c r="E481" s="126">
        <v>0.05</v>
      </c>
      <c r="F481" s="127"/>
      <c r="G481" s="127"/>
      <c r="H481" s="127"/>
      <c r="I481" s="128"/>
      <c r="K481" s="105" t="str">
        <f>IFERROR(__xludf.DUMMYFUNCTION("if(A481="""","""",substitute(SUBSTITUTE(index(importhtml(""http://finviz.com/quote.ashx?t=""&amp;A481,""table"",10),7,2),""*"",""""),""-"",""0.00""))"),"Loading...")</f>
        <v>Loading...</v>
      </c>
      <c r="L481" s="129">
        <v>4841623.0</v>
      </c>
      <c r="M481" s="99">
        <f>IFERROR(__xludf.DUMMYFUNCTION("GOOGLEFINANCE(A481,""beta"")"),-5.42)</f>
        <v>-5.42</v>
      </c>
    </row>
    <row r="482">
      <c r="A482" s="122" t="s">
        <v>1395</v>
      </c>
      <c r="B482" s="123">
        <v>1522222.0</v>
      </c>
      <c r="C482" s="124" t="s">
        <v>1396</v>
      </c>
      <c r="D482" s="125"/>
      <c r="E482" s="126">
        <v>0.05</v>
      </c>
      <c r="F482" s="127"/>
      <c r="G482" s="127"/>
      <c r="H482" s="127"/>
      <c r="I482" s="128"/>
      <c r="K482" s="105" t="str">
        <f>IFERROR(__xludf.DUMMYFUNCTION("if(A482="""","""",substitute(SUBSTITUTE(index(importhtml(""http://finviz.com/quote.ashx?t=""&amp;A482,""table"",10),7,2),""*"",""""),""-"",""0.00""))"),"Loading...")</f>
        <v>Loading...</v>
      </c>
      <c r="L482" s="129">
        <v>4918225.0</v>
      </c>
      <c r="M482" s="99">
        <v>1.37</v>
      </c>
    </row>
    <row r="483">
      <c r="A483" s="122" t="s">
        <v>1397</v>
      </c>
      <c r="B483" s="123">
        <v>1891367.0</v>
      </c>
      <c r="C483" s="124" t="s">
        <v>1398</v>
      </c>
      <c r="D483" s="125"/>
      <c r="E483" s="126">
        <v>0.05</v>
      </c>
      <c r="F483" s="127"/>
      <c r="G483" s="127"/>
      <c r="H483" s="127"/>
      <c r="I483" s="128"/>
      <c r="K483" s="105" t="str">
        <f>IFERROR(__xludf.DUMMYFUNCTION("if(A483="""","""",substitute(SUBSTITUTE(index(importhtml(""http://finviz.com/quote.ashx?t=""&amp;A483,""table"",10),7,2),""*"",""""),""-"",""0.00""))"),"Loading...")</f>
        <v>Loading...</v>
      </c>
      <c r="L483" s="129">
        <v>5217440.0</v>
      </c>
      <c r="M483" s="99" t="str">
        <f>IFERROR(__xludf.DUMMYFUNCTION("GOOGLEFINANCE(A483,""beta"")"),"#N/A")</f>
        <v>#N/A</v>
      </c>
    </row>
    <row r="484">
      <c r="A484" s="122" t="s">
        <v>1399</v>
      </c>
      <c r="B484" s="123">
        <v>1808377.0</v>
      </c>
      <c r="C484" s="124" t="s">
        <v>1400</v>
      </c>
      <c r="D484" s="125"/>
      <c r="E484" s="126">
        <v>0.05</v>
      </c>
      <c r="F484" s="127"/>
      <c r="G484" s="127"/>
      <c r="H484" s="127"/>
      <c r="I484" s="128"/>
      <c r="K484" s="105" t="str">
        <f>IFERROR(__xludf.DUMMYFUNCTION("if(A484="""","""",substitute(SUBSTITUTE(index(importhtml(""http://finviz.com/quote.ashx?t=""&amp;A484,""table"",10),7,2),""*"",""""),""-"",""0.00""))"),"Loading...")</f>
        <v>Loading...</v>
      </c>
      <c r="L484" s="129">
        <v>5270432.0</v>
      </c>
      <c r="M484" s="99">
        <f>IFERROR(__xludf.DUMMYFUNCTION("GOOGLEFINANCE(A484,""beta"")"),-0.17)</f>
        <v>-0.17</v>
      </c>
    </row>
    <row r="485">
      <c r="A485" s="122" t="s">
        <v>1401</v>
      </c>
      <c r="B485" s="123">
        <v>1415758.0</v>
      </c>
      <c r="C485" s="124" t="s">
        <v>1402</v>
      </c>
      <c r="D485" s="125"/>
      <c r="E485" s="126">
        <v>0.05</v>
      </c>
      <c r="F485" s="127"/>
      <c r="G485" s="127"/>
      <c r="H485" s="127"/>
      <c r="I485" s="128"/>
      <c r="K485" s="105" t="str">
        <f>IFERROR(__xludf.DUMMYFUNCTION("if(A485="""","""",substitute(SUBSTITUTE(index(importhtml(""http://finviz.com/quote.ashx?t=""&amp;A485,""table"",10),7,2),""*"",""""),""-"",""0.00""))"),"Loading...")</f>
        <v>Loading...</v>
      </c>
      <c r="L485" s="129">
        <v>6609524.0</v>
      </c>
      <c r="M485" s="99">
        <v>0.44</v>
      </c>
    </row>
    <row r="486">
      <c r="A486" s="122" t="s">
        <v>1403</v>
      </c>
      <c r="B486" s="123">
        <v>1288750.0</v>
      </c>
      <c r="C486" s="124" t="s">
        <v>1404</v>
      </c>
      <c r="D486" s="125"/>
      <c r="E486" s="126">
        <v>0.05</v>
      </c>
      <c r="F486" s="127"/>
      <c r="G486" s="127"/>
      <c r="H486" s="127"/>
      <c r="I486" s="128"/>
      <c r="K486" s="105" t="str">
        <f>IFERROR(__xludf.DUMMYFUNCTION("if(A486="""","""",substitute(SUBSTITUTE(index(importhtml(""http://finviz.com/quote.ashx?t=""&amp;A486,""table"",10),7,2),""*"",""""),""-"",""0.00""))"),"Loading...")</f>
        <v>Loading...</v>
      </c>
      <c r="L486" s="129">
        <v>6955496.0</v>
      </c>
      <c r="M486" s="99">
        <v>2.17</v>
      </c>
    </row>
    <row r="487">
      <c r="A487" s="122" t="s">
        <v>1405</v>
      </c>
      <c r="B487" s="123">
        <v>1588014.0</v>
      </c>
      <c r="C487" s="124" t="s">
        <v>1406</v>
      </c>
      <c r="D487" s="125"/>
      <c r="E487" s="126">
        <v>0.05</v>
      </c>
      <c r="F487" s="127"/>
      <c r="G487" s="127"/>
      <c r="H487" s="127"/>
      <c r="I487" s="128"/>
      <c r="K487" s="105" t="str">
        <f>IFERROR(__xludf.DUMMYFUNCTION("if(A487="""","""",substitute(SUBSTITUTE(index(importhtml(""http://finviz.com/quote.ashx?t=""&amp;A487,""table"",10),7,2),""*"",""""),""-"",""0.00""))"),"Loading...")</f>
        <v>Loading...</v>
      </c>
      <c r="L487" s="129">
        <v>7873820.0</v>
      </c>
      <c r="M487" s="99">
        <v>3.08</v>
      </c>
    </row>
    <row r="488">
      <c r="A488" s="122" t="s">
        <v>1407</v>
      </c>
      <c r="B488" s="123">
        <v>1042418.0</v>
      </c>
      <c r="C488" s="124" t="s">
        <v>1408</v>
      </c>
      <c r="D488" s="125"/>
      <c r="E488" s="126">
        <v>0.05</v>
      </c>
      <c r="F488" s="127"/>
      <c r="G488" s="127"/>
      <c r="H488" s="127"/>
      <c r="I488" s="128"/>
      <c r="K488" s="105" t="str">
        <f>IFERROR(__xludf.DUMMYFUNCTION("if(A488="""","""",substitute(SUBSTITUTE(index(importhtml(""http://finviz.com/quote.ashx?t=""&amp;A488,""table"",10),7,2),""*"",""""),""-"",""0.00""))"),"Loading...")</f>
        <v>Loading...</v>
      </c>
      <c r="L488" s="129">
        <v>8327313.0</v>
      </c>
      <c r="M488" s="99">
        <v>-0.25</v>
      </c>
    </row>
    <row r="489">
      <c r="A489" s="122" t="s">
        <v>1409</v>
      </c>
      <c r="B489" s="123">
        <v>1868079.0</v>
      </c>
      <c r="C489" s="124" t="s">
        <v>1410</v>
      </c>
      <c r="D489" s="125"/>
      <c r="E489" s="126">
        <v>0.05</v>
      </c>
      <c r="F489" s="127"/>
      <c r="G489" s="127"/>
      <c r="H489" s="127"/>
      <c r="I489" s="128"/>
      <c r="K489" s="105" t="str">
        <f>IFERROR(__xludf.DUMMYFUNCTION("if(A489="""","""",substitute(SUBSTITUTE(index(importhtml(""http://finviz.com/quote.ashx?t=""&amp;A489,""table"",10),7,2),""*"",""""),""-"",""0.00""))"),"Loading...")</f>
        <v>Loading...</v>
      </c>
      <c r="L489" s="129">
        <v>9069235.0</v>
      </c>
      <c r="M489" s="99">
        <v>19.97</v>
      </c>
    </row>
    <row r="490">
      <c r="A490" s="122" t="s">
        <v>1411</v>
      </c>
      <c r="B490" s="123">
        <v>1061612.0</v>
      </c>
      <c r="C490" s="124" t="s">
        <v>1412</v>
      </c>
      <c r="D490" s="125"/>
      <c r="E490" s="126">
        <v>0.05</v>
      </c>
      <c r="F490" s="127"/>
      <c r="G490" s="127"/>
      <c r="H490" s="127"/>
      <c r="I490" s="128"/>
      <c r="K490" s="105" t="str">
        <f>IFERROR(__xludf.DUMMYFUNCTION("if(A490="""","""",substitute(SUBSTITUTE(index(importhtml(""http://finviz.com/quote.ashx?t=""&amp;A490,""table"",10),7,2),""*"",""""),""-"",""0.00""))"),"Loading...")</f>
        <v>Loading...</v>
      </c>
      <c r="L490" s="129">
        <v>9348199.0</v>
      </c>
      <c r="M490" s="99">
        <v>2.16</v>
      </c>
    </row>
    <row r="491">
      <c r="A491" s="122" t="s">
        <v>1413</v>
      </c>
      <c r="B491" s="123">
        <v>1872964.0</v>
      </c>
      <c r="C491" s="124" t="s">
        <v>1414</v>
      </c>
      <c r="D491" s="125"/>
      <c r="E491" s="126">
        <v>0.05</v>
      </c>
      <c r="F491" s="127"/>
      <c r="G491" s="127"/>
      <c r="H491" s="127"/>
      <c r="I491" s="128"/>
      <c r="K491" s="105" t="str">
        <f>IFERROR(__xludf.DUMMYFUNCTION("if(A491="""","""",substitute(SUBSTITUTE(index(importhtml(""http://finviz.com/quote.ashx?t=""&amp;A491,""table"",10),7,2),""*"",""""),""-"",""0.00""))"),"Loading...")</f>
        <v>Loading...</v>
      </c>
      <c r="L491" s="129">
        <v>9532200.0</v>
      </c>
      <c r="M491" s="99">
        <f>IFERROR(__xludf.DUMMYFUNCTION("GOOGLEFINANCE(A491,""beta"")"),-2.4)</f>
        <v>-2.4</v>
      </c>
    </row>
    <row r="492">
      <c r="A492" s="122" t="s">
        <v>1415</v>
      </c>
      <c r="B492" s="123">
        <v>1742924.0</v>
      </c>
      <c r="C492" s="124" t="s">
        <v>1416</v>
      </c>
      <c r="D492" s="125"/>
      <c r="E492" s="126">
        <v>0.05</v>
      </c>
      <c r="F492" s="127"/>
      <c r="G492" s="127"/>
      <c r="H492" s="127"/>
      <c r="I492" s="128"/>
      <c r="K492" s="105" t="str">
        <f>IFERROR(__xludf.DUMMYFUNCTION("if(A492="""","""",substitute(SUBSTITUTE(index(importhtml(""http://finviz.com/quote.ashx?t=""&amp;A492,""table"",10),7,2),""*"",""""),""-"",""0.00""))"),"Loading...")</f>
        <v>Loading...</v>
      </c>
      <c r="L492" s="129">
        <v>1.0143783E7</v>
      </c>
      <c r="M492" s="99" t="str">
        <f>IFERROR(__xludf.DUMMYFUNCTION("GOOGLEFINANCE(A492,""beta"")"),"#N/A")</f>
        <v>#N/A</v>
      </c>
    </row>
    <row r="493">
      <c r="A493" s="122" t="s">
        <v>1417</v>
      </c>
      <c r="B493" s="123">
        <v>1652561.0</v>
      </c>
      <c r="C493" s="124" t="s">
        <v>1418</v>
      </c>
      <c r="D493" s="125"/>
      <c r="E493" s="126">
        <v>0.05</v>
      </c>
      <c r="F493" s="127"/>
      <c r="G493" s="127"/>
      <c r="H493" s="127"/>
      <c r="I493" s="128"/>
      <c r="K493" s="105" t="str">
        <f>IFERROR(__xludf.DUMMYFUNCTION("if(A493="""","""",substitute(SUBSTITUTE(index(importhtml(""http://finviz.com/quote.ashx?t=""&amp;A493,""table"",10),7,2),""*"",""""),""-"",""0.00""))"),"Loading...")</f>
        <v>Loading...</v>
      </c>
      <c r="L493" s="129">
        <v>1.032454E7</v>
      </c>
      <c r="M493" s="99">
        <v>-10.17</v>
      </c>
    </row>
    <row r="494">
      <c r="A494" s="122" t="s">
        <v>1419</v>
      </c>
      <c r="B494" s="123">
        <v>1529113.0</v>
      </c>
      <c r="C494" s="124" t="s">
        <v>1420</v>
      </c>
      <c r="D494" s="125"/>
      <c r="E494" s="126">
        <v>0.05</v>
      </c>
      <c r="F494" s="127"/>
      <c r="G494" s="127"/>
      <c r="H494" s="127"/>
      <c r="I494" s="128"/>
      <c r="K494" s="105" t="str">
        <f>IFERROR(__xludf.DUMMYFUNCTION("if(A494="""","""",substitute(SUBSTITUTE(index(importhtml(""http://finviz.com/quote.ashx?t=""&amp;A494,""table"",10),7,2),""*"",""""),""-"",""0.00""))"),"Loading...")</f>
        <v>Loading...</v>
      </c>
      <c r="L494" s="129">
        <v>1.0873553E7</v>
      </c>
      <c r="M494" s="99">
        <v>1.53</v>
      </c>
    </row>
    <row r="495">
      <c r="A495" s="122" t="s">
        <v>1421</v>
      </c>
      <c r="B495" s="123">
        <v>1533030.0</v>
      </c>
      <c r="C495" s="124" t="s">
        <v>1422</v>
      </c>
      <c r="D495" s="125"/>
      <c r="E495" s="126">
        <v>0.05</v>
      </c>
      <c r="F495" s="127"/>
      <c r="G495" s="127"/>
      <c r="H495" s="127"/>
      <c r="I495" s="128"/>
      <c r="K495" s="105" t="str">
        <f>IFERROR(__xludf.DUMMYFUNCTION("if(A495="""","""",substitute(SUBSTITUTE(index(importhtml(""http://finviz.com/quote.ashx?t=""&amp;A495,""table"",10),7,2),""*"",""""),""-"",""0.00""))"),"Loading...")</f>
        <v>Loading...</v>
      </c>
      <c r="L495" s="129">
        <v>1.1358547E7</v>
      </c>
      <c r="M495" s="99">
        <v>-0.27</v>
      </c>
    </row>
    <row r="496">
      <c r="A496" s="122" t="s">
        <v>1423</v>
      </c>
      <c r="B496" s="123">
        <v>1680139.0</v>
      </c>
      <c r="C496" s="124" t="s">
        <v>1424</v>
      </c>
      <c r="D496" s="125"/>
      <c r="E496" s="126">
        <v>0.05</v>
      </c>
      <c r="F496" s="127"/>
      <c r="G496" s="127"/>
      <c r="H496" s="127"/>
      <c r="I496" s="128"/>
      <c r="K496" s="105" t="str">
        <f>IFERROR(__xludf.DUMMYFUNCTION("if(A496="""","""",substitute(SUBSTITUTE(index(importhtml(""http://finviz.com/quote.ashx?t=""&amp;A496,""table"",10),7,2),""*"",""""),""-"",""0.00""))"),"Loading...")</f>
        <v>Loading...</v>
      </c>
      <c r="L496" s="129">
        <v>1.2474208E7</v>
      </c>
      <c r="M496" s="99">
        <v>1.36</v>
      </c>
    </row>
    <row r="497">
      <c r="A497" s="122" t="s">
        <v>1425</v>
      </c>
      <c r="B497" s="123">
        <v>1807387.0</v>
      </c>
      <c r="C497" s="124" t="s">
        <v>1426</v>
      </c>
      <c r="D497" s="125"/>
      <c r="E497" s="126">
        <v>0.05</v>
      </c>
      <c r="F497" s="127"/>
      <c r="G497" s="127"/>
      <c r="H497" s="127"/>
      <c r="I497" s="128"/>
      <c r="K497" s="105" t="str">
        <f>IFERROR(__xludf.DUMMYFUNCTION("if(A497="""","""",substitute(SUBSTITUTE(index(importhtml(""http://finviz.com/quote.ashx?t=""&amp;A497,""table"",10),7,2),""*"",""""),""-"",""0.00""))"),"Loading...")</f>
        <v>Loading...</v>
      </c>
      <c r="L497" s="129">
        <v>1.2500819E7</v>
      </c>
      <c r="M497" s="99">
        <v>1.19</v>
      </c>
    </row>
    <row r="498">
      <c r="A498" s="122" t="s">
        <v>1427</v>
      </c>
      <c r="B498" s="123">
        <v>34285.0</v>
      </c>
      <c r="C498" s="124" t="s">
        <v>1428</v>
      </c>
      <c r="D498" s="125"/>
      <c r="E498" s="126">
        <v>0.05</v>
      </c>
      <c r="F498" s="127"/>
      <c r="G498" s="127"/>
      <c r="H498" s="127"/>
      <c r="I498" s="128"/>
      <c r="K498" s="105" t="str">
        <f>IFERROR(__xludf.DUMMYFUNCTION("if(A498="""","""",substitute(SUBSTITUTE(index(importhtml(""http://finviz.com/quote.ashx?t=""&amp;A498,""table"",10),7,2),""*"",""""),""-"",""0.00""))"),"Loading...")</f>
        <v>Loading...</v>
      </c>
      <c r="L498" s="129">
        <v>1.315E7</v>
      </c>
      <c r="M498" s="99">
        <v>0.19</v>
      </c>
    </row>
    <row r="499">
      <c r="A499" s="122" t="s">
        <v>1429</v>
      </c>
      <c r="B499" s="123">
        <v>1138867.0</v>
      </c>
      <c r="C499" s="124" t="s">
        <v>1430</v>
      </c>
      <c r="D499" s="125"/>
      <c r="E499" s="126">
        <v>0.05</v>
      </c>
      <c r="F499" s="127"/>
      <c r="G499" s="127"/>
      <c r="H499" s="127"/>
      <c r="I499" s="128"/>
      <c r="K499" s="105" t="str">
        <f>IFERROR(__xludf.DUMMYFUNCTION("if(A499="""","""",substitute(SUBSTITUTE(index(importhtml(""http://finviz.com/quote.ashx?t=""&amp;A499,""table"",10),7,2),""*"",""""),""-"",""0.00""))"),"Loading...")</f>
        <v>Loading...</v>
      </c>
      <c r="L499" s="129">
        <v>1.4126591E7</v>
      </c>
      <c r="M499" s="99">
        <v>-0.56</v>
      </c>
    </row>
    <row r="500">
      <c r="A500" s="122" t="s">
        <v>1431</v>
      </c>
      <c r="B500" s="123">
        <v>1038277.0</v>
      </c>
      <c r="C500" s="124" t="s">
        <v>1432</v>
      </c>
      <c r="D500" s="125"/>
      <c r="E500" s="126">
        <v>0.05</v>
      </c>
      <c r="F500" s="127"/>
      <c r="G500" s="127"/>
      <c r="H500" s="127"/>
      <c r="I500" s="128"/>
      <c r="K500" s="105" t="str">
        <f>IFERROR(__xludf.DUMMYFUNCTION("if(A500="""","""",substitute(SUBSTITUTE(index(importhtml(""http://finviz.com/quote.ashx?t=""&amp;A500,""table"",10),7,2),""*"",""""),""-"",""0.00""))"),"Loading...")</f>
        <v>Loading...</v>
      </c>
      <c r="L500" s="129">
        <v>2.1074796E7</v>
      </c>
      <c r="M500" s="99">
        <v>0.47</v>
      </c>
    </row>
    <row r="501">
      <c r="A501" s="122" t="s">
        <v>1433</v>
      </c>
      <c r="B501" s="123">
        <v>1138586.0</v>
      </c>
      <c r="C501" s="124" t="s">
        <v>1434</v>
      </c>
      <c r="D501" s="125"/>
      <c r="E501" s="126">
        <v>0.05</v>
      </c>
      <c r="F501" s="127"/>
      <c r="G501" s="127"/>
      <c r="H501" s="127"/>
      <c r="I501" s="128"/>
      <c r="K501" s="105" t="str">
        <f>IFERROR(__xludf.DUMMYFUNCTION("if(A501="""","""",substitute(SUBSTITUTE(index(importhtml(""http://finviz.com/quote.ashx?t=""&amp;A501,""table"",10),7,2),""*"",""""),""-"",""0.00""))"),"Loading...")</f>
        <v>Loading...</v>
      </c>
      <c r="L501" s="129">
        <v>2.2953162E7</v>
      </c>
      <c r="M501" s="99">
        <v>3.43</v>
      </c>
    </row>
    <row r="502">
      <c r="A502" s="122" t="s">
        <v>1435</v>
      </c>
      <c r="B502" s="123">
        <v>1377149.0</v>
      </c>
      <c r="C502" s="124" t="s">
        <v>1436</v>
      </c>
      <c r="D502" s="125"/>
      <c r="E502" s="126">
        <v>0.05</v>
      </c>
      <c r="F502" s="127"/>
      <c r="G502" s="127"/>
      <c r="H502" s="127"/>
      <c r="I502" s="128"/>
      <c r="K502" s="105" t="str">
        <f>IFERROR(__xludf.DUMMYFUNCTION("if(A502="""","""",substitute(SUBSTITUTE(index(importhtml(""http://finviz.com/quote.ashx?t=""&amp;A502,""table"",10),7,2),""*"",""""),""-"",""0.00""))"),"Loading...")</f>
        <v>Loading...</v>
      </c>
      <c r="L502" s="129">
        <v>3.03618E7</v>
      </c>
      <c r="M502" s="99">
        <v>0.54</v>
      </c>
    </row>
    <row r="503">
      <c r="A503" s="122" t="s">
        <v>1437</v>
      </c>
      <c r="B503" s="123">
        <v>1650287.0</v>
      </c>
      <c r="C503" s="124" t="s">
        <v>1438</v>
      </c>
      <c r="D503" s="125"/>
      <c r="E503" s="126">
        <v>0.05</v>
      </c>
      <c r="F503" s="127"/>
      <c r="G503" s="127"/>
      <c r="H503" s="127"/>
      <c r="I503" s="128"/>
      <c r="K503" s="105" t="str">
        <f>IFERROR(__xludf.DUMMYFUNCTION("if(A503="""","""",substitute(SUBSTITUTE(index(importhtml(""http://finviz.com/quote.ashx?t=""&amp;A503,""table"",10),7,2),""*"",""""),""-"",""0.00""))"),"Loading...")</f>
        <v>Loading...</v>
      </c>
      <c r="L503" s="129">
        <v>3.430875E7</v>
      </c>
      <c r="M503" s="99">
        <v>2.01</v>
      </c>
    </row>
    <row r="504">
      <c r="A504" s="122" t="s">
        <v>1439</v>
      </c>
      <c r="B504" s="123">
        <v>1868419.0</v>
      </c>
      <c r="C504" s="124" t="s">
        <v>1440</v>
      </c>
      <c r="D504" s="125"/>
      <c r="E504" s="126">
        <v>0.05</v>
      </c>
      <c r="F504" s="127"/>
      <c r="G504" s="127"/>
      <c r="H504" s="127"/>
      <c r="I504" s="128"/>
      <c r="K504" s="105" t="str">
        <f>IFERROR(__xludf.DUMMYFUNCTION("if(A504="""","""",substitute(SUBSTITUTE(index(importhtml(""http://finviz.com/quote.ashx?t=""&amp;A504,""table"",10),7,2),""*"",""""),""-"",""0.00""))"),"Loading...")</f>
        <v>Loading...</v>
      </c>
      <c r="L504" s="129">
        <v>3.808914E7</v>
      </c>
      <c r="M504" s="99" t="str">
        <f>IFERROR(__xludf.DUMMYFUNCTION("GOOGLEFINANCE(A504,""beta"")"),"#N/A")</f>
        <v>#N/A</v>
      </c>
    </row>
    <row r="505">
      <c r="A505" s="122" t="s">
        <v>1441</v>
      </c>
      <c r="B505" s="123">
        <v>1860484.0</v>
      </c>
      <c r="C505" s="124" t="s">
        <v>1442</v>
      </c>
      <c r="D505" s="125"/>
      <c r="E505" s="126">
        <v>0.05</v>
      </c>
      <c r="F505" s="127"/>
      <c r="G505" s="127"/>
      <c r="H505" s="127"/>
      <c r="I505" s="128"/>
      <c r="K505" s="105" t="str">
        <f>IFERROR(__xludf.DUMMYFUNCTION("if(A505="""","""",substitute(SUBSTITUTE(index(importhtml(""http://finviz.com/quote.ashx?t=""&amp;A505,""table"",10),7,2),""*"",""""),""-"",""0.00""))"),"Loading...")</f>
        <v>Loading...</v>
      </c>
      <c r="L505" s="129">
        <v>5.404176E7</v>
      </c>
      <c r="M505" s="99" t="str">
        <f>IFERROR(__xludf.DUMMYFUNCTION("GOOGLEFINANCE(A505,""beta"")"),"#N/A")</f>
        <v>#N/A</v>
      </c>
    </row>
    <row r="506">
      <c r="A506" s="122" t="s">
        <v>1443</v>
      </c>
      <c r="B506" s="123">
        <v>1907223.0</v>
      </c>
      <c r="C506" s="124" t="s">
        <v>1444</v>
      </c>
      <c r="D506" s="125"/>
      <c r="E506" s="126">
        <v>0.05</v>
      </c>
      <c r="F506" s="127"/>
      <c r="G506" s="127"/>
      <c r="H506" s="127"/>
      <c r="I506" s="128"/>
      <c r="K506" s="105" t="str">
        <f>IFERROR(__xludf.DUMMYFUNCTION("if(A506="""","""",substitute(SUBSTITUTE(index(importhtml(""http://finviz.com/quote.ashx?t=""&amp;A506,""table"",10),7,2),""*"",""""),""-"",""0.00""))"),"Loading...")</f>
        <v>Loading...</v>
      </c>
      <c r="L506" s="129">
        <v>5.568079E7</v>
      </c>
      <c r="M506" s="99" t="str">
        <f>IFERROR(__xludf.DUMMYFUNCTION("GOOGLEFINANCE(A506,""beta"")"),"#N/A")</f>
        <v>#N/A</v>
      </c>
    </row>
    <row r="507">
      <c r="A507" s="122" t="s">
        <v>1445</v>
      </c>
      <c r="B507" s="123">
        <v>1848861.0</v>
      </c>
      <c r="C507" s="124" t="s">
        <v>1446</v>
      </c>
      <c r="D507" s="125"/>
      <c r="E507" s="126">
        <v>0.05</v>
      </c>
      <c r="F507" s="127"/>
      <c r="G507" s="127"/>
      <c r="H507" s="127"/>
      <c r="I507" s="128"/>
      <c r="K507" s="105" t="str">
        <f>IFERROR(__xludf.DUMMYFUNCTION("if(A507="""","""",substitute(SUBSTITUTE(index(importhtml(""http://finviz.com/quote.ashx?t=""&amp;A507,""table"",10),7,2),""*"",""""),""-"",""0.00""))"),"Loading...")</f>
        <v>Loading...</v>
      </c>
      <c r="L507" s="129">
        <v>5.897316E7</v>
      </c>
      <c r="M507" s="99" t="str">
        <f>IFERROR(__xludf.DUMMYFUNCTION("GOOGLEFINANCE(A507,""beta"")"),"#N/A")</f>
        <v>#N/A</v>
      </c>
    </row>
    <row r="508">
      <c r="A508" s="122" t="s">
        <v>1447</v>
      </c>
      <c r="B508" s="123">
        <v>1866547.0</v>
      </c>
      <c r="C508" s="124" t="s">
        <v>1448</v>
      </c>
      <c r="D508" s="125"/>
      <c r="E508" s="126">
        <v>0.05</v>
      </c>
      <c r="F508" s="127"/>
      <c r="G508" s="127"/>
      <c r="H508" s="127"/>
      <c r="I508" s="128"/>
      <c r="K508" s="105" t="str">
        <f>IFERROR(__xludf.DUMMYFUNCTION("if(A508="""","""",substitute(SUBSTITUTE(index(importhtml(""http://finviz.com/quote.ashx?t=""&amp;A508,""table"",10),7,2),""*"",""""),""-"",""0.00""))"),"Loading...")</f>
        <v>Loading...</v>
      </c>
      <c r="L508" s="129">
        <v>6.970008E7</v>
      </c>
      <c r="M508" s="99" t="str">
        <f>IFERROR(__xludf.DUMMYFUNCTION("GOOGLEFINANCE(A508,""beta"")"),"#N/A")</f>
        <v>#N/A</v>
      </c>
    </row>
    <row r="509">
      <c r="A509" s="122" t="s">
        <v>1449</v>
      </c>
      <c r="B509" s="123">
        <v>1847440.0</v>
      </c>
      <c r="C509" s="124" t="s">
        <v>1450</v>
      </c>
      <c r="D509" s="125"/>
      <c r="E509" s="126">
        <v>0.05</v>
      </c>
      <c r="F509" s="127"/>
      <c r="G509" s="127"/>
      <c r="H509" s="127"/>
      <c r="I509" s="128"/>
      <c r="K509" s="105" t="str">
        <f>IFERROR(__xludf.DUMMYFUNCTION("if(A509="""","""",substitute(SUBSTITUTE(index(importhtml(""http://finviz.com/quote.ashx?t=""&amp;A509,""table"",10),7,2),""*"",""""),""-"",""0.00""))"),"Loading...")</f>
        <v>Loading...</v>
      </c>
      <c r="L509" s="129">
        <v>7.1100839E7</v>
      </c>
      <c r="M509" s="99" t="str">
        <f>IFERROR(__xludf.DUMMYFUNCTION("GOOGLEFINANCE(A509,""beta"")"),"#N/A")</f>
        <v>#N/A</v>
      </c>
    </row>
    <row r="510">
      <c r="A510" s="122" t="s">
        <v>1451</v>
      </c>
      <c r="B510" s="123">
        <v>1847513.0</v>
      </c>
      <c r="C510" s="124" t="s">
        <v>1452</v>
      </c>
      <c r="D510" s="125"/>
      <c r="E510" s="126">
        <v>0.05</v>
      </c>
      <c r="F510" s="127"/>
      <c r="G510" s="127"/>
      <c r="H510" s="127"/>
      <c r="I510" s="128"/>
      <c r="K510" s="105" t="str">
        <f>IFERROR(__xludf.DUMMYFUNCTION("if(A510="""","""",substitute(SUBSTITUTE(index(importhtml(""http://finviz.com/quote.ashx?t=""&amp;A510,""table"",10),7,2),""*"",""""),""-"",""0.00""))"),"Loading...")</f>
        <v>Loading...</v>
      </c>
      <c r="L510" s="129">
        <v>7.393144E7</v>
      </c>
      <c r="M510" s="99" t="str">
        <f>IFERROR(__xludf.DUMMYFUNCTION("GOOGLEFINANCE(A510,""beta"")"),"#N/A")</f>
        <v>#N/A</v>
      </c>
    </row>
    <row r="511">
      <c r="A511" s="122" t="s">
        <v>1453</v>
      </c>
      <c r="B511" s="123">
        <v>1868573.0</v>
      </c>
      <c r="C511" s="124" t="s">
        <v>1454</v>
      </c>
      <c r="D511" s="125"/>
      <c r="E511" s="126">
        <v>0.05</v>
      </c>
      <c r="F511" s="127"/>
      <c r="G511" s="127"/>
      <c r="H511" s="127"/>
      <c r="I511" s="128"/>
      <c r="K511" s="105" t="str">
        <f>IFERROR(__xludf.DUMMYFUNCTION("if(A511="""","""",substitute(SUBSTITUTE(index(importhtml(""http://finviz.com/quote.ashx?t=""&amp;A511,""table"",10),7,2),""*"",""""),""-"",""0.00""))"),"Loading...")</f>
        <v>Loading...</v>
      </c>
      <c r="L511" s="129">
        <v>1.12182589E8</v>
      </c>
      <c r="M511" s="99" t="str">
        <f>IFERROR(__xludf.DUMMYFUNCTION("GOOGLEFINANCE(A511,""beta"")"),"#N/A")</f>
        <v>#N/A</v>
      </c>
    </row>
    <row r="512">
      <c r="A512" s="122" t="s">
        <v>1455</v>
      </c>
      <c r="B512" s="123">
        <v>1801417.0</v>
      </c>
      <c r="C512" s="124" t="s">
        <v>1456</v>
      </c>
      <c r="D512" s="125"/>
      <c r="E512" s="126">
        <v>0.05</v>
      </c>
      <c r="F512" s="132"/>
      <c r="G512" s="127"/>
      <c r="H512" s="127"/>
      <c r="I512" s="128"/>
      <c r="K512" s="105" t="str">
        <f>IFERROR(__xludf.DUMMYFUNCTION("if(A512="""","""",substitute(SUBSTITUTE(index(importhtml(""http://finviz.com/quote.ashx?t=""&amp;A512,""table"",10),7,2),""*"",""""),""-"",""0.00""))"),"Loading...")</f>
        <v>Loading...</v>
      </c>
      <c r="L512" s="129">
        <v>1.135528E8</v>
      </c>
      <c r="M512" s="99">
        <f>IFERROR(__xludf.DUMMYFUNCTION("GOOGLEFINANCE(A512,""beta"")"),2.67)</f>
        <v>2.67</v>
      </c>
    </row>
    <row r="513">
      <c r="A513" s="122" t="s">
        <v>1457</v>
      </c>
      <c r="B513" s="123">
        <v>1752828.0</v>
      </c>
      <c r="C513" s="124" t="s">
        <v>1458</v>
      </c>
      <c r="D513" s="125"/>
      <c r="E513" s="126">
        <v>0.05</v>
      </c>
      <c r="F513" s="132"/>
      <c r="G513" s="132"/>
      <c r="H513" s="127"/>
      <c r="I513" s="128"/>
      <c r="K513" s="105" t="str">
        <f>IFERROR(__xludf.DUMMYFUNCTION("if(A513="""","""",substitute(SUBSTITUTE(index(importhtml(""http://finviz.com/quote.ashx?t=""&amp;A513,""table"",10),7,2),""*"",""""),""-"",""0.00""))"),"Loading...")</f>
        <v>Loading...</v>
      </c>
      <c r="L513" s="129">
        <v>1.15753378E8</v>
      </c>
      <c r="M513" s="99">
        <v>2.34</v>
      </c>
    </row>
    <row r="514">
      <c r="A514" s="122" t="s">
        <v>1459</v>
      </c>
      <c r="B514" s="123">
        <v>1873441.0</v>
      </c>
      <c r="C514" s="124" t="s">
        <v>1460</v>
      </c>
      <c r="D514" s="125"/>
      <c r="E514" s="126">
        <v>0.05</v>
      </c>
      <c r="F514" s="132"/>
      <c r="G514" s="127"/>
      <c r="H514" s="127"/>
      <c r="I514" s="128"/>
      <c r="K514" s="105" t="str">
        <f>IFERROR(__xludf.DUMMYFUNCTION("if(A514="""","""",substitute(SUBSTITUTE(index(importhtml(""http://finviz.com/quote.ashx?t=""&amp;A514,""table"",10),7,2),""*"",""""),""-"",""0.00""))"),"Loading...")</f>
        <v>Loading...</v>
      </c>
      <c r="L514" s="129">
        <v>1.473687E8</v>
      </c>
      <c r="M514" s="99" t="str">
        <f>IFERROR(__xludf.DUMMYFUNCTION("GOOGLEFINANCE(A514,""beta"")"),"#N/A")</f>
        <v>#N/A</v>
      </c>
    </row>
    <row r="515">
      <c r="A515" s="122" t="s">
        <v>1461</v>
      </c>
      <c r="B515" s="123">
        <v>1852889.0</v>
      </c>
      <c r="C515" s="124" t="s">
        <v>1462</v>
      </c>
      <c r="D515" s="125"/>
      <c r="E515" s="126">
        <v>0.05</v>
      </c>
      <c r="F515" s="132"/>
      <c r="G515" s="127"/>
      <c r="H515" s="127"/>
      <c r="I515" s="128"/>
      <c r="K515" s="105" t="str">
        <f>IFERROR(__xludf.DUMMYFUNCTION("if(A515="""","""",substitute(SUBSTITUTE(index(importhtml(""http://finviz.com/quote.ashx?t=""&amp;A515,""table"",10),7,2),""*"",""""),""-"",""0.00""))"),"Loading...")</f>
        <v>Loading...</v>
      </c>
      <c r="L515" s="129">
        <v>1.80140743E8</v>
      </c>
      <c r="M515" s="99" t="str">
        <f>IFERROR(__xludf.DUMMYFUNCTION("GOOGLEFINANCE(A515,""beta"")"),"#N/A")</f>
        <v>#N/A</v>
      </c>
    </row>
    <row r="516">
      <c r="A516" s="122" t="s">
        <v>1463</v>
      </c>
      <c r="B516" s="123">
        <v>1839519.0</v>
      </c>
      <c r="C516" s="124" t="s">
        <v>1464</v>
      </c>
      <c r="D516" s="125"/>
      <c r="E516" s="126">
        <v>0.05</v>
      </c>
      <c r="F516" s="132"/>
      <c r="G516" s="127"/>
      <c r="H516" s="127"/>
      <c r="I516" s="128"/>
      <c r="K516" s="105" t="str">
        <f>IFERROR(__xludf.DUMMYFUNCTION("if(A516="""","""",substitute(SUBSTITUTE(index(importhtml(""http://finviz.com/quote.ashx?t=""&amp;A516,""table"",10),7,2),""*"",""""),""-"",""0.00""))"),"Loading...")</f>
        <v>Loading...</v>
      </c>
      <c r="L516" s="129">
        <v>2.10931595E8</v>
      </c>
      <c r="M516" s="99" t="str">
        <f>IFERROR(__xludf.DUMMYFUNCTION("GOOGLEFINANCE(A516,""beta"")"),"#N/A")</f>
        <v>#N/A</v>
      </c>
    </row>
    <row r="517">
      <c r="A517" s="122" t="s">
        <v>1465</v>
      </c>
      <c r="B517" s="123">
        <v>1849737.0</v>
      </c>
      <c r="C517" s="124" t="s">
        <v>1466</v>
      </c>
      <c r="D517" s="125"/>
      <c r="E517" s="126">
        <v>0.05</v>
      </c>
      <c r="F517" s="132"/>
      <c r="G517" s="127"/>
      <c r="H517" s="127"/>
      <c r="I517" s="128"/>
      <c r="K517" s="105" t="str">
        <f>IFERROR(__xludf.DUMMYFUNCTION("if(A517="""","""",substitute(SUBSTITUTE(index(importhtml(""http://finviz.com/quote.ashx?t=""&amp;A517,""table"",10),7,2),""*"",""""),""-"",""0.00""))"),"Loading...")</f>
        <v>Loading...</v>
      </c>
      <c r="L517" s="129">
        <v>2.53461371E8</v>
      </c>
      <c r="M517" s="99" t="str">
        <f>IFERROR(__xludf.DUMMYFUNCTION("GOOGLEFINANCE(A517,""beta"")"),"#N/A")</f>
        <v>#N/A</v>
      </c>
    </row>
    <row r="518">
      <c r="A518" s="122" t="s">
        <v>1467</v>
      </c>
      <c r="B518" s="123">
        <v>1856161.0</v>
      </c>
      <c r="C518" s="124" t="s">
        <v>1468</v>
      </c>
      <c r="D518" s="125"/>
      <c r="E518" s="126">
        <v>0.05</v>
      </c>
      <c r="F518" s="132"/>
      <c r="G518" s="127"/>
      <c r="H518" s="127"/>
      <c r="I518" s="128"/>
      <c r="K518" s="105" t="str">
        <f>IFERROR(__xludf.DUMMYFUNCTION("if(A518="""","""",substitute(SUBSTITUTE(index(importhtml(""http://finviz.com/quote.ashx?t=""&amp;A518,""table"",10),7,2),""*"",""""),""-"",""0.00""))"),"Loading...")</f>
        <v>Loading...</v>
      </c>
      <c r="L518" s="129">
        <v>2.6875E8</v>
      </c>
      <c r="M518" s="99" t="str">
        <f>IFERROR(__xludf.DUMMYFUNCTION("GOOGLEFINANCE(A518,""beta"")"),"#N/A")</f>
        <v>#N/A</v>
      </c>
    </row>
    <row r="519">
      <c r="A519" s="122" t="s">
        <v>1469</v>
      </c>
      <c r="B519" s="123">
        <v>1832511.0</v>
      </c>
      <c r="C519" s="124" t="s">
        <v>1470</v>
      </c>
      <c r="D519" s="125"/>
      <c r="E519" s="126">
        <v>0.05</v>
      </c>
      <c r="F519" s="132"/>
      <c r="G519" s="127"/>
      <c r="H519" s="127"/>
      <c r="I519" s="128"/>
      <c r="K519" s="105" t="str">
        <f>IFERROR(__xludf.DUMMYFUNCTION("if(A519="""","""",substitute(SUBSTITUTE(index(importhtml(""http://finviz.com/quote.ashx?t=""&amp;A519,""table"",10),7,2),""*"",""""),""-"",""0.00""))"),"Loading...")</f>
        <v>Loading...</v>
      </c>
      <c r="L519" s="129">
        <v>3.69444767E8</v>
      </c>
      <c r="M519" s="99">
        <f>IFERROR(__xludf.DUMMYFUNCTION("GOOGLEFINANCE(A519,""beta"")"),1.52)</f>
        <v>1.52</v>
      </c>
    </row>
    <row r="520">
      <c r="A520" s="122" t="s">
        <v>1471</v>
      </c>
      <c r="B520" s="123">
        <v>1243429.0</v>
      </c>
      <c r="C520" s="124" t="s">
        <v>1472</v>
      </c>
      <c r="D520" s="125"/>
      <c r="E520" s="126">
        <v>0.05</v>
      </c>
      <c r="F520" s="132"/>
      <c r="G520" s="132"/>
      <c r="H520" s="127"/>
      <c r="I520" s="128"/>
      <c r="K520" s="105" t="str">
        <f>IFERROR(__xludf.DUMMYFUNCTION("if(A520="""","""",substitute(SUBSTITUTE(index(importhtml(""http://finviz.com/quote.ashx?t=""&amp;A520,""table"",10),7,2),""*"",""""),""-"",""0.00""))"),"Loading...")</f>
        <v>Loading...</v>
      </c>
      <c r="L520" s="129">
        <v>1.43395434E9</v>
      </c>
      <c r="M520" s="99">
        <f>IFERROR(__xludf.DUMMYFUNCTION("GOOGLEFINANCE(A520,""beta"")"),0.76)</f>
        <v>0.76</v>
      </c>
    </row>
    <row r="521">
      <c r="A521" s="122" t="s">
        <v>1473</v>
      </c>
      <c r="B521" s="123">
        <v>1792799.0</v>
      </c>
      <c r="C521" s="124" t="s">
        <v>1474</v>
      </c>
      <c r="D521" s="125"/>
      <c r="E521" s="126">
        <v>0.05</v>
      </c>
      <c r="F521" s="132"/>
      <c r="G521" s="127"/>
      <c r="H521" s="127"/>
      <c r="I521" s="128"/>
      <c r="K521" s="105" t="str">
        <f>IFERROR(__xludf.DUMMYFUNCTION("if(A521="""","""",substitute(SUBSTITUTE(index(importhtml(""http://finviz.com/quote.ashx?t=""&amp;A521,""table"",10),7,2),""*"",""""),""-"",""0.00""))"),"Loading...")</f>
        <v>Loading...</v>
      </c>
      <c r="L521" s="129">
        <v>1.61407822E9</v>
      </c>
      <c r="M521" s="99" t="str">
        <f>IFERROR(__xludf.DUMMYFUNCTION("GOOGLEFINANCE(A521,""beta"")"),"#N/A")</f>
        <v>#N/A</v>
      </c>
    </row>
    <row r="522">
      <c r="A522" s="122" t="s">
        <v>1475</v>
      </c>
      <c r="B522" s="123">
        <v>1487091.0</v>
      </c>
      <c r="C522" s="124" t="s">
        <v>1476</v>
      </c>
      <c r="D522" s="125"/>
      <c r="E522" s="126">
        <v>0.05</v>
      </c>
      <c r="F522" s="132"/>
      <c r="G522" s="127"/>
      <c r="H522" s="127"/>
      <c r="I522" s="128"/>
      <c r="K522" s="105" t="str">
        <f>IFERROR(__xludf.DUMMYFUNCTION("if(A522="""","""",substitute(SUBSTITUTE(index(importhtml(""http://finviz.com/quote.ashx?t=""&amp;A522,""table"",10),7,2),""*"",""""),""-"",""0.00""))"),"Loading...")</f>
        <v>Loading...</v>
      </c>
      <c r="L522" s="129" t="e">
        <v>#N/A</v>
      </c>
      <c r="M522" s="99">
        <v>-2.31</v>
      </c>
    </row>
    <row r="523">
      <c r="A523" s="122" t="s">
        <v>1477</v>
      </c>
      <c r="B523" s="123">
        <v>1658521.0</v>
      </c>
      <c r="C523" s="124" t="s">
        <v>1478</v>
      </c>
      <c r="D523" s="125"/>
      <c r="E523" s="126">
        <v>0.05</v>
      </c>
      <c r="F523" s="132"/>
      <c r="G523" s="127"/>
      <c r="H523" s="127"/>
      <c r="I523" s="128"/>
      <c r="K523" s="105" t="str">
        <f>IFERROR(__xludf.DUMMYFUNCTION("if(A523="""","""",substitute(SUBSTITUTE(index(importhtml(""http://finviz.com/quote.ashx?t=""&amp;A523,""table"",10),7,2),""*"",""""),""-"",""0.00""))"),"Loading...")</f>
        <v>Loading...</v>
      </c>
      <c r="L523" s="129" t="e">
        <v>#N/A</v>
      </c>
      <c r="M523" s="99">
        <v>0.54</v>
      </c>
    </row>
    <row r="524">
      <c r="A524" s="122" t="s">
        <v>1479</v>
      </c>
      <c r="B524" s="123">
        <v>1827620.0</v>
      </c>
      <c r="C524" s="124" t="s">
        <v>1480</v>
      </c>
      <c r="D524" s="125"/>
      <c r="E524" s="126">
        <v>0.05</v>
      </c>
      <c r="F524" s="132"/>
      <c r="G524" s="127"/>
      <c r="H524" s="127"/>
      <c r="I524" s="128"/>
      <c r="K524" s="105" t="str">
        <f>IFERROR(__xludf.DUMMYFUNCTION("if(A524="""","""",substitute(SUBSTITUTE(index(importhtml(""http://finviz.com/quote.ashx?t=""&amp;A524,""table"",10),7,2),""*"",""""),""-"",""0.00""))"),"Loading...")</f>
        <v>Loading...</v>
      </c>
      <c r="L524" s="129" t="e">
        <v>#N/A</v>
      </c>
      <c r="M524" s="99">
        <v>2.2</v>
      </c>
    </row>
    <row r="525">
      <c r="A525" s="122" t="s">
        <v>1481</v>
      </c>
      <c r="B525" s="123">
        <v>1826135.0</v>
      </c>
      <c r="C525" s="124" t="s">
        <v>1482</v>
      </c>
      <c r="D525" s="125"/>
      <c r="E525" s="126">
        <v>0.05</v>
      </c>
      <c r="F525" s="132"/>
      <c r="G525" s="127"/>
      <c r="H525" s="127"/>
      <c r="I525" s="128"/>
      <c r="K525" s="105" t="str">
        <f>IFERROR(__xludf.DUMMYFUNCTION("if(A525="""","""",substitute(SUBSTITUTE(index(importhtml(""http://finviz.com/quote.ashx?t=""&amp;A525,""table"",10),7,2),""*"",""""),""-"",""0.00""))"),"Loading...")</f>
        <v>Loading...</v>
      </c>
      <c r="L525" s="129" t="e">
        <v>#N/A</v>
      </c>
      <c r="M525" s="99">
        <v>4.31</v>
      </c>
    </row>
    <row r="526">
      <c r="A526" s="122" t="s">
        <v>1483</v>
      </c>
      <c r="B526" s="123">
        <v>1851612.0</v>
      </c>
      <c r="C526" s="124" t="s">
        <v>1484</v>
      </c>
      <c r="D526" s="125"/>
      <c r="E526" s="126">
        <v>0.05</v>
      </c>
      <c r="F526" s="132"/>
      <c r="G526" s="127"/>
      <c r="H526" s="127"/>
      <c r="I526" s="128"/>
      <c r="K526" s="105" t="str">
        <f>IFERROR(__xludf.DUMMYFUNCTION("if(A526="""","""",substitute(SUBSTITUTE(index(importhtml(""http://finviz.com/quote.ashx?t=""&amp;A526,""table"",10),7,2),""*"",""""),""-"",""0.00""))"),"Loading...")</f>
        <v>Loading...</v>
      </c>
      <c r="L526" s="129" t="e">
        <v>#N/A</v>
      </c>
      <c r="M526" s="99" t="e">
        <v>#N/A</v>
      </c>
    </row>
    <row r="527">
      <c r="A527" s="122" t="s">
        <v>1485</v>
      </c>
      <c r="B527" s="123">
        <v>1831979.0</v>
      </c>
      <c r="C527" s="124" t="s">
        <v>1486</v>
      </c>
      <c r="D527" s="125"/>
      <c r="E527" s="126">
        <v>0.05</v>
      </c>
      <c r="F527" s="132"/>
      <c r="G527" s="127"/>
      <c r="H527" s="127"/>
      <c r="I527" s="128"/>
      <c r="K527" s="105" t="str">
        <f>IFERROR(__xludf.DUMMYFUNCTION("if(A527="""","""",substitute(SUBSTITUTE(index(importhtml(""http://finviz.com/quote.ashx?t=""&amp;A527,""table"",10),7,2),""*"",""""),""-"",""0.00""))"),"Loading...")</f>
        <v>Loading...</v>
      </c>
      <c r="L527" s="129" t="e">
        <v>#N/A</v>
      </c>
      <c r="M527" s="99" t="e">
        <v>#N/A</v>
      </c>
    </row>
    <row r="528">
      <c r="A528" s="122" t="s">
        <v>1487</v>
      </c>
      <c r="B528" s="123">
        <v>1827855.0</v>
      </c>
      <c r="C528" s="124" t="s">
        <v>1488</v>
      </c>
      <c r="D528" s="125"/>
      <c r="E528" s="126">
        <v>0.06</v>
      </c>
      <c r="F528" s="132"/>
      <c r="G528" s="127"/>
      <c r="H528" s="127"/>
      <c r="I528" s="128"/>
      <c r="K528" s="105" t="str">
        <f>IFERROR(__xludf.DUMMYFUNCTION("if(A528="""","""",substitute(SUBSTITUTE(index(importhtml(""http://finviz.com/quote.ashx?t=""&amp;A528,""table"",10),7,2),""*"",""""),""-"",""0.00""))"),"Loading...")</f>
        <v>Loading...</v>
      </c>
      <c r="L528" s="129">
        <v>344733.0</v>
      </c>
      <c r="M528" s="99">
        <f>IFERROR(__xludf.DUMMYFUNCTION("GOOGLEFINANCE(A528,""beta"")"),0.97)</f>
        <v>0.97</v>
      </c>
    </row>
    <row r="529">
      <c r="A529" s="122" t="s">
        <v>1489</v>
      </c>
      <c r="B529" s="123">
        <v>1600132.0</v>
      </c>
      <c r="C529" s="124" t="s">
        <v>1490</v>
      </c>
      <c r="D529" s="125"/>
      <c r="E529" s="126">
        <v>0.06</v>
      </c>
      <c r="F529" s="132"/>
      <c r="G529" s="127"/>
      <c r="H529" s="127"/>
      <c r="I529" s="128"/>
      <c r="K529" s="105" t="str">
        <f>IFERROR(__xludf.DUMMYFUNCTION("if(A529="""","""",substitute(SUBSTITUTE(index(importhtml(""http://finviz.com/quote.ashx?t=""&amp;A529,""table"",10),7,2),""*"",""""),""-"",""0.00""))"),"Loading...")</f>
        <v>Loading...</v>
      </c>
      <c r="L529" s="129">
        <v>644964.0</v>
      </c>
      <c r="M529" s="99">
        <v>0.66</v>
      </c>
    </row>
    <row r="530">
      <c r="A530" s="122" t="s">
        <v>1491</v>
      </c>
      <c r="B530" s="123">
        <v>1661166.0</v>
      </c>
      <c r="C530" s="124" t="s">
        <v>1492</v>
      </c>
      <c r="D530" s="125"/>
      <c r="E530" s="126">
        <v>0.06</v>
      </c>
      <c r="F530" s="132"/>
      <c r="G530" s="127"/>
      <c r="H530" s="127"/>
      <c r="I530" s="128"/>
      <c r="K530" s="105" t="str">
        <f>IFERROR(__xludf.DUMMYFUNCTION("if(A530="""","""",substitute(SUBSTITUTE(index(importhtml(""http://finviz.com/quote.ashx?t=""&amp;A530,""table"",10),7,2),""*"",""""),""-"",""0.00""))"),"Loading...")</f>
        <v>Loading...</v>
      </c>
      <c r="L530" s="129">
        <v>950940.0</v>
      </c>
      <c r="M530" s="99">
        <v>-1.79</v>
      </c>
    </row>
    <row r="531">
      <c r="A531" s="122" t="s">
        <v>1493</v>
      </c>
      <c r="B531" s="123">
        <v>1350156.0</v>
      </c>
      <c r="C531" s="124" t="s">
        <v>1494</v>
      </c>
      <c r="D531" s="125"/>
      <c r="E531" s="126">
        <v>0.06</v>
      </c>
      <c r="F531" s="132"/>
      <c r="G531" s="127"/>
      <c r="H531" s="127"/>
      <c r="I531" s="128"/>
      <c r="K531" s="105" t="str">
        <f>IFERROR(__xludf.DUMMYFUNCTION("if(A531="""","""",substitute(SUBSTITUTE(index(importhtml(""http://finviz.com/quote.ashx?t=""&amp;A531,""table"",10),7,2),""*"",""""),""-"",""0.00""))"),"Loading...")</f>
        <v>Loading...</v>
      </c>
      <c r="L531" s="129">
        <v>1126760.0</v>
      </c>
      <c r="M531" s="99">
        <v>-3.5</v>
      </c>
    </row>
    <row r="532">
      <c r="A532" s="122" t="s">
        <v>1495</v>
      </c>
      <c r="B532" s="123">
        <v>1640251.0</v>
      </c>
      <c r="C532" s="124" t="s">
        <v>1496</v>
      </c>
      <c r="D532" s="125"/>
      <c r="E532" s="126">
        <v>0.06</v>
      </c>
      <c r="F532" s="132"/>
      <c r="G532" s="127"/>
      <c r="H532" s="127"/>
      <c r="I532" s="128"/>
      <c r="K532" s="105" t="str">
        <f>IFERROR(__xludf.DUMMYFUNCTION("if(A532="""","""",substitute(SUBSTITUTE(index(importhtml(""http://finviz.com/quote.ashx?t=""&amp;A532,""table"",10),7,2),""*"",""""),""-"",""0.00""))"),"Loading...")</f>
        <v>Loading...</v>
      </c>
      <c r="L532" s="129">
        <v>1142650.0</v>
      </c>
      <c r="M532" s="99">
        <v>2.08</v>
      </c>
    </row>
    <row r="533">
      <c r="A533" s="122" t="s">
        <v>1497</v>
      </c>
      <c r="B533" s="123">
        <v>1509228.0</v>
      </c>
      <c r="C533" s="124" t="s">
        <v>1498</v>
      </c>
      <c r="D533" s="125"/>
      <c r="E533" s="126">
        <v>0.06</v>
      </c>
      <c r="F533" s="132"/>
      <c r="G533" s="127"/>
      <c r="H533" s="127"/>
      <c r="I533" s="128"/>
      <c r="K533" s="105" t="str">
        <f>IFERROR(__xludf.DUMMYFUNCTION("if(A533="""","""",substitute(SUBSTITUTE(index(importhtml(""http://finviz.com/quote.ashx?t=""&amp;A533,""table"",10),7,2),""*"",""""),""-"",""0.00""))"),"Loading...")</f>
        <v>Loading...</v>
      </c>
      <c r="L533" s="129">
        <v>1559999.0</v>
      </c>
      <c r="M533" s="99" t="str">
        <f>IFERROR(__xludf.DUMMYFUNCTION("GOOGLEFINANCE(A533,""beta"")"),"#N/A")</f>
        <v>#N/A</v>
      </c>
    </row>
    <row r="534">
      <c r="A534" s="122" t="s">
        <v>1499</v>
      </c>
      <c r="B534" s="123">
        <v>1639068.0</v>
      </c>
      <c r="C534" s="124" t="s">
        <v>1500</v>
      </c>
      <c r="D534" s="125"/>
      <c r="E534" s="126">
        <v>0.06</v>
      </c>
      <c r="F534" s="132"/>
      <c r="G534" s="127"/>
      <c r="H534" s="127"/>
      <c r="I534" s="128"/>
      <c r="K534" s="105" t="str">
        <f>IFERROR(__xludf.DUMMYFUNCTION("if(A534="""","""",substitute(SUBSTITUTE(index(importhtml(""http://finviz.com/quote.ashx?t=""&amp;A534,""table"",10),7,2),""*"",""""),""-"",""0.00""))"),"Loading...")</f>
        <v>Loading...</v>
      </c>
      <c r="L534" s="129">
        <v>1574230.0</v>
      </c>
      <c r="M534" s="99">
        <v>1.02</v>
      </c>
    </row>
    <row r="535">
      <c r="A535" s="122" t="s">
        <v>1501</v>
      </c>
      <c r="B535" s="123">
        <v>1642178.0</v>
      </c>
      <c r="C535" s="124" t="s">
        <v>1502</v>
      </c>
      <c r="D535" s="125"/>
      <c r="E535" s="126">
        <v>0.06</v>
      </c>
      <c r="F535" s="132"/>
      <c r="G535" s="127"/>
      <c r="H535" s="127"/>
      <c r="I535" s="128"/>
      <c r="K535" s="105" t="str">
        <f>IFERROR(__xludf.DUMMYFUNCTION("if(A535="""","""",substitute(SUBSTITUTE(index(importhtml(""http://finviz.com/quote.ashx?t=""&amp;A535,""table"",10),7,2),""*"",""""),""-"",""0.00""))"),"Loading...")</f>
        <v>Loading...</v>
      </c>
      <c r="L535" s="129">
        <v>1695006.0</v>
      </c>
      <c r="M535" s="99">
        <v>0.16</v>
      </c>
    </row>
    <row r="536">
      <c r="A536" s="122" t="s">
        <v>1503</v>
      </c>
      <c r="B536" s="123">
        <v>1649009.0</v>
      </c>
      <c r="C536" s="124" t="s">
        <v>1504</v>
      </c>
      <c r="D536" s="125"/>
      <c r="E536" s="126">
        <v>0.06</v>
      </c>
      <c r="F536" s="132"/>
      <c r="G536" s="127"/>
      <c r="H536" s="127"/>
      <c r="I536" s="128"/>
      <c r="K536" s="105" t="str">
        <f>IFERROR(__xludf.DUMMYFUNCTION("if(A536="""","""",substitute(SUBSTITUTE(index(importhtml(""http://finviz.com/quote.ashx?t=""&amp;A536,""table"",10),7,2),""*"",""""),""-"",""0.00""))"),"Loading...")</f>
        <v>Loading...</v>
      </c>
      <c r="L536" s="129">
        <v>2101780.0</v>
      </c>
      <c r="M536" s="99">
        <v>1.7</v>
      </c>
    </row>
    <row r="537">
      <c r="A537" s="122" t="s">
        <v>1505</v>
      </c>
      <c r="B537" s="123">
        <v>1199392.0</v>
      </c>
      <c r="C537" s="124" t="s">
        <v>1506</v>
      </c>
      <c r="D537" s="125"/>
      <c r="E537" s="126">
        <v>0.06</v>
      </c>
      <c r="F537" s="132"/>
      <c r="G537" s="127"/>
      <c r="H537" s="127"/>
      <c r="I537" s="128"/>
      <c r="K537" s="105" t="str">
        <f>IFERROR(__xludf.DUMMYFUNCTION("if(A537="""","""",substitute(SUBSTITUTE(index(importhtml(""http://finviz.com/quote.ashx?t=""&amp;A537,""table"",10),7,2),""*"",""""),""-"",""0.00""))"),"Loading...")</f>
        <v>Loading...</v>
      </c>
      <c r="L537" s="129">
        <v>2274366.0</v>
      </c>
      <c r="M537" s="99">
        <v>0.4</v>
      </c>
    </row>
    <row r="538">
      <c r="A538" s="122" t="s">
        <v>1507</v>
      </c>
      <c r="B538" s="123">
        <v>1024095.0</v>
      </c>
      <c r="C538" s="124" t="s">
        <v>1508</v>
      </c>
      <c r="D538" s="125"/>
      <c r="E538" s="126">
        <v>0.06</v>
      </c>
      <c r="F538" s="127"/>
      <c r="G538" s="127"/>
      <c r="H538" s="127"/>
      <c r="I538" s="128"/>
      <c r="K538" s="105" t="str">
        <f>IFERROR(__xludf.DUMMYFUNCTION("if(A538="""","""",substitute(SUBSTITUTE(index(importhtml(""http://finviz.com/quote.ashx?t=""&amp;A538,""table"",10),7,2),""*"",""""),""-"",""0.00""))"),"Loading...")</f>
        <v>Loading...</v>
      </c>
      <c r="L538" s="129">
        <v>3210830.0</v>
      </c>
      <c r="M538" s="99" t="str">
        <f>IFERROR(__xludf.DUMMYFUNCTION("GOOGLEFINANCE(A538,""beta"")"),"#N/A")</f>
        <v>#N/A</v>
      </c>
    </row>
    <row r="539">
      <c r="A539" s="122" t="s">
        <v>1509</v>
      </c>
      <c r="B539" s="123">
        <v>1584693.0</v>
      </c>
      <c r="C539" s="124" t="s">
        <v>1510</v>
      </c>
      <c r="D539" s="125"/>
      <c r="E539" s="126">
        <v>0.06</v>
      </c>
      <c r="F539" s="127"/>
      <c r="G539" s="127"/>
      <c r="H539" s="127"/>
      <c r="I539" s="128"/>
      <c r="K539" s="105" t="str">
        <f>IFERROR(__xludf.DUMMYFUNCTION("if(A539="""","""",substitute(SUBSTITUTE(index(importhtml(""http://finviz.com/quote.ashx?t=""&amp;A539,""table"",10),7,2),""*"",""""),""-"",""0.00""))"),"Loading...")</f>
        <v>Loading...</v>
      </c>
      <c r="L539" s="129">
        <v>4090538.0</v>
      </c>
      <c r="M539" s="99">
        <v>1.22</v>
      </c>
    </row>
    <row r="540">
      <c r="A540" s="122" t="s">
        <v>1511</v>
      </c>
      <c r="B540" s="123">
        <v>1122993.0</v>
      </c>
      <c r="C540" s="124" t="s">
        <v>1512</v>
      </c>
      <c r="D540" s="125"/>
      <c r="E540" s="126">
        <v>0.06</v>
      </c>
      <c r="F540" s="127"/>
      <c r="G540" s="127"/>
      <c r="H540" s="127"/>
      <c r="I540" s="128"/>
      <c r="K540" s="105" t="str">
        <f>IFERROR(__xludf.DUMMYFUNCTION("if(A540="""","""",substitute(SUBSTITUTE(index(importhtml(""http://finviz.com/quote.ashx?t=""&amp;A540,""table"",10),7,2),""*"",""""),""-"",""0.00""))"),"Loading...")</f>
        <v>Loading...</v>
      </c>
      <c r="L540" s="129">
        <v>4383188.0</v>
      </c>
      <c r="M540" s="99">
        <v>-0.03</v>
      </c>
    </row>
    <row r="541">
      <c r="A541" s="122" t="s">
        <v>1513</v>
      </c>
      <c r="B541" s="123">
        <v>1603793.0</v>
      </c>
      <c r="C541" s="124" t="s">
        <v>1514</v>
      </c>
      <c r="D541" s="125"/>
      <c r="E541" s="126">
        <v>0.06</v>
      </c>
      <c r="F541" s="127"/>
      <c r="G541" s="127"/>
      <c r="H541" s="127"/>
      <c r="I541" s="128"/>
      <c r="K541" s="105" t="str">
        <f>IFERROR(__xludf.DUMMYFUNCTION("if(A541="""","""",substitute(SUBSTITUTE(index(importhtml(""http://finviz.com/quote.ashx?t=""&amp;A541,""table"",10),7,2),""*"",""""),""-"",""0.00""))"),"Loading...")</f>
        <v>Loading...</v>
      </c>
      <c r="L541" s="129">
        <v>5143980.0</v>
      </c>
      <c r="M541" s="99">
        <v>0.72</v>
      </c>
    </row>
    <row r="542">
      <c r="A542" s="122" t="s">
        <v>1515</v>
      </c>
      <c r="B542" s="123">
        <v>1871737.0</v>
      </c>
      <c r="C542" s="124" t="s">
        <v>1516</v>
      </c>
      <c r="D542" s="125"/>
      <c r="E542" s="126">
        <v>0.06</v>
      </c>
      <c r="F542" s="127"/>
      <c r="G542" s="127"/>
      <c r="H542" s="127"/>
      <c r="I542" s="128"/>
      <c r="K542" s="105" t="str">
        <f>IFERROR(__xludf.DUMMYFUNCTION("if(A542="""","""",substitute(SUBSTITUTE(index(importhtml(""http://finviz.com/quote.ashx?t=""&amp;A542,""table"",10),7,2),""*"",""""),""-"",""0.00""))"),"Loading...")</f>
        <v>Loading...</v>
      </c>
      <c r="L542" s="129">
        <v>5163388.0</v>
      </c>
      <c r="M542" s="99" t="str">
        <f>IFERROR(__xludf.DUMMYFUNCTION("GOOGLEFINANCE(A542,""beta"")"),"#N/A")</f>
        <v>#N/A</v>
      </c>
    </row>
    <row r="543">
      <c r="A543" s="122" t="s">
        <v>1517</v>
      </c>
      <c r="B543" s="123">
        <v>1468492.0</v>
      </c>
      <c r="C543" s="124" t="s">
        <v>1518</v>
      </c>
      <c r="D543" s="125"/>
      <c r="E543" s="126">
        <v>0.06</v>
      </c>
      <c r="F543" s="127"/>
      <c r="G543" s="127"/>
      <c r="H543" s="127"/>
      <c r="I543" s="128"/>
      <c r="K543" s="105" t="str">
        <f>IFERROR(__xludf.DUMMYFUNCTION("if(A543="""","""",substitute(SUBSTITUTE(index(importhtml(""http://finviz.com/quote.ashx?t=""&amp;A543,""table"",10),7,2),""*"",""""),""-"",""0.00""))"),"Loading...")</f>
        <v>Loading...</v>
      </c>
      <c r="L543" s="129">
        <v>8514371.0</v>
      </c>
      <c r="M543" s="99">
        <f>IFERROR(__xludf.DUMMYFUNCTION("GOOGLEFINANCE(A543,""beta"")"),6.67)</f>
        <v>6.67</v>
      </c>
    </row>
    <row r="544">
      <c r="A544" s="122" t="s">
        <v>1519</v>
      </c>
      <c r="B544" s="123">
        <v>1464165.0</v>
      </c>
      <c r="C544" s="124" t="s">
        <v>1520</v>
      </c>
      <c r="D544" s="125"/>
      <c r="E544" s="126">
        <v>0.06</v>
      </c>
      <c r="F544" s="127"/>
      <c r="G544" s="127"/>
      <c r="H544" s="127"/>
      <c r="I544" s="128"/>
      <c r="K544" s="105" t="str">
        <f>IFERROR(__xludf.DUMMYFUNCTION("if(A544="""","""",substitute(SUBSTITUTE(index(importhtml(""http://finviz.com/quote.ashx?t=""&amp;A544,""table"",10),7,2),""*"",""""),""-"",""0.00""))"),"Loading...")</f>
        <v>Loading...</v>
      </c>
      <c r="L544" s="129">
        <v>9675142.0</v>
      </c>
      <c r="M544" s="99">
        <v>2.42</v>
      </c>
    </row>
    <row r="545">
      <c r="A545" s="122" t="s">
        <v>1521</v>
      </c>
      <c r="B545" s="123">
        <v>1080657.0</v>
      </c>
      <c r="C545" s="124" t="s">
        <v>1522</v>
      </c>
      <c r="D545" s="125"/>
      <c r="E545" s="126">
        <v>0.06</v>
      </c>
      <c r="F545" s="127"/>
      <c r="G545" s="127"/>
      <c r="H545" s="127"/>
      <c r="I545" s="128"/>
      <c r="K545" s="105" t="str">
        <f>IFERROR(__xludf.DUMMYFUNCTION("if(A545="""","""",substitute(SUBSTITUTE(index(importhtml(""http://finviz.com/quote.ashx?t=""&amp;A545,""table"",10),7,2),""*"",""""),""-"",""0.00""))"),"Loading...")</f>
        <v>Loading...</v>
      </c>
      <c r="L545" s="129">
        <v>1.3854474E7</v>
      </c>
      <c r="M545" s="99">
        <f>IFERROR(__xludf.DUMMYFUNCTION("GOOGLEFINANCE(A545,""beta"")"),1.75)</f>
        <v>1.75</v>
      </c>
    </row>
    <row r="546">
      <c r="A546" s="122" t="s">
        <v>1523</v>
      </c>
      <c r="B546" s="123">
        <v>1318482.0</v>
      </c>
      <c r="C546" s="124" t="s">
        <v>1524</v>
      </c>
      <c r="D546" s="125"/>
      <c r="E546" s="126">
        <v>0.06</v>
      </c>
      <c r="F546" s="127"/>
      <c r="G546" s="127"/>
      <c r="H546" s="127"/>
      <c r="I546" s="128"/>
      <c r="K546" s="105" t="str">
        <f>IFERROR(__xludf.DUMMYFUNCTION("if(A546="""","""",substitute(SUBSTITUTE(index(importhtml(""http://finviz.com/quote.ashx?t=""&amp;A546,""table"",10),7,2),""*"",""""),""-"",""0.00""))"),"Loading...")</f>
        <v>Loading...</v>
      </c>
      <c r="L546" s="129">
        <v>1.4443494E7</v>
      </c>
      <c r="M546" s="99">
        <v>0.67</v>
      </c>
    </row>
    <row r="547">
      <c r="A547" s="122" t="s">
        <v>1525</v>
      </c>
      <c r="B547" s="123">
        <v>1624326.0</v>
      </c>
      <c r="C547" s="124" t="s">
        <v>1526</v>
      </c>
      <c r="D547" s="125"/>
      <c r="E547" s="126">
        <v>0.06</v>
      </c>
      <c r="F547" s="127"/>
      <c r="G547" s="127"/>
      <c r="H547" s="127"/>
      <c r="I547" s="128"/>
      <c r="K547" s="105" t="str">
        <f>IFERROR(__xludf.DUMMYFUNCTION("if(A547="""","""",substitute(SUBSTITUTE(index(importhtml(""http://finviz.com/quote.ashx?t=""&amp;A547,""table"",10),7,2),""*"",""""),""-"",""0.00""))"),"Loading...")</f>
        <v>Loading...</v>
      </c>
      <c r="L547" s="129">
        <v>1.6423344E7</v>
      </c>
      <c r="M547" s="99">
        <v>0.8</v>
      </c>
    </row>
    <row r="548">
      <c r="A548" s="122" t="s">
        <v>1527</v>
      </c>
      <c r="B548" s="123">
        <v>1627014.0</v>
      </c>
      <c r="C548" s="124" t="s">
        <v>1528</v>
      </c>
      <c r="D548" s="125"/>
      <c r="E548" s="126">
        <v>0.06</v>
      </c>
      <c r="F548" s="127"/>
      <c r="G548" s="127"/>
      <c r="H548" s="127"/>
      <c r="I548" s="128"/>
      <c r="K548" s="105" t="str">
        <f>IFERROR(__xludf.DUMMYFUNCTION("if(A548="""","""",substitute(SUBSTITUTE(index(importhtml(""http://finviz.com/quote.ashx?t=""&amp;A548,""table"",10),7,2),""*"",""""),""-"",""0.00""))"),"Loading...")</f>
        <v>Loading...</v>
      </c>
      <c r="L548" s="129">
        <v>1.6726627E7</v>
      </c>
      <c r="M548" s="99">
        <v>1.71</v>
      </c>
    </row>
    <row r="549">
      <c r="A549" s="122" t="s">
        <v>1529</v>
      </c>
      <c r="B549" s="123">
        <v>1783036.0</v>
      </c>
      <c r="C549" s="124" t="s">
        <v>1530</v>
      </c>
      <c r="D549" s="125"/>
      <c r="E549" s="126">
        <v>0.06</v>
      </c>
      <c r="F549" s="127"/>
      <c r="G549" s="127"/>
      <c r="H549" s="127"/>
      <c r="I549" s="128"/>
      <c r="K549" s="105" t="str">
        <f>IFERROR(__xludf.DUMMYFUNCTION("if(A549="""","""",substitute(SUBSTITUTE(index(importhtml(""http://finviz.com/quote.ashx?t=""&amp;A549,""table"",10),7,2),""*"",""""),""-"",""0.00""))"),"Loading...")</f>
        <v>Loading...</v>
      </c>
      <c r="L549" s="129">
        <v>1.7479172E7</v>
      </c>
      <c r="M549" s="99">
        <v>-1.41</v>
      </c>
    </row>
    <row r="550">
      <c r="A550" s="122" t="s">
        <v>1531</v>
      </c>
      <c r="B550" s="123">
        <v>1449349.0</v>
      </c>
      <c r="C550" s="124" t="s">
        <v>1532</v>
      </c>
      <c r="D550" s="125"/>
      <c r="E550" s="126">
        <v>0.06</v>
      </c>
      <c r="F550" s="127"/>
      <c r="G550" s="127"/>
      <c r="H550" s="127"/>
      <c r="I550" s="128"/>
      <c r="K550" s="105" t="str">
        <f>IFERROR(__xludf.DUMMYFUNCTION("if(A550="""","""",substitute(SUBSTITUTE(index(importhtml(""http://finviz.com/quote.ashx?t=""&amp;A550,""table"",10),7,2),""*"",""""),""-"",""0.00""))"),"#N/A")</f>
        <v>#N/A</v>
      </c>
      <c r="L550" s="129">
        <v>2.080044E7</v>
      </c>
      <c r="M550" s="99">
        <v>3.1</v>
      </c>
    </row>
    <row r="551">
      <c r="A551" s="122" t="s">
        <v>1533</v>
      </c>
      <c r="B551" s="123">
        <v>1339688.0</v>
      </c>
      <c r="C551" s="124" t="s">
        <v>1534</v>
      </c>
      <c r="D551" s="125"/>
      <c r="E551" s="126">
        <v>0.06</v>
      </c>
      <c r="F551" s="127"/>
      <c r="G551" s="127"/>
      <c r="H551" s="127"/>
      <c r="I551" s="128"/>
      <c r="K551" s="105" t="str">
        <f>IFERROR(__xludf.DUMMYFUNCTION("if(A551="""","""",substitute(SUBSTITUTE(index(importhtml(""http://finviz.com/quote.ashx?t=""&amp;A551,""table"",10),7,2),""*"",""""),""-"",""0.00""))"),"Loading...")</f>
        <v>Loading...</v>
      </c>
      <c r="L551" s="129">
        <v>2.1773528E7</v>
      </c>
      <c r="M551" s="99">
        <v>0.68</v>
      </c>
    </row>
    <row r="552">
      <c r="A552" s="122" t="s">
        <v>1535</v>
      </c>
      <c r="B552" s="123">
        <v>1686000.0</v>
      </c>
      <c r="C552" s="124" t="s">
        <v>1536</v>
      </c>
      <c r="D552" s="125"/>
      <c r="E552" s="126">
        <v>0.06</v>
      </c>
      <c r="F552" s="127"/>
      <c r="G552" s="127"/>
      <c r="H552" s="127"/>
      <c r="I552" s="128"/>
      <c r="K552" s="105" t="str">
        <f>IFERROR(__xludf.DUMMYFUNCTION("if(A552="""","""",substitute(SUBSTITUTE(index(importhtml(""http://finviz.com/quote.ashx?t=""&amp;A552,""table"",10),7,2),""*"",""""),""-"",""0.00""))"),"Loading...")</f>
        <v>Loading...</v>
      </c>
      <c r="L552" s="129">
        <v>2.180382E7</v>
      </c>
      <c r="M552" s="99">
        <v>0.29</v>
      </c>
    </row>
    <row r="553">
      <c r="A553" s="122" t="s">
        <v>1537</v>
      </c>
      <c r="B553" s="123">
        <v>1463978.0</v>
      </c>
      <c r="C553" s="124" t="s">
        <v>1538</v>
      </c>
      <c r="D553" s="125"/>
      <c r="E553" s="126">
        <v>0.06</v>
      </c>
      <c r="F553" s="127"/>
      <c r="G553" s="127"/>
      <c r="H553" s="127"/>
      <c r="I553" s="128"/>
      <c r="K553" s="105" t="str">
        <f>IFERROR(__xludf.DUMMYFUNCTION("if(A553="""","""",substitute(SUBSTITUTE(index(importhtml(""http://finviz.com/quote.ashx?t=""&amp;A553,""table"",10),7,2),""*"",""""),""-"",""0.00""))"),"#N/A")</f>
        <v>#N/A</v>
      </c>
      <c r="L553" s="129">
        <v>2.2070649E7</v>
      </c>
      <c r="M553" s="99">
        <v>1.82</v>
      </c>
    </row>
    <row r="554">
      <c r="A554" s="122" t="s">
        <v>1539</v>
      </c>
      <c r="B554" s="123">
        <v>312070.0</v>
      </c>
      <c r="C554" s="124" t="s">
        <v>1540</v>
      </c>
      <c r="D554" s="125"/>
      <c r="E554" s="126">
        <v>0.06</v>
      </c>
      <c r="F554" s="127"/>
      <c r="G554" s="127"/>
      <c r="H554" s="127"/>
      <c r="I554" s="128"/>
      <c r="K554" s="105" t="str">
        <f>IFERROR(__xludf.DUMMYFUNCTION("if(A554="""","""",substitute(SUBSTITUTE(index(importhtml(""http://finviz.com/quote.ashx?t=""&amp;A554,""table"",10),7,2),""*"",""""),""-"",""0.00""))"),"Loading...")</f>
        <v>Loading...</v>
      </c>
      <c r="L554" s="129">
        <v>2.6984885E7</v>
      </c>
      <c r="M554" s="99">
        <v>0.53</v>
      </c>
    </row>
    <row r="555">
      <c r="A555" s="122" t="s">
        <v>1541</v>
      </c>
      <c r="B555" s="123">
        <v>1131312.0</v>
      </c>
      <c r="C555" s="124" t="s">
        <v>1542</v>
      </c>
      <c r="D555" s="125"/>
      <c r="E555" s="126">
        <v>0.06</v>
      </c>
      <c r="F555" s="127"/>
      <c r="G555" s="127"/>
      <c r="H555" s="127"/>
      <c r="I555" s="128"/>
      <c r="K555" s="105" t="str">
        <f>IFERROR(__xludf.DUMMYFUNCTION("if(A555="""","""",substitute(SUBSTITUTE(index(importhtml(""http://finviz.com/quote.ashx?t=""&amp;A555,""table"",10),7,2),""*"",""""),""-"",""0.00""))"),"Loading...")</f>
        <v>Loading...</v>
      </c>
      <c r="L555" s="129">
        <v>3.8348218E7</v>
      </c>
      <c r="M555" s="99">
        <v>0.85</v>
      </c>
    </row>
    <row r="556">
      <c r="A556" s="122" t="s">
        <v>1543</v>
      </c>
      <c r="B556" s="123">
        <v>1141240.0</v>
      </c>
      <c r="C556" s="124" t="s">
        <v>1544</v>
      </c>
      <c r="D556" s="125"/>
      <c r="E556" s="126">
        <v>0.06</v>
      </c>
      <c r="F556" s="127"/>
      <c r="G556" s="127"/>
      <c r="H556" s="127"/>
      <c r="I556" s="128"/>
      <c r="K556" s="105" t="str">
        <f>IFERROR(__xludf.DUMMYFUNCTION("if(A556="""","""",substitute(SUBSTITUTE(index(importhtml(""http://finviz.com/quote.ashx?t=""&amp;A556,""table"",10),7,2),""*"",""""),""-"",""0.00""))"),"Loading...")</f>
        <v>Loading...</v>
      </c>
      <c r="L556" s="129">
        <v>5.337988E7</v>
      </c>
      <c r="M556" s="99">
        <v>1.23</v>
      </c>
    </row>
    <row r="557">
      <c r="A557" s="122" t="s">
        <v>1545</v>
      </c>
      <c r="B557" s="123">
        <v>1866838.0</v>
      </c>
      <c r="C557" s="124" t="s">
        <v>1546</v>
      </c>
      <c r="D557" s="125"/>
      <c r="E557" s="126">
        <v>0.06</v>
      </c>
      <c r="F557" s="127"/>
      <c r="G557" s="127"/>
      <c r="H557" s="127"/>
      <c r="I557" s="128"/>
      <c r="K557" s="105" t="str">
        <f>IFERROR(__xludf.DUMMYFUNCTION("if(A557="""","""",substitute(SUBSTITUTE(index(importhtml(""http://finviz.com/quote.ashx?t=""&amp;A557,""table"",10),7,2),""*"",""""),""-"",""0.00""))"),"Loading...")</f>
        <v>Loading...</v>
      </c>
      <c r="L557" s="129">
        <v>6.035462E7</v>
      </c>
      <c r="M557" s="99">
        <f>IFERROR(__xludf.DUMMYFUNCTION("GOOGLEFINANCE(A557,""beta"")"),-1.72)</f>
        <v>-1.72</v>
      </c>
    </row>
    <row r="558">
      <c r="A558" s="122" t="s">
        <v>1547</v>
      </c>
      <c r="B558" s="123">
        <v>1838000.0</v>
      </c>
      <c r="C558" s="124" t="s">
        <v>1548</v>
      </c>
      <c r="D558" s="125"/>
      <c r="E558" s="126">
        <v>0.06</v>
      </c>
      <c r="F558" s="127"/>
      <c r="G558" s="127"/>
      <c r="H558" s="127"/>
      <c r="I558" s="128"/>
      <c r="K558" s="105" t="str">
        <f>IFERROR(__xludf.DUMMYFUNCTION("if(A558="""","""",substitute(SUBSTITUTE(index(importhtml(""http://finviz.com/quote.ashx?t=""&amp;A558,""table"",10),7,2),""*"",""""),""-"",""0.00""))"),"Loading...")</f>
        <v>Loading...</v>
      </c>
      <c r="L558" s="129">
        <v>7.369235E7</v>
      </c>
      <c r="M558" s="99" t="str">
        <f>IFERROR(__xludf.DUMMYFUNCTION("GOOGLEFINANCE(A558,""beta"")"),"#N/A")</f>
        <v>#N/A</v>
      </c>
    </row>
    <row r="559">
      <c r="A559" s="122" t="s">
        <v>1549</v>
      </c>
      <c r="B559" s="123">
        <v>1848437.0</v>
      </c>
      <c r="C559" s="124" t="s">
        <v>1550</v>
      </c>
      <c r="D559" s="125"/>
      <c r="E559" s="126">
        <v>0.06</v>
      </c>
      <c r="F559" s="127"/>
      <c r="G559" s="127"/>
      <c r="H559" s="127"/>
      <c r="I559" s="128"/>
      <c r="K559" s="105" t="str">
        <f>IFERROR(__xludf.DUMMYFUNCTION("if(A559="""","""",substitute(SUBSTITUTE(index(importhtml(""http://finviz.com/quote.ashx?t=""&amp;A559,""table"",10),7,2),""*"",""""),""-"",""0.00""))"),"Loading...")</f>
        <v>Loading...</v>
      </c>
      <c r="L559" s="129">
        <v>1.09708189E8</v>
      </c>
      <c r="M559" s="99" t="str">
        <f>IFERROR(__xludf.DUMMYFUNCTION("GOOGLEFINANCE(A559,""beta"")"),"#N/A")</f>
        <v>#N/A</v>
      </c>
    </row>
    <row r="560">
      <c r="A560" s="122" t="s">
        <v>1551</v>
      </c>
      <c r="B560" s="123">
        <v>1346917.0</v>
      </c>
      <c r="C560" s="124" t="s">
        <v>1552</v>
      </c>
      <c r="D560" s="125"/>
      <c r="E560" s="126">
        <v>0.06</v>
      </c>
      <c r="F560" s="127"/>
      <c r="G560" s="127"/>
      <c r="H560" s="127"/>
      <c r="I560" s="128"/>
      <c r="K560" s="105" t="str">
        <f>IFERROR(__xludf.DUMMYFUNCTION("if(A560="""","""",substitute(SUBSTITUTE(index(importhtml(""http://finviz.com/quote.ashx?t=""&amp;A560,""table"",10),7,2),""*"",""""),""-"",""0.00""))"),"Loading...")</f>
        <v>Loading...</v>
      </c>
      <c r="L560" s="129" t="e">
        <v>#N/A</v>
      </c>
      <c r="M560" s="99">
        <v>1.14</v>
      </c>
    </row>
    <row r="561">
      <c r="A561" s="122" t="s">
        <v>1553</v>
      </c>
      <c r="B561" s="123">
        <v>1481585.0</v>
      </c>
      <c r="C561" s="124" t="s">
        <v>1554</v>
      </c>
      <c r="D561" s="125"/>
      <c r="E561" s="126">
        <v>0.06</v>
      </c>
      <c r="F561" s="127"/>
      <c r="G561" s="127"/>
      <c r="H561" s="127"/>
      <c r="I561" s="128"/>
      <c r="K561" s="105" t="str">
        <f>IFERROR(__xludf.DUMMYFUNCTION("if(A561="""","""",substitute(SUBSTITUTE(index(importhtml(""http://finviz.com/quote.ashx?t=""&amp;A561,""table"",10),7,2),""*"",""""),""-"",""0.00""))"),"#N/A")</f>
        <v>#N/A</v>
      </c>
      <c r="L561" s="129" t="e">
        <v>#N/A</v>
      </c>
      <c r="M561" s="99">
        <v>1.62</v>
      </c>
    </row>
    <row r="562">
      <c r="A562" s="122" t="s">
        <v>1555</v>
      </c>
      <c r="B562" s="123">
        <v>894501.0</v>
      </c>
      <c r="C562" s="124" t="s">
        <v>1556</v>
      </c>
      <c r="D562" s="125"/>
      <c r="E562" s="126">
        <v>0.06</v>
      </c>
      <c r="F562" s="127"/>
      <c r="G562" s="127"/>
      <c r="H562" s="127"/>
      <c r="I562" s="128"/>
      <c r="K562" s="105" t="str">
        <f>IFERROR(__xludf.DUMMYFUNCTION("if(A562="""","""",substitute(SUBSTITUTE(index(importhtml(""http://finviz.com/quote.ashx?t=""&amp;A562,""table"",10),7,2),""*"",""""),""-"",""0.00""))"),"Loading...")</f>
        <v>Loading...</v>
      </c>
      <c r="L562" s="129" t="e">
        <v>#N/A</v>
      </c>
      <c r="M562" s="99" t="e">
        <v>#N/A</v>
      </c>
    </row>
    <row r="563">
      <c r="A563" s="122" t="s">
        <v>1557</v>
      </c>
      <c r="B563" s="123">
        <v>944314.0</v>
      </c>
      <c r="C563" s="124" t="s">
        <v>1558</v>
      </c>
      <c r="D563" s="125"/>
      <c r="E563" s="126">
        <v>0.06</v>
      </c>
      <c r="F563" s="127"/>
      <c r="G563" s="127"/>
      <c r="H563" s="127"/>
      <c r="I563" s="128"/>
      <c r="K563" s="105" t="str">
        <f>IFERROR(__xludf.DUMMYFUNCTION("if(A563="""","""",substitute(SUBSTITUTE(index(importhtml(""http://finviz.com/quote.ashx?t=""&amp;A563,""table"",10),7,2),""*"",""""),""-"",""0.00""))"),"Loading...")</f>
        <v>Loading...</v>
      </c>
      <c r="L563" s="129" t="e">
        <v>#N/A</v>
      </c>
      <c r="M563" s="99" t="e">
        <v>#N/A</v>
      </c>
    </row>
    <row r="564">
      <c r="A564" s="122" t="s">
        <v>1559</v>
      </c>
      <c r="B564" s="123">
        <v>1894057.0</v>
      </c>
      <c r="C564" s="124" t="s">
        <v>1560</v>
      </c>
      <c r="D564" s="125"/>
      <c r="E564" s="126">
        <v>0.06</v>
      </c>
      <c r="F564" s="127"/>
      <c r="G564" s="127"/>
      <c r="H564" s="127"/>
      <c r="I564" s="128"/>
      <c r="K564" s="105" t="str">
        <f>IFERROR(__xludf.DUMMYFUNCTION("if(A564="""","""",substitute(SUBSTITUTE(index(importhtml(""http://finviz.com/quote.ashx?t=""&amp;A564,""table"",10),7,2),""*"",""""),""-"",""0.00""))"),"Loading...")</f>
        <v>Loading...</v>
      </c>
      <c r="L564" s="129" t="e">
        <v>#N/A</v>
      </c>
      <c r="M564" s="99" t="e">
        <v>#N/A</v>
      </c>
    </row>
    <row r="565">
      <c r="A565" s="122" t="s">
        <v>1561</v>
      </c>
      <c r="B565" s="123">
        <v>1750777.0</v>
      </c>
      <c r="C565" s="124" t="s">
        <v>1562</v>
      </c>
      <c r="D565" s="125"/>
      <c r="E565" s="126">
        <v>0.07</v>
      </c>
      <c r="F565" s="127"/>
      <c r="G565" s="127"/>
      <c r="H565" s="127"/>
      <c r="I565" s="128"/>
      <c r="K565" s="105" t="str">
        <f>IFERROR(__xludf.DUMMYFUNCTION("if(A565="""","""",substitute(SUBSTITUTE(index(importhtml(""http://finviz.com/quote.ashx?t=""&amp;A565,""table"",10),7,2),""*"",""""),""-"",""0.00""))"),"Loading...")</f>
        <v>Loading...</v>
      </c>
      <c r="L565" s="129">
        <v>393240.0</v>
      </c>
      <c r="M565" s="99">
        <v>0.04</v>
      </c>
    </row>
    <row r="566">
      <c r="A566" s="122" t="s">
        <v>1563</v>
      </c>
      <c r="B566" s="123">
        <v>1416697.0</v>
      </c>
      <c r="C566" s="124" t="s">
        <v>1564</v>
      </c>
      <c r="D566" s="125"/>
      <c r="E566" s="126">
        <v>0.07</v>
      </c>
      <c r="F566" s="127"/>
      <c r="G566" s="127"/>
      <c r="H566" s="127"/>
      <c r="I566" s="128"/>
      <c r="K566" s="105" t="str">
        <f>IFERROR(__xludf.DUMMYFUNCTION("if(A566="""","""",substitute(SUBSTITUTE(index(importhtml(""http://finviz.com/quote.ashx?t=""&amp;A566,""table"",10),7,2),""*"",""""),""-"",""0.00""))"),"Loading...")</f>
        <v>Loading...</v>
      </c>
      <c r="L566" s="129">
        <v>519636.0</v>
      </c>
      <c r="M566" s="99">
        <v>3.46</v>
      </c>
    </row>
    <row r="567">
      <c r="A567" s="122" t="s">
        <v>1565</v>
      </c>
      <c r="B567" s="123">
        <v>1857662.0</v>
      </c>
      <c r="C567" s="124" t="s">
        <v>1566</v>
      </c>
      <c r="D567" s="125"/>
      <c r="E567" s="126">
        <v>0.07</v>
      </c>
      <c r="F567" s="127"/>
      <c r="G567" s="127"/>
      <c r="H567" s="127"/>
      <c r="I567" s="128"/>
      <c r="K567" s="105" t="str">
        <f>IFERROR(__xludf.DUMMYFUNCTION("if(A567="""","""",substitute(SUBSTITUTE(index(importhtml(""http://finviz.com/quote.ashx?t=""&amp;A567,""table"",10),7,2),""*"",""""),""-"",""0.00""))"),"Loading...")</f>
        <v>Loading...</v>
      </c>
      <c r="L567" s="129">
        <v>1383200.0</v>
      </c>
      <c r="M567" s="99" t="str">
        <f>IFERROR(__xludf.DUMMYFUNCTION("GOOGLEFINANCE(A567,""beta"")"),"#N/A")</f>
        <v>#N/A</v>
      </c>
    </row>
    <row r="568">
      <c r="A568" s="122" t="s">
        <v>1567</v>
      </c>
      <c r="B568" s="123">
        <v>1876042.0</v>
      </c>
      <c r="C568" s="124" t="s">
        <v>1568</v>
      </c>
      <c r="D568" s="125"/>
      <c r="E568" s="126">
        <v>0.07</v>
      </c>
      <c r="F568" s="127"/>
      <c r="G568" s="127"/>
      <c r="H568" s="127"/>
      <c r="I568" s="128"/>
      <c r="K568" s="105" t="str">
        <f>IFERROR(__xludf.DUMMYFUNCTION("if(A568="""","""",substitute(SUBSTITUTE(index(importhtml(""http://finviz.com/quote.ashx?t=""&amp;A568,""table"",10),7,2),""*"",""""),""-"",""0.00""))"),"Loading...")</f>
        <v>Loading...</v>
      </c>
      <c r="L568" s="129">
        <v>1586570.0</v>
      </c>
      <c r="M568" s="99" t="str">
        <f>IFERROR(__xludf.DUMMYFUNCTION("GOOGLEFINANCE(A568,""beta"")"),"#N/A")</f>
        <v>#N/A</v>
      </c>
    </row>
    <row r="569">
      <c r="A569" s="122" t="s">
        <v>1569</v>
      </c>
      <c r="B569" s="123">
        <v>873612.0</v>
      </c>
      <c r="C569" s="124" t="s">
        <v>1570</v>
      </c>
      <c r="D569" s="125"/>
      <c r="E569" s="126">
        <v>0.07</v>
      </c>
      <c r="F569" s="127"/>
      <c r="G569" s="127"/>
      <c r="H569" s="127"/>
      <c r="I569" s="128"/>
      <c r="K569" s="105" t="str">
        <f>IFERROR(__xludf.DUMMYFUNCTION("if(A569="""","""",substitute(SUBSTITUTE(index(importhtml(""http://finviz.com/quote.ashx?t=""&amp;A569,""table"",10),7,2),""*"",""""),""-"",""0.00""))"),"Loading...")</f>
        <v>Loading...</v>
      </c>
      <c r="L569" s="129">
        <v>1591180.0</v>
      </c>
      <c r="M569" s="99">
        <v>0.78</v>
      </c>
    </row>
    <row r="570">
      <c r="A570" s="122" t="s">
        <v>1571</v>
      </c>
      <c r="B570" s="123">
        <v>1399855.0</v>
      </c>
      <c r="C570" s="124" t="s">
        <v>1572</v>
      </c>
      <c r="D570" s="125"/>
      <c r="E570" s="126">
        <v>0.07</v>
      </c>
      <c r="F570" s="127"/>
      <c r="G570" s="127"/>
      <c r="H570" s="127"/>
      <c r="I570" s="128"/>
      <c r="K570" s="105" t="str">
        <f>IFERROR(__xludf.DUMMYFUNCTION("if(A570="""","""",substitute(SUBSTITUTE(index(importhtml(""http://finviz.com/quote.ashx?t=""&amp;A570,""table"",10),7,2),""*"",""""),""-"",""0.00""))"),"Loading...")</f>
        <v>Loading...</v>
      </c>
      <c r="L570" s="129">
        <v>1744983.0</v>
      </c>
      <c r="M570" s="99">
        <v>0.98</v>
      </c>
    </row>
    <row r="571">
      <c r="A571" s="122" t="s">
        <v>1573</v>
      </c>
      <c r="B571" s="123">
        <v>1511161.0</v>
      </c>
      <c r="C571" s="124" t="s">
        <v>1574</v>
      </c>
      <c r="D571" s="125"/>
      <c r="E571" s="126">
        <v>0.07</v>
      </c>
      <c r="F571" s="127"/>
      <c r="G571" s="127"/>
      <c r="H571" s="127"/>
      <c r="I571" s="128"/>
      <c r="K571" s="105" t="str">
        <f>IFERROR(__xludf.DUMMYFUNCTION("if(A571="""","""",substitute(SUBSTITUTE(index(importhtml(""http://finviz.com/quote.ashx?t=""&amp;A571,""table"",10),7,2),""*"",""""),""-"",""0.00""))"),"Loading...")</f>
        <v>Loading...</v>
      </c>
      <c r="L571" s="129">
        <v>2034112.0</v>
      </c>
      <c r="M571" s="99">
        <v>0.89</v>
      </c>
    </row>
    <row r="572">
      <c r="A572" s="122" t="s">
        <v>1575</v>
      </c>
      <c r="B572" s="123">
        <v>1726317.0</v>
      </c>
      <c r="C572" s="124" t="s">
        <v>1576</v>
      </c>
      <c r="D572" s="125"/>
      <c r="E572" s="126">
        <v>0.07</v>
      </c>
      <c r="F572" s="127"/>
      <c r="G572" s="127"/>
      <c r="H572" s="127"/>
      <c r="I572" s="128"/>
      <c r="K572" s="105" t="str">
        <f>IFERROR(__xludf.DUMMYFUNCTION("if(A572="""","""",substitute(SUBSTITUTE(index(importhtml(""http://finviz.com/quote.ashx?t=""&amp;A572,""table"",10),7,2),""*"",""""),""-"",""0.00""))"),"Loading...")</f>
        <v>Loading...</v>
      </c>
      <c r="L572" s="129">
        <v>2250189.0</v>
      </c>
      <c r="M572" s="99">
        <v>5.03</v>
      </c>
    </row>
    <row r="573">
      <c r="A573" s="122" t="s">
        <v>1577</v>
      </c>
      <c r="B573" s="123">
        <v>1825452.0</v>
      </c>
      <c r="C573" s="124" t="s">
        <v>1578</v>
      </c>
      <c r="D573" s="125"/>
      <c r="E573" s="126">
        <v>0.07</v>
      </c>
      <c r="F573" s="127"/>
      <c r="G573" s="127"/>
      <c r="H573" s="127"/>
      <c r="I573" s="128"/>
      <c r="K573" s="105" t="str">
        <f>IFERROR(__xludf.DUMMYFUNCTION("if(A573="""","""",substitute(SUBSTITUTE(index(importhtml(""http://finviz.com/quote.ashx?t=""&amp;A573,""table"",10),7,2),""*"",""""),""-"",""0.00""))"),"Loading...")</f>
        <v>Loading...</v>
      </c>
      <c r="L573" s="129">
        <v>2581640.0</v>
      </c>
      <c r="M573" s="99">
        <f>IFERROR(__xludf.DUMMYFUNCTION("GOOGLEFINANCE(A573,""beta"")"),2.24)</f>
        <v>2.24</v>
      </c>
    </row>
    <row r="574">
      <c r="A574" s="122" t="s">
        <v>1579</v>
      </c>
      <c r="B574" s="123">
        <v>1927077.0</v>
      </c>
      <c r="C574" s="124" t="s">
        <v>1580</v>
      </c>
      <c r="D574" s="125"/>
      <c r="E574" s="126">
        <v>0.07</v>
      </c>
      <c r="F574" s="127"/>
      <c r="G574" s="127"/>
      <c r="H574" s="127"/>
      <c r="I574" s="128"/>
      <c r="K574" s="105" t="str">
        <f>IFERROR(__xludf.DUMMYFUNCTION("if(A574="""","""",substitute(SUBSTITUTE(index(importhtml(""http://finviz.com/quote.ashx?t=""&amp;A574,""table"",10),7,2),""*"",""""),""-"",""0.00""))"),"Loading...")</f>
        <v>Loading...</v>
      </c>
      <c r="L574" s="129">
        <v>2890092.0</v>
      </c>
      <c r="M574" s="99">
        <f>IFERROR(__xludf.DUMMYFUNCTION("GOOGLEFINANCE(A574,""beta"")"),-2.2)</f>
        <v>-2.2</v>
      </c>
    </row>
    <row r="575">
      <c r="A575" s="122" t="s">
        <v>1581</v>
      </c>
      <c r="B575" s="123">
        <v>1815632.0</v>
      </c>
      <c r="C575" s="124" t="s">
        <v>1582</v>
      </c>
      <c r="D575" s="125"/>
      <c r="E575" s="126">
        <v>0.07</v>
      </c>
      <c r="F575" s="127"/>
      <c r="G575" s="127"/>
      <c r="H575" s="127"/>
      <c r="I575" s="128"/>
      <c r="K575" s="105" t="str">
        <f>IFERROR(__xludf.DUMMYFUNCTION("if(A575="""","""",substitute(SUBSTITUTE(index(importhtml(""http://finviz.com/quote.ashx?t=""&amp;A575,""table"",10),7,2),""*"",""""),""-"",""0.00""))"),"Loading...")</f>
        <v>Loading...</v>
      </c>
      <c r="L575" s="129">
        <v>3764359.0</v>
      </c>
      <c r="M575" s="99">
        <f>IFERROR(__xludf.DUMMYFUNCTION("GOOGLEFINANCE(A575,""beta"")"),0.87)</f>
        <v>0.87</v>
      </c>
    </row>
    <row r="576">
      <c r="A576" s="122" t="s">
        <v>1583</v>
      </c>
      <c r="B576" s="123">
        <v>1885408.0</v>
      </c>
      <c r="C576" s="124" t="s">
        <v>1584</v>
      </c>
      <c r="D576" s="125"/>
      <c r="E576" s="126">
        <v>0.07</v>
      </c>
      <c r="F576" s="127"/>
      <c r="G576" s="127"/>
      <c r="H576" s="127"/>
      <c r="I576" s="128"/>
      <c r="K576" s="105" t="str">
        <f>IFERROR(__xludf.DUMMYFUNCTION("if(A576="""","""",substitute(SUBSTITUTE(index(importhtml(""http://finviz.com/quote.ashx?t=""&amp;A576,""table"",10),7,2),""*"",""""),""-"",""0.00""))"),"Loading...")</f>
        <v>Loading...</v>
      </c>
      <c r="L576" s="129">
        <v>3816064.0</v>
      </c>
      <c r="M576" s="99">
        <f>IFERROR(__xludf.DUMMYFUNCTION("GOOGLEFINANCE(A576,""beta"")"),0.52)</f>
        <v>0.52</v>
      </c>
    </row>
    <row r="577">
      <c r="A577" s="122" t="s">
        <v>1585</v>
      </c>
      <c r="B577" s="123">
        <v>837465.0</v>
      </c>
      <c r="C577" s="124" t="s">
        <v>1586</v>
      </c>
      <c r="D577" s="125"/>
      <c r="E577" s="126">
        <v>0.07</v>
      </c>
      <c r="F577" s="127"/>
      <c r="G577" s="127"/>
      <c r="H577" s="127"/>
      <c r="I577" s="128"/>
      <c r="K577" s="105" t="str">
        <f>IFERROR(__xludf.DUMMYFUNCTION("if(A577="""","""",substitute(SUBSTITUTE(index(importhtml(""http://finviz.com/quote.ashx?t=""&amp;A577,""table"",10),7,2),""*"",""""),""-"",""0.00""))"),"Loading...")</f>
        <v>Loading...</v>
      </c>
      <c r="L577" s="129">
        <v>4431918.0</v>
      </c>
      <c r="M577" s="99">
        <v>0.07</v>
      </c>
    </row>
    <row r="578">
      <c r="A578" s="122" t="s">
        <v>1587</v>
      </c>
      <c r="B578" s="123">
        <v>1335105.0</v>
      </c>
      <c r="C578" s="124" t="s">
        <v>1588</v>
      </c>
      <c r="D578" s="125"/>
      <c r="E578" s="126">
        <v>0.07</v>
      </c>
      <c r="F578" s="127"/>
      <c r="G578" s="127"/>
      <c r="H578" s="127"/>
      <c r="I578" s="128"/>
      <c r="K578" s="105" t="str">
        <f>IFERROR(__xludf.DUMMYFUNCTION("if(A578="""","""",substitute(SUBSTITUTE(index(importhtml(""http://finviz.com/quote.ashx?t=""&amp;A578,""table"",10),7,2),""*"",""""),""-"",""0.00""))"),"Loading...")</f>
        <v>Loading...</v>
      </c>
      <c r="L578" s="129">
        <v>4611038.0</v>
      </c>
      <c r="M578" s="99">
        <v>2.67</v>
      </c>
    </row>
    <row r="579">
      <c r="A579" s="122" t="s">
        <v>1589</v>
      </c>
      <c r="B579" s="123">
        <v>1710138.0</v>
      </c>
      <c r="C579" s="124" t="s">
        <v>1590</v>
      </c>
      <c r="D579" s="125"/>
      <c r="E579" s="126">
        <v>0.07</v>
      </c>
      <c r="F579" s="127"/>
      <c r="G579" s="127"/>
      <c r="H579" s="127"/>
      <c r="I579" s="128"/>
      <c r="K579" s="105" t="str">
        <f>IFERROR(__xludf.DUMMYFUNCTION("if(A579="""","""",substitute(SUBSTITUTE(index(importhtml(""http://finviz.com/quote.ashx?t=""&amp;A579,""table"",10),7,2),""*"",""""),""-"",""0.00""))"),"Loading...")</f>
        <v>Loading...</v>
      </c>
      <c r="L579" s="129">
        <v>5171989.0</v>
      </c>
      <c r="M579" s="99">
        <v>1.29</v>
      </c>
    </row>
    <row r="580">
      <c r="A580" s="122" t="s">
        <v>1591</v>
      </c>
      <c r="B580" s="123">
        <v>1103090.0</v>
      </c>
      <c r="C580" s="124" t="s">
        <v>1592</v>
      </c>
      <c r="D580" s="125"/>
      <c r="E580" s="126">
        <v>0.07</v>
      </c>
      <c r="F580" s="127"/>
      <c r="G580" s="127"/>
      <c r="H580" s="127"/>
      <c r="I580" s="128"/>
      <c r="K580" s="105" t="str">
        <f>IFERROR(__xludf.DUMMYFUNCTION("if(A580="""","""",substitute(SUBSTITUTE(index(importhtml(""http://finviz.com/quote.ashx?t=""&amp;A580,""table"",10),7,2),""*"",""""),""-"",""0.00""))"),"Loading...")</f>
        <v>Loading...</v>
      </c>
      <c r="L580" s="129">
        <v>5301529.0</v>
      </c>
      <c r="M580" s="99">
        <v>1.91</v>
      </c>
    </row>
    <row r="581">
      <c r="A581" s="122" t="s">
        <v>1593</v>
      </c>
      <c r="B581" s="123">
        <v>1301713.0</v>
      </c>
      <c r="C581" s="124" t="s">
        <v>1594</v>
      </c>
      <c r="D581" s="125"/>
      <c r="E581" s="126">
        <v>0.07</v>
      </c>
      <c r="F581" s="127"/>
      <c r="G581" s="127"/>
      <c r="H581" s="127"/>
      <c r="I581" s="128"/>
      <c r="K581" s="105" t="str">
        <f>IFERROR(__xludf.DUMMYFUNCTION("if(A581="""","""",substitute(SUBSTITUTE(index(importhtml(""http://finviz.com/quote.ashx?t=""&amp;A581,""table"",10),7,2),""*"",""""),""-"",""0.00""))"),"Loading...")</f>
        <v>Loading...</v>
      </c>
      <c r="L581" s="129">
        <v>5564681.0</v>
      </c>
      <c r="M581" s="99">
        <v>6.92</v>
      </c>
    </row>
    <row r="582">
      <c r="A582" s="122" t="s">
        <v>1595</v>
      </c>
      <c r="B582" s="123">
        <v>1084551.0</v>
      </c>
      <c r="C582" s="124" t="s">
        <v>1596</v>
      </c>
      <c r="D582" s="125"/>
      <c r="E582" s="126">
        <v>0.07</v>
      </c>
      <c r="F582" s="127"/>
      <c r="G582" s="127"/>
      <c r="H582" s="127"/>
      <c r="I582" s="128"/>
      <c r="K582" s="105" t="str">
        <f>IFERROR(__xludf.DUMMYFUNCTION("if(A582="""","""",substitute(SUBSTITUTE(index(importhtml(""http://finviz.com/quote.ashx?t=""&amp;A582,""table"",10),7,2),""*"",""""),""-"",""0.00""))"),"Loading...")</f>
        <v>Loading...</v>
      </c>
      <c r="L582" s="129">
        <v>6401239.0</v>
      </c>
      <c r="M582" s="99">
        <v>0.52</v>
      </c>
    </row>
    <row r="583">
      <c r="A583" s="122" t="s">
        <v>1597</v>
      </c>
      <c r="B583" s="123">
        <v>1469392.0</v>
      </c>
      <c r="C583" s="124" t="s">
        <v>1402</v>
      </c>
      <c r="D583" s="125"/>
      <c r="E583" s="126">
        <v>0.07</v>
      </c>
      <c r="F583" s="127"/>
      <c r="G583" s="127"/>
      <c r="H583" s="127"/>
      <c r="I583" s="128"/>
      <c r="K583" s="105" t="str">
        <f>IFERROR(__xludf.DUMMYFUNCTION("if(A583="""","""",substitute(SUBSTITUTE(index(importhtml(""http://finviz.com/quote.ashx?t=""&amp;A583,""table"",10),7,2),""*"",""""),""-"",""0.00""))"),"Loading...")</f>
        <v>Loading...</v>
      </c>
      <c r="L583" s="129">
        <v>6609524.0</v>
      </c>
      <c r="M583" s="99">
        <v>0.27</v>
      </c>
    </row>
    <row r="584">
      <c r="A584" s="122" t="s">
        <v>1598</v>
      </c>
      <c r="B584" s="123">
        <v>1363438.0</v>
      </c>
      <c r="C584" s="124" t="s">
        <v>1599</v>
      </c>
      <c r="D584" s="125"/>
      <c r="E584" s="126">
        <v>0.07</v>
      </c>
      <c r="F584" s="127"/>
      <c r="G584" s="127"/>
      <c r="H584" s="127"/>
      <c r="I584" s="128"/>
      <c r="K584" s="105" t="str">
        <f>IFERROR(__xludf.DUMMYFUNCTION("if(A584="""","""",substitute(SUBSTITUTE(index(importhtml(""http://finviz.com/quote.ashx?t=""&amp;A584,""table"",10),7,2),""*"",""""),""-"",""0.00""))"),"Loading...")</f>
        <v>Loading...</v>
      </c>
      <c r="L584" s="129">
        <v>7024016.0</v>
      </c>
      <c r="M584" s="99">
        <v>0.61</v>
      </c>
    </row>
    <row r="585">
      <c r="A585" s="122" t="s">
        <v>1600</v>
      </c>
      <c r="B585" s="123">
        <v>1536394.0</v>
      </c>
      <c r="C585" s="124" t="s">
        <v>1601</v>
      </c>
      <c r="D585" s="125"/>
      <c r="E585" s="126">
        <v>0.07</v>
      </c>
      <c r="F585" s="127"/>
      <c r="G585" s="127"/>
      <c r="H585" s="127"/>
      <c r="I585" s="128"/>
      <c r="K585" s="105" t="str">
        <f>IFERROR(__xludf.DUMMYFUNCTION("if(A585="""","""",substitute(SUBSTITUTE(index(importhtml(""http://finviz.com/quote.ashx?t=""&amp;A585,""table"",10),7,2),""*"",""""),""-"",""0.00""))"),"Loading...")</f>
        <v>Loading...</v>
      </c>
      <c r="L585" s="129">
        <v>7195030.0</v>
      </c>
      <c r="M585" s="99">
        <v>1.58</v>
      </c>
    </row>
    <row r="586">
      <c r="A586" s="122" t="s">
        <v>1602</v>
      </c>
      <c r="B586" s="123">
        <v>1575295.0</v>
      </c>
      <c r="C586" s="124" t="s">
        <v>1603</v>
      </c>
      <c r="D586" s="125"/>
      <c r="E586" s="126">
        <v>0.07</v>
      </c>
      <c r="F586" s="127"/>
      <c r="G586" s="127"/>
      <c r="H586" s="127"/>
      <c r="I586" s="128"/>
      <c r="K586" s="105" t="str">
        <f>IFERROR(__xludf.DUMMYFUNCTION("if(A586="""","""",substitute(SUBSTITUTE(index(importhtml(""http://finviz.com/quote.ashx?t=""&amp;A586,""table"",10),7,2),""*"",""""),""-"",""0.00""))"),"Loading...")</f>
        <v>Loading...</v>
      </c>
      <c r="L586" s="129">
        <v>7197819.0</v>
      </c>
      <c r="M586" s="99">
        <v>-60.88</v>
      </c>
    </row>
    <row r="587">
      <c r="A587" s="122" t="s">
        <v>1604</v>
      </c>
      <c r="B587" s="123">
        <v>1318482.0</v>
      </c>
      <c r="C587" s="124" t="s">
        <v>1605</v>
      </c>
      <c r="D587" s="125"/>
      <c r="E587" s="126">
        <v>0.07</v>
      </c>
      <c r="F587" s="127"/>
      <c r="G587" s="127"/>
      <c r="H587" s="127"/>
      <c r="I587" s="128"/>
      <c r="K587" s="105" t="str">
        <f>IFERROR(__xludf.DUMMYFUNCTION("if(A587="""","""",substitute(SUBSTITUTE(index(importhtml(""http://finviz.com/quote.ashx?t=""&amp;A587,""table"",10),7,2),""*"",""""),""-"",""0.00""))"),"Loading...")</f>
        <v>Loading...</v>
      </c>
      <c r="L587" s="129">
        <v>7224310.0</v>
      </c>
      <c r="M587" s="99">
        <v>0.64</v>
      </c>
    </row>
    <row r="588">
      <c r="A588" s="122" t="s">
        <v>1606</v>
      </c>
      <c r="B588" s="123">
        <v>1166272.0</v>
      </c>
      <c r="C588" s="124" t="s">
        <v>1607</v>
      </c>
      <c r="D588" s="125"/>
      <c r="E588" s="126">
        <v>0.07</v>
      </c>
      <c r="F588" s="127"/>
      <c r="G588" s="127"/>
      <c r="H588" s="127"/>
      <c r="I588" s="128"/>
      <c r="K588" s="105" t="str">
        <f>IFERROR(__xludf.DUMMYFUNCTION("if(A588="""","""",substitute(SUBSTITUTE(index(importhtml(""http://finviz.com/quote.ashx?t=""&amp;A588,""table"",10),7,2),""*"",""""),""-"",""0.00""))"),"Loading...")</f>
        <v>Loading...</v>
      </c>
      <c r="L588" s="129">
        <v>7284444.0</v>
      </c>
      <c r="M588" s="99" t="str">
        <f>IFERROR(__xludf.DUMMYFUNCTION("GOOGLEFINANCE(A588,""beta"")"),"#N/A")</f>
        <v>#N/A</v>
      </c>
    </row>
    <row r="589">
      <c r="A589" s="122" t="s">
        <v>1608</v>
      </c>
      <c r="B589" s="123">
        <v>1689382.0</v>
      </c>
      <c r="C589" s="124" t="s">
        <v>1609</v>
      </c>
      <c r="D589" s="125"/>
      <c r="E589" s="126">
        <v>0.07</v>
      </c>
      <c r="F589" s="127"/>
      <c r="G589" s="127"/>
      <c r="H589" s="127"/>
      <c r="I589" s="128"/>
      <c r="K589" s="105" t="str">
        <f>IFERROR(__xludf.DUMMYFUNCTION("if(A589="""","""",substitute(SUBSTITUTE(index(importhtml(""http://finviz.com/quote.ashx?t=""&amp;A589,""table"",10),7,2),""*"",""""),""-"",""0.00""))"),"Loading...")</f>
        <v>Loading...</v>
      </c>
      <c r="L589" s="129">
        <v>7554715.0</v>
      </c>
      <c r="M589" s="99">
        <v>5.65</v>
      </c>
    </row>
    <row r="590">
      <c r="A590" s="122" t="s">
        <v>1610</v>
      </c>
      <c r="B590" s="123">
        <v>1790320.0</v>
      </c>
      <c r="C590" s="124" t="s">
        <v>1611</v>
      </c>
      <c r="D590" s="125"/>
      <c r="E590" s="126">
        <v>0.07</v>
      </c>
      <c r="F590" s="127"/>
      <c r="G590" s="127"/>
      <c r="H590" s="127"/>
      <c r="I590" s="128"/>
      <c r="K590" s="105" t="str">
        <f>IFERROR(__xludf.DUMMYFUNCTION("if(A590="""","""",substitute(SUBSTITUTE(index(importhtml(""http://finviz.com/quote.ashx?t=""&amp;A590,""table"",10),7,2),""*"",""""),""-"",""0.00""))"),"Loading...")</f>
        <v>Loading...</v>
      </c>
      <c r="L590" s="129">
        <v>7763930.0</v>
      </c>
      <c r="M590" s="99">
        <f>IFERROR(__xludf.DUMMYFUNCTION("GOOGLEFINANCE(A590,""beta"")"),0.96)</f>
        <v>0.96</v>
      </c>
    </row>
    <row r="591">
      <c r="A591" s="122" t="s">
        <v>1612</v>
      </c>
      <c r="B591" s="123">
        <v>8504.0</v>
      </c>
      <c r="C591" s="124" t="s">
        <v>1613</v>
      </c>
      <c r="D591" s="125"/>
      <c r="E591" s="126">
        <v>0.07</v>
      </c>
      <c r="F591" s="127"/>
      <c r="G591" s="127"/>
      <c r="H591" s="127"/>
      <c r="I591" s="128"/>
      <c r="K591" s="105" t="str">
        <f>IFERROR(__xludf.DUMMYFUNCTION("if(A591="""","""",substitute(SUBSTITUTE(index(importhtml(""http://finviz.com/quote.ashx?t=""&amp;A591,""table"",10),7,2),""*"",""""),""-"",""0.00""))"),"Loading...")</f>
        <v>Loading...</v>
      </c>
      <c r="L591" s="129">
        <v>8001782.0</v>
      </c>
      <c r="M591" s="99" t="str">
        <f>IFERROR(__xludf.DUMMYFUNCTION("GOOGLEFINANCE(A591,""beta"")"),"#N/A")</f>
        <v>#N/A</v>
      </c>
    </row>
    <row r="592">
      <c r="A592" s="122" t="s">
        <v>1614</v>
      </c>
      <c r="B592" s="123">
        <v>1518353.0</v>
      </c>
      <c r="C592" s="124" t="s">
        <v>1615</v>
      </c>
      <c r="D592" s="125"/>
      <c r="E592" s="126">
        <v>0.07</v>
      </c>
      <c r="F592" s="127"/>
      <c r="G592" s="127"/>
      <c r="H592" s="127"/>
      <c r="I592" s="128"/>
      <c r="K592" s="105" t="str">
        <f>IFERROR(__xludf.DUMMYFUNCTION("if(A592="""","""",substitute(SUBSTITUTE(index(importhtml(""http://finviz.com/quote.ashx?t=""&amp;A592,""table"",10),7,2),""*"",""""),""-"",""0.00""))"),"Loading...")</f>
        <v>Loading...</v>
      </c>
      <c r="L592" s="129">
        <v>8977183.0</v>
      </c>
      <c r="M592" s="99">
        <v>2.09</v>
      </c>
    </row>
    <row r="593">
      <c r="A593" s="122" t="s">
        <v>1616</v>
      </c>
      <c r="B593" s="123">
        <v>1850391.0</v>
      </c>
      <c r="C593" s="124" t="s">
        <v>1617</v>
      </c>
      <c r="D593" s="125"/>
      <c r="E593" s="126">
        <v>0.07</v>
      </c>
      <c r="F593" s="127"/>
      <c r="G593" s="127"/>
      <c r="H593" s="127"/>
      <c r="I593" s="128"/>
      <c r="K593" s="105" t="str">
        <f>IFERROR(__xludf.DUMMYFUNCTION("if(A593="""","""",substitute(SUBSTITUTE(index(importhtml(""http://finviz.com/quote.ashx?t=""&amp;A593,""table"",10),7,2),""*"",""""),""-"",""0.00""))"),"Loading...")</f>
        <v>Loading...</v>
      </c>
      <c r="L593" s="129">
        <v>1.0458961E7</v>
      </c>
      <c r="M593" s="99">
        <v>8.24</v>
      </c>
    </row>
    <row r="594">
      <c r="A594" s="122" t="s">
        <v>1618</v>
      </c>
      <c r="B594" s="123">
        <v>733337.0</v>
      </c>
      <c r="C594" s="124" t="s">
        <v>1619</v>
      </c>
      <c r="D594" s="125"/>
      <c r="E594" s="126">
        <v>0.07</v>
      </c>
      <c r="F594" s="127"/>
      <c r="G594" s="127"/>
      <c r="H594" s="127"/>
      <c r="I594" s="128"/>
      <c r="K594" s="105" t="str">
        <f>IFERROR(__xludf.DUMMYFUNCTION("if(A594="""","""",substitute(SUBSTITUTE(index(importhtml(""http://finviz.com/quote.ashx?t=""&amp;A594,""table"",10),7,2),""*"",""""),""-"",""0.00""))"),"Loading...")</f>
        <v>Loading...</v>
      </c>
      <c r="L594" s="129">
        <v>1.5865094E7</v>
      </c>
      <c r="M594" s="99">
        <v>0.9</v>
      </c>
    </row>
    <row r="595">
      <c r="A595" s="122" t="s">
        <v>1620</v>
      </c>
      <c r="B595" s="123">
        <v>1116548.0</v>
      </c>
      <c r="C595" s="124" t="s">
        <v>1621</v>
      </c>
      <c r="D595" s="125"/>
      <c r="E595" s="126">
        <v>0.07</v>
      </c>
      <c r="F595" s="127"/>
      <c r="G595" s="127"/>
      <c r="H595" s="127"/>
      <c r="I595" s="128"/>
      <c r="K595" s="105" t="str">
        <f>IFERROR(__xludf.DUMMYFUNCTION("if(A595="""","""",substitute(SUBSTITUTE(index(importhtml(""http://finviz.com/quote.ashx?t=""&amp;A595,""table"",10),7,2),""*"",""""),""-"",""0.00""))"),"Loading...")</f>
        <v>Loading...</v>
      </c>
      <c r="L595" s="129">
        <v>1.672E7</v>
      </c>
      <c r="M595" s="99">
        <v>2.35</v>
      </c>
    </row>
    <row r="596">
      <c r="A596" s="122" t="s">
        <v>1622</v>
      </c>
      <c r="B596" s="123">
        <v>1684888.0</v>
      </c>
      <c r="C596" s="124" t="s">
        <v>1623</v>
      </c>
      <c r="D596" s="125"/>
      <c r="E596" s="126">
        <v>0.07</v>
      </c>
      <c r="F596" s="127"/>
      <c r="G596" s="127"/>
      <c r="H596" s="127"/>
      <c r="I596" s="128"/>
      <c r="K596" s="105" t="str">
        <f>IFERROR(__xludf.DUMMYFUNCTION("if(A596="""","""",substitute(SUBSTITUTE(index(importhtml(""http://finviz.com/quote.ashx?t=""&amp;A596,""table"",10),7,2),""*"",""""),""-"",""0.00""))"),"Loading...")</f>
        <v>Loading...</v>
      </c>
      <c r="L596" s="129">
        <v>2.0230363E7</v>
      </c>
      <c r="M596" s="99">
        <v>2.71</v>
      </c>
    </row>
    <row r="597">
      <c r="A597" s="122" t="s">
        <v>1624</v>
      </c>
      <c r="B597" s="123">
        <v>1538495.0</v>
      </c>
      <c r="C597" s="124" t="s">
        <v>1625</v>
      </c>
      <c r="D597" s="125"/>
      <c r="E597" s="126">
        <v>0.07</v>
      </c>
      <c r="F597" s="127"/>
      <c r="G597" s="127"/>
      <c r="H597" s="127"/>
      <c r="I597" s="128"/>
      <c r="K597" s="105" t="str">
        <f>IFERROR(__xludf.DUMMYFUNCTION("if(A597="""","""",substitute(SUBSTITUTE(index(importhtml(""http://finviz.com/quote.ashx?t=""&amp;A597,""table"",10),7,2),""*"",""""),""-"",""0.00""))"),"Loading...")</f>
        <v>Loading...</v>
      </c>
      <c r="L597" s="129">
        <v>2.0467314E7</v>
      </c>
      <c r="M597" s="99">
        <v>2.14</v>
      </c>
    </row>
    <row r="598">
      <c r="A598" s="122" t="s">
        <v>1626</v>
      </c>
      <c r="B598" s="123">
        <v>1407583.0</v>
      </c>
      <c r="C598" s="124" t="s">
        <v>1627</v>
      </c>
      <c r="D598" s="125"/>
      <c r="E598" s="126">
        <v>0.07</v>
      </c>
      <c r="F598" s="127"/>
      <c r="G598" s="127"/>
      <c r="H598" s="127"/>
      <c r="I598" s="128"/>
      <c r="K598" s="105" t="str">
        <f>IFERROR(__xludf.DUMMYFUNCTION("if(A598="""","""",substitute(SUBSTITUTE(index(importhtml(""http://finviz.com/quote.ashx?t=""&amp;A598,""table"",10),7,2),""*"",""""),""-"",""0.00""))"),"Loading...")</f>
        <v>Loading...</v>
      </c>
      <c r="L598" s="129">
        <v>3.300543E7</v>
      </c>
      <c r="M598" s="99">
        <v>1.35</v>
      </c>
    </row>
    <row r="599">
      <c r="A599" s="122" t="s">
        <v>1628</v>
      </c>
      <c r="B599" s="123">
        <v>1846809.0</v>
      </c>
      <c r="C599" s="124" t="s">
        <v>1629</v>
      </c>
      <c r="D599" s="125"/>
      <c r="E599" s="126">
        <v>0.07</v>
      </c>
      <c r="F599" s="127"/>
      <c r="G599" s="127"/>
      <c r="H599" s="127"/>
      <c r="I599" s="128"/>
      <c r="K599" s="105" t="str">
        <f>IFERROR(__xludf.DUMMYFUNCTION("if(A599="""","""",substitute(SUBSTITUTE(index(importhtml(""http://finviz.com/quote.ashx?t=""&amp;A599,""table"",10),7,2),""*"",""""),""-"",""0.00""))"),"Loading...")</f>
        <v>Loading...</v>
      </c>
      <c r="L599" s="129">
        <v>4.1049529E7</v>
      </c>
      <c r="M599" s="99" t="str">
        <f>IFERROR(__xludf.DUMMYFUNCTION("GOOGLEFINANCE(A599,""beta"")"),"#N/A")</f>
        <v>#N/A</v>
      </c>
    </row>
    <row r="600">
      <c r="A600" s="122" t="s">
        <v>1630</v>
      </c>
      <c r="B600" s="123">
        <v>1362898.0</v>
      </c>
      <c r="C600" s="124" t="s">
        <v>1631</v>
      </c>
      <c r="D600" s="125"/>
      <c r="E600" s="126">
        <v>0.07</v>
      </c>
      <c r="F600" s="127"/>
      <c r="G600" s="127"/>
      <c r="H600" s="127"/>
      <c r="I600" s="128"/>
      <c r="K600" s="105" t="str">
        <f>IFERROR(__xludf.DUMMYFUNCTION("if(A600="""","""",substitute(SUBSTITUTE(index(importhtml(""http://finviz.com/quote.ashx?t=""&amp;A600,""table"",10),7,2),""*"",""""),""-"",""0.00""))"),"Loading...")</f>
        <v>Loading...</v>
      </c>
      <c r="L600" s="129">
        <v>5.0433617E7</v>
      </c>
      <c r="M600" s="99">
        <v>0.75</v>
      </c>
    </row>
    <row r="601">
      <c r="A601" s="122" t="s">
        <v>1632</v>
      </c>
      <c r="B601" s="123">
        <v>1852973.0</v>
      </c>
      <c r="C601" s="124" t="s">
        <v>1633</v>
      </c>
      <c r="D601" s="125"/>
      <c r="E601" s="126">
        <v>0.07</v>
      </c>
      <c r="F601" s="127"/>
      <c r="G601" s="127"/>
      <c r="H601" s="127"/>
      <c r="I601" s="128"/>
      <c r="K601" s="105" t="str">
        <f>IFERROR(__xludf.DUMMYFUNCTION("if(A601="""","""",substitute(SUBSTITUTE(index(importhtml(""http://finviz.com/quote.ashx?t=""&amp;A601,""table"",10),7,2),""*"",""""),""-"",""0.00""))"),"Loading...")</f>
        <v>Loading...</v>
      </c>
      <c r="L601" s="129">
        <v>6.1786597E7</v>
      </c>
      <c r="M601" s="99" t="str">
        <f>IFERROR(__xludf.DUMMYFUNCTION("GOOGLEFINANCE(A601,""beta"")"),"#N/A")</f>
        <v>#N/A</v>
      </c>
    </row>
    <row r="602">
      <c r="A602" s="122" t="s">
        <v>1634</v>
      </c>
      <c r="B602" s="123">
        <v>1831978.0</v>
      </c>
      <c r="C602" s="124" t="s">
        <v>1635</v>
      </c>
      <c r="D602" s="125"/>
      <c r="E602" s="126">
        <v>0.07</v>
      </c>
      <c r="F602" s="127"/>
      <c r="G602" s="127"/>
      <c r="H602" s="127"/>
      <c r="I602" s="128"/>
      <c r="K602" s="105" t="str">
        <f>IFERROR(__xludf.DUMMYFUNCTION("if(A602="""","""",substitute(SUBSTITUTE(index(importhtml(""http://finviz.com/quote.ashx?t=""&amp;A602,""table"",10),7,2),""*"",""""),""-"",""0.00""))"),"Loading...")</f>
        <v>Loading...</v>
      </c>
      <c r="L602" s="129">
        <v>6.3201691E7</v>
      </c>
      <c r="M602" s="99">
        <f>IFERROR(__xludf.DUMMYFUNCTION("GOOGLEFINANCE(A602,""beta"")"),0.83)</f>
        <v>0.83</v>
      </c>
    </row>
    <row r="603">
      <c r="A603" s="122" t="s">
        <v>1636</v>
      </c>
      <c r="B603" s="123">
        <v>1870404.0</v>
      </c>
      <c r="C603" s="124" t="s">
        <v>1637</v>
      </c>
      <c r="D603" s="125"/>
      <c r="E603" s="126">
        <v>0.07</v>
      </c>
      <c r="F603" s="127"/>
      <c r="G603" s="127"/>
      <c r="H603" s="127"/>
      <c r="I603" s="128"/>
      <c r="K603" s="105" t="str">
        <f>IFERROR(__xludf.DUMMYFUNCTION("if(A603="""","""",substitute(SUBSTITUTE(index(importhtml(""http://finviz.com/quote.ashx?t=""&amp;A603,""table"",10),7,2),""*"",""""),""-"",""0.00""))"),"Loading...")</f>
        <v>Loading...</v>
      </c>
      <c r="L603" s="129">
        <v>7.0326072E7</v>
      </c>
      <c r="M603" s="99" t="str">
        <f>IFERROR(__xludf.DUMMYFUNCTION("GOOGLEFINANCE(A603,""beta"")"),"#N/A")</f>
        <v>#N/A</v>
      </c>
    </row>
    <row r="604">
      <c r="A604" s="122" t="s">
        <v>1638</v>
      </c>
      <c r="B604" s="123">
        <v>1820175.0</v>
      </c>
      <c r="C604" s="124" t="s">
        <v>1639</v>
      </c>
      <c r="D604" s="125"/>
      <c r="E604" s="126">
        <v>0.07</v>
      </c>
      <c r="F604" s="127"/>
      <c r="G604" s="127"/>
      <c r="H604" s="127"/>
      <c r="I604" s="128"/>
      <c r="K604" s="105" t="str">
        <f>IFERROR(__xludf.DUMMYFUNCTION("if(A604="""","""",substitute(SUBSTITUTE(index(importhtml(""http://finviz.com/quote.ashx?t=""&amp;A604,""table"",10),7,2),""*"",""""),""-"",""0.00""))"),"Loading...")</f>
        <v>Loading...</v>
      </c>
      <c r="L604" s="129">
        <v>7.307791E7</v>
      </c>
      <c r="M604" s="99" t="str">
        <f>IFERROR(__xludf.DUMMYFUNCTION("GOOGLEFINANCE(A604,""beta"")"),"#N/A")</f>
        <v>#N/A</v>
      </c>
    </row>
    <row r="605">
      <c r="A605" s="122" t="s">
        <v>1640</v>
      </c>
      <c r="B605" s="123">
        <v>1519469.0</v>
      </c>
      <c r="C605" s="124" t="s">
        <v>1641</v>
      </c>
      <c r="D605" s="125"/>
      <c r="E605" s="126">
        <v>0.07</v>
      </c>
      <c r="F605" s="127"/>
      <c r="G605" s="127"/>
      <c r="H605" s="127"/>
      <c r="I605" s="128"/>
      <c r="K605" s="105" t="str">
        <f>IFERROR(__xludf.DUMMYFUNCTION("if(A605="""","""",substitute(SUBSTITUTE(index(importhtml(""http://finviz.com/quote.ashx?t=""&amp;A605,""table"",10),7,2),""*"",""""),""-"",""0.00""))"),"Loading...")</f>
        <v>Loading...</v>
      </c>
      <c r="L605" s="129">
        <v>7.6067831E7</v>
      </c>
      <c r="M605" s="99">
        <v>0.95</v>
      </c>
    </row>
    <row r="606">
      <c r="A606" s="122" t="s">
        <v>1642</v>
      </c>
      <c r="B606" s="123">
        <v>1847355.0</v>
      </c>
      <c r="C606" s="124" t="s">
        <v>1643</v>
      </c>
      <c r="D606" s="125"/>
      <c r="E606" s="126">
        <v>0.07</v>
      </c>
      <c r="F606" s="127"/>
      <c r="G606" s="127"/>
      <c r="H606" s="127"/>
      <c r="I606" s="128"/>
      <c r="K606" s="105" t="str">
        <f>IFERROR(__xludf.DUMMYFUNCTION("if(A606="""","""",substitute(SUBSTITUTE(index(importhtml(""http://finviz.com/quote.ashx?t=""&amp;A606,""table"",10),7,2),""*"",""""),""-"",""0.00""))"),"Loading...")</f>
        <v>Loading...</v>
      </c>
      <c r="L606" s="129">
        <v>1.101263E8</v>
      </c>
      <c r="M606" s="99" t="str">
        <f>IFERROR(__xludf.DUMMYFUNCTION("GOOGLEFINANCE(A606,""beta"")"),"#N/A")</f>
        <v>#N/A</v>
      </c>
    </row>
    <row r="607">
      <c r="A607" s="122" t="s">
        <v>1644</v>
      </c>
      <c r="B607" s="123">
        <v>1912461.0</v>
      </c>
      <c r="C607" s="124" t="s">
        <v>1645</v>
      </c>
      <c r="D607" s="125"/>
      <c r="E607" s="126">
        <v>0.07</v>
      </c>
      <c r="F607" s="127"/>
      <c r="G607" s="127"/>
      <c r="H607" s="127"/>
      <c r="I607" s="128"/>
      <c r="K607" s="105" t="str">
        <f>IFERROR(__xludf.DUMMYFUNCTION("if(A607="""","""",substitute(SUBSTITUTE(index(importhtml(""http://finviz.com/quote.ashx?t=""&amp;A607,""table"",10),7,2),""*"",""""),""-"",""0.00""))"),"Loading...")</f>
        <v>Loading...</v>
      </c>
      <c r="L607" s="129">
        <v>1.1062249E8</v>
      </c>
      <c r="M607" s="99" t="str">
        <f>IFERROR(__xludf.DUMMYFUNCTION("GOOGLEFINANCE(A607,""beta"")"),"#N/A")</f>
        <v>#N/A</v>
      </c>
    </row>
    <row r="608">
      <c r="A608" s="122" t="s">
        <v>1646</v>
      </c>
      <c r="B608" s="123">
        <v>1763657.0</v>
      </c>
      <c r="C608" s="124" t="s">
        <v>1647</v>
      </c>
      <c r="D608" s="125"/>
      <c r="E608" s="126">
        <v>0.07</v>
      </c>
      <c r="F608" s="127"/>
      <c r="G608" s="127"/>
      <c r="H608" s="127"/>
      <c r="I608" s="128"/>
      <c r="K608" s="105" t="str">
        <f>IFERROR(__xludf.DUMMYFUNCTION("if(A608="""","""",substitute(SUBSTITUTE(index(importhtml(""http://finviz.com/quote.ashx?t=""&amp;A608,""table"",10),7,2),""*"",""""),""-"",""0.00""))"),"Loading...")</f>
        <v>Loading...</v>
      </c>
      <c r="L608" s="129">
        <v>1.141337E8</v>
      </c>
      <c r="M608" s="99">
        <v>4.28</v>
      </c>
    </row>
    <row r="609">
      <c r="A609" s="122" t="s">
        <v>1648</v>
      </c>
      <c r="B609" s="123">
        <v>1838108.0</v>
      </c>
      <c r="C609" s="124" t="s">
        <v>1649</v>
      </c>
      <c r="D609" s="125"/>
      <c r="E609" s="126">
        <v>0.07</v>
      </c>
      <c r="F609" s="127"/>
      <c r="G609" s="127"/>
      <c r="H609" s="127"/>
      <c r="I609" s="128"/>
      <c r="K609" s="105" t="str">
        <f>IFERROR(__xludf.DUMMYFUNCTION("if(A609="""","""",substitute(SUBSTITUTE(index(importhtml(""http://finviz.com/quote.ashx?t=""&amp;A609,""table"",10),7,2),""*"",""""),""-"",""0.00""))"),"Loading...")</f>
        <v>Loading...</v>
      </c>
      <c r="L609" s="129">
        <v>1.29268531E8</v>
      </c>
      <c r="M609" s="99" t="str">
        <f>IFERROR(__xludf.DUMMYFUNCTION("GOOGLEFINANCE(A609,""beta"")"),"#N/A")</f>
        <v>#N/A</v>
      </c>
    </row>
    <row r="610">
      <c r="A610" s="122" t="s">
        <v>1650</v>
      </c>
      <c r="B610" s="123">
        <v>1844642.0</v>
      </c>
      <c r="C610" s="124" t="s">
        <v>1651</v>
      </c>
      <c r="D610" s="125"/>
      <c r="E610" s="126">
        <v>0.07</v>
      </c>
      <c r="F610" s="127"/>
      <c r="G610" s="127"/>
      <c r="H610" s="127"/>
      <c r="I610" s="128"/>
      <c r="K610" s="105" t="str">
        <f>IFERROR(__xludf.DUMMYFUNCTION("if(A610="""","""",substitute(SUBSTITUTE(index(importhtml(""http://finviz.com/quote.ashx?t=""&amp;A610,""table"",10),7,2),""*"",""""),""-"",""0.00""))"),"Loading...")</f>
        <v>Loading...</v>
      </c>
      <c r="L610" s="129">
        <v>1.41957603E8</v>
      </c>
      <c r="M610" s="99" t="str">
        <f>IFERROR(__xludf.DUMMYFUNCTION("GOOGLEFINANCE(A610,""beta"")"),"#N/A")</f>
        <v>#N/A</v>
      </c>
    </row>
    <row r="611">
      <c r="A611" s="122" t="s">
        <v>1652</v>
      </c>
      <c r="B611" s="123">
        <v>1823878.0</v>
      </c>
      <c r="C611" s="124" t="s">
        <v>1653</v>
      </c>
      <c r="D611" s="125"/>
      <c r="E611" s="126">
        <v>0.07</v>
      </c>
      <c r="F611" s="127"/>
      <c r="G611" s="127"/>
      <c r="H611" s="127"/>
      <c r="I611" s="128"/>
      <c r="K611" s="105" t="str">
        <f>IFERROR(__xludf.DUMMYFUNCTION("if(A611="""","""",substitute(SUBSTITUTE(index(importhtml(""http://finviz.com/quote.ashx?t=""&amp;A611,""table"",10),7,2),""*"",""""),""-"",""0.00""))"),"Loading...")</f>
        <v>Loading...</v>
      </c>
      <c r="L611" s="129">
        <v>2.96208294E8</v>
      </c>
      <c r="M611" s="99">
        <v>0.58</v>
      </c>
    </row>
    <row r="612">
      <c r="A612" s="122" t="s">
        <v>1654</v>
      </c>
      <c r="B612" s="123">
        <v>1692068.0</v>
      </c>
      <c r="C612" s="124" t="s">
        <v>1655</v>
      </c>
      <c r="D612" s="125"/>
      <c r="E612" s="126">
        <v>0.07</v>
      </c>
      <c r="F612" s="127"/>
      <c r="G612" s="127"/>
      <c r="H612" s="127"/>
      <c r="I612" s="128"/>
      <c r="K612" s="105" t="str">
        <f>IFERROR(__xludf.DUMMYFUNCTION("if(A612="""","""",substitute(SUBSTITUTE(index(importhtml(""http://finviz.com/quote.ashx?t=""&amp;A612,""table"",10),7,2),""*"",""""),""-"",""0.00""))"),"Loading...")</f>
        <v>Loading...</v>
      </c>
      <c r="L612" s="129" t="e">
        <v>#N/A</v>
      </c>
      <c r="M612" s="99">
        <v>3.82</v>
      </c>
    </row>
    <row r="613">
      <c r="A613" s="122" t="s">
        <v>1656</v>
      </c>
      <c r="B613" s="123">
        <v>1919847.0</v>
      </c>
      <c r="C613" s="124" t="s">
        <v>1657</v>
      </c>
      <c r="D613" s="125"/>
      <c r="E613" s="126">
        <v>0.07</v>
      </c>
      <c r="F613" s="127"/>
      <c r="G613" s="127"/>
      <c r="H613" s="127"/>
      <c r="I613" s="128"/>
      <c r="K613" s="105" t="str">
        <f>IFERROR(__xludf.DUMMYFUNCTION("if(A613="""","""",substitute(SUBSTITUTE(index(importhtml(""http://finviz.com/quote.ashx?t=""&amp;A613,""table"",10),7,2),""*"",""""),""-"",""0.00""))"),"Loading...")</f>
        <v>Loading...</v>
      </c>
      <c r="L613" s="129" t="e">
        <v>#N/A</v>
      </c>
      <c r="M613" s="99">
        <v>14.64</v>
      </c>
    </row>
    <row r="614">
      <c r="A614" s="122" t="s">
        <v>1658</v>
      </c>
      <c r="B614" s="123">
        <v>1085277.0</v>
      </c>
      <c r="C614" s="124" t="s">
        <v>1659</v>
      </c>
      <c r="D614" s="125"/>
      <c r="E614" s="126">
        <v>0.08</v>
      </c>
      <c r="F614" s="127"/>
      <c r="G614" s="127"/>
      <c r="H614" s="127"/>
      <c r="I614" s="128"/>
      <c r="K614" s="105" t="str">
        <f>IFERROR(__xludf.DUMMYFUNCTION("if(A614="""","""",substitute(SUBSTITUTE(index(importhtml(""http://finviz.com/quote.ashx?t=""&amp;A614,""table"",10),7,2),""*"",""""),""-"",""0.00""))"),"Loading...")</f>
        <v>Loading...</v>
      </c>
      <c r="L614" s="129">
        <v>363190.0</v>
      </c>
      <c r="M614" s="99">
        <v>-1.38</v>
      </c>
    </row>
    <row r="615">
      <c r="A615" s="122" t="s">
        <v>1660</v>
      </c>
      <c r="B615" s="123">
        <v>1734262.0</v>
      </c>
      <c r="C615" s="124" t="s">
        <v>1661</v>
      </c>
      <c r="D615" s="125"/>
      <c r="E615" s="126">
        <v>0.08</v>
      </c>
      <c r="F615" s="127"/>
      <c r="G615" s="127"/>
      <c r="H615" s="127"/>
      <c r="I615" s="128"/>
      <c r="K615" s="105" t="str">
        <f>IFERROR(__xludf.DUMMYFUNCTION("if(A615="""","""",substitute(SUBSTITUTE(index(importhtml(""http://finviz.com/quote.ashx?t=""&amp;A615,""table"",10),7,2),""*"",""""),""-"",""0.00""))"),"Loading...")</f>
        <v>Loading...</v>
      </c>
      <c r="L615" s="129">
        <v>603541.0</v>
      </c>
      <c r="M615" s="99">
        <v>0.31</v>
      </c>
    </row>
    <row r="616">
      <c r="A616" s="122" t="s">
        <v>1662</v>
      </c>
      <c r="B616" s="123">
        <v>1474835.0</v>
      </c>
      <c r="C616" s="124" t="s">
        <v>1663</v>
      </c>
      <c r="D616" s="125"/>
      <c r="E616" s="126">
        <v>0.08</v>
      </c>
      <c r="F616" s="127"/>
      <c r="G616" s="127"/>
      <c r="H616" s="127"/>
      <c r="I616" s="128"/>
      <c r="K616" s="105" t="str">
        <f>IFERROR(__xludf.DUMMYFUNCTION("if(A616="""","""",substitute(SUBSTITUTE(index(importhtml(""http://finviz.com/quote.ashx?t=""&amp;A616,""table"",10),7,2),""*"",""""),""-"",""0.00""))"),"Loading...")</f>
        <v>Loading...</v>
      </c>
      <c r="L616" s="129">
        <v>805346.0</v>
      </c>
      <c r="M616" s="99" t="str">
        <f>IFERROR(__xludf.DUMMYFUNCTION("GOOGLEFINANCE(A616,""beta"")"),"#N/A")</f>
        <v>#N/A</v>
      </c>
    </row>
    <row r="617">
      <c r="A617" s="122" t="s">
        <v>1664</v>
      </c>
      <c r="B617" s="123">
        <v>1358403.0</v>
      </c>
      <c r="C617" s="124" t="s">
        <v>1665</v>
      </c>
      <c r="D617" s="125"/>
      <c r="E617" s="126">
        <v>0.08</v>
      </c>
      <c r="F617" s="127"/>
      <c r="G617" s="127"/>
      <c r="H617" s="127"/>
      <c r="I617" s="128"/>
      <c r="K617" s="105" t="str">
        <f>IFERROR(__xludf.DUMMYFUNCTION("if(A617="""","""",substitute(SUBSTITUTE(index(importhtml(""http://finviz.com/quote.ashx?t=""&amp;A617,""table"",10),7,2),""*"",""""),""-"",""0.00""))"),"Loading...")</f>
        <v>Loading...</v>
      </c>
      <c r="L617" s="129">
        <v>959698.0</v>
      </c>
      <c r="M617" s="99">
        <v>1.57</v>
      </c>
    </row>
    <row r="618">
      <c r="A618" s="122" t="s">
        <v>1666</v>
      </c>
      <c r="B618" s="123">
        <v>1781405.0</v>
      </c>
      <c r="C618" s="124" t="s">
        <v>1667</v>
      </c>
      <c r="D618" s="125"/>
      <c r="E618" s="126">
        <v>0.08</v>
      </c>
      <c r="F618" s="127"/>
      <c r="G618" s="127"/>
      <c r="H618" s="127"/>
      <c r="I618" s="128"/>
      <c r="K618" s="105" t="str">
        <f>IFERROR(__xludf.DUMMYFUNCTION("if(A618="""","""",substitute(SUBSTITUTE(index(importhtml(""http://finviz.com/quote.ashx?t=""&amp;A618,""table"",10),7,2),""*"",""""),""-"",""0.00""))"),"Loading...")</f>
        <v>Loading...</v>
      </c>
      <c r="L618" s="129">
        <v>1018150.0</v>
      </c>
      <c r="M618" s="99">
        <v>-0.67</v>
      </c>
    </row>
    <row r="619">
      <c r="A619" s="122" t="s">
        <v>1668</v>
      </c>
      <c r="B619" s="123">
        <v>1422296.0</v>
      </c>
      <c r="C619" s="124" t="s">
        <v>1669</v>
      </c>
      <c r="D619" s="125"/>
      <c r="E619" s="126">
        <v>0.08</v>
      </c>
      <c r="F619" s="127"/>
      <c r="G619" s="127"/>
      <c r="H619" s="127"/>
      <c r="I619" s="128"/>
      <c r="K619" s="105" t="str">
        <f>IFERROR(__xludf.DUMMYFUNCTION("if(A619="""","""",substitute(SUBSTITUTE(index(importhtml(""http://finviz.com/quote.ashx?t=""&amp;A619,""table"",10),7,2),""*"",""""),""-"",""0.00""))"),"Loading...")</f>
        <v>Loading...</v>
      </c>
      <c r="L619" s="129">
        <v>1522000.0</v>
      </c>
      <c r="M619" s="99">
        <v>-1.0</v>
      </c>
    </row>
    <row r="620">
      <c r="A620" s="122" t="s">
        <v>1670</v>
      </c>
      <c r="B620" s="123">
        <v>1602078.0</v>
      </c>
      <c r="C620" s="124" t="s">
        <v>1671</v>
      </c>
      <c r="D620" s="125"/>
      <c r="E620" s="126">
        <v>0.08</v>
      </c>
      <c r="F620" s="127"/>
      <c r="G620" s="127"/>
      <c r="H620" s="127"/>
      <c r="I620" s="128"/>
      <c r="K620" s="105" t="str">
        <f>IFERROR(__xludf.DUMMYFUNCTION("if(A620="""","""",substitute(SUBSTITUTE(index(importhtml(""http://finviz.com/quote.ashx?t=""&amp;A620,""table"",10),7,2),""*"",""""),""-"",""0.00""))"),"Loading...")</f>
        <v>Loading...</v>
      </c>
      <c r="L620" s="129">
        <v>2372711.0</v>
      </c>
      <c r="M620" s="99">
        <v>0.05</v>
      </c>
    </row>
    <row r="621">
      <c r="A621" s="122" t="s">
        <v>1672</v>
      </c>
      <c r="B621" s="123">
        <v>1653653.0</v>
      </c>
      <c r="C621" s="124" t="s">
        <v>1673</v>
      </c>
      <c r="D621" s="125"/>
      <c r="E621" s="126">
        <v>0.08</v>
      </c>
      <c r="F621" s="127"/>
      <c r="G621" s="127"/>
      <c r="H621" s="127"/>
      <c r="I621" s="128"/>
      <c r="K621" s="105" t="str">
        <f>IFERROR(__xludf.DUMMYFUNCTION("if(A621="""","""",substitute(SUBSTITUTE(index(importhtml(""http://finviz.com/quote.ashx?t=""&amp;A621,""table"",10),7,2),""*"",""""),""-"",""0.00""))"),"Loading...")</f>
        <v>Loading...</v>
      </c>
      <c r="L621" s="129">
        <v>2402466.0</v>
      </c>
      <c r="M621" s="99" t="str">
        <f>IFERROR(__xludf.DUMMYFUNCTION("GOOGLEFINANCE(A621,""beta"")"),"#N/A")</f>
        <v>#N/A</v>
      </c>
    </row>
    <row r="622">
      <c r="A622" s="122" t="s">
        <v>1674</v>
      </c>
      <c r="B622" s="123">
        <v>1570937.0</v>
      </c>
      <c r="C622" s="124" t="s">
        <v>1675</v>
      </c>
      <c r="D622" s="125"/>
      <c r="E622" s="126">
        <v>0.08</v>
      </c>
      <c r="F622" s="127"/>
      <c r="G622" s="127"/>
      <c r="H622" s="127"/>
      <c r="I622" s="128"/>
      <c r="K622" s="105" t="str">
        <f>IFERROR(__xludf.DUMMYFUNCTION("if(A622="""","""",substitute(SUBSTITUTE(index(importhtml(""http://finviz.com/quote.ashx?t=""&amp;A622,""table"",10),7,2),""*"",""""),""-"",""0.00""))"),"Loading...")</f>
        <v>Loading...</v>
      </c>
      <c r="L622" s="129">
        <v>2746864.0</v>
      </c>
      <c r="M622" s="99">
        <v>0.25</v>
      </c>
    </row>
    <row r="623">
      <c r="A623" s="122" t="s">
        <v>1676</v>
      </c>
      <c r="B623" s="123">
        <v>1614067.0</v>
      </c>
      <c r="C623" s="124" t="s">
        <v>1677</v>
      </c>
      <c r="D623" s="125"/>
      <c r="E623" s="126">
        <v>0.08</v>
      </c>
      <c r="F623" s="127"/>
      <c r="G623" s="127"/>
      <c r="H623" s="127"/>
      <c r="I623" s="128"/>
      <c r="K623" s="105" t="str">
        <f>IFERROR(__xludf.DUMMYFUNCTION("if(A623="""","""",substitute(SUBSTITUTE(index(importhtml(""http://finviz.com/quote.ashx?t=""&amp;A623,""table"",10),7,2),""*"",""""),""-"",""0.00""))"),"Loading...")</f>
        <v>Loading...</v>
      </c>
      <c r="L623" s="129">
        <v>3613717.0</v>
      </c>
      <c r="M623" s="99">
        <v>0.79</v>
      </c>
    </row>
    <row r="624">
      <c r="A624" s="122" t="s">
        <v>1678</v>
      </c>
      <c r="B624" s="123">
        <v>1417664.0</v>
      </c>
      <c r="C624" s="124" t="s">
        <v>1679</v>
      </c>
      <c r="D624" s="125"/>
      <c r="E624" s="126">
        <v>0.08</v>
      </c>
      <c r="F624" s="127"/>
      <c r="G624" s="127"/>
      <c r="H624" s="127"/>
      <c r="I624" s="128"/>
      <c r="K624" s="105" t="str">
        <f>IFERROR(__xludf.DUMMYFUNCTION("if(A624="""","""",substitute(SUBSTITUTE(index(importhtml(""http://finviz.com/quote.ashx?t=""&amp;A624,""table"",10),7,2),""*"",""""),""-"",""0.00""))"),"#N/A")</f>
        <v>#N/A</v>
      </c>
      <c r="L624" s="129">
        <v>3651777.0</v>
      </c>
      <c r="M624" s="99">
        <v>1.39</v>
      </c>
    </row>
    <row r="625">
      <c r="A625" s="122" t="s">
        <v>1680</v>
      </c>
      <c r="B625" s="123">
        <v>912544.0</v>
      </c>
      <c r="C625" s="124" t="s">
        <v>1681</v>
      </c>
      <c r="D625" s="125"/>
      <c r="E625" s="126">
        <v>0.08</v>
      </c>
      <c r="F625" s="127"/>
      <c r="G625" s="127"/>
      <c r="H625" s="127"/>
      <c r="I625" s="128"/>
      <c r="K625" s="105" t="str">
        <f>IFERROR(__xludf.DUMMYFUNCTION("if(A625="""","""",substitute(SUBSTITUTE(index(importhtml(""http://finviz.com/quote.ashx?t=""&amp;A625,""table"",10),7,2),""*"",""""),""-"",""0.00""))"),"Loading...")</f>
        <v>Loading...</v>
      </c>
      <c r="L625" s="129">
        <v>3703640.0</v>
      </c>
      <c r="M625" s="99">
        <v>0.51</v>
      </c>
    </row>
    <row r="626">
      <c r="A626" s="122" t="s">
        <v>1682</v>
      </c>
      <c r="B626" s="123">
        <v>1409036.0</v>
      </c>
      <c r="C626" s="124" t="s">
        <v>1683</v>
      </c>
      <c r="D626" s="125"/>
      <c r="E626" s="126">
        <v>0.08</v>
      </c>
      <c r="F626" s="127"/>
      <c r="G626" s="127"/>
      <c r="H626" s="127"/>
      <c r="I626" s="128"/>
      <c r="K626" s="105" t="str">
        <f>IFERROR(__xludf.DUMMYFUNCTION("if(A626="""","""",substitute(SUBSTITUTE(index(importhtml(""http://finviz.com/quote.ashx?t=""&amp;A626,""table"",10),7,2),""*"",""""),""-"",""0.00""))"),"Loading...")</f>
        <v>Loading...</v>
      </c>
      <c r="L626" s="129">
        <v>4144139.0</v>
      </c>
      <c r="M626" s="99">
        <v>-0.2</v>
      </c>
    </row>
    <row r="627">
      <c r="A627" s="122" t="s">
        <v>1684</v>
      </c>
      <c r="B627" s="123">
        <v>924095.0</v>
      </c>
      <c r="C627" s="124" t="s">
        <v>1685</v>
      </c>
      <c r="D627" s="125"/>
      <c r="E627" s="126">
        <v>0.08</v>
      </c>
      <c r="F627" s="127"/>
      <c r="G627" s="127"/>
      <c r="H627" s="127"/>
      <c r="I627" s="128"/>
      <c r="K627" s="105" t="str">
        <f>IFERROR(__xludf.DUMMYFUNCTION("if(A627="""","""",substitute(SUBSTITUTE(index(importhtml(""http://finviz.com/quote.ashx?t=""&amp;A627,""table"",10),7,2),""*"",""""),""-"",""0.00""))"),"Loading...")</f>
        <v>Loading...</v>
      </c>
      <c r="L627" s="129">
        <v>4911987.0</v>
      </c>
      <c r="M627" s="99">
        <v>3.05</v>
      </c>
    </row>
    <row r="628">
      <c r="A628" s="122" t="s">
        <v>1686</v>
      </c>
      <c r="B628" s="123">
        <v>1657214.0</v>
      </c>
      <c r="C628" s="124" t="s">
        <v>1687</v>
      </c>
      <c r="D628" s="125"/>
      <c r="E628" s="126">
        <v>0.08</v>
      </c>
      <c r="F628" s="127"/>
      <c r="G628" s="127"/>
      <c r="H628" s="127"/>
      <c r="I628" s="128"/>
      <c r="K628" s="105" t="str">
        <f>IFERROR(__xludf.DUMMYFUNCTION("if(A628="""","""",substitute(SUBSTITUTE(index(importhtml(""http://finviz.com/quote.ashx?t=""&amp;A628,""table"",10),7,2),""*"",""""),""-"",""0.00""))"),"Loading...")</f>
        <v>Loading...</v>
      </c>
      <c r="L628" s="129">
        <v>5252646.0</v>
      </c>
      <c r="M628" s="99">
        <v>8.28</v>
      </c>
    </row>
    <row r="629">
      <c r="A629" s="122" t="s">
        <v>1688</v>
      </c>
      <c r="B629" s="123">
        <v>1168981.0</v>
      </c>
      <c r="C629" s="124" t="s">
        <v>1689</v>
      </c>
      <c r="D629" s="125"/>
      <c r="E629" s="126">
        <v>0.08</v>
      </c>
      <c r="F629" s="127"/>
      <c r="G629" s="127"/>
      <c r="H629" s="127"/>
      <c r="I629" s="128"/>
      <c r="K629" s="105" t="str">
        <f>IFERROR(__xludf.DUMMYFUNCTION("if(A629="""","""",substitute(SUBSTITUTE(index(importhtml(""http://finviz.com/quote.ashx?t=""&amp;A629,""table"",10),7,2),""*"",""""),""-"",""0.00""))"),"Loading...")</f>
        <v>Loading...</v>
      </c>
      <c r="L629" s="129">
        <v>7864426.0</v>
      </c>
      <c r="M629" s="99">
        <v>1.07</v>
      </c>
    </row>
    <row r="630">
      <c r="A630" s="122" t="s">
        <v>1690</v>
      </c>
      <c r="B630" s="123">
        <v>1887673.0</v>
      </c>
      <c r="C630" s="124" t="s">
        <v>1691</v>
      </c>
      <c r="D630" s="125"/>
      <c r="E630" s="126">
        <v>0.08</v>
      </c>
      <c r="F630" s="127"/>
      <c r="G630" s="127"/>
      <c r="H630" s="127"/>
      <c r="I630" s="128"/>
      <c r="K630" s="105" t="str">
        <f>IFERROR(__xludf.DUMMYFUNCTION("if(A630="""","""",substitute(SUBSTITUTE(index(importhtml(""http://finviz.com/quote.ashx?t=""&amp;A630,""table"",10),7,2),""*"",""""),""-"",""0.00""))"),"Loading...")</f>
        <v>Loading...</v>
      </c>
      <c r="L630" s="129">
        <v>8261008.0</v>
      </c>
      <c r="M630" s="99">
        <f>IFERROR(__xludf.DUMMYFUNCTION("GOOGLEFINANCE(A630,""beta"")"),-6.27)</f>
        <v>-6.27</v>
      </c>
    </row>
    <row r="631">
      <c r="A631" s="122" t="s">
        <v>1692</v>
      </c>
      <c r="B631" s="123">
        <v>1651094.0</v>
      </c>
      <c r="C631" s="124" t="s">
        <v>1615</v>
      </c>
      <c r="D631" s="125"/>
      <c r="E631" s="126">
        <v>0.08</v>
      </c>
      <c r="F631" s="127"/>
      <c r="G631" s="127"/>
      <c r="H631" s="127"/>
      <c r="I631" s="128"/>
      <c r="K631" s="105" t="str">
        <f>IFERROR(__xludf.DUMMYFUNCTION("if(A631="""","""",substitute(SUBSTITUTE(index(importhtml(""http://finviz.com/quote.ashx?t=""&amp;A631,""table"",10),7,2),""*"",""""),""-"",""0.00""))"),"Loading...")</f>
        <v>Loading...</v>
      </c>
      <c r="L631" s="129">
        <v>8977183.0</v>
      </c>
      <c r="M631" s="99">
        <v>1.85</v>
      </c>
    </row>
    <row r="632">
      <c r="A632" s="122" t="s">
        <v>1693</v>
      </c>
      <c r="B632" s="123">
        <v>1329944.0</v>
      </c>
      <c r="C632" s="124" t="s">
        <v>1694</v>
      </c>
      <c r="D632" s="125"/>
      <c r="E632" s="126">
        <v>0.08</v>
      </c>
      <c r="F632" s="127"/>
      <c r="G632" s="127"/>
      <c r="H632" s="127"/>
      <c r="I632" s="128"/>
      <c r="K632" s="105" t="str">
        <f>IFERROR(__xludf.DUMMYFUNCTION("if(A632="""","""",substitute(SUBSTITUTE(index(importhtml(""http://finviz.com/quote.ashx?t=""&amp;A632,""table"",10),7,2),""*"",""""),""-"",""0.00""))"),"Loading...")</f>
        <v>Loading...</v>
      </c>
      <c r="L632" s="129">
        <v>1.280035E7</v>
      </c>
      <c r="M632" s="99">
        <v>-372.52</v>
      </c>
    </row>
    <row r="633">
      <c r="A633" s="122" t="s">
        <v>1695</v>
      </c>
      <c r="B633" s="123">
        <v>946454.0</v>
      </c>
      <c r="C633" s="124" t="s">
        <v>1696</v>
      </c>
      <c r="D633" s="125"/>
      <c r="E633" s="126">
        <v>0.08</v>
      </c>
      <c r="F633" s="127"/>
      <c r="G633" s="127"/>
      <c r="H633" s="127"/>
      <c r="I633" s="128"/>
      <c r="K633" s="105" t="str">
        <f>IFERROR(__xludf.DUMMYFUNCTION("if(A633="""","""",substitute(SUBSTITUTE(index(importhtml(""http://finviz.com/quote.ashx?t=""&amp;A633,""table"",10),7,2),""*"",""""),""-"",""0.00""))"),"Loading...")</f>
        <v>Loading...</v>
      </c>
      <c r="L633" s="129">
        <v>1.4704236E7</v>
      </c>
      <c r="M633" s="99" t="str">
        <f>IFERROR(__xludf.DUMMYFUNCTION("GOOGLEFINANCE(A633,""beta"")"),"#N/A")</f>
        <v>#N/A</v>
      </c>
    </row>
    <row r="634">
      <c r="A634" s="122" t="s">
        <v>1697</v>
      </c>
      <c r="B634" s="123">
        <v>1413891.0</v>
      </c>
      <c r="C634" s="124" t="s">
        <v>1698</v>
      </c>
      <c r="D634" s="125"/>
      <c r="E634" s="126">
        <v>0.08</v>
      </c>
      <c r="F634" s="127"/>
      <c r="G634" s="127"/>
      <c r="H634" s="127"/>
      <c r="I634" s="128"/>
      <c r="K634" s="105" t="str">
        <f>IFERROR(__xludf.DUMMYFUNCTION("if(A634="""","""",substitute(SUBSTITUTE(index(importhtml(""http://finviz.com/quote.ashx?t=""&amp;A634,""table"",10),7,2),""*"",""""),""-"",""0.00""))"),"Loading...")</f>
        <v>Loading...</v>
      </c>
      <c r="L634" s="129">
        <v>1.7639492E7</v>
      </c>
      <c r="M634" s="99">
        <v>1.4</v>
      </c>
    </row>
    <row r="635">
      <c r="A635" s="122" t="s">
        <v>1699</v>
      </c>
      <c r="B635" s="123">
        <v>1842138.0</v>
      </c>
      <c r="C635" s="124" t="s">
        <v>1700</v>
      </c>
      <c r="D635" s="125"/>
      <c r="E635" s="126">
        <v>0.08</v>
      </c>
      <c r="F635" s="127"/>
      <c r="G635" s="127"/>
      <c r="H635" s="127"/>
      <c r="I635" s="128"/>
      <c r="K635" s="105" t="str">
        <f>IFERROR(__xludf.DUMMYFUNCTION("if(A635="""","""",substitute(SUBSTITUTE(index(importhtml(""http://finviz.com/quote.ashx?t=""&amp;A635,""table"",10),7,2),""*"",""""),""-"",""0.00""))"),"Loading...")</f>
        <v>Loading...</v>
      </c>
      <c r="L635" s="129">
        <v>1.814894E7</v>
      </c>
      <c r="M635" s="99" t="str">
        <f>IFERROR(__xludf.DUMMYFUNCTION("GOOGLEFINANCE(A635,""beta"")"),"#N/A")</f>
        <v>#N/A</v>
      </c>
    </row>
    <row r="636">
      <c r="A636" s="122" t="s">
        <v>1701</v>
      </c>
      <c r="B636" s="123">
        <v>1613092.0</v>
      </c>
      <c r="C636" s="124" t="s">
        <v>1702</v>
      </c>
      <c r="D636" s="125"/>
      <c r="E636" s="126">
        <v>0.08</v>
      </c>
      <c r="F636" s="127"/>
      <c r="G636" s="127"/>
      <c r="H636" s="127"/>
      <c r="I636" s="128"/>
      <c r="K636" s="105" t="str">
        <f>IFERROR(__xludf.DUMMYFUNCTION("if(A636="""","""",substitute(SUBSTITUTE(index(importhtml(""http://finviz.com/quote.ashx?t=""&amp;A636,""table"",10),7,2),""*"",""""),""-"",""0.00""))"),"Loading...")</f>
        <v>Loading...</v>
      </c>
      <c r="L636" s="129">
        <v>2.9763106E7</v>
      </c>
      <c r="M636" s="99">
        <v>0.63</v>
      </c>
    </row>
    <row r="637">
      <c r="A637" s="122" t="s">
        <v>1703</v>
      </c>
      <c r="B637" s="123">
        <v>77281.0</v>
      </c>
      <c r="C637" s="124" t="s">
        <v>1704</v>
      </c>
      <c r="D637" s="125"/>
      <c r="E637" s="126">
        <v>0.08</v>
      </c>
      <c r="F637" s="127"/>
      <c r="G637" s="127"/>
      <c r="H637" s="127"/>
      <c r="I637" s="128"/>
      <c r="K637" s="105" t="str">
        <f>IFERROR(__xludf.DUMMYFUNCTION("if(A637="""","""",substitute(SUBSTITUTE(index(importhtml(""http://finviz.com/quote.ashx?t=""&amp;A637,""table"",10),7,2),""*"",""""),""-"",""0.00""))"),"Loading...")</f>
        <v>Loading...</v>
      </c>
      <c r="L637" s="129">
        <v>3.3695319E7</v>
      </c>
      <c r="M637" s="99">
        <v>0.65</v>
      </c>
    </row>
    <row r="638">
      <c r="A638" s="122" t="s">
        <v>1705</v>
      </c>
      <c r="B638" s="123">
        <v>1825786.0</v>
      </c>
      <c r="C638" s="124" t="s">
        <v>1706</v>
      </c>
      <c r="D638" s="125"/>
      <c r="E638" s="126">
        <v>0.08</v>
      </c>
      <c r="F638" s="127"/>
      <c r="G638" s="127"/>
      <c r="H638" s="127"/>
      <c r="I638" s="128"/>
      <c r="K638" s="105" t="str">
        <f>IFERROR(__xludf.DUMMYFUNCTION("if(A638="""","""",substitute(SUBSTITUTE(index(importhtml(""http://finviz.com/quote.ashx?t=""&amp;A638,""table"",10),7,2),""*"",""""),""-"",""0.00""))"),"Loading...")</f>
        <v>Loading...</v>
      </c>
      <c r="L638" s="129">
        <v>3.4549441E7</v>
      </c>
      <c r="M638" s="99">
        <v>1.49</v>
      </c>
    </row>
    <row r="639">
      <c r="A639" s="122" t="s">
        <v>1707</v>
      </c>
      <c r="B639" s="123">
        <v>1822791.0</v>
      </c>
      <c r="C639" s="124" t="s">
        <v>1708</v>
      </c>
      <c r="D639" s="125"/>
      <c r="E639" s="126">
        <v>0.08</v>
      </c>
      <c r="F639" s="127"/>
      <c r="G639" s="127"/>
      <c r="H639" s="127"/>
      <c r="I639" s="128"/>
      <c r="K639" s="105" t="str">
        <f>IFERROR(__xludf.DUMMYFUNCTION("if(A639="""","""",substitute(SUBSTITUTE(index(importhtml(""http://finviz.com/quote.ashx?t=""&amp;A639,""table"",10),7,2),""*"",""""),""-"",""0.00""))"),"Loading...")</f>
        <v>Loading...</v>
      </c>
      <c r="L639" s="129">
        <v>6.0189257E7</v>
      </c>
      <c r="M639" s="99">
        <v>0.54</v>
      </c>
    </row>
    <row r="640">
      <c r="A640" s="122" t="s">
        <v>1709</v>
      </c>
      <c r="B640" s="123">
        <v>1885998.0</v>
      </c>
      <c r="C640" s="124" t="s">
        <v>1710</v>
      </c>
      <c r="D640" s="125"/>
      <c r="E640" s="126">
        <v>0.08</v>
      </c>
      <c r="F640" s="127"/>
      <c r="G640" s="127"/>
      <c r="H640" s="127"/>
      <c r="I640" s="128"/>
      <c r="K640" s="105" t="str">
        <f>IFERROR(__xludf.DUMMYFUNCTION("if(A640="""","""",substitute(SUBSTITUTE(index(importhtml(""http://finviz.com/quote.ashx?t=""&amp;A640,""table"",10),7,2),""*"",""""),""-"",""0.00""))"),"Loading...")</f>
        <v>Loading...</v>
      </c>
      <c r="L640" s="129">
        <v>6.6031363E7</v>
      </c>
      <c r="M640" s="99" t="str">
        <f>IFERROR(__xludf.DUMMYFUNCTION("GOOGLEFINANCE(A640,""beta"")"),"#N/A")</f>
        <v>#N/A</v>
      </c>
    </row>
    <row r="641">
      <c r="A641" s="122" t="s">
        <v>1711</v>
      </c>
      <c r="B641" s="123">
        <v>1851909.0</v>
      </c>
      <c r="C641" s="124" t="s">
        <v>1712</v>
      </c>
      <c r="D641" s="125"/>
      <c r="E641" s="126">
        <v>0.08</v>
      </c>
      <c r="F641" s="127"/>
      <c r="G641" s="127"/>
      <c r="H641" s="127"/>
      <c r="I641" s="128"/>
      <c r="K641" s="105" t="str">
        <f>IFERROR(__xludf.DUMMYFUNCTION("if(A641="""","""",substitute(SUBSTITUTE(index(importhtml(""http://finviz.com/quote.ashx?t=""&amp;A641,""table"",10),7,2),""*"",""""),""-"",""0.00""))"),"Loading...")</f>
        <v>Loading...</v>
      </c>
      <c r="L641" s="129">
        <v>1.11770543E8</v>
      </c>
      <c r="M641" s="99" t="str">
        <f>IFERROR(__xludf.DUMMYFUNCTION("GOOGLEFINANCE(A641,""beta"")"),"#N/A")</f>
        <v>#N/A</v>
      </c>
    </row>
    <row r="642">
      <c r="A642" s="122" t="s">
        <v>1713</v>
      </c>
      <c r="B642" s="123">
        <v>1750153.0</v>
      </c>
      <c r="C642" s="124" t="s">
        <v>1714</v>
      </c>
      <c r="D642" s="125"/>
      <c r="E642" s="126">
        <v>0.08</v>
      </c>
      <c r="F642" s="127"/>
      <c r="G642" s="127"/>
      <c r="H642" s="127"/>
      <c r="I642" s="128"/>
      <c r="K642" s="105" t="str">
        <f>IFERROR(__xludf.DUMMYFUNCTION("if(A642="""","""",substitute(SUBSTITUTE(index(importhtml(""http://finviz.com/quote.ashx?t=""&amp;A642,""table"",10),7,2),""*"",""""),""-"",""0.00""))"),"Loading...")</f>
        <v>Loading...</v>
      </c>
      <c r="L642" s="129">
        <v>1.76013241E8</v>
      </c>
      <c r="M642" s="99">
        <v>3.28</v>
      </c>
    </row>
    <row r="643">
      <c r="A643" s="122" t="s">
        <v>1715</v>
      </c>
      <c r="B643" s="123">
        <v>1854906.0</v>
      </c>
      <c r="C643" s="124" t="s">
        <v>1716</v>
      </c>
      <c r="D643" s="125"/>
      <c r="E643" s="126">
        <v>0.08</v>
      </c>
      <c r="F643" s="127"/>
      <c r="G643" s="127"/>
      <c r="H643" s="127"/>
      <c r="I643" s="128"/>
      <c r="K643" s="105" t="str">
        <f>IFERROR(__xludf.DUMMYFUNCTION("if(A643="""","""",substitute(SUBSTITUTE(index(importhtml(""http://finviz.com/quote.ashx?t=""&amp;A643,""table"",10),7,2),""*"",""""),""-"",""0.00""))"),"Loading...")</f>
        <v>Loading...</v>
      </c>
      <c r="L643" s="129">
        <v>7.21876694E13</v>
      </c>
      <c r="M643" s="99" t="str">
        <f>IFERROR(__xludf.DUMMYFUNCTION("GOOGLEFINANCE(A643,""beta"")"),"#N/A")</f>
        <v>#N/A</v>
      </c>
    </row>
    <row r="644">
      <c r="A644" s="122" t="s">
        <v>1717</v>
      </c>
      <c r="B644" s="123">
        <v>1626644.0</v>
      </c>
      <c r="C644" s="124" t="s">
        <v>1718</v>
      </c>
      <c r="D644" s="125"/>
      <c r="E644" s="126">
        <v>0.08</v>
      </c>
      <c r="F644" s="127"/>
      <c r="G644" s="127"/>
      <c r="H644" s="127"/>
      <c r="I644" s="128"/>
      <c r="K644" s="105" t="str">
        <f>IFERROR(__xludf.DUMMYFUNCTION("if(A644="""","""",substitute(SUBSTITUTE(index(importhtml(""http://finviz.com/quote.ashx?t=""&amp;A644,""table"",10),7,2),""*"",""""),""-"",""0.00""))"),"#N/A")</f>
        <v>#N/A</v>
      </c>
      <c r="L644" s="129" t="e">
        <v>#N/A</v>
      </c>
      <c r="M644" s="99">
        <v>-0.48</v>
      </c>
    </row>
    <row r="645">
      <c r="A645" s="122" t="s">
        <v>1719</v>
      </c>
      <c r="B645" s="123">
        <v>1287900.0</v>
      </c>
      <c r="C645" s="124" t="s">
        <v>1720</v>
      </c>
      <c r="D645" s="125"/>
      <c r="E645" s="126">
        <v>0.09</v>
      </c>
      <c r="F645" s="127"/>
      <c r="G645" s="127"/>
      <c r="H645" s="127"/>
      <c r="I645" s="128"/>
      <c r="K645" s="105" t="str">
        <f>IFERROR(__xludf.DUMMYFUNCTION("if(A645="""","""",substitute(SUBSTITUTE(index(importhtml(""http://finviz.com/quote.ashx?t=""&amp;A645,""table"",10),7,2),""*"",""""),""-"",""0.00""))"),"Loading...")</f>
        <v>Loading...</v>
      </c>
      <c r="L645" s="129">
        <v>809620.0</v>
      </c>
      <c r="M645" s="99">
        <v>-55.9</v>
      </c>
    </row>
    <row r="646">
      <c r="A646" s="122" t="s">
        <v>1721</v>
      </c>
      <c r="B646" s="123">
        <v>1829794.0</v>
      </c>
      <c r="C646" s="124" t="s">
        <v>1722</v>
      </c>
      <c r="D646" s="125"/>
      <c r="E646" s="126">
        <v>0.09</v>
      </c>
      <c r="F646" s="127"/>
      <c r="G646" s="127"/>
      <c r="H646" s="127"/>
      <c r="I646" s="128"/>
      <c r="K646" s="105" t="str">
        <f>IFERROR(__xludf.DUMMYFUNCTION("if(A646="""","""",substitute(SUBSTITUTE(index(importhtml(""http://finviz.com/quote.ashx?t=""&amp;A646,""table"",10),7,2),""*"",""""),""-"",""0.00""))"),"Loading...")</f>
        <v>Loading...</v>
      </c>
      <c r="L646" s="129">
        <v>1141593.0</v>
      </c>
      <c r="M646" s="99" t="str">
        <f>IFERROR(__xludf.DUMMYFUNCTION("GOOGLEFINANCE(A646,""beta"")"),"#N/A")</f>
        <v>#N/A</v>
      </c>
    </row>
    <row r="647">
      <c r="A647" s="122" t="s">
        <v>1723</v>
      </c>
      <c r="B647" s="123">
        <v>825171.0</v>
      </c>
      <c r="C647" s="124" t="s">
        <v>1724</v>
      </c>
      <c r="D647" s="125"/>
      <c r="E647" s="126">
        <v>0.09</v>
      </c>
      <c r="F647" s="127"/>
      <c r="G647" s="127"/>
      <c r="H647" s="127"/>
      <c r="I647" s="128"/>
      <c r="K647" s="105" t="str">
        <f>IFERROR(__xludf.DUMMYFUNCTION("if(A647="""","""",substitute(SUBSTITUTE(index(importhtml(""http://finviz.com/quote.ashx?t=""&amp;A647,""table"",10),7,2),""*"",""""),""-"",""0.00""))"),"Loading...")</f>
        <v>Loading...</v>
      </c>
      <c r="L647" s="129">
        <v>1443320.0</v>
      </c>
      <c r="M647" s="99">
        <v>61.19</v>
      </c>
    </row>
    <row r="648">
      <c r="A648" s="122" t="s">
        <v>1725</v>
      </c>
      <c r="B648" s="123">
        <v>1682149.0</v>
      </c>
      <c r="C648" s="124" t="s">
        <v>1726</v>
      </c>
      <c r="D648" s="125"/>
      <c r="E648" s="126">
        <v>0.09</v>
      </c>
      <c r="F648" s="127"/>
      <c r="G648" s="127"/>
      <c r="H648" s="127"/>
      <c r="I648" s="128"/>
      <c r="K648" s="105" t="str">
        <f>IFERROR(__xludf.DUMMYFUNCTION("if(A648="""","""",substitute(SUBSTITUTE(index(importhtml(""http://finviz.com/quote.ashx?t=""&amp;A648,""table"",10),7,2),""*"",""""),""-"",""0.00""))"),"Loading...")</f>
        <v>Loading...</v>
      </c>
      <c r="L648" s="129">
        <v>1977604.0</v>
      </c>
      <c r="M648" s="99">
        <v>0.14</v>
      </c>
    </row>
    <row r="649">
      <c r="A649" s="122" t="s">
        <v>1727</v>
      </c>
      <c r="B649" s="123">
        <v>1424768.0</v>
      </c>
      <c r="C649" s="124" t="s">
        <v>1728</v>
      </c>
      <c r="D649" s="125"/>
      <c r="E649" s="126">
        <v>0.09</v>
      </c>
      <c r="F649" s="127"/>
      <c r="G649" s="127"/>
      <c r="H649" s="127"/>
      <c r="I649" s="128"/>
      <c r="K649" s="105" t="str">
        <f>IFERROR(__xludf.DUMMYFUNCTION("if(A649="""","""",substitute(SUBSTITUTE(index(importhtml(""http://finviz.com/quote.ashx?t=""&amp;A649,""table"",10),7,2),""*"",""""),""-"",""0.00""))"),"Loading...")</f>
        <v>Loading...</v>
      </c>
      <c r="L649" s="129">
        <v>2773450.0</v>
      </c>
      <c r="M649" s="99">
        <v>0.15</v>
      </c>
    </row>
    <row r="650">
      <c r="A650" s="122" t="s">
        <v>1729</v>
      </c>
      <c r="B650" s="123">
        <v>1819584.0</v>
      </c>
      <c r="C650" s="124" t="s">
        <v>1730</v>
      </c>
      <c r="D650" s="125"/>
      <c r="E650" s="126">
        <v>0.09</v>
      </c>
      <c r="F650" s="127"/>
      <c r="G650" s="127"/>
      <c r="H650" s="127"/>
      <c r="I650" s="128"/>
      <c r="K650" s="105" t="str">
        <f>IFERROR(__xludf.DUMMYFUNCTION("if(A650="""","""",substitute(SUBSTITUTE(index(importhtml(""http://finviz.com/quote.ashx?t=""&amp;A650,""table"",10),7,2),""*"",""""),""-"",""0.00""))"),"Loading...")</f>
        <v>Loading...</v>
      </c>
      <c r="L650" s="129">
        <v>3562610.0</v>
      </c>
      <c r="M650" s="99" t="str">
        <f>IFERROR(__xludf.DUMMYFUNCTION("GOOGLEFINANCE(A650,""beta"")"),"#N/A")</f>
        <v>#N/A</v>
      </c>
    </row>
    <row r="651">
      <c r="A651" s="122" t="s">
        <v>1731</v>
      </c>
      <c r="B651" s="123">
        <v>1816319.0</v>
      </c>
      <c r="C651" s="124" t="s">
        <v>1732</v>
      </c>
      <c r="D651" s="125"/>
      <c r="E651" s="126">
        <v>0.09</v>
      </c>
      <c r="F651" s="127"/>
      <c r="G651" s="127"/>
      <c r="H651" s="127"/>
      <c r="I651" s="128"/>
      <c r="K651" s="105" t="str">
        <f>IFERROR(__xludf.DUMMYFUNCTION("if(A651="""","""",substitute(SUBSTITUTE(index(importhtml(""http://finviz.com/quote.ashx?t=""&amp;A651,""table"",10),7,2),""*"",""""),""-"",""0.00""))"),"Loading...")</f>
        <v>Loading...</v>
      </c>
      <c r="L651" s="129">
        <v>3728254.0</v>
      </c>
      <c r="M651" s="99" t="str">
        <f>IFERROR(__xludf.DUMMYFUNCTION("GOOGLEFINANCE(A651,""beta"")"),"#N/A")</f>
        <v>#N/A</v>
      </c>
    </row>
    <row r="652">
      <c r="A652" s="122" t="s">
        <v>1733</v>
      </c>
      <c r="B652" s="123">
        <v>1263011.0</v>
      </c>
      <c r="C652" s="124" t="s">
        <v>1734</v>
      </c>
      <c r="D652" s="125"/>
      <c r="E652" s="126">
        <v>0.09</v>
      </c>
      <c r="F652" s="127"/>
      <c r="G652" s="127"/>
      <c r="H652" s="127"/>
      <c r="I652" s="128"/>
      <c r="K652" s="105" t="str">
        <f>IFERROR(__xludf.DUMMYFUNCTION("if(A652="""","""",substitute(SUBSTITUTE(index(importhtml(""http://finviz.com/quote.ashx?t=""&amp;A652,""table"",10),7,2),""*"",""""),""-"",""0.00""))"),"Loading...")</f>
        <v>Loading...</v>
      </c>
      <c r="L652" s="129">
        <v>3796530.0</v>
      </c>
      <c r="M652" s="99">
        <v>0.72</v>
      </c>
    </row>
    <row r="653">
      <c r="A653" s="122" t="s">
        <v>1735</v>
      </c>
      <c r="B653" s="123">
        <v>1510832.0</v>
      </c>
      <c r="C653" s="124" t="s">
        <v>1736</v>
      </c>
      <c r="D653" s="125"/>
      <c r="E653" s="126">
        <v>0.09</v>
      </c>
      <c r="F653" s="127"/>
      <c r="G653" s="127"/>
      <c r="H653" s="127"/>
      <c r="I653" s="128"/>
      <c r="K653" s="105" t="str">
        <f>IFERROR(__xludf.DUMMYFUNCTION("if(A653="""","""",substitute(SUBSTITUTE(index(importhtml(""http://finviz.com/quote.ashx?t=""&amp;A653,""table"",10),7,2),""*"",""""),""-"",""0.00""))"),"Loading...")</f>
        <v>Loading...</v>
      </c>
      <c r="L653" s="129">
        <v>4221450.0</v>
      </c>
      <c r="M653" s="99">
        <f>IFERROR(__xludf.DUMMYFUNCTION("GOOGLEFINANCE(A653,""beta"")"),-0.37)</f>
        <v>-0.37</v>
      </c>
    </row>
    <row r="654">
      <c r="A654" s="122" t="s">
        <v>1737</v>
      </c>
      <c r="B654" s="123">
        <v>1638911.0</v>
      </c>
      <c r="C654" s="124" t="s">
        <v>1738</v>
      </c>
      <c r="D654" s="125"/>
      <c r="E654" s="126">
        <v>0.09</v>
      </c>
      <c r="F654" s="127"/>
      <c r="G654" s="127"/>
      <c r="H654" s="127"/>
      <c r="I654" s="128"/>
      <c r="K654" s="105" t="str">
        <f>IFERROR(__xludf.DUMMYFUNCTION("if(A654="""","""",substitute(SUBSTITUTE(index(importhtml(""http://finviz.com/quote.ashx?t=""&amp;A654,""table"",10),7,2),""*"",""""),""-"",""0.00""))"),"Loading...")</f>
        <v>Loading...</v>
      </c>
      <c r="L654" s="129">
        <v>4662820.0</v>
      </c>
      <c r="M654" s="99">
        <v>0.74</v>
      </c>
    </row>
    <row r="655">
      <c r="A655" s="122" t="s">
        <v>1739</v>
      </c>
      <c r="B655" s="123">
        <v>1905956.0</v>
      </c>
      <c r="C655" s="124" t="s">
        <v>1740</v>
      </c>
      <c r="D655" s="125"/>
      <c r="E655" s="126">
        <v>0.09</v>
      </c>
      <c r="F655" s="127"/>
      <c r="G655" s="127"/>
      <c r="H655" s="127"/>
      <c r="I655" s="128"/>
      <c r="K655" s="105" t="str">
        <f>IFERROR(__xludf.DUMMYFUNCTION("if(A655="""","""",substitute(SUBSTITUTE(index(importhtml(""http://finviz.com/quote.ashx?t=""&amp;A655,""table"",10),7,2),""*"",""""),""-"",""0.00""))"),"Loading...")</f>
        <v>Loading...</v>
      </c>
      <c r="L655" s="129">
        <v>4865181.0</v>
      </c>
      <c r="M655" s="99">
        <f>IFERROR(__xludf.DUMMYFUNCTION("GOOGLEFINANCE(A655,""beta"")"),-0.08)</f>
        <v>-0.08</v>
      </c>
    </row>
    <row r="656">
      <c r="A656" s="122" t="s">
        <v>1741</v>
      </c>
      <c r="B656" s="123">
        <v>1576197.0</v>
      </c>
      <c r="C656" s="124" t="s">
        <v>1742</v>
      </c>
      <c r="D656" s="125"/>
      <c r="E656" s="126">
        <v>0.09</v>
      </c>
      <c r="F656" s="127"/>
      <c r="G656" s="127"/>
      <c r="H656" s="127"/>
      <c r="I656" s="128"/>
      <c r="K656" s="105" t="str">
        <f>IFERROR(__xludf.DUMMYFUNCTION("if(A656="""","""",substitute(SUBSTITUTE(index(importhtml(""http://finviz.com/quote.ashx?t=""&amp;A656,""table"",10),7,2),""*"",""""),""-"",""0.00""))"),"Loading...")</f>
        <v>Loading...</v>
      </c>
      <c r="L656" s="129">
        <v>5601005.0</v>
      </c>
      <c r="M656" s="99">
        <v>-0.55</v>
      </c>
    </row>
    <row r="657">
      <c r="A657" s="122" t="s">
        <v>1743</v>
      </c>
      <c r="B657" s="123">
        <v>849401.0</v>
      </c>
      <c r="C657" s="124" t="s">
        <v>1744</v>
      </c>
      <c r="D657" s="125"/>
      <c r="E657" s="126">
        <v>0.09</v>
      </c>
      <c r="F657" s="127"/>
      <c r="G657" s="127"/>
      <c r="H657" s="127"/>
      <c r="I657" s="128"/>
      <c r="K657" s="105" t="str">
        <f>IFERROR(__xludf.DUMMYFUNCTION("if(A657="""","""",substitute(SUBSTITUTE(index(importhtml(""http://finviz.com/quote.ashx?t=""&amp;A657,""table"",10),7,2),""*"",""""),""-"",""0.00""))"),"Loading...")</f>
        <v>Loading...</v>
      </c>
      <c r="L657" s="129">
        <v>6007600.0</v>
      </c>
      <c r="M657" s="99">
        <v>0.13</v>
      </c>
    </row>
    <row r="658">
      <c r="A658" s="122" t="s">
        <v>1745</v>
      </c>
      <c r="B658" s="123">
        <v>1080448.0</v>
      </c>
      <c r="C658" s="124" t="s">
        <v>1746</v>
      </c>
      <c r="D658" s="125"/>
      <c r="E658" s="126">
        <v>0.09</v>
      </c>
      <c r="F658" s="127"/>
      <c r="G658" s="127"/>
      <c r="H658" s="127"/>
      <c r="I658" s="128"/>
      <c r="K658" s="105" t="str">
        <f>IFERROR(__xludf.DUMMYFUNCTION("if(A658="""","""",substitute(SUBSTITUTE(index(importhtml(""http://finviz.com/quote.ashx?t=""&amp;A658,""table"",10),7,2),""*"",""""),""-"",""0.00""))"),"Loading...")</f>
        <v>Loading...</v>
      </c>
      <c r="L658" s="129">
        <v>6355450.0</v>
      </c>
      <c r="M658" s="99">
        <v>1.07</v>
      </c>
    </row>
    <row r="659">
      <c r="A659" s="122" t="s">
        <v>1747</v>
      </c>
      <c r="B659" s="123">
        <v>1605057.0</v>
      </c>
      <c r="C659" s="124" t="s">
        <v>1748</v>
      </c>
      <c r="D659" s="125"/>
      <c r="E659" s="126">
        <v>0.09</v>
      </c>
      <c r="F659" s="127"/>
      <c r="G659" s="127"/>
      <c r="H659" s="127"/>
      <c r="I659" s="128"/>
      <c r="K659" s="105" t="str">
        <f>IFERROR(__xludf.DUMMYFUNCTION("if(A659="""","""",substitute(SUBSTITUTE(index(importhtml(""http://finviz.com/quote.ashx?t=""&amp;A659,""table"",10),7,2),""*"",""""),""-"",""0.00""))"),"Loading...")</f>
        <v>Loading...</v>
      </c>
      <c r="L659" s="129">
        <v>6363760.0</v>
      </c>
      <c r="M659" s="99">
        <v>2.82</v>
      </c>
    </row>
    <row r="660">
      <c r="A660" s="122" t="s">
        <v>1749</v>
      </c>
      <c r="B660" s="123">
        <v>319016.0</v>
      </c>
      <c r="C660" s="124" t="s">
        <v>1750</v>
      </c>
      <c r="D660" s="125"/>
      <c r="E660" s="126">
        <v>0.09</v>
      </c>
      <c r="F660" s="127"/>
      <c r="G660" s="127"/>
      <c r="H660" s="127"/>
      <c r="I660" s="128"/>
      <c r="K660" s="105" t="str">
        <f>IFERROR(__xludf.DUMMYFUNCTION("if(A660="""","""",substitute(SUBSTITUTE(index(importhtml(""http://finviz.com/quote.ashx?t=""&amp;A660,""table"",10),7,2),""*"",""""),""-"",""0.00""))"),"Loading...")</f>
        <v>Loading...</v>
      </c>
      <c r="L660" s="129">
        <v>6665400.0</v>
      </c>
      <c r="M660" s="99">
        <v>-0.49</v>
      </c>
    </row>
    <row r="661">
      <c r="A661" s="122" t="s">
        <v>1751</v>
      </c>
      <c r="B661" s="123">
        <v>1006028.0</v>
      </c>
      <c r="C661" s="124" t="s">
        <v>1752</v>
      </c>
      <c r="D661" s="125"/>
      <c r="E661" s="126">
        <v>0.09</v>
      </c>
      <c r="F661" s="127"/>
      <c r="G661" s="127"/>
      <c r="H661" s="127"/>
      <c r="I661" s="128"/>
      <c r="K661" s="105" t="str">
        <f>IFERROR(__xludf.DUMMYFUNCTION("if(A661="""","""",substitute(SUBSTITUTE(index(importhtml(""http://finviz.com/quote.ashx?t=""&amp;A661,""table"",10),7,2),""*"",""""),""-"",""0.00""))"),"Loading...")</f>
        <v>Loading...</v>
      </c>
      <c r="L661" s="129">
        <v>1.0221977E7</v>
      </c>
      <c r="M661" s="99">
        <v>0.05</v>
      </c>
    </row>
    <row r="662">
      <c r="A662" s="122" t="s">
        <v>1753</v>
      </c>
      <c r="B662" s="123">
        <v>1393772.0</v>
      </c>
      <c r="C662" s="124" t="s">
        <v>1754</v>
      </c>
      <c r="D662" s="125"/>
      <c r="E662" s="126">
        <v>0.09</v>
      </c>
      <c r="F662" s="133"/>
      <c r="G662" s="133"/>
      <c r="H662" s="133"/>
      <c r="I662" s="128"/>
      <c r="K662" s="105" t="str">
        <f>IFERROR(__xludf.DUMMYFUNCTION("if(A662="""","""",substitute(SUBSTITUTE(index(importhtml(""http://finviz.com/quote.ashx?t=""&amp;A662,""table"",10),7,2),""*"",""""),""-"",""0.00""))"),"Loading...")</f>
        <v>Loading...</v>
      </c>
      <c r="L662" s="129">
        <v>1.0225681E7</v>
      </c>
      <c r="M662" s="99" t="e">
        <v>#N/A</v>
      </c>
    </row>
    <row r="663">
      <c r="A663" s="122" t="s">
        <v>1755</v>
      </c>
      <c r="B663" s="123">
        <v>1723047.0</v>
      </c>
      <c r="C663" s="124" t="s">
        <v>1756</v>
      </c>
      <c r="D663" s="125"/>
      <c r="E663" s="126">
        <v>0.09</v>
      </c>
      <c r="F663" s="127"/>
      <c r="G663" s="127"/>
      <c r="H663" s="127"/>
      <c r="I663" s="128"/>
      <c r="K663" s="105" t="str">
        <f>IFERROR(__xludf.DUMMYFUNCTION("if(A663="""","""",substitute(SUBSTITUTE(index(importhtml(""http://finviz.com/quote.ashx?t=""&amp;A663,""table"",10),7,2),""*"",""""),""-"",""0.00""))"),"Loading...")</f>
        <v>Loading...</v>
      </c>
      <c r="L663" s="129">
        <v>1.243033E7</v>
      </c>
      <c r="M663" s="99">
        <v>1.27</v>
      </c>
    </row>
    <row r="664">
      <c r="A664" s="122" t="s">
        <v>1757</v>
      </c>
      <c r="B664" s="123">
        <v>1558924.0</v>
      </c>
      <c r="C664" s="124" t="s">
        <v>1758</v>
      </c>
      <c r="D664" s="125"/>
      <c r="E664" s="126">
        <v>0.09</v>
      </c>
      <c r="F664" s="127"/>
      <c r="G664" s="127"/>
      <c r="H664" s="127"/>
      <c r="I664" s="128"/>
      <c r="K664" s="105" t="str">
        <f>IFERROR(__xludf.DUMMYFUNCTION("if(A664="""","""",substitute(SUBSTITUTE(index(importhtml(""http://finviz.com/quote.ashx?t=""&amp;A664,""table"",10),7,2),""*"",""""),""-"",""0.00""))"),"Loading...")</f>
        <v>Loading...</v>
      </c>
      <c r="L664" s="129">
        <v>1.5470212E7</v>
      </c>
      <c r="M664" s="99">
        <v>1.65</v>
      </c>
    </row>
    <row r="665">
      <c r="A665" s="122" t="s">
        <v>1759</v>
      </c>
      <c r="B665" s="123">
        <v>1715611.0</v>
      </c>
      <c r="C665" s="124" t="s">
        <v>1760</v>
      </c>
      <c r="D665" s="125"/>
      <c r="E665" s="126">
        <v>0.09</v>
      </c>
      <c r="F665" s="127"/>
      <c r="G665" s="127"/>
      <c r="H665" s="127"/>
      <c r="I665" s="128"/>
      <c r="K665" s="105" t="str">
        <f>IFERROR(__xludf.DUMMYFUNCTION("if(A665="""","""",substitute(SUBSTITUTE(index(importhtml(""http://finviz.com/quote.ashx?t=""&amp;A665,""table"",10),7,2),""*"",""""),""-"",""0.00""))"),"Loading...")</f>
        <v>Loading...</v>
      </c>
      <c r="L665" s="129">
        <v>1.7398319E7</v>
      </c>
      <c r="M665" s="99">
        <v>2.24</v>
      </c>
    </row>
    <row r="666">
      <c r="A666" s="122" t="s">
        <v>1761</v>
      </c>
      <c r="B666" s="123">
        <v>1175596.0</v>
      </c>
      <c r="C666" s="124" t="s">
        <v>1762</v>
      </c>
      <c r="D666" s="125"/>
      <c r="E666" s="126">
        <v>0.09</v>
      </c>
      <c r="F666" s="127"/>
      <c r="G666" s="127"/>
      <c r="H666" s="127"/>
      <c r="I666" s="128"/>
      <c r="K666" s="105" t="str">
        <f>IFERROR(__xludf.DUMMYFUNCTION("if(A666="""","""",substitute(SUBSTITUTE(index(importhtml(""http://finviz.com/quote.ashx?t=""&amp;A666,""table"",10),7,2),""*"",""""),""-"",""0.00""))"),"Loading...")</f>
        <v>Loading...</v>
      </c>
      <c r="L666" s="129">
        <v>2.1302598E7</v>
      </c>
      <c r="M666" s="99">
        <v>1.44</v>
      </c>
    </row>
    <row r="667">
      <c r="A667" s="122" t="s">
        <v>1763</v>
      </c>
      <c r="B667" s="123">
        <v>1783432.0</v>
      </c>
      <c r="C667" s="124" t="s">
        <v>1764</v>
      </c>
      <c r="D667" s="125"/>
      <c r="E667" s="126">
        <v>0.09</v>
      </c>
      <c r="F667" s="127"/>
      <c r="G667" s="127"/>
      <c r="H667" s="127"/>
      <c r="I667" s="128"/>
      <c r="K667" s="105" t="str">
        <f>IFERROR(__xludf.DUMMYFUNCTION("if(A667="""","""",substitute(SUBSTITUTE(index(importhtml(""http://finviz.com/quote.ashx?t=""&amp;A667,""table"",10),7,2),""*"",""""),""-"",""0.00""))"),"Loading...")</f>
        <v>Loading...</v>
      </c>
      <c r="L667" s="129">
        <v>2.9409016E7</v>
      </c>
      <c r="M667" s="99">
        <v>1.18</v>
      </c>
    </row>
    <row r="668">
      <c r="A668" s="122" t="s">
        <v>1765</v>
      </c>
      <c r="B668" s="123">
        <v>1864531.0</v>
      </c>
      <c r="C668" s="124" t="s">
        <v>1766</v>
      </c>
      <c r="D668" s="125"/>
      <c r="E668" s="126">
        <v>0.09</v>
      </c>
      <c r="F668" s="127"/>
      <c r="G668" s="127"/>
      <c r="H668" s="127"/>
      <c r="I668" s="128"/>
      <c r="K668" s="105" t="str">
        <f>IFERROR(__xludf.DUMMYFUNCTION("if(A668="""","""",substitute(SUBSTITUTE(index(importhtml(""http://finviz.com/quote.ashx?t=""&amp;A668,""table"",10),7,2),""*"",""""),""-"",""0.00""))"),"Loading...")</f>
        <v>Loading...</v>
      </c>
      <c r="L668" s="129">
        <v>4.3186778E7</v>
      </c>
      <c r="M668" s="99" t="str">
        <f>IFERROR(__xludf.DUMMYFUNCTION("GOOGLEFINANCE(A668,""beta"")"),"#N/A")</f>
        <v>#N/A</v>
      </c>
    </row>
    <row r="669">
      <c r="A669" s="122" t="s">
        <v>1767</v>
      </c>
      <c r="B669" s="123">
        <v>1914023.0</v>
      </c>
      <c r="C669" s="124" t="s">
        <v>1768</v>
      </c>
      <c r="D669" s="125"/>
      <c r="E669" s="126">
        <v>0.09</v>
      </c>
      <c r="F669" s="127"/>
      <c r="G669" s="127"/>
      <c r="H669" s="127"/>
      <c r="I669" s="128"/>
      <c r="K669" s="105" t="str">
        <f>IFERROR(__xludf.DUMMYFUNCTION("if(A669="""","""",substitute(SUBSTITUTE(index(importhtml(""http://finviz.com/quote.ashx?t=""&amp;A669,""table"",10),7,2),""*"",""""),""-"",""0.00""))"),"Loading...")</f>
        <v>Loading...</v>
      </c>
      <c r="L669" s="129">
        <v>6.017366E7</v>
      </c>
      <c r="M669" s="99" t="str">
        <f>IFERROR(__xludf.DUMMYFUNCTION("GOOGLEFINANCE(A669,""beta"")"),"#N/A")</f>
        <v>#N/A</v>
      </c>
    </row>
    <row r="670">
      <c r="A670" s="122" t="s">
        <v>1769</v>
      </c>
      <c r="B670" s="123">
        <v>1843993.0</v>
      </c>
      <c r="C670" s="124" t="s">
        <v>1770</v>
      </c>
      <c r="D670" s="125"/>
      <c r="E670" s="126">
        <v>0.09</v>
      </c>
      <c r="F670" s="127"/>
      <c r="G670" s="127"/>
      <c r="H670" s="127"/>
      <c r="I670" s="128"/>
      <c r="K670" s="105" t="str">
        <f>IFERROR(__xludf.DUMMYFUNCTION("if(A670="""","""",substitute(SUBSTITUTE(index(importhtml(""http://finviz.com/quote.ashx?t=""&amp;A670,""table"",10),7,2),""*"",""""),""-"",""0.00""))"),"Loading...")</f>
        <v>Loading...</v>
      </c>
      <c r="L670" s="129">
        <v>1.033029E8</v>
      </c>
      <c r="M670" s="99" t="str">
        <f>IFERROR(__xludf.DUMMYFUNCTION("GOOGLEFINANCE(A670,""beta"")"),"#N/A")</f>
        <v>#N/A</v>
      </c>
    </row>
    <row r="671">
      <c r="A671" s="122" t="s">
        <v>1771</v>
      </c>
      <c r="B671" s="123">
        <v>1641229.0</v>
      </c>
      <c r="C671" s="124" t="s">
        <v>1772</v>
      </c>
      <c r="D671" s="125"/>
      <c r="E671" s="126">
        <v>0.09</v>
      </c>
      <c r="F671" s="127"/>
      <c r="G671" s="127"/>
      <c r="H671" s="127"/>
      <c r="I671" s="128"/>
      <c r="K671" s="105" t="str">
        <f>IFERROR(__xludf.DUMMYFUNCTION("if(A671="""","""",substitute(SUBSTITUTE(index(importhtml(""http://finviz.com/quote.ashx?t=""&amp;A671,""table"",10),7,2),""*"",""""),""-"",""0.00""))"),"Loading...")</f>
        <v>Loading...</v>
      </c>
      <c r="L671" s="129">
        <v>1.05462373E8</v>
      </c>
      <c r="M671" s="99">
        <v>1.04</v>
      </c>
    </row>
    <row r="672">
      <c r="A672" s="122" t="s">
        <v>1773</v>
      </c>
      <c r="B672" s="123">
        <v>1753706.0</v>
      </c>
      <c r="C672" s="124" t="s">
        <v>1774</v>
      </c>
      <c r="D672" s="125"/>
      <c r="E672" s="126">
        <v>0.09</v>
      </c>
      <c r="F672" s="127"/>
      <c r="G672" s="127"/>
      <c r="H672" s="127"/>
      <c r="I672" s="128"/>
      <c r="K672" s="105" t="str">
        <f>IFERROR(__xludf.DUMMYFUNCTION("if(A672="""","""",substitute(SUBSTITUTE(index(importhtml(""http://finviz.com/quote.ashx?t=""&amp;A672,""table"",10),7,2),""*"",""""),""-"",""0.00""))"),"Loading...")</f>
        <v>Loading...</v>
      </c>
      <c r="L672" s="129">
        <v>1.714036E8</v>
      </c>
      <c r="M672" s="99">
        <v>1.13</v>
      </c>
    </row>
    <row r="673">
      <c r="A673" s="122" t="s">
        <v>1775</v>
      </c>
      <c r="B673" s="123">
        <v>1863362.0</v>
      </c>
      <c r="C673" s="124" t="s">
        <v>1776</v>
      </c>
      <c r="D673" s="125"/>
      <c r="E673" s="126">
        <v>0.09</v>
      </c>
      <c r="F673" s="127"/>
      <c r="G673" s="127"/>
      <c r="H673" s="127"/>
      <c r="I673" s="128"/>
      <c r="K673" s="105" t="str">
        <f>IFERROR(__xludf.DUMMYFUNCTION("if(A673="""","""",substitute(SUBSTITUTE(index(importhtml(""http://finviz.com/quote.ashx?t=""&amp;A673,""table"",10),7,2),""*"",""""),""-"",""0.00""))"),"Loading...")</f>
        <v>Loading...</v>
      </c>
      <c r="L673" s="129">
        <v>4.18086953E8</v>
      </c>
      <c r="M673" s="99">
        <v>0.03</v>
      </c>
    </row>
    <row r="674">
      <c r="A674" s="122" t="s">
        <v>1777</v>
      </c>
      <c r="B674" s="123">
        <v>1855756.0</v>
      </c>
      <c r="C674" s="124" t="s">
        <v>1778</v>
      </c>
      <c r="D674" s="125"/>
      <c r="E674" s="126">
        <v>0.09</v>
      </c>
      <c r="F674" s="127"/>
      <c r="G674" s="127"/>
      <c r="H674" s="127"/>
      <c r="I674" s="128"/>
      <c r="K674" s="105" t="str">
        <f>IFERROR(__xludf.DUMMYFUNCTION("if(A674="""","""",substitute(SUBSTITUTE(index(importhtml(""http://finviz.com/quote.ashx?t=""&amp;A674,""table"",10),7,2),""*"",""""),""-"",""0.00""))"),"Loading...")</f>
        <v>Loading...</v>
      </c>
      <c r="L674" s="129">
        <v>4.51763167E8</v>
      </c>
      <c r="M674" s="99">
        <v>2.26</v>
      </c>
    </row>
    <row r="675">
      <c r="A675" s="122" t="s">
        <v>1779</v>
      </c>
      <c r="B675" s="123">
        <v>1627041.0</v>
      </c>
      <c r="C675" s="124" t="s">
        <v>1780</v>
      </c>
      <c r="D675" s="125"/>
      <c r="E675" s="126">
        <v>0.1</v>
      </c>
      <c r="F675" s="127"/>
      <c r="G675" s="127"/>
      <c r="H675" s="127"/>
      <c r="I675" s="128"/>
      <c r="K675" s="105" t="str">
        <f>IFERROR(__xludf.DUMMYFUNCTION("if(A675="""","""",substitute(SUBSTITUTE(index(importhtml(""http://finviz.com/quote.ashx?t=""&amp;A675,""table"",10),7,2),""*"",""""),""-"",""0.00""))"),"Loading...")</f>
        <v>Loading...</v>
      </c>
      <c r="L675" s="129">
        <v>700000.0</v>
      </c>
      <c r="M675" s="99" t="str">
        <f>IFERROR(__xludf.DUMMYFUNCTION("GOOGLEFINANCE(A675,""beta"")"),"#N/A")</f>
        <v>#N/A</v>
      </c>
    </row>
    <row r="676">
      <c r="A676" s="122" t="s">
        <v>1781</v>
      </c>
      <c r="B676" s="123">
        <v>1398713.0</v>
      </c>
      <c r="C676" s="124" t="s">
        <v>1782</v>
      </c>
      <c r="D676" s="125"/>
      <c r="E676" s="126">
        <v>0.1</v>
      </c>
      <c r="F676" s="127"/>
      <c r="G676" s="127"/>
      <c r="H676" s="127"/>
      <c r="I676" s="128"/>
      <c r="K676" s="105" t="str">
        <f>IFERROR(__xludf.DUMMYFUNCTION("if(A676="""","""",substitute(SUBSTITUTE(index(importhtml(""http://finviz.com/quote.ashx?t=""&amp;A676,""table"",10),7,2),""*"",""""),""-"",""0.00""))"),"Loading...")</f>
        <v>Loading...</v>
      </c>
      <c r="L676" s="129">
        <v>811779.0</v>
      </c>
      <c r="M676" s="99">
        <v>1.84</v>
      </c>
    </row>
    <row r="677">
      <c r="A677" s="122" t="s">
        <v>1783</v>
      </c>
      <c r="B677" s="123">
        <v>856984.0</v>
      </c>
      <c r="C677" s="124" t="s">
        <v>1784</v>
      </c>
      <c r="D677" s="125"/>
      <c r="E677" s="126">
        <v>0.1</v>
      </c>
      <c r="F677" s="127"/>
      <c r="G677" s="127"/>
      <c r="H677" s="127"/>
      <c r="I677" s="128"/>
      <c r="K677" s="105" t="str">
        <f>IFERROR(__xludf.DUMMYFUNCTION("if(A677="""","""",substitute(SUBSTITUTE(index(importhtml(""http://finviz.com/quote.ashx?t=""&amp;A677,""table"",10),7,2),""*"",""""),""-"",""0.00""))"),"Loading...")</f>
        <v>Loading...</v>
      </c>
      <c r="L677" s="129">
        <v>973550.0</v>
      </c>
      <c r="M677" s="99">
        <v>-1.62</v>
      </c>
    </row>
    <row r="678">
      <c r="A678" s="122" t="s">
        <v>1785</v>
      </c>
      <c r="B678" s="123">
        <v>1757932.0</v>
      </c>
      <c r="C678" s="124" t="s">
        <v>1786</v>
      </c>
      <c r="D678" s="125"/>
      <c r="E678" s="126">
        <v>0.1</v>
      </c>
      <c r="F678" s="127"/>
      <c r="G678" s="127"/>
      <c r="H678" s="127"/>
      <c r="I678" s="128"/>
      <c r="K678" s="105" t="str">
        <f>IFERROR(__xludf.DUMMYFUNCTION("if(A678="""","""",substitute(SUBSTITUTE(index(importhtml(""http://finviz.com/quote.ashx?t=""&amp;A678,""table"",10),7,2),""*"",""""),""-"",""0.00""))"),"Loading...")</f>
        <v>Loading...</v>
      </c>
      <c r="L678" s="129">
        <v>2470020.0</v>
      </c>
      <c r="M678" s="99">
        <v>1.61</v>
      </c>
    </row>
    <row r="679">
      <c r="A679" s="122" t="s">
        <v>1787</v>
      </c>
      <c r="B679" s="123">
        <v>1837774.0</v>
      </c>
      <c r="C679" s="124" t="s">
        <v>1788</v>
      </c>
      <c r="D679" s="125"/>
      <c r="E679" s="126">
        <v>0.1</v>
      </c>
      <c r="F679" s="127"/>
      <c r="G679" s="127"/>
      <c r="H679" s="127"/>
      <c r="I679" s="128"/>
      <c r="K679" s="105" t="str">
        <f>IFERROR(__xludf.DUMMYFUNCTION("if(A679="""","""",substitute(SUBSTITUTE(index(importhtml(""http://finviz.com/quote.ashx?t=""&amp;A679,""table"",10),7,2),""*"",""""),""-"",""0.00""))"),"Loading...")</f>
        <v>Loading...</v>
      </c>
      <c r="L679" s="129">
        <v>2515010.0</v>
      </c>
      <c r="M679" s="99" t="str">
        <f>IFERROR(__xludf.DUMMYFUNCTION("GOOGLEFINANCE(A679,""beta"")"),"#N/A")</f>
        <v>#N/A</v>
      </c>
    </row>
    <row r="680">
      <c r="A680" s="122" t="s">
        <v>1789</v>
      </c>
      <c r="B680" s="123">
        <v>1508348.0</v>
      </c>
      <c r="C680" s="124" t="s">
        <v>1790</v>
      </c>
      <c r="D680" s="125"/>
      <c r="E680" s="126">
        <v>0.1</v>
      </c>
      <c r="F680" s="127"/>
      <c r="G680" s="127"/>
      <c r="H680" s="127"/>
      <c r="I680" s="128"/>
      <c r="K680" s="105" t="str">
        <f>IFERROR(__xludf.DUMMYFUNCTION("if(A680="""","""",substitute(SUBSTITUTE(index(importhtml(""http://finviz.com/quote.ashx?t=""&amp;A680,""table"",10),7,2),""*"",""""),""-"",""0.00""))"),"Loading...")</f>
        <v>Loading...</v>
      </c>
      <c r="L680" s="129">
        <v>2519080.0</v>
      </c>
      <c r="M680" s="99">
        <v>1.38</v>
      </c>
    </row>
    <row r="681">
      <c r="A681" s="122" t="s">
        <v>1791</v>
      </c>
      <c r="B681" s="123">
        <v>1689490.0</v>
      </c>
      <c r="C681" s="124" t="s">
        <v>1792</v>
      </c>
      <c r="D681" s="125"/>
      <c r="E681" s="126">
        <v>0.1</v>
      </c>
      <c r="F681" s="127"/>
      <c r="G681" s="127"/>
      <c r="H681" s="127"/>
      <c r="I681" s="128"/>
      <c r="K681" s="105" t="str">
        <f>IFERROR(__xludf.DUMMYFUNCTION("if(A681="""","""",substitute(SUBSTITUTE(index(importhtml(""http://finviz.com/quote.ashx?t=""&amp;A681,""table"",10),7,2),""*"",""""),""-"",""0.00""))"),"Loading...")</f>
        <v>Loading...</v>
      </c>
      <c r="L681" s="129">
        <v>2735740.0</v>
      </c>
      <c r="M681" s="99" t="str">
        <f>IFERROR(__xludf.DUMMYFUNCTION("GOOGLEFINANCE(A681,""beta"")"),"#N/A")</f>
        <v>#N/A</v>
      </c>
    </row>
    <row r="682">
      <c r="A682" s="122" t="s">
        <v>1793</v>
      </c>
      <c r="B682" s="123">
        <v>1088638.0</v>
      </c>
      <c r="C682" s="124" t="s">
        <v>1794</v>
      </c>
      <c r="D682" s="125"/>
      <c r="E682" s="126">
        <v>0.1</v>
      </c>
      <c r="F682" s="127"/>
      <c r="G682" s="127"/>
      <c r="H682" s="127"/>
      <c r="I682" s="128"/>
      <c r="K682" s="105" t="str">
        <f>IFERROR(__xludf.DUMMYFUNCTION("if(A682="""","""",substitute(SUBSTITUTE(index(importhtml(""http://finviz.com/quote.ashx?t=""&amp;A682,""table"",10),7,2),""*"",""""),""-"",""0.00""))"),"Loading...")</f>
        <v>Loading...</v>
      </c>
      <c r="L682" s="129">
        <v>3248221.0</v>
      </c>
      <c r="M682" s="99">
        <v>-0.49</v>
      </c>
    </row>
    <row r="683">
      <c r="A683" s="122" t="s">
        <v>1795</v>
      </c>
      <c r="B683" s="123">
        <v>1492448.0</v>
      </c>
      <c r="C683" s="124" t="s">
        <v>1796</v>
      </c>
      <c r="D683" s="125"/>
      <c r="E683" s="126">
        <v>0.1</v>
      </c>
      <c r="F683" s="127"/>
      <c r="G683" s="127"/>
      <c r="H683" s="127"/>
      <c r="I683" s="128"/>
      <c r="K683" s="105" t="str">
        <f>IFERROR(__xludf.DUMMYFUNCTION("if(A683="""","""",substitute(SUBSTITUTE(index(importhtml(""http://finviz.com/quote.ashx?t=""&amp;A683,""table"",10),7,2),""*"",""""),""-"",""0.00""))"),"Loading...")</f>
        <v>Loading...</v>
      </c>
      <c r="L683" s="129">
        <v>3999710.0</v>
      </c>
      <c r="M683" s="99">
        <v>-0.85</v>
      </c>
    </row>
    <row r="684">
      <c r="A684" s="122" t="s">
        <v>1797</v>
      </c>
      <c r="B684" s="123">
        <v>1023198.0</v>
      </c>
      <c r="C684" s="124" t="s">
        <v>1798</v>
      </c>
      <c r="D684" s="125"/>
      <c r="E684" s="126">
        <v>0.1</v>
      </c>
      <c r="F684" s="127"/>
      <c r="G684" s="127"/>
      <c r="H684" s="127"/>
      <c r="I684" s="128"/>
      <c r="K684" s="105" t="str">
        <f>IFERROR(__xludf.DUMMYFUNCTION("if(A684="""","""",substitute(SUBSTITUTE(index(importhtml(""http://finviz.com/quote.ashx?t=""&amp;A684,""table"",10),7,2),""*"",""""),""-"",""0.00""))"),"Loading...")</f>
        <v>Loading...</v>
      </c>
      <c r="L684" s="129">
        <v>4567110.0</v>
      </c>
      <c r="M684" s="99" t="str">
        <f>IFERROR(__xludf.DUMMYFUNCTION("GOOGLEFINANCE(A684,""beta"")"),"#N/A")</f>
        <v>#N/A</v>
      </c>
    </row>
    <row r="685">
      <c r="A685" s="122" t="s">
        <v>1799</v>
      </c>
      <c r="B685" s="123">
        <v>1413754.0</v>
      </c>
      <c r="C685" s="124" t="s">
        <v>1800</v>
      </c>
      <c r="D685" s="125"/>
      <c r="E685" s="126">
        <v>0.1</v>
      </c>
      <c r="F685" s="127"/>
      <c r="G685" s="127"/>
      <c r="H685" s="127"/>
      <c r="I685" s="128"/>
      <c r="K685" s="105" t="str">
        <f>IFERROR(__xludf.DUMMYFUNCTION("if(A685="""","""",substitute(SUBSTITUTE(index(importhtml(""http://finviz.com/quote.ashx?t=""&amp;A685,""table"",10),7,2),""*"",""""),""-"",""0.00""))"),"#N/A")</f>
        <v>#N/A</v>
      </c>
      <c r="L685" s="129">
        <v>4666680.0</v>
      </c>
      <c r="M685" s="99">
        <v>-1.11</v>
      </c>
    </row>
    <row r="686">
      <c r="A686" s="122" t="s">
        <v>1801</v>
      </c>
      <c r="B686" s="123">
        <v>1585608.0</v>
      </c>
      <c r="C686" s="124" t="s">
        <v>1802</v>
      </c>
      <c r="D686" s="125"/>
      <c r="E686" s="126">
        <v>0.1</v>
      </c>
      <c r="F686" s="127"/>
      <c r="G686" s="127"/>
      <c r="H686" s="127"/>
      <c r="I686" s="128"/>
      <c r="K686" s="105" t="str">
        <f>IFERROR(__xludf.DUMMYFUNCTION("if(A686="""","""",substitute(SUBSTITUTE(index(importhtml(""http://finviz.com/quote.ashx?t=""&amp;A686,""table"",10),7,2),""*"",""""),""-"",""0.00""))"),"Loading...")</f>
        <v>Loading...</v>
      </c>
      <c r="L686" s="129">
        <v>4898399.0</v>
      </c>
      <c r="M686" s="99">
        <v>1.17</v>
      </c>
    </row>
    <row r="687">
      <c r="A687" s="122" t="s">
        <v>1803</v>
      </c>
      <c r="B687" s="123">
        <v>1259942.0</v>
      </c>
      <c r="C687" s="124" t="s">
        <v>1804</v>
      </c>
      <c r="D687" s="125"/>
      <c r="E687" s="126">
        <v>0.1</v>
      </c>
      <c r="F687" s="127"/>
      <c r="G687" s="127"/>
      <c r="H687" s="127"/>
      <c r="I687" s="128"/>
      <c r="K687" s="105" t="str">
        <f>IFERROR(__xludf.DUMMYFUNCTION("if(A687="""","""",substitute(SUBSTITUTE(index(importhtml(""http://finviz.com/quote.ashx?t=""&amp;A687,""table"",10),7,2),""*"",""""),""-"",""0.00""))"),"Loading...")</f>
        <v>Loading...</v>
      </c>
      <c r="L687" s="129">
        <v>4939987.0</v>
      </c>
      <c r="M687" s="99" t="str">
        <f>IFERROR(__xludf.DUMMYFUNCTION("GOOGLEFINANCE(A687,""beta"")"),"#N/A")</f>
        <v>#N/A</v>
      </c>
    </row>
    <row r="688">
      <c r="A688" s="122" t="s">
        <v>1805</v>
      </c>
      <c r="B688" s="123">
        <v>1737995.0</v>
      </c>
      <c r="C688" s="124" t="s">
        <v>1806</v>
      </c>
      <c r="D688" s="125"/>
      <c r="E688" s="126">
        <v>0.1</v>
      </c>
      <c r="F688" s="127"/>
      <c r="G688" s="127"/>
      <c r="H688" s="127"/>
      <c r="I688" s="128"/>
      <c r="K688" s="105" t="str">
        <f>IFERROR(__xludf.DUMMYFUNCTION("if(A688="""","""",substitute(SUBSTITUTE(index(importhtml(""http://finviz.com/quote.ashx?t=""&amp;A688,""table"",10),7,2),""*"",""""),""-"",""0.00""))"),"Loading...")</f>
        <v>Loading...</v>
      </c>
      <c r="L688" s="129">
        <v>5089450.0</v>
      </c>
      <c r="M688" s="99">
        <f>IFERROR(__xludf.DUMMYFUNCTION("GOOGLEFINANCE(A688,""beta"")"),2.01)</f>
        <v>2.01</v>
      </c>
    </row>
    <row r="689">
      <c r="A689" s="122" t="s">
        <v>1807</v>
      </c>
      <c r="B689" s="123">
        <v>1358633.0</v>
      </c>
      <c r="C689" s="124" t="s">
        <v>1808</v>
      </c>
      <c r="D689" s="125"/>
      <c r="E689" s="126">
        <v>0.1</v>
      </c>
      <c r="F689" s="127"/>
      <c r="G689" s="127"/>
      <c r="H689" s="127"/>
      <c r="I689" s="128"/>
      <c r="K689" s="105" t="str">
        <f>IFERROR(__xludf.DUMMYFUNCTION("if(A689="""","""",substitute(SUBSTITUTE(index(importhtml(""http://finviz.com/quote.ashx?t=""&amp;A689,""table"",10),7,2),""*"",""""),""-"",""0.00""))"),"Loading...")</f>
        <v>Loading...</v>
      </c>
      <c r="L689" s="129">
        <v>5528520.0</v>
      </c>
      <c r="M689" s="99">
        <v>2.36</v>
      </c>
    </row>
    <row r="690">
      <c r="A690" s="122" t="s">
        <v>1809</v>
      </c>
      <c r="B690" s="123">
        <v>1485029.0</v>
      </c>
      <c r="C690" s="124" t="s">
        <v>1810</v>
      </c>
      <c r="D690" s="125"/>
      <c r="E690" s="126">
        <v>0.1</v>
      </c>
      <c r="F690" s="127"/>
      <c r="G690" s="127"/>
      <c r="H690" s="127"/>
      <c r="I690" s="128"/>
      <c r="K690" s="105" t="str">
        <f>IFERROR(__xludf.DUMMYFUNCTION("if(A690="""","""",substitute(SUBSTITUTE(index(importhtml(""http://finviz.com/quote.ashx?t=""&amp;A690,""table"",10),7,2),""*"",""""),""-"",""0.00""))"),"Loading...")</f>
        <v>Loading...</v>
      </c>
      <c r="L690" s="129">
        <v>7604160.0</v>
      </c>
      <c r="M690" s="99">
        <v>2.2</v>
      </c>
    </row>
    <row r="691">
      <c r="A691" s="122" t="s">
        <v>1811</v>
      </c>
      <c r="B691" s="123">
        <v>1374567.0</v>
      </c>
      <c r="C691" s="124" t="s">
        <v>1812</v>
      </c>
      <c r="D691" s="125"/>
      <c r="E691" s="126">
        <v>0.1</v>
      </c>
      <c r="F691" s="127"/>
      <c r="G691" s="127"/>
      <c r="H691" s="127"/>
      <c r="I691" s="128"/>
      <c r="K691" s="105" t="str">
        <f>IFERROR(__xludf.DUMMYFUNCTION("if(A691="""","""",substitute(SUBSTITUTE(index(importhtml(""http://finviz.com/quote.ashx?t=""&amp;A691,""table"",10),7,2),""*"",""""),""-"",""0.00""))"),"Loading...")</f>
        <v>Loading...</v>
      </c>
      <c r="L691" s="129">
        <v>7654770.0</v>
      </c>
      <c r="M691" s="99">
        <v>2.12</v>
      </c>
    </row>
    <row r="692">
      <c r="A692" s="122" t="s">
        <v>1813</v>
      </c>
      <c r="B692" s="123">
        <v>1023364.0</v>
      </c>
      <c r="C692" s="124" t="s">
        <v>1814</v>
      </c>
      <c r="D692" s="125"/>
      <c r="E692" s="126">
        <v>0.1</v>
      </c>
      <c r="F692" s="127"/>
      <c r="G692" s="127"/>
      <c r="H692" s="127"/>
      <c r="I692" s="128"/>
      <c r="K692" s="105" t="str">
        <f>IFERROR(__xludf.DUMMYFUNCTION("if(A692="""","""",substitute(SUBSTITUTE(index(importhtml(""http://finviz.com/quote.ashx?t=""&amp;A692,""table"",10),7,2),""*"",""""),""-"",""0.00""))"),"Loading...")</f>
        <v>Loading...</v>
      </c>
      <c r="L692" s="129">
        <v>7664310.0</v>
      </c>
      <c r="M692" s="99">
        <v>-9.09</v>
      </c>
    </row>
    <row r="693">
      <c r="A693" s="122" t="s">
        <v>1815</v>
      </c>
      <c r="B693" s="123">
        <v>894158.0</v>
      </c>
      <c r="C693" s="124" t="s">
        <v>1816</v>
      </c>
      <c r="D693" s="125"/>
      <c r="E693" s="126">
        <v>0.1</v>
      </c>
      <c r="F693" s="127"/>
      <c r="G693" s="127"/>
      <c r="H693" s="127"/>
      <c r="I693" s="128"/>
      <c r="K693" s="105" t="str">
        <f>IFERROR(__xludf.DUMMYFUNCTION("if(A693="""","""",substitute(SUBSTITUTE(index(importhtml(""http://finviz.com/quote.ashx?t=""&amp;A693,""table"",10),7,2),""*"",""""),""-"",""0.00""))"),"Loading...")</f>
        <v>Loading...</v>
      </c>
      <c r="L693" s="129">
        <v>7804067.0</v>
      </c>
      <c r="M693" s="99" t="str">
        <f>IFERROR(__xludf.DUMMYFUNCTION("GOOGLEFINANCE(A693,""beta"")"),"#N/A")</f>
        <v>#N/A</v>
      </c>
    </row>
    <row r="694">
      <c r="A694" s="122" t="s">
        <v>1817</v>
      </c>
      <c r="B694" s="123">
        <v>1806904.0</v>
      </c>
      <c r="C694" s="124" t="s">
        <v>1818</v>
      </c>
      <c r="D694" s="125"/>
      <c r="E694" s="126">
        <v>0.1</v>
      </c>
      <c r="F694" s="127"/>
      <c r="G694" s="127"/>
      <c r="H694" s="127"/>
      <c r="I694" s="128"/>
      <c r="K694" s="105" t="str">
        <f>IFERROR(__xludf.DUMMYFUNCTION("if(A694="""","""",substitute(SUBSTITUTE(index(importhtml(""http://finviz.com/quote.ashx?t=""&amp;A694,""table"",10),7,2),""*"",""""),""-"",""0.00""))"),"Loading...")</f>
        <v>Loading...</v>
      </c>
      <c r="L694" s="129">
        <v>9837312.0</v>
      </c>
      <c r="M694" s="99">
        <v>2.01</v>
      </c>
    </row>
    <row r="695">
      <c r="A695" s="122" t="s">
        <v>1819</v>
      </c>
      <c r="B695" s="123">
        <v>1784168.0</v>
      </c>
      <c r="C695" s="124" t="s">
        <v>1820</v>
      </c>
      <c r="D695" s="125"/>
      <c r="E695" s="126">
        <v>0.1</v>
      </c>
      <c r="F695" s="127"/>
      <c r="G695" s="127"/>
      <c r="H695" s="127"/>
      <c r="I695" s="128"/>
      <c r="K695" s="105" t="str">
        <f>IFERROR(__xludf.DUMMYFUNCTION("if(A695="""","""",substitute(SUBSTITUTE(index(importhtml(""http://finviz.com/quote.ashx?t=""&amp;A695,""table"",10),7,2),""*"",""""),""-"",""0.00""))"),"Loading...")</f>
        <v>Loading...</v>
      </c>
      <c r="L695" s="129">
        <v>1.2700107E7</v>
      </c>
      <c r="M695" s="99">
        <v>3.55</v>
      </c>
    </row>
    <row r="696">
      <c r="A696" s="122" t="s">
        <v>1821</v>
      </c>
      <c r="B696" s="123">
        <v>1842966.0</v>
      </c>
      <c r="C696" s="124" t="s">
        <v>1822</v>
      </c>
      <c r="D696" s="125"/>
      <c r="E696" s="126">
        <v>0.1</v>
      </c>
      <c r="F696" s="127"/>
      <c r="G696" s="127"/>
      <c r="H696" s="127"/>
      <c r="I696" s="128"/>
      <c r="K696" s="105" t="str">
        <f>IFERROR(__xludf.DUMMYFUNCTION("if(A696="""","""",substitute(SUBSTITUTE(index(importhtml(""http://finviz.com/quote.ashx?t=""&amp;A696,""table"",10),7,2),""*"",""""),""-"",""0.00""))"),"Loading...")</f>
        <v>Loading...</v>
      </c>
      <c r="L696" s="129">
        <v>1.3014999E7</v>
      </c>
      <c r="M696" s="99">
        <v>0.23</v>
      </c>
    </row>
    <row r="697">
      <c r="A697" s="122" t="s">
        <v>1823</v>
      </c>
      <c r="B697" s="123">
        <v>1712762.0</v>
      </c>
      <c r="C697" s="124" t="s">
        <v>1824</v>
      </c>
      <c r="D697" s="125"/>
      <c r="E697" s="126">
        <v>0.1</v>
      </c>
      <c r="F697" s="127"/>
      <c r="G697" s="127"/>
      <c r="H697" s="127"/>
      <c r="I697" s="128"/>
      <c r="K697" s="105" t="str">
        <f>IFERROR(__xludf.DUMMYFUNCTION("if(A697="""","""",substitute(SUBSTITUTE(index(importhtml(""http://finviz.com/quote.ashx?t=""&amp;A697,""table"",10),7,2),""*"",""""),""-"",""0.00""))"),"Loading...")</f>
        <v>Loading...</v>
      </c>
      <c r="L697" s="129">
        <v>1.5013539E7</v>
      </c>
      <c r="M697" s="99">
        <f>IFERROR(__xludf.DUMMYFUNCTION("GOOGLEFINANCE(A697,""beta"")"),6.71)</f>
        <v>6.71</v>
      </c>
    </row>
    <row r="698">
      <c r="A698" s="122" t="s">
        <v>1825</v>
      </c>
      <c r="B698" s="123">
        <v>1819794.0</v>
      </c>
      <c r="C698" s="124" t="s">
        <v>1826</v>
      </c>
      <c r="D698" s="125"/>
      <c r="E698" s="126">
        <v>0.1</v>
      </c>
      <c r="F698" s="127"/>
      <c r="G698" s="127"/>
      <c r="H698" s="127"/>
      <c r="I698" s="128"/>
      <c r="K698" s="105" t="str">
        <f>IFERROR(__xludf.DUMMYFUNCTION("if(A698="""","""",substitute(SUBSTITUTE(index(importhtml(""http://finviz.com/quote.ashx?t=""&amp;A698,""table"",10),7,2),""*"",""""),""-"",""0.00""))"),"Loading...")</f>
        <v>Loading...</v>
      </c>
      <c r="L698" s="129">
        <v>1.5798518E7</v>
      </c>
      <c r="M698" s="99">
        <v>1.41</v>
      </c>
    </row>
    <row r="699">
      <c r="A699" s="122" t="s">
        <v>1827</v>
      </c>
      <c r="B699" s="123">
        <v>1777319.0</v>
      </c>
      <c r="C699" s="124" t="s">
        <v>1828</v>
      </c>
      <c r="D699" s="125"/>
      <c r="E699" s="126">
        <v>0.1</v>
      </c>
      <c r="F699" s="127"/>
      <c r="G699" s="127"/>
      <c r="H699" s="127"/>
      <c r="I699" s="128"/>
      <c r="K699" s="105" t="str">
        <f>IFERROR(__xludf.DUMMYFUNCTION("if(A699="""","""",substitute(SUBSTITUTE(index(importhtml(""http://finviz.com/quote.ashx?t=""&amp;A699,""table"",10),7,2),""*"",""""),""-"",""0.00""))"),"Loading...")</f>
        <v>Loading...</v>
      </c>
      <c r="L699" s="129">
        <v>1.668885E7</v>
      </c>
      <c r="M699" s="99">
        <v>1.59</v>
      </c>
    </row>
    <row r="700">
      <c r="A700" s="122" t="s">
        <v>1829</v>
      </c>
      <c r="B700" s="123">
        <v>1622057.0</v>
      </c>
      <c r="C700" s="124" t="s">
        <v>1830</v>
      </c>
      <c r="D700" s="125"/>
      <c r="E700" s="126">
        <v>0.1</v>
      </c>
      <c r="F700" s="127"/>
      <c r="G700" s="127"/>
      <c r="H700" s="127"/>
      <c r="I700" s="128"/>
      <c r="K700" s="105" t="str">
        <f>IFERROR(__xludf.DUMMYFUNCTION("if(A700="""","""",substitute(SUBSTITUTE(index(importhtml(""http://finviz.com/quote.ashx?t=""&amp;A700,""table"",10),7,2),""*"",""""),""-"",""0.00""))"),"Loading...")</f>
        <v>Loading...</v>
      </c>
      <c r="L700" s="129">
        <v>1.7345488E7</v>
      </c>
      <c r="M700" s="99">
        <v>-3.14</v>
      </c>
    </row>
    <row r="701">
      <c r="A701" s="122" t="s">
        <v>1831</v>
      </c>
      <c r="B701" s="123">
        <v>1440153.0</v>
      </c>
      <c r="C701" s="124" t="s">
        <v>1832</v>
      </c>
      <c r="D701" s="125"/>
      <c r="E701" s="126">
        <v>0.1</v>
      </c>
      <c r="F701" s="127"/>
      <c r="G701" s="127"/>
      <c r="H701" s="127"/>
      <c r="I701" s="128"/>
      <c r="K701" s="105" t="str">
        <f>IFERROR(__xludf.DUMMYFUNCTION("if(A701="""","""",substitute(SUBSTITUTE(index(importhtml(""http://finviz.com/quote.ashx?t=""&amp;A701,""table"",10),7,2),""*"",""""),""-"",""0.00""))"),"Loading...")</f>
        <v>Loading...</v>
      </c>
      <c r="L701" s="129">
        <v>3.01303E7</v>
      </c>
      <c r="M701" s="99">
        <v>0.34</v>
      </c>
    </row>
    <row r="702">
      <c r="A702" s="122" t="s">
        <v>1833</v>
      </c>
      <c r="B702" s="123">
        <v>1828522.0</v>
      </c>
      <c r="C702" s="124" t="s">
        <v>1834</v>
      </c>
      <c r="D702" s="125"/>
      <c r="E702" s="126">
        <v>0.1</v>
      </c>
      <c r="F702" s="127"/>
      <c r="G702" s="127"/>
      <c r="H702" s="127"/>
      <c r="I702" s="128"/>
      <c r="K702" s="105" t="str">
        <f>IFERROR(__xludf.DUMMYFUNCTION("if(A702="""","""",substitute(SUBSTITUTE(index(importhtml(""http://finviz.com/quote.ashx?t=""&amp;A702,""table"",10),7,2),""*"",""""),""-"",""0.00""))"),"Loading...")</f>
        <v>Loading...</v>
      </c>
      <c r="L702" s="129">
        <v>3.2510302E7</v>
      </c>
      <c r="M702" s="99" t="str">
        <f>IFERROR(__xludf.DUMMYFUNCTION("GOOGLEFINANCE(A702,""beta"")"),"#N/A")</f>
        <v>#N/A</v>
      </c>
    </row>
    <row r="703">
      <c r="A703" s="122" t="s">
        <v>1835</v>
      </c>
      <c r="B703" s="123">
        <v>352960.0</v>
      </c>
      <c r="C703" s="124" t="s">
        <v>1836</v>
      </c>
      <c r="D703" s="125"/>
      <c r="E703" s="126">
        <v>0.1</v>
      </c>
      <c r="F703" s="127"/>
      <c r="G703" s="127"/>
      <c r="H703" s="127"/>
      <c r="I703" s="128"/>
      <c r="K703" s="105" t="str">
        <f>IFERROR(__xludf.DUMMYFUNCTION("if(A703="""","""",substitute(SUBSTITUTE(index(importhtml(""http://finviz.com/quote.ashx?t=""&amp;A703,""table"",10),7,2),""*"",""""),""-"",""0.00""))"),"Loading...")</f>
        <v>Loading...</v>
      </c>
      <c r="L703" s="129">
        <v>3.4886336E7</v>
      </c>
      <c r="M703" s="99" t="str">
        <f>IFERROR(__xludf.DUMMYFUNCTION("GOOGLEFINANCE(A703,""beta"")"),"#N/A")</f>
        <v>#N/A</v>
      </c>
    </row>
    <row r="704">
      <c r="A704" s="122" t="s">
        <v>1837</v>
      </c>
      <c r="B704" s="123">
        <v>1850262.0</v>
      </c>
      <c r="C704" s="124" t="s">
        <v>1838</v>
      </c>
      <c r="D704" s="125"/>
      <c r="E704" s="126">
        <v>0.1</v>
      </c>
      <c r="F704" s="127"/>
      <c r="G704" s="127"/>
      <c r="H704" s="127"/>
      <c r="I704" s="128"/>
      <c r="K704" s="105" t="str">
        <f>IFERROR(__xludf.DUMMYFUNCTION("if(A704="""","""",substitute(SUBSTITUTE(index(importhtml(""http://finviz.com/quote.ashx?t=""&amp;A704,""table"",10),7,2),""*"",""""),""-"",""0.00""))"),"Loading...")</f>
        <v>Loading...</v>
      </c>
      <c r="L704" s="129">
        <v>4.411429E7</v>
      </c>
      <c r="M704" s="99">
        <f>IFERROR(__xludf.DUMMYFUNCTION("GOOGLEFINANCE(A704,""beta"")"),0.53)</f>
        <v>0.53</v>
      </c>
    </row>
    <row r="705">
      <c r="A705" s="122" t="s">
        <v>1839</v>
      </c>
      <c r="B705" s="123">
        <v>1066764.0</v>
      </c>
      <c r="C705" s="124" t="s">
        <v>1840</v>
      </c>
      <c r="D705" s="125"/>
      <c r="E705" s="126">
        <v>0.1</v>
      </c>
      <c r="F705" s="127"/>
      <c r="G705" s="127"/>
      <c r="H705" s="127"/>
      <c r="I705" s="128"/>
      <c r="K705" s="105" t="str">
        <f>IFERROR(__xludf.DUMMYFUNCTION("if(A705="""","""",substitute(SUBSTITUTE(index(importhtml(""http://finviz.com/quote.ashx?t=""&amp;A705,""table"",10),7,2),""*"",""""),""-"",""0.00""))"),"Loading...")</f>
        <v>Loading...</v>
      </c>
      <c r="L705" s="129">
        <v>4.6202636E7</v>
      </c>
      <c r="M705" s="99">
        <v>-0.7</v>
      </c>
    </row>
    <row r="706">
      <c r="A706" s="122" t="s">
        <v>1841</v>
      </c>
      <c r="B706" s="123">
        <v>1889123.0</v>
      </c>
      <c r="C706" s="124" t="s">
        <v>1842</v>
      </c>
      <c r="D706" s="125"/>
      <c r="E706" s="126">
        <v>0.1</v>
      </c>
      <c r="F706" s="127"/>
      <c r="G706" s="127"/>
      <c r="H706" s="127"/>
      <c r="I706" s="128"/>
      <c r="K706" s="105" t="str">
        <f>IFERROR(__xludf.DUMMYFUNCTION("if(A706="""","""",substitute(SUBSTITUTE(index(importhtml(""http://finviz.com/quote.ashx?t=""&amp;A706,""table"",10),7,2),""*"",""""),""-"",""0.00""))"),"#N/A")</f>
        <v>#N/A</v>
      </c>
      <c r="L706" s="129">
        <v>4.995778E7</v>
      </c>
      <c r="M706" s="99" t="str">
        <f>IFERROR(__xludf.DUMMYFUNCTION("GOOGLEFINANCE(A706,""beta"")"),"#N/A")</f>
        <v>#N/A</v>
      </c>
    </row>
    <row r="707">
      <c r="A707" s="122" t="s">
        <v>1843</v>
      </c>
      <c r="B707" s="123">
        <v>1841125.0</v>
      </c>
      <c r="C707" s="124" t="s">
        <v>1844</v>
      </c>
      <c r="D707" s="125"/>
      <c r="E707" s="126">
        <v>0.1</v>
      </c>
      <c r="F707" s="127"/>
      <c r="G707" s="127"/>
      <c r="H707" s="127"/>
      <c r="I707" s="128"/>
      <c r="K707" s="105" t="str">
        <f>IFERROR(__xludf.DUMMYFUNCTION("if(A707="""","""",substitute(SUBSTITUTE(index(importhtml(""http://finviz.com/quote.ashx?t=""&amp;A707,""table"",10),7,2),""*"",""""),""-"",""0.00""))"),"Loading...")</f>
        <v>Loading...</v>
      </c>
      <c r="L707" s="129">
        <v>8.27019E7</v>
      </c>
      <c r="M707" s="99" t="str">
        <f>IFERROR(__xludf.DUMMYFUNCTION("GOOGLEFINANCE(A707,""beta"")"),"#N/A")</f>
        <v>#N/A</v>
      </c>
    </row>
    <row r="708">
      <c r="A708" s="122" t="s">
        <v>1845</v>
      </c>
      <c r="B708" s="123">
        <v>1865506.0</v>
      </c>
      <c r="C708" s="124" t="s">
        <v>1846</v>
      </c>
      <c r="D708" s="125"/>
      <c r="E708" s="126">
        <v>0.1</v>
      </c>
      <c r="F708" s="127"/>
      <c r="G708" s="127"/>
      <c r="H708" s="127"/>
      <c r="I708" s="128"/>
      <c r="K708" s="105" t="str">
        <f>IFERROR(__xludf.DUMMYFUNCTION("if(A708="""","""",substitute(SUBSTITUTE(index(importhtml(""http://finviz.com/quote.ashx?t=""&amp;A708,""table"",10),7,2),""*"",""""),""-"",""0.00""))"),"Loading...")</f>
        <v>Loading...</v>
      </c>
      <c r="L708" s="129">
        <v>9.4219014E7</v>
      </c>
      <c r="M708" s="99" t="str">
        <f>IFERROR(__xludf.DUMMYFUNCTION("GOOGLEFINANCE(A708,""beta"")"),"#N/A")</f>
        <v>#N/A</v>
      </c>
    </row>
    <row r="709">
      <c r="A709" s="122" t="s">
        <v>1847</v>
      </c>
      <c r="B709" s="123">
        <v>1893219.0</v>
      </c>
      <c r="C709" s="124" t="s">
        <v>1174</v>
      </c>
      <c r="D709" s="125"/>
      <c r="E709" s="126">
        <v>0.1</v>
      </c>
      <c r="F709" s="127"/>
      <c r="G709" s="127"/>
      <c r="H709" s="127"/>
      <c r="I709" s="128"/>
      <c r="K709" s="105" t="str">
        <f>IFERROR(__xludf.DUMMYFUNCTION("if(A709="""","""",substitute(SUBSTITUTE(index(importhtml(""http://finviz.com/quote.ashx?t=""&amp;A709,""table"",10),7,2),""*"",""""),""-"",""0.00""))"),"Loading...")</f>
        <v>Loading...</v>
      </c>
      <c r="L709" s="129">
        <v>1.241201E8</v>
      </c>
      <c r="M709" s="99" t="str">
        <f>IFERROR(__xludf.DUMMYFUNCTION("GOOGLEFINANCE(A709,""beta"")"),"#N/A")</f>
        <v>#N/A</v>
      </c>
    </row>
    <row r="710">
      <c r="A710" s="122" t="s">
        <v>1848</v>
      </c>
      <c r="B710" s="123">
        <v>1855474.0</v>
      </c>
      <c r="C710" s="124" t="s">
        <v>1849</v>
      </c>
      <c r="D710" s="125"/>
      <c r="E710" s="126">
        <v>0.1</v>
      </c>
      <c r="F710" s="127"/>
      <c r="G710" s="127"/>
      <c r="H710" s="127"/>
      <c r="I710" s="128"/>
      <c r="K710" s="105" t="str">
        <f>IFERROR(__xludf.DUMMYFUNCTION("if(A710="""","""",substitute(SUBSTITUTE(index(importhtml(""http://finviz.com/quote.ashx?t=""&amp;A710,""table"",10),7,2),""*"",""""),""-"",""0.00""))"),"Loading...")</f>
        <v>Loading...</v>
      </c>
      <c r="L710" s="129">
        <v>1.923712E8</v>
      </c>
      <c r="M710" s="99" t="str">
        <f>IFERROR(__xludf.DUMMYFUNCTION("GOOGLEFINANCE(A710,""beta"")"),"#N/A")</f>
        <v>#N/A</v>
      </c>
    </row>
    <row r="711">
      <c r="A711" s="122" t="s">
        <v>1850</v>
      </c>
      <c r="B711" s="123">
        <v>1845550.0</v>
      </c>
      <c r="C711" s="124" t="s">
        <v>1851</v>
      </c>
      <c r="D711" s="125"/>
      <c r="E711" s="126">
        <v>0.1</v>
      </c>
      <c r="F711" s="127"/>
      <c r="G711" s="127"/>
      <c r="H711" s="127"/>
      <c r="I711" s="128"/>
      <c r="K711" s="105" t="str">
        <f>IFERROR(__xludf.DUMMYFUNCTION("if(A711="""","""",substitute(SUBSTITUTE(index(importhtml(""http://finviz.com/quote.ashx?t=""&amp;A711,""table"",10),7,2),""*"",""""),""-"",""0.00""))"),"Loading...")</f>
        <v>Loading...</v>
      </c>
      <c r="L711" s="129">
        <v>2.42755692E8</v>
      </c>
      <c r="M711" s="99" t="str">
        <f>IFERROR(__xludf.DUMMYFUNCTION("GOOGLEFINANCE(A711,""beta"")"),"#N/A")</f>
        <v>#N/A</v>
      </c>
    </row>
    <row r="712">
      <c r="A712" s="122" t="s">
        <v>1852</v>
      </c>
      <c r="B712" s="123">
        <v>1838672.0</v>
      </c>
      <c r="C712" s="124" t="s">
        <v>1853</v>
      </c>
      <c r="D712" s="125"/>
      <c r="E712" s="126">
        <v>0.1</v>
      </c>
      <c r="F712" s="127"/>
      <c r="G712" s="127"/>
      <c r="H712" s="127"/>
      <c r="I712" s="128"/>
      <c r="K712" s="105" t="str">
        <f>IFERROR(__xludf.DUMMYFUNCTION("if(A712="""","""",substitute(SUBSTITUTE(index(importhtml(""http://finviz.com/quote.ashx?t=""&amp;A712,""table"",10),7,2),""*"",""""),""-"",""0.00""))"),"Loading...")</f>
        <v>Loading...</v>
      </c>
      <c r="L712" s="129">
        <v>2.47077287E8</v>
      </c>
      <c r="M712" s="99" t="str">
        <f>IFERROR(__xludf.DUMMYFUNCTION("GOOGLEFINANCE(A712,""beta"")"),"#N/A")</f>
        <v>#N/A</v>
      </c>
    </row>
    <row r="713">
      <c r="A713" s="122" t="s">
        <v>1854</v>
      </c>
      <c r="B713" s="123">
        <v>23111.0</v>
      </c>
      <c r="C713" s="124" t="s">
        <v>1855</v>
      </c>
      <c r="D713" s="125"/>
      <c r="E713" s="126">
        <v>0.1</v>
      </c>
      <c r="F713" s="127"/>
      <c r="G713" s="127"/>
      <c r="H713" s="127"/>
      <c r="I713" s="128"/>
      <c r="K713" s="105" t="str">
        <f>IFERROR(__xludf.DUMMYFUNCTION("if(A713="""","""",substitute(SUBSTITUTE(index(importhtml(""http://finviz.com/quote.ashx?t=""&amp;A713,""table"",10),7,2),""*"",""""),""-"",""0.00""))"),"Loading...")</f>
        <v>Loading...</v>
      </c>
      <c r="L713" s="129" t="e">
        <v>#N/A</v>
      </c>
      <c r="M713" s="99" t="e">
        <v>#N/A</v>
      </c>
    </row>
    <row r="714">
      <c r="A714" s="122" t="s">
        <v>1856</v>
      </c>
      <c r="B714" s="123">
        <v>1355790.0</v>
      </c>
      <c r="C714" s="124" t="s">
        <v>1857</v>
      </c>
      <c r="D714" s="125"/>
      <c r="E714" s="126">
        <v>0.11</v>
      </c>
      <c r="F714" s="127"/>
      <c r="G714" s="127"/>
      <c r="H714" s="127"/>
      <c r="I714" s="128"/>
      <c r="K714" s="105" t="str">
        <f>IFERROR(__xludf.DUMMYFUNCTION("if(A714="""","""",substitute(SUBSTITUTE(index(importhtml(""http://finviz.com/quote.ashx?t=""&amp;A714,""table"",10),7,2),""*"",""""),""-"",""0.00""))"),"Loading...")</f>
        <v>Loading...</v>
      </c>
      <c r="L714" s="129">
        <v>880479.0</v>
      </c>
      <c r="M714" s="99">
        <v>0.97</v>
      </c>
    </row>
    <row r="715">
      <c r="A715" s="122" t="s">
        <v>1858</v>
      </c>
      <c r="B715" s="123">
        <v>1103833.0</v>
      </c>
      <c r="C715" s="124" t="s">
        <v>1859</v>
      </c>
      <c r="D715" s="125"/>
      <c r="E715" s="126">
        <v>0.11</v>
      </c>
      <c r="F715" s="127"/>
      <c r="G715" s="127"/>
      <c r="H715" s="127"/>
      <c r="I715" s="128"/>
      <c r="K715" s="105" t="str">
        <f>IFERROR(__xludf.DUMMYFUNCTION("if(A715="""","""",substitute(SUBSTITUTE(index(importhtml(""http://finviz.com/quote.ashx?t=""&amp;A715,""table"",10),7,2),""*"",""""),""-"",""0.00""))"),"Loading...")</f>
        <v>Loading...</v>
      </c>
      <c r="L715" s="129">
        <v>1472359.0</v>
      </c>
      <c r="M715" s="99">
        <v>-1.86</v>
      </c>
    </row>
    <row r="716">
      <c r="A716" s="122" t="s">
        <v>1860</v>
      </c>
      <c r="B716" s="123">
        <v>797542.0</v>
      </c>
      <c r="C716" s="124" t="s">
        <v>1861</v>
      </c>
      <c r="D716" s="125"/>
      <c r="E716" s="126">
        <v>0.11</v>
      </c>
      <c r="F716" s="127"/>
      <c r="G716" s="127"/>
      <c r="H716" s="127"/>
      <c r="I716" s="128"/>
      <c r="K716" s="105" t="str">
        <f>IFERROR(__xludf.DUMMYFUNCTION("if(A716="""","""",substitute(SUBSTITUTE(index(importhtml(""http://finviz.com/quote.ashx?t=""&amp;A716,""table"",10),7,2),""*"",""""),""-"",""0.00""))"),"Loading...")</f>
        <v>Loading...</v>
      </c>
      <c r="L716" s="129">
        <v>1686030.0</v>
      </c>
      <c r="M716" s="99">
        <v>-1.93</v>
      </c>
    </row>
    <row r="717">
      <c r="A717" s="122" t="s">
        <v>1862</v>
      </c>
      <c r="B717" s="123">
        <v>1913210.0</v>
      </c>
      <c r="C717" s="124" t="s">
        <v>1863</v>
      </c>
      <c r="D717" s="125"/>
      <c r="E717" s="126">
        <v>0.11</v>
      </c>
      <c r="F717" s="127"/>
      <c r="G717" s="127"/>
      <c r="H717" s="127"/>
      <c r="I717" s="128"/>
      <c r="K717" s="105" t="str">
        <f>IFERROR(__xludf.DUMMYFUNCTION("if(A717="""","""",substitute(SUBSTITUTE(index(importhtml(""http://finviz.com/quote.ashx?t=""&amp;A717,""table"",10),7,2),""*"",""""),""-"",""0.00""))"),"Loading...")</f>
        <v>Loading...</v>
      </c>
      <c r="L717" s="129">
        <v>1753937.0</v>
      </c>
      <c r="M717" s="99" t="str">
        <f>IFERROR(__xludf.DUMMYFUNCTION("GOOGLEFINANCE(A717,""beta"")"),"#N/A")</f>
        <v>#N/A</v>
      </c>
    </row>
    <row r="718">
      <c r="A718" s="122" t="s">
        <v>1864</v>
      </c>
      <c r="B718" s="123">
        <v>1811999.0</v>
      </c>
      <c r="C718" s="124" t="s">
        <v>1865</v>
      </c>
      <c r="D718" s="125"/>
      <c r="E718" s="126">
        <v>0.11</v>
      </c>
      <c r="F718" s="127"/>
      <c r="G718" s="127"/>
      <c r="H718" s="127"/>
      <c r="I718" s="128"/>
      <c r="K718" s="105" t="str">
        <f>IFERROR(__xludf.DUMMYFUNCTION("if(A718="""","""",substitute(SUBSTITUTE(index(importhtml(""http://finviz.com/quote.ashx?t=""&amp;A718,""table"",10),7,2),""*"",""""),""-"",""0.00""))"),"Loading...")</f>
        <v>Loading...</v>
      </c>
      <c r="L718" s="129">
        <v>1957590.0</v>
      </c>
      <c r="M718" s="99">
        <v>5.68</v>
      </c>
    </row>
    <row r="719">
      <c r="A719" s="122" t="s">
        <v>1866</v>
      </c>
      <c r="B719" s="123">
        <v>1823855.0</v>
      </c>
      <c r="C719" s="124" t="s">
        <v>1867</v>
      </c>
      <c r="D719" s="125"/>
      <c r="E719" s="126">
        <v>0.11</v>
      </c>
      <c r="F719" s="127"/>
      <c r="G719" s="127"/>
      <c r="H719" s="127"/>
      <c r="I719" s="128"/>
      <c r="K719" s="105" t="str">
        <f>IFERROR(__xludf.DUMMYFUNCTION("if(A719="""","""",substitute(SUBSTITUTE(index(importhtml(""http://finviz.com/quote.ashx?t=""&amp;A719,""table"",10),7,2),""*"",""""),""-"",""0.00""))"),"Loading...")</f>
        <v>Loading...</v>
      </c>
      <c r="L719" s="129">
        <v>2176460.0</v>
      </c>
      <c r="M719" s="99" t="str">
        <f>IFERROR(__xludf.DUMMYFUNCTION("GOOGLEFINANCE(A719,""beta"")"),"#N/A")</f>
        <v>#N/A</v>
      </c>
    </row>
    <row r="720">
      <c r="A720" s="122" t="s">
        <v>1868</v>
      </c>
      <c r="B720" s="123">
        <v>1091748.0</v>
      </c>
      <c r="C720" s="124" t="s">
        <v>1869</v>
      </c>
      <c r="D720" s="125"/>
      <c r="E720" s="126">
        <v>0.11</v>
      </c>
      <c r="F720" s="127"/>
      <c r="G720" s="127"/>
      <c r="H720" s="127"/>
      <c r="I720" s="128"/>
      <c r="K720" s="105" t="str">
        <f>IFERROR(__xludf.DUMMYFUNCTION("if(A720="""","""",substitute(SUBSTITUTE(index(importhtml(""http://finviz.com/quote.ashx?t=""&amp;A720,""table"",10),7,2),""*"",""""),""-"",""0.00""))"),"Loading...")</f>
        <v>Loading...</v>
      </c>
      <c r="L720" s="129">
        <v>2228778.0</v>
      </c>
      <c r="M720" s="99" t="str">
        <f>IFERROR(__xludf.DUMMYFUNCTION("GOOGLEFINANCE(A720,""beta"")"),"#N/A")</f>
        <v>#N/A</v>
      </c>
    </row>
    <row r="721">
      <c r="A721" s="122" t="s">
        <v>1870</v>
      </c>
      <c r="B721" s="123">
        <v>318299.0</v>
      </c>
      <c r="C721" s="124" t="s">
        <v>1871</v>
      </c>
      <c r="D721" s="125"/>
      <c r="E721" s="126">
        <v>0.11</v>
      </c>
      <c r="F721" s="127"/>
      <c r="G721" s="127"/>
      <c r="H721" s="127"/>
      <c r="I721" s="128"/>
      <c r="K721" s="105" t="str">
        <f>IFERROR(__xludf.DUMMYFUNCTION("if(A721="""","""",substitute(SUBSTITUTE(index(importhtml(""http://finviz.com/quote.ashx?t=""&amp;A721,""table"",10),7,2),""*"",""""),""-"",""0.00""))"),"Loading...")</f>
        <v>Loading...</v>
      </c>
      <c r="L721" s="129">
        <v>2761101.0</v>
      </c>
      <c r="M721" s="99">
        <v>-1.43</v>
      </c>
    </row>
    <row r="722">
      <c r="A722" s="122" t="s">
        <v>1872</v>
      </c>
      <c r="B722" s="123">
        <v>1593204.0</v>
      </c>
      <c r="C722" s="124" t="s">
        <v>1873</v>
      </c>
      <c r="D722" s="125"/>
      <c r="E722" s="126">
        <v>0.11</v>
      </c>
      <c r="F722" s="127"/>
      <c r="G722" s="127"/>
      <c r="H722" s="127"/>
      <c r="I722" s="128"/>
      <c r="K722" s="105" t="str">
        <f>IFERROR(__xludf.DUMMYFUNCTION("if(A722="""","""",substitute(SUBSTITUTE(index(importhtml(""http://finviz.com/quote.ashx?t=""&amp;A722,""table"",10),7,2),""*"",""""),""-"",""0.00""))"),"Loading...")</f>
        <v>Loading...</v>
      </c>
      <c r="L722" s="129">
        <v>3467030.0</v>
      </c>
      <c r="M722" s="99" t="str">
        <f>IFERROR(__xludf.DUMMYFUNCTION("GOOGLEFINANCE(A722,""beta"")"),"#N/A")</f>
        <v>#N/A</v>
      </c>
    </row>
    <row r="723">
      <c r="A723" s="122" t="s">
        <v>1874</v>
      </c>
      <c r="B723" s="123">
        <v>1680637.0</v>
      </c>
      <c r="C723" s="124" t="s">
        <v>1875</v>
      </c>
      <c r="D723" s="125"/>
      <c r="E723" s="126">
        <v>0.11</v>
      </c>
      <c r="F723" s="127"/>
      <c r="G723" s="127"/>
      <c r="H723" s="127"/>
      <c r="I723" s="128"/>
      <c r="K723" s="105" t="str">
        <f>IFERROR(__xludf.DUMMYFUNCTION("if(A723="""","""",substitute(SUBSTITUTE(index(importhtml(""http://finviz.com/quote.ashx?t=""&amp;A723,""table"",10),7,2),""*"",""""),""-"",""0.00""))"),"Loading...")</f>
        <v>Loading...</v>
      </c>
      <c r="L723" s="129">
        <v>6241321.0</v>
      </c>
      <c r="M723" s="99">
        <v>0.47</v>
      </c>
    </row>
    <row r="724">
      <c r="A724" s="122" t="s">
        <v>1876</v>
      </c>
      <c r="B724" s="123">
        <v>1622996.0</v>
      </c>
      <c r="C724" s="124" t="s">
        <v>1877</v>
      </c>
      <c r="D724" s="125"/>
      <c r="E724" s="126">
        <v>0.11</v>
      </c>
      <c r="F724" s="127"/>
      <c r="G724" s="127"/>
      <c r="H724" s="127"/>
      <c r="I724" s="128"/>
      <c r="K724" s="105" t="str">
        <f>IFERROR(__xludf.DUMMYFUNCTION("if(A724="""","""",substitute(SUBSTITUTE(index(importhtml(""http://finviz.com/quote.ashx?t=""&amp;A724,""table"",10),7,2),""*"",""""),""-"",""0.00""))"),"Loading...")</f>
        <v>Loading...</v>
      </c>
      <c r="L724" s="129">
        <v>6304410.0</v>
      </c>
      <c r="M724" s="99">
        <f>IFERROR(__xludf.DUMMYFUNCTION("GOOGLEFINANCE(A724,""beta"")"),0.72)</f>
        <v>0.72</v>
      </c>
    </row>
    <row r="725">
      <c r="A725" s="122" t="s">
        <v>1878</v>
      </c>
      <c r="B725" s="123">
        <v>727510.0</v>
      </c>
      <c r="C725" s="124" t="s">
        <v>1879</v>
      </c>
      <c r="D725" s="125"/>
      <c r="E725" s="126">
        <v>0.11</v>
      </c>
      <c r="F725" s="127"/>
      <c r="G725" s="127"/>
      <c r="H725" s="127"/>
      <c r="I725" s="128"/>
      <c r="K725" s="105" t="str">
        <f>IFERROR(__xludf.DUMMYFUNCTION("if(A725="""","""",substitute(SUBSTITUTE(index(importhtml(""http://finviz.com/quote.ashx?t=""&amp;A725,""table"",10),7,2),""*"",""""),""-"",""0.00""))"),"Loading...")</f>
        <v>Loading...</v>
      </c>
      <c r="L725" s="129">
        <v>7792532.0</v>
      </c>
      <c r="M725" s="99">
        <v>0.36</v>
      </c>
    </row>
    <row r="726">
      <c r="A726" s="122" t="s">
        <v>1880</v>
      </c>
      <c r="B726" s="123">
        <v>723533.0</v>
      </c>
      <c r="C726" s="124" t="s">
        <v>1881</v>
      </c>
      <c r="D726" s="125"/>
      <c r="E726" s="126">
        <v>0.11</v>
      </c>
      <c r="F726" s="127"/>
      <c r="G726" s="127"/>
      <c r="H726" s="127"/>
      <c r="I726" s="128"/>
      <c r="K726" s="105" t="str">
        <f>IFERROR(__xludf.DUMMYFUNCTION("if(A726="""","""",substitute(SUBSTITUTE(index(importhtml(""http://finviz.com/quote.ashx?t=""&amp;A726,""table"",10),7,2),""*"",""""),""-"",""0.00""))"),"Loading...")</f>
        <v>Loading...</v>
      </c>
      <c r="L726" s="129">
        <v>8780760.0</v>
      </c>
      <c r="M726" s="99">
        <v>4.15</v>
      </c>
    </row>
    <row r="727">
      <c r="A727" s="122" t="s">
        <v>1882</v>
      </c>
      <c r="B727" s="123">
        <v>1652539.0</v>
      </c>
      <c r="C727" s="124" t="s">
        <v>1883</v>
      </c>
      <c r="D727" s="125"/>
      <c r="E727" s="126">
        <v>0.11</v>
      </c>
      <c r="F727" s="127"/>
      <c r="G727" s="127"/>
      <c r="H727" s="127"/>
      <c r="I727" s="128"/>
      <c r="K727" s="105" t="str">
        <f>IFERROR(__xludf.DUMMYFUNCTION("if(A727="""","""",substitute(SUBSTITUTE(index(importhtml(""http://finviz.com/quote.ashx?t=""&amp;A727,""table"",10),7,2),""*"",""""),""-"",""0.00""))"),"Loading...")</f>
        <v>Loading...</v>
      </c>
      <c r="L727" s="129">
        <v>1.3227019E7</v>
      </c>
      <c r="M727" s="99">
        <v>1.57</v>
      </c>
    </row>
    <row r="728">
      <c r="A728" s="122" t="s">
        <v>1884</v>
      </c>
      <c r="B728" s="123">
        <v>1355736.0</v>
      </c>
      <c r="C728" s="124" t="s">
        <v>1885</v>
      </c>
      <c r="D728" s="125"/>
      <c r="E728" s="126">
        <v>0.11</v>
      </c>
      <c r="F728" s="127"/>
      <c r="G728" s="127"/>
      <c r="H728" s="127"/>
      <c r="I728" s="128"/>
      <c r="K728" s="105" t="str">
        <f>IFERROR(__xludf.DUMMYFUNCTION("if(A728="""","""",substitute(SUBSTITUTE(index(importhtml(""http://finviz.com/quote.ashx?t=""&amp;A728,""table"",10),7,2),""*"",""""),""-"",""0.00""))"),"Loading...")</f>
        <v>Loading...</v>
      </c>
      <c r="L728" s="129">
        <v>1.5984667E7</v>
      </c>
      <c r="M728" s="99">
        <v>-42.12</v>
      </c>
    </row>
    <row r="729">
      <c r="A729" s="122" t="s">
        <v>1886</v>
      </c>
      <c r="B729" s="123">
        <v>1568385.0</v>
      </c>
      <c r="C729" s="124" t="s">
        <v>1887</v>
      </c>
      <c r="D729" s="125"/>
      <c r="E729" s="126">
        <v>0.11</v>
      </c>
      <c r="F729" s="127"/>
      <c r="G729" s="127"/>
      <c r="H729" s="127"/>
      <c r="I729" s="128"/>
      <c r="K729" s="105" t="str">
        <f>IFERROR(__xludf.DUMMYFUNCTION("if(A729="""","""",substitute(SUBSTITUTE(index(importhtml(""http://finviz.com/quote.ashx?t=""&amp;A729,""table"",10),7,2),""*"",""""),""-"",""0.00""))"),"Loading...")</f>
        <v>Loading...</v>
      </c>
      <c r="L729" s="129">
        <v>2.36396E7</v>
      </c>
      <c r="M729" s="99">
        <v>0.99</v>
      </c>
    </row>
    <row r="730">
      <c r="A730" s="122" t="s">
        <v>1888</v>
      </c>
      <c r="B730" s="123">
        <v>1700157.0</v>
      </c>
      <c r="C730" s="124" t="s">
        <v>1889</v>
      </c>
      <c r="D730" s="125"/>
      <c r="E730" s="126">
        <v>0.11</v>
      </c>
      <c r="F730" s="127"/>
      <c r="G730" s="127"/>
      <c r="H730" s="127"/>
      <c r="I730" s="128"/>
      <c r="K730" s="105" t="str">
        <f>IFERROR(__xludf.DUMMYFUNCTION("if(A730="""","""",substitute(SUBSTITUTE(index(importhtml(""http://finviz.com/quote.ashx?t=""&amp;A730,""table"",10),7,2),""*"",""""),""-"",""0.00""))"),"Loading...")</f>
        <v>Loading...</v>
      </c>
      <c r="L730" s="129">
        <v>2.6735911E7</v>
      </c>
      <c r="M730" s="99">
        <v>1.89</v>
      </c>
    </row>
    <row r="731">
      <c r="A731" s="122" t="s">
        <v>1890</v>
      </c>
      <c r="B731" s="123">
        <v>1061164.0</v>
      </c>
      <c r="C731" s="124" t="s">
        <v>1891</v>
      </c>
      <c r="D731" s="125"/>
      <c r="E731" s="126">
        <v>0.11</v>
      </c>
      <c r="F731" s="127"/>
      <c r="G731" s="127"/>
      <c r="H731" s="127"/>
      <c r="I731" s="128"/>
      <c r="K731" s="105" t="str">
        <f>IFERROR(__xludf.DUMMYFUNCTION("if(A731="""","""",substitute(SUBSTITUTE(index(importhtml(""http://finviz.com/quote.ashx?t=""&amp;A731,""table"",10),7,2),""*"",""""),""-"",""0.00""))"),"Loading...")</f>
        <v>Loading...</v>
      </c>
      <c r="L731" s="129">
        <v>2.748154E7</v>
      </c>
      <c r="M731" s="99">
        <v>-19.2</v>
      </c>
    </row>
    <row r="732">
      <c r="A732" s="122" t="s">
        <v>1892</v>
      </c>
      <c r="B732" s="123">
        <v>1549145.0</v>
      </c>
      <c r="C732" s="124" t="s">
        <v>1893</v>
      </c>
      <c r="D732" s="125"/>
      <c r="E732" s="126">
        <v>0.11</v>
      </c>
      <c r="F732" s="127"/>
      <c r="G732" s="127"/>
      <c r="H732" s="127"/>
      <c r="I732" s="128"/>
      <c r="K732" s="105" t="str">
        <f>IFERROR(__xludf.DUMMYFUNCTION("if(A732="""","""",substitute(SUBSTITUTE(index(importhtml(""http://finviz.com/quote.ashx?t=""&amp;A732,""table"",10),7,2),""*"",""""),""-"",""0.00""))"),"Loading...")</f>
        <v>Loading...</v>
      </c>
      <c r="L732" s="129">
        <v>3.442955E7</v>
      </c>
      <c r="M732" s="99">
        <v>0.28</v>
      </c>
    </row>
    <row r="733">
      <c r="A733" s="122" t="s">
        <v>1894</v>
      </c>
      <c r="B733" s="123">
        <v>942149.0</v>
      </c>
      <c r="C733" s="124" t="s">
        <v>1895</v>
      </c>
      <c r="D733" s="125"/>
      <c r="E733" s="126">
        <v>0.11</v>
      </c>
      <c r="F733" s="127"/>
      <c r="G733" s="127"/>
      <c r="H733" s="127"/>
      <c r="I733" s="128"/>
      <c r="K733" s="105" t="str">
        <f>IFERROR(__xludf.DUMMYFUNCTION("if(A733="""","""",substitute(SUBSTITUTE(index(importhtml(""http://finviz.com/quote.ashx?t=""&amp;A733,""table"",10),7,2),""*"",""""),""-"",""0.00""))"),"Loading...")</f>
        <v>Loading...</v>
      </c>
      <c r="L733" s="129">
        <v>3.6875538E7</v>
      </c>
      <c r="M733" s="99">
        <v>1.75</v>
      </c>
    </row>
    <row r="734">
      <c r="A734" s="122" t="s">
        <v>1896</v>
      </c>
      <c r="B734" s="123">
        <v>1397616.0</v>
      </c>
      <c r="C734" s="124" t="s">
        <v>1897</v>
      </c>
      <c r="D734" s="125"/>
      <c r="E734" s="126">
        <v>0.11</v>
      </c>
      <c r="F734" s="127"/>
      <c r="G734" s="127"/>
      <c r="H734" s="127"/>
      <c r="I734" s="128"/>
      <c r="K734" s="105" t="str">
        <f>IFERROR(__xludf.DUMMYFUNCTION("if(A734="""","""",substitute(SUBSTITUTE(index(importhtml(""http://finviz.com/quote.ashx?t=""&amp;A734,""table"",10),7,2),""*"",""""),""-"",""0.00""))"),"Loading...")</f>
        <v>Loading...</v>
      </c>
      <c r="L734" s="129">
        <v>3.9358802E7</v>
      </c>
      <c r="M734" s="99">
        <v>2.26</v>
      </c>
    </row>
    <row r="735">
      <c r="A735" s="122" t="s">
        <v>1898</v>
      </c>
      <c r="B735" s="123">
        <v>1841800.0</v>
      </c>
      <c r="C735" s="124" t="s">
        <v>1899</v>
      </c>
      <c r="D735" s="125"/>
      <c r="E735" s="126">
        <v>0.11</v>
      </c>
      <c r="F735" s="127"/>
      <c r="G735" s="127"/>
      <c r="H735" s="127"/>
      <c r="I735" s="128"/>
      <c r="K735" s="105" t="str">
        <f>IFERROR(__xludf.DUMMYFUNCTION("if(A735="""","""",substitute(SUBSTITUTE(index(importhtml(""http://finviz.com/quote.ashx?t=""&amp;A735,""table"",10),7,2),""*"",""""),""-"",""0.00""))"),"Loading...")</f>
        <v>Loading...</v>
      </c>
      <c r="L735" s="129">
        <v>5.988505E7</v>
      </c>
      <c r="M735" s="99" t="str">
        <f>IFERROR(__xludf.DUMMYFUNCTION("GOOGLEFINANCE(A735,""beta"")"),"#N/A")</f>
        <v>#N/A</v>
      </c>
    </row>
    <row r="736">
      <c r="A736" s="122" t="s">
        <v>1900</v>
      </c>
      <c r="B736" s="123">
        <v>1859690.0</v>
      </c>
      <c r="C736" s="124" t="s">
        <v>1901</v>
      </c>
      <c r="D736" s="125"/>
      <c r="E736" s="126">
        <v>0.11</v>
      </c>
      <c r="F736" s="127"/>
      <c r="G736" s="127"/>
      <c r="H736" s="127"/>
      <c r="I736" s="128"/>
      <c r="K736" s="105" t="str">
        <f>IFERROR(__xludf.DUMMYFUNCTION("if(A736="""","""",substitute(SUBSTITUTE(index(importhtml(""http://finviz.com/quote.ashx?t=""&amp;A736,""table"",10),7,2),""*"",""""),""-"",""0.00""))"),"Loading...")</f>
        <v>Loading...</v>
      </c>
      <c r="L736" s="129">
        <v>7.055066E7</v>
      </c>
      <c r="M736" s="99">
        <f>IFERROR(__xludf.DUMMYFUNCTION("GOOGLEFINANCE(A736,""beta"")"),1.65)</f>
        <v>1.65</v>
      </c>
    </row>
    <row r="737">
      <c r="A737" s="122" t="s">
        <v>1902</v>
      </c>
      <c r="B737" s="123">
        <v>1743905.0</v>
      </c>
      <c r="C737" s="124" t="s">
        <v>1903</v>
      </c>
      <c r="D737" s="125"/>
      <c r="E737" s="126">
        <v>0.11</v>
      </c>
      <c r="F737" s="127"/>
      <c r="G737" s="127"/>
      <c r="H737" s="127"/>
      <c r="I737" s="128"/>
      <c r="K737" s="105" t="str">
        <f>IFERROR(__xludf.DUMMYFUNCTION("if(A737="""","""",substitute(SUBSTITUTE(index(importhtml(""http://finviz.com/quote.ashx?t=""&amp;A737,""table"",10),7,2),""*"",""""),""-"",""0.00""))"),"Loading...")</f>
        <v>Loading...</v>
      </c>
      <c r="L737" s="129">
        <v>7.8932083E7</v>
      </c>
      <c r="M737" s="99">
        <f>IFERROR(__xludf.DUMMYFUNCTION("GOOGLEFINANCE(A737,""beta"")"),-1.6)</f>
        <v>-1.6</v>
      </c>
    </row>
    <row r="738">
      <c r="A738" s="122" t="s">
        <v>1904</v>
      </c>
      <c r="B738" s="123">
        <v>1479681.0</v>
      </c>
      <c r="C738" s="124" t="s">
        <v>1905</v>
      </c>
      <c r="D738" s="125"/>
      <c r="E738" s="126">
        <v>0.11</v>
      </c>
      <c r="F738" s="127"/>
      <c r="G738" s="127"/>
      <c r="H738" s="127"/>
      <c r="I738" s="128"/>
      <c r="K738" s="105" t="str">
        <f>IFERROR(__xludf.DUMMYFUNCTION("if(A738="""","""",substitute(SUBSTITUTE(index(importhtml(""http://finviz.com/quote.ashx?t=""&amp;A738,""table"",10),7,2),""*"",""""),""-"",""0.00""))"),"Loading...")</f>
        <v>Loading...</v>
      </c>
      <c r="L738" s="129">
        <v>8.3238634E7</v>
      </c>
      <c r="M738" s="99">
        <v>0.18</v>
      </c>
    </row>
    <row r="739">
      <c r="A739" s="122" t="s">
        <v>1906</v>
      </c>
      <c r="B739" s="123">
        <v>1829322.0</v>
      </c>
      <c r="C739" s="124" t="s">
        <v>1907</v>
      </c>
      <c r="D739" s="125"/>
      <c r="E739" s="126">
        <v>0.11</v>
      </c>
      <c r="F739" s="127"/>
      <c r="G739" s="127"/>
      <c r="H739" s="127"/>
      <c r="I739" s="128"/>
      <c r="K739" s="105" t="str">
        <f>IFERROR(__xludf.DUMMYFUNCTION("if(A739="""","""",substitute(SUBSTITUTE(index(importhtml(""http://finviz.com/quote.ashx?t=""&amp;A739,""table"",10),7,2),""*"",""""),""-"",""0.00""))"),"Loading...")</f>
        <v>Loading...</v>
      </c>
      <c r="L739" s="129">
        <v>1.03110331E8</v>
      </c>
      <c r="M739" s="99" t="str">
        <f>IFERROR(__xludf.DUMMYFUNCTION("GOOGLEFINANCE(A739,""beta"")"),"#N/A")</f>
        <v>#N/A</v>
      </c>
    </row>
    <row r="740">
      <c r="A740" s="122" t="s">
        <v>1908</v>
      </c>
      <c r="B740" s="123">
        <v>1835972.0</v>
      </c>
      <c r="C740" s="124" t="s">
        <v>1909</v>
      </c>
      <c r="D740" s="125"/>
      <c r="E740" s="126">
        <v>0.11</v>
      </c>
      <c r="F740" s="127"/>
      <c r="G740" s="127"/>
      <c r="H740" s="127"/>
      <c r="I740" s="128"/>
      <c r="K740" s="105" t="str">
        <f>IFERROR(__xludf.DUMMYFUNCTION("if(A740="""","""",substitute(SUBSTITUTE(index(importhtml(""http://finviz.com/quote.ashx?t=""&amp;A740,""table"",10),7,2),""*"",""""),""-"",""0.00""))"),"Loading...")</f>
        <v>Loading...</v>
      </c>
      <c r="L740" s="129">
        <v>1.21044587E8</v>
      </c>
      <c r="M740" s="99" t="str">
        <f>IFERROR(__xludf.DUMMYFUNCTION("GOOGLEFINANCE(A740,""beta"")"),"#N/A")</f>
        <v>#N/A</v>
      </c>
    </row>
    <row r="741">
      <c r="A741" s="122" t="s">
        <v>1910</v>
      </c>
      <c r="B741" s="123">
        <v>1760689.0</v>
      </c>
      <c r="C741" s="124" t="s">
        <v>1911</v>
      </c>
      <c r="D741" s="125"/>
      <c r="E741" s="126">
        <v>0.11</v>
      </c>
      <c r="F741" s="127"/>
      <c r="G741" s="127"/>
      <c r="H741" s="127"/>
      <c r="I741" s="128"/>
      <c r="K741" s="105" t="str">
        <f>IFERROR(__xludf.DUMMYFUNCTION("if(A741="""","""",substitute(SUBSTITUTE(index(importhtml(""http://finviz.com/quote.ashx?t=""&amp;A741,""table"",10),7,2),""*"",""""),""-"",""0.00""))"),"Loading...")</f>
        <v>Loading...</v>
      </c>
      <c r="L741" s="129">
        <v>2.84659818E8</v>
      </c>
      <c r="M741" s="99">
        <v>4.5</v>
      </c>
    </row>
    <row r="742">
      <c r="A742" s="122" t="s">
        <v>1912</v>
      </c>
      <c r="B742" s="123">
        <v>1001082.0</v>
      </c>
      <c r="C742" s="124" t="s">
        <v>1913</v>
      </c>
      <c r="D742" s="125"/>
      <c r="E742" s="126">
        <v>0.12</v>
      </c>
      <c r="F742" s="127"/>
      <c r="G742" s="127"/>
      <c r="H742" s="127"/>
      <c r="I742" s="128"/>
      <c r="K742" s="105" t="str">
        <f>IFERROR(__xludf.DUMMYFUNCTION("if(A742="""","""",substitute(SUBSTITUTE(index(importhtml(""http://finviz.com/quote.ashx?t=""&amp;A742,""table"",10),7,2),""*"",""""),""-"",""0.00""))"),"Loading...")</f>
        <v>Loading...</v>
      </c>
      <c r="L742" s="129">
        <v>503230.0</v>
      </c>
      <c r="M742" s="99" t="str">
        <f>IFERROR(__xludf.DUMMYFUNCTION("GOOGLEFINANCE(A742,""beta"")"),"#N/A")</f>
        <v>#N/A</v>
      </c>
    </row>
    <row r="743">
      <c r="A743" s="122" t="s">
        <v>1914</v>
      </c>
      <c r="B743" s="123">
        <v>1530425.0</v>
      </c>
      <c r="C743" s="124" t="s">
        <v>1915</v>
      </c>
      <c r="D743" s="125"/>
      <c r="E743" s="126">
        <v>0.12</v>
      </c>
      <c r="F743" s="127"/>
      <c r="G743" s="127"/>
      <c r="H743" s="127"/>
      <c r="I743" s="128"/>
      <c r="K743" s="105" t="str">
        <f>IFERROR(__xludf.DUMMYFUNCTION("if(A743="""","""",substitute(SUBSTITUTE(index(importhtml(""http://finviz.com/quote.ashx?t=""&amp;A743,""table"",10),7,2),""*"",""""),""-"",""0.00""))"),"Loading...")</f>
        <v>Loading...</v>
      </c>
      <c r="L743" s="129">
        <v>536810.0</v>
      </c>
      <c r="M743" s="99">
        <v>-3.93</v>
      </c>
    </row>
    <row r="744">
      <c r="A744" s="122" t="s">
        <v>1916</v>
      </c>
      <c r="B744" s="123">
        <v>1761696.0</v>
      </c>
      <c r="C744" s="124" t="s">
        <v>1917</v>
      </c>
      <c r="D744" s="125"/>
      <c r="E744" s="126">
        <v>0.12</v>
      </c>
      <c r="F744" s="127"/>
      <c r="G744" s="127"/>
      <c r="H744" s="127"/>
      <c r="I744" s="128"/>
      <c r="K744" s="105" t="str">
        <f>IFERROR(__xludf.DUMMYFUNCTION("if(A744="""","""",substitute(SUBSTITUTE(index(importhtml(""http://finviz.com/quote.ashx?t=""&amp;A744,""table"",10),7,2),""*"",""""),""-"",""0.00""))"),"Loading...")</f>
        <v>Loading...</v>
      </c>
      <c r="L744" s="129">
        <v>1590162.0</v>
      </c>
      <c r="M744" s="99">
        <v>1.34</v>
      </c>
    </row>
    <row r="745">
      <c r="A745" s="122" t="s">
        <v>1918</v>
      </c>
      <c r="B745" s="123">
        <v>1000683.0</v>
      </c>
      <c r="C745" s="124" t="s">
        <v>1919</v>
      </c>
      <c r="D745" s="125"/>
      <c r="E745" s="126">
        <v>0.12</v>
      </c>
      <c r="F745" s="127"/>
      <c r="G745" s="127"/>
      <c r="H745" s="127"/>
      <c r="I745" s="128"/>
      <c r="K745" s="105" t="str">
        <f>IFERROR(__xludf.DUMMYFUNCTION("if(A745="""","""",substitute(SUBSTITUTE(index(importhtml(""http://finviz.com/quote.ashx?t=""&amp;A745,""table"",10),7,2),""*"",""""),""-"",""0.00""))"),"Loading...")</f>
        <v>Loading...</v>
      </c>
      <c r="L745" s="129">
        <v>1666121.0</v>
      </c>
      <c r="M745" s="99">
        <v>0.93</v>
      </c>
    </row>
    <row r="746">
      <c r="A746" s="122" t="s">
        <v>1920</v>
      </c>
      <c r="B746" s="123">
        <v>1515317.0</v>
      </c>
      <c r="C746" s="124" t="s">
        <v>1921</v>
      </c>
      <c r="D746" s="125"/>
      <c r="E746" s="126">
        <v>0.12</v>
      </c>
      <c r="F746" s="127"/>
      <c r="G746" s="127"/>
      <c r="H746" s="127"/>
      <c r="I746" s="128"/>
      <c r="K746" s="105" t="str">
        <f>IFERROR(__xludf.DUMMYFUNCTION("if(A746="""","""",substitute(SUBSTITUTE(index(importhtml(""http://finviz.com/quote.ashx?t=""&amp;A746,""table"",10),7,2),""*"",""""),""-"",""0.00""))"),"Loading...")</f>
        <v>Loading...</v>
      </c>
      <c r="L746" s="129">
        <v>3065677.0</v>
      </c>
      <c r="M746" s="99">
        <v>2.61</v>
      </c>
    </row>
    <row r="747">
      <c r="A747" s="122" t="s">
        <v>1922</v>
      </c>
      <c r="B747" s="123">
        <v>1801602.0</v>
      </c>
      <c r="C747" s="124" t="s">
        <v>1923</v>
      </c>
      <c r="D747" s="125"/>
      <c r="E747" s="126">
        <v>0.12</v>
      </c>
      <c r="F747" s="127"/>
      <c r="G747" s="127"/>
      <c r="H747" s="127"/>
      <c r="I747" s="128"/>
      <c r="K747" s="105" t="str">
        <f>IFERROR(__xludf.DUMMYFUNCTION("if(A747="""","""",substitute(SUBSTITUTE(index(importhtml(""http://finviz.com/quote.ashx?t=""&amp;A747,""table"",10),7,2),""*"",""""),""-"",""0.00""))"),"Loading...")</f>
        <v>Loading...</v>
      </c>
      <c r="L747" s="129">
        <v>5504484.0</v>
      </c>
      <c r="M747" s="99">
        <f>IFERROR(__xludf.DUMMYFUNCTION("GOOGLEFINANCE(A747,""beta"")"),3.04)</f>
        <v>3.04</v>
      </c>
    </row>
    <row r="748">
      <c r="A748" s="122" t="s">
        <v>1924</v>
      </c>
      <c r="B748" s="123">
        <v>1031093.0</v>
      </c>
      <c r="C748" s="124" t="s">
        <v>1925</v>
      </c>
      <c r="D748" s="125"/>
      <c r="E748" s="126">
        <v>0.12</v>
      </c>
      <c r="F748" s="127"/>
      <c r="G748" s="127"/>
      <c r="H748" s="127"/>
      <c r="I748" s="128"/>
      <c r="K748" s="105" t="str">
        <f>IFERROR(__xludf.DUMMYFUNCTION("if(A748="""","""",substitute(SUBSTITUTE(index(importhtml(""http://finviz.com/quote.ashx?t=""&amp;A748,""table"",10),7,2),""*"",""""),""-"",""0.00""))"),"Loading...")</f>
        <v>Loading...</v>
      </c>
      <c r="L748" s="129">
        <v>7355603.0</v>
      </c>
      <c r="M748" s="99">
        <v>0.72</v>
      </c>
    </row>
    <row r="749">
      <c r="A749" s="122" t="s">
        <v>1926</v>
      </c>
      <c r="B749" s="123">
        <v>1861233.0</v>
      </c>
      <c r="C749" s="124" t="s">
        <v>1927</v>
      </c>
      <c r="D749" s="125"/>
      <c r="E749" s="126">
        <v>0.12</v>
      </c>
      <c r="F749" s="127"/>
      <c r="G749" s="127"/>
      <c r="H749" s="127"/>
      <c r="I749" s="128"/>
      <c r="K749" s="105" t="str">
        <f>IFERROR(__xludf.DUMMYFUNCTION("if(A749="""","""",substitute(SUBSTITUTE(index(importhtml(""http://finviz.com/quote.ashx?t=""&amp;A749,""table"",10),7,2),""*"",""""),""-"",""0.00""))"),"Loading...")</f>
        <v>Loading...</v>
      </c>
      <c r="L749" s="129">
        <v>1.3947901E7</v>
      </c>
      <c r="M749" s="99">
        <v>1.72</v>
      </c>
    </row>
    <row r="750">
      <c r="A750" s="122" t="s">
        <v>1928</v>
      </c>
      <c r="B750" s="123">
        <v>1544400.0</v>
      </c>
      <c r="C750" s="124" t="s">
        <v>1929</v>
      </c>
      <c r="D750" s="125"/>
      <c r="E750" s="126">
        <v>0.12</v>
      </c>
      <c r="F750" s="127"/>
      <c r="G750" s="127"/>
      <c r="H750" s="127"/>
      <c r="I750" s="128"/>
      <c r="K750" s="105" t="str">
        <f>IFERROR(__xludf.DUMMYFUNCTION("if(A750="""","""",substitute(SUBSTITUTE(index(importhtml(""http://finviz.com/quote.ashx?t=""&amp;A750,""table"",10),7,2),""*"",""""),""-"",""0.00""))"),"Loading...")</f>
        <v>Loading...</v>
      </c>
      <c r="L750" s="129">
        <v>1.4256E7</v>
      </c>
      <c r="M750" s="99">
        <v>40.46</v>
      </c>
    </row>
    <row r="751">
      <c r="A751" s="122" t="s">
        <v>1930</v>
      </c>
      <c r="B751" s="123">
        <v>1437517.0</v>
      </c>
      <c r="C751" s="124" t="s">
        <v>1931</v>
      </c>
      <c r="D751" s="125"/>
      <c r="E751" s="126">
        <v>0.12</v>
      </c>
      <c r="F751" s="127"/>
      <c r="G751" s="127"/>
      <c r="H751" s="127"/>
      <c r="I751" s="128"/>
      <c r="K751" s="105" t="str">
        <f>IFERROR(__xludf.DUMMYFUNCTION("if(A751="""","""",substitute(SUBSTITUTE(index(importhtml(""http://finviz.com/quote.ashx?t=""&amp;A751,""table"",10),7,2),""*"",""""),""-"",""0.00""))"),"Loading...")</f>
        <v>Loading...</v>
      </c>
      <c r="L751" s="129">
        <v>1.4353487E7</v>
      </c>
      <c r="M751" s="99">
        <v>0.2</v>
      </c>
    </row>
    <row r="752">
      <c r="A752" s="122" t="s">
        <v>1932</v>
      </c>
      <c r="B752" s="123">
        <v>1805521.0</v>
      </c>
      <c r="C752" s="124" t="s">
        <v>1933</v>
      </c>
      <c r="D752" s="125"/>
      <c r="E752" s="126">
        <v>0.12</v>
      </c>
      <c r="F752" s="127"/>
      <c r="G752" s="127"/>
      <c r="H752" s="127"/>
      <c r="I752" s="128"/>
      <c r="K752" s="105" t="str">
        <f>IFERROR(__xludf.DUMMYFUNCTION("if(A752="""","""",substitute(SUBSTITUTE(index(importhtml(""http://finviz.com/quote.ashx?t=""&amp;A752,""table"",10),7,2),""*"",""""),""-"",""0.00""))"),"Loading...")</f>
        <v>Loading...</v>
      </c>
      <c r="L752" s="129">
        <v>1.4718155E7</v>
      </c>
      <c r="M752" s="99">
        <v>1.61</v>
      </c>
    </row>
    <row r="753">
      <c r="A753" s="122" t="s">
        <v>1934</v>
      </c>
      <c r="B753" s="123">
        <v>1849011.0</v>
      </c>
      <c r="C753" s="124" t="s">
        <v>1935</v>
      </c>
      <c r="D753" s="125"/>
      <c r="E753" s="126">
        <v>0.12</v>
      </c>
      <c r="F753" s="127"/>
      <c r="G753" s="127"/>
      <c r="H753" s="127"/>
      <c r="I753" s="128"/>
      <c r="K753" s="105" t="str">
        <f>IFERROR(__xludf.DUMMYFUNCTION("if(A753="""","""",substitute(SUBSTITUTE(index(importhtml(""http://finviz.com/quote.ashx?t=""&amp;A753,""table"",10),7,2),""*"",""""),""-"",""0.00""))"),"Loading...")</f>
        <v>Loading...</v>
      </c>
      <c r="L753" s="129">
        <v>1.4988375E7</v>
      </c>
      <c r="M753" s="99">
        <v>1.75</v>
      </c>
    </row>
    <row r="754">
      <c r="A754" s="122" t="s">
        <v>1936</v>
      </c>
      <c r="B754" s="123">
        <v>1445815.0</v>
      </c>
      <c r="C754" s="124" t="s">
        <v>1937</v>
      </c>
      <c r="D754" s="125"/>
      <c r="E754" s="126">
        <v>0.12</v>
      </c>
      <c r="F754" s="127"/>
      <c r="G754" s="127"/>
      <c r="H754" s="127"/>
      <c r="I754" s="128"/>
      <c r="K754" s="105" t="str">
        <f>IFERROR(__xludf.DUMMYFUNCTION("if(A754="""","""",substitute(SUBSTITUTE(index(importhtml(""http://finviz.com/quote.ashx?t=""&amp;A754,""table"",10),7,2),""*"",""""),""-"",""0.00""))"),"Loading...")</f>
        <v>Loading...</v>
      </c>
      <c r="L754" s="129">
        <v>1.778618E7</v>
      </c>
      <c r="M754" s="99">
        <v>10.77</v>
      </c>
    </row>
    <row r="755">
      <c r="A755" s="122" t="s">
        <v>1938</v>
      </c>
      <c r="B755" s="123">
        <v>1635729.0</v>
      </c>
      <c r="C755" s="124" t="s">
        <v>1939</v>
      </c>
      <c r="D755" s="125"/>
      <c r="E755" s="126">
        <v>0.12</v>
      </c>
      <c r="F755" s="127"/>
      <c r="G755" s="127"/>
      <c r="H755" s="127"/>
      <c r="I755" s="128"/>
      <c r="K755" s="105" t="str">
        <f>IFERROR(__xludf.DUMMYFUNCTION("if(A755="""","""",substitute(SUBSTITUTE(index(importhtml(""http://finviz.com/quote.ashx?t=""&amp;A755,""table"",10),7,2),""*"",""""),""-"",""0.00""))"),"Loading...")</f>
        <v>Loading...</v>
      </c>
      <c r="L755" s="129">
        <v>2.5419659E7</v>
      </c>
      <c r="M755" s="99">
        <v>1.33</v>
      </c>
    </row>
    <row r="756">
      <c r="A756" s="122" t="s">
        <v>1940</v>
      </c>
      <c r="B756" s="123">
        <v>1515114.0</v>
      </c>
      <c r="C756" s="124" t="s">
        <v>1941</v>
      </c>
      <c r="D756" s="125"/>
      <c r="E756" s="126">
        <v>0.12</v>
      </c>
      <c r="F756" s="127"/>
      <c r="G756" s="127"/>
      <c r="H756" s="127"/>
      <c r="I756" s="128"/>
      <c r="K756" s="105" t="str">
        <f>IFERROR(__xludf.DUMMYFUNCTION("if(A756="""","""",substitute(SUBSTITUTE(index(importhtml(""http://finviz.com/quote.ashx?t=""&amp;A756,""table"",10),7,2),""*"",""""),""-"",""0.00""))"),"Loading...")</f>
        <v>Loading...</v>
      </c>
      <c r="L756" s="129">
        <v>4.349138E7</v>
      </c>
      <c r="M756" s="99">
        <v>16.99</v>
      </c>
    </row>
    <row r="757">
      <c r="A757" s="122" t="s">
        <v>1942</v>
      </c>
      <c r="B757" s="123">
        <v>1894693.0</v>
      </c>
      <c r="C757" s="124" t="s">
        <v>1943</v>
      </c>
      <c r="D757" s="125"/>
      <c r="E757" s="126">
        <v>0.12</v>
      </c>
      <c r="F757" s="127"/>
      <c r="G757" s="127"/>
      <c r="H757" s="127"/>
      <c r="I757" s="128"/>
      <c r="K757" s="105" t="str">
        <f>IFERROR(__xludf.DUMMYFUNCTION("if(A757="""","""",substitute(SUBSTITUTE(index(importhtml(""http://finviz.com/quote.ashx?t=""&amp;A757,""table"",10),7,2),""*"",""""),""-"",""0.00""))"),"Loading...")</f>
        <v>Loading...</v>
      </c>
      <c r="L757" s="129">
        <v>6.6745376E7</v>
      </c>
      <c r="M757" s="99" t="e">
        <v>#N/A</v>
      </c>
    </row>
    <row r="758">
      <c r="A758" s="122" t="s">
        <v>1944</v>
      </c>
      <c r="B758" s="123">
        <v>1536674.0</v>
      </c>
      <c r="C758" s="124" t="s">
        <v>1945</v>
      </c>
      <c r="D758" s="125"/>
      <c r="E758" s="126">
        <v>0.12</v>
      </c>
      <c r="F758" s="127"/>
      <c r="G758" s="127"/>
      <c r="H758" s="127"/>
      <c r="I758" s="128"/>
      <c r="K758" s="105" t="str">
        <f>IFERROR(__xludf.DUMMYFUNCTION("if(A758="""","""",substitute(SUBSTITUTE(index(importhtml(""http://finviz.com/quote.ashx?t=""&amp;A758,""table"",10),7,2),""*"",""""),""-"",""0.00""))"),"Loading...")</f>
        <v>Loading...</v>
      </c>
      <c r="L758" s="129">
        <v>5.6477982E7</v>
      </c>
      <c r="M758" s="99">
        <v>1.61</v>
      </c>
    </row>
    <row r="759">
      <c r="A759" s="122" t="s">
        <v>1946</v>
      </c>
      <c r="B759" s="123">
        <v>1882078.0</v>
      </c>
      <c r="C759" s="124" t="s">
        <v>1947</v>
      </c>
      <c r="D759" s="125"/>
      <c r="E759" s="126">
        <v>0.12</v>
      </c>
      <c r="F759" s="127"/>
      <c r="G759" s="127"/>
      <c r="H759" s="127"/>
      <c r="I759" s="128"/>
      <c r="K759" s="105" t="str">
        <f>IFERROR(__xludf.DUMMYFUNCTION("if(A759="""","""",substitute(SUBSTITUTE(index(importhtml(""http://finviz.com/quote.ashx?t=""&amp;A759,""table"",10),7,2),""*"",""""),""-"",""0.00""))"),"Loading...")</f>
        <v>Loading...</v>
      </c>
      <c r="L759" s="129">
        <v>5.712575E7</v>
      </c>
      <c r="M759" s="99" t="str">
        <f>IFERROR(__xludf.DUMMYFUNCTION("GOOGLEFINANCE(A759,""beta"")"),"#N/A")</f>
        <v>#N/A</v>
      </c>
    </row>
    <row r="760">
      <c r="A760" s="122" t="s">
        <v>1948</v>
      </c>
      <c r="B760" s="123">
        <v>1783875.0</v>
      </c>
      <c r="C760" s="124" t="s">
        <v>1949</v>
      </c>
      <c r="D760" s="125"/>
      <c r="E760" s="126">
        <v>0.12</v>
      </c>
      <c r="F760" s="127"/>
      <c r="G760" s="127"/>
      <c r="H760" s="127"/>
      <c r="I760" s="128"/>
      <c r="K760" s="105" t="str">
        <f>IFERROR(__xludf.DUMMYFUNCTION("if(A760="""","""",substitute(SUBSTITUTE(index(importhtml(""http://finviz.com/quote.ashx?t=""&amp;A760,""table"",10),7,2),""*"",""""),""-"",""0.00""))"),"Loading...")</f>
        <v>Loading...</v>
      </c>
      <c r="L760" s="129">
        <v>1.03577693E8</v>
      </c>
      <c r="M760" s="99">
        <v>1.42</v>
      </c>
    </row>
    <row r="761">
      <c r="A761" s="122" t="s">
        <v>1950</v>
      </c>
      <c r="B761" s="123">
        <v>1871638.0</v>
      </c>
      <c r="C761" s="124" t="s">
        <v>1951</v>
      </c>
      <c r="D761" s="125"/>
      <c r="E761" s="126">
        <v>0.12</v>
      </c>
      <c r="F761" s="127"/>
      <c r="G761" s="127"/>
      <c r="H761" s="127"/>
      <c r="I761" s="128"/>
      <c r="K761" s="105" t="str">
        <f>IFERROR(__xludf.DUMMYFUNCTION("if(A761="""","""",substitute(SUBSTITUTE(index(importhtml(""http://finviz.com/quote.ashx?t=""&amp;A761,""table"",10),7,2),""*"",""""),""-"",""0.00""))"),"Loading...")</f>
        <v>Loading...</v>
      </c>
      <c r="L761" s="129">
        <v>1.637568E8</v>
      </c>
      <c r="M761" s="99" t="str">
        <f>IFERROR(__xludf.DUMMYFUNCTION("GOOGLEFINANCE(A761,""beta"")"),"#N/A")</f>
        <v>#N/A</v>
      </c>
    </row>
    <row r="762">
      <c r="A762" s="122" t="s">
        <v>1952</v>
      </c>
      <c r="B762" s="123">
        <v>1883085.0</v>
      </c>
      <c r="C762" s="124" t="s">
        <v>1953</v>
      </c>
      <c r="D762" s="125"/>
      <c r="E762" s="126">
        <v>0.12</v>
      </c>
      <c r="F762" s="127"/>
      <c r="G762" s="127"/>
      <c r="H762" s="127"/>
      <c r="I762" s="128"/>
      <c r="K762" s="105" t="str">
        <f>IFERROR(__xludf.DUMMYFUNCTION("if(A762="""","""",substitute(SUBSTITUTE(index(importhtml(""http://finviz.com/quote.ashx?t=""&amp;A762,""table"",10),7,2),""*"",""""),""-"",""0.00""))"),"Loading...")</f>
        <v>Loading...</v>
      </c>
      <c r="L762" s="129">
        <v>7.88154955E8</v>
      </c>
      <c r="M762" s="99">
        <f>IFERROR(__xludf.DUMMYFUNCTION("GOOGLEFINANCE(A762,""beta"")"),2.2)</f>
        <v>2.2</v>
      </c>
    </row>
    <row r="763">
      <c r="A763" s="122" t="s">
        <v>1954</v>
      </c>
      <c r="B763" s="123">
        <v>1788028.0</v>
      </c>
      <c r="C763" s="124" t="s">
        <v>1955</v>
      </c>
      <c r="D763" s="125"/>
      <c r="E763" s="126">
        <v>0.12</v>
      </c>
      <c r="F763" s="127"/>
      <c r="G763" s="127"/>
      <c r="H763" s="127"/>
      <c r="I763" s="128"/>
      <c r="K763" s="105" t="str">
        <f>IFERROR(__xludf.DUMMYFUNCTION("if(A763="""","""",substitute(SUBSTITUTE(index(importhtml(""http://finviz.com/quote.ashx?t=""&amp;A763,""table"",10),7,2),""*"",""""),""-"",""0.00""))"),"Loading...")</f>
        <v>Loading...</v>
      </c>
      <c r="L763" s="129" t="e">
        <v>#N/A</v>
      </c>
      <c r="M763" s="99">
        <v>1.83</v>
      </c>
    </row>
    <row r="764">
      <c r="A764" s="122" t="s">
        <v>1956</v>
      </c>
      <c r="B764" s="123">
        <v>1811942.0</v>
      </c>
      <c r="C764" s="124" t="s">
        <v>1957</v>
      </c>
      <c r="D764" s="125"/>
      <c r="E764" s="126">
        <v>0.12</v>
      </c>
      <c r="F764" s="127"/>
      <c r="G764" s="127"/>
      <c r="H764" s="127"/>
      <c r="I764" s="128"/>
      <c r="K764" s="105" t="str">
        <f>IFERROR(__xludf.DUMMYFUNCTION("if(A764="""","""",substitute(SUBSTITUTE(index(importhtml(""http://finviz.com/quote.ashx?t=""&amp;A764,""table"",10),7,2),""*"",""""),""-"",""0.00""))"),"Loading...")</f>
        <v>Loading...</v>
      </c>
      <c r="L764" s="129" t="e">
        <v>#N/A</v>
      </c>
      <c r="M764" s="99" t="e">
        <v>#N/A</v>
      </c>
    </row>
    <row r="765">
      <c r="A765" s="122" t="s">
        <v>1958</v>
      </c>
      <c r="B765" s="123">
        <v>1842937.0</v>
      </c>
      <c r="C765" s="124" t="s">
        <v>1959</v>
      </c>
      <c r="D765" s="125"/>
      <c r="E765" s="126">
        <v>0.12</v>
      </c>
      <c r="F765" s="127"/>
      <c r="G765" s="127"/>
      <c r="H765" s="127"/>
      <c r="I765" s="128"/>
      <c r="K765" s="105" t="str">
        <f>IFERROR(__xludf.DUMMYFUNCTION("if(A765="""","""",substitute(SUBSTITUTE(index(importhtml(""http://finviz.com/quote.ashx?t=""&amp;A765,""table"",10),7,2),""*"",""""),""-"",""0.00""))"),"Loading...")</f>
        <v>Loading...</v>
      </c>
      <c r="L765" s="129" t="e">
        <v>#N/A</v>
      </c>
      <c r="M765" s="99" t="e">
        <v>#N/A</v>
      </c>
    </row>
    <row r="766">
      <c r="A766" s="122" t="s">
        <v>1960</v>
      </c>
      <c r="B766" s="123">
        <v>1498382.0</v>
      </c>
      <c r="C766" s="124" t="s">
        <v>1961</v>
      </c>
      <c r="D766" s="125"/>
      <c r="E766" s="126">
        <v>0.13</v>
      </c>
      <c r="F766" s="127"/>
      <c r="G766" s="127"/>
      <c r="H766" s="127"/>
      <c r="I766" s="128"/>
      <c r="K766" s="105" t="str">
        <f>IFERROR(__xludf.DUMMYFUNCTION("if(A766="""","""",substitute(SUBSTITUTE(index(importhtml(""http://finviz.com/quote.ashx?t=""&amp;A766,""table"",10),7,2),""*"",""""),""-"",""0.00""))"),"Loading...")</f>
        <v>Loading...</v>
      </c>
      <c r="L766" s="129">
        <v>420221.0</v>
      </c>
      <c r="M766" s="99">
        <v>0.64</v>
      </c>
    </row>
    <row r="767">
      <c r="A767" s="122" t="s">
        <v>1962</v>
      </c>
      <c r="B767" s="123">
        <v>1661600.0</v>
      </c>
      <c r="C767" s="124" t="s">
        <v>1963</v>
      </c>
      <c r="D767" s="125"/>
      <c r="E767" s="126">
        <v>0.13</v>
      </c>
      <c r="F767" s="127"/>
      <c r="G767" s="127"/>
      <c r="H767" s="127"/>
      <c r="I767" s="128"/>
      <c r="K767" s="105" t="str">
        <f>IFERROR(__xludf.DUMMYFUNCTION("if(A767="""","""",substitute(SUBSTITUTE(index(importhtml(""http://finviz.com/quote.ashx?t=""&amp;A767,""table"",10),7,2),""*"",""""),""-"",""0.00""))"),"Loading...")</f>
        <v>Loading...</v>
      </c>
      <c r="L767" s="129">
        <v>586181.0</v>
      </c>
      <c r="M767" s="99">
        <v>1.2</v>
      </c>
    </row>
    <row r="768">
      <c r="A768" s="122" t="s">
        <v>1964</v>
      </c>
      <c r="B768" s="123">
        <v>719274.0</v>
      </c>
      <c r="C768" s="124" t="s">
        <v>1965</v>
      </c>
      <c r="D768" s="125"/>
      <c r="E768" s="126">
        <v>0.13</v>
      </c>
      <c r="F768" s="127"/>
      <c r="G768" s="127"/>
      <c r="H768" s="127"/>
      <c r="I768" s="128"/>
      <c r="K768" s="105" t="str">
        <f>IFERROR(__xludf.DUMMYFUNCTION("if(A768="""","""",substitute(SUBSTITUTE(index(importhtml(""http://finviz.com/quote.ashx?t=""&amp;A768,""table"",10),7,2),""*"",""""),""-"",""0.00""))"),"Loading...")</f>
        <v>Loading...</v>
      </c>
      <c r="L768" s="129">
        <v>770810.0</v>
      </c>
      <c r="M768" s="99">
        <v>1.28</v>
      </c>
    </row>
    <row r="769">
      <c r="A769" s="122" t="s">
        <v>1966</v>
      </c>
      <c r="B769" s="123">
        <v>1409197.0</v>
      </c>
      <c r="C769" s="124" t="s">
        <v>1967</v>
      </c>
      <c r="D769" s="125"/>
      <c r="E769" s="126">
        <v>0.13</v>
      </c>
      <c r="F769" s="127"/>
      <c r="G769" s="127"/>
      <c r="H769" s="127"/>
      <c r="I769" s="128"/>
      <c r="K769" s="105" t="str">
        <f>IFERROR(__xludf.DUMMYFUNCTION("if(A769="""","""",substitute(SUBSTITUTE(index(importhtml(""http://finviz.com/quote.ashx?t=""&amp;A769,""table"",10),7,2),""*"",""""),""-"",""0.00""))"),"Loading...")</f>
        <v>Loading...</v>
      </c>
      <c r="L769" s="129">
        <v>1222144.0</v>
      </c>
      <c r="M769" s="99">
        <v>0.81</v>
      </c>
    </row>
    <row r="770">
      <c r="A770" s="122" t="s">
        <v>1968</v>
      </c>
      <c r="B770" s="123">
        <v>1063537.0</v>
      </c>
      <c r="C770" s="124" t="s">
        <v>1969</v>
      </c>
      <c r="D770" s="125"/>
      <c r="E770" s="126">
        <v>0.13</v>
      </c>
      <c r="F770" s="127"/>
      <c r="G770" s="127"/>
      <c r="H770" s="127"/>
      <c r="I770" s="128"/>
      <c r="K770" s="105" t="str">
        <f>IFERROR(__xludf.DUMMYFUNCTION("if(A770="""","""",substitute(SUBSTITUTE(index(importhtml(""http://finviz.com/quote.ashx?t=""&amp;A770,""table"",10),7,2),""*"",""""),""-"",""0.00""))"),"Loading...")</f>
        <v>Loading...</v>
      </c>
      <c r="L770" s="129">
        <v>1236659.0</v>
      </c>
      <c r="M770" s="99">
        <v>0.51</v>
      </c>
    </row>
    <row r="771">
      <c r="A771" s="122" t="s">
        <v>1970</v>
      </c>
      <c r="B771" s="123">
        <v>1730773.0</v>
      </c>
      <c r="C771" s="124" t="s">
        <v>1971</v>
      </c>
      <c r="D771" s="125"/>
      <c r="E771" s="126">
        <v>0.13</v>
      </c>
      <c r="F771" s="127"/>
      <c r="G771" s="127"/>
      <c r="H771" s="127"/>
      <c r="I771" s="128"/>
      <c r="K771" s="105" t="str">
        <f>IFERROR(__xludf.DUMMYFUNCTION("if(A771="""","""",substitute(SUBSTITUTE(index(importhtml(""http://finviz.com/quote.ashx?t=""&amp;A771,""table"",10),7,2),""*"",""""),""-"",""0.00""))"),"Loading...")</f>
        <v>Loading...</v>
      </c>
      <c r="L771" s="129">
        <v>1974943.0</v>
      </c>
      <c r="M771" s="99" t="str">
        <f>IFERROR(__xludf.DUMMYFUNCTION("GOOGLEFINANCE(A771,""beta"")"),"#N/A")</f>
        <v>#N/A</v>
      </c>
    </row>
    <row r="772">
      <c r="A772" s="122" t="s">
        <v>1972</v>
      </c>
      <c r="B772" s="123">
        <v>1609258.0</v>
      </c>
      <c r="C772" s="124" t="s">
        <v>1973</v>
      </c>
      <c r="D772" s="125"/>
      <c r="E772" s="126">
        <v>0.13</v>
      </c>
      <c r="F772" s="127"/>
      <c r="G772" s="127"/>
      <c r="H772" s="127"/>
      <c r="I772" s="128"/>
      <c r="K772" s="105" t="str">
        <f>IFERROR(__xludf.DUMMYFUNCTION("if(A772="""","""",substitute(SUBSTITUTE(index(importhtml(""http://finviz.com/quote.ashx?t=""&amp;A772,""table"",10),7,2),""*"",""""),""-"",""0.00""))"),"Loading...")</f>
        <v>Loading...</v>
      </c>
      <c r="L772" s="129">
        <v>2989570.0</v>
      </c>
      <c r="M772" s="99">
        <v>4.84</v>
      </c>
    </row>
    <row r="773">
      <c r="A773" s="122" t="s">
        <v>1974</v>
      </c>
      <c r="B773" s="123">
        <v>1468492.0</v>
      </c>
      <c r="C773" s="124" t="s">
        <v>1975</v>
      </c>
      <c r="D773" s="125"/>
      <c r="E773" s="126">
        <v>0.13</v>
      </c>
      <c r="F773" s="127"/>
      <c r="G773" s="127"/>
      <c r="H773" s="127"/>
      <c r="I773" s="128"/>
      <c r="K773" s="105" t="str">
        <f>IFERROR(__xludf.DUMMYFUNCTION("if(A773="""","""",substitute(SUBSTITUTE(index(importhtml(""http://finviz.com/quote.ashx?t=""&amp;A773,""table"",10),7,2),""*"",""""),""-"",""0.00""))"),"Loading...")</f>
        <v>Loading...</v>
      </c>
      <c r="L773" s="129">
        <v>8514371.0</v>
      </c>
      <c r="M773" s="99">
        <f>IFERROR(__xludf.DUMMYFUNCTION("GOOGLEFINANCE(A773,""beta"")"),2.56)</f>
        <v>2.56</v>
      </c>
    </row>
    <row r="774">
      <c r="A774" s="122" t="s">
        <v>1976</v>
      </c>
      <c r="B774" s="123">
        <v>1619096.0</v>
      </c>
      <c r="C774" s="124" t="s">
        <v>1977</v>
      </c>
      <c r="D774" s="125"/>
      <c r="E774" s="126">
        <v>0.13</v>
      </c>
      <c r="F774" s="127"/>
      <c r="G774" s="127"/>
      <c r="H774" s="127"/>
      <c r="I774" s="128"/>
      <c r="K774" s="105" t="str">
        <f>IFERROR(__xludf.DUMMYFUNCTION("if(A774="""","""",substitute(SUBSTITUTE(index(importhtml(""http://finviz.com/quote.ashx?t=""&amp;A774,""table"",10),7,2),""*"",""""),""-"",""0.00""))"),"Loading...")</f>
        <v>Loading...</v>
      </c>
      <c r="L774" s="129">
        <v>8734910.0</v>
      </c>
      <c r="M774" s="99">
        <v>-9.99</v>
      </c>
    </row>
    <row r="775">
      <c r="A775" s="122" t="s">
        <v>1978</v>
      </c>
      <c r="B775" s="123">
        <v>1397183.0</v>
      </c>
      <c r="C775" s="124" t="s">
        <v>1979</v>
      </c>
      <c r="D775" s="125"/>
      <c r="E775" s="126">
        <v>0.13</v>
      </c>
      <c r="F775" s="127"/>
      <c r="G775" s="127"/>
      <c r="H775" s="127"/>
      <c r="I775" s="128"/>
      <c r="K775" s="105" t="str">
        <f>IFERROR(__xludf.DUMMYFUNCTION("if(A775="""","""",substitute(SUBSTITUTE(index(importhtml(""http://finviz.com/quote.ashx?t=""&amp;A775,""table"",10),7,2),""*"",""""),""-"",""0.00""))"),"Loading...")</f>
        <v>Loading...</v>
      </c>
      <c r="L775" s="129">
        <v>9095415.0</v>
      </c>
      <c r="M775" s="99">
        <f>IFERROR(__xludf.DUMMYFUNCTION("GOOGLEFINANCE(A775,""beta"")"),-9.67)</f>
        <v>-9.67</v>
      </c>
    </row>
    <row r="776">
      <c r="A776" s="122" t="s">
        <v>1980</v>
      </c>
      <c r="B776" s="123">
        <v>1352952.0</v>
      </c>
      <c r="C776" s="124" t="s">
        <v>1981</v>
      </c>
      <c r="D776" s="125"/>
      <c r="E776" s="126">
        <v>0.13</v>
      </c>
      <c r="F776" s="127"/>
      <c r="G776" s="127"/>
      <c r="H776" s="127"/>
      <c r="I776" s="128"/>
      <c r="K776" s="105" t="str">
        <f>IFERROR(__xludf.DUMMYFUNCTION("if(A776="""","""",substitute(SUBSTITUTE(index(importhtml(""http://finviz.com/quote.ashx?t=""&amp;A776,""table"",10),7,2),""*"",""""),""-"",""0.00""))"),"Loading...")</f>
        <v>Loading...</v>
      </c>
      <c r="L776" s="129">
        <v>1.068739E7</v>
      </c>
      <c r="M776" s="99">
        <v>-73.9</v>
      </c>
    </row>
    <row r="777">
      <c r="A777" s="122" t="s">
        <v>1982</v>
      </c>
      <c r="B777" s="123">
        <v>1415744.0</v>
      </c>
      <c r="C777" s="124" t="s">
        <v>1983</v>
      </c>
      <c r="D777" s="125"/>
      <c r="E777" s="126">
        <v>0.13</v>
      </c>
      <c r="F777" s="127"/>
      <c r="G777" s="127"/>
      <c r="H777" s="127"/>
      <c r="I777" s="128"/>
      <c r="K777" s="105" t="str">
        <f>IFERROR(__xludf.DUMMYFUNCTION("if(A777="""","""",substitute(SUBSTITUTE(index(importhtml(""http://finviz.com/quote.ashx?t=""&amp;A777,""table"",10),7,2),""*"",""""),""-"",""0.00""))"),"Loading...")</f>
        <v>Loading...</v>
      </c>
      <c r="L777" s="129">
        <v>1.151184E7</v>
      </c>
      <c r="M777" s="99">
        <v>1.43</v>
      </c>
    </row>
    <row r="778">
      <c r="A778" s="122" t="s">
        <v>1984</v>
      </c>
      <c r="B778" s="123">
        <v>1718224.0</v>
      </c>
      <c r="C778" s="124" t="s">
        <v>1985</v>
      </c>
      <c r="D778" s="125"/>
      <c r="E778" s="126">
        <v>0.13</v>
      </c>
      <c r="F778" s="127"/>
      <c r="G778" s="127"/>
      <c r="H778" s="127"/>
      <c r="I778" s="128"/>
      <c r="K778" s="105" t="str">
        <f>IFERROR(__xludf.DUMMYFUNCTION("if(A778="""","""",substitute(SUBSTITUTE(index(importhtml(""http://finviz.com/quote.ashx?t=""&amp;A778,""table"",10),7,2),""*"",""""),""-"",""0.00""))"),"Loading...")</f>
        <v>Loading...</v>
      </c>
      <c r="L778" s="129">
        <v>1.2929463E7</v>
      </c>
      <c r="M778" s="99">
        <f>IFERROR(__xludf.DUMMYFUNCTION("GOOGLEFINANCE(A778,""beta"")"),0.09)</f>
        <v>0.09</v>
      </c>
    </row>
    <row r="779">
      <c r="A779" s="122" t="s">
        <v>1986</v>
      </c>
      <c r="B779" s="123">
        <v>1009922.0</v>
      </c>
      <c r="C779" s="124" t="s">
        <v>1987</v>
      </c>
      <c r="D779" s="125"/>
      <c r="E779" s="126">
        <v>0.13</v>
      </c>
      <c r="F779" s="127"/>
      <c r="G779" s="127"/>
      <c r="H779" s="127"/>
      <c r="I779" s="128"/>
      <c r="K779" s="105" t="str">
        <f>IFERROR(__xludf.DUMMYFUNCTION("if(A779="""","""",substitute(SUBSTITUTE(index(importhtml(""http://finviz.com/quote.ashx?t=""&amp;A779,""table"",10),7,2),""*"",""""),""-"",""0.00""))"),"Loading...")</f>
        <v>Loading...</v>
      </c>
      <c r="L779" s="129">
        <v>1.3264292E7</v>
      </c>
      <c r="M779" s="99">
        <v>1.12</v>
      </c>
    </row>
    <row r="780">
      <c r="A780" s="122" t="s">
        <v>1988</v>
      </c>
      <c r="B780" s="123">
        <v>1858994.0</v>
      </c>
      <c r="C780" s="124" t="s">
        <v>1989</v>
      </c>
      <c r="D780" s="125"/>
      <c r="E780" s="126">
        <v>0.13</v>
      </c>
      <c r="F780" s="127"/>
      <c r="G780" s="127"/>
      <c r="H780" s="127"/>
      <c r="I780" s="128"/>
      <c r="K780" s="105" t="str">
        <f>IFERROR(__xludf.DUMMYFUNCTION("if(A780="""","""",substitute(SUBSTITUTE(index(importhtml(""http://finviz.com/quote.ashx?t=""&amp;A780,""table"",10),7,2),""*"",""""),""-"",""0.00""))"),"Loading...")</f>
        <v>Loading...</v>
      </c>
      <c r="L780" s="129">
        <v>1.730466E7</v>
      </c>
      <c r="M780" s="99" t="str">
        <f>IFERROR(__xludf.DUMMYFUNCTION("GOOGLEFINANCE(A780,""beta"")"),"#N/A")</f>
        <v>#N/A</v>
      </c>
    </row>
    <row r="781">
      <c r="A781" s="122" t="s">
        <v>1990</v>
      </c>
      <c r="B781" s="123">
        <v>1393781.0</v>
      </c>
      <c r="C781" s="124" t="s">
        <v>1991</v>
      </c>
      <c r="D781" s="125"/>
      <c r="E781" s="126">
        <v>0.13</v>
      </c>
      <c r="F781" s="127"/>
      <c r="G781" s="127"/>
      <c r="H781" s="127"/>
      <c r="I781" s="128"/>
      <c r="K781" s="105" t="str">
        <f>IFERROR(__xludf.DUMMYFUNCTION("if(A781="""","""",substitute(SUBSTITUTE(index(importhtml(""http://finviz.com/quote.ashx?t=""&amp;A781,""table"",10),7,2),""*"",""""),""-"",""0.00""))"),"Loading...")</f>
        <v>Loading...</v>
      </c>
      <c r="L781" s="129">
        <v>1.7506202E7</v>
      </c>
      <c r="M781" s="99">
        <v>-6.0</v>
      </c>
    </row>
    <row r="782">
      <c r="A782" s="122" t="s">
        <v>1992</v>
      </c>
      <c r="B782" s="123">
        <v>1304730.0</v>
      </c>
      <c r="C782" s="124" t="s">
        <v>1993</v>
      </c>
      <c r="D782" s="125"/>
      <c r="E782" s="126">
        <v>0.13</v>
      </c>
      <c r="F782" s="127"/>
      <c r="G782" s="127"/>
      <c r="H782" s="127"/>
      <c r="I782" s="128"/>
      <c r="K782" s="105" t="str">
        <f>IFERROR(__xludf.DUMMYFUNCTION("if(A782="""","""",substitute(SUBSTITUTE(index(importhtml(""http://finviz.com/quote.ashx?t=""&amp;A782,""table"",10),7,2),""*"",""""),""-"",""0.00""))"),"Loading...")</f>
        <v>Loading...</v>
      </c>
      <c r="L782" s="129">
        <v>1.864027E7</v>
      </c>
      <c r="M782" s="99" t="str">
        <f>IFERROR(__xludf.DUMMYFUNCTION("GOOGLEFINANCE(A782,""beta"")"),"#N/A")</f>
        <v>#N/A</v>
      </c>
    </row>
    <row r="783">
      <c r="A783" s="122" t="s">
        <v>1994</v>
      </c>
      <c r="B783" s="123">
        <v>1847075.0</v>
      </c>
      <c r="C783" s="124" t="s">
        <v>1995</v>
      </c>
      <c r="D783" s="125"/>
      <c r="E783" s="126">
        <v>0.13</v>
      </c>
      <c r="F783" s="127"/>
      <c r="G783" s="127"/>
      <c r="H783" s="127"/>
      <c r="I783" s="128"/>
      <c r="K783" s="105" t="str">
        <f>IFERROR(__xludf.DUMMYFUNCTION("if(A783="""","""",substitute(SUBSTITUTE(index(importhtml(""http://finviz.com/quote.ashx?t=""&amp;A783,""table"",10),7,2),""*"",""""),""-"",""0.00""))"),"Loading...")</f>
        <v>Loading...</v>
      </c>
      <c r="L783" s="129">
        <v>2.0304647E7</v>
      </c>
      <c r="M783" s="99" t="str">
        <f>IFERROR(__xludf.DUMMYFUNCTION("GOOGLEFINANCE(A783,""beta"")"),"#N/A")</f>
        <v>#N/A</v>
      </c>
    </row>
    <row r="784">
      <c r="A784" s="122" t="s">
        <v>1996</v>
      </c>
      <c r="B784" s="123">
        <v>1862490.0</v>
      </c>
      <c r="C784" s="124" t="s">
        <v>1997</v>
      </c>
      <c r="D784" s="125"/>
      <c r="E784" s="126">
        <v>0.13</v>
      </c>
      <c r="F784" s="127"/>
      <c r="G784" s="127"/>
      <c r="H784" s="127"/>
      <c r="I784" s="128"/>
      <c r="K784" s="105" t="str">
        <f>IFERROR(__xludf.DUMMYFUNCTION("if(A784="""","""",substitute(SUBSTITUTE(index(importhtml(""http://finviz.com/quote.ashx?t=""&amp;A784,""table"",10),7,2),""*"",""""),""-"",""0.00""))"),"Loading...")</f>
        <v>Loading...</v>
      </c>
      <c r="L784" s="129">
        <v>2.1445721E7</v>
      </c>
      <c r="M784" s="99" t="str">
        <f>IFERROR(__xludf.DUMMYFUNCTION("GOOGLEFINANCE(A784,""beta"")"),"#N/A")</f>
        <v>#N/A</v>
      </c>
    </row>
    <row r="785">
      <c r="A785" s="122" t="s">
        <v>1998</v>
      </c>
      <c r="B785" s="123">
        <v>1881551.0</v>
      </c>
      <c r="C785" s="124" t="s">
        <v>1999</v>
      </c>
      <c r="D785" s="125"/>
      <c r="E785" s="126">
        <v>0.13</v>
      </c>
      <c r="F785" s="127"/>
      <c r="G785" s="127"/>
      <c r="H785" s="127"/>
      <c r="I785" s="128"/>
      <c r="K785" s="105" t="str">
        <f>IFERROR(__xludf.DUMMYFUNCTION("if(A785="""","""",substitute(SUBSTITUTE(index(importhtml(""http://finviz.com/quote.ashx?t=""&amp;A785,""table"",10),7,2),""*"",""""),""-"",""0.00""))"),"Loading...")</f>
        <v>Loading...</v>
      </c>
      <c r="L785" s="129">
        <v>2.4936477E7</v>
      </c>
      <c r="M785" s="99" t="str">
        <f>IFERROR(__xludf.DUMMYFUNCTION("GOOGLEFINANCE(A785,""beta"")"),"#N/A")</f>
        <v>#N/A</v>
      </c>
    </row>
    <row r="786">
      <c r="A786" s="122" t="s">
        <v>2000</v>
      </c>
      <c r="B786" s="123">
        <v>1715433.0</v>
      </c>
      <c r="C786" s="124" t="s">
        <v>2001</v>
      </c>
      <c r="D786" s="125"/>
      <c r="E786" s="126">
        <v>0.13</v>
      </c>
      <c r="F786" s="127"/>
      <c r="G786" s="127"/>
      <c r="H786" s="127"/>
      <c r="I786" s="128"/>
      <c r="K786" s="105" t="str">
        <f>IFERROR(__xludf.DUMMYFUNCTION("if(A786="""","""",substitute(SUBSTITUTE(index(importhtml(""http://finviz.com/quote.ashx?t=""&amp;A786,""table"",10),7,2),""*"",""""),""-"",""0.00""))"),"Loading...")</f>
        <v>Loading...</v>
      </c>
      <c r="L786" s="129">
        <v>2.7814515E7</v>
      </c>
      <c r="M786" s="99">
        <v>5.64</v>
      </c>
    </row>
    <row r="787">
      <c r="A787" s="122" t="s">
        <v>2002</v>
      </c>
      <c r="B787" s="123">
        <v>315545.0</v>
      </c>
      <c r="C787" s="124" t="s">
        <v>2003</v>
      </c>
      <c r="D787" s="125"/>
      <c r="E787" s="126">
        <v>0.13</v>
      </c>
      <c r="F787" s="127"/>
      <c r="G787" s="127"/>
      <c r="H787" s="127"/>
      <c r="I787" s="128"/>
      <c r="K787" s="105" t="str">
        <f>IFERROR(__xludf.DUMMYFUNCTION("if(A787="""","""",substitute(SUBSTITUTE(index(importhtml(""http://finviz.com/quote.ashx?t=""&amp;A787,""table"",10),7,2),""*"",""""),""-"",""0.00""))"),"Loading...")</f>
        <v>Loading...</v>
      </c>
      <c r="L787" s="129">
        <v>5.3659773E7</v>
      </c>
      <c r="M787" s="99">
        <v>0.6</v>
      </c>
    </row>
    <row r="788">
      <c r="A788" s="122" t="s">
        <v>2004</v>
      </c>
      <c r="B788" s="123">
        <v>1842356.0</v>
      </c>
      <c r="C788" s="124" t="s">
        <v>2005</v>
      </c>
      <c r="D788" s="125"/>
      <c r="E788" s="126">
        <v>0.13</v>
      </c>
      <c r="F788" s="127"/>
      <c r="G788" s="127"/>
      <c r="H788" s="127"/>
      <c r="I788" s="128"/>
      <c r="K788" s="105" t="str">
        <f>IFERROR(__xludf.DUMMYFUNCTION("if(A788="""","""",substitute(SUBSTITUTE(index(importhtml(""http://finviz.com/quote.ashx?t=""&amp;A788,""table"",10),7,2),""*"",""""),""-"",""0.00""))"),"Loading...")</f>
        <v>Loading...</v>
      </c>
      <c r="L788" s="129">
        <v>7.841202E7</v>
      </c>
      <c r="M788" s="99" t="str">
        <f>IFERROR(__xludf.DUMMYFUNCTION("GOOGLEFINANCE(A788,""beta"")"),"#N/A")</f>
        <v>#N/A</v>
      </c>
    </row>
    <row r="789">
      <c r="A789" s="122" t="s">
        <v>2006</v>
      </c>
      <c r="B789" s="123">
        <v>1829953.0</v>
      </c>
      <c r="C789" s="124" t="s">
        <v>1452</v>
      </c>
      <c r="D789" s="125"/>
      <c r="E789" s="126">
        <v>0.13</v>
      </c>
      <c r="F789" s="127"/>
      <c r="G789" s="127"/>
      <c r="H789" s="127"/>
      <c r="I789" s="128"/>
      <c r="K789" s="105" t="str">
        <f>IFERROR(__xludf.DUMMYFUNCTION("if(A789="""","""",substitute(SUBSTITUTE(index(importhtml(""http://finviz.com/quote.ashx?t=""&amp;A789,""table"",10),7,2),""*"",""""),""-"",""0.00""))"),"Loading...")</f>
        <v>Loading...</v>
      </c>
      <c r="L789" s="129">
        <v>1.127417E8</v>
      </c>
      <c r="M789" s="99" t="str">
        <f>IFERROR(__xludf.DUMMYFUNCTION("GOOGLEFINANCE(A789,""beta"")"),"#N/A")</f>
        <v>#N/A</v>
      </c>
    </row>
    <row r="790">
      <c r="A790" s="122" t="s">
        <v>2007</v>
      </c>
      <c r="B790" s="123">
        <v>1874315.0</v>
      </c>
      <c r="C790" s="124" t="s">
        <v>2008</v>
      </c>
      <c r="D790" s="125"/>
      <c r="E790" s="126">
        <v>0.13</v>
      </c>
      <c r="F790" s="127"/>
      <c r="G790" s="127"/>
      <c r="H790" s="127"/>
      <c r="I790" s="128"/>
      <c r="K790" s="105" t="str">
        <f>IFERROR(__xludf.DUMMYFUNCTION("if(A790="""","""",substitute(SUBSTITUTE(index(importhtml(""http://finviz.com/quote.ashx?t=""&amp;A790,""table"",10),7,2),""*"",""""),""-"",""0.00""))"),"Loading...")</f>
        <v>Loading...</v>
      </c>
      <c r="L790" s="129">
        <v>1.21833629E8</v>
      </c>
      <c r="M790" s="99">
        <f>IFERROR(__xludf.DUMMYFUNCTION("GOOGLEFINANCE(A790,""beta"")"),0.98)</f>
        <v>0.98</v>
      </c>
    </row>
    <row r="791">
      <c r="A791" s="122" t="s">
        <v>2009</v>
      </c>
      <c r="B791" s="123">
        <v>1684144.0</v>
      </c>
      <c r="C791" s="124" t="s">
        <v>2010</v>
      </c>
      <c r="D791" s="125"/>
      <c r="E791" s="126">
        <v>0.13</v>
      </c>
      <c r="F791" s="127"/>
      <c r="G791" s="127"/>
      <c r="H791" s="127"/>
      <c r="I791" s="128"/>
      <c r="K791" s="105" t="str">
        <f>IFERROR(__xludf.DUMMYFUNCTION("if(A791="""","""",substitute(SUBSTITUTE(index(importhtml(""http://finviz.com/quote.ashx?t=""&amp;A791,""table"",10),7,2),""*"",""""),""-"",""0.00""))"),"Loading...")</f>
        <v>Loading...</v>
      </c>
      <c r="L791" s="129">
        <v>1.28284196E8</v>
      </c>
      <c r="M791" s="99">
        <v>1.01</v>
      </c>
    </row>
    <row r="792">
      <c r="A792" s="122" t="s">
        <v>2011</v>
      </c>
      <c r="B792" s="123">
        <v>1816431.0</v>
      </c>
      <c r="C792" s="124" t="s">
        <v>2012</v>
      </c>
      <c r="D792" s="125"/>
      <c r="E792" s="126">
        <v>0.13</v>
      </c>
      <c r="F792" s="127"/>
      <c r="G792" s="127"/>
      <c r="H792" s="127"/>
      <c r="I792" s="128"/>
      <c r="K792" s="105" t="str">
        <f>IFERROR(__xludf.DUMMYFUNCTION("if(A792="""","""",substitute(SUBSTITUTE(index(importhtml(""http://finviz.com/quote.ashx?t=""&amp;A792,""table"",10),7,2),""*"",""""),""-"",""0.00""))"),"Loading...")</f>
        <v>Loading...</v>
      </c>
      <c r="L792" s="129">
        <v>2.15426557E8</v>
      </c>
      <c r="M792" s="99">
        <v>4.44</v>
      </c>
    </row>
    <row r="793">
      <c r="A793" s="122" t="s">
        <v>2013</v>
      </c>
      <c r="B793" s="123">
        <v>1887388.0</v>
      </c>
      <c r="C793" s="124" t="s">
        <v>2014</v>
      </c>
      <c r="D793" s="125"/>
      <c r="E793" s="126">
        <v>0.13</v>
      </c>
      <c r="F793" s="127"/>
      <c r="G793" s="127"/>
      <c r="H793" s="127"/>
      <c r="I793" s="128"/>
      <c r="K793" s="105" t="str">
        <f>IFERROR(__xludf.DUMMYFUNCTION("if(A793="""","""",substitute(SUBSTITUTE(index(importhtml(""http://finviz.com/quote.ashx?t=""&amp;A793,""table"",10),7,2),""*"",""""),""-"",""0.00""))"),"Loading...")</f>
        <v>Loading...</v>
      </c>
      <c r="L793" s="129">
        <v>2.97959486E8</v>
      </c>
      <c r="M793" s="99" t="str">
        <f>IFERROR(__xludf.DUMMYFUNCTION("GOOGLEFINANCE(A793,""beta"")"),"#N/A")</f>
        <v>#N/A</v>
      </c>
    </row>
    <row r="794">
      <c r="A794" s="122" t="s">
        <v>2015</v>
      </c>
      <c r="B794" s="123">
        <v>1798562.0</v>
      </c>
      <c r="C794" s="124" t="s">
        <v>2016</v>
      </c>
      <c r="D794" s="125"/>
      <c r="E794" s="126">
        <v>0.13</v>
      </c>
      <c r="F794" s="127"/>
      <c r="G794" s="127"/>
      <c r="H794" s="127"/>
      <c r="I794" s="128"/>
      <c r="K794" s="105" t="str">
        <f>IFERROR(__xludf.DUMMYFUNCTION("if(A794="""","""",substitute(SUBSTITUTE(index(importhtml(""http://finviz.com/quote.ashx?t=""&amp;A794,""table"",10),7,2),""*"",""""),""-"",""0.00""))"),"Loading...")</f>
        <v>Loading...</v>
      </c>
      <c r="L794" s="129">
        <v>3.93658452E8</v>
      </c>
      <c r="M794" s="99">
        <v>2.03</v>
      </c>
    </row>
    <row r="795">
      <c r="A795" s="122" t="s">
        <v>2017</v>
      </c>
      <c r="B795" s="123">
        <v>1886190.0</v>
      </c>
      <c r="C795" s="124" t="s">
        <v>2018</v>
      </c>
      <c r="D795" s="125"/>
      <c r="E795" s="126">
        <v>0.13</v>
      </c>
      <c r="F795" s="127"/>
      <c r="G795" s="127"/>
      <c r="H795" s="127"/>
      <c r="I795" s="128"/>
      <c r="K795" s="105" t="str">
        <f>IFERROR(__xludf.DUMMYFUNCTION("if(A795="""","""",substitute(SUBSTITUTE(index(importhtml(""http://finviz.com/quote.ashx?t=""&amp;A795,""table"",10),7,2),""*"",""""),""-"",""0.00""))"),"Loading...")</f>
        <v>Loading...</v>
      </c>
      <c r="L795" s="129">
        <v>5.15252E8</v>
      </c>
      <c r="M795" s="99">
        <f>IFERROR(__xludf.DUMMYFUNCTION("GOOGLEFINANCE(A795,""beta"")"),0.32)</f>
        <v>0.32</v>
      </c>
    </row>
    <row r="796">
      <c r="A796" s="122" t="s">
        <v>2019</v>
      </c>
      <c r="B796" s="123">
        <v>1015647.0</v>
      </c>
      <c r="C796" s="124" t="s">
        <v>2020</v>
      </c>
      <c r="D796" s="125"/>
      <c r="E796" s="126">
        <v>0.14</v>
      </c>
      <c r="F796" s="127"/>
      <c r="G796" s="127"/>
      <c r="H796" s="127"/>
      <c r="I796" s="128"/>
      <c r="K796" s="55" t="s">
        <v>1034</v>
      </c>
      <c r="L796" s="129">
        <v>1.7869896E7</v>
      </c>
      <c r="M796" s="99">
        <v>1.02</v>
      </c>
    </row>
    <row r="797">
      <c r="A797" s="122" t="s">
        <v>2021</v>
      </c>
      <c r="B797" s="123">
        <v>1857910.0</v>
      </c>
      <c r="C797" s="124" t="s">
        <v>2022</v>
      </c>
      <c r="D797" s="125"/>
      <c r="E797" s="126">
        <v>0.14</v>
      </c>
      <c r="F797" s="127"/>
      <c r="G797" s="127"/>
      <c r="H797" s="127"/>
      <c r="I797" s="128"/>
      <c r="K797" s="105" t="str">
        <f>IFERROR(__xludf.DUMMYFUNCTION("if(A797="""","""",substitute(SUBSTITUTE(index(importhtml(""http://finviz.com/quote.ashx?t=""&amp;A797,""table"",10),7,2),""*"",""""),""-"",""0.00""))"),"Loading...")</f>
        <v>Loading...</v>
      </c>
      <c r="L797" s="129">
        <v>1919220.0</v>
      </c>
      <c r="M797" s="99">
        <v>6.94</v>
      </c>
    </row>
    <row r="798">
      <c r="A798" s="122" t="s">
        <v>2023</v>
      </c>
      <c r="B798" s="123">
        <v>1494558.0</v>
      </c>
      <c r="C798" s="124" t="s">
        <v>2024</v>
      </c>
      <c r="D798" s="125"/>
      <c r="E798" s="126">
        <v>0.14</v>
      </c>
      <c r="F798" s="127"/>
      <c r="G798" s="127"/>
      <c r="H798" s="127"/>
      <c r="I798" s="128"/>
      <c r="K798" s="105" t="str">
        <f>IFERROR(__xludf.DUMMYFUNCTION("if(A798="""","""",substitute(SUBSTITUTE(index(importhtml(""http://finviz.com/quote.ashx?t=""&amp;A798,""table"",10),7,2),""*"",""""),""-"",""0.00""))"),"Loading...")</f>
        <v>Loading...</v>
      </c>
      <c r="L798" s="129">
        <v>3805374.0</v>
      </c>
      <c r="M798" s="99">
        <v>0.57</v>
      </c>
    </row>
    <row r="799">
      <c r="A799" s="122" t="s">
        <v>2025</v>
      </c>
      <c r="B799" s="123">
        <v>1673475.0</v>
      </c>
      <c r="C799" s="124" t="s">
        <v>2026</v>
      </c>
      <c r="D799" s="125"/>
      <c r="E799" s="126">
        <v>0.14</v>
      </c>
      <c r="F799" s="127"/>
      <c r="G799" s="127"/>
      <c r="H799" s="127"/>
      <c r="I799" s="128"/>
      <c r="K799" s="105" t="str">
        <f>IFERROR(__xludf.DUMMYFUNCTION("if(A799="""","""",substitute(SUBSTITUTE(index(importhtml(""http://finviz.com/quote.ashx?t=""&amp;A799,""table"",10),7,2),""*"",""""),""-"",""0.00""))"),"Loading...")</f>
        <v>Loading...</v>
      </c>
      <c r="L799" s="129">
        <v>5882251.0</v>
      </c>
      <c r="M799" s="99">
        <v>-3.9</v>
      </c>
    </row>
    <row r="800">
      <c r="A800" s="122" t="s">
        <v>2027</v>
      </c>
      <c r="B800" s="123">
        <v>1561880.0</v>
      </c>
      <c r="C800" s="124" t="s">
        <v>2028</v>
      </c>
      <c r="D800" s="125"/>
      <c r="E800" s="126">
        <v>0.14</v>
      </c>
      <c r="F800" s="127"/>
      <c r="G800" s="127"/>
      <c r="H800" s="127"/>
      <c r="I800" s="128"/>
      <c r="K800" s="105" t="str">
        <f>IFERROR(__xludf.DUMMYFUNCTION("if(A800="""","""",substitute(SUBSTITUTE(index(importhtml(""http://finviz.com/quote.ashx?t=""&amp;A800,""table"",10),7,2),""*"",""""),""-"",""0.00""))"),"Loading...")</f>
        <v>Loading...</v>
      </c>
      <c r="L800" s="129">
        <v>6773580.0</v>
      </c>
      <c r="M800" s="99">
        <v>-0.13</v>
      </c>
    </row>
    <row r="801">
      <c r="A801" s="122" t="s">
        <v>2029</v>
      </c>
      <c r="B801" s="123">
        <v>1083522.0</v>
      </c>
      <c r="C801" s="124" t="s">
        <v>2030</v>
      </c>
      <c r="D801" s="125"/>
      <c r="E801" s="126">
        <v>0.14</v>
      </c>
      <c r="F801" s="127"/>
      <c r="G801" s="127"/>
      <c r="H801" s="127"/>
      <c r="I801" s="128"/>
      <c r="K801" s="105" t="str">
        <f>IFERROR(__xludf.DUMMYFUNCTION("if(A801="""","""",substitute(SUBSTITUTE(index(importhtml(""http://finviz.com/quote.ashx?t=""&amp;A801,""table"",10),7,2),""*"",""""),""-"",""0.00""))"),"Loading...")</f>
        <v>Loading...</v>
      </c>
      <c r="L801" s="129">
        <v>1.410052E7</v>
      </c>
      <c r="M801" s="99">
        <v>0.92</v>
      </c>
    </row>
    <row r="802">
      <c r="A802" s="122" t="s">
        <v>2031</v>
      </c>
      <c r="B802" s="123">
        <v>1524223.0</v>
      </c>
      <c r="C802" s="124" t="s">
        <v>2032</v>
      </c>
      <c r="D802" s="125"/>
      <c r="E802" s="126">
        <v>0.14</v>
      </c>
      <c r="F802" s="127"/>
      <c r="G802" s="127"/>
      <c r="H802" s="127"/>
      <c r="I802" s="128"/>
      <c r="K802" s="105" t="str">
        <f>IFERROR(__xludf.DUMMYFUNCTION("if(A802="""","""",substitute(SUBSTITUTE(index(importhtml(""http://finviz.com/quote.ashx?t=""&amp;A802,""table"",10),7,2),""*"",""""),""-"",""0.00""))"),"Loading...")</f>
        <v>Loading...</v>
      </c>
      <c r="L802" s="129">
        <v>1.8744912E7</v>
      </c>
      <c r="M802" s="99">
        <v>0.24</v>
      </c>
    </row>
    <row r="803">
      <c r="A803" s="122" t="s">
        <v>2033</v>
      </c>
      <c r="B803" s="123">
        <v>1123267.0</v>
      </c>
      <c r="C803" s="124" t="s">
        <v>2034</v>
      </c>
      <c r="D803" s="125"/>
      <c r="E803" s="126">
        <v>0.14</v>
      </c>
      <c r="F803" s="127"/>
      <c r="G803" s="127"/>
      <c r="H803" s="127"/>
      <c r="I803" s="128"/>
      <c r="K803" s="105" t="str">
        <f>IFERROR(__xludf.DUMMYFUNCTION("if(A803="""","""",substitute(SUBSTITUTE(index(importhtml(""http://finviz.com/quote.ashx?t=""&amp;A803,""table"",10),7,2),""*"",""""),""-"",""0.00""))"),"Loading...")</f>
        <v>Loading...</v>
      </c>
      <c r="L803" s="129">
        <v>1.969407E7</v>
      </c>
      <c r="M803" s="99">
        <v>1.02</v>
      </c>
    </row>
    <row r="804">
      <c r="A804" s="122" t="s">
        <v>2035</v>
      </c>
      <c r="B804" s="123">
        <v>1158399.0</v>
      </c>
      <c r="C804" s="124" t="s">
        <v>2036</v>
      </c>
      <c r="D804" s="125"/>
      <c r="E804" s="126">
        <v>0.14</v>
      </c>
      <c r="F804" s="127"/>
      <c r="G804" s="127"/>
      <c r="H804" s="127"/>
      <c r="I804" s="128"/>
      <c r="K804" s="105" t="str">
        <f>IFERROR(__xludf.DUMMYFUNCTION("if(A804="""","""",substitute(SUBSTITUTE(index(importhtml(""http://finviz.com/quote.ashx?t=""&amp;A804,""table"",10),7,2),""*"",""""),""-"",""0.00""))"),"Loading...")</f>
        <v>Loading...</v>
      </c>
      <c r="L804" s="129">
        <v>2.192768E7</v>
      </c>
      <c r="M804" s="99">
        <v>4.34</v>
      </c>
    </row>
    <row r="805">
      <c r="A805" s="122" t="s">
        <v>2037</v>
      </c>
      <c r="B805" s="123">
        <v>1518561.0</v>
      </c>
      <c r="C805" s="124" t="s">
        <v>2038</v>
      </c>
      <c r="D805" s="125"/>
      <c r="E805" s="126">
        <v>0.14</v>
      </c>
      <c r="F805" s="127"/>
      <c r="G805" s="127"/>
      <c r="H805" s="127"/>
      <c r="I805" s="128"/>
      <c r="K805" s="105" t="str">
        <f>IFERROR(__xludf.DUMMYFUNCTION("if(A805="""","""",substitute(SUBSTITUTE(index(importhtml(""http://finviz.com/quote.ashx?t=""&amp;A805,""table"",10),7,2),""*"",""""),""-"",""0.00""))"),"Loading...")</f>
        <v>Loading...</v>
      </c>
      <c r="L805" s="129">
        <v>2.88424E7</v>
      </c>
      <c r="M805" s="99">
        <f>IFERROR(__xludf.DUMMYFUNCTION("GOOGLEFINANCE(A805,""beta"")"),0.17)</f>
        <v>0.17</v>
      </c>
    </row>
    <row r="806">
      <c r="A806" s="122" t="s">
        <v>2039</v>
      </c>
      <c r="B806" s="123">
        <v>868822.0</v>
      </c>
      <c r="C806" s="124" t="s">
        <v>2040</v>
      </c>
      <c r="D806" s="125"/>
      <c r="E806" s="126">
        <v>0.14</v>
      </c>
      <c r="F806" s="127"/>
      <c r="G806" s="127"/>
      <c r="H806" s="127"/>
      <c r="I806" s="128"/>
      <c r="K806" s="105" t="str">
        <f>IFERROR(__xludf.DUMMYFUNCTION("if(A806="""","""",substitute(SUBSTITUTE(index(importhtml(""http://finviz.com/quote.ashx?t=""&amp;A806,""table"",10),7,2),""*"",""""),""-"",""0.00""))"),"Loading...")</f>
        <v>Loading...</v>
      </c>
      <c r="L806" s="129">
        <v>2.9998966E7</v>
      </c>
      <c r="M806" s="99">
        <v>1.41</v>
      </c>
    </row>
    <row r="807">
      <c r="A807" s="122" t="s">
        <v>2041</v>
      </c>
      <c r="B807" s="123">
        <v>1277250.0</v>
      </c>
      <c r="C807" s="124" t="s">
        <v>2042</v>
      </c>
      <c r="D807" s="125"/>
      <c r="E807" s="126">
        <v>0.14</v>
      </c>
      <c r="F807" s="127"/>
      <c r="G807" s="127"/>
      <c r="H807" s="127"/>
      <c r="I807" s="128"/>
      <c r="K807" s="105" t="str">
        <f>IFERROR(__xludf.DUMMYFUNCTION("if(A807="""","""",substitute(SUBSTITUTE(index(importhtml(""http://finviz.com/quote.ashx?t=""&amp;A807,""table"",10),7,2),""*"",""""),""-"",""0.00""))"),"Loading...")</f>
        <v>Loading...</v>
      </c>
      <c r="L807" s="129">
        <v>3.0206333E7</v>
      </c>
      <c r="M807" s="99">
        <v>2.73</v>
      </c>
    </row>
    <row r="808">
      <c r="A808" s="122" t="s">
        <v>2043</v>
      </c>
      <c r="B808" s="123">
        <v>1719406.0</v>
      </c>
      <c r="C808" s="124" t="s">
        <v>2044</v>
      </c>
      <c r="D808" s="125"/>
      <c r="E808" s="126">
        <v>0.14</v>
      </c>
      <c r="F808" s="127"/>
      <c r="G808" s="127"/>
      <c r="H808" s="127"/>
      <c r="I808" s="128"/>
      <c r="K808" s="105" t="str">
        <f>IFERROR(__xludf.DUMMYFUNCTION("if(A808="""","""",substitute(SUBSTITUTE(index(importhtml(""http://finviz.com/quote.ashx?t=""&amp;A808,""table"",10),7,2),""*"",""""),""-"",""0.00""))"),"Loading...")</f>
        <v>Loading...</v>
      </c>
      <c r="L808" s="129">
        <v>3.2618703E7</v>
      </c>
      <c r="M808" s="99">
        <v>3.9</v>
      </c>
    </row>
    <row r="809">
      <c r="A809" s="122" t="s">
        <v>2045</v>
      </c>
      <c r="B809" s="123">
        <v>1811530.0</v>
      </c>
      <c r="C809" s="124" t="s">
        <v>2046</v>
      </c>
      <c r="D809" s="125"/>
      <c r="E809" s="126">
        <v>0.14</v>
      </c>
      <c r="F809" s="127"/>
      <c r="G809" s="127"/>
      <c r="H809" s="127"/>
      <c r="I809" s="128"/>
      <c r="K809" s="105" t="str">
        <f>IFERROR(__xludf.DUMMYFUNCTION("if(A809="""","""",substitute(SUBSTITUTE(index(importhtml(""http://finviz.com/quote.ashx?t=""&amp;A809,""table"",10),7,2),""*"",""""),""-"",""0.00""))"),"Loading...")</f>
        <v>Loading...</v>
      </c>
      <c r="L809" s="129">
        <v>6.4316022E7</v>
      </c>
      <c r="M809" s="99">
        <f>IFERROR(__xludf.DUMMYFUNCTION("GOOGLEFINANCE(A809,""beta"")"),250.94)</f>
        <v>250.94</v>
      </c>
    </row>
    <row r="810">
      <c r="A810" s="122" t="s">
        <v>2047</v>
      </c>
      <c r="B810" s="123">
        <v>1894630.0</v>
      </c>
      <c r="C810" s="124" t="s">
        <v>2048</v>
      </c>
      <c r="D810" s="125"/>
      <c r="E810" s="126">
        <v>0.14</v>
      </c>
      <c r="F810" s="127"/>
      <c r="G810" s="127"/>
      <c r="H810" s="127"/>
      <c r="I810" s="128"/>
      <c r="K810" s="105" t="str">
        <f>IFERROR(__xludf.DUMMYFUNCTION("if(A810="""","""",substitute(SUBSTITUTE(index(importhtml(""http://finviz.com/quote.ashx?t=""&amp;A810,""table"",10),7,2),""*"",""""),""-"",""0.00""))"),"Loading...")</f>
        <v>Loading...</v>
      </c>
      <c r="L810" s="129">
        <v>2.05149836E8</v>
      </c>
      <c r="M810" s="99" t="str">
        <f>IFERROR(__xludf.DUMMYFUNCTION("GOOGLEFINANCE(A810,""beta"")"),"#N/A")</f>
        <v>#N/A</v>
      </c>
    </row>
    <row r="811">
      <c r="A811" s="122" t="s">
        <v>2049</v>
      </c>
      <c r="B811" s="123">
        <v>1779128.0</v>
      </c>
      <c r="C811" s="124" t="s">
        <v>2050</v>
      </c>
      <c r="D811" s="125"/>
      <c r="E811" s="126">
        <v>0.14</v>
      </c>
      <c r="F811" s="127"/>
      <c r="G811" s="127"/>
      <c r="H811" s="127"/>
      <c r="I811" s="128"/>
      <c r="K811" s="105" t="str">
        <f>IFERROR(__xludf.DUMMYFUNCTION("if(A811="""","""",substitute(SUBSTITUTE(index(importhtml(""http://finviz.com/quote.ashx?t=""&amp;A811,""table"",10),7,2),""*"",""""),""-"",""0.00""))"),"Loading...")</f>
        <v>Loading...</v>
      </c>
      <c r="L811" s="129">
        <v>2.24647556E8</v>
      </c>
      <c r="M811" s="99">
        <v>-58.49</v>
      </c>
    </row>
    <row r="812">
      <c r="A812" s="122" t="s">
        <v>2051</v>
      </c>
      <c r="B812" s="123">
        <v>1884082.0</v>
      </c>
      <c r="C812" s="124" t="s">
        <v>2052</v>
      </c>
      <c r="D812" s="125"/>
      <c r="E812" s="126">
        <v>0.14</v>
      </c>
      <c r="F812" s="127"/>
      <c r="G812" s="127"/>
      <c r="H812" s="127"/>
      <c r="I812" s="128"/>
      <c r="K812" s="105" t="str">
        <f>IFERROR(__xludf.DUMMYFUNCTION("if(A812="""","""",substitute(SUBSTITUTE(index(importhtml(""http://finviz.com/quote.ashx?t=""&amp;A812,""table"",10),7,2),""*"",""""),""-"",""0.00""))"),"Loading...")</f>
        <v>Loading...</v>
      </c>
      <c r="L812" s="129">
        <v>3.777220329E9</v>
      </c>
      <c r="M812" s="99">
        <f>IFERROR(__xludf.DUMMYFUNCTION("GOOGLEFINANCE(A812,""beta"")"),1.31)</f>
        <v>1.31</v>
      </c>
    </row>
    <row r="813">
      <c r="A813" s="122" t="s">
        <v>2053</v>
      </c>
      <c r="B813" s="123">
        <v>1654672.0</v>
      </c>
      <c r="C813" s="124" t="s">
        <v>2054</v>
      </c>
      <c r="D813" s="125"/>
      <c r="E813" s="126">
        <v>0.14</v>
      </c>
      <c r="F813" s="127"/>
      <c r="G813" s="127"/>
      <c r="H813" s="127"/>
      <c r="I813" s="128"/>
      <c r="K813" s="105" t="str">
        <f>IFERROR(__xludf.DUMMYFUNCTION("if(A813="""","""",substitute(SUBSTITUTE(index(importhtml(""http://finviz.com/quote.ashx?t=""&amp;A813,""table"",10),7,2),""*"",""""),""-"",""0.00""))"),"Loading...")</f>
        <v>Loading...</v>
      </c>
      <c r="L813" s="129" t="e">
        <v>#N/A</v>
      </c>
      <c r="M813" s="99" t="e">
        <v>#N/A</v>
      </c>
    </row>
    <row r="814">
      <c r="A814" s="122" t="s">
        <v>2055</v>
      </c>
      <c r="B814" s="123">
        <v>1790665.0</v>
      </c>
      <c r="C814" s="124" t="s">
        <v>2056</v>
      </c>
      <c r="D814" s="125"/>
      <c r="E814" s="126">
        <v>0.15</v>
      </c>
      <c r="F814" s="127"/>
      <c r="G814" s="127"/>
      <c r="H814" s="127"/>
      <c r="I814" s="128"/>
      <c r="K814" s="105" t="str">
        <f>IFERROR(__xludf.DUMMYFUNCTION("if(A814="""","""",substitute(SUBSTITUTE(index(importhtml(""http://finviz.com/quote.ashx?t=""&amp;A814,""table"",10),7,2),""*"",""""),""-"",""0.00""))"),"Loading...")</f>
        <v>Loading...</v>
      </c>
      <c r="L814" s="129">
        <v>17680.0</v>
      </c>
      <c r="M814" s="130" t="e">
        <v>#N/A</v>
      </c>
    </row>
    <row r="815">
      <c r="A815" s="122" t="s">
        <v>2057</v>
      </c>
      <c r="B815" s="123">
        <v>352991.0</v>
      </c>
      <c r="C815" s="124" t="s">
        <v>2058</v>
      </c>
      <c r="D815" s="125"/>
      <c r="E815" s="126">
        <v>0.15</v>
      </c>
      <c r="F815" s="127"/>
      <c r="G815" s="127"/>
      <c r="H815" s="127"/>
      <c r="I815" s="128"/>
      <c r="K815" s="105" t="str">
        <f>IFERROR(__xludf.DUMMYFUNCTION("if(A815="""","""",substitute(SUBSTITUTE(index(importhtml(""http://finviz.com/quote.ashx?t=""&amp;A815,""table"",10),7,2),""*"",""""),""-"",""0.00""))"),"Loading...")</f>
        <v>Loading...</v>
      </c>
      <c r="L815" s="129">
        <v>503820.0</v>
      </c>
      <c r="M815" s="99">
        <v>1.1</v>
      </c>
    </row>
    <row r="816">
      <c r="A816" s="122" t="s">
        <v>2059</v>
      </c>
      <c r="B816" s="123">
        <v>1546383.0</v>
      </c>
      <c r="C816" s="124" t="s">
        <v>2060</v>
      </c>
      <c r="D816" s="125"/>
      <c r="E816" s="126">
        <v>0.15</v>
      </c>
      <c r="F816" s="127"/>
      <c r="G816" s="127"/>
      <c r="H816" s="127"/>
      <c r="I816" s="128"/>
      <c r="K816" s="105" t="str">
        <f>IFERROR(__xludf.DUMMYFUNCTION("if(A816="""","""",substitute(SUBSTITUTE(index(importhtml(""http://finviz.com/quote.ashx?t=""&amp;A816,""table"",10),7,2),""*"",""""),""-"",""0.00""))"),"Loading...")</f>
        <v>Loading...</v>
      </c>
      <c r="L816" s="129">
        <v>1608120.0</v>
      </c>
      <c r="M816" s="99" t="str">
        <f>IFERROR(__xludf.DUMMYFUNCTION("GOOGLEFINANCE(A816,""beta"")"),"#N/A")</f>
        <v>#N/A</v>
      </c>
    </row>
    <row r="817">
      <c r="A817" s="122" t="s">
        <v>2061</v>
      </c>
      <c r="B817" s="123">
        <v>1566610.0</v>
      </c>
      <c r="C817" s="124" t="s">
        <v>2062</v>
      </c>
      <c r="D817" s="125"/>
      <c r="E817" s="126">
        <v>0.15</v>
      </c>
      <c r="F817" s="127"/>
      <c r="G817" s="127"/>
      <c r="H817" s="127"/>
      <c r="I817" s="128"/>
      <c r="K817" s="105" t="str">
        <f>IFERROR(__xludf.DUMMYFUNCTION("if(A817="""","""",substitute(SUBSTITUTE(index(importhtml(""http://finviz.com/quote.ashx?t=""&amp;A817,""table"",10),7,2),""*"",""""),""-"",""0.00""))"),"Loading...")</f>
        <v>Loading...</v>
      </c>
      <c r="L817" s="129">
        <v>2802269.0</v>
      </c>
      <c r="M817" s="99">
        <v>0.62</v>
      </c>
    </row>
    <row r="818">
      <c r="A818" s="122" t="s">
        <v>2063</v>
      </c>
      <c r="B818" s="123">
        <v>1190370.0</v>
      </c>
      <c r="C818" s="124" t="s">
        <v>2064</v>
      </c>
      <c r="D818" s="125"/>
      <c r="E818" s="126">
        <v>0.15</v>
      </c>
      <c r="F818" s="127"/>
      <c r="G818" s="127"/>
      <c r="H818" s="127"/>
      <c r="I818" s="128"/>
      <c r="K818" s="105" t="str">
        <f>IFERROR(__xludf.DUMMYFUNCTION("if(A818="""","""",substitute(SUBSTITUTE(index(importhtml(""http://finviz.com/quote.ashx?t=""&amp;A818,""table"",10),7,2),""*"",""""),""-"",""0.00""))"),"Loading...")</f>
        <v>Loading...</v>
      </c>
      <c r="L818" s="129">
        <v>5427422.0</v>
      </c>
      <c r="M818" s="99">
        <v>-0.13</v>
      </c>
    </row>
    <row r="819">
      <c r="A819" s="122" t="s">
        <v>2065</v>
      </c>
      <c r="B819" s="123">
        <v>1424864.0</v>
      </c>
      <c r="C819" s="124" t="s">
        <v>2066</v>
      </c>
      <c r="D819" s="125"/>
      <c r="E819" s="126">
        <v>0.15</v>
      </c>
      <c r="F819" s="127"/>
      <c r="G819" s="127"/>
      <c r="H819" s="127"/>
      <c r="I819" s="128"/>
      <c r="K819" s="105" t="str">
        <f>IFERROR(__xludf.DUMMYFUNCTION("if(A819="""","""",substitute(SUBSTITUTE(index(importhtml(""http://finviz.com/quote.ashx?t=""&amp;A819,""table"",10),7,2),""*"",""""),""-"",""0.00""))"),"Loading...")</f>
        <v>Loading...</v>
      </c>
      <c r="L819" s="129">
        <v>6833634.0</v>
      </c>
      <c r="M819" s="99">
        <v>-0.42</v>
      </c>
    </row>
    <row r="820">
      <c r="A820" s="122" t="s">
        <v>2067</v>
      </c>
      <c r="B820" s="123">
        <v>811522.0</v>
      </c>
      <c r="C820" s="124" t="s">
        <v>2068</v>
      </c>
      <c r="D820" s="125"/>
      <c r="E820" s="126">
        <v>0.15</v>
      </c>
      <c r="F820" s="127"/>
      <c r="G820" s="127"/>
      <c r="H820" s="127"/>
      <c r="I820" s="128"/>
      <c r="K820" s="105" t="str">
        <f>IFERROR(__xludf.DUMMYFUNCTION("if(A820="""","""",substitute(SUBSTITUTE(index(importhtml(""http://finviz.com/quote.ashx?t=""&amp;A820,""table"",10),7,2),""*"",""""),""-"",""0.00""))"),"Loading...")</f>
        <v>Loading...</v>
      </c>
      <c r="L820" s="129">
        <v>9469500.0</v>
      </c>
      <c r="M820" s="99">
        <f>IFERROR(__xludf.DUMMYFUNCTION("GOOGLEFINANCE(A820,""beta"")"),-1.5)</f>
        <v>-1.5</v>
      </c>
    </row>
    <row r="821">
      <c r="A821" s="122" t="s">
        <v>2069</v>
      </c>
      <c r="B821" s="123">
        <v>1627554.0</v>
      </c>
      <c r="C821" s="124" t="s">
        <v>2070</v>
      </c>
      <c r="D821" s="125"/>
      <c r="E821" s="126">
        <v>0.15</v>
      </c>
      <c r="F821" s="127"/>
      <c r="G821" s="127"/>
      <c r="H821" s="127"/>
      <c r="I821" s="128"/>
      <c r="K821" s="105" t="str">
        <f>IFERROR(__xludf.DUMMYFUNCTION("if(A821="""","""",substitute(SUBSTITUTE(index(importhtml(""http://finviz.com/quote.ashx?t=""&amp;A821,""table"",10),7,2),""*"",""""),""-"",""0.00""))"),"#N/A")</f>
        <v>#N/A</v>
      </c>
      <c r="L821" s="129">
        <v>9545460.0</v>
      </c>
      <c r="M821" s="99">
        <v>869.55</v>
      </c>
    </row>
    <row r="822">
      <c r="A822" s="122" t="s">
        <v>2071</v>
      </c>
      <c r="B822" s="123">
        <v>1811115.0</v>
      </c>
      <c r="C822" s="124" t="s">
        <v>2072</v>
      </c>
      <c r="D822" s="125"/>
      <c r="E822" s="126">
        <v>0.15</v>
      </c>
      <c r="F822" s="127"/>
      <c r="G822" s="127"/>
      <c r="H822" s="127"/>
      <c r="I822" s="128"/>
      <c r="K822" s="105" t="str">
        <f>IFERROR(__xludf.DUMMYFUNCTION("if(A822="""","""",substitute(SUBSTITUTE(index(importhtml(""http://finviz.com/quote.ashx?t=""&amp;A822,""table"",10),7,2),""*"",""""),""-"",""0.00""))"),"Loading...")</f>
        <v>Loading...</v>
      </c>
      <c r="L822" s="129">
        <v>1.4916756E7</v>
      </c>
      <c r="M822" s="99" t="str">
        <f>IFERROR(__xludf.DUMMYFUNCTION("GOOGLEFINANCE(A822,""beta"")"),"#N/A")</f>
        <v>#N/A</v>
      </c>
    </row>
    <row r="823">
      <c r="A823" s="122" t="s">
        <v>2073</v>
      </c>
      <c r="B823" s="123">
        <v>1406944.0</v>
      </c>
      <c r="C823" s="124" t="s">
        <v>2074</v>
      </c>
      <c r="D823" s="125"/>
      <c r="E823" s="126">
        <v>0.15</v>
      </c>
      <c r="F823" s="127"/>
      <c r="G823" s="127"/>
      <c r="H823" s="127"/>
      <c r="I823" s="128"/>
      <c r="K823" s="105" t="str">
        <f>IFERROR(__xludf.DUMMYFUNCTION("if(A823="""","""",substitute(SUBSTITUTE(index(importhtml(""http://finviz.com/quote.ashx?t=""&amp;A823,""table"",10),7,2),""*"",""""),""-"",""0.00""))"),"Loading...")</f>
        <v>Loading...</v>
      </c>
      <c r="L823" s="129">
        <v>2.0969938E7</v>
      </c>
      <c r="M823" s="99">
        <v>1.17</v>
      </c>
    </row>
    <row r="824">
      <c r="A824" s="122" t="s">
        <v>2075</v>
      </c>
      <c r="B824" s="123">
        <v>1737270.0</v>
      </c>
      <c r="C824" s="124" t="s">
        <v>2076</v>
      </c>
      <c r="D824" s="125"/>
      <c r="E824" s="126">
        <v>0.15</v>
      </c>
      <c r="F824" s="127"/>
      <c r="G824" s="127"/>
      <c r="H824" s="127"/>
      <c r="I824" s="128"/>
      <c r="K824" s="105" t="str">
        <f>IFERROR(__xludf.DUMMYFUNCTION("if(A824="""","""",substitute(SUBSTITUTE(index(importhtml(""http://finviz.com/quote.ashx?t=""&amp;A824,""table"",10),7,2),""*"",""""),""-"",""0.00""))"),"Loading...")</f>
        <v>Loading...</v>
      </c>
      <c r="L824" s="129">
        <v>2.3653309E7</v>
      </c>
      <c r="M824" s="99">
        <v>1.63</v>
      </c>
    </row>
    <row r="825">
      <c r="A825" s="122" t="s">
        <v>2077</v>
      </c>
      <c r="B825" s="123">
        <v>1493130.0</v>
      </c>
      <c r="C825" s="124" t="s">
        <v>2078</v>
      </c>
      <c r="D825" s="125"/>
      <c r="E825" s="126">
        <v>0.15</v>
      </c>
      <c r="F825" s="127"/>
      <c r="G825" s="127"/>
      <c r="H825" s="127"/>
      <c r="I825" s="128"/>
      <c r="K825" s="105" t="str">
        <f>IFERROR(__xludf.DUMMYFUNCTION("if(A825="""","""",substitute(SUBSTITUTE(index(importhtml(""http://finviz.com/quote.ashx?t=""&amp;A825,""table"",10),7,2),""*"",""""),""-"",""0.00""))"),"Loading...")</f>
        <v>Loading...</v>
      </c>
      <c r="L825" s="129">
        <v>2.7114758E7</v>
      </c>
      <c r="M825" s="99">
        <v>13.4</v>
      </c>
    </row>
    <row r="826">
      <c r="A826" s="122" t="s">
        <v>2079</v>
      </c>
      <c r="B826" s="123">
        <v>1625901.0</v>
      </c>
      <c r="C826" s="124" t="s">
        <v>2080</v>
      </c>
      <c r="D826" s="125"/>
      <c r="E826" s="126">
        <v>0.15</v>
      </c>
      <c r="F826" s="127"/>
      <c r="G826" s="127"/>
      <c r="H826" s="127"/>
      <c r="I826" s="128"/>
      <c r="K826" s="105" t="str">
        <f>IFERROR(__xludf.DUMMYFUNCTION("if(A826="""","""",substitute(SUBSTITUTE(index(importhtml(""http://finviz.com/quote.ashx?t=""&amp;A826,""table"",10),7,2),""*"",""""),""-"",""0.00""))"),"Loading...")</f>
        <v>Loading...</v>
      </c>
      <c r="L826" s="129">
        <v>2.9910258E7</v>
      </c>
      <c r="M826" s="99">
        <f>IFERROR(__xludf.DUMMYFUNCTION("GOOGLEFINANCE(A826,""beta"")"),0.58)</f>
        <v>0.58</v>
      </c>
    </row>
    <row r="827">
      <c r="A827" s="122" t="s">
        <v>2081</v>
      </c>
      <c r="B827" s="123">
        <v>865400.0</v>
      </c>
      <c r="C827" s="124" t="s">
        <v>2082</v>
      </c>
      <c r="D827" s="125"/>
      <c r="E827" s="126">
        <v>0.15</v>
      </c>
      <c r="F827" s="127"/>
      <c r="G827" s="127"/>
      <c r="H827" s="127"/>
      <c r="I827" s="128"/>
      <c r="K827" s="105" t="str">
        <f>IFERROR(__xludf.DUMMYFUNCTION("if(A827="""","""",substitute(SUBSTITUTE(index(importhtml(""http://finviz.com/quote.ashx?t=""&amp;A827,""table"",10),7,2),""*"",""""),""-"",""0.00""))"),"Loading...")</f>
        <v>Loading...</v>
      </c>
      <c r="L827" s="129">
        <v>6.9013129E7</v>
      </c>
      <c r="M827" s="99">
        <v>0.69</v>
      </c>
    </row>
    <row r="828">
      <c r="A828" s="122" t="s">
        <v>2083</v>
      </c>
      <c r="B828" s="123">
        <v>1539850.0</v>
      </c>
      <c r="C828" s="124" t="s">
        <v>2084</v>
      </c>
      <c r="D828" s="125"/>
      <c r="E828" s="126">
        <v>0.15</v>
      </c>
      <c r="F828" s="127"/>
      <c r="G828" s="127"/>
      <c r="H828" s="127"/>
      <c r="I828" s="128"/>
      <c r="K828" s="105" t="str">
        <f>IFERROR(__xludf.DUMMYFUNCTION("if(A828="""","""",substitute(SUBSTITUTE(index(importhtml(""http://finviz.com/quote.ashx?t=""&amp;A828,""table"",10),7,2),""*"",""""),""-"",""0.00""))"),"Loading...")</f>
        <v>Loading...</v>
      </c>
      <c r="L828" s="129">
        <v>6.9035822E7</v>
      </c>
      <c r="M828" s="99">
        <v>0.79</v>
      </c>
    </row>
    <row r="829">
      <c r="A829" s="122" t="s">
        <v>2085</v>
      </c>
      <c r="B829" s="123">
        <v>1819498.0</v>
      </c>
      <c r="C829" s="124" t="s">
        <v>2086</v>
      </c>
      <c r="D829" s="125"/>
      <c r="E829" s="126">
        <v>0.15</v>
      </c>
      <c r="F829" s="127"/>
      <c r="G829" s="127"/>
      <c r="H829" s="127"/>
      <c r="I829" s="128"/>
      <c r="K829" s="105" t="str">
        <f>IFERROR(__xludf.DUMMYFUNCTION("if(A829="""","""",substitute(SUBSTITUTE(index(importhtml(""http://finviz.com/quote.ashx?t=""&amp;A829,""table"",10),7,2),""*"",""""),""-"",""0.00""))"),"Loading...")</f>
        <v>Loading...</v>
      </c>
      <c r="L829" s="129">
        <v>1.40319326E8</v>
      </c>
      <c r="M829" s="99" t="str">
        <f>IFERROR(__xludf.DUMMYFUNCTION("GOOGLEFINANCE(A829,""beta"")"),"#N/A")</f>
        <v>#N/A</v>
      </c>
    </row>
    <row r="830">
      <c r="A830" s="122" t="s">
        <v>2087</v>
      </c>
      <c r="B830" s="123">
        <v>1637655.0</v>
      </c>
      <c r="C830" s="124" t="s">
        <v>2088</v>
      </c>
      <c r="D830" s="125"/>
      <c r="E830" s="126">
        <v>0.15</v>
      </c>
      <c r="F830" s="127"/>
      <c r="G830" s="127"/>
      <c r="H830" s="127"/>
      <c r="I830" s="128"/>
      <c r="K830" s="105" t="str">
        <f>IFERROR(__xludf.DUMMYFUNCTION("if(A830="""","""",substitute(SUBSTITUTE(index(importhtml(""http://finviz.com/quote.ashx?t=""&amp;A830,""table"",10),7,2),""*"",""""),""-"",""0.00""))"),"Loading...")</f>
        <v>Loading...</v>
      </c>
      <c r="L830" s="129">
        <v>2.42756409E8</v>
      </c>
      <c r="M830" s="99" t="str">
        <f>IFERROR(__xludf.DUMMYFUNCTION("GOOGLEFINANCE(A830,""beta"")"),"#N/A")</f>
        <v>#N/A</v>
      </c>
    </row>
    <row r="831">
      <c r="A831" s="122" t="s">
        <v>2089</v>
      </c>
      <c r="B831" s="123">
        <v>1728205.0</v>
      </c>
      <c r="C831" s="124" t="s">
        <v>2090</v>
      </c>
      <c r="D831" s="125"/>
      <c r="E831" s="126">
        <v>0.15</v>
      </c>
      <c r="F831" s="127"/>
      <c r="G831" s="127"/>
      <c r="H831" s="127"/>
      <c r="I831" s="128"/>
      <c r="K831" s="105" t="str">
        <f>IFERROR(__xludf.DUMMYFUNCTION("if(A831="""","""",substitute(SUBSTITUTE(index(importhtml(""http://finviz.com/quote.ashx?t=""&amp;A831,""table"",10),7,2),""*"",""""),""-"",""0.00""))"),"Loading...")</f>
        <v>Loading...</v>
      </c>
      <c r="L831" s="129">
        <v>2.63359777E8</v>
      </c>
      <c r="M831" s="99" t="str">
        <f>IFERROR(__xludf.DUMMYFUNCTION("GOOGLEFINANCE(A831,""beta"")"),"#N/A")</f>
        <v>#N/A</v>
      </c>
    </row>
    <row r="832">
      <c r="A832" s="122" t="s">
        <v>2091</v>
      </c>
      <c r="B832" s="123">
        <v>1712189.0</v>
      </c>
      <c r="C832" s="124" t="s">
        <v>2092</v>
      </c>
      <c r="D832" s="125"/>
      <c r="E832" s="126">
        <v>0.15</v>
      </c>
      <c r="F832" s="127"/>
      <c r="G832" s="127"/>
      <c r="H832" s="127"/>
      <c r="I832" s="128"/>
      <c r="K832" s="105" t="str">
        <f>IFERROR(__xludf.DUMMYFUNCTION("if(A832="""","""",substitute(SUBSTITUTE(index(importhtml(""http://finviz.com/quote.ashx?t=""&amp;A832,""table"",10),7,2),""*"",""""),""-"",""0.00""))"),"Loading...")</f>
        <v>Loading...</v>
      </c>
      <c r="L832" s="129">
        <v>9.98314916E8</v>
      </c>
      <c r="M832" s="99">
        <v>6.3</v>
      </c>
    </row>
    <row r="833">
      <c r="A833" s="122" t="s">
        <v>2093</v>
      </c>
      <c r="B833" s="123">
        <v>908732.0</v>
      </c>
      <c r="C833" s="124" t="s">
        <v>2094</v>
      </c>
      <c r="D833" s="125"/>
      <c r="E833" s="126">
        <v>0.15</v>
      </c>
      <c r="F833" s="127"/>
      <c r="G833" s="127"/>
      <c r="H833" s="127"/>
      <c r="I833" s="128"/>
      <c r="K833" s="105" t="str">
        <f>IFERROR(__xludf.DUMMYFUNCTION("if(A833="""","""",substitute(SUBSTITUTE(index(importhtml(""http://finviz.com/quote.ashx?t=""&amp;A833,""table"",10),7,2),""*"",""""),""-"",""0.00""))"),"Loading...")</f>
        <v>Loading...</v>
      </c>
      <c r="L833" s="129">
        <v>2.4742211264E10</v>
      </c>
      <c r="M833" s="99" t="str">
        <f>IFERROR(__xludf.DUMMYFUNCTION("GOOGLEFINANCE(A833,""beta"")"),"#N/A")</f>
        <v>#N/A</v>
      </c>
    </row>
    <row r="834">
      <c r="A834" s="122" t="s">
        <v>2095</v>
      </c>
      <c r="B834" s="123">
        <v>1489079.0</v>
      </c>
      <c r="C834" s="124" t="s">
        <v>2096</v>
      </c>
      <c r="D834" s="125"/>
      <c r="E834" s="126">
        <v>0.15</v>
      </c>
      <c r="F834" s="127"/>
      <c r="G834" s="127"/>
      <c r="H834" s="127"/>
      <c r="I834" s="128"/>
      <c r="K834" s="105" t="str">
        <f>IFERROR(__xludf.DUMMYFUNCTION("if(A834="""","""",substitute(SUBSTITUTE(index(importhtml(""http://finviz.com/quote.ashx?t=""&amp;A834,""table"",10),7,2),""*"",""""),""-"",""0.00""))"),"Loading...")</f>
        <v>Loading...</v>
      </c>
      <c r="L834" s="129">
        <v>7.74060232E13</v>
      </c>
      <c r="M834" s="99">
        <f>IFERROR(__xludf.DUMMYFUNCTION("GOOGLEFINANCE(A834,""beta"")"),5093.48)</f>
        <v>5093.48</v>
      </c>
    </row>
    <row r="835">
      <c r="A835" s="122" t="s">
        <v>2097</v>
      </c>
      <c r="B835" s="123">
        <v>1433551.0</v>
      </c>
      <c r="C835" s="124" t="s">
        <v>2098</v>
      </c>
      <c r="D835" s="125"/>
      <c r="E835" s="126">
        <v>0.15</v>
      </c>
      <c r="F835" s="127"/>
      <c r="G835" s="127"/>
      <c r="H835" s="127"/>
      <c r="I835" s="128"/>
      <c r="K835" s="105" t="str">
        <f>IFERROR(__xludf.DUMMYFUNCTION("if(A835="""","""",substitute(SUBSTITUTE(index(importhtml(""http://finviz.com/quote.ashx?t=""&amp;A835,""table"",10),7,2),""*"",""""),""-"",""0.00""))"),"Loading...")</f>
        <v>Loading...</v>
      </c>
      <c r="L835" s="129" t="e">
        <v>#N/A</v>
      </c>
      <c r="M835" s="99">
        <v>-0.51</v>
      </c>
    </row>
    <row r="836">
      <c r="A836" s="122" t="s">
        <v>2099</v>
      </c>
      <c r="B836" s="123">
        <v>1406434.0</v>
      </c>
      <c r="C836" s="124" t="s">
        <v>2100</v>
      </c>
      <c r="D836" s="125"/>
      <c r="E836" s="126">
        <v>0.15</v>
      </c>
      <c r="F836" s="127"/>
      <c r="G836" s="127"/>
      <c r="H836" s="127"/>
      <c r="I836" s="128"/>
      <c r="K836" s="105" t="str">
        <f>IFERROR(__xludf.DUMMYFUNCTION("if(A836="""","""",substitute(SUBSTITUTE(index(importhtml(""http://finviz.com/quote.ashx?t=""&amp;A836,""table"",10),7,2),""*"",""""),""-"",""0.00""))"),"Loading...")</f>
        <v>Loading...</v>
      </c>
      <c r="L836" s="129" t="e">
        <v>#N/A</v>
      </c>
      <c r="M836" s="99">
        <v>3.61</v>
      </c>
    </row>
    <row r="837">
      <c r="A837" s="122" t="s">
        <v>2101</v>
      </c>
      <c r="B837" s="123">
        <v>1098880.0</v>
      </c>
      <c r="C837" s="124" t="s">
        <v>2102</v>
      </c>
      <c r="D837" s="125"/>
      <c r="E837" s="126">
        <v>0.15</v>
      </c>
      <c r="F837" s="127"/>
      <c r="G837" s="127"/>
      <c r="H837" s="127"/>
      <c r="I837" s="128"/>
      <c r="K837" s="105" t="str">
        <f>IFERROR(__xludf.DUMMYFUNCTION("if(A837="""","""",substitute(SUBSTITUTE(index(importhtml(""http://finviz.com/quote.ashx?t=""&amp;A837,""table"",10),7,2),""*"",""""),""-"",""0.00""))"),"Loading...")</f>
        <v>Loading...</v>
      </c>
      <c r="L837" s="129">
        <v>3.842478E7</v>
      </c>
      <c r="M837" s="99" t="str">
        <f>IFERROR(__xludf.DUMMYFUNCTION("GOOGLEFINANCE(A837,""beta"")"),"#N/A")</f>
        <v>#N/A</v>
      </c>
    </row>
    <row r="838">
      <c r="A838" s="122" t="s">
        <v>2103</v>
      </c>
      <c r="B838" s="123">
        <v>1269026.0</v>
      </c>
      <c r="C838" s="124" t="s">
        <v>2104</v>
      </c>
      <c r="D838" s="125"/>
      <c r="E838" s="126">
        <v>0.16</v>
      </c>
      <c r="F838" s="127"/>
      <c r="G838" s="127"/>
      <c r="H838" s="127"/>
      <c r="I838" s="128"/>
      <c r="K838" s="105" t="str">
        <f>IFERROR(__xludf.DUMMYFUNCTION("if(A838="""","""",substitute(SUBSTITUTE(index(importhtml(""http://finviz.com/quote.ashx?t=""&amp;A838,""table"",10),7,2),""*"",""""),""-"",""0.00""))"),"Loading...")</f>
        <v>Loading...</v>
      </c>
      <c r="L838" s="129">
        <v>661110.0</v>
      </c>
      <c r="M838" s="99">
        <v>1.58</v>
      </c>
    </row>
    <row r="839">
      <c r="A839" s="122" t="s">
        <v>2105</v>
      </c>
      <c r="B839" s="123">
        <v>920990.0</v>
      </c>
      <c r="C839" s="124" t="s">
        <v>2106</v>
      </c>
      <c r="D839" s="125"/>
      <c r="E839" s="126">
        <v>0.16</v>
      </c>
      <c r="F839" s="127"/>
      <c r="G839" s="127"/>
      <c r="H839" s="127"/>
      <c r="I839" s="128"/>
      <c r="K839" s="105" t="str">
        <f>IFERROR(__xludf.DUMMYFUNCTION("if(A839="""","""",substitute(SUBSTITUTE(index(importhtml(""http://finviz.com/quote.ashx?t=""&amp;A839,""table"",10),7,2),""*"",""""),""-"",""0.00""))"),"Loading...")</f>
        <v>Loading...</v>
      </c>
      <c r="L839" s="129">
        <v>851924.0</v>
      </c>
      <c r="M839" s="99">
        <v>5.21</v>
      </c>
    </row>
    <row r="840">
      <c r="A840" s="122" t="s">
        <v>2107</v>
      </c>
      <c r="B840" s="123">
        <v>1389545.0</v>
      </c>
      <c r="C840" s="124" t="s">
        <v>2108</v>
      </c>
      <c r="D840" s="125"/>
      <c r="E840" s="126">
        <v>0.16</v>
      </c>
      <c r="F840" s="127"/>
      <c r="G840" s="127"/>
      <c r="H840" s="127"/>
      <c r="I840" s="128"/>
      <c r="K840" s="105" t="str">
        <f>IFERROR(__xludf.DUMMYFUNCTION("if(A840="""","""",substitute(SUBSTITUTE(index(importhtml(""http://finviz.com/quote.ashx?t=""&amp;A840,""table"",10),7,2),""*"",""""),""-"",""0.00""))"),"Loading...")</f>
        <v>Loading...</v>
      </c>
      <c r="L840" s="129">
        <v>870360.0</v>
      </c>
      <c r="M840" s="99">
        <v>2.02</v>
      </c>
    </row>
    <row r="841">
      <c r="A841" s="122" t="s">
        <v>2109</v>
      </c>
      <c r="B841" s="123">
        <v>1689084.0</v>
      </c>
      <c r="C841" s="124" t="s">
        <v>2110</v>
      </c>
      <c r="D841" s="125"/>
      <c r="E841" s="126">
        <v>0.16</v>
      </c>
      <c r="F841" s="127"/>
      <c r="G841" s="127"/>
      <c r="H841" s="127"/>
      <c r="I841" s="128"/>
      <c r="K841" s="105" t="str">
        <f>IFERROR(__xludf.DUMMYFUNCTION("if(A841="""","""",substitute(SUBSTITUTE(index(importhtml(""http://finviz.com/quote.ashx?t=""&amp;A841,""table"",10),7,2),""*"",""""),""-"",""0.00""))"),"Loading...")</f>
        <v>Loading...</v>
      </c>
      <c r="L841" s="129">
        <v>2100587.0</v>
      </c>
      <c r="M841" s="99">
        <v>1.39</v>
      </c>
    </row>
    <row r="842">
      <c r="A842" s="122" t="s">
        <v>2111</v>
      </c>
      <c r="B842" s="123">
        <v>1613685.0</v>
      </c>
      <c r="C842" s="124" t="s">
        <v>2112</v>
      </c>
      <c r="D842" s="125"/>
      <c r="E842" s="126">
        <v>0.16</v>
      </c>
      <c r="F842" s="127"/>
      <c r="G842" s="127"/>
      <c r="H842" s="127"/>
      <c r="I842" s="128"/>
      <c r="K842" s="105" t="str">
        <f>IFERROR(__xludf.DUMMYFUNCTION("if(A842="""","""",substitute(SUBSTITUTE(index(importhtml(""http://finviz.com/quote.ashx?t=""&amp;A842,""table"",10),7,2),""*"",""""),""-"",""0.00""))"),"Loading...")</f>
        <v>Loading...</v>
      </c>
      <c r="L842" s="129">
        <v>2165920.0</v>
      </c>
      <c r="M842" s="99" t="str">
        <f>IFERROR(__xludf.DUMMYFUNCTION("GOOGLEFINANCE(A842,""beta"")"),"#N/A")</f>
        <v>#N/A</v>
      </c>
    </row>
    <row r="843">
      <c r="A843" s="122" t="s">
        <v>2113</v>
      </c>
      <c r="B843" s="123">
        <v>1367083.0</v>
      </c>
      <c r="C843" s="124" t="s">
        <v>2114</v>
      </c>
      <c r="D843" s="125"/>
      <c r="E843" s="126">
        <v>0.16</v>
      </c>
      <c r="F843" s="127"/>
      <c r="G843" s="127"/>
      <c r="H843" s="127"/>
      <c r="I843" s="128"/>
      <c r="K843" s="105" t="str">
        <f>IFERROR(__xludf.DUMMYFUNCTION("if(A843="""","""",substitute(SUBSTITUTE(index(importhtml(""http://finviz.com/quote.ashx?t=""&amp;A843,""table"",10),7,2),""*"",""""),""-"",""0.00""))"),"Loading...")</f>
        <v>Loading...</v>
      </c>
      <c r="L843" s="129">
        <v>2283121.0</v>
      </c>
      <c r="M843" s="99">
        <v>1.35</v>
      </c>
    </row>
    <row r="844">
      <c r="A844" s="122" t="s">
        <v>2115</v>
      </c>
      <c r="B844" s="123">
        <v>1437750.0</v>
      </c>
      <c r="C844" s="124" t="s">
        <v>2116</v>
      </c>
      <c r="D844" s="125"/>
      <c r="E844" s="126">
        <v>0.16</v>
      </c>
      <c r="F844" s="127"/>
      <c r="G844" s="127"/>
      <c r="H844" s="127"/>
      <c r="I844" s="128"/>
      <c r="K844" s="105" t="str">
        <f>IFERROR(__xludf.DUMMYFUNCTION("if(A844="""","""",substitute(SUBSTITUTE(index(importhtml(""http://finviz.com/quote.ashx?t=""&amp;A844,""table"",10),7,2),""*"",""""),""-"",""0.00""))"),"Loading...")</f>
        <v>Loading...</v>
      </c>
      <c r="L844" s="129">
        <v>2915830.0</v>
      </c>
      <c r="M844" s="99">
        <f>IFERROR(__xludf.DUMMYFUNCTION("GOOGLEFINANCE(A844,""beta"")"),-4.19)</f>
        <v>-4.19</v>
      </c>
    </row>
    <row r="845">
      <c r="A845" s="122" t="s">
        <v>2117</v>
      </c>
      <c r="B845" s="123">
        <v>1671584.0</v>
      </c>
      <c r="C845" s="124" t="s">
        <v>2118</v>
      </c>
      <c r="D845" s="125"/>
      <c r="E845" s="126">
        <v>0.16</v>
      </c>
      <c r="F845" s="127"/>
      <c r="G845" s="127"/>
      <c r="H845" s="127"/>
      <c r="I845" s="128"/>
      <c r="K845" s="105" t="str">
        <f>IFERROR(__xludf.DUMMYFUNCTION("if(A845="""","""",substitute(SUBSTITUTE(index(importhtml(""http://finviz.com/quote.ashx?t=""&amp;A845,""table"",10),7,2),""*"",""""),""-"",""0.00""))"),"Loading...")</f>
        <v>Loading...</v>
      </c>
      <c r="L845" s="129">
        <v>3074719.0</v>
      </c>
      <c r="M845" s="99">
        <v>4.94</v>
      </c>
    </row>
    <row r="846">
      <c r="A846" s="122" t="s">
        <v>2119</v>
      </c>
      <c r="B846" s="123">
        <v>1279715.0</v>
      </c>
      <c r="C846" s="124" t="s">
        <v>2120</v>
      </c>
      <c r="D846" s="125"/>
      <c r="E846" s="126">
        <v>0.16</v>
      </c>
      <c r="F846" s="127"/>
      <c r="G846" s="127"/>
      <c r="H846" s="127"/>
      <c r="I846" s="128"/>
      <c r="K846" s="105" t="str">
        <f>IFERROR(__xludf.DUMMYFUNCTION("if(A846="""","""",substitute(SUBSTITUTE(index(importhtml(""http://finviz.com/quote.ashx?t=""&amp;A846,""table"",10),7,2),""*"",""""),""-"",""0.00""))"),"Loading...")</f>
        <v>Loading...</v>
      </c>
      <c r="L846" s="129">
        <v>3299310.0</v>
      </c>
      <c r="M846" s="99">
        <v>0.27</v>
      </c>
    </row>
    <row r="847">
      <c r="A847" s="122" t="s">
        <v>2121</v>
      </c>
      <c r="B847" s="123">
        <v>1817511.0</v>
      </c>
      <c r="C847" s="124" t="s">
        <v>2122</v>
      </c>
      <c r="D847" s="125"/>
      <c r="E847" s="126">
        <v>0.16</v>
      </c>
      <c r="F847" s="127"/>
      <c r="G847" s="127"/>
      <c r="H847" s="127"/>
      <c r="I847" s="128"/>
      <c r="K847" s="105" t="str">
        <f>IFERROR(__xludf.DUMMYFUNCTION("if(A847="""","""",substitute(SUBSTITUTE(index(importhtml(""http://finviz.com/quote.ashx?t=""&amp;A847,""table"",10),7,2),""*"",""""),""-"",""0.00""))"),"Loading...")</f>
        <v>Loading...</v>
      </c>
      <c r="L847" s="129">
        <v>5298062.0</v>
      </c>
      <c r="M847" s="99">
        <f>IFERROR(__xludf.DUMMYFUNCTION("GOOGLEFINANCE(A847,""beta"")"),1.92)</f>
        <v>1.92</v>
      </c>
    </row>
    <row r="848">
      <c r="A848" s="122" t="s">
        <v>2123</v>
      </c>
      <c r="B848" s="123">
        <v>1610682.0</v>
      </c>
      <c r="C848" s="124" t="s">
        <v>2124</v>
      </c>
      <c r="D848" s="125"/>
      <c r="E848" s="126">
        <v>0.16</v>
      </c>
      <c r="F848" s="127"/>
      <c r="G848" s="127"/>
      <c r="H848" s="127"/>
      <c r="I848" s="128"/>
      <c r="K848" s="105" t="str">
        <f>IFERROR(__xludf.DUMMYFUNCTION("if(A848="""","""",substitute(SUBSTITUTE(index(importhtml(""http://finviz.com/quote.ashx?t=""&amp;A848,""table"",10),7,2),""*"",""""),""-"",""0.00""))"),"Loading...")</f>
        <v>Loading...</v>
      </c>
      <c r="L848" s="129">
        <v>5739963.0</v>
      </c>
      <c r="M848" s="99">
        <v>1.39</v>
      </c>
    </row>
    <row r="849">
      <c r="A849" s="122" t="s">
        <v>2125</v>
      </c>
      <c r="B849" s="123">
        <v>844887.0</v>
      </c>
      <c r="C849" s="124" t="s">
        <v>2126</v>
      </c>
      <c r="D849" s="125"/>
      <c r="E849" s="126">
        <v>0.16</v>
      </c>
      <c r="F849" s="127"/>
      <c r="G849" s="127"/>
      <c r="H849" s="127"/>
      <c r="I849" s="128"/>
      <c r="K849" s="105" t="str">
        <f>IFERROR(__xludf.DUMMYFUNCTION("if(A849="""","""",substitute(SUBSTITUTE(index(importhtml(""http://finviz.com/quote.ashx?t=""&amp;A849,""table"",10),7,2),""*"",""""),""-"",""0.00""))"),"Loading...")</f>
        <v>Loading...</v>
      </c>
      <c r="L849" s="129">
        <v>5807612.0</v>
      </c>
      <c r="M849" s="99">
        <v>0.45</v>
      </c>
    </row>
    <row r="850">
      <c r="A850" s="122" t="s">
        <v>2127</v>
      </c>
      <c r="B850" s="123">
        <v>1402328.0</v>
      </c>
      <c r="C850" s="124" t="s">
        <v>2128</v>
      </c>
      <c r="D850" s="125"/>
      <c r="E850" s="126">
        <v>0.16</v>
      </c>
      <c r="F850" s="127"/>
      <c r="G850" s="127"/>
      <c r="H850" s="127"/>
      <c r="I850" s="128"/>
      <c r="K850" s="105" t="str">
        <f>IFERROR(__xludf.DUMMYFUNCTION("if(A850="""","""",substitute(SUBSTITUTE(index(importhtml(""http://finviz.com/quote.ashx?t=""&amp;A850,""table"",10),7,2),""*"",""""),""-"",""0.00""))"),"Loading...")</f>
        <v>Loading...</v>
      </c>
      <c r="L850" s="129">
        <v>6231548.0</v>
      </c>
      <c r="M850" s="99">
        <f>IFERROR(__xludf.DUMMYFUNCTION("GOOGLEFINANCE(A850,""beta"")"),1.53)</f>
        <v>1.53</v>
      </c>
    </row>
    <row r="851">
      <c r="A851" s="122" t="s">
        <v>2129</v>
      </c>
      <c r="B851" s="123">
        <v>20639.0</v>
      </c>
      <c r="C851" s="124" t="s">
        <v>2130</v>
      </c>
      <c r="D851" s="125"/>
      <c r="E851" s="126">
        <v>0.16</v>
      </c>
      <c r="F851" s="127"/>
      <c r="G851" s="127"/>
      <c r="H851" s="127"/>
      <c r="I851" s="128"/>
      <c r="K851" s="105" t="str">
        <f>IFERROR(__xludf.DUMMYFUNCTION("if(A851="""","""",substitute(SUBSTITUTE(index(importhtml(""http://finviz.com/quote.ashx?t=""&amp;A851,""table"",10),7,2),""*"",""""),""-"",""0.00""))"),"Loading...")</f>
        <v>Loading...</v>
      </c>
      <c r="L851" s="129">
        <v>6604607.0</v>
      </c>
      <c r="M851" s="99">
        <v>0.5</v>
      </c>
    </row>
    <row r="852">
      <c r="A852" s="122" t="s">
        <v>2131</v>
      </c>
      <c r="B852" s="123">
        <v>1300734.0</v>
      </c>
      <c r="C852" s="124" t="s">
        <v>2132</v>
      </c>
      <c r="D852" s="125"/>
      <c r="E852" s="126">
        <v>0.16</v>
      </c>
      <c r="F852" s="127"/>
      <c r="G852" s="127"/>
      <c r="H852" s="127"/>
      <c r="I852" s="128"/>
      <c r="K852" s="105" t="str">
        <f>IFERROR(__xludf.DUMMYFUNCTION("if(A852="""","""",substitute(SUBSTITUTE(index(importhtml(""http://finviz.com/quote.ashx?t=""&amp;A852,""table"",10),7,2),""*"",""""),""-"",""0.00""))"),"Loading...")</f>
        <v>Loading...</v>
      </c>
      <c r="L852" s="129">
        <v>9879079.0</v>
      </c>
      <c r="M852" s="99">
        <v>0.02</v>
      </c>
    </row>
    <row r="853">
      <c r="A853" s="122" t="s">
        <v>2133</v>
      </c>
      <c r="B853" s="123">
        <v>1867325.0</v>
      </c>
      <c r="C853" s="124" t="s">
        <v>2134</v>
      </c>
      <c r="D853" s="125"/>
      <c r="E853" s="126">
        <v>0.16</v>
      </c>
      <c r="F853" s="127"/>
      <c r="G853" s="127"/>
      <c r="H853" s="127"/>
      <c r="I853" s="128"/>
      <c r="K853" s="105" t="str">
        <f>IFERROR(__xludf.DUMMYFUNCTION("if(A853="""","""",substitute(SUBSTITUTE(index(importhtml(""http://finviz.com/quote.ashx?t=""&amp;A853,""table"",10),7,2),""*"",""""),""-"",""0.00""))"),"Loading...")</f>
        <v>Loading...</v>
      </c>
      <c r="L853" s="129">
        <v>1.0567771E7</v>
      </c>
      <c r="M853" s="99" t="str">
        <f>IFERROR(__xludf.DUMMYFUNCTION("GOOGLEFINANCE(A853,""beta"")"),"#N/A")</f>
        <v>#N/A</v>
      </c>
    </row>
    <row r="854">
      <c r="A854" s="122" t="s">
        <v>2135</v>
      </c>
      <c r="B854" s="123">
        <v>1231339.0</v>
      </c>
      <c r="C854" s="124" t="s">
        <v>2136</v>
      </c>
      <c r="D854" s="125"/>
      <c r="E854" s="126">
        <v>0.16</v>
      </c>
      <c r="F854" s="127"/>
      <c r="G854" s="127"/>
      <c r="H854" s="127"/>
      <c r="I854" s="128"/>
      <c r="K854" s="105" t="str">
        <f>IFERROR(__xludf.DUMMYFUNCTION("if(A854="""","""",substitute(SUBSTITUTE(index(importhtml(""http://finviz.com/quote.ashx?t=""&amp;A854,""table"",10),7,2),""*"",""""),""-"",""0.00""))"),"Loading...")</f>
        <v>Loading...</v>
      </c>
      <c r="L854" s="129">
        <v>1.2666406E7</v>
      </c>
      <c r="M854" s="99">
        <v>-2.04</v>
      </c>
    </row>
    <row r="855">
      <c r="A855" s="122" t="s">
        <v>2137</v>
      </c>
      <c r="B855" s="123">
        <v>1617765.0</v>
      </c>
      <c r="C855" s="124" t="s">
        <v>2138</v>
      </c>
      <c r="D855" s="125"/>
      <c r="E855" s="126">
        <v>0.16</v>
      </c>
      <c r="F855" s="127"/>
      <c r="G855" s="127"/>
      <c r="H855" s="127"/>
      <c r="I855" s="128"/>
      <c r="K855" s="105" t="str">
        <f>IFERROR(__xludf.DUMMYFUNCTION("if(A855="""","""",substitute(SUBSTITUTE(index(importhtml(""http://finviz.com/quote.ashx?t=""&amp;A855,""table"",10),7,2),""*"",""""),""-"",""0.00""))"),"Loading...")</f>
        <v>Loading...</v>
      </c>
      <c r="L855" s="129">
        <v>1.3629981E7</v>
      </c>
      <c r="M855" s="99" t="str">
        <f>IFERROR(__xludf.DUMMYFUNCTION("GOOGLEFINANCE(A855,""beta"")"),"#N/A")</f>
        <v>#N/A</v>
      </c>
    </row>
    <row r="856">
      <c r="A856" s="122" t="s">
        <v>2139</v>
      </c>
      <c r="B856" s="123">
        <v>725394.0</v>
      </c>
      <c r="C856" s="124" t="s">
        <v>2140</v>
      </c>
      <c r="D856" s="125"/>
      <c r="E856" s="126">
        <v>0.16</v>
      </c>
      <c r="F856" s="127"/>
      <c r="G856" s="127"/>
      <c r="H856" s="127"/>
      <c r="I856" s="128"/>
      <c r="K856" s="105" t="str">
        <f>IFERROR(__xludf.DUMMYFUNCTION("if(A856="""","""",substitute(SUBSTITUTE(index(importhtml(""http://finviz.com/quote.ashx?t=""&amp;A856,""table"",10),7,2),""*"",""""),""-"",""0.00""))"),"Loading...")</f>
        <v>Loading...</v>
      </c>
      <c r="L856" s="129">
        <v>1.4200066E7</v>
      </c>
      <c r="M856" s="99">
        <v>1.58</v>
      </c>
    </row>
    <row r="857">
      <c r="A857" s="122" t="s">
        <v>2141</v>
      </c>
      <c r="B857" s="123">
        <v>1376231.0</v>
      </c>
      <c r="C857" s="124" t="s">
        <v>2142</v>
      </c>
      <c r="D857" s="125"/>
      <c r="E857" s="126">
        <v>0.16</v>
      </c>
      <c r="F857" s="127"/>
      <c r="G857" s="127"/>
      <c r="H857" s="127"/>
      <c r="I857" s="128"/>
      <c r="K857" s="105" t="str">
        <f>IFERROR(__xludf.DUMMYFUNCTION("if(A857="""","""",substitute(SUBSTITUTE(index(importhtml(""http://finviz.com/quote.ashx?t=""&amp;A857,""table"",10),7,2),""*"",""""),""-"",""0.00""))"),"Loading...")</f>
        <v>Loading...</v>
      </c>
      <c r="L857" s="129">
        <v>1.4213385E7</v>
      </c>
      <c r="M857" s="99">
        <v>-0.46</v>
      </c>
    </row>
    <row r="858">
      <c r="A858" s="122" t="s">
        <v>2143</v>
      </c>
      <c r="B858" s="123">
        <v>1377167.0</v>
      </c>
      <c r="C858" s="124" t="s">
        <v>2144</v>
      </c>
      <c r="D858" s="125"/>
      <c r="E858" s="126">
        <v>0.16</v>
      </c>
      <c r="F858" s="127"/>
      <c r="G858" s="127"/>
      <c r="H858" s="127"/>
      <c r="I858" s="128"/>
      <c r="K858" s="105" t="str">
        <f>IFERROR(__xludf.DUMMYFUNCTION("if(A858="""","""",substitute(SUBSTITUTE(index(importhtml(""http://finviz.com/quote.ashx?t=""&amp;A858,""table"",10),7,2),""*"",""""),""-"",""0.00""))"),"Loading...")</f>
        <v>Loading...</v>
      </c>
      <c r="L858" s="129">
        <v>1.535367E7</v>
      </c>
      <c r="M858" s="99">
        <v>-0.74</v>
      </c>
    </row>
    <row r="859">
      <c r="A859" s="122" t="s">
        <v>2145</v>
      </c>
      <c r="B859" s="123">
        <v>1648636.0</v>
      </c>
      <c r="C859" s="124" t="s">
        <v>2146</v>
      </c>
      <c r="D859" s="125"/>
      <c r="E859" s="126">
        <v>0.16</v>
      </c>
      <c r="F859" s="127"/>
      <c r="G859" s="127"/>
      <c r="H859" s="127"/>
      <c r="I859" s="128"/>
      <c r="K859" s="105" t="str">
        <f>IFERROR(__xludf.DUMMYFUNCTION("if(A859="""","""",substitute(SUBSTITUTE(index(importhtml(""http://finviz.com/quote.ashx?t=""&amp;A859,""table"",10),7,2),""*"",""""),""-"",""0.00""))"),"Loading...")</f>
        <v>Loading...</v>
      </c>
      <c r="L859" s="129">
        <v>1.5951059E7</v>
      </c>
      <c r="M859" s="99">
        <v>3.37</v>
      </c>
    </row>
    <row r="860">
      <c r="A860" s="122" t="s">
        <v>2147</v>
      </c>
      <c r="B860" s="123">
        <v>1875091.0</v>
      </c>
      <c r="C860" s="124" t="s">
        <v>2148</v>
      </c>
      <c r="D860" s="125"/>
      <c r="E860" s="126">
        <v>0.16</v>
      </c>
      <c r="F860" s="127"/>
      <c r="G860" s="127"/>
      <c r="H860" s="127"/>
      <c r="I860" s="128"/>
      <c r="K860" s="105" t="str">
        <f>IFERROR(__xludf.DUMMYFUNCTION("if(A860="""","""",substitute(SUBSTITUTE(index(importhtml(""http://finviz.com/quote.ashx?t=""&amp;A860,""table"",10),7,2),""*"",""""),""-"",""0.00""))"),"Loading...")</f>
        <v>Loading...</v>
      </c>
      <c r="L860" s="129">
        <v>1.7425241E7</v>
      </c>
      <c r="M860" s="99">
        <f>IFERROR(__xludf.DUMMYFUNCTION("GOOGLEFINANCE(A860,""beta"")"),2.9)</f>
        <v>2.9</v>
      </c>
    </row>
    <row r="861">
      <c r="A861" s="122" t="s">
        <v>2149</v>
      </c>
      <c r="B861" s="123">
        <v>1438461.0</v>
      </c>
      <c r="C861" s="124" t="s">
        <v>2150</v>
      </c>
      <c r="D861" s="125"/>
      <c r="E861" s="126">
        <v>0.16</v>
      </c>
      <c r="F861" s="127"/>
      <c r="G861" s="127"/>
      <c r="H861" s="127"/>
      <c r="I861" s="128"/>
      <c r="K861" s="105" t="str">
        <f>IFERROR(__xludf.DUMMYFUNCTION("if(A861="""","""",substitute(SUBSTITUTE(index(importhtml(""http://finviz.com/quote.ashx?t=""&amp;A861,""table"",10),7,2),""*"",""""),""-"",""0.00""))"),"Loading...")</f>
        <v>Loading...</v>
      </c>
      <c r="L861" s="129">
        <v>2.0008425E7</v>
      </c>
      <c r="M861" s="99">
        <v>-0.89</v>
      </c>
    </row>
    <row r="862">
      <c r="A862" s="122" t="s">
        <v>2151</v>
      </c>
      <c r="B862" s="123">
        <v>1426506.0</v>
      </c>
      <c r="C862" s="124" t="s">
        <v>2152</v>
      </c>
      <c r="D862" s="125"/>
      <c r="E862" s="126">
        <v>0.16</v>
      </c>
      <c r="F862" s="127"/>
      <c r="G862" s="127"/>
      <c r="H862" s="127"/>
      <c r="I862" s="128"/>
      <c r="K862" s="105" t="str">
        <f>IFERROR(__xludf.DUMMYFUNCTION("if(A862="""","""",substitute(SUBSTITUTE(index(importhtml(""http://finviz.com/quote.ashx?t=""&amp;A862,""table"",10),7,2),""*"",""""),""-"",""0.00""))"),"Loading...")</f>
        <v>Loading...</v>
      </c>
      <c r="L862" s="129">
        <v>4.2805167E7</v>
      </c>
      <c r="M862" s="99">
        <v>0.54</v>
      </c>
    </row>
    <row r="863">
      <c r="A863" s="122" t="s">
        <v>2153</v>
      </c>
      <c r="B863" s="123">
        <v>1842644.0</v>
      </c>
      <c r="C863" s="124" t="s">
        <v>2154</v>
      </c>
      <c r="D863" s="125"/>
      <c r="E863" s="126">
        <v>0.16</v>
      </c>
      <c r="F863" s="127"/>
      <c r="G863" s="127"/>
      <c r="H863" s="127"/>
      <c r="I863" s="128"/>
      <c r="K863" s="105" t="str">
        <f>IFERROR(__xludf.DUMMYFUNCTION("if(A863="""","""",substitute(SUBSTITUTE(index(importhtml(""http://finviz.com/quote.ashx?t=""&amp;A863,""table"",10),7,2),""*"",""""),""-"",""0.00""))"),"Loading...")</f>
        <v>Loading...</v>
      </c>
      <c r="L863" s="129">
        <v>5.6582409E7</v>
      </c>
      <c r="M863" s="99">
        <v>2.26</v>
      </c>
    </row>
    <row r="864">
      <c r="A864" s="122" t="s">
        <v>2155</v>
      </c>
      <c r="B864" s="123">
        <v>1077640.0</v>
      </c>
      <c r="C864" s="124" t="s">
        <v>2156</v>
      </c>
      <c r="D864" s="125"/>
      <c r="E864" s="126">
        <v>0.16</v>
      </c>
      <c r="F864" s="127"/>
      <c r="G864" s="127"/>
      <c r="H864" s="127"/>
      <c r="I864" s="128"/>
      <c r="K864" s="105" t="str">
        <f>IFERROR(__xludf.DUMMYFUNCTION("if(A864="""","""",substitute(SUBSTITUTE(index(importhtml(""http://finviz.com/quote.ashx?t=""&amp;A864,""table"",10),7,2),""*"",""""),""-"",""0.00""))"),"Loading...")</f>
        <v>Loading...</v>
      </c>
      <c r="L864" s="129">
        <v>7.1688297E7</v>
      </c>
      <c r="M864" s="99">
        <v>0.86</v>
      </c>
    </row>
    <row r="865">
      <c r="A865" s="122" t="s">
        <v>2157</v>
      </c>
      <c r="B865" s="123">
        <v>1506929.0</v>
      </c>
      <c r="C865" s="124" t="s">
        <v>2158</v>
      </c>
      <c r="D865" s="125"/>
      <c r="E865" s="126">
        <v>0.16</v>
      </c>
      <c r="F865" s="127"/>
      <c r="G865" s="127"/>
      <c r="H865" s="127"/>
      <c r="I865" s="128"/>
      <c r="K865" s="105" t="str">
        <f>IFERROR(__xludf.DUMMYFUNCTION("if(A865="""","""",substitute(SUBSTITUTE(index(importhtml(""http://finviz.com/quote.ashx?t=""&amp;A865,""table"",10),7,2),""*"",""""),""-"",""0.00""))"),"Loading...")</f>
        <v>Loading...</v>
      </c>
      <c r="L865" s="129">
        <v>1.87920451E8</v>
      </c>
      <c r="M865" s="99">
        <v>-0.85</v>
      </c>
    </row>
    <row r="866">
      <c r="A866" s="122" t="s">
        <v>2159</v>
      </c>
      <c r="B866" s="123">
        <v>1889112.0</v>
      </c>
      <c r="C866" s="124" t="s">
        <v>2160</v>
      </c>
      <c r="D866" s="125"/>
      <c r="E866" s="126">
        <v>0.16</v>
      </c>
      <c r="F866" s="127"/>
      <c r="G866" s="127"/>
      <c r="H866" s="127"/>
      <c r="I866" s="128"/>
      <c r="K866" s="105" t="str">
        <f>IFERROR(__xludf.DUMMYFUNCTION("if(A866="""","""",substitute(SUBSTITUTE(index(importhtml(""http://finviz.com/quote.ashx?t=""&amp;A866,""table"",10),7,2),""*"",""""),""-"",""0.00""))"),"Loading...")</f>
        <v>Loading...</v>
      </c>
      <c r="L866" s="129">
        <v>2.38474771E8</v>
      </c>
      <c r="M866" s="99" t="str">
        <f>IFERROR(__xludf.DUMMYFUNCTION("GOOGLEFINANCE(A866,""beta"")"),"#N/A")</f>
        <v>#N/A</v>
      </c>
    </row>
    <row r="867">
      <c r="A867" s="122" t="s">
        <v>2161</v>
      </c>
      <c r="B867" s="123">
        <v>1803901.0</v>
      </c>
      <c r="C867" s="124" t="s">
        <v>2162</v>
      </c>
      <c r="D867" s="125"/>
      <c r="E867" s="126">
        <v>0.16</v>
      </c>
      <c r="F867" s="127"/>
      <c r="G867" s="127"/>
      <c r="H867" s="127"/>
      <c r="I867" s="128"/>
      <c r="K867" s="105" t="str">
        <f>IFERROR(__xludf.DUMMYFUNCTION("if(A867="""","""",substitute(SUBSTITUTE(index(importhtml(""http://finviz.com/quote.ashx?t=""&amp;A867,""table"",10),7,2),""*"",""""),""-"",""0.00""))"),"Loading...")</f>
        <v>Loading...</v>
      </c>
      <c r="L867" s="129">
        <v>4.09382757E8</v>
      </c>
      <c r="M867" s="99">
        <v>-0.6</v>
      </c>
    </row>
    <row r="868">
      <c r="A868" s="122" t="s">
        <v>2163</v>
      </c>
      <c r="B868" s="123">
        <v>1744494.0</v>
      </c>
      <c r="C868" s="124" t="s">
        <v>2164</v>
      </c>
      <c r="D868" s="125"/>
      <c r="E868" s="126">
        <v>0.17</v>
      </c>
      <c r="F868" s="127"/>
      <c r="G868" s="127"/>
      <c r="H868" s="127"/>
      <c r="I868" s="128"/>
      <c r="K868" s="55" t="s">
        <v>1034</v>
      </c>
      <c r="L868" s="129">
        <v>1.0896065E7</v>
      </c>
      <c r="M868" s="99">
        <v>0.0</v>
      </c>
    </row>
    <row r="869">
      <c r="A869" s="122" t="s">
        <v>2165</v>
      </c>
      <c r="B869" s="123">
        <v>1309082.0</v>
      </c>
      <c r="C869" s="124" t="s">
        <v>2166</v>
      </c>
      <c r="D869" s="125"/>
      <c r="E869" s="126">
        <v>0.17</v>
      </c>
      <c r="F869" s="127"/>
      <c r="G869" s="127"/>
      <c r="H869" s="127"/>
      <c r="I869" s="128"/>
      <c r="K869" s="55" t="s">
        <v>1034</v>
      </c>
      <c r="L869" s="129">
        <v>1.7608681E7</v>
      </c>
      <c r="M869" s="99">
        <v>-1.84</v>
      </c>
    </row>
    <row r="870">
      <c r="A870" s="122" t="s">
        <v>2167</v>
      </c>
      <c r="B870" s="123">
        <v>1414767.0</v>
      </c>
      <c r="C870" s="124" t="s">
        <v>2168</v>
      </c>
      <c r="D870" s="125"/>
      <c r="E870" s="126">
        <v>0.17</v>
      </c>
      <c r="F870" s="127"/>
      <c r="G870" s="127"/>
      <c r="H870" s="127"/>
      <c r="I870" s="128"/>
      <c r="K870" s="105" t="str">
        <f>IFERROR(__xludf.DUMMYFUNCTION("if(A870="""","""",substitute(SUBSTITUTE(index(importhtml(""http://finviz.com/quote.ashx?t=""&amp;A870,""table"",10),7,2),""*"",""""),""-"",""0.00""))"),"Loading...")</f>
        <v>Loading...</v>
      </c>
      <c r="L870" s="129">
        <v>1644016.0</v>
      </c>
      <c r="M870" s="99">
        <v>0.52</v>
      </c>
    </row>
    <row r="871">
      <c r="A871" s="122" t="s">
        <v>2169</v>
      </c>
      <c r="B871" s="123">
        <v>1776048.0</v>
      </c>
      <c r="C871" s="124" t="s">
        <v>2170</v>
      </c>
      <c r="D871" s="125"/>
      <c r="E871" s="126">
        <v>0.17</v>
      </c>
      <c r="F871" s="127"/>
      <c r="G871" s="127"/>
      <c r="H871" s="127"/>
      <c r="I871" s="128"/>
      <c r="K871" s="105" t="str">
        <f>IFERROR(__xludf.DUMMYFUNCTION("if(A871="""","""",substitute(SUBSTITUTE(index(importhtml(""http://finviz.com/quote.ashx?t=""&amp;A871,""table"",10),7,2),""*"",""""),""-"",""0.00""))"),"Loading...")</f>
        <v>Loading...</v>
      </c>
      <c r="L871" s="129">
        <v>2506130.0</v>
      </c>
      <c r="M871" s="99">
        <v>0.2</v>
      </c>
    </row>
    <row r="872">
      <c r="A872" s="122" t="s">
        <v>2171</v>
      </c>
      <c r="B872" s="123">
        <v>1095651.0</v>
      </c>
      <c r="C872" s="124" t="s">
        <v>2172</v>
      </c>
      <c r="D872" s="125"/>
      <c r="E872" s="126">
        <v>0.17</v>
      </c>
      <c r="F872" s="127"/>
      <c r="G872" s="127"/>
      <c r="H872" s="127"/>
      <c r="I872" s="128"/>
      <c r="K872" s="105" t="str">
        <f>IFERROR(__xludf.DUMMYFUNCTION("if(A872="""","""",substitute(SUBSTITUTE(index(importhtml(""http://finviz.com/quote.ashx?t=""&amp;A872,""table"",10),7,2),""*"",""""),""-"",""0.00""))"),"Loading...")</f>
        <v>Loading...</v>
      </c>
      <c r="L872" s="129">
        <v>3718570.0</v>
      </c>
      <c r="M872" s="99" t="str">
        <f>IFERROR(__xludf.DUMMYFUNCTION("GOOGLEFINANCE(A872,""beta"")"),"#N/A")</f>
        <v>#N/A</v>
      </c>
    </row>
    <row r="873">
      <c r="A873" s="122" t="s">
        <v>2173</v>
      </c>
      <c r="B873" s="123">
        <v>1838128.0</v>
      </c>
      <c r="C873" s="124" t="s">
        <v>2174</v>
      </c>
      <c r="D873" s="125"/>
      <c r="E873" s="126">
        <v>0.17</v>
      </c>
      <c r="F873" s="134"/>
      <c r="G873" s="134"/>
      <c r="H873" s="133"/>
      <c r="I873" s="128"/>
      <c r="K873" s="105" t="str">
        <f>IFERROR(__xludf.DUMMYFUNCTION("if(A873="""","""",substitute(SUBSTITUTE(index(importhtml(""http://finviz.com/quote.ashx?t=""&amp;A873,""table"",10),7,2),""*"",""""),""-"",""0.00""))"),"Loading...")</f>
        <v>Loading...</v>
      </c>
      <c r="L873" s="129">
        <v>4284410.0</v>
      </c>
      <c r="M873" s="99">
        <v>1.92</v>
      </c>
    </row>
    <row r="874">
      <c r="A874" s="122" t="s">
        <v>2175</v>
      </c>
      <c r="B874" s="123">
        <v>1011432.0</v>
      </c>
      <c r="C874" s="124" t="s">
        <v>2176</v>
      </c>
      <c r="D874" s="125"/>
      <c r="E874" s="126">
        <v>0.17</v>
      </c>
      <c r="F874" s="127"/>
      <c r="G874" s="127"/>
      <c r="H874" s="127"/>
      <c r="I874" s="128"/>
      <c r="K874" s="105" t="str">
        <f>IFERROR(__xludf.DUMMYFUNCTION("if(A874="""","""",substitute(SUBSTITUTE(index(importhtml(""http://finviz.com/quote.ashx?t=""&amp;A874,""table"",10),7,2),""*"",""""),""-"",""0.00""))"),"Loading...")</f>
        <v>Loading...</v>
      </c>
      <c r="L874" s="129">
        <v>4719550.0</v>
      </c>
      <c r="M874" s="99">
        <v>0.45</v>
      </c>
    </row>
    <row r="875">
      <c r="A875" s="122" t="s">
        <v>2177</v>
      </c>
      <c r="B875" s="123">
        <v>1898643.0</v>
      </c>
      <c r="C875" s="124" t="s">
        <v>2178</v>
      </c>
      <c r="D875" s="125"/>
      <c r="E875" s="126">
        <v>0.17</v>
      </c>
      <c r="F875" s="127"/>
      <c r="G875" s="127"/>
      <c r="H875" s="127"/>
      <c r="I875" s="128"/>
      <c r="K875" s="105" t="str">
        <f>IFERROR(__xludf.DUMMYFUNCTION("if(A875="""","""",substitute(SUBSTITUTE(index(importhtml(""http://finviz.com/quote.ashx?t=""&amp;A875,""table"",10),7,2),""*"",""""),""-"",""0.00""))"),"Loading...")</f>
        <v>Loading...</v>
      </c>
      <c r="L875" s="129">
        <v>6638933.0</v>
      </c>
      <c r="M875" s="99">
        <f>IFERROR(__xludf.DUMMYFUNCTION("GOOGLEFINANCE(A875,""beta"")"),1.91)</f>
        <v>1.91</v>
      </c>
    </row>
    <row r="876">
      <c r="A876" s="122" t="s">
        <v>2179</v>
      </c>
      <c r="B876" s="123">
        <v>724742.0</v>
      </c>
      <c r="C876" s="124" t="s">
        <v>2180</v>
      </c>
      <c r="D876" s="125"/>
      <c r="E876" s="126">
        <v>0.17</v>
      </c>
      <c r="F876" s="127"/>
      <c r="G876" s="127"/>
      <c r="H876" s="127"/>
      <c r="I876" s="128"/>
      <c r="K876" s="105" t="str">
        <f>IFERROR(__xludf.DUMMYFUNCTION("if(A876="""","""",substitute(SUBSTITUTE(index(importhtml(""http://finviz.com/quote.ashx?t=""&amp;A876,""table"",10),7,2),""*"",""""),""-"",""0.00""))"),"Loading...")</f>
        <v>Loading...</v>
      </c>
      <c r="L876" s="129">
        <v>6812616.0</v>
      </c>
      <c r="M876" s="99">
        <v>-0.06</v>
      </c>
    </row>
    <row r="877">
      <c r="A877" s="122" t="s">
        <v>2181</v>
      </c>
      <c r="B877" s="123">
        <v>1563577.0</v>
      </c>
      <c r="C877" s="124" t="s">
        <v>2182</v>
      </c>
      <c r="D877" s="125"/>
      <c r="E877" s="126">
        <v>0.17</v>
      </c>
      <c r="F877" s="127"/>
      <c r="G877" s="127"/>
      <c r="H877" s="127"/>
      <c r="I877" s="128"/>
      <c r="K877" s="105" t="str">
        <f>IFERROR(__xludf.DUMMYFUNCTION("if(A877="""","""",substitute(SUBSTITUTE(index(importhtml(""http://finviz.com/quote.ashx?t=""&amp;A877,""table"",10),7,2),""*"",""""),""-"",""0.00""))"),"Loading...")</f>
        <v>Loading...</v>
      </c>
      <c r="L877" s="129">
        <v>9481335.0</v>
      </c>
      <c r="M877" s="99">
        <v>2.17</v>
      </c>
    </row>
    <row r="878">
      <c r="A878" s="122" t="s">
        <v>2183</v>
      </c>
      <c r="B878" s="123">
        <v>1444839.0</v>
      </c>
      <c r="C878" s="124" t="s">
        <v>2184</v>
      </c>
      <c r="D878" s="125"/>
      <c r="E878" s="126">
        <v>0.17</v>
      </c>
      <c r="F878" s="127"/>
      <c r="G878" s="127"/>
      <c r="H878" s="127"/>
      <c r="I878" s="128"/>
      <c r="K878" s="105" t="str">
        <f>IFERROR(__xludf.DUMMYFUNCTION("if(A878="""","""",substitute(SUBSTITUTE(index(importhtml(""http://finviz.com/quote.ashx?t=""&amp;A878,""table"",10),7,2),""*"",""""),""-"",""0.00""))"),"Loading...")</f>
        <v>Loading...</v>
      </c>
      <c r="L878" s="129">
        <v>9543970.0</v>
      </c>
      <c r="M878" s="99">
        <v>-0.37</v>
      </c>
    </row>
    <row r="879">
      <c r="A879" s="122" t="s">
        <v>2185</v>
      </c>
      <c r="B879" s="123">
        <v>1161814.0</v>
      </c>
      <c r="C879" s="124" t="s">
        <v>2186</v>
      </c>
      <c r="D879" s="125"/>
      <c r="E879" s="126">
        <v>0.17</v>
      </c>
      <c r="F879" s="127"/>
      <c r="G879" s="127"/>
      <c r="H879" s="127"/>
      <c r="I879" s="128"/>
      <c r="K879" s="105" t="str">
        <f>IFERROR(__xludf.DUMMYFUNCTION("if(A879="""","""",substitute(SUBSTITUTE(index(importhtml(""http://finviz.com/quote.ashx?t=""&amp;A879,""table"",10),7,2),""*"",""""),""-"",""0.00""))"),"Loading...")</f>
        <v>Loading...</v>
      </c>
      <c r="L879" s="129">
        <v>1.1433119E7</v>
      </c>
      <c r="M879" s="99">
        <v>0.45</v>
      </c>
    </row>
    <row r="880">
      <c r="A880" s="122" t="s">
        <v>2187</v>
      </c>
      <c r="B880" s="123">
        <v>1823882.0</v>
      </c>
      <c r="C880" s="124" t="s">
        <v>2188</v>
      </c>
      <c r="D880" s="125"/>
      <c r="E880" s="126">
        <v>0.17</v>
      </c>
      <c r="F880" s="127"/>
      <c r="G880" s="127"/>
      <c r="H880" s="127"/>
      <c r="I880" s="128"/>
      <c r="K880" s="105" t="str">
        <f>IFERROR(__xludf.DUMMYFUNCTION("if(A880="""","""",substitute(SUBSTITUTE(index(importhtml(""http://finviz.com/quote.ashx?t=""&amp;A880,""table"",10),7,2),""*"",""""),""-"",""0.00""))"),"Loading...")</f>
        <v>Loading...</v>
      </c>
      <c r="L880" s="129">
        <v>1.2662535E7</v>
      </c>
      <c r="M880" s="99">
        <v>0.36</v>
      </c>
    </row>
    <row r="881">
      <c r="A881" s="122" t="s">
        <v>2189</v>
      </c>
      <c r="B881" s="123">
        <v>877019.0</v>
      </c>
      <c r="C881" s="124" t="s">
        <v>2190</v>
      </c>
      <c r="D881" s="125"/>
      <c r="E881" s="126">
        <v>0.17</v>
      </c>
      <c r="F881" s="127"/>
      <c r="G881" s="127"/>
      <c r="H881" s="127"/>
      <c r="I881" s="128"/>
      <c r="K881" s="105" t="str">
        <f>IFERROR(__xludf.DUMMYFUNCTION("if(A881="""","""",substitute(SUBSTITUTE(index(importhtml(""http://finviz.com/quote.ashx?t=""&amp;A881,""table"",10),7,2),""*"",""""),""-"",""0.00""))"),"Loading...")</f>
        <v>Loading...</v>
      </c>
      <c r="L881" s="129">
        <v>1.2785478E7</v>
      </c>
      <c r="M881" s="99">
        <v>2.89</v>
      </c>
    </row>
    <row r="882">
      <c r="A882" s="122" t="s">
        <v>2191</v>
      </c>
      <c r="B882" s="123">
        <v>1855743.0</v>
      </c>
      <c r="C882" s="124" t="s">
        <v>2192</v>
      </c>
      <c r="D882" s="125"/>
      <c r="E882" s="126">
        <v>0.17</v>
      </c>
      <c r="F882" s="127"/>
      <c r="G882" s="127"/>
      <c r="H882" s="127"/>
      <c r="I882" s="128"/>
      <c r="K882" s="105" t="str">
        <f>IFERROR(__xludf.DUMMYFUNCTION("if(A882="""","""",substitute(SUBSTITUTE(index(importhtml(""http://finviz.com/quote.ashx?t=""&amp;A882,""table"",10),7,2),""*"",""""),""-"",""0.00""))"),"Loading...")</f>
        <v>Loading...</v>
      </c>
      <c r="L882" s="129">
        <v>1.4043401E7</v>
      </c>
      <c r="M882" s="99">
        <f>IFERROR(__xludf.DUMMYFUNCTION("GOOGLEFINANCE(A882,""beta"")"),1.68)</f>
        <v>1.68</v>
      </c>
    </row>
    <row r="883">
      <c r="A883" s="122" t="s">
        <v>2193</v>
      </c>
      <c r="B883" s="123">
        <v>1804469.0</v>
      </c>
      <c r="C883" s="124" t="s">
        <v>2194</v>
      </c>
      <c r="D883" s="125"/>
      <c r="E883" s="126">
        <v>0.17</v>
      </c>
      <c r="F883" s="127"/>
      <c r="G883" s="127"/>
      <c r="H883" s="127"/>
      <c r="I883" s="128"/>
      <c r="K883" s="105" t="str">
        <f>IFERROR(__xludf.DUMMYFUNCTION("if(A883="""","""",substitute(SUBSTITUTE(index(importhtml(""http://finviz.com/quote.ashx?t=""&amp;A883,""table"",10),7,2),""*"",""""),""-"",""0.00""))"),"Loading...")</f>
        <v>Loading...</v>
      </c>
      <c r="L883" s="129">
        <v>1.7827546E7</v>
      </c>
      <c r="M883" s="99">
        <f>IFERROR(__xludf.DUMMYFUNCTION("GOOGLEFINANCE(A883,""beta"")"),3.66)</f>
        <v>3.66</v>
      </c>
    </row>
    <row r="884">
      <c r="A884" s="122" t="s">
        <v>2195</v>
      </c>
      <c r="B884" s="123">
        <v>1115672.0</v>
      </c>
      <c r="C884" s="124" t="s">
        <v>2196</v>
      </c>
      <c r="D884" s="125"/>
      <c r="E884" s="126">
        <v>0.17</v>
      </c>
      <c r="F884" s="127"/>
      <c r="G884" s="127"/>
      <c r="H884" s="127"/>
      <c r="I884" s="128"/>
      <c r="K884" s="105" t="str">
        <f>IFERROR(__xludf.DUMMYFUNCTION("if(A884="""","""",substitute(SUBSTITUTE(index(importhtml(""http://finviz.com/quote.ashx?t=""&amp;A884,""table"",10),7,2),""*"",""""),""-"",""0.00""))"),"Loading...")</f>
        <v>Loading...</v>
      </c>
      <c r="L884" s="129">
        <v>2.0382262E7</v>
      </c>
      <c r="M884" s="99">
        <v>1.38</v>
      </c>
    </row>
    <row r="885">
      <c r="A885" s="122" t="s">
        <v>2197</v>
      </c>
      <c r="B885" s="123">
        <v>1518461.0</v>
      </c>
      <c r="C885" s="124" t="s">
        <v>2198</v>
      </c>
      <c r="D885" s="125"/>
      <c r="E885" s="126">
        <v>0.17</v>
      </c>
      <c r="F885" s="127"/>
      <c r="G885" s="127"/>
      <c r="H885" s="127"/>
      <c r="I885" s="128"/>
      <c r="K885" s="105" t="str">
        <f>IFERROR(__xludf.DUMMYFUNCTION("if(A885="""","""",substitute(SUBSTITUTE(index(importhtml(""http://finviz.com/quote.ashx?t=""&amp;A885,""table"",10),7,2),""*"",""""),""-"",""0.00""))"),"Loading...")</f>
        <v>Loading...</v>
      </c>
      <c r="L885" s="129">
        <v>2.1311651E7</v>
      </c>
      <c r="M885" s="99">
        <f>IFERROR(__xludf.DUMMYFUNCTION("GOOGLEFINANCE(A885,""beta"")"),-14.96)</f>
        <v>-14.96</v>
      </c>
    </row>
    <row r="886">
      <c r="A886" s="122" t="s">
        <v>2199</v>
      </c>
      <c r="B886" s="123">
        <v>1662684.0</v>
      </c>
      <c r="C886" s="124" t="s">
        <v>2200</v>
      </c>
      <c r="D886" s="125"/>
      <c r="E886" s="126">
        <v>0.17</v>
      </c>
      <c r="F886" s="127"/>
      <c r="G886" s="127"/>
      <c r="H886" s="127"/>
      <c r="I886" s="128"/>
      <c r="K886" s="105" t="str">
        <f>IFERROR(__xludf.DUMMYFUNCTION("if(A886="""","""",substitute(SUBSTITUTE(index(importhtml(""http://finviz.com/quote.ashx?t=""&amp;A886,""table"",10),7,2),""*"",""""),""-"",""0.00""))"),"Loading...")</f>
        <v>Loading...</v>
      </c>
      <c r="L886" s="129">
        <v>2.2741747E7</v>
      </c>
      <c r="M886" s="99">
        <v>0.8</v>
      </c>
    </row>
    <row r="887">
      <c r="A887" s="122" t="s">
        <v>2201</v>
      </c>
      <c r="B887" s="123">
        <v>1830210.0</v>
      </c>
      <c r="C887" s="124" t="s">
        <v>2202</v>
      </c>
      <c r="D887" s="125"/>
      <c r="E887" s="126">
        <v>0.17</v>
      </c>
      <c r="F887" s="127"/>
      <c r="G887" s="127"/>
      <c r="H887" s="127"/>
      <c r="I887" s="128"/>
      <c r="K887" s="105" t="str">
        <f>IFERROR(__xludf.DUMMYFUNCTION("if(A887="""","""",substitute(SUBSTITUTE(index(importhtml(""http://finviz.com/quote.ashx?t=""&amp;A887,""table"",10),7,2),""*"",""""),""-"",""0.00""))"),"Loading...")</f>
        <v>Loading...</v>
      </c>
      <c r="L887" s="129">
        <v>3.5476288E7</v>
      </c>
      <c r="M887" s="99" t="str">
        <f>IFERROR(__xludf.DUMMYFUNCTION("GOOGLEFINANCE(A887,""beta"")"),"#N/A")</f>
        <v>#N/A</v>
      </c>
    </row>
    <row r="888">
      <c r="A888" s="122" t="s">
        <v>2203</v>
      </c>
      <c r="B888" s="123">
        <v>1482436.0</v>
      </c>
      <c r="C888" s="124" t="s">
        <v>2204</v>
      </c>
      <c r="D888" s="125"/>
      <c r="E888" s="126">
        <v>0.17</v>
      </c>
      <c r="F888" s="127"/>
      <c r="G888" s="127"/>
      <c r="H888" s="127"/>
      <c r="I888" s="128"/>
      <c r="K888" s="105" t="str">
        <f>IFERROR(__xludf.DUMMYFUNCTION("if(A888="""","""",substitute(SUBSTITUTE(index(importhtml(""http://finviz.com/quote.ashx?t=""&amp;A888,""table"",10),7,2),""*"",""""),""-"",""0.00""))"),"Loading...")</f>
        <v>Loading...</v>
      </c>
      <c r="L888" s="129">
        <v>3.7515369E7</v>
      </c>
      <c r="M888" s="99">
        <v>1.24</v>
      </c>
    </row>
    <row r="889">
      <c r="A889" s="122" t="s">
        <v>2205</v>
      </c>
      <c r="B889" s="123">
        <v>1134765.0</v>
      </c>
      <c r="C889" s="124" t="s">
        <v>2206</v>
      </c>
      <c r="D889" s="125"/>
      <c r="E889" s="126">
        <v>0.17</v>
      </c>
      <c r="F889" s="127"/>
      <c r="G889" s="127"/>
      <c r="H889" s="127"/>
      <c r="I889" s="128"/>
      <c r="K889" s="105" t="str">
        <f>IFERROR(__xludf.DUMMYFUNCTION("if(A889="""","""",substitute(SUBSTITUTE(index(importhtml(""http://finviz.com/quote.ashx?t=""&amp;A889,""table"",10),7,2),""*"",""""),""-"",""0.00""))"),"Loading...")</f>
        <v>Loading...</v>
      </c>
      <c r="L889" s="129">
        <v>3.7576137E7</v>
      </c>
      <c r="M889" s="99">
        <v>3.76</v>
      </c>
    </row>
    <row r="890">
      <c r="A890" s="122" t="s">
        <v>2207</v>
      </c>
      <c r="B890" s="123">
        <v>1602380.0</v>
      </c>
      <c r="C890" s="124" t="s">
        <v>2208</v>
      </c>
      <c r="D890" s="125"/>
      <c r="E890" s="126">
        <v>0.17</v>
      </c>
      <c r="F890" s="127"/>
      <c r="G890" s="127"/>
      <c r="H890" s="127"/>
      <c r="I890" s="128"/>
      <c r="K890" s="105" t="str">
        <f>IFERROR(__xludf.DUMMYFUNCTION("if(A890="""","""",substitute(SUBSTITUTE(index(importhtml(""http://finviz.com/quote.ashx?t=""&amp;A890,""table"",10),7,2),""*"",""""),""-"",""0.00""))"),"Loading...")</f>
        <v>Loading...</v>
      </c>
      <c r="L890" s="129">
        <v>5.825887E7</v>
      </c>
      <c r="M890" s="99">
        <v>0.96</v>
      </c>
    </row>
    <row r="891">
      <c r="A891" s="122" t="s">
        <v>2209</v>
      </c>
      <c r="B891" s="123">
        <v>1175680.0</v>
      </c>
      <c r="C891" s="124" t="s">
        <v>2210</v>
      </c>
      <c r="D891" s="125"/>
      <c r="E891" s="126">
        <v>0.17</v>
      </c>
      <c r="F891" s="127"/>
      <c r="G891" s="127"/>
      <c r="H891" s="127"/>
      <c r="I891" s="128"/>
      <c r="K891" s="105" t="str">
        <f>IFERROR(__xludf.DUMMYFUNCTION("if(A891="""","""",substitute(SUBSTITUTE(index(importhtml(""http://finviz.com/quote.ashx?t=""&amp;A891,""table"",10),7,2),""*"",""""),""-"",""0.00""))"),"Loading...")</f>
        <v>Loading...</v>
      </c>
      <c r="L891" s="129">
        <v>1.64035918E8</v>
      </c>
      <c r="M891" s="99">
        <v>0.1</v>
      </c>
    </row>
    <row r="892">
      <c r="A892" s="122" t="s">
        <v>2211</v>
      </c>
      <c r="B892" s="123">
        <v>1345099.0</v>
      </c>
      <c r="C892" s="124" t="s">
        <v>2212</v>
      </c>
      <c r="D892" s="125"/>
      <c r="E892" s="126">
        <v>0.17</v>
      </c>
      <c r="F892" s="127"/>
      <c r="G892" s="127"/>
      <c r="H892" s="127"/>
      <c r="I892" s="128"/>
      <c r="K892" s="105" t="str">
        <f>IFERROR(__xludf.DUMMYFUNCTION("if(A892="""","""",substitute(SUBSTITUTE(index(importhtml(""http://finviz.com/quote.ashx?t=""&amp;A892,""table"",10),7,2),""*"",""""),""-"",""0.00""))"),"Loading...")</f>
        <v>Loading...</v>
      </c>
      <c r="L892" s="129">
        <v>1.71372283E8</v>
      </c>
      <c r="M892" s="99">
        <v>2.95</v>
      </c>
    </row>
    <row r="893">
      <c r="A893" s="122" t="s">
        <v>2213</v>
      </c>
      <c r="B893" s="123">
        <v>1685237.0</v>
      </c>
      <c r="C893" s="124" t="s">
        <v>2214</v>
      </c>
      <c r="D893" s="125"/>
      <c r="E893" s="126">
        <v>0.18</v>
      </c>
      <c r="F893" s="127"/>
      <c r="G893" s="127"/>
      <c r="H893" s="127"/>
      <c r="I893" s="128"/>
      <c r="K893" s="105" t="str">
        <f>IFERROR(__xludf.DUMMYFUNCTION("if(A893="""","""",substitute(SUBSTITUTE(index(importhtml(""http://finviz.com/quote.ashx?t=""&amp;A893,""table"",10),7,2),""*"",""""),""-"",""0.00""))"),"#N/A")</f>
        <v>#N/A</v>
      </c>
      <c r="L893" s="129">
        <v>1171130.0</v>
      </c>
      <c r="M893" s="99">
        <v>-1.01</v>
      </c>
    </row>
    <row r="894">
      <c r="A894" s="122" t="s">
        <v>2215</v>
      </c>
      <c r="B894" s="123">
        <v>746210.0</v>
      </c>
      <c r="C894" s="124" t="s">
        <v>2216</v>
      </c>
      <c r="D894" s="125"/>
      <c r="E894" s="126">
        <v>0.18</v>
      </c>
      <c r="F894" s="127"/>
      <c r="G894" s="127"/>
      <c r="H894" s="127"/>
      <c r="I894" s="128"/>
      <c r="K894" s="105" t="str">
        <f>IFERROR(__xludf.DUMMYFUNCTION("if(A894="""","""",substitute(SUBSTITUTE(index(importhtml(""http://finviz.com/quote.ashx?t=""&amp;A894,""table"",10),7,2),""*"",""""),""-"",""0.00""))"),"Loading...")</f>
        <v>Loading...</v>
      </c>
      <c r="L894" s="129">
        <v>2678466.0</v>
      </c>
      <c r="M894" s="99">
        <v>3.1</v>
      </c>
    </row>
    <row r="895">
      <c r="A895" s="122" t="s">
        <v>2217</v>
      </c>
      <c r="B895" s="123">
        <v>1487198.0</v>
      </c>
      <c r="C895" s="124" t="s">
        <v>2218</v>
      </c>
      <c r="D895" s="125"/>
      <c r="E895" s="126">
        <v>0.18</v>
      </c>
      <c r="F895" s="127"/>
      <c r="G895" s="127"/>
      <c r="H895" s="127"/>
      <c r="I895" s="128"/>
      <c r="K895" s="105" t="str">
        <f>IFERROR(__xludf.DUMMYFUNCTION("if(A895="""","""",substitute(SUBSTITUTE(index(importhtml(""http://finviz.com/quote.ashx?t=""&amp;A895,""table"",10),7,2),""*"",""""),""-"",""0.00""))"),"Loading...")</f>
        <v>Loading...</v>
      </c>
      <c r="L895" s="129">
        <v>4596094.0</v>
      </c>
      <c r="M895" s="99">
        <v>1.42</v>
      </c>
    </row>
    <row r="896">
      <c r="A896" s="122" t="s">
        <v>2219</v>
      </c>
      <c r="B896" s="123">
        <v>1522860.0</v>
      </c>
      <c r="C896" s="124" t="s">
        <v>2220</v>
      </c>
      <c r="D896" s="125"/>
      <c r="E896" s="126">
        <v>0.18</v>
      </c>
      <c r="F896" s="127"/>
      <c r="G896" s="127"/>
      <c r="H896" s="127"/>
      <c r="I896" s="128"/>
      <c r="K896" s="105" t="str">
        <f>IFERROR(__xludf.DUMMYFUNCTION("if(A896="""","""",substitute(SUBSTITUTE(index(importhtml(""http://finviz.com/quote.ashx?t=""&amp;A896,""table"",10),7,2),""*"",""""),""-"",""0.00""))"),"Loading...")</f>
        <v>Loading...</v>
      </c>
      <c r="L896" s="129">
        <v>5219957.0</v>
      </c>
      <c r="M896" s="99">
        <v>0.15</v>
      </c>
    </row>
    <row r="897">
      <c r="A897" s="122" t="s">
        <v>2221</v>
      </c>
      <c r="B897" s="123">
        <v>1141964.0</v>
      </c>
      <c r="C897" s="124" t="s">
        <v>2222</v>
      </c>
      <c r="D897" s="125"/>
      <c r="E897" s="126">
        <v>0.18</v>
      </c>
      <c r="F897" s="127"/>
      <c r="G897" s="127"/>
      <c r="H897" s="127"/>
      <c r="I897" s="128"/>
      <c r="K897" s="105" t="str">
        <f>IFERROR(__xludf.DUMMYFUNCTION("if(A897="""","""",substitute(SUBSTITUTE(index(importhtml(""http://finviz.com/quote.ashx?t=""&amp;A897,""table"",10),7,2),""*"",""""),""-"",""0.00""))"),"Loading...")</f>
        <v>Loading...</v>
      </c>
      <c r="L897" s="129">
        <v>6169830.0</v>
      </c>
      <c r="M897" s="99">
        <v>3.25</v>
      </c>
    </row>
    <row r="898">
      <c r="A898" s="122" t="s">
        <v>2223</v>
      </c>
      <c r="B898" s="123">
        <v>1856084.0</v>
      </c>
      <c r="C898" s="124" t="s">
        <v>2224</v>
      </c>
      <c r="D898" s="125"/>
      <c r="E898" s="126">
        <v>0.18</v>
      </c>
      <c r="F898" s="127"/>
      <c r="G898" s="127"/>
      <c r="H898" s="127"/>
      <c r="I898" s="128"/>
      <c r="K898" s="105" t="str">
        <f>IFERROR(__xludf.DUMMYFUNCTION("if(A898="""","""",substitute(SUBSTITUTE(index(importhtml(""http://finviz.com/quote.ashx?t=""&amp;A898,""table"",10),7,2),""*"",""""),""-"",""0.00""))"),"Loading...")</f>
        <v>Loading...</v>
      </c>
      <c r="L898" s="129">
        <v>6189488.0</v>
      </c>
      <c r="M898" s="99">
        <v>-0.04</v>
      </c>
    </row>
    <row r="899">
      <c r="A899" s="122" t="s">
        <v>2225</v>
      </c>
      <c r="B899" s="123">
        <v>1080319.0</v>
      </c>
      <c r="C899" s="124" t="s">
        <v>2226</v>
      </c>
      <c r="D899" s="125"/>
      <c r="E899" s="126">
        <v>0.18</v>
      </c>
      <c r="F899" s="127"/>
      <c r="G899" s="127"/>
      <c r="H899" s="127"/>
      <c r="I899" s="128"/>
      <c r="K899" s="105" t="str">
        <f>IFERROR(__xludf.DUMMYFUNCTION("if(A899="""","""",substitute(SUBSTITUTE(index(importhtml(""http://finviz.com/quote.ashx?t=""&amp;A899,""table"",10),7,2),""*"",""""),""-"",""0.00""))"),"Loading...")</f>
        <v>Loading...</v>
      </c>
      <c r="L899" s="129">
        <v>6669136.0</v>
      </c>
      <c r="M899" s="99">
        <v>2.44</v>
      </c>
    </row>
    <row r="900">
      <c r="A900" s="122" t="s">
        <v>2227</v>
      </c>
      <c r="B900" s="123">
        <v>1347858.0</v>
      </c>
      <c r="C900" s="124" t="s">
        <v>2228</v>
      </c>
      <c r="D900" s="125"/>
      <c r="E900" s="126">
        <v>0.18</v>
      </c>
      <c r="F900" s="127"/>
      <c r="G900" s="127"/>
      <c r="H900" s="127"/>
      <c r="I900" s="128"/>
      <c r="K900" s="105" t="str">
        <f>IFERROR(__xludf.DUMMYFUNCTION("if(A900="""","""",substitute(SUBSTITUTE(index(importhtml(""http://finviz.com/quote.ashx?t=""&amp;A900,""table"",10),7,2),""*"",""""),""-"",""0.00""))"),"Loading...")</f>
        <v>Loading...</v>
      </c>
      <c r="L900" s="129">
        <v>7823316.0</v>
      </c>
      <c r="M900" s="99">
        <v>1.6</v>
      </c>
    </row>
    <row r="901">
      <c r="A901" s="122" t="s">
        <v>2229</v>
      </c>
      <c r="B901" s="123">
        <v>1837493.0</v>
      </c>
      <c r="C901" s="124" t="s">
        <v>2230</v>
      </c>
      <c r="D901" s="125"/>
      <c r="E901" s="126">
        <v>0.18</v>
      </c>
      <c r="F901" s="127"/>
      <c r="G901" s="127"/>
      <c r="H901" s="127"/>
      <c r="I901" s="128"/>
      <c r="K901" s="105" t="str">
        <f>IFERROR(__xludf.DUMMYFUNCTION("if(A901="""","""",substitute(SUBSTITUTE(index(importhtml(""http://finviz.com/quote.ashx?t=""&amp;A901,""table"",10),7,2),""*"",""""),""-"",""0.00""))"),"Loading...")</f>
        <v>Loading...</v>
      </c>
      <c r="L901" s="129">
        <v>1.2148336E7</v>
      </c>
      <c r="M901" s="99">
        <f>IFERROR(__xludf.DUMMYFUNCTION("GOOGLEFINANCE(A901,""beta"")"),2.51)</f>
        <v>2.51</v>
      </c>
    </row>
    <row r="902">
      <c r="A902" s="122" t="s">
        <v>2231</v>
      </c>
      <c r="B902" s="123">
        <v>1762359.0</v>
      </c>
      <c r="C902" s="124" t="s">
        <v>2232</v>
      </c>
      <c r="D902" s="125"/>
      <c r="E902" s="126">
        <v>0.18</v>
      </c>
      <c r="F902" s="127"/>
      <c r="G902" s="127"/>
      <c r="H902" s="127"/>
      <c r="I902" s="128"/>
      <c r="K902" s="105" t="str">
        <f>IFERROR(__xludf.DUMMYFUNCTION("if(A902="""","""",substitute(SUBSTITUTE(index(importhtml(""http://finviz.com/quote.ashx?t=""&amp;A902,""table"",10),7,2),""*"",""""),""-"",""0.00""))"),"Loading...")</f>
        <v>Loading...</v>
      </c>
      <c r="L902" s="129">
        <v>1.5006875E7</v>
      </c>
      <c r="M902" s="99">
        <v>0.71</v>
      </c>
    </row>
    <row r="903">
      <c r="A903" s="122" t="s">
        <v>2233</v>
      </c>
      <c r="B903" s="123">
        <v>1171008.0</v>
      </c>
      <c r="C903" s="124" t="s">
        <v>2234</v>
      </c>
      <c r="D903" s="125"/>
      <c r="E903" s="126">
        <v>0.18</v>
      </c>
      <c r="F903" s="127"/>
      <c r="G903" s="127"/>
      <c r="H903" s="127"/>
      <c r="I903" s="128"/>
      <c r="K903" s="105" t="str">
        <f>IFERROR(__xludf.DUMMYFUNCTION("if(A903="""","""",substitute(SUBSTITUTE(index(importhtml(""http://finviz.com/quote.ashx?t=""&amp;A903,""table"",10),7,2),""*"",""""),""-"",""0.00""))"),"Loading...")</f>
        <v>Loading...</v>
      </c>
      <c r="L903" s="129">
        <v>1.524425E7</v>
      </c>
      <c r="M903" s="99">
        <v>4.04</v>
      </c>
    </row>
    <row r="904">
      <c r="A904" s="122" t="s">
        <v>2235</v>
      </c>
      <c r="B904" s="123">
        <v>914139.0</v>
      </c>
      <c r="C904" s="124" t="s">
        <v>2236</v>
      </c>
      <c r="D904" s="125"/>
      <c r="E904" s="126">
        <v>0.18</v>
      </c>
      <c r="F904" s="127"/>
      <c r="G904" s="127"/>
      <c r="H904" s="127"/>
      <c r="I904" s="128"/>
      <c r="K904" s="105" t="str">
        <f>IFERROR(__xludf.DUMMYFUNCTION("if(A904="""","""",substitute(SUBSTITUTE(index(importhtml(""http://finviz.com/quote.ashx?t=""&amp;A904,""table"",10),7,2),""*"",""""),""-"",""0.00""))"),"Loading...")</f>
        <v>Loading...</v>
      </c>
      <c r="L904" s="129">
        <v>1.5862167E7</v>
      </c>
      <c r="M904" s="99">
        <v>2.27</v>
      </c>
    </row>
    <row r="905">
      <c r="A905" s="122" t="s">
        <v>2237</v>
      </c>
      <c r="B905" s="123">
        <v>1583648.0</v>
      </c>
      <c r="C905" s="124" t="s">
        <v>2238</v>
      </c>
      <c r="D905" s="125"/>
      <c r="E905" s="126">
        <v>0.18</v>
      </c>
      <c r="F905" s="127"/>
      <c r="G905" s="127"/>
      <c r="H905" s="127"/>
      <c r="I905" s="128"/>
      <c r="K905" s="105" t="str">
        <f>IFERROR(__xludf.DUMMYFUNCTION("if(A905="""","""",substitute(SUBSTITUTE(index(importhtml(""http://finviz.com/quote.ashx?t=""&amp;A905,""table"",10),7,2),""*"",""""),""-"",""0.00""))"),"Loading...")</f>
        <v>Loading...</v>
      </c>
      <c r="L905" s="129">
        <v>1.7981053E7</v>
      </c>
      <c r="M905" s="99">
        <v>0.51</v>
      </c>
    </row>
    <row r="906">
      <c r="A906" s="122" t="s">
        <v>2239</v>
      </c>
      <c r="B906" s="123">
        <v>826253.0</v>
      </c>
      <c r="C906" s="124" t="s">
        <v>2240</v>
      </c>
      <c r="D906" s="125"/>
      <c r="E906" s="126">
        <v>0.18</v>
      </c>
      <c r="F906" s="127"/>
      <c r="G906" s="127"/>
      <c r="H906" s="127"/>
      <c r="I906" s="128"/>
      <c r="K906" s="105" t="str">
        <f>IFERROR(__xludf.DUMMYFUNCTION("if(A906="""","""",substitute(SUBSTITUTE(index(importhtml(""http://finviz.com/quote.ashx?t=""&amp;A906,""table"",10),7,2),""*"",""""),""-"",""0.00""))"),"Loading...")</f>
        <v>Loading...</v>
      </c>
      <c r="L906" s="129">
        <v>1.8809172E7</v>
      </c>
      <c r="M906" s="99">
        <v>0.4</v>
      </c>
    </row>
    <row r="907">
      <c r="A907" s="122" t="s">
        <v>2241</v>
      </c>
      <c r="B907" s="123">
        <v>1843249.0</v>
      </c>
      <c r="C907" s="124" t="s">
        <v>2242</v>
      </c>
      <c r="D907" s="125"/>
      <c r="E907" s="126">
        <v>0.18</v>
      </c>
      <c r="F907" s="127"/>
      <c r="G907" s="127"/>
      <c r="H907" s="127"/>
      <c r="I907" s="128"/>
      <c r="K907" s="105" t="str">
        <f>IFERROR(__xludf.DUMMYFUNCTION("if(A907="""","""",substitute(SUBSTITUTE(index(importhtml(""http://finviz.com/quote.ashx?t=""&amp;A907,""table"",10),7,2),""*"",""""),""-"",""0.00""))"),"Loading...")</f>
        <v>Loading...</v>
      </c>
      <c r="L907" s="129">
        <v>2.2903128E7</v>
      </c>
      <c r="M907" s="99">
        <v>0.43</v>
      </c>
    </row>
    <row r="908">
      <c r="A908" s="122" t="s">
        <v>2243</v>
      </c>
      <c r="B908" s="123">
        <v>1828972.0</v>
      </c>
      <c r="C908" s="124" t="s">
        <v>2244</v>
      </c>
      <c r="D908" s="125"/>
      <c r="E908" s="126">
        <v>0.18</v>
      </c>
      <c r="F908" s="127"/>
      <c r="G908" s="127"/>
      <c r="H908" s="127"/>
      <c r="I908" s="128"/>
      <c r="K908" s="105" t="str">
        <f>IFERROR(__xludf.DUMMYFUNCTION("if(A908="""","""",substitute(SUBSTITUTE(index(importhtml(""http://finviz.com/quote.ashx?t=""&amp;A908,""table"",10),7,2),""*"",""""),""-"",""0.00""))"),"Loading...")</f>
        <v>Loading...</v>
      </c>
      <c r="L908" s="129">
        <v>2.5847487E7</v>
      </c>
      <c r="M908" s="99">
        <f>IFERROR(__xludf.DUMMYFUNCTION("GOOGLEFINANCE(A908,""beta"")"),3.39)</f>
        <v>3.39</v>
      </c>
    </row>
    <row r="909">
      <c r="A909" s="122" t="s">
        <v>2245</v>
      </c>
      <c r="B909" s="123">
        <v>1750155.0</v>
      </c>
      <c r="C909" s="124" t="s">
        <v>2246</v>
      </c>
      <c r="D909" s="125"/>
      <c r="E909" s="126">
        <v>0.18</v>
      </c>
      <c r="F909" s="127"/>
      <c r="G909" s="127"/>
      <c r="H909" s="127"/>
      <c r="I909" s="128"/>
      <c r="K909" s="105" t="str">
        <f>IFERROR(__xludf.DUMMYFUNCTION("if(A909="""","""",substitute(SUBSTITUTE(index(importhtml(""http://finviz.com/quote.ashx?t=""&amp;A909,""table"",10),7,2),""*"",""""),""-"",""0.00""))"),"Loading...")</f>
        <v>Loading...</v>
      </c>
      <c r="L909" s="129">
        <v>3.6209974E7</v>
      </c>
      <c r="M909" s="99">
        <v>1.88</v>
      </c>
    </row>
    <row r="910">
      <c r="A910" s="122" t="s">
        <v>2247</v>
      </c>
      <c r="B910" s="123">
        <v>1699906.0</v>
      </c>
      <c r="C910" s="124" t="s">
        <v>2248</v>
      </c>
      <c r="D910" s="125"/>
      <c r="E910" s="126">
        <v>0.18</v>
      </c>
      <c r="F910" s="127"/>
      <c r="G910" s="127"/>
      <c r="H910" s="127"/>
      <c r="I910" s="128"/>
      <c r="K910" s="105" t="str">
        <f>IFERROR(__xludf.DUMMYFUNCTION("if(A910="""","""",substitute(SUBSTITUTE(index(importhtml(""http://finviz.com/quote.ashx?t=""&amp;A910,""table"",10),7,2),""*"",""""),""-"",""0.00""))"),"Loading...")</f>
        <v>Loading...</v>
      </c>
      <c r="L910" s="129">
        <v>4.5521662E7</v>
      </c>
      <c r="M910" s="99">
        <v>3.47</v>
      </c>
    </row>
    <row r="911">
      <c r="A911" s="122" t="s">
        <v>2249</v>
      </c>
      <c r="B911" s="123">
        <v>1066684.0</v>
      </c>
      <c r="C911" s="124" t="s">
        <v>2250</v>
      </c>
      <c r="D911" s="125"/>
      <c r="E911" s="126">
        <v>0.18</v>
      </c>
      <c r="F911" s="127"/>
      <c r="G911" s="127"/>
      <c r="H911" s="127"/>
      <c r="I911" s="128"/>
      <c r="K911" s="105" t="str">
        <f>IFERROR(__xludf.DUMMYFUNCTION("if(A911="""","""",substitute(SUBSTITUTE(index(importhtml(""http://finviz.com/quote.ashx?t=""&amp;A911,""table"",10),7,2),""*"",""""),""-"",""0.00""))"),"Loading...")</f>
        <v>Loading...</v>
      </c>
      <c r="L911" s="129">
        <v>7.9466493E7</v>
      </c>
      <c r="M911" s="99">
        <v>-0.64</v>
      </c>
    </row>
    <row r="912">
      <c r="A912" s="122" t="s">
        <v>2251</v>
      </c>
      <c r="B912" s="123">
        <v>1548536.0</v>
      </c>
      <c r="C912" s="124" t="s">
        <v>2252</v>
      </c>
      <c r="D912" s="125"/>
      <c r="E912" s="126">
        <v>0.18</v>
      </c>
      <c r="F912" s="127"/>
      <c r="G912" s="127"/>
      <c r="H912" s="127"/>
      <c r="I912" s="128"/>
      <c r="K912" s="105" t="str">
        <f>IFERROR(__xludf.DUMMYFUNCTION("if(A912="""","""",substitute(SUBSTITUTE(index(importhtml(""http://finviz.com/quote.ashx?t=""&amp;A912,""table"",10),7,2),""*"",""""),""-"",""0.00""))"),"Loading...")</f>
        <v>Loading...</v>
      </c>
      <c r="L912" s="129">
        <v>8.5992821E7</v>
      </c>
      <c r="M912" s="99">
        <v>2.81</v>
      </c>
    </row>
    <row r="913">
      <c r="A913" s="122" t="s">
        <v>2253</v>
      </c>
      <c r="B913" s="123">
        <v>1882839.0</v>
      </c>
      <c r="C913" s="124" t="s">
        <v>2254</v>
      </c>
      <c r="D913" s="125"/>
      <c r="E913" s="126">
        <v>0.18</v>
      </c>
      <c r="F913" s="127"/>
      <c r="G913" s="127"/>
      <c r="H913" s="127"/>
      <c r="I913" s="128"/>
      <c r="K913" s="105" t="str">
        <f>IFERROR(__xludf.DUMMYFUNCTION("if(A913="""","""",substitute(SUBSTITUTE(index(importhtml(""http://finviz.com/quote.ashx?t=""&amp;A913,""table"",10),7,2),""*"",""""),""-"",""0.00""))"),"Loading...")</f>
        <v>Loading...</v>
      </c>
      <c r="L913" s="129">
        <v>1.6272155E8</v>
      </c>
      <c r="M913" s="99">
        <f>IFERROR(__xludf.DUMMYFUNCTION("GOOGLEFINANCE(A913,""beta"")"),2.55)</f>
        <v>2.55</v>
      </c>
    </row>
    <row r="914">
      <c r="A914" s="122" t="s">
        <v>2255</v>
      </c>
      <c r="B914" s="123">
        <v>1053369.0</v>
      </c>
      <c r="C914" s="124" t="s">
        <v>2256</v>
      </c>
      <c r="D914" s="125"/>
      <c r="E914" s="126">
        <v>0.18</v>
      </c>
      <c r="F914" s="127"/>
      <c r="G914" s="127"/>
      <c r="H914" s="127"/>
      <c r="I914" s="128"/>
      <c r="K914" s="105" t="str">
        <f>IFERROR(__xludf.DUMMYFUNCTION("if(A914="""","""",substitute(SUBSTITUTE(index(importhtml(""http://finviz.com/quote.ashx?t=""&amp;A914,""table"",10),7,2),""*"",""""),""-"",""0.00""))"),"Loading...")</f>
        <v>Loading...</v>
      </c>
      <c r="L914" s="129">
        <v>1.90393263E8</v>
      </c>
      <c r="M914" s="99">
        <v>-0.1</v>
      </c>
    </row>
    <row r="915">
      <c r="A915" s="122" t="s">
        <v>2257</v>
      </c>
      <c r="B915" s="123">
        <v>1866782.0</v>
      </c>
      <c r="C915" s="124" t="s">
        <v>2258</v>
      </c>
      <c r="D915" s="125"/>
      <c r="E915" s="126">
        <v>0.18</v>
      </c>
      <c r="F915" s="127"/>
      <c r="G915" s="127"/>
      <c r="H915" s="127"/>
      <c r="I915" s="128"/>
      <c r="K915" s="105" t="str">
        <f>IFERROR(__xludf.DUMMYFUNCTION("if(A915="""","""",substitute(SUBSTITUTE(index(importhtml(""http://finviz.com/quote.ashx?t=""&amp;A915,""table"",10),7,2),""*"",""""),""-"",""0.00""))"),"Loading...")</f>
        <v>Loading...</v>
      </c>
      <c r="L915" s="129">
        <v>1.91693131E8</v>
      </c>
      <c r="M915" s="99">
        <v>-0.64</v>
      </c>
    </row>
    <row r="916">
      <c r="A916" s="122" t="s">
        <v>2259</v>
      </c>
      <c r="B916" s="123">
        <v>1838162.0</v>
      </c>
      <c r="C916" s="124" t="s">
        <v>2260</v>
      </c>
      <c r="D916" s="125"/>
      <c r="E916" s="126">
        <v>0.18</v>
      </c>
      <c r="F916" s="127"/>
      <c r="G916" s="127"/>
      <c r="H916" s="127"/>
      <c r="I916" s="128"/>
      <c r="K916" s="105" t="str">
        <f>IFERROR(__xludf.DUMMYFUNCTION("if(A916="""","""",substitute(SUBSTITUTE(index(importhtml(""http://finviz.com/quote.ashx?t=""&amp;A916,""table"",10),7,2),""*"",""""),""-"",""0.00""))"),"Loading...")</f>
        <v>Loading...</v>
      </c>
      <c r="L916" s="129">
        <v>6.28475017E8</v>
      </c>
      <c r="M916" s="99" t="str">
        <f>IFERROR(__xludf.DUMMYFUNCTION("GOOGLEFINANCE(A916,""beta"")"),"#N/A")</f>
        <v>#N/A</v>
      </c>
    </row>
    <row r="917">
      <c r="A917" s="122" t="s">
        <v>2261</v>
      </c>
      <c r="B917" s="123">
        <v>1821159.0</v>
      </c>
      <c r="C917" s="124" t="s">
        <v>2262</v>
      </c>
      <c r="D917" s="125"/>
      <c r="E917" s="126">
        <v>0.18</v>
      </c>
      <c r="F917" s="127"/>
      <c r="G917" s="127"/>
      <c r="H917" s="127"/>
      <c r="I917" s="128"/>
      <c r="K917" s="105" t="str">
        <f>IFERROR(__xludf.DUMMYFUNCTION("if(A917="""","""",substitute(SUBSTITUTE(index(importhtml(""http://finviz.com/quote.ashx?t=""&amp;A917,""table"",10),7,2),""*"",""""),""-"",""0.00""))"),"Loading...")</f>
        <v>Loading...</v>
      </c>
      <c r="L917" s="129">
        <v>6.34630021E8</v>
      </c>
      <c r="M917" s="99">
        <v>2.71</v>
      </c>
    </row>
    <row r="918">
      <c r="A918" s="122" t="s">
        <v>2263</v>
      </c>
      <c r="B918" s="123">
        <v>1874097.0</v>
      </c>
      <c r="C918" s="124" t="s">
        <v>2264</v>
      </c>
      <c r="D918" s="125"/>
      <c r="E918" s="126">
        <v>0.19</v>
      </c>
      <c r="F918" s="127"/>
      <c r="G918" s="127"/>
      <c r="H918" s="127"/>
      <c r="I918" s="128"/>
      <c r="K918" s="55" t="s">
        <v>1034</v>
      </c>
      <c r="L918" s="129">
        <v>1.019582E7</v>
      </c>
      <c r="M918" s="99">
        <f>IFERROR(__xludf.DUMMYFUNCTION("GOOGLEFINANCE(A918,""beta"")"),0.05)</f>
        <v>0.05</v>
      </c>
    </row>
    <row r="919">
      <c r="A919" s="122" t="s">
        <v>2265</v>
      </c>
      <c r="B919" s="123">
        <v>1008653.0</v>
      </c>
      <c r="C919" s="124" t="s">
        <v>2266</v>
      </c>
      <c r="D919" s="125"/>
      <c r="E919" s="126">
        <v>0.19</v>
      </c>
      <c r="F919" s="127"/>
      <c r="G919" s="127"/>
      <c r="H919" s="127"/>
      <c r="I919" s="128"/>
      <c r="K919" s="105" t="str">
        <f>IFERROR(__xludf.DUMMYFUNCTION("if(A919="""","""",substitute(SUBSTITUTE(index(importhtml(""http://finviz.com/quote.ashx?t=""&amp;A919,""table"",10),7,2),""*"",""""),""-"",""0.00""))"),"Loading...")</f>
        <v>Loading...</v>
      </c>
      <c r="L919" s="129">
        <v>460720.0</v>
      </c>
      <c r="M919" s="99">
        <v>-1.0</v>
      </c>
    </row>
    <row r="920">
      <c r="A920" s="122" t="s">
        <v>2267</v>
      </c>
      <c r="B920" s="123">
        <v>775057.0</v>
      </c>
      <c r="C920" s="124" t="s">
        <v>2268</v>
      </c>
      <c r="D920" s="125"/>
      <c r="E920" s="126">
        <v>0.19</v>
      </c>
      <c r="F920" s="127"/>
      <c r="G920" s="127"/>
      <c r="H920" s="127"/>
      <c r="I920" s="128"/>
      <c r="K920" s="105" t="str">
        <f>IFERROR(__xludf.DUMMYFUNCTION("if(A920="""","""",substitute(SUBSTITUTE(index(importhtml(""http://finviz.com/quote.ashx?t=""&amp;A920,""table"",10),7,2),""*"",""""),""-"",""0.00""))"),"Loading...")</f>
        <v>Loading...</v>
      </c>
      <c r="L920" s="129">
        <v>2044131.0</v>
      </c>
      <c r="M920" s="99">
        <v>0.03</v>
      </c>
    </row>
    <row r="921">
      <c r="A921" s="122" t="s">
        <v>2269</v>
      </c>
      <c r="B921" s="123">
        <v>1679063.0</v>
      </c>
      <c r="C921" s="124" t="s">
        <v>2270</v>
      </c>
      <c r="D921" s="125"/>
      <c r="E921" s="126">
        <v>0.19</v>
      </c>
      <c r="F921" s="127"/>
      <c r="G921" s="127"/>
      <c r="H921" s="127"/>
      <c r="I921" s="128"/>
      <c r="K921" s="105" t="str">
        <f>IFERROR(__xludf.DUMMYFUNCTION("if(A921="""","""",substitute(SUBSTITUTE(index(importhtml(""http://finviz.com/quote.ashx?t=""&amp;A921,""table"",10),7,2),""*"",""""),""-"",""0.00""))"),"Loading...")</f>
        <v>Loading...</v>
      </c>
      <c r="L921" s="129">
        <v>6250465.0</v>
      </c>
      <c r="M921" s="99">
        <v>1.26</v>
      </c>
    </row>
    <row r="922">
      <c r="A922" s="122" t="s">
        <v>2271</v>
      </c>
      <c r="B922" s="123">
        <v>1703647.0</v>
      </c>
      <c r="C922" s="124" t="s">
        <v>2272</v>
      </c>
      <c r="D922" s="125"/>
      <c r="E922" s="126">
        <v>0.19</v>
      </c>
      <c r="F922" s="127"/>
      <c r="G922" s="127"/>
      <c r="H922" s="127"/>
      <c r="I922" s="128"/>
      <c r="K922" s="105" t="str">
        <f>IFERROR(__xludf.DUMMYFUNCTION("if(A922="""","""",substitute(SUBSTITUTE(index(importhtml(""http://finviz.com/quote.ashx?t=""&amp;A922,""table"",10),7,2),""*"",""""),""-"",""0.00""))"),"Loading...")</f>
        <v>Loading...</v>
      </c>
      <c r="L922" s="129">
        <v>6988120.0</v>
      </c>
      <c r="M922" s="99">
        <f>IFERROR(__xludf.DUMMYFUNCTION("GOOGLEFINANCE(A922,""beta"")"),11.39)</f>
        <v>11.39</v>
      </c>
    </row>
    <row r="923">
      <c r="A923" s="122" t="s">
        <v>2273</v>
      </c>
      <c r="B923" s="123">
        <v>1832415.0</v>
      </c>
      <c r="C923" s="124" t="s">
        <v>2274</v>
      </c>
      <c r="D923" s="125"/>
      <c r="E923" s="126">
        <v>0.19</v>
      </c>
      <c r="F923" s="127"/>
      <c r="G923" s="127"/>
      <c r="H923" s="127"/>
      <c r="I923" s="128"/>
      <c r="K923" s="105" t="str">
        <f>IFERROR(__xludf.DUMMYFUNCTION("if(A923="""","""",substitute(SUBSTITUTE(index(importhtml(""http://finviz.com/quote.ashx?t=""&amp;A923,""table"",10),7,2),""*"",""""),""-"",""0.00""))"),"Loading...")</f>
        <v>Loading...</v>
      </c>
      <c r="L923" s="129">
        <v>9308687.0</v>
      </c>
      <c r="M923" s="99">
        <f>IFERROR(__xludf.DUMMYFUNCTION("GOOGLEFINANCE(A923,""beta"")"),2.23)</f>
        <v>2.23</v>
      </c>
    </row>
    <row r="924">
      <c r="A924" s="122" t="s">
        <v>2275</v>
      </c>
      <c r="B924" s="123">
        <v>924515.0</v>
      </c>
      <c r="C924" s="124" t="s">
        <v>2276</v>
      </c>
      <c r="D924" s="125"/>
      <c r="E924" s="126">
        <v>0.19</v>
      </c>
      <c r="F924" s="127"/>
      <c r="G924" s="127"/>
      <c r="H924" s="127"/>
      <c r="I924" s="128"/>
      <c r="K924" s="105" t="str">
        <f>IFERROR(__xludf.DUMMYFUNCTION("if(A924="""","""",substitute(SUBSTITUTE(index(importhtml(""http://finviz.com/quote.ashx?t=""&amp;A924,""table"",10),7,2),""*"",""""),""-"",""0.00""))"),"Loading...")</f>
        <v>Loading...</v>
      </c>
      <c r="L924" s="129">
        <v>9716848.0</v>
      </c>
      <c r="M924" s="99">
        <v>0.42</v>
      </c>
    </row>
    <row r="925">
      <c r="A925" s="122" t="s">
        <v>2277</v>
      </c>
      <c r="B925" s="123">
        <v>1888151.0</v>
      </c>
      <c r="C925" s="124" t="s">
        <v>2278</v>
      </c>
      <c r="D925" s="125"/>
      <c r="E925" s="126">
        <v>0.19</v>
      </c>
      <c r="F925" s="127"/>
      <c r="G925" s="127"/>
      <c r="H925" s="127"/>
      <c r="I925" s="128"/>
      <c r="K925" s="105" t="str">
        <f>IFERROR(__xludf.DUMMYFUNCTION("if(A925="""","""",substitute(SUBSTITUTE(index(importhtml(""http://finviz.com/quote.ashx?t=""&amp;A925,""table"",10),7,2),""*"",""""),""-"",""0.00""))"),"Loading...")</f>
        <v>Loading...</v>
      </c>
      <c r="L925" s="129">
        <v>1.272379E7</v>
      </c>
      <c r="M925" s="99" t="str">
        <f>IFERROR(__xludf.DUMMYFUNCTION("GOOGLEFINANCE(A925,""beta"")"),"#N/A")</f>
        <v>#N/A</v>
      </c>
    </row>
    <row r="926">
      <c r="A926" s="122" t="s">
        <v>2279</v>
      </c>
      <c r="B926" s="123">
        <v>1839360.0</v>
      </c>
      <c r="C926" s="124" t="s">
        <v>2280</v>
      </c>
      <c r="D926" s="125"/>
      <c r="E926" s="126">
        <v>0.19</v>
      </c>
      <c r="F926" s="127"/>
      <c r="G926" s="127"/>
      <c r="H926" s="127"/>
      <c r="I926" s="128"/>
      <c r="K926" s="105" t="str">
        <f>IFERROR(__xludf.DUMMYFUNCTION("if(A926="""","""",substitute(SUBSTITUTE(index(importhtml(""http://finviz.com/quote.ashx?t=""&amp;A926,""table"",10),7,2),""*"",""""),""-"",""0.00""))"),"Loading...")</f>
        <v>Loading...</v>
      </c>
      <c r="L926" s="129">
        <v>1.5030393E7</v>
      </c>
      <c r="M926" s="99" t="str">
        <f>IFERROR(__xludf.DUMMYFUNCTION("GOOGLEFINANCE(A926,""beta"")"),"#N/A")</f>
        <v>#N/A</v>
      </c>
    </row>
    <row r="927">
      <c r="A927" s="122" t="s">
        <v>2281</v>
      </c>
      <c r="B927" s="123">
        <v>1854233.0</v>
      </c>
      <c r="C927" s="124" t="s">
        <v>2282</v>
      </c>
      <c r="D927" s="125"/>
      <c r="E927" s="126">
        <v>0.19</v>
      </c>
      <c r="F927" s="127"/>
      <c r="G927" s="127"/>
      <c r="H927" s="127"/>
      <c r="I927" s="128"/>
      <c r="K927" s="105" t="str">
        <f>IFERROR(__xludf.DUMMYFUNCTION("if(A927="""","""",substitute(SUBSTITUTE(index(importhtml(""http://finviz.com/quote.ashx?t=""&amp;A927,""table"",10),7,2),""*"",""""),""-"",""0.00""))"),"Loading...")</f>
        <v>Loading...</v>
      </c>
      <c r="L927" s="129">
        <v>2.9334726E7</v>
      </c>
      <c r="M927" s="99">
        <v>0.61</v>
      </c>
    </row>
    <row r="928">
      <c r="A928" s="122" t="s">
        <v>2283</v>
      </c>
      <c r="B928" s="123">
        <v>1817640.0</v>
      </c>
      <c r="C928" s="124" t="s">
        <v>2284</v>
      </c>
      <c r="D928" s="125"/>
      <c r="E928" s="126">
        <v>0.19</v>
      </c>
      <c r="F928" s="127"/>
      <c r="G928" s="127"/>
      <c r="H928" s="127"/>
      <c r="I928" s="128"/>
      <c r="K928" s="105" t="str">
        <f>IFERROR(__xludf.DUMMYFUNCTION("if(A928="""","""",substitute(SUBSTITUTE(index(importhtml(""http://finviz.com/quote.ashx?t=""&amp;A928,""table"",10),7,2),""*"",""""),""-"",""0.00""))"),"Loading...")</f>
        <v>Loading...</v>
      </c>
      <c r="L928" s="129">
        <v>5.034451E7</v>
      </c>
      <c r="M928" s="99">
        <v>1.79</v>
      </c>
    </row>
    <row r="929">
      <c r="A929" s="122" t="s">
        <v>2285</v>
      </c>
      <c r="B929" s="123">
        <v>1004530.0</v>
      </c>
      <c r="C929" s="124" t="s">
        <v>2286</v>
      </c>
      <c r="D929" s="125"/>
      <c r="E929" s="126">
        <v>0.19</v>
      </c>
      <c r="F929" s="127"/>
      <c r="G929" s="127"/>
      <c r="H929" s="127"/>
      <c r="I929" s="128"/>
      <c r="K929" s="105" t="str">
        <f>IFERROR(__xludf.DUMMYFUNCTION("if(A929="""","""",substitute(SUBSTITUTE(index(importhtml(""http://finviz.com/quote.ashx?t=""&amp;A929,""table"",10),7,2),""*"",""""),""-"",""0.00""))"),"Loading...")</f>
        <v>Loading...</v>
      </c>
      <c r="L929" s="129">
        <v>5.2889875E7</v>
      </c>
      <c r="M929" s="99" t="str">
        <f>IFERROR(__xludf.DUMMYFUNCTION("GOOGLEFINANCE(A929,""beta"")"),"#N/A")</f>
        <v>#N/A</v>
      </c>
    </row>
    <row r="930">
      <c r="A930" s="122" t="s">
        <v>2287</v>
      </c>
      <c r="B930" s="123">
        <v>1844862.0</v>
      </c>
      <c r="C930" s="124" t="s">
        <v>2288</v>
      </c>
      <c r="D930" s="125"/>
      <c r="E930" s="126">
        <v>0.19</v>
      </c>
      <c r="F930" s="127"/>
      <c r="G930" s="127"/>
      <c r="H930" s="127"/>
      <c r="I930" s="128"/>
      <c r="K930" s="105" t="str">
        <f>IFERROR(__xludf.DUMMYFUNCTION("if(A930="""","""",substitute(SUBSTITUTE(index(importhtml(""http://finviz.com/quote.ashx?t=""&amp;A930,""table"",10),7,2),""*"",""""),""-"",""0.00""))"),"Loading...")</f>
        <v>Loading...</v>
      </c>
      <c r="L930" s="129">
        <v>3.03343418E8</v>
      </c>
      <c r="M930" s="99">
        <f>IFERROR(__xludf.DUMMYFUNCTION("GOOGLEFINANCE(A930,""beta"")"),2.33)</f>
        <v>2.33</v>
      </c>
    </row>
    <row r="931">
      <c r="A931" s="122" t="s">
        <v>2289</v>
      </c>
      <c r="B931" s="123">
        <v>1459188.0</v>
      </c>
      <c r="C931" s="124" t="s">
        <v>2290</v>
      </c>
      <c r="D931" s="125"/>
      <c r="E931" s="126">
        <v>0.19</v>
      </c>
      <c r="F931" s="127"/>
      <c r="G931" s="127"/>
      <c r="H931" s="127"/>
      <c r="I931" s="128"/>
      <c r="K931" s="105" t="str">
        <f>IFERROR(__xludf.DUMMYFUNCTION("if(A931="""","""",substitute(SUBSTITUTE(index(importhtml(""http://finviz.com/quote.ashx?t=""&amp;A931,""table"",10),7,2),""*"",""""),""-"",""0.00""))"),"Loading...")</f>
        <v>Loading...</v>
      </c>
      <c r="L931" s="129" t="e">
        <v>#N/A</v>
      </c>
      <c r="M931" s="99">
        <v>-1.55</v>
      </c>
    </row>
    <row r="932">
      <c r="A932" s="122" t="s">
        <v>2291</v>
      </c>
      <c r="B932" s="123">
        <v>1690080.0</v>
      </c>
      <c r="C932" s="124" t="s">
        <v>2292</v>
      </c>
      <c r="D932" s="125"/>
      <c r="E932" s="126">
        <v>0.2</v>
      </c>
      <c r="F932" s="127"/>
      <c r="G932" s="127"/>
      <c r="H932" s="127"/>
      <c r="I932" s="128"/>
      <c r="K932" s="105" t="str">
        <f>IFERROR(__xludf.DUMMYFUNCTION("if(A932="""","""",substitute(SUBSTITUTE(index(importhtml(""http://finviz.com/quote.ashx?t=""&amp;A932,""table"",10),7,2),""*"",""""),""-"",""0.00""))"),"Loading...")</f>
        <v>Loading...</v>
      </c>
      <c r="L932" s="129">
        <v>2048793.0</v>
      </c>
      <c r="M932" s="99">
        <v>0.46</v>
      </c>
    </row>
    <row r="933">
      <c r="A933" s="122" t="s">
        <v>2293</v>
      </c>
      <c r="B933" s="123">
        <v>1045942.0</v>
      </c>
      <c r="C933" s="124" t="s">
        <v>2294</v>
      </c>
      <c r="D933" s="125"/>
      <c r="E933" s="126">
        <v>0.2</v>
      </c>
      <c r="F933" s="127"/>
      <c r="G933" s="127"/>
      <c r="H933" s="127"/>
      <c r="I933" s="128"/>
      <c r="K933" s="105" t="str">
        <f>IFERROR(__xludf.DUMMYFUNCTION("if(A933="""","""",substitute(SUBSTITUTE(index(importhtml(""http://finviz.com/quote.ashx?t=""&amp;A933,""table"",10),7,2),""*"",""""),""-"",""0.00""))"),"Loading...")</f>
        <v>Loading...</v>
      </c>
      <c r="L933" s="129">
        <v>2372750.0</v>
      </c>
      <c r="M933" s="99">
        <v>0.91</v>
      </c>
    </row>
    <row r="934">
      <c r="A934" s="122" t="s">
        <v>2295</v>
      </c>
      <c r="B934" s="123">
        <v>1552189.0</v>
      </c>
      <c r="C934" s="124" t="s">
        <v>2296</v>
      </c>
      <c r="D934" s="125"/>
      <c r="E934" s="126">
        <v>0.2</v>
      </c>
      <c r="F934" s="127"/>
      <c r="G934" s="127"/>
      <c r="H934" s="127"/>
      <c r="I934" s="128"/>
      <c r="K934" s="105" t="str">
        <f>IFERROR(__xludf.DUMMYFUNCTION("if(A934="""","""",substitute(SUBSTITUTE(index(importhtml(""http://finviz.com/quote.ashx?t=""&amp;A934,""table"",10),7,2),""*"",""""),""-"",""0.00""))"),"Loading...")</f>
        <v>Loading...</v>
      </c>
      <c r="L934" s="129">
        <v>3493780.0</v>
      </c>
      <c r="M934" s="99">
        <v>2.97</v>
      </c>
    </row>
    <row r="935">
      <c r="A935" s="122" t="s">
        <v>2297</v>
      </c>
      <c r="B935" s="123">
        <v>1554818.0</v>
      </c>
      <c r="C935" s="124" t="s">
        <v>2298</v>
      </c>
      <c r="D935" s="125"/>
      <c r="E935" s="126">
        <v>0.2</v>
      </c>
      <c r="F935" s="127"/>
      <c r="G935" s="127"/>
      <c r="H935" s="127"/>
      <c r="I935" s="128"/>
      <c r="K935" s="105" t="str">
        <f>IFERROR(__xludf.DUMMYFUNCTION("if(A935="""","""",substitute(SUBSTITUTE(index(importhtml(""http://finviz.com/quote.ashx?t=""&amp;A935,""table"",10),7,2),""*"",""""),""-"",""0.00""))"),"Loading...")</f>
        <v>Loading...</v>
      </c>
      <c r="L935" s="129">
        <v>3938865.0</v>
      </c>
      <c r="M935" s="99">
        <f>IFERROR(__xludf.DUMMYFUNCTION("GOOGLEFINANCE(A935,""beta"")"),1.0)</f>
        <v>1</v>
      </c>
    </row>
    <row r="936">
      <c r="A936" s="122" t="s">
        <v>2299</v>
      </c>
      <c r="B936" s="123">
        <v>1571934.0</v>
      </c>
      <c r="C936" s="124" t="s">
        <v>2300</v>
      </c>
      <c r="D936" s="125"/>
      <c r="E936" s="126">
        <v>0.2</v>
      </c>
      <c r="F936" s="127"/>
      <c r="G936" s="127"/>
      <c r="H936" s="127"/>
      <c r="I936" s="128"/>
      <c r="K936" s="105" t="str">
        <f>IFERROR(__xludf.DUMMYFUNCTION("if(A936="""","""",substitute(SUBSTITUTE(index(importhtml(""http://finviz.com/quote.ashx?t=""&amp;A936,""table"",10),7,2),""*"",""""),""-"",""0.00""))"),"Loading...")</f>
        <v>Loading...</v>
      </c>
      <c r="L936" s="129">
        <v>3998732.0</v>
      </c>
      <c r="M936" s="99">
        <v>1.53</v>
      </c>
    </row>
    <row r="937">
      <c r="A937" s="122" t="s">
        <v>2301</v>
      </c>
      <c r="B937" s="123">
        <v>1427570.0</v>
      </c>
      <c r="C937" s="124" t="s">
        <v>2302</v>
      </c>
      <c r="D937" s="125"/>
      <c r="E937" s="126">
        <v>0.2</v>
      </c>
      <c r="F937" s="127"/>
      <c r="G937" s="127"/>
      <c r="H937" s="127"/>
      <c r="I937" s="128"/>
      <c r="K937" s="105" t="str">
        <f>IFERROR(__xludf.DUMMYFUNCTION("if(A937="""","""",substitute(SUBSTITUTE(index(importhtml(""http://finviz.com/quote.ashx?t=""&amp;A937,""table"",10),7,2),""*"",""""),""-"",""0.00""))"),"Loading...")</f>
        <v>Loading...</v>
      </c>
      <c r="L937" s="129">
        <v>4697845.0</v>
      </c>
      <c r="M937" s="99">
        <v>0.23</v>
      </c>
    </row>
    <row r="938">
      <c r="A938" s="122" t="s">
        <v>2303</v>
      </c>
      <c r="B938" s="123">
        <v>1394319.0</v>
      </c>
      <c r="C938" s="124" t="s">
        <v>2304</v>
      </c>
      <c r="D938" s="125"/>
      <c r="E938" s="126">
        <v>0.2</v>
      </c>
      <c r="F938" s="127"/>
      <c r="G938" s="127"/>
      <c r="H938" s="127"/>
      <c r="I938" s="128"/>
      <c r="K938" s="105" t="str">
        <f>IFERROR(__xludf.DUMMYFUNCTION("if(A938="""","""",substitute(SUBSTITUTE(index(importhtml(""http://finviz.com/quote.ashx?t=""&amp;A938,""table"",10),7,2),""*"",""""),""-"",""0.00""))"),"Loading...")</f>
        <v>Loading...</v>
      </c>
      <c r="L938" s="129">
        <v>5982052.0</v>
      </c>
      <c r="M938" s="99">
        <v>0.86</v>
      </c>
    </row>
    <row r="939">
      <c r="A939" s="122" t="s">
        <v>2305</v>
      </c>
      <c r="B939" s="123">
        <v>1471727.0</v>
      </c>
      <c r="C939" s="124" t="s">
        <v>2306</v>
      </c>
      <c r="D939" s="125"/>
      <c r="E939" s="126">
        <v>0.2</v>
      </c>
      <c r="F939" s="127"/>
      <c r="G939" s="127"/>
      <c r="H939" s="127"/>
      <c r="I939" s="128"/>
      <c r="K939" s="105" t="str">
        <f>IFERROR(__xludf.DUMMYFUNCTION("if(A939="""","""",substitute(SUBSTITUTE(index(importhtml(""http://finviz.com/quote.ashx?t=""&amp;A939,""table"",10),7,2),""*"",""""),""-"",""0.00""))"),"Loading...")</f>
        <v>Loading...</v>
      </c>
      <c r="L939" s="129">
        <v>6448307.0</v>
      </c>
      <c r="M939" s="99">
        <v>2.07</v>
      </c>
    </row>
    <row r="940">
      <c r="A940" s="122" t="s">
        <v>2307</v>
      </c>
      <c r="B940" s="123">
        <v>109657.0</v>
      </c>
      <c r="C940" s="124" t="s">
        <v>2308</v>
      </c>
      <c r="D940" s="125"/>
      <c r="E940" s="126">
        <v>0.2</v>
      </c>
      <c r="F940" s="127"/>
      <c r="G940" s="127"/>
      <c r="H940" s="127"/>
      <c r="I940" s="128"/>
      <c r="K940" s="105" t="str">
        <f>IFERROR(__xludf.DUMMYFUNCTION("if(A940="""","""",substitute(SUBSTITUTE(index(importhtml(""http://finviz.com/quote.ashx?t=""&amp;A940,""table"",10),7,2),""*"",""""),""-"",""0.00""))"),"Loading...")</f>
        <v>Loading...</v>
      </c>
      <c r="L940" s="129">
        <v>7898166.0</v>
      </c>
      <c r="M940" s="99">
        <v>0.61</v>
      </c>
    </row>
    <row r="941">
      <c r="A941" s="122" t="s">
        <v>2309</v>
      </c>
      <c r="B941" s="123">
        <v>1403674.0</v>
      </c>
      <c r="C941" s="124" t="s">
        <v>2310</v>
      </c>
      <c r="D941" s="125"/>
      <c r="E941" s="126">
        <v>0.2</v>
      </c>
      <c r="F941" s="127"/>
      <c r="G941" s="127"/>
      <c r="H941" s="127"/>
      <c r="I941" s="128"/>
      <c r="K941" s="105" t="str">
        <f>IFERROR(__xludf.DUMMYFUNCTION("if(A941="""","""",substitute(SUBSTITUTE(index(importhtml(""http://finviz.com/quote.ashx?t=""&amp;A941,""table"",10),7,2),""*"",""""),""-"",""0.00""))"),"Loading...")</f>
        <v>Loading...</v>
      </c>
      <c r="L941" s="129">
        <v>1.044012E7</v>
      </c>
      <c r="M941" s="99">
        <f>IFERROR(__xludf.DUMMYFUNCTION("GOOGLEFINANCE(A941,""beta"")"),-0.38)</f>
        <v>-0.38</v>
      </c>
    </row>
    <row r="942">
      <c r="A942" s="122" t="s">
        <v>2311</v>
      </c>
      <c r="B942" s="123">
        <v>1527541.0</v>
      </c>
      <c r="C942" s="124" t="s">
        <v>2312</v>
      </c>
      <c r="D942" s="125"/>
      <c r="E942" s="126">
        <v>0.2</v>
      </c>
      <c r="F942" s="127"/>
      <c r="G942" s="127"/>
      <c r="H942" s="127"/>
      <c r="I942" s="128"/>
      <c r="K942" s="105" t="str">
        <f>IFERROR(__xludf.DUMMYFUNCTION("if(A942="""","""",substitute(SUBSTITUTE(index(importhtml(""http://finviz.com/quote.ashx?t=""&amp;A942,""table"",10),7,2),""*"",""""),""-"",""0.00""))"),"Loading...")</f>
        <v>Loading...</v>
      </c>
      <c r="L942" s="129">
        <v>1.083502E7</v>
      </c>
      <c r="M942" s="99">
        <v>1.75</v>
      </c>
    </row>
    <row r="943">
      <c r="A943" s="122" t="s">
        <v>2313</v>
      </c>
      <c r="B943" s="123">
        <v>1442492.0</v>
      </c>
      <c r="C943" s="124" t="s">
        <v>2314</v>
      </c>
      <c r="D943" s="125"/>
      <c r="E943" s="126">
        <v>0.2</v>
      </c>
      <c r="F943" s="127"/>
      <c r="G943" s="127"/>
      <c r="H943" s="127"/>
      <c r="I943" s="128"/>
      <c r="K943" s="105" t="str">
        <f>IFERROR(__xludf.DUMMYFUNCTION("if(A943="""","""",substitute(SUBSTITUTE(index(importhtml(""http://finviz.com/quote.ashx?t=""&amp;A943,""table"",10),7,2),""*"",""""),""-"",""0.00""))"),"Loading...")</f>
        <v>Loading...</v>
      </c>
      <c r="L943" s="129">
        <v>1.4534481E7</v>
      </c>
      <c r="M943" s="99">
        <v>-0.28</v>
      </c>
    </row>
    <row r="944">
      <c r="A944" s="122" t="s">
        <v>2315</v>
      </c>
      <c r="B944" s="123">
        <v>1864943.0</v>
      </c>
      <c r="C944" s="124" t="s">
        <v>2316</v>
      </c>
      <c r="D944" s="125"/>
      <c r="E944" s="126">
        <v>0.2</v>
      </c>
      <c r="F944" s="127"/>
      <c r="G944" s="127"/>
      <c r="H944" s="127"/>
      <c r="I944" s="128"/>
      <c r="K944" s="105" t="str">
        <f>IFERROR(__xludf.DUMMYFUNCTION("if(A944="""","""",substitute(SUBSTITUTE(index(importhtml(""http://finviz.com/quote.ashx?t=""&amp;A944,""table"",10),7,2),""*"",""""),""-"",""0.00""))"),"Loading...")</f>
        <v>Loading...</v>
      </c>
      <c r="L944" s="129">
        <v>1.5754835E7</v>
      </c>
      <c r="M944" s="99">
        <f>IFERROR(__xludf.DUMMYFUNCTION("GOOGLEFINANCE(A944,""beta"")"),2.57)</f>
        <v>2.57</v>
      </c>
    </row>
    <row r="945">
      <c r="A945" s="122" t="s">
        <v>2317</v>
      </c>
      <c r="B945" s="123">
        <v>1295514.0</v>
      </c>
      <c r="C945" s="124" t="s">
        <v>2318</v>
      </c>
      <c r="D945" s="125"/>
      <c r="E945" s="126">
        <v>0.2</v>
      </c>
      <c r="F945" s="127"/>
      <c r="G945" s="127"/>
      <c r="H945" s="127"/>
      <c r="I945" s="128"/>
      <c r="K945" s="105" t="str">
        <f>IFERROR(__xludf.DUMMYFUNCTION("if(A945="""","""",substitute(SUBSTITUTE(index(importhtml(""http://finviz.com/quote.ashx?t=""&amp;A945,""table"",10),7,2),""*"",""""),""-"",""0.00""))"),"Loading...")</f>
        <v>Loading...</v>
      </c>
      <c r="L945" s="129">
        <v>2.54983E7</v>
      </c>
      <c r="M945" s="99">
        <v>6.51</v>
      </c>
    </row>
    <row r="946">
      <c r="A946" s="122" t="s">
        <v>2319</v>
      </c>
      <c r="B946" s="123">
        <v>1093082.0</v>
      </c>
      <c r="C946" s="124" t="s">
        <v>2320</v>
      </c>
      <c r="D946" s="125"/>
      <c r="E946" s="126">
        <v>0.2</v>
      </c>
      <c r="F946" s="127"/>
      <c r="G946" s="127"/>
      <c r="H946" s="127"/>
      <c r="I946" s="128"/>
      <c r="K946" s="105" t="str">
        <f>IFERROR(__xludf.DUMMYFUNCTION("if(A946="""","""",substitute(SUBSTITUTE(index(importhtml(""http://finviz.com/quote.ashx?t=""&amp;A946,""table"",10),7,2),""*"",""""),""-"",""0.00""))"),"Loading...")</f>
        <v>Loading...</v>
      </c>
      <c r="L946" s="129">
        <v>4.2251506E7</v>
      </c>
      <c r="M946" s="99">
        <v>-0.65</v>
      </c>
    </row>
    <row r="947">
      <c r="A947" s="122" t="s">
        <v>2321</v>
      </c>
      <c r="B947" s="123">
        <v>1823000.0</v>
      </c>
      <c r="C947" s="124" t="s">
        <v>2322</v>
      </c>
      <c r="D947" s="125"/>
      <c r="E947" s="126">
        <v>0.2</v>
      </c>
      <c r="F947" s="127"/>
      <c r="G947" s="127"/>
      <c r="H947" s="127"/>
      <c r="I947" s="128"/>
      <c r="K947" s="105" t="str">
        <f>IFERROR(__xludf.DUMMYFUNCTION("if(A947="""","""",substitute(SUBSTITUTE(index(importhtml(""http://finviz.com/quote.ashx?t=""&amp;A947,""table"",10),7,2),""*"",""""),""-"",""0.00""))"),"Loading...")</f>
        <v>Loading...</v>
      </c>
      <c r="L947" s="129">
        <v>2.21464865E8</v>
      </c>
      <c r="M947" s="99">
        <v>3.59</v>
      </c>
    </row>
    <row r="948">
      <c r="A948" s="122" t="s">
        <v>2323</v>
      </c>
      <c r="B948" s="123">
        <v>1095146.0</v>
      </c>
      <c r="C948" s="124" t="s">
        <v>2324</v>
      </c>
      <c r="D948" s="125"/>
      <c r="E948" s="126">
        <v>0.2</v>
      </c>
      <c r="F948" s="127"/>
      <c r="G948" s="127"/>
      <c r="H948" s="127"/>
      <c r="I948" s="128"/>
      <c r="K948" s="105" t="str">
        <f>IFERROR(__xludf.DUMMYFUNCTION("if(A948="""","""",substitute(SUBSTITUTE(index(importhtml(""http://finviz.com/quote.ashx?t=""&amp;A948,""table"",10),7,2),""*"",""""),""-"",""0.00""))"),"Loading...")</f>
        <v>Loading...</v>
      </c>
      <c r="L948" s="129">
        <v>8.18891812E8</v>
      </c>
      <c r="M948" s="99">
        <v>1.66</v>
      </c>
    </row>
    <row r="949">
      <c r="A949" s="122" t="s">
        <v>2325</v>
      </c>
      <c r="B949" s="123">
        <v>1855612.0</v>
      </c>
      <c r="C949" s="124" t="s">
        <v>2326</v>
      </c>
      <c r="D949" s="125"/>
      <c r="E949" s="126">
        <v>0.2</v>
      </c>
      <c r="F949" s="127"/>
      <c r="G949" s="127"/>
      <c r="H949" s="127"/>
      <c r="I949" s="128"/>
      <c r="K949" s="105" t="str">
        <f>IFERROR(__xludf.DUMMYFUNCTION("if(A949="""","""",substitute(SUBSTITUTE(index(importhtml(""http://finviz.com/quote.ashx?t=""&amp;A949,""table"",10),7,2),""*"",""""),""-"",""0.00""))"),"Loading...")</f>
        <v>Loading...</v>
      </c>
      <c r="L949" s="129">
        <v>1.2596640111E10</v>
      </c>
      <c r="M949" s="99">
        <v>1.41</v>
      </c>
    </row>
    <row r="950">
      <c r="A950" s="122" t="s">
        <v>2327</v>
      </c>
      <c r="B950" s="123">
        <v>1012139.0</v>
      </c>
      <c r="C950" s="124" t="s">
        <v>2328</v>
      </c>
      <c r="D950" s="125"/>
      <c r="E950" s="126">
        <v>0.2</v>
      </c>
      <c r="F950" s="127"/>
      <c r="G950" s="127"/>
      <c r="H950" s="127"/>
      <c r="I950" s="128"/>
      <c r="K950" s="105" t="str">
        <f>IFERROR(__xludf.DUMMYFUNCTION("if(A950="""","""",substitute(SUBSTITUTE(index(importhtml(""http://finviz.com/quote.ashx?t=""&amp;A950,""table"",10),7,2),""*"",""""),""-"",""0.00""))"),"Loading...")</f>
        <v>Loading...</v>
      </c>
      <c r="L950" s="129">
        <v>1.8340529317E10</v>
      </c>
      <c r="M950" s="99">
        <v>0.53</v>
      </c>
    </row>
    <row r="951">
      <c r="A951" s="122" t="s">
        <v>2329</v>
      </c>
      <c r="B951" s="123">
        <v>894560.0</v>
      </c>
      <c r="C951" s="124" t="s">
        <v>2330</v>
      </c>
      <c r="D951" s="125"/>
      <c r="E951" s="126">
        <v>0.21</v>
      </c>
      <c r="F951" s="127"/>
      <c r="G951" s="127"/>
      <c r="H951" s="127"/>
      <c r="I951" s="128"/>
      <c r="K951" s="105" t="str">
        <f>IFERROR(__xludf.DUMMYFUNCTION("if(A951="""","""",substitute(SUBSTITUTE(index(importhtml(""http://finviz.com/quote.ashx?t=""&amp;A951,""table"",10),7,2),""*"",""""),""-"",""0.00""))"),"Loading...")</f>
        <v>Loading...</v>
      </c>
      <c r="L951" s="129">
        <v>238500.0</v>
      </c>
      <c r="M951" s="99">
        <v>-3.17</v>
      </c>
    </row>
    <row r="952">
      <c r="A952" s="122" t="s">
        <v>2331</v>
      </c>
      <c r="B952" s="123">
        <v>824416.0</v>
      </c>
      <c r="C952" s="124" t="s">
        <v>2332</v>
      </c>
      <c r="D952" s="125"/>
      <c r="E952" s="126">
        <v>0.21</v>
      </c>
      <c r="F952" s="127"/>
      <c r="G952" s="127"/>
      <c r="H952" s="127"/>
      <c r="I952" s="128"/>
      <c r="K952" s="105" t="str">
        <f>IFERROR(__xludf.DUMMYFUNCTION("if(A952="""","""",substitute(SUBSTITUTE(index(importhtml(""http://finviz.com/quote.ashx?t=""&amp;A952,""table"",10),7,2),""*"",""""),""-"",""0.00""))"),"Loading...")</f>
        <v>Loading...</v>
      </c>
      <c r="L952" s="129">
        <v>1110662.0</v>
      </c>
      <c r="M952" s="99">
        <v>-0.66</v>
      </c>
    </row>
    <row r="953">
      <c r="A953" s="122" t="s">
        <v>2333</v>
      </c>
      <c r="B953" s="123">
        <v>862668.0</v>
      </c>
      <c r="C953" s="124" t="s">
        <v>2334</v>
      </c>
      <c r="D953" s="125"/>
      <c r="E953" s="126">
        <v>0.21</v>
      </c>
      <c r="F953" s="127"/>
      <c r="G953" s="127"/>
      <c r="H953" s="127"/>
      <c r="I953" s="128"/>
      <c r="K953" s="105" t="str">
        <f>IFERROR(__xludf.DUMMYFUNCTION("if(A953="""","""",substitute(SUBSTITUTE(index(importhtml(""http://finviz.com/quote.ashx?t=""&amp;A953,""table"",10),7,2),""*"",""""),""-"",""0.00""))"),"Loading...")</f>
        <v>Loading...</v>
      </c>
      <c r="L953" s="129">
        <v>1557220.0</v>
      </c>
      <c r="M953" s="99">
        <v>-0.21</v>
      </c>
    </row>
    <row r="954">
      <c r="A954" s="122" t="s">
        <v>2335</v>
      </c>
      <c r="B954" s="123">
        <v>1029744.0</v>
      </c>
      <c r="C954" s="124" t="s">
        <v>2336</v>
      </c>
      <c r="D954" s="125"/>
      <c r="E954" s="126">
        <v>0.21</v>
      </c>
      <c r="F954" s="127"/>
      <c r="G954" s="127"/>
      <c r="H954" s="127"/>
      <c r="I954" s="128"/>
      <c r="K954" s="105" t="str">
        <f>IFERROR(__xludf.DUMMYFUNCTION("if(A954="""","""",substitute(SUBSTITUTE(index(importhtml(""http://finviz.com/quote.ashx?t=""&amp;A954,""table"",10),7,2),""*"",""""),""-"",""0.00""))"),"Loading...")</f>
        <v>Loading...</v>
      </c>
      <c r="L954" s="129">
        <v>2551034.0</v>
      </c>
      <c r="M954" s="99">
        <v>0.34</v>
      </c>
    </row>
    <row r="955">
      <c r="A955" s="122" t="s">
        <v>2337</v>
      </c>
      <c r="B955" s="123">
        <v>1591913.0</v>
      </c>
      <c r="C955" s="124" t="s">
        <v>2338</v>
      </c>
      <c r="D955" s="125"/>
      <c r="E955" s="126">
        <v>0.21</v>
      </c>
      <c r="F955" s="127"/>
      <c r="G955" s="127"/>
      <c r="H955" s="127"/>
      <c r="I955" s="128"/>
      <c r="K955" s="105" t="str">
        <f>IFERROR(__xludf.DUMMYFUNCTION("if(A955="""","""",substitute(SUBSTITUTE(index(importhtml(""http://finviz.com/quote.ashx?t=""&amp;A955,""table"",10),7,2),""*"",""""),""-"",""0.00""))"),"Loading...")</f>
        <v>Loading...</v>
      </c>
      <c r="L955" s="129">
        <v>2797178.0</v>
      </c>
      <c r="M955" s="99">
        <v>1.8</v>
      </c>
    </row>
    <row r="956">
      <c r="A956" s="122" t="s">
        <v>2339</v>
      </c>
      <c r="B956" s="123">
        <v>1506983.0</v>
      </c>
      <c r="C956" s="124" t="s">
        <v>2340</v>
      </c>
      <c r="D956" s="125"/>
      <c r="E956" s="126">
        <v>0.21</v>
      </c>
      <c r="F956" s="127"/>
      <c r="G956" s="127"/>
      <c r="H956" s="127"/>
      <c r="I956" s="128"/>
      <c r="K956" s="105" t="str">
        <f>IFERROR(__xludf.DUMMYFUNCTION("if(A956="""","""",substitute(SUBSTITUTE(index(importhtml(""http://finviz.com/quote.ashx?t=""&amp;A956,""table"",10),7,2),""*"",""""),""-"",""0.00""))"),"Loading...")</f>
        <v>Loading...</v>
      </c>
      <c r="L956" s="129">
        <v>4258681.0</v>
      </c>
      <c r="M956" s="99">
        <v>0.05</v>
      </c>
    </row>
    <row r="957">
      <c r="A957" s="122" t="s">
        <v>2341</v>
      </c>
      <c r="B957" s="123">
        <v>1543652.0</v>
      </c>
      <c r="C957" s="124" t="s">
        <v>2342</v>
      </c>
      <c r="D957" s="125"/>
      <c r="E957" s="126">
        <v>0.21</v>
      </c>
      <c r="F957" s="127"/>
      <c r="G957" s="127"/>
      <c r="H957" s="127"/>
      <c r="I957" s="128"/>
      <c r="K957" s="105" t="str">
        <f>IFERROR(__xludf.DUMMYFUNCTION("if(A957="""","""",substitute(SUBSTITUTE(index(importhtml(""http://finviz.com/quote.ashx?t=""&amp;A957,""table"",10),7,2),""*"",""""),""-"",""0.00""))"),"Loading...")</f>
        <v>Loading...</v>
      </c>
      <c r="L957" s="129">
        <v>5483320.0</v>
      </c>
      <c r="M957" s="99">
        <v>1.64</v>
      </c>
    </row>
    <row r="958">
      <c r="A958" s="122" t="s">
        <v>2343</v>
      </c>
      <c r="B958" s="123">
        <v>319458.0</v>
      </c>
      <c r="C958" s="124" t="s">
        <v>2344</v>
      </c>
      <c r="D958" s="125"/>
      <c r="E958" s="126">
        <v>0.21</v>
      </c>
      <c r="F958" s="127"/>
      <c r="G958" s="127"/>
      <c r="H958" s="127"/>
      <c r="I958" s="128"/>
      <c r="K958" s="105" t="str">
        <f>IFERROR(__xludf.DUMMYFUNCTION("if(A958="""","""",substitute(SUBSTITUTE(index(importhtml(""http://finviz.com/quote.ashx?t=""&amp;A958,""table"",10),7,2),""*"",""""),""-"",""0.00""))"),"#N/A")</f>
        <v>#N/A</v>
      </c>
      <c r="L958" s="129">
        <v>5705343.0</v>
      </c>
      <c r="M958" s="99">
        <v>1.08</v>
      </c>
    </row>
    <row r="959">
      <c r="A959" s="122" t="s">
        <v>2345</v>
      </c>
      <c r="B959" s="123">
        <v>1016504.0</v>
      </c>
      <c r="C959" s="124" t="s">
        <v>2346</v>
      </c>
      <c r="D959" s="125"/>
      <c r="E959" s="126">
        <v>0.21</v>
      </c>
      <c r="F959" s="127"/>
      <c r="G959" s="127"/>
      <c r="H959" s="127"/>
      <c r="I959" s="128"/>
      <c r="K959" s="105" t="str">
        <f>IFERROR(__xludf.DUMMYFUNCTION("if(A959="""","""",substitute(SUBSTITUTE(index(importhtml(""http://finviz.com/quote.ashx?t=""&amp;A959,""table"",10),7,2),""*"",""""),""-"",""0.00""))"),"Loading...")</f>
        <v>Loading...</v>
      </c>
      <c r="L959" s="129">
        <v>6188756.0</v>
      </c>
      <c r="M959" s="99">
        <v>0.03</v>
      </c>
    </row>
    <row r="960">
      <c r="A960" s="122" t="s">
        <v>2347</v>
      </c>
      <c r="B960" s="123">
        <v>1761911.0</v>
      </c>
      <c r="C960" s="124" t="s">
        <v>2348</v>
      </c>
      <c r="D960" s="125"/>
      <c r="E960" s="126">
        <v>0.21</v>
      </c>
      <c r="F960" s="127"/>
      <c r="G960" s="127"/>
      <c r="H960" s="127"/>
      <c r="I960" s="128"/>
      <c r="K960" s="105" t="str">
        <f>IFERROR(__xludf.DUMMYFUNCTION("if(A960="""","""",substitute(SUBSTITUTE(index(importhtml(""http://finviz.com/quote.ashx?t=""&amp;A960,""table"",10),7,2),""*"",""""),""-"",""0.00""))"),"Loading...")</f>
        <v>Loading...</v>
      </c>
      <c r="L960" s="129">
        <v>6483340.0</v>
      </c>
      <c r="M960" s="99" t="str">
        <f>IFERROR(__xludf.DUMMYFUNCTION("GOOGLEFINANCE(A960,""beta"")"),"#N/A")</f>
        <v>#N/A</v>
      </c>
    </row>
    <row r="961">
      <c r="A961" s="122" t="s">
        <v>2349</v>
      </c>
      <c r="B961" s="123">
        <v>1777765.0</v>
      </c>
      <c r="C961" s="124" t="s">
        <v>2350</v>
      </c>
      <c r="D961" s="125"/>
      <c r="E961" s="126">
        <v>0.21</v>
      </c>
      <c r="F961" s="127"/>
      <c r="G961" s="127"/>
      <c r="H961" s="127"/>
      <c r="I961" s="128"/>
      <c r="K961" s="105" t="str">
        <f>IFERROR(__xludf.DUMMYFUNCTION("if(A961="""","""",substitute(SUBSTITUTE(index(importhtml(""http://finviz.com/quote.ashx?t=""&amp;A961,""table"",10),7,2),""*"",""""),""-"",""0.00""))"),"Loading...")</f>
        <v>Loading...</v>
      </c>
      <c r="L961" s="129">
        <v>8375763.0</v>
      </c>
      <c r="M961" s="99">
        <v>-0.02</v>
      </c>
    </row>
    <row r="962">
      <c r="A962" s="122" t="s">
        <v>2351</v>
      </c>
      <c r="B962" s="123">
        <v>1429393.0</v>
      </c>
      <c r="C962" s="124" t="s">
        <v>2352</v>
      </c>
      <c r="D962" s="125"/>
      <c r="E962" s="126">
        <v>0.21</v>
      </c>
      <c r="F962" s="127"/>
      <c r="G962" s="127"/>
      <c r="H962" s="127"/>
      <c r="I962" s="128"/>
      <c r="K962" s="105" t="str">
        <f>IFERROR(__xludf.DUMMYFUNCTION("if(A962="""","""",substitute(SUBSTITUTE(index(importhtml(""http://finviz.com/quote.ashx?t=""&amp;A962,""table"",10),7,2),""*"",""""),""-"",""0.00""))"),"Loading...")</f>
        <v>Loading...</v>
      </c>
      <c r="L962" s="129">
        <v>8820909.0</v>
      </c>
      <c r="M962" s="99">
        <v>-0.32</v>
      </c>
    </row>
    <row r="963">
      <c r="A963" s="122" t="s">
        <v>2353</v>
      </c>
      <c r="B963" s="123">
        <v>1066130.0</v>
      </c>
      <c r="C963" s="124" t="s">
        <v>2354</v>
      </c>
      <c r="D963" s="125"/>
      <c r="E963" s="126">
        <v>0.21</v>
      </c>
      <c r="F963" s="127"/>
      <c r="G963" s="127"/>
      <c r="H963" s="127"/>
      <c r="I963" s="128"/>
      <c r="K963" s="105" t="str">
        <f>IFERROR(__xludf.DUMMYFUNCTION("if(A963="""","""",substitute(SUBSTITUTE(index(importhtml(""http://finviz.com/quote.ashx?t=""&amp;A963,""table"",10),7,2),""*"",""""),""-"",""0.00""))"),"Loading...")</f>
        <v>Loading...</v>
      </c>
      <c r="L963" s="129">
        <v>9309572.0</v>
      </c>
      <c r="M963" s="99">
        <v>3.39</v>
      </c>
    </row>
    <row r="964">
      <c r="A964" s="122" t="s">
        <v>2355</v>
      </c>
      <c r="B964" s="123">
        <v>1545224.0</v>
      </c>
      <c r="C964" s="124" t="s">
        <v>2356</v>
      </c>
      <c r="D964" s="125"/>
      <c r="E964" s="126">
        <v>0.21</v>
      </c>
      <c r="F964" s="127"/>
      <c r="G964" s="127"/>
      <c r="H964" s="127"/>
      <c r="I964" s="128"/>
      <c r="K964" s="105" t="str">
        <f>IFERROR(__xludf.DUMMYFUNCTION("if(A964="""","""",substitute(SUBSTITUTE(index(importhtml(""http://finviz.com/quote.ashx?t=""&amp;A964,""table"",10),7,2),""*"",""""),""-"",""0.00""))"),"Loading...")</f>
        <v>Loading...</v>
      </c>
      <c r="L964" s="129">
        <v>9524160.0</v>
      </c>
      <c r="M964" s="99">
        <f>IFERROR(__xludf.DUMMYFUNCTION("GOOGLEFINANCE(A964,""beta"")"),1.89)</f>
        <v>1.89</v>
      </c>
    </row>
    <row r="965">
      <c r="A965" s="122" t="s">
        <v>2357</v>
      </c>
      <c r="B965" s="123">
        <v>1843093.0</v>
      </c>
      <c r="C965" s="124" t="s">
        <v>2192</v>
      </c>
      <c r="D965" s="125"/>
      <c r="E965" s="126">
        <v>0.21</v>
      </c>
      <c r="F965" s="127"/>
      <c r="G965" s="127"/>
      <c r="H965" s="127"/>
      <c r="I965" s="128"/>
      <c r="K965" s="105" t="str">
        <f>IFERROR(__xludf.DUMMYFUNCTION("if(A965="""","""",substitute(SUBSTITUTE(index(importhtml(""http://finviz.com/quote.ashx?t=""&amp;A965,""table"",10),7,2),""*"",""""),""-"",""0.00""))"),"#N/A")</f>
        <v>#N/A</v>
      </c>
      <c r="L965" s="129">
        <v>1.4043401E7</v>
      </c>
      <c r="M965" s="99">
        <f>IFERROR(__xludf.DUMMYFUNCTION("GOOGLEFINANCE(A965,""beta"")"),1.45)</f>
        <v>1.45</v>
      </c>
    </row>
    <row r="966">
      <c r="A966" s="122" t="s">
        <v>2358</v>
      </c>
      <c r="B966" s="123">
        <v>1299865.0</v>
      </c>
      <c r="C966" s="124" t="s">
        <v>2359</v>
      </c>
      <c r="D966" s="125"/>
      <c r="E966" s="126">
        <v>0.21</v>
      </c>
      <c r="F966" s="127"/>
      <c r="G966" s="127"/>
      <c r="H966" s="127"/>
      <c r="I966" s="128"/>
      <c r="K966" s="105" t="str">
        <f>IFERROR(__xludf.DUMMYFUNCTION("if(A966="""","""",substitute(SUBSTITUTE(index(importhtml(""http://finviz.com/quote.ashx?t=""&amp;A966,""table"",10),7,2),""*"",""""),""-"",""0.00""))"),"Loading...")</f>
        <v>Loading...</v>
      </c>
      <c r="L966" s="129">
        <v>1.734637E7</v>
      </c>
      <c r="M966" s="99">
        <v>1.31</v>
      </c>
    </row>
    <row r="967">
      <c r="A967" s="122" t="s">
        <v>2360</v>
      </c>
      <c r="B967" s="123">
        <v>1418149.0</v>
      </c>
      <c r="C967" s="124" t="s">
        <v>2361</v>
      </c>
      <c r="D967" s="125"/>
      <c r="E967" s="126">
        <v>0.21</v>
      </c>
      <c r="F967" s="127"/>
      <c r="G967" s="127"/>
      <c r="H967" s="127"/>
      <c r="I967" s="128"/>
      <c r="K967" s="105" t="str">
        <f>IFERROR(__xludf.DUMMYFUNCTION("if(A967="""","""",substitute(SUBSTITUTE(index(importhtml(""http://finviz.com/quote.ashx?t=""&amp;A967,""table"",10),7,2),""*"",""""),""-"",""0.00""))"),"Loading...")</f>
        <v>Loading...</v>
      </c>
      <c r="L967" s="129">
        <v>1.9219149E7</v>
      </c>
      <c r="M967" s="99">
        <v>2.5</v>
      </c>
    </row>
    <row r="968">
      <c r="A968" s="122" t="s">
        <v>2362</v>
      </c>
      <c r="B968" s="123">
        <v>768216.0</v>
      </c>
      <c r="C968" s="124" t="s">
        <v>2363</v>
      </c>
      <c r="D968" s="125"/>
      <c r="E968" s="126">
        <v>0.21</v>
      </c>
      <c r="F968" s="127"/>
      <c r="G968" s="127"/>
      <c r="H968" s="127"/>
      <c r="I968" s="128"/>
      <c r="K968" s="105" t="str">
        <f>IFERROR(__xludf.DUMMYFUNCTION("if(A968="""","""",substitute(SUBSTITUTE(index(importhtml(""http://finviz.com/quote.ashx?t=""&amp;A968,""table"",10),7,2),""*"",""""),""-"",""0.00""))"),"Loading...")</f>
        <v>Loading...</v>
      </c>
      <c r="L968" s="129">
        <v>2.106341E7</v>
      </c>
      <c r="M968" s="99">
        <v>-3.85</v>
      </c>
    </row>
    <row r="969">
      <c r="A969" s="122" t="s">
        <v>2364</v>
      </c>
      <c r="B969" s="123">
        <v>1737270.0</v>
      </c>
      <c r="C969" s="124" t="s">
        <v>2076</v>
      </c>
      <c r="D969" s="125"/>
      <c r="E969" s="126">
        <v>0.21</v>
      </c>
      <c r="F969" s="127"/>
      <c r="G969" s="127"/>
      <c r="H969" s="127"/>
      <c r="I969" s="128"/>
      <c r="K969" s="105" t="str">
        <f>IFERROR(__xludf.DUMMYFUNCTION("if(A969="""","""",substitute(SUBSTITUTE(index(importhtml(""http://finviz.com/quote.ashx?t=""&amp;A969,""table"",10),7,2),""*"",""""),""-"",""0.00""))"),"Loading...")</f>
        <v>Loading...</v>
      </c>
      <c r="L969" s="129">
        <v>2.3653309E7</v>
      </c>
      <c r="M969" s="99" t="str">
        <f>IFERROR(__xludf.DUMMYFUNCTION("GOOGLEFINANCE(A969,""beta"")"),"#N/A")</f>
        <v>#N/A</v>
      </c>
    </row>
    <row r="970">
      <c r="A970" s="122" t="s">
        <v>2365</v>
      </c>
      <c r="B970" s="123">
        <v>845385.0</v>
      </c>
      <c r="C970" s="124" t="s">
        <v>2366</v>
      </c>
      <c r="D970" s="125"/>
      <c r="E970" s="126">
        <v>0.21</v>
      </c>
      <c r="F970" s="133"/>
      <c r="G970" s="133"/>
      <c r="H970" s="133"/>
      <c r="I970" s="128"/>
      <c r="K970" s="105" t="str">
        <f>IFERROR(__xludf.DUMMYFUNCTION("if(A970="""","""",substitute(SUBSTITUTE(index(importhtml(""http://finviz.com/quote.ashx?t=""&amp;A970,""table"",10),7,2),""*"",""""),""-"",""0.00""))"),"Loading...")</f>
        <v>Loading...</v>
      </c>
      <c r="L970" s="129">
        <v>2.530207E7</v>
      </c>
      <c r="M970" s="99">
        <v>0.17</v>
      </c>
    </row>
    <row r="971">
      <c r="A971" s="122" t="s">
        <v>2367</v>
      </c>
      <c r="B971" s="123">
        <v>1527702.0</v>
      </c>
      <c r="C971" s="124" t="s">
        <v>2368</v>
      </c>
      <c r="D971" s="125"/>
      <c r="E971" s="126">
        <v>0.21</v>
      </c>
      <c r="F971" s="127"/>
      <c r="G971" s="127"/>
      <c r="H971" s="127"/>
      <c r="I971" s="128"/>
      <c r="K971" s="105" t="str">
        <f>IFERROR(__xludf.DUMMYFUNCTION("if(A971="""","""",substitute(SUBSTITUTE(index(importhtml(""http://finviz.com/quote.ashx?t=""&amp;A971,""table"",10),7,2),""*"",""""),""-"",""0.00""))"),"Loading...")</f>
        <v>Loading...</v>
      </c>
      <c r="L971" s="129">
        <v>3.5872482E7</v>
      </c>
      <c r="M971" s="99">
        <v>0.26</v>
      </c>
    </row>
    <row r="972">
      <c r="A972" s="122" t="s">
        <v>2369</v>
      </c>
      <c r="B972" s="123">
        <v>1886799.0</v>
      </c>
      <c r="C972" s="124" t="s">
        <v>2370</v>
      </c>
      <c r="D972" s="125"/>
      <c r="E972" s="126">
        <v>0.21</v>
      </c>
      <c r="F972" s="127"/>
      <c r="G972" s="127"/>
      <c r="H972" s="127"/>
      <c r="I972" s="128"/>
      <c r="K972" s="105" t="str">
        <f>IFERROR(__xludf.DUMMYFUNCTION("if(A972="""","""",substitute(SUBSTITUTE(index(importhtml(""http://finviz.com/quote.ashx?t=""&amp;A972,""table"",10),7,2),""*"",""""),""-"",""0.00""))"),"Loading...")</f>
        <v>Loading...</v>
      </c>
      <c r="L972" s="129">
        <v>3.8947302E7</v>
      </c>
      <c r="M972" s="99" t="str">
        <f>IFERROR(__xludf.DUMMYFUNCTION("GOOGLEFINANCE(A972,""beta"")"),"#N/A")</f>
        <v>#N/A</v>
      </c>
    </row>
    <row r="973">
      <c r="A973" s="122" t="s">
        <v>2371</v>
      </c>
      <c r="B973" s="123">
        <v>1841675.0</v>
      </c>
      <c r="C973" s="124" t="s">
        <v>2372</v>
      </c>
      <c r="D973" s="125"/>
      <c r="E973" s="126">
        <v>0.21</v>
      </c>
      <c r="F973" s="127"/>
      <c r="G973" s="127"/>
      <c r="H973" s="127"/>
      <c r="I973" s="128"/>
      <c r="K973" s="105" t="str">
        <f>IFERROR(__xludf.DUMMYFUNCTION("if(A973="""","""",substitute(SUBSTITUTE(index(importhtml(""http://finviz.com/quote.ashx?t=""&amp;A973,""table"",10),7,2),""*"",""""),""-"",""0.00""))"),"Loading...")</f>
        <v>Loading...</v>
      </c>
      <c r="L973" s="129">
        <v>1.07132714E8</v>
      </c>
      <c r="M973" s="99">
        <v>2.26</v>
      </c>
    </row>
    <row r="974">
      <c r="A974" s="122" t="s">
        <v>2373</v>
      </c>
      <c r="B974" s="123">
        <v>1861841.0</v>
      </c>
      <c r="C974" s="124" t="s">
        <v>2374</v>
      </c>
      <c r="D974" s="125"/>
      <c r="E974" s="126">
        <v>0.21</v>
      </c>
      <c r="F974" s="127"/>
      <c r="G974" s="127"/>
      <c r="H974" s="127"/>
      <c r="I974" s="128"/>
      <c r="K974" s="105" t="str">
        <f>IFERROR(__xludf.DUMMYFUNCTION("if(A974="""","""",substitute(SUBSTITUTE(index(importhtml(""http://finviz.com/quote.ashx?t=""&amp;A974,""table"",10),7,2),""*"",""""),""-"",""0.00""))"),"Loading...")</f>
        <v>Loading...</v>
      </c>
      <c r="L974" s="129">
        <v>1.42498673E8</v>
      </c>
      <c r="M974" s="99">
        <v>1.05</v>
      </c>
    </row>
    <row r="975">
      <c r="A975" s="122" t="s">
        <v>2375</v>
      </c>
      <c r="B975" s="123">
        <v>790273.0</v>
      </c>
      <c r="C975" s="124" t="s">
        <v>2376</v>
      </c>
      <c r="D975" s="125"/>
      <c r="E975" s="126">
        <v>0.22</v>
      </c>
      <c r="F975" s="127"/>
      <c r="G975" s="127"/>
      <c r="H975" s="127"/>
      <c r="I975" s="128"/>
      <c r="K975" s="105" t="str">
        <f>IFERROR(__xludf.DUMMYFUNCTION("if(A975="""","""",substitute(SUBSTITUTE(index(importhtml(""http://finviz.com/quote.ashx?t=""&amp;A975,""table"",10),7,2),""*"",""""),""-"",""0.00""))"),"Loading...")</f>
        <v>Loading...</v>
      </c>
      <c r="L975" s="129">
        <v>195490.0</v>
      </c>
      <c r="M975" s="99">
        <v>2.53</v>
      </c>
    </row>
    <row r="976">
      <c r="A976" s="122" t="s">
        <v>2377</v>
      </c>
      <c r="B976" s="123">
        <v>1291855.0</v>
      </c>
      <c r="C976" s="124" t="s">
        <v>2378</v>
      </c>
      <c r="D976" s="125"/>
      <c r="E976" s="126">
        <v>0.22</v>
      </c>
      <c r="F976" s="127"/>
      <c r="G976" s="127"/>
      <c r="H976" s="127"/>
      <c r="I976" s="128"/>
      <c r="K976" s="105" t="str">
        <f>IFERROR(__xludf.DUMMYFUNCTION("if(A976="""","""",substitute(SUBSTITUTE(index(importhtml(""http://finviz.com/quote.ashx?t=""&amp;A976,""table"",10),7,2),""*"",""""),""-"",""0.00""))"),"Loading...")</f>
        <v>Loading...</v>
      </c>
      <c r="L976" s="129">
        <v>2045977.0</v>
      </c>
      <c r="M976" s="99">
        <v>0.32</v>
      </c>
    </row>
    <row r="977">
      <c r="A977" s="122" t="s">
        <v>2379</v>
      </c>
      <c r="B977" s="123">
        <v>1358190.0</v>
      </c>
      <c r="C977" s="124" t="s">
        <v>2380</v>
      </c>
      <c r="D977" s="125"/>
      <c r="E977" s="126">
        <v>0.22</v>
      </c>
      <c r="F977" s="127"/>
      <c r="G977" s="127"/>
      <c r="H977" s="127"/>
      <c r="I977" s="128"/>
      <c r="K977" s="105" t="str">
        <f>IFERROR(__xludf.DUMMYFUNCTION("if(A977="""","""",substitute(SUBSTITUTE(index(importhtml(""http://finviz.com/quote.ashx?t=""&amp;A977,""table"",10),7,2),""*"",""""),""-"",""0.00""))"),"Loading...")</f>
        <v>Loading...</v>
      </c>
      <c r="L977" s="129">
        <v>2235686.0</v>
      </c>
      <c r="M977" s="99">
        <v>-0.23</v>
      </c>
    </row>
    <row r="978">
      <c r="A978" s="122" t="s">
        <v>2381</v>
      </c>
      <c r="B978" s="123">
        <v>1731727.0</v>
      </c>
      <c r="C978" s="124" t="s">
        <v>2382</v>
      </c>
      <c r="D978" s="125"/>
      <c r="E978" s="126">
        <v>0.22</v>
      </c>
      <c r="F978" s="127"/>
      <c r="G978" s="127"/>
      <c r="H978" s="127"/>
      <c r="I978" s="128"/>
      <c r="K978" s="105" t="str">
        <f>IFERROR(__xludf.DUMMYFUNCTION("if(A978="""","""",substitute(SUBSTITUTE(index(importhtml(""http://finviz.com/quote.ashx?t=""&amp;A978,""table"",10),7,2),""*"",""""),""-"",""0.00""))"),"Loading...")</f>
        <v>Loading...</v>
      </c>
      <c r="L978" s="129">
        <v>2399930.0</v>
      </c>
      <c r="M978" s="99">
        <f>IFERROR(__xludf.DUMMYFUNCTION("GOOGLEFINANCE(A978,""beta"")"),-0.05)</f>
        <v>-0.05</v>
      </c>
    </row>
    <row r="979">
      <c r="A979" s="122" t="s">
        <v>2383</v>
      </c>
      <c r="B979" s="123">
        <v>1625285.0</v>
      </c>
      <c r="C979" s="124" t="s">
        <v>2384</v>
      </c>
      <c r="D979" s="125"/>
      <c r="E979" s="126">
        <v>0.22</v>
      </c>
      <c r="F979" s="127"/>
      <c r="G979" s="127"/>
      <c r="H979" s="127"/>
      <c r="I979" s="128"/>
      <c r="K979" s="105" t="str">
        <f>IFERROR(__xludf.DUMMYFUNCTION("if(A979="""","""",substitute(SUBSTITUTE(index(importhtml(""http://finviz.com/quote.ashx?t=""&amp;A979,""table"",10),7,2),""*"",""""),""-"",""0.00""))"),"Loading...")</f>
        <v>Loading...</v>
      </c>
      <c r="L979" s="129">
        <v>2645060.0</v>
      </c>
      <c r="M979" s="99" t="str">
        <f>IFERROR(__xludf.DUMMYFUNCTION("GOOGLEFINANCE(A979,""beta"")"),"#N/A")</f>
        <v>#N/A</v>
      </c>
    </row>
    <row r="980">
      <c r="A980" s="122" t="s">
        <v>2385</v>
      </c>
      <c r="B980" s="123">
        <v>1136174.0</v>
      </c>
      <c r="C980" s="124" t="s">
        <v>2386</v>
      </c>
      <c r="D980" s="125"/>
      <c r="E980" s="126">
        <v>0.22</v>
      </c>
      <c r="F980" s="127"/>
      <c r="G980" s="127"/>
      <c r="H980" s="127"/>
      <c r="I980" s="128"/>
      <c r="K980" s="105" t="str">
        <f>IFERROR(__xludf.DUMMYFUNCTION("if(A980="""","""",substitute(SUBSTITUTE(index(importhtml(""http://finviz.com/quote.ashx?t=""&amp;A980,""table"",10),7,2),""*"",""""),""-"",""0.00""))"),"Loading...")</f>
        <v>Loading...</v>
      </c>
      <c r="L980" s="129">
        <v>6204689.0</v>
      </c>
      <c r="M980" s="99">
        <v>2.27</v>
      </c>
    </row>
    <row r="981">
      <c r="A981" s="122" t="s">
        <v>2387</v>
      </c>
      <c r="B981" s="123">
        <v>736012.0</v>
      </c>
      <c r="C981" s="124" t="s">
        <v>2388</v>
      </c>
      <c r="D981" s="125"/>
      <c r="E981" s="126">
        <v>0.22</v>
      </c>
      <c r="F981" s="127"/>
      <c r="G981" s="127"/>
      <c r="H981" s="127"/>
      <c r="I981" s="128"/>
      <c r="K981" s="105" t="str">
        <f>IFERROR(__xludf.DUMMYFUNCTION("if(A981="""","""",substitute(SUBSTITUTE(index(importhtml(""http://finviz.com/quote.ashx?t=""&amp;A981,""table"",10),7,2),""*"",""""),""-"",""0.00""))"),"Loading...")</f>
        <v>Loading...</v>
      </c>
      <c r="L981" s="129">
        <v>7921138.0</v>
      </c>
      <c r="M981" s="99">
        <v>0.56</v>
      </c>
    </row>
    <row r="982">
      <c r="A982" s="122" t="s">
        <v>2389</v>
      </c>
      <c r="B982" s="123">
        <v>1739174.0</v>
      </c>
      <c r="C982" s="124" t="s">
        <v>2390</v>
      </c>
      <c r="D982" s="125"/>
      <c r="E982" s="126">
        <v>0.22</v>
      </c>
      <c r="F982" s="127"/>
      <c r="G982" s="127"/>
      <c r="H982" s="127"/>
      <c r="I982" s="128"/>
      <c r="K982" s="105" t="str">
        <f>IFERROR(__xludf.DUMMYFUNCTION("if(A982="""","""",substitute(SUBSTITUTE(index(importhtml(""http://finviz.com/quote.ashx?t=""&amp;A982,""table"",10),7,2),""*"",""""),""-"",""0.00""))"),"Loading...")</f>
        <v>Loading...</v>
      </c>
      <c r="L982" s="129">
        <v>1.0161518E7</v>
      </c>
      <c r="M982" s="99">
        <v>1.19</v>
      </c>
    </row>
    <row r="983">
      <c r="A983" s="122" t="s">
        <v>2391</v>
      </c>
      <c r="B983" s="123">
        <v>1634447.0</v>
      </c>
      <c r="C983" s="124" t="s">
        <v>2392</v>
      </c>
      <c r="D983" s="125"/>
      <c r="E983" s="126">
        <v>0.22</v>
      </c>
      <c r="F983" s="127"/>
      <c r="G983" s="127"/>
      <c r="H983" s="127"/>
      <c r="I983" s="128"/>
      <c r="K983" s="105" t="str">
        <f>IFERROR(__xludf.DUMMYFUNCTION("if(A983="""","""",substitute(SUBSTITUTE(index(importhtml(""http://finviz.com/quote.ashx?t=""&amp;A983,""table"",10),7,2),""*"",""""),""-"",""0.00""))"),"Loading...")</f>
        <v>Loading...</v>
      </c>
      <c r="L983" s="129">
        <v>1.0573812E7</v>
      </c>
      <c r="M983" s="99">
        <v>1.3</v>
      </c>
    </row>
    <row r="984">
      <c r="A984" s="122" t="s">
        <v>2393</v>
      </c>
      <c r="B984" s="123">
        <v>1172631.0</v>
      </c>
      <c r="C984" s="124" t="s">
        <v>2394</v>
      </c>
      <c r="D984" s="125"/>
      <c r="E984" s="126">
        <v>0.22</v>
      </c>
      <c r="F984" s="127"/>
      <c r="G984" s="127"/>
      <c r="H984" s="127"/>
      <c r="I984" s="128"/>
      <c r="K984" s="105" t="str">
        <f>IFERROR(__xludf.DUMMYFUNCTION("if(A984="""","""",substitute(SUBSTITUTE(index(importhtml(""http://finviz.com/quote.ashx?t=""&amp;A984,""table"",10),7,2),""*"",""""),""-"",""0.00""))"),"Loading...")</f>
        <v>Loading...</v>
      </c>
      <c r="L984" s="129">
        <v>1.2566358E7</v>
      </c>
      <c r="M984" s="99">
        <v>1.55</v>
      </c>
    </row>
    <row r="985">
      <c r="A985" s="122" t="s">
        <v>2395</v>
      </c>
      <c r="B985" s="123">
        <v>1636051.0</v>
      </c>
      <c r="C985" s="124" t="s">
        <v>2396</v>
      </c>
      <c r="D985" s="125"/>
      <c r="E985" s="126">
        <v>0.22</v>
      </c>
      <c r="F985" s="127"/>
      <c r="G985" s="127"/>
      <c r="H985" s="127"/>
      <c r="I985" s="128"/>
      <c r="K985" s="105" t="str">
        <f>IFERROR(__xludf.DUMMYFUNCTION("if(A985="""","""",substitute(SUBSTITUTE(index(importhtml(""http://finviz.com/quote.ashx?t=""&amp;A985,""table"",10),7,2),""*"",""""),""-"",""0.00""))"),"Loading...")</f>
        <v>Loading...</v>
      </c>
      <c r="L985" s="129">
        <v>1.460159E7</v>
      </c>
      <c r="M985" s="99" t="str">
        <f>IFERROR(__xludf.DUMMYFUNCTION("GOOGLEFINANCE(A985,""beta"")"),"#N/A")</f>
        <v>#N/A</v>
      </c>
    </row>
    <row r="986">
      <c r="A986" s="122" t="s">
        <v>2397</v>
      </c>
      <c r="B986" s="123">
        <v>1807192.0</v>
      </c>
      <c r="C986" s="124" t="s">
        <v>2398</v>
      </c>
      <c r="D986" s="125"/>
      <c r="E986" s="126">
        <v>0.22</v>
      </c>
      <c r="F986" s="127"/>
      <c r="G986" s="127"/>
      <c r="H986" s="127"/>
      <c r="I986" s="128"/>
      <c r="K986" s="105" t="str">
        <f>IFERROR(__xludf.DUMMYFUNCTION("if(A986="""","""",substitute(SUBSTITUTE(index(importhtml(""http://finviz.com/quote.ashx?t=""&amp;A986,""table"",10),7,2),""*"",""""),""-"",""0.00""))"),"Loading...")</f>
        <v>Loading...</v>
      </c>
      <c r="L986" s="129">
        <v>1.9881045E7</v>
      </c>
      <c r="M986" s="99">
        <v>1.32</v>
      </c>
    </row>
    <row r="987">
      <c r="A987" s="122" t="s">
        <v>2399</v>
      </c>
      <c r="B987" s="123">
        <v>1580864.0</v>
      </c>
      <c r="C987" s="124" t="s">
        <v>2400</v>
      </c>
      <c r="D987" s="125"/>
      <c r="E987" s="126">
        <v>0.22</v>
      </c>
      <c r="F987" s="127"/>
      <c r="G987" s="127"/>
      <c r="H987" s="127"/>
      <c r="I987" s="128"/>
      <c r="K987" s="105" t="str">
        <f>IFERROR(__xludf.DUMMYFUNCTION("if(A987="""","""",substitute(SUBSTITUTE(index(importhtml(""http://finviz.com/quote.ashx?t=""&amp;A987,""table"",10),7,2),""*"",""""),""-"",""0.00""))"),"Loading...")</f>
        <v>Loading...</v>
      </c>
      <c r="L987" s="129">
        <v>3.1513795E7</v>
      </c>
      <c r="M987" s="99">
        <v>2.04</v>
      </c>
    </row>
    <row r="988">
      <c r="A988" s="122" t="s">
        <v>2401</v>
      </c>
      <c r="B988" s="123">
        <v>312070.0</v>
      </c>
      <c r="C988" s="124" t="s">
        <v>2402</v>
      </c>
      <c r="D988" s="125"/>
      <c r="E988" s="126">
        <v>0.22</v>
      </c>
      <c r="F988" s="127"/>
      <c r="G988" s="127"/>
      <c r="H988" s="127"/>
      <c r="I988" s="128"/>
      <c r="K988" s="105" t="str">
        <f>IFERROR(__xludf.DUMMYFUNCTION("if(A988="""","""",substitute(SUBSTITUTE(index(importhtml(""http://finviz.com/quote.ashx?t=""&amp;A988,""table"",10),7,2),""*"",""""),""-"",""0.00""))"),"Loading...")</f>
        <v>Loading...</v>
      </c>
      <c r="L988" s="129">
        <v>3.4020865E7</v>
      </c>
      <c r="M988" s="99">
        <v>1.79</v>
      </c>
    </row>
    <row r="989">
      <c r="A989" s="122" t="s">
        <v>2403</v>
      </c>
      <c r="B989" s="123">
        <v>1276531.0</v>
      </c>
      <c r="C989" s="124" t="s">
        <v>2404</v>
      </c>
      <c r="D989" s="125"/>
      <c r="E989" s="126">
        <v>0.22</v>
      </c>
      <c r="F989" s="127"/>
      <c r="G989" s="127"/>
      <c r="H989" s="127"/>
      <c r="I989" s="128"/>
      <c r="K989" s="105" t="str">
        <f>IFERROR(__xludf.DUMMYFUNCTION("if(A989="""","""",substitute(SUBSTITUTE(index(importhtml(""http://finviz.com/quote.ashx?t=""&amp;A989,""table"",10),7,2),""*"",""""),""-"",""0.00""))"),"Loading...")</f>
        <v>Loading...</v>
      </c>
      <c r="L989" s="129">
        <v>5.793162E7</v>
      </c>
      <c r="M989" s="99">
        <v>-1.11</v>
      </c>
    </row>
    <row r="990">
      <c r="A990" s="122" t="s">
        <v>2405</v>
      </c>
      <c r="B990" s="123">
        <v>880242.0</v>
      </c>
      <c r="C990" s="124" t="s">
        <v>2406</v>
      </c>
      <c r="D990" s="125"/>
      <c r="E990" s="126">
        <v>0.22</v>
      </c>
      <c r="F990" s="127"/>
      <c r="G990" s="127"/>
      <c r="H990" s="127"/>
      <c r="I990" s="128"/>
      <c r="K990" s="105" t="str">
        <f>IFERROR(__xludf.DUMMYFUNCTION("if(A990="""","""",substitute(SUBSTITUTE(index(importhtml(""http://finviz.com/quote.ashx?t=""&amp;A990,""table"",10),7,2),""*"",""""),""-"",""0.00""))"),"Loading...")</f>
        <v>Loading...</v>
      </c>
      <c r="L990" s="129">
        <v>6.2924266E7</v>
      </c>
      <c r="M990" s="99">
        <v>0.06</v>
      </c>
    </row>
    <row r="991">
      <c r="A991" s="122" t="s">
        <v>2407</v>
      </c>
      <c r="B991" s="123">
        <v>1799191.0</v>
      </c>
      <c r="C991" s="124" t="s">
        <v>2408</v>
      </c>
      <c r="D991" s="125"/>
      <c r="E991" s="126">
        <v>0.22</v>
      </c>
      <c r="F991" s="127"/>
      <c r="G991" s="127"/>
      <c r="H991" s="127"/>
      <c r="I991" s="128"/>
      <c r="K991" s="105" t="str">
        <f>IFERROR(__xludf.DUMMYFUNCTION("if(A991="""","""",substitute(SUBSTITUTE(index(importhtml(""http://finviz.com/quote.ashx?t=""&amp;A991,""table"",10),7,2),""*"",""""),""-"",""0.00""))"),"Loading...")</f>
        <v>Loading...</v>
      </c>
      <c r="L991" s="129">
        <v>1.57822782E8</v>
      </c>
      <c r="M991" s="99">
        <v>1.92</v>
      </c>
    </row>
    <row r="992">
      <c r="A992" s="122" t="s">
        <v>2409</v>
      </c>
      <c r="B992" s="123">
        <v>1434737.0</v>
      </c>
      <c r="C992" s="124" t="s">
        <v>2410</v>
      </c>
      <c r="D992" s="125"/>
      <c r="E992" s="126">
        <v>0.23</v>
      </c>
      <c r="F992" s="127"/>
      <c r="G992" s="127"/>
      <c r="H992" s="127"/>
      <c r="I992" s="128"/>
      <c r="K992" s="105" t="str">
        <f>IFERROR(__xludf.DUMMYFUNCTION("if(A992="""","""",substitute(SUBSTITUTE(index(importhtml(""http://finviz.com/quote.ashx?t=""&amp;A992,""table"",10),7,2),""*"",""""),""-"",""0.00""))"),"Loading...")</f>
        <v>Loading...</v>
      </c>
      <c r="L992" s="129">
        <v>1743354.0</v>
      </c>
      <c r="M992" s="99">
        <v>0.51</v>
      </c>
    </row>
    <row r="993">
      <c r="A993" s="122" t="s">
        <v>2411</v>
      </c>
      <c r="B993" s="123">
        <v>1687542.0</v>
      </c>
      <c r="C993" s="124" t="s">
        <v>2412</v>
      </c>
      <c r="D993" s="125"/>
      <c r="E993" s="126">
        <v>0.23</v>
      </c>
      <c r="F993" s="127"/>
      <c r="G993" s="127"/>
      <c r="H993" s="127"/>
      <c r="I993" s="128"/>
      <c r="K993" s="105" t="str">
        <f>IFERROR(__xludf.DUMMYFUNCTION("if(A993="""","""",substitute(SUBSTITUTE(index(importhtml(""http://finviz.com/quote.ashx?t=""&amp;A993,""table"",10),7,2),""*"",""""),""-"",""0.00""))"),"Loading...")</f>
        <v>Loading...</v>
      </c>
      <c r="L993" s="129">
        <v>2435975.0</v>
      </c>
      <c r="M993" s="99">
        <v>1.88</v>
      </c>
    </row>
    <row r="994">
      <c r="A994" s="122" t="s">
        <v>2413</v>
      </c>
      <c r="B994" s="123">
        <v>1121702.0</v>
      </c>
      <c r="C994" s="124" t="s">
        <v>2414</v>
      </c>
      <c r="D994" s="125"/>
      <c r="E994" s="126">
        <v>0.23</v>
      </c>
      <c r="F994" s="127"/>
      <c r="G994" s="127"/>
      <c r="H994" s="127"/>
      <c r="I994" s="128"/>
      <c r="K994" s="105" t="str">
        <f>IFERROR(__xludf.DUMMYFUNCTION("if(A994="""","""",substitute(SUBSTITUTE(index(importhtml(""http://finviz.com/quote.ashx?t=""&amp;A994,""table"",10),7,2),""*"",""""),""-"",""0.00""))"),"Loading...")</f>
        <v>Loading...</v>
      </c>
      <c r="L994" s="129">
        <v>2805906.0</v>
      </c>
      <c r="M994" s="99">
        <v>1.55</v>
      </c>
    </row>
    <row r="995">
      <c r="A995" s="122" t="s">
        <v>2415</v>
      </c>
      <c r="B995" s="123">
        <v>1908233.0</v>
      </c>
      <c r="C995" s="124" t="s">
        <v>2416</v>
      </c>
      <c r="D995" s="125"/>
      <c r="E995" s="126">
        <v>0.23</v>
      </c>
      <c r="F995" s="127"/>
      <c r="G995" s="127"/>
      <c r="H995" s="127"/>
      <c r="I995" s="128"/>
      <c r="K995" s="105" t="str">
        <f>IFERROR(__xludf.DUMMYFUNCTION("if(A995="""","""",substitute(SUBSTITUTE(index(importhtml(""http://finviz.com/quote.ashx?t=""&amp;A995,""table"",10),7,2),""*"",""""),""-"",""0.00""))"),"Loading...")</f>
        <v>Loading...</v>
      </c>
      <c r="L995" s="129">
        <v>2889090.0</v>
      </c>
      <c r="M995" s="99">
        <v>0.69</v>
      </c>
    </row>
    <row r="996">
      <c r="A996" s="122" t="s">
        <v>2417</v>
      </c>
      <c r="B996" s="123">
        <v>1092570.0</v>
      </c>
      <c r="C996" s="124" t="s">
        <v>2418</v>
      </c>
      <c r="D996" s="125"/>
      <c r="E996" s="126">
        <v>0.23</v>
      </c>
      <c r="F996" s="127"/>
      <c r="G996" s="127"/>
      <c r="H996" s="127"/>
      <c r="I996" s="128"/>
      <c r="K996" s="105" t="str">
        <f>IFERROR(__xludf.DUMMYFUNCTION("if(A996="""","""",substitute(SUBSTITUTE(index(importhtml(""http://finviz.com/quote.ashx?t=""&amp;A996,""table"",10),7,2),""*"",""""),""-"",""0.00""))"),"Loading...")</f>
        <v>Loading...</v>
      </c>
      <c r="L996" s="129">
        <v>4548881.0</v>
      </c>
      <c r="M996" s="99">
        <v>0.26</v>
      </c>
    </row>
    <row r="997">
      <c r="A997" s="122" t="s">
        <v>2419</v>
      </c>
      <c r="B997" s="123">
        <v>1898766.0</v>
      </c>
      <c r="C997" s="124" t="s">
        <v>2420</v>
      </c>
      <c r="D997" s="125"/>
      <c r="E997" s="126">
        <v>0.23</v>
      </c>
      <c r="F997" s="127"/>
      <c r="G997" s="127"/>
      <c r="H997" s="127"/>
      <c r="I997" s="128"/>
      <c r="K997" s="105" t="str">
        <f>IFERROR(__xludf.DUMMYFUNCTION("if(A997="""","""",substitute(SUBSTITUTE(index(importhtml(""http://finviz.com/quote.ashx?t=""&amp;A997,""table"",10),7,2),""*"",""""),""-"",""0.00""))"),"Loading...")</f>
        <v>Loading...</v>
      </c>
      <c r="L997" s="129">
        <v>7330227.0</v>
      </c>
      <c r="M997" s="99" t="str">
        <f>IFERROR(__xludf.DUMMYFUNCTION("GOOGLEFINANCE(A997,""beta"")"),"#N/A")</f>
        <v>#N/A</v>
      </c>
    </row>
    <row r="998">
      <c r="A998" s="122" t="s">
        <v>2421</v>
      </c>
      <c r="B998" s="123">
        <v>1762359.0</v>
      </c>
      <c r="C998" s="124" t="s">
        <v>2422</v>
      </c>
      <c r="D998" s="125"/>
      <c r="E998" s="126">
        <v>0.23</v>
      </c>
      <c r="F998" s="127"/>
      <c r="G998" s="127"/>
      <c r="H998" s="127"/>
      <c r="I998" s="128"/>
      <c r="K998" s="105" t="str">
        <f>IFERROR(__xludf.DUMMYFUNCTION("if(A998="""","""",substitute(SUBSTITUTE(index(importhtml(""http://finviz.com/quote.ashx?t=""&amp;A998,""table"",10),7,2),""*"",""""),""-"",""0.00""))"),"Loading...")</f>
        <v>Loading...</v>
      </c>
      <c r="L998" s="129">
        <v>1.5006875E7</v>
      </c>
      <c r="M998" s="99">
        <v>0.2</v>
      </c>
    </row>
    <row r="999">
      <c r="A999" s="122" t="s">
        <v>2423</v>
      </c>
      <c r="B999" s="123">
        <v>1512922.0</v>
      </c>
      <c r="C999" s="124" t="s">
        <v>2424</v>
      </c>
      <c r="D999" s="125"/>
      <c r="E999" s="126">
        <v>0.23</v>
      </c>
      <c r="F999" s="127"/>
      <c r="G999" s="127"/>
      <c r="H999" s="127"/>
      <c r="I999" s="128"/>
      <c r="K999" s="105" t="str">
        <f>IFERROR(__xludf.DUMMYFUNCTION("if(A999="""","""",substitute(SUBSTITUTE(index(importhtml(""http://finviz.com/quote.ashx?t=""&amp;A999,""table"",10),7,2),""*"",""""),""-"",""0.00""))"),"Loading...")</f>
        <v>Loading...</v>
      </c>
      <c r="L999" s="129">
        <v>1.8081033E7</v>
      </c>
      <c r="M999" s="99">
        <f>IFERROR(__xludf.DUMMYFUNCTION("GOOGLEFINANCE(A999,""beta"")"),-0.44)</f>
        <v>-0.44</v>
      </c>
    </row>
    <row r="1000">
      <c r="A1000" s="122" t="s">
        <v>2425</v>
      </c>
      <c r="B1000" s="123">
        <v>1101433.0</v>
      </c>
      <c r="C1000" s="124" t="s">
        <v>2426</v>
      </c>
      <c r="D1000" s="125"/>
      <c r="E1000" s="126">
        <v>0.23</v>
      </c>
      <c r="F1000" s="127"/>
      <c r="G1000" s="127"/>
      <c r="H1000" s="127"/>
      <c r="I1000" s="128"/>
      <c r="K1000" s="105" t="str">
        <f>IFERROR(__xludf.DUMMYFUNCTION("if(A1000="""","""",substitute(SUBSTITUTE(index(importhtml(""http://finviz.com/quote.ashx?t=""&amp;A1000,""table"",10),7,2),""*"",""""),""-"",""0.00""))"),"Loading...")</f>
        <v>Loading...</v>
      </c>
      <c r="L1000" s="129">
        <v>2.0583654E7</v>
      </c>
      <c r="M1000" s="99">
        <v>0.57</v>
      </c>
    </row>
    <row r="1001">
      <c r="A1001" s="122" t="s">
        <v>2427</v>
      </c>
      <c r="B1001" s="123">
        <v>101538.0</v>
      </c>
      <c r="C1001" s="124" t="s">
        <v>2428</v>
      </c>
      <c r="D1001" s="125"/>
      <c r="E1001" s="126">
        <v>0.23</v>
      </c>
      <c r="F1001" s="127"/>
      <c r="G1001" s="127"/>
      <c r="H1001" s="127"/>
      <c r="I1001" s="128"/>
      <c r="K1001" s="105" t="str">
        <f>IFERROR(__xludf.DUMMYFUNCTION("if(A1001="""","""",substitute(SUBSTITUTE(index(importhtml(""http://finviz.com/quote.ashx?t=""&amp;A1001,""table"",10),7,2),""*"",""""),""-"",""0.00""))"),"Loading...")</f>
        <v>Loading...</v>
      </c>
      <c r="L1001" s="129">
        <v>2.3999489E7</v>
      </c>
      <c r="M1001" s="99">
        <v>0.52</v>
      </c>
    </row>
    <row r="1002">
      <c r="A1002" s="122" t="s">
        <v>2429</v>
      </c>
      <c r="B1002" s="123">
        <v>1628945.0</v>
      </c>
      <c r="C1002" s="124" t="s">
        <v>2430</v>
      </c>
      <c r="D1002" s="125"/>
      <c r="E1002" s="126">
        <v>0.23</v>
      </c>
      <c r="F1002" s="127"/>
      <c r="G1002" s="127"/>
      <c r="H1002" s="127"/>
      <c r="I1002" s="128"/>
      <c r="K1002" s="105" t="str">
        <f>IFERROR(__xludf.DUMMYFUNCTION("if(A1002="""","""",substitute(SUBSTITUTE(index(importhtml(""http://finviz.com/quote.ashx?t=""&amp;A1002,""table"",10),7,2),""*"",""""),""-"",""0.00""))"),"Loading...")</f>
        <v>Loading...</v>
      </c>
      <c r="L1002" s="129">
        <v>3.6007327E7</v>
      </c>
      <c r="M1002" s="99" t="str">
        <f>IFERROR(__xludf.DUMMYFUNCTION("GOOGLEFINANCE(A1002,""beta"")"),"#N/A")</f>
        <v>#N/A</v>
      </c>
    </row>
    <row r="1003">
      <c r="A1003" s="122" t="s">
        <v>2431</v>
      </c>
      <c r="B1003" s="123">
        <v>1419806.0</v>
      </c>
      <c r="C1003" s="124" t="s">
        <v>2432</v>
      </c>
      <c r="D1003" s="125"/>
      <c r="E1003" s="126">
        <v>0.23</v>
      </c>
      <c r="F1003" s="127"/>
      <c r="G1003" s="127"/>
      <c r="H1003" s="127"/>
      <c r="I1003" s="128"/>
      <c r="K1003" s="105" t="str">
        <f>IFERROR(__xludf.DUMMYFUNCTION("if(A1003="""","""",substitute(SUBSTITUTE(index(importhtml(""http://finviz.com/quote.ashx?t=""&amp;A1003,""table"",10),7,2),""*"",""""),""-"",""0.00""))"),"Loading...")</f>
        <v>Loading...</v>
      </c>
      <c r="L1003" s="129">
        <v>4.8212428E7</v>
      </c>
      <c r="M1003" s="99">
        <v>-0.28</v>
      </c>
    </row>
    <row r="1004">
      <c r="A1004" s="122" t="s">
        <v>2433</v>
      </c>
      <c r="B1004" s="123">
        <v>1096938.0</v>
      </c>
      <c r="C1004" s="124" t="s">
        <v>2434</v>
      </c>
      <c r="D1004" s="125"/>
      <c r="E1004" s="126">
        <v>0.23</v>
      </c>
      <c r="F1004" s="127"/>
      <c r="G1004" s="127"/>
      <c r="H1004" s="127"/>
      <c r="I1004" s="128"/>
      <c r="K1004" s="105" t="str">
        <f>IFERROR(__xludf.DUMMYFUNCTION("if(A1004="""","""",substitute(SUBSTITUTE(index(importhtml(""http://finviz.com/quote.ashx?t=""&amp;A1004,""table"",10),7,2),""*"",""""),""-"",""0.00""))"),"Loading...")</f>
        <v>Loading...</v>
      </c>
      <c r="L1004" s="129">
        <v>5.5886137E7</v>
      </c>
      <c r="M1004" s="99">
        <v>-0.22</v>
      </c>
    </row>
    <row r="1005">
      <c r="A1005" s="122" t="s">
        <v>2435</v>
      </c>
      <c r="B1005" s="123">
        <v>1286973.0</v>
      </c>
      <c r="C1005" s="124" t="s">
        <v>2436</v>
      </c>
      <c r="D1005" s="125"/>
      <c r="E1005" s="126">
        <v>0.23</v>
      </c>
      <c r="F1005" s="127"/>
      <c r="G1005" s="127"/>
      <c r="H1005" s="127"/>
      <c r="I1005" s="128"/>
      <c r="K1005" s="105" t="str">
        <f>IFERROR(__xludf.DUMMYFUNCTION("if(A1005="""","""",substitute(SUBSTITUTE(index(importhtml(""http://finviz.com/quote.ashx?t=""&amp;A1005,""table"",10),7,2),""*"",""""),""-"",""0.00""))"),"Loading...")</f>
        <v>Loading...</v>
      </c>
      <c r="L1005" s="129">
        <v>6.6179267E7</v>
      </c>
      <c r="M1005" s="99" t="str">
        <f>IFERROR(__xludf.DUMMYFUNCTION("GOOGLEFINANCE(A1005,""beta"")"),"#N/A")</f>
        <v>#N/A</v>
      </c>
    </row>
    <row r="1006">
      <c r="A1006" s="122" t="s">
        <v>2437</v>
      </c>
      <c r="B1006" s="123">
        <v>1398972.0</v>
      </c>
      <c r="C1006" s="124" t="s">
        <v>2438</v>
      </c>
      <c r="D1006" s="125"/>
      <c r="E1006" s="126">
        <v>0.23</v>
      </c>
      <c r="F1006" s="127"/>
      <c r="G1006" s="127"/>
      <c r="H1006" s="127"/>
      <c r="I1006" s="128"/>
      <c r="K1006" s="105" t="str">
        <f>IFERROR(__xludf.DUMMYFUNCTION("if(A1006="""","""",substitute(SUBSTITUTE(index(importhtml(""http://finviz.com/quote.ashx?t=""&amp;A1006,""table"",10),7,2),""*"",""""),""-"",""0.00""))"),"Loading...")</f>
        <v>Loading...</v>
      </c>
      <c r="L1006" s="129">
        <v>1.03547288E8</v>
      </c>
      <c r="M1006" s="99">
        <v>1.07</v>
      </c>
    </row>
    <row r="1007">
      <c r="A1007" s="122" t="s">
        <v>2439</v>
      </c>
      <c r="B1007" s="123">
        <v>1812234.0</v>
      </c>
      <c r="C1007" s="124" t="s">
        <v>2440</v>
      </c>
      <c r="D1007" s="125"/>
      <c r="E1007" s="126">
        <v>0.23</v>
      </c>
      <c r="F1007" s="127"/>
      <c r="G1007" s="127"/>
      <c r="H1007" s="127"/>
      <c r="I1007" s="128"/>
      <c r="K1007" s="105" t="str">
        <f>IFERROR(__xludf.DUMMYFUNCTION("if(A1007="""","""",substitute(SUBSTITUTE(index(importhtml(""http://finviz.com/quote.ashx?t=""&amp;A1007,""table"",10),7,2),""*"",""""),""-"",""0.00""))"),"Loading...")</f>
        <v>Loading...</v>
      </c>
      <c r="L1007" s="129">
        <v>1.41197621E8</v>
      </c>
      <c r="M1007" s="99" t="str">
        <f>IFERROR(__xludf.DUMMYFUNCTION("GOOGLEFINANCE(A1007,""beta"")"),"#N/A")</f>
        <v>#N/A</v>
      </c>
    </row>
    <row r="1008">
      <c r="A1008" s="122" t="s">
        <v>2441</v>
      </c>
      <c r="B1008" s="123">
        <v>898174.0</v>
      </c>
      <c r="C1008" s="124" t="s">
        <v>2442</v>
      </c>
      <c r="D1008" s="125"/>
      <c r="E1008" s="126">
        <v>0.23</v>
      </c>
      <c r="F1008" s="127"/>
      <c r="G1008" s="127"/>
      <c r="H1008" s="127"/>
      <c r="I1008" s="128"/>
      <c r="K1008" s="105" t="str">
        <f>IFERROR(__xludf.DUMMYFUNCTION("if(A1008="""","""",substitute(SUBSTITUTE(index(importhtml(""http://finviz.com/quote.ashx?t=""&amp;A1008,""table"",10),7,2),""*"",""""),""-"",""0.00""))"),"Loading...")</f>
        <v>Loading...</v>
      </c>
      <c r="L1008" s="129">
        <v>2.25837954E8</v>
      </c>
      <c r="M1008" s="99" t="str">
        <f>IFERROR(__xludf.DUMMYFUNCTION("GOOGLEFINANCE(A1008,""beta"")"),"#N/A")</f>
        <v>#N/A</v>
      </c>
    </row>
    <row r="1009">
      <c r="A1009" s="122" t="s">
        <v>2443</v>
      </c>
      <c r="B1009" s="123">
        <v>1805077.0</v>
      </c>
      <c r="C1009" s="124" t="s">
        <v>2444</v>
      </c>
      <c r="D1009" s="125"/>
      <c r="E1009" s="126">
        <v>0.23</v>
      </c>
      <c r="F1009" s="127"/>
      <c r="G1009" s="127"/>
      <c r="H1009" s="127"/>
      <c r="I1009" s="128"/>
      <c r="K1009" s="105" t="str">
        <f>IFERROR(__xludf.DUMMYFUNCTION("if(A1009="""","""",substitute(SUBSTITUTE(index(importhtml(""http://finviz.com/quote.ashx?t=""&amp;A1009,""table"",10),7,2),""*"",""""),""-"",""0.00""))"),"Loading...")</f>
        <v>Loading...</v>
      </c>
      <c r="L1009" s="129">
        <v>2.30942422E8</v>
      </c>
      <c r="M1009" s="99">
        <v>4.36</v>
      </c>
    </row>
    <row r="1010">
      <c r="A1010" s="122" t="s">
        <v>2445</v>
      </c>
      <c r="B1010" s="123">
        <v>1648087.0</v>
      </c>
      <c r="C1010" s="124" t="s">
        <v>550</v>
      </c>
      <c r="D1010" s="125"/>
      <c r="E1010" s="126">
        <v>0.24</v>
      </c>
      <c r="F1010" s="127"/>
      <c r="G1010" s="127"/>
      <c r="H1010" s="127"/>
      <c r="I1010" s="128"/>
      <c r="K1010" s="105" t="str">
        <f>IFERROR(__xludf.DUMMYFUNCTION("if(A1010="""","""",substitute(SUBSTITUTE(index(importhtml(""http://finviz.com/quote.ashx?t=""&amp;A1010,""table"",10),7,2),""*"",""""),""-"",""0.00""))"),"Loading...")</f>
        <v>Loading...</v>
      </c>
      <c r="L1010" s="129">
        <v>1247314.0</v>
      </c>
      <c r="M1010" s="99">
        <v>1.72</v>
      </c>
    </row>
    <row r="1011">
      <c r="A1011" s="122" t="s">
        <v>2446</v>
      </c>
      <c r="B1011" s="123">
        <v>1772720.0</v>
      </c>
      <c r="C1011" s="124" t="s">
        <v>2447</v>
      </c>
      <c r="D1011" s="125"/>
      <c r="E1011" s="126">
        <v>0.24</v>
      </c>
      <c r="F1011" s="127"/>
      <c r="G1011" s="127"/>
      <c r="H1011" s="127"/>
      <c r="I1011" s="128"/>
      <c r="K1011" s="105" t="str">
        <f>IFERROR(__xludf.DUMMYFUNCTION("if(A1011="""","""",substitute(SUBSTITUTE(index(importhtml(""http://finviz.com/quote.ashx?t=""&amp;A1011,""table"",10),7,2),""*"",""""),""-"",""0.00""))"),"Loading...")</f>
        <v>Loading...</v>
      </c>
      <c r="L1011" s="129">
        <v>1704440.0</v>
      </c>
      <c r="M1011" s="99">
        <v>0.08</v>
      </c>
    </row>
    <row r="1012">
      <c r="A1012" s="122" t="s">
        <v>2448</v>
      </c>
      <c r="B1012" s="123">
        <v>1591565.0</v>
      </c>
      <c r="C1012" s="124" t="s">
        <v>2449</v>
      </c>
      <c r="D1012" s="125"/>
      <c r="E1012" s="126">
        <v>0.24</v>
      </c>
      <c r="F1012" s="127"/>
      <c r="G1012" s="127"/>
      <c r="H1012" s="127"/>
      <c r="I1012" s="128"/>
      <c r="K1012" s="105" t="str">
        <f>IFERROR(__xludf.DUMMYFUNCTION("if(A1012="""","""",substitute(SUBSTITUTE(index(importhtml(""http://finviz.com/quote.ashx?t=""&amp;A1012,""table"",10),7,2),""*"",""""),""-"",""0.00""))"),"Loading...")</f>
        <v>Loading...</v>
      </c>
      <c r="L1012" s="129">
        <v>2364000.0</v>
      </c>
      <c r="M1012" s="99">
        <v>9.99</v>
      </c>
    </row>
    <row r="1013">
      <c r="A1013" s="122" t="s">
        <v>2450</v>
      </c>
      <c r="B1013" s="123">
        <v>1865127.0</v>
      </c>
      <c r="C1013" s="124" t="s">
        <v>2451</v>
      </c>
      <c r="D1013" s="125"/>
      <c r="E1013" s="126">
        <v>0.24</v>
      </c>
      <c r="F1013" s="127"/>
      <c r="G1013" s="127"/>
      <c r="H1013" s="127"/>
      <c r="I1013" s="128"/>
      <c r="K1013" s="105" t="str">
        <f>IFERROR(__xludf.DUMMYFUNCTION("if(A1013="""","""",substitute(SUBSTITUTE(index(importhtml(""http://finviz.com/quote.ashx?t=""&amp;A1013,""table"",10),7,2),""*"",""""),""-"",""0.00""))"),"Loading...")</f>
        <v>Loading...</v>
      </c>
      <c r="L1013" s="129">
        <v>4208640.0</v>
      </c>
      <c r="M1013" s="99" t="str">
        <f>IFERROR(__xludf.DUMMYFUNCTION("GOOGLEFINANCE(A1013,""beta"")"),"#N/A")</f>
        <v>#N/A</v>
      </c>
    </row>
    <row r="1014">
      <c r="A1014" s="122" t="s">
        <v>2452</v>
      </c>
      <c r="B1014" s="123">
        <v>1402328.0</v>
      </c>
      <c r="C1014" s="124" t="s">
        <v>2453</v>
      </c>
      <c r="D1014" s="125"/>
      <c r="E1014" s="126">
        <v>0.24</v>
      </c>
      <c r="F1014" s="127"/>
      <c r="G1014" s="127"/>
      <c r="H1014" s="127"/>
      <c r="I1014" s="128"/>
      <c r="K1014" s="105" t="str">
        <f>IFERROR(__xludf.DUMMYFUNCTION("if(A1014="""","""",substitute(SUBSTITUTE(index(importhtml(""http://finviz.com/quote.ashx?t=""&amp;A1014,""table"",10),7,2),""*"",""""),""-"",""0.00""))"),"Loading...")</f>
        <v>Loading...</v>
      </c>
      <c r="L1014" s="129">
        <v>6231548.0</v>
      </c>
      <c r="M1014" s="99">
        <v>-0.81</v>
      </c>
    </row>
    <row r="1015">
      <c r="A1015" s="122" t="s">
        <v>2454</v>
      </c>
      <c r="B1015" s="123">
        <v>1836242.0</v>
      </c>
      <c r="C1015" s="124" t="s">
        <v>2455</v>
      </c>
      <c r="D1015" s="125"/>
      <c r="E1015" s="126">
        <v>0.24</v>
      </c>
      <c r="F1015" s="127"/>
      <c r="G1015" s="127"/>
      <c r="H1015" s="127"/>
      <c r="I1015" s="128"/>
      <c r="K1015" s="105" t="str">
        <f>IFERROR(__xludf.DUMMYFUNCTION("if(A1015="""","""",substitute(SUBSTITUTE(index(importhtml(""http://finviz.com/quote.ashx?t=""&amp;A1015,""table"",10),7,2),""*"",""""),""-"",""0.00""))"),"Loading...")</f>
        <v>Loading...</v>
      </c>
      <c r="L1015" s="129">
        <v>1.0092316E7</v>
      </c>
      <c r="M1015" s="99">
        <f>IFERROR(__xludf.DUMMYFUNCTION("GOOGLEFINANCE(A1015,""beta"")"),0.04)</f>
        <v>0.04</v>
      </c>
    </row>
    <row r="1016">
      <c r="A1016" s="122" t="s">
        <v>2456</v>
      </c>
      <c r="B1016" s="123">
        <v>1160791.0</v>
      </c>
      <c r="C1016" s="124" t="s">
        <v>2457</v>
      </c>
      <c r="D1016" s="125"/>
      <c r="E1016" s="126">
        <v>0.24</v>
      </c>
      <c r="F1016" s="127"/>
      <c r="G1016" s="127"/>
      <c r="H1016" s="127"/>
      <c r="I1016" s="128"/>
      <c r="K1016" s="105" t="str">
        <f>IFERROR(__xludf.DUMMYFUNCTION("if(A1016="""","""",substitute(SUBSTITUTE(index(importhtml(""http://finviz.com/quote.ashx?t=""&amp;A1016,""table"",10),7,2),""*"",""""),""-"",""0.00""))"),"Loading...")</f>
        <v>Loading...</v>
      </c>
      <c r="L1016" s="129">
        <v>2.1474869E7</v>
      </c>
      <c r="M1016" s="99">
        <v>1.59</v>
      </c>
    </row>
    <row r="1017">
      <c r="A1017" s="122" t="s">
        <v>2458</v>
      </c>
      <c r="B1017" s="123">
        <v>356590.0</v>
      </c>
      <c r="C1017" s="124" t="s">
        <v>2459</v>
      </c>
      <c r="D1017" s="125"/>
      <c r="E1017" s="126">
        <v>0.24</v>
      </c>
      <c r="F1017" s="127"/>
      <c r="G1017" s="127"/>
      <c r="H1017" s="127"/>
      <c r="I1017" s="128"/>
      <c r="K1017" s="105" t="str">
        <f>IFERROR(__xludf.DUMMYFUNCTION("if(A1017="""","""",substitute(SUBSTITUTE(index(importhtml(""http://finviz.com/quote.ashx?t=""&amp;A1017,""table"",10),7,2),""*"",""""),""-"",""0.00""))"),"Loading...")</f>
        <v>Loading...</v>
      </c>
      <c r="L1017" s="129">
        <v>8.8294016E7</v>
      </c>
      <c r="M1017" s="99">
        <v>-1.95</v>
      </c>
    </row>
    <row r="1018">
      <c r="A1018" s="122" t="s">
        <v>2460</v>
      </c>
      <c r="B1018" s="123">
        <v>1840317.0</v>
      </c>
      <c r="C1018" s="124" t="s">
        <v>2461</v>
      </c>
      <c r="D1018" s="125"/>
      <c r="E1018" s="126">
        <v>0.24</v>
      </c>
      <c r="F1018" s="127"/>
      <c r="G1018" s="127"/>
      <c r="H1018" s="127"/>
      <c r="I1018" s="128"/>
      <c r="K1018" s="105" t="str">
        <f>IFERROR(__xludf.DUMMYFUNCTION("if(A1018="""","""",substitute(SUBSTITUTE(index(importhtml(""http://finviz.com/quote.ashx?t=""&amp;A1018,""table"",10),7,2),""*"",""""),""-"",""0.00""))"),"Loading...")</f>
        <v>Loading...</v>
      </c>
      <c r="L1018" s="129">
        <v>1.230342E8</v>
      </c>
      <c r="M1018" s="99" t="str">
        <f>IFERROR(__xludf.DUMMYFUNCTION("GOOGLEFINANCE(A1018,""beta"")"),"#N/A")</f>
        <v>#N/A</v>
      </c>
    </row>
    <row r="1019">
      <c r="A1019" s="122" t="s">
        <v>2462</v>
      </c>
      <c r="B1019" s="123">
        <v>1840856.0</v>
      </c>
      <c r="C1019" s="124" t="s">
        <v>2463</v>
      </c>
      <c r="D1019" s="125"/>
      <c r="E1019" s="126">
        <v>0.24</v>
      </c>
      <c r="F1019" s="127"/>
      <c r="G1019" s="127"/>
      <c r="H1019" s="127"/>
      <c r="I1019" s="128"/>
      <c r="K1019" s="105" t="str">
        <f>IFERROR(__xludf.DUMMYFUNCTION("if(A1019="""","""",substitute(SUBSTITUTE(index(importhtml(""http://finviz.com/quote.ashx?t=""&amp;A1019,""table"",10),7,2),""*"",""""),""-"",""0.00""))"),"Loading...")</f>
        <v>Loading...</v>
      </c>
      <c r="L1019" s="129">
        <v>4.35017942E8</v>
      </c>
      <c r="M1019" s="99">
        <f>IFERROR(__xludf.DUMMYFUNCTION("GOOGLEFINANCE(A1019,""beta"")"),7.26)</f>
        <v>7.26</v>
      </c>
    </row>
    <row r="1020">
      <c r="A1020" s="122" t="s">
        <v>2464</v>
      </c>
      <c r="B1020" s="123">
        <v>1030475.0</v>
      </c>
      <c r="C1020" s="124" t="s">
        <v>2465</v>
      </c>
      <c r="D1020" s="125"/>
      <c r="E1020" s="126">
        <v>0.24</v>
      </c>
      <c r="F1020" s="127"/>
      <c r="G1020" s="127"/>
      <c r="H1020" s="127"/>
      <c r="I1020" s="128"/>
      <c r="K1020" s="105" t="str">
        <f>IFERROR(__xludf.DUMMYFUNCTION("if(A1020="""","""",substitute(SUBSTITUTE(index(importhtml(""http://finviz.com/quote.ashx?t=""&amp;A1020,""table"",10),7,2),""*"",""""),""-"",""0.00""))"),"Loading...")</f>
        <v>Loading...</v>
      </c>
      <c r="L1020" s="129">
        <v>7.8400284329E10</v>
      </c>
      <c r="M1020" s="99">
        <f>IFERROR(__xludf.DUMMYFUNCTION("GOOGLEFINANCE(A1020,""beta"")"),81.73)</f>
        <v>81.73</v>
      </c>
    </row>
    <row r="1021">
      <c r="A1021" s="122" t="s">
        <v>2466</v>
      </c>
      <c r="B1021" s="123">
        <v>1729427.0</v>
      </c>
      <c r="C1021" s="124" t="s">
        <v>2467</v>
      </c>
      <c r="D1021" s="125"/>
      <c r="E1021" s="126">
        <v>0.25</v>
      </c>
      <c r="F1021" s="127"/>
      <c r="G1021" s="127"/>
      <c r="H1021" s="127"/>
      <c r="I1021" s="128"/>
      <c r="K1021" s="105" t="str">
        <f>IFERROR(__xludf.DUMMYFUNCTION("if(A1021="""","""",substitute(SUBSTITUTE(index(importhtml(""http://finviz.com/quote.ashx?t=""&amp;A1021,""table"",10),7,2),""*"",""""),""-"",""0.00""))"),"Loading...")</f>
        <v>Loading...</v>
      </c>
      <c r="L1021" s="129">
        <v>1569190.0</v>
      </c>
      <c r="M1021" s="99">
        <v>1.0</v>
      </c>
    </row>
    <row r="1022">
      <c r="A1022" s="122" t="s">
        <v>2468</v>
      </c>
      <c r="B1022" s="123">
        <v>1525306.0</v>
      </c>
      <c r="C1022" s="124" t="s">
        <v>2469</v>
      </c>
      <c r="D1022" s="125"/>
      <c r="E1022" s="126">
        <v>0.25</v>
      </c>
      <c r="F1022" s="127"/>
      <c r="G1022" s="127"/>
      <c r="H1022" s="127"/>
      <c r="I1022" s="128"/>
      <c r="K1022" s="105" t="str">
        <f>IFERROR(__xludf.DUMMYFUNCTION("if(A1022="""","""",substitute(SUBSTITUTE(index(importhtml(""http://finviz.com/quote.ashx?t=""&amp;A1022,""table"",10),7,2),""*"",""""),""-"",""0.00""))"),"Loading...")</f>
        <v>Loading...</v>
      </c>
      <c r="L1022" s="129">
        <v>1951200.0</v>
      </c>
      <c r="M1022" s="99">
        <v>0.14</v>
      </c>
    </row>
    <row r="1023">
      <c r="A1023" s="122" t="s">
        <v>2470</v>
      </c>
      <c r="B1023" s="123">
        <v>1792030.0</v>
      </c>
      <c r="C1023" s="124" t="s">
        <v>2471</v>
      </c>
      <c r="D1023" s="125"/>
      <c r="E1023" s="126">
        <v>0.25</v>
      </c>
      <c r="F1023" s="127"/>
      <c r="G1023" s="127"/>
      <c r="H1023" s="127"/>
      <c r="I1023" s="128"/>
      <c r="K1023" s="105" t="str">
        <f>IFERROR(__xludf.DUMMYFUNCTION("if(A1023="""","""",substitute(SUBSTITUTE(index(importhtml(""http://finviz.com/quote.ashx?t=""&amp;A1023,""table"",10),7,2),""*"",""""),""-"",""0.00""))"),"Loading...")</f>
        <v>Loading...</v>
      </c>
      <c r="L1023" s="129">
        <v>4152177.0</v>
      </c>
      <c r="M1023" s="99">
        <v>1.02</v>
      </c>
    </row>
    <row r="1024">
      <c r="A1024" s="122" t="s">
        <v>2472</v>
      </c>
      <c r="B1024" s="123">
        <v>1632121.0</v>
      </c>
      <c r="C1024" s="124" t="s">
        <v>2473</v>
      </c>
      <c r="D1024" s="125"/>
      <c r="E1024" s="126">
        <v>0.25</v>
      </c>
      <c r="F1024" s="127"/>
      <c r="G1024" s="127"/>
      <c r="H1024" s="127"/>
      <c r="I1024" s="128"/>
      <c r="K1024" s="105" t="str">
        <f>IFERROR(__xludf.DUMMYFUNCTION("if(A1024="""","""",substitute(SUBSTITUTE(index(importhtml(""http://finviz.com/quote.ashx?t=""&amp;A1024,""table"",10),7,2),""*"",""""),""-"",""0.00""))"),"Loading...")</f>
        <v>Loading...</v>
      </c>
      <c r="L1024" s="129">
        <v>5418500.0</v>
      </c>
      <c r="M1024" s="99">
        <v>1.09</v>
      </c>
    </row>
    <row r="1025">
      <c r="A1025" s="122" t="s">
        <v>2474</v>
      </c>
      <c r="B1025" s="123">
        <v>1580490.0</v>
      </c>
      <c r="C1025" s="124" t="s">
        <v>2475</v>
      </c>
      <c r="D1025" s="125"/>
      <c r="E1025" s="126">
        <v>0.25</v>
      </c>
      <c r="F1025" s="127"/>
      <c r="G1025" s="127"/>
      <c r="H1025" s="127"/>
      <c r="I1025" s="128"/>
      <c r="K1025" s="105" t="str">
        <f>IFERROR(__xludf.DUMMYFUNCTION("if(A1025="""","""",substitute(SUBSTITUTE(index(importhtml(""http://finviz.com/quote.ashx?t=""&amp;A1025,""table"",10),7,2),""*"",""""),""-"",""0.00""))"),"Loading...")</f>
        <v>Loading...</v>
      </c>
      <c r="L1025" s="129">
        <v>6578460.0</v>
      </c>
      <c r="M1025" s="99">
        <v>4.19</v>
      </c>
    </row>
    <row r="1026">
      <c r="A1026" s="122" t="s">
        <v>2476</v>
      </c>
      <c r="B1026" s="123">
        <v>1492617.0</v>
      </c>
      <c r="C1026" s="124" t="s">
        <v>2477</v>
      </c>
      <c r="D1026" s="125"/>
      <c r="E1026" s="126">
        <v>0.25</v>
      </c>
      <c r="F1026" s="127"/>
      <c r="G1026" s="127"/>
      <c r="H1026" s="127"/>
      <c r="I1026" s="128"/>
      <c r="K1026" s="105" t="str">
        <f>IFERROR(__xludf.DUMMYFUNCTION("if(A1026="""","""",substitute(SUBSTITUTE(index(importhtml(""http://finviz.com/quote.ashx?t=""&amp;A1026,""table"",10),7,2),""*"",""""),""-"",""0.00""))"),"Loading...")</f>
        <v>Loading...</v>
      </c>
      <c r="L1026" s="129">
        <v>7397790.0</v>
      </c>
      <c r="M1026" s="99">
        <v>0.62</v>
      </c>
    </row>
    <row r="1027">
      <c r="A1027" s="122" t="s">
        <v>2478</v>
      </c>
      <c r="B1027" s="123">
        <v>1713539.0</v>
      </c>
      <c r="C1027" s="124" t="s">
        <v>2479</v>
      </c>
      <c r="D1027" s="125"/>
      <c r="E1027" s="126">
        <v>0.25</v>
      </c>
      <c r="F1027" s="127"/>
      <c r="G1027" s="127"/>
      <c r="H1027" s="127"/>
      <c r="I1027" s="128"/>
      <c r="K1027" s="105" t="str">
        <f>IFERROR(__xludf.DUMMYFUNCTION("if(A1027="""","""",substitute(SUBSTITUTE(index(importhtml(""http://finviz.com/quote.ashx?t=""&amp;A1027,""table"",10),7,2),""*"",""""),""-"",""0.00""))"),"Loading...")</f>
        <v>Loading...</v>
      </c>
      <c r="L1027" s="129">
        <v>9285000.0</v>
      </c>
      <c r="M1027" s="99">
        <v>0.03</v>
      </c>
    </row>
    <row r="1028">
      <c r="A1028" s="122" t="s">
        <v>2480</v>
      </c>
      <c r="B1028" s="123">
        <v>55234.0</v>
      </c>
      <c r="C1028" s="124" t="s">
        <v>2481</v>
      </c>
      <c r="D1028" s="125"/>
      <c r="E1028" s="126">
        <v>0.25</v>
      </c>
      <c r="F1028" s="127"/>
      <c r="G1028" s="127"/>
      <c r="H1028" s="127"/>
      <c r="I1028" s="128"/>
      <c r="K1028" s="105" t="str">
        <f>IFERROR(__xludf.DUMMYFUNCTION("if(A1028="""","""",substitute(SUBSTITUTE(index(importhtml(""http://finviz.com/quote.ashx?t=""&amp;A1028,""table"",10),7,2),""*"",""""),""-"",""0.00""))"),"Loading...")</f>
        <v>Loading...</v>
      </c>
      <c r="L1028" s="129">
        <v>1.300105E7</v>
      </c>
      <c r="M1028" s="99">
        <v>2.41</v>
      </c>
    </row>
    <row r="1029">
      <c r="A1029" s="122" t="s">
        <v>2482</v>
      </c>
      <c r="B1029" s="123">
        <v>1386044.0</v>
      </c>
      <c r="C1029" s="124" t="s">
        <v>2483</v>
      </c>
      <c r="D1029" s="125"/>
      <c r="E1029" s="126">
        <v>0.25</v>
      </c>
      <c r="F1029" s="127"/>
      <c r="G1029" s="127"/>
      <c r="H1029" s="127"/>
      <c r="I1029" s="128"/>
      <c r="K1029" s="105" t="str">
        <f>IFERROR(__xludf.DUMMYFUNCTION("if(A1029="""","""",substitute(SUBSTITUTE(index(importhtml(""http://finviz.com/quote.ashx?t=""&amp;A1029,""table"",10),7,2),""*"",""""),""-"",""0.00""))"),"Loading...")</f>
        <v>Loading...</v>
      </c>
      <c r="L1029" s="129">
        <v>1.382721E7</v>
      </c>
      <c r="M1029" s="99">
        <v>9.01</v>
      </c>
    </row>
    <row r="1030">
      <c r="A1030" s="122" t="s">
        <v>2484</v>
      </c>
      <c r="B1030" s="123">
        <v>1703157.0</v>
      </c>
      <c r="C1030" s="124" t="s">
        <v>2485</v>
      </c>
      <c r="D1030" s="125"/>
      <c r="E1030" s="126">
        <v>0.25</v>
      </c>
      <c r="F1030" s="127"/>
      <c r="G1030" s="127"/>
      <c r="H1030" s="127"/>
      <c r="I1030" s="128"/>
      <c r="K1030" s="105" t="str">
        <f>IFERROR(__xludf.DUMMYFUNCTION("if(A1030="""","""",substitute(SUBSTITUTE(index(importhtml(""http://finviz.com/quote.ashx?t=""&amp;A1030,""table"",10),7,2),""*"",""""),""-"",""0.00""))"),"Loading...")</f>
        <v>Loading...</v>
      </c>
      <c r="L1030" s="129">
        <v>1.951672E7</v>
      </c>
      <c r="M1030" s="99">
        <f>IFERROR(__xludf.DUMMYFUNCTION("GOOGLEFINANCE(A1030,""beta"")"),9.98)</f>
        <v>9.98</v>
      </c>
    </row>
    <row r="1031">
      <c r="A1031" s="122" t="s">
        <v>2486</v>
      </c>
      <c r="B1031" s="123">
        <v>1630511.0</v>
      </c>
      <c r="C1031" s="124" t="s">
        <v>2487</v>
      </c>
      <c r="D1031" s="125"/>
      <c r="E1031" s="126">
        <v>0.25</v>
      </c>
      <c r="F1031" s="127"/>
      <c r="G1031" s="127"/>
      <c r="H1031" s="127"/>
      <c r="I1031" s="128"/>
      <c r="K1031" s="105" t="str">
        <f>IFERROR(__xludf.DUMMYFUNCTION("if(A1031="""","""",substitute(SUBSTITUTE(index(importhtml(""http://finviz.com/quote.ashx?t=""&amp;A1031,""table"",10),7,2),""*"",""""),""-"",""0.00""))"),"Loading...")</f>
        <v>Loading...</v>
      </c>
      <c r="L1031" s="129">
        <v>2.622619E7</v>
      </c>
      <c r="M1031" s="99">
        <v>4.78</v>
      </c>
    </row>
    <row r="1032">
      <c r="A1032" s="122" t="s">
        <v>2488</v>
      </c>
      <c r="B1032" s="123">
        <v>1472619.0</v>
      </c>
      <c r="C1032" s="124" t="s">
        <v>2489</v>
      </c>
      <c r="D1032" s="125"/>
      <c r="E1032" s="126">
        <v>0.25</v>
      </c>
      <c r="F1032" s="127"/>
      <c r="G1032" s="127"/>
      <c r="H1032" s="127"/>
      <c r="I1032" s="128"/>
      <c r="K1032" s="105" t="str">
        <f>IFERROR(__xludf.DUMMYFUNCTION("if(A1032="""","""",substitute(SUBSTITUTE(index(importhtml(""http://finviz.com/quote.ashx?t=""&amp;A1032,""table"",10),7,2),""*"",""""),""-"",""0.00""))"),"Loading...")</f>
        <v>Loading...</v>
      </c>
      <c r="L1032" s="129">
        <v>4.6801165E7</v>
      </c>
      <c r="M1032" s="99">
        <v>1.16</v>
      </c>
    </row>
    <row r="1033">
      <c r="A1033" s="122" t="s">
        <v>2490</v>
      </c>
      <c r="B1033" s="123">
        <v>1748137.0</v>
      </c>
      <c r="C1033" s="124" t="s">
        <v>2491</v>
      </c>
      <c r="D1033" s="125"/>
      <c r="E1033" s="126">
        <v>0.25</v>
      </c>
      <c r="F1033" s="127"/>
      <c r="G1033" s="127"/>
      <c r="H1033" s="127"/>
      <c r="I1033" s="128"/>
      <c r="K1033" s="105" t="str">
        <f>IFERROR(__xludf.DUMMYFUNCTION("if(A1033="""","""",substitute(SUBSTITUTE(index(importhtml(""http://finviz.com/quote.ashx?t=""&amp;A1033,""table"",10),7,2),""*"",""""),""-"",""0.00""))"),"Loading...")</f>
        <v>Loading...</v>
      </c>
      <c r="L1033" s="129">
        <v>5.3513413E7</v>
      </c>
      <c r="M1033" s="99">
        <f>IFERROR(__xludf.DUMMYFUNCTION("GOOGLEFINANCE(A1033,""beta"")"),0.67)</f>
        <v>0.67</v>
      </c>
    </row>
    <row r="1034">
      <c r="A1034" s="122" t="s">
        <v>2492</v>
      </c>
      <c r="B1034" s="123">
        <v>1391127.0</v>
      </c>
      <c r="C1034" s="124" t="s">
        <v>2493</v>
      </c>
      <c r="D1034" s="125"/>
      <c r="E1034" s="126">
        <v>0.25</v>
      </c>
      <c r="F1034" s="127"/>
      <c r="G1034" s="127"/>
      <c r="H1034" s="127"/>
      <c r="I1034" s="128"/>
      <c r="K1034" s="105" t="str">
        <f>IFERROR(__xludf.DUMMYFUNCTION("if(A1034="""","""",substitute(SUBSTITUTE(index(importhtml(""http://finviz.com/quote.ashx?t=""&amp;A1034,""table"",10),7,2),""*"",""""),""-"",""0.00""))"),"Loading...")</f>
        <v>Loading...</v>
      </c>
      <c r="L1034" s="129">
        <v>5.5709776E7</v>
      </c>
      <c r="M1034" s="99">
        <v>0.42</v>
      </c>
    </row>
    <row r="1035">
      <c r="A1035" s="122" t="s">
        <v>2494</v>
      </c>
      <c r="B1035" s="123">
        <v>1177439.0</v>
      </c>
      <c r="C1035" s="124" t="s">
        <v>2495</v>
      </c>
      <c r="D1035" s="125"/>
      <c r="E1035" s="126">
        <v>0.25</v>
      </c>
      <c r="F1035" s="127"/>
      <c r="G1035" s="127"/>
      <c r="H1035" s="127"/>
      <c r="I1035" s="128"/>
      <c r="K1035" s="105" t="str">
        <f>IFERROR(__xludf.DUMMYFUNCTION("if(A1035="""","""",substitute(SUBSTITUTE(index(importhtml(""http://finviz.com/quote.ashx?t=""&amp;A1035,""table"",10),7,2),""*"",""""),""-"",""0.00""))"),"Loading...")</f>
        <v>Loading...</v>
      </c>
      <c r="L1035" s="129">
        <v>9.0433955E7</v>
      </c>
      <c r="M1035" s="99">
        <v>1.73</v>
      </c>
    </row>
    <row r="1036">
      <c r="A1036" s="122" t="s">
        <v>2496</v>
      </c>
      <c r="B1036" s="123">
        <v>352960.0</v>
      </c>
      <c r="C1036" s="124" t="s">
        <v>2497</v>
      </c>
      <c r="D1036" s="125"/>
      <c r="E1036" s="126">
        <v>0.25</v>
      </c>
      <c r="F1036" s="127"/>
      <c r="G1036" s="127"/>
      <c r="H1036" s="127"/>
      <c r="I1036" s="128"/>
      <c r="K1036" s="105" t="str">
        <f>IFERROR(__xludf.DUMMYFUNCTION("if(A1036="""","""",substitute(SUBSTITUTE(index(importhtml(""http://finviz.com/quote.ashx?t=""&amp;A1036,""table"",10),7,2),""*"",""""),""-"",""0.00""))"),"Loading...")</f>
        <v>Loading...</v>
      </c>
      <c r="L1036" s="129">
        <v>1.244735353E9</v>
      </c>
      <c r="M1036" s="99" t="str">
        <f>IFERROR(__xludf.DUMMYFUNCTION("GOOGLEFINANCE(A1036,""beta"")"),"#N/A")</f>
        <v>#N/A</v>
      </c>
    </row>
    <row r="1037">
      <c r="A1037" s="122" t="s">
        <v>2498</v>
      </c>
      <c r="B1037" s="123">
        <v>1230524.0</v>
      </c>
      <c r="C1037" s="124" t="s">
        <v>2499</v>
      </c>
      <c r="D1037" s="125"/>
      <c r="E1037" s="126">
        <v>0.26</v>
      </c>
      <c r="F1037" s="127"/>
      <c r="G1037" s="127"/>
      <c r="H1037" s="127"/>
      <c r="I1037" s="128"/>
      <c r="K1037" s="105" t="str">
        <f>IFERROR(__xludf.DUMMYFUNCTION("if(A1037="""","""",substitute(SUBSTITUTE(index(importhtml(""http://finviz.com/quote.ashx?t=""&amp;A1037,""table"",10),7,2),""*"",""""),""-"",""0.00""))"),"Loading...")</f>
        <v>Loading...</v>
      </c>
      <c r="L1037" s="129">
        <v>327773.0</v>
      </c>
      <c r="M1037" s="99">
        <v>-1.32</v>
      </c>
    </row>
    <row r="1038">
      <c r="A1038" s="122" t="s">
        <v>2500</v>
      </c>
      <c r="B1038" s="123">
        <v>1495584.0</v>
      </c>
      <c r="C1038" s="124" t="s">
        <v>2501</v>
      </c>
      <c r="D1038" s="125"/>
      <c r="E1038" s="126">
        <v>0.26</v>
      </c>
      <c r="F1038" s="127"/>
      <c r="G1038" s="127"/>
      <c r="H1038" s="127"/>
      <c r="I1038" s="128"/>
      <c r="K1038" s="105" t="str">
        <f>IFERROR(__xludf.DUMMYFUNCTION("if(A1038="""","""",substitute(SUBSTITUTE(index(importhtml(""http://finviz.com/quote.ashx?t=""&amp;A1038,""table"",10),7,2),""*"",""""),""-"",""0.00""))"),"Loading...")</f>
        <v>Loading...</v>
      </c>
      <c r="L1038" s="129">
        <v>1793570.0</v>
      </c>
      <c r="M1038" s="99">
        <v>1.36</v>
      </c>
    </row>
    <row r="1039">
      <c r="A1039" s="122" t="s">
        <v>2502</v>
      </c>
      <c r="B1039" s="123">
        <v>1886362.0</v>
      </c>
      <c r="C1039" s="124" t="s">
        <v>2503</v>
      </c>
      <c r="D1039" s="125"/>
      <c r="E1039" s="126">
        <v>0.26</v>
      </c>
      <c r="F1039" s="127"/>
      <c r="G1039" s="127"/>
      <c r="H1039" s="127"/>
      <c r="I1039" s="128"/>
      <c r="K1039" s="105" t="str">
        <f>IFERROR(__xludf.DUMMYFUNCTION("if(A1039="""","""",substitute(SUBSTITUTE(index(importhtml(""http://finviz.com/quote.ashx?t=""&amp;A1039,""table"",10),7,2),""*"",""""),""-"",""0.00""))"),"Loading...")</f>
        <v>Loading...</v>
      </c>
      <c r="L1039" s="129">
        <v>5391297.0</v>
      </c>
      <c r="M1039" s="99" t="str">
        <f>IFERROR(__xludf.DUMMYFUNCTION("GOOGLEFINANCE(A1039,""beta"")"),"#N/A")</f>
        <v>#N/A</v>
      </c>
    </row>
    <row r="1040">
      <c r="A1040" s="122" t="s">
        <v>2504</v>
      </c>
      <c r="B1040" s="123">
        <v>1909417.0</v>
      </c>
      <c r="C1040" s="124" t="s">
        <v>2505</v>
      </c>
      <c r="D1040" s="125"/>
      <c r="E1040" s="126">
        <v>0.26</v>
      </c>
      <c r="F1040" s="127"/>
      <c r="G1040" s="127"/>
      <c r="H1040" s="127"/>
      <c r="I1040" s="128"/>
      <c r="K1040" s="105" t="str">
        <f>IFERROR(__xludf.DUMMYFUNCTION("if(A1040="""","""",substitute(SUBSTITUTE(index(importhtml(""http://finviz.com/quote.ashx?t=""&amp;A1040,""table"",10),7,2),""*"",""""),""-"",""0.00""))"),"Loading...")</f>
        <v>Loading...</v>
      </c>
      <c r="L1040" s="129">
        <v>2.7896688E7</v>
      </c>
      <c r="M1040" s="99" t="str">
        <f>IFERROR(__xludf.DUMMYFUNCTION("GOOGLEFINANCE(A1040,""beta"")"),"#N/A")</f>
        <v>#N/A</v>
      </c>
    </row>
    <row r="1041">
      <c r="A1041" s="122" t="s">
        <v>2506</v>
      </c>
      <c r="B1041" s="123">
        <v>1825079.0</v>
      </c>
      <c r="C1041" s="124" t="s">
        <v>2507</v>
      </c>
      <c r="D1041" s="125"/>
      <c r="E1041" s="126">
        <v>0.26</v>
      </c>
      <c r="F1041" s="127"/>
      <c r="G1041" s="127"/>
      <c r="H1041" s="127"/>
      <c r="I1041" s="128"/>
      <c r="K1041" s="105" t="str">
        <f>IFERROR(__xludf.DUMMYFUNCTION("if(A1041="""","""",substitute(SUBSTITUTE(index(importhtml(""http://finviz.com/quote.ashx?t=""&amp;A1041,""table"",10),7,2),""*"",""""),""-"",""0.00""))"),"Loading...")</f>
        <v>Loading...</v>
      </c>
      <c r="L1041" s="129">
        <v>6.5294589E7</v>
      </c>
      <c r="M1041" s="99">
        <v>2.05</v>
      </c>
    </row>
    <row r="1042">
      <c r="A1042" s="122" t="s">
        <v>2508</v>
      </c>
      <c r="B1042" s="123">
        <v>1425287.0</v>
      </c>
      <c r="C1042" s="124" t="s">
        <v>2509</v>
      </c>
      <c r="D1042" s="125"/>
      <c r="E1042" s="126">
        <v>0.26</v>
      </c>
      <c r="F1042" s="127"/>
      <c r="G1042" s="127"/>
      <c r="H1042" s="127"/>
      <c r="I1042" s="128"/>
      <c r="K1042" s="105" t="str">
        <f>IFERROR(__xludf.DUMMYFUNCTION("if(A1042="""","""",substitute(SUBSTITUTE(index(importhtml(""http://finviz.com/quote.ashx?t=""&amp;A1042,""table"",10),7,2),""*"",""""),""-"",""0.00""))"),"Loading...")</f>
        <v>Loading...</v>
      </c>
      <c r="L1042" s="129">
        <v>6.7593168E7</v>
      </c>
      <c r="M1042" s="99">
        <v>2.47</v>
      </c>
    </row>
    <row r="1043">
      <c r="A1043" s="122" t="s">
        <v>2510</v>
      </c>
      <c r="B1043" s="123">
        <v>16988.0</v>
      </c>
      <c r="C1043" s="124" t="s">
        <v>2511</v>
      </c>
      <c r="D1043" s="125"/>
      <c r="E1043" s="126">
        <v>0.26</v>
      </c>
      <c r="F1043" s="127"/>
      <c r="G1043" s="127"/>
      <c r="H1043" s="127"/>
      <c r="I1043" s="128"/>
      <c r="K1043" s="105" t="str">
        <f>IFERROR(__xludf.DUMMYFUNCTION("if(A1043="""","""",substitute(SUBSTITUTE(index(importhtml(""http://finviz.com/quote.ashx?t=""&amp;A1043,""table"",10),7,2),""*"",""""),""-"",""0.00""))"),"Loading...")</f>
        <v>Loading...</v>
      </c>
      <c r="L1043" s="129">
        <v>2.7178137E8</v>
      </c>
      <c r="M1043" s="99" t="str">
        <f>IFERROR(__xludf.DUMMYFUNCTION("GOOGLEFINANCE(A1043,""beta"")"),"#N/A")</f>
        <v>#N/A</v>
      </c>
    </row>
    <row r="1044">
      <c r="A1044" s="122" t="s">
        <v>2512</v>
      </c>
      <c r="B1044" s="123">
        <v>1819796.0</v>
      </c>
      <c r="C1044" s="124" t="s">
        <v>2513</v>
      </c>
      <c r="D1044" s="125"/>
      <c r="E1044" s="126">
        <v>0.26</v>
      </c>
      <c r="F1044" s="127"/>
      <c r="G1044" s="127"/>
      <c r="H1044" s="127"/>
      <c r="I1044" s="128"/>
      <c r="K1044" s="105" t="str">
        <f>IFERROR(__xludf.DUMMYFUNCTION("if(A1044="""","""",substitute(SUBSTITUTE(index(importhtml(""http://finviz.com/quote.ashx?t=""&amp;A1044,""table"",10),7,2),""*"",""""),""-"",""0.00""))"),"Loading...")</f>
        <v>Loading...</v>
      </c>
      <c r="L1044" s="129">
        <v>1.610124751E9</v>
      </c>
      <c r="M1044" s="99">
        <v>2.03</v>
      </c>
    </row>
    <row r="1045">
      <c r="A1045" s="122" t="s">
        <v>2514</v>
      </c>
      <c r="B1045" s="123">
        <v>815577.0</v>
      </c>
      <c r="C1045" s="124" t="s">
        <v>2515</v>
      </c>
      <c r="D1045" s="125"/>
      <c r="E1045" s="126">
        <v>0.26</v>
      </c>
      <c r="F1045" s="127"/>
      <c r="G1045" s="127"/>
      <c r="H1045" s="127"/>
      <c r="I1045" s="128"/>
      <c r="K1045" s="105" t="str">
        <f>IFERROR(__xludf.DUMMYFUNCTION("if(A1045="""","""",substitute(SUBSTITUTE(index(importhtml(""http://finviz.com/quote.ashx?t=""&amp;A1045,""table"",10),7,2),""*"",""""),""-"",""0.00""))"),"Loading...")</f>
        <v>Loading...</v>
      </c>
      <c r="L1045" s="129" t="e">
        <v>#N/A</v>
      </c>
      <c r="M1045" s="99">
        <v>2.85</v>
      </c>
    </row>
    <row r="1046">
      <c r="A1046" s="122" t="s">
        <v>2516</v>
      </c>
      <c r="B1046" s="123">
        <v>731245.0</v>
      </c>
      <c r="C1046" s="124" t="s">
        <v>2517</v>
      </c>
      <c r="D1046" s="125"/>
      <c r="E1046" s="126">
        <v>0.27</v>
      </c>
      <c r="F1046" s="127"/>
      <c r="G1046" s="127"/>
      <c r="H1046" s="127"/>
      <c r="I1046" s="128"/>
      <c r="K1046" s="105" t="str">
        <f>IFERROR(__xludf.DUMMYFUNCTION("if(A1046="""","""",substitute(SUBSTITUTE(index(importhtml(""http://finviz.com/quote.ashx?t=""&amp;A1046,""table"",10),7,2),""*"",""""),""-"",""0.00""))"),"Loading...")</f>
        <v>Loading...</v>
      </c>
      <c r="L1046" s="129">
        <v>191430.0</v>
      </c>
      <c r="M1046" s="99">
        <v>-0.28</v>
      </c>
    </row>
    <row r="1047">
      <c r="A1047" s="122" t="s">
        <v>2518</v>
      </c>
      <c r="B1047" s="123">
        <v>812152.0</v>
      </c>
      <c r="C1047" s="124" t="s">
        <v>2519</v>
      </c>
      <c r="D1047" s="125"/>
      <c r="E1047" s="126">
        <v>0.27</v>
      </c>
      <c r="F1047" s="127"/>
      <c r="G1047" s="127"/>
      <c r="H1047" s="127"/>
      <c r="I1047" s="128"/>
      <c r="K1047" s="105" t="str">
        <f>IFERROR(__xludf.DUMMYFUNCTION("if(A1047="""","""",substitute(SUBSTITUTE(index(importhtml(""http://finviz.com/quote.ashx?t=""&amp;A1047,""table"",10),7,2),""*"",""""),""-"",""0.00""))"),"Loading...")</f>
        <v>Loading...</v>
      </c>
      <c r="L1047" s="129">
        <v>772410.0</v>
      </c>
      <c r="M1047" s="99">
        <v>0.59</v>
      </c>
    </row>
    <row r="1048">
      <c r="A1048" s="122" t="s">
        <v>2520</v>
      </c>
      <c r="B1048" s="123">
        <v>752294.0</v>
      </c>
      <c r="C1048" s="124" t="s">
        <v>2521</v>
      </c>
      <c r="D1048" s="125"/>
      <c r="E1048" s="126">
        <v>0.27</v>
      </c>
      <c r="F1048" s="127"/>
      <c r="G1048" s="127"/>
      <c r="H1048" s="127"/>
      <c r="I1048" s="128"/>
      <c r="K1048" s="105" t="str">
        <f>IFERROR(__xludf.DUMMYFUNCTION("if(A1048="""","""",substitute(SUBSTITUTE(index(importhtml(""http://finviz.com/quote.ashx?t=""&amp;A1048,""table"",10),7,2),""*"",""""),""-"",""0.00""))"),"Loading...")</f>
        <v>Loading...</v>
      </c>
      <c r="L1048" s="129">
        <v>1336540.0</v>
      </c>
      <c r="M1048" s="99">
        <v>0.16</v>
      </c>
    </row>
    <row r="1049">
      <c r="A1049" s="122" t="s">
        <v>2522</v>
      </c>
      <c r="B1049" s="123">
        <v>1089531.0</v>
      </c>
      <c r="C1049" s="124" t="s">
        <v>2523</v>
      </c>
      <c r="D1049" s="125"/>
      <c r="E1049" s="126">
        <v>0.27</v>
      </c>
      <c r="F1049" s="127"/>
      <c r="G1049" s="127"/>
      <c r="H1049" s="127"/>
      <c r="I1049" s="128"/>
      <c r="K1049" s="105" t="str">
        <f>IFERROR(__xludf.DUMMYFUNCTION("if(A1049="""","""",substitute(SUBSTITUTE(index(importhtml(""http://finviz.com/quote.ashx?t=""&amp;A1049,""table"",10),7,2),""*"",""""),""-"",""0.00""))"),"Loading...")</f>
        <v>Loading...</v>
      </c>
      <c r="L1049" s="129">
        <v>3020790.0</v>
      </c>
      <c r="M1049" s="99" t="str">
        <f>IFERROR(__xludf.DUMMYFUNCTION("GOOGLEFINANCE(A1049,""beta"")"),"#N/A")</f>
        <v>#N/A</v>
      </c>
    </row>
    <row r="1050">
      <c r="A1050" s="122" t="s">
        <v>2524</v>
      </c>
      <c r="B1050" s="123">
        <v>1320760.0</v>
      </c>
      <c r="C1050" s="124" t="s">
        <v>2525</v>
      </c>
      <c r="D1050" s="125"/>
      <c r="E1050" s="126">
        <v>0.27</v>
      </c>
      <c r="F1050" s="127"/>
      <c r="G1050" s="127"/>
      <c r="H1050" s="127"/>
      <c r="I1050" s="128"/>
      <c r="K1050" s="105" t="str">
        <f>IFERROR(__xludf.DUMMYFUNCTION("if(A1050="""","""",substitute(SUBSTITUTE(index(importhtml(""http://finviz.com/quote.ashx?t=""&amp;A1050,""table"",10),7,2),""*"",""""),""-"",""0.00""))"),"Loading...")</f>
        <v>Loading...</v>
      </c>
      <c r="L1050" s="129">
        <v>5876998.0</v>
      </c>
      <c r="M1050" s="99">
        <v>0.67</v>
      </c>
    </row>
    <row r="1051">
      <c r="A1051" s="122" t="s">
        <v>2526</v>
      </c>
      <c r="B1051" s="123">
        <v>1075880.0</v>
      </c>
      <c r="C1051" s="124" t="s">
        <v>2527</v>
      </c>
      <c r="D1051" s="125"/>
      <c r="E1051" s="126">
        <v>0.27</v>
      </c>
      <c r="F1051" s="127"/>
      <c r="G1051" s="127"/>
      <c r="H1051" s="127"/>
      <c r="I1051" s="128"/>
      <c r="K1051" s="105" t="str">
        <f>IFERROR(__xludf.DUMMYFUNCTION("if(A1051="""","""",substitute(SUBSTITUTE(index(importhtml(""http://finviz.com/quote.ashx?t=""&amp;A1051,""table"",10),7,2),""*"",""""),""-"",""0.00""))"),"Loading...")</f>
        <v>Loading...</v>
      </c>
      <c r="L1051" s="129">
        <v>7120161.0</v>
      </c>
      <c r="M1051" s="99">
        <v>2.21</v>
      </c>
    </row>
    <row r="1052">
      <c r="A1052" s="122" t="s">
        <v>2528</v>
      </c>
      <c r="B1052" s="123">
        <v>1396167.0</v>
      </c>
      <c r="C1052" s="124" t="s">
        <v>2529</v>
      </c>
      <c r="D1052" s="125"/>
      <c r="E1052" s="126">
        <v>0.27</v>
      </c>
      <c r="F1052" s="127"/>
      <c r="G1052" s="127"/>
      <c r="H1052" s="127"/>
      <c r="I1052" s="128"/>
      <c r="K1052" s="105" t="str">
        <f>IFERROR(__xludf.DUMMYFUNCTION("if(A1052="""","""",substitute(SUBSTITUTE(index(importhtml(""http://finviz.com/quote.ashx?t=""&amp;A1052,""table"",10),7,2),""*"",""""),""-"",""0.00""))"),"Loading...")</f>
        <v>Loading...</v>
      </c>
      <c r="L1052" s="129">
        <v>1.5867716E7</v>
      </c>
      <c r="M1052" s="99">
        <v>0.58</v>
      </c>
    </row>
    <row r="1053">
      <c r="A1053" s="122" t="s">
        <v>2530</v>
      </c>
      <c r="B1053" s="123">
        <v>876378.0</v>
      </c>
      <c r="C1053" s="124" t="s">
        <v>2531</v>
      </c>
      <c r="D1053" s="125"/>
      <c r="E1053" s="126">
        <v>0.27</v>
      </c>
      <c r="F1053" s="127"/>
      <c r="G1053" s="127"/>
      <c r="H1053" s="127"/>
      <c r="I1053" s="128"/>
      <c r="K1053" s="105" t="str">
        <f>IFERROR(__xludf.DUMMYFUNCTION("if(A1053="""","""",substitute(SUBSTITUTE(index(importhtml(""http://finviz.com/quote.ashx?t=""&amp;A1053,""table"",10),7,2),""*"",""""),""-"",""0.00""))"),"Loading...")</f>
        <v>Loading...</v>
      </c>
      <c r="L1053" s="129">
        <v>7.1521354E7</v>
      </c>
      <c r="M1053" s="99">
        <v>1.43</v>
      </c>
    </row>
    <row r="1054">
      <c r="A1054" s="122" t="s">
        <v>2532</v>
      </c>
      <c r="B1054" s="123">
        <v>1317833.0</v>
      </c>
      <c r="C1054" s="124" t="s">
        <v>2533</v>
      </c>
      <c r="D1054" s="125"/>
      <c r="E1054" s="126">
        <v>0.27</v>
      </c>
      <c r="F1054" s="127"/>
      <c r="G1054" s="127"/>
      <c r="H1054" s="127"/>
      <c r="I1054" s="128"/>
      <c r="K1054" s="105" t="str">
        <f>IFERROR(__xludf.DUMMYFUNCTION("if(A1054="""","""",substitute(SUBSTITUTE(index(importhtml(""http://finviz.com/quote.ashx?t=""&amp;A1054,""table"",10),7,2),""*"",""""),""-"",""0.00""))"),"Loading...")</f>
        <v>Loading...</v>
      </c>
      <c r="L1054" s="129">
        <v>1.995867E9</v>
      </c>
      <c r="M1054" s="99" t="str">
        <f>IFERROR(__xludf.DUMMYFUNCTION("GOOGLEFINANCE(A1054,""beta"")"),"#N/A")</f>
        <v>#N/A</v>
      </c>
    </row>
    <row r="1055">
      <c r="A1055" s="122" t="s">
        <v>2534</v>
      </c>
      <c r="B1055" s="123">
        <v>1815021.0</v>
      </c>
      <c r="C1055" s="124" t="s">
        <v>2535</v>
      </c>
      <c r="D1055" s="125"/>
      <c r="E1055" s="126">
        <v>0.28</v>
      </c>
      <c r="F1055" s="127"/>
      <c r="G1055" s="127"/>
      <c r="H1055" s="127"/>
      <c r="I1055" s="128"/>
      <c r="K1055" s="55" t="s">
        <v>1034</v>
      </c>
      <c r="L1055" s="129">
        <v>1270391.0</v>
      </c>
    </row>
    <row r="1056">
      <c r="A1056" s="122" t="s">
        <v>2536</v>
      </c>
      <c r="B1056" s="123">
        <v>1668082.0</v>
      </c>
      <c r="C1056" s="124" t="s">
        <v>2537</v>
      </c>
      <c r="D1056" s="125"/>
      <c r="E1056" s="126">
        <v>0.28</v>
      </c>
      <c r="F1056" s="127"/>
      <c r="G1056" s="127"/>
      <c r="H1056" s="127"/>
      <c r="I1056" s="128"/>
      <c r="K1056" s="105" t="str">
        <f>IFERROR(__xludf.DUMMYFUNCTION("if(A1056="""","""",substitute(SUBSTITUTE(index(importhtml(""http://finviz.com/quote.ashx?t=""&amp;A1056,""table"",10),7,2),""*"",""""),""-"",""0.00""))"),"Loading...")</f>
        <v>Loading...</v>
      </c>
      <c r="L1056" s="129">
        <v>3193400.0</v>
      </c>
      <c r="M1056" s="99" t="str">
        <f>IFERROR(__xludf.DUMMYFUNCTION("GOOGLEFINANCE(A1056,""beta"")"),"#N/A")</f>
        <v>#N/A</v>
      </c>
    </row>
    <row r="1057">
      <c r="A1057" s="122" t="s">
        <v>2538</v>
      </c>
      <c r="B1057" s="123">
        <v>1532390.0</v>
      </c>
      <c r="C1057" s="124" t="s">
        <v>2539</v>
      </c>
      <c r="D1057" s="125"/>
      <c r="E1057" s="126">
        <v>0.28</v>
      </c>
      <c r="F1057" s="127"/>
      <c r="G1057" s="127"/>
      <c r="H1057" s="127"/>
      <c r="I1057" s="128"/>
      <c r="K1057" s="105" t="str">
        <f>IFERROR(__xludf.DUMMYFUNCTION("if(A1057="""","""",substitute(SUBSTITUTE(index(importhtml(""http://finviz.com/quote.ashx?t=""&amp;A1057,""table"",10),7,2),""*"",""""),""-"",""0.00""))"),"Loading...")</f>
        <v>Loading...</v>
      </c>
      <c r="L1057" s="129">
        <v>3684698.0</v>
      </c>
      <c r="M1057" s="99">
        <v>2.05</v>
      </c>
    </row>
    <row r="1058">
      <c r="A1058" s="122" t="s">
        <v>2540</v>
      </c>
      <c r="B1058" s="123">
        <v>1347652.0</v>
      </c>
      <c r="C1058" s="124" t="s">
        <v>2541</v>
      </c>
      <c r="D1058" s="125"/>
      <c r="E1058" s="126">
        <v>0.28</v>
      </c>
      <c r="F1058" s="127"/>
      <c r="G1058" s="127"/>
      <c r="H1058" s="127"/>
      <c r="I1058" s="128"/>
      <c r="K1058" s="105" t="str">
        <f>IFERROR(__xludf.DUMMYFUNCTION("if(A1058="""","""",substitute(SUBSTITUTE(index(importhtml(""http://finviz.com/quote.ashx?t=""&amp;A1058,""table"",10),7,2),""*"",""""),""-"",""0.00""))"),"Loading...")</f>
        <v>Loading...</v>
      </c>
      <c r="L1058" s="129">
        <v>4466320.0</v>
      </c>
      <c r="M1058" s="99">
        <v>1.21</v>
      </c>
    </row>
    <row r="1059">
      <c r="A1059" s="122" t="s">
        <v>2542</v>
      </c>
      <c r="B1059" s="123">
        <v>1532346.0</v>
      </c>
      <c r="C1059" s="124" t="s">
        <v>2543</v>
      </c>
      <c r="D1059" s="125"/>
      <c r="E1059" s="126">
        <v>0.28</v>
      </c>
      <c r="F1059" s="127"/>
      <c r="G1059" s="127"/>
      <c r="H1059" s="127"/>
      <c r="I1059" s="128"/>
      <c r="K1059" s="105" t="str">
        <f>IFERROR(__xludf.DUMMYFUNCTION("if(A1059="""","""",substitute(SUBSTITUTE(index(importhtml(""http://finviz.com/quote.ashx?t=""&amp;A1059,""table"",10),7,2),""*"",""""),""-"",""0.00""))"),"Loading...")</f>
        <v>Loading...</v>
      </c>
      <c r="L1059" s="129">
        <v>9756528.0</v>
      </c>
      <c r="M1059" s="99" t="str">
        <f>IFERROR(__xludf.DUMMYFUNCTION("GOOGLEFINANCE(A1059,""beta"")"),"#N/A")</f>
        <v>#N/A</v>
      </c>
    </row>
    <row r="1060">
      <c r="A1060" s="122" t="s">
        <v>2544</v>
      </c>
      <c r="B1060" s="123">
        <v>1828325.0</v>
      </c>
      <c r="C1060" s="124" t="s">
        <v>2545</v>
      </c>
      <c r="D1060" s="125"/>
      <c r="E1060" s="126">
        <v>0.28</v>
      </c>
      <c r="F1060" s="127"/>
      <c r="G1060" s="127"/>
      <c r="H1060" s="127"/>
      <c r="I1060" s="128"/>
      <c r="K1060" s="105" t="str">
        <f>IFERROR(__xludf.DUMMYFUNCTION("if(A1060="""","""",substitute(SUBSTITUTE(index(importhtml(""http://finviz.com/quote.ashx?t=""&amp;A1060,""table"",10),7,2),""*"",""""),""-"",""0.00""))"),"Loading...")</f>
        <v>Loading...</v>
      </c>
      <c r="L1060" s="129">
        <v>1.0628057E7</v>
      </c>
      <c r="M1060" s="99">
        <v>2.35</v>
      </c>
    </row>
    <row r="1061">
      <c r="A1061" s="122" t="s">
        <v>2546</v>
      </c>
      <c r="B1061" s="123">
        <v>1735948.0</v>
      </c>
      <c r="C1061" s="124" t="s">
        <v>2547</v>
      </c>
      <c r="D1061" s="125"/>
      <c r="E1061" s="126">
        <v>0.28</v>
      </c>
      <c r="F1061" s="127"/>
      <c r="G1061" s="127"/>
      <c r="H1061" s="127"/>
      <c r="I1061" s="128"/>
      <c r="K1061" s="105" t="str">
        <f>IFERROR(__xludf.DUMMYFUNCTION("if(A1061="""","""",substitute(SUBSTITUTE(index(importhtml(""http://finviz.com/quote.ashx?t=""&amp;A1061,""table"",10),7,2),""*"",""""),""-"",""0.00""))"),"Loading...")</f>
        <v>Loading...</v>
      </c>
      <c r="L1061" s="129">
        <v>1.1898387E7</v>
      </c>
      <c r="M1061" s="99">
        <v>2.22</v>
      </c>
    </row>
    <row r="1062">
      <c r="A1062" s="122" t="s">
        <v>2548</v>
      </c>
      <c r="B1062" s="123">
        <v>1326205.0</v>
      </c>
      <c r="C1062" s="124" t="s">
        <v>2549</v>
      </c>
      <c r="D1062" s="125"/>
      <c r="E1062" s="126">
        <v>0.28</v>
      </c>
      <c r="F1062" s="127"/>
      <c r="G1062" s="127"/>
      <c r="H1062" s="127"/>
      <c r="I1062" s="128"/>
      <c r="K1062" s="105" t="str">
        <f>IFERROR(__xludf.DUMMYFUNCTION("if(A1062="""","""",substitute(SUBSTITUTE(index(importhtml(""http://finviz.com/quote.ashx?t=""&amp;A1062,""table"",10),7,2),""*"",""""),""-"",""0.00""))"),"Loading...")</f>
        <v>Loading...</v>
      </c>
      <c r="L1062" s="129">
        <v>1.7722569E7</v>
      </c>
      <c r="M1062" s="99">
        <v>2.32</v>
      </c>
    </row>
    <row r="1063">
      <c r="A1063" s="122" t="s">
        <v>2550</v>
      </c>
      <c r="B1063" s="123">
        <v>1746278.0</v>
      </c>
      <c r="C1063" s="124" t="s">
        <v>2551</v>
      </c>
      <c r="D1063" s="125"/>
      <c r="E1063" s="126">
        <v>0.28</v>
      </c>
      <c r="F1063" s="127"/>
      <c r="G1063" s="127"/>
      <c r="H1063" s="127"/>
      <c r="I1063" s="128"/>
      <c r="K1063" s="105" t="str">
        <f>IFERROR(__xludf.DUMMYFUNCTION("if(A1063="""","""",substitute(SUBSTITUTE(index(importhtml(""http://finviz.com/quote.ashx?t=""&amp;A1063,""table"",10),7,2),""*"",""""),""-"",""0.00""))"),"Loading...")</f>
        <v>Loading...</v>
      </c>
      <c r="L1063" s="129">
        <v>1.7804493E7</v>
      </c>
      <c r="M1063" s="99">
        <v>14.3</v>
      </c>
    </row>
    <row r="1064">
      <c r="A1064" s="122" t="s">
        <v>2552</v>
      </c>
      <c r="B1064" s="123">
        <v>1795851.0</v>
      </c>
      <c r="C1064" s="124" t="s">
        <v>2553</v>
      </c>
      <c r="D1064" s="125"/>
      <c r="E1064" s="126">
        <v>0.28</v>
      </c>
      <c r="F1064" s="127"/>
      <c r="G1064" s="127"/>
      <c r="H1064" s="127"/>
      <c r="I1064" s="128"/>
      <c r="K1064" s="105" t="str">
        <f>IFERROR(__xludf.DUMMYFUNCTION("if(A1064="""","""",substitute(SUBSTITUTE(index(importhtml(""http://finviz.com/quote.ashx?t=""&amp;A1064,""table"",10),7,2),""*"",""""),""-"",""0.00""))"),"Loading...")</f>
        <v>Loading...</v>
      </c>
      <c r="L1064" s="129">
        <v>2.456852E7</v>
      </c>
      <c r="M1064" s="99">
        <v>1.96</v>
      </c>
    </row>
    <row r="1065">
      <c r="A1065" s="122" t="s">
        <v>2554</v>
      </c>
      <c r="B1065" s="123">
        <v>1763660.0</v>
      </c>
      <c r="C1065" s="124" t="s">
        <v>2555</v>
      </c>
      <c r="D1065" s="125"/>
      <c r="E1065" s="126">
        <v>0.28</v>
      </c>
      <c r="F1065" s="127"/>
      <c r="G1065" s="127"/>
      <c r="H1065" s="127"/>
      <c r="I1065" s="128"/>
      <c r="K1065" s="105" t="str">
        <f>IFERROR(__xludf.DUMMYFUNCTION("if(A1065="""","""",substitute(SUBSTITUTE(index(importhtml(""http://finviz.com/quote.ashx?t=""&amp;A1065,""table"",10),7,2),""*"",""""),""-"",""0.00""))"),"Loading...")</f>
        <v>Loading...</v>
      </c>
      <c r="L1065" s="129">
        <v>2.594812E7</v>
      </c>
      <c r="M1065" s="99">
        <v>7.17</v>
      </c>
    </row>
    <row r="1066">
      <c r="A1066" s="122" t="s">
        <v>2556</v>
      </c>
      <c r="B1066" s="123">
        <v>1421570.0</v>
      </c>
      <c r="C1066" s="124" t="s">
        <v>2557</v>
      </c>
      <c r="D1066" s="125"/>
      <c r="E1066" s="126">
        <v>0.28</v>
      </c>
      <c r="F1066" s="127"/>
      <c r="G1066" s="127"/>
      <c r="H1066" s="127"/>
      <c r="I1066" s="128"/>
      <c r="K1066" s="105" t="str">
        <f>IFERROR(__xludf.DUMMYFUNCTION("if(A1066="""","""",substitute(SUBSTITUTE(index(importhtml(""http://finviz.com/quote.ashx?t=""&amp;A1066,""table"",10),7,2),""*"",""""),""-"",""0.00""))"),"Loading...")</f>
        <v>Loading...</v>
      </c>
      <c r="L1066" s="129">
        <v>7.4824401E7</v>
      </c>
      <c r="M1066" s="99">
        <v>1.53</v>
      </c>
    </row>
    <row r="1067">
      <c r="A1067" s="122" t="s">
        <v>2558</v>
      </c>
      <c r="B1067" s="123">
        <v>1838359.0</v>
      </c>
      <c r="C1067" s="124" t="s">
        <v>2559</v>
      </c>
      <c r="D1067" s="125"/>
      <c r="E1067" s="126">
        <v>0.28</v>
      </c>
      <c r="F1067" s="127"/>
      <c r="G1067" s="127"/>
      <c r="H1067" s="127"/>
      <c r="I1067" s="128"/>
      <c r="K1067" s="105" t="str">
        <f>IFERROR(__xludf.DUMMYFUNCTION("if(A1067="""","""",substitute(SUBSTITUTE(index(importhtml(""http://finviz.com/quote.ashx?t=""&amp;A1067,""table"",10),7,2),""*"",""""),""-"",""0.00""))"),"Loading...")</f>
        <v>Loading...</v>
      </c>
      <c r="L1067" s="129">
        <v>1.86241052E8</v>
      </c>
      <c r="M1067" s="99">
        <f>IFERROR(__xludf.DUMMYFUNCTION("GOOGLEFINANCE(A1067,""beta"")"),4.29)</f>
        <v>4.29</v>
      </c>
    </row>
    <row r="1068">
      <c r="A1068" s="122" t="s">
        <v>2560</v>
      </c>
      <c r="B1068" s="123">
        <v>730669.0</v>
      </c>
      <c r="C1068" s="124" t="s">
        <v>2561</v>
      </c>
      <c r="D1068" s="125"/>
      <c r="E1068" s="126">
        <v>0.29</v>
      </c>
      <c r="F1068" s="127"/>
      <c r="G1068" s="127"/>
      <c r="H1068" s="127"/>
      <c r="I1068" s="128"/>
      <c r="K1068" s="105" t="str">
        <f>IFERROR(__xludf.DUMMYFUNCTION("if(A1068="""","""",substitute(SUBSTITUTE(index(importhtml(""http://finviz.com/quote.ashx?t=""&amp;A1068,""table"",10),7,2),""*"",""""),""-"",""0.00""))"),"Loading...")</f>
        <v>Loading...</v>
      </c>
      <c r="L1068" s="129">
        <v>1003700.0</v>
      </c>
      <c r="M1068" s="99">
        <v>1.4</v>
      </c>
    </row>
    <row r="1069">
      <c r="A1069" s="122" t="s">
        <v>2562</v>
      </c>
      <c r="B1069" s="123">
        <v>1826397.0</v>
      </c>
      <c r="C1069" s="124" t="s">
        <v>2563</v>
      </c>
      <c r="D1069" s="125"/>
      <c r="E1069" s="126">
        <v>0.29</v>
      </c>
      <c r="F1069" s="127"/>
      <c r="G1069" s="127"/>
      <c r="H1069" s="127"/>
      <c r="I1069" s="128"/>
      <c r="K1069" s="105" t="str">
        <f>IFERROR(__xludf.DUMMYFUNCTION("if(A1069="""","""",substitute(SUBSTITUTE(index(importhtml(""http://finviz.com/quote.ashx?t=""&amp;A1069,""table"",10),7,2),""*"",""""),""-"",""0.00""))"),"Loading...")</f>
        <v>Loading...</v>
      </c>
      <c r="L1069" s="129">
        <v>1534441.0</v>
      </c>
      <c r="M1069" s="99" t="str">
        <f>IFERROR(__xludf.DUMMYFUNCTION("GOOGLEFINANCE(A1069,""beta"")"),"#N/A")</f>
        <v>#N/A</v>
      </c>
    </row>
    <row r="1070">
      <c r="A1070" s="122" t="s">
        <v>2564</v>
      </c>
      <c r="B1070" s="123">
        <v>1940674.0</v>
      </c>
      <c r="C1070" s="124" t="s">
        <v>2565</v>
      </c>
      <c r="D1070" s="125"/>
      <c r="E1070" s="126">
        <v>0.29</v>
      </c>
      <c r="F1070" s="127"/>
      <c r="G1070" s="127"/>
      <c r="H1070" s="127"/>
      <c r="I1070" s="128"/>
      <c r="K1070" s="105" t="str">
        <f>IFERROR(__xludf.DUMMYFUNCTION("if(A1070="""","""",substitute(SUBSTITUTE(index(importhtml(""http://finviz.com/quote.ashx?t=""&amp;A1070,""table"",10),7,2),""*"",""""),""-"",""0.00""))"),"Loading...")</f>
        <v>Loading...</v>
      </c>
      <c r="L1070" s="129">
        <v>2974859.0</v>
      </c>
      <c r="M1070" s="99">
        <f>IFERROR(__xludf.DUMMYFUNCTION("GOOGLEFINANCE(A1070,""beta"")"),-2.75)</f>
        <v>-2.75</v>
      </c>
    </row>
    <row r="1071">
      <c r="A1071" s="122" t="s">
        <v>2566</v>
      </c>
      <c r="B1071" s="123">
        <v>1709626.0</v>
      </c>
      <c r="C1071" s="124" t="s">
        <v>2567</v>
      </c>
      <c r="D1071" s="125"/>
      <c r="E1071" s="126">
        <v>0.29</v>
      </c>
      <c r="F1071" s="127"/>
      <c r="G1071" s="127"/>
      <c r="H1071" s="127"/>
      <c r="I1071" s="128"/>
      <c r="K1071" s="105" t="str">
        <f>IFERROR(__xludf.DUMMYFUNCTION("if(A1071="""","""",substitute(SUBSTITUTE(index(importhtml(""http://finviz.com/quote.ashx?t=""&amp;A1071,""table"",10),7,2),""*"",""""),""-"",""0.00""))"),"Loading...")</f>
        <v>Loading...</v>
      </c>
      <c r="L1071" s="129">
        <v>1.5262128E7</v>
      </c>
      <c r="M1071" s="99">
        <v>0.94</v>
      </c>
    </row>
    <row r="1072">
      <c r="A1072" s="122" t="s">
        <v>2568</v>
      </c>
      <c r="B1072" s="123">
        <v>1539680.0</v>
      </c>
      <c r="C1072" s="124" t="s">
        <v>2569</v>
      </c>
      <c r="D1072" s="125"/>
      <c r="E1072" s="126">
        <v>0.29</v>
      </c>
      <c r="F1072" s="127"/>
      <c r="G1072" s="127"/>
      <c r="H1072" s="127"/>
      <c r="I1072" s="128"/>
      <c r="K1072" s="105" t="str">
        <f>IFERROR(__xludf.DUMMYFUNCTION("if(A1072="""","""",substitute(SUBSTITUTE(index(importhtml(""http://finviz.com/quote.ashx?t=""&amp;A1072,""table"",10),7,2),""*"",""""),""-"",""0.00""))"),"Loading...")</f>
        <v>Loading...</v>
      </c>
      <c r="L1072" s="129">
        <v>1.7231574E7</v>
      </c>
      <c r="M1072" s="99">
        <v>0.68</v>
      </c>
    </row>
    <row r="1073">
      <c r="A1073" s="122" t="s">
        <v>2570</v>
      </c>
      <c r="B1073" s="123">
        <v>1419951.0</v>
      </c>
      <c r="C1073" s="124" t="s">
        <v>2571</v>
      </c>
      <c r="D1073" s="125"/>
      <c r="E1073" s="126">
        <v>0.29</v>
      </c>
      <c r="F1073" s="127"/>
      <c r="G1073" s="127"/>
      <c r="H1073" s="127"/>
      <c r="I1073" s="128"/>
      <c r="K1073" s="105" t="str">
        <f>IFERROR(__xludf.DUMMYFUNCTION("if(A1073="""","""",substitute(SUBSTITUTE(index(importhtml(""http://finviz.com/quote.ashx?t=""&amp;A1073,""table"",10),7,2),""*"",""""),""-"",""0.00""))"),"Loading...")</f>
        <v>Loading...</v>
      </c>
      <c r="L1073" s="129">
        <v>2.6546747E7</v>
      </c>
      <c r="M1073" s="99">
        <f>IFERROR(__xludf.DUMMYFUNCTION("GOOGLEFINANCE(A1073,""beta"")"),3.81)</f>
        <v>3.81</v>
      </c>
    </row>
    <row r="1074">
      <c r="A1074" s="122" t="s">
        <v>2572</v>
      </c>
      <c r="B1074" s="123">
        <v>1643715.0</v>
      </c>
      <c r="C1074" s="124" t="s">
        <v>2573</v>
      </c>
      <c r="D1074" s="125"/>
      <c r="E1074" s="126">
        <v>0.29</v>
      </c>
      <c r="F1074" s="127"/>
      <c r="G1074" s="127"/>
      <c r="H1074" s="127"/>
      <c r="I1074" s="128"/>
      <c r="K1074" s="105" t="str">
        <f>IFERROR(__xludf.DUMMYFUNCTION("if(A1074="""","""",substitute(SUBSTITUTE(index(importhtml(""http://finviz.com/quote.ashx?t=""&amp;A1074,""table"",10),7,2),""*"",""""),""-"",""0.00""))"),"Loading...")</f>
        <v>Loading...</v>
      </c>
      <c r="L1074" s="129">
        <v>3.8759808E7</v>
      </c>
      <c r="M1074" s="99">
        <v>0.64</v>
      </c>
    </row>
    <row r="1075">
      <c r="A1075" s="122" t="s">
        <v>2574</v>
      </c>
      <c r="B1075" s="123">
        <v>1500305.0</v>
      </c>
      <c r="C1075" s="124" t="s">
        <v>2575</v>
      </c>
      <c r="D1075" s="125"/>
      <c r="E1075" s="126">
        <v>0.29</v>
      </c>
      <c r="F1075" s="127"/>
      <c r="G1075" s="127"/>
      <c r="H1075" s="127"/>
      <c r="I1075" s="128"/>
      <c r="K1075" s="105" t="str">
        <f>IFERROR(__xludf.DUMMYFUNCTION("if(A1075="""","""",substitute(SUBSTITUTE(index(importhtml(""http://finviz.com/quote.ashx?t=""&amp;A1075,""table"",10),7,2),""*"",""""),""-"",""0.00""))"),"Loading...")</f>
        <v>Loading...</v>
      </c>
      <c r="L1075" s="129">
        <v>8.585097E7</v>
      </c>
      <c r="M1075" s="99">
        <v>-3.06</v>
      </c>
    </row>
    <row r="1076">
      <c r="A1076" s="122" t="s">
        <v>2576</v>
      </c>
      <c r="B1076" s="123">
        <v>1528115.0</v>
      </c>
      <c r="C1076" s="124" t="s">
        <v>2577</v>
      </c>
      <c r="D1076" s="125"/>
      <c r="E1076" s="126">
        <v>0.29</v>
      </c>
      <c r="F1076" s="127"/>
      <c r="G1076" s="127"/>
      <c r="H1076" s="127"/>
      <c r="I1076" s="128"/>
      <c r="K1076" s="105" t="str">
        <f>IFERROR(__xludf.DUMMYFUNCTION("if(A1076="""","""",substitute(SUBSTITUTE(index(importhtml(""http://finviz.com/quote.ashx?t=""&amp;A1076,""table"",10),7,2),""*"",""""),""-"",""0.00""))"),"Loading...")</f>
        <v>Loading...</v>
      </c>
      <c r="L1076" s="129">
        <v>1.01539786E8</v>
      </c>
      <c r="M1076" s="99">
        <f>IFERROR(__xludf.DUMMYFUNCTION("GOOGLEFINANCE(A1076,""beta"")"),1.28)</f>
        <v>1.28</v>
      </c>
    </row>
    <row r="1077">
      <c r="A1077" s="122" t="s">
        <v>2578</v>
      </c>
      <c r="B1077" s="123">
        <v>1871321.0</v>
      </c>
      <c r="C1077" s="124" t="s">
        <v>2579</v>
      </c>
      <c r="D1077" s="125"/>
      <c r="E1077" s="126">
        <v>0.29</v>
      </c>
      <c r="F1077" s="127"/>
      <c r="G1077" s="127"/>
      <c r="H1077" s="127"/>
      <c r="I1077" s="128"/>
      <c r="K1077" s="105" t="str">
        <f>IFERROR(__xludf.DUMMYFUNCTION("if(A1077="""","""",substitute(SUBSTITUTE(index(importhtml(""http://finviz.com/quote.ashx?t=""&amp;A1077,""table"",10),7,2),""*"",""""),""-"",""0.00""))"),"Loading...")</f>
        <v>Loading...</v>
      </c>
      <c r="L1077" s="129">
        <v>2.28556692E8</v>
      </c>
      <c r="M1077" s="99">
        <f>IFERROR(__xludf.DUMMYFUNCTION("GOOGLEFINANCE(A1077,""beta"")"),2.0)</f>
        <v>2</v>
      </c>
    </row>
    <row r="1078">
      <c r="A1078" s="122" t="s">
        <v>2580</v>
      </c>
      <c r="B1078" s="123">
        <v>1877939.0</v>
      </c>
      <c r="C1078" s="124" t="s">
        <v>2581</v>
      </c>
      <c r="D1078" s="125"/>
      <c r="E1078" s="126">
        <v>0.3</v>
      </c>
      <c r="F1078" s="127"/>
      <c r="G1078" s="127"/>
      <c r="H1078" s="127"/>
      <c r="I1078" s="128"/>
      <c r="K1078" s="55" t="s">
        <v>1034</v>
      </c>
      <c r="L1078" s="129">
        <v>1.6188475E7</v>
      </c>
      <c r="M1078" s="99">
        <v>0.04</v>
      </c>
    </row>
    <row r="1079">
      <c r="A1079" s="122" t="s">
        <v>2582</v>
      </c>
      <c r="B1079" s="123">
        <v>1803096.0</v>
      </c>
      <c r="C1079" s="124" t="s">
        <v>2583</v>
      </c>
      <c r="D1079" s="125"/>
      <c r="E1079" s="126">
        <v>0.3</v>
      </c>
      <c r="F1079" s="127"/>
      <c r="G1079" s="127"/>
      <c r="H1079" s="127"/>
      <c r="I1079" s="128"/>
      <c r="K1079" s="105" t="str">
        <f>IFERROR(__xludf.DUMMYFUNCTION("if(A1079="""","""",substitute(SUBSTITUTE(index(importhtml(""http://finviz.com/quote.ashx?t=""&amp;A1079,""table"",10),7,2),""*"",""""),""-"",""0.00""))"),"Loading...")</f>
        <v>Loading...</v>
      </c>
      <c r="L1079" s="129">
        <v>860400.0</v>
      </c>
      <c r="M1079" s="99">
        <f>IFERROR(__xludf.DUMMYFUNCTION("GOOGLEFINANCE(A1079,""beta"")"),1.36)</f>
        <v>1.36</v>
      </c>
    </row>
    <row r="1080">
      <c r="A1080" s="122" t="s">
        <v>2584</v>
      </c>
      <c r="B1080" s="123">
        <v>812306.0</v>
      </c>
      <c r="C1080" s="124" t="s">
        <v>2585</v>
      </c>
      <c r="D1080" s="125"/>
      <c r="E1080" s="126">
        <v>0.3</v>
      </c>
      <c r="F1080" s="127"/>
      <c r="G1080" s="127"/>
      <c r="H1080" s="127"/>
      <c r="I1080" s="128"/>
      <c r="K1080" s="105" t="str">
        <f>IFERROR(__xludf.DUMMYFUNCTION("if(A1080="""","""",substitute(SUBSTITUTE(index(importhtml(""http://finviz.com/quote.ashx?t=""&amp;A1080,""table"",10),7,2),""*"",""""),""-"",""0.00""))"),"Loading...")</f>
        <v>Loading...</v>
      </c>
      <c r="L1080" s="129">
        <v>2424410.0</v>
      </c>
      <c r="M1080" s="99">
        <v>0.22</v>
      </c>
    </row>
    <row r="1081">
      <c r="A1081" s="122" t="s">
        <v>2586</v>
      </c>
      <c r="B1081" s="123">
        <v>1536089.0</v>
      </c>
      <c r="C1081" s="124" t="s">
        <v>2587</v>
      </c>
      <c r="D1081" s="125"/>
      <c r="E1081" s="126">
        <v>0.3</v>
      </c>
      <c r="F1081" s="127"/>
      <c r="G1081" s="127"/>
      <c r="H1081" s="127"/>
      <c r="I1081" s="128"/>
      <c r="K1081" s="105" t="str">
        <f>IFERROR(__xludf.DUMMYFUNCTION("if(A1081="""","""",substitute(SUBSTITUTE(index(importhtml(""http://finviz.com/quote.ashx?t=""&amp;A1081,""table"",10),7,2),""*"",""""),""-"",""0.00""))"),"Loading...")</f>
        <v>Loading...</v>
      </c>
      <c r="L1081" s="129">
        <v>2429160.0</v>
      </c>
      <c r="M1081" s="99">
        <v>0.1</v>
      </c>
    </row>
    <row r="1082">
      <c r="A1082" s="122" t="s">
        <v>2588</v>
      </c>
      <c r="B1082" s="123">
        <v>1342219.0</v>
      </c>
      <c r="C1082" s="124" t="s">
        <v>2589</v>
      </c>
      <c r="D1082" s="125"/>
      <c r="E1082" s="126">
        <v>0.3</v>
      </c>
      <c r="F1082" s="127"/>
      <c r="G1082" s="127"/>
      <c r="H1082" s="127"/>
      <c r="I1082" s="128"/>
      <c r="K1082" s="105" t="str">
        <f>IFERROR(__xludf.DUMMYFUNCTION("if(A1082="""","""",substitute(SUBSTITUTE(index(importhtml(""http://finviz.com/quote.ashx?t=""&amp;A1082,""table"",10),7,2),""*"",""""),""-"",""0.00""))"),"Loading...")</f>
        <v>Loading...</v>
      </c>
      <c r="L1082" s="129">
        <v>4426660.0</v>
      </c>
      <c r="M1082" s="99">
        <v>-5.18</v>
      </c>
    </row>
    <row r="1083">
      <c r="A1083" s="122" t="s">
        <v>2590</v>
      </c>
      <c r="B1083" s="123">
        <v>1829966.0</v>
      </c>
      <c r="C1083" s="124" t="s">
        <v>2591</v>
      </c>
      <c r="D1083" s="125"/>
      <c r="E1083" s="126">
        <v>0.3</v>
      </c>
      <c r="F1083" s="127"/>
      <c r="G1083" s="127"/>
      <c r="H1083" s="127"/>
      <c r="I1083" s="128"/>
      <c r="K1083" s="105" t="str">
        <f>IFERROR(__xludf.DUMMYFUNCTION("if(A1083="""","""",substitute(SUBSTITUTE(index(importhtml(""http://finviz.com/quote.ashx?t=""&amp;A1083,""table"",10),7,2),""*"",""""),""-"",""0.00""))"),"Loading...")</f>
        <v>Loading...</v>
      </c>
      <c r="L1083" s="129">
        <v>4495254.0</v>
      </c>
      <c r="M1083" s="99">
        <f>IFERROR(__xludf.DUMMYFUNCTION("GOOGLEFINANCE(A1083,""beta"")"),1.03)</f>
        <v>1.03</v>
      </c>
    </row>
    <row r="1084">
      <c r="A1084" s="122" t="s">
        <v>2592</v>
      </c>
      <c r="B1084" s="123">
        <v>1785566.0</v>
      </c>
      <c r="C1084" s="124" t="s">
        <v>2593</v>
      </c>
      <c r="D1084" s="125"/>
      <c r="E1084" s="126">
        <v>0.3</v>
      </c>
      <c r="F1084" s="127"/>
      <c r="G1084" s="127"/>
      <c r="H1084" s="127"/>
      <c r="I1084" s="128"/>
      <c r="K1084" s="105" t="str">
        <f>IFERROR(__xludf.DUMMYFUNCTION("if(A1084="""","""",substitute(SUBSTITUTE(index(importhtml(""http://finviz.com/quote.ashx?t=""&amp;A1084,""table"",10),7,2),""*"",""""),""-"",""0.00""))"),"Loading...")</f>
        <v>Loading...</v>
      </c>
      <c r="L1084" s="129">
        <v>7457951.0</v>
      </c>
      <c r="M1084" s="99">
        <v>0.37</v>
      </c>
    </row>
    <row r="1085">
      <c r="A1085" s="122" t="s">
        <v>2594</v>
      </c>
      <c r="B1085" s="123">
        <v>1813603.0</v>
      </c>
      <c r="C1085" s="124" t="s">
        <v>2595</v>
      </c>
      <c r="D1085" s="125"/>
      <c r="E1085" s="126">
        <v>0.3</v>
      </c>
      <c r="F1085" s="127"/>
      <c r="G1085" s="127"/>
      <c r="H1085" s="127"/>
      <c r="I1085" s="128"/>
      <c r="K1085" s="105" t="str">
        <f>IFERROR(__xludf.DUMMYFUNCTION("if(A1085="""","""",substitute(SUBSTITUTE(index(importhtml(""http://finviz.com/quote.ashx?t=""&amp;A1085,""table"",10),7,2),""*"",""""),""-"",""0.00""))"),"Loading...")</f>
        <v>Loading...</v>
      </c>
      <c r="L1085" s="129">
        <v>8353840.0</v>
      </c>
      <c r="M1085" s="99">
        <v>1.69</v>
      </c>
    </row>
    <row r="1086">
      <c r="A1086" s="122" t="s">
        <v>2596</v>
      </c>
      <c r="B1086" s="123">
        <v>1546853.0</v>
      </c>
      <c r="C1086" s="124" t="s">
        <v>2597</v>
      </c>
      <c r="D1086" s="125"/>
      <c r="E1086" s="126">
        <v>0.3</v>
      </c>
      <c r="F1086" s="127"/>
      <c r="G1086" s="127"/>
      <c r="H1086" s="127"/>
      <c r="I1086" s="128"/>
      <c r="K1086" s="105" t="str">
        <f>IFERROR(__xludf.DUMMYFUNCTION("if(A1086="""","""",substitute(SUBSTITUTE(index(importhtml(""http://finviz.com/quote.ashx?t=""&amp;A1086,""table"",10),7,2),""*"",""""),""-"",""0.00""))"),"Loading...")</f>
        <v>Loading...</v>
      </c>
      <c r="L1086" s="129">
        <v>1.594315E7</v>
      </c>
      <c r="M1086" s="99">
        <v>-0.99</v>
      </c>
    </row>
    <row r="1087">
      <c r="A1087" s="122" t="s">
        <v>2598</v>
      </c>
      <c r="B1087" s="123">
        <v>1676047.0</v>
      </c>
      <c r="C1087" s="124" t="s">
        <v>2599</v>
      </c>
      <c r="D1087" s="125"/>
      <c r="E1087" s="126">
        <v>0.3</v>
      </c>
      <c r="F1087" s="127"/>
      <c r="G1087" s="127"/>
      <c r="H1087" s="127"/>
      <c r="I1087" s="128"/>
      <c r="K1087" s="105" t="str">
        <f>IFERROR(__xludf.DUMMYFUNCTION("if(A1087="""","""",substitute(SUBSTITUTE(index(importhtml(""http://finviz.com/quote.ashx?t=""&amp;A1087,""table"",10),7,2),""*"",""""),""-"",""0.00""))"),"Loading...")</f>
        <v>Loading...</v>
      </c>
      <c r="L1087" s="129">
        <v>2.1854485E7</v>
      </c>
      <c r="M1087" s="99">
        <f>IFERROR(__xludf.DUMMYFUNCTION("GOOGLEFINANCE(A1087,""beta"")"),2.73)</f>
        <v>2.73</v>
      </c>
    </row>
    <row r="1088">
      <c r="A1088" s="122" t="s">
        <v>2600</v>
      </c>
      <c r="B1088" s="123">
        <v>895464.0</v>
      </c>
      <c r="C1088" s="124" t="s">
        <v>2601</v>
      </c>
      <c r="D1088" s="125"/>
      <c r="E1088" s="126">
        <v>0.3</v>
      </c>
      <c r="F1088" s="127"/>
      <c r="G1088" s="127"/>
      <c r="H1088" s="127"/>
      <c r="I1088" s="128"/>
      <c r="K1088" s="105" t="str">
        <f>IFERROR(__xludf.DUMMYFUNCTION("if(A1088="""","""",substitute(SUBSTITUTE(index(importhtml(""http://finviz.com/quote.ashx?t=""&amp;A1088,""table"",10),7,2),""*"",""""),""-"",""0.00""))"),"Loading...")</f>
        <v>Loading...</v>
      </c>
      <c r="L1088" s="129">
        <v>3.594624E7</v>
      </c>
      <c r="M1088" s="99">
        <v>5.69</v>
      </c>
    </row>
    <row r="1089">
      <c r="A1089" s="122" t="s">
        <v>2602</v>
      </c>
      <c r="B1089" s="123">
        <v>839087.0</v>
      </c>
      <c r="C1089" s="124" t="s">
        <v>2603</v>
      </c>
      <c r="D1089" s="125"/>
      <c r="E1089" s="126">
        <v>0.3</v>
      </c>
      <c r="F1089" s="127"/>
      <c r="G1089" s="127"/>
      <c r="H1089" s="127"/>
      <c r="I1089" s="128"/>
      <c r="K1089" s="105" t="str">
        <f>IFERROR(__xludf.DUMMYFUNCTION("if(A1089="""","""",substitute(SUBSTITUTE(index(importhtml(""http://finviz.com/quote.ashx?t=""&amp;A1089,""table"",10),7,2),""*"",""""),""-"",""0.00""))"),"Loading...")</f>
        <v>Loading...</v>
      </c>
      <c r="L1089" s="129">
        <v>5.3140532E7</v>
      </c>
      <c r="M1089" s="99">
        <v>2.01</v>
      </c>
    </row>
    <row r="1090">
      <c r="A1090" s="122" t="s">
        <v>2604</v>
      </c>
      <c r="B1090" s="123">
        <v>1823593.0</v>
      </c>
      <c r="C1090" s="124" t="s">
        <v>2605</v>
      </c>
      <c r="D1090" s="125"/>
      <c r="E1090" s="126">
        <v>0.3</v>
      </c>
      <c r="F1090" s="127"/>
      <c r="G1090" s="127"/>
      <c r="H1090" s="127"/>
      <c r="I1090" s="128"/>
      <c r="K1090" s="105" t="str">
        <f>IFERROR(__xludf.DUMMYFUNCTION("if(A1090="""","""",substitute(SUBSTITUTE(index(importhtml(""http://finviz.com/quote.ashx?t=""&amp;A1090,""table"",10),7,2),""*"",""""),""-"",""0.00""))"),"Loading...")</f>
        <v>Loading...</v>
      </c>
      <c r="L1090" s="129">
        <v>6.7988267E7</v>
      </c>
      <c r="M1090" s="99" t="str">
        <f>IFERROR(__xludf.DUMMYFUNCTION("GOOGLEFINANCE(A1090,""beta"")"),"#N/A")</f>
        <v>#N/A</v>
      </c>
    </row>
    <row r="1091">
      <c r="A1091" s="122" t="s">
        <v>2606</v>
      </c>
      <c r="B1091" s="123">
        <v>1390352.0</v>
      </c>
      <c r="C1091" s="124" t="s">
        <v>2607</v>
      </c>
      <c r="D1091" s="125"/>
      <c r="E1091" s="126">
        <v>0.3</v>
      </c>
      <c r="F1091" s="127"/>
      <c r="G1091" s="127"/>
      <c r="H1091" s="127"/>
      <c r="I1091" s="128"/>
      <c r="K1091" s="105" t="str">
        <f>IFERROR(__xludf.DUMMYFUNCTION("if(A1091="""","""",substitute(SUBSTITUTE(index(importhtml(""http://finviz.com/quote.ashx?t=""&amp;A1091,""table"",10),7,2),""*"",""""),""-"",""0.00""))"),"Loading...")</f>
        <v>Loading...</v>
      </c>
      <c r="L1091" s="129">
        <v>8.5829207E7</v>
      </c>
      <c r="M1091" s="99">
        <v>1.57</v>
      </c>
    </row>
    <row r="1092">
      <c r="A1092" s="122" t="s">
        <v>2608</v>
      </c>
      <c r="B1092" s="123">
        <v>1785493.0</v>
      </c>
      <c r="C1092" s="124" t="s">
        <v>2609</v>
      </c>
      <c r="D1092" s="125"/>
      <c r="E1092" s="126">
        <v>0.3</v>
      </c>
      <c r="F1092" s="127"/>
      <c r="G1092" s="127"/>
      <c r="H1092" s="127"/>
      <c r="I1092" s="128"/>
      <c r="K1092" s="105" t="str">
        <f>IFERROR(__xludf.DUMMYFUNCTION("if(A1092="""","""",substitute(SUBSTITUTE(index(importhtml(""http://finviz.com/quote.ashx?t=""&amp;A1092,""table"",10),7,2),""*"",""""),""-"",""0.00""))"),"Loading...")</f>
        <v>Loading...</v>
      </c>
      <c r="L1092" s="129">
        <v>9.980985E7</v>
      </c>
      <c r="M1092" s="99" t="str">
        <f>IFERROR(__xludf.DUMMYFUNCTION("GOOGLEFINANCE(A1092,""beta"")"),"#N/A")</f>
        <v>#N/A</v>
      </c>
    </row>
    <row r="1093">
      <c r="A1093" s="122" t="s">
        <v>2610</v>
      </c>
      <c r="B1093" s="123">
        <v>1835654.0</v>
      </c>
      <c r="C1093" s="124" t="s">
        <v>2611</v>
      </c>
      <c r="D1093" s="125"/>
      <c r="E1093" s="126">
        <v>0.3</v>
      </c>
      <c r="F1093" s="127"/>
      <c r="G1093" s="127"/>
      <c r="H1093" s="127"/>
      <c r="I1093" s="128"/>
      <c r="K1093" s="105" t="str">
        <f>IFERROR(__xludf.DUMMYFUNCTION("if(A1093="""","""",substitute(SUBSTITUTE(index(importhtml(""http://finviz.com/quote.ashx?t=""&amp;A1093,""table"",10),7,2),""*"",""""),""-"",""0.00""))"),"Loading...")</f>
        <v>Loading...</v>
      </c>
      <c r="L1093" s="129">
        <v>2.73717394E8</v>
      </c>
      <c r="M1093" s="99">
        <v>2.16</v>
      </c>
    </row>
    <row r="1094">
      <c r="A1094" s="122" t="s">
        <v>2612</v>
      </c>
      <c r="B1094" s="123">
        <v>1721386.0</v>
      </c>
      <c r="C1094" s="124" t="s">
        <v>2613</v>
      </c>
      <c r="D1094" s="125"/>
      <c r="E1094" s="126">
        <v>0.3</v>
      </c>
      <c r="F1094" s="127"/>
      <c r="G1094" s="127"/>
      <c r="H1094" s="127"/>
      <c r="I1094" s="128"/>
      <c r="K1094" s="105" t="str">
        <f>IFERROR(__xludf.DUMMYFUNCTION("if(A1094="""","""",substitute(SUBSTITUTE(index(importhtml(""http://finviz.com/quote.ashx?t=""&amp;A1094,""table"",10),7,2),""*"",""""),""-"",""0.00""))"),"Loading...")</f>
        <v>Loading...</v>
      </c>
      <c r="L1094" s="129">
        <v>4.73951555E8</v>
      </c>
      <c r="M1094" s="99">
        <v>2.92</v>
      </c>
    </row>
    <row r="1095">
      <c r="A1095" s="122" t="s">
        <v>2614</v>
      </c>
      <c r="B1095" s="123">
        <v>1845815.0</v>
      </c>
      <c r="C1095" s="124" t="s">
        <v>2615</v>
      </c>
      <c r="D1095" s="125"/>
      <c r="E1095" s="126">
        <v>0.3</v>
      </c>
      <c r="F1095" s="127"/>
      <c r="G1095" s="127"/>
      <c r="H1095" s="127"/>
      <c r="I1095" s="128"/>
      <c r="K1095" s="105" t="str">
        <f>IFERROR(__xludf.DUMMYFUNCTION("if(A1095="""","""",substitute(SUBSTITUTE(index(importhtml(""http://finviz.com/quote.ashx?t=""&amp;A1095,""table"",10),7,2),""*"",""""),""-"",""0.00""))"),"Loading...")</f>
        <v>Loading...</v>
      </c>
      <c r="L1095" s="129">
        <v>1.762006866E9</v>
      </c>
      <c r="M1095" s="99">
        <v>1.75</v>
      </c>
    </row>
    <row r="1096">
      <c r="A1096" s="122" t="s">
        <v>2616</v>
      </c>
      <c r="B1096" s="123">
        <v>1547873.0</v>
      </c>
      <c r="C1096" s="124" t="s">
        <v>2617</v>
      </c>
      <c r="D1096" s="125"/>
      <c r="E1096" s="126">
        <v>0.3</v>
      </c>
      <c r="F1096" s="127"/>
      <c r="G1096" s="127"/>
      <c r="H1096" s="127"/>
      <c r="I1096" s="128"/>
      <c r="K1096" s="105" t="str">
        <f>IFERROR(__xludf.DUMMYFUNCTION("if(A1096="""","""",substitute(SUBSTITUTE(index(importhtml(""http://finviz.com/quote.ashx?t=""&amp;A1096,""table"",10),7,2),""*"",""""),""-"",""0.00""))"),"Loading...")</f>
        <v>Loading...</v>
      </c>
      <c r="L1096" s="129">
        <v>4.736506815E14</v>
      </c>
      <c r="M1096" s="99">
        <v>-25.93</v>
      </c>
    </row>
    <row r="1097">
      <c r="A1097" s="122" t="s">
        <v>2618</v>
      </c>
      <c r="B1097" s="123">
        <v>1292519.0</v>
      </c>
      <c r="C1097" s="124" t="s">
        <v>2619</v>
      </c>
      <c r="D1097" s="125"/>
      <c r="E1097" s="126">
        <v>0.31</v>
      </c>
      <c r="F1097" s="127"/>
      <c r="G1097" s="127"/>
      <c r="H1097" s="127"/>
      <c r="I1097" s="128"/>
      <c r="K1097" s="105" t="str">
        <f>IFERROR(__xludf.DUMMYFUNCTION("if(A1097="""","""",substitute(SUBSTITUTE(index(importhtml(""http://finviz.com/quote.ashx?t=""&amp;A1097,""table"",10),7,2),""*"",""""),""-"",""0.00""))"),"Loading...")</f>
        <v>Loading...</v>
      </c>
      <c r="L1097" s="129">
        <v>974947.0</v>
      </c>
      <c r="M1097" s="99">
        <v>0.65</v>
      </c>
    </row>
    <row r="1098">
      <c r="A1098" s="122" t="s">
        <v>2620</v>
      </c>
      <c r="B1098" s="123">
        <v>847942.0</v>
      </c>
      <c r="C1098" s="124" t="s">
        <v>2621</v>
      </c>
      <c r="D1098" s="125"/>
      <c r="E1098" s="126">
        <v>0.31</v>
      </c>
      <c r="F1098" s="127"/>
      <c r="G1098" s="127"/>
      <c r="H1098" s="127"/>
      <c r="I1098" s="128"/>
      <c r="K1098" s="105" t="str">
        <f>IFERROR(__xludf.DUMMYFUNCTION("if(A1098="""","""",substitute(SUBSTITUTE(index(importhtml(""http://finviz.com/quote.ashx?t=""&amp;A1098,""table"",10),7,2),""*"",""""),""-"",""0.00""))"),"Loading...")</f>
        <v>Loading...</v>
      </c>
      <c r="L1098" s="129">
        <v>2089280.0</v>
      </c>
      <c r="M1098" s="99">
        <v>-1.49</v>
      </c>
    </row>
    <row r="1099">
      <c r="A1099" s="122" t="s">
        <v>2622</v>
      </c>
      <c r="B1099" s="123">
        <v>709005.0</v>
      </c>
      <c r="C1099" s="124" t="s">
        <v>2623</v>
      </c>
      <c r="D1099" s="125"/>
      <c r="E1099" s="126">
        <v>0.31</v>
      </c>
      <c r="F1099" s="127"/>
      <c r="G1099" s="127"/>
      <c r="H1099" s="127"/>
      <c r="I1099" s="128"/>
      <c r="K1099" s="105" t="str">
        <f>IFERROR(__xludf.DUMMYFUNCTION("if(A1099="""","""",substitute(SUBSTITUTE(index(importhtml(""http://finviz.com/quote.ashx?t=""&amp;A1099,""table"",10),7,2),""*"",""""),""-"",""0.00""))"),"Loading...")</f>
        <v>Loading...</v>
      </c>
      <c r="L1099" s="129">
        <v>6787932.0</v>
      </c>
      <c r="M1099" s="99">
        <v>0.84</v>
      </c>
    </row>
    <row r="1100">
      <c r="A1100" s="122" t="s">
        <v>2624</v>
      </c>
      <c r="B1100" s="123">
        <v>1460602.0</v>
      </c>
      <c r="C1100" s="124" t="s">
        <v>2625</v>
      </c>
      <c r="D1100" s="125"/>
      <c r="E1100" s="126">
        <v>0.31</v>
      </c>
      <c r="F1100" s="127"/>
      <c r="G1100" s="127"/>
      <c r="H1100" s="127"/>
      <c r="I1100" s="128"/>
      <c r="K1100" s="105" t="str">
        <f>IFERROR(__xludf.DUMMYFUNCTION("if(A1100="""","""",substitute(SUBSTITUTE(index(importhtml(""http://finviz.com/quote.ashx?t=""&amp;A1100,""table"",10),7,2),""*"",""""),""-"",""0.00""))"),"Loading...")</f>
        <v>Loading...</v>
      </c>
      <c r="L1100" s="129">
        <v>1.0292921E7</v>
      </c>
      <c r="M1100" s="99">
        <v>0.82</v>
      </c>
    </row>
    <row r="1101">
      <c r="A1101" s="122" t="s">
        <v>2626</v>
      </c>
      <c r="B1101" s="123">
        <v>1811115.0</v>
      </c>
      <c r="C1101" s="124" t="s">
        <v>2072</v>
      </c>
      <c r="D1101" s="125"/>
      <c r="E1101" s="126">
        <v>0.31</v>
      </c>
      <c r="F1101" s="127"/>
      <c r="G1101" s="127"/>
      <c r="H1101" s="127"/>
      <c r="I1101" s="128"/>
      <c r="K1101" s="105" t="str">
        <f>IFERROR(__xludf.DUMMYFUNCTION("if(A1101="""","""",substitute(SUBSTITUTE(index(importhtml(""http://finviz.com/quote.ashx?t=""&amp;A1101,""table"",10),7,2),""*"",""""),""-"",""0.00""))"),"Loading...")</f>
        <v>Loading...</v>
      </c>
      <c r="L1101" s="129">
        <v>1.4916756E7</v>
      </c>
      <c r="M1101" s="99">
        <v>2.11</v>
      </c>
    </row>
    <row r="1102">
      <c r="A1102" s="122" t="s">
        <v>2627</v>
      </c>
      <c r="B1102" s="123">
        <v>1321517.0</v>
      </c>
      <c r="C1102" s="124" t="s">
        <v>2628</v>
      </c>
      <c r="D1102" s="125"/>
      <c r="E1102" s="126">
        <v>0.31</v>
      </c>
      <c r="F1102" s="127"/>
      <c r="G1102" s="127"/>
      <c r="H1102" s="127"/>
      <c r="I1102" s="128"/>
      <c r="K1102" s="105" t="str">
        <f>IFERROR(__xludf.DUMMYFUNCTION("if(A1102="""","""",substitute(SUBSTITUTE(index(importhtml(""http://finviz.com/quote.ashx?t=""&amp;A1102,""table"",10),7,2),""*"",""""),""-"",""0.00""))"),"Loading...")</f>
        <v>Loading...</v>
      </c>
      <c r="L1102" s="129">
        <v>1.4938621E7</v>
      </c>
      <c r="M1102" s="99">
        <f>IFERROR(__xludf.DUMMYFUNCTION("GOOGLEFINANCE(A1102,""beta"")"),-1.96)</f>
        <v>-1.96</v>
      </c>
    </row>
    <row r="1103">
      <c r="A1103" s="122" t="s">
        <v>2629</v>
      </c>
      <c r="B1103" s="123">
        <v>1481443.0</v>
      </c>
      <c r="C1103" s="124" t="s">
        <v>2630</v>
      </c>
      <c r="D1103" s="125"/>
      <c r="E1103" s="126">
        <v>0.31</v>
      </c>
      <c r="F1103" s="127"/>
      <c r="G1103" s="127"/>
      <c r="H1103" s="127"/>
      <c r="I1103" s="128"/>
      <c r="K1103" s="105" t="str">
        <f>IFERROR(__xludf.DUMMYFUNCTION("if(A1103="""","""",substitute(SUBSTITUTE(index(importhtml(""http://finviz.com/quote.ashx?t=""&amp;A1103,""table"",10),7,2),""*"",""""),""-"",""0.00""))"),"Loading...")</f>
        <v>Loading...</v>
      </c>
      <c r="L1103" s="129">
        <v>2.0146977E7</v>
      </c>
      <c r="M1103" s="99">
        <v>3.48</v>
      </c>
    </row>
    <row r="1104">
      <c r="A1104" s="122" t="s">
        <v>2631</v>
      </c>
      <c r="B1104" s="123">
        <v>1169138.0</v>
      </c>
      <c r="C1104" s="124" t="s">
        <v>2632</v>
      </c>
      <c r="D1104" s="125"/>
      <c r="E1104" s="126">
        <v>0.31</v>
      </c>
      <c r="F1104" s="127"/>
      <c r="G1104" s="127"/>
      <c r="H1104" s="127"/>
      <c r="I1104" s="128"/>
      <c r="K1104" s="105" t="str">
        <f>IFERROR(__xludf.DUMMYFUNCTION("if(A1104="""","""",substitute(SUBSTITUTE(index(importhtml(""http://finviz.com/quote.ashx?t=""&amp;A1104,""table"",10),7,2),""*"",""""),""-"",""0.00""))"),"Loading...")</f>
        <v>Loading...</v>
      </c>
      <c r="L1104" s="129">
        <v>2.7521167E7</v>
      </c>
      <c r="M1104" s="99">
        <v>-22.66</v>
      </c>
    </row>
    <row r="1105">
      <c r="A1105" s="122" t="s">
        <v>2633</v>
      </c>
      <c r="B1105" s="123">
        <v>1394039.0</v>
      </c>
      <c r="C1105" s="124" t="s">
        <v>2634</v>
      </c>
      <c r="D1105" s="125"/>
      <c r="E1105" s="126">
        <v>0.31</v>
      </c>
      <c r="F1105" s="127"/>
      <c r="G1105" s="127"/>
      <c r="H1105" s="127"/>
      <c r="I1105" s="128"/>
      <c r="K1105" s="105" t="str">
        <f>IFERROR(__xludf.DUMMYFUNCTION("if(A1105="""","""",substitute(SUBSTITUTE(index(importhtml(""http://finviz.com/quote.ashx?t=""&amp;A1105,""table"",10),7,2),""*"",""""),""-"",""0.00""))"),"Loading...")</f>
        <v>Loading...</v>
      </c>
      <c r="L1105" s="129">
        <v>6.0259216E7</v>
      </c>
      <c r="M1105" s="99">
        <v>1.36</v>
      </c>
    </row>
    <row r="1106">
      <c r="A1106" s="122" t="s">
        <v>2635</v>
      </c>
      <c r="B1106" s="123">
        <v>1852633.0</v>
      </c>
      <c r="C1106" s="124" t="s">
        <v>2636</v>
      </c>
      <c r="D1106" s="125"/>
      <c r="E1106" s="126">
        <v>0.32</v>
      </c>
      <c r="F1106" s="127"/>
      <c r="G1106" s="127"/>
      <c r="H1106" s="127"/>
      <c r="I1106" s="128"/>
      <c r="K1106" s="55" t="s">
        <v>1034</v>
      </c>
      <c r="L1106" s="129">
        <v>8.8763345E7</v>
      </c>
      <c r="M1106" s="99">
        <v>1.48</v>
      </c>
    </row>
    <row r="1107">
      <c r="A1107" s="122" t="s">
        <v>2637</v>
      </c>
      <c r="B1107" s="123">
        <v>1592603.0</v>
      </c>
      <c r="C1107" s="124" t="s">
        <v>2638</v>
      </c>
      <c r="D1107" s="125"/>
      <c r="E1107" s="126">
        <v>0.32</v>
      </c>
      <c r="F1107" s="127"/>
      <c r="G1107" s="127"/>
      <c r="H1107" s="127"/>
      <c r="I1107" s="128"/>
      <c r="K1107" s="105" t="str">
        <f>IFERROR(__xludf.DUMMYFUNCTION("if(A1107="""","""",substitute(SUBSTITUTE(index(importhtml(""http://finviz.com/quote.ashx?t=""&amp;A1107,""table"",10),7,2),""*"",""""),""-"",""0.00""))"),"Loading...")</f>
        <v>Loading...</v>
      </c>
      <c r="L1107" s="129">
        <v>7360.0</v>
      </c>
      <c r="M1107" s="130" t="e">
        <v>#N/A</v>
      </c>
    </row>
    <row r="1108">
      <c r="A1108" s="122" t="s">
        <v>2639</v>
      </c>
      <c r="B1108" s="123">
        <v>1499717.0</v>
      </c>
      <c r="C1108" s="124" t="s">
        <v>2640</v>
      </c>
      <c r="D1108" s="125"/>
      <c r="E1108" s="126">
        <v>0.32</v>
      </c>
      <c r="F1108" s="127"/>
      <c r="G1108" s="127"/>
      <c r="H1108" s="127"/>
      <c r="I1108" s="128"/>
      <c r="K1108" s="105" t="str">
        <f>IFERROR(__xludf.DUMMYFUNCTION("if(A1108="""","""",substitute(SUBSTITUTE(index(importhtml(""http://finviz.com/quote.ashx?t=""&amp;A1108,""table"",10),7,2),""*"",""""),""-"",""0.00""))"),"Loading...")</f>
        <v>Loading...</v>
      </c>
      <c r="L1108" s="129">
        <v>2495964.0</v>
      </c>
      <c r="M1108" s="99">
        <v>0.49</v>
      </c>
    </row>
    <row r="1109">
      <c r="A1109" s="122" t="s">
        <v>2641</v>
      </c>
      <c r="B1109" s="123">
        <v>830656.0</v>
      </c>
      <c r="C1109" s="124" t="s">
        <v>2642</v>
      </c>
      <c r="D1109" s="125"/>
      <c r="E1109" s="126">
        <v>0.32</v>
      </c>
      <c r="F1109" s="127"/>
      <c r="G1109" s="127"/>
      <c r="H1109" s="127"/>
      <c r="I1109" s="128"/>
      <c r="K1109" s="105" t="str">
        <f>IFERROR(__xludf.DUMMYFUNCTION("if(A1109="""","""",substitute(SUBSTITUTE(index(importhtml(""http://finviz.com/quote.ashx?t=""&amp;A1109,""table"",10),7,2),""*"",""""),""-"",""0.00""))"),"Loading...")</f>
        <v>Loading...</v>
      </c>
      <c r="L1109" s="129">
        <v>6952457.0</v>
      </c>
      <c r="M1109" s="99">
        <v>0.04</v>
      </c>
    </row>
    <row r="1110">
      <c r="A1110" s="122" t="s">
        <v>2643</v>
      </c>
      <c r="B1110" s="123">
        <v>1348952.0</v>
      </c>
      <c r="C1110" s="124" t="s">
        <v>2644</v>
      </c>
      <c r="D1110" s="125"/>
      <c r="E1110" s="126">
        <v>0.32</v>
      </c>
      <c r="F1110" s="127"/>
      <c r="G1110" s="127"/>
      <c r="H1110" s="127"/>
      <c r="I1110" s="128"/>
      <c r="K1110" s="105" t="str">
        <f>IFERROR(__xludf.DUMMYFUNCTION("if(A1110="""","""",substitute(SUBSTITUTE(index(importhtml(""http://finviz.com/quote.ashx?t=""&amp;A1110,""table"",10),7,2),""*"",""""),""-"",""0.00""))"),"Loading...")</f>
        <v>Loading...</v>
      </c>
      <c r="L1110" s="129">
        <v>9004306.0</v>
      </c>
      <c r="M1110" s="99">
        <v>0.49</v>
      </c>
    </row>
    <row r="1111">
      <c r="A1111" s="122" t="s">
        <v>2645</v>
      </c>
      <c r="B1111" s="123">
        <v>1914818.0</v>
      </c>
      <c r="C1111" s="124" t="s">
        <v>2646</v>
      </c>
      <c r="D1111" s="125"/>
      <c r="E1111" s="126">
        <v>0.32</v>
      </c>
      <c r="F1111" s="127"/>
      <c r="G1111" s="127"/>
      <c r="H1111" s="127"/>
      <c r="I1111" s="128"/>
      <c r="K1111" s="105" t="str">
        <f>IFERROR(__xludf.DUMMYFUNCTION("if(A1111="""","""",substitute(SUBSTITUTE(index(importhtml(""http://finviz.com/quote.ashx?t=""&amp;A1111,""table"",10),7,2),""*"",""""),""-"",""0.00""))"),"Loading...")</f>
        <v>Loading...</v>
      </c>
      <c r="L1111" s="129">
        <v>2.6822004E7</v>
      </c>
      <c r="M1111" s="99" t="str">
        <f>IFERROR(__xludf.DUMMYFUNCTION("GOOGLEFINANCE(A1111,""beta"")"),"#N/A")</f>
        <v>#N/A</v>
      </c>
    </row>
    <row r="1112">
      <c r="A1112" s="122" t="s">
        <v>2647</v>
      </c>
      <c r="B1112" s="123">
        <v>1797762.0</v>
      </c>
      <c r="C1112" s="124" t="s">
        <v>2648</v>
      </c>
      <c r="D1112" s="125"/>
      <c r="E1112" s="126">
        <v>0.32</v>
      </c>
      <c r="F1112" s="127"/>
      <c r="G1112" s="127"/>
      <c r="H1112" s="127"/>
      <c r="I1112" s="128"/>
      <c r="K1112" s="105" t="str">
        <f>IFERROR(__xludf.DUMMYFUNCTION("if(A1112="""","""",substitute(SUBSTITUTE(index(importhtml(""http://finviz.com/quote.ashx?t=""&amp;A1112,""table"",10),7,2),""*"",""""),""-"",""0.00""))"),"Loading...")</f>
        <v>Loading...</v>
      </c>
      <c r="L1112" s="129">
        <v>3.26024E7</v>
      </c>
      <c r="M1112" s="99" t="str">
        <f>IFERROR(__xludf.DUMMYFUNCTION("GOOGLEFINANCE(A1112,""beta"")"),"#N/A")</f>
        <v>#N/A</v>
      </c>
    </row>
    <row r="1113">
      <c r="A1113" s="122" t="s">
        <v>2649</v>
      </c>
      <c r="B1113" s="123">
        <v>1823144.0</v>
      </c>
      <c r="C1113" s="124" t="s">
        <v>2650</v>
      </c>
      <c r="D1113" s="125"/>
      <c r="E1113" s="126">
        <v>0.32</v>
      </c>
      <c r="F1113" s="127"/>
      <c r="G1113" s="127"/>
      <c r="H1113" s="127"/>
      <c r="I1113" s="128"/>
      <c r="K1113" s="105" t="str">
        <f>IFERROR(__xludf.DUMMYFUNCTION("if(A1113="""","""",substitute(SUBSTITUTE(index(importhtml(""http://finviz.com/quote.ashx?t=""&amp;A1113,""table"",10),7,2),""*"",""""),""-"",""0.00""))"),"Loading...")</f>
        <v>Loading...</v>
      </c>
      <c r="L1113" s="129">
        <v>4.11646048E8</v>
      </c>
      <c r="M1113" s="99">
        <v>1.02</v>
      </c>
    </row>
    <row r="1114">
      <c r="A1114" s="122" t="s">
        <v>2651</v>
      </c>
      <c r="B1114" s="123">
        <v>1828108.0</v>
      </c>
      <c r="C1114" s="124" t="s">
        <v>2652</v>
      </c>
      <c r="D1114" s="125"/>
      <c r="E1114" s="126">
        <v>0.32</v>
      </c>
      <c r="F1114" s="127"/>
      <c r="G1114" s="127"/>
      <c r="H1114" s="127"/>
      <c r="I1114" s="128"/>
      <c r="K1114" s="105" t="str">
        <f>IFERROR(__xludf.DUMMYFUNCTION("if(A1114="""","""",substitute(SUBSTITUTE(index(importhtml(""http://finviz.com/quote.ashx?t=""&amp;A1114,""table"",10),7,2),""*"",""""),""-"",""0.00""))"),"Loading...")</f>
        <v>Loading...</v>
      </c>
      <c r="L1114" s="129">
        <v>4.787332344E9</v>
      </c>
      <c r="M1114" s="99">
        <f>IFERROR(__xludf.DUMMYFUNCTION("GOOGLEFINANCE(A1114,""beta"")"),3.44)</f>
        <v>3.44</v>
      </c>
    </row>
    <row r="1115">
      <c r="A1115" s="122" t="s">
        <v>2653</v>
      </c>
      <c r="B1115" s="123">
        <v>1268896.0</v>
      </c>
      <c r="C1115" s="124" t="s">
        <v>2654</v>
      </c>
      <c r="D1115" s="125"/>
      <c r="E1115" s="126">
        <v>0.32</v>
      </c>
      <c r="F1115" s="127"/>
      <c r="G1115" s="127"/>
      <c r="H1115" s="127"/>
      <c r="I1115" s="128"/>
      <c r="K1115" s="105" t="str">
        <f>IFERROR(__xludf.DUMMYFUNCTION("if(A1115="""","""",substitute(SUBSTITUTE(index(importhtml(""http://finviz.com/quote.ashx?t=""&amp;A1115,""table"",10),7,2),""*"",""""),""-"",""0.00""))"),"Loading...")</f>
        <v>Loading...</v>
      </c>
      <c r="L1115" s="129" t="e">
        <v>#N/A</v>
      </c>
      <c r="M1115" s="99" t="str">
        <f>IFERROR(__xludf.DUMMYFUNCTION("GOOGLEFINANCE(A1115,""beta"")"),"#N/A")</f>
        <v>#N/A</v>
      </c>
    </row>
    <row r="1116">
      <c r="A1116" s="122" t="s">
        <v>2655</v>
      </c>
      <c r="B1116" s="123">
        <v>1293818.0</v>
      </c>
      <c r="C1116" s="124" t="s">
        <v>2656</v>
      </c>
      <c r="D1116" s="125"/>
      <c r="E1116" s="126">
        <v>0.33</v>
      </c>
      <c r="F1116" s="127"/>
      <c r="G1116" s="127"/>
      <c r="H1116" s="127"/>
      <c r="I1116" s="128"/>
      <c r="K1116" s="105" t="str">
        <f>IFERROR(__xludf.DUMMYFUNCTION("if(A1116="""","""",substitute(SUBSTITUTE(index(importhtml(""http://finviz.com/quote.ashx?t=""&amp;A1116,""table"",10),7,2),""*"",""""),""-"",""0.00""))"),"Loading...")</f>
        <v>Loading...</v>
      </c>
      <c r="L1116" s="129">
        <v>3296483.0</v>
      </c>
      <c r="M1116" s="99">
        <v>-0.9</v>
      </c>
    </row>
    <row r="1117">
      <c r="A1117" s="122" t="s">
        <v>2657</v>
      </c>
      <c r="B1117" s="123">
        <v>1737995.0</v>
      </c>
      <c r="C1117" s="124" t="s">
        <v>2658</v>
      </c>
      <c r="D1117" s="125"/>
      <c r="E1117" s="126">
        <v>0.33</v>
      </c>
      <c r="F1117" s="127"/>
      <c r="G1117" s="127"/>
      <c r="H1117" s="127"/>
      <c r="I1117" s="128"/>
      <c r="K1117" s="105" t="str">
        <f>IFERROR(__xludf.DUMMYFUNCTION("if(A1117="""","""",substitute(SUBSTITUTE(index(importhtml(""http://finviz.com/quote.ashx?t=""&amp;A1117,""table"",10),7,2),""*"",""""),""-"",""0.00""))"),"Loading...")</f>
        <v>Loading...</v>
      </c>
      <c r="L1117" s="129">
        <v>5089450.0</v>
      </c>
      <c r="M1117" s="99">
        <f>IFERROR(__xludf.DUMMYFUNCTION("GOOGLEFINANCE(A1117,""beta"")"),2.14)</f>
        <v>2.14</v>
      </c>
    </row>
    <row r="1118">
      <c r="A1118" s="122" t="s">
        <v>2659</v>
      </c>
      <c r="B1118" s="123">
        <v>1021435.0</v>
      </c>
      <c r="C1118" s="124" t="s">
        <v>2660</v>
      </c>
      <c r="D1118" s="125"/>
      <c r="E1118" s="126">
        <v>0.33</v>
      </c>
      <c r="F1118" s="127"/>
      <c r="G1118" s="127"/>
      <c r="H1118" s="127"/>
      <c r="I1118" s="128"/>
      <c r="K1118" s="105" t="str">
        <f>IFERROR(__xludf.DUMMYFUNCTION("if(A1118="""","""",substitute(SUBSTITUTE(index(importhtml(""http://finviz.com/quote.ashx?t=""&amp;A1118,""table"",10),7,2),""*"",""""),""-"",""0.00""))"),"Loading...")</f>
        <v>Loading...</v>
      </c>
      <c r="L1118" s="129">
        <v>6262130.0</v>
      </c>
      <c r="M1118" s="99">
        <v>1.04</v>
      </c>
    </row>
    <row r="1119">
      <c r="A1119" s="122" t="s">
        <v>2661</v>
      </c>
      <c r="B1119" s="123">
        <v>1801754.0</v>
      </c>
      <c r="C1119" s="124" t="s">
        <v>2662</v>
      </c>
      <c r="D1119" s="125"/>
      <c r="E1119" s="126">
        <v>0.33</v>
      </c>
      <c r="F1119" s="127"/>
      <c r="G1119" s="127"/>
      <c r="H1119" s="127"/>
      <c r="I1119" s="128"/>
      <c r="K1119" s="105" t="str">
        <f>IFERROR(__xludf.DUMMYFUNCTION("if(A1119="""","""",substitute(SUBSTITUTE(index(importhtml(""http://finviz.com/quote.ashx?t=""&amp;A1119,""table"",10),7,2),""*"",""""),""-"",""0.00""))"),"Loading...")</f>
        <v>Loading...</v>
      </c>
      <c r="L1119" s="129">
        <v>1.379815E7</v>
      </c>
      <c r="M1119" s="99">
        <v>1.36</v>
      </c>
    </row>
    <row r="1120">
      <c r="A1120" s="122" t="s">
        <v>2663</v>
      </c>
      <c r="B1120" s="123">
        <v>1430306.0</v>
      </c>
      <c r="C1120" s="124" t="s">
        <v>2664</v>
      </c>
      <c r="D1120" s="125"/>
      <c r="E1120" s="126">
        <v>0.33</v>
      </c>
      <c r="F1120" s="127"/>
      <c r="G1120" s="127"/>
      <c r="H1120" s="127"/>
      <c r="I1120" s="128"/>
      <c r="K1120" s="105" t="str">
        <f>IFERROR(__xludf.DUMMYFUNCTION("if(A1120="""","""",substitute(SUBSTITUTE(index(importhtml(""http://finviz.com/quote.ashx?t=""&amp;A1120,""table"",10),7,2),""*"",""""),""-"",""0.00""))"),"Loading...")</f>
        <v>Loading...</v>
      </c>
      <c r="L1120" s="129">
        <v>1.9570376E7</v>
      </c>
      <c r="M1120" s="99">
        <v>2.24</v>
      </c>
    </row>
    <row r="1121">
      <c r="A1121" s="122" t="s">
        <v>2665</v>
      </c>
      <c r="B1121" s="123">
        <v>1333835.0</v>
      </c>
      <c r="C1121" s="124" t="s">
        <v>2666</v>
      </c>
      <c r="D1121" s="125"/>
      <c r="E1121" s="126">
        <v>0.33</v>
      </c>
      <c r="F1121" s="127"/>
      <c r="G1121" s="127"/>
      <c r="H1121" s="127"/>
      <c r="I1121" s="128"/>
      <c r="K1121" s="105" t="str">
        <f>IFERROR(__xludf.DUMMYFUNCTION("if(A1121="""","""",substitute(SUBSTITUTE(index(importhtml(""http://finviz.com/quote.ashx?t=""&amp;A1121,""table"",10),7,2),""*"",""""),""-"",""0.00""))"),"Loading...")</f>
        <v>Loading...</v>
      </c>
      <c r="L1121" s="129">
        <v>3.2603804E7</v>
      </c>
      <c r="M1121" s="99">
        <v>1.25</v>
      </c>
    </row>
    <row r="1122">
      <c r="A1122" s="122" t="s">
        <v>2667</v>
      </c>
      <c r="B1122" s="123">
        <v>1173643.0</v>
      </c>
      <c r="C1122" s="124" t="s">
        <v>2668</v>
      </c>
      <c r="D1122" s="125"/>
      <c r="E1122" s="126">
        <v>0.33</v>
      </c>
      <c r="F1122" s="127"/>
      <c r="G1122" s="127"/>
      <c r="H1122" s="127"/>
      <c r="I1122" s="128"/>
      <c r="K1122" s="105" t="str">
        <f>IFERROR(__xludf.DUMMYFUNCTION("if(A1122="""","""",substitute(SUBSTITUTE(index(importhtml(""http://finviz.com/quote.ashx?t=""&amp;A1122,""table"",10),7,2),""*"",""""),""-"",""0.00""))"),"Loading...")</f>
        <v>Loading...</v>
      </c>
      <c r="L1122" s="129">
        <v>1.19048951E8</v>
      </c>
      <c r="M1122" s="99">
        <v>0.66</v>
      </c>
    </row>
    <row r="1123">
      <c r="A1123" s="122" t="s">
        <v>2669</v>
      </c>
      <c r="B1123" s="123">
        <v>932470.0</v>
      </c>
      <c r="C1123" s="124" t="s">
        <v>2670</v>
      </c>
      <c r="D1123" s="125"/>
      <c r="E1123" s="126">
        <v>0.33</v>
      </c>
      <c r="F1123" s="127"/>
      <c r="G1123" s="127"/>
      <c r="H1123" s="127"/>
      <c r="I1123" s="128"/>
      <c r="K1123" s="105" t="str">
        <f>IFERROR(__xludf.DUMMYFUNCTION("if(A1123="""","""",substitute(SUBSTITUTE(index(importhtml(""http://finviz.com/quote.ashx?t=""&amp;A1123,""table"",10),7,2),""*"",""""),""-"",""0.00""))"),"Loading...")</f>
        <v>Loading...</v>
      </c>
      <c r="L1123" s="129">
        <v>1.540443871E9</v>
      </c>
      <c r="M1123" s="99">
        <f>IFERROR(__xludf.DUMMYFUNCTION("GOOGLEFINANCE(A1123,""beta"")"),24.41)</f>
        <v>24.41</v>
      </c>
    </row>
    <row r="1124">
      <c r="A1124" s="122" t="s">
        <v>2671</v>
      </c>
      <c r="B1124" s="123">
        <v>1383701.0</v>
      </c>
      <c r="C1124" s="124" t="s">
        <v>2672</v>
      </c>
      <c r="D1124" s="125"/>
      <c r="E1124" s="126">
        <v>0.34</v>
      </c>
      <c r="F1124" s="127"/>
      <c r="G1124" s="127"/>
      <c r="H1124" s="127"/>
      <c r="I1124" s="128"/>
      <c r="K1124" s="105" t="str">
        <f>IFERROR(__xludf.DUMMYFUNCTION("if(A1124="""","""",substitute(SUBSTITUTE(index(importhtml(""http://finviz.com/quote.ashx?t=""&amp;A1124,""table"",10),7,2),""*"",""""),""-"",""0.00""))"),"Loading...")</f>
        <v>Loading...</v>
      </c>
      <c r="L1124" s="129">
        <v>1409995.0</v>
      </c>
      <c r="M1124" s="99">
        <v>0.88</v>
      </c>
    </row>
    <row r="1125">
      <c r="A1125" s="122" t="s">
        <v>2673</v>
      </c>
      <c r="B1125" s="123">
        <v>1708331.0</v>
      </c>
      <c r="C1125" s="124" t="s">
        <v>2674</v>
      </c>
      <c r="D1125" s="125"/>
      <c r="E1125" s="126">
        <v>0.34</v>
      </c>
      <c r="F1125" s="127"/>
      <c r="G1125" s="127"/>
      <c r="H1125" s="127"/>
      <c r="I1125" s="128"/>
      <c r="K1125" s="105" t="str">
        <f>IFERROR(__xludf.DUMMYFUNCTION("if(A1125="""","""",substitute(SUBSTITUTE(index(importhtml(""http://finviz.com/quote.ashx?t=""&amp;A1125,""table"",10),7,2),""*"",""""),""-"",""0.00""))"),"Loading...")</f>
        <v>Loading...</v>
      </c>
      <c r="L1125" s="129">
        <v>3950623.0</v>
      </c>
      <c r="M1125" s="99">
        <f>IFERROR(__xludf.DUMMYFUNCTION("GOOGLEFINANCE(A1125,""beta"")"),1.53)</f>
        <v>1.53</v>
      </c>
    </row>
    <row r="1126">
      <c r="A1126" s="122" t="s">
        <v>2675</v>
      </c>
      <c r="B1126" s="123">
        <v>1622345.0</v>
      </c>
      <c r="C1126" s="124" t="s">
        <v>2676</v>
      </c>
      <c r="D1126" s="125"/>
      <c r="E1126" s="126">
        <v>0.34</v>
      </c>
      <c r="F1126" s="127"/>
      <c r="G1126" s="127"/>
      <c r="H1126" s="127"/>
      <c r="I1126" s="128"/>
      <c r="K1126" s="105" t="str">
        <f>IFERROR(__xludf.DUMMYFUNCTION("if(A1126="""","""",substitute(SUBSTITUTE(index(importhtml(""http://finviz.com/quote.ashx?t=""&amp;A1126,""table"",10),7,2),""*"",""""),""-"",""0.00""))"),"Loading...")</f>
        <v>Loading...</v>
      </c>
      <c r="L1126" s="129">
        <v>5807905.0</v>
      </c>
      <c r="M1126" s="99">
        <v>0.78</v>
      </c>
    </row>
    <row r="1127">
      <c r="A1127" s="122" t="s">
        <v>2677</v>
      </c>
      <c r="B1127" s="123">
        <v>1083490.0</v>
      </c>
      <c r="C1127" s="124" t="s">
        <v>2678</v>
      </c>
      <c r="D1127" s="125"/>
      <c r="E1127" s="126">
        <v>0.34</v>
      </c>
      <c r="F1127" s="127"/>
      <c r="G1127" s="127"/>
      <c r="H1127" s="127"/>
      <c r="I1127" s="128"/>
      <c r="K1127" s="105" t="str">
        <f>IFERROR(__xludf.DUMMYFUNCTION("if(A1127="""","""",substitute(SUBSTITUTE(index(importhtml(""http://finviz.com/quote.ashx?t=""&amp;A1127,""table"",10),7,2),""*"",""""),""-"",""0.00""))"),"Loading...")</f>
        <v>Loading...</v>
      </c>
      <c r="L1127" s="129">
        <v>2.313201E7</v>
      </c>
      <c r="M1127" s="99">
        <v>-0.21</v>
      </c>
    </row>
    <row r="1128">
      <c r="A1128" s="122" t="s">
        <v>2679</v>
      </c>
      <c r="B1128" s="123">
        <v>1401914.0</v>
      </c>
      <c r="C1128" s="124" t="s">
        <v>2680</v>
      </c>
      <c r="D1128" s="125"/>
      <c r="E1128" s="126">
        <v>0.34</v>
      </c>
      <c r="F1128" s="127"/>
      <c r="G1128" s="127"/>
      <c r="H1128" s="127"/>
      <c r="I1128" s="128"/>
      <c r="K1128" s="105" t="str">
        <f>IFERROR(__xludf.DUMMYFUNCTION("if(A1128="""","""",substitute(SUBSTITUTE(index(importhtml(""http://finviz.com/quote.ashx?t=""&amp;A1128,""table"",10),7,2),""*"",""""),""-"",""0.00""))"),"Loading...")</f>
        <v>Loading...</v>
      </c>
      <c r="L1128" s="129">
        <v>3.3905449E7</v>
      </c>
      <c r="M1128" s="99">
        <v>1.03</v>
      </c>
    </row>
    <row r="1129">
      <c r="A1129" s="122" t="s">
        <v>2681</v>
      </c>
      <c r="B1129" s="123">
        <v>1665300.0</v>
      </c>
      <c r="C1129" s="124" t="s">
        <v>2682</v>
      </c>
      <c r="D1129" s="125"/>
      <c r="E1129" s="126">
        <v>0.34</v>
      </c>
      <c r="F1129" s="127"/>
      <c r="G1129" s="127"/>
      <c r="H1129" s="127"/>
      <c r="I1129" s="128"/>
      <c r="K1129" s="105" t="str">
        <f>IFERROR(__xludf.DUMMYFUNCTION("if(A1129="""","""",substitute(SUBSTITUTE(index(importhtml(""http://finviz.com/quote.ashx?t=""&amp;A1129,""table"",10),7,2),""*"",""""),""-"",""0.00""))"),"Loading...")</f>
        <v>Loading...</v>
      </c>
      <c r="L1129" s="129">
        <v>1.13115047E8</v>
      </c>
      <c r="M1129" s="99">
        <v>2.44</v>
      </c>
    </row>
    <row r="1130">
      <c r="A1130" s="122" t="s">
        <v>2683</v>
      </c>
      <c r="B1130" s="123">
        <v>1601994.0</v>
      </c>
      <c r="C1130" s="124" t="s">
        <v>2684</v>
      </c>
      <c r="D1130" s="125"/>
      <c r="E1130" s="126">
        <v>0.34</v>
      </c>
      <c r="F1130" s="127"/>
      <c r="G1130" s="127"/>
      <c r="H1130" s="127"/>
      <c r="I1130" s="128"/>
      <c r="K1130" s="105" t="str">
        <f>IFERROR(__xludf.DUMMYFUNCTION("if(A1130="""","""",substitute(SUBSTITUTE(index(importhtml(""http://finviz.com/quote.ashx?t=""&amp;A1130,""table"",10),7,2),""*"",""""),""-"",""0.00""))"),"Loading...")</f>
        <v>Loading...</v>
      </c>
      <c r="L1130" s="129">
        <v>1.68931785E10</v>
      </c>
      <c r="M1130" s="99">
        <v>0.58</v>
      </c>
    </row>
    <row r="1131">
      <c r="A1131" s="122" t="s">
        <v>2685</v>
      </c>
      <c r="B1131" s="123">
        <v>1499494.0</v>
      </c>
      <c r="C1131" s="124" t="s">
        <v>2686</v>
      </c>
      <c r="D1131" s="125"/>
      <c r="E1131" s="126">
        <v>0.35</v>
      </c>
      <c r="F1131" s="127"/>
      <c r="G1131" s="127"/>
      <c r="H1131" s="127"/>
      <c r="I1131" s="128"/>
      <c r="K1131" s="55" t="s">
        <v>1034</v>
      </c>
      <c r="L1131" s="129">
        <v>1391379.0</v>
      </c>
      <c r="M1131" s="99">
        <v>1.15</v>
      </c>
    </row>
    <row r="1132">
      <c r="A1132" s="122" t="s">
        <v>2687</v>
      </c>
      <c r="B1132" s="123">
        <v>1861522.0</v>
      </c>
      <c r="C1132" s="124" t="s">
        <v>2688</v>
      </c>
      <c r="D1132" s="125"/>
      <c r="E1132" s="126">
        <v>0.35</v>
      </c>
      <c r="F1132" s="127"/>
      <c r="G1132" s="127"/>
      <c r="H1132" s="127"/>
      <c r="I1132" s="128"/>
      <c r="K1132" s="105" t="str">
        <f>IFERROR(__xludf.DUMMYFUNCTION("if(A1132="""","""",substitute(SUBSTITUTE(index(importhtml(""http://finviz.com/quote.ashx?t=""&amp;A1132,""table"",10),7,2),""*"",""""),""-"",""0.00""))"),"Loading...")</f>
        <v>Loading...</v>
      </c>
      <c r="L1132" s="129">
        <v>3259397.0</v>
      </c>
      <c r="M1132" s="99" t="str">
        <f>IFERROR(__xludf.DUMMYFUNCTION("GOOGLEFINANCE(A1132,""beta"")"),"#N/A")</f>
        <v>#N/A</v>
      </c>
    </row>
    <row r="1133">
      <c r="A1133" s="122" t="s">
        <v>2689</v>
      </c>
      <c r="B1133" s="123">
        <v>1651721.0</v>
      </c>
      <c r="C1133" s="124" t="s">
        <v>2690</v>
      </c>
      <c r="D1133" s="125"/>
      <c r="E1133" s="126">
        <v>0.35</v>
      </c>
      <c r="F1133" s="127"/>
      <c r="G1133" s="127"/>
      <c r="H1133" s="127"/>
      <c r="I1133" s="128"/>
      <c r="K1133" s="105" t="str">
        <f>IFERROR(__xludf.DUMMYFUNCTION("if(A1133="""","""",substitute(SUBSTITUTE(index(importhtml(""http://finviz.com/quote.ashx?t=""&amp;A1133,""table"",10),7,2),""*"",""""),""-"",""0.00""))"),"Loading...")</f>
        <v>Loading...</v>
      </c>
      <c r="L1133" s="129">
        <v>9848692.0</v>
      </c>
      <c r="M1133" s="99">
        <f>IFERROR(__xludf.DUMMYFUNCTION("GOOGLEFINANCE(A1133,""beta"")"),-1.42)</f>
        <v>-1.42</v>
      </c>
    </row>
    <row r="1134">
      <c r="A1134" s="122" t="s">
        <v>2691</v>
      </c>
      <c r="B1134" s="123">
        <v>1687277.0</v>
      </c>
      <c r="C1134" s="124" t="s">
        <v>2692</v>
      </c>
      <c r="D1134" s="125"/>
      <c r="E1134" s="126">
        <v>0.35</v>
      </c>
      <c r="F1134" s="127"/>
      <c r="G1134" s="127"/>
      <c r="H1134" s="127"/>
      <c r="I1134" s="128"/>
      <c r="K1134" s="105" t="str">
        <f>IFERROR(__xludf.DUMMYFUNCTION("if(A1134="""","""",substitute(SUBSTITUTE(index(importhtml(""http://finviz.com/quote.ashx?t=""&amp;A1134,""table"",10),7,2),""*"",""""),""-"",""0.00""))"),"Loading...")</f>
        <v>Loading...</v>
      </c>
      <c r="L1134" s="129">
        <v>1.3004914E7</v>
      </c>
      <c r="M1134" s="99">
        <v>1.23</v>
      </c>
    </row>
    <row r="1135">
      <c r="A1135" s="122" t="s">
        <v>2693</v>
      </c>
      <c r="B1135" s="123">
        <v>1117057.0</v>
      </c>
      <c r="C1135" s="124" t="s">
        <v>2694</v>
      </c>
      <c r="D1135" s="125"/>
      <c r="E1135" s="126">
        <v>0.35</v>
      </c>
      <c r="F1135" s="127"/>
      <c r="G1135" s="127"/>
      <c r="H1135" s="127"/>
      <c r="I1135" s="128"/>
      <c r="K1135" s="105" t="str">
        <f>IFERROR(__xludf.DUMMYFUNCTION("if(A1135="""","""",substitute(SUBSTITUTE(index(importhtml(""http://finviz.com/quote.ashx?t=""&amp;A1135,""table"",10),7,2),""*"",""""),""-"",""0.00""))"),"Loading...")</f>
        <v>Loading...</v>
      </c>
      <c r="L1135" s="129">
        <v>2.5300754E7</v>
      </c>
      <c r="M1135" s="99">
        <v>-0.32</v>
      </c>
    </row>
    <row r="1136">
      <c r="A1136" s="122" t="s">
        <v>2695</v>
      </c>
      <c r="B1136" s="123">
        <v>1757715.0</v>
      </c>
      <c r="C1136" s="124" t="s">
        <v>2696</v>
      </c>
      <c r="D1136" s="125"/>
      <c r="E1136" s="126">
        <v>0.35</v>
      </c>
      <c r="F1136" s="127"/>
      <c r="G1136" s="127"/>
      <c r="H1136" s="127"/>
      <c r="I1136" s="128"/>
      <c r="K1136" s="105" t="str">
        <f>IFERROR(__xludf.DUMMYFUNCTION("if(A1136="""","""",substitute(SUBSTITUTE(index(importhtml(""http://finviz.com/quote.ashx?t=""&amp;A1136,""table"",10),7,2),""*"",""""),""-"",""0.00""))"),"Loading...")</f>
        <v>Loading...</v>
      </c>
      <c r="L1136" s="129">
        <v>3.1564455E7</v>
      </c>
      <c r="M1136" s="99">
        <v>1.89</v>
      </c>
    </row>
    <row r="1137">
      <c r="A1137" s="122" t="s">
        <v>2697</v>
      </c>
      <c r="B1137" s="123">
        <v>1807689.0</v>
      </c>
      <c r="C1137" s="124" t="s">
        <v>2698</v>
      </c>
      <c r="D1137" s="125"/>
      <c r="E1137" s="126">
        <v>0.35</v>
      </c>
      <c r="F1137" s="127"/>
      <c r="G1137" s="127"/>
      <c r="H1137" s="127"/>
      <c r="I1137" s="128"/>
      <c r="K1137" s="105" t="str">
        <f>IFERROR(__xludf.DUMMYFUNCTION("if(A1137="""","""",substitute(SUBSTITUTE(index(importhtml(""http://finviz.com/quote.ashx?t=""&amp;A1137,""table"",10),7,2),""*"",""""),""-"",""0.00""))"),"Loading...")</f>
        <v>Loading...</v>
      </c>
      <c r="L1137" s="129">
        <v>3.800265E7</v>
      </c>
      <c r="M1137" s="99">
        <f>IFERROR(__xludf.DUMMYFUNCTION("GOOGLEFINANCE(A1137,""beta"")"),4.07)</f>
        <v>4.07</v>
      </c>
    </row>
    <row r="1138">
      <c r="A1138" s="122" t="s">
        <v>2699</v>
      </c>
      <c r="B1138" s="123">
        <v>1656501.0</v>
      </c>
      <c r="C1138" s="124" t="s">
        <v>2700</v>
      </c>
      <c r="D1138" s="125"/>
      <c r="E1138" s="126">
        <v>0.35</v>
      </c>
      <c r="F1138" s="127"/>
      <c r="G1138" s="127"/>
      <c r="H1138" s="127"/>
      <c r="I1138" s="128"/>
      <c r="K1138" s="105" t="str">
        <f>IFERROR(__xludf.DUMMYFUNCTION("if(A1138="""","""",substitute(SUBSTITUTE(index(importhtml(""http://finviz.com/quote.ashx?t=""&amp;A1138,""table"",10),7,2),""*"",""""),""-"",""0.00""))"),"Loading...")</f>
        <v>Loading...</v>
      </c>
      <c r="L1138" s="129">
        <v>3.8136664E7</v>
      </c>
      <c r="M1138" s="99">
        <v>40.81</v>
      </c>
    </row>
    <row r="1139">
      <c r="A1139" s="122" t="s">
        <v>2701</v>
      </c>
      <c r="B1139" s="123">
        <v>1741220.0</v>
      </c>
      <c r="C1139" s="124" t="s">
        <v>2702</v>
      </c>
      <c r="D1139" s="125"/>
      <c r="E1139" s="126">
        <v>0.35</v>
      </c>
      <c r="F1139" s="127"/>
      <c r="G1139" s="127"/>
      <c r="H1139" s="127"/>
      <c r="I1139" s="128"/>
      <c r="K1139" s="105" t="str">
        <f>IFERROR(__xludf.DUMMYFUNCTION("if(A1139="""","""",substitute(SUBSTITUTE(index(importhtml(""http://finviz.com/quote.ashx?t=""&amp;A1139,""table"",10),7,2),""*"",""""),""-"",""0.00""))"),"Loading...")</f>
        <v>Loading...</v>
      </c>
      <c r="L1139" s="129">
        <v>4.3230915E7</v>
      </c>
      <c r="M1139" s="99">
        <v>-4.1</v>
      </c>
    </row>
    <row r="1140">
      <c r="A1140" s="122" t="s">
        <v>2703</v>
      </c>
      <c r="B1140" s="123">
        <v>1600847.0</v>
      </c>
      <c r="C1140" s="124" t="s">
        <v>2704</v>
      </c>
      <c r="D1140" s="125"/>
      <c r="E1140" s="126">
        <v>0.35</v>
      </c>
      <c r="F1140" s="127"/>
      <c r="G1140" s="127"/>
      <c r="H1140" s="127"/>
      <c r="I1140" s="128"/>
      <c r="K1140" s="105" t="str">
        <f>IFERROR(__xludf.DUMMYFUNCTION("if(A1140="""","""",substitute(SUBSTITUTE(index(importhtml(""http://finviz.com/quote.ashx?t=""&amp;A1140,""table"",10),7,2),""*"",""""),""-"",""0.00""))"),"Loading...")</f>
        <v>Loading...</v>
      </c>
      <c r="L1140" s="129">
        <v>4.5926982E7</v>
      </c>
      <c r="M1140" s="99">
        <v>1.04</v>
      </c>
    </row>
    <row r="1141">
      <c r="A1141" s="122" t="s">
        <v>2705</v>
      </c>
      <c r="B1141" s="123">
        <v>1779372.0</v>
      </c>
      <c r="C1141" s="124" t="s">
        <v>2706</v>
      </c>
      <c r="D1141" s="125"/>
      <c r="E1141" s="126">
        <v>0.35</v>
      </c>
      <c r="F1141" s="127"/>
      <c r="G1141" s="127"/>
      <c r="H1141" s="127"/>
      <c r="I1141" s="128"/>
      <c r="K1141" s="105" t="str">
        <f>IFERROR(__xludf.DUMMYFUNCTION("if(A1141="""","""",substitute(SUBSTITUTE(index(importhtml(""http://finviz.com/quote.ashx?t=""&amp;A1141,""table"",10),7,2),""*"",""""),""-"",""0.00""))"),"Loading...")</f>
        <v>Loading...</v>
      </c>
      <c r="L1141" s="129">
        <v>5.0551736E7</v>
      </c>
      <c r="M1141" s="99">
        <f>IFERROR(__xludf.DUMMYFUNCTION("GOOGLEFINANCE(A1141,""beta"")"),1.68)</f>
        <v>1.68</v>
      </c>
    </row>
    <row r="1142">
      <c r="A1142" s="122" t="s">
        <v>2707</v>
      </c>
      <c r="B1142" s="123">
        <v>1177219.0</v>
      </c>
      <c r="C1142" s="124" t="s">
        <v>2708</v>
      </c>
      <c r="D1142" s="125"/>
      <c r="E1142" s="126">
        <v>0.35</v>
      </c>
      <c r="F1142" s="127"/>
      <c r="G1142" s="127"/>
      <c r="H1142" s="127"/>
      <c r="I1142" s="128"/>
      <c r="K1142" s="105" t="str">
        <f>IFERROR(__xludf.DUMMYFUNCTION("if(A1142="""","""",substitute(SUBSTITUTE(index(importhtml(""http://finviz.com/quote.ashx?t=""&amp;A1142,""table"",10),7,2),""*"",""""),""-"",""0.00""))"),"Loading...")</f>
        <v>Loading...</v>
      </c>
      <c r="L1142" s="129">
        <v>9.4001213E7</v>
      </c>
      <c r="M1142" s="99">
        <v>1.03</v>
      </c>
    </row>
    <row r="1143">
      <c r="A1143" s="122" t="s">
        <v>2709</v>
      </c>
      <c r="B1143" s="123">
        <v>1455967.0</v>
      </c>
      <c r="C1143" s="124" t="s">
        <v>2710</v>
      </c>
      <c r="D1143" s="125"/>
      <c r="E1143" s="126">
        <v>0.35</v>
      </c>
      <c r="F1143" s="127"/>
      <c r="G1143" s="127"/>
      <c r="H1143" s="127"/>
      <c r="I1143" s="128"/>
      <c r="K1143" s="105" t="str">
        <f>IFERROR(__xludf.DUMMYFUNCTION("if(A1143="""","""",substitute(SUBSTITUTE(index(importhtml(""http://finviz.com/quote.ashx?t=""&amp;A1143,""table"",10),7,2),""*"",""""),""-"",""0.00""))"),"Loading...")</f>
        <v>Loading...</v>
      </c>
      <c r="L1143" s="129">
        <v>2.1557490375E14</v>
      </c>
      <c r="M1143" s="99">
        <v>0.74</v>
      </c>
    </row>
    <row r="1144">
      <c r="A1144" s="122" t="s">
        <v>2711</v>
      </c>
      <c r="B1144" s="123">
        <v>1833141.0</v>
      </c>
      <c r="C1144" s="124" t="s">
        <v>2712</v>
      </c>
      <c r="D1144" s="125"/>
      <c r="E1144" s="126">
        <v>0.35</v>
      </c>
      <c r="F1144" s="127"/>
      <c r="G1144" s="127"/>
      <c r="H1144" s="127"/>
      <c r="I1144" s="128"/>
      <c r="K1144" s="105" t="str">
        <f>IFERROR(__xludf.DUMMYFUNCTION("if(A1144="""","""",substitute(SUBSTITUTE(index(importhtml(""http://finviz.com/quote.ashx?t=""&amp;A1144,""table"",10),7,2),""*"",""""),""-"",""0.00""))"),"Loading...")</f>
        <v>Loading...</v>
      </c>
      <c r="L1144" s="129" t="e">
        <v>#N/A</v>
      </c>
      <c r="M1144" s="99">
        <v>1.7</v>
      </c>
    </row>
    <row r="1145">
      <c r="A1145" s="122" t="s">
        <v>2713</v>
      </c>
      <c r="B1145" s="123">
        <v>1674440.0</v>
      </c>
      <c r="C1145" s="124" t="s">
        <v>2714</v>
      </c>
      <c r="D1145" s="125"/>
      <c r="E1145" s="126">
        <v>0.36</v>
      </c>
      <c r="F1145" s="127"/>
      <c r="G1145" s="127"/>
      <c r="H1145" s="127"/>
      <c r="I1145" s="128"/>
      <c r="K1145" s="105" t="str">
        <f>IFERROR(__xludf.DUMMYFUNCTION("if(A1145="""","""",substitute(SUBSTITUTE(index(importhtml(""http://finviz.com/quote.ashx?t=""&amp;A1145,""table"",10),7,2),""*"",""""),""-"",""0.00""))"),"Loading...")</f>
        <v>Loading...</v>
      </c>
      <c r="L1145" s="129">
        <v>1227892.0</v>
      </c>
      <c r="M1145" s="99">
        <v>96.27</v>
      </c>
    </row>
    <row r="1146">
      <c r="A1146" s="122" t="s">
        <v>2715</v>
      </c>
      <c r="B1146" s="123">
        <v>1559157.0</v>
      </c>
      <c r="C1146" s="124" t="s">
        <v>2716</v>
      </c>
      <c r="D1146" s="125"/>
      <c r="E1146" s="126">
        <v>0.36</v>
      </c>
      <c r="F1146" s="127"/>
      <c r="G1146" s="127"/>
      <c r="H1146" s="127"/>
      <c r="I1146" s="128"/>
      <c r="K1146" s="105" t="str">
        <f>IFERROR(__xludf.DUMMYFUNCTION("if(A1146="""","""",substitute(SUBSTITUTE(index(importhtml(""http://finviz.com/quote.ashx?t=""&amp;A1146,""table"",10),7,2),""*"",""""),""-"",""0.00""))"),"Loading...")</f>
        <v>Loading...</v>
      </c>
      <c r="L1146" s="129">
        <v>1807870.0</v>
      </c>
      <c r="M1146" s="99">
        <v>-1.94</v>
      </c>
    </row>
    <row r="1147">
      <c r="A1147" s="122" t="s">
        <v>2717</v>
      </c>
      <c r="B1147" s="123">
        <v>1728328.0</v>
      </c>
      <c r="C1147" s="124" t="s">
        <v>2718</v>
      </c>
      <c r="D1147" s="125"/>
      <c r="E1147" s="126">
        <v>0.36</v>
      </c>
      <c r="F1147" s="127"/>
      <c r="G1147" s="127"/>
      <c r="H1147" s="127"/>
      <c r="I1147" s="128"/>
      <c r="K1147" s="105" t="str">
        <f>IFERROR(__xludf.DUMMYFUNCTION("if(A1147="""","""",substitute(SUBSTITUTE(index(importhtml(""http://finviz.com/quote.ashx?t=""&amp;A1147,""table"",10),7,2),""*"",""""),""-"",""0.00""))"),"Loading...")</f>
        <v>Loading...</v>
      </c>
      <c r="L1147" s="129">
        <v>1917087.0</v>
      </c>
      <c r="M1147" s="99">
        <v>0.41</v>
      </c>
    </row>
    <row r="1148">
      <c r="A1148" s="122" t="s">
        <v>2719</v>
      </c>
      <c r="B1148" s="123">
        <v>1645469.0</v>
      </c>
      <c r="C1148" s="124" t="s">
        <v>2720</v>
      </c>
      <c r="D1148" s="125"/>
      <c r="E1148" s="126">
        <v>0.36</v>
      </c>
      <c r="F1148" s="127"/>
      <c r="G1148" s="127"/>
      <c r="H1148" s="127"/>
      <c r="I1148" s="128"/>
      <c r="K1148" s="105" t="str">
        <f>IFERROR(__xludf.DUMMYFUNCTION("if(A1148="""","""",substitute(SUBSTITUTE(index(importhtml(""http://finviz.com/quote.ashx?t=""&amp;A1148,""table"",10),7,2),""*"",""""),""-"",""0.00""))"),"Loading...")</f>
        <v>Loading...</v>
      </c>
      <c r="L1148" s="129">
        <v>5421601.0</v>
      </c>
      <c r="M1148" s="99">
        <v>0.81</v>
      </c>
    </row>
    <row r="1149">
      <c r="A1149" s="122" t="s">
        <v>2721</v>
      </c>
      <c r="B1149" s="123">
        <v>1319150.0</v>
      </c>
      <c r="C1149" s="124" t="s">
        <v>2722</v>
      </c>
      <c r="D1149" s="125"/>
      <c r="E1149" s="126">
        <v>0.36</v>
      </c>
      <c r="F1149" s="127"/>
      <c r="G1149" s="127"/>
      <c r="H1149" s="127"/>
      <c r="I1149" s="128"/>
      <c r="K1149" s="105" t="str">
        <f>IFERROR(__xludf.DUMMYFUNCTION("if(A1149="""","""",substitute(SUBSTITUTE(index(importhtml(""http://finviz.com/quote.ashx?t=""&amp;A1149,""table"",10),7,2),""*"",""""),""-"",""0.00""))"),"Loading...")</f>
        <v>Loading...</v>
      </c>
      <c r="L1149" s="129">
        <v>8240310.0</v>
      </c>
      <c r="M1149" s="99">
        <v>0.51</v>
      </c>
    </row>
    <row r="1150">
      <c r="A1150" s="122" t="s">
        <v>2723</v>
      </c>
      <c r="B1150" s="123">
        <v>1445942.0</v>
      </c>
      <c r="C1150" s="124" t="s">
        <v>2724</v>
      </c>
      <c r="D1150" s="125"/>
      <c r="E1150" s="126">
        <v>0.36</v>
      </c>
      <c r="F1150" s="127"/>
      <c r="G1150" s="127"/>
      <c r="H1150" s="127"/>
      <c r="I1150" s="128"/>
      <c r="K1150" s="105" t="str">
        <f>IFERROR(__xludf.DUMMYFUNCTION("if(A1150="""","""",substitute(SUBSTITUTE(index(importhtml(""http://finviz.com/quote.ashx?t=""&amp;A1150,""table"",10),7,2),""*"",""""),""-"",""0.00""))"),"Loading...")</f>
        <v>Loading...</v>
      </c>
      <c r="L1150" s="129">
        <v>2.6755431E7</v>
      </c>
      <c r="M1150" s="99">
        <v>1.27</v>
      </c>
    </row>
    <row r="1151">
      <c r="A1151" s="122" t="s">
        <v>2725</v>
      </c>
      <c r="B1151" s="123">
        <v>1058307.0</v>
      </c>
      <c r="C1151" s="124" t="s">
        <v>2726</v>
      </c>
      <c r="D1151" s="125"/>
      <c r="E1151" s="126">
        <v>0.36</v>
      </c>
      <c r="F1151" s="127"/>
      <c r="G1151" s="127"/>
      <c r="H1151" s="127"/>
      <c r="I1151" s="128"/>
      <c r="K1151" s="105" t="str">
        <f>IFERROR(__xludf.DUMMYFUNCTION("if(A1151="""","""",substitute(SUBSTITUTE(index(importhtml(""http://finviz.com/quote.ashx?t=""&amp;A1151,""table"",10),7,2),""*"",""""),""-"",""0.00""))"),"Loading...")</f>
        <v>Loading...</v>
      </c>
      <c r="L1151" s="129">
        <v>2.7712393E7</v>
      </c>
      <c r="M1151" s="99">
        <f>IFERROR(__xludf.DUMMYFUNCTION("GOOGLEFINANCE(A1151,""beta"")"),2.7)</f>
        <v>2.7</v>
      </c>
    </row>
    <row r="1152">
      <c r="A1152" s="122" t="s">
        <v>2727</v>
      </c>
      <c r="B1152" s="123">
        <v>1463000.0</v>
      </c>
      <c r="C1152" s="124" t="s">
        <v>2728</v>
      </c>
      <c r="D1152" s="125"/>
      <c r="E1152" s="126">
        <v>0.36</v>
      </c>
      <c r="F1152" s="127"/>
      <c r="G1152" s="127"/>
      <c r="H1152" s="127"/>
      <c r="I1152" s="128"/>
      <c r="K1152" s="105" t="str">
        <f>IFERROR(__xludf.DUMMYFUNCTION("if(A1152="""","""",substitute(SUBSTITUTE(index(importhtml(""http://finviz.com/quote.ashx?t=""&amp;A1152,""table"",10),7,2),""*"",""""),""-"",""0.00""))"),"Loading...")</f>
        <v>Loading...</v>
      </c>
      <c r="L1152" s="129">
        <v>9.00348E7</v>
      </c>
      <c r="M1152" s="99">
        <v>0.21</v>
      </c>
    </row>
    <row r="1153">
      <c r="A1153" s="122" t="s">
        <v>2729</v>
      </c>
      <c r="B1153" s="123">
        <v>1649989.0</v>
      </c>
      <c r="C1153" s="124" t="s">
        <v>2730</v>
      </c>
      <c r="D1153" s="125"/>
      <c r="E1153" s="126">
        <v>0.36</v>
      </c>
      <c r="F1153" s="127"/>
      <c r="G1153" s="127"/>
      <c r="H1153" s="127"/>
      <c r="I1153" s="128"/>
      <c r="K1153" s="105" t="str">
        <f>IFERROR(__xludf.DUMMYFUNCTION("if(A1153="""","""",substitute(SUBSTITUTE(index(importhtml(""http://finviz.com/quote.ashx?t=""&amp;A1153,""table"",10),7,2),""*"",""""),""-"",""0.00""))"),"Loading...")</f>
        <v>Loading...</v>
      </c>
      <c r="L1153" s="129">
        <v>9.5443999E7</v>
      </c>
      <c r="M1153" s="99">
        <v>0.02</v>
      </c>
    </row>
    <row r="1154">
      <c r="A1154" s="122" t="s">
        <v>2731</v>
      </c>
      <c r="B1154" s="123">
        <v>1859795.0</v>
      </c>
      <c r="C1154" s="124" t="s">
        <v>2732</v>
      </c>
      <c r="D1154" s="125"/>
      <c r="E1154" s="126">
        <v>0.36</v>
      </c>
      <c r="F1154" s="127"/>
      <c r="G1154" s="127"/>
      <c r="H1154" s="127"/>
      <c r="I1154" s="128"/>
      <c r="K1154" s="105" t="str">
        <f>IFERROR(__xludf.DUMMYFUNCTION("if(A1154="""","""",substitute(SUBSTITUTE(index(importhtml(""http://finviz.com/quote.ashx?t=""&amp;A1154,""table"",10),7,2),""*"",""""),""-"",""0.00""))"),"Loading...")</f>
        <v>Loading...</v>
      </c>
      <c r="L1154" s="129">
        <v>2.66427999E8</v>
      </c>
      <c r="M1154" s="99">
        <v>2.55</v>
      </c>
    </row>
    <row r="1155">
      <c r="A1155" s="122" t="s">
        <v>2733</v>
      </c>
      <c r="B1155" s="123">
        <v>1888175.0</v>
      </c>
      <c r="C1155" s="124" t="s">
        <v>2734</v>
      </c>
      <c r="D1155" s="125"/>
      <c r="E1155" s="126">
        <v>0.37</v>
      </c>
      <c r="F1155" s="127"/>
      <c r="G1155" s="127"/>
      <c r="H1155" s="127"/>
      <c r="I1155" s="128"/>
      <c r="K1155" s="105" t="str">
        <f>IFERROR(__xludf.DUMMYFUNCTION("if(A1155="""","""",substitute(SUBSTITUTE(index(importhtml(""http://finviz.com/quote.ashx?t=""&amp;A1155,""table"",10),7,2),""*"",""""),""-"",""0.00""))"),"Loading...")</f>
        <v>Loading...</v>
      </c>
      <c r="L1155" s="129">
        <v>5031462.0</v>
      </c>
      <c r="M1155" s="99">
        <v>1.13</v>
      </c>
    </row>
    <row r="1156">
      <c r="A1156" s="122" t="s">
        <v>2735</v>
      </c>
      <c r="B1156" s="123">
        <v>1843983.0</v>
      </c>
      <c r="C1156" s="124" t="s">
        <v>2736</v>
      </c>
      <c r="D1156" s="125"/>
      <c r="E1156" s="126">
        <v>0.37</v>
      </c>
      <c r="F1156" s="127"/>
      <c r="G1156" s="127"/>
      <c r="H1156" s="127"/>
      <c r="I1156" s="128"/>
      <c r="K1156" s="105" t="str">
        <f>IFERROR(__xludf.DUMMYFUNCTION("if(A1156="""","""",substitute(SUBSTITUTE(index(importhtml(""http://finviz.com/quote.ashx?t=""&amp;A1156,""table"",10),7,2),""*"",""""),""-"",""0.00""))"),"Loading...")</f>
        <v>Loading...</v>
      </c>
      <c r="L1156" s="129">
        <v>7591153.0</v>
      </c>
      <c r="M1156" s="99">
        <v>1.15</v>
      </c>
    </row>
    <row r="1157">
      <c r="A1157" s="122" t="s">
        <v>2737</v>
      </c>
      <c r="B1157" s="123">
        <v>1900564.0</v>
      </c>
      <c r="C1157" s="124" t="s">
        <v>2738</v>
      </c>
      <c r="D1157" s="125"/>
      <c r="E1157" s="126">
        <v>0.37</v>
      </c>
      <c r="F1157" s="127"/>
      <c r="G1157" s="127"/>
      <c r="H1157" s="127"/>
      <c r="I1157" s="128"/>
      <c r="K1157" s="105" t="str">
        <f>IFERROR(__xludf.DUMMYFUNCTION("if(A1157="""","""",substitute(SUBSTITUTE(index(importhtml(""http://finviz.com/quote.ashx?t=""&amp;A1157,""table"",10),7,2),""*"",""""),""-"",""0.00""))"),"Loading...")</f>
        <v>Loading...</v>
      </c>
      <c r="L1157" s="129">
        <v>8288474.0</v>
      </c>
      <c r="M1157" s="99" t="str">
        <f>IFERROR(__xludf.DUMMYFUNCTION("GOOGLEFINANCE(A1157,""beta"")"),"#N/A")</f>
        <v>#N/A</v>
      </c>
    </row>
    <row r="1158">
      <c r="A1158" s="122" t="s">
        <v>2739</v>
      </c>
      <c r="B1158" s="123">
        <v>1050606.0</v>
      </c>
      <c r="C1158" s="124" t="s">
        <v>2740</v>
      </c>
      <c r="D1158" s="125"/>
      <c r="E1158" s="126">
        <v>0.37</v>
      </c>
      <c r="F1158" s="127"/>
      <c r="G1158" s="127"/>
      <c r="H1158" s="127"/>
      <c r="I1158" s="128"/>
      <c r="K1158" s="105" t="str">
        <f>IFERROR(__xludf.DUMMYFUNCTION("if(A1158="""","""",substitute(SUBSTITUTE(index(importhtml(""http://finviz.com/quote.ashx?t=""&amp;A1158,""table"",10),7,2),""*"",""""),""-"",""0.00""))"),"Loading...")</f>
        <v>Loading...</v>
      </c>
      <c r="L1158" s="129">
        <v>1.0124639E7</v>
      </c>
      <c r="M1158" s="99">
        <v>0.98</v>
      </c>
    </row>
    <row r="1159">
      <c r="A1159" s="122" t="s">
        <v>2741</v>
      </c>
      <c r="B1159" s="123">
        <v>1553788.0</v>
      </c>
      <c r="C1159" s="124" t="s">
        <v>2742</v>
      </c>
      <c r="D1159" s="125"/>
      <c r="E1159" s="126">
        <v>0.37</v>
      </c>
      <c r="F1159" s="127"/>
      <c r="G1159" s="127"/>
      <c r="H1159" s="127"/>
      <c r="I1159" s="128"/>
      <c r="K1159" s="105" t="str">
        <f>IFERROR(__xludf.DUMMYFUNCTION("if(A1159="""","""",substitute(SUBSTITUTE(index(importhtml(""http://finviz.com/quote.ashx?t=""&amp;A1159,""table"",10),7,2),""*"",""""),""-"",""0.00""))"),"Loading...")</f>
        <v>Loading...</v>
      </c>
      <c r="L1159" s="129">
        <v>1.6212575E7</v>
      </c>
      <c r="M1159" s="99">
        <v>-43.93</v>
      </c>
    </row>
    <row r="1160">
      <c r="A1160" s="122" t="s">
        <v>2743</v>
      </c>
      <c r="B1160" s="123">
        <v>1769624.0</v>
      </c>
      <c r="C1160" s="124" t="s">
        <v>2744</v>
      </c>
      <c r="D1160" s="125"/>
      <c r="E1160" s="126">
        <v>0.37</v>
      </c>
      <c r="F1160" s="127"/>
      <c r="G1160" s="127"/>
      <c r="H1160" s="127"/>
      <c r="I1160" s="128"/>
      <c r="K1160" s="105" t="str">
        <f>IFERROR(__xludf.DUMMYFUNCTION("if(A1160="""","""",substitute(SUBSTITUTE(index(importhtml(""http://finviz.com/quote.ashx?t=""&amp;A1160,""table"",10),7,2),""*"",""""),""-"",""0.00""))"),"Loading...")</f>
        <v>Loading...</v>
      </c>
      <c r="L1160" s="129">
        <v>2.4805113E7</v>
      </c>
      <c r="M1160" s="99">
        <v>0.33</v>
      </c>
    </row>
    <row r="1161">
      <c r="A1161" s="122" t="s">
        <v>2745</v>
      </c>
      <c r="B1161" s="123">
        <v>783324.0</v>
      </c>
      <c r="C1161" s="124" t="s">
        <v>2746</v>
      </c>
      <c r="D1161" s="125"/>
      <c r="E1161" s="126">
        <v>0.37</v>
      </c>
      <c r="F1161" s="127"/>
      <c r="G1161" s="127"/>
      <c r="H1161" s="127"/>
      <c r="I1161" s="128"/>
      <c r="K1161" s="105" t="str">
        <f>IFERROR(__xludf.DUMMYFUNCTION("if(A1161="""","""",substitute(SUBSTITUTE(index(importhtml(""http://finviz.com/quote.ashx?t=""&amp;A1161,""table"",10),7,2),""*"",""""),""-"",""0.00""))"),"Loading...")</f>
        <v>Loading...</v>
      </c>
      <c r="L1161" s="129">
        <v>4.4243804E7</v>
      </c>
      <c r="M1161" s="99">
        <v>1.63</v>
      </c>
    </row>
    <row r="1162">
      <c r="A1162" s="122" t="s">
        <v>2747</v>
      </c>
      <c r="B1162" s="123">
        <v>1357874.0</v>
      </c>
      <c r="C1162" s="124" t="s">
        <v>2748</v>
      </c>
      <c r="D1162" s="125"/>
      <c r="E1162" s="126">
        <v>0.37</v>
      </c>
      <c r="F1162" s="127"/>
      <c r="G1162" s="127"/>
      <c r="H1162" s="127"/>
      <c r="I1162" s="128"/>
      <c r="K1162" s="105" t="str">
        <f>IFERROR(__xludf.DUMMYFUNCTION("if(A1162="""","""",substitute(SUBSTITUTE(index(importhtml(""http://finviz.com/quote.ashx?t=""&amp;A1162,""table"",10),7,2),""*"",""""),""-"",""0.00""))"),"Loading...")</f>
        <v>Loading...</v>
      </c>
      <c r="L1162" s="129">
        <v>4.513434E7</v>
      </c>
      <c r="M1162" s="99">
        <v>1.41</v>
      </c>
    </row>
    <row r="1163">
      <c r="A1163" s="122" t="s">
        <v>2749</v>
      </c>
      <c r="B1163" s="123">
        <v>1476573.0</v>
      </c>
      <c r="C1163" s="124" t="s">
        <v>2750</v>
      </c>
      <c r="D1163" s="125"/>
      <c r="E1163" s="126">
        <v>0.37</v>
      </c>
      <c r="F1163" s="127"/>
      <c r="G1163" s="127"/>
      <c r="H1163" s="127"/>
      <c r="I1163" s="128"/>
      <c r="K1163" s="105" t="str">
        <f>IFERROR(__xludf.DUMMYFUNCTION("if(A1163="""","""",substitute(SUBSTITUTE(index(importhtml(""http://finviz.com/quote.ashx?t=""&amp;A1163,""table"",10),7,2),""*"",""""),""-"",""0.00""))"),"Loading...")</f>
        <v>Loading...</v>
      </c>
      <c r="L1163" s="129">
        <v>6.4905058E7</v>
      </c>
      <c r="M1163" s="99">
        <v>2.02</v>
      </c>
    </row>
    <row r="1164">
      <c r="A1164" s="122" t="s">
        <v>2751</v>
      </c>
      <c r="B1164" s="123">
        <v>1041668.0</v>
      </c>
      <c r="C1164" s="124" t="s">
        <v>2752</v>
      </c>
      <c r="D1164" s="125"/>
      <c r="E1164" s="126">
        <v>0.37</v>
      </c>
      <c r="F1164" s="127"/>
      <c r="G1164" s="127"/>
      <c r="H1164" s="127"/>
      <c r="I1164" s="128"/>
      <c r="K1164" s="105" t="str">
        <f>IFERROR(__xludf.DUMMYFUNCTION("if(A1164="""","""",substitute(SUBSTITUTE(index(importhtml(""http://finviz.com/quote.ashx?t=""&amp;A1164,""table"",10),7,2),""*"",""""),""-"",""0.00""))"),"Loading...")</f>
        <v>Loading...</v>
      </c>
      <c r="L1164" s="129">
        <v>9.6585328268E10</v>
      </c>
      <c r="M1164" s="99">
        <v>0.9</v>
      </c>
    </row>
    <row r="1165">
      <c r="A1165" s="122" t="s">
        <v>2753</v>
      </c>
      <c r="B1165" s="123">
        <v>1527352.0</v>
      </c>
      <c r="C1165" s="124" t="s">
        <v>2754</v>
      </c>
      <c r="D1165" s="125"/>
      <c r="E1165" s="126">
        <v>0.38</v>
      </c>
      <c r="F1165" s="127"/>
      <c r="G1165" s="127"/>
      <c r="H1165" s="127"/>
      <c r="I1165" s="128"/>
      <c r="K1165" s="105" t="str">
        <f>IFERROR(__xludf.DUMMYFUNCTION("if(A1165="""","""",substitute(SUBSTITUTE(index(importhtml(""http://finviz.com/quote.ashx?t=""&amp;A1165,""table"",10),7,2),""*"",""""),""-"",""0.00""))"),"Loading...")</f>
        <v>Loading...</v>
      </c>
      <c r="L1165" s="129">
        <v>2775003.0</v>
      </c>
      <c r="M1165" s="99">
        <f>IFERROR(__xludf.DUMMYFUNCTION("GOOGLEFINANCE(A1165,""beta"")"),3.63)</f>
        <v>3.63</v>
      </c>
    </row>
    <row r="1166">
      <c r="A1166" s="122" t="s">
        <v>2755</v>
      </c>
      <c r="B1166" s="123">
        <v>1023994.0</v>
      </c>
      <c r="C1166" s="124" t="s">
        <v>2756</v>
      </c>
      <c r="D1166" s="125"/>
      <c r="E1166" s="126">
        <v>0.38</v>
      </c>
      <c r="F1166" s="127"/>
      <c r="G1166" s="127"/>
      <c r="H1166" s="127"/>
      <c r="I1166" s="128"/>
      <c r="K1166" s="105" t="str">
        <f>IFERROR(__xludf.DUMMYFUNCTION("if(A1166="""","""",substitute(SUBSTITUTE(index(importhtml(""http://finviz.com/quote.ashx?t=""&amp;A1166,""table"",10),7,2),""*"",""""),""-"",""0.00""))"),"Loading...")</f>
        <v>Loading...</v>
      </c>
      <c r="L1166" s="129">
        <v>6273878.0</v>
      </c>
      <c r="M1166" s="99">
        <v>-2.56</v>
      </c>
    </row>
    <row r="1167">
      <c r="A1167" s="122" t="s">
        <v>2757</v>
      </c>
      <c r="B1167" s="123">
        <v>1476963.0</v>
      </c>
      <c r="C1167" s="124" t="s">
        <v>2758</v>
      </c>
      <c r="D1167" s="125"/>
      <c r="E1167" s="126">
        <v>0.38</v>
      </c>
      <c r="F1167" s="127"/>
      <c r="G1167" s="127"/>
      <c r="H1167" s="127"/>
      <c r="I1167" s="128"/>
      <c r="K1167" s="105" t="str">
        <f>IFERROR(__xludf.DUMMYFUNCTION("if(A1167="""","""",substitute(SUBSTITUTE(index(importhtml(""http://finviz.com/quote.ashx?t=""&amp;A1167,""table"",10),7,2),""*"",""""),""-"",""0.00""))"),"Loading...")</f>
        <v>Loading...</v>
      </c>
      <c r="L1167" s="129">
        <v>9981539.0</v>
      </c>
      <c r="M1167" s="99" t="str">
        <f>IFERROR(__xludf.DUMMYFUNCTION("GOOGLEFINANCE(A1167,""beta"")"),"#N/A")</f>
        <v>#N/A</v>
      </c>
    </row>
    <row r="1168">
      <c r="A1168" s="122" t="s">
        <v>2759</v>
      </c>
      <c r="B1168" s="123">
        <v>1752474.0</v>
      </c>
      <c r="C1168" s="124" t="s">
        <v>2760</v>
      </c>
      <c r="D1168" s="125"/>
      <c r="E1168" s="126">
        <v>0.38</v>
      </c>
      <c r="F1168" s="127"/>
      <c r="G1168" s="127"/>
      <c r="H1168" s="127"/>
      <c r="I1168" s="128"/>
      <c r="K1168" s="105" t="str">
        <f>IFERROR(__xludf.DUMMYFUNCTION("if(A1168="""","""",substitute(SUBSTITUTE(index(importhtml(""http://finviz.com/quote.ashx?t=""&amp;A1168,""table"",10),7,2),""*"",""""),""-"",""0.00""))"),"Loading...")</f>
        <v>Loading...</v>
      </c>
      <c r="L1168" s="129">
        <v>1.6372782E7</v>
      </c>
      <c r="M1168" s="99">
        <v>0.62</v>
      </c>
    </row>
    <row r="1169">
      <c r="A1169" s="122" t="s">
        <v>2761</v>
      </c>
      <c r="B1169" s="123">
        <v>1907184.0</v>
      </c>
      <c r="C1169" s="124" t="s">
        <v>2762</v>
      </c>
      <c r="D1169" s="125"/>
      <c r="E1169" s="126">
        <v>0.38</v>
      </c>
      <c r="F1169" s="127"/>
      <c r="G1169" s="127"/>
      <c r="H1169" s="127"/>
      <c r="I1169" s="128"/>
      <c r="K1169" s="105" t="str">
        <f>IFERROR(__xludf.DUMMYFUNCTION("if(A1169="""","""",substitute(SUBSTITUTE(index(importhtml(""http://finviz.com/quote.ashx?t=""&amp;A1169,""table"",10),7,2),""*"",""""),""-"",""0.00""))"),"Loading...")</f>
        <v>Loading...</v>
      </c>
      <c r="L1169" s="129">
        <v>2.9595903E7</v>
      </c>
      <c r="M1169" s="99">
        <v>2.09</v>
      </c>
    </row>
    <row r="1170">
      <c r="A1170" s="122" t="s">
        <v>2763</v>
      </c>
      <c r="B1170" s="123">
        <v>1719406.0</v>
      </c>
      <c r="C1170" s="124" t="s">
        <v>2764</v>
      </c>
      <c r="D1170" s="125"/>
      <c r="E1170" s="126">
        <v>0.38</v>
      </c>
      <c r="F1170" s="127"/>
      <c r="G1170" s="127"/>
      <c r="H1170" s="127"/>
      <c r="I1170" s="128"/>
      <c r="K1170" s="105" t="str">
        <f>IFERROR(__xludf.DUMMYFUNCTION("if(A1170="""","""",substitute(SUBSTITUTE(index(importhtml(""http://finviz.com/quote.ashx?t=""&amp;A1170,""table"",10),7,2),""*"",""""),""-"",""0.00""))"),"Loading...")</f>
        <v>Loading...</v>
      </c>
      <c r="L1170" s="129">
        <v>3.2618703E7</v>
      </c>
      <c r="M1170" s="99">
        <v>0.94</v>
      </c>
    </row>
    <row r="1171">
      <c r="A1171" s="122" t="s">
        <v>2765</v>
      </c>
      <c r="B1171" s="123">
        <v>1522767.0</v>
      </c>
      <c r="C1171" s="124" t="s">
        <v>2766</v>
      </c>
      <c r="D1171" s="125"/>
      <c r="E1171" s="126">
        <v>0.38</v>
      </c>
      <c r="F1171" s="127"/>
      <c r="G1171" s="127"/>
      <c r="H1171" s="127"/>
      <c r="I1171" s="128"/>
      <c r="K1171" s="105" t="str">
        <f>IFERROR(__xludf.DUMMYFUNCTION("if(A1171="""","""",substitute(SUBSTITUTE(index(importhtml(""http://finviz.com/quote.ashx?t=""&amp;A1171,""table"",10),7,2),""*"",""""),""-"",""0.00""))"),"Loading...")</f>
        <v>Loading...</v>
      </c>
      <c r="L1171" s="129">
        <v>1.43013159E8</v>
      </c>
      <c r="M1171" s="99">
        <v>2.92</v>
      </c>
    </row>
    <row r="1172">
      <c r="A1172" s="122" t="s">
        <v>2767</v>
      </c>
      <c r="B1172" s="123">
        <v>1171326.0</v>
      </c>
      <c r="C1172" s="124" t="s">
        <v>2768</v>
      </c>
      <c r="D1172" s="125"/>
      <c r="E1172" s="126">
        <v>0.38</v>
      </c>
      <c r="F1172" s="127"/>
      <c r="G1172" s="127"/>
      <c r="H1172" s="127"/>
      <c r="I1172" s="128"/>
      <c r="K1172" s="105" t="str">
        <f>IFERROR(__xludf.DUMMYFUNCTION("if(A1172="""","""",substitute(SUBSTITUTE(index(importhtml(""http://finviz.com/quote.ashx?t=""&amp;A1172,""table"",10),7,2),""*"",""""),""-"",""0.00""))"),"Loading...")</f>
        <v>Loading...</v>
      </c>
      <c r="L1172" s="129" t="e">
        <v>#N/A</v>
      </c>
      <c r="M1172" s="99">
        <v>14.95</v>
      </c>
    </row>
    <row r="1173">
      <c r="A1173" s="122" t="s">
        <v>2769</v>
      </c>
      <c r="B1173" s="123">
        <v>1683541.0</v>
      </c>
      <c r="C1173" s="124" t="s">
        <v>2770</v>
      </c>
      <c r="D1173" s="125"/>
      <c r="E1173" s="126">
        <v>0.39</v>
      </c>
      <c r="F1173" s="127"/>
      <c r="G1173" s="127"/>
      <c r="H1173" s="127"/>
      <c r="I1173" s="128"/>
      <c r="K1173" s="55" t="s">
        <v>1034</v>
      </c>
      <c r="L1173" s="129">
        <v>2.47469966E8</v>
      </c>
      <c r="M1173" s="99">
        <v>2.38</v>
      </c>
    </row>
    <row r="1174">
      <c r="A1174" s="122" t="s">
        <v>2771</v>
      </c>
      <c r="B1174" s="123">
        <v>1847806.0</v>
      </c>
      <c r="C1174" s="124" t="s">
        <v>2772</v>
      </c>
      <c r="D1174" s="125"/>
      <c r="E1174" s="126">
        <v>0.39</v>
      </c>
      <c r="F1174" s="127"/>
      <c r="G1174" s="127"/>
      <c r="H1174" s="127"/>
      <c r="I1174" s="128"/>
      <c r="K1174" s="105" t="str">
        <f>IFERROR(__xludf.DUMMYFUNCTION("if(A1174="""","""",substitute(SUBSTITUTE(index(importhtml(""http://finviz.com/quote.ashx?t=""&amp;A1174,""table"",10),7,2),""*"",""""),""-"",""0.00""))"),"Loading...")</f>
        <v>Loading...</v>
      </c>
      <c r="L1174" s="129">
        <v>2.8749375E7</v>
      </c>
      <c r="M1174" s="99">
        <f>IFERROR(__xludf.DUMMYFUNCTION("GOOGLEFINANCE(A1174,""beta"")"),10.69)</f>
        <v>10.69</v>
      </c>
    </row>
    <row r="1175">
      <c r="A1175" s="122" t="s">
        <v>2773</v>
      </c>
      <c r="B1175" s="123">
        <v>930245.0</v>
      </c>
      <c r="C1175" s="124" t="s">
        <v>2774</v>
      </c>
      <c r="D1175" s="125"/>
      <c r="E1175" s="126">
        <v>0.39</v>
      </c>
      <c r="F1175" s="127"/>
      <c r="G1175" s="127"/>
      <c r="H1175" s="127"/>
      <c r="I1175" s="128"/>
      <c r="K1175" s="105" t="str">
        <f>IFERROR(__xludf.DUMMYFUNCTION("if(A1175="""","""",substitute(SUBSTITUTE(index(importhtml(""http://finviz.com/quote.ashx?t=""&amp;A1175,""table"",10),7,2),""*"",""""),""-"",""0.00""))"),"Loading...")</f>
        <v>Loading...</v>
      </c>
      <c r="L1175" s="129">
        <v>2193650.0</v>
      </c>
      <c r="M1175" s="99">
        <v>-0.11</v>
      </c>
    </row>
    <row r="1176">
      <c r="A1176" s="122" t="s">
        <v>2775</v>
      </c>
      <c r="B1176" s="123">
        <v>1814963.0</v>
      </c>
      <c r="C1176" s="124" t="s">
        <v>2776</v>
      </c>
      <c r="D1176" s="125"/>
      <c r="E1176" s="126">
        <v>0.39</v>
      </c>
      <c r="F1176" s="127"/>
      <c r="G1176" s="127"/>
      <c r="H1176" s="127"/>
      <c r="I1176" s="128"/>
      <c r="K1176" s="105" t="str">
        <f>IFERROR(__xludf.DUMMYFUNCTION("if(A1176="""","""",substitute(SUBSTITUTE(index(importhtml(""http://finviz.com/quote.ashx?t=""&amp;A1176,""table"",10),7,2),""*"",""""),""-"",""0.00""))"),"Loading...")</f>
        <v>Loading...</v>
      </c>
      <c r="L1176" s="129">
        <v>7050858.0</v>
      </c>
      <c r="M1176" s="99">
        <f>IFERROR(__xludf.DUMMYFUNCTION("GOOGLEFINANCE(A1176,""beta"")"),1.41)</f>
        <v>1.41</v>
      </c>
    </row>
    <row r="1177">
      <c r="A1177" s="122" t="s">
        <v>2777</v>
      </c>
      <c r="B1177" s="123">
        <v>1015155.0</v>
      </c>
      <c r="C1177" s="124" t="s">
        <v>2778</v>
      </c>
      <c r="D1177" s="125"/>
      <c r="E1177" s="126">
        <v>0.39</v>
      </c>
      <c r="F1177" s="127"/>
      <c r="G1177" s="127"/>
      <c r="H1177" s="127"/>
      <c r="I1177" s="128"/>
      <c r="K1177" s="105" t="str">
        <f>IFERROR(__xludf.DUMMYFUNCTION("if(A1177="""","""",substitute(SUBSTITUTE(index(importhtml(""http://finviz.com/quote.ashx?t=""&amp;A1177,""table"",10),7,2),""*"",""""),""-"",""0.00""))"),"Loading...")</f>
        <v>Loading...</v>
      </c>
      <c r="L1177" s="129">
        <v>1.1923294E7</v>
      </c>
      <c r="M1177" s="99">
        <v>0.97</v>
      </c>
    </row>
    <row r="1178">
      <c r="A1178" s="122" t="s">
        <v>2779</v>
      </c>
      <c r="B1178" s="123">
        <v>1137883.0</v>
      </c>
      <c r="C1178" s="124" t="s">
        <v>2780</v>
      </c>
      <c r="D1178" s="125"/>
      <c r="E1178" s="126">
        <v>0.39</v>
      </c>
      <c r="F1178" s="127"/>
      <c r="G1178" s="127"/>
      <c r="H1178" s="127"/>
      <c r="I1178" s="128"/>
      <c r="K1178" s="105" t="str">
        <f>IFERROR(__xludf.DUMMYFUNCTION("if(A1178="""","""",substitute(SUBSTITUTE(index(importhtml(""http://finviz.com/quote.ashx?t=""&amp;A1178,""table"",10),7,2),""*"",""""),""-"",""0.00""))"),"Loading...")</f>
        <v>Loading...</v>
      </c>
      <c r="L1178" s="129">
        <v>1.8857907E7</v>
      </c>
      <c r="M1178" s="99">
        <v>0.22</v>
      </c>
    </row>
    <row r="1179">
      <c r="A1179" s="122" t="s">
        <v>2781</v>
      </c>
      <c r="B1179" s="123">
        <v>1172178.0</v>
      </c>
      <c r="C1179" s="124" t="s">
        <v>2782</v>
      </c>
      <c r="D1179" s="125"/>
      <c r="E1179" s="126">
        <v>0.39</v>
      </c>
      <c r="F1179" s="127"/>
      <c r="G1179" s="127"/>
      <c r="H1179" s="127"/>
      <c r="I1179" s="128"/>
      <c r="K1179" s="105" t="str">
        <f>IFERROR(__xludf.DUMMYFUNCTION("if(A1179="""","""",substitute(SUBSTITUTE(index(importhtml(""http://finviz.com/quote.ashx?t=""&amp;A1179,""table"",10),7,2),""*"",""""),""-"",""0.00""))"),"Loading...")</f>
        <v>Loading...</v>
      </c>
      <c r="L1179" s="129">
        <v>1.9427408E7</v>
      </c>
      <c r="M1179" s="99">
        <v>2.81</v>
      </c>
    </row>
    <row r="1180">
      <c r="A1180" s="122" t="s">
        <v>2783</v>
      </c>
      <c r="B1180" s="123">
        <v>1309057.0</v>
      </c>
      <c r="C1180" s="124" t="s">
        <v>2784</v>
      </c>
      <c r="D1180" s="125"/>
      <c r="E1180" s="126">
        <v>0.39</v>
      </c>
      <c r="F1180" s="127"/>
      <c r="G1180" s="127"/>
      <c r="H1180" s="127"/>
      <c r="I1180" s="128"/>
      <c r="K1180" s="105" t="str">
        <f>IFERROR(__xludf.DUMMYFUNCTION("if(A1180="""","""",substitute(SUBSTITUTE(index(importhtml(""http://finviz.com/quote.ashx?t=""&amp;A1180,""table"",10),7,2),""*"",""""),""-"",""0.00""))"),"Loading...")</f>
        <v>Loading...</v>
      </c>
      <c r="L1180" s="129">
        <v>2.55605E7</v>
      </c>
      <c r="M1180" s="99">
        <v>-15.06</v>
      </c>
    </row>
    <row r="1181">
      <c r="A1181" s="122" t="s">
        <v>2785</v>
      </c>
      <c r="B1181" s="123">
        <v>1915403.0</v>
      </c>
      <c r="C1181" s="124" t="s">
        <v>2786</v>
      </c>
      <c r="D1181" s="125"/>
      <c r="E1181" s="126">
        <v>0.39</v>
      </c>
      <c r="F1181" s="127"/>
      <c r="G1181" s="127"/>
      <c r="H1181" s="127"/>
      <c r="I1181" s="128"/>
      <c r="K1181" s="105" t="str">
        <f>IFERROR(__xludf.DUMMYFUNCTION("if(A1181="""","""",substitute(SUBSTITUTE(index(importhtml(""http://finviz.com/quote.ashx?t=""&amp;A1181,""table"",10),7,2),""*"",""""),""-"",""0.00""))"),"Loading...")</f>
        <v>Loading...</v>
      </c>
      <c r="L1181" s="129">
        <v>3.0846406E7</v>
      </c>
      <c r="M1181" s="99" t="str">
        <f>IFERROR(__xludf.DUMMYFUNCTION("GOOGLEFINANCE(A1181,""beta"")"),"#N/A")</f>
        <v>#N/A</v>
      </c>
    </row>
    <row r="1182">
      <c r="A1182" s="122" t="s">
        <v>2787</v>
      </c>
      <c r="B1182" s="123">
        <v>709283.0</v>
      </c>
      <c r="C1182" s="124" t="s">
        <v>2788</v>
      </c>
      <c r="D1182" s="125"/>
      <c r="E1182" s="126">
        <v>0.39</v>
      </c>
      <c r="F1182" s="127"/>
      <c r="G1182" s="127"/>
      <c r="H1182" s="127"/>
      <c r="I1182" s="128"/>
      <c r="K1182" s="105" t="str">
        <f>IFERROR(__xludf.DUMMYFUNCTION("if(A1182="""","""",substitute(SUBSTITUTE(index(importhtml(""http://finviz.com/quote.ashx?t=""&amp;A1182,""table"",10),7,2),""*"",""""),""-"",""0.00""))"),"Loading...")</f>
        <v>Loading...</v>
      </c>
      <c r="L1182" s="129">
        <v>3.6602512E7</v>
      </c>
      <c r="M1182" s="99">
        <v>2.03</v>
      </c>
    </row>
    <row r="1183">
      <c r="A1183" s="122" t="s">
        <v>2789</v>
      </c>
      <c r="B1183" s="123">
        <v>822411.0</v>
      </c>
      <c r="C1183" s="124" t="s">
        <v>2790</v>
      </c>
      <c r="D1183" s="125"/>
      <c r="E1183" s="126">
        <v>0.39</v>
      </c>
      <c r="F1183" s="127"/>
      <c r="G1183" s="127"/>
      <c r="H1183" s="127"/>
      <c r="I1183" s="128"/>
      <c r="K1183" s="105" t="str">
        <f>IFERROR(__xludf.DUMMYFUNCTION("if(A1183="""","""",substitute(SUBSTITUTE(index(importhtml(""http://finviz.com/quote.ashx?t=""&amp;A1183,""table"",10),7,2),""*"",""""),""-"",""0.00""))"),"Loading...")</f>
        <v>Loading...</v>
      </c>
      <c r="L1183" s="129">
        <v>4.417559E7</v>
      </c>
      <c r="M1183" s="99">
        <v>0.09</v>
      </c>
    </row>
    <row r="1184">
      <c r="A1184" s="122" t="s">
        <v>2791</v>
      </c>
      <c r="B1184" s="123">
        <v>1021917.0</v>
      </c>
      <c r="C1184" s="124" t="s">
        <v>2792</v>
      </c>
      <c r="D1184" s="125"/>
      <c r="E1184" s="126">
        <v>0.39</v>
      </c>
      <c r="F1184" s="127"/>
      <c r="G1184" s="127"/>
      <c r="H1184" s="127"/>
      <c r="I1184" s="128"/>
      <c r="K1184" s="105" t="str">
        <f>IFERROR(__xludf.DUMMYFUNCTION("if(A1184="""","""",substitute(SUBSTITUTE(index(importhtml(""http://finviz.com/quote.ashx?t=""&amp;A1184,""table"",10),7,2),""*"",""""),""-"",""0.00""))"),"Loading...")</f>
        <v>Loading...</v>
      </c>
      <c r="L1184" s="129">
        <v>9.836855E7</v>
      </c>
      <c r="M1184" s="99">
        <v>-1.1</v>
      </c>
    </row>
    <row r="1185">
      <c r="A1185" s="122" t="s">
        <v>2793</v>
      </c>
      <c r="B1185" s="123">
        <v>1501134.0</v>
      </c>
      <c r="C1185" s="124" t="s">
        <v>2794</v>
      </c>
      <c r="D1185" s="125"/>
      <c r="E1185" s="126">
        <v>0.39</v>
      </c>
      <c r="F1185" s="127"/>
      <c r="G1185" s="127"/>
      <c r="H1185" s="127"/>
      <c r="I1185" s="128"/>
      <c r="K1185" s="105" t="str">
        <f>IFERROR(__xludf.DUMMYFUNCTION("if(A1185="""","""",substitute(SUBSTITUTE(index(importhtml(""http://finviz.com/quote.ashx?t=""&amp;A1185,""table"",10),7,2),""*"",""""),""-"",""0.00""))"),"Loading...")</f>
        <v>Loading...</v>
      </c>
      <c r="L1185" s="129">
        <v>1.1132545E8</v>
      </c>
      <c r="M1185" s="99">
        <v>1.59</v>
      </c>
    </row>
    <row r="1186">
      <c r="A1186" s="122" t="s">
        <v>2795</v>
      </c>
      <c r="B1186" s="123">
        <v>1084267.0</v>
      </c>
      <c r="C1186" s="124" t="s">
        <v>2796</v>
      </c>
      <c r="D1186" s="125"/>
      <c r="E1186" s="126">
        <v>0.4</v>
      </c>
      <c r="F1186" s="127"/>
      <c r="G1186" s="127"/>
      <c r="H1186" s="127"/>
      <c r="I1186" s="128"/>
      <c r="K1186" s="105" t="str">
        <f>IFERROR(__xludf.DUMMYFUNCTION("if(A1186="""","""",substitute(SUBSTITUTE(index(importhtml(""http://finviz.com/quote.ashx?t=""&amp;A1186,""table"",10),7,2),""*"",""""),""-"",""0.00""))"),"Loading...")</f>
        <v>Loading...</v>
      </c>
      <c r="L1186" s="129">
        <v>1566977.0</v>
      </c>
      <c r="M1186" s="99">
        <v>0.75</v>
      </c>
    </row>
    <row r="1187">
      <c r="A1187" s="122" t="s">
        <v>2797</v>
      </c>
      <c r="B1187" s="123">
        <v>946486.0</v>
      </c>
      <c r="C1187" s="124" t="s">
        <v>2798</v>
      </c>
      <c r="D1187" s="125"/>
      <c r="E1187" s="126">
        <v>0.4</v>
      </c>
      <c r="F1187" s="127"/>
      <c r="G1187" s="127"/>
      <c r="H1187" s="127"/>
      <c r="I1187" s="128"/>
      <c r="K1187" s="105" t="str">
        <f>IFERROR(__xludf.DUMMYFUNCTION("if(A1187="""","""",substitute(SUBSTITUTE(index(importhtml(""http://finviz.com/quote.ashx?t=""&amp;A1187,""table"",10),7,2),""*"",""""),""-"",""0.00""))"),"Loading...")</f>
        <v>Loading...</v>
      </c>
      <c r="L1187" s="129">
        <v>2059287.0</v>
      </c>
      <c r="M1187" s="99">
        <v>0.61</v>
      </c>
    </row>
    <row r="1188">
      <c r="A1188" s="122" t="s">
        <v>2799</v>
      </c>
      <c r="B1188" s="123">
        <v>1633441.0</v>
      </c>
      <c r="C1188" s="124" t="s">
        <v>2800</v>
      </c>
      <c r="D1188" s="125"/>
      <c r="E1188" s="126">
        <v>0.4</v>
      </c>
      <c r="F1188" s="127"/>
      <c r="G1188" s="127"/>
      <c r="H1188" s="127"/>
      <c r="I1188" s="128"/>
      <c r="K1188" s="105" t="str">
        <f>IFERROR(__xludf.DUMMYFUNCTION("if(A1188="""","""",substitute(SUBSTITUTE(index(importhtml(""http://finviz.com/quote.ashx?t=""&amp;A1188,""table"",10),7,2),""*"",""""),""-"",""0.00""))"),"Loading...")</f>
        <v>Loading...</v>
      </c>
      <c r="L1188" s="129">
        <v>2838835.0</v>
      </c>
      <c r="M1188" s="99">
        <v>-0.06</v>
      </c>
    </row>
    <row r="1189">
      <c r="A1189" s="122" t="s">
        <v>2801</v>
      </c>
      <c r="B1189" s="123">
        <v>927720.0</v>
      </c>
      <c r="C1189" s="124" t="s">
        <v>2802</v>
      </c>
      <c r="D1189" s="125"/>
      <c r="E1189" s="126">
        <v>0.4</v>
      </c>
      <c r="F1189" s="127"/>
      <c r="G1189" s="127"/>
      <c r="H1189" s="127"/>
      <c r="I1189" s="128"/>
      <c r="K1189" s="105" t="str">
        <f>IFERROR(__xludf.DUMMYFUNCTION("if(A1189="""","""",substitute(SUBSTITUTE(index(importhtml(""http://finviz.com/quote.ashx?t=""&amp;A1189,""table"",10),7,2),""*"",""""),""-"",""0.00""))"),"Loading...")</f>
        <v>Loading...</v>
      </c>
      <c r="L1189" s="129">
        <v>2952890.0</v>
      </c>
      <c r="M1189" s="99">
        <v>0.39</v>
      </c>
    </row>
    <row r="1190">
      <c r="A1190" s="122" t="s">
        <v>2803</v>
      </c>
      <c r="B1190" s="123">
        <v>1757499.0</v>
      </c>
      <c r="C1190" s="124" t="s">
        <v>2804</v>
      </c>
      <c r="D1190" s="125"/>
      <c r="E1190" s="126">
        <v>0.4</v>
      </c>
      <c r="F1190" s="127"/>
      <c r="G1190" s="127"/>
      <c r="H1190" s="127"/>
      <c r="I1190" s="128"/>
      <c r="K1190" s="105" t="str">
        <f>IFERROR(__xludf.DUMMYFUNCTION("if(A1190="""","""",substitute(SUBSTITUTE(index(importhtml(""http://finviz.com/quote.ashx?t=""&amp;A1190,""table"",10),7,2),""*"",""""),""-"",""0.00""))"),"Loading...")</f>
        <v>Loading...</v>
      </c>
      <c r="L1190" s="129">
        <v>6393248.0</v>
      </c>
      <c r="M1190" s="99">
        <f>IFERROR(__xludf.DUMMYFUNCTION("GOOGLEFINANCE(A1190,""beta"")"),0.47)</f>
        <v>0.47</v>
      </c>
    </row>
    <row r="1191">
      <c r="A1191" s="122" t="s">
        <v>2805</v>
      </c>
      <c r="B1191" s="123">
        <v>1818844.0</v>
      </c>
      <c r="C1191" s="124" t="s">
        <v>2806</v>
      </c>
      <c r="D1191" s="125"/>
      <c r="E1191" s="126">
        <v>0.4</v>
      </c>
      <c r="F1191" s="127"/>
      <c r="G1191" s="127"/>
      <c r="H1191" s="127"/>
      <c r="I1191" s="128"/>
      <c r="K1191" s="105" t="str">
        <f>IFERROR(__xludf.DUMMYFUNCTION("if(A1191="""","""",substitute(SUBSTITUTE(index(importhtml(""http://finviz.com/quote.ashx?t=""&amp;A1191,""table"",10),7,2),""*"",""""),""-"",""0.00""))"),"Loading...")</f>
        <v>Loading...</v>
      </c>
      <c r="L1191" s="129">
        <v>7613320.0</v>
      </c>
      <c r="M1191" s="99">
        <v>1.92</v>
      </c>
    </row>
    <row r="1192">
      <c r="A1192" s="122" t="s">
        <v>2807</v>
      </c>
      <c r="B1192" s="123">
        <v>1637890.0</v>
      </c>
      <c r="C1192" s="124" t="s">
        <v>2808</v>
      </c>
      <c r="D1192" s="125"/>
      <c r="E1192" s="126">
        <v>0.4</v>
      </c>
      <c r="F1192" s="127"/>
      <c r="G1192" s="127"/>
      <c r="H1192" s="127"/>
      <c r="I1192" s="128"/>
      <c r="K1192" s="105" t="str">
        <f>IFERROR(__xludf.DUMMYFUNCTION("if(A1192="""","""",substitute(SUBSTITUTE(index(importhtml(""http://finviz.com/quote.ashx?t=""&amp;A1192,""table"",10),7,2),""*"",""""),""-"",""0.00""))"),"Loading...")</f>
        <v>Loading...</v>
      </c>
      <c r="L1192" s="129">
        <v>1.0813693E7</v>
      </c>
      <c r="M1192" s="99" t="str">
        <f>IFERROR(__xludf.DUMMYFUNCTION("GOOGLEFINANCE(A1192,""beta"")"),"#N/A")</f>
        <v>#N/A</v>
      </c>
    </row>
    <row r="1193">
      <c r="A1193" s="122" t="s">
        <v>2809</v>
      </c>
      <c r="B1193" s="123">
        <v>1468929.0</v>
      </c>
      <c r="C1193" s="124" t="s">
        <v>2810</v>
      </c>
      <c r="D1193" s="125"/>
      <c r="E1193" s="126">
        <v>0.4</v>
      </c>
      <c r="F1193" s="127"/>
      <c r="G1193" s="127"/>
      <c r="H1193" s="127"/>
      <c r="I1193" s="128"/>
      <c r="K1193" s="105" t="str">
        <f>IFERROR(__xludf.DUMMYFUNCTION("if(A1193="""","""",substitute(SUBSTITUTE(index(importhtml(""http://finviz.com/quote.ashx?t=""&amp;A1193,""table"",10),7,2),""*"",""""),""-"",""0.00""))"),"Loading...")</f>
        <v>Loading...</v>
      </c>
      <c r="L1193" s="129">
        <v>1.2950425E7</v>
      </c>
      <c r="M1193" s="99">
        <f>IFERROR(__xludf.DUMMYFUNCTION("GOOGLEFINANCE(A1193,""beta"")"),0.66)</f>
        <v>0.66</v>
      </c>
    </row>
    <row r="1194">
      <c r="A1194" s="122" t="s">
        <v>2811</v>
      </c>
      <c r="B1194" s="123">
        <v>1396633.0</v>
      </c>
      <c r="C1194" s="124" t="s">
        <v>2812</v>
      </c>
      <c r="D1194" s="125"/>
      <c r="E1194" s="126">
        <v>0.4</v>
      </c>
      <c r="F1194" s="127"/>
      <c r="G1194" s="127"/>
      <c r="H1194" s="127"/>
      <c r="I1194" s="128"/>
      <c r="K1194" s="105" t="str">
        <f>IFERROR(__xludf.DUMMYFUNCTION("if(A1194="""","""",substitute(SUBSTITUTE(index(importhtml(""http://finviz.com/quote.ashx?t=""&amp;A1194,""table"",10),7,2),""*"",""""),""-"",""0.00""))"),"Loading...")</f>
        <v>Loading...</v>
      </c>
      <c r="L1194" s="129">
        <v>1.301733E7</v>
      </c>
      <c r="M1194" s="99">
        <v>-8.9</v>
      </c>
    </row>
    <row r="1195">
      <c r="A1195" s="122" t="s">
        <v>2813</v>
      </c>
      <c r="B1195" s="123">
        <v>1569340.0</v>
      </c>
      <c r="C1195" s="124" t="s">
        <v>2814</v>
      </c>
      <c r="D1195" s="125"/>
      <c r="E1195" s="126">
        <v>0.4</v>
      </c>
      <c r="F1195" s="127"/>
      <c r="G1195" s="127"/>
      <c r="H1195" s="127"/>
      <c r="I1195" s="128"/>
      <c r="K1195" s="105" t="str">
        <f>IFERROR(__xludf.DUMMYFUNCTION("if(A1195="""","""",substitute(SUBSTITUTE(index(importhtml(""http://finviz.com/quote.ashx?t=""&amp;A1195,""table"",10),7,2),""*"",""""),""-"",""0.00""))"),"Loading...")</f>
        <v>Loading...</v>
      </c>
      <c r="L1195" s="129">
        <v>1.5418488E7</v>
      </c>
      <c r="M1195" s="99">
        <v>1.2</v>
      </c>
    </row>
    <row r="1196">
      <c r="A1196" s="122" t="s">
        <v>2815</v>
      </c>
      <c r="B1196" s="123">
        <v>1403749.0</v>
      </c>
      <c r="C1196" s="124" t="s">
        <v>2816</v>
      </c>
      <c r="D1196" s="125"/>
      <c r="E1196" s="126">
        <v>0.4</v>
      </c>
      <c r="F1196" s="127"/>
      <c r="G1196" s="127"/>
      <c r="H1196" s="127"/>
      <c r="I1196" s="128"/>
      <c r="K1196" s="105" t="str">
        <f>IFERROR(__xludf.DUMMYFUNCTION("if(A1196="""","""",substitute(SUBSTITUTE(index(importhtml(""http://finviz.com/quote.ashx?t=""&amp;A1196,""table"",10),7,2),""*"",""""),""-"",""0.00""))"),"Loading...")</f>
        <v>Loading...</v>
      </c>
      <c r="L1196" s="129">
        <v>1.922866E7</v>
      </c>
      <c r="M1196" s="99">
        <v>0.89</v>
      </c>
    </row>
    <row r="1197">
      <c r="A1197" s="122" t="s">
        <v>2817</v>
      </c>
      <c r="B1197" s="123">
        <v>1008586.0</v>
      </c>
      <c r="C1197" s="124" t="s">
        <v>2818</v>
      </c>
      <c r="D1197" s="125"/>
      <c r="E1197" s="126">
        <v>0.4</v>
      </c>
      <c r="F1197" s="127"/>
      <c r="G1197" s="127"/>
      <c r="H1197" s="127"/>
      <c r="I1197" s="128"/>
      <c r="K1197" s="105" t="str">
        <f>IFERROR(__xludf.DUMMYFUNCTION("if(A1197="""","""",substitute(SUBSTITUTE(index(importhtml(""http://finviz.com/quote.ashx?t=""&amp;A1197,""table"",10),7,2),""*"",""""),""-"",""0.00""))"),"Loading...")</f>
        <v>Loading...</v>
      </c>
      <c r="L1197" s="129">
        <v>2.332588E7</v>
      </c>
      <c r="M1197" s="99">
        <v>1.12</v>
      </c>
    </row>
    <row r="1198">
      <c r="A1198" s="122" t="s">
        <v>2819</v>
      </c>
      <c r="B1198" s="123">
        <v>829323.0</v>
      </c>
      <c r="C1198" s="124" t="s">
        <v>2820</v>
      </c>
      <c r="D1198" s="125"/>
      <c r="E1198" s="126">
        <v>0.4</v>
      </c>
      <c r="F1198" s="127"/>
      <c r="G1198" s="127"/>
      <c r="H1198" s="127"/>
      <c r="I1198" s="128"/>
      <c r="K1198" s="105" t="str">
        <f>IFERROR(__xludf.DUMMYFUNCTION("if(A1198="""","""",substitute(SUBSTITUTE(index(importhtml(""http://finviz.com/quote.ashx?t=""&amp;A1198,""table"",10),7,2),""*"",""""),""-"",""0.00""))"),"Loading...")</f>
        <v>Loading...</v>
      </c>
      <c r="L1198" s="129">
        <v>5.5606584E7</v>
      </c>
      <c r="M1198" s="99">
        <v>1.32</v>
      </c>
    </row>
    <row r="1199">
      <c r="A1199" s="122" t="s">
        <v>2821</v>
      </c>
      <c r="B1199" s="123">
        <v>1828811.0</v>
      </c>
      <c r="C1199" s="124" t="s">
        <v>2822</v>
      </c>
      <c r="D1199" s="125"/>
      <c r="E1199" s="126">
        <v>0.4</v>
      </c>
      <c r="F1199" s="127"/>
      <c r="G1199" s="127"/>
      <c r="H1199" s="127"/>
      <c r="I1199" s="128"/>
      <c r="K1199" s="105" t="str">
        <f>IFERROR(__xludf.DUMMYFUNCTION("if(A1199="""","""",substitute(SUBSTITUTE(index(importhtml(""http://finviz.com/quote.ashx?t=""&amp;A1199,""table"",10),7,2),""*"",""""),""-"",""0.00""))"),"Loading...")</f>
        <v>Loading...</v>
      </c>
      <c r="L1199" s="129">
        <v>7.0797427E7</v>
      </c>
      <c r="M1199" s="99">
        <v>1.03</v>
      </c>
    </row>
    <row r="1200">
      <c r="A1200" s="122" t="s">
        <v>2823</v>
      </c>
      <c r="B1200" s="123">
        <v>1812173.0</v>
      </c>
      <c r="C1200" s="124" t="s">
        <v>2824</v>
      </c>
      <c r="D1200" s="125"/>
      <c r="E1200" s="126">
        <v>0.4</v>
      </c>
      <c r="F1200" s="127"/>
      <c r="G1200" s="127"/>
      <c r="H1200" s="127"/>
      <c r="I1200" s="128"/>
      <c r="K1200" s="105" t="str">
        <f>IFERROR(__xludf.DUMMYFUNCTION("if(A1200="""","""",substitute(SUBSTITUTE(index(importhtml(""http://finviz.com/quote.ashx?t=""&amp;A1200,""table"",10),7,2),""*"",""""),""-"",""0.00""))"),"Loading...")</f>
        <v>Loading...</v>
      </c>
      <c r="L1200" s="129">
        <v>6.6563907E7</v>
      </c>
      <c r="M1200" s="99" t="e">
        <v>#N/A</v>
      </c>
    </row>
    <row r="1201">
      <c r="A1201" s="122" t="s">
        <v>2825</v>
      </c>
      <c r="B1201" s="123">
        <v>1514597.0</v>
      </c>
      <c r="C1201" s="124" t="s">
        <v>2826</v>
      </c>
      <c r="D1201" s="125"/>
      <c r="E1201" s="126">
        <v>0.4</v>
      </c>
      <c r="F1201" s="127"/>
      <c r="G1201" s="127"/>
      <c r="H1201" s="127"/>
      <c r="I1201" s="128"/>
      <c r="K1201" s="105" t="str">
        <f>IFERROR(__xludf.DUMMYFUNCTION("if(A1201="""","""",substitute(SUBSTITUTE(index(importhtml(""http://finviz.com/quote.ashx?t=""&amp;A1201,""table"",10),7,2),""*"",""""),""-"",""0.00""))"),"Loading...")</f>
        <v>Loading...</v>
      </c>
      <c r="L1201" s="129">
        <v>7.27737E7</v>
      </c>
      <c r="M1201" s="99">
        <v>1.17</v>
      </c>
    </row>
    <row r="1202">
      <c r="A1202" s="122" t="s">
        <v>2827</v>
      </c>
      <c r="B1202" s="123">
        <v>1538169.0</v>
      </c>
      <c r="C1202" s="124" t="s">
        <v>2828</v>
      </c>
      <c r="D1202" s="125"/>
      <c r="E1202" s="126">
        <v>0.4</v>
      </c>
      <c r="F1202" s="127"/>
      <c r="G1202" s="127"/>
      <c r="H1202" s="127"/>
      <c r="I1202" s="128"/>
      <c r="K1202" s="105" t="str">
        <f>IFERROR(__xludf.DUMMYFUNCTION("if(A1202="""","""",substitute(SUBSTITUTE(index(importhtml(""http://finviz.com/quote.ashx?t=""&amp;A1202,""table"",10),7,2),""*"",""""),""-"",""0.00""))"),"Loading...")</f>
        <v>Loading...</v>
      </c>
      <c r="L1202" s="129">
        <v>3.50282353E8</v>
      </c>
      <c r="M1202" s="99">
        <v>1.39</v>
      </c>
    </row>
    <row r="1203">
      <c r="A1203" s="122" t="s">
        <v>2829</v>
      </c>
      <c r="B1203" s="123">
        <v>902102.0</v>
      </c>
      <c r="C1203" s="124" t="s">
        <v>2830</v>
      </c>
      <c r="D1203" s="125"/>
      <c r="E1203" s="126">
        <v>0.4</v>
      </c>
      <c r="F1203" s="127"/>
      <c r="G1203" s="127"/>
      <c r="H1203" s="127"/>
      <c r="I1203" s="128"/>
      <c r="K1203" s="105" t="str">
        <f>IFERROR(__xludf.DUMMYFUNCTION("if(A1203="""","""",substitute(SUBSTITUTE(index(importhtml(""http://finviz.com/quote.ashx?t=""&amp;A1203,""table"",10),7,2),""*"",""""),""-"",""0.00""))"),"Loading...")</f>
        <v>Loading...</v>
      </c>
      <c r="L1203" s="129">
        <v>4.074491038E9</v>
      </c>
      <c r="M1203" s="99">
        <v>1.82</v>
      </c>
    </row>
    <row r="1204">
      <c r="A1204" s="122" t="s">
        <v>2831</v>
      </c>
      <c r="B1204" s="123">
        <v>1708599.0</v>
      </c>
      <c r="C1204" s="124" t="s">
        <v>2832</v>
      </c>
      <c r="D1204" s="125"/>
      <c r="E1204" s="126">
        <v>0.41</v>
      </c>
      <c r="F1204" s="127"/>
      <c r="G1204" s="127"/>
      <c r="H1204" s="127"/>
      <c r="I1204" s="128"/>
      <c r="K1204" s="55" t="s">
        <v>1034</v>
      </c>
      <c r="L1204" s="129">
        <v>1.5334838E7</v>
      </c>
      <c r="M1204" s="99">
        <v>1.22</v>
      </c>
    </row>
    <row r="1205">
      <c r="A1205" s="122" t="s">
        <v>2833</v>
      </c>
      <c r="B1205" s="123">
        <v>1808377.0</v>
      </c>
      <c r="C1205" s="124" t="s">
        <v>2834</v>
      </c>
      <c r="D1205" s="125"/>
      <c r="E1205" s="126">
        <v>0.41</v>
      </c>
      <c r="F1205" s="127"/>
      <c r="G1205" s="127"/>
      <c r="H1205" s="127"/>
      <c r="I1205" s="128"/>
      <c r="K1205" s="105" t="str">
        <f>IFERROR(__xludf.DUMMYFUNCTION("if(A1205="""","""",substitute(SUBSTITUTE(index(importhtml(""http://finviz.com/quote.ashx?t=""&amp;A1205,""table"",10),7,2),""*"",""""),""-"",""0.00""))"),"Loading...")</f>
        <v>Loading...</v>
      </c>
      <c r="L1205" s="129">
        <v>5270432.0</v>
      </c>
      <c r="M1205" s="99">
        <f>IFERROR(__xludf.DUMMYFUNCTION("GOOGLEFINANCE(A1205,""beta"")"),3.17)</f>
        <v>3.17</v>
      </c>
    </row>
    <row r="1206">
      <c r="A1206" s="122" t="s">
        <v>2835</v>
      </c>
      <c r="B1206" s="123">
        <v>1389002.0</v>
      </c>
      <c r="C1206" s="124" t="s">
        <v>2836</v>
      </c>
      <c r="D1206" s="125"/>
      <c r="E1206" s="126">
        <v>0.41</v>
      </c>
      <c r="F1206" s="127"/>
      <c r="G1206" s="127"/>
      <c r="H1206" s="127"/>
      <c r="I1206" s="128"/>
      <c r="K1206" s="105" t="str">
        <f>IFERROR(__xludf.DUMMYFUNCTION("if(A1206="""","""",substitute(SUBSTITUTE(index(importhtml(""http://finviz.com/quote.ashx?t=""&amp;A1206,""table"",10),7,2),""*"",""""),""-"",""0.00""))"),"Loading...")</f>
        <v>Loading...</v>
      </c>
      <c r="L1206" s="129">
        <v>7297298.0</v>
      </c>
      <c r="M1206" s="99">
        <v>0.98</v>
      </c>
    </row>
    <row r="1207">
      <c r="A1207" s="122" t="s">
        <v>2837</v>
      </c>
      <c r="B1207" s="123">
        <v>1887673.0</v>
      </c>
      <c r="C1207" s="124" t="s">
        <v>2838</v>
      </c>
      <c r="D1207" s="125"/>
      <c r="E1207" s="126">
        <v>0.41</v>
      </c>
      <c r="F1207" s="127"/>
      <c r="G1207" s="127"/>
      <c r="H1207" s="127"/>
      <c r="I1207" s="128"/>
      <c r="K1207" s="105" t="str">
        <f>IFERROR(__xludf.DUMMYFUNCTION("if(A1207="""","""",substitute(SUBSTITUTE(index(importhtml(""http://finviz.com/quote.ashx?t=""&amp;A1207,""table"",10),7,2),""*"",""""),""-"",""0.00""))"),"Loading...")</f>
        <v>Loading...</v>
      </c>
      <c r="L1207" s="129">
        <v>8261008.0</v>
      </c>
      <c r="M1207" s="99">
        <f>IFERROR(__xludf.DUMMYFUNCTION("GOOGLEFINANCE(A1207,""beta"")"),3.53)</f>
        <v>3.53</v>
      </c>
    </row>
    <row r="1208">
      <c r="A1208" s="122" t="s">
        <v>2839</v>
      </c>
      <c r="B1208" s="123">
        <v>1447380.0</v>
      </c>
      <c r="C1208" s="124" t="s">
        <v>2840</v>
      </c>
      <c r="D1208" s="125"/>
      <c r="E1208" s="126">
        <v>0.41</v>
      </c>
      <c r="F1208" s="127"/>
      <c r="G1208" s="127"/>
      <c r="H1208" s="127"/>
      <c r="I1208" s="128"/>
      <c r="K1208" s="105" t="str">
        <f>IFERROR(__xludf.DUMMYFUNCTION("if(A1208="""","""",substitute(SUBSTITUTE(index(importhtml(""http://finviz.com/quote.ashx?t=""&amp;A1208,""table"",10),7,2),""*"",""""),""-"",""0.00""))"),"Loading...")</f>
        <v>Loading...</v>
      </c>
      <c r="L1208" s="129">
        <v>2.7815795E7</v>
      </c>
      <c r="M1208" s="99">
        <v>0.69</v>
      </c>
    </row>
    <row r="1209">
      <c r="A1209" s="122" t="s">
        <v>2841</v>
      </c>
      <c r="B1209" s="123">
        <v>1295961.0</v>
      </c>
      <c r="C1209" s="124" t="s">
        <v>2842</v>
      </c>
      <c r="D1209" s="125"/>
      <c r="E1209" s="126">
        <v>0.41</v>
      </c>
      <c r="F1209" s="127"/>
      <c r="G1209" s="127"/>
      <c r="H1209" s="127"/>
      <c r="I1209" s="128"/>
      <c r="K1209" s="105" t="str">
        <f>IFERROR(__xludf.DUMMYFUNCTION("if(A1209="""","""",substitute(SUBSTITUTE(index(importhtml(""http://finviz.com/quote.ashx?t=""&amp;A1209,""table"",10),7,2),""*"",""""),""-"",""0.00""))"),"Loading...")</f>
        <v>Loading...</v>
      </c>
      <c r="L1209" s="129">
        <v>2.8114943E7</v>
      </c>
      <c r="M1209" s="99">
        <v>0.96</v>
      </c>
    </row>
    <row r="1210">
      <c r="A1210" s="122" t="s">
        <v>2843</v>
      </c>
      <c r="B1210" s="123">
        <v>1353538.0</v>
      </c>
      <c r="C1210" s="124" t="s">
        <v>2844</v>
      </c>
      <c r="D1210" s="125"/>
      <c r="E1210" s="126">
        <v>0.41</v>
      </c>
      <c r="F1210" s="127"/>
      <c r="G1210" s="127"/>
      <c r="H1210" s="127"/>
      <c r="I1210" s="128"/>
      <c r="K1210" s="105" t="str">
        <f>IFERROR(__xludf.DUMMYFUNCTION("if(A1210="""","""",substitute(SUBSTITUTE(index(importhtml(""http://finviz.com/quote.ashx?t=""&amp;A1210,""table"",10),7,2),""*"",""""),""-"",""0.00""))"),"Loading...")</f>
        <v>Loading...</v>
      </c>
      <c r="L1210" s="129">
        <v>5.40354E7</v>
      </c>
      <c r="M1210" s="99">
        <v>13.44</v>
      </c>
    </row>
    <row r="1211">
      <c r="A1211" s="122" t="s">
        <v>2845</v>
      </c>
      <c r="B1211" s="123">
        <v>1133818.0</v>
      </c>
      <c r="C1211" s="124" t="s">
        <v>2846</v>
      </c>
      <c r="D1211" s="125"/>
      <c r="E1211" s="126">
        <v>0.42</v>
      </c>
      <c r="F1211" s="127"/>
      <c r="G1211" s="127"/>
      <c r="H1211" s="127"/>
      <c r="I1211" s="128"/>
      <c r="K1211" s="105" t="str">
        <f>IFERROR(__xludf.DUMMYFUNCTION("if(A1211="""","""",substitute(SUBSTITUTE(index(importhtml(""http://finviz.com/quote.ashx?t=""&amp;A1211,""table"",10),7,2),""*"",""""),""-"",""0.00""))"),"Loading...")</f>
        <v>Loading...</v>
      </c>
      <c r="L1211" s="129">
        <v>5211611.0</v>
      </c>
      <c r="M1211" s="99">
        <v>0.76</v>
      </c>
    </row>
    <row r="1212">
      <c r="A1212" s="122" t="s">
        <v>2847</v>
      </c>
      <c r="B1212" s="123">
        <v>1849820.0</v>
      </c>
      <c r="C1212" s="124" t="s">
        <v>943</v>
      </c>
      <c r="D1212" s="125"/>
      <c r="E1212" s="126">
        <v>0.42</v>
      </c>
      <c r="F1212" s="127"/>
      <c r="G1212" s="127"/>
      <c r="H1212" s="127"/>
      <c r="I1212" s="128"/>
      <c r="K1212" s="105" t="str">
        <f>IFERROR(__xludf.DUMMYFUNCTION("if(A1212="""","""",substitute(SUBSTITUTE(index(importhtml(""http://finviz.com/quote.ashx?t=""&amp;A1212,""table"",10),7,2),""*"",""""),""-"",""0.00""))"),"Loading...")</f>
        <v>Loading...</v>
      </c>
      <c r="L1212" s="129">
        <v>2.139649E7</v>
      </c>
      <c r="M1212" s="99">
        <f>IFERROR(__xludf.DUMMYFUNCTION("GOOGLEFINANCE(A1212,""beta"")"),-0.2)</f>
        <v>-0.2</v>
      </c>
    </row>
    <row r="1213">
      <c r="A1213" s="122" t="s">
        <v>2848</v>
      </c>
      <c r="B1213" s="123">
        <v>1750145.0</v>
      </c>
      <c r="C1213" s="124" t="s">
        <v>2849</v>
      </c>
      <c r="D1213" s="125"/>
      <c r="E1213" s="126">
        <v>0.42</v>
      </c>
      <c r="F1213" s="127"/>
      <c r="G1213" s="127"/>
      <c r="H1213" s="127"/>
      <c r="I1213" s="128"/>
      <c r="K1213" s="105" t="str">
        <f>IFERROR(__xludf.DUMMYFUNCTION("if(A1213="""","""",substitute(SUBSTITUTE(index(importhtml(""http://finviz.com/quote.ashx?t=""&amp;A1213,""table"",10),7,2),""*"",""""),""-"",""0.00""))"),"Loading...")</f>
        <v>Loading...</v>
      </c>
      <c r="L1213" s="129">
        <v>6.6406004E7</v>
      </c>
      <c r="M1213" s="99" t="str">
        <f>IFERROR(__xludf.DUMMYFUNCTION("GOOGLEFINANCE(A1213,""beta"")"),"#N/A")</f>
        <v>#N/A</v>
      </c>
    </row>
    <row r="1214">
      <c r="A1214" s="122" t="s">
        <v>2850</v>
      </c>
      <c r="B1214" s="123">
        <v>1771706.0</v>
      </c>
      <c r="C1214" s="124" t="s">
        <v>2851</v>
      </c>
      <c r="D1214" s="125"/>
      <c r="E1214" s="126">
        <v>0.42</v>
      </c>
      <c r="F1214" s="127"/>
      <c r="G1214" s="127"/>
      <c r="H1214" s="127"/>
      <c r="I1214" s="128"/>
      <c r="K1214" s="105" t="str">
        <f>IFERROR(__xludf.DUMMYFUNCTION("if(A1214="""","""",substitute(SUBSTITUTE(index(importhtml(""http://finviz.com/quote.ashx?t=""&amp;A1214,""table"",10),7,2),""*"",""""),""-"",""0.00""))"),"Loading...")</f>
        <v>Loading...</v>
      </c>
      <c r="L1214" s="129">
        <v>8.1581989E7</v>
      </c>
      <c r="M1214" s="99">
        <v>1.38</v>
      </c>
    </row>
    <row r="1215">
      <c r="A1215" s="122" t="s">
        <v>2852</v>
      </c>
      <c r="B1215" s="123">
        <v>61398.0</v>
      </c>
      <c r="C1215" s="124" t="s">
        <v>2853</v>
      </c>
      <c r="D1215" s="125"/>
      <c r="E1215" s="126">
        <v>0.42</v>
      </c>
      <c r="F1215" s="127"/>
      <c r="G1215" s="127"/>
      <c r="H1215" s="127"/>
      <c r="I1215" s="128"/>
      <c r="K1215" s="105" t="str">
        <f>IFERROR(__xludf.DUMMYFUNCTION("if(A1215="""","""",substitute(SUBSTITUTE(index(importhtml(""http://finviz.com/quote.ashx?t=""&amp;A1215,""table"",10),7,2),""*"",""""),""-"",""0.00""))"),"#N/A")</f>
        <v>#N/A</v>
      </c>
      <c r="L1215" s="129">
        <v>2.97927598E8</v>
      </c>
      <c r="M1215" s="99">
        <v>2.54</v>
      </c>
    </row>
    <row r="1216">
      <c r="A1216" s="122" t="s">
        <v>2854</v>
      </c>
      <c r="B1216" s="123">
        <v>1592057.0</v>
      </c>
      <c r="C1216" s="124" t="s">
        <v>2855</v>
      </c>
      <c r="D1216" s="125"/>
      <c r="E1216" s="126">
        <v>0.43</v>
      </c>
      <c r="F1216" s="127"/>
      <c r="G1216" s="127"/>
      <c r="H1216" s="127"/>
      <c r="I1216" s="128"/>
      <c r="K1216" s="55" t="s">
        <v>1034</v>
      </c>
      <c r="L1216" s="129">
        <v>3.2135083E7</v>
      </c>
      <c r="M1216" s="99">
        <v>0.9</v>
      </c>
    </row>
    <row r="1217">
      <c r="A1217" s="122" t="s">
        <v>2856</v>
      </c>
      <c r="B1217" s="123">
        <v>1211805.0</v>
      </c>
      <c r="C1217" s="124" t="s">
        <v>2857</v>
      </c>
      <c r="D1217" s="125"/>
      <c r="E1217" s="126">
        <v>0.43</v>
      </c>
      <c r="F1217" s="127"/>
      <c r="G1217" s="127"/>
      <c r="H1217" s="127"/>
      <c r="I1217" s="128"/>
      <c r="K1217" s="105" t="str">
        <f>IFERROR(__xludf.DUMMYFUNCTION("if(A1217="""","""",substitute(SUBSTITUTE(index(importhtml(""http://finviz.com/quote.ashx?t=""&amp;A1217,""table"",10),7,2),""*"",""""),""-"",""0.00""))"),"Loading...")</f>
        <v>Loading...</v>
      </c>
      <c r="L1217" s="129">
        <v>4182700.0</v>
      </c>
      <c r="M1217" s="99">
        <v>1.28</v>
      </c>
    </row>
    <row r="1218">
      <c r="A1218" s="122" t="s">
        <v>2858</v>
      </c>
      <c r="B1218" s="123">
        <v>1011509.0</v>
      </c>
      <c r="C1218" s="124" t="s">
        <v>2859</v>
      </c>
      <c r="D1218" s="125"/>
      <c r="E1218" s="126">
        <v>0.43</v>
      </c>
      <c r="F1218" s="127"/>
      <c r="G1218" s="127"/>
      <c r="H1218" s="127"/>
      <c r="I1218" s="128"/>
      <c r="K1218" s="105" t="str">
        <f>IFERROR(__xludf.DUMMYFUNCTION("if(A1218="""","""",substitute(SUBSTITUTE(index(importhtml(""http://finviz.com/quote.ashx?t=""&amp;A1218,""table"",10),7,2),""*"",""""),""-"",""0.00""))"),"Loading...")</f>
        <v>Loading...</v>
      </c>
      <c r="L1218" s="129">
        <v>6083173.0</v>
      </c>
      <c r="M1218" s="99">
        <v>0.41</v>
      </c>
    </row>
    <row r="1219">
      <c r="A1219" s="122" t="s">
        <v>2860</v>
      </c>
      <c r="B1219" s="123">
        <v>1487839.0</v>
      </c>
      <c r="C1219" s="124" t="s">
        <v>2861</v>
      </c>
      <c r="D1219" s="125"/>
      <c r="E1219" s="126">
        <v>0.43</v>
      </c>
      <c r="F1219" s="127"/>
      <c r="G1219" s="127"/>
      <c r="H1219" s="127"/>
      <c r="I1219" s="128"/>
      <c r="K1219" s="105" t="str">
        <f>IFERROR(__xludf.DUMMYFUNCTION("if(A1219="""","""",substitute(SUBSTITUTE(index(importhtml(""http://finviz.com/quote.ashx?t=""&amp;A1219,""table"",10),7,2),""*"",""""),""-"",""0.00""))"),"Loading...")</f>
        <v>Loading...</v>
      </c>
      <c r="L1219" s="129">
        <v>7075563.0</v>
      </c>
      <c r="M1219" s="99">
        <v>0.51</v>
      </c>
    </row>
    <row r="1220">
      <c r="A1220" s="122" t="s">
        <v>2862</v>
      </c>
      <c r="B1220" s="123">
        <v>925741.0</v>
      </c>
      <c r="C1220" s="124" t="s">
        <v>2863</v>
      </c>
      <c r="D1220" s="125"/>
      <c r="E1220" s="126">
        <v>0.43</v>
      </c>
      <c r="F1220" s="127"/>
      <c r="G1220" s="127"/>
      <c r="H1220" s="127"/>
      <c r="I1220" s="128"/>
      <c r="K1220" s="105" t="str">
        <f>IFERROR(__xludf.DUMMYFUNCTION("if(A1220="""","""",substitute(SUBSTITUTE(index(importhtml(""http://finviz.com/quote.ashx?t=""&amp;A1220,""table"",10),7,2),""*"",""""),""-"",""0.00""))"),"Loading...")</f>
        <v>Loading...</v>
      </c>
      <c r="L1220" s="129">
        <v>1.0165633E7</v>
      </c>
      <c r="M1220" s="99">
        <v>1.47</v>
      </c>
    </row>
    <row r="1221">
      <c r="A1221" s="122" t="s">
        <v>2864</v>
      </c>
      <c r="B1221" s="123">
        <v>831609.0</v>
      </c>
      <c r="C1221" s="124" t="s">
        <v>2865</v>
      </c>
      <c r="D1221" s="125"/>
      <c r="E1221" s="126">
        <v>0.43</v>
      </c>
      <c r="F1221" s="127"/>
      <c r="G1221" s="127"/>
      <c r="H1221" s="127"/>
      <c r="I1221" s="128"/>
      <c r="K1221" s="105" t="str">
        <f>IFERROR(__xludf.DUMMYFUNCTION("if(A1221="""","""",substitute(SUBSTITUTE(index(importhtml(""http://finviz.com/quote.ashx?t=""&amp;A1221,""table"",10),7,2),""*"",""""),""-"",""0.00""))"),"Loading...")</f>
        <v>Loading...</v>
      </c>
      <c r="L1221" s="129">
        <v>6.5780551E7</v>
      </c>
      <c r="M1221" s="99">
        <v>2.51</v>
      </c>
    </row>
    <row r="1222">
      <c r="A1222" s="122" t="s">
        <v>2866</v>
      </c>
      <c r="B1222" s="123">
        <v>1859690.0</v>
      </c>
      <c r="C1222" s="124" t="s">
        <v>2867</v>
      </c>
      <c r="D1222" s="125"/>
      <c r="E1222" s="126">
        <v>0.43</v>
      </c>
      <c r="F1222" s="127"/>
      <c r="G1222" s="127"/>
      <c r="H1222" s="127"/>
      <c r="I1222" s="128"/>
      <c r="K1222" s="105" t="str">
        <f>IFERROR(__xludf.DUMMYFUNCTION("if(A1222="""","""",substitute(SUBSTITUTE(index(importhtml(""http://finviz.com/quote.ashx?t=""&amp;A1222,""table"",10),7,2),""*"",""""),""-"",""0.00""))"),"Loading...")</f>
        <v>Loading...</v>
      </c>
      <c r="L1222" s="129">
        <v>7.055066E7</v>
      </c>
      <c r="M1222" s="99">
        <f>IFERROR(__xludf.DUMMYFUNCTION("GOOGLEFINANCE(A1222,""beta"")"),2.32)</f>
        <v>2.32</v>
      </c>
    </row>
    <row r="1223">
      <c r="A1223" s="122" t="s">
        <v>2868</v>
      </c>
      <c r="B1223" s="123">
        <v>1091883.0</v>
      </c>
      <c r="C1223" s="124" t="s">
        <v>2869</v>
      </c>
      <c r="D1223" s="125"/>
      <c r="E1223" s="126">
        <v>0.43</v>
      </c>
      <c r="F1223" s="127"/>
      <c r="G1223" s="127"/>
      <c r="H1223" s="127"/>
      <c r="I1223" s="128"/>
      <c r="K1223" s="105" t="str">
        <f>IFERROR(__xludf.DUMMYFUNCTION("if(A1223="""","""",substitute(SUBSTITUTE(index(importhtml(""http://finviz.com/quote.ashx?t=""&amp;A1223,""table"",10),7,2),""*"",""""),""-"",""0.00""))"),"Loading...")</f>
        <v>Loading...</v>
      </c>
      <c r="L1223" s="129">
        <v>4.78155456E8</v>
      </c>
      <c r="M1223" s="99" t="str">
        <f>IFERROR(__xludf.DUMMYFUNCTION("GOOGLEFINANCE(A1223,""beta"")"),"#N/A")</f>
        <v>#N/A</v>
      </c>
    </row>
    <row r="1224">
      <c r="A1224" s="122" t="s">
        <v>2870</v>
      </c>
      <c r="B1224" s="123">
        <v>930775.0</v>
      </c>
      <c r="C1224" s="124" t="s">
        <v>2871</v>
      </c>
      <c r="D1224" s="125"/>
      <c r="E1224" s="126">
        <v>0.44</v>
      </c>
      <c r="F1224" s="127"/>
      <c r="G1224" s="127"/>
      <c r="H1224" s="127"/>
      <c r="I1224" s="128"/>
      <c r="K1224" s="105" t="str">
        <f>IFERROR(__xludf.DUMMYFUNCTION("if(A1224="""","""",substitute(SUBSTITUTE(index(importhtml(""http://finviz.com/quote.ashx?t=""&amp;A1224,""table"",10),7,2),""*"",""""),""-"",""0.00""))"),"Loading...")</f>
        <v>Loading...</v>
      </c>
      <c r="L1224" s="129">
        <v>5178600.0</v>
      </c>
      <c r="M1224" s="99">
        <v>0.24</v>
      </c>
    </row>
    <row r="1225">
      <c r="A1225" s="122" t="s">
        <v>2872</v>
      </c>
      <c r="B1225" s="123">
        <v>1487798.0</v>
      </c>
      <c r="C1225" s="124" t="s">
        <v>2873</v>
      </c>
      <c r="D1225" s="125"/>
      <c r="E1225" s="126">
        <v>0.44</v>
      </c>
      <c r="F1225" s="127"/>
      <c r="G1225" s="127"/>
      <c r="H1225" s="127"/>
      <c r="I1225" s="128"/>
      <c r="K1225" s="105" t="str">
        <f>IFERROR(__xludf.DUMMYFUNCTION("if(A1225="""","""",substitute(SUBSTITUTE(index(importhtml(""http://finviz.com/quote.ashx?t=""&amp;A1225,""table"",10),7,2),""*"",""""),""-"",""0.00""))"),"Loading...")</f>
        <v>Loading...</v>
      </c>
      <c r="L1225" s="129">
        <v>7665828.0</v>
      </c>
      <c r="M1225" s="99">
        <v>2.0</v>
      </c>
    </row>
    <row r="1226">
      <c r="A1226" s="122" t="s">
        <v>2874</v>
      </c>
      <c r="B1226" s="123">
        <v>1737523.0</v>
      </c>
      <c r="C1226" s="124" t="s">
        <v>2875</v>
      </c>
      <c r="D1226" s="125"/>
      <c r="E1226" s="126">
        <v>0.44</v>
      </c>
      <c r="F1226" s="127"/>
      <c r="G1226" s="127"/>
      <c r="H1226" s="127"/>
      <c r="I1226" s="128"/>
      <c r="K1226" s="105" t="str">
        <f>IFERROR(__xludf.DUMMYFUNCTION("if(A1226="""","""",substitute(SUBSTITUTE(index(importhtml(""http://finviz.com/quote.ashx?t=""&amp;A1226,""table"",10),7,2),""*"",""""),""-"",""0.00""))"),"Loading...")</f>
        <v>Loading...</v>
      </c>
      <c r="L1226" s="129">
        <v>7855478.0</v>
      </c>
      <c r="M1226" s="99">
        <v>-2.64</v>
      </c>
    </row>
    <row r="1227">
      <c r="A1227" s="122" t="s">
        <v>2876</v>
      </c>
      <c r="B1227" s="123">
        <v>1807983.0</v>
      </c>
      <c r="C1227" s="124" t="s">
        <v>2877</v>
      </c>
      <c r="D1227" s="125"/>
      <c r="E1227" s="126">
        <v>0.44</v>
      </c>
      <c r="F1227" s="127"/>
      <c r="G1227" s="127"/>
      <c r="H1227" s="127"/>
      <c r="I1227" s="128"/>
      <c r="K1227" s="105" t="str">
        <f>IFERROR(__xludf.DUMMYFUNCTION("if(A1227="""","""",substitute(SUBSTITUTE(index(importhtml(""http://finviz.com/quote.ashx?t=""&amp;A1227,""table"",10),7,2),""*"",""""),""-"",""0.00""))"),"Loading...")</f>
        <v>Loading...</v>
      </c>
      <c r="L1227" s="129">
        <v>2.9940058E7</v>
      </c>
      <c r="M1227" s="99">
        <v>1.47</v>
      </c>
    </row>
    <row r="1228">
      <c r="A1228" s="122" t="s">
        <v>2878</v>
      </c>
      <c r="B1228" s="123">
        <v>1504122.0</v>
      </c>
      <c r="C1228" s="124" t="s">
        <v>2879</v>
      </c>
      <c r="D1228" s="125"/>
      <c r="E1228" s="126">
        <v>0.44</v>
      </c>
      <c r="F1228" s="127"/>
      <c r="G1228" s="127"/>
      <c r="H1228" s="127"/>
      <c r="I1228" s="128"/>
      <c r="K1228" s="105" t="str">
        <f>IFERROR(__xludf.DUMMYFUNCTION("if(A1228="""","""",substitute(SUBSTITUTE(index(importhtml(""http://finviz.com/quote.ashx?t=""&amp;A1228,""table"",10),7,2),""*"",""""),""-"",""0.00""))"),"Loading...")</f>
        <v>Loading...</v>
      </c>
      <c r="L1228" s="129">
        <v>2.1323800575E14</v>
      </c>
      <c r="M1228" s="99" t="str">
        <f>IFERROR(__xludf.DUMMYFUNCTION("GOOGLEFINANCE(A1228,""beta"")"),"#N/A")</f>
        <v>#N/A</v>
      </c>
    </row>
    <row r="1229">
      <c r="A1229" s="122" t="s">
        <v>2880</v>
      </c>
      <c r="B1229" s="123">
        <v>1461748.0</v>
      </c>
      <c r="C1229" s="124" t="s">
        <v>2881</v>
      </c>
      <c r="D1229" s="125"/>
      <c r="E1229" s="126">
        <v>0.44</v>
      </c>
      <c r="F1229" s="127"/>
      <c r="G1229" s="127"/>
      <c r="H1229" s="127"/>
      <c r="I1229" s="128"/>
      <c r="K1229" s="105" t="str">
        <f>IFERROR(__xludf.DUMMYFUNCTION("if(A1229="""","""",substitute(SUBSTITUTE(index(importhtml(""http://finviz.com/quote.ashx?t=""&amp;A1229,""table"",10),7,2),""*"",""""),""-"",""0.00""))"),"Loading...")</f>
        <v>Loading...</v>
      </c>
      <c r="L1229" s="129">
        <v>6.1677E14</v>
      </c>
      <c r="M1229" s="99">
        <v>0.98</v>
      </c>
    </row>
    <row r="1230">
      <c r="A1230" s="122" t="s">
        <v>2882</v>
      </c>
      <c r="B1230" s="123">
        <v>874292.0</v>
      </c>
      <c r="C1230" s="124" t="s">
        <v>2883</v>
      </c>
      <c r="D1230" s="125"/>
      <c r="E1230" s="126">
        <v>0.45</v>
      </c>
      <c r="F1230" s="127"/>
      <c r="G1230" s="127"/>
      <c r="H1230" s="127"/>
      <c r="I1230" s="128"/>
      <c r="K1230" s="55" t="s">
        <v>1034</v>
      </c>
      <c r="L1230" s="129">
        <v>671681.0</v>
      </c>
    </row>
    <row r="1231">
      <c r="A1231" s="122" t="s">
        <v>2884</v>
      </c>
      <c r="B1231" s="123">
        <v>946644.0</v>
      </c>
      <c r="C1231" s="124" t="s">
        <v>2885</v>
      </c>
      <c r="D1231" s="125"/>
      <c r="E1231" s="126">
        <v>0.45</v>
      </c>
      <c r="F1231" s="127"/>
      <c r="G1231" s="127"/>
      <c r="H1231" s="127"/>
      <c r="I1231" s="128"/>
      <c r="K1231" s="55" t="s">
        <v>1034</v>
      </c>
      <c r="L1231" s="129">
        <v>2.1603438E7</v>
      </c>
      <c r="M1231" s="99">
        <v>-0.14</v>
      </c>
    </row>
    <row r="1232">
      <c r="A1232" s="122" t="s">
        <v>2886</v>
      </c>
      <c r="B1232" s="123">
        <v>1095073.0</v>
      </c>
      <c r="C1232" s="124" t="s">
        <v>2887</v>
      </c>
      <c r="D1232" s="125"/>
      <c r="E1232" s="126">
        <v>0.45</v>
      </c>
      <c r="F1232" s="127"/>
      <c r="G1232" s="127"/>
      <c r="H1232" s="127"/>
      <c r="I1232" s="128"/>
      <c r="K1232" s="55" t="s">
        <v>2888</v>
      </c>
      <c r="L1232" s="129">
        <v>1.9265097E7</v>
      </c>
      <c r="M1232" s="99">
        <v>0.28</v>
      </c>
    </row>
    <row r="1233">
      <c r="A1233" s="122" t="s">
        <v>2889</v>
      </c>
      <c r="B1233" s="123">
        <v>1743745.0</v>
      </c>
      <c r="C1233" s="124" t="s">
        <v>2890</v>
      </c>
      <c r="D1233" s="125"/>
      <c r="E1233" s="126">
        <v>0.45</v>
      </c>
      <c r="F1233" s="127"/>
      <c r="G1233" s="127"/>
      <c r="H1233" s="127"/>
      <c r="I1233" s="128"/>
      <c r="K1233" s="105" t="str">
        <f>IFERROR(__xludf.DUMMYFUNCTION("if(A1233="""","""",substitute(SUBSTITUTE(index(importhtml(""http://finviz.com/quote.ashx?t=""&amp;A1233,""table"",10),7,2),""*"",""""),""-"",""0.00""))"),"Loading...")</f>
        <v>Loading...</v>
      </c>
      <c r="L1233" s="129">
        <v>1685596.0</v>
      </c>
      <c r="M1233" s="99">
        <v>1.88</v>
      </c>
    </row>
    <row r="1234">
      <c r="A1234" s="122" t="s">
        <v>2891</v>
      </c>
      <c r="B1234" s="123">
        <v>1860657.0</v>
      </c>
      <c r="C1234" s="124" t="s">
        <v>2892</v>
      </c>
      <c r="D1234" s="125"/>
      <c r="E1234" s="126">
        <v>0.45</v>
      </c>
      <c r="F1234" s="127"/>
      <c r="G1234" s="127"/>
      <c r="H1234" s="127"/>
      <c r="I1234" s="128"/>
      <c r="K1234" s="105" t="str">
        <f>IFERROR(__xludf.DUMMYFUNCTION("if(A1234="""","""",substitute(SUBSTITUTE(index(importhtml(""http://finviz.com/quote.ashx?t=""&amp;A1234,""table"",10),7,2),""*"",""""),""-"",""0.00""))"),"Loading...")</f>
        <v>Loading...</v>
      </c>
      <c r="L1234" s="129">
        <v>2053144.0</v>
      </c>
      <c r="M1234" s="99">
        <f>IFERROR(__xludf.DUMMYFUNCTION("GOOGLEFINANCE(A1234,""beta"")"),-0.1)</f>
        <v>-0.1</v>
      </c>
    </row>
    <row r="1235">
      <c r="A1235" s="122" t="s">
        <v>2893</v>
      </c>
      <c r="B1235" s="123">
        <v>884363.0</v>
      </c>
      <c r="C1235" s="124" t="s">
        <v>2894</v>
      </c>
      <c r="D1235" s="125"/>
      <c r="E1235" s="126">
        <v>0.45</v>
      </c>
      <c r="F1235" s="127"/>
      <c r="G1235" s="127"/>
      <c r="H1235" s="127"/>
      <c r="I1235" s="128"/>
      <c r="K1235" s="105" t="str">
        <f>IFERROR(__xludf.DUMMYFUNCTION("if(A1235="""","""",substitute(SUBSTITUTE(index(importhtml(""http://finviz.com/quote.ashx?t=""&amp;A1235,""table"",10),7,2),""*"",""""),""-"",""0.00""))"),"Loading...")</f>
        <v>Loading...</v>
      </c>
      <c r="L1235" s="129">
        <v>2994850.0</v>
      </c>
      <c r="M1235" s="99" t="str">
        <f>IFERROR(__xludf.DUMMYFUNCTION("GOOGLEFINANCE(A1235,""beta"")"),"#N/A")</f>
        <v>#N/A</v>
      </c>
    </row>
    <row r="1236">
      <c r="A1236" s="122" t="s">
        <v>2895</v>
      </c>
      <c r="B1236" s="123">
        <v>1435064.0</v>
      </c>
      <c r="C1236" s="124" t="s">
        <v>2896</v>
      </c>
      <c r="D1236" s="125"/>
      <c r="E1236" s="126">
        <v>0.45</v>
      </c>
      <c r="F1236" s="127"/>
      <c r="G1236" s="127"/>
      <c r="H1236" s="127"/>
      <c r="I1236" s="128"/>
      <c r="K1236" s="105" t="str">
        <f>IFERROR(__xludf.DUMMYFUNCTION("if(A1236="""","""",substitute(SUBSTITUTE(index(importhtml(""http://finviz.com/quote.ashx?t=""&amp;A1236,""table"",10),7,2),""*"",""""),""-"",""0.00""))"),"Loading...")</f>
        <v>Loading...</v>
      </c>
      <c r="L1236" s="129">
        <v>3388591.0</v>
      </c>
      <c r="M1236" s="99">
        <v>0.56</v>
      </c>
    </row>
    <row r="1237">
      <c r="A1237" s="122" t="s">
        <v>2897</v>
      </c>
      <c r="B1237" s="123">
        <v>22701.0</v>
      </c>
      <c r="C1237" s="124" t="s">
        <v>2898</v>
      </c>
      <c r="D1237" s="125"/>
      <c r="E1237" s="126">
        <v>0.45</v>
      </c>
      <c r="F1237" s="127"/>
      <c r="G1237" s="127"/>
      <c r="H1237" s="127"/>
      <c r="I1237" s="128"/>
      <c r="K1237" s="105" t="str">
        <f>IFERROR(__xludf.DUMMYFUNCTION("if(A1237="""","""",substitute(SUBSTITUTE(index(importhtml(""http://finviz.com/quote.ashx?t=""&amp;A1237,""table"",10),7,2),""*"",""""),""-"",""0.00""))"),"Loading...")</f>
        <v>Loading...</v>
      </c>
      <c r="L1237" s="129">
        <v>4610780.0</v>
      </c>
      <c r="M1237" s="99">
        <v>2.69</v>
      </c>
    </row>
    <row r="1238">
      <c r="A1238" s="122" t="s">
        <v>2899</v>
      </c>
      <c r="B1238" s="123">
        <v>764897.0</v>
      </c>
      <c r="C1238" s="124" t="s">
        <v>2900</v>
      </c>
      <c r="D1238" s="125"/>
      <c r="E1238" s="126">
        <v>0.45</v>
      </c>
      <c r="F1238" s="127"/>
      <c r="G1238" s="127"/>
      <c r="H1238" s="127"/>
      <c r="I1238" s="128"/>
      <c r="K1238" s="105" t="str">
        <f>IFERROR(__xludf.DUMMYFUNCTION("if(A1238="""","""",substitute(SUBSTITUTE(index(importhtml(""http://finviz.com/quote.ashx?t=""&amp;A1238,""table"",10),7,2),""*"",""""),""-"",""0.00""))"),"Loading...")</f>
        <v>Loading...</v>
      </c>
      <c r="L1238" s="129">
        <v>1.497898E7</v>
      </c>
      <c r="M1238" s="99">
        <v>0.04</v>
      </c>
    </row>
    <row r="1239">
      <c r="A1239" s="122" t="s">
        <v>2901</v>
      </c>
      <c r="B1239" s="123">
        <v>1388994.0</v>
      </c>
      <c r="C1239" s="124" t="s">
        <v>2902</v>
      </c>
      <c r="D1239" s="125"/>
      <c r="E1239" s="126">
        <v>0.45</v>
      </c>
      <c r="F1239" s="127"/>
      <c r="G1239" s="127"/>
      <c r="H1239" s="127"/>
      <c r="I1239" s="128"/>
      <c r="K1239" s="105" t="str">
        <f>IFERROR(__xludf.DUMMYFUNCTION("if(A1239="""","""",substitute(SUBSTITUTE(index(importhtml(""http://finviz.com/quote.ashx?t=""&amp;A1239,""table"",10),7,2),""*"",""""),""-"",""0.00""))"),"Loading...")</f>
        <v>Loading...</v>
      </c>
      <c r="L1239" s="129" t="e">
        <v>#N/A</v>
      </c>
      <c r="M1239" s="99">
        <v>-5.47</v>
      </c>
    </row>
    <row r="1240">
      <c r="A1240" s="122" t="s">
        <v>2903</v>
      </c>
      <c r="B1240" s="123">
        <v>1178727.0</v>
      </c>
      <c r="C1240" s="124" t="s">
        <v>2904</v>
      </c>
      <c r="D1240" s="125"/>
      <c r="E1240" s="126">
        <v>0.46</v>
      </c>
      <c r="F1240" s="127"/>
      <c r="G1240" s="127"/>
      <c r="H1240" s="127"/>
      <c r="I1240" s="128"/>
      <c r="K1240" s="105" t="str">
        <f>IFERROR(__xludf.DUMMYFUNCTION("if(A1240="""","""",substitute(SUBSTITUTE(index(importhtml(""http://finviz.com/quote.ashx?t=""&amp;A1240,""table"",10),7,2),""*"",""""),""-"",""0.00""))"),"Loading...")</f>
        <v>Loading...</v>
      </c>
      <c r="L1240" s="129">
        <v>1755196.0</v>
      </c>
      <c r="M1240" s="99" t="str">
        <f>IFERROR(__xludf.DUMMYFUNCTION("GOOGLEFINANCE(A1240,""beta"")"),"#N/A")</f>
        <v>#N/A</v>
      </c>
    </row>
    <row r="1241">
      <c r="A1241" s="122" t="s">
        <v>2905</v>
      </c>
      <c r="B1241" s="123">
        <v>1558569.0</v>
      </c>
      <c r="C1241" s="124" t="s">
        <v>2906</v>
      </c>
      <c r="D1241" s="125"/>
      <c r="E1241" s="126">
        <v>0.46</v>
      </c>
      <c r="F1241" s="127"/>
      <c r="G1241" s="127"/>
      <c r="H1241" s="127"/>
      <c r="I1241" s="128"/>
      <c r="K1241" s="105" t="str">
        <f>IFERROR(__xludf.DUMMYFUNCTION("if(A1241="""","""",substitute(SUBSTITUTE(index(importhtml(""http://finviz.com/quote.ashx?t=""&amp;A1241,""table"",10),7,2),""*"",""""),""-"",""0.00""))"),"Loading...")</f>
        <v>Loading...</v>
      </c>
      <c r="L1241" s="129">
        <v>4180274.0</v>
      </c>
      <c r="M1241" s="99">
        <f>IFERROR(__xludf.DUMMYFUNCTION("GOOGLEFINANCE(A1241,""beta"")"),1.76)</f>
        <v>1.76</v>
      </c>
    </row>
    <row r="1242">
      <c r="A1242" s="122" t="s">
        <v>2907</v>
      </c>
      <c r="B1242" s="123">
        <v>1768946.0</v>
      </c>
      <c r="C1242" s="124" t="s">
        <v>2908</v>
      </c>
      <c r="D1242" s="125"/>
      <c r="E1242" s="126">
        <v>0.46</v>
      </c>
      <c r="F1242" s="127"/>
      <c r="G1242" s="127"/>
      <c r="H1242" s="127"/>
      <c r="I1242" s="128"/>
      <c r="K1242" s="105" t="str">
        <f>IFERROR(__xludf.DUMMYFUNCTION("if(A1242="""","""",substitute(SUBSTITUTE(index(importhtml(""http://finviz.com/quote.ashx?t=""&amp;A1242,""table"",10),7,2),""*"",""""),""-"",""0.00""))"),"Loading...")</f>
        <v>Loading...</v>
      </c>
      <c r="L1242" s="129">
        <v>4747851.0</v>
      </c>
      <c r="M1242" s="99" t="str">
        <f>IFERROR(__xludf.DUMMYFUNCTION("GOOGLEFINANCE(A1242,""beta"")"),"#N/A")</f>
        <v>#N/A</v>
      </c>
    </row>
    <row r="1243">
      <c r="A1243" s="122" t="s">
        <v>2909</v>
      </c>
      <c r="B1243" s="123">
        <v>1840416.0</v>
      </c>
      <c r="C1243" s="124" t="s">
        <v>2910</v>
      </c>
      <c r="D1243" s="125"/>
      <c r="E1243" s="126">
        <v>0.46</v>
      </c>
      <c r="F1243" s="127"/>
      <c r="G1243" s="127"/>
      <c r="H1243" s="127"/>
      <c r="I1243" s="128"/>
      <c r="K1243" s="105" t="str">
        <f>IFERROR(__xludf.DUMMYFUNCTION("if(A1243="""","""",substitute(SUBSTITUTE(index(importhtml(""http://finviz.com/quote.ashx?t=""&amp;A1243,""table"",10),7,2),""*"",""""),""-"",""0.00""))"),"Loading...")</f>
        <v>Loading...</v>
      </c>
      <c r="L1243" s="129">
        <v>1.8623606E7</v>
      </c>
      <c r="M1243" s="99">
        <v>2.46</v>
      </c>
    </row>
    <row r="1244">
      <c r="A1244" s="122" t="s">
        <v>2911</v>
      </c>
      <c r="B1244" s="123">
        <v>1854270.0</v>
      </c>
      <c r="C1244" s="124" t="s">
        <v>2912</v>
      </c>
      <c r="D1244" s="125"/>
      <c r="E1244" s="126">
        <v>0.46</v>
      </c>
      <c r="F1244" s="127"/>
      <c r="G1244" s="127"/>
      <c r="H1244" s="127"/>
      <c r="I1244" s="128"/>
      <c r="K1244" s="105" t="str">
        <f>IFERROR(__xludf.DUMMYFUNCTION("if(A1244="""","""",substitute(SUBSTITUTE(index(importhtml(""http://finviz.com/quote.ashx?t=""&amp;A1244,""table"",10),7,2),""*"",""""),""-"",""0.00""))"),"Loading...")</f>
        <v>Loading...</v>
      </c>
      <c r="L1244" s="129">
        <v>2.0401623E7</v>
      </c>
      <c r="M1244" s="99">
        <f>IFERROR(__xludf.DUMMYFUNCTION("GOOGLEFINANCE(A1244,""beta"")"),2.09)</f>
        <v>2.09</v>
      </c>
    </row>
    <row r="1245">
      <c r="A1245" s="122" t="s">
        <v>2913</v>
      </c>
      <c r="B1245" s="123">
        <v>883107.0</v>
      </c>
      <c r="C1245" s="124" t="s">
        <v>2914</v>
      </c>
      <c r="D1245" s="125"/>
      <c r="E1245" s="126">
        <v>0.46</v>
      </c>
      <c r="F1245" s="127"/>
      <c r="G1245" s="127"/>
      <c r="H1245" s="127"/>
      <c r="I1245" s="128"/>
      <c r="K1245" s="105" t="str">
        <f>IFERROR(__xludf.DUMMYFUNCTION("if(A1245="""","""",substitute(SUBSTITUTE(index(importhtml(""http://finviz.com/quote.ashx?t=""&amp;A1245,""table"",10),7,2),""*"",""""),""-"",""0.00""))"),"Loading...")</f>
        <v>Loading...</v>
      </c>
      <c r="L1245" s="129">
        <v>2.2585673E7</v>
      </c>
      <c r="M1245" s="99">
        <v>1.35</v>
      </c>
    </row>
    <row r="1246">
      <c r="A1246" s="122" t="s">
        <v>2915</v>
      </c>
      <c r="B1246" s="123">
        <v>1636050.0</v>
      </c>
      <c r="C1246" s="124" t="s">
        <v>2916</v>
      </c>
      <c r="D1246" s="125"/>
      <c r="E1246" s="126">
        <v>0.46</v>
      </c>
      <c r="F1246" s="127"/>
      <c r="G1246" s="127"/>
      <c r="H1246" s="127"/>
      <c r="I1246" s="128"/>
      <c r="K1246" s="105" t="str">
        <f>IFERROR(__xludf.DUMMYFUNCTION("if(A1246="""","""",substitute(SUBSTITUTE(index(importhtml(""http://finviz.com/quote.ashx?t=""&amp;A1246,""table"",10),7,2),""*"",""""),""-"",""0.00""))"),"Loading...")</f>
        <v>Loading...</v>
      </c>
      <c r="L1246" s="129">
        <v>3.3945908E7</v>
      </c>
      <c r="M1246" s="99">
        <v>1.07</v>
      </c>
    </row>
    <row r="1247">
      <c r="A1247" s="122" t="s">
        <v>2917</v>
      </c>
      <c r="B1247" s="123">
        <v>40570.0</v>
      </c>
      <c r="C1247" s="124" t="s">
        <v>2918</v>
      </c>
      <c r="D1247" s="125"/>
      <c r="E1247" s="126">
        <v>0.46</v>
      </c>
      <c r="F1247" s="127"/>
      <c r="G1247" s="127"/>
      <c r="H1247" s="127"/>
      <c r="I1247" s="128"/>
      <c r="K1247" s="105" t="str">
        <f>IFERROR(__xludf.DUMMYFUNCTION("if(A1247="""","""",substitute(SUBSTITUTE(index(importhtml(""http://finviz.com/quote.ashx?t=""&amp;A1247,""table"",10),7,2),""*"",""""),""-"",""0.00""))"),"Loading...")</f>
        <v>Loading...</v>
      </c>
      <c r="L1247" s="129">
        <v>4.9540695E7</v>
      </c>
      <c r="M1247" s="99">
        <v>0.55</v>
      </c>
    </row>
    <row r="1248">
      <c r="A1248" s="122" t="s">
        <v>2919</v>
      </c>
      <c r="B1248" s="123">
        <v>1491434.0</v>
      </c>
      <c r="C1248" s="124" t="s">
        <v>2920</v>
      </c>
      <c r="D1248" s="125"/>
      <c r="E1248" s="126">
        <v>0.46</v>
      </c>
      <c r="F1248" s="127"/>
      <c r="G1248" s="127"/>
      <c r="H1248" s="127"/>
      <c r="I1248" s="128"/>
      <c r="K1248" s="105" t="str">
        <f>IFERROR(__xludf.DUMMYFUNCTION("if(A1248="""","""",substitute(SUBSTITUTE(index(importhtml(""http://finviz.com/quote.ashx?t=""&amp;A1248,""table"",10),7,2),""*"",""""),""-"",""0.00""))"),"Loading...")</f>
        <v>Loading...</v>
      </c>
      <c r="L1248" s="129">
        <v>1.81999567E8</v>
      </c>
      <c r="M1248" s="99">
        <v>1.19</v>
      </c>
    </row>
    <row r="1249">
      <c r="A1249" s="122" t="s">
        <v>2921</v>
      </c>
      <c r="B1249" s="123">
        <v>1893325.0</v>
      </c>
      <c r="C1249" s="124" t="s">
        <v>2922</v>
      </c>
      <c r="D1249" s="125"/>
      <c r="E1249" s="126">
        <v>0.46</v>
      </c>
      <c r="F1249" s="127"/>
      <c r="G1249" s="127"/>
      <c r="H1249" s="127"/>
      <c r="I1249" s="128"/>
      <c r="K1249" s="105" t="str">
        <f>IFERROR(__xludf.DUMMYFUNCTION("if(A1249="""","""",substitute(SUBSTITUTE(index(importhtml(""http://finviz.com/quote.ashx?t=""&amp;A1249,""table"",10),7,2),""*"",""""),""-"",""0.00""))"),"Loading...")</f>
        <v>Loading...</v>
      </c>
      <c r="L1249" s="129">
        <v>9.95624989E8</v>
      </c>
      <c r="M1249" s="99" t="str">
        <f>IFERROR(__xludf.DUMMYFUNCTION("GOOGLEFINANCE(A1249,""beta"")"),"#N/A")</f>
        <v>#N/A</v>
      </c>
    </row>
    <row r="1250">
      <c r="A1250" s="122" t="s">
        <v>2923</v>
      </c>
      <c r="B1250" s="123">
        <v>1769768.0</v>
      </c>
      <c r="C1250" s="124" t="s">
        <v>2924</v>
      </c>
      <c r="D1250" s="125"/>
      <c r="E1250" s="126">
        <v>0.47</v>
      </c>
      <c r="F1250" s="127"/>
      <c r="G1250" s="127"/>
      <c r="H1250" s="127"/>
      <c r="I1250" s="128"/>
      <c r="K1250" s="55" t="s">
        <v>1034</v>
      </c>
      <c r="L1250" s="129">
        <v>7028302.0</v>
      </c>
      <c r="M1250" s="99">
        <f>IFERROR(__xludf.DUMMYFUNCTION("GOOGLEFINANCE(A1250,""beta"")"),0.96)</f>
        <v>0.96</v>
      </c>
    </row>
    <row r="1251">
      <c r="A1251" s="122" t="s">
        <v>2925</v>
      </c>
      <c r="B1251" s="123">
        <v>1279620.0</v>
      </c>
      <c r="C1251" s="124" t="s">
        <v>2926</v>
      </c>
      <c r="D1251" s="125"/>
      <c r="E1251" s="126">
        <v>0.47</v>
      </c>
      <c r="F1251" s="127"/>
      <c r="G1251" s="127"/>
      <c r="H1251" s="127"/>
      <c r="I1251" s="128"/>
      <c r="K1251" s="105" t="str">
        <f>IFERROR(__xludf.DUMMYFUNCTION("if(A1251="""","""",substitute(SUBSTITUTE(index(importhtml(""http://finviz.com/quote.ashx?t=""&amp;A1251,""table"",10),7,2),""*"",""""),""-"",""0.00""))"),"Loading...")</f>
        <v>Loading...</v>
      </c>
      <c r="L1251" s="129">
        <v>5734730.0</v>
      </c>
      <c r="M1251" s="99">
        <v>0.75</v>
      </c>
    </row>
    <row r="1252">
      <c r="A1252" s="122" t="s">
        <v>2927</v>
      </c>
      <c r="B1252" s="123">
        <v>1902700.0</v>
      </c>
      <c r="C1252" s="124" t="s">
        <v>2928</v>
      </c>
      <c r="D1252" s="125"/>
      <c r="E1252" s="126">
        <v>0.47</v>
      </c>
      <c r="F1252" s="127"/>
      <c r="G1252" s="127"/>
      <c r="H1252" s="127"/>
      <c r="I1252" s="128"/>
      <c r="K1252" s="105" t="str">
        <f>IFERROR(__xludf.DUMMYFUNCTION("if(A1252="""","""",substitute(SUBSTITUTE(index(importhtml(""http://finviz.com/quote.ashx?t=""&amp;A1252,""table"",10),7,2),""*"",""""),""-"",""0.00""))"),"Loading...")</f>
        <v>Loading...</v>
      </c>
      <c r="L1252" s="129">
        <v>1.102445E7</v>
      </c>
      <c r="M1252" s="99" t="str">
        <f>IFERROR(__xludf.DUMMYFUNCTION("GOOGLEFINANCE(A1252,""beta"")"),"#N/A")</f>
        <v>#N/A</v>
      </c>
    </row>
    <row r="1253">
      <c r="A1253" s="122" t="s">
        <v>2929</v>
      </c>
      <c r="B1253" s="123">
        <v>1539638.0</v>
      </c>
      <c r="C1253" s="124" t="s">
        <v>2930</v>
      </c>
      <c r="D1253" s="125"/>
      <c r="E1253" s="126">
        <v>0.47</v>
      </c>
      <c r="F1253" s="127"/>
      <c r="G1253" s="127"/>
      <c r="H1253" s="127"/>
      <c r="I1253" s="128"/>
      <c r="K1253" s="105" t="str">
        <f>IFERROR(__xludf.DUMMYFUNCTION("if(A1253="""","""",substitute(SUBSTITUTE(index(importhtml(""http://finviz.com/quote.ashx?t=""&amp;A1253,""table"",10),7,2),""*"",""""),""-"",""0.00""))"),"Loading...")</f>
        <v>Loading...</v>
      </c>
      <c r="L1253" s="129">
        <v>1.2686188E7</v>
      </c>
      <c r="M1253" s="99">
        <v>1.68</v>
      </c>
    </row>
    <row r="1254">
      <c r="A1254" s="122" t="s">
        <v>2931</v>
      </c>
      <c r="B1254" s="123">
        <v>1401708.0</v>
      </c>
      <c r="C1254" s="124" t="s">
        <v>2932</v>
      </c>
      <c r="D1254" s="125"/>
      <c r="E1254" s="126">
        <v>0.47</v>
      </c>
      <c r="F1254" s="127"/>
      <c r="G1254" s="127"/>
      <c r="H1254" s="127"/>
      <c r="I1254" s="128"/>
      <c r="K1254" s="105" t="str">
        <f>IFERROR(__xludf.DUMMYFUNCTION("if(A1254="""","""",substitute(SUBSTITUTE(index(importhtml(""http://finviz.com/quote.ashx?t=""&amp;A1254,""table"",10),7,2),""*"",""""),""-"",""0.00""))"),"Loading...")</f>
        <v>Loading...</v>
      </c>
      <c r="L1254" s="129">
        <v>2.2389897E7</v>
      </c>
      <c r="M1254" s="99">
        <v>1.24</v>
      </c>
    </row>
    <row r="1255">
      <c r="A1255" s="122" t="s">
        <v>2933</v>
      </c>
      <c r="B1255" s="123">
        <v>1706588.0</v>
      </c>
      <c r="C1255" s="124" t="s">
        <v>2934</v>
      </c>
      <c r="D1255" s="125"/>
      <c r="E1255" s="126">
        <v>0.47</v>
      </c>
      <c r="F1255" s="127"/>
      <c r="G1255" s="127"/>
      <c r="H1255" s="127"/>
      <c r="I1255" s="128"/>
      <c r="K1255" s="105" t="str">
        <f>IFERROR(__xludf.DUMMYFUNCTION("if(A1255="""","""",substitute(SUBSTITUTE(index(importhtml(""http://finviz.com/quote.ashx?t=""&amp;A1255,""table"",10),7,2),""*"",""""),""-"",""0.00""))"),"Loading...")</f>
        <v>Loading...</v>
      </c>
      <c r="L1255" s="129">
        <v>5.5104158E7</v>
      </c>
      <c r="M1255" s="99">
        <v>-0.22</v>
      </c>
    </row>
    <row r="1256">
      <c r="A1256" s="122" t="s">
        <v>2935</v>
      </c>
      <c r="B1256" s="123">
        <v>1822791.0</v>
      </c>
      <c r="C1256" s="124" t="s">
        <v>2936</v>
      </c>
      <c r="D1256" s="125"/>
      <c r="E1256" s="126">
        <v>0.47</v>
      </c>
      <c r="F1256" s="127"/>
      <c r="G1256" s="127"/>
      <c r="H1256" s="127"/>
      <c r="I1256" s="128"/>
      <c r="K1256" s="105" t="str">
        <f>IFERROR(__xludf.DUMMYFUNCTION("if(A1256="""","""",substitute(SUBSTITUTE(index(importhtml(""http://finviz.com/quote.ashx?t=""&amp;A1256,""table"",10),7,2),""*"",""""),""-"",""0.00""))"),"Loading...")</f>
        <v>Loading...</v>
      </c>
      <c r="L1256" s="129">
        <v>6.0189257E7</v>
      </c>
      <c r="M1256" s="99">
        <v>0.53</v>
      </c>
    </row>
    <row r="1257">
      <c r="A1257" s="122" t="s">
        <v>2937</v>
      </c>
      <c r="B1257" s="123">
        <v>1888274.0</v>
      </c>
      <c r="C1257" s="124" t="s">
        <v>2938</v>
      </c>
      <c r="D1257" s="125"/>
      <c r="E1257" s="126">
        <v>0.47</v>
      </c>
      <c r="F1257" s="127"/>
      <c r="G1257" s="127"/>
      <c r="H1257" s="127"/>
      <c r="I1257" s="128"/>
      <c r="K1257" s="105" t="str">
        <f>IFERROR(__xludf.DUMMYFUNCTION("if(A1257="""","""",substitute(SUBSTITUTE(index(importhtml(""http://finviz.com/quote.ashx?t=""&amp;A1257,""table"",10),7,2),""*"",""""),""-"",""0.00""))"),"Loading...")</f>
        <v>Loading...</v>
      </c>
      <c r="L1257" s="129" t="e">
        <v>#N/A</v>
      </c>
      <c r="M1257" s="99">
        <v>6.17</v>
      </c>
    </row>
    <row r="1258">
      <c r="A1258" s="122" t="s">
        <v>2939</v>
      </c>
      <c r="B1258" s="123">
        <v>316888.0</v>
      </c>
      <c r="C1258" s="124" t="s">
        <v>2940</v>
      </c>
      <c r="D1258" s="125"/>
      <c r="E1258" s="126">
        <v>0.48</v>
      </c>
      <c r="F1258" s="127"/>
      <c r="G1258" s="127"/>
      <c r="H1258" s="127"/>
      <c r="I1258" s="128"/>
      <c r="K1258" s="55" t="s">
        <v>1034</v>
      </c>
      <c r="L1258" s="129">
        <v>8.0481022E7</v>
      </c>
      <c r="M1258" s="99">
        <v>2.07</v>
      </c>
    </row>
    <row r="1259">
      <c r="A1259" s="122" t="s">
        <v>2941</v>
      </c>
      <c r="B1259" s="123">
        <v>1506492.0</v>
      </c>
      <c r="C1259" s="124" t="s">
        <v>2942</v>
      </c>
      <c r="D1259" s="125"/>
      <c r="E1259" s="126">
        <v>0.48</v>
      </c>
      <c r="F1259" s="127"/>
      <c r="G1259" s="127"/>
      <c r="H1259" s="127"/>
      <c r="I1259" s="128"/>
      <c r="K1259" s="105" t="str">
        <f>IFERROR(__xludf.DUMMYFUNCTION("if(A1259="""","""",substitute(SUBSTITUTE(index(importhtml(""http://finviz.com/quote.ashx?t=""&amp;A1259,""table"",10),7,2),""*"",""""),""-"",""0.00""))"),"Loading...")</f>
        <v>Loading...</v>
      </c>
      <c r="L1259" s="129">
        <v>1567220.0</v>
      </c>
      <c r="M1259" s="99">
        <v>0.12</v>
      </c>
    </row>
    <row r="1260">
      <c r="A1260" s="122" t="s">
        <v>2943</v>
      </c>
      <c r="B1260" s="123">
        <v>1811623.0</v>
      </c>
      <c r="C1260" s="124" t="s">
        <v>2944</v>
      </c>
      <c r="D1260" s="125"/>
      <c r="E1260" s="126">
        <v>0.48</v>
      </c>
      <c r="F1260" s="127"/>
      <c r="G1260" s="127"/>
      <c r="H1260" s="127"/>
      <c r="I1260" s="128"/>
      <c r="K1260" s="105" t="str">
        <f>IFERROR(__xludf.DUMMYFUNCTION("if(A1260="""","""",substitute(SUBSTITUTE(index(importhtml(""http://finviz.com/quote.ashx?t=""&amp;A1260,""table"",10),7,2),""*"",""""),""-"",""0.00""))"),"Loading...")</f>
        <v>Loading...</v>
      </c>
      <c r="L1260" s="129">
        <v>1589020.0</v>
      </c>
      <c r="M1260" s="99" t="str">
        <f>IFERROR(__xludf.DUMMYFUNCTION("GOOGLEFINANCE(A1260,""beta"")"),"#N/A")</f>
        <v>#N/A</v>
      </c>
    </row>
    <row r="1261">
      <c r="A1261" s="122" t="s">
        <v>2945</v>
      </c>
      <c r="B1261" s="123">
        <v>1640384.0</v>
      </c>
      <c r="C1261" s="124" t="s">
        <v>2946</v>
      </c>
      <c r="D1261" s="125"/>
      <c r="E1261" s="126">
        <v>0.48</v>
      </c>
      <c r="F1261" s="127"/>
      <c r="G1261" s="127"/>
      <c r="H1261" s="127"/>
      <c r="I1261" s="128"/>
      <c r="K1261" s="105" t="str">
        <f>IFERROR(__xludf.DUMMYFUNCTION("if(A1261="""","""",substitute(SUBSTITUTE(index(importhtml(""http://finviz.com/quote.ashx?t=""&amp;A1261,""table"",10),7,2),""*"",""""),""-"",""0.00""))"),"Loading...")</f>
        <v>Loading...</v>
      </c>
      <c r="L1261" s="129">
        <v>7018502.0</v>
      </c>
      <c r="M1261" s="99">
        <v>1.08</v>
      </c>
    </row>
    <row r="1262">
      <c r="A1262" s="122" t="s">
        <v>2947</v>
      </c>
      <c r="B1262" s="123">
        <v>1071840.0</v>
      </c>
      <c r="C1262" s="124" t="s">
        <v>2948</v>
      </c>
      <c r="D1262" s="125"/>
      <c r="E1262" s="126">
        <v>0.48</v>
      </c>
      <c r="F1262" s="127"/>
      <c r="G1262" s="127"/>
      <c r="H1262" s="127"/>
      <c r="I1262" s="128"/>
      <c r="K1262" s="105" t="str">
        <f>IFERROR(__xludf.DUMMYFUNCTION("if(A1262="""","""",substitute(SUBSTITUTE(index(importhtml(""http://finviz.com/quote.ashx?t=""&amp;A1262,""table"",10),7,2),""*"",""""),""-"",""0.00""))"),"Loading...")</f>
        <v>Loading...</v>
      </c>
      <c r="L1262" s="129">
        <v>2.5535231E7</v>
      </c>
      <c r="M1262" s="99">
        <v>-5.06</v>
      </c>
    </row>
    <row r="1263">
      <c r="A1263" s="122" t="s">
        <v>2949</v>
      </c>
      <c r="B1263" s="123">
        <v>1834045.0</v>
      </c>
      <c r="C1263" s="124" t="s">
        <v>2950</v>
      </c>
      <c r="D1263" s="125"/>
      <c r="E1263" s="126">
        <v>0.48</v>
      </c>
      <c r="F1263" s="127"/>
      <c r="G1263" s="127"/>
      <c r="H1263" s="127"/>
      <c r="I1263" s="128"/>
      <c r="K1263" s="105" t="str">
        <f>IFERROR(__xludf.DUMMYFUNCTION("if(A1263="""","""",substitute(SUBSTITUTE(index(importhtml(""http://finviz.com/quote.ashx?t=""&amp;A1263,""table"",10),7,2),""*"",""""),""-"",""0.00""))"),"Loading...")</f>
        <v>Loading...</v>
      </c>
      <c r="L1263" s="129">
        <v>2.8162364E7</v>
      </c>
      <c r="M1263" s="99">
        <v>1.19</v>
      </c>
    </row>
    <row r="1264">
      <c r="A1264" s="122" t="s">
        <v>2951</v>
      </c>
      <c r="B1264" s="123">
        <v>1070050.0</v>
      </c>
      <c r="C1264" s="124" t="s">
        <v>2952</v>
      </c>
      <c r="D1264" s="125"/>
      <c r="E1264" s="126">
        <v>0.48</v>
      </c>
      <c r="F1264" s="127"/>
      <c r="G1264" s="127"/>
      <c r="H1264" s="127"/>
      <c r="I1264" s="128"/>
      <c r="K1264" s="105" t="str">
        <f>IFERROR(__xludf.DUMMYFUNCTION("if(A1264="""","""",substitute(SUBSTITUTE(index(importhtml(""http://finviz.com/quote.ashx?t=""&amp;A1264,""table"",10),7,2),""*"",""""),""-"",""0.00""))"),"Loading...")</f>
        <v>Loading...</v>
      </c>
      <c r="L1264" s="129">
        <v>4.386479E7</v>
      </c>
      <c r="M1264" s="99">
        <f>IFERROR(__xludf.DUMMYFUNCTION("GOOGLEFINANCE(A1264,""beta"")"),3.45)</f>
        <v>3.45</v>
      </c>
    </row>
    <row r="1265">
      <c r="A1265" s="122" t="s">
        <v>2953</v>
      </c>
      <c r="B1265" s="123">
        <v>1089061.0</v>
      </c>
      <c r="C1265" s="124" t="s">
        <v>2954</v>
      </c>
      <c r="D1265" s="125"/>
      <c r="E1265" s="126">
        <v>0.48</v>
      </c>
      <c r="F1265" s="127"/>
      <c r="G1265" s="127"/>
      <c r="H1265" s="127"/>
      <c r="I1265" s="128"/>
      <c r="K1265" s="105" t="str">
        <f>IFERROR(__xludf.DUMMYFUNCTION("if(A1265="""","""",substitute(SUBSTITUTE(index(importhtml(""http://finviz.com/quote.ashx?t=""&amp;A1265,""table"",10),7,2),""*"",""""),""-"",""0.00""))"),"Loading...")</f>
        <v>Loading...</v>
      </c>
      <c r="L1265" s="129">
        <v>5.0711141E7</v>
      </c>
      <c r="M1265" s="99">
        <v>-2.16</v>
      </c>
    </row>
    <row r="1266">
      <c r="A1266" s="122" t="s">
        <v>2955</v>
      </c>
      <c r="B1266" s="123">
        <v>1023109.0</v>
      </c>
      <c r="C1266" s="124" t="s">
        <v>2956</v>
      </c>
      <c r="D1266" s="125"/>
      <c r="E1266" s="126">
        <v>0.48</v>
      </c>
      <c r="F1266" s="127"/>
      <c r="G1266" s="127"/>
      <c r="H1266" s="127"/>
      <c r="I1266" s="128"/>
      <c r="K1266" s="105" t="str">
        <f>IFERROR(__xludf.DUMMYFUNCTION("if(A1266="""","""",substitute(SUBSTITUTE(index(importhtml(""http://finviz.com/quote.ashx?t=""&amp;A1266,""table"",10),7,2),""*"",""""),""-"",""0.00""))"),"Loading...")</f>
        <v>Loading...</v>
      </c>
      <c r="L1266" s="129">
        <v>6.5031874E7</v>
      </c>
      <c r="M1266" s="99">
        <v>2.05</v>
      </c>
    </row>
    <row r="1267">
      <c r="A1267" s="122" t="s">
        <v>2957</v>
      </c>
      <c r="B1267" s="123">
        <v>1161611.0</v>
      </c>
      <c r="C1267" s="124" t="s">
        <v>2958</v>
      </c>
      <c r="D1267" s="125"/>
      <c r="E1267" s="126">
        <v>0.48</v>
      </c>
      <c r="F1267" s="127"/>
      <c r="G1267" s="127"/>
      <c r="H1267" s="127"/>
      <c r="I1267" s="128"/>
      <c r="K1267" s="105" t="str">
        <f>IFERROR(__xludf.DUMMYFUNCTION("if(A1267="""","""",substitute(SUBSTITUTE(index(importhtml(""http://finviz.com/quote.ashx?t=""&amp;A1267,""table"",10),7,2),""*"",""""),""-"",""0.00""))"),"Loading...")</f>
        <v>Loading...</v>
      </c>
      <c r="L1267" s="129">
        <v>9.4631601673E10</v>
      </c>
      <c r="M1267" s="99">
        <v>1.59</v>
      </c>
    </row>
    <row r="1268">
      <c r="A1268" s="122" t="s">
        <v>2959</v>
      </c>
      <c r="B1268" s="123">
        <v>1651992.0</v>
      </c>
      <c r="C1268" s="124" t="s">
        <v>2960</v>
      </c>
      <c r="D1268" s="125"/>
      <c r="E1268" s="126">
        <v>0.49</v>
      </c>
      <c r="F1268" s="127"/>
      <c r="G1268" s="127"/>
      <c r="H1268" s="127"/>
      <c r="I1268" s="128"/>
      <c r="K1268" s="105" t="str">
        <f>IFERROR(__xludf.DUMMYFUNCTION("if(A1268="""","""",substitute(SUBSTITUTE(index(importhtml(""http://finviz.com/quote.ashx?t=""&amp;A1268,""table"",10),7,2),""*"",""""),""-"",""0.00""))"),"Loading...")</f>
        <v>Loading...</v>
      </c>
      <c r="L1268" s="129">
        <v>2207010.0</v>
      </c>
      <c r="M1268" s="99">
        <v>-0.66</v>
      </c>
    </row>
    <row r="1269">
      <c r="A1269" s="122" t="s">
        <v>2961</v>
      </c>
      <c r="B1269" s="123">
        <v>1884072.0</v>
      </c>
      <c r="C1269" s="124" t="s">
        <v>2962</v>
      </c>
      <c r="D1269" s="125"/>
      <c r="E1269" s="126">
        <v>0.49</v>
      </c>
      <c r="F1269" s="127"/>
      <c r="G1269" s="127"/>
      <c r="H1269" s="127"/>
      <c r="I1269" s="128"/>
      <c r="K1269" s="105" t="str">
        <f>IFERROR(__xludf.DUMMYFUNCTION("if(A1269="""","""",substitute(SUBSTITUTE(index(importhtml(""http://finviz.com/quote.ashx?t=""&amp;A1269,""table"",10),7,2),""*"",""""),""-"",""0.00""))"),"Loading...")</f>
        <v>Loading...</v>
      </c>
      <c r="L1269" s="129">
        <v>1.3692104E7</v>
      </c>
      <c r="M1269" s="99" t="str">
        <f>IFERROR(__xludf.DUMMYFUNCTION("GOOGLEFINANCE(A1269,""beta"")"),"#N/A")</f>
        <v>#N/A</v>
      </c>
    </row>
    <row r="1270">
      <c r="A1270" s="122" t="s">
        <v>2963</v>
      </c>
      <c r="B1270" s="123">
        <v>1783036.0</v>
      </c>
      <c r="C1270" s="124" t="s">
        <v>2964</v>
      </c>
      <c r="D1270" s="125"/>
      <c r="E1270" s="126">
        <v>0.49</v>
      </c>
      <c r="F1270" s="127"/>
      <c r="G1270" s="127"/>
      <c r="H1270" s="127"/>
      <c r="I1270" s="128"/>
      <c r="K1270" s="105" t="str">
        <f>IFERROR(__xludf.DUMMYFUNCTION("if(A1270="""","""",substitute(SUBSTITUTE(index(importhtml(""http://finviz.com/quote.ashx?t=""&amp;A1270,""table"",10),7,2),""*"",""""),""-"",""0.00""))"),"Loading...")</f>
        <v>Loading...</v>
      </c>
      <c r="L1270" s="129">
        <v>1.7479172E7</v>
      </c>
      <c r="M1270" s="99">
        <v>-0.66</v>
      </c>
    </row>
    <row r="1271">
      <c r="A1271" s="122" t="s">
        <v>2965</v>
      </c>
      <c r="B1271" s="123">
        <v>1779476.0</v>
      </c>
      <c r="C1271" s="124" t="s">
        <v>2966</v>
      </c>
      <c r="D1271" s="125"/>
      <c r="E1271" s="126">
        <v>0.49</v>
      </c>
      <c r="F1271" s="127"/>
      <c r="G1271" s="127"/>
      <c r="H1271" s="127"/>
      <c r="I1271" s="128"/>
      <c r="K1271" s="105" t="str">
        <f>IFERROR(__xludf.DUMMYFUNCTION("if(A1271="""","""",substitute(SUBSTITUTE(index(importhtml(""http://finviz.com/quote.ashx?t=""&amp;A1271,""table"",10),7,2),""*"",""""),""-"",""0.00""))"),"Loading...")</f>
        <v>Loading...</v>
      </c>
      <c r="L1271" s="129">
        <v>1.8983493E7</v>
      </c>
      <c r="M1271" s="99">
        <v>0.66</v>
      </c>
    </row>
    <row r="1272">
      <c r="A1272" s="122" t="s">
        <v>2967</v>
      </c>
      <c r="B1272" s="123">
        <v>1834585.0</v>
      </c>
      <c r="C1272" s="124" t="s">
        <v>2968</v>
      </c>
      <c r="D1272" s="125"/>
      <c r="E1272" s="126">
        <v>0.49</v>
      </c>
      <c r="F1272" s="127"/>
      <c r="G1272" s="127"/>
      <c r="H1272" s="127"/>
      <c r="I1272" s="128"/>
      <c r="K1272" s="105" t="str">
        <f>IFERROR(__xludf.DUMMYFUNCTION("if(A1272="""","""",substitute(SUBSTITUTE(index(importhtml(""http://finviz.com/quote.ashx?t=""&amp;A1272,""table"",10),7,2),""*"",""""),""-"",""0.00""))"),"Loading...")</f>
        <v>Loading...</v>
      </c>
      <c r="L1272" s="129">
        <v>2.0533293E7</v>
      </c>
      <c r="M1272" s="99" t="str">
        <f>IFERROR(__xludf.DUMMYFUNCTION("GOOGLEFINANCE(A1272,""beta"")"),"#N/A")</f>
        <v>#N/A</v>
      </c>
    </row>
    <row r="1273">
      <c r="A1273" s="122" t="s">
        <v>2969</v>
      </c>
      <c r="B1273" s="123">
        <v>1120970.0</v>
      </c>
      <c r="C1273" s="124" t="s">
        <v>2970</v>
      </c>
      <c r="D1273" s="125"/>
      <c r="E1273" s="126">
        <v>0.49</v>
      </c>
      <c r="F1273" s="127"/>
      <c r="G1273" s="127"/>
      <c r="H1273" s="127"/>
      <c r="I1273" s="128"/>
      <c r="K1273" s="105" t="str">
        <f>IFERROR(__xludf.DUMMYFUNCTION("if(A1273="""","""",substitute(SUBSTITUTE(index(importhtml(""http://finviz.com/quote.ashx?t=""&amp;A1273,""table"",10),7,2),""*"",""""),""-"",""0.00""))"),"Loading...")</f>
        <v>Loading...</v>
      </c>
      <c r="L1273" s="129">
        <v>5.7040539E7</v>
      </c>
      <c r="M1273" s="99">
        <v>2.14</v>
      </c>
    </row>
    <row r="1274">
      <c r="A1274" s="122" t="s">
        <v>2971</v>
      </c>
      <c r="B1274" s="123">
        <v>1743344.0</v>
      </c>
      <c r="C1274" s="124" t="s">
        <v>2972</v>
      </c>
      <c r="D1274" s="125"/>
      <c r="E1274" s="126">
        <v>0.49</v>
      </c>
      <c r="F1274" s="127"/>
      <c r="G1274" s="127"/>
      <c r="H1274" s="127"/>
      <c r="I1274" s="128"/>
      <c r="K1274" s="105" t="str">
        <f>IFERROR(__xludf.DUMMYFUNCTION("if(A1274="""","""",substitute(SUBSTITUTE(index(importhtml(""http://finviz.com/quote.ashx?t=""&amp;A1274,""table"",10),7,2),""*"",""""),""-"",""0.00""))"),"Loading...")</f>
        <v>Loading...</v>
      </c>
      <c r="L1274" s="129">
        <v>8.6756948E7</v>
      </c>
      <c r="M1274" s="99">
        <f>IFERROR(__xludf.DUMMYFUNCTION("GOOGLEFINANCE(A1274,""beta"")"),0.57)</f>
        <v>0.57</v>
      </c>
    </row>
    <row r="1275">
      <c r="A1275" s="122" t="s">
        <v>2973</v>
      </c>
      <c r="B1275" s="123">
        <v>1001233.0</v>
      </c>
      <c r="C1275" s="124" t="s">
        <v>2974</v>
      </c>
      <c r="D1275" s="125"/>
      <c r="E1275" s="126">
        <v>0.49</v>
      </c>
      <c r="F1275" s="127"/>
      <c r="G1275" s="127"/>
      <c r="H1275" s="127"/>
      <c r="I1275" s="128"/>
      <c r="K1275" s="105" t="str">
        <f>IFERROR(__xludf.DUMMYFUNCTION("if(A1275="""","""",substitute(SUBSTITUTE(index(importhtml(""http://finviz.com/quote.ashx?t=""&amp;A1275,""table"",10),7,2),""*"",""""),""-"",""0.00""))"),"Loading...")</f>
        <v>Loading...</v>
      </c>
      <c r="L1275" s="129">
        <v>8.7183737E7</v>
      </c>
      <c r="M1275" s="99">
        <v>1.04</v>
      </c>
    </row>
    <row r="1276">
      <c r="A1276" s="122" t="s">
        <v>2975</v>
      </c>
      <c r="B1276" s="123">
        <v>1840502.0</v>
      </c>
      <c r="C1276" s="124" t="s">
        <v>2976</v>
      </c>
      <c r="D1276" s="125"/>
      <c r="E1276" s="126">
        <v>0.49</v>
      </c>
      <c r="F1276" s="127"/>
      <c r="G1276" s="127"/>
      <c r="H1276" s="127"/>
      <c r="I1276" s="128"/>
      <c r="K1276" s="105" t="str">
        <f>IFERROR(__xludf.DUMMYFUNCTION("if(A1276="""","""",substitute(SUBSTITUTE(index(importhtml(""http://finviz.com/quote.ashx?t=""&amp;A1276,""table"",10),7,2),""*"",""""),""-"",""0.00""))"),"Loading...")</f>
        <v>Loading...</v>
      </c>
      <c r="L1276" s="129">
        <v>1.449444009E9</v>
      </c>
      <c r="M1276" s="99">
        <v>2.01</v>
      </c>
    </row>
    <row r="1277">
      <c r="A1277" s="122" t="s">
        <v>2977</v>
      </c>
      <c r="B1277" s="123">
        <v>1757143.0</v>
      </c>
      <c r="C1277" s="124" t="s">
        <v>2978</v>
      </c>
      <c r="D1277" s="125"/>
      <c r="E1277" s="126">
        <v>0.5</v>
      </c>
      <c r="F1277" s="127"/>
      <c r="G1277" s="127"/>
      <c r="H1277" s="127"/>
      <c r="I1277" s="128"/>
      <c r="K1277" s="55" t="s">
        <v>1034</v>
      </c>
      <c r="L1277" s="129">
        <v>2.3958919E7</v>
      </c>
      <c r="M1277" s="99">
        <v>0.07</v>
      </c>
    </row>
    <row r="1278">
      <c r="A1278" s="122" t="s">
        <v>2979</v>
      </c>
      <c r="B1278" s="123">
        <v>1401395.0</v>
      </c>
      <c r="C1278" s="124" t="s">
        <v>2980</v>
      </c>
      <c r="D1278" s="125"/>
      <c r="E1278" s="126">
        <v>0.5</v>
      </c>
      <c r="F1278" s="127"/>
      <c r="G1278" s="127"/>
      <c r="H1278" s="127"/>
      <c r="I1278" s="128"/>
      <c r="K1278" s="105" t="str">
        <f>IFERROR(__xludf.DUMMYFUNCTION("if(A1278="""","""",substitute(SUBSTITUTE(index(importhtml(""http://finviz.com/quote.ashx?t=""&amp;A1278,""table"",10),7,2),""*"",""""),""-"",""0.00""))"),"Loading...")</f>
        <v>Loading...</v>
      </c>
      <c r="L1278" s="129">
        <v>2239517.0</v>
      </c>
      <c r="M1278" s="99">
        <v>2.23</v>
      </c>
    </row>
    <row r="1279">
      <c r="A1279" s="122" t="s">
        <v>2981</v>
      </c>
      <c r="B1279" s="123">
        <v>1559998.0</v>
      </c>
      <c r="C1279" s="124" t="s">
        <v>2982</v>
      </c>
      <c r="D1279" s="125"/>
      <c r="E1279" s="126">
        <v>0.5</v>
      </c>
      <c r="F1279" s="127"/>
      <c r="G1279" s="127"/>
      <c r="H1279" s="127"/>
      <c r="I1279" s="128"/>
      <c r="K1279" s="105" t="str">
        <f>IFERROR(__xludf.DUMMYFUNCTION("if(A1279="""","""",substitute(SUBSTITUTE(index(importhtml(""http://finviz.com/quote.ashx?t=""&amp;A1279,""table"",10),7,2),""*"",""""),""-"",""0.00""))"),"Loading...")</f>
        <v>Loading...</v>
      </c>
      <c r="L1279" s="129">
        <v>2380855.0</v>
      </c>
      <c r="M1279" s="99">
        <v>0.29</v>
      </c>
    </row>
    <row r="1280">
      <c r="A1280" s="122" t="s">
        <v>2983</v>
      </c>
      <c r="B1280" s="123">
        <v>1089815.0</v>
      </c>
      <c r="C1280" s="124" t="s">
        <v>2984</v>
      </c>
      <c r="D1280" s="125"/>
      <c r="E1280" s="126">
        <v>0.5</v>
      </c>
      <c r="F1280" s="127"/>
      <c r="G1280" s="127"/>
      <c r="H1280" s="127"/>
      <c r="I1280" s="128"/>
      <c r="K1280" s="105" t="str">
        <f>IFERROR(__xludf.DUMMYFUNCTION("if(A1280="""","""",substitute(SUBSTITUTE(index(importhtml(""http://finviz.com/quote.ashx?t=""&amp;A1280,""table"",10),7,2),""*"",""""),""-"",""0.00""))"),"Loading...")</f>
        <v>Loading...</v>
      </c>
      <c r="L1280" s="129">
        <v>3867563.0</v>
      </c>
      <c r="M1280" s="99">
        <v>-0.08</v>
      </c>
    </row>
    <row r="1281">
      <c r="A1281" s="122" t="s">
        <v>2985</v>
      </c>
      <c r="B1281" s="123">
        <v>1916741.0</v>
      </c>
      <c r="C1281" s="124" t="s">
        <v>2986</v>
      </c>
      <c r="D1281" s="125"/>
      <c r="E1281" s="126">
        <v>0.5</v>
      </c>
      <c r="F1281" s="127"/>
      <c r="G1281" s="127"/>
      <c r="H1281" s="127"/>
      <c r="I1281" s="128"/>
      <c r="K1281" s="105" t="str">
        <f>IFERROR(__xludf.DUMMYFUNCTION("if(A1281="""","""",substitute(SUBSTITUTE(index(importhtml(""http://finviz.com/quote.ashx?t=""&amp;A1281,""table"",10),7,2),""*"",""""),""-"",""0.00""))"),"Loading...")</f>
        <v>Loading...</v>
      </c>
      <c r="L1281" s="129">
        <v>4171990.0</v>
      </c>
      <c r="M1281" s="99">
        <v>-15.47</v>
      </c>
    </row>
    <row r="1282">
      <c r="A1282" s="122" t="s">
        <v>2987</v>
      </c>
      <c r="B1282" s="123">
        <v>1850767.0</v>
      </c>
      <c r="C1282" s="124" t="s">
        <v>2988</v>
      </c>
      <c r="D1282" s="125"/>
      <c r="E1282" s="126">
        <v>0.5</v>
      </c>
      <c r="F1282" s="134"/>
      <c r="G1282" s="134"/>
      <c r="H1282" s="133"/>
      <c r="I1282" s="128"/>
      <c r="K1282" s="105" t="str">
        <f>IFERROR(__xludf.DUMMYFUNCTION("if(A1282="""","""",substitute(SUBSTITUTE(index(importhtml(""http://finviz.com/quote.ashx?t=""&amp;A1282,""table"",10),7,2),""*"",""""),""-"",""0.00""))"),"Loading...")</f>
        <v>Loading...</v>
      </c>
      <c r="L1282" s="129">
        <v>5396540.0</v>
      </c>
      <c r="M1282" s="99" t="e">
        <v>#N/A</v>
      </c>
    </row>
    <row r="1283">
      <c r="A1283" s="122" t="s">
        <v>2989</v>
      </c>
      <c r="B1283" s="123">
        <v>1892322.0</v>
      </c>
      <c r="C1283" s="124" t="s">
        <v>2990</v>
      </c>
      <c r="D1283" s="125"/>
      <c r="E1283" s="126">
        <v>0.5</v>
      </c>
      <c r="F1283" s="127"/>
      <c r="G1283" s="127"/>
      <c r="H1283" s="127"/>
      <c r="I1283" s="128"/>
      <c r="K1283" s="105" t="str">
        <f>IFERROR(__xludf.DUMMYFUNCTION("if(A1283="""","""",substitute(SUBSTITUTE(index(importhtml(""http://finviz.com/quote.ashx?t=""&amp;A1283,""table"",10),7,2),""*"",""""),""-"",""0.00""))"),"Loading...")</f>
        <v>Loading...</v>
      </c>
      <c r="L1283" s="129">
        <v>1.036122E7</v>
      </c>
      <c r="M1283" s="99">
        <f>IFERROR(__xludf.DUMMYFUNCTION("GOOGLEFINANCE(A1283,""beta"")"),1.91)</f>
        <v>1.91</v>
      </c>
    </row>
    <row r="1284">
      <c r="A1284" s="122" t="s">
        <v>2991</v>
      </c>
      <c r="B1284" s="123">
        <v>835662.0</v>
      </c>
      <c r="C1284" s="124" t="s">
        <v>2992</v>
      </c>
      <c r="D1284" s="125"/>
      <c r="E1284" s="126">
        <v>0.5</v>
      </c>
      <c r="F1284" s="127"/>
      <c r="G1284" s="127"/>
      <c r="H1284" s="127"/>
      <c r="I1284" s="128"/>
      <c r="K1284" s="105" t="str">
        <f>IFERROR(__xludf.DUMMYFUNCTION("if(A1284="""","""",substitute(SUBSTITUTE(index(importhtml(""http://finviz.com/quote.ashx?t=""&amp;A1284,""table"",10),7,2),""*"",""""),""-"",""0.00""))"),"Loading...")</f>
        <v>Loading...</v>
      </c>
      <c r="L1284" s="129">
        <v>1.2499915E7</v>
      </c>
      <c r="M1284" s="99">
        <v>0.52</v>
      </c>
    </row>
    <row r="1285">
      <c r="A1285" s="122" t="s">
        <v>2993</v>
      </c>
      <c r="B1285" s="123">
        <v>1826681.0</v>
      </c>
      <c r="C1285" s="124" t="s">
        <v>2994</v>
      </c>
      <c r="D1285" s="125"/>
      <c r="E1285" s="126">
        <v>0.5</v>
      </c>
      <c r="F1285" s="127"/>
      <c r="G1285" s="127"/>
      <c r="H1285" s="127"/>
      <c r="I1285" s="128"/>
      <c r="K1285" s="105" t="str">
        <f>IFERROR(__xludf.DUMMYFUNCTION("if(A1285="""","""",substitute(SUBSTITUTE(index(importhtml(""http://finviz.com/quote.ashx?t=""&amp;A1285,""table"",10),7,2),""*"",""""),""-"",""0.00""))"),"Loading...")</f>
        <v>Loading...</v>
      </c>
      <c r="L1285" s="129">
        <v>1.3028002E7</v>
      </c>
      <c r="M1285" s="99" t="str">
        <f>IFERROR(__xludf.DUMMYFUNCTION("GOOGLEFINANCE(A1285,""beta"")"),"#N/A")</f>
        <v>#N/A</v>
      </c>
    </row>
    <row r="1286">
      <c r="A1286" s="122" t="s">
        <v>2995</v>
      </c>
      <c r="B1286" s="123">
        <v>1782037.0</v>
      </c>
      <c r="C1286" s="124" t="s">
        <v>2996</v>
      </c>
      <c r="D1286" s="125"/>
      <c r="E1286" s="126">
        <v>0.5</v>
      </c>
      <c r="F1286" s="127"/>
      <c r="G1286" s="127"/>
      <c r="H1286" s="127"/>
      <c r="I1286" s="128"/>
      <c r="K1286" s="105" t="str">
        <f>IFERROR(__xludf.DUMMYFUNCTION("if(A1286="""","""",substitute(SUBSTITUTE(index(importhtml(""http://finviz.com/quote.ashx?t=""&amp;A1286,""table"",10),7,2),""*"",""""),""-"",""0.00""))"),"Loading...")</f>
        <v>Loading...</v>
      </c>
      <c r="L1286" s="129">
        <v>1.3771178E7</v>
      </c>
      <c r="M1286" s="99">
        <v>1.47</v>
      </c>
    </row>
    <row r="1287">
      <c r="A1287" s="122" t="s">
        <v>2997</v>
      </c>
      <c r="B1287" s="123">
        <v>1144546.0</v>
      </c>
      <c r="C1287" s="124" t="s">
        <v>2998</v>
      </c>
      <c r="D1287" s="125"/>
      <c r="E1287" s="126">
        <v>0.5</v>
      </c>
      <c r="F1287" s="127"/>
      <c r="G1287" s="127"/>
      <c r="H1287" s="127"/>
      <c r="I1287" s="128"/>
      <c r="K1287" s="105" t="str">
        <f>IFERROR(__xludf.DUMMYFUNCTION("if(A1287="""","""",substitute(SUBSTITUTE(index(importhtml(""http://finviz.com/quote.ashx?t=""&amp;A1287,""table"",10),7,2),""*"",""""),""-"",""0.00""))"),"Loading...")</f>
        <v>Loading...</v>
      </c>
      <c r="L1287" s="129">
        <v>2.523371E7</v>
      </c>
      <c r="M1287" s="99">
        <v>0.11</v>
      </c>
    </row>
    <row r="1288">
      <c r="A1288" s="122" t="s">
        <v>2999</v>
      </c>
      <c r="B1288" s="123">
        <v>1297937.0</v>
      </c>
      <c r="C1288" s="124" t="s">
        <v>3000</v>
      </c>
      <c r="D1288" s="125"/>
      <c r="E1288" s="126">
        <v>0.5</v>
      </c>
      <c r="F1288" s="127"/>
      <c r="G1288" s="127"/>
      <c r="H1288" s="127"/>
      <c r="I1288" s="128"/>
      <c r="K1288" s="105" t="str">
        <f>IFERROR(__xludf.DUMMYFUNCTION("if(A1288="""","""",substitute(SUBSTITUTE(index(importhtml(""http://finviz.com/quote.ashx?t=""&amp;A1288,""table"",10),7,2),""*"",""""),""-"",""0.00""))"),"Loading...")</f>
        <v>Loading...</v>
      </c>
      <c r="L1288" s="129">
        <v>3.7758885E7</v>
      </c>
      <c r="M1288" s="99">
        <v>0.84</v>
      </c>
    </row>
    <row r="1289">
      <c r="A1289" s="122" t="s">
        <v>3001</v>
      </c>
      <c r="B1289" s="123">
        <v>1720161.0</v>
      </c>
      <c r="C1289" s="124" t="s">
        <v>3002</v>
      </c>
      <c r="D1289" s="125"/>
      <c r="E1289" s="126">
        <v>0.5</v>
      </c>
      <c r="F1289" s="127"/>
      <c r="G1289" s="127"/>
      <c r="H1289" s="127"/>
      <c r="I1289" s="128"/>
      <c r="K1289" s="105" t="str">
        <f>IFERROR(__xludf.DUMMYFUNCTION("if(A1289="""","""",substitute(SUBSTITUTE(index(importhtml(""http://finviz.com/quote.ashx?t=""&amp;A1289,""table"",10),7,2),""*"",""""),""-"",""0.00""))"),"Loading...")</f>
        <v>Loading...</v>
      </c>
      <c r="L1289" s="129">
        <v>4.7818856E7</v>
      </c>
      <c r="M1289" s="99">
        <v>0.89</v>
      </c>
    </row>
    <row r="1290">
      <c r="A1290" s="122" t="s">
        <v>3003</v>
      </c>
      <c r="B1290" s="123">
        <v>1651958.0</v>
      </c>
      <c r="C1290" s="124" t="s">
        <v>3004</v>
      </c>
      <c r="D1290" s="125"/>
      <c r="E1290" s="126">
        <v>0.5</v>
      </c>
      <c r="F1290" s="127"/>
      <c r="G1290" s="127"/>
      <c r="H1290" s="127"/>
      <c r="I1290" s="128"/>
      <c r="K1290" s="105" t="str">
        <f>IFERROR(__xludf.DUMMYFUNCTION("if(A1290="""","""",substitute(SUBSTITUTE(index(importhtml(""http://finviz.com/quote.ashx?t=""&amp;A1290,""table"",10),7,2),""*"",""""),""-"",""0.00""))"),"Loading...")</f>
        <v>Loading...</v>
      </c>
      <c r="L1290" s="129">
        <v>1.02370274E8</v>
      </c>
      <c r="M1290" s="99">
        <v>1.66</v>
      </c>
    </row>
    <row r="1291">
      <c r="A1291" s="122" t="s">
        <v>3005</v>
      </c>
      <c r="B1291" s="123">
        <v>1424657.0</v>
      </c>
      <c r="C1291" s="124" t="s">
        <v>3006</v>
      </c>
      <c r="D1291" s="125"/>
      <c r="E1291" s="126">
        <v>0.51</v>
      </c>
      <c r="F1291" s="127"/>
      <c r="G1291" s="127"/>
      <c r="H1291" s="127"/>
      <c r="I1291" s="128"/>
      <c r="K1291" s="105" t="str">
        <f>IFERROR(__xludf.DUMMYFUNCTION("if(A1291="""","""",substitute(SUBSTITUTE(index(importhtml(""http://finviz.com/quote.ashx?t=""&amp;A1291,""table"",10),7,2),""*"",""""),""-"",""0.00""))"),"Loading...")</f>
        <v>Loading...</v>
      </c>
      <c r="L1291" s="129">
        <v>1404387.0</v>
      </c>
      <c r="M1291" s="99">
        <v>2.81</v>
      </c>
    </row>
    <row r="1292">
      <c r="A1292" s="122" t="s">
        <v>3007</v>
      </c>
      <c r="B1292" s="123">
        <v>1825452.0</v>
      </c>
      <c r="C1292" s="124" t="s">
        <v>3008</v>
      </c>
      <c r="D1292" s="125"/>
      <c r="E1292" s="126">
        <v>0.51</v>
      </c>
      <c r="F1292" s="127"/>
      <c r="G1292" s="127"/>
      <c r="H1292" s="127"/>
      <c r="I1292" s="128"/>
      <c r="K1292" s="105" t="str">
        <f>IFERROR(__xludf.DUMMYFUNCTION("if(A1292="""","""",substitute(SUBSTITUTE(index(importhtml(""http://finviz.com/quote.ashx?t=""&amp;A1292,""table"",10),7,2),""*"",""""),""-"",""0.00""))"),"Loading...")</f>
        <v>Loading...</v>
      </c>
      <c r="L1292" s="129">
        <v>2581640.0</v>
      </c>
      <c r="M1292" s="99">
        <f>IFERROR(__xludf.DUMMYFUNCTION("GOOGLEFINANCE(A1292,""beta"")"),1.86)</f>
        <v>1.86</v>
      </c>
    </row>
    <row r="1293">
      <c r="A1293" s="122" t="s">
        <v>3009</v>
      </c>
      <c r="B1293" s="123">
        <v>1375348.0</v>
      </c>
      <c r="C1293" s="124" t="s">
        <v>3010</v>
      </c>
      <c r="D1293" s="125"/>
      <c r="E1293" s="126">
        <v>0.51</v>
      </c>
      <c r="F1293" s="127"/>
      <c r="G1293" s="127"/>
      <c r="H1293" s="127"/>
      <c r="I1293" s="128"/>
      <c r="K1293" s="105" t="str">
        <f>IFERROR(__xludf.DUMMYFUNCTION("if(A1293="""","""",substitute(SUBSTITUTE(index(importhtml(""http://finviz.com/quote.ashx?t=""&amp;A1293,""table"",10),7,2),""*"",""""),""-"",""0.00""))"),"Loading...")</f>
        <v>Loading...</v>
      </c>
      <c r="L1293" s="129">
        <v>3605700.0</v>
      </c>
      <c r="M1293" s="99">
        <v>2.06</v>
      </c>
    </row>
    <row r="1294">
      <c r="A1294" s="122" t="s">
        <v>3011</v>
      </c>
      <c r="B1294" s="123">
        <v>1634293.0</v>
      </c>
      <c r="C1294" s="124" t="s">
        <v>3012</v>
      </c>
      <c r="D1294" s="125"/>
      <c r="E1294" s="126">
        <v>0.51</v>
      </c>
      <c r="F1294" s="127"/>
      <c r="G1294" s="127"/>
      <c r="H1294" s="127"/>
      <c r="I1294" s="128"/>
      <c r="K1294" s="105" t="str">
        <f>IFERROR(__xludf.DUMMYFUNCTION("if(A1294="""","""",substitute(SUBSTITUTE(index(importhtml(""http://finviz.com/quote.ashx?t=""&amp;A1294,""table"",10),7,2),""*"",""""),""-"",""0.00""))"),"Loading...")</f>
        <v>Loading...</v>
      </c>
      <c r="L1294" s="129">
        <v>1.6677E7</v>
      </c>
      <c r="M1294" s="99">
        <v>3.31</v>
      </c>
    </row>
    <row r="1295">
      <c r="A1295" s="122" t="s">
        <v>3013</v>
      </c>
      <c r="B1295" s="123">
        <v>1659617.0</v>
      </c>
      <c r="C1295" s="124" t="s">
        <v>3014</v>
      </c>
      <c r="D1295" s="125"/>
      <c r="E1295" s="126">
        <v>0.51</v>
      </c>
      <c r="F1295" s="127"/>
      <c r="G1295" s="127"/>
      <c r="H1295" s="127"/>
      <c r="I1295" s="128"/>
      <c r="K1295" s="105" t="str">
        <f>IFERROR(__xludf.DUMMYFUNCTION("if(A1295="""","""",substitute(SUBSTITUTE(index(importhtml(""http://finviz.com/quote.ashx?t=""&amp;A1295,""table"",10),7,2),""*"",""""),""-"",""0.00""))"),"Loading...")</f>
        <v>Loading...</v>
      </c>
      <c r="L1295" s="129">
        <v>1.6832532E7</v>
      </c>
      <c r="M1295" s="99">
        <v>1.94</v>
      </c>
    </row>
    <row r="1296">
      <c r="A1296" s="122" t="s">
        <v>3015</v>
      </c>
      <c r="B1296" s="123">
        <v>1892025.0</v>
      </c>
      <c r="C1296" s="124" t="s">
        <v>3016</v>
      </c>
      <c r="D1296" s="125"/>
      <c r="E1296" s="126">
        <v>0.51</v>
      </c>
      <c r="F1296" s="127"/>
      <c r="G1296" s="127"/>
      <c r="H1296" s="127"/>
      <c r="I1296" s="128"/>
      <c r="K1296" s="105" t="str">
        <f>IFERROR(__xludf.DUMMYFUNCTION("if(A1296="""","""",substitute(SUBSTITUTE(index(importhtml(""http://finviz.com/quote.ashx?t=""&amp;A1296,""table"",10),7,2),""*"",""""),""-"",""0.00""))"),"Loading...")</f>
        <v>Loading...</v>
      </c>
      <c r="L1296" s="129">
        <v>2.038347E7</v>
      </c>
      <c r="M1296" s="99">
        <v>1.57</v>
      </c>
    </row>
    <row r="1297">
      <c r="A1297" s="122" t="s">
        <v>3017</v>
      </c>
      <c r="B1297" s="123">
        <v>1553404.0</v>
      </c>
      <c r="C1297" s="124" t="s">
        <v>3018</v>
      </c>
      <c r="D1297" s="125"/>
      <c r="E1297" s="126">
        <v>0.51</v>
      </c>
      <c r="F1297" s="127"/>
      <c r="G1297" s="127"/>
      <c r="H1297" s="127"/>
      <c r="I1297" s="128"/>
      <c r="K1297" s="105" t="str">
        <f>IFERROR(__xludf.DUMMYFUNCTION("if(A1297="""","""",substitute(SUBSTITUTE(index(importhtml(""http://finviz.com/quote.ashx?t=""&amp;A1297,""table"",10),7,2),""*"",""""),""-"",""0.00""))"),"Loading...")</f>
        <v>Loading...</v>
      </c>
      <c r="L1297" s="129">
        <v>2.6322889E7</v>
      </c>
      <c r="M1297" s="99">
        <v>0.76</v>
      </c>
    </row>
    <row r="1298">
      <c r="A1298" s="122" t="s">
        <v>3019</v>
      </c>
      <c r="B1298" s="123">
        <v>839470.0</v>
      </c>
      <c r="C1298" s="124" t="s">
        <v>3020</v>
      </c>
      <c r="D1298" s="125"/>
      <c r="E1298" s="126">
        <v>0.51</v>
      </c>
      <c r="F1298" s="127"/>
      <c r="G1298" s="127"/>
      <c r="H1298" s="127"/>
      <c r="I1298" s="128"/>
      <c r="K1298" s="105" t="str">
        <f>IFERROR(__xludf.DUMMYFUNCTION("if(A1298="""","""",substitute(SUBSTITUTE(index(importhtml(""http://finviz.com/quote.ashx?t=""&amp;A1298,""table"",10),7,2),""*"",""""),""-"",""0.00""))"),"Loading...")</f>
        <v>Loading...</v>
      </c>
      <c r="L1298" s="129">
        <v>2.7796236E7</v>
      </c>
      <c r="M1298" s="99">
        <v>1.68</v>
      </c>
    </row>
    <row r="1299">
      <c r="A1299" s="122" t="s">
        <v>3021</v>
      </c>
      <c r="B1299" s="123">
        <v>1709542.0</v>
      </c>
      <c r="C1299" s="124" t="s">
        <v>3022</v>
      </c>
      <c r="D1299" s="125"/>
      <c r="E1299" s="126">
        <v>0.51</v>
      </c>
      <c r="F1299" s="127"/>
      <c r="G1299" s="127"/>
      <c r="H1299" s="127"/>
      <c r="I1299" s="128"/>
      <c r="K1299" s="105" t="str">
        <f>IFERROR(__xludf.DUMMYFUNCTION("if(A1299="""","""",substitute(SUBSTITUTE(index(importhtml(""http://finviz.com/quote.ashx?t=""&amp;A1299,""table"",10),7,2),""*"",""""),""-"",""0.00""))"),"Loading...")</f>
        <v>Loading...</v>
      </c>
      <c r="L1299" s="129">
        <v>3.3011279E7</v>
      </c>
      <c r="M1299" s="99">
        <v>9.41</v>
      </c>
    </row>
    <row r="1300">
      <c r="A1300" s="122" t="s">
        <v>3023</v>
      </c>
      <c r="B1300" s="123">
        <v>1074828.0</v>
      </c>
      <c r="C1300" s="124" t="s">
        <v>3024</v>
      </c>
      <c r="D1300" s="125"/>
      <c r="E1300" s="126">
        <v>0.51</v>
      </c>
      <c r="F1300" s="127"/>
      <c r="G1300" s="127"/>
      <c r="H1300" s="127"/>
      <c r="I1300" s="128"/>
      <c r="K1300" s="105" t="str">
        <f>IFERROR(__xludf.DUMMYFUNCTION("if(A1300="""","""",substitute(SUBSTITUTE(index(importhtml(""http://finviz.com/quote.ashx?t=""&amp;A1300,""table"",10),7,2),""*"",""""),""-"",""0.00""))"),"Loading...")</f>
        <v>Loading...</v>
      </c>
      <c r="L1300" s="129">
        <v>4.0846368E7</v>
      </c>
      <c r="M1300" s="99">
        <v>2.45</v>
      </c>
    </row>
    <row r="1301">
      <c r="A1301" s="122" t="s">
        <v>3025</v>
      </c>
      <c r="B1301" s="123">
        <v>1114936.0</v>
      </c>
      <c r="C1301" s="124" t="s">
        <v>3026</v>
      </c>
      <c r="D1301" s="125"/>
      <c r="E1301" s="126">
        <v>0.51</v>
      </c>
      <c r="F1301" s="127"/>
      <c r="G1301" s="127"/>
      <c r="H1301" s="127"/>
      <c r="I1301" s="128"/>
      <c r="K1301" s="105" t="str">
        <f>IFERROR(__xludf.DUMMYFUNCTION("if(A1301="""","""",substitute(SUBSTITUTE(index(importhtml(""http://finviz.com/quote.ashx?t=""&amp;A1301,""table"",10),7,2),""*"",""""),""-"",""0.00""))"),"Loading...")</f>
        <v>Loading...</v>
      </c>
      <c r="L1301" s="129">
        <v>5.6377948E7</v>
      </c>
      <c r="M1301" s="99">
        <v>-0.06</v>
      </c>
    </row>
    <row r="1302">
      <c r="A1302" s="122" t="s">
        <v>3027</v>
      </c>
      <c r="B1302" s="123">
        <v>1828161.0</v>
      </c>
      <c r="C1302" s="124" t="s">
        <v>3028</v>
      </c>
      <c r="D1302" s="125"/>
      <c r="E1302" s="126">
        <v>0.51</v>
      </c>
      <c r="F1302" s="127"/>
      <c r="G1302" s="127"/>
      <c r="H1302" s="127"/>
      <c r="I1302" s="128"/>
      <c r="K1302" s="105" t="str">
        <f>IFERROR(__xludf.DUMMYFUNCTION("if(A1302="""","""",substitute(SUBSTITUTE(index(importhtml(""http://finviz.com/quote.ashx?t=""&amp;A1302,""table"",10),7,2),""*"",""""),""-"",""0.00""))"),"Loading...")</f>
        <v>Loading...</v>
      </c>
      <c r="L1302" s="129">
        <v>6.3725101E7</v>
      </c>
      <c r="M1302" s="99">
        <f>IFERROR(__xludf.DUMMYFUNCTION("GOOGLEFINANCE(A1302,""beta"")"),1.46)</f>
        <v>1.46</v>
      </c>
    </row>
    <row r="1303">
      <c r="A1303" s="122" t="s">
        <v>3029</v>
      </c>
      <c r="B1303" s="123">
        <v>1884164.0</v>
      </c>
      <c r="C1303" s="124" t="s">
        <v>3030</v>
      </c>
      <c r="D1303" s="125"/>
      <c r="E1303" s="126">
        <v>0.51</v>
      </c>
      <c r="F1303" s="127"/>
      <c r="G1303" s="127"/>
      <c r="H1303" s="127"/>
      <c r="I1303" s="128"/>
      <c r="K1303" s="105" t="str">
        <f>IFERROR(__xludf.DUMMYFUNCTION("if(A1303="""","""",substitute(SUBSTITUTE(index(importhtml(""http://finviz.com/quote.ashx?t=""&amp;A1303,""table"",10),7,2),""*"",""""),""-"",""0.00""))"),"Loading...")</f>
        <v>Loading...</v>
      </c>
      <c r="L1303" s="129">
        <v>7.7391835E7</v>
      </c>
      <c r="M1303" s="99">
        <v>-0.22</v>
      </c>
    </row>
    <row r="1304">
      <c r="A1304" s="122" t="s">
        <v>3031</v>
      </c>
      <c r="B1304" s="123">
        <v>1123658.0</v>
      </c>
      <c r="C1304" s="124" t="s">
        <v>3032</v>
      </c>
      <c r="D1304" s="125"/>
      <c r="E1304" s="126">
        <v>0.51</v>
      </c>
      <c r="F1304" s="135"/>
      <c r="G1304" s="136"/>
      <c r="H1304" s="127"/>
      <c r="I1304" s="128"/>
      <c r="K1304" s="105" t="str">
        <f>IFERROR(__xludf.DUMMYFUNCTION("if(A1304="""","""",substitute(SUBSTITUTE(index(importhtml(""http://finviz.com/quote.ashx?t=""&amp;A1304,""table"",10),7,2),""*"",""""),""-"",""0.00""))"),"Loading...")</f>
        <v>Loading...</v>
      </c>
      <c r="L1304" s="129">
        <v>7.08470770751E11</v>
      </c>
      <c r="M1304" s="99">
        <v>-0.43</v>
      </c>
    </row>
    <row r="1305">
      <c r="A1305" s="122" t="s">
        <v>3033</v>
      </c>
      <c r="B1305" s="123">
        <v>1834253.0</v>
      </c>
      <c r="C1305" s="124" t="s">
        <v>3034</v>
      </c>
      <c r="D1305" s="125"/>
      <c r="E1305" s="126">
        <v>0.52</v>
      </c>
      <c r="F1305" s="127"/>
      <c r="G1305" s="127"/>
      <c r="H1305" s="127"/>
      <c r="I1305" s="128"/>
      <c r="K1305" s="55" t="s">
        <v>1034</v>
      </c>
      <c r="L1305" s="129">
        <v>1.33965111E8</v>
      </c>
      <c r="M1305" s="99">
        <f>IFERROR(__xludf.DUMMYFUNCTION("GOOGLEFINANCE(A1305,""beta"")"),0.7)</f>
        <v>0.7</v>
      </c>
    </row>
    <row r="1306">
      <c r="A1306" s="122" t="s">
        <v>3035</v>
      </c>
      <c r="B1306" s="123">
        <v>1460702.0</v>
      </c>
      <c r="C1306" s="124" t="s">
        <v>3036</v>
      </c>
      <c r="D1306" s="125"/>
      <c r="E1306" s="126">
        <v>0.52</v>
      </c>
      <c r="F1306" s="127"/>
      <c r="G1306" s="127"/>
      <c r="H1306" s="127"/>
      <c r="I1306" s="128"/>
      <c r="K1306" s="105" t="str">
        <f>IFERROR(__xludf.DUMMYFUNCTION("if(A1306="""","""",substitute(SUBSTITUTE(index(importhtml(""http://finviz.com/quote.ashx?t=""&amp;A1306,""table"",10),7,2),""*"",""""),""-"",""0.00""))"),"Loading...")</f>
        <v>Loading...</v>
      </c>
      <c r="L1306" s="129">
        <v>2710728.0</v>
      </c>
      <c r="M1306" s="99">
        <v>-0.76</v>
      </c>
    </row>
    <row r="1307">
      <c r="A1307" s="122" t="s">
        <v>3037</v>
      </c>
      <c r="B1307" s="123">
        <v>1482541.0</v>
      </c>
      <c r="C1307" s="124" t="s">
        <v>3038</v>
      </c>
      <c r="D1307" s="125"/>
      <c r="E1307" s="126">
        <v>0.52</v>
      </c>
      <c r="F1307" s="127"/>
      <c r="G1307" s="127"/>
      <c r="H1307" s="127"/>
      <c r="I1307" s="128"/>
      <c r="K1307" s="105" t="str">
        <f>IFERROR(__xludf.DUMMYFUNCTION("if(A1307="""","""",substitute(SUBSTITUTE(index(importhtml(""http://finviz.com/quote.ashx?t=""&amp;A1307,""table"",10),7,2),""*"",""""),""-"",""0.00""))"),"Loading...")</f>
        <v>Loading...</v>
      </c>
      <c r="L1307" s="129">
        <v>4244206.0</v>
      </c>
      <c r="M1307" s="99">
        <v>0.75</v>
      </c>
    </row>
    <row r="1308">
      <c r="A1308" s="122" t="s">
        <v>3039</v>
      </c>
      <c r="B1308" s="123">
        <v>1101026.0</v>
      </c>
      <c r="C1308" s="124" t="s">
        <v>3040</v>
      </c>
      <c r="D1308" s="125"/>
      <c r="E1308" s="126">
        <v>0.52</v>
      </c>
      <c r="F1308" s="127"/>
      <c r="G1308" s="127"/>
      <c r="H1308" s="127"/>
      <c r="I1308" s="128"/>
      <c r="K1308" s="105" t="str">
        <f>IFERROR(__xludf.DUMMYFUNCTION("if(A1308="""","""",substitute(SUBSTITUTE(index(importhtml(""http://finviz.com/quote.ashx?t=""&amp;A1308,""table"",10),7,2),""*"",""""),""-"",""0.00""))"),"Loading...")</f>
        <v>Loading...</v>
      </c>
      <c r="L1308" s="129">
        <v>1.9786801E7</v>
      </c>
      <c r="M1308" s="99">
        <f>IFERROR(__xludf.DUMMYFUNCTION("GOOGLEFINANCE(A1308,""beta"")"),8.88)</f>
        <v>8.88</v>
      </c>
    </row>
    <row r="1309">
      <c r="A1309" s="122" t="s">
        <v>3041</v>
      </c>
      <c r="B1309" s="123">
        <v>1477246.0</v>
      </c>
      <c r="C1309" s="124" t="s">
        <v>3042</v>
      </c>
      <c r="D1309" s="125"/>
      <c r="E1309" s="126">
        <v>0.52</v>
      </c>
      <c r="F1309" s="127"/>
      <c r="G1309" s="127"/>
      <c r="H1309" s="127"/>
      <c r="I1309" s="128"/>
      <c r="K1309" s="105" t="str">
        <f>IFERROR(__xludf.DUMMYFUNCTION("if(A1309="""","""",substitute(SUBSTITUTE(index(importhtml(""http://finviz.com/quote.ashx?t=""&amp;A1309,""table"",10),7,2),""*"",""""),""-"",""0.00""))"),"Loading...")</f>
        <v>Loading...</v>
      </c>
      <c r="L1309" s="129">
        <v>2.2358733E7</v>
      </c>
      <c r="M1309" s="99">
        <v>0.97</v>
      </c>
    </row>
    <row r="1310">
      <c r="A1310" s="122" t="s">
        <v>3043</v>
      </c>
      <c r="B1310" s="123">
        <v>811212.0</v>
      </c>
      <c r="C1310" s="124" t="s">
        <v>3044</v>
      </c>
      <c r="D1310" s="125"/>
      <c r="E1310" s="126">
        <v>0.53</v>
      </c>
      <c r="F1310" s="127"/>
      <c r="G1310" s="127"/>
      <c r="H1310" s="127"/>
      <c r="I1310" s="128"/>
      <c r="K1310" s="105" t="str">
        <f>IFERROR(__xludf.DUMMYFUNCTION("if(A1310="""","""",substitute(SUBSTITUTE(index(importhtml(""http://finviz.com/quote.ashx?t=""&amp;A1310,""table"",10),7,2),""*"",""""),""-"",""0.00""))"),"Loading...")</f>
        <v>Loading...</v>
      </c>
      <c r="L1310" s="129">
        <v>1654509.0</v>
      </c>
      <c r="M1310" s="99">
        <v>2.25</v>
      </c>
    </row>
    <row r="1311">
      <c r="A1311" s="122" t="s">
        <v>3045</v>
      </c>
      <c r="B1311" s="123">
        <v>720875.0</v>
      </c>
      <c r="C1311" s="124" t="s">
        <v>3046</v>
      </c>
      <c r="D1311" s="125"/>
      <c r="E1311" s="126">
        <v>0.53</v>
      </c>
      <c r="F1311" s="127"/>
      <c r="G1311" s="127"/>
      <c r="H1311" s="127"/>
      <c r="I1311" s="128"/>
      <c r="K1311" s="105" t="str">
        <f>IFERROR(__xludf.DUMMYFUNCTION("if(A1311="""","""",substitute(SUBSTITUTE(index(importhtml(""http://finviz.com/quote.ashx?t=""&amp;A1311,""table"",10),7,2),""*"",""""),""-"",""0.00""))"),"Loading...")</f>
        <v>Loading...</v>
      </c>
      <c r="L1311" s="129">
        <v>2400893.0</v>
      </c>
      <c r="M1311" s="99">
        <v>0.44</v>
      </c>
    </row>
    <row r="1312">
      <c r="A1312" s="122" t="s">
        <v>3047</v>
      </c>
      <c r="B1312" s="123">
        <v>797564.0</v>
      </c>
      <c r="C1312" s="124" t="s">
        <v>3048</v>
      </c>
      <c r="D1312" s="125"/>
      <c r="E1312" s="126">
        <v>0.53</v>
      </c>
      <c r="F1312" s="127"/>
      <c r="G1312" s="127"/>
      <c r="H1312" s="127"/>
      <c r="I1312" s="128"/>
      <c r="K1312" s="105" t="str">
        <f>IFERROR(__xludf.DUMMYFUNCTION("if(A1312="""","""",substitute(SUBSTITUTE(index(importhtml(""http://finviz.com/quote.ashx?t=""&amp;A1312,""table"",10),7,2),""*"",""""),""-"",""0.00""))"),"Loading...")</f>
        <v>Loading...</v>
      </c>
      <c r="L1312" s="129">
        <v>2782270.0</v>
      </c>
      <c r="M1312" s="99">
        <v>-1.23</v>
      </c>
    </row>
    <row r="1313">
      <c r="A1313" s="122" t="s">
        <v>3049</v>
      </c>
      <c r="B1313" s="123">
        <v>278165.0</v>
      </c>
      <c r="C1313" s="124" t="s">
        <v>3050</v>
      </c>
      <c r="D1313" s="125"/>
      <c r="E1313" s="126">
        <v>0.53</v>
      </c>
      <c r="F1313" s="127"/>
      <c r="G1313" s="127"/>
      <c r="H1313" s="127"/>
      <c r="I1313" s="128"/>
      <c r="K1313" s="105" t="str">
        <f>IFERROR(__xludf.DUMMYFUNCTION("if(A1313="""","""",substitute(SUBSTITUTE(index(importhtml(""http://finviz.com/quote.ashx?t=""&amp;A1313,""table"",10),7,2),""*"",""""),""-"",""0.00""))"),"Loading...")</f>
        <v>Loading...</v>
      </c>
      <c r="L1313" s="129">
        <v>5609809.0</v>
      </c>
      <c r="M1313" s="99">
        <v>1.37</v>
      </c>
    </row>
    <row r="1314">
      <c r="A1314" s="122" t="s">
        <v>3051</v>
      </c>
      <c r="B1314" s="123">
        <v>1784254.0</v>
      </c>
      <c r="C1314" s="124" t="s">
        <v>3052</v>
      </c>
      <c r="D1314" s="125"/>
      <c r="E1314" s="126">
        <v>0.53</v>
      </c>
      <c r="F1314" s="127"/>
      <c r="G1314" s="127"/>
      <c r="H1314" s="127"/>
      <c r="I1314" s="128"/>
      <c r="K1314" s="105" t="str">
        <f>IFERROR(__xludf.DUMMYFUNCTION("if(A1314="""","""",substitute(SUBSTITUTE(index(importhtml(""http://finviz.com/quote.ashx?t=""&amp;A1314,""table"",10),7,2),""*"",""""),""-"",""0.00""))"),"Loading...")</f>
        <v>Loading...</v>
      </c>
      <c r="L1314" s="129">
        <v>1.3964142E7</v>
      </c>
      <c r="M1314" s="99">
        <v>0.56</v>
      </c>
    </row>
    <row r="1315">
      <c r="A1315" s="122" t="s">
        <v>3053</v>
      </c>
      <c r="B1315" s="123">
        <v>1776197.0</v>
      </c>
      <c r="C1315" s="124" t="s">
        <v>3054</v>
      </c>
      <c r="D1315" s="125"/>
      <c r="E1315" s="126">
        <v>0.53</v>
      </c>
      <c r="F1315" s="127"/>
      <c r="G1315" s="127"/>
      <c r="H1315" s="127"/>
      <c r="I1315" s="128"/>
      <c r="K1315" s="105" t="str">
        <f>IFERROR(__xludf.DUMMYFUNCTION("if(A1315="""","""",substitute(SUBSTITUTE(index(importhtml(""http://finviz.com/quote.ashx?t=""&amp;A1315,""table"",10),7,2),""*"",""""),""-"",""0.00""))"),"#N/A")</f>
        <v>#N/A</v>
      </c>
      <c r="L1315" s="129">
        <v>3.3734195E7</v>
      </c>
      <c r="M1315" s="99">
        <v>0.7</v>
      </c>
    </row>
    <row r="1316">
      <c r="A1316" s="122" t="s">
        <v>3055</v>
      </c>
      <c r="B1316" s="123">
        <v>1468327.0</v>
      </c>
      <c r="C1316" s="124" t="s">
        <v>3056</v>
      </c>
      <c r="D1316" s="125"/>
      <c r="E1316" s="126">
        <v>0.53</v>
      </c>
      <c r="F1316" s="127"/>
      <c r="G1316" s="127"/>
      <c r="H1316" s="127"/>
      <c r="I1316" s="128"/>
      <c r="K1316" s="105" t="str">
        <f>IFERROR(__xludf.DUMMYFUNCTION("if(A1316="""","""",substitute(SUBSTITUTE(index(importhtml(""http://finviz.com/quote.ashx?t=""&amp;A1316,""table"",10),7,2),""*"",""""),""-"",""0.00""))"),"Loading...")</f>
        <v>Loading...</v>
      </c>
      <c r="L1316" s="129">
        <v>3.7215164E7</v>
      </c>
      <c r="M1316" s="99">
        <f>IFERROR(__xludf.DUMMYFUNCTION("GOOGLEFINANCE(A1316,""beta"")"),1.35)</f>
        <v>1.35</v>
      </c>
    </row>
    <row r="1317">
      <c r="A1317" s="122" t="s">
        <v>3057</v>
      </c>
      <c r="B1317" s="123">
        <v>1723069.0</v>
      </c>
      <c r="C1317" s="124" t="s">
        <v>3058</v>
      </c>
      <c r="D1317" s="125"/>
      <c r="E1317" s="126">
        <v>0.53</v>
      </c>
      <c r="F1317" s="127"/>
      <c r="G1317" s="127"/>
      <c r="H1317" s="127"/>
      <c r="I1317" s="128"/>
      <c r="K1317" s="105" t="str">
        <f>IFERROR(__xludf.DUMMYFUNCTION("if(A1317="""","""",substitute(SUBSTITUTE(index(importhtml(""http://finviz.com/quote.ashx?t=""&amp;A1317,""table"",10),7,2),""*"",""""),""-"",""0.00""))"),"Loading...")</f>
        <v>Loading...</v>
      </c>
      <c r="L1317" s="129">
        <v>5.3724821E7</v>
      </c>
      <c r="M1317" s="99">
        <v>0.73</v>
      </c>
    </row>
    <row r="1318">
      <c r="A1318" s="122" t="s">
        <v>3059</v>
      </c>
      <c r="B1318" s="123">
        <v>1448597.0</v>
      </c>
      <c r="C1318" s="124" t="s">
        <v>3060</v>
      </c>
      <c r="D1318" s="125"/>
      <c r="E1318" s="126">
        <v>0.53</v>
      </c>
      <c r="F1318" s="127"/>
      <c r="G1318" s="127"/>
      <c r="H1318" s="127"/>
      <c r="I1318" s="128"/>
      <c r="K1318" s="105" t="str">
        <f>IFERROR(__xludf.DUMMYFUNCTION("if(A1318="""","""",substitute(SUBSTITUTE(index(importhtml(""http://finviz.com/quote.ashx?t=""&amp;A1318,""table"",10),7,2),""*"",""""),""-"",""0.00""))"),"Loading...")</f>
        <v>Loading...</v>
      </c>
      <c r="L1318" s="129">
        <v>5.9291527E7</v>
      </c>
      <c r="M1318" s="99">
        <v>0.05</v>
      </c>
    </row>
    <row r="1319">
      <c r="A1319" s="122" t="s">
        <v>3061</v>
      </c>
      <c r="B1319" s="123">
        <v>1802457.0</v>
      </c>
      <c r="C1319" s="124" t="s">
        <v>3062</v>
      </c>
      <c r="D1319" s="125"/>
      <c r="E1319" s="126">
        <v>0.53</v>
      </c>
      <c r="F1319" s="127"/>
      <c r="G1319" s="127"/>
      <c r="H1319" s="127"/>
      <c r="I1319" s="128"/>
      <c r="K1319" s="105" t="str">
        <f>IFERROR(__xludf.DUMMYFUNCTION("if(A1319="""","""",substitute(SUBSTITUTE(index(importhtml(""http://finviz.com/quote.ashx?t=""&amp;A1319,""table"",10),7,2),""*"",""""),""-"",""0.00""))"),"Loading...")</f>
        <v>Loading...</v>
      </c>
      <c r="L1319" s="129">
        <v>7.6689777E7</v>
      </c>
      <c r="M1319" s="99">
        <v>1.18</v>
      </c>
    </row>
    <row r="1320">
      <c r="A1320" s="122" t="s">
        <v>3063</v>
      </c>
      <c r="B1320" s="123">
        <v>1372299.0</v>
      </c>
      <c r="C1320" s="124" t="s">
        <v>3064</v>
      </c>
      <c r="D1320" s="125"/>
      <c r="E1320" s="126">
        <v>0.53</v>
      </c>
      <c r="F1320" s="127"/>
      <c r="G1320" s="127"/>
      <c r="H1320" s="127"/>
      <c r="I1320" s="128"/>
      <c r="K1320" s="105" t="str">
        <f>IFERROR(__xludf.DUMMYFUNCTION("if(A1320="""","""",substitute(SUBSTITUTE(index(importhtml(""http://finviz.com/quote.ashx?t=""&amp;A1320,""table"",10),7,2),""*"",""""),""-"",""0.00""))"),"Loading...")</f>
        <v>Loading...</v>
      </c>
      <c r="L1320" s="129">
        <v>1.35381972E8</v>
      </c>
      <c r="M1320" s="99">
        <v>3.25</v>
      </c>
    </row>
    <row r="1321">
      <c r="A1321" s="122" t="s">
        <v>3065</v>
      </c>
      <c r="B1321" s="123">
        <v>1160106.0</v>
      </c>
      <c r="C1321" s="124" t="s">
        <v>3066</v>
      </c>
      <c r="D1321" s="125"/>
      <c r="E1321" s="126">
        <v>0.53</v>
      </c>
      <c r="F1321" s="127"/>
      <c r="G1321" s="127"/>
      <c r="H1321" s="127"/>
      <c r="I1321" s="128"/>
      <c r="K1321" s="105" t="str">
        <f>IFERROR(__xludf.DUMMYFUNCTION("if(A1321="""","""",substitute(SUBSTITUTE(index(importhtml(""http://finviz.com/quote.ashx?t=""&amp;A1321,""table"",10),7,2),""*"",""""),""-"",""0.00""))"),"Loading...")</f>
        <v>Loading...</v>
      </c>
      <c r="L1321" s="129">
        <v>3.3922953613E10</v>
      </c>
      <c r="M1321" s="99">
        <v>1.43</v>
      </c>
    </row>
    <row r="1322">
      <c r="A1322" s="122" t="s">
        <v>3067</v>
      </c>
      <c r="B1322" s="123">
        <v>1713923.0</v>
      </c>
      <c r="C1322" s="124" t="s">
        <v>3068</v>
      </c>
      <c r="D1322" s="125"/>
      <c r="E1322" s="126">
        <v>0.54</v>
      </c>
      <c r="F1322" s="127"/>
      <c r="G1322" s="127"/>
      <c r="H1322" s="127"/>
      <c r="I1322" s="128"/>
      <c r="K1322" s="55" t="s">
        <v>1034</v>
      </c>
      <c r="L1322" s="129">
        <v>1.150254E7</v>
      </c>
      <c r="M1322" s="99">
        <v>0.39</v>
      </c>
    </row>
    <row r="1323">
      <c r="A1323" s="122" t="s">
        <v>3069</v>
      </c>
      <c r="B1323" s="123">
        <v>96699.0</v>
      </c>
      <c r="C1323" s="124" t="s">
        <v>3070</v>
      </c>
      <c r="D1323" s="125"/>
      <c r="E1323" s="126">
        <v>0.54</v>
      </c>
      <c r="F1323" s="127"/>
      <c r="G1323" s="127"/>
      <c r="H1323" s="127"/>
      <c r="I1323" s="128"/>
      <c r="K1323" s="105" t="str">
        <f>IFERROR(__xludf.DUMMYFUNCTION("if(A1323="""","""",substitute(SUBSTITUTE(index(importhtml(""http://finviz.com/quote.ashx?t=""&amp;A1323,""table"",10),7,2),""*"",""""),""-"",""0.00""))"),"Loading...")</f>
        <v>Loading...</v>
      </c>
      <c r="L1323" s="129">
        <v>995630.0</v>
      </c>
      <c r="M1323" s="99">
        <v>2.03</v>
      </c>
    </row>
    <row r="1324">
      <c r="A1324" s="122" t="s">
        <v>3071</v>
      </c>
      <c r="B1324" s="123">
        <v>1698530.0</v>
      </c>
      <c r="C1324" s="124" t="s">
        <v>3072</v>
      </c>
      <c r="D1324" s="125"/>
      <c r="E1324" s="126">
        <v>0.54</v>
      </c>
      <c r="F1324" s="127"/>
      <c r="G1324" s="127"/>
      <c r="H1324" s="127"/>
      <c r="I1324" s="128"/>
      <c r="K1324" s="105" t="str">
        <f>IFERROR(__xludf.DUMMYFUNCTION("if(A1324="""","""",substitute(SUBSTITUTE(index(importhtml(""http://finviz.com/quote.ashx?t=""&amp;A1324,""table"",10),7,2),""*"",""""),""-"",""0.00""))"),"Loading...")</f>
        <v>Loading...</v>
      </c>
      <c r="L1324" s="129">
        <v>4703373.0</v>
      </c>
      <c r="M1324" s="99">
        <v>1.19</v>
      </c>
    </row>
    <row r="1325">
      <c r="A1325" s="122" t="s">
        <v>3073</v>
      </c>
      <c r="B1325" s="123">
        <v>1357459.0</v>
      </c>
      <c r="C1325" s="124" t="s">
        <v>3074</v>
      </c>
      <c r="D1325" s="125"/>
      <c r="E1325" s="126">
        <v>0.54</v>
      </c>
      <c r="F1325" s="127"/>
      <c r="G1325" s="127"/>
      <c r="H1325" s="127"/>
      <c r="I1325" s="128"/>
      <c r="K1325" s="105" t="str">
        <f>IFERROR(__xludf.DUMMYFUNCTION("if(A1325="""","""",substitute(SUBSTITUTE(index(importhtml(""http://finviz.com/quote.ashx?t=""&amp;A1325,""table"",10),7,2),""*"",""""),""-"",""0.00""))"),"Loading...")</f>
        <v>Loading...</v>
      </c>
      <c r="L1325" s="129">
        <v>4935739.0</v>
      </c>
      <c r="M1325" s="99">
        <v>2.42</v>
      </c>
    </row>
    <row r="1326">
      <c r="A1326" s="122" t="s">
        <v>3075</v>
      </c>
      <c r="B1326" s="123">
        <v>891417.0</v>
      </c>
      <c r="C1326" s="124" t="s">
        <v>3076</v>
      </c>
      <c r="D1326" s="125"/>
      <c r="E1326" s="126">
        <v>0.54</v>
      </c>
      <c r="F1326" s="127"/>
      <c r="G1326" s="127"/>
      <c r="H1326" s="127"/>
      <c r="I1326" s="128"/>
      <c r="K1326" s="105" t="str">
        <f>IFERROR(__xludf.DUMMYFUNCTION("if(A1326="""","""",substitute(SUBSTITUTE(index(importhtml(""http://finviz.com/quote.ashx?t=""&amp;A1326,""table"",10),7,2),""*"",""""),""-"",""0.00""))"),"Loading...")</f>
        <v>Loading...</v>
      </c>
      <c r="L1326" s="129">
        <v>6707298.0</v>
      </c>
      <c r="M1326" s="99">
        <v>3.11</v>
      </c>
    </row>
    <row r="1327">
      <c r="A1327" s="122" t="s">
        <v>3077</v>
      </c>
      <c r="B1327" s="123">
        <v>1830072.0</v>
      </c>
      <c r="C1327" s="124" t="s">
        <v>3078</v>
      </c>
      <c r="D1327" s="125"/>
      <c r="E1327" s="126">
        <v>0.54</v>
      </c>
      <c r="F1327" s="127"/>
      <c r="G1327" s="127"/>
      <c r="H1327" s="127"/>
      <c r="I1327" s="128"/>
      <c r="K1327" s="105" t="str">
        <f>IFERROR(__xludf.DUMMYFUNCTION("if(A1327="""","""",substitute(SUBSTITUTE(index(importhtml(""http://finviz.com/quote.ashx?t=""&amp;A1327,""table"",10),7,2),""*"",""""),""-"",""0.00""))"),"Loading...")</f>
        <v>Loading...</v>
      </c>
      <c r="L1327" s="129">
        <v>1.6052076E7</v>
      </c>
      <c r="M1327" s="99">
        <f>IFERROR(__xludf.DUMMYFUNCTION("GOOGLEFINANCE(A1327,""beta"")"),3.44)</f>
        <v>3.44</v>
      </c>
    </row>
    <row r="1328">
      <c r="A1328" s="122" t="s">
        <v>3079</v>
      </c>
      <c r="B1328" s="123">
        <v>1051514.0</v>
      </c>
      <c r="C1328" s="124" t="s">
        <v>3080</v>
      </c>
      <c r="D1328" s="125"/>
      <c r="E1328" s="126">
        <v>0.54</v>
      </c>
      <c r="F1328" s="127"/>
      <c r="G1328" s="127"/>
      <c r="H1328" s="127"/>
      <c r="I1328" s="128"/>
      <c r="K1328" s="105" t="str">
        <f>IFERROR(__xludf.DUMMYFUNCTION("if(A1328="""","""",substitute(SUBSTITUTE(index(importhtml(""http://finviz.com/quote.ashx?t=""&amp;A1328,""table"",10),7,2),""*"",""""),""-"",""0.00""))"),"#REF!")</f>
        <v>#REF!</v>
      </c>
      <c r="L1328" s="129">
        <v>1.8838741E7</v>
      </c>
      <c r="M1328" s="99">
        <v>1.63</v>
      </c>
    </row>
    <row r="1329">
      <c r="A1329" s="122" t="s">
        <v>3081</v>
      </c>
      <c r="B1329" s="123">
        <v>1776909.0</v>
      </c>
      <c r="C1329" s="124" t="s">
        <v>3082</v>
      </c>
      <c r="D1329" s="125"/>
      <c r="E1329" s="126">
        <v>0.54</v>
      </c>
      <c r="F1329" s="127"/>
      <c r="G1329" s="127"/>
      <c r="H1329" s="127"/>
      <c r="I1329" s="128"/>
      <c r="K1329" s="105" t="str">
        <f>IFERROR(__xludf.DUMMYFUNCTION("if(A1329="""","""",substitute(SUBSTITUTE(index(importhtml(""http://finviz.com/quote.ashx?t=""&amp;A1329,""table"",10),7,2),""*"",""""),""-"",""0.00""))"),"Loading...")</f>
        <v>Loading...</v>
      </c>
      <c r="L1329" s="129">
        <v>2.8132708E7</v>
      </c>
      <c r="M1329" s="99">
        <v>1.03</v>
      </c>
    </row>
    <row r="1330">
      <c r="A1330" s="122" t="s">
        <v>3083</v>
      </c>
      <c r="B1330" s="123">
        <v>1832161.0</v>
      </c>
      <c r="C1330" s="124" t="s">
        <v>3084</v>
      </c>
      <c r="D1330" s="125"/>
      <c r="E1330" s="126">
        <v>0.54</v>
      </c>
      <c r="F1330" s="127"/>
      <c r="G1330" s="127"/>
      <c r="H1330" s="127"/>
      <c r="I1330" s="128"/>
      <c r="K1330" s="105" t="str">
        <f>IFERROR(__xludf.DUMMYFUNCTION("if(A1330="""","""",substitute(SUBSTITUTE(index(importhtml(""http://finviz.com/quote.ashx?t=""&amp;A1330,""table"",10),7,2),""*"",""""),""-"",""0.00""))"),"Loading...")</f>
        <v>Loading...</v>
      </c>
      <c r="L1330" s="129">
        <v>3.663046E7</v>
      </c>
      <c r="M1330" s="99" t="str">
        <f>IFERROR(__xludf.DUMMYFUNCTION("GOOGLEFINANCE(A1330,""beta"")"),"#N/A")</f>
        <v>#N/A</v>
      </c>
    </row>
    <row r="1331">
      <c r="A1331" s="122" t="s">
        <v>3085</v>
      </c>
      <c r="B1331" s="123">
        <v>917225.0</v>
      </c>
      <c r="C1331" s="124" t="s">
        <v>3086</v>
      </c>
      <c r="D1331" s="125"/>
      <c r="E1331" s="126">
        <v>0.54</v>
      </c>
      <c r="F1331" s="127"/>
      <c r="G1331" s="127"/>
      <c r="H1331" s="127"/>
      <c r="I1331" s="128"/>
      <c r="K1331" s="105" t="str">
        <f>IFERROR(__xludf.DUMMYFUNCTION("if(A1331="""","""",substitute(SUBSTITUTE(index(importhtml(""http://finviz.com/quote.ashx?t=""&amp;A1331,""table"",10),7,2),""*"",""""),""-"",""0.00""))"),"Loading...")</f>
        <v>Loading...</v>
      </c>
      <c r="L1331" s="129">
        <v>5.8285629E7</v>
      </c>
      <c r="M1331" s="99">
        <v>1.08</v>
      </c>
    </row>
    <row r="1332">
      <c r="A1332" s="122" t="s">
        <v>3087</v>
      </c>
      <c r="B1332" s="123">
        <v>1505413.0</v>
      </c>
      <c r="C1332" s="124" t="s">
        <v>3088</v>
      </c>
      <c r="D1332" s="125"/>
      <c r="E1332" s="126">
        <v>0.54</v>
      </c>
      <c r="F1332" s="127"/>
      <c r="G1332" s="127"/>
      <c r="H1332" s="127"/>
      <c r="I1332" s="128"/>
      <c r="K1332" s="105" t="str">
        <f>IFERROR(__xludf.DUMMYFUNCTION("if(A1332="""","""",substitute(SUBSTITUTE(index(importhtml(""http://finviz.com/quote.ashx?t=""&amp;A1332,""table"",10),7,2),""*"",""""),""-"",""0.00""))"),"Loading...")</f>
        <v>Loading...</v>
      </c>
      <c r="L1332" s="129">
        <v>6.6886817E7</v>
      </c>
      <c r="M1332" s="99">
        <f>IFERROR(__xludf.DUMMYFUNCTION("GOOGLEFINANCE(A1332,""beta"")"),0.4)</f>
        <v>0.4</v>
      </c>
    </row>
    <row r="1333">
      <c r="A1333" s="122" t="s">
        <v>3089</v>
      </c>
      <c r="B1333" s="123">
        <v>1752828.0</v>
      </c>
      <c r="C1333" s="124" t="s">
        <v>3090</v>
      </c>
      <c r="D1333" s="125"/>
      <c r="E1333" s="126">
        <v>0.54</v>
      </c>
      <c r="F1333" s="127"/>
      <c r="G1333" s="127"/>
      <c r="H1333" s="127"/>
      <c r="I1333" s="128"/>
      <c r="K1333" s="105" t="str">
        <f>IFERROR(__xludf.DUMMYFUNCTION("if(A1333="""","""",substitute(SUBSTITUTE(index(importhtml(""http://finviz.com/quote.ashx?t=""&amp;A1333,""table"",10),7,2),""*"",""""),""-"",""0.00""))"),"Loading...")</f>
        <v>Loading...</v>
      </c>
      <c r="L1333" s="129">
        <v>1.15753378E8</v>
      </c>
      <c r="M1333" s="99">
        <v>0.24</v>
      </c>
    </row>
    <row r="1334">
      <c r="A1334" s="122" t="s">
        <v>3091</v>
      </c>
      <c r="B1334" s="123">
        <v>1816723.0</v>
      </c>
      <c r="C1334" s="124" t="s">
        <v>3092</v>
      </c>
      <c r="D1334" s="125"/>
      <c r="E1334" s="126">
        <v>0.54</v>
      </c>
      <c r="F1334" s="127"/>
      <c r="G1334" s="127"/>
      <c r="H1334" s="127"/>
      <c r="I1334" s="128"/>
      <c r="K1334" s="105" t="str">
        <f>IFERROR(__xludf.DUMMYFUNCTION("if(A1334="""","""",substitute(SUBSTITUTE(index(importhtml(""http://finviz.com/quote.ashx?t=""&amp;A1334,""table"",10),7,2),""*"",""""),""-"",""0.00""))"),"Loading...")</f>
        <v>Loading...</v>
      </c>
      <c r="L1334" s="129">
        <v>2.05854429E8</v>
      </c>
      <c r="M1334" s="99">
        <v>1.11</v>
      </c>
    </row>
    <row r="1335">
      <c r="A1335" s="122" t="s">
        <v>3093</v>
      </c>
      <c r="B1335" s="123">
        <v>1782941.0</v>
      </c>
      <c r="C1335" s="124" t="s">
        <v>3094</v>
      </c>
      <c r="D1335" s="125"/>
      <c r="E1335" s="126">
        <v>0.55</v>
      </c>
      <c r="F1335" s="127"/>
      <c r="G1335" s="127"/>
      <c r="H1335" s="127"/>
      <c r="I1335" s="128"/>
      <c r="K1335" s="105" t="str">
        <f>IFERROR(__xludf.DUMMYFUNCTION("if(A1335="""","""",substitute(SUBSTITUTE(index(importhtml(""http://finviz.com/quote.ashx?t=""&amp;A1335,""table"",10),7,2),""*"",""""),""-"",""0.00""))"),"Loading...")</f>
        <v>Loading...</v>
      </c>
      <c r="L1335" s="129">
        <v>1822806.0</v>
      </c>
      <c r="M1335" s="99">
        <v>1.11</v>
      </c>
    </row>
    <row r="1336">
      <c r="A1336" s="122" t="s">
        <v>3095</v>
      </c>
      <c r="B1336" s="123">
        <v>1615219.0</v>
      </c>
      <c r="C1336" s="124" t="s">
        <v>3096</v>
      </c>
      <c r="D1336" s="125"/>
      <c r="E1336" s="126">
        <v>0.55</v>
      </c>
      <c r="F1336" s="127"/>
      <c r="G1336" s="127"/>
      <c r="H1336" s="127"/>
      <c r="I1336" s="128"/>
      <c r="K1336" s="105" t="str">
        <f>IFERROR(__xludf.DUMMYFUNCTION("if(A1336="""","""",substitute(SUBSTITUTE(index(importhtml(""http://finviz.com/quote.ashx?t=""&amp;A1336,""table"",10),7,2),""*"",""""),""-"",""0.00""))"),"Loading...")</f>
        <v>Loading...</v>
      </c>
      <c r="L1336" s="129">
        <v>2142608.0</v>
      </c>
      <c r="M1336" s="99">
        <v>0.99</v>
      </c>
    </row>
    <row r="1337">
      <c r="A1337" s="122" t="s">
        <v>3097</v>
      </c>
      <c r="B1337" s="123">
        <v>1100397.0</v>
      </c>
      <c r="C1337" s="124" t="s">
        <v>3098</v>
      </c>
      <c r="D1337" s="125"/>
      <c r="E1337" s="126">
        <v>0.55</v>
      </c>
      <c r="F1337" s="127"/>
      <c r="G1337" s="127"/>
      <c r="H1337" s="127"/>
      <c r="I1337" s="128"/>
      <c r="K1337" s="105" t="str">
        <f>IFERROR(__xludf.DUMMYFUNCTION("if(A1337="""","""",substitute(SUBSTITUTE(index(importhtml(""http://finviz.com/quote.ashx?t=""&amp;A1337,""table"",10),7,2),""*"",""""),""-"",""0.00""))"),"Loading...")</f>
        <v>Loading...</v>
      </c>
      <c r="L1337" s="129">
        <v>5907786.0</v>
      </c>
      <c r="M1337" s="99">
        <v>2.21</v>
      </c>
    </row>
    <row r="1338">
      <c r="A1338" s="122" t="s">
        <v>3099</v>
      </c>
      <c r="B1338" s="123">
        <v>1549631.0</v>
      </c>
      <c r="C1338" s="124" t="s">
        <v>3100</v>
      </c>
      <c r="D1338" s="125"/>
      <c r="E1338" s="126">
        <v>0.55</v>
      </c>
      <c r="F1338" s="127"/>
      <c r="G1338" s="127"/>
      <c r="H1338" s="127"/>
      <c r="I1338" s="128"/>
      <c r="K1338" s="105" t="str">
        <f>IFERROR(__xludf.DUMMYFUNCTION("if(A1338="""","""",substitute(SUBSTITUTE(index(importhtml(""http://finviz.com/quote.ashx?t=""&amp;A1338,""table"",10),7,2),""*"",""""),""-"",""0.00""))"),"Loading...")</f>
        <v>Loading...</v>
      </c>
      <c r="L1338" s="129">
        <v>8620970.0</v>
      </c>
      <c r="M1338" s="99">
        <v>2.68</v>
      </c>
    </row>
    <row r="1339">
      <c r="A1339" s="122" t="s">
        <v>3101</v>
      </c>
      <c r="B1339" s="123">
        <v>1901305.0</v>
      </c>
      <c r="C1339" s="124" t="s">
        <v>3102</v>
      </c>
      <c r="D1339" s="125"/>
      <c r="E1339" s="126">
        <v>0.55</v>
      </c>
      <c r="F1339" s="127"/>
      <c r="G1339" s="127"/>
      <c r="H1339" s="127"/>
      <c r="I1339" s="128"/>
      <c r="K1339" s="105" t="str">
        <f>IFERROR(__xludf.DUMMYFUNCTION("if(A1339="""","""",substitute(SUBSTITUTE(index(importhtml(""http://finviz.com/quote.ashx?t=""&amp;A1339,""table"",10),7,2),""*"",""""),""-"",""0.00""))"),"Loading...")</f>
        <v>Loading...</v>
      </c>
      <c r="L1339" s="129">
        <v>8681200.0</v>
      </c>
      <c r="M1339" s="99" t="str">
        <f>IFERROR(__xludf.DUMMYFUNCTION("GOOGLEFINANCE(A1339,""beta"")"),"#N/A")</f>
        <v>#N/A</v>
      </c>
    </row>
    <row r="1340">
      <c r="A1340" s="122" t="s">
        <v>3103</v>
      </c>
      <c r="B1340" s="123">
        <v>1608390.0</v>
      </c>
      <c r="C1340" s="124" t="s">
        <v>3104</v>
      </c>
      <c r="D1340" s="125"/>
      <c r="E1340" s="126">
        <v>0.55</v>
      </c>
      <c r="F1340" s="127"/>
      <c r="G1340" s="127"/>
      <c r="H1340" s="127"/>
      <c r="I1340" s="128"/>
      <c r="K1340" s="105" t="str">
        <f>IFERROR(__xludf.DUMMYFUNCTION("if(A1340="""","""",substitute(SUBSTITUTE(index(importhtml(""http://finviz.com/quote.ashx?t=""&amp;A1340,""table"",10),7,2),""*"",""""),""-"",""0.00""))"),"Loading...")</f>
        <v>Loading...</v>
      </c>
      <c r="L1340" s="129">
        <v>8.1843246E7</v>
      </c>
      <c r="M1340" s="99">
        <v>2.07</v>
      </c>
    </row>
    <row r="1341">
      <c r="A1341" s="122" t="s">
        <v>3105</v>
      </c>
      <c r="B1341" s="123">
        <v>1590715.0</v>
      </c>
      <c r="C1341" s="124" t="s">
        <v>3106</v>
      </c>
      <c r="D1341" s="125"/>
      <c r="E1341" s="126">
        <v>0.55</v>
      </c>
      <c r="F1341" s="127"/>
      <c r="G1341" s="127"/>
      <c r="H1341" s="127"/>
      <c r="I1341" s="128"/>
      <c r="K1341" s="105" t="str">
        <f>IFERROR(__xludf.DUMMYFUNCTION("if(A1341="""","""",substitute(SUBSTITUTE(index(importhtml(""http://finviz.com/quote.ashx?t=""&amp;A1341,""table"",10),7,2),""*"",""""),""-"",""0.00""))"),"Loading...")</f>
        <v>Loading...</v>
      </c>
      <c r="L1341" s="129">
        <v>1.05276646E8</v>
      </c>
      <c r="M1341" s="99">
        <v>328.28</v>
      </c>
    </row>
    <row r="1342">
      <c r="A1342" s="122" t="s">
        <v>3107</v>
      </c>
      <c r="B1342" s="123">
        <v>1790177.0</v>
      </c>
      <c r="C1342" s="124" t="s">
        <v>3108</v>
      </c>
      <c r="D1342" s="125"/>
      <c r="E1342" s="126">
        <v>0.55</v>
      </c>
      <c r="F1342" s="127"/>
      <c r="G1342" s="127"/>
      <c r="H1342" s="127"/>
      <c r="I1342" s="128"/>
      <c r="K1342" s="105" t="str">
        <f>IFERROR(__xludf.DUMMYFUNCTION("if(A1342="""","""",substitute(SUBSTITUTE(index(importhtml(""http://finviz.com/quote.ashx?t=""&amp;A1342,""table"",10),7,2),""*"",""""),""-"",""0.00""))"),"Loading...")</f>
        <v>Loading...</v>
      </c>
      <c r="L1342" s="129">
        <v>1.08473161E8</v>
      </c>
      <c r="M1342" s="99">
        <f>IFERROR(__xludf.DUMMYFUNCTION("GOOGLEFINANCE(A1342,""beta"")"),0.71)</f>
        <v>0.71</v>
      </c>
    </row>
    <row r="1343">
      <c r="A1343" s="122" t="s">
        <v>3109</v>
      </c>
      <c r="B1343" s="123">
        <v>1616543.0</v>
      </c>
      <c r="C1343" s="124" t="s">
        <v>3110</v>
      </c>
      <c r="D1343" s="125"/>
      <c r="E1343" s="126">
        <v>0.55</v>
      </c>
      <c r="F1343" s="127"/>
      <c r="G1343" s="127"/>
      <c r="H1343" s="127"/>
      <c r="I1343" s="128"/>
      <c r="K1343" s="105" t="str">
        <f>IFERROR(__xludf.DUMMYFUNCTION("if(A1343="""","""",substitute(SUBSTITUTE(index(importhtml(""http://finviz.com/quote.ashx?t=""&amp;A1343,""table"",10),7,2),""*"",""""),""-"",""0.00""))"),"Loading...")</f>
        <v>Loading...</v>
      </c>
      <c r="L1343" s="129">
        <v>2.8869914E8</v>
      </c>
      <c r="M1343" s="99">
        <v>0.87</v>
      </c>
    </row>
    <row r="1344">
      <c r="A1344" s="122" t="s">
        <v>3111</v>
      </c>
      <c r="B1344" s="123">
        <v>1647822.0</v>
      </c>
      <c r="C1344" s="124" t="s">
        <v>3112</v>
      </c>
      <c r="D1344" s="125"/>
      <c r="E1344" s="126">
        <v>0.55</v>
      </c>
      <c r="F1344" s="127"/>
      <c r="G1344" s="127"/>
      <c r="H1344" s="127"/>
      <c r="I1344" s="128"/>
      <c r="K1344" s="105" t="str">
        <f>IFERROR(__xludf.DUMMYFUNCTION("if(A1344="""","""",substitute(SUBSTITUTE(index(importhtml(""http://finviz.com/quote.ashx?t=""&amp;A1344,""table"",10),7,2),""*"",""""),""-"",""0.00""))"),"Loading...")</f>
        <v>Loading...</v>
      </c>
      <c r="L1344" s="129">
        <v>5.84045E8</v>
      </c>
      <c r="M1344" s="99">
        <v>-73.81</v>
      </c>
    </row>
    <row r="1345">
      <c r="A1345" s="122" t="s">
        <v>3113</v>
      </c>
      <c r="B1345" s="123">
        <v>1072379.0</v>
      </c>
      <c r="C1345" s="124" t="s">
        <v>3114</v>
      </c>
      <c r="D1345" s="125"/>
      <c r="E1345" s="126">
        <v>0.55</v>
      </c>
      <c r="F1345" s="127"/>
      <c r="G1345" s="127"/>
      <c r="H1345" s="127"/>
      <c r="I1345" s="128"/>
      <c r="K1345" s="105" t="str">
        <f>IFERROR(__xludf.DUMMYFUNCTION("if(A1345="""","""",substitute(SUBSTITUTE(index(importhtml(""http://finviz.com/quote.ashx?t=""&amp;A1345,""table"",10),7,2),""*"",""""),""-"",""0.00""))"),"Loading...")</f>
        <v>Loading...</v>
      </c>
      <c r="L1345" s="129">
        <v>6.3073424E8</v>
      </c>
      <c r="M1345" s="99">
        <v>-0.67</v>
      </c>
    </row>
    <row r="1346">
      <c r="A1346" s="122" t="s">
        <v>3115</v>
      </c>
      <c r="B1346" s="123">
        <v>1397183.0</v>
      </c>
      <c r="C1346" s="124" t="s">
        <v>3116</v>
      </c>
      <c r="D1346" s="125"/>
      <c r="E1346" s="126">
        <v>0.56</v>
      </c>
      <c r="F1346" s="127"/>
      <c r="G1346" s="127"/>
      <c r="H1346" s="127"/>
      <c r="I1346" s="128"/>
      <c r="K1346" s="105" t="str">
        <f>IFERROR(__xludf.DUMMYFUNCTION("if(A1346="""","""",substitute(SUBSTITUTE(index(importhtml(""http://finviz.com/quote.ashx?t=""&amp;A1346,""table"",10),7,2),""*"",""""),""-"",""0.00""))"),"Loading...")</f>
        <v>Loading...</v>
      </c>
      <c r="L1346" s="129">
        <v>9095415.0</v>
      </c>
      <c r="M1346" s="99">
        <v>0.73</v>
      </c>
    </row>
    <row r="1347">
      <c r="A1347" s="122" t="s">
        <v>3117</v>
      </c>
      <c r="B1347" s="123">
        <v>32621.0</v>
      </c>
      <c r="C1347" s="124" t="s">
        <v>3118</v>
      </c>
      <c r="D1347" s="125"/>
      <c r="E1347" s="126">
        <v>0.56</v>
      </c>
      <c r="F1347" s="127"/>
      <c r="G1347" s="127"/>
      <c r="H1347" s="127"/>
      <c r="I1347" s="128"/>
      <c r="K1347" s="105" t="str">
        <f>IFERROR(__xludf.DUMMYFUNCTION("if(A1347="""","""",substitute(SUBSTITUTE(index(importhtml(""http://finviz.com/quote.ashx?t=""&amp;A1347,""table"",10),7,2),""*"",""""),""-"",""0.00""))"),"Loading...")</f>
        <v>Loading...</v>
      </c>
      <c r="L1347" s="129">
        <v>1.1722927E7</v>
      </c>
      <c r="M1347" s="99">
        <v>0.48</v>
      </c>
    </row>
    <row r="1348">
      <c r="A1348" s="122" t="s">
        <v>3119</v>
      </c>
      <c r="B1348" s="123">
        <v>1828098.0</v>
      </c>
      <c r="C1348" s="124" t="s">
        <v>3120</v>
      </c>
      <c r="D1348" s="125"/>
      <c r="E1348" s="126">
        <v>0.56</v>
      </c>
      <c r="F1348" s="127"/>
      <c r="G1348" s="127"/>
      <c r="H1348" s="127"/>
      <c r="I1348" s="128"/>
      <c r="K1348" s="105" t="str">
        <f>IFERROR(__xludf.DUMMYFUNCTION("if(A1348="""","""",substitute(SUBSTITUTE(index(importhtml(""http://finviz.com/quote.ashx?t=""&amp;A1348,""table"",10),7,2),""*"",""""),""-"",""0.00""))"),"Loading...")</f>
        <v>Loading...</v>
      </c>
      <c r="L1348" s="129">
        <v>1.4028476E7</v>
      </c>
      <c r="M1348" s="99">
        <f>IFERROR(__xludf.DUMMYFUNCTION("GOOGLEFINANCE(A1348,""beta"")"),1.4)</f>
        <v>1.4</v>
      </c>
    </row>
    <row r="1349">
      <c r="A1349" s="122" t="s">
        <v>3121</v>
      </c>
      <c r="B1349" s="123">
        <v>1721484.0</v>
      </c>
      <c r="C1349" s="124" t="s">
        <v>3122</v>
      </c>
      <c r="D1349" s="125"/>
      <c r="E1349" s="126">
        <v>0.56</v>
      </c>
      <c r="F1349" s="127"/>
      <c r="G1349" s="127"/>
      <c r="H1349" s="127"/>
      <c r="I1349" s="128"/>
      <c r="K1349" s="105" t="str">
        <f>IFERROR(__xludf.DUMMYFUNCTION("if(A1349="""","""",substitute(SUBSTITUTE(index(importhtml(""http://finviz.com/quote.ashx?t=""&amp;A1349,""table"",10),7,2),""*"",""""),""-"",""0.00""))"),"Loading...")</f>
        <v>Loading...</v>
      </c>
      <c r="L1349" s="129">
        <v>1.4029102E7</v>
      </c>
      <c r="M1349" s="99">
        <f>IFERROR(__xludf.DUMMYFUNCTION("GOOGLEFINANCE(A1349,""beta"")"),0.18)</f>
        <v>0.18</v>
      </c>
    </row>
    <row r="1350">
      <c r="A1350" s="122" t="s">
        <v>3123</v>
      </c>
      <c r="B1350" s="123">
        <v>1672572.0</v>
      </c>
      <c r="C1350" s="124" t="s">
        <v>3124</v>
      </c>
      <c r="D1350" s="125"/>
      <c r="E1350" s="126">
        <v>0.56</v>
      </c>
      <c r="F1350" s="127"/>
      <c r="G1350" s="127"/>
      <c r="H1350" s="127"/>
      <c r="I1350" s="128"/>
      <c r="K1350" s="105" t="str">
        <f>IFERROR(__xludf.DUMMYFUNCTION("if(A1350="""","""",substitute(SUBSTITUTE(index(importhtml(""http://finviz.com/quote.ashx?t=""&amp;A1350,""table"",10),7,2),""*"",""""),""-"",""0.00""))"),"Loading...")</f>
        <v>Loading...</v>
      </c>
      <c r="L1350" s="129">
        <v>1.67997E7</v>
      </c>
      <c r="M1350" s="99">
        <v>0.31</v>
      </c>
    </row>
    <row r="1351">
      <c r="A1351" s="122" t="s">
        <v>3125</v>
      </c>
      <c r="B1351" s="123">
        <v>1836612.0</v>
      </c>
      <c r="C1351" s="124" t="s">
        <v>3126</v>
      </c>
      <c r="D1351" s="125"/>
      <c r="E1351" s="126">
        <v>0.56</v>
      </c>
      <c r="F1351" s="127"/>
      <c r="G1351" s="127"/>
      <c r="H1351" s="127"/>
      <c r="I1351" s="128"/>
      <c r="K1351" s="105" t="str">
        <f>IFERROR(__xludf.DUMMYFUNCTION("if(A1351="""","""",substitute(SUBSTITUTE(index(importhtml(""http://finviz.com/quote.ashx?t=""&amp;A1351,""table"",10),7,2),""*"",""""),""-"",""0.00""))"),"Loading...")</f>
        <v>Loading...</v>
      </c>
      <c r="L1351" s="129">
        <v>1.8966112E7</v>
      </c>
      <c r="M1351" s="99">
        <f>IFERROR(__xludf.DUMMYFUNCTION("GOOGLEFINANCE(A1351,""beta"")"),1.44)</f>
        <v>1.44</v>
      </c>
    </row>
    <row r="1352">
      <c r="A1352" s="122" t="s">
        <v>3127</v>
      </c>
      <c r="B1352" s="123">
        <v>1819663.0</v>
      </c>
      <c r="C1352" s="124" t="s">
        <v>3128</v>
      </c>
      <c r="D1352" s="125"/>
      <c r="E1352" s="126">
        <v>0.56</v>
      </c>
      <c r="F1352" s="127"/>
      <c r="G1352" s="127"/>
      <c r="H1352" s="127"/>
      <c r="I1352" s="128"/>
      <c r="K1352" s="105" t="str">
        <f>IFERROR(__xludf.DUMMYFUNCTION("if(A1352="""","""",substitute(SUBSTITUTE(index(importhtml(""http://finviz.com/quote.ashx?t=""&amp;A1352,""table"",10),7,2),""*"",""""),""-"",""0.00""))"),"Loading...")</f>
        <v>Loading...</v>
      </c>
      <c r="L1352" s="129">
        <v>1.9167517E7</v>
      </c>
      <c r="M1352" s="99">
        <v>-0.84</v>
      </c>
    </row>
    <row r="1353">
      <c r="A1353" s="122" t="s">
        <v>3129</v>
      </c>
      <c r="B1353" s="123">
        <v>1903145.0</v>
      </c>
      <c r="C1353" s="124" t="s">
        <v>3130</v>
      </c>
      <c r="D1353" s="125"/>
      <c r="E1353" s="126">
        <v>0.56</v>
      </c>
      <c r="F1353" s="127"/>
      <c r="G1353" s="127"/>
      <c r="H1353" s="127"/>
      <c r="I1353" s="128"/>
      <c r="K1353" s="105" t="str">
        <f>IFERROR(__xludf.DUMMYFUNCTION("if(A1353="""","""",substitute(SUBSTITUTE(index(importhtml(""http://finviz.com/quote.ashx?t=""&amp;A1353,""table"",10),7,2),""*"",""""),""-"",""0.00""))"),"Loading...")</f>
        <v>Loading...</v>
      </c>
      <c r="L1353" s="129">
        <v>3.7951772E7</v>
      </c>
      <c r="M1353" s="99">
        <f>IFERROR(__xludf.DUMMYFUNCTION("GOOGLEFINANCE(A1353,""beta"")"),-0.71)</f>
        <v>-0.71</v>
      </c>
    </row>
    <row r="1354">
      <c r="A1354" s="122" t="s">
        <v>3131</v>
      </c>
      <c r="B1354" s="123">
        <v>1850906.0</v>
      </c>
      <c r="C1354" s="124" t="s">
        <v>3132</v>
      </c>
      <c r="D1354" s="125"/>
      <c r="E1354" s="126">
        <v>0.56</v>
      </c>
      <c r="F1354" s="127"/>
      <c r="G1354" s="127"/>
      <c r="H1354" s="127"/>
      <c r="I1354" s="128"/>
      <c r="K1354" s="105" t="str">
        <f>IFERROR(__xludf.DUMMYFUNCTION("if(A1354="""","""",substitute(SUBSTITUTE(index(importhtml(""http://finviz.com/quote.ashx?t=""&amp;A1354,""table"",10),7,2),""*"",""""),""-"",""0.00""))"),"Loading...")</f>
        <v>Loading...</v>
      </c>
      <c r="L1354" s="129">
        <v>4.0785169E7</v>
      </c>
      <c r="M1354" s="99" t="str">
        <f>IFERROR(__xludf.DUMMYFUNCTION("GOOGLEFINANCE(A1354,""beta"")"),"#N/A")</f>
        <v>#N/A</v>
      </c>
    </row>
    <row r="1355">
      <c r="A1355" s="122" t="s">
        <v>3133</v>
      </c>
      <c r="B1355" s="123">
        <v>906709.0</v>
      </c>
      <c r="C1355" s="124" t="s">
        <v>3134</v>
      </c>
      <c r="D1355" s="125"/>
      <c r="E1355" s="126">
        <v>0.56</v>
      </c>
      <c r="F1355" s="127"/>
      <c r="G1355" s="127"/>
      <c r="H1355" s="127"/>
      <c r="I1355" s="128"/>
      <c r="K1355" s="105" t="str">
        <f>IFERROR(__xludf.DUMMYFUNCTION("if(A1355="""","""",substitute(SUBSTITUTE(index(importhtml(""http://finviz.com/quote.ashx?t=""&amp;A1355,""table"",10),7,2),""*"",""""),""-"",""0.00""))"),"Loading...")</f>
        <v>Loading...</v>
      </c>
      <c r="L1355" s="129">
        <v>1.05877628E8</v>
      </c>
      <c r="M1355" s="99">
        <v>0.78</v>
      </c>
    </row>
    <row r="1356">
      <c r="A1356" s="122" t="s">
        <v>3135</v>
      </c>
      <c r="B1356" s="123">
        <v>1163560.0</v>
      </c>
      <c r="C1356" s="124" t="s">
        <v>3136</v>
      </c>
      <c r="D1356" s="125"/>
      <c r="E1356" s="126">
        <v>0.56</v>
      </c>
      <c r="F1356" s="127"/>
      <c r="G1356" s="127"/>
      <c r="H1356" s="127"/>
      <c r="I1356" s="128"/>
      <c r="K1356" s="105" t="str">
        <f>IFERROR(__xludf.DUMMYFUNCTION("if(A1356="""","""",substitute(SUBSTITUTE(index(importhtml(""http://finviz.com/quote.ashx?t=""&amp;A1356,""table"",10),7,2),""*"",""""),""-"",""0.00""))"),"Loading...")</f>
        <v>Loading...</v>
      </c>
      <c r="L1356" s="129">
        <v>3.57117542E8</v>
      </c>
      <c r="M1356" s="99">
        <v>0.58</v>
      </c>
    </row>
    <row r="1357">
      <c r="A1357" s="122" t="s">
        <v>3137</v>
      </c>
      <c r="B1357" s="123">
        <v>1528129.0</v>
      </c>
      <c r="C1357" s="124" t="s">
        <v>3138</v>
      </c>
      <c r="D1357" s="125"/>
      <c r="E1357" s="126">
        <v>0.56</v>
      </c>
      <c r="F1357" s="127"/>
      <c r="G1357" s="127"/>
      <c r="H1357" s="127"/>
      <c r="I1357" s="128"/>
      <c r="K1357" s="105" t="str">
        <f>IFERROR(__xludf.DUMMYFUNCTION("if(A1357="""","""",substitute(SUBSTITUTE(index(importhtml(""http://finviz.com/quote.ashx?t=""&amp;A1357,""table"",10),7,2),""*"",""""),""-"",""0.00""))"),"Loading...")</f>
        <v>Loading...</v>
      </c>
      <c r="L1357" s="129">
        <v>3.58696297E8</v>
      </c>
      <c r="M1357" s="99" t="str">
        <f>IFERROR(__xludf.DUMMYFUNCTION("GOOGLEFINANCE(A1357,""beta"")"),"#N/A")</f>
        <v>#N/A</v>
      </c>
    </row>
    <row r="1358">
      <c r="A1358" s="122" t="s">
        <v>3139</v>
      </c>
      <c r="B1358" s="123">
        <v>1805385.0</v>
      </c>
      <c r="C1358" s="124" t="s">
        <v>3140</v>
      </c>
      <c r="D1358" s="125"/>
      <c r="E1358" s="126">
        <v>0.56</v>
      </c>
      <c r="F1358" s="127"/>
      <c r="G1358" s="127"/>
      <c r="H1358" s="127"/>
      <c r="I1358" s="128"/>
      <c r="K1358" s="105" t="str">
        <f>IFERROR(__xludf.DUMMYFUNCTION("if(A1358="""","""",substitute(SUBSTITUTE(index(importhtml(""http://finviz.com/quote.ashx?t=""&amp;A1358,""table"",10),7,2),""*"",""""),""-"",""0.00""))"),"Loading...")</f>
        <v>Loading...</v>
      </c>
      <c r="L1358" s="129">
        <v>6.74060321E8</v>
      </c>
      <c r="M1358" s="99">
        <v>2.81</v>
      </c>
    </row>
    <row r="1359">
      <c r="A1359" s="122" t="s">
        <v>3141</v>
      </c>
      <c r="B1359" s="123">
        <v>1698514.0</v>
      </c>
      <c r="C1359" s="124" t="s">
        <v>3142</v>
      </c>
      <c r="D1359" s="125"/>
      <c r="E1359" s="126">
        <v>0.56</v>
      </c>
      <c r="F1359" s="127"/>
      <c r="G1359" s="127"/>
      <c r="H1359" s="127"/>
      <c r="I1359" s="128"/>
      <c r="K1359" s="105" t="str">
        <f>IFERROR(__xludf.DUMMYFUNCTION("if(A1359="""","""",substitute(SUBSTITUTE(index(importhtml(""http://finviz.com/quote.ashx?t=""&amp;A1359,""table"",10),7,2),""*"",""""),""-"",""0.00""))"),"Loading...")</f>
        <v>Loading...</v>
      </c>
      <c r="L1359" s="129">
        <v>6.82074063E8</v>
      </c>
      <c r="M1359" s="99">
        <v>2.23</v>
      </c>
    </row>
    <row r="1360">
      <c r="A1360" s="122" t="s">
        <v>3143</v>
      </c>
      <c r="B1360" s="123">
        <v>1816815.0</v>
      </c>
      <c r="C1360" s="124" t="s">
        <v>3144</v>
      </c>
      <c r="D1360" s="125"/>
      <c r="E1360" s="126">
        <v>0.57</v>
      </c>
      <c r="F1360" s="127"/>
      <c r="G1360" s="127"/>
      <c r="H1360" s="127"/>
      <c r="I1360" s="128"/>
      <c r="K1360" s="55" t="s">
        <v>1034</v>
      </c>
      <c r="L1360" s="129">
        <v>6353339.0</v>
      </c>
      <c r="M1360" s="99">
        <f>IFERROR(__xludf.DUMMYFUNCTION("GOOGLEFINANCE(A1360,""beta"")"),-0.35)</f>
        <v>-0.35</v>
      </c>
    </row>
    <row r="1361">
      <c r="A1361" s="122" t="s">
        <v>3145</v>
      </c>
      <c r="B1361" s="123">
        <v>744452.0</v>
      </c>
      <c r="C1361" s="124" t="s">
        <v>3146</v>
      </c>
      <c r="D1361" s="125"/>
      <c r="E1361" s="126">
        <v>0.57</v>
      </c>
      <c r="F1361" s="127"/>
      <c r="G1361" s="127"/>
      <c r="H1361" s="127"/>
      <c r="I1361" s="128"/>
      <c r="K1361" s="105" t="str">
        <f>IFERROR(__xludf.DUMMYFUNCTION("if(A1361="""","""",substitute(SUBSTITUTE(index(importhtml(""http://finviz.com/quote.ashx?t=""&amp;A1361,""table"",10),7,2),""*"",""""),""-"",""0.00""))"),"Loading...")</f>
        <v>Loading...</v>
      </c>
      <c r="L1361" s="129">
        <v>7892120.0</v>
      </c>
      <c r="M1361" s="99">
        <v>0.17</v>
      </c>
    </row>
    <row r="1362">
      <c r="A1362" s="122" t="s">
        <v>3147</v>
      </c>
      <c r="B1362" s="123">
        <v>1606698.0</v>
      </c>
      <c r="C1362" s="124" t="s">
        <v>3148</v>
      </c>
      <c r="D1362" s="125"/>
      <c r="E1362" s="126">
        <v>0.57</v>
      </c>
      <c r="F1362" s="127"/>
      <c r="G1362" s="127"/>
      <c r="H1362" s="127"/>
      <c r="I1362" s="128"/>
      <c r="K1362" s="105" t="str">
        <f>IFERROR(__xludf.DUMMYFUNCTION("if(A1362="""","""",substitute(SUBSTITUTE(index(importhtml(""http://finviz.com/quote.ashx?t=""&amp;A1362,""table"",10),7,2),""*"",""""),""-"",""0.00""))"),"Loading...")</f>
        <v>Loading...</v>
      </c>
      <c r="L1362" s="129">
        <v>1.5398128E7</v>
      </c>
      <c r="M1362" s="99">
        <v>7.96</v>
      </c>
    </row>
    <row r="1363">
      <c r="A1363" s="122" t="s">
        <v>3149</v>
      </c>
      <c r="B1363" s="123">
        <v>1553846.0</v>
      </c>
      <c r="C1363" s="124" t="s">
        <v>3150</v>
      </c>
      <c r="D1363" s="125"/>
      <c r="E1363" s="126">
        <v>0.57</v>
      </c>
      <c r="F1363" s="127"/>
      <c r="G1363" s="127"/>
      <c r="H1363" s="127"/>
      <c r="I1363" s="128"/>
      <c r="K1363" s="105" t="str">
        <f>IFERROR(__xludf.DUMMYFUNCTION("if(A1363="""","""",substitute(SUBSTITUTE(index(importhtml(""http://finviz.com/quote.ashx?t=""&amp;A1363,""table"",10),7,2),""*"",""""),""-"",""0.00""))"),"Loading...")</f>
        <v>Loading...</v>
      </c>
      <c r="L1363" s="129">
        <v>1.6896857E7</v>
      </c>
      <c r="M1363" s="99">
        <v>3.48</v>
      </c>
    </row>
    <row r="1364">
      <c r="A1364" s="122" t="s">
        <v>3151</v>
      </c>
      <c r="B1364" s="123">
        <v>1346830.0</v>
      </c>
      <c r="C1364" s="124" t="s">
        <v>3152</v>
      </c>
      <c r="D1364" s="125"/>
      <c r="E1364" s="126">
        <v>0.57</v>
      </c>
      <c r="F1364" s="127"/>
      <c r="G1364" s="127"/>
      <c r="H1364" s="127"/>
      <c r="I1364" s="128"/>
      <c r="K1364" s="105" t="str">
        <f>IFERROR(__xludf.DUMMYFUNCTION("if(A1364="""","""",substitute(SUBSTITUTE(index(importhtml(""http://finviz.com/quote.ashx?t=""&amp;A1364,""table"",10),7,2),""*"",""""),""-"",""0.00""))"),"Loading...")</f>
        <v>Loading...</v>
      </c>
      <c r="L1364" s="129">
        <v>3.1327639E7</v>
      </c>
      <c r="M1364" s="99">
        <v>0.59</v>
      </c>
    </row>
    <row r="1365">
      <c r="A1365" s="122" t="s">
        <v>3153</v>
      </c>
      <c r="B1365" s="123">
        <v>1600983.0</v>
      </c>
      <c r="C1365" s="124" t="s">
        <v>3154</v>
      </c>
      <c r="D1365" s="125"/>
      <c r="E1365" s="126">
        <v>0.57</v>
      </c>
      <c r="F1365" s="127"/>
      <c r="G1365" s="127"/>
      <c r="H1365" s="127"/>
      <c r="I1365" s="128"/>
      <c r="K1365" s="105" t="str">
        <f>IFERROR(__xludf.DUMMYFUNCTION("if(A1365="""","""",substitute(SUBSTITUTE(index(importhtml(""http://finviz.com/quote.ashx?t=""&amp;A1365,""table"",10),7,2),""*"",""""),""-"",""0.00""))"),"Loading...")</f>
        <v>Loading...</v>
      </c>
      <c r="L1365" s="129">
        <v>4.881971E7</v>
      </c>
      <c r="M1365" s="99">
        <f>IFERROR(__xludf.DUMMYFUNCTION("GOOGLEFINANCE(A1365,""beta"")"),1.72)</f>
        <v>1.72</v>
      </c>
    </row>
    <row r="1366">
      <c r="A1366" s="122" t="s">
        <v>3155</v>
      </c>
      <c r="B1366" s="123">
        <v>1532619.0</v>
      </c>
      <c r="C1366" s="124" t="s">
        <v>3156</v>
      </c>
      <c r="D1366" s="125"/>
      <c r="E1366" s="126">
        <v>0.58</v>
      </c>
      <c r="F1366" s="127"/>
      <c r="G1366" s="127"/>
      <c r="H1366" s="127"/>
      <c r="I1366" s="128"/>
      <c r="K1366" s="55" t="s">
        <v>1034</v>
      </c>
      <c r="L1366" s="129">
        <v>1965999.0</v>
      </c>
      <c r="M1366" s="99">
        <v>0.99</v>
      </c>
    </row>
    <row r="1367">
      <c r="A1367" s="122" t="s">
        <v>3157</v>
      </c>
      <c r="B1367" s="123">
        <v>862861.0</v>
      </c>
      <c r="C1367" s="124" t="s">
        <v>3158</v>
      </c>
      <c r="D1367" s="125"/>
      <c r="E1367" s="126">
        <v>0.58</v>
      </c>
      <c r="F1367" s="127"/>
      <c r="G1367" s="127"/>
      <c r="H1367" s="127"/>
      <c r="I1367" s="128"/>
      <c r="K1367" s="105" t="str">
        <f>IFERROR(__xludf.DUMMYFUNCTION("if(A1367="""","""",substitute(SUBSTITUTE(index(importhtml(""http://finviz.com/quote.ashx?t=""&amp;A1367,""table"",10),7,2),""*"",""""),""-"",""0.00""))"),"Loading...")</f>
        <v>Loading...</v>
      </c>
      <c r="L1367" s="129">
        <v>2908799.0</v>
      </c>
      <c r="M1367" s="99">
        <v>1.97</v>
      </c>
    </row>
    <row r="1368">
      <c r="A1368" s="122" t="s">
        <v>3159</v>
      </c>
      <c r="B1368" s="123">
        <v>1723517.0</v>
      </c>
      <c r="C1368" s="124" t="s">
        <v>3160</v>
      </c>
      <c r="D1368" s="125"/>
      <c r="E1368" s="126">
        <v>0.58</v>
      </c>
      <c r="F1368" s="127"/>
      <c r="G1368" s="127"/>
      <c r="H1368" s="127"/>
      <c r="I1368" s="128"/>
      <c r="K1368" s="105" t="str">
        <f>IFERROR(__xludf.DUMMYFUNCTION("if(A1368="""","""",substitute(SUBSTITUTE(index(importhtml(""http://finviz.com/quote.ashx?t=""&amp;A1368,""table"",10),7,2),""*"",""""),""-"",""0.00""))"),"Loading...")</f>
        <v>Loading...</v>
      </c>
      <c r="L1368" s="129">
        <v>3181310.0</v>
      </c>
      <c r="M1368" s="99">
        <v>2.42</v>
      </c>
    </row>
    <row r="1369">
      <c r="A1369" s="122" t="s">
        <v>3161</v>
      </c>
      <c r="B1369" s="123">
        <v>836564.0</v>
      </c>
      <c r="C1369" s="124" t="s">
        <v>3162</v>
      </c>
      <c r="D1369" s="125"/>
      <c r="E1369" s="126">
        <v>0.58</v>
      </c>
      <c r="F1369" s="127"/>
      <c r="G1369" s="127"/>
      <c r="H1369" s="127"/>
      <c r="I1369" s="128"/>
      <c r="K1369" s="105" t="str">
        <f>IFERROR(__xludf.DUMMYFUNCTION("if(A1369="""","""",substitute(SUBSTITUTE(index(importhtml(""http://finviz.com/quote.ashx?t=""&amp;A1369,""table"",10),7,2),""*"",""""),""-"",""0.00""))"),"Loading...")</f>
        <v>Loading...</v>
      </c>
      <c r="L1369" s="129">
        <v>4200440.0</v>
      </c>
      <c r="M1369" s="99">
        <v>0.47</v>
      </c>
    </row>
    <row r="1370">
      <c r="A1370" s="122" t="s">
        <v>3163</v>
      </c>
      <c r="B1370" s="123">
        <v>1803407.0</v>
      </c>
      <c r="C1370" s="124" t="s">
        <v>3164</v>
      </c>
      <c r="D1370" s="125"/>
      <c r="E1370" s="126">
        <v>0.58</v>
      </c>
      <c r="F1370" s="127"/>
      <c r="G1370" s="127"/>
      <c r="H1370" s="127"/>
      <c r="I1370" s="128"/>
      <c r="K1370" s="105" t="str">
        <f>IFERROR(__xludf.DUMMYFUNCTION("if(A1370="""","""",substitute(SUBSTITUTE(index(importhtml(""http://finviz.com/quote.ashx?t=""&amp;A1370,""table"",10),7,2),""*"",""""),""-"",""0.00""))"),"Loading...")</f>
        <v>Loading...</v>
      </c>
      <c r="L1370" s="129">
        <v>8110329.0</v>
      </c>
      <c r="M1370" s="99" t="str">
        <f>IFERROR(__xludf.DUMMYFUNCTION("GOOGLEFINANCE(A1370,""beta"")"),"#N/A")</f>
        <v>#N/A</v>
      </c>
    </row>
    <row r="1371">
      <c r="A1371" s="122" t="s">
        <v>3165</v>
      </c>
      <c r="B1371" s="123">
        <v>1420108.0</v>
      </c>
      <c r="C1371" s="124" t="s">
        <v>3166</v>
      </c>
      <c r="D1371" s="125"/>
      <c r="E1371" s="126">
        <v>0.58</v>
      </c>
      <c r="F1371" s="127"/>
      <c r="G1371" s="127"/>
      <c r="H1371" s="127"/>
      <c r="I1371" s="128"/>
      <c r="K1371" s="105" t="str">
        <f>IFERROR(__xludf.DUMMYFUNCTION("if(A1371="""","""",substitute(SUBSTITUTE(index(importhtml(""http://finviz.com/quote.ashx?t=""&amp;A1371,""table"",10),7,2),""*"",""""),""-"",""0.00""))"),"Loading...")</f>
        <v>Loading...</v>
      </c>
      <c r="L1371" s="129">
        <v>9775574.0</v>
      </c>
      <c r="M1371" s="99">
        <v>3.18</v>
      </c>
    </row>
    <row r="1372">
      <c r="A1372" s="122" t="s">
        <v>3167</v>
      </c>
      <c r="B1372" s="123">
        <v>1722926.0</v>
      </c>
      <c r="C1372" s="124" t="s">
        <v>3168</v>
      </c>
      <c r="D1372" s="125"/>
      <c r="E1372" s="126">
        <v>0.58</v>
      </c>
      <c r="F1372" s="127"/>
      <c r="G1372" s="127"/>
      <c r="H1372" s="127"/>
      <c r="I1372" s="128"/>
      <c r="K1372" s="105" t="str">
        <f>IFERROR(__xludf.DUMMYFUNCTION("if(A1372="""","""",substitute(SUBSTITUTE(index(importhtml(""http://finviz.com/quote.ashx?t=""&amp;A1372,""table"",10),7,2),""*"",""""),""-"",""0.00""))"),"Loading...")</f>
        <v>Loading...</v>
      </c>
      <c r="L1372" s="129">
        <v>1.3515362E7</v>
      </c>
      <c r="M1372" s="99">
        <v>1.44</v>
      </c>
    </row>
    <row r="1373">
      <c r="A1373" s="122" t="s">
        <v>3169</v>
      </c>
      <c r="B1373" s="123">
        <v>1390478.0</v>
      </c>
      <c r="C1373" s="124" t="s">
        <v>3170</v>
      </c>
      <c r="D1373" s="125"/>
      <c r="E1373" s="126">
        <v>0.58</v>
      </c>
      <c r="F1373" s="127"/>
      <c r="G1373" s="127"/>
      <c r="H1373" s="127"/>
      <c r="I1373" s="128"/>
      <c r="K1373" s="105" t="str">
        <f>IFERROR(__xludf.DUMMYFUNCTION("if(A1373="""","""",substitute(SUBSTITUTE(index(importhtml(""http://finviz.com/quote.ashx?t=""&amp;A1373,""table"",10),7,2),""*"",""""),""-"",""0.00""))"),"Loading...")</f>
        <v>Loading...</v>
      </c>
      <c r="L1373" s="129">
        <v>2.2135699E7</v>
      </c>
      <c r="M1373" s="99">
        <v>2.22</v>
      </c>
    </row>
    <row r="1374">
      <c r="A1374" s="122" t="s">
        <v>3171</v>
      </c>
      <c r="B1374" s="123">
        <v>1091596.0</v>
      </c>
      <c r="C1374" s="124" t="s">
        <v>3172</v>
      </c>
      <c r="D1374" s="125"/>
      <c r="E1374" s="126">
        <v>0.58</v>
      </c>
      <c r="F1374" s="127"/>
      <c r="G1374" s="127"/>
      <c r="H1374" s="127"/>
      <c r="I1374" s="128"/>
      <c r="K1374" s="105" t="str">
        <f>IFERROR(__xludf.DUMMYFUNCTION("if(A1374="""","""",substitute(SUBSTITUTE(index(importhtml(""http://finviz.com/quote.ashx?t=""&amp;A1374,""table"",10),7,2),""*"",""""),""-"",""0.00""))"),"Loading...")</f>
        <v>Loading...</v>
      </c>
      <c r="L1374" s="129">
        <v>2.456474E7</v>
      </c>
      <c r="M1374" s="99" t="str">
        <f>IFERROR(__xludf.DUMMYFUNCTION("GOOGLEFINANCE(A1374,""beta"")"),"#N/A")</f>
        <v>#N/A</v>
      </c>
    </row>
    <row r="1375">
      <c r="A1375" s="122" t="s">
        <v>3173</v>
      </c>
      <c r="B1375" s="123">
        <v>1467808.0</v>
      </c>
      <c r="C1375" s="124" t="s">
        <v>3174</v>
      </c>
      <c r="D1375" s="125"/>
      <c r="E1375" s="126">
        <v>0.58</v>
      </c>
      <c r="F1375" s="127"/>
      <c r="G1375" s="127"/>
      <c r="H1375" s="127"/>
      <c r="I1375" s="128"/>
      <c r="K1375" s="105" t="str">
        <f>IFERROR(__xludf.DUMMYFUNCTION("if(A1375="""","""",substitute(SUBSTITUTE(index(importhtml(""http://finviz.com/quote.ashx?t=""&amp;A1375,""table"",10),7,2),""*"",""""),""-"",""0.00""))"),"Loading...")</f>
        <v>Loading...</v>
      </c>
      <c r="L1375" s="129">
        <v>6.0876079E7</v>
      </c>
      <c r="M1375" s="99" t="str">
        <f>IFERROR(__xludf.DUMMYFUNCTION("GOOGLEFINANCE(A1375,""beta"")"),"#N/A")</f>
        <v>#N/A</v>
      </c>
    </row>
    <row r="1376">
      <c r="A1376" s="122" t="s">
        <v>3175</v>
      </c>
      <c r="B1376" s="123">
        <v>912892.0</v>
      </c>
      <c r="C1376" s="124" t="s">
        <v>3176</v>
      </c>
      <c r="D1376" s="125"/>
      <c r="E1376" s="126">
        <v>0.58</v>
      </c>
      <c r="F1376" s="127"/>
      <c r="G1376" s="127"/>
      <c r="H1376" s="127"/>
      <c r="I1376" s="128"/>
      <c r="K1376" s="105" t="str">
        <f>IFERROR(__xludf.DUMMYFUNCTION("if(A1376="""","""",substitute(SUBSTITUTE(index(importhtml(""http://finviz.com/quote.ashx?t=""&amp;A1376,""table"",10),7,2),""*"",""""),""-"",""0.00""))"),"Loading...")</f>
        <v>Loading...</v>
      </c>
      <c r="L1376" s="129">
        <v>1.760013149E9</v>
      </c>
      <c r="M1376" s="99">
        <v>2.09</v>
      </c>
    </row>
    <row r="1377">
      <c r="A1377" s="122" t="s">
        <v>3177</v>
      </c>
      <c r="B1377" s="123">
        <v>929058.0</v>
      </c>
      <c r="C1377" s="124" t="s">
        <v>3178</v>
      </c>
      <c r="D1377" s="125"/>
      <c r="E1377" s="126">
        <v>0.58</v>
      </c>
      <c r="F1377" s="127"/>
      <c r="G1377" s="127"/>
      <c r="H1377" s="127"/>
      <c r="I1377" s="128"/>
      <c r="K1377" s="105" t="str">
        <f>IFERROR(__xludf.DUMMYFUNCTION("if(A1377="""","""",substitute(SUBSTITUTE(index(importhtml(""http://finviz.com/quote.ashx?t=""&amp;A1377,""table"",10),7,2),""*"",""""),""-"",""0.00""))"),"Loading...")</f>
        <v>Loading...</v>
      </c>
      <c r="L1377" s="129">
        <v>1.25626089538E11</v>
      </c>
      <c r="M1377" s="99">
        <v>0.49</v>
      </c>
    </row>
    <row r="1378">
      <c r="A1378" s="122" t="s">
        <v>3179</v>
      </c>
      <c r="B1378" s="123">
        <v>1463157.0</v>
      </c>
      <c r="C1378" s="124" t="s">
        <v>3180</v>
      </c>
      <c r="D1378" s="125"/>
      <c r="E1378" s="126">
        <v>0.58</v>
      </c>
      <c r="F1378" s="127"/>
      <c r="G1378" s="127"/>
      <c r="H1378" s="127"/>
      <c r="I1378" s="128"/>
      <c r="K1378" s="105" t="str">
        <f>IFERROR(__xludf.DUMMYFUNCTION("if(A1378="""","""",substitute(SUBSTITUTE(index(importhtml(""http://finviz.com/quote.ashx?t=""&amp;A1378,""table"",10),7,2),""*"",""""),""-"",""0.00""))"),"Loading...")</f>
        <v>Loading...</v>
      </c>
      <c r="L1378" s="129">
        <v>1.18380934E15</v>
      </c>
      <c r="M1378" s="99" t="str">
        <f>IFERROR(__xludf.DUMMYFUNCTION("GOOGLEFINANCE(A1378,""beta"")"),"#N/A")</f>
        <v>#N/A</v>
      </c>
    </row>
    <row r="1379">
      <c r="A1379" s="122" t="s">
        <v>3181</v>
      </c>
      <c r="B1379" s="123">
        <v>1098462.0</v>
      </c>
      <c r="C1379" s="124" t="s">
        <v>3182</v>
      </c>
      <c r="D1379" s="125"/>
      <c r="E1379" s="126">
        <v>0.59</v>
      </c>
      <c r="F1379" s="127"/>
      <c r="G1379" s="127"/>
      <c r="H1379" s="127"/>
      <c r="I1379" s="128"/>
      <c r="K1379" s="105" t="str">
        <f>IFERROR(__xludf.DUMMYFUNCTION("if(A1379="""","""",substitute(SUBSTITUTE(index(importhtml(""http://finviz.com/quote.ashx?t=""&amp;A1379,""table"",10),7,2),""*"",""""),""-"",""0.00""))"),"Loading...")</f>
        <v>Loading...</v>
      </c>
      <c r="L1379" s="129">
        <v>738320.0</v>
      </c>
      <c r="M1379" s="99">
        <v>0.83</v>
      </c>
    </row>
    <row r="1380">
      <c r="A1380" s="122" t="s">
        <v>3183</v>
      </c>
      <c r="B1380" s="123">
        <v>1588084.0</v>
      </c>
      <c r="C1380" s="124" t="s">
        <v>3184</v>
      </c>
      <c r="D1380" s="125"/>
      <c r="E1380" s="126">
        <v>0.59</v>
      </c>
      <c r="F1380" s="127"/>
      <c r="G1380" s="127"/>
      <c r="H1380" s="127"/>
      <c r="I1380" s="128"/>
      <c r="K1380" s="105" t="str">
        <f>IFERROR(__xludf.DUMMYFUNCTION("if(A1380="""","""",substitute(SUBSTITUTE(index(importhtml(""http://finviz.com/quote.ashx?t=""&amp;A1380,""table"",10),7,2),""*"",""""),""-"",""0.00""))"),"Loading...")</f>
        <v>Loading...</v>
      </c>
      <c r="L1380" s="129">
        <v>2223824.0</v>
      </c>
      <c r="M1380" s="99">
        <v>0.22</v>
      </c>
    </row>
    <row r="1381">
      <c r="A1381" s="122" t="s">
        <v>3185</v>
      </c>
      <c r="B1381" s="123">
        <v>1422892.0</v>
      </c>
      <c r="C1381" s="124" t="s">
        <v>3186</v>
      </c>
      <c r="D1381" s="125"/>
      <c r="E1381" s="126">
        <v>0.59</v>
      </c>
      <c r="F1381" s="127"/>
      <c r="G1381" s="127"/>
      <c r="H1381" s="127"/>
      <c r="I1381" s="128"/>
      <c r="K1381" s="105" t="str">
        <f>IFERROR(__xludf.DUMMYFUNCTION("if(A1381="""","""",substitute(SUBSTITUTE(index(importhtml(""http://finviz.com/quote.ashx?t=""&amp;A1381,""table"",10),7,2),""*"",""""),""-"",""0.00""))"),"Loading...")</f>
        <v>Loading...</v>
      </c>
      <c r="L1381" s="129">
        <v>1.0254146E7</v>
      </c>
      <c r="M1381" s="99">
        <v>1.07</v>
      </c>
    </row>
    <row r="1382">
      <c r="A1382" s="122" t="s">
        <v>3187</v>
      </c>
      <c r="B1382" s="123">
        <v>1779578.0</v>
      </c>
      <c r="C1382" s="124" t="s">
        <v>3188</v>
      </c>
      <c r="D1382" s="125"/>
      <c r="E1382" s="126">
        <v>0.59</v>
      </c>
      <c r="F1382" s="127"/>
      <c r="G1382" s="127"/>
      <c r="H1382" s="127"/>
      <c r="I1382" s="128"/>
      <c r="K1382" s="105" t="str">
        <f>IFERROR(__xludf.DUMMYFUNCTION("if(A1382="""","""",substitute(SUBSTITUTE(index(importhtml(""http://finviz.com/quote.ashx?t=""&amp;A1382,""table"",10),7,2),""*"",""""),""-"",""0.00""))"),"Loading...")</f>
        <v>Loading...</v>
      </c>
      <c r="L1382" s="129">
        <v>2.1060033E7</v>
      </c>
      <c r="M1382" s="99">
        <v>1.46</v>
      </c>
    </row>
    <row r="1383">
      <c r="A1383" s="122" t="s">
        <v>3189</v>
      </c>
      <c r="B1383" s="123">
        <v>1419041.0</v>
      </c>
      <c r="C1383" s="124" t="s">
        <v>3190</v>
      </c>
      <c r="D1383" s="125"/>
      <c r="E1383" s="126">
        <v>0.59</v>
      </c>
      <c r="F1383" s="127"/>
      <c r="G1383" s="127"/>
      <c r="H1383" s="127"/>
      <c r="I1383" s="128"/>
      <c r="K1383" s="105" t="str">
        <f>IFERROR(__xludf.DUMMYFUNCTION("if(A1383="""","""",substitute(SUBSTITUTE(index(importhtml(""http://finviz.com/quote.ashx?t=""&amp;A1383,""table"",10),7,2),""*"",""""),""-"",""0.00""))"),"Loading...")</f>
        <v>Loading...</v>
      </c>
      <c r="L1383" s="129">
        <v>2.1466433E7</v>
      </c>
      <c r="M1383" s="99">
        <v>0.45</v>
      </c>
    </row>
    <row r="1384">
      <c r="A1384" s="122" t="s">
        <v>3191</v>
      </c>
      <c r="B1384" s="123">
        <v>1846084.0</v>
      </c>
      <c r="C1384" s="124" t="s">
        <v>3192</v>
      </c>
      <c r="D1384" s="125"/>
      <c r="E1384" s="126">
        <v>0.59</v>
      </c>
      <c r="F1384" s="127"/>
      <c r="G1384" s="127"/>
      <c r="H1384" s="127"/>
      <c r="I1384" s="128"/>
      <c r="K1384" s="105" t="str">
        <f>IFERROR(__xludf.DUMMYFUNCTION("if(A1384="""","""",substitute(SUBSTITUTE(index(importhtml(""http://finviz.com/quote.ashx?t=""&amp;A1384,""table"",10),7,2),""*"",""""),""-"",""0.00""))"),"Loading...")</f>
        <v>Loading...</v>
      </c>
      <c r="L1384" s="129">
        <v>3.4414084E7</v>
      </c>
      <c r="M1384" s="99">
        <v>1.41</v>
      </c>
    </row>
    <row r="1385">
      <c r="A1385" s="122" t="s">
        <v>3193</v>
      </c>
      <c r="B1385" s="123">
        <v>312070.0</v>
      </c>
      <c r="C1385" s="124" t="s">
        <v>3194</v>
      </c>
      <c r="D1385" s="125"/>
      <c r="E1385" s="126">
        <v>0.59</v>
      </c>
      <c r="F1385" s="127"/>
      <c r="G1385" s="127"/>
      <c r="H1385" s="127"/>
      <c r="I1385" s="128"/>
      <c r="K1385" s="105" t="str">
        <f>IFERROR(__xludf.DUMMYFUNCTION("if(A1385="""","""",substitute(SUBSTITUTE(index(importhtml(""http://finviz.com/quote.ashx?t=""&amp;A1385,""table"",10),7,2),""*"",""""),""-"",""0.00""))"),"Loading...")</f>
        <v>Loading...</v>
      </c>
      <c r="L1385" s="129">
        <v>4.0302803E7</v>
      </c>
      <c r="M1385" s="99">
        <v>1.7</v>
      </c>
    </row>
    <row r="1386">
      <c r="A1386" s="122" t="s">
        <v>3195</v>
      </c>
      <c r="B1386" s="123">
        <v>1621832.0</v>
      </c>
      <c r="C1386" s="124" t="s">
        <v>3196</v>
      </c>
      <c r="D1386" s="125"/>
      <c r="E1386" s="126">
        <v>0.59</v>
      </c>
      <c r="F1386" s="127"/>
      <c r="G1386" s="127"/>
      <c r="H1386" s="127"/>
      <c r="I1386" s="128"/>
      <c r="K1386" s="105" t="str">
        <f>IFERROR(__xludf.DUMMYFUNCTION("if(A1386="""","""",substitute(SUBSTITUTE(index(importhtml(""http://finviz.com/quote.ashx?t=""&amp;A1386,""table"",10),7,2),""*"",""""),""-"",""0.00""))"),"Loading...")</f>
        <v>Loading...</v>
      </c>
      <c r="L1386" s="129">
        <v>6.4037114E7</v>
      </c>
      <c r="M1386" s="99">
        <v>1.15</v>
      </c>
    </row>
    <row r="1387">
      <c r="A1387" s="122" t="s">
        <v>3197</v>
      </c>
      <c r="B1387" s="123">
        <v>1750593.0</v>
      </c>
      <c r="C1387" s="124" t="s">
        <v>3198</v>
      </c>
      <c r="D1387" s="125"/>
      <c r="E1387" s="126">
        <v>0.6</v>
      </c>
      <c r="F1387" s="127"/>
      <c r="G1387" s="127"/>
      <c r="H1387" s="127"/>
      <c r="I1387" s="128"/>
      <c r="K1387" s="55" t="s">
        <v>1034</v>
      </c>
      <c r="L1387" s="129">
        <v>2742826.0</v>
      </c>
      <c r="M1387" s="99">
        <v>1.14</v>
      </c>
    </row>
    <row r="1388">
      <c r="A1388" s="122" t="s">
        <v>3199</v>
      </c>
      <c r="B1388" s="123">
        <v>1699709.0</v>
      </c>
      <c r="C1388" s="124" t="s">
        <v>3200</v>
      </c>
      <c r="D1388" s="125"/>
      <c r="E1388" s="126">
        <v>0.6</v>
      </c>
      <c r="F1388" s="127"/>
      <c r="G1388" s="127"/>
      <c r="H1388" s="127"/>
      <c r="I1388" s="128"/>
      <c r="K1388" s="105" t="str">
        <f>IFERROR(__xludf.DUMMYFUNCTION("if(A1388="""","""",substitute(SUBSTITUTE(index(importhtml(""http://finviz.com/quote.ashx?t=""&amp;A1388,""table"",10),7,2),""*"",""""),""-"",""0.00""))"),"Loading...")</f>
        <v>Loading...</v>
      </c>
      <c r="L1388" s="129">
        <v>3522750.0</v>
      </c>
      <c r="M1388" s="99">
        <v>-9.61</v>
      </c>
    </row>
    <row r="1389">
      <c r="A1389" s="122" t="s">
        <v>3201</v>
      </c>
      <c r="B1389" s="123">
        <v>1205922.0</v>
      </c>
      <c r="C1389" s="124" t="s">
        <v>3202</v>
      </c>
      <c r="D1389" s="125"/>
      <c r="E1389" s="126">
        <v>0.6</v>
      </c>
      <c r="F1389" s="127"/>
      <c r="G1389" s="127"/>
      <c r="H1389" s="127"/>
      <c r="I1389" s="128"/>
      <c r="K1389" s="105" t="str">
        <f>IFERROR(__xludf.DUMMYFUNCTION("if(A1389="""","""",substitute(SUBSTITUTE(index(importhtml(""http://finviz.com/quote.ashx?t=""&amp;A1389,""table"",10),7,2),""*"",""""),""-"",""0.00""))"),"Loading...")</f>
        <v>Loading...</v>
      </c>
      <c r="L1389" s="129">
        <v>7484073.0</v>
      </c>
      <c r="M1389" s="99">
        <v>0.75</v>
      </c>
    </row>
    <row r="1390">
      <c r="A1390" s="122" t="s">
        <v>3203</v>
      </c>
      <c r="B1390" s="123">
        <v>29332.0</v>
      </c>
      <c r="C1390" s="124" t="s">
        <v>3204</v>
      </c>
      <c r="D1390" s="125"/>
      <c r="E1390" s="126">
        <v>0.6</v>
      </c>
      <c r="F1390" s="127"/>
      <c r="G1390" s="127"/>
      <c r="H1390" s="127"/>
      <c r="I1390" s="128"/>
      <c r="K1390" s="105" t="str">
        <f>IFERROR(__xludf.DUMMYFUNCTION("if(A1390="""","""",substitute(SUBSTITUTE(index(importhtml(""http://finviz.com/quote.ashx?t=""&amp;A1390,""table"",10),7,2),""*"",""""),""-"",""0.00""))"),"Loading...")</f>
        <v>Loading...</v>
      </c>
      <c r="L1390" s="129">
        <v>9326760.0</v>
      </c>
      <c r="M1390" s="99">
        <v>2.4</v>
      </c>
    </row>
    <row r="1391">
      <c r="A1391" s="122" t="s">
        <v>3205</v>
      </c>
      <c r="B1391" s="123">
        <v>1392449.0</v>
      </c>
      <c r="C1391" s="124" t="s">
        <v>3206</v>
      </c>
      <c r="D1391" s="125"/>
      <c r="E1391" s="126">
        <v>0.6</v>
      </c>
      <c r="F1391" s="127"/>
      <c r="G1391" s="127"/>
      <c r="H1391" s="127"/>
      <c r="I1391" s="128"/>
      <c r="K1391" s="105" t="str">
        <f>IFERROR(__xludf.DUMMYFUNCTION("if(A1391="""","""",substitute(SUBSTITUTE(index(importhtml(""http://finviz.com/quote.ashx?t=""&amp;A1391,""table"",10),7,2),""*"",""""),""-"",""0.00""))"),"Loading...")</f>
        <v>Loading...</v>
      </c>
      <c r="L1391" s="129">
        <v>1.200384E7</v>
      </c>
      <c r="M1391" s="99">
        <v>-0.79</v>
      </c>
    </row>
    <row r="1392">
      <c r="A1392" s="122" t="s">
        <v>3207</v>
      </c>
      <c r="B1392" s="123">
        <v>1210618.0</v>
      </c>
      <c r="C1392" s="124" t="s">
        <v>3208</v>
      </c>
      <c r="D1392" s="125"/>
      <c r="E1392" s="126">
        <v>0.6</v>
      </c>
      <c r="F1392" s="127"/>
      <c r="G1392" s="127"/>
      <c r="H1392" s="127"/>
      <c r="I1392" s="128"/>
      <c r="K1392" s="105" t="str">
        <f>IFERROR(__xludf.DUMMYFUNCTION("if(A1392="""","""",substitute(SUBSTITUTE(index(importhtml(""http://finviz.com/quote.ashx?t=""&amp;A1392,""table"",10),7,2),""*"",""""),""-"",""0.00""))"),"Loading...")</f>
        <v>Loading...</v>
      </c>
      <c r="L1392" s="129">
        <v>1.9023364E7</v>
      </c>
      <c r="M1392" s="99">
        <v>0.73</v>
      </c>
    </row>
    <row r="1393">
      <c r="A1393" s="122" t="s">
        <v>3209</v>
      </c>
      <c r="B1393" s="123">
        <v>888721.0</v>
      </c>
      <c r="C1393" s="124" t="s">
        <v>3210</v>
      </c>
      <c r="D1393" s="125"/>
      <c r="E1393" s="126">
        <v>0.6</v>
      </c>
      <c r="F1393" s="127"/>
      <c r="G1393" s="127"/>
      <c r="H1393" s="127"/>
      <c r="I1393" s="128"/>
      <c r="K1393" s="105" t="str">
        <f>IFERROR(__xludf.DUMMYFUNCTION("if(A1393="""","""",substitute(SUBSTITUTE(index(importhtml(""http://finviz.com/quote.ashx?t=""&amp;A1393,""table"",10),7,2),""*"",""""),""-"",""0.00""))"),"Loading...")</f>
        <v>Loading...</v>
      </c>
      <c r="L1393" s="129">
        <v>2.3104656E7</v>
      </c>
      <c r="M1393" s="99">
        <v>1.31</v>
      </c>
    </row>
    <row r="1394">
      <c r="A1394" s="122" t="s">
        <v>3211</v>
      </c>
      <c r="B1394" s="123">
        <v>1460329.0</v>
      </c>
      <c r="C1394" s="124" t="s">
        <v>3212</v>
      </c>
      <c r="D1394" s="125"/>
      <c r="E1394" s="126">
        <v>0.6</v>
      </c>
      <c r="F1394" s="127"/>
      <c r="G1394" s="127"/>
      <c r="H1394" s="127"/>
      <c r="I1394" s="128"/>
      <c r="K1394" s="105" t="str">
        <f>IFERROR(__xludf.DUMMYFUNCTION("if(A1394="""","""",substitute(SUBSTITUTE(index(importhtml(""http://finviz.com/quote.ashx?t=""&amp;A1394,""table"",10),7,2),""*"",""""),""-"",""0.00""))"),"Loading...")</f>
        <v>Loading...</v>
      </c>
      <c r="L1394" s="129">
        <v>4.8249951E7</v>
      </c>
      <c r="M1394" s="99">
        <v>2.55</v>
      </c>
    </row>
    <row r="1395">
      <c r="A1395" s="122" t="s">
        <v>3213</v>
      </c>
      <c r="B1395" s="123">
        <v>1752372.0</v>
      </c>
      <c r="C1395" s="124" t="s">
        <v>3214</v>
      </c>
      <c r="D1395" s="125"/>
      <c r="E1395" s="126">
        <v>0.6</v>
      </c>
      <c r="F1395" s="127"/>
      <c r="G1395" s="127"/>
      <c r="H1395" s="127"/>
      <c r="I1395" s="128"/>
      <c r="K1395" s="105" t="str">
        <f>IFERROR(__xludf.DUMMYFUNCTION("if(A1395="""","""",substitute(SUBSTITUTE(index(importhtml(""http://finviz.com/quote.ashx?t=""&amp;A1395,""table"",10),7,2),""*"",""""),""-"",""0.00""))"),"Loading...")</f>
        <v>Loading...</v>
      </c>
      <c r="L1395" s="129">
        <v>7.1974082E7</v>
      </c>
      <c r="M1395" s="99">
        <v>8.66</v>
      </c>
    </row>
    <row r="1396">
      <c r="A1396" s="122" t="s">
        <v>3215</v>
      </c>
      <c r="B1396" s="123">
        <v>700764.0</v>
      </c>
      <c r="C1396" s="124" t="s">
        <v>3216</v>
      </c>
      <c r="D1396" s="125"/>
      <c r="E1396" s="126">
        <v>0.6</v>
      </c>
      <c r="F1396" s="127"/>
      <c r="G1396" s="127"/>
      <c r="H1396" s="127"/>
      <c r="I1396" s="128"/>
      <c r="K1396" s="105" t="str">
        <f>IFERROR(__xludf.DUMMYFUNCTION("if(A1396="""","""",substitute(SUBSTITUTE(index(importhtml(""http://finviz.com/quote.ashx?t=""&amp;A1396,""table"",10),7,2),""*"",""""),""-"",""0.00""))"),"Loading...")</f>
        <v>Loading...</v>
      </c>
      <c r="L1396" s="129">
        <v>2.6994001E8</v>
      </c>
      <c r="M1396" s="99">
        <v>14.42</v>
      </c>
    </row>
    <row r="1397">
      <c r="A1397" s="122" t="s">
        <v>3217</v>
      </c>
      <c r="B1397" s="123">
        <v>1737193.0</v>
      </c>
      <c r="C1397" s="124" t="s">
        <v>3218</v>
      </c>
      <c r="D1397" s="125"/>
      <c r="E1397" s="126">
        <v>0.6</v>
      </c>
      <c r="F1397" s="127"/>
      <c r="G1397" s="127"/>
      <c r="H1397" s="127"/>
      <c r="I1397" s="128"/>
      <c r="K1397" s="105" t="str">
        <f>IFERROR(__xludf.DUMMYFUNCTION("if(A1397="""","""",substitute(SUBSTITUTE(index(importhtml(""http://finviz.com/quote.ashx?t=""&amp;A1397,""table"",10),7,2),""*"",""""),""-"",""0.00""))"),"Loading...")</f>
        <v>Loading...</v>
      </c>
      <c r="L1397" s="129">
        <v>3.00879911E8</v>
      </c>
      <c r="M1397" s="99">
        <v>7.05</v>
      </c>
    </row>
    <row r="1398">
      <c r="A1398" s="122" t="s">
        <v>3219</v>
      </c>
      <c r="B1398" s="123">
        <v>1034957.0</v>
      </c>
      <c r="C1398" s="124" t="s">
        <v>3220</v>
      </c>
      <c r="D1398" s="125"/>
      <c r="E1398" s="126">
        <v>0.6</v>
      </c>
      <c r="F1398" s="127"/>
      <c r="G1398" s="127"/>
      <c r="H1398" s="127"/>
      <c r="I1398" s="128"/>
      <c r="K1398" s="105" t="str">
        <f>IFERROR(__xludf.DUMMYFUNCTION("if(A1398="""","""",substitute(SUBSTITUTE(index(importhtml(""http://finviz.com/quote.ashx?t=""&amp;A1398,""table"",10),7,2),""*"",""""),""-"",""0.00""))"),"Loading...")</f>
        <v>Loading...</v>
      </c>
      <c r="L1398" s="129">
        <v>8.79809266E8</v>
      </c>
      <c r="M1398" s="99">
        <f>IFERROR(__xludf.DUMMYFUNCTION("GOOGLEFINANCE(A1398,""beta"")"),0.3)</f>
        <v>0.3</v>
      </c>
    </row>
    <row r="1399">
      <c r="A1399" s="122" t="s">
        <v>3221</v>
      </c>
      <c r="B1399" s="123">
        <v>855683.0</v>
      </c>
      <c r="C1399" s="124" t="s">
        <v>3222</v>
      </c>
      <c r="D1399" s="125"/>
      <c r="E1399" s="126">
        <v>0.6</v>
      </c>
      <c r="F1399" s="127"/>
      <c r="G1399" s="127"/>
      <c r="H1399" s="127"/>
      <c r="I1399" s="128"/>
      <c r="K1399" s="105" t="str">
        <f>IFERROR(__xludf.DUMMYFUNCTION("if(A1399="""","""",substitute(SUBSTITUTE(index(importhtml(""http://finviz.com/quote.ashx?t=""&amp;A1399,""table"",10),7,2),""*"",""""),""-"",""0.00""))"),"Loading...")</f>
        <v>Loading...</v>
      </c>
      <c r="L1399" s="129" t="e">
        <v>#N/A</v>
      </c>
      <c r="M1399" s="99">
        <f>IFERROR(__xludf.DUMMYFUNCTION("GOOGLEFINANCE(A1399,""beta"")"),0.92)</f>
        <v>0.92</v>
      </c>
    </row>
    <row r="1400">
      <c r="A1400" s="122" t="s">
        <v>3223</v>
      </c>
      <c r="B1400" s="123">
        <v>1331612.0</v>
      </c>
      <c r="C1400" s="124" t="s">
        <v>3224</v>
      </c>
      <c r="D1400" s="125"/>
      <c r="E1400" s="126">
        <v>0.61</v>
      </c>
      <c r="F1400" s="127"/>
      <c r="G1400" s="127"/>
      <c r="H1400" s="127"/>
      <c r="I1400" s="128"/>
      <c r="K1400" s="105" t="str">
        <f>IFERROR(__xludf.DUMMYFUNCTION("if(A1400="""","""",substitute(SUBSTITUTE(index(importhtml(""http://finviz.com/quote.ashx?t=""&amp;A1400,""table"",10),7,2),""*"",""""),""-"",""0.00""))"),"Loading...")</f>
        <v>Loading...</v>
      </c>
      <c r="L1400" s="129">
        <v>1.295357E7</v>
      </c>
      <c r="M1400" s="99">
        <v>-1.88</v>
      </c>
    </row>
    <row r="1401">
      <c r="A1401" s="122" t="s">
        <v>3225</v>
      </c>
      <c r="B1401" s="123">
        <v>1875931.0</v>
      </c>
      <c r="C1401" s="124" t="s">
        <v>3226</v>
      </c>
      <c r="D1401" s="125"/>
      <c r="E1401" s="126">
        <v>0.61</v>
      </c>
      <c r="F1401" s="127"/>
      <c r="G1401" s="127"/>
      <c r="H1401" s="127"/>
      <c r="I1401" s="128"/>
      <c r="K1401" s="105" t="str">
        <f>IFERROR(__xludf.DUMMYFUNCTION("if(A1401="""","""",substitute(SUBSTITUTE(index(importhtml(""http://finviz.com/quote.ashx?t=""&amp;A1401,""table"",10),7,2),""*"",""""),""-"",""0.00""))"),"Loading...")</f>
        <v>Loading...</v>
      </c>
      <c r="L1401" s="129">
        <v>2.5677877E7</v>
      </c>
      <c r="M1401" s="99">
        <v>4.27</v>
      </c>
    </row>
    <row r="1402">
      <c r="A1402" s="122" t="s">
        <v>3227</v>
      </c>
      <c r="B1402" s="123">
        <v>1734750.0</v>
      </c>
      <c r="C1402" s="124" t="s">
        <v>3228</v>
      </c>
      <c r="D1402" s="125"/>
      <c r="E1402" s="126">
        <v>0.61</v>
      </c>
      <c r="F1402" s="127"/>
      <c r="G1402" s="127"/>
      <c r="H1402" s="127"/>
      <c r="I1402" s="128"/>
      <c r="K1402" s="105" t="str">
        <f>IFERROR(__xludf.DUMMYFUNCTION("if(A1402="""","""",substitute(SUBSTITUTE(index(importhtml(""http://finviz.com/quote.ashx?t=""&amp;A1402,""table"",10),7,2),""*"",""""),""-"",""0.00""))"),"Loading...")</f>
        <v>Loading...</v>
      </c>
      <c r="L1402" s="129">
        <v>3.3734783E7</v>
      </c>
      <c r="M1402" s="99">
        <f>IFERROR(__xludf.DUMMYFUNCTION("GOOGLEFINANCE(A1402,""beta"")"),0.85)</f>
        <v>0.85</v>
      </c>
    </row>
    <row r="1403">
      <c r="A1403" s="122" t="s">
        <v>3229</v>
      </c>
      <c r="B1403" s="123">
        <v>1495651.0</v>
      </c>
      <c r="C1403" s="124" t="s">
        <v>3230</v>
      </c>
      <c r="D1403" s="125"/>
      <c r="E1403" s="126">
        <v>0.61</v>
      </c>
      <c r="F1403" s="127"/>
      <c r="G1403" s="127"/>
      <c r="H1403" s="127"/>
      <c r="I1403" s="128"/>
      <c r="K1403" s="105" t="str">
        <f>IFERROR(__xludf.DUMMYFUNCTION("if(A1403="""","""",substitute(SUBSTITUTE(index(importhtml(""http://finviz.com/quote.ashx?t=""&amp;A1403,""table"",10),7,2),""*"",""""),""-"",""0.00""))"),"Loading...")</f>
        <v>Loading...</v>
      </c>
      <c r="L1403" s="129">
        <v>4.6040473E7</v>
      </c>
      <c r="M1403" s="99">
        <v>0.46</v>
      </c>
    </row>
    <row r="1404">
      <c r="A1404" s="122" t="s">
        <v>3231</v>
      </c>
      <c r="B1404" s="123">
        <v>1584754.0</v>
      </c>
      <c r="C1404" s="124" t="s">
        <v>3232</v>
      </c>
      <c r="D1404" s="125"/>
      <c r="E1404" s="126">
        <v>0.61</v>
      </c>
      <c r="F1404" s="127"/>
      <c r="G1404" s="127"/>
      <c r="H1404" s="127"/>
      <c r="I1404" s="128"/>
      <c r="K1404" s="105" t="str">
        <f>IFERROR(__xludf.DUMMYFUNCTION("if(A1404="""","""",substitute(SUBSTITUTE(index(importhtml(""http://finviz.com/quote.ashx?t=""&amp;A1404,""table"",10),7,2),""*"",""""),""-"",""0.00""))"),"Loading...")</f>
        <v>Loading...</v>
      </c>
      <c r="L1404" s="129">
        <v>6.0479209E7</v>
      </c>
      <c r="M1404" s="99">
        <v>1.69</v>
      </c>
    </row>
    <row r="1405">
      <c r="A1405" s="122" t="s">
        <v>3233</v>
      </c>
      <c r="B1405" s="123">
        <v>1754820.0</v>
      </c>
      <c r="C1405" s="124" t="s">
        <v>3234</v>
      </c>
      <c r="D1405" s="125"/>
      <c r="E1405" s="126">
        <v>0.62</v>
      </c>
      <c r="F1405" s="127"/>
      <c r="G1405" s="127"/>
      <c r="H1405" s="127"/>
      <c r="I1405" s="128"/>
      <c r="K1405" s="55" t="s">
        <v>1034</v>
      </c>
      <c r="L1405" s="129">
        <v>2.00784714E8</v>
      </c>
      <c r="M1405" s="99">
        <v>0.64</v>
      </c>
    </row>
    <row r="1406">
      <c r="A1406" s="122" t="s">
        <v>3235</v>
      </c>
      <c r="B1406" s="123">
        <v>1533040.0</v>
      </c>
      <c r="C1406" s="124" t="s">
        <v>3236</v>
      </c>
      <c r="D1406" s="125"/>
      <c r="E1406" s="126">
        <v>0.62</v>
      </c>
      <c r="F1406" s="127"/>
      <c r="G1406" s="127"/>
      <c r="H1406" s="127"/>
      <c r="I1406" s="128"/>
      <c r="K1406" s="105" t="str">
        <f>IFERROR(__xludf.DUMMYFUNCTION("if(A1406="""","""",substitute(SUBSTITUTE(index(importhtml(""http://finviz.com/quote.ashx?t=""&amp;A1406,""table"",10),7,2),""*"",""""),""-"",""0.00""))"),"Loading...")</f>
        <v>Loading...</v>
      </c>
      <c r="L1406" s="129">
        <v>1507087.0</v>
      </c>
      <c r="M1406" s="99">
        <v>1.29</v>
      </c>
    </row>
    <row r="1407">
      <c r="A1407" s="122" t="s">
        <v>3237</v>
      </c>
      <c r="B1407" s="123">
        <v>1900035.0</v>
      </c>
      <c r="C1407" s="124" t="s">
        <v>3238</v>
      </c>
      <c r="D1407" s="125"/>
      <c r="E1407" s="126">
        <v>0.62</v>
      </c>
      <c r="F1407" s="127"/>
      <c r="G1407" s="127"/>
      <c r="H1407" s="127"/>
      <c r="I1407" s="128"/>
      <c r="K1407" s="105" t="str">
        <f>IFERROR(__xludf.DUMMYFUNCTION("if(A1407="""","""",substitute(SUBSTITUTE(index(importhtml(""http://finviz.com/quote.ashx?t=""&amp;A1407,""table"",10),7,2),""*"",""""),""-"",""0.00""))"),"Loading...")</f>
        <v>Loading...</v>
      </c>
      <c r="L1407" s="129">
        <v>4279602.0</v>
      </c>
      <c r="M1407" s="99">
        <v>2.52</v>
      </c>
    </row>
    <row r="1408">
      <c r="A1408" s="122" t="s">
        <v>3239</v>
      </c>
      <c r="B1408" s="123">
        <v>1429560.0</v>
      </c>
      <c r="C1408" s="124" t="s">
        <v>3240</v>
      </c>
      <c r="D1408" s="125"/>
      <c r="E1408" s="126">
        <v>0.62</v>
      </c>
      <c r="F1408" s="127"/>
      <c r="G1408" s="127"/>
      <c r="H1408" s="127"/>
      <c r="I1408" s="128"/>
      <c r="K1408" s="105" t="str">
        <f>IFERROR(__xludf.DUMMYFUNCTION("if(A1408="""","""",substitute(SUBSTITUTE(index(importhtml(""http://finviz.com/quote.ashx?t=""&amp;A1408,""table"",10),7,2),""*"",""""),""-"",""0.00""))"),"Loading...")</f>
        <v>Loading...</v>
      </c>
      <c r="L1408" s="129">
        <v>1.0753595E7</v>
      </c>
      <c r="M1408" s="99">
        <v>1.18</v>
      </c>
    </row>
    <row r="1409">
      <c r="A1409" s="122" t="s">
        <v>3241</v>
      </c>
      <c r="B1409" s="123">
        <v>1800315.0</v>
      </c>
      <c r="C1409" s="124" t="s">
        <v>3242</v>
      </c>
      <c r="D1409" s="125"/>
      <c r="E1409" s="126">
        <v>0.62</v>
      </c>
      <c r="F1409" s="127"/>
      <c r="G1409" s="127"/>
      <c r="H1409" s="127"/>
      <c r="I1409" s="128"/>
      <c r="K1409" s="105" t="str">
        <f>IFERROR(__xludf.DUMMYFUNCTION("if(A1409="""","""",substitute(SUBSTITUTE(index(importhtml(""http://finviz.com/quote.ashx?t=""&amp;A1409,""table"",10),7,2),""*"",""""),""-"",""0.00""))"),"Loading...")</f>
        <v>Loading...</v>
      </c>
      <c r="L1409" s="129">
        <v>1.674523E7</v>
      </c>
      <c r="M1409" s="99">
        <v>1.16</v>
      </c>
    </row>
    <row r="1410">
      <c r="A1410" s="122" t="s">
        <v>3243</v>
      </c>
      <c r="B1410" s="123">
        <v>1875496.0</v>
      </c>
      <c r="C1410" s="124" t="s">
        <v>3244</v>
      </c>
      <c r="D1410" s="125"/>
      <c r="E1410" s="126">
        <v>0.62</v>
      </c>
      <c r="F1410" s="127"/>
      <c r="G1410" s="127"/>
      <c r="H1410" s="127"/>
      <c r="I1410" s="128"/>
      <c r="K1410" s="105" t="str">
        <f>IFERROR(__xludf.DUMMYFUNCTION("if(A1410="""","""",substitute(SUBSTITUTE(index(importhtml(""http://finviz.com/quote.ashx?t=""&amp;A1410,""table"",10),7,2),""*"",""""),""-"",""0.00""))"),"Loading...")</f>
        <v>Loading...</v>
      </c>
      <c r="L1410" s="129">
        <v>1.9758463E7</v>
      </c>
      <c r="M1410" s="99" t="str">
        <f>IFERROR(__xludf.DUMMYFUNCTION("GOOGLEFINANCE(A1410,""beta"")"),"#N/A")</f>
        <v>#N/A</v>
      </c>
    </row>
    <row r="1411">
      <c r="A1411" s="122" t="s">
        <v>3245</v>
      </c>
      <c r="B1411" s="123">
        <v>1061027.0</v>
      </c>
      <c r="C1411" s="124" t="s">
        <v>3246</v>
      </c>
      <c r="D1411" s="125"/>
      <c r="E1411" s="126">
        <v>0.62</v>
      </c>
      <c r="F1411" s="127"/>
      <c r="G1411" s="127"/>
      <c r="H1411" s="127"/>
      <c r="I1411" s="128"/>
      <c r="K1411" s="105" t="str">
        <f>IFERROR(__xludf.DUMMYFUNCTION("if(A1411="""","""",substitute(SUBSTITUTE(index(importhtml(""http://finviz.com/quote.ashx?t=""&amp;A1411,""table"",10),7,2),""*"",""""),""-"",""0.00""))"),"Loading...")</f>
        <v>Loading...</v>
      </c>
      <c r="L1411" s="129">
        <v>2.4091889E7</v>
      </c>
      <c r="M1411" s="99">
        <v>0.86</v>
      </c>
    </row>
    <row r="1412">
      <c r="A1412" s="122" t="s">
        <v>3247</v>
      </c>
      <c r="B1412" s="123">
        <v>1770088.0</v>
      </c>
      <c r="C1412" s="124" t="s">
        <v>3248</v>
      </c>
      <c r="D1412" s="125"/>
      <c r="E1412" s="126">
        <v>0.62</v>
      </c>
      <c r="F1412" s="127"/>
      <c r="G1412" s="127"/>
      <c r="H1412" s="127"/>
      <c r="I1412" s="128"/>
      <c r="K1412" s="105" t="str">
        <f>IFERROR(__xludf.DUMMYFUNCTION("if(A1412="""","""",substitute(SUBSTITUTE(index(importhtml(""http://finviz.com/quote.ashx?t=""&amp;A1412,""table"",10),7,2),""*"",""""),""-"",""0.00""))"),"Loading...")</f>
        <v>Loading...</v>
      </c>
      <c r="L1412" s="129">
        <v>5.4010803E7</v>
      </c>
      <c r="M1412" s="99">
        <v>1.08</v>
      </c>
    </row>
    <row r="1413">
      <c r="A1413" s="122" t="s">
        <v>3249</v>
      </c>
      <c r="B1413" s="123">
        <v>1134115.0</v>
      </c>
      <c r="C1413" s="124" t="s">
        <v>3250</v>
      </c>
      <c r="D1413" s="125"/>
      <c r="E1413" s="126">
        <v>0.62</v>
      </c>
      <c r="F1413" s="127"/>
      <c r="G1413" s="127"/>
      <c r="H1413" s="127"/>
      <c r="I1413" s="128"/>
      <c r="K1413" s="105" t="str">
        <f>IFERROR(__xludf.DUMMYFUNCTION("if(A1413="""","""",substitute(SUBSTITUTE(index(importhtml(""http://finviz.com/quote.ashx?t=""&amp;A1413,""table"",10),7,2),""*"",""""),""-"",""0.00""))"),"Loading...")</f>
        <v>Loading...</v>
      </c>
      <c r="L1413" s="129">
        <v>1.2334125E8</v>
      </c>
      <c r="M1413" s="99">
        <v>1.13</v>
      </c>
    </row>
    <row r="1414">
      <c r="A1414" s="122" t="s">
        <v>3251</v>
      </c>
      <c r="B1414" s="123">
        <v>1819580.0</v>
      </c>
      <c r="C1414" s="124" t="s">
        <v>3252</v>
      </c>
      <c r="D1414" s="125"/>
      <c r="E1414" s="126">
        <v>0.62</v>
      </c>
      <c r="F1414" s="127"/>
      <c r="G1414" s="127"/>
      <c r="H1414" s="127"/>
      <c r="I1414" s="128"/>
      <c r="K1414" s="105" t="str">
        <f>IFERROR(__xludf.DUMMYFUNCTION("if(A1414="""","""",substitute(SUBSTITUTE(index(importhtml(""http://finviz.com/quote.ashx?t=""&amp;A1414,""table"",10),7,2),""*"",""""),""-"",""0.00""))"),"Loading...")</f>
        <v>Loading...</v>
      </c>
      <c r="L1414" s="129">
        <v>3.3325544E8</v>
      </c>
      <c r="M1414" s="99">
        <v>-2.15</v>
      </c>
    </row>
    <row r="1415">
      <c r="A1415" s="122" t="s">
        <v>3253</v>
      </c>
      <c r="B1415" s="123">
        <v>1852440.0</v>
      </c>
      <c r="C1415" s="124" t="s">
        <v>3254</v>
      </c>
      <c r="D1415" s="125"/>
      <c r="E1415" s="126">
        <v>0.63</v>
      </c>
      <c r="F1415" s="127"/>
      <c r="G1415" s="127"/>
      <c r="H1415" s="127"/>
      <c r="I1415" s="128"/>
      <c r="K1415" s="55" t="s">
        <v>1034</v>
      </c>
      <c r="L1415" s="129">
        <v>3.8149649E7</v>
      </c>
      <c r="M1415" s="99">
        <f>IFERROR(__xludf.DUMMYFUNCTION("GOOGLEFINANCE(A1415,""beta"")"),2.1)</f>
        <v>2.1</v>
      </c>
    </row>
    <row r="1416">
      <c r="A1416" s="122" t="s">
        <v>3255</v>
      </c>
      <c r="B1416" s="123">
        <v>1686850.0</v>
      </c>
      <c r="C1416" s="124" t="s">
        <v>3256</v>
      </c>
      <c r="D1416" s="125"/>
      <c r="E1416" s="126">
        <v>0.63</v>
      </c>
      <c r="F1416" s="127"/>
      <c r="G1416" s="127"/>
      <c r="H1416" s="127"/>
      <c r="I1416" s="128"/>
      <c r="K1416" s="105" t="str">
        <f>IFERROR(__xludf.DUMMYFUNCTION("if(A1416="""","""",substitute(SUBSTITUTE(index(importhtml(""http://finviz.com/quote.ashx?t=""&amp;A1416,""table"",10),7,2),""*"",""""),""-"",""0.00""))"),"Loading...")</f>
        <v>Loading...</v>
      </c>
      <c r="L1416" s="129">
        <v>974638.0</v>
      </c>
      <c r="M1416" s="99">
        <v>1.35</v>
      </c>
    </row>
    <row r="1417">
      <c r="A1417" s="122" t="s">
        <v>3257</v>
      </c>
      <c r="B1417" s="123">
        <v>1136174.0</v>
      </c>
      <c r="C1417" s="124" t="s">
        <v>3258</v>
      </c>
      <c r="D1417" s="125"/>
      <c r="E1417" s="126">
        <v>0.63</v>
      </c>
      <c r="F1417" s="127"/>
      <c r="G1417" s="127"/>
      <c r="H1417" s="127"/>
      <c r="I1417" s="128"/>
      <c r="K1417" s="105" t="str">
        <f>IFERROR(__xludf.DUMMYFUNCTION("if(A1417="""","""",substitute(SUBSTITUTE(index(importhtml(""http://finviz.com/quote.ashx?t=""&amp;A1417,""table"",10),7,2),""*"",""""),""-"",""0.00""))"),"Loading...")</f>
        <v>Loading...</v>
      </c>
      <c r="L1417" s="129">
        <v>6204689.0</v>
      </c>
      <c r="M1417" s="99">
        <v>3.69</v>
      </c>
    </row>
    <row r="1418">
      <c r="A1418" s="122" t="s">
        <v>3259</v>
      </c>
      <c r="B1418" s="123">
        <v>1551693.0</v>
      </c>
      <c r="C1418" s="124" t="s">
        <v>3260</v>
      </c>
      <c r="D1418" s="125"/>
      <c r="E1418" s="126">
        <v>0.63</v>
      </c>
      <c r="F1418" s="127"/>
      <c r="G1418" s="127"/>
      <c r="H1418" s="127"/>
      <c r="I1418" s="128"/>
      <c r="K1418" s="105" t="str">
        <f>IFERROR(__xludf.DUMMYFUNCTION("if(A1418="""","""",substitute(SUBSTITUTE(index(importhtml(""http://finviz.com/quote.ashx?t=""&amp;A1418,""table"",10),7,2),""*"",""""),""-"",""0.00""))"),"Loading...")</f>
        <v>Loading...</v>
      </c>
      <c r="L1418" s="129">
        <v>7535782.0</v>
      </c>
      <c r="M1418" s="99">
        <v>2.04</v>
      </c>
    </row>
    <row r="1419">
      <c r="A1419" s="122" t="s">
        <v>3261</v>
      </c>
      <c r="B1419" s="123">
        <v>1742341.0</v>
      </c>
      <c r="C1419" s="124" t="s">
        <v>3262</v>
      </c>
      <c r="D1419" s="125"/>
      <c r="E1419" s="126">
        <v>0.63</v>
      </c>
      <c r="F1419" s="127"/>
      <c r="G1419" s="127"/>
      <c r="H1419" s="127"/>
      <c r="I1419" s="128"/>
      <c r="K1419" s="105" t="str">
        <f>IFERROR(__xludf.DUMMYFUNCTION("if(A1419="""","""",substitute(SUBSTITUTE(index(importhtml(""http://finviz.com/quote.ashx?t=""&amp;A1419,""table"",10),7,2),""*"",""""),""-"",""0.00""))"),"Loading...")</f>
        <v>Loading...</v>
      </c>
      <c r="L1419" s="129">
        <v>9113235.0</v>
      </c>
      <c r="M1419" s="99" t="str">
        <f>IFERROR(__xludf.DUMMYFUNCTION("GOOGLEFINANCE(A1419,""beta"")"),"#N/A")</f>
        <v>#N/A</v>
      </c>
    </row>
    <row r="1420">
      <c r="A1420" s="122" t="s">
        <v>3263</v>
      </c>
      <c r="B1420" s="123">
        <v>1899658.0</v>
      </c>
      <c r="C1420" s="124" t="s">
        <v>3264</v>
      </c>
      <c r="D1420" s="125"/>
      <c r="E1420" s="126">
        <v>0.63</v>
      </c>
      <c r="F1420" s="127"/>
      <c r="G1420" s="127"/>
      <c r="H1420" s="127"/>
      <c r="I1420" s="128"/>
      <c r="K1420" s="105" t="str">
        <f>IFERROR(__xludf.DUMMYFUNCTION("if(A1420="""","""",substitute(SUBSTITUTE(index(importhtml(""http://finviz.com/quote.ashx?t=""&amp;A1420,""table"",10),7,2),""*"",""""),""-"",""0.00""))"),"Loading...")</f>
        <v>Loading...</v>
      </c>
      <c r="L1420" s="129">
        <v>9507668.0</v>
      </c>
      <c r="M1420" s="99" t="str">
        <f>IFERROR(__xludf.DUMMYFUNCTION("GOOGLEFINANCE(A1420,""beta"")"),"#N/A")</f>
        <v>#N/A</v>
      </c>
    </row>
    <row r="1421">
      <c r="A1421" s="122" t="s">
        <v>3265</v>
      </c>
      <c r="B1421" s="123">
        <v>1178697.0</v>
      </c>
      <c r="C1421" s="124" t="s">
        <v>3266</v>
      </c>
      <c r="D1421" s="125"/>
      <c r="E1421" s="126">
        <v>0.63</v>
      </c>
      <c r="F1421" s="127"/>
      <c r="G1421" s="127"/>
      <c r="H1421" s="127"/>
      <c r="I1421" s="128"/>
      <c r="K1421" s="105" t="str">
        <f>IFERROR(__xludf.DUMMYFUNCTION("if(A1421="""","""",substitute(SUBSTITUTE(index(importhtml(""http://finviz.com/quote.ashx?t=""&amp;A1421,""table"",10),7,2),""*"",""""),""-"",""0.00""))"),"Loading...")</f>
        <v>Loading...</v>
      </c>
      <c r="L1421" s="129">
        <v>2.6958067E7</v>
      </c>
      <c r="M1421" s="99">
        <v>2.43</v>
      </c>
    </row>
    <row r="1422">
      <c r="A1422" s="122" t="s">
        <v>3267</v>
      </c>
      <c r="B1422" s="123">
        <v>1570843.0</v>
      </c>
      <c r="C1422" s="124" t="s">
        <v>3268</v>
      </c>
      <c r="D1422" s="125"/>
      <c r="E1422" s="126">
        <v>0.63</v>
      </c>
      <c r="F1422" s="127"/>
      <c r="G1422" s="127"/>
      <c r="H1422" s="127"/>
      <c r="I1422" s="128"/>
      <c r="K1422" s="105" t="str">
        <f>IFERROR(__xludf.DUMMYFUNCTION("if(A1422="""","""",substitute(SUBSTITUTE(index(importhtml(""http://finviz.com/quote.ashx?t=""&amp;A1422,""table"",10),7,2),""*"",""""),""-"",""0.00""))"),"#N/A")</f>
        <v>#N/A</v>
      </c>
      <c r="L1422" s="129">
        <v>2.8975956E7</v>
      </c>
      <c r="M1422" s="99">
        <v>0.01</v>
      </c>
    </row>
    <row r="1423">
      <c r="A1423" s="122" t="s">
        <v>3269</v>
      </c>
      <c r="B1423" s="123">
        <v>1506251.0</v>
      </c>
      <c r="C1423" s="124" t="s">
        <v>3270</v>
      </c>
      <c r="D1423" s="125"/>
      <c r="E1423" s="126">
        <v>0.63</v>
      </c>
      <c r="F1423" s="127"/>
      <c r="G1423" s="127"/>
      <c r="H1423" s="127"/>
      <c r="I1423" s="128"/>
      <c r="K1423" s="105" t="str">
        <f>IFERROR(__xludf.DUMMYFUNCTION("if(A1423="""","""",substitute(SUBSTITUTE(index(importhtml(""http://finviz.com/quote.ashx?t=""&amp;A1423,""table"",10),7,2),""*"",""""),""-"",""0.00""))"),"Loading...")</f>
        <v>Loading...</v>
      </c>
      <c r="L1423" s="129">
        <v>9.8952212E7</v>
      </c>
      <c r="M1423" s="99">
        <v>1.43</v>
      </c>
    </row>
    <row r="1424">
      <c r="A1424" s="122" t="s">
        <v>3271</v>
      </c>
      <c r="B1424" s="123">
        <v>1829635.0</v>
      </c>
      <c r="C1424" s="124" t="s">
        <v>3272</v>
      </c>
      <c r="D1424" s="125"/>
      <c r="E1424" s="126">
        <v>0.64</v>
      </c>
      <c r="F1424" s="127"/>
      <c r="G1424" s="127"/>
      <c r="H1424" s="127"/>
      <c r="I1424" s="128"/>
      <c r="K1424" s="105" t="str">
        <f>IFERROR(__xludf.DUMMYFUNCTION("if(A1424="""","""",substitute(SUBSTITUTE(index(importhtml(""http://finviz.com/quote.ashx?t=""&amp;A1424,""table"",10),7,2),""*"",""""),""-"",""0.00""))"),"Loading...")</f>
        <v>Loading...</v>
      </c>
      <c r="L1424" s="129">
        <v>401231.0</v>
      </c>
      <c r="M1424" s="99">
        <f>IFERROR(__xludf.DUMMYFUNCTION("GOOGLEFINANCE(A1424,""beta"")"),1.51)</f>
        <v>1.51</v>
      </c>
    </row>
    <row r="1425">
      <c r="A1425" s="122" t="s">
        <v>3273</v>
      </c>
      <c r="B1425" s="123">
        <v>1778982.0</v>
      </c>
      <c r="C1425" s="124" t="s">
        <v>3274</v>
      </c>
      <c r="D1425" s="125"/>
      <c r="E1425" s="126">
        <v>0.64</v>
      </c>
      <c r="F1425" s="127"/>
      <c r="G1425" s="127"/>
      <c r="H1425" s="127"/>
      <c r="I1425" s="128"/>
      <c r="K1425" s="105" t="str">
        <f>IFERROR(__xludf.DUMMYFUNCTION("if(A1425="""","""",substitute(SUBSTITUTE(index(importhtml(""http://finviz.com/quote.ashx?t=""&amp;A1425,""table"",10),7,2),""*"",""""),""-"",""0.00""))"),"Loading...")</f>
        <v>Loading...</v>
      </c>
      <c r="L1425" s="129">
        <v>3.2670006E7</v>
      </c>
      <c r="M1425" s="99">
        <v>0.52</v>
      </c>
    </row>
    <row r="1426">
      <c r="A1426" s="122" t="s">
        <v>3275</v>
      </c>
      <c r="B1426" s="123">
        <v>1098972.0</v>
      </c>
      <c r="C1426" s="124" t="s">
        <v>3276</v>
      </c>
      <c r="D1426" s="125"/>
      <c r="E1426" s="126">
        <v>0.64</v>
      </c>
      <c r="F1426" s="127"/>
      <c r="G1426" s="127"/>
      <c r="H1426" s="127"/>
      <c r="I1426" s="128"/>
      <c r="K1426" s="105" t="str">
        <f>IFERROR(__xludf.DUMMYFUNCTION("if(A1426="""","""",substitute(SUBSTITUTE(index(importhtml(""http://finviz.com/quote.ashx?t=""&amp;A1426,""table"",10),7,2),""*"",""""),""-"",""0.00""))"),"Loading...")</f>
        <v>Loading...</v>
      </c>
      <c r="L1426" s="129">
        <v>2.41265711E8</v>
      </c>
      <c r="M1426" s="99">
        <v>1.28</v>
      </c>
    </row>
    <row r="1427">
      <c r="A1427" s="122" t="s">
        <v>3277</v>
      </c>
      <c r="B1427" s="123">
        <v>1759614.0</v>
      </c>
      <c r="C1427" s="124" t="s">
        <v>3278</v>
      </c>
      <c r="D1427" s="125"/>
      <c r="E1427" s="126">
        <v>0.65</v>
      </c>
      <c r="F1427" s="127"/>
      <c r="G1427" s="127"/>
      <c r="H1427" s="127"/>
      <c r="I1427" s="128"/>
      <c r="K1427" s="55" t="s">
        <v>1034</v>
      </c>
      <c r="L1427" s="129">
        <v>1.3066072E7</v>
      </c>
      <c r="M1427" s="99">
        <v>0.52</v>
      </c>
    </row>
    <row r="1428">
      <c r="A1428" s="122" t="s">
        <v>3279</v>
      </c>
      <c r="B1428" s="123">
        <v>1723580.0</v>
      </c>
      <c r="C1428" s="124" t="s">
        <v>3280</v>
      </c>
      <c r="D1428" s="125"/>
      <c r="E1428" s="126">
        <v>0.65</v>
      </c>
      <c r="F1428" s="127"/>
      <c r="G1428" s="127"/>
      <c r="H1428" s="127"/>
      <c r="I1428" s="128"/>
      <c r="K1428" s="55" t="s">
        <v>1034</v>
      </c>
      <c r="L1428" s="129">
        <v>1.7385256E7</v>
      </c>
      <c r="M1428" s="99">
        <v>0.52</v>
      </c>
    </row>
    <row r="1429">
      <c r="A1429" s="122" t="s">
        <v>3281</v>
      </c>
      <c r="B1429" s="123">
        <v>1300050.0</v>
      </c>
      <c r="C1429" s="124" t="s">
        <v>3282</v>
      </c>
      <c r="D1429" s="125"/>
      <c r="E1429" s="126">
        <v>0.65</v>
      </c>
      <c r="F1429" s="127"/>
      <c r="G1429" s="127"/>
      <c r="H1429" s="127"/>
      <c r="I1429" s="128"/>
      <c r="K1429" s="105" t="e">
        <v>#N/A</v>
      </c>
      <c r="L1429" s="129">
        <v>812214.0</v>
      </c>
      <c r="M1429" s="99" t="str">
        <f>IFERROR(__xludf.DUMMYFUNCTION("GOOGLEFINANCE(A1429,""beta"")"),"#N/A")</f>
        <v>#N/A</v>
      </c>
    </row>
    <row r="1430">
      <c r="A1430" s="122" t="s">
        <v>3283</v>
      </c>
      <c r="B1430" s="123">
        <v>1178727.0</v>
      </c>
      <c r="C1430" s="124" t="s">
        <v>3284</v>
      </c>
      <c r="D1430" s="125"/>
      <c r="E1430" s="126">
        <v>0.65</v>
      </c>
      <c r="F1430" s="127"/>
      <c r="G1430" s="127"/>
      <c r="H1430" s="127"/>
      <c r="I1430" s="128"/>
      <c r="K1430" s="105" t="str">
        <f>IFERROR(__xludf.DUMMYFUNCTION("if(A1430="""","""",substitute(SUBSTITUTE(index(importhtml(""http://finviz.com/quote.ashx?t=""&amp;A1430,""table"",10),7,2),""*"",""""),""-"",""0.00""))"),"Loading...")</f>
        <v>Loading...</v>
      </c>
      <c r="L1430" s="129">
        <v>1755196.0</v>
      </c>
      <c r="M1430" s="99">
        <v>1.73</v>
      </c>
    </row>
    <row r="1431">
      <c r="A1431" s="122" t="s">
        <v>3285</v>
      </c>
      <c r="B1431" s="123">
        <v>1458023.0</v>
      </c>
      <c r="C1431" s="124" t="s">
        <v>3286</v>
      </c>
      <c r="D1431" s="125"/>
      <c r="E1431" s="126">
        <v>0.65</v>
      </c>
      <c r="F1431" s="127"/>
      <c r="G1431" s="127"/>
      <c r="H1431" s="127"/>
      <c r="I1431" s="128"/>
      <c r="K1431" s="105" t="str">
        <f>IFERROR(__xludf.DUMMYFUNCTION("if(A1431="""","""",substitute(SUBSTITUTE(index(importhtml(""http://finviz.com/quote.ashx?t=""&amp;A1431,""table"",10),7,2),""*"",""""),""-"",""0.00""))"),"Loading...")</f>
        <v>Loading...</v>
      </c>
      <c r="L1431" s="129">
        <v>2287750.0</v>
      </c>
      <c r="M1431" s="99">
        <v>-1.24</v>
      </c>
    </row>
    <row r="1432">
      <c r="A1432" s="122" t="s">
        <v>3287</v>
      </c>
      <c r="B1432" s="123">
        <v>1905511.0</v>
      </c>
      <c r="C1432" s="124" t="s">
        <v>3288</v>
      </c>
      <c r="D1432" s="125"/>
      <c r="E1432" s="126">
        <v>0.65</v>
      </c>
      <c r="F1432" s="127"/>
      <c r="G1432" s="127"/>
      <c r="H1432" s="127"/>
      <c r="I1432" s="128"/>
      <c r="K1432" s="105" t="str">
        <f>IFERROR(__xludf.DUMMYFUNCTION("if(A1432="""","""",substitute(SUBSTITUTE(index(importhtml(""http://finviz.com/quote.ashx?t=""&amp;A1432,""table"",10),7,2),""*"",""""),""-"",""0.00""))"),"Loading...")</f>
        <v>Loading...</v>
      </c>
      <c r="L1432" s="129">
        <v>3254329.0</v>
      </c>
      <c r="M1432" s="99">
        <f>IFERROR(__xludf.DUMMYFUNCTION("GOOGLEFINANCE(A1432,""beta"")"),0.13)</f>
        <v>0.13</v>
      </c>
    </row>
    <row r="1433">
      <c r="A1433" s="122" t="s">
        <v>3289</v>
      </c>
      <c r="B1433" s="123">
        <v>1711012.0</v>
      </c>
      <c r="C1433" s="124" t="s">
        <v>3290</v>
      </c>
      <c r="D1433" s="125"/>
      <c r="E1433" s="126">
        <v>0.65</v>
      </c>
      <c r="F1433" s="127"/>
      <c r="G1433" s="127"/>
      <c r="H1433" s="127"/>
      <c r="I1433" s="128"/>
      <c r="K1433" s="105" t="str">
        <f>IFERROR(__xludf.DUMMYFUNCTION("if(A1433="""","""",substitute(SUBSTITUTE(index(importhtml(""http://finviz.com/quote.ashx?t=""&amp;A1433,""table"",10),7,2),""*"",""""),""-"",""0.00""))"),"Loading...")</f>
        <v>Loading...</v>
      </c>
      <c r="L1433" s="129">
        <v>6229588.0</v>
      </c>
      <c r="M1433" s="99">
        <v>0.64</v>
      </c>
    </row>
    <row r="1434">
      <c r="A1434" s="122" t="s">
        <v>3291</v>
      </c>
      <c r="B1434" s="123">
        <v>1414953.0</v>
      </c>
      <c r="C1434" s="124" t="s">
        <v>3292</v>
      </c>
      <c r="D1434" s="125"/>
      <c r="E1434" s="126">
        <v>0.65</v>
      </c>
      <c r="F1434" s="127"/>
      <c r="G1434" s="127"/>
      <c r="H1434" s="127"/>
      <c r="I1434" s="128"/>
      <c r="K1434" s="105" t="str">
        <f>IFERROR(__xludf.DUMMYFUNCTION("if(A1434="""","""",substitute(SUBSTITUTE(index(importhtml(""http://finviz.com/quote.ashx?t=""&amp;A1434,""table"",10),7,2),""*"",""""),""-"",""0.00""))"),"Loading...")</f>
        <v>Loading...</v>
      </c>
      <c r="L1434" s="129">
        <v>1.081671E7</v>
      </c>
      <c r="M1434" s="99">
        <v>0.16</v>
      </c>
    </row>
    <row r="1435">
      <c r="A1435" s="122" t="s">
        <v>3293</v>
      </c>
      <c r="B1435" s="123">
        <v>748268.0</v>
      </c>
      <c r="C1435" s="124" t="s">
        <v>3294</v>
      </c>
      <c r="D1435" s="125"/>
      <c r="E1435" s="126">
        <v>0.65</v>
      </c>
      <c r="F1435" s="127"/>
      <c r="G1435" s="127"/>
      <c r="H1435" s="127"/>
      <c r="I1435" s="128"/>
      <c r="K1435" s="105" t="str">
        <f>IFERROR(__xludf.DUMMYFUNCTION("if(A1435="""","""",substitute(SUBSTITUTE(index(importhtml(""http://finviz.com/quote.ashx?t=""&amp;A1435,""table"",10),7,2),""*"",""""),""-"",""0.00""))"),"Loading...")</f>
        <v>Loading...</v>
      </c>
      <c r="L1435" s="129">
        <v>4.7731242E7</v>
      </c>
      <c r="M1435" s="99">
        <v>0.24</v>
      </c>
    </row>
    <row r="1436">
      <c r="A1436" s="122" t="s">
        <v>3295</v>
      </c>
      <c r="B1436" s="123">
        <v>1896049.0</v>
      </c>
      <c r="C1436" s="124" t="s">
        <v>3296</v>
      </c>
      <c r="D1436" s="125"/>
      <c r="E1436" s="126">
        <v>0.65</v>
      </c>
      <c r="F1436" s="127"/>
      <c r="G1436" s="127"/>
      <c r="H1436" s="127"/>
      <c r="I1436" s="128"/>
      <c r="K1436" s="105" t="str">
        <f>IFERROR(__xludf.DUMMYFUNCTION("if(A1436="""","""",substitute(SUBSTITUTE(index(importhtml(""http://finviz.com/quote.ashx?t=""&amp;A1436,""table"",10),7,2),""*"",""""),""-"",""0.00""))"),"Loading...")</f>
        <v>Loading...</v>
      </c>
      <c r="L1436" s="129">
        <v>5.1546564E7</v>
      </c>
      <c r="M1436" s="99" t="str">
        <f>IFERROR(__xludf.DUMMYFUNCTION("GOOGLEFINANCE(A1436,""beta"")"),"#N/A")</f>
        <v>#N/A</v>
      </c>
    </row>
    <row r="1437">
      <c r="A1437" s="122" t="s">
        <v>3297</v>
      </c>
      <c r="B1437" s="123">
        <v>1514443.0</v>
      </c>
      <c r="C1437" s="124" t="s">
        <v>3298</v>
      </c>
      <c r="D1437" s="125"/>
      <c r="E1437" s="126">
        <v>0.65</v>
      </c>
      <c r="F1437" s="127"/>
      <c r="G1437" s="127"/>
      <c r="H1437" s="127"/>
      <c r="I1437" s="128"/>
      <c r="K1437" s="105" t="str">
        <f>IFERROR(__xludf.DUMMYFUNCTION("if(A1437="""","""",substitute(SUBSTITUTE(index(importhtml(""http://finviz.com/quote.ashx?t=""&amp;A1437,""table"",10),7,2),""*"",""""),""-"",""0.00""))"),"Loading...")</f>
        <v>Loading...</v>
      </c>
      <c r="L1437" s="129">
        <v>6.2608186E7</v>
      </c>
      <c r="M1437" s="99">
        <v>-2.46</v>
      </c>
    </row>
    <row r="1438">
      <c r="A1438" s="122" t="s">
        <v>3299</v>
      </c>
      <c r="B1438" s="123">
        <v>1597095.0</v>
      </c>
      <c r="C1438" s="124" t="s">
        <v>3300</v>
      </c>
      <c r="D1438" s="125"/>
      <c r="E1438" s="126">
        <v>0.65</v>
      </c>
      <c r="F1438" s="127"/>
      <c r="G1438" s="127"/>
      <c r="H1438" s="127"/>
      <c r="I1438" s="128"/>
      <c r="K1438" s="105" t="str">
        <f>IFERROR(__xludf.DUMMYFUNCTION("if(A1438="""","""",substitute(SUBSTITUTE(index(importhtml(""http://finviz.com/quote.ashx?t=""&amp;A1438,""table"",10),7,2),""*"",""""),""-"",""0.00""))"),"Loading...")</f>
        <v>Loading...</v>
      </c>
      <c r="L1438" s="129">
        <v>7.9994132E7</v>
      </c>
      <c r="M1438" s="99">
        <v>1.84</v>
      </c>
    </row>
    <row r="1439">
      <c r="A1439" s="122" t="s">
        <v>3301</v>
      </c>
      <c r="B1439" s="123">
        <v>1302084.0</v>
      </c>
      <c r="C1439" s="124" t="s">
        <v>3302</v>
      </c>
      <c r="D1439" s="125"/>
      <c r="E1439" s="126">
        <v>0.65</v>
      </c>
      <c r="F1439" s="127"/>
      <c r="G1439" s="127"/>
      <c r="H1439" s="127"/>
      <c r="I1439" s="128"/>
      <c r="K1439" s="105" t="str">
        <f>IFERROR(__xludf.DUMMYFUNCTION("if(A1439="""","""",substitute(SUBSTITUTE(index(importhtml(""http://finviz.com/quote.ashx?t=""&amp;A1439,""table"",10),7,2),""*"",""""),""-"",""0.00""))"),"Loading...")</f>
        <v>Loading...</v>
      </c>
      <c r="L1439" s="129">
        <v>1.13996613E8</v>
      </c>
      <c r="M1439" s="99">
        <v>1.14</v>
      </c>
    </row>
    <row r="1440">
      <c r="A1440" s="122" t="s">
        <v>3303</v>
      </c>
      <c r="B1440" s="123">
        <v>1816613.0</v>
      </c>
      <c r="C1440" s="124" t="s">
        <v>3304</v>
      </c>
      <c r="D1440" s="125"/>
      <c r="E1440" s="126">
        <v>0.65</v>
      </c>
      <c r="F1440" s="127"/>
      <c r="G1440" s="127"/>
      <c r="H1440" s="127"/>
      <c r="I1440" s="128"/>
      <c r="K1440" s="105" t="str">
        <f>IFERROR(__xludf.DUMMYFUNCTION("if(A1440="""","""",substitute(SUBSTITUTE(index(importhtml(""http://finviz.com/quote.ashx?t=""&amp;A1440,""table"",10),7,2),""*"",""""),""-"",""0.00""))"),"Loading...")</f>
        <v>Loading...</v>
      </c>
      <c r="L1440" s="129">
        <v>1.29243714E8</v>
      </c>
      <c r="M1440" s="99">
        <v>1.48</v>
      </c>
    </row>
    <row r="1441">
      <c r="A1441" s="122" t="s">
        <v>3305</v>
      </c>
      <c r="B1441" s="123">
        <v>1558583.0</v>
      </c>
      <c r="C1441" s="124" t="s">
        <v>3306</v>
      </c>
      <c r="D1441" s="125"/>
      <c r="E1441" s="126">
        <v>0.66</v>
      </c>
      <c r="F1441" s="127"/>
      <c r="G1441" s="127"/>
      <c r="H1441" s="127"/>
      <c r="I1441" s="128"/>
      <c r="K1441" s="55" t="s">
        <v>1034</v>
      </c>
      <c r="L1441" s="129">
        <v>5811890.0</v>
      </c>
      <c r="M1441" s="99">
        <v>2.86</v>
      </c>
    </row>
    <row r="1442">
      <c r="A1442" s="122" t="s">
        <v>3307</v>
      </c>
      <c r="B1442" s="123">
        <v>812796.0</v>
      </c>
      <c r="C1442" s="124" t="s">
        <v>3308</v>
      </c>
      <c r="D1442" s="125"/>
      <c r="E1442" s="126">
        <v>0.66</v>
      </c>
      <c r="F1442" s="127"/>
      <c r="G1442" s="127"/>
      <c r="H1442" s="127"/>
      <c r="I1442" s="128"/>
      <c r="K1442" s="105" t="str">
        <f>IFERROR(__xludf.DUMMYFUNCTION("if(A1442="""","""",substitute(SUBSTITUTE(index(importhtml(""http://finviz.com/quote.ashx?t=""&amp;A1442,""table"",10),7,2),""*"",""""),""-"",""0.00""))"),"Loading...")</f>
        <v>Loading...</v>
      </c>
      <c r="L1442" s="129">
        <v>6838231.0</v>
      </c>
      <c r="M1442" s="99">
        <v>1.83</v>
      </c>
    </row>
    <row r="1443">
      <c r="A1443" s="122" t="s">
        <v>3309</v>
      </c>
      <c r="B1443" s="123">
        <v>1840233.0</v>
      </c>
      <c r="C1443" s="124" t="s">
        <v>3310</v>
      </c>
      <c r="D1443" s="125"/>
      <c r="E1443" s="126">
        <v>0.66</v>
      </c>
      <c r="F1443" s="127"/>
      <c r="G1443" s="127"/>
      <c r="H1443" s="127"/>
      <c r="I1443" s="128"/>
      <c r="K1443" s="105" t="str">
        <f>IFERROR(__xludf.DUMMYFUNCTION("if(A1443="""","""",substitute(SUBSTITUTE(index(importhtml(""http://finviz.com/quote.ashx?t=""&amp;A1443,""table"",10),7,2),""*"",""""),""-"",""0.00""))"),"Loading...")</f>
        <v>Loading...</v>
      </c>
      <c r="L1443" s="129">
        <v>1.8150177E7</v>
      </c>
      <c r="M1443" s="99">
        <f>IFERROR(__xludf.DUMMYFUNCTION("GOOGLEFINANCE(A1443,""beta"")"),-0.05)</f>
        <v>-0.05</v>
      </c>
    </row>
    <row r="1444">
      <c r="A1444" s="122" t="s">
        <v>3311</v>
      </c>
      <c r="B1444" s="123">
        <v>808326.0</v>
      </c>
      <c r="C1444" s="124" t="s">
        <v>3312</v>
      </c>
      <c r="D1444" s="125"/>
      <c r="E1444" s="126">
        <v>0.66</v>
      </c>
      <c r="F1444" s="133"/>
      <c r="G1444" s="133"/>
      <c r="H1444" s="133"/>
      <c r="I1444" s="128"/>
      <c r="K1444" s="105" t="str">
        <f>IFERROR(__xludf.DUMMYFUNCTION("if(A1444="""","""",substitute(SUBSTITUTE(index(importhtml(""http://finviz.com/quote.ashx?t=""&amp;A1444,""table"",10),7,2),""*"",""""),""-"",""0.00""))"),"Loading...")</f>
        <v>Loading...</v>
      </c>
      <c r="L1444" s="129" t="e">
        <v>#N/A</v>
      </c>
      <c r="M1444" s="99" t="e">
        <v>#N/A</v>
      </c>
    </row>
    <row r="1445">
      <c r="A1445" s="122" t="s">
        <v>3313</v>
      </c>
      <c r="B1445" s="123">
        <v>923601.0</v>
      </c>
      <c r="C1445" s="124" t="s">
        <v>3314</v>
      </c>
      <c r="D1445" s="125"/>
      <c r="E1445" s="126">
        <v>0.67</v>
      </c>
      <c r="F1445" s="127"/>
      <c r="G1445" s="127"/>
      <c r="H1445" s="127"/>
      <c r="I1445" s="128"/>
      <c r="K1445" s="105" t="str">
        <f>IFERROR(__xludf.DUMMYFUNCTION("if(A1445="""","""",substitute(SUBSTITUTE(index(importhtml(""http://finviz.com/quote.ashx?t=""&amp;A1445,""table"",10),7,2),""*"",""""),""-"",""0.00""))"),"Loading...")</f>
        <v>Loading...</v>
      </c>
      <c r="L1445" s="129">
        <v>4300100.0</v>
      </c>
      <c r="M1445" s="99">
        <v>-0.04</v>
      </c>
    </row>
    <row r="1446">
      <c r="A1446" s="122" t="s">
        <v>3315</v>
      </c>
      <c r="B1446" s="123">
        <v>895665.0</v>
      </c>
      <c r="C1446" s="124" t="s">
        <v>3316</v>
      </c>
      <c r="D1446" s="125"/>
      <c r="E1446" s="126">
        <v>0.67</v>
      </c>
      <c r="F1446" s="127"/>
      <c r="G1446" s="127"/>
      <c r="H1446" s="127"/>
      <c r="I1446" s="128"/>
      <c r="K1446" s="105" t="str">
        <f>IFERROR(__xludf.DUMMYFUNCTION("if(A1446="""","""",substitute(SUBSTITUTE(index(importhtml(""http://finviz.com/quote.ashx?t=""&amp;A1446,""table"",10),7,2),""*"",""""),""-"",""0.00""))"),"Loading...")</f>
        <v>Loading...</v>
      </c>
      <c r="L1446" s="129">
        <v>1.7536446E7</v>
      </c>
      <c r="M1446" s="99">
        <v>1.54</v>
      </c>
    </row>
    <row r="1447">
      <c r="A1447" s="122" t="s">
        <v>3317</v>
      </c>
      <c r="B1447" s="123">
        <v>1348362.0</v>
      </c>
      <c r="C1447" s="124" t="s">
        <v>3318</v>
      </c>
      <c r="D1447" s="125"/>
      <c r="E1447" s="126">
        <v>0.67</v>
      </c>
      <c r="F1447" s="127"/>
      <c r="G1447" s="127"/>
      <c r="H1447" s="127"/>
      <c r="I1447" s="128"/>
      <c r="K1447" s="105" t="str">
        <f>IFERROR(__xludf.DUMMYFUNCTION("if(A1447="""","""",substitute(SUBSTITUTE(index(importhtml(""http://finviz.com/quote.ashx?t=""&amp;A1447,""table"",10),7,2),""*"",""""),""-"",""0.00""))"),"Loading...")</f>
        <v>Loading...</v>
      </c>
      <c r="L1447" s="129">
        <v>1.8157648E7</v>
      </c>
      <c r="M1447" s="99">
        <v>2.39</v>
      </c>
    </row>
    <row r="1448">
      <c r="A1448" s="122" t="s">
        <v>3319</v>
      </c>
      <c r="B1448" s="123">
        <v>1734005.0</v>
      </c>
      <c r="C1448" s="124" t="s">
        <v>3320</v>
      </c>
      <c r="D1448" s="125"/>
      <c r="E1448" s="126">
        <v>0.68</v>
      </c>
      <c r="F1448" s="127"/>
      <c r="G1448" s="127"/>
      <c r="H1448" s="127"/>
      <c r="I1448" s="128"/>
      <c r="K1448" s="55" t="s">
        <v>1034</v>
      </c>
      <c r="L1448" s="129">
        <v>1.04496825E8</v>
      </c>
      <c r="M1448" s="99">
        <v>2.32</v>
      </c>
    </row>
    <row r="1449">
      <c r="A1449" s="122" t="s">
        <v>3321</v>
      </c>
      <c r="B1449" s="123">
        <v>1173281.0</v>
      </c>
      <c r="C1449" s="124" t="s">
        <v>3322</v>
      </c>
      <c r="D1449" s="125"/>
      <c r="E1449" s="126">
        <v>0.68</v>
      </c>
      <c r="F1449" s="127"/>
      <c r="G1449" s="127"/>
      <c r="H1449" s="127"/>
      <c r="I1449" s="128"/>
      <c r="K1449" s="105" t="str">
        <f>IFERROR(__xludf.DUMMYFUNCTION("if(A1449="""","""",substitute(SUBSTITUTE(index(importhtml(""http://finviz.com/quote.ashx?t=""&amp;A1449,""table"",10),7,2),""*"",""""),""-"",""0.00""))"),"Loading...")</f>
        <v>Loading...</v>
      </c>
      <c r="L1449" s="129">
        <v>2547047.0</v>
      </c>
      <c r="M1449" s="99">
        <v>0.81</v>
      </c>
    </row>
    <row r="1450">
      <c r="A1450" s="122" t="s">
        <v>3323</v>
      </c>
      <c r="B1450" s="123">
        <v>1138476.0</v>
      </c>
      <c r="C1450" s="124" t="s">
        <v>3324</v>
      </c>
      <c r="D1450" s="125"/>
      <c r="E1450" s="126">
        <v>0.68</v>
      </c>
      <c r="F1450" s="127"/>
      <c r="G1450" s="127"/>
      <c r="H1450" s="127"/>
      <c r="I1450" s="128"/>
      <c r="K1450" s="105" t="str">
        <f>IFERROR(__xludf.DUMMYFUNCTION("if(A1450="""","""",substitute(SUBSTITUTE(index(importhtml(""http://finviz.com/quote.ashx?t=""&amp;A1450,""table"",10),7,2),""*"",""""),""-"",""0.00""))"),"Loading...")</f>
        <v>Loading...</v>
      </c>
      <c r="L1450" s="129">
        <v>8639998.0</v>
      </c>
      <c r="M1450" s="99">
        <v>0.3</v>
      </c>
    </row>
    <row r="1451">
      <c r="A1451" s="122" t="s">
        <v>3325</v>
      </c>
      <c r="B1451" s="123">
        <v>1643988.0</v>
      </c>
      <c r="C1451" s="124" t="s">
        <v>3326</v>
      </c>
      <c r="D1451" s="125"/>
      <c r="E1451" s="126">
        <v>0.68</v>
      </c>
      <c r="F1451" s="127"/>
      <c r="G1451" s="127"/>
      <c r="H1451" s="127"/>
      <c r="I1451" s="128"/>
      <c r="K1451" s="105" t="str">
        <f>IFERROR(__xludf.DUMMYFUNCTION("if(A1451="""","""",substitute(SUBSTITUTE(index(importhtml(""http://finviz.com/quote.ashx?t=""&amp;A1451,""table"",10),7,2),""*"",""""),""-"",""0.00""))"),"Loading...")</f>
        <v>Loading...</v>
      </c>
      <c r="L1451" s="129">
        <v>4.7786355E7</v>
      </c>
      <c r="M1451" s="99">
        <v>5.91</v>
      </c>
    </row>
    <row r="1452">
      <c r="A1452" s="122" t="s">
        <v>3327</v>
      </c>
      <c r="B1452" s="123">
        <v>1816172.0</v>
      </c>
      <c r="C1452" s="124" t="s">
        <v>3328</v>
      </c>
      <c r="D1452" s="125"/>
      <c r="E1452" s="126">
        <v>0.68</v>
      </c>
      <c r="F1452" s="127"/>
      <c r="G1452" s="127"/>
      <c r="H1452" s="127"/>
      <c r="I1452" s="128"/>
      <c r="K1452" s="105" t="str">
        <f>IFERROR(__xludf.DUMMYFUNCTION("if(A1452="""","""",substitute(SUBSTITUTE(index(importhtml(""http://finviz.com/quote.ashx?t=""&amp;A1452,""table"",10),7,2),""*"",""""),""-"",""0.00""))"),"Loading...")</f>
        <v>Loading...</v>
      </c>
      <c r="L1452" s="129">
        <v>8.0037292E7</v>
      </c>
      <c r="M1452" s="99">
        <f>IFERROR(__xludf.DUMMYFUNCTION("GOOGLEFINANCE(A1452,""beta"")"),1.49)</f>
        <v>1.49</v>
      </c>
    </row>
    <row r="1453">
      <c r="A1453" s="122" t="s">
        <v>3329</v>
      </c>
      <c r="B1453" s="123">
        <v>1840199.0</v>
      </c>
      <c r="C1453" s="124" t="s">
        <v>3330</v>
      </c>
      <c r="D1453" s="125"/>
      <c r="E1453" s="126">
        <v>0.68</v>
      </c>
      <c r="F1453" s="127"/>
      <c r="G1453" s="127"/>
      <c r="H1453" s="127"/>
      <c r="I1453" s="128"/>
      <c r="K1453" s="105" t="str">
        <f>IFERROR(__xludf.DUMMYFUNCTION("if(A1453="""","""",substitute(SUBSTITUTE(index(importhtml(""http://finviz.com/quote.ashx?t=""&amp;A1453,""table"",10),7,2),""*"",""""),""-"",""0.00""))"),"Loading...")</f>
        <v>Loading...</v>
      </c>
      <c r="L1453" s="129">
        <v>8.32561068E8</v>
      </c>
      <c r="M1453" s="99">
        <f>IFERROR(__xludf.DUMMYFUNCTION("GOOGLEFINANCE(A1453,""beta"")"),-0.06)</f>
        <v>-0.06</v>
      </c>
    </row>
    <row r="1454">
      <c r="A1454" s="122" t="s">
        <v>3331</v>
      </c>
      <c r="B1454" s="123">
        <v>1804591.0</v>
      </c>
      <c r="C1454" s="124" t="s">
        <v>3332</v>
      </c>
      <c r="D1454" s="125"/>
      <c r="E1454" s="126">
        <v>0.69</v>
      </c>
      <c r="F1454" s="127"/>
      <c r="G1454" s="127"/>
      <c r="H1454" s="127"/>
      <c r="I1454" s="128"/>
      <c r="K1454" s="55" t="s">
        <v>1034</v>
      </c>
      <c r="L1454" s="129">
        <v>3.31262152E8</v>
      </c>
      <c r="M1454" s="99">
        <v>1.39</v>
      </c>
    </row>
    <row r="1455">
      <c r="A1455" s="122" t="s">
        <v>3333</v>
      </c>
      <c r="B1455" s="123">
        <v>1443611.0</v>
      </c>
      <c r="C1455" s="124" t="s">
        <v>3334</v>
      </c>
      <c r="D1455" s="125"/>
      <c r="E1455" s="126">
        <v>0.69</v>
      </c>
      <c r="F1455" s="127"/>
      <c r="G1455" s="127"/>
      <c r="H1455" s="127"/>
      <c r="I1455" s="128"/>
      <c r="K1455" s="105" t="str">
        <f>IFERROR(__xludf.DUMMYFUNCTION("if(A1455="""","""",substitute(SUBSTITUTE(index(importhtml(""http://finviz.com/quote.ashx?t=""&amp;A1455,""table"",10),7,2),""*"",""""),""-"",""0.00""))"),"Loading...")</f>
        <v>Loading...</v>
      </c>
      <c r="L1455" s="129">
        <v>180820.0</v>
      </c>
      <c r="M1455" s="99" t="str">
        <f>IFERROR(__xludf.DUMMYFUNCTION("GOOGLEFINANCE(A1455,""beta"")"),"#N/A")</f>
        <v>#N/A</v>
      </c>
    </row>
    <row r="1456">
      <c r="A1456" s="122" t="s">
        <v>3335</v>
      </c>
      <c r="B1456" s="123">
        <v>1410172.0</v>
      </c>
      <c r="C1456" s="124" t="s">
        <v>3336</v>
      </c>
      <c r="D1456" s="125"/>
      <c r="E1456" s="126">
        <v>0.69</v>
      </c>
      <c r="F1456" s="127"/>
      <c r="G1456" s="127"/>
      <c r="H1456" s="127"/>
      <c r="I1456" s="128"/>
      <c r="K1456" s="105" t="str">
        <f>IFERROR(__xludf.DUMMYFUNCTION("if(A1456="""","""",substitute(SUBSTITUTE(index(importhtml(""http://finviz.com/quote.ashx?t=""&amp;A1456,""table"",10),7,2),""*"",""""),""-"",""0.00""))"),"Loading...")</f>
        <v>Loading...</v>
      </c>
      <c r="L1456" s="129">
        <v>1642118.0</v>
      </c>
      <c r="M1456" s="99">
        <v>0.44</v>
      </c>
    </row>
    <row r="1457">
      <c r="A1457" s="122" t="s">
        <v>3337</v>
      </c>
      <c r="B1457" s="123">
        <v>1916241.0</v>
      </c>
      <c r="C1457" s="124" t="s">
        <v>3338</v>
      </c>
      <c r="D1457" s="125"/>
      <c r="E1457" s="126">
        <v>0.69</v>
      </c>
      <c r="F1457" s="127"/>
      <c r="G1457" s="127"/>
      <c r="H1457" s="127"/>
      <c r="I1457" s="128"/>
      <c r="K1457" s="105" t="str">
        <f>IFERROR(__xludf.DUMMYFUNCTION("if(A1457="""","""",substitute(SUBSTITUTE(index(importhtml(""http://finviz.com/quote.ashx?t=""&amp;A1457,""table"",10),7,2),""*"",""""),""-"",""0.00""))"),"Loading...")</f>
        <v>Loading...</v>
      </c>
      <c r="L1457" s="129">
        <v>4228570.0</v>
      </c>
      <c r="M1457" s="99" t="str">
        <f>IFERROR(__xludf.DUMMYFUNCTION("GOOGLEFINANCE(A1457,""beta"")"),"#N/A")</f>
        <v>#N/A</v>
      </c>
    </row>
    <row r="1458">
      <c r="A1458" s="122" t="s">
        <v>3339</v>
      </c>
      <c r="B1458" s="123">
        <v>764195.0</v>
      </c>
      <c r="C1458" s="124" t="s">
        <v>3340</v>
      </c>
      <c r="D1458" s="125"/>
      <c r="E1458" s="126">
        <v>0.69</v>
      </c>
      <c r="F1458" s="127"/>
      <c r="G1458" s="127"/>
      <c r="H1458" s="127"/>
      <c r="I1458" s="128"/>
      <c r="K1458" s="105" t="str">
        <f>IFERROR(__xludf.DUMMYFUNCTION("if(A1458="""","""",substitute(SUBSTITUTE(index(importhtml(""http://finviz.com/quote.ashx?t=""&amp;A1458,""table"",10),7,2),""*"",""""),""-"",""0.00""))"),"Loading...")</f>
        <v>Loading...</v>
      </c>
      <c r="L1458" s="129">
        <v>1.6412765E7</v>
      </c>
      <c r="M1458" s="99">
        <v>1.99</v>
      </c>
    </row>
    <row r="1459">
      <c r="A1459" s="122" t="s">
        <v>3341</v>
      </c>
      <c r="B1459" s="123">
        <v>1141197.0</v>
      </c>
      <c r="C1459" s="124" t="s">
        <v>3342</v>
      </c>
      <c r="D1459" s="125"/>
      <c r="E1459" s="126">
        <v>0.69</v>
      </c>
      <c r="F1459" s="127"/>
      <c r="G1459" s="127"/>
      <c r="H1459" s="127"/>
      <c r="I1459" s="128"/>
      <c r="K1459" s="105" t="str">
        <f>IFERROR(__xludf.DUMMYFUNCTION("if(A1459="""","""",substitute(SUBSTITUTE(index(importhtml(""http://finviz.com/quote.ashx?t=""&amp;A1459,""table"",10),7,2),""*"",""""),""-"",""0.00""))"),"Loading...")</f>
        <v>Loading...</v>
      </c>
      <c r="L1459" s="129">
        <v>5.9940927E7</v>
      </c>
      <c r="M1459" s="99">
        <v>0.54</v>
      </c>
    </row>
    <row r="1460">
      <c r="A1460" s="122" t="s">
        <v>3343</v>
      </c>
      <c r="B1460" s="123">
        <v>1754068.0</v>
      </c>
      <c r="C1460" s="124" t="s">
        <v>3344</v>
      </c>
      <c r="D1460" s="125"/>
      <c r="E1460" s="126">
        <v>0.69</v>
      </c>
      <c r="F1460" s="127"/>
      <c r="G1460" s="127"/>
      <c r="H1460" s="127"/>
      <c r="I1460" s="128"/>
      <c r="K1460" s="105" t="str">
        <f>IFERROR(__xludf.DUMMYFUNCTION("if(A1460="""","""",substitute(SUBSTITUTE(index(importhtml(""http://finviz.com/quote.ashx?t=""&amp;A1460,""table"",10),7,2),""*"",""""),""-"",""0.00""))"),"Loading...")</f>
        <v>Loading...</v>
      </c>
      <c r="L1460" s="129">
        <v>7.9216965E7</v>
      </c>
      <c r="M1460" s="99">
        <v>0.84</v>
      </c>
    </row>
    <row r="1461">
      <c r="A1461" s="122" t="s">
        <v>3345</v>
      </c>
      <c r="B1461" s="123">
        <v>1851657.0</v>
      </c>
      <c r="C1461" s="124" t="s">
        <v>3346</v>
      </c>
      <c r="D1461" s="125"/>
      <c r="E1461" s="126">
        <v>0.69</v>
      </c>
      <c r="F1461" s="127"/>
      <c r="G1461" s="127"/>
      <c r="H1461" s="127"/>
      <c r="I1461" s="128"/>
      <c r="K1461" s="105" t="str">
        <f>IFERROR(__xludf.DUMMYFUNCTION("if(A1461="""","""",substitute(SUBSTITUTE(index(importhtml(""http://finviz.com/quote.ashx?t=""&amp;A1461,""table"",10),7,2),""*"",""""),""-"",""0.00""))"),"Loading...")</f>
        <v>Loading...</v>
      </c>
      <c r="L1461" s="129">
        <v>8.745467E7</v>
      </c>
      <c r="M1461" s="99" t="str">
        <f>IFERROR(__xludf.DUMMYFUNCTION("GOOGLEFINANCE(A1461,""beta"")"),"#N/A")</f>
        <v>#N/A</v>
      </c>
    </row>
    <row r="1462">
      <c r="A1462" s="122" t="s">
        <v>3347</v>
      </c>
      <c r="B1462" s="123">
        <v>1474627.0</v>
      </c>
      <c r="C1462" s="124" t="s">
        <v>3348</v>
      </c>
      <c r="D1462" s="125"/>
      <c r="E1462" s="126">
        <v>0.69</v>
      </c>
      <c r="F1462" s="127"/>
      <c r="G1462" s="127"/>
      <c r="H1462" s="127"/>
      <c r="I1462" s="128"/>
      <c r="K1462" s="105" t="str">
        <f>IFERROR(__xludf.DUMMYFUNCTION("if(A1462="""","""",substitute(SUBSTITUTE(index(importhtml(""http://finviz.com/quote.ashx?t=""&amp;A1462,""table"",10),7,2),""*"",""""),""-"",""0.00""))"),"Loading...")</f>
        <v>Loading...</v>
      </c>
      <c r="L1462" s="129">
        <v>2.60841171E8</v>
      </c>
      <c r="M1462" s="99">
        <v>1.19</v>
      </c>
    </row>
    <row r="1463">
      <c r="A1463" s="122" t="s">
        <v>3349</v>
      </c>
      <c r="B1463" s="123">
        <v>1403708.0</v>
      </c>
      <c r="C1463" s="124" t="s">
        <v>3350</v>
      </c>
      <c r="D1463" s="125"/>
      <c r="E1463" s="126">
        <v>0.7</v>
      </c>
      <c r="F1463" s="127"/>
      <c r="G1463" s="127"/>
      <c r="H1463" s="127"/>
      <c r="I1463" s="128"/>
      <c r="K1463" s="105" t="str">
        <f>IFERROR(__xludf.DUMMYFUNCTION("if(A1463="""","""",substitute(SUBSTITUTE(index(importhtml(""http://finviz.com/quote.ashx?t=""&amp;A1463,""table"",10),7,2),""*"",""""),""-"",""0.00""))"),"Loading...")</f>
        <v>Loading...</v>
      </c>
      <c r="L1463" s="129">
        <v>2345315.0</v>
      </c>
      <c r="M1463" s="99">
        <v>0.23</v>
      </c>
    </row>
    <row r="1464">
      <c r="A1464" s="122" t="s">
        <v>3351</v>
      </c>
      <c r="B1464" s="123">
        <v>811240.0</v>
      </c>
      <c r="C1464" s="124" t="s">
        <v>3352</v>
      </c>
      <c r="D1464" s="125"/>
      <c r="E1464" s="126">
        <v>0.7</v>
      </c>
      <c r="F1464" s="127"/>
      <c r="G1464" s="127"/>
      <c r="H1464" s="127"/>
      <c r="I1464" s="128"/>
      <c r="K1464" s="105" t="str">
        <f>IFERROR(__xludf.DUMMYFUNCTION("if(A1464="""","""",substitute(SUBSTITUTE(index(importhtml(""http://finviz.com/quote.ashx?t=""&amp;A1464,""table"",10),7,2),""*"",""""),""-"",""0.00""))"),"#N/A")</f>
        <v>#N/A</v>
      </c>
      <c r="L1464" s="129">
        <v>2394043.0</v>
      </c>
      <c r="M1464" s="99">
        <v>0.86</v>
      </c>
    </row>
    <row r="1465">
      <c r="A1465" s="122" t="s">
        <v>3353</v>
      </c>
      <c r="B1465" s="123">
        <v>1342936.0</v>
      </c>
      <c r="C1465" s="124" t="s">
        <v>3354</v>
      </c>
      <c r="D1465" s="125"/>
      <c r="E1465" s="126">
        <v>0.7</v>
      </c>
      <c r="F1465" s="127"/>
      <c r="G1465" s="127"/>
      <c r="H1465" s="127"/>
      <c r="I1465" s="128"/>
      <c r="K1465" s="105" t="str">
        <f>IFERROR(__xludf.DUMMYFUNCTION("if(A1465="""","""",substitute(SUBSTITUTE(index(importhtml(""http://finviz.com/quote.ashx?t=""&amp;A1465,""table"",10),7,2),""*"",""""),""-"",""0.00""))"),"Loading...")</f>
        <v>Loading...</v>
      </c>
      <c r="L1465" s="129">
        <v>3811770.0</v>
      </c>
      <c r="M1465" s="99">
        <v>-0.23</v>
      </c>
    </row>
    <row r="1466">
      <c r="A1466" s="122" t="s">
        <v>3355</v>
      </c>
      <c r="B1466" s="123">
        <v>38264.0</v>
      </c>
      <c r="C1466" s="124" t="s">
        <v>3356</v>
      </c>
      <c r="D1466" s="125"/>
      <c r="E1466" s="126">
        <v>0.7</v>
      </c>
      <c r="F1466" s="127"/>
      <c r="G1466" s="127"/>
      <c r="H1466" s="127"/>
      <c r="I1466" s="128"/>
      <c r="K1466" s="105" t="str">
        <f>IFERROR(__xludf.DUMMYFUNCTION("if(A1466="""","""",substitute(SUBSTITUTE(index(importhtml(""http://finviz.com/quote.ashx?t=""&amp;A1466,""table"",10),7,2),""*"",""""),""-"",""0.00""))"),"Loading...")</f>
        <v>Loading...</v>
      </c>
      <c r="L1466" s="129">
        <v>6943284.0</v>
      </c>
      <c r="M1466" s="99">
        <v>0.46</v>
      </c>
    </row>
    <row r="1467">
      <c r="A1467" s="122" t="s">
        <v>3357</v>
      </c>
      <c r="B1467" s="123">
        <v>1275477.0</v>
      </c>
      <c r="C1467" s="124" t="s">
        <v>3358</v>
      </c>
      <c r="D1467" s="125"/>
      <c r="E1467" s="126">
        <v>0.7</v>
      </c>
      <c r="F1467" s="127"/>
      <c r="G1467" s="127"/>
      <c r="H1467" s="127"/>
      <c r="I1467" s="128"/>
      <c r="K1467" s="105" t="str">
        <f>IFERROR(__xludf.DUMMYFUNCTION("if(A1467="""","""",substitute(SUBSTITUTE(index(importhtml(""http://finviz.com/quote.ashx?t=""&amp;A1467,""table"",10),7,2),""*"",""""),""-"",""0.00""))"),"Loading...")</f>
        <v>Loading...</v>
      </c>
      <c r="L1467" s="129">
        <v>7004820.0</v>
      </c>
      <c r="M1467" s="99">
        <v>1.23</v>
      </c>
    </row>
    <row r="1468">
      <c r="A1468" s="122" t="s">
        <v>3359</v>
      </c>
      <c r="B1468" s="123">
        <v>1677897.0</v>
      </c>
      <c r="C1468" s="124" t="s">
        <v>3360</v>
      </c>
      <c r="D1468" s="125"/>
      <c r="E1468" s="126">
        <v>0.7</v>
      </c>
      <c r="F1468" s="127"/>
      <c r="G1468" s="127"/>
      <c r="H1468" s="127"/>
      <c r="I1468" s="128"/>
      <c r="K1468" s="105" t="str">
        <f>IFERROR(__xludf.DUMMYFUNCTION("if(A1468="""","""",substitute(SUBSTITUTE(index(importhtml(""http://finviz.com/quote.ashx?t=""&amp;A1468,""table"",10),7,2),""*"",""""),""-"",""0.00""))"),"Loading...")</f>
        <v>Loading...</v>
      </c>
      <c r="L1468" s="129">
        <v>1.085598E7</v>
      </c>
      <c r="M1468" s="99">
        <v>0.12</v>
      </c>
    </row>
    <row r="1469">
      <c r="A1469" s="122" t="s">
        <v>3361</v>
      </c>
      <c r="B1469" s="123">
        <v>86115.0</v>
      </c>
      <c r="C1469" s="124" t="s">
        <v>3362</v>
      </c>
      <c r="D1469" s="125"/>
      <c r="E1469" s="126">
        <v>0.7</v>
      </c>
      <c r="F1469" s="127"/>
      <c r="G1469" s="127"/>
      <c r="H1469" s="127"/>
      <c r="I1469" s="128"/>
      <c r="K1469" s="105" t="str">
        <f>IFERROR(__xludf.DUMMYFUNCTION("if(A1469="""","""",substitute(SUBSTITUTE(index(importhtml(""http://finviz.com/quote.ashx?t=""&amp;A1469,""table"",10),7,2),""*"",""""),""-"",""0.00""))"),"Loading...")</f>
        <v>Loading...</v>
      </c>
      <c r="L1469" s="129">
        <v>1.1566469E7</v>
      </c>
      <c r="M1469" s="99">
        <v>0.95</v>
      </c>
    </row>
    <row r="1470">
      <c r="A1470" s="122" t="s">
        <v>3363</v>
      </c>
      <c r="B1470" s="123">
        <v>1661998.0</v>
      </c>
      <c r="C1470" s="124" t="s">
        <v>3364</v>
      </c>
      <c r="D1470" s="125"/>
      <c r="E1470" s="126">
        <v>0.7</v>
      </c>
      <c r="F1470" s="127"/>
      <c r="G1470" s="127"/>
      <c r="H1470" s="127"/>
      <c r="I1470" s="128"/>
      <c r="K1470" s="105" t="str">
        <f>IFERROR(__xludf.DUMMYFUNCTION("if(A1470="""","""",substitute(SUBSTITUTE(index(importhtml(""http://finviz.com/quote.ashx?t=""&amp;A1470,""table"",10),7,2),""*"",""""),""-"",""0.00""))"),"Loading...")</f>
        <v>Loading...</v>
      </c>
      <c r="L1470" s="129">
        <v>4.055982E7</v>
      </c>
      <c r="M1470" s="99">
        <v>-0.15</v>
      </c>
    </row>
    <row r="1471">
      <c r="A1471" s="122" t="s">
        <v>3365</v>
      </c>
      <c r="B1471" s="123">
        <v>1610618.0</v>
      </c>
      <c r="C1471" s="124" t="s">
        <v>3366</v>
      </c>
      <c r="D1471" s="125"/>
      <c r="E1471" s="126">
        <v>0.7</v>
      </c>
      <c r="F1471" s="127"/>
      <c r="G1471" s="127"/>
      <c r="H1471" s="127"/>
      <c r="I1471" s="128"/>
      <c r="K1471" s="105" t="str">
        <f>IFERROR(__xludf.DUMMYFUNCTION("if(A1471="""","""",substitute(SUBSTITUTE(index(importhtml(""http://finviz.com/quote.ashx?t=""&amp;A1471,""table"",10),7,2),""*"",""""),""-"",""0.00""))"),"Loading...")</f>
        <v>Loading...</v>
      </c>
      <c r="L1471" s="129">
        <v>6.3602212E7</v>
      </c>
      <c r="M1471" s="99">
        <v>0.93</v>
      </c>
    </row>
    <row r="1472">
      <c r="A1472" s="122" t="s">
        <v>3367</v>
      </c>
      <c r="B1472" s="123">
        <v>1008112.0</v>
      </c>
      <c r="C1472" s="124" t="s">
        <v>3368</v>
      </c>
      <c r="D1472" s="125"/>
      <c r="E1472" s="126">
        <v>0.7</v>
      </c>
      <c r="F1472" s="127"/>
      <c r="G1472" s="127"/>
      <c r="H1472" s="127"/>
      <c r="I1472" s="128"/>
      <c r="K1472" s="105" t="str">
        <f>IFERROR(__xludf.DUMMYFUNCTION("if(A1472="""","""",substitute(SUBSTITUTE(index(importhtml(""http://finviz.com/quote.ashx?t=""&amp;A1472,""table"",10),7,2),""*"",""""),""-"",""0.00""))"),"Loading...")</f>
        <v>Loading...</v>
      </c>
      <c r="L1472" s="129">
        <v>9.4291726E7</v>
      </c>
      <c r="M1472" s="99">
        <v>-4.57</v>
      </c>
    </row>
    <row r="1473">
      <c r="A1473" s="122" t="s">
        <v>3369</v>
      </c>
      <c r="B1473" s="123">
        <v>1880343.0</v>
      </c>
      <c r="C1473" s="124" t="s">
        <v>3370</v>
      </c>
      <c r="D1473" s="125"/>
      <c r="E1473" s="126">
        <v>0.71</v>
      </c>
      <c r="F1473" s="127"/>
      <c r="G1473" s="127"/>
      <c r="H1473" s="127"/>
      <c r="I1473" s="128"/>
      <c r="K1473" s="105" t="str">
        <f>IFERROR(__xludf.DUMMYFUNCTION("if(A1473="""","""",substitute(SUBSTITUTE(index(importhtml(""http://finviz.com/quote.ashx?t=""&amp;A1473,""table"",10),7,2),""*"",""""),""-"",""0.00""))"),"Loading...")</f>
        <v>Loading...</v>
      </c>
      <c r="L1473" s="129">
        <v>1.1287199E7</v>
      </c>
      <c r="M1473" s="99" t="str">
        <f>IFERROR(__xludf.DUMMYFUNCTION("GOOGLEFINANCE(A1473,""beta"")"),"#N/A")</f>
        <v>#N/A</v>
      </c>
    </row>
    <row r="1474">
      <c r="A1474" s="122" t="s">
        <v>3371</v>
      </c>
      <c r="B1474" s="123">
        <v>1095435.0</v>
      </c>
      <c r="C1474" s="124" t="s">
        <v>3372</v>
      </c>
      <c r="D1474" s="125"/>
      <c r="E1474" s="126">
        <v>0.71</v>
      </c>
      <c r="F1474" s="127"/>
      <c r="G1474" s="127"/>
      <c r="H1474" s="127"/>
      <c r="I1474" s="128"/>
      <c r="K1474" s="105" t="str">
        <f>IFERROR(__xludf.DUMMYFUNCTION("if(A1474="""","""",substitute(SUBSTITUTE(index(importhtml(""http://finviz.com/quote.ashx?t=""&amp;A1474,""table"",10),7,2),""*"",""""),""-"",""0.00""))"),"Loading...")</f>
        <v>Loading...</v>
      </c>
      <c r="L1474" s="129">
        <v>1.4061265E7</v>
      </c>
      <c r="M1474" s="99">
        <v>1.35</v>
      </c>
    </row>
    <row r="1475">
      <c r="A1475" s="122" t="s">
        <v>3373</v>
      </c>
      <c r="B1475" s="123">
        <v>1158780.0</v>
      </c>
      <c r="C1475" s="124" t="s">
        <v>3374</v>
      </c>
      <c r="D1475" s="125"/>
      <c r="E1475" s="126">
        <v>0.71</v>
      </c>
      <c r="F1475" s="127"/>
      <c r="G1475" s="127"/>
      <c r="H1475" s="127"/>
      <c r="I1475" s="128"/>
      <c r="K1475" s="105" t="str">
        <f>IFERROR(__xludf.DUMMYFUNCTION("if(A1475="""","""",substitute(SUBSTITUTE(index(importhtml(""http://finviz.com/quote.ashx?t=""&amp;A1475,""table"",10),7,2),""*"",""""),""-"",""0.00""))"),"Loading...")</f>
        <v>Loading...</v>
      </c>
      <c r="L1475" s="129">
        <v>2.9455068E7</v>
      </c>
      <c r="M1475" s="99">
        <v>1.38</v>
      </c>
    </row>
    <row r="1476">
      <c r="A1476" s="122" t="s">
        <v>3375</v>
      </c>
      <c r="B1476" s="123">
        <v>1459762.0</v>
      </c>
      <c r="C1476" s="124" t="s">
        <v>3376</v>
      </c>
      <c r="D1476" s="125"/>
      <c r="E1476" s="126">
        <v>0.71</v>
      </c>
      <c r="F1476" s="127"/>
      <c r="G1476" s="127"/>
      <c r="H1476" s="127"/>
      <c r="I1476" s="128"/>
      <c r="K1476" s="105" t="str">
        <f>IFERROR(__xludf.DUMMYFUNCTION("if(A1476="""","""",substitute(SUBSTITUTE(index(importhtml(""http://finviz.com/quote.ashx?t=""&amp;A1476,""table"",10),7,2),""*"",""""),""-"",""0.00""))"),"Loading...")</f>
        <v>Loading...</v>
      </c>
      <c r="L1476" s="129">
        <v>1.61520707E8</v>
      </c>
      <c r="M1476" s="99">
        <v>2.53</v>
      </c>
    </row>
    <row r="1477">
      <c r="A1477" s="122" t="s">
        <v>3377</v>
      </c>
      <c r="B1477" s="123">
        <v>1413745.0</v>
      </c>
      <c r="C1477" s="124" t="s">
        <v>3378</v>
      </c>
      <c r="D1477" s="125"/>
      <c r="E1477" s="126">
        <v>0.72</v>
      </c>
      <c r="F1477" s="127"/>
      <c r="G1477" s="127"/>
      <c r="H1477" s="127"/>
      <c r="I1477" s="128"/>
      <c r="K1477" s="105" t="str">
        <f>IFERROR(__xludf.DUMMYFUNCTION("if(A1477="""","""",substitute(SUBSTITUTE(index(importhtml(""http://finviz.com/quote.ashx?t=""&amp;A1477,""table"",10),7,2),""*"",""""),""-"",""0.00""))"),"Loading...")</f>
        <v>Loading...</v>
      </c>
      <c r="L1477" s="129">
        <v>3250552.0</v>
      </c>
      <c r="M1477" s="99">
        <v>1.29</v>
      </c>
    </row>
    <row r="1478">
      <c r="A1478" s="122" t="s">
        <v>3379</v>
      </c>
      <c r="B1478" s="123">
        <v>1817740.0</v>
      </c>
      <c r="C1478" s="124" t="s">
        <v>3380</v>
      </c>
      <c r="D1478" s="125"/>
      <c r="E1478" s="126">
        <v>0.72</v>
      </c>
      <c r="F1478" s="127"/>
      <c r="G1478" s="127"/>
      <c r="H1478" s="127"/>
      <c r="I1478" s="128"/>
      <c r="K1478" s="105" t="str">
        <f>IFERROR(__xludf.DUMMYFUNCTION("if(A1478="""","""",substitute(SUBSTITUTE(index(importhtml(""http://finviz.com/quote.ashx?t=""&amp;A1478,""table"",10),7,2),""*"",""""),""-"",""0.00""))"),"Loading...")</f>
        <v>Loading...</v>
      </c>
      <c r="L1478" s="129">
        <v>9515282.0</v>
      </c>
      <c r="M1478" s="99">
        <f>IFERROR(__xludf.DUMMYFUNCTION("GOOGLEFINANCE(A1478,""beta"")"),0.84)</f>
        <v>0.84</v>
      </c>
    </row>
    <row r="1479">
      <c r="A1479" s="122" t="s">
        <v>3381</v>
      </c>
      <c r="B1479" s="123">
        <v>1407573.0</v>
      </c>
      <c r="C1479" s="124" t="s">
        <v>3382</v>
      </c>
      <c r="D1479" s="125"/>
      <c r="E1479" s="126">
        <v>0.72</v>
      </c>
      <c r="F1479" s="127"/>
      <c r="G1479" s="127"/>
      <c r="H1479" s="127"/>
      <c r="I1479" s="128"/>
      <c r="K1479" s="105" t="str">
        <f>IFERROR(__xludf.DUMMYFUNCTION("if(A1479="""","""",substitute(SUBSTITUTE(index(importhtml(""http://finviz.com/quote.ashx?t=""&amp;A1479,""table"",10),7,2),""*"",""""),""-"",""0.00""))"),"Loading...")</f>
        <v>Loading...</v>
      </c>
      <c r="L1479" s="129">
        <v>1.136636E7</v>
      </c>
      <c r="M1479" s="99">
        <v>0.41</v>
      </c>
    </row>
    <row r="1480">
      <c r="A1480" s="122" t="s">
        <v>3383</v>
      </c>
      <c r="B1480" s="123">
        <v>1130598.0</v>
      </c>
      <c r="C1480" s="124" t="s">
        <v>3384</v>
      </c>
      <c r="D1480" s="125"/>
      <c r="E1480" s="126">
        <v>0.72</v>
      </c>
      <c r="F1480" s="127"/>
      <c r="G1480" s="127"/>
      <c r="H1480" s="127"/>
      <c r="I1480" s="128"/>
      <c r="K1480" s="105" t="str">
        <f>IFERROR(__xludf.DUMMYFUNCTION("if(A1480="""","""",substitute(SUBSTITUTE(index(importhtml(""http://finviz.com/quote.ashx?t=""&amp;A1480,""table"",10),7,2),""*"",""""),""-"",""0.00""))"),"Loading...")</f>
        <v>Loading...</v>
      </c>
      <c r="L1480" s="129">
        <v>1.4996686E7</v>
      </c>
      <c r="M1480" s="99">
        <v>1.33</v>
      </c>
    </row>
    <row r="1481">
      <c r="A1481" s="122" t="s">
        <v>3385</v>
      </c>
      <c r="B1481" s="123">
        <v>1600422.0</v>
      </c>
      <c r="C1481" s="124" t="s">
        <v>3386</v>
      </c>
      <c r="D1481" s="125"/>
      <c r="E1481" s="126">
        <v>0.72</v>
      </c>
      <c r="F1481" s="127"/>
      <c r="G1481" s="127"/>
      <c r="H1481" s="127"/>
      <c r="I1481" s="128"/>
      <c r="K1481" s="105" t="str">
        <f>IFERROR(__xludf.DUMMYFUNCTION("if(A1481="""","""",substitute(SUBSTITUTE(index(importhtml(""http://finviz.com/quote.ashx?t=""&amp;A1481,""table"",10),7,2),""*"",""""),""-"",""0.00""))"),"Loading...")</f>
        <v>Loading...</v>
      </c>
      <c r="L1481" s="129">
        <v>2.1636208E7</v>
      </c>
      <c r="M1481" s="99">
        <v>-0.01</v>
      </c>
    </row>
    <row r="1482">
      <c r="A1482" s="122" t="s">
        <v>3387</v>
      </c>
      <c r="B1482" s="123">
        <v>1288770.0</v>
      </c>
      <c r="C1482" s="124" t="s">
        <v>3388</v>
      </c>
      <c r="D1482" s="125"/>
      <c r="E1482" s="126">
        <v>0.72</v>
      </c>
      <c r="F1482" s="127"/>
      <c r="G1482" s="127"/>
      <c r="H1482" s="127"/>
      <c r="I1482" s="128"/>
      <c r="K1482" s="105" t="str">
        <f>IFERROR(__xludf.DUMMYFUNCTION("if(A1482="""","""",substitute(SUBSTITUTE(index(importhtml(""http://finviz.com/quote.ashx?t=""&amp;A1482,""table"",10),7,2),""*"",""""),""-"",""0.00""))"),"Loading...")</f>
        <v>Loading...</v>
      </c>
      <c r="L1482" s="129">
        <v>4.4941275E7</v>
      </c>
      <c r="M1482" s="99">
        <v>0.62</v>
      </c>
    </row>
    <row r="1483">
      <c r="A1483" s="122" t="s">
        <v>3389</v>
      </c>
      <c r="B1483" s="123">
        <v>1799448.0</v>
      </c>
      <c r="C1483" s="124" t="s">
        <v>3390</v>
      </c>
      <c r="D1483" s="125"/>
      <c r="E1483" s="126">
        <v>0.72</v>
      </c>
      <c r="F1483" s="127"/>
      <c r="G1483" s="127"/>
      <c r="H1483" s="127"/>
      <c r="I1483" s="128"/>
      <c r="K1483" s="105" t="str">
        <f>IFERROR(__xludf.DUMMYFUNCTION("if(A1483="""","""",substitute(SUBSTITUTE(index(importhtml(""http://finviz.com/quote.ashx?t=""&amp;A1483,""table"",10),7,2),""*"",""""),""-"",""0.00""))"),"Loading...")</f>
        <v>Loading...</v>
      </c>
      <c r="L1483" s="129">
        <v>5.3950934E7</v>
      </c>
      <c r="M1483" s="99">
        <v>2.2</v>
      </c>
    </row>
    <row r="1484">
      <c r="A1484" s="122" t="s">
        <v>3391</v>
      </c>
      <c r="B1484" s="123">
        <v>1800637.0</v>
      </c>
      <c r="C1484" s="124" t="s">
        <v>3392</v>
      </c>
      <c r="D1484" s="125"/>
      <c r="E1484" s="126">
        <v>0.73</v>
      </c>
      <c r="F1484" s="127"/>
      <c r="G1484" s="127"/>
      <c r="H1484" s="127"/>
      <c r="I1484" s="128"/>
      <c r="K1484" s="105" t="str">
        <f>IFERROR(__xludf.DUMMYFUNCTION("if(A1484="""","""",substitute(SUBSTITUTE(index(importhtml(""http://finviz.com/quote.ashx?t=""&amp;A1484,""table"",10),7,2),""*"",""""),""-"",""0.00""))"),"Loading...")</f>
        <v>Loading...</v>
      </c>
      <c r="L1484" s="129">
        <v>1237452.0</v>
      </c>
      <c r="M1484" s="99">
        <v>2.03</v>
      </c>
    </row>
    <row r="1485">
      <c r="A1485" s="122" t="s">
        <v>3393</v>
      </c>
      <c r="B1485" s="123">
        <v>1662574.0</v>
      </c>
      <c r="C1485" s="124" t="s">
        <v>3394</v>
      </c>
      <c r="D1485" s="125"/>
      <c r="E1485" s="126">
        <v>0.73</v>
      </c>
      <c r="F1485" s="127"/>
      <c r="G1485" s="127"/>
      <c r="H1485" s="127"/>
      <c r="I1485" s="128"/>
      <c r="K1485" s="105" t="str">
        <f>IFERROR(__xludf.DUMMYFUNCTION("if(A1485="""","""",substitute(SUBSTITUTE(index(importhtml(""http://finviz.com/quote.ashx?t=""&amp;A1485,""table"",10),7,2),""*"",""""),""-"",""0.00""))"),"Loading...")</f>
        <v>Loading...</v>
      </c>
      <c r="L1485" s="129">
        <v>1427521.0</v>
      </c>
      <c r="M1485" s="99">
        <v>1.06</v>
      </c>
    </row>
    <row r="1486">
      <c r="A1486" s="122" t="s">
        <v>3395</v>
      </c>
      <c r="B1486" s="123">
        <v>1350102.0</v>
      </c>
      <c r="C1486" s="124" t="s">
        <v>3396</v>
      </c>
      <c r="D1486" s="125"/>
      <c r="E1486" s="126">
        <v>0.73</v>
      </c>
      <c r="F1486" s="127"/>
      <c r="G1486" s="127"/>
      <c r="H1486" s="127"/>
      <c r="I1486" s="128"/>
      <c r="K1486" s="105" t="str">
        <f>IFERROR(__xludf.DUMMYFUNCTION("if(A1486="""","""",substitute(SUBSTITUTE(index(importhtml(""http://finviz.com/quote.ashx?t=""&amp;A1486,""table"",10),7,2),""*"",""""),""-"",""0.00""))"),"Loading...")</f>
        <v>Loading...</v>
      </c>
      <c r="L1486" s="129">
        <v>2479361.0</v>
      </c>
      <c r="M1486" s="99">
        <v>1.86</v>
      </c>
    </row>
    <row r="1487">
      <c r="A1487" s="122" t="s">
        <v>3397</v>
      </c>
      <c r="B1487" s="123">
        <v>1123596.0</v>
      </c>
      <c r="C1487" s="124" t="s">
        <v>3398</v>
      </c>
      <c r="D1487" s="125"/>
      <c r="E1487" s="126">
        <v>0.73</v>
      </c>
      <c r="F1487" s="127"/>
      <c r="G1487" s="127"/>
      <c r="H1487" s="127"/>
      <c r="I1487" s="128"/>
      <c r="K1487" s="105" t="str">
        <f>IFERROR(__xludf.DUMMYFUNCTION("if(A1487="""","""",substitute(SUBSTITUTE(index(importhtml(""http://finviz.com/quote.ashx?t=""&amp;A1487,""table"",10),7,2),""*"",""""),""-"",""0.00""))"),"Loading...")</f>
        <v>Loading...</v>
      </c>
      <c r="L1487" s="129">
        <v>5305270.0</v>
      </c>
      <c r="M1487" s="99">
        <v>0.11</v>
      </c>
    </row>
    <row r="1488">
      <c r="A1488" s="122" t="s">
        <v>3399</v>
      </c>
      <c r="B1488" s="123">
        <v>99106.0</v>
      </c>
      <c r="C1488" s="124" t="s">
        <v>3400</v>
      </c>
      <c r="D1488" s="125"/>
      <c r="E1488" s="126">
        <v>0.73</v>
      </c>
      <c r="F1488" s="127"/>
      <c r="G1488" s="127"/>
      <c r="H1488" s="127"/>
      <c r="I1488" s="128"/>
      <c r="K1488" s="105" t="str">
        <f>IFERROR(__xludf.DUMMYFUNCTION("if(A1488="""","""",substitute(SUBSTITUTE(index(importhtml(""http://finviz.com/quote.ashx?t=""&amp;A1488,""table"",10),7,2),""*"",""""),""-"",""0.00""))"),"Loading...")</f>
        <v>Loading...</v>
      </c>
      <c r="L1488" s="129">
        <v>9852284.0</v>
      </c>
      <c r="M1488" s="99">
        <v>-0.82</v>
      </c>
    </row>
    <row r="1489">
      <c r="A1489" s="122" t="s">
        <v>3401</v>
      </c>
      <c r="B1489" s="123">
        <v>1425627.0</v>
      </c>
      <c r="C1489" s="124" t="s">
        <v>3402</v>
      </c>
      <c r="D1489" s="125"/>
      <c r="E1489" s="126">
        <v>0.73</v>
      </c>
      <c r="F1489" s="127"/>
      <c r="G1489" s="127"/>
      <c r="H1489" s="127"/>
      <c r="I1489" s="128"/>
      <c r="K1489" s="105" t="str">
        <f>IFERROR(__xludf.DUMMYFUNCTION("if(A1489="""","""",substitute(SUBSTITUTE(index(importhtml(""http://finviz.com/quote.ashx?t=""&amp;A1489,""table"",10),7,2),""*"",""""),""-"",""0.00""))"),"Loading...")</f>
        <v>Loading...</v>
      </c>
      <c r="L1489" s="129">
        <v>1.3558042E7</v>
      </c>
      <c r="M1489" s="99">
        <v>1.12</v>
      </c>
    </row>
    <row r="1490">
      <c r="A1490" s="122" t="s">
        <v>3403</v>
      </c>
      <c r="B1490" s="123">
        <v>1537435.0</v>
      </c>
      <c r="C1490" s="124" t="s">
        <v>3404</v>
      </c>
      <c r="D1490" s="125"/>
      <c r="E1490" s="126">
        <v>0.73</v>
      </c>
      <c r="F1490" s="127"/>
      <c r="G1490" s="127"/>
      <c r="H1490" s="127"/>
      <c r="I1490" s="128"/>
      <c r="K1490" s="105" t="str">
        <f>IFERROR(__xludf.DUMMYFUNCTION("if(A1490="""","""",substitute(SUBSTITUTE(index(importhtml(""http://finviz.com/quote.ashx?t=""&amp;A1490,""table"",10),7,2),""*"",""""),""-"",""0.00""))"),"Loading...")</f>
        <v>Loading...</v>
      </c>
      <c r="L1490" s="129">
        <v>1.814069E7</v>
      </c>
      <c r="M1490" s="99">
        <v>0.65</v>
      </c>
    </row>
    <row r="1491">
      <c r="A1491" s="122" t="s">
        <v>3405</v>
      </c>
      <c r="B1491" s="123">
        <v>1687451.0</v>
      </c>
      <c r="C1491" s="124" t="s">
        <v>3406</v>
      </c>
      <c r="D1491" s="125"/>
      <c r="E1491" s="126">
        <v>0.73</v>
      </c>
      <c r="F1491" s="127"/>
      <c r="G1491" s="127"/>
      <c r="H1491" s="127"/>
      <c r="I1491" s="128"/>
      <c r="K1491" s="105" t="str">
        <f>IFERROR(__xludf.DUMMYFUNCTION("if(A1491="""","""",substitute(SUBSTITUTE(index(importhtml(""http://finviz.com/quote.ashx?t=""&amp;A1491,""table"",10),7,2),""*"",""""),""-"",""0.00""))"),"Loading...")</f>
        <v>Loading...</v>
      </c>
      <c r="L1491" s="129">
        <v>2.2037979E7</v>
      </c>
      <c r="M1491" s="99">
        <v>2.19</v>
      </c>
    </row>
    <row r="1492">
      <c r="A1492" s="122" t="s">
        <v>3407</v>
      </c>
      <c r="B1492" s="123">
        <v>1731289.0</v>
      </c>
      <c r="C1492" s="124" t="s">
        <v>3408</v>
      </c>
      <c r="D1492" s="125"/>
      <c r="E1492" s="126">
        <v>0.73</v>
      </c>
      <c r="F1492" s="127"/>
      <c r="G1492" s="127"/>
      <c r="H1492" s="127"/>
      <c r="I1492" s="128"/>
      <c r="K1492" s="105" t="str">
        <f>IFERROR(__xludf.DUMMYFUNCTION("if(A1492="""","""",substitute(SUBSTITUTE(index(importhtml(""http://finviz.com/quote.ashx?t=""&amp;A1492,""table"",10),7,2),""*"",""""),""-"",""0.00""))"),"Loading...")</f>
        <v>Loading...</v>
      </c>
      <c r="L1492" s="129">
        <v>8.42641053E8</v>
      </c>
      <c r="M1492" s="99">
        <v>1.97</v>
      </c>
    </row>
    <row r="1493">
      <c r="A1493" s="122" t="s">
        <v>3409</v>
      </c>
      <c r="B1493" s="123">
        <v>949039.0</v>
      </c>
      <c r="C1493" s="124" t="s">
        <v>3410</v>
      </c>
      <c r="D1493" s="125"/>
      <c r="E1493" s="126">
        <v>0.73</v>
      </c>
      <c r="F1493" s="127"/>
      <c r="G1493" s="127"/>
      <c r="H1493" s="127"/>
      <c r="I1493" s="128"/>
      <c r="K1493" s="105" t="str">
        <f>IFERROR(__xludf.DUMMYFUNCTION("if(A1493="""","""",substitute(SUBSTITUTE(index(importhtml(""http://finviz.com/quote.ashx?t=""&amp;A1493,""table"",10),7,2),""*"",""""),""-"",""0.00""))"),"Loading...")</f>
        <v>Loading...</v>
      </c>
      <c r="L1493" s="129" t="e">
        <v>#N/A</v>
      </c>
      <c r="M1493" s="99" t="str">
        <f>IFERROR(__xludf.DUMMYFUNCTION("GOOGLEFINANCE(A1493,""beta"")"),"#N/A")</f>
        <v>#N/A</v>
      </c>
    </row>
    <row r="1494">
      <c r="A1494" s="122" t="s">
        <v>3411</v>
      </c>
      <c r="B1494" s="123">
        <v>1644903.0</v>
      </c>
      <c r="C1494" s="124" t="s">
        <v>3412</v>
      </c>
      <c r="D1494" s="125"/>
      <c r="E1494" s="126">
        <v>0.74</v>
      </c>
      <c r="F1494" s="127"/>
      <c r="G1494" s="127"/>
      <c r="H1494" s="127"/>
      <c r="I1494" s="128"/>
      <c r="K1494" s="105" t="str">
        <f>IFERROR(__xludf.DUMMYFUNCTION("if(A1494="""","""",substitute(SUBSTITUTE(index(importhtml(""http://finviz.com/quote.ashx?t=""&amp;A1494,""table"",10),7,2),""*"",""""),""-"",""0.00""))"),"Loading...")</f>
        <v>Loading...</v>
      </c>
      <c r="L1494" s="129">
        <v>2262501.0</v>
      </c>
      <c r="M1494" s="99">
        <v>2.14</v>
      </c>
    </row>
    <row r="1495">
      <c r="A1495" s="122" t="s">
        <v>3413</v>
      </c>
      <c r="B1495" s="123">
        <v>1871181.0</v>
      </c>
      <c r="C1495" s="124" t="s">
        <v>3414</v>
      </c>
      <c r="D1495" s="125"/>
      <c r="E1495" s="126">
        <v>0.74</v>
      </c>
      <c r="F1495" s="127"/>
      <c r="G1495" s="127"/>
      <c r="H1495" s="127"/>
      <c r="I1495" s="128"/>
      <c r="K1495" s="105" t="str">
        <f>IFERROR(__xludf.DUMMYFUNCTION("if(A1495="""","""",substitute(SUBSTITUTE(index(importhtml(""http://finviz.com/quote.ashx?t=""&amp;A1495,""table"",10),7,2),""*"",""""),""-"",""0.00""))"),"Loading...")</f>
        <v>Loading...</v>
      </c>
      <c r="L1495" s="129">
        <v>6272200.0</v>
      </c>
      <c r="M1495" s="99">
        <v>-0.72</v>
      </c>
    </row>
    <row r="1496">
      <c r="A1496" s="122" t="s">
        <v>3415</v>
      </c>
      <c r="B1496" s="123">
        <v>1684688.0</v>
      </c>
      <c r="C1496" s="124" t="s">
        <v>3416</v>
      </c>
      <c r="D1496" s="125"/>
      <c r="E1496" s="126">
        <v>0.74</v>
      </c>
      <c r="F1496" s="127"/>
      <c r="G1496" s="127"/>
      <c r="H1496" s="127"/>
      <c r="I1496" s="128"/>
      <c r="K1496" s="105" t="str">
        <f>IFERROR(__xludf.DUMMYFUNCTION("if(A1496="""","""",substitute(SUBSTITUTE(index(importhtml(""http://finviz.com/quote.ashx?t=""&amp;A1496,""table"",10),7,2),""*"",""""),""-"",""0.00""))"),"Loading...")</f>
        <v>Loading...</v>
      </c>
      <c r="L1496" s="129">
        <v>6996330.0</v>
      </c>
      <c r="M1496" s="99">
        <v>5.53</v>
      </c>
    </row>
    <row r="1497">
      <c r="A1497" s="122" t="s">
        <v>3417</v>
      </c>
      <c r="B1497" s="123">
        <v>1524769.0</v>
      </c>
      <c r="C1497" s="124" t="s">
        <v>3418</v>
      </c>
      <c r="D1497" s="125"/>
      <c r="E1497" s="126">
        <v>0.74</v>
      </c>
      <c r="F1497" s="127"/>
      <c r="G1497" s="127"/>
      <c r="H1497" s="127"/>
      <c r="I1497" s="128"/>
      <c r="K1497" s="105" t="str">
        <f>IFERROR(__xludf.DUMMYFUNCTION("if(A1497="""","""",substitute(SUBSTITUTE(index(importhtml(""http://finviz.com/quote.ashx?t=""&amp;A1497,""table"",10),7,2),""*"",""""),""-"",""0.00""))"),"Loading...")</f>
        <v>Loading...</v>
      </c>
      <c r="L1497" s="129">
        <v>3.436125E7</v>
      </c>
      <c r="M1497" s="99" t="str">
        <f>IFERROR(__xludf.DUMMYFUNCTION("GOOGLEFINANCE(A1497,""beta"")"),"#N/A")</f>
        <v>#N/A</v>
      </c>
    </row>
    <row r="1498">
      <c r="A1498" s="122" t="s">
        <v>3419</v>
      </c>
      <c r="B1498" s="123">
        <v>312257.0</v>
      </c>
      <c r="C1498" s="124" t="s">
        <v>3420</v>
      </c>
      <c r="D1498" s="125"/>
      <c r="E1498" s="126">
        <v>0.74</v>
      </c>
      <c r="F1498" s="127"/>
      <c r="G1498" s="127"/>
      <c r="H1498" s="127"/>
      <c r="I1498" s="128"/>
      <c r="K1498" s="105" t="str">
        <f>IFERROR(__xludf.DUMMYFUNCTION("if(A1498="""","""",substitute(SUBSTITUTE(index(importhtml(""http://finviz.com/quote.ashx?t=""&amp;A1498,""table"",10),7,2),""*"",""""),""-"",""0.00""))"),"Loading...")</f>
        <v>Loading...</v>
      </c>
      <c r="L1498" s="129">
        <v>3.5879613E7</v>
      </c>
      <c r="M1498" s="99">
        <v>0.11</v>
      </c>
    </row>
    <row r="1499">
      <c r="A1499" s="122" t="s">
        <v>3421</v>
      </c>
      <c r="B1499" s="123">
        <v>728385.0</v>
      </c>
      <c r="C1499" s="124" t="s">
        <v>3422</v>
      </c>
      <c r="D1499" s="125"/>
      <c r="E1499" s="126">
        <v>0.74</v>
      </c>
      <c r="F1499" s="127"/>
      <c r="G1499" s="127"/>
      <c r="H1499" s="127"/>
      <c r="I1499" s="128"/>
      <c r="K1499" s="105" t="str">
        <f>IFERROR(__xludf.DUMMYFUNCTION("if(A1499="""","""",substitute(SUBSTITUTE(index(importhtml(""http://finviz.com/quote.ashx?t=""&amp;A1499,""table"",10),7,2),""*"",""""),""-"",""0.00""))"),"Loading...")</f>
        <v>Loading...</v>
      </c>
      <c r="L1499" s="129">
        <v>6.9757795E7</v>
      </c>
      <c r="M1499" s="99">
        <v>1.25</v>
      </c>
    </row>
    <row r="1500">
      <c r="A1500" s="122" t="s">
        <v>3423</v>
      </c>
      <c r="B1500" s="123">
        <v>1662382.0</v>
      </c>
      <c r="C1500" s="124" t="s">
        <v>3424</v>
      </c>
      <c r="D1500" s="125"/>
      <c r="E1500" s="126">
        <v>0.75</v>
      </c>
      <c r="F1500" s="127"/>
      <c r="G1500" s="127"/>
      <c r="H1500" s="127"/>
      <c r="I1500" s="128"/>
      <c r="K1500" s="105" t="str">
        <f>IFERROR(__xludf.DUMMYFUNCTION("if(A1500="""","""",substitute(SUBSTITUTE(index(importhtml(""http://finviz.com/quote.ashx?t=""&amp;A1500,""table"",10),7,2),""*"",""""),""-"",""0.00""))"),"Loading...")</f>
        <v>Loading...</v>
      </c>
      <c r="L1500" s="129">
        <v>931983.0</v>
      </c>
      <c r="M1500" s="99" t="str">
        <f>IFERROR(__xludf.DUMMYFUNCTION("GOOGLEFINANCE(A1500,""beta"")"),"#N/A")</f>
        <v>#N/A</v>
      </c>
    </row>
    <row r="1501">
      <c r="A1501" s="122" t="s">
        <v>3425</v>
      </c>
      <c r="B1501" s="123">
        <v>1735532.0</v>
      </c>
      <c r="C1501" s="124" t="s">
        <v>3426</v>
      </c>
      <c r="D1501" s="125"/>
      <c r="E1501" s="126">
        <v>0.75</v>
      </c>
      <c r="F1501" s="127"/>
      <c r="G1501" s="127"/>
      <c r="H1501" s="127"/>
      <c r="I1501" s="128"/>
      <c r="K1501" s="105" t="str">
        <f>IFERROR(__xludf.DUMMYFUNCTION("if(A1501="""","""",substitute(SUBSTITUTE(index(importhtml(""http://finviz.com/quote.ashx?t=""&amp;A1501,""table"",10),7,2),""*"",""""),""-"",""0.00""))"),"Loading...")</f>
        <v>Loading...</v>
      </c>
      <c r="L1501" s="129">
        <v>5286706.0</v>
      </c>
      <c r="M1501" s="99" t="str">
        <f>IFERROR(__xludf.DUMMYFUNCTION("GOOGLEFINANCE(A1501,""beta"")"),"#N/A")</f>
        <v>#N/A</v>
      </c>
    </row>
    <row r="1502">
      <c r="A1502" s="122" t="s">
        <v>3427</v>
      </c>
      <c r="B1502" s="123">
        <v>1443863.0</v>
      </c>
      <c r="C1502" s="124" t="s">
        <v>3428</v>
      </c>
      <c r="D1502" s="125"/>
      <c r="E1502" s="126">
        <v>0.75</v>
      </c>
      <c r="F1502" s="127"/>
      <c r="G1502" s="127"/>
      <c r="H1502" s="127"/>
      <c r="I1502" s="128"/>
      <c r="K1502" s="105" t="str">
        <f>IFERROR(__xludf.DUMMYFUNCTION("if(A1502="""","""",substitute(SUBSTITUTE(index(importhtml(""http://finviz.com/quote.ashx?t=""&amp;A1502,""table"",10),7,2),""*"",""""),""-"",""0.00""))"),"Loading...")</f>
        <v>Loading...</v>
      </c>
      <c r="L1502" s="129">
        <v>6449310.0</v>
      </c>
      <c r="M1502" s="99">
        <v>0.61</v>
      </c>
    </row>
    <row r="1503">
      <c r="A1503" s="122" t="s">
        <v>3429</v>
      </c>
      <c r="B1503" s="123">
        <v>1703073.0</v>
      </c>
      <c r="C1503" s="124" t="s">
        <v>3430</v>
      </c>
      <c r="D1503" s="125"/>
      <c r="E1503" s="126">
        <v>0.75</v>
      </c>
      <c r="F1503" s="127"/>
      <c r="G1503" s="127"/>
      <c r="H1503" s="127"/>
      <c r="I1503" s="128"/>
      <c r="K1503" s="105" t="str">
        <f>IFERROR(__xludf.DUMMYFUNCTION("if(A1503="""","""",substitute(SUBSTITUTE(index(importhtml(""http://finviz.com/quote.ashx?t=""&amp;A1503,""table"",10),7,2),""*"",""""),""-"",""0.00""))"),"Loading...")</f>
        <v>Loading...</v>
      </c>
      <c r="L1503" s="129">
        <v>1.999344E7</v>
      </c>
      <c r="M1503" s="99">
        <v>2.51</v>
      </c>
    </row>
    <row r="1504">
      <c r="A1504" s="122" t="s">
        <v>3431</v>
      </c>
      <c r="B1504" s="123">
        <v>1113313.0</v>
      </c>
      <c r="C1504" s="124" t="s">
        <v>3432</v>
      </c>
      <c r="D1504" s="125"/>
      <c r="E1504" s="126">
        <v>0.75</v>
      </c>
      <c r="F1504" s="127"/>
      <c r="G1504" s="127"/>
      <c r="H1504" s="127"/>
      <c r="I1504" s="128"/>
      <c r="K1504" s="105" t="str">
        <f>IFERROR(__xludf.DUMMYFUNCTION("if(A1504="""","""",substitute(SUBSTITUTE(index(importhtml(""http://finviz.com/quote.ashx?t=""&amp;A1504,""table"",10),7,2),""*"",""""),""-"",""0.00""))"),"Loading...")</f>
        <v>Loading...</v>
      </c>
      <c r="L1504" s="129">
        <v>8.087947E7</v>
      </c>
      <c r="M1504" s="99">
        <v>1.22</v>
      </c>
    </row>
    <row r="1505">
      <c r="A1505" s="122" t="s">
        <v>3433</v>
      </c>
      <c r="B1505" s="123">
        <v>1762417.0</v>
      </c>
      <c r="C1505" s="124" t="s">
        <v>3434</v>
      </c>
      <c r="D1505" s="125"/>
      <c r="E1505" s="126">
        <v>0.75</v>
      </c>
      <c r="F1505" s="127"/>
      <c r="G1505" s="127"/>
      <c r="H1505" s="127"/>
      <c r="I1505" s="128"/>
      <c r="K1505" s="105" t="str">
        <f>IFERROR(__xludf.DUMMYFUNCTION("if(A1505="""","""",substitute(SUBSTITUTE(index(importhtml(""http://finviz.com/quote.ashx?t=""&amp;A1505,""table"",10),7,2),""*"",""""),""-"",""0.00""))"),"Loading...")</f>
        <v>Loading...</v>
      </c>
      <c r="L1505" s="129">
        <v>2.38295478E8</v>
      </c>
      <c r="M1505" s="99">
        <v>1.04</v>
      </c>
    </row>
    <row r="1506">
      <c r="A1506" s="122" t="s">
        <v>3435</v>
      </c>
      <c r="B1506" s="123">
        <v>1780312.0</v>
      </c>
      <c r="C1506" s="124" t="s">
        <v>3436</v>
      </c>
      <c r="D1506" s="125"/>
      <c r="E1506" s="126">
        <v>0.75</v>
      </c>
      <c r="F1506" s="127"/>
      <c r="G1506" s="127"/>
      <c r="H1506" s="127"/>
      <c r="I1506" s="128"/>
      <c r="K1506" s="105" t="str">
        <f>IFERROR(__xludf.DUMMYFUNCTION("if(A1506="""","""",substitute(SUBSTITUTE(index(importhtml(""http://finviz.com/quote.ashx?t=""&amp;A1506,""table"",10),7,2),""*"",""""),""-"",""0.00""))"),"Loading...")</f>
        <v>Loading...</v>
      </c>
      <c r="L1506" s="129">
        <v>7.11829506E8</v>
      </c>
      <c r="M1506" s="99">
        <v>1.71</v>
      </c>
    </row>
    <row r="1507">
      <c r="A1507" s="122" t="s">
        <v>3437</v>
      </c>
      <c r="B1507" s="123">
        <v>1108329.0</v>
      </c>
      <c r="C1507" s="124" t="s">
        <v>3438</v>
      </c>
      <c r="D1507" s="125"/>
      <c r="E1507" s="126">
        <v>0.75</v>
      </c>
      <c r="F1507" s="127"/>
      <c r="G1507" s="127"/>
      <c r="H1507" s="127"/>
      <c r="I1507" s="128"/>
      <c r="K1507" s="105" t="str">
        <f>IFERROR(__xludf.DUMMYFUNCTION("if(A1507="""","""",substitute(SUBSTITUTE(index(importhtml(""http://finviz.com/quote.ashx?t=""&amp;A1507,""table"",10),7,2),""*"",""""),""-"",""0.00""))"),"Loading...")</f>
        <v>Loading...</v>
      </c>
      <c r="L1507" s="129">
        <v>1.596421553314E12</v>
      </c>
      <c r="M1507" s="99">
        <v>0.53</v>
      </c>
    </row>
    <row r="1508">
      <c r="A1508" s="122" t="s">
        <v>3439</v>
      </c>
      <c r="B1508" s="123">
        <v>1569083.0</v>
      </c>
      <c r="C1508" s="124" t="s">
        <v>3440</v>
      </c>
      <c r="D1508" s="125"/>
      <c r="E1508" s="126">
        <v>0.75</v>
      </c>
      <c r="F1508" s="127"/>
      <c r="G1508" s="127"/>
      <c r="H1508" s="127"/>
      <c r="I1508" s="128"/>
      <c r="K1508" s="105" t="str">
        <f>IFERROR(__xludf.DUMMYFUNCTION("if(A1508="""","""",substitute(SUBSTITUTE(index(importhtml(""http://finviz.com/quote.ashx?t=""&amp;A1508,""table"",10),7,2),""*"",""""),""-"",""0.00""))"),"Loading...")</f>
        <v>Loading...</v>
      </c>
      <c r="L1508" s="129" t="e">
        <v>#N/A</v>
      </c>
      <c r="M1508" s="99" t="str">
        <f>IFERROR(__xludf.DUMMYFUNCTION("GOOGLEFINANCE(A1508,""beta"")"),"#N/A")</f>
        <v>#N/A</v>
      </c>
    </row>
    <row r="1509">
      <c r="A1509" s="122" t="s">
        <v>3441</v>
      </c>
      <c r="B1509" s="123">
        <v>1767876.0</v>
      </c>
      <c r="C1509" s="124" t="s">
        <v>3442</v>
      </c>
      <c r="D1509" s="125"/>
      <c r="E1509" s="126">
        <v>0.75</v>
      </c>
      <c r="F1509" s="127"/>
      <c r="G1509" s="127"/>
      <c r="H1509" s="127"/>
      <c r="I1509" s="128"/>
      <c r="K1509" s="105" t="str">
        <f>IFERROR(__xludf.DUMMYFUNCTION("if(A1509="""","""",substitute(SUBSTITUTE(index(importhtml(""http://finviz.com/quote.ashx?t=""&amp;A1509,""table"",10),7,2),""*"",""""),""-"",""0.00""))"),"Loading...")</f>
        <v>Loading...</v>
      </c>
      <c r="L1509" s="129" t="e">
        <v>#N/A</v>
      </c>
      <c r="M1509" s="99" t="str">
        <f>IFERROR(__xludf.DUMMYFUNCTION("GOOGLEFINANCE(A1509,""beta"")"),"#N/A")</f>
        <v>#N/A</v>
      </c>
    </row>
    <row r="1510">
      <c r="A1510" s="122" t="s">
        <v>3443</v>
      </c>
      <c r="B1510" s="123">
        <v>314227.0</v>
      </c>
      <c r="C1510" s="124" t="s">
        <v>3444</v>
      </c>
      <c r="D1510" s="125"/>
      <c r="E1510" s="126">
        <v>0.76</v>
      </c>
      <c r="F1510" s="127"/>
      <c r="G1510" s="127"/>
      <c r="H1510" s="127"/>
      <c r="I1510" s="128"/>
      <c r="K1510" s="105" t="str">
        <f>IFERROR(__xludf.DUMMYFUNCTION("if(A1510="""","""",substitute(SUBSTITUTE(index(importhtml(""http://finviz.com/quote.ashx?t=""&amp;A1510,""table"",10),7,2),""*"",""""),""-"",""0.00""))"),"Loading...")</f>
        <v>Loading...</v>
      </c>
      <c r="L1510" s="129">
        <v>1.5046385E7</v>
      </c>
      <c r="M1510" s="99">
        <v>-2.78</v>
      </c>
    </row>
    <row r="1511">
      <c r="A1511" s="122" t="s">
        <v>3445</v>
      </c>
      <c r="B1511" s="123">
        <v>845819.0</v>
      </c>
      <c r="C1511" s="124" t="s">
        <v>3446</v>
      </c>
      <c r="D1511" s="125"/>
      <c r="E1511" s="126">
        <v>0.76</v>
      </c>
      <c r="F1511" s="127"/>
      <c r="G1511" s="127"/>
      <c r="H1511" s="127"/>
      <c r="I1511" s="128"/>
      <c r="K1511" s="105" t="str">
        <f>IFERROR(__xludf.DUMMYFUNCTION("if(A1511="""","""",substitute(SUBSTITUTE(index(importhtml(""http://finviz.com/quote.ashx?t=""&amp;A1511,""table"",10),7,2),""*"",""""),""-"",""0.00""))"),"Loading...")</f>
        <v>Loading...</v>
      </c>
      <c r="L1511" s="129">
        <v>3.2446709E7</v>
      </c>
      <c r="M1511" s="99">
        <v>1.75</v>
      </c>
    </row>
    <row r="1512">
      <c r="A1512" s="122" t="s">
        <v>3447</v>
      </c>
      <c r="B1512" s="123">
        <v>1574565.0</v>
      </c>
      <c r="C1512" s="124" t="s">
        <v>3448</v>
      </c>
      <c r="D1512" s="125"/>
      <c r="E1512" s="126">
        <v>0.76</v>
      </c>
      <c r="F1512" s="127"/>
      <c r="G1512" s="127"/>
      <c r="H1512" s="127"/>
      <c r="I1512" s="128"/>
      <c r="K1512" s="105" t="str">
        <f>IFERROR(__xludf.DUMMYFUNCTION("if(A1512="""","""",substitute(SUBSTITUTE(index(importhtml(""http://finviz.com/quote.ashx?t=""&amp;A1512,""table"",10),7,2),""*"",""""),""-"",""0.00""))"),"Loading...")</f>
        <v>Loading...</v>
      </c>
      <c r="L1512" s="129">
        <v>3.835023E7</v>
      </c>
      <c r="M1512" s="99">
        <v>1.47</v>
      </c>
    </row>
    <row r="1513">
      <c r="A1513" s="122" t="s">
        <v>3449</v>
      </c>
      <c r="B1513" s="123">
        <v>1835724.0</v>
      </c>
      <c r="C1513" s="124" t="s">
        <v>3450</v>
      </c>
      <c r="D1513" s="125"/>
      <c r="E1513" s="126">
        <v>0.77</v>
      </c>
      <c r="F1513" s="127"/>
      <c r="G1513" s="127"/>
      <c r="H1513" s="127"/>
      <c r="I1513" s="128"/>
      <c r="K1513" s="55" t="s">
        <v>1034</v>
      </c>
      <c r="L1513" s="129">
        <v>4.61606595E8</v>
      </c>
      <c r="M1513" s="99">
        <f>IFERROR(__xludf.DUMMYFUNCTION("GOOGLEFINANCE(A1513,""beta"")"),0.23)</f>
        <v>0.23</v>
      </c>
    </row>
    <row r="1514">
      <c r="A1514" s="122" t="s">
        <v>3451</v>
      </c>
      <c r="B1514" s="123">
        <v>1038572.0</v>
      </c>
      <c r="C1514" s="124" t="s">
        <v>3452</v>
      </c>
      <c r="D1514" s="125"/>
      <c r="E1514" s="126">
        <v>0.77</v>
      </c>
      <c r="F1514" s="127"/>
      <c r="G1514" s="127"/>
      <c r="H1514" s="127"/>
      <c r="I1514" s="128"/>
      <c r="K1514" s="55" t="s">
        <v>3453</v>
      </c>
      <c r="L1514" s="129">
        <v>1.112972237E9</v>
      </c>
      <c r="M1514" s="99">
        <v>1.6</v>
      </c>
    </row>
    <row r="1515">
      <c r="A1515" s="122" t="s">
        <v>3454</v>
      </c>
      <c r="B1515" s="123">
        <v>768408.0</v>
      </c>
      <c r="C1515" s="124" t="s">
        <v>3455</v>
      </c>
      <c r="D1515" s="125"/>
      <c r="E1515" s="126">
        <v>0.77</v>
      </c>
      <c r="F1515" s="127"/>
      <c r="G1515" s="127"/>
      <c r="H1515" s="127"/>
      <c r="I1515" s="128"/>
      <c r="K1515" s="105" t="str">
        <f>IFERROR(__xludf.DUMMYFUNCTION("if(A1515="""","""",substitute(SUBSTITUTE(index(importhtml(""http://finviz.com/quote.ashx?t=""&amp;A1515,""table"",10),7,2),""*"",""""),""-"",""0.00""))"),"Loading...")</f>
        <v>Loading...</v>
      </c>
      <c r="L1515" s="129">
        <v>5311989.0</v>
      </c>
      <c r="M1515" s="99">
        <v>0.46</v>
      </c>
    </row>
    <row r="1516">
      <c r="A1516" s="122" t="s">
        <v>3456</v>
      </c>
      <c r="B1516" s="123">
        <v>1813783.0</v>
      </c>
      <c r="C1516" s="124" t="s">
        <v>3457</v>
      </c>
      <c r="D1516" s="125"/>
      <c r="E1516" s="126">
        <v>0.77</v>
      </c>
      <c r="F1516" s="127"/>
      <c r="G1516" s="127"/>
      <c r="H1516" s="127"/>
      <c r="I1516" s="128"/>
      <c r="K1516" s="105" t="str">
        <f>IFERROR(__xludf.DUMMYFUNCTION("if(A1516="""","""",substitute(SUBSTITUTE(index(importhtml(""http://finviz.com/quote.ashx?t=""&amp;A1516,""table"",10),7,2),""*"",""""),""-"",""0.00""))"),"Loading...")</f>
        <v>Loading...</v>
      </c>
      <c r="L1516" s="129">
        <v>9074739.0</v>
      </c>
      <c r="M1516" s="99">
        <v>0.0</v>
      </c>
    </row>
    <row r="1517">
      <c r="A1517" s="122" t="s">
        <v>3458</v>
      </c>
      <c r="B1517" s="123">
        <v>1314196.0</v>
      </c>
      <c r="C1517" s="124" t="s">
        <v>3459</v>
      </c>
      <c r="D1517" s="125"/>
      <c r="E1517" s="126">
        <v>0.77</v>
      </c>
      <c r="F1517" s="127"/>
      <c r="G1517" s="127"/>
      <c r="H1517" s="127"/>
      <c r="I1517" s="128"/>
      <c r="K1517" s="105" t="str">
        <f>IFERROR(__xludf.DUMMYFUNCTION("if(A1517="""","""",substitute(SUBSTITUTE(index(importhtml(""http://finviz.com/quote.ashx?t=""&amp;A1517,""table"",10),7,2),""*"",""""),""-"",""0.00""))"),"Loading...")</f>
        <v>Loading...</v>
      </c>
      <c r="L1517" s="129">
        <v>1.1824101E7</v>
      </c>
      <c r="M1517" s="99">
        <v>1.74</v>
      </c>
    </row>
    <row r="1518">
      <c r="A1518" s="122" t="s">
        <v>3460</v>
      </c>
      <c r="B1518" s="123">
        <v>1711291.0</v>
      </c>
      <c r="C1518" s="124" t="s">
        <v>3461</v>
      </c>
      <c r="D1518" s="125"/>
      <c r="E1518" s="126">
        <v>0.77</v>
      </c>
      <c r="F1518" s="127"/>
      <c r="G1518" s="127"/>
      <c r="H1518" s="127"/>
      <c r="I1518" s="128"/>
      <c r="K1518" s="105" t="str">
        <f>IFERROR(__xludf.DUMMYFUNCTION("if(A1518="""","""",substitute(SUBSTITUTE(index(importhtml(""http://finviz.com/quote.ashx?t=""&amp;A1518,""table"",10),7,2),""*"",""""),""-"",""0.00""))"),"Loading...")</f>
        <v>Loading...</v>
      </c>
      <c r="L1518" s="129">
        <v>3.1647445E7</v>
      </c>
      <c r="M1518" s="99">
        <v>2.4</v>
      </c>
    </row>
    <row r="1519">
      <c r="A1519" s="122" t="s">
        <v>3462</v>
      </c>
      <c r="B1519" s="123">
        <v>15847.0</v>
      </c>
      <c r="C1519" s="124" t="s">
        <v>3463</v>
      </c>
      <c r="D1519" s="125"/>
      <c r="E1519" s="126">
        <v>0.77</v>
      </c>
      <c r="F1519" s="127"/>
      <c r="G1519" s="127"/>
      <c r="H1519" s="127"/>
      <c r="I1519" s="128"/>
      <c r="K1519" s="105" t="str">
        <f>IFERROR(__xludf.DUMMYFUNCTION("if(A1519="""","""",substitute(SUBSTITUTE(index(importhtml(""http://finviz.com/quote.ashx?t=""&amp;A1519,""table"",10),7,2),""*"",""""),""-"",""0.00""))"),"Loading...")</f>
        <v>Loading...</v>
      </c>
      <c r="L1519" s="129">
        <v>5.3333963E7</v>
      </c>
      <c r="M1519" s="99">
        <v>0.66</v>
      </c>
    </row>
    <row r="1520">
      <c r="A1520" s="122" t="s">
        <v>3464</v>
      </c>
      <c r="B1520" s="123">
        <v>1716583.0</v>
      </c>
      <c r="C1520" s="124" t="s">
        <v>3465</v>
      </c>
      <c r="D1520" s="125"/>
      <c r="E1520" s="126">
        <v>0.77</v>
      </c>
      <c r="F1520" s="127"/>
      <c r="G1520" s="127"/>
      <c r="H1520" s="127"/>
      <c r="I1520" s="128"/>
      <c r="K1520" s="105" t="str">
        <f>IFERROR(__xludf.DUMMYFUNCTION("if(A1520="""","""",substitute(SUBSTITUTE(index(importhtml(""http://finviz.com/quote.ashx?t=""&amp;A1520,""table"",10),7,2),""*"",""""),""-"",""0.00""))"),"Loading...")</f>
        <v>Loading...</v>
      </c>
      <c r="L1520" s="129">
        <v>1.89165518E8</v>
      </c>
      <c r="M1520" s="99">
        <v>3.18</v>
      </c>
    </row>
    <row r="1521">
      <c r="A1521" s="122" t="s">
        <v>3466</v>
      </c>
      <c r="B1521" s="123">
        <v>1472072.0</v>
      </c>
      <c r="C1521" s="124" t="s">
        <v>3467</v>
      </c>
      <c r="D1521" s="125"/>
      <c r="E1521" s="126">
        <v>0.78</v>
      </c>
      <c r="F1521" s="127"/>
      <c r="G1521" s="127"/>
      <c r="H1521" s="127"/>
      <c r="I1521" s="128"/>
      <c r="K1521" s="55" t="s">
        <v>1034</v>
      </c>
      <c r="L1521" s="129">
        <v>3.3648344E7</v>
      </c>
      <c r="M1521" s="99">
        <v>0.0</v>
      </c>
    </row>
    <row r="1522">
      <c r="A1522" s="122" t="s">
        <v>3468</v>
      </c>
      <c r="B1522" s="123">
        <v>1704287.0</v>
      </c>
      <c r="C1522" s="124" t="s">
        <v>3469</v>
      </c>
      <c r="D1522" s="125"/>
      <c r="E1522" s="126">
        <v>0.78</v>
      </c>
      <c r="F1522" s="127"/>
      <c r="G1522" s="127"/>
      <c r="H1522" s="127"/>
      <c r="I1522" s="128"/>
      <c r="K1522" s="105" t="str">
        <f>IFERROR(__xludf.DUMMYFUNCTION("if(A1522="""","""",substitute(SUBSTITUTE(index(importhtml(""http://finviz.com/quote.ashx?t=""&amp;A1522,""table"",10),7,2),""*"",""""),""-"",""0.00""))"),"Loading...")</f>
        <v>Loading...</v>
      </c>
      <c r="L1522" s="129">
        <v>1390611.0</v>
      </c>
      <c r="M1522" s="99">
        <f>IFERROR(__xludf.DUMMYFUNCTION("GOOGLEFINANCE(A1522,""beta"")"),0.6)</f>
        <v>0.6</v>
      </c>
    </row>
    <row r="1523">
      <c r="A1523" s="122" t="s">
        <v>3470</v>
      </c>
      <c r="B1523" s="123">
        <v>1138978.0</v>
      </c>
      <c r="C1523" s="124" t="s">
        <v>3471</v>
      </c>
      <c r="D1523" s="125"/>
      <c r="E1523" s="126">
        <v>0.78</v>
      </c>
      <c r="F1523" s="127"/>
      <c r="G1523" s="127"/>
      <c r="H1523" s="127"/>
      <c r="I1523" s="128"/>
      <c r="K1523" s="105" t="str">
        <f>IFERROR(__xludf.DUMMYFUNCTION("if(A1523="""","""",substitute(SUBSTITUTE(index(importhtml(""http://finviz.com/quote.ashx?t=""&amp;A1523,""table"",10),7,2),""*"",""""),""-"",""0.00""))"),"Loading...")</f>
        <v>Loading...</v>
      </c>
      <c r="L1523" s="129">
        <v>1.3756929E7</v>
      </c>
      <c r="M1523" s="99">
        <v>-0.65</v>
      </c>
    </row>
    <row r="1524">
      <c r="A1524" s="122" t="s">
        <v>3472</v>
      </c>
      <c r="B1524" s="123">
        <v>1339005.0</v>
      </c>
      <c r="C1524" s="124" t="s">
        <v>3473</v>
      </c>
      <c r="D1524" s="125"/>
      <c r="E1524" s="126">
        <v>0.78</v>
      </c>
      <c r="F1524" s="127"/>
      <c r="G1524" s="127"/>
      <c r="H1524" s="127"/>
      <c r="I1524" s="128"/>
      <c r="K1524" s="105" t="str">
        <f>IFERROR(__xludf.DUMMYFUNCTION("if(A1524="""","""",substitute(SUBSTITUTE(index(importhtml(""http://finviz.com/quote.ashx?t=""&amp;A1524,""table"",10),7,2),""*"",""""),""-"",""0.00""))"),"Loading...")</f>
        <v>Loading...</v>
      </c>
      <c r="L1524" s="129">
        <v>1.6875878E7</v>
      </c>
      <c r="M1524" s="99">
        <f>IFERROR(__xludf.DUMMYFUNCTION("GOOGLEFINANCE(A1524,""beta"")"),-2.55)</f>
        <v>-2.55</v>
      </c>
    </row>
    <row r="1525">
      <c r="A1525" s="122" t="s">
        <v>3474</v>
      </c>
      <c r="B1525" s="123">
        <v>1835512.0</v>
      </c>
      <c r="C1525" s="124" t="s">
        <v>3475</v>
      </c>
      <c r="D1525" s="125"/>
      <c r="E1525" s="126">
        <v>0.78</v>
      </c>
      <c r="F1525" s="127"/>
      <c r="G1525" s="127"/>
      <c r="H1525" s="127"/>
      <c r="I1525" s="128"/>
      <c r="K1525" s="105" t="str">
        <f>IFERROR(__xludf.DUMMYFUNCTION("if(A1525="""","""",substitute(SUBSTITUTE(index(importhtml(""http://finviz.com/quote.ashx?t=""&amp;A1525,""table"",10),7,2),""*"",""""),""-"",""0.00""))"),"Loading...")</f>
        <v>Loading...</v>
      </c>
      <c r="L1525" s="129">
        <v>1.52392095E8</v>
      </c>
      <c r="M1525" s="99" t="str">
        <f>IFERROR(__xludf.DUMMYFUNCTION("GOOGLEFINANCE(A1525,""beta"")"),"#N/A")</f>
        <v>#N/A</v>
      </c>
    </row>
    <row r="1526">
      <c r="A1526" s="122" t="s">
        <v>3476</v>
      </c>
      <c r="B1526" s="123">
        <v>1758009.0</v>
      </c>
      <c r="C1526" s="124" t="s">
        <v>3477</v>
      </c>
      <c r="D1526" s="125"/>
      <c r="E1526" s="126">
        <v>0.79</v>
      </c>
      <c r="F1526" s="127"/>
      <c r="G1526" s="127"/>
      <c r="H1526" s="127"/>
      <c r="I1526" s="128"/>
      <c r="K1526" s="105" t="str">
        <f>IFERROR(__xludf.DUMMYFUNCTION("if(A1526="""","""",substitute(SUBSTITUTE(index(importhtml(""http://finviz.com/quote.ashx?t=""&amp;A1526,""table"",10),7,2),""*"",""""),""-"",""0.00""))"),"Loading...")</f>
        <v>Loading...</v>
      </c>
      <c r="L1526" s="129">
        <v>5.9186311E7</v>
      </c>
      <c r="M1526" s="99">
        <v>1.37</v>
      </c>
    </row>
    <row r="1527">
      <c r="A1527" s="122" t="s">
        <v>3478</v>
      </c>
      <c r="B1527" s="123">
        <v>1459417.0</v>
      </c>
      <c r="C1527" s="124" t="s">
        <v>3479</v>
      </c>
      <c r="D1527" s="125"/>
      <c r="E1527" s="126">
        <v>0.79</v>
      </c>
      <c r="F1527" s="127"/>
      <c r="G1527" s="127"/>
      <c r="H1527" s="127"/>
      <c r="I1527" s="128"/>
      <c r="K1527" s="105" t="str">
        <f>IFERROR(__xludf.DUMMYFUNCTION("if(A1527="""","""",substitute(SUBSTITUTE(index(importhtml(""http://finviz.com/quote.ashx?t=""&amp;A1527,""table"",10),7,2),""*"",""""),""-"",""0.00""))"),"Loading...")</f>
        <v>Loading...</v>
      </c>
      <c r="L1527" s="129">
        <v>6.5365688E7</v>
      </c>
      <c r="M1527" s="99">
        <v>0.99</v>
      </c>
    </row>
    <row r="1528">
      <c r="A1528" s="122" t="s">
        <v>3480</v>
      </c>
      <c r="B1528" s="123">
        <v>1808665.0</v>
      </c>
      <c r="C1528" s="124" t="s">
        <v>3481</v>
      </c>
      <c r="D1528" s="125"/>
      <c r="E1528" s="126">
        <v>0.79</v>
      </c>
      <c r="F1528" s="127"/>
      <c r="G1528" s="127"/>
      <c r="H1528" s="127"/>
      <c r="I1528" s="128"/>
      <c r="K1528" s="105" t="str">
        <f>IFERROR(__xludf.DUMMYFUNCTION("if(A1528="""","""",substitute(SUBSTITUTE(index(importhtml(""http://finviz.com/quote.ashx?t=""&amp;A1528,""table"",10),7,2),""*"",""""),""-"",""0.00""))"),"Loading...")</f>
        <v>Loading...</v>
      </c>
      <c r="L1528" s="129">
        <v>7.4695429E7</v>
      </c>
      <c r="M1528" s="99">
        <v>0.96</v>
      </c>
    </row>
    <row r="1529">
      <c r="A1529" s="122" t="s">
        <v>3482</v>
      </c>
      <c r="B1529" s="123">
        <v>1828937.0</v>
      </c>
      <c r="C1529" s="124" t="s">
        <v>3483</v>
      </c>
      <c r="D1529" s="125"/>
      <c r="E1529" s="126">
        <v>0.8</v>
      </c>
      <c r="F1529" s="127"/>
      <c r="G1529" s="127"/>
      <c r="H1529" s="127"/>
      <c r="I1529" s="128"/>
      <c r="K1529" s="55" t="s">
        <v>1034</v>
      </c>
      <c r="L1529" s="129">
        <v>7.0488124E7</v>
      </c>
      <c r="M1529" s="99">
        <v>0.9</v>
      </c>
    </row>
    <row r="1530">
      <c r="A1530" s="122" t="s">
        <v>3484</v>
      </c>
      <c r="B1530" s="123">
        <v>1885827.0</v>
      </c>
      <c r="C1530" s="124" t="s">
        <v>3485</v>
      </c>
      <c r="D1530" s="125"/>
      <c r="E1530" s="126">
        <v>0.8</v>
      </c>
      <c r="F1530" s="127"/>
      <c r="G1530" s="127"/>
      <c r="H1530" s="127"/>
      <c r="I1530" s="128"/>
      <c r="K1530" s="105" t="str">
        <f>IFERROR(__xludf.DUMMYFUNCTION("if(A1530="""","""",substitute(SUBSTITUTE(index(importhtml(""http://finviz.com/quote.ashx?t=""&amp;A1530,""table"",10),7,2),""*"",""""),""-"",""0.00""))"),"Loading...")</f>
        <v>Loading...</v>
      </c>
      <c r="L1530" s="129">
        <v>1889518.0</v>
      </c>
      <c r="M1530" s="99">
        <f>IFERROR(__xludf.DUMMYFUNCTION("GOOGLEFINANCE(A1530,""beta"")"),1.63)</f>
        <v>1.63</v>
      </c>
    </row>
    <row r="1531">
      <c r="A1531" s="122" t="s">
        <v>3486</v>
      </c>
      <c r="B1531" s="123">
        <v>730349.0</v>
      </c>
      <c r="C1531" s="124" t="s">
        <v>3487</v>
      </c>
      <c r="D1531" s="125"/>
      <c r="E1531" s="126">
        <v>0.8</v>
      </c>
      <c r="F1531" s="127"/>
      <c r="G1531" s="127"/>
      <c r="H1531" s="127"/>
      <c r="I1531" s="128"/>
      <c r="K1531" s="105" t="str">
        <f>IFERROR(__xludf.DUMMYFUNCTION("if(A1531="""","""",substitute(SUBSTITUTE(index(importhtml(""http://finviz.com/quote.ashx?t=""&amp;A1531,""table"",10),7,2),""*"",""""),""-"",""0.00""))"),"Loading...")</f>
        <v>Loading...</v>
      </c>
      <c r="L1531" s="129">
        <v>4122960.0</v>
      </c>
      <c r="M1531" s="99">
        <v>1.31</v>
      </c>
    </row>
    <row r="1532">
      <c r="A1532" s="122" t="s">
        <v>3488</v>
      </c>
      <c r="B1532" s="123">
        <v>1557798.0</v>
      </c>
      <c r="C1532" s="124" t="s">
        <v>3489</v>
      </c>
      <c r="D1532" s="125"/>
      <c r="E1532" s="126">
        <v>0.8</v>
      </c>
      <c r="F1532" s="127"/>
      <c r="G1532" s="127"/>
      <c r="H1532" s="127"/>
      <c r="I1532" s="128"/>
      <c r="K1532" s="105" t="str">
        <f>IFERROR(__xludf.DUMMYFUNCTION("if(A1532="""","""",substitute(SUBSTITUTE(index(importhtml(""http://finviz.com/quote.ashx?t=""&amp;A1532,""table"",10),7,2),""*"",""""),""-"",""0.00""))"),"Loading...")</f>
        <v>Loading...</v>
      </c>
      <c r="L1532" s="129">
        <v>5066170.0</v>
      </c>
      <c r="M1532" s="99">
        <v>-1.88</v>
      </c>
    </row>
    <row r="1533">
      <c r="A1533" s="122" t="s">
        <v>3490</v>
      </c>
      <c r="B1533" s="123">
        <v>1825875.0</v>
      </c>
      <c r="C1533" s="124" t="s">
        <v>3491</v>
      </c>
      <c r="D1533" s="125"/>
      <c r="E1533" s="126">
        <v>0.8</v>
      </c>
      <c r="F1533" s="127"/>
      <c r="G1533" s="127"/>
      <c r="H1533" s="127"/>
      <c r="I1533" s="128"/>
      <c r="K1533" s="105" t="str">
        <f>IFERROR(__xludf.DUMMYFUNCTION("if(A1533="""","""",substitute(SUBSTITUTE(index(importhtml(""http://finviz.com/quote.ashx?t=""&amp;A1533,""table"",10),7,2),""*"",""""),""-"",""0.00""))"),"Loading...")</f>
        <v>Loading...</v>
      </c>
      <c r="L1533" s="129">
        <v>9698019.0</v>
      </c>
      <c r="M1533" s="99" t="str">
        <f>IFERROR(__xludf.DUMMYFUNCTION("GOOGLEFINANCE(A1533,""beta"")"),"#N/A")</f>
        <v>#N/A</v>
      </c>
    </row>
    <row r="1534">
      <c r="A1534" s="122" t="s">
        <v>3492</v>
      </c>
      <c r="B1534" s="123">
        <v>1558740.0</v>
      </c>
      <c r="C1534" s="124" t="s">
        <v>3493</v>
      </c>
      <c r="D1534" s="125"/>
      <c r="E1534" s="126">
        <v>0.8</v>
      </c>
      <c r="F1534" s="127"/>
      <c r="G1534" s="127"/>
      <c r="H1534" s="127"/>
      <c r="I1534" s="128"/>
      <c r="K1534" s="105" t="str">
        <f>IFERROR(__xludf.DUMMYFUNCTION("if(A1534="""","""",substitute(SUBSTITUTE(index(importhtml(""http://finviz.com/quote.ashx?t=""&amp;A1534,""table"",10),7,2),""*"",""""),""-"",""0.00""))"),"Loading...")</f>
        <v>Loading...</v>
      </c>
      <c r="L1534" s="129">
        <v>1.4660856E7</v>
      </c>
      <c r="M1534" s="99">
        <v>1.37</v>
      </c>
    </row>
    <row r="1535">
      <c r="A1535" s="122" t="s">
        <v>3494</v>
      </c>
      <c r="B1535" s="123">
        <v>1829311.0</v>
      </c>
      <c r="C1535" s="124" t="s">
        <v>3495</v>
      </c>
      <c r="D1535" s="125"/>
      <c r="E1535" s="126">
        <v>0.8</v>
      </c>
      <c r="F1535" s="127"/>
      <c r="G1535" s="127"/>
      <c r="H1535" s="127"/>
      <c r="I1535" s="128"/>
      <c r="K1535" s="105" t="str">
        <f>IFERROR(__xludf.DUMMYFUNCTION("if(A1535="""","""",substitute(SUBSTITUTE(index(importhtml(""http://finviz.com/quote.ashx?t=""&amp;A1535,""table"",10),7,2),""*"",""""),""-"",""0.00""))"),"Loading...")</f>
        <v>Loading...</v>
      </c>
      <c r="L1535" s="129">
        <v>3.9793984E7</v>
      </c>
      <c r="M1535" s="99">
        <v>6.97</v>
      </c>
    </row>
    <row r="1536">
      <c r="A1536" s="122" t="s">
        <v>3496</v>
      </c>
      <c r="B1536" s="123">
        <v>1826000.0</v>
      </c>
      <c r="C1536" s="124" t="s">
        <v>3497</v>
      </c>
      <c r="D1536" s="125"/>
      <c r="E1536" s="126">
        <v>0.8</v>
      </c>
      <c r="F1536" s="127"/>
      <c r="G1536" s="127"/>
      <c r="H1536" s="127"/>
      <c r="I1536" s="128"/>
      <c r="K1536" s="105" t="str">
        <f>IFERROR(__xludf.DUMMYFUNCTION("if(A1536="""","""",substitute(SUBSTITUTE(index(importhtml(""http://finviz.com/quote.ashx?t=""&amp;A1536,""table"",10),7,2),""*"",""""),""-"",""0.00""))"),"Loading...")</f>
        <v>Loading...</v>
      </c>
      <c r="L1536" s="129">
        <v>1.38583842E8</v>
      </c>
      <c r="M1536" s="99">
        <v>1.71</v>
      </c>
    </row>
    <row r="1537">
      <c r="A1537" s="122" t="s">
        <v>3498</v>
      </c>
      <c r="B1537" s="123">
        <v>1879248.0</v>
      </c>
      <c r="C1537" s="124" t="s">
        <v>3499</v>
      </c>
      <c r="D1537" s="125"/>
      <c r="E1537" s="126">
        <v>0.8</v>
      </c>
      <c r="F1537" s="127"/>
      <c r="G1537" s="127"/>
      <c r="H1537" s="127"/>
      <c r="I1537" s="128"/>
      <c r="K1537" s="105" t="str">
        <f>IFERROR(__xludf.DUMMYFUNCTION("if(A1537="""","""",substitute(SUBSTITUTE(index(importhtml(""http://finviz.com/quote.ashx?t=""&amp;A1537,""table"",10),7,2),""*"",""""),""-"",""0.00""))"),"Loading...")</f>
        <v>Loading...</v>
      </c>
      <c r="L1537" s="129">
        <v>3.6795954E8</v>
      </c>
      <c r="M1537" s="99">
        <f>IFERROR(__xludf.DUMMYFUNCTION("GOOGLEFINANCE(A1537,""beta"")"),0.66)</f>
        <v>0.66</v>
      </c>
    </row>
    <row r="1538">
      <c r="A1538" s="122" t="s">
        <v>3500</v>
      </c>
      <c r="B1538" s="123">
        <v>1023512.0</v>
      </c>
      <c r="C1538" s="124" t="s">
        <v>3501</v>
      </c>
      <c r="D1538" s="125"/>
      <c r="E1538" s="126">
        <v>0.8</v>
      </c>
      <c r="F1538" s="127"/>
      <c r="G1538" s="127"/>
      <c r="H1538" s="127"/>
      <c r="I1538" s="128"/>
      <c r="K1538" s="105" t="str">
        <f>IFERROR(__xludf.DUMMYFUNCTION("if(A1538="""","""",substitute(SUBSTITUTE(index(importhtml(""http://finviz.com/quote.ashx?t=""&amp;A1538,""table"",10),7,2),""*"",""""),""-"",""0.00""))"),"Loading...")</f>
        <v>Loading...</v>
      </c>
      <c r="L1538" s="129">
        <v>6.58966634E8</v>
      </c>
      <c r="M1538" s="99">
        <f>IFERROR(__xludf.DUMMYFUNCTION("GOOGLEFINANCE(A1538,""beta"")"),-0.39)</f>
        <v>-0.39</v>
      </c>
    </row>
    <row r="1539">
      <c r="A1539" s="122" t="s">
        <v>3502</v>
      </c>
      <c r="B1539" s="123">
        <v>1856031.0</v>
      </c>
      <c r="C1539" s="124" t="s">
        <v>3503</v>
      </c>
      <c r="D1539" s="125"/>
      <c r="E1539" s="126">
        <v>0.8</v>
      </c>
      <c r="F1539" s="127"/>
      <c r="G1539" s="127"/>
      <c r="H1539" s="127"/>
      <c r="I1539" s="128"/>
      <c r="K1539" s="105" t="str">
        <f>IFERROR(__xludf.DUMMYFUNCTION("if(A1539="""","""",substitute(SUBSTITUTE(index(importhtml(""http://finviz.com/quote.ashx?t=""&amp;A1539,""table"",10),7,2),""*"",""""),""-"",""0.00""))"),"Loading...")</f>
        <v>Loading...</v>
      </c>
      <c r="L1539" s="129">
        <v>1.199675576E9</v>
      </c>
      <c r="M1539" s="99">
        <v>2.63</v>
      </c>
    </row>
    <row r="1540">
      <c r="A1540" s="122" t="s">
        <v>3504</v>
      </c>
      <c r="B1540" s="123">
        <v>1458891.0</v>
      </c>
      <c r="C1540" s="124" t="s">
        <v>3505</v>
      </c>
      <c r="D1540" s="125"/>
      <c r="E1540" s="126">
        <v>0.8</v>
      </c>
      <c r="F1540" s="127"/>
      <c r="G1540" s="127"/>
      <c r="H1540" s="127"/>
      <c r="I1540" s="128"/>
      <c r="K1540" s="105" t="str">
        <f>IFERROR(__xludf.DUMMYFUNCTION("if(A1540="""","""",substitute(SUBSTITUTE(index(importhtml(""http://finviz.com/quote.ashx?t=""&amp;A1540,""table"",10),7,2),""*"",""""),""-"",""0.00""))"),"Loading...")</f>
        <v>Loading...</v>
      </c>
      <c r="L1540" s="129">
        <v>6.105355218E9</v>
      </c>
      <c r="M1540" s="99">
        <f>IFERROR(__xludf.DUMMYFUNCTION("GOOGLEFINANCE(A1540,""beta"")"),0.22)</f>
        <v>0.22</v>
      </c>
    </row>
    <row r="1541">
      <c r="A1541" s="122" t="s">
        <v>3506</v>
      </c>
      <c r="B1541" s="123">
        <v>1076378.0</v>
      </c>
      <c r="C1541" s="124" t="s">
        <v>3507</v>
      </c>
      <c r="D1541" s="125"/>
      <c r="E1541" s="126">
        <v>0.8</v>
      </c>
      <c r="F1541" s="127"/>
      <c r="G1541" s="127"/>
      <c r="H1541" s="127"/>
      <c r="I1541" s="128"/>
      <c r="K1541" s="105" t="str">
        <f>IFERROR(__xludf.DUMMYFUNCTION("if(A1541="""","""",substitute(SUBSTITUTE(index(importhtml(""http://finviz.com/quote.ashx?t=""&amp;A1541,""table"",10),7,2),""*"",""""),""-"",""0.00""))"),"Loading...")</f>
        <v>Loading...</v>
      </c>
      <c r="L1541" s="129">
        <v>1.3007656946E10</v>
      </c>
      <c r="M1541" s="99">
        <v>1.99</v>
      </c>
    </row>
    <row r="1542">
      <c r="A1542" s="122" t="s">
        <v>3508</v>
      </c>
      <c r="B1542" s="123">
        <v>1337553.0</v>
      </c>
      <c r="C1542" s="124" t="s">
        <v>3509</v>
      </c>
      <c r="D1542" s="125"/>
      <c r="E1542" s="126">
        <v>0.8</v>
      </c>
      <c r="F1542" s="127"/>
      <c r="G1542" s="127"/>
      <c r="H1542" s="127"/>
      <c r="I1542" s="128"/>
      <c r="K1542" s="105" t="str">
        <f>IFERROR(__xludf.DUMMYFUNCTION("if(A1542="""","""",substitute(SUBSTITUTE(index(importhtml(""http://finviz.com/quote.ashx?t=""&amp;A1542,""table"",10),7,2),""*"",""""),""-"",""0.00""))"),"Loading...")</f>
        <v>Loading...</v>
      </c>
      <c r="L1542" s="129">
        <v>2.6487008394E10</v>
      </c>
      <c r="M1542" s="99" t="str">
        <f>IFERROR(__xludf.DUMMYFUNCTION("GOOGLEFINANCE(A1542,""beta"")"),"#N/A")</f>
        <v>#N/A</v>
      </c>
    </row>
    <row r="1543">
      <c r="A1543" s="122" t="s">
        <v>3510</v>
      </c>
      <c r="B1543" s="123">
        <v>1720990.0</v>
      </c>
      <c r="C1543" s="124" t="s">
        <v>3511</v>
      </c>
      <c r="D1543" s="125"/>
      <c r="E1543" s="126">
        <v>0.81</v>
      </c>
      <c r="F1543" s="127"/>
      <c r="G1543" s="127"/>
      <c r="H1543" s="127"/>
      <c r="I1543" s="128"/>
      <c r="K1543" s="55" t="s">
        <v>1034</v>
      </c>
      <c r="L1543" s="129">
        <v>4.13058691E8</v>
      </c>
      <c r="M1543" s="99">
        <v>0.73</v>
      </c>
    </row>
    <row r="1544">
      <c r="A1544" s="122" t="s">
        <v>3512</v>
      </c>
      <c r="B1544" s="123">
        <v>1378590.0</v>
      </c>
      <c r="C1544" s="124" t="s">
        <v>3513</v>
      </c>
      <c r="D1544" s="125"/>
      <c r="E1544" s="126">
        <v>0.81</v>
      </c>
      <c r="F1544" s="127"/>
      <c r="G1544" s="127"/>
      <c r="H1544" s="127"/>
      <c r="I1544" s="128"/>
      <c r="K1544" s="105" t="str">
        <f>IFERROR(__xludf.DUMMYFUNCTION("if(A1544="""","""",substitute(SUBSTITUTE(index(importhtml(""http://finviz.com/quote.ashx?t=""&amp;A1544,""table"",10),7,2),""*"",""""),""-"",""0.00""))"),"Loading...")</f>
        <v>Loading...</v>
      </c>
      <c r="L1544" s="129">
        <v>8457485.0</v>
      </c>
      <c r="M1544" s="99">
        <v>1.99</v>
      </c>
    </row>
    <row r="1545">
      <c r="A1545" s="122" t="s">
        <v>3514</v>
      </c>
      <c r="B1545" s="123">
        <v>1881472.0</v>
      </c>
      <c r="C1545" s="124" t="s">
        <v>3515</v>
      </c>
      <c r="D1545" s="125"/>
      <c r="E1545" s="126">
        <v>0.81</v>
      </c>
      <c r="F1545" s="127"/>
      <c r="G1545" s="127"/>
      <c r="H1545" s="127"/>
      <c r="I1545" s="128"/>
      <c r="K1545" s="105" t="str">
        <f>IFERROR(__xludf.DUMMYFUNCTION("if(A1545="""","""",substitute(SUBSTITUTE(index(importhtml(""http://finviz.com/quote.ashx?t=""&amp;A1545,""table"",10),7,2),""*"",""""),""-"",""0.00""))"),"Loading...")</f>
        <v>Loading...</v>
      </c>
      <c r="L1545" s="129">
        <v>1.6447949E7</v>
      </c>
      <c r="M1545" s="99">
        <f>IFERROR(__xludf.DUMMYFUNCTION("GOOGLEFINANCE(A1545,""beta"")"),2.77)</f>
        <v>2.77</v>
      </c>
    </row>
    <row r="1546">
      <c r="A1546" s="122" t="s">
        <v>3516</v>
      </c>
      <c r="B1546" s="123">
        <v>1769116.0</v>
      </c>
      <c r="C1546" s="124" t="s">
        <v>3517</v>
      </c>
      <c r="D1546" s="125"/>
      <c r="E1546" s="126">
        <v>0.81</v>
      </c>
      <c r="F1546" s="127"/>
      <c r="G1546" s="127"/>
      <c r="H1546" s="127"/>
      <c r="I1546" s="128"/>
      <c r="K1546" s="105" t="str">
        <f>IFERROR(__xludf.DUMMYFUNCTION("if(A1546="""","""",substitute(SUBSTITUTE(index(importhtml(""http://finviz.com/quote.ashx?t=""&amp;A1546,""table"",10),7,2),""*"",""""),""-"",""0.00""))"),"Loading...")</f>
        <v>Loading...</v>
      </c>
      <c r="L1546" s="129">
        <v>1.8249663E7</v>
      </c>
      <c r="M1546" s="99">
        <v>0.96</v>
      </c>
    </row>
    <row r="1547">
      <c r="A1547" s="122" t="s">
        <v>3518</v>
      </c>
      <c r="B1547" s="123">
        <v>1829802.0</v>
      </c>
      <c r="C1547" s="124" t="s">
        <v>3519</v>
      </c>
      <c r="D1547" s="125"/>
      <c r="E1547" s="126">
        <v>0.81</v>
      </c>
      <c r="F1547" s="127"/>
      <c r="G1547" s="127"/>
      <c r="H1547" s="127"/>
      <c r="I1547" s="128"/>
      <c r="K1547" s="105" t="str">
        <f>IFERROR(__xludf.DUMMYFUNCTION("if(A1547="""","""",substitute(SUBSTITUTE(index(importhtml(""http://finviz.com/quote.ashx?t=""&amp;A1547,""table"",10),7,2),""*"",""""),""-"",""0.00""))"),"Loading...")</f>
        <v>Loading...</v>
      </c>
      <c r="L1547" s="129">
        <v>2.0321247E7</v>
      </c>
      <c r="M1547" s="99">
        <f>IFERROR(__xludf.DUMMYFUNCTION("GOOGLEFINANCE(A1547,""beta"")"),0.33)</f>
        <v>0.33</v>
      </c>
    </row>
    <row r="1548">
      <c r="A1548" s="122" t="s">
        <v>3520</v>
      </c>
      <c r="B1548" s="123">
        <v>1336835.0</v>
      </c>
      <c r="C1548" s="124" t="s">
        <v>3521</v>
      </c>
      <c r="D1548" s="125"/>
      <c r="E1548" s="126">
        <v>0.81</v>
      </c>
      <c r="F1548" s="127"/>
      <c r="G1548" s="127"/>
      <c r="H1548" s="127"/>
      <c r="I1548" s="128"/>
      <c r="K1548" s="105" t="str">
        <f>IFERROR(__xludf.DUMMYFUNCTION("if(A1548="""","""",substitute(SUBSTITUTE(index(importhtml(""http://finviz.com/quote.ashx?t=""&amp;A1548,""table"",10),7,2),""*"",""""),""-"",""0.00""))"),"Loading...")</f>
        <v>Loading...</v>
      </c>
      <c r="L1548" s="129">
        <v>2.08831268E8</v>
      </c>
      <c r="M1548" s="99">
        <v>1.23</v>
      </c>
    </row>
    <row r="1549">
      <c r="A1549" s="122" t="s">
        <v>3522</v>
      </c>
      <c r="B1549" s="123">
        <v>1592782.0</v>
      </c>
      <c r="C1549" s="124" t="s">
        <v>3523</v>
      </c>
      <c r="D1549" s="125"/>
      <c r="E1549" s="126">
        <v>0.82</v>
      </c>
      <c r="F1549" s="127"/>
      <c r="G1549" s="127"/>
      <c r="H1549" s="127"/>
      <c r="I1549" s="128"/>
      <c r="K1549" s="105" t="str">
        <f>IFERROR(__xludf.DUMMYFUNCTION("if(A1549="""","""",substitute(SUBSTITUTE(index(importhtml(""http://finviz.com/quote.ashx?t=""&amp;A1549,""table"",10),7,2),""*"",""""),""-"",""0.00""))"),"Loading...")</f>
        <v>Loading...</v>
      </c>
      <c r="L1549" s="129">
        <v>1.2172481E7</v>
      </c>
      <c r="M1549" s="99" t="str">
        <f>IFERROR(__xludf.DUMMYFUNCTION("GOOGLEFINANCE(A1549,""beta"")"),"#N/A")</f>
        <v>#N/A</v>
      </c>
    </row>
    <row r="1550">
      <c r="A1550" s="122" t="s">
        <v>3524</v>
      </c>
      <c r="B1550" s="123">
        <v>1934064.0</v>
      </c>
      <c r="C1550" s="124" t="s">
        <v>3525</v>
      </c>
      <c r="D1550" s="125"/>
      <c r="E1550" s="126">
        <v>0.82</v>
      </c>
      <c r="F1550" s="127"/>
      <c r="G1550" s="127"/>
      <c r="H1550" s="127"/>
      <c r="I1550" s="128"/>
      <c r="K1550" s="105" t="str">
        <f>IFERROR(__xludf.DUMMYFUNCTION("if(A1550="""","""",substitute(SUBSTITUTE(index(importhtml(""http://finviz.com/quote.ashx?t=""&amp;A1550,""table"",10),7,2),""*"",""""),""-"",""0.00""))"),"Loading...")</f>
        <v>Loading...</v>
      </c>
      <c r="L1550" s="129">
        <v>1.3472427E7</v>
      </c>
      <c r="M1550" s="99" t="str">
        <f>IFERROR(__xludf.DUMMYFUNCTION("GOOGLEFINANCE(A1550,""beta"")"),"#N/A")</f>
        <v>#N/A</v>
      </c>
    </row>
    <row r="1551">
      <c r="A1551" s="122" t="s">
        <v>3526</v>
      </c>
      <c r="B1551" s="123">
        <v>1769697.0</v>
      </c>
      <c r="C1551" s="124" t="s">
        <v>3527</v>
      </c>
      <c r="D1551" s="125"/>
      <c r="E1551" s="126">
        <v>0.82</v>
      </c>
      <c r="F1551" s="127"/>
      <c r="G1551" s="127"/>
      <c r="H1551" s="127"/>
      <c r="I1551" s="128"/>
      <c r="K1551" s="105" t="str">
        <f>IFERROR(__xludf.DUMMYFUNCTION("if(A1551="""","""",substitute(SUBSTITUTE(index(importhtml(""http://finviz.com/quote.ashx?t=""&amp;A1551,""table"",10),7,2),""*"",""""),""-"",""0.00""))"),"Loading...")</f>
        <v>Loading...</v>
      </c>
      <c r="L1551" s="129">
        <v>1.6623619E7</v>
      </c>
      <c r="M1551" s="99">
        <f>IFERROR(__xludf.DUMMYFUNCTION("GOOGLEFINANCE(A1551,""beta"")"),0.51)</f>
        <v>0.51</v>
      </c>
    </row>
    <row r="1552">
      <c r="A1552" s="122" t="s">
        <v>3528</v>
      </c>
      <c r="B1552" s="123">
        <v>1771885.0</v>
      </c>
      <c r="C1552" s="124" t="s">
        <v>3529</v>
      </c>
      <c r="D1552" s="125"/>
      <c r="E1552" s="126">
        <v>0.82</v>
      </c>
      <c r="F1552" s="127"/>
      <c r="G1552" s="127"/>
      <c r="H1552" s="127"/>
      <c r="I1552" s="128"/>
      <c r="K1552" s="105" t="str">
        <f>IFERROR(__xludf.DUMMYFUNCTION("if(A1552="""","""",substitute(SUBSTITUTE(index(importhtml(""http://finviz.com/quote.ashx?t=""&amp;A1552,""table"",10),7,2),""*"",""""),""-"",""0.00""))"),"Loading...")</f>
        <v>Loading...</v>
      </c>
      <c r="L1552" s="129">
        <v>4.2741484E7</v>
      </c>
      <c r="M1552" s="99">
        <v>0.57</v>
      </c>
    </row>
    <row r="1553">
      <c r="A1553" s="122" t="s">
        <v>3530</v>
      </c>
      <c r="B1553" s="123">
        <v>1742770.0</v>
      </c>
      <c r="C1553" s="124" t="s">
        <v>3531</v>
      </c>
      <c r="D1553" s="125"/>
      <c r="E1553" s="126">
        <v>0.82</v>
      </c>
      <c r="F1553" s="127"/>
      <c r="G1553" s="127"/>
      <c r="H1553" s="127"/>
      <c r="I1553" s="128"/>
      <c r="K1553" s="105" t="str">
        <f>IFERROR(__xludf.DUMMYFUNCTION("if(A1553="""","""",substitute(SUBSTITUTE(index(importhtml(""http://finviz.com/quote.ashx?t=""&amp;A1553,""table"",10),7,2),""*"",""""),""-"",""0.00""))"),"Loading...")</f>
        <v>Loading...</v>
      </c>
      <c r="L1553" s="129">
        <v>5.6335508E7</v>
      </c>
      <c r="M1553" s="99">
        <v>0.95</v>
      </c>
    </row>
    <row r="1554">
      <c r="A1554" s="122" t="s">
        <v>3532</v>
      </c>
      <c r="B1554" s="123">
        <v>1638097.0</v>
      </c>
      <c r="C1554" s="124" t="s">
        <v>3533</v>
      </c>
      <c r="D1554" s="125"/>
      <c r="E1554" s="126">
        <v>0.83</v>
      </c>
      <c r="F1554" s="127"/>
      <c r="G1554" s="127"/>
      <c r="H1554" s="127"/>
      <c r="I1554" s="128"/>
      <c r="K1554" s="105" t="str">
        <f>IFERROR(__xludf.DUMMYFUNCTION("if(A1554="""","""",substitute(SUBSTITUTE(index(importhtml(""http://finviz.com/quote.ashx?t=""&amp;A1554,""table"",10),7,2),""*"",""""),""-"",""0.00""))"),"Loading...")</f>
        <v>Loading...</v>
      </c>
      <c r="L1554" s="129">
        <v>3.0372715E7</v>
      </c>
      <c r="M1554" s="99">
        <v>1.65</v>
      </c>
    </row>
    <row r="1555">
      <c r="A1555" s="122" t="s">
        <v>3534</v>
      </c>
      <c r="B1555" s="123">
        <v>1606745.0</v>
      </c>
      <c r="C1555" s="124" t="s">
        <v>3535</v>
      </c>
      <c r="D1555" s="125"/>
      <c r="E1555" s="126">
        <v>0.83</v>
      </c>
      <c r="F1555" s="127"/>
      <c r="G1555" s="127"/>
      <c r="H1555" s="127"/>
      <c r="I1555" s="128"/>
      <c r="K1555" s="105" t="str">
        <f>IFERROR(__xludf.DUMMYFUNCTION("if(A1555="""","""",substitute(SUBSTITUTE(index(importhtml(""http://finviz.com/quote.ashx?t=""&amp;A1555,""table"",10),7,2),""*"",""""),""-"",""0.00""))"),"Loading...")</f>
        <v>Loading...</v>
      </c>
      <c r="L1555" s="129">
        <v>8.8398484E7</v>
      </c>
      <c r="M1555" s="99">
        <v>2.27</v>
      </c>
    </row>
    <row r="1556">
      <c r="A1556" s="122" t="s">
        <v>3536</v>
      </c>
      <c r="B1556" s="123">
        <v>1501697.0</v>
      </c>
      <c r="C1556" s="124" t="s">
        <v>3537</v>
      </c>
      <c r="D1556" s="125"/>
      <c r="E1556" s="126">
        <v>0.83</v>
      </c>
      <c r="F1556" s="127"/>
      <c r="G1556" s="127"/>
      <c r="H1556" s="127"/>
      <c r="I1556" s="128"/>
      <c r="K1556" s="105" t="str">
        <f>IFERROR(__xludf.DUMMYFUNCTION("if(A1556="""","""",substitute(SUBSTITUTE(index(importhtml(""http://finviz.com/quote.ashx?t=""&amp;A1556,""table"",10),7,2),""*"",""""),""-"",""0.00""))"),"Loading...")</f>
        <v>Loading...</v>
      </c>
      <c r="L1556" s="129">
        <v>1.38734286E8</v>
      </c>
      <c r="M1556" s="99">
        <v>0.38</v>
      </c>
    </row>
    <row r="1557">
      <c r="A1557" s="122" t="s">
        <v>3538</v>
      </c>
      <c r="B1557" s="123">
        <v>1728117.0</v>
      </c>
      <c r="C1557" s="124" t="s">
        <v>3539</v>
      </c>
      <c r="D1557" s="125"/>
      <c r="E1557" s="126">
        <v>0.83</v>
      </c>
      <c r="F1557" s="127"/>
      <c r="G1557" s="127"/>
      <c r="H1557" s="127"/>
      <c r="I1557" s="128"/>
      <c r="K1557" s="105" t="str">
        <f>IFERROR(__xludf.DUMMYFUNCTION("if(A1557="""","""",substitute(SUBSTITUTE(index(importhtml(""http://finviz.com/quote.ashx?t=""&amp;A1557,""table"",10),7,2),""*"",""""),""-"",""0.00""))"),"Loading...")</f>
        <v>Loading...</v>
      </c>
      <c r="L1557" s="129">
        <v>1.86931826E8</v>
      </c>
      <c r="M1557" s="99">
        <v>1.57</v>
      </c>
    </row>
    <row r="1558">
      <c r="A1558" s="122" t="s">
        <v>3540</v>
      </c>
      <c r="B1558" s="123">
        <v>1841024.0</v>
      </c>
      <c r="C1558" s="124" t="s">
        <v>3541</v>
      </c>
      <c r="D1558" s="125"/>
      <c r="E1558" s="126">
        <v>0.83</v>
      </c>
      <c r="F1558" s="127"/>
      <c r="G1558" s="127"/>
      <c r="H1558" s="127"/>
      <c r="I1558" s="128"/>
      <c r="K1558" s="105" t="str">
        <f>IFERROR(__xludf.DUMMYFUNCTION("if(A1558="""","""",substitute(SUBSTITUTE(index(importhtml(""http://finviz.com/quote.ashx?t=""&amp;A1558,""table"",10),7,2),""*"",""""),""-"",""0.00""))"),"Loading...")</f>
        <v>Loading...</v>
      </c>
      <c r="L1558" s="129">
        <v>3.32593439E8</v>
      </c>
      <c r="M1558" s="99" t="str">
        <f>IFERROR(__xludf.DUMMYFUNCTION("GOOGLEFINANCE(A1558,""beta"")"),"#N/A")</f>
        <v>#N/A</v>
      </c>
    </row>
    <row r="1559">
      <c r="A1559" s="122" t="s">
        <v>3542</v>
      </c>
      <c r="B1559" s="123">
        <v>1746466.0</v>
      </c>
      <c r="C1559" s="124" t="s">
        <v>3543</v>
      </c>
      <c r="D1559" s="125"/>
      <c r="E1559" s="126">
        <v>0.84</v>
      </c>
      <c r="F1559" s="127"/>
      <c r="G1559" s="127"/>
      <c r="H1559" s="127"/>
      <c r="I1559" s="128"/>
      <c r="K1559" s="55" t="s">
        <v>1034</v>
      </c>
      <c r="L1559" s="129">
        <v>2.9493137E7</v>
      </c>
      <c r="M1559" s="99">
        <v>1.12</v>
      </c>
    </row>
    <row r="1560">
      <c r="A1560" s="122" t="s">
        <v>3544</v>
      </c>
      <c r="B1560" s="123">
        <v>1770236.0</v>
      </c>
      <c r="C1560" s="124" t="s">
        <v>3545</v>
      </c>
      <c r="D1560" s="125"/>
      <c r="E1560" s="126">
        <v>0.84</v>
      </c>
      <c r="F1560" s="127"/>
      <c r="G1560" s="127"/>
      <c r="H1560" s="127"/>
      <c r="I1560" s="128"/>
      <c r="K1560" s="105" t="str">
        <f>IFERROR(__xludf.DUMMYFUNCTION("if(A1560="""","""",substitute(SUBSTITUTE(index(importhtml(""http://finviz.com/quote.ashx?t=""&amp;A1560,""table"",10),7,2),""*"",""""),""-"",""0.00""))"),"Loading...")</f>
        <v>Loading...</v>
      </c>
      <c r="L1560" s="129">
        <v>8934372.0</v>
      </c>
      <c r="M1560" s="99">
        <f>IFERROR(__xludf.DUMMYFUNCTION("GOOGLEFINANCE(A1560,""beta"")"),0.49)</f>
        <v>0.49</v>
      </c>
    </row>
    <row r="1561">
      <c r="A1561" s="122" t="s">
        <v>3546</v>
      </c>
      <c r="B1561" s="123">
        <v>1779474.0</v>
      </c>
      <c r="C1561" s="124" t="s">
        <v>3547</v>
      </c>
      <c r="D1561" s="125"/>
      <c r="E1561" s="126">
        <v>0.84</v>
      </c>
      <c r="F1561" s="127"/>
      <c r="G1561" s="127"/>
      <c r="H1561" s="127"/>
      <c r="I1561" s="128"/>
      <c r="K1561" s="105" t="str">
        <f>IFERROR(__xludf.DUMMYFUNCTION("if(A1561="""","""",substitute(SUBSTITUTE(index(importhtml(""http://finviz.com/quote.ashx?t=""&amp;A1561,""table"",10),7,2),""*"",""""),""-"",""0.00""))"),"Loading...")</f>
        <v>Loading...</v>
      </c>
      <c r="L1561" s="129">
        <v>1.2593868E8</v>
      </c>
      <c r="M1561" s="99">
        <v>0.74</v>
      </c>
    </row>
    <row r="1562">
      <c r="A1562" s="122" t="s">
        <v>3548</v>
      </c>
      <c r="B1562" s="123">
        <v>1538847.0</v>
      </c>
      <c r="C1562" s="124" t="s">
        <v>3549</v>
      </c>
      <c r="D1562" s="125"/>
      <c r="E1562" s="126">
        <v>0.84</v>
      </c>
      <c r="F1562" s="127"/>
      <c r="G1562" s="127"/>
      <c r="H1562" s="127"/>
      <c r="I1562" s="128"/>
      <c r="K1562" s="105" t="str">
        <f>IFERROR(__xludf.DUMMYFUNCTION("if(A1562="""","""",substitute(SUBSTITUTE(index(importhtml(""http://finviz.com/quote.ashx?t=""&amp;A1562,""table"",10),7,2),""*"",""""),""-"",""0.00""))"),"Loading...")</f>
        <v>Loading...</v>
      </c>
      <c r="L1562" s="129">
        <v>2.07536364E8</v>
      </c>
      <c r="M1562" s="99" t="str">
        <f>IFERROR(__xludf.DUMMYFUNCTION("GOOGLEFINANCE(A1562,""beta"")"),"#N/A")</f>
        <v>#N/A</v>
      </c>
    </row>
    <row r="1563">
      <c r="A1563" s="122" t="s">
        <v>3550</v>
      </c>
      <c r="B1563" s="123">
        <v>1848763.0</v>
      </c>
      <c r="C1563" s="124" t="s">
        <v>3551</v>
      </c>
      <c r="D1563" s="125"/>
      <c r="E1563" s="126">
        <v>0.84</v>
      </c>
      <c r="F1563" s="127"/>
      <c r="G1563" s="127"/>
      <c r="H1563" s="127"/>
      <c r="I1563" s="128"/>
      <c r="K1563" s="105" t="str">
        <f>IFERROR(__xludf.DUMMYFUNCTION("if(A1563="""","""",substitute(SUBSTITUTE(index(importhtml(""http://finviz.com/quote.ashx?t=""&amp;A1563,""table"",10),7,2),""*"",""""),""-"",""0.00""))"),"Loading...")</f>
        <v>Loading...</v>
      </c>
      <c r="L1563" s="129">
        <v>2.402362165E9</v>
      </c>
      <c r="M1563" s="99">
        <f>IFERROR(__xludf.DUMMYFUNCTION("GOOGLEFINANCE(A1563,""beta"")"),1.99)</f>
        <v>1.99</v>
      </c>
    </row>
    <row r="1564">
      <c r="A1564" s="122" t="s">
        <v>3552</v>
      </c>
      <c r="B1564" s="123">
        <v>839923.0</v>
      </c>
      <c r="C1564" s="124" t="s">
        <v>3553</v>
      </c>
      <c r="D1564" s="125"/>
      <c r="E1564" s="126">
        <v>0.84</v>
      </c>
      <c r="F1564" s="127"/>
      <c r="G1564" s="127"/>
      <c r="H1564" s="127"/>
      <c r="I1564" s="128"/>
      <c r="K1564" s="105" t="str">
        <f>IFERROR(__xludf.DUMMYFUNCTION("if(A1564="""","""",substitute(SUBSTITUTE(index(importhtml(""http://finviz.com/quote.ashx?t=""&amp;A1564,""table"",10),7,2),""*"",""""),""-"",""0.00""))"),"Loading...")</f>
        <v>Loading...</v>
      </c>
      <c r="L1564" s="129">
        <v>2.3237334551E10</v>
      </c>
      <c r="M1564" s="99">
        <v>0.73</v>
      </c>
    </row>
    <row r="1565">
      <c r="A1565" s="122" t="s">
        <v>3554</v>
      </c>
      <c r="B1565" s="123">
        <v>1023549.0</v>
      </c>
      <c r="C1565" s="124" t="s">
        <v>3555</v>
      </c>
      <c r="D1565" s="125"/>
      <c r="E1565" s="126">
        <v>0.85</v>
      </c>
      <c r="F1565" s="127"/>
      <c r="G1565" s="127"/>
      <c r="H1565" s="127"/>
      <c r="I1565" s="128"/>
      <c r="K1565" s="105" t="str">
        <f>IFERROR(__xludf.DUMMYFUNCTION("if(A1565="""","""",substitute(SUBSTITUTE(index(importhtml(""http://finviz.com/quote.ashx?t=""&amp;A1565,""table"",10),7,2),""*"",""""),""-"",""0.00""))"),"Loading...")</f>
        <v>Loading...</v>
      </c>
      <c r="L1565" s="129">
        <v>4952247.0</v>
      </c>
      <c r="M1565" s="99">
        <v>0.67</v>
      </c>
    </row>
    <row r="1566">
      <c r="A1566" s="122" t="s">
        <v>3556</v>
      </c>
      <c r="B1566" s="123">
        <v>1452965.0</v>
      </c>
      <c r="C1566" s="124" t="s">
        <v>3557</v>
      </c>
      <c r="D1566" s="125"/>
      <c r="E1566" s="126">
        <v>0.85</v>
      </c>
      <c r="F1566" s="127"/>
      <c r="G1566" s="127"/>
      <c r="H1566" s="127"/>
      <c r="I1566" s="128"/>
      <c r="K1566" s="105" t="str">
        <f>IFERROR(__xludf.DUMMYFUNCTION("if(A1566="""","""",substitute(SUBSTITUTE(index(importhtml(""http://finviz.com/quote.ashx?t=""&amp;A1566,""table"",10),7,2),""*"",""""),""-"",""0.00""))"),"Loading...")</f>
        <v>Loading...</v>
      </c>
      <c r="L1566" s="129">
        <v>7502407.0</v>
      </c>
      <c r="M1566" s="99" t="str">
        <f>IFERROR(__xludf.DUMMYFUNCTION("GOOGLEFINANCE(A1566,""beta"")"),"#N/A")</f>
        <v>#N/A</v>
      </c>
    </row>
    <row r="1567">
      <c r="A1567" s="122" t="s">
        <v>3558</v>
      </c>
      <c r="B1567" s="123">
        <v>1052054.0</v>
      </c>
      <c r="C1567" s="124" t="s">
        <v>3559</v>
      </c>
      <c r="D1567" s="125"/>
      <c r="E1567" s="126">
        <v>0.85</v>
      </c>
      <c r="F1567" s="127"/>
      <c r="G1567" s="127"/>
      <c r="H1567" s="127"/>
      <c r="I1567" s="128"/>
      <c r="K1567" s="105" t="str">
        <f>IFERROR(__xludf.DUMMYFUNCTION("if(A1567="""","""",substitute(SUBSTITUTE(index(importhtml(""http://finviz.com/quote.ashx?t=""&amp;A1567,""table"",10),7,2),""*"",""""),""-"",""0.00""))"),"Loading...")</f>
        <v>Loading...</v>
      </c>
      <c r="L1567" s="129">
        <v>9068633.0</v>
      </c>
      <c r="M1567" s="99">
        <v>1.29</v>
      </c>
    </row>
    <row r="1568">
      <c r="A1568" s="122" t="s">
        <v>3560</v>
      </c>
      <c r="B1568" s="123">
        <v>1847075.0</v>
      </c>
      <c r="C1568" s="124" t="s">
        <v>3561</v>
      </c>
      <c r="D1568" s="125"/>
      <c r="E1568" s="126">
        <v>0.85</v>
      </c>
      <c r="F1568" s="127"/>
      <c r="G1568" s="127"/>
      <c r="H1568" s="127"/>
      <c r="I1568" s="128"/>
      <c r="K1568" s="105" t="str">
        <f>IFERROR(__xludf.DUMMYFUNCTION("if(A1568="""","""",substitute(SUBSTITUTE(index(importhtml(""http://finviz.com/quote.ashx?t=""&amp;A1568,""table"",10),7,2),""*"",""""),""-"",""0.00""))"),"Loading...")</f>
        <v>Loading...</v>
      </c>
      <c r="L1568" s="129">
        <v>2.0304647E7</v>
      </c>
      <c r="M1568" s="99" t="str">
        <f>IFERROR(__xludf.DUMMYFUNCTION("GOOGLEFINANCE(A1568,""beta"")"),"#N/A")</f>
        <v>#N/A</v>
      </c>
    </row>
    <row r="1569">
      <c r="A1569" s="122" t="s">
        <v>3562</v>
      </c>
      <c r="B1569" s="123">
        <v>1082038.0</v>
      </c>
      <c r="C1569" s="124" t="s">
        <v>3563</v>
      </c>
      <c r="D1569" s="125"/>
      <c r="E1569" s="126">
        <v>0.85</v>
      </c>
      <c r="F1569" s="127"/>
      <c r="G1569" s="127"/>
      <c r="H1569" s="127"/>
      <c r="I1569" s="128"/>
      <c r="K1569" s="105" t="str">
        <f>IFERROR(__xludf.DUMMYFUNCTION("if(A1569="""","""",substitute(SUBSTITUTE(index(importhtml(""http://finviz.com/quote.ashx?t=""&amp;A1569,""table"",10),7,2),""*"",""""),""-"",""0.00""))"),"Loading...")</f>
        <v>Loading...</v>
      </c>
      <c r="L1569" s="129">
        <v>2.5324726E7</v>
      </c>
      <c r="M1569" s="99">
        <v>0.81</v>
      </c>
    </row>
    <row r="1570">
      <c r="A1570" s="122" t="s">
        <v>3564</v>
      </c>
      <c r="B1570" s="123">
        <v>1329606.0</v>
      </c>
      <c r="C1570" s="124" t="s">
        <v>3565</v>
      </c>
      <c r="D1570" s="125"/>
      <c r="E1570" s="126">
        <v>0.85</v>
      </c>
      <c r="F1570" s="127"/>
      <c r="G1570" s="127"/>
      <c r="H1570" s="127"/>
      <c r="I1570" s="128"/>
      <c r="K1570" s="105" t="str">
        <f>IFERROR(__xludf.DUMMYFUNCTION("if(A1570="""","""",substitute(SUBSTITUTE(index(importhtml(""http://finviz.com/quote.ashx?t=""&amp;A1570,""table"",10),7,2),""*"",""""),""-"",""0.00""))"),"Loading...")</f>
        <v>Loading...</v>
      </c>
      <c r="L1570" s="129">
        <v>3.3123608E7</v>
      </c>
      <c r="M1570" s="99">
        <v>0.45</v>
      </c>
    </row>
    <row r="1571">
      <c r="A1571" s="122" t="s">
        <v>3566</v>
      </c>
      <c r="B1571" s="123">
        <v>1584549.0</v>
      </c>
      <c r="C1571" s="124" t="s">
        <v>3567</v>
      </c>
      <c r="D1571" s="125"/>
      <c r="E1571" s="126">
        <v>0.85</v>
      </c>
      <c r="F1571" s="127"/>
      <c r="G1571" s="127"/>
      <c r="H1571" s="127"/>
      <c r="I1571" s="128"/>
      <c r="K1571" s="105" t="str">
        <f>IFERROR(__xludf.DUMMYFUNCTION("if(A1571="""","""",substitute(SUBSTITUTE(index(importhtml(""http://finviz.com/quote.ashx?t=""&amp;A1571,""table"",10),7,2),""*"",""""),""-"",""0.00""))"),"Loading...")</f>
        <v>Loading...</v>
      </c>
      <c r="L1571" s="129">
        <v>9.3703067E7</v>
      </c>
      <c r="M1571" s="99">
        <v>2.36</v>
      </c>
    </row>
    <row r="1572">
      <c r="A1572" s="122" t="s">
        <v>3568</v>
      </c>
      <c r="B1572" s="123">
        <v>1488039.0</v>
      </c>
      <c r="C1572" s="124" t="s">
        <v>3569</v>
      </c>
      <c r="D1572" s="125"/>
      <c r="E1572" s="126">
        <v>0.85</v>
      </c>
      <c r="F1572" s="127"/>
      <c r="G1572" s="127"/>
      <c r="H1572" s="127"/>
      <c r="I1572" s="128"/>
      <c r="K1572" s="105" t="str">
        <f>IFERROR(__xludf.DUMMYFUNCTION("if(A1572="""","""",substitute(SUBSTITUTE(index(importhtml(""http://finviz.com/quote.ashx?t=""&amp;A1572,""table"",10),7,2),""*"",""""),""-"",""0.00""))"),"Loading...")</f>
        <v>Loading...</v>
      </c>
      <c r="L1572" s="129">
        <v>1.06833471E8</v>
      </c>
      <c r="M1572" s="99">
        <v>1.15</v>
      </c>
    </row>
    <row r="1573">
      <c r="A1573" s="122" t="s">
        <v>3570</v>
      </c>
      <c r="B1573" s="123">
        <v>1825254.0</v>
      </c>
      <c r="C1573" s="124" t="s">
        <v>3571</v>
      </c>
      <c r="D1573" s="125"/>
      <c r="E1573" s="126">
        <v>0.85</v>
      </c>
      <c r="F1573" s="127"/>
      <c r="G1573" s="127"/>
      <c r="H1573" s="127"/>
      <c r="I1573" s="128"/>
      <c r="K1573" s="105" t="str">
        <f>IFERROR(__xludf.DUMMYFUNCTION("if(A1573="""","""",substitute(SUBSTITUTE(index(importhtml(""http://finviz.com/quote.ashx?t=""&amp;A1573,""table"",10),7,2),""*"",""""),""-"",""0.00""))"),"Loading...")</f>
        <v>Loading...</v>
      </c>
      <c r="L1573" s="129">
        <v>2.64234067E8</v>
      </c>
      <c r="M1573" s="99" t="str">
        <f>IFERROR(__xludf.DUMMYFUNCTION("GOOGLEFINANCE(A1573,""beta"")"),"#N/A")</f>
        <v>#N/A</v>
      </c>
    </row>
    <row r="1574">
      <c r="A1574" s="122" t="s">
        <v>3572</v>
      </c>
      <c r="B1574" s="123">
        <v>1355096.0</v>
      </c>
      <c r="C1574" s="124" t="s">
        <v>3573</v>
      </c>
      <c r="D1574" s="125"/>
      <c r="E1574" s="126">
        <v>0.85</v>
      </c>
      <c r="F1574" s="127"/>
      <c r="G1574" s="127"/>
      <c r="H1574" s="127"/>
      <c r="I1574" s="128"/>
      <c r="K1574" s="105" t="str">
        <f>IFERROR(__xludf.DUMMYFUNCTION("if(A1574="""","""",substitute(SUBSTITUTE(index(importhtml(""http://finviz.com/quote.ashx?t=""&amp;A1574,""table"",10),7,2),""*"",""""),""-"",""0.00""))"),"Loading...")</f>
        <v>Loading...</v>
      </c>
      <c r="L1574" s="129">
        <v>3.70935515E8</v>
      </c>
      <c r="M1574" s="99">
        <v>2.42</v>
      </c>
    </row>
    <row r="1575">
      <c r="A1575" s="122" t="s">
        <v>3574</v>
      </c>
      <c r="B1575" s="123">
        <v>1253176.0</v>
      </c>
      <c r="C1575" s="124" t="s">
        <v>3575</v>
      </c>
      <c r="D1575" s="125"/>
      <c r="E1575" s="126">
        <v>0.86</v>
      </c>
      <c r="F1575" s="127"/>
      <c r="G1575" s="127"/>
      <c r="H1575" s="127"/>
      <c r="I1575" s="128"/>
      <c r="K1575" s="105" t="str">
        <f>IFERROR(__xludf.DUMMYFUNCTION("if(A1575="""","""",substitute(SUBSTITUTE(index(importhtml(""http://finviz.com/quote.ashx?t=""&amp;A1575,""table"",10),7,2),""*"",""""),""-"",""0.00""))"),"Loading...")</f>
        <v>Loading...</v>
      </c>
      <c r="L1575" s="129">
        <v>5233711.0</v>
      </c>
      <c r="M1575" s="99">
        <v>-1.17</v>
      </c>
    </row>
    <row r="1576">
      <c r="A1576" s="122" t="s">
        <v>3576</v>
      </c>
      <c r="B1576" s="123">
        <v>948708.0</v>
      </c>
      <c r="C1576" s="124" t="s">
        <v>3577</v>
      </c>
      <c r="D1576" s="125"/>
      <c r="E1576" s="126">
        <v>0.86</v>
      </c>
      <c r="F1576" s="127"/>
      <c r="G1576" s="127"/>
      <c r="H1576" s="127"/>
      <c r="I1576" s="128"/>
      <c r="K1576" s="105" t="str">
        <f>IFERROR(__xludf.DUMMYFUNCTION("if(A1576="""","""",substitute(SUBSTITUTE(index(importhtml(""http://finviz.com/quote.ashx?t=""&amp;A1576,""table"",10),7,2),""*"",""""),""-"",""0.00""))"),"Loading...")</f>
        <v>Loading...</v>
      </c>
      <c r="L1576" s="129">
        <v>6.1839225E7</v>
      </c>
      <c r="M1576" s="99">
        <v>0.83</v>
      </c>
    </row>
    <row r="1577">
      <c r="A1577" s="122" t="s">
        <v>3578</v>
      </c>
      <c r="B1577" s="123">
        <v>1722387.0</v>
      </c>
      <c r="C1577" s="124" t="s">
        <v>3579</v>
      </c>
      <c r="D1577" s="125"/>
      <c r="E1577" s="126">
        <v>0.86</v>
      </c>
      <c r="F1577" s="127"/>
      <c r="G1577" s="127"/>
      <c r="H1577" s="127"/>
      <c r="I1577" s="128"/>
      <c r="K1577" s="105" t="str">
        <f>IFERROR(__xludf.DUMMYFUNCTION("if(A1577="""","""",substitute(SUBSTITUTE(index(importhtml(""http://finviz.com/quote.ashx?t=""&amp;A1577,""table"",10),7,2),""*"",""""),""-"",""0.00""))"),"Loading...")</f>
        <v>Loading...</v>
      </c>
      <c r="L1577" s="129">
        <v>8.0597997E7</v>
      </c>
      <c r="M1577" s="99">
        <v>1.26</v>
      </c>
    </row>
    <row r="1578">
      <c r="A1578" s="122" t="s">
        <v>3580</v>
      </c>
      <c r="B1578" s="123">
        <v>894556.0</v>
      </c>
      <c r="C1578" s="124" t="s">
        <v>3581</v>
      </c>
      <c r="D1578" s="125"/>
      <c r="E1578" s="126">
        <v>0.86</v>
      </c>
      <c r="F1578" s="127"/>
      <c r="G1578" s="127"/>
      <c r="H1578" s="127"/>
      <c r="I1578" s="128"/>
      <c r="K1578" s="105" t="str">
        <f>IFERROR(__xludf.DUMMYFUNCTION("if(A1578="""","""",substitute(SUBSTITUTE(index(importhtml(""http://finviz.com/quote.ashx?t=""&amp;A1578,""table"",10),7,2),""*"",""""),""-"",""0.00""))"),"Loading...")</f>
        <v>Loading...</v>
      </c>
      <c r="L1578" s="129">
        <v>8.3840444E7</v>
      </c>
      <c r="M1578" s="99">
        <v>4.03</v>
      </c>
    </row>
    <row r="1579">
      <c r="A1579" s="122" t="s">
        <v>3582</v>
      </c>
      <c r="B1579" s="123">
        <v>1855756.0</v>
      </c>
      <c r="C1579" s="124" t="s">
        <v>3583</v>
      </c>
      <c r="D1579" s="125"/>
      <c r="E1579" s="126">
        <v>0.86</v>
      </c>
      <c r="F1579" s="127"/>
      <c r="G1579" s="127"/>
      <c r="H1579" s="127"/>
      <c r="I1579" s="128"/>
      <c r="K1579" s="105" t="str">
        <f>IFERROR(__xludf.DUMMYFUNCTION("if(A1579="""","""",substitute(SUBSTITUTE(index(importhtml(""http://finviz.com/quote.ashx?t=""&amp;A1579,""table"",10),7,2),""*"",""""),""-"",""0.00""))"),"Loading...")</f>
        <v>Loading...</v>
      </c>
      <c r="L1579" s="129">
        <v>4.51763167E8</v>
      </c>
      <c r="M1579" s="99">
        <v>2.0</v>
      </c>
    </row>
    <row r="1580">
      <c r="A1580" s="122" t="s">
        <v>3584</v>
      </c>
      <c r="B1580" s="123">
        <v>890821.0</v>
      </c>
      <c r="C1580" s="124" t="s">
        <v>3585</v>
      </c>
      <c r="D1580" s="125"/>
      <c r="E1580" s="126">
        <v>0.87</v>
      </c>
      <c r="F1580" s="127"/>
      <c r="G1580" s="127"/>
      <c r="H1580" s="127"/>
      <c r="I1580" s="128"/>
      <c r="K1580" s="105" t="str">
        <f>IFERROR(__xludf.DUMMYFUNCTION("if(A1580="""","""",substitute(SUBSTITUTE(index(importhtml(""http://finviz.com/quote.ashx?t=""&amp;A1580,""table"",10),7,2),""*"",""""),""-"",""0.00""))"),"Loading...")</f>
        <v>Loading...</v>
      </c>
      <c r="L1580" s="129">
        <v>2385335.0</v>
      </c>
      <c r="M1580" s="99">
        <v>1.01</v>
      </c>
    </row>
    <row r="1581">
      <c r="A1581" s="122" t="s">
        <v>3586</v>
      </c>
      <c r="B1581" s="123">
        <v>1815566.0</v>
      </c>
      <c r="C1581" s="124" t="s">
        <v>3587</v>
      </c>
      <c r="D1581" s="125"/>
      <c r="E1581" s="126">
        <v>0.87</v>
      </c>
      <c r="F1581" s="127"/>
      <c r="G1581" s="127"/>
      <c r="H1581" s="127"/>
      <c r="I1581" s="128"/>
      <c r="K1581" s="105" t="str">
        <f>IFERROR(__xludf.DUMMYFUNCTION("if(A1581="""","""",substitute(SUBSTITUTE(index(importhtml(""http://finviz.com/quote.ashx?t=""&amp;A1581,""table"",10),7,2),""*"",""""),""-"",""0.00""))"),"Loading...")</f>
        <v>Loading...</v>
      </c>
      <c r="L1581" s="129">
        <v>6505083.0</v>
      </c>
      <c r="M1581" s="99">
        <f>IFERROR(__xludf.DUMMYFUNCTION("GOOGLEFINANCE(A1581,""beta"")"),1.74)</f>
        <v>1.74</v>
      </c>
    </row>
    <row r="1582">
      <c r="A1582" s="122" t="s">
        <v>3588</v>
      </c>
      <c r="B1582" s="123">
        <v>1017491.0</v>
      </c>
      <c r="C1582" s="124" t="s">
        <v>3589</v>
      </c>
      <c r="D1582" s="125"/>
      <c r="E1582" s="126">
        <v>0.87</v>
      </c>
      <c r="F1582" s="127"/>
      <c r="G1582" s="127"/>
      <c r="H1582" s="127"/>
      <c r="I1582" s="128"/>
      <c r="K1582" s="105" t="str">
        <f>IFERROR(__xludf.DUMMYFUNCTION("if(A1582="""","""",substitute(SUBSTITUTE(index(importhtml(""http://finviz.com/quote.ashx?t=""&amp;A1582,""table"",10),7,2),""*"",""""),""-"",""0.00""))"),"Loading...")</f>
        <v>Loading...</v>
      </c>
      <c r="L1582" s="129">
        <v>1.1236345E7</v>
      </c>
      <c r="M1582" s="99">
        <v>1.86</v>
      </c>
    </row>
    <row r="1583">
      <c r="A1583" s="122" t="s">
        <v>3590</v>
      </c>
      <c r="B1583" s="123">
        <v>1837493.0</v>
      </c>
      <c r="C1583" s="124" t="s">
        <v>3591</v>
      </c>
      <c r="D1583" s="125"/>
      <c r="E1583" s="126">
        <v>0.87</v>
      </c>
      <c r="F1583" s="127"/>
      <c r="G1583" s="127"/>
      <c r="H1583" s="127"/>
      <c r="I1583" s="128"/>
      <c r="K1583" s="105" t="str">
        <f>IFERROR(__xludf.DUMMYFUNCTION("if(A1583="""","""",substitute(SUBSTITUTE(index(importhtml(""http://finviz.com/quote.ashx?t=""&amp;A1583,""table"",10),7,2),""*"",""""),""-"",""0.00""))"),"Loading...")</f>
        <v>Loading...</v>
      </c>
      <c r="L1583" s="129">
        <v>1.2148336E7</v>
      </c>
      <c r="M1583" s="99">
        <f>IFERROR(__xludf.DUMMYFUNCTION("GOOGLEFINANCE(A1583,""beta"")"),2.26)</f>
        <v>2.26</v>
      </c>
    </row>
    <row r="1584">
      <c r="A1584" s="122" t="s">
        <v>3592</v>
      </c>
      <c r="B1584" s="123">
        <v>1834975.0</v>
      </c>
      <c r="C1584" s="124" t="s">
        <v>3593</v>
      </c>
      <c r="D1584" s="125"/>
      <c r="E1584" s="126">
        <v>0.87</v>
      </c>
      <c r="F1584" s="127"/>
      <c r="G1584" s="127"/>
      <c r="H1584" s="127"/>
      <c r="I1584" s="128"/>
      <c r="K1584" s="105" t="str">
        <f>IFERROR(__xludf.DUMMYFUNCTION("if(A1584="""","""",substitute(SUBSTITUTE(index(importhtml(""http://finviz.com/quote.ashx?t=""&amp;A1584,""table"",10),7,2),""*"",""""),""-"",""0.00""))"),"Loading...")</f>
        <v>Loading...</v>
      </c>
      <c r="L1584" s="129">
        <v>5.2061177E7</v>
      </c>
      <c r="M1584" s="99">
        <v>0.83</v>
      </c>
    </row>
    <row r="1585">
      <c r="A1585" s="122" t="s">
        <v>3594</v>
      </c>
      <c r="B1585" s="123">
        <v>1789029.0</v>
      </c>
      <c r="C1585" s="124" t="s">
        <v>3595</v>
      </c>
      <c r="D1585" s="125"/>
      <c r="E1585" s="126">
        <v>0.87</v>
      </c>
      <c r="F1585" s="127"/>
      <c r="G1585" s="127"/>
      <c r="H1585" s="127"/>
      <c r="I1585" s="128"/>
      <c r="K1585" s="105" t="str">
        <f>IFERROR(__xludf.DUMMYFUNCTION("if(A1585="""","""",substitute(SUBSTITUTE(index(importhtml(""http://finviz.com/quote.ashx?t=""&amp;A1585,""table"",10),7,2),""*"",""""),""-"",""0.00""))"),"Loading...")</f>
        <v>Loading...</v>
      </c>
      <c r="L1585" s="129">
        <v>1.93671484E8</v>
      </c>
      <c r="M1585" s="99">
        <v>1.34</v>
      </c>
    </row>
    <row r="1586">
      <c r="A1586" s="122" t="s">
        <v>3596</v>
      </c>
      <c r="B1586" s="123">
        <v>1392380.0</v>
      </c>
      <c r="C1586" s="124" t="s">
        <v>3597</v>
      </c>
      <c r="D1586" s="125"/>
      <c r="E1586" s="126">
        <v>0.87</v>
      </c>
      <c r="F1586" s="127"/>
      <c r="G1586" s="127"/>
      <c r="H1586" s="127"/>
      <c r="I1586" s="128"/>
      <c r="K1586" s="105" t="str">
        <f>IFERROR(__xludf.DUMMYFUNCTION("if(A1586="""","""",substitute(SUBSTITUTE(index(importhtml(""http://finviz.com/quote.ashx?t=""&amp;A1586,""table"",10),7,2),""*"",""""),""-"",""0.00""))"),"Loading...")</f>
        <v>Loading...</v>
      </c>
      <c r="L1586" s="129">
        <v>2.10687064E8</v>
      </c>
      <c r="M1586" s="99">
        <v>2.91</v>
      </c>
    </row>
    <row r="1587">
      <c r="A1587" s="122" t="s">
        <v>3598</v>
      </c>
      <c r="B1587" s="123">
        <v>1819989.0</v>
      </c>
      <c r="C1587" s="124" t="s">
        <v>3599</v>
      </c>
      <c r="D1587" s="125"/>
      <c r="E1587" s="126">
        <v>0.87</v>
      </c>
      <c r="F1587" s="127"/>
      <c r="G1587" s="127"/>
      <c r="H1587" s="127"/>
      <c r="I1587" s="128"/>
      <c r="K1587" s="105" t="str">
        <f>IFERROR(__xludf.DUMMYFUNCTION("if(A1587="""","""",substitute(SUBSTITUTE(index(importhtml(""http://finviz.com/quote.ashx?t=""&amp;A1587,""table"",10),7,2),""*"",""""),""-"",""0.00""))"),"Loading...")</f>
        <v>Loading...</v>
      </c>
      <c r="L1587" s="129">
        <v>6.88913849E8</v>
      </c>
      <c r="M1587" s="99">
        <v>3.55</v>
      </c>
    </row>
    <row r="1588">
      <c r="A1588" s="122" t="s">
        <v>3600</v>
      </c>
      <c r="B1588" s="123">
        <v>1792267.0</v>
      </c>
      <c r="C1588" s="124" t="s">
        <v>3601</v>
      </c>
      <c r="D1588" s="125"/>
      <c r="E1588" s="126">
        <v>0.88</v>
      </c>
      <c r="F1588" s="127"/>
      <c r="G1588" s="127"/>
      <c r="H1588" s="127"/>
      <c r="I1588" s="128"/>
      <c r="K1588" s="55" t="s">
        <v>1034</v>
      </c>
      <c r="L1588" s="129">
        <v>9.0354263E7</v>
      </c>
      <c r="M1588" s="99">
        <v>0.23</v>
      </c>
    </row>
    <row r="1589">
      <c r="A1589" s="122" t="s">
        <v>3602</v>
      </c>
      <c r="B1589" s="123">
        <v>819913.0</v>
      </c>
      <c r="C1589" s="124" t="s">
        <v>3603</v>
      </c>
      <c r="D1589" s="125"/>
      <c r="E1589" s="126">
        <v>0.88</v>
      </c>
      <c r="F1589" s="127"/>
      <c r="G1589" s="127"/>
      <c r="H1589" s="127"/>
      <c r="I1589" s="128"/>
      <c r="K1589" s="105" t="str">
        <f>IFERROR(__xludf.DUMMYFUNCTION("if(A1589="""","""",substitute(SUBSTITUTE(index(importhtml(""http://finviz.com/quote.ashx?t=""&amp;A1589,""table"",10),7,2),""*"",""""),""-"",""0.00""))"),"Loading...")</f>
        <v>Loading...</v>
      </c>
      <c r="L1589" s="129">
        <v>1602651.0</v>
      </c>
      <c r="M1589" s="99">
        <v>1.15</v>
      </c>
    </row>
    <row r="1590">
      <c r="A1590" s="122" t="s">
        <v>3604</v>
      </c>
      <c r="B1590" s="123">
        <v>1597892.0</v>
      </c>
      <c r="C1590" s="124" t="s">
        <v>3605</v>
      </c>
      <c r="D1590" s="125"/>
      <c r="E1590" s="126">
        <v>0.88</v>
      </c>
      <c r="F1590" s="127"/>
      <c r="G1590" s="127"/>
      <c r="H1590" s="127"/>
      <c r="I1590" s="128"/>
      <c r="K1590" s="105" t="str">
        <f>IFERROR(__xludf.DUMMYFUNCTION("if(A1590="""","""",substitute(SUBSTITUTE(index(importhtml(""http://finviz.com/quote.ashx?t=""&amp;A1590,""table"",10),7,2),""*"",""""),""-"",""0.00""))"),"Loading...")</f>
        <v>Loading...</v>
      </c>
      <c r="L1590" s="129">
        <v>5136260.0</v>
      </c>
      <c r="M1590" s="99">
        <v>-2.04</v>
      </c>
    </row>
    <row r="1591">
      <c r="A1591" s="122" t="s">
        <v>3606</v>
      </c>
      <c r="B1591" s="123">
        <v>1677077.0</v>
      </c>
      <c r="C1591" s="124" t="s">
        <v>3607</v>
      </c>
      <c r="D1591" s="125"/>
      <c r="E1591" s="126">
        <v>0.88</v>
      </c>
      <c r="F1591" s="127"/>
      <c r="G1591" s="127"/>
      <c r="H1591" s="127"/>
      <c r="I1591" s="128"/>
      <c r="K1591" s="105" t="str">
        <f>IFERROR(__xludf.DUMMYFUNCTION("if(A1591="""","""",substitute(SUBSTITUTE(index(importhtml(""http://finviz.com/quote.ashx?t=""&amp;A1591,""table"",10),7,2),""*"",""""),""-"",""0.00""))"),"Loading...")</f>
        <v>Loading...</v>
      </c>
      <c r="L1591" s="129">
        <v>6239212.0</v>
      </c>
      <c r="M1591" s="99">
        <f>IFERROR(__xludf.DUMMYFUNCTION("GOOGLEFINANCE(A1591,""beta"")"),-0.25)</f>
        <v>-0.25</v>
      </c>
    </row>
    <row r="1592">
      <c r="A1592" s="122" t="s">
        <v>3608</v>
      </c>
      <c r="B1592" s="123">
        <v>1679063.0</v>
      </c>
      <c r="C1592" s="124" t="s">
        <v>3609</v>
      </c>
      <c r="D1592" s="125"/>
      <c r="E1592" s="126">
        <v>0.88</v>
      </c>
      <c r="F1592" s="127"/>
      <c r="G1592" s="127"/>
      <c r="H1592" s="127"/>
      <c r="I1592" s="128"/>
      <c r="K1592" s="105" t="str">
        <f>IFERROR(__xludf.DUMMYFUNCTION("if(A1592="""","""",substitute(SUBSTITUTE(index(importhtml(""http://finviz.com/quote.ashx?t=""&amp;A1592,""table"",10),7,2),""*"",""""),""-"",""0.00""))"),"Loading...")</f>
        <v>Loading...</v>
      </c>
      <c r="L1592" s="129">
        <v>6250465.0</v>
      </c>
      <c r="M1592" s="99">
        <v>0.37</v>
      </c>
    </row>
    <row r="1593">
      <c r="A1593" s="122" t="s">
        <v>3610</v>
      </c>
      <c r="B1593" s="123">
        <v>1874252.0</v>
      </c>
      <c r="C1593" s="124" t="s">
        <v>3611</v>
      </c>
      <c r="D1593" s="125"/>
      <c r="E1593" s="126">
        <v>0.88</v>
      </c>
      <c r="F1593" s="127"/>
      <c r="G1593" s="127"/>
      <c r="H1593" s="127"/>
      <c r="I1593" s="128"/>
      <c r="K1593" s="105" t="str">
        <f>IFERROR(__xludf.DUMMYFUNCTION("if(A1593="""","""",substitute(SUBSTITUTE(index(importhtml(""http://finviz.com/quote.ashx?t=""&amp;A1593,""table"",10),7,2),""*"",""""),""-"",""0.00""))"),"Loading...")</f>
        <v>Loading...</v>
      </c>
      <c r="L1593" s="129">
        <v>1.7813661E7</v>
      </c>
      <c r="M1593" s="99">
        <f>IFERROR(__xludf.DUMMYFUNCTION("GOOGLEFINANCE(A1593,""beta"")"),0.26)</f>
        <v>0.26</v>
      </c>
    </row>
    <row r="1594">
      <c r="A1594" s="122" t="s">
        <v>3612</v>
      </c>
      <c r="B1594" s="123">
        <v>1482554.0</v>
      </c>
      <c r="C1594" s="124" t="s">
        <v>3613</v>
      </c>
      <c r="D1594" s="125"/>
      <c r="E1594" s="126">
        <v>0.88</v>
      </c>
      <c r="F1594" s="127"/>
      <c r="G1594" s="127"/>
      <c r="H1594" s="127"/>
      <c r="I1594" s="128"/>
      <c r="K1594" s="105" t="str">
        <f>IFERROR(__xludf.DUMMYFUNCTION("if(A1594="""","""",substitute(SUBSTITUTE(index(importhtml(""http://finviz.com/quote.ashx?t=""&amp;A1594,""table"",10),7,2),""*"",""""),""-"",""0.00""))"),"Loading...")</f>
        <v>Loading...</v>
      </c>
      <c r="L1594" s="129">
        <v>8.809504E7</v>
      </c>
      <c r="M1594" s="99">
        <v>-0.3</v>
      </c>
    </row>
    <row r="1595">
      <c r="A1595" s="122" t="s">
        <v>3614</v>
      </c>
      <c r="B1595" s="123">
        <v>798949.0</v>
      </c>
      <c r="C1595" s="124" t="s">
        <v>3615</v>
      </c>
      <c r="D1595" s="125"/>
      <c r="E1595" s="126">
        <v>0.88</v>
      </c>
      <c r="F1595" s="127"/>
      <c r="G1595" s="127"/>
      <c r="H1595" s="127"/>
      <c r="I1595" s="128"/>
      <c r="K1595" s="105" t="str">
        <f>IFERROR(__xludf.DUMMYFUNCTION("if(A1595="""","""",substitute(SUBSTITUTE(index(importhtml(""http://finviz.com/quote.ashx?t=""&amp;A1595,""table"",10),7,2),""*"",""""),""-"",""0.00""))"),"Loading...")</f>
        <v>Loading...</v>
      </c>
      <c r="L1595" s="129">
        <v>3.91269452E8</v>
      </c>
      <c r="M1595" s="99">
        <f>IFERROR(__xludf.DUMMYFUNCTION("GOOGLEFINANCE(A1595,""beta"")"),1.23)</f>
        <v>1.23</v>
      </c>
    </row>
    <row r="1596">
      <c r="A1596" s="122" t="s">
        <v>3616</v>
      </c>
      <c r="B1596" s="123">
        <v>1630113.0</v>
      </c>
      <c r="C1596" s="124" t="s">
        <v>3617</v>
      </c>
      <c r="D1596" s="125"/>
      <c r="E1596" s="126">
        <v>0.89</v>
      </c>
      <c r="F1596" s="127"/>
      <c r="G1596" s="127"/>
      <c r="H1596" s="127"/>
      <c r="I1596" s="128"/>
      <c r="K1596" s="105" t="str">
        <f>IFERROR(__xludf.DUMMYFUNCTION("if(A1596="""","""",substitute(SUBSTITUTE(index(importhtml(""http://finviz.com/quote.ashx?t=""&amp;A1596,""table"",10),7,2),""*"",""""),""-"",""0.00""))"),"Loading...")</f>
        <v>Loading...</v>
      </c>
      <c r="L1596" s="129">
        <v>7833081.0</v>
      </c>
      <c r="M1596" s="99">
        <v>1.39</v>
      </c>
    </row>
    <row r="1597">
      <c r="A1597" s="122" t="s">
        <v>3618</v>
      </c>
      <c r="B1597" s="123">
        <v>1755058.0</v>
      </c>
      <c r="C1597" s="124" t="s">
        <v>3619</v>
      </c>
      <c r="D1597" s="125"/>
      <c r="E1597" s="126">
        <v>0.89</v>
      </c>
      <c r="F1597" s="127"/>
      <c r="G1597" s="127"/>
      <c r="H1597" s="127"/>
      <c r="I1597" s="128"/>
      <c r="K1597" s="105" t="str">
        <f>IFERROR(__xludf.DUMMYFUNCTION("if(A1597="""","""",substitute(SUBSTITUTE(index(importhtml(""http://finviz.com/quote.ashx?t=""&amp;A1597,""table"",10),7,2),""*"",""""),""-"",""0.00""))"),"Loading...")</f>
        <v>Loading...</v>
      </c>
      <c r="L1597" s="129">
        <v>8515101.0</v>
      </c>
      <c r="M1597" s="99">
        <v>-0.5</v>
      </c>
    </row>
    <row r="1598">
      <c r="A1598" s="122" t="s">
        <v>3620</v>
      </c>
      <c r="B1598" s="123">
        <v>1823794.0</v>
      </c>
      <c r="C1598" s="124" t="s">
        <v>3621</v>
      </c>
      <c r="D1598" s="125"/>
      <c r="E1598" s="126">
        <v>0.89</v>
      </c>
      <c r="F1598" s="127"/>
      <c r="G1598" s="127"/>
      <c r="H1598" s="127"/>
      <c r="I1598" s="128"/>
      <c r="K1598" s="105" t="str">
        <f>IFERROR(__xludf.DUMMYFUNCTION("if(A1598="""","""",substitute(SUBSTITUTE(index(importhtml(""http://finviz.com/quote.ashx?t=""&amp;A1598,""table"",10),7,2),""*"",""""),""-"",""0.00""))"),"Loading...")</f>
        <v>Loading...</v>
      </c>
      <c r="L1598" s="129">
        <v>9.26296142E8</v>
      </c>
      <c r="M1598" s="99">
        <v>1.06</v>
      </c>
    </row>
    <row r="1599">
      <c r="A1599" s="122" t="s">
        <v>3622</v>
      </c>
      <c r="B1599" s="123">
        <v>1680378.0</v>
      </c>
      <c r="C1599" s="124" t="s">
        <v>3623</v>
      </c>
      <c r="D1599" s="125"/>
      <c r="E1599" s="126">
        <v>0.9</v>
      </c>
      <c r="F1599" s="127"/>
      <c r="G1599" s="127"/>
      <c r="H1599" s="127"/>
      <c r="I1599" s="128"/>
      <c r="K1599" s="105" t="str">
        <f>IFERROR(__xludf.DUMMYFUNCTION("if(A1599="""","""",substitute(SUBSTITUTE(index(importhtml(""http://finviz.com/quote.ashx?t=""&amp;A1599,""table"",10),7,2),""*"",""""),""-"",""0.00""))"),"Loading...")</f>
        <v>Loading...</v>
      </c>
      <c r="L1599" s="129">
        <v>847663.0</v>
      </c>
      <c r="M1599" s="99">
        <v>0.86</v>
      </c>
    </row>
    <row r="1600">
      <c r="A1600" s="122" t="s">
        <v>3624</v>
      </c>
      <c r="B1600" s="123">
        <v>96793.0</v>
      </c>
      <c r="C1600" s="124" t="s">
        <v>3625</v>
      </c>
      <c r="D1600" s="125"/>
      <c r="E1600" s="126">
        <v>0.9</v>
      </c>
      <c r="F1600" s="127"/>
      <c r="G1600" s="127"/>
      <c r="H1600" s="127"/>
      <c r="I1600" s="128"/>
      <c r="K1600" s="105" t="str">
        <f>IFERROR(__xludf.DUMMYFUNCTION("if(A1600="""","""",substitute(SUBSTITUTE(index(importhtml(""http://finviz.com/quote.ashx?t=""&amp;A1600,""table"",10),7,2),""*"",""""),""-"",""0.00""))"),"Loading...")</f>
        <v>Loading...</v>
      </c>
      <c r="L1600" s="129">
        <v>6337249.0</v>
      </c>
      <c r="M1600" s="99">
        <v>1.42</v>
      </c>
    </row>
    <row r="1601">
      <c r="A1601" s="122" t="s">
        <v>3626</v>
      </c>
      <c r="B1601" s="123">
        <v>1624512.0</v>
      </c>
      <c r="C1601" s="124" t="s">
        <v>3627</v>
      </c>
      <c r="D1601" s="125"/>
      <c r="E1601" s="126">
        <v>0.9</v>
      </c>
      <c r="F1601" s="127"/>
      <c r="G1601" s="127"/>
      <c r="H1601" s="127"/>
      <c r="I1601" s="128"/>
      <c r="K1601" s="105" t="str">
        <f>IFERROR(__xludf.DUMMYFUNCTION("if(A1601="""","""",substitute(SUBSTITUTE(index(importhtml(""http://finviz.com/quote.ashx?t=""&amp;A1601,""table"",10),7,2),""*"",""""),""-"",""0.00""))"),"Loading...")</f>
        <v>Loading...</v>
      </c>
      <c r="L1601" s="129">
        <v>8630347.0</v>
      </c>
      <c r="M1601" s="99">
        <v>1.34</v>
      </c>
    </row>
    <row r="1602">
      <c r="A1602" s="122" t="s">
        <v>3628</v>
      </c>
      <c r="B1602" s="123">
        <v>88000.0</v>
      </c>
      <c r="C1602" s="124" t="s">
        <v>3629</v>
      </c>
      <c r="D1602" s="125"/>
      <c r="E1602" s="126">
        <v>0.9</v>
      </c>
      <c r="F1602" s="127"/>
      <c r="G1602" s="127"/>
      <c r="H1602" s="127"/>
      <c r="I1602" s="128"/>
      <c r="K1602" s="105" t="str">
        <f>IFERROR(__xludf.DUMMYFUNCTION("if(A1602="""","""",substitute(SUBSTITUTE(index(importhtml(""http://finviz.com/quote.ashx?t=""&amp;A1602,""table"",10),7,2),""*"",""""),""-"",""0.00""))"),"Loading...")</f>
        <v>Loading...</v>
      </c>
      <c r="L1602" s="129">
        <v>1.1705543E7</v>
      </c>
      <c r="M1602" s="99">
        <v>1.85</v>
      </c>
    </row>
    <row r="1603">
      <c r="A1603" s="122" t="s">
        <v>3630</v>
      </c>
      <c r="B1603" s="123">
        <v>1840229.0</v>
      </c>
      <c r="C1603" s="124" t="s">
        <v>3631</v>
      </c>
      <c r="D1603" s="125"/>
      <c r="E1603" s="126">
        <v>0.9</v>
      </c>
      <c r="F1603" s="127"/>
      <c r="G1603" s="127"/>
      <c r="H1603" s="127"/>
      <c r="I1603" s="128"/>
      <c r="K1603" s="105" t="str">
        <f>IFERROR(__xludf.DUMMYFUNCTION("if(A1603="""","""",substitute(SUBSTITUTE(index(importhtml(""http://finviz.com/quote.ashx?t=""&amp;A1603,""table"",10),7,2),""*"",""""),""-"",""0.00""))"),"Loading...")</f>
        <v>Loading...</v>
      </c>
      <c r="L1603" s="129">
        <v>3.099858E7</v>
      </c>
      <c r="M1603" s="99">
        <f>IFERROR(__xludf.DUMMYFUNCTION("GOOGLEFINANCE(A1603,""beta"")"),0.33)</f>
        <v>0.33</v>
      </c>
    </row>
    <row r="1604">
      <c r="A1604" s="122" t="s">
        <v>3632</v>
      </c>
      <c r="B1604" s="123">
        <v>1746119.0</v>
      </c>
      <c r="C1604" s="124" t="s">
        <v>3633</v>
      </c>
      <c r="D1604" s="125"/>
      <c r="E1604" s="126">
        <v>0.9</v>
      </c>
      <c r="F1604" s="127"/>
      <c r="G1604" s="127"/>
      <c r="H1604" s="127"/>
      <c r="I1604" s="128"/>
      <c r="K1604" s="105" t="str">
        <f>IFERROR(__xludf.DUMMYFUNCTION("if(A1604="""","""",substitute(SUBSTITUTE(index(importhtml(""http://finviz.com/quote.ashx?t=""&amp;A1604,""table"",10),7,2),""*"",""""),""-"",""0.00""))"),"Loading...")</f>
        <v>Loading...</v>
      </c>
      <c r="L1604" s="129">
        <v>5.337248E7</v>
      </c>
      <c r="M1604" s="99">
        <v>24.96</v>
      </c>
    </row>
    <row r="1605">
      <c r="A1605" s="122" t="s">
        <v>3634</v>
      </c>
      <c r="B1605" s="123">
        <v>1819438.0</v>
      </c>
      <c r="C1605" s="124" t="s">
        <v>3635</v>
      </c>
      <c r="D1605" s="125"/>
      <c r="E1605" s="126">
        <v>0.9</v>
      </c>
      <c r="F1605" s="127"/>
      <c r="G1605" s="127"/>
      <c r="H1605" s="127"/>
      <c r="I1605" s="128"/>
      <c r="K1605" s="105" t="str">
        <f>IFERROR(__xludf.DUMMYFUNCTION("if(A1605="""","""",substitute(SUBSTITUTE(index(importhtml(""http://finviz.com/quote.ashx?t=""&amp;A1605,""table"",10),7,2),""*"",""""),""-"",""0.00""))"),"Loading...")</f>
        <v>Loading...</v>
      </c>
      <c r="L1605" s="129">
        <v>1.5604081E8</v>
      </c>
      <c r="M1605" s="99">
        <v>1.71</v>
      </c>
    </row>
    <row r="1606">
      <c r="A1606" s="122" t="s">
        <v>3636</v>
      </c>
      <c r="B1606" s="123">
        <v>1613780.0</v>
      </c>
      <c r="C1606" s="124" t="s">
        <v>3637</v>
      </c>
      <c r="D1606" s="125"/>
      <c r="E1606" s="126">
        <v>0.9</v>
      </c>
      <c r="F1606" s="127"/>
      <c r="G1606" s="127"/>
      <c r="H1606" s="127"/>
      <c r="I1606" s="128"/>
      <c r="K1606" s="105" t="str">
        <f>IFERROR(__xludf.DUMMYFUNCTION("if(A1606="""","""",substitute(SUBSTITUTE(index(importhtml(""http://finviz.com/quote.ashx?t=""&amp;A1606,""table"",10),7,2),""*"",""""),""-"",""0.00""))"),"Loading...")</f>
        <v>Loading...</v>
      </c>
      <c r="L1606" s="129">
        <v>1.69835424E8</v>
      </c>
      <c r="M1606" s="99">
        <v>0.81</v>
      </c>
    </row>
    <row r="1607">
      <c r="A1607" s="122" t="s">
        <v>3638</v>
      </c>
      <c r="B1607" s="123">
        <v>1271554.0</v>
      </c>
      <c r="C1607" s="124" t="s">
        <v>3639</v>
      </c>
      <c r="D1607" s="125"/>
      <c r="E1607" s="126">
        <v>0.9</v>
      </c>
      <c r="F1607" s="127"/>
      <c r="G1607" s="127"/>
      <c r="H1607" s="127"/>
      <c r="I1607" s="128"/>
      <c r="K1607" s="105" t="str">
        <f>IFERROR(__xludf.DUMMYFUNCTION("if(A1607="""","""",substitute(SUBSTITUTE(index(importhtml(""http://finviz.com/quote.ashx?t=""&amp;A1607,""table"",10),7,2),""*"",""""),""-"",""0.00""))"),"Loading...")</f>
        <v>Loading...</v>
      </c>
      <c r="L1607" s="129">
        <v>1.80683811E8</v>
      </c>
      <c r="M1607" s="99">
        <v>1.15</v>
      </c>
    </row>
    <row r="1608">
      <c r="A1608" s="122" t="s">
        <v>3640</v>
      </c>
      <c r="B1608" s="123">
        <v>1804176.0</v>
      </c>
      <c r="C1608" s="124" t="s">
        <v>3641</v>
      </c>
      <c r="D1608" s="125"/>
      <c r="E1608" s="126">
        <v>0.9</v>
      </c>
      <c r="F1608" s="127"/>
      <c r="G1608" s="127"/>
      <c r="H1608" s="127"/>
      <c r="I1608" s="128"/>
      <c r="K1608" s="105" t="str">
        <f>IFERROR(__xludf.DUMMYFUNCTION("if(A1608="""","""",substitute(SUBSTITUTE(index(importhtml(""http://finviz.com/quote.ashx?t=""&amp;A1608,""table"",10),7,2),""*"",""""),""-"",""0.00""))"),"Loading...")</f>
        <v>Loading...</v>
      </c>
      <c r="L1608" s="129">
        <v>1.85986363E8</v>
      </c>
      <c r="M1608" s="99">
        <v>0.91</v>
      </c>
    </row>
    <row r="1609">
      <c r="A1609" s="122" t="s">
        <v>3642</v>
      </c>
      <c r="B1609" s="123">
        <v>1760689.0</v>
      </c>
      <c r="C1609" s="124" t="s">
        <v>3643</v>
      </c>
      <c r="D1609" s="125"/>
      <c r="E1609" s="126">
        <v>0.9</v>
      </c>
      <c r="F1609" s="127"/>
      <c r="G1609" s="127"/>
      <c r="H1609" s="127"/>
      <c r="I1609" s="128"/>
      <c r="K1609" s="105" t="str">
        <f>IFERROR(__xludf.DUMMYFUNCTION("if(A1609="""","""",substitute(SUBSTITUTE(index(importhtml(""http://finviz.com/quote.ashx?t=""&amp;A1609,""table"",10),7,2),""*"",""""),""-"",""0.00""))"),"Loading...")</f>
        <v>Loading...</v>
      </c>
      <c r="L1609" s="129">
        <v>2.84659818E8</v>
      </c>
      <c r="M1609" s="99">
        <v>1.5</v>
      </c>
    </row>
    <row r="1610">
      <c r="A1610" s="122" t="s">
        <v>3644</v>
      </c>
      <c r="B1610" s="123">
        <v>1848731.0</v>
      </c>
      <c r="C1610" s="124" t="s">
        <v>3645</v>
      </c>
      <c r="D1610" s="125"/>
      <c r="E1610" s="126">
        <v>0.9</v>
      </c>
      <c r="F1610" s="127"/>
      <c r="G1610" s="127"/>
      <c r="H1610" s="127"/>
      <c r="I1610" s="128"/>
      <c r="K1610" s="105" t="str">
        <f>IFERROR(__xludf.DUMMYFUNCTION("if(A1610="""","""",substitute(SUBSTITUTE(index(importhtml(""http://finviz.com/quote.ashx?t=""&amp;A1610,""table"",10),7,2),""*"",""""),""-"",""0.00""))"),"Loading...")</f>
        <v>Loading...</v>
      </c>
      <c r="L1610" s="129">
        <v>3.97407773E8</v>
      </c>
      <c r="M1610" s="99">
        <v>2.53</v>
      </c>
    </row>
    <row r="1611">
      <c r="A1611" s="122" t="s">
        <v>3646</v>
      </c>
      <c r="B1611" s="123">
        <v>75208.0</v>
      </c>
      <c r="C1611" s="124" t="s">
        <v>3647</v>
      </c>
      <c r="D1611" s="125"/>
      <c r="E1611" s="126">
        <v>0.9</v>
      </c>
      <c r="F1611" s="127"/>
      <c r="G1611" s="127"/>
      <c r="H1611" s="127"/>
      <c r="I1611" s="128"/>
      <c r="K1611" s="105" t="str">
        <f>IFERROR(__xludf.DUMMYFUNCTION("if(A1611="""","""",substitute(SUBSTITUTE(index(importhtml(""http://finviz.com/quote.ashx?t=""&amp;A1611,""table"",10),7,2),""*"",""""),""-"",""0.00""))"),"Loading...")</f>
        <v>Loading...</v>
      </c>
      <c r="L1611" s="129">
        <v>4.43637119E8</v>
      </c>
      <c r="M1611" s="99">
        <v>32.12</v>
      </c>
    </row>
    <row r="1612">
      <c r="A1612" s="122" t="s">
        <v>3648</v>
      </c>
      <c r="B1612" s="123">
        <v>352960.0</v>
      </c>
      <c r="C1612" s="124" t="s">
        <v>3649</v>
      </c>
      <c r="D1612" s="125"/>
      <c r="E1612" s="126">
        <v>0.9</v>
      </c>
      <c r="F1612" s="127"/>
      <c r="G1612" s="127"/>
      <c r="H1612" s="127"/>
      <c r="I1612" s="128"/>
      <c r="K1612" s="105" t="str">
        <f>IFERROR(__xludf.DUMMYFUNCTION("if(A1612="""","""",substitute(SUBSTITUTE(index(importhtml(""http://finviz.com/quote.ashx?t=""&amp;A1612,""table"",10),7,2),""*"",""""),""-"",""0.00""))"),"Loading...")</f>
        <v>Loading...</v>
      </c>
      <c r="L1612" s="129">
        <v>7.7085489264E10</v>
      </c>
      <c r="M1612" s="99" t="str">
        <f>IFERROR(__xludf.DUMMYFUNCTION("GOOGLEFINANCE(A1612,""beta"")"),"#N/A")</f>
        <v>#N/A</v>
      </c>
    </row>
    <row r="1613">
      <c r="A1613" s="122" t="s">
        <v>3650</v>
      </c>
      <c r="B1613" s="123">
        <v>1742927.0</v>
      </c>
      <c r="C1613" s="124" t="s">
        <v>3651</v>
      </c>
      <c r="D1613" s="125"/>
      <c r="E1613" s="126">
        <v>0.9</v>
      </c>
      <c r="F1613" s="127"/>
      <c r="G1613" s="127"/>
      <c r="H1613" s="127"/>
      <c r="I1613" s="128"/>
      <c r="K1613" s="105" t="str">
        <f>IFERROR(__xludf.DUMMYFUNCTION("if(A1613="""","""",substitute(SUBSTITUTE(index(importhtml(""http://finviz.com/quote.ashx?t=""&amp;A1613,""table"",10),7,2),""*"",""""),""-"",""0.00""))"),"Loading...")</f>
        <v>Loading...</v>
      </c>
      <c r="L1613" s="129" t="e">
        <v>#N/A</v>
      </c>
      <c r="M1613" s="99">
        <v>1.58</v>
      </c>
    </row>
    <row r="1614">
      <c r="A1614" s="122" t="s">
        <v>3652</v>
      </c>
      <c r="B1614" s="123">
        <v>1503707.0</v>
      </c>
      <c r="C1614" s="124" t="s">
        <v>3653</v>
      </c>
      <c r="D1614" s="125"/>
      <c r="E1614" s="126">
        <v>0.9</v>
      </c>
      <c r="F1614" s="127"/>
      <c r="G1614" s="127"/>
      <c r="H1614" s="127"/>
      <c r="I1614" s="128"/>
      <c r="K1614" s="105" t="str">
        <f>IFERROR(__xludf.DUMMYFUNCTION("if(A1614="""","""",substitute(SUBSTITUTE(index(importhtml(""http://finviz.com/quote.ashx?t=""&amp;A1614,""table"",10),7,2),""*"",""""),""-"",""0.00""))"),"Loading...")</f>
        <v>Loading...</v>
      </c>
      <c r="L1614" s="129" t="e">
        <v>#N/A</v>
      </c>
      <c r="M1614" s="99" t="str">
        <f>IFERROR(__xludf.DUMMYFUNCTION("GOOGLEFINANCE(A1614,""beta"")"),"#N/A")</f>
        <v>#N/A</v>
      </c>
    </row>
    <row r="1615">
      <c r="A1615" s="122" t="s">
        <v>3654</v>
      </c>
      <c r="B1615" s="123">
        <v>1840102.0</v>
      </c>
      <c r="C1615" s="124" t="s">
        <v>3655</v>
      </c>
      <c r="D1615" s="125"/>
      <c r="E1615" s="126">
        <v>0.9</v>
      </c>
      <c r="F1615" s="127"/>
      <c r="G1615" s="127"/>
      <c r="H1615" s="127"/>
      <c r="I1615" s="128"/>
      <c r="K1615" s="105" t="str">
        <f>IFERROR(__xludf.DUMMYFUNCTION("if(A1615="""","""",substitute(SUBSTITUTE(index(importhtml(""http://finviz.com/quote.ashx?t=""&amp;A1615,""table"",10),7,2),""*"",""""),""-"",""0.00""))"),"Loading...")</f>
        <v>Loading...</v>
      </c>
      <c r="L1615" s="129" t="e">
        <v>#N/A</v>
      </c>
      <c r="M1615" s="99">
        <f>IFERROR(__xludf.DUMMYFUNCTION("GOOGLEFINANCE(A1615,""beta"")"),-109.23)</f>
        <v>-109.23</v>
      </c>
    </row>
    <row r="1616">
      <c r="A1616" s="122" t="s">
        <v>3656</v>
      </c>
      <c r="B1616" s="123">
        <v>1650696.0</v>
      </c>
      <c r="C1616" s="124" t="s">
        <v>3657</v>
      </c>
      <c r="D1616" s="125"/>
      <c r="E1616" s="126">
        <v>0.91</v>
      </c>
      <c r="F1616" s="127"/>
      <c r="G1616" s="127"/>
      <c r="H1616" s="127"/>
      <c r="I1616" s="128"/>
      <c r="K1616" s="105" t="str">
        <f>IFERROR(__xludf.DUMMYFUNCTION("if(A1616="""","""",substitute(SUBSTITUTE(index(importhtml(""http://finviz.com/quote.ashx?t=""&amp;A1616,""table"",10),7,2),""*"",""""),""-"",""0.00""))"),"Loading...")</f>
        <v>Loading...</v>
      </c>
      <c r="L1616" s="129">
        <v>8477141.0</v>
      </c>
      <c r="M1616" s="99">
        <v>1.61</v>
      </c>
    </row>
    <row r="1617">
      <c r="A1617" s="122" t="s">
        <v>3658</v>
      </c>
      <c r="B1617" s="123">
        <v>73290.0</v>
      </c>
      <c r="C1617" s="124" t="s">
        <v>3659</v>
      </c>
      <c r="D1617" s="125"/>
      <c r="E1617" s="126">
        <v>0.91</v>
      </c>
      <c r="F1617" s="127"/>
      <c r="G1617" s="127"/>
      <c r="H1617" s="127"/>
      <c r="I1617" s="128"/>
      <c r="K1617" s="105" t="str">
        <f>IFERROR(__xludf.DUMMYFUNCTION("if(A1617="""","""",substitute(SUBSTITUTE(index(importhtml(""http://finviz.com/quote.ashx?t=""&amp;A1617,""table"",10),7,2),""*"",""""),""-"",""0.00""))"),"Loading...")</f>
        <v>Loading...</v>
      </c>
      <c r="L1617" s="129">
        <v>1.5267341E7</v>
      </c>
      <c r="M1617" s="99">
        <v>-1.09</v>
      </c>
    </row>
    <row r="1618">
      <c r="A1618" s="122" t="s">
        <v>3660</v>
      </c>
      <c r="B1618" s="123">
        <v>1634117.0</v>
      </c>
      <c r="C1618" s="124" t="s">
        <v>3661</v>
      </c>
      <c r="D1618" s="125"/>
      <c r="E1618" s="126">
        <v>0.91</v>
      </c>
      <c r="F1618" s="127"/>
      <c r="G1618" s="127"/>
      <c r="H1618" s="127"/>
      <c r="I1618" s="128"/>
      <c r="K1618" s="105" t="str">
        <f>IFERROR(__xludf.DUMMYFUNCTION("if(A1618="""","""",substitute(SUBSTITUTE(index(importhtml(""http://finviz.com/quote.ashx?t=""&amp;A1618,""table"",10),7,2),""*"",""""),""-"",""0.00""))"),"Loading...")</f>
        <v>Loading...</v>
      </c>
      <c r="L1618" s="129">
        <v>4.83853E7</v>
      </c>
      <c r="M1618" s="99">
        <v>1.84</v>
      </c>
    </row>
    <row r="1619">
      <c r="A1619" s="122" t="s">
        <v>3662</v>
      </c>
      <c r="B1619" s="123">
        <v>1858685.0</v>
      </c>
      <c r="C1619" s="124" t="s">
        <v>3663</v>
      </c>
      <c r="D1619" s="125"/>
      <c r="E1619" s="126">
        <v>0.92</v>
      </c>
      <c r="F1619" s="127"/>
      <c r="G1619" s="127"/>
      <c r="H1619" s="127"/>
      <c r="I1619" s="128"/>
      <c r="K1619" s="105" t="str">
        <f>IFERROR(__xludf.DUMMYFUNCTION("if(A1619="""","""",substitute(SUBSTITUTE(index(importhtml(""http://finviz.com/quote.ashx?t=""&amp;A1619,""table"",10),7,2),""*"",""""),""-"",""0.00""))"),"Loading...")</f>
        <v>Loading...</v>
      </c>
      <c r="L1619" s="129">
        <v>1391005.0</v>
      </c>
      <c r="M1619" s="99">
        <f>IFERROR(__xludf.DUMMYFUNCTION("GOOGLEFINANCE(A1619,""beta"")"),0.55)</f>
        <v>0.55</v>
      </c>
    </row>
    <row r="1620">
      <c r="A1620" s="122" t="s">
        <v>3664</v>
      </c>
      <c r="B1620" s="123">
        <v>1934245.0</v>
      </c>
      <c r="C1620" s="124" t="s">
        <v>3665</v>
      </c>
      <c r="D1620" s="125"/>
      <c r="E1620" s="126">
        <v>0.92</v>
      </c>
      <c r="F1620" s="127"/>
      <c r="G1620" s="127"/>
      <c r="H1620" s="127"/>
      <c r="I1620" s="128"/>
      <c r="K1620" s="105" t="str">
        <f>IFERROR(__xludf.DUMMYFUNCTION("if(A1620="""","""",substitute(SUBSTITUTE(index(importhtml(""http://finviz.com/quote.ashx?t=""&amp;A1620,""table"",10),7,2),""*"",""""),""-"",""0.00""))"),"Loading...")</f>
        <v>Loading...</v>
      </c>
      <c r="L1620" s="129">
        <v>1.3345127E7</v>
      </c>
      <c r="M1620" s="99" t="str">
        <f>IFERROR(__xludf.DUMMYFUNCTION("GOOGLEFINANCE(A1620,""beta"")"),"#N/A")</f>
        <v>#N/A</v>
      </c>
    </row>
    <row r="1621">
      <c r="A1621" s="122" t="s">
        <v>3666</v>
      </c>
      <c r="B1621" s="123">
        <v>1191070.0</v>
      </c>
      <c r="C1621" s="124" t="s">
        <v>3667</v>
      </c>
      <c r="D1621" s="125"/>
      <c r="E1621" s="126">
        <v>0.92</v>
      </c>
      <c r="F1621" s="127"/>
      <c r="G1621" s="127"/>
      <c r="H1621" s="127"/>
      <c r="I1621" s="128"/>
      <c r="K1621" s="105" t="str">
        <f>IFERROR(__xludf.DUMMYFUNCTION("if(A1621="""","""",substitute(SUBSTITUTE(index(importhtml(""http://finviz.com/quote.ashx?t=""&amp;A1621,""table"",10),7,2),""*"",""""),""-"",""0.00""))"),"Loading...")</f>
        <v>Loading...</v>
      </c>
      <c r="L1621" s="129">
        <v>1.55351E7</v>
      </c>
      <c r="M1621" s="99" t="str">
        <f>IFERROR(__xludf.DUMMYFUNCTION("GOOGLEFINANCE(A1621,""beta"")"),"#N/A")</f>
        <v>#N/A</v>
      </c>
    </row>
    <row r="1622">
      <c r="A1622" s="122" t="s">
        <v>3668</v>
      </c>
      <c r="B1622" s="123">
        <v>1874074.0</v>
      </c>
      <c r="C1622" s="124" t="s">
        <v>3669</v>
      </c>
      <c r="D1622" s="125"/>
      <c r="E1622" s="126">
        <v>0.92</v>
      </c>
      <c r="F1622" s="127"/>
      <c r="G1622" s="127"/>
      <c r="H1622" s="127"/>
      <c r="I1622" s="128"/>
      <c r="K1622" s="105" t="str">
        <f>IFERROR(__xludf.DUMMYFUNCTION("if(A1622="""","""",substitute(SUBSTITUTE(index(importhtml(""http://finviz.com/quote.ashx?t=""&amp;A1622,""table"",10),7,2),""*"",""""),""-"",""0.00""))"),"Loading...")</f>
        <v>Loading...</v>
      </c>
      <c r="L1622" s="129">
        <v>3.0404997E7</v>
      </c>
      <c r="M1622" s="99" t="str">
        <f>IFERROR(__xludf.DUMMYFUNCTION("GOOGLEFINANCE(A1622,""beta"")"),"#N/A")</f>
        <v>#N/A</v>
      </c>
    </row>
    <row r="1623">
      <c r="A1623" s="122" t="s">
        <v>3670</v>
      </c>
      <c r="B1623" s="123">
        <v>810332.0</v>
      </c>
      <c r="C1623" s="124" t="s">
        <v>3671</v>
      </c>
      <c r="D1623" s="125"/>
      <c r="E1623" s="126">
        <v>0.92</v>
      </c>
      <c r="F1623" s="127"/>
      <c r="G1623" s="127"/>
      <c r="H1623" s="127"/>
      <c r="I1623" s="128"/>
      <c r="K1623" s="105" t="str">
        <f>IFERROR(__xludf.DUMMYFUNCTION("if(A1623="""","""",substitute(SUBSTITUTE(index(importhtml(""http://finviz.com/quote.ashx?t=""&amp;A1623,""table"",10),7,2),""*"",""""),""-"",""0.00""))"),"Loading...")</f>
        <v>Loading...</v>
      </c>
      <c r="L1623" s="129">
        <v>3.7761323E7</v>
      </c>
      <c r="M1623" s="99">
        <v>3.02</v>
      </c>
    </row>
    <row r="1624">
      <c r="A1624" s="122" t="s">
        <v>3672</v>
      </c>
      <c r="B1624" s="123">
        <v>1819574.0</v>
      </c>
      <c r="C1624" s="124" t="s">
        <v>3673</v>
      </c>
      <c r="D1624" s="125"/>
      <c r="E1624" s="126">
        <v>0.92</v>
      </c>
      <c r="F1624" s="127"/>
      <c r="G1624" s="127"/>
      <c r="H1624" s="127"/>
      <c r="I1624" s="128"/>
      <c r="K1624" s="105" t="str">
        <f>IFERROR(__xludf.DUMMYFUNCTION("if(A1624="""","""",substitute(SUBSTITUTE(index(importhtml(""http://finviz.com/quote.ashx?t=""&amp;A1624,""table"",10),7,2),""*"",""""),""-"",""0.00""))"),"Loading...")</f>
        <v>Loading...</v>
      </c>
      <c r="L1624" s="129">
        <v>1.65372128E8</v>
      </c>
      <c r="M1624" s="99">
        <v>1.46</v>
      </c>
    </row>
    <row r="1625">
      <c r="A1625" s="122" t="s">
        <v>3674</v>
      </c>
      <c r="B1625" s="123">
        <v>1909747.0</v>
      </c>
      <c r="C1625" s="124" t="s">
        <v>3675</v>
      </c>
      <c r="D1625" s="125"/>
      <c r="E1625" s="126">
        <v>0.92</v>
      </c>
      <c r="F1625" s="127"/>
      <c r="G1625" s="127"/>
      <c r="H1625" s="127"/>
      <c r="I1625" s="128"/>
      <c r="K1625" s="105" t="str">
        <f>IFERROR(__xludf.DUMMYFUNCTION("if(A1625="""","""",substitute(SUBSTITUTE(index(importhtml(""http://finviz.com/quote.ashx?t=""&amp;A1625,""table"",10),7,2),""*"",""""),""-"",""0.00""))"),"Loading...")</f>
        <v>Loading...</v>
      </c>
      <c r="L1625" s="129">
        <v>2.44874625E8</v>
      </c>
      <c r="M1625" s="99">
        <v>1.66</v>
      </c>
    </row>
    <row r="1626">
      <c r="A1626" s="122" t="s">
        <v>3676</v>
      </c>
      <c r="B1626" s="123">
        <v>1377757.0</v>
      </c>
      <c r="C1626" s="124" t="s">
        <v>3677</v>
      </c>
      <c r="D1626" s="125"/>
      <c r="E1626" s="126">
        <v>0.93</v>
      </c>
      <c r="F1626" s="127"/>
      <c r="G1626" s="127"/>
      <c r="H1626" s="127"/>
      <c r="I1626" s="128"/>
      <c r="K1626" s="55" t="s">
        <v>1034</v>
      </c>
      <c r="L1626" s="129">
        <v>2.6996725E8</v>
      </c>
      <c r="M1626" s="99">
        <v>1.04</v>
      </c>
    </row>
    <row r="1627">
      <c r="A1627" s="122" t="s">
        <v>3678</v>
      </c>
      <c r="B1627" s="123">
        <v>1099160.0</v>
      </c>
      <c r="C1627" s="124" t="s">
        <v>3679</v>
      </c>
      <c r="D1627" s="125"/>
      <c r="E1627" s="126">
        <v>0.93</v>
      </c>
      <c r="F1627" s="127"/>
      <c r="G1627" s="127"/>
      <c r="H1627" s="127"/>
      <c r="I1627" s="128"/>
      <c r="K1627" s="105" t="str">
        <f>IFERROR(__xludf.DUMMYFUNCTION("if(A1627="""","""",substitute(SUBSTITUTE(index(importhtml(""http://finviz.com/quote.ashx?t=""&amp;A1627,""table"",10),7,2),""*"",""""),""-"",""0.00""))"),"Loading...")</f>
        <v>Loading...</v>
      </c>
      <c r="L1627" s="129">
        <v>2.7868473E7</v>
      </c>
      <c r="M1627" s="99">
        <v>1.01</v>
      </c>
    </row>
    <row r="1628">
      <c r="A1628" s="122" t="s">
        <v>3680</v>
      </c>
      <c r="B1628" s="123">
        <v>1766140.0</v>
      </c>
      <c r="C1628" s="124" t="s">
        <v>3681</v>
      </c>
      <c r="D1628" s="125"/>
      <c r="E1628" s="126">
        <v>0.93</v>
      </c>
      <c r="F1628" s="127"/>
      <c r="G1628" s="127"/>
      <c r="H1628" s="127"/>
      <c r="I1628" s="128"/>
      <c r="K1628" s="105" t="str">
        <f>IFERROR(__xludf.DUMMYFUNCTION("if(A1628="""","""",substitute(SUBSTITUTE(index(importhtml(""http://finviz.com/quote.ashx?t=""&amp;A1628,""table"",10),7,2),""*"",""""),""-"",""0.00""))"),"Loading...")</f>
        <v>Loading...</v>
      </c>
      <c r="L1628" s="129">
        <v>3.2418894E7</v>
      </c>
      <c r="M1628" s="99">
        <f>IFERROR(__xludf.DUMMYFUNCTION("GOOGLEFINANCE(A1628,""beta"")"),1.87)</f>
        <v>1.87</v>
      </c>
    </row>
    <row r="1629">
      <c r="A1629" s="122" t="s">
        <v>3682</v>
      </c>
      <c r="B1629" s="123">
        <v>1117480.0</v>
      </c>
      <c r="C1629" s="124" t="s">
        <v>3683</v>
      </c>
      <c r="D1629" s="125"/>
      <c r="E1629" s="126">
        <v>0.93</v>
      </c>
      <c r="F1629" s="127"/>
      <c r="G1629" s="127"/>
      <c r="H1629" s="127"/>
      <c r="I1629" s="128"/>
      <c r="K1629" s="105" t="str">
        <f>IFERROR(__xludf.DUMMYFUNCTION("if(A1629="""","""",substitute(SUBSTITUTE(index(importhtml(""http://finviz.com/quote.ashx?t=""&amp;A1629,""table"",10),7,2),""*"",""""),""-"",""0.00""))"),"Loading...")</f>
        <v>Loading...</v>
      </c>
      <c r="L1629" s="129">
        <v>8.287347E7</v>
      </c>
      <c r="M1629" s="99">
        <v>1.1</v>
      </c>
    </row>
    <row r="1630">
      <c r="A1630" s="122" t="s">
        <v>3684</v>
      </c>
      <c r="B1630" s="123">
        <v>1133519.0</v>
      </c>
      <c r="C1630" s="124" t="s">
        <v>3685</v>
      </c>
      <c r="D1630" s="125"/>
      <c r="E1630" s="126">
        <v>0.94</v>
      </c>
      <c r="F1630" s="127"/>
      <c r="G1630" s="127"/>
      <c r="H1630" s="127"/>
      <c r="I1630" s="128"/>
      <c r="K1630" s="105" t="str">
        <f>IFERROR(__xludf.DUMMYFUNCTION("if(A1630="""","""",substitute(SUBSTITUTE(index(importhtml(""http://finviz.com/quote.ashx?t=""&amp;A1630,""table"",10),7,2),""*"",""""),""-"",""0.00""))"),"Loading...")</f>
        <v>Loading...</v>
      </c>
      <c r="L1630" s="129">
        <v>1.304539E7</v>
      </c>
      <c r="M1630" s="99">
        <v>0.79</v>
      </c>
    </row>
    <row r="1631">
      <c r="A1631" s="122" t="s">
        <v>3686</v>
      </c>
      <c r="B1631" s="123">
        <v>1580063.0</v>
      </c>
      <c r="C1631" s="124" t="s">
        <v>3687</v>
      </c>
      <c r="D1631" s="125"/>
      <c r="E1631" s="126">
        <v>0.94</v>
      </c>
      <c r="F1631" s="127"/>
      <c r="G1631" s="127"/>
      <c r="H1631" s="127"/>
      <c r="I1631" s="128"/>
      <c r="K1631" s="105" t="str">
        <f>IFERROR(__xludf.DUMMYFUNCTION("if(A1631="""","""",substitute(SUBSTITUTE(index(importhtml(""http://finviz.com/quote.ashx?t=""&amp;A1631,""table"",10),7,2),""*"",""""),""-"",""0.00""))"),"Loading...")</f>
        <v>Loading...</v>
      </c>
      <c r="L1631" s="129">
        <v>2.2250647E7</v>
      </c>
      <c r="M1631" s="99">
        <v>0.96</v>
      </c>
    </row>
    <row r="1632">
      <c r="A1632" s="122" t="s">
        <v>3688</v>
      </c>
      <c r="B1632" s="123">
        <v>1162283.0</v>
      </c>
      <c r="C1632" s="124" t="s">
        <v>3689</v>
      </c>
      <c r="D1632" s="125"/>
      <c r="E1632" s="126">
        <v>0.95</v>
      </c>
      <c r="F1632" s="127"/>
      <c r="G1632" s="127"/>
      <c r="H1632" s="127"/>
      <c r="I1632" s="128"/>
      <c r="K1632" s="105" t="str">
        <f>IFERROR(__xludf.DUMMYFUNCTION("if(A1632="""","""",substitute(SUBSTITUTE(index(importhtml(""http://finviz.com/quote.ashx?t=""&amp;A1632,""table"",10),7,2),""*"",""""),""-"",""0.00""))"),"Loading...")</f>
        <v>Loading...</v>
      </c>
      <c r="L1632" s="129">
        <v>570090.0</v>
      </c>
      <c r="M1632" s="99">
        <v>0.51</v>
      </c>
    </row>
    <row r="1633">
      <c r="A1633" s="122" t="s">
        <v>3690</v>
      </c>
      <c r="B1633" s="123">
        <v>1872812.0</v>
      </c>
      <c r="C1633" s="124" t="s">
        <v>516</v>
      </c>
      <c r="D1633" s="125"/>
      <c r="E1633" s="126">
        <v>0.95</v>
      </c>
      <c r="F1633" s="127"/>
      <c r="G1633" s="127"/>
      <c r="H1633" s="127"/>
      <c r="I1633" s="128"/>
      <c r="K1633" s="105" t="str">
        <f>IFERROR(__xludf.DUMMYFUNCTION("if(A1633="""","""",substitute(SUBSTITUTE(index(importhtml(""http://finviz.com/quote.ashx?t=""&amp;A1633,""table"",10),7,2),""*"",""""),""-"",""0.00""))"),"Loading...")</f>
        <v>Loading...</v>
      </c>
      <c r="L1633" s="129">
        <v>715432.0</v>
      </c>
      <c r="M1633" s="99" t="str">
        <f>IFERROR(__xludf.DUMMYFUNCTION("GOOGLEFINANCE(A1633,""beta"")"),"#N/A")</f>
        <v>#N/A</v>
      </c>
    </row>
    <row r="1634">
      <c r="A1634" s="122" t="s">
        <v>3691</v>
      </c>
      <c r="B1634" s="123">
        <v>1326706.0</v>
      </c>
      <c r="C1634" s="124" t="s">
        <v>3692</v>
      </c>
      <c r="D1634" s="125"/>
      <c r="E1634" s="126">
        <v>0.95</v>
      </c>
      <c r="F1634" s="127"/>
      <c r="G1634" s="127"/>
      <c r="H1634" s="127"/>
      <c r="I1634" s="128"/>
      <c r="K1634" s="105" t="str">
        <f>IFERROR(__xludf.DUMMYFUNCTION("if(A1634="""","""",substitute(SUBSTITUTE(index(importhtml(""http://finviz.com/quote.ashx?t=""&amp;A1634,""table"",10),7,2),""*"",""""),""-"",""0.00""))"),"Loading...")</f>
        <v>Loading...</v>
      </c>
      <c r="L1634" s="129">
        <v>1933906.0</v>
      </c>
      <c r="M1634" s="99">
        <v>1.27</v>
      </c>
    </row>
    <row r="1635">
      <c r="A1635" s="122" t="s">
        <v>3693</v>
      </c>
      <c r="B1635" s="123">
        <v>1376321.0</v>
      </c>
      <c r="C1635" s="124" t="s">
        <v>3694</v>
      </c>
      <c r="D1635" s="125"/>
      <c r="E1635" s="126">
        <v>0.95</v>
      </c>
      <c r="F1635" s="127"/>
      <c r="G1635" s="127"/>
      <c r="H1635" s="127"/>
      <c r="I1635" s="128"/>
      <c r="K1635" s="105" t="str">
        <f>IFERROR(__xludf.DUMMYFUNCTION("if(A1635="""","""",substitute(SUBSTITUTE(index(importhtml(""http://finviz.com/quote.ashx?t=""&amp;A1635,""table"",10),7,2),""*"",""""),""-"",""0.00""))"),"Loading...")</f>
        <v>Loading...</v>
      </c>
      <c r="L1635" s="129">
        <v>6844996.0</v>
      </c>
      <c r="M1635" s="99">
        <v>0.62</v>
      </c>
    </row>
    <row r="1636">
      <c r="A1636" s="122" t="s">
        <v>3695</v>
      </c>
      <c r="B1636" s="123">
        <v>1645666.0</v>
      </c>
      <c r="C1636" s="124" t="s">
        <v>3696</v>
      </c>
      <c r="D1636" s="125"/>
      <c r="E1636" s="126">
        <v>0.95</v>
      </c>
      <c r="F1636" s="127"/>
      <c r="G1636" s="127"/>
      <c r="H1636" s="127"/>
      <c r="I1636" s="128"/>
      <c r="K1636" s="105" t="str">
        <f>IFERROR(__xludf.DUMMYFUNCTION("if(A1636="""","""",substitute(SUBSTITUTE(index(importhtml(""http://finviz.com/quote.ashx?t=""&amp;A1636,""table"",10),7,2),""*"",""""),""-"",""0.00""))"),"Loading...")</f>
        <v>Loading...</v>
      </c>
      <c r="L1636" s="129">
        <v>6.8716644E7</v>
      </c>
      <c r="M1636" s="99">
        <v>0.48</v>
      </c>
    </row>
    <row r="1637">
      <c r="A1637" s="122" t="s">
        <v>3697</v>
      </c>
      <c r="B1637" s="123">
        <v>1855457.0</v>
      </c>
      <c r="C1637" s="124" t="s">
        <v>3698</v>
      </c>
      <c r="D1637" s="125"/>
      <c r="E1637" s="126">
        <v>0.95</v>
      </c>
      <c r="F1637" s="127"/>
      <c r="G1637" s="127"/>
      <c r="H1637" s="127"/>
      <c r="I1637" s="128"/>
      <c r="K1637" s="105" t="str">
        <f>IFERROR(__xludf.DUMMYFUNCTION("if(A1637="""","""",substitute(SUBSTITUTE(index(importhtml(""http://finviz.com/quote.ashx?t=""&amp;A1637,""table"",10),7,2),""*"",""""),""-"",""0.00""))"),"Loading...")</f>
        <v>Loading...</v>
      </c>
      <c r="L1637" s="129">
        <v>7.7870045E7</v>
      </c>
      <c r="M1637" s="99">
        <v>2.79</v>
      </c>
    </row>
    <row r="1638">
      <c r="A1638" s="122" t="s">
        <v>3699</v>
      </c>
      <c r="B1638" s="123">
        <v>1823575.0</v>
      </c>
      <c r="C1638" s="124" t="s">
        <v>3700</v>
      </c>
      <c r="D1638" s="125"/>
      <c r="E1638" s="126">
        <v>0.95</v>
      </c>
      <c r="F1638" s="127"/>
      <c r="G1638" s="127"/>
      <c r="H1638" s="127"/>
      <c r="I1638" s="128"/>
      <c r="K1638" s="105" t="str">
        <f>IFERROR(__xludf.DUMMYFUNCTION("if(A1638="""","""",substitute(SUBSTITUTE(index(importhtml(""http://finviz.com/quote.ashx?t=""&amp;A1638,""table"",10),7,2),""*"",""""),""-"",""0.00""))"),"Loading...")</f>
        <v>Loading...</v>
      </c>
      <c r="L1638" s="129">
        <v>1.18848893E8</v>
      </c>
      <c r="M1638" s="99">
        <v>0.12</v>
      </c>
    </row>
    <row r="1639">
      <c r="A1639" s="122" t="s">
        <v>3701</v>
      </c>
      <c r="B1639" s="123">
        <v>1459762.0</v>
      </c>
      <c r="C1639" s="124" t="s">
        <v>3376</v>
      </c>
      <c r="D1639" s="125"/>
      <c r="E1639" s="126">
        <v>0.95</v>
      </c>
      <c r="F1639" s="127"/>
      <c r="G1639" s="127"/>
      <c r="H1639" s="127"/>
      <c r="I1639" s="128"/>
      <c r="K1639" s="105" t="str">
        <f>IFERROR(__xludf.DUMMYFUNCTION("if(A1639="""","""",substitute(SUBSTITUTE(index(importhtml(""http://finviz.com/quote.ashx?t=""&amp;A1639,""table"",10),7,2),""*"",""""),""-"",""0.00""))"),"Loading...")</f>
        <v>Loading...</v>
      </c>
      <c r="L1639" s="129">
        <v>1.61520707E8</v>
      </c>
      <c r="M1639" s="99">
        <v>2.74</v>
      </c>
    </row>
    <row r="1640">
      <c r="A1640" s="122" t="s">
        <v>3702</v>
      </c>
      <c r="B1640" s="123">
        <v>1823986.0</v>
      </c>
      <c r="C1640" s="124" t="s">
        <v>3703</v>
      </c>
      <c r="D1640" s="125"/>
      <c r="E1640" s="126">
        <v>0.95</v>
      </c>
      <c r="F1640" s="127"/>
      <c r="G1640" s="127"/>
      <c r="H1640" s="127"/>
      <c r="I1640" s="128"/>
      <c r="K1640" s="105" t="str">
        <f>IFERROR(__xludf.DUMMYFUNCTION("if(A1640="""","""",substitute(SUBSTITUTE(index(importhtml(""http://finviz.com/quote.ashx?t=""&amp;A1640,""table"",10),7,2),""*"",""""),""-"",""0.00""))"),"Loading...")</f>
        <v>Loading...</v>
      </c>
      <c r="L1640" s="129">
        <v>3.64067376E8</v>
      </c>
      <c r="M1640" s="99">
        <f>IFERROR(__xludf.DUMMYFUNCTION("GOOGLEFINANCE(A1640,""beta"")"),-0.28)</f>
        <v>-0.28</v>
      </c>
    </row>
    <row r="1641">
      <c r="A1641" s="122" t="s">
        <v>3704</v>
      </c>
      <c r="B1641" s="123">
        <v>1437178.0</v>
      </c>
      <c r="C1641" s="124" t="s">
        <v>3705</v>
      </c>
      <c r="D1641" s="125"/>
      <c r="E1641" s="126">
        <v>0.95</v>
      </c>
      <c r="F1641" s="127"/>
      <c r="G1641" s="127"/>
      <c r="H1641" s="127"/>
      <c r="I1641" s="128"/>
      <c r="K1641" s="105" t="str">
        <f>IFERROR(__xludf.DUMMYFUNCTION("if(A1641="""","""",substitute(SUBSTITUTE(index(importhtml(""http://finviz.com/quote.ashx?t=""&amp;A1641,""table"",10),7,2),""*"",""""),""-"",""0.00""))"),"Loading...")</f>
        <v>Loading...</v>
      </c>
      <c r="L1641" s="129">
        <v>7.088586516E9</v>
      </c>
      <c r="M1641" s="99">
        <v>1.6</v>
      </c>
    </row>
    <row r="1642">
      <c r="A1642" s="122" t="s">
        <v>3706</v>
      </c>
      <c r="B1642" s="123">
        <v>1814102.0</v>
      </c>
      <c r="C1642" s="124" t="s">
        <v>3707</v>
      </c>
      <c r="D1642" s="125"/>
      <c r="E1642" s="126">
        <v>0.95</v>
      </c>
      <c r="F1642" s="127"/>
      <c r="G1642" s="127"/>
      <c r="H1642" s="127"/>
      <c r="I1642" s="128"/>
      <c r="K1642" s="105" t="str">
        <f>IFERROR(__xludf.DUMMYFUNCTION("if(A1642="""","""",substitute(SUBSTITUTE(index(importhtml(""http://finviz.com/quote.ashx?t=""&amp;A1642,""table"",10),7,2),""*"",""""),""-"",""0.00""))"),"Loading...")</f>
        <v>Loading...</v>
      </c>
      <c r="L1642" s="129" t="e">
        <v>#N/A</v>
      </c>
      <c r="M1642" s="99">
        <f>IFERROR(__xludf.DUMMYFUNCTION("GOOGLEFINANCE(A1642,""beta"")"),-4.82)</f>
        <v>-4.82</v>
      </c>
    </row>
    <row r="1643">
      <c r="A1643" s="122" t="s">
        <v>3708</v>
      </c>
      <c r="B1643" s="123">
        <v>1417926.0</v>
      </c>
      <c r="C1643" s="124" t="s">
        <v>3709</v>
      </c>
      <c r="D1643" s="125"/>
      <c r="E1643" s="126">
        <v>0.96</v>
      </c>
      <c r="F1643" s="127"/>
      <c r="G1643" s="127"/>
      <c r="H1643" s="127"/>
      <c r="I1643" s="128"/>
      <c r="K1643" s="105" t="str">
        <f>IFERROR(__xludf.DUMMYFUNCTION("if(A1643="""","""",substitute(SUBSTITUTE(index(importhtml(""http://finviz.com/quote.ashx?t=""&amp;A1643,""table"",10),7,2),""*"",""""),""-"",""0.00""))"),"Loading...")</f>
        <v>Loading...</v>
      </c>
      <c r="L1643" s="129">
        <v>2395321.0</v>
      </c>
      <c r="M1643" s="99">
        <v>1.41</v>
      </c>
    </row>
    <row r="1644">
      <c r="A1644" s="122" t="s">
        <v>3710</v>
      </c>
      <c r="B1644" s="123">
        <v>837852.0</v>
      </c>
      <c r="C1644" s="124" t="s">
        <v>3711</v>
      </c>
      <c r="D1644" s="125"/>
      <c r="E1644" s="126">
        <v>0.96</v>
      </c>
      <c r="F1644" s="127"/>
      <c r="G1644" s="127"/>
      <c r="H1644" s="127"/>
      <c r="I1644" s="128"/>
      <c r="K1644" s="105" t="str">
        <f>IFERROR(__xludf.DUMMYFUNCTION("if(A1644="""","""",substitute(SUBSTITUTE(index(importhtml(""http://finviz.com/quote.ashx?t=""&amp;A1644,""table"",10),7,2),""*"",""""),""-"",""0.00""))"),"Loading...")</f>
        <v>Loading...</v>
      </c>
      <c r="L1644" s="129">
        <v>1.1447661E7</v>
      </c>
      <c r="M1644" s="99">
        <v>0.52</v>
      </c>
    </row>
    <row r="1645">
      <c r="A1645" s="122" t="s">
        <v>3712</v>
      </c>
      <c r="B1645" s="123">
        <v>1304161.0</v>
      </c>
      <c r="C1645" s="124" t="s">
        <v>3713</v>
      </c>
      <c r="D1645" s="125"/>
      <c r="E1645" s="126">
        <v>0.96</v>
      </c>
      <c r="F1645" s="127"/>
      <c r="G1645" s="127"/>
      <c r="H1645" s="127"/>
      <c r="I1645" s="128"/>
      <c r="K1645" s="105" t="str">
        <f>IFERROR(__xludf.DUMMYFUNCTION("if(A1645="""","""",substitute(SUBSTITUTE(index(importhtml(""http://finviz.com/quote.ashx?t=""&amp;A1645,""table"",10),7,2),""*"",""""),""-"",""0.00""))"),"Loading...")</f>
        <v>Loading...</v>
      </c>
      <c r="L1645" s="129">
        <v>2.202165E7</v>
      </c>
      <c r="M1645" s="99">
        <v>0.44</v>
      </c>
    </row>
    <row r="1646">
      <c r="A1646" s="122" t="s">
        <v>3714</v>
      </c>
      <c r="B1646" s="123">
        <v>1293971.0</v>
      </c>
      <c r="C1646" s="124" t="s">
        <v>3715</v>
      </c>
      <c r="D1646" s="125"/>
      <c r="E1646" s="126">
        <v>0.96</v>
      </c>
      <c r="F1646" s="127"/>
      <c r="G1646" s="127"/>
      <c r="H1646" s="127"/>
      <c r="I1646" s="128"/>
      <c r="K1646" s="105" t="str">
        <f>IFERROR(__xludf.DUMMYFUNCTION("if(A1646="""","""",substitute(SUBSTITUTE(index(importhtml(""http://finviz.com/quote.ashx?t=""&amp;A1646,""table"",10),7,2),""*"",""""),""-"",""0.00""))"),"Loading...")</f>
        <v>Loading...</v>
      </c>
      <c r="L1646" s="129">
        <v>1.81762256E8</v>
      </c>
      <c r="M1646" s="99">
        <v>0.68</v>
      </c>
    </row>
    <row r="1647">
      <c r="A1647" s="122" t="s">
        <v>3716</v>
      </c>
      <c r="B1647" s="123">
        <v>1022899.0</v>
      </c>
      <c r="C1647" s="124" t="s">
        <v>895</v>
      </c>
      <c r="D1647" s="125"/>
      <c r="E1647" s="126">
        <v>0.97</v>
      </c>
      <c r="F1647" s="127"/>
      <c r="G1647" s="127"/>
      <c r="H1647" s="127"/>
      <c r="I1647" s="128"/>
      <c r="K1647" s="105" t="str">
        <f>IFERROR(__xludf.DUMMYFUNCTION("if(A1647="""","""",substitute(SUBSTITUTE(index(importhtml(""http://finviz.com/quote.ashx?t=""&amp;A1647,""table"",10),7,2),""*"",""""),""-"",""0.00""))"),"Loading...")</f>
        <v>Loading...</v>
      </c>
      <c r="L1647" s="129">
        <v>4302082.0</v>
      </c>
      <c r="M1647" s="99">
        <v>0.79</v>
      </c>
    </row>
    <row r="1648">
      <c r="A1648" s="122" t="s">
        <v>3717</v>
      </c>
      <c r="B1648" s="123">
        <v>1826376.0</v>
      </c>
      <c r="C1648" s="124" t="s">
        <v>3718</v>
      </c>
      <c r="D1648" s="125"/>
      <c r="E1648" s="126">
        <v>0.97</v>
      </c>
      <c r="F1648" s="127"/>
      <c r="G1648" s="127"/>
      <c r="H1648" s="127"/>
      <c r="I1648" s="128"/>
      <c r="K1648" s="105" t="str">
        <f>IFERROR(__xludf.DUMMYFUNCTION("if(A1648="""","""",substitute(SUBSTITUTE(index(importhtml(""http://finviz.com/quote.ashx?t=""&amp;A1648,""table"",10),7,2),""*"",""""),""-"",""0.00""))"),"Loading...")</f>
        <v>Loading...</v>
      </c>
      <c r="L1648" s="129">
        <v>1.7870904E7</v>
      </c>
      <c r="M1648" s="99">
        <f>IFERROR(__xludf.DUMMYFUNCTION("GOOGLEFINANCE(A1648,""beta"")"),1.8)</f>
        <v>1.8</v>
      </c>
    </row>
    <row r="1649">
      <c r="A1649" s="122" t="s">
        <v>3719</v>
      </c>
      <c r="B1649" s="123">
        <v>1780731.0</v>
      </c>
      <c r="C1649" s="124" t="s">
        <v>3720</v>
      </c>
      <c r="D1649" s="125"/>
      <c r="E1649" s="126">
        <v>0.97</v>
      </c>
      <c r="F1649" s="127"/>
      <c r="G1649" s="127"/>
      <c r="H1649" s="127"/>
      <c r="I1649" s="128"/>
      <c r="K1649" s="105" t="str">
        <f>IFERROR(__xludf.DUMMYFUNCTION("if(A1649="""","""",substitute(SUBSTITUTE(index(importhtml(""http://finviz.com/quote.ashx?t=""&amp;A1649,""table"",10),7,2),""*"",""""),""-"",""0.00""))"),"Loading...")</f>
        <v>Loading...</v>
      </c>
      <c r="L1649" s="129">
        <v>2.4507458E7</v>
      </c>
      <c r="M1649" s="99">
        <f>IFERROR(__xludf.DUMMYFUNCTION("GOOGLEFINANCE(A1649,""beta"")"),0.13)</f>
        <v>0.13</v>
      </c>
    </row>
    <row r="1650">
      <c r="A1650" s="122" t="s">
        <v>3721</v>
      </c>
      <c r="B1650" s="123">
        <v>1380106.0</v>
      </c>
      <c r="C1650" s="124" t="s">
        <v>3722</v>
      </c>
      <c r="D1650" s="125"/>
      <c r="E1650" s="126">
        <v>0.97</v>
      </c>
      <c r="F1650" s="127"/>
      <c r="G1650" s="127"/>
      <c r="H1650" s="127"/>
      <c r="I1650" s="128"/>
      <c r="K1650" s="105" t="str">
        <f>IFERROR(__xludf.DUMMYFUNCTION("if(A1650="""","""",substitute(SUBSTITUTE(index(importhtml(""http://finviz.com/quote.ashx?t=""&amp;A1650,""table"",10),7,2),""*"",""""),""-"",""0.00""))"),"Loading...")</f>
        <v>Loading...</v>
      </c>
      <c r="L1650" s="129">
        <v>4.098703E7</v>
      </c>
      <c r="M1650" s="99">
        <f>IFERROR(__xludf.DUMMYFUNCTION("GOOGLEFINANCE(A1650,""beta"")"),1.37)</f>
        <v>1.37</v>
      </c>
    </row>
    <row r="1651">
      <c r="A1651" s="122" t="s">
        <v>3723</v>
      </c>
      <c r="B1651" s="123">
        <v>748790.0</v>
      </c>
      <c r="C1651" s="124" t="s">
        <v>3724</v>
      </c>
      <c r="D1651" s="125"/>
      <c r="E1651" s="126">
        <v>0.97</v>
      </c>
      <c r="F1651" s="127"/>
      <c r="G1651" s="127"/>
      <c r="H1651" s="127"/>
      <c r="I1651" s="128"/>
      <c r="K1651" s="105" t="str">
        <f>IFERROR(__xludf.DUMMYFUNCTION("if(A1651="""","""",substitute(SUBSTITUTE(index(importhtml(""http://finviz.com/quote.ashx?t=""&amp;A1651,""table"",10),7,2),""*"",""""),""-"",""0.00""))"),"Loading...")</f>
        <v>Loading...</v>
      </c>
      <c r="L1651" s="129">
        <v>4.8460223E7</v>
      </c>
      <c r="M1651" s="99">
        <v>2.7</v>
      </c>
    </row>
    <row r="1652">
      <c r="A1652" s="122" t="s">
        <v>3725</v>
      </c>
      <c r="B1652" s="123">
        <v>1907982.0</v>
      </c>
      <c r="C1652" s="124" t="s">
        <v>3726</v>
      </c>
      <c r="D1652" s="125"/>
      <c r="E1652" s="126">
        <v>0.97</v>
      </c>
      <c r="F1652" s="127"/>
      <c r="G1652" s="127"/>
      <c r="H1652" s="127"/>
      <c r="I1652" s="128"/>
      <c r="K1652" s="105" t="str">
        <f>IFERROR(__xludf.DUMMYFUNCTION("if(A1652="""","""",substitute(SUBSTITUTE(index(importhtml(""http://finviz.com/quote.ashx?t=""&amp;A1652,""table"",10),7,2),""*"",""""),""-"",""0.00""))"),"Loading...")</f>
        <v>Loading...</v>
      </c>
      <c r="L1652" s="129">
        <v>1.54970616E8</v>
      </c>
      <c r="M1652" s="99">
        <f>IFERROR(__xludf.DUMMYFUNCTION("GOOGLEFINANCE(A1652,""beta"")"),2.28)</f>
        <v>2.28</v>
      </c>
    </row>
    <row r="1653">
      <c r="A1653" s="122" t="s">
        <v>3727</v>
      </c>
      <c r="B1653" s="123">
        <v>1758530.0</v>
      </c>
      <c r="C1653" s="124" t="s">
        <v>3728</v>
      </c>
      <c r="D1653" s="125"/>
      <c r="E1653" s="126">
        <v>0.98</v>
      </c>
      <c r="F1653" s="127"/>
      <c r="G1653" s="127"/>
      <c r="H1653" s="127"/>
      <c r="I1653" s="128"/>
      <c r="K1653" s="55" t="s">
        <v>1034</v>
      </c>
      <c r="L1653" s="129">
        <v>9.6496025E7</v>
      </c>
      <c r="M1653" s="99">
        <v>0.98</v>
      </c>
    </row>
    <row r="1654">
      <c r="A1654" s="122" t="s">
        <v>3729</v>
      </c>
      <c r="B1654" s="123">
        <v>1450704.0</v>
      </c>
      <c r="C1654" s="124" t="s">
        <v>3730</v>
      </c>
      <c r="D1654" s="125"/>
      <c r="E1654" s="126">
        <v>0.98</v>
      </c>
      <c r="F1654" s="127"/>
      <c r="G1654" s="127"/>
      <c r="H1654" s="127"/>
      <c r="I1654" s="128"/>
      <c r="K1654" s="105" t="str">
        <f>IFERROR(__xludf.DUMMYFUNCTION("if(A1654="""","""",substitute(SUBSTITUTE(index(importhtml(""http://finviz.com/quote.ashx?t=""&amp;A1654,""table"",10),7,2),""*"",""""),""-"",""0.00""))"),"Loading...")</f>
        <v>Loading...</v>
      </c>
      <c r="L1654" s="129">
        <v>2.5688234E7</v>
      </c>
      <c r="M1654" s="99">
        <v>0.72</v>
      </c>
    </row>
    <row r="1655">
      <c r="A1655" s="122" t="s">
        <v>3731</v>
      </c>
      <c r="B1655" s="123">
        <v>1830749.0</v>
      </c>
      <c r="C1655" s="124" t="s">
        <v>3732</v>
      </c>
      <c r="D1655" s="125"/>
      <c r="E1655" s="126">
        <v>0.98</v>
      </c>
      <c r="F1655" s="127"/>
      <c r="G1655" s="127"/>
      <c r="H1655" s="127"/>
      <c r="I1655" s="128"/>
      <c r="K1655" s="105" t="str">
        <f>IFERROR(__xludf.DUMMYFUNCTION("if(A1655="""","""",substitute(SUBSTITUTE(index(importhtml(""http://finviz.com/quote.ashx?t=""&amp;A1655,""table"",10),7,2),""*"",""""),""-"",""0.00""))"),"Loading...")</f>
        <v>Loading...</v>
      </c>
      <c r="L1655" s="129">
        <v>4.0130423E7</v>
      </c>
      <c r="M1655" s="99" t="str">
        <f>IFERROR(__xludf.DUMMYFUNCTION("GOOGLEFINANCE(A1655,""beta"")"),"#N/A")</f>
        <v>#N/A</v>
      </c>
    </row>
    <row r="1656">
      <c r="A1656" s="122" t="s">
        <v>3733</v>
      </c>
      <c r="B1656" s="123">
        <v>1884334.0</v>
      </c>
      <c r="C1656" s="124" t="s">
        <v>3734</v>
      </c>
      <c r="D1656" s="125"/>
      <c r="E1656" s="126">
        <v>0.98</v>
      </c>
      <c r="F1656" s="127"/>
      <c r="G1656" s="127"/>
      <c r="H1656" s="127"/>
      <c r="I1656" s="128"/>
      <c r="K1656" s="105" t="str">
        <f>IFERROR(__xludf.DUMMYFUNCTION("if(A1656="""","""",substitute(SUBSTITUTE(index(importhtml(""http://finviz.com/quote.ashx?t=""&amp;A1656,""table"",10),7,2),""*"",""""),""-"",""0.00""))"),"Loading...")</f>
        <v>Loading...</v>
      </c>
      <c r="L1656" s="129">
        <v>5.6709484E7</v>
      </c>
      <c r="M1656" s="99" t="str">
        <f>IFERROR(__xludf.DUMMYFUNCTION("GOOGLEFINANCE(A1656,""beta"")"),"#N/A")</f>
        <v>#N/A</v>
      </c>
    </row>
    <row r="1657">
      <c r="A1657" s="122" t="s">
        <v>3735</v>
      </c>
      <c r="B1657" s="123">
        <v>1117171.0</v>
      </c>
      <c r="C1657" s="124" t="s">
        <v>3736</v>
      </c>
      <c r="D1657" s="125"/>
      <c r="E1657" s="126">
        <v>0.98</v>
      </c>
      <c r="F1657" s="127"/>
      <c r="G1657" s="127"/>
      <c r="H1657" s="127"/>
      <c r="I1657" s="128"/>
      <c r="K1657" s="105" t="str">
        <f>IFERROR(__xludf.DUMMYFUNCTION("if(A1657="""","""",substitute(SUBSTITUTE(index(importhtml(""http://finviz.com/quote.ashx?t=""&amp;A1657,""table"",10),7,2),""*"",""""),""-"",""0.00""))"),"Loading...")</f>
        <v>Loading...</v>
      </c>
      <c r="L1657" s="129">
        <v>9.396155E7</v>
      </c>
      <c r="M1657" s="99" t="str">
        <f>IFERROR(__xludf.DUMMYFUNCTION("GOOGLEFINANCE(A1657,""beta"")"),"#N/A")</f>
        <v>#N/A</v>
      </c>
    </row>
    <row r="1658">
      <c r="A1658" s="122" t="s">
        <v>3737</v>
      </c>
      <c r="B1658" s="123">
        <v>876343.0</v>
      </c>
      <c r="C1658" s="124" t="s">
        <v>3738</v>
      </c>
      <c r="D1658" s="125"/>
      <c r="E1658" s="126">
        <v>0.98</v>
      </c>
      <c r="F1658" s="127"/>
      <c r="G1658" s="127"/>
      <c r="H1658" s="127"/>
      <c r="I1658" s="128"/>
      <c r="K1658" s="105" t="str">
        <f>IFERROR(__xludf.DUMMYFUNCTION("if(A1658="""","""",substitute(SUBSTITUTE(index(importhtml(""http://finviz.com/quote.ashx?t=""&amp;A1658,""table"",10),7,2),""*"",""""),""-"",""0.00""))"),"Loading...")</f>
        <v>Loading...</v>
      </c>
      <c r="L1658" s="129">
        <v>1.72045177E8</v>
      </c>
      <c r="M1658" s="99">
        <v>1.23</v>
      </c>
    </row>
    <row r="1659">
      <c r="A1659" s="122" t="s">
        <v>3739</v>
      </c>
      <c r="B1659" s="123">
        <v>1722380.0</v>
      </c>
      <c r="C1659" s="124" t="s">
        <v>3740</v>
      </c>
      <c r="D1659" s="125"/>
      <c r="E1659" s="126">
        <v>0.99</v>
      </c>
      <c r="F1659" s="127"/>
      <c r="G1659" s="127"/>
      <c r="H1659" s="127"/>
      <c r="I1659" s="128"/>
      <c r="K1659" s="55" t="s">
        <v>1034</v>
      </c>
      <c r="L1659" s="129">
        <v>1.52455001E8</v>
      </c>
      <c r="M1659" s="99">
        <v>0.15</v>
      </c>
    </row>
    <row r="1660">
      <c r="A1660" s="122" t="s">
        <v>3741</v>
      </c>
      <c r="B1660" s="123">
        <v>1806524.0</v>
      </c>
      <c r="C1660" s="124" t="s">
        <v>3742</v>
      </c>
      <c r="D1660" s="125"/>
      <c r="E1660" s="126">
        <v>0.99</v>
      </c>
      <c r="F1660" s="127"/>
      <c r="G1660" s="127"/>
      <c r="H1660" s="127"/>
      <c r="I1660" s="128"/>
      <c r="K1660" s="105" t="str">
        <f>IFERROR(__xludf.DUMMYFUNCTION("if(A1660="""","""",substitute(SUBSTITUTE(index(importhtml(""http://finviz.com/quote.ashx?t=""&amp;A1660,""table"",10),7,2),""*"",""""),""-"",""0.00""))"),"Loading...")</f>
        <v>Loading...</v>
      </c>
      <c r="L1660" s="129">
        <v>3552786.0</v>
      </c>
      <c r="M1660" s="99">
        <v>2.2</v>
      </c>
    </row>
    <row r="1661">
      <c r="A1661" s="122" t="s">
        <v>3743</v>
      </c>
      <c r="B1661" s="123">
        <v>819050.0</v>
      </c>
      <c r="C1661" s="124" t="s">
        <v>3744</v>
      </c>
      <c r="D1661" s="125"/>
      <c r="E1661" s="126">
        <v>0.99</v>
      </c>
      <c r="F1661" s="127"/>
      <c r="G1661" s="127"/>
      <c r="H1661" s="127"/>
      <c r="I1661" s="128"/>
      <c r="K1661" s="105" t="str">
        <f>IFERROR(__xludf.DUMMYFUNCTION("if(A1661="""","""",substitute(SUBSTITUTE(index(importhtml(""http://finviz.com/quote.ashx?t=""&amp;A1661,""table"",10),7,2),""*"",""""),""-"",""0.00""))"),"Loading...")</f>
        <v>Loading...</v>
      </c>
      <c r="L1661" s="129">
        <v>5889142.0</v>
      </c>
      <c r="M1661" s="99">
        <v>0.4</v>
      </c>
    </row>
    <row r="1662">
      <c r="A1662" s="122" t="s">
        <v>3745</v>
      </c>
      <c r="B1662" s="123">
        <v>793628.0</v>
      </c>
      <c r="C1662" s="124" t="s">
        <v>3746</v>
      </c>
      <c r="D1662" s="125"/>
      <c r="E1662" s="126">
        <v>0.99</v>
      </c>
      <c r="F1662" s="127"/>
      <c r="G1662" s="127"/>
      <c r="H1662" s="127"/>
      <c r="I1662" s="128"/>
      <c r="K1662" s="105" t="str">
        <f>IFERROR(__xludf.DUMMYFUNCTION("if(A1662="""","""",substitute(SUBSTITUTE(index(importhtml(""http://finviz.com/quote.ashx?t=""&amp;A1662,""table"",10),7,2),""*"",""""),""-"",""0.00""))"),"Loading...")</f>
        <v>Loading...</v>
      </c>
      <c r="L1662" s="129">
        <v>8115096.0</v>
      </c>
      <c r="M1662" s="99">
        <v>0.7</v>
      </c>
    </row>
    <row r="1663">
      <c r="A1663" s="122" t="s">
        <v>3747</v>
      </c>
      <c r="B1663" s="123">
        <v>1763925.0</v>
      </c>
      <c r="C1663" s="124" t="s">
        <v>3748</v>
      </c>
      <c r="D1663" s="125"/>
      <c r="E1663" s="126">
        <v>0.99</v>
      </c>
      <c r="F1663" s="127"/>
      <c r="G1663" s="127"/>
      <c r="H1663" s="127"/>
      <c r="I1663" s="128"/>
      <c r="K1663" s="105" t="str">
        <f>IFERROR(__xludf.DUMMYFUNCTION("if(A1663="""","""",substitute(SUBSTITUTE(index(importhtml(""http://finviz.com/quote.ashx?t=""&amp;A1663,""table"",10),7,2),""*"",""""),""-"",""0.00""))"),"Loading...")</f>
        <v>Loading...</v>
      </c>
      <c r="L1663" s="129">
        <v>9222740.0</v>
      </c>
      <c r="M1663" s="99">
        <f>IFERROR(__xludf.DUMMYFUNCTION("GOOGLEFINANCE(A1663,""beta"")"),11.9)</f>
        <v>11.9</v>
      </c>
    </row>
    <row r="1664">
      <c r="A1664" s="122" t="s">
        <v>3749</v>
      </c>
      <c r="B1664" s="123">
        <v>707388.0</v>
      </c>
      <c r="C1664" s="124" t="s">
        <v>3750</v>
      </c>
      <c r="D1664" s="125"/>
      <c r="E1664" s="126">
        <v>0.99</v>
      </c>
      <c r="F1664" s="127"/>
      <c r="G1664" s="127"/>
      <c r="H1664" s="127"/>
      <c r="I1664" s="128"/>
      <c r="K1664" s="105" t="str">
        <f>IFERROR(__xludf.DUMMYFUNCTION("if(A1664="""","""",substitute(SUBSTITUTE(index(importhtml(""http://finviz.com/quote.ashx?t=""&amp;A1664,""table"",10),7,2),""*"",""""),""-"",""0.00""))"),"Loading...")</f>
        <v>Loading...</v>
      </c>
      <c r="L1664" s="129">
        <v>1.5669551E7</v>
      </c>
      <c r="M1664" s="99">
        <v>0.25</v>
      </c>
    </row>
    <row r="1665">
      <c r="A1665" s="122" t="s">
        <v>3751</v>
      </c>
      <c r="B1665" s="123">
        <v>1589149.0</v>
      </c>
      <c r="C1665" s="124" t="s">
        <v>3752</v>
      </c>
      <c r="D1665" s="125"/>
      <c r="E1665" s="126">
        <v>0.99</v>
      </c>
      <c r="F1665" s="127"/>
      <c r="G1665" s="127"/>
      <c r="H1665" s="127"/>
      <c r="I1665" s="128"/>
      <c r="K1665" s="105" t="str">
        <f>IFERROR(__xludf.DUMMYFUNCTION("if(A1665="""","""",substitute(SUBSTITUTE(index(importhtml(""http://finviz.com/quote.ashx?t=""&amp;A1665,""table"",10),7,2),""*"",""""),""-"",""0.00""))"),"Loading...")</f>
        <v>Loading...</v>
      </c>
      <c r="L1665" s="129">
        <v>1.6391509E7</v>
      </c>
      <c r="M1665" s="99">
        <v>1.71</v>
      </c>
    </row>
    <row r="1666">
      <c r="A1666" s="122" t="s">
        <v>3753</v>
      </c>
      <c r="B1666" s="123">
        <v>1426800.0</v>
      </c>
      <c r="C1666" s="124" t="s">
        <v>3754</v>
      </c>
      <c r="D1666" s="125"/>
      <c r="E1666" s="126">
        <v>0.99</v>
      </c>
      <c r="F1666" s="127"/>
      <c r="G1666" s="127"/>
      <c r="H1666" s="127"/>
      <c r="I1666" s="128"/>
      <c r="K1666" s="105" t="str">
        <f>IFERROR(__xludf.DUMMYFUNCTION("if(A1666="""","""",substitute(SUBSTITUTE(index(importhtml(""http://finviz.com/quote.ashx?t=""&amp;A1666,""table"",10),7,2),""*"",""""),""-"",""0.00""))"),"Loading...")</f>
        <v>Loading...</v>
      </c>
      <c r="L1666" s="129">
        <v>6.4922913E7</v>
      </c>
      <c r="M1666" s="99">
        <v>0.52</v>
      </c>
    </row>
    <row r="1667">
      <c r="A1667" s="122" t="s">
        <v>3755</v>
      </c>
      <c r="B1667" s="123">
        <v>1538028.0</v>
      </c>
      <c r="C1667" s="124" t="s">
        <v>3756</v>
      </c>
      <c r="D1667" s="125"/>
      <c r="E1667" s="126">
        <v>0.99</v>
      </c>
      <c r="F1667" s="127"/>
      <c r="G1667" s="127"/>
      <c r="H1667" s="127"/>
      <c r="I1667" s="128"/>
      <c r="K1667" s="105" t="str">
        <f>IFERROR(__xludf.DUMMYFUNCTION("if(A1667="""","""",substitute(SUBSTITUTE(index(importhtml(""http://finviz.com/quote.ashx?t=""&amp;A1667,""table"",10),7,2),""*"",""""),""-"",""0.00""))"),"Loading...")</f>
        <v>Loading...</v>
      </c>
      <c r="L1667" s="129">
        <v>4.62611007E8</v>
      </c>
      <c r="M1667" s="99">
        <v>4.72</v>
      </c>
    </row>
    <row r="1668">
      <c r="A1668" s="122" t="s">
        <v>3757</v>
      </c>
      <c r="B1668" s="123">
        <v>1365916.0</v>
      </c>
      <c r="C1668" s="124" t="s">
        <v>3758</v>
      </c>
      <c r="D1668" s="125"/>
      <c r="E1668" s="126">
        <v>1.0</v>
      </c>
      <c r="F1668" s="127"/>
      <c r="G1668" s="127"/>
      <c r="H1668" s="127"/>
      <c r="I1668" s="128"/>
      <c r="K1668" s="105" t="str">
        <f>IFERROR(__xludf.DUMMYFUNCTION("if(A1668="""","""",substitute(SUBSTITUTE(index(importhtml(""http://finviz.com/quote.ashx?t=""&amp;A1668,""table"",10),7,2),""*"",""""),""-"",""0.00""))"),"Loading...")</f>
        <v>Loading...</v>
      </c>
      <c r="L1668" s="129">
        <v>184693.0</v>
      </c>
      <c r="M1668" s="99" t="str">
        <f>IFERROR(__xludf.DUMMYFUNCTION("GOOGLEFINANCE(A1668,""beta"")"),"#N/A")</f>
        <v>#N/A</v>
      </c>
    </row>
    <row r="1669">
      <c r="A1669" s="122" t="s">
        <v>3759</v>
      </c>
      <c r="B1669" s="123">
        <v>1787123.0</v>
      </c>
      <c r="C1669" s="124" t="s">
        <v>3760</v>
      </c>
      <c r="D1669" s="125"/>
      <c r="E1669" s="126">
        <v>1.0</v>
      </c>
      <c r="F1669" s="127"/>
      <c r="G1669" s="127"/>
      <c r="H1669" s="127"/>
      <c r="I1669" s="128"/>
      <c r="K1669" s="105" t="str">
        <f>IFERROR(__xludf.DUMMYFUNCTION("if(A1669="""","""",substitute(SUBSTITUTE(index(importhtml(""http://finviz.com/quote.ashx?t=""&amp;A1669,""table"",10),7,2),""*"",""""),""-"",""0.00""))"),"Loading...")</f>
        <v>Loading...</v>
      </c>
      <c r="L1669" s="129">
        <v>3895000.0</v>
      </c>
      <c r="M1669" s="99" t="str">
        <f>IFERROR(__xludf.DUMMYFUNCTION("GOOGLEFINANCE(A1669,""beta"")"),"#N/A")</f>
        <v>#N/A</v>
      </c>
    </row>
    <row r="1670">
      <c r="A1670" s="122" t="s">
        <v>3761</v>
      </c>
      <c r="B1670" s="123">
        <v>758743.0</v>
      </c>
      <c r="C1670" s="124" t="s">
        <v>3762</v>
      </c>
      <c r="D1670" s="125"/>
      <c r="E1670" s="126">
        <v>1.0</v>
      </c>
      <c r="F1670" s="127"/>
      <c r="G1670" s="127"/>
      <c r="H1670" s="127"/>
      <c r="I1670" s="128"/>
      <c r="K1670" s="105" t="str">
        <f>IFERROR(__xludf.DUMMYFUNCTION("if(A1670="""","""",substitute(SUBSTITUTE(index(importhtml(""http://finviz.com/quote.ashx?t=""&amp;A1670,""table"",10),7,2),""*"",""""),""-"",""0.00""))"),"Loading...")</f>
        <v>Loading...</v>
      </c>
      <c r="L1670" s="129">
        <v>5878290.0</v>
      </c>
      <c r="M1670" s="99">
        <v>1.13</v>
      </c>
    </row>
    <row r="1671">
      <c r="A1671" s="122" t="s">
        <v>3763</v>
      </c>
      <c r="B1671" s="123">
        <v>1756180.0</v>
      </c>
      <c r="C1671" s="124" t="s">
        <v>3764</v>
      </c>
      <c r="D1671" s="125"/>
      <c r="E1671" s="126">
        <v>1.0</v>
      </c>
      <c r="F1671" s="127"/>
      <c r="G1671" s="127"/>
      <c r="H1671" s="127"/>
      <c r="I1671" s="128"/>
      <c r="K1671" s="105" t="str">
        <f>IFERROR(__xludf.DUMMYFUNCTION("if(A1671="""","""",substitute(SUBSTITUTE(index(importhtml(""http://finviz.com/quote.ashx?t=""&amp;A1671,""table"",10),7,2),""*"",""""),""-"",""0.00""))"),"Loading...")</f>
        <v>Loading...</v>
      </c>
      <c r="L1671" s="129">
        <v>1.003929E7</v>
      </c>
      <c r="M1671" s="99">
        <v>1.97</v>
      </c>
    </row>
    <row r="1672">
      <c r="A1672" s="122" t="s">
        <v>3765</v>
      </c>
      <c r="B1672" s="123">
        <v>1784058.0</v>
      </c>
      <c r="C1672" s="124" t="s">
        <v>3766</v>
      </c>
      <c r="D1672" s="125"/>
      <c r="E1672" s="126">
        <v>1.0</v>
      </c>
      <c r="F1672" s="127"/>
      <c r="G1672" s="127"/>
      <c r="H1672" s="127"/>
      <c r="I1672" s="128"/>
      <c r="K1672" s="105" t="str">
        <f>IFERROR(__xludf.DUMMYFUNCTION("if(A1672="""","""",substitute(SUBSTITUTE(index(importhtml(""http://finviz.com/quote.ashx?t=""&amp;A1672,""table"",10),7,2),""*"",""""),""-"",""0.00""))"),"Loading...")</f>
        <v>Loading...</v>
      </c>
      <c r="L1672" s="129">
        <v>1.15E7</v>
      </c>
      <c r="M1672" s="99">
        <f>IFERROR(__xludf.DUMMYFUNCTION("GOOGLEFINANCE(A1672,""beta"")"),-68.72)</f>
        <v>-68.72</v>
      </c>
    </row>
    <row r="1673">
      <c r="A1673" s="122" t="s">
        <v>3767</v>
      </c>
      <c r="B1673" s="123">
        <v>1414382.0</v>
      </c>
      <c r="C1673" s="124" t="s">
        <v>3768</v>
      </c>
      <c r="D1673" s="125"/>
      <c r="E1673" s="126">
        <v>1.0</v>
      </c>
      <c r="F1673" s="127"/>
      <c r="G1673" s="127"/>
      <c r="H1673" s="127"/>
      <c r="I1673" s="128"/>
      <c r="K1673" s="105" t="str">
        <f>IFERROR(__xludf.DUMMYFUNCTION("if(A1673="""","""",substitute(SUBSTITUTE(index(importhtml(""http://finviz.com/quote.ashx?t=""&amp;A1673,""table"",10),7,2),""*"",""""),""-"",""0.00""))"),"#N/A")</f>
        <v>#N/A</v>
      </c>
      <c r="L1673" s="129">
        <v>1.3999774E7</v>
      </c>
      <c r="M1673" s="99">
        <v>-0.34</v>
      </c>
    </row>
    <row r="1674">
      <c r="A1674" s="122" t="s">
        <v>3769</v>
      </c>
      <c r="B1674" s="123">
        <v>1835615.0</v>
      </c>
      <c r="C1674" s="124" t="s">
        <v>3770</v>
      </c>
      <c r="D1674" s="125"/>
      <c r="E1674" s="126">
        <v>1.0</v>
      </c>
      <c r="F1674" s="127"/>
      <c r="G1674" s="127"/>
      <c r="H1674" s="127"/>
      <c r="I1674" s="128"/>
      <c r="K1674" s="105" t="str">
        <f>IFERROR(__xludf.DUMMYFUNCTION("if(A1674="""","""",substitute(SUBSTITUTE(index(importhtml(""http://finviz.com/quote.ashx?t=""&amp;A1674,""table"",10),7,2),""*"",""""),""-"",""0.00""))"),"Loading...")</f>
        <v>Loading...</v>
      </c>
      <c r="L1674" s="129">
        <v>2.394E7</v>
      </c>
      <c r="M1674" s="99">
        <f>IFERROR(__xludf.DUMMYFUNCTION("GOOGLEFINANCE(A1674,""beta"")"),0.86)</f>
        <v>0.86</v>
      </c>
    </row>
    <row r="1675">
      <c r="A1675" s="122" t="s">
        <v>3771</v>
      </c>
      <c r="B1675" s="123">
        <v>1871983.0</v>
      </c>
      <c r="C1675" s="124" t="s">
        <v>3772</v>
      </c>
      <c r="D1675" s="125"/>
      <c r="E1675" s="126">
        <v>1.0</v>
      </c>
      <c r="F1675" s="127"/>
      <c r="G1675" s="127"/>
      <c r="H1675" s="127"/>
      <c r="I1675" s="128"/>
      <c r="K1675" s="105" t="str">
        <f>IFERROR(__xludf.DUMMYFUNCTION("if(A1675="""","""",substitute(SUBSTITUTE(index(importhtml(""http://finviz.com/quote.ashx?t=""&amp;A1675,""table"",10),7,2),""*"",""""),""-"",""0.00""))"),"#REF!")</f>
        <v>#REF!</v>
      </c>
      <c r="L1675" s="129">
        <v>2.7792913E7</v>
      </c>
      <c r="M1675" s="99">
        <v>1.22</v>
      </c>
    </row>
    <row r="1676">
      <c r="A1676" s="122" t="s">
        <v>3773</v>
      </c>
      <c r="B1676" s="123">
        <v>1677940.0</v>
      </c>
      <c r="C1676" s="124" t="s">
        <v>3774</v>
      </c>
      <c r="D1676" s="125"/>
      <c r="E1676" s="126">
        <v>1.0</v>
      </c>
      <c r="F1676" s="127"/>
      <c r="G1676" s="127"/>
      <c r="H1676" s="127"/>
      <c r="I1676" s="128"/>
      <c r="K1676" s="105" t="str">
        <f>IFERROR(__xludf.DUMMYFUNCTION("if(A1676="""","""",substitute(SUBSTITUTE(index(importhtml(""http://finviz.com/quote.ashx?t=""&amp;A1676,""table"",10),7,2),""*"",""""),""-"",""0.00""))"),"Loading...")</f>
        <v>Loading...</v>
      </c>
      <c r="L1676" s="129">
        <v>3.892409E7</v>
      </c>
      <c r="M1676" s="99">
        <v>-0.13</v>
      </c>
    </row>
    <row r="1677">
      <c r="A1677" s="122" t="s">
        <v>3775</v>
      </c>
      <c r="B1677" s="123">
        <v>1543066.0</v>
      </c>
      <c r="C1677" s="124" t="s">
        <v>3776</v>
      </c>
      <c r="D1677" s="125"/>
      <c r="E1677" s="126">
        <v>1.0</v>
      </c>
      <c r="F1677" s="127"/>
      <c r="G1677" s="127"/>
      <c r="H1677" s="127"/>
      <c r="I1677" s="128"/>
      <c r="K1677" s="105" t="str">
        <f>IFERROR(__xludf.DUMMYFUNCTION("if(A1677="""","""",substitute(SUBSTITUTE(index(importhtml(""http://finviz.com/quote.ashx?t=""&amp;A1677,""table"",10),7,2),""*"",""""),""-"",""0.00""))"),"Loading...")</f>
        <v>Loading...</v>
      </c>
      <c r="L1677" s="129">
        <v>4.199184E7</v>
      </c>
      <c r="M1677" s="99" t="str">
        <f>IFERROR(__xludf.DUMMYFUNCTION("GOOGLEFINANCE(A1677,""beta"")"),"#N/A")</f>
        <v>#N/A</v>
      </c>
    </row>
    <row r="1678">
      <c r="A1678" s="122" t="s">
        <v>3777</v>
      </c>
      <c r="B1678" s="123">
        <v>1523836.0</v>
      </c>
      <c r="C1678" s="124" t="s">
        <v>3778</v>
      </c>
      <c r="D1678" s="125"/>
      <c r="E1678" s="126">
        <v>1.0</v>
      </c>
      <c r="F1678" s="127"/>
      <c r="G1678" s="127"/>
      <c r="H1678" s="127"/>
      <c r="I1678" s="128"/>
      <c r="K1678" s="105" t="str">
        <f>IFERROR(__xludf.DUMMYFUNCTION("if(A1678="""","""",substitute(SUBSTITUTE(index(importhtml(""http://finviz.com/quote.ashx?t=""&amp;A1678,""table"",10),7,2),""*"",""""),""-"",""0.00""))"),"Loading...")</f>
        <v>Loading...</v>
      </c>
      <c r="L1678" s="129">
        <v>1.133123E8</v>
      </c>
      <c r="M1678" s="99">
        <v>0.96</v>
      </c>
    </row>
    <row r="1679">
      <c r="A1679" s="122" t="s">
        <v>3779</v>
      </c>
      <c r="B1679" s="123">
        <v>1801170.0</v>
      </c>
      <c r="C1679" s="124" t="s">
        <v>3780</v>
      </c>
      <c r="D1679" s="125"/>
      <c r="E1679" s="126">
        <v>1.0</v>
      </c>
      <c r="F1679" s="127"/>
      <c r="G1679" s="127"/>
      <c r="H1679" s="127"/>
      <c r="I1679" s="128"/>
      <c r="K1679" s="105" t="str">
        <f>IFERROR(__xludf.DUMMYFUNCTION("if(A1679="""","""",substitute(SUBSTITUTE(index(importhtml(""http://finviz.com/quote.ashx?t=""&amp;A1679,""table"",10),7,2),""*"",""""),""-"",""0.00""))"),"Loading...")</f>
        <v>Loading...</v>
      </c>
      <c r="L1679" s="129">
        <v>4.85254554E8</v>
      </c>
      <c r="M1679" s="99">
        <v>1.91</v>
      </c>
    </row>
    <row r="1680">
      <c r="A1680" s="122" t="s">
        <v>3781</v>
      </c>
      <c r="B1680" s="123">
        <v>944809.0</v>
      </c>
      <c r="C1680" s="124" t="s">
        <v>3782</v>
      </c>
      <c r="D1680" s="125"/>
      <c r="E1680" s="126">
        <v>1.0</v>
      </c>
      <c r="F1680" s="127"/>
      <c r="G1680" s="127"/>
      <c r="H1680" s="127"/>
      <c r="I1680" s="128"/>
      <c r="K1680" s="105" t="str">
        <f>IFERROR(__xludf.DUMMYFUNCTION("if(A1680="""","""",substitute(SUBSTITUTE(index(importhtml(""http://finviz.com/quote.ashx?t=""&amp;A1680,""table"",10),7,2),""*"",""""),""-"",""0.00""))"),"Loading...")</f>
        <v>Loading...</v>
      </c>
      <c r="L1680" s="129">
        <v>7.69191221E8</v>
      </c>
      <c r="M1680" s="99">
        <v>1.78</v>
      </c>
    </row>
    <row r="1681">
      <c r="A1681" s="122" t="s">
        <v>3783</v>
      </c>
      <c r="B1681" s="123">
        <v>1569963.0</v>
      </c>
      <c r="C1681" s="124" t="s">
        <v>3784</v>
      </c>
      <c r="D1681" s="125"/>
      <c r="E1681" s="126">
        <v>1.0</v>
      </c>
      <c r="F1681" s="127"/>
      <c r="G1681" s="127"/>
      <c r="H1681" s="127"/>
      <c r="I1681" s="128"/>
      <c r="K1681" s="105" t="str">
        <f>IFERROR(__xludf.DUMMYFUNCTION("if(A1681="""","""",substitute(SUBSTITUTE(index(importhtml(""http://finviz.com/quote.ashx?t=""&amp;A1681,""table"",10),7,2),""*"",""""),""-"",""0.00""))"),"Loading...")</f>
        <v>Loading...</v>
      </c>
      <c r="L1681" s="129">
        <v>2.600142428E10</v>
      </c>
      <c r="M1681" s="99">
        <f>IFERROR(__xludf.DUMMYFUNCTION("GOOGLEFINANCE(A1681,""beta"")"),6.16)</f>
        <v>6.16</v>
      </c>
    </row>
    <row r="1682">
      <c r="A1682" s="122" t="s">
        <v>3785</v>
      </c>
      <c r="B1682" s="123">
        <v>1556179.0</v>
      </c>
      <c r="C1682" s="124" t="s">
        <v>3786</v>
      </c>
      <c r="D1682" s="125"/>
      <c r="E1682" s="126">
        <v>1.0</v>
      </c>
      <c r="F1682" s="127"/>
      <c r="G1682" s="127"/>
      <c r="H1682" s="127"/>
      <c r="I1682" s="128"/>
      <c r="K1682" s="105" t="str">
        <f>IFERROR(__xludf.DUMMYFUNCTION("if(A1682="""","""",substitute(SUBSTITUTE(index(importhtml(""http://finviz.com/quote.ashx?t=""&amp;A1682,""table"",10),7,2),""*"",""""),""-"",""0.00""))"),"Loading...")</f>
        <v>Loading...</v>
      </c>
      <c r="L1682" s="129" t="e">
        <v>#N/A</v>
      </c>
      <c r="M1682" s="99">
        <v>-0.77</v>
      </c>
    </row>
    <row r="1683">
      <c r="A1683" s="122" t="s">
        <v>3787</v>
      </c>
      <c r="B1683" s="123">
        <v>1794276.0</v>
      </c>
      <c r="C1683" s="124" t="s">
        <v>3788</v>
      </c>
      <c r="D1683" s="125"/>
      <c r="E1683" s="126">
        <v>1.0</v>
      </c>
      <c r="F1683" s="127"/>
      <c r="G1683" s="127"/>
      <c r="H1683" s="127"/>
      <c r="I1683" s="128"/>
      <c r="K1683" s="105" t="str">
        <f>IFERROR(__xludf.DUMMYFUNCTION("if(A1683="""","""",substitute(SUBSTITUTE(index(importhtml(""http://finviz.com/quote.ashx?t=""&amp;A1683,""table"",10),7,2),""*"",""""),""-"",""0.00""))"),"Loading...")</f>
        <v>Loading...</v>
      </c>
      <c r="L1683" s="129" t="e">
        <v>#N/A</v>
      </c>
      <c r="M1683" s="99" t="str">
        <f>IFERROR(__xludf.DUMMYFUNCTION("GOOGLEFINANCE(A1683,""beta"")"),"#N/A")</f>
        <v>#N/A</v>
      </c>
    </row>
    <row r="1684">
      <c r="A1684" s="122" t="s">
        <v>3789</v>
      </c>
      <c r="B1684" s="123">
        <v>1566826.0</v>
      </c>
      <c r="C1684" s="124" t="s">
        <v>3790</v>
      </c>
      <c r="D1684" s="125"/>
      <c r="E1684" s="126">
        <v>1.01</v>
      </c>
      <c r="F1684" s="127"/>
      <c r="G1684" s="127"/>
      <c r="H1684" s="127"/>
      <c r="I1684" s="128"/>
      <c r="K1684" s="105" t="str">
        <f>IFERROR(__xludf.DUMMYFUNCTION("if(A1684="""","""",substitute(SUBSTITUTE(index(importhtml(""http://finviz.com/quote.ashx?t=""&amp;A1684,""table"",10),7,2),""*"",""""),""-"",""0.00""))"),"Loading...")</f>
        <v>Loading...</v>
      </c>
      <c r="L1684" s="129">
        <v>1433489.0</v>
      </c>
      <c r="M1684" s="99">
        <v>1.35</v>
      </c>
    </row>
    <row r="1685">
      <c r="A1685" s="122" t="s">
        <v>3791</v>
      </c>
      <c r="B1685" s="123">
        <v>1522602.0</v>
      </c>
      <c r="C1685" s="124" t="s">
        <v>3792</v>
      </c>
      <c r="D1685" s="125"/>
      <c r="E1685" s="126">
        <v>1.01</v>
      </c>
      <c r="F1685" s="127"/>
      <c r="G1685" s="127"/>
      <c r="H1685" s="127"/>
      <c r="I1685" s="128"/>
      <c r="K1685" s="105" t="str">
        <f>IFERROR(__xludf.DUMMYFUNCTION("if(A1685="""","""",substitute(SUBSTITUTE(index(importhtml(""http://finviz.com/quote.ashx?t=""&amp;A1685,""table"",10),7,2),""*"",""""),""-"",""0.00""))"),"Loading...")</f>
        <v>Loading...</v>
      </c>
      <c r="L1685" s="129">
        <v>2930938.0</v>
      </c>
      <c r="M1685" s="99">
        <v>1.89</v>
      </c>
    </row>
    <row r="1686">
      <c r="A1686" s="122" t="s">
        <v>3793</v>
      </c>
      <c r="B1686" s="123">
        <v>1584831.0</v>
      </c>
      <c r="C1686" s="124" t="s">
        <v>3794</v>
      </c>
      <c r="D1686" s="125"/>
      <c r="E1686" s="126">
        <v>1.01</v>
      </c>
      <c r="F1686" s="127"/>
      <c r="G1686" s="127"/>
      <c r="H1686" s="127"/>
      <c r="I1686" s="128"/>
      <c r="K1686" s="105" t="str">
        <f>IFERROR(__xludf.DUMMYFUNCTION("if(A1686="""","""",substitute(SUBSTITUTE(index(importhtml(""http://finviz.com/quote.ashx?t=""&amp;A1686,""table"",10),7,2),""*"",""""),""-"",""0.00""))"),"Loading...")</f>
        <v>Loading...</v>
      </c>
      <c r="L1686" s="129">
        <v>5907799.0</v>
      </c>
      <c r="M1686" s="99">
        <v>0.87</v>
      </c>
    </row>
    <row r="1687">
      <c r="A1687" s="122" t="s">
        <v>3795</v>
      </c>
      <c r="B1687" s="123">
        <v>1684425.0</v>
      </c>
      <c r="C1687" s="124" t="s">
        <v>3796</v>
      </c>
      <c r="D1687" s="125"/>
      <c r="E1687" s="126">
        <v>1.01</v>
      </c>
      <c r="F1687" s="127"/>
      <c r="G1687" s="127"/>
      <c r="H1687" s="127"/>
      <c r="I1687" s="128"/>
      <c r="K1687" s="105" t="str">
        <f>IFERROR(__xludf.DUMMYFUNCTION("if(A1687="""","""",substitute(SUBSTITUTE(index(importhtml(""http://finviz.com/quote.ashx?t=""&amp;A1687,""table"",10),7,2),""*"",""""),""-"",""0.00""))"),"Loading...")</f>
        <v>Loading...</v>
      </c>
      <c r="L1687" s="129">
        <v>1.0426492E7</v>
      </c>
      <c r="M1687" s="99">
        <v>1.39</v>
      </c>
    </row>
    <row r="1688">
      <c r="A1688" s="122" t="s">
        <v>3797</v>
      </c>
      <c r="B1688" s="123">
        <v>1782309.0</v>
      </c>
      <c r="C1688" s="124" t="s">
        <v>3798</v>
      </c>
      <c r="D1688" s="125"/>
      <c r="E1688" s="126">
        <v>1.01</v>
      </c>
      <c r="F1688" s="127"/>
      <c r="G1688" s="127"/>
      <c r="H1688" s="127"/>
      <c r="I1688" s="128"/>
      <c r="K1688" s="105" t="str">
        <f>IFERROR(__xludf.DUMMYFUNCTION("if(A1688="""","""",substitute(SUBSTITUTE(index(importhtml(""http://finviz.com/quote.ashx?t=""&amp;A1688,""table"",10),7,2),""*"",""""),""-"",""0.00""))"),"Loading...")</f>
        <v>Loading...</v>
      </c>
      <c r="L1688" s="129">
        <v>1.5603944E7</v>
      </c>
      <c r="M1688" s="99">
        <v>-0.3</v>
      </c>
    </row>
    <row r="1689">
      <c r="A1689" s="122" t="s">
        <v>3799</v>
      </c>
      <c r="B1689" s="123">
        <v>1066923.0</v>
      </c>
      <c r="C1689" s="124" t="s">
        <v>3800</v>
      </c>
      <c r="D1689" s="125"/>
      <c r="E1689" s="126">
        <v>1.01</v>
      </c>
      <c r="F1689" s="127"/>
      <c r="G1689" s="127"/>
      <c r="H1689" s="127"/>
      <c r="I1689" s="128"/>
      <c r="K1689" s="105" t="str">
        <f>IFERROR(__xludf.DUMMYFUNCTION("if(A1689="""","""",substitute(SUBSTITUTE(index(importhtml(""http://finviz.com/quote.ashx?t=""&amp;A1689,""table"",10),7,2),""*"",""""),""-"",""0.00""))"),"Loading...")</f>
        <v>Loading...</v>
      </c>
      <c r="L1689" s="129">
        <v>1.8013218E7</v>
      </c>
      <c r="M1689" s="99">
        <v>1.01</v>
      </c>
    </row>
    <row r="1690">
      <c r="A1690" s="122" t="s">
        <v>3801</v>
      </c>
      <c r="B1690" s="123">
        <v>1875016.0</v>
      </c>
      <c r="C1690" s="124" t="s">
        <v>3802</v>
      </c>
      <c r="D1690" s="125"/>
      <c r="E1690" s="126">
        <v>1.01</v>
      </c>
      <c r="F1690" s="127"/>
      <c r="G1690" s="127"/>
      <c r="H1690" s="127"/>
      <c r="I1690" s="128"/>
      <c r="K1690" s="105" t="str">
        <f>IFERROR(__xludf.DUMMYFUNCTION("if(A1690="""","""",substitute(SUBSTITUTE(index(importhtml(""http://finviz.com/quote.ashx?t=""&amp;A1690,""table"",10),7,2),""*"",""""),""-"",""0.00""))"),"Loading...")</f>
        <v>Loading...</v>
      </c>
      <c r="L1690" s="129">
        <v>2.047858E7</v>
      </c>
      <c r="M1690" s="99" t="str">
        <f>IFERROR(__xludf.DUMMYFUNCTION("GOOGLEFINANCE(A1690,""beta"")"),"#N/A")</f>
        <v>#N/A</v>
      </c>
    </row>
    <row r="1691">
      <c r="A1691" s="122" t="s">
        <v>3803</v>
      </c>
      <c r="B1691" s="123">
        <v>1724542.0</v>
      </c>
      <c r="C1691" s="124" t="s">
        <v>3804</v>
      </c>
      <c r="D1691" s="125"/>
      <c r="E1691" s="126">
        <v>1.01</v>
      </c>
      <c r="F1691" s="127"/>
      <c r="G1691" s="127"/>
      <c r="H1691" s="127"/>
      <c r="I1691" s="128"/>
      <c r="K1691" s="105" t="str">
        <f>IFERROR(__xludf.DUMMYFUNCTION("if(A1691="""","""",substitute(SUBSTITUTE(index(importhtml(""http://finviz.com/quote.ashx?t=""&amp;A1691,""table"",10),7,2),""*"",""""),""-"",""0.00""))"),"Loading...")</f>
        <v>Loading...</v>
      </c>
      <c r="L1691" s="129">
        <v>2.586007E7</v>
      </c>
      <c r="M1691" s="99">
        <v>1.07</v>
      </c>
    </row>
    <row r="1692">
      <c r="A1692" s="122" t="s">
        <v>3805</v>
      </c>
      <c r="B1692" s="123">
        <v>1434524.0</v>
      </c>
      <c r="C1692" s="124" t="s">
        <v>3806</v>
      </c>
      <c r="D1692" s="125"/>
      <c r="E1692" s="126">
        <v>1.01</v>
      </c>
      <c r="F1692" s="127"/>
      <c r="G1692" s="127"/>
      <c r="H1692" s="127"/>
      <c r="I1692" s="128"/>
      <c r="K1692" s="105" t="str">
        <f>IFERROR(__xludf.DUMMYFUNCTION("if(A1692="""","""",substitute(SUBSTITUTE(index(importhtml(""http://finviz.com/quote.ashx?t=""&amp;A1692,""table"",10),7,2),""*"",""""),""-"",""0.00""))"),"Loading...")</f>
        <v>Loading...</v>
      </c>
      <c r="L1692" s="129">
        <v>3.8951487E7</v>
      </c>
      <c r="M1692" s="99">
        <v>0.95</v>
      </c>
    </row>
    <row r="1693">
      <c r="A1693" s="122" t="s">
        <v>3807</v>
      </c>
      <c r="B1693" s="123">
        <v>1005101.0</v>
      </c>
      <c r="C1693" s="124" t="s">
        <v>3808</v>
      </c>
      <c r="D1693" s="125"/>
      <c r="E1693" s="126">
        <v>1.01</v>
      </c>
      <c r="F1693" s="127"/>
      <c r="G1693" s="127"/>
      <c r="H1693" s="127"/>
      <c r="I1693" s="128"/>
      <c r="K1693" s="105" t="str">
        <f>IFERROR(__xludf.DUMMYFUNCTION("if(A1693="""","""",substitute(SUBSTITUTE(index(importhtml(""http://finviz.com/quote.ashx?t=""&amp;A1693,""table"",10),7,2),""*"",""""),""-"",""0.00""))"),"Loading...")</f>
        <v>Loading...</v>
      </c>
      <c r="L1693" s="129">
        <v>3.9781273E7</v>
      </c>
      <c r="M1693" s="99">
        <v>1.21</v>
      </c>
    </row>
    <row r="1694">
      <c r="A1694" s="122" t="s">
        <v>3809</v>
      </c>
      <c r="B1694" s="123">
        <v>1006837.0</v>
      </c>
      <c r="C1694" s="124" t="s">
        <v>3810</v>
      </c>
      <c r="D1694" s="125"/>
      <c r="E1694" s="126">
        <v>1.01</v>
      </c>
      <c r="F1694" s="127"/>
      <c r="G1694" s="127"/>
      <c r="H1694" s="127"/>
      <c r="I1694" s="128"/>
      <c r="K1694" s="105" t="str">
        <f>IFERROR(__xludf.DUMMYFUNCTION("if(A1694="""","""",substitute(SUBSTITUTE(index(importhtml(""http://finviz.com/quote.ashx?t=""&amp;A1694,""table"",10),7,2),""*"",""""),""-"",""0.00""))"),"Loading...")</f>
        <v>Loading...</v>
      </c>
      <c r="L1694" s="129">
        <v>7.9970173E7</v>
      </c>
      <c r="M1694" s="99">
        <v>2.22</v>
      </c>
    </row>
    <row r="1695">
      <c r="A1695" s="122" t="s">
        <v>3811</v>
      </c>
      <c r="B1695" s="123">
        <v>831378.0</v>
      </c>
      <c r="C1695" s="124" t="s">
        <v>3812</v>
      </c>
      <c r="D1695" s="125"/>
      <c r="E1695" s="126">
        <v>1.01</v>
      </c>
      <c r="F1695" s="127"/>
      <c r="G1695" s="127"/>
      <c r="H1695" s="127"/>
      <c r="I1695" s="128"/>
      <c r="K1695" s="105" t="str">
        <f>IFERROR(__xludf.DUMMYFUNCTION("if(A1695="""","""",substitute(SUBSTITUTE(index(importhtml(""http://finviz.com/quote.ashx?t=""&amp;A1695,""table"",10),7,2),""*"",""""),""-"",""0.00""))"),"Loading...")</f>
        <v>Loading...</v>
      </c>
      <c r="L1695" s="129">
        <v>1.011041E8</v>
      </c>
      <c r="M1695" s="99">
        <v>-4.09</v>
      </c>
    </row>
    <row r="1696">
      <c r="A1696" s="122" t="s">
        <v>3813</v>
      </c>
      <c r="B1696" s="123">
        <v>1095052.0</v>
      </c>
      <c r="C1696" s="124" t="s">
        <v>3814</v>
      </c>
      <c r="D1696" s="125"/>
      <c r="E1696" s="126">
        <v>1.01</v>
      </c>
      <c r="F1696" s="127"/>
      <c r="G1696" s="127"/>
      <c r="H1696" s="127"/>
      <c r="I1696" s="128"/>
      <c r="K1696" s="105" t="str">
        <f>IFERROR(__xludf.DUMMYFUNCTION("if(A1696="""","""",substitute(SUBSTITUTE(index(importhtml(""http://finviz.com/quote.ashx?t=""&amp;A1696,""table"",10),7,2),""*"",""""),""-"",""0.00""))"),"Loading...")</f>
        <v>Loading...</v>
      </c>
      <c r="L1696" s="129">
        <v>1.39372937E8</v>
      </c>
      <c r="M1696" s="99">
        <v>1.62</v>
      </c>
    </row>
    <row r="1697">
      <c r="A1697" s="122" t="s">
        <v>3815</v>
      </c>
      <c r="B1697" s="123">
        <v>1653909.0</v>
      </c>
      <c r="C1697" s="124" t="s">
        <v>3816</v>
      </c>
      <c r="D1697" s="125"/>
      <c r="E1697" s="126">
        <v>1.01</v>
      </c>
      <c r="F1697" s="127"/>
      <c r="G1697" s="127"/>
      <c r="H1697" s="127"/>
      <c r="I1697" s="128"/>
      <c r="K1697" s="105" t="str">
        <f>IFERROR(__xludf.DUMMYFUNCTION("if(A1697="""","""",substitute(SUBSTITUTE(index(importhtml(""http://finviz.com/quote.ashx?t=""&amp;A1697,""table"",10),7,2),""*"",""""),""-"",""0.00""))"),"Loading...")</f>
        <v>Loading...</v>
      </c>
      <c r="L1697" s="129">
        <v>1.53970458E8</v>
      </c>
      <c r="M1697" s="99">
        <f>IFERROR(__xludf.DUMMYFUNCTION("GOOGLEFINANCE(A1697,""beta"")"),1.92)</f>
        <v>1.92</v>
      </c>
    </row>
    <row r="1698">
      <c r="A1698" s="122" t="s">
        <v>3817</v>
      </c>
      <c r="B1698" s="123">
        <v>105744.0</v>
      </c>
      <c r="C1698" s="124" t="s">
        <v>3818</v>
      </c>
      <c r="D1698" s="125"/>
      <c r="E1698" s="126">
        <v>1.02</v>
      </c>
      <c r="F1698" s="127"/>
      <c r="G1698" s="127"/>
      <c r="H1698" s="127"/>
      <c r="I1698" s="128"/>
      <c r="K1698" s="55" t="s">
        <v>1034</v>
      </c>
      <c r="L1698" s="129">
        <v>5234059.0</v>
      </c>
      <c r="M1698" s="99">
        <v>0.41</v>
      </c>
    </row>
    <row r="1699">
      <c r="A1699" s="122" t="s">
        <v>3819</v>
      </c>
      <c r="B1699" s="123">
        <v>1787803.0</v>
      </c>
      <c r="C1699" s="124" t="s">
        <v>3820</v>
      </c>
      <c r="D1699" s="125"/>
      <c r="E1699" s="126">
        <v>1.02</v>
      </c>
      <c r="F1699" s="127"/>
      <c r="G1699" s="127"/>
      <c r="H1699" s="127"/>
      <c r="I1699" s="128"/>
      <c r="K1699" s="105" t="str">
        <f>IFERROR(__xludf.DUMMYFUNCTION("if(A1699="""","""",substitute(SUBSTITUTE(index(importhtml(""http://finviz.com/quote.ashx?t=""&amp;A1699,""table"",10),7,2),""*"",""""),""-"",""0.00""))"),"Loading...")</f>
        <v>Loading...</v>
      </c>
      <c r="L1699" s="129">
        <v>2942731.0</v>
      </c>
      <c r="M1699" s="99">
        <v>1.4</v>
      </c>
    </row>
    <row r="1700">
      <c r="A1700" s="122" t="s">
        <v>3821</v>
      </c>
      <c r="B1700" s="123">
        <v>1701261.0</v>
      </c>
      <c r="C1700" s="124" t="s">
        <v>3822</v>
      </c>
      <c r="D1700" s="125"/>
      <c r="E1700" s="126">
        <v>1.02</v>
      </c>
      <c r="F1700" s="127"/>
      <c r="G1700" s="127"/>
      <c r="H1700" s="127"/>
      <c r="I1700" s="128"/>
      <c r="K1700" s="105" t="str">
        <f>IFERROR(__xludf.DUMMYFUNCTION("if(A1700="""","""",substitute(SUBSTITUTE(index(importhtml(""http://finviz.com/quote.ashx?t=""&amp;A1700,""table"",10),7,2),""*"",""""),""-"",""0.00""))"),"Loading...")</f>
        <v>Loading...</v>
      </c>
      <c r="L1700" s="129">
        <v>6215955.0</v>
      </c>
      <c r="M1700" s="99">
        <v>1.17</v>
      </c>
    </row>
    <row r="1701">
      <c r="A1701" s="122" t="s">
        <v>3823</v>
      </c>
      <c r="B1701" s="123">
        <v>1790169.0</v>
      </c>
      <c r="C1701" s="124" t="s">
        <v>3824</v>
      </c>
      <c r="D1701" s="125"/>
      <c r="E1701" s="126">
        <v>1.02</v>
      </c>
      <c r="F1701" s="133"/>
      <c r="G1701" s="133"/>
      <c r="H1701" s="133"/>
      <c r="I1701" s="128"/>
      <c r="K1701" s="105" t="str">
        <f>IFERROR(__xludf.DUMMYFUNCTION("if(A1701="""","""",substitute(SUBSTITUTE(index(importhtml(""http://finviz.com/quote.ashx?t=""&amp;A1701,""table"",10),7,2),""*"",""""),""-"",""0.00""))"),"Loading...")</f>
        <v>Loading...</v>
      </c>
      <c r="L1701" s="129">
        <v>8910424.0</v>
      </c>
      <c r="M1701" s="99" t="e">
        <v>#N/A</v>
      </c>
    </row>
    <row r="1702">
      <c r="A1702" s="122" t="s">
        <v>3825</v>
      </c>
      <c r="B1702" s="123">
        <v>1681682.0</v>
      </c>
      <c r="C1702" s="124" t="s">
        <v>3826</v>
      </c>
      <c r="D1702" s="125"/>
      <c r="E1702" s="126">
        <v>1.02</v>
      </c>
      <c r="F1702" s="127"/>
      <c r="G1702" s="127"/>
      <c r="H1702" s="127"/>
      <c r="I1702" s="128"/>
      <c r="K1702" s="105" t="str">
        <f>IFERROR(__xludf.DUMMYFUNCTION("if(A1702="""","""",substitute(SUBSTITUTE(index(importhtml(""http://finviz.com/quote.ashx?t=""&amp;A1702,""table"",10),7,2),""*"",""""),""-"",""0.00""))"),"Loading...")</f>
        <v>Loading...</v>
      </c>
      <c r="L1702" s="129">
        <v>8624019.0</v>
      </c>
      <c r="M1702" s="99">
        <v>1.0</v>
      </c>
    </row>
    <row r="1703">
      <c r="A1703" s="122" t="s">
        <v>3827</v>
      </c>
      <c r="B1703" s="123">
        <v>1277998.0</v>
      </c>
      <c r="C1703" s="124" t="s">
        <v>3828</v>
      </c>
      <c r="D1703" s="125"/>
      <c r="E1703" s="126">
        <v>1.02</v>
      </c>
      <c r="F1703" s="127"/>
      <c r="G1703" s="127"/>
      <c r="H1703" s="127"/>
      <c r="I1703" s="128"/>
      <c r="K1703" s="105" t="str">
        <f>IFERROR(__xludf.DUMMYFUNCTION("if(A1703="""","""",substitute(SUBSTITUTE(index(importhtml(""http://finviz.com/quote.ashx?t=""&amp;A1703,""table"",10),7,2),""*"",""""),""-"",""0.00""))"),"Loading...")</f>
        <v>Loading...</v>
      </c>
      <c r="L1703" s="129">
        <v>1.280534E7</v>
      </c>
      <c r="M1703" s="99">
        <v>-372.65</v>
      </c>
    </row>
    <row r="1704">
      <c r="A1704" s="122" t="s">
        <v>3829</v>
      </c>
      <c r="B1704" s="123">
        <v>1409375.0</v>
      </c>
      <c r="C1704" s="124" t="s">
        <v>3830</v>
      </c>
      <c r="D1704" s="125"/>
      <c r="E1704" s="126">
        <v>1.02</v>
      </c>
      <c r="F1704" s="127"/>
      <c r="G1704" s="127"/>
      <c r="H1704" s="127"/>
      <c r="I1704" s="128"/>
      <c r="K1704" s="105" t="str">
        <f>IFERROR(__xludf.DUMMYFUNCTION("if(A1704="""","""",substitute(SUBSTITUTE(index(importhtml(""http://finviz.com/quote.ashx?t=""&amp;A1704,""table"",10),7,2),""*"",""""),""-"",""0.00""))"),"Loading...")</f>
        <v>Loading...</v>
      </c>
      <c r="L1704" s="129">
        <v>3.3162463E7</v>
      </c>
      <c r="M1704" s="99">
        <v>1.66</v>
      </c>
    </row>
    <row r="1705">
      <c r="A1705" s="122" t="s">
        <v>3831</v>
      </c>
      <c r="B1705" s="123">
        <v>1175151.0</v>
      </c>
      <c r="C1705" s="124" t="s">
        <v>3832</v>
      </c>
      <c r="D1705" s="125"/>
      <c r="E1705" s="126">
        <v>1.02</v>
      </c>
      <c r="F1705" s="127"/>
      <c r="G1705" s="127"/>
      <c r="H1705" s="127"/>
      <c r="I1705" s="128"/>
      <c r="K1705" s="105" t="str">
        <f>IFERROR(__xludf.DUMMYFUNCTION("if(A1705="""","""",substitute(SUBSTITUTE(index(importhtml(""http://finviz.com/quote.ashx?t=""&amp;A1705,""table"",10),7,2),""*"",""""),""-"",""0.00""))"),"Loading...")</f>
        <v>Loading...</v>
      </c>
      <c r="L1705" s="129">
        <v>5.325582E7</v>
      </c>
      <c r="M1705" s="99">
        <v>0.6</v>
      </c>
    </row>
    <row r="1706">
      <c r="A1706" s="122" t="s">
        <v>3833</v>
      </c>
      <c r="B1706" s="123">
        <v>1787297.0</v>
      </c>
      <c r="C1706" s="124" t="s">
        <v>3834</v>
      </c>
      <c r="D1706" s="125"/>
      <c r="E1706" s="126">
        <v>1.02</v>
      </c>
      <c r="F1706" s="127"/>
      <c r="G1706" s="127"/>
      <c r="H1706" s="127"/>
      <c r="I1706" s="128"/>
      <c r="K1706" s="105" t="str">
        <f>IFERROR(__xludf.DUMMYFUNCTION("if(A1706="""","""",substitute(SUBSTITUTE(index(importhtml(""http://finviz.com/quote.ashx?t=""&amp;A1706,""table"",10),7,2),""*"",""""),""-"",""0.00""))"),"Loading...")</f>
        <v>Loading...</v>
      </c>
      <c r="L1706" s="129">
        <v>5.5927547E7</v>
      </c>
      <c r="M1706" s="99">
        <v>1.12</v>
      </c>
    </row>
    <row r="1707">
      <c r="A1707" s="122" t="s">
        <v>3835</v>
      </c>
      <c r="B1707" s="123">
        <v>1767876.0</v>
      </c>
      <c r="C1707" s="124" t="s">
        <v>3836</v>
      </c>
      <c r="D1707" s="125"/>
      <c r="E1707" s="126">
        <v>1.02</v>
      </c>
      <c r="F1707" s="127"/>
      <c r="G1707" s="127"/>
      <c r="H1707" s="127"/>
      <c r="I1707" s="128"/>
      <c r="K1707" s="105" t="str">
        <f>IFERROR(__xludf.DUMMYFUNCTION("if(A1707="""","""",substitute(SUBSTITUTE(index(importhtml(""http://finviz.com/quote.ashx?t=""&amp;A1707,""table"",10),7,2),""*"",""""),""-"",""0.00""))"),"Loading...")</f>
        <v>Loading...</v>
      </c>
      <c r="L1707" s="129" t="e">
        <v>#N/A</v>
      </c>
      <c r="M1707" s="99" t="str">
        <f>IFERROR(__xludf.DUMMYFUNCTION("GOOGLEFINANCE(A1707,""beta"")"),"#N/A")</f>
        <v>#N/A</v>
      </c>
    </row>
    <row r="1708">
      <c r="A1708" s="122" t="s">
        <v>3837</v>
      </c>
      <c r="B1708" s="123">
        <v>1552670.0</v>
      </c>
      <c r="C1708" s="124" t="s">
        <v>3838</v>
      </c>
      <c r="D1708" s="125"/>
      <c r="E1708" s="126">
        <v>1.03</v>
      </c>
      <c r="F1708" s="127"/>
      <c r="G1708" s="127"/>
      <c r="H1708" s="127"/>
      <c r="I1708" s="128"/>
      <c r="K1708" s="105" t="str">
        <f>IFERROR(__xludf.DUMMYFUNCTION("if(A1708="""","""",substitute(SUBSTITUTE(index(importhtml(""http://finviz.com/quote.ashx?t=""&amp;A1708,""table"",10),7,2),""*"",""""),""-"",""0.00""))"),"Loading...")</f>
        <v>Loading...</v>
      </c>
      <c r="L1708" s="129">
        <v>2030975.0</v>
      </c>
      <c r="M1708" s="99">
        <v>0.72</v>
      </c>
    </row>
    <row r="1709">
      <c r="A1709" s="122" t="s">
        <v>3839</v>
      </c>
      <c r="B1709" s="123">
        <v>1014763.0</v>
      </c>
      <c r="C1709" s="124" t="s">
        <v>3840</v>
      </c>
      <c r="D1709" s="125"/>
      <c r="E1709" s="126">
        <v>1.03</v>
      </c>
      <c r="F1709" s="127"/>
      <c r="G1709" s="127"/>
      <c r="H1709" s="127"/>
      <c r="I1709" s="128"/>
      <c r="K1709" s="105" t="str">
        <f>IFERROR(__xludf.DUMMYFUNCTION("if(A1709="""","""",substitute(SUBSTITUTE(index(importhtml(""http://finviz.com/quote.ashx?t=""&amp;A1709,""table"",10),7,2),""*"",""""),""-"",""0.00""))"),"Loading...")</f>
        <v>Loading...</v>
      </c>
      <c r="L1709" s="129">
        <v>4841623.0</v>
      </c>
      <c r="M1709" s="99">
        <v>1.25</v>
      </c>
    </row>
    <row r="1710">
      <c r="A1710" s="122" t="s">
        <v>3841</v>
      </c>
      <c r="B1710" s="123">
        <v>1582581.0</v>
      </c>
      <c r="C1710" s="124" t="s">
        <v>3842</v>
      </c>
      <c r="D1710" s="125"/>
      <c r="E1710" s="126">
        <v>1.03</v>
      </c>
      <c r="F1710" s="127"/>
      <c r="G1710" s="127"/>
      <c r="H1710" s="127"/>
      <c r="I1710" s="128"/>
      <c r="K1710" s="105" t="str">
        <f>IFERROR(__xludf.DUMMYFUNCTION("if(A1710="""","""",substitute(SUBSTITUTE(index(importhtml(""http://finviz.com/quote.ashx?t=""&amp;A1710,""table"",10),7,2),""*"",""""),""-"",""0.00""))"),"Loading...")</f>
        <v>Loading...</v>
      </c>
      <c r="L1710" s="129">
        <v>9408764.0</v>
      </c>
      <c r="M1710" s="99">
        <v>1.13</v>
      </c>
    </row>
    <row r="1711">
      <c r="A1711" s="122" t="s">
        <v>3843</v>
      </c>
      <c r="B1711" s="123">
        <v>1781162.0</v>
      </c>
      <c r="C1711" s="124" t="s">
        <v>3844</v>
      </c>
      <c r="D1711" s="125"/>
      <c r="E1711" s="126">
        <v>1.03</v>
      </c>
      <c r="F1711" s="127"/>
      <c r="G1711" s="127"/>
      <c r="H1711" s="127"/>
      <c r="I1711" s="128"/>
      <c r="K1711" s="105" t="str">
        <f>IFERROR(__xludf.DUMMYFUNCTION("if(A1711="""","""",substitute(SUBSTITUTE(index(importhtml(""http://finviz.com/quote.ashx?t=""&amp;A1711,""table"",10),7,2),""*"",""""),""-"",""0.00""))"),"Loading...")</f>
        <v>Loading...</v>
      </c>
      <c r="L1711" s="129">
        <v>9425302.0</v>
      </c>
      <c r="M1711" s="99">
        <v>0.81</v>
      </c>
    </row>
    <row r="1712">
      <c r="A1712" s="122" t="s">
        <v>3845</v>
      </c>
      <c r="B1712" s="123">
        <v>1497253.0</v>
      </c>
      <c r="C1712" s="124" t="s">
        <v>3846</v>
      </c>
      <c r="D1712" s="125"/>
      <c r="E1712" s="126">
        <v>1.03</v>
      </c>
      <c r="F1712" s="127"/>
      <c r="G1712" s="127"/>
      <c r="H1712" s="127"/>
      <c r="I1712" s="128"/>
      <c r="K1712" s="105" t="str">
        <f>IFERROR(__xludf.DUMMYFUNCTION("if(A1712="""","""",substitute(SUBSTITUTE(index(importhtml(""http://finviz.com/quote.ashx?t=""&amp;A1712,""table"",10),7,2),""*"",""""),""-"",""0.00""))"),"Loading...")</f>
        <v>Loading...</v>
      </c>
      <c r="L1712" s="129">
        <v>1.0099931E7</v>
      </c>
      <c r="M1712" s="99">
        <v>0.91</v>
      </c>
    </row>
    <row r="1713">
      <c r="A1713" s="122" t="s">
        <v>3847</v>
      </c>
      <c r="B1713" s="123">
        <v>1759136.0</v>
      </c>
      <c r="C1713" s="124" t="s">
        <v>3848</v>
      </c>
      <c r="D1713" s="125"/>
      <c r="E1713" s="126">
        <v>1.03</v>
      </c>
      <c r="F1713" s="127"/>
      <c r="G1713" s="127"/>
      <c r="H1713" s="127"/>
      <c r="I1713" s="128"/>
      <c r="K1713" s="105" t="str">
        <f>IFERROR(__xludf.DUMMYFUNCTION("if(A1713="""","""",substitute(SUBSTITUTE(index(importhtml(""http://finviz.com/quote.ashx?t=""&amp;A1713,""table"",10),7,2),""*"",""""),""-"",""0.00""))"),"Loading...")</f>
        <v>Loading...</v>
      </c>
      <c r="L1713" s="129">
        <v>1.0191578E7</v>
      </c>
      <c r="M1713" s="99">
        <v>1.31</v>
      </c>
    </row>
    <row r="1714">
      <c r="A1714" s="122" t="s">
        <v>3849</v>
      </c>
      <c r="B1714" s="123">
        <v>1842952.0</v>
      </c>
      <c r="C1714" s="124" t="s">
        <v>3850</v>
      </c>
      <c r="D1714" s="125"/>
      <c r="E1714" s="126">
        <v>1.03</v>
      </c>
      <c r="F1714" s="127"/>
      <c r="G1714" s="127"/>
      <c r="H1714" s="127"/>
      <c r="I1714" s="128"/>
      <c r="K1714" s="105" t="str">
        <f>IFERROR(__xludf.DUMMYFUNCTION("if(A1714="""","""",substitute(SUBSTITUTE(index(importhtml(""http://finviz.com/quote.ashx?t=""&amp;A1714,""table"",10),7,2),""*"",""""),""-"",""0.00""))"),"Loading...")</f>
        <v>Loading...</v>
      </c>
      <c r="L1714" s="129">
        <v>1.644502E7</v>
      </c>
      <c r="M1714" s="99">
        <f>IFERROR(__xludf.DUMMYFUNCTION("GOOGLEFINANCE(A1714,""beta"")"),1.94)</f>
        <v>1.94</v>
      </c>
    </row>
    <row r="1715">
      <c r="A1715" s="122" t="s">
        <v>3851</v>
      </c>
      <c r="B1715" s="123">
        <v>1843556.0</v>
      </c>
      <c r="C1715" s="124" t="s">
        <v>3852</v>
      </c>
      <c r="D1715" s="125"/>
      <c r="E1715" s="126">
        <v>1.03</v>
      </c>
      <c r="F1715" s="127"/>
      <c r="G1715" s="127"/>
      <c r="H1715" s="127"/>
      <c r="I1715" s="128"/>
      <c r="K1715" s="105" t="str">
        <f>IFERROR(__xludf.DUMMYFUNCTION("if(A1715="""","""",substitute(SUBSTITUTE(index(importhtml(""http://finviz.com/quote.ashx?t=""&amp;A1715,""table"",10),7,2),""*"",""""),""-"",""0.00""))"),"Loading...")</f>
        <v>Loading...</v>
      </c>
      <c r="L1715" s="129">
        <v>2.7783874E7</v>
      </c>
      <c r="M1715" s="99" t="str">
        <f>IFERROR(__xludf.DUMMYFUNCTION("GOOGLEFINANCE(A1715,""beta"")"),"#N/A")</f>
        <v>#N/A</v>
      </c>
    </row>
    <row r="1716">
      <c r="A1716" s="122" t="s">
        <v>3853</v>
      </c>
      <c r="B1716" s="123">
        <v>1266806.0</v>
      </c>
      <c r="C1716" s="124" t="s">
        <v>3854</v>
      </c>
      <c r="D1716" s="125"/>
      <c r="E1716" s="126">
        <v>1.03</v>
      </c>
      <c r="F1716" s="127"/>
      <c r="G1716" s="127"/>
      <c r="H1716" s="127"/>
      <c r="I1716" s="128"/>
      <c r="K1716" s="105" t="str">
        <f>IFERROR(__xludf.DUMMYFUNCTION("if(A1716="""","""",substitute(SUBSTITUTE(index(importhtml(""http://finviz.com/quote.ashx?t=""&amp;A1716,""table"",10),7,2),""*"",""""),""-"",""0.00""))"),"Loading...")</f>
        <v>Loading...</v>
      </c>
      <c r="L1716" s="129">
        <v>5.25558E7</v>
      </c>
      <c r="M1716" s="99">
        <v>2.57</v>
      </c>
    </row>
    <row r="1717">
      <c r="A1717" s="122" t="s">
        <v>3855</v>
      </c>
      <c r="B1717" s="123">
        <v>1793229.0</v>
      </c>
      <c r="C1717" s="124" t="s">
        <v>3856</v>
      </c>
      <c r="D1717" s="125"/>
      <c r="E1717" s="126">
        <v>1.03</v>
      </c>
      <c r="F1717" s="127"/>
      <c r="G1717" s="127"/>
      <c r="H1717" s="127"/>
      <c r="I1717" s="128"/>
      <c r="K1717" s="105" t="str">
        <f>IFERROR(__xludf.DUMMYFUNCTION("if(A1717="""","""",substitute(SUBSTITUTE(index(importhtml(""http://finviz.com/quote.ashx?t=""&amp;A1717,""table"",10),7,2),""*"",""""),""-"",""0.00""))"),"Loading...")</f>
        <v>Loading...</v>
      </c>
      <c r="L1717" s="129">
        <v>6.68970767E8</v>
      </c>
      <c r="M1717" s="99">
        <v>0.77</v>
      </c>
    </row>
    <row r="1718">
      <c r="A1718" s="122" t="s">
        <v>3857</v>
      </c>
      <c r="B1718" s="123">
        <v>1099369.0</v>
      </c>
      <c r="C1718" s="124" t="s">
        <v>3858</v>
      </c>
      <c r="D1718" s="125"/>
      <c r="E1718" s="126">
        <v>1.04</v>
      </c>
      <c r="F1718" s="127"/>
      <c r="G1718" s="127"/>
      <c r="H1718" s="127"/>
      <c r="I1718" s="128"/>
      <c r="K1718" s="105" t="str">
        <f>IFERROR(__xludf.DUMMYFUNCTION("if(A1718="""","""",substitute(SUBSTITUTE(index(importhtml(""http://finviz.com/quote.ashx?t=""&amp;A1718,""table"",10),7,2),""*"",""""),""-"",""0.00""))"),"Loading...")</f>
        <v>Loading...</v>
      </c>
      <c r="L1718" s="129">
        <v>1.5982212E7</v>
      </c>
      <c r="M1718" s="99">
        <v>1.0</v>
      </c>
    </row>
    <row r="1719">
      <c r="A1719" s="122" t="s">
        <v>3859</v>
      </c>
      <c r="B1719" s="123">
        <v>840715.0</v>
      </c>
      <c r="C1719" s="124" t="s">
        <v>3860</v>
      </c>
      <c r="D1719" s="125"/>
      <c r="E1719" s="126">
        <v>1.04</v>
      </c>
      <c r="F1719" s="127"/>
      <c r="G1719" s="127"/>
      <c r="H1719" s="127"/>
      <c r="I1719" s="128"/>
      <c r="K1719" s="105" t="str">
        <f>IFERROR(__xludf.DUMMYFUNCTION("if(A1719="""","""",substitute(SUBSTITUTE(index(importhtml(""http://finviz.com/quote.ashx?t=""&amp;A1719,""table"",10),7,2),""*"",""""),""-"",""0.00""))"),"Loading...")</f>
        <v>Loading...</v>
      </c>
      <c r="L1719" s="129">
        <v>2.4919106E7</v>
      </c>
      <c r="M1719" s="99">
        <v>1.03</v>
      </c>
    </row>
    <row r="1720">
      <c r="A1720" s="122" t="s">
        <v>3861</v>
      </c>
      <c r="B1720" s="123">
        <v>101594.0</v>
      </c>
      <c r="C1720" s="124" t="s">
        <v>3862</v>
      </c>
      <c r="D1720" s="125"/>
      <c r="E1720" s="126">
        <v>1.04</v>
      </c>
      <c r="F1720" s="127"/>
      <c r="G1720" s="127"/>
      <c r="H1720" s="127"/>
      <c r="I1720" s="128"/>
      <c r="K1720" s="105" t="str">
        <f>IFERROR(__xludf.DUMMYFUNCTION("if(A1720="""","""",substitute(SUBSTITUTE(index(importhtml(""http://finviz.com/quote.ashx?t=""&amp;A1720,""table"",10),7,2),""*"",""""),""-"",""0.00""))"),"Loading...")</f>
        <v>Loading...</v>
      </c>
      <c r="L1720" s="129">
        <v>2.6526831E7</v>
      </c>
      <c r="M1720" s="99">
        <v>0.52</v>
      </c>
    </row>
    <row r="1721">
      <c r="A1721" s="122" t="s">
        <v>3863</v>
      </c>
      <c r="B1721" s="123">
        <v>793524.0</v>
      </c>
      <c r="C1721" s="124" t="s">
        <v>3864</v>
      </c>
      <c r="D1721" s="125"/>
      <c r="E1721" s="126">
        <v>1.04</v>
      </c>
      <c r="F1721" s="127"/>
      <c r="G1721" s="127"/>
      <c r="H1721" s="127"/>
      <c r="I1721" s="128"/>
      <c r="K1721" s="105" t="str">
        <f>IFERROR(__xludf.DUMMYFUNCTION("if(A1721="""","""",substitute(SUBSTITUTE(index(importhtml(""http://finviz.com/quote.ashx?t=""&amp;A1721,""table"",10),7,2),""*"",""""),""-"",""0.00""))"),"Loading...")</f>
        <v>Loading...</v>
      </c>
      <c r="L1721" s="129">
        <v>3.484966E7</v>
      </c>
      <c r="M1721" s="99">
        <v>0.32</v>
      </c>
    </row>
    <row r="1722">
      <c r="A1722" s="122" t="s">
        <v>3865</v>
      </c>
      <c r="B1722" s="123">
        <v>1503802.0</v>
      </c>
      <c r="C1722" s="124" t="s">
        <v>3866</v>
      </c>
      <c r="D1722" s="125"/>
      <c r="E1722" s="126">
        <v>1.04</v>
      </c>
      <c r="F1722" s="127"/>
      <c r="G1722" s="127"/>
      <c r="H1722" s="127"/>
      <c r="I1722" s="128"/>
      <c r="K1722" s="105" t="str">
        <f>IFERROR(__xludf.DUMMYFUNCTION("if(A1722="""","""",substitute(SUBSTITUTE(index(importhtml(""http://finviz.com/quote.ashx?t=""&amp;A1722,""table"",10),7,2),""*"",""""),""-"",""0.00""))"),"Loading...")</f>
        <v>Loading...</v>
      </c>
      <c r="L1722" s="129">
        <v>1.19155083E8</v>
      </c>
      <c r="M1722" s="99">
        <v>-0.19</v>
      </c>
    </row>
    <row r="1723">
      <c r="A1723" s="122" t="s">
        <v>3867</v>
      </c>
      <c r="B1723" s="123">
        <v>1621227.0</v>
      </c>
      <c r="C1723" s="124" t="s">
        <v>3868</v>
      </c>
      <c r="D1723" s="125"/>
      <c r="E1723" s="126">
        <v>1.04</v>
      </c>
      <c r="F1723" s="127"/>
      <c r="G1723" s="127"/>
      <c r="H1723" s="127"/>
      <c r="I1723" s="128"/>
      <c r="K1723" s="105" t="str">
        <f>IFERROR(__xludf.DUMMYFUNCTION("if(A1723="""","""",substitute(SUBSTITUTE(index(importhtml(""http://finviz.com/quote.ashx?t=""&amp;A1723,""table"",10),7,2),""*"",""""),""-"",""0.00""))"),"Loading...")</f>
        <v>Loading...</v>
      </c>
      <c r="L1723" s="129">
        <v>2.36206455E8</v>
      </c>
      <c r="M1723" s="99">
        <v>2.25</v>
      </c>
    </row>
    <row r="1724">
      <c r="A1724" s="122" t="s">
        <v>3869</v>
      </c>
      <c r="B1724" s="123">
        <v>1776067.0</v>
      </c>
      <c r="C1724" s="124" t="s">
        <v>3870</v>
      </c>
      <c r="D1724" s="125"/>
      <c r="E1724" s="126">
        <v>1.05</v>
      </c>
      <c r="F1724" s="127"/>
      <c r="G1724" s="127"/>
      <c r="H1724" s="127"/>
      <c r="I1724" s="128"/>
      <c r="K1724" s="105" t="str">
        <f>IFERROR(__xludf.DUMMYFUNCTION("if(A1724="""","""",substitute(SUBSTITUTE(index(importhtml(""http://finviz.com/quote.ashx?t=""&amp;A1724,""table"",10),7,2),""*"",""""),""-"",""0.00""))"),"Loading...")</f>
        <v>Loading...</v>
      </c>
      <c r="L1724" s="129">
        <v>3339143.0</v>
      </c>
      <c r="M1724" s="99">
        <v>1.4</v>
      </c>
    </row>
    <row r="1725">
      <c r="A1725" s="122" t="s">
        <v>3871</v>
      </c>
      <c r="B1725" s="123">
        <v>1347242.0</v>
      </c>
      <c r="C1725" s="124" t="s">
        <v>3872</v>
      </c>
      <c r="D1725" s="125"/>
      <c r="E1725" s="126">
        <v>1.05</v>
      </c>
      <c r="F1725" s="127"/>
      <c r="G1725" s="127"/>
      <c r="H1725" s="127"/>
      <c r="I1725" s="128"/>
      <c r="K1725" s="105" t="str">
        <f>IFERROR(__xludf.DUMMYFUNCTION("if(A1725="""","""",substitute(SUBSTITUTE(index(importhtml(""http://finviz.com/quote.ashx?t=""&amp;A1725,""table"",10),7,2),""*"",""""),""-"",""0.00""))"),"Loading...")</f>
        <v>Loading...</v>
      </c>
      <c r="L1725" s="129">
        <v>6094137.0</v>
      </c>
      <c r="M1725" s="99" t="str">
        <f>IFERROR(__xludf.DUMMYFUNCTION("GOOGLEFINANCE(A1725,""beta"")"),"#N/A")</f>
        <v>#N/A</v>
      </c>
    </row>
    <row r="1726">
      <c r="A1726" s="122" t="s">
        <v>3873</v>
      </c>
      <c r="B1726" s="123">
        <v>719494.0</v>
      </c>
      <c r="C1726" s="124" t="s">
        <v>3874</v>
      </c>
      <c r="D1726" s="125"/>
      <c r="E1726" s="126">
        <v>1.05</v>
      </c>
      <c r="F1726" s="127"/>
      <c r="G1726" s="127"/>
      <c r="H1726" s="127"/>
      <c r="I1726" s="128"/>
      <c r="K1726" s="105" t="str">
        <f>IFERROR(__xludf.DUMMYFUNCTION("if(A1726="""","""",substitute(SUBSTITUTE(index(importhtml(""http://finviz.com/quote.ashx?t=""&amp;A1726,""table"",10),7,2),""*"",""""),""-"",""0.00""))"),"Loading...")</f>
        <v>Loading...</v>
      </c>
      <c r="L1726" s="129">
        <v>1.491102E7</v>
      </c>
      <c r="M1726" s="99">
        <v>-0.41</v>
      </c>
    </row>
    <row r="1727">
      <c r="A1727" s="122" t="s">
        <v>3875</v>
      </c>
      <c r="B1727" s="123">
        <v>1509261.0</v>
      </c>
      <c r="C1727" s="124" t="s">
        <v>3876</v>
      </c>
      <c r="D1727" s="125"/>
      <c r="E1727" s="126">
        <v>1.05</v>
      </c>
      <c r="F1727" s="127"/>
      <c r="G1727" s="127"/>
      <c r="H1727" s="127"/>
      <c r="I1727" s="128"/>
      <c r="K1727" s="105" t="str">
        <f>IFERROR(__xludf.DUMMYFUNCTION("if(A1727="""","""",substitute(SUBSTITUTE(index(importhtml(""http://finviz.com/quote.ashx?t=""&amp;A1727,""table"",10),7,2),""*"",""""),""-"",""0.00""))"),"Loading...")</f>
        <v>Loading...</v>
      </c>
      <c r="L1727" s="129">
        <v>4.1606531E7</v>
      </c>
      <c r="M1727" s="99">
        <v>1.3</v>
      </c>
    </row>
    <row r="1728">
      <c r="A1728" s="122" t="s">
        <v>3877</v>
      </c>
      <c r="B1728" s="123">
        <v>1441082.0</v>
      </c>
      <c r="C1728" s="124" t="s">
        <v>3878</v>
      </c>
      <c r="D1728" s="125"/>
      <c r="E1728" s="126">
        <v>1.05</v>
      </c>
      <c r="F1728" s="127"/>
      <c r="G1728" s="127"/>
      <c r="H1728" s="127"/>
      <c r="I1728" s="128"/>
      <c r="K1728" s="105" t="str">
        <f>IFERROR(__xludf.DUMMYFUNCTION("if(A1728="""","""",substitute(SUBSTITUTE(index(importhtml(""http://finviz.com/quote.ashx?t=""&amp;A1728,""table"",10),7,2),""*"",""""),""-"",""0.00""))"),"Loading...")</f>
        <v>Loading...</v>
      </c>
      <c r="L1728" s="129">
        <v>6.1104652E7</v>
      </c>
      <c r="M1728" s="99">
        <v>13.35</v>
      </c>
    </row>
    <row r="1729">
      <c r="A1729" s="122" t="s">
        <v>3879</v>
      </c>
      <c r="B1729" s="123">
        <v>1622879.0</v>
      </c>
      <c r="C1729" s="124" t="s">
        <v>3880</v>
      </c>
      <c r="D1729" s="125"/>
      <c r="E1729" s="126">
        <v>1.05</v>
      </c>
      <c r="F1729" s="127"/>
      <c r="G1729" s="127"/>
      <c r="H1729" s="127"/>
      <c r="I1729" s="128"/>
      <c r="K1729" s="105" t="str">
        <f>IFERROR(__xludf.DUMMYFUNCTION("if(A1729="""","""",substitute(SUBSTITUTE(index(importhtml(""http://finviz.com/quote.ashx?t=""&amp;A1729,""table"",10),7,2),""*"",""""),""-"",""0.00""))"),"Loading...")</f>
        <v>Loading...</v>
      </c>
      <c r="L1729" s="129">
        <v>8.565809E7</v>
      </c>
      <c r="M1729" s="99" t="str">
        <f>IFERROR(__xludf.DUMMYFUNCTION("GOOGLEFINANCE(A1729,""beta"")"),"#N/A")</f>
        <v>#N/A</v>
      </c>
    </row>
    <row r="1730">
      <c r="A1730" s="122" t="s">
        <v>3881</v>
      </c>
      <c r="B1730" s="123">
        <v>1393584.0</v>
      </c>
      <c r="C1730" s="124" t="s">
        <v>3882</v>
      </c>
      <c r="D1730" s="125"/>
      <c r="E1730" s="126">
        <v>1.05</v>
      </c>
      <c r="F1730" s="127"/>
      <c r="G1730" s="127"/>
      <c r="H1730" s="127"/>
      <c r="I1730" s="128"/>
      <c r="K1730" s="105" t="str">
        <f>IFERROR(__xludf.DUMMYFUNCTION("if(A1730="""","""",substitute(SUBSTITUTE(index(importhtml(""http://finviz.com/quote.ashx?t=""&amp;A1730,""table"",10),7,2),""*"",""""),""-"",""0.00""))"),"Loading...")</f>
        <v>Loading...</v>
      </c>
      <c r="L1730" s="129">
        <v>2.96114266E8</v>
      </c>
      <c r="M1730" s="99">
        <v>1.01</v>
      </c>
    </row>
    <row r="1731">
      <c r="A1731" s="122" t="s">
        <v>3883</v>
      </c>
      <c r="B1731" s="123">
        <v>1865631.0</v>
      </c>
      <c r="C1731" s="124" t="s">
        <v>3884</v>
      </c>
      <c r="D1731" s="125"/>
      <c r="E1731" s="126">
        <v>1.05</v>
      </c>
      <c r="F1731" s="127"/>
      <c r="G1731" s="127"/>
      <c r="H1731" s="127"/>
      <c r="I1731" s="128"/>
      <c r="K1731" s="105" t="str">
        <f>IFERROR(__xludf.DUMMYFUNCTION("if(A1731="""","""",substitute(SUBSTITUTE(index(importhtml(""http://finviz.com/quote.ashx?t=""&amp;A1731,""table"",10),7,2),""*"",""""),""-"",""0.00""))"),"Loading...")</f>
        <v>Loading...</v>
      </c>
      <c r="L1731" s="129">
        <v>4.50455438E8</v>
      </c>
      <c r="M1731" s="99">
        <v>1.3</v>
      </c>
    </row>
    <row r="1732">
      <c r="A1732" s="122" t="s">
        <v>3885</v>
      </c>
      <c r="B1732" s="123">
        <v>1741534.0</v>
      </c>
      <c r="C1732" s="124" t="s">
        <v>3886</v>
      </c>
      <c r="D1732" s="125"/>
      <c r="E1732" s="126">
        <v>1.06</v>
      </c>
      <c r="F1732" s="127"/>
      <c r="G1732" s="127"/>
      <c r="H1732" s="127"/>
      <c r="I1732" s="128"/>
      <c r="K1732" s="105" t="str">
        <f>IFERROR(__xludf.DUMMYFUNCTION("if(A1732="""","""",substitute(SUBSTITUTE(index(importhtml(""http://finviz.com/quote.ashx?t=""&amp;A1732,""table"",10),7,2),""*"",""""),""-"",""0.00""))"),"Loading...")</f>
        <v>Loading...</v>
      </c>
      <c r="L1732" s="129">
        <v>1.2375721E7</v>
      </c>
      <c r="M1732" s="99">
        <v>-0.11</v>
      </c>
    </row>
    <row r="1733">
      <c r="A1733" s="122" t="s">
        <v>3887</v>
      </c>
      <c r="B1733" s="123">
        <v>1080657.0</v>
      </c>
      <c r="C1733" s="124" t="s">
        <v>3888</v>
      </c>
      <c r="D1733" s="125"/>
      <c r="E1733" s="126">
        <v>1.06</v>
      </c>
      <c r="F1733" s="127"/>
      <c r="G1733" s="127"/>
      <c r="H1733" s="127"/>
      <c r="I1733" s="128"/>
      <c r="K1733" s="105" t="str">
        <f>IFERROR(__xludf.DUMMYFUNCTION("if(A1733="""","""",substitute(SUBSTITUTE(index(importhtml(""http://finviz.com/quote.ashx?t=""&amp;A1733,""table"",10),7,2),""*"",""""),""-"",""0.00""))"),"Loading...")</f>
        <v>Loading...</v>
      </c>
      <c r="L1733" s="129">
        <v>1.3854474E7</v>
      </c>
      <c r="M1733" s="99">
        <v>1.55</v>
      </c>
    </row>
    <row r="1734">
      <c r="A1734" s="122" t="s">
        <v>3889</v>
      </c>
      <c r="B1734" s="123">
        <v>1004989.0</v>
      </c>
      <c r="C1734" s="124" t="s">
        <v>3890</v>
      </c>
      <c r="D1734" s="125"/>
      <c r="E1734" s="126">
        <v>1.06</v>
      </c>
      <c r="F1734" s="127"/>
      <c r="G1734" s="127"/>
      <c r="H1734" s="127"/>
      <c r="I1734" s="128"/>
      <c r="K1734" s="105" t="str">
        <f>IFERROR(__xludf.DUMMYFUNCTION("if(A1734="""","""",substitute(SUBSTITUTE(index(importhtml(""http://finviz.com/quote.ashx?t=""&amp;A1734,""table"",10),7,2),""*"",""""),""-"",""0.00""))"),"Loading...")</f>
        <v>Loading...</v>
      </c>
      <c r="L1734" s="129">
        <v>2.4635416E7</v>
      </c>
      <c r="M1734" s="99">
        <v>0.73</v>
      </c>
    </row>
    <row r="1735">
      <c r="A1735" s="122" t="s">
        <v>3891</v>
      </c>
      <c r="B1735" s="123">
        <v>1691221.0</v>
      </c>
      <c r="C1735" s="124" t="s">
        <v>3892</v>
      </c>
      <c r="D1735" s="125"/>
      <c r="E1735" s="126">
        <v>1.06</v>
      </c>
      <c r="F1735" s="127"/>
      <c r="G1735" s="127"/>
      <c r="H1735" s="127"/>
      <c r="I1735" s="128"/>
      <c r="K1735" s="105" t="str">
        <f>IFERROR(__xludf.DUMMYFUNCTION("if(A1735="""","""",substitute(SUBSTITUTE(index(importhtml(""http://finviz.com/quote.ashx?t=""&amp;A1735,""table"",10),7,2),""*"",""""),""-"",""0.00""))"),"Loading...")</f>
        <v>Loading...</v>
      </c>
      <c r="L1735" s="129">
        <v>6.4095808E7</v>
      </c>
      <c r="M1735" s="99">
        <v>2.14</v>
      </c>
    </row>
    <row r="1736">
      <c r="A1736" s="122" t="s">
        <v>3893</v>
      </c>
      <c r="B1736" s="123">
        <v>1777921.0</v>
      </c>
      <c r="C1736" s="124" t="s">
        <v>3894</v>
      </c>
      <c r="D1736" s="125"/>
      <c r="E1736" s="126">
        <v>1.06</v>
      </c>
      <c r="F1736" s="127"/>
      <c r="G1736" s="127"/>
      <c r="H1736" s="127"/>
      <c r="I1736" s="128"/>
      <c r="K1736" s="105" t="str">
        <f>IFERROR(__xludf.DUMMYFUNCTION("if(A1736="""","""",substitute(SUBSTITUTE(index(importhtml(""http://finviz.com/quote.ashx?t=""&amp;A1736,""table"",10),7,2),""*"",""""),""-"",""0.00""))"),"Loading...")</f>
        <v>Loading...</v>
      </c>
      <c r="L1736" s="129">
        <v>1.461947935E9</v>
      </c>
      <c r="M1736" s="99">
        <v>2.09</v>
      </c>
    </row>
    <row r="1737">
      <c r="A1737" s="122" t="s">
        <v>3895</v>
      </c>
      <c r="B1737" s="123">
        <v>1534708.0</v>
      </c>
      <c r="C1737" s="124" t="s">
        <v>3896</v>
      </c>
      <c r="D1737" s="125"/>
      <c r="E1737" s="126">
        <v>1.07</v>
      </c>
      <c r="F1737" s="127"/>
      <c r="G1737" s="127"/>
      <c r="H1737" s="127"/>
      <c r="I1737" s="128"/>
      <c r="K1737" s="105" t="str">
        <f>IFERROR(__xludf.DUMMYFUNCTION("if(A1737="""","""",substitute(SUBSTITUTE(index(importhtml(""http://finviz.com/quote.ashx?t=""&amp;A1737,""table"",10),7,2),""*"",""""),""-"",""0.00""))"),"#REF!")</f>
        <v>#REF!</v>
      </c>
      <c r="L1737" s="129">
        <v>1671289.0</v>
      </c>
      <c r="M1737" s="99">
        <v>1.79</v>
      </c>
    </row>
    <row r="1738">
      <c r="A1738" s="122" t="s">
        <v>3897</v>
      </c>
      <c r="B1738" s="123">
        <v>1819794.0</v>
      </c>
      <c r="C1738" s="124" t="s">
        <v>3898</v>
      </c>
      <c r="D1738" s="125"/>
      <c r="E1738" s="126">
        <v>1.07</v>
      </c>
      <c r="F1738" s="127"/>
      <c r="G1738" s="127"/>
      <c r="H1738" s="127"/>
      <c r="I1738" s="128"/>
      <c r="K1738" s="105" t="str">
        <f>IFERROR(__xludf.DUMMYFUNCTION("if(A1738="""","""",substitute(SUBSTITUTE(index(importhtml(""http://finviz.com/quote.ashx?t=""&amp;A1738,""table"",10),7,2),""*"",""""),""-"",""0.00""))"),"Loading...")</f>
        <v>Loading...</v>
      </c>
      <c r="L1738" s="129">
        <v>1.5798518E7</v>
      </c>
      <c r="M1738" s="99">
        <v>2.25</v>
      </c>
    </row>
    <row r="1739">
      <c r="A1739" s="122" t="s">
        <v>3899</v>
      </c>
      <c r="B1739" s="123">
        <v>1785680.0</v>
      </c>
      <c r="C1739" s="124" t="s">
        <v>3900</v>
      </c>
      <c r="D1739" s="125"/>
      <c r="E1739" s="126">
        <v>1.07</v>
      </c>
      <c r="F1739" s="127"/>
      <c r="G1739" s="127"/>
      <c r="H1739" s="127"/>
      <c r="I1739" s="128"/>
      <c r="K1739" s="105" t="str">
        <f>IFERROR(__xludf.DUMMYFUNCTION("if(A1739="""","""",substitute(SUBSTITUTE(index(importhtml(""http://finviz.com/quote.ashx?t=""&amp;A1739,""table"",10),7,2),""*"",""""),""-"",""0.00""))"),"Loading...")</f>
        <v>Loading...</v>
      </c>
      <c r="L1739" s="129">
        <v>2.9960001E7</v>
      </c>
      <c r="M1739" s="99" t="str">
        <f>IFERROR(__xludf.DUMMYFUNCTION("GOOGLEFINANCE(A1739,""beta"")"),"#N/A")</f>
        <v>#N/A</v>
      </c>
    </row>
    <row r="1740">
      <c r="A1740" s="122" t="s">
        <v>3901</v>
      </c>
      <c r="B1740" s="123">
        <v>846913.0</v>
      </c>
      <c r="C1740" s="124" t="s">
        <v>3902</v>
      </c>
      <c r="D1740" s="125"/>
      <c r="E1740" s="126">
        <v>1.07</v>
      </c>
      <c r="F1740" s="127"/>
      <c r="G1740" s="127"/>
      <c r="H1740" s="127"/>
      <c r="I1740" s="128"/>
      <c r="K1740" s="105" t="str">
        <f>IFERROR(__xludf.DUMMYFUNCTION("if(A1740="""","""",substitute(SUBSTITUTE(index(importhtml(""http://finviz.com/quote.ashx?t=""&amp;A1740,""table"",10),7,2),""*"",""""),""-"",""0.00""))"),"Loading...")</f>
        <v>Loading...</v>
      </c>
      <c r="L1740" s="129">
        <v>3.2512261E7</v>
      </c>
      <c r="M1740" s="99">
        <v>4.39</v>
      </c>
    </row>
    <row r="1741">
      <c r="A1741" s="122" t="s">
        <v>3903</v>
      </c>
      <c r="B1741" s="123">
        <v>1580149.0</v>
      </c>
      <c r="C1741" s="124" t="s">
        <v>3904</v>
      </c>
      <c r="D1741" s="125"/>
      <c r="E1741" s="126">
        <v>1.07</v>
      </c>
      <c r="F1741" s="127"/>
      <c r="G1741" s="127"/>
      <c r="H1741" s="127"/>
      <c r="I1741" s="128"/>
      <c r="K1741" s="105" t="str">
        <f>IFERROR(__xludf.DUMMYFUNCTION("if(A1741="""","""",substitute(SUBSTITUTE(index(importhtml(""http://finviz.com/quote.ashx?t=""&amp;A1741,""table"",10),7,2),""*"",""""),""-"",""0.00""))"),"Loading...")</f>
        <v>Loading...</v>
      </c>
      <c r="L1741" s="129">
        <v>4.26329E7</v>
      </c>
      <c r="M1741" s="99">
        <v>1.29</v>
      </c>
    </row>
    <row r="1742">
      <c r="A1742" s="122" t="s">
        <v>3905</v>
      </c>
      <c r="B1742" s="123">
        <v>1833769.0</v>
      </c>
      <c r="C1742" s="124" t="s">
        <v>3906</v>
      </c>
      <c r="D1742" s="125"/>
      <c r="E1742" s="126">
        <v>1.07</v>
      </c>
      <c r="F1742" s="127"/>
      <c r="G1742" s="127"/>
      <c r="H1742" s="127"/>
      <c r="I1742" s="128"/>
      <c r="K1742" s="105" t="str">
        <f>IFERROR(__xludf.DUMMYFUNCTION("if(A1742="""","""",substitute(SUBSTITUTE(index(importhtml(""http://finviz.com/quote.ashx?t=""&amp;A1742,""table"",10),7,2),""*"",""""),""-"",""0.00""))"),"Loading...")</f>
        <v>Loading...</v>
      </c>
      <c r="L1742" s="129">
        <v>7.6611575E7</v>
      </c>
      <c r="M1742" s="99">
        <v>0.74</v>
      </c>
    </row>
    <row r="1743">
      <c r="A1743" s="122" t="s">
        <v>3907</v>
      </c>
      <c r="B1743" s="123">
        <v>1453593.0</v>
      </c>
      <c r="C1743" s="124" t="s">
        <v>3908</v>
      </c>
      <c r="D1743" s="125"/>
      <c r="E1743" s="126">
        <v>1.07</v>
      </c>
      <c r="F1743" s="127"/>
      <c r="G1743" s="127"/>
      <c r="H1743" s="127"/>
      <c r="I1743" s="128"/>
      <c r="K1743" s="105" t="str">
        <f>IFERROR(__xludf.DUMMYFUNCTION("if(A1743="""","""",substitute(SUBSTITUTE(index(importhtml(""http://finviz.com/quote.ashx?t=""&amp;A1743,""table"",10),7,2),""*"",""""),""-"",""0.00""))"),"Loading...")</f>
        <v>Loading...</v>
      </c>
      <c r="L1743" s="129">
        <v>1.3921792E8</v>
      </c>
      <c r="M1743" s="99">
        <v>0.24</v>
      </c>
    </row>
    <row r="1744">
      <c r="A1744" s="122" t="s">
        <v>3909</v>
      </c>
      <c r="B1744" s="123">
        <v>1838957.0</v>
      </c>
      <c r="C1744" s="124" t="s">
        <v>3910</v>
      </c>
      <c r="D1744" s="125"/>
      <c r="E1744" s="126">
        <v>1.07</v>
      </c>
      <c r="F1744" s="127"/>
      <c r="G1744" s="127"/>
      <c r="H1744" s="127"/>
      <c r="I1744" s="128"/>
      <c r="K1744" s="105" t="str">
        <f>IFERROR(__xludf.DUMMYFUNCTION("if(A1744="""","""",substitute(SUBSTITUTE(index(importhtml(""http://finviz.com/quote.ashx?t=""&amp;A1744,""table"",10),7,2),""*"",""""),""-"",""0.00""))"),"Loading...")</f>
        <v>Loading...</v>
      </c>
      <c r="L1744" s="129">
        <v>2.38838028E8</v>
      </c>
      <c r="M1744" s="99">
        <f>IFERROR(__xludf.DUMMYFUNCTION("GOOGLEFINANCE(A1744,""beta"")"),0.22)</f>
        <v>0.22</v>
      </c>
    </row>
    <row r="1745">
      <c r="A1745" s="122" t="s">
        <v>3911</v>
      </c>
      <c r="B1745" s="123">
        <v>1007019.0</v>
      </c>
      <c r="C1745" s="124" t="s">
        <v>3912</v>
      </c>
      <c r="D1745" s="125"/>
      <c r="E1745" s="126">
        <v>1.08</v>
      </c>
      <c r="F1745" s="127"/>
      <c r="G1745" s="127"/>
      <c r="H1745" s="127"/>
      <c r="I1745" s="128"/>
      <c r="K1745" s="105" t="str">
        <f>IFERROR(__xludf.DUMMYFUNCTION("if(A1745="""","""",substitute(SUBSTITUTE(index(importhtml(""http://finviz.com/quote.ashx?t=""&amp;A1745,""table"",10),7,2),""*"",""""),""-"",""0.00""))"),"Loading...")</f>
        <v>Loading...</v>
      </c>
      <c r="L1745" s="129">
        <v>6165288.0</v>
      </c>
      <c r="M1745" s="99">
        <v>1.17</v>
      </c>
    </row>
    <row r="1746">
      <c r="A1746" s="122" t="s">
        <v>3913</v>
      </c>
      <c r="B1746" s="123">
        <v>944075.0</v>
      </c>
      <c r="C1746" s="124" t="s">
        <v>3914</v>
      </c>
      <c r="D1746" s="125"/>
      <c r="E1746" s="126">
        <v>1.08</v>
      </c>
      <c r="F1746" s="127"/>
      <c r="G1746" s="127"/>
      <c r="H1746" s="127"/>
      <c r="I1746" s="128"/>
      <c r="K1746" s="105" t="str">
        <f>IFERROR(__xludf.DUMMYFUNCTION("if(A1746="""","""",substitute(SUBSTITUTE(index(importhtml(""http://finviz.com/quote.ashx?t=""&amp;A1746,""table"",10),7,2),""*"",""""),""-"",""0.00""))"),"Loading...")</f>
        <v>Loading...</v>
      </c>
      <c r="L1746" s="129">
        <v>7908975.0</v>
      </c>
      <c r="M1746" s="99">
        <v>0.86</v>
      </c>
    </row>
    <row r="1747">
      <c r="A1747" s="122" t="s">
        <v>3915</v>
      </c>
      <c r="B1747" s="123">
        <v>1104038.0</v>
      </c>
      <c r="C1747" s="124" t="s">
        <v>3916</v>
      </c>
      <c r="D1747" s="125"/>
      <c r="E1747" s="126">
        <v>1.08</v>
      </c>
      <c r="F1747" s="127"/>
      <c r="G1747" s="127"/>
      <c r="H1747" s="127"/>
      <c r="I1747" s="128"/>
      <c r="K1747" s="105" t="str">
        <f>IFERROR(__xludf.DUMMYFUNCTION("if(A1747="""","""",substitute(SUBSTITUTE(index(importhtml(""http://finviz.com/quote.ashx?t=""&amp;A1747,""table"",10),7,2),""*"",""""),""-"",""0.00""))"),"Loading...")</f>
        <v>Loading...</v>
      </c>
      <c r="L1747" s="129">
        <v>1.0791149E7</v>
      </c>
      <c r="M1747" s="99">
        <v>0.6</v>
      </c>
    </row>
    <row r="1748">
      <c r="A1748" s="122" t="s">
        <v>3917</v>
      </c>
      <c r="B1748" s="123">
        <v>1474167.0</v>
      </c>
      <c r="C1748" s="124" t="s">
        <v>3918</v>
      </c>
      <c r="D1748" s="125"/>
      <c r="E1748" s="126">
        <v>1.08</v>
      </c>
      <c r="F1748" s="127"/>
      <c r="G1748" s="127"/>
      <c r="H1748" s="127"/>
      <c r="I1748" s="128"/>
      <c r="K1748" s="105" t="str">
        <f>IFERROR(__xludf.DUMMYFUNCTION("if(A1748="""","""",substitute(SUBSTITUTE(index(importhtml(""http://finviz.com/quote.ashx?t=""&amp;A1748,""table"",10),7,2),""*"",""""),""-"",""0.00""))"),"Loading...")</f>
        <v>Loading...</v>
      </c>
      <c r="L1748" s="129">
        <v>1.4409515E7</v>
      </c>
      <c r="M1748" s="99">
        <v>3.19</v>
      </c>
    </row>
    <row r="1749">
      <c r="A1749" s="122" t="s">
        <v>3919</v>
      </c>
      <c r="B1749" s="123">
        <v>1420529.0</v>
      </c>
      <c r="C1749" s="124" t="s">
        <v>3920</v>
      </c>
      <c r="D1749" s="125"/>
      <c r="E1749" s="126">
        <v>1.08</v>
      </c>
      <c r="F1749" s="127"/>
      <c r="G1749" s="127"/>
      <c r="H1749" s="127"/>
      <c r="I1749" s="128"/>
      <c r="K1749" s="105" t="str">
        <f>IFERROR(__xludf.DUMMYFUNCTION("if(A1749="""","""",substitute(SUBSTITUTE(index(importhtml(""http://finviz.com/quote.ashx?t=""&amp;A1749,""table"",10),7,2),""*"",""""),""-"",""0.00""))"),"Loading...")</f>
        <v>Loading...</v>
      </c>
      <c r="L1749" s="129">
        <v>3.3913513E7</v>
      </c>
      <c r="M1749" s="99">
        <v>1.11</v>
      </c>
    </row>
    <row r="1750">
      <c r="A1750" s="122" t="s">
        <v>3921</v>
      </c>
      <c r="B1750" s="123">
        <v>1741830.0</v>
      </c>
      <c r="C1750" s="124" t="s">
        <v>3922</v>
      </c>
      <c r="D1750" s="125"/>
      <c r="E1750" s="126">
        <v>1.08</v>
      </c>
      <c r="F1750" s="127"/>
      <c r="G1750" s="127"/>
      <c r="H1750" s="127"/>
      <c r="I1750" s="128"/>
      <c r="K1750" s="105" t="str">
        <f>IFERROR(__xludf.DUMMYFUNCTION("if(A1750="""","""",substitute(SUBSTITUTE(index(importhtml(""http://finviz.com/quote.ashx?t=""&amp;A1750,""table"",10),7,2),""*"",""""),""-"",""0.00""))"),"Loading...")</f>
        <v>Loading...</v>
      </c>
      <c r="L1750" s="129">
        <v>6.2981833E7</v>
      </c>
      <c r="M1750" s="99">
        <v>1.81</v>
      </c>
    </row>
    <row r="1751">
      <c r="A1751" s="122" t="s">
        <v>3923</v>
      </c>
      <c r="B1751" s="123">
        <v>93314.0</v>
      </c>
      <c r="C1751" s="124" t="s">
        <v>3924</v>
      </c>
      <c r="D1751" s="125"/>
      <c r="E1751" s="126">
        <v>1.08</v>
      </c>
      <c r="F1751" s="127"/>
      <c r="G1751" s="127"/>
      <c r="H1751" s="127"/>
      <c r="I1751" s="128"/>
      <c r="K1751" s="105" t="str">
        <f>IFERROR(__xludf.DUMMYFUNCTION("if(A1751="""","""",substitute(SUBSTITUTE(index(importhtml(""http://finviz.com/quote.ashx?t=""&amp;A1751,""table"",10),7,2),""*"",""""),""-"",""0.00""))"),"Loading...")</f>
        <v>Loading...</v>
      </c>
      <c r="L1751" s="129">
        <v>8.4980732E7</v>
      </c>
      <c r="M1751" s="99">
        <v>1.42</v>
      </c>
    </row>
    <row r="1752">
      <c r="A1752" s="122" t="s">
        <v>3925</v>
      </c>
      <c r="B1752" s="123">
        <v>1448397.0</v>
      </c>
      <c r="C1752" s="124" t="s">
        <v>3926</v>
      </c>
      <c r="D1752" s="125"/>
      <c r="E1752" s="126">
        <v>1.08</v>
      </c>
      <c r="F1752" s="127"/>
      <c r="G1752" s="127"/>
      <c r="H1752" s="127"/>
      <c r="I1752" s="128"/>
      <c r="K1752" s="105" t="str">
        <f>IFERROR(__xludf.DUMMYFUNCTION("if(A1752="""","""",substitute(SUBSTITUTE(index(importhtml(""http://finviz.com/quote.ashx?t=""&amp;A1752,""table"",10),7,2),""*"",""""),""-"",""0.00""))"),"Loading...")</f>
        <v>Loading...</v>
      </c>
      <c r="L1752" s="129">
        <v>3.175551E8</v>
      </c>
      <c r="M1752" s="99">
        <f>IFERROR(__xludf.DUMMYFUNCTION("GOOGLEFINANCE(A1752,""beta"")"),0.77)</f>
        <v>0.77</v>
      </c>
    </row>
    <row r="1753">
      <c r="A1753" s="122" t="s">
        <v>3927</v>
      </c>
      <c r="B1753" s="123">
        <v>1437194.0</v>
      </c>
      <c r="C1753" s="124" t="s">
        <v>3928</v>
      </c>
      <c r="D1753" s="125"/>
      <c r="E1753" s="126">
        <v>1.08</v>
      </c>
      <c r="F1753" s="127"/>
      <c r="G1753" s="127"/>
      <c r="H1753" s="127"/>
      <c r="I1753" s="128"/>
      <c r="K1753" s="105" t="str">
        <f>IFERROR(__xludf.DUMMYFUNCTION("if(A1753="""","""",substitute(SUBSTITUTE(index(importhtml(""http://finviz.com/quote.ashx?t=""&amp;A1753,""table"",10),7,2),""*"",""""),""-"",""0.00""))"),"Loading...")</f>
        <v>Loading...</v>
      </c>
      <c r="L1753" s="129">
        <v>8.65330228E8</v>
      </c>
      <c r="M1753" s="99">
        <v>2.23</v>
      </c>
    </row>
    <row r="1754">
      <c r="A1754" s="122" t="s">
        <v>3929</v>
      </c>
      <c r="B1754" s="123">
        <v>1770561.0</v>
      </c>
      <c r="C1754" s="124" t="s">
        <v>3930</v>
      </c>
      <c r="D1754" s="125"/>
      <c r="E1754" s="126">
        <v>1.08</v>
      </c>
      <c r="F1754" s="127"/>
      <c r="G1754" s="127"/>
      <c r="H1754" s="127"/>
      <c r="I1754" s="128"/>
      <c r="K1754" s="105" t="str">
        <f>IFERROR(__xludf.DUMMYFUNCTION("if(A1754="""","""",substitute(SUBSTITUTE(index(importhtml(""http://finviz.com/quote.ashx?t=""&amp;A1754,""table"",10),7,2),""*"",""""),""-"",""0.00""))"),"Loading...")</f>
        <v>Loading...</v>
      </c>
      <c r="L1754" s="129">
        <v>2.673889639E9</v>
      </c>
      <c r="M1754" s="99">
        <f>IFERROR(__xludf.DUMMYFUNCTION("GOOGLEFINANCE(A1754,""beta"")"),-12.69)</f>
        <v>-12.69</v>
      </c>
    </row>
    <row r="1755">
      <c r="A1755" s="122" t="s">
        <v>3931</v>
      </c>
      <c r="B1755" s="123">
        <v>1054102.0</v>
      </c>
      <c r="C1755" s="124" t="s">
        <v>3932</v>
      </c>
      <c r="D1755" s="125"/>
      <c r="E1755" s="126">
        <v>1.09</v>
      </c>
      <c r="F1755" s="127"/>
      <c r="G1755" s="127"/>
      <c r="H1755" s="127"/>
      <c r="I1755" s="128"/>
      <c r="K1755" s="105" t="str">
        <f>IFERROR(__xludf.DUMMYFUNCTION("if(A1755="""","""",substitute(SUBSTITUTE(index(importhtml(""http://finviz.com/quote.ashx?t=""&amp;A1755,""table"",10),7,2),""*"",""""),""-"",""0.00""))"),"Loading...")</f>
        <v>Loading...</v>
      </c>
      <c r="L1755" s="129">
        <v>4693442.0</v>
      </c>
      <c r="M1755" s="99">
        <v>0.97</v>
      </c>
    </row>
    <row r="1756">
      <c r="A1756" s="122" t="s">
        <v>3933</v>
      </c>
      <c r="B1756" s="123">
        <v>1894693.0</v>
      </c>
      <c r="C1756" s="124" t="s">
        <v>3934</v>
      </c>
      <c r="D1756" s="125"/>
      <c r="E1756" s="126">
        <v>1.09</v>
      </c>
      <c r="F1756" s="127"/>
      <c r="G1756" s="127"/>
      <c r="H1756" s="127"/>
      <c r="I1756" s="128"/>
      <c r="K1756" s="105" t="str">
        <f>IFERROR(__xludf.DUMMYFUNCTION("if(A1756="""","""",substitute(SUBSTITUTE(index(importhtml(""http://finviz.com/quote.ashx?t=""&amp;A1756,""table"",10),7,2),""*"",""""),""-"",""0.00""))"),"Loading...")</f>
        <v>Loading...</v>
      </c>
      <c r="L1756" s="129">
        <v>5.4828427E7</v>
      </c>
      <c r="M1756" s="99">
        <f>IFERROR(__xludf.DUMMYFUNCTION("GOOGLEFINANCE(A1756,""beta"")"),1.93)</f>
        <v>1.93</v>
      </c>
    </row>
    <row r="1757">
      <c r="A1757" s="122" t="s">
        <v>3935</v>
      </c>
      <c r="B1757" s="123">
        <v>1364125.0</v>
      </c>
      <c r="C1757" s="124" t="s">
        <v>3936</v>
      </c>
      <c r="D1757" s="125"/>
      <c r="E1757" s="126">
        <v>1.09</v>
      </c>
      <c r="F1757" s="127"/>
      <c r="G1757" s="127"/>
      <c r="H1757" s="127"/>
      <c r="I1757" s="128"/>
      <c r="K1757" s="105" t="str">
        <f>IFERROR(__xludf.DUMMYFUNCTION("if(A1757="""","""",substitute(SUBSTITUTE(index(importhtml(""http://finviz.com/quote.ashx?t=""&amp;A1757,""table"",10),7,2),""*"",""""),""-"",""0.00""))"),"Loading...")</f>
        <v>Loading...</v>
      </c>
      <c r="L1757" s="129">
        <v>2.41493632E8</v>
      </c>
      <c r="M1757" s="99">
        <v>1.86</v>
      </c>
    </row>
    <row r="1758">
      <c r="A1758" s="122" t="s">
        <v>3937</v>
      </c>
      <c r="B1758" s="123">
        <v>1026214.0</v>
      </c>
      <c r="C1758" s="124" t="s">
        <v>3938</v>
      </c>
      <c r="D1758" s="125"/>
      <c r="E1758" s="126">
        <v>1.09</v>
      </c>
      <c r="F1758" s="127"/>
      <c r="G1758" s="127"/>
      <c r="H1758" s="127"/>
      <c r="I1758" s="128"/>
      <c r="K1758" s="105" t="str">
        <f>IFERROR(__xludf.DUMMYFUNCTION("if(A1758="""","""",substitute(SUBSTITUTE(index(importhtml(""http://finviz.com/quote.ashx?t=""&amp;A1758,""table"",10),7,2),""*"",""""),""-"",""0.00""))"),"Loading...")</f>
        <v>Loading...</v>
      </c>
      <c r="L1758" s="129">
        <v>7.08564876E8</v>
      </c>
      <c r="M1758" s="99">
        <v>1.44</v>
      </c>
    </row>
    <row r="1759">
      <c r="A1759" s="122" t="s">
        <v>3939</v>
      </c>
      <c r="B1759" s="123">
        <v>932477.0</v>
      </c>
      <c r="C1759" s="124" t="s">
        <v>3940</v>
      </c>
      <c r="D1759" s="125"/>
      <c r="E1759" s="126">
        <v>1.09</v>
      </c>
      <c r="F1759" s="127"/>
      <c r="G1759" s="127"/>
      <c r="H1759" s="127"/>
      <c r="I1759" s="128"/>
      <c r="K1759" s="105" t="str">
        <f>IFERROR(__xludf.DUMMYFUNCTION("if(A1759="""","""",substitute(SUBSTITUTE(index(importhtml(""http://finviz.com/quote.ashx?t=""&amp;A1759,""table"",10),7,2),""*"",""""),""-"",""0.00""))"),"Loading...")</f>
        <v>Loading...</v>
      </c>
      <c r="L1759" s="129">
        <v>1.251795146E10</v>
      </c>
      <c r="M1759" s="99">
        <v>1.4</v>
      </c>
    </row>
    <row r="1760">
      <c r="A1760" s="122" t="s">
        <v>3941</v>
      </c>
      <c r="B1760" s="123">
        <v>1866030.0</v>
      </c>
      <c r="C1760" s="124" t="s">
        <v>3942</v>
      </c>
      <c r="D1760" s="125"/>
      <c r="E1760" s="126">
        <v>1.1</v>
      </c>
      <c r="F1760" s="127"/>
      <c r="G1760" s="127"/>
      <c r="H1760" s="127"/>
      <c r="I1760" s="128"/>
      <c r="K1760" s="55" t="s">
        <v>1034</v>
      </c>
      <c r="L1760" s="129">
        <v>5.595236E7</v>
      </c>
      <c r="M1760" s="99">
        <v>5.16</v>
      </c>
    </row>
    <row r="1761">
      <c r="A1761" s="122" t="s">
        <v>3943</v>
      </c>
      <c r="B1761" s="123">
        <v>1420720.0</v>
      </c>
      <c r="C1761" s="124" t="s">
        <v>3944</v>
      </c>
      <c r="D1761" s="125"/>
      <c r="E1761" s="126">
        <v>1.1</v>
      </c>
      <c r="F1761" s="127"/>
      <c r="G1761" s="127"/>
      <c r="H1761" s="127"/>
      <c r="I1761" s="128"/>
      <c r="K1761" s="105" t="str">
        <f>IFERROR(__xludf.DUMMYFUNCTION("if(A1761="""","""",substitute(SUBSTITUTE(index(importhtml(""http://finviz.com/quote.ashx?t=""&amp;A1761,""table"",10),7,2),""*"",""""),""-"",""0.00""))"),"Loading...")</f>
        <v>Loading...</v>
      </c>
      <c r="L1761" s="129">
        <v>2205539.0</v>
      </c>
      <c r="M1761" s="99">
        <v>-3.82</v>
      </c>
    </row>
    <row r="1762">
      <c r="A1762" s="122" t="s">
        <v>3945</v>
      </c>
      <c r="B1762" s="123">
        <v>1848364.0</v>
      </c>
      <c r="C1762" s="124" t="s">
        <v>3946</v>
      </c>
      <c r="D1762" s="125"/>
      <c r="E1762" s="126">
        <v>1.1</v>
      </c>
      <c r="F1762" s="127"/>
      <c r="G1762" s="127"/>
      <c r="H1762" s="127"/>
      <c r="I1762" s="128"/>
      <c r="K1762" s="105" t="str">
        <f>IFERROR(__xludf.DUMMYFUNCTION("if(A1762="""","""",substitute(SUBSTITUTE(index(importhtml(""http://finviz.com/quote.ashx?t=""&amp;A1762,""table"",10),7,2),""*"",""""),""-"",""0.00""))"),"Loading...")</f>
        <v>Loading...</v>
      </c>
      <c r="L1762" s="129">
        <v>2489249.0</v>
      </c>
      <c r="M1762" s="99">
        <v>0.04</v>
      </c>
    </row>
    <row r="1763">
      <c r="A1763" s="122" t="s">
        <v>3947</v>
      </c>
      <c r="B1763" s="123">
        <v>1062506.0</v>
      </c>
      <c r="C1763" s="124" t="s">
        <v>3948</v>
      </c>
      <c r="D1763" s="125"/>
      <c r="E1763" s="126">
        <v>1.1</v>
      </c>
      <c r="F1763" s="127"/>
      <c r="G1763" s="127"/>
      <c r="H1763" s="127"/>
      <c r="I1763" s="128"/>
      <c r="K1763" s="105" t="str">
        <f>IFERROR(__xludf.DUMMYFUNCTION("if(A1763="""","""",substitute(SUBSTITUTE(index(importhtml(""http://finviz.com/quote.ashx?t=""&amp;A1763,""table"",10),7,2),""*"",""""),""-"",""0.00""))"),"Loading...")</f>
        <v>Loading...</v>
      </c>
      <c r="L1763" s="129">
        <v>2704450.0</v>
      </c>
      <c r="M1763" s="99">
        <v>0.53</v>
      </c>
    </row>
    <row r="1764">
      <c r="A1764" s="122" t="s">
        <v>3949</v>
      </c>
      <c r="B1764" s="123">
        <v>727207.0</v>
      </c>
      <c r="C1764" s="124" t="s">
        <v>3950</v>
      </c>
      <c r="D1764" s="125"/>
      <c r="E1764" s="126">
        <v>1.1</v>
      </c>
      <c r="F1764" s="127"/>
      <c r="G1764" s="127"/>
      <c r="H1764" s="127"/>
      <c r="I1764" s="128"/>
      <c r="K1764" s="105" t="str">
        <f>IFERROR(__xludf.DUMMYFUNCTION("if(A1764="""","""",substitute(SUBSTITUTE(index(importhtml(""http://finviz.com/quote.ashx?t=""&amp;A1764,""table"",10),7,2),""*"",""""),""-"",""0.00""))"),"Loading...")</f>
        <v>Loading...</v>
      </c>
      <c r="L1764" s="129">
        <v>2.2093786E7</v>
      </c>
      <c r="M1764" s="99">
        <v>0.6</v>
      </c>
    </row>
    <row r="1765">
      <c r="A1765" s="122" t="s">
        <v>3951</v>
      </c>
      <c r="B1765" s="123">
        <v>1365388.0</v>
      </c>
      <c r="C1765" s="124" t="s">
        <v>3952</v>
      </c>
      <c r="D1765" s="125"/>
      <c r="E1765" s="126">
        <v>1.1</v>
      </c>
      <c r="F1765" s="127"/>
      <c r="G1765" s="127"/>
      <c r="H1765" s="127"/>
      <c r="I1765" s="128"/>
      <c r="K1765" s="105" t="str">
        <f>IFERROR(__xludf.DUMMYFUNCTION("if(A1765="""","""",substitute(SUBSTITUTE(index(importhtml(""http://finviz.com/quote.ashx?t=""&amp;A1765,""table"",10),7,2),""*"",""""),""-"",""0.00""))"),"Loading...")</f>
        <v>Loading...</v>
      </c>
      <c r="L1765" s="129">
        <v>2.270592E7</v>
      </c>
      <c r="M1765" s="99">
        <v>0.79</v>
      </c>
    </row>
    <row r="1766">
      <c r="A1766" s="122" t="s">
        <v>3953</v>
      </c>
      <c r="B1766" s="123">
        <v>1641281.0</v>
      </c>
      <c r="C1766" s="124" t="s">
        <v>3954</v>
      </c>
      <c r="D1766" s="125"/>
      <c r="E1766" s="126">
        <v>1.1</v>
      </c>
      <c r="F1766" s="127"/>
      <c r="G1766" s="127"/>
      <c r="H1766" s="127"/>
      <c r="I1766" s="128"/>
      <c r="K1766" s="105" t="str">
        <f>IFERROR(__xludf.DUMMYFUNCTION("if(A1766="""","""",substitute(SUBSTITUTE(index(importhtml(""http://finviz.com/quote.ashx?t=""&amp;A1766,""table"",10),7,2),""*"",""""),""-"",""0.00""))"),"Loading...")</f>
        <v>Loading...</v>
      </c>
      <c r="L1766" s="129">
        <v>4.1762457E7</v>
      </c>
      <c r="M1766" s="99">
        <f>IFERROR(__xludf.DUMMYFUNCTION("GOOGLEFINANCE(A1766,""beta"")"),0.93)</f>
        <v>0.93</v>
      </c>
    </row>
    <row r="1767">
      <c r="A1767" s="122" t="s">
        <v>3955</v>
      </c>
      <c r="B1767" s="123">
        <v>1398805.0</v>
      </c>
      <c r="C1767" s="124" t="s">
        <v>3956</v>
      </c>
      <c r="D1767" s="125"/>
      <c r="E1767" s="126">
        <v>1.1</v>
      </c>
      <c r="F1767" s="127"/>
      <c r="G1767" s="127"/>
      <c r="H1767" s="127"/>
      <c r="I1767" s="128"/>
      <c r="K1767" s="105" t="str">
        <f>IFERROR(__xludf.DUMMYFUNCTION("if(A1767="""","""",substitute(SUBSTITUTE(index(importhtml(""http://finviz.com/quote.ashx?t=""&amp;A1767,""table"",10),7,2),""*"",""""),""-"",""0.00""))"),"Loading...")</f>
        <v>Loading...</v>
      </c>
      <c r="L1767" s="129">
        <v>1.03618863E8</v>
      </c>
      <c r="M1767" s="99">
        <v>1.3</v>
      </c>
    </row>
    <row r="1768">
      <c r="A1768" s="122" t="s">
        <v>3957</v>
      </c>
      <c r="B1768" s="123">
        <v>1609809.0</v>
      </c>
      <c r="C1768" s="124" t="s">
        <v>3958</v>
      </c>
      <c r="D1768" s="125"/>
      <c r="E1768" s="126">
        <v>1.1</v>
      </c>
      <c r="F1768" s="127"/>
      <c r="G1768" s="127"/>
      <c r="H1768" s="127"/>
      <c r="I1768" s="128"/>
      <c r="K1768" s="105" t="str">
        <f>IFERROR(__xludf.DUMMYFUNCTION("if(A1768="""","""",substitute(SUBSTITUTE(index(importhtml(""http://finviz.com/quote.ashx?t=""&amp;A1768,""table"",10),7,2),""*"",""""),""-"",""0.00""))"),"Loading...")</f>
        <v>Loading...</v>
      </c>
      <c r="L1768" s="129">
        <v>1.42182923E8</v>
      </c>
      <c r="M1768" s="99">
        <v>2.31</v>
      </c>
    </row>
    <row r="1769">
      <c r="A1769" s="122" t="s">
        <v>3959</v>
      </c>
      <c r="B1769" s="123">
        <v>1073748.0</v>
      </c>
      <c r="C1769" s="124" t="s">
        <v>3960</v>
      </c>
      <c r="D1769" s="125"/>
      <c r="E1769" s="126">
        <v>1.1</v>
      </c>
      <c r="F1769" s="127"/>
      <c r="G1769" s="127"/>
      <c r="H1769" s="127"/>
      <c r="I1769" s="128"/>
      <c r="K1769" s="105" t="str">
        <f>IFERROR(__xludf.DUMMYFUNCTION("if(A1769="""","""",substitute(SUBSTITUTE(index(importhtml(""http://finviz.com/quote.ashx?t=""&amp;A1769,""table"",10),7,2),""*"",""""),""-"",""0.00""))"),"Loading...")</f>
        <v>Loading...</v>
      </c>
      <c r="L1769" s="129">
        <v>4.9458905E8</v>
      </c>
      <c r="M1769" s="99">
        <v>1.1</v>
      </c>
    </row>
    <row r="1770">
      <c r="A1770" s="122" t="s">
        <v>3961</v>
      </c>
      <c r="B1770" s="123">
        <v>1883085.0</v>
      </c>
      <c r="C1770" s="124" t="s">
        <v>1953</v>
      </c>
      <c r="D1770" s="125"/>
      <c r="E1770" s="126">
        <v>1.11</v>
      </c>
      <c r="F1770" s="127"/>
      <c r="G1770" s="127"/>
      <c r="H1770" s="127"/>
      <c r="I1770" s="128"/>
      <c r="K1770" s="105" t="str">
        <f>IFERROR(__xludf.DUMMYFUNCTION("if(A1770="""","""",substitute(SUBSTITUTE(index(importhtml(""http://finviz.com/quote.ashx?t=""&amp;A1770,""table"",10),7,2),""*"",""""),""-"",""0.00""))"),"Loading...")</f>
        <v>Loading...</v>
      </c>
      <c r="L1770" s="129">
        <v>7.88154955E8</v>
      </c>
      <c r="M1770" s="99">
        <f>IFERROR(__xludf.DUMMYFUNCTION("GOOGLEFINANCE(A1770,""beta"")"),5.83)</f>
        <v>5.83</v>
      </c>
    </row>
    <row r="1771">
      <c r="A1771" s="122" t="s">
        <v>3962</v>
      </c>
      <c r="B1771" s="123">
        <v>1513525.0</v>
      </c>
      <c r="C1771" s="124" t="s">
        <v>3963</v>
      </c>
      <c r="D1771" s="125"/>
      <c r="E1771" s="126">
        <v>1.12</v>
      </c>
      <c r="F1771" s="127"/>
      <c r="G1771" s="127"/>
      <c r="H1771" s="127"/>
      <c r="I1771" s="128"/>
      <c r="K1771" s="105" t="str">
        <f>IFERROR(__xludf.DUMMYFUNCTION("if(A1771="""","""",substitute(SUBSTITUTE(index(importhtml(""http://finviz.com/quote.ashx?t=""&amp;A1771,""table"",10),7,2),""*"",""""),""-"",""0.00""))"),"Loading...")</f>
        <v>Loading...</v>
      </c>
      <c r="L1771" s="129">
        <v>1863027.0</v>
      </c>
      <c r="M1771" s="99">
        <v>1.3</v>
      </c>
    </row>
    <row r="1772">
      <c r="A1772" s="122" t="s">
        <v>3964</v>
      </c>
      <c r="B1772" s="123">
        <v>1815903.0</v>
      </c>
      <c r="C1772" s="124" t="s">
        <v>3965</v>
      </c>
      <c r="D1772" s="125"/>
      <c r="E1772" s="126">
        <v>1.12</v>
      </c>
      <c r="F1772" s="127"/>
      <c r="G1772" s="127"/>
      <c r="H1772" s="127"/>
      <c r="I1772" s="128"/>
      <c r="K1772" s="105" t="str">
        <f>IFERROR(__xludf.DUMMYFUNCTION("if(A1772="""","""",substitute(SUBSTITUTE(index(importhtml(""http://finviz.com/quote.ashx?t=""&amp;A1772,""table"",10),7,2),""*"",""""),""-"",""0.00""))"),"Loading...")</f>
        <v>Loading...</v>
      </c>
      <c r="L1772" s="129">
        <v>2465193.0</v>
      </c>
      <c r="M1772" s="99">
        <v>2.1</v>
      </c>
    </row>
    <row r="1773">
      <c r="A1773" s="122" t="s">
        <v>3966</v>
      </c>
      <c r="B1773" s="123">
        <v>1757097.0</v>
      </c>
      <c r="C1773" s="124" t="s">
        <v>3967</v>
      </c>
      <c r="D1773" s="125"/>
      <c r="E1773" s="126">
        <v>1.12</v>
      </c>
      <c r="F1773" s="127"/>
      <c r="G1773" s="127"/>
      <c r="H1773" s="127"/>
      <c r="I1773" s="128"/>
      <c r="K1773" s="105" t="str">
        <f>IFERROR(__xludf.DUMMYFUNCTION("if(A1773="""","""",substitute(SUBSTITUTE(index(importhtml(""http://finviz.com/quote.ashx?t=""&amp;A1773,""table"",10),7,2),""*"",""""),""-"",""0.00""))"),"Loading...")</f>
        <v>Loading...</v>
      </c>
      <c r="L1773" s="129">
        <v>3.1401496E7</v>
      </c>
      <c r="M1773" s="99">
        <v>-0.73</v>
      </c>
    </row>
    <row r="1774">
      <c r="A1774" s="122" t="s">
        <v>3968</v>
      </c>
      <c r="B1774" s="123">
        <v>1411690.0</v>
      </c>
      <c r="C1774" s="124" t="s">
        <v>3969</v>
      </c>
      <c r="D1774" s="125"/>
      <c r="E1774" s="126">
        <v>1.12</v>
      </c>
      <c r="F1774" s="127"/>
      <c r="G1774" s="127"/>
      <c r="H1774" s="127"/>
      <c r="I1774" s="128"/>
      <c r="K1774" s="105" t="str">
        <f>IFERROR(__xludf.DUMMYFUNCTION("if(A1774="""","""",substitute(SUBSTITUTE(index(importhtml(""http://finviz.com/quote.ashx?t=""&amp;A1774,""table"",10),7,2),""*"",""""),""-"",""0.00""))"),"Loading...")</f>
        <v>Loading...</v>
      </c>
      <c r="L1774" s="129">
        <v>4.3501169E7</v>
      </c>
      <c r="M1774" s="99">
        <v>2.37</v>
      </c>
    </row>
    <row r="1775">
      <c r="A1775" s="122" t="s">
        <v>3970</v>
      </c>
      <c r="B1775" s="123">
        <v>1836934.0</v>
      </c>
      <c r="C1775" s="124" t="s">
        <v>3971</v>
      </c>
      <c r="D1775" s="125"/>
      <c r="E1775" s="126">
        <v>1.12</v>
      </c>
      <c r="F1775" s="127"/>
      <c r="G1775" s="127"/>
      <c r="H1775" s="127"/>
      <c r="I1775" s="128"/>
      <c r="K1775" s="105" t="str">
        <f>IFERROR(__xludf.DUMMYFUNCTION("if(A1775="""","""",substitute(SUBSTITUTE(index(importhtml(""http://finviz.com/quote.ashx?t=""&amp;A1775,""table"",10),7,2),""*"",""""),""-"",""0.00""))"),"Loading...")</f>
        <v>Loading...</v>
      </c>
      <c r="L1775" s="129">
        <v>4.6910595E7</v>
      </c>
      <c r="M1775" s="99">
        <f>IFERROR(__xludf.DUMMYFUNCTION("GOOGLEFINANCE(A1775,""beta"")"),1.74)</f>
        <v>1.74</v>
      </c>
    </row>
    <row r="1776">
      <c r="A1776" s="122" t="s">
        <v>3972</v>
      </c>
      <c r="B1776" s="123">
        <v>1702123.0</v>
      </c>
      <c r="C1776" s="124" t="s">
        <v>3973</v>
      </c>
      <c r="D1776" s="125"/>
      <c r="E1776" s="126">
        <v>1.12</v>
      </c>
      <c r="F1776" s="127"/>
      <c r="G1776" s="127"/>
      <c r="H1776" s="127"/>
      <c r="I1776" s="128"/>
      <c r="K1776" s="105" t="str">
        <f>IFERROR(__xludf.DUMMYFUNCTION("if(A1776="""","""",substitute(SUBSTITUTE(index(importhtml(""http://finviz.com/quote.ashx?t=""&amp;A1776,""table"",10),7,2),""*"",""""),""-"",""0.00""))"),"Loading...")</f>
        <v>Loading...</v>
      </c>
      <c r="L1776" s="129">
        <v>1.00642524E8</v>
      </c>
      <c r="M1776" s="99">
        <v>1.02</v>
      </c>
    </row>
    <row r="1777">
      <c r="A1777" s="122" t="s">
        <v>3974</v>
      </c>
      <c r="B1777" s="123">
        <v>1874474.0</v>
      </c>
      <c r="C1777" s="124" t="s">
        <v>3975</v>
      </c>
      <c r="D1777" s="125"/>
      <c r="E1777" s="126">
        <v>1.12</v>
      </c>
      <c r="F1777" s="127"/>
      <c r="G1777" s="127"/>
      <c r="H1777" s="127"/>
      <c r="I1777" s="128"/>
      <c r="K1777" s="105" t="str">
        <f>IFERROR(__xludf.DUMMYFUNCTION("if(A1777="""","""",substitute(SUBSTITUTE(index(importhtml(""http://finviz.com/quote.ashx?t=""&amp;A1777,""table"",10),7,2),""*"",""""),""-"",""0.00""))"),"Loading...")</f>
        <v>Loading...</v>
      </c>
      <c r="L1777" s="129">
        <v>3.03531985E8</v>
      </c>
      <c r="M1777" s="99" t="str">
        <f>IFERROR(__xludf.DUMMYFUNCTION("GOOGLEFINANCE(A1777,""beta"")"),"#N/A")</f>
        <v>#N/A</v>
      </c>
    </row>
    <row r="1778">
      <c r="A1778" s="122" t="s">
        <v>3976</v>
      </c>
      <c r="B1778" s="123">
        <v>1807389.0</v>
      </c>
      <c r="C1778" s="124" t="s">
        <v>3977</v>
      </c>
      <c r="D1778" s="125"/>
      <c r="E1778" s="126">
        <v>1.13</v>
      </c>
      <c r="F1778" s="127"/>
      <c r="G1778" s="127"/>
      <c r="H1778" s="127"/>
      <c r="I1778" s="128"/>
      <c r="K1778" s="105" t="str">
        <f>IFERROR(__xludf.DUMMYFUNCTION("if(A1778="""","""",substitute(SUBSTITUTE(index(importhtml(""http://finviz.com/quote.ashx?t=""&amp;A1778,""table"",10),7,2),""*"",""""),""-"",""0.00""))"),"Loading...")</f>
        <v>Loading...</v>
      </c>
      <c r="L1778" s="129">
        <v>2756112.0</v>
      </c>
      <c r="M1778" s="99">
        <f>IFERROR(__xludf.DUMMYFUNCTION("GOOGLEFINANCE(A1778,""beta"")"),1.74)</f>
        <v>1.74</v>
      </c>
    </row>
    <row r="1779">
      <c r="A1779" s="122" t="s">
        <v>3978</v>
      </c>
      <c r="B1779" s="123">
        <v>1794783.0</v>
      </c>
      <c r="C1779" s="124" t="s">
        <v>3979</v>
      </c>
      <c r="D1779" s="125"/>
      <c r="E1779" s="126">
        <v>1.13</v>
      </c>
      <c r="F1779" s="127"/>
      <c r="G1779" s="127"/>
      <c r="H1779" s="127"/>
      <c r="I1779" s="128"/>
      <c r="K1779" s="105" t="str">
        <f>IFERROR(__xludf.DUMMYFUNCTION("if(A1779="""","""",substitute(SUBSTITUTE(index(importhtml(""http://finviz.com/quote.ashx?t=""&amp;A1779,""table"",10),7,2),""*"",""""),""-"",""0.00""))"),"Loading...")</f>
        <v>Loading...</v>
      </c>
      <c r="L1779" s="129">
        <v>1.89538289E8</v>
      </c>
      <c r="M1779" s="99">
        <v>0.43</v>
      </c>
    </row>
    <row r="1780">
      <c r="A1780" s="122" t="s">
        <v>3980</v>
      </c>
      <c r="B1780" s="123">
        <v>1851860.0</v>
      </c>
      <c r="C1780" s="124" t="s">
        <v>3981</v>
      </c>
      <c r="D1780" s="125"/>
      <c r="E1780" s="126">
        <v>1.14</v>
      </c>
      <c r="F1780" s="127"/>
      <c r="G1780" s="127"/>
      <c r="H1780" s="127"/>
      <c r="I1780" s="128"/>
      <c r="K1780" s="105" t="str">
        <f>IFERROR(__xludf.DUMMYFUNCTION("if(A1780="""","""",substitute(SUBSTITUTE(index(importhtml(""http://finviz.com/quote.ashx?t=""&amp;A1780,""table"",10),7,2),""*"",""""),""-"",""0.00""))"),"Loading...")</f>
        <v>Loading...</v>
      </c>
      <c r="L1780" s="129">
        <v>907877.0</v>
      </c>
      <c r="M1780" s="99">
        <f>IFERROR(__xludf.DUMMYFUNCTION("GOOGLEFINANCE(A1780,""beta"")"),1.75)</f>
        <v>1.75</v>
      </c>
    </row>
    <row r="1781">
      <c r="A1781" s="122" t="s">
        <v>3982</v>
      </c>
      <c r="B1781" s="123">
        <v>1669368.0</v>
      </c>
      <c r="C1781" s="124" t="s">
        <v>3983</v>
      </c>
      <c r="D1781" s="125"/>
      <c r="E1781" s="126">
        <v>1.14</v>
      </c>
      <c r="F1781" s="127"/>
      <c r="G1781" s="127"/>
      <c r="H1781" s="127"/>
      <c r="I1781" s="128"/>
      <c r="K1781" s="105" t="str">
        <f>IFERROR(__xludf.DUMMYFUNCTION("if(A1781="""","""",substitute(SUBSTITUTE(index(importhtml(""http://finviz.com/quote.ashx?t=""&amp;A1781,""table"",10),7,2),""*"",""""),""-"",""0.00""))"),"Loading...")</f>
        <v>Loading...</v>
      </c>
      <c r="L1781" s="129">
        <v>1.170478E7</v>
      </c>
      <c r="M1781" s="99" t="str">
        <f>IFERROR(__xludf.DUMMYFUNCTION("GOOGLEFINANCE(A1781,""beta"")"),"#N/A")</f>
        <v>#N/A</v>
      </c>
    </row>
    <row r="1782">
      <c r="A1782" s="122" t="s">
        <v>3984</v>
      </c>
      <c r="B1782" s="123">
        <v>1379006.0</v>
      </c>
      <c r="C1782" s="124" t="s">
        <v>3985</v>
      </c>
      <c r="D1782" s="125"/>
      <c r="E1782" s="126">
        <v>1.14</v>
      </c>
      <c r="F1782" s="127"/>
      <c r="G1782" s="127"/>
      <c r="H1782" s="127"/>
      <c r="I1782" s="128"/>
      <c r="K1782" s="105" t="str">
        <f>IFERROR(__xludf.DUMMYFUNCTION("if(A1782="""","""",substitute(SUBSTITUTE(index(importhtml(""http://finviz.com/quote.ashx?t=""&amp;A1782,""table"",10),7,2),""*"",""""),""-"",""0.00""))"),"Loading...")</f>
        <v>Loading...</v>
      </c>
      <c r="L1782" s="129">
        <v>1.3390439E7</v>
      </c>
      <c r="M1782" s="99">
        <v>0.68</v>
      </c>
    </row>
    <row r="1783">
      <c r="A1783" s="122" t="s">
        <v>3986</v>
      </c>
      <c r="B1783" s="123">
        <v>1829427.0</v>
      </c>
      <c r="C1783" s="124" t="s">
        <v>3987</v>
      </c>
      <c r="D1783" s="125"/>
      <c r="E1783" s="126">
        <v>1.14</v>
      </c>
      <c r="F1783" s="127"/>
      <c r="G1783" s="127"/>
      <c r="H1783" s="127"/>
      <c r="I1783" s="128"/>
      <c r="K1783" s="105" t="str">
        <f>IFERROR(__xludf.DUMMYFUNCTION("if(A1783="""","""",substitute(SUBSTITUTE(index(importhtml(""http://finviz.com/quote.ashx?t=""&amp;A1783,""table"",10),7,2),""*"",""""),""-"",""0.00""))"),"Loading...")</f>
        <v>Loading...</v>
      </c>
      <c r="L1783" s="129">
        <v>2.3751534E7</v>
      </c>
      <c r="M1783" s="99" t="str">
        <f>IFERROR(__xludf.DUMMYFUNCTION("GOOGLEFINANCE(A1783,""beta"")"),"#N/A")</f>
        <v>#N/A</v>
      </c>
    </row>
    <row r="1784">
      <c r="A1784" s="122" t="s">
        <v>3988</v>
      </c>
      <c r="B1784" s="123">
        <v>1643953.0</v>
      </c>
      <c r="C1784" s="124" t="s">
        <v>3989</v>
      </c>
      <c r="D1784" s="125"/>
      <c r="E1784" s="126">
        <v>1.14</v>
      </c>
      <c r="F1784" s="127"/>
      <c r="G1784" s="127"/>
      <c r="H1784" s="127"/>
      <c r="I1784" s="128"/>
      <c r="K1784" s="105" t="str">
        <f>IFERROR(__xludf.DUMMYFUNCTION("if(A1784="""","""",substitute(SUBSTITUTE(index(importhtml(""http://finviz.com/quote.ashx?t=""&amp;A1784,""table"",10),7,2),""*"",""""),""-"",""0.00""))"),"Loading...")</f>
        <v>Loading...</v>
      </c>
      <c r="L1784" s="129">
        <v>1.2055591E8</v>
      </c>
      <c r="M1784" s="99">
        <v>1.79</v>
      </c>
    </row>
    <row r="1785">
      <c r="A1785" s="122" t="s">
        <v>3990</v>
      </c>
      <c r="B1785" s="123">
        <v>1034842.0</v>
      </c>
      <c r="C1785" s="124" t="s">
        <v>3991</v>
      </c>
      <c r="D1785" s="125"/>
      <c r="E1785" s="126">
        <v>1.14</v>
      </c>
      <c r="F1785" s="127"/>
      <c r="G1785" s="127"/>
      <c r="H1785" s="127"/>
      <c r="I1785" s="128"/>
      <c r="K1785" s="105" t="str">
        <f>IFERROR(__xludf.DUMMYFUNCTION("if(A1785="""","""",substitute(SUBSTITUTE(index(importhtml(""http://finviz.com/quote.ashx?t=""&amp;A1785,""table"",10),7,2),""*"",""""),""-"",""0.00""))"),"Loading...")</f>
        <v>Loading...</v>
      </c>
      <c r="L1785" s="129">
        <v>1.98781227E8</v>
      </c>
      <c r="M1785" s="99">
        <v>0.9</v>
      </c>
    </row>
    <row r="1786">
      <c r="A1786" s="122" t="s">
        <v>3992</v>
      </c>
      <c r="B1786" s="123">
        <v>1596856.0</v>
      </c>
      <c r="C1786" s="124" t="s">
        <v>3993</v>
      </c>
      <c r="D1786" s="125"/>
      <c r="E1786" s="126">
        <v>1.15</v>
      </c>
      <c r="F1786" s="127"/>
      <c r="G1786" s="127"/>
      <c r="H1786" s="127"/>
      <c r="I1786" s="128"/>
      <c r="K1786" s="105" t="str">
        <f>IFERROR(__xludf.DUMMYFUNCTION("if(A1786="""","""",substitute(SUBSTITUTE(index(importhtml(""http://finviz.com/quote.ashx?t=""&amp;A1786,""table"",10),7,2),""*"",""""),""-"",""0.00""))"),"Loading...")</f>
        <v>Loading...</v>
      </c>
      <c r="L1786" s="129">
        <v>1.5851507E7</v>
      </c>
      <c r="M1786" s="99">
        <v>1.25</v>
      </c>
    </row>
    <row r="1787">
      <c r="A1787" s="122" t="s">
        <v>3994</v>
      </c>
      <c r="B1787" s="123">
        <v>896494.0</v>
      </c>
      <c r="C1787" s="124" t="s">
        <v>3995</v>
      </c>
      <c r="D1787" s="125"/>
      <c r="E1787" s="126">
        <v>1.15</v>
      </c>
      <c r="F1787" s="127"/>
      <c r="G1787" s="127"/>
      <c r="H1787" s="127"/>
      <c r="I1787" s="128"/>
      <c r="K1787" s="105" t="str">
        <f>IFERROR(__xludf.DUMMYFUNCTION("if(A1787="""","""",substitute(SUBSTITUTE(index(importhtml(""http://finviz.com/quote.ashx?t=""&amp;A1787,""table"",10),7,2),""*"",""""),""-"",""0.00""))"),"Loading...")</f>
        <v>Loading...</v>
      </c>
      <c r="L1787" s="129">
        <v>2.6806487E7</v>
      </c>
      <c r="M1787" s="99">
        <v>0.53</v>
      </c>
    </row>
    <row r="1788">
      <c r="A1788" s="122" t="s">
        <v>3996</v>
      </c>
      <c r="B1788" s="123">
        <v>1129928.0</v>
      </c>
      <c r="C1788" s="124" t="s">
        <v>3997</v>
      </c>
      <c r="D1788" s="125"/>
      <c r="E1788" s="126">
        <v>1.15</v>
      </c>
      <c r="F1788" s="127"/>
      <c r="G1788" s="127"/>
      <c r="H1788" s="127"/>
      <c r="I1788" s="128"/>
      <c r="K1788" s="105" t="str">
        <f>IFERROR(__xludf.DUMMYFUNCTION("if(A1788="""","""",substitute(SUBSTITUTE(index(importhtml(""http://finviz.com/quote.ashx?t=""&amp;A1788,""table"",10),7,2),""*"",""""),""-"",""0.00""))"),"Loading...")</f>
        <v>Loading...</v>
      </c>
      <c r="L1788" s="129">
        <v>1.14502217E8</v>
      </c>
      <c r="M1788" s="99">
        <v>1.97</v>
      </c>
    </row>
    <row r="1789">
      <c r="A1789" s="122" t="s">
        <v>3998</v>
      </c>
      <c r="B1789" s="123">
        <v>1898601.0</v>
      </c>
      <c r="C1789" s="124" t="s">
        <v>3999</v>
      </c>
      <c r="D1789" s="125"/>
      <c r="E1789" s="126">
        <v>1.15</v>
      </c>
      <c r="F1789" s="127"/>
      <c r="G1789" s="127"/>
      <c r="H1789" s="127"/>
      <c r="I1789" s="128"/>
      <c r="K1789" s="105" t="str">
        <f>IFERROR(__xludf.DUMMYFUNCTION("if(A1789="""","""",substitute(SUBSTITUTE(index(importhtml(""http://finviz.com/quote.ashx?t=""&amp;A1789,""table"",10),7,2),""*"",""""),""-"",""0.00""))"),"Loading...")</f>
        <v>Loading...</v>
      </c>
      <c r="L1789" s="129">
        <v>4.14535223E8</v>
      </c>
      <c r="M1789" s="99">
        <f>IFERROR(__xludf.DUMMYFUNCTION("GOOGLEFINANCE(A1789,""beta"")"),1.76)</f>
        <v>1.76</v>
      </c>
    </row>
    <row r="1790">
      <c r="A1790" s="122" t="s">
        <v>4000</v>
      </c>
      <c r="B1790" s="123">
        <v>1843586.0</v>
      </c>
      <c r="C1790" s="124" t="s">
        <v>4001</v>
      </c>
      <c r="D1790" s="125"/>
      <c r="E1790" s="126">
        <v>1.15</v>
      </c>
      <c r="F1790" s="127"/>
      <c r="G1790" s="127"/>
      <c r="H1790" s="127"/>
      <c r="I1790" s="128"/>
      <c r="K1790" s="105" t="str">
        <f>IFERROR(__xludf.DUMMYFUNCTION("if(A1790="""","""",substitute(SUBSTITUTE(index(importhtml(""http://finviz.com/quote.ashx?t=""&amp;A1790,""table"",10),7,2),""*"",""""),""-"",""0.00""))"),"Loading...")</f>
        <v>Loading...</v>
      </c>
      <c r="L1790" s="129">
        <v>6.8116787E8</v>
      </c>
      <c r="M1790" s="99">
        <f>IFERROR(__xludf.DUMMYFUNCTION("GOOGLEFINANCE(A1790,""beta"")"),1.95)</f>
        <v>1.95</v>
      </c>
    </row>
    <row r="1791">
      <c r="A1791" s="122" t="s">
        <v>4002</v>
      </c>
      <c r="B1791" s="123">
        <v>1768126.0</v>
      </c>
      <c r="C1791" s="124" t="s">
        <v>4003</v>
      </c>
      <c r="D1791" s="125"/>
      <c r="E1791" s="126">
        <v>1.15</v>
      </c>
      <c r="F1791" s="127"/>
      <c r="G1791" s="127"/>
      <c r="H1791" s="127"/>
      <c r="I1791" s="128"/>
      <c r="K1791" s="105" t="str">
        <f>IFERROR(__xludf.DUMMYFUNCTION("if(A1791="""","""",substitute(SUBSTITUTE(index(importhtml(""http://finviz.com/quote.ashx?t=""&amp;A1791,""table"",10),7,2),""*"",""""),""-"",""0.00""))"),"Loading...")</f>
        <v>Loading...</v>
      </c>
      <c r="L1791" s="129" t="e">
        <v>#N/A</v>
      </c>
      <c r="M1791" s="99" t="str">
        <f>IFERROR(__xludf.DUMMYFUNCTION("GOOGLEFINANCE(A1791,""beta"")"),"#N/A")</f>
        <v>#N/A</v>
      </c>
    </row>
    <row r="1792">
      <c r="A1792" s="122" t="s">
        <v>4004</v>
      </c>
      <c r="B1792" s="123">
        <v>1716338.0</v>
      </c>
      <c r="C1792" s="124" t="s">
        <v>4005</v>
      </c>
      <c r="D1792" s="125"/>
      <c r="E1792" s="126">
        <v>1.16</v>
      </c>
      <c r="F1792" s="127"/>
      <c r="G1792" s="127"/>
      <c r="H1792" s="127"/>
      <c r="I1792" s="128"/>
      <c r="K1792" s="55" t="s">
        <v>1034</v>
      </c>
      <c r="L1792" s="129">
        <v>1.6811345E7</v>
      </c>
      <c r="M1792" s="99">
        <v>0.38</v>
      </c>
    </row>
    <row r="1793">
      <c r="A1793" s="122" t="s">
        <v>4006</v>
      </c>
      <c r="B1793" s="123">
        <v>1141284.0</v>
      </c>
      <c r="C1793" s="124" t="s">
        <v>4007</v>
      </c>
      <c r="D1793" s="125"/>
      <c r="E1793" s="126">
        <v>1.16</v>
      </c>
      <c r="F1793" s="127"/>
      <c r="G1793" s="127"/>
      <c r="H1793" s="127"/>
      <c r="I1793" s="128"/>
      <c r="K1793" s="105" t="str">
        <f>IFERROR(__xludf.DUMMYFUNCTION("if(A1793="""","""",substitute(SUBSTITUTE(index(importhtml(""http://finviz.com/quote.ashx?t=""&amp;A1793,""table"",10),7,2),""*"",""""),""-"",""0.00""))"),"Loading...")</f>
        <v>Loading...</v>
      </c>
      <c r="L1793" s="129">
        <v>3500222.0</v>
      </c>
      <c r="M1793" s="99">
        <f>IFERROR(__xludf.DUMMYFUNCTION("GOOGLEFINANCE(A1793,""beta"")"),1.91)</f>
        <v>1.91</v>
      </c>
    </row>
    <row r="1794">
      <c r="A1794" s="122" t="s">
        <v>4008</v>
      </c>
      <c r="B1794" s="123">
        <v>1844392.0</v>
      </c>
      <c r="C1794" s="124" t="s">
        <v>4009</v>
      </c>
      <c r="D1794" s="125"/>
      <c r="E1794" s="126">
        <v>1.16</v>
      </c>
      <c r="F1794" s="127"/>
      <c r="G1794" s="127"/>
      <c r="H1794" s="127"/>
      <c r="I1794" s="128"/>
      <c r="K1794" s="105" t="str">
        <f>IFERROR(__xludf.DUMMYFUNCTION("if(A1794="""","""",substitute(SUBSTITUTE(index(importhtml(""http://finviz.com/quote.ashx?t=""&amp;A1794,""table"",10),7,2),""*"",""""),""-"",""0.00""))"),"Loading...")</f>
        <v>Loading...</v>
      </c>
      <c r="L1794" s="129">
        <v>9060321.0</v>
      </c>
      <c r="M1794" s="99">
        <f>IFERROR(__xludf.DUMMYFUNCTION("GOOGLEFINANCE(A1794,""beta"")"),4.6)</f>
        <v>4.6</v>
      </c>
    </row>
    <row r="1795">
      <c r="A1795" s="122" t="s">
        <v>4010</v>
      </c>
      <c r="B1795" s="123">
        <v>1893448.0</v>
      </c>
      <c r="C1795" s="124" t="s">
        <v>4011</v>
      </c>
      <c r="D1795" s="125"/>
      <c r="E1795" s="126">
        <v>1.16</v>
      </c>
      <c r="F1795" s="127"/>
      <c r="G1795" s="127"/>
      <c r="H1795" s="127"/>
      <c r="I1795" s="128"/>
      <c r="K1795" s="105" t="str">
        <f>IFERROR(__xludf.DUMMYFUNCTION("if(A1795="""","""",substitute(SUBSTITUTE(index(importhtml(""http://finviz.com/quote.ashx?t=""&amp;A1795,""table"",10),7,2),""*"",""""),""-"",""0.00""))"),"Loading...")</f>
        <v>Loading...</v>
      </c>
      <c r="L1795" s="129">
        <v>9138294.0</v>
      </c>
      <c r="M1795" s="99">
        <f>IFERROR(__xludf.DUMMYFUNCTION("GOOGLEFINANCE(A1795,""beta"")"),0.65)</f>
        <v>0.65</v>
      </c>
    </row>
    <row r="1796">
      <c r="A1796" s="122" t="s">
        <v>4012</v>
      </c>
      <c r="B1796" s="123">
        <v>1828673.0</v>
      </c>
      <c r="C1796" s="124" t="s">
        <v>4013</v>
      </c>
      <c r="D1796" s="125"/>
      <c r="E1796" s="126">
        <v>1.16</v>
      </c>
      <c r="F1796" s="127"/>
      <c r="G1796" s="127"/>
      <c r="H1796" s="127"/>
      <c r="I1796" s="128"/>
      <c r="K1796" s="105" t="str">
        <f>IFERROR(__xludf.DUMMYFUNCTION("if(A1796="""","""",substitute(SUBSTITUTE(index(importhtml(""http://finviz.com/quote.ashx?t=""&amp;A1796,""table"",10),7,2),""*"",""""),""-"",""0.00""))"),"Loading...")</f>
        <v>Loading...</v>
      </c>
      <c r="L1796" s="129">
        <v>4.1730488E7</v>
      </c>
      <c r="M1796" s="99">
        <f>IFERROR(__xludf.DUMMYFUNCTION("GOOGLEFINANCE(A1796,""beta"")"),0.63)</f>
        <v>0.63</v>
      </c>
    </row>
    <row r="1797">
      <c r="A1797" s="122" t="s">
        <v>4014</v>
      </c>
      <c r="B1797" s="123">
        <v>1803914.0</v>
      </c>
      <c r="C1797" s="124" t="s">
        <v>4015</v>
      </c>
      <c r="D1797" s="125"/>
      <c r="E1797" s="126">
        <v>1.16</v>
      </c>
      <c r="F1797" s="127"/>
      <c r="G1797" s="127"/>
      <c r="H1797" s="127"/>
      <c r="I1797" s="128"/>
      <c r="K1797" s="105" t="str">
        <f>IFERROR(__xludf.DUMMYFUNCTION("if(A1797="""","""",substitute(SUBSTITUTE(index(importhtml(""http://finviz.com/quote.ashx?t=""&amp;A1797,""table"",10),7,2),""*"",""""),""-"",""0.00""))"),"Loading...")</f>
        <v>Loading...</v>
      </c>
      <c r="L1797" s="129">
        <v>8.5911662E7</v>
      </c>
      <c r="M1797" s="99">
        <v>2.5</v>
      </c>
    </row>
    <row r="1798">
      <c r="A1798" s="122" t="s">
        <v>4016</v>
      </c>
      <c r="B1798" s="123">
        <v>1554394.0</v>
      </c>
      <c r="C1798" s="124" t="s">
        <v>4017</v>
      </c>
      <c r="D1798" s="125"/>
      <c r="E1798" s="126">
        <v>1.16</v>
      </c>
      <c r="F1798" s="127"/>
      <c r="G1798" s="127"/>
      <c r="H1798" s="127"/>
      <c r="I1798" s="128"/>
      <c r="K1798" s="105" t="str">
        <f>IFERROR(__xludf.DUMMYFUNCTION("if(A1798="""","""",substitute(SUBSTITUTE(index(importhtml(""http://finviz.com/quote.ashx?t=""&amp;A1798,""table"",10),7,2),""*"",""""),""-"",""0.00""))"),"Loading...")</f>
        <v>Loading...</v>
      </c>
      <c r="L1798" s="129">
        <v>5.7348267242E10</v>
      </c>
      <c r="M1798" s="99">
        <f>IFERROR(__xludf.DUMMYFUNCTION("GOOGLEFINANCE(A1798,""beta"")"),0.74)</f>
        <v>0.74</v>
      </c>
    </row>
    <row r="1799">
      <c r="A1799" s="122" t="s">
        <v>4018</v>
      </c>
      <c r="B1799" s="123">
        <v>1029125.0</v>
      </c>
      <c r="C1799" s="124" t="s">
        <v>4019</v>
      </c>
      <c r="D1799" s="125"/>
      <c r="E1799" s="126">
        <v>1.17</v>
      </c>
      <c r="F1799" s="127"/>
      <c r="G1799" s="127"/>
      <c r="H1799" s="127"/>
      <c r="I1799" s="128"/>
      <c r="K1799" s="105" t="str">
        <f>IFERROR(__xludf.DUMMYFUNCTION("if(A1799="""","""",substitute(SUBSTITUTE(index(importhtml(""http://finviz.com/quote.ashx?t=""&amp;A1799,""table"",10),7,2),""*"",""""),""-"",""0.00""))"),"#N/A")</f>
        <v>#N/A</v>
      </c>
      <c r="L1799" s="129">
        <v>5680637.0</v>
      </c>
      <c r="M1799" s="99">
        <v>1.03</v>
      </c>
    </row>
    <row r="1800">
      <c r="A1800" s="122" t="s">
        <v>4020</v>
      </c>
      <c r="B1800" s="123">
        <v>885462.0</v>
      </c>
      <c r="C1800" s="124" t="s">
        <v>4021</v>
      </c>
      <c r="D1800" s="125"/>
      <c r="E1800" s="126">
        <v>1.17</v>
      </c>
      <c r="F1800" s="127"/>
      <c r="G1800" s="127"/>
      <c r="H1800" s="127"/>
      <c r="I1800" s="128"/>
      <c r="K1800" s="105" t="str">
        <f>IFERROR(__xludf.DUMMYFUNCTION("if(A1800="""","""",substitute(SUBSTITUTE(index(importhtml(""http://finviz.com/quote.ashx?t=""&amp;A1800,""table"",10),7,2),""*"",""""),""-"",""0.00""))"),"Loading...")</f>
        <v>Loading...</v>
      </c>
      <c r="L1800" s="129">
        <v>1.2205345E7</v>
      </c>
      <c r="M1800" s="99">
        <v>0.25</v>
      </c>
    </row>
    <row r="1801">
      <c r="A1801" s="122" t="s">
        <v>4022</v>
      </c>
      <c r="B1801" s="123">
        <v>1692415.0</v>
      </c>
      <c r="C1801" s="124" t="s">
        <v>4023</v>
      </c>
      <c r="D1801" s="125"/>
      <c r="E1801" s="126">
        <v>1.17</v>
      </c>
      <c r="F1801" s="127"/>
      <c r="G1801" s="127"/>
      <c r="H1801" s="127"/>
      <c r="I1801" s="128"/>
      <c r="K1801" s="105" t="str">
        <f>IFERROR(__xludf.DUMMYFUNCTION("if(A1801="""","""",substitute(SUBSTITUTE(index(importhtml(""http://finviz.com/quote.ashx?t=""&amp;A1801,""table"",10),7,2),""*"",""""),""-"",""0.00""))"),"Loading...")</f>
        <v>Loading...</v>
      </c>
      <c r="L1801" s="129">
        <v>3.5779651E7</v>
      </c>
      <c r="M1801" s="99">
        <v>-0.68</v>
      </c>
    </row>
    <row r="1802">
      <c r="A1802" s="122" t="s">
        <v>4024</v>
      </c>
      <c r="B1802" s="123">
        <v>1566243.0</v>
      </c>
      <c r="C1802" s="124" t="s">
        <v>4025</v>
      </c>
      <c r="D1802" s="125"/>
      <c r="E1802" s="126">
        <v>1.17</v>
      </c>
      <c r="F1802" s="127"/>
      <c r="G1802" s="127"/>
      <c r="H1802" s="127"/>
      <c r="I1802" s="128"/>
      <c r="K1802" s="105" t="str">
        <f>IFERROR(__xludf.DUMMYFUNCTION("if(A1802="""","""",substitute(SUBSTITUTE(index(importhtml(""http://finviz.com/quote.ashx?t=""&amp;A1802,""table"",10),7,2),""*"",""""),""-"",""0.00""))"),"Loading...")</f>
        <v>Loading...</v>
      </c>
      <c r="L1802" s="129">
        <v>1.38916791E8</v>
      </c>
      <c r="M1802" s="99">
        <v>2.59</v>
      </c>
    </row>
    <row r="1803">
      <c r="A1803" s="122" t="s">
        <v>4026</v>
      </c>
      <c r="B1803" s="123">
        <v>1816233.0</v>
      </c>
      <c r="C1803" s="124" t="s">
        <v>4027</v>
      </c>
      <c r="D1803" s="125"/>
      <c r="E1803" s="126">
        <v>1.17</v>
      </c>
      <c r="F1803" s="127"/>
      <c r="G1803" s="127"/>
      <c r="H1803" s="127"/>
      <c r="I1803" s="128"/>
      <c r="K1803" s="105" t="str">
        <f>IFERROR(__xludf.DUMMYFUNCTION("if(A1803="""","""",substitute(SUBSTITUTE(index(importhtml(""http://finviz.com/quote.ashx?t=""&amp;A1803,""table"",10),7,2),""*"",""""),""-"",""0.00""))"),"#N/A")</f>
        <v>#N/A</v>
      </c>
      <c r="L1803" s="129">
        <v>4.1233583E8</v>
      </c>
      <c r="M1803" s="99">
        <v>0.35</v>
      </c>
    </row>
    <row r="1804">
      <c r="A1804" s="122" t="s">
        <v>4028</v>
      </c>
      <c r="B1804" s="123">
        <v>1268896.0</v>
      </c>
      <c r="C1804" s="124" t="s">
        <v>4029</v>
      </c>
      <c r="D1804" s="125"/>
      <c r="E1804" s="126">
        <v>1.17</v>
      </c>
      <c r="F1804" s="137"/>
      <c r="G1804" s="136"/>
      <c r="H1804" s="127"/>
      <c r="I1804" s="128"/>
      <c r="K1804" s="105" t="str">
        <f>IFERROR(__xludf.DUMMYFUNCTION("if(A1804="""","""",substitute(SUBSTITUTE(index(importhtml(""http://finviz.com/quote.ashx?t=""&amp;A1804,""table"",10),7,2),""*"",""""),""-"",""0.00""))"),"Loading...")</f>
        <v>Loading...</v>
      </c>
      <c r="L1804" s="129">
        <v>6.95522027177E11</v>
      </c>
      <c r="M1804" s="99">
        <v>0.57</v>
      </c>
    </row>
    <row r="1805">
      <c r="A1805" s="122" t="s">
        <v>4030</v>
      </c>
      <c r="B1805" s="123">
        <v>1781193.0</v>
      </c>
      <c r="C1805" s="124" t="s">
        <v>4031</v>
      </c>
      <c r="D1805" s="125"/>
      <c r="E1805" s="126">
        <v>1.18</v>
      </c>
      <c r="F1805" s="127"/>
      <c r="G1805" s="127"/>
      <c r="H1805" s="127"/>
      <c r="I1805" s="128"/>
      <c r="K1805" s="55" t="s">
        <v>1034</v>
      </c>
      <c r="L1805" s="129">
        <v>7291381.0</v>
      </c>
      <c r="M1805" s="99">
        <v>0.62</v>
      </c>
    </row>
    <row r="1806">
      <c r="A1806" s="122" t="s">
        <v>4032</v>
      </c>
      <c r="B1806" s="123">
        <v>1462223.0</v>
      </c>
      <c r="C1806" s="124" t="s">
        <v>4033</v>
      </c>
      <c r="D1806" s="125"/>
      <c r="E1806" s="126">
        <v>1.18</v>
      </c>
      <c r="F1806" s="127"/>
      <c r="G1806" s="127"/>
      <c r="H1806" s="127"/>
      <c r="I1806" s="128"/>
      <c r="K1806" s="105" t="str">
        <f>IFERROR(__xludf.DUMMYFUNCTION("if(A1806="""","""",substitute(SUBSTITUTE(index(importhtml(""http://finviz.com/quote.ashx?t=""&amp;A1806,""table"",10),7,2),""*"",""""),""-"",""0.00""))"),"Loading...")</f>
        <v>Loading...</v>
      </c>
      <c r="L1806" s="129">
        <v>1692003.0</v>
      </c>
      <c r="M1806" s="99">
        <v>0.87</v>
      </c>
    </row>
    <row r="1807">
      <c r="A1807" s="122" t="s">
        <v>4034</v>
      </c>
      <c r="B1807" s="123">
        <v>1597846.0</v>
      </c>
      <c r="C1807" s="124" t="s">
        <v>4035</v>
      </c>
      <c r="D1807" s="125"/>
      <c r="E1807" s="126">
        <v>1.18</v>
      </c>
      <c r="F1807" s="127"/>
      <c r="G1807" s="127"/>
      <c r="H1807" s="127"/>
      <c r="I1807" s="128"/>
      <c r="K1807" s="105" t="str">
        <f>IFERROR(__xludf.DUMMYFUNCTION("if(A1807="""","""",substitute(SUBSTITUTE(index(importhtml(""http://finviz.com/quote.ashx?t=""&amp;A1807,""table"",10),7,2),""*"",""""),""-"",""0.00""))"),"Loading...")</f>
        <v>Loading...</v>
      </c>
      <c r="L1807" s="129">
        <v>8971281.0</v>
      </c>
      <c r="M1807" s="99">
        <v>1.4</v>
      </c>
    </row>
    <row r="1808">
      <c r="A1808" s="122" t="s">
        <v>4036</v>
      </c>
      <c r="B1808" s="123">
        <v>1083220.0</v>
      </c>
      <c r="C1808" s="124" t="s">
        <v>4037</v>
      </c>
      <c r="D1808" s="125"/>
      <c r="E1808" s="126">
        <v>1.18</v>
      </c>
      <c r="F1808" s="127"/>
      <c r="G1808" s="127"/>
      <c r="H1808" s="127"/>
      <c r="I1808" s="128"/>
      <c r="K1808" s="105" t="str">
        <f>IFERROR(__xludf.DUMMYFUNCTION("if(A1808="""","""",substitute(SUBSTITUTE(index(importhtml(""http://finviz.com/quote.ashx?t=""&amp;A1808,""table"",10),7,2),""*"",""""),""-"",""0.00""))"),"Loading...")</f>
        <v>Loading...</v>
      </c>
      <c r="L1808" s="129">
        <v>2.3364057E7</v>
      </c>
      <c r="M1808" s="99">
        <v>1.57</v>
      </c>
    </row>
    <row r="1809">
      <c r="A1809" s="122" t="s">
        <v>4038</v>
      </c>
      <c r="B1809" s="123">
        <v>1088413.0</v>
      </c>
      <c r="C1809" s="124" t="s">
        <v>4039</v>
      </c>
      <c r="D1809" s="125"/>
      <c r="E1809" s="126">
        <v>1.18</v>
      </c>
      <c r="F1809" s="127"/>
      <c r="G1809" s="127"/>
      <c r="H1809" s="127"/>
      <c r="I1809" s="128"/>
      <c r="K1809" s="105" t="str">
        <f>IFERROR(__xludf.DUMMYFUNCTION("if(A1809="""","""",substitute(SUBSTITUTE(index(importhtml(""http://finviz.com/quote.ashx?t=""&amp;A1809,""table"",10),7,2),""*"",""""),""-"",""0.00""))"),"Loading...")</f>
        <v>Loading...</v>
      </c>
      <c r="L1809" s="129">
        <v>3.3258805E7</v>
      </c>
      <c r="M1809" s="99">
        <v>1.32</v>
      </c>
    </row>
    <row r="1810">
      <c r="A1810" s="122" t="s">
        <v>4040</v>
      </c>
      <c r="B1810" s="123">
        <v>1871149.0</v>
      </c>
      <c r="C1810" s="124" t="s">
        <v>4041</v>
      </c>
      <c r="D1810" s="125"/>
      <c r="E1810" s="126">
        <v>1.18</v>
      </c>
      <c r="F1810" s="127"/>
      <c r="G1810" s="127"/>
      <c r="H1810" s="127"/>
      <c r="I1810" s="128"/>
      <c r="K1810" s="105" t="str">
        <f>IFERROR(__xludf.DUMMYFUNCTION("if(A1810="""","""",substitute(SUBSTITUTE(index(importhtml(""http://finviz.com/quote.ashx?t=""&amp;A1810,""table"",10),7,2),""*"",""""),""-"",""0.00""))"),"Loading...")</f>
        <v>Loading...</v>
      </c>
      <c r="L1810" s="129">
        <v>3.9747354E7</v>
      </c>
      <c r="M1810" s="99" t="str">
        <f>IFERROR(__xludf.DUMMYFUNCTION("GOOGLEFINANCE(A1810,""beta"")"),"#N/A")</f>
        <v>#N/A</v>
      </c>
    </row>
    <row r="1811">
      <c r="A1811" s="122" t="s">
        <v>4042</v>
      </c>
      <c r="B1811" s="123">
        <v>1832511.0</v>
      </c>
      <c r="C1811" s="124" t="s">
        <v>4043</v>
      </c>
      <c r="D1811" s="125"/>
      <c r="E1811" s="126">
        <v>1.18</v>
      </c>
      <c r="F1811" s="127"/>
      <c r="G1811" s="127"/>
      <c r="H1811" s="127"/>
      <c r="I1811" s="128"/>
      <c r="K1811" s="105" t="str">
        <f>IFERROR(__xludf.DUMMYFUNCTION("if(A1811="""","""",substitute(SUBSTITUTE(index(importhtml(""http://finviz.com/quote.ashx?t=""&amp;A1811,""table"",10),7,2),""*"",""""),""-"",""0.00""))"),"Loading...")</f>
        <v>Loading...</v>
      </c>
      <c r="L1811" s="129">
        <v>3.69444767E8</v>
      </c>
      <c r="M1811" s="99">
        <f>IFERROR(__xludf.DUMMYFUNCTION("GOOGLEFINANCE(A1811,""beta"")"),0.84)</f>
        <v>0.84</v>
      </c>
    </row>
    <row r="1812">
      <c r="A1812" s="122" t="s">
        <v>4044</v>
      </c>
      <c r="B1812" s="123">
        <v>1447221.0</v>
      </c>
      <c r="C1812" s="124" t="s">
        <v>4045</v>
      </c>
      <c r="D1812" s="125"/>
      <c r="E1812" s="126">
        <v>1.18</v>
      </c>
      <c r="F1812" s="127"/>
      <c r="G1812" s="127"/>
      <c r="H1812" s="127"/>
      <c r="I1812" s="128"/>
      <c r="K1812" s="105" t="str">
        <f>IFERROR(__xludf.DUMMYFUNCTION("if(A1812="""","""",substitute(SUBSTITUTE(index(importhtml(""http://finviz.com/quote.ashx?t=""&amp;A1812,""table"",10),7,2),""*"",""""),""-"",""0.00""))"),"Loading...")</f>
        <v>Loading...</v>
      </c>
      <c r="L1812" s="129">
        <v>2.153369134E9</v>
      </c>
      <c r="M1812" s="99">
        <v>1.52</v>
      </c>
    </row>
    <row r="1813">
      <c r="A1813" s="122" t="s">
        <v>4046</v>
      </c>
      <c r="B1813" s="123">
        <v>1560293.0</v>
      </c>
      <c r="C1813" s="124" t="s">
        <v>4047</v>
      </c>
      <c r="D1813" s="125"/>
      <c r="E1813" s="126">
        <v>1.19</v>
      </c>
      <c r="F1813" s="127"/>
      <c r="G1813" s="127"/>
      <c r="H1813" s="127"/>
      <c r="I1813" s="128"/>
      <c r="K1813" s="105" t="str">
        <f>IFERROR(__xludf.DUMMYFUNCTION("if(A1813="""","""",substitute(SUBSTITUTE(index(importhtml(""http://finviz.com/quote.ashx?t=""&amp;A1813,""table"",10),7,2),""*"",""""),""-"",""0.00""))"),"Loading...")</f>
        <v>Loading...</v>
      </c>
      <c r="L1813" s="129">
        <v>2940794.0</v>
      </c>
      <c r="M1813" s="99">
        <f>IFERROR(__xludf.DUMMYFUNCTION("GOOGLEFINANCE(A1813,""beta"")"),1.28)</f>
        <v>1.28</v>
      </c>
    </row>
    <row r="1814">
      <c r="A1814" s="122" t="s">
        <v>4048</v>
      </c>
      <c r="B1814" s="123">
        <v>1775194.0</v>
      </c>
      <c r="C1814" s="124" t="s">
        <v>4049</v>
      </c>
      <c r="D1814" s="125"/>
      <c r="E1814" s="126">
        <v>1.19</v>
      </c>
      <c r="F1814" s="127"/>
      <c r="G1814" s="127"/>
      <c r="H1814" s="127"/>
      <c r="I1814" s="128"/>
      <c r="K1814" s="105" t="str">
        <f>IFERROR(__xludf.DUMMYFUNCTION("if(A1814="""","""",substitute(SUBSTITUTE(index(importhtml(""http://finviz.com/quote.ashx?t=""&amp;A1814,""table"",10),7,2),""*"",""""),""-"",""0.00""))"),"Loading...")</f>
        <v>Loading...</v>
      </c>
      <c r="L1814" s="129">
        <v>2.4165176E7</v>
      </c>
      <c r="M1814" s="99">
        <f>IFERROR(__xludf.DUMMYFUNCTION("GOOGLEFINANCE(A1814,""beta"")"),-0.56)</f>
        <v>-0.56</v>
      </c>
    </row>
    <row r="1815">
      <c r="A1815" s="122" t="s">
        <v>4050</v>
      </c>
      <c r="B1815" s="123">
        <v>1720446.0</v>
      </c>
      <c r="C1815" s="124" t="s">
        <v>4051</v>
      </c>
      <c r="D1815" s="125"/>
      <c r="E1815" s="126">
        <v>1.19</v>
      </c>
      <c r="F1815" s="127"/>
      <c r="G1815" s="127"/>
      <c r="H1815" s="127"/>
      <c r="I1815" s="128"/>
      <c r="K1815" s="105" t="str">
        <f>IFERROR(__xludf.DUMMYFUNCTION("if(A1815="""","""",substitute(SUBSTITUTE(index(importhtml(""http://finviz.com/quote.ashx?t=""&amp;A1815,""table"",10),7,2),""*"",""""),""-"",""0.00""))"),"Loading...")</f>
        <v>Loading...</v>
      </c>
      <c r="L1815" s="129">
        <v>7.263533E7</v>
      </c>
      <c r="M1815" s="99">
        <v>0.9</v>
      </c>
    </row>
    <row r="1816">
      <c r="A1816" s="122" t="s">
        <v>4052</v>
      </c>
      <c r="B1816" s="123">
        <v>897448.0</v>
      </c>
      <c r="C1816" s="124" t="s">
        <v>4053</v>
      </c>
      <c r="D1816" s="125"/>
      <c r="E1816" s="126">
        <v>1.19</v>
      </c>
      <c r="F1816" s="127"/>
      <c r="G1816" s="127"/>
      <c r="H1816" s="127"/>
      <c r="I1816" s="128"/>
      <c r="K1816" s="105" t="str">
        <f>IFERROR(__xludf.DUMMYFUNCTION("if(A1816="""","""",substitute(SUBSTITUTE(index(importhtml(""http://finviz.com/quote.ashx?t=""&amp;A1816,""table"",10),7,2),""*"",""""),""-"",""0.00""))"),"Loading...")</f>
        <v>Loading...</v>
      </c>
      <c r="L1816" s="129">
        <v>4.85867265E8</v>
      </c>
      <c r="M1816" s="99">
        <f>IFERROR(__xludf.DUMMYFUNCTION("GOOGLEFINANCE(A1816,""beta"")"),0.68)</f>
        <v>0.68</v>
      </c>
    </row>
    <row r="1817">
      <c r="A1817" s="122" t="s">
        <v>4054</v>
      </c>
      <c r="B1817" s="123">
        <v>1872302.0</v>
      </c>
      <c r="C1817" s="124" t="s">
        <v>4055</v>
      </c>
      <c r="D1817" s="125"/>
      <c r="E1817" s="126">
        <v>1.2</v>
      </c>
      <c r="F1817" s="127"/>
      <c r="G1817" s="127"/>
      <c r="H1817" s="127"/>
      <c r="I1817" s="128"/>
      <c r="K1817" s="55" t="s">
        <v>1034</v>
      </c>
      <c r="L1817" s="129">
        <v>1.56830886E8</v>
      </c>
      <c r="M1817" s="99">
        <f>IFERROR(__xludf.DUMMYFUNCTION("GOOGLEFINANCE(A1817,""beta"")"),3.61)</f>
        <v>3.61</v>
      </c>
    </row>
    <row r="1818">
      <c r="A1818" s="122" t="s">
        <v>4056</v>
      </c>
      <c r="B1818" s="123">
        <v>1889823.0</v>
      </c>
      <c r="C1818" s="124" t="s">
        <v>4057</v>
      </c>
      <c r="D1818" s="125"/>
      <c r="E1818" s="126">
        <v>1.2</v>
      </c>
      <c r="F1818" s="127"/>
      <c r="G1818" s="127"/>
      <c r="H1818" s="127"/>
      <c r="I1818" s="128"/>
      <c r="K1818" s="105" t="str">
        <f>IFERROR(__xludf.DUMMYFUNCTION("if(A1818="""","""",substitute(SUBSTITUTE(index(importhtml(""http://finviz.com/quote.ashx?t=""&amp;A1818,""table"",10),7,2),""*"",""""),""-"",""0.00""))"),"Loading...")</f>
        <v>Loading...</v>
      </c>
      <c r="L1818" s="129">
        <v>8986849.0</v>
      </c>
      <c r="M1818" s="99">
        <v>4.52</v>
      </c>
    </row>
    <row r="1819">
      <c r="A1819" s="122" t="s">
        <v>4058</v>
      </c>
      <c r="B1819" s="123">
        <v>946563.0</v>
      </c>
      <c r="C1819" s="124" t="s">
        <v>4059</v>
      </c>
      <c r="D1819" s="125"/>
      <c r="E1819" s="126">
        <v>1.2</v>
      </c>
      <c r="F1819" s="127"/>
      <c r="G1819" s="127"/>
      <c r="H1819" s="127"/>
      <c r="I1819" s="128"/>
      <c r="K1819" s="105" t="str">
        <f>IFERROR(__xludf.DUMMYFUNCTION("if(A1819="""","""",substitute(SUBSTITUTE(index(importhtml(""http://finviz.com/quote.ashx?t=""&amp;A1819,""table"",10),7,2),""*"",""""),""-"",""0.00""))"),"Loading...")</f>
        <v>Loading...</v>
      </c>
      <c r="L1819" s="129">
        <v>3.5924581E7</v>
      </c>
      <c r="M1819" s="99">
        <v>2.13</v>
      </c>
    </row>
    <row r="1820">
      <c r="A1820" s="122" t="s">
        <v>4060</v>
      </c>
      <c r="B1820" s="123">
        <v>1707919.0</v>
      </c>
      <c r="C1820" s="124" t="s">
        <v>4061</v>
      </c>
      <c r="D1820" s="125"/>
      <c r="E1820" s="126">
        <v>1.2</v>
      </c>
      <c r="F1820" s="127"/>
      <c r="G1820" s="127"/>
      <c r="H1820" s="127"/>
      <c r="I1820" s="128"/>
      <c r="K1820" s="105" t="str">
        <f>IFERROR(__xludf.DUMMYFUNCTION("if(A1820="""","""",substitute(SUBSTITUTE(index(importhtml(""http://finviz.com/quote.ashx?t=""&amp;A1820,""table"",10),7,2),""*"",""""),""-"",""0.00""))"),"Loading...")</f>
        <v>Loading...</v>
      </c>
      <c r="L1820" s="129">
        <v>3.6533881E7</v>
      </c>
      <c r="M1820" s="99">
        <v>1.28</v>
      </c>
    </row>
    <row r="1821">
      <c r="A1821" s="122" t="s">
        <v>4062</v>
      </c>
      <c r="B1821" s="123">
        <v>1857030.0</v>
      </c>
      <c r="C1821" s="124" t="s">
        <v>4063</v>
      </c>
      <c r="D1821" s="125"/>
      <c r="E1821" s="126">
        <v>1.2</v>
      </c>
      <c r="F1821" s="127"/>
      <c r="G1821" s="127"/>
      <c r="H1821" s="127"/>
      <c r="I1821" s="128"/>
      <c r="K1821" s="105" t="str">
        <f>IFERROR(__xludf.DUMMYFUNCTION("if(A1821="""","""",substitute(SUBSTITUTE(index(importhtml(""http://finviz.com/quote.ashx?t=""&amp;A1821,""table"",10),7,2),""*"",""""),""-"",""0.00""))"),"Loading...")</f>
        <v>Loading...</v>
      </c>
      <c r="L1821" s="129">
        <v>5.7359306E7</v>
      </c>
      <c r="M1821" s="99">
        <v>1.63</v>
      </c>
    </row>
    <row r="1822">
      <c r="A1822" s="122" t="s">
        <v>4064</v>
      </c>
      <c r="B1822" s="123">
        <v>875729.0</v>
      </c>
      <c r="C1822" s="124" t="s">
        <v>4065</v>
      </c>
      <c r="D1822" s="125"/>
      <c r="E1822" s="126">
        <v>1.2</v>
      </c>
      <c r="F1822" s="127"/>
      <c r="G1822" s="127"/>
      <c r="H1822" s="127"/>
      <c r="I1822" s="128"/>
      <c r="K1822" s="105" t="str">
        <f>IFERROR(__xludf.DUMMYFUNCTION("if(A1822="""","""",substitute(SUBSTITUTE(index(importhtml(""http://finviz.com/quote.ashx?t=""&amp;A1822,""table"",10),7,2),""*"",""""),""-"",""0.00""))"),"Loading...")</f>
        <v>Loading...</v>
      </c>
      <c r="L1822" s="129">
        <v>5.9400662E7</v>
      </c>
      <c r="M1822" s="99">
        <v>0.03</v>
      </c>
    </row>
    <row r="1823">
      <c r="A1823" s="122" t="s">
        <v>4066</v>
      </c>
      <c r="B1823" s="123">
        <v>1828748.0</v>
      </c>
      <c r="C1823" s="124" t="s">
        <v>4067</v>
      </c>
      <c r="D1823" s="125"/>
      <c r="E1823" s="126">
        <v>1.2</v>
      </c>
      <c r="F1823" s="127"/>
      <c r="G1823" s="127"/>
      <c r="H1823" s="127"/>
      <c r="I1823" s="128"/>
      <c r="K1823" s="105" t="str">
        <f>IFERROR(__xludf.DUMMYFUNCTION("if(A1823="""","""",substitute(SUBSTITUTE(index(importhtml(""http://finviz.com/quote.ashx?t=""&amp;A1823,""table"",10),7,2),""*"",""""),""-"",""0.00""))"),"Loading...")</f>
        <v>Loading...</v>
      </c>
      <c r="L1823" s="129">
        <v>9.786221E7</v>
      </c>
      <c r="M1823" s="99">
        <f>IFERROR(__xludf.DUMMYFUNCTION("GOOGLEFINANCE(A1823,""beta"")"),5.43)</f>
        <v>5.43</v>
      </c>
    </row>
    <row r="1824">
      <c r="A1824" s="122" t="s">
        <v>4068</v>
      </c>
      <c r="B1824" s="123">
        <v>72444.0</v>
      </c>
      <c r="C1824" s="124" t="s">
        <v>4069</v>
      </c>
      <c r="D1824" s="125"/>
      <c r="E1824" s="126">
        <v>1.2</v>
      </c>
      <c r="F1824" s="127"/>
      <c r="G1824" s="127"/>
      <c r="H1824" s="127"/>
      <c r="I1824" s="128"/>
      <c r="K1824" s="105" t="str">
        <f>IFERROR(__xludf.DUMMYFUNCTION("if(A1824="""","""",substitute(SUBSTITUTE(index(importhtml(""http://finviz.com/quote.ashx?t=""&amp;A1824,""table"",10),7,2),""*"",""""),""-"",""0.00""))"),"Loading...")</f>
        <v>Loading...</v>
      </c>
      <c r="L1824" s="129">
        <v>2.02604888E8</v>
      </c>
      <c r="M1824" s="99">
        <v>0.43</v>
      </c>
    </row>
    <row r="1825">
      <c r="A1825" s="122" t="s">
        <v>4070</v>
      </c>
      <c r="B1825" s="123">
        <v>1830033.0</v>
      </c>
      <c r="C1825" s="124" t="s">
        <v>4071</v>
      </c>
      <c r="D1825" s="125"/>
      <c r="E1825" s="126">
        <v>1.2</v>
      </c>
      <c r="F1825" s="127"/>
      <c r="G1825" s="127"/>
      <c r="H1825" s="127"/>
      <c r="I1825" s="128"/>
      <c r="K1825" s="105" t="str">
        <f>IFERROR(__xludf.DUMMYFUNCTION("if(A1825="""","""",substitute(SUBSTITUTE(index(importhtml(""http://finviz.com/quote.ashx?t=""&amp;A1825,""table"",10),7,2),""*"",""""),""-"",""0.00""))"),"Loading...")</f>
        <v>Loading...</v>
      </c>
      <c r="L1825" s="129">
        <v>6.61159013E8</v>
      </c>
      <c r="M1825" s="99">
        <v>3.05</v>
      </c>
    </row>
    <row r="1826">
      <c r="A1826" s="122" t="s">
        <v>4072</v>
      </c>
      <c r="B1826" s="123">
        <v>1787740.0</v>
      </c>
      <c r="C1826" s="124" t="s">
        <v>4073</v>
      </c>
      <c r="D1826" s="125"/>
      <c r="E1826" s="126">
        <v>1.21</v>
      </c>
      <c r="F1826" s="127"/>
      <c r="G1826" s="127"/>
      <c r="H1826" s="127"/>
      <c r="I1826" s="128"/>
      <c r="K1826" s="105" t="str">
        <f>IFERROR(__xludf.DUMMYFUNCTION("if(A1826="""","""",substitute(SUBSTITUTE(index(importhtml(""http://finviz.com/quote.ashx?t=""&amp;A1826,""table"",10),7,2),""*"",""""),""-"",""0.00""))"),"Loading...")</f>
        <v>Loading...</v>
      </c>
      <c r="L1826" s="129">
        <v>1775290.0</v>
      </c>
      <c r="M1826" s="99">
        <f>IFERROR(__xludf.DUMMYFUNCTION("GOOGLEFINANCE(A1826,""beta"")"),1.96)</f>
        <v>1.96</v>
      </c>
    </row>
    <row r="1827">
      <c r="A1827" s="122" t="s">
        <v>4074</v>
      </c>
      <c r="B1827" s="123">
        <v>1025561.0</v>
      </c>
      <c r="C1827" s="124" t="s">
        <v>4075</v>
      </c>
      <c r="D1827" s="125"/>
      <c r="E1827" s="126">
        <v>1.21</v>
      </c>
      <c r="F1827" s="127"/>
      <c r="G1827" s="127"/>
      <c r="H1827" s="127"/>
      <c r="I1827" s="128"/>
      <c r="K1827" s="105" t="str">
        <f>IFERROR(__xludf.DUMMYFUNCTION("if(A1827="""","""",substitute(SUBSTITUTE(index(importhtml(""http://finviz.com/quote.ashx?t=""&amp;A1827,""table"",10),7,2),""*"",""""),""-"",""0.00""))"),"Loading...")</f>
        <v>Loading...</v>
      </c>
      <c r="L1827" s="129">
        <v>3465114.0</v>
      </c>
      <c r="M1827" s="99">
        <v>1.21</v>
      </c>
    </row>
    <row r="1828">
      <c r="A1828" s="122" t="s">
        <v>4076</v>
      </c>
      <c r="B1828" s="123">
        <v>1872964.0</v>
      </c>
      <c r="C1828" s="124" t="s">
        <v>4077</v>
      </c>
      <c r="D1828" s="125"/>
      <c r="E1828" s="126">
        <v>1.21</v>
      </c>
      <c r="F1828" s="127"/>
      <c r="G1828" s="127"/>
      <c r="H1828" s="127"/>
      <c r="I1828" s="128"/>
      <c r="K1828" s="105" t="str">
        <f>IFERROR(__xludf.DUMMYFUNCTION("if(A1828="""","""",substitute(SUBSTITUTE(index(importhtml(""http://finviz.com/quote.ashx?t=""&amp;A1828,""table"",10),7,2),""*"",""""),""-"",""0.00""))"),"Loading...")</f>
        <v>Loading...</v>
      </c>
      <c r="L1828" s="129">
        <v>9532200.0</v>
      </c>
      <c r="M1828" s="99">
        <f>IFERROR(__xludf.DUMMYFUNCTION("GOOGLEFINANCE(A1828,""beta"")"),0.65)</f>
        <v>0.65</v>
      </c>
    </row>
    <row r="1829">
      <c r="A1829" s="122" t="s">
        <v>4078</v>
      </c>
      <c r="B1829" s="123">
        <v>883975.0</v>
      </c>
      <c r="C1829" s="124" t="s">
        <v>4079</v>
      </c>
      <c r="D1829" s="125"/>
      <c r="E1829" s="126">
        <v>1.21</v>
      </c>
      <c r="F1829" s="127"/>
      <c r="G1829" s="127"/>
      <c r="H1829" s="127"/>
      <c r="I1829" s="128"/>
      <c r="K1829" s="105" t="str">
        <f>IFERROR(__xludf.DUMMYFUNCTION("if(A1829="""","""",substitute(SUBSTITUTE(index(importhtml(""http://finviz.com/quote.ashx?t=""&amp;A1829,""table"",10),7,2),""*"",""""),""-"",""0.00""))"),"Loading...")</f>
        <v>Loading...</v>
      </c>
      <c r="L1829" s="129">
        <v>1.620553E7</v>
      </c>
      <c r="M1829" s="99">
        <v>1.66</v>
      </c>
    </row>
    <row r="1830">
      <c r="A1830" s="122" t="s">
        <v>4080</v>
      </c>
      <c r="B1830" s="123">
        <v>1796514.0</v>
      </c>
      <c r="C1830" s="124" t="s">
        <v>4081</v>
      </c>
      <c r="D1830" s="125"/>
      <c r="E1830" s="126">
        <v>1.21</v>
      </c>
      <c r="F1830" s="127"/>
      <c r="G1830" s="127"/>
      <c r="H1830" s="127"/>
      <c r="I1830" s="128"/>
      <c r="K1830" s="105" t="str">
        <f>IFERROR(__xludf.DUMMYFUNCTION("if(A1830="""","""",substitute(SUBSTITUTE(index(importhtml(""http://finviz.com/quote.ashx?t=""&amp;A1830,""table"",10),7,2),""*"",""""),""-"",""0.00""))"),"Loading...")</f>
        <v>Loading...</v>
      </c>
      <c r="L1830" s="129">
        <v>2.8597661E7</v>
      </c>
      <c r="M1830" s="99" t="str">
        <f>IFERROR(__xludf.DUMMYFUNCTION("GOOGLEFINANCE(A1830,""beta"")"),"#N/A")</f>
        <v>#N/A</v>
      </c>
    </row>
    <row r="1831">
      <c r="A1831" s="122" t="s">
        <v>4082</v>
      </c>
      <c r="B1831" s="123">
        <v>1557746.0</v>
      </c>
      <c r="C1831" s="124" t="s">
        <v>4083</v>
      </c>
      <c r="D1831" s="125"/>
      <c r="E1831" s="126">
        <v>1.21</v>
      </c>
      <c r="F1831" s="127"/>
      <c r="G1831" s="127"/>
      <c r="H1831" s="127"/>
      <c r="I1831" s="128"/>
      <c r="K1831" s="105" t="str">
        <f>IFERROR(__xludf.DUMMYFUNCTION("if(A1831="""","""",substitute(SUBSTITUTE(index(importhtml(""http://finviz.com/quote.ashx?t=""&amp;A1831,""table"",10),7,2),""*"",""""),""-"",""0.00""))"),"Loading...")</f>
        <v>Loading...</v>
      </c>
      <c r="L1831" s="129">
        <v>8.5711792E7</v>
      </c>
      <c r="M1831" s="99">
        <v>0.2</v>
      </c>
    </row>
    <row r="1832">
      <c r="A1832" s="122" t="s">
        <v>4084</v>
      </c>
      <c r="B1832" s="123">
        <v>1494650.0</v>
      </c>
      <c r="C1832" s="124" t="s">
        <v>4085</v>
      </c>
      <c r="D1832" s="125"/>
      <c r="E1832" s="126">
        <v>1.21</v>
      </c>
      <c r="F1832" s="127"/>
      <c r="G1832" s="127"/>
      <c r="H1832" s="127"/>
      <c r="I1832" s="128"/>
      <c r="K1832" s="105" t="str">
        <f>IFERROR(__xludf.DUMMYFUNCTION("if(A1832="""","""",substitute(SUBSTITUTE(index(importhtml(""http://finviz.com/quote.ashx?t=""&amp;A1832,""table"",10),7,2),""*"",""""),""-"",""0.00""))"),"Loading...")</f>
        <v>Loading...</v>
      </c>
      <c r="L1832" s="129">
        <v>1.35897403E8</v>
      </c>
      <c r="M1832" s="99">
        <v>-0.29</v>
      </c>
    </row>
    <row r="1833">
      <c r="A1833" s="122" t="s">
        <v>4086</v>
      </c>
      <c r="B1833" s="123">
        <v>1805077.0</v>
      </c>
      <c r="C1833" s="124" t="s">
        <v>4087</v>
      </c>
      <c r="D1833" s="125"/>
      <c r="E1833" s="126">
        <v>1.21</v>
      </c>
      <c r="F1833" s="127"/>
      <c r="G1833" s="127"/>
      <c r="H1833" s="127"/>
      <c r="I1833" s="128"/>
      <c r="K1833" s="105" t="str">
        <f>IFERROR(__xludf.DUMMYFUNCTION("if(A1833="""","""",substitute(SUBSTITUTE(index(importhtml(""http://finviz.com/quote.ashx?t=""&amp;A1833,""table"",10),7,2),""*"",""""),""-"",""0.00""))"),"Loading...")</f>
        <v>Loading...</v>
      </c>
      <c r="L1833" s="129">
        <v>2.30942422E8</v>
      </c>
      <c r="M1833" s="99">
        <v>2.31</v>
      </c>
    </row>
    <row r="1834">
      <c r="A1834" s="122" t="s">
        <v>4088</v>
      </c>
      <c r="B1834" s="123">
        <v>1796129.0</v>
      </c>
      <c r="C1834" s="124" t="s">
        <v>4089</v>
      </c>
      <c r="D1834" s="125"/>
      <c r="E1834" s="126">
        <v>1.22</v>
      </c>
      <c r="F1834" s="127"/>
      <c r="G1834" s="127"/>
      <c r="H1834" s="127"/>
      <c r="I1834" s="128"/>
      <c r="K1834" s="105" t="str">
        <f>IFERROR(__xludf.DUMMYFUNCTION("if(A1834="""","""",substitute(SUBSTITUTE(index(importhtml(""http://finviz.com/quote.ashx?t=""&amp;A1834,""table"",10),7,2),""*"",""""),""-"",""0.00""))"),"Loading...")</f>
        <v>Loading...</v>
      </c>
      <c r="L1834" s="129">
        <v>2.6084296E7</v>
      </c>
      <c r="M1834" s="99">
        <v>0.1</v>
      </c>
    </row>
    <row r="1835">
      <c r="A1835" s="122" t="s">
        <v>4090</v>
      </c>
      <c r="B1835" s="123">
        <v>1280776.0</v>
      </c>
      <c r="C1835" s="124" t="s">
        <v>4091</v>
      </c>
      <c r="D1835" s="125"/>
      <c r="E1835" s="126">
        <v>1.22</v>
      </c>
      <c r="F1835" s="127"/>
      <c r="G1835" s="127"/>
      <c r="H1835" s="127"/>
      <c r="I1835" s="128"/>
      <c r="K1835" s="105" t="str">
        <f>IFERROR(__xludf.DUMMYFUNCTION("if(A1835="""","""",substitute(SUBSTITUTE(index(importhtml(""http://finviz.com/quote.ashx?t=""&amp;A1835,""table"",10),7,2),""*"",""""),""-"",""0.00""))"),"Loading...")</f>
        <v>Loading...</v>
      </c>
      <c r="L1835" s="129">
        <v>5.5077364E7</v>
      </c>
      <c r="M1835" s="99">
        <v>2.04</v>
      </c>
    </row>
    <row r="1836">
      <c r="A1836" s="122" t="s">
        <v>4092</v>
      </c>
      <c r="B1836" s="123">
        <v>1604464.0</v>
      </c>
      <c r="C1836" s="124" t="s">
        <v>4093</v>
      </c>
      <c r="D1836" s="125"/>
      <c r="E1836" s="126">
        <v>1.22</v>
      </c>
      <c r="F1836" s="127"/>
      <c r="G1836" s="127"/>
      <c r="H1836" s="127"/>
      <c r="I1836" s="128"/>
      <c r="K1836" s="105" t="str">
        <f>IFERROR(__xludf.DUMMYFUNCTION("if(A1836="""","""",substitute(SUBSTITUTE(index(importhtml(""http://finviz.com/quote.ashx?t=""&amp;A1836,""table"",10),7,2),""*"",""""),""-"",""0.00""))"),"Loading...")</f>
        <v>Loading...</v>
      </c>
      <c r="L1836" s="129">
        <v>1.24345086E8</v>
      </c>
      <c r="M1836" s="99">
        <v>0.64</v>
      </c>
    </row>
    <row r="1837">
      <c r="A1837" s="122" t="s">
        <v>4094</v>
      </c>
      <c r="B1837" s="123">
        <v>1738021.0</v>
      </c>
      <c r="C1837" s="124" t="s">
        <v>4095</v>
      </c>
      <c r="D1837" s="125"/>
      <c r="E1837" s="126">
        <v>1.22</v>
      </c>
      <c r="F1837" s="127"/>
      <c r="G1837" s="127"/>
      <c r="H1837" s="127"/>
      <c r="I1837" s="128"/>
      <c r="K1837" s="105" t="str">
        <f>IFERROR(__xludf.DUMMYFUNCTION("if(A1837="""","""",substitute(SUBSTITUTE(index(importhtml(""http://finviz.com/quote.ashx?t=""&amp;A1837,""table"",10),7,2),""*"",""""),""-"",""0.00""))"),"Loading...")</f>
        <v>Loading...</v>
      </c>
      <c r="L1837" s="129">
        <v>1.55533289E8</v>
      </c>
      <c r="M1837" s="99">
        <f>IFERROR(__xludf.DUMMYFUNCTION("GOOGLEFINANCE(A1837,""beta"")"),1.33)</f>
        <v>1.33</v>
      </c>
    </row>
    <row r="1838">
      <c r="A1838" s="122" t="s">
        <v>4096</v>
      </c>
      <c r="B1838" s="123">
        <v>1839341.0</v>
      </c>
      <c r="C1838" s="124" t="s">
        <v>4097</v>
      </c>
      <c r="D1838" s="125"/>
      <c r="E1838" s="126">
        <v>1.22</v>
      </c>
      <c r="F1838" s="127"/>
      <c r="G1838" s="127"/>
      <c r="H1838" s="127"/>
      <c r="I1838" s="128"/>
      <c r="K1838" s="105" t="str">
        <f>IFERROR(__xludf.DUMMYFUNCTION("if(A1838="""","""",substitute(SUBSTITUTE(index(importhtml(""http://finviz.com/quote.ashx?t=""&amp;A1838,""table"",10),7,2),""*"",""""),""-"",""0.00""))"),"Loading...")</f>
        <v>Loading...</v>
      </c>
      <c r="L1838" s="129">
        <v>1.047732544E9</v>
      </c>
      <c r="M1838" s="99" t="str">
        <f>IFERROR(__xludf.DUMMYFUNCTION("GOOGLEFINANCE(A1838,""beta"")"),"#N/A")</f>
        <v>#N/A</v>
      </c>
    </row>
    <row r="1839">
      <c r="A1839" s="122" t="s">
        <v>4098</v>
      </c>
      <c r="B1839" s="123">
        <v>1674227.0</v>
      </c>
      <c r="C1839" s="124" t="s">
        <v>4099</v>
      </c>
      <c r="D1839" s="125"/>
      <c r="E1839" s="126">
        <v>1.23</v>
      </c>
      <c r="F1839" s="127"/>
      <c r="G1839" s="127"/>
      <c r="H1839" s="127"/>
      <c r="I1839" s="128"/>
      <c r="K1839" s="105" t="str">
        <f>IFERROR(__xludf.DUMMYFUNCTION("if(A1839="""","""",substitute(SUBSTITUTE(index(importhtml(""http://finviz.com/quote.ashx?t=""&amp;A1839,""table"",10),7,2),""*"",""""),""-"",""0.00""))"),"Loading...")</f>
        <v>Loading...</v>
      </c>
      <c r="L1839" s="129">
        <v>1489696.0</v>
      </c>
      <c r="M1839" s="99">
        <v>1.59</v>
      </c>
    </row>
    <row r="1840">
      <c r="A1840" s="122" t="s">
        <v>4100</v>
      </c>
      <c r="B1840" s="123">
        <v>1854445.0</v>
      </c>
      <c r="C1840" s="124" t="s">
        <v>4101</v>
      </c>
      <c r="D1840" s="125"/>
      <c r="E1840" s="126">
        <v>1.23</v>
      </c>
      <c r="F1840" s="127"/>
      <c r="G1840" s="127"/>
      <c r="H1840" s="127"/>
      <c r="I1840" s="128"/>
      <c r="K1840" s="105" t="str">
        <f>IFERROR(__xludf.DUMMYFUNCTION("if(A1840="""","""",substitute(SUBSTITUTE(index(importhtml(""http://finviz.com/quote.ashx?t=""&amp;A1840,""table"",10),7,2),""*"",""""),""-"",""0.00""))"),"Loading...")</f>
        <v>Loading...</v>
      </c>
      <c r="L1840" s="129">
        <v>2.0518503E7</v>
      </c>
      <c r="M1840" s="99">
        <f>IFERROR(__xludf.DUMMYFUNCTION("GOOGLEFINANCE(A1840,""beta"")"),1.17)</f>
        <v>1.17</v>
      </c>
    </row>
    <row r="1841">
      <c r="A1841" s="122" t="s">
        <v>4102</v>
      </c>
      <c r="B1841" s="123">
        <v>1651944.0</v>
      </c>
      <c r="C1841" s="124" t="s">
        <v>4103</v>
      </c>
      <c r="D1841" s="125"/>
      <c r="E1841" s="126">
        <v>1.23</v>
      </c>
      <c r="F1841" s="127"/>
      <c r="G1841" s="127"/>
      <c r="H1841" s="127"/>
      <c r="I1841" s="128"/>
      <c r="K1841" s="105" t="str">
        <f>IFERROR(__xludf.DUMMYFUNCTION("if(A1841="""","""",substitute(SUBSTITUTE(index(importhtml(""http://finviz.com/quote.ashx?t=""&amp;A1841,""table"",10),7,2),""*"",""""),""-"",""0.00""))"),"Loading...")</f>
        <v>Loading...</v>
      </c>
      <c r="L1841" s="129">
        <v>4.2118915E7</v>
      </c>
      <c r="M1841" s="99">
        <v>2.58</v>
      </c>
    </row>
    <row r="1842">
      <c r="A1842" s="122" t="s">
        <v>4104</v>
      </c>
      <c r="B1842" s="123">
        <v>1734520.0</v>
      </c>
      <c r="C1842" s="124" t="s">
        <v>4105</v>
      </c>
      <c r="D1842" s="125"/>
      <c r="E1842" s="126">
        <v>1.23</v>
      </c>
      <c r="F1842" s="127"/>
      <c r="G1842" s="127"/>
      <c r="H1842" s="127"/>
      <c r="I1842" s="128"/>
      <c r="K1842" s="105" t="str">
        <f>IFERROR(__xludf.DUMMYFUNCTION("if(A1842="""","""",substitute(SUBSTITUTE(index(importhtml(""http://finviz.com/quote.ashx?t=""&amp;A1842,""table"",10),7,2),""*"",""""),""-"",""0.00""))"),"Loading...")</f>
        <v>Loading...</v>
      </c>
      <c r="L1842" s="129">
        <v>1.50057763E8</v>
      </c>
      <c r="M1842" s="99">
        <v>0.56</v>
      </c>
    </row>
    <row r="1843">
      <c r="A1843" s="122" t="s">
        <v>4106</v>
      </c>
      <c r="B1843" s="123">
        <v>933972.0</v>
      </c>
      <c r="C1843" s="124" t="s">
        <v>4107</v>
      </c>
      <c r="D1843" s="125"/>
      <c r="E1843" s="126">
        <v>1.23</v>
      </c>
      <c r="F1843" s="127"/>
      <c r="G1843" s="127"/>
      <c r="H1843" s="127"/>
      <c r="I1843" s="128"/>
      <c r="K1843" s="105" t="str">
        <f>IFERROR(__xludf.DUMMYFUNCTION("if(A1843="""","""",substitute(SUBSTITUTE(index(importhtml(""http://finviz.com/quote.ashx?t=""&amp;A1843,""table"",10),7,2),""*"",""""),""-"",""0.00""))"),"#REF!")</f>
        <v>#REF!</v>
      </c>
      <c r="L1843" s="129">
        <v>1.63180412E8</v>
      </c>
      <c r="M1843" s="99">
        <v>-0.12</v>
      </c>
    </row>
    <row r="1844">
      <c r="A1844" s="122" t="s">
        <v>4108</v>
      </c>
      <c r="B1844" s="123">
        <v>1753539.0</v>
      </c>
      <c r="C1844" s="124" t="s">
        <v>4109</v>
      </c>
      <c r="D1844" s="125"/>
      <c r="E1844" s="126">
        <v>1.23</v>
      </c>
      <c r="F1844" s="127"/>
      <c r="G1844" s="127"/>
      <c r="H1844" s="127"/>
      <c r="I1844" s="128"/>
      <c r="K1844" s="105" t="str">
        <f>IFERROR(__xludf.DUMMYFUNCTION("if(A1844="""","""",substitute(SUBSTITUTE(index(importhtml(""http://finviz.com/quote.ashx?t=""&amp;A1844,""table"",10),7,2),""*"",""""),""-"",""0.00""))"),"Loading...")</f>
        <v>Loading...</v>
      </c>
      <c r="L1844" s="129">
        <v>1.75874627E8</v>
      </c>
      <c r="M1844" s="99">
        <v>0.99</v>
      </c>
    </row>
    <row r="1845">
      <c r="A1845" s="122" t="s">
        <v>4110</v>
      </c>
      <c r="B1845" s="123">
        <v>1372183.0</v>
      </c>
      <c r="C1845" s="124" t="s">
        <v>4111</v>
      </c>
      <c r="D1845" s="125"/>
      <c r="E1845" s="126">
        <v>1.24</v>
      </c>
      <c r="F1845" s="127"/>
      <c r="G1845" s="127"/>
      <c r="H1845" s="127"/>
      <c r="I1845" s="128"/>
      <c r="K1845" s="105" t="str">
        <f>IFERROR(__xludf.DUMMYFUNCTION("if(A1845="""","""",substitute(SUBSTITUTE(index(importhtml(""http://finviz.com/quote.ashx?t=""&amp;A1845,""table"",10),7,2),""*"",""""),""-"",""0.00""))"),"Loading...")</f>
        <v>Loading...</v>
      </c>
      <c r="L1845" s="129">
        <v>7365471.0</v>
      </c>
      <c r="M1845" s="99">
        <v>2.51</v>
      </c>
    </row>
    <row r="1846">
      <c r="A1846" s="122" t="s">
        <v>4112</v>
      </c>
      <c r="B1846" s="123">
        <v>1836875.0</v>
      </c>
      <c r="C1846" s="124" t="s">
        <v>4113</v>
      </c>
      <c r="D1846" s="125"/>
      <c r="E1846" s="126">
        <v>1.25</v>
      </c>
      <c r="F1846" s="127"/>
      <c r="G1846" s="127"/>
      <c r="H1846" s="127"/>
      <c r="I1846" s="128"/>
      <c r="K1846" s="105" t="str">
        <f>IFERROR(__xludf.DUMMYFUNCTION("if(A1846="""","""",substitute(SUBSTITUTE(index(importhtml(""http://finviz.com/quote.ashx?t=""&amp;A1846,""table"",10),7,2),""*"",""""),""-"",""0.00""))"),"Loading...")</f>
        <v>Loading...</v>
      </c>
      <c r="L1846" s="129">
        <v>1404692.0</v>
      </c>
      <c r="M1846" s="99">
        <v>1.77</v>
      </c>
    </row>
    <row r="1847">
      <c r="A1847" s="122" t="s">
        <v>4114</v>
      </c>
      <c r="B1847" s="123">
        <v>1333822.0</v>
      </c>
      <c r="C1847" s="124" t="s">
        <v>4115</v>
      </c>
      <c r="D1847" s="125"/>
      <c r="E1847" s="126">
        <v>1.25</v>
      </c>
      <c r="F1847" s="127"/>
      <c r="G1847" s="127"/>
      <c r="H1847" s="127"/>
      <c r="I1847" s="128"/>
      <c r="K1847" s="105" t="str">
        <f>IFERROR(__xludf.DUMMYFUNCTION("if(A1847="""","""",substitute(SUBSTITUTE(index(importhtml(""http://finviz.com/quote.ashx?t=""&amp;A1847,""table"",10),7,2),""*"",""""),""-"",""0.00""))"),"Loading...")</f>
        <v>Loading...</v>
      </c>
      <c r="L1847" s="129">
        <v>6211290.0</v>
      </c>
      <c r="M1847" s="99">
        <v>1.05</v>
      </c>
    </row>
    <row r="1848">
      <c r="A1848" s="122" t="s">
        <v>4116</v>
      </c>
      <c r="B1848" s="123">
        <v>1898643.0</v>
      </c>
      <c r="C1848" s="124" t="s">
        <v>2178</v>
      </c>
      <c r="D1848" s="125"/>
      <c r="E1848" s="126">
        <v>1.25</v>
      </c>
      <c r="F1848" s="127"/>
      <c r="G1848" s="127"/>
      <c r="H1848" s="127"/>
      <c r="I1848" s="128"/>
      <c r="K1848" s="105" t="str">
        <f>IFERROR(__xludf.DUMMYFUNCTION("if(A1848="""","""",substitute(SUBSTITUTE(index(importhtml(""http://finviz.com/quote.ashx?t=""&amp;A1848,""table"",10),7,2),""*"",""""),""-"",""0.00""))"),"Loading...")</f>
        <v>Loading...</v>
      </c>
      <c r="L1848" s="129">
        <v>6638933.0</v>
      </c>
      <c r="M1848" s="99">
        <f>IFERROR(__xludf.DUMMYFUNCTION("GOOGLEFINANCE(A1848,""beta"")"),2.07)</f>
        <v>2.07</v>
      </c>
    </row>
    <row r="1849">
      <c r="A1849" s="122" t="s">
        <v>4117</v>
      </c>
      <c r="B1849" s="123">
        <v>1855509.0</v>
      </c>
      <c r="C1849" s="124" t="s">
        <v>4118</v>
      </c>
      <c r="D1849" s="125"/>
      <c r="E1849" s="126">
        <v>1.25</v>
      </c>
      <c r="F1849" s="127"/>
      <c r="G1849" s="127"/>
      <c r="H1849" s="127"/>
      <c r="I1849" s="128"/>
      <c r="K1849" s="105" t="str">
        <f>IFERROR(__xludf.DUMMYFUNCTION("if(A1849="""","""",substitute(SUBSTITUTE(index(importhtml(""http://finviz.com/quote.ashx?t=""&amp;A1849,""table"",10),7,2),""*"",""""),""-"",""0.00""))"),"Loading...")</f>
        <v>Loading...</v>
      </c>
      <c r="L1849" s="129">
        <v>1.19E7</v>
      </c>
      <c r="M1849" s="99">
        <f>IFERROR(__xludf.DUMMYFUNCTION("GOOGLEFINANCE(A1849,""beta"")"),1.05)</f>
        <v>1.05</v>
      </c>
    </row>
    <row r="1850">
      <c r="A1850" s="122" t="s">
        <v>4119</v>
      </c>
      <c r="B1850" s="123">
        <v>1512922.0</v>
      </c>
      <c r="C1850" s="124" t="s">
        <v>2424</v>
      </c>
      <c r="D1850" s="125"/>
      <c r="E1850" s="126">
        <v>1.25</v>
      </c>
      <c r="F1850" s="127"/>
      <c r="G1850" s="127"/>
      <c r="H1850" s="127"/>
      <c r="I1850" s="128"/>
      <c r="K1850" s="105" t="str">
        <f>IFERROR(__xludf.DUMMYFUNCTION("if(A1850="""","""",substitute(SUBSTITUTE(index(importhtml(""http://finviz.com/quote.ashx?t=""&amp;A1850,""table"",10),7,2),""*"",""""),""-"",""0.00""))"),"Loading...")</f>
        <v>Loading...</v>
      </c>
      <c r="L1850" s="129">
        <v>1.8081033E7</v>
      </c>
      <c r="M1850" s="99">
        <v>2.05</v>
      </c>
    </row>
    <row r="1851">
      <c r="A1851" s="122" t="s">
        <v>4120</v>
      </c>
      <c r="B1851" s="123">
        <v>1661059.0</v>
      </c>
      <c r="C1851" s="124" t="s">
        <v>4121</v>
      </c>
      <c r="D1851" s="125"/>
      <c r="E1851" s="126">
        <v>1.26</v>
      </c>
      <c r="F1851" s="127"/>
      <c r="G1851" s="127"/>
      <c r="H1851" s="127"/>
      <c r="I1851" s="128"/>
      <c r="K1851" s="105" t="str">
        <f>IFERROR(__xludf.DUMMYFUNCTION("if(A1851="""","""",substitute(SUBSTITUTE(index(importhtml(""http://finviz.com/quote.ashx?t=""&amp;A1851,""table"",10),7,2),""*"",""""),""-"",""0.00""))"),"Loading...")</f>
        <v>Loading...</v>
      </c>
      <c r="L1851" s="129">
        <v>3.5157817E7</v>
      </c>
      <c r="M1851" s="99">
        <v>0.26</v>
      </c>
    </row>
    <row r="1852">
      <c r="A1852" s="122" t="s">
        <v>4122</v>
      </c>
      <c r="B1852" s="123">
        <v>1687919.0</v>
      </c>
      <c r="C1852" s="124" t="s">
        <v>4123</v>
      </c>
      <c r="D1852" s="125"/>
      <c r="E1852" s="126">
        <v>1.26</v>
      </c>
      <c r="F1852" s="127"/>
      <c r="G1852" s="127"/>
      <c r="H1852" s="127"/>
      <c r="I1852" s="128"/>
      <c r="K1852" s="105" t="str">
        <f>IFERROR(__xludf.DUMMYFUNCTION("if(A1852="""","""",substitute(SUBSTITUTE(index(importhtml(""http://finviz.com/quote.ashx?t=""&amp;A1852,""table"",10),7,2),""*"",""""),""-"",""0.00""))"),"Loading...")</f>
        <v>Loading...</v>
      </c>
      <c r="L1852" s="129">
        <v>6.349015E7</v>
      </c>
      <c r="M1852" s="99">
        <v>3.48</v>
      </c>
    </row>
    <row r="1853">
      <c r="A1853" s="122" t="s">
        <v>4124</v>
      </c>
      <c r="B1853" s="123">
        <v>1860805.0</v>
      </c>
      <c r="C1853" s="124" t="s">
        <v>4125</v>
      </c>
      <c r="D1853" s="125"/>
      <c r="E1853" s="126">
        <v>1.26</v>
      </c>
      <c r="F1853" s="127"/>
      <c r="G1853" s="127"/>
      <c r="H1853" s="127"/>
      <c r="I1853" s="128"/>
      <c r="K1853" s="105" t="str">
        <f>IFERROR(__xludf.DUMMYFUNCTION("if(A1853="""","""",substitute(SUBSTITUTE(index(importhtml(""http://finviz.com/quote.ashx?t=""&amp;A1853,""table"",10),7,2),""*"",""""),""-"",""0.00""))"),"Loading...")</f>
        <v>Loading...</v>
      </c>
      <c r="L1853" s="129">
        <v>8.61978592E8</v>
      </c>
      <c r="M1853" s="99">
        <f>IFERROR(__xludf.DUMMYFUNCTION("GOOGLEFINANCE(A1853,""beta"")"),2.86)</f>
        <v>2.86</v>
      </c>
    </row>
    <row r="1854">
      <c r="A1854" s="122" t="s">
        <v>4126</v>
      </c>
      <c r="B1854" s="123">
        <v>1750106.0</v>
      </c>
      <c r="C1854" s="124" t="s">
        <v>4127</v>
      </c>
      <c r="D1854" s="125"/>
      <c r="E1854" s="126">
        <v>1.27</v>
      </c>
      <c r="F1854" s="127"/>
      <c r="G1854" s="127"/>
      <c r="H1854" s="127"/>
      <c r="I1854" s="128"/>
      <c r="K1854" s="55" t="s">
        <v>1034</v>
      </c>
      <c r="L1854" s="129">
        <v>1.1728602E7</v>
      </c>
      <c r="M1854" s="99">
        <v>0.86</v>
      </c>
    </row>
    <row r="1855">
      <c r="A1855" s="122" t="s">
        <v>4128</v>
      </c>
      <c r="B1855" s="123">
        <v>316253.0</v>
      </c>
      <c r="C1855" s="124" t="s">
        <v>4129</v>
      </c>
      <c r="D1855" s="125"/>
      <c r="E1855" s="126">
        <v>1.27</v>
      </c>
      <c r="F1855" s="127"/>
      <c r="G1855" s="127"/>
      <c r="H1855" s="127"/>
      <c r="I1855" s="128"/>
      <c r="K1855" s="55" t="s">
        <v>1034</v>
      </c>
      <c r="L1855" s="129">
        <v>6.4121994E7</v>
      </c>
      <c r="M1855" s="99">
        <v>0.73</v>
      </c>
    </row>
    <row r="1856">
      <c r="A1856" s="122" t="s">
        <v>4130</v>
      </c>
      <c r="B1856" s="123">
        <v>1830214.0</v>
      </c>
      <c r="C1856" s="124" t="s">
        <v>4131</v>
      </c>
      <c r="D1856" s="125"/>
      <c r="E1856" s="126">
        <v>1.27</v>
      </c>
      <c r="F1856" s="127"/>
      <c r="G1856" s="127"/>
      <c r="H1856" s="127"/>
      <c r="I1856" s="128"/>
      <c r="K1856" s="55" t="s">
        <v>1034</v>
      </c>
      <c r="L1856" s="129">
        <v>2.538013681E9</v>
      </c>
      <c r="M1856" s="99">
        <f>IFERROR(__xludf.DUMMYFUNCTION("GOOGLEFINANCE(A1856,""beta"")"),1.53)</f>
        <v>1.53</v>
      </c>
    </row>
    <row r="1857">
      <c r="A1857" s="122" t="s">
        <v>4132</v>
      </c>
      <c r="B1857" s="123">
        <v>1855621.0</v>
      </c>
      <c r="C1857" s="124" t="s">
        <v>4133</v>
      </c>
      <c r="D1857" s="125"/>
      <c r="E1857" s="126">
        <v>1.27</v>
      </c>
      <c r="F1857" s="127"/>
      <c r="G1857" s="127"/>
      <c r="H1857" s="127"/>
      <c r="I1857" s="128"/>
      <c r="K1857" s="105" t="str">
        <f>IFERROR(__xludf.DUMMYFUNCTION("if(A1857="""","""",substitute(SUBSTITUTE(index(importhtml(""http://finviz.com/quote.ashx?t=""&amp;A1857,""table"",10),7,2),""*"",""""),""-"",""0.00""))"),"Loading...")</f>
        <v>Loading...</v>
      </c>
      <c r="L1857" s="129">
        <v>1.324357E7</v>
      </c>
      <c r="M1857" s="99">
        <v>0.91</v>
      </c>
    </row>
    <row r="1858">
      <c r="A1858" s="122" t="s">
        <v>4134</v>
      </c>
      <c r="B1858" s="123">
        <v>1838359.0</v>
      </c>
      <c r="C1858" s="124" t="s">
        <v>4135</v>
      </c>
      <c r="D1858" s="125"/>
      <c r="E1858" s="126">
        <v>1.27</v>
      </c>
      <c r="F1858" s="127"/>
      <c r="G1858" s="127"/>
      <c r="H1858" s="127"/>
      <c r="I1858" s="128"/>
      <c r="K1858" s="105" t="str">
        <f>IFERROR(__xludf.DUMMYFUNCTION("if(A1858="""","""",substitute(SUBSTITUTE(index(importhtml(""http://finviz.com/quote.ashx?t=""&amp;A1858,""table"",10),7,2),""*"",""""),""-"",""0.00""))"),"Loading...")</f>
        <v>Loading...</v>
      </c>
      <c r="L1858" s="129">
        <v>1.86241052E8</v>
      </c>
      <c r="M1858" s="99">
        <f>IFERROR(__xludf.DUMMYFUNCTION("GOOGLEFINANCE(A1858,""beta"")"),1.64)</f>
        <v>1.64</v>
      </c>
    </row>
    <row r="1859">
      <c r="A1859" s="122" t="s">
        <v>4136</v>
      </c>
      <c r="B1859" s="123">
        <v>1850270.0</v>
      </c>
      <c r="C1859" s="124" t="s">
        <v>4137</v>
      </c>
      <c r="D1859" s="125"/>
      <c r="E1859" s="126">
        <v>1.27</v>
      </c>
      <c r="F1859" s="127"/>
      <c r="G1859" s="127"/>
      <c r="H1859" s="127"/>
      <c r="I1859" s="128"/>
      <c r="K1859" s="105" t="str">
        <f>IFERROR(__xludf.DUMMYFUNCTION("if(A1859="""","""",substitute(SUBSTITUTE(index(importhtml(""http://finviz.com/quote.ashx?t=""&amp;A1859,""table"",10),7,2),""*"",""""),""-"",""0.00""))"),"Loading...")</f>
        <v>Loading...</v>
      </c>
      <c r="L1859" s="129">
        <v>2.99001937E8</v>
      </c>
      <c r="M1859" s="99">
        <f>IFERROR(__xludf.DUMMYFUNCTION("GOOGLEFINANCE(A1859,""beta"")"),1.78)</f>
        <v>1.78</v>
      </c>
    </row>
    <row r="1860">
      <c r="A1860" s="122" t="s">
        <v>4138</v>
      </c>
      <c r="B1860" s="123">
        <v>886128.0</v>
      </c>
      <c r="C1860" s="124" t="s">
        <v>4139</v>
      </c>
      <c r="D1860" s="125"/>
      <c r="E1860" s="126">
        <v>1.27</v>
      </c>
      <c r="F1860" s="127"/>
      <c r="G1860" s="127"/>
      <c r="H1860" s="127"/>
      <c r="I1860" s="128"/>
      <c r="K1860" s="105" t="str">
        <f>IFERROR(__xludf.DUMMYFUNCTION("if(A1860="""","""",substitute(SUBSTITUTE(index(importhtml(""http://finviz.com/quote.ashx?t=""&amp;A1860,""table"",10),7,2),""*"",""""),""-"",""0.00""))"),"Loading...")</f>
        <v>Loading...</v>
      </c>
      <c r="L1860" s="129">
        <v>5.73791325E8</v>
      </c>
      <c r="M1860" s="99">
        <v>3.78</v>
      </c>
    </row>
    <row r="1861">
      <c r="A1861" s="122" t="s">
        <v>4140</v>
      </c>
      <c r="B1861" s="123">
        <v>800166.0</v>
      </c>
      <c r="C1861" s="124" t="s">
        <v>4141</v>
      </c>
      <c r="D1861" s="125"/>
      <c r="E1861" s="126">
        <v>1.27</v>
      </c>
      <c r="F1861" s="127"/>
      <c r="G1861" s="127"/>
      <c r="H1861" s="127"/>
      <c r="I1861" s="128"/>
      <c r="K1861" s="105" t="str">
        <f>IFERROR(__xludf.DUMMYFUNCTION("if(A1861="""","""",substitute(SUBSTITUTE(index(importhtml(""http://finviz.com/quote.ashx?t=""&amp;A1861,""table"",10),7,2),""*"",""""),""-"",""0.00""))"),"Loading...")</f>
        <v>Loading...</v>
      </c>
      <c r="L1861" s="129">
        <v>8.71449856E8</v>
      </c>
      <c r="M1861" s="99">
        <v>1.48</v>
      </c>
    </row>
    <row r="1862">
      <c r="A1862" s="122" t="s">
        <v>4142</v>
      </c>
      <c r="B1862" s="123">
        <v>1062066.0</v>
      </c>
      <c r="C1862" s="124" t="s">
        <v>4143</v>
      </c>
      <c r="D1862" s="125"/>
      <c r="E1862" s="126">
        <v>1.27</v>
      </c>
      <c r="F1862" s="127"/>
      <c r="G1862" s="127"/>
      <c r="H1862" s="127"/>
      <c r="I1862" s="128"/>
      <c r="K1862" s="105" t="str">
        <f>IFERROR(__xludf.DUMMYFUNCTION("if(A1862="""","""",substitute(SUBSTITUTE(index(importhtml(""http://finviz.com/quote.ashx?t=""&amp;A1862,""table"",10),7,2),""*"",""""),""-"",""0.00""))"),"Loading...")</f>
        <v>Loading...</v>
      </c>
      <c r="L1862" s="129">
        <v>4.61352734E9</v>
      </c>
      <c r="M1862" s="99">
        <v>1.32</v>
      </c>
    </row>
    <row r="1863">
      <c r="A1863" s="122" t="s">
        <v>4144</v>
      </c>
      <c r="B1863" s="123">
        <v>1681087.0</v>
      </c>
      <c r="C1863" s="124" t="s">
        <v>4145</v>
      </c>
      <c r="D1863" s="125"/>
      <c r="E1863" s="126">
        <v>1.28</v>
      </c>
      <c r="F1863" s="127"/>
      <c r="G1863" s="127"/>
      <c r="H1863" s="127"/>
      <c r="I1863" s="128"/>
      <c r="K1863" s="105" t="str">
        <f>IFERROR(__xludf.DUMMYFUNCTION("if(A1863="""","""",substitute(SUBSTITUTE(index(importhtml(""http://finviz.com/quote.ashx?t=""&amp;A1863,""table"",10),7,2),""*"",""""),""-"",""0.00""))"),"Loading...")</f>
        <v>Loading...</v>
      </c>
      <c r="L1863" s="129">
        <v>3372436.0</v>
      </c>
      <c r="M1863" s="99">
        <v>1.27</v>
      </c>
    </row>
    <row r="1864">
      <c r="A1864" s="122" t="s">
        <v>4146</v>
      </c>
      <c r="B1864" s="123">
        <v>1875091.0</v>
      </c>
      <c r="C1864" s="124" t="s">
        <v>4147</v>
      </c>
      <c r="D1864" s="125"/>
      <c r="E1864" s="126">
        <v>1.28</v>
      </c>
      <c r="F1864" s="127"/>
      <c r="G1864" s="127"/>
      <c r="H1864" s="127"/>
      <c r="I1864" s="128"/>
      <c r="K1864" s="105" t="str">
        <f>IFERROR(__xludf.DUMMYFUNCTION("if(A1864="""","""",substitute(SUBSTITUTE(index(importhtml(""http://finviz.com/quote.ashx?t=""&amp;A1864,""table"",10),7,2),""*"",""""),""-"",""0.00""))"),"Loading...")</f>
        <v>Loading...</v>
      </c>
      <c r="L1864" s="129">
        <v>1.7425241E7</v>
      </c>
      <c r="M1864" s="99">
        <f>IFERROR(__xludf.DUMMYFUNCTION("GOOGLEFINANCE(A1864,""beta"")"),1.58)</f>
        <v>1.58</v>
      </c>
    </row>
    <row r="1865">
      <c r="A1865" s="122" t="s">
        <v>4148</v>
      </c>
      <c r="B1865" s="123">
        <v>1711786.0</v>
      </c>
      <c r="C1865" s="124" t="s">
        <v>4149</v>
      </c>
      <c r="D1865" s="125"/>
      <c r="E1865" s="126">
        <v>1.29</v>
      </c>
      <c r="F1865" s="127"/>
      <c r="G1865" s="127"/>
      <c r="H1865" s="127"/>
      <c r="I1865" s="128"/>
      <c r="K1865" s="105" t="str">
        <f>IFERROR(__xludf.DUMMYFUNCTION("if(A1865="""","""",substitute(SUBSTITUTE(index(importhtml(""http://finviz.com/quote.ashx?t=""&amp;A1865,""table"",10),7,2),""*"",""""),""-"",""0.00""))"),"Loading...")</f>
        <v>Loading...</v>
      </c>
      <c r="L1865" s="129">
        <v>5606902.0</v>
      </c>
      <c r="M1865" s="99">
        <v>0.61</v>
      </c>
    </row>
    <row r="1866">
      <c r="A1866" s="122" t="s">
        <v>4150</v>
      </c>
      <c r="B1866" s="123">
        <v>1630805.0</v>
      </c>
      <c r="C1866" s="124" t="s">
        <v>4151</v>
      </c>
      <c r="D1866" s="125"/>
      <c r="E1866" s="126">
        <v>1.3</v>
      </c>
      <c r="F1866" s="127"/>
      <c r="G1866" s="127"/>
      <c r="H1866" s="127"/>
      <c r="I1866" s="128"/>
      <c r="K1866" s="55" t="s">
        <v>1034</v>
      </c>
      <c r="L1866" s="129">
        <v>1.16182828E8</v>
      </c>
      <c r="M1866" s="99">
        <v>1.4</v>
      </c>
    </row>
    <row r="1867">
      <c r="A1867" s="122" t="s">
        <v>4152</v>
      </c>
      <c r="B1867" s="123">
        <v>924168.0</v>
      </c>
      <c r="C1867" s="124" t="s">
        <v>4153</v>
      </c>
      <c r="D1867" s="125"/>
      <c r="E1867" s="126">
        <v>1.3</v>
      </c>
      <c r="F1867" s="127"/>
      <c r="G1867" s="127"/>
      <c r="H1867" s="127"/>
      <c r="I1867" s="128"/>
      <c r="K1867" s="105" t="str">
        <f>IFERROR(__xludf.DUMMYFUNCTION("if(A1867="""","""",substitute(SUBSTITUTE(index(importhtml(""http://finviz.com/quote.ashx?t=""&amp;A1867,""table"",10),7,2),""*"",""""),""-"",""0.00""))"),"Loading...")</f>
        <v>Loading...</v>
      </c>
      <c r="L1867" s="129">
        <v>5655008.0</v>
      </c>
      <c r="M1867" s="99">
        <v>1.79</v>
      </c>
    </row>
    <row r="1868">
      <c r="A1868" s="122" t="s">
        <v>4154</v>
      </c>
      <c r="B1868" s="123">
        <v>1818644.0</v>
      </c>
      <c r="C1868" s="124" t="s">
        <v>4155</v>
      </c>
      <c r="D1868" s="125"/>
      <c r="E1868" s="126">
        <v>1.3</v>
      </c>
      <c r="F1868" s="127"/>
      <c r="G1868" s="127"/>
      <c r="H1868" s="127"/>
      <c r="I1868" s="128"/>
      <c r="K1868" s="105" t="str">
        <f>IFERROR(__xludf.DUMMYFUNCTION("if(A1868="""","""",substitute(SUBSTITUTE(index(importhtml(""http://finviz.com/quote.ashx?t=""&amp;A1868,""table"",10),7,2),""*"",""""),""-"",""0.00""))"),"Loading...")</f>
        <v>Loading...</v>
      </c>
      <c r="L1868" s="129">
        <v>8097439.0</v>
      </c>
      <c r="M1868" s="99">
        <v>2.12</v>
      </c>
    </row>
    <row r="1869">
      <c r="A1869" s="122" t="s">
        <v>4156</v>
      </c>
      <c r="B1869" s="123">
        <v>1602143.0</v>
      </c>
      <c r="C1869" s="124" t="s">
        <v>4157</v>
      </c>
      <c r="D1869" s="125"/>
      <c r="E1869" s="126">
        <v>1.3</v>
      </c>
      <c r="F1869" s="127"/>
      <c r="G1869" s="127"/>
      <c r="H1869" s="127"/>
      <c r="I1869" s="128"/>
      <c r="K1869" s="105" t="str">
        <f>IFERROR(__xludf.DUMMYFUNCTION("if(A1869="""","""",substitute(SUBSTITUTE(index(importhtml(""http://finviz.com/quote.ashx?t=""&amp;A1869,""table"",10),7,2),""*"",""""),""-"",""0.00""))"),"Loading...")</f>
        <v>Loading...</v>
      </c>
      <c r="L1869" s="129">
        <v>9230000.0</v>
      </c>
      <c r="M1869" s="99" t="str">
        <f>IFERROR(__xludf.DUMMYFUNCTION("GOOGLEFINANCE(A1869,""beta"")"),"#N/A")</f>
        <v>#N/A</v>
      </c>
    </row>
    <row r="1870">
      <c r="A1870" s="122" t="s">
        <v>4158</v>
      </c>
      <c r="B1870" s="123">
        <v>1041024.0</v>
      </c>
      <c r="C1870" s="124" t="s">
        <v>4159</v>
      </c>
      <c r="D1870" s="125"/>
      <c r="E1870" s="126">
        <v>1.3</v>
      </c>
      <c r="F1870" s="127"/>
      <c r="G1870" s="127"/>
      <c r="H1870" s="127"/>
      <c r="I1870" s="128"/>
      <c r="K1870" s="105" t="str">
        <f>IFERROR(__xludf.DUMMYFUNCTION("if(A1870="""","""",substitute(SUBSTITUTE(index(importhtml(""http://finviz.com/quote.ashx?t=""&amp;A1870,""table"",10),7,2),""*"",""""),""-"",""0.00""))"),"Loading...")</f>
        <v>Loading...</v>
      </c>
      <c r="L1870" s="129">
        <v>3.7036556E7</v>
      </c>
      <c r="M1870" s="99">
        <v>1.21</v>
      </c>
    </row>
    <row r="1871">
      <c r="A1871" s="122" t="s">
        <v>4160</v>
      </c>
      <c r="B1871" s="123">
        <v>1841387.0</v>
      </c>
      <c r="C1871" s="124" t="s">
        <v>4161</v>
      </c>
      <c r="D1871" s="125"/>
      <c r="E1871" s="126">
        <v>1.3</v>
      </c>
      <c r="F1871" s="127"/>
      <c r="G1871" s="127"/>
      <c r="H1871" s="127"/>
      <c r="I1871" s="128"/>
      <c r="K1871" s="105" t="str">
        <f>IFERROR(__xludf.DUMMYFUNCTION("if(A1871="""","""",substitute(SUBSTITUTE(index(importhtml(""http://finviz.com/quote.ashx?t=""&amp;A1871,""table"",10),7,2),""*"",""""),""-"",""0.00""))"),"Loading...")</f>
        <v>Loading...</v>
      </c>
      <c r="L1871" s="129">
        <v>3.7595751E7</v>
      </c>
      <c r="M1871" s="99">
        <f>IFERROR(__xludf.DUMMYFUNCTION("GOOGLEFINANCE(A1871,""beta"")"),-0.94)</f>
        <v>-0.94</v>
      </c>
    </row>
    <row r="1872">
      <c r="A1872" s="122" t="s">
        <v>4162</v>
      </c>
      <c r="B1872" s="123">
        <v>1874875.0</v>
      </c>
      <c r="C1872" s="124" t="s">
        <v>4163</v>
      </c>
      <c r="D1872" s="125"/>
      <c r="E1872" s="126">
        <v>1.3</v>
      </c>
      <c r="F1872" s="127"/>
      <c r="G1872" s="127"/>
      <c r="H1872" s="127"/>
      <c r="I1872" s="128"/>
      <c r="K1872" s="105" t="str">
        <f>IFERROR(__xludf.DUMMYFUNCTION("if(A1872="""","""",substitute(SUBSTITUTE(index(importhtml(""http://finviz.com/quote.ashx?t=""&amp;A1872,""table"",10),7,2),""*"",""""),""-"",""0.00""))"),"Loading...")</f>
        <v>Loading...</v>
      </c>
      <c r="L1872" s="129">
        <v>4.5621231E7</v>
      </c>
      <c r="M1872" s="99">
        <f>IFERROR(__xludf.DUMMYFUNCTION("GOOGLEFINANCE(A1872,""beta"")"),1.44)</f>
        <v>1.44</v>
      </c>
    </row>
    <row r="1873">
      <c r="A1873" s="122" t="s">
        <v>4164</v>
      </c>
      <c r="B1873" s="123">
        <v>1288784.0</v>
      </c>
      <c r="C1873" s="124" t="s">
        <v>4165</v>
      </c>
      <c r="D1873" s="125"/>
      <c r="E1873" s="126">
        <v>1.3</v>
      </c>
      <c r="F1873" s="127"/>
      <c r="G1873" s="127"/>
      <c r="H1873" s="127"/>
      <c r="I1873" s="128"/>
      <c r="K1873" s="105" t="str">
        <f>IFERROR(__xludf.DUMMYFUNCTION("if(A1873="""","""",substitute(SUBSTITUTE(index(importhtml(""http://finviz.com/quote.ashx?t=""&amp;A1873,""table"",10),7,2),""*"",""""),""-"",""0.00""))"),"Loading...")</f>
        <v>Loading...</v>
      </c>
      <c r="L1873" s="129">
        <v>8.1866235E7</v>
      </c>
      <c r="M1873" s="99">
        <v>1.66</v>
      </c>
    </row>
    <row r="1874">
      <c r="A1874" s="122" t="s">
        <v>4166</v>
      </c>
      <c r="B1874" s="123">
        <v>1888654.0</v>
      </c>
      <c r="C1874" s="124" t="s">
        <v>4167</v>
      </c>
      <c r="D1874" s="125"/>
      <c r="E1874" s="126">
        <v>1.3</v>
      </c>
      <c r="F1874" s="127"/>
      <c r="G1874" s="127"/>
      <c r="H1874" s="127"/>
      <c r="I1874" s="128"/>
      <c r="K1874" s="105" t="str">
        <f>IFERROR(__xludf.DUMMYFUNCTION("if(A1874="""","""",substitute(SUBSTITUTE(index(importhtml(""http://finviz.com/quote.ashx?t=""&amp;A1874,""table"",10),7,2),""*"",""""),""-"",""0.00""))"),"Loading...")</f>
        <v>Loading...</v>
      </c>
      <c r="L1874" s="129">
        <v>9.8291553E7</v>
      </c>
      <c r="M1874" s="99">
        <f>IFERROR(__xludf.DUMMYFUNCTION("GOOGLEFINANCE(A1874,""beta"")"),1.6)</f>
        <v>1.6</v>
      </c>
    </row>
    <row r="1875">
      <c r="A1875" s="122" t="s">
        <v>4168</v>
      </c>
      <c r="B1875" s="123">
        <v>1564824.0</v>
      </c>
      <c r="C1875" s="124" t="s">
        <v>4169</v>
      </c>
      <c r="D1875" s="125"/>
      <c r="E1875" s="126">
        <v>1.3</v>
      </c>
      <c r="F1875" s="127"/>
      <c r="G1875" s="127"/>
      <c r="H1875" s="127"/>
      <c r="I1875" s="128"/>
      <c r="K1875" s="105" t="str">
        <f>IFERROR(__xludf.DUMMYFUNCTION("if(A1875="""","""",substitute(SUBSTITUTE(index(importhtml(""http://finviz.com/quote.ashx?t=""&amp;A1875,""table"",10),7,2),""*"",""""),""-"",""0.00""))"),"Loading...")</f>
        <v>Loading...</v>
      </c>
      <c r="L1875" s="129">
        <v>1.13719276E8</v>
      </c>
      <c r="M1875" s="99">
        <v>0.8</v>
      </c>
    </row>
    <row r="1876">
      <c r="A1876" s="122" t="s">
        <v>4170</v>
      </c>
      <c r="B1876" s="123">
        <v>1384195.0</v>
      </c>
      <c r="C1876" s="124" t="s">
        <v>4171</v>
      </c>
      <c r="D1876" s="125"/>
      <c r="E1876" s="126">
        <v>1.3</v>
      </c>
      <c r="F1876" s="127"/>
      <c r="G1876" s="127"/>
      <c r="H1876" s="127"/>
      <c r="I1876" s="128"/>
      <c r="K1876" s="105" t="str">
        <f>IFERROR(__xludf.DUMMYFUNCTION("if(A1876="""","""",substitute(SUBSTITUTE(index(importhtml(""http://finviz.com/quote.ashx?t=""&amp;A1876,""table"",10),7,2),""*"",""""),""-"",""0.00""))"),"Loading...")</f>
        <v>Loading...</v>
      </c>
      <c r="L1876" s="129">
        <v>2.5431925E8</v>
      </c>
      <c r="M1876" s="99">
        <v>1.73</v>
      </c>
    </row>
    <row r="1877">
      <c r="A1877" s="122" t="s">
        <v>4172</v>
      </c>
      <c r="B1877" s="123">
        <v>1627452.0</v>
      </c>
      <c r="C1877" s="124" t="s">
        <v>4173</v>
      </c>
      <c r="D1877" s="125"/>
      <c r="E1877" s="126">
        <v>1.3</v>
      </c>
      <c r="F1877" s="127"/>
      <c r="G1877" s="127"/>
      <c r="H1877" s="127"/>
      <c r="I1877" s="128"/>
      <c r="K1877" s="105" t="str">
        <f>IFERROR(__xludf.DUMMYFUNCTION("if(A1877="""","""",substitute(SUBSTITUTE(index(importhtml(""http://finviz.com/quote.ashx?t=""&amp;A1877,""table"",10),7,2),""*"",""""),""-"",""0.00""))"),"Loading...")</f>
        <v>Loading...</v>
      </c>
      <c r="L1877" s="129">
        <v>2.955875E8</v>
      </c>
      <c r="M1877" s="99" t="str">
        <f>IFERROR(__xludf.DUMMYFUNCTION("GOOGLEFINANCE(A1877,""beta"")"),"#N/A")</f>
        <v>#N/A</v>
      </c>
    </row>
    <row r="1878">
      <c r="A1878" s="122" t="s">
        <v>4174</v>
      </c>
      <c r="B1878" s="123">
        <v>1819142.0</v>
      </c>
      <c r="C1878" s="124" t="s">
        <v>4175</v>
      </c>
      <c r="D1878" s="125"/>
      <c r="E1878" s="126">
        <v>1.3</v>
      </c>
      <c r="F1878" s="127"/>
      <c r="G1878" s="127"/>
      <c r="H1878" s="127"/>
      <c r="I1878" s="128"/>
      <c r="K1878" s="105" t="str">
        <f>IFERROR(__xludf.DUMMYFUNCTION("if(A1878="""","""",substitute(SUBSTITUTE(index(importhtml(""http://finviz.com/quote.ashx?t=""&amp;A1878,""table"",10),7,2),""*"",""""),""-"",""0.00""))"),"#REF!")</f>
        <v>#REF!</v>
      </c>
      <c r="L1878" s="129">
        <v>4.57248203E8</v>
      </c>
      <c r="M1878" s="99" t="str">
        <f>IFERROR(__xludf.DUMMYFUNCTION("GOOGLEFINANCE(A1878,""beta"")"),"#N/A")</f>
        <v>#N/A</v>
      </c>
    </row>
    <row r="1879">
      <c r="A1879" s="122" t="s">
        <v>4176</v>
      </c>
      <c r="B1879" s="123">
        <v>18926.0</v>
      </c>
      <c r="C1879" s="124" t="s">
        <v>4177</v>
      </c>
      <c r="D1879" s="125"/>
      <c r="E1879" s="126">
        <v>1.3</v>
      </c>
      <c r="F1879" s="127"/>
      <c r="G1879" s="127"/>
      <c r="H1879" s="127"/>
      <c r="I1879" s="128"/>
      <c r="K1879" s="105" t="str">
        <f>IFERROR(__xludf.DUMMYFUNCTION("if(A1879="""","""",substitute(SUBSTITUTE(index(importhtml(""http://finviz.com/quote.ashx?t=""&amp;A1879,""table"",10),7,2),""*"",""""),""-"",""0.00""))"),"Loading...")</f>
        <v>Loading...</v>
      </c>
      <c r="L1879" s="129">
        <v>1.311567351E9</v>
      </c>
      <c r="M1879" s="99">
        <v>1.01</v>
      </c>
    </row>
    <row r="1880">
      <c r="A1880" s="122" t="s">
        <v>4178</v>
      </c>
      <c r="B1880" s="123">
        <v>931148.0</v>
      </c>
      <c r="C1880" s="124" t="s">
        <v>4179</v>
      </c>
      <c r="D1880" s="125"/>
      <c r="E1880" s="126">
        <v>1.31</v>
      </c>
      <c r="F1880" s="127"/>
      <c r="G1880" s="127"/>
      <c r="H1880" s="127"/>
      <c r="I1880" s="128"/>
      <c r="K1880" s="55" t="s">
        <v>4180</v>
      </c>
      <c r="L1880" s="129">
        <v>3.36418334E8</v>
      </c>
      <c r="M1880" s="99">
        <v>1.1</v>
      </c>
    </row>
    <row r="1881">
      <c r="A1881" s="122" t="s">
        <v>4181</v>
      </c>
      <c r="B1881" s="123">
        <v>1739410.0</v>
      </c>
      <c r="C1881" s="124" t="s">
        <v>4182</v>
      </c>
      <c r="D1881" s="125"/>
      <c r="E1881" s="126">
        <v>1.31</v>
      </c>
      <c r="F1881" s="127"/>
      <c r="G1881" s="127"/>
      <c r="H1881" s="127"/>
      <c r="I1881" s="128"/>
      <c r="K1881" s="105" t="str">
        <f>IFERROR(__xludf.DUMMYFUNCTION("if(A1881="""","""",substitute(SUBSTITUTE(index(importhtml(""http://finviz.com/quote.ashx?t=""&amp;A1881,""table"",10),7,2),""*"",""""),""-"",""0.00""))"),"Loading...")</f>
        <v>Loading...</v>
      </c>
      <c r="L1881" s="129">
        <v>4.9509744E7</v>
      </c>
      <c r="M1881" s="99">
        <f>IFERROR(__xludf.DUMMYFUNCTION("GOOGLEFINANCE(A1881,""beta"")"),-1.05)</f>
        <v>-1.05</v>
      </c>
    </row>
    <row r="1882">
      <c r="A1882" s="122" t="s">
        <v>4183</v>
      </c>
      <c r="B1882" s="123">
        <v>1844224.0</v>
      </c>
      <c r="C1882" s="124" t="s">
        <v>4184</v>
      </c>
      <c r="D1882" s="125"/>
      <c r="E1882" s="126">
        <v>1.31</v>
      </c>
      <c r="F1882" s="127"/>
      <c r="G1882" s="127"/>
      <c r="H1882" s="127"/>
      <c r="I1882" s="128"/>
      <c r="K1882" s="105" t="str">
        <f>IFERROR(__xludf.DUMMYFUNCTION("if(A1882="""","""",substitute(SUBSTITUTE(index(importhtml(""http://finviz.com/quote.ashx?t=""&amp;A1882,""table"",10),7,2),""*"",""""),""-"",""0.00""))"),"Loading...")</f>
        <v>Loading...</v>
      </c>
      <c r="L1882" s="129">
        <v>1.83013804E8</v>
      </c>
      <c r="M1882" s="99">
        <v>0.66</v>
      </c>
    </row>
    <row r="1883">
      <c r="A1883" s="122" t="s">
        <v>4185</v>
      </c>
      <c r="B1883" s="123">
        <v>1369085.0</v>
      </c>
      <c r="C1883" s="124" t="s">
        <v>4186</v>
      </c>
      <c r="D1883" s="125"/>
      <c r="E1883" s="126">
        <v>1.31</v>
      </c>
      <c r="F1883" s="127"/>
      <c r="G1883" s="127"/>
      <c r="H1883" s="127"/>
      <c r="I1883" s="128"/>
      <c r="K1883" s="105" t="str">
        <f>IFERROR(__xludf.DUMMYFUNCTION("if(A1883="""","""",substitute(SUBSTITUTE(index(importhtml(""http://finviz.com/quote.ashx?t=""&amp;A1883,""table"",10),7,2),""*"",""""),""-"",""0.00""))"),"Loading...")</f>
        <v>Loading...</v>
      </c>
      <c r="L1883" s="129">
        <v>2.99325775E8</v>
      </c>
      <c r="M1883" s="99" t="str">
        <f>IFERROR(__xludf.DUMMYFUNCTION("GOOGLEFINANCE(A1883,""beta"")"),"#N/A")</f>
        <v>#N/A</v>
      </c>
    </row>
    <row r="1884">
      <c r="A1884" s="122" t="s">
        <v>4187</v>
      </c>
      <c r="B1884" s="123">
        <v>1026980.0</v>
      </c>
      <c r="C1884" s="124" t="s">
        <v>4188</v>
      </c>
      <c r="D1884" s="125"/>
      <c r="E1884" s="126">
        <v>1.32</v>
      </c>
      <c r="F1884" s="127"/>
      <c r="G1884" s="127"/>
      <c r="H1884" s="127"/>
      <c r="I1884" s="128"/>
      <c r="K1884" s="105" t="str">
        <f>IFERROR(__xludf.DUMMYFUNCTION("if(A1884="""","""",substitute(SUBSTITUTE(index(importhtml(""http://finviz.com/quote.ashx?t=""&amp;A1884,""table"",10),7,2),""*"",""""),""-"",""0.00""))"),"Loading...")</f>
        <v>Loading...</v>
      </c>
      <c r="L1884" s="129">
        <v>2.7215431E7</v>
      </c>
      <c r="M1884" s="99">
        <v>0.6</v>
      </c>
    </row>
    <row r="1885">
      <c r="A1885" s="122" t="s">
        <v>4189</v>
      </c>
      <c r="B1885" s="123">
        <v>894871.0</v>
      </c>
      <c r="C1885" s="124" t="s">
        <v>4190</v>
      </c>
      <c r="D1885" s="125"/>
      <c r="E1885" s="126">
        <v>1.32</v>
      </c>
      <c r="F1885" s="127"/>
      <c r="G1885" s="127"/>
      <c r="H1885" s="127"/>
      <c r="I1885" s="128"/>
      <c r="K1885" s="105" t="str">
        <f>IFERROR(__xludf.DUMMYFUNCTION("if(A1885="""","""",substitute(SUBSTITUTE(index(importhtml(""http://finviz.com/quote.ashx?t=""&amp;A1885,""table"",10),7,2),""*"",""""),""-"",""0.00""))"),"Loading...")</f>
        <v>Loading...</v>
      </c>
      <c r="L1885" s="129">
        <v>3.1462056E7</v>
      </c>
      <c r="M1885" s="99">
        <v>0.23</v>
      </c>
    </row>
    <row r="1886">
      <c r="A1886" s="122" t="s">
        <v>4191</v>
      </c>
      <c r="B1886" s="123">
        <v>1775898.0</v>
      </c>
      <c r="C1886" s="124" t="s">
        <v>4192</v>
      </c>
      <c r="D1886" s="125"/>
      <c r="E1886" s="126">
        <v>1.32</v>
      </c>
      <c r="F1886" s="127"/>
      <c r="G1886" s="127"/>
      <c r="H1886" s="127"/>
      <c r="I1886" s="128"/>
      <c r="K1886" s="105" t="str">
        <f>IFERROR(__xludf.DUMMYFUNCTION("if(A1886="""","""",substitute(SUBSTITUTE(index(importhtml(""http://finviz.com/quote.ashx?t=""&amp;A1886,""table"",10),7,2),""*"",""""),""-"",""0.00""))"),"Loading...")</f>
        <v>Loading...</v>
      </c>
      <c r="L1886" s="129">
        <v>4.8812479E7</v>
      </c>
      <c r="M1886" s="99">
        <v>4.68</v>
      </c>
    </row>
    <row r="1887">
      <c r="A1887" s="122" t="s">
        <v>4193</v>
      </c>
      <c r="B1887" s="123">
        <v>1780652.0</v>
      </c>
      <c r="C1887" s="124" t="s">
        <v>4194</v>
      </c>
      <c r="D1887" s="125"/>
      <c r="E1887" s="126">
        <v>1.33</v>
      </c>
      <c r="F1887" s="127"/>
      <c r="G1887" s="127"/>
      <c r="H1887" s="127"/>
      <c r="I1887" s="128"/>
      <c r="K1887" s="55" t="s">
        <v>1034</v>
      </c>
      <c r="L1887" s="129">
        <v>3.38181504E8</v>
      </c>
      <c r="M1887" s="99">
        <v>3.04</v>
      </c>
    </row>
    <row r="1888">
      <c r="A1888" s="122" t="s">
        <v>4195</v>
      </c>
      <c r="B1888" s="123">
        <v>1862150.0</v>
      </c>
      <c r="C1888" s="124" t="s">
        <v>4196</v>
      </c>
      <c r="D1888" s="125"/>
      <c r="E1888" s="126">
        <v>1.33</v>
      </c>
      <c r="F1888" s="127"/>
      <c r="G1888" s="127"/>
      <c r="H1888" s="127"/>
      <c r="I1888" s="128"/>
      <c r="K1888" s="105" t="str">
        <f>IFERROR(__xludf.DUMMYFUNCTION("if(A1888="""","""",substitute(SUBSTITUTE(index(importhtml(""http://finviz.com/quote.ashx?t=""&amp;A1888,""table"",10),7,2),""*"",""""),""-"",""0.00""))"),"Loading...")</f>
        <v>Loading...</v>
      </c>
      <c r="L1888" s="129">
        <v>1246210.0</v>
      </c>
      <c r="M1888" s="99" t="e">
        <v>#N/A</v>
      </c>
    </row>
    <row r="1889">
      <c r="A1889" s="122" t="s">
        <v>4197</v>
      </c>
      <c r="B1889" s="123">
        <v>922521.0</v>
      </c>
      <c r="C1889" s="124" t="s">
        <v>4198</v>
      </c>
      <c r="D1889" s="125"/>
      <c r="E1889" s="126">
        <v>1.33</v>
      </c>
      <c r="F1889" s="127"/>
      <c r="G1889" s="127"/>
      <c r="H1889" s="127"/>
      <c r="I1889" s="128"/>
      <c r="K1889" s="105" t="str">
        <f>IFERROR(__xludf.DUMMYFUNCTION("if(A1889="""","""",substitute(SUBSTITUTE(index(importhtml(""http://finviz.com/quote.ashx?t=""&amp;A1889,""table"",10),7,2),""*"",""""),""-"",""0.00""))"),"Loading...")</f>
        <v>Loading...</v>
      </c>
      <c r="L1889" s="129">
        <v>9476290.0</v>
      </c>
      <c r="M1889" s="99">
        <v>-0.88</v>
      </c>
    </row>
    <row r="1890">
      <c r="A1890" s="122" t="s">
        <v>4199</v>
      </c>
      <c r="B1890" s="123">
        <v>1397047.0</v>
      </c>
      <c r="C1890" s="124" t="s">
        <v>4200</v>
      </c>
      <c r="D1890" s="125"/>
      <c r="E1890" s="126">
        <v>1.33</v>
      </c>
      <c r="F1890" s="127"/>
      <c r="G1890" s="127"/>
      <c r="H1890" s="127"/>
      <c r="I1890" s="128"/>
      <c r="K1890" s="105" t="str">
        <f>IFERROR(__xludf.DUMMYFUNCTION("if(A1890="""","""",substitute(SUBSTITUTE(index(importhtml(""http://finviz.com/quote.ashx?t=""&amp;A1890,""table"",10),7,2),""*"",""""),""-"",""0.00""))"),"Loading...")</f>
        <v>Loading...</v>
      </c>
      <c r="L1890" s="129">
        <v>2.8796522E7</v>
      </c>
      <c r="M1890" s="99">
        <v>1.22</v>
      </c>
    </row>
    <row r="1891">
      <c r="A1891" s="122" t="s">
        <v>4201</v>
      </c>
      <c r="B1891" s="123">
        <v>1640043.0</v>
      </c>
      <c r="C1891" s="124" t="s">
        <v>4202</v>
      </c>
      <c r="D1891" s="125"/>
      <c r="E1891" s="126">
        <v>1.33</v>
      </c>
      <c r="F1891" s="127"/>
      <c r="G1891" s="127"/>
      <c r="H1891" s="127"/>
      <c r="I1891" s="128"/>
      <c r="K1891" s="105" t="str">
        <f>IFERROR(__xludf.DUMMYFUNCTION("if(A1891="""","""",substitute(SUBSTITUTE(index(importhtml(""http://finviz.com/quote.ashx?t=""&amp;A1891,""table"",10),7,2),""*"",""""),""-"",""0.00""))"),"Loading...")</f>
        <v>Loading...</v>
      </c>
      <c r="L1891" s="129">
        <v>4.7186176E7</v>
      </c>
      <c r="M1891" s="99">
        <v>0.54</v>
      </c>
    </row>
    <row r="1892">
      <c r="A1892" s="122" t="s">
        <v>4203</v>
      </c>
      <c r="B1892" s="123">
        <v>1662774.0</v>
      </c>
      <c r="C1892" s="124" t="s">
        <v>4204</v>
      </c>
      <c r="D1892" s="125"/>
      <c r="E1892" s="126">
        <v>1.33</v>
      </c>
      <c r="F1892" s="127"/>
      <c r="G1892" s="127"/>
      <c r="H1892" s="127"/>
      <c r="I1892" s="128"/>
      <c r="K1892" s="105" t="str">
        <f>IFERROR(__xludf.DUMMYFUNCTION("if(A1892="""","""",substitute(SUBSTITUTE(index(importhtml(""http://finviz.com/quote.ashx?t=""&amp;A1892,""table"",10),7,2),""*"",""""),""-"",""0.00""))"),"Loading...")</f>
        <v>Loading...</v>
      </c>
      <c r="L1892" s="129">
        <v>5.7015692E7</v>
      </c>
      <c r="M1892" s="99">
        <v>1.28</v>
      </c>
    </row>
    <row r="1893">
      <c r="A1893" s="122" t="s">
        <v>4205</v>
      </c>
      <c r="B1893" s="123">
        <v>310522.0</v>
      </c>
      <c r="C1893" s="124" t="s">
        <v>4206</v>
      </c>
      <c r="D1893" s="125"/>
      <c r="E1893" s="126">
        <v>1.33</v>
      </c>
      <c r="F1893" s="127"/>
      <c r="G1893" s="127"/>
      <c r="H1893" s="127"/>
      <c r="I1893" s="128"/>
      <c r="K1893" s="105" t="str">
        <f>IFERROR(__xludf.DUMMYFUNCTION("if(A1893="""","""",substitute(SUBSTITUTE(index(importhtml(""http://finviz.com/quote.ashx?t=""&amp;A1893,""table"",10),7,2),""*"",""""),""-"",""0.00""))"),"Loading...")</f>
        <v>Loading...</v>
      </c>
      <c r="L1893" s="129">
        <v>1.540255759E9</v>
      </c>
      <c r="M1893" s="99">
        <v>1.34</v>
      </c>
    </row>
    <row r="1894">
      <c r="A1894" s="122" t="s">
        <v>4207</v>
      </c>
      <c r="B1894" s="123">
        <v>1648960.0</v>
      </c>
      <c r="C1894" s="124" t="s">
        <v>4208</v>
      </c>
      <c r="D1894" s="125"/>
      <c r="E1894" s="126">
        <v>1.34</v>
      </c>
      <c r="F1894" s="127"/>
      <c r="G1894" s="127"/>
      <c r="H1894" s="127"/>
      <c r="I1894" s="128"/>
      <c r="K1894" s="105" t="str">
        <f>IFERROR(__xludf.DUMMYFUNCTION("if(A1894="""","""",substitute(SUBSTITUTE(index(importhtml(""http://finviz.com/quote.ashx?t=""&amp;A1894,""table"",10),7,2),""*"",""""),""-"",""0.00""))"),"Loading...")</f>
        <v>Loading...</v>
      </c>
      <c r="L1894" s="129">
        <v>3331627.0</v>
      </c>
      <c r="M1894" s="99" t="str">
        <f>IFERROR(__xludf.DUMMYFUNCTION("GOOGLEFINANCE(A1894,""beta"")"),"#N/A")</f>
        <v>#N/A</v>
      </c>
    </row>
    <row r="1895">
      <c r="A1895" s="122" t="s">
        <v>4209</v>
      </c>
      <c r="B1895" s="123">
        <v>1487197.0</v>
      </c>
      <c r="C1895" s="124" t="s">
        <v>4210</v>
      </c>
      <c r="D1895" s="125"/>
      <c r="E1895" s="126">
        <v>1.34</v>
      </c>
      <c r="F1895" s="127"/>
      <c r="G1895" s="127"/>
      <c r="H1895" s="127"/>
      <c r="I1895" s="128"/>
      <c r="K1895" s="105" t="str">
        <f>IFERROR(__xludf.DUMMYFUNCTION("if(A1895="""","""",substitute(SUBSTITUTE(index(importhtml(""http://finviz.com/quote.ashx?t=""&amp;A1895,""table"",10),7,2),""*"",""""),""-"",""0.00""))"),"Loading...")</f>
        <v>Loading...</v>
      </c>
      <c r="L1895" s="129">
        <v>1.8687318E7</v>
      </c>
      <c r="M1895" s="99">
        <v>0.29</v>
      </c>
    </row>
    <row r="1896">
      <c r="A1896" s="122" t="s">
        <v>4211</v>
      </c>
      <c r="B1896" s="123">
        <v>1530766.0</v>
      </c>
      <c r="C1896" s="124" t="s">
        <v>4212</v>
      </c>
      <c r="D1896" s="125"/>
      <c r="E1896" s="126">
        <v>1.34</v>
      </c>
      <c r="F1896" s="127"/>
      <c r="G1896" s="127"/>
      <c r="H1896" s="127"/>
      <c r="I1896" s="128"/>
      <c r="K1896" s="105" t="str">
        <f>IFERROR(__xludf.DUMMYFUNCTION("if(A1896="""","""",substitute(SUBSTITUTE(index(importhtml(""http://finviz.com/quote.ashx?t=""&amp;A1896,""table"",10),7,2),""*"",""""),""-"",""0.00""))"),"Loading...")</f>
        <v>Loading...</v>
      </c>
      <c r="L1896" s="129">
        <v>1.14374604E8</v>
      </c>
      <c r="M1896" s="99">
        <v>1.41</v>
      </c>
    </row>
    <row r="1897">
      <c r="A1897" s="122" t="s">
        <v>4213</v>
      </c>
      <c r="B1897" s="123">
        <v>1792581.0</v>
      </c>
      <c r="C1897" s="124" t="s">
        <v>4214</v>
      </c>
      <c r="D1897" s="125"/>
      <c r="E1897" s="126">
        <v>1.35</v>
      </c>
      <c r="F1897" s="127"/>
      <c r="G1897" s="127"/>
      <c r="H1897" s="127"/>
      <c r="I1897" s="128"/>
      <c r="K1897" s="105" t="str">
        <f>IFERROR(__xludf.DUMMYFUNCTION("if(A1897="""","""",substitute(SUBSTITUTE(index(importhtml(""http://finviz.com/quote.ashx?t=""&amp;A1897,""table"",10),7,2),""*"",""""),""-"",""0.00""))"),"Loading...")</f>
        <v>Loading...</v>
      </c>
      <c r="L1897" s="129">
        <v>1698921.0</v>
      </c>
      <c r="M1897" s="99">
        <v>1.6</v>
      </c>
    </row>
    <row r="1898">
      <c r="A1898" s="122" t="s">
        <v>4215</v>
      </c>
      <c r="B1898" s="123">
        <v>1557376.0</v>
      </c>
      <c r="C1898" s="124" t="s">
        <v>4216</v>
      </c>
      <c r="D1898" s="125"/>
      <c r="E1898" s="126">
        <v>1.35</v>
      </c>
      <c r="F1898" s="127"/>
      <c r="G1898" s="127"/>
      <c r="H1898" s="127"/>
      <c r="I1898" s="128"/>
      <c r="K1898" s="105" t="str">
        <f>IFERROR(__xludf.DUMMYFUNCTION("if(A1898="""","""",substitute(SUBSTITUTE(index(importhtml(""http://finviz.com/quote.ashx?t=""&amp;A1898,""table"",10),7,2),""*"",""""),""-"",""0.00""))"),"Loading...")</f>
        <v>Loading...</v>
      </c>
      <c r="L1898" s="129">
        <v>8269396.0</v>
      </c>
      <c r="M1898" s="99">
        <v>4.18</v>
      </c>
    </row>
    <row r="1899">
      <c r="A1899" s="122" t="s">
        <v>4217</v>
      </c>
      <c r="B1899" s="123">
        <v>1096275.0</v>
      </c>
      <c r="C1899" s="124" t="s">
        <v>4218</v>
      </c>
      <c r="D1899" s="125"/>
      <c r="E1899" s="126">
        <v>1.35</v>
      </c>
      <c r="F1899" s="127"/>
      <c r="G1899" s="127"/>
      <c r="H1899" s="127"/>
      <c r="I1899" s="128"/>
      <c r="K1899" s="105" t="str">
        <f>IFERROR(__xludf.DUMMYFUNCTION("if(A1899="""","""",substitute(SUBSTITUTE(index(importhtml(""http://finviz.com/quote.ashx?t=""&amp;A1899,""table"",10),7,2),""*"",""""),""-"",""0.00""))"),"Loading...")</f>
        <v>Loading...</v>
      </c>
      <c r="L1899" s="129">
        <v>2.6235508E7</v>
      </c>
      <c r="M1899" s="99">
        <v>1.54</v>
      </c>
    </row>
    <row r="1900">
      <c r="A1900" s="122" t="s">
        <v>4219</v>
      </c>
      <c r="B1900" s="123">
        <v>1505512.0</v>
      </c>
      <c r="C1900" s="124" t="s">
        <v>4220</v>
      </c>
      <c r="D1900" s="125"/>
      <c r="E1900" s="126">
        <v>1.35</v>
      </c>
      <c r="F1900" s="127"/>
      <c r="G1900" s="127"/>
      <c r="H1900" s="127"/>
      <c r="I1900" s="128"/>
      <c r="K1900" s="105" t="str">
        <f>IFERROR(__xludf.DUMMYFUNCTION("if(A1900="""","""",substitute(SUBSTITUTE(index(importhtml(""http://finviz.com/quote.ashx?t=""&amp;A1900,""table"",10),7,2),""*"",""""),""-"",""0.00""))"),"Loading...")</f>
        <v>Loading...</v>
      </c>
      <c r="L1900" s="129">
        <v>2.7300591E7</v>
      </c>
      <c r="M1900" s="99">
        <v>1.47</v>
      </c>
    </row>
    <row r="1901">
      <c r="A1901" s="122" t="s">
        <v>4221</v>
      </c>
      <c r="B1901" s="123">
        <v>1876766.0</v>
      </c>
      <c r="C1901" s="124" t="s">
        <v>4222</v>
      </c>
      <c r="D1901" s="125"/>
      <c r="E1901" s="126">
        <v>1.35</v>
      </c>
      <c r="F1901" s="127"/>
      <c r="G1901" s="127"/>
      <c r="H1901" s="127"/>
      <c r="I1901" s="128"/>
      <c r="K1901" s="105" t="str">
        <f>IFERROR(__xludf.DUMMYFUNCTION("if(A1901="""","""",substitute(SUBSTITUTE(index(importhtml(""http://finviz.com/quote.ashx?t=""&amp;A1901,""table"",10),7,2),""*"",""""),""-"",""0.00""))"),"Loading...")</f>
        <v>Loading...</v>
      </c>
      <c r="L1901" s="129">
        <v>3.5775E7</v>
      </c>
      <c r="M1901" s="99" t="str">
        <f>IFERROR(__xludf.DUMMYFUNCTION("GOOGLEFINANCE(A1901,""beta"")"),"#N/A")</f>
        <v>#N/A</v>
      </c>
    </row>
    <row r="1902">
      <c r="A1902" s="122" t="s">
        <v>4223</v>
      </c>
      <c r="B1902" s="123">
        <v>1224133.0</v>
      </c>
      <c r="C1902" s="124" t="s">
        <v>4224</v>
      </c>
      <c r="D1902" s="125"/>
      <c r="E1902" s="126">
        <v>1.35</v>
      </c>
      <c r="F1902" s="127"/>
      <c r="G1902" s="127"/>
      <c r="H1902" s="127"/>
      <c r="I1902" s="128"/>
      <c r="K1902" s="105" t="str">
        <f>IFERROR(__xludf.DUMMYFUNCTION("if(A1902="""","""",substitute(SUBSTITUTE(index(importhtml(""http://finviz.com/quote.ashx?t=""&amp;A1902,""table"",10),7,2),""*"",""""),""-"",""0.00""))"),"Loading...")</f>
        <v>Loading...</v>
      </c>
      <c r="L1902" s="129">
        <v>5.8477627E7</v>
      </c>
      <c r="M1902" s="99">
        <v>1.99</v>
      </c>
    </row>
    <row r="1903">
      <c r="A1903" s="122" t="s">
        <v>4225</v>
      </c>
      <c r="B1903" s="123">
        <v>1590715.0</v>
      </c>
      <c r="C1903" s="124" t="s">
        <v>4226</v>
      </c>
      <c r="D1903" s="125"/>
      <c r="E1903" s="126">
        <v>1.35</v>
      </c>
      <c r="F1903" s="127"/>
      <c r="G1903" s="127"/>
      <c r="H1903" s="127"/>
      <c r="I1903" s="128"/>
      <c r="K1903" s="105" t="str">
        <f>IFERROR(__xludf.DUMMYFUNCTION("if(A1903="""","""",substitute(SUBSTITUTE(index(importhtml(""http://finviz.com/quote.ashx?t=""&amp;A1903,""table"",10),7,2),""*"",""""),""-"",""0.00""))"),"Loading...")</f>
        <v>Loading...</v>
      </c>
      <c r="L1903" s="129">
        <v>1.05276646E8</v>
      </c>
      <c r="M1903" s="99">
        <v>0.32</v>
      </c>
    </row>
    <row r="1904">
      <c r="A1904" s="122" t="s">
        <v>4227</v>
      </c>
      <c r="B1904" s="123">
        <v>1094324.0</v>
      </c>
      <c r="C1904" s="124" t="s">
        <v>4228</v>
      </c>
      <c r="D1904" s="125"/>
      <c r="E1904" s="126">
        <v>1.35</v>
      </c>
      <c r="F1904" s="127"/>
      <c r="G1904" s="127"/>
      <c r="H1904" s="127"/>
      <c r="I1904" s="128"/>
      <c r="K1904" s="105" t="str">
        <f>IFERROR(__xludf.DUMMYFUNCTION("if(A1904="""","""",substitute(SUBSTITUTE(index(importhtml(""http://finviz.com/quote.ashx?t=""&amp;A1904,""table"",10),7,2),""*"",""""),""-"",""0.00""))"),"#REF!")</f>
        <v>#REF!</v>
      </c>
      <c r="L1904" s="129">
        <v>2.46827659E8</v>
      </c>
      <c r="M1904" s="99">
        <v>1.63</v>
      </c>
    </row>
    <row r="1905">
      <c r="A1905" s="122" t="s">
        <v>4229</v>
      </c>
      <c r="B1905" s="123">
        <v>1903870.0</v>
      </c>
      <c r="C1905" s="124" t="s">
        <v>4230</v>
      </c>
      <c r="D1905" s="125"/>
      <c r="E1905" s="126">
        <v>1.35</v>
      </c>
      <c r="F1905" s="127"/>
      <c r="G1905" s="127"/>
      <c r="H1905" s="127"/>
      <c r="I1905" s="128"/>
      <c r="K1905" s="105" t="str">
        <f>IFERROR(__xludf.DUMMYFUNCTION("if(A1905="""","""",substitute(SUBSTITUTE(index(importhtml(""http://finviz.com/quote.ashx?t=""&amp;A1905,""table"",10),7,2),""*"",""""),""-"",""0.00""))"),"Loading...")</f>
        <v>Loading...</v>
      </c>
      <c r="L1905" s="129">
        <v>2.8088753E8</v>
      </c>
      <c r="M1905" s="99">
        <f>IFERROR(__xludf.DUMMYFUNCTION("GOOGLEFINANCE(A1905,""beta"")"),0.58)</f>
        <v>0.58</v>
      </c>
    </row>
    <row r="1906">
      <c r="A1906" s="122" t="s">
        <v>4231</v>
      </c>
      <c r="B1906" s="123">
        <v>41719.0</v>
      </c>
      <c r="C1906" s="124" t="s">
        <v>4232</v>
      </c>
      <c r="D1906" s="125"/>
      <c r="E1906" s="126">
        <v>1.36</v>
      </c>
      <c r="F1906" s="127"/>
      <c r="G1906" s="127"/>
      <c r="H1906" s="127"/>
      <c r="I1906" s="128"/>
      <c r="K1906" s="55" t="s">
        <v>1034</v>
      </c>
      <c r="L1906" s="129">
        <v>6.1318198E7</v>
      </c>
      <c r="M1906" s="99">
        <v>1.59</v>
      </c>
    </row>
    <row r="1907">
      <c r="A1907" s="122" t="s">
        <v>4233</v>
      </c>
      <c r="B1907" s="123">
        <v>1620179.0</v>
      </c>
      <c r="C1907" s="124" t="s">
        <v>4234</v>
      </c>
      <c r="D1907" s="125"/>
      <c r="E1907" s="126">
        <v>1.36</v>
      </c>
      <c r="F1907" s="127"/>
      <c r="G1907" s="127"/>
      <c r="H1907" s="127"/>
      <c r="I1907" s="128"/>
      <c r="K1907" s="105" t="str">
        <f>IFERROR(__xludf.DUMMYFUNCTION("if(A1907="""","""",substitute(SUBSTITUTE(index(importhtml(""http://finviz.com/quote.ashx?t=""&amp;A1907,""table"",10),7,2),""*"",""""),""-"",""0.00""))"),"Loading...")</f>
        <v>Loading...</v>
      </c>
      <c r="L1907" s="129">
        <v>1.3558202E7</v>
      </c>
      <c r="M1907" s="99">
        <f>IFERROR(__xludf.DUMMYFUNCTION("GOOGLEFINANCE(A1907,""beta"")"),1.12)</f>
        <v>1.12</v>
      </c>
    </row>
    <row r="1908">
      <c r="A1908" s="122" t="s">
        <v>4235</v>
      </c>
      <c r="B1908" s="123">
        <v>1502292.0</v>
      </c>
      <c r="C1908" s="124" t="s">
        <v>4236</v>
      </c>
      <c r="D1908" s="125"/>
      <c r="E1908" s="126">
        <v>1.36</v>
      </c>
      <c r="F1908" s="127"/>
      <c r="G1908" s="127"/>
      <c r="H1908" s="127"/>
      <c r="I1908" s="128"/>
      <c r="K1908" s="105" t="str">
        <f>IFERROR(__xludf.DUMMYFUNCTION("if(A1908="""","""",substitute(SUBSTITUTE(index(importhtml(""http://finviz.com/quote.ashx?t=""&amp;A1908,""table"",10),7,2),""*"",""""),""-"",""0.00""))"),"Loading...")</f>
        <v>Loading...</v>
      </c>
      <c r="L1908" s="129">
        <v>1.6623103E7</v>
      </c>
      <c r="M1908" s="99">
        <v>0.67</v>
      </c>
    </row>
    <row r="1909">
      <c r="A1909" s="122" t="s">
        <v>4237</v>
      </c>
      <c r="B1909" s="123">
        <v>1584371.0</v>
      </c>
      <c r="C1909" s="124" t="s">
        <v>4238</v>
      </c>
      <c r="D1909" s="125"/>
      <c r="E1909" s="126">
        <v>1.36</v>
      </c>
      <c r="F1909" s="127"/>
      <c r="G1909" s="127"/>
      <c r="H1909" s="127"/>
      <c r="I1909" s="128"/>
      <c r="K1909" s="105" t="str">
        <f>IFERROR(__xludf.DUMMYFUNCTION("if(A1909="""","""",substitute(SUBSTITUTE(index(importhtml(""http://finviz.com/quote.ashx?t=""&amp;A1909,""table"",10),7,2),""*"",""""),""-"",""0.00""))"),"Loading...")</f>
        <v>Loading...</v>
      </c>
      <c r="L1909" s="129">
        <v>6.2192365E7</v>
      </c>
      <c r="M1909" s="99">
        <v>17.25</v>
      </c>
    </row>
    <row r="1910">
      <c r="A1910" s="122" t="s">
        <v>4239</v>
      </c>
      <c r="B1910" s="123">
        <v>1874315.0</v>
      </c>
      <c r="C1910" s="124" t="s">
        <v>4240</v>
      </c>
      <c r="D1910" s="125"/>
      <c r="E1910" s="126">
        <v>1.36</v>
      </c>
      <c r="F1910" s="127"/>
      <c r="G1910" s="127"/>
      <c r="H1910" s="127"/>
      <c r="I1910" s="128"/>
      <c r="K1910" s="105" t="str">
        <f>IFERROR(__xludf.DUMMYFUNCTION("if(A1910="""","""",substitute(SUBSTITUTE(index(importhtml(""http://finviz.com/quote.ashx?t=""&amp;A1910,""table"",10),7,2),""*"",""""),""-"",""0.00""))"),"Loading...")</f>
        <v>Loading...</v>
      </c>
      <c r="L1910" s="129">
        <v>1.21833629E8</v>
      </c>
      <c r="M1910" s="99">
        <f>IFERROR(__xludf.DUMMYFUNCTION("GOOGLEFINANCE(A1910,""beta"")"),1.37)</f>
        <v>1.37</v>
      </c>
    </row>
    <row r="1911">
      <c r="A1911" s="122" t="s">
        <v>4241</v>
      </c>
      <c r="B1911" s="123">
        <v>1834026.0</v>
      </c>
      <c r="C1911" s="124" t="s">
        <v>4242</v>
      </c>
      <c r="D1911" s="125"/>
      <c r="E1911" s="126">
        <v>1.36</v>
      </c>
      <c r="F1911" s="127"/>
      <c r="G1911" s="127"/>
      <c r="H1911" s="127"/>
      <c r="I1911" s="128"/>
      <c r="K1911" s="105" t="str">
        <f>IFERROR(__xludf.DUMMYFUNCTION("if(A1911="""","""",substitute(SUBSTITUTE(index(importhtml(""http://finviz.com/quote.ashx?t=""&amp;A1911,""table"",10),7,2),""*"",""""),""-"",""0.00""))"),"Loading...")</f>
        <v>Loading...</v>
      </c>
      <c r="L1911" s="129">
        <v>1.95867474E8</v>
      </c>
      <c r="M1911" s="99">
        <f>IFERROR(__xludf.DUMMYFUNCTION("GOOGLEFINANCE(A1911,""beta"")"),0.99)</f>
        <v>0.99</v>
      </c>
    </row>
    <row r="1912">
      <c r="A1912" s="122" t="s">
        <v>4243</v>
      </c>
      <c r="B1912" s="123">
        <v>1535628.0</v>
      </c>
      <c r="C1912" s="124" t="s">
        <v>4244</v>
      </c>
      <c r="D1912" s="125"/>
      <c r="E1912" s="126">
        <v>1.36</v>
      </c>
      <c r="F1912" s="127"/>
      <c r="G1912" s="127"/>
      <c r="H1912" s="127"/>
      <c r="I1912" s="128"/>
      <c r="K1912" s="105" t="str">
        <f>IFERROR(__xludf.DUMMYFUNCTION("if(A1912="""","""",substitute(SUBSTITUTE(index(importhtml(""http://finviz.com/quote.ashx?t=""&amp;A1912,""table"",10),7,2),""*"",""""),""-"",""0.00""))"),"Loading...")</f>
        <v>Loading...</v>
      </c>
      <c r="L1912" s="129">
        <v>2.8730955799E10</v>
      </c>
      <c r="M1912" s="99">
        <v>0.65</v>
      </c>
    </row>
    <row r="1913">
      <c r="A1913" s="122" t="s">
        <v>4245</v>
      </c>
      <c r="B1913" s="123">
        <v>1621221.0</v>
      </c>
      <c r="C1913" s="124" t="s">
        <v>4246</v>
      </c>
      <c r="D1913" s="125"/>
      <c r="E1913" s="126">
        <v>1.37</v>
      </c>
      <c r="F1913" s="127"/>
      <c r="G1913" s="127"/>
      <c r="H1913" s="127"/>
      <c r="I1913" s="128"/>
      <c r="K1913" s="105" t="str">
        <f>IFERROR(__xludf.DUMMYFUNCTION("if(A1913="""","""",substitute(SUBSTITUTE(index(importhtml(""http://finviz.com/quote.ashx?t=""&amp;A1913,""table"",10),7,2),""*"",""""),""-"",""0.00""))"),"Loading...")</f>
        <v>Loading...</v>
      </c>
      <c r="L1913" s="129">
        <v>4368868.0</v>
      </c>
      <c r="M1913" s="99">
        <v>1.17</v>
      </c>
    </row>
    <row r="1914">
      <c r="A1914" s="122" t="s">
        <v>4247</v>
      </c>
      <c r="B1914" s="123">
        <v>1362705.0</v>
      </c>
      <c r="C1914" s="124" t="s">
        <v>4248</v>
      </c>
      <c r="D1914" s="125"/>
      <c r="E1914" s="126">
        <v>1.37</v>
      </c>
      <c r="F1914" s="127"/>
      <c r="G1914" s="127"/>
      <c r="H1914" s="127"/>
      <c r="I1914" s="128"/>
      <c r="K1914" s="105" t="str">
        <f>IFERROR(__xludf.DUMMYFUNCTION("if(A1914="""","""",substitute(SUBSTITUTE(index(importhtml(""http://finviz.com/quote.ashx?t=""&amp;A1914,""table"",10),7,2),""*"",""""),""-"",""0.00""))"),"Loading...")</f>
        <v>Loading...</v>
      </c>
      <c r="L1914" s="129">
        <v>1.1548299E7</v>
      </c>
      <c r="M1914" s="99">
        <v>1.04</v>
      </c>
    </row>
    <row r="1915">
      <c r="A1915" s="122" t="s">
        <v>4249</v>
      </c>
      <c r="B1915" s="123">
        <v>82473.0</v>
      </c>
      <c r="C1915" s="124" t="s">
        <v>4250</v>
      </c>
      <c r="D1915" s="125"/>
      <c r="E1915" s="126">
        <v>1.37</v>
      </c>
      <c r="F1915" s="127"/>
      <c r="G1915" s="127"/>
      <c r="H1915" s="127"/>
      <c r="I1915" s="128"/>
      <c r="K1915" s="105" t="str">
        <f>IFERROR(__xludf.DUMMYFUNCTION("if(A1915="""","""",substitute(SUBSTITUTE(index(importhtml(""http://finviz.com/quote.ashx?t=""&amp;A1915,""table"",10),7,2),""*"",""""),""-"",""0.00""))"),"Loading...")</f>
        <v>Loading...</v>
      </c>
      <c r="L1915" s="129">
        <v>1.2292922E7</v>
      </c>
      <c r="M1915" s="99">
        <v>0.17</v>
      </c>
    </row>
    <row r="1916">
      <c r="A1916" s="122" t="s">
        <v>4251</v>
      </c>
      <c r="B1916" s="123">
        <v>1862068.0</v>
      </c>
      <c r="C1916" s="124" t="s">
        <v>4252</v>
      </c>
      <c r="D1916" s="125"/>
      <c r="E1916" s="126">
        <v>1.37</v>
      </c>
      <c r="F1916" s="127"/>
      <c r="G1916" s="127"/>
      <c r="H1916" s="127"/>
      <c r="I1916" s="128"/>
      <c r="K1916" s="105" t="str">
        <f>IFERROR(__xludf.DUMMYFUNCTION("if(A1916="""","""",substitute(SUBSTITUTE(index(importhtml(""http://finviz.com/quote.ashx?t=""&amp;A1916,""table"",10),7,2),""*"",""""),""-"",""0.00""))"),"Loading...")</f>
        <v>Loading...</v>
      </c>
      <c r="L1916" s="129">
        <v>6.4136714E7</v>
      </c>
      <c r="M1916" s="99" t="str">
        <f>IFERROR(__xludf.DUMMYFUNCTION("GOOGLEFINANCE(A1916,""beta"")"),"#N/A")</f>
        <v>#N/A</v>
      </c>
    </row>
    <row r="1917">
      <c r="A1917" s="122" t="s">
        <v>4253</v>
      </c>
      <c r="B1917" s="123">
        <v>1646188.0</v>
      </c>
      <c r="C1917" s="124" t="s">
        <v>4254</v>
      </c>
      <c r="D1917" s="125"/>
      <c r="E1917" s="126">
        <v>1.37</v>
      </c>
      <c r="F1917" s="127"/>
      <c r="G1917" s="127"/>
      <c r="H1917" s="127"/>
      <c r="I1917" s="128"/>
      <c r="K1917" s="105" t="str">
        <f>IFERROR(__xludf.DUMMYFUNCTION("if(A1917="""","""",substitute(SUBSTITUTE(index(importhtml(""http://finviz.com/quote.ashx?t=""&amp;A1917,""table"",10),7,2),""*"",""""),""-"",""0.00""))"),"Loading...")</f>
        <v>Loading...</v>
      </c>
      <c r="L1917" s="129">
        <v>7.9886494E7</v>
      </c>
      <c r="M1917" s="99">
        <v>2.63</v>
      </c>
    </row>
    <row r="1918">
      <c r="A1918" s="122" t="s">
        <v>4255</v>
      </c>
      <c r="B1918" s="123">
        <v>1539029.0</v>
      </c>
      <c r="C1918" s="124" t="s">
        <v>4256</v>
      </c>
      <c r="D1918" s="125"/>
      <c r="E1918" s="126">
        <v>1.37</v>
      </c>
      <c r="F1918" s="127"/>
      <c r="G1918" s="127"/>
      <c r="H1918" s="127"/>
      <c r="I1918" s="128"/>
      <c r="K1918" s="105" t="str">
        <f>IFERROR(__xludf.DUMMYFUNCTION("if(A1918="""","""",substitute(SUBSTITUTE(index(importhtml(""http://finviz.com/quote.ashx?t=""&amp;A1918,""table"",10),7,2),""*"",""""),""-"",""0.00""))"),"Loading...")</f>
        <v>Loading...</v>
      </c>
      <c r="L1918" s="129">
        <v>8.5500138E7</v>
      </c>
      <c r="M1918" s="99">
        <v>2.3</v>
      </c>
    </row>
    <row r="1919">
      <c r="A1919" s="122" t="s">
        <v>4257</v>
      </c>
      <c r="B1919" s="123">
        <v>1904501.0</v>
      </c>
      <c r="C1919" s="124" t="s">
        <v>4258</v>
      </c>
      <c r="D1919" s="125"/>
      <c r="E1919" s="126">
        <v>1.37</v>
      </c>
      <c r="F1919" s="127"/>
      <c r="G1919" s="127"/>
      <c r="H1919" s="127"/>
      <c r="I1919" s="128"/>
      <c r="K1919" s="105" t="str">
        <f>IFERROR(__xludf.DUMMYFUNCTION("if(A1919="""","""",substitute(SUBSTITUTE(index(importhtml(""http://finviz.com/quote.ashx?t=""&amp;A1919,""table"",10),7,2),""*"",""""),""-"",""0.00""))"),"Loading...")</f>
        <v>Loading...</v>
      </c>
      <c r="L1919" s="129">
        <v>1.89615859E8</v>
      </c>
      <c r="M1919" s="99">
        <v>0.66</v>
      </c>
    </row>
    <row r="1920">
      <c r="A1920" s="122" t="s">
        <v>4259</v>
      </c>
      <c r="B1920" s="123">
        <v>1820302.0</v>
      </c>
      <c r="C1920" s="124" t="s">
        <v>4260</v>
      </c>
      <c r="D1920" s="125"/>
      <c r="E1920" s="126">
        <v>1.37</v>
      </c>
      <c r="F1920" s="127"/>
      <c r="G1920" s="127"/>
      <c r="H1920" s="127"/>
      <c r="I1920" s="128"/>
      <c r="K1920" s="105" t="str">
        <f>IFERROR(__xludf.DUMMYFUNCTION("if(A1920="""","""",substitute(SUBSTITUTE(index(importhtml(""http://finviz.com/quote.ashx?t=""&amp;A1920,""table"",10),7,2),""*"",""""),""-"",""0.00""))"),"Loading...")</f>
        <v>Loading...</v>
      </c>
      <c r="L1920" s="129">
        <v>3.76290092E8</v>
      </c>
      <c r="M1920" s="99">
        <v>4.38</v>
      </c>
    </row>
    <row r="1921">
      <c r="A1921" s="122" t="s">
        <v>4261</v>
      </c>
      <c r="B1921" s="123">
        <v>1753673.0</v>
      </c>
      <c r="C1921" s="124" t="s">
        <v>4262</v>
      </c>
      <c r="D1921" s="125"/>
      <c r="E1921" s="126">
        <v>1.38</v>
      </c>
      <c r="F1921" s="127"/>
      <c r="G1921" s="127"/>
      <c r="H1921" s="127"/>
      <c r="I1921" s="128"/>
      <c r="K1921" s="55" t="s">
        <v>1034</v>
      </c>
      <c r="L1921" s="129">
        <v>5.6633709E7</v>
      </c>
      <c r="M1921" s="99">
        <v>1.11</v>
      </c>
    </row>
    <row r="1922">
      <c r="A1922" s="122" t="s">
        <v>4263</v>
      </c>
      <c r="B1922" s="123">
        <v>1817004.0</v>
      </c>
      <c r="C1922" s="124" t="s">
        <v>4264</v>
      </c>
      <c r="D1922" s="125"/>
      <c r="E1922" s="126">
        <v>1.38</v>
      </c>
      <c r="F1922" s="127"/>
      <c r="G1922" s="127"/>
      <c r="H1922" s="127"/>
      <c r="I1922" s="128"/>
      <c r="K1922" s="105" t="str">
        <f>IFERROR(__xludf.DUMMYFUNCTION("if(A1922="""","""",substitute(SUBSTITUTE(index(importhtml(""http://finviz.com/quote.ashx?t=""&amp;A1922,""table"",10),7,2),""*"",""""),""-"",""0.00""))"),"Loading...")</f>
        <v>Loading...</v>
      </c>
      <c r="L1922" s="129">
        <v>6177652.0</v>
      </c>
      <c r="M1922" s="99" t="str">
        <f>IFERROR(__xludf.DUMMYFUNCTION("GOOGLEFINANCE(A1922,""beta"")"),"#N/A")</f>
        <v>#N/A</v>
      </c>
    </row>
    <row r="1923">
      <c r="A1923" s="122" t="s">
        <v>4265</v>
      </c>
      <c r="B1923" s="123">
        <v>1301236.0</v>
      </c>
      <c r="C1923" s="124" t="s">
        <v>4266</v>
      </c>
      <c r="D1923" s="125"/>
      <c r="E1923" s="126">
        <v>1.38</v>
      </c>
      <c r="F1923" s="127"/>
      <c r="G1923" s="127"/>
      <c r="H1923" s="127"/>
      <c r="I1923" s="128"/>
      <c r="K1923" s="105" t="str">
        <f>IFERROR(__xludf.DUMMYFUNCTION("if(A1923="""","""",substitute(SUBSTITUTE(index(importhtml(""http://finviz.com/quote.ashx?t=""&amp;A1923,""table"",10),7,2),""*"",""""),""-"",""0.00""))"),"Loading...")</f>
        <v>Loading...</v>
      </c>
      <c r="L1923" s="129">
        <v>2.7083797E7</v>
      </c>
      <c r="M1923" s="99">
        <v>1.62</v>
      </c>
    </row>
    <row r="1924">
      <c r="A1924" s="122" t="s">
        <v>4267</v>
      </c>
      <c r="B1924" s="123">
        <v>749660.0</v>
      </c>
      <c r="C1924" s="124" t="s">
        <v>4268</v>
      </c>
      <c r="D1924" s="125"/>
      <c r="E1924" s="126">
        <v>1.38</v>
      </c>
      <c r="F1924" s="127"/>
      <c r="G1924" s="127"/>
      <c r="H1924" s="127"/>
      <c r="I1924" s="128"/>
      <c r="K1924" s="105" t="str">
        <f>IFERROR(__xludf.DUMMYFUNCTION("if(A1924="""","""",substitute(SUBSTITUTE(index(importhtml(""http://finviz.com/quote.ashx?t=""&amp;A1924,""table"",10),7,2),""*"",""""),""-"",""0.00""))"),"Loading...")</f>
        <v>Loading...</v>
      </c>
      <c r="L1924" s="129">
        <v>3.6366767E7</v>
      </c>
      <c r="M1924" s="99">
        <v>1.28</v>
      </c>
    </row>
    <row r="1925">
      <c r="A1925" s="122" t="s">
        <v>4269</v>
      </c>
      <c r="B1925" s="123">
        <v>1171838.0</v>
      </c>
      <c r="C1925" s="124" t="s">
        <v>4270</v>
      </c>
      <c r="D1925" s="125"/>
      <c r="E1925" s="126">
        <v>1.38</v>
      </c>
      <c r="F1925" s="127"/>
      <c r="G1925" s="127"/>
      <c r="H1925" s="127"/>
      <c r="I1925" s="128"/>
      <c r="K1925" s="105" t="str">
        <f>IFERROR(__xludf.DUMMYFUNCTION("if(A1925="""","""",substitute(SUBSTITUTE(index(importhtml(""http://finviz.com/quote.ashx?t=""&amp;A1925,""table"",10),7,2),""*"",""""),""-"",""0.00""))"),"Loading...")</f>
        <v>Loading...</v>
      </c>
      <c r="L1925" s="129">
        <v>5.8316646E7</v>
      </c>
      <c r="M1925" s="99">
        <v>0.0</v>
      </c>
    </row>
    <row r="1926">
      <c r="A1926" s="122" t="s">
        <v>4271</v>
      </c>
      <c r="B1926" s="123">
        <v>1437424.0</v>
      </c>
      <c r="C1926" s="124" t="s">
        <v>4272</v>
      </c>
      <c r="D1926" s="125"/>
      <c r="E1926" s="126">
        <v>1.38</v>
      </c>
      <c r="F1926" s="127"/>
      <c r="G1926" s="127"/>
      <c r="H1926" s="127"/>
      <c r="I1926" s="128"/>
      <c r="K1926" s="105" t="str">
        <f>IFERROR(__xludf.DUMMYFUNCTION("if(A1926="""","""",substitute(SUBSTITUTE(index(importhtml(""http://finviz.com/quote.ashx?t=""&amp;A1926,""table"",10),7,2),""*"",""""),""-"",""0.00""))"),"Loading...")</f>
        <v>Loading...</v>
      </c>
      <c r="L1926" s="129">
        <v>5.8633494E7</v>
      </c>
      <c r="M1926" s="99">
        <v>0.73</v>
      </c>
    </row>
    <row r="1927">
      <c r="A1927" s="122" t="s">
        <v>4273</v>
      </c>
      <c r="B1927" s="123">
        <v>1680048.0</v>
      </c>
      <c r="C1927" s="124" t="s">
        <v>4274</v>
      </c>
      <c r="D1927" s="125"/>
      <c r="E1927" s="126">
        <v>1.39</v>
      </c>
      <c r="F1927" s="127"/>
      <c r="G1927" s="127"/>
      <c r="H1927" s="127"/>
      <c r="I1927" s="128"/>
      <c r="K1927" s="105" t="str">
        <f>IFERROR(__xludf.DUMMYFUNCTION("if(A1927="""","""",substitute(SUBSTITUTE(index(importhtml(""http://finviz.com/quote.ashx?t=""&amp;A1927,""table"",10),7,2),""*"",""""),""-"",""0.00""))"),"Loading...")</f>
        <v>Loading...</v>
      </c>
      <c r="L1927" s="129">
        <v>1.2811889E7</v>
      </c>
      <c r="M1927" s="99">
        <v>1.64</v>
      </c>
    </row>
    <row r="1928">
      <c r="A1928" s="122" t="s">
        <v>4275</v>
      </c>
      <c r="B1928" s="123">
        <v>1684693.0</v>
      </c>
      <c r="C1928" s="124" t="s">
        <v>4276</v>
      </c>
      <c r="D1928" s="125"/>
      <c r="E1928" s="126">
        <v>1.39</v>
      </c>
      <c r="F1928" s="127"/>
      <c r="G1928" s="127"/>
      <c r="H1928" s="127"/>
      <c r="I1928" s="128"/>
      <c r="K1928" s="105" t="str">
        <f>IFERROR(__xludf.DUMMYFUNCTION("if(A1928="""","""",substitute(SUBSTITUTE(index(importhtml(""http://finviz.com/quote.ashx?t=""&amp;A1928,""table"",10),7,2),""*"",""""),""-"",""0.00""))"),"Loading...")</f>
        <v>Loading...</v>
      </c>
      <c r="L1928" s="129">
        <v>3.8722091E7</v>
      </c>
      <c r="M1928" s="99">
        <v>1.42</v>
      </c>
    </row>
    <row r="1929">
      <c r="A1929" s="122" t="s">
        <v>4277</v>
      </c>
      <c r="B1929" s="123">
        <v>1563880.0</v>
      </c>
      <c r="C1929" s="124" t="s">
        <v>4278</v>
      </c>
      <c r="D1929" s="125"/>
      <c r="E1929" s="126">
        <v>1.39</v>
      </c>
      <c r="F1929" s="127"/>
      <c r="G1929" s="127"/>
      <c r="H1929" s="127"/>
      <c r="I1929" s="128"/>
      <c r="K1929" s="105" t="str">
        <f>IFERROR(__xludf.DUMMYFUNCTION("if(A1929="""","""",substitute(SUBSTITUTE(index(importhtml(""http://finviz.com/quote.ashx?t=""&amp;A1929,""table"",10),7,2),""*"",""""),""-"",""0.00""))"),"Loading...")</f>
        <v>Loading...</v>
      </c>
      <c r="L1929" s="129">
        <v>8.8762076E7</v>
      </c>
      <c r="M1929" s="99">
        <v>0.59</v>
      </c>
    </row>
    <row r="1930">
      <c r="A1930" s="122" t="s">
        <v>4279</v>
      </c>
      <c r="B1930" s="123">
        <v>1537137.0</v>
      </c>
      <c r="C1930" s="124" t="s">
        <v>4280</v>
      </c>
      <c r="D1930" s="125"/>
      <c r="E1930" s="126">
        <v>1.39</v>
      </c>
      <c r="F1930" s="127"/>
      <c r="G1930" s="127"/>
      <c r="H1930" s="127"/>
      <c r="I1930" s="128"/>
      <c r="K1930" s="105" t="str">
        <f>IFERROR(__xludf.DUMMYFUNCTION("if(A1930="""","""",substitute(SUBSTITUTE(index(importhtml(""http://finviz.com/quote.ashx?t=""&amp;A1930,""table"",10),7,2),""*"",""""),""-"",""0.00""))"),"#REF!")</f>
        <v>#REF!</v>
      </c>
      <c r="L1930" s="129">
        <v>3.24773947E8</v>
      </c>
      <c r="M1930" s="99">
        <v>-4.18</v>
      </c>
    </row>
    <row r="1931">
      <c r="A1931" s="122" t="s">
        <v>4281</v>
      </c>
      <c r="B1931" s="123">
        <v>1356090.0</v>
      </c>
      <c r="C1931" s="124" t="s">
        <v>4282</v>
      </c>
      <c r="D1931" s="125"/>
      <c r="E1931" s="126">
        <v>1.39</v>
      </c>
      <c r="F1931" s="127"/>
      <c r="G1931" s="127"/>
      <c r="H1931" s="127"/>
      <c r="I1931" s="128"/>
      <c r="K1931" s="105" t="str">
        <f>IFERROR(__xludf.DUMMYFUNCTION("if(A1931="""","""",substitute(SUBSTITUTE(index(importhtml(""http://finviz.com/quote.ashx?t=""&amp;A1931,""table"",10),7,2),""*"",""""),""-"",""0.00""))"),"Loading...")</f>
        <v>Loading...</v>
      </c>
      <c r="L1931" s="129">
        <v>3.45997406E8</v>
      </c>
      <c r="M1931" s="99">
        <v>1.72</v>
      </c>
    </row>
    <row r="1932">
      <c r="A1932" s="122" t="s">
        <v>4283</v>
      </c>
      <c r="B1932" s="123">
        <v>933738.0</v>
      </c>
      <c r="C1932" s="124" t="s">
        <v>4284</v>
      </c>
      <c r="D1932" s="125"/>
      <c r="E1932" s="126">
        <v>1.4</v>
      </c>
      <c r="F1932" s="127"/>
      <c r="G1932" s="127"/>
      <c r="H1932" s="127"/>
      <c r="I1932" s="128"/>
      <c r="K1932" s="55" t="s">
        <v>1034</v>
      </c>
      <c r="L1932" s="129">
        <v>7174816.0</v>
      </c>
      <c r="M1932" s="99">
        <v>1.35</v>
      </c>
    </row>
    <row r="1933">
      <c r="A1933" s="122" t="s">
        <v>4285</v>
      </c>
      <c r="B1933" s="123">
        <v>1738906.0</v>
      </c>
      <c r="C1933" s="124" t="s">
        <v>4286</v>
      </c>
      <c r="D1933" s="125"/>
      <c r="E1933" s="126">
        <v>1.4</v>
      </c>
      <c r="F1933" s="127"/>
      <c r="G1933" s="127"/>
      <c r="H1933" s="127"/>
      <c r="I1933" s="128"/>
      <c r="K1933" s="55" t="s">
        <v>1034</v>
      </c>
      <c r="L1933" s="129">
        <v>1.17384146E8</v>
      </c>
      <c r="M1933" s="99">
        <v>0.39</v>
      </c>
    </row>
    <row r="1934">
      <c r="A1934" s="122" t="s">
        <v>4287</v>
      </c>
      <c r="B1934" s="123">
        <v>1843875.0</v>
      </c>
      <c r="C1934" s="124" t="s">
        <v>4288</v>
      </c>
      <c r="D1934" s="125"/>
      <c r="E1934" s="126">
        <v>1.4</v>
      </c>
      <c r="F1934" s="127"/>
      <c r="G1934" s="127"/>
      <c r="H1934" s="127"/>
      <c r="I1934" s="128"/>
      <c r="K1934" s="105" t="str">
        <f>IFERROR(__xludf.DUMMYFUNCTION("if(A1934="""","""",substitute(SUBSTITUTE(index(importhtml(""http://finviz.com/quote.ashx?t=""&amp;A1934,""table"",10),7,2),""*"",""""),""-"",""0.00""))"),"Loading...")</f>
        <v>Loading...</v>
      </c>
      <c r="L1934" s="129">
        <v>5395880.0</v>
      </c>
      <c r="M1934" s="99" t="str">
        <f>IFERROR(__xludf.DUMMYFUNCTION("GOOGLEFINANCE(A1934,""beta"")"),"#N/A")</f>
        <v>#N/A</v>
      </c>
    </row>
    <row r="1935">
      <c r="A1935" s="122" t="s">
        <v>4289</v>
      </c>
      <c r="B1935" s="123">
        <v>1105101.0</v>
      </c>
      <c r="C1935" s="124" t="s">
        <v>4290</v>
      </c>
      <c r="D1935" s="125"/>
      <c r="E1935" s="126">
        <v>1.4</v>
      </c>
      <c r="F1935" s="127"/>
      <c r="G1935" s="127"/>
      <c r="H1935" s="127"/>
      <c r="I1935" s="128"/>
      <c r="K1935" s="105" t="str">
        <f>IFERROR(__xludf.DUMMYFUNCTION("if(A1935="""","""",substitute(SUBSTITUTE(index(importhtml(""http://finviz.com/quote.ashx?t=""&amp;A1935,""table"",10),7,2),""*"",""""),""-"",""0.00""))"),"Loading...")</f>
        <v>Loading...</v>
      </c>
      <c r="L1935" s="129">
        <v>1.541786E7</v>
      </c>
      <c r="M1935" s="99">
        <v>0.45</v>
      </c>
    </row>
    <row r="1936">
      <c r="A1936" s="122" t="s">
        <v>4291</v>
      </c>
      <c r="B1936" s="123">
        <v>1500198.0</v>
      </c>
      <c r="C1936" s="124" t="s">
        <v>4292</v>
      </c>
      <c r="D1936" s="125"/>
      <c r="E1936" s="126">
        <v>1.4</v>
      </c>
      <c r="F1936" s="127"/>
      <c r="G1936" s="127"/>
      <c r="H1936" s="127"/>
      <c r="I1936" s="128"/>
      <c r="K1936" s="105" t="str">
        <f>IFERROR(__xludf.DUMMYFUNCTION("if(A1936="""","""",substitute(SUBSTITUTE(index(importhtml(""http://finviz.com/quote.ashx?t=""&amp;A1936,""table"",10),7,2),""*"",""""),""-"",""0.00""))"),"Loading...")</f>
        <v>Loading...</v>
      </c>
      <c r="L1936" s="129">
        <v>3.6289623E7</v>
      </c>
      <c r="M1936" s="99">
        <v>1.08</v>
      </c>
    </row>
    <row r="1937">
      <c r="A1937" s="122" t="s">
        <v>4293</v>
      </c>
      <c r="B1937" s="123">
        <v>1518419.0</v>
      </c>
      <c r="C1937" s="124" t="s">
        <v>4294</v>
      </c>
      <c r="D1937" s="125"/>
      <c r="E1937" s="126">
        <v>1.4</v>
      </c>
      <c r="F1937" s="127"/>
      <c r="G1937" s="127"/>
      <c r="H1937" s="127"/>
      <c r="I1937" s="128"/>
      <c r="K1937" s="105" t="str">
        <f>IFERROR(__xludf.DUMMYFUNCTION("if(A1937="""","""",substitute(SUBSTITUTE(index(importhtml(""http://finviz.com/quote.ashx?t=""&amp;A1937,""table"",10),7,2),""*"",""""),""-"",""0.00""))"),"Loading...")</f>
        <v>Loading...</v>
      </c>
      <c r="L1937" s="129">
        <v>2.15193055E8</v>
      </c>
      <c r="M1937" s="99" t="str">
        <f>IFERROR(__xludf.DUMMYFUNCTION("GOOGLEFINANCE(A1937,""beta"")"),"#N/A")</f>
        <v>#N/A</v>
      </c>
    </row>
    <row r="1938">
      <c r="A1938" s="122" t="s">
        <v>4295</v>
      </c>
      <c r="B1938" s="123">
        <v>1866501.0</v>
      </c>
      <c r="C1938" s="124" t="s">
        <v>4296</v>
      </c>
      <c r="D1938" s="125"/>
      <c r="E1938" s="126">
        <v>1.4</v>
      </c>
      <c r="F1938" s="127"/>
      <c r="G1938" s="127"/>
      <c r="H1938" s="127"/>
      <c r="I1938" s="128"/>
      <c r="K1938" s="105" t="str">
        <f>IFERROR(__xludf.DUMMYFUNCTION("if(A1938="""","""",substitute(SUBSTITUTE(index(importhtml(""http://finviz.com/quote.ashx?t=""&amp;A1938,""table"",10),7,2),""*"",""""),""-"",""0.00""))"),"Loading...")</f>
        <v>Loading...</v>
      </c>
      <c r="L1938" s="129">
        <v>2.62558095E8</v>
      </c>
      <c r="M1938" s="99">
        <f>IFERROR(__xludf.DUMMYFUNCTION("GOOGLEFINANCE(A1938,""beta"")"),1.97)</f>
        <v>1.97</v>
      </c>
    </row>
    <row r="1939">
      <c r="A1939" s="122" t="s">
        <v>4297</v>
      </c>
      <c r="B1939" s="123">
        <v>1701963.0</v>
      </c>
      <c r="C1939" s="124" t="s">
        <v>4298</v>
      </c>
      <c r="D1939" s="125"/>
      <c r="E1939" s="126">
        <v>1.4</v>
      </c>
      <c r="F1939" s="127"/>
      <c r="G1939" s="127"/>
      <c r="H1939" s="127"/>
      <c r="I1939" s="128"/>
      <c r="K1939" s="105" t="str">
        <f>IFERROR(__xludf.DUMMYFUNCTION("if(A1939="""","""",substitute(SUBSTITUTE(index(importhtml(""http://finviz.com/quote.ashx?t=""&amp;A1939,""table"",10),7,2),""*"",""""),""-"",""0.00""))"),"Loading...")</f>
        <v>Loading...</v>
      </c>
      <c r="L1939" s="129" t="e">
        <v>#N/A</v>
      </c>
      <c r="M1939" s="99">
        <f>IFERROR(__xludf.DUMMYFUNCTION("GOOGLEFINANCE(A1939,""beta"")"),-0.15)</f>
        <v>-0.15</v>
      </c>
    </row>
    <row r="1940">
      <c r="A1940" s="122" t="s">
        <v>4299</v>
      </c>
      <c r="B1940" s="123">
        <v>1599407.0</v>
      </c>
      <c r="C1940" s="124" t="s">
        <v>4300</v>
      </c>
      <c r="D1940" s="125"/>
      <c r="E1940" s="126">
        <v>1.41</v>
      </c>
      <c r="F1940" s="127"/>
      <c r="G1940" s="127"/>
      <c r="H1940" s="127"/>
      <c r="I1940" s="128"/>
      <c r="K1940" s="105" t="str">
        <f>IFERROR(__xludf.DUMMYFUNCTION("if(A1940="""","""",substitute(SUBSTITUTE(index(importhtml(""http://finviz.com/quote.ashx?t=""&amp;A1940,""table"",10),7,2),""*"",""""),""-"",""0.00""))"),"Loading...")</f>
        <v>Loading...</v>
      </c>
      <c r="L1940" s="129">
        <v>1116416.0</v>
      </c>
      <c r="M1940" s="99">
        <v>-96.49</v>
      </c>
    </row>
    <row r="1941">
      <c r="A1941" s="122" t="s">
        <v>4301</v>
      </c>
      <c r="B1941" s="123">
        <v>1780785.0</v>
      </c>
      <c r="C1941" s="124" t="s">
        <v>4302</v>
      </c>
      <c r="D1941" s="125"/>
      <c r="E1941" s="126">
        <v>1.41</v>
      </c>
      <c r="F1941" s="127"/>
      <c r="G1941" s="127"/>
      <c r="H1941" s="127"/>
      <c r="I1941" s="128"/>
      <c r="K1941" s="105" t="str">
        <f>IFERROR(__xludf.DUMMYFUNCTION("if(A1941="""","""",substitute(SUBSTITUTE(index(importhtml(""http://finviz.com/quote.ashx?t=""&amp;A1941,""table"",10),7,2),""*"",""""),""-"",""0.00""))"),"Loading...")</f>
        <v>Loading...</v>
      </c>
      <c r="L1941" s="129">
        <v>3248397.0</v>
      </c>
      <c r="M1941" s="99">
        <f>IFERROR(__xludf.DUMMYFUNCTION("GOOGLEFINANCE(A1941,""beta"")"),0.72)</f>
        <v>0.72</v>
      </c>
    </row>
    <row r="1942">
      <c r="A1942" s="122" t="s">
        <v>4303</v>
      </c>
      <c r="B1942" s="123">
        <v>721693.0</v>
      </c>
      <c r="C1942" s="124" t="s">
        <v>4304</v>
      </c>
      <c r="D1942" s="125"/>
      <c r="E1942" s="126">
        <v>1.41</v>
      </c>
      <c r="F1942" s="127"/>
      <c r="G1942" s="127"/>
      <c r="H1942" s="127"/>
      <c r="I1942" s="128"/>
      <c r="K1942" s="105" t="str">
        <f>IFERROR(__xludf.DUMMYFUNCTION("if(A1942="""","""",substitute(SUBSTITUTE(index(importhtml(""http://finviz.com/quote.ashx?t=""&amp;A1942,""table"",10),7,2),""*"",""""),""-"",""0.00""))"),"Loading...")</f>
        <v>Loading...</v>
      </c>
      <c r="L1942" s="129">
        <v>1.1228455E7</v>
      </c>
      <c r="M1942" s="99">
        <v>0.75</v>
      </c>
    </row>
    <row r="1943">
      <c r="A1943" s="122" t="s">
        <v>4305</v>
      </c>
      <c r="B1943" s="123">
        <v>1509646.0</v>
      </c>
      <c r="C1943" s="124" t="s">
        <v>4306</v>
      </c>
      <c r="D1943" s="125"/>
      <c r="E1943" s="126">
        <v>1.41</v>
      </c>
      <c r="F1943" s="127"/>
      <c r="G1943" s="127"/>
      <c r="H1943" s="127"/>
      <c r="I1943" s="128"/>
      <c r="K1943" s="105" t="str">
        <f>IFERROR(__xludf.DUMMYFUNCTION("if(A1943="""","""",substitute(SUBSTITUTE(index(importhtml(""http://finviz.com/quote.ashx?t=""&amp;A1943,""table"",10),7,2),""*"",""""),""-"",""0.00""))"),"Loading...")</f>
        <v>Loading...</v>
      </c>
      <c r="L1943" s="129">
        <v>1.7133276E7</v>
      </c>
      <c r="M1943" s="99">
        <v>0.6</v>
      </c>
    </row>
    <row r="1944">
      <c r="A1944" s="122" t="s">
        <v>4307</v>
      </c>
      <c r="B1944" s="123">
        <v>1879848.0</v>
      </c>
      <c r="C1944" s="124" t="s">
        <v>4308</v>
      </c>
      <c r="D1944" s="125"/>
      <c r="E1944" s="126">
        <v>1.41</v>
      </c>
      <c r="F1944" s="127"/>
      <c r="G1944" s="127"/>
      <c r="H1944" s="127"/>
      <c r="I1944" s="128"/>
      <c r="K1944" s="105" t="str">
        <f>IFERROR(__xludf.DUMMYFUNCTION("if(A1944="""","""",substitute(SUBSTITUTE(index(importhtml(""http://finviz.com/quote.ashx?t=""&amp;A1944,""table"",10),7,2),""*"",""""),""-"",""0.00""))"),"Loading...")</f>
        <v>Loading...</v>
      </c>
      <c r="L1944" s="129">
        <v>3.8735025E7</v>
      </c>
      <c r="M1944" s="99" t="str">
        <f>IFERROR(__xludf.DUMMYFUNCTION("GOOGLEFINANCE(A1944,""beta"")"),"#N/A")</f>
        <v>#N/A</v>
      </c>
    </row>
    <row r="1945">
      <c r="A1945" s="122" t="s">
        <v>4309</v>
      </c>
      <c r="B1945" s="123">
        <v>1226616.0</v>
      </c>
      <c r="C1945" s="124" t="s">
        <v>4310</v>
      </c>
      <c r="D1945" s="125"/>
      <c r="E1945" s="126">
        <v>1.41</v>
      </c>
      <c r="F1945" s="127"/>
      <c r="G1945" s="127"/>
      <c r="H1945" s="127"/>
      <c r="I1945" s="128"/>
      <c r="K1945" s="105" t="str">
        <f>IFERROR(__xludf.DUMMYFUNCTION("if(A1945="""","""",substitute(SUBSTITUTE(index(importhtml(""http://finviz.com/quote.ashx?t=""&amp;A1945,""table"",10),7,2),""*"",""""),""-"",""0.00""))"),"Loading...")</f>
        <v>Loading...</v>
      </c>
      <c r="L1945" s="129">
        <v>6.8909965E7</v>
      </c>
      <c r="M1945" s="99">
        <v>0.75</v>
      </c>
    </row>
    <row r="1946">
      <c r="A1946" s="122" t="s">
        <v>4311</v>
      </c>
      <c r="B1946" s="123">
        <v>1854545.0</v>
      </c>
      <c r="C1946" s="124" t="s">
        <v>4312</v>
      </c>
      <c r="D1946" s="125"/>
      <c r="E1946" s="126">
        <v>1.42</v>
      </c>
      <c r="F1946" s="127"/>
      <c r="G1946" s="127"/>
      <c r="H1946" s="127"/>
      <c r="I1946" s="128"/>
      <c r="K1946" s="55" t="s">
        <v>1034</v>
      </c>
      <c r="L1946" s="129">
        <v>3.35443323E8</v>
      </c>
      <c r="M1946" s="99">
        <f>IFERROR(__xludf.DUMMYFUNCTION("GOOGLEFINANCE(A1946,""beta"")"),0.46)</f>
        <v>0.46</v>
      </c>
    </row>
    <row r="1947">
      <c r="A1947" s="122" t="s">
        <v>4313</v>
      </c>
      <c r="B1947" s="123">
        <v>1026662.0</v>
      </c>
      <c r="C1947" s="124" t="s">
        <v>4314</v>
      </c>
      <c r="D1947" s="125"/>
      <c r="E1947" s="126">
        <v>1.42</v>
      </c>
      <c r="F1947" s="127"/>
      <c r="G1947" s="127"/>
      <c r="H1947" s="127"/>
      <c r="I1947" s="128"/>
      <c r="K1947" s="105" t="str">
        <f>IFERROR(__xludf.DUMMYFUNCTION("if(A1947="""","""",substitute(SUBSTITUTE(index(importhtml(""http://finviz.com/quote.ashx?t=""&amp;A1947,""table"",10),7,2),""*"",""""),""-"",""0.00""))"),"Loading...")</f>
        <v>Loading...</v>
      </c>
      <c r="L1947" s="129">
        <v>1.0964428E7</v>
      </c>
      <c r="M1947" s="99">
        <v>0.42</v>
      </c>
    </row>
    <row r="1948">
      <c r="A1948" s="122" t="s">
        <v>4315</v>
      </c>
      <c r="B1948" s="123">
        <v>1718939.0</v>
      </c>
      <c r="C1948" s="124" t="s">
        <v>4316</v>
      </c>
      <c r="D1948" s="125"/>
      <c r="E1948" s="126">
        <v>1.42</v>
      </c>
      <c r="F1948" s="127"/>
      <c r="G1948" s="127"/>
      <c r="H1948" s="127"/>
      <c r="I1948" s="128"/>
      <c r="K1948" s="105" t="str">
        <f>IFERROR(__xludf.DUMMYFUNCTION("if(A1948="""","""",substitute(SUBSTITUTE(index(importhtml(""http://finviz.com/quote.ashx?t=""&amp;A1948,""table"",10),7,2),""*"",""""),""-"",""0.00""))"),"Loading...")</f>
        <v>Loading...</v>
      </c>
      <c r="L1948" s="129">
        <v>1.1737028E7</v>
      </c>
      <c r="M1948" s="99">
        <v>-0.41</v>
      </c>
    </row>
    <row r="1949">
      <c r="A1949" s="122" t="s">
        <v>4317</v>
      </c>
      <c r="B1949" s="123">
        <v>1213809.0</v>
      </c>
      <c r="C1949" s="124" t="s">
        <v>4318</v>
      </c>
      <c r="D1949" s="125"/>
      <c r="E1949" s="126">
        <v>1.42</v>
      </c>
      <c r="F1949" s="127"/>
      <c r="G1949" s="127"/>
      <c r="H1949" s="127"/>
      <c r="I1949" s="128"/>
      <c r="K1949" s="105" t="str">
        <f>IFERROR(__xludf.DUMMYFUNCTION("if(A1949="""","""",substitute(SUBSTITUTE(index(importhtml(""http://finviz.com/quote.ashx?t=""&amp;A1949,""table"",10),7,2),""*"",""""),""-"",""0.00""))"),"Loading...")</f>
        <v>Loading...</v>
      </c>
      <c r="L1949" s="129">
        <v>4.0911689E7</v>
      </c>
      <c r="M1949" s="99">
        <v>0.63</v>
      </c>
    </row>
    <row r="1950">
      <c r="A1950" s="122" t="s">
        <v>4319</v>
      </c>
      <c r="B1950" s="123">
        <v>1501756.0</v>
      </c>
      <c r="C1950" s="124" t="s">
        <v>4320</v>
      </c>
      <c r="D1950" s="125"/>
      <c r="E1950" s="126">
        <v>1.42</v>
      </c>
      <c r="F1950" s="127"/>
      <c r="G1950" s="127"/>
      <c r="H1950" s="127"/>
      <c r="I1950" s="128"/>
      <c r="K1950" s="105" t="str">
        <f>IFERROR(__xludf.DUMMYFUNCTION("if(A1950="""","""",substitute(SUBSTITUTE(index(importhtml(""http://finviz.com/quote.ashx?t=""&amp;A1950,""table"",10),7,2),""*"",""""),""-"",""0.00""))"),"Loading...")</f>
        <v>Loading...</v>
      </c>
      <c r="L1950" s="129">
        <v>1.43458477E8</v>
      </c>
      <c r="M1950" s="99">
        <v>0.71</v>
      </c>
    </row>
    <row r="1951">
      <c r="A1951" s="122" t="s">
        <v>4321</v>
      </c>
      <c r="B1951" s="123">
        <v>1859795.0</v>
      </c>
      <c r="C1951" s="124" t="s">
        <v>4322</v>
      </c>
      <c r="D1951" s="125"/>
      <c r="E1951" s="126">
        <v>1.42</v>
      </c>
      <c r="F1951" s="127"/>
      <c r="G1951" s="127"/>
      <c r="H1951" s="127"/>
      <c r="I1951" s="128"/>
      <c r="K1951" s="105" t="str">
        <f>IFERROR(__xludf.DUMMYFUNCTION("if(A1951="""","""",substitute(SUBSTITUTE(index(importhtml(""http://finviz.com/quote.ashx?t=""&amp;A1951,""table"",10),7,2),""*"",""""),""-"",""0.00""))"),"Loading...")</f>
        <v>Loading...</v>
      </c>
      <c r="L1951" s="129">
        <v>2.66427999E8</v>
      </c>
      <c r="M1951" s="99">
        <f>IFERROR(__xludf.DUMMYFUNCTION("GOOGLEFINANCE(A1951,""beta"")"),2.61)</f>
        <v>2.61</v>
      </c>
    </row>
    <row r="1952">
      <c r="A1952" s="122" t="s">
        <v>4323</v>
      </c>
      <c r="B1952" s="123">
        <v>878518.0</v>
      </c>
      <c r="C1952" s="124" t="s">
        <v>4324</v>
      </c>
      <c r="D1952" s="125"/>
      <c r="E1952" s="126">
        <v>1.42</v>
      </c>
      <c r="F1952" s="127"/>
      <c r="G1952" s="127"/>
      <c r="H1952" s="127"/>
      <c r="I1952" s="128"/>
      <c r="K1952" s="105" t="str">
        <f>IFERROR(__xludf.DUMMYFUNCTION("if(A1952="""","""",substitute(SUBSTITUTE(index(importhtml(""http://finviz.com/quote.ashx?t=""&amp;A1952,""table"",10),7,2),""*"",""""),""-"",""0.00""))"),"Loading...")</f>
        <v>Loading...</v>
      </c>
      <c r="L1952" s="129">
        <v>4.07750431E8</v>
      </c>
      <c r="M1952" s="99">
        <v>1.97</v>
      </c>
    </row>
    <row r="1953">
      <c r="A1953" s="122" t="s">
        <v>4325</v>
      </c>
      <c r="B1953" s="123">
        <v>1824403.0</v>
      </c>
      <c r="C1953" s="124" t="s">
        <v>4326</v>
      </c>
      <c r="D1953" s="125"/>
      <c r="E1953" s="126">
        <v>1.42</v>
      </c>
      <c r="F1953" s="127"/>
      <c r="G1953" s="127"/>
      <c r="H1953" s="127"/>
      <c r="I1953" s="128"/>
      <c r="K1953" s="105" t="str">
        <f>IFERROR(__xludf.DUMMYFUNCTION("if(A1953="""","""",substitute(SUBSTITUTE(index(importhtml(""http://finviz.com/quote.ashx?t=""&amp;A1953,""table"",10),7,2),""*"",""""),""-"",""0.00""))"),"Loading...")</f>
        <v>Loading...</v>
      </c>
      <c r="L1953" s="129">
        <v>4.47194733E8</v>
      </c>
      <c r="M1953" s="99">
        <v>1.57</v>
      </c>
    </row>
    <row r="1954">
      <c r="A1954" s="122" t="s">
        <v>4327</v>
      </c>
      <c r="B1954" s="123">
        <v>1527541.0</v>
      </c>
      <c r="C1954" s="124" t="s">
        <v>4328</v>
      </c>
      <c r="D1954" s="125"/>
      <c r="E1954" s="126">
        <v>1.43</v>
      </c>
      <c r="F1954" s="127"/>
      <c r="G1954" s="127"/>
      <c r="H1954" s="127"/>
      <c r="I1954" s="128"/>
      <c r="K1954" s="105" t="str">
        <f>IFERROR(__xludf.DUMMYFUNCTION("if(A1954="""","""",substitute(SUBSTITUTE(index(importhtml(""http://finviz.com/quote.ashx?t=""&amp;A1954,""table"",10),7,2),""*"",""""),""-"",""0.00""))"),"Loading...")</f>
        <v>Loading...</v>
      </c>
      <c r="L1954" s="129">
        <v>1.083502E7</v>
      </c>
      <c r="M1954" s="99">
        <v>1.62</v>
      </c>
    </row>
    <row r="1955">
      <c r="A1955" s="122" t="s">
        <v>4329</v>
      </c>
      <c r="B1955" s="123">
        <v>890447.0</v>
      </c>
      <c r="C1955" s="124" t="s">
        <v>4330</v>
      </c>
      <c r="D1955" s="125"/>
      <c r="E1955" s="126">
        <v>1.43</v>
      </c>
      <c r="F1955" s="127"/>
      <c r="G1955" s="127"/>
      <c r="H1955" s="127"/>
      <c r="I1955" s="128"/>
      <c r="K1955" s="105" t="str">
        <f>IFERROR(__xludf.DUMMYFUNCTION("if(A1955="""","""",substitute(SUBSTITUTE(index(importhtml(""http://finviz.com/quote.ashx?t=""&amp;A1955,""table"",10),7,2),""*"",""""),""-"",""0.00""))"),"Loading...")</f>
        <v>Loading...</v>
      </c>
      <c r="L1955" s="129">
        <v>1.33725472E8</v>
      </c>
      <c r="M1955" s="99">
        <v>1.66</v>
      </c>
    </row>
    <row r="1956">
      <c r="A1956" s="122" t="s">
        <v>4331</v>
      </c>
      <c r="B1956" s="123">
        <v>944480.0</v>
      </c>
      <c r="C1956" s="124" t="s">
        <v>4332</v>
      </c>
      <c r="D1956" s="125"/>
      <c r="E1956" s="126">
        <v>1.44</v>
      </c>
      <c r="F1956" s="127"/>
      <c r="G1956" s="127"/>
      <c r="H1956" s="127"/>
      <c r="I1956" s="128"/>
      <c r="K1956" s="105" t="str">
        <f>IFERROR(__xludf.DUMMYFUNCTION("if(A1956="""","""",substitute(SUBSTITUTE(index(importhtml(""http://finviz.com/quote.ashx?t=""&amp;A1956,""table"",10),7,2),""*"",""""),""-"",""0.00""))"),"Loading...")</f>
        <v>Loading...</v>
      </c>
      <c r="L1956" s="129">
        <v>3754424.0</v>
      </c>
      <c r="M1956" s="99">
        <v>1.11</v>
      </c>
    </row>
    <row r="1957">
      <c r="A1957" s="122" t="s">
        <v>4333</v>
      </c>
      <c r="B1957" s="123">
        <v>1282224.0</v>
      </c>
      <c r="C1957" s="124" t="s">
        <v>4334</v>
      </c>
      <c r="D1957" s="125"/>
      <c r="E1957" s="126">
        <v>1.44</v>
      </c>
      <c r="F1957" s="127"/>
      <c r="G1957" s="127"/>
      <c r="H1957" s="127"/>
      <c r="I1957" s="128"/>
      <c r="K1957" s="105" t="str">
        <f>IFERROR(__xludf.DUMMYFUNCTION("if(A1957="""","""",substitute(SUBSTITUTE(index(importhtml(""http://finviz.com/quote.ashx?t=""&amp;A1957,""table"",10),7,2),""*"",""""),""-"",""0.00""))"),"Loading...")</f>
        <v>Loading...</v>
      </c>
      <c r="L1957" s="129">
        <v>2.612353E7</v>
      </c>
      <c r="M1957" s="99">
        <v>1.53</v>
      </c>
    </row>
    <row r="1958">
      <c r="A1958" s="122" t="s">
        <v>4335</v>
      </c>
      <c r="B1958" s="123">
        <v>1914805.0</v>
      </c>
      <c r="C1958" s="124" t="s">
        <v>4336</v>
      </c>
      <c r="D1958" s="125"/>
      <c r="E1958" s="126">
        <v>1.44</v>
      </c>
      <c r="F1958" s="127"/>
      <c r="G1958" s="127"/>
      <c r="H1958" s="127"/>
      <c r="I1958" s="128"/>
      <c r="K1958" s="105" t="str">
        <f>IFERROR(__xludf.DUMMYFUNCTION("if(A1958="""","""",substitute(SUBSTITUTE(index(importhtml(""http://finviz.com/quote.ashx?t=""&amp;A1958,""table"",10),7,2),""*"",""""),""-"",""0.00""))"),"Loading...")</f>
        <v>Loading...</v>
      </c>
      <c r="L1958" s="129">
        <v>3.0894078E7</v>
      </c>
      <c r="M1958" s="99" t="str">
        <f>IFERROR(__xludf.DUMMYFUNCTION("GOOGLEFINANCE(A1958,""beta"")"),"#N/A")</f>
        <v>#N/A</v>
      </c>
    </row>
    <row r="1959">
      <c r="A1959" s="122" t="s">
        <v>4337</v>
      </c>
      <c r="B1959" s="123">
        <v>1849296.0</v>
      </c>
      <c r="C1959" s="124" t="s">
        <v>4338</v>
      </c>
      <c r="D1959" s="125"/>
      <c r="E1959" s="126">
        <v>1.44</v>
      </c>
      <c r="F1959" s="127"/>
      <c r="G1959" s="127"/>
      <c r="H1959" s="127"/>
      <c r="I1959" s="128"/>
      <c r="K1959" s="105" t="str">
        <f>IFERROR(__xludf.DUMMYFUNCTION("if(A1959="""","""",substitute(SUBSTITUTE(index(importhtml(""http://finviz.com/quote.ashx?t=""&amp;A1959,""table"",10),7,2),""*"",""""),""-"",""0.00""))"),"Loading...")</f>
        <v>Loading...</v>
      </c>
      <c r="L1959" s="129">
        <v>4.8644425E7</v>
      </c>
      <c r="M1959" s="99">
        <v>-0.47</v>
      </c>
    </row>
    <row r="1960">
      <c r="A1960" s="122" t="s">
        <v>4339</v>
      </c>
      <c r="B1960" s="123">
        <v>1799011.0</v>
      </c>
      <c r="C1960" s="124" t="s">
        <v>4340</v>
      </c>
      <c r="D1960" s="125"/>
      <c r="E1960" s="126">
        <v>1.44</v>
      </c>
      <c r="F1960" s="127"/>
      <c r="G1960" s="127"/>
      <c r="H1960" s="127"/>
      <c r="I1960" s="128"/>
      <c r="K1960" s="105" t="str">
        <f>IFERROR(__xludf.DUMMYFUNCTION("if(A1960="""","""",substitute(SUBSTITUTE(index(importhtml(""http://finviz.com/quote.ashx?t=""&amp;A1960,""table"",10),7,2),""*"",""""),""-"",""0.00""))"),"Loading...")</f>
        <v>Loading...</v>
      </c>
      <c r="L1960" s="129">
        <v>6.4320914E7</v>
      </c>
      <c r="M1960" s="99">
        <f>IFERROR(__xludf.DUMMYFUNCTION("GOOGLEFINANCE(A1960,""beta"")"),1.22)</f>
        <v>1.22</v>
      </c>
    </row>
    <row r="1961">
      <c r="A1961" s="122" t="s">
        <v>4341</v>
      </c>
      <c r="B1961" s="123">
        <v>1426332.0</v>
      </c>
      <c r="C1961" s="124" t="s">
        <v>4342</v>
      </c>
      <c r="D1961" s="125"/>
      <c r="E1961" s="126">
        <v>1.44</v>
      </c>
      <c r="F1961" s="127"/>
      <c r="G1961" s="127"/>
      <c r="H1961" s="127"/>
      <c r="I1961" s="128"/>
      <c r="K1961" s="105" t="str">
        <f>IFERROR(__xludf.DUMMYFUNCTION("if(A1961="""","""",substitute(SUBSTITUTE(index(importhtml(""http://finviz.com/quote.ashx?t=""&amp;A1961,""table"",10),7,2),""*"",""""),""-"",""0.00""))"),"Loading...")</f>
        <v>Loading...</v>
      </c>
      <c r="L1961" s="129">
        <v>1.19110324E8</v>
      </c>
      <c r="M1961" s="99">
        <v>1.27</v>
      </c>
    </row>
    <row r="1962">
      <c r="A1962" s="122" t="s">
        <v>4343</v>
      </c>
      <c r="B1962" s="123">
        <v>1823466.0</v>
      </c>
      <c r="C1962" s="124" t="s">
        <v>4344</v>
      </c>
      <c r="D1962" s="125"/>
      <c r="E1962" s="126">
        <v>1.44</v>
      </c>
      <c r="F1962" s="127"/>
      <c r="G1962" s="127"/>
      <c r="H1962" s="127"/>
      <c r="I1962" s="128"/>
      <c r="K1962" s="105" t="str">
        <f>IFERROR(__xludf.DUMMYFUNCTION("if(A1962="""","""",substitute(SUBSTITUTE(index(importhtml(""http://finviz.com/quote.ashx?t=""&amp;A1962,""table"",10),7,2),""*"",""""),""-"",""0.00""))"),"Loading...")</f>
        <v>Loading...</v>
      </c>
      <c r="L1962" s="129">
        <v>1.87106407E8</v>
      </c>
      <c r="M1962" s="99">
        <v>0.36</v>
      </c>
    </row>
    <row r="1963">
      <c r="A1963" s="122" t="s">
        <v>4345</v>
      </c>
      <c r="B1963" s="123">
        <v>756620.0</v>
      </c>
      <c r="C1963" s="124" t="s">
        <v>4346</v>
      </c>
      <c r="D1963" s="125"/>
      <c r="E1963" s="126">
        <v>1.44</v>
      </c>
      <c r="F1963" s="127"/>
      <c r="G1963" s="127"/>
      <c r="H1963" s="127"/>
      <c r="I1963" s="128"/>
      <c r="K1963" s="105" t="str">
        <f>IFERROR(__xludf.DUMMYFUNCTION("if(A1963="""","""",substitute(SUBSTITUTE(index(importhtml(""http://finviz.com/quote.ashx?t=""&amp;A1963,""table"",10),7,2),""*"",""""),""-"",""0.00""))"),"Loading...")</f>
        <v>Loading...</v>
      </c>
      <c r="L1963" s="129">
        <v>1.1076596773E10</v>
      </c>
      <c r="M1963" s="99">
        <v>1.07</v>
      </c>
    </row>
    <row r="1964">
      <c r="A1964" s="122" t="s">
        <v>4347</v>
      </c>
      <c r="B1964" s="123">
        <v>1763543.0</v>
      </c>
      <c r="C1964" s="124" t="s">
        <v>4348</v>
      </c>
      <c r="D1964" s="125"/>
      <c r="E1964" s="126">
        <v>1.45</v>
      </c>
      <c r="F1964" s="127"/>
      <c r="G1964" s="127"/>
      <c r="H1964" s="127"/>
      <c r="I1964" s="128"/>
      <c r="K1964" s="105" t="str">
        <f>IFERROR(__xludf.DUMMYFUNCTION("if(A1964="""","""",substitute(SUBSTITUTE(index(importhtml(""http://finviz.com/quote.ashx?t=""&amp;A1964,""table"",10),7,2),""*"",""""),""-"",""0.00""))"),"Loading...")</f>
        <v>Loading...</v>
      </c>
      <c r="L1964" s="129">
        <v>3.241445E7</v>
      </c>
      <c r="M1964" s="99" t="str">
        <f>IFERROR(__xludf.DUMMYFUNCTION("GOOGLEFINANCE(A1964,""beta"")"),"#N/A")</f>
        <v>#N/A</v>
      </c>
    </row>
    <row r="1965">
      <c r="A1965" s="122" t="s">
        <v>4349</v>
      </c>
      <c r="B1965" s="123">
        <v>1006281.0</v>
      </c>
      <c r="C1965" s="124" t="s">
        <v>4350</v>
      </c>
      <c r="D1965" s="125"/>
      <c r="E1965" s="126">
        <v>1.45</v>
      </c>
      <c r="F1965" s="127"/>
      <c r="G1965" s="127"/>
      <c r="H1965" s="127"/>
      <c r="I1965" s="128"/>
      <c r="K1965" s="105" t="str">
        <f>IFERROR(__xludf.DUMMYFUNCTION("if(A1965="""","""",substitute(SUBSTITUTE(index(importhtml(""http://finviz.com/quote.ashx?t=""&amp;A1965,""table"",10),7,2),""*"",""""),""-"",""0.00""))"),"Loading...")</f>
        <v>Loading...</v>
      </c>
      <c r="L1965" s="129">
        <v>1.05780548E8</v>
      </c>
      <c r="M1965" s="99">
        <v>0.89</v>
      </c>
    </row>
    <row r="1966">
      <c r="A1966" s="122" t="s">
        <v>4351</v>
      </c>
      <c r="B1966" s="123">
        <v>1598981.0</v>
      </c>
      <c r="C1966" s="124" t="s">
        <v>4352</v>
      </c>
      <c r="D1966" s="125"/>
      <c r="E1966" s="126">
        <v>1.45</v>
      </c>
      <c r="F1966" s="127"/>
      <c r="G1966" s="127"/>
      <c r="H1966" s="127"/>
      <c r="I1966" s="128"/>
      <c r="K1966" s="105" t="str">
        <f>IFERROR(__xludf.DUMMYFUNCTION("if(A1966="""","""",substitute(SUBSTITUTE(index(importhtml(""http://finviz.com/quote.ashx?t=""&amp;A1966,""table"",10),7,2),""*"",""""),""-"",""0.00""))"),"Loading...")</f>
        <v>Loading...</v>
      </c>
      <c r="L1966" s="129">
        <v>1.33641298E8</v>
      </c>
      <c r="M1966" s="99">
        <v>-20.78</v>
      </c>
    </row>
    <row r="1967">
      <c r="A1967" s="122" t="s">
        <v>4353</v>
      </c>
      <c r="B1967" s="123">
        <v>1591890.0</v>
      </c>
      <c r="C1967" s="124" t="s">
        <v>4354</v>
      </c>
      <c r="D1967" s="125"/>
      <c r="E1967" s="126">
        <v>1.46</v>
      </c>
      <c r="F1967" s="127"/>
      <c r="G1967" s="127"/>
      <c r="H1967" s="127"/>
      <c r="I1967" s="128"/>
      <c r="K1967" s="55" t="s">
        <v>1034</v>
      </c>
      <c r="L1967" s="129">
        <v>1.5447515E7</v>
      </c>
      <c r="M1967" s="99">
        <v>0.52</v>
      </c>
    </row>
    <row r="1968">
      <c r="A1968" s="122" t="s">
        <v>4355</v>
      </c>
      <c r="B1968" s="123">
        <v>102109.0</v>
      </c>
      <c r="C1968" s="124" t="s">
        <v>4356</v>
      </c>
      <c r="D1968" s="125"/>
      <c r="E1968" s="126">
        <v>1.46</v>
      </c>
      <c r="F1968" s="127"/>
      <c r="G1968" s="127"/>
      <c r="H1968" s="127"/>
      <c r="I1968" s="128"/>
      <c r="K1968" s="105" t="str">
        <f>IFERROR(__xludf.DUMMYFUNCTION("if(A1968="""","""",substitute(SUBSTITUTE(index(importhtml(""http://finviz.com/quote.ashx?t=""&amp;A1968,""table"",10),7,2),""*"",""""),""-"",""0.00""))"),"Loading...")</f>
        <v>Loading...</v>
      </c>
      <c r="L1968" s="129">
        <v>3376818.0</v>
      </c>
      <c r="M1968" s="99">
        <v>0.88</v>
      </c>
    </row>
    <row r="1969">
      <c r="A1969" s="122" t="s">
        <v>4357</v>
      </c>
      <c r="B1969" s="123">
        <v>1846715.0</v>
      </c>
      <c r="C1969" s="124" t="s">
        <v>4358</v>
      </c>
      <c r="D1969" s="125"/>
      <c r="E1969" s="126">
        <v>1.46</v>
      </c>
      <c r="F1969" s="127"/>
      <c r="G1969" s="127"/>
      <c r="H1969" s="127"/>
      <c r="I1969" s="128"/>
      <c r="K1969" s="105" t="str">
        <f>IFERROR(__xludf.DUMMYFUNCTION("if(A1969="""","""",substitute(SUBSTITUTE(index(importhtml(""http://finviz.com/quote.ashx?t=""&amp;A1969,""table"",10),7,2),""*"",""""),""-"",""0.00""))"),"Loading...")</f>
        <v>Loading...</v>
      </c>
      <c r="L1969" s="129">
        <v>8105937.0</v>
      </c>
      <c r="M1969" s="99">
        <f>IFERROR(__xludf.DUMMYFUNCTION("GOOGLEFINANCE(A1969,""beta"")"),-0.49)</f>
        <v>-0.49</v>
      </c>
    </row>
    <row r="1970">
      <c r="A1970" s="122" t="s">
        <v>4359</v>
      </c>
      <c r="B1970" s="123">
        <v>1878313.0</v>
      </c>
      <c r="C1970" s="124" t="s">
        <v>4360</v>
      </c>
      <c r="D1970" s="125"/>
      <c r="E1970" s="126">
        <v>1.46</v>
      </c>
      <c r="F1970" s="127"/>
      <c r="G1970" s="127"/>
      <c r="H1970" s="127"/>
      <c r="I1970" s="128"/>
      <c r="K1970" s="105" t="str">
        <f>IFERROR(__xludf.DUMMYFUNCTION("if(A1970="""","""",substitute(SUBSTITUTE(index(importhtml(""http://finviz.com/quote.ashx?t=""&amp;A1970,""table"",10),7,2),""*"",""""),""-"",""0.00""))"),"Loading...")</f>
        <v>Loading...</v>
      </c>
      <c r="L1970" s="129">
        <v>2.4737875E7</v>
      </c>
      <c r="M1970" s="99">
        <f>IFERROR(__xludf.DUMMYFUNCTION("GOOGLEFINANCE(A1970,""beta"")"),-0.01)</f>
        <v>-0.01</v>
      </c>
    </row>
    <row r="1971">
      <c r="A1971" s="122" t="s">
        <v>4361</v>
      </c>
      <c r="B1971" s="123">
        <v>1696355.0</v>
      </c>
      <c r="C1971" s="124" t="s">
        <v>4362</v>
      </c>
      <c r="D1971" s="125"/>
      <c r="E1971" s="126">
        <v>1.46</v>
      </c>
      <c r="F1971" s="127"/>
      <c r="G1971" s="127"/>
      <c r="H1971" s="127"/>
      <c r="I1971" s="128"/>
      <c r="K1971" s="105" t="str">
        <f>IFERROR(__xludf.DUMMYFUNCTION("if(A1971="""","""",substitute(SUBSTITUTE(index(importhtml(""http://finviz.com/quote.ashx?t=""&amp;A1971,""table"",10),7,2),""*"",""""),""-"",""0.00""))"),"Loading...")</f>
        <v>Loading...</v>
      </c>
      <c r="L1971" s="129">
        <v>4.3400253E7</v>
      </c>
      <c r="M1971" s="99">
        <v>0.36</v>
      </c>
    </row>
    <row r="1972">
      <c r="A1972" s="122" t="s">
        <v>4363</v>
      </c>
      <c r="B1972" s="123">
        <v>1701108.0</v>
      </c>
      <c r="C1972" s="124" t="s">
        <v>4364</v>
      </c>
      <c r="D1972" s="125"/>
      <c r="E1972" s="126">
        <v>1.46</v>
      </c>
      <c r="F1972" s="127"/>
      <c r="G1972" s="127"/>
      <c r="H1972" s="127"/>
      <c r="I1972" s="128"/>
      <c r="K1972" s="105" t="str">
        <f>IFERROR(__xludf.DUMMYFUNCTION("if(A1972="""","""",substitute(SUBSTITUTE(index(importhtml(""http://finviz.com/quote.ashx?t=""&amp;A1972,""table"",10),7,2),""*"",""""),""-"",""0.00""))"),"Loading...")</f>
        <v>Loading...</v>
      </c>
      <c r="L1972" s="129">
        <v>7.7113998E7</v>
      </c>
      <c r="M1972" s="99">
        <v>0.55</v>
      </c>
    </row>
    <row r="1973">
      <c r="A1973" s="122" t="s">
        <v>4365</v>
      </c>
      <c r="B1973" s="123">
        <v>1828536.0</v>
      </c>
      <c r="C1973" s="124" t="s">
        <v>4366</v>
      </c>
      <c r="D1973" s="125"/>
      <c r="E1973" s="126">
        <v>1.46</v>
      </c>
      <c r="F1973" s="127"/>
      <c r="G1973" s="127"/>
      <c r="H1973" s="127"/>
      <c r="I1973" s="128"/>
      <c r="K1973" s="105" t="str">
        <f>IFERROR(__xludf.DUMMYFUNCTION("if(A1973="""","""",substitute(SUBSTITUTE(index(importhtml(""http://finviz.com/quote.ashx?t=""&amp;A1973,""table"",10),7,2),""*"",""""),""-"",""0.00""))"),"Loading...")</f>
        <v>Loading...</v>
      </c>
      <c r="L1973" s="129">
        <v>2.09576727E8</v>
      </c>
      <c r="M1973" s="99">
        <f>IFERROR(__xludf.DUMMYFUNCTION("GOOGLEFINANCE(A1973,""beta"")"),0.94)</f>
        <v>0.94</v>
      </c>
    </row>
    <row r="1974">
      <c r="A1974" s="122" t="s">
        <v>4367</v>
      </c>
      <c r="B1974" s="123">
        <v>1829432.0</v>
      </c>
      <c r="C1974" s="124" t="s">
        <v>4368</v>
      </c>
      <c r="D1974" s="125"/>
      <c r="E1974" s="126">
        <v>1.46</v>
      </c>
      <c r="F1974" s="127"/>
      <c r="G1974" s="127"/>
      <c r="H1974" s="127"/>
      <c r="I1974" s="128"/>
      <c r="K1974" s="105" t="str">
        <f>IFERROR(__xludf.DUMMYFUNCTION("if(A1974="""","""",substitute(SUBSTITUTE(index(importhtml(""http://finviz.com/quote.ashx?t=""&amp;A1974,""table"",10),7,2),""*"",""""),""-"",""0.00""))"),"Loading...")</f>
        <v>Loading...</v>
      </c>
      <c r="L1974" s="129">
        <v>8.77025574E8</v>
      </c>
      <c r="M1974" s="99" t="str">
        <f>IFERROR(__xludf.DUMMYFUNCTION("GOOGLEFINANCE(A1974,""beta"")"),"#N/A")</f>
        <v>#N/A</v>
      </c>
    </row>
    <row r="1975">
      <c r="A1975" s="122" t="s">
        <v>4369</v>
      </c>
      <c r="B1975" s="123">
        <v>878932.0</v>
      </c>
      <c r="C1975" s="124" t="s">
        <v>4370</v>
      </c>
      <c r="D1975" s="125"/>
      <c r="E1975" s="126">
        <v>1.47</v>
      </c>
      <c r="F1975" s="127"/>
      <c r="G1975" s="127"/>
      <c r="H1975" s="127"/>
      <c r="I1975" s="128"/>
      <c r="K1975" s="55" t="s">
        <v>1034</v>
      </c>
      <c r="L1975" s="129">
        <v>1.987167E7</v>
      </c>
      <c r="M1975" s="99">
        <v>0.93</v>
      </c>
    </row>
    <row r="1976">
      <c r="A1976" s="122" t="s">
        <v>4371</v>
      </c>
      <c r="B1976" s="123">
        <v>1261249.0</v>
      </c>
      <c r="C1976" s="124" t="s">
        <v>4372</v>
      </c>
      <c r="D1976" s="125"/>
      <c r="E1976" s="126">
        <v>1.47</v>
      </c>
      <c r="F1976" s="127"/>
      <c r="G1976" s="127"/>
      <c r="H1976" s="127"/>
      <c r="I1976" s="128"/>
      <c r="K1976" s="105" t="str">
        <f>IFERROR(__xludf.DUMMYFUNCTION("if(A1976="""","""",substitute(SUBSTITUTE(index(importhtml(""http://finviz.com/quote.ashx?t=""&amp;A1976,""table"",10),7,2),""*"",""""),""-"",""0.00""))"),"Loading...")</f>
        <v>Loading...</v>
      </c>
      <c r="L1976" s="129">
        <v>3692132.0</v>
      </c>
      <c r="M1976" s="99">
        <v>1.64</v>
      </c>
    </row>
    <row r="1977">
      <c r="A1977" s="122" t="s">
        <v>4373</v>
      </c>
      <c r="B1977" s="123">
        <v>1106838.0</v>
      </c>
      <c r="C1977" s="124" t="s">
        <v>4374</v>
      </c>
      <c r="D1977" s="125"/>
      <c r="E1977" s="126">
        <v>1.47</v>
      </c>
      <c r="F1977" s="127"/>
      <c r="G1977" s="127"/>
      <c r="H1977" s="127"/>
      <c r="I1977" s="128"/>
      <c r="K1977" s="105" t="str">
        <f>IFERROR(__xludf.DUMMYFUNCTION("if(A1977="""","""",substitute(SUBSTITUTE(index(importhtml(""http://finviz.com/quote.ashx?t=""&amp;A1977,""table"",10),7,2),""*"",""""),""-"",""0.00""))"),"Loading...")</f>
        <v>Loading...</v>
      </c>
      <c r="L1977" s="129">
        <v>4506722.0</v>
      </c>
      <c r="M1977" s="99">
        <v>0.53</v>
      </c>
    </row>
    <row r="1978">
      <c r="A1978" s="122" t="s">
        <v>4375</v>
      </c>
      <c r="B1978" s="123">
        <v>1058307.0</v>
      </c>
      <c r="C1978" s="124" t="s">
        <v>4376</v>
      </c>
      <c r="D1978" s="125"/>
      <c r="E1978" s="126">
        <v>1.48</v>
      </c>
      <c r="F1978" s="127"/>
      <c r="G1978" s="127"/>
      <c r="H1978" s="127"/>
      <c r="I1978" s="128"/>
      <c r="K1978" s="105" t="str">
        <f>IFERROR(__xludf.DUMMYFUNCTION("if(A1978="""","""",substitute(SUBSTITUTE(index(importhtml(""http://finviz.com/quote.ashx?t=""&amp;A1978,""table"",10),7,2),""*"",""""),""-"",""0.00""))"),"Loading...")</f>
        <v>Loading...</v>
      </c>
      <c r="L1978" s="129">
        <v>2.7712393E7</v>
      </c>
      <c r="M1978" s="99">
        <v>1.73</v>
      </c>
    </row>
    <row r="1979">
      <c r="A1979" s="122" t="s">
        <v>4377</v>
      </c>
      <c r="B1979" s="123">
        <v>1510593.0</v>
      </c>
      <c r="C1979" s="124" t="s">
        <v>4378</v>
      </c>
      <c r="D1979" s="125"/>
      <c r="E1979" s="126">
        <v>1.48</v>
      </c>
      <c r="F1979" s="127"/>
      <c r="G1979" s="127"/>
      <c r="H1979" s="127"/>
      <c r="I1979" s="128"/>
      <c r="K1979" s="105" t="str">
        <f>IFERROR(__xludf.DUMMYFUNCTION("if(A1979="""","""",substitute(SUBSTITUTE(index(importhtml(""http://finviz.com/quote.ashx?t=""&amp;A1979,""table"",10),7,2),""*"",""""),""-"",""0.00""))"),"Loading...")</f>
        <v>Loading...</v>
      </c>
      <c r="L1979" s="129">
        <v>9.6668939E7</v>
      </c>
      <c r="M1979" s="99">
        <v>1.28</v>
      </c>
    </row>
    <row r="1980">
      <c r="A1980" s="122" t="s">
        <v>4379</v>
      </c>
      <c r="B1980" s="123">
        <v>1501989.0</v>
      </c>
      <c r="C1980" s="124" t="s">
        <v>4380</v>
      </c>
      <c r="D1980" s="125"/>
      <c r="E1980" s="126">
        <v>1.48</v>
      </c>
      <c r="F1980" s="127"/>
      <c r="G1980" s="127"/>
      <c r="H1980" s="127"/>
      <c r="I1980" s="128"/>
      <c r="K1980" s="105" t="str">
        <f>IFERROR(__xludf.DUMMYFUNCTION("if(A1980="""","""",substitute(SUBSTITUTE(index(importhtml(""http://finviz.com/quote.ashx?t=""&amp;A1980,""table"",10),7,2),""*"",""""),""-"",""0.00""))"),"Loading...")</f>
        <v>Loading...</v>
      </c>
      <c r="L1980" s="129">
        <v>9.9143543E7</v>
      </c>
      <c r="M1980" s="99">
        <v>0.83</v>
      </c>
    </row>
    <row r="1981">
      <c r="A1981" s="122" t="s">
        <v>4381</v>
      </c>
      <c r="B1981" s="123">
        <v>1437283.0</v>
      </c>
      <c r="C1981" s="124" t="s">
        <v>4382</v>
      </c>
      <c r="D1981" s="125"/>
      <c r="E1981" s="126">
        <v>1.48</v>
      </c>
      <c r="F1981" s="127"/>
      <c r="G1981" s="127"/>
      <c r="H1981" s="127"/>
      <c r="I1981" s="128"/>
      <c r="K1981" s="105" t="str">
        <f>IFERROR(__xludf.DUMMYFUNCTION("if(A1981="""","""",substitute(SUBSTITUTE(index(importhtml(""http://finviz.com/quote.ashx?t=""&amp;A1981,""table"",10),7,2),""*"",""""),""-"",""0.00""))"),"Loading...")</f>
        <v>Loading...</v>
      </c>
      <c r="L1981" s="129">
        <v>2.00759042E8</v>
      </c>
      <c r="M1981" s="99">
        <v>-0.52</v>
      </c>
    </row>
    <row r="1982">
      <c r="A1982" s="122" t="s">
        <v>4383</v>
      </c>
      <c r="B1982" s="123">
        <v>1538028.0</v>
      </c>
      <c r="C1982" s="124" t="s">
        <v>4384</v>
      </c>
      <c r="D1982" s="125"/>
      <c r="E1982" s="126">
        <v>1.48</v>
      </c>
      <c r="F1982" s="127"/>
      <c r="G1982" s="127"/>
      <c r="H1982" s="127"/>
      <c r="I1982" s="128"/>
      <c r="K1982" s="105" t="str">
        <f>IFERROR(__xludf.DUMMYFUNCTION("if(A1982="""","""",substitute(SUBSTITUTE(index(importhtml(""http://finviz.com/quote.ashx?t=""&amp;A1982,""table"",10),7,2),""*"",""""),""-"",""0.00""))"),"Loading...")</f>
        <v>Loading...</v>
      </c>
      <c r="L1982" s="129">
        <v>4.62611007E8</v>
      </c>
      <c r="M1982" s="99">
        <v>1.21</v>
      </c>
    </row>
    <row r="1983">
      <c r="A1983" s="122" t="s">
        <v>4385</v>
      </c>
      <c r="B1983" s="123">
        <v>1714562.0</v>
      </c>
      <c r="C1983" s="124" t="s">
        <v>4386</v>
      </c>
      <c r="D1983" s="125"/>
      <c r="E1983" s="126">
        <v>1.49</v>
      </c>
      <c r="F1983" s="127"/>
      <c r="G1983" s="127"/>
      <c r="H1983" s="127"/>
      <c r="I1983" s="128"/>
      <c r="K1983" s="105" t="str">
        <f>IFERROR(__xludf.DUMMYFUNCTION("if(A1983="""","""",substitute(SUBSTITUTE(index(importhtml(""http://finviz.com/quote.ashx?t=""&amp;A1983,""table"",10),7,2),""*"",""""),""-"",""0.00""))"),"Loading...")</f>
        <v>Loading...</v>
      </c>
      <c r="L1983" s="129">
        <v>2.6238042E7</v>
      </c>
      <c r="M1983" s="99">
        <v>3.04</v>
      </c>
    </row>
    <row r="1984">
      <c r="A1984" s="122" t="s">
        <v>4387</v>
      </c>
      <c r="B1984" s="123">
        <v>1590418.0</v>
      </c>
      <c r="C1984" s="124" t="s">
        <v>4388</v>
      </c>
      <c r="D1984" s="125"/>
      <c r="E1984" s="126">
        <v>1.49</v>
      </c>
      <c r="F1984" s="127"/>
      <c r="G1984" s="127"/>
      <c r="H1984" s="127"/>
      <c r="I1984" s="128"/>
      <c r="K1984" s="105" t="str">
        <f>IFERROR(__xludf.DUMMYFUNCTION("if(A1984="""","""",substitute(SUBSTITUTE(index(importhtml(""http://finviz.com/quote.ashx?t=""&amp;A1984,""table"",10),7,2),""*"",""""),""-"",""0.00""))"),"Loading...")</f>
        <v>Loading...</v>
      </c>
      <c r="L1984" s="129">
        <v>9.6584497E7</v>
      </c>
      <c r="M1984" s="99">
        <v>-0.16</v>
      </c>
    </row>
    <row r="1985">
      <c r="A1985" s="122" t="s">
        <v>4389</v>
      </c>
      <c r="B1985" s="123">
        <v>1508475.0</v>
      </c>
      <c r="C1985" s="124" t="s">
        <v>4390</v>
      </c>
      <c r="D1985" s="125"/>
      <c r="E1985" s="126">
        <v>1.49</v>
      </c>
      <c r="F1985" s="127"/>
      <c r="G1985" s="127"/>
      <c r="H1985" s="127"/>
      <c r="I1985" s="128"/>
      <c r="K1985" s="105" t="str">
        <f>IFERROR(__xludf.DUMMYFUNCTION("if(A1985="""","""",substitute(SUBSTITUTE(index(importhtml(""http://finviz.com/quote.ashx?t=""&amp;A1985,""table"",10),7,2),""*"",""""),""-"",""0.00""))"),"Loading...")</f>
        <v>Loading...</v>
      </c>
      <c r="L1985" s="129">
        <v>2.20451667E8</v>
      </c>
      <c r="M1985" s="99">
        <v>-0.27</v>
      </c>
    </row>
    <row r="1986">
      <c r="A1986" s="122" t="s">
        <v>4391</v>
      </c>
      <c r="B1986" s="123">
        <v>1742518.0</v>
      </c>
      <c r="C1986" s="124" t="s">
        <v>4392</v>
      </c>
      <c r="D1986" s="125"/>
      <c r="E1986" s="126">
        <v>1.49</v>
      </c>
      <c r="F1986" s="127"/>
      <c r="G1986" s="127"/>
      <c r="H1986" s="127"/>
      <c r="I1986" s="128"/>
      <c r="K1986" s="105" t="str">
        <f>IFERROR(__xludf.DUMMYFUNCTION("if(A1986="""","""",substitute(SUBSTITUTE(index(importhtml(""http://finviz.com/quote.ashx?t=""&amp;A1986,""table"",10),7,2),""*"",""""),""-"",""0.00""))"),"Loading...")</f>
        <v>Loading...</v>
      </c>
      <c r="L1986" s="129">
        <v>2.96526987E8</v>
      </c>
      <c r="M1986" s="99">
        <v>2.05</v>
      </c>
    </row>
    <row r="1987">
      <c r="A1987" s="122" t="s">
        <v>4393</v>
      </c>
      <c r="B1987" s="123">
        <v>1756390.0</v>
      </c>
      <c r="C1987" s="124" t="s">
        <v>4394</v>
      </c>
      <c r="D1987" s="125"/>
      <c r="E1987" s="126">
        <v>1.49</v>
      </c>
      <c r="F1987" s="127"/>
      <c r="G1987" s="127"/>
      <c r="H1987" s="127"/>
      <c r="I1987" s="128"/>
      <c r="K1987" s="105" t="str">
        <f>IFERROR(__xludf.DUMMYFUNCTION("if(A1987="""","""",substitute(SUBSTITUTE(index(importhtml(""http://finviz.com/quote.ashx?t=""&amp;A1987,""table"",10),7,2),""*"",""""),""-"",""0.00""))"),"Loading...")</f>
        <v>Loading...</v>
      </c>
      <c r="L1987" s="129">
        <v>3.21882467E8</v>
      </c>
      <c r="M1987" s="99">
        <f>IFERROR(__xludf.DUMMYFUNCTION("GOOGLEFINANCE(A1987,""beta"")"),1.05)</f>
        <v>1.05</v>
      </c>
    </row>
    <row r="1988">
      <c r="A1988" s="122" t="s">
        <v>4395</v>
      </c>
      <c r="B1988" s="123">
        <v>1796073.0</v>
      </c>
      <c r="C1988" s="124" t="s">
        <v>4396</v>
      </c>
      <c r="D1988" s="125"/>
      <c r="E1988" s="126">
        <v>1.49</v>
      </c>
      <c r="F1988" s="127"/>
      <c r="G1988" s="127"/>
      <c r="H1988" s="127"/>
      <c r="I1988" s="128"/>
      <c r="K1988" s="105" t="str">
        <f>IFERROR(__xludf.DUMMYFUNCTION("if(A1988="""","""",substitute(SUBSTITUTE(index(importhtml(""http://finviz.com/quote.ashx?t=""&amp;A1988,""table"",10),7,2),""*"",""""),""-"",""0.00""))"),"Loading...")</f>
        <v>Loading...</v>
      </c>
      <c r="L1988" s="129">
        <v>4.12186305E8</v>
      </c>
      <c r="M1988" s="99">
        <v>2.27</v>
      </c>
    </row>
    <row r="1989">
      <c r="A1989" s="122" t="s">
        <v>4397</v>
      </c>
      <c r="B1989" s="123">
        <v>1815436.0</v>
      </c>
      <c r="C1989" s="124" t="s">
        <v>4398</v>
      </c>
      <c r="D1989" s="125"/>
      <c r="E1989" s="126">
        <v>1.5</v>
      </c>
      <c r="F1989" s="127"/>
      <c r="G1989" s="127"/>
      <c r="H1989" s="127"/>
      <c r="I1989" s="128"/>
      <c r="K1989" s="55" t="s">
        <v>1034</v>
      </c>
      <c r="L1989" s="129">
        <v>2.221138E7</v>
      </c>
      <c r="M1989" s="99" t="str">
        <f>IFERROR(__xludf.DUMMYFUNCTION("GOOGLEFINANCE(A1989,""beta"")"),"#N/A")</f>
        <v>#N/A</v>
      </c>
    </row>
    <row r="1990">
      <c r="A1990" s="122" t="s">
        <v>4399</v>
      </c>
      <c r="B1990" s="123">
        <v>1285786.0</v>
      </c>
      <c r="C1990" s="124" t="s">
        <v>4400</v>
      </c>
      <c r="D1990" s="125"/>
      <c r="E1990" s="126">
        <v>1.5</v>
      </c>
      <c r="F1990" s="127"/>
      <c r="G1990" s="127"/>
      <c r="H1990" s="127"/>
      <c r="I1990" s="128"/>
      <c r="K1990" s="55" t="s">
        <v>1034</v>
      </c>
      <c r="L1990" s="129">
        <v>2.24468E8</v>
      </c>
      <c r="M1990" s="99">
        <v>0.74</v>
      </c>
    </row>
    <row r="1991">
      <c r="A1991" s="122" t="s">
        <v>4401</v>
      </c>
      <c r="B1991" s="123">
        <v>1514183.0</v>
      </c>
      <c r="C1991" s="124" t="s">
        <v>4402</v>
      </c>
      <c r="D1991" s="125"/>
      <c r="E1991" s="126">
        <v>1.5</v>
      </c>
      <c r="F1991" s="127"/>
      <c r="G1991" s="127"/>
      <c r="H1991" s="127"/>
      <c r="I1991" s="128"/>
      <c r="K1991" s="105" t="str">
        <f>IFERROR(__xludf.DUMMYFUNCTION("if(A1991="""","""",substitute(SUBSTITUTE(index(importhtml(""http://finviz.com/quote.ashx?t=""&amp;A1991,""table"",10),7,2),""*"",""""),""-"",""0.00""))"),"Loading...")</f>
        <v>Loading...</v>
      </c>
      <c r="L1991" s="129">
        <v>4663194.0</v>
      </c>
      <c r="M1991" s="99">
        <v>1.23</v>
      </c>
    </row>
    <row r="1992">
      <c r="A1992" s="122" t="s">
        <v>4403</v>
      </c>
      <c r="B1992" s="123">
        <v>1803977.0</v>
      </c>
      <c r="C1992" s="124" t="s">
        <v>4404</v>
      </c>
      <c r="D1992" s="125"/>
      <c r="E1992" s="126">
        <v>1.5</v>
      </c>
      <c r="F1992" s="127"/>
      <c r="G1992" s="127"/>
      <c r="H1992" s="127"/>
      <c r="I1992" s="128"/>
      <c r="K1992" s="105" t="str">
        <f>IFERROR(__xludf.DUMMYFUNCTION("if(A1992="""","""",substitute(SUBSTITUTE(index(importhtml(""http://finviz.com/quote.ashx?t=""&amp;A1992,""table"",10),7,2),""*"",""""),""-"",""0.00""))"),"Loading...")</f>
        <v>Loading...</v>
      </c>
      <c r="L1992" s="129">
        <v>5965500.0</v>
      </c>
      <c r="M1992" s="99">
        <v>1.01</v>
      </c>
    </row>
    <row r="1993">
      <c r="A1993" s="122" t="s">
        <v>4405</v>
      </c>
      <c r="B1993" s="123">
        <v>1173313.0</v>
      </c>
      <c r="C1993" s="124" t="s">
        <v>4406</v>
      </c>
      <c r="D1993" s="125"/>
      <c r="E1993" s="126">
        <v>1.5</v>
      </c>
      <c r="F1993" s="127"/>
      <c r="G1993" s="127"/>
      <c r="H1993" s="127"/>
      <c r="I1993" s="128"/>
      <c r="K1993" s="105" t="str">
        <f>IFERROR(__xludf.DUMMYFUNCTION("if(A1993="""","""",substitute(SUBSTITUTE(index(importhtml(""http://finviz.com/quote.ashx?t=""&amp;A1993,""table"",10),7,2),""*"",""""),""-"",""0.00""))"),"Loading...")</f>
        <v>Loading...</v>
      </c>
      <c r="L1993" s="129">
        <v>1.2439857E7</v>
      </c>
      <c r="M1993" s="99">
        <v>0.97</v>
      </c>
    </row>
    <row r="1994">
      <c r="A1994" s="122" t="s">
        <v>4407</v>
      </c>
      <c r="B1994" s="123">
        <v>1440024.0</v>
      </c>
      <c r="C1994" s="124" t="s">
        <v>4408</v>
      </c>
      <c r="D1994" s="125"/>
      <c r="E1994" s="126">
        <v>1.5</v>
      </c>
      <c r="F1994" s="127"/>
      <c r="G1994" s="127"/>
      <c r="H1994" s="127"/>
      <c r="I1994" s="128"/>
      <c r="K1994" s="105" t="str">
        <f>IFERROR(__xludf.DUMMYFUNCTION("if(A1994="""","""",substitute(SUBSTITUTE(index(importhtml(""http://finviz.com/quote.ashx?t=""&amp;A1994,""table"",10),7,2),""*"",""""),""-"",""0.00""))"),"Loading...")</f>
        <v>Loading...</v>
      </c>
      <c r="L1994" s="129">
        <v>5.7438E7</v>
      </c>
      <c r="M1994" s="99" t="str">
        <f>IFERROR(__xludf.DUMMYFUNCTION("GOOGLEFINANCE(A1994,""beta"")"),"#N/A")</f>
        <v>#N/A</v>
      </c>
    </row>
    <row r="1995">
      <c r="A1995" s="122" t="s">
        <v>4409</v>
      </c>
      <c r="B1995" s="123">
        <v>1620749.0</v>
      </c>
      <c r="C1995" s="124" t="s">
        <v>4410</v>
      </c>
      <c r="D1995" s="125"/>
      <c r="E1995" s="126">
        <v>1.5</v>
      </c>
      <c r="F1995" s="127"/>
      <c r="G1995" s="127"/>
      <c r="H1995" s="127"/>
      <c r="I1995" s="128"/>
      <c r="K1995" s="105" t="str">
        <f>IFERROR(__xludf.DUMMYFUNCTION("if(A1995="""","""",substitute(SUBSTITUTE(index(importhtml(""http://finviz.com/quote.ashx?t=""&amp;A1995,""table"",10),7,2),""*"",""""),""-"",""0.00""))"),"Loading...")</f>
        <v>Loading...</v>
      </c>
      <c r="L1995" s="129">
        <v>6.2115E7</v>
      </c>
      <c r="M1995" s="99">
        <v>0.52</v>
      </c>
    </row>
    <row r="1996">
      <c r="A1996" s="122" t="s">
        <v>4411</v>
      </c>
      <c r="B1996" s="123">
        <v>1839133.0</v>
      </c>
      <c r="C1996" s="124" t="s">
        <v>4412</v>
      </c>
      <c r="D1996" s="125"/>
      <c r="E1996" s="126">
        <v>1.5</v>
      </c>
      <c r="F1996" s="127"/>
      <c r="G1996" s="127"/>
      <c r="H1996" s="127"/>
      <c r="I1996" s="128"/>
      <c r="K1996" s="105" t="str">
        <f>IFERROR(__xludf.DUMMYFUNCTION("if(A1996="""","""",substitute(SUBSTITUTE(index(importhtml(""http://finviz.com/quote.ashx?t=""&amp;A1996,""table"",10),7,2),""*"",""""),""-"",""0.00""))"),"Loading...")</f>
        <v>Loading...</v>
      </c>
      <c r="L1996" s="129">
        <v>1.048864E8</v>
      </c>
      <c r="M1996" s="99">
        <v>1.61</v>
      </c>
    </row>
    <row r="1997">
      <c r="A1997" s="122" t="s">
        <v>4413</v>
      </c>
      <c r="B1997" s="123">
        <v>1835378.0</v>
      </c>
      <c r="C1997" s="124" t="s">
        <v>4414</v>
      </c>
      <c r="D1997" s="125"/>
      <c r="E1997" s="126">
        <v>1.51</v>
      </c>
      <c r="F1997" s="127"/>
      <c r="G1997" s="127"/>
      <c r="H1997" s="127"/>
      <c r="I1997" s="128"/>
      <c r="K1997" s="55" t="s">
        <v>1034</v>
      </c>
      <c r="L1997" s="129">
        <v>2.1225194E8</v>
      </c>
      <c r="M1997" s="99">
        <f>IFERROR(__xludf.DUMMYFUNCTION("GOOGLEFINANCE(A1997,""beta"")"),1.48)</f>
        <v>1.48</v>
      </c>
    </row>
    <row r="1998">
      <c r="A1998" s="122" t="s">
        <v>4415</v>
      </c>
      <c r="B1998" s="123">
        <v>1811856.0</v>
      </c>
      <c r="C1998" s="124" t="s">
        <v>4416</v>
      </c>
      <c r="D1998" s="125"/>
      <c r="E1998" s="126">
        <v>1.51</v>
      </c>
      <c r="F1998" s="127"/>
      <c r="G1998" s="127"/>
      <c r="H1998" s="127"/>
      <c r="I1998" s="128"/>
      <c r="K1998" s="105" t="str">
        <f>IFERROR(__xludf.DUMMYFUNCTION("if(A1998="""","""",substitute(SUBSTITUTE(index(importhtml(""http://finviz.com/quote.ashx?t=""&amp;A1998,""table"",10),7,2),""*"",""""),""-"",""0.00""))"),"Loading...")</f>
        <v>Loading...</v>
      </c>
      <c r="L1998" s="129">
        <v>6141225.0</v>
      </c>
      <c r="M1998" s="99">
        <v>2.2</v>
      </c>
    </row>
    <row r="1999">
      <c r="A1999" s="122" t="s">
        <v>4417</v>
      </c>
      <c r="B1999" s="123">
        <v>1806310.0</v>
      </c>
      <c r="C1999" s="124" t="s">
        <v>4418</v>
      </c>
      <c r="D1999" s="125"/>
      <c r="E1999" s="126">
        <v>1.51</v>
      </c>
      <c r="F1999" s="127"/>
      <c r="G1999" s="127"/>
      <c r="H1999" s="127"/>
      <c r="I1999" s="128"/>
      <c r="K1999" s="105" t="str">
        <f>IFERROR(__xludf.DUMMYFUNCTION("if(A1999="""","""",substitute(SUBSTITUTE(index(importhtml(""http://finviz.com/quote.ashx?t=""&amp;A1999,""table"",10),7,2),""*"",""""),""-"",""0.00""))"),"Loading...")</f>
        <v>Loading...</v>
      </c>
      <c r="L1999" s="129">
        <v>2.82309749E8</v>
      </c>
      <c r="M1999" s="99">
        <v>-0.11</v>
      </c>
    </row>
    <row r="2000">
      <c r="A2000" s="122" t="s">
        <v>4419</v>
      </c>
      <c r="B2000" s="123">
        <v>1386570.0</v>
      </c>
      <c r="C2000" s="124" t="s">
        <v>4420</v>
      </c>
      <c r="D2000" s="125"/>
      <c r="E2000" s="126">
        <v>1.52</v>
      </c>
      <c r="F2000" s="127"/>
      <c r="G2000" s="127"/>
      <c r="H2000" s="127"/>
      <c r="I2000" s="128"/>
      <c r="K2000" s="105" t="str">
        <f>IFERROR(__xludf.DUMMYFUNCTION("if(A2000="""","""",substitute(SUBSTITUTE(index(importhtml(""http://finviz.com/quote.ashx?t=""&amp;A2000,""table"",10),7,2),""*"",""""),""-"",""0.00""))"),"Loading...")</f>
        <v>Loading...</v>
      </c>
      <c r="L2000" s="129">
        <v>1.14189132E8</v>
      </c>
      <c r="M2000" s="99">
        <v>1.86</v>
      </c>
    </row>
    <row r="2001">
      <c r="A2001" s="122" t="s">
        <v>4421</v>
      </c>
      <c r="B2001" s="123">
        <v>1816431.0</v>
      </c>
      <c r="C2001" s="124" t="s">
        <v>4422</v>
      </c>
      <c r="D2001" s="125"/>
      <c r="E2001" s="126">
        <v>1.52</v>
      </c>
      <c r="F2001" s="127"/>
      <c r="G2001" s="127"/>
      <c r="H2001" s="127"/>
      <c r="I2001" s="128"/>
      <c r="K2001" s="105" t="str">
        <f>IFERROR(__xludf.DUMMYFUNCTION("if(A2001="""","""",substitute(SUBSTITUTE(index(importhtml(""http://finviz.com/quote.ashx?t=""&amp;A2001,""table"",10),7,2),""*"",""""),""-"",""0.00""))"),"Loading...")</f>
        <v>Loading...</v>
      </c>
      <c r="L2001" s="129">
        <v>2.15426557E8</v>
      </c>
      <c r="M2001" s="99">
        <v>2.83</v>
      </c>
    </row>
    <row r="2002">
      <c r="A2002" s="122" t="s">
        <v>4423</v>
      </c>
      <c r="B2002" s="123">
        <v>1837430.0</v>
      </c>
      <c r="C2002" s="124" t="s">
        <v>4424</v>
      </c>
      <c r="D2002" s="125"/>
      <c r="E2002" s="126">
        <v>1.53</v>
      </c>
      <c r="F2002" s="127"/>
      <c r="G2002" s="127"/>
      <c r="H2002" s="127"/>
      <c r="I2002" s="128"/>
      <c r="K2002" s="105" t="str">
        <f>IFERROR(__xludf.DUMMYFUNCTION("if(A2002="""","""",substitute(SUBSTITUTE(index(importhtml(""http://finviz.com/quote.ashx?t=""&amp;A2002,""table"",10),7,2),""*"",""""),""-"",""0.00""))"),"Loading...")</f>
        <v>Loading...</v>
      </c>
      <c r="L2002" s="129">
        <v>1.36487931E8</v>
      </c>
      <c r="M2002" s="99" t="str">
        <f>IFERROR(__xludf.DUMMYFUNCTION("GOOGLEFINANCE(A2002,""beta"")"),"#N/A")</f>
        <v>#N/A</v>
      </c>
    </row>
    <row r="2003">
      <c r="A2003" s="122" t="s">
        <v>4425</v>
      </c>
      <c r="B2003" s="123">
        <v>1850235.0</v>
      </c>
      <c r="C2003" s="124" t="s">
        <v>4426</v>
      </c>
      <c r="D2003" s="125"/>
      <c r="E2003" s="126">
        <v>1.53</v>
      </c>
      <c r="F2003" s="127"/>
      <c r="G2003" s="127"/>
      <c r="H2003" s="127"/>
      <c r="I2003" s="128"/>
      <c r="K2003" s="105" t="str">
        <f>IFERROR(__xludf.DUMMYFUNCTION("if(A2003="""","""",substitute(SUBSTITUTE(index(importhtml(""http://finviz.com/quote.ashx?t=""&amp;A2003,""table"",10),7,2),""*"",""""),""-"",""0.00""))"),"Loading...")</f>
        <v>Loading...</v>
      </c>
      <c r="L2003" s="129">
        <v>4.98777236E8</v>
      </c>
      <c r="M2003" s="99">
        <f>IFERROR(__xludf.DUMMYFUNCTION("GOOGLEFINANCE(A2003,""beta"")"),2.3)</f>
        <v>2.3</v>
      </c>
    </row>
    <row r="2004">
      <c r="A2004" s="122" t="s">
        <v>4427</v>
      </c>
      <c r="B2004" s="123">
        <v>1716947.0</v>
      </c>
      <c r="C2004" s="124" t="s">
        <v>4428</v>
      </c>
      <c r="D2004" s="125"/>
      <c r="E2004" s="126">
        <v>1.54</v>
      </c>
      <c r="F2004" s="127"/>
      <c r="G2004" s="127"/>
      <c r="H2004" s="127"/>
      <c r="I2004" s="128"/>
      <c r="K2004" s="105" t="str">
        <f>IFERROR(__xludf.DUMMYFUNCTION("if(A2004="""","""",substitute(SUBSTITUTE(index(importhtml(""http://finviz.com/quote.ashx?t=""&amp;A2004,""table"",10),7,2),""*"",""""),""-"",""0.00""))"),"Loading...")</f>
        <v>Loading...</v>
      </c>
      <c r="L2004" s="129">
        <v>4844953.0</v>
      </c>
      <c r="M2004" s="99">
        <v>0.88</v>
      </c>
    </row>
    <row r="2005">
      <c r="A2005" s="122" t="s">
        <v>4429</v>
      </c>
      <c r="B2005" s="123">
        <v>1002135.0</v>
      </c>
      <c r="C2005" s="124" t="s">
        <v>4430</v>
      </c>
      <c r="D2005" s="125"/>
      <c r="E2005" s="126">
        <v>1.54</v>
      </c>
      <c r="F2005" s="127"/>
      <c r="G2005" s="127"/>
      <c r="H2005" s="127"/>
      <c r="I2005" s="128"/>
      <c r="K2005" s="105" t="str">
        <f>IFERROR(__xludf.DUMMYFUNCTION("if(A2005="""","""",substitute(SUBSTITUTE(index(importhtml(""http://finviz.com/quote.ashx?t=""&amp;A2005,""table"",10),7,2),""*"",""""),""-"",""0.00""))"),"Loading...")</f>
        <v>Loading...</v>
      </c>
      <c r="L2005" s="129">
        <v>1.2359519E7</v>
      </c>
      <c r="M2005" s="99">
        <v>0.97</v>
      </c>
    </row>
    <row r="2006">
      <c r="A2006" s="122" t="s">
        <v>4431</v>
      </c>
      <c r="B2006" s="123">
        <v>1877333.0</v>
      </c>
      <c r="C2006" s="124" t="s">
        <v>4432</v>
      </c>
      <c r="D2006" s="125"/>
      <c r="E2006" s="126">
        <v>1.54</v>
      </c>
      <c r="F2006" s="127"/>
      <c r="G2006" s="127"/>
      <c r="H2006" s="127"/>
      <c r="I2006" s="128"/>
      <c r="K2006" s="105" t="str">
        <f>IFERROR(__xludf.DUMMYFUNCTION("if(A2006="""","""",substitute(SUBSTITUTE(index(importhtml(""http://finviz.com/quote.ashx?t=""&amp;A2006,""table"",10),7,2),""*"",""""),""-"",""0.00""))"),"Loading...")</f>
        <v>Loading...</v>
      </c>
      <c r="L2006" s="129">
        <v>2.55744405E8</v>
      </c>
      <c r="M2006" s="99">
        <f>IFERROR(__xludf.DUMMYFUNCTION("GOOGLEFINANCE(A2006,""beta"")"),0.57)</f>
        <v>0.57</v>
      </c>
    </row>
    <row r="2007">
      <c r="A2007" s="122" t="s">
        <v>4433</v>
      </c>
      <c r="B2007" s="123">
        <v>1899005.0</v>
      </c>
      <c r="C2007" s="124" t="s">
        <v>4434</v>
      </c>
      <c r="D2007" s="125"/>
      <c r="E2007" s="126">
        <v>1.55</v>
      </c>
      <c r="F2007" s="127"/>
      <c r="G2007" s="127"/>
      <c r="H2007" s="127"/>
      <c r="I2007" s="128"/>
      <c r="K2007" s="55" t="s">
        <v>1034</v>
      </c>
      <c r="L2007" s="129">
        <v>1.9968478E7</v>
      </c>
      <c r="M2007" s="99" t="str">
        <f>IFERROR(__xludf.DUMMYFUNCTION("GOOGLEFINANCE(A2007,""beta"")"),"#N/A")</f>
        <v>#N/A</v>
      </c>
    </row>
    <row r="2008">
      <c r="A2008" s="122" t="s">
        <v>4435</v>
      </c>
      <c r="B2008" s="123">
        <v>1662574.0</v>
      </c>
      <c r="C2008" s="124" t="s">
        <v>4436</v>
      </c>
      <c r="D2008" s="125"/>
      <c r="E2008" s="126">
        <v>1.55</v>
      </c>
      <c r="F2008" s="127"/>
      <c r="G2008" s="127"/>
      <c r="H2008" s="127"/>
      <c r="I2008" s="128"/>
      <c r="K2008" s="105" t="str">
        <f>IFERROR(__xludf.DUMMYFUNCTION("if(A2008="""","""",substitute(SUBSTITUTE(index(importhtml(""http://finviz.com/quote.ashx?t=""&amp;A2008,""table"",10),7,2),""*"",""""),""-"",""0.00""))"),"Loading...")</f>
        <v>Loading...</v>
      </c>
      <c r="L2008" s="129">
        <v>1427521.0</v>
      </c>
      <c r="M2008" s="99" t="str">
        <f>IFERROR(__xludf.DUMMYFUNCTION("GOOGLEFINANCE(A2008,""beta"")"),"#N/A")</f>
        <v>#N/A</v>
      </c>
    </row>
    <row r="2009">
      <c r="A2009" s="122" t="s">
        <v>4437</v>
      </c>
      <c r="B2009" s="123">
        <v>1017655.0</v>
      </c>
      <c r="C2009" s="124" t="s">
        <v>4438</v>
      </c>
      <c r="D2009" s="125"/>
      <c r="E2009" s="126">
        <v>1.55</v>
      </c>
      <c r="F2009" s="127"/>
      <c r="G2009" s="127"/>
      <c r="H2009" s="127"/>
      <c r="I2009" s="128"/>
      <c r="K2009" s="105" t="str">
        <f>IFERROR(__xludf.DUMMYFUNCTION("if(A2009="""","""",substitute(SUBSTITUTE(index(importhtml(""http://finviz.com/quote.ashx?t=""&amp;A2009,""table"",10),7,2),""*"",""""),""-"",""0.00""))"),"Loading...")</f>
        <v>Loading...</v>
      </c>
      <c r="L2009" s="129">
        <v>1.2416793E7</v>
      </c>
      <c r="M2009" s="99">
        <v>-0.16</v>
      </c>
    </row>
    <row r="2010">
      <c r="A2010" s="122" t="s">
        <v>4439</v>
      </c>
      <c r="B2010" s="123">
        <v>1156041.0</v>
      </c>
      <c r="C2010" s="124" t="s">
        <v>4440</v>
      </c>
      <c r="D2010" s="125"/>
      <c r="E2010" s="126">
        <v>1.55</v>
      </c>
      <c r="F2010" s="127"/>
      <c r="G2010" s="127"/>
      <c r="H2010" s="127"/>
      <c r="I2010" s="128"/>
      <c r="K2010" s="105" t="str">
        <f>IFERROR(__xludf.DUMMYFUNCTION("if(A2010="""","""",substitute(SUBSTITUTE(index(importhtml(""http://finviz.com/quote.ashx?t=""&amp;A2010,""table"",10),7,2),""*"",""""),""-"",""0.00""))"),"Loading...")</f>
        <v>Loading...</v>
      </c>
      <c r="L2010" s="129">
        <v>1.6904841E7</v>
      </c>
      <c r="M2010" s="99">
        <v>0.66</v>
      </c>
    </row>
    <row r="2011">
      <c r="A2011" s="122" t="s">
        <v>4441</v>
      </c>
      <c r="B2011" s="123">
        <v>1825349.0</v>
      </c>
      <c r="C2011" s="124" t="s">
        <v>4442</v>
      </c>
      <c r="D2011" s="125"/>
      <c r="E2011" s="126">
        <v>1.55</v>
      </c>
      <c r="F2011" s="127"/>
      <c r="G2011" s="127"/>
      <c r="H2011" s="127"/>
      <c r="I2011" s="128"/>
      <c r="K2011" s="105" t="str">
        <f>IFERROR(__xludf.DUMMYFUNCTION("if(A2011="""","""",substitute(SUBSTITUTE(index(importhtml(""http://finviz.com/quote.ashx?t=""&amp;A2011,""table"",10),7,2),""*"",""""),""-"",""0.00""))"),"Loading...")</f>
        <v>Loading...</v>
      </c>
      <c r="L2011" s="129">
        <v>1.9204499E7</v>
      </c>
      <c r="M2011" s="99" t="str">
        <f>IFERROR(__xludf.DUMMYFUNCTION("GOOGLEFINANCE(A2011,""beta"")"),"#N/A")</f>
        <v>#N/A</v>
      </c>
    </row>
    <row r="2012">
      <c r="A2012" s="122" t="s">
        <v>4443</v>
      </c>
      <c r="B2012" s="123">
        <v>1101680.0</v>
      </c>
      <c r="C2012" s="124" t="s">
        <v>4444</v>
      </c>
      <c r="D2012" s="125"/>
      <c r="E2012" s="126">
        <v>1.55</v>
      </c>
      <c r="F2012" s="127"/>
      <c r="G2012" s="127"/>
      <c r="H2012" s="127"/>
      <c r="I2012" s="128"/>
      <c r="K2012" s="105" t="str">
        <f>IFERROR(__xludf.DUMMYFUNCTION("if(A2012="""","""",substitute(SUBSTITUTE(index(importhtml(""http://finviz.com/quote.ashx?t=""&amp;A2012,""table"",10),7,2),""*"",""""),""-"",""0.00""))"),"Loading...")</f>
        <v>Loading...</v>
      </c>
      <c r="L2012" s="129">
        <v>4.978916E7</v>
      </c>
      <c r="M2012" s="99">
        <v>1.62</v>
      </c>
    </row>
    <row r="2013">
      <c r="A2013" s="122" t="s">
        <v>4445</v>
      </c>
      <c r="B2013" s="123">
        <v>1289636.0</v>
      </c>
      <c r="C2013" s="124" t="s">
        <v>4446</v>
      </c>
      <c r="D2013" s="125"/>
      <c r="E2013" s="126">
        <v>1.56</v>
      </c>
      <c r="F2013" s="127"/>
      <c r="G2013" s="127"/>
      <c r="H2013" s="127"/>
      <c r="I2013" s="128"/>
      <c r="K2013" s="105" t="str">
        <f>IFERROR(__xludf.DUMMYFUNCTION("if(A2013="""","""",substitute(SUBSTITUTE(index(importhtml(""http://finviz.com/quote.ashx?t=""&amp;A2013,""table"",10),7,2),""*"",""""),""-"",""0.00""))"),"Loading...")</f>
        <v>Loading...</v>
      </c>
      <c r="L2013" s="129">
        <v>7.4237183E7</v>
      </c>
      <c r="M2013" s="99">
        <v>0.52</v>
      </c>
    </row>
    <row r="2014">
      <c r="A2014" s="122" t="s">
        <v>4447</v>
      </c>
      <c r="B2014" s="123">
        <v>1470683.0</v>
      </c>
      <c r="C2014" s="124" t="s">
        <v>4448</v>
      </c>
      <c r="D2014" s="125"/>
      <c r="E2014" s="126">
        <v>1.57</v>
      </c>
      <c r="F2014" s="127"/>
      <c r="G2014" s="127"/>
      <c r="H2014" s="127"/>
      <c r="I2014" s="128"/>
      <c r="K2014" s="105" t="str">
        <f>IFERROR(__xludf.DUMMYFUNCTION("if(A2014="""","""",substitute(SUBSTITUTE(index(importhtml(""http://finviz.com/quote.ashx?t=""&amp;A2014,""table"",10),7,2),""*"",""""),""-"",""0.00""))"),"Loading...")</f>
        <v>Loading...</v>
      </c>
      <c r="L2014" s="129">
        <v>2824853.0</v>
      </c>
      <c r="M2014" s="99">
        <v>1.31</v>
      </c>
    </row>
    <row r="2015">
      <c r="A2015" s="122" t="s">
        <v>4449</v>
      </c>
      <c r="B2015" s="123">
        <v>1789192.0</v>
      </c>
      <c r="C2015" s="124" t="s">
        <v>4450</v>
      </c>
      <c r="D2015" s="125"/>
      <c r="E2015" s="126">
        <v>1.57</v>
      </c>
      <c r="F2015" s="127"/>
      <c r="G2015" s="127"/>
      <c r="H2015" s="127"/>
      <c r="I2015" s="128"/>
      <c r="K2015" s="105" t="str">
        <f>IFERROR(__xludf.DUMMYFUNCTION("if(A2015="""","""",substitute(SUBSTITUTE(index(importhtml(""http://finviz.com/quote.ashx?t=""&amp;A2015,""table"",10),7,2),""*"",""""),""-"",""0.00""))"),"Loading...")</f>
        <v>Loading...</v>
      </c>
      <c r="L2015" s="129">
        <v>4640114.0</v>
      </c>
      <c r="M2015" s="99">
        <v>2.51</v>
      </c>
    </row>
    <row r="2016">
      <c r="A2016" s="122" t="s">
        <v>4451</v>
      </c>
      <c r="B2016" s="123">
        <v>1879403.0</v>
      </c>
      <c r="C2016" s="124" t="s">
        <v>4452</v>
      </c>
      <c r="D2016" s="125"/>
      <c r="E2016" s="126">
        <v>1.57</v>
      </c>
      <c r="F2016" s="127"/>
      <c r="G2016" s="127"/>
      <c r="H2016" s="127"/>
      <c r="I2016" s="128"/>
      <c r="K2016" s="105" t="str">
        <f>IFERROR(__xludf.DUMMYFUNCTION("if(A2016="""","""",substitute(SUBSTITUTE(index(importhtml(""http://finviz.com/quote.ashx?t=""&amp;A2016,""table"",10),7,2),""*"",""""),""-"",""0.00""))"),"Loading...")</f>
        <v>Loading...</v>
      </c>
      <c r="L2016" s="129">
        <v>2.0197406E7</v>
      </c>
      <c r="M2016" s="99" t="str">
        <f>IFERROR(__xludf.DUMMYFUNCTION("GOOGLEFINANCE(A2016,""beta"")"),"#N/A")</f>
        <v>#N/A</v>
      </c>
    </row>
    <row r="2017">
      <c r="A2017" s="122" t="s">
        <v>4453</v>
      </c>
      <c r="B2017" s="123">
        <v>1659323.0</v>
      </c>
      <c r="C2017" s="124" t="s">
        <v>4454</v>
      </c>
      <c r="D2017" s="125"/>
      <c r="E2017" s="126">
        <v>1.57</v>
      </c>
      <c r="F2017" s="127"/>
      <c r="G2017" s="127"/>
      <c r="H2017" s="127"/>
      <c r="I2017" s="128"/>
      <c r="K2017" s="105" t="str">
        <f>IFERROR(__xludf.DUMMYFUNCTION("if(A2017="""","""",substitute(SUBSTITUTE(index(importhtml(""http://finviz.com/quote.ashx?t=""&amp;A2017,""table"",10),7,2),""*"",""""),""-"",""0.00""))"),"Loading...")</f>
        <v>Loading...</v>
      </c>
      <c r="L2017" s="129">
        <v>2.1093547E7</v>
      </c>
      <c r="M2017" s="99">
        <v>2.41</v>
      </c>
    </row>
    <row r="2018">
      <c r="A2018" s="122" t="s">
        <v>4455</v>
      </c>
      <c r="B2018" s="123">
        <v>1321851.0</v>
      </c>
      <c r="C2018" s="124" t="s">
        <v>4456</v>
      </c>
      <c r="D2018" s="125"/>
      <c r="E2018" s="126">
        <v>1.58</v>
      </c>
      <c r="F2018" s="127"/>
      <c r="G2018" s="127"/>
      <c r="H2018" s="127"/>
      <c r="I2018" s="128"/>
      <c r="K2018" s="105" t="str">
        <f>IFERROR(__xludf.DUMMYFUNCTION("if(A2018="""","""",substitute(SUBSTITUTE(index(importhtml(""http://finviz.com/quote.ashx?t=""&amp;A2018,""table"",10),7,2),""*"",""""),""-"",""0.00""))"),"Loading...")</f>
        <v>Loading...</v>
      </c>
      <c r="L2018" s="129">
        <v>9926825.0</v>
      </c>
      <c r="M2018" s="99">
        <v>1.06</v>
      </c>
    </row>
    <row r="2019">
      <c r="A2019" s="122" t="s">
        <v>4457</v>
      </c>
      <c r="B2019" s="123">
        <v>1712762.0</v>
      </c>
      <c r="C2019" s="124" t="s">
        <v>4458</v>
      </c>
      <c r="D2019" s="125"/>
      <c r="E2019" s="126">
        <v>1.58</v>
      </c>
      <c r="F2019" s="127"/>
      <c r="G2019" s="127"/>
      <c r="H2019" s="127"/>
      <c r="I2019" s="128"/>
      <c r="K2019" s="105" t="str">
        <f>IFERROR(__xludf.DUMMYFUNCTION("if(A2019="""","""",substitute(SUBSTITUTE(index(importhtml(""http://finviz.com/quote.ashx?t=""&amp;A2019,""table"",10),7,2),""*"",""""),""-"",""0.00""))"),"Loading...")</f>
        <v>Loading...</v>
      </c>
      <c r="L2019" s="129">
        <v>1.5013539E7</v>
      </c>
      <c r="M2019" s="99">
        <f>IFERROR(__xludf.DUMMYFUNCTION("GOOGLEFINANCE(A2019,""beta"")"),2.31)</f>
        <v>2.31</v>
      </c>
    </row>
    <row r="2020">
      <c r="A2020" s="122" t="s">
        <v>4459</v>
      </c>
      <c r="B2020" s="123">
        <v>1751707.0</v>
      </c>
      <c r="C2020" s="124" t="s">
        <v>4460</v>
      </c>
      <c r="D2020" s="125"/>
      <c r="E2020" s="126">
        <v>1.58</v>
      </c>
      <c r="F2020" s="127"/>
      <c r="G2020" s="127"/>
      <c r="H2020" s="127"/>
      <c r="I2020" s="128"/>
      <c r="K2020" s="105" t="str">
        <f>IFERROR(__xludf.DUMMYFUNCTION("if(A2020="""","""",substitute(SUBSTITUTE(index(importhtml(""http://finviz.com/quote.ashx?t=""&amp;A2020,""table"",10),7,2),""*"",""""),""-"",""0.00""))"),"Loading...")</f>
        <v>Loading...</v>
      </c>
      <c r="L2020" s="129">
        <v>2.463536E7</v>
      </c>
      <c r="M2020" s="99">
        <v>0.55</v>
      </c>
    </row>
    <row r="2021">
      <c r="A2021" s="122" t="s">
        <v>4461</v>
      </c>
      <c r="B2021" s="123">
        <v>1811063.0</v>
      </c>
      <c r="C2021" s="124" t="s">
        <v>4462</v>
      </c>
      <c r="D2021" s="125"/>
      <c r="E2021" s="126">
        <v>1.58</v>
      </c>
      <c r="F2021" s="127"/>
      <c r="G2021" s="127"/>
      <c r="H2021" s="127"/>
      <c r="I2021" s="128"/>
      <c r="K2021" s="105" t="str">
        <f>IFERROR(__xludf.DUMMYFUNCTION("if(A2021="""","""",substitute(SUBSTITUTE(index(importhtml(""http://finviz.com/quote.ashx?t=""&amp;A2021,""table"",10),7,2),""*"",""""),""-"",""0.00""))"),"Loading...")</f>
        <v>Loading...</v>
      </c>
      <c r="L2021" s="129">
        <v>3.45931529E8</v>
      </c>
      <c r="M2021" s="99">
        <v>1.14</v>
      </c>
    </row>
    <row r="2022">
      <c r="A2022" s="122" t="s">
        <v>4463</v>
      </c>
      <c r="B2022" s="123">
        <v>1853962.0</v>
      </c>
      <c r="C2022" s="124" t="s">
        <v>4464</v>
      </c>
      <c r="D2022" s="125"/>
      <c r="E2022" s="126">
        <v>1.58</v>
      </c>
      <c r="F2022" s="127"/>
      <c r="G2022" s="127"/>
      <c r="H2022" s="127"/>
      <c r="I2022" s="128"/>
      <c r="K2022" s="105" t="str">
        <f>IFERROR(__xludf.DUMMYFUNCTION("if(A2022="""","""",substitute(SUBSTITUTE(index(importhtml(""http://finviz.com/quote.ashx?t=""&amp;A2022,""table"",10),7,2),""*"",""""),""-"",""0.00""))"),"Loading...")</f>
        <v>Loading...</v>
      </c>
      <c r="L2022" s="129">
        <v>6.32082841E8</v>
      </c>
      <c r="M2022" s="99">
        <f>IFERROR(__xludf.DUMMYFUNCTION("GOOGLEFINANCE(A2022,""beta"")"),1.12)</f>
        <v>1.12</v>
      </c>
    </row>
    <row r="2023">
      <c r="A2023" s="122" t="s">
        <v>4465</v>
      </c>
      <c r="B2023" s="123">
        <v>1520048.0</v>
      </c>
      <c r="C2023" s="124" t="s">
        <v>4466</v>
      </c>
      <c r="D2023" s="125"/>
      <c r="E2023" s="126">
        <v>1.59</v>
      </c>
      <c r="F2023" s="127"/>
      <c r="G2023" s="127"/>
      <c r="H2023" s="127"/>
      <c r="I2023" s="128"/>
      <c r="K2023" s="105" t="str">
        <f>IFERROR(__xludf.DUMMYFUNCTION("if(A2023="""","""",substitute(SUBSTITUTE(index(importhtml(""http://finviz.com/quote.ashx?t=""&amp;A2023,""table"",10),7,2),""*"",""""),""-"",""0.00""))"),"Loading...")</f>
        <v>Loading...</v>
      </c>
      <c r="L2023" s="129">
        <v>5.2470001E7</v>
      </c>
      <c r="M2023" s="99">
        <v>1.04</v>
      </c>
    </row>
    <row r="2024">
      <c r="A2024" s="122" t="s">
        <v>4467</v>
      </c>
      <c r="B2024" s="123">
        <v>1637715.0</v>
      </c>
      <c r="C2024" s="124" t="s">
        <v>4468</v>
      </c>
      <c r="D2024" s="125"/>
      <c r="E2024" s="126">
        <v>1.59</v>
      </c>
      <c r="F2024" s="127"/>
      <c r="G2024" s="127"/>
      <c r="H2024" s="127"/>
      <c r="I2024" s="128"/>
      <c r="K2024" s="105" t="str">
        <f>IFERROR(__xludf.DUMMYFUNCTION("if(A2024="""","""",substitute(SUBSTITUTE(index(importhtml(""http://finviz.com/quote.ashx?t=""&amp;A2024,""table"",10),7,2),""*"",""""),""-"",""0.00""))"),"Loading...")</f>
        <v>Loading...</v>
      </c>
      <c r="L2024" s="129">
        <v>5.2965731E7</v>
      </c>
      <c r="M2024" s="99" t="str">
        <f>IFERROR(__xludf.DUMMYFUNCTION("GOOGLEFINANCE(A2024,""beta"")"),"#N/A")</f>
        <v>#N/A</v>
      </c>
    </row>
    <row r="2025">
      <c r="A2025" s="122" t="s">
        <v>4469</v>
      </c>
      <c r="B2025" s="123">
        <v>1213037.0</v>
      </c>
      <c r="C2025" s="124" t="s">
        <v>4470</v>
      </c>
      <c r="D2025" s="125"/>
      <c r="E2025" s="126">
        <v>1.59</v>
      </c>
      <c r="F2025" s="127"/>
      <c r="G2025" s="127"/>
      <c r="H2025" s="127"/>
      <c r="I2025" s="128"/>
      <c r="K2025" s="105" t="str">
        <f>IFERROR(__xludf.DUMMYFUNCTION("if(A2025="""","""",substitute(SUBSTITUTE(index(importhtml(""http://finviz.com/quote.ashx?t=""&amp;A2025,""table"",10),7,2),""*"",""""),""-"",""0.00""))"),"Loading...")</f>
        <v>Loading...</v>
      </c>
      <c r="L2025" s="129">
        <v>7.1036685E7</v>
      </c>
      <c r="M2025" s="99">
        <v>1.69</v>
      </c>
    </row>
    <row r="2026">
      <c r="A2026" s="122" t="s">
        <v>4471</v>
      </c>
      <c r="B2026" s="123">
        <v>1520118.0</v>
      </c>
      <c r="C2026" s="124" t="s">
        <v>4472</v>
      </c>
      <c r="D2026" s="125"/>
      <c r="E2026" s="126">
        <v>1.6</v>
      </c>
      <c r="F2026" s="127"/>
      <c r="G2026" s="127"/>
      <c r="H2026" s="127"/>
      <c r="I2026" s="128"/>
      <c r="K2026" s="105" t="str">
        <f>IFERROR(__xludf.DUMMYFUNCTION("if(A2026="""","""",substitute(SUBSTITUTE(index(importhtml(""http://finviz.com/quote.ashx?t=""&amp;A2026,""table"",10),7,2),""*"",""""),""-"",""0.00""))"),"Loading...")</f>
        <v>Loading...</v>
      </c>
      <c r="L2026" s="129">
        <v>6399988.0</v>
      </c>
      <c r="M2026" s="99">
        <v>3.06</v>
      </c>
    </row>
    <row r="2027">
      <c r="A2027" s="122" t="s">
        <v>4473</v>
      </c>
      <c r="B2027" s="123">
        <v>1473490.0</v>
      </c>
      <c r="C2027" s="124" t="s">
        <v>4474</v>
      </c>
      <c r="D2027" s="125"/>
      <c r="E2027" s="126">
        <v>1.6</v>
      </c>
      <c r="F2027" s="127"/>
      <c r="G2027" s="127"/>
      <c r="H2027" s="127"/>
      <c r="I2027" s="128"/>
      <c r="K2027" s="105" t="str">
        <f>IFERROR(__xludf.DUMMYFUNCTION("if(A2027="""","""",substitute(SUBSTITUTE(index(importhtml(""http://finviz.com/quote.ashx?t=""&amp;A2027,""table"",10),7,2),""*"",""""),""-"",""0.00""))"),"Loading...")</f>
        <v>Loading...</v>
      </c>
      <c r="L2027" s="129">
        <v>4.30752E7</v>
      </c>
      <c r="M2027" s="99" t="str">
        <f>IFERROR(__xludf.DUMMYFUNCTION("GOOGLEFINANCE(A2027,""beta"")"),"#N/A")</f>
        <v>#N/A</v>
      </c>
    </row>
    <row r="2028">
      <c r="A2028" s="122" t="s">
        <v>4475</v>
      </c>
      <c r="B2028" s="123">
        <v>889971.0</v>
      </c>
      <c r="C2028" s="124" t="s">
        <v>4476</v>
      </c>
      <c r="D2028" s="125"/>
      <c r="E2028" s="126">
        <v>1.6</v>
      </c>
      <c r="F2028" s="127"/>
      <c r="G2028" s="127"/>
      <c r="H2028" s="127"/>
      <c r="I2028" s="128"/>
      <c r="K2028" s="105" t="str">
        <f>IFERROR(__xludf.DUMMYFUNCTION("if(A2028="""","""",substitute(SUBSTITUTE(index(importhtml(""http://finviz.com/quote.ashx?t=""&amp;A2028,""table"",10),7,2),""*"",""""),""-"",""0.00""))"),"Loading...")</f>
        <v>Loading...</v>
      </c>
      <c r="L2028" s="129">
        <v>6.0062512E7</v>
      </c>
      <c r="M2028" s="99">
        <v>1.43</v>
      </c>
    </row>
    <row r="2029">
      <c r="A2029" s="122" t="s">
        <v>4477</v>
      </c>
      <c r="B2029" s="123">
        <v>1712178.0</v>
      </c>
      <c r="C2029" s="124" t="s">
        <v>4478</v>
      </c>
      <c r="D2029" s="125"/>
      <c r="E2029" s="126">
        <v>1.6</v>
      </c>
      <c r="F2029" s="127"/>
      <c r="G2029" s="127"/>
      <c r="H2029" s="127"/>
      <c r="I2029" s="128"/>
      <c r="K2029" s="105" t="str">
        <f>IFERROR(__xludf.DUMMYFUNCTION("if(A2029="""","""",substitute(SUBSTITUTE(index(importhtml(""http://finviz.com/quote.ashx?t=""&amp;A2029,""table"",10),7,2),""*"",""""),""-"",""0.00""))"),"Loading...")</f>
        <v>Loading...</v>
      </c>
      <c r="L2029" s="129">
        <v>3.91290245E8</v>
      </c>
      <c r="M2029" s="99">
        <v>1.16</v>
      </c>
    </row>
    <row r="2030">
      <c r="A2030" s="122" t="s">
        <v>4479</v>
      </c>
      <c r="B2030" s="123">
        <v>1062750.0</v>
      </c>
      <c r="C2030" s="124" t="s">
        <v>4480</v>
      </c>
      <c r="D2030" s="125"/>
      <c r="E2030" s="126">
        <v>1.6</v>
      </c>
      <c r="F2030" s="127"/>
      <c r="G2030" s="127"/>
      <c r="H2030" s="127"/>
      <c r="I2030" s="128"/>
      <c r="K2030" s="105" t="str">
        <f>IFERROR(__xludf.DUMMYFUNCTION("if(A2030="""","""",substitute(SUBSTITUTE(index(importhtml(""http://finviz.com/quote.ashx?t=""&amp;A2030,""table"",10),7,2),""*"",""""),""-"",""0.00""))"),"Loading...")</f>
        <v>Loading...</v>
      </c>
      <c r="L2030" s="129">
        <v>2.650247211E9</v>
      </c>
      <c r="M2030" s="99">
        <v>1.18</v>
      </c>
    </row>
    <row r="2031">
      <c r="A2031" s="122" t="s">
        <v>4481</v>
      </c>
      <c r="B2031" s="123">
        <v>1191334.0</v>
      </c>
      <c r="C2031" s="124" t="s">
        <v>4482</v>
      </c>
      <c r="D2031" s="125"/>
      <c r="E2031" s="126">
        <v>1.6</v>
      </c>
      <c r="F2031" s="127"/>
      <c r="G2031" s="127"/>
      <c r="H2031" s="127"/>
      <c r="I2031" s="128"/>
      <c r="K2031" s="105" t="str">
        <f>IFERROR(__xludf.DUMMYFUNCTION("if(A2031="""","""",substitute(SUBSTITUTE(index(importhtml(""http://finviz.com/quote.ashx?t=""&amp;A2031,""table"",10),7,2),""*"",""""),""-"",""0.00""))"),"Loading...")</f>
        <v>Loading...</v>
      </c>
      <c r="L2031" s="129" t="e">
        <v>#N/A</v>
      </c>
      <c r="M2031" s="99" t="str">
        <f>IFERROR(__xludf.DUMMYFUNCTION("GOOGLEFINANCE(A2031,""beta"")"),"#N/A")</f>
        <v>#N/A</v>
      </c>
    </row>
    <row r="2032">
      <c r="A2032" s="122" t="s">
        <v>4483</v>
      </c>
      <c r="B2032" s="123">
        <v>1412486.0</v>
      </c>
      <c r="C2032" s="124" t="s">
        <v>4484</v>
      </c>
      <c r="D2032" s="125"/>
      <c r="E2032" s="126">
        <v>1.61</v>
      </c>
      <c r="F2032" s="127"/>
      <c r="G2032" s="127"/>
      <c r="H2032" s="127"/>
      <c r="I2032" s="128"/>
      <c r="K2032" s="105" t="str">
        <f>IFERROR(__xludf.DUMMYFUNCTION("if(A2032="""","""",substitute(SUBSTITUTE(index(importhtml(""http://finviz.com/quote.ashx?t=""&amp;A2032,""table"",10),7,2),""*"",""""),""-"",""0.00""))"),"Loading...")</f>
        <v>Loading...</v>
      </c>
      <c r="L2032" s="129">
        <v>1.6379802E7</v>
      </c>
      <c r="M2032" s="99">
        <v>1.38</v>
      </c>
    </row>
    <row r="2033">
      <c r="A2033" s="122" t="s">
        <v>4485</v>
      </c>
      <c r="B2033" s="123">
        <v>1748137.0</v>
      </c>
      <c r="C2033" s="124" t="s">
        <v>4486</v>
      </c>
      <c r="D2033" s="125"/>
      <c r="E2033" s="126">
        <v>1.61</v>
      </c>
      <c r="F2033" s="127"/>
      <c r="G2033" s="127"/>
      <c r="H2033" s="127"/>
      <c r="I2033" s="128"/>
      <c r="K2033" s="105" t="str">
        <f>IFERROR(__xludf.DUMMYFUNCTION("if(A2033="""","""",substitute(SUBSTITUTE(index(importhtml(""http://finviz.com/quote.ashx?t=""&amp;A2033,""table"",10),7,2),""*"",""""),""-"",""0.00""))"),"Loading...")</f>
        <v>Loading...</v>
      </c>
      <c r="L2033" s="129">
        <v>5.3513413E7</v>
      </c>
      <c r="M2033" s="99">
        <v>0.81</v>
      </c>
    </row>
    <row r="2034">
      <c r="A2034" s="122" t="s">
        <v>4487</v>
      </c>
      <c r="B2034" s="123">
        <v>924383.0</v>
      </c>
      <c r="C2034" s="124" t="s">
        <v>4488</v>
      </c>
      <c r="D2034" s="125"/>
      <c r="E2034" s="126">
        <v>1.61</v>
      </c>
      <c r="F2034" s="127"/>
      <c r="G2034" s="127"/>
      <c r="H2034" s="127"/>
      <c r="I2034" s="128"/>
      <c r="K2034" s="105" t="str">
        <f>IFERROR(__xludf.DUMMYFUNCTION("if(A2034="""","""",substitute(SUBSTITUTE(index(importhtml(""http://finviz.com/quote.ashx?t=""&amp;A2034,""table"",10),7,2),""*"",""""),""-"",""0.00""))"),"Loading...")</f>
        <v>Loading...</v>
      </c>
      <c r="L2034" s="129">
        <v>7.088017E7</v>
      </c>
      <c r="M2034" s="99">
        <v>0.41</v>
      </c>
    </row>
    <row r="2035">
      <c r="A2035" s="122" t="s">
        <v>4489</v>
      </c>
      <c r="B2035" s="123">
        <v>1854139.0</v>
      </c>
      <c r="C2035" s="124" t="s">
        <v>4490</v>
      </c>
      <c r="D2035" s="125"/>
      <c r="E2035" s="126">
        <v>1.61</v>
      </c>
      <c r="F2035" s="127"/>
      <c r="G2035" s="127"/>
      <c r="H2035" s="127"/>
      <c r="I2035" s="128"/>
      <c r="K2035" s="105" t="str">
        <f>IFERROR(__xludf.DUMMYFUNCTION("if(A2035="""","""",substitute(SUBSTITUTE(index(importhtml(""http://finviz.com/quote.ashx?t=""&amp;A2035,""table"",10),7,2),""*"",""""),""-"",""0.00""))"),"Loading...")</f>
        <v>Loading...</v>
      </c>
      <c r="L2035" s="129">
        <v>1.14857964E8</v>
      </c>
      <c r="M2035" s="99">
        <f>IFERROR(__xludf.DUMMYFUNCTION("GOOGLEFINANCE(A2035,""beta"")"),0.87)</f>
        <v>0.87</v>
      </c>
    </row>
    <row r="2036">
      <c r="A2036" s="122" t="s">
        <v>4491</v>
      </c>
      <c r="B2036" s="123">
        <v>1367644.0</v>
      </c>
      <c r="C2036" s="124" t="s">
        <v>4492</v>
      </c>
      <c r="D2036" s="125"/>
      <c r="E2036" s="126">
        <v>1.62</v>
      </c>
      <c r="F2036" s="127"/>
      <c r="G2036" s="127"/>
      <c r="H2036" s="127"/>
      <c r="I2036" s="128"/>
      <c r="K2036" s="55" t="s">
        <v>1034</v>
      </c>
      <c r="L2036" s="129">
        <v>8.4052728E7</v>
      </c>
      <c r="M2036" s="99">
        <v>0.98</v>
      </c>
    </row>
    <row r="2037">
      <c r="A2037" s="122" t="s">
        <v>4493</v>
      </c>
      <c r="B2037" s="123">
        <v>1277866.0</v>
      </c>
      <c r="C2037" s="124" t="s">
        <v>4494</v>
      </c>
      <c r="D2037" s="125"/>
      <c r="E2037" s="126">
        <v>1.62</v>
      </c>
      <c r="F2037" s="127"/>
      <c r="G2037" s="127"/>
      <c r="H2037" s="127"/>
      <c r="I2037" s="128"/>
      <c r="K2037" s="55" t="s">
        <v>1034</v>
      </c>
      <c r="L2037" s="129">
        <v>3.50502715E8</v>
      </c>
      <c r="M2037" s="99">
        <v>1.66</v>
      </c>
    </row>
    <row r="2038">
      <c r="A2038" s="122" t="s">
        <v>4495</v>
      </c>
      <c r="B2038" s="123">
        <v>907654.0</v>
      </c>
      <c r="C2038" s="124" t="s">
        <v>4496</v>
      </c>
      <c r="D2038" s="125"/>
      <c r="E2038" s="126">
        <v>1.62</v>
      </c>
      <c r="F2038" s="127"/>
      <c r="G2038" s="127"/>
      <c r="H2038" s="127"/>
      <c r="I2038" s="128"/>
      <c r="K2038" s="105" t="str">
        <f>IFERROR(__xludf.DUMMYFUNCTION("if(A2038="""","""",substitute(SUBSTITUTE(index(importhtml(""http://finviz.com/quote.ashx?t=""&amp;A2038,""table"",10),7,2),""*"",""""),""-"",""0.00""))"),"Loading...")</f>
        <v>Loading...</v>
      </c>
      <c r="L2038" s="129">
        <v>2.3341462E7</v>
      </c>
      <c r="M2038" s="99">
        <v>1.18</v>
      </c>
    </row>
    <row r="2039">
      <c r="A2039" s="122" t="s">
        <v>4497</v>
      </c>
      <c r="B2039" s="123">
        <v>1708688.0</v>
      </c>
      <c r="C2039" s="124" t="s">
        <v>4498</v>
      </c>
      <c r="D2039" s="125"/>
      <c r="E2039" s="126">
        <v>1.62</v>
      </c>
      <c r="F2039" s="127"/>
      <c r="G2039" s="127"/>
      <c r="H2039" s="127"/>
      <c r="I2039" s="128"/>
      <c r="K2039" s="105" t="str">
        <f>IFERROR(__xludf.DUMMYFUNCTION("if(A2039="""","""",substitute(SUBSTITUTE(index(importhtml(""http://finviz.com/quote.ashx?t=""&amp;A2039,""table"",10),7,2),""*"",""""),""-"",""0.00""))"),"Loading...")</f>
        <v>Loading...</v>
      </c>
      <c r="L2039" s="129">
        <v>9.5885597E7</v>
      </c>
      <c r="M2039" s="99">
        <v>1.3</v>
      </c>
    </row>
    <row r="2040">
      <c r="A2040" s="122" t="s">
        <v>4499</v>
      </c>
      <c r="B2040" s="123">
        <v>1408443.0</v>
      </c>
      <c r="C2040" s="124" t="s">
        <v>4500</v>
      </c>
      <c r="D2040" s="125"/>
      <c r="E2040" s="126">
        <v>1.63</v>
      </c>
      <c r="F2040" s="127"/>
      <c r="G2040" s="127"/>
      <c r="H2040" s="127"/>
      <c r="I2040" s="128"/>
      <c r="K2040" s="105" t="str">
        <f>IFERROR(__xludf.DUMMYFUNCTION("if(A2040="""","""",substitute(SUBSTITUTE(index(importhtml(""http://finviz.com/quote.ashx?t=""&amp;A2040,""table"",10),7,2),""*"",""""),""-"",""0.00""))"),"Loading...")</f>
        <v>Loading...</v>
      </c>
      <c r="L2040" s="129">
        <v>5.4577469E7</v>
      </c>
      <c r="M2040" s="99">
        <v>1.77</v>
      </c>
    </row>
    <row r="2041">
      <c r="A2041" s="122" t="s">
        <v>4501</v>
      </c>
      <c r="B2041" s="123">
        <v>1516899.0</v>
      </c>
      <c r="C2041" s="124" t="s">
        <v>4502</v>
      </c>
      <c r="D2041" s="125"/>
      <c r="E2041" s="126">
        <v>1.63</v>
      </c>
      <c r="F2041" s="127"/>
      <c r="G2041" s="127"/>
      <c r="H2041" s="127"/>
      <c r="I2041" s="128"/>
      <c r="K2041" s="105" t="str">
        <f>IFERROR(__xludf.DUMMYFUNCTION("if(A2041="""","""",substitute(SUBSTITUTE(index(importhtml(""http://finviz.com/quote.ashx?t=""&amp;A2041,""table"",10),7,2),""*"",""""),""-"",""0.00""))"),"Loading...")</f>
        <v>Loading...</v>
      </c>
      <c r="L2041" s="129">
        <v>1.04619446E8</v>
      </c>
      <c r="M2041" s="99">
        <v>1.19</v>
      </c>
    </row>
    <row r="2042">
      <c r="A2042" s="122" t="s">
        <v>4503</v>
      </c>
      <c r="B2042" s="123">
        <v>1836981.0</v>
      </c>
      <c r="C2042" s="124" t="s">
        <v>4504</v>
      </c>
      <c r="D2042" s="125"/>
      <c r="E2042" s="126">
        <v>1.63</v>
      </c>
      <c r="F2042" s="127"/>
      <c r="G2042" s="127"/>
      <c r="H2042" s="127"/>
      <c r="I2042" s="128"/>
      <c r="K2042" s="105" t="str">
        <f>IFERROR(__xludf.DUMMYFUNCTION("if(A2042="""","""",substitute(SUBSTITUTE(index(importhtml(""http://finviz.com/quote.ashx?t=""&amp;A2042,""table"",10),7,2),""*"",""""),""-"",""0.00""))"),"Loading...")</f>
        <v>Loading...</v>
      </c>
      <c r="L2042" s="129">
        <v>2.56880827E8</v>
      </c>
      <c r="M2042" s="99">
        <f>IFERROR(__xludf.DUMMYFUNCTION("GOOGLEFINANCE(A2042,""beta"")"),3.17)</f>
        <v>3.17</v>
      </c>
    </row>
    <row r="2043">
      <c r="A2043" s="122" t="s">
        <v>4505</v>
      </c>
      <c r="B2043" s="123">
        <v>1840292.0</v>
      </c>
      <c r="C2043" s="124" t="s">
        <v>4506</v>
      </c>
      <c r="D2043" s="125"/>
      <c r="E2043" s="126">
        <v>1.64</v>
      </c>
      <c r="F2043" s="127"/>
      <c r="G2043" s="127"/>
      <c r="H2043" s="127"/>
      <c r="I2043" s="128"/>
      <c r="K2043" s="105" t="str">
        <f>IFERROR(__xludf.DUMMYFUNCTION("if(A2043="""","""",substitute(SUBSTITUTE(index(importhtml(""http://finviz.com/quote.ashx?t=""&amp;A2043,""table"",10),7,2),""*"",""""),""-"",""0.00""))"),"Loading...")</f>
        <v>Loading...</v>
      </c>
      <c r="L2043" s="129">
        <v>9666541.0</v>
      </c>
      <c r="M2043" s="99" t="str">
        <f>IFERROR(__xludf.DUMMYFUNCTION("GOOGLEFINANCE(A2043,""beta"")"),"#N/A")</f>
        <v>#N/A</v>
      </c>
    </row>
    <row r="2044">
      <c r="A2044" s="122" t="s">
        <v>4507</v>
      </c>
      <c r="B2044" s="123">
        <v>1846069.0</v>
      </c>
      <c r="C2044" s="124" t="s">
        <v>4508</v>
      </c>
      <c r="D2044" s="125"/>
      <c r="E2044" s="126">
        <v>1.64</v>
      </c>
      <c r="F2044" s="127"/>
      <c r="G2044" s="127"/>
      <c r="H2044" s="127"/>
      <c r="I2044" s="128"/>
      <c r="K2044" s="105" t="str">
        <f>IFERROR(__xludf.DUMMYFUNCTION("if(A2044="""","""",substitute(SUBSTITUTE(index(importhtml(""http://finviz.com/quote.ashx?t=""&amp;A2044,""table"",10),7,2),""*"",""""),""-"",""0.00""))"),"Loading...")</f>
        <v>Loading...</v>
      </c>
      <c r="L2044" s="129">
        <v>6.31609586E8</v>
      </c>
      <c r="M2044" s="99" t="str">
        <f>IFERROR(__xludf.DUMMYFUNCTION("GOOGLEFINANCE(A2044,""beta"")"),"#N/A")</f>
        <v>#N/A</v>
      </c>
    </row>
    <row r="2045">
      <c r="A2045" s="122" t="s">
        <v>4509</v>
      </c>
      <c r="B2045" s="123">
        <v>1451448.0</v>
      </c>
      <c r="C2045" s="124" t="s">
        <v>4510</v>
      </c>
      <c r="D2045" s="125"/>
      <c r="E2045" s="126">
        <v>1.65</v>
      </c>
      <c r="F2045" s="127"/>
      <c r="G2045" s="127"/>
      <c r="H2045" s="127"/>
      <c r="I2045" s="128"/>
      <c r="K2045" s="105" t="str">
        <f>IFERROR(__xludf.DUMMYFUNCTION("if(A2045="""","""",substitute(SUBSTITUTE(index(importhtml(""http://finviz.com/quote.ashx?t=""&amp;A2045,""table"",10),7,2),""*"",""""),""-"",""0.00""))"),"Loading...")</f>
        <v>Loading...</v>
      </c>
      <c r="L2045" s="129">
        <v>3439950.0</v>
      </c>
      <c r="M2045" s="99">
        <f>IFERROR(__xludf.DUMMYFUNCTION("GOOGLEFINANCE(A2045,""beta"")"),-0.7)</f>
        <v>-0.7</v>
      </c>
    </row>
    <row r="2046">
      <c r="A2046" s="122" t="s">
        <v>4511</v>
      </c>
      <c r="B2046" s="123">
        <v>1436229.0</v>
      </c>
      <c r="C2046" s="124" t="s">
        <v>4512</v>
      </c>
      <c r="D2046" s="125"/>
      <c r="E2046" s="126">
        <v>1.65</v>
      </c>
      <c r="F2046" s="127"/>
      <c r="G2046" s="127"/>
      <c r="H2046" s="127"/>
      <c r="I2046" s="128"/>
      <c r="K2046" s="105" t="str">
        <f>IFERROR(__xludf.DUMMYFUNCTION("if(A2046="""","""",substitute(SUBSTITUTE(index(importhtml(""http://finviz.com/quote.ashx?t=""&amp;A2046,""table"",10),7,2),""*"",""""),""-"",""0.00""))"),"Loading...")</f>
        <v>Loading...</v>
      </c>
      <c r="L2046" s="129">
        <v>2.3715746E7</v>
      </c>
      <c r="M2046" s="99">
        <v>1.63</v>
      </c>
    </row>
    <row r="2047">
      <c r="A2047" s="122" t="s">
        <v>4513</v>
      </c>
      <c r="B2047" s="123">
        <v>1517022.0</v>
      </c>
      <c r="C2047" s="124" t="s">
        <v>4514</v>
      </c>
      <c r="D2047" s="125"/>
      <c r="E2047" s="126">
        <v>1.65</v>
      </c>
      <c r="F2047" s="127"/>
      <c r="G2047" s="127"/>
      <c r="H2047" s="127"/>
      <c r="I2047" s="128"/>
      <c r="K2047" s="105" t="str">
        <f>IFERROR(__xludf.DUMMYFUNCTION("if(A2047="""","""",substitute(SUBSTITUTE(index(importhtml(""http://finviz.com/quote.ashx?t=""&amp;A2047,""table"",10),7,2),""*"",""""),""-"",""0.00""))"),"Loading...")</f>
        <v>Loading...</v>
      </c>
      <c r="L2047" s="129">
        <v>3.10842505E8</v>
      </c>
      <c r="M2047" s="99">
        <v>0.85</v>
      </c>
    </row>
    <row r="2048">
      <c r="A2048" s="122" t="s">
        <v>4515</v>
      </c>
      <c r="B2048" s="123">
        <v>1810019.0</v>
      </c>
      <c r="C2048" s="124" t="s">
        <v>4516</v>
      </c>
      <c r="D2048" s="125"/>
      <c r="E2048" s="126">
        <v>1.65</v>
      </c>
      <c r="F2048" s="127"/>
      <c r="G2048" s="127"/>
      <c r="H2048" s="127"/>
      <c r="I2048" s="128"/>
      <c r="K2048" s="105" t="str">
        <f>IFERROR(__xludf.DUMMYFUNCTION("if(A2048="""","""",substitute(SUBSTITUTE(index(importhtml(""http://finviz.com/quote.ashx?t=""&amp;A2048,""table"",10),7,2),""*"",""""),""-"",""0.00""))"),"Loading...")</f>
        <v>Loading...</v>
      </c>
      <c r="L2048" s="129">
        <v>3.57071214E8</v>
      </c>
      <c r="M2048" s="99">
        <v>1.91</v>
      </c>
    </row>
    <row r="2049">
      <c r="A2049" s="122" t="s">
        <v>4517</v>
      </c>
      <c r="B2049" s="123">
        <v>1864943.0</v>
      </c>
      <c r="C2049" s="124" t="s">
        <v>4518</v>
      </c>
      <c r="D2049" s="125"/>
      <c r="E2049" s="126">
        <v>1.66</v>
      </c>
      <c r="F2049" s="127"/>
      <c r="G2049" s="127"/>
      <c r="H2049" s="127"/>
      <c r="I2049" s="128"/>
      <c r="K2049" s="55" t="s">
        <v>1034</v>
      </c>
      <c r="L2049" s="129">
        <v>1.5754835E7</v>
      </c>
      <c r="M2049" s="99">
        <f>IFERROR(__xludf.DUMMYFUNCTION("GOOGLEFINANCE(A2049,""beta"")"),1.44)</f>
        <v>1.44</v>
      </c>
    </row>
    <row r="2050">
      <c r="A2050" s="122" t="s">
        <v>4519</v>
      </c>
      <c r="B2050" s="123">
        <v>1583771.0</v>
      </c>
      <c r="C2050" s="124" t="s">
        <v>4520</v>
      </c>
      <c r="D2050" s="125"/>
      <c r="E2050" s="126">
        <v>1.66</v>
      </c>
      <c r="F2050" s="127"/>
      <c r="G2050" s="127"/>
      <c r="H2050" s="127"/>
      <c r="I2050" s="128"/>
      <c r="K2050" s="105" t="str">
        <f>IFERROR(__xludf.DUMMYFUNCTION("if(A2050="""","""",substitute(SUBSTITUTE(index(importhtml(""http://finviz.com/quote.ashx?t=""&amp;A2050,""table"",10),7,2),""*"",""""),""-"",""0.00""))"),"Loading...")</f>
        <v>Loading...</v>
      </c>
      <c r="L2050" s="129">
        <v>7200548.0</v>
      </c>
      <c r="M2050" s="99">
        <v>1.4</v>
      </c>
    </row>
    <row r="2051">
      <c r="A2051" s="122" t="s">
        <v>4521</v>
      </c>
      <c r="B2051" s="123">
        <v>1575793.0</v>
      </c>
      <c r="C2051" s="124" t="s">
        <v>4522</v>
      </c>
      <c r="D2051" s="125"/>
      <c r="E2051" s="126">
        <v>1.66</v>
      </c>
      <c r="F2051" s="127"/>
      <c r="G2051" s="127"/>
      <c r="H2051" s="127"/>
      <c r="I2051" s="128"/>
      <c r="K2051" s="105" t="str">
        <f>IFERROR(__xludf.DUMMYFUNCTION("if(A2051="""","""",substitute(SUBSTITUTE(index(importhtml(""http://finviz.com/quote.ashx?t=""&amp;A2051,""table"",10),7,2),""*"",""""),""-"",""0.00""))"),"Loading...")</f>
        <v>Loading...</v>
      </c>
      <c r="L2051" s="129">
        <v>8649194.0</v>
      </c>
      <c r="M2051" s="99">
        <v>2.5</v>
      </c>
    </row>
    <row r="2052">
      <c r="A2052" s="122" t="s">
        <v>4523</v>
      </c>
      <c r="B2052" s="123">
        <v>919567.0</v>
      </c>
      <c r="C2052" s="124" t="s">
        <v>4524</v>
      </c>
      <c r="D2052" s="125"/>
      <c r="E2052" s="126">
        <v>1.66</v>
      </c>
      <c r="F2052" s="127"/>
      <c r="G2052" s="127"/>
      <c r="H2052" s="127"/>
      <c r="I2052" s="128"/>
      <c r="K2052" s="105" t="str">
        <f>IFERROR(__xludf.DUMMYFUNCTION("if(A2052="""","""",substitute(SUBSTITUTE(index(importhtml(""http://finviz.com/quote.ashx?t=""&amp;A2052,""table"",10),7,2),""*"",""""),""-"",""0.00""))"),"Loading...")</f>
        <v>Loading...</v>
      </c>
      <c r="L2052" s="129">
        <v>1.1684966E7</v>
      </c>
      <c r="M2052" s="99">
        <v>0.57</v>
      </c>
    </row>
    <row r="2053">
      <c r="A2053" s="122" t="s">
        <v>4525</v>
      </c>
      <c r="B2053" s="123">
        <v>1602842.0</v>
      </c>
      <c r="C2053" s="124" t="s">
        <v>4526</v>
      </c>
      <c r="D2053" s="125"/>
      <c r="E2053" s="126">
        <v>1.66</v>
      </c>
      <c r="F2053" s="127"/>
      <c r="G2053" s="127"/>
      <c r="H2053" s="127"/>
      <c r="I2053" s="128"/>
      <c r="K2053" s="105" t="str">
        <f>IFERROR(__xludf.DUMMYFUNCTION("if(A2053="""","""",substitute(SUBSTITUTE(index(importhtml(""http://finviz.com/quote.ashx?t=""&amp;A2053,""table"",10),7,2),""*"",""""),""-"",""0.00""))"),"Loading...")</f>
        <v>Loading...</v>
      </c>
      <c r="L2053" s="129">
        <v>5.62069E7</v>
      </c>
      <c r="M2053" s="99">
        <v>2.94</v>
      </c>
    </row>
    <row r="2054">
      <c r="A2054" s="122" t="s">
        <v>4527</v>
      </c>
      <c r="B2054" s="123">
        <v>1008654.0</v>
      </c>
      <c r="C2054" s="124" t="s">
        <v>4528</v>
      </c>
      <c r="D2054" s="125"/>
      <c r="E2054" s="126">
        <v>1.66</v>
      </c>
      <c r="F2054" s="127"/>
      <c r="G2054" s="127"/>
      <c r="H2054" s="127"/>
      <c r="I2054" s="128"/>
      <c r="K2054" s="105" t="str">
        <f>IFERROR(__xludf.DUMMYFUNCTION("if(A2054="""","""",substitute(SUBSTITUTE(index(importhtml(""http://finviz.com/quote.ashx?t=""&amp;A2054,""table"",10),7,2),""*"",""""),""-"",""0.00""))"),"Loading...")</f>
        <v>Loading...</v>
      </c>
      <c r="L2054" s="129">
        <v>7.6807069E7</v>
      </c>
      <c r="M2054" s="99">
        <v>2.86</v>
      </c>
    </row>
    <row r="2055">
      <c r="A2055" s="122" t="s">
        <v>4529</v>
      </c>
      <c r="B2055" s="123">
        <v>1835654.0</v>
      </c>
      <c r="C2055" s="124" t="s">
        <v>4530</v>
      </c>
      <c r="D2055" s="125"/>
      <c r="E2055" s="126">
        <v>1.66</v>
      </c>
      <c r="F2055" s="127"/>
      <c r="G2055" s="127"/>
      <c r="H2055" s="127"/>
      <c r="I2055" s="128"/>
      <c r="K2055" s="105" t="str">
        <f>IFERROR(__xludf.DUMMYFUNCTION("if(A2055="""","""",substitute(SUBSTITUTE(index(importhtml(""http://finviz.com/quote.ashx?t=""&amp;A2055,""table"",10),7,2),""*"",""""),""-"",""0.00""))"),"Loading...")</f>
        <v>Loading...</v>
      </c>
      <c r="L2055" s="129">
        <v>2.73717394E8</v>
      </c>
      <c r="M2055" s="99">
        <v>1.06</v>
      </c>
    </row>
    <row r="2056">
      <c r="A2056" s="122" t="s">
        <v>4531</v>
      </c>
      <c r="B2056" s="123">
        <v>1108645.0</v>
      </c>
      <c r="C2056" s="124" t="s">
        <v>4532</v>
      </c>
      <c r="D2056" s="125"/>
      <c r="E2056" s="126">
        <v>1.67</v>
      </c>
      <c r="F2056" s="127"/>
      <c r="G2056" s="127"/>
      <c r="H2056" s="127"/>
      <c r="I2056" s="128"/>
      <c r="K2056" s="105" t="str">
        <f>IFERROR(__xludf.DUMMYFUNCTION("if(A2056="""","""",substitute(SUBSTITUTE(index(importhtml(""http://finviz.com/quote.ashx?t=""&amp;A2056,""table"",10),7,2),""*"",""""),""-"",""0.00""))"),"Loading...")</f>
        <v>Loading...</v>
      </c>
      <c r="L2056" s="129">
        <v>6.0423019E7</v>
      </c>
      <c r="M2056" s="99">
        <v>-0.08</v>
      </c>
    </row>
    <row r="2057">
      <c r="A2057" s="122" t="s">
        <v>4533</v>
      </c>
      <c r="B2057" s="123">
        <v>1417892.0</v>
      </c>
      <c r="C2057" s="124" t="s">
        <v>4534</v>
      </c>
      <c r="D2057" s="125"/>
      <c r="E2057" s="126">
        <v>1.67</v>
      </c>
      <c r="F2057" s="127"/>
      <c r="G2057" s="127"/>
      <c r="H2057" s="127"/>
      <c r="I2057" s="128"/>
      <c r="K2057" s="105" t="str">
        <f>IFERROR(__xludf.DUMMYFUNCTION("if(A2057="""","""",substitute(SUBSTITUTE(index(importhtml(""http://finviz.com/quote.ashx?t=""&amp;A2057,""table"",10),7,2),""*"",""""),""-"",""0.00""))"),"Loading...")</f>
        <v>Loading...</v>
      </c>
      <c r="L2057" s="129">
        <v>1.00658996E8</v>
      </c>
      <c r="M2057" s="99">
        <v>1.75</v>
      </c>
    </row>
    <row r="2058">
      <c r="A2058" s="122" t="s">
        <v>4535</v>
      </c>
      <c r="B2058" s="123">
        <v>1512717.0</v>
      </c>
      <c r="C2058" s="124" t="s">
        <v>4536</v>
      </c>
      <c r="D2058" s="125"/>
      <c r="E2058" s="126">
        <v>1.67</v>
      </c>
      <c r="F2058" s="127"/>
      <c r="G2058" s="127"/>
      <c r="H2058" s="127"/>
      <c r="I2058" s="128"/>
      <c r="K2058" s="105" t="str">
        <f>IFERROR(__xludf.DUMMYFUNCTION("if(A2058="""","""",substitute(SUBSTITUTE(index(importhtml(""http://finviz.com/quote.ashx?t=""&amp;A2058,""table"",10),7,2),""*"",""""),""-"",""0.00""))"),"Loading...")</f>
        <v>Loading...</v>
      </c>
      <c r="L2058" s="129">
        <v>1.03454482E8</v>
      </c>
      <c r="M2058" s="99">
        <v>1.36</v>
      </c>
    </row>
    <row r="2059">
      <c r="A2059" s="122" t="s">
        <v>4537</v>
      </c>
      <c r="B2059" s="123">
        <v>1476840.0</v>
      </c>
      <c r="C2059" s="124" t="s">
        <v>4538</v>
      </c>
      <c r="D2059" s="125"/>
      <c r="E2059" s="126">
        <v>1.67</v>
      </c>
      <c r="F2059" s="127"/>
      <c r="G2059" s="127"/>
      <c r="H2059" s="127"/>
      <c r="I2059" s="128"/>
      <c r="K2059" s="105" t="str">
        <f>IFERROR(__xludf.DUMMYFUNCTION("if(A2059="""","""",substitute(SUBSTITUTE(index(importhtml(""http://finviz.com/quote.ashx?t=""&amp;A2059,""table"",10),7,2),""*"",""""),""-"",""0.00""))"),"Loading...")</f>
        <v>Loading...</v>
      </c>
      <c r="L2059" s="129">
        <v>1.39838632E8</v>
      </c>
      <c r="M2059" s="99">
        <f>IFERROR(__xludf.DUMMYFUNCTION("GOOGLEFINANCE(A2059,""beta"")"),1.7)</f>
        <v>1.7</v>
      </c>
    </row>
    <row r="2060">
      <c r="A2060" s="122" t="s">
        <v>4539</v>
      </c>
      <c r="B2060" s="123">
        <v>1432133.0</v>
      </c>
      <c r="C2060" s="124" t="s">
        <v>4540</v>
      </c>
      <c r="D2060" s="125"/>
      <c r="E2060" s="126">
        <v>1.67</v>
      </c>
      <c r="F2060" s="127"/>
      <c r="G2060" s="127"/>
      <c r="H2060" s="127"/>
      <c r="I2060" s="128"/>
      <c r="K2060" s="105" t="str">
        <f>IFERROR(__xludf.DUMMYFUNCTION("if(A2060="""","""",substitute(SUBSTITUTE(index(importhtml(""http://finviz.com/quote.ashx?t=""&amp;A2060,""table"",10),7,2),""*"",""""),""-"",""0.00""))"),"Loading...")</f>
        <v>Loading...</v>
      </c>
      <c r="L2060" s="129">
        <v>2.36147345E8</v>
      </c>
      <c r="M2060" s="99">
        <f>IFERROR(__xludf.DUMMYFUNCTION("GOOGLEFINANCE(A2060,""beta"")"),1.05)</f>
        <v>1.05</v>
      </c>
    </row>
    <row r="2061">
      <c r="A2061" s="122" t="s">
        <v>4541</v>
      </c>
      <c r="B2061" s="123">
        <v>87050.0</v>
      </c>
      <c r="C2061" s="124" t="s">
        <v>4542</v>
      </c>
      <c r="D2061" s="125"/>
      <c r="E2061" s="126">
        <v>1.68</v>
      </c>
      <c r="F2061" s="127"/>
      <c r="G2061" s="127"/>
      <c r="H2061" s="127"/>
      <c r="I2061" s="128"/>
      <c r="K2061" s="105" t="str">
        <f>IFERROR(__xludf.DUMMYFUNCTION("if(A2061="""","""",substitute(SUBSTITUTE(index(importhtml(""http://finviz.com/quote.ashx?t=""&amp;A2061,""table"",10),7,2),""*"",""""),""-"",""0.00""))"),"Loading...")</f>
        <v>Loading...</v>
      </c>
      <c r="L2061" s="129">
        <v>2.5803925E7</v>
      </c>
      <c r="M2061" s="99">
        <v>2.13</v>
      </c>
    </row>
    <row r="2062">
      <c r="A2062" s="122" t="s">
        <v>4543</v>
      </c>
      <c r="B2062" s="123">
        <v>1621906.0</v>
      </c>
      <c r="C2062" s="124" t="s">
        <v>4544</v>
      </c>
      <c r="D2062" s="125"/>
      <c r="E2062" s="126">
        <v>1.68</v>
      </c>
      <c r="F2062" s="127"/>
      <c r="G2062" s="127"/>
      <c r="H2062" s="127"/>
      <c r="I2062" s="128"/>
      <c r="K2062" s="105" t="str">
        <f>IFERROR(__xludf.DUMMYFUNCTION("if(A2062="""","""",substitute(SUBSTITUTE(index(importhtml(""http://finviz.com/quote.ashx?t=""&amp;A2062,""table"",10),7,2),""*"",""""),""-"",""0.00""))"),"Loading...")</f>
        <v>Loading...</v>
      </c>
      <c r="L2062" s="129">
        <v>1.15344343E8</v>
      </c>
      <c r="M2062" s="99">
        <v>1.58</v>
      </c>
    </row>
    <row r="2063">
      <c r="A2063" s="122" t="s">
        <v>4545</v>
      </c>
      <c r="B2063" s="123">
        <v>1334978.0</v>
      </c>
      <c r="C2063" s="124" t="s">
        <v>4546</v>
      </c>
      <c r="D2063" s="125"/>
      <c r="E2063" s="126">
        <v>1.69</v>
      </c>
      <c r="F2063" s="127"/>
      <c r="G2063" s="127"/>
      <c r="H2063" s="127"/>
      <c r="I2063" s="128"/>
      <c r="K2063" s="55" t="s">
        <v>1034</v>
      </c>
      <c r="L2063" s="129">
        <v>8.16286589E8</v>
      </c>
      <c r="M2063" s="99">
        <v>2.91</v>
      </c>
    </row>
    <row r="2064">
      <c r="A2064" s="122" t="s">
        <v>4547</v>
      </c>
      <c r="B2064" s="123">
        <v>1744781.0</v>
      </c>
      <c r="C2064" s="124" t="s">
        <v>4548</v>
      </c>
      <c r="D2064" s="125"/>
      <c r="E2064" s="126">
        <v>1.69</v>
      </c>
      <c r="F2064" s="127"/>
      <c r="G2064" s="127"/>
      <c r="H2064" s="127"/>
      <c r="I2064" s="128"/>
      <c r="K2064" s="105" t="str">
        <f>IFERROR(__xludf.DUMMYFUNCTION("if(A2064="""","""",substitute(SUBSTITUTE(index(importhtml(""http://finviz.com/quote.ashx?t=""&amp;A2064,""table"",10),7,2),""*"",""""),""-"",""0.00""))"),"Loading...")</f>
        <v>Loading...</v>
      </c>
      <c r="L2064" s="129">
        <v>1.30351056E8</v>
      </c>
      <c r="M2064" s="99">
        <v>0.62</v>
      </c>
    </row>
    <row r="2065">
      <c r="A2065" s="122" t="s">
        <v>4549</v>
      </c>
      <c r="B2065" s="123">
        <v>1857044.0</v>
      </c>
      <c r="C2065" s="124" t="s">
        <v>4550</v>
      </c>
      <c r="D2065" s="125"/>
      <c r="E2065" s="126">
        <v>1.7</v>
      </c>
      <c r="F2065" s="127"/>
      <c r="G2065" s="127"/>
      <c r="H2065" s="127"/>
      <c r="I2065" s="128"/>
      <c r="K2065" s="105" t="str">
        <f>IFERROR(__xludf.DUMMYFUNCTION("if(A2065="""","""",substitute(SUBSTITUTE(index(importhtml(""http://finviz.com/quote.ashx?t=""&amp;A2065,""table"",10),7,2),""*"",""""),""-"",""0.00""))"),"Loading...")</f>
        <v>Loading...</v>
      </c>
      <c r="L2065" s="129">
        <v>1.4280943E7</v>
      </c>
      <c r="M2065" s="99">
        <v>1.39</v>
      </c>
    </row>
    <row r="2066">
      <c r="A2066" s="122" t="s">
        <v>4551</v>
      </c>
      <c r="B2066" s="123">
        <v>1574094.0</v>
      </c>
      <c r="C2066" s="124" t="s">
        <v>4552</v>
      </c>
      <c r="D2066" s="125"/>
      <c r="E2066" s="126">
        <v>1.7</v>
      </c>
      <c r="F2066" s="127"/>
      <c r="G2066" s="127"/>
      <c r="H2066" s="127"/>
      <c r="I2066" s="128"/>
      <c r="K2066" s="105" t="str">
        <f>IFERROR(__xludf.DUMMYFUNCTION("if(A2066="""","""",substitute(SUBSTITUTE(index(importhtml(""http://finviz.com/quote.ashx?t=""&amp;A2066,""table"",10),7,2),""*"",""""),""-"",""0.00""))"),"Loading...")</f>
        <v>Loading...</v>
      </c>
      <c r="L2066" s="129">
        <v>1.8179069E7</v>
      </c>
      <c r="M2066" s="99">
        <f>IFERROR(__xludf.DUMMYFUNCTION("GOOGLEFINANCE(A2066,""beta"")"),1.29)</f>
        <v>1.29</v>
      </c>
    </row>
    <row r="2067">
      <c r="A2067" s="122" t="s">
        <v>4553</v>
      </c>
      <c r="B2067" s="123">
        <v>1705402.0</v>
      </c>
      <c r="C2067" s="124" t="s">
        <v>4554</v>
      </c>
      <c r="D2067" s="125"/>
      <c r="E2067" s="126">
        <v>1.7</v>
      </c>
      <c r="F2067" s="127"/>
      <c r="G2067" s="127"/>
      <c r="H2067" s="127"/>
      <c r="I2067" s="128"/>
      <c r="K2067" s="105" t="str">
        <f>IFERROR(__xludf.DUMMYFUNCTION("if(A2067="""","""",substitute(SUBSTITUTE(index(importhtml(""http://finviz.com/quote.ashx?t=""&amp;A2067,""table"",10),7,2),""*"",""""),""-"",""0.00""))"),"Loading...")</f>
        <v>Loading...</v>
      </c>
      <c r="L2067" s="129">
        <v>4.120898E7</v>
      </c>
      <c r="M2067" s="99">
        <v>1.03</v>
      </c>
    </row>
    <row r="2068">
      <c r="A2068" s="122" t="s">
        <v>4555</v>
      </c>
      <c r="B2068" s="123">
        <v>1088034.0</v>
      </c>
      <c r="C2068" s="124" t="s">
        <v>4556</v>
      </c>
      <c r="D2068" s="125"/>
      <c r="E2068" s="126">
        <v>1.7</v>
      </c>
      <c r="F2068" s="127"/>
      <c r="G2068" s="127"/>
      <c r="H2068" s="127"/>
      <c r="I2068" s="128"/>
      <c r="K2068" s="105" t="str">
        <f>IFERROR(__xludf.DUMMYFUNCTION("if(A2068="""","""",substitute(SUBSTITUTE(index(importhtml(""http://finviz.com/quote.ashx?t=""&amp;A2068,""table"",10),7,2),""*"",""""),""-"",""0.00""))"),"Loading...")</f>
        <v>Loading...</v>
      </c>
      <c r="L2068" s="129">
        <v>4.4722377E7</v>
      </c>
      <c r="M2068" s="99">
        <v>1.55</v>
      </c>
    </row>
    <row r="2069">
      <c r="A2069" s="122" t="s">
        <v>4557</v>
      </c>
      <c r="B2069" s="123">
        <v>1411688.0</v>
      </c>
      <c r="C2069" s="124" t="s">
        <v>4558</v>
      </c>
      <c r="D2069" s="125"/>
      <c r="E2069" s="126">
        <v>1.7</v>
      </c>
      <c r="F2069" s="127"/>
      <c r="G2069" s="127"/>
      <c r="H2069" s="127"/>
      <c r="I2069" s="128"/>
      <c r="K2069" s="105" t="str">
        <f>IFERROR(__xludf.DUMMYFUNCTION("if(A2069="""","""",substitute(SUBSTITUTE(index(importhtml(""http://finviz.com/quote.ashx?t=""&amp;A2069,""table"",10),7,2),""*"",""""),""-"",""0.00""))"),"Loading...")</f>
        <v>Loading...</v>
      </c>
      <c r="L2069" s="129">
        <v>8.7927623E7</v>
      </c>
      <c r="M2069" s="99">
        <v>1.2</v>
      </c>
    </row>
    <row r="2070">
      <c r="A2070" s="122" t="s">
        <v>4559</v>
      </c>
      <c r="B2070" s="123">
        <v>1463972.0</v>
      </c>
      <c r="C2070" s="124" t="s">
        <v>4560</v>
      </c>
      <c r="D2070" s="125"/>
      <c r="E2070" s="126">
        <v>1.7</v>
      </c>
      <c r="F2070" s="127"/>
      <c r="G2070" s="127"/>
      <c r="H2070" s="127"/>
      <c r="I2070" s="128"/>
      <c r="K2070" s="105" t="str">
        <f>IFERROR(__xludf.DUMMYFUNCTION("if(A2070="""","""",substitute(SUBSTITUTE(index(importhtml(""http://finviz.com/quote.ashx?t=""&amp;A2070,""table"",10),7,2),""*"",""""),""-"",""0.00""))"),"Loading...")</f>
        <v>Loading...</v>
      </c>
      <c r="L2070" s="129">
        <v>1.07656872E8</v>
      </c>
      <c r="M2070" s="99">
        <v>1.89</v>
      </c>
    </row>
    <row r="2071">
      <c r="A2071" s="122" t="s">
        <v>4561</v>
      </c>
      <c r="B2071" s="123">
        <v>1354730.0</v>
      </c>
      <c r="C2071" s="124" t="s">
        <v>4562</v>
      </c>
      <c r="D2071" s="125"/>
      <c r="E2071" s="126">
        <v>1.7</v>
      </c>
      <c r="F2071" s="127"/>
      <c r="G2071" s="127"/>
      <c r="H2071" s="127"/>
      <c r="I2071" s="128"/>
      <c r="K2071" s="105" t="str">
        <f>IFERROR(__xludf.DUMMYFUNCTION("if(A2071="""","""",substitute(SUBSTITUTE(index(importhtml(""http://finviz.com/quote.ashx?t=""&amp;A2071,""table"",10),7,2),""*"",""""),""-"",""0.00""))"),"Loading...")</f>
        <v>Loading...</v>
      </c>
      <c r="L2071" s="129">
        <v>1.69835424E8</v>
      </c>
      <c r="M2071" s="99" t="str">
        <f>IFERROR(__xludf.DUMMYFUNCTION("GOOGLEFINANCE(A2071,""beta"")"),"#N/A")</f>
        <v>#N/A</v>
      </c>
    </row>
    <row r="2072">
      <c r="A2072" s="122" t="s">
        <v>4563</v>
      </c>
      <c r="B2072" s="123">
        <v>1761918.0</v>
      </c>
      <c r="C2072" s="124" t="s">
        <v>4564</v>
      </c>
      <c r="D2072" s="125"/>
      <c r="E2072" s="126">
        <v>1.7</v>
      </c>
      <c r="F2072" s="127"/>
      <c r="G2072" s="127"/>
      <c r="H2072" s="127"/>
      <c r="I2072" s="128"/>
      <c r="K2072" s="105" t="str">
        <f>IFERROR(__xludf.DUMMYFUNCTION("if(A2072="""","""",substitute(SUBSTITUTE(index(importhtml(""http://finviz.com/quote.ashx?t=""&amp;A2072,""table"",10),7,2),""*"",""""),""-"",""0.00""))"),"Loading...")</f>
        <v>Loading...</v>
      </c>
      <c r="L2072" s="129">
        <v>2.56847907E8</v>
      </c>
      <c r="M2072" s="99">
        <f>IFERROR(__xludf.DUMMYFUNCTION("GOOGLEFINANCE(A2072,""beta"")"),1.19)</f>
        <v>1.19</v>
      </c>
    </row>
    <row r="2073">
      <c r="A2073" s="122" t="s">
        <v>4565</v>
      </c>
      <c r="B2073" s="123">
        <v>1844862.0</v>
      </c>
      <c r="C2073" s="124" t="s">
        <v>4566</v>
      </c>
      <c r="D2073" s="125"/>
      <c r="E2073" s="126">
        <v>1.7</v>
      </c>
      <c r="F2073" s="127"/>
      <c r="G2073" s="127"/>
      <c r="H2073" s="127"/>
      <c r="I2073" s="128"/>
      <c r="K2073" s="105" t="str">
        <f>IFERROR(__xludf.DUMMYFUNCTION("if(A2073="""","""",substitute(SUBSTITUTE(index(importhtml(""http://finviz.com/quote.ashx?t=""&amp;A2073,""table"",10),7,2),""*"",""""),""-"",""0.00""))"),"Loading...")</f>
        <v>Loading...</v>
      </c>
      <c r="L2073" s="129">
        <v>3.03343418E8</v>
      </c>
      <c r="M2073" s="99">
        <f>IFERROR(__xludf.DUMMYFUNCTION("GOOGLEFINANCE(A2073,""beta"")"),1.85)</f>
        <v>1.85</v>
      </c>
    </row>
    <row r="2074">
      <c r="A2074" s="122" t="s">
        <v>4567</v>
      </c>
      <c r="B2074" s="123">
        <v>1840856.0</v>
      </c>
      <c r="C2074" s="124" t="s">
        <v>4568</v>
      </c>
      <c r="D2074" s="125"/>
      <c r="E2074" s="126">
        <v>1.7</v>
      </c>
      <c r="F2074" s="127"/>
      <c r="G2074" s="127"/>
      <c r="H2074" s="127"/>
      <c r="I2074" s="128"/>
      <c r="K2074" s="105" t="str">
        <f>IFERROR(__xludf.DUMMYFUNCTION("if(A2074="""","""",substitute(SUBSTITUTE(index(importhtml(""http://finviz.com/quote.ashx?t=""&amp;A2074,""table"",10),7,2),""*"",""""),""-"",""0.00""))"),"Loading...")</f>
        <v>Loading...</v>
      </c>
      <c r="L2074" s="129">
        <v>4.35017942E8</v>
      </c>
      <c r="M2074" s="99">
        <f>IFERROR(__xludf.DUMMYFUNCTION("GOOGLEFINANCE(A2074,""beta"")"),2.8)</f>
        <v>2.8</v>
      </c>
    </row>
    <row r="2075">
      <c r="A2075" s="122" t="s">
        <v>4569</v>
      </c>
      <c r="B2075" s="123">
        <v>1854587.0</v>
      </c>
      <c r="C2075" s="124" t="s">
        <v>4570</v>
      </c>
      <c r="D2075" s="125"/>
      <c r="E2075" s="126">
        <v>1.7</v>
      </c>
      <c r="F2075" s="127"/>
      <c r="G2075" s="127"/>
      <c r="H2075" s="127"/>
      <c r="I2075" s="128"/>
      <c r="K2075" s="105" t="str">
        <f>IFERROR(__xludf.DUMMYFUNCTION("if(A2075="""","""",substitute(SUBSTITUTE(index(importhtml(""http://finviz.com/quote.ashx?t=""&amp;A2075,""table"",10),7,2),""*"",""""),""-"",""0.00""))"),"Loading...")</f>
        <v>Loading...</v>
      </c>
      <c r="L2075" s="129">
        <v>1.817757445E9</v>
      </c>
      <c r="M2075" s="99">
        <v>2.29</v>
      </c>
    </row>
    <row r="2076">
      <c r="A2076" s="122" t="s">
        <v>4571</v>
      </c>
      <c r="B2076" s="123">
        <v>1748945.0</v>
      </c>
      <c r="C2076" s="124" t="s">
        <v>4572</v>
      </c>
      <c r="D2076" s="125"/>
      <c r="E2076" s="126">
        <v>1.7</v>
      </c>
      <c r="F2076" s="127"/>
      <c r="G2076" s="127"/>
      <c r="H2076" s="127"/>
      <c r="I2076" s="128"/>
      <c r="K2076" s="105" t="str">
        <f>IFERROR(__xludf.DUMMYFUNCTION("if(A2076="""","""",substitute(SUBSTITUTE(index(importhtml(""http://finviz.com/quote.ashx?t=""&amp;A2076,""table"",10),7,2),""*"",""""),""-"",""0.00""))"),"Loading...")</f>
        <v>Loading...</v>
      </c>
      <c r="L2076" s="129" t="e">
        <v>#N/A</v>
      </c>
      <c r="M2076" s="99">
        <f>IFERROR(__xludf.DUMMYFUNCTION("GOOGLEFINANCE(A2076,""beta"")"),3.49)</f>
        <v>3.49</v>
      </c>
    </row>
    <row r="2077">
      <c r="A2077" s="122" t="s">
        <v>4573</v>
      </c>
      <c r="B2077" s="123">
        <v>1905660.0</v>
      </c>
      <c r="C2077" s="124" t="s">
        <v>4574</v>
      </c>
      <c r="D2077" s="125"/>
      <c r="E2077" s="126">
        <v>1.71</v>
      </c>
      <c r="F2077" s="127"/>
      <c r="G2077" s="127"/>
      <c r="H2077" s="127"/>
      <c r="I2077" s="128"/>
      <c r="K2077" s="105" t="str">
        <f>IFERROR(__xludf.DUMMYFUNCTION("if(A2077="""","""",substitute(SUBSTITUTE(index(importhtml(""http://finviz.com/quote.ashx?t=""&amp;A2077,""table"",10),7,2),""*"",""""),""-"",""0.00""))"),"Loading...")</f>
        <v>Loading...</v>
      </c>
      <c r="L2077" s="129">
        <v>1.6806405E7</v>
      </c>
      <c r="M2077" s="99" t="str">
        <f>IFERROR(__xludf.DUMMYFUNCTION("GOOGLEFINANCE(A2077,""beta"")"),"#N/A")</f>
        <v>#N/A</v>
      </c>
    </row>
    <row r="2078">
      <c r="A2078" s="122" t="s">
        <v>4575</v>
      </c>
      <c r="B2078" s="123">
        <v>1809158.0</v>
      </c>
      <c r="C2078" s="124" t="s">
        <v>4576</v>
      </c>
      <c r="D2078" s="125"/>
      <c r="E2078" s="126">
        <v>1.71</v>
      </c>
      <c r="F2078" s="127"/>
      <c r="G2078" s="127"/>
      <c r="H2078" s="127"/>
      <c r="I2078" s="128"/>
      <c r="K2078" s="105" t="str">
        <f>IFERROR(__xludf.DUMMYFUNCTION("if(A2078="""","""",substitute(SUBSTITUTE(index(importhtml(""http://finviz.com/quote.ashx?t=""&amp;A2078,""table"",10),7,2),""*"",""""),""-"",""0.00""))"),"Loading...")</f>
        <v>Loading...</v>
      </c>
      <c r="L2078" s="129">
        <v>6.5410442E7</v>
      </c>
      <c r="M2078" s="99">
        <v>0.47</v>
      </c>
    </row>
    <row r="2079">
      <c r="A2079" s="122" t="s">
        <v>4577</v>
      </c>
      <c r="B2079" s="123">
        <v>65596.0</v>
      </c>
      <c r="C2079" s="124" t="s">
        <v>4578</v>
      </c>
      <c r="D2079" s="125"/>
      <c r="E2079" s="126">
        <v>1.71</v>
      </c>
      <c r="F2079" s="127"/>
      <c r="G2079" s="127"/>
      <c r="H2079" s="127"/>
      <c r="I2079" s="128"/>
      <c r="K2079" s="105" t="str">
        <f>IFERROR(__xludf.DUMMYFUNCTION("if(A2079="""","""",substitute(SUBSTITUTE(index(importhtml(""http://finviz.com/quote.ashx?t=""&amp;A2079,""table"",10),7,2),""*"",""""),""-"",""0.00""))"),"Loading...")</f>
        <v>Loading...</v>
      </c>
      <c r="L2079" s="129">
        <v>6.7683391E7</v>
      </c>
      <c r="M2079" s="99">
        <v>0.32</v>
      </c>
    </row>
    <row r="2080">
      <c r="A2080" s="122" t="s">
        <v>4579</v>
      </c>
      <c r="B2080" s="123">
        <v>1726445.0</v>
      </c>
      <c r="C2080" s="124" t="s">
        <v>4580</v>
      </c>
      <c r="D2080" s="125"/>
      <c r="E2080" s="126">
        <v>1.71</v>
      </c>
      <c r="F2080" s="127"/>
      <c r="G2080" s="127"/>
      <c r="H2080" s="127"/>
      <c r="I2080" s="128"/>
      <c r="K2080" s="105" t="str">
        <f>IFERROR(__xludf.DUMMYFUNCTION("if(A2080="""","""",substitute(SUBSTITUTE(index(importhtml(""http://finviz.com/quote.ashx?t=""&amp;A2080,""table"",10),7,2),""*"",""""),""-"",""0.00""))"),"Loading...")</f>
        <v>Loading...</v>
      </c>
      <c r="L2080" s="129">
        <v>1.09141145E8</v>
      </c>
      <c r="M2080" s="99">
        <v>1.61</v>
      </c>
    </row>
    <row r="2081">
      <c r="A2081" s="122" t="s">
        <v>4581</v>
      </c>
      <c r="B2081" s="123">
        <v>1412100.0</v>
      </c>
      <c r="C2081" s="124" t="s">
        <v>4582</v>
      </c>
      <c r="D2081" s="125"/>
      <c r="E2081" s="126">
        <v>1.71</v>
      </c>
      <c r="F2081" s="127"/>
      <c r="G2081" s="127"/>
      <c r="H2081" s="127"/>
      <c r="I2081" s="128"/>
      <c r="K2081" s="105" t="str">
        <f>IFERROR(__xludf.DUMMYFUNCTION("if(A2081="""","""",substitute(SUBSTITUTE(index(importhtml(""http://finviz.com/quote.ashx?t=""&amp;A2081,""table"",10),7,2),""*"",""""),""-"",""0.00""))"),"Loading...")</f>
        <v>Loading...</v>
      </c>
      <c r="L2081" s="129">
        <v>1.72606035E8</v>
      </c>
      <c r="M2081" s="99">
        <v>1.3</v>
      </c>
    </row>
    <row r="2082">
      <c r="A2082" s="122" t="s">
        <v>4583</v>
      </c>
      <c r="B2082" s="123">
        <v>1805833.0</v>
      </c>
      <c r="C2082" s="124" t="s">
        <v>4584</v>
      </c>
      <c r="D2082" s="125"/>
      <c r="E2082" s="126">
        <v>1.71</v>
      </c>
      <c r="F2082" s="127"/>
      <c r="G2082" s="127"/>
      <c r="H2082" s="127"/>
      <c r="I2082" s="128"/>
      <c r="K2082" s="105" t="str">
        <f>IFERROR(__xludf.DUMMYFUNCTION("if(A2082="""","""",substitute(SUBSTITUTE(index(importhtml(""http://finviz.com/quote.ashx?t=""&amp;A2082,""table"",10),7,2),""*"",""""),""-"",""0.00""))"),"Loading...")</f>
        <v>Loading...</v>
      </c>
      <c r="L2082" s="129">
        <v>1.98231241E8</v>
      </c>
      <c r="M2082" s="99">
        <v>1.41</v>
      </c>
    </row>
    <row r="2083">
      <c r="A2083" s="122" t="s">
        <v>4585</v>
      </c>
      <c r="B2083" s="123">
        <v>1708259.0</v>
      </c>
      <c r="C2083" s="124" t="s">
        <v>4586</v>
      </c>
      <c r="D2083" s="125"/>
      <c r="E2083" s="126">
        <v>1.72</v>
      </c>
      <c r="F2083" s="127"/>
      <c r="G2083" s="127"/>
      <c r="H2083" s="127"/>
      <c r="I2083" s="128"/>
      <c r="K2083" s="138" t="s">
        <v>4587</v>
      </c>
      <c r="L2083" s="129">
        <v>2.798901E8</v>
      </c>
      <c r="M2083" s="99">
        <v>0.61</v>
      </c>
    </row>
    <row r="2084">
      <c r="A2084" s="122" t="s">
        <v>4588</v>
      </c>
      <c r="B2084" s="123">
        <v>1074871.0</v>
      </c>
      <c r="C2084" s="124" t="s">
        <v>4589</v>
      </c>
      <c r="D2084" s="125"/>
      <c r="E2084" s="126">
        <v>1.72</v>
      </c>
      <c r="F2084" s="127"/>
      <c r="G2084" s="127"/>
      <c r="H2084" s="127"/>
      <c r="I2084" s="128"/>
      <c r="K2084" s="105" t="str">
        <f>IFERROR(__xludf.DUMMYFUNCTION("if(A2084="""","""",substitute(SUBSTITUTE(index(importhtml(""http://finviz.com/quote.ashx?t=""&amp;A2084,""table"",10),7,2),""*"",""""),""-"",""0.00""))"),"Loading...")</f>
        <v>Loading...</v>
      </c>
      <c r="L2084" s="129">
        <v>3.6510819E7</v>
      </c>
      <c r="M2084" s="99">
        <v>133.93</v>
      </c>
    </row>
    <row r="2085">
      <c r="A2085" s="122" t="s">
        <v>4590</v>
      </c>
      <c r="B2085" s="123">
        <v>1840748.0</v>
      </c>
      <c r="C2085" s="124" t="s">
        <v>4591</v>
      </c>
      <c r="D2085" s="125"/>
      <c r="E2085" s="126">
        <v>1.72</v>
      </c>
      <c r="F2085" s="127"/>
      <c r="G2085" s="127"/>
      <c r="H2085" s="127"/>
      <c r="I2085" s="128"/>
      <c r="K2085" s="105" t="str">
        <f>IFERROR(__xludf.DUMMYFUNCTION("if(A2085="""","""",substitute(SUBSTITUTE(index(importhtml(""http://finviz.com/quote.ashx?t=""&amp;A2085,""table"",10),7,2),""*"",""""),""-"",""0.00""))"),"Loading...")</f>
        <v>Loading...</v>
      </c>
      <c r="L2085" s="129">
        <v>4.5217218E7</v>
      </c>
      <c r="M2085" s="99">
        <f>IFERROR(__xludf.DUMMYFUNCTION("GOOGLEFINANCE(A2085,""beta"")"),0.5)</f>
        <v>0.5</v>
      </c>
    </row>
    <row r="2086">
      <c r="A2086" s="122" t="s">
        <v>4592</v>
      </c>
      <c r="B2086" s="123">
        <v>833021.0</v>
      </c>
      <c r="C2086" s="124" t="s">
        <v>4593</v>
      </c>
      <c r="D2086" s="125"/>
      <c r="E2086" s="126">
        <v>1.73</v>
      </c>
      <c r="F2086" s="139"/>
      <c r="G2086" s="139"/>
      <c r="H2086" s="127"/>
      <c r="I2086" s="128"/>
      <c r="K2086" s="55" t="s">
        <v>4594</v>
      </c>
      <c r="L2086" s="129">
        <v>3.2922157E7</v>
      </c>
      <c r="M2086" s="99">
        <v>0.79</v>
      </c>
    </row>
    <row r="2087">
      <c r="A2087" s="122" t="s">
        <v>4595</v>
      </c>
      <c r="B2087" s="123">
        <v>1016178.0</v>
      </c>
      <c r="C2087" s="124" t="s">
        <v>4596</v>
      </c>
      <c r="D2087" s="125"/>
      <c r="E2087" s="126">
        <v>1.73</v>
      </c>
      <c r="F2087" s="127"/>
      <c r="G2087" s="127"/>
      <c r="H2087" s="127"/>
      <c r="I2087" s="128"/>
      <c r="K2087" s="105" t="str">
        <f>IFERROR(__xludf.DUMMYFUNCTION("if(A2087="""","""",substitute(SUBSTITUTE(index(importhtml(""http://finviz.com/quote.ashx?t=""&amp;A2087,""table"",10),7,2),""*"",""""),""-"",""0.00""))"),"Loading...")</f>
        <v>Loading...</v>
      </c>
      <c r="L2087" s="129">
        <v>8508740.0</v>
      </c>
      <c r="M2087" s="99">
        <v>1.22</v>
      </c>
    </row>
    <row r="2088">
      <c r="A2088" s="122" t="s">
        <v>4597</v>
      </c>
      <c r="B2088" s="123">
        <v>1404281.0</v>
      </c>
      <c r="C2088" s="124" t="s">
        <v>4598</v>
      </c>
      <c r="D2088" s="125"/>
      <c r="E2088" s="126">
        <v>1.73</v>
      </c>
      <c r="F2088" s="127"/>
      <c r="G2088" s="127"/>
      <c r="H2088" s="127"/>
      <c r="I2088" s="128"/>
      <c r="K2088" s="105" t="str">
        <f>IFERROR(__xludf.DUMMYFUNCTION("if(A2088="""","""",substitute(SUBSTITUTE(index(importhtml(""http://finviz.com/quote.ashx?t=""&amp;A2088,""table"",10),7,2),""*"",""""),""-"",""0.00""))"),"Loading...")</f>
        <v>Loading...</v>
      </c>
      <c r="L2088" s="129">
        <v>4.1862748E7</v>
      </c>
      <c r="M2088" s="99">
        <v>0.86</v>
      </c>
    </row>
    <row r="2089">
      <c r="A2089" s="122" t="s">
        <v>4599</v>
      </c>
      <c r="B2089" s="123">
        <v>1641631.0</v>
      </c>
      <c r="C2089" s="124" t="s">
        <v>4600</v>
      </c>
      <c r="D2089" s="125"/>
      <c r="E2089" s="126">
        <v>1.73</v>
      </c>
      <c r="F2089" s="127"/>
      <c r="G2089" s="127"/>
      <c r="H2089" s="127"/>
      <c r="I2089" s="128"/>
      <c r="K2089" s="105" t="str">
        <f>IFERROR(__xludf.DUMMYFUNCTION("if(A2089="""","""",substitute(SUBSTITUTE(index(importhtml(""http://finviz.com/quote.ashx?t=""&amp;A2089,""table"",10),7,2),""*"",""""),""-"",""0.00""))"),"Loading...")</f>
        <v>Loading...</v>
      </c>
      <c r="L2089" s="129">
        <v>6.1603847E7</v>
      </c>
      <c r="M2089" s="99">
        <v>-0.23</v>
      </c>
    </row>
    <row r="2090">
      <c r="A2090" s="122" t="s">
        <v>4601</v>
      </c>
      <c r="B2090" s="123">
        <v>1854368.0</v>
      </c>
      <c r="C2090" s="124" t="s">
        <v>4602</v>
      </c>
      <c r="D2090" s="125"/>
      <c r="E2090" s="126">
        <v>1.73</v>
      </c>
      <c r="F2090" s="127"/>
      <c r="G2090" s="127"/>
      <c r="H2090" s="127"/>
      <c r="I2090" s="128"/>
      <c r="K2090" s="105" t="str">
        <f>IFERROR(__xludf.DUMMYFUNCTION("if(A2090="""","""",substitute(SUBSTITUTE(index(importhtml(""http://finviz.com/quote.ashx?t=""&amp;A2090,""table"",10),7,2),""*"",""""),""-"",""0.00""))"),"Loading...")</f>
        <v>Loading...</v>
      </c>
      <c r="L2090" s="129">
        <v>6.7166019E7</v>
      </c>
      <c r="M2090" s="99">
        <v>4.9</v>
      </c>
    </row>
    <row r="2091">
      <c r="A2091" s="122" t="s">
        <v>4603</v>
      </c>
      <c r="B2091" s="123">
        <v>1437178.0</v>
      </c>
      <c r="C2091" s="124" t="s">
        <v>4604</v>
      </c>
      <c r="D2091" s="125"/>
      <c r="E2091" s="126">
        <v>1.73</v>
      </c>
      <c r="F2091" s="127"/>
      <c r="G2091" s="127"/>
      <c r="H2091" s="127"/>
      <c r="I2091" s="128"/>
      <c r="K2091" s="105" t="str">
        <f>IFERROR(__xludf.DUMMYFUNCTION("if(A2091="""","""",substitute(SUBSTITUTE(index(importhtml(""http://finviz.com/quote.ashx?t=""&amp;A2091,""table"",10),7,2),""*"",""""),""-"",""0.00""))"),"Loading...")</f>
        <v>Loading...</v>
      </c>
      <c r="L2091" s="129">
        <v>7.088586516E9</v>
      </c>
      <c r="M2091" s="99">
        <v>1.87</v>
      </c>
    </row>
    <row r="2092">
      <c r="A2092" s="122" t="s">
        <v>4605</v>
      </c>
      <c r="B2092" s="123">
        <v>1232582.0</v>
      </c>
      <c r="C2092" s="124" t="s">
        <v>4606</v>
      </c>
      <c r="D2092" s="125"/>
      <c r="E2092" s="126">
        <v>1.74</v>
      </c>
      <c r="F2092" s="127"/>
      <c r="G2092" s="127"/>
      <c r="H2092" s="127"/>
      <c r="I2092" s="128"/>
      <c r="K2092" s="55" t="s">
        <v>1034</v>
      </c>
      <c r="L2092" s="129">
        <v>6.0053281E7</v>
      </c>
      <c r="M2092" s="99">
        <v>2.24</v>
      </c>
    </row>
    <row r="2093">
      <c r="A2093" s="122" t="s">
        <v>4607</v>
      </c>
      <c r="B2093" s="123">
        <v>1348362.0</v>
      </c>
      <c r="C2093" s="124" t="s">
        <v>4608</v>
      </c>
      <c r="D2093" s="125"/>
      <c r="E2093" s="126">
        <v>1.74</v>
      </c>
      <c r="F2093" s="127"/>
      <c r="G2093" s="127"/>
      <c r="H2093" s="127"/>
      <c r="I2093" s="128"/>
      <c r="K2093" s="105" t="str">
        <f>IFERROR(__xludf.DUMMYFUNCTION("if(A2093="""","""",substitute(SUBSTITUTE(index(importhtml(""http://finviz.com/quote.ashx?t=""&amp;A2093,""table"",10),7,2),""*"",""""),""-"",""0.00""))"),"Loading...")</f>
        <v>Loading...</v>
      </c>
      <c r="L2093" s="129">
        <v>1.8157648E7</v>
      </c>
      <c r="M2093" s="99">
        <v>0.59</v>
      </c>
    </row>
    <row r="2094">
      <c r="A2094" s="122" t="s">
        <v>4609</v>
      </c>
      <c r="B2094" s="123">
        <v>1040896.0</v>
      </c>
      <c r="C2094" s="124" t="s">
        <v>4610</v>
      </c>
      <c r="D2094" s="125"/>
      <c r="E2094" s="126">
        <v>1.74</v>
      </c>
      <c r="F2094" s="127"/>
      <c r="G2094" s="127"/>
      <c r="H2094" s="127"/>
      <c r="I2094" s="128"/>
      <c r="K2094" s="105" t="str">
        <f>IFERROR(__xludf.DUMMYFUNCTION("if(A2094="""","""",substitute(SUBSTITUTE(index(importhtml(""http://finviz.com/quote.ashx?t=""&amp;A2094,""table"",10),7,2),""*"",""""),""-"",""0.00""))"),"Loading...")</f>
        <v>Loading...</v>
      </c>
      <c r="L2094" s="129">
        <v>3.3676534E7</v>
      </c>
      <c r="M2094" s="99">
        <v>1.71</v>
      </c>
    </row>
    <row r="2095">
      <c r="A2095" s="122" t="s">
        <v>4611</v>
      </c>
      <c r="B2095" s="123">
        <v>1015739.0</v>
      </c>
      <c r="C2095" s="124" t="s">
        <v>4612</v>
      </c>
      <c r="D2095" s="125"/>
      <c r="E2095" s="126">
        <v>1.74</v>
      </c>
      <c r="F2095" s="127"/>
      <c r="G2095" s="127"/>
      <c r="H2095" s="127"/>
      <c r="I2095" s="128"/>
      <c r="K2095" s="105" t="str">
        <f>IFERROR(__xludf.DUMMYFUNCTION("if(A2095="""","""",substitute(SUBSTITUTE(index(importhtml(""http://finviz.com/quote.ashx?t=""&amp;A2095,""table"",10),7,2),""*"",""""),""-"",""0.00""))"),"Loading...")</f>
        <v>Loading...</v>
      </c>
      <c r="L2095" s="129">
        <v>3.6524009E7</v>
      </c>
      <c r="M2095" s="99">
        <v>0.74</v>
      </c>
    </row>
    <row r="2096">
      <c r="A2096" s="122" t="s">
        <v>4613</v>
      </c>
      <c r="B2096" s="123">
        <v>1422142.0</v>
      </c>
      <c r="C2096" s="124" t="s">
        <v>4614</v>
      </c>
      <c r="D2096" s="125"/>
      <c r="E2096" s="126">
        <v>1.74</v>
      </c>
      <c r="F2096" s="127"/>
      <c r="G2096" s="127"/>
      <c r="H2096" s="127"/>
      <c r="I2096" s="128"/>
      <c r="K2096" s="105" t="str">
        <f>IFERROR(__xludf.DUMMYFUNCTION("if(A2096="""","""",substitute(SUBSTITUTE(index(importhtml(""http://finviz.com/quote.ashx?t=""&amp;A2096,""table"",10),7,2),""*"",""""),""-"",""0.00""))"),"Loading...")</f>
        <v>Loading...</v>
      </c>
      <c r="L2096" s="129">
        <v>4.2674979E7</v>
      </c>
      <c r="M2096" s="99">
        <v>0.54</v>
      </c>
    </row>
    <row r="2097">
      <c r="A2097" s="122" t="s">
        <v>4615</v>
      </c>
      <c r="B2097" s="123">
        <v>1706946.0</v>
      </c>
      <c r="C2097" s="124" t="s">
        <v>4616</v>
      </c>
      <c r="D2097" s="125"/>
      <c r="E2097" s="126">
        <v>1.74</v>
      </c>
      <c r="F2097" s="127"/>
      <c r="G2097" s="127"/>
      <c r="H2097" s="127"/>
      <c r="I2097" s="128"/>
      <c r="K2097" s="105" t="str">
        <f>IFERROR(__xludf.DUMMYFUNCTION("if(A2097="""","""",substitute(SUBSTITUTE(index(importhtml(""http://finviz.com/quote.ashx?t=""&amp;A2097,""table"",10),7,2),""*"",""""),""-"",""0.00""))"),"Loading...")</f>
        <v>Loading...</v>
      </c>
      <c r="L2097" s="129">
        <v>6.95504625E8</v>
      </c>
      <c r="M2097" s="99">
        <v>1.64</v>
      </c>
    </row>
    <row r="2098">
      <c r="A2098" s="122" t="s">
        <v>4617</v>
      </c>
      <c r="B2098" s="123">
        <v>1660046.0</v>
      </c>
      <c r="C2098" s="124" t="s">
        <v>4618</v>
      </c>
      <c r="D2098" s="125"/>
      <c r="E2098" s="126">
        <v>1.75</v>
      </c>
      <c r="F2098" s="127"/>
      <c r="G2098" s="127"/>
      <c r="H2098" s="127"/>
      <c r="I2098" s="128"/>
      <c r="K2098" s="105" t="str">
        <f>IFERROR(__xludf.DUMMYFUNCTION("if(A2098="""","""",substitute(SUBSTITUTE(index(importhtml(""http://finviz.com/quote.ashx?t=""&amp;A2098,""table"",10),7,2),""*"",""""),""-"",""0.00""))"),"Loading...")</f>
        <v>Loading...</v>
      </c>
      <c r="L2098" s="129">
        <v>1.5589952E7</v>
      </c>
      <c r="M2098" s="99">
        <v>1.41</v>
      </c>
    </row>
    <row r="2099">
      <c r="A2099" s="122" t="s">
        <v>4619</v>
      </c>
      <c r="B2099" s="123">
        <v>1700849.0</v>
      </c>
      <c r="C2099" s="124" t="s">
        <v>4620</v>
      </c>
      <c r="D2099" s="125"/>
      <c r="E2099" s="126">
        <v>1.75</v>
      </c>
      <c r="F2099" s="127"/>
      <c r="G2099" s="127"/>
      <c r="H2099" s="127"/>
      <c r="I2099" s="128"/>
      <c r="K2099" s="105" t="str">
        <f>IFERROR(__xludf.DUMMYFUNCTION("if(A2099="""","""",substitute(SUBSTITUTE(index(importhtml(""http://finviz.com/quote.ashx?t=""&amp;A2099,""table"",10),7,2),""*"",""""),""-"",""0.00""))"),"Loading...")</f>
        <v>Loading...</v>
      </c>
      <c r="L2099" s="129">
        <v>3.193614E8</v>
      </c>
      <c r="M2099" s="99">
        <v>0.56</v>
      </c>
    </row>
    <row r="2100">
      <c r="A2100" s="122" t="s">
        <v>4621</v>
      </c>
      <c r="B2100" s="123">
        <v>1693690.0</v>
      </c>
      <c r="C2100" s="124" t="s">
        <v>4622</v>
      </c>
      <c r="D2100" s="125"/>
      <c r="E2100" s="126">
        <v>1.75</v>
      </c>
      <c r="F2100" s="127"/>
      <c r="G2100" s="127"/>
      <c r="H2100" s="127"/>
      <c r="I2100" s="128"/>
      <c r="K2100" s="105" t="str">
        <f>IFERROR(__xludf.DUMMYFUNCTION("if(A2100="""","""",substitute(SUBSTITUTE(index(importhtml(""http://finviz.com/quote.ashx?t=""&amp;A2100,""table"",10),7,2),""*"",""""),""-"",""0.00""))"),"Loading...")</f>
        <v>Loading...</v>
      </c>
      <c r="L2100" s="129" t="e">
        <v>#N/A</v>
      </c>
      <c r="M2100" s="99" t="str">
        <f>IFERROR(__xludf.DUMMYFUNCTION("GOOGLEFINANCE(A2100,""beta"")"),"#N/A")</f>
        <v>#N/A</v>
      </c>
    </row>
    <row r="2101">
      <c r="A2101" s="122" t="s">
        <v>4623</v>
      </c>
      <c r="B2101" s="123">
        <v>1086745.0</v>
      </c>
      <c r="C2101" s="124" t="s">
        <v>4624</v>
      </c>
      <c r="D2101" s="125"/>
      <c r="E2101" s="126">
        <v>1.76</v>
      </c>
      <c r="F2101" s="127"/>
      <c r="G2101" s="127"/>
      <c r="H2101" s="127"/>
      <c r="I2101" s="128"/>
      <c r="K2101" s="105" t="str">
        <f>IFERROR(__xludf.DUMMYFUNCTION("if(A2101="""","""",substitute(SUBSTITUTE(index(importhtml(""http://finviz.com/quote.ashx?t=""&amp;A2101,""table"",10),7,2),""*"",""""),""-"",""0.00""))"),"Loading...")</f>
        <v>Loading...</v>
      </c>
      <c r="L2101" s="129">
        <v>8606635.0</v>
      </c>
      <c r="M2101" s="99">
        <v>3.4</v>
      </c>
    </row>
    <row r="2102">
      <c r="A2102" s="122" t="s">
        <v>4625</v>
      </c>
      <c r="B2102" s="123">
        <v>1113423.0</v>
      </c>
      <c r="C2102" s="124" t="s">
        <v>4626</v>
      </c>
      <c r="D2102" s="125"/>
      <c r="E2102" s="126">
        <v>1.76</v>
      </c>
      <c r="F2102" s="127"/>
      <c r="G2102" s="127"/>
      <c r="H2102" s="127"/>
      <c r="I2102" s="128"/>
      <c r="K2102" s="105" t="str">
        <f>IFERROR(__xludf.DUMMYFUNCTION("if(A2102="""","""",substitute(SUBSTITUTE(index(importhtml(""http://finviz.com/quote.ashx?t=""&amp;A2102,""table"",10),7,2),""*"",""""),""-"",""0.00""))"),"Loading...")</f>
        <v>Loading...</v>
      </c>
      <c r="L2102" s="129">
        <v>1.1799783E7</v>
      </c>
      <c r="M2102" s="99">
        <v>1.57</v>
      </c>
    </row>
    <row r="2103">
      <c r="A2103" s="122" t="s">
        <v>4627</v>
      </c>
      <c r="B2103" s="123">
        <v>1463361.0</v>
      </c>
      <c r="C2103" s="124" t="s">
        <v>4628</v>
      </c>
      <c r="D2103" s="125"/>
      <c r="E2103" s="126">
        <v>1.76</v>
      </c>
      <c r="F2103" s="127"/>
      <c r="G2103" s="127"/>
      <c r="H2103" s="127"/>
      <c r="I2103" s="128"/>
      <c r="K2103" s="105" t="str">
        <f>IFERROR(__xludf.DUMMYFUNCTION("if(A2103="""","""",substitute(SUBSTITUTE(index(importhtml(""http://finviz.com/quote.ashx?t=""&amp;A2103,""table"",10),7,2),""*"",""""),""-"",""0.00""))"),"Loading...")</f>
        <v>Loading...</v>
      </c>
      <c r="L2103" s="129">
        <v>2.9541547E7</v>
      </c>
      <c r="M2103" s="99">
        <v>0.85</v>
      </c>
    </row>
    <row r="2104">
      <c r="A2104" s="122" t="s">
        <v>4629</v>
      </c>
      <c r="B2104" s="123">
        <v>1339970.0</v>
      </c>
      <c r="C2104" s="124" t="s">
        <v>4630</v>
      </c>
      <c r="D2104" s="125"/>
      <c r="E2104" s="126">
        <v>1.76</v>
      </c>
      <c r="F2104" s="127"/>
      <c r="G2104" s="127"/>
      <c r="H2104" s="127"/>
      <c r="I2104" s="128"/>
      <c r="K2104" s="105" t="str">
        <f>IFERROR(__xludf.DUMMYFUNCTION("if(A2104="""","""",substitute(SUBSTITUTE(index(importhtml(""http://finviz.com/quote.ashx?t=""&amp;A2104,""table"",10),7,2),""*"",""""),""-"",""0.00""))"),"Loading...")</f>
        <v>Loading...</v>
      </c>
      <c r="L2104" s="129">
        <v>1.03065705E8</v>
      </c>
      <c r="M2104" s="99">
        <v>1.21</v>
      </c>
    </row>
    <row r="2105">
      <c r="A2105" s="122" t="s">
        <v>4631</v>
      </c>
      <c r="B2105" s="123">
        <v>1133416.0</v>
      </c>
      <c r="C2105" s="124" t="s">
        <v>4632</v>
      </c>
      <c r="D2105" s="125"/>
      <c r="E2105" s="126">
        <v>1.76</v>
      </c>
      <c r="F2105" s="127"/>
      <c r="G2105" s="127"/>
      <c r="H2105" s="127"/>
      <c r="I2105" s="128"/>
      <c r="K2105" s="105" t="str">
        <f>IFERROR(__xludf.DUMMYFUNCTION("if(A2105="""","""",substitute(SUBSTITUTE(index(importhtml(""http://finviz.com/quote.ashx?t=""&amp;A2105,""table"",10),7,2),""*"",""""),""-"",""0.00""))"),"Loading...")</f>
        <v>Loading...</v>
      </c>
      <c r="L2105" s="129">
        <v>1.08853658E8</v>
      </c>
      <c r="M2105" s="99">
        <v>0.8</v>
      </c>
    </row>
    <row r="2106">
      <c r="A2106" s="122" t="s">
        <v>4633</v>
      </c>
      <c r="B2106" s="123">
        <v>902102.0</v>
      </c>
      <c r="C2106" s="124" t="s">
        <v>2830</v>
      </c>
      <c r="D2106" s="125"/>
      <c r="E2106" s="126">
        <v>1.76</v>
      </c>
      <c r="F2106" s="127"/>
      <c r="G2106" s="127"/>
      <c r="H2106" s="127"/>
      <c r="I2106" s="128"/>
      <c r="K2106" s="105" t="str">
        <f>IFERROR(__xludf.DUMMYFUNCTION("if(A2106="""","""",substitute(SUBSTITUTE(index(importhtml(""http://finviz.com/quote.ashx?t=""&amp;A2106,""table"",10),7,2),""*"",""""),""-"",""0.00""))"),"Loading...")</f>
        <v>Loading...</v>
      </c>
      <c r="L2106" s="129">
        <v>4.074491038E9</v>
      </c>
      <c r="M2106" s="99">
        <v>1.81</v>
      </c>
    </row>
    <row r="2107">
      <c r="A2107" s="122" t="s">
        <v>4634</v>
      </c>
      <c r="B2107" s="123">
        <v>771999.0</v>
      </c>
      <c r="C2107" s="124" t="s">
        <v>4635</v>
      </c>
      <c r="D2107" s="125"/>
      <c r="E2107" s="126">
        <v>1.77</v>
      </c>
      <c r="F2107" s="127"/>
      <c r="G2107" s="127"/>
      <c r="H2107" s="127"/>
      <c r="I2107" s="128"/>
      <c r="K2107" s="55" t="s">
        <v>1034</v>
      </c>
      <c r="L2107" s="129">
        <v>1.2413383E7</v>
      </c>
      <c r="M2107" s="99">
        <v>1.7</v>
      </c>
    </row>
    <row r="2108">
      <c r="A2108" s="122" t="s">
        <v>4636</v>
      </c>
      <c r="B2108" s="123">
        <v>799165.0</v>
      </c>
      <c r="C2108" s="124" t="s">
        <v>4637</v>
      </c>
      <c r="D2108" s="125"/>
      <c r="E2108" s="126">
        <v>1.77</v>
      </c>
      <c r="F2108" s="127"/>
      <c r="G2108" s="127"/>
      <c r="H2108" s="127"/>
      <c r="I2108" s="128"/>
      <c r="K2108" s="105" t="str">
        <f>IFERROR(__xludf.DUMMYFUNCTION("if(A2108="""","""",substitute(SUBSTITUTE(index(importhtml(""http://finviz.com/quote.ashx?t=""&amp;A2108,""table"",10),7,2),""*"",""""),""-"",""0.00""))"),"Loading...")</f>
        <v>Loading...</v>
      </c>
      <c r="L2108" s="129">
        <v>5.4389373E7</v>
      </c>
      <c r="M2108" s="99">
        <v>0.92</v>
      </c>
    </row>
    <row r="2109">
      <c r="A2109" s="122" t="s">
        <v>4638</v>
      </c>
      <c r="B2109" s="123">
        <v>1529628.0</v>
      </c>
      <c r="C2109" s="124" t="s">
        <v>4639</v>
      </c>
      <c r="D2109" s="125"/>
      <c r="E2109" s="126">
        <v>1.77</v>
      </c>
      <c r="F2109" s="127"/>
      <c r="G2109" s="127"/>
      <c r="H2109" s="127"/>
      <c r="I2109" s="128"/>
      <c r="K2109" s="105" t="str">
        <f>IFERROR(__xludf.DUMMYFUNCTION("if(A2109="""","""",substitute(SUBSTITUTE(index(importhtml(""http://finviz.com/quote.ashx?t=""&amp;A2109,""table"",10),7,2),""*"",""""),""-"",""0.00""))"),"Loading...")</f>
        <v>Loading...</v>
      </c>
      <c r="L2109" s="129">
        <v>7.3093211E7</v>
      </c>
      <c r="M2109" s="99">
        <v>1.06</v>
      </c>
    </row>
    <row r="2110">
      <c r="A2110" s="122" t="s">
        <v>4640</v>
      </c>
      <c r="B2110" s="123">
        <v>1345099.0</v>
      </c>
      <c r="C2110" s="124" t="s">
        <v>2212</v>
      </c>
      <c r="D2110" s="125"/>
      <c r="E2110" s="126">
        <v>1.77</v>
      </c>
      <c r="F2110" s="127"/>
      <c r="G2110" s="127"/>
      <c r="H2110" s="127"/>
      <c r="I2110" s="128"/>
      <c r="K2110" s="105" t="str">
        <f>IFERROR(__xludf.DUMMYFUNCTION("if(A2110="""","""",substitute(SUBSTITUTE(index(importhtml(""http://finviz.com/quote.ashx?t=""&amp;A2110,""table"",10),7,2),""*"",""""),""-"",""0.00""))"),"Loading...")</f>
        <v>Loading...</v>
      </c>
      <c r="L2110" s="129">
        <v>1.71372283E8</v>
      </c>
      <c r="M2110" s="99">
        <v>3.44</v>
      </c>
    </row>
    <row r="2111">
      <c r="A2111" s="122" t="s">
        <v>4641</v>
      </c>
      <c r="B2111" s="123">
        <v>1840904.0</v>
      </c>
      <c r="C2111" s="124" t="s">
        <v>4642</v>
      </c>
      <c r="D2111" s="125"/>
      <c r="E2111" s="126">
        <v>1.77</v>
      </c>
      <c r="F2111" s="127"/>
      <c r="G2111" s="127"/>
      <c r="H2111" s="127"/>
      <c r="I2111" s="128"/>
      <c r="K2111" s="105" t="str">
        <f>IFERROR(__xludf.DUMMYFUNCTION("if(A2111="""","""",substitute(SUBSTITUTE(index(importhtml(""http://finviz.com/quote.ashx?t=""&amp;A2111,""table"",10),7,2),""*"",""""),""-"",""0.00""))"),"Loading...")</f>
        <v>Loading...</v>
      </c>
      <c r="L2111" s="129">
        <v>2.93838404E8</v>
      </c>
      <c r="M2111" s="99">
        <f>IFERROR(__xludf.DUMMYFUNCTION("GOOGLEFINANCE(A2111,""beta"")"),1.59)</f>
        <v>1.59</v>
      </c>
    </row>
    <row r="2112">
      <c r="A2112" s="122" t="s">
        <v>4643</v>
      </c>
      <c r="B2112" s="123">
        <v>1834974.0</v>
      </c>
      <c r="C2112" s="124" t="s">
        <v>4644</v>
      </c>
      <c r="D2112" s="125"/>
      <c r="E2112" s="126">
        <v>1.77</v>
      </c>
      <c r="F2112" s="127"/>
      <c r="G2112" s="127"/>
      <c r="H2112" s="127"/>
      <c r="I2112" s="128"/>
      <c r="K2112" s="105" t="str">
        <f>IFERROR(__xludf.DUMMYFUNCTION("if(A2112="""","""",substitute(SUBSTITUTE(index(importhtml(""http://finviz.com/quote.ashx?t=""&amp;A2112,""table"",10),7,2),""*"",""""),""-"",""0.00""))"),"Loading...")</f>
        <v>Loading...</v>
      </c>
      <c r="L2112" s="129">
        <v>4.00347268E8</v>
      </c>
      <c r="M2112" s="99">
        <v>2.1</v>
      </c>
    </row>
    <row r="2113">
      <c r="A2113" s="122" t="s">
        <v>4645</v>
      </c>
      <c r="B2113" s="123">
        <v>1527613.0</v>
      </c>
      <c r="C2113" s="124" t="s">
        <v>4646</v>
      </c>
      <c r="D2113" s="125"/>
      <c r="E2113" s="126">
        <v>1.78</v>
      </c>
      <c r="F2113" s="127"/>
      <c r="G2113" s="127"/>
      <c r="H2113" s="127"/>
      <c r="I2113" s="128"/>
      <c r="K2113" s="105" t="str">
        <f>IFERROR(__xludf.DUMMYFUNCTION("if(A2113="""","""",substitute(SUBSTITUTE(index(importhtml(""http://finviz.com/quote.ashx?t=""&amp;A2113,""table"",10),7,2),""*"",""""),""-"",""0.00""))"),"Loading...")</f>
        <v>Loading...</v>
      </c>
      <c r="L2113" s="129">
        <v>2281486.0</v>
      </c>
      <c r="M2113" s="99">
        <v>1.63</v>
      </c>
    </row>
    <row r="2114">
      <c r="A2114" s="122" t="s">
        <v>4647</v>
      </c>
      <c r="B2114" s="123">
        <v>1601936.0</v>
      </c>
      <c r="C2114" s="124" t="s">
        <v>4648</v>
      </c>
      <c r="D2114" s="125"/>
      <c r="E2114" s="126">
        <v>1.78</v>
      </c>
      <c r="F2114" s="127"/>
      <c r="G2114" s="127"/>
      <c r="H2114" s="127"/>
      <c r="I2114" s="128"/>
      <c r="K2114" s="105" t="str">
        <f>IFERROR(__xludf.DUMMYFUNCTION("if(A2114="""","""",substitute(SUBSTITUTE(index(importhtml(""http://finviz.com/quote.ashx?t=""&amp;A2114,""table"",10),7,2),""*"",""""),""-"",""0.00""))"),"Loading...")</f>
        <v>Loading...</v>
      </c>
      <c r="L2114" s="129">
        <v>2808455.0</v>
      </c>
      <c r="M2114" s="99">
        <v>2.49</v>
      </c>
    </row>
    <row r="2115">
      <c r="A2115" s="122" t="s">
        <v>4649</v>
      </c>
      <c r="B2115" s="123">
        <v>1574235.0</v>
      </c>
      <c r="C2115" s="124" t="s">
        <v>4650</v>
      </c>
      <c r="D2115" s="125"/>
      <c r="E2115" s="126">
        <v>1.78</v>
      </c>
      <c r="F2115" s="127"/>
      <c r="G2115" s="127"/>
      <c r="H2115" s="127"/>
      <c r="I2115" s="128"/>
      <c r="K2115" s="105" t="str">
        <f>IFERROR(__xludf.DUMMYFUNCTION("if(A2115="""","""",substitute(SUBSTITUTE(index(importhtml(""http://finviz.com/quote.ashx?t=""&amp;A2115,""table"",10),7,2),""*"",""""),""-"",""0.00""))"),"Loading...")</f>
        <v>Loading...</v>
      </c>
      <c r="L2115" s="129">
        <v>6501063.0</v>
      </c>
      <c r="M2115" s="99">
        <v>0.89</v>
      </c>
    </row>
    <row r="2116">
      <c r="A2116" s="122" t="s">
        <v>4651</v>
      </c>
      <c r="B2116" s="123">
        <v>1699382.0</v>
      </c>
      <c r="C2116" s="124" t="s">
        <v>4652</v>
      </c>
      <c r="D2116" s="125"/>
      <c r="E2116" s="126">
        <v>1.78</v>
      </c>
      <c r="F2116" s="127"/>
      <c r="G2116" s="127"/>
      <c r="H2116" s="127"/>
      <c r="I2116" s="128"/>
      <c r="K2116" s="105" t="str">
        <f>IFERROR(__xludf.DUMMYFUNCTION("if(A2116="""","""",substitute(SUBSTITUTE(index(importhtml(""http://finviz.com/quote.ashx?t=""&amp;A2116,""table"",10),7,2),""*"",""""),""-"",""0.00""))"),"Loading...")</f>
        <v>Loading...</v>
      </c>
      <c r="L2116" s="129">
        <v>9.1060579E7</v>
      </c>
      <c r="M2116" s="99">
        <v>1.66</v>
      </c>
    </row>
    <row r="2117">
      <c r="A2117" s="122" t="s">
        <v>4653</v>
      </c>
      <c r="B2117" s="123">
        <v>1083301.0</v>
      </c>
      <c r="C2117" s="124" t="s">
        <v>4654</v>
      </c>
      <c r="D2117" s="125"/>
      <c r="E2117" s="126">
        <v>1.78</v>
      </c>
      <c r="F2117" s="127"/>
      <c r="G2117" s="127"/>
      <c r="H2117" s="127"/>
      <c r="I2117" s="128"/>
      <c r="K2117" s="105" t="str">
        <f>IFERROR(__xludf.DUMMYFUNCTION("if(A2117="""","""",substitute(SUBSTITUTE(index(importhtml(""http://finviz.com/quote.ashx?t=""&amp;A2117,""table"",10),7,2),""*"",""""),""-"",""0.00""))"),"Loading...")</f>
        <v>Loading...</v>
      </c>
      <c r="L2117" s="129">
        <v>4.24001689E8</v>
      </c>
      <c r="M2117" s="99">
        <v>2.18</v>
      </c>
    </row>
    <row r="2118">
      <c r="A2118" s="122" t="s">
        <v>4655</v>
      </c>
      <c r="B2118" s="123">
        <v>1841761.0</v>
      </c>
      <c r="C2118" s="124" t="s">
        <v>4656</v>
      </c>
      <c r="D2118" s="125"/>
      <c r="E2118" s="126">
        <v>1.79</v>
      </c>
      <c r="F2118" s="127"/>
      <c r="G2118" s="127"/>
      <c r="H2118" s="127"/>
      <c r="I2118" s="128"/>
      <c r="K2118" s="105" t="str">
        <f>IFERROR(__xludf.DUMMYFUNCTION("if(A2118="""","""",substitute(SUBSTITUTE(index(importhtml(""http://finviz.com/quote.ashx?t=""&amp;A2118,""table"",10),7,2),""*"",""""),""-"",""0.00""))"),"Loading...")</f>
        <v>Loading...</v>
      </c>
      <c r="L2118" s="129">
        <v>6.7035426E7</v>
      </c>
      <c r="M2118" s="99">
        <f>IFERROR(__xludf.DUMMYFUNCTION("GOOGLEFINANCE(A2118,""beta"")"),1.2)</f>
        <v>1.2</v>
      </c>
    </row>
    <row r="2119">
      <c r="A2119" s="122" t="s">
        <v>4657</v>
      </c>
      <c r="B2119" s="123">
        <v>1847409.0</v>
      </c>
      <c r="C2119" s="124" t="s">
        <v>4658</v>
      </c>
      <c r="D2119" s="125"/>
      <c r="E2119" s="126">
        <v>1.79</v>
      </c>
      <c r="F2119" s="127"/>
      <c r="G2119" s="127"/>
      <c r="H2119" s="127"/>
      <c r="I2119" s="128"/>
      <c r="K2119" s="105" t="str">
        <f>IFERROR(__xludf.DUMMYFUNCTION("if(A2119="""","""",substitute(SUBSTITUTE(index(importhtml(""http://finviz.com/quote.ashx?t=""&amp;A2119,""table"",10),7,2),""*"",""""),""-"",""0.00""))"),"Loading...")</f>
        <v>Loading...</v>
      </c>
      <c r="L2119" s="129">
        <v>1.86966287E8</v>
      </c>
      <c r="M2119" s="99">
        <v>0.87</v>
      </c>
    </row>
    <row r="2120">
      <c r="A2120" s="122" t="s">
        <v>4659</v>
      </c>
      <c r="B2120" s="123">
        <v>1806952.0</v>
      </c>
      <c r="C2120" s="124" t="s">
        <v>4660</v>
      </c>
      <c r="D2120" s="125"/>
      <c r="E2120" s="126">
        <v>1.79</v>
      </c>
      <c r="F2120" s="127"/>
      <c r="G2120" s="127"/>
      <c r="H2120" s="127"/>
      <c r="I2120" s="128"/>
      <c r="K2120" s="105" t="str">
        <f>IFERROR(__xludf.DUMMYFUNCTION("if(A2120="""","""",substitute(SUBSTITUTE(index(importhtml(""http://finviz.com/quote.ashx?t=""&amp;A2120,""table"",10),7,2),""*"",""""),""-"",""0.00""))"),"Loading...")</f>
        <v>Loading...</v>
      </c>
      <c r="L2120" s="129">
        <v>4.50845321E8</v>
      </c>
      <c r="M2120" s="99">
        <f>IFERROR(__xludf.DUMMYFUNCTION("GOOGLEFINANCE(A2120,""beta"")"),-0.07)</f>
        <v>-0.07</v>
      </c>
    </row>
    <row r="2121">
      <c r="A2121" s="122" t="s">
        <v>4661</v>
      </c>
      <c r="B2121" s="123">
        <v>1884082.0</v>
      </c>
      <c r="C2121" s="124" t="s">
        <v>4662</v>
      </c>
      <c r="D2121" s="125"/>
      <c r="E2121" s="126">
        <v>1.79</v>
      </c>
      <c r="F2121" s="127"/>
      <c r="G2121" s="127"/>
      <c r="H2121" s="127"/>
      <c r="I2121" s="128"/>
      <c r="K2121" s="105" t="str">
        <f>IFERROR(__xludf.DUMMYFUNCTION("if(A2121="""","""",substitute(SUBSTITUTE(index(importhtml(""http://finviz.com/quote.ashx?t=""&amp;A2121,""table"",10),7,2),""*"",""""),""-"",""0.00""))"),"Loading...")</f>
        <v>Loading...</v>
      </c>
      <c r="L2121" s="129" t="e">
        <v>#N/A</v>
      </c>
      <c r="M2121" s="99">
        <f>IFERROR(__xludf.DUMMYFUNCTION("GOOGLEFINANCE(A2121,""beta"")"),1.35)</f>
        <v>1.35</v>
      </c>
    </row>
    <row r="2122">
      <c r="A2122" s="122" t="s">
        <v>4663</v>
      </c>
      <c r="B2122" s="123">
        <v>1402479.0</v>
      </c>
      <c r="C2122" s="124" t="s">
        <v>4664</v>
      </c>
      <c r="D2122" s="125"/>
      <c r="E2122" s="126">
        <v>1.8</v>
      </c>
      <c r="F2122" s="127"/>
      <c r="G2122" s="127"/>
      <c r="H2122" s="127"/>
      <c r="I2122" s="128"/>
      <c r="K2122" s="105" t="str">
        <f>IFERROR(__xludf.DUMMYFUNCTION("if(A2122="""","""",substitute(SUBSTITUTE(index(importhtml(""http://finviz.com/quote.ashx?t=""&amp;A2122,""table"",10),7,2),""*"",""""),""-"",""0.00""))"),"Loading...")</f>
        <v>Loading...</v>
      </c>
      <c r="L2122" s="129">
        <v>2905199.0</v>
      </c>
      <c r="M2122" s="99">
        <v>0.75</v>
      </c>
    </row>
    <row r="2123">
      <c r="A2123" s="122" t="s">
        <v>4665</v>
      </c>
      <c r="B2123" s="123">
        <v>882291.0</v>
      </c>
      <c r="C2123" s="124" t="s">
        <v>4666</v>
      </c>
      <c r="D2123" s="125"/>
      <c r="E2123" s="126">
        <v>1.8</v>
      </c>
      <c r="F2123" s="127"/>
      <c r="G2123" s="127"/>
      <c r="H2123" s="127"/>
      <c r="I2123" s="128"/>
      <c r="K2123" s="105" t="str">
        <f>IFERROR(__xludf.DUMMYFUNCTION("if(A2123="""","""",substitute(SUBSTITUTE(index(importhtml(""http://finviz.com/quote.ashx?t=""&amp;A2123,""table"",10),7,2),""*"",""""),""-"",""0.00""))"),"Loading...")</f>
        <v>Loading...</v>
      </c>
      <c r="L2123" s="129">
        <v>4487228.0</v>
      </c>
      <c r="M2123" s="99">
        <v>1.89</v>
      </c>
    </row>
    <row r="2124">
      <c r="A2124" s="122" t="s">
        <v>4667</v>
      </c>
      <c r="B2124" s="123">
        <v>1408057.0</v>
      </c>
      <c r="C2124" s="124" t="s">
        <v>4668</v>
      </c>
      <c r="D2124" s="125"/>
      <c r="E2124" s="126">
        <v>1.8</v>
      </c>
      <c r="F2124" s="127"/>
      <c r="G2124" s="127"/>
      <c r="H2124" s="127"/>
      <c r="I2124" s="128"/>
      <c r="K2124" s="105" t="str">
        <f>IFERROR(__xludf.DUMMYFUNCTION("if(A2124="""","""",substitute(SUBSTITUTE(index(importhtml(""http://finviz.com/quote.ashx?t=""&amp;A2124,""table"",10),7,2),""*"",""""),""-"",""0.00""))"),"Loading...")</f>
        <v>Loading...</v>
      </c>
      <c r="L2124" s="129">
        <v>1.6112652E7</v>
      </c>
      <c r="M2124" s="99" t="str">
        <f>IFERROR(__xludf.DUMMYFUNCTION("GOOGLEFINANCE(A2124,""beta"")"),"#N/A")</f>
        <v>#N/A</v>
      </c>
    </row>
    <row r="2125">
      <c r="A2125" s="122" t="s">
        <v>4669</v>
      </c>
      <c r="B2125" s="123">
        <v>1111741.0</v>
      </c>
      <c r="C2125" s="124" t="s">
        <v>4670</v>
      </c>
      <c r="D2125" s="125"/>
      <c r="E2125" s="126">
        <v>1.8</v>
      </c>
      <c r="F2125" s="127"/>
      <c r="G2125" s="127"/>
      <c r="H2125" s="127"/>
      <c r="I2125" s="128"/>
      <c r="K2125" s="105" t="str">
        <f>IFERROR(__xludf.DUMMYFUNCTION("if(A2125="""","""",substitute(SUBSTITUTE(index(importhtml(""http://finviz.com/quote.ashx?t=""&amp;A2125,""table"",10),7,2),""*"",""""),""-"",""0.00""))"),"Loading...")</f>
        <v>Loading...</v>
      </c>
      <c r="L2125" s="129">
        <v>4.184398E7</v>
      </c>
      <c r="M2125" s="99">
        <v>1.13</v>
      </c>
    </row>
    <row r="2126">
      <c r="A2126" s="122" t="s">
        <v>4671</v>
      </c>
      <c r="B2126" s="123">
        <v>13156.0</v>
      </c>
      <c r="C2126" s="124" t="s">
        <v>4672</v>
      </c>
      <c r="D2126" s="125"/>
      <c r="E2126" s="126">
        <v>1.8</v>
      </c>
      <c r="F2126" s="127"/>
      <c r="G2126" s="127"/>
      <c r="H2126" s="127"/>
      <c r="I2126" s="128"/>
      <c r="K2126" s="105" t="str">
        <f>IFERROR(__xludf.DUMMYFUNCTION("if(A2126="""","""",substitute(SUBSTITUTE(index(importhtml(""http://finviz.com/quote.ashx?t=""&amp;A2126,""table"",10),7,2),""*"",""""),""-"",""0.00""))"),"#N/A")</f>
        <v>#N/A</v>
      </c>
      <c r="L2126" s="129">
        <v>4.460705E7</v>
      </c>
      <c r="M2126" s="99">
        <v>1.2</v>
      </c>
    </row>
    <row r="2127">
      <c r="A2127" s="122" t="s">
        <v>4673</v>
      </c>
      <c r="B2127" s="123">
        <v>939930.0</v>
      </c>
      <c r="C2127" s="124" t="s">
        <v>4674</v>
      </c>
      <c r="D2127" s="125"/>
      <c r="E2127" s="126">
        <v>1.8</v>
      </c>
      <c r="F2127" s="127"/>
      <c r="G2127" s="127"/>
      <c r="H2127" s="127"/>
      <c r="I2127" s="128"/>
      <c r="K2127" s="105" t="str">
        <f>IFERROR(__xludf.DUMMYFUNCTION("if(A2127="""","""",substitute(SUBSTITUTE(index(importhtml(""http://finviz.com/quote.ashx?t=""&amp;A2127,""table"",10),7,2),""*"",""""),""-"",""0.00""))"),"Loading...")</f>
        <v>Loading...</v>
      </c>
      <c r="L2127" s="129">
        <v>4.499989E7</v>
      </c>
      <c r="M2127" s="99">
        <v>-0.27</v>
      </c>
    </row>
    <row r="2128">
      <c r="A2128" s="122" t="s">
        <v>4675</v>
      </c>
      <c r="B2128" s="123">
        <v>1533998.0</v>
      </c>
      <c r="C2128" s="124" t="s">
        <v>4676</v>
      </c>
      <c r="D2128" s="125"/>
      <c r="E2128" s="126">
        <v>1.8</v>
      </c>
      <c r="F2128" s="127"/>
      <c r="G2128" s="127"/>
      <c r="H2128" s="127"/>
      <c r="I2128" s="128"/>
      <c r="K2128" s="105" t="str">
        <f>IFERROR(__xludf.DUMMYFUNCTION("if(A2128="""","""",substitute(SUBSTITUTE(index(importhtml(""http://finviz.com/quote.ashx?t=""&amp;A2128,""table"",10),7,2),""*"",""""),""-"",""0.00""))"),"Loading...")</f>
        <v>Loading...</v>
      </c>
      <c r="L2128" s="129">
        <v>4.8986404E7</v>
      </c>
      <c r="M2128" s="99">
        <v>1.69</v>
      </c>
    </row>
    <row r="2129">
      <c r="A2129" s="122" t="s">
        <v>4677</v>
      </c>
      <c r="B2129" s="123">
        <v>909531.0</v>
      </c>
      <c r="C2129" s="124" t="s">
        <v>4678</v>
      </c>
      <c r="D2129" s="125"/>
      <c r="E2129" s="126">
        <v>1.8</v>
      </c>
      <c r="F2129" s="127"/>
      <c r="G2129" s="127"/>
      <c r="H2129" s="127"/>
      <c r="I2129" s="128"/>
      <c r="K2129" s="105" t="str">
        <f>IFERROR(__xludf.DUMMYFUNCTION("if(A2129="""","""",substitute(SUBSTITUTE(index(importhtml(""http://finviz.com/quote.ashx?t=""&amp;A2129,""table"",10),7,2),""*"",""""),""-"",""0.00""))"),"Loading...")</f>
        <v>Loading...</v>
      </c>
      <c r="L2129" s="129">
        <v>1.28303623E8</v>
      </c>
      <c r="M2129" s="99">
        <f>IFERROR(__xludf.DUMMYFUNCTION("GOOGLEFINANCE(A2129,""beta"")"),0.33)</f>
        <v>0.33</v>
      </c>
    </row>
    <row r="2130">
      <c r="A2130" s="122" t="s">
        <v>4679</v>
      </c>
      <c r="B2130" s="123">
        <v>778164.0</v>
      </c>
      <c r="C2130" s="124" t="s">
        <v>4680</v>
      </c>
      <c r="D2130" s="125"/>
      <c r="E2130" s="126">
        <v>1.8</v>
      </c>
      <c r="F2130" s="127"/>
      <c r="G2130" s="127"/>
      <c r="H2130" s="127"/>
      <c r="I2130" s="128"/>
      <c r="K2130" s="105" t="str">
        <f>IFERROR(__xludf.DUMMYFUNCTION("if(A2130="""","""",substitute(SUBSTITUTE(index(importhtml(""http://finviz.com/quote.ashx?t=""&amp;A2130,""table"",10),7,2),""*"",""""),""-"",""0.00""))"),"Loading...")</f>
        <v>Loading...</v>
      </c>
      <c r="L2130" s="129">
        <v>1.37050376E8</v>
      </c>
      <c r="M2130" s="99">
        <v>1.86</v>
      </c>
    </row>
    <row r="2131">
      <c r="A2131" s="122" t="s">
        <v>4681</v>
      </c>
      <c r="B2131" s="123">
        <v>1778016.0</v>
      </c>
      <c r="C2131" s="124" t="s">
        <v>4682</v>
      </c>
      <c r="D2131" s="125"/>
      <c r="E2131" s="126">
        <v>1.8</v>
      </c>
      <c r="F2131" s="127"/>
      <c r="G2131" s="127"/>
      <c r="H2131" s="127"/>
      <c r="I2131" s="128"/>
      <c r="K2131" s="105" t="str">
        <f>IFERROR(__xludf.DUMMYFUNCTION("if(A2131="""","""",substitute(SUBSTITUTE(index(importhtml(""http://finviz.com/quote.ashx?t=""&amp;A2131,""table"",10),7,2),""*"",""""),""-"",""0.00""))"),"Loading...")</f>
        <v>Loading...</v>
      </c>
      <c r="L2131" s="129">
        <v>1.48722026E8</v>
      </c>
      <c r="M2131" s="99">
        <v>1.11</v>
      </c>
    </row>
    <row r="2132">
      <c r="A2132" s="122" t="s">
        <v>4683</v>
      </c>
      <c r="B2132" s="123">
        <v>1682639.0</v>
      </c>
      <c r="C2132" s="124" t="s">
        <v>4684</v>
      </c>
      <c r="D2132" s="125"/>
      <c r="E2132" s="126">
        <v>1.81</v>
      </c>
      <c r="F2132" s="127"/>
      <c r="G2132" s="127"/>
      <c r="H2132" s="127"/>
      <c r="I2132" s="128"/>
      <c r="K2132" s="105" t="str">
        <f>IFERROR(__xludf.DUMMYFUNCTION("if(A2132="""","""",substitute(SUBSTITUTE(index(importhtml(""http://finviz.com/quote.ashx?t=""&amp;A2132,""table"",10),7,2),""*"",""""),""-"",""0.00""))"),"Loading...")</f>
        <v>Loading...</v>
      </c>
      <c r="L2132" s="129">
        <v>7.9861215E7</v>
      </c>
      <c r="M2132" s="99">
        <v>1.74</v>
      </c>
    </row>
    <row r="2133">
      <c r="A2133" s="122" t="s">
        <v>4685</v>
      </c>
      <c r="B2133" s="123">
        <v>1282631.0</v>
      </c>
      <c r="C2133" s="124" t="s">
        <v>4686</v>
      </c>
      <c r="D2133" s="125"/>
      <c r="E2133" s="126">
        <v>1.81</v>
      </c>
      <c r="F2133" s="127"/>
      <c r="G2133" s="127"/>
      <c r="H2133" s="127"/>
      <c r="I2133" s="128"/>
      <c r="K2133" s="105" t="str">
        <f>IFERROR(__xludf.DUMMYFUNCTION("if(A2133="""","""",substitute(SUBSTITUTE(index(importhtml(""http://finviz.com/quote.ashx?t=""&amp;A2133,""table"",10),7,2),""*"",""""),""-"",""0.00""))"),"Loading...")</f>
        <v>Loading...</v>
      </c>
      <c r="L2133" s="129">
        <v>4.59913762E8</v>
      </c>
      <c r="M2133" s="99">
        <v>1.0</v>
      </c>
    </row>
    <row r="2134">
      <c r="A2134" s="122" t="s">
        <v>4687</v>
      </c>
      <c r="B2134" s="123">
        <v>1829118.0</v>
      </c>
      <c r="C2134" s="124" t="s">
        <v>4688</v>
      </c>
      <c r="D2134" s="125"/>
      <c r="E2134" s="126">
        <v>1.81</v>
      </c>
      <c r="F2134" s="127"/>
      <c r="G2134" s="127"/>
      <c r="H2134" s="127"/>
      <c r="I2134" s="128"/>
      <c r="K2134" s="105" t="str">
        <f>IFERROR(__xludf.DUMMYFUNCTION("if(A2134="""","""",substitute(SUBSTITUTE(index(importhtml(""http://finviz.com/quote.ashx?t=""&amp;A2134,""table"",10),7,2),""*"",""""),""-"",""0.00""))"),"Loading...")</f>
        <v>Loading...</v>
      </c>
      <c r="L2134" s="129">
        <v>1.040012935E9</v>
      </c>
      <c r="M2134" s="99">
        <f>IFERROR(__xludf.DUMMYFUNCTION("GOOGLEFINANCE(A2134,""beta"")"),0.44)</f>
        <v>0.44</v>
      </c>
    </row>
    <row r="2135">
      <c r="A2135" s="122" t="s">
        <v>4689</v>
      </c>
      <c r="B2135" s="123">
        <v>1828365.0</v>
      </c>
      <c r="C2135" s="124" t="s">
        <v>4690</v>
      </c>
      <c r="D2135" s="125"/>
      <c r="E2135" s="126">
        <v>1.81</v>
      </c>
      <c r="F2135" s="127"/>
      <c r="G2135" s="127"/>
      <c r="H2135" s="127"/>
      <c r="I2135" s="128"/>
      <c r="K2135" s="105" t="str">
        <f>IFERROR(__xludf.DUMMYFUNCTION("if(A2135="""","""",substitute(SUBSTITUTE(index(importhtml(""http://finviz.com/quote.ashx?t=""&amp;A2135,""table"",10),7,2),""*"",""""),""-"",""0.00""))"),"Loading...")</f>
        <v>Loading...</v>
      </c>
      <c r="L2135" s="129">
        <v>2.84312981E9</v>
      </c>
      <c r="M2135" s="99">
        <v>0.95</v>
      </c>
    </row>
    <row r="2136">
      <c r="A2136" s="122" t="s">
        <v>4691</v>
      </c>
      <c r="B2136" s="123">
        <v>1411906.0</v>
      </c>
      <c r="C2136" s="124" t="s">
        <v>4692</v>
      </c>
      <c r="D2136" s="125"/>
      <c r="E2136" s="126">
        <v>1.82</v>
      </c>
      <c r="F2136" s="127"/>
      <c r="G2136" s="127"/>
      <c r="H2136" s="127"/>
      <c r="I2136" s="128"/>
      <c r="K2136" s="105" t="str">
        <f>IFERROR(__xludf.DUMMYFUNCTION("if(A2136="""","""",substitute(SUBSTITUTE(index(importhtml(""http://finviz.com/quote.ashx?t=""&amp;A2136,""table"",10),7,2),""*"",""""),""-"",""0.00""))"),"Loading...")</f>
        <v>Loading...</v>
      </c>
      <c r="L2136" s="129">
        <v>1514278.0</v>
      </c>
      <c r="M2136" s="99">
        <v>2.09</v>
      </c>
    </row>
    <row r="2137">
      <c r="A2137" s="122" t="s">
        <v>4693</v>
      </c>
      <c r="B2137" s="123">
        <v>1793862.0</v>
      </c>
      <c r="C2137" s="124" t="s">
        <v>4694</v>
      </c>
      <c r="D2137" s="125"/>
      <c r="E2137" s="126">
        <v>1.82</v>
      </c>
      <c r="F2137" s="127"/>
      <c r="G2137" s="127"/>
      <c r="H2137" s="127"/>
      <c r="I2137" s="128"/>
      <c r="K2137" s="105" t="str">
        <f>IFERROR(__xludf.DUMMYFUNCTION("if(A2137="""","""",substitute(SUBSTITUTE(index(importhtml(""http://finviz.com/quote.ashx?t=""&amp;A2137,""table"",10),7,2),""*"",""""),""-"",""0.00""))"),"Loading...")</f>
        <v>Loading...</v>
      </c>
      <c r="L2137" s="129">
        <v>4.76860215E8</v>
      </c>
      <c r="M2137" s="99">
        <v>1.48</v>
      </c>
    </row>
    <row r="2138">
      <c r="A2138" s="122" t="s">
        <v>4695</v>
      </c>
      <c r="B2138" s="123">
        <v>1713863.0</v>
      </c>
      <c r="C2138" s="124" t="s">
        <v>4696</v>
      </c>
      <c r="D2138" s="125"/>
      <c r="E2138" s="126">
        <v>1.83</v>
      </c>
      <c r="F2138" s="127"/>
      <c r="G2138" s="127"/>
      <c r="H2138" s="127"/>
      <c r="I2138" s="128"/>
      <c r="K2138" s="105" t="str">
        <f>IFERROR(__xludf.DUMMYFUNCTION("if(A2138="""","""",substitute(SUBSTITUTE(index(importhtml(""http://finviz.com/quote.ashx?t=""&amp;A2138,""table"",10),7,2),""*"",""""),""-"",""0.00""))"),"Loading...")</f>
        <v>Loading...</v>
      </c>
      <c r="L2138" s="129">
        <v>4.4847133E7</v>
      </c>
      <c r="M2138" s="99">
        <v>1.33</v>
      </c>
    </row>
    <row r="2139">
      <c r="A2139" s="122" t="s">
        <v>4697</v>
      </c>
      <c r="B2139" s="123">
        <v>1865494.0</v>
      </c>
      <c r="C2139" s="124" t="s">
        <v>4698</v>
      </c>
      <c r="D2139" s="125"/>
      <c r="E2139" s="126">
        <v>1.83</v>
      </c>
      <c r="F2139" s="127"/>
      <c r="G2139" s="127"/>
      <c r="H2139" s="127"/>
      <c r="I2139" s="128"/>
      <c r="K2139" s="105" t="str">
        <f>IFERROR(__xludf.DUMMYFUNCTION("if(A2139="""","""",substitute(SUBSTITUTE(index(importhtml(""http://finviz.com/quote.ashx?t=""&amp;A2139,""table"",10),7,2),""*"",""""),""-"",""0.00""))"),"Loading...")</f>
        <v>Loading...</v>
      </c>
      <c r="L2139" s="129">
        <v>1.20232609E8</v>
      </c>
      <c r="M2139" s="99">
        <f>IFERROR(__xludf.DUMMYFUNCTION("GOOGLEFINANCE(A2139,""beta"")"),0.44)</f>
        <v>0.44</v>
      </c>
    </row>
    <row r="2140">
      <c r="A2140" s="122" t="s">
        <v>4699</v>
      </c>
      <c r="B2140" s="123">
        <v>1573221.0</v>
      </c>
      <c r="C2140" s="124" t="s">
        <v>4700</v>
      </c>
      <c r="D2140" s="125"/>
      <c r="E2140" s="126">
        <v>1.83</v>
      </c>
      <c r="F2140" s="127"/>
      <c r="G2140" s="127"/>
      <c r="H2140" s="127"/>
      <c r="I2140" s="128"/>
      <c r="K2140" s="105" t="str">
        <f>IFERROR(__xludf.DUMMYFUNCTION("if(A2140="""","""",substitute(SUBSTITUTE(index(importhtml(""http://finviz.com/quote.ashx?t=""&amp;A2140,""table"",10),7,2),""*"",""""),""-"",""0.00""))"),"Loading...")</f>
        <v>Loading...</v>
      </c>
      <c r="L2140" s="129">
        <v>1.89135994E8</v>
      </c>
      <c r="M2140" s="99">
        <v>2.89</v>
      </c>
    </row>
    <row r="2141">
      <c r="A2141" s="122" t="s">
        <v>4701</v>
      </c>
      <c r="B2141" s="123">
        <v>1620737.0</v>
      </c>
      <c r="C2141" s="124" t="s">
        <v>4702</v>
      </c>
      <c r="D2141" s="125"/>
      <c r="E2141" s="126">
        <v>1.83</v>
      </c>
      <c r="F2141" s="127"/>
      <c r="G2141" s="127"/>
      <c r="H2141" s="127"/>
      <c r="I2141" s="128"/>
      <c r="K2141" s="105" t="str">
        <f>IFERROR(__xludf.DUMMYFUNCTION("if(A2141="""","""",substitute(SUBSTITUTE(index(importhtml(""http://finviz.com/quote.ashx?t=""&amp;A2141,""table"",10),7,2),""*"",""""),""-"",""0.00""))"),"Loading...")</f>
        <v>Loading...</v>
      </c>
      <c r="L2141" s="129">
        <v>1.98845948E8</v>
      </c>
      <c r="M2141" s="99">
        <v>1.02</v>
      </c>
    </row>
    <row r="2142">
      <c r="A2142" s="122" t="s">
        <v>4703</v>
      </c>
      <c r="B2142" s="123">
        <v>879911.0</v>
      </c>
      <c r="C2142" s="124" t="s">
        <v>4704</v>
      </c>
      <c r="D2142" s="125"/>
      <c r="E2142" s="126">
        <v>1.83</v>
      </c>
      <c r="F2142" s="127"/>
      <c r="G2142" s="127"/>
      <c r="H2142" s="127"/>
      <c r="I2142" s="128"/>
      <c r="K2142" s="105" t="str">
        <f>IFERROR(__xludf.DUMMYFUNCTION("if(A2142="""","""",substitute(SUBSTITUTE(index(importhtml(""http://finviz.com/quote.ashx?t=""&amp;A2142,""table"",10),7,2),""*"",""""),""-"",""0.00""))"),"Loading...")</f>
        <v>Loading...</v>
      </c>
      <c r="L2142" s="129">
        <v>3.85397305E8</v>
      </c>
      <c r="M2142" s="99">
        <v>0.49</v>
      </c>
    </row>
    <row r="2143">
      <c r="A2143" s="122" t="s">
        <v>4705</v>
      </c>
      <c r="B2143" s="123">
        <v>886744.0</v>
      </c>
      <c r="C2143" s="124" t="s">
        <v>4706</v>
      </c>
      <c r="D2143" s="125"/>
      <c r="E2143" s="126">
        <v>1.83</v>
      </c>
      <c r="F2143" s="127"/>
      <c r="G2143" s="127"/>
      <c r="H2143" s="127"/>
      <c r="I2143" s="128"/>
      <c r="K2143" s="105" t="str">
        <f>IFERROR(__xludf.DUMMYFUNCTION("if(A2143="""","""",substitute(SUBSTITUTE(index(importhtml(""http://finviz.com/quote.ashx?t=""&amp;A2143,""table"",10),7,2),""*"",""""),""-"",""0.00""))"),"Loading...")</f>
        <v>Loading...</v>
      </c>
      <c r="L2143" s="129">
        <v>9.93807143E8</v>
      </c>
      <c r="M2143" s="99">
        <v>0.57</v>
      </c>
    </row>
    <row r="2144">
      <c r="A2144" s="122" t="s">
        <v>4707</v>
      </c>
      <c r="B2144" s="123">
        <v>1733294.0</v>
      </c>
      <c r="C2144" s="124" t="s">
        <v>4708</v>
      </c>
      <c r="D2144" s="125"/>
      <c r="E2144" s="126">
        <v>1.84</v>
      </c>
      <c r="F2144" s="127"/>
      <c r="G2144" s="127"/>
      <c r="H2144" s="127"/>
      <c r="I2144" s="128"/>
      <c r="K2144" s="105" t="str">
        <f>IFERROR(__xludf.DUMMYFUNCTION("if(A2144="""","""",substitute(SUBSTITUTE(index(importhtml(""http://finviz.com/quote.ashx?t=""&amp;A2144,""table"",10),7,2),""*"",""""),""-"",""0.00""))"),"Loading...")</f>
        <v>Loading...</v>
      </c>
      <c r="L2144" s="129">
        <v>1.21583485E8</v>
      </c>
      <c r="M2144" s="99">
        <v>2.61</v>
      </c>
    </row>
    <row r="2145">
      <c r="A2145" s="122" t="s">
        <v>4709</v>
      </c>
      <c r="B2145" s="123">
        <v>1723980.0</v>
      </c>
      <c r="C2145" s="124" t="s">
        <v>4710</v>
      </c>
      <c r="D2145" s="125"/>
      <c r="E2145" s="126">
        <v>1.85</v>
      </c>
      <c r="F2145" s="127"/>
      <c r="G2145" s="127"/>
      <c r="H2145" s="127"/>
      <c r="I2145" s="128"/>
      <c r="K2145" s="105" t="str">
        <f>IFERROR(__xludf.DUMMYFUNCTION("if(A2145="""","""",substitute(SUBSTITUTE(index(importhtml(""http://finviz.com/quote.ashx?t=""&amp;A2145,""table"",10),7,2),""*"",""""),""-"",""0.00""))"),"Loading...")</f>
        <v>Loading...</v>
      </c>
      <c r="L2145" s="129">
        <v>1045893.0</v>
      </c>
      <c r="M2145" s="99">
        <v>1.0</v>
      </c>
    </row>
    <row r="2146">
      <c r="A2146" s="122" t="s">
        <v>4711</v>
      </c>
      <c r="B2146" s="123">
        <v>1481241.0</v>
      </c>
      <c r="C2146" s="124" t="s">
        <v>4712</v>
      </c>
      <c r="D2146" s="125"/>
      <c r="E2146" s="126">
        <v>1.85</v>
      </c>
      <c r="F2146" s="127"/>
      <c r="G2146" s="127"/>
      <c r="H2146" s="127"/>
      <c r="I2146" s="128"/>
      <c r="K2146" s="105" t="str">
        <f>IFERROR(__xludf.DUMMYFUNCTION("if(A2146="""","""",substitute(SUBSTITUTE(index(importhtml(""http://finviz.com/quote.ashx?t=""&amp;A2146,""table"",10),7,2),""*"",""""),""-"",""0.00""))"),"Loading...")</f>
        <v>Loading...</v>
      </c>
      <c r="L2146" s="129">
        <v>2.2482217E7</v>
      </c>
      <c r="M2146" s="99">
        <v>0.3</v>
      </c>
    </row>
    <row r="2147">
      <c r="A2147" s="122" t="s">
        <v>4713</v>
      </c>
      <c r="B2147" s="123">
        <v>1429260.0</v>
      </c>
      <c r="C2147" s="124" t="s">
        <v>4714</v>
      </c>
      <c r="D2147" s="125"/>
      <c r="E2147" s="126">
        <v>1.85</v>
      </c>
      <c r="F2147" s="127"/>
      <c r="G2147" s="127"/>
      <c r="H2147" s="127"/>
      <c r="I2147" s="128"/>
      <c r="K2147" s="105" t="str">
        <f>IFERROR(__xludf.DUMMYFUNCTION("if(A2147="""","""",substitute(SUBSTITUTE(index(importhtml(""http://finviz.com/quote.ashx?t=""&amp;A2147,""table"",10),7,2),""*"",""""),""-"",""0.00""))"),"Loading...")</f>
        <v>Loading...</v>
      </c>
      <c r="L2147" s="129">
        <v>3.3996987E7</v>
      </c>
      <c r="M2147" s="99">
        <v>1.52</v>
      </c>
    </row>
    <row r="2148">
      <c r="A2148" s="122" t="s">
        <v>4715</v>
      </c>
      <c r="B2148" s="123">
        <v>1610820.0</v>
      </c>
      <c r="C2148" s="124" t="s">
        <v>4716</v>
      </c>
      <c r="D2148" s="125"/>
      <c r="E2148" s="126">
        <v>1.85</v>
      </c>
      <c r="F2148" s="127"/>
      <c r="G2148" s="127"/>
      <c r="H2148" s="127"/>
      <c r="I2148" s="128"/>
      <c r="K2148" s="105" t="str">
        <f>IFERROR(__xludf.DUMMYFUNCTION("if(A2148="""","""",substitute(SUBSTITUTE(index(importhtml(""http://finviz.com/quote.ashx?t=""&amp;A2148,""table"",10),7,2),""*"",""""),""-"",""0.00""))"),"Loading...")</f>
        <v>Loading...</v>
      </c>
      <c r="L2148" s="129">
        <v>8.3744209E7</v>
      </c>
      <c r="M2148" s="99">
        <f>IFERROR(__xludf.DUMMYFUNCTION("GOOGLEFINANCE(A2148,""beta"")"),1.69)</f>
        <v>1.69</v>
      </c>
    </row>
    <row r="2149">
      <c r="A2149" s="122" t="s">
        <v>4717</v>
      </c>
      <c r="B2149" s="123">
        <v>1907909.0</v>
      </c>
      <c r="C2149" s="124" t="s">
        <v>4718</v>
      </c>
      <c r="D2149" s="125"/>
      <c r="E2149" s="126">
        <v>1.85</v>
      </c>
      <c r="F2149" s="127"/>
      <c r="G2149" s="127"/>
      <c r="H2149" s="127"/>
      <c r="I2149" s="128"/>
      <c r="K2149" s="105" t="str">
        <f>IFERROR(__xludf.DUMMYFUNCTION("if(A2149="""","""",substitute(SUBSTITUTE(index(importhtml(""http://finviz.com/quote.ashx?t=""&amp;A2149,""table"",10),7,2),""*"",""""),""-"",""0.00""))"),"#REF!")</f>
        <v>#REF!</v>
      </c>
      <c r="L2149" s="129">
        <v>1.25962425E8</v>
      </c>
      <c r="M2149" s="99">
        <v>0.59</v>
      </c>
    </row>
    <row r="2150">
      <c r="A2150" s="122" t="s">
        <v>4719</v>
      </c>
      <c r="B2150" s="123">
        <v>1479615.0</v>
      </c>
      <c r="C2150" s="124" t="s">
        <v>4720</v>
      </c>
      <c r="D2150" s="125"/>
      <c r="E2150" s="126">
        <v>1.85</v>
      </c>
      <c r="F2150" s="127"/>
      <c r="G2150" s="127"/>
      <c r="H2150" s="127"/>
      <c r="I2150" s="128"/>
      <c r="K2150" s="105" t="str">
        <f>IFERROR(__xludf.DUMMYFUNCTION("if(A2150="""","""",substitute(SUBSTITUTE(index(importhtml(""http://finviz.com/quote.ashx?t=""&amp;A2150,""table"",10),7,2),""*"",""""),""-"",""0.00""))"),"Loading...")</f>
        <v>Loading...</v>
      </c>
      <c r="L2150" s="129">
        <v>8.341104E8</v>
      </c>
      <c r="M2150" s="99">
        <v>1.31</v>
      </c>
    </row>
    <row r="2151">
      <c r="A2151" s="122" t="s">
        <v>4721</v>
      </c>
      <c r="B2151" s="123">
        <v>312069.0</v>
      </c>
      <c r="C2151" s="124" t="s">
        <v>4722</v>
      </c>
      <c r="D2151" s="125"/>
      <c r="E2151" s="126">
        <v>1.85</v>
      </c>
      <c r="F2151" s="127"/>
      <c r="G2151" s="127"/>
      <c r="H2151" s="127"/>
      <c r="I2151" s="128"/>
      <c r="K2151" s="105" t="str">
        <f>IFERROR(__xludf.DUMMYFUNCTION("if(A2151="""","""",substitute(SUBSTITUTE(index(importhtml(""http://finviz.com/quote.ashx?t=""&amp;A2151,""table"",10),7,2),""*"",""""),""-"",""0.00""))"),"Loading...")</f>
        <v>Loading...</v>
      </c>
      <c r="L2151" s="129">
        <v>2.8384401496E10</v>
      </c>
      <c r="M2151" s="99">
        <v>1.64</v>
      </c>
    </row>
    <row r="2152">
      <c r="A2152" s="122" t="s">
        <v>4723</v>
      </c>
      <c r="B2152" s="123">
        <v>1827075.0</v>
      </c>
      <c r="C2152" s="124" t="s">
        <v>4724</v>
      </c>
      <c r="D2152" s="125"/>
      <c r="E2152" s="126">
        <v>1.87</v>
      </c>
      <c r="F2152" s="127"/>
      <c r="G2152" s="127"/>
      <c r="H2152" s="127"/>
      <c r="I2152" s="128"/>
      <c r="K2152" s="105" t="str">
        <f>IFERROR(__xludf.DUMMYFUNCTION("if(A2152="""","""",substitute(SUBSTITUTE(index(importhtml(""http://finviz.com/quote.ashx?t=""&amp;A2152,""table"",10),7,2),""*"",""""),""-"",""0.00""))"),"Loading...")</f>
        <v>Loading...</v>
      </c>
      <c r="L2152" s="129">
        <v>1.550515E8</v>
      </c>
      <c r="M2152" s="99" t="str">
        <f>IFERROR(__xludf.DUMMYFUNCTION("GOOGLEFINANCE(A2152,""beta"")"),"#N/A")</f>
        <v>#N/A</v>
      </c>
    </row>
    <row r="2153">
      <c r="A2153" s="122" t="s">
        <v>4725</v>
      </c>
      <c r="B2153" s="123">
        <v>1069394.0</v>
      </c>
      <c r="C2153" s="124" t="s">
        <v>4726</v>
      </c>
      <c r="D2153" s="125"/>
      <c r="E2153" s="126">
        <v>1.88</v>
      </c>
      <c r="F2153" s="127"/>
      <c r="G2153" s="127"/>
      <c r="H2153" s="127"/>
      <c r="I2153" s="128"/>
      <c r="K2153" s="55" t="s">
        <v>1034</v>
      </c>
      <c r="L2153" s="129">
        <v>2.3378777E7</v>
      </c>
      <c r="M2153" s="99">
        <v>1.62</v>
      </c>
    </row>
    <row r="2154">
      <c r="A2154" s="122" t="s">
        <v>4727</v>
      </c>
      <c r="B2154" s="123">
        <v>1831096.0</v>
      </c>
      <c r="C2154" s="124" t="s">
        <v>4728</v>
      </c>
      <c r="D2154" s="125"/>
      <c r="E2154" s="126">
        <v>1.88</v>
      </c>
      <c r="F2154" s="127"/>
      <c r="G2154" s="127"/>
      <c r="H2154" s="127"/>
      <c r="I2154" s="128"/>
      <c r="K2154" s="55" t="s">
        <v>1034</v>
      </c>
      <c r="L2154" s="129">
        <v>5.8608247E7</v>
      </c>
      <c r="M2154" s="99">
        <v>1.15</v>
      </c>
    </row>
    <row r="2155">
      <c r="A2155" s="122" t="s">
        <v>4729</v>
      </c>
      <c r="B2155" s="123">
        <v>1706524.0</v>
      </c>
      <c r="C2155" s="124" t="s">
        <v>4730</v>
      </c>
      <c r="D2155" s="125"/>
      <c r="E2155" s="126">
        <v>1.88</v>
      </c>
      <c r="F2155" s="127"/>
      <c r="G2155" s="127"/>
      <c r="H2155" s="127"/>
      <c r="I2155" s="128"/>
      <c r="K2155" s="105" t="str">
        <f>IFERROR(__xludf.DUMMYFUNCTION("if(A2155="""","""",substitute(SUBSTITUTE(index(importhtml(""http://finviz.com/quote.ashx?t=""&amp;A2155,""table"",10),7,2),""*"",""""),""-"",""0.00""))"),"Loading...")</f>
        <v>Loading...</v>
      </c>
      <c r="L2155" s="129">
        <v>2.193834E7</v>
      </c>
      <c r="M2155" s="99">
        <v>5.92</v>
      </c>
    </row>
    <row r="2156">
      <c r="A2156" s="122" t="s">
        <v>4731</v>
      </c>
      <c r="B2156" s="123">
        <v>1781397.0</v>
      </c>
      <c r="C2156" s="124" t="s">
        <v>4732</v>
      </c>
      <c r="D2156" s="125"/>
      <c r="E2156" s="126">
        <v>1.88</v>
      </c>
      <c r="F2156" s="127"/>
      <c r="G2156" s="127"/>
      <c r="H2156" s="127"/>
      <c r="I2156" s="128"/>
      <c r="K2156" s="105" t="str">
        <f>IFERROR(__xludf.DUMMYFUNCTION("if(A2156="""","""",substitute(SUBSTITUTE(index(importhtml(""http://finviz.com/quote.ashx?t=""&amp;A2156,""table"",10),7,2),""*"",""""),""-"",""0.00""))"),"Loading...")</f>
        <v>Loading...</v>
      </c>
      <c r="L2156" s="129">
        <v>2.385327E7</v>
      </c>
      <c r="M2156" s="99">
        <f>IFERROR(__xludf.DUMMYFUNCTION("GOOGLEFINANCE(A2156,""beta"")"),1.1)</f>
        <v>1.1</v>
      </c>
    </row>
    <row r="2157">
      <c r="A2157" s="122" t="s">
        <v>4733</v>
      </c>
      <c r="B2157" s="123">
        <v>1715925.0</v>
      </c>
      <c r="C2157" s="124" t="s">
        <v>4734</v>
      </c>
      <c r="D2157" s="125"/>
      <c r="E2157" s="126">
        <v>1.88</v>
      </c>
      <c r="F2157" s="127"/>
      <c r="G2157" s="127"/>
      <c r="H2157" s="127"/>
      <c r="I2157" s="128"/>
      <c r="K2157" s="105" t="str">
        <f>IFERROR(__xludf.DUMMYFUNCTION("if(A2157="""","""",substitute(SUBSTITUTE(index(importhtml(""http://finviz.com/quote.ashx?t=""&amp;A2157,""table"",10),7,2),""*"",""""),""-"",""0.00""))"),"Loading...")</f>
        <v>Loading...</v>
      </c>
      <c r="L2157" s="129">
        <v>4.9657492E7</v>
      </c>
      <c r="M2157" s="99">
        <v>0.38</v>
      </c>
    </row>
    <row r="2158">
      <c r="A2158" s="122" t="s">
        <v>4735</v>
      </c>
      <c r="B2158" s="123">
        <v>922247.0</v>
      </c>
      <c r="C2158" s="124" t="s">
        <v>4736</v>
      </c>
      <c r="D2158" s="125"/>
      <c r="E2158" s="126">
        <v>1.88</v>
      </c>
      <c r="F2158" s="127"/>
      <c r="G2158" s="127"/>
      <c r="H2158" s="127"/>
      <c r="I2158" s="128"/>
      <c r="K2158" s="105" t="str">
        <f>IFERROR(__xludf.DUMMYFUNCTION("if(A2158="""","""",substitute(SUBSTITUTE(index(importhtml(""http://finviz.com/quote.ashx?t=""&amp;A2158,""table"",10),7,2),""*"",""""),""-"",""0.00""))"),"Loading...")</f>
        <v>Loading...</v>
      </c>
      <c r="L2158" s="129">
        <v>5.3751192E7</v>
      </c>
      <c r="M2158" s="99">
        <v>-0.12</v>
      </c>
    </row>
    <row r="2159">
      <c r="A2159" s="122" t="s">
        <v>4737</v>
      </c>
      <c r="B2159" s="123">
        <v>1365767.0</v>
      </c>
      <c r="C2159" s="124" t="s">
        <v>4738</v>
      </c>
      <c r="D2159" s="125"/>
      <c r="E2159" s="126">
        <v>1.88</v>
      </c>
      <c r="F2159" s="127"/>
      <c r="G2159" s="127"/>
      <c r="H2159" s="127"/>
      <c r="I2159" s="128"/>
      <c r="K2159" s="105" t="str">
        <f>IFERROR(__xludf.DUMMYFUNCTION("if(A2159="""","""",substitute(SUBSTITUTE(index(importhtml(""http://finviz.com/quote.ashx?t=""&amp;A2159,""table"",10),7,2),""*"",""""),""-"",""0.00""))"),"Loading...")</f>
        <v>Loading...</v>
      </c>
      <c r="L2159" s="129">
        <v>7.0359751E7</v>
      </c>
      <c r="M2159" s="99">
        <v>0.98</v>
      </c>
    </row>
    <row r="2160">
      <c r="A2160" s="122" t="s">
        <v>4739</v>
      </c>
      <c r="B2160" s="123">
        <v>16859.0</v>
      </c>
      <c r="C2160" s="124" t="s">
        <v>4740</v>
      </c>
      <c r="D2160" s="125"/>
      <c r="E2160" s="126">
        <v>1.88</v>
      </c>
      <c r="F2160" s="127"/>
      <c r="G2160" s="127"/>
      <c r="H2160" s="127"/>
      <c r="I2160" s="128"/>
      <c r="K2160" s="105" t="str">
        <f>IFERROR(__xludf.DUMMYFUNCTION("if(A2160="""","""",substitute(SUBSTITUTE(index(importhtml(""http://finviz.com/quote.ashx?t=""&amp;A2160,""table"",10),7,2),""*"",""""),""-"",""0.00""))"),"Loading...")</f>
        <v>Loading...</v>
      </c>
      <c r="L2160" s="129">
        <v>7.9985473E7</v>
      </c>
      <c r="M2160" s="99" t="str">
        <f>IFERROR(__xludf.DUMMYFUNCTION("GOOGLEFINANCE(A2160,""beta"")"),"#N/A")</f>
        <v>#N/A</v>
      </c>
    </row>
    <row r="2161">
      <c r="A2161" s="122" t="s">
        <v>4741</v>
      </c>
      <c r="B2161" s="123">
        <v>1463172.0</v>
      </c>
      <c r="C2161" s="124" t="s">
        <v>4258</v>
      </c>
      <c r="D2161" s="125"/>
      <c r="E2161" s="126">
        <v>1.88</v>
      </c>
      <c r="F2161" s="127"/>
      <c r="G2161" s="127"/>
      <c r="H2161" s="127"/>
      <c r="I2161" s="128"/>
      <c r="K2161" s="105" t="str">
        <f>IFERROR(__xludf.DUMMYFUNCTION("if(A2161="""","""",substitute(SUBSTITUTE(index(importhtml(""http://finviz.com/quote.ashx?t=""&amp;A2161,""table"",10),7,2),""*"",""""),""-"",""0.00""))"),"Loading...")</f>
        <v>Loading...</v>
      </c>
      <c r="L2161" s="129">
        <v>1.89615859E8</v>
      </c>
      <c r="M2161" s="99">
        <v>0.49</v>
      </c>
    </row>
    <row r="2162">
      <c r="A2162" s="122" t="s">
        <v>4742</v>
      </c>
      <c r="B2162" s="123">
        <v>1731348.0</v>
      </c>
      <c r="C2162" s="124" t="s">
        <v>4743</v>
      </c>
      <c r="D2162" s="125"/>
      <c r="E2162" s="126">
        <v>1.88</v>
      </c>
      <c r="F2162" s="127"/>
      <c r="G2162" s="127"/>
      <c r="H2162" s="127"/>
      <c r="I2162" s="128"/>
      <c r="K2162" s="105" t="str">
        <f>IFERROR(__xludf.DUMMYFUNCTION("if(A2162="""","""",substitute(SUBSTITUTE(index(importhtml(""http://finviz.com/quote.ashx?t=""&amp;A2162,""table"",10),7,2),""*"",""""),""-"",""0.00""))"),"Loading...")</f>
        <v>Loading...</v>
      </c>
      <c r="L2162" s="129">
        <v>6.41472378E8</v>
      </c>
      <c r="M2162" s="99">
        <v>2.33</v>
      </c>
    </row>
    <row r="2163">
      <c r="A2163" s="122" t="s">
        <v>4744</v>
      </c>
      <c r="B2163" s="123">
        <v>31667.0</v>
      </c>
      <c r="C2163" s="124" t="s">
        <v>4745</v>
      </c>
      <c r="D2163" s="125"/>
      <c r="E2163" s="126">
        <v>1.89</v>
      </c>
      <c r="F2163" s="127"/>
      <c r="G2163" s="127"/>
      <c r="H2163" s="127"/>
      <c r="I2163" s="128"/>
      <c r="K2163" s="105" t="str">
        <f>IFERROR(__xludf.DUMMYFUNCTION("if(A2163="""","""",substitute(SUBSTITUTE(index(importhtml(""http://finviz.com/quote.ashx?t=""&amp;A2163,""table"",10),7,2),""*"",""""),""-"",""0.00""))"),"Loading...")</f>
        <v>Loading...</v>
      </c>
      <c r="L2163" s="129">
        <v>1.6185644E7</v>
      </c>
      <c r="M2163" s="99">
        <v>1.15</v>
      </c>
    </row>
    <row r="2164">
      <c r="A2164" s="122" t="s">
        <v>4746</v>
      </c>
      <c r="B2164" s="123">
        <v>1814329.0</v>
      </c>
      <c r="C2164" s="124" t="s">
        <v>4747</v>
      </c>
      <c r="D2164" s="125"/>
      <c r="E2164" s="126">
        <v>1.89</v>
      </c>
      <c r="F2164" s="127"/>
      <c r="G2164" s="127"/>
      <c r="H2164" s="127"/>
      <c r="I2164" s="128"/>
      <c r="K2164" s="105" t="str">
        <f>IFERROR(__xludf.DUMMYFUNCTION("if(A2164="""","""",substitute(SUBSTITUTE(index(importhtml(""http://finviz.com/quote.ashx?t=""&amp;A2164,""table"",10),7,2),""*"",""""),""-"",""0.00""))"),"Loading...")</f>
        <v>Loading...</v>
      </c>
      <c r="L2164" s="129">
        <v>4.2512487E7</v>
      </c>
      <c r="M2164" s="99">
        <v>3.13</v>
      </c>
    </row>
    <row r="2165">
      <c r="A2165" s="122" t="s">
        <v>4748</v>
      </c>
      <c r="B2165" s="123">
        <v>1449488.0</v>
      </c>
      <c r="C2165" s="124" t="s">
        <v>4749</v>
      </c>
      <c r="D2165" s="125"/>
      <c r="E2165" s="126">
        <v>1.89</v>
      </c>
      <c r="F2165" s="127"/>
      <c r="G2165" s="127"/>
      <c r="H2165" s="127"/>
      <c r="I2165" s="128"/>
      <c r="K2165" s="105" t="str">
        <f>IFERROR(__xludf.DUMMYFUNCTION("if(A2165="""","""",substitute(SUBSTITUTE(index(importhtml(""http://finviz.com/quote.ashx?t=""&amp;A2165,""table"",10),7,2),""*"",""""),""-"",""0.00""))"),"Loading...")</f>
        <v>Loading...</v>
      </c>
      <c r="L2165" s="129">
        <v>2.68370547E8</v>
      </c>
      <c r="M2165" s="99">
        <v>0.74</v>
      </c>
    </row>
    <row r="2166">
      <c r="A2166" s="122" t="s">
        <v>4750</v>
      </c>
      <c r="B2166" s="123">
        <v>1805594.0</v>
      </c>
      <c r="C2166" s="124" t="s">
        <v>4751</v>
      </c>
      <c r="D2166" s="125"/>
      <c r="E2166" s="126">
        <v>1.9</v>
      </c>
      <c r="F2166" s="127"/>
      <c r="G2166" s="127"/>
      <c r="H2166" s="127"/>
      <c r="I2166" s="128"/>
      <c r="K2166" s="105" t="str">
        <f>IFERROR(__xludf.DUMMYFUNCTION("if(A2166="""","""",substitute(SUBSTITUTE(index(importhtml(""http://finviz.com/quote.ashx?t=""&amp;A2166,""table"",10),7,2),""*"",""""),""-"",""0.00""))"),"Loading...")</f>
        <v>Loading...</v>
      </c>
      <c r="L2166" s="129">
        <v>4058170.0</v>
      </c>
      <c r="M2166" s="99">
        <f>IFERROR(__xludf.DUMMYFUNCTION("GOOGLEFINANCE(A2166,""beta"")"),0.9)</f>
        <v>0.9</v>
      </c>
    </row>
    <row r="2167">
      <c r="A2167" s="122" t="s">
        <v>4752</v>
      </c>
      <c r="B2167" s="123">
        <v>1566044.0</v>
      </c>
      <c r="C2167" s="124" t="s">
        <v>4753</v>
      </c>
      <c r="D2167" s="125"/>
      <c r="E2167" s="126">
        <v>1.9</v>
      </c>
      <c r="F2167" s="127"/>
      <c r="G2167" s="127"/>
      <c r="H2167" s="127"/>
      <c r="I2167" s="128"/>
      <c r="K2167" s="105" t="str">
        <f>IFERROR(__xludf.DUMMYFUNCTION("if(A2167="""","""",substitute(SUBSTITUTE(index(importhtml(""http://finviz.com/quote.ashx?t=""&amp;A2167,""table"",10),7,2),""*"",""""),""-"",""0.00""))"),"Loading...")</f>
        <v>Loading...</v>
      </c>
      <c r="L2167" s="129">
        <v>2.6518907E7</v>
      </c>
      <c r="M2167" s="99">
        <v>1.12</v>
      </c>
    </row>
    <row r="2168">
      <c r="A2168" s="122" t="s">
        <v>4754</v>
      </c>
      <c r="B2168" s="123">
        <v>1505065.0</v>
      </c>
      <c r="C2168" s="124" t="s">
        <v>4755</v>
      </c>
      <c r="D2168" s="125"/>
      <c r="E2168" s="126">
        <v>1.9</v>
      </c>
      <c r="F2168" s="127"/>
      <c r="G2168" s="127"/>
      <c r="H2168" s="127"/>
      <c r="I2168" s="128"/>
      <c r="K2168" s="105" t="str">
        <f>IFERROR(__xludf.DUMMYFUNCTION("if(A2168="""","""",substitute(SUBSTITUTE(index(importhtml(""http://finviz.com/quote.ashx?t=""&amp;A2168,""table"",10),7,2),""*"",""""),""-"",""0.00""))"),"Loading...")</f>
        <v>Loading...</v>
      </c>
      <c r="L2168" s="129">
        <v>3.795704E8</v>
      </c>
      <c r="M2168" s="99">
        <f>IFERROR(__xludf.DUMMYFUNCTION("GOOGLEFINANCE(A2168,""beta"")"),-85.2)</f>
        <v>-85.2</v>
      </c>
    </row>
    <row r="2169">
      <c r="A2169" s="122" t="s">
        <v>4756</v>
      </c>
      <c r="B2169" s="123">
        <v>1534293.0</v>
      </c>
      <c r="C2169" s="124" t="s">
        <v>4757</v>
      </c>
      <c r="D2169" s="125"/>
      <c r="E2169" s="126">
        <v>1.9</v>
      </c>
      <c r="F2169" s="140"/>
      <c r="G2169" s="136"/>
      <c r="H2169" s="127"/>
      <c r="I2169" s="128"/>
      <c r="K2169" s="105" t="str">
        <f>IFERROR(__xludf.DUMMYFUNCTION("if(A2169="""","""",substitute(SUBSTITUTE(index(importhtml(""http://finviz.com/quote.ashx?t=""&amp;A2169,""table"",10),7,2),""*"",""""),""-"",""0.00""))"),"Loading...")</f>
        <v>Loading...</v>
      </c>
      <c r="L2169" s="129">
        <v>5.5110060252E11</v>
      </c>
      <c r="M2169" s="99" t="str">
        <f>IFERROR(__xludf.DUMMYFUNCTION("GOOGLEFINANCE(A2169,""beta"")"),"#N/A")</f>
        <v>#N/A</v>
      </c>
    </row>
    <row r="2170">
      <c r="A2170" s="122" t="s">
        <v>4758</v>
      </c>
      <c r="B2170" s="123">
        <v>1517130.0</v>
      </c>
      <c r="C2170" s="124" t="s">
        <v>4759</v>
      </c>
      <c r="D2170" s="125"/>
      <c r="E2170" s="126">
        <v>1.91</v>
      </c>
      <c r="F2170" s="127"/>
      <c r="G2170" s="127"/>
      <c r="H2170" s="127"/>
      <c r="I2170" s="128"/>
      <c r="K2170" s="105" t="str">
        <f>IFERROR(__xludf.DUMMYFUNCTION("if(A2170="""","""",substitute(SUBSTITUTE(index(importhtml(""http://finviz.com/quote.ashx?t=""&amp;A2170,""table"",10),7,2),""*"",""""),""-"",""0.00""))"),"Loading...")</f>
        <v>Loading...</v>
      </c>
      <c r="L2170" s="129">
        <v>1.5168163E7</v>
      </c>
      <c r="M2170" s="99">
        <v>0.88</v>
      </c>
    </row>
    <row r="2171">
      <c r="A2171" s="122" t="s">
        <v>4760</v>
      </c>
      <c r="B2171" s="123">
        <v>1801834.0</v>
      </c>
      <c r="C2171" s="124" t="s">
        <v>4761</v>
      </c>
      <c r="D2171" s="125"/>
      <c r="E2171" s="126">
        <v>1.92</v>
      </c>
      <c r="F2171" s="127"/>
      <c r="G2171" s="127"/>
      <c r="H2171" s="127"/>
      <c r="I2171" s="128"/>
      <c r="K2171" s="105" t="str">
        <f>IFERROR(__xludf.DUMMYFUNCTION("if(A2171="""","""",substitute(SUBSTITUTE(index(importhtml(""http://finviz.com/quote.ashx?t=""&amp;A2171,""table"",10),7,2),""*"",""""),""-"",""0.00""))"),"Loading...")</f>
        <v>Loading...</v>
      </c>
      <c r="L2171" s="129">
        <v>3888633.0</v>
      </c>
      <c r="M2171" s="99">
        <v>0.48</v>
      </c>
    </row>
    <row r="2172">
      <c r="A2172" s="122" t="s">
        <v>4762</v>
      </c>
      <c r="B2172" s="123">
        <v>1775085.0</v>
      </c>
      <c r="C2172" s="124" t="s">
        <v>4763</v>
      </c>
      <c r="D2172" s="125"/>
      <c r="E2172" s="126">
        <v>1.92</v>
      </c>
      <c r="F2172" s="127"/>
      <c r="G2172" s="127"/>
      <c r="H2172" s="127"/>
      <c r="I2172" s="128"/>
      <c r="K2172" s="105" t="str">
        <f>IFERROR(__xludf.DUMMYFUNCTION("if(A2172="""","""",substitute(SUBSTITUTE(index(importhtml(""http://finviz.com/quote.ashx?t=""&amp;A2172,""table"",10),7,2),""*"",""""),""-"",""0.00""))"),"Loading...")</f>
        <v>Loading...</v>
      </c>
      <c r="L2172" s="129">
        <v>6348587.0</v>
      </c>
      <c r="M2172" s="99">
        <v>2.05</v>
      </c>
    </row>
    <row r="2173">
      <c r="A2173" s="122" t="s">
        <v>4764</v>
      </c>
      <c r="B2173" s="123">
        <v>1651407.0</v>
      </c>
      <c r="C2173" s="124" t="s">
        <v>4765</v>
      </c>
      <c r="D2173" s="125"/>
      <c r="E2173" s="126">
        <v>1.92</v>
      </c>
      <c r="F2173" s="127"/>
      <c r="G2173" s="127"/>
      <c r="H2173" s="127"/>
      <c r="I2173" s="128"/>
      <c r="K2173" s="105" t="str">
        <f>IFERROR(__xludf.DUMMYFUNCTION("if(A2173="""","""",substitute(SUBSTITUTE(index(importhtml(""http://finviz.com/quote.ashx?t=""&amp;A2173,""table"",10),7,2),""*"",""""),""-"",""0.00""))"),"Loading...")</f>
        <v>Loading...</v>
      </c>
      <c r="L2173" s="129">
        <v>4.6804875E7</v>
      </c>
      <c r="M2173" s="99">
        <v>0.96</v>
      </c>
    </row>
    <row r="2174">
      <c r="A2174" s="122" t="s">
        <v>4766</v>
      </c>
      <c r="B2174" s="123">
        <v>1779372.0</v>
      </c>
      <c r="C2174" s="124" t="s">
        <v>4767</v>
      </c>
      <c r="D2174" s="125"/>
      <c r="E2174" s="126">
        <v>1.92</v>
      </c>
      <c r="F2174" s="127"/>
      <c r="G2174" s="127"/>
      <c r="H2174" s="127"/>
      <c r="I2174" s="128"/>
      <c r="K2174" s="105" t="str">
        <f>IFERROR(__xludf.DUMMYFUNCTION("if(A2174="""","""",substitute(SUBSTITUTE(index(importhtml(""http://finviz.com/quote.ashx?t=""&amp;A2174,""table"",10),7,2),""*"",""""),""-"",""0.00""))"),"Loading...")</f>
        <v>Loading...</v>
      </c>
      <c r="L2174" s="129">
        <v>5.0551736E7</v>
      </c>
      <c r="M2174" s="99">
        <f>IFERROR(__xludf.DUMMYFUNCTION("GOOGLEFINANCE(A2174,""beta"")"),-0.62)</f>
        <v>-0.62</v>
      </c>
    </row>
    <row r="2175">
      <c r="A2175" s="122" t="s">
        <v>4768</v>
      </c>
      <c r="B2175" s="123">
        <v>1827821.0</v>
      </c>
      <c r="C2175" s="124" t="s">
        <v>4769</v>
      </c>
      <c r="D2175" s="125"/>
      <c r="E2175" s="126">
        <v>1.92</v>
      </c>
      <c r="F2175" s="127"/>
      <c r="G2175" s="127"/>
      <c r="H2175" s="127"/>
      <c r="I2175" s="128"/>
      <c r="K2175" s="105" t="str">
        <f>IFERROR(__xludf.DUMMYFUNCTION("if(A2175="""","""",substitute(SUBSTITUTE(index(importhtml(""http://finviz.com/quote.ashx?t=""&amp;A2175,""table"",10),7,2),""*"",""""),""-"",""0.00""))"),"Loading...")</f>
        <v>Loading...</v>
      </c>
      <c r="L2175" s="129">
        <v>3.36523384E8</v>
      </c>
      <c r="M2175" s="99">
        <f>IFERROR(__xludf.DUMMYFUNCTION("GOOGLEFINANCE(A2175,""beta"")"),2.27)</f>
        <v>2.27</v>
      </c>
    </row>
    <row r="2176">
      <c r="A2176" s="122" t="s">
        <v>4770</v>
      </c>
      <c r="B2176" s="123">
        <v>1743340.0</v>
      </c>
      <c r="C2176" s="124" t="s">
        <v>4771</v>
      </c>
      <c r="D2176" s="125"/>
      <c r="E2176" s="126">
        <v>1.93</v>
      </c>
      <c r="F2176" s="127"/>
      <c r="G2176" s="127"/>
      <c r="H2176" s="127"/>
      <c r="I2176" s="128"/>
      <c r="K2176" s="55" t="s">
        <v>1034</v>
      </c>
      <c r="L2176" s="129">
        <v>3315865.0</v>
      </c>
      <c r="M2176" s="99">
        <v>0.15</v>
      </c>
    </row>
    <row r="2177">
      <c r="A2177" s="122" t="s">
        <v>4772</v>
      </c>
      <c r="B2177" s="123">
        <v>1784851.0</v>
      </c>
      <c r="C2177" s="124" t="s">
        <v>4773</v>
      </c>
      <c r="D2177" s="125"/>
      <c r="E2177" s="126">
        <v>1.94</v>
      </c>
      <c r="F2177" s="127"/>
      <c r="G2177" s="127"/>
      <c r="H2177" s="127"/>
      <c r="I2177" s="128"/>
      <c r="K2177" s="105" t="str">
        <f>IFERROR(__xludf.DUMMYFUNCTION("if(A2177="""","""",substitute(SUBSTITUTE(index(importhtml(""http://finviz.com/quote.ashx?t=""&amp;A2177,""table"",10),7,2),""*"",""""),""-"",""0.00""))"),"Loading...")</f>
        <v>Loading...</v>
      </c>
      <c r="L2177" s="129">
        <v>1.2702868E7</v>
      </c>
      <c r="M2177" s="99">
        <v>0.9</v>
      </c>
    </row>
    <row r="2178">
      <c r="A2178" s="122" t="s">
        <v>4774</v>
      </c>
      <c r="B2178" s="123">
        <v>1568628.0</v>
      </c>
      <c r="C2178" s="124" t="s">
        <v>4775</v>
      </c>
      <c r="D2178" s="125"/>
      <c r="E2178" s="126">
        <v>1.94</v>
      </c>
      <c r="F2178" s="127"/>
      <c r="G2178" s="127"/>
      <c r="H2178" s="127"/>
      <c r="I2178" s="128"/>
      <c r="K2178" s="105" t="str">
        <f>IFERROR(__xludf.DUMMYFUNCTION("if(A2178="""","""",substitute(SUBSTITUTE(index(importhtml(""http://finviz.com/quote.ashx?t=""&amp;A2178,""table"",10),7,2),""*"",""""),""-"",""0.00""))"),"Loading...")</f>
        <v>Loading...</v>
      </c>
      <c r="L2178" s="129">
        <v>2.228152E7</v>
      </c>
      <c r="M2178" s="99">
        <v>-84.58</v>
      </c>
    </row>
    <row r="2179">
      <c r="A2179" s="122" t="s">
        <v>4776</v>
      </c>
      <c r="B2179" s="123">
        <v>1821468.0</v>
      </c>
      <c r="C2179" s="124" t="s">
        <v>4777</v>
      </c>
      <c r="D2179" s="125"/>
      <c r="E2179" s="126">
        <v>1.95</v>
      </c>
      <c r="F2179" s="127"/>
      <c r="G2179" s="127"/>
      <c r="H2179" s="127"/>
      <c r="I2179" s="128"/>
      <c r="K2179" s="55" t="s">
        <v>1034</v>
      </c>
      <c r="L2179" s="129">
        <v>1.8945638E7</v>
      </c>
      <c r="M2179" s="99">
        <v>-0.52</v>
      </c>
    </row>
    <row r="2180">
      <c r="A2180" s="122" t="s">
        <v>4778</v>
      </c>
      <c r="B2180" s="123">
        <v>1591956.0</v>
      </c>
      <c r="C2180" s="124" t="s">
        <v>4779</v>
      </c>
      <c r="D2180" s="125"/>
      <c r="E2180" s="126">
        <v>1.95</v>
      </c>
      <c r="F2180" s="127"/>
      <c r="G2180" s="127"/>
      <c r="H2180" s="127"/>
      <c r="I2180" s="128"/>
      <c r="K2180" s="55" t="s">
        <v>1034</v>
      </c>
      <c r="L2180" s="129">
        <v>2.7992894E7</v>
      </c>
      <c r="M2180" s="99">
        <v>2.86</v>
      </c>
    </row>
    <row r="2181">
      <c r="A2181" s="122" t="s">
        <v>4780</v>
      </c>
      <c r="B2181" s="123">
        <v>1589150.0</v>
      </c>
      <c r="C2181" s="124" t="s">
        <v>4781</v>
      </c>
      <c r="D2181" s="125"/>
      <c r="E2181" s="126">
        <v>1.95</v>
      </c>
      <c r="F2181" s="127"/>
      <c r="G2181" s="127"/>
      <c r="H2181" s="127"/>
      <c r="I2181" s="128"/>
      <c r="K2181" s="105" t="str">
        <f>IFERROR(__xludf.DUMMYFUNCTION("if(A2181="""","""",substitute(SUBSTITUTE(index(importhtml(""http://finviz.com/quote.ashx?t=""&amp;A2181,""table"",10),7,2),""*"",""""),""-"",""0.00""))"),"Loading...")</f>
        <v>Loading...</v>
      </c>
      <c r="L2181" s="129">
        <v>3750760.0</v>
      </c>
      <c r="M2181" s="99">
        <v>2.79</v>
      </c>
    </row>
    <row r="2182">
      <c r="A2182" s="122" t="s">
        <v>4782</v>
      </c>
      <c r="B2182" s="123">
        <v>1673481.0</v>
      </c>
      <c r="C2182" s="124" t="s">
        <v>4783</v>
      </c>
      <c r="D2182" s="125"/>
      <c r="E2182" s="126">
        <v>1.95</v>
      </c>
      <c r="F2182" s="127"/>
      <c r="G2182" s="127"/>
      <c r="H2182" s="127"/>
      <c r="I2182" s="128"/>
      <c r="K2182" s="105" t="str">
        <f>IFERROR(__xludf.DUMMYFUNCTION("if(A2182="""","""",substitute(SUBSTITUTE(index(importhtml(""http://finviz.com/quote.ashx?t=""&amp;A2182,""table"",10),7,2),""*"",""""),""-"",""0.00""))"),"Loading...")</f>
        <v>Loading...</v>
      </c>
      <c r="L2182" s="129">
        <v>5602106.0</v>
      </c>
      <c r="M2182" s="99">
        <v>1.2</v>
      </c>
    </row>
    <row r="2183">
      <c r="A2183" s="122" t="s">
        <v>4784</v>
      </c>
      <c r="B2183" s="123">
        <v>1020214.0</v>
      </c>
      <c r="C2183" s="124" t="s">
        <v>4785</v>
      </c>
      <c r="D2183" s="125"/>
      <c r="E2183" s="126">
        <v>1.95</v>
      </c>
      <c r="F2183" s="127"/>
      <c r="G2183" s="127"/>
      <c r="H2183" s="127"/>
      <c r="I2183" s="128"/>
      <c r="K2183" s="105" t="str">
        <f>IFERROR(__xludf.DUMMYFUNCTION("if(A2183="""","""",substitute(SUBSTITUTE(index(importhtml(""http://finviz.com/quote.ashx?t=""&amp;A2183,""table"",10),7,2),""*"",""""),""-"",""0.00""))"),"Loading...")</f>
        <v>Loading...</v>
      </c>
      <c r="L2183" s="129">
        <v>3.53334158E8</v>
      </c>
      <c r="M2183" s="99">
        <v>1.27</v>
      </c>
    </row>
    <row r="2184">
      <c r="A2184" s="122" t="s">
        <v>4786</v>
      </c>
      <c r="B2184" s="123">
        <v>1166272.0</v>
      </c>
      <c r="C2184" s="124" t="s">
        <v>4787</v>
      </c>
      <c r="D2184" s="125"/>
      <c r="E2184" s="126">
        <v>1.96</v>
      </c>
      <c r="F2184" s="127"/>
      <c r="G2184" s="127"/>
      <c r="H2184" s="127"/>
      <c r="I2184" s="128"/>
      <c r="K2184" s="105" t="str">
        <f>IFERROR(__xludf.DUMMYFUNCTION("if(A2184="""","""",substitute(SUBSTITUTE(index(importhtml(""http://finviz.com/quote.ashx?t=""&amp;A2184,""table"",10),7,2),""*"",""""),""-"",""0.00""))"),"Loading...")</f>
        <v>Loading...</v>
      </c>
      <c r="L2184" s="129">
        <v>7284444.0</v>
      </c>
      <c r="M2184" s="99">
        <v>1.1</v>
      </c>
    </row>
    <row r="2185">
      <c r="A2185" s="122" t="s">
        <v>4788</v>
      </c>
      <c r="B2185" s="123">
        <v>1095981.0</v>
      </c>
      <c r="C2185" s="124" t="s">
        <v>4789</v>
      </c>
      <c r="D2185" s="125"/>
      <c r="E2185" s="126">
        <v>1.96</v>
      </c>
      <c r="F2185" s="127"/>
      <c r="G2185" s="127"/>
      <c r="H2185" s="127"/>
      <c r="I2185" s="128"/>
      <c r="K2185" s="105" t="str">
        <f>IFERROR(__xludf.DUMMYFUNCTION("if(A2185="""","""",substitute(SUBSTITUTE(index(importhtml(""http://finviz.com/quote.ashx?t=""&amp;A2185,""table"",10),7,2),""*"",""""),""-"",""0.00""))"),"Loading...")</f>
        <v>Loading...</v>
      </c>
      <c r="L2185" s="129">
        <v>8292361.0</v>
      </c>
      <c r="M2185" s="99">
        <v>-12.76</v>
      </c>
    </row>
    <row r="2186">
      <c r="A2186" s="122" t="s">
        <v>4790</v>
      </c>
      <c r="B2186" s="123">
        <v>1400438.0</v>
      </c>
      <c r="C2186" s="124" t="s">
        <v>4791</v>
      </c>
      <c r="D2186" s="125"/>
      <c r="E2186" s="126">
        <v>1.96</v>
      </c>
      <c r="F2186" s="127"/>
      <c r="G2186" s="127"/>
      <c r="H2186" s="127"/>
      <c r="I2186" s="128"/>
      <c r="K2186" s="105" t="str">
        <f>IFERROR(__xludf.DUMMYFUNCTION("if(A2186="""","""",substitute(SUBSTITUTE(index(importhtml(""http://finviz.com/quote.ashx?t=""&amp;A2186,""table"",10),7,2),""*"",""""),""-"",""0.00""))"),"Loading...")</f>
        <v>Loading...</v>
      </c>
      <c r="L2186" s="129">
        <v>1.6845511E8</v>
      </c>
      <c r="M2186" s="99">
        <v>2.06</v>
      </c>
    </row>
    <row r="2187">
      <c r="A2187" s="122" t="s">
        <v>4792</v>
      </c>
      <c r="B2187" s="123">
        <v>1090159.0</v>
      </c>
      <c r="C2187" s="124" t="s">
        <v>4793</v>
      </c>
      <c r="D2187" s="125"/>
      <c r="E2187" s="126">
        <v>1.97</v>
      </c>
      <c r="F2187" s="127"/>
      <c r="G2187" s="127"/>
      <c r="H2187" s="127"/>
      <c r="I2187" s="128"/>
      <c r="K2187" s="105" t="str">
        <f>IFERROR(__xludf.DUMMYFUNCTION("if(A2187="""","""",substitute(SUBSTITUTE(index(importhtml(""http://finviz.com/quote.ashx?t=""&amp;A2187,""table"",10),7,2),""*"",""""),""-"",""0.00""))"),"Loading...")</f>
        <v>Loading...</v>
      </c>
      <c r="L2187" s="129">
        <v>4349780.0</v>
      </c>
      <c r="M2187" s="99" t="str">
        <f>IFERROR(__xludf.DUMMYFUNCTION("GOOGLEFINANCE(A2187,""beta"")"),"#N/A")</f>
        <v>#N/A</v>
      </c>
    </row>
    <row r="2188">
      <c r="A2188" s="122" t="s">
        <v>4794</v>
      </c>
      <c r="B2188" s="123">
        <v>1140215.0</v>
      </c>
      <c r="C2188" s="124" t="s">
        <v>4795</v>
      </c>
      <c r="D2188" s="125"/>
      <c r="E2188" s="126">
        <v>1.97</v>
      </c>
      <c r="F2188" s="127"/>
      <c r="G2188" s="127"/>
      <c r="H2188" s="127"/>
      <c r="I2188" s="128"/>
      <c r="K2188" s="105" t="str">
        <f>IFERROR(__xludf.DUMMYFUNCTION("if(A2188="""","""",substitute(SUBSTITUTE(index(importhtml(""http://finviz.com/quote.ashx?t=""&amp;A2188,""table"",10),7,2),""*"",""""),""-"",""0.00""))"),"Loading...")</f>
        <v>Loading...</v>
      </c>
      <c r="L2188" s="129">
        <v>8213190.0</v>
      </c>
      <c r="M2188" s="99">
        <v>1.23</v>
      </c>
    </row>
    <row r="2189">
      <c r="A2189" s="122" t="s">
        <v>4796</v>
      </c>
      <c r="B2189" s="123">
        <v>1484778.0</v>
      </c>
      <c r="C2189" s="124" t="s">
        <v>4797</v>
      </c>
      <c r="D2189" s="125"/>
      <c r="E2189" s="126">
        <v>1.97</v>
      </c>
      <c r="F2189" s="127"/>
      <c r="G2189" s="127"/>
      <c r="H2189" s="127"/>
      <c r="I2189" s="128"/>
      <c r="K2189" s="105" t="str">
        <f>IFERROR(__xludf.DUMMYFUNCTION("if(A2189="""","""",substitute(SUBSTITUTE(index(importhtml(""http://finviz.com/quote.ashx?t=""&amp;A2189,""table"",10),7,2),""*"",""""),""-"",""0.00""))"),"Loading...")</f>
        <v>Loading...</v>
      </c>
      <c r="L2189" s="129">
        <v>2.10765575E8</v>
      </c>
      <c r="M2189" s="99">
        <f>IFERROR(__xludf.DUMMYFUNCTION("GOOGLEFINANCE(A2189,""beta"")"),1.7)</f>
        <v>1.7</v>
      </c>
    </row>
    <row r="2190">
      <c r="A2190" s="122" t="s">
        <v>4798</v>
      </c>
      <c r="B2190" s="123">
        <v>1061353.0</v>
      </c>
      <c r="C2190" s="124" t="s">
        <v>4799</v>
      </c>
      <c r="D2190" s="125"/>
      <c r="E2190" s="126">
        <v>1.98</v>
      </c>
      <c r="F2190" s="127"/>
      <c r="G2190" s="127"/>
      <c r="H2190" s="127"/>
      <c r="I2190" s="128"/>
      <c r="K2190" s="55" t="s">
        <v>4800</v>
      </c>
      <c r="L2190" s="129">
        <v>2.04957127E8</v>
      </c>
      <c r="M2190" s="99">
        <v>0.72</v>
      </c>
    </row>
    <row r="2191">
      <c r="A2191" s="122" t="s">
        <v>4801</v>
      </c>
      <c r="B2191" s="123">
        <v>1394108.0</v>
      </c>
      <c r="C2191" s="124" t="s">
        <v>4802</v>
      </c>
      <c r="D2191" s="125"/>
      <c r="E2191" s="126">
        <v>1.98</v>
      </c>
      <c r="F2191" s="127"/>
      <c r="G2191" s="127"/>
      <c r="H2191" s="127"/>
      <c r="I2191" s="128"/>
      <c r="K2191" s="105" t="str">
        <f>IFERROR(__xludf.DUMMYFUNCTION("if(A2191="""","""",substitute(SUBSTITUTE(index(importhtml(""http://finviz.com/quote.ashx?t=""&amp;A2191,""table"",10),7,2),""*"",""""),""-"",""0.00""))"),"Loading...")</f>
        <v>Loading...</v>
      </c>
      <c r="L2191" s="129">
        <v>6633714.0</v>
      </c>
      <c r="M2191" s="99">
        <v>2.45</v>
      </c>
    </row>
    <row r="2192">
      <c r="A2192" s="122" t="s">
        <v>4803</v>
      </c>
      <c r="B2192" s="123">
        <v>718332.0</v>
      </c>
      <c r="C2192" s="124" t="s">
        <v>4804</v>
      </c>
      <c r="D2192" s="125"/>
      <c r="E2192" s="126">
        <v>1.98</v>
      </c>
      <c r="F2192" s="127"/>
      <c r="G2192" s="127"/>
      <c r="H2192" s="127"/>
      <c r="I2192" s="128"/>
      <c r="K2192" s="105" t="str">
        <f>IFERROR(__xludf.DUMMYFUNCTION("if(A2192="""","""",substitute(SUBSTITUTE(index(importhtml(""http://finviz.com/quote.ashx?t=""&amp;A2192,""table"",10),7,2),""*"",""""),""-"",""0.00""))"),"Loading...")</f>
        <v>Loading...</v>
      </c>
      <c r="L2192" s="129">
        <v>2.8881389E7</v>
      </c>
      <c r="M2192" s="99">
        <v>0.35</v>
      </c>
    </row>
    <row r="2193">
      <c r="A2193" s="122" t="s">
        <v>4805</v>
      </c>
      <c r="B2193" s="123">
        <v>1854078.0</v>
      </c>
      <c r="C2193" s="124" t="s">
        <v>4806</v>
      </c>
      <c r="D2193" s="125"/>
      <c r="E2193" s="126">
        <v>1.99</v>
      </c>
      <c r="F2193" s="127"/>
      <c r="G2193" s="127"/>
      <c r="H2193" s="127"/>
      <c r="I2193" s="128"/>
      <c r="K2193" s="105" t="str">
        <f>IFERROR(__xludf.DUMMYFUNCTION("if(A2193="""","""",substitute(SUBSTITUTE(index(importhtml(""http://finviz.com/quote.ashx?t=""&amp;A2193,""table"",10),7,2),""*"",""""),""-"",""0.00""))"),"Loading...")</f>
        <v>Loading...</v>
      </c>
      <c r="L2193" s="129">
        <v>2.3757084E7</v>
      </c>
      <c r="M2193" s="99">
        <v>7.15</v>
      </c>
    </row>
    <row r="2194">
      <c r="A2194" s="122" t="s">
        <v>4807</v>
      </c>
      <c r="B2194" s="123">
        <v>1891944.0</v>
      </c>
      <c r="C2194" s="124" t="s">
        <v>4808</v>
      </c>
      <c r="D2194" s="125"/>
      <c r="E2194" s="126">
        <v>1.99</v>
      </c>
      <c r="F2194" s="127"/>
      <c r="G2194" s="127"/>
      <c r="H2194" s="127"/>
      <c r="I2194" s="128"/>
      <c r="K2194" s="105" t="str">
        <f>IFERROR(__xludf.DUMMYFUNCTION("if(A2194="""","""",substitute(SUBSTITUTE(index(importhtml(""http://finviz.com/quote.ashx?t=""&amp;A2194,""table"",10),7,2),""*"",""""),""-"",""0.00""))"),"Loading...")</f>
        <v>Loading...</v>
      </c>
      <c r="L2194" s="129">
        <v>7.07445E7</v>
      </c>
      <c r="M2194" s="99" t="str">
        <f>IFERROR(__xludf.DUMMYFUNCTION("GOOGLEFINANCE(A2194,""beta"")"),"#N/A")</f>
        <v>#N/A</v>
      </c>
    </row>
    <row r="2195">
      <c r="A2195" s="122" t="s">
        <v>4809</v>
      </c>
      <c r="B2195" s="123">
        <v>1922097.0</v>
      </c>
      <c r="C2195" s="124" t="s">
        <v>4810</v>
      </c>
      <c r="D2195" s="125"/>
      <c r="E2195" s="126">
        <v>1.99</v>
      </c>
      <c r="F2195" s="127"/>
      <c r="G2195" s="127"/>
      <c r="H2195" s="127"/>
      <c r="I2195" s="128"/>
      <c r="K2195" s="105" t="str">
        <f>IFERROR(__xludf.DUMMYFUNCTION("if(A2195="""","""",substitute(SUBSTITUTE(index(importhtml(""http://finviz.com/quote.ashx?t=""&amp;A2195,""table"",10),7,2),""*"",""""),""-"",""0.00""))"),"Loading...")</f>
        <v>Loading...</v>
      </c>
      <c r="L2195" s="129">
        <v>2.88592587E8</v>
      </c>
      <c r="M2195" s="99">
        <f>IFERROR(__xludf.DUMMYFUNCTION("GOOGLEFINANCE(A2195,""beta"")"),-0.24)</f>
        <v>-0.24</v>
      </c>
    </row>
    <row r="2196">
      <c r="A2196" s="122" t="s">
        <v>4811</v>
      </c>
      <c r="B2196" s="123">
        <v>1777393.0</v>
      </c>
      <c r="C2196" s="124" t="s">
        <v>4812</v>
      </c>
      <c r="D2196" s="125"/>
      <c r="E2196" s="126">
        <v>1.99</v>
      </c>
      <c r="F2196" s="127"/>
      <c r="G2196" s="127"/>
      <c r="H2196" s="127"/>
      <c r="I2196" s="128"/>
      <c r="K2196" s="105" t="str">
        <f>IFERROR(__xludf.DUMMYFUNCTION("if(A2196="""","""",substitute(SUBSTITUTE(index(importhtml(""http://finviz.com/quote.ashx?t=""&amp;A2196,""table"",10),7,2),""*"",""""),""-"",""0.00""))"),"Loading...")</f>
        <v>Loading...</v>
      </c>
      <c r="L2196" s="129">
        <v>8.31875524E8</v>
      </c>
      <c r="M2196" s="99">
        <v>1.63</v>
      </c>
    </row>
    <row r="2197">
      <c r="A2197" s="122" t="s">
        <v>4813</v>
      </c>
      <c r="B2197" s="123">
        <v>1468639.0</v>
      </c>
      <c r="C2197" s="124" t="s">
        <v>4814</v>
      </c>
      <c r="D2197" s="125"/>
      <c r="E2197" s="126">
        <v>1.99</v>
      </c>
      <c r="F2197" s="127"/>
      <c r="G2197" s="127"/>
      <c r="H2197" s="127"/>
      <c r="I2197" s="128"/>
      <c r="K2197" s="105" t="str">
        <f>IFERROR(__xludf.DUMMYFUNCTION("if(A2197="""","""",substitute(SUBSTITUTE(index(importhtml(""http://finviz.com/quote.ashx?t=""&amp;A2197,""table"",10),7,2),""*"",""""),""-"",""0.00""))"),"Loading...")</f>
        <v>Loading...</v>
      </c>
      <c r="L2197" s="129" t="e">
        <v>#N/A</v>
      </c>
      <c r="M2197" s="99">
        <v>-3.52</v>
      </c>
    </row>
    <row r="2198">
      <c r="A2198" s="122" t="s">
        <v>4815</v>
      </c>
      <c r="B2198" s="123">
        <v>87802.0</v>
      </c>
      <c r="C2198" s="124" t="s">
        <v>4816</v>
      </c>
      <c r="D2198" s="125"/>
      <c r="E2198" s="126">
        <v>2.0</v>
      </c>
      <c r="F2198" s="127"/>
      <c r="G2198" s="127"/>
      <c r="H2198" s="127"/>
      <c r="I2198" s="128"/>
      <c r="K2198" s="105" t="str">
        <f>IFERROR(__xludf.DUMMYFUNCTION("if(A2198="""","""",substitute(SUBSTITUTE(index(importhtml(""http://finviz.com/quote.ashx?t=""&amp;A2198,""table"",10),7,2),""*"",""""),""-"",""0.00""))"),"Loading...")</f>
        <v>Loading...</v>
      </c>
      <c r="L2198" s="129">
        <v>1.472397E7</v>
      </c>
      <c r="M2198" s="99">
        <v>-0.07</v>
      </c>
    </row>
    <row r="2199">
      <c r="A2199" s="122" t="s">
        <v>4817</v>
      </c>
      <c r="B2199" s="123">
        <v>1446371.0</v>
      </c>
      <c r="C2199" s="124" t="s">
        <v>4818</v>
      </c>
      <c r="D2199" s="125"/>
      <c r="E2199" s="126">
        <v>2.0</v>
      </c>
      <c r="F2199" s="127"/>
      <c r="G2199" s="127"/>
      <c r="H2199" s="127"/>
      <c r="I2199" s="128"/>
      <c r="K2199" s="105" t="str">
        <f>IFERROR(__xludf.DUMMYFUNCTION("if(A2199="""","""",substitute(SUBSTITUTE(index(importhtml(""http://finviz.com/quote.ashx?t=""&amp;A2199,""table"",10),7,2),""*"",""""),""-"",""0.00""))"),"Loading...")</f>
        <v>Loading...</v>
      </c>
      <c r="L2199" s="129">
        <v>2.150593E7</v>
      </c>
      <c r="M2199" s="99" t="str">
        <f>IFERROR(__xludf.DUMMYFUNCTION("GOOGLEFINANCE(A2199,""beta"")"),"#N/A")</f>
        <v>#N/A</v>
      </c>
    </row>
    <row r="2200">
      <c r="A2200" s="122" t="s">
        <v>4819</v>
      </c>
      <c r="B2200" s="123">
        <v>882361.0</v>
      </c>
      <c r="C2200" s="124" t="s">
        <v>4820</v>
      </c>
      <c r="D2200" s="125"/>
      <c r="E2200" s="126">
        <v>2.0</v>
      </c>
      <c r="F2200" s="127"/>
      <c r="G2200" s="127"/>
      <c r="H2200" s="127"/>
      <c r="I2200" s="128"/>
      <c r="K2200" s="105" t="str">
        <f>IFERROR(__xludf.DUMMYFUNCTION("if(A2200="""","""",substitute(SUBSTITUTE(index(importhtml(""http://finviz.com/quote.ashx?t=""&amp;A2200,""table"",10),7,2),""*"",""""),""-"",""0.00""))"),"Loading...")</f>
        <v>Loading...</v>
      </c>
      <c r="L2200" s="129">
        <v>2.5632E7</v>
      </c>
      <c r="M2200" s="99">
        <v>1.33</v>
      </c>
    </row>
    <row r="2201">
      <c r="A2201" s="122" t="s">
        <v>4821</v>
      </c>
      <c r="B2201" s="123">
        <v>716634.0</v>
      </c>
      <c r="C2201" s="124" t="s">
        <v>4822</v>
      </c>
      <c r="D2201" s="125"/>
      <c r="E2201" s="126">
        <v>2.0</v>
      </c>
      <c r="F2201" s="127"/>
      <c r="G2201" s="127"/>
      <c r="H2201" s="127"/>
      <c r="I2201" s="128"/>
      <c r="K2201" s="105" t="str">
        <f>IFERROR(__xludf.DUMMYFUNCTION("if(A2201="""","""",substitute(SUBSTITUTE(index(importhtml(""http://finviz.com/quote.ashx?t=""&amp;A2201,""table"",10),7,2),""*"",""""),""-"",""0.00""))"),"Loading...")</f>
        <v>Loading...</v>
      </c>
      <c r="L2201" s="129">
        <v>6.4918836E7</v>
      </c>
      <c r="M2201" s="99">
        <v>1.61</v>
      </c>
    </row>
    <row r="2202">
      <c r="A2202" s="122" t="s">
        <v>4823</v>
      </c>
      <c r="B2202" s="123">
        <v>1842356.0</v>
      </c>
      <c r="C2202" s="124" t="s">
        <v>4824</v>
      </c>
      <c r="D2202" s="125"/>
      <c r="E2202" s="126">
        <v>2.0</v>
      </c>
      <c r="F2202" s="127"/>
      <c r="G2202" s="127"/>
      <c r="H2202" s="127"/>
      <c r="I2202" s="128"/>
      <c r="K2202" s="105" t="str">
        <f>IFERROR(__xludf.DUMMYFUNCTION("if(A2202="""","""",substitute(SUBSTITUTE(index(importhtml(""http://finviz.com/quote.ashx?t=""&amp;A2202,""table"",10),7,2),""*"",""""),""-"",""0.00""))"),"Loading...")</f>
        <v>Loading...</v>
      </c>
      <c r="L2202" s="129">
        <v>7.841202E7</v>
      </c>
      <c r="M2202" s="99" t="str">
        <f>IFERROR(__xludf.DUMMYFUNCTION("GOOGLEFINANCE(A2202,""beta"")"),"#N/A")</f>
        <v>#N/A</v>
      </c>
    </row>
    <row r="2203">
      <c r="A2203" s="122" t="s">
        <v>4825</v>
      </c>
      <c r="B2203" s="123">
        <v>1499785.0</v>
      </c>
      <c r="C2203" s="124" t="s">
        <v>4826</v>
      </c>
      <c r="D2203" s="125"/>
      <c r="E2203" s="126">
        <v>2.0</v>
      </c>
      <c r="F2203" s="127"/>
      <c r="G2203" s="127"/>
      <c r="H2203" s="127"/>
      <c r="I2203" s="128"/>
      <c r="K2203" s="105" t="str">
        <f>IFERROR(__xludf.DUMMYFUNCTION("if(A2203="""","""",substitute(SUBSTITUTE(index(importhtml(""http://finviz.com/quote.ashx?t=""&amp;A2203,""table"",10),7,2),""*"",""""),""-"",""0.00""))"),"Loading...")</f>
        <v>Loading...</v>
      </c>
      <c r="L2203" s="129">
        <v>2.014224E8</v>
      </c>
      <c r="M2203" s="99">
        <v>-4.48</v>
      </c>
    </row>
    <row r="2204">
      <c r="A2204" s="122" t="s">
        <v>4827</v>
      </c>
      <c r="B2204" s="123">
        <v>1006840.0</v>
      </c>
      <c r="C2204" s="124" t="s">
        <v>4828</v>
      </c>
      <c r="D2204" s="125"/>
      <c r="E2204" s="126">
        <v>2.0</v>
      </c>
      <c r="F2204" s="127"/>
      <c r="G2204" s="127"/>
      <c r="H2204" s="127"/>
      <c r="I2204" s="128"/>
      <c r="K2204" s="105" t="str">
        <f>IFERROR(__xludf.DUMMYFUNCTION("if(A2204="""","""",substitute(SUBSTITUTE(index(importhtml(""http://finviz.com/quote.ashx?t=""&amp;A2204,""table"",10),7,2),""*"",""""),""-"",""0.00""))"),"Loading...")</f>
        <v>Loading...</v>
      </c>
      <c r="L2204" s="129">
        <v>2.206385E8</v>
      </c>
      <c r="M2204" s="99" t="str">
        <f>IFERROR(__xludf.DUMMYFUNCTION("GOOGLEFINANCE(A2204,""beta"")"),"#N/A")</f>
        <v>#N/A</v>
      </c>
    </row>
    <row r="2205">
      <c r="A2205" s="122" t="s">
        <v>4829</v>
      </c>
      <c r="B2205" s="123">
        <v>1839285.0</v>
      </c>
      <c r="C2205" s="124" t="s">
        <v>4830</v>
      </c>
      <c r="D2205" s="125"/>
      <c r="E2205" s="126">
        <v>2.01</v>
      </c>
      <c r="F2205" s="127"/>
      <c r="G2205" s="127"/>
      <c r="H2205" s="127"/>
      <c r="I2205" s="128"/>
      <c r="K2205" s="105" t="str">
        <f>IFERROR(__xludf.DUMMYFUNCTION("if(A2205="""","""",substitute(SUBSTITUTE(index(importhtml(""http://finviz.com/quote.ashx?t=""&amp;A2205,""table"",10),7,2),""*"",""""),""-"",""0.00""))"),"Loading...")</f>
        <v>Loading...</v>
      </c>
      <c r="L2205" s="129">
        <v>8661160.0</v>
      </c>
      <c r="M2205" s="99">
        <f>IFERROR(__xludf.DUMMYFUNCTION("GOOGLEFINANCE(A2205,""beta"")"),0.85)</f>
        <v>0.85</v>
      </c>
    </row>
    <row r="2206">
      <c r="A2206" s="122" t="s">
        <v>4831</v>
      </c>
      <c r="B2206" s="123">
        <v>1855557.0</v>
      </c>
      <c r="C2206" s="124" t="s">
        <v>4832</v>
      </c>
      <c r="D2206" s="125"/>
      <c r="E2206" s="126">
        <v>2.01</v>
      </c>
      <c r="F2206" s="127"/>
      <c r="G2206" s="127"/>
      <c r="H2206" s="127"/>
      <c r="I2206" s="128"/>
      <c r="K2206" s="105" t="str">
        <f>IFERROR(__xludf.DUMMYFUNCTION("if(A2206="""","""",substitute(SUBSTITUTE(index(importhtml(""http://finviz.com/quote.ashx?t=""&amp;A2206,""table"",10),7,2),""*"",""""),""-"",""0.00""))"),"Loading...")</f>
        <v>Loading...</v>
      </c>
      <c r="L2206" s="129">
        <v>2.4867458E7</v>
      </c>
      <c r="M2206" s="99" t="str">
        <f>IFERROR(__xludf.DUMMYFUNCTION("GOOGLEFINANCE(A2206,""beta"")"),"#N/A")</f>
        <v>#N/A</v>
      </c>
    </row>
    <row r="2207">
      <c r="A2207" s="122" t="s">
        <v>4833</v>
      </c>
      <c r="B2207" s="123">
        <v>1718405.0</v>
      </c>
      <c r="C2207" s="124" t="s">
        <v>957</v>
      </c>
      <c r="D2207" s="125"/>
      <c r="E2207" s="126">
        <v>2.01</v>
      </c>
      <c r="F2207" s="127"/>
      <c r="G2207" s="127"/>
      <c r="H2207" s="127"/>
      <c r="I2207" s="128"/>
      <c r="K2207" s="105" t="str">
        <f>IFERROR(__xludf.DUMMYFUNCTION("if(A2207="""","""",substitute(SUBSTITUTE(index(importhtml(""http://finviz.com/quote.ashx?t=""&amp;A2207,""table"",10),7,2),""*"",""""),""-"",""0.00""))"),"Loading...")</f>
        <v>Loading...</v>
      </c>
      <c r="L2207" s="129">
        <v>4.0628692E7</v>
      </c>
      <c r="M2207" s="99">
        <v>2.19</v>
      </c>
    </row>
    <row r="2208">
      <c r="A2208" s="122" t="s">
        <v>4834</v>
      </c>
      <c r="B2208" s="123">
        <v>1394056.0</v>
      </c>
      <c r="C2208" s="124" t="s">
        <v>4835</v>
      </c>
      <c r="D2208" s="125"/>
      <c r="E2208" s="126">
        <v>2.01</v>
      </c>
      <c r="F2208" s="127"/>
      <c r="G2208" s="127"/>
      <c r="H2208" s="127"/>
      <c r="I2208" s="128"/>
      <c r="K2208" s="105" t="str">
        <f>IFERROR(__xludf.DUMMYFUNCTION("if(A2208="""","""",substitute(SUBSTITUTE(index(importhtml(""http://finviz.com/quote.ashx?t=""&amp;A2208,""table"",10),7,2),""*"",""""),""-"",""0.00""))"),"Loading...")</f>
        <v>Loading...</v>
      </c>
      <c r="L2208" s="129">
        <v>4.141412E7</v>
      </c>
      <c r="M2208" s="99">
        <v>1.13</v>
      </c>
    </row>
    <row r="2209">
      <c r="A2209" s="122" t="s">
        <v>4836</v>
      </c>
      <c r="B2209" s="123">
        <v>1310488.0</v>
      </c>
      <c r="C2209" s="124" t="s">
        <v>4837</v>
      </c>
      <c r="D2209" s="125"/>
      <c r="E2209" s="126">
        <v>2.01</v>
      </c>
      <c r="F2209" s="127"/>
      <c r="G2209" s="127"/>
      <c r="H2209" s="127"/>
      <c r="I2209" s="128"/>
      <c r="K2209" s="105" t="str">
        <f>IFERROR(__xludf.DUMMYFUNCTION("if(A2209="""","""",substitute(SUBSTITUTE(index(importhtml(""http://finviz.com/quote.ashx?t=""&amp;A2209,""table"",10),7,2),""*"",""""),""-"",""0.00""))"),"Loading...")</f>
        <v>Loading...</v>
      </c>
      <c r="L2209" s="129">
        <v>5.8836217E7</v>
      </c>
      <c r="M2209" s="99">
        <v>-3.06</v>
      </c>
    </row>
    <row r="2210">
      <c r="A2210" s="122" t="s">
        <v>4838</v>
      </c>
      <c r="B2210" s="123">
        <v>1375205.0</v>
      </c>
      <c r="C2210" s="124" t="s">
        <v>4839</v>
      </c>
      <c r="D2210" s="125"/>
      <c r="E2210" s="126">
        <v>2.01</v>
      </c>
      <c r="F2210" s="127"/>
      <c r="G2210" s="127"/>
      <c r="H2210" s="127"/>
      <c r="I2210" s="128"/>
      <c r="K2210" s="105" t="str">
        <f>IFERROR(__xludf.DUMMYFUNCTION("if(A2210="""","""",substitute(SUBSTITUTE(index(importhtml(""http://finviz.com/quote.ashx?t=""&amp;A2210,""table"",10),7,2),""*"",""""),""-"",""0.00""))"),"Loading...")</f>
        <v>Loading...</v>
      </c>
      <c r="L2210" s="129">
        <v>7.28718056E8</v>
      </c>
      <c r="M2210" s="99">
        <v>1.17</v>
      </c>
    </row>
    <row r="2211">
      <c r="A2211" s="122" t="s">
        <v>4840</v>
      </c>
      <c r="B2211" s="123">
        <v>1842556.0</v>
      </c>
      <c r="C2211" s="124" t="s">
        <v>4841</v>
      </c>
      <c r="D2211" s="125"/>
      <c r="E2211" s="126">
        <v>2.02</v>
      </c>
      <c r="F2211" s="127"/>
      <c r="G2211" s="127"/>
      <c r="H2211" s="127"/>
      <c r="I2211" s="128"/>
      <c r="K2211" s="105" t="str">
        <f>IFERROR(__xludf.DUMMYFUNCTION("if(A2211="""","""",substitute(SUBSTITUTE(index(importhtml(""http://finviz.com/quote.ashx?t=""&amp;A2211,""table"",10),7,2),""*"",""""),""-"",""0.00""))"),"Loading...")</f>
        <v>Loading...</v>
      </c>
      <c r="L2211" s="129">
        <v>6972793.0</v>
      </c>
      <c r="M2211" s="99" t="str">
        <f>IFERROR(__xludf.DUMMYFUNCTION("GOOGLEFINANCE(A2211,""beta"")"),"#N/A")</f>
        <v>#N/A</v>
      </c>
    </row>
    <row r="2212">
      <c r="A2212" s="122" t="s">
        <v>4842</v>
      </c>
      <c r="B2212" s="123">
        <v>1616156.0</v>
      </c>
      <c r="C2212" s="124" t="s">
        <v>4843</v>
      </c>
      <c r="D2212" s="125"/>
      <c r="E2212" s="126">
        <v>2.02</v>
      </c>
      <c r="F2212" s="127"/>
      <c r="G2212" s="127"/>
      <c r="H2212" s="127"/>
      <c r="I2212" s="128"/>
      <c r="K2212" s="105" t="str">
        <f>IFERROR(__xludf.DUMMYFUNCTION("if(A2212="""","""",substitute(SUBSTITUTE(index(importhtml(""http://finviz.com/quote.ashx?t=""&amp;A2212,""table"",10),7,2),""*"",""""),""-"",""0.00""))"),"Loading...")</f>
        <v>Loading...</v>
      </c>
      <c r="L2212" s="129">
        <v>2.171166E8</v>
      </c>
      <c r="M2212" s="99">
        <v>-5.01</v>
      </c>
    </row>
    <row r="2213">
      <c r="A2213" s="122" t="s">
        <v>4844</v>
      </c>
      <c r="B2213" s="123">
        <v>1087294.0</v>
      </c>
      <c r="C2213" s="124" t="s">
        <v>4845</v>
      </c>
      <c r="D2213" s="125"/>
      <c r="E2213" s="126">
        <v>2.03</v>
      </c>
      <c r="F2213" s="127"/>
      <c r="G2213" s="127"/>
      <c r="H2213" s="127"/>
      <c r="I2213" s="128"/>
      <c r="K2213" s="105" t="str">
        <f>IFERROR(__xludf.DUMMYFUNCTION("if(A2213="""","""",substitute(SUBSTITUTE(index(importhtml(""http://finviz.com/quote.ashx?t=""&amp;A2213,""table"",10),7,2),""*"",""""),""-"",""0.00""))"),"Loading...")</f>
        <v>Loading...</v>
      </c>
      <c r="L2213" s="129">
        <v>2.893907E7</v>
      </c>
      <c r="M2213" s="99">
        <v>0.18</v>
      </c>
    </row>
    <row r="2214">
      <c r="A2214" s="122" t="s">
        <v>4846</v>
      </c>
      <c r="B2214" s="123">
        <v>1040161.0</v>
      </c>
      <c r="C2214" s="124" t="s">
        <v>4847</v>
      </c>
      <c r="D2214" s="125"/>
      <c r="E2214" s="126">
        <v>2.03</v>
      </c>
      <c r="F2214" s="127"/>
      <c r="G2214" s="127"/>
      <c r="H2214" s="127"/>
      <c r="I2214" s="128"/>
      <c r="K2214" s="105" t="str">
        <f>IFERROR(__xludf.DUMMYFUNCTION("if(A2214="""","""",substitute(SUBSTITUTE(index(importhtml(""http://finviz.com/quote.ashx?t=""&amp;A2214,""table"",10),7,2),""*"",""""),""-"",""0.00""))"),"Loading...")</f>
        <v>Loading...</v>
      </c>
      <c r="L2214" s="129">
        <v>1.15087843E8</v>
      </c>
      <c r="M2214" s="99">
        <v>1.67</v>
      </c>
    </row>
    <row r="2215">
      <c r="A2215" s="122" t="s">
        <v>4848</v>
      </c>
      <c r="B2215" s="123">
        <v>1624326.0</v>
      </c>
      <c r="C2215" s="124" t="s">
        <v>1526</v>
      </c>
      <c r="D2215" s="125"/>
      <c r="E2215" s="126">
        <v>2.04</v>
      </c>
      <c r="F2215" s="127"/>
      <c r="G2215" s="127"/>
      <c r="H2215" s="127"/>
      <c r="I2215" s="128"/>
      <c r="K2215" s="105" t="str">
        <f>IFERROR(__xludf.DUMMYFUNCTION("if(A2215="""","""",substitute(SUBSTITUTE(index(importhtml(""http://finviz.com/quote.ashx?t=""&amp;A2215,""table"",10),7,2),""*"",""""),""-"",""0.00""))"),"Loading...")</f>
        <v>Loading...</v>
      </c>
      <c r="L2215" s="129">
        <v>1.6423344E7</v>
      </c>
      <c r="M2215" s="99">
        <v>0.85</v>
      </c>
    </row>
    <row r="2216">
      <c r="A2216" s="122" t="s">
        <v>4849</v>
      </c>
      <c r="B2216" s="123">
        <v>864240.0</v>
      </c>
      <c r="C2216" s="124" t="s">
        <v>4850</v>
      </c>
      <c r="D2216" s="125"/>
      <c r="E2216" s="126">
        <v>2.04</v>
      </c>
      <c r="F2216" s="127"/>
      <c r="G2216" s="127"/>
      <c r="H2216" s="127"/>
      <c r="I2216" s="128"/>
      <c r="K2216" s="105" t="str">
        <f>IFERROR(__xludf.DUMMYFUNCTION("if(A2216="""","""",substitute(SUBSTITUTE(index(importhtml(""http://finviz.com/quote.ashx?t=""&amp;A2216,""table"",10),7,2),""*"",""""),""-"",""0.00""))"),"Loading...")</f>
        <v>Loading...</v>
      </c>
      <c r="L2216" s="129">
        <v>4.5807485E7</v>
      </c>
      <c r="M2216" s="99">
        <v>0.97</v>
      </c>
    </row>
    <row r="2217">
      <c r="A2217" s="122" t="s">
        <v>4851</v>
      </c>
      <c r="B2217" s="123">
        <v>1335105.0</v>
      </c>
      <c r="C2217" s="124" t="s">
        <v>1588</v>
      </c>
      <c r="D2217" s="125"/>
      <c r="E2217" s="126">
        <v>2.05</v>
      </c>
      <c r="F2217" s="127"/>
      <c r="G2217" s="127"/>
      <c r="H2217" s="127"/>
      <c r="I2217" s="128"/>
      <c r="K2217" s="105" t="str">
        <f>IFERROR(__xludf.DUMMYFUNCTION("if(A2217="""","""",substitute(SUBSTITUTE(index(importhtml(""http://finviz.com/quote.ashx?t=""&amp;A2217,""table"",10),7,2),""*"",""""),""-"",""0.00""))"),"Loading...")</f>
        <v>Loading...</v>
      </c>
      <c r="L2217" s="129">
        <v>4611038.0</v>
      </c>
      <c r="M2217" s="99">
        <v>-0.36</v>
      </c>
    </row>
    <row r="2218">
      <c r="A2218" s="122" t="s">
        <v>4852</v>
      </c>
      <c r="B2218" s="123">
        <v>1716770.0</v>
      </c>
      <c r="C2218" s="124" t="s">
        <v>4853</v>
      </c>
      <c r="D2218" s="125"/>
      <c r="E2218" s="126">
        <v>2.05</v>
      </c>
      <c r="F2218" s="127"/>
      <c r="G2218" s="127"/>
      <c r="H2218" s="127"/>
      <c r="I2218" s="128"/>
      <c r="K2218" s="105" t="str">
        <f>IFERROR(__xludf.DUMMYFUNCTION("if(A2218="""","""",substitute(SUBSTITUTE(index(importhtml(""http://finviz.com/quote.ashx?t=""&amp;A2218,""table"",10),7,2),""*"",""""),""-"",""0.00""))"),"Loading...")</f>
        <v>Loading...</v>
      </c>
      <c r="L2218" s="129">
        <v>9057968.0</v>
      </c>
      <c r="M2218" s="99">
        <v>0.87</v>
      </c>
    </row>
    <row r="2219">
      <c r="A2219" s="122" t="s">
        <v>4854</v>
      </c>
      <c r="B2219" s="123">
        <v>1743971.0</v>
      </c>
      <c r="C2219" s="124" t="s">
        <v>4855</v>
      </c>
      <c r="D2219" s="125"/>
      <c r="E2219" s="126">
        <v>2.05</v>
      </c>
      <c r="F2219" s="127"/>
      <c r="G2219" s="127"/>
      <c r="H2219" s="127"/>
      <c r="I2219" s="128"/>
      <c r="K2219" s="105" t="str">
        <f>IFERROR(__xludf.DUMMYFUNCTION("if(A2219="""","""",substitute(SUBSTITUTE(index(importhtml(""http://finviz.com/quote.ashx?t=""&amp;A2219,""table"",10),7,2),""*"",""""),""-"",""0.00""))"),"Loading...")</f>
        <v>Loading...</v>
      </c>
      <c r="L2219" s="129">
        <v>1.6801391E7</v>
      </c>
      <c r="M2219" s="99">
        <v>0.46</v>
      </c>
    </row>
    <row r="2220">
      <c r="A2220" s="122" t="s">
        <v>4856</v>
      </c>
      <c r="B2220" s="123">
        <v>1495231.0</v>
      </c>
      <c r="C2220" s="124" t="s">
        <v>4857</v>
      </c>
      <c r="D2220" s="125"/>
      <c r="E2220" s="126">
        <v>2.05</v>
      </c>
      <c r="F2220" s="127"/>
      <c r="G2220" s="127"/>
      <c r="H2220" s="127"/>
      <c r="I2220" s="128"/>
      <c r="K2220" s="105" t="str">
        <f>IFERROR(__xludf.DUMMYFUNCTION("if(A2220="""","""",substitute(SUBSTITUTE(index(importhtml(""http://finviz.com/quote.ashx?t=""&amp;A2220,""table"",10),7,2),""*"",""""),""-"",""0.00""))"),"Loading...")</f>
        <v>Loading...</v>
      </c>
      <c r="L2220" s="129">
        <v>3.1681027E7</v>
      </c>
      <c r="M2220" s="99">
        <v>1.81</v>
      </c>
    </row>
    <row r="2221">
      <c r="A2221" s="122" t="s">
        <v>4858</v>
      </c>
      <c r="B2221" s="123">
        <v>1791325.0</v>
      </c>
      <c r="C2221" s="124" t="s">
        <v>4859</v>
      </c>
      <c r="D2221" s="125"/>
      <c r="E2221" s="126">
        <v>2.05</v>
      </c>
      <c r="F2221" s="127"/>
      <c r="G2221" s="127"/>
      <c r="H2221" s="127"/>
      <c r="I2221" s="128"/>
      <c r="K2221" s="105" t="str">
        <f>IFERROR(__xludf.DUMMYFUNCTION("if(A2221="""","""",substitute(SUBSTITUTE(index(importhtml(""http://finviz.com/quote.ashx?t=""&amp;A2221,""table"",10),7,2),""*"",""""),""-"",""0.00""))"),"Loading...")</f>
        <v>Loading...</v>
      </c>
      <c r="L2221" s="129" t="e">
        <v>#N/A</v>
      </c>
      <c r="M2221" s="99" t="str">
        <f>IFERROR(__xludf.DUMMYFUNCTION("GOOGLEFINANCE(A2221,""beta"")"),"#N/A")</f>
        <v>#N/A</v>
      </c>
    </row>
    <row r="2222">
      <c r="A2222" s="122" t="s">
        <v>4860</v>
      </c>
      <c r="B2222" s="123">
        <v>1537028.0</v>
      </c>
      <c r="C2222" s="124" t="s">
        <v>4861</v>
      </c>
      <c r="D2222" s="125"/>
      <c r="E2222" s="126">
        <v>2.06</v>
      </c>
      <c r="F2222" s="127"/>
      <c r="G2222" s="127"/>
      <c r="H2222" s="127"/>
      <c r="I2222" s="128"/>
      <c r="K2222" s="105" t="str">
        <f>IFERROR(__xludf.DUMMYFUNCTION("if(A2222="""","""",substitute(SUBSTITUTE(index(importhtml(""http://finviz.com/quote.ashx?t=""&amp;A2222,""table"",10),7,2),""*"",""""),""-"",""0.00""))"),"Loading...")</f>
        <v>Loading...</v>
      </c>
      <c r="L2222" s="129">
        <v>2.901479E7</v>
      </c>
      <c r="M2222" s="99">
        <v>4.98</v>
      </c>
    </row>
    <row r="2223">
      <c r="A2223" s="122" t="s">
        <v>4862</v>
      </c>
      <c r="B2223" s="123">
        <v>1563568.0</v>
      </c>
      <c r="C2223" s="124" t="s">
        <v>4863</v>
      </c>
      <c r="D2223" s="125"/>
      <c r="E2223" s="126">
        <v>2.06</v>
      </c>
      <c r="F2223" s="127"/>
      <c r="G2223" s="127"/>
      <c r="H2223" s="127"/>
      <c r="I2223" s="128"/>
      <c r="K2223" s="105" t="str">
        <f>IFERROR(__xludf.DUMMYFUNCTION("if(A2223="""","""",substitute(SUBSTITUTE(index(importhtml(""http://finviz.com/quote.ashx?t=""&amp;A2223,""table"",10),7,2),""*"",""""),""-"",""0.00""))"),"Loading...")</f>
        <v>Loading...</v>
      </c>
      <c r="L2223" s="129">
        <v>3.1118523E7</v>
      </c>
      <c r="M2223" s="99">
        <v>2.56</v>
      </c>
    </row>
    <row r="2224">
      <c r="A2224" s="122" t="s">
        <v>4864</v>
      </c>
      <c r="B2224" s="123">
        <v>1780201.0</v>
      </c>
      <c r="C2224" s="124" t="s">
        <v>4865</v>
      </c>
      <c r="D2224" s="125"/>
      <c r="E2224" s="126">
        <v>2.06</v>
      </c>
      <c r="F2224" s="127"/>
      <c r="G2224" s="127"/>
      <c r="H2224" s="127"/>
      <c r="I2224" s="128"/>
      <c r="K2224" s="105" t="str">
        <f>IFERROR(__xludf.DUMMYFUNCTION("if(A2224="""","""",substitute(SUBSTITUTE(index(importhtml(""http://finviz.com/quote.ashx?t=""&amp;A2224,""table"",10),7,2),""*"",""""),""-"",""0.00""))"),"Loading...")</f>
        <v>Loading...</v>
      </c>
      <c r="L2224" s="129">
        <v>8.337551E7</v>
      </c>
      <c r="M2224" s="99">
        <f>IFERROR(__xludf.DUMMYFUNCTION("GOOGLEFINANCE(A2224,""beta"")"),0.39)</f>
        <v>0.39</v>
      </c>
    </row>
    <row r="2225">
      <c r="A2225" s="122" t="s">
        <v>4866</v>
      </c>
      <c r="B2225" s="123">
        <v>899394.0</v>
      </c>
      <c r="C2225" s="124" t="s">
        <v>4867</v>
      </c>
      <c r="D2225" s="125"/>
      <c r="E2225" s="126">
        <v>2.06</v>
      </c>
      <c r="F2225" s="127"/>
      <c r="G2225" s="127"/>
      <c r="H2225" s="127"/>
      <c r="I2225" s="128"/>
      <c r="K2225" s="105" t="str">
        <f>IFERROR(__xludf.DUMMYFUNCTION("if(A2225="""","""",substitute(SUBSTITUTE(index(importhtml(""http://finviz.com/quote.ashx?t=""&amp;A2225,""table"",10),7,2),""*"",""""),""-"",""0.00""))"),"Loading...")</f>
        <v>Loading...</v>
      </c>
      <c r="L2225" s="129">
        <v>8.9237982E7</v>
      </c>
      <c r="M2225" s="99">
        <v>1.69</v>
      </c>
    </row>
    <row r="2226">
      <c r="A2226" s="122" t="s">
        <v>4868</v>
      </c>
      <c r="B2226" s="123">
        <v>1649752.0</v>
      </c>
      <c r="C2226" s="124" t="s">
        <v>4869</v>
      </c>
      <c r="D2226" s="125"/>
      <c r="E2226" s="126">
        <v>2.06</v>
      </c>
      <c r="F2226" s="127"/>
      <c r="G2226" s="127"/>
      <c r="H2226" s="127"/>
      <c r="I2226" s="128"/>
      <c r="K2226" s="105" t="str">
        <f>IFERROR(__xludf.DUMMYFUNCTION("if(A2226="""","""",substitute(SUBSTITUTE(index(importhtml(""http://finviz.com/quote.ashx?t=""&amp;A2226,""table"",10),7,2),""*"",""""),""-"",""0.00""))"),"Loading...")</f>
        <v>Loading...</v>
      </c>
      <c r="L2226" s="129">
        <v>1.69921878E8</v>
      </c>
      <c r="M2226" s="99">
        <v>2.9</v>
      </c>
    </row>
    <row r="2227">
      <c r="A2227" s="122" t="s">
        <v>4870</v>
      </c>
      <c r="B2227" s="123">
        <v>1512762.0</v>
      </c>
      <c r="C2227" s="124" t="s">
        <v>4871</v>
      </c>
      <c r="D2227" s="125"/>
      <c r="E2227" s="126">
        <v>2.06</v>
      </c>
      <c r="F2227" s="127"/>
      <c r="G2227" s="127"/>
      <c r="H2227" s="127"/>
      <c r="I2227" s="128"/>
      <c r="K2227" s="105" t="str">
        <f>IFERROR(__xludf.DUMMYFUNCTION("if(A2227="""","""",substitute(SUBSTITUTE(index(importhtml(""http://finviz.com/quote.ashx?t=""&amp;A2227,""table"",10),7,2),""*"",""""),""-"",""0.00""))"),"#REF!")</f>
        <v>#REF!</v>
      </c>
      <c r="L2227" s="129">
        <v>2.29410039E8</v>
      </c>
      <c r="M2227" s="99">
        <v>0.53</v>
      </c>
    </row>
    <row r="2228">
      <c r="A2228" s="122" t="s">
        <v>4872</v>
      </c>
      <c r="B2228" s="123">
        <v>1718224.0</v>
      </c>
      <c r="C2228" s="124" t="s">
        <v>4873</v>
      </c>
      <c r="D2228" s="125"/>
      <c r="E2228" s="126">
        <v>2.07</v>
      </c>
      <c r="F2228" s="127"/>
      <c r="G2228" s="127"/>
      <c r="H2228" s="127"/>
      <c r="I2228" s="128"/>
      <c r="K2228" s="105" t="str">
        <f>IFERROR(__xludf.DUMMYFUNCTION("if(A2228="""","""",substitute(SUBSTITUTE(index(importhtml(""http://finviz.com/quote.ashx?t=""&amp;A2228,""table"",10),7,2),""*"",""""),""-"",""0.00""))"),"Loading...")</f>
        <v>Loading...</v>
      </c>
      <c r="L2228" s="129">
        <v>1.2929463E7</v>
      </c>
      <c r="M2228" s="99">
        <v>-8.81</v>
      </c>
    </row>
    <row r="2229">
      <c r="A2229" s="122" t="s">
        <v>4874</v>
      </c>
      <c r="B2229" s="123">
        <v>1374339.0</v>
      </c>
      <c r="C2229" s="124" t="s">
        <v>4875</v>
      </c>
      <c r="D2229" s="125"/>
      <c r="E2229" s="126">
        <v>2.07</v>
      </c>
      <c r="F2229" s="127"/>
      <c r="G2229" s="127"/>
      <c r="H2229" s="127"/>
      <c r="I2229" s="128"/>
      <c r="K2229" s="105" t="str">
        <f>IFERROR(__xludf.DUMMYFUNCTION("if(A2229="""","""",substitute(SUBSTITUTE(index(importhtml(""http://finviz.com/quote.ashx?t=""&amp;A2229,""table"",10),7,2),""*"",""""),""-"",""0.00""))"),"Loading...")</f>
        <v>Loading...</v>
      </c>
      <c r="L2229" s="129">
        <v>3.9092466E7</v>
      </c>
      <c r="M2229" s="99">
        <v>0.73</v>
      </c>
    </row>
    <row r="2230">
      <c r="A2230" s="122" t="s">
        <v>4876</v>
      </c>
      <c r="B2230" s="123">
        <v>1597835.0</v>
      </c>
      <c r="C2230" s="124" t="s">
        <v>4877</v>
      </c>
      <c r="D2230" s="125"/>
      <c r="E2230" s="126">
        <v>2.07</v>
      </c>
      <c r="F2230" s="127"/>
      <c r="G2230" s="127"/>
      <c r="H2230" s="127"/>
      <c r="I2230" s="128"/>
      <c r="K2230" s="105" t="str">
        <f>IFERROR(__xludf.DUMMYFUNCTION("if(A2230="""","""",substitute(SUBSTITUTE(index(importhtml(""http://finviz.com/quote.ashx?t=""&amp;A2230,""table"",10),7,2),""*"",""""),""-"",""0.00""))"),"Loading...")</f>
        <v>Loading...</v>
      </c>
      <c r="L2230" s="129">
        <v>6.1997967E7</v>
      </c>
      <c r="M2230" s="99">
        <v>1.42</v>
      </c>
    </row>
    <row r="2231">
      <c r="A2231" s="122" t="s">
        <v>4878</v>
      </c>
      <c r="B2231" s="123">
        <v>1131343.0</v>
      </c>
      <c r="C2231" s="124" t="s">
        <v>4879</v>
      </c>
      <c r="D2231" s="125"/>
      <c r="E2231" s="126">
        <v>2.08</v>
      </c>
      <c r="F2231" s="127"/>
      <c r="G2231" s="127"/>
      <c r="H2231" s="127"/>
      <c r="I2231" s="128"/>
      <c r="K2231" s="105" t="str">
        <f>IFERROR(__xludf.DUMMYFUNCTION("if(A2231="""","""",substitute(SUBSTITUTE(index(importhtml(""http://finviz.com/quote.ashx?t=""&amp;A2231,""table"",10),7,2),""*"",""""),""-"",""0.00""))"),"Loading...")</f>
        <v>Loading...</v>
      </c>
      <c r="L2231" s="129">
        <v>1.2216989E7</v>
      </c>
      <c r="M2231" s="99">
        <v>0.99</v>
      </c>
    </row>
    <row r="2232">
      <c r="A2232" s="122" t="s">
        <v>4880</v>
      </c>
      <c r="B2232" s="123">
        <v>1536196.0</v>
      </c>
      <c r="C2232" s="124" t="s">
        <v>4881</v>
      </c>
      <c r="D2232" s="125"/>
      <c r="E2232" s="126">
        <v>2.08</v>
      </c>
      <c r="F2232" s="127"/>
      <c r="G2232" s="127"/>
      <c r="H2232" s="127"/>
      <c r="I2232" s="128"/>
      <c r="K2232" s="105" t="str">
        <f>IFERROR(__xludf.DUMMYFUNCTION("if(A2232="""","""",substitute(SUBSTITUTE(index(importhtml(""http://finviz.com/quote.ashx?t=""&amp;A2232,""table"",10),7,2),""*"",""""),""-"",""0.00""))"),"Loading...")</f>
        <v>Loading...</v>
      </c>
      <c r="L2232" s="129">
        <v>3.6559809E7</v>
      </c>
      <c r="M2232" s="99">
        <v>1.52</v>
      </c>
    </row>
    <row r="2233">
      <c r="A2233" s="122" t="s">
        <v>4882</v>
      </c>
      <c r="B2233" s="123">
        <v>1119083.0</v>
      </c>
      <c r="C2233" s="124" t="s">
        <v>4883</v>
      </c>
      <c r="D2233" s="125"/>
      <c r="E2233" s="126">
        <v>2.08</v>
      </c>
      <c r="F2233" s="127"/>
      <c r="G2233" s="127"/>
      <c r="H2233" s="127"/>
      <c r="I2233" s="128"/>
      <c r="K2233" s="105" t="str">
        <f>IFERROR(__xludf.DUMMYFUNCTION("if(A2233="""","""",substitute(SUBSTITUTE(index(importhtml(""http://finviz.com/quote.ashx?t=""&amp;A2233,""table"",10),7,2),""*"",""""),""-"",""0.00""))"),"Loading...")</f>
        <v>Loading...</v>
      </c>
      <c r="L2233" s="129">
        <v>4.1934504E7</v>
      </c>
      <c r="M2233" s="99">
        <v>0.78</v>
      </c>
    </row>
    <row r="2234">
      <c r="A2234" s="122" t="s">
        <v>4884</v>
      </c>
      <c r="B2234" s="123">
        <v>1594204.0</v>
      </c>
      <c r="C2234" s="124" t="s">
        <v>4885</v>
      </c>
      <c r="D2234" s="125"/>
      <c r="E2234" s="126">
        <v>2.08</v>
      </c>
      <c r="F2234" s="127"/>
      <c r="G2234" s="127"/>
      <c r="H2234" s="127"/>
      <c r="I2234" s="128"/>
      <c r="K2234" s="105" t="str">
        <f>IFERROR(__xludf.DUMMYFUNCTION("if(A2234="""","""",substitute(SUBSTITUTE(index(importhtml(""http://finviz.com/quote.ashx?t=""&amp;A2234,""table"",10),7,2),""*"",""""),""-"",""0.00""))"),"Loading...")</f>
        <v>Loading...</v>
      </c>
      <c r="L2234" s="129" t="e">
        <v>#N/A</v>
      </c>
      <c r="M2234" s="99">
        <v>-0.28</v>
      </c>
    </row>
    <row r="2235">
      <c r="A2235" s="122" t="s">
        <v>4886</v>
      </c>
      <c r="B2235" s="123">
        <v>1004724.0</v>
      </c>
      <c r="C2235" s="124" t="s">
        <v>4887</v>
      </c>
      <c r="D2235" s="125"/>
      <c r="E2235" s="126">
        <v>2.09</v>
      </c>
      <c r="F2235" s="127"/>
      <c r="G2235" s="127"/>
      <c r="H2235" s="127"/>
      <c r="I2235" s="128"/>
      <c r="K2235" s="105" t="str">
        <f>IFERROR(__xludf.DUMMYFUNCTION("if(A2235="""","""",substitute(SUBSTITUTE(index(importhtml(""http://finviz.com/quote.ashx?t=""&amp;A2235,""table"",10),7,2),""*"",""""),""-"",""0.00""))"),"Loading...")</f>
        <v>Loading...</v>
      </c>
      <c r="L2235" s="129">
        <v>3942868.0</v>
      </c>
      <c r="M2235" s="99">
        <v>1.23</v>
      </c>
    </row>
    <row r="2236">
      <c r="A2236" s="122" t="s">
        <v>4888</v>
      </c>
      <c r="B2236" s="123">
        <v>1656472.0</v>
      </c>
      <c r="C2236" s="124" t="s">
        <v>4889</v>
      </c>
      <c r="D2236" s="125"/>
      <c r="E2236" s="126">
        <v>2.09</v>
      </c>
      <c r="F2236" s="127"/>
      <c r="G2236" s="127"/>
      <c r="H2236" s="127"/>
      <c r="I2236" s="128"/>
      <c r="K2236" s="105" t="str">
        <f>IFERROR(__xludf.DUMMYFUNCTION("if(A2236="""","""",substitute(SUBSTITUTE(index(importhtml(""http://finviz.com/quote.ashx?t=""&amp;A2236,""table"",10),7,2),""*"",""""),""-"",""0.00""))"),"Loading...")</f>
        <v>Loading...</v>
      </c>
      <c r="L2236" s="129">
        <v>1.075262872E9</v>
      </c>
      <c r="M2236" s="99">
        <v>1.14</v>
      </c>
    </row>
    <row r="2237">
      <c r="A2237" s="122" t="s">
        <v>4890</v>
      </c>
      <c r="B2237" s="123">
        <v>1393883.0</v>
      </c>
      <c r="C2237" s="124" t="s">
        <v>4891</v>
      </c>
      <c r="D2237" s="125"/>
      <c r="E2237" s="126">
        <v>2.1</v>
      </c>
      <c r="F2237" s="127"/>
      <c r="G2237" s="127"/>
      <c r="H2237" s="127"/>
      <c r="I2237" s="128"/>
      <c r="K2237" s="55" t="s">
        <v>1034</v>
      </c>
      <c r="L2237" s="129">
        <v>9.831748E7</v>
      </c>
      <c r="M2237" s="99">
        <v>1.0</v>
      </c>
    </row>
    <row r="2238">
      <c r="A2238" s="122" t="s">
        <v>4892</v>
      </c>
      <c r="B2238" s="123">
        <v>1852353.0</v>
      </c>
      <c r="C2238" s="124" t="s">
        <v>4893</v>
      </c>
      <c r="D2238" s="125"/>
      <c r="E2238" s="126">
        <v>2.1</v>
      </c>
      <c r="F2238" s="127"/>
      <c r="G2238" s="127"/>
      <c r="H2238" s="127"/>
      <c r="I2238" s="128"/>
      <c r="K2238" s="55" t="s">
        <v>1034</v>
      </c>
      <c r="L2238" s="129">
        <v>5.12809896E8</v>
      </c>
      <c r="M2238" s="99">
        <f>IFERROR(__xludf.DUMMYFUNCTION("GOOGLEFINANCE(A2238,""beta"")"),1.13)</f>
        <v>1.13</v>
      </c>
    </row>
    <row r="2239">
      <c r="A2239" s="122" t="s">
        <v>4894</v>
      </c>
      <c r="B2239" s="123">
        <v>1886190.0</v>
      </c>
      <c r="C2239" s="124" t="s">
        <v>4895</v>
      </c>
      <c r="D2239" s="125"/>
      <c r="E2239" s="126">
        <v>2.1</v>
      </c>
      <c r="F2239" s="127"/>
      <c r="G2239" s="127"/>
      <c r="H2239" s="127"/>
      <c r="I2239" s="128"/>
      <c r="K2239" s="55" t="s">
        <v>1034</v>
      </c>
      <c r="L2239" s="129">
        <v>5.15252E8</v>
      </c>
      <c r="M2239" s="99">
        <f>IFERROR(__xludf.DUMMYFUNCTION("GOOGLEFINANCE(A2239,""beta"")"),0.96)</f>
        <v>0.96</v>
      </c>
    </row>
    <row r="2240">
      <c r="A2240" s="122" t="s">
        <v>4896</v>
      </c>
      <c r="B2240" s="123">
        <v>1063259.0</v>
      </c>
      <c r="C2240" s="124" t="s">
        <v>4897</v>
      </c>
      <c r="D2240" s="125"/>
      <c r="E2240" s="126">
        <v>2.1</v>
      </c>
      <c r="F2240" s="127"/>
      <c r="G2240" s="127"/>
      <c r="H2240" s="127"/>
      <c r="I2240" s="128"/>
      <c r="K2240" s="55" t="s">
        <v>1034</v>
      </c>
      <c r="L2240" s="129">
        <v>2.523627615E9</v>
      </c>
      <c r="M2240" s="99">
        <v>1.73</v>
      </c>
    </row>
    <row r="2241">
      <c r="A2241" s="122" t="s">
        <v>4898</v>
      </c>
      <c r="B2241" s="123">
        <v>1026785.0</v>
      </c>
      <c r="C2241" s="124" t="s">
        <v>4899</v>
      </c>
      <c r="D2241" s="125"/>
      <c r="E2241" s="126">
        <v>2.1</v>
      </c>
      <c r="F2241" s="127"/>
      <c r="G2241" s="127"/>
      <c r="H2241" s="127"/>
      <c r="I2241" s="128"/>
      <c r="K2241" s="105" t="str">
        <f>IFERROR(__xludf.DUMMYFUNCTION("if(A2241="""","""",substitute(SUBSTITUTE(index(importhtml(""http://finviz.com/quote.ashx?t=""&amp;A2241,""table"",10),7,2),""*"",""""),""-"",""0.00""))"),"Loading...")</f>
        <v>Loading...</v>
      </c>
      <c r="L2241" s="129">
        <v>9275327.0</v>
      </c>
      <c r="M2241" s="99">
        <v>0.04</v>
      </c>
    </row>
    <row r="2242">
      <c r="A2242" s="122" t="s">
        <v>4900</v>
      </c>
      <c r="B2242" s="123">
        <v>1840780.0</v>
      </c>
      <c r="C2242" s="124" t="s">
        <v>4901</v>
      </c>
      <c r="D2242" s="125"/>
      <c r="E2242" s="126">
        <v>2.1</v>
      </c>
      <c r="F2242" s="127"/>
      <c r="G2242" s="127"/>
      <c r="H2242" s="127"/>
      <c r="I2242" s="128"/>
      <c r="K2242" s="105" t="str">
        <f>IFERROR(__xludf.DUMMYFUNCTION("if(A2242="""","""",substitute(SUBSTITUTE(index(importhtml(""http://finviz.com/quote.ashx?t=""&amp;A2242,""table"",10),7,2),""*"",""""),""-"",""0.00""))"),"Loading...")</f>
        <v>Loading...</v>
      </c>
      <c r="L2242" s="129">
        <v>1.7370649E7</v>
      </c>
      <c r="M2242" s="99">
        <f>IFERROR(__xludf.DUMMYFUNCTION("GOOGLEFINANCE(A2242,""beta"")"),2.09)</f>
        <v>2.09</v>
      </c>
    </row>
    <row r="2243">
      <c r="A2243" s="122" t="s">
        <v>4902</v>
      </c>
      <c r="B2243" s="123">
        <v>1137091.0</v>
      </c>
      <c r="C2243" s="124" t="s">
        <v>4903</v>
      </c>
      <c r="D2243" s="125"/>
      <c r="E2243" s="126">
        <v>2.1</v>
      </c>
      <c r="F2243" s="127"/>
      <c r="G2243" s="127"/>
      <c r="H2243" s="127"/>
      <c r="I2243" s="128"/>
      <c r="K2243" s="105" t="str">
        <f>IFERROR(__xludf.DUMMYFUNCTION("if(A2243="""","""",substitute(SUBSTITUTE(index(importhtml(""http://finviz.com/quote.ashx?t=""&amp;A2243,""table"",10),7,2),""*"",""""),""-"",""0.00""))"),"Loading...")</f>
        <v>Loading...</v>
      </c>
      <c r="L2243" s="129">
        <v>4.823463E7</v>
      </c>
      <c r="M2243" s="99">
        <v>0.57</v>
      </c>
    </row>
    <row r="2244">
      <c r="A2244" s="122" t="s">
        <v>4904</v>
      </c>
      <c r="B2244" s="123">
        <v>1626971.0</v>
      </c>
      <c r="C2244" s="124" t="s">
        <v>4905</v>
      </c>
      <c r="D2244" s="125"/>
      <c r="E2244" s="126">
        <v>2.1</v>
      </c>
      <c r="F2244" s="127"/>
      <c r="G2244" s="127"/>
      <c r="H2244" s="127"/>
      <c r="I2244" s="128"/>
      <c r="K2244" s="105" t="str">
        <f>IFERROR(__xludf.DUMMYFUNCTION("if(A2244="""","""",substitute(SUBSTITUTE(index(importhtml(""http://finviz.com/quote.ashx?t=""&amp;A2244,""table"",10),7,2),""*"",""""),""-"",""0.00""))"),"Loading...")</f>
        <v>Loading...</v>
      </c>
      <c r="L2244" s="129">
        <v>1.02981034E8</v>
      </c>
      <c r="M2244" s="99">
        <v>1.05</v>
      </c>
    </row>
    <row r="2245">
      <c r="A2245" s="122" t="s">
        <v>4906</v>
      </c>
      <c r="B2245" s="123">
        <v>1370418.0</v>
      </c>
      <c r="C2245" s="124" t="s">
        <v>4907</v>
      </c>
      <c r="D2245" s="125"/>
      <c r="E2245" s="126">
        <v>2.1</v>
      </c>
      <c r="F2245" s="127"/>
      <c r="G2245" s="127"/>
      <c r="H2245" s="127"/>
      <c r="I2245" s="128"/>
      <c r="K2245" s="105" t="str">
        <f>IFERROR(__xludf.DUMMYFUNCTION("if(A2245="""","""",substitute(SUBSTITUTE(index(importhtml(""http://finviz.com/quote.ashx?t=""&amp;A2245,""table"",10),7,2),""*"",""""),""-"",""0.00""))"),"Loading...")</f>
        <v>Loading...</v>
      </c>
      <c r="L2245" s="129">
        <v>3.068513523E9</v>
      </c>
      <c r="M2245" s="99">
        <v>1.25</v>
      </c>
    </row>
    <row r="2246">
      <c r="A2246" s="122" t="s">
        <v>4908</v>
      </c>
      <c r="B2246" s="123">
        <v>1473334.0</v>
      </c>
      <c r="C2246" s="124" t="s">
        <v>4909</v>
      </c>
      <c r="D2246" s="125"/>
      <c r="E2246" s="126">
        <v>2.11</v>
      </c>
      <c r="F2246" s="127"/>
      <c r="G2246" s="127"/>
      <c r="H2246" s="127"/>
      <c r="I2246" s="128"/>
      <c r="K2246" s="105" t="str">
        <f>IFERROR(__xludf.DUMMYFUNCTION("if(A2246="""","""",substitute(SUBSTITUTE(index(importhtml(""http://finviz.com/quote.ashx?t=""&amp;A2246,""table"",10),7,2),""*"",""""),""-"",""0.00""))"),"Loading...")</f>
        <v>Loading...</v>
      </c>
      <c r="L2246" s="129">
        <v>3449432.0</v>
      </c>
      <c r="M2246" s="99">
        <v>1.22</v>
      </c>
    </row>
    <row r="2247">
      <c r="A2247" s="122" t="s">
        <v>4910</v>
      </c>
      <c r="B2247" s="123">
        <v>1827401.0</v>
      </c>
      <c r="C2247" s="124" t="s">
        <v>4911</v>
      </c>
      <c r="D2247" s="125"/>
      <c r="E2247" s="126">
        <v>2.11</v>
      </c>
      <c r="F2247" s="127"/>
      <c r="G2247" s="127"/>
      <c r="H2247" s="127"/>
      <c r="I2247" s="128"/>
      <c r="K2247" s="105" t="str">
        <f>IFERROR(__xludf.DUMMYFUNCTION("if(A2247="""","""",substitute(SUBSTITUTE(index(importhtml(""http://finviz.com/quote.ashx?t=""&amp;A2247,""table"",10),7,2),""*"",""""),""-"",""0.00""))"),"Loading...")</f>
        <v>Loading...</v>
      </c>
      <c r="L2247" s="129">
        <v>1.2636432E7</v>
      </c>
      <c r="M2247" s="99">
        <f>IFERROR(__xludf.DUMMYFUNCTION("GOOGLEFINANCE(A2247,""beta"")"),-6.07)</f>
        <v>-6.07</v>
      </c>
    </row>
    <row r="2248">
      <c r="A2248" s="122" t="s">
        <v>4912</v>
      </c>
      <c r="B2248" s="123">
        <v>1274737.0</v>
      </c>
      <c r="C2248" s="124" t="s">
        <v>4913</v>
      </c>
      <c r="D2248" s="125"/>
      <c r="E2248" s="126">
        <v>2.11</v>
      </c>
      <c r="F2248" s="127"/>
      <c r="G2248" s="127"/>
      <c r="H2248" s="127"/>
      <c r="I2248" s="128"/>
      <c r="K2248" s="105" t="str">
        <f>IFERROR(__xludf.DUMMYFUNCTION("if(A2248="""","""",substitute(SUBSTITUTE(index(importhtml(""http://finviz.com/quote.ashx?t=""&amp;A2248,""table"",10),7,2),""*"",""""),""-"",""0.00""))"),"Loading...")</f>
        <v>Loading...</v>
      </c>
      <c r="L2248" s="129">
        <v>3.5726286E7</v>
      </c>
      <c r="M2248" s="99">
        <v>1.22</v>
      </c>
    </row>
    <row r="2249">
      <c r="A2249" s="122" t="s">
        <v>4914</v>
      </c>
      <c r="B2249" s="123">
        <v>1506184.0</v>
      </c>
      <c r="C2249" s="124" t="s">
        <v>4915</v>
      </c>
      <c r="D2249" s="125"/>
      <c r="E2249" s="126">
        <v>2.11</v>
      </c>
      <c r="F2249" s="127"/>
      <c r="G2249" s="127"/>
      <c r="H2249" s="127"/>
      <c r="I2249" s="128"/>
      <c r="K2249" s="105" t="str">
        <f>IFERROR(__xludf.DUMMYFUNCTION("if(A2249="""","""",substitute(SUBSTITUTE(index(importhtml(""http://finviz.com/quote.ashx?t=""&amp;A2249,""table"",10),7,2),""*"",""""),""-"",""0.00""))"),"Loading...")</f>
        <v>Loading...</v>
      </c>
      <c r="L2249" s="129">
        <v>3.98259399E8</v>
      </c>
      <c r="M2249" s="99">
        <v>2.18</v>
      </c>
    </row>
    <row r="2250">
      <c r="A2250" s="122" t="s">
        <v>4916</v>
      </c>
      <c r="B2250" s="123">
        <v>1160106.0</v>
      </c>
      <c r="C2250" s="124" t="s">
        <v>3066</v>
      </c>
      <c r="D2250" s="125"/>
      <c r="E2250" s="126">
        <v>2.11</v>
      </c>
      <c r="F2250" s="127"/>
      <c r="G2250" s="127"/>
      <c r="H2250" s="127"/>
      <c r="I2250" s="128"/>
      <c r="K2250" s="105" t="str">
        <f>IFERROR(__xludf.DUMMYFUNCTION("if(A2250="""","""",substitute(SUBSTITUTE(index(importhtml(""http://finviz.com/quote.ashx?t=""&amp;A2250,""table"",10),7,2),""*"",""""),""-"",""0.00""))"),"Loading...")</f>
        <v>Loading...</v>
      </c>
      <c r="L2250" s="129">
        <v>3.3922953613E10</v>
      </c>
      <c r="M2250" s="99">
        <v>1.39</v>
      </c>
    </row>
    <row r="2251">
      <c r="A2251" s="122" t="s">
        <v>4917</v>
      </c>
      <c r="B2251" s="123">
        <v>1729944.0</v>
      </c>
      <c r="C2251" s="124" t="s">
        <v>4918</v>
      </c>
      <c r="D2251" s="125"/>
      <c r="E2251" s="126">
        <v>2.12</v>
      </c>
      <c r="F2251" s="127"/>
      <c r="G2251" s="127"/>
      <c r="H2251" s="127"/>
      <c r="I2251" s="128"/>
      <c r="K2251" s="105" t="str">
        <f>IFERROR(__xludf.DUMMYFUNCTION("if(A2251="""","""",substitute(SUBSTITUTE(index(importhtml(""http://finviz.com/quote.ashx?t=""&amp;A2251,""table"",10),7,2),""*"",""""),""-"",""0.00""))"),"Loading...")</f>
        <v>Loading...</v>
      </c>
      <c r="L2251" s="129">
        <v>2413238.0</v>
      </c>
      <c r="M2251" s="99">
        <v>0.18</v>
      </c>
    </row>
    <row r="2252">
      <c r="A2252" s="122" t="s">
        <v>4919</v>
      </c>
      <c r="B2252" s="123">
        <v>1342958.0</v>
      </c>
      <c r="C2252" s="124" t="s">
        <v>4920</v>
      </c>
      <c r="D2252" s="125"/>
      <c r="E2252" s="126">
        <v>2.12</v>
      </c>
      <c r="F2252" s="127"/>
      <c r="G2252" s="127"/>
      <c r="H2252" s="127"/>
      <c r="I2252" s="128"/>
      <c r="K2252" s="105" t="str">
        <f>IFERROR(__xludf.DUMMYFUNCTION("if(A2252="""","""",substitute(SUBSTITUTE(index(importhtml(""http://finviz.com/quote.ashx?t=""&amp;A2252,""table"",10),7,2),""*"",""""),""-"",""0.00""))"),"Loading...")</f>
        <v>Loading...</v>
      </c>
      <c r="L2252" s="129">
        <v>5915382.0</v>
      </c>
      <c r="M2252" s="99">
        <v>0.8</v>
      </c>
    </row>
    <row r="2253">
      <c r="A2253" s="122" t="s">
        <v>4921</v>
      </c>
      <c r="B2253" s="123">
        <v>1070050.0</v>
      </c>
      <c r="C2253" s="124" t="s">
        <v>4922</v>
      </c>
      <c r="D2253" s="125"/>
      <c r="E2253" s="126">
        <v>2.12</v>
      </c>
      <c r="F2253" s="127"/>
      <c r="G2253" s="127"/>
      <c r="H2253" s="127"/>
      <c r="I2253" s="128"/>
      <c r="K2253" s="105" t="str">
        <f>IFERROR(__xludf.DUMMYFUNCTION("if(A2253="""","""",substitute(SUBSTITUTE(index(importhtml(""http://finviz.com/quote.ashx?t=""&amp;A2253,""table"",10),7,2),""*"",""""),""-"",""0.00""))"),"Loading...")</f>
        <v>Loading...</v>
      </c>
      <c r="L2253" s="129">
        <v>4.386479E7</v>
      </c>
      <c r="M2253" s="99">
        <v>2.19</v>
      </c>
    </row>
    <row r="2254">
      <c r="A2254" s="122" t="s">
        <v>4923</v>
      </c>
      <c r="B2254" s="123">
        <v>1126741.0</v>
      </c>
      <c r="C2254" s="124" t="s">
        <v>4924</v>
      </c>
      <c r="D2254" s="125"/>
      <c r="E2254" s="126">
        <v>2.12</v>
      </c>
      <c r="F2254" s="127"/>
      <c r="G2254" s="127"/>
      <c r="H2254" s="127"/>
      <c r="I2254" s="128"/>
      <c r="K2254" s="105" t="str">
        <f>IFERROR(__xludf.DUMMYFUNCTION("if(A2254="""","""",substitute(SUBSTITUTE(index(importhtml(""http://finviz.com/quote.ashx?t=""&amp;A2254,""table"",10),7,2),""*"",""""),""-"",""0.00""))"),"Loading...")</f>
        <v>Loading...</v>
      </c>
      <c r="L2254" s="129">
        <v>5.3458213E7</v>
      </c>
      <c r="M2254" s="99">
        <v>0.81</v>
      </c>
    </row>
    <row r="2255">
      <c r="A2255" s="122" t="s">
        <v>4925</v>
      </c>
      <c r="B2255" s="123">
        <v>1439725.0</v>
      </c>
      <c r="C2255" s="124" t="s">
        <v>4926</v>
      </c>
      <c r="D2255" s="125"/>
      <c r="E2255" s="126">
        <v>2.12</v>
      </c>
      <c r="F2255" s="127"/>
      <c r="G2255" s="127"/>
      <c r="H2255" s="127"/>
      <c r="I2255" s="128"/>
      <c r="K2255" s="105" t="str">
        <f>IFERROR(__xludf.DUMMYFUNCTION("if(A2255="""","""",substitute(SUBSTITUTE(index(importhtml(""http://finviz.com/quote.ashx?t=""&amp;A2255,""table"",10),7,2),""*"",""""),""-"",""0.00""))"),"Loading...")</f>
        <v>Loading...</v>
      </c>
      <c r="L2255" s="129">
        <v>1.91809745E8</v>
      </c>
      <c r="M2255" s="99">
        <v>1.24</v>
      </c>
    </row>
    <row r="2256">
      <c r="A2256" s="122" t="s">
        <v>4927</v>
      </c>
      <c r="B2256" s="123">
        <v>1821159.0</v>
      </c>
      <c r="C2256" s="124" t="s">
        <v>4928</v>
      </c>
      <c r="D2256" s="125"/>
      <c r="E2256" s="126">
        <v>2.12</v>
      </c>
      <c r="F2256" s="127"/>
      <c r="G2256" s="127"/>
      <c r="H2256" s="127"/>
      <c r="I2256" s="128"/>
      <c r="K2256" s="105" t="str">
        <f>IFERROR(__xludf.DUMMYFUNCTION("if(A2256="""","""",substitute(SUBSTITUTE(index(importhtml(""http://finviz.com/quote.ashx?t=""&amp;A2256,""table"",10),7,2),""*"",""""),""-"",""0.00""))"),"Loading...")</f>
        <v>Loading...</v>
      </c>
      <c r="L2256" s="129">
        <v>6.34630021E8</v>
      </c>
      <c r="M2256" s="99">
        <v>2.41</v>
      </c>
    </row>
    <row r="2257">
      <c r="A2257" s="122" t="s">
        <v>4929</v>
      </c>
      <c r="B2257" s="123">
        <v>7623.0</v>
      </c>
      <c r="C2257" s="124" t="s">
        <v>4930</v>
      </c>
      <c r="D2257" s="125"/>
      <c r="E2257" s="126">
        <v>2.13</v>
      </c>
      <c r="F2257" s="127"/>
      <c r="G2257" s="127"/>
      <c r="H2257" s="127"/>
      <c r="I2257" s="128"/>
      <c r="K2257" s="105" t="str">
        <f>IFERROR(__xludf.DUMMYFUNCTION("if(A2257="""","""",substitute(SUBSTITUTE(index(importhtml(""http://finviz.com/quote.ashx?t=""&amp;A2257,""table"",10),7,2),""*"",""""),""-"",""0.00""))"),"Loading...")</f>
        <v>Loading...</v>
      </c>
      <c r="L2257" s="129">
        <v>1.0670391E7</v>
      </c>
      <c r="M2257" s="99">
        <v>0.4</v>
      </c>
    </row>
    <row r="2258">
      <c r="A2258" s="122" t="s">
        <v>4931</v>
      </c>
      <c r="B2258" s="123">
        <v>1610590.0</v>
      </c>
      <c r="C2258" s="124" t="s">
        <v>4932</v>
      </c>
      <c r="D2258" s="125"/>
      <c r="E2258" s="126">
        <v>2.13</v>
      </c>
      <c r="F2258" s="127"/>
      <c r="G2258" s="127"/>
      <c r="H2258" s="127"/>
      <c r="I2258" s="128"/>
      <c r="K2258" s="105" t="str">
        <f>IFERROR(__xludf.DUMMYFUNCTION("if(A2258="""","""",substitute(SUBSTITUTE(index(importhtml(""http://finviz.com/quote.ashx?t=""&amp;A2258,""table"",10),7,2),""*"",""""),""-"",""0.00""))"),"Loading...")</f>
        <v>Loading...</v>
      </c>
      <c r="L2258" s="129">
        <v>1.2458835E7</v>
      </c>
      <c r="M2258" s="99">
        <v>0.01</v>
      </c>
    </row>
    <row r="2259">
      <c r="A2259" s="122" t="s">
        <v>4933</v>
      </c>
      <c r="B2259" s="123">
        <v>1620179.0</v>
      </c>
      <c r="C2259" s="124" t="s">
        <v>4934</v>
      </c>
      <c r="D2259" s="125"/>
      <c r="E2259" s="126">
        <v>2.13</v>
      </c>
      <c r="F2259" s="127"/>
      <c r="G2259" s="127"/>
      <c r="H2259" s="127"/>
      <c r="I2259" s="128"/>
      <c r="K2259" s="105" t="str">
        <f>IFERROR(__xludf.DUMMYFUNCTION("if(A2259="""","""",substitute(SUBSTITUTE(index(importhtml(""http://finviz.com/quote.ashx?t=""&amp;A2259,""table"",10),7,2),""*"",""""),""-"",""0.00""))"),"Loading...")</f>
        <v>Loading...</v>
      </c>
      <c r="L2259" s="129">
        <v>1.3558202E7</v>
      </c>
      <c r="M2259" s="99">
        <v>1.85</v>
      </c>
    </row>
    <row r="2260">
      <c r="A2260" s="122" t="s">
        <v>4935</v>
      </c>
      <c r="B2260" s="123">
        <v>1725872.0</v>
      </c>
      <c r="C2260" s="124" t="s">
        <v>4936</v>
      </c>
      <c r="D2260" s="125"/>
      <c r="E2260" s="126">
        <v>2.13</v>
      </c>
      <c r="F2260" s="127"/>
      <c r="G2260" s="127"/>
      <c r="H2260" s="127"/>
      <c r="I2260" s="128"/>
      <c r="K2260" s="105" t="str">
        <f>IFERROR(__xludf.DUMMYFUNCTION("if(A2260="""","""",substitute(SUBSTITUTE(index(importhtml(""http://finviz.com/quote.ashx?t=""&amp;A2260,""table"",10),7,2),""*"",""""),""-"",""0.00""))"),"Loading...")</f>
        <v>Loading...</v>
      </c>
      <c r="L2260" s="129">
        <v>2.5223589E7</v>
      </c>
      <c r="M2260" s="99">
        <v>0.04</v>
      </c>
    </row>
    <row r="2261">
      <c r="A2261" s="122" t="s">
        <v>4937</v>
      </c>
      <c r="B2261" s="123">
        <v>1612940.0</v>
      </c>
      <c r="C2261" s="124" t="s">
        <v>4938</v>
      </c>
      <c r="D2261" s="125"/>
      <c r="E2261" s="126">
        <v>2.13</v>
      </c>
      <c r="F2261" s="127"/>
      <c r="G2261" s="127"/>
      <c r="H2261" s="127"/>
      <c r="I2261" s="128"/>
      <c r="K2261" s="105" t="str">
        <f>IFERROR(__xludf.DUMMYFUNCTION("if(A2261="""","""",substitute(SUBSTITUTE(index(importhtml(""http://finviz.com/quote.ashx?t=""&amp;A2261,""table"",10),7,2),""*"",""""),""-"",""0.00""))"),"Loading...")</f>
        <v>Loading...</v>
      </c>
      <c r="L2261" s="129">
        <v>1.72865505E8</v>
      </c>
      <c r="M2261" s="99">
        <v>0.2</v>
      </c>
    </row>
    <row r="2262">
      <c r="A2262" s="122" t="s">
        <v>4939</v>
      </c>
      <c r="B2262" s="123">
        <v>1857853.0</v>
      </c>
      <c r="C2262" s="124" t="s">
        <v>4940</v>
      </c>
      <c r="D2262" s="125"/>
      <c r="E2262" s="126">
        <v>2.13</v>
      </c>
      <c r="F2262" s="127"/>
      <c r="G2262" s="127"/>
      <c r="H2262" s="127"/>
      <c r="I2262" s="128"/>
      <c r="K2262" s="105" t="str">
        <f>IFERROR(__xludf.DUMMYFUNCTION("if(A2262="""","""",substitute(SUBSTITUTE(index(importhtml(""http://finviz.com/quote.ashx?t=""&amp;A2262,""table"",10),7,2),""*"",""""),""-"",""0.00""))"),"Loading...")</f>
        <v>Loading...</v>
      </c>
      <c r="L2262" s="129">
        <v>2.67973823E8</v>
      </c>
      <c r="M2262" s="99">
        <f>IFERROR(__xludf.DUMMYFUNCTION("GOOGLEFINANCE(A2262,""beta"")"),1.41)</f>
        <v>1.41</v>
      </c>
    </row>
    <row r="2263">
      <c r="A2263" s="122" t="s">
        <v>4941</v>
      </c>
      <c r="B2263" s="123">
        <v>1062822.0</v>
      </c>
      <c r="C2263" s="124" t="s">
        <v>4942</v>
      </c>
      <c r="D2263" s="125"/>
      <c r="E2263" s="126">
        <v>2.13</v>
      </c>
      <c r="F2263" s="127"/>
      <c r="G2263" s="127"/>
      <c r="H2263" s="127"/>
      <c r="I2263" s="128"/>
      <c r="K2263" s="105" t="str">
        <f>IFERROR(__xludf.DUMMYFUNCTION("if(A2263="""","""",substitute(SUBSTITUTE(index(importhtml(""http://finviz.com/quote.ashx?t=""&amp;A2263,""table"",10),7,2),""*"",""""),""-"",""0.00""))"),"Loading...")</f>
        <v>Loading...</v>
      </c>
      <c r="L2263" s="129">
        <v>5.19772425E8</v>
      </c>
      <c r="M2263" s="99">
        <v>1.23</v>
      </c>
    </row>
    <row r="2264">
      <c r="A2264" s="122" t="s">
        <v>4943</v>
      </c>
      <c r="B2264" s="123">
        <v>1437194.0</v>
      </c>
      <c r="C2264" s="124" t="s">
        <v>4944</v>
      </c>
      <c r="D2264" s="125"/>
      <c r="E2264" s="126">
        <v>2.13</v>
      </c>
      <c r="F2264" s="127"/>
      <c r="G2264" s="127"/>
      <c r="H2264" s="127"/>
      <c r="I2264" s="128"/>
      <c r="K2264" s="105" t="str">
        <f>IFERROR(__xludf.DUMMYFUNCTION("if(A2264="""","""",substitute(SUBSTITUTE(index(importhtml(""http://finviz.com/quote.ashx?t=""&amp;A2264,""table"",10),7,2),""*"",""""),""-"",""0.00""))"),"Loading...")</f>
        <v>Loading...</v>
      </c>
      <c r="L2264" s="129">
        <v>8.65330228E8</v>
      </c>
      <c r="M2264" s="99">
        <v>1.59</v>
      </c>
    </row>
    <row r="2265">
      <c r="A2265" s="122" t="s">
        <v>4945</v>
      </c>
      <c r="B2265" s="123">
        <v>1549084.0</v>
      </c>
      <c r="C2265" s="124" t="s">
        <v>4946</v>
      </c>
      <c r="D2265" s="125"/>
      <c r="E2265" s="126">
        <v>2.14</v>
      </c>
      <c r="F2265" s="127"/>
      <c r="G2265" s="127"/>
      <c r="H2265" s="127"/>
      <c r="I2265" s="128"/>
      <c r="K2265" s="105" t="str">
        <f>IFERROR(__xludf.DUMMYFUNCTION("if(A2265="""","""",substitute(SUBSTITUTE(index(importhtml(""http://finviz.com/quote.ashx?t=""&amp;A2265,""table"",10),7,2),""*"",""""),""-"",""0.00""))"),"Loading...")</f>
        <v>Loading...</v>
      </c>
      <c r="L2265" s="129">
        <v>3.8125086E7</v>
      </c>
      <c r="M2265" s="99">
        <v>1.73</v>
      </c>
    </row>
    <row r="2266">
      <c r="A2266" s="122" t="s">
        <v>4947</v>
      </c>
      <c r="B2266" s="123">
        <v>1178253.0</v>
      </c>
      <c r="C2266" s="124" t="s">
        <v>4948</v>
      </c>
      <c r="D2266" s="125"/>
      <c r="E2266" s="126">
        <v>2.14</v>
      </c>
      <c r="F2266" s="127"/>
      <c r="G2266" s="127"/>
      <c r="H2266" s="127"/>
      <c r="I2266" s="128"/>
      <c r="K2266" s="105" t="str">
        <f>IFERROR(__xludf.DUMMYFUNCTION("if(A2266="""","""",substitute(SUBSTITUTE(index(importhtml(""http://finviz.com/quote.ashx?t=""&amp;A2266,""table"",10),7,2),""*"",""""),""-"",""0.00""))"),"Loading...")</f>
        <v>Loading...</v>
      </c>
      <c r="L2266" s="129">
        <v>7.9624695E7</v>
      </c>
      <c r="M2266" s="99">
        <v>1.68</v>
      </c>
    </row>
    <row r="2267">
      <c r="A2267" s="122" t="s">
        <v>4949</v>
      </c>
      <c r="B2267" s="123">
        <v>704440.0</v>
      </c>
      <c r="C2267" s="124" t="s">
        <v>4950</v>
      </c>
      <c r="D2267" s="125"/>
      <c r="E2267" s="126">
        <v>2.14</v>
      </c>
      <c r="F2267" s="127"/>
      <c r="G2267" s="127"/>
      <c r="H2267" s="127"/>
      <c r="I2267" s="128"/>
      <c r="K2267" s="105" t="str">
        <f>IFERROR(__xludf.DUMMYFUNCTION("if(A2267="""","""",substitute(SUBSTITUTE(index(importhtml(""http://finviz.com/quote.ashx?t=""&amp;A2267,""table"",10),7,2),""*"",""""),""-"",""0.00""))"),"Loading...")</f>
        <v>Loading...</v>
      </c>
      <c r="L2267" s="129">
        <v>9.7732435E7</v>
      </c>
      <c r="M2267" s="99">
        <v>0.52</v>
      </c>
    </row>
    <row r="2268">
      <c r="A2268" s="122" t="s">
        <v>4951</v>
      </c>
      <c r="B2268" s="123">
        <v>1625414.0</v>
      </c>
      <c r="C2268" s="124" t="s">
        <v>4952</v>
      </c>
      <c r="D2268" s="125"/>
      <c r="E2268" s="126">
        <v>2.14</v>
      </c>
      <c r="F2268" s="127"/>
      <c r="G2268" s="127"/>
      <c r="H2268" s="127"/>
      <c r="I2268" s="128"/>
      <c r="K2268" s="105" t="str">
        <f>IFERROR(__xludf.DUMMYFUNCTION("if(A2268="""","""",substitute(SUBSTITUTE(index(importhtml(""http://finviz.com/quote.ashx?t=""&amp;A2268,""table"",10),7,2),""*"",""""),""-"",""0.00""))"),"Loading...")</f>
        <v>Loading...</v>
      </c>
      <c r="L2268" s="129">
        <v>1.29257825E8</v>
      </c>
      <c r="M2268" s="99">
        <v>0.57</v>
      </c>
    </row>
    <row r="2269">
      <c r="A2269" s="122" t="s">
        <v>4953</v>
      </c>
      <c r="B2269" s="123">
        <v>1799191.0</v>
      </c>
      <c r="C2269" s="124" t="s">
        <v>4954</v>
      </c>
      <c r="D2269" s="125"/>
      <c r="E2269" s="126">
        <v>2.14</v>
      </c>
      <c r="F2269" s="127"/>
      <c r="G2269" s="127"/>
      <c r="H2269" s="127"/>
      <c r="I2269" s="128"/>
      <c r="K2269" s="105" t="str">
        <f>IFERROR(__xludf.DUMMYFUNCTION("if(A2269="""","""",substitute(SUBSTITUTE(index(importhtml(""http://finviz.com/quote.ashx?t=""&amp;A2269,""table"",10),7,2),""*"",""""),""-"",""0.00""))"),"Loading...")</f>
        <v>Loading...</v>
      </c>
      <c r="L2269" s="129">
        <v>1.57822782E8</v>
      </c>
      <c r="M2269" s="99">
        <v>0.75</v>
      </c>
    </row>
    <row r="2270">
      <c r="A2270" s="122" t="s">
        <v>4955</v>
      </c>
      <c r="B2270" s="123">
        <v>1878897.0</v>
      </c>
      <c r="C2270" s="124" t="s">
        <v>4956</v>
      </c>
      <c r="D2270" s="125"/>
      <c r="E2270" s="126">
        <v>2.14</v>
      </c>
      <c r="F2270" s="127"/>
      <c r="G2270" s="127"/>
      <c r="H2270" s="127"/>
      <c r="I2270" s="128"/>
      <c r="K2270" s="105" t="str">
        <f>IFERROR(__xludf.DUMMYFUNCTION("if(A2270="""","""",substitute(SUBSTITUTE(index(importhtml(""http://finviz.com/quote.ashx?t=""&amp;A2270,""table"",10),7,2),""*"",""""),""-"",""0.00""))"),"Loading...")</f>
        <v>Loading...</v>
      </c>
      <c r="L2270" s="129">
        <v>1.89833652E8</v>
      </c>
      <c r="M2270" s="99">
        <f>IFERROR(__xludf.DUMMYFUNCTION("GOOGLEFINANCE(A2270,""beta"")"),1.74)</f>
        <v>1.74</v>
      </c>
    </row>
    <row r="2271">
      <c r="A2271" s="122" t="s">
        <v>4957</v>
      </c>
      <c r="B2271" s="123">
        <v>1738699.0</v>
      </c>
      <c r="C2271" s="124" t="s">
        <v>4958</v>
      </c>
      <c r="D2271" s="125"/>
      <c r="E2271" s="126">
        <v>2.15</v>
      </c>
      <c r="F2271" s="127"/>
      <c r="G2271" s="127"/>
      <c r="H2271" s="127"/>
      <c r="I2271" s="128"/>
      <c r="K2271" s="105" t="str">
        <f>IFERROR(__xludf.DUMMYFUNCTION("if(A2271="""","""",substitute(SUBSTITUTE(index(importhtml(""http://finviz.com/quote.ashx?t=""&amp;A2271,""table"",10),7,2),""*"",""""),""-"",""0.00""))"),"Loading...")</f>
        <v>Loading...</v>
      </c>
      <c r="L2271" s="129">
        <v>1.4338107E7</v>
      </c>
      <c r="M2271" s="99">
        <v>1.92</v>
      </c>
    </row>
    <row r="2272">
      <c r="A2272" s="122" t="s">
        <v>4959</v>
      </c>
      <c r="B2272" s="123">
        <v>1391135.0</v>
      </c>
      <c r="C2272" s="124" t="s">
        <v>4960</v>
      </c>
      <c r="D2272" s="125"/>
      <c r="E2272" s="126">
        <v>2.15</v>
      </c>
      <c r="F2272" s="127"/>
      <c r="G2272" s="127"/>
      <c r="H2272" s="127"/>
      <c r="I2272" s="128"/>
      <c r="K2272" s="105" t="str">
        <f>IFERROR(__xludf.DUMMYFUNCTION("if(A2272="""","""",substitute(SUBSTITUTE(index(importhtml(""http://finviz.com/quote.ashx?t=""&amp;A2272,""table"",10),7,2),""*"",""""),""-"",""0.00""))"),"Loading...")</f>
        <v>Loading...</v>
      </c>
      <c r="L2272" s="129">
        <v>3.183221E7</v>
      </c>
      <c r="M2272" s="99">
        <v>2.81</v>
      </c>
    </row>
    <row r="2273">
      <c r="A2273" s="122" t="s">
        <v>4961</v>
      </c>
      <c r="B2273" s="123">
        <v>1826892.0</v>
      </c>
      <c r="C2273" s="124" t="s">
        <v>4962</v>
      </c>
      <c r="D2273" s="125"/>
      <c r="E2273" s="126">
        <v>2.15</v>
      </c>
      <c r="F2273" s="127"/>
      <c r="G2273" s="127"/>
      <c r="H2273" s="127"/>
      <c r="I2273" s="128"/>
      <c r="K2273" s="105" t="str">
        <f>IFERROR(__xludf.DUMMYFUNCTION("if(A2273="""","""",substitute(SUBSTITUTE(index(importhtml(""http://finviz.com/quote.ashx?t=""&amp;A2273,""table"",10),7,2),""*"",""""),""-"",""0.00""))"),"Loading...")</f>
        <v>Loading...</v>
      </c>
      <c r="L2273" s="129">
        <v>1.03061974E8</v>
      </c>
      <c r="M2273" s="99">
        <v>0.83</v>
      </c>
    </row>
    <row r="2274">
      <c r="A2274" s="122" t="s">
        <v>4963</v>
      </c>
      <c r="B2274" s="123">
        <v>1400891.0</v>
      </c>
      <c r="C2274" s="124" t="s">
        <v>4964</v>
      </c>
      <c r="D2274" s="125"/>
      <c r="E2274" s="126">
        <v>2.15</v>
      </c>
      <c r="F2274" s="127"/>
      <c r="G2274" s="127"/>
      <c r="H2274" s="127"/>
      <c r="I2274" s="128"/>
      <c r="K2274" s="105" t="str">
        <f>IFERROR(__xludf.DUMMYFUNCTION("if(A2274="""","""",substitute(SUBSTITUTE(index(importhtml(""http://finviz.com/quote.ashx?t=""&amp;A2274,""table"",10),7,2),""*"",""""),""-"",""0.00""))"),"Loading...")</f>
        <v>Loading...</v>
      </c>
      <c r="L2274" s="129">
        <v>4.209513E8</v>
      </c>
      <c r="M2274" s="99">
        <f>IFERROR(__xludf.DUMMYFUNCTION("GOOGLEFINANCE(A2274,""beta"")"),-10.76)</f>
        <v>-10.76</v>
      </c>
    </row>
    <row r="2275">
      <c r="A2275" s="122" t="s">
        <v>4965</v>
      </c>
      <c r="B2275" s="123">
        <v>1447629.0</v>
      </c>
      <c r="C2275" s="124" t="s">
        <v>4966</v>
      </c>
      <c r="D2275" s="125"/>
      <c r="E2275" s="126">
        <v>2.15</v>
      </c>
      <c r="F2275" s="127"/>
      <c r="G2275" s="127"/>
      <c r="H2275" s="127"/>
      <c r="I2275" s="128"/>
      <c r="K2275" s="105" t="str">
        <f>IFERROR(__xludf.DUMMYFUNCTION("if(A2275="""","""",substitute(SUBSTITUTE(index(importhtml(""http://finviz.com/quote.ashx?t=""&amp;A2275,""table"",10),7,2),""*"",""""),""-"",""0.00""))"),"Loading...")</f>
        <v>Loading...</v>
      </c>
      <c r="L2275" s="129">
        <v>4.5796966105E10</v>
      </c>
      <c r="M2275" s="99">
        <v>0.61</v>
      </c>
    </row>
    <row r="2276">
      <c r="A2276" s="122" t="s">
        <v>4967</v>
      </c>
      <c r="B2276" s="123">
        <v>1720265.0</v>
      </c>
      <c r="C2276" s="124" t="s">
        <v>4968</v>
      </c>
      <c r="D2276" s="125"/>
      <c r="E2276" s="126">
        <v>2.16</v>
      </c>
      <c r="F2276" s="127"/>
      <c r="G2276" s="127"/>
      <c r="H2276" s="127"/>
      <c r="I2276" s="128"/>
      <c r="K2276" s="105" t="str">
        <f>IFERROR(__xludf.DUMMYFUNCTION("if(A2276="""","""",substitute(SUBSTITUTE(index(importhtml(""http://finviz.com/quote.ashx?t=""&amp;A2276,""table"",10),7,2),""*"",""""),""-"",""0.00""))"),"Loading...")</f>
        <v>Loading...</v>
      </c>
      <c r="L2276" s="129">
        <v>8159832.0</v>
      </c>
      <c r="M2276" s="99">
        <f>IFERROR(__xludf.DUMMYFUNCTION("GOOGLEFINANCE(A2276,""beta"")"),4.32)</f>
        <v>4.32</v>
      </c>
    </row>
    <row r="2277">
      <c r="A2277" s="122" t="s">
        <v>4969</v>
      </c>
      <c r="B2277" s="123">
        <v>1004434.0</v>
      </c>
      <c r="C2277" s="124" t="s">
        <v>4970</v>
      </c>
      <c r="D2277" s="125"/>
      <c r="E2277" s="126">
        <v>2.16</v>
      </c>
      <c r="F2277" s="127"/>
      <c r="G2277" s="127"/>
      <c r="H2277" s="127"/>
      <c r="I2277" s="128"/>
      <c r="K2277" s="105" t="str">
        <f>IFERROR(__xludf.DUMMYFUNCTION("if(A2277="""","""",substitute(SUBSTITUTE(index(importhtml(""http://finviz.com/quote.ashx?t=""&amp;A2277,""table"",10),7,2),""*"",""""),""-"",""0.00""))"),"Loading...")</f>
        <v>Loading...</v>
      </c>
      <c r="L2277" s="129">
        <v>8.523057938E9</v>
      </c>
      <c r="M2277" s="99">
        <f>IFERROR(__xludf.DUMMYFUNCTION("GOOGLEFINANCE(A2277,""beta"")"),0.55)</f>
        <v>0.55</v>
      </c>
    </row>
    <row r="2278">
      <c r="A2278" s="122" t="s">
        <v>4971</v>
      </c>
      <c r="B2278" s="123">
        <v>1692705.0</v>
      </c>
      <c r="C2278" s="124" t="s">
        <v>4972</v>
      </c>
      <c r="D2278" s="125"/>
      <c r="E2278" s="126">
        <v>2.17</v>
      </c>
      <c r="F2278" s="127"/>
      <c r="G2278" s="127"/>
      <c r="H2278" s="127"/>
      <c r="I2278" s="128"/>
      <c r="K2278" s="55" t="s">
        <v>1034</v>
      </c>
      <c r="L2278" s="129">
        <v>4.8803063E8</v>
      </c>
      <c r="M2278" s="99">
        <v>0.72</v>
      </c>
    </row>
    <row r="2279">
      <c r="A2279" s="122" t="s">
        <v>4973</v>
      </c>
      <c r="B2279" s="123">
        <v>1289340.0</v>
      </c>
      <c r="C2279" s="124" t="s">
        <v>4974</v>
      </c>
      <c r="D2279" s="125"/>
      <c r="E2279" s="126">
        <v>2.17</v>
      </c>
      <c r="F2279" s="127"/>
      <c r="G2279" s="127"/>
      <c r="H2279" s="127"/>
      <c r="I2279" s="128"/>
      <c r="K2279" s="105" t="str">
        <f>IFERROR(__xludf.DUMMYFUNCTION("if(A2279="""","""",substitute(SUBSTITUTE(index(importhtml(""http://finviz.com/quote.ashx?t=""&amp;A2279,""table"",10),7,2),""*"",""""),""-"",""0.00""))"),"Loading...")</f>
        <v>Loading...</v>
      </c>
      <c r="L2279" s="129">
        <v>1.75519436E8</v>
      </c>
      <c r="M2279" s="99" t="str">
        <f>IFERROR(__xludf.DUMMYFUNCTION("GOOGLEFINANCE(A2279,""beta"")"),"#N/A")</f>
        <v>#N/A</v>
      </c>
    </row>
    <row r="2280">
      <c r="A2280" s="122" t="s">
        <v>4975</v>
      </c>
      <c r="B2280" s="123">
        <v>1061069.0</v>
      </c>
      <c r="C2280" s="124" t="s">
        <v>4976</v>
      </c>
      <c r="D2280" s="125"/>
      <c r="E2280" s="126">
        <v>2.18</v>
      </c>
      <c r="F2280" s="127"/>
      <c r="G2280" s="127"/>
      <c r="H2280" s="127"/>
      <c r="I2280" s="128"/>
      <c r="K2280" s="55" t="s">
        <v>1034</v>
      </c>
      <c r="L2280" s="129">
        <v>8500759.0</v>
      </c>
      <c r="M2280" s="99">
        <v>0.78</v>
      </c>
    </row>
    <row r="2281">
      <c r="A2281" s="122" t="s">
        <v>4977</v>
      </c>
      <c r="B2281" s="123">
        <v>96885.0</v>
      </c>
      <c r="C2281" s="124" t="s">
        <v>4978</v>
      </c>
      <c r="D2281" s="125"/>
      <c r="E2281" s="126">
        <v>2.18</v>
      </c>
      <c r="F2281" s="127"/>
      <c r="G2281" s="127"/>
      <c r="H2281" s="127"/>
      <c r="I2281" s="128"/>
      <c r="K2281" s="105" t="str">
        <f>IFERROR(__xludf.DUMMYFUNCTION("if(A2281="""","""",substitute(SUBSTITUTE(index(importhtml(""http://finviz.com/quote.ashx?t=""&amp;A2281,""table"",10),7,2),""*"",""""),""-"",""0.00""))"),"Loading...")</f>
        <v>Loading...</v>
      </c>
      <c r="L2281" s="129">
        <v>7097833.0</v>
      </c>
      <c r="M2281" s="99">
        <v>0.08</v>
      </c>
    </row>
    <row r="2282">
      <c r="A2282" s="122" t="s">
        <v>4979</v>
      </c>
      <c r="B2282" s="123">
        <v>1065078.0</v>
      </c>
      <c r="C2282" s="124" t="s">
        <v>4980</v>
      </c>
      <c r="D2282" s="125"/>
      <c r="E2282" s="126">
        <v>2.18</v>
      </c>
      <c r="F2282" s="127"/>
      <c r="G2282" s="127"/>
      <c r="H2282" s="127"/>
      <c r="I2282" s="128"/>
      <c r="K2282" s="105" t="str">
        <f>IFERROR(__xludf.DUMMYFUNCTION("if(A2282="""","""",substitute(SUBSTITUTE(index(importhtml(""http://finviz.com/quote.ashx?t=""&amp;A2282,""table"",10),7,2),""*"",""""),""-"",""0.00""))"),"Loading...")</f>
        <v>Loading...</v>
      </c>
      <c r="L2282" s="129">
        <v>5.1514753E7</v>
      </c>
      <c r="M2282" s="99">
        <v>0.14</v>
      </c>
    </row>
    <row r="2283">
      <c r="A2283" s="122" t="s">
        <v>4981</v>
      </c>
      <c r="B2283" s="123">
        <v>1434868.0</v>
      </c>
      <c r="C2283" s="124" t="s">
        <v>4982</v>
      </c>
      <c r="D2283" s="125"/>
      <c r="E2283" s="126">
        <v>2.19</v>
      </c>
      <c r="F2283" s="127"/>
      <c r="G2283" s="127"/>
      <c r="H2283" s="127"/>
      <c r="I2283" s="128"/>
      <c r="K2283" s="105" t="str">
        <f>IFERROR(__xludf.DUMMYFUNCTION("if(A2283="""","""",substitute(SUBSTITUTE(index(importhtml(""http://finviz.com/quote.ashx?t=""&amp;A2283,""table"",10),7,2),""*"",""""),""-"",""0.00""))"),"Loading...")</f>
        <v>Loading...</v>
      </c>
      <c r="L2283" s="129">
        <v>3.74119023E8</v>
      </c>
      <c r="M2283" s="99">
        <v>0.79</v>
      </c>
    </row>
    <row r="2284">
      <c r="A2284" s="122" t="s">
        <v>4983</v>
      </c>
      <c r="B2284" s="123">
        <v>1701963.0</v>
      </c>
      <c r="C2284" s="124" t="s">
        <v>4984</v>
      </c>
      <c r="D2284" s="125"/>
      <c r="E2284" s="126">
        <v>2.2</v>
      </c>
      <c r="F2284" s="127"/>
      <c r="G2284" s="127"/>
      <c r="H2284" s="127"/>
      <c r="I2284" s="128"/>
      <c r="K2284" s="55" t="s">
        <v>1034</v>
      </c>
      <c r="L2284" s="129">
        <v>5444463.0</v>
      </c>
      <c r="M2284" s="99">
        <v>1.81</v>
      </c>
    </row>
    <row r="2285">
      <c r="A2285" s="122" t="s">
        <v>4985</v>
      </c>
      <c r="B2285" s="123">
        <v>1518461.0</v>
      </c>
      <c r="C2285" s="124" t="s">
        <v>4986</v>
      </c>
      <c r="D2285" s="125"/>
      <c r="E2285" s="126">
        <v>2.2</v>
      </c>
      <c r="F2285" s="127"/>
      <c r="G2285" s="127"/>
      <c r="H2285" s="127"/>
      <c r="I2285" s="128"/>
      <c r="K2285" s="105" t="str">
        <f>IFERROR(__xludf.DUMMYFUNCTION("if(A2285="""","""",substitute(SUBSTITUTE(index(importhtml(""http://finviz.com/quote.ashx?t=""&amp;A2285,""table"",10),7,2),""*"",""""),""-"",""0.00""))"),"Loading...")</f>
        <v>Loading...</v>
      </c>
      <c r="L2285" s="129">
        <v>2.1311651E7</v>
      </c>
      <c r="M2285" s="99">
        <v>0.88</v>
      </c>
    </row>
    <row r="2286">
      <c r="A2286" s="122" t="s">
        <v>4987</v>
      </c>
      <c r="B2286" s="123">
        <v>1702780.0</v>
      </c>
      <c r="C2286" s="124" t="s">
        <v>4988</v>
      </c>
      <c r="D2286" s="125"/>
      <c r="E2286" s="126">
        <v>2.2</v>
      </c>
      <c r="F2286" s="127"/>
      <c r="G2286" s="127"/>
      <c r="H2286" s="127"/>
      <c r="I2286" s="128"/>
      <c r="K2286" s="105" t="str">
        <f>IFERROR(__xludf.DUMMYFUNCTION("if(A2286="""","""",substitute(SUBSTITUTE(index(importhtml(""http://finviz.com/quote.ashx?t=""&amp;A2286,""table"",10),7,2),""*"",""""),""-"",""0.00""))"),"Loading...")</f>
        <v>Loading...</v>
      </c>
      <c r="L2286" s="129">
        <v>1.000477521E9</v>
      </c>
      <c r="M2286" s="99">
        <v>1.33</v>
      </c>
    </row>
    <row r="2287">
      <c r="A2287" s="122" t="s">
        <v>4989</v>
      </c>
      <c r="B2287" s="123">
        <v>1831833.0</v>
      </c>
      <c r="C2287" s="124" t="s">
        <v>4990</v>
      </c>
      <c r="D2287" s="125"/>
      <c r="E2287" s="126">
        <v>2.2</v>
      </c>
      <c r="F2287" s="127"/>
      <c r="G2287" s="127"/>
      <c r="H2287" s="127"/>
      <c r="I2287" s="128"/>
      <c r="K2287" s="105" t="str">
        <f>IFERROR(__xludf.DUMMYFUNCTION("if(A2287="""","""",substitute(SUBSTITUTE(index(importhtml(""http://finviz.com/quote.ashx?t=""&amp;A2287,""table"",10),7,2),""*"",""""),""-"",""0.00""))"),"Loading...")</f>
        <v>Loading...</v>
      </c>
      <c r="L2287" s="129">
        <v>5.77102418E9</v>
      </c>
      <c r="M2287" s="99" t="str">
        <f>IFERROR(__xludf.DUMMYFUNCTION("GOOGLEFINANCE(A2287,""beta"")"),"#N/A")</f>
        <v>#N/A</v>
      </c>
    </row>
    <row r="2288">
      <c r="A2288" s="122" t="s">
        <v>4991</v>
      </c>
      <c r="B2288" s="123">
        <v>1823878.0</v>
      </c>
      <c r="C2288" s="124" t="s">
        <v>4992</v>
      </c>
      <c r="D2288" s="125"/>
      <c r="E2288" s="126">
        <v>2.21</v>
      </c>
      <c r="F2288" s="127"/>
      <c r="G2288" s="127"/>
      <c r="H2288" s="127"/>
      <c r="I2288" s="128"/>
      <c r="K2288" s="105" t="str">
        <f>IFERROR(__xludf.DUMMYFUNCTION("if(A2288="""","""",substitute(SUBSTITUTE(index(importhtml(""http://finviz.com/quote.ashx?t=""&amp;A2288,""table"",10),7,2),""*"",""""),""-"",""0.00""))"),"Loading...")</f>
        <v>Loading...</v>
      </c>
      <c r="L2288" s="129">
        <v>2.96208294E8</v>
      </c>
      <c r="M2288" s="99">
        <v>0.45</v>
      </c>
    </row>
    <row r="2289">
      <c r="A2289" s="122" t="s">
        <v>4993</v>
      </c>
      <c r="B2289" s="123">
        <v>1631282.0</v>
      </c>
      <c r="C2289" s="124" t="s">
        <v>4994</v>
      </c>
      <c r="D2289" s="125"/>
      <c r="E2289" s="126">
        <v>2.22</v>
      </c>
      <c r="F2289" s="127"/>
      <c r="G2289" s="127"/>
      <c r="H2289" s="127"/>
      <c r="I2289" s="128"/>
      <c r="K2289" s="105" t="str">
        <f>IFERROR(__xludf.DUMMYFUNCTION("if(A2289="""","""",substitute(SUBSTITUTE(index(importhtml(""http://finviz.com/quote.ashx?t=""&amp;A2289,""table"",10),7,2),""*"",""""),""-"",""0.00""))"),"Loading...")</f>
        <v>Loading...</v>
      </c>
      <c r="L2289" s="129">
        <v>5628020.0</v>
      </c>
      <c r="M2289" s="99">
        <v>0.14</v>
      </c>
    </row>
    <row r="2290">
      <c r="A2290" s="122" t="s">
        <v>4995</v>
      </c>
      <c r="B2290" s="123">
        <v>1729214.0</v>
      </c>
      <c r="C2290" s="124" t="s">
        <v>4996</v>
      </c>
      <c r="D2290" s="125"/>
      <c r="E2290" s="126">
        <v>2.22</v>
      </c>
      <c r="F2290" s="127"/>
      <c r="G2290" s="127"/>
      <c r="H2290" s="127"/>
      <c r="I2290" s="128"/>
      <c r="K2290" s="105" t="str">
        <f>IFERROR(__xludf.DUMMYFUNCTION("if(A2290="""","""",substitute(SUBSTITUTE(index(importhtml(""http://finviz.com/quote.ashx?t=""&amp;A2290,""table"",10),7,2),""*"",""""),""-"",""0.00""))"),"Loading...")</f>
        <v>Loading...</v>
      </c>
      <c r="L2290" s="129">
        <v>6256388.0</v>
      </c>
      <c r="M2290" s="99">
        <v>355.34</v>
      </c>
    </row>
    <row r="2291">
      <c r="A2291" s="122" t="s">
        <v>4997</v>
      </c>
      <c r="B2291" s="123">
        <v>1107421.0</v>
      </c>
      <c r="C2291" s="124" t="s">
        <v>4998</v>
      </c>
      <c r="D2291" s="125"/>
      <c r="E2291" s="126">
        <v>2.22</v>
      </c>
      <c r="F2291" s="127"/>
      <c r="G2291" s="127"/>
      <c r="H2291" s="127"/>
      <c r="I2291" s="128"/>
      <c r="K2291" s="105" t="str">
        <f>IFERROR(__xludf.DUMMYFUNCTION("if(A2291="""","""",substitute(SUBSTITUTE(index(importhtml(""http://finviz.com/quote.ashx?t=""&amp;A2291,""table"",10),7,2),""*"",""""),""-"",""0.00""))"),"Loading...")</f>
        <v>Loading...</v>
      </c>
      <c r="L2291" s="129">
        <v>3.5612796E7</v>
      </c>
      <c r="M2291" s="99">
        <v>-1.59</v>
      </c>
    </row>
    <row r="2292">
      <c r="A2292" s="122" t="s">
        <v>4999</v>
      </c>
      <c r="B2292" s="123">
        <v>1817229.0</v>
      </c>
      <c r="C2292" s="124" t="s">
        <v>5000</v>
      </c>
      <c r="D2292" s="125"/>
      <c r="E2292" s="126">
        <v>2.22</v>
      </c>
      <c r="F2292" s="127"/>
      <c r="G2292" s="127"/>
      <c r="H2292" s="127"/>
      <c r="I2292" s="128"/>
      <c r="K2292" s="105" t="str">
        <f>IFERROR(__xludf.DUMMYFUNCTION("if(A2292="""","""",substitute(SUBSTITUTE(index(importhtml(""http://finviz.com/quote.ashx?t=""&amp;A2292,""table"",10),7,2),""*"",""""),""-"",""0.00""))"),"Loading...")</f>
        <v>Loading...</v>
      </c>
      <c r="L2292" s="129">
        <v>1.50528655E8</v>
      </c>
      <c r="M2292" s="99">
        <f>IFERROR(__xludf.DUMMYFUNCTION("GOOGLEFINANCE(A2292,""beta"")"),2.02)</f>
        <v>2.02</v>
      </c>
    </row>
    <row r="2293">
      <c r="A2293" s="122" t="s">
        <v>5001</v>
      </c>
      <c r="B2293" s="123">
        <v>1828852.0</v>
      </c>
      <c r="C2293" s="124" t="s">
        <v>5002</v>
      </c>
      <c r="D2293" s="125"/>
      <c r="E2293" s="126">
        <v>2.22</v>
      </c>
      <c r="F2293" s="127"/>
      <c r="G2293" s="127"/>
      <c r="H2293" s="127"/>
      <c r="I2293" s="128"/>
      <c r="K2293" s="105" t="str">
        <f>IFERROR(__xludf.DUMMYFUNCTION("if(A2293="""","""",substitute(SUBSTITUTE(index(importhtml(""http://finviz.com/quote.ashx?t=""&amp;A2293,""table"",10),7,2),""*"",""""),""-"",""0.00""))"),"Loading...")</f>
        <v>Loading...</v>
      </c>
      <c r="L2293" s="129">
        <v>1.90521157E8</v>
      </c>
      <c r="M2293" s="99" t="str">
        <f>IFERROR(__xludf.DUMMYFUNCTION("GOOGLEFINANCE(A2293,""beta"")"),"#N/A")</f>
        <v>#N/A</v>
      </c>
    </row>
    <row r="2294">
      <c r="A2294" s="122" t="s">
        <v>5003</v>
      </c>
      <c r="B2294" s="123">
        <v>1015383.0</v>
      </c>
      <c r="C2294" s="124" t="s">
        <v>5004</v>
      </c>
      <c r="D2294" s="125"/>
      <c r="E2294" s="126">
        <v>2.22</v>
      </c>
      <c r="F2294" s="127"/>
      <c r="G2294" s="127"/>
      <c r="H2294" s="127"/>
      <c r="I2294" s="128"/>
      <c r="K2294" s="105" t="str">
        <f>IFERROR(__xludf.DUMMYFUNCTION("if(A2294="""","""",substitute(SUBSTITUTE(index(importhtml(""http://finviz.com/quote.ashx?t=""&amp;A2294,""table"",10),7,2),""*"",""""),""-"",""0.00""))"),"Loading...")</f>
        <v>Loading...</v>
      </c>
      <c r="L2294" s="129">
        <v>2.62982757E8</v>
      </c>
      <c r="M2294" s="99">
        <v>0.26</v>
      </c>
    </row>
    <row r="2295">
      <c r="A2295" s="122" t="s">
        <v>5005</v>
      </c>
      <c r="B2295" s="123">
        <v>1130166.0</v>
      </c>
      <c r="C2295" s="124" t="s">
        <v>5006</v>
      </c>
      <c r="D2295" s="125"/>
      <c r="E2295" s="126">
        <v>2.23</v>
      </c>
      <c r="F2295" s="127"/>
      <c r="G2295" s="127"/>
      <c r="H2295" s="127"/>
      <c r="I2295" s="128"/>
      <c r="K2295" s="105" t="str">
        <f>IFERROR(__xludf.DUMMYFUNCTION("if(A2295="""","""",substitute(SUBSTITUTE(index(importhtml(""http://finviz.com/quote.ashx?t=""&amp;A2295,""table"",10),7,2),""*"",""""),""-"",""0.00""))"),"Loading...")</f>
        <v>Loading...</v>
      </c>
      <c r="L2295" s="129">
        <v>2255319.0</v>
      </c>
      <c r="M2295" s="99">
        <v>0.53</v>
      </c>
    </row>
    <row r="2296">
      <c r="A2296" s="122" t="s">
        <v>5007</v>
      </c>
      <c r="B2296" s="123">
        <v>1157075.0</v>
      </c>
      <c r="C2296" s="124" t="s">
        <v>5008</v>
      </c>
      <c r="D2296" s="125"/>
      <c r="E2296" s="126">
        <v>2.23</v>
      </c>
      <c r="F2296" s="127"/>
      <c r="G2296" s="127"/>
      <c r="H2296" s="127"/>
      <c r="I2296" s="128"/>
      <c r="K2296" s="105" t="str">
        <f>IFERROR(__xludf.DUMMYFUNCTION("if(A2296="""","""",substitute(SUBSTITUTE(index(importhtml(""http://finviz.com/quote.ashx?t=""&amp;A2296,""table"",10),7,2),""*"",""""),""-"",""0.00""))"),"Loading...")</f>
        <v>Loading...</v>
      </c>
      <c r="L2296" s="129">
        <v>1.9169601E7</v>
      </c>
      <c r="M2296" s="99">
        <v>-0.17</v>
      </c>
    </row>
    <row r="2297">
      <c r="A2297" s="122" t="s">
        <v>5009</v>
      </c>
      <c r="B2297" s="123">
        <v>1814423.0</v>
      </c>
      <c r="C2297" s="124" t="s">
        <v>5010</v>
      </c>
      <c r="D2297" s="125"/>
      <c r="E2297" s="126">
        <v>2.24</v>
      </c>
      <c r="F2297" s="127"/>
      <c r="G2297" s="127"/>
      <c r="H2297" s="127"/>
      <c r="I2297" s="128"/>
      <c r="K2297" s="55" t="s">
        <v>1034</v>
      </c>
      <c r="L2297" s="129">
        <v>1.20566768E8</v>
      </c>
      <c r="M2297" s="99">
        <v>0.47</v>
      </c>
    </row>
    <row r="2298">
      <c r="A2298" s="122" t="s">
        <v>5011</v>
      </c>
      <c r="B2298" s="123">
        <v>1499780.0</v>
      </c>
      <c r="C2298" s="124" t="s">
        <v>5012</v>
      </c>
      <c r="D2298" s="125"/>
      <c r="E2298" s="126">
        <v>2.24</v>
      </c>
      <c r="F2298" s="127"/>
      <c r="G2298" s="127"/>
      <c r="H2298" s="127"/>
      <c r="I2298" s="128"/>
      <c r="K2298" s="105" t="str">
        <f>IFERROR(__xludf.DUMMYFUNCTION("if(A2298="""","""",substitute(SUBSTITUTE(index(importhtml(""http://finviz.com/quote.ashx?t=""&amp;A2298,""table"",10),7,2),""*"",""""),""-"",""0.00""))"),"Loading...")</f>
        <v>Loading...</v>
      </c>
      <c r="L2298" s="129">
        <v>4.6104352E7</v>
      </c>
      <c r="M2298" s="99">
        <v>0.16</v>
      </c>
    </row>
    <row r="2299">
      <c r="A2299" s="122" t="s">
        <v>5013</v>
      </c>
      <c r="B2299" s="123">
        <v>1517228.0</v>
      </c>
      <c r="C2299" s="124" t="s">
        <v>5014</v>
      </c>
      <c r="D2299" s="125"/>
      <c r="E2299" s="126">
        <v>2.24</v>
      </c>
      <c r="F2299" s="127"/>
      <c r="G2299" s="127"/>
      <c r="H2299" s="127"/>
      <c r="I2299" s="128"/>
      <c r="K2299" s="105" t="str">
        <f>IFERROR(__xludf.DUMMYFUNCTION("if(A2299="""","""",substitute(SUBSTITUTE(index(importhtml(""http://finviz.com/quote.ashx?t=""&amp;A2299,""table"",10),7,2),""*"",""""),""-"",""0.00""))"),"Loading...")</f>
        <v>Loading...</v>
      </c>
      <c r="L2299" s="129">
        <v>7.76749347E8</v>
      </c>
      <c r="M2299" s="99">
        <v>2.12</v>
      </c>
    </row>
    <row r="2300">
      <c r="A2300" s="122" t="s">
        <v>5015</v>
      </c>
      <c r="B2300" s="123">
        <v>1812477.0</v>
      </c>
      <c r="C2300" s="124" t="s">
        <v>5016</v>
      </c>
      <c r="D2300" s="125"/>
      <c r="E2300" s="126">
        <v>2.24</v>
      </c>
      <c r="F2300" s="127"/>
      <c r="G2300" s="127"/>
      <c r="H2300" s="127"/>
      <c r="I2300" s="128"/>
      <c r="K2300" s="105" t="str">
        <f>IFERROR(__xludf.DUMMYFUNCTION("if(A2300="""","""",substitute(SUBSTITUTE(index(importhtml(""http://finviz.com/quote.ashx?t=""&amp;A2300,""table"",10),7,2),""*"",""""),""-"",""0.00""))"),"Loading...")</f>
        <v>Loading...</v>
      </c>
      <c r="L2300" s="129">
        <v>1.0024599E9</v>
      </c>
      <c r="M2300" s="99">
        <v>56.76</v>
      </c>
    </row>
    <row r="2301">
      <c r="A2301" s="122" t="s">
        <v>5017</v>
      </c>
      <c r="B2301" s="123">
        <v>1836833.0</v>
      </c>
      <c r="C2301" s="124" t="s">
        <v>5018</v>
      </c>
      <c r="D2301" s="125"/>
      <c r="E2301" s="126">
        <v>2.25</v>
      </c>
      <c r="F2301" s="127"/>
      <c r="G2301" s="127"/>
      <c r="H2301" s="127"/>
      <c r="I2301" s="128"/>
      <c r="K2301" s="55" t="s">
        <v>1034</v>
      </c>
      <c r="L2301" s="129">
        <v>6.47158275E8</v>
      </c>
      <c r="M2301" s="99">
        <f>IFERROR(__xludf.DUMMYFUNCTION("GOOGLEFINANCE(A2301,""beta"")"),1.99)</f>
        <v>1.99</v>
      </c>
    </row>
    <row r="2302">
      <c r="A2302" s="122" t="s">
        <v>5019</v>
      </c>
      <c r="B2302" s="123">
        <v>1039280.0</v>
      </c>
      <c r="C2302" s="124" t="s">
        <v>5020</v>
      </c>
      <c r="D2302" s="125"/>
      <c r="E2302" s="126">
        <v>2.25</v>
      </c>
      <c r="F2302" s="127"/>
      <c r="G2302" s="127"/>
      <c r="H2302" s="127"/>
      <c r="I2302" s="128"/>
      <c r="K2302" s="105" t="str">
        <f>IFERROR(__xludf.DUMMYFUNCTION("if(A2302="""","""",substitute(SUBSTITUTE(index(importhtml(""http://finviz.com/quote.ashx?t=""&amp;A2302,""table"",10),7,2),""*"",""""),""-"",""0.00""))"),"Loading...")</f>
        <v>Loading...</v>
      </c>
      <c r="L2302" s="129">
        <v>2.5529872E7</v>
      </c>
      <c r="M2302" s="99">
        <v>1.07</v>
      </c>
    </row>
    <row r="2303">
      <c r="A2303" s="122" t="s">
        <v>5021</v>
      </c>
      <c r="B2303" s="123">
        <v>1532286.0</v>
      </c>
      <c r="C2303" s="124" t="s">
        <v>5022</v>
      </c>
      <c r="D2303" s="125"/>
      <c r="E2303" s="126">
        <v>2.25</v>
      </c>
      <c r="F2303" s="127"/>
      <c r="G2303" s="127"/>
      <c r="H2303" s="127"/>
      <c r="I2303" s="128"/>
      <c r="K2303" s="105" t="str">
        <f>IFERROR(__xludf.DUMMYFUNCTION("if(A2303="""","""",substitute(SUBSTITUTE(index(importhtml(""http://finviz.com/quote.ashx?t=""&amp;A2303,""table"",10),7,2),""*"",""""),""-"",""0.00""))"),"Loading...")</f>
        <v>Loading...</v>
      </c>
      <c r="L2303" s="129">
        <v>7.9480935E7</v>
      </c>
      <c r="M2303" s="99">
        <v>0.25</v>
      </c>
    </row>
    <row r="2304">
      <c r="A2304" s="122" t="s">
        <v>5023</v>
      </c>
      <c r="B2304" s="123">
        <v>1176334.0</v>
      </c>
      <c r="C2304" s="124" t="s">
        <v>5024</v>
      </c>
      <c r="D2304" s="125"/>
      <c r="E2304" s="126">
        <v>2.25</v>
      </c>
      <c r="F2304" s="127"/>
      <c r="G2304" s="127"/>
      <c r="H2304" s="127"/>
      <c r="I2304" s="128"/>
      <c r="K2304" s="105" t="str">
        <f>IFERROR(__xludf.DUMMYFUNCTION("if(A2304="""","""",substitute(SUBSTITUTE(index(importhtml(""http://finviz.com/quote.ashx?t=""&amp;A2304,""table"",10),7,2),""*"",""""),""-"",""0.00""))"),"Loading...")</f>
        <v>Loading...</v>
      </c>
      <c r="L2304" s="129">
        <v>8.75583E7</v>
      </c>
      <c r="M2304" s="99">
        <v>2.11</v>
      </c>
    </row>
    <row r="2305">
      <c r="A2305" s="122" t="s">
        <v>5025</v>
      </c>
      <c r="B2305" s="123">
        <v>1530256.0</v>
      </c>
      <c r="C2305" s="124" t="s">
        <v>5026</v>
      </c>
      <c r="D2305" s="125"/>
      <c r="E2305" s="126">
        <v>2.25</v>
      </c>
      <c r="F2305" s="127"/>
      <c r="G2305" s="127"/>
      <c r="H2305" s="127"/>
      <c r="I2305" s="128"/>
      <c r="K2305" s="105" t="str">
        <f>IFERROR(__xludf.DUMMYFUNCTION("if(A2305="""","""",substitute(SUBSTITUTE(index(importhtml(""http://finviz.com/quote.ashx?t=""&amp;A2305,""table"",10),7,2),""*"",""""),""-"",""0.00""))"),"Loading...")</f>
        <v>Loading...</v>
      </c>
      <c r="L2305" s="129">
        <v>2.479324546E9</v>
      </c>
      <c r="M2305" s="99">
        <v>0.88</v>
      </c>
    </row>
    <row r="2306">
      <c r="A2306" s="122" t="s">
        <v>5027</v>
      </c>
      <c r="B2306" s="123">
        <v>1157557.0</v>
      </c>
      <c r="C2306" s="124" t="s">
        <v>5028</v>
      </c>
      <c r="D2306" s="125"/>
      <c r="E2306" s="126">
        <v>2.26</v>
      </c>
      <c r="F2306" s="127"/>
      <c r="G2306" s="127"/>
      <c r="H2306" s="127"/>
      <c r="I2306" s="128"/>
      <c r="K2306" s="55" t="s">
        <v>4800</v>
      </c>
      <c r="L2306" s="129">
        <v>2.7468263329E10</v>
      </c>
      <c r="M2306" s="99">
        <v>1.12</v>
      </c>
    </row>
    <row r="2307">
      <c r="A2307" s="122" t="s">
        <v>5029</v>
      </c>
      <c r="B2307" s="123">
        <v>1313275.0</v>
      </c>
      <c r="C2307" s="124" t="s">
        <v>5030</v>
      </c>
      <c r="D2307" s="125"/>
      <c r="E2307" s="126">
        <v>2.26</v>
      </c>
      <c r="F2307" s="127"/>
      <c r="G2307" s="127"/>
      <c r="H2307" s="127"/>
      <c r="I2307" s="128"/>
      <c r="K2307" s="105" t="str">
        <f>IFERROR(__xludf.DUMMYFUNCTION("if(A2307="""","""",substitute(SUBSTITUTE(index(importhtml(""http://finviz.com/quote.ashx?t=""&amp;A2307,""table"",10),7,2),""*"",""""),""-"",""0.00""))"),"Loading...")</f>
        <v>Loading...</v>
      </c>
      <c r="L2307" s="129">
        <v>9.8246787E7</v>
      </c>
      <c r="M2307" s="99">
        <v>0.72</v>
      </c>
    </row>
    <row r="2308">
      <c r="A2308" s="122" t="s">
        <v>5031</v>
      </c>
      <c r="B2308" s="123">
        <v>1863006.0</v>
      </c>
      <c r="C2308" s="124" t="s">
        <v>5032</v>
      </c>
      <c r="D2308" s="125"/>
      <c r="E2308" s="126">
        <v>2.26</v>
      </c>
      <c r="F2308" s="127"/>
      <c r="G2308" s="127"/>
      <c r="H2308" s="127"/>
      <c r="I2308" s="128"/>
      <c r="K2308" s="105" t="str">
        <f>IFERROR(__xludf.DUMMYFUNCTION("if(A2308="""","""",substitute(SUBSTITUTE(index(importhtml(""http://finviz.com/quote.ashx?t=""&amp;A2308,""table"",10),7,2),""*"",""""),""-"",""0.00""))"),"Loading...")</f>
        <v>Loading...</v>
      </c>
      <c r="L2308" s="129">
        <v>2.34442455E8</v>
      </c>
      <c r="M2308" s="99">
        <v>0.32</v>
      </c>
    </row>
    <row r="2309">
      <c r="A2309" s="122" t="s">
        <v>5033</v>
      </c>
      <c r="B2309" s="123">
        <v>1854078.0</v>
      </c>
      <c r="C2309" s="124" t="s">
        <v>5034</v>
      </c>
      <c r="D2309" s="125"/>
      <c r="E2309" s="126">
        <v>2.27</v>
      </c>
      <c r="F2309" s="127"/>
      <c r="G2309" s="127"/>
      <c r="H2309" s="127"/>
      <c r="I2309" s="128"/>
      <c r="K2309" s="105" t="str">
        <f>IFERROR(__xludf.DUMMYFUNCTION("if(A2309="""","""",substitute(SUBSTITUTE(index(importhtml(""http://finviz.com/quote.ashx?t=""&amp;A2309,""table"",10),7,2),""*"",""""),""-"",""0.00""))"),"Loading...")</f>
        <v>Loading...</v>
      </c>
      <c r="L2309" s="129">
        <v>2.3757084E7</v>
      </c>
      <c r="M2309" s="99">
        <f>IFERROR(__xludf.DUMMYFUNCTION("GOOGLEFINANCE(A2309,""beta"")"),0.71)</f>
        <v>0.71</v>
      </c>
    </row>
    <row r="2310">
      <c r="A2310" s="122" t="s">
        <v>5035</v>
      </c>
      <c r="B2310" s="123">
        <v>25743.0</v>
      </c>
      <c r="C2310" s="124" t="s">
        <v>5036</v>
      </c>
      <c r="D2310" s="125"/>
      <c r="E2310" s="126">
        <v>2.27</v>
      </c>
      <c r="F2310" s="127"/>
      <c r="G2310" s="127"/>
      <c r="H2310" s="127"/>
      <c r="I2310" s="128"/>
      <c r="K2310" s="105" t="str">
        <f>IFERROR(__xludf.DUMMYFUNCTION("if(A2310="""","""",substitute(SUBSTITUTE(index(importhtml(""http://finviz.com/quote.ashx?t=""&amp;A2310,""table"",10),7,2),""*"",""""),""-"",""0.00""))"),"Loading...")</f>
        <v>Loading...</v>
      </c>
      <c r="L2310" s="129">
        <v>2.4005771E7</v>
      </c>
      <c r="M2310" s="99">
        <v>1.02</v>
      </c>
    </row>
    <row r="2311">
      <c r="A2311" s="122" t="s">
        <v>5037</v>
      </c>
      <c r="B2311" s="123">
        <v>1709505.0</v>
      </c>
      <c r="C2311" s="124" t="s">
        <v>5038</v>
      </c>
      <c r="D2311" s="125"/>
      <c r="E2311" s="126">
        <v>2.27</v>
      </c>
      <c r="F2311" s="127"/>
      <c r="G2311" s="127"/>
      <c r="H2311" s="127"/>
      <c r="I2311" s="128"/>
      <c r="K2311" s="105" t="str">
        <f>IFERROR(__xludf.DUMMYFUNCTION("if(A2311="""","""",substitute(SUBSTITUTE(index(importhtml(""http://finviz.com/quote.ashx?t=""&amp;A2311,""table"",10),7,2),""*"",""""),""-"",""0.00""))"),"Loading...")</f>
        <v>Loading...</v>
      </c>
      <c r="L2311" s="129">
        <v>4.5092142E7</v>
      </c>
      <c r="M2311" s="99">
        <v>1.03</v>
      </c>
    </row>
    <row r="2312">
      <c r="A2312" s="122" t="s">
        <v>5039</v>
      </c>
      <c r="B2312" s="123">
        <v>1844512.0</v>
      </c>
      <c r="C2312" s="124" t="s">
        <v>5040</v>
      </c>
      <c r="D2312" s="125"/>
      <c r="E2312" s="126">
        <v>2.28</v>
      </c>
      <c r="F2312" s="127"/>
      <c r="G2312" s="127"/>
      <c r="H2312" s="127"/>
      <c r="I2312" s="128"/>
      <c r="K2312" s="105" t="str">
        <f>IFERROR(__xludf.DUMMYFUNCTION("if(A2312="""","""",substitute(SUBSTITUTE(index(importhtml(""http://finviz.com/quote.ashx?t=""&amp;A2312,""table"",10),7,2),""*"",""""),""-"",""0.00""))"),"Loading...")</f>
        <v>Loading...</v>
      </c>
      <c r="L2312" s="129">
        <v>9.143531E7</v>
      </c>
      <c r="M2312" s="99" t="str">
        <f>IFERROR(__xludf.DUMMYFUNCTION("GOOGLEFINANCE(A2312,""beta"")"),"#N/A")</f>
        <v>#N/A</v>
      </c>
    </row>
    <row r="2313">
      <c r="A2313" s="122" t="s">
        <v>5041</v>
      </c>
      <c r="B2313" s="123">
        <v>1848739.0</v>
      </c>
      <c r="C2313" s="124" t="s">
        <v>5042</v>
      </c>
      <c r="D2313" s="125"/>
      <c r="E2313" s="126">
        <v>2.28</v>
      </c>
      <c r="F2313" s="127"/>
      <c r="G2313" s="127"/>
      <c r="H2313" s="127"/>
      <c r="I2313" s="128"/>
      <c r="K2313" s="105" t="str">
        <f>IFERROR(__xludf.DUMMYFUNCTION("if(A2313="""","""",substitute(SUBSTITUTE(index(importhtml(""http://finviz.com/quote.ashx?t=""&amp;A2313,""table"",10),7,2),""*"",""""),""-"",""0.00""))"),"Loading...")</f>
        <v>Loading...</v>
      </c>
      <c r="L2313" s="129">
        <v>4.50127023E8</v>
      </c>
      <c r="M2313" s="99">
        <f>IFERROR(__xludf.DUMMYFUNCTION("GOOGLEFINANCE(A2313,""beta"")"),2.51)</f>
        <v>2.51</v>
      </c>
    </row>
    <row r="2314">
      <c r="A2314" s="122" t="s">
        <v>5043</v>
      </c>
      <c r="B2314" s="123">
        <v>1805651.0</v>
      </c>
      <c r="C2314" s="124" t="s">
        <v>5044</v>
      </c>
      <c r="D2314" s="125"/>
      <c r="E2314" s="126">
        <v>2.28</v>
      </c>
      <c r="F2314" s="127"/>
      <c r="G2314" s="127"/>
      <c r="H2314" s="127"/>
      <c r="I2314" s="128"/>
      <c r="K2314" s="105" t="str">
        <f>IFERROR(__xludf.DUMMYFUNCTION("if(A2314="""","""",substitute(SUBSTITUTE(index(importhtml(""http://finviz.com/quote.ashx?t=""&amp;A2314,""table"",10),7,2),""*"",""""),""-"",""0.00""))"),"Loading...")</f>
        <v>Loading...</v>
      </c>
      <c r="L2314" s="129">
        <v>7.46676506E8</v>
      </c>
      <c r="M2314" s="99">
        <v>0.62</v>
      </c>
    </row>
    <row r="2315">
      <c r="A2315" s="122" t="s">
        <v>5045</v>
      </c>
      <c r="B2315" s="123">
        <v>1396033.0</v>
      </c>
      <c r="C2315" s="124" t="s">
        <v>5046</v>
      </c>
      <c r="D2315" s="125"/>
      <c r="E2315" s="126">
        <v>2.29</v>
      </c>
      <c r="F2315" s="127"/>
      <c r="G2315" s="127"/>
      <c r="H2315" s="127"/>
      <c r="I2315" s="128"/>
      <c r="K2315" s="55" t="s">
        <v>1034</v>
      </c>
      <c r="L2315" s="129">
        <v>7.0675696E7</v>
      </c>
      <c r="M2315" s="99">
        <v>1.96</v>
      </c>
    </row>
    <row r="2316">
      <c r="A2316" s="122" t="s">
        <v>5047</v>
      </c>
      <c r="B2316" s="123">
        <v>1574085.0</v>
      </c>
      <c r="C2316" s="124" t="s">
        <v>5048</v>
      </c>
      <c r="D2316" s="125"/>
      <c r="E2316" s="126">
        <v>2.29</v>
      </c>
      <c r="F2316" s="127"/>
      <c r="G2316" s="127"/>
      <c r="H2316" s="127"/>
      <c r="I2316" s="128"/>
      <c r="K2316" s="55" t="s">
        <v>5049</v>
      </c>
      <c r="L2316" s="129">
        <v>1.51125959E8</v>
      </c>
      <c r="M2316" s="99">
        <v>2.25</v>
      </c>
    </row>
    <row r="2317">
      <c r="A2317" s="122" t="s">
        <v>5050</v>
      </c>
      <c r="B2317" s="123">
        <v>1455365.0</v>
      </c>
      <c r="C2317" s="124" t="s">
        <v>5051</v>
      </c>
      <c r="D2317" s="125"/>
      <c r="E2317" s="126">
        <v>2.29</v>
      </c>
      <c r="F2317" s="127"/>
      <c r="G2317" s="127"/>
      <c r="H2317" s="127"/>
      <c r="I2317" s="128"/>
      <c r="K2317" s="105" t="str">
        <f>IFERROR(__xludf.DUMMYFUNCTION("if(A2317="""","""",substitute(SUBSTITUTE(index(importhtml(""http://finviz.com/quote.ashx?t=""&amp;A2317,""table"",10),7,2),""*"",""""),""-"",""0.00""))"),"Loading...")</f>
        <v>Loading...</v>
      </c>
      <c r="L2317" s="129">
        <v>7.3559058E7</v>
      </c>
      <c r="M2317" s="99">
        <f>IFERROR(__xludf.DUMMYFUNCTION("GOOGLEFINANCE(A2317,""beta"")"),1.23)</f>
        <v>1.23</v>
      </c>
    </row>
    <row r="2318">
      <c r="A2318" s="122" t="s">
        <v>5052</v>
      </c>
      <c r="B2318" s="123">
        <v>1819394.0</v>
      </c>
      <c r="C2318" s="124" t="s">
        <v>5053</v>
      </c>
      <c r="D2318" s="125"/>
      <c r="E2318" s="126">
        <v>2.29</v>
      </c>
      <c r="F2318" s="127"/>
      <c r="G2318" s="127"/>
      <c r="H2318" s="127"/>
      <c r="I2318" s="128"/>
      <c r="K2318" s="105" t="str">
        <f>IFERROR(__xludf.DUMMYFUNCTION("if(A2318="""","""",substitute(SUBSTITUTE(index(importhtml(""http://finviz.com/quote.ashx?t=""&amp;A2318,""table"",10),7,2),""*"",""""),""-"",""0.00""))"),"Loading...")</f>
        <v>Loading...</v>
      </c>
      <c r="L2318" s="129">
        <v>6.99962075E8</v>
      </c>
      <c r="M2318" s="99" t="str">
        <f>IFERROR(__xludf.DUMMYFUNCTION("GOOGLEFINANCE(A2318,""beta"")"),"#N/A")</f>
        <v>#N/A</v>
      </c>
    </row>
    <row r="2319">
      <c r="A2319" s="122" t="s">
        <v>5054</v>
      </c>
      <c r="B2319" s="123">
        <v>1800682.0</v>
      </c>
      <c r="C2319" s="124" t="s">
        <v>5055</v>
      </c>
      <c r="D2319" s="125"/>
      <c r="E2319" s="126">
        <v>2.3</v>
      </c>
      <c r="F2319" s="127"/>
      <c r="G2319" s="127"/>
      <c r="H2319" s="127"/>
      <c r="I2319" s="128"/>
      <c r="K2319" s="105" t="str">
        <f>IFERROR(__xludf.DUMMYFUNCTION("if(A2319="""","""",substitute(SUBSTITUTE(index(importhtml(""http://finviz.com/quote.ashx?t=""&amp;A2319,""table"",10),7,2),""*"",""""),""-"",""0.00""))"),"Loading...")</f>
        <v>Loading...</v>
      </c>
      <c r="L2319" s="129">
        <v>1.2434954E7</v>
      </c>
      <c r="M2319" s="99" t="str">
        <f>IFERROR(__xludf.DUMMYFUNCTION("GOOGLEFINANCE(A2319,""beta"")"),"#N/A")</f>
        <v>#N/A</v>
      </c>
    </row>
    <row r="2320">
      <c r="A2320" s="122" t="s">
        <v>5056</v>
      </c>
      <c r="B2320" s="123">
        <v>1218683.0</v>
      </c>
      <c r="C2320" s="124" t="s">
        <v>5057</v>
      </c>
      <c r="D2320" s="125"/>
      <c r="E2320" s="126">
        <v>2.3</v>
      </c>
      <c r="F2320" s="127"/>
      <c r="G2320" s="127"/>
      <c r="H2320" s="127"/>
      <c r="I2320" s="128"/>
      <c r="K2320" s="105" t="str">
        <f>IFERROR(__xludf.DUMMYFUNCTION("if(A2320="""","""",substitute(SUBSTITUTE(index(importhtml(""http://finviz.com/quote.ashx?t=""&amp;A2320,""table"",10),7,2),""*"",""""),""-"",""0.00""))"),"Loading...")</f>
        <v>Loading...</v>
      </c>
      <c r="L2320" s="129">
        <v>3.8282832E7</v>
      </c>
      <c r="M2320" s="99">
        <v>3.22</v>
      </c>
    </row>
    <row r="2321">
      <c r="A2321" s="122" t="s">
        <v>5058</v>
      </c>
      <c r="B2321" s="123">
        <v>1851194.0</v>
      </c>
      <c r="C2321" s="124" t="s">
        <v>5059</v>
      </c>
      <c r="D2321" s="125"/>
      <c r="E2321" s="126">
        <v>2.3</v>
      </c>
      <c r="F2321" s="127"/>
      <c r="G2321" s="127"/>
      <c r="H2321" s="127"/>
      <c r="I2321" s="128"/>
      <c r="K2321" s="105" t="str">
        <f>IFERROR(__xludf.DUMMYFUNCTION("if(A2321="""","""",substitute(SUBSTITUTE(index(importhtml(""http://finviz.com/quote.ashx?t=""&amp;A2321,""table"",10),7,2),""*"",""""),""-"",""0.00""))"),"Loading...")</f>
        <v>Loading...</v>
      </c>
      <c r="L2321" s="129">
        <v>1.35810673E8</v>
      </c>
      <c r="M2321" s="99">
        <f>IFERROR(__xludf.DUMMYFUNCTION("GOOGLEFINANCE(A2321,""beta"")"),1.23)</f>
        <v>1.23</v>
      </c>
    </row>
    <row r="2322">
      <c r="A2322" s="122" t="s">
        <v>5060</v>
      </c>
      <c r="B2322" s="123">
        <v>946936.0</v>
      </c>
      <c r="C2322" s="124" t="s">
        <v>5061</v>
      </c>
      <c r="D2322" s="125"/>
      <c r="E2322" s="126">
        <v>2.31</v>
      </c>
      <c r="F2322" s="127"/>
      <c r="G2322" s="127"/>
      <c r="H2322" s="127"/>
      <c r="I2322" s="128"/>
      <c r="K2322" s="105" t="str">
        <f>IFERROR(__xludf.DUMMYFUNCTION("if(A2322="""","""",substitute(SUBSTITUTE(index(importhtml(""http://finviz.com/quote.ashx?t=""&amp;A2322,""table"",10),7,2),""*"",""""),""-"",""0.00""))"),"Loading...")</f>
        <v>Loading...</v>
      </c>
      <c r="L2322" s="129">
        <v>3.6811999E7</v>
      </c>
      <c r="M2322" s="99">
        <v>0.53</v>
      </c>
    </row>
    <row r="2323">
      <c r="A2323" s="122" t="s">
        <v>5062</v>
      </c>
      <c r="B2323" s="123">
        <v>1899830.0</v>
      </c>
      <c r="C2323" s="124" t="s">
        <v>5063</v>
      </c>
      <c r="D2323" s="125"/>
      <c r="E2323" s="126">
        <v>2.31</v>
      </c>
      <c r="F2323" s="127"/>
      <c r="G2323" s="127"/>
      <c r="H2323" s="127"/>
      <c r="I2323" s="128"/>
      <c r="K2323" s="105" t="str">
        <f>IFERROR(__xludf.DUMMYFUNCTION("if(A2323="""","""",substitute(SUBSTITUTE(index(importhtml(""http://finviz.com/quote.ashx?t=""&amp;A2323,""table"",10),7,2),""*"",""""),""-"",""0.00""))"),"Loading...")</f>
        <v>Loading...</v>
      </c>
      <c r="L2323" s="129">
        <v>2.72753936E8</v>
      </c>
      <c r="M2323" s="99">
        <v>0.88</v>
      </c>
    </row>
    <row r="2324">
      <c r="A2324" s="122" t="s">
        <v>5064</v>
      </c>
      <c r="B2324" s="123">
        <v>1057861.0</v>
      </c>
      <c r="C2324" s="124" t="s">
        <v>5065</v>
      </c>
      <c r="D2324" s="125"/>
      <c r="E2324" s="126">
        <v>2.32</v>
      </c>
      <c r="F2324" s="127"/>
      <c r="G2324" s="127"/>
      <c r="H2324" s="127"/>
      <c r="I2324" s="128"/>
      <c r="K2324" s="55" t="s">
        <v>5066</v>
      </c>
      <c r="L2324" s="129">
        <v>1.69839847E8</v>
      </c>
      <c r="M2324" s="99">
        <v>0.86</v>
      </c>
    </row>
    <row r="2325">
      <c r="A2325" s="122" t="s">
        <v>5067</v>
      </c>
      <c r="B2325" s="123">
        <v>1546296.0</v>
      </c>
      <c r="C2325" s="124" t="s">
        <v>5068</v>
      </c>
      <c r="D2325" s="125"/>
      <c r="E2325" s="126">
        <v>2.32</v>
      </c>
      <c r="F2325" s="127"/>
      <c r="G2325" s="127"/>
      <c r="H2325" s="127"/>
      <c r="I2325" s="128"/>
      <c r="K2325" s="105" t="str">
        <f>IFERROR(__xludf.DUMMYFUNCTION("if(A2325="""","""",substitute(SUBSTITUTE(index(importhtml(""http://finviz.com/quote.ashx?t=""&amp;A2325,""table"",10),7,2),""*"",""""),""-"",""0.00""))"),"Loading...")</f>
        <v>Loading...</v>
      </c>
      <c r="L2325" s="129">
        <v>2.5683512E7</v>
      </c>
      <c r="M2325" s="99">
        <v>2.18</v>
      </c>
    </row>
    <row r="2326">
      <c r="A2326" s="122" t="s">
        <v>5069</v>
      </c>
      <c r="B2326" s="123">
        <v>1482430.0</v>
      </c>
      <c r="C2326" s="124" t="s">
        <v>5070</v>
      </c>
      <c r="D2326" s="125"/>
      <c r="E2326" s="126">
        <v>2.32</v>
      </c>
      <c r="F2326" s="127"/>
      <c r="G2326" s="127"/>
      <c r="H2326" s="127"/>
      <c r="I2326" s="128"/>
      <c r="K2326" s="105" t="str">
        <f>IFERROR(__xludf.DUMMYFUNCTION("if(A2326="""","""",substitute(SUBSTITUTE(index(importhtml(""http://finviz.com/quote.ashx?t=""&amp;A2326,""table"",10),7,2),""*"",""""),""-"",""0.00""))"),"Loading...")</f>
        <v>Loading...</v>
      </c>
      <c r="L2326" s="129">
        <v>3.45506652E8</v>
      </c>
      <c r="M2326" s="99" t="str">
        <f>IFERROR(__xludf.DUMMYFUNCTION("GOOGLEFINANCE(A2326,""beta"")"),"#N/A")</f>
        <v>#N/A</v>
      </c>
    </row>
    <row r="2327">
      <c r="A2327" s="122" t="s">
        <v>5071</v>
      </c>
      <c r="B2327" s="123">
        <v>1174940.0</v>
      </c>
      <c r="C2327" s="124" t="s">
        <v>5072</v>
      </c>
      <c r="D2327" s="125"/>
      <c r="E2327" s="126">
        <v>2.33</v>
      </c>
      <c r="F2327" s="127"/>
      <c r="G2327" s="127"/>
      <c r="H2327" s="127"/>
      <c r="I2327" s="128"/>
      <c r="K2327" s="105" t="str">
        <f>IFERROR(__xludf.DUMMYFUNCTION("if(A2327="""","""",substitute(SUBSTITUTE(index(importhtml(""http://finviz.com/quote.ashx?t=""&amp;A2327,""table"",10),7,2),""*"",""""),""-"",""0.00""))"),"Loading...")</f>
        <v>Loading...</v>
      </c>
      <c r="L2327" s="129">
        <v>7178016.0</v>
      </c>
      <c r="M2327" s="99">
        <v>0.38</v>
      </c>
    </row>
    <row r="2328">
      <c r="A2328" s="122" t="s">
        <v>5073</v>
      </c>
      <c r="B2328" s="123">
        <v>1729173.0</v>
      </c>
      <c r="C2328" s="124" t="s">
        <v>5074</v>
      </c>
      <c r="D2328" s="125"/>
      <c r="E2328" s="126">
        <v>2.33</v>
      </c>
      <c r="F2328" s="127"/>
      <c r="G2328" s="127"/>
      <c r="H2328" s="127"/>
      <c r="I2328" s="128"/>
      <c r="K2328" s="105" t="str">
        <f>IFERROR(__xludf.DUMMYFUNCTION("if(A2328="""","""",substitute(SUBSTITUTE(index(importhtml(""http://finviz.com/quote.ashx?t=""&amp;A2328,""table"",10),7,2),""*"",""""),""-"",""0.00""))"),"Loading...")</f>
        <v>Loading...</v>
      </c>
      <c r="L2328" s="129">
        <v>1.0958404E7</v>
      </c>
      <c r="M2328" s="99">
        <v>1.04</v>
      </c>
    </row>
    <row r="2329">
      <c r="A2329" s="122" t="s">
        <v>5075</v>
      </c>
      <c r="B2329" s="123">
        <v>315958.0</v>
      </c>
      <c r="C2329" s="124" t="s">
        <v>5076</v>
      </c>
      <c r="D2329" s="125"/>
      <c r="E2329" s="126">
        <v>2.33</v>
      </c>
      <c r="F2329" s="127"/>
      <c r="G2329" s="127"/>
      <c r="H2329" s="127"/>
      <c r="I2329" s="128"/>
      <c r="K2329" s="105" t="str">
        <f>IFERROR(__xludf.DUMMYFUNCTION("if(A2329="""","""",substitute(SUBSTITUTE(index(importhtml(""http://finviz.com/quote.ashx?t=""&amp;A2329,""table"",10),7,2),""*"",""""),""-"",""0.00""))"),"Loading...")</f>
        <v>Loading...</v>
      </c>
      <c r="L2329" s="129">
        <v>2.498319E7</v>
      </c>
      <c r="M2329" s="99">
        <v>0.06</v>
      </c>
    </row>
    <row r="2330">
      <c r="A2330" s="122" t="s">
        <v>5077</v>
      </c>
      <c r="B2330" s="123">
        <v>1022652.0</v>
      </c>
      <c r="C2330" s="124" t="s">
        <v>5078</v>
      </c>
      <c r="D2330" s="125"/>
      <c r="E2330" s="126">
        <v>2.33</v>
      </c>
      <c r="F2330" s="127"/>
      <c r="G2330" s="127"/>
      <c r="H2330" s="127"/>
      <c r="I2330" s="128"/>
      <c r="K2330" s="105" t="str">
        <f>IFERROR(__xludf.DUMMYFUNCTION("if(A2330="""","""",substitute(SUBSTITUTE(index(importhtml(""http://finviz.com/quote.ashx?t=""&amp;A2330,""table"",10),7,2),""*"",""""),""-"",""0.00""))"),"Loading...")</f>
        <v>Loading...</v>
      </c>
      <c r="L2330" s="129">
        <v>2.7268385E7</v>
      </c>
      <c r="M2330" s="99">
        <v>1.25</v>
      </c>
    </row>
    <row r="2331">
      <c r="A2331" s="122" t="s">
        <v>5079</v>
      </c>
      <c r="B2331" s="123">
        <v>1784535.0</v>
      </c>
      <c r="C2331" s="124" t="s">
        <v>5080</v>
      </c>
      <c r="D2331" s="125"/>
      <c r="E2331" s="126">
        <v>2.33</v>
      </c>
      <c r="F2331" s="127"/>
      <c r="G2331" s="127"/>
      <c r="H2331" s="127"/>
      <c r="I2331" s="128"/>
      <c r="K2331" s="105" t="str">
        <f>IFERROR(__xludf.DUMMYFUNCTION("if(A2331="""","""",substitute(SUBSTITUTE(index(importhtml(""http://finviz.com/quote.ashx?t=""&amp;A2331,""table"",10),7,2),""*"",""""),""-"",""0.00""))"),"Loading...")</f>
        <v>Loading...</v>
      </c>
      <c r="L2331" s="129">
        <v>2.30377787E8</v>
      </c>
      <c r="M2331" s="99">
        <v>2.04</v>
      </c>
    </row>
    <row r="2332">
      <c r="A2332" s="122" t="s">
        <v>5081</v>
      </c>
      <c r="B2332" s="123">
        <v>1821424.0</v>
      </c>
      <c r="C2332" s="124" t="s">
        <v>552</v>
      </c>
      <c r="D2332" s="125"/>
      <c r="E2332" s="126">
        <v>2.34</v>
      </c>
      <c r="F2332" s="127"/>
      <c r="G2332" s="127"/>
      <c r="H2332" s="127"/>
      <c r="I2332" s="128"/>
      <c r="K2332" s="55" t="s">
        <v>1034</v>
      </c>
      <c r="L2332" s="129">
        <v>1269717.0</v>
      </c>
    </row>
    <row r="2333">
      <c r="A2333" s="122" t="s">
        <v>5082</v>
      </c>
      <c r="B2333" s="123">
        <v>771266.0</v>
      </c>
      <c r="C2333" s="124" t="s">
        <v>5083</v>
      </c>
      <c r="D2333" s="125"/>
      <c r="E2333" s="126">
        <v>2.34</v>
      </c>
      <c r="F2333" s="127"/>
      <c r="G2333" s="127"/>
      <c r="H2333" s="127"/>
      <c r="I2333" s="128"/>
      <c r="K2333" s="105" t="str">
        <f>IFERROR(__xludf.DUMMYFUNCTION("if(A2333="""","""",substitute(SUBSTITUTE(index(importhtml(""http://finviz.com/quote.ashx?t=""&amp;A2333,""table"",10),7,2),""*"",""""),""-"",""0.00""))"),"Loading...")</f>
        <v>Loading...</v>
      </c>
      <c r="L2333" s="129">
        <v>2.67810884E8</v>
      </c>
      <c r="M2333" s="99">
        <v>2.34</v>
      </c>
    </row>
    <row r="2334">
      <c r="A2334" s="122" t="s">
        <v>5084</v>
      </c>
      <c r="B2334" s="123">
        <v>1869467.0</v>
      </c>
      <c r="C2334" s="124" t="s">
        <v>5085</v>
      </c>
      <c r="D2334" s="125"/>
      <c r="E2334" s="126">
        <v>2.35</v>
      </c>
      <c r="F2334" s="127"/>
      <c r="G2334" s="127"/>
      <c r="H2334" s="127"/>
      <c r="I2334" s="128"/>
      <c r="K2334" s="55" t="s">
        <v>1034</v>
      </c>
      <c r="L2334" s="129">
        <v>1.7503302E7</v>
      </c>
      <c r="M2334" s="99" t="str">
        <f>IFERROR(__xludf.DUMMYFUNCTION("GOOGLEFINANCE(A2334,""beta"")"),"#N/A")</f>
        <v>#N/A</v>
      </c>
    </row>
    <row r="2335">
      <c r="A2335" s="122" t="s">
        <v>5086</v>
      </c>
      <c r="B2335" s="123">
        <v>1632275.0</v>
      </c>
      <c r="C2335" s="124" t="s">
        <v>5087</v>
      </c>
      <c r="D2335" s="125"/>
      <c r="E2335" s="126">
        <v>2.35</v>
      </c>
      <c r="F2335" s="127"/>
      <c r="G2335" s="127"/>
      <c r="H2335" s="127"/>
      <c r="I2335" s="128"/>
      <c r="K2335" s="105" t="str">
        <f>IFERROR(__xludf.DUMMYFUNCTION("if(A2335="""","""",substitute(SUBSTITUTE(index(importhtml(""http://finviz.com/quote.ashx?t=""&amp;A2335,""table"",10),7,2),""*"",""""),""-"",""0.00""))"),"Loading...")</f>
        <v>Loading...</v>
      </c>
      <c r="L2335" s="129">
        <v>2.40091E8</v>
      </c>
      <c r="M2335" s="99" t="str">
        <f>IFERROR(__xludf.DUMMYFUNCTION("GOOGLEFINANCE(A2335,""beta"")"),"#N/A")</f>
        <v>#N/A</v>
      </c>
    </row>
    <row r="2336">
      <c r="A2336" s="122" t="s">
        <v>5088</v>
      </c>
      <c r="B2336" s="123">
        <v>1780531.0</v>
      </c>
      <c r="C2336" s="124" t="s">
        <v>5089</v>
      </c>
      <c r="D2336" s="125"/>
      <c r="E2336" s="126">
        <v>2.36</v>
      </c>
      <c r="F2336" s="127"/>
      <c r="G2336" s="127"/>
      <c r="H2336" s="127"/>
      <c r="I2336" s="128"/>
      <c r="K2336" s="105" t="str">
        <f>IFERROR(__xludf.DUMMYFUNCTION("if(A2336="""","""",substitute(SUBSTITUTE(index(importhtml(""http://finviz.com/quote.ashx?t=""&amp;A2336,""table"",10),7,2),""*"",""""),""-"",""0.00""))"),"Loading...")</f>
        <v>Loading...</v>
      </c>
      <c r="L2336" s="129">
        <v>9.2038461E7</v>
      </c>
      <c r="M2336" s="99">
        <v>0.64</v>
      </c>
    </row>
    <row r="2337">
      <c r="A2337" s="122" t="s">
        <v>5090</v>
      </c>
      <c r="B2337" s="123">
        <v>1868726.0</v>
      </c>
      <c r="C2337" s="124" t="s">
        <v>5091</v>
      </c>
      <c r="D2337" s="125"/>
      <c r="E2337" s="126">
        <v>2.36</v>
      </c>
      <c r="F2337" s="127"/>
      <c r="G2337" s="127"/>
      <c r="H2337" s="127"/>
      <c r="I2337" s="128"/>
      <c r="K2337" s="105" t="str">
        <f>IFERROR(__xludf.DUMMYFUNCTION("if(A2337="""","""",substitute(SUBSTITUTE(index(importhtml(""http://finviz.com/quote.ashx?t=""&amp;A2337,""table"",10),7,2),""*"",""""),""-"",""0.00""))"),"Loading...")</f>
        <v>Loading...</v>
      </c>
      <c r="L2337" s="129">
        <v>1.545170047E9</v>
      </c>
      <c r="M2337" s="99">
        <f>IFERROR(__xludf.DUMMYFUNCTION("GOOGLEFINANCE(A2337,""beta"")"),2.29)</f>
        <v>2.29</v>
      </c>
    </row>
    <row r="2338">
      <c r="A2338" s="122" t="s">
        <v>5092</v>
      </c>
      <c r="B2338" s="123">
        <v>1733868.0</v>
      </c>
      <c r="C2338" s="124" t="s">
        <v>5093</v>
      </c>
      <c r="D2338" s="125"/>
      <c r="E2338" s="126">
        <v>2.37</v>
      </c>
      <c r="F2338" s="127"/>
      <c r="G2338" s="127"/>
      <c r="H2338" s="127"/>
      <c r="I2338" s="128"/>
      <c r="K2338" s="55" t="s">
        <v>1034</v>
      </c>
      <c r="L2338" s="129">
        <v>1.62539758E8</v>
      </c>
      <c r="M2338" s="99">
        <v>0.06</v>
      </c>
    </row>
    <row r="2339">
      <c r="A2339" s="122" t="s">
        <v>5094</v>
      </c>
      <c r="B2339" s="123">
        <v>1547546.0</v>
      </c>
      <c r="C2339" s="124" t="s">
        <v>5095</v>
      </c>
      <c r="D2339" s="125"/>
      <c r="E2339" s="126">
        <v>2.37</v>
      </c>
      <c r="F2339" s="127"/>
      <c r="G2339" s="127"/>
      <c r="H2339" s="127"/>
      <c r="I2339" s="128"/>
      <c r="K2339" s="105" t="str">
        <f>IFERROR(__xludf.DUMMYFUNCTION("if(A2339="""","""",substitute(SUBSTITUTE(index(importhtml(""http://finviz.com/quote.ashx?t=""&amp;A2339,""table"",10),7,2),""*"",""""),""-"",""0.00""))"),"Loading...")</f>
        <v>Loading...</v>
      </c>
      <c r="L2339" s="129">
        <v>1.23787795E8</v>
      </c>
      <c r="M2339" s="99">
        <v>1.07</v>
      </c>
    </row>
    <row r="2340">
      <c r="A2340" s="122" t="s">
        <v>5096</v>
      </c>
      <c r="B2340" s="123">
        <v>1340677.0</v>
      </c>
      <c r="C2340" s="124" t="s">
        <v>5097</v>
      </c>
      <c r="D2340" s="125"/>
      <c r="E2340" s="126">
        <v>2.37</v>
      </c>
      <c r="F2340" s="127"/>
      <c r="G2340" s="127"/>
      <c r="H2340" s="127"/>
      <c r="I2340" s="128"/>
      <c r="K2340" s="105" t="str">
        <f>IFERROR(__xludf.DUMMYFUNCTION("if(A2340="""","""",substitute(SUBSTITUTE(index(importhtml(""http://finviz.com/quote.ashx?t=""&amp;A2340,""table"",10),7,2),""*"",""""),""-"",""0.00""))"),"Loading...")</f>
        <v>Loading...</v>
      </c>
      <c r="L2340" s="129">
        <v>4.24058154E8</v>
      </c>
      <c r="M2340" s="99">
        <v>1.2</v>
      </c>
    </row>
    <row r="2341">
      <c r="A2341" s="122" t="s">
        <v>5098</v>
      </c>
      <c r="B2341" s="123">
        <v>1635077.0</v>
      </c>
      <c r="C2341" s="124" t="s">
        <v>5099</v>
      </c>
      <c r="D2341" s="125"/>
      <c r="E2341" s="126">
        <v>2.38</v>
      </c>
      <c r="F2341" s="127"/>
      <c r="G2341" s="127"/>
      <c r="H2341" s="127"/>
      <c r="I2341" s="128"/>
      <c r="K2341" s="105" t="str">
        <f>IFERROR(__xludf.DUMMYFUNCTION("if(A2341="""","""",substitute(SUBSTITUTE(index(importhtml(""http://finviz.com/quote.ashx?t=""&amp;A2341,""table"",10),7,2),""*"",""""),""-"",""0.00""))"),"Loading...")</f>
        <v>Loading...</v>
      </c>
      <c r="L2341" s="129">
        <v>4263477.0</v>
      </c>
      <c r="M2341" s="99">
        <f>IFERROR(__xludf.DUMMYFUNCTION("GOOGLEFINANCE(A2341,""beta"")"),1.42)</f>
        <v>1.42</v>
      </c>
    </row>
    <row r="2342">
      <c r="A2342" s="122" t="s">
        <v>5100</v>
      </c>
      <c r="B2342" s="123">
        <v>1602409.0</v>
      </c>
      <c r="C2342" s="124" t="s">
        <v>5101</v>
      </c>
      <c r="D2342" s="125"/>
      <c r="E2342" s="126">
        <v>2.38</v>
      </c>
      <c r="F2342" s="127"/>
      <c r="G2342" s="127"/>
      <c r="H2342" s="127"/>
      <c r="I2342" s="128"/>
      <c r="K2342" s="105" t="str">
        <f>IFERROR(__xludf.DUMMYFUNCTION("if(A2342="""","""",substitute(SUBSTITUTE(index(importhtml(""http://finviz.com/quote.ashx?t=""&amp;A2342,""table"",10),7,2),""*"",""""),""-"",""0.00""))"),"Loading...")</f>
        <v>Loading...</v>
      </c>
      <c r="L2342" s="129">
        <v>1.25057915E8</v>
      </c>
      <c r="M2342" s="99">
        <v>0.87</v>
      </c>
    </row>
    <row r="2343">
      <c r="A2343" s="122" t="s">
        <v>5102</v>
      </c>
      <c r="B2343" s="123">
        <v>1807120.0</v>
      </c>
      <c r="C2343" s="124" t="s">
        <v>5103</v>
      </c>
      <c r="D2343" s="125"/>
      <c r="E2343" s="126">
        <v>2.38</v>
      </c>
      <c r="F2343" s="127"/>
      <c r="G2343" s="127"/>
      <c r="H2343" s="127"/>
      <c r="I2343" s="128"/>
      <c r="K2343" s="105" t="str">
        <f>IFERROR(__xludf.DUMMYFUNCTION("if(A2343="""","""",substitute(SUBSTITUTE(index(importhtml(""http://finviz.com/quote.ashx?t=""&amp;A2343,""table"",10),7,2),""*"",""""),""-"",""0.00""))"),"Loading...")</f>
        <v>Loading...</v>
      </c>
      <c r="L2343" s="129">
        <v>1.33284742E8</v>
      </c>
      <c r="M2343" s="99">
        <f>IFERROR(__xludf.DUMMYFUNCTION("GOOGLEFINANCE(A2343,""beta"")"),1.67)</f>
        <v>1.67</v>
      </c>
    </row>
    <row r="2344">
      <c r="A2344" s="122" t="s">
        <v>5104</v>
      </c>
      <c r="B2344" s="123">
        <v>1447028.0</v>
      </c>
      <c r="C2344" s="124" t="s">
        <v>5105</v>
      </c>
      <c r="D2344" s="125"/>
      <c r="E2344" s="126">
        <v>2.38</v>
      </c>
      <c r="F2344" s="127"/>
      <c r="G2344" s="127"/>
      <c r="H2344" s="127"/>
      <c r="I2344" s="128"/>
      <c r="K2344" s="105" t="str">
        <f>IFERROR(__xludf.DUMMYFUNCTION("if(A2344="""","""",substitute(SUBSTITUTE(index(importhtml(""http://finviz.com/quote.ashx?t=""&amp;A2344,""table"",10),7,2),""*"",""""),""-"",""0.00""))"),"Loading...")</f>
        <v>Loading...</v>
      </c>
      <c r="L2344" s="129">
        <v>3.99114595E8</v>
      </c>
      <c r="M2344" s="99">
        <v>2.04</v>
      </c>
    </row>
    <row r="2345">
      <c r="A2345" s="122" t="s">
        <v>5106</v>
      </c>
      <c r="B2345" s="123">
        <v>1806347.0</v>
      </c>
      <c r="C2345" s="124" t="s">
        <v>5107</v>
      </c>
      <c r="D2345" s="125"/>
      <c r="E2345" s="126">
        <v>2.38</v>
      </c>
      <c r="F2345" s="127"/>
      <c r="G2345" s="127"/>
      <c r="H2345" s="127"/>
      <c r="I2345" s="128"/>
      <c r="K2345" s="105" t="str">
        <f>IFERROR(__xludf.DUMMYFUNCTION("if(A2345="""","""",substitute(SUBSTITUTE(index(importhtml(""http://finviz.com/quote.ashx?t=""&amp;A2345,""table"",10),7,2),""*"",""""),""-"",""0.00""))"),"Loading...")</f>
        <v>Loading...</v>
      </c>
      <c r="L2345" s="129" t="e">
        <v>#N/A</v>
      </c>
      <c r="M2345" s="99" t="str">
        <f>IFERROR(__xludf.DUMMYFUNCTION("GOOGLEFINANCE(A2345,""beta"")"),"#N/A")</f>
        <v>#N/A</v>
      </c>
    </row>
    <row r="2346">
      <c r="A2346" s="122" t="s">
        <v>5108</v>
      </c>
      <c r="B2346" s="123">
        <v>1579684.0</v>
      </c>
      <c r="C2346" s="124" t="s">
        <v>5109</v>
      </c>
      <c r="D2346" s="125"/>
      <c r="E2346" s="126">
        <v>2.39</v>
      </c>
      <c r="F2346" s="127"/>
      <c r="G2346" s="127"/>
      <c r="H2346" s="127"/>
      <c r="I2346" s="128"/>
      <c r="K2346" s="55" t="s">
        <v>1034</v>
      </c>
      <c r="L2346" s="129">
        <v>3.55813655E8</v>
      </c>
      <c r="M2346" s="99">
        <v>2.34</v>
      </c>
    </row>
    <row r="2347">
      <c r="A2347" s="122" t="s">
        <v>5110</v>
      </c>
      <c r="B2347" s="123">
        <v>1816007.0</v>
      </c>
      <c r="C2347" s="124" t="s">
        <v>5111</v>
      </c>
      <c r="D2347" s="125"/>
      <c r="E2347" s="126">
        <v>2.39</v>
      </c>
      <c r="F2347" s="127"/>
      <c r="G2347" s="127"/>
      <c r="H2347" s="127"/>
      <c r="I2347" s="128"/>
      <c r="K2347" s="55" t="s">
        <v>5112</v>
      </c>
      <c r="L2347" s="129">
        <v>1.369851026E9</v>
      </c>
      <c r="M2347" s="99">
        <v>0.68</v>
      </c>
    </row>
    <row r="2348">
      <c r="A2348" s="122" t="s">
        <v>5113</v>
      </c>
      <c r="B2348" s="123">
        <v>1444192.0</v>
      </c>
      <c r="C2348" s="124" t="s">
        <v>5114</v>
      </c>
      <c r="D2348" s="125"/>
      <c r="E2348" s="126">
        <v>2.39</v>
      </c>
      <c r="F2348" s="127"/>
      <c r="G2348" s="127"/>
      <c r="H2348" s="127"/>
      <c r="I2348" s="128"/>
      <c r="K2348" s="105" t="str">
        <f>IFERROR(__xludf.DUMMYFUNCTION("if(A2348="""","""",substitute(SUBSTITUTE(index(importhtml(""http://finviz.com/quote.ashx?t=""&amp;A2348,""table"",10),7,2),""*"",""""),""-"",""0.00""))"),"Loading...")</f>
        <v>Loading...</v>
      </c>
      <c r="L2348" s="129">
        <v>2.2464576E7</v>
      </c>
      <c r="M2348" s="99">
        <v>1.97</v>
      </c>
    </row>
    <row r="2349">
      <c r="A2349" s="122" t="s">
        <v>5115</v>
      </c>
      <c r="B2349" s="123">
        <v>814676.0</v>
      </c>
      <c r="C2349" s="124" t="s">
        <v>5116</v>
      </c>
      <c r="D2349" s="125"/>
      <c r="E2349" s="126">
        <v>2.39</v>
      </c>
      <c r="F2349" s="127"/>
      <c r="G2349" s="127"/>
      <c r="H2349" s="127"/>
      <c r="I2349" s="128"/>
      <c r="K2349" s="105" t="str">
        <f>IFERROR(__xludf.DUMMYFUNCTION("if(A2349="""","""",substitute(SUBSTITUTE(index(importhtml(""http://finviz.com/quote.ashx?t=""&amp;A2349,""table"",10),7,2),""*"",""""),""-"",""0.00""))"),"Loading...")</f>
        <v>Loading...</v>
      </c>
      <c r="L2349" s="129">
        <v>3.4683562E7</v>
      </c>
      <c r="M2349" s="99">
        <v>1.47</v>
      </c>
    </row>
    <row r="2350">
      <c r="A2350" s="122" t="s">
        <v>5117</v>
      </c>
      <c r="B2350" s="123">
        <v>1065734.0</v>
      </c>
      <c r="C2350" s="124" t="s">
        <v>5118</v>
      </c>
      <c r="D2350" s="125"/>
      <c r="E2350" s="126">
        <v>2.39</v>
      </c>
      <c r="F2350" s="127"/>
      <c r="G2350" s="127"/>
      <c r="H2350" s="127"/>
      <c r="I2350" s="128"/>
      <c r="K2350" s="105" t="str">
        <f>IFERROR(__xludf.DUMMYFUNCTION("if(A2350="""","""",substitute(SUBSTITUTE(index(importhtml(""http://finviz.com/quote.ashx?t=""&amp;A2350,""table"",10),7,2),""*"",""""),""-"",""0.00""))"),"Loading...")</f>
        <v>Loading...</v>
      </c>
      <c r="L2350" s="129">
        <v>1.491432E8</v>
      </c>
      <c r="M2350" s="99">
        <v>-0.49</v>
      </c>
    </row>
    <row r="2351">
      <c r="A2351" s="122" t="s">
        <v>5119</v>
      </c>
      <c r="B2351" s="123">
        <v>1774983.0</v>
      </c>
      <c r="C2351" s="124" t="s">
        <v>5120</v>
      </c>
      <c r="D2351" s="125"/>
      <c r="E2351" s="126">
        <v>2.39</v>
      </c>
      <c r="F2351" s="127"/>
      <c r="G2351" s="127"/>
      <c r="H2351" s="127"/>
      <c r="I2351" s="128"/>
      <c r="K2351" s="105" t="str">
        <f>IFERROR(__xludf.DUMMYFUNCTION("if(A2351="""","""",substitute(SUBSTITUTE(index(importhtml(""http://finviz.com/quote.ashx?t=""&amp;A2351,""table"",10),7,2),""*"",""""),""-"",""0.00""))"),"Loading...")</f>
        <v>Loading...</v>
      </c>
      <c r="L2351" s="129">
        <v>2.61914853E8</v>
      </c>
      <c r="M2351" s="99">
        <v>-0.57</v>
      </c>
    </row>
    <row r="2352">
      <c r="A2352" s="122" t="s">
        <v>5121</v>
      </c>
      <c r="B2352" s="123">
        <v>818033.0</v>
      </c>
      <c r="C2352" s="124" t="s">
        <v>5122</v>
      </c>
      <c r="D2352" s="125"/>
      <c r="E2352" s="126">
        <v>2.39</v>
      </c>
      <c r="F2352" s="127"/>
      <c r="G2352" s="127"/>
      <c r="H2352" s="127"/>
      <c r="I2352" s="128"/>
      <c r="K2352" s="105" t="str">
        <f>IFERROR(__xludf.DUMMYFUNCTION("if(A2352="""","""",substitute(SUBSTITUTE(index(importhtml(""http://finviz.com/quote.ashx?t=""&amp;A2352,""table"",10),7,2),""*"",""""),""-"",""0.00""))"),"Loading...")</f>
        <v>Loading...</v>
      </c>
      <c r="L2352" s="129">
        <v>3.58673529E8</v>
      </c>
      <c r="M2352" s="99">
        <v>1.66</v>
      </c>
    </row>
    <row r="2353">
      <c r="A2353" s="122" t="s">
        <v>5123</v>
      </c>
      <c r="B2353" s="123">
        <v>1120370.0</v>
      </c>
      <c r="C2353" s="124" t="s">
        <v>5124</v>
      </c>
      <c r="D2353" s="125"/>
      <c r="E2353" s="126">
        <v>2.4</v>
      </c>
      <c r="F2353" s="127"/>
      <c r="G2353" s="127"/>
      <c r="H2353" s="127"/>
      <c r="I2353" s="128"/>
      <c r="K2353" s="105" t="str">
        <f>IFERROR(__xludf.DUMMYFUNCTION("if(A2353="""","""",substitute(SUBSTITUTE(index(importhtml(""http://finviz.com/quote.ashx?t=""&amp;A2353,""table"",10),7,2),""*"",""""),""-"",""0.00""))"),"Loading...")</f>
        <v>Loading...</v>
      </c>
      <c r="L2353" s="129">
        <v>5.1401594E7</v>
      </c>
      <c r="M2353" s="99">
        <v>1.35</v>
      </c>
    </row>
    <row r="2354">
      <c r="A2354" s="122" t="s">
        <v>5125</v>
      </c>
      <c r="B2354" s="123">
        <v>1705110.0</v>
      </c>
      <c r="C2354" s="124" t="s">
        <v>5126</v>
      </c>
      <c r="D2354" s="125"/>
      <c r="E2354" s="126">
        <v>2.4</v>
      </c>
      <c r="F2354" s="127"/>
      <c r="G2354" s="127"/>
      <c r="H2354" s="127"/>
      <c r="I2354" s="128"/>
      <c r="K2354" s="105" t="str">
        <f>IFERROR(__xludf.DUMMYFUNCTION("if(A2354="""","""",substitute(SUBSTITUTE(index(importhtml(""http://finviz.com/quote.ashx?t=""&amp;A2354,""table"",10),7,2),""*"",""""),""-"",""0.00""))"),"Loading...")</f>
        <v>Loading...</v>
      </c>
      <c r="L2354" s="129">
        <v>1.217172768E9</v>
      </c>
      <c r="M2354" s="99">
        <v>1.93</v>
      </c>
    </row>
    <row r="2355">
      <c r="A2355" s="122" t="s">
        <v>5127</v>
      </c>
      <c r="B2355" s="123">
        <v>1493137.0</v>
      </c>
      <c r="C2355" s="124" t="s">
        <v>5128</v>
      </c>
      <c r="D2355" s="125"/>
      <c r="E2355" s="126">
        <v>2.41</v>
      </c>
      <c r="F2355" s="127"/>
      <c r="G2355" s="127"/>
      <c r="H2355" s="127"/>
      <c r="I2355" s="128"/>
      <c r="K2355" s="105" t="str">
        <f>IFERROR(__xludf.DUMMYFUNCTION("if(A2355="""","""",substitute(SUBSTITUTE(index(importhtml(""http://finviz.com/quote.ashx?t=""&amp;A2355,""table"",10),7,2),""*"",""""),""-"",""0.00""))"),"Loading...")</f>
        <v>Loading...</v>
      </c>
      <c r="L2355" s="129">
        <v>5914420.0</v>
      </c>
      <c r="M2355" s="99">
        <v>0.69</v>
      </c>
    </row>
    <row r="2356">
      <c r="A2356" s="122" t="s">
        <v>5129</v>
      </c>
      <c r="B2356" s="123">
        <v>1810467.0</v>
      </c>
      <c r="C2356" s="124" t="s">
        <v>5130</v>
      </c>
      <c r="D2356" s="125"/>
      <c r="E2356" s="126">
        <v>2.41</v>
      </c>
      <c r="F2356" s="127"/>
      <c r="G2356" s="127"/>
      <c r="H2356" s="127"/>
      <c r="I2356" s="128"/>
      <c r="K2356" s="105" t="str">
        <f>IFERROR(__xludf.DUMMYFUNCTION("if(A2356="""","""",substitute(SUBSTITUTE(index(importhtml(""http://finviz.com/quote.ashx?t=""&amp;A2356,""table"",10),7,2),""*"",""""),""-"",""0.00""))"),"Loading...")</f>
        <v>Loading...</v>
      </c>
      <c r="L2356" s="129">
        <v>6760828.0</v>
      </c>
      <c r="M2356" s="99">
        <f>IFERROR(__xludf.DUMMYFUNCTION("GOOGLEFINANCE(A2356,""beta"")"),2.52)</f>
        <v>2.52</v>
      </c>
    </row>
    <row r="2357">
      <c r="A2357" s="122" t="s">
        <v>5131</v>
      </c>
      <c r="B2357" s="123">
        <v>1809616.0</v>
      </c>
      <c r="C2357" s="124" t="s">
        <v>5132</v>
      </c>
      <c r="D2357" s="125"/>
      <c r="E2357" s="126">
        <v>2.41</v>
      </c>
      <c r="F2357" s="127"/>
      <c r="G2357" s="127"/>
      <c r="H2357" s="127"/>
      <c r="I2357" s="128"/>
      <c r="K2357" s="105" t="str">
        <f>IFERROR(__xludf.DUMMYFUNCTION("if(A2357="""","""",substitute(SUBSTITUTE(index(importhtml(""http://finviz.com/quote.ashx?t=""&amp;A2357,""table"",10),7,2),""*"",""""),""-"",""0.00""))"),"Loading...")</f>
        <v>Loading...</v>
      </c>
      <c r="L2357" s="129">
        <v>8786797.0</v>
      </c>
      <c r="M2357" s="99">
        <f>IFERROR(__xludf.DUMMYFUNCTION("GOOGLEFINANCE(A2357,""beta"")"),1.5)</f>
        <v>1.5</v>
      </c>
    </row>
    <row r="2358">
      <c r="A2358" s="122" t="s">
        <v>5133</v>
      </c>
      <c r="B2358" s="123">
        <v>1797768.0</v>
      </c>
      <c r="C2358" s="124" t="s">
        <v>5134</v>
      </c>
      <c r="D2358" s="125"/>
      <c r="E2358" s="126">
        <v>2.41</v>
      </c>
      <c r="F2358" s="127"/>
      <c r="G2358" s="127"/>
      <c r="H2358" s="127"/>
      <c r="I2358" s="128"/>
      <c r="K2358" s="105" t="str">
        <f>IFERROR(__xludf.DUMMYFUNCTION("if(A2358="""","""",substitute(SUBSTITUTE(index(importhtml(""http://finviz.com/quote.ashx?t=""&amp;A2358,""table"",10),7,2),""*"",""""),""-"",""0.00""))"),"Loading...")</f>
        <v>Loading...</v>
      </c>
      <c r="L2358" s="129">
        <v>1.13298924E8</v>
      </c>
      <c r="M2358" s="99">
        <v>1.36</v>
      </c>
    </row>
    <row r="2359">
      <c r="A2359" s="122" t="s">
        <v>5135</v>
      </c>
      <c r="B2359" s="123">
        <v>1429764.0</v>
      </c>
      <c r="C2359" s="124" t="s">
        <v>5136</v>
      </c>
      <c r="D2359" s="125"/>
      <c r="E2359" s="126">
        <v>2.42</v>
      </c>
      <c r="F2359" s="127"/>
      <c r="G2359" s="127"/>
      <c r="H2359" s="127"/>
      <c r="I2359" s="128"/>
      <c r="K2359" s="105" t="str">
        <f>IFERROR(__xludf.DUMMYFUNCTION("if(A2359="""","""",substitute(SUBSTITUTE(index(importhtml(""http://finviz.com/quote.ashx?t=""&amp;A2359,""table"",10),7,2),""*"",""""),""-"",""0.00""))"),"Loading...")</f>
        <v>Loading...</v>
      </c>
      <c r="L2359" s="129">
        <v>1.63127316E8</v>
      </c>
      <c r="M2359" s="99">
        <v>2.8</v>
      </c>
    </row>
    <row r="2360">
      <c r="A2360" s="122" t="s">
        <v>5137</v>
      </c>
      <c r="B2360" s="123">
        <v>1533743.0</v>
      </c>
      <c r="C2360" s="124" t="s">
        <v>5138</v>
      </c>
      <c r="D2360" s="125"/>
      <c r="E2360" s="126">
        <v>2.43</v>
      </c>
      <c r="F2360" s="127"/>
      <c r="G2360" s="127"/>
      <c r="H2360" s="127"/>
      <c r="I2360" s="128"/>
      <c r="K2360" s="105" t="str">
        <f>IFERROR(__xludf.DUMMYFUNCTION("if(A2360="""","""",substitute(SUBSTITUTE(index(importhtml(""http://finviz.com/quote.ashx?t=""&amp;A2360,""table"",10),7,2),""*"",""""),""-"",""0.00""))"),"Loading...")</f>
        <v>Loading...</v>
      </c>
      <c r="L2360" s="129">
        <v>5306330.0</v>
      </c>
      <c r="M2360" s="99">
        <v>0.55</v>
      </c>
    </row>
    <row r="2361">
      <c r="A2361" s="122" t="s">
        <v>5139</v>
      </c>
      <c r="B2361" s="123">
        <v>1119769.0</v>
      </c>
      <c r="C2361" s="124" t="s">
        <v>5140</v>
      </c>
      <c r="D2361" s="125"/>
      <c r="E2361" s="126">
        <v>2.43</v>
      </c>
      <c r="F2361" s="127"/>
      <c r="G2361" s="127"/>
      <c r="H2361" s="127"/>
      <c r="I2361" s="128"/>
      <c r="K2361" s="105" t="str">
        <f>IFERROR(__xludf.DUMMYFUNCTION("if(A2361="""","""",substitute(SUBSTITUTE(index(importhtml(""http://finviz.com/quote.ashx?t=""&amp;A2361,""table"",10),7,2),""*"",""""),""-"",""0.00""))"),"Loading...")</f>
        <v>Loading...</v>
      </c>
      <c r="L2361" s="129">
        <v>2.05073124E8</v>
      </c>
      <c r="M2361" s="99">
        <v>1.42</v>
      </c>
    </row>
    <row r="2362">
      <c r="A2362" s="122" t="s">
        <v>5141</v>
      </c>
      <c r="B2362" s="123">
        <v>1431852.0</v>
      </c>
      <c r="C2362" s="124" t="s">
        <v>5142</v>
      </c>
      <c r="D2362" s="125"/>
      <c r="E2362" s="126">
        <v>2.43</v>
      </c>
      <c r="F2362" s="127"/>
      <c r="G2362" s="127"/>
      <c r="H2362" s="127"/>
      <c r="I2362" s="128"/>
      <c r="K2362" s="105" t="str">
        <f>IFERROR(__xludf.DUMMYFUNCTION("if(A2362="""","""",substitute(SUBSTITUTE(index(importhtml(""http://finviz.com/quote.ashx?t=""&amp;A2362,""table"",10),7,2),""*"",""""),""-"",""0.00""))"),"Loading...")</f>
        <v>Loading...</v>
      </c>
      <c r="L2362" s="129">
        <v>2.74242315E8</v>
      </c>
      <c r="M2362" s="99">
        <v>4.57</v>
      </c>
    </row>
    <row r="2363">
      <c r="A2363" s="122" t="s">
        <v>5143</v>
      </c>
      <c r="B2363" s="123">
        <v>1162194.0</v>
      </c>
      <c r="C2363" s="124" t="s">
        <v>5144</v>
      </c>
      <c r="D2363" s="125"/>
      <c r="E2363" s="126">
        <v>2.43</v>
      </c>
      <c r="F2363" s="127"/>
      <c r="G2363" s="127"/>
      <c r="H2363" s="127"/>
      <c r="I2363" s="128"/>
      <c r="K2363" s="105" t="str">
        <f>IFERROR(__xludf.DUMMYFUNCTION("if(A2363="""","""",substitute(SUBSTITUTE(index(importhtml(""http://finviz.com/quote.ashx?t=""&amp;A2363,""table"",10),7,2),""*"",""""),""-"",""0.00""))"),"Loading...")</f>
        <v>Loading...</v>
      </c>
      <c r="L2363" s="129">
        <v>6.628726E8</v>
      </c>
      <c r="M2363" s="99">
        <v>1.68</v>
      </c>
    </row>
    <row r="2364">
      <c r="A2364" s="122" t="s">
        <v>5145</v>
      </c>
      <c r="B2364" s="123">
        <v>65770.0</v>
      </c>
      <c r="C2364" s="124" t="s">
        <v>5146</v>
      </c>
      <c r="D2364" s="125"/>
      <c r="E2364" s="126">
        <v>2.44</v>
      </c>
      <c r="F2364" s="127"/>
      <c r="G2364" s="127"/>
      <c r="H2364" s="127"/>
      <c r="I2364" s="128"/>
      <c r="K2364" s="105" t="str">
        <f>IFERROR(__xludf.DUMMYFUNCTION("if(A2364="""","""",substitute(SUBSTITUTE(index(importhtml(""http://finviz.com/quote.ashx?t=""&amp;A2364,""table"",10),7,2),""*"",""""),""-"",""0.00""))"),"Loading...")</f>
        <v>Loading...</v>
      </c>
      <c r="L2364" s="129">
        <v>4.63565118E8</v>
      </c>
      <c r="M2364" s="99">
        <v>3.1</v>
      </c>
    </row>
    <row r="2365">
      <c r="A2365" s="122" t="s">
        <v>5147</v>
      </c>
      <c r="B2365" s="123">
        <v>1645460.0</v>
      </c>
      <c r="C2365" s="124" t="s">
        <v>5148</v>
      </c>
      <c r="D2365" s="125"/>
      <c r="E2365" s="126">
        <v>2.45</v>
      </c>
      <c r="F2365" s="127"/>
      <c r="G2365" s="127"/>
      <c r="H2365" s="127"/>
      <c r="I2365" s="128"/>
      <c r="K2365" s="55" t="s">
        <v>1034</v>
      </c>
      <c r="L2365" s="129">
        <v>1.10552062E8</v>
      </c>
      <c r="M2365" s="99">
        <v>2.14</v>
      </c>
    </row>
    <row r="2366">
      <c r="A2366" s="122" t="s">
        <v>5149</v>
      </c>
      <c r="B2366" s="123">
        <v>803578.0</v>
      </c>
      <c r="C2366" s="124" t="s">
        <v>5150</v>
      </c>
      <c r="D2366" s="125"/>
      <c r="E2366" s="126">
        <v>2.45</v>
      </c>
      <c r="F2366" s="127"/>
      <c r="G2366" s="127"/>
      <c r="H2366" s="127"/>
      <c r="I2366" s="128"/>
      <c r="K2366" s="105" t="str">
        <f>IFERROR(__xludf.DUMMYFUNCTION("if(A2366="""","""",substitute(SUBSTITUTE(index(importhtml(""http://finviz.com/quote.ashx?t=""&amp;A2366,""table"",10),7,2),""*"",""""),""-"",""0.00""))"),"Loading...")</f>
        <v>Loading...</v>
      </c>
      <c r="L2366" s="129">
        <v>4932293.0</v>
      </c>
      <c r="M2366" s="99">
        <v>2.95</v>
      </c>
    </row>
    <row r="2367">
      <c r="A2367" s="122" t="s">
        <v>5151</v>
      </c>
      <c r="B2367" s="123">
        <v>1138723.0</v>
      </c>
      <c r="C2367" s="124" t="s">
        <v>5152</v>
      </c>
      <c r="D2367" s="125"/>
      <c r="E2367" s="126">
        <v>2.45</v>
      </c>
      <c r="F2367" s="127"/>
      <c r="G2367" s="127"/>
      <c r="H2367" s="127"/>
      <c r="I2367" s="128"/>
      <c r="K2367" s="105" t="str">
        <f>IFERROR(__xludf.DUMMYFUNCTION("if(A2367="""","""",substitute(SUBSTITUTE(index(importhtml(""http://finviz.com/quote.ashx?t=""&amp;A2367,""table"",10),7,2),""*"",""""),""-"",""0.00""))"),"Loading...")</f>
        <v>Loading...</v>
      </c>
      <c r="L2367" s="129">
        <v>2.4841778E8</v>
      </c>
      <c r="M2367" s="99" t="e">
        <v>#N/A</v>
      </c>
    </row>
    <row r="2368">
      <c r="A2368" s="122" t="s">
        <v>5153</v>
      </c>
      <c r="B2368" s="123">
        <v>1867096.0</v>
      </c>
      <c r="C2368" s="124" t="s">
        <v>5154</v>
      </c>
      <c r="D2368" s="125"/>
      <c r="E2368" s="126">
        <v>2.45</v>
      </c>
      <c r="F2368" s="127"/>
      <c r="G2368" s="127"/>
      <c r="H2368" s="127"/>
      <c r="I2368" s="128"/>
      <c r="K2368" s="105" t="str">
        <f>IFERROR(__xludf.DUMMYFUNCTION("if(A2368="""","""",substitute(SUBSTITUTE(index(importhtml(""http://finviz.com/quote.ashx?t=""&amp;A2368,""table"",10),7,2),""*"",""""),""-"",""0.00""))"),"Loading...")</f>
        <v>Loading...</v>
      </c>
      <c r="L2368" s="129">
        <v>3.38405031E8</v>
      </c>
      <c r="M2368" s="99">
        <v>1.58</v>
      </c>
    </row>
    <row r="2369">
      <c r="A2369" s="122" t="s">
        <v>5155</v>
      </c>
      <c r="B2369" s="123">
        <v>1803901.0</v>
      </c>
      <c r="C2369" s="124" t="s">
        <v>5156</v>
      </c>
      <c r="D2369" s="125"/>
      <c r="E2369" s="126">
        <v>2.45</v>
      </c>
      <c r="F2369" s="127"/>
      <c r="G2369" s="127"/>
      <c r="H2369" s="127"/>
      <c r="I2369" s="128"/>
      <c r="K2369" s="105" t="str">
        <f>IFERROR(__xludf.DUMMYFUNCTION("if(A2369="""","""",substitute(SUBSTITUTE(index(importhtml(""http://finviz.com/quote.ashx?t=""&amp;A2369,""table"",10),7,2),""*"",""""),""-"",""0.00""))"),"Loading...")</f>
        <v>Loading...</v>
      </c>
      <c r="L2369" s="129">
        <v>4.09382757E8</v>
      </c>
      <c r="M2369" s="99">
        <v>1.16</v>
      </c>
    </row>
    <row r="2370">
      <c r="A2370" s="122" t="s">
        <v>5157</v>
      </c>
      <c r="B2370" s="123">
        <v>1031316.0</v>
      </c>
      <c r="C2370" s="124" t="s">
        <v>5158</v>
      </c>
      <c r="D2370" s="125"/>
      <c r="E2370" s="126">
        <v>2.46</v>
      </c>
      <c r="F2370" s="127"/>
      <c r="G2370" s="127"/>
      <c r="H2370" s="127"/>
      <c r="I2370" s="128"/>
      <c r="K2370" s="55" t="s">
        <v>3453</v>
      </c>
      <c r="L2370" s="129">
        <v>2.50301333E8</v>
      </c>
      <c r="M2370" s="99">
        <v>0.86</v>
      </c>
    </row>
    <row r="2371">
      <c r="A2371" s="122" t="s">
        <v>5159</v>
      </c>
      <c r="B2371" s="123">
        <v>1668438.0</v>
      </c>
      <c r="C2371" s="124" t="s">
        <v>5160</v>
      </c>
      <c r="D2371" s="125"/>
      <c r="E2371" s="126">
        <v>2.46</v>
      </c>
      <c r="F2371" s="127"/>
      <c r="G2371" s="127"/>
      <c r="H2371" s="127"/>
      <c r="I2371" s="128"/>
      <c r="K2371" s="105" t="str">
        <f>IFERROR(__xludf.DUMMYFUNCTION("if(A2371="""","""",substitute(SUBSTITUTE(index(importhtml(""http://finviz.com/quote.ashx?t=""&amp;A2371,""table"",10),7,2),""*"",""""),""-"",""0.00""))"),"Loading...")</f>
        <v>Loading...</v>
      </c>
      <c r="L2371" s="129">
        <v>5288537.0</v>
      </c>
      <c r="M2371" s="99">
        <v>2.38</v>
      </c>
    </row>
    <row r="2372">
      <c r="A2372" s="122" t="s">
        <v>5161</v>
      </c>
      <c r="B2372" s="123">
        <v>1570132.0</v>
      </c>
      <c r="C2372" s="124" t="s">
        <v>5162</v>
      </c>
      <c r="D2372" s="125"/>
      <c r="E2372" s="126">
        <v>2.46</v>
      </c>
      <c r="F2372" s="127"/>
      <c r="G2372" s="127"/>
      <c r="H2372" s="127"/>
      <c r="I2372" s="128"/>
      <c r="K2372" s="105" t="str">
        <f>IFERROR(__xludf.DUMMYFUNCTION("if(A2372="""","""",substitute(SUBSTITUTE(index(importhtml(""http://finviz.com/quote.ashx?t=""&amp;A2372,""table"",10),7,2),""*"",""""),""-"",""0.00""))"),"Loading...")</f>
        <v>Loading...</v>
      </c>
      <c r="L2372" s="129">
        <v>2.95077E8</v>
      </c>
      <c r="M2372" s="99">
        <v>-0.09</v>
      </c>
    </row>
    <row r="2373">
      <c r="A2373" s="122" t="s">
        <v>5163</v>
      </c>
      <c r="B2373" s="123">
        <v>857949.0</v>
      </c>
      <c r="C2373" s="124" t="s">
        <v>5164</v>
      </c>
      <c r="D2373" s="125"/>
      <c r="E2373" s="126">
        <v>2.47</v>
      </c>
      <c r="F2373" s="127"/>
      <c r="G2373" s="127"/>
      <c r="H2373" s="127"/>
      <c r="I2373" s="128"/>
      <c r="K2373" s="55" t="s">
        <v>1034</v>
      </c>
      <c r="L2373" s="129">
        <v>3.3050848E7</v>
      </c>
      <c r="M2373" s="99">
        <v>0.49</v>
      </c>
    </row>
    <row r="2374">
      <c r="A2374" s="122" t="s">
        <v>5165</v>
      </c>
      <c r="B2374" s="123">
        <v>1784970.0</v>
      </c>
      <c r="C2374" s="124" t="s">
        <v>5166</v>
      </c>
      <c r="D2374" s="125"/>
      <c r="E2374" s="126">
        <v>2.47</v>
      </c>
      <c r="F2374" s="127"/>
      <c r="G2374" s="127"/>
      <c r="H2374" s="127"/>
      <c r="I2374" s="128"/>
      <c r="K2374" s="105" t="str">
        <f>IFERROR(__xludf.DUMMYFUNCTION("if(A2374="""","""",substitute(SUBSTITUTE(index(importhtml(""http://finviz.com/quote.ashx?t=""&amp;A2374,""table"",10),7,2),""*"",""""),""-"",""0.00""))"),"Loading...")</f>
        <v>Loading...</v>
      </c>
      <c r="L2374" s="129">
        <v>6482517.0</v>
      </c>
      <c r="M2374" s="99">
        <v>1.91</v>
      </c>
    </row>
    <row r="2375">
      <c r="A2375" s="122" t="s">
        <v>5167</v>
      </c>
      <c r="B2375" s="123">
        <v>825324.0</v>
      </c>
      <c r="C2375" s="124" t="s">
        <v>5168</v>
      </c>
      <c r="D2375" s="125"/>
      <c r="E2375" s="126">
        <v>2.47</v>
      </c>
      <c r="F2375" s="127"/>
      <c r="G2375" s="127"/>
      <c r="H2375" s="127"/>
      <c r="I2375" s="128"/>
      <c r="K2375" s="105" t="str">
        <f>IFERROR(__xludf.DUMMYFUNCTION("if(A2375="""","""",substitute(SUBSTITUTE(index(importhtml(""http://finviz.com/quote.ashx?t=""&amp;A2375,""table"",10),7,2),""*"",""""),""-"",""0.00""))"),"Loading...")</f>
        <v>Loading...</v>
      </c>
      <c r="L2375" s="129">
        <v>2.7640313E7</v>
      </c>
      <c r="M2375" s="99">
        <v>1.83</v>
      </c>
    </row>
    <row r="2376">
      <c r="A2376" s="122" t="s">
        <v>5169</v>
      </c>
      <c r="B2376" s="123">
        <v>1643303.0</v>
      </c>
      <c r="C2376" s="124" t="s">
        <v>5170</v>
      </c>
      <c r="D2376" s="125"/>
      <c r="E2376" s="126">
        <v>2.47</v>
      </c>
      <c r="F2376" s="127"/>
      <c r="G2376" s="127"/>
      <c r="H2376" s="127"/>
      <c r="I2376" s="128"/>
      <c r="K2376" s="105" t="str">
        <f>IFERROR(__xludf.DUMMYFUNCTION("if(A2376="""","""",substitute(SUBSTITUTE(index(importhtml(""http://finviz.com/quote.ashx?t=""&amp;A2376,""table"",10),7,2),""*"",""""),""-"",""0.00""))"),"Loading...")</f>
        <v>Loading...</v>
      </c>
      <c r="L2376" s="129">
        <v>6.25417345E8</v>
      </c>
      <c r="M2376" s="99">
        <v>1.72</v>
      </c>
    </row>
    <row r="2377">
      <c r="A2377" s="122" t="s">
        <v>5171</v>
      </c>
      <c r="B2377" s="123">
        <v>1203464.0</v>
      </c>
      <c r="C2377" s="124" t="s">
        <v>5172</v>
      </c>
      <c r="D2377" s="125"/>
      <c r="E2377" s="126">
        <v>2.47</v>
      </c>
      <c r="F2377" s="127"/>
      <c r="G2377" s="127"/>
      <c r="H2377" s="127"/>
      <c r="I2377" s="128"/>
      <c r="K2377" s="105" t="str">
        <f>IFERROR(__xludf.DUMMYFUNCTION("if(A2377="""","""",substitute(SUBSTITUTE(index(importhtml(""http://finviz.com/quote.ashx?t=""&amp;A2377,""table"",10),7,2),""*"",""""),""-"",""0.00""))"),"Loading...")</f>
        <v>Loading...</v>
      </c>
      <c r="L2377" s="129">
        <v>1.187785469E9</v>
      </c>
      <c r="M2377" s="99">
        <v>1.65</v>
      </c>
    </row>
    <row r="2378">
      <c r="A2378" s="122" t="s">
        <v>5173</v>
      </c>
      <c r="B2378" s="123">
        <v>1811109.0</v>
      </c>
      <c r="C2378" s="124" t="s">
        <v>5174</v>
      </c>
      <c r="D2378" s="125"/>
      <c r="E2378" s="126">
        <v>2.48</v>
      </c>
      <c r="F2378" s="127"/>
      <c r="G2378" s="127"/>
      <c r="H2378" s="127"/>
      <c r="I2378" s="128"/>
      <c r="K2378" s="105" t="str">
        <f>IFERROR(__xludf.DUMMYFUNCTION("if(A2378="""","""",substitute(SUBSTITUTE(index(importhtml(""http://finviz.com/quote.ashx?t=""&amp;A2378,""table"",10),7,2),""*"",""""),""-"",""0.00""))"),"Loading...")</f>
        <v>Loading...</v>
      </c>
      <c r="L2378" s="129">
        <v>3090355.0</v>
      </c>
      <c r="M2378" s="99">
        <v>-1.3</v>
      </c>
    </row>
    <row r="2379">
      <c r="A2379" s="122" t="s">
        <v>5175</v>
      </c>
      <c r="B2379" s="123">
        <v>1842939.0</v>
      </c>
      <c r="C2379" s="124" t="s">
        <v>5176</v>
      </c>
      <c r="D2379" s="125"/>
      <c r="E2379" s="126">
        <v>2.48</v>
      </c>
      <c r="F2379" s="127"/>
      <c r="G2379" s="127"/>
      <c r="H2379" s="127"/>
      <c r="I2379" s="128"/>
      <c r="K2379" s="105" t="str">
        <f>IFERROR(__xludf.DUMMYFUNCTION("if(A2379="""","""",substitute(SUBSTITUTE(index(importhtml(""http://finviz.com/quote.ashx?t=""&amp;A2379,""table"",10),7,2),""*"",""""),""-"",""0.00""))"),"Loading...")</f>
        <v>Loading...</v>
      </c>
      <c r="L2379" s="129">
        <v>1.1445408E7</v>
      </c>
      <c r="M2379" s="99" t="str">
        <f>IFERROR(__xludf.DUMMYFUNCTION("GOOGLEFINANCE(A2379,""beta"")"),"#N/A")</f>
        <v>#N/A</v>
      </c>
    </row>
    <row r="2380">
      <c r="A2380" s="122" t="s">
        <v>5177</v>
      </c>
      <c r="B2380" s="123">
        <v>1275158.0</v>
      </c>
      <c r="C2380" s="124" t="s">
        <v>5178</v>
      </c>
      <c r="D2380" s="125"/>
      <c r="E2380" s="126">
        <v>2.48</v>
      </c>
      <c r="F2380" s="127"/>
      <c r="G2380" s="127"/>
      <c r="H2380" s="127"/>
      <c r="I2380" s="128"/>
      <c r="K2380" s="105" t="str">
        <f>IFERROR(__xludf.DUMMYFUNCTION("if(A2380="""","""",substitute(SUBSTITUTE(index(importhtml(""http://finviz.com/quote.ashx?t=""&amp;A2380,""table"",10),7,2),""*"",""""),""-"",""0.00""))"),"Loading...")</f>
        <v>Loading...</v>
      </c>
      <c r="L2380" s="129">
        <v>1.11423896E8</v>
      </c>
      <c r="M2380" s="99">
        <v>1.71</v>
      </c>
    </row>
    <row r="2381">
      <c r="A2381" s="122" t="s">
        <v>5179</v>
      </c>
      <c r="B2381" s="123">
        <v>1826470.0</v>
      </c>
      <c r="C2381" s="124" t="s">
        <v>5180</v>
      </c>
      <c r="D2381" s="125"/>
      <c r="E2381" s="126">
        <v>2.48</v>
      </c>
      <c r="F2381" s="127"/>
      <c r="G2381" s="127"/>
      <c r="H2381" s="127"/>
      <c r="I2381" s="128"/>
      <c r="K2381" s="105" t="str">
        <f>IFERROR(__xludf.DUMMYFUNCTION("if(A2381="""","""",substitute(SUBSTITUTE(index(importhtml(""http://finviz.com/quote.ashx?t=""&amp;A2381,""table"",10),7,2),""*"",""""),""-"",""0.00""))"),"Loading...")</f>
        <v>Loading...</v>
      </c>
      <c r="L2381" s="129">
        <v>7.59572669E8</v>
      </c>
      <c r="M2381" s="99">
        <v>1.13</v>
      </c>
    </row>
    <row r="2382">
      <c r="A2382" s="122" t="s">
        <v>5181</v>
      </c>
      <c r="B2382" s="123">
        <v>1541157.0</v>
      </c>
      <c r="C2382" s="124" t="s">
        <v>5182</v>
      </c>
      <c r="D2382" s="125"/>
      <c r="E2382" s="126">
        <v>2.49</v>
      </c>
      <c r="F2382" s="127"/>
      <c r="G2382" s="127"/>
      <c r="H2382" s="127"/>
      <c r="I2382" s="128"/>
      <c r="K2382" s="105" t="str">
        <f>IFERROR(__xludf.DUMMYFUNCTION("if(A2382="""","""",substitute(SUBSTITUTE(index(importhtml(""http://finviz.com/quote.ashx?t=""&amp;A2382,""table"",10),7,2),""*"",""""),""-"",""0.00""))"),"Loading...")</f>
        <v>Loading...</v>
      </c>
      <c r="L2382" s="129">
        <v>1.6454368E7</v>
      </c>
      <c r="M2382" s="99">
        <v>1.04</v>
      </c>
    </row>
    <row r="2383">
      <c r="A2383" s="122" t="s">
        <v>5183</v>
      </c>
      <c r="B2383" s="123">
        <v>1163389.0</v>
      </c>
      <c r="C2383" s="124" t="s">
        <v>5184</v>
      </c>
      <c r="D2383" s="125"/>
      <c r="E2383" s="126">
        <v>2.49</v>
      </c>
      <c r="F2383" s="127"/>
      <c r="G2383" s="127"/>
      <c r="H2383" s="127"/>
      <c r="I2383" s="128"/>
      <c r="K2383" s="105" t="str">
        <f>IFERROR(__xludf.DUMMYFUNCTION("if(A2383="""","""",substitute(SUBSTITUTE(index(importhtml(""http://finviz.com/quote.ashx?t=""&amp;A2383,""table"",10),7,2),""*"",""""),""-"",""0.00""))"),"#N/A")</f>
        <v>#N/A</v>
      </c>
      <c r="L2383" s="129">
        <v>5.9186204E7</v>
      </c>
      <c r="M2383" s="99">
        <v>0.25</v>
      </c>
    </row>
    <row r="2384">
      <c r="A2384" s="122" t="s">
        <v>5185</v>
      </c>
      <c r="B2384" s="123">
        <v>1173420.0</v>
      </c>
      <c r="C2384" s="124" t="s">
        <v>5186</v>
      </c>
      <c r="D2384" s="125"/>
      <c r="E2384" s="126">
        <v>2.5</v>
      </c>
      <c r="F2384" s="127"/>
      <c r="G2384" s="127"/>
      <c r="H2384" s="127"/>
      <c r="I2384" s="128"/>
      <c r="K2384" s="55" t="s">
        <v>1034</v>
      </c>
      <c r="L2384" s="129">
        <v>1.129928988E9</v>
      </c>
      <c r="M2384" s="99">
        <v>1.06</v>
      </c>
    </row>
    <row r="2385">
      <c r="A2385" s="122" t="s">
        <v>5187</v>
      </c>
      <c r="B2385" s="123">
        <v>10048.0</v>
      </c>
      <c r="C2385" s="124" t="s">
        <v>5188</v>
      </c>
      <c r="D2385" s="125"/>
      <c r="E2385" s="126">
        <v>2.5</v>
      </c>
      <c r="F2385" s="127"/>
      <c r="G2385" s="127"/>
      <c r="H2385" s="127"/>
      <c r="I2385" s="128"/>
      <c r="K2385" s="55" t="s">
        <v>3453</v>
      </c>
      <c r="L2385" s="129">
        <v>2.500025E7</v>
      </c>
      <c r="M2385" s="99">
        <v>0.21</v>
      </c>
    </row>
    <row r="2386">
      <c r="A2386" s="122" t="s">
        <v>5189</v>
      </c>
      <c r="B2386" s="123">
        <v>1668010.0</v>
      </c>
      <c r="C2386" s="124" t="s">
        <v>5190</v>
      </c>
      <c r="D2386" s="125"/>
      <c r="E2386" s="126">
        <v>2.5</v>
      </c>
      <c r="F2386" s="127"/>
      <c r="G2386" s="127"/>
      <c r="H2386" s="127"/>
      <c r="I2386" s="128"/>
      <c r="K2386" s="105" t="str">
        <f>IFERROR(__xludf.DUMMYFUNCTION("if(A2386="""","""",substitute(SUBSTITUTE(index(importhtml(""http://finviz.com/quote.ashx?t=""&amp;A2386,""table"",10),7,2),""*"",""""),""-"",""0.00""))"),"Loading...")</f>
        <v>Loading...</v>
      </c>
      <c r="L2386" s="129">
        <v>2650013.0</v>
      </c>
      <c r="M2386" s="99">
        <f>IFERROR(__xludf.DUMMYFUNCTION("GOOGLEFINANCE(A2386,""beta"")"),0.38)</f>
        <v>0.38</v>
      </c>
    </row>
    <row r="2387">
      <c r="A2387" s="122" t="s">
        <v>5191</v>
      </c>
      <c r="B2387" s="123">
        <v>1821175.0</v>
      </c>
      <c r="C2387" s="124" t="s">
        <v>5192</v>
      </c>
      <c r="D2387" s="125"/>
      <c r="E2387" s="126">
        <v>2.5</v>
      </c>
      <c r="F2387" s="127"/>
      <c r="G2387" s="127"/>
      <c r="H2387" s="127"/>
      <c r="I2387" s="128"/>
      <c r="K2387" s="105" t="str">
        <f>IFERROR(__xludf.DUMMYFUNCTION("if(A2387="""","""",substitute(SUBSTITUTE(index(importhtml(""http://finviz.com/quote.ashx?t=""&amp;A2387,""table"",10),7,2),""*"",""""),""-"",""0.00""))"),"Loading...")</f>
        <v>Loading...</v>
      </c>
      <c r="L2387" s="129">
        <v>8556822.0</v>
      </c>
      <c r="M2387" s="99">
        <v>2.25</v>
      </c>
    </row>
    <row r="2388">
      <c r="A2388" s="122" t="s">
        <v>5193</v>
      </c>
      <c r="B2388" s="123">
        <v>1698702.0</v>
      </c>
      <c r="C2388" s="124" t="s">
        <v>5194</v>
      </c>
      <c r="D2388" s="125"/>
      <c r="E2388" s="126">
        <v>2.5</v>
      </c>
      <c r="F2388" s="127"/>
      <c r="G2388" s="127"/>
      <c r="H2388" s="127"/>
      <c r="I2388" s="128"/>
      <c r="K2388" s="105" t="str">
        <f>IFERROR(__xludf.DUMMYFUNCTION("if(A2388="""","""",substitute(SUBSTITUTE(index(importhtml(""http://finviz.com/quote.ashx?t=""&amp;A2388,""table"",10),7,2),""*"",""""),""-"",""0.00""))"),"Loading...")</f>
        <v>Loading...</v>
      </c>
      <c r="L2388" s="129">
        <v>1.9075E7</v>
      </c>
      <c r="M2388" s="99">
        <v>-2.34</v>
      </c>
    </row>
    <row r="2389">
      <c r="A2389" s="122" t="s">
        <v>5195</v>
      </c>
      <c r="B2389" s="123">
        <v>1757840.0</v>
      </c>
      <c r="C2389" s="124" t="s">
        <v>5196</v>
      </c>
      <c r="D2389" s="125"/>
      <c r="E2389" s="126">
        <v>2.5</v>
      </c>
      <c r="F2389" s="127"/>
      <c r="G2389" s="127"/>
      <c r="H2389" s="127"/>
      <c r="I2389" s="128"/>
      <c r="K2389" s="105" t="str">
        <f>IFERROR(__xludf.DUMMYFUNCTION("if(A2389="""","""",substitute(SUBSTITUTE(index(importhtml(""http://finviz.com/quote.ashx?t=""&amp;A2389,""table"",10),7,2),""*"",""""),""-"",""0.00""))"),"Loading...")</f>
        <v>Loading...</v>
      </c>
      <c r="L2389" s="129">
        <v>2.5356725E7</v>
      </c>
      <c r="M2389" s="99">
        <v>0.45</v>
      </c>
    </row>
    <row r="2390">
      <c r="A2390" s="122" t="s">
        <v>5197</v>
      </c>
      <c r="B2390" s="123">
        <v>1619544.0</v>
      </c>
      <c r="C2390" s="124" t="s">
        <v>5198</v>
      </c>
      <c r="D2390" s="125"/>
      <c r="E2390" s="126">
        <v>2.5</v>
      </c>
      <c r="F2390" s="127"/>
      <c r="G2390" s="127"/>
      <c r="H2390" s="127"/>
      <c r="I2390" s="128"/>
      <c r="K2390" s="105" t="str">
        <f>IFERROR(__xludf.DUMMYFUNCTION("if(A2390="""","""",substitute(SUBSTITUTE(index(importhtml(""http://finviz.com/quote.ashx?t=""&amp;A2390,""table"",10),7,2),""*"",""""),""-"",""0.00""))"),"Loading...")</f>
        <v>Loading...</v>
      </c>
      <c r="L2390" s="129">
        <v>2.9381675E7</v>
      </c>
      <c r="M2390" s="99">
        <v>0.36</v>
      </c>
    </row>
    <row r="2391">
      <c r="A2391" s="122" t="s">
        <v>5199</v>
      </c>
      <c r="B2391" s="123">
        <v>1598599.0</v>
      </c>
      <c r="C2391" s="124" t="s">
        <v>5200</v>
      </c>
      <c r="D2391" s="125"/>
      <c r="E2391" s="126">
        <v>2.5</v>
      </c>
      <c r="F2391" s="127"/>
      <c r="G2391" s="127"/>
      <c r="H2391" s="127"/>
      <c r="I2391" s="128"/>
      <c r="K2391" s="105" t="str">
        <f>IFERROR(__xludf.DUMMYFUNCTION("if(A2391="""","""",substitute(SUBSTITUTE(index(importhtml(""http://finviz.com/quote.ashx?t=""&amp;A2391,""table"",10),7,2),""*"",""""),""-"",""0.00""))"),"Loading...")</f>
        <v>Loading...</v>
      </c>
      <c r="L2391" s="129">
        <v>1.98551225E8</v>
      </c>
      <c r="M2391" s="99">
        <v>0.26</v>
      </c>
    </row>
    <row r="2392">
      <c r="A2392" s="122" t="s">
        <v>5201</v>
      </c>
      <c r="B2392" s="123">
        <v>1833197.0</v>
      </c>
      <c r="C2392" s="124" t="s">
        <v>5202</v>
      </c>
      <c r="D2392" s="125"/>
      <c r="E2392" s="126">
        <v>2.5</v>
      </c>
      <c r="F2392" s="127"/>
      <c r="G2392" s="127"/>
      <c r="H2392" s="127"/>
      <c r="I2392" s="128"/>
      <c r="K2392" s="105" t="str">
        <f>IFERROR(__xludf.DUMMYFUNCTION("if(A2392="""","""",substitute(SUBSTITUTE(index(importhtml(""http://finviz.com/quote.ashx?t=""&amp;A2392,""table"",10),7,2),""*"",""""),""-"",""0.00""))"),"Loading...")</f>
        <v>Loading...</v>
      </c>
      <c r="L2392" s="129">
        <v>2.8688975E8</v>
      </c>
      <c r="M2392" s="99">
        <f>IFERROR(__xludf.DUMMYFUNCTION("GOOGLEFINANCE(A2392,""beta"")"),1.71)</f>
        <v>1.71</v>
      </c>
    </row>
    <row r="2393">
      <c r="A2393" s="122" t="s">
        <v>5203</v>
      </c>
      <c r="B2393" s="123">
        <v>1683825.0</v>
      </c>
      <c r="C2393" s="124" t="s">
        <v>5204</v>
      </c>
      <c r="D2393" s="125"/>
      <c r="E2393" s="126">
        <v>2.5</v>
      </c>
      <c r="F2393" s="127"/>
      <c r="G2393" s="127"/>
      <c r="H2393" s="127"/>
      <c r="I2393" s="128"/>
      <c r="K2393" s="105" t="str">
        <f>IFERROR(__xludf.DUMMYFUNCTION("if(A2393="""","""",substitute(SUBSTITUTE(index(importhtml(""http://finviz.com/quote.ashx?t=""&amp;A2393,""table"",10),7,2),""*"",""""),""-"",""0.00""))"),"Loading...")</f>
        <v>Loading...</v>
      </c>
      <c r="L2393" s="129" t="e">
        <v>#N/A</v>
      </c>
      <c r="M2393" s="99">
        <v>1.64</v>
      </c>
    </row>
    <row r="2394">
      <c r="A2394" s="122" t="s">
        <v>5205</v>
      </c>
      <c r="B2394" s="123">
        <v>1310630.0</v>
      </c>
      <c r="C2394" s="124" t="s">
        <v>5206</v>
      </c>
      <c r="D2394" s="125"/>
      <c r="E2394" s="126">
        <v>2.5</v>
      </c>
      <c r="F2394" s="127"/>
      <c r="G2394" s="127"/>
      <c r="H2394" s="127"/>
      <c r="I2394" s="128"/>
      <c r="K2394" s="105" t="str">
        <f>IFERROR(__xludf.DUMMYFUNCTION("if(A2394="""","""",substitute(SUBSTITUTE(index(importhtml(""http://finviz.com/quote.ashx?t=""&amp;A2394,""table"",10),7,2),""*"",""""),""-"",""0.00""))"),"Loading...")</f>
        <v>Loading...</v>
      </c>
      <c r="L2394" s="129" t="e">
        <v>#N/A</v>
      </c>
      <c r="M2394" s="99">
        <v>1.84</v>
      </c>
    </row>
    <row r="2395">
      <c r="A2395" s="122" t="s">
        <v>5207</v>
      </c>
      <c r="B2395" s="123">
        <v>1213660.0</v>
      </c>
      <c r="C2395" s="124" t="s">
        <v>5208</v>
      </c>
      <c r="D2395" s="125"/>
      <c r="E2395" s="126">
        <v>2.51</v>
      </c>
      <c r="F2395" s="127"/>
      <c r="G2395" s="127"/>
      <c r="H2395" s="127"/>
      <c r="I2395" s="128"/>
      <c r="K2395" s="105" t="str">
        <f>IFERROR(__xludf.DUMMYFUNCTION("if(A2395="""","""",substitute(SUBSTITUTE(index(importhtml(""http://finviz.com/quote.ashx?t=""&amp;A2395,""table"",10),7,2),""*"",""""),""-"",""0.00""))"),"Loading...")</f>
        <v>Loading...</v>
      </c>
      <c r="L2395" s="129">
        <v>3.4109795E7</v>
      </c>
      <c r="M2395" s="99">
        <v>1.55</v>
      </c>
    </row>
    <row r="2396">
      <c r="A2396" s="122" t="s">
        <v>5209</v>
      </c>
      <c r="B2396" s="123">
        <v>789460.0</v>
      </c>
      <c r="C2396" s="124" t="s">
        <v>5210</v>
      </c>
      <c r="D2396" s="125"/>
      <c r="E2396" s="126">
        <v>2.52</v>
      </c>
      <c r="F2396" s="127"/>
      <c r="G2396" s="127"/>
      <c r="H2396" s="127"/>
      <c r="I2396" s="128"/>
      <c r="K2396" s="105" t="str">
        <f>IFERROR(__xludf.DUMMYFUNCTION("if(A2396="""","""",substitute(SUBSTITUTE(index(importhtml(""http://finviz.com/quote.ashx?t=""&amp;A2396,""table"",10),7,2),""*"",""""),""-"",""0.00""))"),"Loading...")</f>
        <v>Loading...</v>
      </c>
      <c r="L2396" s="129">
        <v>8.0401927E7</v>
      </c>
      <c r="M2396" s="99" t="str">
        <f>IFERROR(__xludf.DUMMYFUNCTION("GOOGLEFINANCE(A2396,""beta"")"),"#N/A")</f>
        <v>#N/A</v>
      </c>
    </row>
    <row r="2397">
      <c r="A2397" s="122" t="s">
        <v>5211</v>
      </c>
      <c r="B2397" s="123">
        <v>1051627.0</v>
      </c>
      <c r="C2397" s="124" t="s">
        <v>5212</v>
      </c>
      <c r="D2397" s="125"/>
      <c r="E2397" s="126">
        <v>2.52</v>
      </c>
      <c r="F2397" s="127"/>
      <c r="G2397" s="127"/>
      <c r="H2397" s="127"/>
      <c r="I2397" s="128"/>
      <c r="K2397" s="105" t="str">
        <f>IFERROR(__xludf.DUMMYFUNCTION("if(A2397="""","""",substitute(SUBSTITUTE(index(importhtml(""http://finviz.com/quote.ashx?t=""&amp;A2397,""table"",10),7,2),""*"",""""),""-"",""0.00""))"),"Loading...")</f>
        <v>Loading...</v>
      </c>
      <c r="L2397" s="129">
        <v>1.09983685E8</v>
      </c>
      <c r="M2397" s="99">
        <v>2.08</v>
      </c>
    </row>
    <row r="2398">
      <c r="A2398" s="122" t="s">
        <v>5213</v>
      </c>
      <c r="B2398" s="123">
        <v>1832332.0</v>
      </c>
      <c r="C2398" s="124" t="s">
        <v>5214</v>
      </c>
      <c r="D2398" s="125"/>
      <c r="E2398" s="126">
        <v>2.53</v>
      </c>
      <c r="F2398" s="127"/>
      <c r="G2398" s="127"/>
      <c r="H2398" s="127"/>
      <c r="I2398" s="128"/>
      <c r="K2398" s="105" t="str">
        <f>IFERROR(__xludf.DUMMYFUNCTION("if(A2398="""","""",substitute(SUBSTITUTE(index(importhtml(""http://finviz.com/quote.ashx?t=""&amp;A2398,""table"",10),7,2),""*"",""""),""-"",""0.00""))"),"Loading...")</f>
        <v>Loading...</v>
      </c>
      <c r="L2398" s="129">
        <v>4.82554737E8</v>
      </c>
      <c r="M2398" s="99">
        <f>IFERROR(__xludf.DUMMYFUNCTION("GOOGLEFINANCE(A2398,""beta"")"),2.05)</f>
        <v>2.05</v>
      </c>
    </row>
    <row r="2399">
      <c r="A2399" s="122" t="s">
        <v>5215</v>
      </c>
      <c r="B2399" s="123">
        <v>1361937.0</v>
      </c>
      <c r="C2399" s="124" t="s">
        <v>5216</v>
      </c>
      <c r="D2399" s="125"/>
      <c r="E2399" s="126">
        <v>2.55</v>
      </c>
      <c r="F2399" s="127"/>
      <c r="G2399" s="127"/>
      <c r="H2399" s="127"/>
      <c r="I2399" s="128"/>
      <c r="K2399" s="105" t="str">
        <f>IFERROR(__xludf.DUMMYFUNCTION("if(A2399="""","""",substitute(SUBSTITUTE(index(importhtml(""http://finviz.com/quote.ashx?t=""&amp;A2399,""table"",10),7,2),""*"",""""),""-"",""0.00""))"),"Loading...")</f>
        <v>Loading...</v>
      </c>
      <c r="L2399" s="129">
        <v>2594300.0</v>
      </c>
      <c r="M2399" s="99" t="str">
        <f>IFERROR(__xludf.DUMMYFUNCTION("GOOGLEFINANCE(A2399,""beta"")"),"#N/A")</f>
        <v>#N/A</v>
      </c>
    </row>
    <row r="2400">
      <c r="A2400" s="122" t="s">
        <v>5217</v>
      </c>
      <c r="B2400" s="123">
        <v>1750149.0</v>
      </c>
      <c r="C2400" s="124" t="s">
        <v>5218</v>
      </c>
      <c r="D2400" s="125"/>
      <c r="E2400" s="126">
        <v>2.55</v>
      </c>
      <c r="F2400" s="127"/>
      <c r="G2400" s="127"/>
      <c r="H2400" s="127"/>
      <c r="I2400" s="128"/>
      <c r="K2400" s="105" t="str">
        <f>IFERROR(__xludf.DUMMYFUNCTION("if(A2400="""","""",substitute(SUBSTITUTE(index(importhtml(""http://finviz.com/quote.ashx?t=""&amp;A2400,""table"",10),7,2),""*"",""""),""-"",""0.00""))"),"Loading...")</f>
        <v>Loading...</v>
      </c>
      <c r="L2400" s="129">
        <v>1.5744413E7</v>
      </c>
      <c r="M2400" s="99">
        <v>1.34</v>
      </c>
    </row>
    <row r="2401">
      <c r="A2401" s="122" t="s">
        <v>5219</v>
      </c>
      <c r="B2401" s="123">
        <v>1629665.0</v>
      </c>
      <c r="C2401" s="124" t="s">
        <v>5220</v>
      </c>
      <c r="D2401" s="125"/>
      <c r="E2401" s="126">
        <v>2.55</v>
      </c>
      <c r="F2401" s="127"/>
      <c r="G2401" s="127"/>
      <c r="H2401" s="127"/>
      <c r="I2401" s="128"/>
      <c r="K2401" s="105" t="str">
        <f>IFERROR(__xludf.DUMMYFUNCTION("if(A2401="""","""",substitute(SUBSTITUTE(index(importhtml(""http://finviz.com/quote.ashx?t=""&amp;A2401,""table"",10),7,2),""*"",""""),""-"",""0.00""))"),"Loading...")</f>
        <v>Loading...</v>
      </c>
      <c r="L2401" s="129">
        <v>4.909127E7</v>
      </c>
      <c r="M2401" s="99">
        <v>2.67</v>
      </c>
    </row>
    <row r="2402">
      <c r="A2402" s="122" t="s">
        <v>5221</v>
      </c>
      <c r="B2402" s="123">
        <v>1831907.0</v>
      </c>
      <c r="C2402" s="124" t="s">
        <v>5222</v>
      </c>
      <c r="D2402" s="125"/>
      <c r="E2402" s="126">
        <v>2.55</v>
      </c>
      <c r="F2402" s="127"/>
      <c r="G2402" s="127"/>
      <c r="H2402" s="127"/>
      <c r="I2402" s="128"/>
      <c r="K2402" s="105" t="str">
        <f>IFERROR(__xludf.DUMMYFUNCTION("if(A2402="""","""",substitute(SUBSTITUTE(index(importhtml(""http://finviz.com/quote.ashx?t=""&amp;A2402,""table"",10),7,2),""*"",""""),""-"",""0.00""))"),"Loading...")</f>
        <v>Loading...</v>
      </c>
      <c r="L2402" s="129">
        <v>2.1646998E8</v>
      </c>
      <c r="M2402" s="99">
        <v>1.06</v>
      </c>
    </row>
    <row r="2403">
      <c r="A2403" s="122" t="s">
        <v>5223</v>
      </c>
      <c r="B2403" s="123">
        <v>1553920.0</v>
      </c>
      <c r="C2403" s="124" t="s">
        <v>5224</v>
      </c>
      <c r="D2403" s="125"/>
      <c r="E2403" s="126">
        <v>2.55</v>
      </c>
      <c r="F2403" s="127"/>
      <c r="G2403" s="127"/>
      <c r="H2403" s="127"/>
      <c r="I2403" s="128"/>
      <c r="K2403" s="105" t="str">
        <f>IFERROR(__xludf.DUMMYFUNCTION("if(A2403="""","""",substitute(SUBSTITUTE(index(importhtml(""http://finviz.com/quote.ashx?t=""&amp;A2403,""table"",10),7,2),""*"",""""),""-"",""0.00""))"),"Loading...")</f>
        <v>Loading...</v>
      </c>
      <c r="L2403" s="129">
        <v>1.7544033511E10</v>
      </c>
      <c r="M2403" s="99">
        <v>0.34</v>
      </c>
    </row>
    <row r="2404">
      <c r="A2404" s="122" t="s">
        <v>5225</v>
      </c>
      <c r="B2404" s="123">
        <v>1603978.0</v>
      </c>
      <c r="C2404" s="124" t="s">
        <v>5226</v>
      </c>
      <c r="D2404" s="125"/>
      <c r="E2404" s="126">
        <v>2.56</v>
      </c>
      <c r="F2404" s="127"/>
      <c r="G2404" s="127"/>
      <c r="H2404" s="127"/>
      <c r="I2404" s="128"/>
      <c r="K2404" s="55" t="s">
        <v>1034</v>
      </c>
      <c r="L2404" s="129">
        <v>9847733.0</v>
      </c>
      <c r="M2404" s="99">
        <v>1.37</v>
      </c>
    </row>
    <row r="2405">
      <c r="A2405" s="122" t="s">
        <v>5227</v>
      </c>
      <c r="B2405" s="123">
        <v>6176.0</v>
      </c>
      <c r="C2405" s="124" t="s">
        <v>5228</v>
      </c>
      <c r="D2405" s="125"/>
      <c r="E2405" s="126">
        <v>2.56</v>
      </c>
      <c r="F2405" s="139"/>
      <c r="G2405" s="139"/>
      <c r="H2405" s="127"/>
      <c r="I2405" s="128"/>
      <c r="K2405" s="55" t="s">
        <v>1034</v>
      </c>
      <c r="L2405" s="129" t="e">
        <v>#N/A</v>
      </c>
      <c r="M2405" s="99">
        <f>IFERROR(__xludf.DUMMYFUNCTION("GOOGLEFINANCE(A2405,""beta"")"),0.89)</f>
        <v>0.89</v>
      </c>
    </row>
    <row r="2406">
      <c r="A2406" s="122" t="s">
        <v>5229</v>
      </c>
      <c r="B2406" s="123">
        <v>1815974.0</v>
      </c>
      <c r="C2406" s="124" t="s">
        <v>5230</v>
      </c>
      <c r="D2406" s="125"/>
      <c r="E2406" s="126">
        <v>2.56</v>
      </c>
      <c r="F2406" s="127"/>
      <c r="G2406" s="127"/>
      <c r="H2406" s="127"/>
      <c r="I2406" s="128"/>
      <c r="K2406" s="105" t="str">
        <f>IFERROR(__xludf.DUMMYFUNCTION("if(A2406="""","""",substitute(SUBSTITUTE(index(importhtml(""http://finviz.com/quote.ashx?t=""&amp;A2406,""table"",10),7,2),""*"",""""),""-"",""0.00""))"),"Loading...")</f>
        <v>Loading...</v>
      </c>
      <c r="L2406" s="129">
        <v>6.5621016E7</v>
      </c>
      <c r="M2406" s="99">
        <f>IFERROR(__xludf.DUMMYFUNCTION("GOOGLEFINANCE(A2406,""beta"")"),-0.87)</f>
        <v>-0.87</v>
      </c>
    </row>
    <row r="2407">
      <c r="A2407" s="122" t="s">
        <v>5231</v>
      </c>
      <c r="B2407" s="123">
        <v>1616788.0</v>
      </c>
      <c r="C2407" s="124" t="s">
        <v>5232</v>
      </c>
      <c r="D2407" s="125"/>
      <c r="E2407" s="126">
        <v>2.56</v>
      </c>
      <c r="F2407" s="127"/>
      <c r="G2407" s="127"/>
      <c r="H2407" s="127"/>
      <c r="I2407" s="128"/>
      <c r="K2407" s="105" t="str">
        <f>IFERROR(__xludf.DUMMYFUNCTION("if(A2407="""","""",substitute(SUBSTITUTE(index(importhtml(""http://finviz.com/quote.ashx?t=""&amp;A2407,""table"",10),7,2),""*"",""""),""-"",""0.00""))"),"Loading...")</f>
        <v>Loading...</v>
      </c>
      <c r="L2407" s="129">
        <v>1.288066E8</v>
      </c>
      <c r="M2407" s="99">
        <v>0.49</v>
      </c>
    </row>
    <row r="2408">
      <c r="A2408" s="122" t="s">
        <v>5233</v>
      </c>
      <c r="B2408" s="123">
        <v>1710350.0</v>
      </c>
      <c r="C2408" s="124" t="s">
        <v>5234</v>
      </c>
      <c r="D2408" s="125"/>
      <c r="E2408" s="126">
        <v>2.56</v>
      </c>
      <c r="F2408" s="127"/>
      <c r="G2408" s="127"/>
      <c r="H2408" s="127"/>
      <c r="I2408" s="128"/>
      <c r="K2408" s="105" t="str">
        <f>IFERROR(__xludf.DUMMYFUNCTION("if(A2408="""","""",substitute(SUBSTITUTE(index(importhtml(""http://finviz.com/quote.ashx?t=""&amp;A2408,""table"",10),7,2),""*"",""""),""-"",""0.00""))"),"Loading...")</f>
        <v>Loading...</v>
      </c>
      <c r="L2408" s="129">
        <v>2.32340526E8</v>
      </c>
      <c r="M2408" s="99">
        <v>6.37</v>
      </c>
    </row>
    <row r="2409">
      <c r="A2409" s="122" t="s">
        <v>5235</v>
      </c>
      <c r="B2409" s="123">
        <v>1484769.0</v>
      </c>
      <c r="C2409" s="124" t="s">
        <v>5236</v>
      </c>
      <c r="D2409" s="125"/>
      <c r="E2409" s="126">
        <v>2.56</v>
      </c>
      <c r="F2409" s="127"/>
      <c r="G2409" s="127"/>
      <c r="H2409" s="127"/>
      <c r="I2409" s="128"/>
      <c r="K2409" s="105" t="str">
        <f>IFERROR(__xludf.DUMMYFUNCTION("if(A2409="""","""",substitute(SUBSTITUTE(index(importhtml(""http://finviz.com/quote.ashx?t=""&amp;A2409,""table"",10),7,2),""*"",""""),""-"",""0.00""))"),"#REF!")</f>
        <v>#REF!</v>
      </c>
      <c r="L2409" s="129">
        <v>7.49582063E8</v>
      </c>
      <c r="M2409" s="99">
        <v>2.02</v>
      </c>
    </row>
    <row r="2410">
      <c r="A2410" s="122" t="s">
        <v>5237</v>
      </c>
      <c r="B2410" s="123">
        <v>1495686.0</v>
      </c>
      <c r="C2410" s="124" t="s">
        <v>5238</v>
      </c>
      <c r="D2410" s="125"/>
      <c r="E2410" s="126">
        <v>2.56</v>
      </c>
      <c r="F2410" s="127"/>
      <c r="G2410" s="127"/>
      <c r="H2410" s="127"/>
      <c r="I2410" s="128"/>
      <c r="K2410" s="105" t="str">
        <f>IFERROR(__xludf.DUMMYFUNCTION("if(A2410="""","""",substitute(SUBSTITUTE(index(importhtml(""http://finviz.com/quote.ashx?t=""&amp;A2410,""table"",10),7,2),""*"",""""),""-"",""0.00""))"),"Loading...")</f>
        <v>Loading...</v>
      </c>
      <c r="L2410" s="129">
        <v>3.3351637547E10</v>
      </c>
      <c r="M2410" s="99">
        <f>IFERROR(__xludf.DUMMYFUNCTION("GOOGLEFINANCE(A2410,""beta"")"),2.04)</f>
        <v>2.04</v>
      </c>
    </row>
    <row r="2411">
      <c r="A2411" s="122" t="s">
        <v>5239</v>
      </c>
      <c r="B2411" s="123">
        <v>1679063.0</v>
      </c>
      <c r="C2411" s="124" t="s">
        <v>5240</v>
      </c>
      <c r="D2411" s="125"/>
      <c r="E2411" s="126">
        <v>2.57</v>
      </c>
      <c r="F2411" s="127"/>
      <c r="G2411" s="127"/>
      <c r="H2411" s="127"/>
      <c r="I2411" s="128"/>
      <c r="K2411" s="105" t="str">
        <f>IFERROR(__xludf.DUMMYFUNCTION("if(A2411="""","""",substitute(SUBSTITUTE(index(importhtml(""http://finviz.com/quote.ashx?t=""&amp;A2411,""table"",10),7,2),""*"",""""),""-"",""0.00""))"),"Loading...")</f>
        <v>Loading...</v>
      </c>
      <c r="L2411" s="129">
        <v>6250465.0</v>
      </c>
      <c r="M2411" s="99">
        <v>-0.17</v>
      </c>
    </row>
    <row r="2412">
      <c r="A2412" s="122" t="s">
        <v>5241</v>
      </c>
      <c r="B2412" s="123">
        <v>1832928.0</v>
      </c>
      <c r="C2412" s="124" t="s">
        <v>5242</v>
      </c>
      <c r="D2412" s="125"/>
      <c r="E2412" s="126">
        <v>2.57</v>
      </c>
      <c r="F2412" s="127"/>
      <c r="G2412" s="127"/>
      <c r="H2412" s="127"/>
      <c r="I2412" s="128"/>
      <c r="K2412" s="105" t="str">
        <f>IFERROR(__xludf.DUMMYFUNCTION("if(A2412="""","""",substitute(SUBSTITUTE(index(importhtml(""http://finviz.com/quote.ashx?t=""&amp;A2412,""table"",10),7,2),""*"",""""),""-"",""0.00""))"),"Loading...")</f>
        <v>Loading...</v>
      </c>
      <c r="L2412" s="129">
        <v>1.124938148E9</v>
      </c>
      <c r="M2412" s="99">
        <v>2.06</v>
      </c>
    </row>
    <row r="2413">
      <c r="A2413" s="122" t="s">
        <v>5243</v>
      </c>
      <c r="B2413" s="123">
        <v>1795589.0</v>
      </c>
      <c r="C2413" s="124" t="s">
        <v>5244</v>
      </c>
      <c r="D2413" s="125"/>
      <c r="E2413" s="126">
        <v>2.58</v>
      </c>
      <c r="F2413" s="127"/>
      <c r="G2413" s="127"/>
      <c r="H2413" s="127"/>
      <c r="I2413" s="128"/>
      <c r="K2413" s="55" t="s">
        <v>1034</v>
      </c>
      <c r="L2413" s="129">
        <v>6.09246857E8</v>
      </c>
      <c r="M2413" s="99">
        <v>2.12</v>
      </c>
    </row>
    <row r="2414">
      <c r="A2414" s="122" t="s">
        <v>5245</v>
      </c>
      <c r="B2414" s="123">
        <v>1498233.0</v>
      </c>
      <c r="C2414" s="124" t="s">
        <v>5246</v>
      </c>
      <c r="D2414" s="125"/>
      <c r="E2414" s="126">
        <v>2.58</v>
      </c>
      <c r="F2414" s="127"/>
      <c r="G2414" s="127"/>
      <c r="H2414" s="127"/>
      <c r="I2414" s="128"/>
      <c r="K2414" s="105" t="str">
        <f>IFERROR(__xludf.DUMMYFUNCTION("if(A2414="""","""",substitute(SUBSTITUTE(index(importhtml(""http://finviz.com/quote.ashx?t=""&amp;A2414,""table"",10),7,2),""*"",""""),""-"",""0.00""))"),"Loading...")</f>
        <v>Loading...</v>
      </c>
      <c r="L2414" s="129">
        <v>4.0885078E7</v>
      </c>
      <c r="M2414" s="99" t="str">
        <f>IFERROR(__xludf.DUMMYFUNCTION("GOOGLEFINANCE(A2414,""beta"")"),"#N/A")</f>
        <v>#N/A</v>
      </c>
    </row>
    <row r="2415">
      <c r="A2415" s="122" t="s">
        <v>5247</v>
      </c>
      <c r="B2415" s="123">
        <v>1590496.0</v>
      </c>
      <c r="C2415" s="124" t="s">
        <v>5248</v>
      </c>
      <c r="D2415" s="125"/>
      <c r="E2415" s="126">
        <v>2.58</v>
      </c>
      <c r="F2415" s="127"/>
      <c r="G2415" s="127"/>
      <c r="H2415" s="127"/>
      <c r="I2415" s="128"/>
      <c r="K2415" s="105" t="str">
        <f>IFERROR(__xludf.DUMMYFUNCTION("if(A2415="""","""",substitute(SUBSTITUTE(index(importhtml(""http://finviz.com/quote.ashx?t=""&amp;A2415,""table"",10),7,2),""*"",""""),""-"",""0.00""))"),"Loading...")</f>
        <v>Loading...</v>
      </c>
      <c r="L2415" s="129">
        <v>4.35236E7</v>
      </c>
      <c r="M2415" s="99">
        <v>0.89</v>
      </c>
    </row>
    <row r="2416">
      <c r="A2416" s="122" t="s">
        <v>5249</v>
      </c>
      <c r="B2416" s="123">
        <v>1162461.0</v>
      </c>
      <c r="C2416" s="124" t="s">
        <v>5250</v>
      </c>
      <c r="D2416" s="125"/>
      <c r="E2416" s="126">
        <v>2.58</v>
      </c>
      <c r="F2416" s="127"/>
      <c r="G2416" s="127"/>
      <c r="H2416" s="127"/>
      <c r="I2416" s="128"/>
      <c r="K2416" s="105" t="str">
        <f>IFERROR(__xludf.DUMMYFUNCTION("if(A2416="""","""",substitute(SUBSTITUTE(index(importhtml(""http://finviz.com/quote.ashx?t=""&amp;A2416,""table"",10),7,2),""*"",""""),""-"",""0.00""))"),"Loading...")</f>
        <v>Loading...</v>
      </c>
      <c r="L2416" s="129">
        <v>5.1455183E7</v>
      </c>
      <c r="M2416" s="99">
        <v>1.78</v>
      </c>
    </row>
    <row r="2417">
      <c r="A2417" s="122" t="s">
        <v>5251</v>
      </c>
      <c r="B2417" s="123">
        <v>1527762.0</v>
      </c>
      <c r="C2417" s="124" t="s">
        <v>5252</v>
      </c>
      <c r="D2417" s="125"/>
      <c r="E2417" s="126">
        <v>2.58</v>
      </c>
      <c r="F2417" s="127"/>
      <c r="G2417" s="127"/>
      <c r="H2417" s="127"/>
      <c r="I2417" s="128"/>
      <c r="K2417" s="105" t="str">
        <f>IFERROR(__xludf.DUMMYFUNCTION("if(A2417="""","""",substitute(SUBSTITUTE(index(importhtml(""http://finviz.com/quote.ashx?t=""&amp;A2417,""table"",10),7,2),""*"",""""),""-"",""0.00""))"),"Loading...")</f>
        <v>Loading...</v>
      </c>
      <c r="L2417" s="129">
        <v>1.20068268E8</v>
      </c>
      <c r="M2417" s="99" t="str">
        <f>IFERROR(__xludf.DUMMYFUNCTION("GOOGLEFINANCE(A2417,""beta"")"),"#N/A")</f>
        <v>#N/A</v>
      </c>
    </row>
    <row r="2418">
      <c r="A2418" s="122" t="s">
        <v>5253</v>
      </c>
      <c r="B2418" s="123">
        <v>1804469.0</v>
      </c>
      <c r="C2418" s="124" t="s">
        <v>5254</v>
      </c>
      <c r="D2418" s="125"/>
      <c r="E2418" s="126">
        <v>2.59</v>
      </c>
      <c r="F2418" s="127"/>
      <c r="G2418" s="127"/>
      <c r="H2418" s="127"/>
      <c r="I2418" s="128"/>
      <c r="K2418" s="105" t="str">
        <f>IFERROR(__xludf.DUMMYFUNCTION("if(A2418="""","""",substitute(SUBSTITUTE(index(importhtml(""http://finviz.com/quote.ashx?t=""&amp;A2418,""table"",10),7,2),""*"",""""),""-"",""0.00""))"),"Loading...")</f>
        <v>Loading...</v>
      </c>
      <c r="L2418" s="129">
        <v>1.7827546E7</v>
      </c>
      <c r="M2418" s="99">
        <f>IFERROR(__xludf.DUMMYFUNCTION("GOOGLEFINANCE(A2418,""beta"")"),-875.32)</f>
        <v>-875.32</v>
      </c>
    </row>
    <row r="2419">
      <c r="A2419" s="122" t="s">
        <v>5255</v>
      </c>
      <c r="B2419" s="123">
        <v>871459.0</v>
      </c>
      <c r="C2419" s="124" t="s">
        <v>5256</v>
      </c>
      <c r="D2419" s="125"/>
      <c r="E2419" s="126">
        <v>2.59</v>
      </c>
      <c r="F2419" s="127"/>
      <c r="G2419" s="127"/>
      <c r="H2419" s="127"/>
      <c r="I2419" s="128"/>
      <c r="K2419" s="105" t="str">
        <f>IFERROR(__xludf.DUMMYFUNCTION("if(A2419="""","""",substitute(SUBSTITUTE(index(importhtml(""http://finviz.com/quote.ashx?t=""&amp;A2419,""table"",10),7,2),""*"",""""),""-"",""0.00""))"),"Loading...")</f>
        <v>Loading...</v>
      </c>
      <c r="L2419" s="129">
        <v>2.788521E9</v>
      </c>
      <c r="M2419" s="99">
        <f>IFERROR(__xludf.DUMMYFUNCTION("GOOGLEFINANCE(A2419,""beta"")"),0.23)</f>
        <v>0.23</v>
      </c>
    </row>
    <row r="2420">
      <c r="A2420" s="122" t="s">
        <v>5257</v>
      </c>
      <c r="B2420" s="123">
        <v>1702318.0</v>
      </c>
      <c r="C2420" s="124" t="s">
        <v>5258</v>
      </c>
      <c r="D2420" s="125"/>
      <c r="E2420" s="126">
        <v>2.6</v>
      </c>
      <c r="F2420" s="127"/>
      <c r="G2420" s="127"/>
      <c r="H2420" s="127"/>
      <c r="I2420" s="128"/>
      <c r="K2420" s="55" t="s">
        <v>1034</v>
      </c>
      <c r="L2420" s="129">
        <v>2.78140969E8</v>
      </c>
      <c r="M2420" s="99">
        <v>-0.1</v>
      </c>
    </row>
    <row r="2421">
      <c r="A2421" s="122" t="s">
        <v>5259</v>
      </c>
      <c r="B2421" s="123">
        <v>1506928.0</v>
      </c>
      <c r="C2421" s="124" t="s">
        <v>5260</v>
      </c>
      <c r="D2421" s="125"/>
      <c r="E2421" s="126">
        <v>2.6</v>
      </c>
      <c r="F2421" s="127"/>
      <c r="G2421" s="127"/>
      <c r="H2421" s="127"/>
      <c r="I2421" s="128"/>
      <c r="K2421" s="105" t="str">
        <f>IFERROR(__xludf.DUMMYFUNCTION("if(A2421="""","""",substitute(SUBSTITUTE(index(importhtml(""http://finviz.com/quote.ashx?t=""&amp;A2421,""table"",10),7,2),""*"",""""),""-"",""0.00""))"),"Loading...")</f>
        <v>Loading...</v>
      </c>
      <c r="L2421" s="129">
        <v>3562306.0</v>
      </c>
      <c r="M2421" s="99">
        <v>1.34</v>
      </c>
    </row>
    <row r="2422">
      <c r="A2422" s="122" t="s">
        <v>5261</v>
      </c>
      <c r="B2422" s="123">
        <v>30831.0</v>
      </c>
      <c r="C2422" s="124" t="s">
        <v>5262</v>
      </c>
      <c r="D2422" s="125"/>
      <c r="E2422" s="126">
        <v>2.6</v>
      </c>
      <c r="F2422" s="127"/>
      <c r="G2422" s="127"/>
      <c r="H2422" s="127"/>
      <c r="I2422" s="128"/>
      <c r="K2422" s="105" t="str">
        <f>IFERROR(__xludf.DUMMYFUNCTION("if(A2422="""","""",substitute(SUBSTITUTE(index(importhtml(""http://finviz.com/quote.ashx?t=""&amp;A2422,""table"",10),7,2),""*"",""""),""-"",""0.00""))"),"Loading...")</f>
        <v>Loading...</v>
      </c>
      <c r="L2422" s="129">
        <v>3.900755E7</v>
      </c>
      <c r="M2422" s="99" t="str">
        <f>IFERROR(__xludf.DUMMYFUNCTION("GOOGLEFINANCE(A2422,""beta"")"),"#N/A")</f>
        <v>#N/A</v>
      </c>
    </row>
    <row r="2423">
      <c r="A2423" s="122" t="s">
        <v>5263</v>
      </c>
      <c r="B2423" s="123">
        <v>1398453.0</v>
      </c>
      <c r="C2423" s="124" t="s">
        <v>5264</v>
      </c>
      <c r="D2423" s="125"/>
      <c r="E2423" s="126">
        <v>2.61</v>
      </c>
      <c r="F2423" s="127"/>
      <c r="G2423" s="127"/>
      <c r="H2423" s="127"/>
      <c r="I2423" s="128"/>
      <c r="K2423" s="105" t="str">
        <f>IFERROR(__xludf.DUMMYFUNCTION("if(A2423="""","""",substitute(SUBSTITUTE(index(importhtml(""http://finviz.com/quote.ashx?t=""&amp;A2423,""table"",10),7,2),""*"",""""),""-"",""0.00""))"),"Loading...")</f>
        <v>Loading...</v>
      </c>
      <c r="L2423" s="129">
        <v>1.5688172E7</v>
      </c>
      <c r="M2423" s="99">
        <v>0.77</v>
      </c>
    </row>
    <row r="2424">
      <c r="A2424" s="122" t="s">
        <v>5265</v>
      </c>
      <c r="B2424" s="123">
        <v>1753162.0</v>
      </c>
      <c r="C2424" s="124" t="s">
        <v>5266</v>
      </c>
      <c r="D2424" s="125"/>
      <c r="E2424" s="126">
        <v>2.62</v>
      </c>
      <c r="F2424" s="127"/>
      <c r="G2424" s="127"/>
      <c r="H2424" s="127"/>
      <c r="I2424" s="128"/>
      <c r="K2424" s="105" t="str">
        <f>IFERROR(__xludf.DUMMYFUNCTION("if(A2424="""","""",substitute(SUBSTITUTE(index(importhtml(""http://finviz.com/quote.ashx?t=""&amp;A2424,""table"",10),7,2),""*"",""""),""-"",""0.00""))"),"Loading...")</f>
        <v>Loading...</v>
      </c>
      <c r="L2424" s="129">
        <v>5.4037392E7</v>
      </c>
      <c r="M2424" s="99">
        <v>1.99</v>
      </c>
    </row>
    <row r="2425">
      <c r="A2425" s="122" t="s">
        <v>5267</v>
      </c>
      <c r="B2425" s="123">
        <v>1855747.0</v>
      </c>
      <c r="C2425" s="124" t="s">
        <v>5268</v>
      </c>
      <c r="D2425" s="125"/>
      <c r="E2425" s="126">
        <v>2.62</v>
      </c>
      <c r="F2425" s="127"/>
      <c r="G2425" s="127"/>
      <c r="H2425" s="127"/>
      <c r="I2425" s="128"/>
      <c r="K2425" s="105" t="str">
        <f>IFERROR(__xludf.DUMMYFUNCTION("if(A2425="""","""",substitute(SUBSTITUTE(index(importhtml(""http://finviz.com/quote.ashx?t=""&amp;A2425,""table"",10),7,2),""*"",""""),""-"",""0.00""))"),"Loading...")</f>
        <v>Loading...</v>
      </c>
      <c r="L2425" s="129">
        <v>6.50281089E8</v>
      </c>
      <c r="M2425" s="99">
        <f>IFERROR(__xludf.DUMMYFUNCTION("GOOGLEFINANCE(A2425,""beta"")"),1.23)</f>
        <v>1.23</v>
      </c>
    </row>
    <row r="2426">
      <c r="A2426" s="122" t="s">
        <v>5269</v>
      </c>
      <c r="B2426" s="123">
        <v>1398733.0</v>
      </c>
      <c r="C2426" s="124" t="s">
        <v>5270</v>
      </c>
      <c r="D2426" s="125"/>
      <c r="E2426" s="126">
        <v>2.63</v>
      </c>
      <c r="F2426" s="127"/>
      <c r="G2426" s="127"/>
      <c r="H2426" s="127"/>
      <c r="I2426" s="128"/>
      <c r="K2426" s="105" t="str">
        <f>IFERROR(__xludf.DUMMYFUNCTION("if(A2426="""","""",substitute(SUBSTITUTE(index(importhtml(""http://finviz.com/quote.ashx?t=""&amp;A2426,""table"",10),7,2),""*"",""""),""-"",""0.00""))"),"Loading...")</f>
        <v>Loading...</v>
      </c>
      <c r="L2426" s="129">
        <v>1.75597901E8</v>
      </c>
      <c r="M2426" s="99">
        <v>2.78</v>
      </c>
    </row>
    <row r="2427">
      <c r="A2427" s="122" t="s">
        <v>5271</v>
      </c>
      <c r="B2427" s="123">
        <v>811250.0</v>
      </c>
      <c r="C2427" s="124" t="s">
        <v>5272</v>
      </c>
      <c r="D2427" s="125"/>
      <c r="E2427" s="126">
        <v>2.63</v>
      </c>
      <c r="F2427" s="127"/>
      <c r="G2427" s="127"/>
      <c r="H2427" s="127"/>
      <c r="I2427" s="128"/>
      <c r="K2427" s="105" t="str">
        <f>IFERROR(__xludf.DUMMYFUNCTION("if(A2427="""","""",substitute(SUBSTITUTE(index(importhtml(""http://finviz.com/quote.ashx?t=""&amp;A2427,""table"",10),7,2),""*"",""""),""-"",""0.00""))"),"Loading...")</f>
        <v>Loading...</v>
      </c>
      <c r="L2427" s="129">
        <v>1.2458015982E10</v>
      </c>
      <c r="M2427" s="99">
        <v>0.67</v>
      </c>
    </row>
    <row r="2428">
      <c r="A2428" s="122" t="s">
        <v>5273</v>
      </c>
      <c r="B2428" s="123">
        <v>1565025.0</v>
      </c>
      <c r="C2428" s="124" t="s">
        <v>5274</v>
      </c>
      <c r="D2428" s="125"/>
      <c r="E2428" s="126">
        <v>2.63</v>
      </c>
      <c r="F2428" s="127"/>
      <c r="G2428" s="127"/>
      <c r="H2428" s="127"/>
      <c r="I2428" s="128"/>
      <c r="K2428" s="105" t="str">
        <f>IFERROR(__xludf.DUMMYFUNCTION("if(A2428="""","""",substitute(SUBSTITUTE(index(importhtml(""http://finviz.com/quote.ashx?t=""&amp;A2428,""table"",10),7,2),""*"",""""),""-"",""0.00""))"),"Loading...")</f>
        <v>Loading...</v>
      </c>
      <c r="L2428" s="129">
        <v>2.05902553292E11</v>
      </c>
      <c r="M2428" s="99">
        <v>1.1</v>
      </c>
    </row>
    <row r="2429">
      <c r="A2429" s="122" t="s">
        <v>5275</v>
      </c>
      <c r="B2429" s="123">
        <v>1719395.0</v>
      </c>
      <c r="C2429" s="124" t="s">
        <v>5276</v>
      </c>
      <c r="D2429" s="125"/>
      <c r="E2429" s="126">
        <v>2.64</v>
      </c>
      <c r="F2429" s="127"/>
      <c r="G2429" s="127"/>
      <c r="H2429" s="127"/>
      <c r="I2429" s="128"/>
      <c r="K2429" s="55" t="s">
        <v>1034</v>
      </c>
      <c r="L2429" s="129">
        <v>5.4839349E7</v>
      </c>
      <c r="M2429" s="99">
        <v>1.48</v>
      </c>
    </row>
    <row r="2430">
      <c r="A2430" s="122" t="s">
        <v>5277</v>
      </c>
      <c r="B2430" s="123">
        <v>790500.0</v>
      </c>
      <c r="C2430" s="124" t="s">
        <v>5278</v>
      </c>
      <c r="D2430" s="125"/>
      <c r="E2430" s="126">
        <v>2.64</v>
      </c>
      <c r="F2430" s="127"/>
      <c r="G2430" s="127"/>
      <c r="H2430" s="127"/>
      <c r="I2430" s="128"/>
      <c r="K2430" s="55" t="s">
        <v>5279</v>
      </c>
      <c r="L2430" s="129">
        <v>6.53916673E8</v>
      </c>
      <c r="M2430" s="99">
        <v>0.62</v>
      </c>
    </row>
    <row r="2431">
      <c r="A2431" s="122" t="s">
        <v>5280</v>
      </c>
      <c r="B2431" s="123">
        <v>1385818.0</v>
      </c>
      <c r="C2431" s="124" t="s">
        <v>5281</v>
      </c>
      <c r="D2431" s="125"/>
      <c r="E2431" s="126">
        <v>2.64</v>
      </c>
      <c r="F2431" s="127"/>
      <c r="G2431" s="127"/>
      <c r="H2431" s="127"/>
      <c r="I2431" s="128"/>
      <c r="K2431" s="105" t="str">
        <f>IFERROR(__xludf.DUMMYFUNCTION("if(A2431="""","""",substitute(SUBSTITUTE(index(importhtml(""http://finviz.com/quote.ashx?t=""&amp;A2431,""table"",10),7,2),""*"",""""),""-"",""0.00""))"),"Loading...")</f>
        <v>Loading...</v>
      </c>
      <c r="L2431" s="129">
        <v>1.4698174E7</v>
      </c>
      <c r="M2431" s="99">
        <v>-1.23</v>
      </c>
    </row>
    <row r="2432">
      <c r="A2432" s="122" t="s">
        <v>5282</v>
      </c>
      <c r="B2432" s="123">
        <v>850033.0</v>
      </c>
      <c r="C2432" s="124" t="s">
        <v>5283</v>
      </c>
      <c r="D2432" s="125"/>
      <c r="E2432" s="126">
        <v>2.65</v>
      </c>
      <c r="F2432" s="127"/>
      <c r="G2432" s="127"/>
      <c r="H2432" s="127"/>
      <c r="I2432" s="128"/>
      <c r="K2432" s="55" t="s">
        <v>1034</v>
      </c>
      <c r="L2432" s="129">
        <v>5.6710002E7</v>
      </c>
      <c r="M2432" s="99">
        <v>0.01</v>
      </c>
    </row>
    <row r="2433">
      <c r="A2433" s="122" t="s">
        <v>5284</v>
      </c>
      <c r="B2433" s="123">
        <v>1159508.0</v>
      </c>
      <c r="C2433" s="124" t="s">
        <v>5285</v>
      </c>
      <c r="D2433" s="125"/>
      <c r="E2433" s="126">
        <v>2.65</v>
      </c>
      <c r="F2433" s="127"/>
      <c r="G2433" s="127"/>
      <c r="H2433" s="127"/>
      <c r="I2433" s="128"/>
      <c r="K2433" s="55" t="s">
        <v>1034</v>
      </c>
      <c r="L2433" s="129" t="e">
        <v>#N/A</v>
      </c>
      <c r="M2433" s="99" t="str">
        <f>IFERROR(__xludf.DUMMYFUNCTION("GOOGLEFINANCE(A2433,""beta"")"),"#N/A")</f>
        <v>#N/A</v>
      </c>
    </row>
    <row r="2434">
      <c r="A2434" s="122" t="s">
        <v>5286</v>
      </c>
      <c r="B2434" s="123">
        <v>320017.0</v>
      </c>
      <c r="C2434" s="124" t="s">
        <v>5287</v>
      </c>
      <c r="D2434" s="125"/>
      <c r="E2434" s="126">
        <v>2.65</v>
      </c>
      <c r="F2434" s="127"/>
      <c r="G2434" s="127"/>
      <c r="H2434" s="127"/>
      <c r="I2434" s="128"/>
      <c r="K2434" s="105" t="str">
        <f>IFERROR(__xludf.DUMMYFUNCTION("if(A2434="""","""",substitute(SUBSTITUTE(index(importhtml(""http://finviz.com/quote.ashx?t=""&amp;A2434,""table"",10),7,2),""*"",""""),""-"",""0.00""))"),"Loading...")</f>
        <v>Loading...</v>
      </c>
      <c r="L2434" s="129">
        <v>2.1568742E7</v>
      </c>
      <c r="M2434" s="99">
        <v>0.97</v>
      </c>
    </row>
    <row r="2435">
      <c r="A2435" s="122" t="s">
        <v>5288</v>
      </c>
      <c r="B2435" s="123">
        <v>1228627.0</v>
      </c>
      <c r="C2435" s="124" t="s">
        <v>5289</v>
      </c>
      <c r="D2435" s="125"/>
      <c r="E2435" s="126">
        <v>2.65</v>
      </c>
      <c r="F2435" s="127"/>
      <c r="G2435" s="127"/>
      <c r="H2435" s="127"/>
      <c r="I2435" s="128"/>
      <c r="K2435" s="105" t="str">
        <f>IFERROR(__xludf.DUMMYFUNCTION("if(A2435="""","""",substitute(SUBSTITUTE(index(importhtml(""http://finviz.com/quote.ashx?t=""&amp;A2435,""table"",10),7,2),""*"",""""),""-"",""0.00""))"),"Loading...")</f>
        <v>Loading...</v>
      </c>
      <c r="L2435" s="129">
        <v>5.9989642E7</v>
      </c>
      <c r="M2435" s="99">
        <v>0.36</v>
      </c>
    </row>
    <row r="2436">
      <c r="A2436" s="122" t="s">
        <v>5290</v>
      </c>
      <c r="B2436" s="123">
        <v>1768446.0</v>
      </c>
      <c r="C2436" s="124" t="s">
        <v>5291</v>
      </c>
      <c r="D2436" s="125"/>
      <c r="E2436" s="126">
        <v>2.65</v>
      </c>
      <c r="F2436" s="127"/>
      <c r="G2436" s="127"/>
      <c r="H2436" s="127"/>
      <c r="I2436" s="128"/>
      <c r="K2436" s="105" t="str">
        <f>IFERROR(__xludf.DUMMYFUNCTION("if(A2436="""","""",substitute(SUBSTITUTE(index(importhtml(""http://finviz.com/quote.ashx?t=""&amp;A2436,""table"",10),7,2),""*"",""""),""-"",""0.00""))"),"Loading...")</f>
        <v>Loading...</v>
      </c>
      <c r="L2436" s="129">
        <v>7.3067551E7</v>
      </c>
      <c r="M2436" s="99" t="str">
        <f>IFERROR(__xludf.DUMMYFUNCTION("GOOGLEFINANCE(A2436,""beta"")"),"#N/A")</f>
        <v>#N/A</v>
      </c>
    </row>
    <row r="2437">
      <c r="A2437" s="122" t="s">
        <v>5292</v>
      </c>
      <c r="B2437" s="123">
        <v>1815776.0</v>
      </c>
      <c r="C2437" s="124" t="s">
        <v>5293</v>
      </c>
      <c r="D2437" s="125"/>
      <c r="E2437" s="126">
        <v>2.65</v>
      </c>
      <c r="F2437" s="127"/>
      <c r="G2437" s="127"/>
      <c r="H2437" s="127"/>
      <c r="I2437" s="128"/>
      <c r="K2437" s="105" t="str">
        <f>IFERROR(__xludf.DUMMYFUNCTION("if(A2437="""","""",substitute(SUBSTITUTE(index(importhtml(""http://finviz.com/quote.ashx?t=""&amp;A2437,""table"",10),7,2),""*"",""""),""-"",""0.00""))"),"Loading...")</f>
        <v>Loading...</v>
      </c>
      <c r="L2437" s="129">
        <v>1.53690651E8</v>
      </c>
      <c r="M2437" s="99" t="str">
        <f>IFERROR(__xludf.DUMMYFUNCTION("GOOGLEFINANCE(A2437,""beta"")"),"#N/A")</f>
        <v>#N/A</v>
      </c>
    </row>
    <row r="2438">
      <c r="A2438" s="122" t="s">
        <v>5294</v>
      </c>
      <c r="B2438" s="123">
        <v>1819395.0</v>
      </c>
      <c r="C2438" s="124" t="s">
        <v>5295</v>
      </c>
      <c r="D2438" s="125"/>
      <c r="E2438" s="126">
        <v>2.66</v>
      </c>
      <c r="F2438" s="127"/>
      <c r="G2438" s="127"/>
      <c r="H2438" s="127"/>
      <c r="I2438" s="128"/>
      <c r="K2438" s="105" t="str">
        <f>IFERROR(__xludf.DUMMYFUNCTION("if(A2438="""","""",substitute(SUBSTITUTE(index(importhtml(""http://finviz.com/quote.ashx?t=""&amp;A2438,""table"",10),7,2),""*"",""""),""-"",""0.00""))"),"#REF!")</f>
        <v>#REF!</v>
      </c>
      <c r="L2438" s="129">
        <v>2.9432182E7</v>
      </c>
      <c r="M2438" s="99">
        <f>IFERROR(__xludf.DUMMYFUNCTION("GOOGLEFINANCE(A2438,""beta"")"),1.72)</f>
        <v>1.72</v>
      </c>
    </row>
    <row r="2439">
      <c r="A2439" s="122" t="s">
        <v>5296</v>
      </c>
      <c r="B2439" s="123">
        <v>1005516.0</v>
      </c>
      <c r="C2439" s="124" t="s">
        <v>5297</v>
      </c>
      <c r="D2439" s="125"/>
      <c r="E2439" s="126">
        <v>2.67</v>
      </c>
      <c r="F2439" s="127"/>
      <c r="G2439" s="127"/>
      <c r="H2439" s="127"/>
      <c r="I2439" s="128"/>
      <c r="K2439" s="105" t="str">
        <f>IFERROR(__xludf.DUMMYFUNCTION("if(A2439="""","""",substitute(SUBSTITUTE(index(importhtml(""http://finviz.com/quote.ashx?t=""&amp;A2439,""table"",10),7,2),""*"",""""),""-"",""0.00""))"),"Loading...")</f>
        <v>Loading...</v>
      </c>
      <c r="L2439" s="129">
        <v>1.534721E7</v>
      </c>
      <c r="M2439" s="99">
        <v>0.85</v>
      </c>
    </row>
    <row r="2440">
      <c r="A2440" s="122" t="s">
        <v>5298</v>
      </c>
      <c r="B2440" s="123">
        <v>1425355.0</v>
      </c>
      <c r="C2440" s="124" t="s">
        <v>5299</v>
      </c>
      <c r="D2440" s="125"/>
      <c r="E2440" s="126">
        <v>2.67</v>
      </c>
      <c r="F2440" s="127"/>
      <c r="G2440" s="127"/>
      <c r="H2440" s="127"/>
      <c r="I2440" s="128"/>
      <c r="K2440" s="105" t="str">
        <f>IFERROR(__xludf.DUMMYFUNCTION("if(A2440="""","""",substitute(SUBSTITUTE(index(importhtml(""http://finviz.com/quote.ashx?t=""&amp;A2440,""table"",10),7,2),""*"",""""),""-"",""0.00""))"),"Loading...")</f>
        <v>Loading...</v>
      </c>
      <c r="L2440" s="129">
        <v>1.7048631E7</v>
      </c>
      <c r="M2440" s="99">
        <v>1.08</v>
      </c>
    </row>
    <row r="2441">
      <c r="A2441" s="122" t="s">
        <v>5300</v>
      </c>
      <c r="B2441" s="123">
        <v>1102993.0</v>
      </c>
      <c r="C2441" s="124" t="s">
        <v>5301</v>
      </c>
      <c r="D2441" s="125"/>
      <c r="E2441" s="126">
        <v>2.67</v>
      </c>
      <c r="F2441" s="127"/>
      <c r="G2441" s="127"/>
      <c r="H2441" s="127"/>
      <c r="I2441" s="128"/>
      <c r="K2441" s="105" t="str">
        <f>IFERROR(__xludf.DUMMYFUNCTION("if(A2441="""","""",substitute(SUBSTITUTE(index(importhtml(""http://finviz.com/quote.ashx?t=""&amp;A2441,""table"",10),7,2),""*"",""""),""-"",""0.00""))"),"Loading...")</f>
        <v>Loading...</v>
      </c>
      <c r="L2441" s="129">
        <v>2.15848653E8</v>
      </c>
      <c r="M2441" s="99">
        <v>1.69</v>
      </c>
    </row>
    <row r="2442">
      <c r="A2442" s="122" t="s">
        <v>5302</v>
      </c>
      <c r="B2442" s="123">
        <v>1791725.0</v>
      </c>
      <c r="C2442" s="124" t="s">
        <v>5303</v>
      </c>
      <c r="D2442" s="125"/>
      <c r="E2442" s="126">
        <v>2.68</v>
      </c>
      <c r="F2442" s="127"/>
      <c r="G2442" s="127"/>
      <c r="H2442" s="127"/>
      <c r="I2442" s="128"/>
      <c r="K2442" s="105" t="str">
        <f>IFERROR(__xludf.DUMMYFUNCTION("if(A2442="""","""",substitute(SUBSTITUTE(index(importhtml(""http://finviz.com/quote.ashx?t=""&amp;A2442,""table"",10),7,2),""*"",""""),""-"",""0.00""))"),"Loading...")</f>
        <v>Loading...</v>
      </c>
      <c r="L2442" s="129">
        <v>3.8214603E7</v>
      </c>
      <c r="M2442" s="99">
        <v>2.52</v>
      </c>
    </row>
    <row r="2443">
      <c r="A2443" s="122" t="s">
        <v>5304</v>
      </c>
      <c r="B2443" s="123">
        <v>719135.0</v>
      </c>
      <c r="C2443" s="124" t="s">
        <v>5305</v>
      </c>
      <c r="D2443" s="125"/>
      <c r="E2443" s="126">
        <v>2.68</v>
      </c>
      <c r="F2443" s="127"/>
      <c r="G2443" s="127"/>
      <c r="H2443" s="127"/>
      <c r="I2443" s="128"/>
      <c r="K2443" s="105" t="str">
        <f>IFERROR(__xludf.DUMMYFUNCTION("if(A2443="""","""",substitute(SUBSTITUTE(index(importhtml(""http://finviz.com/quote.ashx?t=""&amp;A2443,""table"",10),7,2),""*"",""""),""-"",""0.00""))"),"Loading...")</f>
        <v>Loading...</v>
      </c>
      <c r="L2443" s="129">
        <v>9.284552E7</v>
      </c>
      <c r="M2443" s="99">
        <v>1.13</v>
      </c>
    </row>
    <row r="2444">
      <c r="A2444" s="122" t="s">
        <v>5306</v>
      </c>
      <c r="B2444" s="123">
        <v>1827087.0</v>
      </c>
      <c r="C2444" s="124" t="s">
        <v>5307</v>
      </c>
      <c r="D2444" s="125"/>
      <c r="E2444" s="126">
        <v>2.68</v>
      </c>
      <c r="F2444" s="127"/>
      <c r="G2444" s="127"/>
      <c r="H2444" s="127"/>
      <c r="I2444" s="128"/>
      <c r="K2444" s="105" t="str">
        <f>IFERROR(__xludf.DUMMYFUNCTION("if(A2444="""","""",substitute(SUBSTITUTE(index(importhtml(""http://finviz.com/quote.ashx?t=""&amp;A2444,""table"",10),7,2),""*"",""""),""-"",""0.00""))"),"Loading...")</f>
        <v>Loading...</v>
      </c>
      <c r="L2444" s="129">
        <v>9.6151487E7</v>
      </c>
      <c r="M2444" s="99" t="str">
        <f>IFERROR(__xludf.DUMMYFUNCTION("GOOGLEFINANCE(A2444,""beta"")"),"#N/A")</f>
        <v>#N/A</v>
      </c>
    </row>
    <row r="2445">
      <c r="A2445" s="122" t="s">
        <v>5308</v>
      </c>
      <c r="B2445" s="123">
        <v>1316517.0</v>
      </c>
      <c r="C2445" s="124" t="s">
        <v>5309</v>
      </c>
      <c r="D2445" s="125"/>
      <c r="E2445" s="126">
        <v>2.68</v>
      </c>
      <c r="F2445" s="127"/>
      <c r="G2445" s="127"/>
      <c r="H2445" s="127"/>
      <c r="I2445" s="128"/>
      <c r="K2445" s="105" t="str">
        <f>IFERROR(__xludf.DUMMYFUNCTION("if(A2445="""","""",substitute(SUBSTITUTE(index(importhtml(""http://finviz.com/quote.ashx?t=""&amp;A2445,""table"",10),7,2),""*"",""""),""-"",""0.00""))"),"Loading...")</f>
        <v>Loading...</v>
      </c>
      <c r="L2445" s="129">
        <v>2.34561109E8</v>
      </c>
      <c r="M2445" s="99">
        <v>1.54</v>
      </c>
    </row>
    <row r="2446">
      <c r="A2446" s="122" t="s">
        <v>5310</v>
      </c>
      <c r="B2446" s="123">
        <v>1819989.0</v>
      </c>
      <c r="C2446" s="124" t="s">
        <v>5311</v>
      </c>
      <c r="D2446" s="125"/>
      <c r="E2446" s="126">
        <v>2.68</v>
      </c>
      <c r="F2446" s="127"/>
      <c r="G2446" s="127"/>
      <c r="H2446" s="127"/>
      <c r="I2446" s="128"/>
      <c r="K2446" s="105" t="str">
        <f>IFERROR(__xludf.DUMMYFUNCTION("if(A2446="""","""",substitute(SUBSTITUTE(index(importhtml(""http://finviz.com/quote.ashx?t=""&amp;A2446,""table"",10),7,2),""*"",""""),""-"",""0.00""))"),"Loading...")</f>
        <v>Loading...</v>
      </c>
      <c r="L2446" s="129">
        <v>6.88913849E8</v>
      </c>
      <c r="M2446" s="99">
        <v>2.13</v>
      </c>
    </row>
    <row r="2447">
      <c r="A2447" s="122" t="s">
        <v>5312</v>
      </c>
      <c r="B2447" s="123">
        <v>844150.0</v>
      </c>
      <c r="C2447" s="124" t="s">
        <v>5313</v>
      </c>
      <c r="D2447" s="125"/>
      <c r="E2447" s="126">
        <v>2.68</v>
      </c>
      <c r="F2447" s="127"/>
      <c r="G2447" s="127"/>
      <c r="H2447" s="127"/>
      <c r="I2447" s="128"/>
      <c r="K2447" s="105" t="str">
        <f>IFERROR(__xludf.DUMMYFUNCTION("if(A2447="""","""",substitute(SUBSTITUTE(index(importhtml(""http://finviz.com/quote.ashx?t=""&amp;A2447,""table"",10),7,2),""*"",""""),""-"",""0.00""))"),"Loading...")</f>
        <v>Loading...</v>
      </c>
      <c r="L2447" s="129">
        <v>2.4177514308E10</v>
      </c>
      <c r="M2447" s="99">
        <v>1.53</v>
      </c>
    </row>
    <row r="2448">
      <c r="A2448" s="122" t="s">
        <v>5314</v>
      </c>
      <c r="B2448" s="123">
        <v>1870600.0</v>
      </c>
      <c r="C2448" s="124" t="s">
        <v>5315</v>
      </c>
      <c r="D2448" s="125"/>
      <c r="E2448" s="126">
        <v>2.69</v>
      </c>
      <c r="F2448" s="127"/>
      <c r="G2448" s="127"/>
      <c r="H2448" s="127"/>
      <c r="I2448" s="128"/>
      <c r="K2448" s="55" t="s">
        <v>1034</v>
      </c>
      <c r="L2448" s="129">
        <v>2.4438941E8</v>
      </c>
      <c r="M2448" s="99" t="str">
        <f>IFERROR(__xludf.DUMMYFUNCTION("GOOGLEFINANCE(A2448,""beta"")"),"#N/A")</f>
        <v>#N/A</v>
      </c>
    </row>
    <row r="2449">
      <c r="A2449" s="122" t="s">
        <v>5316</v>
      </c>
      <c r="B2449" s="123">
        <v>1733257.0</v>
      </c>
      <c r="C2449" s="124" t="s">
        <v>5317</v>
      </c>
      <c r="D2449" s="125"/>
      <c r="E2449" s="126">
        <v>2.69</v>
      </c>
      <c r="F2449" s="127"/>
      <c r="G2449" s="127"/>
      <c r="H2449" s="127"/>
      <c r="I2449" s="128"/>
      <c r="K2449" s="105" t="str">
        <f>IFERROR(__xludf.DUMMYFUNCTION("if(A2449="""","""",substitute(SUBSTITUTE(index(importhtml(""http://finviz.com/quote.ashx?t=""&amp;A2449,""table"",10),7,2),""*"",""""),""-"",""0.00""))"),"Loading...")</f>
        <v>Loading...</v>
      </c>
      <c r="L2449" s="129">
        <v>4311470.0</v>
      </c>
      <c r="M2449" s="99">
        <f>IFERROR(__xludf.DUMMYFUNCTION("GOOGLEFINANCE(A2449,""beta"")"),1.15)</f>
        <v>1.15</v>
      </c>
    </row>
    <row r="2450">
      <c r="A2450" s="122" t="s">
        <v>5318</v>
      </c>
      <c r="B2450" s="123">
        <v>880406.0</v>
      </c>
      <c r="C2450" s="124" t="s">
        <v>5319</v>
      </c>
      <c r="D2450" s="125"/>
      <c r="E2450" s="126">
        <v>2.69</v>
      </c>
      <c r="F2450" s="127"/>
      <c r="G2450" s="127"/>
      <c r="H2450" s="127"/>
      <c r="I2450" s="128"/>
      <c r="K2450" s="105" t="str">
        <f>IFERROR(__xludf.DUMMYFUNCTION("if(A2450="""","""",substitute(SUBSTITUTE(index(importhtml(""http://finviz.com/quote.ashx?t=""&amp;A2450,""table"",10),7,2),""*"",""""),""-"",""0.00""))"),"Loading...")</f>
        <v>Loading...</v>
      </c>
      <c r="L2450" s="129">
        <v>1.9235308E7</v>
      </c>
      <c r="M2450" s="99">
        <v>1.16</v>
      </c>
    </row>
    <row r="2451">
      <c r="A2451" s="122" t="s">
        <v>5320</v>
      </c>
      <c r="B2451" s="123">
        <v>930826.0</v>
      </c>
      <c r="C2451" s="124" t="s">
        <v>5321</v>
      </c>
      <c r="D2451" s="125"/>
      <c r="E2451" s="126">
        <v>2.69</v>
      </c>
      <c r="F2451" s="127"/>
      <c r="G2451" s="127"/>
      <c r="H2451" s="127"/>
      <c r="I2451" s="128"/>
      <c r="K2451" s="105" t="str">
        <f>IFERROR(__xludf.DUMMYFUNCTION("if(A2451="""","""",substitute(SUBSTITUTE(index(importhtml(""http://finviz.com/quote.ashx?t=""&amp;A2451,""table"",10),7,2),""*"",""""),""-"",""0.00""))"),"Loading...")</f>
        <v>Loading...</v>
      </c>
      <c r="L2451" s="129">
        <v>2.572333755E9</v>
      </c>
      <c r="M2451" s="99">
        <v>1.21</v>
      </c>
    </row>
    <row r="2452">
      <c r="A2452" s="122" t="s">
        <v>5322</v>
      </c>
      <c r="B2452" s="123">
        <v>1000230.0</v>
      </c>
      <c r="C2452" s="124" t="s">
        <v>5323</v>
      </c>
      <c r="D2452" s="125"/>
      <c r="E2452" s="126">
        <v>2.7</v>
      </c>
      <c r="F2452" s="127"/>
      <c r="G2452" s="127"/>
      <c r="H2452" s="127"/>
      <c r="I2452" s="128"/>
      <c r="K2452" s="105" t="str">
        <f>IFERROR(__xludf.DUMMYFUNCTION("if(A2452="""","""",substitute(SUBSTITUTE(index(importhtml(""http://finviz.com/quote.ashx?t=""&amp;A2452,""table"",10),7,2),""*"",""""),""-"",""0.00""))"),"Loading...")</f>
        <v>Loading...</v>
      </c>
      <c r="L2452" s="129">
        <v>2.1238281E7</v>
      </c>
      <c r="M2452" s="99">
        <v>0.55</v>
      </c>
    </row>
    <row r="2453">
      <c r="A2453" s="122" t="s">
        <v>5324</v>
      </c>
      <c r="B2453" s="123">
        <v>1455684.0</v>
      </c>
      <c r="C2453" s="124" t="s">
        <v>5325</v>
      </c>
      <c r="D2453" s="125"/>
      <c r="E2453" s="126">
        <v>2.7</v>
      </c>
      <c r="F2453" s="127"/>
      <c r="G2453" s="127"/>
      <c r="H2453" s="127"/>
      <c r="I2453" s="128"/>
      <c r="K2453" s="105" t="str">
        <f>IFERROR(__xludf.DUMMYFUNCTION("if(A2453="""","""",substitute(SUBSTITUTE(index(importhtml(""http://finviz.com/quote.ashx?t=""&amp;A2453,""table"",10),7,2),""*"",""""),""-"",""0.00""))"),"Loading...")</f>
        <v>Loading...</v>
      </c>
      <c r="L2453" s="129">
        <v>1.25472053E8</v>
      </c>
      <c r="M2453" s="99">
        <v>2.03</v>
      </c>
    </row>
    <row r="2454">
      <c r="A2454" s="122" t="s">
        <v>5326</v>
      </c>
      <c r="B2454" s="123">
        <v>1808805.0</v>
      </c>
      <c r="C2454" s="124" t="s">
        <v>5327</v>
      </c>
      <c r="D2454" s="125"/>
      <c r="E2454" s="126">
        <v>2.7</v>
      </c>
      <c r="F2454" s="127"/>
      <c r="G2454" s="127"/>
      <c r="H2454" s="127"/>
      <c r="I2454" s="128"/>
      <c r="K2454" s="105" t="str">
        <f>IFERROR(__xludf.DUMMYFUNCTION("if(A2454="""","""",substitute(SUBSTITUTE(index(importhtml(""http://finviz.com/quote.ashx?t=""&amp;A2454,""table"",10),7,2),""*"",""""),""-"",""0.00""))"),"Loading...")</f>
        <v>Loading...</v>
      </c>
      <c r="L2454" s="129">
        <v>3.37414955E8</v>
      </c>
      <c r="M2454" s="99">
        <v>1.01</v>
      </c>
    </row>
    <row r="2455">
      <c r="A2455" s="122" t="s">
        <v>5328</v>
      </c>
      <c r="B2455" s="123">
        <v>1561032.0</v>
      </c>
      <c r="C2455" s="124" t="s">
        <v>5329</v>
      </c>
      <c r="D2455" s="125"/>
      <c r="E2455" s="126">
        <v>2.7</v>
      </c>
      <c r="F2455" s="127"/>
      <c r="G2455" s="127"/>
      <c r="H2455" s="127"/>
      <c r="I2455" s="128"/>
      <c r="K2455" s="105" t="str">
        <f>IFERROR(__xludf.DUMMYFUNCTION("if(A2455="""","""",substitute(SUBSTITUTE(index(importhtml(""http://finviz.com/quote.ashx?t=""&amp;A2455,""table"",10),7,2),""*"",""""),""-"",""0.00""))"),"Loading...")</f>
        <v>Loading...</v>
      </c>
      <c r="L2455" s="129" t="e">
        <v>#N/A</v>
      </c>
      <c r="M2455" s="99" t="str">
        <f>IFERROR(__xludf.DUMMYFUNCTION("GOOGLEFINANCE(A2455,""beta"")"),"#N/A")</f>
        <v>#N/A</v>
      </c>
    </row>
    <row r="2456">
      <c r="A2456" s="122" t="s">
        <v>5330</v>
      </c>
      <c r="B2456" s="123">
        <v>744825.0</v>
      </c>
      <c r="C2456" s="124" t="s">
        <v>5331</v>
      </c>
      <c r="D2456" s="125"/>
      <c r="E2456" s="126">
        <v>2.71</v>
      </c>
      <c r="F2456" s="127"/>
      <c r="G2456" s="127"/>
      <c r="H2456" s="127"/>
      <c r="I2456" s="128"/>
      <c r="K2456" s="55" t="s">
        <v>1034</v>
      </c>
      <c r="L2456" s="129">
        <v>1.7079393E7</v>
      </c>
      <c r="M2456" s="99">
        <v>0.69</v>
      </c>
    </row>
    <row r="2457">
      <c r="A2457" s="122" t="s">
        <v>5332</v>
      </c>
      <c r="B2457" s="123">
        <v>1070235.0</v>
      </c>
      <c r="C2457" s="124" t="s">
        <v>5333</v>
      </c>
      <c r="D2457" s="125"/>
      <c r="E2457" s="126">
        <v>2.71</v>
      </c>
      <c r="F2457" s="127"/>
      <c r="G2457" s="127"/>
      <c r="H2457" s="127"/>
      <c r="I2457" s="128"/>
      <c r="K2457" s="55" t="s">
        <v>1034</v>
      </c>
      <c r="L2457" s="129">
        <v>1.588944295E9</v>
      </c>
      <c r="M2457" s="99">
        <v>1.44</v>
      </c>
    </row>
    <row r="2458">
      <c r="A2458" s="122" t="s">
        <v>5334</v>
      </c>
      <c r="B2458" s="123">
        <v>727273.0</v>
      </c>
      <c r="C2458" s="124" t="s">
        <v>5335</v>
      </c>
      <c r="D2458" s="125"/>
      <c r="E2458" s="126">
        <v>2.72</v>
      </c>
      <c r="F2458" s="127"/>
      <c r="G2458" s="127"/>
      <c r="H2458" s="127"/>
      <c r="I2458" s="128"/>
      <c r="K2458" s="105" t="str">
        <f>IFERROR(__xludf.DUMMYFUNCTION("if(A2458="""","""",substitute(SUBSTITUTE(index(importhtml(""http://finviz.com/quote.ashx?t=""&amp;A2458,""table"",10),7,2),""*"",""""),""-"",""0.00""))"),"Loading...")</f>
        <v>Loading...</v>
      </c>
      <c r="L2458" s="129">
        <v>1.81453377E8</v>
      </c>
      <c r="M2458" s="99">
        <v>0.69</v>
      </c>
    </row>
    <row r="2459">
      <c r="A2459" s="122" t="s">
        <v>5336</v>
      </c>
      <c r="B2459" s="123">
        <v>1200375.0</v>
      </c>
      <c r="C2459" s="124" t="s">
        <v>5337</v>
      </c>
      <c r="D2459" s="125"/>
      <c r="E2459" s="126">
        <v>2.72</v>
      </c>
      <c r="F2459" s="127"/>
      <c r="G2459" s="127"/>
      <c r="H2459" s="127"/>
      <c r="I2459" s="128"/>
      <c r="K2459" s="105" t="str">
        <f>IFERROR(__xludf.DUMMYFUNCTION("if(A2459="""","""",substitute(SUBSTITUTE(index(importhtml(""http://finviz.com/quote.ashx?t=""&amp;A2459,""table"",10),7,2),""*"",""""),""-"",""0.00""))"),"Loading...")</f>
        <v>Loading...</v>
      </c>
      <c r="L2459" s="129">
        <v>1.89938173E8</v>
      </c>
      <c r="M2459" s="99">
        <v>1.89</v>
      </c>
    </row>
    <row r="2460">
      <c r="A2460" s="122" t="s">
        <v>5338</v>
      </c>
      <c r="B2460" s="123">
        <v>1006045.0</v>
      </c>
      <c r="C2460" s="124" t="s">
        <v>5339</v>
      </c>
      <c r="D2460" s="125"/>
      <c r="E2460" s="126">
        <v>2.73</v>
      </c>
      <c r="F2460" s="127"/>
      <c r="G2460" s="127"/>
      <c r="H2460" s="127"/>
      <c r="I2460" s="128"/>
      <c r="K2460" s="105" t="str">
        <f>IFERROR(__xludf.DUMMYFUNCTION("if(A2460="""","""",substitute(SUBSTITUTE(index(importhtml(""http://finviz.com/quote.ashx?t=""&amp;A2460,""table"",10),7,2),""*"",""""),""-"",""0.00""))"),"Loading...")</f>
        <v>Loading...</v>
      </c>
      <c r="L2460" s="129">
        <v>4.4356521E7</v>
      </c>
      <c r="M2460" s="99">
        <v>0.82</v>
      </c>
    </row>
    <row r="2461">
      <c r="A2461" s="122" t="s">
        <v>5340</v>
      </c>
      <c r="B2461" s="123">
        <v>1596812.0</v>
      </c>
      <c r="C2461" s="124" t="s">
        <v>5341</v>
      </c>
      <c r="D2461" s="125"/>
      <c r="E2461" s="126">
        <v>2.73</v>
      </c>
      <c r="F2461" s="127"/>
      <c r="G2461" s="127"/>
      <c r="H2461" s="127"/>
      <c r="I2461" s="128"/>
      <c r="K2461" s="105" t="str">
        <f>IFERROR(__xludf.DUMMYFUNCTION("if(A2461="""","""",substitute(SUBSTITUTE(index(importhtml(""http://finviz.com/quote.ashx?t=""&amp;A2461,""table"",10),7,2),""*"",""""),""-"",""0.00""))"),"Loading...")</f>
        <v>Loading...</v>
      </c>
      <c r="L2461" s="129">
        <v>5.0774041E7</v>
      </c>
      <c r="M2461" s="99">
        <v>1.38</v>
      </c>
    </row>
    <row r="2462">
      <c r="A2462" s="122" t="s">
        <v>5342</v>
      </c>
      <c r="B2462" s="123">
        <v>1829280.0</v>
      </c>
      <c r="C2462" s="124" t="s">
        <v>5343</v>
      </c>
      <c r="D2462" s="125"/>
      <c r="E2462" s="126">
        <v>2.73</v>
      </c>
      <c r="F2462" s="127"/>
      <c r="G2462" s="127"/>
      <c r="H2462" s="127"/>
      <c r="I2462" s="128"/>
      <c r="K2462" s="105" t="str">
        <f>IFERROR(__xludf.DUMMYFUNCTION("if(A2462="""","""",substitute(SUBSTITUTE(index(importhtml(""http://finviz.com/quote.ashx?t=""&amp;A2462,""table"",10),7,2),""*"",""""),""-"",""0.00""))"),"Loading...")</f>
        <v>Loading...</v>
      </c>
      <c r="L2462" s="129">
        <v>8.4563142E7</v>
      </c>
      <c r="M2462" s="99">
        <v>4.8</v>
      </c>
    </row>
    <row r="2463">
      <c r="A2463" s="122" t="s">
        <v>5344</v>
      </c>
      <c r="B2463" s="123">
        <v>215466.0</v>
      </c>
      <c r="C2463" s="124" t="s">
        <v>5345</v>
      </c>
      <c r="D2463" s="125"/>
      <c r="E2463" s="126">
        <v>2.74</v>
      </c>
      <c r="F2463" s="127"/>
      <c r="G2463" s="127"/>
      <c r="H2463" s="127"/>
      <c r="I2463" s="128"/>
      <c r="K2463" s="55" t="s">
        <v>1034</v>
      </c>
      <c r="L2463" s="129">
        <v>1.048350581E9</v>
      </c>
      <c r="M2463" s="99">
        <v>1.79</v>
      </c>
    </row>
    <row r="2464">
      <c r="A2464" s="122" t="s">
        <v>5346</v>
      </c>
      <c r="B2464" s="123">
        <v>1912847.0</v>
      </c>
      <c r="C2464" s="124" t="s">
        <v>5347</v>
      </c>
      <c r="D2464" s="125"/>
      <c r="E2464" s="126">
        <v>2.74</v>
      </c>
      <c r="F2464" s="127"/>
      <c r="G2464" s="127"/>
      <c r="H2464" s="127"/>
      <c r="I2464" s="128"/>
      <c r="K2464" s="105" t="str">
        <f>IFERROR(__xludf.DUMMYFUNCTION("if(A2464="""","""",substitute(SUBSTITUTE(index(importhtml(""http://finviz.com/quote.ashx?t=""&amp;A2464,""table"",10),7,2),""*"",""""),""-"",""0.00""))"),"Loading...")</f>
        <v>Loading...</v>
      </c>
      <c r="L2464" s="129">
        <v>2.3863172E7</v>
      </c>
      <c r="M2464" s="99">
        <f>IFERROR(__xludf.DUMMYFUNCTION("GOOGLEFINANCE(A2464,""beta"")"),1.07)</f>
        <v>1.07</v>
      </c>
    </row>
    <row r="2465">
      <c r="A2465" s="122" t="s">
        <v>1</v>
      </c>
      <c r="B2465" s="123">
        <v>1848275.0</v>
      </c>
      <c r="C2465" s="124" t="s">
        <v>5348</v>
      </c>
      <c r="D2465" s="125"/>
      <c r="E2465" s="126">
        <v>2.74</v>
      </c>
      <c r="F2465" s="127"/>
      <c r="G2465" s="127"/>
      <c r="H2465" s="127"/>
      <c r="I2465" s="128"/>
      <c r="K2465" s="105" t="str">
        <f>IFERROR(__xludf.DUMMYFUNCTION("if(A2465="""","""",substitute(SUBSTITUTE(index(importhtml(""http://finviz.com/quote.ashx?t=""&amp;A2465,""table"",10),7,2),""*"",""""),""-"",""0.00""))"),"Loading...")</f>
        <v>Loading...</v>
      </c>
      <c r="L2465" s="129">
        <v>9.5932414E7</v>
      </c>
      <c r="M2465" s="99">
        <f>IFERROR(__xludf.DUMMYFUNCTION("GOOGLEFINANCE(A2465,""beta"")"),-1.45)</f>
        <v>-1.45</v>
      </c>
    </row>
    <row r="2466">
      <c r="A2466" s="122" t="s">
        <v>5349</v>
      </c>
      <c r="B2466" s="123">
        <v>1160330.0</v>
      </c>
      <c r="C2466" s="124" t="s">
        <v>5350</v>
      </c>
      <c r="D2466" s="125"/>
      <c r="E2466" s="126">
        <v>2.74</v>
      </c>
      <c r="F2466" s="127"/>
      <c r="G2466" s="127"/>
      <c r="H2466" s="127"/>
      <c r="I2466" s="128"/>
      <c r="K2466" s="105" t="str">
        <f>IFERROR(__xludf.DUMMYFUNCTION("if(A2466="""","""",substitute(SUBSTITUTE(index(importhtml(""http://finviz.com/quote.ashx?t=""&amp;A2466,""table"",10),7,2),""*"",""""),""-"",""0.00""))"),"Loading...")</f>
        <v>Loading...</v>
      </c>
      <c r="L2466" s="129">
        <v>1.5461617772E11</v>
      </c>
      <c r="M2466" s="99">
        <v>1.13</v>
      </c>
    </row>
    <row r="2467">
      <c r="A2467" s="122" t="s">
        <v>5351</v>
      </c>
      <c r="B2467" s="123">
        <v>1075415.0</v>
      </c>
      <c r="C2467" s="124" t="s">
        <v>5352</v>
      </c>
      <c r="D2467" s="125"/>
      <c r="E2467" s="126">
        <v>2.75</v>
      </c>
      <c r="F2467" s="127"/>
      <c r="G2467" s="127"/>
      <c r="H2467" s="127"/>
      <c r="I2467" s="128"/>
      <c r="K2467" s="55" t="s">
        <v>3453</v>
      </c>
      <c r="L2467" s="129">
        <v>6.25170757E8</v>
      </c>
      <c r="M2467" s="99">
        <v>2.08</v>
      </c>
    </row>
    <row r="2468">
      <c r="A2468" s="122" t="s">
        <v>5353</v>
      </c>
      <c r="B2468" s="123">
        <v>1019671.0</v>
      </c>
      <c r="C2468" s="124" t="s">
        <v>5354</v>
      </c>
      <c r="D2468" s="125"/>
      <c r="E2468" s="126">
        <v>2.75</v>
      </c>
      <c r="F2468" s="127"/>
      <c r="G2468" s="127"/>
      <c r="H2468" s="127"/>
      <c r="I2468" s="128"/>
      <c r="K2468" s="105" t="str">
        <f>IFERROR(__xludf.DUMMYFUNCTION("if(A2468="""","""",substitute(SUBSTITUTE(index(importhtml(""http://finviz.com/quote.ashx?t=""&amp;A2468,""table"",10),7,2),""*"",""""),""-"",""0.00""))"),"Loading...")</f>
        <v>Loading...</v>
      </c>
      <c r="L2468" s="129">
        <v>7106805.0</v>
      </c>
      <c r="M2468" s="99">
        <v>1.06</v>
      </c>
    </row>
    <row r="2469">
      <c r="A2469" s="122" t="s">
        <v>5355</v>
      </c>
      <c r="B2469" s="123">
        <v>1430300.0</v>
      </c>
      <c r="C2469" s="124" t="s">
        <v>5356</v>
      </c>
      <c r="D2469" s="125"/>
      <c r="E2469" s="126">
        <v>2.75</v>
      </c>
      <c r="F2469" s="127"/>
      <c r="G2469" s="127"/>
      <c r="H2469" s="127"/>
      <c r="I2469" s="128"/>
      <c r="K2469" s="105" t="str">
        <f>IFERROR(__xludf.DUMMYFUNCTION("if(A2469="""","""",substitute(SUBSTITUTE(index(importhtml(""http://finviz.com/quote.ashx?t=""&amp;A2469,""table"",10),7,2),""*"",""""),""-"",""0.00""))"),"Loading...")</f>
        <v>Loading...</v>
      </c>
      <c r="L2469" s="129">
        <v>4.4710407E7</v>
      </c>
      <c r="M2469" s="99">
        <v>8.05</v>
      </c>
    </row>
    <row r="2470">
      <c r="A2470" s="122" t="s">
        <v>5357</v>
      </c>
      <c r="B2470" s="123">
        <v>8177.0</v>
      </c>
      <c r="C2470" s="124" t="s">
        <v>5358</v>
      </c>
      <c r="D2470" s="125"/>
      <c r="E2470" s="126">
        <v>2.75</v>
      </c>
      <c r="F2470" s="127"/>
      <c r="G2470" s="127"/>
      <c r="H2470" s="127"/>
      <c r="I2470" s="128"/>
      <c r="K2470" s="105" t="str">
        <f>IFERROR(__xludf.DUMMYFUNCTION("if(A2470="""","""",substitute(SUBSTITUTE(index(importhtml(""http://finviz.com/quote.ashx?t=""&amp;A2470,""table"",10),7,2),""*"",""""),""-"",""0.00""))"),"Loading...")</f>
        <v>Loading...</v>
      </c>
      <c r="L2470" s="129">
        <v>5.602377E7</v>
      </c>
      <c r="M2470" s="99">
        <v>0.33</v>
      </c>
    </row>
    <row r="2471">
      <c r="A2471" s="122" t="s">
        <v>5359</v>
      </c>
      <c r="B2471" s="123">
        <v>1176309.0</v>
      </c>
      <c r="C2471" s="124" t="s">
        <v>5360</v>
      </c>
      <c r="D2471" s="125"/>
      <c r="E2471" s="126">
        <v>2.75</v>
      </c>
      <c r="F2471" s="127"/>
      <c r="G2471" s="127"/>
      <c r="H2471" s="127"/>
      <c r="I2471" s="128"/>
      <c r="K2471" s="105" t="str">
        <f>IFERROR(__xludf.DUMMYFUNCTION("if(A2471="""","""",substitute(SUBSTITUTE(index(importhtml(""http://finviz.com/quote.ashx?t=""&amp;A2471,""table"",10),7,2),""*"",""""),""-"",""0.00""))"),"Loading...")</f>
        <v>Loading...</v>
      </c>
      <c r="L2471" s="129">
        <v>1.10932167E8</v>
      </c>
      <c r="M2471" s="99">
        <v>1.83</v>
      </c>
    </row>
    <row r="2472">
      <c r="A2472" s="122" t="s">
        <v>5361</v>
      </c>
      <c r="B2472" s="123">
        <v>1392694.0</v>
      </c>
      <c r="C2472" s="124" t="s">
        <v>5362</v>
      </c>
      <c r="D2472" s="125"/>
      <c r="E2472" s="126">
        <v>2.75</v>
      </c>
      <c r="F2472" s="127"/>
      <c r="G2472" s="127"/>
      <c r="H2472" s="127"/>
      <c r="I2472" s="128"/>
      <c r="K2472" s="105" t="str">
        <f>IFERROR(__xludf.DUMMYFUNCTION("if(A2472="""","""",substitute(SUBSTITUTE(index(importhtml(""http://finviz.com/quote.ashx?t=""&amp;A2472,""table"",10),7,2),""*"",""""),""-"",""0.00""))"),"Loading...")</f>
        <v>Loading...</v>
      </c>
      <c r="L2472" s="129">
        <v>1.27236451E8</v>
      </c>
      <c r="M2472" s="99" t="str">
        <f>IFERROR(__xludf.DUMMYFUNCTION("GOOGLEFINANCE(A2472,""beta"")"),"#N/A")</f>
        <v>#N/A</v>
      </c>
    </row>
    <row r="2473">
      <c r="A2473" s="122" t="s">
        <v>5363</v>
      </c>
      <c r="B2473" s="123">
        <v>811250.0</v>
      </c>
      <c r="C2473" s="124" t="s">
        <v>5364</v>
      </c>
      <c r="D2473" s="125"/>
      <c r="E2473" s="126">
        <v>2.75</v>
      </c>
      <c r="F2473" s="127"/>
      <c r="G2473" s="127"/>
      <c r="H2473" s="127"/>
      <c r="I2473" s="128"/>
      <c r="K2473" s="105" t="str">
        <f>IFERROR(__xludf.DUMMYFUNCTION("if(A2473="""","""",substitute(SUBSTITUTE(index(importhtml(""http://finviz.com/quote.ashx?t=""&amp;A2473,""table"",10),7,2),""*"",""""),""-"",""0.00""))"),"Loading...")</f>
        <v>Loading...</v>
      </c>
      <c r="L2473" s="129">
        <v>1.2458015982E10</v>
      </c>
      <c r="M2473" s="99">
        <v>0.38</v>
      </c>
    </row>
    <row r="2474">
      <c r="A2474" s="122" t="s">
        <v>5365</v>
      </c>
      <c r="B2474" s="123">
        <v>1429937.0</v>
      </c>
      <c r="C2474" s="124" t="s">
        <v>5366</v>
      </c>
      <c r="D2474" s="125"/>
      <c r="E2474" s="126">
        <v>2.77</v>
      </c>
      <c r="F2474" s="127"/>
      <c r="G2474" s="127"/>
      <c r="H2474" s="127"/>
      <c r="I2474" s="128"/>
      <c r="K2474" s="55" t="s">
        <v>5367</v>
      </c>
      <c r="L2474" s="129">
        <v>4.831889209E9</v>
      </c>
      <c r="M2474" s="99">
        <v>1.11</v>
      </c>
    </row>
    <row r="2475">
      <c r="A2475" s="122" t="s">
        <v>5368</v>
      </c>
      <c r="B2475" s="123">
        <v>1378950.0</v>
      </c>
      <c r="C2475" s="124" t="s">
        <v>5369</v>
      </c>
      <c r="D2475" s="125"/>
      <c r="E2475" s="126">
        <v>2.77</v>
      </c>
      <c r="F2475" s="127"/>
      <c r="G2475" s="127"/>
      <c r="H2475" s="127"/>
      <c r="I2475" s="128"/>
      <c r="K2475" s="105" t="str">
        <f>IFERROR(__xludf.DUMMYFUNCTION("if(A2475="""","""",substitute(SUBSTITUTE(index(importhtml(""http://finviz.com/quote.ashx?t=""&amp;A2475,""table"",10),7,2),""*"",""""),""-"",""0.00""))"),"Loading...")</f>
        <v>Loading...</v>
      </c>
      <c r="L2475" s="129">
        <v>1.5927112E8</v>
      </c>
      <c r="M2475" s="99">
        <v>2.06</v>
      </c>
    </row>
    <row r="2476">
      <c r="A2476" s="122" t="s">
        <v>5370</v>
      </c>
      <c r="B2476" s="123">
        <v>1762239.0</v>
      </c>
      <c r="C2476" s="124" t="s">
        <v>5371</v>
      </c>
      <c r="D2476" s="125"/>
      <c r="E2476" s="126">
        <v>2.78</v>
      </c>
      <c r="F2476" s="127"/>
      <c r="G2476" s="127"/>
      <c r="H2476" s="127"/>
      <c r="I2476" s="128"/>
      <c r="K2476" s="105" t="str">
        <f>IFERROR(__xludf.DUMMYFUNCTION("if(A2476="""","""",substitute(SUBSTITUTE(index(importhtml(""http://finviz.com/quote.ashx?t=""&amp;A2476,""table"",10),7,2),""*"",""""),""-"",""0.00""))"),"Loading...")</f>
        <v>Loading...</v>
      </c>
      <c r="L2476" s="129">
        <v>7751649.0</v>
      </c>
      <c r="M2476" s="99">
        <v>-0.03</v>
      </c>
    </row>
    <row r="2477">
      <c r="A2477" s="122" t="s">
        <v>5372</v>
      </c>
      <c r="B2477" s="123">
        <v>842717.0</v>
      </c>
      <c r="C2477" s="124" t="s">
        <v>5373</v>
      </c>
      <c r="D2477" s="125"/>
      <c r="E2477" s="126">
        <v>2.78</v>
      </c>
      <c r="F2477" s="127"/>
      <c r="G2477" s="127"/>
      <c r="H2477" s="127"/>
      <c r="I2477" s="128"/>
      <c r="K2477" s="105" t="str">
        <f>IFERROR(__xludf.DUMMYFUNCTION("if(A2477="""","""",substitute(SUBSTITUTE(index(importhtml(""http://finviz.com/quote.ashx?t=""&amp;A2477,""table"",10),7,2),""*"",""""),""-"",""0.00""))"),"Loading...")</f>
        <v>Loading...</v>
      </c>
      <c r="L2477" s="129">
        <v>5.3371468E7</v>
      </c>
      <c r="M2477" s="99" t="str">
        <f>IFERROR(__xludf.DUMMYFUNCTION("GOOGLEFINANCE(A2477,""beta"")"),"#N/A")</f>
        <v>#N/A</v>
      </c>
    </row>
    <row r="2478">
      <c r="A2478" s="122" t="s">
        <v>5374</v>
      </c>
      <c r="B2478" s="123">
        <v>1921865.0</v>
      </c>
      <c r="C2478" s="124" t="s">
        <v>5375</v>
      </c>
      <c r="D2478" s="125"/>
      <c r="E2478" s="126">
        <v>2.78</v>
      </c>
      <c r="F2478" s="127"/>
      <c r="G2478" s="127"/>
      <c r="H2478" s="127"/>
      <c r="I2478" s="128"/>
      <c r="K2478" s="105" t="str">
        <f>IFERROR(__xludf.DUMMYFUNCTION("if(A2478="""","""",substitute(SUBSTITUTE(index(importhtml(""http://finviz.com/quote.ashx?t=""&amp;A2478,""table"",10),7,2),""*"",""""),""-"",""0.00""))"),"Loading...")</f>
        <v>Loading...</v>
      </c>
      <c r="L2478" s="129">
        <v>1.35589661E8</v>
      </c>
      <c r="M2478" s="99" t="str">
        <f>IFERROR(__xludf.DUMMYFUNCTION("GOOGLEFINANCE(A2478,""beta"")"),"#N/A")</f>
        <v>#N/A</v>
      </c>
    </row>
    <row r="2479">
      <c r="A2479" s="122" t="s">
        <v>5376</v>
      </c>
      <c r="B2479" s="123">
        <v>1755237.0</v>
      </c>
      <c r="C2479" s="124" t="s">
        <v>5377</v>
      </c>
      <c r="D2479" s="125"/>
      <c r="E2479" s="126">
        <v>2.79</v>
      </c>
      <c r="F2479" s="127"/>
      <c r="G2479" s="127"/>
      <c r="H2479" s="127"/>
      <c r="I2479" s="128"/>
      <c r="K2479" s="105" t="str">
        <f>IFERROR(__xludf.DUMMYFUNCTION("if(A2479="""","""",substitute(SUBSTITUTE(index(importhtml(""http://finviz.com/quote.ashx?t=""&amp;A2479,""table"",10),7,2),""*"",""""),""-"",""0.00""))"),"Loading...")</f>
        <v>Loading...</v>
      </c>
      <c r="L2479" s="129">
        <v>6821240.0</v>
      </c>
      <c r="M2479" s="99">
        <v>1.86</v>
      </c>
    </row>
    <row r="2480">
      <c r="A2480" s="122" t="s">
        <v>5378</v>
      </c>
      <c r="B2480" s="123">
        <v>1676047.0</v>
      </c>
      <c r="C2480" s="124" t="s">
        <v>5379</v>
      </c>
      <c r="D2480" s="125"/>
      <c r="E2480" s="126">
        <v>2.79</v>
      </c>
      <c r="F2480" s="127"/>
      <c r="G2480" s="127"/>
      <c r="H2480" s="127"/>
      <c r="I2480" s="128"/>
      <c r="K2480" s="105" t="str">
        <f>IFERROR(__xludf.DUMMYFUNCTION("if(A2480="""","""",substitute(SUBSTITUTE(index(importhtml(""http://finviz.com/quote.ashx?t=""&amp;A2480,""table"",10),7,2),""*"",""""),""-"",""0.00""))"),"Loading...")</f>
        <v>Loading...</v>
      </c>
      <c r="L2480" s="129">
        <v>2.1854485E7</v>
      </c>
      <c r="M2480" s="99">
        <v>0.33</v>
      </c>
    </row>
    <row r="2481">
      <c r="A2481" s="122" t="s">
        <v>5380</v>
      </c>
      <c r="B2481" s="123">
        <v>1386301.0</v>
      </c>
      <c r="C2481" s="124" t="s">
        <v>5381</v>
      </c>
      <c r="D2481" s="125"/>
      <c r="E2481" s="126">
        <v>2.79</v>
      </c>
      <c r="F2481" s="127"/>
      <c r="G2481" s="127"/>
      <c r="H2481" s="127"/>
      <c r="I2481" s="128"/>
      <c r="K2481" s="105" t="str">
        <f>IFERROR(__xludf.DUMMYFUNCTION("if(A2481="""","""",substitute(SUBSTITUTE(index(importhtml(""http://finviz.com/quote.ashx?t=""&amp;A2481,""table"",10),7,2),""*"",""""),""-"",""0.00""))"),"Loading...")</f>
        <v>Loading...</v>
      </c>
      <c r="L2481" s="129">
        <v>7.9985017E7</v>
      </c>
      <c r="M2481" s="99">
        <v>0.55</v>
      </c>
    </row>
    <row r="2482">
      <c r="A2482" s="122" t="s">
        <v>5382</v>
      </c>
      <c r="B2482" s="123">
        <v>1288403.0</v>
      </c>
      <c r="C2482" s="124" t="s">
        <v>5383</v>
      </c>
      <c r="D2482" s="125"/>
      <c r="E2482" s="126">
        <v>2.79</v>
      </c>
      <c r="F2482" s="127"/>
      <c r="G2482" s="127"/>
      <c r="H2482" s="127"/>
      <c r="I2482" s="128"/>
      <c r="K2482" s="105" t="str">
        <f>IFERROR(__xludf.DUMMYFUNCTION("if(A2482="""","""",substitute(SUBSTITUTE(index(importhtml(""http://finviz.com/quote.ashx?t=""&amp;A2482,""table"",10),7,2),""*"",""""),""-"",""0.00""))"),"Loading...")</f>
        <v>Loading...</v>
      </c>
      <c r="L2482" s="129">
        <v>4.08941733E8</v>
      </c>
      <c r="M2482" s="99">
        <v>1.57</v>
      </c>
    </row>
    <row r="2483">
      <c r="A2483" s="122" t="s">
        <v>5384</v>
      </c>
      <c r="B2483" s="123">
        <v>1505497.0</v>
      </c>
      <c r="C2483" s="124" t="s">
        <v>5385</v>
      </c>
      <c r="D2483" s="125"/>
      <c r="E2483" s="126">
        <v>2.8</v>
      </c>
      <c r="F2483" s="127"/>
      <c r="G2483" s="127"/>
      <c r="H2483" s="127"/>
      <c r="I2483" s="128"/>
      <c r="K2483" s="105" t="str">
        <f>IFERROR(__xludf.DUMMYFUNCTION("if(A2483="""","""",substitute(SUBSTITUTE(index(importhtml(""http://finviz.com/quote.ashx?t=""&amp;A2483,""table"",10),7,2),""*"",""""),""-"",""0.00""))"),"Loading...")</f>
        <v>Loading...</v>
      </c>
      <c r="L2483" s="129">
        <v>1.3179364E7</v>
      </c>
      <c r="M2483" s="99">
        <v>62.42</v>
      </c>
    </row>
    <row r="2484">
      <c r="A2484" s="122" t="s">
        <v>5386</v>
      </c>
      <c r="B2484" s="123">
        <v>1030471.0</v>
      </c>
      <c r="C2484" s="124" t="s">
        <v>5387</v>
      </c>
      <c r="D2484" s="125"/>
      <c r="E2484" s="126">
        <v>2.8</v>
      </c>
      <c r="F2484" s="127"/>
      <c r="G2484" s="127"/>
      <c r="H2484" s="127"/>
      <c r="I2484" s="128"/>
      <c r="K2484" s="105" t="str">
        <f>IFERROR(__xludf.DUMMYFUNCTION("if(A2484="""","""",substitute(SUBSTITUTE(index(importhtml(""http://finviz.com/quote.ashx?t=""&amp;A2484,""table"",10),7,2),""*"",""""),""-"",""0.00""))"),"Loading...")</f>
        <v>Loading...</v>
      </c>
      <c r="L2484" s="129">
        <v>2.5404629E7</v>
      </c>
      <c r="M2484" s="99">
        <v>0.47</v>
      </c>
    </row>
    <row r="2485">
      <c r="A2485" s="122" t="s">
        <v>5388</v>
      </c>
      <c r="B2485" s="123">
        <v>56701.0</v>
      </c>
      <c r="C2485" s="124" t="s">
        <v>5389</v>
      </c>
      <c r="D2485" s="125"/>
      <c r="E2485" s="126">
        <v>2.8</v>
      </c>
      <c r="F2485" s="127"/>
      <c r="G2485" s="127"/>
      <c r="H2485" s="127"/>
      <c r="I2485" s="128"/>
      <c r="K2485" s="105" t="str">
        <f>IFERROR(__xludf.DUMMYFUNCTION("if(A2485="""","""",substitute(SUBSTITUTE(index(importhtml(""http://finviz.com/quote.ashx?t=""&amp;A2485,""table"",10),7,2),""*"",""""),""-"",""0.00""))"),"Loading...")</f>
        <v>Loading...</v>
      </c>
      <c r="L2485" s="129">
        <v>2.5856526E7</v>
      </c>
      <c r="M2485" s="99">
        <v>-0.77</v>
      </c>
    </row>
    <row r="2486">
      <c r="A2486" s="122" t="s">
        <v>5390</v>
      </c>
      <c r="B2486" s="123">
        <v>1815620.0</v>
      </c>
      <c r="C2486" s="124" t="s">
        <v>5391</v>
      </c>
      <c r="D2486" s="125"/>
      <c r="E2486" s="126">
        <v>2.8</v>
      </c>
      <c r="F2486" s="127"/>
      <c r="G2486" s="127"/>
      <c r="H2486" s="127"/>
      <c r="I2486" s="128"/>
      <c r="K2486" s="105" t="str">
        <f>IFERROR(__xludf.DUMMYFUNCTION("if(A2486="""","""",substitute(SUBSTITUTE(index(importhtml(""http://finviz.com/quote.ashx?t=""&amp;A2486,""table"",10),7,2),""*"",""""),""-"",""0.00""))"),"Loading...")</f>
        <v>Loading...</v>
      </c>
      <c r="L2486" s="129">
        <v>2.118912E8</v>
      </c>
      <c r="M2486" s="99">
        <v>0.6</v>
      </c>
    </row>
    <row r="2487">
      <c r="A2487" s="122" t="s">
        <v>5392</v>
      </c>
      <c r="B2487" s="123">
        <v>1838672.0</v>
      </c>
      <c r="C2487" s="124" t="s">
        <v>5393</v>
      </c>
      <c r="D2487" s="125"/>
      <c r="E2487" s="126">
        <v>2.8</v>
      </c>
      <c r="F2487" s="127"/>
      <c r="G2487" s="127"/>
      <c r="H2487" s="127"/>
      <c r="I2487" s="128"/>
      <c r="K2487" s="105" t="str">
        <f>IFERROR(__xludf.DUMMYFUNCTION("if(A2487="""","""",substitute(SUBSTITUTE(index(importhtml(""http://finviz.com/quote.ashx?t=""&amp;A2487,""table"",10),7,2),""*"",""""),""-"",""0.00""))"),"Loading...")</f>
        <v>Loading...</v>
      </c>
      <c r="L2487" s="129">
        <v>2.47077287E8</v>
      </c>
      <c r="M2487" s="99" t="str">
        <f>IFERROR(__xludf.DUMMYFUNCTION("GOOGLEFINANCE(A2487,""beta"")"),"#N/A")</f>
        <v>#N/A</v>
      </c>
    </row>
    <row r="2488">
      <c r="A2488" s="122" t="s">
        <v>5394</v>
      </c>
      <c r="B2488" s="123">
        <v>826735.0</v>
      </c>
      <c r="C2488" s="124" t="s">
        <v>5395</v>
      </c>
      <c r="D2488" s="125"/>
      <c r="E2488" s="126">
        <v>2.8</v>
      </c>
      <c r="F2488" s="127"/>
      <c r="G2488" s="127"/>
      <c r="H2488" s="127"/>
      <c r="I2488" s="128"/>
      <c r="K2488" s="105" t="str">
        <f>IFERROR(__xludf.DUMMYFUNCTION("if(A2488="""","""",substitute(SUBSTITUTE(index(importhtml(""http://finviz.com/quote.ashx?t=""&amp;A2488,""table"",10),7,2),""*"",""""),""-"",""0.00""))"),"Loading...")</f>
        <v>Loading...</v>
      </c>
      <c r="L2488" s="129">
        <v>3.1921025E8</v>
      </c>
      <c r="M2488" s="99">
        <v>0.29</v>
      </c>
    </row>
    <row r="2489">
      <c r="A2489" s="122" t="s">
        <v>5396</v>
      </c>
      <c r="B2489" s="123">
        <v>1768126.0</v>
      </c>
      <c r="C2489" s="124" t="s">
        <v>5397</v>
      </c>
      <c r="D2489" s="125"/>
      <c r="E2489" s="126">
        <v>2.8</v>
      </c>
      <c r="F2489" s="127"/>
      <c r="G2489" s="127"/>
      <c r="H2489" s="127"/>
      <c r="I2489" s="128"/>
      <c r="K2489" s="105" t="str">
        <f>IFERROR(__xludf.DUMMYFUNCTION("if(A2489="""","""",substitute(SUBSTITUTE(index(importhtml(""http://finviz.com/quote.ashx?t=""&amp;A2489,""table"",10),7,2),""*"",""""),""-"",""0.00""))"),"Loading...")</f>
        <v>Loading...</v>
      </c>
      <c r="L2489" s="129" t="e">
        <v>#N/A</v>
      </c>
      <c r="M2489" s="99" t="str">
        <f>IFERROR(__xludf.DUMMYFUNCTION("GOOGLEFINANCE(A2489,""beta"")"),"#N/A")</f>
        <v>#N/A</v>
      </c>
    </row>
    <row r="2490">
      <c r="A2490" s="122" t="s">
        <v>5398</v>
      </c>
      <c r="B2490" s="123">
        <v>1808898.0</v>
      </c>
      <c r="C2490" s="124" t="s">
        <v>5399</v>
      </c>
      <c r="D2490" s="125"/>
      <c r="E2490" s="126">
        <v>2.81</v>
      </c>
      <c r="F2490" s="127"/>
      <c r="G2490" s="127"/>
      <c r="H2490" s="127"/>
      <c r="I2490" s="128"/>
      <c r="K2490" s="105" t="str">
        <f>IFERROR(__xludf.DUMMYFUNCTION("if(A2490="""","""",substitute(SUBSTITUTE(index(importhtml(""http://finviz.com/quote.ashx?t=""&amp;A2490,""table"",10),7,2),""*"",""""),""-"",""0.00""))"),"Loading...")</f>
        <v>Loading...</v>
      </c>
      <c r="L2490" s="129">
        <v>7240120.0</v>
      </c>
      <c r="M2490" s="99">
        <v>1.42</v>
      </c>
    </row>
    <row r="2491">
      <c r="A2491" s="122" t="s">
        <v>5400</v>
      </c>
      <c r="B2491" s="123">
        <v>1604738.0</v>
      </c>
      <c r="C2491" s="124" t="s">
        <v>5401</v>
      </c>
      <c r="D2491" s="125"/>
      <c r="E2491" s="126">
        <v>2.81</v>
      </c>
      <c r="F2491" s="127"/>
      <c r="G2491" s="127"/>
      <c r="H2491" s="127"/>
      <c r="I2491" s="128"/>
      <c r="K2491" s="105" t="str">
        <f>IFERROR(__xludf.DUMMYFUNCTION("if(A2491="""","""",substitute(SUBSTITUTE(index(importhtml(""http://finviz.com/quote.ashx?t=""&amp;A2491,""table"",10),7,2),""*"",""""),""-"",""0.00""))"),"Loading...")</f>
        <v>Loading...</v>
      </c>
      <c r="L2491" s="129">
        <v>9031269.0</v>
      </c>
      <c r="M2491" s="99">
        <v>1.67</v>
      </c>
    </row>
    <row r="2492">
      <c r="A2492" s="122" t="s">
        <v>5402</v>
      </c>
      <c r="B2492" s="123">
        <v>867038.0</v>
      </c>
      <c r="C2492" s="124" t="s">
        <v>5403</v>
      </c>
      <c r="D2492" s="125"/>
      <c r="E2492" s="126">
        <v>2.81</v>
      </c>
      <c r="F2492" s="127"/>
      <c r="G2492" s="127"/>
      <c r="H2492" s="127"/>
      <c r="I2492" s="128"/>
      <c r="K2492" s="105" t="str">
        <f>IFERROR(__xludf.DUMMYFUNCTION("if(A2492="""","""",substitute(SUBSTITUTE(index(importhtml(""http://finviz.com/quote.ashx?t=""&amp;A2492,""table"",10),7,2),""*"",""""),""-"",""0.00""))"),"Loading...")</f>
        <v>Loading...</v>
      </c>
      <c r="L2492" s="129">
        <v>1.8939239E7</v>
      </c>
      <c r="M2492" s="99">
        <v>0.94</v>
      </c>
    </row>
    <row r="2493">
      <c r="A2493" s="122" t="s">
        <v>5404</v>
      </c>
      <c r="B2493" s="123">
        <v>722572.0</v>
      </c>
      <c r="C2493" s="124" t="s">
        <v>5405</v>
      </c>
      <c r="D2493" s="125"/>
      <c r="E2493" s="126">
        <v>2.81</v>
      </c>
      <c r="F2493" s="127"/>
      <c r="G2493" s="127"/>
      <c r="H2493" s="127"/>
      <c r="I2493" s="128"/>
      <c r="K2493" s="105" t="str">
        <f>IFERROR(__xludf.DUMMYFUNCTION("if(A2493="""","""",substitute(SUBSTITUTE(index(importhtml(""http://finviz.com/quote.ashx?t=""&amp;A2493,""table"",10),7,2),""*"",""""),""-"",""0.00""))"),"Loading...")</f>
        <v>Loading...</v>
      </c>
      <c r="L2493" s="129">
        <v>3.3113798E7</v>
      </c>
      <c r="M2493" s="99">
        <v>0.07</v>
      </c>
    </row>
    <row r="2494">
      <c r="A2494" s="122" t="s">
        <v>5406</v>
      </c>
      <c r="B2494" s="123">
        <v>1831631.0</v>
      </c>
      <c r="C2494" s="124" t="s">
        <v>5407</v>
      </c>
      <c r="D2494" s="125"/>
      <c r="E2494" s="126">
        <v>2.81</v>
      </c>
      <c r="F2494" s="127"/>
      <c r="G2494" s="127"/>
      <c r="H2494" s="127"/>
      <c r="I2494" s="128"/>
      <c r="K2494" s="105" t="str">
        <f>IFERROR(__xludf.DUMMYFUNCTION("if(A2494="""","""",substitute(SUBSTITUTE(index(importhtml(""http://finviz.com/quote.ashx?t=""&amp;A2494,""table"",10),7,2),""*"",""""),""-"",""0.00""))"),"Loading...")</f>
        <v>Loading...</v>
      </c>
      <c r="L2494" s="129">
        <v>9.02199937E8</v>
      </c>
      <c r="M2494" s="99">
        <f>IFERROR(__xludf.DUMMYFUNCTION("GOOGLEFINANCE(A2494,""beta"")"),3.13)</f>
        <v>3.13</v>
      </c>
    </row>
    <row r="2495">
      <c r="A2495" s="122" t="s">
        <v>5408</v>
      </c>
      <c r="B2495" s="123">
        <v>725363.0</v>
      </c>
      <c r="C2495" s="124" t="s">
        <v>5409</v>
      </c>
      <c r="D2495" s="125"/>
      <c r="E2495" s="126">
        <v>2.82</v>
      </c>
      <c r="F2495" s="127"/>
      <c r="G2495" s="127"/>
      <c r="H2495" s="127"/>
      <c r="I2495" s="128"/>
      <c r="K2495" s="55" t="s">
        <v>1034</v>
      </c>
      <c r="L2495" s="129">
        <v>1.40945852E8</v>
      </c>
      <c r="M2495" s="99">
        <v>1.39</v>
      </c>
    </row>
    <row r="2496">
      <c r="A2496" s="122" t="s">
        <v>5410</v>
      </c>
      <c r="B2496" s="123">
        <v>1320854.0</v>
      </c>
      <c r="C2496" s="124" t="s">
        <v>5411</v>
      </c>
      <c r="D2496" s="125"/>
      <c r="E2496" s="126">
        <v>2.82</v>
      </c>
      <c r="F2496" s="127"/>
      <c r="G2496" s="127"/>
      <c r="H2496" s="127"/>
      <c r="I2496" s="128"/>
      <c r="K2496" s="105" t="str">
        <f>IFERROR(__xludf.DUMMYFUNCTION("if(A2496="""","""",substitute(SUBSTITUTE(index(importhtml(""http://finviz.com/quote.ashx?t=""&amp;A2496,""table"",10),7,2),""*"",""""),""-"",""0.00""))"),"Loading...")</f>
        <v>Loading...</v>
      </c>
      <c r="L2496" s="129">
        <v>5.0398156E7</v>
      </c>
      <c r="M2496" s="99">
        <v>1.92</v>
      </c>
    </row>
    <row r="2497">
      <c r="A2497" s="122" t="s">
        <v>5412</v>
      </c>
      <c r="B2497" s="123">
        <v>64463.0</v>
      </c>
      <c r="C2497" s="124" t="s">
        <v>5413</v>
      </c>
      <c r="D2497" s="125"/>
      <c r="E2497" s="126">
        <v>2.83</v>
      </c>
      <c r="F2497" s="127"/>
      <c r="G2497" s="127"/>
      <c r="H2497" s="127"/>
      <c r="I2497" s="128"/>
      <c r="K2497" s="105" t="str">
        <f>IFERROR(__xludf.DUMMYFUNCTION("if(A2497="""","""",substitute(SUBSTITUTE(index(importhtml(""http://finviz.com/quote.ashx?t=""&amp;A2497,""table"",10),7,2),""*"",""""),""-"",""0.00""))"),"Loading...")</f>
        <v>Loading...</v>
      </c>
      <c r="L2497" s="129">
        <v>1.420228E7</v>
      </c>
      <c r="M2497" s="99">
        <v>2.59</v>
      </c>
    </row>
    <row r="2498">
      <c r="A2498" s="122" t="s">
        <v>5414</v>
      </c>
      <c r="B2498" s="123">
        <v>1359931.0</v>
      </c>
      <c r="C2498" s="124" t="s">
        <v>5415</v>
      </c>
      <c r="D2498" s="125"/>
      <c r="E2498" s="126">
        <v>2.83</v>
      </c>
      <c r="F2498" s="127"/>
      <c r="G2498" s="127"/>
      <c r="H2498" s="127"/>
      <c r="I2498" s="128"/>
      <c r="K2498" s="105" t="str">
        <f>IFERROR(__xludf.DUMMYFUNCTION("if(A2498="""","""",substitute(SUBSTITUTE(index(importhtml(""http://finviz.com/quote.ashx?t=""&amp;A2498,""table"",10),7,2),""*"",""""),""-"",""0.00""))"),"Loading...")</f>
        <v>Loading...</v>
      </c>
      <c r="L2498" s="129">
        <v>3.2162666E7</v>
      </c>
      <c r="M2498" s="99">
        <v>1.52</v>
      </c>
    </row>
    <row r="2499">
      <c r="A2499" s="122" t="s">
        <v>5416</v>
      </c>
      <c r="B2499" s="123">
        <v>1433607.0</v>
      </c>
      <c r="C2499" s="124" t="s">
        <v>5417</v>
      </c>
      <c r="D2499" s="125"/>
      <c r="E2499" s="126">
        <v>2.83</v>
      </c>
      <c r="F2499" s="127"/>
      <c r="G2499" s="127"/>
      <c r="H2499" s="127"/>
      <c r="I2499" s="128"/>
      <c r="K2499" s="105" t="str">
        <f>IFERROR(__xludf.DUMMYFUNCTION("if(A2499="""","""",substitute(SUBSTITUTE(index(importhtml(""http://finviz.com/quote.ashx?t=""&amp;A2499,""table"",10),7,2),""*"",""""),""-"",""0.00""))"),"Loading...")</f>
        <v>Loading...</v>
      </c>
      <c r="L2499" s="129">
        <v>6.0985451E7</v>
      </c>
      <c r="M2499" s="99">
        <v>8.44</v>
      </c>
    </row>
    <row r="2500">
      <c r="A2500" s="122" t="s">
        <v>5418</v>
      </c>
      <c r="B2500" s="123">
        <v>754811.0</v>
      </c>
      <c r="C2500" s="124" t="s">
        <v>5419</v>
      </c>
      <c r="D2500" s="125"/>
      <c r="E2500" s="126">
        <v>2.84</v>
      </c>
      <c r="F2500" s="127"/>
      <c r="G2500" s="127"/>
      <c r="H2500" s="127"/>
      <c r="I2500" s="128"/>
      <c r="K2500" s="105" t="str">
        <f>IFERROR(__xludf.DUMMYFUNCTION("if(A2500="""","""",substitute(SUBSTITUTE(index(importhtml(""http://finviz.com/quote.ashx?t=""&amp;A2500,""table"",10),7,2),""*"",""""),""-"",""0.00""))"),"Loading...")</f>
        <v>Loading...</v>
      </c>
      <c r="L2500" s="129">
        <v>4.0486754E7</v>
      </c>
      <c r="M2500" s="99">
        <v>2.02</v>
      </c>
    </row>
    <row r="2501">
      <c r="A2501" s="122" t="s">
        <v>5420</v>
      </c>
      <c r="B2501" s="123">
        <v>1598599.0</v>
      </c>
      <c r="C2501" s="124" t="s">
        <v>5200</v>
      </c>
      <c r="D2501" s="125"/>
      <c r="E2501" s="126">
        <v>2.84</v>
      </c>
      <c r="F2501" s="127"/>
      <c r="G2501" s="127"/>
      <c r="H2501" s="127"/>
      <c r="I2501" s="128"/>
      <c r="K2501" s="105" t="str">
        <f>IFERROR(__xludf.DUMMYFUNCTION("if(A2501="""","""",substitute(SUBSTITUTE(index(importhtml(""http://finviz.com/quote.ashx?t=""&amp;A2501,""table"",10),7,2),""*"",""""),""-"",""0.00""))"),"Loading...")</f>
        <v>Loading...</v>
      </c>
      <c r="L2501" s="129">
        <v>1.98551225E8</v>
      </c>
      <c r="M2501" s="99">
        <v>0.6</v>
      </c>
    </row>
    <row r="2502">
      <c r="A2502" s="122" t="s">
        <v>5421</v>
      </c>
      <c r="B2502" s="123">
        <v>1722606.0</v>
      </c>
      <c r="C2502" s="124" t="s">
        <v>5422</v>
      </c>
      <c r="D2502" s="125"/>
      <c r="E2502" s="126">
        <v>2.84</v>
      </c>
      <c r="F2502" s="127"/>
      <c r="G2502" s="127"/>
      <c r="H2502" s="127"/>
      <c r="I2502" s="128"/>
      <c r="K2502" s="105" t="str">
        <f>IFERROR(__xludf.DUMMYFUNCTION("if(A2502="""","""",substitute(SUBSTITUTE(index(importhtml(""http://finviz.com/quote.ashx?t=""&amp;A2502,""table"",10),7,2),""*"",""""),""-"",""0.00""))"),"Loading...")</f>
        <v>Loading...</v>
      </c>
      <c r="L2502" s="129">
        <v>2.00790211E8</v>
      </c>
      <c r="M2502" s="99">
        <v>1.65</v>
      </c>
    </row>
    <row r="2503">
      <c r="A2503" s="122" t="s">
        <v>5423</v>
      </c>
      <c r="B2503" s="123">
        <v>1780312.0</v>
      </c>
      <c r="C2503" s="124" t="s">
        <v>5424</v>
      </c>
      <c r="D2503" s="125"/>
      <c r="E2503" s="126">
        <v>2.84</v>
      </c>
      <c r="F2503" s="127"/>
      <c r="G2503" s="127"/>
      <c r="H2503" s="127"/>
      <c r="I2503" s="128"/>
      <c r="K2503" s="105" t="str">
        <f>IFERROR(__xludf.DUMMYFUNCTION("if(A2503="""","""",substitute(SUBSTITUTE(index(importhtml(""http://finviz.com/quote.ashx?t=""&amp;A2503,""table"",10),7,2),""*"",""""),""-"",""0.00""))"),"Loading...")</f>
        <v>Loading...</v>
      </c>
      <c r="L2503" s="129">
        <v>7.11829506E8</v>
      </c>
      <c r="M2503" s="99">
        <v>0.86</v>
      </c>
    </row>
    <row r="2504">
      <c r="A2504" s="122" t="s">
        <v>5425</v>
      </c>
      <c r="B2504" s="123">
        <v>1659939.0</v>
      </c>
      <c r="C2504" s="124" t="s">
        <v>5426</v>
      </c>
      <c r="D2504" s="125"/>
      <c r="E2504" s="126">
        <v>2.84</v>
      </c>
      <c r="F2504" s="127"/>
      <c r="G2504" s="127"/>
      <c r="H2504" s="127"/>
      <c r="I2504" s="128"/>
      <c r="K2504" s="105" t="str">
        <f>IFERROR(__xludf.DUMMYFUNCTION("if(A2504="""","""",substitute(SUBSTITUTE(index(importhtml(""http://finviz.com/quote.ashx?t=""&amp;A2504,""table"",10),7,2),""*"",""""),""-"",""0.00""))"),"Loading...")</f>
        <v>Loading...</v>
      </c>
      <c r="L2504" s="129">
        <v>3.997396439E9</v>
      </c>
      <c r="M2504" s="99">
        <v>1.14</v>
      </c>
    </row>
    <row r="2505">
      <c r="A2505" s="122" t="s">
        <v>5427</v>
      </c>
      <c r="B2505" s="123">
        <v>24090.0</v>
      </c>
      <c r="C2505" s="124" t="s">
        <v>5428</v>
      </c>
      <c r="D2505" s="125"/>
      <c r="E2505" s="126">
        <v>2.85</v>
      </c>
      <c r="F2505" s="127"/>
      <c r="G2505" s="127"/>
      <c r="H2505" s="127"/>
      <c r="I2505" s="128"/>
      <c r="K2505" s="55" t="s">
        <v>1034</v>
      </c>
      <c r="L2505" s="129">
        <v>1.41224734E8</v>
      </c>
      <c r="M2505" s="99">
        <v>0.21</v>
      </c>
    </row>
    <row r="2506">
      <c r="A2506" s="122" t="s">
        <v>5429</v>
      </c>
      <c r="B2506" s="123">
        <v>1578453.0</v>
      </c>
      <c r="C2506" s="124" t="s">
        <v>5430</v>
      </c>
      <c r="D2506" s="125"/>
      <c r="E2506" s="126">
        <v>2.85</v>
      </c>
      <c r="F2506" s="127"/>
      <c r="G2506" s="127"/>
      <c r="H2506" s="127"/>
      <c r="I2506" s="128"/>
      <c r="K2506" s="105" t="str">
        <f>IFERROR(__xludf.DUMMYFUNCTION("if(A2506="""","""",substitute(SUBSTITUTE(index(importhtml(""http://finviz.com/quote.ashx?t=""&amp;A2506,""table"",10),7,2),""*"",""""),""-"",""0.00""))"),"Loading...")</f>
        <v>Loading...</v>
      </c>
      <c r="L2506" s="129">
        <v>1.04702345E8</v>
      </c>
      <c r="M2506" s="99">
        <v>1.55</v>
      </c>
    </row>
    <row r="2507">
      <c r="A2507" s="122" t="s">
        <v>5431</v>
      </c>
      <c r="B2507" s="123">
        <v>1856071.0</v>
      </c>
      <c r="C2507" s="124" t="s">
        <v>5432</v>
      </c>
      <c r="D2507" s="125"/>
      <c r="E2507" s="126">
        <v>2.85</v>
      </c>
      <c r="F2507" s="127"/>
      <c r="G2507" s="127"/>
      <c r="H2507" s="127"/>
      <c r="I2507" s="128"/>
      <c r="K2507" s="105" t="str">
        <f>IFERROR(__xludf.DUMMYFUNCTION("if(A2507="""","""",substitute(SUBSTITUTE(index(importhtml(""http://finviz.com/quote.ashx?t=""&amp;A2507,""table"",10),7,2),""*"",""""),""-"",""0.00""))"),"Loading...")</f>
        <v>Loading...</v>
      </c>
      <c r="L2507" s="129" t="e">
        <v>#N/A</v>
      </c>
      <c r="M2507" s="99" t="str">
        <f>IFERROR(__xludf.DUMMYFUNCTION("GOOGLEFINANCE(A2507,""beta"")"),"#N/A")</f>
        <v>#N/A</v>
      </c>
    </row>
    <row r="2508">
      <c r="A2508" s="122" t="s">
        <v>5433</v>
      </c>
      <c r="B2508" s="123">
        <v>849145.0</v>
      </c>
      <c r="C2508" s="124" t="s">
        <v>5434</v>
      </c>
      <c r="D2508" s="125"/>
      <c r="E2508" s="126">
        <v>2.86</v>
      </c>
      <c r="F2508" s="127"/>
      <c r="G2508" s="127"/>
      <c r="H2508" s="127"/>
      <c r="I2508" s="128"/>
      <c r="K2508" s="105" t="str">
        <f>IFERROR(__xludf.DUMMYFUNCTION("if(A2508="""","""",substitute(SUBSTITUTE(index(importhtml(""http://finviz.com/quote.ashx?t=""&amp;A2508,""table"",10),7,2),""*"",""""),""-"",""0.00""))"),"Loading...")</f>
        <v>Loading...</v>
      </c>
      <c r="L2508" s="129">
        <v>1.06254458E8</v>
      </c>
      <c r="M2508" s="99">
        <v>1.28</v>
      </c>
    </row>
    <row r="2509">
      <c r="A2509" s="122" t="s">
        <v>5435</v>
      </c>
      <c r="B2509" s="123">
        <v>1567900.0</v>
      </c>
      <c r="C2509" s="124" t="s">
        <v>5436</v>
      </c>
      <c r="D2509" s="125"/>
      <c r="E2509" s="126">
        <v>2.87</v>
      </c>
      <c r="F2509" s="127"/>
      <c r="G2509" s="127"/>
      <c r="H2509" s="127"/>
      <c r="I2509" s="128"/>
      <c r="K2509" s="105" t="str">
        <f>IFERROR(__xludf.DUMMYFUNCTION("if(A2509="""","""",substitute(SUBSTITUTE(index(importhtml(""http://finviz.com/quote.ashx?t=""&amp;A2509,""table"",10),7,2),""*"",""""),""-"",""0.00""))"),"Loading...")</f>
        <v>Loading...</v>
      </c>
      <c r="L2509" s="129">
        <v>9177722.0</v>
      </c>
      <c r="M2509" s="99">
        <v>0.14</v>
      </c>
    </row>
    <row r="2510">
      <c r="A2510" s="122" t="s">
        <v>5437</v>
      </c>
      <c r="B2510" s="123">
        <v>1758057.0</v>
      </c>
      <c r="C2510" s="124" t="s">
        <v>5438</v>
      </c>
      <c r="D2510" s="125"/>
      <c r="E2510" s="126">
        <v>2.87</v>
      </c>
      <c r="F2510" s="127"/>
      <c r="G2510" s="127"/>
      <c r="H2510" s="127"/>
      <c r="I2510" s="128"/>
      <c r="K2510" s="105" t="str">
        <f>IFERROR(__xludf.DUMMYFUNCTION("if(A2510="""","""",substitute(SUBSTITUTE(index(importhtml(""http://finviz.com/quote.ashx?t=""&amp;A2510,""table"",10),7,2),""*"",""""),""-"",""0.00""))"),"Loading...")</f>
        <v>Loading...</v>
      </c>
      <c r="L2510" s="129">
        <v>1.454614956E9</v>
      </c>
      <c r="M2510" s="99">
        <v>1.55</v>
      </c>
    </row>
    <row r="2511">
      <c r="A2511" s="122" t="s">
        <v>5439</v>
      </c>
      <c r="B2511" s="123">
        <v>1122491.0</v>
      </c>
      <c r="C2511" s="124" t="s">
        <v>5440</v>
      </c>
      <c r="D2511" s="125"/>
      <c r="E2511" s="126">
        <v>2.87</v>
      </c>
      <c r="F2511" s="127"/>
      <c r="G2511" s="127"/>
      <c r="H2511" s="127"/>
      <c r="I2511" s="128"/>
      <c r="K2511" s="105" t="str">
        <f>IFERROR(__xludf.DUMMYFUNCTION("if(A2511="""","""",substitute(SUBSTITUTE(index(importhtml(""http://finviz.com/quote.ashx?t=""&amp;A2511,""table"",10),7,2),""*"",""""),""-"",""0.00""))"),"Loading...")</f>
        <v>Loading...</v>
      </c>
      <c r="L2511" s="129">
        <v>2.4109837961E10</v>
      </c>
      <c r="M2511" s="99">
        <v>1.92</v>
      </c>
    </row>
    <row r="2512">
      <c r="A2512" s="122" t="s">
        <v>5441</v>
      </c>
      <c r="B2512" s="123">
        <v>747540.0</v>
      </c>
      <c r="C2512" s="124" t="s">
        <v>5442</v>
      </c>
      <c r="D2512" s="125"/>
      <c r="E2512" s="126">
        <v>2.88</v>
      </c>
      <c r="F2512" s="127"/>
      <c r="G2512" s="127"/>
      <c r="H2512" s="127"/>
      <c r="I2512" s="128"/>
      <c r="K2512" s="105" t="str">
        <f>IFERROR(__xludf.DUMMYFUNCTION("if(A2512="""","""",substitute(SUBSTITUTE(index(importhtml(""http://finviz.com/quote.ashx?t=""&amp;A2512,""table"",10),7,2),""*"",""""),""-"",""0.00""))"),"Loading...")</f>
        <v>Loading...</v>
      </c>
      <c r="L2512" s="129">
        <v>1.5959065E7</v>
      </c>
      <c r="M2512" s="99">
        <v>1.24</v>
      </c>
    </row>
    <row r="2513">
      <c r="A2513" s="122" t="s">
        <v>5443</v>
      </c>
      <c r="B2513" s="123">
        <v>1227857.0</v>
      </c>
      <c r="C2513" s="124" t="s">
        <v>5444</v>
      </c>
      <c r="D2513" s="125"/>
      <c r="E2513" s="126">
        <v>2.88</v>
      </c>
      <c r="F2513" s="127"/>
      <c r="G2513" s="127"/>
      <c r="H2513" s="127"/>
      <c r="I2513" s="128"/>
      <c r="K2513" s="105" t="str">
        <f>IFERROR(__xludf.DUMMYFUNCTION("if(A2513="""","""",substitute(SUBSTITUTE(index(importhtml(""http://finviz.com/quote.ashx?t=""&amp;A2513,""table"",10),7,2),""*"",""""),""-"",""0.00""))"),"Loading...")</f>
        <v>Loading...</v>
      </c>
      <c r="L2513" s="129">
        <v>2.19213368E8</v>
      </c>
      <c r="M2513" s="99">
        <v>1.19</v>
      </c>
    </row>
    <row r="2514">
      <c r="A2514" s="122" t="s">
        <v>5445</v>
      </c>
      <c r="B2514" s="123">
        <v>1318885.0</v>
      </c>
      <c r="C2514" s="124" t="s">
        <v>5446</v>
      </c>
      <c r="D2514" s="125"/>
      <c r="E2514" s="126">
        <v>2.9</v>
      </c>
      <c r="F2514" s="127"/>
      <c r="G2514" s="127"/>
      <c r="H2514" s="127"/>
      <c r="I2514" s="128"/>
      <c r="K2514" s="55" t="s">
        <v>5447</v>
      </c>
      <c r="L2514" s="129">
        <v>3.2789054E8</v>
      </c>
      <c r="M2514" s="99">
        <v>1.16</v>
      </c>
    </row>
    <row r="2515">
      <c r="A2515" s="122" t="s">
        <v>5448</v>
      </c>
      <c r="B2515" s="123">
        <v>1302362.0</v>
      </c>
      <c r="C2515" s="124" t="s">
        <v>5449</v>
      </c>
      <c r="D2515" s="125"/>
      <c r="E2515" s="126">
        <v>2.9</v>
      </c>
      <c r="F2515" s="127"/>
      <c r="G2515" s="127"/>
      <c r="H2515" s="127"/>
      <c r="I2515" s="128"/>
      <c r="K2515" s="105" t="str">
        <f>IFERROR(__xludf.DUMMYFUNCTION("if(A2515="""","""",substitute(SUBSTITUTE(index(importhtml(""http://finviz.com/quote.ashx?t=""&amp;A2515,""table"",10),7,2),""*"",""""),""-"",""0.00""))"),"Loading...")</f>
        <v>Loading...</v>
      </c>
      <c r="L2515" s="129">
        <v>6.0574505E7</v>
      </c>
      <c r="M2515" s="99" t="str">
        <f>IFERROR(__xludf.DUMMYFUNCTION("GOOGLEFINANCE(A2515,""beta"")"),"#N/A")</f>
        <v>#N/A</v>
      </c>
    </row>
    <row r="2516">
      <c r="A2516" s="122" t="s">
        <v>5450</v>
      </c>
      <c r="B2516" s="123">
        <v>1862461.0</v>
      </c>
      <c r="C2516" s="124" t="s">
        <v>5451</v>
      </c>
      <c r="D2516" s="125"/>
      <c r="E2516" s="126">
        <v>2.9</v>
      </c>
      <c r="F2516" s="127"/>
      <c r="G2516" s="127"/>
      <c r="H2516" s="127"/>
      <c r="I2516" s="128"/>
      <c r="K2516" s="105" t="str">
        <f>IFERROR(__xludf.DUMMYFUNCTION("if(A2516="""","""",substitute(SUBSTITUTE(index(importhtml(""http://finviz.com/quote.ashx?t=""&amp;A2516,""table"",10),7,2),""*"",""""),""-"",""0.00""))"),"Loading...")</f>
        <v>Loading...</v>
      </c>
      <c r="L2516" s="129">
        <v>7.010539E8</v>
      </c>
      <c r="M2516" s="99">
        <v>2.35</v>
      </c>
    </row>
    <row r="2517">
      <c r="A2517" s="122" t="s">
        <v>5452</v>
      </c>
      <c r="B2517" s="123">
        <v>1026214.0</v>
      </c>
      <c r="C2517" s="124" t="s">
        <v>5453</v>
      </c>
      <c r="D2517" s="125"/>
      <c r="E2517" s="126">
        <v>2.9</v>
      </c>
      <c r="F2517" s="127"/>
      <c r="G2517" s="127"/>
      <c r="H2517" s="127"/>
      <c r="I2517" s="128"/>
      <c r="K2517" s="105" t="str">
        <f>IFERROR(__xludf.DUMMYFUNCTION("if(A2517="""","""",substitute(SUBSTITUTE(index(importhtml(""http://finviz.com/quote.ashx?t=""&amp;A2517,""table"",10),7,2),""*"",""""),""-"",""0.00""))"),"Loading...")</f>
        <v>Loading...</v>
      </c>
      <c r="L2517" s="129">
        <v>7.08564876E8</v>
      </c>
      <c r="M2517" s="99">
        <v>0.61</v>
      </c>
    </row>
    <row r="2518">
      <c r="A2518" s="122" t="s">
        <v>5454</v>
      </c>
      <c r="B2518" s="123">
        <v>1026214.0</v>
      </c>
      <c r="C2518" s="124" t="s">
        <v>5455</v>
      </c>
      <c r="D2518" s="125"/>
      <c r="E2518" s="126">
        <v>2.9</v>
      </c>
      <c r="F2518" s="127"/>
      <c r="G2518" s="127"/>
      <c r="H2518" s="127"/>
      <c r="I2518" s="128"/>
      <c r="K2518" s="105" t="str">
        <f>IFERROR(__xludf.DUMMYFUNCTION("if(A2518="""","""",substitute(SUBSTITUTE(index(importhtml(""http://finviz.com/quote.ashx?t=""&amp;A2518,""table"",10),7,2),""*"",""""),""-"",""0.00""))"),"Loading...")</f>
        <v>Loading...</v>
      </c>
      <c r="L2518" s="129">
        <v>7.08564876E8</v>
      </c>
      <c r="M2518" s="99">
        <v>0.63</v>
      </c>
    </row>
    <row r="2519">
      <c r="A2519" s="122" t="s">
        <v>5456</v>
      </c>
      <c r="B2519" s="123">
        <v>1545057.0</v>
      </c>
      <c r="C2519" s="124" t="s">
        <v>5457</v>
      </c>
      <c r="D2519" s="125"/>
      <c r="E2519" s="126">
        <v>2.9</v>
      </c>
      <c r="F2519" s="127"/>
      <c r="G2519" s="127"/>
      <c r="H2519" s="127"/>
      <c r="I2519" s="128"/>
      <c r="K2519" s="105" t="str">
        <f>IFERROR(__xludf.DUMMYFUNCTION("if(A2519="""","""",substitute(SUBSTITUTE(index(importhtml(""http://finviz.com/quote.ashx?t=""&amp;A2519,""table"",10),7,2),""*"",""""),""-"",""0.00""))"),"Loading...")</f>
        <v>Loading...</v>
      </c>
      <c r="L2519" s="129">
        <v>3.03266733E13</v>
      </c>
      <c r="M2519" s="99">
        <v>0.74</v>
      </c>
    </row>
    <row r="2520">
      <c r="A2520" s="122" t="s">
        <v>5458</v>
      </c>
      <c r="B2520" s="123">
        <v>1462418.0</v>
      </c>
      <c r="C2520" s="124" t="s">
        <v>5459</v>
      </c>
      <c r="D2520" s="125"/>
      <c r="E2520" s="126">
        <v>2.91</v>
      </c>
      <c r="F2520" s="127"/>
      <c r="G2520" s="127"/>
      <c r="H2520" s="127"/>
      <c r="I2520" s="128"/>
      <c r="K2520" s="105" t="str">
        <f>IFERROR(__xludf.DUMMYFUNCTION("if(A2520="""","""",substitute(SUBSTITUTE(index(importhtml(""http://finviz.com/quote.ashx?t=""&amp;A2520,""table"",10),7,2),""*"",""""),""-"",""0.00""))"),"Loading...")</f>
        <v>Loading...</v>
      </c>
      <c r="L2520" s="129">
        <v>7.7093555E7</v>
      </c>
      <c r="M2520" s="99">
        <v>1.1</v>
      </c>
    </row>
    <row r="2521">
      <c r="A2521" s="122" t="s">
        <v>5460</v>
      </c>
      <c r="B2521" s="123">
        <v>1530979.0</v>
      </c>
      <c r="C2521" s="124" t="s">
        <v>5461</v>
      </c>
      <c r="D2521" s="125"/>
      <c r="E2521" s="126">
        <v>2.91</v>
      </c>
      <c r="F2521" s="127"/>
      <c r="G2521" s="127"/>
      <c r="H2521" s="127"/>
      <c r="I2521" s="128"/>
      <c r="K2521" s="105" t="str">
        <f>IFERROR(__xludf.DUMMYFUNCTION("if(A2521="""","""",substitute(SUBSTITUTE(index(importhtml(""http://finviz.com/quote.ashx?t=""&amp;A2521,""table"",10),7,2),""*"",""""),""-"",""0.00""))"),"Loading...")</f>
        <v>Loading...</v>
      </c>
      <c r="L2521" s="129">
        <v>2.778157E8</v>
      </c>
      <c r="M2521" s="99">
        <f>IFERROR(__xludf.DUMMYFUNCTION("GOOGLEFINANCE(A2521,""beta"")"),2.28)</f>
        <v>2.28</v>
      </c>
    </row>
    <row r="2522">
      <c r="A2522" s="122" t="s">
        <v>5462</v>
      </c>
      <c r="B2522" s="123">
        <v>1400891.0</v>
      </c>
      <c r="C2522" s="124" t="s">
        <v>5463</v>
      </c>
      <c r="D2522" s="125"/>
      <c r="E2522" s="126">
        <v>2.91</v>
      </c>
      <c r="F2522" s="127"/>
      <c r="G2522" s="127"/>
      <c r="H2522" s="127"/>
      <c r="I2522" s="128"/>
      <c r="K2522" s="105" t="str">
        <f>IFERROR(__xludf.DUMMYFUNCTION("if(A2522="""","""",substitute(SUBSTITUTE(index(importhtml(""http://finviz.com/quote.ashx?t=""&amp;A2522,""table"",10),7,2),""*"",""""),""-"",""0.00""))"),"#REF!")</f>
        <v>#REF!</v>
      </c>
      <c r="L2522" s="129">
        <v>4.209513E8</v>
      </c>
      <c r="M2522" s="99">
        <v>1.86</v>
      </c>
    </row>
    <row r="2523">
      <c r="A2523" s="122" t="s">
        <v>5464</v>
      </c>
      <c r="B2523" s="123">
        <v>1383395.0</v>
      </c>
      <c r="C2523" s="124" t="s">
        <v>5465</v>
      </c>
      <c r="D2523" s="125"/>
      <c r="E2523" s="126">
        <v>2.92</v>
      </c>
      <c r="F2523" s="127"/>
      <c r="G2523" s="127"/>
      <c r="H2523" s="127"/>
      <c r="I2523" s="128"/>
      <c r="K2523" s="105" t="str">
        <f>IFERROR(__xludf.DUMMYFUNCTION("if(A2523="""","""",substitute(SUBSTITUTE(index(importhtml(""http://finviz.com/quote.ashx?t=""&amp;A2523,""table"",10),7,2),""*"",""""),""-"",""0.00""))"),"Loading...")</f>
        <v>Loading...</v>
      </c>
      <c r="L2523" s="129">
        <v>1.79771293E8</v>
      </c>
      <c r="M2523" s="99">
        <v>0.49</v>
      </c>
    </row>
    <row r="2524">
      <c r="A2524" s="122" t="s">
        <v>5466</v>
      </c>
      <c r="B2524" s="123">
        <v>1550695.0</v>
      </c>
      <c r="C2524" s="124" t="s">
        <v>5467</v>
      </c>
      <c r="D2524" s="125"/>
      <c r="E2524" s="126">
        <v>2.92</v>
      </c>
      <c r="F2524" s="127"/>
      <c r="G2524" s="127"/>
      <c r="H2524" s="127"/>
      <c r="I2524" s="128"/>
      <c r="K2524" s="105" t="str">
        <f>IFERROR(__xludf.DUMMYFUNCTION("if(A2524="""","""",substitute(SUBSTITUTE(index(importhtml(""http://finviz.com/quote.ashx?t=""&amp;A2524,""table"",10),7,2),""*"",""""),""-"",""0.00""))"),"Loading...")</f>
        <v>Loading...</v>
      </c>
      <c r="L2524" s="129">
        <v>2.24474947E8</v>
      </c>
      <c r="M2524" s="99">
        <v>0.07</v>
      </c>
    </row>
    <row r="2525">
      <c r="A2525" s="122" t="s">
        <v>5468</v>
      </c>
      <c r="B2525" s="123">
        <v>1402945.0</v>
      </c>
      <c r="C2525" s="124" t="s">
        <v>5469</v>
      </c>
      <c r="D2525" s="125"/>
      <c r="E2525" s="126">
        <v>2.93</v>
      </c>
      <c r="F2525" s="127"/>
      <c r="G2525" s="127"/>
      <c r="H2525" s="127"/>
      <c r="I2525" s="128"/>
      <c r="K2525" s="105" t="str">
        <f>IFERROR(__xludf.DUMMYFUNCTION("if(A2525="""","""",substitute(SUBSTITUTE(index(importhtml(""http://finviz.com/quote.ashx?t=""&amp;A2525,""table"",10),7,2),""*"",""""),""-"",""0.00""))"),"Loading...")</f>
        <v>Loading...</v>
      </c>
      <c r="L2525" s="129">
        <v>1.8201631E7</v>
      </c>
      <c r="M2525" s="99">
        <v>-0.24</v>
      </c>
    </row>
    <row r="2526">
      <c r="A2526" s="122" t="s">
        <v>5470</v>
      </c>
      <c r="B2526" s="123">
        <v>1526243.0</v>
      </c>
      <c r="C2526" s="124" t="s">
        <v>5471</v>
      </c>
      <c r="D2526" s="125"/>
      <c r="E2526" s="126">
        <v>2.93</v>
      </c>
      <c r="F2526" s="127"/>
      <c r="G2526" s="127"/>
      <c r="H2526" s="127"/>
      <c r="I2526" s="128"/>
      <c r="K2526" s="105" t="str">
        <f>IFERROR(__xludf.DUMMYFUNCTION("if(A2526="""","""",substitute(SUBSTITUTE(index(importhtml(""http://finviz.com/quote.ashx?t=""&amp;A2526,""table"",10),7,2),""*"",""""),""-"",""0.00""))"),"Loading...")</f>
        <v>Loading...</v>
      </c>
      <c r="L2526" s="129">
        <v>2.50722695E8</v>
      </c>
      <c r="M2526" s="99">
        <v>1.22</v>
      </c>
    </row>
    <row r="2527">
      <c r="A2527" s="122" t="s">
        <v>5472</v>
      </c>
      <c r="B2527" s="123">
        <v>1368265.0</v>
      </c>
      <c r="C2527" s="124" t="s">
        <v>5473</v>
      </c>
      <c r="D2527" s="125"/>
      <c r="E2527" s="126">
        <v>2.93</v>
      </c>
      <c r="F2527" s="127"/>
      <c r="G2527" s="127"/>
      <c r="H2527" s="127"/>
      <c r="I2527" s="128"/>
      <c r="K2527" s="105" t="str">
        <f>IFERROR(__xludf.DUMMYFUNCTION("if(A2527="""","""",substitute(SUBSTITUTE(index(importhtml(""http://finviz.com/quote.ashx?t=""&amp;A2527,""table"",10),7,2),""*"",""""),""-"",""0.00""))"),"Loading...")</f>
        <v>Loading...</v>
      </c>
      <c r="L2527" s="129">
        <v>6.53449493E8</v>
      </c>
      <c r="M2527" s="99">
        <v>2.13</v>
      </c>
    </row>
    <row r="2528">
      <c r="A2528" s="122" t="s">
        <v>5474</v>
      </c>
      <c r="B2528" s="123">
        <v>1802883.0</v>
      </c>
      <c r="C2528" s="124" t="s">
        <v>5475</v>
      </c>
      <c r="D2528" s="125"/>
      <c r="E2528" s="126">
        <v>2.94</v>
      </c>
      <c r="F2528" s="127"/>
      <c r="G2528" s="127"/>
      <c r="H2528" s="127"/>
      <c r="I2528" s="128"/>
      <c r="K2528" s="55" t="s">
        <v>1034</v>
      </c>
      <c r="L2528" s="129">
        <v>3.00124319E8</v>
      </c>
      <c r="M2528" s="99">
        <v>0.08</v>
      </c>
    </row>
    <row r="2529">
      <c r="A2529" s="122" t="s">
        <v>5476</v>
      </c>
      <c r="B2529" s="123">
        <v>1089872.0</v>
      </c>
      <c r="C2529" s="124" t="s">
        <v>5477</v>
      </c>
      <c r="D2529" s="125"/>
      <c r="E2529" s="126">
        <v>2.94</v>
      </c>
      <c r="F2529" s="127"/>
      <c r="G2529" s="127"/>
      <c r="H2529" s="127"/>
      <c r="I2529" s="128"/>
      <c r="K2529" s="105" t="str">
        <f>IFERROR(__xludf.DUMMYFUNCTION("if(A2529="""","""",substitute(SUBSTITUTE(index(importhtml(""http://finviz.com/quote.ashx?t=""&amp;A2529,""table"",10),7,2),""*"",""""),""-"",""0.00""))"),"Loading...")</f>
        <v>Loading...</v>
      </c>
      <c r="L2529" s="129">
        <v>6.8246721E7</v>
      </c>
      <c r="M2529" s="99">
        <v>0.78</v>
      </c>
    </row>
    <row r="2530">
      <c r="A2530" s="122" t="s">
        <v>5478</v>
      </c>
      <c r="B2530" s="123">
        <v>1484612.0</v>
      </c>
      <c r="C2530" s="124" t="s">
        <v>5479</v>
      </c>
      <c r="D2530" s="125"/>
      <c r="E2530" s="126">
        <v>2.95</v>
      </c>
      <c r="F2530" s="127"/>
      <c r="G2530" s="127"/>
      <c r="H2530" s="127"/>
      <c r="I2530" s="128"/>
      <c r="K2530" s="55" t="s">
        <v>1034</v>
      </c>
      <c r="L2530" s="129">
        <v>1.48103454E8</v>
      </c>
      <c r="M2530" s="99">
        <v>2.05</v>
      </c>
    </row>
    <row r="2531">
      <c r="A2531" s="122" t="s">
        <v>5480</v>
      </c>
      <c r="B2531" s="123">
        <v>1305168.0</v>
      </c>
      <c r="C2531" s="124" t="s">
        <v>5481</v>
      </c>
      <c r="D2531" s="125"/>
      <c r="E2531" s="126">
        <v>2.95</v>
      </c>
      <c r="F2531" s="127"/>
      <c r="G2531" s="127"/>
      <c r="H2531" s="127"/>
      <c r="I2531" s="128"/>
      <c r="K2531" s="55" t="s">
        <v>5049</v>
      </c>
      <c r="L2531" s="129">
        <v>1.26737312E8</v>
      </c>
      <c r="M2531" s="99">
        <v>1.24</v>
      </c>
    </row>
    <row r="2532">
      <c r="A2532" s="122" t="s">
        <v>5482</v>
      </c>
      <c r="B2532" s="123">
        <v>1783032.0</v>
      </c>
      <c r="C2532" s="124" t="s">
        <v>5483</v>
      </c>
      <c r="D2532" s="125"/>
      <c r="E2532" s="126">
        <v>2.95</v>
      </c>
      <c r="F2532" s="127"/>
      <c r="G2532" s="127"/>
      <c r="H2532" s="127"/>
      <c r="I2532" s="128"/>
      <c r="K2532" s="105" t="str">
        <f>IFERROR(__xludf.DUMMYFUNCTION("if(A2532="""","""",substitute(SUBSTITUTE(index(importhtml(""http://finviz.com/quote.ashx?t=""&amp;A2532,""table"",10),7,2),""*"",""""),""-"",""0.00""))"),"Loading...")</f>
        <v>Loading...</v>
      </c>
      <c r="L2532" s="129">
        <v>1.25123485E8</v>
      </c>
      <c r="M2532" s="99" t="str">
        <f>IFERROR(__xludf.DUMMYFUNCTION("GOOGLEFINANCE(A2532,""beta"")"),"#N/A")</f>
        <v>#N/A</v>
      </c>
    </row>
    <row r="2533">
      <c r="A2533" s="122" t="s">
        <v>5484</v>
      </c>
      <c r="B2533" s="123">
        <v>1253689.0</v>
      </c>
      <c r="C2533" s="124" t="s">
        <v>5485</v>
      </c>
      <c r="D2533" s="125"/>
      <c r="E2533" s="126">
        <v>2.95</v>
      </c>
      <c r="F2533" s="127"/>
      <c r="G2533" s="127"/>
      <c r="H2533" s="127"/>
      <c r="I2533" s="128"/>
      <c r="K2533" s="105" t="str">
        <f>IFERROR(__xludf.DUMMYFUNCTION("if(A2533="""","""",substitute(SUBSTITUTE(index(importhtml(""http://finviz.com/quote.ashx?t=""&amp;A2533,""table"",10),7,2),""*"",""""),""-"",""0.00""))"),"Loading...")</f>
        <v>Loading...</v>
      </c>
      <c r="L2533" s="129">
        <v>1.89960149E8</v>
      </c>
      <c r="M2533" s="99">
        <v>2.23</v>
      </c>
    </row>
    <row r="2534">
      <c r="A2534" s="122" t="s">
        <v>5486</v>
      </c>
      <c r="B2534" s="123">
        <v>1819810.0</v>
      </c>
      <c r="C2534" s="124" t="s">
        <v>5487</v>
      </c>
      <c r="D2534" s="125"/>
      <c r="E2534" s="126">
        <v>2.95</v>
      </c>
      <c r="F2534" s="127"/>
      <c r="G2534" s="127"/>
      <c r="H2534" s="127"/>
      <c r="I2534" s="128"/>
      <c r="K2534" s="105" t="str">
        <f>IFERROR(__xludf.DUMMYFUNCTION("if(A2534="""","""",substitute(SUBSTITUTE(index(importhtml(""http://finviz.com/quote.ashx?t=""&amp;A2534,""table"",10),7,2),""*"",""""),""-"",""0.00""))"),"Loading...")</f>
        <v>Loading...</v>
      </c>
      <c r="L2534" s="129">
        <v>1.91159472E8</v>
      </c>
      <c r="M2534" s="99">
        <v>1.64</v>
      </c>
    </row>
    <row r="2535">
      <c r="A2535" s="122" t="s">
        <v>5488</v>
      </c>
      <c r="B2535" s="123">
        <v>1822462.0</v>
      </c>
      <c r="C2535" s="124" t="s">
        <v>5489</v>
      </c>
      <c r="D2535" s="125"/>
      <c r="E2535" s="126">
        <v>2.96</v>
      </c>
      <c r="F2535" s="127"/>
      <c r="G2535" s="127"/>
      <c r="H2535" s="127"/>
      <c r="I2535" s="128"/>
      <c r="K2535" s="105" t="str">
        <f>IFERROR(__xludf.DUMMYFUNCTION("if(A2535="""","""",substitute(SUBSTITUTE(index(importhtml(""http://finviz.com/quote.ashx?t=""&amp;A2535,""table"",10),7,2),""*"",""""),""-"",""0.00""))"),"Loading...")</f>
        <v>Loading...</v>
      </c>
      <c r="L2535" s="129">
        <v>1.24962676E8</v>
      </c>
      <c r="M2535" s="99">
        <v>2.65</v>
      </c>
    </row>
    <row r="2536">
      <c r="A2536" s="122" t="s">
        <v>5490</v>
      </c>
      <c r="B2536" s="123">
        <v>1500435.0</v>
      </c>
      <c r="C2536" s="124" t="s">
        <v>5491</v>
      </c>
      <c r="D2536" s="125"/>
      <c r="E2536" s="126">
        <v>2.96</v>
      </c>
      <c r="F2536" s="127"/>
      <c r="G2536" s="127"/>
      <c r="H2536" s="127"/>
      <c r="I2536" s="128"/>
      <c r="K2536" s="105" t="str">
        <f>IFERROR(__xludf.DUMMYFUNCTION("if(A2536="""","""",substitute(SUBSTITUTE(index(importhtml(""http://finviz.com/quote.ashx?t=""&amp;A2536,""table"",10),7,2),""*"",""""),""-"",""0.00""))"),"Loading...")</f>
        <v>Loading...</v>
      </c>
      <c r="L2536" s="129">
        <v>4.50038997E8</v>
      </c>
      <c r="M2536" s="99">
        <v>1.53</v>
      </c>
    </row>
    <row r="2537">
      <c r="A2537" s="122" t="s">
        <v>5492</v>
      </c>
      <c r="B2537" s="123">
        <v>832489.0</v>
      </c>
      <c r="C2537" s="124" t="s">
        <v>5493</v>
      </c>
      <c r="D2537" s="125"/>
      <c r="E2537" s="126">
        <v>2.97</v>
      </c>
      <c r="F2537" s="127"/>
      <c r="G2537" s="127"/>
      <c r="H2537" s="127"/>
      <c r="I2537" s="128"/>
      <c r="K2537" s="105" t="str">
        <f>IFERROR(__xludf.DUMMYFUNCTION("if(A2537="""","""",substitute(SUBSTITUTE(index(importhtml(""http://finviz.com/quote.ashx?t=""&amp;A2537,""table"",10),7,2),""*"",""""),""-"",""0.00""))"),"Loading...")</f>
        <v>Loading...</v>
      </c>
      <c r="L2537" s="129">
        <v>5896452.0</v>
      </c>
      <c r="M2537" s="99">
        <v>2.92</v>
      </c>
    </row>
    <row r="2538">
      <c r="A2538" s="122" t="s">
        <v>5494</v>
      </c>
      <c r="B2538" s="123">
        <v>1576885.0</v>
      </c>
      <c r="C2538" s="124" t="s">
        <v>5495</v>
      </c>
      <c r="D2538" s="125"/>
      <c r="E2538" s="126">
        <v>2.97</v>
      </c>
      <c r="F2538" s="127"/>
      <c r="G2538" s="127"/>
      <c r="H2538" s="127"/>
      <c r="I2538" s="128"/>
      <c r="K2538" s="105" t="str">
        <f>IFERROR(__xludf.DUMMYFUNCTION("if(A2538="""","""",substitute(SUBSTITUTE(index(importhtml(""http://finviz.com/quote.ashx?t=""&amp;A2538,""table"",10),7,2),""*"",""""),""-"",""0.00""))"),"Loading...")</f>
        <v>Loading...</v>
      </c>
      <c r="L2538" s="129">
        <v>1.71994038E8</v>
      </c>
      <c r="M2538" s="99">
        <f>IFERROR(__xludf.DUMMYFUNCTION("GOOGLEFINANCE(A2538,""beta"")"),0.24)</f>
        <v>0.24</v>
      </c>
    </row>
    <row r="2539">
      <c r="A2539" s="122" t="s">
        <v>5496</v>
      </c>
      <c r="B2539" s="123">
        <v>1026214.0</v>
      </c>
      <c r="C2539" s="124" t="s">
        <v>5497</v>
      </c>
      <c r="D2539" s="125"/>
      <c r="E2539" s="126">
        <v>2.97</v>
      </c>
      <c r="F2539" s="127"/>
      <c r="G2539" s="127"/>
      <c r="H2539" s="127"/>
      <c r="I2539" s="128"/>
      <c r="K2539" s="105" t="str">
        <f>IFERROR(__xludf.DUMMYFUNCTION("if(A2539="""","""",substitute(SUBSTITUTE(index(importhtml(""http://finviz.com/quote.ashx?t=""&amp;A2539,""table"",10),7,2),""*"",""""),""-"",""0.00""))"),"Loading...")</f>
        <v>Loading...</v>
      </c>
      <c r="L2539" s="129">
        <v>7.08564876E8</v>
      </c>
      <c r="M2539" s="99">
        <v>0.62</v>
      </c>
    </row>
    <row r="2540">
      <c r="A2540" s="122" t="s">
        <v>5498</v>
      </c>
      <c r="B2540" s="123">
        <v>1034760.0</v>
      </c>
      <c r="C2540" s="124" t="s">
        <v>5499</v>
      </c>
      <c r="D2540" s="125"/>
      <c r="E2540" s="126">
        <v>2.98</v>
      </c>
      <c r="F2540" s="127"/>
      <c r="G2540" s="127"/>
      <c r="H2540" s="127"/>
      <c r="I2540" s="128"/>
      <c r="K2540" s="105" t="str">
        <f>IFERROR(__xludf.DUMMYFUNCTION("if(A2540="""","""",substitute(SUBSTITUTE(index(importhtml(""http://finviz.com/quote.ashx?t=""&amp;A2540,""table"",10),7,2),""*"",""""),""-"",""0.00""))"),"Loading...")</f>
        <v>Loading...</v>
      </c>
      <c r="L2540" s="129">
        <v>2.6354145E7</v>
      </c>
      <c r="M2540" s="99">
        <v>1.41</v>
      </c>
    </row>
    <row r="2541">
      <c r="A2541" s="122" t="s">
        <v>5500</v>
      </c>
      <c r="B2541" s="123">
        <v>1753368.0</v>
      </c>
      <c r="C2541" s="124" t="s">
        <v>5501</v>
      </c>
      <c r="D2541" s="125"/>
      <c r="E2541" s="126">
        <v>2.98</v>
      </c>
      <c r="F2541" s="127"/>
      <c r="G2541" s="127"/>
      <c r="H2541" s="127"/>
      <c r="I2541" s="128"/>
      <c r="K2541" s="105" t="str">
        <f>IFERROR(__xludf.DUMMYFUNCTION("if(A2541="""","""",substitute(SUBSTITUTE(index(importhtml(""http://finviz.com/quote.ashx?t=""&amp;A2541,""table"",10),7,2),""*"",""""),""-"",""0.00""))"),"Loading...")</f>
        <v>Loading...</v>
      </c>
      <c r="L2541" s="129">
        <v>1.25934041E8</v>
      </c>
      <c r="M2541" s="99">
        <v>1.28</v>
      </c>
    </row>
    <row r="2542">
      <c r="A2542" s="122" t="s">
        <v>5502</v>
      </c>
      <c r="B2542" s="123">
        <v>1818093.0</v>
      </c>
      <c r="C2542" s="124" t="s">
        <v>5503</v>
      </c>
      <c r="D2542" s="125"/>
      <c r="E2542" s="126">
        <v>2.98</v>
      </c>
      <c r="F2542" s="127"/>
      <c r="G2542" s="127"/>
      <c r="H2542" s="127"/>
      <c r="I2542" s="128"/>
      <c r="K2542" s="105" t="str">
        <f>IFERROR(__xludf.DUMMYFUNCTION("if(A2542="""","""",substitute(SUBSTITUTE(index(importhtml(""http://finviz.com/quote.ashx?t=""&amp;A2542,""table"",10),7,2),""*"",""""),""-"",""0.00""))"),"Loading...")</f>
        <v>Loading...</v>
      </c>
      <c r="L2542" s="129">
        <v>3.91175066E8</v>
      </c>
      <c r="M2542" s="99">
        <v>0.89</v>
      </c>
    </row>
    <row r="2543">
      <c r="A2543" s="122" t="s">
        <v>5504</v>
      </c>
      <c r="B2543" s="123">
        <v>1839341.0</v>
      </c>
      <c r="C2543" s="124" t="s">
        <v>5505</v>
      </c>
      <c r="D2543" s="125"/>
      <c r="E2543" s="126">
        <v>2.98</v>
      </c>
      <c r="F2543" s="127"/>
      <c r="G2543" s="127"/>
      <c r="H2543" s="127"/>
      <c r="I2543" s="128"/>
      <c r="K2543" s="105" t="str">
        <f>IFERROR(__xludf.DUMMYFUNCTION("if(A2543="""","""",substitute(SUBSTITUTE(index(importhtml(""http://finviz.com/quote.ashx?t=""&amp;A2543,""table"",10),7,2),""*"",""""),""-"",""0.00""))"),"Loading...")</f>
        <v>Loading...</v>
      </c>
      <c r="L2543" s="129">
        <v>1.047732544E9</v>
      </c>
      <c r="M2543" s="99" t="str">
        <f>IFERROR(__xludf.DUMMYFUNCTION("GOOGLEFINANCE(A2543,""beta"")"),"#N/A")</f>
        <v>#N/A</v>
      </c>
    </row>
    <row r="2544">
      <c r="A2544" s="122" t="s">
        <v>5506</v>
      </c>
      <c r="B2544" s="123">
        <v>1792627.0</v>
      </c>
      <c r="C2544" s="124" t="s">
        <v>5507</v>
      </c>
      <c r="D2544" s="125"/>
      <c r="E2544" s="126">
        <v>2.98</v>
      </c>
      <c r="F2544" s="127"/>
      <c r="G2544" s="127"/>
      <c r="H2544" s="127"/>
      <c r="I2544" s="128"/>
      <c r="K2544" s="105" t="str">
        <f>IFERROR(__xludf.DUMMYFUNCTION("if(A2544="""","""",substitute(SUBSTITUTE(index(importhtml(""http://finviz.com/quote.ashx?t=""&amp;A2544,""table"",10),7,2),""*"",""""),""-"",""0.00""))"),"Loading...")</f>
        <v>Loading...</v>
      </c>
      <c r="L2544" s="129">
        <v>3.321767281E9</v>
      </c>
      <c r="M2544" s="99">
        <v>1.56</v>
      </c>
    </row>
    <row r="2545">
      <c r="A2545" s="122" t="s">
        <v>5508</v>
      </c>
      <c r="B2545" s="123">
        <v>1819615.0</v>
      </c>
      <c r="C2545" s="124" t="s">
        <v>5509</v>
      </c>
      <c r="D2545" s="125"/>
      <c r="E2545" s="126">
        <v>2.99</v>
      </c>
      <c r="F2545" s="127"/>
      <c r="G2545" s="127"/>
      <c r="H2545" s="127"/>
      <c r="I2545" s="128"/>
      <c r="K2545" s="105" t="str">
        <f>IFERROR(__xludf.DUMMYFUNCTION("if(A2545="""","""",substitute(SUBSTITUTE(index(importhtml(""http://finviz.com/quote.ashx?t=""&amp;A2545,""table"",10),7,2),""*"",""""),""-"",""0.00""))"),"Loading...")</f>
        <v>Loading...</v>
      </c>
      <c r="L2545" s="129">
        <v>5218001.0</v>
      </c>
      <c r="M2545" s="99">
        <v>2.27</v>
      </c>
    </row>
    <row r="2546">
      <c r="A2546" s="122" t="s">
        <v>5510</v>
      </c>
      <c r="B2546" s="123">
        <v>1126234.0</v>
      </c>
      <c r="C2546" s="124" t="s">
        <v>5511</v>
      </c>
      <c r="D2546" s="125"/>
      <c r="E2546" s="126">
        <v>2.99</v>
      </c>
      <c r="F2546" s="127"/>
      <c r="G2546" s="127"/>
      <c r="H2546" s="127"/>
      <c r="I2546" s="128"/>
      <c r="K2546" s="105" t="str">
        <f>IFERROR(__xludf.DUMMYFUNCTION("if(A2546="""","""",substitute(SUBSTITUTE(index(importhtml(""http://finviz.com/quote.ashx?t=""&amp;A2546,""table"",10),7,2),""*"",""""),""-"",""0.00""))"),"Loading...")</f>
        <v>Loading...</v>
      </c>
      <c r="L2546" s="129">
        <v>2.3664597E7</v>
      </c>
      <c r="M2546" s="99">
        <v>0.66</v>
      </c>
    </row>
    <row r="2547">
      <c r="A2547" s="122" t="s">
        <v>5512</v>
      </c>
      <c r="B2547" s="123">
        <v>1758766.0</v>
      </c>
      <c r="C2547" s="124" t="s">
        <v>5513</v>
      </c>
      <c r="D2547" s="125"/>
      <c r="E2547" s="126">
        <v>2.99</v>
      </c>
      <c r="F2547" s="127"/>
      <c r="G2547" s="127"/>
      <c r="H2547" s="127"/>
      <c r="I2547" s="128"/>
      <c r="K2547" s="105" t="str">
        <f>IFERROR(__xludf.DUMMYFUNCTION("if(A2547="""","""",substitute(SUBSTITUTE(index(importhtml(""http://finviz.com/quote.ashx?t=""&amp;A2547,""table"",10),7,2),""*"",""""),""-"",""0.00""))"),"Loading...")</f>
        <v>Loading...</v>
      </c>
      <c r="L2547" s="129">
        <v>4.66127845E8</v>
      </c>
      <c r="M2547" s="99">
        <v>1.99</v>
      </c>
    </row>
    <row r="2548">
      <c r="A2548" s="122" t="s">
        <v>5514</v>
      </c>
      <c r="B2548" s="123">
        <v>1724755.0</v>
      </c>
      <c r="C2548" s="124" t="s">
        <v>5515</v>
      </c>
      <c r="D2548" s="125"/>
      <c r="E2548" s="126">
        <v>3.0</v>
      </c>
      <c r="F2548" s="127"/>
      <c r="G2548" s="127"/>
      <c r="H2548" s="127"/>
      <c r="I2548" s="128"/>
      <c r="K2548" s="55" t="s">
        <v>5516</v>
      </c>
      <c r="L2548" s="129">
        <v>3.065367E8</v>
      </c>
      <c r="M2548" s="99">
        <v>0.73</v>
      </c>
    </row>
    <row r="2549">
      <c r="A2549" s="122" t="s">
        <v>5517</v>
      </c>
      <c r="B2549" s="123">
        <v>1532383.0</v>
      </c>
      <c r="C2549" s="124" t="s">
        <v>5518</v>
      </c>
      <c r="D2549" s="125"/>
      <c r="E2549" s="126">
        <v>3.0</v>
      </c>
      <c r="F2549" s="127"/>
      <c r="G2549" s="127"/>
      <c r="H2549" s="127"/>
      <c r="I2549" s="128"/>
      <c r="K2549" s="105" t="str">
        <f>IFERROR(__xludf.DUMMYFUNCTION("if(A2549="""","""",substitute(SUBSTITUTE(index(importhtml(""http://finviz.com/quote.ashx?t=""&amp;A2549,""table"",10),7,2),""*"",""""),""-"",""0.00""))"),"Loading...")</f>
        <v>Loading...</v>
      </c>
      <c r="L2549" s="129">
        <v>1.8E7</v>
      </c>
      <c r="M2549" s="99">
        <v>-0.26</v>
      </c>
    </row>
    <row r="2550">
      <c r="A2550" s="122" t="s">
        <v>5519</v>
      </c>
      <c r="B2550" s="123">
        <v>1577445.0</v>
      </c>
      <c r="C2550" s="124" t="s">
        <v>5520</v>
      </c>
      <c r="D2550" s="125"/>
      <c r="E2550" s="126">
        <v>3.0</v>
      </c>
      <c r="F2550" s="127"/>
      <c r="G2550" s="127"/>
      <c r="H2550" s="127"/>
      <c r="I2550" s="128"/>
      <c r="K2550" s="105" t="str">
        <f>IFERROR(__xludf.DUMMYFUNCTION("if(A2550="""","""",substitute(SUBSTITUTE(index(importhtml(""http://finviz.com/quote.ashx?t=""&amp;A2550,""table"",10),7,2),""*"",""""),""-"",""0.00""))"),"Loading...")</f>
        <v>Loading...</v>
      </c>
      <c r="L2550" s="129">
        <v>3.132255E7</v>
      </c>
      <c r="M2550" s="99">
        <v>-0.86</v>
      </c>
    </row>
    <row r="2551">
      <c r="A2551" s="122" t="s">
        <v>5521</v>
      </c>
      <c r="B2551" s="123">
        <v>1401040.0</v>
      </c>
      <c r="C2551" s="124" t="s">
        <v>5522</v>
      </c>
      <c r="D2551" s="125"/>
      <c r="E2551" s="126">
        <v>3.0</v>
      </c>
      <c r="F2551" s="127"/>
      <c r="G2551" s="127"/>
      <c r="H2551" s="127"/>
      <c r="I2551" s="128"/>
      <c r="K2551" s="105" t="str">
        <f>IFERROR(__xludf.DUMMYFUNCTION("if(A2551="""","""",substitute(SUBSTITUTE(index(importhtml(""http://finviz.com/quote.ashx?t=""&amp;A2551,""table"",10),7,2),""*"",""""),""-"",""0.00""))"),"Loading...")</f>
        <v>Loading...</v>
      </c>
      <c r="L2551" s="129">
        <v>1.138611E8</v>
      </c>
      <c r="M2551" s="99">
        <v>1.7</v>
      </c>
    </row>
    <row r="2552">
      <c r="A2552" s="122" t="s">
        <v>5523</v>
      </c>
      <c r="B2552" s="123">
        <v>1496443.0</v>
      </c>
      <c r="C2552" s="124" t="s">
        <v>5524</v>
      </c>
      <c r="D2552" s="125"/>
      <c r="E2552" s="126">
        <v>3.0</v>
      </c>
      <c r="F2552" s="127"/>
      <c r="G2552" s="127"/>
      <c r="H2552" s="127"/>
      <c r="I2552" s="128"/>
      <c r="K2552" s="105" t="str">
        <f>IFERROR(__xludf.DUMMYFUNCTION("if(A2552="""","""",substitute(SUBSTITUTE(index(importhtml(""http://finviz.com/quote.ashx?t=""&amp;A2552,""table"",10),7,2),""*"",""""),""-"",""0.00""))"),"Loading...")</f>
        <v>Loading...</v>
      </c>
      <c r="L2552" s="129">
        <v>1.5826311E8</v>
      </c>
      <c r="M2552" s="99">
        <v>1.14</v>
      </c>
    </row>
    <row r="2553">
      <c r="A2553" s="122" t="s">
        <v>5525</v>
      </c>
      <c r="B2553" s="123">
        <v>1720580.0</v>
      </c>
      <c r="C2553" s="124" t="s">
        <v>5526</v>
      </c>
      <c r="D2553" s="125"/>
      <c r="E2553" s="126">
        <v>3.0</v>
      </c>
      <c r="F2553" s="127"/>
      <c r="G2553" s="127"/>
      <c r="H2553" s="127"/>
      <c r="I2553" s="128"/>
      <c r="K2553" s="105" t="str">
        <f>IFERROR(__xludf.DUMMYFUNCTION("if(A2553="""","""",substitute(SUBSTITUTE(index(importhtml(""http://finviz.com/quote.ashx?t=""&amp;A2553,""table"",10),7,2),""*"",""""),""-"",""0.00""))"),"Loading...")</f>
        <v>Loading...</v>
      </c>
      <c r="L2553" s="129">
        <v>2.1048774E8</v>
      </c>
      <c r="M2553" s="99">
        <v>1.93</v>
      </c>
    </row>
    <row r="2554">
      <c r="A2554" s="122" t="s">
        <v>5527</v>
      </c>
      <c r="B2554" s="123">
        <v>1023731.0</v>
      </c>
      <c r="C2554" s="124" t="s">
        <v>5528</v>
      </c>
      <c r="D2554" s="125"/>
      <c r="E2554" s="126">
        <v>3.0</v>
      </c>
      <c r="F2554" s="127"/>
      <c r="G2554" s="127"/>
      <c r="H2554" s="127"/>
      <c r="I2554" s="128"/>
      <c r="K2554" s="105" t="str">
        <f>IFERROR(__xludf.DUMMYFUNCTION("if(A2554="""","""",substitute(SUBSTITUTE(index(importhtml(""http://finviz.com/quote.ashx?t=""&amp;A2554,""table"",10),7,2),""*"",""""),""-"",""0.00""))"),"Loading...")</f>
        <v>Loading...</v>
      </c>
      <c r="L2554" s="129">
        <v>3.65879668E8</v>
      </c>
      <c r="M2554" s="99">
        <v>1.53</v>
      </c>
    </row>
    <row r="2555">
      <c r="A2555" s="122" t="s">
        <v>5529</v>
      </c>
      <c r="B2555" s="123">
        <v>1026214.0</v>
      </c>
      <c r="C2555" s="124" t="s">
        <v>5530</v>
      </c>
      <c r="D2555" s="125"/>
      <c r="E2555" s="126">
        <v>3.0</v>
      </c>
      <c r="F2555" s="127"/>
      <c r="G2555" s="127"/>
      <c r="H2555" s="127"/>
      <c r="I2555" s="128"/>
      <c r="K2555" s="105" t="str">
        <f>IFERROR(__xludf.DUMMYFUNCTION("if(A2555="""","""",substitute(SUBSTITUTE(index(importhtml(""http://finviz.com/quote.ashx?t=""&amp;A2555,""table"",10),7,2),""*"",""""),""-"",""0.00""))"),"Loading...")</f>
        <v>Loading...</v>
      </c>
      <c r="L2555" s="129">
        <v>7.08564876E8</v>
      </c>
      <c r="M2555" s="99">
        <v>0.56</v>
      </c>
    </row>
    <row r="2556">
      <c r="A2556" s="122" t="s">
        <v>5531</v>
      </c>
      <c r="B2556" s="123">
        <v>1785494.0</v>
      </c>
      <c r="C2556" s="124" t="s">
        <v>5532</v>
      </c>
      <c r="D2556" s="125"/>
      <c r="E2556" s="126">
        <v>3.0</v>
      </c>
      <c r="F2556" s="127"/>
      <c r="G2556" s="127"/>
      <c r="H2556" s="127"/>
      <c r="I2556" s="128"/>
      <c r="K2556" s="105" t="str">
        <f>IFERROR(__xludf.DUMMYFUNCTION("if(A2556="""","""",substitute(SUBSTITUTE(index(importhtml(""http://finviz.com/quote.ashx?t=""&amp;A2556,""table"",10),7,2),""*"",""""),""-"",""0.00""))"),"Loading...")</f>
        <v>Loading...</v>
      </c>
      <c r="L2556" s="129" t="e">
        <v>#N/A</v>
      </c>
      <c r="M2556" s="99">
        <v>-0.65</v>
      </c>
    </row>
    <row r="2557">
      <c r="A2557" s="122" t="s">
        <v>5533</v>
      </c>
      <c r="B2557" s="123">
        <v>1659559.0</v>
      </c>
      <c r="C2557" s="124" t="s">
        <v>5534</v>
      </c>
      <c r="D2557" s="125"/>
      <c r="E2557" s="126">
        <v>3.0</v>
      </c>
      <c r="F2557" s="127"/>
      <c r="G2557" s="127"/>
      <c r="H2557" s="127"/>
      <c r="I2557" s="128"/>
      <c r="K2557" s="105" t="str">
        <f>IFERROR(__xludf.DUMMYFUNCTION("if(A2557="""","""",substitute(SUBSTITUTE(index(importhtml(""http://finviz.com/quote.ashx?t=""&amp;A2557,""table"",10),7,2),""*"",""""),""-"",""0.00""))"),"Loading...")</f>
        <v>Loading...</v>
      </c>
      <c r="L2557" s="129" t="e">
        <v>#N/A</v>
      </c>
      <c r="M2557" s="99" t="str">
        <f>IFERROR(__xludf.DUMMYFUNCTION("GOOGLEFINANCE(A2557,""beta"")"),"#N/A")</f>
        <v>#N/A</v>
      </c>
    </row>
    <row r="2558">
      <c r="A2558" s="122" t="s">
        <v>5535</v>
      </c>
      <c r="B2558" s="123">
        <v>1437925.0</v>
      </c>
      <c r="C2558" s="124" t="s">
        <v>5536</v>
      </c>
      <c r="D2558" s="125"/>
      <c r="E2558" s="126">
        <v>3.01</v>
      </c>
      <c r="F2558" s="127"/>
      <c r="G2558" s="127"/>
      <c r="H2558" s="127"/>
      <c r="I2558" s="128"/>
      <c r="K2558" s="105" t="str">
        <f>IFERROR(__xludf.DUMMYFUNCTION("if(A2558="""","""",substitute(SUBSTITUTE(index(importhtml(""http://finviz.com/quote.ashx?t=""&amp;A2558,""table"",10),7,2),""*"",""""),""-"",""0.00""))"),"Loading...")</f>
        <v>Loading...</v>
      </c>
      <c r="L2558" s="129">
        <v>1.09122823E8</v>
      </c>
      <c r="M2558" s="99">
        <v>2.42</v>
      </c>
    </row>
    <row r="2559">
      <c r="A2559" s="122" t="s">
        <v>5537</v>
      </c>
      <c r="B2559" s="123">
        <v>1779128.0</v>
      </c>
      <c r="C2559" s="124" t="s">
        <v>5538</v>
      </c>
      <c r="D2559" s="125"/>
      <c r="E2559" s="126">
        <v>3.01</v>
      </c>
      <c r="F2559" s="127"/>
      <c r="G2559" s="127"/>
      <c r="H2559" s="127"/>
      <c r="I2559" s="128"/>
      <c r="K2559" s="105" t="str">
        <f>IFERROR(__xludf.DUMMYFUNCTION("if(A2559="""","""",substitute(SUBSTITUTE(index(importhtml(""http://finviz.com/quote.ashx?t=""&amp;A2559,""table"",10),7,2),""*"",""""),""-"",""0.00""))"),"Loading...")</f>
        <v>Loading...</v>
      </c>
      <c r="L2559" s="129">
        <v>2.24647556E8</v>
      </c>
      <c r="M2559" s="99">
        <v>1.17</v>
      </c>
    </row>
    <row r="2560">
      <c r="A2560" s="122" t="s">
        <v>5539</v>
      </c>
      <c r="B2560" s="123">
        <v>1837014.0</v>
      </c>
      <c r="C2560" s="124" t="s">
        <v>5540</v>
      </c>
      <c r="D2560" s="125"/>
      <c r="E2560" s="126">
        <v>3.01</v>
      </c>
      <c r="F2560" s="127"/>
      <c r="G2560" s="127"/>
      <c r="H2560" s="127"/>
      <c r="I2560" s="128"/>
      <c r="K2560" s="105" t="str">
        <f>IFERROR(__xludf.DUMMYFUNCTION("if(A2560="""","""",substitute(SUBSTITUTE(index(importhtml(""http://finviz.com/quote.ashx?t=""&amp;A2560,""table"",10),7,2),""*"",""""),""-"",""0.00""))"),"Loading...")</f>
        <v>Loading...</v>
      </c>
      <c r="L2560" s="129">
        <v>6.11496247E8</v>
      </c>
      <c r="M2560" s="99">
        <v>0.0</v>
      </c>
    </row>
    <row r="2561">
      <c r="A2561" s="122" t="s">
        <v>5541</v>
      </c>
      <c r="B2561" s="123">
        <v>810766.0</v>
      </c>
      <c r="C2561" s="124" t="s">
        <v>5542</v>
      </c>
      <c r="D2561" s="125"/>
      <c r="E2561" s="126">
        <v>3.02</v>
      </c>
      <c r="F2561" s="127"/>
      <c r="G2561" s="127"/>
      <c r="H2561" s="127"/>
      <c r="I2561" s="128"/>
      <c r="K2561" s="55" t="s">
        <v>5543</v>
      </c>
      <c r="L2561" s="129">
        <v>1.58970171E8</v>
      </c>
      <c r="M2561" s="99">
        <v>0.72</v>
      </c>
    </row>
    <row r="2562">
      <c r="A2562" s="122" t="s">
        <v>5544</v>
      </c>
      <c r="B2562" s="123">
        <v>1697532.0</v>
      </c>
      <c r="C2562" s="124" t="s">
        <v>5545</v>
      </c>
      <c r="D2562" s="125"/>
      <c r="E2562" s="126">
        <v>3.02</v>
      </c>
      <c r="F2562" s="127"/>
      <c r="G2562" s="127"/>
      <c r="H2562" s="127"/>
      <c r="I2562" s="128"/>
      <c r="K2562" s="105" t="str">
        <f>IFERROR(__xludf.DUMMYFUNCTION("if(A2562="""","""",substitute(SUBSTITUTE(index(importhtml(""http://finviz.com/quote.ashx?t=""&amp;A2562,""table"",10),7,2),""*"",""""),""-"",""0.00""))"),"Loading...")</f>
        <v>Loading...</v>
      </c>
      <c r="L2562" s="129">
        <v>2.33232152E8</v>
      </c>
      <c r="M2562" s="99">
        <v>1.53</v>
      </c>
    </row>
    <row r="2563">
      <c r="A2563" s="122" t="s">
        <v>5546</v>
      </c>
      <c r="B2563" s="123">
        <v>1289850.0</v>
      </c>
      <c r="C2563" s="124" t="s">
        <v>5547</v>
      </c>
      <c r="D2563" s="125"/>
      <c r="E2563" s="126">
        <v>3.03</v>
      </c>
      <c r="F2563" s="127"/>
      <c r="G2563" s="127"/>
      <c r="H2563" s="127"/>
      <c r="I2563" s="128"/>
      <c r="K2563" s="105" t="str">
        <f>IFERROR(__xludf.DUMMYFUNCTION("if(A2563="""","""",substitute(SUBSTITUTE(index(importhtml(""http://finviz.com/quote.ashx?t=""&amp;A2563,""table"",10),7,2),""*"",""""),""-"",""0.00""))"),"Loading...")</f>
        <v>Loading...</v>
      </c>
      <c r="L2563" s="129">
        <v>3307666.0</v>
      </c>
      <c r="M2563" s="99">
        <v>2.22</v>
      </c>
    </row>
    <row r="2564">
      <c r="A2564" s="122" t="s">
        <v>5548</v>
      </c>
      <c r="B2564" s="123">
        <v>1642380.0</v>
      </c>
      <c r="C2564" s="124" t="s">
        <v>5549</v>
      </c>
      <c r="D2564" s="125"/>
      <c r="E2564" s="126">
        <v>3.03</v>
      </c>
      <c r="F2564" s="127"/>
      <c r="G2564" s="127"/>
      <c r="H2564" s="127"/>
      <c r="I2564" s="128"/>
      <c r="K2564" s="105" t="str">
        <f>IFERROR(__xludf.DUMMYFUNCTION("if(A2564="""","""",substitute(SUBSTITUTE(index(importhtml(""http://finviz.com/quote.ashx?t=""&amp;A2564,""table"",10),7,2),""*"",""""),""-"",""0.00""))"),"Loading...")</f>
        <v>Loading...</v>
      </c>
      <c r="L2564" s="129">
        <v>2.5030105E7</v>
      </c>
      <c r="M2564" s="99">
        <v>0.79</v>
      </c>
    </row>
    <row r="2565">
      <c r="A2565" s="122" t="s">
        <v>5550</v>
      </c>
      <c r="B2565" s="123">
        <v>1134982.0</v>
      </c>
      <c r="C2565" s="124" t="s">
        <v>5551</v>
      </c>
      <c r="D2565" s="125"/>
      <c r="E2565" s="126">
        <v>3.03</v>
      </c>
      <c r="F2565" s="127"/>
      <c r="G2565" s="127"/>
      <c r="H2565" s="127"/>
      <c r="I2565" s="128"/>
      <c r="K2565" s="105" t="str">
        <f>IFERROR(__xludf.DUMMYFUNCTION("if(A2565="""","""",substitute(SUBSTITUTE(index(importhtml(""http://finviz.com/quote.ashx?t=""&amp;A2565,""table"",10),7,2),""*"",""""),""-"",""0.00""))"),"Loading...")</f>
        <v>Loading...</v>
      </c>
      <c r="L2565" s="129">
        <v>6.144362E8</v>
      </c>
      <c r="M2565" s="99">
        <v>-2.39</v>
      </c>
    </row>
    <row r="2566">
      <c r="A2566" s="122" t="s">
        <v>5552</v>
      </c>
      <c r="B2566" s="123">
        <v>928054.0</v>
      </c>
      <c r="C2566" s="124" t="s">
        <v>5553</v>
      </c>
      <c r="D2566" s="125"/>
      <c r="E2566" s="126">
        <v>3.04</v>
      </c>
      <c r="F2566" s="127"/>
      <c r="G2566" s="127"/>
      <c r="H2566" s="127"/>
      <c r="I2566" s="128"/>
      <c r="K2566" s="55" t="s">
        <v>1034</v>
      </c>
      <c r="L2566" s="129">
        <v>9.0174758E7</v>
      </c>
      <c r="M2566" s="99">
        <v>1.08</v>
      </c>
    </row>
    <row r="2567">
      <c r="A2567" s="122" t="s">
        <v>5554</v>
      </c>
      <c r="B2567" s="123">
        <v>1601994.0</v>
      </c>
      <c r="C2567" s="124" t="s">
        <v>5555</v>
      </c>
      <c r="D2567" s="125"/>
      <c r="E2567" s="126">
        <v>3.04</v>
      </c>
      <c r="F2567" s="127"/>
      <c r="G2567" s="127"/>
      <c r="H2567" s="127"/>
      <c r="I2567" s="128"/>
      <c r="K2567" s="105" t="str">
        <f>IFERROR(__xludf.DUMMYFUNCTION("if(A2567="""","""",substitute(SUBSTITUTE(index(importhtml(""http://finviz.com/quote.ashx?t=""&amp;A2567,""table"",10),7,2),""*"",""""),""-"",""0.00""))"),"Loading...")</f>
        <v>Loading...</v>
      </c>
      <c r="L2567" s="129">
        <v>1.68931785E10</v>
      </c>
      <c r="M2567" s="99">
        <v>0.41</v>
      </c>
    </row>
    <row r="2568">
      <c r="A2568" s="122" t="s">
        <v>5556</v>
      </c>
      <c r="B2568" s="123">
        <v>1810560.0</v>
      </c>
      <c r="C2568" s="124" t="s">
        <v>507</v>
      </c>
      <c r="D2568" s="125"/>
      <c r="E2568" s="126">
        <v>3.05</v>
      </c>
      <c r="F2568" s="127"/>
      <c r="G2568" s="127"/>
      <c r="H2568" s="127"/>
      <c r="I2568" s="128"/>
      <c r="K2568" s="105" t="str">
        <f>IFERROR(__xludf.DUMMYFUNCTION("if(A2568="""","""",substitute(SUBSTITUTE(index(importhtml(""http://finviz.com/quote.ashx?t=""&amp;A2568,""table"",10),7,2),""*"",""""),""-"",""0.00""))"),"Loading...")</f>
        <v>Loading...</v>
      </c>
      <c r="L2568" s="129">
        <v>639181.0</v>
      </c>
      <c r="M2568" s="99">
        <v>0.37</v>
      </c>
    </row>
    <row r="2569">
      <c r="A2569" s="122" t="s">
        <v>5557</v>
      </c>
      <c r="B2569" s="123">
        <v>64463.0</v>
      </c>
      <c r="C2569" s="124" t="s">
        <v>5558</v>
      </c>
      <c r="D2569" s="125"/>
      <c r="E2569" s="126">
        <v>3.05</v>
      </c>
      <c r="F2569" s="127"/>
      <c r="G2569" s="127"/>
      <c r="H2569" s="127"/>
      <c r="I2569" s="128"/>
      <c r="K2569" s="105" t="str">
        <f>IFERROR(__xludf.DUMMYFUNCTION("if(A2569="""","""",substitute(SUBSTITUTE(index(importhtml(""http://finviz.com/quote.ashx?t=""&amp;A2569,""table"",10),7,2),""*"",""""),""-"",""0.00""))"),"Loading...")</f>
        <v>Loading...</v>
      </c>
      <c r="L2569" s="129">
        <v>1.420228E7</v>
      </c>
      <c r="M2569" s="99">
        <f>IFERROR(__xludf.DUMMYFUNCTION("GOOGLEFINANCE(A2569,""beta"")"),3.85)</f>
        <v>3.85</v>
      </c>
    </row>
    <row r="2570">
      <c r="A2570" s="122" t="s">
        <v>5559</v>
      </c>
      <c r="B2570" s="123">
        <v>1876581.0</v>
      </c>
      <c r="C2570" s="124" t="s">
        <v>5560</v>
      </c>
      <c r="D2570" s="125"/>
      <c r="E2570" s="126">
        <v>3.05</v>
      </c>
      <c r="F2570" s="127"/>
      <c r="G2570" s="127"/>
      <c r="H2570" s="127"/>
      <c r="I2570" s="128"/>
      <c r="K2570" s="105" t="str">
        <f>IFERROR(__xludf.DUMMYFUNCTION("if(A2570="""","""",substitute(SUBSTITUTE(index(importhtml(""http://finviz.com/quote.ashx?t=""&amp;A2570,""table"",10),7,2),""*"",""""),""-"",""0.00""))"),"Loading...")</f>
        <v>Loading...</v>
      </c>
      <c r="L2570" s="129">
        <v>9.9021453E7</v>
      </c>
      <c r="M2570" s="99">
        <f>IFERROR(__xludf.DUMMYFUNCTION("GOOGLEFINANCE(A2570,""beta"")"),1.32)</f>
        <v>1.32</v>
      </c>
    </row>
    <row r="2571">
      <c r="A2571" s="122" t="s">
        <v>5561</v>
      </c>
      <c r="B2571" s="123">
        <v>1678660.0</v>
      </c>
      <c r="C2571" s="124" t="s">
        <v>5562</v>
      </c>
      <c r="D2571" s="125"/>
      <c r="E2571" s="126">
        <v>3.05</v>
      </c>
      <c r="F2571" s="127"/>
      <c r="G2571" s="127"/>
      <c r="H2571" s="127"/>
      <c r="I2571" s="128"/>
      <c r="K2571" s="105" t="str">
        <f>IFERROR(__xludf.DUMMYFUNCTION("if(A2571="""","""",substitute(SUBSTITUTE(index(importhtml(""http://finviz.com/quote.ashx?t=""&amp;A2571,""table"",10),7,2),""*"",""""),""-"",""0.00""))"),"Loading...")</f>
        <v>Loading...</v>
      </c>
      <c r="L2571" s="129">
        <v>1.67219266E8</v>
      </c>
      <c r="M2571" s="99">
        <v>1.39</v>
      </c>
    </row>
    <row r="2572">
      <c r="A2572" s="122" t="s">
        <v>5563</v>
      </c>
      <c r="B2572" s="123">
        <v>1259429.0</v>
      </c>
      <c r="C2572" s="124" t="s">
        <v>5564</v>
      </c>
      <c r="D2572" s="125"/>
      <c r="E2572" s="126">
        <v>3.05</v>
      </c>
      <c r="F2572" s="127"/>
      <c r="G2572" s="127"/>
      <c r="H2572" s="127"/>
      <c r="I2572" s="128"/>
      <c r="K2572" s="105" t="str">
        <f>IFERROR(__xludf.DUMMYFUNCTION("if(A2572="""","""",substitute(SUBSTITUTE(index(importhtml(""http://finviz.com/quote.ashx?t=""&amp;A2572,""table"",10),7,2),""*"",""""),""-"",""0.00""))"),"Loading...")</f>
        <v>Loading...</v>
      </c>
      <c r="L2572" s="129">
        <v>1.7729549E8</v>
      </c>
      <c r="M2572" s="99">
        <v>1.1</v>
      </c>
    </row>
    <row r="2573">
      <c r="A2573" s="122" t="s">
        <v>5565</v>
      </c>
      <c r="B2573" s="123">
        <v>788611.0</v>
      </c>
      <c r="C2573" s="124" t="s">
        <v>5566</v>
      </c>
      <c r="D2573" s="125"/>
      <c r="E2573" s="126">
        <v>3.06</v>
      </c>
      <c r="F2573" s="127"/>
      <c r="G2573" s="127"/>
      <c r="H2573" s="127"/>
      <c r="I2573" s="128"/>
      <c r="K2573" s="105" t="str">
        <f>IFERROR(__xludf.DUMMYFUNCTION("if(A2573="""","""",substitute(SUBSTITUTE(index(importhtml(""http://finviz.com/quote.ashx?t=""&amp;A2573,""table"",10),7,2),""*"",""""),""-"",""0.00""))"),"Loading...")</f>
        <v>Loading...</v>
      </c>
      <c r="L2573" s="129">
        <v>2388170.0</v>
      </c>
      <c r="M2573" s="99">
        <v>1.52</v>
      </c>
    </row>
    <row r="2574">
      <c r="A2574" s="122" t="s">
        <v>5567</v>
      </c>
      <c r="B2574" s="123">
        <v>1720893.0</v>
      </c>
      <c r="C2574" s="124" t="s">
        <v>5568</v>
      </c>
      <c r="D2574" s="125"/>
      <c r="E2574" s="126">
        <v>3.06</v>
      </c>
      <c r="F2574" s="127"/>
      <c r="G2574" s="127"/>
      <c r="H2574" s="127"/>
      <c r="I2574" s="128"/>
      <c r="K2574" s="105" t="str">
        <f>IFERROR(__xludf.DUMMYFUNCTION("if(A2574="""","""",substitute(SUBSTITUTE(index(importhtml(""http://finviz.com/quote.ashx?t=""&amp;A2574,""table"",10),7,2),""*"",""""),""-"",""0.00""))"),"Loading...")</f>
        <v>Loading...</v>
      </c>
      <c r="L2574" s="129">
        <v>8.9574337E7</v>
      </c>
      <c r="M2574" s="99">
        <v>0.5</v>
      </c>
    </row>
    <row r="2575">
      <c r="A2575" s="122" t="s">
        <v>5569</v>
      </c>
      <c r="B2575" s="123">
        <v>1140859.0</v>
      </c>
      <c r="C2575" s="124" t="s">
        <v>5570</v>
      </c>
      <c r="D2575" s="125"/>
      <c r="E2575" s="126">
        <v>3.07</v>
      </c>
      <c r="F2575" s="127"/>
      <c r="G2575" s="127"/>
      <c r="H2575" s="127"/>
      <c r="I2575" s="128"/>
      <c r="K2575" s="55" t="s">
        <v>5571</v>
      </c>
      <c r="L2575" s="129">
        <v>2.005721214E9</v>
      </c>
      <c r="M2575" s="99" t="str">
        <f>IFERROR(__xludf.DUMMYFUNCTION("GOOGLEFINANCE(A2575,""beta"")"),"#N/A")</f>
        <v>#N/A</v>
      </c>
    </row>
    <row r="2576">
      <c r="A2576" s="122" t="s">
        <v>5572</v>
      </c>
      <c r="B2576" s="123">
        <v>1446159.0</v>
      </c>
      <c r="C2576" s="124" t="s">
        <v>5573</v>
      </c>
      <c r="D2576" s="125"/>
      <c r="E2576" s="126">
        <v>3.08</v>
      </c>
      <c r="F2576" s="127"/>
      <c r="G2576" s="127"/>
      <c r="H2576" s="127"/>
      <c r="I2576" s="128"/>
      <c r="K2576" s="105" t="str">
        <f>IFERROR(__xludf.DUMMYFUNCTION("if(A2576="""","""",substitute(SUBSTITUTE(index(importhtml(""http://finviz.com/quote.ashx?t=""&amp;A2576,""table"",10),7,2),""*"",""""),""-"",""0.00""))"),"Loading...")</f>
        <v>Loading...</v>
      </c>
      <c r="L2576" s="129">
        <v>1.2514283E7</v>
      </c>
      <c r="M2576" s="99">
        <v>1.28</v>
      </c>
    </row>
    <row r="2577">
      <c r="A2577" s="122" t="s">
        <v>5574</v>
      </c>
      <c r="B2577" s="123">
        <v>1356093.0</v>
      </c>
      <c r="C2577" s="124" t="s">
        <v>5575</v>
      </c>
      <c r="D2577" s="125"/>
      <c r="E2577" s="126">
        <v>3.08</v>
      </c>
      <c r="F2577" s="127"/>
      <c r="G2577" s="127"/>
      <c r="H2577" s="127"/>
      <c r="I2577" s="128"/>
      <c r="K2577" s="105" t="str">
        <f>IFERROR(__xludf.DUMMYFUNCTION("if(A2577="""","""",substitute(SUBSTITUTE(index(importhtml(""http://finviz.com/quote.ashx?t=""&amp;A2577,""table"",10),7,2),""*"",""""),""-"",""0.00""))"),"Loading...")</f>
        <v>Loading...</v>
      </c>
      <c r="L2577" s="129">
        <v>3.205978E7</v>
      </c>
      <c r="M2577" s="99">
        <v>3.07</v>
      </c>
    </row>
    <row r="2578">
      <c r="A2578" s="122" t="s">
        <v>5576</v>
      </c>
      <c r="B2578" s="123">
        <v>1056285.0</v>
      </c>
      <c r="C2578" s="124" t="s">
        <v>5577</v>
      </c>
      <c r="D2578" s="125"/>
      <c r="E2578" s="126">
        <v>3.08</v>
      </c>
      <c r="F2578" s="127"/>
      <c r="G2578" s="127"/>
      <c r="H2578" s="127"/>
      <c r="I2578" s="128"/>
      <c r="K2578" s="105" t="str">
        <f>IFERROR(__xludf.DUMMYFUNCTION("if(A2578="""","""",substitute(SUBSTITUTE(index(importhtml(""http://finviz.com/quote.ashx?t=""&amp;A2578,""table"",10),7,2),""*"",""""),""-"",""0.00""))"),"Loading...")</f>
        <v>Loading...</v>
      </c>
      <c r="L2578" s="129">
        <v>3.9804902E7</v>
      </c>
      <c r="M2578" s="99">
        <v>2.28</v>
      </c>
    </row>
    <row r="2579">
      <c r="A2579" s="122" t="s">
        <v>5578</v>
      </c>
      <c r="B2579" s="123">
        <v>315131.0</v>
      </c>
      <c r="C2579" s="124" t="s">
        <v>5579</v>
      </c>
      <c r="D2579" s="125"/>
      <c r="E2579" s="126">
        <v>3.08</v>
      </c>
      <c r="F2579" s="127"/>
      <c r="G2579" s="127"/>
      <c r="H2579" s="127"/>
      <c r="I2579" s="128"/>
      <c r="K2579" s="105" t="str">
        <f>IFERROR(__xludf.DUMMYFUNCTION("if(A2579="""","""",substitute(SUBSTITUTE(index(importhtml(""http://finviz.com/quote.ashx?t=""&amp;A2579,""table"",10),7,2),""*"",""""),""-"",""0.00""))"),"Loading...")</f>
        <v>Loading...</v>
      </c>
      <c r="L2579" s="129">
        <v>1.13961075E8</v>
      </c>
      <c r="M2579" s="99">
        <v>0.58</v>
      </c>
    </row>
    <row r="2580">
      <c r="A2580" s="122" t="s">
        <v>5580</v>
      </c>
      <c r="B2580" s="123">
        <v>1651625.0</v>
      </c>
      <c r="C2580" s="124" t="s">
        <v>5581</v>
      </c>
      <c r="D2580" s="125"/>
      <c r="E2580" s="126">
        <v>3.08</v>
      </c>
      <c r="F2580" s="127"/>
      <c r="G2580" s="127"/>
      <c r="H2580" s="127"/>
      <c r="I2580" s="128"/>
      <c r="K2580" s="105" t="str">
        <f>IFERROR(__xludf.DUMMYFUNCTION("if(A2580="""","""",substitute(SUBSTITUTE(index(importhtml(""http://finviz.com/quote.ashx?t=""&amp;A2580,""table"",10),7,2),""*"",""""),""-"",""0.00""))"),"Loading...")</f>
        <v>Loading...</v>
      </c>
      <c r="L2580" s="129">
        <v>3.04147928E8</v>
      </c>
      <c r="M2580" s="99">
        <v>1.02</v>
      </c>
    </row>
    <row r="2581">
      <c r="A2581" s="122" t="s">
        <v>5582</v>
      </c>
      <c r="B2581" s="123">
        <v>1876183.0</v>
      </c>
      <c r="C2581" s="124" t="s">
        <v>5583</v>
      </c>
      <c r="D2581" s="125"/>
      <c r="E2581" s="126">
        <v>3.08</v>
      </c>
      <c r="F2581" s="127"/>
      <c r="G2581" s="127"/>
      <c r="H2581" s="127"/>
      <c r="I2581" s="128"/>
      <c r="K2581" s="105" t="str">
        <f>IFERROR(__xludf.DUMMYFUNCTION("if(A2581="""","""",substitute(SUBSTITUTE(index(importhtml(""http://finviz.com/quote.ashx?t=""&amp;A2581,""table"",10),7,2),""*"",""""),""-"",""0.00""))"),"Loading...")</f>
        <v>Loading...</v>
      </c>
      <c r="L2581" s="129">
        <v>1.029154254E9</v>
      </c>
      <c r="M2581" s="99">
        <f>IFERROR(__xludf.DUMMYFUNCTION("GOOGLEFINANCE(A2581,""beta"")"),0.86)</f>
        <v>0.86</v>
      </c>
    </row>
    <row r="2582">
      <c r="A2582" s="122" t="s">
        <v>5584</v>
      </c>
      <c r="B2582" s="123">
        <v>730255.0</v>
      </c>
      <c r="C2582" s="124" t="s">
        <v>5585</v>
      </c>
      <c r="D2582" s="125"/>
      <c r="E2582" s="126">
        <v>3.09</v>
      </c>
      <c r="F2582" s="127"/>
      <c r="G2582" s="127"/>
      <c r="H2582" s="127"/>
      <c r="I2582" s="128"/>
      <c r="K2582" s="105" t="str">
        <f>IFERROR(__xludf.DUMMYFUNCTION("if(A2582="""","""",substitute(SUBSTITUTE(index(importhtml(""http://finviz.com/quote.ashx?t=""&amp;A2582,""table"",10),7,2),""*"",""""),""-"",""0.00""))"),"Loading...")</f>
        <v>Loading...</v>
      </c>
      <c r="L2582" s="129">
        <v>1.14392167E8</v>
      </c>
      <c r="M2582" s="99">
        <v>1.92</v>
      </c>
    </row>
    <row r="2583">
      <c r="A2583" s="122" t="s">
        <v>5586</v>
      </c>
      <c r="B2583" s="123">
        <v>1418489.0</v>
      </c>
      <c r="C2583" s="124" t="s">
        <v>5587</v>
      </c>
      <c r="D2583" s="125"/>
      <c r="E2583" s="126">
        <v>3.1</v>
      </c>
      <c r="F2583" s="127"/>
      <c r="G2583" s="127"/>
      <c r="H2583" s="127"/>
      <c r="I2583" s="128"/>
      <c r="K2583" s="105" t="str">
        <f>IFERROR(__xludf.DUMMYFUNCTION("if(A2583="""","""",substitute(SUBSTITUTE(index(importhtml(""http://finviz.com/quote.ashx?t=""&amp;A2583,""table"",10),7,2),""*"",""""),""-"",""0.00""))"),"Loading...")</f>
        <v>Loading...</v>
      </c>
      <c r="L2583" s="129">
        <v>2.182841E7</v>
      </c>
      <c r="M2583" s="99">
        <v>0.44</v>
      </c>
    </row>
    <row r="2584">
      <c r="A2584" s="122" t="s">
        <v>5588</v>
      </c>
      <c r="B2584" s="123">
        <v>1836295.0</v>
      </c>
      <c r="C2584" s="124" t="s">
        <v>5589</v>
      </c>
      <c r="D2584" s="125"/>
      <c r="E2584" s="126">
        <v>3.1</v>
      </c>
      <c r="F2584" s="127"/>
      <c r="G2584" s="127"/>
      <c r="H2584" s="127"/>
      <c r="I2584" s="128"/>
      <c r="K2584" s="105" t="str">
        <f>IFERROR(__xludf.DUMMYFUNCTION("if(A2584="""","""",substitute(SUBSTITUTE(index(importhtml(""http://finviz.com/quote.ashx?t=""&amp;A2584,""table"",10),7,2),""*"",""""),""-"",""0.00""))"),"Loading...")</f>
        <v>Loading...</v>
      </c>
      <c r="L2584" s="129">
        <v>5.466998E7</v>
      </c>
      <c r="M2584" s="99">
        <f>IFERROR(__xludf.DUMMYFUNCTION("GOOGLEFINANCE(A2584,""beta"")"),-1.66)</f>
        <v>-1.66</v>
      </c>
    </row>
    <row r="2585">
      <c r="A2585" s="122" t="s">
        <v>5590</v>
      </c>
      <c r="B2585" s="123">
        <v>1550453.0</v>
      </c>
      <c r="C2585" s="124" t="s">
        <v>5591</v>
      </c>
      <c r="D2585" s="125"/>
      <c r="E2585" s="126">
        <v>3.1</v>
      </c>
      <c r="F2585" s="127"/>
      <c r="G2585" s="127"/>
      <c r="H2585" s="127"/>
      <c r="I2585" s="128"/>
      <c r="K2585" s="105" t="str">
        <f>IFERROR(__xludf.DUMMYFUNCTION("if(A2585="""","""",substitute(SUBSTITUTE(index(importhtml(""http://finviz.com/quote.ashx?t=""&amp;A2585,""table"",10),7,2),""*"",""""),""-"",""0.00""))"),"Loading...")</f>
        <v>Loading...</v>
      </c>
      <c r="L2585" s="129">
        <v>5.674216E7</v>
      </c>
      <c r="M2585" s="99" t="str">
        <f>IFERROR(__xludf.DUMMYFUNCTION("GOOGLEFINANCE(A2585,""beta"")"),"#N/A")</f>
        <v>#N/A</v>
      </c>
    </row>
    <row r="2586">
      <c r="A2586" s="122" t="s">
        <v>5592</v>
      </c>
      <c r="B2586" s="123">
        <v>1410098.0</v>
      </c>
      <c r="C2586" s="124" t="s">
        <v>5593</v>
      </c>
      <c r="D2586" s="125"/>
      <c r="E2586" s="126">
        <v>3.1</v>
      </c>
      <c r="F2586" s="127"/>
      <c r="G2586" s="127"/>
      <c r="H2586" s="127"/>
      <c r="I2586" s="128"/>
      <c r="K2586" s="105" t="str">
        <f>IFERROR(__xludf.DUMMYFUNCTION("if(A2586="""","""",substitute(SUBSTITUTE(index(importhtml(""http://finviz.com/quote.ashx?t=""&amp;A2586,""table"",10),7,2),""*"",""""),""-"",""0.00""))"),"Loading...")</f>
        <v>Loading...</v>
      </c>
      <c r="L2586" s="129">
        <v>1.69917287E8</v>
      </c>
      <c r="M2586" s="99">
        <v>1.79</v>
      </c>
    </row>
    <row r="2587">
      <c r="A2587" s="122" t="s">
        <v>5594</v>
      </c>
      <c r="B2587" s="123">
        <v>1708055.0</v>
      </c>
      <c r="C2587" s="124" t="s">
        <v>5595</v>
      </c>
      <c r="D2587" s="125"/>
      <c r="E2587" s="126">
        <v>3.1</v>
      </c>
      <c r="F2587" s="127"/>
      <c r="G2587" s="127"/>
      <c r="H2587" s="127"/>
      <c r="I2587" s="128"/>
      <c r="K2587" s="105" t="str">
        <f>IFERROR(__xludf.DUMMYFUNCTION("if(A2587="""","""",substitute(SUBSTITUTE(index(importhtml(""http://finviz.com/quote.ashx?t=""&amp;A2587,""table"",10),7,2),""*"",""""),""-"",""0.00""))"),"Loading...")</f>
        <v>Loading...</v>
      </c>
      <c r="L2587" s="129">
        <v>5.32365153E8</v>
      </c>
      <c r="M2587" s="99">
        <v>1.19</v>
      </c>
    </row>
    <row r="2588">
      <c r="A2588" s="122" t="s">
        <v>5596</v>
      </c>
      <c r="B2588" s="123">
        <v>310522.0</v>
      </c>
      <c r="C2588" s="124" t="s">
        <v>5597</v>
      </c>
      <c r="D2588" s="125"/>
      <c r="E2588" s="126">
        <v>3.1</v>
      </c>
      <c r="F2588" s="127"/>
      <c r="G2588" s="127"/>
      <c r="H2588" s="127"/>
      <c r="I2588" s="128"/>
      <c r="K2588" s="105" t="str">
        <f>IFERROR(__xludf.DUMMYFUNCTION("if(A2588="""","""",substitute(SUBSTITUTE(index(importhtml(""http://finviz.com/quote.ashx?t=""&amp;A2588,""table"",10),7,2),""*"",""""),""-"",""0.00""))"),"Loading...")</f>
        <v>Loading...</v>
      </c>
      <c r="L2588" s="129">
        <v>1.540255759E9</v>
      </c>
      <c r="M2588" s="99">
        <v>0.58</v>
      </c>
    </row>
    <row r="2589">
      <c r="A2589" s="122" t="s">
        <v>5598</v>
      </c>
      <c r="B2589" s="123">
        <v>1160330.0</v>
      </c>
      <c r="C2589" s="124" t="s">
        <v>5599</v>
      </c>
      <c r="D2589" s="125"/>
      <c r="E2589" s="126">
        <v>3.11</v>
      </c>
      <c r="F2589" s="127"/>
      <c r="G2589" s="127"/>
      <c r="H2589" s="127"/>
      <c r="I2589" s="128"/>
      <c r="K2589" s="55" t="s">
        <v>5600</v>
      </c>
      <c r="L2589" s="129">
        <v>1.5461617772E11</v>
      </c>
      <c r="M2589" s="99">
        <v>1.01</v>
      </c>
    </row>
    <row r="2590">
      <c r="A2590" s="122" t="s">
        <v>5601</v>
      </c>
      <c r="B2590" s="123">
        <v>1847462.0</v>
      </c>
      <c r="C2590" s="124" t="s">
        <v>5602</v>
      </c>
      <c r="D2590" s="125"/>
      <c r="E2590" s="126">
        <v>3.11</v>
      </c>
      <c r="F2590" s="127"/>
      <c r="G2590" s="127"/>
      <c r="H2590" s="127"/>
      <c r="I2590" s="128"/>
      <c r="K2590" s="105" t="str">
        <f>IFERROR(__xludf.DUMMYFUNCTION("if(A2590="""","""",substitute(SUBSTITUTE(index(importhtml(""http://finviz.com/quote.ashx?t=""&amp;A2590,""table"",10),7,2),""*"",""""),""-"",""0.00""))"),"Loading...")</f>
        <v>Loading...</v>
      </c>
      <c r="L2590" s="129">
        <v>2.69919559E8</v>
      </c>
      <c r="M2590" s="99">
        <v>2.08</v>
      </c>
    </row>
    <row r="2591">
      <c r="A2591" s="122" t="s">
        <v>5603</v>
      </c>
      <c r="B2591" s="123">
        <v>1696558.0</v>
      </c>
      <c r="C2591" s="124" t="s">
        <v>5604</v>
      </c>
      <c r="D2591" s="125"/>
      <c r="E2591" s="126">
        <v>3.12</v>
      </c>
      <c r="F2591" s="127"/>
      <c r="G2591" s="127"/>
      <c r="H2591" s="127"/>
      <c r="I2591" s="128"/>
      <c r="K2591" s="105" t="str">
        <f>IFERROR(__xludf.DUMMYFUNCTION("if(A2591="""","""",substitute(SUBSTITUTE(index(importhtml(""http://finviz.com/quote.ashx?t=""&amp;A2591,""table"",10),7,2),""*"",""""),""-"",""0.00""))"),"Loading...")</f>
        <v>Loading...</v>
      </c>
      <c r="L2591" s="129">
        <v>3.8358651E7</v>
      </c>
      <c r="M2591" s="99">
        <v>0.85</v>
      </c>
    </row>
    <row r="2592">
      <c r="A2592" s="122" t="s">
        <v>5605</v>
      </c>
      <c r="B2592" s="123">
        <v>1697851.0</v>
      </c>
      <c r="C2592" s="124" t="s">
        <v>5606</v>
      </c>
      <c r="D2592" s="125"/>
      <c r="E2592" s="126">
        <v>3.12</v>
      </c>
      <c r="F2592" s="127"/>
      <c r="G2592" s="127"/>
      <c r="H2592" s="127"/>
      <c r="I2592" s="128"/>
      <c r="K2592" s="105" t="str">
        <f>IFERROR(__xludf.DUMMYFUNCTION("if(A2592="""","""",substitute(SUBSTITUTE(index(importhtml(""http://finviz.com/quote.ashx?t=""&amp;A2592,""table"",10),7,2),""*"",""""),""-"",""0.00""))"),"Loading...")</f>
        <v>Loading...</v>
      </c>
      <c r="L2592" s="129">
        <v>2.2459238E8</v>
      </c>
      <c r="M2592" s="99">
        <v>2.23</v>
      </c>
    </row>
    <row r="2593">
      <c r="A2593" s="122" t="s">
        <v>5607</v>
      </c>
      <c r="B2593" s="123">
        <v>1720424.0</v>
      </c>
      <c r="C2593" s="124" t="s">
        <v>5608</v>
      </c>
      <c r="D2593" s="125"/>
      <c r="E2593" s="126">
        <v>3.12</v>
      </c>
      <c r="F2593" s="127"/>
      <c r="G2593" s="127"/>
      <c r="H2593" s="127"/>
      <c r="I2593" s="128"/>
      <c r="K2593" s="105" t="str">
        <f>IFERROR(__xludf.DUMMYFUNCTION("if(A2593="""","""",substitute(SUBSTITUTE(index(importhtml(""http://finviz.com/quote.ashx?t=""&amp;A2593,""table"",10),7,2),""*"",""""),""-"",""0.00""))"),"Loading...")</f>
        <v>Loading...</v>
      </c>
      <c r="L2593" s="129">
        <v>3.9503908E8</v>
      </c>
      <c r="M2593" s="99">
        <v>3.61</v>
      </c>
    </row>
    <row r="2594">
      <c r="A2594" s="122" t="s">
        <v>5609</v>
      </c>
      <c r="B2594" s="123">
        <v>912892.0</v>
      </c>
      <c r="C2594" s="124" t="s">
        <v>5610</v>
      </c>
      <c r="D2594" s="125"/>
      <c r="E2594" s="126">
        <v>3.13</v>
      </c>
      <c r="F2594" s="127"/>
      <c r="G2594" s="127"/>
      <c r="H2594" s="127"/>
      <c r="I2594" s="128"/>
      <c r="K2594" s="55" t="s">
        <v>5611</v>
      </c>
      <c r="L2594" s="129">
        <v>1.760013149E9</v>
      </c>
      <c r="M2594" s="99">
        <v>1.77</v>
      </c>
    </row>
    <row r="2595">
      <c r="A2595" s="122" t="s">
        <v>5612</v>
      </c>
      <c r="B2595" s="123">
        <v>1537561.0</v>
      </c>
      <c r="C2595" s="124" t="s">
        <v>5613</v>
      </c>
      <c r="D2595" s="125"/>
      <c r="E2595" s="126">
        <v>3.13</v>
      </c>
      <c r="F2595" s="127"/>
      <c r="G2595" s="127"/>
      <c r="H2595" s="127"/>
      <c r="I2595" s="128"/>
      <c r="K2595" s="105" t="str">
        <f>IFERROR(__xludf.DUMMYFUNCTION("if(A2595="""","""",substitute(SUBSTITUTE(index(importhtml(""http://finviz.com/quote.ashx?t=""&amp;A2595,""table"",10),7,2),""*"",""""),""-"",""0.00""))"),"Loading...")</f>
        <v>Loading...</v>
      </c>
      <c r="L2595" s="129">
        <v>9685378.0</v>
      </c>
      <c r="M2595" s="99">
        <v>3.7</v>
      </c>
    </row>
    <row r="2596">
      <c r="A2596" s="122" t="s">
        <v>5614</v>
      </c>
      <c r="B2596" s="123">
        <v>1084554.0</v>
      </c>
      <c r="C2596" s="124" t="s">
        <v>5615</v>
      </c>
      <c r="D2596" s="125"/>
      <c r="E2596" s="126">
        <v>3.13</v>
      </c>
      <c r="F2596" s="127"/>
      <c r="G2596" s="127"/>
      <c r="H2596" s="127"/>
      <c r="I2596" s="128"/>
      <c r="K2596" s="105" t="str">
        <f>IFERROR(__xludf.DUMMYFUNCTION("if(A2596="""","""",substitute(SUBSTITUTE(index(importhtml(""http://finviz.com/quote.ashx?t=""&amp;A2596,""table"",10),7,2),""*"",""""),""-"",""0.00""))"),"Loading...")</f>
        <v>Loading...</v>
      </c>
      <c r="L2596" s="129">
        <v>4.0573471E7</v>
      </c>
      <c r="M2596" s="99">
        <v>2.58</v>
      </c>
    </row>
    <row r="2597">
      <c r="A2597" s="122" t="s">
        <v>5616</v>
      </c>
      <c r="B2597" s="123">
        <v>707605.0</v>
      </c>
      <c r="C2597" s="124" t="s">
        <v>5617</v>
      </c>
      <c r="D2597" s="125"/>
      <c r="E2597" s="126">
        <v>3.13</v>
      </c>
      <c r="F2597" s="127"/>
      <c r="G2597" s="127"/>
      <c r="H2597" s="127"/>
      <c r="I2597" s="128"/>
      <c r="K2597" s="105" t="str">
        <f>IFERROR(__xludf.DUMMYFUNCTION("if(A2597="""","""",substitute(SUBSTITUTE(index(importhtml(""http://finviz.com/quote.ashx?t=""&amp;A2597,""table"",10),7,2),""*"",""""),""-"",""0.00""))"),"Loading...")</f>
        <v>Loading...</v>
      </c>
      <c r="L2597" s="129">
        <v>5.3670957E7</v>
      </c>
      <c r="M2597" s="99">
        <v>0.72</v>
      </c>
    </row>
    <row r="2598">
      <c r="A2598" s="122" t="s">
        <v>5618</v>
      </c>
      <c r="B2598" s="123">
        <v>1618500.0</v>
      </c>
      <c r="C2598" s="124" t="s">
        <v>5619</v>
      </c>
      <c r="D2598" s="125"/>
      <c r="E2598" s="126">
        <v>3.13</v>
      </c>
      <c r="F2598" s="127"/>
      <c r="G2598" s="127"/>
      <c r="H2598" s="127"/>
      <c r="I2598" s="128"/>
      <c r="K2598" s="105" t="str">
        <f>IFERROR(__xludf.DUMMYFUNCTION("if(A2598="""","""",substitute(SUBSTITUTE(index(importhtml(""http://finviz.com/quote.ashx?t=""&amp;A2598,""table"",10),7,2),""*"",""""),""-"",""0.00""))"),"Loading...")</f>
        <v>Loading...</v>
      </c>
      <c r="L2598" s="129">
        <v>5.6088037E7</v>
      </c>
      <c r="M2598" s="99">
        <v>1.38</v>
      </c>
    </row>
    <row r="2599">
      <c r="A2599" s="122" t="s">
        <v>5620</v>
      </c>
      <c r="B2599" s="123">
        <v>1620463.0</v>
      </c>
      <c r="C2599" s="124" t="s">
        <v>5621</v>
      </c>
      <c r="D2599" s="125"/>
      <c r="E2599" s="126">
        <v>3.13</v>
      </c>
      <c r="F2599" s="127"/>
      <c r="G2599" s="127"/>
      <c r="H2599" s="127"/>
      <c r="I2599" s="128"/>
      <c r="K2599" s="105" t="str">
        <f>IFERROR(__xludf.DUMMYFUNCTION("if(A2599="""","""",substitute(SUBSTITUTE(index(importhtml(""http://finviz.com/quote.ashx?t=""&amp;A2599,""table"",10),7,2),""*"",""""),""-"",""0.00""))"),"Loading...")</f>
        <v>Loading...</v>
      </c>
      <c r="L2599" s="129">
        <v>1.19110839E8</v>
      </c>
      <c r="M2599" s="99">
        <v>2.79</v>
      </c>
    </row>
    <row r="2600">
      <c r="A2600" s="122" t="s">
        <v>5622</v>
      </c>
      <c r="B2600" s="123">
        <v>1662244.0</v>
      </c>
      <c r="C2600" s="124" t="s">
        <v>5623</v>
      </c>
      <c r="D2600" s="125"/>
      <c r="E2600" s="126">
        <v>3.14</v>
      </c>
      <c r="F2600" s="127"/>
      <c r="G2600" s="127"/>
      <c r="H2600" s="127"/>
      <c r="I2600" s="128"/>
      <c r="K2600" s="55" t="s">
        <v>1034</v>
      </c>
      <c r="L2600" s="129">
        <v>1.13033943E8</v>
      </c>
      <c r="M2600" s="99" t="str">
        <f>IFERROR(__xludf.DUMMYFUNCTION("GOOGLEFINANCE(A2600,""beta"")"),"#N/A")</f>
        <v>#N/A</v>
      </c>
    </row>
    <row r="2601">
      <c r="A2601" s="122" t="s">
        <v>5624</v>
      </c>
      <c r="B2601" s="123">
        <v>1341335.0</v>
      </c>
      <c r="C2601" s="124" t="s">
        <v>5625</v>
      </c>
      <c r="D2601" s="125"/>
      <c r="E2601" s="126">
        <v>3.15</v>
      </c>
      <c r="F2601" s="127"/>
      <c r="G2601" s="127"/>
      <c r="H2601" s="127"/>
      <c r="I2601" s="128"/>
      <c r="K2601" s="55" t="s">
        <v>1034</v>
      </c>
      <c r="L2601" s="129">
        <v>1.299930929E9</v>
      </c>
      <c r="M2601" s="99">
        <v>1.62</v>
      </c>
    </row>
    <row r="2602">
      <c r="A2602" s="122" t="s">
        <v>5626</v>
      </c>
      <c r="B2602" s="123">
        <v>1828108.0</v>
      </c>
      <c r="C2602" s="124" t="s">
        <v>5627</v>
      </c>
      <c r="D2602" s="125"/>
      <c r="E2602" s="126">
        <v>3.15</v>
      </c>
      <c r="F2602" s="127"/>
      <c r="G2602" s="127"/>
      <c r="H2602" s="127"/>
      <c r="I2602" s="128"/>
      <c r="K2602" s="55" t="s">
        <v>1034</v>
      </c>
      <c r="L2602" s="129">
        <v>4.787332344E9</v>
      </c>
      <c r="M2602" s="99">
        <f>IFERROR(__xludf.DUMMYFUNCTION("GOOGLEFINANCE(A2602,""beta"")"),2.44)</f>
        <v>2.44</v>
      </c>
    </row>
    <row r="2603">
      <c r="A2603" s="122" t="s">
        <v>5628</v>
      </c>
      <c r="B2603" s="123">
        <v>1811216.0</v>
      </c>
      <c r="C2603" s="124" t="s">
        <v>5629</v>
      </c>
      <c r="D2603" s="125"/>
      <c r="E2603" s="126">
        <v>3.15</v>
      </c>
      <c r="F2603" s="127"/>
      <c r="G2603" s="127"/>
      <c r="H2603" s="127"/>
      <c r="I2603" s="128"/>
      <c r="K2603" s="105" t="str">
        <f>IFERROR(__xludf.DUMMYFUNCTION("if(A2603="""","""",substitute(SUBSTITUTE(index(importhtml(""http://finviz.com/quote.ashx?t=""&amp;A2603,""table"",10),7,2),""*"",""""),""-"",""0.00""))"),"Loading...")</f>
        <v>Loading...</v>
      </c>
      <c r="L2603" s="129">
        <v>4833631.0</v>
      </c>
      <c r="M2603" s="99">
        <f>IFERROR(__xludf.DUMMYFUNCTION("GOOGLEFINANCE(A2603,""beta"")"),1.54)</f>
        <v>1.54</v>
      </c>
    </row>
    <row r="2604">
      <c r="A2604" s="122" t="s">
        <v>5630</v>
      </c>
      <c r="B2604" s="123">
        <v>806517.0</v>
      </c>
      <c r="C2604" s="124" t="s">
        <v>5631</v>
      </c>
      <c r="D2604" s="125"/>
      <c r="E2604" s="126">
        <v>3.15</v>
      </c>
      <c r="F2604" s="127"/>
      <c r="G2604" s="127"/>
      <c r="H2604" s="127"/>
      <c r="I2604" s="128"/>
      <c r="K2604" s="105" t="str">
        <f>IFERROR(__xludf.DUMMYFUNCTION("if(A2604="""","""",substitute(SUBSTITUTE(index(importhtml(""http://finviz.com/quote.ashx?t=""&amp;A2604,""table"",10),7,2),""*"",""""),""-"",""0.00""))"),"Loading...")</f>
        <v>Loading...</v>
      </c>
      <c r="L2604" s="129">
        <v>1.8275544E7</v>
      </c>
      <c r="M2604" s="99">
        <v>0.66</v>
      </c>
    </row>
    <row r="2605">
      <c r="A2605" s="122" t="s">
        <v>5632</v>
      </c>
      <c r="B2605" s="123">
        <v>1072725.0</v>
      </c>
      <c r="C2605" s="124" t="s">
        <v>5633</v>
      </c>
      <c r="D2605" s="125"/>
      <c r="E2605" s="126">
        <v>3.15</v>
      </c>
      <c r="F2605" s="127"/>
      <c r="G2605" s="127"/>
      <c r="H2605" s="127"/>
      <c r="I2605" s="128"/>
      <c r="K2605" s="105" t="str">
        <f>IFERROR(__xludf.DUMMYFUNCTION("if(A2605="""","""",substitute(SUBSTITUTE(index(importhtml(""http://finviz.com/quote.ashx?t=""&amp;A2605,""table"",10),7,2),""*"",""""),""-"",""0.00""))"),"Loading...")</f>
        <v>Loading...</v>
      </c>
      <c r="L2605" s="129">
        <v>4.31041533E8</v>
      </c>
      <c r="M2605" s="99">
        <v>0.67</v>
      </c>
    </row>
    <row r="2606">
      <c r="A2606" s="122" t="s">
        <v>5634</v>
      </c>
      <c r="B2606" s="123">
        <v>1822966.0</v>
      </c>
      <c r="C2606" s="124" t="s">
        <v>5635</v>
      </c>
      <c r="D2606" s="125"/>
      <c r="E2606" s="126">
        <v>3.15</v>
      </c>
      <c r="F2606" s="127"/>
      <c r="G2606" s="127"/>
      <c r="H2606" s="127"/>
      <c r="I2606" s="128"/>
      <c r="K2606" s="105" t="str">
        <f>IFERROR(__xludf.DUMMYFUNCTION("if(A2606="""","""",substitute(SUBSTITUTE(index(importhtml(""http://finviz.com/quote.ashx?t=""&amp;A2606,""table"",10),7,2),""*"",""""),""-"",""0.00""))"),"Loading...")</f>
        <v>Loading...</v>
      </c>
      <c r="L2606" s="129">
        <v>7.28695822E8</v>
      </c>
      <c r="M2606" s="99">
        <v>0.87</v>
      </c>
    </row>
    <row r="2607">
      <c r="A2607" s="122" t="s">
        <v>5636</v>
      </c>
      <c r="B2607" s="123">
        <v>1878057.0</v>
      </c>
      <c r="C2607" s="124" t="s">
        <v>5637</v>
      </c>
      <c r="D2607" s="125"/>
      <c r="E2607" s="126">
        <v>3.15</v>
      </c>
      <c r="F2607" s="127"/>
      <c r="G2607" s="127"/>
      <c r="H2607" s="127"/>
      <c r="I2607" s="128"/>
      <c r="K2607" s="105" t="str">
        <f>IFERROR(__xludf.DUMMYFUNCTION("if(A2607="""","""",substitute(SUBSTITUTE(index(importhtml(""http://finviz.com/quote.ashx?t=""&amp;A2607,""table"",10),7,2),""*"",""""),""-"",""0.00""))"),"Loading...")</f>
        <v>Loading...</v>
      </c>
      <c r="L2607" s="129">
        <v>1.570311272E9</v>
      </c>
      <c r="M2607" s="99">
        <v>0.64</v>
      </c>
    </row>
    <row r="2608">
      <c r="A2608" s="122" t="s">
        <v>5638</v>
      </c>
      <c r="B2608" s="123">
        <v>90168.0</v>
      </c>
      <c r="C2608" s="124" t="s">
        <v>5639</v>
      </c>
      <c r="D2608" s="125"/>
      <c r="E2608" s="126">
        <v>3.16</v>
      </c>
      <c r="F2608" s="127"/>
      <c r="G2608" s="127"/>
      <c r="H2608" s="127"/>
      <c r="I2608" s="128"/>
      <c r="K2608" s="105" t="str">
        <f>IFERROR(__xludf.DUMMYFUNCTION("if(A2608="""","""",substitute(SUBSTITUTE(index(importhtml(""http://finviz.com/quote.ashx?t=""&amp;A2608,""table"",10),7,2),""*"",""""),""-"",""0.00""))"),"Loading...")</f>
        <v>Loading...</v>
      </c>
      <c r="L2608" s="129">
        <v>1.9268049E7</v>
      </c>
      <c r="M2608" s="99">
        <v>1.21</v>
      </c>
    </row>
    <row r="2609">
      <c r="A2609" s="122" t="s">
        <v>5640</v>
      </c>
      <c r="B2609" s="123">
        <v>1494891.0</v>
      </c>
      <c r="C2609" s="124" t="s">
        <v>5641</v>
      </c>
      <c r="D2609" s="125"/>
      <c r="E2609" s="126">
        <v>3.16</v>
      </c>
      <c r="F2609" s="127"/>
      <c r="G2609" s="127"/>
      <c r="H2609" s="127"/>
      <c r="I2609" s="128"/>
      <c r="K2609" s="105" t="str">
        <f>IFERROR(__xludf.DUMMYFUNCTION("if(A2609="""","""",substitute(SUBSTITUTE(index(importhtml(""http://finviz.com/quote.ashx?t=""&amp;A2609,""table"",10),7,2),""*"",""""),""-"",""0.00""))"),"Loading...")</f>
        <v>Loading...</v>
      </c>
      <c r="L2609" s="129">
        <v>5.1768385E7</v>
      </c>
      <c r="M2609" s="99">
        <v>0.86</v>
      </c>
    </row>
    <row r="2610">
      <c r="A2610" s="122" t="s">
        <v>5642</v>
      </c>
      <c r="B2610" s="123">
        <v>1774170.0</v>
      </c>
      <c r="C2610" s="124" t="s">
        <v>5643</v>
      </c>
      <c r="D2610" s="125"/>
      <c r="E2610" s="126">
        <v>3.17</v>
      </c>
      <c r="F2610" s="127"/>
      <c r="G2610" s="127"/>
      <c r="H2610" s="127"/>
      <c r="I2610" s="128"/>
      <c r="K2610" s="105" t="str">
        <f>IFERROR(__xludf.DUMMYFUNCTION("if(A2610="""","""",substitute(SUBSTITUTE(index(importhtml(""http://finviz.com/quote.ashx?t=""&amp;A2610,""table"",10),7,2),""*"",""""),""-"",""0.00""))"),"Loading...")</f>
        <v>Loading...</v>
      </c>
      <c r="L2610" s="129">
        <v>1.18342875E8</v>
      </c>
      <c r="M2610" s="99">
        <v>1.67</v>
      </c>
    </row>
    <row r="2611">
      <c r="A2611" s="122" t="s">
        <v>5644</v>
      </c>
      <c r="B2611" s="123">
        <v>33992.0</v>
      </c>
      <c r="C2611" s="124" t="s">
        <v>5645</v>
      </c>
      <c r="D2611" s="125"/>
      <c r="E2611" s="126">
        <v>3.18</v>
      </c>
      <c r="F2611" s="127"/>
      <c r="G2611" s="127"/>
      <c r="H2611" s="127"/>
      <c r="I2611" s="128"/>
      <c r="K2611" s="105" t="str">
        <f>IFERROR(__xludf.DUMMYFUNCTION("if(A2611="""","""",substitute(SUBSTITUTE(index(importhtml(""http://finviz.com/quote.ashx?t=""&amp;A2611,""table"",10),7,2),""*"",""""),""-"",""0.00""))"),"Loading...")</f>
        <v>Loading...</v>
      </c>
      <c r="L2611" s="129">
        <v>3.421467E7</v>
      </c>
      <c r="M2611" s="99">
        <v>0.53</v>
      </c>
    </row>
    <row r="2612">
      <c r="A2612" s="122" t="s">
        <v>5646</v>
      </c>
      <c r="B2612" s="123">
        <v>1790625.0</v>
      </c>
      <c r="C2612" s="124" t="s">
        <v>5647</v>
      </c>
      <c r="D2612" s="125"/>
      <c r="E2612" s="126">
        <v>3.18</v>
      </c>
      <c r="F2612" s="127"/>
      <c r="G2612" s="127"/>
      <c r="H2612" s="127"/>
      <c r="I2612" s="128"/>
      <c r="K2612" s="105" t="str">
        <f>IFERROR(__xludf.DUMMYFUNCTION("if(A2612="""","""",substitute(SUBSTITUTE(index(importhtml(""http://finviz.com/quote.ashx?t=""&amp;A2612,""table"",10),7,2),""*"",""""),""-"",""0.00""))"),"Loading...")</f>
        <v>Loading...</v>
      </c>
      <c r="L2612" s="129">
        <v>7.3798611E7</v>
      </c>
      <c r="M2612" s="99" t="str">
        <f>IFERROR(__xludf.DUMMYFUNCTION("GOOGLEFINANCE(A2612,""beta"")"),"#N/A")</f>
        <v>#N/A</v>
      </c>
    </row>
    <row r="2613">
      <c r="A2613" s="122" t="s">
        <v>5648</v>
      </c>
      <c r="B2613" s="123">
        <v>1341235.0</v>
      </c>
      <c r="C2613" s="124" t="s">
        <v>5649</v>
      </c>
      <c r="D2613" s="125"/>
      <c r="E2613" s="126">
        <v>3.18</v>
      </c>
      <c r="F2613" s="127"/>
      <c r="G2613" s="127"/>
      <c r="H2613" s="127"/>
      <c r="I2613" s="128"/>
      <c r="K2613" s="105" t="str">
        <f>IFERROR(__xludf.DUMMYFUNCTION("if(A2613="""","""",substitute(SUBSTITUTE(index(importhtml(""http://finviz.com/quote.ashx?t=""&amp;A2613,""table"",10),7,2),""*"",""""),""-"",""0.00""))"),"Loading...")</f>
        <v>Loading...</v>
      </c>
      <c r="L2613" s="129">
        <v>1.87054154E8</v>
      </c>
      <c r="M2613" s="99">
        <v>1.5</v>
      </c>
    </row>
    <row r="2614">
      <c r="A2614" s="122" t="s">
        <v>5650</v>
      </c>
      <c r="B2614" s="123">
        <v>1419554.0</v>
      </c>
      <c r="C2614" s="124" t="s">
        <v>5651</v>
      </c>
      <c r="D2614" s="125"/>
      <c r="E2614" s="126">
        <v>3.19</v>
      </c>
      <c r="F2614" s="127"/>
      <c r="G2614" s="127"/>
      <c r="H2614" s="127"/>
      <c r="I2614" s="128"/>
      <c r="K2614" s="105" t="str">
        <f>IFERROR(__xludf.DUMMYFUNCTION("if(A2614="""","""",substitute(SUBSTITUTE(index(importhtml(""http://finviz.com/quote.ashx?t=""&amp;A2614,""table"",10),7,2),""*"",""""),""-"",""0.00""))"),"Loading...")</f>
        <v>Loading...</v>
      </c>
      <c r="L2614" s="129">
        <v>1704042.0</v>
      </c>
      <c r="M2614" s="99">
        <v>0.81</v>
      </c>
    </row>
    <row r="2615">
      <c r="A2615" s="122" t="s">
        <v>5652</v>
      </c>
      <c r="B2615" s="123">
        <v>1565228.0</v>
      </c>
      <c r="C2615" s="124" t="s">
        <v>5653</v>
      </c>
      <c r="D2615" s="125"/>
      <c r="E2615" s="126">
        <v>3.19</v>
      </c>
      <c r="F2615" s="127"/>
      <c r="G2615" s="127"/>
      <c r="H2615" s="127"/>
      <c r="I2615" s="128"/>
      <c r="K2615" s="105" t="str">
        <f>IFERROR(__xludf.DUMMYFUNCTION("if(A2615="""","""",substitute(SUBSTITUTE(index(importhtml(""http://finviz.com/quote.ashx?t=""&amp;A2615,""table"",10),7,2),""*"",""""),""-"",""0.00""))"),"Loading...")</f>
        <v>Loading...</v>
      </c>
      <c r="L2615" s="129">
        <v>7608150.0</v>
      </c>
      <c r="M2615" s="99">
        <v>1.42</v>
      </c>
    </row>
    <row r="2616">
      <c r="A2616" s="122" t="s">
        <v>5654</v>
      </c>
      <c r="B2616" s="123">
        <v>942126.0</v>
      </c>
      <c r="C2616" s="124" t="s">
        <v>5655</v>
      </c>
      <c r="D2616" s="125"/>
      <c r="E2616" s="126">
        <v>3.19</v>
      </c>
      <c r="F2616" s="127"/>
      <c r="G2616" s="127"/>
      <c r="H2616" s="127"/>
      <c r="I2616" s="128"/>
      <c r="K2616" s="105" t="str">
        <f>IFERROR(__xludf.DUMMYFUNCTION("if(A2616="""","""",substitute(SUBSTITUTE(index(importhtml(""http://finviz.com/quote.ashx?t=""&amp;A2616,""table"",10),7,2),""*"",""""),""-"",""0.00""))"),"Loading...")</f>
        <v>Loading...</v>
      </c>
      <c r="L2616" s="129">
        <v>1.9207564E7</v>
      </c>
      <c r="M2616" s="99">
        <v>0.88</v>
      </c>
    </row>
    <row r="2617">
      <c r="A2617" s="122" t="s">
        <v>5656</v>
      </c>
      <c r="B2617" s="123">
        <v>811922.0</v>
      </c>
      <c r="C2617" s="124" t="s">
        <v>5657</v>
      </c>
      <c r="D2617" s="125"/>
      <c r="E2617" s="126">
        <v>3.2</v>
      </c>
      <c r="F2617" s="127"/>
      <c r="G2617" s="127"/>
      <c r="H2617" s="127"/>
      <c r="I2617" s="128"/>
      <c r="K2617" s="105" t="str">
        <f>IFERROR(__xludf.DUMMYFUNCTION("if(A2617="""","""",substitute(SUBSTITUTE(index(importhtml(""http://finviz.com/quote.ashx?t=""&amp;A2617,""table"",10),7,2),""*"",""""),""-"",""0.00""))"),"#REF!")</f>
        <v>#REF!</v>
      </c>
      <c r="L2617" s="129">
        <v>1.04308385E8</v>
      </c>
      <c r="M2617" s="99">
        <v>0.27</v>
      </c>
    </row>
    <row r="2618">
      <c r="A2618" s="122" t="s">
        <v>5658</v>
      </c>
      <c r="B2618" s="123">
        <v>1819404.0</v>
      </c>
      <c r="C2618" s="124" t="s">
        <v>5659</v>
      </c>
      <c r="D2618" s="125"/>
      <c r="E2618" s="126">
        <v>3.2</v>
      </c>
      <c r="F2618" s="127"/>
      <c r="G2618" s="127"/>
      <c r="H2618" s="127"/>
      <c r="I2618" s="128"/>
      <c r="K2618" s="105" t="str">
        <f>IFERROR(__xludf.DUMMYFUNCTION("if(A2618="""","""",substitute(SUBSTITUTE(index(importhtml(""http://finviz.com/quote.ashx?t=""&amp;A2618,""table"",10),7,2),""*"",""""),""-"",""0.00""))"),"Loading...")</f>
        <v>Loading...</v>
      </c>
      <c r="L2618" s="129">
        <v>5.49259848E8</v>
      </c>
      <c r="M2618" s="99">
        <v>1.98</v>
      </c>
    </row>
    <row r="2619">
      <c r="A2619" s="122" t="s">
        <v>5660</v>
      </c>
      <c r="B2619" s="123">
        <v>1435064.0</v>
      </c>
      <c r="C2619" s="124" t="s">
        <v>5661</v>
      </c>
      <c r="D2619" s="125"/>
      <c r="E2619" s="126">
        <v>3.21</v>
      </c>
      <c r="F2619" s="127"/>
      <c r="G2619" s="127"/>
      <c r="H2619" s="127"/>
      <c r="I2619" s="128"/>
      <c r="K2619" s="105" t="str">
        <f>IFERROR(__xludf.DUMMYFUNCTION("if(A2619="""","""",substitute(SUBSTITUTE(index(importhtml(""http://finviz.com/quote.ashx?t=""&amp;A2619,""table"",10),7,2),""*"",""""),""-"",""0.00""))"),"Loading...")</f>
        <v>Loading...</v>
      </c>
      <c r="L2619" s="129">
        <v>3388591.0</v>
      </c>
      <c r="M2619" s="99">
        <v>2.11</v>
      </c>
    </row>
    <row r="2620">
      <c r="A2620" s="122" t="s">
        <v>5662</v>
      </c>
      <c r="B2620" s="123">
        <v>1885408.0</v>
      </c>
      <c r="C2620" s="124" t="s">
        <v>5663</v>
      </c>
      <c r="D2620" s="125"/>
      <c r="E2620" s="126">
        <v>3.21</v>
      </c>
      <c r="F2620" s="127"/>
      <c r="G2620" s="127"/>
      <c r="H2620" s="127"/>
      <c r="I2620" s="128"/>
      <c r="K2620" s="105" t="str">
        <f>IFERROR(__xludf.DUMMYFUNCTION("if(A2620="""","""",substitute(SUBSTITUTE(index(importhtml(""http://finviz.com/quote.ashx?t=""&amp;A2620,""table"",10),7,2),""*"",""""),""-"",""0.00""))"),"Loading...")</f>
        <v>Loading...</v>
      </c>
      <c r="L2620" s="129">
        <v>3816064.0</v>
      </c>
      <c r="M2620" s="99">
        <f>IFERROR(__xludf.DUMMYFUNCTION("GOOGLEFINANCE(A2620,""beta"")"),1.1)</f>
        <v>1.1</v>
      </c>
    </row>
    <row r="2621">
      <c r="A2621" s="122" t="s">
        <v>5664</v>
      </c>
      <c r="B2621" s="123">
        <v>351998.0</v>
      </c>
      <c r="C2621" s="124" t="s">
        <v>5665</v>
      </c>
      <c r="D2621" s="125"/>
      <c r="E2621" s="126">
        <v>3.21</v>
      </c>
      <c r="F2621" s="127"/>
      <c r="G2621" s="127"/>
      <c r="H2621" s="127"/>
      <c r="I2621" s="128"/>
      <c r="K2621" s="105" t="str">
        <f>IFERROR(__xludf.DUMMYFUNCTION("if(A2621="""","""",substitute(SUBSTITUTE(index(importhtml(""http://finviz.com/quote.ashx?t=""&amp;A2621,""table"",10),7,2),""*"",""""),""-"",""0.00""))"),"Loading...")</f>
        <v>Loading...</v>
      </c>
      <c r="L2621" s="129">
        <v>2.8956765E7</v>
      </c>
      <c r="M2621" s="99">
        <v>0.98</v>
      </c>
    </row>
    <row r="2622">
      <c r="A2622" s="122" t="s">
        <v>5666</v>
      </c>
      <c r="B2622" s="123">
        <v>911147.0</v>
      </c>
      <c r="C2622" s="124" t="s">
        <v>5667</v>
      </c>
      <c r="D2622" s="125"/>
      <c r="E2622" s="126">
        <v>3.21</v>
      </c>
      <c r="F2622" s="127"/>
      <c r="G2622" s="127"/>
      <c r="H2622" s="127"/>
      <c r="I2622" s="128"/>
      <c r="K2622" s="105" t="str">
        <f>IFERROR(__xludf.DUMMYFUNCTION("if(A2622="""","""",substitute(SUBSTITUTE(index(importhtml(""http://finviz.com/quote.ashx?t=""&amp;A2622,""table"",10),7,2),""*"",""""),""-"",""0.00""))"),"Loading...")</f>
        <v>Loading...</v>
      </c>
      <c r="L2622" s="129">
        <v>9.7455376E7</v>
      </c>
      <c r="M2622" s="99">
        <v>2.68</v>
      </c>
    </row>
    <row r="2623">
      <c r="A2623" s="122" t="s">
        <v>5668</v>
      </c>
      <c r="B2623" s="123">
        <v>1756708.0</v>
      </c>
      <c r="C2623" s="124" t="s">
        <v>5669</v>
      </c>
      <c r="D2623" s="125"/>
      <c r="E2623" s="126">
        <v>3.21</v>
      </c>
      <c r="F2623" s="127"/>
      <c r="G2623" s="127"/>
      <c r="H2623" s="127"/>
      <c r="I2623" s="128"/>
      <c r="K2623" s="105" t="str">
        <f>IFERROR(__xludf.DUMMYFUNCTION("if(A2623="""","""",substitute(SUBSTITUTE(index(importhtml(""http://finviz.com/quote.ashx?t=""&amp;A2623,""table"",10),7,2),""*"",""""),""-"",""0.00""))"),"Loading...")</f>
        <v>Loading...</v>
      </c>
      <c r="L2623" s="129">
        <v>3.22978005E8</v>
      </c>
      <c r="M2623" s="99">
        <v>2.71</v>
      </c>
    </row>
    <row r="2624">
      <c r="A2624" s="122" t="s">
        <v>5670</v>
      </c>
      <c r="B2624" s="123">
        <v>1873875.0</v>
      </c>
      <c r="C2624" s="124" t="s">
        <v>5671</v>
      </c>
      <c r="D2624" s="125"/>
      <c r="E2624" s="126">
        <v>3.22</v>
      </c>
      <c r="F2624" s="127"/>
      <c r="G2624" s="127"/>
      <c r="H2624" s="127"/>
      <c r="I2624" s="128"/>
      <c r="K2624" s="105" t="str">
        <f>IFERROR(__xludf.DUMMYFUNCTION("if(A2624="""","""",substitute(SUBSTITUTE(index(importhtml(""http://finviz.com/quote.ashx?t=""&amp;A2624,""table"",10),7,2),""*"",""""),""-"",""0.00""))"),"Loading...")</f>
        <v>Loading...</v>
      </c>
      <c r="L2624" s="129">
        <v>5.1101754E7</v>
      </c>
      <c r="M2624" s="99" t="str">
        <f>IFERROR(__xludf.DUMMYFUNCTION("GOOGLEFINANCE(A2624,""beta"")"),"#N/A")</f>
        <v>#N/A</v>
      </c>
    </row>
    <row r="2625">
      <c r="A2625" s="122" t="s">
        <v>5672</v>
      </c>
      <c r="B2625" s="123">
        <v>310522.0</v>
      </c>
      <c r="C2625" s="124" t="s">
        <v>5673</v>
      </c>
      <c r="D2625" s="125"/>
      <c r="E2625" s="126">
        <v>3.22</v>
      </c>
      <c r="F2625" s="127"/>
      <c r="G2625" s="127"/>
      <c r="H2625" s="127"/>
      <c r="I2625" s="128"/>
      <c r="K2625" s="105" t="str">
        <f>IFERROR(__xludf.DUMMYFUNCTION("if(A2625="""","""",substitute(SUBSTITUTE(index(importhtml(""http://finviz.com/quote.ashx?t=""&amp;A2625,""table"",10),7,2),""*"",""""),""-"",""0.00""))"),"Loading...")</f>
        <v>Loading...</v>
      </c>
      <c r="L2625" s="129">
        <v>1.540255759E9</v>
      </c>
      <c r="M2625" s="99">
        <v>0.59</v>
      </c>
    </row>
    <row r="2626">
      <c r="A2626" s="122" t="s">
        <v>5674</v>
      </c>
      <c r="B2626" s="123">
        <v>1855612.0</v>
      </c>
      <c r="C2626" s="124" t="s">
        <v>5675</v>
      </c>
      <c r="D2626" s="125"/>
      <c r="E2626" s="126">
        <v>3.22</v>
      </c>
      <c r="F2626" s="127"/>
      <c r="G2626" s="127"/>
      <c r="H2626" s="127"/>
      <c r="I2626" s="128"/>
      <c r="K2626" s="105" t="str">
        <f>IFERROR(__xludf.DUMMYFUNCTION("if(A2626="""","""",substitute(SUBSTITUTE(index(importhtml(""http://finviz.com/quote.ashx?t=""&amp;A2626,""table"",10),7,2),""*"",""""),""-"",""0.00""))"),"Loading...")</f>
        <v>Loading...</v>
      </c>
      <c r="L2626" s="129">
        <v>1.2596640111E10</v>
      </c>
      <c r="M2626" s="99">
        <v>0.91</v>
      </c>
    </row>
    <row r="2627">
      <c r="A2627" s="122" t="s">
        <v>5676</v>
      </c>
      <c r="B2627" s="123">
        <v>1451448.0</v>
      </c>
      <c r="C2627" s="124" t="s">
        <v>612</v>
      </c>
      <c r="D2627" s="125"/>
      <c r="E2627" s="126">
        <v>3.23</v>
      </c>
      <c r="F2627" s="127"/>
      <c r="G2627" s="127"/>
      <c r="H2627" s="127"/>
      <c r="I2627" s="128"/>
      <c r="K2627" s="105" t="str">
        <f>IFERROR(__xludf.DUMMYFUNCTION("if(A2627="""","""",substitute(SUBSTITUTE(index(importhtml(""http://finviz.com/quote.ashx?t=""&amp;A2627,""table"",10),7,2),""*"",""""),""-"",""0.00""))"),"Loading...")</f>
        <v>Loading...</v>
      </c>
      <c r="L2627" s="129">
        <v>3439950.0</v>
      </c>
      <c r="M2627" s="99">
        <v>1.15</v>
      </c>
    </row>
    <row r="2628">
      <c r="A2628" s="122" t="s">
        <v>5677</v>
      </c>
      <c r="B2628" s="123">
        <v>740664.0</v>
      </c>
      <c r="C2628" s="124" t="s">
        <v>5678</v>
      </c>
      <c r="D2628" s="125"/>
      <c r="E2628" s="126">
        <v>3.23</v>
      </c>
      <c r="F2628" s="127"/>
      <c r="G2628" s="127"/>
      <c r="H2628" s="127"/>
      <c r="I2628" s="128"/>
      <c r="K2628" s="105" t="str">
        <f>IFERROR(__xludf.DUMMYFUNCTION("if(A2628="""","""",substitute(SUBSTITUTE(index(importhtml(""http://finviz.com/quote.ashx?t=""&amp;A2628,""table"",10),7,2),""*"",""""),""-"",""0.00""))"),"Loading...")</f>
        <v>Loading...</v>
      </c>
      <c r="L2628" s="129">
        <v>3.3356242E7</v>
      </c>
      <c r="M2628" s="99">
        <v>0.92</v>
      </c>
    </row>
    <row r="2629">
      <c r="A2629" s="122" t="s">
        <v>5679</v>
      </c>
      <c r="B2629" s="123">
        <v>1866757.0</v>
      </c>
      <c r="C2629" s="124" t="s">
        <v>5680</v>
      </c>
      <c r="D2629" s="125"/>
      <c r="E2629" s="126">
        <v>3.23</v>
      </c>
      <c r="F2629" s="127"/>
      <c r="G2629" s="127"/>
      <c r="H2629" s="127"/>
      <c r="I2629" s="128"/>
      <c r="K2629" s="105" t="str">
        <f>IFERROR(__xludf.DUMMYFUNCTION("if(A2629="""","""",substitute(SUBSTITUTE(index(importhtml(""http://finviz.com/quote.ashx?t=""&amp;A2629,""table"",10),7,2),""*"",""""),""-"",""0.00""))"),"Loading...")</f>
        <v>Loading...</v>
      </c>
      <c r="L2629" s="129">
        <v>3.13590785E8</v>
      </c>
      <c r="M2629" s="99">
        <f>IFERROR(__xludf.DUMMYFUNCTION("GOOGLEFINANCE(A2629,""beta"")"),1.39)</f>
        <v>1.39</v>
      </c>
    </row>
    <row r="2630">
      <c r="A2630" s="122" t="s">
        <v>5681</v>
      </c>
      <c r="B2630" s="123">
        <v>1307579.0</v>
      </c>
      <c r="C2630" s="124" t="s">
        <v>5682</v>
      </c>
      <c r="D2630" s="125"/>
      <c r="E2630" s="126">
        <v>3.24</v>
      </c>
      <c r="F2630" s="127"/>
      <c r="G2630" s="127"/>
      <c r="H2630" s="127"/>
      <c r="I2630" s="128"/>
      <c r="K2630" s="105" t="str">
        <f>IFERROR(__xludf.DUMMYFUNCTION("if(A2630="""","""",substitute(SUBSTITUTE(index(importhtml(""http://finviz.com/quote.ashx?t=""&amp;A2630,""table"",10),7,2),""*"",""""),""-"",""0.00""))"),"Loading...")</f>
        <v>Loading...</v>
      </c>
      <c r="L2630" s="129">
        <v>1.8556484E7</v>
      </c>
      <c r="M2630" s="99">
        <v>0.77</v>
      </c>
    </row>
    <row r="2631">
      <c r="A2631" s="122" t="s">
        <v>5683</v>
      </c>
      <c r="B2631" s="123">
        <v>830622.0</v>
      </c>
      <c r="C2631" s="124" t="s">
        <v>5684</v>
      </c>
      <c r="D2631" s="125"/>
      <c r="E2631" s="126">
        <v>3.24</v>
      </c>
      <c r="F2631" s="127"/>
      <c r="G2631" s="127"/>
      <c r="H2631" s="127"/>
      <c r="I2631" s="128"/>
      <c r="K2631" s="105" t="str">
        <f>IFERROR(__xludf.DUMMYFUNCTION("if(A2631="""","""",substitute(SUBSTITUTE(index(importhtml(""http://finviz.com/quote.ashx?t=""&amp;A2631,""table"",10),7,2),""*"",""""),""-"",""0.00""))"),"Loading...")</f>
        <v>Loading...</v>
      </c>
      <c r="L2631" s="129">
        <v>1.58422975E8</v>
      </c>
      <c r="M2631" s="99">
        <v>0.36</v>
      </c>
    </row>
    <row r="2632">
      <c r="A2632" s="122" t="s">
        <v>5685</v>
      </c>
      <c r="B2632" s="123">
        <v>1922639.0</v>
      </c>
      <c r="C2632" s="124" t="s">
        <v>5686</v>
      </c>
      <c r="D2632" s="125"/>
      <c r="E2632" s="126">
        <v>3.25</v>
      </c>
      <c r="F2632" s="127"/>
      <c r="G2632" s="127"/>
      <c r="H2632" s="127"/>
      <c r="I2632" s="128"/>
      <c r="K2632" s="105" t="str">
        <f>IFERROR(__xludf.DUMMYFUNCTION("if(A2632="""","""",substitute(SUBSTITUTE(index(importhtml(""http://finviz.com/quote.ashx?t=""&amp;A2632,""table"",10),7,2),""*"",""""),""-"",""0.00""))"),"Loading...")</f>
        <v>Loading...</v>
      </c>
      <c r="L2632" s="129">
        <v>2335171.0</v>
      </c>
      <c r="M2632" s="99">
        <v>3.08</v>
      </c>
    </row>
    <row r="2633">
      <c r="A2633" s="122" t="s">
        <v>5687</v>
      </c>
      <c r="B2633" s="123">
        <v>915358.0</v>
      </c>
      <c r="C2633" s="124" t="s">
        <v>5688</v>
      </c>
      <c r="D2633" s="125"/>
      <c r="E2633" s="126">
        <v>3.25</v>
      </c>
      <c r="F2633" s="127"/>
      <c r="G2633" s="127"/>
      <c r="H2633" s="127"/>
      <c r="I2633" s="128"/>
      <c r="K2633" s="105" t="str">
        <f>IFERROR(__xludf.DUMMYFUNCTION("if(A2633="""","""",substitute(SUBSTITUTE(index(importhtml(""http://finviz.com/quote.ashx?t=""&amp;A2633,""table"",10),7,2),""*"",""""),""-"",""0.00""))"),"Loading...")</f>
        <v>Loading...</v>
      </c>
      <c r="L2633" s="129">
        <v>1.9806432E7</v>
      </c>
      <c r="M2633" s="99">
        <v>0.93</v>
      </c>
    </row>
    <row r="2634">
      <c r="A2634" s="122" t="s">
        <v>5689</v>
      </c>
      <c r="B2634" s="123">
        <v>1346610.0</v>
      </c>
      <c r="C2634" s="124" t="s">
        <v>5690</v>
      </c>
      <c r="D2634" s="125"/>
      <c r="E2634" s="126">
        <v>3.25</v>
      </c>
      <c r="F2634" s="127"/>
      <c r="G2634" s="127"/>
      <c r="H2634" s="127"/>
      <c r="I2634" s="128"/>
      <c r="K2634" s="105" t="str">
        <f>IFERROR(__xludf.DUMMYFUNCTION("if(A2634="""","""",substitute(SUBSTITUTE(index(importhtml(""http://finviz.com/quote.ashx?t=""&amp;A2634,""table"",10),7,2),""*"",""""),""-"",""0.00""))"),"Loading...")</f>
        <v>Loading...</v>
      </c>
      <c r="L2634" s="129">
        <v>1.03683775E9</v>
      </c>
      <c r="M2634" s="99">
        <v>1.23</v>
      </c>
    </row>
    <row r="2635">
      <c r="A2635" s="122" t="s">
        <v>5691</v>
      </c>
      <c r="B2635" s="123">
        <v>1341141.0</v>
      </c>
      <c r="C2635" s="124" t="s">
        <v>5692</v>
      </c>
      <c r="D2635" s="125"/>
      <c r="E2635" s="126">
        <v>3.25</v>
      </c>
      <c r="F2635" s="127"/>
      <c r="G2635" s="127"/>
      <c r="H2635" s="127"/>
      <c r="I2635" s="128"/>
      <c r="K2635" s="105" t="str">
        <f>IFERROR(__xludf.DUMMYFUNCTION("if(A2635="""","""",substitute(SUBSTITUTE(index(importhtml(""http://finviz.com/quote.ashx?t=""&amp;A2635,""table"",10),7,2),""*"",""""),""-"",""0.00""))"),"Loading...")</f>
        <v>Loading...</v>
      </c>
      <c r="L2635" s="129">
        <v>1.239023825E9</v>
      </c>
      <c r="M2635" s="99" t="str">
        <f>IFERROR(__xludf.DUMMYFUNCTION("GOOGLEFINANCE(A2635,""beta"")"),"#N/A")</f>
        <v>#N/A</v>
      </c>
    </row>
    <row r="2636">
      <c r="A2636" s="122" t="s">
        <v>5693</v>
      </c>
      <c r="B2636" s="123">
        <v>1809196.0</v>
      </c>
      <c r="C2636" s="124" t="s">
        <v>5694</v>
      </c>
      <c r="D2636" s="125"/>
      <c r="E2636" s="126">
        <v>3.25</v>
      </c>
      <c r="F2636" s="127"/>
      <c r="G2636" s="127"/>
      <c r="H2636" s="127"/>
      <c r="I2636" s="128"/>
      <c r="K2636" s="105" t="str">
        <f>IFERROR(__xludf.DUMMYFUNCTION("if(A2636="""","""",substitute(SUBSTITUTE(index(importhtml(""http://finviz.com/quote.ashx?t=""&amp;A2636,""table"",10),7,2),""*"",""""),""-"",""0.00""))"),"Loading...")</f>
        <v>Loading...</v>
      </c>
      <c r="L2636" s="129" t="e">
        <v>#N/A</v>
      </c>
      <c r="M2636" s="99">
        <v>1.7</v>
      </c>
    </row>
    <row r="2637">
      <c r="A2637" s="122" t="s">
        <v>5695</v>
      </c>
      <c r="B2637" s="123">
        <v>1723187.0</v>
      </c>
      <c r="C2637" s="124" t="s">
        <v>5696</v>
      </c>
      <c r="D2637" s="125"/>
      <c r="E2637" s="126">
        <v>3.25</v>
      </c>
      <c r="F2637" s="127"/>
      <c r="G2637" s="127"/>
      <c r="H2637" s="127"/>
      <c r="I2637" s="128"/>
      <c r="K2637" s="105" t="str">
        <f>IFERROR(__xludf.DUMMYFUNCTION("if(A2637="""","""",substitute(SUBSTITUTE(index(importhtml(""http://finviz.com/quote.ashx?t=""&amp;A2637,""table"",10),7,2),""*"",""""),""-"",""0.00""))"),"Loading...")</f>
        <v>Loading...</v>
      </c>
      <c r="L2637" s="129" t="e">
        <v>#N/A</v>
      </c>
      <c r="M2637" s="99" t="str">
        <f>IFERROR(__xludf.DUMMYFUNCTION("GOOGLEFINANCE(A2637,""beta"")"),"#N/A")</f>
        <v>#N/A</v>
      </c>
    </row>
    <row r="2638">
      <c r="A2638" s="122" t="s">
        <v>5697</v>
      </c>
      <c r="B2638" s="123">
        <v>1875547.0</v>
      </c>
      <c r="C2638" s="124" t="s">
        <v>5698</v>
      </c>
      <c r="D2638" s="125"/>
      <c r="E2638" s="126">
        <v>3.26</v>
      </c>
      <c r="F2638" s="127"/>
      <c r="G2638" s="127"/>
      <c r="H2638" s="127"/>
      <c r="I2638" s="128"/>
      <c r="K2638" s="105" t="str">
        <f>IFERROR(__xludf.DUMMYFUNCTION("if(A2638="""","""",substitute(SUBSTITUTE(index(importhtml(""http://finviz.com/quote.ashx?t=""&amp;A2638,""table"",10),7,2),""*"",""""),""-"",""0.00""))"),"Loading...")</f>
        <v>Loading...</v>
      </c>
      <c r="L2638" s="129">
        <v>8843420.0</v>
      </c>
      <c r="M2638" s="99">
        <f>IFERROR(__xludf.DUMMYFUNCTION("GOOGLEFINANCE(A2638,""beta"")"),-17.65)</f>
        <v>-17.65</v>
      </c>
    </row>
    <row r="2639">
      <c r="A2639" s="122" t="s">
        <v>5699</v>
      </c>
      <c r="B2639" s="123">
        <v>1840616.0</v>
      </c>
      <c r="C2639" s="124" t="s">
        <v>5700</v>
      </c>
      <c r="D2639" s="125"/>
      <c r="E2639" s="126">
        <v>3.26</v>
      </c>
      <c r="F2639" s="127"/>
      <c r="G2639" s="127"/>
      <c r="H2639" s="127"/>
      <c r="I2639" s="128"/>
      <c r="K2639" s="105" t="str">
        <f>IFERROR(__xludf.DUMMYFUNCTION("if(A2639="""","""",substitute(SUBSTITUTE(index(importhtml(""http://finviz.com/quote.ashx?t=""&amp;A2639,""table"",10),7,2),""*"",""""),""-"",""0.00""))"),"Loading...")</f>
        <v>Loading...</v>
      </c>
      <c r="L2639" s="129">
        <v>8.3532227E8</v>
      </c>
      <c r="M2639" s="99">
        <v>0.93</v>
      </c>
    </row>
    <row r="2640">
      <c r="A2640" s="122" t="s">
        <v>5701</v>
      </c>
      <c r="B2640" s="123">
        <v>1635282.0</v>
      </c>
      <c r="C2640" s="124" t="s">
        <v>5702</v>
      </c>
      <c r="D2640" s="125"/>
      <c r="E2640" s="126">
        <v>3.27</v>
      </c>
      <c r="F2640" s="127"/>
      <c r="G2640" s="127"/>
      <c r="H2640" s="127"/>
      <c r="I2640" s="128"/>
      <c r="K2640" s="105" t="str">
        <f>IFERROR(__xludf.DUMMYFUNCTION("if(A2640="""","""",substitute(SUBSTITUTE(index(importhtml(""http://finviz.com/quote.ashx?t=""&amp;A2640,""table"",10),7,2),""*"",""""),""-"",""0.00""))"),"Loading...")</f>
        <v>Loading...</v>
      </c>
      <c r="L2640" s="129">
        <v>2.92301995E8</v>
      </c>
      <c r="M2640" s="99">
        <v>1.25</v>
      </c>
    </row>
    <row r="2641">
      <c r="A2641" s="122" t="s">
        <v>5703</v>
      </c>
      <c r="B2641" s="123">
        <v>1453015.0</v>
      </c>
      <c r="C2641" s="124" t="s">
        <v>5704</v>
      </c>
      <c r="D2641" s="125"/>
      <c r="E2641" s="126">
        <v>3.27</v>
      </c>
      <c r="F2641" s="127"/>
      <c r="G2641" s="127"/>
      <c r="H2641" s="127"/>
      <c r="I2641" s="128"/>
      <c r="K2641" s="105" t="str">
        <f>IFERROR(__xludf.DUMMYFUNCTION("if(A2641="""","""",substitute(SUBSTITUTE(index(importhtml(""http://finviz.com/quote.ashx?t=""&amp;A2641,""table"",10),7,2),""*"",""""),""-"",""0.00""))"),"Loading...")</f>
        <v>Loading...</v>
      </c>
      <c r="L2641" s="129">
        <v>9.7565289E8</v>
      </c>
      <c r="M2641" s="99">
        <v>1.7</v>
      </c>
    </row>
    <row r="2642">
      <c r="A2642" s="122" t="s">
        <v>5705</v>
      </c>
      <c r="B2642" s="123">
        <v>1818502.0</v>
      </c>
      <c r="C2642" s="124" t="s">
        <v>5706</v>
      </c>
      <c r="D2642" s="125"/>
      <c r="E2642" s="126">
        <v>3.28</v>
      </c>
      <c r="F2642" s="127"/>
      <c r="G2642" s="127"/>
      <c r="H2642" s="127"/>
      <c r="I2642" s="128"/>
      <c r="K2642" s="105" t="str">
        <f>IFERROR(__xludf.DUMMYFUNCTION("if(A2642="""","""",substitute(SUBSTITUTE(index(importhtml(""http://finviz.com/quote.ashx?t=""&amp;A2642,""table"",10),7,2),""*"",""""),""-"",""0.00""))"),"Loading...")</f>
        <v>Loading...</v>
      </c>
      <c r="L2642" s="129">
        <v>3.62994316E8</v>
      </c>
      <c r="M2642" s="99">
        <v>1.27</v>
      </c>
    </row>
    <row r="2643">
      <c r="A2643" s="122" t="s">
        <v>5707</v>
      </c>
      <c r="B2643" s="123">
        <v>899460.0</v>
      </c>
      <c r="C2643" s="124" t="s">
        <v>5708</v>
      </c>
      <c r="D2643" s="125"/>
      <c r="E2643" s="126">
        <v>3.28</v>
      </c>
      <c r="F2643" s="127"/>
      <c r="G2643" s="127"/>
      <c r="H2643" s="127"/>
      <c r="I2643" s="128"/>
      <c r="K2643" s="105" t="str">
        <f>IFERROR(__xludf.DUMMYFUNCTION("if(A2643="""","""",substitute(SUBSTITUTE(index(importhtml(""http://finviz.com/quote.ashx?t=""&amp;A2643,""table"",10),7,2),""*"",""""),""-"",""0.00""))"),"Loading...")</f>
        <v>Loading...</v>
      </c>
      <c r="L2643" s="129">
        <v>8.8420468E8</v>
      </c>
      <c r="M2643" s="99">
        <v>1.28</v>
      </c>
    </row>
    <row r="2644">
      <c r="A2644" s="122" t="s">
        <v>5709</v>
      </c>
      <c r="B2644" s="123">
        <v>310522.0</v>
      </c>
      <c r="C2644" s="124" t="s">
        <v>5710</v>
      </c>
      <c r="D2644" s="125"/>
      <c r="E2644" s="126">
        <v>3.28</v>
      </c>
      <c r="F2644" s="127"/>
      <c r="G2644" s="127"/>
      <c r="H2644" s="127"/>
      <c r="I2644" s="128"/>
      <c r="K2644" s="105" t="str">
        <f>IFERROR(__xludf.DUMMYFUNCTION("if(A2644="""","""",substitute(SUBSTITUTE(index(importhtml(""http://finviz.com/quote.ashx?t=""&amp;A2644,""table"",10),7,2),""*"",""""),""-"",""0.00""))"),"Loading...")</f>
        <v>Loading...</v>
      </c>
      <c r="L2644" s="129">
        <v>1.540255759E9</v>
      </c>
      <c r="M2644" s="99">
        <v>0.67</v>
      </c>
    </row>
    <row r="2645">
      <c r="A2645" s="122" t="s">
        <v>5711</v>
      </c>
      <c r="B2645" s="123">
        <v>1287865.0</v>
      </c>
      <c r="C2645" s="124" t="s">
        <v>5712</v>
      </c>
      <c r="D2645" s="125"/>
      <c r="E2645" s="126">
        <v>3.28</v>
      </c>
      <c r="F2645" s="127"/>
      <c r="G2645" s="127"/>
      <c r="H2645" s="127"/>
      <c r="I2645" s="128"/>
      <c r="K2645" s="105" t="str">
        <f>IFERROR(__xludf.DUMMYFUNCTION("if(A2645="""","""",substitute(SUBSTITUTE(index(importhtml(""http://finviz.com/quote.ashx?t=""&amp;A2645,""table"",10),7,2),""*"",""""),""-"",""0.00""))"),"Loading...")</f>
        <v>Loading...</v>
      </c>
      <c r="L2645" s="129">
        <v>1.964719982E9</v>
      </c>
      <c r="M2645" s="99">
        <v>1.11</v>
      </c>
    </row>
    <row r="2646">
      <c r="A2646" s="122" t="s">
        <v>5713</v>
      </c>
      <c r="B2646" s="123">
        <v>1871321.0</v>
      </c>
      <c r="C2646" s="124" t="s">
        <v>5714</v>
      </c>
      <c r="D2646" s="125"/>
      <c r="E2646" s="126">
        <v>3.29</v>
      </c>
      <c r="F2646" s="127"/>
      <c r="G2646" s="127"/>
      <c r="H2646" s="127"/>
      <c r="I2646" s="128"/>
      <c r="K2646" s="105" t="str">
        <f>IFERROR(__xludf.DUMMYFUNCTION("if(A2646="""","""",substitute(SUBSTITUTE(index(importhtml(""http://finviz.com/quote.ashx?t=""&amp;A2646,""table"",10),7,2),""*"",""""),""-"",""0.00""))"),"Loading...")</f>
        <v>Loading...</v>
      </c>
      <c r="L2646" s="129">
        <v>2.28556692E8</v>
      </c>
      <c r="M2646" s="99">
        <f>IFERROR(__xludf.DUMMYFUNCTION("GOOGLEFINANCE(A2646,""beta"")"),1.06)</f>
        <v>1.06</v>
      </c>
    </row>
    <row r="2647">
      <c r="A2647" s="122" t="s">
        <v>5715</v>
      </c>
      <c r="B2647" s="123">
        <v>1214935.0</v>
      </c>
      <c r="C2647" s="124" t="s">
        <v>5716</v>
      </c>
      <c r="D2647" s="125"/>
      <c r="E2647" s="126">
        <v>3.29</v>
      </c>
      <c r="F2647" s="127"/>
      <c r="G2647" s="127"/>
      <c r="H2647" s="127"/>
      <c r="I2647" s="128"/>
      <c r="K2647" s="105" t="str">
        <f>IFERROR(__xludf.DUMMYFUNCTION("if(A2647="""","""",substitute(SUBSTITUTE(index(importhtml(""http://finviz.com/quote.ashx?t=""&amp;A2647,""table"",10),7,2),""*"",""""),""-"",""0.00""))"),"Loading...")</f>
        <v>Loading...</v>
      </c>
      <c r="L2647" s="129">
        <v>2.97329041E8</v>
      </c>
      <c r="M2647" s="99">
        <v>1.22</v>
      </c>
    </row>
    <row r="2648">
      <c r="A2648" s="122" t="s">
        <v>5717</v>
      </c>
      <c r="B2648" s="123">
        <v>1576942.0</v>
      </c>
      <c r="C2648" s="124" t="s">
        <v>5718</v>
      </c>
      <c r="D2648" s="125"/>
      <c r="E2648" s="126">
        <v>3.29</v>
      </c>
      <c r="F2648" s="127"/>
      <c r="G2648" s="127"/>
      <c r="H2648" s="127"/>
      <c r="I2648" s="128"/>
      <c r="K2648" s="105" t="str">
        <f>IFERROR(__xludf.DUMMYFUNCTION("if(A2648="""","""",substitute(SUBSTITUTE(index(importhtml(""http://finviz.com/quote.ashx?t=""&amp;A2648,""table"",10),7,2),""*"",""""),""-"",""0.00""))"),"Loading...")</f>
        <v>Loading...</v>
      </c>
      <c r="L2648" s="129">
        <v>3.87861056E8</v>
      </c>
      <c r="M2648" s="99">
        <v>1.96</v>
      </c>
    </row>
    <row r="2649">
      <c r="A2649" s="122" t="s">
        <v>5719</v>
      </c>
      <c r="B2649" s="123">
        <v>809844.0</v>
      </c>
      <c r="C2649" s="124" t="s">
        <v>5720</v>
      </c>
      <c r="D2649" s="125"/>
      <c r="E2649" s="126">
        <v>3.3</v>
      </c>
      <c r="F2649" s="127"/>
      <c r="G2649" s="127"/>
      <c r="H2649" s="127"/>
      <c r="I2649" s="128"/>
      <c r="K2649" s="55" t="s">
        <v>5721</v>
      </c>
      <c r="L2649" s="129">
        <v>9.3473521E7</v>
      </c>
      <c r="M2649" s="99">
        <v>0.57</v>
      </c>
    </row>
    <row r="2650">
      <c r="A2650" s="122" t="s">
        <v>5722</v>
      </c>
      <c r="B2650" s="123">
        <v>1671502.0</v>
      </c>
      <c r="C2650" s="124" t="s">
        <v>5723</v>
      </c>
      <c r="D2650" s="125"/>
      <c r="E2650" s="126">
        <v>3.3</v>
      </c>
      <c r="F2650" s="127"/>
      <c r="G2650" s="127"/>
      <c r="H2650" s="127"/>
      <c r="I2650" s="128"/>
      <c r="K2650" s="105" t="str">
        <f>IFERROR(__xludf.DUMMYFUNCTION("if(A2650="""","""",substitute(SUBSTITUTE(index(importhtml(""http://finviz.com/quote.ashx?t=""&amp;A2650,""table"",10),7,2),""*"",""""),""-"",""0.00""))"),"Loading...")</f>
        <v>Loading...</v>
      </c>
      <c r="L2650" s="129">
        <v>3257826.0</v>
      </c>
      <c r="M2650" s="99">
        <v>1.87</v>
      </c>
    </row>
    <row r="2651">
      <c r="A2651" s="122" t="s">
        <v>5724</v>
      </c>
      <c r="B2651" s="123">
        <v>1707303.0</v>
      </c>
      <c r="C2651" s="124" t="s">
        <v>5725</v>
      </c>
      <c r="D2651" s="125"/>
      <c r="E2651" s="126">
        <v>3.3</v>
      </c>
      <c r="F2651" s="127"/>
      <c r="G2651" s="127"/>
      <c r="H2651" s="127"/>
      <c r="I2651" s="128"/>
      <c r="K2651" s="105" t="str">
        <f>IFERROR(__xludf.DUMMYFUNCTION("if(A2651="""","""",substitute(SUBSTITUTE(index(importhtml(""http://finviz.com/quote.ashx?t=""&amp;A2651,""table"",10),7,2),""*"",""""),""-"",""0.00""))"),"Loading...")</f>
        <v>Loading...</v>
      </c>
      <c r="L2651" s="129">
        <v>3.5321153E7</v>
      </c>
      <c r="M2651" s="99">
        <v>0.91</v>
      </c>
    </row>
    <row r="2652">
      <c r="A2652" s="122" t="s">
        <v>5726</v>
      </c>
      <c r="B2652" s="123">
        <v>1066719.0</v>
      </c>
      <c r="C2652" s="124" t="s">
        <v>5727</v>
      </c>
      <c r="D2652" s="125"/>
      <c r="E2652" s="126">
        <v>3.3</v>
      </c>
      <c r="F2652" s="127"/>
      <c r="G2652" s="127"/>
      <c r="H2652" s="127"/>
      <c r="I2652" s="128"/>
      <c r="K2652" s="105" t="str">
        <f>IFERROR(__xludf.DUMMYFUNCTION("if(A2652="""","""",substitute(SUBSTITUTE(index(importhtml(""http://finviz.com/quote.ashx?t=""&amp;A2652,""table"",10),7,2),""*"",""""),""-"",""0.00""))"),"Loading...")</f>
        <v>Loading...</v>
      </c>
      <c r="L2652" s="129">
        <v>3.300129E8</v>
      </c>
      <c r="M2652" s="99" t="str">
        <f>IFERROR(__xludf.DUMMYFUNCTION("GOOGLEFINANCE(A2652,""beta"")"),"#N/A")</f>
        <v>#N/A</v>
      </c>
    </row>
    <row r="2653">
      <c r="A2653" s="122" t="s">
        <v>5728</v>
      </c>
      <c r="B2653" s="123">
        <v>1818382.0</v>
      </c>
      <c r="C2653" s="124" t="s">
        <v>5729</v>
      </c>
      <c r="D2653" s="125"/>
      <c r="E2653" s="126">
        <v>3.3</v>
      </c>
      <c r="F2653" s="127"/>
      <c r="G2653" s="127"/>
      <c r="H2653" s="127"/>
      <c r="I2653" s="128"/>
      <c r="K2653" s="105" t="str">
        <f>IFERROR(__xludf.DUMMYFUNCTION("if(A2653="""","""",substitute(SUBSTITUTE(index(importhtml(""http://finviz.com/quote.ashx?t=""&amp;A2653,""table"",10),7,2),""*"",""""),""-"",""0.00""))"),"Loading...")</f>
        <v>Loading...</v>
      </c>
      <c r="L2653" s="129">
        <v>3.41798155E8</v>
      </c>
      <c r="M2653" s="99">
        <v>1.41</v>
      </c>
    </row>
    <row r="2654">
      <c r="A2654" s="122" t="s">
        <v>5730</v>
      </c>
      <c r="B2654" s="123">
        <v>1653558.0</v>
      </c>
      <c r="C2654" s="124" t="s">
        <v>5731</v>
      </c>
      <c r="D2654" s="125"/>
      <c r="E2654" s="126">
        <v>3.31</v>
      </c>
      <c r="F2654" s="127"/>
      <c r="G2654" s="127"/>
      <c r="H2654" s="127"/>
      <c r="I2654" s="128"/>
      <c r="K2654" s="105" t="str">
        <f>IFERROR(__xludf.DUMMYFUNCTION("if(A2654="""","""",substitute(SUBSTITUTE(index(importhtml(""http://finviz.com/quote.ashx?t=""&amp;A2654,""table"",10),7,2),""*"",""""),""-"",""0.00""))"),"Loading...")</f>
        <v>Loading...</v>
      </c>
      <c r="L2654" s="129">
        <v>2.53951768E8</v>
      </c>
      <c r="M2654" s="99">
        <v>0.97</v>
      </c>
    </row>
    <row r="2655">
      <c r="A2655" s="122" t="s">
        <v>5732</v>
      </c>
      <c r="B2655" s="123">
        <v>1711570.0</v>
      </c>
      <c r="C2655" s="124" t="s">
        <v>5733</v>
      </c>
      <c r="D2655" s="125"/>
      <c r="E2655" s="126">
        <v>3.31</v>
      </c>
      <c r="F2655" s="127"/>
      <c r="G2655" s="127"/>
      <c r="H2655" s="127"/>
      <c r="I2655" s="128"/>
      <c r="K2655" s="105" t="str">
        <f>IFERROR(__xludf.DUMMYFUNCTION("if(A2655="""","""",substitute(SUBSTITUTE(index(importhtml(""http://finviz.com/quote.ashx?t=""&amp;A2655,""table"",10),7,2),""*"",""""),""-"",""0.00""))"),"Loading...")</f>
        <v>Loading...</v>
      </c>
      <c r="L2655" s="129">
        <v>5.01673398E8</v>
      </c>
      <c r="M2655" s="99">
        <v>1.64</v>
      </c>
    </row>
    <row r="2656">
      <c r="A2656" s="122" t="s">
        <v>5734</v>
      </c>
      <c r="B2656" s="123">
        <v>1811210.0</v>
      </c>
      <c r="C2656" s="124" t="s">
        <v>5735</v>
      </c>
      <c r="D2656" s="125"/>
      <c r="E2656" s="126">
        <v>3.31</v>
      </c>
      <c r="F2656" s="127"/>
      <c r="G2656" s="127"/>
      <c r="H2656" s="127"/>
      <c r="I2656" s="128"/>
      <c r="K2656" s="105" t="str">
        <f>IFERROR(__xludf.DUMMYFUNCTION("if(A2656="""","""",substitute(SUBSTITUTE(index(importhtml(""http://finviz.com/quote.ashx?t=""&amp;A2656,""table"",10),7,2),""*"",""""),""-"",""0.00""))"),"Loading...")</f>
        <v>Loading...</v>
      </c>
      <c r="L2656" s="129">
        <v>7.578009858E9</v>
      </c>
      <c r="M2656" s="99">
        <v>1.07</v>
      </c>
    </row>
    <row r="2657">
      <c r="A2657" s="122" t="s">
        <v>5736</v>
      </c>
      <c r="B2657" s="123">
        <v>1605888.0</v>
      </c>
      <c r="C2657" s="124" t="s">
        <v>5737</v>
      </c>
      <c r="D2657" s="125"/>
      <c r="E2657" s="126">
        <v>3.32</v>
      </c>
      <c r="F2657" s="127"/>
      <c r="G2657" s="127"/>
      <c r="H2657" s="127"/>
      <c r="I2657" s="128"/>
      <c r="K2657" s="105" t="str">
        <f>IFERROR(__xludf.DUMMYFUNCTION("if(A2657="""","""",substitute(SUBSTITUTE(index(importhtml(""http://finviz.com/quote.ashx?t=""&amp;A2657,""table"",10),7,2),""*"",""""),""-"",""0.00""))"),"Loading...")</f>
        <v>Loading...</v>
      </c>
      <c r="L2657" s="129" t="e">
        <v>#N/A</v>
      </c>
      <c r="M2657" s="99" t="str">
        <f>IFERROR(__xludf.DUMMYFUNCTION("GOOGLEFINANCE(A2657,""beta"")"),"#N/A")</f>
        <v>#N/A</v>
      </c>
    </row>
    <row r="2658">
      <c r="A2658" s="122" t="s">
        <v>5738</v>
      </c>
      <c r="B2658" s="123">
        <v>1679268.0</v>
      </c>
      <c r="C2658" s="124" t="s">
        <v>5739</v>
      </c>
      <c r="D2658" s="125"/>
      <c r="E2658" s="126">
        <v>3.33</v>
      </c>
      <c r="F2658" s="127"/>
      <c r="G2658" s="127"/>
      <c r="H2658" s="127"/>
      <c r="I2658" s="128"/>
      <c r="K2658" s="105" t="str">
        <f>IFERROR(__xludf.DUMMYFUNCTION("if(A2658="""","""",substitute(SUBSTITUTE(index(importhtml(""http://finviz.com/quote.ashx?t=""&amp;A2658,""table"",10),7,2),""*"",""""),""-"",""0.00""))"),"Loading...")</f>
        <v>Loading...</v>
      </c>
      <c r="L2658" s="129">
        <v>1.5964569E8</v>
      </c>
      <c r="M2658" s="99">
        <v>1.67</v>
      </c>
    </row>
    <row r="2659">
      <c r="A2659" s="122" t="s">
        <v>5740</v>
      </c>
      <c r="B2659" s="123">
        <v>1661181.0</v>
      </c>
      <c r="C2659" s="124" t="s">
        <v>5741</v>
      </c>
      <c r="D2659" s="125"/>
      <c r="E2659" s="126">
        <v>3.33</v>
      </c>
      <c r="F2659" s="127"/>
      <c r="G2659" s="127"/>
      <c r="H2659" s="127"/>
      <c r="I2659" s="128"/>
      <c r="K2659" s="105" t="str">
        <f>IFERROR(__xludf.DUMMYFUNCTION("if(A2659="""","""",substitute(SUBSTITUTE(index(importhtml(""http://finviz.com/quote.ashx?t=""&amp;A2659,""table"",10),7,2),""*"",""""),""-"",""0.00""))"),"Loading...")</f>
        <v>Loading...</v>
      </c>
      <c r="L2659" s="129">
        <v>4.39696852E8</v>
      </c>
      <c r="M2659" s="99">
        <v>1.51</v>
      </c>
    </row>
    <row r="2660">
      <c r="A2660" s="122" t="s">
        <v>5742</v>
      </c>
      <c r="B2660" s="123">
        <v>1850902.0</v>
      </c>
      <c r="C2660" s="124" t="s">
        <v>5743</v>
      </c>
      <c r="D2660" s="125"/>
      <c r="E2660" s="126">
        <v>3.34</v>
      </c>
      <c r="F2660" s="127"/>
      <c r="G2660" s="127"/>
      <c r="H2660" s="127"/>
      <c r="I2660" s="128"/>
      <c r="K2660" s="105" t="str">
        <f>IFERROR(__xludf.DUMMYFUNCTION("if(A2660="""","""",substitute(SUBSTITUTE(index(importhtml(""http://finviz.com/quote.ashx?t=""&amp;A2660,""table"",10),7,2),""*"",""""),""-"",""0.00""))"),"Loading...")</f>
        <v>Loading...</v>
      </c>
      <c r="L2660" s="129">
        <v>1.17078373E8</v>
      </c>
      <c r="M2660" s="99" t="e">
        <v>#N/A</v>
      </c>
    </row>
    <row r="2661">
      <c r="A2661" s="122" t="s">
        <v>5744</v>
      </c>
      <c r="B2661" s="123">
        <v>1896084.0</v>
      </c>
      <c r="C2661" s="124" t="s">
        <v>5745</v>
      </c>
      <c r="D2661" s="125"/>
      <c r="E2661" s="126">
        <v>3.34</v>
      </c>
      <c r="F2661" s="127"/>
      <c r="G2661" s="127"/>
      <c r="H2661" s="127"/>
      <c r="I2661" s="128"/>
      <c r="K2661" s="105" t="str">
        <f>IFERROR(__xludf.DUMMYFUNCTION("if(A2661="""","""",substitute(SUBSTITUTE(index(importhtml(""http://finviz.com/quote.ashx?t=""&amp;A2661,""table"",10),7,2),""*"",""""),""-"",""0.00""))"),"Loading...")</f>
        <v>Loading...</v>
      </c>
      <c r="L2661" s="129">
        <v>2.74483549E8</v>
      </c>
      <c r="M2661" s="99">
        <f>IFERROR(__xludf.DUMMYFUNCTION("GOOGLEFINANCE(A2661,""beta"")"),0.91)</f>
        <v>0.91</v>
      </c>
    </row>
    <row r="2662">
      <c r="A2662" s="122" t="s">
        <v>5746</v>
      </c>
      <c r="B2662" s="123">
        <v>1764757.0</v>
      </c>
      <c r="C2662" s="124" t="s">
        <v>5747</v>
      </c>
      <c r="D2662" s="125"/>
      <c r="E2662" s="126">
        <v>3.34</v>
      </c>
      <c r="F2662" s="127"/>
      <c r="G2662" s="127"/>
      <c r="H2662" s="127"/>
      <c r="I2662" s="128"/>
      <c r="K2662" s="105" t="str">
        <f>IFERROR(__xludf.DUMMYFUNCTION("if(A2662="""","""",substitute(SUBSTITUTE(index(importhtml(""http://finviz.com/quote.ashx?t=""&amp;A2662,""table"",10),7,2),""*"",""""),""-"",""0.00""))"),"Loading...")</f>
        <v>Loading...</v>
      </c>
      <c r="L2662" s="129">
        <v>1.6232737173E10</v>
      </c>
      <c r="M2662" s="99">
        <f>IFERROR(__xludf.DUMMYFUNCTION("GOOGLEFINANCE(A2662,""beta"")"),0.59)</f>
        <v>0.59</v>
      </c>
    </row>
    <row r="2663">
      <c r="A2663" s="122" t="s">
        <v>5748</v>
      </c>
      <c r="B2663" s="123">
        <v>1732409.0</v>
      </c>
      <c r="C2663" s="124" t="s">
        <v>5749</v>
      </c>
      <c r="D2663" s="125"/>
      <c r="E2663" s="126">
        <v>3.35</v>
      </c>
      <c r="F2663" s="127"/>
      <c r="G2663" s="127"/>
      <c r="H2663" s="127"/>
      <c r="I2663" s="128"/>
      <c r="K2663" s="105" t="str">
        <f>IFERROR(__xludf.DUMMYFUNCTION("if(A2663="""","""",substitute(SUBSTITUTE(index(importhtml(""http://finviz.com/quote.ashx?t=""&amp;A2663,""table"",10),7,2),""*"",""""),""-"",""0.00""))"),"Loading...")</f>
        <v>Loading...</v>
      </c>
      <c r="L2663" s="129" t="e">
        <v>#N/A</v>
      </c>
      <c r="M2663" s="99">
        <v>4.71</v>
      </c>
    </row>
    <row r="2664">
      <c r="A2664" s="122" t="s">
        <v>5750</v>
      </c>
      <c r="B2664" s="123">
        <v>1509745.0</v>
      </c>
      <c r="C2664" s="124" t="s">
        <v>5751</v>
      </c>
      <c r="D2664" s="125"/>
      <c r="E2664" s="126">
        <v>3.36</v>
      </c>
      <c r="F2664" s="127"/>
      <c r="G2664" s="127"/>
      <c r="H2664" s="127"/>
      <c r="I2664" s="128"/>
      <c r="K2664" s="105" t="str">
        <f>IFERROR(__xludf.DUMMYFUNCTION("if(A2664="""","""",substitute(SUBSTITUTE(index(importhtml(""http://finviz.com/quote.ashx?t=""&amp;A2664,""table"",10),7,2),""*"",""""),""-"",""0.00""))"),"Loading...")</f>
        <v>Loading...</v>
      </c>
      <c r="L2664" s="129">
        <v>8.5899774E7</v>
      </c>
      <c r="M2664" s="99" t="str">
        <f>IFERROR(__xludf.DUMMYFUNCTION("GOOGLEFINANCE(A2664,""beta"")"),"#N/A")</f>
        <v>#N/A</v>
      </c>
    </row>
    <row r="2665">
      <c r="A2665" s="122" t="s">
        <v>5752</v>
      </c>
      <c r="B2665" s="123">
        <v>1442836.0</v>
      </c>
      <c r="C2665" s="124" t="s">
        <v>5753</v>
      </c>
      <c r="D2665" s="125"/>
      <c r="E2665" s="126">
        <v>3.36</v>
      </c>
      <c r="F2665" s="127"/>
      <c r="G2665" s="127"/>
      <c r="H2665" s="127"/>
      <c r="I2665" s="128"/>
      <c r="K2665" s="105" t="str">
        <f>IFERROR(__xludf.DUMMYFUNCTION("if(A2665="""","""",substitute(SUBSTITUTE(index(importhtml(""http://finviz.com/quote.ashx?t=""&amp;A2665,""table"",10),7,2),""*"",""""),""-"",""0.00""))"),"Loading...")</f>
        <v>Loading...</v>
      </c>
      <c r="L2665" s="129">
        <v>4.05155843E8</v>
      </c>
      <c r="M2665" s="99">
        <v>1.39</v>
      </c>
    </row>
    <row r="2666">
      <c r="A2666" s="122" t="s">
        <v>5754</v>
      </c>
      <c r="B2666" s="123">
        <v>1873331.0</v>
      </c>
      <c r="C2666" s="124" t="s">
        <v>5755</v>
      </c>
      <c r="D2666" s="125"/>
      <c r="E2666" s="126">
        <v>3.36</v>
      </c>
      <c r="F2666" s="127"/>
      <c r="G2666" s="127"/>
      <c r="H2666" s="127"/>
      <c r="I2666" s="128"/>
      <c r="K2666" s="105" t="str">
        <f>IFERROR(__xludf.DUMMYFUNCTION("if(A2666="""","""",substitute(SUBSTITUTE(index(importhtml(""http://finviz.com/quote.ashx?t=""&amp;A2666,""table"",10),7,2),""*"",""""),""-"",""0.00""))"),"Loading...")</f>
        <v>Loading...</v>
      </c>
      <c r="L2666" s="129">
        <v>5.99340989E8</v>
      </c>
      <c r="M2666" s="99">
        <v>0.24</v>
      </c>
    </row>
    <row r="2667">
      <c r="A2667" s="122" t="s">
        <v>5756</v>
      </c>
      <c r="B2667" s="123">
        <v>1735041.0</v>
      </c>
      <c r="C2667" s="124" t="s">
        <v>5757</v>
      </c>
      <c r="D2667" s="125"/>
      <c r="E2667" s="126">
        <v>3.37</v>
      </c>
      <c r="F2667" s="127"/>
      <c r="G2667" s="127"/>
      <c r="H2667" s="127"/>
      <c r="I2667" s="128"/>
      <c r="K2667" s="105" t="str">
        <f>IFERROR(__xludf.DUMMYFUNCTION("if(A2667="""","""",substitute(SUBSTITUTE(index(importhtml(""http://finviz.com/quote.ashx?t=""&amp;A2667,""table"",10),7,2),""*"",""""),""-"",""0.00""))"),"Loading...")</f>
        <v>Loading...</v>
      </c>
      <c r="L2667" s="129">
        <v>4.581353E7</v>
      </c>
      <c r="M2667" s="99">
        <v>1.39</v>
      </c>
    </row>
    <row r="2668">
      <c r="A2668" s="122" t="s">
        <v>5758</v>
      </c>
      <c r="B2668" s="123">
        <v>1157762.0</v>
      </c>
      <c r="C2668" s="124" t="s">
        <v>5759</v>
      </c>
      <c r="D2668" s="125"/>
      <c r="E2668" s="126">
        <v>3.37</v>
      </c>
      <c r="F2668" s="127"/>
      <c r="G2668" s="127"/>
      <c r="H2668" s="127"/>
      <c r="I2668" s="128"/>
      <c r="K2668" s="105" t="str">
        <f>IFERROR(__xludf.DUMMYFUNCTION("if(A2668="""","""",substitute(SUBSTITUTE(index(importhtml(""http://finviz.com/quote.ashx?t=""&amp;A2668,""table"",10),7,2),""*"",""""),""-"",""0.00""))"),"Loading...")</f>
        <v>Loading...</v>
      </c>
      <c r="L2668" s="129">
        <v>1.01725839E8</v>
      </c>
      <c r="M2668" s="99">
        <v>2.5</v>
      </c>
    </row>
    <row r="2669">
      <c r="A2669" s="122" t="s">
        <v>5760</v>
      </c>
      <c r="B2669" s="123">
        <v>1261166.0</v>
      </c>
      <c r="C2669" s="124" t="s">
        <v>5761</v>
      </c>
      <c r="D2669" s="125"/>
      <c r="E2669" s="126">
        <v>3.37</v>
      </c>
      <c r="F2669" s="127"/>
      <c r="G2669" s="127"/>
      <c r="H2669" s="127"/>
      <c r="I2669" s="128"/>
      <c r="K2669" s="105" t="str">
        <f>IFERROR(__xludf.DUMMYFUNCTION("if(A2669="""","""",substitute(SUBSTITUTE(index(importhtml(""http://finviz.com/quote.ashx?t=""&amp;A2669,""table"",10),7,2),""*"",""""),""-"",""0.00""))"),"Loading...")</f>
        <v>Loading...</v>
      </c>
      <c r="L2669" s="129">
        <v>1.59926006E8</v>
      </c>
      <c r="M2669" s="99">
        <v>1.4</v>
      </c>
    </row>
    <row r="2670">
      <c r="A2670" s="122" t="s">
        <v>5762</v>
      </c>
      <c r="B2670" s="123">
        <v>1819516.0</v>
      </c>
      <c r="C2670" s="124" t="s">
        <v>5763</v>
      </c>
      <c r="D2670" s="125"/>
      <c r="E2670" s="126">
        <v>3.38</v>
      </c>
      <c r="F2670" s="127"/>
      <c r="G2670" s="127"/>
      <c r="H2670" s="127"/>
      <c r="I2670" s="128"/>
      <c r="K2670" s="55" t="s">
        <v>1034</v>
      </c>
      <c r="L2670" s="129">
        <v>2.355083693E9</v>
      </c>
      <c r="M2670" s="99">
        <v>2.27</v>
      </c>
    </row>
    <row r="2671">
      <c r="A2671" s="122" t="s">
        <v>5764</v>
      </c>
      <c r="B2671" s="123">
        <v>1227636.0</v>
      </c>
      <c r="C2671" s="124" t="s">
        <v>5765</v>
      </c>
      <c r="D2671" s="125"/>
      <c r="E2671" s="126">
        <v>3.38</v>
      </c>
      <c r="F2671" s="127"/>
      <c r="G2671" s="127"/>
      <c r="H2671" s="127"/>
      <c r="I2671" s="128"/>
      <c r="K2671" s="105" t="str">
        <f>IFERROR(__xludf.DUMMYFUNCTION("if(A2671="""","""",substitute(SUBSTITUTE(index(importhtml(""http://finviz.com/quote.ashx?t=""&amp;A2671,""table"",10),7,2),""*"",""""),""-"",""0.00""))"),"Loading...")</f>
        <v>Loading...</v>
      </c>
      <c r="L2671" s="129">
        <v>9.7793982E7</v>
      </c>
      <c r="M2671" s="99">
        <v>2.43</v>
      </c>
    </row>
    <row r="2672">
      <c r="A2672" s="122" t="s">
        <v>5766</v>
      </c>
      <c r="B2672" s="123">
        <v>1844971.0</v>
      </c>
      <c r="C2672" s="124" t="s">
        <v>5767</v>
      </c>
      <c r="D2672" s="125"/>
      <c r="E2672" s="126">
        <v>3.39</v>
      </c>
      <c r="F2672" s="127"/>
      <c r="G2672" s="127"/>
      <c r="H2672" s="127"/>
      <c r="I2672" s="128"/>
      <c r="K2672" s="105" t="str">
        <f>IFERROR(__xludf.DUMMYFUNCTION("if(A2672="""","""",substitute(SUBSTITUTE(index(importhtml(""http://finviz.com/quote.ashx?t=""&amp;A2672,""table"",10),7,2),""*"",""""),""-"",""0.00""))"),"Loading...")</f>
        <v>Loading...</v>
      </c>
      <c r="L2672" s="129">
        <v>2.4952139E7</v>
      </c>
      <c r="M2672" s="99">
        <f>IFERROR(__xludf.DUMMYFUNCTION("GOOGLEFINANCE(A2672,""beta"")"),3.23)</f>
        <v>3.23</v>
      </c>
    </row>
    <row r="2673">
      <c r="A2673" s="122" t="s">
        <v>5768</v>
      </c>
      <c r="B2673" s="123">
        <v>1431959.0</v>
      </c>
      <c r="C2673" s="124" t="s">
        <v>5769</v>
      </c>
      <c r="D2673" s="125"/>
      <c r="E2673" s="126">
        <v>3.4</v>
      </c>
      <c r="F2673" s="127"/>
      <c r="G2673" s="127"/>
      <c r="H2673" s="127"/>
      <c r="I2673" s="128"/>
      <c r="K2673" s="105" t="str">
        <f>IFERROR(__xludf.DUMMYFUNCTION("if(A2673="""","""",substitute(SUBSTITUTE(index(importhtml(""http://finviz.com/quote.ashx?t=""&amp;A2673,""table"",10),7,2),""*"",""""),""-"",""0.00""))"),"Loading...")</f>
        <v>Loading...</v>
      </c>
      <c r="L2673" s="129">
        <v>1.9051546E7</v>
      </c>
      <c r="M2673" s="99">
        <v>1.69</v>
      </c>
    </row>
    <row r="2674">
      <c r="A2674" s="122" t="s">
        <v>5770</v>
      </c>
      <c r="B2674" s="123">
        <v>1369290.0</v>
      </c>
      <c r="C2674" s="124" t="s">
        <v>5771</v>
      </c>
      <c r="D2674" s="125"/>
      <c r="E2674" s="126">
        <v>3.4</v>
      </c>
      <c r="F2674" s="127"/>
      <c r="G2674" s="127"/>
      <c r="H2674" s="127"/>
      <c r="I2674" s="128"/>
      <c r="K2674" s="105" t="str">
        <f>IFERROR(__xludf.DUMMYFUNCTION("if(A2674="""","""",substitute(SUBSTITUTE(index(importhtml(""http://finviz.com/quote.ashx?t=""&amp;A2674,""table"",10),7,2),""*"",""""),""-"",""0.00""))"),"Loading...")</f>
        <v>Loading...</v>
      </c>
      <c r="L2674" s="129">
        <v>9.4756812E7</v>
      </c>
      <c r="M2674" s="99">
        <v>1.51</v>
      </c>
    </row>
    <row r="2675">
      <c r="A2675" s="122" t="s">
        <v>5772</v>
      </c>
      <c r="B2675" s="123">
        <v>1285819.0</v>
      </c>
      <c r="C2675" s="124" t="s">
        <v>5773</v>
      </c>
      <c r="D2675" s="125"/>
      <c r="E2675" s="126">
        <v>3.4</v>
      </c>
      <c r="F2675" s="127"/>
      <c r="G2675" s="127"/>
      <c r="H2675" s="127"/>
      <c r="I2675" s="128"/>
      <c r="K2675" s="105" t="str">
        <f>IFERROR(__xludf.DUMMYFUNCTION("if(A2675="""","""",substitute(SUBSTITUTE(index(importhtml(""http://finviz.com/quote.ashx?t=""&amp;A2675,""table"",10),7,2),""*"",""""),""-"",""0.00""))"),"Loading...")</f>
        <v>Loading...</v>
      </c>
      <c r="L2675" s="129">
        <v>2.13742705E8</v>
      </c>
      <c r="M2675" s="99">
        <v>1.3</v>
      </c>
    </row>
    <row r="2676">
      <c r="A2676" s="122" t="s">
        <v>5774</v>
      </c>
      <c r="B2676" s="123">
        <v>1527599.0</v>
      </c>
      <c r="C2676" s="124" t="s">
        <v>5775</v>
      </c>
      <c r="D2676" s="125"/>
      <c r="E2676" s="126">
        <v>3.41</v>
      </c>
      <c r="F2676" s="127"/>
      <c r="G2676" s="127"/>
      <c r="H2676" s="127"/>
      <c r="I2676" s="128"/>
      <c r="K2676" s="105" t="str">
        <f>IFERROR(__xludf.DUMMYFUNCTION("if(A2676="""","""",substitute(SUBSTITUTE(index(importhtml(""http://finviz.com/quote.ashx?t=""&amp;A2676,""table"",10),7,2),""*"",""""),""-"",""0.00""))"),"Loading...")</f>
        <v>Loading...</v>
      </c>
      <c r="L2676" s="129">
        <v>3.1335691E7</v>
      </c>
      <c r="M2676" s="99">
        <v>1.21</v>
      </c>
    </row>
    <row r="2677">
      <c r="A2677" s="122" t="s">
        <v>5776</v>
      </c>
      <c r="B2677" s="123">
        <v>1579157.0</v>
      </c>
      <c r="C2677" s="124" t="s">
        <v>5777</v>
      </c>
      <c r="D2677" s="125"/>
      <c r="E2677" s="126">
        <v>3.41</v>
      </c>
      <c r="F2677" s="127"/>
      <c r="G2677" s="127"/>
      <c r="H2677" s="127"/>
      <c r="I2677" s="128"/>
      <c r="K2677" s="105" t="str">
        <f>IFERROR(__xludf.DUMMYFUNCTION("if(A2677="""","""",substitute(SUBSTITUTE(index(importhtml(""http://finviz.com/quote.ashx?t=""&amp;A2677,""table"",10),7,2),""*"",""""),""-"",""0.00""))"),"Loading...")</f>
        <v>Loading...</v>
      </c>
      <c r="L2677" s="129">
        <v>4.2634344E7</v>
      </c>
      <c r="M2677" s="99">
        <v>1.78</v>
      </c>
    </row>
    <row r="2678">
      <c r="A2678" s="122" t="s">
        <v>5778</v>
      </c>
      <c r="B2678" s="123">
        <v>1888175.0</v>
      </c>
      <c r="C2678" s="124" t="s">
        <v>5779</v>
      </c>
      <c r="D2678" s="125"/>
      <c r="E2678" s="126">
        <v>3.42</v>
      </c>
      <c r="F2678" s="127"/>
      <c r="G2678" s="127"/>
      <c r="H2678" s="127"/>
      <c r="I2678" s="128"/>
      <c r="K2678" s="105" t="str">
        <f>IFERROR(__xludf.DUMMYFUNCTION("if(A2678="""","""",substitute(SUBSTITUTE(index(importhtml(""http://finviz.com/quote.ashx?t=""&amp;A2678,""table"",10),7,2),""*"",""""),""-"",""0.00""))"),"Loading...")</f>
        <v>Loading...</v>
      </c>
      <c r="L2678" s="129">
        <v>5031462.0</v>
      </c>
      <c r="M2678" s="99">
        <f>IFERROR(__xludf.DUMMYFUNCTION("GOOGLEFINANCE(A2678,""beta"")"),0.25)</f>
        <v>0.25</v>
      </c>
    </row>
    <row r="2679">
      <c r="A2679" s="122" t="s">
        <v>5780</v>
      </c>
      <c r="B2679" s="123">
        <v>95552.0</v>
      </c>
      <c r="C2679" s="124" t="s">
        <v>5781</v>
      </c>
      <c r="D2679" s="125"/>
      <c r="E2679" s="126">
        <v>3.42</v>
      </c>
      <c r="F2679" s="127"/>
      <c r="G2679" s="127"/>
      <c r="H2679" s="127"/>
      <c r="I2679" s="128"/>
      <c r="K2679" s="105" t="str">
        <f>IFERROR(__xludf.DUMMYFUNCTION("if(A2679="""","""",substitute(SUBSTITUTE(index(importhtml(""http://finviz.com/quote.ashx?t=""&amp;A2679,""table"",10),7,2),""*"",""""),""-"",""0.00""))"),"Loading...")</f>
        <v>Loading...</v>
      </c>
      <c r="L2679" s="129">
        <v>9.6072692E7</v>
      </c>
      <c r="M2679" s="99">
        <v>3.66</v>
      </c>
    </row>
    <row r="2680">
      <c r="A2680" s="122" t="s">
        <v>5782</v>
      </c>
      <c r="B2680" s="123">
        <v>1049659.0</v>
      </c>
      <c r="C2680" s="124" t="s">
        <v>5783</v>
      </c>
      <c r="D2680" s="125"/>
      <c r="E2680" s="126">
        <v>3.42</v>
      </c>
      <c r="F2680" s="127"/>
      <c r="G2680" s="127"/>
      <c r="H2680" s="127"/>
      <c r="I2680" s="128"/>
      <c r="K2680" s="105" t="str">
        <f>IFERROR(__xludf.DUMMYFUNCTION("if(A2680="""","""",substitute(SUBSTITUTE(index(importhtml(""http://finviz.com/quote.ashx?t=""&amp;A2680,""table"",10),7,2),""*"",""""),""-"",""0.00""))"),"Loading...")</f>
        <v>Loading...</v>
      </c>
      <c r="L2680" s="129">
        <v>2.2702713272E10</v>
      </c>
      <c r="M2680" s="99">
        <v>2.05</v>
      </c>
    </row>
    <row r="2681">
      <c r="A2681" s="122" t="s">
        <v>5784</v>
      </c>
      <c r="B2681" s="123">
        <v>1578348.0</v>
      </c>
      <c r="C2681" s="124" t="s">
        <v>5785</v>
      </c>
      <c r="D2681" s="125"/>
      <c r="E2681" s="126">
        <v>3.43</v>
      </c>
      <c r="F2681" s="127"/>
      <c r="G2681" s="127"/>
      <c r="H2681" s="127"/>
      <c r="I2681" s="128"/>
      <c r="K2681" s="105" t="str">
        <f>IFERROR(__xludf.DUMMYFUNCTION("if(A2681="""","""",substitute(SUBSTITUTE(index(importhtml(""http://finviz.com/quote.ashx?t=""&amp;A2681,""table"",10),7,2),""*"",""""),""-"",""0.00""))"),"Loading...")</f>
        <v>Loading...</v>
      </c>
      <c r="L2681" s="129">
        <v>4.9378859E7</v>
      </c>
      <c r="M2681" s="99">
        <v>1.56</v>
      </c>
    </row>
    <row r="2682">
      <c r="A2682" s="122" t="s">
        <v>5786</v>
      </c>
      <c r="B2682" s="123">
        <v>1843351.0</v>
      </c>
      <c r="C2682" s="124" t="s">
        <v>5787</v>
      </c>
      <c r="D2682" s="125"/>
      <c r="E2682" s="126">
        <v>3.43</v>
      </c>
      <c r="F2682" s="127"/>
      <c r="G2682" s="127"/>
      <c r="H2682" s="127"/>
      <c r="I2682" s="128"/>
      <c r="K2682" s="105" t="str">
        <f>IFERROR(__xludf.DUMMYFUNCTION("if(A2682="""","""",substitute(SUBSTITUTE(index(importhtml(""http://finviz.com/quote.ashx?t=""&amp;A2682,""table"",10),7,2),""*"",""""),""-"",""0.00""))"),"Loading...")</f>
        <v>Loading...</v>
      </c>
      <c r="L2682" s="129">
        <v>2.701309E8</v>
      </c>
      <c r="M2682" s="99" t="str">
        <f>IFERROR(__xludf.DUMMYFUNCTION("GOOGLEFINANCE(A2682,""beta"")"),"#N/A")</f>
        <v>#N/A</v>
      </c>
    </row>
    <row r="2683">
      <c r="A2683" s="122" t="s">
        <v>5788</v>
      </c>
      <c r="B2683" s="123">
        <v>867773.0</v>
      </c>
      <c r="C2683" s="124" t="s">
        <v>5789</v>
      </c>
      <c r="D2683" s="125"/>
      <c r="E2683" s="126">
        <v>3.43</v>
      </c>
      <c r="F2683" s="127"/>
      <c r="G2683" s="127"/>
      <c r="H2683" s="127"/>
      <c r="I2683" s="128"/>
      <c r="K2683" s="105" t="str">
        <f>IFERROR(__xludf.DUMMYFUNCTION("if(A2683="""","""",substitute(SUBSTITUTE(index(importhtml(""http://finviz.com/quote.ashx?t=""&amp;A2683,""table"",10),7,2),""*"",""""),""-"",""0.00""))"),"Loading...")</f>
        <v>Loading...</v>
      </c>
      <c r="L2683" s="129">
        <v>6.01488584E8</v>
      </c>
      <c r="M2683" s="99">
        <v>1.79</v>
      </c>
    </row>
    <row r="2684">
      <c r="A2684" s="122" t="s">
        <v>5790</v>
      </c>
      <c r="B2684" s="123">
        <v>31235.0</v>
      </c>
      <c r="C2684" s="124" t="s">
        <v>5791</v>
      </c>
      <c r="D2684" s="125"/>
      <c r="E2684" s="126">
        <v>3.44</v>
      </c>
      <c r="F2684" s="127"/>
      <c r="G2684" s="127"/>
      <c r="H2684" s="127"/>
      <c r="I2684" s="128"/>
      <c r="K2684" s="105" t="str">
        <f>IFERROR(__xludf.DUMMYFUNCTION("if(A2684="""","""",substitute(SUBSTITUTE(index(importhtml(""http://finviz.com/quote.ashx?t=""&amp;A2684,""table"",10),7,2),""*"",""""),""-"",""0.00""))"),"Loading...")</f>
        <v>Loading...</v>
      </c>
      <c r="L2684" s="129">
        <v>2.73662186E8</v>
      </c>
      <c r="M2684" s="99">
        <v>3.42</v>
      </c>
    </row>
    <row r="2685">
      <c r="A2685" s="122" t="s">
        <v>5792</v>
      </c>
      <c r="B2685" s="123">
        <v>1822359.0</v>
      </c>
      <c r="C2685" s="124" t="s">
        <v>5793</v>
      </c>
      <c r="D2685" s="125"/>
      <c r="E2685" s="126">
        <v>3.44</v>
      </c>
      <c r="F2685" s="127"/>
      <c r="G2685" s="127"/>
      <c r="H2685" s="127"/>
      <c r="I2685" s="128"/>
      <c r="K2685" s="105" t="str">
        <f>IFERROR(__xludf.DUMMYFUNCTION("if(A2685="""","""",substitute(SUBSTITUTE(index(importhtml(""http://finviz.com/quote.ashx?t=""&amp;A2685,""table"",10),7,2),""*"",""""),""-"",""0.00""))"),"Loading...")</f>
        <v>Loading...</v>
      </c>
      <c r="L2685" s="129">
        <v>3.57403277E8</v>
      </c>
      <c r="M2685" s="99">
        <v>0.87</v>
      </c>
    </row>
    <row r="2686">
      <c r="A2686" s="122" t="s">
        <v>5794</v>
      </c>
      <c r="B2686" s="123">
        <v>1781753.0</v>
      </c>
      <c r="C2686" s="124" t="s">
        <v>5795</v>
      </c>
      <c r="D2686" s="125"/>
      <c r="E2686" s="126">
        <v>3.45</v>
      </c>
      <c r="F2686" s="127"/>
      <c r="G2686" s="127"/>
      <c r="H2686" s="127"/>
      <c r="I2686" s="128"/>
      <c r="K2686" s="55" t="s">
        <v>1034</v>
      </c>
      <c r="L2686" s="129">
        <v>4.28539685E8</v>
      </c>
      <c r="M2686" s="99">
        <v>-0.18</v>
      </c>
    </row>
    <row r="2687">
      <c r="A2687" s="122" t="s">
        <v>5796</v>
      </c>
      <c r="B2687" s="123">
        <v>1504678.0</v>
      </c>
      <c r="C2687" s="124" t="s">
        <v>5797</v>
      </c>
      <c r="D2687" s="125"/>
      <c r="E2687" s="126">
        <v>3.46</v>
      </c>
      <c r="F2687" s="127"/>
      <c r="G2687" s="127"/>
      <c r="H2687" s="127"/>
      <c r="I2687" s="128"/>
      <c r="K2687" s="105" t="str">
        <f>IFERROR(__xludf.DUMMYFUNCTION("if(A2687="""","""",substitute(SUBSTITUTE(index(importhtml(""http://finviz.com/quote.ashx?t=""&amp;A2687,""table"",10),7,2),""*"",""""),""-"",""0.00""))"),"Loading...")</f>
        <v>Loading...</v>
      </c>
      <c r="L2687" s="129">
        <v>1.6445003E8</v>
      </c>
      <c r="M2687" s="99">
        <v>1.47</v>
      </c>
    </row>
    <row r="2688">
      <c r="A2688" s="122" t="s">
        <v>5798</v>
      </c>
      <c r="B2688" s="123">
        <v>908311.0</v>
      </c>
      <c r="C2688" s="124" t="s">
        <v>5799</v>
      </c>
      <c r="D2688" s="125"/>
      <c r="E2688" s="126">
        <v>3.47</v>
      </c>
      <c r="F2688" s="127"/>
      <c r="G2688" s="127"/>
      <c r="H2688" s="127"/>
      <c r="I2688" s="128"/>
      <c r="K2688" s="105" t="str">
        <f>IFERROR(__xludf.DUMMYFUNCTION("if(A2688="""","""",substitute(SUBSTITUTE(index(importhtml(""http://finviz.com/quote.ashx?t=""&amp;A2688,""table"",10),7,2),""*"",""""),""-"",""0.00""))"),"Loading...")</f>
        <v>Loading...</v>
      </c>
      <c r="L2688" s="129">
        <v>7.9069953E7</v>
      </c>
      <c r="M2688" s="99">
        <v>0.46</v>
      </c>
    </row>
    <row r="2689">
      <c r="A2689" s="122" t="s">
        <v>5800</v>
      </c>
      <c r="B2689" s="123">
        <v>1701051.0</v>
      </c>
      <c r="C2689" s="124" t="s">
        <v>5801</v>
      </c>
      <c r="D2689" s="125"/>
      <c r="E2689" s="126">
        <v>3.47</v>
      </c>
      <c r="F2689" s="127"/>
      <c r="G2689" s="127"/>
      <c r="H2689" s="127"/>
      <c r="I2689" s="128"/>
      <c r="K2689" s="105" t="str">
        <f>IFERROR(__xludf.DUMMYFUNCTION("if(A2689="""","""",substitute(SUBSTITUTE(index(importhtml(""http://finviz.com/quote.ashx?t=""&amp;A2689,""table"",10),7,2),""*"",""""),""-"",""0.00""))"),"Loading...")</f>
        <v>Loading...</v>
      </c>
      <c r="L2689" s="129">
        <v>2.90205297E8</v>
      </c>
      <c r="M2689" s="99">
        <v>1.4</v>
      </c>
    </row>
    <row r="2690">
      <c r="A2690" s="122" t="s">
        <v>5802</v>
      </c>
      <c r="B2690" s="123">
        <v>1708176.0</v>
      </c>
      <c r="C2690" s="124" t="s">
        <v>5803</v>
      </c>
      <c r="D2690" s="125"/>
      <c r="E2690" s="126">
        <v>3.48</v>
      </c>
      <c r="F2690" s="127"/>
      <c r="G2690" s="127"/>
      <c r="H2690" s="127"/>
      <c r="I2690" s="128"/>
      <c r="K2690" s="105" t="str">
        <f>IFERROR(__xludf.DUMMYFUNCTION("if(A2690="""","""",substitute(SUBSTITUTE(index(importhtml(""http://finviz.com/quote.ashx?t=""&amp;A2690,""table"",10),7,2),""*"",""""),""-"",""0.00""))"),"Loading...")</f>
        <v>Loading...</v>
      </c>
      <c r="L2690" s="129">
        <v>2.2394482E7</v>
      </c>
      <c r="M2690" s="99">
        <v>2.85</v>
      </c>
    </row>
    <row r="2691">
      <c r="A2691" s="122" t="s">
        <v>5804</v>
      </c>
      <c r="B2691" s="123">
        <v>1818838.0</v>
      </c>
      <c r="C2691" s="124" t="s">
        <v>5805</v>
      </c>
      <c r="D2691" s="125"/>
      <c r="E2691" s="126">
        <v>3.48</v>
      </c>
      <c r="F2691" s="127"/>
      <c r="G2691" s="127"/>
      <c r="H2691" s="127"/>
      <c r="I2691" s="128"/>
      <c r="K2691" s="105" t="str">
        <f>IFERROR(__xludf.DUMMYFUNCTION("if(A2691="""","""",substitute(SUBSTITUTE(index(importhtml(""http://finviz.com/quote.ashx?t=""&amp;A2691,""table"",10),7,2),""*"",""""),""-"",""0.00""))"),"Loading...")</f>
        <v>Loading...</v>
      </c>
      <c r="L2691" s="129">
        <v>1.52544617E8</v>
      </c>
      <c r="M2691" s="99">
        <f>IFERROR(__xludf.DUMMYFUNCTION("GOOGLEFINANCE(A2691,""beta"")"),0.73)</f>
        <v>0.73</v>
      </c>
    </row>
    <row r="2692">
      <c r="A2692" s="122" t="s">
        <v>5806</v>
      </c>
      <c r="B2692" s="123">
        <v>1850838.0</v>
      </c>
      <c r="C2692" s="124" t="s">
        <v>5807</v>
      </c>
      <c r="D2692" s="125"/>
      <c r="E2692" s="126">
        <v>3.48</v>
      </c>
      <c r="F2692" s="127"/>
      <c r="G2692" s="127"/>
      <c r="H2692" s="127"/>
      <c r="I2692" s="128"/>
      <c r="K2692" s="105" t="str">
        <f>IFERROR(__xludf.DUMMYFUNCTION("if(A2692="""","""",substitute(SUBSTITUTE(index(importhtml(""http://finviz.com/quote.ashx?t=""&amp;A2692,""table"",10),7,2),""*"",""""),""-"",""0.00""))"),"Loading...")</f>
        <v>Loading...</v>
      </c>
      <c r="L2692" s="129">
        <v>1.91893569E8</v>
      </c>
      <c r="M2692" s="99" t="str">
        <f>IFERROR(__xludf.DUMMYFUNCTION("GOOGLEFINANCE(A2692,""beta"")"),"#N/A")</f>
        <v>#N/A</v>
      </c>
    </row>
    <row r="2693">
      <c r="A2693" s="122" t="s">
        <v>5808</v>
      </c>
      <c r="B2693" s="123">
        <v>1856725.0</v>
      </c>
      <c r="C2693" s="124" t="s">
        <v>5809</v>
      </c>
      <c r="D2693" s="125"/>
      <c r="E2693" s="126">
        <v>3.49</v>
      </c>
      <c r="F2693" s="127"/>
      <c r="G2693" s="127"/>
      <c r="H2693" s="127"/>
      <c r="I2693" s="128"/>
      <c r="K2693" s="105" t="str">
        <f>IFERROR(__xludf.DUMMYFUNCTION("if(A2693="""","""",substitute(SUBSTITUTE(index(importhtml(""http://finviz.com/quote.ashx?t=""&amp;A2693,""table"",10),7,2),""*"",""""),""-"",""0.00""))"),"Loading...")</f>
        <v>Loading...</v>
      </c>
      <c r="L2693" s="129">
        <v>1.7448775E8</v>
      </c>
      <c r="M2693" s="99">
        <f>IFERROR(__xludf.DUMMYFUNCTION("GOOGLEFINANCE(A2693,""beta"")"),0.37)</f>
        <v>0.37</v>
      </c>
    </row>
    <row r="2694">
      <c r="A2694" s="122" t="s">
        <v>5810</v>
      </c>
      <c r="B2694" s="123">
        <v>1661460.0</v>
      </c>
      <c r="C2694" s="124" t="s">
        <v>5811</v>
      </c>
      <c r="D2694" s="125"/>
      <c r="E2694" s="126">
        <v>3.49</v>
      </c>
      <c r="F2694" s="127"/>
      <c r="G2694" s="127"/>
      <c r="H2694" s="127"/>
      <c r="I2694" s="128"/>
      <c r="K2694" s="105" t="str">
        <f>IFERROR(__xludf.DUMMYFUNCTION("if(A2694="""","""",substitute(SUBSTITUTE(index(importhtml(""http://finviz.com/quote.ashx?t=""&amp;A2694,""table"",10),7,2),""*"",""""),""-"",""0.00""))"),"Loading...")</f>
        <v>Loading...</v>
      </c>
      <c r="L2694" s="129">
        <v>3.33729226E8</v>
      </c>
      <c r="M2694" s="99">
        <v>0.34</v>
      </c>
    </row>
    <row r="2695">
      <c r="A2695" s="122" t="s">
        <v>5812</v>
      </c>
      <c r="B2695" s="123">
        <v>1392994.0</v>
      </c>
      <c r="C2695" s="124" t="s">
        <v>5813</v>
      </c>
      <c r="D2695" s="125"/>
      <c r="E2695" s="126">
        <v>3.5</v>
      </c>
      <c r="F2695" s="127"/>
      <c r="G2695" s="127"/>
      <c r="H2695" s="127"/>
      <c r="I2695" s="128"/>
      <c r="K2695" s="55" t="s">
        <v>5279</v>
      </c>
      <c r="L2695" s="129">
        <v>5.0286565E7</v>
      </c>
      <c r="M2695" s="99">
        <v>1.85</v>
      </c>
    </row>
    <row r="2696">
      <c r="A2696" s="122" t="s">
        <v>5814</v>
      </c>
      <c r="B2696" s="123">
        <v>1801169.0</v>
      </c>
      <c r="C2696" s="124" t="s">
        <v>5815</v>
      </c>
      <c r="D2696" s="125"/>
      <c r="E2696" s="126">
        <v>3.5</v>
      </c>
      <c r="F2696" s="127"/>
      <c r="G2696" s="127"/>
      <c r="H2696" s="127"/>
      <c r="I2696" s="128"/>
      <c r="K2696" s="105" t="str">
        <f>IFERROR(__xludf.DUMMYFUNCTION("if(A2696="""","""",substitute(SUBSTITUTE(index(importhtml(""http://finviz.com/quote.ashx?t=""&amp;A2696,""table"",10),7,2),""*"",""""),""-"",""0.00""))"),"Loading...")</f>
        <v>Loading...</v>
      </c>
      <c r="L2696" s="129">
        <v>2.34510885E9</v>
      </c>
      <c r="M2696" s="99">
        <v>2.74</v>
      </c>
    </row>
    <row r="2697">
      <c r="A2697" s="122" t="s">
        <v>5816</v>
      </c>
      <c r="B2697" s="123">
        <v>1174891.0</v>
      </c>
      <c r="C2697" s="124" t="s">
        <v>5817</v>
      </c>
      <c r="D2697" s="125"/>
      <c r="E2697" s="126">
        <v>3.51</v>
      </c>
      <c r="F2697" s="127"/>
      <c r="G2697" s="127"/>
      <c r="H2697" s="127"/>
      <c r="I2697" s="128"/>
      <c r="K2697" s="105" t="str">
        <f>IFERROR(__xludf.DUMMYFUNCTION("if(A2697="""","""",substitute(SUBSTITUTE(index(importhtml(""http://finviz.com/quote.ashx?t=""&amp;A2697,""table"",10),7,2),""*"",""""),""-"",""0.00""))"),"Loading...")</f>
        <v>Loading...</v>
      </c>
      <c r="L2697" s="129">
        <v>5.0879626E7</v>
      </c>
      <c r="M2697" s="99">
        <v>4.69</v>
      </c>
    </row>
    <row r="2698">
      <c r="A2698" s="122" t="s">
        <v>5818</v>
      </c>
      <c r="B2698" s="123">
        <v>1809122.0</v>
      </c>
      <c r="C2698" s="124" t="s">
        <v>5819</v>
      </c>
      <c r="D2698" s="125"/>
      <c r="E2698" s="126">
        <v>3.51</v>
      </c>
      <c r="F2698" s="127"/>
      <c r="G2698" s="127"/>
      <c r="H2698" s="127"/>
      <c r="I2698" s="128"/>
      <c r="K2698" s="105" t="str">
        <f>IFERROR(__xludf.DUMMYFUNCTION("if(A2698="""","""",substitute(SUBSTITUTE(index(importhtml(""http://finviz.com/quote.ashx?t=""&amp;A2698,""table"",10),7,2),""*"",""""),""-"",""0.00""))"),"Loading...")</f>
        <v>Loading...</v>
      </c>
      <c r="L2698" s="129">
        <v>7.85972184E8</v>
      </c>
      <c r="M2698" s="99">
        <v>2.59</v>
      </c>
    </row>
    <row r="2699">
      <c r="A2699" s="122" t="s">
        <v>5820</v>
      </c>
      <c r="B2699" s="123">
        <v>909531.0</v>
      </c>
      <c r="C2699" s="124" t="s">
        <v>5821</v>
      </c>
      <c r="D2699" s="125"/>
      <c r="E2699" s="126">
        <v>3.52</v>
      </c>
      <c r="F2699" s="127"/>
      <c r="G2699" s="127"/>
      <c r="H2699" s="127"/>
      <c r="I2699" s="128"/>
      <c r="K2699" s="105" t="str">
        <f>IFERROR(__xludf.DUMMYFUNCTION("if(A2699="""","""",substitute(SUBSTITUTE(index(importhtml(""http://finviz.com/quote.ashx?t=""&amp;A2699,""table"",10),7,2),""*"",""""),""-"",""0.00""))"),"Loading...")</f>
        <v>Loading...</v>
      </c>
      <c r="L2699" s="129">
        <v>1.28303623E8</v>
      </c>
      <c r="M2699" s="99">
        <v>1.29</v>
      </c>
    </row>
    <row r="2700">
      <c r="A2700" s="122" t="s">
        <v>5822</v>
      </c>
      <c r="B2700" s="123">
        <v>1683553.0</v>
      </c>
      <c r="C2700" s="124" t="s">
        <v>5823</v>
      </c>
      <c r="D2700" s="125"/>
      <c r="E2700" s="126">
        <v>3.52</v>
      </c>
      <c r="F2700" s="127"/>
      <c r="G2700" s="127"/>
      <c r="H2700" s="127"/>
      <c r="I2700" s="128"/>
      <c r="K2700" s="105" t="str">
        <f>IFERROR(__xludf.DUMMYFUNCTION("if(A2700="""","""",substitute(SUBSTITUTE(index(importhtml(""http://finviz.com/quote.ashx?t=""&amp;A2700,""table"",10),7,2),""*"",""""),""-"",""0.00""))"),"Loading...")</f>
        <v>Loading...</v>
      </c>
      <c r="L2700" s="129">
        <v>1.43301628E8</v>
      </c>
      <c r="M2700" s="99">
        <v>2.59</v>
      </c>
    </row>
    <row r="2701">
      <c r="A2701" s="122" t="s">
        <v>5824</v>
      </c>
      <c r="B2701" s="123">
        <v>1682220.0</v>
      </c>
      <c r="C2701" s="124" t="s">
        <v>5825</v>
      </c>
      <c r="D2701" s="125"/>
      <c r="E2701" s="126">
        <v>3.54</v>
      </c>
      <c r="F2701" s="127"/>
      <c r="G2701" s="127"/>
      <c r="H2701" s="127"/>
      <c r="I2701" s="128"/>
      <c r="K2701" s="105" t="str">
        <f>IFERROR(__xludf.DUMMYFUNCTION("if(A2701="""","""",substitute(SUBSTITUTE(index(importhtml(""http://finviz.com/quote.ashx?t=""&amp;A2701,""table"",10),7,2),""*"",""""),""-"",""0.00""))"),"Loading...")</f>
        <v>Loading...</v>
      </c>
      <c r="L2701" s="129">
        <v>1.60561725E8</v>
      </c>
      <c r="M2701" s="99">
        <v>1.62</v>
      </c>
    </row>
    <row r="2702">
      <c r="A2702" s="122" t="s">
        <v>5826</v>
      </c>
      <c r="B2702" s="123">
        <v>1680056.0</v>
      </c>
      <c r="C2702" s="124" t="s">
        <v>5827</v>
      </c>
      <c r="D2702" s="125"/>
      <c r="E2702" s="126">
        <v>3.55</v>
      </c>
      <c r="F2702" s="127"/>
      <c r="G2702" s="127"/>
      <c r="H2702" s="127"/>
      <c r="I2702" s="128"/>
      <c r="K2702" s="105" t="str">
        <f>IFERROR(__xludf.DUMMYFUNCTION("if(A2702="""","""",substitute(SUBSTITUTE(index(importhtml(""http://finviz.com/quote.ashx?t=""&amp;A2702,""table"",10),7,2),""*"",""""),""-"",""0.00""))"),"Loading...")</f>
        <v>Loading...</v>
      </c>
      <c r="L2702" s="129">
        <v>1.518656252E9</v>
      </c>
      <c r="M2702" s="99">
        <v>1.55</v>
      </c>
    </row>
    <row r="2703">
      <c r="A2703" s="122" t="s">
        <v>5828</v>
      </c>
      <c r="B2703" s="123">
        <v>924613.0</v>
      </c>
      <c r="C2703" s="124" t="s">
        <v>5829</v>
      </c>
      <c r="D2703" s="125"/>
      <c r="E2703" s="126">
        <v>3.55</v>
      </c>
      <c r="F2703" s="127"/>
      <c r="G2703" s="127"/>
      <c r="H2703" s="127"/>
      <c r="I2703" s="128"/>
      <c r="K2703" s="105" t="str">
        <f>IFERROR(__xludf.DUMMYFUNCTION("if(A2703="""","""",substitute(SUBSTITUTE(index(importhtml(""http://finviz.com/quote.ashx?t=""&amp;A2703,""table"",10),7,2),""*"",""""),""-"",""0.00""))"),"Loading...")</f>
        <v>Loading...</v>
      </c>
      <c r="L2703" s="129">
        <v>2.0111697579E10</v>
      </c>
      <c r="M2703" s="99">
        <v>1.1</v>
      </c>
    </row>
    <row r="2704">
      <c r="A2704" s="122" t="s">
        <v>5830</v>
      </c>
      <c r="B2704" s="123">
        <v>1605481.0</v>
      </c>
      <c r="C2704" s="124" t="s">
        <v>5831</v>
      </c>
      <c r="D2704" s="125"/>
      <c r="E2704" s="126">
        <v>3.56</v>
      </c>
      <c r="F2704" s="127"/>
      <c r="G2704" s="127"/>
      <c r="H2704" s="127"/>
      <c r="I2704" s="128"/>
      <c r="K2704" s="105" t="str">
        <f>IFERROR(__xludf.DUMMYFUNCTION("if(A2704="""","""",substitute(SUBSTITUTE(index(importhtml(""http://finviz.com/quote.ashx?t=""&amp;A2704,""table"",10),7,2),""*"",""""),""-"",""0.00""))"),"#N/A")</f>
        <v>#N/A</v>
      </c>
      <c r="L2704" s="129">
        <v>8.7572804E7</v>
      </c>
      <c r="M2704" s="99">
        <v>0.06</v>
      </c>
    </row>
    <row r="2705">
      <c r="A2705" s="122" t="s">
        <v>5832</v>
      </c>
      <c r="B2705" s="123">
        <v>885834.0</v>
      </c>
      <c r="C2705" s="124" t="s">
        <v>5833</v>
      </c>
      <c r="D2705" s="125"/>
      <c r="E2705" s="126">
        <v>3.56</v>
      </c>
      <c r="F2705" s="127"/>
      <c r="G2705" s="127"/>
      <c r="H2705" s="127"/>
      <c r="I2705" s="128"/>
      <c r="K2705" s="105" t="str">
        <f>IFERROR(__xludf.DUMMYFUNCTION("if(A2705="""","""",substitute(SUBSTITUTE(index(importhtml(""http://finviz.com/quote.ashx?t=""&amp;A2705,""table"",10),7,2),""*"",""""),""-"",""0.00""))"),"Loading...")</f>
        <v>Loading...</v>
      </c>
      <c r="L2705" s="129">
        <v>2.6408020948E10</v>
      </c>
      <c r="M2705" s="99">
        <v>0.89</v>
      </c>
    </row>
    <row r="2706">
      <c r="A2706" s="122" t="s">
        <v>5834</v>
      </c>
      <c r="B2706" s="123">
        <v>1574197.0</v>
      </c>
      <c r="C2706" s="124" t="s">
        <v>5835</v>
      </c>
      <c r="D2706" s="125"/>
      <c r="E2706" s="126">
        <v>3.57</v>
      </c>
      <c r="F2706" s="127"/>
      <c r="G2706" s="127"/>
      <c r="H2706" s="127"/>
      <c r="I2706" s="128"/>
      <c r="K2706" s="55" t="s">
        <v>1034</v>
      </c>
      <c r="L2706" s="129">
        <v>2.47043781E8</v>
      </c>
      <c r="M2706" s="99">
        <v>1.46</v>
      </c>
    </row>
    <row r="2707">
      <c r="A2707" s="122" t="s">
        <v>5836</v>
      </c>
      <c r="B2707" s="123">
        <v>1437441.0</v>
      </c>
      <c r="C2707" s="124" t="s">
        <v>5837</v>
      </c>
      <c r="D2707" s="125"/>
      <c r="E2707" s="126">
        <v>3.57</v>
      </c>
      <c r="F2707" s="127"/>
      <c r="G2707" s="127"/>
      <c r="H2707" s="127"/>
      <c r="I2707" s="128"/>
      <c r="K2707" s="105" t="str">
        <f>IFERROR(__xludf.DUMMYFUNCTION("if(A2707="""","""",substitute(SUBSTITUTE(index(importhtml(""http://finviz.com/quote.ashx?t=""&amp;A2707,""table"",10),7,2),""*"",""""),""-"",""0.00""))"),"Loading...")</f>
        <v>Loading...</v>
      </c>
      <c r="L2707" s="129">
        <v>4.904253078E9</v>
      </c>
      <c r="M2707" s="99">
        <v>1.23</v>
      </c>
    </row>
    <row r="2708">
      <c r="A2708" s="122" t="s">
        <v>5838</v>
      </c>
      <c r="B2708" s="123">
        <v>1026214.0</v>
      </c>
      <c r="C2708" s="124" t="s">
        <v>5839</v>
      </c>
      <c r="D2708" s="125"/>
      <c r="E2708" s="126">
        <v>3.58</v>
      </c>
      <c r="F2708" s="127"/>
      <c r="G2708" s="127"/>
      <c r="H2708" s="127"/>
      <c r="I2708" s="128"/>
      <c r="K2708" s="105" t="str">
        <f>IFERROR(__xludf.DUMMYFUNCTION("if(A2708="""","""",substitute(SUBSTITUTE(index(importhtml(""http://finviz.com/quote.ashx?t=""&amp;A2708,""table"",10),7,2),""*"",""""),""-"",""0.00""))"),"Loading...")</f>
        <v>Loading...</v>
      </c>
      <c r="L2708" s="129">
        <v>7.08564876E8</v>
      </c>
      <c r="M2708" s="99">
        <v>0.49</v>
      </c>
    </row>
    <row r="2709">
      <c r="A2709" s="122" t="s">
        <v>5840</v>
      </c>
      <c r="B2709" s="123">
        <v>845606.0</v>
      </c>
      <c r="C2709" s="124" t="s">
        <v>5841</v>
      </c>
      <c r="D2709" s="125"/>
      <c r="E2709" s="126">
        <v>3.59</v>
      </c>
      <c r="F2709" s="127"/>
      <c r="G2709" s="127"/>
      <c r="H2709" s="127"/>
      <c r="I2709" s="128"/>
      <c r="K2709" s="55" t="s">
        <v>5842</v>
      </c>
      <c r="L2709" s="129">
        <v>1.13177511E8</v>
      </c>
      <c r="M2709" s="99">
        <v>0.65</v>
      </c>
    </row>
    <row r="2710">
      <c r="A2710" s="122" t="s">
        <v>5843</v>
      </c>
      <c r="B2710" s="123">
        <v>1766267.0</v>
      </c>
      <c r="C2710" s="124" t="s">
        <v>5844</v>
      </c>
      <c r="D2710" s="125"/>
      <c r="E2710" s="126">
        <v>3.59</v>
      </c>
      <c r="F2710" s="127"/>
      <c r="G2710" s="127"/>
      <c r="H2710" s="127"/>
      <c r="I2710" s="128"/>
      <c r="K2710" s="105" t="str">
        <f>IFERROR(__xludf.DUMMYFUNCTION("if(A2710="""","""",substitute(SUBSTITUTE(index(importhtml(""http://finviz.com/quote.ashx?t=""&amp;A2710,""table"",10),7,2),""*"",""""),""-"",""0.00""))"),"Loading...")</f>
        <v>Loading...</v>
      </c>
      <c r="L2710" s="129">
        <v>3590000.0</v>
      </c>
      <c r="M2710" s="99" t="str">
        <f>IFERROR(__xludf.DUMMYFUNCTION("GOOGLEFINANCE(A2710,""beta"")"),"#N/A")</f>
        <v>#N/A</v>
      </c>
    </row>
    <row r="2711">
      <c r="A2711" s="122" t="s">
        <v>5845</v>
      </c>
      <c r="B2711" s="123">
        <v>720154.0</v>
      </c>
      <c r="C2711" s="124" t="s">
        <v>5846</v>
      </c>
      <c r="D2711" s="125"/>
      <c r="E2711" s="126">
        <v>3.59</v>
      </c>
      <c r="F2711" s="127"/>
      <c r="G2711" s="127"/>
      <c r="H2711" s="127"/>
      <c r="I2711" s="128"/>
      <c r="K2711" s="105" t="str">
        <f>IFERROR(__xludf.DUMMYFUNCTION("if(A2711="""","""",substitute(SUBSTITUTE(index(importhtml(""http://finviz.com/quote.ashx?t=""&amp;A2711,""table"",10),7,2),""*"",""""),""-"",""0.00""))"),"Loading...")</f>
        <v>Loading...</v>
      </c>
      <c r="L2711" s="129">
        <v>9.2588503E7</v>
      </c>
      <c r="M2711" s="99">
        <f>IFERROR(__xludf.DUMMYFUNCTION("GOOGLEFINANCE(A2711,""beta"")"),4.2)</f>
        <v>4.2</v>
      </c>
    </row>
    <row r="2712">
      <c r="A2712" s="122" t="s">
        <v>5847</v>
      </c>
      <c r="B2712" s="123">
        <v>1538716.0</v>
      </c>
      <c r="C2712" s="124" t="s">
        <v>5848</v>
      </c>
      <c r="D2712" s="125"/>
      <c r="E2712" s="126">
        <v>3.59</v>
      </c>
      <c r="F2712" s="127"/>
      <c r="G2712" s="127"/>
      <c r="H2712" s="127"/>
      <c r="I2712" s="128"/>
      <c r="K2712" s="105" t="str">
        <f>IFERROR(__xludf.DUMMYFUNCTION("if(A2712="""","""",substitute(SUBSTITUTE(index(importhtml(""http://finviz.com/quote.ashx?t=""&amp;A2712,""table"",10),7,2),""*"",""""),""-"",""0.00""))"),"Loading...")</f>
        <v>Loading...</v>
      </c>
      <c r="L2712" s="129">
        <v>1.22886271E8</v>
      </c>
      <c r="M2712" s="99">
        <v>1.3</v>
      </c>
    </row>
    <row r="2713">
      <c r="A2713" s="122" t="s">
        <v>5849</v>
      </c>
      <c r="B2713" s="123">
        <v>1738699.0</v>
      </c>
      <c r="C2713" s="124" t="s">
        <v>5850</v>
      </c>
      <c r="D2713" s="125"/>
      <c r="E2713" s="126">
        <v>3.6</v>
      </c>
      <c r="F2713" s="127"/>
      <c r="G2713" s="127"/>
      <c r="H2713" s="127"/>
      <c r="I2713" s="128"/>
      <c r="K2713" s="105" t="str">
        <f>IFERROR(__xludf.DUMMYFUNCTION("if(A2713="""","""",substitute(SUBSTITUTE(index(importhtml(""http://finviz.com/quote.ashx?t=""&amp;A2713,""table"",10),7,2),""*"",""""),""-"",""0.00""))"),"Loading...")</f>
        <v>Loading...</v>
      </c>
      <c r="L2713" s="129">
        <v>1.4338107E7</v>
      </c>
      <c r="M2713" s="99" t="str">
        <f>IFERROR(__xludf.DUMMYFUNCTION("GOOGLEFINANCE(A2713,""beta"")"),"#N/A")</f>
        <v>#N/A</v>
      </c>
    </row>
    <row r="2714">
      <c r="A2714" s="122" t="s">
        <v>5851</v>
      </c>
      <c r="B2714" s="123">
        <v>888981.0</v>
      </c>
      <c r="C2714" s="124" t="s">
        <v>5852</v>
      </c>
      <c r="D2714" s="125"/>
      <c r="E2714" s="126">
        <v>3.6</v>
      </c>
      <c r="F2714" s="127"/>
      <c r="G2714" s="127"/>
      <c r="H2714" s="127"/>
      <c r="I2714" s="128"/>
      <c r="K2714" s="105" t="str">
        <f>IFERROR(__xludf.DUMMYFUNCTION("if(A2714="""","""",substitute(SUBSTITUTE(index(importhtml(""http://finviz.com/quote.ashx?t=""&amp;A2714,""table"",10),7,2),""*"",""""),""-"",""0.00""))"),"Loading...")</f>
        <v>Loading...</v>
      </c>
      <c r="L2714" s="129">
        <v>3.780424E7</v>
      </c>
      <c r="M2714" s="99">
        <v>0.39</v>
      </c>
    </row>
    <row r="2715">
      <c r="A2715" s="122" t="s">
        <v>5853</v>
      </c>
      <c r="B2715" s="123">
        <v>1571776.0</v>
      </c>
      <c r="C2715" s="124" t="s">
        <v>5854</v>
      </c>
      <c r="D2715" s="125"/>
      <c r="E2715" s="126">
        <v>3.6</v>
      </c>
      <c r="F2715" s="127"/>
      <c r="G2715" s="127"/>
      <c r="H2715" s="127"/>
      <c r="I2715" s="128"/>
      <c r="K2715" s="105" t="str">
        <f>IFERROR(__xludf.DUMMYFUNCTION("if(A2715="""","""",substitute(SUBSTITUTE(index(importhtml(""http://finviz.com/quote.ashx?t=""&amp;A2715,""table"",10),7,2),""*"",""""),""-"",""0.00""))"),"Loading...")</f>
        <v>Loading...</v>
      </c>
      <c r="L2715" s="129">
        <v>9.7121049E7</v>
      </c>
      <c r="M2715" s="99">
        <v>1.45</v>
      </c>
    </row>
    <row r="2716">
      <c r="A2716" s="122" t="s">
        <v>5855</v>
      </c>
      <c r="B2716" s="123">
        <v>1771910.0</v>
      </c>
      <c r="C2716" s="124" t="s">
        <v>5856</v>
      </c>
      <c r="D2716" s="125"/>
      <c r="E2716" s="126">
        <v>3.6</v>
      </c>
      <c r="F2716" s="127"/>
      <c r="G2716" s="127"/>
      <c r="H2716" s="127"/>
      <c r="I2716" s="128"/>
      <c r="K2716" s="105" t="str">
        <f>IFERROR(__xludf.DUMMYFUNCTION("if(A2716="""","""",substitute(SUBSTITUTE(index(importhtml(""http://finviz.com/quote.ashx?t=""&amp;A2716,""table"",10),7,2),""*"",""""),""-"",""0.00""))"),"Loading...")</f>
        <v>Loading...</v>
      </c>
      <c r="L2716" s="129">
        <v>2.90313064E8</v>
      </c>
      <c r="M2716" s="99">
        <v>1.57</v>
      </c>
    </row>
    <row r="2717">
      <c r="A2717" s="122" t="s">
        <v>5857</v>
      </c>
      <c r="B2717" s="123">
        <v>1677703.0</v>
      </c>
      <c r="C2717" s="124" t="s">
        <v>5858</v>
      </c>
      <c r="D2717" s="125"/>
      <c r="E2717" s="126">
        <v>3.6</v>
      </c>
      <c r="F2717" s="127"/>
      <c r="G2717" s="127"/>
      <c r="H2717" s="127"/>
      <c r="I2717" s="128"/>
      <c r="K2717" s="105" t="str">
        <f>IFERROR(__xludf.DUMMYFUNCTION("if(A2717="""","""",substitute(SUBSTITUTE(index(importhtml(""http://finviz.com/quote.ashx?t=""&amp;A2717,""table"",10),7,2),""*"",""""),""-"",""0.00""))"),"Loading...")</f>
        <v>Loading...</v>
      </c>
      <c r="L2717" s="129">
        <v>7.82233539E8</v>
      </c>
      <c r="M2717" s="99">
        <v>1.63</v>
      </c>
    </row>
    <row r="2718">
      <c r="A2718" s="122" t="s">
        <v>5859</v>
      </c>
      <c r="B2718" s="123">
        <v>1002788.0</v>
      </c>
      <c r="C2718" s="124" t="s">
        <v>5860</v>
      </c>
      <c r="D2718" s="125"/>
      <c r="E2718" s="126">
        <v>3.6</v>
      </c>
      <c r="F2718" s="127"/>
      <c r="G2718" s="127"/>
      <c r="H2718" s="127"/>
      <c r="I2718" s="128"/>
      <c r="K2718" s="105" t="str">
        <f>IFERROR(__xludf.DUMMYFUNCTION("if(A2718="""","""",substitute(SUBSTITUTE(index(importhtml(""http://finviz.com/quote.ashx?t=""&amp;A2718,""table"",10),7,2),""*"",""""),""-"",""0.00""))"),"Loading...")</f>
        <v>Loading...</v>
      </c>
      <c r="L2718" s="129">
        <v>3.888187259E9</v>
      </c>
      <c r="M2718" s="99">
        <v>5.17</v>
      </c>
    </row>
    <row r="2719">
      <c r="A2719" s="122" t="s">
        <v>5861</v>
      </c>
      <c r="B2719" s="123">
        <v>924613.0</v>
      </c>
      <c r="C2719" s="124" t="s">
        <v>5829</v>
      </c>
      <c r="D2719" s="125"/>
      <c r="E2719" s="126">
        <v>3.6</v>
      </c>
      <c r="F2719" s="127"/>
      <c r="G2719" s="127"/>
      <c r="H2719" s="127"/>
      <c r="I2719" s="128"/>
      <c r="K2719" s="105" t="str">
        <f>IFERROR(__xludf.DUMMYFUNCTION("if(A2719="""","""",substitute(SUBSTITUTE(index(importhtml(""http://finviz.com/quote.ashx?t=""&amp;A2719,""table"",10),7,2),""*"",""""),""-"",""0.00""))"),"Loading...")</f>
        <v>Loading...</v>
      </c>
      <c r="L2719" s="129">
        <v>2.0111697579E10</v>
      </c>
      <c r="M2719" s="99">
        <v>1.02</v>
      </c>
    </row>
    <row r="2720">
      <c r="A2720" s="122" t="s">
        <v>5862</v>
      </c>
      <c r="B2720" s="123">
        <v>1456772.0</v>
      </c>
      <c r="C2720" s="124" t="s">
        <v>5863</v>
      </c>
      <c r="D2720" s="125"/>
      <c r="E2720" s="126">
        <v>3.61</v>
      </c>
      <c r="F2720" s="127"/>
      <c r="G2720" s="127"/>
      <c r="H2720" s="127"/>
      <c r="I2720" s="128"/>
      <c r="K2720" s="105" t="str">
        <f>IFERROR(__xludf.DUMMYFUNCTION("if(A2720="""","""",substitute(SUBSTITUTE(index(importhtml(""http://finviz.com/quote.ashx?t=""&amp;A2720,""table"",10),7,2),""*"",""""),""-"",""0.00""))"),"#N/A")</f>
        <v>#N/A</v>
      </c>
      <c r="L2720" s="129">
        <v>1.76008757E8</v>
      </c>
      <c r="M2720" s="99">
        <v>1.33</v>
      </c>
    </row>
    <row r="2721">
      <c r="A2721" s="122" t="s">
        <v>5864</v>
      </c>
      <c r="B2721" s="123">
        <v>845611.0</v>
      </c>
      <c r="C2721" s="124" t="s">
        <v>5865</v>
      </c>
      <c r="D2721" s="125"/>
      <c r="E2721" s="126">
        <v>3.63</v>
      </c>
      <c r="F2721" s="127"/>
      <c r="G2721" s="127"/>
      <c r="H2721" s="127"/>
      <c r="I2721" s="128"/>
      <c r="K2721" s="55" t="s">
        <v>5866</v>
      </c>
      <c r="L2721" s="129">
        <v>6.9995368E7</v>
      </c>
      <c r="M2721" s="99">
        <v>0.84</v>
      </c>
    </row>
    <row r="2722">
      <c r="A2722" s="122" t="s">
        <v>5867</v>
      </c>
      <c r="B2722" s="123">
        <v>1347178.0</v>
      </c>
      <c r="C2722" s="124" t="s">
        <v>5868</v>
      </c>
      <c r="D2722" s="125"/>
      <c r="E2722" s="126">
        <v>3.63</v>
      </c>
      <c r="F2722" s="127"/>
      <c r="G2722" s="127"/>
      <c r="H2722" s="127"/>
      <c r="I2722" s="128"/>
      <c r="K2722" s="105" t="str">
        <f>IFERROR(__xludf.DUMMYFUNCTION("if(A2722="""","""",substitute(SUBSTITUTE(index(importhtml(""http://finviz.com/quote.ashx?t=""&amp;A2722,""table"",10),7,2),""*"",""""),""-"",""0.00""))"),"#REF!")</f>
        <v>#REF!</v>
      </c>
      <c r="L2722" s="129">
        <v>2.08841202E8</v>
      </c>
      <c r="M2722" s="99">
        <v>0.68</v>
      </c>
    </row>
    <row r="2723">
      <c r="A2723" s="122" t="s">
        <v>5869</v>
      </c>
      <c r="B2723" s="123">
        <v>1041657.0</v>
      </c>
      <c r="C2723" s="124" t="s">
        <v>5870</v>
      </c>
      <c r="D2723" s="125"/>
      <c r="E2723" s="126">
        <v>3.64</v>
      </c>
      <c r="F2723" s="127"/>
      <c r="G2723" s="127"/>
      <c r="H2723" s="127"/>
      <c r="I2723" s="128"/>
      <c r="K2723" s="105" t="str">
        <f>IFERROR(__xludf.DUMMYFUNCTION("if(A2723="""","""",substitute(SUBSTITUTE(index(importhtml(""http://finviz.com/quote.ashx?t=""&amp;A2723,""table"",10),7,2),""*"",""""),""-"",""0.00""))"),"Loading...")</f>
        <v>Loading...</v>
      </c>
      <c r="L2723" s="129">
        <v>1.73361229E8</v>
      </c>
      <c r="M2723" s="99">
        <v>0.65</v>
      </c>
    </row>
    <row r="2724">
      <c r="A2724" s="122" t="s">
        <v>5871</v>
      </c>
      <c r="B2724" s="123">
        <v>1041514.0</v>
      </c>
      <c r="C2724" s="124" t="s">
        <v>5872</v>
      </c>
      <c r="D2724" s="125"/>
      <c r="E2724" s="126">
        <v>3.64</v>
      </c>
      <c r="F2724" s="127"/>
      <c r="G2724" s="127"/>
      <c r="H2724" s="127"/>
      <c r="I2724" s="128"/>
      <c r="K2724" s="105" t="str">
        <f>IFERROR(__xludf.DUMMYFUNCTION("if(A2724="""","""",substitute(SUBSTITUTE(index(importhtml(""http://finviz.com/quote.ashx?t=""&amp;A2724,""table"",10),7,2),""*"",""""),""-"",""0.00""))"),"Loading...")</f>
        <v>Loading...</v>
      </c>
      <c r="L2724" s="129">
        <v>2.27073376E8</v>
      </c>
      <c r="M2724" s="99">
        <v>1.05</v>
      </c>
    </row>
    <row r="2725">
      <c r="A2725" s="122" t="s">
        <v>5873</v>
      </c>
      <c r="B2725" s="123">
        <v>1509470.0</v>
      </c>
      <c r="C2725" s="124" t="s">
        <v>5874</v>
      </c>
      <c r="D2725" s="125"/>
      <c r="E2725" s="126">
        <v>3.65</v>
      </c>
      <c r="F2725" s="127"/>
      <c r="G2725" s="127"/>
      <c r="H2725" s="127"/>
      <c r="I2725" s="128"/>
      <c r="K2725" s="105" t="str">
        <f>IFERROR(__xludf.DUMMYFUNCTION("if(A2725="""","""",substitute(SUBSTITUTE(index(importhtml(""http://finviz.com/quote.ashx?t=""&amp;A2725,""table"",10),7,2),""*"",""""),""-"",""0.00""))"),"Loading...")</f>
        <v>Loading...</v>
      </c>
      <c r="L2725" s="129">
        <v>9.2877172E7</v>
      </c>
      <c r="M2725" s="99">
        <v>1.39</v>
      </c>
    </row>
    <row r="2726">
      <c r="A2726" s="122" t="s">
        <v>5875</v>
      </c>
      <c r="B2726" s="123">
        <v>1478320.0</v>
      </c>
      <c r="C2726" s="124" t="s">
        <v>5876</v>
      </c>
      <c r="D2726" s="125"/>
      <c r="E2726" s="126">
        <v>3.65</v>
      </c>
      <c r="F2726" s="127"/>
      <c r="G2726" s="127"/>
      <c r="H2726" s="127"/>
      <c r="I2726" s="128"/>
      <c r="K2726" s="105" t="str">
        <f>IFERROR(__xludf.DUMMYFUNCTION("if(A2726="""","""",substitute(SUBSTITUTE(index(importhtml(""http://finviz.com/quote.ashx?t=""&amp;A2726,""table"",10),7,2),""*"",""""),""-"",""0.00""))"),"Loading...")</f>
        <v>Loading...</v>
      </c>
      <c r="L2726" s="129">
        <v>5.28420368E8</v>
      </c>
      <c r="M2726" s="99">
        <v>1.25</v>
      </c>
    </row>
    <row r="2727">
      <c r="A2727" s="122" t="s">
        <v>5877</v>
      </c>
      <c r="B2727" s="123">
        <v>1563190.0</v>
      </c>
      <c r="C2727" s="124" t="s">
        <v>5878</v>
      </c>
      <c r="D2727" s="125"/>
      <c r="E2727" s="126">
        <v>3.65</v>
      </c>
      <c r="F2727" s="127"/>
      <c r="G2727" s="127"/>
      <c r="H2727" s="127"/>
      <c r="I2727" s="128"/>
      <c r="K2727" s="105" t="str">
        <f>IFERROR(__xludf.DUMMYFUNCTION("if(A2727="""","""",substitute(SUBSTITUTE(index(importhtml(""http://finviz.com/quote.ashx?t=""&amp;A2727,""table"",10),7,2),""*"",""""),""-"",""0.00""))"),"Loading...")</f>
        <v>Loading...</v>
      </c>
      <c r="L2727" s="129">
        <v>1.763112106E9</v>
      </c>
      <c r="M2727" s="99">
        <f>IFERROR(__xludf.DUMMYFUNCTION("GOOGLEFINANCE(A2727,""beta"")"),2.56)</f>
        <v>2.56</v>
      </c>
    </row>
    <row r="2728">
      <c r="A2728" s="122" t="s">
        <v>5879</v>
      </c>
      <c r="B2728" s="123">
        <v>827773.0</v>
      </c>
      <c r="C2728" s="124" t="s">
        <v>5880</v>
      </c>
      <c r="D2728" s="125"/>
      <c r="E2728" s="126">
        <v>3.66</v>
      </c>
      <c r="F2728" s="127"/>
      <c r="G2728" s="127"/>
      <c r="H2728" s="127"/>
      <c r="I2728" s="128"/>
      <c r="K2728" s="105" t="str">
        <f>IFERROR(__xludf.DUMMYFUNCTION("if(A2728="""","""",substitute(SUBSTITUTE(index(importhtml(""http://finviz.com/quote.ashx?t=""&amp;A2728,""table"",10),7,2),""*"",""""),""-"",""0.00""))"),"Loading...")</f>
        <v>Loading...</v>
      </c>
      <c r="L2728" s="129">
        <v>3.54153247E8</v>
      </c>
      <c r="M2728" s="99">
        <v>0.35</v>
      </c>
    </row>
    <row r="2729">
      <c r="A2729" s="122" t="s">
        <v>5881</v>
      </c>
      <c r="B2729" s="123">
        <v>1756594.0</v>
      </c>
      <c r="C2729" s="124" t="s">
        <v>5882</v>
      </c>
      <c r="D2729" s="125"/>
      <c r="E2729" s="126">
        <v>3.67</v>
      </c>
      <c r="F2729" s="127"/>
      <c r="G2729" s="127"/>
      <c r="H2729" s="127"/>
      <c r="I2729" s="128"/>
      <c r="K2729" s="105" t="str">
        <f>IFERROR(__xludf.DUMMYFUNCTION("if(A2729="""","""",substitute(SUBSTITUTE(index(importhtml(""http://finviz.com/quote.ashx?t=""&amp;A2729,""table"",10),7,2),""*"",""""),""-"",""0.00""))"),"Loading...")</f>
        <v>Loading...</v>
      </c>
      <c r="L2729" s="129">
        <v>1.76448576E8</v>
      </c>
      <c r="M2729" s="99">
        <f>IFERROR(__xludf.DUMMYFUNCTION("GOOGLEFINANCE(A2729,""beta"")"),-0.5)</f>
        <v>-0.5</v>
      </c>
    </row>
    <row r="2730">
      <c r="A2730" s="122" t="s">
        <v>5883</v>
      </c>
      <c r="B2730" s="123">
        <v>1390195.0</v>
      </c>
      <c r="C2730" s="124" t="s">
        <v>5884</v>
      </c>
      <c r="D2730" s="125"/>
      <c r="E2730" s="126">
        <v>3.68</v>
      </c>
      <c r="F2730" s="127"/>
      <c r="G2730" s="127"/>
      <c r="H2730" s="127"/>
      <c r="I2730" s="128"/>
      <c r="K2730" s="55" t="s">
        <v>5866</v>
      </c>
      <c r="L2730" s="129">
        <v>3.14301188E8</v>
      </c>
      <c r="M2730" s="99">
        <v>1.33</v>
      </c>
    </row>
    <row r="2731">
      <c r="A2731" s="122" t="s">
        <v>5885</v>
      </c>
      <c r="B2731" s="123">
        <v>1183765.0</v>
      </c>
      <c r="C2731" s="124" t="s">
        <v>5886</v>
      </c>
      <c r="D2731" s="125"/>
      <c r="E2731" s="126">
        <v>3.68</v>
      </c>
      <c r="F2731" s="127"/>
      <c r="G2731" s="127"/>
      <c r="H2731" s="127"/>
      <c r="I2731" s="128"/>
      <c r="K2731" s="105" t="str">
        <f>IFERROR(__xludf.DUMMYFUNCTION("if(A2731="""","""",substitute(SUBSTITUTE(index(importhtml(""http://finviz.com/quote.ashx?t=""&amp;A2731,""table"",10),7,2),""*"",""""),""-"",""0.00""))"),"Loading...")</f>
        <v>Loading...</v>
      </c>
      <c r="L2731" s="129">
        <v>1.9777299E7</v>
      </c>
      <c r="M2731" s="99">
        <v>1.19</v>
      </c>
    </row>
    <row r="2732">
      <c r="A2732" s="122" t="s">
        <v>5887</v>
      </c>
      <c r="B2732" s="123">
        <v>1782223.0</v>
      </c>
      <c r="C2732" s="124" t="s">
        <v>5888</v>
      </c>
      <c r="D2732" s="125"/>
      <c r="E2732" s="126">
        <v>3.68</v>
      </c>
      <c r="F2732" s="127"/>
      <c r="G2732" s="127"/>
      <c r="H2732" s="127"/>
      <c r="I2732" s="128"/>
      <c r="K2732" s="105" t="str">
        <f>IFERROR(__xludf.DUMMYFUNCTION("if(A2732="""","""",substitute(SUBSTITUTE(index(importhtml(""http://finviz.com/quote.ashx?t=""&amp;A2732,""table"",10),7,2),""*"",""""),""-"",""0.00""))"),"Loading...")</f>
        <v>Loading...</v>
      </c>
      <c r="L2732" s="129">
        <v>1.6310879E8</v>
      </c>
      <c r="M2732" s="99">
        <f>IFERROR(__xludf.DUMMYFUNCTION("GOOGLEFINANCE(A2732,""beta"")"),1.41)</f>
        <v>1.41</v>
      </c>
    </row>
    <row r="2733">
      <c r="A2733" s="122" t="s">
        <v>5889</v>
      </c>
      <c r="B2733" s="123">
        <v>1132105.0</v>
      </c>
      <c r="C2733" s="124" t="s">
        <v>5890</v>
      </c>
      <c r="D2733" s="125"/>
      <c r="E2733" s="126">
        <v>3.7</v>
      </c>
      <c r="F2733" s="127"/>
      <c r="G2733" s="127"/>
      <c r="H2733" s="127"/>
      <c r="I2733" s="128"/>
      <c r="K2733" s="105" t="str">
        <f>IFERROR(__xludf.DUMMYFUNCTION("if(A2733="""","""",substitute(SUBSTITUTE(index(importhtml(""http://finviz.com/quote.ashx?t=""&amp;A2733,""table"",10),7,2),""*"",""""),""-"",""0.00""))"),"Loading...")</f>
        <v>Loading...</v>
      </c>
      <c r="L2733" s="129">
        <v>1.3842503E8</v>
      </c>
      <c r="M2733" s="99">
        <v>0.82</v>
      </c>
    </row>
    <row r="2734">
      <c r="A2734" s="122" t="s">
        <v>5891</v>
      </c>
      <c r="B2734" s="123">
        <v>1756594.0</v>
      </c>
      <c r="C2734" s="124" t="s">
        <v>5892</v>
      </c>
      <c r="D2734" s="125"/>
      <c r="E2734" s="126">
        <v>3.7</v>
      </c>
      <c r="F2734" s="127"/>
      <c r="G2734" s="127"/>
      <c r="H2734" s="127"/>
      <c r="I2734" s="128"/>
      <c r="K2734" s="105" t="str">
        <f>IFERROR(__xludf.DUMMYFUNCTION("if(A2734="""","""",substitute(SUBSTITUTE(index(importhtml(""http://finviz.com/quote.ashx?t=""&amp;A2734,""table"",10),7,2),""*"",""""),""-"",""0.00""))"),"Loading...")</f>
        <v>Loading...</v>
      </c>
      <c r="L2734" s="129">
        <v>1.76448576E8</v>
      </c>
      <c r="M2734" s="99">
        <v>0.9</v>
      </c>
    </row>
    <row r="2735">
      <c r="A2735" s="122" t="s">
        <v>5893</v>
      </c>
      <c r="B2735" s="123">
        <v>1636651.0</v>
      </c>
      <c r="C2735" s="124" t="s">
        <v>5894</v>
      </c>
      <c r="D2735" s="125"/>
      <c r="E2735" s="126">
        <v>3.7</v>
      </c>
      <c r="F2735" s="127"/>
      <c r="G2735" s="127"/>
      <c r="H2735" s="127"/>
      <c r="I2735" s="128"/>
      <c r="K2735" s="105" t="str">
        <f>IFERROR(__xludf.DUMMYFUNCTION("if(A2735="""","""",substitute(SUBSTITUTE(index(importhtml(""http://finviz.com/quote.ashx?t=""&amp;A2735,""table"",10),7,2),""*"",""""),""-"",""0.00""))"),"Loading...")</f>
        <v>Loading...</v>
      </c>
      <c r="L2735" s="129">
        <v>2.61518001E8</v>
      </c>
      <c r="M2735" s="99">
        <v>0.73</v>
      </c>
    </row>
    <row r="2736">
      <c r="A2736" s="122" t="s">
        <v>5895</v>
      </c>
      <c r="B2736" s="123">
        <v>1756699.0</v>
      </c>
      <c r="C2736" s="124" t="s">
        <v>5896</v>
      </c>
      <c r="D2736" s="125"/>
      <c r="E2736" s="126">
        <v>3.7</v>
      </c>
      <c r="F2736" s="127"/>
      <c r="G2736" s="127"/>
      <c r="H2736" s="127"/>
      <c r="I2736" s="128"/>
      <c r="K2736" s="105" t="str">
        <f>IFERROR(__xludf.DUMMYFUNCTION("if(A2736="""","""",substitute(SUBSTITUTE(index(importhtml(""http://finviz.com/quote.ashx?t=""&amp;A2736,""table"",10),7,2),""*"",""""),""-"",""0.00""))"),"Loading...")</f>
        <v>Loading...</v>
      </c>
      <c r="L2736" s="129">
        <v>6.08315897E8</v>
      </c>
      <c r="M2736" s="99">
        <v>1.23</v>
      </c>
    </row>
    <row r="2737">
      <c r="A2737" s="122" t="s">
        <v>5897</v>
      </c>
      <c r="B2737" s="123">
        <v>1402606.0</v>
      </c>
      <c r="C2737" s="124" t="s">
        <v>5898</v>
      </c>
      <c r="D2737" s="125"/>
      <c r="E2737" s="126">
        <v>3.7</v>
      </c>
      <c r="F2737" s="127"/>
      <c r="G2737" s="127"/>
      <c r="H2737" s="127"/>
      <c r="I2737" s="128"/>
      <c r="K2737" s="105" t="str">
        <f>IFERROR(__xludf.DUMMYFUNCTION("if(A2737="""","""",substitute(SUBSTITUTE(index(importhtml(""http://finviz.com/quote.ashx?t=""&amp;A2737,""table"",10),7,2),""*"",""""),""-"",""0.00""))"),"Loading...")</f>
        <v>Loading...</v>
      </c>
      <c r="L2737" s="129">
        <v>1.467647958E9</v>
      </c>
      <c r="M2737" s="99" t="str">
        <f>IFERROR(__xludf.DUMMYFUNCTION("GOOGLEFINANCE(A2737,""beta"")"),"#N/A")</f>
        <v>#N/A</v>
      </c>
    </row>
    <row r="2738">
      <c r="A2738" s="122" t="s">
        <v>5899</v>
      </c>
      <c r="B2738" s="123">
        <v>310522.0</v>
      </c>
      <c r="C2738" s="124" t="s">
        <v>5900</v>
      </c>
      <c r="D2738" s="125"/>
      <c r="E2738" s="126">
        <v>3.7</v>
      </c>
      <c r="F2738" s="127"/>
      <c r="G2738" s="127"/>
      <c r="H2738" s="127"/>
      <c r="I2738" s="128"/>
      <c r="K2738" s="105" t="str">
        <f>IFERROR(__xludf.DUMMYFUNCTION("if(A2738="""","""",substitute(SUBSTITUTE(index(importhtml(""http://finviz.com/quote.ashx?t=""&amp;A2738,""table"",10),7,2),""*"",""""),""-"",""0.00""))"),"Loading...")</f>
        <v>Loading...</v>
      </c>
      <c r="L2738" s="129">
        <v>1.540255759E9</v>
      </c>
      <c r="M2738" s="99">
        <v>0.55</v>
      </c>
    </row>
    <row r="2739">
      <c r="A2739" s="122" t="s">
        <v>5901</v>
      </c>
      <c r="B2739" s="123">
        <v>1611746.0</v>
      </c>
      <c r="C2739" s="124" t="s">
        <v>5902</v>
      </c>
      <c r="D2739" s="125"/>
      <c r="E2739" s="126">
        <v>3.71</v>
      </c>
      <c r="F2739" s="127"/>
      <c r="G2739" s="127"/>
      <c r="H2739" s="127"/>
      <c r="I2739" s="128"/>
      <c r="K2739" s="105" t="str">
        <f>IFERROR(__xludf.DUMMYFUNCTION("if(A2739="""","""",substitute(SUBSTITUTE(index(importhtml(""http://finviz.com/quote.ashx?t=""&amp;A2739,""table"",10),7,2),""*"",""""),""-"",""0.00""))"),"Loading...")</f>
        <v>Loading...</v>
      </c>
      <c r="L2739" s="129">
        <v>2628309.0</v>
      </c>
      <c r="M2739" s="99">
        <f>IFERROR(__xludf.DUMMYFUNCTION("GOOGLEFINANCE(A2739,""beta"")"),1.22)</f>
        <v>1.22</v>
      </c>
    </row>
    <row r="2740">
      <c r="A2740" s="122" t="s">
        <v>5903</v>
      </c>
      <c r="B2740" s="123">
        <v>1517496.0</v>
      </c>
      <c r="C2740" s="124" t="s">
        <v>5904</v>
      </c>
      <c r="D2740" s="125"/>
      <c r="E2740" s="126">
        <v>3.71</v>
      </c>
      <c r="F2740" s="127"/>
      <c r="G2740" s="127"/>
      <c r="H2740" s="127"/>
      <c r="I2740" s="128"/>
      <c r="K2740" s="105" t="str">
        <f>IFERROR(__xludf.DUMMYFUNCTION("if(A2740="""","""",substitute(SUBSTITUTE(index(importhtml(""http://finviz.com/quote.ashx?t=""&amp;A2740,""table"",10),7,2),""*"",""""),""-"",""0.00""))"),"Loading...")</f>
        <v>Loading...</v>
      </c>
      <c r="L2740" s="129">
        <v>4.0803174E7</v>
      </c>
      <c r="M2740" s="99">
        <v>2.63</v>
      </c>
    </row>
    <row r="2741">
      <c r="A2741" s="122" t="s">
        <v>5905</v>
      </c>
      <c r="B2741" s="123">
        <v>1863362.0</v>
      </c>
      <c r="C2741" s="124" t="s">
        <v>5906</v>
      </c>
      <c r="D2741" s="125"/>
      <c r="E2741" s="126">
        <v>3.71</v>
      </c>
      <c r="F2741" s="127"/>
      <c r="G2741" s="127"/>
      <c r="H2741" s="127"/>
      <c r="I2741" s="128"/>
      <c r="K2741" s="105" t="str">
        <f>IFERROR(__xludf.DUMMYFUNCTION("if(A2741="""","""",substitute(SUBSTITUTE(index(importhtml(""http://finviz.com/quote.ashx?t=""&amp;A2741,""table"",10),7,2),""*"",""""),""-"",""0.00""))"),"#N/A")</f>
        <v>#N/A</v>
      </c>
      <c r="L2741" s="129">
        <v>4.18086953E8</v>
      </c>
      <c r="M2741" s="99">
        <v>0.19</v>
      </c>
    </row>
    <row r="2742">
      <c r="A2742" s="122" t="s">
        <v>5907</v>
      </c>
      <c r="B2742" s="123">
        <v>34563.0</v>
      </c>
      <c r="C2742" s="124" t="s">
        <v>5908</v>
      </c>
      <c r="D2742" s="125"/>
      <c r="E2742" s="126">
        <v>3.72</v>
      </c>
      <c r="F2742" s="127"/>
      <c r="G2742" s="127"/>
      <c r="H2742" s="127"/>
      <c r="I2742" s="128"/>
      <c r="K2742" s="105" t="str">
        <f>IFERROR(__xludf.DUMMYFUNCTION("if(A2742="""","""",substitute(SUBSTITUTE(index(importhtml(""http://finviz.com/quote.ashx?t=""&amp;A2742,""table"",10),7,2),""*"",""""),""-"",""0.00""))"),"Loading...")</f>
        <v>Loading...</v>
      </c>
      <c r="L2742" s="129">
        <v>7.7317782E7</v>
      </c>
      <c r="M2742" s="99">
        <v>1.76</v>
      </c>
    </row>
    <row r="2743">
      <c r="A2743" s="122" t="s">
        <v>5909</v>
      </c>
      <c r="B2743" s="123">
        <v>1726711.0</v>
      </c>
      <c r="C2743" s="124" t="s">
        <v>5910</v>
      </c>
      <c r="D2743" s="125"/>
      <c r="E2743" s="126">
        <v>3.73</v>
      </c>
      <c r="F2743" s="127"/>
      <c r="G2743" s="127"/>
      <c r="H2743" s="127"/>
      <c r="I2743" s="128"/>
      <c r="K2743" s="105" t="str">
        <f>IFERROR(__xludf.DUMMYFUNCTION("if(A2743="""","""",substitute(SUBSTITUTE(index(importhtml(""http://finviz.com/quote.ashx?t=""&amp;A2743,""table"",10),7,2),""*"",""""),""-"",""0.00""))"),"Loading...")</f>
        <v>Loading...</v>
      </c>
      <c r="L2743" s="129">
        <v>1648101.0</v>
      </c>
      <c r="M2743" s="99">
        <v>1.05</v>
      </c>
    </row>
    <row r="2744">
      <c r="A2744" s="122" t="s">
        <v>5911</v>
      </c>
      <c r="B2744" s="123">
        <v>1026214.0</v>
      </c>
      <c r="C2744" s="124" t="s">
        <v>5912</v>
      </c>
      <c r="D2744" s="125"/>
      <c r="E2744" s="126">
        <v>3.73</v>
      </c>
      <c r="F2744" s="127"/>
      <c r="G2744" s="127"/>
      <c r="H2744" s="127"/>
      <c r="I2744" s="128"/>
      <c r="K2744" s="105" t="str">
        <f>IFERROR(__xludf.DUMMYFUNCTION("if(A2744="""","""",substitute(SUBSTITUTE(index(importhtml(""http://finviz.com/quote.ashx?t=""&amp;A2744,""table"",10),7,2),""*"",""""),""-"",""0.00""))"),"Loading...")</f>
        <v>Loading...</v>
      </c>
      <c r="L2744" s="129">
        <v>7.08564876E8</v>
      </c>
      <c r="M2744" s="99">
        <v>0.56</v>
      </c>
    </row>
    <row r="2745">
      <c r="A2745" s="122" t="s">
        <v>5913</v>
      </c>
      <c r="B2745" s="123">
        <v>1335730.0</v>
      </c>
      <c r="C2745" s="124" t="s">
        <v>5914</v>
      </c>
      <c r="D2745" s="125"/>
      <c r="E2745" s="126">
        <v>3.73</v>
      </c>
      <c r="F2745" s="127"/>
      <c r="G2745" s="127"/>
      <c r="H2745" s="127"/>
      <c r="I2745" s="128"/>
      <c r="K2745" s="105" t="str">
        <f>IFERROR(__xludf.DUMMYFUNCTION("if(A2745="""","""",substitute(SUBSTITUTE(index(importhtml(""http://finviz.com/quote.ashx?t=""&amp;A2745,""table"",10),7,2),""*"",""""),""-"",""0.00""))"),"Loading...")</f>
        <v>Loading...</v>
      </c>
      <c r="L2745" s="129">
        <v>4.705036944E10</v>
      </c>
      <c r="M2745" s="99">
        <v>0.45</v>
      </c>
    </row>
    <row r="2746">
      <c r="A2746" s="122" t="s">
        <v>5915</v>
      </c>
      <c r="B2746" s="123">
        <v>1009891.0</v>
      </c>
      <c r="C2746" s="124" t="s">
        <v>5916</v>
      </c>
      <c r="D2746" s="125"/>
      <c r="E2746" s="126">
        <v>3.74</v>
      </c>
      <c r="F2746" s="127"/>
      <c r="G2746" s="127"/>
      <c r="H2746" s="127"/>
      <c r="I2746" s="128"/>
      <c r="K2746" s="105" t="str">
        <f>IFERROR(__xludf.DUMMYFUNCTION("if(A2746="""","""",substitute(SUBSTITUTE(index(importhtml(""http://finviz.com/quote.ashx?t=""&amp;A2746,""table"",10),7,2),""*"",""""),""-"",""0.00""))"),"Loading...")</f>
        <v>Loading...</v>
      </c>
      <c r="L2746" s="129">
        <v>1.2353384E7</v>
      </c>
      <c r="M2746" s="99">
        <v>0.59</v>
      </c>
    </row>
    <row r="2747">
      <c r="A2747" s="122" t="s">
        <v>5917</v>
      </c>
      <c r="B2747" s="123">
        <v>1196298.0</v>
      </c>
      <c r="C2747" s="124" t="s">
        <v>5918</v>
      </c>
      <c r="D2747" s="125"/>
      <c r="E2747" s="126">
        <v>3.74</v>
      </c>
      <c r="F2747" s="127"/>
      <c r="G2747" s="127"/>
      <c r="H2747" s="127"/>
      <c r="I2747" s="128"/>
      <c r="K2747" s="105" t="str">
        <f>IFERROR(__xludf.DUMMYFUNCTION("if(A2747="""","""",substitute(SUBSTITUTE(index(importhtml(""http://finviz.com/quote.ashx?t=""&amp;A2747,""table"",10),7,2),""*"",""""),""-"",""0.00""))"),"Loading...")</f>
        <v>Loading...</v>
      </c>
      <c r="L2747" s="129">
        <v>3.9213638E7</v>
      </c>
      <c r="M2747" s="99">
        <v>1.37</v>
      </c>
    </row>
    <row r="2748">
      <c r="A2748" s="122" t="s">
        <v>5919</v>
      </c>
      <c r="B2748" s="123">
        <v>1569963.0</v>
      </c>
      <c r="C2748" s="124" t="s">
        <v>5920</v>
      </c>
      <c r="D2748" s="125"/>
      <c r="E2748" s="126">
        <v>3.74</v>
      </c>
      <c r="F2748" s="127"/>
      <c r="G2748" s="127"/>
      <c r="H2748" s="127"/>
      <c r="I2748" s="128"/>
      <c r="K2748" s="105" t="str">
        <f>IFERROR(__xludf.DUMMYFUNCTION("if(A2748="""","""",substitute(SUBSTITUTE(index(importhtml(""http://finviz.com/quote.ashx?t=""&amp;A2748,""table"",10),7,2),""*"",""""),""-"",""0.00""))"),"Loading...")</f>
        <v>Loading...</v>
      </c>
      <c r="L2748" s="129">
        <v>2.600142428E10</v>
      </c>
      <c r="M2748" s="99">
        <v>0.92</v>
      </c>
    </row>
    <row r="2749">
      <c r="A2749" s="122" t="s">
        <v>5921</v>
      </c>
      <c r="B2749" s="123">
        <v>1651721.0</v>
      </c>
      <c r="C2749" s="124" t="s">
        <v>5922</v>
      </c>
      <c r="D2749" s="125"/>
      <c r="E2749" s="126">
        <v>3.75</v>
      </c>
      <c r="F2749" s="127"/>
      <c r="G2749" s="127"/>
      <c r="H2749" s="127"/>
      <c r="I2749" s="128"/>
      <c r="K2749" s="105" t="str">
        <f>IFERROR(__xludf.DUMMYFUNCTION("if(A2749="""","""",substitute(SUBSTITUTE(index(importhtml(""http://finviz.com/quote.ashx?t=""&amp;A2749,""table"",10),7,2),""*"",""""),""-"",""0.00""))"),"Loading...")</f>
        <v>Loading...</v>
      </c>
      <c r="L2749" s="129">
        <v>9848692.0</v>
      </c>
      <c r="M2749" s="99">
        <v>-49.58</v>
      </c>
    </row>
    <row r="2750">
      <c r="A2750" s="122" t="s">
        <v>5923</v>
      </c>
      <c r="B2750" s="123">
        <v>1279704.0</v>
      </c>
      <c r="C2750" s="124" t="s">
        <v>5924</v>
      </c>
      <c r="D2750" s="125"/>
      <c r="E2750" s="126">
        <v>3.76</v>
      </c>
      <c r="F2750" s="127"/>
      <c r="G2750" s="127"/>
      <c r="H2750" s="127"/>
      <c r="I2750" s="128"/>
      <c r="K2750" s="105" t="str">
        <f>IFERROR(__xludf.DUMMYFUNCTION("if(A2750="""","""",substitute(SUBSTITUTE(index(importhtml(""http://finviz.com/quote.ashx?t=""&amp;A2750,""table"",10),7,2),""*"",""""),""-"",""0.00""))"),"Loading...")</f>
        <v>Loading...</v>
      </c>
      <c r="L2750" s="129">
        <v>4.6204083E7</v>
      </c>
      <c r="M2750" s="99">
        <v>0.94</v>
      </c>
    </row>
    <row r="2751">
      <c r="A2751" s="122" t="s">
        <v>5925</v>
      </c>
      <c r="B2751" s="123">
        <v>1313510.0</v>
      </c>
      <c r="C2751" s="124" t="s">
        <v>5926</v>
      </c>
      <c r="D2751" s="125"/>
      <c r="E2751" s="126">
        <v>3.77</v>
      </c>
      <c r="F2751" s="127"/>
      <c r="G2751" s="127"/>
      <c r="H2751" s="127"/>
      <c r="I2751" s="128"/>
      <c r="K2751" s="55" t="s">
        <v>5927</v>
      </c>
      <c r="L2751" s="129">
        <v>5.80406015E8</v>
      </c>
      <c r="M2751" s="99">
        <v>0.79</v>
      </c>
    </row>
    <row r="2752">
      <c r="A2752" s="122" t="s">
        <v>5928</v>
      </c>
      <c r="B2752" s="123">
        <v>27093.0</v>
      </c>
      <c r="C2752" s="124" t="s">
        <v>5929</v>
      </c>
      <c r="D2752" s="125"/>
      <c r="E2752" s="126">
        <v>3.77</v>
      </c>
      <c r="F2752" s="127"/>
      <c r="G2752" s="127"/>
      <c r="H2752" s="127"/>
      <c r="I2752" s="128"/>
      <c r="K2752" s="105" t="str">
        <f>IFERROR(__xludf.DUMMYFUNCTION("if(A2752="""","""",substitute(SUBSTITUTE(index(importhtml(""http://finviz.com/quote.ashx?t=""&amp;A2752,""table"",10),7,2),""*"",""""),""-"",""0.00""))"),"#REF!")</f>
        <v>#REF!</v>
      </c>
      <c r="L2752" s="129">
        <v>3.5201647E7</v>
      </c>
      <c r="M2752" s="99">
        <v>1.3</v>
      </c>
    </row>
    <row r="2753">
      <c r="A2753" s="122" t="s">
        <v>5930</v>
      </c>
      <c r="B2753" s="123">
        <v>1873835.0</v>
      </c>
      <c r="C2753" s="124" t="s">
        <v>5931</v>
      </c>
      <c r="D2753" s="125"/>
      <c r="E2753" s="126">
        <v>3.77</v>
      </c>
      <c r="F2753" s="127"/>
      <c r="G2753" s="127"/>
      <c r="H2753" s="127"/>
      <c r="I2753" s="128"/>
      <c r="K2753" s="105" t="str">
        <f>IFERROR(__xludf.DUMMYFUNCTION("if(A2753="""","""",substitute(SUBSTITUTE(index(importhtml(""http://finviz.com/quote.ashx?t=""&amp;A2753,""table"",10),7,2),""*"",""""),""-"",""0.00""))"),"Loading...")</f>
        <v>Loading...</v>
      </c>
      <c r="L2753" s="129">
        <v>7.4899419E7</v>
      </c>
      <c r="M2753" s="99">
        <f>IFERROR(__xludf.DUMMYFUNCTION("GOOGLEFINANCE(A2753,""beta"")"),0.34)</f>
        <v>0.34</v>
      </c>
    </row>
    <row r="2754">
      <c r="A2754" s="122" t="s">
        <v>5932</v>
      </c>
      <c r="B2754" s="123">
        <v>1918056.0</v>
      </c>
      <c r="C2754" s="124" t="s">
        <v>5933</v>
      </c>
      <c r="D2754" s="125"/>
      <c r="E2754" s="126">
        <v>3.77</v>
      </c>
      <c r="F2754" s="127"/>
      <c r="G2754" s="127"/>
      <c r="H2754" s="127"/>
      <c r="I2754" s="128"/>
      <c r="K2754" s="105" t="str">
        <f>IFERROR(__xludf.DUMMYFUNCTION("if(A2754="""","""",substitute(SUBSTITUTE(index(importhtml(""http://finviz.com/quote.ashx?t=""&amp;A2754,""table"",10),7,2),""*"",""""),""-"",""0.00""))"),"Loading...")</f>
        <v>Loading...</v>
      </c>
      <c r="L2754" s="129">
        <v>3.26969157E8</v>
      </c>
      <c r="M2754" s="99">
        <f>IFERROR(__xludf.DUMMYFUNCTION("GOOGLEFINANCE(A2754,""beta"")"),0.51)</f>
        <v>0.51</v>
      </c>
    </row>
    <row r="2755">
      <c r="A2755" s="122" t="s">
        <v>5934</v>
      </c>
      <c r="B2755" s="123">
        <v>1444327.0</v>
      </c>
      <c r="C2755" s="124" t="s">
        <v>5935</v>
      </c>
      <c r="D2755" s="125"/>
      <c r="E2755" s="126">
        <v>3.77</v>
      </c>
      <c r="F2755" s="127"/>
      <c r="G2755" s="127"/>
      <c r="H2755" s="127"/>
      <c r="I2755" s="128"/>
      <c r="K2755" s="105" t="str">
        <f>IFERROR(__xludf.DUMMYFUNCTION("if(A2755="""","""",substitute(SUBSTITUTE(index(importhtml(""http://finviz.com/quote.ashx?t=""&amp;A2755,""table"",10),7,2),""*"",""""),""-"",""0.00""))"),"Loading...")</f>
        <v>Loading...</v>
      </c>
      <c r="L2755" s="129">
        <v>5.449267697E9</v>
      </c>
      <c r="M2755" s="99">
        <v>1.22</v>
      </c>
    </row>
    <row r="2756">
      <c r="A2756" s="122" t="s">
        <v>5936</v>
      </c>
      <c r="B2756" s="123">
        <v>1108109.0</v>
      </c>
      <c r="C2756" s="124" t="s">
        <v>5937</v>
      </c>
      <c r="D2756" s="125"/>
      <c r="E2756" s="126">
        <v>3.78</v>
      </c>
      <c r="F2756" s="127"/>
      <c r="G2756" s="127"/>
      <c r="H2756" s="127"/>
      <c r="I2756" s="128"/>
      <c r="K2756" s="55" t="s">
        <v>1034</v>
      </c>
      <c r="L2756" s="129">
        <v>5.17107398E8</v>
      </c>
      <c r="M2756" s="99">
        <v>1.59</v>
      </c>
    </row>
    <row r="2757">
      <c r="A2757" s="122" t="s">
        <v>5938</v>
      </c>
      <c r="B2757" s="123">
        <v>719413.0</v>
      </c>
      <c r="C2757" s="124" t="s">
        <v>5939</v>
      </c>
      <c r="D2757" s="125"/>
      <c r="E2757" s="126">
        <v>3.78</v>
      </c>
      <c r="F2757" s="127"/>
      <c r="G2757" s="127"/>
      <c r="H2757" s="127"/>
      <c r="I2757" s="128"/>
      <c r="K2757" s="138" t="s">
        <v>5940</v>
      </c>
      <c r="L2757" s="129">
        <v>2.336919588E9</v>
      </c>
      <c r="M2757" s="99">
        <v>2.19</v>
      </c>
    </row>
    <row r="2758">
      <c r="A2758" s="122" t="s">
        <v>5941</v>
      </c>
      <c r="B2758" s="123">
        <v>1649009.0</v>
      </c>
      <c r="C2758" s="124" t="s">
        <v>1504</v>
      </c>
      <c r="D2758" s="125"/>
      <c r="E2758" s="126">
        <v>3.78</v>
      </c>
      <c r="F2758" s="127"/>
      <c r="G2758" s="127"/>
      <c r="H2758" s="127"/>
      <c r="I2758" s="128"/>
      <c r="K2758" s="105" t="str">
        <f>IFERROR(__xludf.DUMMYFUNCTION("if(A2758="""","""",substitute(SUBSTITUTE(index(importhtml(""http://finviz.com/quote.ashx?t=""&amp;A2758,""table"",10),7,2),""*"",""""),""-"",""0.00""))"),"Loading...")</f>
        <v>Loading...</v>
      </c>
      <c r="L2758" s="129">
        <v>2101780.0</v>
      </c>
      <c r="M2758" s="99">
        <v>1.26</v>
      </c>
    </row>
    <row r="2759">
      <c r="A2759" s="122" t="s">
        <v>5942</v>
      </c>
      <c r="B2759" s="123">
        <v>1678848.0</v>
      </c>
      <c r="C2759" s="124" t="s">
        <v>5943</v>
      </c>
      <c r="D2759" s="125"/>
      <c r="E2759" s="126">
        <v>3.78</v>
      </c>
      <c r="F2759" s="127"/>
      <c r="G2759" s="127"/>
      <c r="H2759" s="127"/>
      <c r="I2759" s="128"/>
      <c r="K2759" s="105" t="str">
        <f>IFERROR(__xludf.DUMMYFUNCTION("if(A2759="""","""",substitute(SUBSTITUTE(index(importhtml(""http://finviz.com/quote.ashx?t=""&amp;A2759,""table"",10),7,2),""*"",""""),""-"",""0.00""))"),"Loading...")</f>
        <v>Loading...</v>
      </c>
      <c r="L2759" s="129">
        <v>2.7407838E7</v>
      </c>
      <c r="M2759" s="99">
        <v>-10.35</v>
      </c>
    </row>
    <row r="2760">
      <c r="A2760" s="122" t="s">
        <v>5944</v>
      </c>
      <c r="B2760" s="123">
        <v>911216.0</v>
      </c>
      <c r="C2760" s="124" t="s">
        <v>5945</v>
      </c>
      <c r="D2760" s="125"/>
      <c r="E2760" s="126">
        <v>3.78</v>
      </c>
      <c r="F2760" s="127"/>
      <c r="G2760" s="127"/>
      <c r="H2760" s="127"/>
      <c r="I2760" s="128"/>
      <c r="K2760" s="105" t="str">
        <f>IFERROR(__xludf.DUMMYFUNCTION("if(A2760="""","""",substitute(SUBSTITUTE(index(importhtml(""http://finviz.com/quote.ashx?t=""&amp;A2760,""table"",10),7,2),""*"",""""),""-"",""0.00""))"),"Loading...")</f>
        <v>Loading...</v>
      </c>
      <c r="L2760" s="129">
        <v>5.1926351E7</v>
      </c>
      <c r="M2760" s="99">
        <v>1.12</v>
      </c>
    </row>
    <row r="2761">
      <c r="A2761" s="122" t="s">
        <v>5946</v>
      </c>
      <c r="B2761" s="123">
        <v>1845097.0</v>
      </c>
      <c r="C2761" s="124" t="s">
        <v>5947</v>
      </c>
      <c r="D2761" s="125"/>
      <c r="E2761" s="126">
        <v>3.78</v>
      </c>
      <c r="F2761" s="127"/>
      <c r="G2761" s="127"/>
      <c r="H2761" s="127"/>
      <c r="I2761" s="128"/>
      <c r="K2761" s="105" t="str">
        <f>IFERROR(__xludf.DUMMYFUNCTION("if(A2761="""","""",substitute(SUBSTITUTE(index(importhtml(""http://finviz.com/quote.ashx?t=""&amp;A2761,""table"",10),7,2),""*"",""""),""-"",""0.00""))"),"Loading...")</f>
        <v>Loading...</v>
      </c>
      <c r="L2761" s="129">
        <v>2.258886402E9</v>
      </c>
      <c r="M2761" s="99">
        <v>0.77</v>
      </c>
    </row>
    <row r="2762">
      <c r="A2762" s="122" t="s">
        <v>5948</v>
      </c>
      <c r="B2762" s="123">
        <v>1878848.0</v>
      </c>
      <c r="C2762" s="124" t="s">
        <v>5949</v>
      </c>
      <c r="D2762" s="125"/>
      <c r="E2762" s="126">
        <v>3.79</v>
      </c>
      <c r="F2762" s="127"/>
      <c r="G2762" s="127"/>
      <c r="H2762" s="127"/>
      <c r="I2762" s="128"/>
      <c r="K2762" s="105" t="str">
        <f>IFERROR(__xludf.DUMMYFUNCTION("if(A2762="""","""",substitute(SUBSTITUTE(index(importhtml(""http://finviz.com/quote.ashx?t=""&amp;A2762,""table"",10),7,2),""*"",""""),""-"",""0.00""))"),"Loading...")</f>
        <v>Loading...</v>
      </c>
      <c r="L2762" s="129">
        <v>2.54272499E8</v>
      </c>
      <c r="M2762" s="99">
        <f>IFERROR(__xludf.DUMMYFUNCTION("GOOGLEFINANCE(A2762,""beta"")"),4.21)</f>
        <v>4.21</v>
      </c>
    </row>
    <row r="2763">
      <c r="A2763" s="122" t="s">
        <v>5950</v>
      </c>
      <c r="B2763" s="123">
        <v>1444327.0</v>
      </c>
      <c r="C2763" s="124" t="s">
        <v>5951</v>
      </c>
      <c r="D2763" s="125"/>
      <c r="E2763" s="126">
        <v>3.79</v>
      </c>
      <c r="F2763" s="127"/>
      <c r="G2763" s="127"/>
      <c r="H2763" s="127"/>
      <c r="I2763" s="128"/>
      <c r="K2763" s="105" t="str">
        <f>IFERROR(__xludf.DUMMYFUNCTION("if(A2763="""","""",substitute(SUBSTITUTE(index(importhtml(""http://finviz.com/quote.ashx?t=""&amp;A2763,""table"",10),7,2),""*"",""""),""-"",""0.00""))"),"Loading...")</f>
        <v>Loading...</v>
      </c>
      <c r="L2763" s="129">
        <v>5.449267697E9</v>
      </c>
      <c r="M2763" s="99">
        <v>1.25</v>
      </c>
    </row>
    <row r="2764">
      <c r="A2764" s="122" t="s">
        <v>5952</v>
      </c>
      <c r="B2764" s="123">
        <v>1534525.0</v>
      </c>
      <c r="C2764" s="124" t="s">
        <v>5953</v>
      </c>
      <c r="D2764" s="125"/>
      <c r="E2764" s="126">
        <v>3.8</v>
      </c>
      <c r="F2764" s="127"/>
      <c r="G2764" s="127"/>
      <c r="H2764" s="127"/>
      <c r="I2764" s="128"/>
      <c r="K2764" s="105" t="str">
        <f>IFERROR(__xludf.DUMMYFUNCTION("if(A2764="""","""",substitute(SUBSTITUTE(index(importhtml(""http://finviz.com/quote.ashx?t=""&amp;A2764,""table"",10),7,2),""*"",""""),""-"",""0.00""))"),"Loading...")</f>
        <v>Loading...</v>
      </c>
      <c r="L2764" s="129">
        <v>5862415.0</v>
      </c>
      <c r="M2764" s="99">
        <v>2.63</v>
      </c>
    </row>
    <row r="2765">
      <c r="A2765" s="122" t="s">
        <v>5954</v>
      </c>
      <c r="B2765" s="123">
        <v>1782594.0</v>
      </c>
      <c r="C2765" s="124" t="s">
        <v>5955</v>
      </c>
      <c r="D2765" s="125"/>
      <c r="E2765" s="126">
        <v>3.8</v>
      </c>
      <c r="F2765" s="127"/>
      <c r="G2765" s="127"/>
      <c r="H2765" s="127"/>
      <c r="I2765" s="128"/>
      <c r="K2765" s="105" t="str">
        <f>IFERROR(__xludf.DUMMYFUNCTION("if(A2765="""","""",substitute(SUBSTITUTE(index(importhtml(""http://finviz.com/quote.ashx?t=""&amp;A2765,""table"",10),7,2),""*"",""""),""-"",""0.00""))"),"Loading...")</f>
        <v>Loading...</v>
      </c>
      <c r="L2765" s="129">
        <v>1.20014562E8</v>
      </c>
      <c r="M2765" s="99">
        <v>0.48</v>
      </c>
    </row>
    <row r="2766">
      <c r="A2766" s="122" t="s">
        <v>5956</v>
      </c>
      <c r="B2766" s="123">
        <v>1326003.0</v>
      </c>
      <c r="C2766" s="124" t="s">
        <v>5957</v>
      </c>
      <c r="D2766" s="125"/>
      <c r="E2766" s="126">
        <v>3.8</v>
      </c>
      <c r="F2766" s="127"/>
      <c r="G2766" s="127"/>
      <c r="H2766" s="127"/>
      <c r="I2766" s="128"/>
      <c r="K2766" s="105" t="str">
        <f>IFERROR(__xludf.DUMMYFUNCTION("if(A2766="""","""",substitute(SUBSTITUTE(index(importhtml(""http://finviz.com/quote.ashx?t=""&amp;A2766,""table"",10),7,2),""*"",""""),""-"",""0.00""))"),"Loading...")</f>
        <v>Loading...</v>
      </c>
      <c r="L2766" s="129">
        <v>2.75773216E8</v>
      </c>
      <c r="M2766" s="99">
        <v>1.4</v>
      </c>
    </row>
    <row r="2767">
      <c r="A2767" s="122" t="s">
        <v>5958</v>
      </c>
      <c r="B2767" s="123">
        <v>1742927.0</v>
      </c>
      <c r="C2767" s="124" t="s">
        <v>5959</v>
      </c>
      <c r="D2767" s="125"/>
      <c r="E2767" s="126">
        <v>3.81</v>
      </c>
      <c r="F2767" s="127"/>
      <c r="G2767" s="127"/>
      <c r="H2767" s="127"/>
      <c r="I2767" s="128"/>
      <c r="K2767" s="105" t="str">
        <f>IFERROR(__xludf.DUMMYFUNCTION("if(A2767="""","""",substitute(SUBSTITUTE(index(importhtml(""http://finviz.com/quote.ashx?t=""&amp;A2767,""table"",10),7,2),""*"",""""),""-"",""0.00""))"),"Loading...")</f>
        <v>Loading...</v>
      </c>
      <c r="L2767" s="129">
        <v>1.06369673E8</v>
      </c>
      <c r="M2767" s="99">
        <v>-0.02</v>
      </c>
    </row>
    <row r="2768">
      <c r="A2768" s="122" t="s">
        <v>5960</v>
      </c>
      <c r="B2768" s="123">
        <v>1800347.0</v>
      </c>
      <c r="C2768" s="124" t="s">
        <v>5961</v>
      </c>
      <c r="D2768" s="125"/>
      <c r="E2768" s="126">
        <v>3.81</v>
      </c>
      <c r="F2768" s="127"/>
      <c r="G2768" s="127"/>
      <c r="H2768" s="127"/>
      <c r="I2768" s="128"/>
      <c r="K2768" s="105" t="str">
        <f>IFERROR(__xludf.DUMMYFUNCTION("if(A2768="""","""",substitute(SUBSTITUTE(index(importhtml(""http://finviz.com/quote.ashx?t=""&amp;A2768,""table"",10),7,2),""*"",""""),""-"",""0.00""))"),"Loading...")</f>
        <v>Loading...</v>
      </c>
      <c r="L2768" s="129">
        <v>1.165856934E9</v>
      </c>
      <c r="M2768" s="99">
        <v>0.98</v>
      </c>
    </row>
    <row r="2769">
      <c r="A2769" s="122" t="s">
        <v>5962</v>
      </c>
      <c r="B2769" s="123">
        <v>1090396.0</v>
      </c>
      <c r="C2769" s="124" t="s">
        <v>5963</v>
      </c>
      <c r="D2769" s="125"/>
      <c r="E2769" s="126">
        <v>3.82</v>
      </c>
      <c r="F2769" s="127"/>
      <c r="G2769" s="127"/>
      <c r="H2769" s="127"/>
      <c r="I2769" s="128"/>
      <c r="K2769" s="105" t="str">
        <f>IFERROR(__xludf.DUMMYFUNCTION("if(A2769="""","""",substitute(SUBSTITUTE(index(importhtml(""http://finviz.com/quote.ashx?t=""&amp;A2769,""table"",10),7,2),""*"",""""),""-"",""0.00""))"),"Loading...")</f>
        <v>Loading...</v>
      </c>
      <c r="L2769" s="129">
        <v>1.7705183E7</v>
      </c>
      <c r="M2769" s="99">
        <v>0.8</v>
      </c>
    </row>
    <row r="2770">
      <c r="A2770" s="122" t="s">
        <v>5964</v>
      </c>
      <c r="B2770" s="123">
        <v>1091587.0</v>
      </c>
      <c r="C2770" s="124" t="s">
        <v>5965</v>
      </c>
      <c r="D2770" s="125"/>
      <c r="E2770" s="126">
        <v>3.82</v>
      </c>
      <c r="F2770" s="127"/>
      <c r="G2770" s="127"/>
      <c r="H2770" s="127"/>
      <c r="I2770" s="128"/>
      <c r="K2770" s="105" t="str">
        <f>IFERROR(__xludf.DUMMYFUNCTION("if(A2770="""","""",substitute(SUBSTITUTE(index(importhtml(""http://finviz.com/quote.ashx?t=""&amp;A2770,""table"",10),7,2),""*"",""""),""-"",""0.00""))"),"Loading...")</f>
        <v>Loading...</v>
      </c>
      <c r="L2770" s="129">
        <v>1.064449857E9</v>
      </c>
      <c r="M2770" s="99" t="str">
        <f>IFERROR(__xludf.DUMMYFUNCTION("GOOGLEFINANCE(A2770,""beta"")"),"#N/A")</f>
        <v>#N/A</v>
      </c>
    </row>
    <row r="2771">
      <c r="A2771" s="122" t="s">
        <v>5966</v>
      </c>
      <c r="B2771" s="123">
        <v>1648257.0</v>
      </c>
      <c r="C2771" s="124" t="s">
        <v>5967</v>
      </c>
      <c r="D2771" s="125"/>
      <c r="E2771" s="126">
        <v>3.82</v>
      </c>
      <c r="F2771" s="127"/>
      <c r="G2771" s="127"/>
      <c r="H2771" s="127"/>
      <c r="I2771" s="128"/>
      <c r="K2771" s="105" t="str">
        <f>IFERROR(__xludf.DUMMYFUNCTION("if(A2771="""","""",substitute(SUBSTITUTE(index(importhtml(""http://finviz.com/quote.ashx?t=""&amp;A2771,""table"",10),7,2),""*"",""""),""-"",""0.00""))"),"Loading...")</f>
        <v>Loading...</v>
      </c>
      <c r="L2771" s="129">
        <v>2.143642944E9</v>
      </c>
      <c r="M2771" s="99" t="str">
        <f>IFERROR(__xludf.DUMMYFUNCTION("GOOGLEFINANCE(A2771,""beta"")"),"#N/A")</f>
        <v>#N/A</v>
      </c>
    </row>
    <row r="2772">
      <c r="A2772" s="122" t="s">
        <v>5968</v>
      </c>
      <c r="B2772" s="123">
        <v>1487533.0</v>
      </c>
      <c r="C2772" s="124" t="s">
        <v>5969</v>
      </c>
      <c r="D2772" s="125"/>
      <c r="E2772" s="126">
        <v>3.83</v>
      </c>
      <c r="F2772" s="127"/>
      <c r="G2772" s="127"/>
      <c r="H2772" s="127"/>
      <c r="I2772" s="128"/>
      <c r="K2772" s="105" t="str">
        <f>IFERROR(__xludf.DUMMYFUNCTION("if(A2772="""","""",substitute(SUBSTITUTE(index(importhtml(""http://finviz.com/quote.ashx?t=""&amp;A2772,""table"",10),7,2),""*"",""""),""-"",""0.00""))"),"Loading...")</f>
        <v>Loading...</v>
      </c>
      <c r="L2772" s="129">
        <v>1.819406789044E12</v>
      </c>
      <c r="M2772" s="99">
        <f>IFERROR(__xludf.DUMMYFUNCTION("GOOGLEFINANCE(A2772,""beta"")"),-4.39)</f>
        <v>-4.39</v>
      </c>
    </row>
    <row r="2773">
      <c r="A2773" s="122" t="s">
        <v>5970</v>
      </c>
      <c r="B2773" s="123">
        <v>1697818.0</v>
      </c>
      <c r="C2773" s="124" t="s">
        <v>5971</v>
      </c>
      <c r="D2773" s="125"/>
      <c r="E2773" s="126">
        <v>3.84</v>
      </c>
      <c r="F2773" s="127"/>
      <c r="G2773" s="127"/>
      <c r="H2773" s="127"/>
      <c r="I2773" s="128"/>
      <c r="K2773" s="105" t="str">
        <f>IFERROR(__xludf.DUMMYFUNCTION("if(A2773="""","""",substitute(SUBSTITUTE(index(importhtml(""http://finviz.com/quote.ashx?t=""&amp;A2773,""table"",10),7,2),""*"",""""),""-"",""0.00""))"),"Loading...")</f>
        <v>Loading...</v>
      </c>
      <c r="L2773" s="129">
        <v>3.8025042E7</v>
      </c>
      <c r="M2773" s="99">
        <v>0.28</v>
      </c>
    </row>
    <row r="2774">
      <c r="A2774" s="122" t="s">
        <v>5972</v>
      </c>
      <c r="B2774" s="123">
        <v>1320350.0</v>
      </c>
      <c r="C2774" s="124" t="s">
        <v>5973</v>
      </c>
      <c r="D2774" s="125"/>
      <c r="E2774" s="126">
        <v>3.84</v>
      </c>
      <c r="F2774" s="127"/>
      <c r="G2774" s="127"/>
      <c r="H2774" s="127"/>
      <c r="I2774" s="128"/>
      <c r="K2774" s="105" t="str">
        <f>IFERROR(__xludf.DUMMYFUNCTION("if(A2774="""","""",substitute(SUBSTITUTE(index(importhtml(""http://finviz.com/quote.ashx?t=""&amp;A2774,""table"",10),7,2),""*"",""""),""-"",""0.00""))"),"Loading...")</f>
        <v>Loading...</v>
      </c>
      <c r="L2774" s="129">
        <v>4.3194239E7</v>
      </c>
      <c r="M2774" s="99">
        <v>0.38</v>
      </c>
    </row>
    <row r="2775">
      <c r="A2775" s="122" t="s">
        <v>5974</v>
      </c>
      <c r="B2775" s="123">
        <v>1328792.0</v>
      </c>
      <c r="C2775" s="124" t="s">
        <v>5975</v>
      </c>
      <c r="D2775" s="125"/>
      <c r="E2775" s="126">
        <v>3.85</v>
      </c>
      <c r="F2775" s="127"/>
      <c r="G2775" s="127"/>
      <c r="H2775" s="127"/>
      <c r="I2775" s="128"/>
      <c r="K2775" s="105" t="str">
        <f>IFERROR(__xludf.DUMMYFUNCTION("if(A2775="""","""",substitute(SUBSTITUTE(index(importhtml(""http://finviz.com/quote.ashx?t=""&amp;A2775,""table"",10),7,2),""*"",""""),""-"",""0.00""))"),"Loading...")</f>
        <v>Loading...</v>
      </c>
      <c r="L2775" s="129">
        <v>3.3735358E7</v>
      </c>
      <c r="M2775" s="99">
        <v>0.49</v>
      </c>
    </row>
    <row r="2776">
      <c r="A2776" s="122" t="s">
        <v>5976</v>
      </c>
      <c r="B2776" s="123">
        <v>1041657.0</v>
      </c>
      <c r="C2776" s="124" t="s">
        <v>5977</v>
      </c>
      <c r="D2776" s="125"/>
      <c r="E2776" s="126">
        <v>3.85</v>
      </c>
      <c r="F2776" s="127"/>
      <c r="G2776" s="127"/>
      <c r="H2776" s="127"/>
      <c r="I2776" s="128"/>
      <c r="K2776" s="105" t="str">
        <f>IFERROR(__xludf.DUMMYFUNCTION("if(A2776="""","""",substitute(SUBSTITUTE(index(importhtml(""http://finviz.com/quote.ashx?t=""&amp;A2776,""table"",10),7,2),""*"",""""),""-"",""0.00""))"),"Loading...")</f>
        <v>Loading...</v>
      </c>
      <c r="L2776" s="129">
        <v>1.73361229E8</v>
      </c>
      <c r="M2776" s="99">
        <v>1.04</v>
      </c>
    </row>
    <row r="2777">
      <c r="A2777" s="122" t="s">
        <v>5978</v>
      </c>
      <c r="B2777" s="123">
        <v>1725033.0</v>
      </c>
      <c r="C2777" s="124" t="s">
        <v>5979</v>
      </c>
      <c r="D2777" s="125"/>
      <c r="E2777" s="126">
        <v>3.85</v>
      </c>
      <c r="F2777" s="127"/>
      <c r="G2777" s="127"/>
      <c r="H2777" s="127"/>
      <c r="I2777" s="128"/>
      <c r="K2777" s="105" t="str">
        <f>IFERROR(__xludf.DUMMYFUNCTION("if(A2777="""","""",substitute(SUBSTITUTE(index(importhtml(""http://finviz.com/quote.ashx?t=""&amp;A2777,""table"",10),7,2),""*"",""""),""-"",""0.00""))"),"Loading...")</f>
        <v>Loading...</v>
      </c>
      <c r="L2777" s="129">
        <v>1.84843689E8</v>
      </c>
      <c r="M2777" s="99">
        <v>0.34</v>
      </c>
    </row>
    <row r="2778">
      <c r="A2778" s="122" t="s">
        <v>5980</v>
      </c>
      <c r="B2778" s="123">
        <v>1546354.0</v>
      </c>
      <c r="C2778" s="124" t="s">
        <v>5981</v>
      </c>
      <c r="D2778" s="125"/>
      <c r="E2778" s="126">
        <v>3.85</v>
      </c>
      <c r="F2778" s="127"/>
      <c r="G2778" s="127"/>
      <c r="H2778" s="127"/>
      <c r="I2778" s="128"/>
      <c r="K2778" s="105" t="str">
        <f>IFERROR(__xludf.DUMMYFUNCTION("if(A2778="""","""",substitute(SUBSTITUTE(index(importhtml(""http://finviz.com/quote.ashx?t=""&amp;A2778,""table"",10),7,2),""*"",""""),""-"",""0.00""))"),"Loading...")</f>
        <v>Loading...</v>
      </c>
      <c r="L2778" s="129">
        <v>5.124785115E9</v>
      </c>
      <c r="M2778" s="99">
        <v>1.54</v>
      </c>
    </row>
    <row r="2779">
      <c r="A2779" s="122" t="s">
        <v>5982</v>
      </c>
      <c r="B2779" s="123">
        <v>1776661.0</v>
      </c>
      <c r="C2779" s="124" t="s">
        <v>5983</v>
      </c>
      <c r="D2779" s="125"/>
      <c r="E2779" s="126">
        <v>3.87</v>
      </c>
      <c r="F2779" s="127"/>
      <c r="G2779" s="127"/>
      <c r="H2779" s="127"/>
      <c r="I2779" s="128"/>
      <c r="K2779" s="55" t="s">
        <v>1034</v>
      </c>
      <c r="L2779" s="129">
        <v>1.263143581E9</v>
      </c>
      <c r="M2779" s="99">
        <v>1.66</v>
      </c>
    </row>
    <row r="2780">
      <c r="A2780" s="122" t="s">
        <v>5984</v>
      </c>
      <c r="B2780" s="123">
        <v>1419951.0</v>
      </c>
      <c r="C2780" s="124" t="s">
        <v>5985</v>
      </c>
      <c r="D2780" s="125"/>
      <c r="E2780" s="126">
        <v>3.87</v>
      </c>
      <c r="F2780" s="127"/>
      <c r="G2780" s="127"/>
      <c r="H2780" s="127"/>
      <c r="I2780" s="128"/>
      <c r="K2780" s="105" t="str">
        <f>IFERROR(__xludf.DUMMYFUNCTION("if(A2780="""","""",substitute(SUBSTITUTE(index(importhtml(""http://finviz.com/quote.ashx?t=""&amp;A2780,""table"",10),7,2),""*"",""""),""-"",""0.00""))"),"Loading...")</f>
        <v>Loading...</v>
      </c>
      <c r="L2780" s="129">
        <v>2.6546747E7</v>
      </c>
      <c r="M2780" s="99">
        <v>0.4</v>
      </c>
    </row>
    <row r="2781">
      <c r="A2781" s="122" t="s">
        <v>5986</v>
      </c>
      <c r="B2781" s="123">
        <v>1872529.0</v>
      </c>
      <c r="C2781" s="124" t="s">
        <v>5987</v>
      </c>
      <c r="D2781" s="125"/>
      <c r="E2781" s="126">
        <v>3.87</v>
      </c>
      <c r="F2781" s="127"/>
      <c r="G2781" s="127"/>
      <c r="H2781" s="127"/>
      <c r="I2781" s="128"/>
      <c r="K2781" s="105" t="str">
        <f>IFERROR(__xludf.DUMMYFUNCTION("if(A2781="""","""",substitute(SUBSTITUTE(index(importhtml(""http://finviz.com/quote.ashx?t=""&amp;A2781,""table"",10),7,2),""*"",""""),""-"",""0.00""))"),"Loading...")</f>
        <v>Loading...</v>
      </c>
      <c r="L2781" s="129">
        <v>1.05604866E8</v>
      </c>
      <c r="M2781" s="99" t="str">
        <f>IFERROR(__xludf.DUMMYFUNCTION("GOOGLEFINANCE(A2781,""beta"")"),"#N/A")</f>
        <v>#N/A</v>
      </c>
    </row>
    <row r="2782">
      <c r="A2782" s="122" t="s">
        <v>5988</v>
      </c>
      <c r="B2782" s="123">
        <v>1297341.0</v>
      </c>
      <c r="C2782" s="124" t="s">
        <v>5989</v>
      </c>
      <c r="D2782" s="125"/>
      <c r="E2782" s="126">
        <v>3.88</v>
      </c>
      <c r="F2782" s="127"/>
      <c r="G2782" s="127"/>
      <c r="H2782" s="127"/>
      <c r="I2782" s="128"/>
      <c r="K2782" s="105" t="str">
        <f>IFERROR(__xludf.DUMMYFUNCTION("if(A2782="""","""",substitute(SUBSTITUTE(index(importhtml(""http://finviz.com/quote.ashx?t=""&amp;A2782,""table"",10),7,2),""*"",""""),""-"",""0.00""))"),"Loading...")</f>
        <v>Loading...</v>
      </c>
      <c r="L2782" s="129">
        <v>3.1376455E7</v>
      </c>
      <c r="M2782" s="99">
        <v>0.32</v>
      </c>
    </row>
    <row r="2783">
      <c r="A2783" s="122" t="s">
        <v>5990</v>
      </c>
      <c r="B2783" s="123">
        <v>1599298.0</v>
      </c>
      <c r="C2783" s="124" t="s">
        <v>5991</v>
      </c>
      <c r="D2783" s="125"/>
      <c r="E2783" s="126">
        <v>3.88</v>
      </c>
      <c r="F2783" s="127"/>
      <c r="G2783" s="127"/>
      <c r="H2783" s="127"/>
      <c r="I2783" s="128"/>
      <c r="K2783" s="105" t="str">
        <f>IFERROR(__xludf.DUMMYFUNCTION("if(A2783="""","""",substitute(SUBSTITUTE(index(importhtml(""http://finviz.com/quote.ashx?t=""&amp;A2783,""table"",10),7,2),""*"",""""),""-"",""0.00""))"),"Loading...")</f>
        <v>Loading...</v>
      </c>
      <c r="L2783" s="129">
        <v>2.71927092E9</v>
      </c>
      <c r="M2783" s="99">
        <v>-1.04</v>
      </c>
    </row>
    <row r="2784">
      <c r="A2784" s="122" t="s">
        <v>5992</v>
      </c>
      <c r="B2784" s="123">
        <v>1610820.0</v>
      </c>
      <c r="C2784" s="124" t="s">
        <v>5993</v>
      </c>
      <c r="D2784" s="125"/>
      <c r="E2784" s="126">
        <v>3.89</v>
      </c>
      <c r="F2784" s="127"/>
      <c r="G2784" s="127"/>
      <c r="H2784" s="127"/>
      <c r="I2784" s="128"/>
      <c r="K2784" s="105" t="str">
        <f>IFERROR(__xludf.DUMMYFUNCTION("if(A2784="""","""",substitute(SUBSTITUTE(index(importhtml(""http://finviz.com/quote.ashx?t=""&amp;A2784,""table"",10),7,2),""*"",""""),""-"",""0.00""))"),"Loading...")</f>
        <v>Loading...</v>
      </c>
      <c r="L2784" s="129">
        <v>8.3744209E7</v>
      </c>
      <c r="M2784" s="99">
        <v>1.15</v>
      </c>
    </row>
    <row r="2785">
      <c r="A2785" s="122" t="s">
        <v>5994</v>
      </c>
      <c r="B2785" s="123">
        <v>1267602.0</v>
      </c>
      <c r="C2785" s="124" t="s">
        <v>5995</v>
      </c>
      <c r="D2785" s="125"/>
      <c r="E2785" s="126">
        <v>3.89</v>
      </c>
      <c r="F2785" s="127"/>
      <c r="G2785" s="127"/>
      <c r="H2785" s="127"/>
      <c r="I2785" s="128"/>
      <c r="K2785" s="105" t="str">
        <f>IFERROR(__xludf.DUMMYFUNCTION("if(A2785="""","""",substitute(SUBSTITUTE(index(importhtml(""http://finviz.com/quote.ashx?t=""&amp;A2785,""table"",10),7,2),""*"",""""),""-"",""0.00""))"),"Loading...")</f>
        <v>Loading...</v>
      </c>
      <c r="L2785" s="129">
        <v>2.03901474E8</v>
      </c>
      <c r="M2785" s="99">
        <v>1.2</v>
      </c>
    </row>
    <row r="2786">
      <c r="A2786" s="122" t="s">
        <v>5996</v>
      </c>
      <c r="B2786" s="123">
        <v>1179821.0</v>
      </c>
      <c r="C2786" s="124" t="s">
        <v>5997</v>
      </c>
      <c r="D2786" s="125"/>
      <c r="E2786" s="126">
        <v>3.9</v>
      </c>
      <c r="F2786" s="127"/>
      <c r="G2786" s="127"/>
      <c r="H2786" s="127"/>
      <c r="I2786" s="128"/>
      <c r="K2786" s="55" t="s">
        <v>1034</v>
      </c>
      <c r="L2786" s="129">
        <v>7.3048951E7</v>
      </c>
      <c r="M2786" s="99">
        <v>0.68</v>
      </c>
    </row>
    <row r="2787">
      <c r="A2787" s="122" t="s">
        <v>5998</v>
      </c>
      <c r="B2787" s="123">
        <v>1109116.0</v>
      </c>
      <c r="C2787" s="124" t="s">
        <v>5999</v>
      </c>
      <c r="D2787" s="125"/>
      <c r="E2787" s="126">
        <v>3.9</v>
      </c>
      <c r="F2787" s="127"/>
      <c r="G2787" s="127"/>
      <c r="H2787" s="127"/>
      <c r="I2787" s="128"/>
      <c r="K2787" s="55" t="s">
        <v>5049</v>
      </c>
      <c r="L2787" s="129">
        <v>3.43187294E8</v>
      </c>
      <c r="M2787" s="99">
        <v>1.13</v>
      </c>
    </row>
    <row r="2788">
      <c r="A2788" s="122" t="s">
        <v>6000</v>
      </c>
      <c r="B2788" s="123">
        <v>1504379.0</v>
      </c>
      <c r="C2788" s="124" t="s">
        <v>6001</v>
      </c>
      <c r="D2788" s="125"/>
      <c r="E2788" s="126">
        <v>3.9</v>
      </c>
      <c r="F2788" s="127"/>
      <c r="G2788" s="127"/>
      <c r="H2788" s="127"/>
      <c r="I2788" s="128"/>
      <c r="K2788" s="105" t="str">
        <f>IFERROR(__xludf.DUMMYFUNCTION("if(A2788="""","""",substitute(SUBSTITUTE(index(importhtml(""http://finviz.com/quote.ashx?t=""&amp;A2788,""table"",10),7,2),""*"",""""),""-"",""0.00""))"),"Loading...")</f>
        <v>Loading...</v>
      </c>
      <c r="L2788" s="129">
        <v>1.34644773E8</v>
      </c>
      <c r="M2788" s="99">
        <v>0.4</v>
      </c>
    </row>
    <row r="2789">
      <c r="A2789" s="122" t="s">
        <v>6002</v>
      </c>
      <c r="B2789" s="123">
        <v>1757064.0</v>
      </c>
      <c r="C2789" s="124" t="s">
        <v>6003</v>
      </c>
      <c r="D2789" s="125"/>
      <c r="E2789" s="126">
        <v>3.9</v>
      </c>
      <c r="F2789" s="127"/>
      <c r="G2789" s="127"/>
      <c r="H2789" s="127"/>
      <c r="I2789" s="128"/>
      <c r="K2789" s="105" t="str">
        <f>IFERROR(__xludf.DUMMYFUNCTION("if(A2789="""","""",substitute(SUBSTITUTE(index(importhtml(""http://finviz.com/quote.ashx?t=""&amp;A2789,""table"",10),7,2),""*"",""""),""-"",""0.00""))"),"Loading...")</f>
        <v>Loading...</v>
      </c>
      <c r="L2789" s="129">
        <v>1.9792945E8</v>
      </c>
      <c r="M2789" s="99">
        <v>1.11</v>
      </c>
    </row>
    <row r="2790">
      <c r="A2790" s="122" t="s">
        <v>6004</v>
      </c>
      <c r="B2790" s="123">
        <v>1642365.0</v>
      </c>
      <c r="C2790" s="124" t="s">
        <v>6005</v>
      </c>
      <c r="D2790" s="125"/>
      <c r="E2790" s="126">
        <v>3.9</v>
      </c>
      <c r="F2790" s="127"/>
      <c r="G2790" s="127"/>
      <c r="H2790" s="127"/>
      <c r="I2790" s="128"/>
      <c r="K2790" s="105" t="str">
        <f>IFERROR(__xludf.DUMMYFUNCTION("if(A2790="""","""",substitute(SUBSTITUTE(index(importhtml(""http://finviz.com/quote.ashx?t=""&amp;A2790,""table"",10),7,2),""*"",""""),""-"",""0.00""))"),"Loading...")</f>
        <v>Loading...</v>
      </c>
      <c r="L2790" s="129">
        <v>1.77645E9</v>
      </c>
      <c r="M2790" s="99">
        <v>22.57</v>
      </c>
    </row>
    <row r="2791">
      <c r="A2791" s="122" t="s">
        <v>6006</v>
      </c>
      <c r="B2791" s="123">
        <v>1434754.0</v>
      </c>
      <c r="C2791" s="124" t="s">
        <v>6007</v>
      </c>
      <c r="D2791" s="125"/>
      <c r="E2791" s="126">
        <v>3.91</v>
      </c>
      <c r="F2791" s="127"/>
      <c r="G2791" s="127"/>
      <c r="H2791" s="127"/>
      <c r="I2791" s="128"/>
      <c r="K2791" s="55" t="s">
        <v>5049</v>
      </c>
      <c r="L2791" s="129">
        <v>4.36386507E8</v>
      </c>
      <c r="M2791" s="99">
        <v>0.99</v>
      </c>
    </row>
    <row r="2792">
      <c r="A2792" s="122" t="s">
        <v>6008</v>
      </c>
      <c r="B2792" s="123">
        <v>310522.0</v>
      </c>
      <c r="C2792" s="124" t="s">
        <v>6009</v>
      </c>
      <c r="D2792" s="125"/>
      <c r="E2792" s="126">
        <v>3.91</v>
      </c>
      <c r="F2792" s="127"/>
      <c r="G2792" s="127"/>
      <c r="H2792" s="127"/>
      <c r="I2792" s="128"/>
      <c r="K2792" s="105" t="str">
        <f>IFERROR(__xludf.DUMMYFUNCTION("if(A2792="""","""",substitute(SUBSTITUTE(index(importhtml(""http://finviz.com/quote.ashx?t=""&amp;A2792,""table"",10),7,2),""*"",""""),""-"",""0.00""))"),"Loading...")</f>
        <v>Loading...</v>
      </c>
      <c r="L2792" s="129">
        <v>1.540255759E9</v>
      </c>
      <c r="M2792" s="99">
        <v>0.54</v>
      </c>
    </row>
    <row r="2793">
      <c r="A2793" s="122" t="s">
        <v>6010</v>
      </c>
      <c r="B2793" s="123">
        <v>1838716.0</v>
      </c>
      <c r="C2793" s="124" t="s">
        <v>6011</v>
      </c>
      <c r="D2793" s="125"/>
      <c r="E2793" s="126">
        <v>3.92</v>
      </c>
      <c r="F2793" s="127"/>
      <c r="G2793" s="127"/>
      <c r="H2793" s="127"/>
      <c r="I2793" s="128"/>
      <c r="K2793" s="105" t="str">
        <f>IFERROR(__xludf.DUMMYFUNCTION("if(A2793="""","""",substitute(SUBSTITUTE(index(importhtml(""http://finviz.com/quote.ashx?t=""&amp;A2793,""table"",10),7,2),""*"",""""),""-"",""0.00""))"),"Loading...")</f>
        <v>Loading...</v>
      </c>
      <c r="L2793" s="129">
        <v>7.1860335E7</v>
      </c>
      <c r="M2793" s="99">
        <f>IFERROR(__xludf.DUMMYFUNCTION("GOOGLEFINANCE(A2793,""beta"")"),0.59)</f>
        <v>0.59</v>
      </c>
    </row>
    <row r="2794">
      <c r="A2794" s="122" t="s">
        <v>6012</v>
      </c>
      <c r="B2794" s="123">
        <v>1377630.0</v>
      </c>
      <c r="C2794" s="124" t="s">
        <v>6013</v>
      </c>
      <c r="D2794" s="125"/>
      <c r="E2794" s="126">
        <v>3.92</v>
      </c>
      <c r="F2794" s="127"/>
      <c r="G2794" s="127"/>
      <c r="H2794" s="127"/>
      <c r="I2794" s="128"/>
      <c r="K2794" s="105" t="str">
        <f>IFERROR(__xludf.DUMMYFUNCTION("if(A2794="""","""",substitute(SUBSTITUTE(index(importhtml(""http://finviz.com/quote.ashx?t=""&amp;A2794,""table"",10),7,2),""*"",""""),""-"",""0.00""))"),"Loading...")</f>
        <v>Loading...</v>
      </c>
      <c r="L2794" s="129">
        <v>3.7939705E8</v>
      </c>
      <c r="M2794" s="99">
        <v>1.89</v>
      </c>
    </row>
    <row r="2795">
      <c r="A2795" s="122" t="s">
        <v>6014</v>
      </c>
      <c r="B2795" s="123">
        <v>1385145.0</v>
      </c>
      <c r="C2795" s="124" t="s">
        <v>6015</v>
      </c>
      <c r="D2795" s="125"/>
      <c r="E2795" s="126">
        <v>3.92</v>
      </c>
      <c r="F2795" s="127"/>
      <c r="G2795" s="127"/>
      <c r="H2795" s="127"/>
      <c r="I2795" s="128"/>
      <c r="K2795" s="105" t="str">
        <f>IFERROR(__xludf.DUMMYFUNCTION("if(A2795="""","""",substitute(SUBSTITUTE(index(importhtml(""http://finviz.com/quote.ashx?t=""&amp;A2795,""table"",10),7,2),""*"",""""),""-"",""0.00""))"),"Loading...")</f>
        <v>Loading...</v>
      </c>
      <c r="L2795" s="129">
        <v>2.48838506E9</v>
      </c>
      <c r="M2795" s="99">
        <v>1.09</v>
      </c>
    </row>
    <row r="2796">
      <c r="A2796" s="122" t="s">
        <v>6016</v>
      </c>
      <c r="B2796" s="123">
        <v>768710.0</v>
      </c>
      <c r="C2796" s="124" t="s">
        <v>6017</v>
      </c>
      <c r="D2796" s="125"/>
      <c r="E2796" s="126">
        <v>3.93</v>
      </c>
      <c r="F2796" s="127"/>
      <c r="G2796" s="127"/>
      <c r="H2796" s="127"/>
      <c r="I2796" s="128"/>
      <c r="K2796" s="105" t="str">
        <f>IFERROR(__xludf.DUMMYFUNCTION("if(A2796="""","""",substitute(SUBSTITUTE(index(importhtml(""http://finviz.com/quote.ashx?t=""&amp;A2796,""table"",10),7,2),""*"",""""),""-"",""0.00""))"),"Loading...")</f>
        <v>Loading...</v>
      </c>
      <c r="L2796" s="129">
        <v>4159130.0</v>
      </c>
      <c r="M2796" s="99">
        <v>0.26</v>
      </c>
    </row>
    <row r="2797">
      <c r="A2797" s="122" t="s">
        <v>6018</v>
      </c>
      <c r="B2797" s="123">
        <v>921114.0</v>
      </c>
      <c r="C2797" s="124" t="s">
        <v>6019</v>
      </c>
      <c r="D2797" s="125"/>
      <c r="E2797" s="126">
        <v>3.93</v>
      </c>
      <c r="F2797" s="127"/>
      <c r="G2797" s="127"/>
      <c r="H2797" s="127"/>
      <c r="I2797" s="128"/>
      <c r="K2797" s="105" t="str">
        <f>IFERROR(__xludf.DUMMYFUNCTION("if(A2797="""","""",substitute(SUBSTITUTE(index(importhtml(""http://finviz.com/quote.ashx?t=""&amp;A2797,""table"",10),7,2),""*"",""""),""-"",""0.00""))"),"Loading...")</f>
        <v>Loading...</v>
      </c>
      <c r="L2797" s="129">
        <v>1.42055983E8</v>
      </c>
      <c r="M2797" s="99">
        <v>0.85</v>
      </c>
    </row>
    <row r="2798">
      <c r="A2798" s="122" t="s">
        <v>6020</v>
      </c>
      <c r="B2798" s="123">
        <v>910068.0</v>
      </c>
      <c r="C2798" s="124" t="s">
        <v>6021</v>
      </c>
      <c r="D2798" s="125"/>
      <c r="E2798" s="126">
        <v>3.93</v>
      </c>
      <c r="F2798" s="127"/>
      <c r="G2798" s="127"/>
      <c r="H2798" s="127"/>
      <c r="I2798" s="128"/>
      <c r="K2798" s="105" t="str">
        <f>IFERROR(__xludf.DUMMYFUNCTION("if(A2798="""","""",substitute(SUBSTITUTE(index(importhtml(""http://finviz.com/quote.ashx?t=""&amp;A2798,""table"",10),7,2),""*"",""""),""-"",""0.00""))"),"Loading...")</f>
        <v>Loading...</v>
      </c>
      <c r="L2798" s="129">
        <v>3.73739901E8</v>
      </c>
      <c r="M2798" s="99">
        <v>0.61</v>
      </c>
    </row>
    <row r="2799">
      <c r="A2799" s="122" t="s">
        <v>6022</v>
      </c>
      <c r="B2799" s="123">
        <v>1452936.0</v>
      </c>
      <c r="C2799" s="124" t="s">
        <v>6023</v>
      </c>
      <c r="D2799" s="125"/>
      <c r="E2799" s="126">
        <v>3.93</v>
      </c>
      <c r="F2799" s="127"/>
      <c r="G2799" s="127"/>
      <c r="H2799" s="127"/>
      <c r="I2799" s="128"/>
      <c r="K2799" s="105" t="str">
        <f>IFERROR(__xludf.DUMMYFUNCTION("if(A2799="""","""",substitute(SUBSTITUTE(index(importhtml(""http://finviz.com/quote.ashx?t=""&amp;A2799,""table"",10),7,2),""*"",""""),""-"",""0.00""))"),"Loading...")</f>
        <v>Loading...</v>
      </c>
      <c r="L2799" s="129">
        <v>4.06494488E8</v>
      </c>
      <c r="M2799" s="99" t="str">
        <f>IFERROR(__xludf.DUMMYFUNCTION("GOOGLEFINANCE(A2799,""beta"")"),"#N/A")</f>
        <v>#N/A</v>
      </c>
    </row>
    <row r="2800">
      <c r="A2800" s="122" t="s">
        <v>6024</v>
      </c>
      <c r="B2800" s="123">
        <v>1000694.0</v>
      </c>
      <c r="C2800" s="124" t="s">
        <v>6025</v>
      </c>
      <c r="D2800" s="125"/>
      <c r="E2800" s="126">
        <v>3.93</v>
      </c>
      <c r="F2800" s="127"/>
      <c r="G2800" s="127"/>
      <c r="H2800" s="127"/>
      <c r="I2800" s="128"/>
      <c r="K2800" s="105" t="str">
        <f>IFERROR(__xludf.DUMMYFUNCTION("if(A2800="""","""",substitute(SUBSTITUTE(index(importhtml(""http://finviz.com/quote.ashx?t=""&amp;A2800,""table"",10),7,2),""*"",""""),""-"",""0.00""))"),"Loading...")</f>
        <v>Loading...</v>
      </c>
      <c r="L2800" s="129">
        <v>4.66845493E8</v>
      </c>
      <c r="M2800" s="99">
        <v>1.47</v>
      </c>
    </row>
    <row r="2801">
      <c r="A2801" s="122" t="s">
        <v>6026</v>
      </c>
      <c r="B2801" s="123">
        <v>1435969.0</v>
      </c>
      <c r="C2801" s="124" t="s">
        <v>6027</v>
      </c>
      <c r="D2801" s="125"/>
      <c r="E2801" s="126">
        <v>3.93</v>
      </c>
      <c r="F2801" s="127"/>
      <c r="G2801" s="127"/>
      <c r="H2801" s="127"/>
      <c r="I2801" s="128"/>
      <c r="K2801" s="105" t="str">
        <f>IFERROR(__xludf.DUMMYFUNCTION("if(A2801="""","""",substitute(SUBSTITUTE(index(importhtml(""http://finviz.com/quote.ashx?t=""&amp;A2801,""table"",10),7,2),""*"",""""),""-"",""0.00""))"),"Loading...")</f>
        <v>Loading...</v>
      </c>
      <c r="L2801" s="129">
        <v>6.8782145219E10</v>
      </c>
      <c r="M2801" s="99">
        <v>1.31</v>
      </c>
    </row>
    <row r="2802">
      <c r="A2802" s="122" t="s">
        <v>6028</v>
      </c>
      <c r="B2802" s="123">
        <v>1535955.0</v>
      </c>
      <c r="C2802" s="124" t="s">
        <v>6029</v>
      </c>
      <c r="D2802" s="125"/>
      <c r="E2802" s="126">
        <v>3.94</v>
      </c>
      <c r="F2802" s="127"/>
      <c r="G2802" s="127"/>
      <c r="H2802" s="127"/>
      <c r="I2802" s="128"/>
      <c r="K2802" s="105" t="str">
        <f>IFERROR(__xludf.DUMMYFUNCTION("if(A2802="""","""",substitute(SUBSTITUTE(index(importhtml(""http://finviz.com/quote.ashx?t=""&amp;A2802,""table"",10),7,2),""*"",""""),""-"",""0.00""))"),"Loading...")</f>
        <v>Loading...</v>
      </c>
      <c r="L2802" s="129">
        <v>2.0944366E7</v>
      </c>
      <c r="M2802" s="99">
        <v>1.05</v>
      </c>
    </row>
    <row r="2803">
      <c r="A2803" s="122" t="s">
        <v>6030</v>
      </c>
      <c r="B2803" s="123">
        <v>1819411.0</v>
      </c>
      <c r="C2803" s="124" t="s">
        <v>6031</v>
      </c>
      <c r="D2803" s="125"/>
      <c r="E2803" s="126">
        <v>3.94</v>
      </c>
      <c r="F2803" s="127"/>
      <c r="G2803" s="127"/>
      <c r="H2803" s="127"/>
      <c r="I2803" s="128"/>
      <c r="K2803" s="105" t="str">
        <f>IFERROR(__xludf.DUMMYFUNCTION("if(A2803="""","""",substitute(SUBSTITUTE(index(importhtml(""http://finviz.com/quote.ashx?t=""&amp;A2803,""table"",10),7,2),""*"",""""),""-"",""0.00""))"),"Loading...")</f>
        <v>Loading...</v>
      </c>
      <c r="L2803" s="129">
        <v>6.3825479E7</v>
      </c>
      <c r="M2803" s="99">
        <f>IFERROR(__xludf.DUMMYFUNCTION("GOOGLEFINANCE(A2803,""beta"")"),0.13)</f>
        <v>0.13</v>
      </c>
    </row>
    <row r="2804">
      <c r="A2804" s="122" t="s">
        <v>6032</v>
      </c>
      <c r="B2804" s="123">
        <v>1819253.0</v>
      </c>
      <c r="C2804" s="124" t="s">
        <v>6033</v>
      </c>
      <c r="D2804" s="125"/>
      <c r="E2804" s="126">
        <v>3.94</v>
      </c>
      <c r="F2804" s="127"/>
      <c r="G2804" s="127"/>
      <c r="H2804" s="127"/>
      <c r="I2804" s="128"/>
      <c r="K2804" s="105" t="str">
        <f>IFERROR(__xludf.DUMMYFUNCTION("if(A2804="""","""",substitute(SUBSTITUTE(index(importhtml(""http://finviz.com/quote.ashx?t=""&amp;A2804,""table"",10),7,2),""*"",""""),""-"",""0.00""))"),"Loading...")</f>
        <v>Loading...</v>
      </c>
      <c r="L2804" s="129">
        <v>2.86672118E8</v>
      </c>
      <c r="M2804" s="99">
        <f>IFERROR(__xludf.DUMMYFUNCTION("GOOGLEFINANCE(A2804,""beta"")"),1.15)</f>
        <v>1.15</v>
      </c>
    </row>
    <row r="2805">
      <c r="A2805" s="122" t="s">
        <v>6034</v>
      </c>
      <c r="B2805" s="123">
        <v>1631574.0</v>
      </c>
      <c r="C2805" s="124" t="s">
        <v>6035</v>
      </c>
      <c r="D2805" s="125"/>
      <c r="E2805" s="126">
        <v>3.94</v>
      </c>
      <c r="F2805" s="127"/>
      <c r="G2805" s="127"/>
      <c r="H2805" s="127"/>
      <c r="I2805" s="128"/>
      <c r="K2805" s="105" t="str">
        <f>IFERROR(__xludf.DUMMYFUNCTION("if(A2805="""","""",substitute(SUBSTITUTE(index(importhtml(""http://finviz.com/quote.ashx?t=""&amp;A2805,""table"",10),7,2),""*"",""""),""-"",""0.00""))"),"Loading...")</f>
        <v>Loading...</v>
      </c>
      <c r="L2805" s="129">
        <v>4.80726892E8</v>
      </c>
      <c r="M2805" s="99">
        <v>-1.18</v>
      </c>
    </row>
    <row r="2806">
      <c r="A2806" s="122" t="s">
        <v>6036</v>
      </c>
      <c r="B2806" s="123">
        <v>1719714.0</v>
      </c>
      <c r="C2806" s="124" t="s">
        <v>6037</v>
      </c>
      <c r="D2806" s="125"/>
      <c r="E2806" s="126">
        <v>3.94</v>
      </c>
      <c r="F2806" s="127"/>
      <c r="G2806" s="127"/>
      <c r="H2806" s="127"/>
      <c r="I2806" s="128"/>
      <c r="K2806" s="105" t="str">
        <f>IFERROR(__xludf.DUMMYFUNCTION("if(A2806="""","""",substitute(SUBSTITUTE(index(importhtml(""http://finviz.com/quote.ashx?t=""&amp;A2806,""table"",10),7,2),""*"",""""),""-"",""0.00""))"),"Loading...")</f>
        <v>Loading...</v>
      </c>
      <c r="L2806" s="129">
        <v>5.52559004E8</v>
      </c>
      <c r="M2806" s="99">
        <v>0.82</v>
      </c>
    </row>
    <row r="2807">
      <c r="A2807" s="122" t="s">
        <v>6038</v>
      </c>
      <c r="B2807" s="123">
        <v>1737339.0</v>
      </c>
      <c r="C2807" s="124" t="s">
        <v>6039</v>
      </c>
      <c r="D2807" s="125"/>
      <c r="E2807" s="126">
        <v>3.95</v>
      </c>
      <c r="F2807" s="127"/>
      <c r="G2807" s="127"/>
      <c r="H2807" s="127"/>
      <c r="I2807" s="128"/>
      <c r="K2807" s="55" t="s">
        <v>1034</v>
      </c>
      <c r="L2807" s="129">
        <v>2.3598718E7</v>
      </c>
      <c r="M2807" s="99">
        <v>1.02</v>
      </c>
    </row>
    <row r="2808">
      <c r="A2808" s="122" t="s">
        <v>6040</v>
      </c>
      <c r="B2808" s="123">
        <v>1133869.0</v>
      </c>
      <c r="C2808" s="124" t="s">
        <v>6041</v>
      </c>
      <c r="D2808" s="125"/>
      <c r="E2808" s="126">
        <v>3.97</v>
      </c>
      <c r="F2808" s="127"/>
      <c r="G2808" s="127"/>
      <c r="H2808" s="127"/>
      <c r="I2808" s="128"/>
      <c r="K2808" s="105" t="str">
        <f>IFERROR(__xludf.DUMMYFUNCTION("if(A2808="""","""",substitute(SUBSTITUTE(index(importhtml(""http://finviz.com/quote.ashx?t=""&amp;A2808,""table"",10),7,2),""*"",""""),""-"",""0.00""))"),"Loading...")</f>
        <v>Loading...</v>
      </c>
      <c r="L2808" s="129">
        <v>1.22093726E8</v>
      </c>
      <c r="M2808" s="99">
        <v>3.97</v>
      </c>
    </row>
    <row r="2809">
      <c r="A2809" s="122" t="s">
        <v>6042</v>
      </c>
      <c r="B2809" s="123">
        <v>934549.0</v>
      </c>
      <c r="C2809" s="124" t="s">
        <v>6043</v>
      </c>
      <c r="D2809" s="125"/>
      <c r="E2809" s="126">
        <v>3.97</v>
      </c>
      <c r="F2809" s="127"/>
      <c r="G2809" s="127"/>
      <c r="H2809" s="127"/>
      <c r="I2809" s="128"/>
      <c r="K2809" s="105" t="str">
        <f>IFERROR(__xludf.DUMMYFUNCTION("if(A2809="""","""",substitute(SUBSTITUTE(index(importhtml(""http://finviz.com/quote.ashx?t=""&amp;A2809,""table"",10),7,2),""*"",""""),""-"",""0.00""))"),"Loading...")</f>
        <v>Loading...</v>
      </c>
      <c r="L2809" s="129">
        <v>3.96548653E8</v>
      </c>
      <c r="M2809" s="99">
        <v>0.43</v>
      </c>
    </row>
    <row r="2810">
      <c r="A2810" s="122" t="s">
        <v>6044</v>
      </c>
      <c r="B2810" s="123">
        <v>1809691.0</v>
      </c>
      <c r="C2810" s="124" t="s">
        <v>6045</v>
      </c>
      <c r="D2810" s="125"/>
      <c r="E2810" s="126">
        <v>3.97</v>
      </c>
      <c r="F2810" s="127"/>
      <c r="G2810" s="127"/>
      <c r="H2810" s="127"/>
      <c r="I2810" s="128"/>
      <c r="K2810" s="105" t="str">
        <f>IFERROR(__xludf.DUMMYFUNCTION("if(A2810="""","""",substitute(SUBSTITUTE(index(importhtml(""http://finviz.com/quote.ashx?t=""&amp;A2810,""table"",10),7,2),""*"",""""),""-"",""0.00""))"),"Loading...")</f>
        <v>Loading...</v>
      </c>
      <c r="L2810" s="129">
        <v>7.59035818E8</v>
      </c>
      <c r="M2810" s="99">
        <f>IFERROR(__xludf.DUMMYFUNCTION("GOOGLEFINANCE(A2810,""beta"")"),2.12)</f>
        <v>2.12</v>
      </c>
    </row>
    <row r="2811">
      <c r="A2811" s="122" t="s">
        <v>6046</v>
      </c>
      <c r="B2811" s="123">
        <v>1819994.0</v>
      </c>
      <c r="C2811" s="124" t="s">
        <v>6047</v>
      </c>
      <c r="D2811" s="125"/>
      <c r="E2811" s="126">
        <v>3.98</v>
      </c>
      <c r="F2811" s="127"/>
      <c r="G2811" s="127"/>
      <c r="H2811" s="127"/>
      <c r="I2811" s="128"/>
      <c r="K2811" s="105" t="str">
        <f>IFERROR(__xludf.DUMMYFUNCTION("if(A2811="""","""",substitute(SUBSTITUTE(index(importhtml(""http://finviz.com/quote.ashx?t=""&amp;A2811,""table"",10),7,2),""*"",""""),""-"",""0.00""))"),"Loading...")</f>
        <v>Loading...</v>
      </c>
      <c r="L2811" s="129">
        <v>1.931400778E9</v>
      </c>
      <c r="M2811" s="99">
        <v>1.25</v>
      </c>
    </row>
    <row r="2812">
      <c r="A2812" s="122" t="s">
        <v>6048</v>
      </c>
      <c r="B2812" s="123">
        <v>1311673.0</v>
      </c>
      <c r="C2812" s="124" t="s">
        <v>6049</v>
      </c>
      <c r="D2812" s="125"/>
      <c r="E2812" s="126">
        <v>3.99</v>
      </c>
      <c r="F2812" s="127"/>
      <c r="G2812" s="127"/>
      <c r="H2812" s="127"/>
      <c r="I2812" s="128"/>
      <c r="K2812" s="105" t="str">
        <f>IFERROR(__xludf.DUMMYFUNCTION("if(A2812="""","""",substitute(SUBSTITUTE(index(importhtml(""http://finviz.com/quote.ashx?t=""&amp;A2812,""table"",10),7,2),""*"",""""),""-"",""0.00""))"),"Loading...")</f>
        <v>Loading...</v>
      </c>
      <c r="L2812" s="129">
        <v>2.074401E7</v>
      </c>
      <c r="M2812" s="99">
        <f>IFERROR(__xludf.DUMMYFUNCTION("GOOGLEFINANCE(A2812,""beta"")"),18.48)</f>
        <v>18.48</v>
      </c>
    </row>
    <row r="2813">
      <c r="A2813" s="122" t="s">
        <v>6050</v>
      </c>
      <c r="B2813" s="123">
        <v>1850119.0</v>
      </c>
      <c r="C2813" s="124" t="s">
        <v>6051</v>
      </c>
      <c r="D2813" s="125"/>
      <c r="E2813" s="126">
        <v>3.99</v>
      </c>
      <c r="F2813" s="127"/>
      <c r="G2813" s="127"/>
      <c r="H2813" s="127"/>
      <c r="I2813" s="128"/>
      <c r="K2813" s="105" t="str">
        <f>IFERROR(__xludf.DUMMYFUNCTION("if(A2813="""","""",substitute(SUBSTITUTE(index(importhtml(""http://finviz.com/quote.ashx?t=""&amp;A2813,""table"",10),7,2),""*"",""""),""-"",""0.00""))"),"Loading...")</f>
        <v>Loading...</v>
      </c>
      <c r="L2813" s="129">
        <v>2.3874149E8</v>
      </c>
      <c r="M2813" s="99">
        <f>IFERROR(__xludf.DUMMYFUNCTION("GOOGLEFINANCE(A2813,""beta"")"),1.8)</f>
        <v>1.8</v>
      </c>
    </row>
    <row r="2814">
      <c r="A2814" s="122" t="s">
        <v>6052</v>
      </c>
      <c r="B2814" s="123">
        <v>1901215.0</v>
      </c>
      <c r="C2814" s="124" t="s">
        <v>6053</v>
      </c>
      <c r="D2814" s="125"/>
      <c r="E2814" s="126">
        <v>4.0</v>
      </c>
      <c r="F2814" s="127"/>
      <c r="G2814" s="127"/>
      <c r="H2814" s="127"/>
      <c r="I2814" s="128"/>
      <c r="K2814" s="105" t="str">
        <f>IFERROR(__xludf.DUMMYFUNCTION("if(A2814="""","""",substitute(SUBSTITUTE(index(importhtml(""http://finviz.com/quote.ashx?t=""&amp;A2814,""table"",10),7,2),""*"",""""),""-"",""0.00""))"),"Loading...")</f>
        <v>Loading...</v>
      </c>
      <c r="L2814" s="129">
        <v>8893364.0</v>
      </c>
      <c r="M2814" s="99">
        <f>IFERROR(__xludf.DUMMYFUNCTION("GOOGLEFINANCE(A2814,""beta"")"),-1.21)</f>
        <v>-1.21</v>
      </c>
    </row>
    <row r="2815">
      <c r="A2815" s="122" t="s">
        <v>6054</v>
      </c>
      <c r="B2815" s="123">
        <v>727346.0</v>
      </c>
      <c r="C2815" s="124" t="s">
        <v>6055</v>
      </c>
      <c r="D2815" s="125"/>
      <c r="E2815" s="126">
        <v>4.0</v>
      </c>
      <c r="F2815" s="127"/>
      <c r="G2815" s="127"/>
      <c r="H2815" s="127"/>
      <c r="I2815" s="128"/>
      <c r="K2815" s="105" t="str">
        <f>IFERROR(__xludf.DUMMYFUNCTION("if(A2815="""","""",substitute(SUBSTITUTE(index(importhtml(""http://finviz.com/quote.ashx?t=""&amp;A2815,""table"",10),7,2),""*"",""""),""-"",""0.00""))"),"Loading...")</f>
        <v>Loading...</v>
      </c>
      <c r="L2815" s="129">
        <v>1.14547E7</v>
      </c>
      <c r="M2815" s="99">
        <v>1.17</v>
      </c>
    </row>
    <row r="2816">
      <c r="A2816" s="122" t="s">
        <v>6056</v>
      </c>
      <c r="B2816" s="123">
        <v>1807893.0</v>
      </c>
      <c r="C2816" s="124" t="s">
        <v>6057</v>
      </c>
      <c r="D2816" s="125"/>
      <c r="E2816" s="126">
        <v>4.0</v>
      </c>
      <c r="F2816" s="127"/>
      <c r="G2816" s="127"/>
      <c r="H2816" s="127"/>
      <c r="I2816" s="128"/>
      <c r="K2816" s="105" t="str">
        <f>IFERROR(__xludf.DUMMYFUNCTION("if(A2816="""","""",substitute(SUBSTITUTE(index(importhtml(""http://finviz.com/quote.ashx?t=""&amp;A2816,""table"",10),7,2),""*"",""""),""-"",""0.00""))"),"Loading...")</f>
        <v>Loading...</v>
      </c>
      <c r="L2816" s="129">
        <v>1.162006E7</v>
      </c>
      <c r="M2816" s="99">
        <f>IFERROR(__xludf.DUMMYFUNCTION("GOOGLEFINANCE(A2816,""beta"")"),-0.36)</f>
        <v>-0.36</v>
      </c>
    </row>
    <row r="2817">
      <c r="A2817" s="122" t="s">
        <v>6058</v>
      </c>
      <c r="B2817" s="123">
        <v>1908984.0</v>
      </c>
      <c r="C2817" s="124" t="s">
        <v>6059</v>
      </c>
      <c r="D2817" s="125"/>
      <c r="E2817" s="126">
        <v>4.0</v>
      </c>
      <c r="F2817" s="127"/>
      <c r="G2817" s="127"/>
      <c r="H2817" s="127"/>
      <c r="I2817" s="128"/>
      <c r="K2817" s="105" t="str">
        <f>IFERROR(__xludf.DUMMYFUNCTION("if(A2817="""","""",substitute(SUBSTITUTE(index(importhtml(""http://finviz.com/quote.ashx?t=""&amp;A2817,""table"",10),7,2),""*"",""""),""-"",""0.00""))"),"Loading...")</f>
        <v>Loading...</v>
      </c>
      <c r="L2817" s="129">
        <v>2.1809524E7</v>
      </c>
      <c r="M2817" s="99">
        <v>0.55</v>
      </c>
    </row>
    <row r="2818">
      <c r="A2818" s="122" t="s">
        <v>6060</v>
      </c>
      <c r="B2818" s="123">
        <v>1470129.0</v>
      </c>
      <c r="C2818" s="124" t="s">
        <v>6061</v>
      </c>
      <c r="D2818" s="125"/>
      <c r="E2818" s="126">
        <v>4.0</v>
      </c>
      <c r="F2818" s="127"/>
      <c r="G2818" s="127"/>
      <c r="H2818" s="127"/>
      <c r="I2818" s="128"/>
      <c r="K2818" s="105" t="str">
        <f>IFERROR(__xludf.DUMMYFUNCTION("if(A2818="""","""",substitute(SUBSTITUTE(index(importhtml(""http://finviz.com/quote.ashx?t=""&amp;A2818,""table"",10),7,2),""*"",""""),""-"",""0.00""))"),"Loading...")</f>
        <v>Loading...</v>
      </c>
      <c r="L2818" s="129">
        <v>2.186628E7</v>
      </c>
      <c r="M2818" s="99">
        <v>-0.03</v>
      </c>
    </row>
    <row r="2819">
      <c r="A2819" s="122" t="s">
        <v>6062</v>
      </c>
      <c r="B2819" s="123">
        <v>1853825.0</v>
      </c>
      <c r="C2819" s="124" t="s">
        <v>6063</v>
      </c>
      <c r="D2819" s="125"/>
      <c r="E2819" s="126">
        <v>4.0</v>
      </c>
      <c r="F2819" s="127"/>
      <c r="G2819" s="127"/>
      <c r="H2819" s="127"/>
      <c r="I2819" s="128"/>
      <c r="K2819" s="105" t="str">
        <f>IFERROR(__xludf.DUMMYFUNCTION("if(A2819="""","""",substitute(SUBSTITUTE(index(importhtml(""http://finviz.com/quote.ashx?t=""&amp;A2819,""table"",10),7,2),""*"",""""),""-"",""0.00""))"),"Loading...")</f>
        <v>Loading...</v>
      </c>
      <c r="L2819" s="129">
        <v>3.003584E7</v>
      </c>
      <c r="M2819" s="99">
        <f>IFERROR(__xludf.DUMMYFUNCTION("GOOGLEFINANCE(A2819,""beta"")"),2.9)</f>
        <v>2.9</v>
      </c>
    </row>
    <row r="2820">
      <c r="A2820" s="122" t="s">
        <v>6064</v>
      </c>
      <c r="B2820" s="123">
        <v>1824301.0</v>
      </c>
      <c r="C2820" s="124" t="s">
        <v>6065</v>
      </c>
      <c r="D2820" s="125"/>
      <c r="E2820" s="126">
        <v>4.0</v>
      </c>
      <c r="F2820" s="127"/>
      <c r="G2820" s="127"/>
      <c r="H2820" s="127"/>
      <c r="I2820" s="128"/>
      <c r="K2820" s="105" t="str">
        <f>IFERROR(__xludf.DUMMYFUNCTION("if(A2820="""","""",substitute(SUBSTITUTE(index(importhtml(""http://finviz.com/quote.ashx?t=""&amp;A2820,""table"",10),7,2),""*"",""""),""-"",""0.00""))"),"Loading...")</f>
        <v>Loading...</v>
      </c>
      <c r="L2820" s="129">
        <v>3.057776E7</v>
      </c>
      <c r="M2820" s="99" t="str">
        <f>IFERROR(__xludf.DUMMYFUNCTION("GOOGLEFINANCE(A2820,""beta"")"),"#N/A")</f>
        <v>#N/A</v>
      </c>
    </row>
    <row r="2821">
      <c r="A2821" s="122" t="s">
        <v>6066</v>
      </c>
      <c r="B2821" s="123">
        <v>893739.0</v>
      </c>
      <c r="C2821" s="124" t="s">
        <v>6067</v>
      </c>
      <c r="D2821" s="125"/>
      <c r="E2821" s="126">
        <v>4.0</v>
      </c>
      <c r="F2821" s="127"/>
      <c r="G2821" s="127"/>
      <c r="H2821" s="127"/>
      <c r="I2821" s="128"/>
      <c r="K2821" s="105" t="str">
        <f>IFERROR(__xludf.DUMMYFUNCTION("if(A2821="""","""",substitute(SUBSTITUTE(index(importhtml(""http://finviz.com/quote.ashx?t=""&amp;A2821,""table"",10),7,2),""*"",""""),""-"",""0.00""))"),"Loading...")</f>
        <v>Loading...</v>
      </c>
      <c r="L2821" s="129">
        <v>4.000056E7</v>
      </c>
      <c r="M2821" s="99">
        <v>0.77</v>
      </c>
    </row>
    <row r="2822">
      <c r="A2822" s="122" t="s">
        <v>6068</v>
      </c>
      <c r="B2822" s="123">
        <v>1563756.0</v>
      </c>
      <c r="C2822" s="124" t="s">
        <v>6069</v>
      </c>
      <c r="D2822" s="125"/>
      <c r="E2822" s="126">
        <v>4.0</v>
      </c>
      <c r="F2822" s="127"/>
      <c r="G2822" s="127"/>
      <c r="H2822" s="127"/>
      <c r="I2822" s="128"/>
      <c r="K2822" s="105" t="str">
        <f>IFERROR(__xludf.DUMMYFUNCTION("if(A2822="""","""",substitute(SUBSTITUTE(index(importhtml(""http://finviz.com/quote.ashx?t=""&amp;A2822,""table"",10),7,2),""*"",""""),""-"",""0.00""))"),"Loading...")</f>
        <v>Loading...</v>
      </c>
      <c r="L2822" s="129">
        <v>5.16E7</v>
      </c>
      <c r="M2822" s="99" t="str">
        <f>IFERROR(__xludf.DUMMYFUNCTION("GOOGLEFINANCE(A2822,""beta"")"),"#N/A")</f>
        <v>#N/A</v>
      </c>
    </row>
    <row r="2823">
      <c r="A2823" s="122" t="s">
        <v>6070</v>
      </c>
      <c r="B2823" s="123">
        <v>1399520.0</v>
      </c>
      <c r="C2823" s="124" t="s">
        <v>6071</v>
      </c>
      <c r="D2823" s="125"/>
      <c r="E2823" s="126">
        <v>4.0</v>
      </c>
      <c r="F2823" s="127"/>
      <c r="G2823" s="127"/>
      <c r="H2823" s="127"/>
      <c r="I2823" s="128"/>
      <c r="K2823" s="105" t="str">
        <f>IFERROR(__xludf.DUMMYFUNCTION("if(A2823="""","""",substitute(SUBSTITUTE(index(importhtml(""http://finviz.com/quote.ashx?t=""&amp;A2823,""table"",10),7,2),""*"",""""),""-"",""0.00""))"),"Loading...")</f>
        <v>Loading...</v>
      </c>
      <c r="L2823" s="129">
        <v>1.2509336E8</v>
      </c>
      <c r="M2823" s="99">
        <v>2.47</v>
      </c>
    </row>
    <row r="2824">
      <c r="A2824" s="122" t="s">
        <v>6072</v>
      </c>
      <c r="B2824" s="123">
        <v>1753706.0</v>
      </c>
      <c r="C2824" s="124" t="s">
        <v>1774</v>
      </c>
      <c r="D2824" s="125"/>
      <c r="E2824" s="126">
        <v>4.0</v>
      </c>
      <c r="F2824" s="127"/>
      <c r="G2824" s="127"/>
      <c r="H2824" s="127"/>
      <c r="I2824" s="128"/>
      <c r="K2824" s="105" t="str">
        <f>IFERROR(__xludf.DUMMYFUNCTION("if(A2824="""","""",substitute(SUBSTITUTE(index(importhtml(""http://finviz.com/quote.ashx?t=""&amp;A2824,""table"",10),7,2),""*"",""""),""-"",""0.00""))"),"Loading...")</f>
        <v>Loading...</v>
      </c>
      <c r="L2824" s="129">
        <v>1.714036E8</v>
      </c>
      <c r="M2824" s="99">
        <v>0.53</v>
      </c>
    </row>
    <row r="2825">
      <c r="A2825" s="122" t="s">
        <v>6073</v>
      </c>
      <c r="B2825" s="123">
        <v>814052.0</v>
      </c>
      <c r="C2825" s="124" t="s">
        <v>6074</v>
      </c>
      <c r="D2825" s="125"/>
      <c r="E2825" s="126">
        <v>4.0</v>
      </c>
      <c r="F2825" s="127"/>
      <c r="G2825" s="127"/>
      <c r="H2825" s="127"/>
      <c r="I2825" s="128"/>
      <c r="K2825" s="105" t="str">
        <f>IFERROR(__xludf.DUMMYFUNCTION("if(A2825="""","""",substitute(SUBSTITUTE(index(importhtml(""http://finviz.com/quote.ashx?t=""&amp;A2825,""table"",10),7,2),""*"",""""),""-"",""0.00""))"),"Loading...")</f>
        <v>Loading...</v>
      </c>
      <c r="L2825" s="129">
        <v>2.2688868E10</v>
      </c>
      <c r="M2825" s="99">
        <v>0.69</v>
      </c>
    </row>
    <row r="2826">
      <c r="A2826" s="122" t="s">
        <v>6075</v>
      </c>
      <c r="B2826" s="123">
        <v>1672886.0</v>
      </c>
      <c r="C2826" s="124" t="s">
        <v>6076</v>
      </c>
      <c r="D2826" s="125"/>
      <c r="E2826" s="126">
        <v>4.0</v>
      </c>
      <c r="F2826" s="127"/>
      <c r="G2826" s="127"/>
      <c r="H2826" s="127"/>
      <c r="I2826" s="128"/>
      <c r="K2826" s="105" t="str">
        <f>IFERROR(__xludf.DUMMYFUNCTION("if(A2826="""","""",substitute(SUBSTITUTE(index(importhtml(""http://finviz.com/quote.ashx?t=""&amp;A2826,""table"",10),7,2),""*"",""""),""-"",""0.00""))"),"Loading...")</f>
        <v>Loading...</v>
      </c>
      <c r="L2826" s="129">
        <v>8.8221249E7</v>
      </c>
      <c r="M2826" s="99" t="str">
        <f>IFERROR(__xludf.DUMMYFUNCTION("GOOGLEFINANCE(A2826,""beta"")"),"#N/A")</f>
        <v>#N/A</v>
      </c>
    </row>
    <row r="2827">
      <c r="A2827" s="122" t="s">
        <v>6077</v>
      </c>
      <c r="B2827" s="123">
        <v>1411579.0</v>
      </c>
      <c r="C2827" s="124" t="s">
        <v>6078</v>
      </c>
      <c r="D2827" s="125"/>
      <c r="E2827" s="126">
        <v>4.01</v>
      </c>
      <c r="F2827" s="127"/>
      <c r="G2827" s="127"/>
      <c r="H2827" s="127"/>
      <c r="I2827" s="128"/>
      <c r="K2827" s="55" t="s">
        <v>1034</v>
      </c>
      <c r="L2827" s="129">
        <v>7.95410813E8</v>
      </c>
      <c r="M2827" s="99">
        <v>1.67</v>
      </c>
    </row>
    <row r="2828">
      <c r="A2828" s="122" t="s">
        <v>6079</v>
      </c>
      <c r="B2828" s="123">
        <v>1726744.0</v>
      </c>
      <c r="C2828" s="124" t="s">
        <v>6080</v>
      </c>
      <c r="D2828" s="125"/>
      <c r="E2828" s="126">
        <v>4.01</v>
      </c>
      <c r="F2828" s="127"/>
      <c r="G2828" s="127"/>
      <c r="H2828" s="127"/>
      <c r="I2828" s="128"/>
      <c r="K2828" s="105" t="str">
        <f>IFERROR(__xludf.DUMMYFUNCTION("if(A2828="""","""",substitute(SUBSTITUTE(index(importhtml(""http://finviz.com/quote.ashx?t=""&amp;A2828,""table"",10),7,2),""*"",""""),""-"",""0.00""))"),"Loading...")</f>
        <v>Loading...</v>
      </c>
      <c r="L2828" s="129">
        <v>8128270.0</v>
      </c>
      <c r="M2828" s="99" t="str">
        <f>IFERROR(__xludf.DUMMYFUNCTION("GOOGLEFINANCE(A2828,""beta"")"),"#N/A")</f>
        <v>#N/A</v>
      </c>
    </row>
    <row r="2829">
      <c r="A2829" s="122" t="s">
        <v>6081</v>
      </c>
      <c r="B2829" s="123">
        <v>1516551.0</v>
      </c>
      <c r="C2829" s="124" t="s">
        <v>6082</v>
      </c>
      <c r="D2829" s="125"/>
      <c r="E2829" s="126">
        <v>4.01</v>
      </c>
      <c r="F2829" s="127"/>
      <c r="G2829" s="127"/>
      <c r="H2829" s="127"/>
      <c r="I2829" s="128"/>
      <c r="K2829" s="105" t="str">
        <f>IFERROR(__xludf.DUMMYFUNCTION("if(A2829="""","""",substitute(SUBSTITUTE(index(importhtml(""http://finviz.com/quote.ashx?t=""&amp;A2829,""table"",10),7,2),""*"",""""),""-"",""0.00""))"),"Loading...")</f>
        <v>Loading...</v>
      </c>
      <c r="L2829" s="129">
        <v>4.9429673E7</v>
      </c>
      <c r="M2829" s="99">
        <v>1.13</v>
      </c>
    </row>
    <row r="2830">
      <c r="A2830" s="122" t="s">
        <v>6083</v>
      </c>
      <c r="B2830" s="123">
        <v>1001902.0</v>
      </c>
      <c r="C2830" s="124" t="s">
        <v>6084</v>
      </c>
      <c r="D2830" s="125"/>
      <c r="E2830" s="126">
        <v>4.01</v>
      </c>
      <c r="F2830" s="127"/>
      <c r="G2830" s="127"/>
      <c r="H2830" s="127"/>
      <c r="I2830" s="128"/>
      <c r="K2830" s="105" t="str">
        <f>IFERROR(__xludf.DUMMYFUNCTION("if(A2830="""","""",substitute(SUBSTITUTE(index(importhtml(""http://finviz.com/quote.ashx?t=""&amp;A2830,""table"",10),7,2),""*"",""""),""-"",""0.00""))"),"Loading...")</f>
        <v>Loading...</v>
      </c>
      <c r="L2830" s="129">
        <v>1.0575754E8</v>
      </c>
      <c r="M2830" s="99">
        <v>0.77</v>
      </c>
    </row>
    <row r="2831">
      <c r="A2831" s="122" t="s">
        <v>6085</v>
      </c>
      <c r="B2831" s="123">
        <v>1891101.0</v>
      </c>
      <c r="C2831" s="124" t="s">
        <v>6086</v>
      </c>
      <c r="D2831" s="125"/>
      <c r="E2831" s="126">
        <v>4.01</v>
      </c>
      <c r="F2831" s="127"/>
      <c r="G2831" s="127"/>
      <c r="H2831" s="127"/>
      <c r="I2831" s="128"/>
      <c r="K2831" s="105" t="str">
        <f>IFERROR(__xludf.DUMMYFUNCTION("if(A2831="""","""",substitute(SUBSTITUTE(index(importhtml(""http://finviz.com/quote.ashx?t=""&amp;A2831,""table"",10),7,2),""*"",""""),""-"",""0.00""))"),"Loading...")</f>
        <v>Loading...</v>
      </c>
      <c r="L2831" s="129">
        <v>8.50287666E8</v>
      </c>
      <c r="M2831" s="99">
        <f>IFERROR(__xludf.DUMMYFUNCTION("GOOGLEFINANCE(A2831,""beta"")"),0.91)</f>
        <v>0.91</v>
      </c>
    </row>
    <row r="2832">
      <c r="A2832" s="122" t="s">
        <v>6087</v>
      </c>
      <c r="B2832" s="123">
        <v>105319.0</v>
      </c>
      <c r="C2832" s="124" t="s">
        <v>6088</v>
      </c>
      <c r="D2832" s="125"/>
      <c r="E2832" s="126">
        <v>4.02</v>
      </c>
      <c r="F2832" s="127"/>
      <c r="G2832" s="127"/>
      <c r="H2832" s="127"/>
      <c r="I2832" s="128"/>
      <c r="K2832" s="55" t="s">
        <v>1034</v>
      </c>
      <c r="L2832" s="129">
        <v>3.17905658E8</v>
      </c>
      <c r="M2832" s="99">
        <v>1.83</v>
      </c>
    </row>
    <row r="2833">
      <c r="A2833" s="122" t="s">
        <v>6089</v>
      </c>
      <c r="B2833" s="123">
        <v>1837686.0</v>
      </c>
      <c r="C2833" s="124" t="s">
        <v>6090</v>
      </c>
      <c r="D2833" s="125"/>
      <c r="E2833" s="126">
        <v>4.02</v>
      </c>
      <c r="F2833" s="127"/>
      <c r="G2833" s="127"/>
      <c r="H2833" s="127"/>
      <c r="I2833" s="128"/>
      <c r="K2833" s="105" t="str">
        <f>IFERROR(__xludf.DUMMYFUNCTION("if(A2833="""","""",substitute(SUBSTITUTE(index(importhtml(""http://finviz.com/quote.ashx?t=""&amp;A2833,""table"",10),7,2),""*"",""""),""-"",""0.00""))"),"Loading...")</f>
        <v>Loading...</v>
      </c>
      <c r="L2833" s="129">
        <v>6.73827572E8</v>
      </c>
      <c r="M2833" s="99">
        <f>IFERROR(__xludf.DUMMYFUNCTION("GOOGLEFINANCE(A2833,""beta"")"),2.21)</f>
        <v>2.21</v>
      </c>
    </row>
    <row r="2834">
      <c r="A2834" s="122" t="s">
        <v>6091</v>
      </c>
      <c r="B2834" s="123">
        <v>1523541.0</v>
      </c>
      <c r="C2834" s="124" t="s">
        <v>6092</v>
      </c>
      <c r="D2834" s="125"/>
      <c r="E2834" s="126">
        <v>4.02</v>
      </c>
      <c r="F2834" s="127"/>
      <c r="G2834" s="127"/>
      <c r="H2834" s="127"/>
      <c r="I2834" s="128"/>
      <c r="K2834" s="105" t="str">
        <f>IFERROR(__xludf.DUMMYFUNCTION("if(A2834="""","""",substitute(SUBSTITUTE(index(importhtml(""http://finviz.com/quote.ashx?t=""&amp;A2834,""table"",10),7,2),""*"",""""),""-"",""0.00""))"),"Loading...")</f>
        <v>Loading...</v>
      </c>
      <c r="L2834" s="129">
        <v>8.667664244E9</v>
      </c>
      <c r="M2834" s="99">
        <v>0.46</v>
      </c>
    </row>
    <row r="2835">
      <c r="A2835" s="122" t="s">
        <v>6093</v>
      </c>
      <c r="B2835" s="123">
        <v>1468748.0</v>
      </c>
      <c r="C2835" s="124" t="s">
        <v>6094</v>
      </c>
      <c r="D2835" s="125"/>
      <c r="E2835" s="126">
        <v>4.03</v>
      </c>
      <c r="F2835" s="127"/>
      <c r="G2835" s="127"/>
      <c r="H2835" s="127"/>
      <c r="I2835" s="128"/>
      <c r="K2835" s="105" t="str">
        <f>IFERROR(__xludf.DUMMYFUNCTION("if(A2835="""","""",substitute(SUBSTITUTE(index(importhtml(""http://finviz.com/quote.ashx?t=""&amp;A2835,""table"",10),7,2),""*"",""""),""-"",""0.00""))"),"Loading...")</f>
        <v>Loading...</v>
      </c>
      <c r="L2835" s="129">
        <v>2.1146338E8</v>
      </c>
      <c r="M2835" s="99">
        <v>2.06</v>
      </c>
    </row>
    <row r="2836">
      <c r="A2836" s="122" t="s">
        <v>6095</v>
      </c>
      <c r="B2836" s="123">
        <v>1830033.0</v>
      </c>
      <c r="C2836" s="124" t="s">
        <v>6096</v>
      </c>
      <c r="D2836" s="125"/>
      <c r="E2836" s="126">
        <v>4.03</v>
      </c>
      <c r="F2836" s="127"/>
      <c r="G2836" s="127"/>
      <c r="H2836" s="127"/>
      <c r="I2836" s="128"/>
      <c r="K2836" s="105" t="str">
        <f>IFERROR(__xludf.DUMMYFUNCTION("if(A2836="""","""",substitute(SUBSTITUTE(index(importhtml(""http://finviz.com/quote.ashx?t=""&amp;A2836,""table"",10),7,2),""*"",""""),""-"",""0.00""))"),"Loading...")</f>
        <v>Loading...</v>
      </c>
      <c r="L2836" s="129">
        <v>6.61159013E8</v>
      </c>
      <c r="M2836" s="99">
        <v>1.37</v>
      </c>
    </row>
    <row r="2837">
      <c r="A2837" s="122" t="s">
        <v>6097</v>
      </c>
      <c r="B2837" s="123">
        <v>1768259.0</v>
      </c>
      <c r="C2837" s="124" t="s">
        <v>6098</v>
      </c>
      <c r="D2837" s="125"/>
      <c r="E2837" s="126">
        <v>4.03</v>
      </c>
      <c r="F2837" s="127"/>
      <c r="G2837" s="127"/>
      <c r="H2837" s="127"/>
      <c r="I2837" s="128"/>
      <c r="K2837" s="105" t="str">
        <f>IFERROR(__xludf.DUMMYFUNCTION("if(A2837="""","""",substitute(SUBSTITUTE(index(importhtml(""http://finviz.com/quote.ashx?t=""&amp;A2837,""table"",10),7,2),""*"",""""),""-"",""0.00""))"),"Loading...")</f>
        <v>Loading...</v>
      </c>
      <c r="L2837" s="129">
        <v>1.050511035E9</v>
      </c>
      <c r="M2837" s="99">
        <v>-0.26</v>
      </c>
    </row>
    <row r="2838">
      <c r="A2838" s="122" t="s">
        <v>6099</v>
      </c>
      <c r="B2838" s="123">
        <v>1589150.0</v>
      </c>
      <c r="C2838" s="124" t="s">
        <v>6100</v>
      </c>
      <c r="D2838" s="125"/>
      <c r="E2838" s="126">
        <v>4.04</v>
      </c>
      <c r="F2838" s="127"/>
      <c r="G2838" s="127"/>
      <c r="H2838" s="127"/>
      <c r="I2838" s="128"/>
      <c r="K2838" s="105" t="str">
        <f>IFERROR(__xludf.DUMMYFUNCTION("if(A2838="""","""",substitute(SUBSTITUTE(index(importhtml(""http://finviz.com/quote.ashx?t=""&amp;A2838,""table"",10),7,2),""*"",""""),""-"",""0.00""))"),"Loading...")</f>
        <v>Loading...</v>
      </c>
      <c r="L2838" s="129">
        <v>3750760.0</v>
      </c>
      <c r="M2838" s="99">
        <v>-1.63</v>
      </c>
    </row>
    <row r="2839">
      <c r="A2839" s="122" t="s">
        <v>6101</v>
      </c>
      <c r="B2839" s="123">
        <v>1722438.0</v>
      </c>
      <c r="C2839" s="124" t="s">
        <v>6102</v>
      </c>
      <c r="D2839" s="125"/>
      <c r="E2839" s="126">
        <v>4.04</v>
      </c>
      <c r="F2839" s="127"/>
      <c r="G2839" s="127"/>
      <c r="H2839" s="127"/>
      <c r="I2839" s="128"/>
      <c r="K2839" s="105" t="str">
        <f>IFERROR(__xludf.DUMMYFUNCTION("if(A2839="""","""",substitute(SUBSTITUTE(index(importhtml(""http://finviz.com/quote.ashx?t=""&amp;A2839,""table"",10),7,2),""*"",""""),""-"",""0.00""))"),"Loading...")</f>
        <v>Loading...</v>
      </c>
      <c r="L2839" s="129">
        <v>5.4284429E7</v>
      </c>
      <c r="M2839" s="99">
        <v>1.8</v>
      </c>
    </row>
    <row r="2840">
      <c r="A2840" s="122" t="s">
        <v>6103</v>
      </c>
      <c r="B2840" s="123">
        <v>720500.0</v>
      </c>
      <c r="C2840" s="124" t="s">
        <v>6104</v>
      </c>
      <c r="D2840" s="125"/>
      <c r="E2840" s="126">
        <v>4.04</v>
      </c>
      <c r="F2840" s="127"/>
      <c r="G2840" s="127"/>
      <c r="H2840" s="127"/>
      <c r="I2840" s="128"/>
      <c r="K2840" s="105" t="str">
        <f>IFERROR(__xludf.DUMMYFUNCTION("if(A2840="""","""",substitute(SUBSTITUTE(index(importhtml(""http://finviz.com/quote.ashx?t=""&amp;A2840,""table"",10),7,2),""*"",""""),""-"",""0.00""))"),"Loading...")</f>
        <v>Loading...</v>
      </c>
      <c r="L2840" s="129">
        <v>5.7331518E7</v>
      </c>
      <c r="M2840" s="99">
        <v>1.42</v>
      </c>
    </row>
    <row r="2841">
      <c r="A2841" s="122" t="s">
        <v>6105</v>
      </c>
      <c r="B2841" s="123">
        <v>1544227.0</v>
      </c>
      <c r="C2841" s="124" t="s">
        <v>6106</v>
      </c>
      <c r="D2841" s="125"/>
      <c r="E2841" s="126">
        <v>4.04</v>
      </c>
      <c r="F2841" s="127"/>
      <c r="G2841" s="127"/>
      <c r="H2841" s="127"/>
      <c r="I2841" s="128"/>
      <c r="K2841" s="105" t="str">
        <f>IFERROR(__xludf.DUMMYFUNCTION("if(A2841="""","""",substitute(SUBSTITUTE(index(importhtml(""http://finviz.com/quote.ashx?t=""&amp;A2841,""table"",10),7,2),""*"",""""),""-"",""0.00""))"),"Loading...")</f>
        <v>Loading...</v>
      </c>
      <c r="L2841" s="129">
        <v>7.7759858E7</v>
      </c>
      <c r="M2841" s="99">
        <v>-1.73</v>
      </c>
    </row>
    <row r="2842">
      <c r="A2842" s="122" t="s">
        <v>6107</v>
      </c>
      <c r="B2842" s="123">
        <v>1737287.0</v>
      </c>
      <c r="C2842" s="124" t="s">
        <v>6108</v>
      </c>
      <c r="D2842" s="125"/>
      <c r="E2842" s="126">
        <v>4.05</v>
      </c>
      <c r="F2842" s="127"/>
      <c r="G2842" s="127"/>
      <c r="H2842" s="127"/>
      <c r="I2842" s="128"/>
      <c r="K2842" s="105" t="str">
        <f>IFERROR(__xludf.DUMMYFUNCTION("if(A2842="""","""",substitute(SUBSTITUTE(index(importhtml(""http://finviz.com/quote.ashx?t=""&amp;A2842,""table"",10),7,2),""*"",""""),""-"",""0.00""))"),"Loading...")</f>
        <v>Loading...</v>
      </c>
      <c r="L2842" s="129">
        <v>6.81520262E8</v>
      </c>
      <c r="M2842" s="99">
        <v>0.73</v>
      </c>
    </row>
    <row r="2843">
      <c r="A2843" s="122" t="s">
        <v>6109</v>
      </c>
      <c r="B2843" s="123">
        <v>1745020.0</v>
      </c>
      <c r="C2843" s="124" t="s">
        <v>6110</v>
      </c>
      <c r="D2843" s="125"/>
      <c r="E2843" s="126">
        <v>4.06</v>
      </c>
      <c r="F2843" s="127"/>
      <c r="G2843" s="127"/>
      <c r="H2843" s="127"/>
      <c r="I2843" s="128"/>
      <c r="K2843" s="105" t="str">
        <f>IFERROR(__xludf.DUMMYFUNCTION("if(A2843="""","""",substitute(SUBSTITUTE(index(importhtml(""http://finviz.com/quote.ashx?t=""&amp;A2843,""table"",10),7,2),""*"",""""),""-"",""0.00""))"),"Loading...")</f>
        <v>Loading...</v>
      </c>
      <c r="L2843" s="129">
        <v>1.81275587E8</v>
      </c>
      <c r="M2843" s="99" t="str">
        <f>IFERROR(__xludf.DUMMYFUNCTION("GOOGLEFINANCE(A2843,""beta"")"),"#N/A")</f>
        <v>#N/A</v>
      </c>
    </row>
    <row r="2844">
      <c r="A2844" s="122" t="s">
        <v>6111</v>
      </c>
      <c r="B2844" s="123">
        <v>1717307.0</v>
      </c>
      <c r="C2844" s="124" t="s">
        <v>6112</v>
      </c>
      <c r="D2844" s="125"/>
      <c r="E2844" s="126">
        <v>4.06</v>
      </c>
      <c r="F2844" s="127"/>
      <c r="G2844" s="127"/>
      <c r="H2844" s="127"/>
      <c r="I2844" s="128"/>
      <c r="K2844" s="105" t="str">
        <f>IFERROR(__xludf.DUMMYFUNCTION("if(A2844="""","""",substitute(SUBSTITUTE(index(importhtml(""http://finviz.com/quote.ashx?t=""&amp;A2844,""table"",10),7,2),""*"",""""),""-"",""0.00""))"),"Loading...")</f>
        <v>Loading...</v>
      </c>
      <c r="L2844" s="129">
        <v>2.67325864E8</v>
      </c>
      <c r="M2844" s="99">
        <v>1.76</v>
      </c>
    </row>
    <row r="2845">
      <c r="A2845" s="122" t="s">
        <v>6113</v>
      </c>
      <c r="B2845" s="123">
        <v>1792829.0</v>
      </c>
      <c r="C2845" s="124" t="s">
        <v>6114</v>
      </c>
      <c r="D2845" s="125"/>
      <c r="E2845" s="126">
        <v>4.06</v>
      </c>
      <c r="F2845" s="127"/>
      <c r="G2845" s="127"/>
      <c r="H2845" s="127"/>
      <c r="I2845" s="128"/>
      <c r="K2845" s="105" t="str">
        <f>IFERROR(__xludf.DUMMYFUNCTION("if(A2845="""","""",substitute(SUBSTITUTE(index(importhtml(""http://finviz.com/quote.ashx?t=""&amp;A2845,""table"",10),7,2),""*"",""""),""-"",""0.00""))"),"Loading...")</f>
        <v>Loading...</v>
      </c>
      <c r="L2845" s="129">
        <v>3.38405623E8</v>
      </c>
      <c r="M2845" s="99">
        <v>0.16</v>
      </c>
    </row>
    <row r="2846">
      <c r="A2846" s="122" t="s">
        <v>6115</v>
      </c>
      <c r="B2846" s="123">
        <v>78814.0</v>
      </c>
      <c r="C2846" s="124" t="s">
        <v>6116</v>
      </c>
      <c r="D2846" s="125"/>
      <c r="E2846" s="126">
        <v>4.06</v>
      </c>
      <c r="F2846" s="127"/>
      <c r="G2846" s="127"/>
      <c r="H2846" s="127"/>
      <c r="I2846" s="128"/>
      <c r="K2846" s="105" t="str">
        <f>IFERROR(__xludf.DUMMYFUNCTION("if(A2846="""","""",substitute(SUBSTITUTE(index(importhtml(""http://finviz.com/quote.ashx?t=""&amp;A2846,""table"",10),7,2),""*"",""""),""-"",""0.00""))"),"Loading...")</f>
        <v>Loading...</v>
      </c>
      <c r="L2846" s="129">
        <v>7.15904661E8</v>
      </c>
      <c r="M2846" s="99">
        <v>2.17</v>
      </c>
    </row>
    <row r="2847">
      <c r="A2847" s="122" t="s">
        <v>6117</v>
      </c>
      <c r="B2847" s="123">
        <v>1454938.0</v>
      </c>
      <c r="C2847" s="124" t="s">
        <v>6118</v>
      </c>
      <c r="D2847" s="125"/>
      <c r="E2847" s="126">
        <v>4.07</v>
      </c>
      <c r="F2847" s="127"/>
      <c r="G2847" s="127"/>
      <c r="H2847" s="127"/>
      <c r="I2847" s="128"/>
      <c r="K2847" s="55" t="s">
        <v>1034</v>
      </c>
      <c r="L2847" s="129">
        <v>2.04132527E8</v>
      </c>
      <c r="M2847" s="99" t="str">
        <f>IFERROR(__xludf.DUMMYFUNCTION("GOOGLEFINANCE(A2847,""beta"")"),"#N/A")</f>
        <v>#N/A</v>
      </c>
    </row>
    <row r="2848">
      <c r="A2848" s="122" t="s">
        <v>6119</v>
      </c>
      <c r="B2848" s="123">
        <v>1813814.0</v>
      </c>
      <c r="C2848" s="124" t="s">
        <v>6120</v>
      </c>
      <c r="D2848" s="125"/>
      <c r="E2848" s="126">
        <v>4.07</v>
      </c>
      <c r="F2848" s="127"/>
      <c r="G2848" s="127"/>
      <c r="H2848" s="127"/>
      <c r="I2848" s="128"/>
      <c r="K2848" s="105" t="str">
        <f>IFERROR(__xludf.DUMMYFUNCTION("if(A2848="""","""",substitute(SUBSTITUTE(index(importhtml(""http://finviz.com/quote.ashx?t=""&amp;A2848,""table"",10),7,2),""*"",""""),""-"",""0.00""))"),"Loading...")</f>
        <v>Loading...</v>
      </c>
      <c r="L2848" s="129">
        <v>1.63185476E8</v>
      </c>
      <c r="M2848" s="99">
        <v>2.35</v>
      </c>
    </row>
    <row r="2849">
      <c r="A2849" s="122" t="s">
        <v>6121</v>
      </c>
      <c r="B2849" s="123">
        <v>1899287.0</v>
      </c>
      <c r="C2849" s="124" t="s">
        <v>6122</v>
      </c>
      <c r="D2849" s="125"/>
      <c r="E2849" s="126">
        <v>4.07</v>
      </c>
      <c r="F2849" s="127"/>
      <c r="G2849" s="127"/>
      <c r="H2849" s="127"/>
      <c r="I2849" s="128"/>
      <c r="K2849" s="105" t="str">
        <f>IFERROR(__xludf.DUMMYFUNCTION("if(A2849="""","""",substitute(SUBSTITUTE(index(importhtml(""http://finviz.com/quote.ashx?t=""&amp;A2849,""table"",10),7,2),""*"",""""),""-"",""0.00""))"),"Loading...")</f>
        <v>Loading...</v>
      </c>
      <c r="L2849" s="129">
        <v>3.59772264E8</v>
      </c>
      <c r="M2849" s="99">
        <f>IFERROR(__xludf.DUMMYFUNCTION("GOOGLEFINANCE(A2849,""beta"")"),2.88)</f>
        <v>2.88</v>
      </c>
    </row>
    <row r="2850">
      <c r="A2850" s="122" t="s">
        <v>6123</v>
      </c>
      <c r="B2850" s="123">
        <v>1499849.0</v>
      </c>
      <c r="C2850" s="124" t="s">
        <v>6124</v>
      </c>
      <c r="D2850" s="125"/>
      <c r="E2850" s="126">
        <v>4.07</v>
      </c>
      <c r="F2850" s="127"/>
      <c r="G2850" s="127"/>
      <c r="H2850" s="127"/>
      <c r="I2850" s="128"/>
      <c r="K2850" s="105" t="str">
        <f>IFERROR(__xludf.DUMMYFUNCTION("if(A2850="""","""",substitute(SUBSTITUTE(index(importhtml(""http://finviz.com/quote.ashx?t=""&amp;A2850,""table"",10),7,2),""*"",""""),""-"",""0.00""))"),"Loading...")</f>
        <v>Loading...</v>
      </c>
      <c r="L2850" s="129">
        <v>2.537306719E9</v>
      </c>
      <c r="M2850" s="99" t="str">
        <f>IFERROR(__xludf.DUMMYFUNCTION("GOOGLEFINANCE(A2850,""beta"")"),"#N/A")</f>
        <v>#N/A</v>
      </c>
    </row>
    <row r="2851">
      <c r="A2851" s="122" t="s">
        <v>6125</v>
      </c>
      <c r="B2851" s="123">
        <v>1702924.0</v>
      </c>
      <c r="C2851" s="124" t="s">
        <v>6126</v>
      </c>
      <c r="D2851" s="125"/>
      <c r="E2851" s="126">
        <v>4.08</v>
      </c>
      <c r="F2851" s="127"/>
      <c r="G2851" s="127"/>
      <c r="H2851" s="127"/>
      <c r="I2851" s="128"/>
      <c r="K2851" s="105" t="str">
        <f>IFERROR(__xludf.DUMMYFUNCTION("if(A2851="""","""",substitute(SUBSTITUTE(index(importhtml(""http://finviz.com/quote.ashx?t=""&amp;A2851,""table"",10),7,2),""*"",""""),""-"",""0.00""))"),"Loading...")</f>
        <v>Loading...</v>
      </c>
      <c r="L2851" s="129">
        <v>1.8039381E8</v>
      </c>
      <c r="M2851" s="99">
        <v>1.57</v>
      </c>
    </row>
    <row r="2852">
      <c r="A2852" s="122" t="s">
        <v>6127</v>
      </c>
      <c r="B2852" s="123">
        <v>1059386.0</v>
      </c>
      <c r="C2852" s="124" t="s">
        <v>6128</v>
      </c>
      <c r="D2852" s="125"/>
      <c r="E2852" s="126">
        <v>4.08</v>
      </c>
      <c r="F2852" s="127"/>
      <c r="G2852" s="127"/>
      <c r="H2852" s="127"/>
      <c r="I2852" s="128"/>
      <c r="K2852" s="105" t="str">
        <f>IFERROR(__xludf.DUMMYFUNCTION("if(A2852="""","""",substitute(SUBSTITUTE(index(importhtml(""http://finviz.com/quote.ashx?t=""&amp;A2852,""table"",10),7,2),""*"",""""),""-"",""0.00""))"),"Loading...")</f>
        <v>Loading...</v>
      </c>
      <c r="L2852" s="129">
        <v>6.24365244E8</v>
      </c>
      <c r="M2852" s="99">
        <v>0.44</v>
      </c>
    </row>
    <row r="2853">
      <c r="A2853" s="122" t="s">
        <v>6129</v>
      </c>
      <c r="B2853" s="123">
        <v>1865631.0</v>
      </c>
      <c r="C2853" s="124" t="s">
        <v>6130</v>
      </c>
      <c r="D2853" s="125"/>
      <c r="E2853" s="126">
        <v>4.09</v>
      </c>
      <c r="F2853" s="127"/>
      <c r="G2853" s="127"/>
      <c r="H2853" s="127"/>
      <c r="I2853" s="128"/>
      <c r="K2853" s="55" t="s">
        <v>1034</v>
      </c>
      <c r="L2853" s="129">
        <v>4.50455438E8</v>
      </c>
      <c r="M2853" s="99">
        <v>1.29</v>
      </c>
    </row>
    <row r="2854">
      <c r="A2854" s="122" t="s">
        <v>6131</v>
      </c>
      <c r="B2854" s="123">
        <v>1707910.0</v>
      </c>
      <c r="C2854" s="124" t="s">
        <v>6132</v>
      </c>
      <c r="D2854" s="125"/>
      <c r="E2854" s="126">
        <v>4.09</v>
      </c>
      <c r="F2854" s="127"/>
      <c r="G2854" s="127"/>
      <c r="H2854" s="127"/>
      <c r="I2854" s="128"/>
      <c r="K2854" s="105" t="str">
        <f>IFERROR(__xludf.DUMMYFUNCTION("if(A2854="""","""",substitute(SUBSTITUTE(index(importhtml(""http://finviz.com/quote.ashx?t=""&amp;A2854,""table"",10),7,2),""*"",""""),""-"",""0.00""))"),"Loading...")</f>
        <v>Loading...</v>
      </c>
      <c r="L2854" s="129">
        <v>1.1041192E7</v>
      </c>
      <c r="M2854" s="99">
        <f>IFERROR(__xludf.DUMMYFUNCTION("GOOGLEFINANCE(A2854,""beta"")"),2.1)</f>
        <v>2.1</v>
      </c>
    </row>
    <row r="2855">
      <c r="A2855" s="122" t="s">
        <v>6133</v>
      </c>
      <c r="B2855" s="123">
        <v>1616262.0</v>
      </c>
      <c r="C2855" s="124" t="s">
        <v>6134</v>
      </c>
      <c r="D2855" s="125"/>
      <c r="E2855" s="126">
        <v>4.1</v>
      </c>
      <c r="F2855" s="127"/>
      <c r="G2855" s="127"/>
      <c r="H2855" s="127"/>
      <c r="I2855" s="128"/>
      <c r="K2855" s="105" t="str">
        <f>IFERROR(__xludf.DUMMYFUNCTION("if(A2855="""","""",substitute(SUBSTITUTE(index(importhtml(""http://finviz.com/quote.ashx?t=""&amp;A2855,""table"",10),7,2),""*"",""""),""-"",""0.00""))"),"Loading...")</f>
        <v>Loading...</v>
      </c>
      <c r="L2855" s="129">
        <v>2.5892557E7</v>
      </c>
      <c r="M2855" s="99">
        <v>1.09</v>
      </c>
    </row>
    <row r="2856">
      <c r="A2856" s="122" t="s">
        <v>6135</v>
      </c>
      <c r="B2856" s="123">
        <v>856128.0</v>
      </c>
      <c r="C2856" s="124" t="s">
        <v>6136</v>
      </c>
      <c r="D2856" s="125"/>
      <c r="E2856" s="126">
        <v>4.11</v>
      </c>
      <c r="F2856" s="127"/>
      <c r="G2856" s="127"/>
      <c r="H2856" s="127"/>
      <c r="I2856" s="128"/>
      <c r="K2856" s="105" t="str">
        <f>IFERROR(__xludf.DUMMYFUNCTION("if(A2856="""","""",substitute(SUBSTITUTE(index(importhtml(""http://finviz.com/quote.ashx?t=""&amp;A2856,""table"",10),7,2),""*"",""""),""-"",""0.00""))"),"Loading...")</f>
        <v>Loading...</v>
      </c>
      <c r="L2856" s="129">
        <v>3.0019798E7</v>
      </c>
      <c r="M2856" s="99">
        <v>0.79</v>
      </c>
    </row>
    <row r="2857">
      <c r="A2857" s="122" t="s">
        <v>6137</v>
      </c>
      <c r="B2857" s="123">
        <v>844965.0</v>
      </c>
      <c r="C2857" s="124" t="s">
        <v>6138</v>
      </c>
      <c r="D2857" s="125"/>
      <c r="E2857" s="126">
        <v>4.11</v>
      </c>
      <c r="F2857" s="127"/>
      <c r="G2857" s="127"/>
      <c r="H2857" s="127"/>
      <c r="I2857" s="128"/>
      <c r="K2857" s="105" t="str">
        <f>IFERROR(__xludf.DUMMYFUNCTION("if(A2857="""","""",substitute(SUBSTITUTE(index(importhtml(""http://finviz.com/quote.ashx?t=""&amp;A2857,""table"",10),7,2),""*"",""""),""-"",""0.00""))"),"Loading...")</f>
        <v>Loading...</v>
      </c>
      <c r="L2857" s="129">
        <v>5.34625118E8</v>
      </c>
      <c r="M2857" s="99">
        <v>2.25</v>
      </c>
    </row>
    <row r="2858">
      <c r="A2858" s="122" t="s">
        <v>6139</v>
      </c>
      <c r="B2858" s="123">
        <v>1900304.0</v>
      </c>
      <c r="C2858" s="124" t="s">
        <v>6140</v>
      </c>
      <c r="D2858" s="125"/>
      <c r="E2858" s="126">
        <v>4.11</v>
      </c>
      <c r="F2858" s="127"/>
      <c r="G2858" s="127"/>
      <c r="H2858" s="127"/>
      <c r="I2858" s="128"/>
      <c r="K2858" s="105" t="str">
        <f>IFERROR(__xludf.DUMMYFUNCTION("if(A2858="""","""",substitute(SUBSTITUTE(index(importhtml(""http://finviz.com/quote.ashx?t=""&amp;A2858,""table"",10),7,2),""*"",""""),""-"",""0.00""))"),"Loading...")</f>
        <v>Loading...</v>
      </c>
      <c r="L2858" s="129">
        <v>3.7919138544E10</v>
      </c>
      <c r="M2858" s="99">
        <f>IFERROR(__xludf.DUMMYFUNCTION("GOOGLEFINANCE(A2858,""beta"")"),-29.66)</f>
        <v>-29.66</v>
      </c>
    </row>
    <row r="2859">
      <c r="A2859" s="122" t="s">
        <v>6141</v>
      </c>
      <c r="B2859" s="123">
        <v>1712463.0</v>
      </c>
      <c r="C2859" s="124" t="s">
        <v>6142</v>
      </c>
      <c r="D2859" s="125"/>
      <c r="E2859" s="126">
        <v>4.12</v>
      </c>
      <c r="F2859" s="127"/>
      <c r="G2859" s="127"/>
      <c r="H2859" s="127"/>
      <c r="I2859" s="128"/>
      <c r="K2859" s="105" t="str">
        <f>IFERROR(__xludf.DUMMYFUNCTION("if(A2859="""","""",substitute(SUBSTITUTE(index(importhtml(""http://finviz.com/quote.ashx?t=""&amp;A2859,""table"",10),7,2),""*"",""""),""-"",""0.00""))"),"Loading...")</f>
        <v>Loading...</v>
      </c>
      <c r="L2859" s="129">
        <v>3.40333661E8</v>
      </c>
      <c r="M2859" s="99">
        <v>2.21</v>
      </c>
    </row>
    <row r="2860">
      <c r="A2860" s="122" t="s">
        <v>6143</v>
      </c>
      <c r="B2860" s="123">
        <v>1593899.0</v>
      </c>
      <c r="C2860" s="124" t="s">
        <v>6144</v>
      </c>
      <c r="D2860" s="125"/>
      <c r="E2860" s="126">
        <v>4.12</v>
      </c>
      <c r="F2860" s="127"/>
      <c r="G2860" s="127"/>
      <c r="H2860" s="127"/>
      <c r="I2860" s="128"/>
      <c r="K2860" s="105" t="str">
        <f>IFERROR(__xludf.DUMMYFUNCTION("if(A2860="""","""",substitute(SUBSTITUTE(index(importhtml(""http://finviz.com/quote.ashx?t=""&amp;A2860,""table"",10),7,2),""*"",""""),""-"",""0.00""))"),"Loading...")</f>
        <v>Loading...</v>
      </c>
      <c r="L2860" s="129">
        <v>3.43754332E8</v>
      </c>
      <c r="M2860" s="99">
        <v>0.16</v>
      </c>
    </row>
    <row r="2861">
      <c r="A2861" s="122" t="s">
        <v>6145</v>
      </c>
      <c r="B2861" s="123">
        <v>1455634.0</v>
      </c>
      <c r="C2861" s="124" t="s">
        <v>6146</v>
      </c>
      <c r="D2861" s="125"/>
      <c r="E2861" s="126">
        <v>4.13</v>
      </c>
      <c r="F2861" s="127"/>
      <c r="G2861" s="127"/>
      <c r="H2861" s="127"/>
      <c r="I2861" s="128"/>
      <c r="K2861" s="105" t="str">
        <f>IFERROR(__xludf.DUMMYFUNCTION("if(A2861="""","""",substitute(SUBSTITUTE(index(importhtml(""http://finviz.com/quote.ashx?t=""&amp;A2861,""table"",10),7,2),""*"",""""),""-"",""0.00""))"),"Loading...")</f>
        <v>Loading...</v>
      </c>
      <c r="L2861" s="129">
        <v>1.18381095E8</v>
      </c>
      <c r="M2861" s="99">
        <v>1.0</v>
      </c>
    </row>
    <row r="2862">
      <c r="A2862" s="122" t="s">
        <v>6147</v>
      </c>
      <c r="B2862" s="123">
        <v>1831283.0</v>
      </c>
      <c r="C2862" s="124" t="s">
        <v>6148</v>
      </c>
      <c r="D2862" s="125"/>
      <c r="E2862" s="126">
        <v>4.13</v>
      </c>
      <c r="F2862" s="127"/>
      <c r="G2862" s="127"/>
      <c r="H2862" s="127"/>
      <c r="I2862" s="128"/>
      <c r="K2862" s="105" t="str">
        <f>IFERROR(__xludf.DUMMYFUNCTION("if(A2862="""","""",substitute(SUBSTITUTE(index(importhtml(""http://finviz.com/quote.ashx?t=""&amp;A2862,""table"",10),7,2),""*"",""""),""-"",""0.00""))"),"Loading...")</f>
        <v>Loading...</v>
      </c>
      <c r="L2862" s="129">
        <v>4.4629855E8</v>
      </c>
      <c r="M2862" s="99" t="str">
        <f>IFERROR(__xludf.DUMMYFUNCTION("GOOGLEFINANCE(A2862,""beta"")"),"#N/A")</f>
        <v>#N/A</v>
      </c>
    </row>
    <row r="2863">
      <c r="A2863" s="122" t="s">
        <v>6149</v>
      </c>
      <c r="B2863" s="123">
        <v>894627.0</v>
      </c>
      <c r="C2863" s="124" t="s">
        <v>6150</v>
      </c>
      <c r="D2863" s="125"/>
      <c r="E2863" s="126">
        <v>4.14</v>
      </c>
      <c r="F2863" s="127"/>
      <c r="G2863" s="127"/>
      <c r="H2863" s="127"/>
      <c r="I2863" s="128"/>
      <c r="K2863" s="55" t="s">
        <v>6151</v>
      </c>
      <c r="L2863" s="129">
        <v>4.35357003E8</v>
      </c>
      <c r="M2863" s="99">
        <v>1.26</v>
      </c>
    </row>
    <row r="2864">
      <c r="A2864" s="122" t="s">
        <v>6152</v>
      </c>
      <c r="B2864" s="123">
        <v>1603993.0</v>
      </c>
      <c r="C2864" s="124" t="s">
        <v>6153</v>
      </c>
      <c r="D2864" s="125"/>
      <c r="E2864" s="126">
        <v>4.14</v>
      </c>
      <c r="F2864" s="127"/>
      <c r="G2864" s="127"/>
      <c r="H2864" s="127"/>
      <c r="I2864" s="128"/>
      <c r="K2864" s="105" t="str">
        <f>IFERROR(__xludf.DUMMYFUNCTION("if(A2864="""","""",substitute(SUBSTITUTE(index(importhtml(""http://finviz.com/quote.ashx?t=""&amp;A2864,""table"",10),7,2),""*"",""""),""-"",""0.00""))"),"Loading...")</f>
        <v>Loading...</v>
      </c>
      <c r="L2864" s="129">
        <v>1.6632842E7</v>
      </c>
      <c r="M2864" s="99">
        <v>1.8</v>
      </c>
    </row>
    <row r="2865">
      <c r="A2865" s="122" t="s">
        <v>6154</v>
      </c>
      <c r="B2865" s="123">
        <v>1326110.0</v>
      </c>
      <c r="C2865" s="124" t="s">
        <v>6155</v>
      </c>
      <c r="D2865" s="125"/>
      <c r="E2865" s="126">
        <v>4.14</v>
      </c>
      <c r="F2865" s="127"/>
      <c r="G2865" s="127"/>
      <c r="H2865" s="127"/>
      <c r="I2865" s="128"/>
      <c r="K2865" s="105" t="str">
        <f>IFERROR(__xludf.DUMMYFUNCTION("if(A2865="""","""",substitute(SUBSTITUTE(index(importhtml(""http://finviz.com/quote.ashx?t=""&amp;A2865,""table"",10),7,2),""*"",""""),""-"",""0.00""))"),"Loading...")</f>
        <v>Loading...</v>
      </c>
      <c r="L2865" s="129">
        <v>2.764300266E9</v>
      </c>
      <c r="M2865" s="99">
        <v>1.03</v>
      </c>
    </row>
    <row r="2866">
      <c r="A2866" s="122" t="s">
        <v>6156</v>
      </c>
      <c r="B2866" s="123">
        <v>1437441.0</v>
      </c>
      <c r="C2866" s="124" t="s">
        <v>6157</v>
      </c>
      <c r="D2866" s="125"/>
      <c r="E2866" s="126">
        <v>4.14</v>
      </c>
      <c r="F2866" s="127"/>
      <c r="G2866" s="127"/>
      <c r="H2866" s="127"/>
      <c r="I2866" s="128"/>
      <c r="K2866" s="105" t="str">
        <f>IFERROR(__xludf.DUMMYFUNCTION("if(A2866="""","""",substitute(SUBSTITUTE(index(importhtml(""http://finviz.com/quote.ashx?t=""&amp;A2866,""table"",10),7,2),""*"",""""),""-"",""0.00""))"),"Loading...")</f>
        <v>Loading...</v>
      </c>
      <c r="L2866" s="129">
        <v>4.904253078E9</v>
      </c>
      <c r="M2866" s="99">
        <v>1.52</v>
      </c>
    </row>
    <row r="2867">
      <c r="A2867" s="122" t="s">
        <v>6158</v>
      </c>
      <c r="B2867" s="123">
        <v>1597033.0</v>
      </c>
      <c r="C2867" s="124" t="s">
        <v>6159</v>
      </c>
      <c r="D2867" s="125"/>
      <c r="E2867" s="126">
        <v>4.15</v>
      </c>
      <c r="F2867" s="127"/>
      <c r="G2867" s="127"/>
      <c r="H2867" s="127"/>
      <c r="I2867" s="128"/>
      <c r="K2867" s="105" t="str">
        <f>IFERROR(__xludf.DUMMYFUNCTION("if(A2867="""","""",substitute(SUBSTITUTE(index(importhtml(""http://finviz.com/quote.ashx?t=""&amp;A2867,""table"",10),7,2),""*"",""""),""-"",""0.00""))"),"Loading...")</f>
        <v>Loading...</v>
      </c>
      <c r="L2867" s="129">
        <v>1.574846601E9</v>
      </c>
      <c r="M2867" s="99">
        <v>1.88</v>
      </c>
    </row>
    <row r="2868">
      <c r="A2868" s="122" t="s">
        <v>6160</v>
      </c>
      <c r="B2868" s="123">
        <v>813298.0</v>
      </c>
      <c r="C2868" s="124" t="s">
        <v>6161</v>
      </c>
      <c r="D2868" s="125"/>
      <c r="E2868" s="126">
        <v>4.16</v>
      </c>
      <c r="F2868" s="127"/>
      <c r="G2868" s="127"/>
      <c r="H2868" s="127"/>
      <c r="I2868" s="128"/>
      <c r="K2868" s="105" t="str">
        <f>IFERROR(__xludf.DUMMYFUNCTION("if(A2868="""","""",substitute(SUBSTITUTE(index(importhtml(""http://finviz.com/quote.ashx?t=""&amp;A2868,""table"",10),7,2),""*"",""""),""-"",""0.00""))"),"Loading...")</f>
        <v>Loading...</v>
      </c>
      <c r="L2868" s="129">
        <v>2.5035736E8</v>
      </c>
      <c r="M2868" s="99">
        <v>1.35</v>
      </c>
    </row>
    <row r="2869">
      <c r="A2869" s="122" t="s">
        <v>6162</v>
      </c>
      <c r="B2869" s="123">
        <v>1820566.0</v>
      </c>
      <c r="C2869" s="124" t="s">
        <v>698</v>
      </c>
      <c r="D2869" s="125"/>
      <c r="E2869" s="126">
        <v>4.17</v>
      </c>
      <c r="F2869" s="127"/>
      <c r="G2869" s="127"/>
      <c r="H2869" s="127"/>
      <c r="I2869" s="128"/>
      <c r="K2869" s="105" t="str">
        <f>IFERROR(__xludf.DUMMYFUNCTION("if(A2869="""","""",substitute(SUBSTITUTE(index(importhtml(""http://finviz.com/quote.ashx?t=""&amp;A2869,""table"",10),7,2),""*"",""""),""-"",""0.00""))"),"Loading...")</f>
        <v>Loading...</v>
      </c>
      <c r="L2869" s="129">
        <v>2.6687033E7</v>
      </c>
      <c r="M2869" s="99">
        <f>IFERROR(__xludf.DUMMYFUNCTION("GOOGLEFINANCE(A2869,""beta"")"),0.02)</f>
        <v>0.02</v>
      </c>
    </row>
    <row r="2870">
      <c r="A2870" s="122" t="s">
        <v>6163</v>
      </c>
      <c r="B2870" s="123">
        <v>814052.0</v>
      </c>
      <c r="C2870" s="124" t="s">
        <v>6164</v>
      </c>
      <c r="D2870" s="125"/>
      <c r="E2870" s="126">
        <v>4.17</v>
      </c>
      <c r="F2870" s="127"/>
      <c r="G2870" s="127"/>
      <c r="H2870" s="127"/>
      <c r="I2870" s="128"/>
      <c r="K2870" s="105" t="str">
        <f>IFERROR(__xludf.DUMMYFUNCTION("if(A2870="""","""",substitute(SUBSTITUTE(index(importhtml(""http://finviz.com/quote.ashx?t=""&amp;A2870,""table"",10),7,2),""*"",""""),""-"",""0.00""))"),"Loading...")</f>
        <v>Loading...</v>
      </c>
      <c r="L2870" s="129">
        <v>2.2688868E10</v>
      </c>
      <c r="M2870" s="99">
        <v>0.73</v>
      </c>
    </row>
    <row r="2871">
      <c r="A2871" s="122" t="s">
        <v>6165</v>
      </c>
      <c r="B2871" s="123">
        <v>890394.0</v>
      </c>
      <c r="C2871" s="124" t="s">
        <v>6166</v>
      </c>
      <c r="D2871" s="125"/>
      <c r="E2871" s="126">
        <v>4.18</v>
      </c>
      <c r="F2871" s="127"/>
      <c r="G2871" s="127"/>
      <c r="H2871" s="127"/>
      <c r="I2871" s="128"/>
      <c r="K2871" s="105" t="str">
        <f>IFERROR(__xludf.DUMMYFUNCTION("if(A2871="""","""",substitute(SUBSTITUTE(index(importhtml(""http://finviz.com/quote.ashx?t=""&amp;A2871,""table"",10),7,2),""*"",""""),""-"",""0.00""))"),"Loading...")</f>
        <v>Loading...</v>
      </c>
      <c r="L2871" s="129">
        <v>3202225.0</v>
      </c>
      <c r="M2871" s="99">
        <v>2.02</v>
      </c>
    </row>
    <row r="2872">
      <c r="A2872" s="122" t="s">
        <v>6167</v>
      </c>
      <c r="B2872" s="123">
        <v>1528930.0</v>
      </c>
      <c r="C2872" s="124" t="s">
        <v>6168</v>
      </c>
      <c r="D2872" s="125"/>
      <c r="E2872" s="126">
        <v>4.18</v>
      </c>
      <c r="F2872" s="127"/>
      <c r="G2872" s="127"/>
      <c r="H2872" s="127"/>
      <c r="I2872" s="128"/>
      <c r="K2872" s="105" t="str">
        <f>IFERROR(__xludf.DUMMYFUNCTION("if(A2872="""","""",substitute(SUBSTITUTE(index(importhtml(""http://finviz.com/quote.ashx?t=""&amp;A2872,""table"",10),7,2),""*"",""""),""-"",""0.00""))"),"Loading...")</f>
        <v>Loading...</v>
      </c>
      <c r="L2872" s="129">
        <v>4259745.0</v>
      </c>
      <c r="M2872" s="99" t="str">
        <f>IFERROR(__xludf.DUMMYFUNCTION("GOOGLEFINANCE(A2872,""beta"")"),"#N/A")</f>
        <v>#N/A</v>
      </c>
    </row>
    <row r="2873">
      <c r="A2873" s="122" t="s">
        <v>6169</v>
      </c>
      <c r="B2873" s="123">
        <v>1823766.0</v>
      </c>
      <c r="C2873" s="124" t="s">
        <v>6170</v>
      </c>
      <c r="D2873" s="125"/>
      <c r="E2873" s="126">
        <v>4.18</v>
      </c>
      <c r="F2873" s="127"/>
      <c r="G2873" s="127"/>
      <c r="H2873" s="127"/>
      <c r="I2873" s="128"/>
      <c r="K2873" s="105" t="str">
        <f>IFERROR(__xludf.DUMMYFUNCTION("if(A2873="""","""",substitute(SUBSTITUTE(index(importhtml(""http://finviz.com/quote.ashx?t=""&amp;A2873,""table"",10),7,2),""*"",""""),""-"",""0.00""))"),"Loading...")</f>
        <v>Loading...</v>
      </c>
      <c r="L2873" s="129">
        <v>1.269899831E9</v>
      </c>
      <c r="M2873" s="99" t="str">
        <f>IFERROR(__xludf.DUMMYFUNCTION("GOOGLEFINANCE(A2873,""beta"")"),"#N/A")</f>
        <v>#N/A</v>
      </c>
    </row>
    <row r="2874">
      <c r="A2874" s="122" t="s">
        <v>6171</v>
      </c>
      <c r="B2874" s="123">
        <v>1294591.0</v>
      </c>
      <c r="C2874" s="124" t="s">
        <v>6172</v>
      </c>
      <c r="D2874" s="125"/>
      <c r="E2874" s="126">
        <v>4.18</v>
      </c>
      <c r="F2874" s="127"/>
      <c r="G2874" s="127"/>
      <c r="H2874" s="127"/>
      <c r="I2874" s="128"/>
      <c r="K2874" s="105" t="str">
        <f>IFERROR(__xludf.DUMMYFUNCTION("if(A2874="""","""",substitute(SUBSTITUTE(index(importhtml(""http://finviz.com/quote.ashx?t=""&amp;A2874,""table"",10),7,2),""*"",""""),""-"",""0.00""))"),"Loading...")</f>
        <v>Loading...</v>
      </c>
      <c r="L2874" s="129">
        <v>9.082485E9</v>
      </c>
      <c r="M2874" s="99">
        <v>0.89</v>
      </c>
    </row>
    <row r="2875">
      <c r="A2875" s="122" t="s">
        <v>6173</v>
      </c>
      <c r="B2875" s="123">
        <v>891478.0</v>
      </c>
      <c r="C2875" s="124" t="s">
        <v>6174</v>
      </c>
      <c r="D2875" s="125"/>
      <c r="E2875" s="126">
        <v>4.18</v>
      </c>
      <c r="F2875" s="127"/>
      <c r="G2875" s="127"/>
      <c r="H2875" s="127"/>
      <c r="I2875" s="128"/>
      <c r="K2875" s="105" t="str">
        <f>IFERROR(__xludf.DUMMYFUNCTION("if(A2875="""","""",substitute(SUBSTITUTE(index(importhtml(""http://finviz.com/quote.ashx?t=""&amp;A2875,""table"",10),7,2),""*"",""""),""-"",""0.00""))"),"Loading...")</f>
        <v>Loading...</v>
      </c>
      <c r="L2875" s="129">
        <v>6.7402539031E10</v>
      </c>
      <c r="M2875" s="99">
        <v>1.31</v>
      </c>
    </row>
    <row r="2876">
      <c r="A2876" s="122" t="s">
        <v>6175</v>
      </c>
      <c r="B2876" s="123">
        <v>758938.0</v>
      </c>
      <c r="C2876" s="124" t="s">
        <v>6176</v>
      </c>
      <c r="D2876" s="125"/>
      <c r="E2876" s="126">
        <v>4.2</v>
      </c>
      <c r="F2876" s="127"/>
      <c r="G2876" s="127"/>
      <c r="H2876" s="127"/>
      <c r="I2876" s="128"/>
      <c r="K2876" s="105" t="str">
        <f>IFERROR(__xludf.DUMMYFUNCTION("if(A2876="""","""",substitute(SUBSTITUTE(index(importhtml(""http://finviz.com/quote.ashx?t=""&amp;A2876,""table"",10),7,2),""*"",""""),""-"",""0.00""))"),"Loading...")</f>
        <v>Loading...</v>
      </c>
      <c r="L2876" s="129">
        <v>6606140.0</v>
      </c>
      <c r="M2876" s="99" t="str">
        <f>IFERROR(__xludf.DUMMYFUNCTION("GOOGLEFINANCE(A2876,""beta"")"),"#N/A")</f>
        <v>#N/A</v>
      </c>
    </row>
    <row r="2877">
      <c r="A2877" s="122" t="s">
        <v>6177</v>
      </c>
      <c r="B2877" s="123">
        <v>1785592.0</v>
      </c>
      <c r="C2877" s="124" t="s">
        <v>6178</v>
      </c>
      <c r="D2877" s="125"/>
      <c r="E2877" s="126">
        <v>4.2</v>
      </c>
      <c r="F2877" s="127"/>
      <c r="G2877" s="127"/>
      <c r="H2877" s="127"/>
      <c r="I2877" s="128"/>
      <c r="K2877" s="105" t="str">
        <f>IFERROR(__xludf.DUMMYFUNCTION("if(A2877="""","""",substitute(SUBSTITUTE(index(importhtml(""http://finviz.com/quote.ashx?t=""&amp;A2877,""table"",10),7,2),""*"",""""),""-"",""0.00""))"),"Loading...")</f>
        <v>Loading...</v>
      </c>
      <c r="L2877" s="129">
        <v>9146427.0</v>
      </c>
      <c r="M2877" s="99">
        <v>1.15</v>
      </c>
    </row>
    <row r="2878">
      <c r="A2878" s="122" t="s">
        <v>6179</v>
      </c>
      <c r="B2878" s="123">
        <v>1860871.0</v>
      </c>
      <c r="C2878" s="124" t="s">
        <v>6180</v>
      </c>
      <c r="D2878" s="125"/>
      <c r="E2878" s="126">
        <v>4.2</v>
      </c>
      <c r="F2878" s="127"/>
      <c r="G2878" s="127"/>
      <c r="H2878" s="127"/>
      <c r="I2878" s="128"/>
      <c r="K2878" s="105" t="str">
        <f>IFERROR(__xludf.DUMMYFUNCTION("if(A2878="""","""",substitute(SUBSTITUTE(index(importhtml(""http://finviz.com/quote.ashx?t=""&amp;A2878,""table"",10),7,2),""*"",""""),""-"",""0.00""))"),"Loading...")</f>
        <v>Loading...</v>
      </c>
      <c r="L2878" s="129">
        <v>6.2729139E7</v>
      </c>
      <c r="M2878" s="99" t="str">
        <f>IFERROR(__xludf.DUMMYFUNCTION("GOOGLEFINANCE(A2878,""beta"")"),"#N/A")</f>
        <v>#N/A</v>
      </c>
    </row>
    <row r="2879">
      <c r="A2879" s="122" t="s">
        <v>6181</v>
      </c>
      <c r="B2879" s="123">
        <v>779336.0</v>
      </c>
      <c r="C2879" s="124" t="s">
        <v>6182</v>
      </c>
      <c r="D2879" s="125"/>
      <c r="E2879" s="126">
        <v>4.2</v>
      </c>
      <c r="F2879" s="127"/>
      <c r="G2879" s="127"/>
      <c r="H2879" s="127"/>
      <c r="I2879" s="128"/>
      <c r="K2879" s="105" t="str">
        <f>IFERROR(__xludf.DUMMYFUNCTION("if(A2879="""","""",substitute(SUBSTITUTE(index(importhtml(""http://finviz.com/quote.ashx?t=""&amp;A2879,""table"",10),7,2),""*"",""""),""-"",""0.00""))"),"Loading...")</f>
        <v>Loading...</v>
      </c>
      <c r="L2879" s="129">
        <v>1.06971181E8</v>
      </c>
      <c r="M2879" s="99">
        <v>1.23</v>
      </c>
    </row>
    <row r="2880">
      <c r="A2880" s="122" t="s">
        <v>6183</v>
      </c>
      <c r="B2880" s="123">
        <v>1437538.0</v>
      </c>
      <c r="C2880" s="124" t="s">
        <v>6184</v>
      </c>
      <c r="D2880" s="125"/>
      <c r="E2880" s="126">
        <v>4.2</v>
      </c>
      <c r="F2880" s="127"/>
      <c r="G2880" s="127"/>
      <c r="H2880" s="127"/>
      <c r="I2880" s="128"/>
      <c r="K2880" s="105" t="str">
        <f>IFERROR(__xludf.DUMMYFUNCTION("if(A2880="""","""",substitute(SUBSTITUTE(index(importhtml(""http://finviz.com/quote.ashx?t=""&amp;A2880,""table"",10),7,2),""*"",""""),""-"",""0.00""))"),"Loading...")</f>
        <v>Loading...</v>
      </c>
      <c r="L2880" s="129">
        <v>1.926804375E9</v>
      </c>
      <c r="M2880" s="99">
        <v>1.09</v>
      </c>
    </row>
    <row r="2881">
      <c r="A2881" s="122" t="s">
        <v>6185</v>
      </c>
      <c r="B2881" s="123">
        <v>1866782.0</v>
      </c>
      <c r="C2881" s="124" t="s">
        <v>6186</v>
      </c>
      <c r="D2881" s="125"/>
      <c r="E2881" s="126">
        <v>4.21</v>
      </c>
      <c r="F2881" s="127"/>
      <c r="G2881" s="127"/>
      <c r="H2881" s="127"/>
      <c r="I2881" s="128"/>
      <c r="K2881" s="105" t="str">
        <f>IFERROR(__xludf.DUMMYFUNCTION("if(A2881="""","""",substitute(SUBSTITUTE(index(importhtml(""http://finviz.com/quote.ashx?t=""&amp;A2881,""table"",10),7,2),""*"",""""),""-"",""0.00""))"),"Loading...")</f>
        <v>Loading...</v>
      </c>
      <c r="L2881" s="129">
        <v>1.91693131E8</v>
      </c>
      <c r="M2881" s="99">
        <v>0.1</v>
      </c>
    </row>
    <row r="2882">
      <c r="A2882" s="122" t="s">
        <v>6187</v>
      </c>
      <c r="B2882" s="123">
        <v>1560241.0</v>
      </c>
      <c r="C2882" s="124" t="s">
        <v>6188</v>
      </c>
      <c r="D2882" s="125"/>
      <c r="E2882" s="126">
        <v>4.21</v>
      </c>
      <c r="F2882" s="127"/>
      <c r="G2882" s="127"/>
      <c r="H2882" s="127"/>
      <c r="I2882" s="128"/>
      <c r="K2882" s="105" t="str">
        <f>IFERROR(__xludf.DUMMYFUNCTION("if(A2882="""","""",substitute(SUBSTITUTE(index(importhtml(""http://finviz.com/quote.ashx?t=""&amp;A2882,""table"",10),7,2),""*"",""""),""-"",""0.00""))"),"Loading...")</f>
        <v>Loading...</v>
      </c>
      <c r="L2882" s="129">
        <v>2.18261852E8</v>
      </c>
      <c r="M2882" s="99">
        <v>1.74</v>
      </c>
    </row>
    <row r="2883">
      <c r="A2883" s="122" t="s">
        <v>6189</v>
      </c>
      <c r="B2883" s="123">
        <v>1440972.0</v>
      </c>
      <c r="C2883" s="124" t="s">
        <v>6190</v>
      </c>
      <c r="D2883" s="125"/>
      <c r="E2883" s="126">
        <v>4.21</v>
      </c>
      <c r="F2883" s="127"/>
      <c r="G2883" s="127"/>
      <c r="H2883" s="127"/>
      <c r="I2883" s="128"/>
      <c r="K2883" s="105" t="str">
        <f>IFERROR(__xludf.DUMMYFUNCTION("if(A2883="""","""",substitute(SUBSTITUTE(index(importhtml(""http://finviz.com/quote.ashx?t=""&amp;A2883,""table"",10),7,2),""*"",""""),""-"",""0.00""))"),"Loading...")</f>
        <v>Loading...</v>
      </c>
      <c r="L2883" s="129">
        <v>6.73800402E8</v>
      </c>
      <c r="M2883" s="99" t="str">
        <f>IFERROR(__xludf.DUMMYFUNCTION("GOOGLEFINANCE(A2883,""beta"")"),"#N/A")</f>
        <v>#N/A</v>
      </c>
    </row>
    <row r="2884">
      <c r="A2884" s="122" t="s">
        <v>6191</v>
      </c>
      <c r="B2884" s="123">
        <v>732834.0</v>
      </c>
      <c r="C2884" s="124" t="s">
        <v>6192</v>
      </c>
      <c r="D2884" s="125"/>
      <c r="E2884" s="126">
        <v>4.22</v>
      </c>
      <c r="F2884" s="127"/>
      <c r="G2884" s="127"/>
      <c r="H2884" s="127"/>
      <c r="I2884" s="128"/>
      <c r="K2884" s="105" t="str">
        <f>IFERROR(__xludf.DUMMYFUNCTION("if(A2884="""","""",substitute(SUBSTITUTE(index(importhtml(""http://finviz.com/quote.ashx?t=""&amp;A2884,""table"",10),7,2),""*"",""""),""-"",""0.00""))"),"Loading...")</f>
        <v>Loading...</v>
      </c>
      <c r="L2884" s="129">
        <v>4.9700034E7</v>
      </c>
      <c r="M2884" s="99" t="str">
        <f>IFERROR(__xludf.DUMMYFUNCTION("GOOGLEFINANCE(A2884,""beta"")"),"#N/A")</f>
        <v>#N/A</v>
      </c>
    </row>
    <row r="2885">
      <c r="A2885" s="122" t="s">
        <v>6193</v>
      </c>
      <c r="B2885" s="123">
        <v>1859639.0</v>
      </c>
      <c r="C2885" s="124" t="s">
        <v>6194</v>
      </c>
      <c r="D2885" s="125"/>
      <c r="E2885" s="126">
        <v>4.23</v>
      </c>
      <c r="F2885" s="127"/>
      <c r="G2885" s="127"/>
      <c r="H2885" s="127"/>
      <c r="I2885" s="128"/>
      <c r="K2885" s="105" t="str">
        <f>IFERROR(__xludf.DUMMYFUNCTION("if(A2885="""","""",substitute(SUBSTITUTE(index(importhtml(""http://finviz.com/quote.ashx?t=""&amp;A2885,""table"",10),7,2),""*"",""""),""-"",""0.00""))"),"Loading...")</f>
        <v>Loading...</v>
      </c>
      <c r="L2885" s="129">
        <v>2.0688938E7</v>
      </c>
      <c r="M2885" s="99">
        <v>1.92</v>
      </c>
    </row>
    <row r="2886">
      <c r="A2886" s="122" t="s">
        <v>6195</v>
      </c>
      <c r="B2886" s="123">
        <v>1639825.0</v>
      </c>
      <c r="C2886" s="124" t="s">
        <v>6196</v>
      </c>
      <c r="D2886" s="125"/>
      <c r="E2886" s="126">
        <v>4.24</v>
      </c>
      <c r="F2886" s="127"/>
      <c r="G2886" s="127"/>
      <c r="H2886" s="127"/>
      <c r="I2886" s="128"/>
      <c r="K2886" s="105" t="str">
        <f>IFERROR(__xludf.DUMMYFUNCTION("if(A2886="""","""",substitute(SUBSTITUTE(index(importhtml(""http://finviz.com/quote.ashx?t=""&amp;A2886,""table"",10),7,2),""*"",""""),""-"",""0.00""))"),"Loading...")</f>
        <v>Loading...</v>
      </c>
      <c r="L2886" s="129">
        <v>1.528307069E9</v>
      </c>
      <c r="M2886" s="99">
        <v>2.04</v>
      </c>
    </row>
    <row r="2887">
      <c r="A2887" s="122" t="s">
        <v>6197</v>
      </c>
      <c r="B2887" s="123">
        <v>1799983.0</v>
      </c>
      <c r="C2887" s="124" t="s">
        <v>6198</v>
      </c>
      <c r="D2887" s="125"/>
      <c r="E2887" s="126">
        <v>4.25</v>
      </c>
      <c r="F2887" s="127"/>
      <c r="G2887" s="127"/>
      <c r="H2887" s="127"/>
      <c r="I2887" s="128"/>
      <c r="K2887" s="55" t="s">
        <v>1034</v>
      </c>
      <c r="L2887" s="129">
        <v>8.4552305E8</v>
      </c>
      <c r="M2887" s="99">
        <v>0.3</v>
      </c>
    </row>
    <row r="2888">
      <c r="A2888" s="122" t="s">
        <v>6199</v>
      </c>
      <c r="B2888" s="123">
        <v>312070.0</v>
      </c>
      <c r="C2888" s="124" t="s">
        <v>5686</v>
      </c>
      <c r="D2888" s="125"/>
      <c r="E2888" s="126">
        <v>4.25</v>
      </c>
      <c r="F2888" s="127"/>
      <c r="G2888" s="127"/>
      <c r="H2888" s="127"/>
      <c r="I2888" s="128"/>
      <c r="K2888" s="105" t="str">
        <f>IFERROR(__xludf.DUMMYFUNCTION("if(A2888="""","""",substitute(SUBSTITUTE(index(importhtml(""http://finviz.com/quote.ashx?t=""&amp;A2888,""table"",10),7,2),""*"",""""),""-"",""0.00""))"),"Loading...")</f>
        <v>Loading...</v>
      </c>
      <c r="L2888" s="129">
        <v>2335171.0</v>
      </c>
      <c r="M2888" s="99" t="str">
        <f>IFERROR(__xludf.DUMMYFUNCTION("GOOGLEFINANCE(A2888,""beta"")"),"#N/A")</f>
        <v>#N/A</v>
      </c>
    </row>
    <row r="2889">
      <c r="A2889" s="122" t="s">
        <v>6200</v>
      </c>
      <c r="B2889" s="123">
        <v>1763950.0</v>
      </c>
      <c r="C2889" s="124" t="s">
        <v>6201</v>
      </c>
      <c r="D2889" s="125"/>
      <c r="E2889" s="126">
        <v>4.25</v>
      </c>
      <c r="F2889" s="127"/>
      <c r="G2889" s="127"/>
      <c r="H2889" s="127"/>
      <c r="I2889" s="128"/>
      <c r="K2889" s="105" t="str">
        <f>IFERROR(__xludf.DUMMYFUNCTION("if(A2889="""","""",substitute(SUBSTITUTE(index(importhtml(""http://finviz.com/quote.ashx?t=""&amp;A2889,""table"",10),7,2),""*"",""""),""-"",""0.00""))"),"Loading...")</f>
        <v>Loading...</v>
      </c>
      <c r="L2889" s="129">
        <v>4.619342E7</v>
      </c>
      <c r="M2889" s="99">
        <v>1.24</v>
      </c>
    </row>
    <row r="2890">
      <c r="A2890" s="122" t="s">
        <v>6202</v>
      </c>
      <c r="B2890" s="123">
        <v>1156174.0</v>
      </c>
      <c r="C2890" s="124" t="s">
        <v>6203</v>
      </c>
      <c r="D2890" s="125"/>
      <c r="E2890" s="126">
        <v>4.25</v>
      </c>
      <c r="F2890" s="127"/>
      <c r="G2890" s="127"/>
      <c r="H2890" s="127"/>
      <c r="I2890" s="128"/>
      <c r="K2890" s="105" t="str">
        <f>IFERROR(__xludf.DUMMYFUNCTION("if(A2890="""","""",substitute(SUBSTITUTE(index(importhtml(""http://finviz.com/quote.ashx?t=""&amp;A2890,""table"",10),7,2),""*"",""""),""-"",""0.00""))"),"Loading...")</f>
        <v>Loading...</v>
      </c>
      <c r="L2890" s="129">
        <v>1.25885E8</v>
      </c>
      <c r="M2890" s="99" t="str">
        <f>IFERROR(__xludf.DUMMYFUNCTION("GOOGLEFINANCE(A2890,""beta"")"),"#N/A")</f>
        <v>#N/A</v>
      </c>
    </row>
    <row r="2891">
      <c r="A2891" s="122" t="s">
        <v>6204</v>
      </c>
      <c r="B2891" s="123">
        <v>1187953.0</v>
      </c>
      <c r="C2891" s="124" t="s">
        <v>6205</v>
      </c>
      <c r="D2891" s="125"/>
      <c r="E2891" s="126">
        <v>4.26</v>
      </c>
      <c r="F2891" s="127"/>
      <c r="G2891" s="127"/>
      <c r="H2891" s="127"/>
      <c r="I2891" s="128"/>
      <c r="K2891" s="105" t="str">
        <f>IFERROR(__xludf.DUMMYFUNCTION("if(A2891="""","""",substitute(SUBSTITUTE(index(importhtml(""http://finviz.com/quote.ashx?t=""&amp;A2891,""table"",10),7,2),""*"",""""),""-"",""0.00""))"),"Loading...")</f>
        <v>Loading...</v>
      </c>
      <c r="L2891" s="129">
        <v>5887337.0</v>
      </c>
      <c r="M2891" s="99">
        <v>4.98</v>
      </c>
    </row>
    <row r="2892">
      <c r="A2892" s="122" t="s">
        <v>6206</v>
      </c>
      <c r="B2892" s="123">
        <v>1832487.0</v>
      </c>
      <c r="C2892" s="124" t="s">
        <v>6207</v>
      </c>
      <c r="D2892" s="125"/>
      <c r="E2892" s="126">
        <v>4.26</v>
      </c>
      <c r="F2892" s="127"/>
      <c r="G2892" s="127"/>
      <c r="H2892" s="127"/>
      <c r="I2892" s="128"/>
      <c r="K2892" s="105" t="str">
        <f>IFERROR(__xludf.DUMMYFUNCTION("if(A2892="""","""",substitute(SUBSTITUTE(index(importhtml(""http://finviz.com/quote.ashx?t=""&amp;A2892,""table"",10),7,2),""*"",""""),""-"",""0.00""))"),"Loading...")</f>
        <v>Loading...</v>
      </c>
      <c r="L2892" s="129">
        <v>3.3642964E7</v>
      </c>
      <c r="M2892" s="99">
        <f>IFERROR(__xludf.DUMMYFUNCTION("GOOGLEFINANCE(A2892,""beta"")"),0.98)</f>
        <v>0.98</v>
      </c>
    </row>
    <row r="2893">
      <c r="A2893" s="122" t="s">
        <v>6208</v>
      </c>
      <c r="B2893" s="123">
        <v>351789.0</v>
      </c>
      <c r="C2893" s="124" t="s">
        <v>6209</v>
      </c>
      <c r="D2893" s="125"/>
      <c r="E2893" s="126">
        <v>4.27</v>
      </c>
      <c r="F2893" s="127"/>
      <c r="G2893" s="127"/>
      <c r="H2893" s="127"/>
      <c r="I2893" s="128"/>
      <c r="K2893" s="105" t="str">
        <f>IFERROR(__xludf.DUMMYFUNCTION("if(A2893="""","""",substitute(SUBSTITUTE(index(importhtml(""http://finviz.com/quote.ashx?t=""&amp;A2893,""table"",10),7,2),""*"",""""),""-"",""0.00""))"),"Loading...")</f>
        <v>Loading...</v>
      </c>
      <c r="L2893" s="129">
        <v>1.4623936E7</v>
      </c>
      <c r="M2893" s="99">
        <v>0.36</v>
      </c>
    </row>
    <row r="2894">
      <c r="A2894" s="122" t="s">
        <v>6210</v>
      </c>
      <c r="B2894" s="123">
        <v>838875.0</v>
      </c>
      <c r="C2894" s="124" t="s">
        <v>6211</v>
      </c>
      <c r="D2894" s="125"/>
      <c r="E2894" s="126">
        <v>4.27</v>
      </c>
      <c r="F2894" s="127"/>
      <c r="G2894" s="127"/>
      <c r="H2894" s="127"/>
      <c r="I2894" s="128"/>
      <c r="K2894" s="105" t="str">
        <f>IFERROR(__xludf.DUMMYFUNCTION("if(A2894="""","""",substitute(SUBSTITUTE(index(importhtml(""http://finviz.com/quote.ashx?t=""&amp;A2894,""table"",10),7,2),""*"",""""),""-"",""0.00""))"),"Loading...")</f>
        <v>Loading...</v>
      </c>
      <c r="L2894" s="129">
        <v>2.5865191E7</v>
      </c>
      <c r="M2894" s="99">
        <v>0.34</v>
      </c>
    </row>
    <row r="2895">
      <c r="A2895" s="122" t="s">
        <v>6212</v>
      </c>
      <c r="B2895" s="123">
        <v>1899883.0</v>
      </c>
      <c r="C2895" s="124" t="s">
        <v>6213</v>
      </c>
      <c r="D2895" s="125"/>
      <c r="E2895" s="126">
        <v>4.28</v>
      </c>
      <c r="F2895" s="127"/>
      <c r="G2895" s="127"/>
      <c r="H2895" s="127"/>
      <c r="I2895" s="128"/>
      <c r="K2895" s="55" t="s">
        <v>6214</v>
      </c>
      <c r="L2895" s="129">
        <v>4.25818847E8</v>
      </c>
      <c r="M2895" s="99">
        <f>IFERROR(__xludf.DUMMYFUNCTION("GOOGLEFINANCE(A2895,""beta"")"),1.99)</f>
        <v>1.99</v>
      </c>
    </row>
    <row r="2896">
      <c r="A2896" s="122" t="s">
        <v>6215</v>
      </c>
      <c r="B2896" s="123">
        <v>1382574.0</v>
      </c>
      <c r="C2896" s="124" t="s">
        <v>6216</v>
      </c>
      <c r="D2896" s="125"/>
      <c r="E2896" s="126">
        <v>4.28</v>
      </c>
      <c r="F2896" s="127"/>
      <c r="G2896" s="127"/>
      <c r="H2896" s="127"/>
      <c r="I2896" s="128"/>
      <c r="K2896" s="105" t="str">
        <f>IFERROR(__xludf.DUMMYFUNCTION("if(A2896="""","""",substitute(SUBSTITUTE(index(importhtml(""http://finviz.com/quote.ashx?t=""&amp;A2896,""table"",10),7,2),""*"",""""),""-"",""0.00""))"),"Loading...")</f>
        <v>Loading...</v>
      </c>
      <c r="L2896" s="129">
        <v>5157550.0</v>
      </c>
      <c r="M2896" s="99" t="str">
        <f>IFERROR(__xludf.DUMMYFUNCTION("GOOGLEFINANCE(A2896,""beta"")"),"#N/A")</f>
        <v>#N/A</v>
      </c>
    </row>
    <row r="2897">
      <c r="A2897" s="122" t="s">
        <v>6217</v>
      </c>
      <c r="B2897" s="123">
        <v>1272842.0</v>
      </c>
      <c r="C2897" s="124" t="s">
        <v>6218</v>
      </c>
      <c r="D2897" s="125"/>
      <c r="E2897" s="126">
        <v>4.28</v>
      </c>
      <c r="F2897" s="127"/>
      <c r="G2897" s="127"/>
      <c r="H2897" s="127"/>
      <c r="I2897" s="128"/>
      <c r="K2897" s="105" t="str">
        <f>IFERROR(__xludf.DUMMYFUNCTION("if(A2897="""","""",substitute(SUBSTITUTE(index(importhtml(""http://finviz.com/quote.ashx?t=""&amp;A2897,""table"",10),7,2),""*"",""""),""-"",""0.00""))"),"Loading...")</f>
        <v>Loading...</v>
      </c>
      <c r="L2897" s="129">
        <v>4.469908E7</v>
      </c>
      <c r="M2897" s="99">
        <v>0.85</v>
      </c>
    </row>
    <row r="2898">
      <c r="A2898" s="122" t="s">
        <v>6219</v>
      </c>
      <c r="B2898" s="123">
        <v>927971.0</v>
      </c>
      <c r="C2898" s="124" t="s">
        <v>6220</v>
      </c>
      <c r="D2898" s="125"/>
      <c r="E2898" s="126">
        <v>4.28</v>
      </c>
      <c r="F2898" s="127"/>
      <c r="G2898" s="127"/>
      <c r="H2898" s="127"/>
      <c r="I2898" s="128"/>
      <c r="K2898" s="105" t="str">
        <f>IFERROR(__xludf.DUMMYFUNCTION("if(A2898="""","""",substitute(SUBSTITUTE(index(importhtml(""http://finviz.com/quote.ashx?t=""&amp;A2898,""table"",10),7,2),""*"",""""),""-"",""0.00""))"),"Loading...")</f>
        <v>Loading...</v>
      </c>
      <c r="L2898" s="129">
        <v>6.7808877943E10</v>
      </c>
      <c r="M2898" s="99" t="str">
        <f>IFERROR(__xludf.DUMMYFUNCTION("GOOGLEFINANCE(A2898,""beta"")"),"#N/A")</f>
        <v>#N/A</v>
      </c>
    </row>
    <row r="2899">
      <c r="A2899" s="122" t="s">
        <v>6221</v>
      </c>
      <c r="B2899" s="123">
        <v>1531177.0</v>
      </c>
      <c r="C2899" s="124" t="s">
        <v>6222</v>
      </c>
      <c r="D2899" s="125"/>
      <c r="E2899" s="126">
        <v>4.29</v>
      </c>
      <c r="F2899" s="127"/>
      <c r="G2899" s="127"/>
      <c r="H2899" s="127"/>
      <c r="I2899" s="128"/>
      <c r="K2899" s="105" t="str">
        <f>IFERROR(__xludf.DUMMYFUNCTION("if(A2899="""","""",substitute(SUBSTITUTE(index(importhtml(""http://finviz.com/quote.ashx?t=""&amp;A2899,""table"",10),7,2),""*"",""""),""-"",""0.00""))"),"Loading...")</f>
        <v>Loading...</v>
      </c>
      <c r="L2899" s="129">
        <v>2.09136983E8</v>
      </c>
      <c r="M2899" s="99">
        <f>IFERROR(__xludf.DUMMYFUNCTION("GOOGLEFINANCE(A2899,""beta"")"),2.47)</f>
        <v>2.47</v>
      </c>
    </row>
    <row r="2900">
      <c r="A2900" s="122" t="s">
        <v>6223</v>
      </c>
      <c r="B2900" s="123">
        <v>1738177.0</v>
      </c>
      <c r="C2900" s="124" t="s">
        <v>6224</v>
      </c>
      <c r="D2900" s="125"/>
      <c r="E2900" s="126">
        <v>4.3</v>
      </c>
      <c r="F2900" s="127"/>
      <c r="G2900" s="127"/>
      <c r="H2900" s="127"/>
      <c r="I2900" s="128"/>
      <c r="K2900" s="105" t="str">
        <f>IFERROR(__xludf.DUMMYFUNCTION("if(A2900="""","""",substitute(SUBSTITUTE(index(importhtml(""http://finviz.com/quote.ashx?t=""&amp;A2900,""table"",10),7,2),""*"",""""),""-"",""0.00""))"),"Loading...")</f>
        <v>Loading...</v>
      </c>
      <c r="L2900" s="129">
        <v>1.18960021E8</v>
      </c>
      <c r="M2900" s="99">
        <v>0.95</v>
      </c>
    </row>
    <row r="2901">
      <c r="A2901" s="122" t="s">
        <v>6225</v>
      </c>
      <c r="B2901" s="123">
        <v>891478.0</v>
      </c>
      <c r="C2901" s="124" t="s">
        <v>6226</v>
      </c>
      <c r="D2901" s="125"/>
      <c r="E2901" s="126">
        <v>4.3</v>
      </c>
      <c r="F2901" s="127"/>
      <c r="G2901" s="127"/>
      <c r="H2901" s="127"/>
      <c r="I2901" s="128"/>
      <c r="K2901" s="105" t="str">
        <f>IFERROR(__xludf.DUMMYFUNCTION("if(A2901="""","""",substitute(SUBSTITUTE(index(importhtml(""http://finviz.com/quote.ashx?t=""&amp;A2901,""table"",10),7,2),""*"",""""),""-"",""0.00""))"),"Loading...")</f>
        <v>Loading...</v>
      </c>
      <c r="L2901" s="129">
        <v>6.7402539031E10</v>
      </c>
      <c r="M2901" s="99">
        <v>1.22</v>
      </c>
    </row>
    <row r="2902">
      <c r="A2902" s="122" t="s">
        <v>6227</v>
      </c>
      <c r="B2902" s="123">
        <v>790816.0</v>
      </c>
      <c r="C2902" s="124" t="s">
        <v>6228</v>
      </c>
      <c r="D2902" s="125"/>
      <c r="E2902" s="126">
        <v>4.31</v>
      </c>
      <c r="F2902" s="127"/>
      <c r="G2902" s="127"/>
      <c r="H2902" s="127"/>
      <c r="I2902" s="128"/>
      <c r="K2902" s="55" t="s">
        <v>6229</v>
      </c>
      <c r="L2902" s="129">
        <v>7.41740646E8</v>
      </c>
      <c r="M2902" s="99">
        <v>1.35</v>
      </c>
    </row>
    <row r="2903">
      <c r="A2903" s="122" t="s">
        <v>6230</v>
      </c>
      <c r="B2903" s="123">
        <v>1661053.0</v>
      </c>
      <c r="C2903" s="124" t="s">
        <v>6231</v>
      </c>
      <c r="D2903" s="125"/>
      <c r="E2903" s="126">
        <v>4.31</v>
      </c>
      <c r="F2903" s="127"/>
      <c r="G2903" s="127"/>
      <c r="H2903" s="127"/>
      <c r="I2903" s="128"/>
      <c r="K2903" s="105" t="str">
        <f>IFERROR(__xludf.DUMMYFUNCTION("if(A2903="""","""",substitute(SUBSTITUTE(index(importhtml(""http://finviz.com/quote.ashx?t=""&amp;A2903,""table"",10),7,2),""*"",""""),""-"",""0.00""))"),"Loading...")</f>
        <v>Loading...</v>
      </c>
      <c r="L2903" s="129">
        <v>5.7396269E7</v>
      </c>
      <c r="M2903" s="99">
        <v>1.06</v>
      </c>
    </row>
    <row r="2904">
      <c r="A2904" s="122" t="s">
        <v>6232</v>
      </c>
      <c r="B2904" s="123">
        <v>1073404.0</v>
      </c>
      <c r="C2904" s="124" t="s">
        <v>6233</v>
      </c>
      <c r="D2904" s="125"/>
      <c r="E2904" s="126">
        <v>4.32</v>
      </c>
      <c r="F2904" s="127"/>
      <c r="G2904" s="127"/>
      <c r="H2904" s="127"/>
      <c r="I2904" s="128"/>
      <c r="K2904" s="55" t="s">
        <v>6234</v>
      </c>
      <c r="L2904" s="129">
        <v>3.68818948E10</v>
      </c>
      <c r="M2904" s="99">
        <v>1.75</v>
      </c>
    </row>
    <row r="2905">
      <c r="A2905" s="122" t="s">
        <v>6235</v>
      </c>
      <c r="B2905" s="123">
        <v>1446702.0</v>
      </c>
      <c r="C2905" s="124" t="s">
        <v>6236</v>
      </c>
      <c r="D2905" s="125"/>
      <c r="E2905" s="126">
        <v>4.32</v>
      </c>
      <c r="F2905" s="127"/>
      <c r="G2905" s="127"/>
      <c r="H2905" s="127"/>
      <c r="I2905" s="128"/>
      <c r="K2905" s="105" t="str">
        <f>IFERROR(__xludf.DUMMYFUNCTION("if(A2905="""","""",substitute(SUBSTITUTE(index(importhtml(""http://finviz.com/quote.ashx?t=""&amp;A2905,""table"",10),7,2),""*"",""""),""-"",""0.00""))"),"Loading...")</f>
        <v>Loading...</v>
      </c>
      <c r="L2905" s="129">
        <v>2.570256835E9</v>
      </c>
      <c r="M2905" s="99">
        <v>0.17</v>
      </c>
    </row>
    <row r="2906">
      <c r="A2906" s="122" t="s">
        <v>6237</v>
      </c>
      <c r="B2906" s="123">
        <v>1294591.0</v>
      </c>
      <c r="C2906" s="124" t="s">
        <v>6238</v>
      </c>
      <c r="D2906" s="125"/>
      <c r="E2906" s="126">
        <v>4.32</v>
      </c>
      <c r="F2906" s="127"/>
      <c r="G2906" s="127"/>
      <c r="H2906" s="127"/>
      <c r="I2906" s="128"/>
      <c r="K2906" s="105" t="str">
        <f>IFERROR(__xludf.DUMMYFUNCTION("if(A2906="""","""",substitute(SUBSTITUTE(index(importhtml(""http://finviz.com/quote.ashx?t=""&amp;A2906,""table"",10),7,2),""*"",""""),""-"",""0.00""))"),"Loading...")</f>
        <v>Loading...</v>
      </c>
      <c r="L2906" s="129">
        <v>9.082485E9</v>
      </c>
      <c r="M2906" s="99">
        <v>0.88</v>
      </c>
    </row>
    <row r="2907">
      <c r="A2907" s="122" t="s">
        <v>6239</v>
      </c>
      <c r="B2907" s="123">
        <v>1304421.0</v>
      </c>
      <c r="C2907" s="124" t="s">
        <v>6240</v>
      </c>
      <c r="D2907" s="125"/>
      <c r="E2907" s="126">
        <v>4.33</v>
      </c>
      <c r="F2907" s="127"/>
      <c r="G2907" s="127"/>
      <c r="H2907" s="127"/>
      <c r="I2907" s="128"/>
      <c r="K2907" s="105" t="str">
        <f>IFERROR(__xludf.DUMMYFUNCTION("if(A2907="""","""",substitute(SUBSTITUTE(index(importhtml(""http://finviz.com/quote.ashx?t=""&amp;A2907,""table"",10),7,2),""*"",""""),""-"",""0.00""))"),"Loading...")</f>
        <v>Loading...</v>
      </c>
      <c r="L2907" s="129">
        <v>5.03113083E8</v>
      </c>
      <c r="M2907" s="99">
        <v>1.08</v>
      </c>
    </row>
    <row r="2908">
      <c r="A2908" s="122" t="s">
        <v>6241</v>
      </c>
      <c r="B2908" s="123">
        <v>1898496.0</v>
      </c>
      <c r="C2908" s="124" t="s">
        <v>6242</v>
      </c>
      <c r="D2908" s="125"/>
      <c r="E2908" s="126">
        <v>4.33</v>
      </c>
      <c r="F2908" s="127"/>
      <c r="G2908" s="127"/>
      <c r="H2908" s="127"/>
      <c r="I2908" s="128"/>
      <c r="K2908" s="105" t="str">
        <f>IFERROR(__xludf.DUMMYFUNCTION("if(A2908="""","""",substitute(SUBSTITUTE(index(importhtml(""http://finviz.com/quote.ashx?t=""&amp;A2908,""table"",10),7,2),""*"",""""),""-"",""0.00""))"),"Loading...")</f>
        <v>Loading...</v>
      </c>
      <c r="L2908" s="129">
        <v>1.744891245E9</v>
      </c>
      <c r="M2908" s="99">
        <v>2.15</v>
      </c>
    </row>
    <row r="2909">
      <c r="A2909" s="122" t="s">
        <v>6243</v>
      </c>
      <c r="B2909" s="123">
        <v>1814067.0</v>
      </c>
      <c r="C2909" s="124" t="s">
        <v>6244</v>
      </c>
      <c r="D2909" s="125"/>
      <c r="E2909" s="126">
        <v>4.34</v>
      </c>
      <c r="F2909" s="127"/>
      <c r="G2909" s="127"/>
      <c r="H2909" s="127"/>
      <c r="I2909" s="128"/>
      <c r="K2909" s="105" t="str">
        <f>IFERROR(__xludf.DUMMYFUNCTION("if(A2909="""","""",substitute(SUBSTITUTE(index(importhtml(""http://finviz.com/quote.ashx?t=""&amp;A2909,""table"",10),7,2),""*"",""""),""-"",""0.00""))"),"Loading...")</f>
        <v>Loading...</v>
      </c>
      <c r="L2909" s="129">
        <v>2.8933479E7</v>
      </c>
      <c r="M2909" s="99">
        <v>1.03</v>
      </c>
    </row>
    <row r="2910">
      <c r="A2910" s="122" t="s">
        <v>6245</v>
      </c>
      <c r="B2910" s="123">
        <v>1822250.0</v>
      </c>
      <c r="C2910" s="124" t="s">
        <v>6246</v>
      </c>
      <c r="D2910" s="125"/>
      <c r="E2910" s="126">
        <v>4.34</v>
      </c>
      <c r="F2910" s="127"/>
      <c r="G2910" s="127"/>
      <c r="H2910" s="127"/>
      <c r="I2910" s="128"/>
      <c r="K2910" s="105" t="str">
        <f>IFERROR(__xludf.DUMMYFUNCTION("if(A2910="""","""",substitute(SUBSTITUTE(index(importhtml(""http://finviz.com/quote.ashx?t=""&amp;A2910,""table"",10),7,2),""*"",""""),""-"",""0.00""))"),"Loading...")</f>
        <v>Loading...</v>
      </c>
      <c r="L2910" s="129">
        <v>1.04199063E8</v>
      </c>
      <c r="M2910" s="99">
        <v>1.98</v>
      </c>
    </row>
    <row r="2911">
      <c r="A2911" s="122" t="s">
        <v>6247</v>
      </c>
      <c r="B2911" s="123">
        <v>1505155.0</v>
      </c>
      <c r="C2911" s="124" t="s">
        <v>6248</v>
      </c>
      <c r="D2911" s="125"/>
      <c r="E2911" s="126">
        <v>4.34</v>
      </c>
      <c r="F2911" s="127"/>
      <c r="G2911" s="127"/>
      <c r="H2911" s="127"/>
      <c r="I2911" s="128"/>
      <c r="K2911" s="105" t="str">
        <f>IFERROR(__xludf.DUMMYFUNCTION("if(A2911="""","""",substitute(SUBSTITUTE(index(importhtml(""http://finviz.com/quote.ashx?t=""&amp;A2911,""table"",10),7,2),""*"",""""),""-"",""0.00""))"),"Loading...")</f>
        <v>Loading...</v>
      </c>
      <c r="L2911" s="129">
        <v>1.36229436E8</v>
      </c>
      <c r="M2911" s="99">
        <v>1.06</v>
      </c>
    </row>
    <row r="2912">
      <c r="A2912" s="122" t="s">
        <v>6249</v>
      </c>
      <c r="B2912" s="123">
        <v>1489874.0</v>
      </c>
      <c r="C2912" s="124" t="s">
        <v>6250</v>
      </c>
      <c r="D2912" s="125"/>
      <c r="E2912" s="126">
        <v>4.35</v>
      </c>
      <c r="F2912" s="127"/>
      <c r="G2912" s="127"/>
      <c r="H2912" s="127"/>
      <c r="I2912" s="128"/>
      <c r="K2912" s="105" t="str">
        <f>IFERROR(__xludf.DUMMYFUNCTION("if(A2912="""","""",substitute(SUBSTITUTE(index(importhtml(""http://finviz.com/quote.ashx?t=""&amp;A2912,""table"",10),7,2),""*"",""""),""-"",""0.00""))"),"Loading...")</f>
        <v>Loading...</v>
      </c>
      <c r="L2912" s="129">
        <v>6.738359E7</v>
      </c>
      <c r="M2912" s="99" t="str">
        <f>IFERROR(__xludf.DUMMYFUNCTION("GOOGLEFINANCE(A2912,""beta"")"),"#N/A")</f>
        <v>#N/A</v>
      </c>
    </row>
    <row r="2913">
      <c r="A2913" s="122" t="s">
        <v>6251</v>
      </c>
      <c r="B2913" s="123">
        <v>1879726.0</v>
      </c>
      <c r="C2913" s="124" t="s">
        <v>6252</v>
      </c>
      <c r="D2913" s="125"/>
      <c r="E2913" s="126">
        <v>4.37</v>
      </c>
      <c r="F2913" s="127"/>
      <c r="G2913" s="127"/>
      <c r="H2913" s="127"/>
      <c r="I2913" s="128"/>
      <c r="K2913" s="105" t="str">
        <f>IFERROR(__xludf.DUMMYFUNCTION("if(A2913="""","""",substitute(SUBSTITUTE(index(importhtml(""http://finviz.com/quote.ashx?t=""&amp;A2913,""table"",10),7,2),""*"",""""),""-"",""0.00""))"),"Loading...")</f>
        <v>Loading...</v>
      </c>
      <c r="L2913" s="129">
        <v>7029774.0</v>
      </c>
      <c r="M2913" s="99">
        <f>IFERROR(__xludf.DUMMYFUNCTION("GOOGLEFINANCE(A2913,""beta"")"),-1.34)</f>
        <v>-1.34</v>
      </c>
    </row>
    <row r="2914">
      <c r="A2914" s="122" t="s">
        <v>6253</v>
      </c>
      <c r="B2914" s="123">
        <v>1501103.0</v>
      </c>
      <c r="C2914" s="124" t="s">
        <v>6254</v>
      </c>
      <c r="D2914" s="125"/>
      <c r="E2914" s="126">
        <v>4.38</v>
      </c>
      <c r="F2914" s="127"/>
      <c r="G2914" s="127"/>
      <c r="H2914" s="127"/>
      <c r="I2914" s="128"/>
      <c r="K2914" s="55" t="s">
        <v>6255</v>
      </c>
      <c r="L2914" s="129">
        <v>7.5806939E7</v>
      </c>
      <c r="M2914" s="99">
        <v>1.24</v>
      </c>
    </row>
    <row r="2915">
      <c r="A2915" s="122" t="s">
        <v>6256</v>
      </c>
      <c r="B2915" s="123">
        <v>1828253.0</v>
      </c>
      <c r="C2915" s="124" t="s">
        <v>6257</v>
      </c>
      <c r="D2915" s="125"/>
      <c r="E2915" s="126">
        <v>4.38</v>
      </c>
      <c r="F2915" s="127"/>
      <c r="G2915" s="127"/>
      <c r="H2915" s="127"/>
      <c r="I2915" s="128"/>
      <c r="K2915" s="105" t="str">
        <f>IFERROR(__xludf.DUMMYFUNCTION("if(A2915="""","""",substitute(SUBSTITUTE(index(importhtml(""http://finviz.com/quote.ashx?t=""&amp;A2915,""table"",10),7,2),""*"",""""),""-"",""0.00""))"),"Loading...")</f>
        <v>Loading...</v>
      </c>
      <c r="L2915" s="129">
        <v>1.63718E7</v>
      </c>
      <c r="M2915" s="99">
        <f>IFERROR(__xludf.DUMMYFUNCTION("GOOGLEFINANCE(A2915,""beta"")"),0.28)</f>
        <v>0.28</v>
      </c>
    </row>
    <row r="2916">
      <c r="A2916" s="122" t="s">
        <v>6258</v>
      </c>
      <c r="B2916" s="123">
        <v>1386067.0</v>
      </c>
      <c r="C2916" s="124" t="s">
        <v>6259</v>
      </c>
      <c r="D2916" s="125"/>
      <c r="E2916" s="126">
        <v>4.39</v>
      </c>
      <c r="F2916" s="127"/>
      <c r="G2916" s="127"/>
      <c r="H2916" s="127"/>
      <c r="I2916" s="128"/>
      <c r="K2916" s="55" t="s">
        <v>6260</v>
      </c>
      <c r="L2916" s="129">
        <v>1.89627668E8</v>
      </c>
      <c r="M2916" s="99">
        <v>1.02</v>
      </c>
    </row>
    <row r="2917">
      <c r="A2917" s="122" t="s">
        <v>6261</v>
      </c>
      <c r="B2917" s="123">
        <v>1836176.0</v>
      </c>
      <c r="C2917" s="124" t="s">
        <v>6262</v>
      </c>
      <c r="D2917" s="125"/>
      <c r="E2917" s="126">
        <v>4.39</v>
      </c>
      <c r="F2917" s="127"/>
      <c r="G2917" s="127"/>
      <c r="H2917" s="127"/>
      <c r="I2917" s="128"/>
      <c r="K2917" s="105" t="str">
        <f>IFERROR(__xludf.DUMMYFUNCTION("if(A2917="""","""",substitute(SUBSTITUTE(index(importhtml(""http://finviz.com/quote.ashx?t=""&amp;A2917,""table"",10),7,2),""*"",""""),""-"",""0.00""))"),"Loading...")</f>
        <v>Loading...</v>
      </c>
      <c r="L2917" s="129">
        <v>2.9968887E7</v>
      </c>
      <c r="M2917" s="99" t="str">
        <f>IFERROR(__xludf.DUMMYFUNCTION("GOOGLEFINANCE(A2917,""beta"")"),"#N/A")</f>
        <v>#N/A</v>
      </c>
    </row>
    <row r="2918">
      <c r="A2918" s="122" t="s">
        <v>6263</v>
      </c>
      <c r="B2918" s="123">
        <v>1701541.0</v>
      </c>
      <c r="C2918" s="124" t="s">
        <v>6264</v>
      </c>
      <c r="D2918" s="125"/>
      <c r="E2918" s="126">
        <v>4.39</v>
      </c>
      <c r="F2918" s="127"/>
      <c r="G2918" s="127"/>
      <c r="H2918" s="127"/>
      <c r="I2918" s="128"/>
      <c r="K2918" s="105" t="str">
        <f>IFERROR(__xludf.DUMMYFUNCTION("if(A2918="""","""",substitute(SUBSTITUTE(index(importhtml(""http://finviz.com/quote.ashx?t=""&amp;A2918,""table"",10),7,2),""*"",""""),""-"",""0.00""))"),"Loading...")</f>
        <v>Loading...</v>
      </c>
      <c r="L2918" s="129">
        <v>2.26678433E8</v>
      </c>
      <c r="M2918" s="99">
        <v>2.59</v>
      </c>
    </row>
    <row r="2919">
      <c r="A2919" s="122" t="s">
        <v>6265</v>
      </c>
      <c r="B2919" s="123">
        <v>1898416.0</v>
      </c>
      <c r="C2919" s="124" t="s">
        <v>6266</v>
      </c>
      <c r="D2919" s="125"/>
      <c r="E2919" s="126">
        <v>4.39</v>
      </c>
      <c r="F2919" s="127"/>
      <c r="G2919" s="127"/>
      <c r="H2919" s="127"/>
      <c r="I2919" s="128"/>
      <c r="K2919" s="105" t="str">
        <f>IFERROR(__xludf.DUMMYFUNCTION("if(A2919="""","""",substitute(SUBSTITUTE(index(importhtml(""http://finviz.com/quote.ashx?t=""&amp;A2919,""table"",10),7,2),""*"",""""),""-"",""0.00""))"),"Loading...")</f>
        <v>Loading...</v>
      </c>
      <c r="L2919" s="129">
        <v>4.168816239E9</v>
      </c>
      <c r="M2919" s="99">
        <v>0.22</v>
      </c>
    </row>
    <row r="2920">
      <c r="A2920" s="122" t="s">
        <v>6267</v>
      </c>
      <c r="B2920" s="123">
        <v>1894954.0</v>
      </c>
      <c r="C2920" s="124" t="s">
        <v>6268</v>
      </c>
      <c r="D2920" s="125"/>
      <c r="E2920" s="126">
        <v>4.4</v>
      </c>
      <c r="F2920" s="127"/>
      <c r="G2920" s="127"/>
      <c r="H2920" s="127"/>
      <c r="I2920" s="128"/>
      <c r="K2920" s="105" t="str">
        <f>IFERROR(__xludf.DUMMYFUNCTION("if(A2920="""","""",substitute(SUBSTITUTE(index(importhtml(""http://finviz.com/quote.ashx?t=""&amp;A2920,""table"",10),7,2),""*"",""""),""-"",""0.00""))"),"Loading...")</f>
        <v>Loading...</v>
      </c>
      <c r="L2920" s="129">
        <v>3.0460813E7</v>
      </c>
      <c r="M2920" s="99">
        <f>IFERROR(__xludf.DUMMYFUNCTION("GOOGLEFINANCE(A2920,""beta"")"),0.2)</f>
        <v>0.2</v>
      </c>
    </row>
    <row r="2921">
      <c r="A2921" s="122" t="s">
        <v>6269</v>
      </c>
      <c r="B2921" s="123">
        <v>719733.0</v>
      </c>
      <c r="C2921" s="124" t="s">
        <v>6270</v>
      </c>
      <c r="D2921" s="125"/>
      <c r="E2921" s="126">
        <v>4.4</v>
      </c>
      <c r="F2921" s="127"/>
      <c r="G2921" s="127"/>
      <c r="H2921" s="127"/>
      <c r="I2921" s="128"/>
      <c r="K2921" s="105" t="str">
        <f>IFERROR(__xludf.DUMMYFUNCTION("if(A2921="""","""",substitute(SUBSTITUTE(index(importhtml(""http://finviz.com/quote.ashx?t=""&amp;A2921,""table"",10),7,2),""*"",""""),""-"",""0.00""))"),"Loading...")</f>
        <v>Loading...</v>
      </c>
      <c r="L2921" s="129">
        <v>4.7364461E7</v>
      </c>
      <c r="M2921" s="99">
        <v>1.41</v>
      </c>
    </row>
    <row r="2922">
      <c r="A2922" s="122" t="s">
        <v>6271</v>
      </c>
      <c r="B2922" s="123">
        <v>1031235.0</v>
      </c>
      <c r="C2922" s="124" t="s">
        <v>6272</v>
      </c>
      <c r="D2922" s="125"/>
      <c r="E2922" s="126">
        <v>4.41</v>
      </c>
      <c r="F2922" s="127"/>
      <c r="G2922" s="127"/>
      <c r="H2922" s="127"/>
      <c r="I2922" s="128"/>
      <c r="K2922" s="105" t="str">
        <f>IFERROR(__xludf.DUMMYFUNCTION("if(A2922="""","""",substitute(SUBSTITUTE(index(importhtml(""http://finviz.com/quote.ashx?t=""&amp;A2922,""table"",10),7,2),""*"",""""),""-"",""0.00""))"),"Loading...")</f>
        <v>Loading...</v>
      </c>
      <c r="L2922" s="129">
        <v>4.9140495E7</v>
      </c>
      <c r="M2922" s="99">
        <v>0.23</v>
      </c>
    </row>
    <row r="2923">
      <c r="A2923" s="122" t="s">
        <v>6273</v>
      </c>
      <c r="B2923" s="123">
        <v>318306.0</v>
      </c>
      <c r="C2923" s="124" t="s">
        <v>6274</v>
      </c>
      <c r="D2923" s="125"/>
      <c r="E2923" s="126">
        <v>4.42</v>
      </c>
      <c r="F2923" s="127"/>
      <c r="G2923" s="127"/>
      <c r="H2923" s="127"/>
      <c r="I2923" s="128"/>
      <c r="K2923" s="105" t="str">
        <f>IFERROR(__xludf.DUMMYFUNCTION("if(A2923="""","""",substitute(SUBSTITUTE(index(importhtml(""http://finviz.com/quote.ashx?t=""&amp;A2923,""table"",10),7,2),""*"",""""),""-"",""0.00""))"),"Loading...")</f>
        <v>Loading...</v>
      </c>
      <c r="L2923" s="129">
        <v>1.09498076E8</v>
      </c>
      <c r="M2923" s="99">
        <v>1.33</v>
      </c>
    </row>
    <row r="2924">
      <c r="A2924" s="122" t="s">
        <v>6275</v>
      </c>
      <c r="B2924" s="123">
        <v>1672688.0</v>
      </c>
      <c r="C2924" s="124" t="s">
        <v>6276</v>
      </c>
      <c r="D2924" s="125"/>
      <c r="E2924" s="126">
        <v>4.43</v>
      </c>
      <c r="F2924" s="127"/>
      <c r="G2924" s="127"/>
      <c r="H2924" s="127"/>
      <c r="I2924" s="128"/>
      <c r="K2924" s="105" t="str">
        <f>IFERROR(__xludf.DUMMYFUNCTION("if(A2924="""","""",substitute(SUBSTITUTE(index(importhtml(""http://finviz.com/quote.ashx?t=""&amp;A2924,""table"",10),7,2),""*"",""""),""-"",""0.00""))"),"Loading...")</f>
        <v>Loading...</v>
      </c>
      <c r="L2924" s="129">
        <v>4.11717406E8</v>
      </c>
      <c r="M2924" s="99">
        <f>IFERROR(__xludf.DUMMYFUNCTION("GOOGLEFINANCE(A2924,""beta"")"),2.11)</f>
        <v>2.11</v>
      </c>
    </row>
    <row r="2925">
      <c r="A2925" s="122" t="s">
        <v>6277</v>
      </c>
      <c r="B2925" s="123">
        <v>1534120.0</v>
      </c>
      <c r="C2925" s="124" t="s">
        <v>6278</v>
      </c>
      <c r="D2925" s="125"/>
      <c r="E2925" s="126">
        <v>4.44</v>
      </c>
      <c r="F2925" s="127"/>
      <c r="G2925" s="127"/>
      <c r="H2925" s="127"/>
      <c r="I2925" s="128"/>
      <c r="K2925" s="105" t="str">
        <f>IFERROR(__xludf.DUMMYFUNCTION("if(A2925="""","""",substitute(SUBSTITUTE(index(importhtml(""http://finviz.com/quote.ashx?t=""&amp;A2925,""table"",10),7,2),""*"",""""),""-"",""0.00""))"),"Loading...")</f>
        <v>Loading...</v>
      </c>
      <c r="L2925" s="129">
        <v>3559151.0</v>
      </c>
      <c r="M2925" s="99">
        <v>0.74</v>
      </c>
    </row>
    <row r="2926">
      <c r="A2926" s="122" t="s">
        <v>6279</v>
      </c>
      <c r="B2926" s="123">
        <v>1868995.0</v>
      </c>
      <c r="C2926" s="124" t="s">
        <v>6280</v>
      </c>
      <c r="D2926" s="125"/>
      <c r="E2926" s="126">
        <v>4.44</v>
      </c>
      <c r="F2926" s="127"/>
      <c r="G2926" s="127"/>
      <c r="H2926" s="127"/>
      <c r="I2926" s="128"/>
      <c r="K2926" s="105" t="str">
        <f>IFERROR(__xludf.DUMMYFUNCTION("if(A2926="""","""",substitute(SUBSTITUTE(index(importhtml(""http://finviz.com/quote.ashx?t=""&amp;A2926,""table"",10),7,2),""*"",""""),""-"",""0.00""))"),"Loading...")</f>
        <v>Loading...</v>
      </c>
      <c r="L2926" s="129">
        <v>5.94135055E8</v>
      </c>
      <c r="M2926" s="99">
        <f>IFERROR(__xludf.DUMMYFUNCTION("GOOGLEFINANCE(A2926,""beta"")"),1.14)</f>
        <v>1.14</v>
      </c>
    </row>
    <row r="2927">
      <c r="A2927" s="122" t="s">
        <v>6281</v>
      </c>
      <c r="B2927" s="123">
        <v>1290109.0</v>
      </c>
      <c r="C2927" s="124" t="s">
        <v>6282</v>
      </c>
      <c r="D2927" s="125"/>
      <c r="E2927" s="126">
        <v>4.44</v>
      </c>
      <c r="F2927" s="127"/>
      <c r="G2927" s="127"/>
      <c r="H2927" s="127"/>
      <c r="I2927" s="128"/>
      <c r="K2927" s="105" t="str">
        <f>IFERROR(__xludf.DUMMYFUNCTION("if(A2927="""","""",substitute(SUBSTITUTE(index(importhtml(""http://finviz.com/quote.ashx?t=""&amp;A2927,""table"",10),7,2),""*"",""""),""-"",""0.00""))"),"Loading...")</f>
        <v>Loading...</v>
      </c>
      <c r="L2927" s="129">
        <v>4.389712172E9</v>
      </c>
      <c r="M2927" s="99">
        <v>1.46</v>
      </c>
    </row>
    <row r="2928">
      <c r="A2928" s="122" t="s">
        <v>6283</v>
      </c>
      <c r="B2928" s="123">
        <v>1769804.0</v>
      </c>
      <c r="C2928" s="124" t="s">
        <v>6284</v>
      </c>
      <c r="D2928" s="125"/>
      <c r="E2928" s="126">
        <v>4.45</v>
      </c>
      <c r="F2928" s="127"/>
      <c r="G2928" s="127"/>
      <c r="H2928" s="127"/>
      <c r="I2928" s="128"/>
      <c r="K2928" s="105" t="str">
        <f>IFERROR(__xludf.DUMMYFUNCTION("if(A2928="""","""",substitute(SUBSTITUTE(index(importhtml(""http://finviz.com/quote.ashx?t=""&amp;A2928,""table"",10),7,2),""*"",""""),""-"",""0.00""))"),"Loading...")</f>
        <v>Loading...</v>
      </c>
      <c r="L2928" s="129">
        <v>2.118988E8</v>
      </c>
      <c r="M2928" s="99" t="str">
        <f>IFERROR(__xludf.DUMMYFUNCTION("GOOGLEFINANCE(A2928,""beta"")"),"#N/A")</f>
        <v>#N/A</v>
      </c>
    </row>
    <row r="2929">
      <c r="A2929" s="122" t="s">
        <v>6285</v>
      </c>
      <c r="B2929" s="123">
        <v>1640043.0</v>
      </c>
      <c r="C2929" s="124" t="s">
        <v>6286</v>
      </c>
      <c r="D2929" s="125"/>
      <c r="E2929" s="126">
        <v>4.46</v>
      </c>
      <c r="F2929" s="127"/>
      <c r="G2929" s="127"/>
      <c r="H2929" s="127"/>
      <c r="I2929" s="128"/>
      <c r="K2929" s="105" t="str">
        <f>IFERROR(__xludf.DUMMYFUNCTION("if(A2929="""","""",substitute(SUBSTITUTE(index(importhtml(""http://finviz.com/quote.ashx?t=""&amp;A2929,""table"",10),7,2),""*"",""""),""-"",""0.00""))"),"Loading...")</f>
        <v>Loading...</v>
      </c>
      <c r="L2929" s="129">
        <v>4.7186176E7</v>
      </c>
      <c r="M2929" s="99">
        <v>0.05</v>
      </c>
    </row>
    <row r="2930">
      <c r="A2930" s="122" t="s">
        <v>6287</v>
      </c>
      <c r="B2930" s="123">
        <v>1805385.0</v>
      </c>
      <c r="C2930" s="124" t="s">
        <v>6288</v>
      </c>
      <c r="D2930" s="125"/>
      <c r="E2930" s="126">
        <v>4.46</v>
      </c>
      <c r="F2930" s="127"/>
      <c r="G2930" s="127"/>
      <c r="H2930" s="127"/>
      <c r="I2930" s="128"/>
      <c r="K2930" s="105" t="str">
        <f>IFERROR(__xludf.DUMMYFUNCTION("if(A2930="""","""",substitute(SUBSTITUTE(index(importhtml(""http://finviz.com/quote.ashx?t=""&amp;A2930,""table"",10),7,2),""*"",""""),""-"",""0.00""))"),"Loading...")</f>
        <v>Loading...</v>
      </c>
      <c r="L2930" s="129">
        <v>6.74060321E8</v>
      </c>
      <c r="M2930" s="99">
        <v>1.35</v>
      </c>
    </row>
    <row r="2931">
      <c r="A2931" s="122" t="s">
        <v>6289</v>
      </c>
      <c r="B2931" s="123">
        <v>1898604.0</v>
      </c>
      <c r="C2931" s="124" t="s">
        <v>6290</v>
      </c>
      <c r="D2931" s="125"/>
      <c r="E2931" s="126">
        <v>4.47</v>
      </c>
      <c r="F2931" s="127"/>
      <c r="G2931" s="127"/>
      <c r="H2931" s="127"/>
      <c r="I2931" s="128"/>
      <c r="K2931" s="105" t="str">
        <f>IFERROR(__xludf.DUMMYFUNCTION("if(A2931="""","""",substitute(SUBSTITUTE(index(importhtml(""http://finviz.com/quote.ashx?t=""&amp;A2931,""table"",10),7,2),""*"",""""),""-"",""0.00""))"),"Loading...")</f>
        <v>Loading...</v>
      </c>
      <c r="L2931" s="129">
        <v>5784050.0</v>
      </c>
      <c r="M2931" s="99" t="str">
        <f>IFERROR(__xludf.DUMMYFUNCTION("GOOGLEFINANCE(A2931,""beta"")"),"#N/A")</f>
        <v>#N/A</v>
      </c>
    </row>
    <row r="2932">
      <c r="A2932" s="122" t="s">
        <v>6291</v>
      </c>
      <c r="B2932" s="123">
        <v>1724009.0</v>
      </c>
      <c r="C2932" s="124" t="s">
        <v>6292</v>
      </c>
      <c r="D2932" s="125"/>
      <c r="E2932" s="126">
        <v>4.47</v>
      </c>
      <c r="F2932" s="127"/>
      <c r="G2932" s="127"/>
      <c r="H2932" s="127"/>
      <c r="I2932" s="128"/>
      <c r="K2932" s="105" t="str">
        <f>IFERROR(__xludf.DUMMYFUNCTION("if(A2932="""","""",substitute(SUBSTITUTE(index(importhtml(""http://finviz.com/quote.ashx?t=""&amp;A2932,""table"",10),7,2),""*"",""""),""-"",""0.00""))"),"Loading...")</f>
        <v>Loading...</v>
      </c>
      <c r="L2932" s="129">
        <v>5.438081E7</v>
      </c>
      <c r="M2932" s="99">
        <v>0.93</v>
      </c>
    </row>
    <row r="2933">
      <c r="A2933" s="122" t="s">
        <v>6293</v>
      </c>
      <c r="B2933" s="123">
        <v>860131.0</v>
      </c>
      <c r="C2933" s="124" t="s">
        <v>6294</v>
      </c>
      <c r="D2933" s="125"/>
      <c r="E2933" s="126">
        <v>4.47</v>
      </c>
      <c r="F2933" s="127"/>
      <c r="G2933" s="127"/>
      <c r="H2933" s="127"/>
      <c r="I2933" s="128"/>
      <c r="K2933" s="105" t="str">
        <f>IFERROR(__xludf.DUMMYFUNCTION("if(A2933="""","""",substitute(SUBSTITUTE(index(importhtml(""http://finviz.com/quote.ashx?t=""&amp;A2933,""table"",10),7,2),""*"",""""),""-"",""0.00""))"),"Loading...")</f>
        <v>Loading...</v>
      </c>
      <c r="L2933" s="129">
        <v>8.646703E7</v>
      </c>
      <c r="M2933" s="99" t="str">
        <f>IFERROR(__xludf.DUMMYFUNCTION("GOOGLEFINANCE(A2933,""beta"")"),"#N/A")</f>
        <v>#N/A</v>
      </c>
    </row>
    <row r="2934">
      <c r="A2934" s="122" t="s">
        <v>6295</v>
      </c>
      <c r="B2934" s="123">
        <v>798528.0</v>
      </c>
      <c r="C2934" s="124" t="s">
        <v>6296</v>
      </c>
      <c r="D2934" s="125"/>
      <c r="E2934" s="126">
        <v>4.47</v>
      </c>
      <c r="F2934" s="127"/>
      <c r="G2934" s="127"/>
      <c r="H2934" s="127"/>
      <c r="I2934" s="128"/>
      <c r="K2934" s="105" t="str">
        <f>IFERROR(__xludf.DUMMYFUNCTION("if(A2934="""","""",substitute(SUBSTITUTE(index(importhtml(""http://finviz.com/quote.ashx?t=""&amp;A2934,""table"",10),7,2),""*"",""""),""-"",""0.00""))"),"Loading...")</f>
        <v>Loading...</v>
      </c>
      <c r="L2934" s="129">
        <v>8.9319088E7</v>
      </c>
      <c r="M2934" s="99">
        <v>0.28</v>
      </c>
    </row>
    <row r="2935">
      <c r="A2935" s="122" t="s">
        <v>6297</v>
      </c>
      <c r="B2935" s="123">
        <v>1371489.0</v>
      </c>
      <c r="C2935" s="124" t="s">
        <v>6298</v>
      </c>
      <c r="D2935" s="125"/>
      <c r="E2935" s="126">
        <v>4.47</v>
      </c>
      <c r="F2935" s="127"/>
      <c r="G2935" s="127"/>
      <c r="H2935" s="127"/>
      <c r="I2935" s="128"/>
      <c r="K2935" s="105" t="str">
        <f>IFERROR(__xludf.DUMMYFUNCTION("if(A2935="""","""",substitute(SUBSTITUTE(index(importhtml(""http://finviz.com/quote.ashx?t=""&amp;A2935,""table"",10),7,2),""*"",""""),""-"",""0.00""))"),"Loading...")</f>
        <v>Loading...</v>
      </c>
      <c r="L2935" s="129">
        <v>2.18464758E8</v>
      </c>
      <c r="M2935" s="99">
        <v>0.96</v>
      </c>
    </row>
    <row r="2936">
      <c r="A2936" s="122" t="s">
        <v>6299</v>
      </c>
      <c r="B2936" s="123">
        <v>1058623.0</v>
      </c>
      <c r="C2936" s="124" t="s">
        <v>6300</v>
      </c>
      <c r="D2936" s="125"/>
      <c r="E2936" s="126">
        <v>4.48</v>
      </c>
      <c r="F2936" s="127"/>
      <c r="G2936" s="127"/>
      <c r="H2936" s="127"/>
      <c r="I2936" s="128"/>
      <c r="K2936" s="105" t="str">
        <f>IFERROR(__xludf.DUMMYFUNCTION("if(A2936="""","""",substitute(SUBSTITUTE(index(importhtml(""http://finviz.com/quote.ashx?t=""&amp;A2936,""table"",10),7,2),""*"",""""),""-"",""0.00""))"),"Loading...")</f>
        <v>Loading...</v>
      </c>
      <c r="L2936" s="129">
        <v>7.3956557E7</v>
      </c>
      <c r="M2936" s="99">
        <v>1.61</v>
      </c>
    </row>
    <row r="2937">
      <c r="A2937" s="122" t="s">
        <v>6301</v>
      </c>
      <c r="B2937" s="123">
        <v>1631761.0</v>
      </c>
      <c r="C2937" s="124" t="s">
        <v>6302</v>
      </c>
      <c r="D2937" s="125"/>
      <c r="E2937" s="126">
        <v>4.48</v>
      </c>
      <c r="F2937" s="127"/>
      <c r="G2937" s="127"/>
      <c r="H2937" s="127"/>
      <c r="I2937" s="128"/>
      <c r="K2937" s="105" t="str">
        <f>IFERROR(__xludf.DUMMYFUNCTION("if(A2937="""","""",substitute(SUBSTITUTE(index(importhtml(""http://finviz.com/quote.ashx?t=""&amp;A2937,""table"",10),7,2),""*"",""""),""-"",""0.00""))"),"Loading...")</f>
        <v>Loading...</v>
      </c>
      <c r="L2937" s="129">
        <v>3.96986017E8</v>
      </c>
      <c r="M2937" s="99">
        <v>0.73</v>
      </c>
    </row>
    <row r="2938">
      <c r="A2938" s="122" t="s">
        <v>6303</v>
      </c>
      <c r="B2938" s="123">
        <v>1816708.0</v>
      </c>
      <c r="C2938" s="124" t="s">
        <v>6304</v>
      </c>
      <c r="D2938" s="125"/>
      <c r="E2938" s="126">
        <v>4.49</v>
      </c>
      <c r="F2938" s="127"/>
      <c r="G2938" s="127"/>
      <c r="H2938" s="127"/>
      <c r="I2938" s="128"/>
      <c r="K2938" s="105" t="str">
        <f>IFERROR(__xludf.DUMMYFUNCTION("if(A2938="""","""",substitute(SUBSTITUTE(index(importhtml(""http://finviz.com/quote.ashx?t=""&amp;A2938,""table"",10),7,2),""*"",""""),""-"",""0.00""))"),"Loading...")</f>
        <v>Loading...</v>
      </c>
      <c r="L2938" s="129">
        <v>3.8473887E7</v>
      </c>
      <c r="M2938" s="99">
        <v>1.68</v>
      </c>
    </row>
    <row r="2939">
      <c r="A2939" s="122" t="s">
        <v>6305</v>
      </c>
      <c r="B2939" s="123">
        <v>1710340.0</v>
      </c>
      <c r="C2939" s="124" t="s">
        <v>6306</v>
      </c>
      <c r="D2939" s="125"/>
      <c r="E2939" s="126">
        <v>4.49</v>
      </c>
      <c r="F2939" s="127"/>
      <c r="G2939" s="127"/>
      <c r="H2939" s="127"/>
      <c r="I2939" s="128"/>
      <c r="K2939" s="105" t="str">
        <f>IFERROR(__xludf.DUMMYFUNCTION("if(A2939="""","""",substitute(SUBSTITUTE(index(importhtml(""http://finviz.com/quote.ashx?t=""&amp;A2939,""table"",10),7,2),""*"",""""),""-"",""0.00""))"),"Loading...")</f>
        <v>Loading...</v>
      </c>
      <c r="L2939" s="129">
        <v>1.15206165E8</v>
      </c>
      <c r="M2939" s="99">
        <v>1.24</v>
      </c>
    </row>
    <row r="2940">
      <c r="A2940" s="122" t="s">
        <v>6307</v>
      </c>
      <c r="B2940" s="123">
        <v>1840706.0</v>
      </c>
      <c r="C2940" s="124" t="s">
        <v>6308</v>
      </c>
      <c r="D2940" s="125"/>
      <c r="E2940" s="126">
        <v>4.49</v>
      </c>
      <c r="F2940" s="127"/>
      <c r="G2940" s="127"/>
      <c r="H2940" s="127"/>
      <c r="I2940" s="128"/>
      <c r="K2940" s="105" t="str">
        <f>IFERROR(__xludf.DUMMYFUNCTION("if(A2940="""","""",substitute(SUBSTITUTE(index(importhtml(""http://finviz.com/quote.ashx?t=""&amp;A2940,""table"",10),7,2),""*"",""""),""-"",""0.00""))"),"Loading...")</f>
        <v>Loading...</v>
      </c>
      <c r="L2940" s="129">
        <v>2.9244262E8</v>
      </c>
      <c r="M2940" s="99">
        <f>IFERROR(__xludf.DUMMYFUNCTION("GOOGLEFINANCE(A2940,""beta"")"),1.1)</f>
        <v>1.1</v>
      </c>
    </row>
    <row r="2941">
      <c r="A2941" s="122" t="s">
        <v>6309</v>
      </c>
      <c r="B2941" s="123">
        <v>930157.0</v>
      </c>
      <c r="C2941" s="124" t="s">
        <v>6310</v>
      </c>
      <c r="D2941" s="125"/>
      <c r="E2941" s="126">
        <v>4.49</v>
      </c>
      <c r="F2941" s="127"/>
      <c r="G2941" s="127"/>
      <c r="H2941" s="127"/>
      <c r="I2941" s="128"/>
      <c r="K2941" s="105" t="str">
        <f>IFERROR(__xludf.DUMMYFUNCTION("if(A2941="""","""",substitute(SUBSTITUTE(index(importhtml(""http://finviz.com/quote.ashx?t=""&amp;A2941,""table"",10),7,2),""*"",""""),""-"",""0.00""))"),"Loading...")</f>
        <v>Loading...</v>
      </c>
      <c r="L2941" s="129">
        <v>1.2761343661E10</v>
      </c>
      <c r="M2941" s="99">
        <f>IFERROR(__xludf.DUMMYFUNCTION("GOOGLEFINANCE(A2941,""beta"")"),1.06)</f>
        <v>1.06</v>
      </c>
    </row>
    <row r="2942">
      <c r="A2942" s="122" t="s">
        <v>6311</v>
      </c>
      <c r="B2942" s="123">
        <v>1756607.0</v>
      </c>
      <c r="C2942" s="124" t="s">
        <v>6312</v>
      </c>
      <c r="D2942" s="125"/>
      <c r="E2942" s="126">
        <v>4.5</v>
      </c>
      <c r="F2942" s="127"/>
      <c r="G2942" s="127"/>
      <c r="H2942" s="127"/>
      <c r="I2942" s="128"/>
      <c r="K2942" s="55" t="s">
        <v>1034</v>
      </c>
      <c r="L2942" s="129">
        <v>1.4310621E9</v>
      </c>
      <c r="M2942" s="99">
        <v>1.14</v>
      </c>
    </row>
    <row r="2943">
      <c r="A2943" s="122" t="s">
        <v>6313</v>
      </c>
      <c r="B2943" s="123">
        <v>1363958.0</v>
      </c>
      <c r="C2943" s="124" t="s">
        <v>6314</v>
      </c>
      <c r="D2943" s="125"/>
      <c r="E2943" s="126">
        <v>4.5</v>
      </c>
      <c r="F2943" s="127"/>
      <c r="G2943" s="127"/>
      <c r="H2943" s="127"/>
      <c r="I2943" s="128"/>
      <c r="K2943" s="105" t="str">
        <f>IFERROR(__xludf.DUMMYFUNCTION("if(A2943="""","""",substitute(SUBSTITUTE(index(importhtml(""http://finviz.com/quote.ashx?t=""&amp;A2943,""table"",10),7,2),""*"",""""),""-"",""0.00""))"),"Loading...")</f>
        <v>Loading...</v>
      </c>
      <c r="L2943" s="129">
        <v>4.098624E7</v>
      </c>
      <c r="M2943" s="99" t="str">
        <f>IFERROR(__xludf.DUMMYFUNCTION("GOOGLEFINANCE(A2943,""beta"")"),"#N/A")</f>
        <v>#N/A</v>
      </c>
    </row>
    <row r="2944">
      <c r="A2944" s="122" t="s">
        <v>6315</v>
      </c>
      <c r="B2944" s="123">
        <v>1760233.0</v>
      </c>
      <c r="C2944" s="124" t="s">
        <v>6316</v>
      </c>
      <c r="D2944" s="125"/>
      <c r="E2944" s="126">
        <v>4.5</v>
      </c>
      <c r="F2944" s="127"/>
      <c r="G2944" s="127"/>
      <c r="H2944" s="127"/>
      <c r="I2944" s="128"/>
      <c r="K2944" s="105" t="str">
        <f>IFERROR(__xludf.DUMMYFUNCTION("if(A2944="""","""",substitute(SUBSTITUTE(index(importhtml(""http://finviz.com/quote.ashx?t=""&amp;A2944,""table"",10),7,2),""*"",""""),""-"",""0.00""))"),"Loading...")</f>
        <v>Loading...</v>
      </c>
      <c r="L2944" s="129">
        <v>7.5428775E7</v>
      </c>
      <c r="M2944" s="99">
        <v>-1.01</v>
      </c>
    </row>
    <row r="2945">
      <c r="A2945" s="122" t="s">
        <v>6317</v>
      </c>
      <c r="B2945" s="123">
        <v>1657045.0</v>
      </c>
      <c r="C2945" s="124" t="s">
        <v>6318</v>
      </c>
      <c r="D2945" s="125"/>
      <c r="E2945" s="126">
        <v>4.5</v>
      </c>
      <c r="F2945" s="127"/>
      <c r="G2945" s="127"/>
      <c r="H2945" s="127"/>
      <c r="I2945" s="128"/>
      <c r="K2945" s="105" t="str">
        <f>IFERROR(__xludf.DUMMYFUNCTION("if(A2945="""","""",substitute(SUBSTITUTE(index(importhtml(""http://finviz.com/quote.ashx?t=""&amp;A2945,""table"",10),7,2),""*"",""""),""-"",""0.00""))"),"Loading...")</f>
        <v>Loading...</v>
      </c>
      <c r="L2945" s="129">
        <v>1.284608E8</v>
      </c>
      <c r="M2945" s="99">
        <v>19.08</v>
      </c>
    </row>
    <row r="2946">
      <c r="A2946" s="122" t="s">
        <v>6319</v>
      </c>
      <c r="B2946" s="123">
        <v>1597672.0</v>
      </c>
      <c r="C2946" s="124" t="s">
        <v>6320</v>
      </c>
      <c r="D2946" s="125"/>
      <c r="E2946" s="126">
        <v>4.5</v>
      </c>
      <c r="F2946" s="127"/>
      <c r="G2946" s="127"/>
      <c r="H2946" s="127"/>
      <c r="I2946" s="128"/>
      <c r="K2946" s="105" t="str">
        <f>IFERROR(__xludf.DUMMYFUNCTION("if(A2946="""","""",substitute(SUBSTITUTE(index(importhtml(""http://finviz.com/quote.ashx?t=""&amp;A2946,""table"",10),7,2),""*"",""""),""-"",""0.00""))"),"Loading...")</f>
        <v>Loading...</v>
      </c>
      <c r="L2946" s="129">
        <v>2.94045345E8</v>
      </c>
      <c r="M2946" s="99">
        <v>3.06</v>
      </c>
    </row>
    <row r="2947">
      <c r="A2947" s="122" t="s">
        <v>6321</v>
      </c>
      <c r="B2947" s="123">
        <v>745543.0</v>
      </c>
      <c r="C2947" s="124" t="s">
        <v>6322</v>
      </c>
      <c r="D2947" s="125"/>
      <c r="E2947" s="126">
        <v>4.5</v>
      </c>
      <c r="F2947" s="127"/>
      <c r="G2947" s="127"/>
      <c r="H2947" s="127"/>
      <c r="I2947" s="128"/>
      <c r="K2947" s="105" t="str">
        <f>IFERROR(__xludf.DUMMYFUNCTION("if(A2947="""","""",substitute(SUBSTITUTE(index(importhtml(""http://finviz.com/quote.ashx?t=""&amp;A2947,""table"",10),7,2),""*"",""""),""-"",""0.00""))"),"Loading...")</f>
        <v>Loading...</v>
      </c>
      <c r="L2947" s="129">
        <v>9.001392E8</v>
      </c>
      <c r="M2947" s="99" t="str">
        <f>IFERROR(__xludf.DUMMYFUNCTION("GOOGLEFINANCE(A2947,""beta"")"),"#N/A")</f>
        <v>#N/A</v>
      </c>
    </row>
    <row r="2948">
      <c r="A2948" s="122" t="s">
        <v>6323</v>
      </c>
      <c r="B2948" s="123">
        <v>723269.0</v>
      </c>
      <c r="C2948" s="124" t="s">
        <v>6324</v>
      </c>
      <c r="D2948" s="125"/>
      <c r="E2948" s="126">
        <v>4.5</v>
      </c>
      <c r="F2948" s="127"/>
      <c r="G2948" s="127"/>
      <c r="H2948" s="127"/>
      <c r="I2948" s="128"/>
      <c r="K2948" s="105" t="str">
        <f>IFERROR(__xludf.DUMMYFUNCTION("if(A2948="""","""",substitute(SUBSTITUTE(index(importhtml(""http://finviz.com/quote.ashx?t=""&amp;A2948,""table"",10),7,2),""*"",""""),""-"",""0.00""))"),"Loading...")</f>
        <v>Loading...</v>
      </c>
      <c r="L2948" s="129" t="e">
        <v>#N/A</v>
      </c>
      <c r="M2948" s="99" t="str">
        <f>IFERROR(__xludf.DUMMYFUNCTION("GOOGLEFINANCE(A2948,""beta"")"),"#N/A")</f>
        <v>#N/A</v>
      </c>
    </row>
    <row r="2949">
      <c r="A2949" s="122" t="s">
        <v>6325</v>
      </c>
      <c r="B2949" s="123">
        <v>701719.0</v>
      </c>
      <c r="C2949" s="124" t="s">
        <v>6326</v>
      </c>
      <c r="D2949" s="125"/>
      <c r="E2949" s="126">
        <v>4.51</v>
      </c>
      <c r="F2949" s="127"/>
      <c r="G2949" s="127"/>
      <c r="H2949" s="127"/>
      <c r="I2949" s="128"/>
      <c r="K2949" s="55" t="s">
        <v>1034</v>
      </c>
      <c r="L2949" s="129">
        <v>1.20417006E8</v>
      </c>
      <c r="M2949" s="99">
        <v>-0.01</v>
      </c>
    </row>
    <row r="2950">
      <c r="A2950" s="122" t="s">
        <v>6327</v>
      </c>
      <c r="B2950" s="123">
        <v>1098146.0</v>
      </c>
      <c r="C2950" s="124" t="s">
        <v>6328</v>
      </c>
      <c r="D2950" s="125"/>
      <c r="E2950" s="126">
        <v>4.51</v>
      </c>
      <c r="F2950" s="127"/>
      <c r="G2950" s="127"/>
      <c r="H2950" s="127"/>
      <c r="I2950" s="128"/>
      <c r="K2950" s="105" t="str">
        <f>IFERROR(__xludf.DUMMYFUNCTION("if(A2950="""","""",substitute(SUBSTITUTE(index(importhtml(""http://finviz.com/quote.ashx?t=""&amp;A2950,""table"",10),7,2),""*"",""""),""-"",""0.00""))"),"Loading...")</f>
        <v>Loading...</v>
      </c>
      <c r="L2950" s="129">
        <v>1.788298E7</v>
      </c>
      <c r="M2950" s="99">
        <v>0.53</v>
      </c>
    </row>
    <row r="2951">
      <c r="A2951" s="122" t="s">
        <v>6329</v>
      </c>
      <c r="B2951" s="123">
        <v>1856028.0</v>
      </c>
      <c r="C2951" s="124" t="s">
        <v>6330</v>
      </c>
      <c r="D2951" s="125"/>
      <c r="E2951" s="126">
        <v>4.52</v>
      </c>
      <c r="F2951" s="127"/>
      <c r="G2951" s="127"/>
      <c r="H2951" s="127"/>
      <c r="I2951" s="128"/>
      <c r="K2951" s="105" t="str">
        <f>IFERROR(__xludf.DUMMYFUNCTION("if(A2951="""","""",substitute(SUBSTITUTE(index(importhtml(""http://finviz.com/quote.ashx?t=""&amp;A2951,""table"",10),7,2),""*"",""""),""-"",""0.00""))"),"Loading...")</f>
        <v>Loading...</v>
      </c>
      <c r="L2951" s="129">
        <v>4.6385867E7</v>
      </c>
      <c r="M2951" s="99" t="str">
        <f>IFERROR(__xludf.DUMMYFUNCTION("GOOGLEFINANCE(A2951,""beta"")"),"#N/A")</f>
        <v>#N/A</v>
      </c>
    </row>
    <row r="2952">
      <c r="A2952" s="122" t="s">
        <v>6331</v>
      </c>
      <c r="B2952" s="123">
        <v>1123494.0</v>
      </c>
      <c r="C2952" s="124" t="s">
        <v>6332</v>
      </c>
      <c r="D2952" s="125"/>
      <c r="E2952" s="126">
        <v>4.52</v>
      </c>
      <c r="F2952" s="127"/>
      <c r="G2952" s="127"/>
      <c r="H2952" s="127"/>
      <c r="I2952" s="128"/>
      <c r="K2952" s="105" t="str">
        <f>IFERROR(__xludf.DUMMYFUNCTION("if(A2952="""","""",substitute(SUBSTITUTE(index(importhtml(""http://finviz.com/quote.ashx?t=""&amp;A2952,""table"",10),7,2),""*"",""""),""-"",""0.00""))"),"Loading...")</f>
        <v>Loading...</v>
      </c>
      <c r="L2952" s="129">
        <v>1.92950889E8</v>
      </c>
      <c r="M2952" s="99">
        <v>1.46</v>
      </c>
    </row>
    <row r="2953">
      <c r="A2953" s="122" t="s">
        <v>6333</v>
      </c>
      <c r="B2953" s="123">
        <v>1382101.0</v>
      </c>
      <c r="C2953" s="124" t="s">
        <v>6334</v>
      </c>
      <c r="D2953" s="125"/>
      <c r="E2953" s="126">
        <v>4.52</v>
      </c>
      <c r="F2953" s="127"/>
      <c r="G2953" s="127"/>
      <c r="H2953" s="127"/>
      <c r="I2953" s="128"/>
      <c r="K2953" s="105" t="str">
        <f>IFERROR(__xludf.DUMMYFUNCTION("if(A2953="""","""",substitute(SUBSTITUTE(index(importhtml(""http://finviz.com/quote.ashx?t=""&amp;A2953,""table"",10),7,2),""*"",""""),""-"",""0.00""))"),"Loading...")</f>
        <v>Loading...</v>
      </c>
      <c r="L2953" s="129">
        <v>2.75508462E8</v>
      </c>
      <c r="M2953" s="99">
        <v>0.91</v>
      </c>
    </row>
    <row r="2954">
      <c r="A2954" s="122" t="s">
        <v>6335</v>
      </c>
      <c r="B2954" s="123">
        <v>1665988.0</v>
      </c>
      <c r="C2954" s="124" t="s">
        <v>6336</v>
      </c>
      <c r="D2954" s="125"/>
      <c r="E2954" s="126">
        <v>4.53</v>
      </c>
      <c r="F2954" s="127"/>
      <c r="G2954" s="127"/>
      <c r="H2954" s="127"/>
      <c r="I2954" s="128"/>
      <c r="K2954" s="55" t="s">
        <v>1034</v>
      </c>
      <c r="L2954" s="129">
        <v>3.622618E8</v>
      </c>
      <c r="M2954" s="99">
        <f>IFERROR(__xludf.DUMMYFUNCTION("GOOGLEFINANCE(A2954,""beta"")"),0.8)</f>
        <v>0.8</v>
      </c>
    </row>
    <row r="2955">
      <c r="A2955" s="122" t="s">
        <v>6337</v>
      </c>
      <c r="B2955" s="123">
        <v>1881551.0</v>
      </c>
      <c r="C2955" s="124" t="s">
        <v>6338</v>
      </c>
      <c r="D2955" s="125"/>
      <c r="E2955" s="126">
        <v>4.53</v>
      </c>
      <c r="F2955" s="127"/>
      <c r="G2955" s="127"/>
      <c r="H2955" s="127"/>
      <c r="I2955" s="128"/>
      <c r="K2955" s="105" t="str">
        <f>IFERROR(__xludf.DUMMYFUNCTION("if(A2955="""","""",substitute(SUBSTITUTE(index(importhtml(""http://finviz.com/quote.ashx?t=""&amp;A2955,""table"",10),7,2),""*"",""""),""-"",""0.00""))"),"Loading...")</f>
        <v>Loading...</v>
      </c>
      <c r="L2955" s="129">
        <v>2.4936477E7</v>
      </c>
      <c r="M2955" s="99" t="str">
        <f>IFERROR(__xludf.DUMMYFUNCTION("GOOGLEFINANCE(A2955,""beta"")"),"#N/A")</f>
        <v>#N/A</v>
      </c>
    </row>
    <row r="2956">
      <c r="A2956" s="122" t="s">
        <v>6339</v>
      </c>
      <c r="B2956" s="123">
        <v>1540159.0</v>
      </c>
      <c r="C2956" s="124" t="s">
        <v>6340</v>
      </c>
      <c r="D2956" s="125"/>
      <c r="E2956" s="126">
        <v>4.54</v>
      </c>
      <c r="F2956" s="127"/>
      <c r="G2956" s="127"/>
      <c r="H2956" s="127"/>
      <c r="I2956" s="128"/>
      <c r="K2956" s="105" t="str">
        <f>IFERROR(__xludf.DUMMYFUNCTION("if(A2956="""","""",substitute(SUBSTITUTE(index(importhtml(""http://finviz.com/quote.ashx?t=""&amp;A2956,""table"",10),7,2),""*"",""""),""-"",""0.00""))"),"Loading...")</f>
        <v>Loading...</v>
      </c>
      <c r="L2956" s="129">
        <v>1.4367837E7</v>
      </c>
      <c r="M2956" s="99">
        <v>0.31</v>
      </c>
    </row>
    <row r="2957">
      <c r="A2957" s="122" t="s">
        <v>6341</v>
      </c>
      <c r="B2957" s="123">
        <v>1262104.0</v>
      </c>
      <c r="C2957" s="124" t="s">
        <v>6342</v>
      </c>
      <c r="D2957" s="125"/>
      <c r="E2957" s="126">
        <v>4.54</v>
      </c>
      <c r="F2957" s="127"/>
      <c r="G2957" s="127"/>
      <c r="H2957" s="127"/>
      <c r="I2957" s="128"/>
      <c r="K2957" s="105" t="str">
        <f>IFERROR(__xludf.DUMMYFUNCTION("if(A2957="""","""",substitute(SUBSTITUTE(index(importhtml(""http://finviz.com/quote.ashx?t=""&amp;A2957,""table"",10),7,2),""*"",""""),""-"",""0.00""))"),"Loading...")</f>
        <v>Loading...</v>
      </c>
      <c r="L2957" s="129">
        <v>3.0249365E7</v>
      </c>
      <c r="M2957" s="99">
        <v>0.81</v>
      </c>
    </row>
    <row r="2958">
      <c r="A2958" s="122" t="s">
        <v>6343</v>
      </c>
      <c r="B2958" s="123">
        <v>1058239.0</v>
      </c>
      <c r="C2958" s="124" t="s">
        <v>6344</v>
      </c>
      <c r="D2958" s="125"/>
      <c r="E2958" s="126">
        <v>4.55</v>
      </c>
      <c r="F2958" s="127"/>
      <c r="G2958" s="127"/>
      <c r="H2958" s="127"/>
      <c r="I2958" s="128"/>
      <c r="K2958" s="105" t="str">
        <f>IFERROR(__xludf.DUMMYFUNCTION("if(A2958="""","""",substitute(SUBSTITUTE(index(importhtml(""http://finviz.com/quote.ashx?t=""&amp;A2958,""table"",10),7,2),""*"",""""),""-"",""0.00""))"),"Loading...")</f>
        <v>Loading...</v>
      </c>
      <c r="L2958" s="129">
        <v>3.07244313E8</v>
      </c>
      <c r="M2958" s="99">
        <v>1.06</v>
      </c>
    </row>
    <row r="2959">
      <c r="A2959" s="122" t="s">
        <v>6345</v>
      </c>
      <c r="B2959" s="123">
        <v>1858848.0</v>
      </c>
      <c r="C2959" s="124" t="s">
        <v>6346</v>
      </c>
      <c r="D2959" s="125"/>
      <c r="E2959" s="126">
        <v>4.55</v>
      </c>
      <c r="F2959" s="127"/>
      <c r="G2959" s="127"/>
      <c r="H2959" s="127"/>
      <c r="I2959" s="128"/>
      <c r="K2959" s="105" t="str">
        <f>IFERROR(__xludf.DUMMYFUNCTION("if(A2959="""","""",substitute(SUBSTITUTE(index(importhtml(""http://finviz.com/quote.ashx?t=""&amp;A2959,""table"",10),7,2),""*"",""""),""-"",""0.00""))"),"Loading...")</f>
        <v>Loading...</v>
      </c>
      <c r="L2959" s="129">
        <v>3.09905108E8</v>
      </c>
      <c r="M2959" s="99">
        <f>IFERROR(__xludf.DUMMYFUNCTION("GOOGLEFINANCE(A2959,""beta"")"),3.14)</f>
        <v>3.14</v>
      </c>
    </row>
    <row r="2960">
      <c r="A2960" s="122" t="s">
        <v>6347</v>
      </c>
      <c r="B2960" s="123">
        <v>1535628.0</v>
      </c>
      <c r="C2960" s="124" t="s">
        <v>6348</v>
      </c>
      <c r="D2960" s="125"/>
      <c r="E2960" s="126">
        <v>4.55</v>
      </c>
      <c r="F2960" s="127"/>
      <c r="G2960" s="127"/>
      <c r="H2960" s="127"/>
      <c r="I2960" s="128"/>
      <c r="K2960" s="105" t="str">
        <f>IFERROR(__xludf.DUMMYFUNCTION("if(A2960="""","""",substitute(SUBSTITUTE(index(importhtml(""http://finviz.com/quote.ashx?t=""&amp;A2960,""table"",10),7,2),""*"",""""),""-"",""0.00""))"),"Loading...")</f>
        <v>Loading...</v>
      </c>
      <c r="L2960" s="129">
        <v>2.8730955799E10</v>
      </c>
      <c r="M2960" s="99">
        <f>IFERROR(__xludf.DUMMYFUNCTION("GOOGLEFINANCE(A2960,""beta"")"),-0.1)</f>
        <v>-0.1</v>
      </c>
    </row>
    <row r="2961">
      <c r="A2961" s="122" t="s">
        <v>6349</v>
      </c>
      <c r="B2961" s="123">
        <v>1605607.0</v>
      </c>
      <c r="C2961" s="124" t="s">
        <v>6350</v>
      </c>
      <c r="D2961" s="125"/>
      <c r="E2961" s="126">
        <v>4.56</v>
      </c>
      <c r="F2961" s="127"/>
      <c r="G2961" s="127"/>
      <c r="H2961" s="127"/>
      <c r="I2961" s="128"/>
      <c r="K2961" s="105" t="str">
        <f>IFERROR(__xludf.DUMMYFUNCTION("if(A2961="""","""",substitute(SUBSTITUTE(index(importhtml(""http://finviz.com/quote.ashx?t=""&amp;A2961,""table"",10),7,2),""*"",""""),""-"",""0.00""))"),"Loading...")</f>
        <v>Loading...</v>
      </c>
      <c r="L2961" s="129">
        <v>9.91131947E8</v>
      </c>
      <c r="M2961" s="99">
        <v>1.21</v>
      </c>
    </row>
    <row r="2962">
      <c r="A2962" s="122" t="s">
        <v>6351</v>
      </c>
      <c r="B2962" s="123">
        <v>1434614.0</v>
      </c>
      <c r="C2962" s="124" t="s">
        <v>6352</v>
      </c>
      <c r="D2962" s="125"/>
      <c r="E2962" s="126">
        <v>4.56</v>
      </c>
      <c r="F2962" s="127"/>
      <c r="G2962" s="127"/>
      <c r="H2962" s="127"/>
      <c r="I2962" s="128"/>
      <c r="K2962" s="105" t="str">
        <f>IFERROR(__xludf.DUMMYFUNCTION("if(A2962="""","""",substitute(SUBSTITUTE(index(importhtml(""http://finviz.com/quote.ashx?t=""&amp;A2962,""table"",10),7,2),""*"",""""),""-"",""0.00""))"),"Loading...")</f>
        <v>Loading...</v>
      </c>
      <c r="L2962" s="129">
        <v>1.821521788E9</v>
      </c>
      <c r="M2962" s="99">
        <v>1.12</v>
      </c>
    </row>
    <row r="2963">
      <c r="A2963" s="122" t="s">
        <v>6353</v>
      </c>
      <c r="B2963" s="123">
        <v>1413898.0</v>
      </c>
      <c r="C2963" s="124" t="s">
        <v>6354</v>
      </c>
      <c r="D2963" s="125"/>
      <c r="E2963" s="126">
        <v>4.57</v>
      </c>
      <c r="F2963" s="127"/>
      <c r="G2963" s="127"/>
      <c r="H2963" s="127"/>
      <c r="I2963" s="128"/>
      <c r="K2963" s="105" t="str">
        <f>IFERROR(__xludf.DUMMYFUNCTION("if(A2963="""","""",substitute(SUBSTITUTE(index(importhtml(""http://finviz.com/quote.ashx?t=""&amp;A2963,""table"",10),7,2),""*"",""""),""-"",""0.00""))"),"Loading...")</f>
        <v>Loading...</v>
      </c>
      <c r="L2963" s="129">
        <v>2.446088E7</v>
      </c>
      <c r="M2963" s="99">
        <v>0.37</v>
      </c>
    </row>
    <row r="2964">
      <c r="A2964" s="122" t="s">
        <v>6355</v>
      </c>
      <c r="B2964" s="123">
        <v>1031623.0</v>
      </c>
      <c r="C2964" s="124" t="s">
        <v>6356</v>
      </c>
      <c r="D2964" s="125"/>
      <c r="E2964" s="126">
        <v>4.57</v>
      </c>
      <c r="F2964" s="127"/>
      <c r="G2964" s="127"/>
      <c r="H2964" s="127"/>
      <c r="I2964" s="128"/>
      <c r="K2964" s="105" t="str">
        <f>IFERROR(__xludf.DUMMYFUNCTION("if(A2964="""","""",substitute(SUBSTITUTE(index(importhtml(""http://finviz.com/quote.ashx?t=""&amp;A2964,""table"",10),7,2),""*"",""""),""-"",""0.00""))"),"Loading...")</f>
        <v>Loading...</v>
      </c>
      <c r="L2964" s="129">
        <v>7.4433694E7</v>
      </c>
      <c r="M2964" s="99">
        <v>0.38</v>
      </c>
    </row>
    <row r="2965">
      <c r="A2965" s="122" t="s">
        <v>6357</v>
      </c>
      <c r="B2965" s="123">
        <v>1796898.0</v>
      </c>
      <c r="C2965" s="124" t="s">
        <v>6358</v>
      </c>
      <c r="D2965" s="125"/>
      <c r="E2965" s="126">
        <v>4.57</v>
      </c>
      <c r="F2965" s="127"/>
      <c r="G2965" s="127"/>
      <c r="H2965" s="127"/>
      <c r="I2965" s="128"/>
      <c r="K2965" s="105" t="str">
        <f>IFERROR(__xludf.DUMMYFUNCTION("if(A2965="""","""",substitute(SUBSTITUTE(index(importhtml(""http://finviz.com/quote.ashx?t=""&amp;A2965,""table"",10),7,2),""*"",""""),""-"",""0.00""))"),"Loading...")</f>
        <v>Loading...</v>
      </c>
      <c r="L2965" s="129">
        <v>2.41204791E8</v>
      </c>
      <c r="M2965" s="99">
        <v>1.57</v>
      </c>
    </row>
    <row r="2966">
      <c r="A2966" s="122" t="s">
        <v>6359</v>
      </c>
      <c r="B2966" s="123">
        <v>1388141.0</v>
      </c>
      <c r="C2966" s="124" t="s">
        <v>6360</v>
      </c>
      <c r="D2966" s="125"/>
      <c r="E2966" s="126">
        <v>4.59</v>
      </c>
      <c r="F2966" s="127"/>
      <c r="G2966" s="127"/>
      <c r="H2966" s="127"/>
      <c r="I2966" s="128"/>
      <c r="K2966" s="55" t="s">
        <v>6361</v>
      </c>
      <c r="L2966" s="129">
        <v>3.01773599E8</v>
      </c>
      <c r="M2966" s="99">
        <v>0.6</v>
      </c>
    </row>
    <row r="2967">
      <c r="A2967" s="122" t="s">
        <v>6362</v>
      </c>
      <c r="B2967" s="123">
        <v>941221.0</v>
      </c>
      <c r="C2967" s="124" t="s">
        <v>6363</v>
      </c>
      <c r="D2967" s="125"/>
      <c r="E2967" s="126">
        <v>4.59</v>
      </c>
      <c r="F2967" s="127"/>
      <c r="G2967" s="127"/>
      <c r="H2967" s="127"/>
      <c r="I2967" s="128"/>
      <c r="K2967" s="105" t="str">
        <f>IFERROR(__xludf.DUMMYFUNCTION("if(A2967="""","""",substitute(SUBSTITUTE(index(importhtml(""http://finviz.com/quote.ashx?t=""&amp;A2967,""table"",10),7,2),""*"",""""),""-"",""0.00""))"),"Loading...")</f>
        <v>Loading...</v>
      </c>
      <c r="L2967" s="129">
        <v>2.149416E10</v>
      </c>
      <c r="M2967" s="99">
        <v>1.2</v>
      </c>
    </row>
    <row r="2968">
      <c r="A2968" s="122" t="s">
        <v>6364</v>
      </c>
      <c r="B2968" s="123">
        <v>1553643.0</v>
      </c>
      <c r="C2968" s="124" t="s">
        <v>6365</v>
      </c>
      <c r="D2968" s="125"/>
      <c r="E2968" s="126">
        <v>4.6</v>
      </c>
      <c r="F2968" s="127"/>
      <c r="G2968" s="127"/>
      <c r="H2968" s="127"/>
      <c r="I2968" s="128"/>
      <c r="K2968" s="105" t="str">
        <f>IFERROR(__xludf.DUMMYFUNCTION("if(A2968="""","""",substitute(SUBSTITUTE(index(importhtml(""http://finviz.com/quote.ashx?t=""&amp;A2968,""table"",10),7,2),""*"",""""),""-"",""0.00""))"),"Loading...")</f>
        <v>Loading...</v>
      </c>
      <c r="L2968" s="129">
        <v>1.38456363E8</v>
      </c>
      <c r="M2968" s="99">
        <v>0.1</v>
      </c>
    </row>
    <row r="2969">
      <c r="A2969" s="122" t="s">
        <v>6366</v>
      </c>
      <c r="B2969" s="123">
        <v>715446.0</v>
      </c>
      <c r="C2969" s="124" t="s">
        <v>6367</v>
      </c>
      <c r="D2969" s="125"/>
      <c r="E2969" s="126">
        <v>4.6</v>
      </c>
      <c r="F2969" s="127"/>
      <c r="G2969" s="127"/>
      <c r="H2969" s="127"/>
      <c r="I2969" s="128"/>
      <c r="K2969" s="105" t="str">
        <f>IFERROR(__xludf.DUMMYFUNCTION("if(A2969="""","""",substitute(SUBSTITUTE(index(importhtml(""http://finviz.com/quote.ashx?t=""&amp;A2969,""table"",10),7,2),""*"",""""),""-"",""0.00""))"),"Loading...")</f>
        <v>Loading...</v>
      </c>
      <c r="L2969" s="129">
        <v>1.4581857E8</v>
      </c>
      <c r="M2969" s="99">
        <v>0.91</v>
      </c>
    </row>
    <row r="2970">
      <c r="A2970" s="122" t="s">
        <v>6368</v>
      </c>
      <c r="B2970" s="123">
        <v>1887388.0</v>
      </c>
      <c r="C2970" s="124" t="s">
        <v>6369</v>
      </c>
      <c r="D2970" s="125"/>
      <c r="E2970" s="126">
        <v>4.6</v>
      </c>
      <c r="F2970" s="127"/>
      <c r="G2970" s="127"/>
      <c r="H2970" s="127"/>
      <c r="I2970" s="128"/>
      <c r="K2970" s="105" t="str">
        <f>IFERROR(__xludf.DUMMYFUNCTION("if(A2970="""","""",substitute(SUBSTITUTE(index(importhtml(""http://finviz.com/quote.ashx?t=""&amp;A2970,""table"",10),7,2),""*"",""""),""-"",""0.00""))"),"Loading...")</f>
        <v>Loading...</v>
      </c>
      <c r="L2970" s="129">
        <v>2.97959486E8</v>
      </c>
      <c r="M2970" s="99">
        <f>IFERROR(__xludf.DUMMYFUNCTION("GOOGLEFINANCE(A2970,""beta"")"),0.94)</f>
        <v>0.94</v>
      </c>
    </row>
    <row r="2971">
      <c r="A2971" s="122" t="s">
        <v>6370</v>
      </c>
      <c r="B2971" s="123">
        <v>1288855.0</v>
      </c>
      <c r="C2971" s="124" t="s">
        <v>6371</v>
      </c>
      <c r="D2971" s="125"/>
      <c r="E2971" s="126">
        <v>4.61</v>
      </c>
      <c r="F2971" s="127"/>
      <c r="G2971" s="127"/>
      <c r="H2971" s="127"/>
      <c r="I2971" s="128"/>
      <c r="K2971" s="105" t="str">
        <f>IFERROR(__xludf.DUMMYFUNCTION("if(A2971="""","""",substitute(SUBSTITUTE(index(importhtml(""http://finviz.com/quote.ashx?t=""&amp;A2971,""table"",10),7,2),""*"",""""),""-"",""0.00""))"),"Loading...")</f>
        <v>Loading...</v>
      </c>
      <c r="L2971" s="129">
        <v>3.342351E7</v>
      </c>
      <c r="M2971" s="99">
        <v>0.4</v>
      </c>
    </row>
    <row r="2972">
      <c r="A2972" s="122" t="s">
        <v>6372</v>
      </c>
      <c r="B2972" s="123">
        <v>1325964.0</v>
      </c>
      <c r="C2972" s="124" t="s">
        <v>6373</v>
      </c>
      <c r="D2972" s="125"/>
      <c r="E2972" s="126">
        <v>4.61</v>
      </c>
      <c r="F2972" s="127"/>
      <c r="G2972" s="127"/>
      <c r="H2972" s="127"/>
      <c r="I2972" s="128"/>
      <c r="K2972" s="105" t="str">
        <f>IFERROR(__xludf.DUMMYFUNCTION("if(A2972="""","""",substitute(SUBSTITUTE(index(importhtml(""http://finviz.com/quote.ashx?t=""&amp;A2972,""table"",10),7,2),""*"",""""),""-"",""0.00""))"),"Loading...")</f>
        <v>Loading...</v>
      </c>
      <c r="L2972" s="129">
        <v>5.38848624E8</v>
      </c>
      <c r="M2972" s="99">
        <v>2.05</v>
      </c>
    </row>
    <row r="2973">
      <c r="A2973" s="122" t="s">
        <v>6374</v>
      </c>
      <c r="B2973" s="123">
        <v>1713748.0</v>
      </c>
      <c r="C2973" s="124" t="s">
        <v>6375</v>
      </c>
      <c r="D2973" s="125"/>
      <c r="E2973" s="126">
        <v>4.61</v>
      </c>
      <c r="F2973" s="127"/>
      <c r="G2973" s="127"/>
      <c r="H2973" s="127"/>
      <c r="I2973" s="128"/>
      <c r="K2973" s="105" t="str">
        <f>IFERROR(__xludf.DUMMYFUNCTION("if(A2973="""","""",substitute(SUBSTITUTE(index(importhtml(""http://finviz.com/quote.ashx?t=""&amp;A2973,""table"",10),7,2),""*"",""""),""-"",""0.00""))"),"Loading...")</f>
        <v>Loading...</v>
      </c>
      <c r="L2973" s="129">
        <v>5.57126882E8</v>
      </c>
      <c r="M2973" s="99">
        <v>1.93</v>
      </c>
    </row>
    <row r="2974">
      <c r="A2974" s="122" t="s">
        <v>6376</v>
      </c>
      <c r="B2974" s="123">
        <v>891482.0</v>
      </c>
      <c r="C2974" s="124" t="s">
        <v>6377</v>
      </c>
      <c r="D2974" s="125"/>
      <c r="E2974" s="126">
        <v>4.62</v>
      </c>
      <c r="F2974" s="127"/>
      <c r="G2974" s="127"/>
      <c r="H2974" s="127"/>
      <c r="I2974" s="128"/>
      <c r="K2974" s="55" t="s">
        <v>1034</v>
      </c>
      <c r="L2974" s="129">
        <v>1.59793506E8</v>
      </c>
      <c r="M2974" s="99">
        <v>1.96</v>
      </c>
    </row>
    <row r="2975">
      <c r="A2975" s="122" t="s">
        <v>6378</v>
      </c>
      <c r="B2975" s="123">
        <v>1083743.0</v>
      </c>
      <c r="C2975" s="124" t="s">
        <v>6379</v>
      </c>
      <c r="D2975" s="125"/>
      <c r="E2975" s="126">
        <v>4.62</v>
      </c>
      <c r="F2975" s="127"/>
      <c r="G2975" s="127"/>
      <c r="H2975" s="127"/>
      <c r="I2975" s="128"/>
      <c r="K2975" s="105" t="str">
        <f>IFERROR(__xludf.DUMMYFUNCTION("if(A2975="""","""",substitute(SUBSTITUTE(index(importhtml(""http://finviz.com/quote.ashx?t=""&amp;A2975,""table"",10),7,2),""*"",""""),""-"",""0.00""))"),"Loading...")</f>
        <v>Loading...</v>
      </c>
      <c r="L2975" s="129">
        <v>7.6379085E7</v>
      </c>
      <c r="M2975" s="99">
        <v>1.27</v>
      </c>
    </row>
    <row r="2976">
      <c r="A2976" s="122" t="s">
        <v>6380</v>
      </c>
      <c r="B2976" s="123">
        <v>1600641.0</v>
      </c>
      <c r="C2976" s="124" t="s">
        <v>6381</v>
      </c>
      <c r="D2976" s="125"/>
      <c r="E2976" s="126">
        <v>4.62</v>
      </c>
      <c r="F2976" s="127"/>
      <c r="G2976" s="127"/>
      <c r="H2976" s="127"/>
      <c r="I2976" s="128"/>
      <c r="K2976" s="105" t="str">
        <f>IFERROR(__xludf.DUMMYFUNCTION("if(A2976="""","""",substitute(SUBSTITUTE(index(importhtml(""http://finviz.com/quote.ashx?t=""&amp;A2976,""table"",10),7,2),""*"",""""),""-"",""0.00""))"),"Loading...")</f>
        <v>Loading...</v>
      </c>
      <c r="L2976" s="129">
        <v>1.84713324E8</v>
      </c>
      <c r="M2976" s="99">
        <f>IFERROR(__xludf.DUMMYFUNCTION("GOOGLEFINANCE(A2976,""beta"")"),1.11)</f>
        <v>1.11</v>
      </c>
    </row>
    <row r="2977">
      <c r="A2977" s="122" t="s">
        <v>6382</v>
      </c>
      <c r="B2977" s="123">
        <v>1680873.0</v>
      </c>
      <c r="C2977" s="124" t="s">
        <v>6383</v>
      </c>
      <c r="D2977" s="125"/>
      <c r="E2977" s="126">
        <v>4.62</v>
      </c>
      <c r="F2977" s="127"/>
      <c r="G2977" s="127"/>
      <c r="H2977" s="127"/>
      <c r="I2977" s="128"/>
      <c r="K2977" s="105" t="str">
        <f>IFERROR(__xludf.DUMMYFUNCTION("if(A2977="""","""",substitute(SUBSTITUTE(index(importhtml(""http://finviz.com/quote.ashx?t=""&amp;A2977,""table"",10),7,2),""*"",""""),""-"",""0.00""))"),"Loading...")</f>
        <v>Loading...</v>
      </c>
      <c r="L2977" s="129">
        <v>2.50188701E8</v>
      </c>
      <c r="M2977" s="99">
        <v>1.85</v>
      </c>
    </row>
    <row r="2978">
      <c r="A2978" s="122" t="s">
        <v>6384</v>
      </c>
      <c r="B2978" s="123">
        <v>1881551.0</v>
      </c>
      <c r="C2978" s="124" t="s">
        <v>6385</v>
      </c>
      <c r="D2978" s="125"/>
      <c r="E2978" s="126">
        <v>4.63</v>
      </c>
      <c r="F2978" s="127"/>
      <c r="G2978" s="127"/>
      <c r="H2978" s="127"/>
      <c r="I2978" s="128"/>
      <c r="K2978" s="105" t="str">
        <f>IFERROR(__xludf.DUMMYFUNCTION("if(A2978="""","""",substitute(SUBSTITUTE(index(importhtml(""http://finviz.com/quote.ashx?t=""&amp;A2978,""table"",10),7,2),""*"",""""),""-"",""0.00""))"),"Loading...")</f>
        <v>Loading...</v>
      </c>
      <c r="L2978" s="129">
        <v>2.4936477E7</v>
      </c>
      <c r="M2978" s="99" t="str">
        <f>IFERROR(__xludf.DUMMYFUNCTION("GOOGLEFINANCE(A2978,""beta"")"),"#N/A")</f>
        <v>#N/A</v>
      </c>
    </row>
    <row r="2979">
      <c r="A2979" s="122" t="s">
        <v>6386</v>
      </c>
      <c r="B2979" s="123">
        <v>1396536.0</v>
      </c>
      <c r="C2979" s="124" t="s">
        <v>6387</v>
      </c>
      <c r="D2979" s="125"/>
      <c r="E2979" s="126">
        <v>4.63</v>
      </c>
      <c r="F2979" s="127"/>
      <c r="G2979" s="127"/>
      <c r="H2979" s="127"/>
      <c r="I2979" s="128"/>
      <c r="K2979" s="105" t="str">
        <f>IFERROR(__xludf.DUMMYFUNCTION("if(A2979="""","""",substitute(SUBSTITUTE(index(importhtml(""http://finviz.com/quote.ashx?t=""&amp;A2979,""table"",10),7,2),""*"",""""),""-"",""0.00""))"),"Loading...")</f>
        <v>Loading...</v>
      </c>
      <c r="L2979" s="129">
        <v>3.3554217E7</v>
      </c>
      <c r="M2979" s="99">
        <v>1.12</v>
      </c>
    </row>
    <row r="2980">
      <c r="A2980" s="122" t="s">
        <v>6388</v>
      </c>
      <c r="B2980" s="123">
        <v>1866550.0</v>
      </c>
      <c r="C2980" s="124" t="s">
        <v>6389</v>
      </c>
      <c r="D2980" s="125"/>
      <c r="E2980" s="126">
        <v>4.63</v>
      </c>
      <c r="F2980" s="127"/>
      <c r="G2980" s="127"/>
      <c r="H2980" s="127"/>
      <c r="I2980" s="128"/>
      <c r="K2980" s="105" t="str">
        <f>IFERROR(__xludf.DUMMYFUNCTION("if(A2980="""","""",substitute(SUBSTITUTE(index(importhtml(""http://finviz.com/quote.ashx?t=""&amp;A2980,""table"",10),7,2),""*"",""""),""-"",""0.00""))"),"Loading...")</f>
        <v>Loading...</v>
      </c>
      <c r="L2980" s="129">
        <v>1.474310101E9</v>
      </c>
      <c r="M2980" s="99" t="str">
        <f>IFERROR(__xludf.DUMMYFUNCTION("GOOGLEFINANCE(A2980,""beta"")"),"#N/A")</f>
        <v>#N/A</v>
      </c>
    </row>
    <row r="2981">
      <c r="A2981" s="122" t="s">
        <v>6390</v>
      </c>
      <c r="B2981" s="123">
        <v>1737927.0</v>
      </c>
      <c r="C2981" s="124" t="s">
        <v>6391</v>
      </c>
      <c r="D2981" s="125"/>
      <c r="E2981" s="126">
        <v>4.64</v>
      </c>
      <c r="F2981" s="127"/>
      <c r="G2981" s="127"/>
      <c r="H2981" s="127"/>
      <c r="I2981" s="128"/>
      <c r="K2981" s="55" t="s">
        <v>1034</v>
      </c>
      <c r="L2981" s="129">
        <v>5.72195436E8</v>
      </c>
      <c r="M2981" s="99">
        <v>1.27</v>
      </c>
    </row>
    <row r="2982">
      <c r="A2982" s="122" t="s">
        <v>6392</v>
      </c>
      <c r="B2982" s="123">
        <v>809173.0</v>
      </c>
      <c r="C2982" s="124" t="s">
        <v>6393</v>
      </c>
      <c r="D2982" s="125"/>
      <c r="E2982" s="126">
        <v>4.64</v>
      </c>
      <c r="F2982" s="127"/>
      <c r="G2982" s="127"/>
      <c r="H2982" s="127"/>
      <c r="I2982" s="128"/>
      <c r="K2982" s="105" t="str">
        <f>IFERROR(__xludf.DUMMYFUNCTION("if(A2982="""","""",substitute(SUBSTITUTE(index(importhtml(""http://finviz.com/quote.ashx?t=""&amp;A2982,""table"",10),7,2),""*"",""""),""-"",""0.00""))"),"Loading...")</f>
        <v>Loading...</v>
      </c>
      <c r="L2982" s="129">
        <v>2.68142297E8</v>
      </c>
      <c r="M2982" s="99">
        <v>0.68</v>
      </c>
    </row>
    <row r="2983">
      <c r="A2983" s="122" t="s">
        <v>6394</v>
      </c>
      <c r="B2983" s="123">
        <v>1842279.0</v>
      </c>
      <c r="C2983" s="124" t="s">
        <v>6395</v>
      </c>
      <c r="D2983" s="125"/>
      <c r="E2983" s="126">
        <v>4.64</v>
      </c>
      <c r="F2983" s="127"/>
      <c r="G2983" s="127"/>
      <c r="H2983" s="127"/>
      <c r="I2983" s="128"/>
      <c r="K2983" s="105" t="str">
        <f>IFERROR(__xludf.DUMMYFUNCTION("if(A2983="""","""",substitute(SUBSTITUTE(index(importhtml(""http://finviz.com/quote.ashx?t=""&amp;A2983,""table"",10),7,2),""*"",""""),""-"",""0.00""))"),"Loading...")</f>
        <v>Loading...</v>
      </c>
      <c r="L2983" s="129">
        <v>7.99816264E8</v>
      </c>
      <c r="M2983" s="99">
        <f>IFERROR(__xludf.DUMMYFUNCTION("GOOGLEFINANCE(A2983,""beta"")"),1.07)</f>
        <v>1.07</v>
      </c>
    </row>
    <row r="2984">
      <c r="A2984" s="122" t="s">
        <v>6396</v>
      </c>
      <c r="B2984" s="123">
        <v>850429.0</v>
      </c>
      <c r="C2984" s="124" t="s">
        <v>6397</v>
      </c>
      <c r="D2984" s="125"/>
      <c r="E2984" s="126">
        <v>4.65</v>
      </c>
      <c r="F2984" s="127"/>
      <c r="G2984" s="127"/>
      <c r="H2984" s="127"/>
      <c r="I2984" s="128"/>
      <c r="K2984" s="55" t="s">
        <v>6398</v>
      </c>
      <c r="L2984" s="129">
        <v>1.60000132E8</v>
      </c>
      <c r="M2984" s="99">
        <v>0.97</v>
      </c>
    </row>
    <row r="2985">
      <c r="A2985" s="122" t="s">
        <v>6399</v>
      </c>
      <c r="B2985" s="123">
        <v>1013706.0</v>
      </c>
      <c r="C2985" s="124" t="s">
        <v>6400</v>
      </c>
      <c r="D2985" s="125"/>
      <c r="E2985" s="126">
        <v>4.65</v>
      </c>
      <c r="F2985" s="127"/>
      <c r="G2985" s="127"/>
      <c r="H2985" s="127"/>
      <c r="I2985" s="128"/>
      <c r="K2985" s="105" t="str">
        <f>IFERROR(__xludf.DUMMYFUNCTION("if(A2985="""","""",substitute(SUBSTITUTE(index(importhtml(""http://finviz.com/quote.ashx?t=""&amp;A2985,""table"",10),7,2),""*"",""""),""-"",""0.00""))"),"Loading...")</f>
        <v>Loading...</v>
      </c>
      <c r="L2985" s="129">
        <v>2.3981645E7</v>
      </c>
      <c r="M2985" s="99">
        <v>0.5</v>
      </c>
    </row>
    <row r="2986">
      <c r="A2986" s="122" t="s">
        <v>6401</v>
      </c>
      <c r="B2986" s="123">
        <v>1623526.0</v>
      </c>
      <c r="C2986" s="124" t="s">
        <v>6402</v>
      </c>
      <c r="D2986" s="125"/>
      <c r="E2986" s="126">
        <v>4.66</v>
      </c>
      <c r="F2986" s="127"/>
      <c r="G2986" s="127"/>
      <c r="H2986" s="127"/>
      <c r="I2986" s="128"/>
      <c r="K2986" s="105" t="str">
        <f>IFERROR(__xludf.DUMMYFUNCTION("if(A2986="""","""",substitute(SUBSTITUTE(index(importhtml(""http://finviz.com/quote.ashx?t=""&amp;A2986,""table"",10),7,2),""*"",""""),""-"",""0.00""))"),"Loading...")</f>
        <v>Loading...</v>
      </c>
      <c r="L2986" s="129">
        <v>2.07863355E8</v>
      </c>
      <c r="M2986" s="99">
        <v>0.52</v>
      </c>
    </row>
    <row r="2987">
      <c r="A2987" s="122" t="s">
        <v>6403</v>
      </c>
      <c r="B2987" s="123">
        <v>1010086.0</v>
      </c>
      <c r="C2987" s="124" t="s">
        <v>6404</v>
      </c>
      <c r="D2987" s="125"/>
      <c r="E2987" s="126">
        <v>4.66</v>
      </c>
      <c r="F2987" s="127"/>
      <c r="G2987" s="127"/>
      <c r="H2987" s="127"/>
      <c r="I2987" s="128"/>
      <c r="K2987" s="105" t="str">
        <f>IFERROR(__xludf.DUMMYFUNCTION("if(A2987="""","""",substitute(SUBSTITUTE(index(importhtml(""http://finviz.com/quote.ashx?t=""&amp;A2987,""table"",10),7,2),""*"",""""),""-"",""0.00""))"),"Loading...")</f>
        <v>Loading...</v>
      </c>
      <c r="L2987" s="129">
        <v>3.31286891E8</v>
      </c>
      <c r="M2987" s="99">
        <v>0.84</v>
      </c>
    </row>
    <row r="2988">
      <c r="A2988" s="122" t="s">
        <v>6405</v>
      </c>
      <c r="B2988" s="123">
        <v>1093691.0</v>
      </c>
      <c r="C2988" s="124" t="s">
        <v>6406</v>
      </c>
      <c r="D2988" s="125"/>
      <c r="E2988" s="126">
        <v>4.66</v>
      </c>
      <c r="F2988" s="127"/>
      <c r="G2988" s="127"/>
      <c r="H2988" s="127"/>
      <c r="I2988" s="128"/>
      <c r="K2988" s="105" t="str">
        <f>IFERROR(__xludf.DUMMYFUNCTION("if(A2988="""","""",substitute(SUBSTITUTE(index(importhtml(""http://finviz.com/quote.ashx?t=""&amp;A2988,""table"",10),7,2),""*"",""""),""-"",""0.00""))"),"Loading...")</f>
        <v>Loading...</v>
      </c>
      <c r="L2988" s="129">
        <v>2.821640625E9</v>
      </c>
      <c r="M2988" s="99">
        <v>1.67</v>
      </c>
    </row>
    <row r="2989">
      <c r="A2989" s="122" t="s">
        <v>6407</v>
      </c>
      <c r="B2989" s="123">
        <v>1810997.0</v>
      </c>
      <c r="C2989" s="124" t="s">
        <v>6408</v>
      </c>
      <c r="D2989" s="125"/>
      <c r="E2989" s="126">
        <v>4.66</v>
      </c>
      <c r="F2989" s="127"/>
      <c r="G2989" s="127"/>
      <c r="H2989" s="127"/>
      <c r="I2989" s="128"/>
      <c r="K2989" s="105" t="str">
        <f>IFERROR(__xludf.DUMMYFUNCTION("if(A2989="""","""",substitute(SUBSTITUTE(index(importhtml(""http://finviz.com/quote.ashx?t=""&amp;A2989,""table"",10),7,2),""*"",""""),""-"",""0.00""))"),"Loading...")</f>
        <v>Loading...</v>
      </c>
      <c r="L2989" s="129">
        <v>7.726516038E9</v>
      </c>
      <c r="M2989" s="99" t="str">
        <f>IFERROR(__xludf.DUMMYFUNCTION("GOOGLEFINANCE(A2989,""beta"")"),"#N/A")</f>
        <v>#N/A</v>
      </c>
    </row>
    <row r="2990">
      <c r="A2990" s="122" t="s">
        <v>6409</v>
      </c>
      <c r="B2990" s="123">
        <v>1043186.0</v>
      </c>
      <c r="C2990" s="124" t="s">
        <v>6410</v>
      </c>
      <c r="D2990" s="125"/>
      <c r="E2990" s="126">
        <v>4.67</v>
      </c>
      <c r="F2990" s="127"/>
      <c r="G2990" s="127"/>
      <c r="H2990" s="127"/>
      <c r="I2990" s="128"/>
      <c r="K2990" s="105" t="str">
        <f>IFERROR(__xludf.DUMMYFUNCTION("if(A2990="""","""",substitute(SUBSTITUTE(index(importhtml(""http://finviz.com/quote.ashx?t=""&amp;A2990,""table"",10),7,2),""*"",""""),""-"",""0.00""))"),"Loading...")</f>
        <v>Loading...</v>
      </c>
      <c r="L2990" s="129">
        <v>8.6737732E7</v>
      </c>
      <c r="M2990" s="99">
        <v>0.76</v>
      </c>
    </row>
    <row r="2991">
      <c r="A2991" s="122" t="s">
        <v>6411</v>
      </c>
      <c r="B2991" s="123">
        <v>319655.0</v>
      </c>
      <c r="C2991" s="124" t="s">
        <v>6412</v>
      </c>
      <c r="D2991" s="125"/>
      <c r="E2991" s="126">
        <v>4.67</v>
      </c>
      <c r="F2991" s="127"/>
      <c r="G2991" s="127"/>
      <c r="H2991" s="127"/>
      <c r="I2991" s="128"/>
      <c r="K2991" s="105" t="str">
        <f>IFERROR(__xludf.DUMMYFUNCTION("if(A2991="""","""",substitute(SUBSTITUTE(index(importhtml(""http://finviz.com/quote.ashx?t=""&amp;A2991,""table"",10),7,2),""*"",""""),""-"",""0.00""))"),"Loading...")</f>
        <v>Loading...</v>
      </c>
      <c r="L2991" s="129">
        <v>2.17663052E8</v>
      </c>
      <c r="M2991" s="99">
        <v>0.75</v>
      </c>
    </row>
    <row r="2992">
      <c r="A2992" s="122" t="s">
        <v>6413</v>
      </c>
      <c r="B2992" s="123">
        <v>1626745.0</v>
      </c>
      <c r="C2992" s="124" t="s">
        <v>6414</v>
      </c>
      <c r="D2992" s="125"/>
      <c r="E2992" s="126">
        <v>4.68</v>
      </c>
      <c r="F2992" s="127"/>
      <c r="G2992" s="127"/>
      <c r="H2992" s="127"/>
      <c r="I2992" s="128"/>
      <c r="K2992" s="105" t="str">
        <f>IFERROR(__xludf.DUMMYFUNCTION("if(A2992="""","""",substitute(SUBSTITUTE(index(importhtml(""http://finviz.com/quote.ashx?t=""&amp;A2992,""table"",10),7,2),""*"",""""),""-"",""0.00""))"),"Loading...")</f>
        <v>Loading...</v>
      </c>
      <c r="L2992" s="129">
        <v>7.3265537E7</v>
      </c>
      <c r="M2992" s="99">
        <v>0.2</v>
      </c>
    </row>
    <row r="2993">
      <c r="A2993" s="122" t="s">
        <v>6415</v>
      </c>
      <c r="B2993" s="123">
        <v>1327273.0</v>
      </c>
      <c r="C2993" s="124" t="s">
        <v>6416</v>
      </c>
      <c r="D2993" s="125"/>
      <c r="E2993" s="126">
        <v>4.68</v>
      </c>
      <c r="F2993" s="127"/>
      <c r="G2993" s="127"/>
      <c r="H2993" s="127"/>
      <c r="I2993" s="128"/>
      <c r="K2993" s="105" t="str">
        <f>IFERROR(__xludf.DUMMYFUNCTION("if(A2993="""","""",substitute(SUBSTITUTE(index(importhtml(""http://finviz.com/quote.ashx?t=""&amp;A2993,""table"",10),7,2),""*"",""""),""-"",""0.00""))"),"Loading...")</f>
        <v>Loading...</v>
      </c>
      <c r="L2993" s="129">
        <v>2.45995439E8</v>
      </c>
      <c r="M2993" s="99">
        <v>0.15</v>
      </c>
    </row>
    <row r="2994">
      <c r="A2994" s="122" t="s">
        <v>6417</v>
      </c>
      <c r="B2994" s="123">
        <v>1913577.0</v>
      </c>
      <c r="C2994" s="124" t="s">
        <v>6418</v>
      </c>
      <c r="D2994" s="125"/>
      <c r="E2994" s="126">
        <v>4.69</v>
      </c>
      <c r="F2994" s="127"/>
      <c r="G2994" s="127"/>
      <c r="H2994" s="127"/>
      <c r="I2994" s="128"/>
      <c r="K2994" s="105" t="str">
        <f>IFERROR(__xludf.DUMMYFUNCTION("if(A2994="""","""",substitute(SUBSTITUTE(index(importhtml(""http://finviz.com/quote.ashx?t=""&amp;A2994,""table"",10),7,2),""*"",""""),""-"",""0.00""))"),"Loading...")</f>
        <v>Loading...</v>
      </c>
      <c r="L2994" s="129">
        <v>3.3347443E7</v>
      </c>
      <c r="M2994" s="99" t="str">
        <f>IFERROR(__xludf.DUMMYFUNCTION("GOOGLEFINANCE(A2994,""beta"")"),"#N/A")</f>
        <v>#N/A</v>
      </c>
    </row>
    <row r="2995">
      <c r="A2995" s="122" t="s">
        <v>6419</v>
      </c>
      <c r="B2995" s="123">
        <v>1144879.0</v>
      </c>
      <c r="C2995" s="124" t="s">
        <v>6420</v>
      </c>
      <c r="D2995" s="125"/>
      <c r="E2995" s="126">
        <v>4.69</v>
      </c>
      <c r="F2995" s="127"/>
      <c r="G2995" s="127"/>
      <c r="H2995" s="127"/>
      <c r="I2995" s="128"/>
      <c r="K2995" s="105" t="str">
        <f>IFERROR(__xludf.DUMMYFUNCTION("if(A2995="""","""",substitute(SUBSTITUTE(index(importhtml(""http://finviz.com/quote.ashx?t=""&amp;A2995,""table"",10),7,2),""*"",""""),""-"",""0.00""))"),"Loading...")</f>
        <v>Loading...</v>
      </c>
      <c r="L2995" s="129">
        <v>5.72389649E8</v>
      </c>
      <c r="M2995" s="99">
        <v>4.09</v>
      </c>
    </row>
    <row r="2996">
      <c r="A2996" s="122" t="s">
        <v>6421</v>
      </c>
      <c r="B2996" s="123">
        <v>1832038.0</v>
      </c>
      <c r="C2996" s="124" t="s">
        <v>6422</v>
      </c>
      <c r="D2996" s="125"/>
      <c r="E2996" s="126">
        <v>4.7</v>
      </c>
      <c r="F2996" s="127"/>
      <c r="G2996" s="127"/>
      <c r="H2996" s="127"/>
      <c r="I2996" s="128"/>
      <c r="K2996" s="105" t="str">
        <f>IFERROR(__xludf.DUMMYFUNCTION("if(A2996="""","""",substitute(SUBSTITUTE(index(importhtml(""http://finviz.com/quote.ashx?t=""&amp;A2996,""table"",10),7,2),""*"",""""),""-"",""0.00""))"),"Loading...")</f>
        <v>Loading...</v>
      </c>
      <c r="L2996" s="129">
        <v>5.17540008E8</v>
      </c>
      <c r="M2996" s="99">
        <f>IFERROR(__xludf.DUMMYFUNCTION("GOOGLEFINANCE(A2996,""beta"")"),0.64)</f>
        <v>0.64</v>
      </c>
    </row>
    <row r="2997">
      <c r="A2997" s="122" t="s">
        <v>6423</v>
      </c>
      <c r="B2997" s="123">
        <v>1884516.0</v>
      </c>
      <c r="C2997" s="124" t="s">
        <v>6424</v>
      </c>
      <c r="D2997" s="125"/>
      <c r="E2997" s="126">
        <v>4.7</v>
      </c>
      <c r="F2997" s="127"/>
      <c r="G2997" s="127"/>
      <c r="H2997" s="127"/>
      <c r="I2997" s="128"/>
      <c r="K2997" s="105" t="str">
        <f>IFERROR(__xludf.DUMMYFUNCTION("if(A2997="""","""",substitute(SUBSTITUTE(index(importhtml(""http://finviz.com/quote.ashx?t=""&amp;A2997,""table"",10),7,2),""*"",""""),""-"",""0.00""))"),"Loading...")</f>
        <v>Loading...</v>
      </c>
      <c r="L2997" s="129" t="e">
        <v>#N/A</v>
      </c>
      <c r="M2997" s="99" t="str">
        <f>IFERROR(__xludf.DUMMYFUNCTION("GOOGLEFINANCE(A2997,""beta"")"),"#N/A")</f>
        <v>#N/A</v>
      </c>
    </row>
    <row r="2998">
      <c r="A2998" s="122" t="s">
        <v>6425</v>
      </c>
      <c r="B2998" s="123">
        <v>1420565.0</v>
      </c>
      <c r="C2998" s="124" t="s">
        <v>6426</v>
      </c>
      <c r="D2998" s="125"/>
      <c r="E2998" s="126">
        <v>4.71</v>
      </c>
      <c r="F2998" s="127"/>
      <c r="G2998" s="127"/>
      <c r="H2998" s="127"/>
      <c r="I2998" s="128"/>
      <c r="K2998" s="105" t="str">
        <f>IFERROR(__xludf.DUMMYFUNCTION("if(A2998="""","""",substitute(SUBSTITUTE(index(importhtml(""http://finviz.com/quote.ashx?t=""&amp;A2998,""table"",10),7,2),""*"",""""),""-"",""0.00""))"),"Loading...")</f>
        <v>Loading...</v>
      </c>
      <c r="L2998" s="129">
        <v>2.3021853E7</v>
      </c>
      <c r="M2998" s="99">
        <v>2.24</v>
      </c>
    </row>
    <row r="2999">
      <c r="A2999" s="122" t="s">
        <v>6427</v>
      </c>
      <c r="B2999" s="123">
        <v>872912.0</v>
      </c>
      <c r="C2999" s="124" t="s">
        <v>6428</v>
      </c>
      <c r="D2999" s="125"/>
      <c r="E2999" s="126">
        <v>4.71</v>
      </c>
      <c r="F2999" s="127"/>
      <c r="G2999" s="127"/>
      <c r="H2999" s="127"/>
      <c r="I2999" s="128"/>
      <c r="K2999" s="105" t="str">
        <f>IFERROR(__xludf.DUMMYFUNCTION("if(A2999="""","""",substitute(SUBSTITUTE(index(importhtml(""http://finviz.com/quote.ashx?t=""&amp;A2999,""table"",10),7,2),""*"",""""),""-"",""0.00""))"),"Loading...")</f>
        <v>Loading...</v>
      </c>
      <c r="L2999" s="129">
        <v>1.03726898E8</v>
      </c>
      <c r="M2999" s="99">
        <v>0.32</v>
      </c>
    </row>
    <row r="3000">
      <c r="A3000" s="122" t="s">
        <v>6429</v>
      </c>
      <c r="B3000" s="123">
        <v>1851112.0</v>
      </c>
      <c r="C3000" s="124" t="s">
        <v>6430</v>
      </c>
      <c r="D3000" s="125"/>
      <c r="E3000" s="126">
        <v>4.71</v>
      </c>
      <c r="F3000" s="127"/>
      <c r="G3000" s="127"/>
      <c r="H3000" s="127"/>
      <c r="I3000" s="128"/>
      <c r="K3000" s="105" t="str">
        <f>IFERROR(__xludf.DUMMYFUNCTION("if(A3000="""","""",substitute(SUBSTITUTE(index(importhtml(""http://finviz.com/quote.ashx?t=""&amp;A3000,""table"",10),7,2),""*"",""""),""-"",""0.00""))"),"Loading...")</f>
        <v>Loading...</v>
      </c>
      <c r="L3000" s="129">
        <v>8.39673372E8</v>
      </c>
      <c r="M3000" s="99">
        <f>IFERROR(__xludf.DUMMYFUNCTION("GOOGLEFINANCE(A3000,""beta"")"),1.36)</f>
        <v>1.36</v>
      </c>
    </row>
    <row r="3001">
      <c r="A3001" s="122" t="s">
        <v>6431</v>
      </c>
      <c r="B3001" s="123">
        <v>1080340.0</v>
      </c>
      <c r="C3001" s="124" t="s">
        <v>6432</v>
      </c>
      <c r="D3001" s="125"/>
      <c r="E3001" s="126">
        <v>4.72</v>
      </c>
      <c r="F3001" s="127"/>
      <c r="G3001" s="127"/>
      <c r="H3001" s="127"/>
      <c r="I3001" s="128"/>
      <c r="K3001" s="105" t="str">
        <f>IFERROR(__xludf.DUMMYFUNCTION("if(A3001="""","""",substitute(SUBSTITUTE(index(importhtml(""http://finviz.com/quote.ashx?t=""&amp;A3001,""table"",10),7,2),""*"",""""),""-"",""0.00""))"),"Loading...")</f>
        <v>Loading...</v>
      </c>
      <c r="L3001" s="129">
        <v>5.4042015E7</v>
      </c>
      <c r="M3001" s="99">
        <v>0.62</v>
      </c>
    </row>
    <row r="3002">
      <c r="A3002" s="122" t="s">
        <v>6433</v>
      </c>
      <c r="B3002" s="123">
        <v>1401667.0</v>
      </c>
      <c r="C3002" s="124" t="s">
        <v>6434</v>
      </c>
      <c r="D3002" s="125"/>
      <c r="E3002" s="126">
        <v>4.72</v>
      </c>
      <c r="F3002" s="127"/>
      <c r="G3002" s="127"/>
      <c r="H3002" s="127"/>
      <c r="I3002" s="128"/>
      <c r="K3002" s="105" t="str">
        <f>IFERROR(__xludf.DUMMYFUNCTION("if(A3002="""","""",substitute(SUBSTITUTE(index(importhtml(""http://finviz.com/quote.ashx?t=""&amp;A3002,""table"",10),7,2),""*"",""""),""-"",""0.00""))"),"Loading...")</f>
        <v>Loading...</v>
      </c>
      <c r="L3002" s="129">
        <v>2.2453662E8</v>
      </c>
      <c r="M3002" s="99">
        <v>1.25</v>
      </c>
    </row>
    <row r="3003">
      <c r="A3003" s="122" t="s">
        <v>6435</v>
      </c>
      <c r="B3003" s="123">
        <v>1826457.0</v>
      </c>
      <c r="C3003" s="124" t="s">
        <v>6436</v>
      </c>
      <c r="D3003" s="125"/>
      <c r="E3003" s="126">
        <v>4.72</v>
      </c>
      <c r="F3003" s="127"/>
      <c r="G3003" s="127"/>
      <c r="H3003" s="127"/>
      <c r="I3003" s="128"/>
      <c r="K3003" s="105" t="str">
        <f>IFERROR(__xludf.DUMMYFUNCTION("if(A3003="""","""",substitute(SUBSTITUTE(index(importhtml(""http://finviz.com/quote.ashx?t=""&amp;A3003,""table"",10),7,2),""*"",""""),""-"",""0.00""))"),"Loading...")</f>
        <v>Loading...</v>
      </c>
      <c r="L3003" s="129">
        <v>2.36382451E8</v>
      </c>
      <c r="M3003" s="99">
        <f>IFERROR(__xludf.DUMMYFUNCTION("GOOGLEFINANCE(A3003,""beta"")"),1.62)</f>
        <v>1.62</v>
      </c>
    </row>
    <row r="3004">
      <c r="A3004" s="122" t="s">
        <v>6437</v>
      </c>
      <c r="B3004" s="123">
        <v>1517399.0</v>
      </c>
      <c r="C3004" s="124" t="s">
        <v>6438</v>
      </c>
      <c r="D3004" s="125"/>
      <c r="E3004" s="126">
        <v>4.72</v>
      </c>
      <c r="F3004" s="127"/>
      <c r="G3004" s="127"/>
      <c r="H3004" s="127"/>
      <c r="I3004" s="128"/>
      <c r="K3004" s="105" t="str">
        <f>IFERROR(__xludf.DUMMYFUNCTION("if(A3004="""","""",substitute(SUBSTITUTE(index(importhtml(""http://finviz.com/quote.ashx?t=""&amp;A3004,""table"",10),7,2),""*"",""""),""-"",""0.00""))"),"Loading...")</f>
        <v>Loading...</v>
      </c>
      <c r="L3004" s="129">
        <v>5.78202806E8</v>
      </c>
      <c r="M3004" s="99">
        <v>2.06</v>
      </c>
    </row>
    <row r="3005">
      <c r="A3005" s="122" t="s">
        <v>6439</v>
      </c>
      <c r="B3005" s="123">
        <v>809559.0</v>
      </c>
      <c r="C3005" s="124" t="s">
        <v>6440</v>
      </c>
      <c r="D3005" s="125"/>
      <c r="E3005" s="126">
        <v>4.73</v>
      </c>
      <c r="F3005" s="127"/>
      <c r="G3005" s="127"/>
      <c r="H3005" s="127"/>
      <c r="I3005" s="128"/>
      <c r="K3005" s="105" t="str">
        <f>IFERROR(__xludf.DUMMYFUNCTION("if(A3005="""","""",substitute(SUBSTITUTE(index(importhtml(""http://finviz.com/quote.ashx?t=""&amp;A3005,""table"",10),7,2),""*"",""""),""-"",""0.00""))"),"Loading...")</f>
        <v>Loading...</v>
      </c>
      <c r="L3005" s="129">
        <v>2.26025132E8</v>
      </c>
      <c r="M3005" s="99">
        <v>0.31</v>
      </c>
    </row>
    <row r="3006">
      <c r="A3006" s="122" t="s">
        <v>6441</v>
      </c>
      <c r="B3006" s="123">
        <v>1500881.0</v>
      </c>
      <c r="C3006" s="124" t="s">
        <v>6442</v>
      </c>
      <c r="D3006" s="125"/>
      <c r="E3006" s="126">
        <v>4.74</v>
      </c>
      <c r="F3006" s="127"/>
      <c r="G3006" s="127"/>
      <c r="H3006" s="127"/>
      <c r="I3006" s="128"/>
      <c r="K3006" s="55" t="s">
        <v>1034</v>
      </c>
      <c r="L3006" s="129">
        <v>1.061364495E9</v>
      </c>
      <c r="M3006" s="99">
        <v>1.49</v>
      </c>
    </row>
    <row r="3007">
      <c r="A3007" s="122" t="s">
        <v>6443</v>
      </c>
      <c r="B3007" s="123">
        <v>1567264.0</v>
      </c>
      <c r="C3007" s="124" t="s">
        <v>6444</v>
      </c>
      <c r="D3007" s="125"/>
      <c r="E3007" s="126">
        <v>4.74</v>
      </c>
      <c r="F3007" s="127"/>
      <c r="G3007" s="127"/>
      <c r="H3007" s="127"/>
      <c r="I3007" s="128"/>
      <c r="K3007" s="105" t="str">
        <f>IFERROR(__xludf.DUMMYFUNCTION("if(A3007="""","""",substitute(SUBSTITUTE(index(importhtml(""http://finviz.com/quote.ashx?t=""&amp;A3007,""table"",10),7,2),""*"",""""),""-"",""0.00""))"),"Loading...")</f>
        <v>Loading...</v>
      </c>
      <c r="L3007" s="129">
        <v>6.498241E7</v>
      </c>
      <c r="M3007" s="99" t="str">
        <f>IFERROR(__xludf.DUMMYFUNCTION("GOOGLEFINANCE(A3007,""beta"")"),"#N/A")</f>
        <v>#N/A</v>
      </c>
    </row>
    <row r="3008">
      <c r="A3008" s="122" t="s">
        <v>6445</v>
      </c>
      <c r="B3008" s="123">
        <v>1830033.0</v>
      </c>
      <c r="C3008" s="124" t="s">
        <v>6446</v>
      </c>
      <c r="D3008" s="125"/>
      <c r="E3008" s="126">
        <v>4.75</v>
      </c>
      <c r="F3008" s="127"/>
      <c r="G3008" s="127"/>
      <c r="H3008" s="127"/>
      <c r="I3008" s="128"/>
      <c r="K3008" s="105" t="str">
        <f>IFERROR(__xludf.DUMMYFUNCTION("if(A3008="""","""",substitute(SUBSTITUTE(index(importhtml(""http://finviz.com/quote.ashx?t=""&amp;A3008,""table"",10),7,2),""*"",""""),""-"",""0.00""))"),"Loading...")</f>
        <v>Loading...</v>
      </c>
      <c r="L3008" s="129">
        <v>6.61159013E8</v>
      </c>
      <c r="M3008" s="99">
        <v>0.63</v>
      </c>
    </row>
    <row r="3009">
      <c r="A3009" s="122" t="s">
        <v>6447</v>
      </c>
      <c r="B3009" s="123">
        <v>1492674.0</v>
      </c>
      <c r="C3009" s="124" t="s">
        <v>6448</v>
      </c>
      <c r="D3009" s="125"/>
      <c r="E3009" s="126">
        <v>4.76</v>
      </c>
      <c r="F3009" s="127"/>
      <c r="G3009" s="127"/>
      <c r="H3009" s="127"/>
      <c r="I3009" s="128"/>
      <c r="K3009" s="105" t="str">
        <f>IFERROR(__xludf.DUMMYFUNCTION("if(A3009="""","""",substitute(SUBSTITUTE(index(importhtml(""http://finviz.com/quote.ashx?t=""&amp;A3009,""table"",10),7,2),""*"",""""),""-"",""0.00""))"),"Loading...")</f>
        <v>Loading...</v>
      </c>
      <c r="L3009" s="129">
        <v>1.92794E7</v>
      </c>
      <c r="M3009" s="99">
        <v>0.13</v>
      </c>
    </row>
    <row r="3010">
      <c r="A3010" s="122" t="s">
        <v>6449</v>
      </c>
      <c r="B3010" s="123">
        <v>1691445.0</v>
      </c>
      <c r="C3010" s="124" t="s">
        <v>6450</v>
      </c>
      <c r="D3010" s="125"/>
      <c r="E3010" s="126">
        <v>4.76</v>
      </c>
      <c r="F3010" s="127"/>
      <c r="G3010" s="127"/>
      <c r="H3010" s="127"/>
      <c r="I3010" s="128"/>
      <c r="K3010" s="105" t="str">
        <f>IFERROR(__xludf.DUMMYFUNCTION("if(A3010="""","""",substitute(SUBSTITUTE(index(importhtml(""http://finviz.com/quote.ashx?t=""&amp;A3010,""table"",10),7,2),""*"",""""),""-"",""0.00""))"),"Loading...")</f>
        <v>Loading...</v>
      </c>
      <c r="L3010" s="129">
        <v>1.3333646E9</v>
      </c>
      <c r="M3010" s="99">
        <v>0.57</v>
      </c>
    </row>
    <row r="3011">
      <c r="A3011" s="122" t="s">
        <v>6451</v>
      </c>
      <c r="B3011" s="123">
        <v>1359841.0</v>
      </c>
      <c r="C3011" s="124" t="s">
        <v>6452</v>
      </c>
      <c r="D3011" s="125"/>
      <c r="E3011" s="126">
        <v>4.76</v>
      </c>
      <c r="F3011" s="127"/>
      <c r="G3011" s="127"/>
      <c r="H3011" s="127"/>
      <c r="I3011" s="128"/>
      <c r="K3011" s="105" t="str">
        <f>IFERROR(__xludf.DUMMYFUNCTION("if(A3011="""","""",substitute(SUBSTITUTE(index(importhtml(""http://finviz.com/quote.ashx?t=""&amp;A3011,""table"",10),7,2),""*"",""""),""-"",""0.00""))"),"Loading...")</f>
        <v>Loading...</v>
      </c>
      <c r="L3011" s="129">
        <v>1.66619286E9</v>
      </c>
      <c r="M3011" s="99">
        <v>1.57</v>
      </c>
    </row>
    <row r="3012">
      <c r="A3012" s="122" t="s">
        <v>6453</v>
      </c>
      <c r="B3012" s="123">
        <v>1409493.0</v>
      </c>
      <c r="C3012" s="124" t="s">
        <v>6454</v>
      </c>
      <c r="D3012" s="125"/>
      <c r="E3012" s="126">
        <v>4.77</v>
      </c>
      <c r="F3012" s="127"/>
      <c r="G3012" s="127"/>
      <c r="H3012" s="127"/>
      <c r="I3012" s="128"/>
      <c r="K3012" s="55" t="s">
        <v>6455</v>
      </c>
      <c r="L3012" s="129">
        <v>1.06804997E9</v>
      </c>
      <c r="M3012" s="99">
        <v>1.67</v>
      </c>
    </row>
    <row r="3013">
      <c r="A3013" s="122" t="s">
        <v>6456</v>
      </c>
      <c r="B3013" s="123">
        <v>1411685.0</v>
      </c>
      <c r="C3013" s="124" t="s">
        <v>6457</v>
      </c>
      <c r="D3013" s="125"/>
      <c r="E3013" s="126">
        <v>4.77</v>
      </c>
      <c r="F3013" s="127"/>
      <c r="G3013" s="127"/>
      <c r="H3013" s="127"/>
      <c r="I3013" s="128"/>
      <c r="K3013" s="105" t="str">
        <f>IFERROR(__xludf.DUMMYFUNCTION("if(A3013="""","""",substitute(SUBSTITUTE(index(importhtml(""http://finviz.com/quote.ashx?t=""&amp;A3013,""table"",10),7,2),""*"",""""),""-"",""0.00""))"),"Loading...")</f>
        <v>Loading...</v>
      </c>
      <c r="L3013" s="129">
        <v>1.288999E8</v>
      </c>
      <c r="M3013" s="99">
        <v>0.74</v>
      </c>
    </row>
    <row r="3014">
      <c r="A3014" s="122" t="s">
        <v>6458</v>
      </c>
      <c r="B3014" s="123">
        <v>1007587.0</v>
      </c>
      <c r="C3014" s="124" t="s">
        <v>6459</v>
      </c>
      <c r="D3014" s="125"/>
      <c r="E3014" s="126">
        <v>4.78</v>
      </c>
      <c r="F3014" s="127"/>
      <c r="G3014" s="127"/>
      <c r="H3014" s="127"/>
      <c r="I3014" s="128"/>
      <c r="K3014" s="105" t="str">
        <f>IFERROR(__xludf.DUMMYFUNCTION("if(A3014="""","""",substitute(SUBSTITUTE(index(importhtml(""http://finviz.com/quote.ashx?t=""&amp;A3014,""table"",10),7,2),""*"",""""),""-"",""0.00""))"),"Loading...")</f>
        <v>Loading...</v>
      </c>
      <c r="L3014" s="129">
        <v>9.3739532E7</v>
      </c>
      <c r="M3014" s="99">
        <v>0.64</v>
      </c>
    </row>
    <row r="3015">
      <c r="A3015" s="122" t="s">
        <v>6460</v>
      </c>
      <c r="B3015" s="123">
        <v>1540013.0</v>
      </c>
      <c r="C3015" s="124" t="s">
        <v>6461</v>
      </c>
      <c r="D3015" s="125"/>
      <c r="E3015" s="126">
        <v>4.79</v>
      </c>
      <c r="F3015" s="127"/>
      <c r="G3015" s="127"/>
      <c r="H3015" s="127"/>
      <c r="I3015" s="128"/>
      <c r="K3015" s="105" t="str">
        <f>IFERROR(__xludf.DUMMYFUNCTION("if(A3015="""","""",substitute(SUBSTITUTE(index(importhtml(""http://finviz.com/quote.ashx?t=""&amp;A3015,""table"",10),7,2),""*"",""""),""-"",""0.00""))"),"Loading...")</f>
        <v>Loading...</v>
      </c>
      <c r="L3015" s="129">
        <v>2.72402972E8</v>
      </c>
      <c r="M3015" s="99">
        <v>0.87</v>
      </c>
    </row>
    <row r="3016">
      <c r="A3016" s="122" t="s">
        <v>6462</v>
      </c>
      <c r="B3016" s="123">
        <v>1622229.0</v>
      </c>
      <c r="C3016" s="124" t="s">
        <v>6463</v>
      </c>
      <c r="D3016" s="125"/>
      <c r="E3016" s="126">
        <v>4.8</v>
      </c>
      <c r="F3016" s="127"/>
      <c r="G3016" s="127"/>
      <c r="H3016" s="127"/>
      <c r="I3016" s="128"/>
      <c r="K3016" s="105" t="str">
        <f>IFERROR(__xludf.DUMMYFUNCTION("if(A3016="""","""",substitute(SUBSTITUTE(index(importhtml(""http://finviz.com/quote.ashx?t=""&amp;A3016,""table"",10),7,2),""*"",""""),""-"",""0.00""))"),"Loading...")</f>
        <v>Loading...</v>
      </c>
      <c r="L3016" s="129">
        <v>4.13396368E8</v>
      </c>
      <c r="M3016" s="99">
        <v>1.4</v>
      </c>
    </row>
    <row r="3017">
      <c r="A3017" s="122" t="s">
        <v>6464</v>
      </c>
      <c r="B3017" s="123">
        <v>910638.0</v>
      </c>
      <c r="C3017" s="124" t="s">
        <v>6465</v>
      </c>
      <c r="D3017" s="125"/>
      <c r="E3017" s="126">
        <v>4.81</v>
      </c>
      <c r="F3017" s="127"/>
      <c r="G3017" s="127"/>
      <c r="H3017" s="127"/>
      <c r="I3017" s="128"/>
      <c r="K3017" s="55" t="s">
        <v>1034</v>
      </c>
      <c r="L3017" s="129">
        <v>6.41817532E8</v>
      </c>
      <c r="M3017" s="99">
        <v>1.8</v>
      </c>
    </row>
    <row r="3018">
      <c r="A3018" s="122" t="s">
        <v>6466</v>
      </c>
      <c r="B3018" s="123">
        <v>1094038.0</v>
      </c>
      <c r="C3018" s="124" t="s">
        <v>6467</v>
      </c>
      <c r="D3018" s="125"/>
      <c r="E3018" s="126">
        <v>4.82</v>
      </c>
      <c r="F3018" s="127"/>
      <c r="G3018" s="127"/>
      <c r="H3018" s="127"/>
      <c r="I3018" s="128"/>
      <c r="K3018" s="105" t="str">
        <f>IFERROR(__xludf.DUMMYFUNCTION("if(A3018="""","""",substitute(SUBSTITUTE(index(importhtml(""http://finviz.com/quote.ashx?t=""&amp;A3018,""table"",10),7,2),""*"",""""),""-"",""0.00""))"),"Loading...")</f>
        <v>Loading...</v>
      </c>
      <c r="L3018" s="129">
        <v>4.2798907E7</v>
      </c>
      <c r="M3018" s="99">
        <v>1.57</v>
      </c>
    </row>
    <row r="3019">
      <c r="A3019" s="122" t="s">
        <v>6468</v>
      </c>
      <c r="B3019" s="123">
        <v>1299969.0</v>
      </c>
      <c r="C3019" s="124" t="s">
        <v>6469</v>
      </c>
      <c r="D3019" s="125"/>
      <c r="E3019" s="126">
        <v>4.82</v>
      </c>
      <c r="F3019" s="127"/>
      <c r="G3019" s="127"/>
      <c r="H3019" s="127"/>
      <c r="I3019" s="128"/>
      <c r="K3019" s="105" t="str">
        <f>IFERROR(__xludf.DUMMYFUNCTION("if(A3019="""","""",substitute(SUBSTITUTE(index(importhtml(""http://finviz.com/quote.ashx?t=""&amp;A3019,""table"",10),7,2),""*"",""""),""-"",""0.00""))"),"Loading...")</f>
        <v>Loading...</v>
      </c>
      <c r="L3019" s="129">
        <v>4.6522439E7</v>
      </c>
      <c r="M3019" s="99">
        <v>0.85</v>
      </c>
    </row>
    <row r="3020">
      <c r="A3020" s="122" t="s">
        <v>6470</v>
      </c>
      <c r="B3020" s="123">
        <v>1867066.0</v>
      </c>
      <c r="C3020" s="124" t="s">
        <v>6471</v>
      </c>
      <c r="D3020" s="125"/>
      <c r="E3020" s="126">
        <v>4.82</v>
      </c>
      <c r="F3020" s="127"/>
      <c r="G3020" s="127"/>
      <c r="H3020" s="127"/>
      <c r="I3020" s="128"/>
      <c r="K3020" s="105" t="str">
        <f>IFERROR(__xludf.DUMMYFUNCTION("if(A3020="""","""",substitute(SUBSTITUTE(index(importhtml(""http://finviz.com/quote.ashx?t=""&amp;A3020,""table"",10),7,2),""*"",""""),""-"",""0.00""))"),"Loading...")</f>
        <v>Loading...</v>
      </c>
      <c r="L3020" s="129">
        <v>6.0290682E7</v>
      </c>
      <c r="M3020" s="99">
        <f>IFERROR(__xludf.DUMMYFUNCTION("GOOGLEFINANCE(A3020,""beta"")"),0.8)</f>
        <v>0.8</v>
      </c>
    </row>
    <row r="3021">
      <c r="A3021" s="122" t="s">
        <v>6472</v>
      </c>
      <c r="B3021" s="123">
        <v>1745114.0</v>
      </c>
      <c r="C3021" s="124" t="s">
        <v>6473</v>
      </c>
      <c r="D3021" s="125"/>
      <c r="E3021" s="126">
        <v>4.83</v>
      </c>
      <c r="F3021" s="127"/>
      <c r="G3021" s="127"/>
      <c r="H3021" s="127"/>
      <c r="I3021" s="128"/>
      <c r="K3021" s="105" t="str">
        <f>IFERROR(__xludf.DUMMYFUNCTION("if(A3021="""","""",substitute(SUBSTITUTE(index(importhtml(""http://finviz.com/quote.ashx?t=""&amp;A3021,""table"",10),7,2),""*"",""""),""-"",""0.00""))"),"Loading...")</f>
        <v>Loading...</v>
      </c>
      <c r="L3021" s="129">
        <v>1.50870306E8</v>
      </c>
      <c r="M3021" s="99">
        <f>IFERROR(__xludf.DUMMYFUNCTION("GOOGLEFINANCE(A3021,""beta"")"),1.01)</f>
        <v>1.01</v>
      </c>
    </row>
    <row r="3022">
      <c r="A3022" s="122" t="s">
        <v>6474</v>
      </c>
      <c r="B3022" s="123">
        <v>1786909.0</v>
      </c>
      <c r="C3022" s="124" t="s">
        <v>6475</v>
      </c>
      <c r="D3022" s="125"/>
      <c r="E3022" s="126">
        <v>4.83</v>
      </c>
      <c r="F3022" s="127"/>
      <c r="G3022" s="127"/>
      <c r="H3022" s="127"/>
      <c r="I3022" s="128"/>
      <c r="K3022" s="105" t="str">
        <f>IFERROR(__xludf.DUMMYFUNCTION("if(A3022="""","""",substitute(SUBSTITUTE(index(importhtml(""http://finviz.com/quote.ashx?t=""&amp;A3022,""table"",10),7,2),""*"",""""),""-"",""0.00""))"),"Loading...")</f>
        <v>Loading...</v>
      </c>
      <c r="L3022" s="129">
        <v>3.306680254E9</v>
      </c>
      <c r="M3022" s="99">
        <v>1.67</v>
      </c>
    </row>
    <row r="3023">
      <c r="A3023" s="122" t="s">
        <v>6476</v>
      </c>
      <c r="B3023" s="123">
        <v>846676.0</v>
      </c>
      <c r="C3023" s="124" t="s">
        <v>6477</v>
      </c>
      <c r="D3023" s="125"/>
      <c r="E3023" s="126">
        <v>4.84</v>
      </c>
      <c r="F3023" s="127"/>
      <c r="G3023" s="127"/>
      <c r="H3023" s="127"/>
      <c r="I3023" s="128"/>
      <c r="K3023" s="55" t="s">
        <v>6478</v>
      </c>
      <c r="L3023" s="129">
        <v>2.45384809E8</v>
      </c>
      <c r="M3023" s="99">
        <v>0.95</v>
      </c>
    </row>
    <row r="3024">
      <c r="A3024" s="122" t="s">
        <v>6479</v>
      </c>
      <c r="B3024" s="123">
        <v>1726126.0</v>
      </c>
      <c r="C3024" s="124" t="s">
        <v>6480</v>
      </c>
      <c r="D3024" s="125"/>
      <c r="E3024" s="126">
        <v>4.84</v>
      </c>
      <c r="F3024" s="127"/>
      <c r="G3024" s="127"/>
      <c r="H3024" s="127"/>
      <c r="I3024" s="128"/>
      <c r="K3024" s="105" t="str">
        <f>IFERROR(__xludf.DUMMYFUNCTION("if(A3024="""","""",substitute(SUBSTITUTE(index(importhtml(""http://finviz.com/quote.ashx?t=""&amp;A3024,""table"",10),7,2),""*"",""""),""-"",""0.00""))"),"Loading...")</f>
        <v>Loading...</v>
      </c>
      <c r="L3024" s="129">
        <v>1.07256532E8</v>
      </c>
      <c r="M3024" s="99">
        <v>0.37</v>
      </c>
    </row>
    <row r="3025">
      <c r="A3025" s="122" t="s">
        <v>6481</v>
      </c>
      <c r="B3025" s="123">
        <v>1715768.0</v>
      </c>
      <c r="C3025" s="124" t="s">
        <v>6482</v>
      </c>
      <c r="D3025" s="125"/>
      <c r="E3025" s="126">
        <v>4.84</v>
      </c>
      <c r="F3025" s="127"/>
      <c r="G3025" s="127"/>
      <c r="H3025" s="127"/>
      <c r="I3025" s="128"/>
      <c r="K3025" s="105" t="str">
        <f>IFERROR(__xludf.DUMMYFUNCTION("if(A3025="""","""",substitute(SUBSTITUTE(index(importhtml(""http://finviz.com/quote.ashx?t=""&amp;A3025,""table"",10),7,2),""*"",""""),""-"",""0.00""))"),"Loading...")</f>
        <v>Loading...</v>
      </c>
      <c r="L3025" s="129">
        <v>3.06158807E8</v>
      </c>
      <c r="M3025" s="99">
        <v>0.45</v>
      </c>
    </row>
    <row r="3026">
      <c r="A3026" s="122" t="s">
        <v>6483</v>
      </c>
      <c r="B3026" s="123">
        <v>949858.0</v>
      </c>
      <c r="C3026" s="124" t="s">
        <v>6484</v>
      </c>
      <c r="D3026" s="125"/>
      <c r="E3026" s="126">
        <v>4.85</v>
      </c>
      <c r="F3026" s="127"/>
      <c r="G3026" s="127"/>
      <c r="H3026" s="127"/>
      <c r="I3026" s="128"/>
      <c r="K3026" s="105" t="str">
        <f>IFERROR(__xludf.DUMMYFUNCTION("if(A3026="""","""",substitute(SUBSTITUTE(index(importhtml(""http://finviz.com/quote.ashx?t=""&amp;A3026,""table"",10),7,2),""*"",""""),""-"",""0.00""))"),"Loading...")</f>
        <v>Loading...</v>
      </c>
      <c r="L3026" s="129">
        <v>1.02653933E8</v>
      </c>
      <c r="M3026" s="99">
        <v>1.45</v>
      </c>
    </row>
    <row r="3027">
      <c r="A3027" s="122" t="s">
        <v>6485</v>
      </c>
      <c r="B3027" s="123">
        <v>1160308.0</v>
      </c>
      <c r="C3027" s="124" t="s">
        <v>6486</v>
      </c>
      <c r="D3027" s="125"/>
      <c r="E3027" s="126">
        <v>4.85</v>
      </c>
      <c r="F3027" s="127"/>
      <c r="G3027" s="127"/>
      <c r="H3027" s="127"/>
      <c r="I3027" s="128"/>
      <c r="K3027" s="105" t="str">
        <f>IFERROR(__xludf.DUMMYFUNCTION("if(A3027="""","""",substitute(SUBSTITUTE(index(importhtml(""http://finviz.com/quote.ashx?t=""&amp;A3027,""table"",10),7,2),""*"",""""),""-"",""0.00""))"),"Loading...")</f>
        <v>Loading...</v>
      </c>
      <c r="L3027" s="129">
        <v>6.56403837E8</v>
      </c>
      <c r="M3027" s="99">
        <v>0.77</v>
      </c>
    </row>
    <row r="3028">
      <c r="A3028" s="122" t="s">
        <v>6487</v>
      </c>
      <c r="B3028" s="123">
        <v>1581760.0</v>
      </c>
      <c r="C3028" s="124" t="s">
        <v>6488</v>
      </c>
      <c r="D3028" s="125"/>
      <c r="E3028" s="126">
        <v>4.85</v>
      </c>
      <c r="F3028" s="127"/>
      <c r="G3028" s="127"/>
      <c r="H3028" s="127"/>
      <c r="I3028" s="128"/>
      <c r="K3028" s="105" t="str">
        <f>IFERROR(__xludf.DUMMYFUNCTION("if(A3028="""","""",substitute(SUBSTITUTE(index(importhtml(""http://finviz.com/quote.ashx?t=""&amp;A3028,""table"",10),7,2),""*"",""""),""-"",""0.00""))"),"Loading...")</f>
        <v>Loading...</v>
      </c>
      <c r="L3028" s="129">
        <v>1.568264973E9</v>
      </c>
      <c r="M3028" s="99">
        <v>2.3</v>
      </c>
    </row>
    <row r="3029">
      <c r="A3029" s="122" t="s">
        <v>6489</v>
      </c>
      <c r="B3029" s="123">
        <v>1437771.0</v>
      </c>
      <c r="C3029" s="124" t="s">
        <v>6490</v>
      </c>
      <c r="D3029" s="125"/>
      <c r="E3029" s="126">
        <v>4.85</v>
      </c>
      <c r="F3029" s="127"/>
      <c r="G3029" s="127"/>
      <c r="H3029" s="127"/>
      <c r="I3029" s="128"/>
      <c r="K3029" s="105" t="str">
        <f>IFERROR(__xludf.DUMMYFUNCTION("if(A3029="""","""",substitute(SUBSTITUTE(index(importhtml(""http://finviz.com/quote.ashx?t=""&amp;A3029,""table"",10),7,2),""*"",""""),""-"",""0.00""))"),"Loading...")</f>
        <v>Loading...</v>
      </c>
      <c r="L3029" s="129">
        <v>1.518772812E10</v>
      </c>
      <c r="M3029" s="99">
        <v>0.84</v>
      </c>
    </row>
    <row r="3030">
      <c r="A3030" s="122" t="s">
        <v>6491</v>
      </c>
      <c r="B3030" s="123">
        <v>1350869.0</v>
      </c>
      <c r="C3030" s="124" t="s">
        <v>6492</v>
      </c>
      <c r="D3030" s="125"/>
      <c r="E3030" s="126">
        <v>4.86</v>
      </c>
      <c r="F3030" s="127"/>
      <c r="G3030" s="127"/>
      <c r="H3030" s="127"/>
      <c r="I3030" s="128"/>
      <c r="K3030" s="55" t="s">
        <v>6493</v>
      </c>
      <c r="L3030" s="129">
        <v>2.11632205E8</v>
      </c>
      <c r="M3030" s="99">
        <v>1.08</v>
      </c>
    </row>
    <row r="3031">
      <c r="A3031" s="122" t="s">
        <v>6494</v>
      </c>
      <c r="B3031" s="123">
        <v>1822928.0</v>
      </c>
      <c r="C3031" s="124" t="s">
        <v>6495</v>
      </c>
      <c r="D3031" s="125"/>
      <c r="E3031" s="126">
        <v>4.86</v>
      </c>
      <c r="F3031" s="127"/>
      <c r="G3031" s="127"/>
      <c r="H3031" s="127"/>
      <c r="I3031" s="128"/>
      <c r="K3031" s="105" t="str">
        <f>IFERROR(__xludf.DUMMYFUNCTION("if(A3031="""","""",substitute(SUBSTITUTE(index(importhtml(""http://finviz.com/quote.ashx?t=""&amp;A3031,""table"",10),7,2),""*"",""""),""-"",""0.00""))"),"Loading...")</f>
        <v>Loading...</v>
      </c>
      <c r="L3031" s="129">
        <v>5.76234663E8</v>
      </c>
      <c r="M3031" s="99">
        <v>1.6</v>
      </c>
    </row>
    <row r="3032">
      <c r="A3032" s="122" t="s">
        <v>6496</v>
      </c>
      <c r="B3032" s="123">
        <v>1840502.0</v>
      </c>
      <c r="C3032" s="124" t="s">
        <v>6497</v>
      </c>
      <c r="D3032" s="125"/>
      <c r="E3032" s="126">
        <v>4.86</v>
      </c>
      <c r="F3032" s="127"/>
      <c r="G3032" s="127"/>
      <c r="H3032" s="127"/>
      <c r="I3032" s="128"/>
      <c r="K3032" s="105" t="str">
        <f>IFERROR(__xludf.DUMMYFUNCTION("if(A3032="""","""",substitute(SUBSTITUTE(index(importhtml(""http://finviz.com/quote.ashx?t=""&amp;A3032,""table"",10),7,2),""*"",""""),""-"",""0.00""))"),"Loading...")</f>
        <v>Loading...</v>
      </c>
      <c r="L3032" s="129">
        <v>1.449444009E9</v>
      </c>
      <c r="M3032" s="99">
        <v>1.42</v>
      </c>
    </row>
    <row r="3033">
      <c r="A3033" s="122" t="s">
        <v>6498</v>
      </c>
      <c r="B3033" s="123">
        <v>1845815.0</v>
      </c>
      <c r="C3033" s="124" t="s">
        <v>6499</v>
      </c>
      <c r="D3033" s="125"/>
      <c r="E3033" s="126">
        <v>4.87</v>
      </c>
      <c r="F3033" s="127"/>
      <c r="G3033" s="127"/>
      <c r="H3033" s="127"/>
      <c r="I3033" s="128"/>
      <c r="K3033" s="105" t="str">
        <f>IFERROR(__xludf.DUMMYFUNCTION("if(A3033="""","""",substitute(SUBSTITUTE(index(importhtml(""http://finviz.com/quote.ashx?t=""&amp;A3033,""table"",10),7,2),""*"",""""),""-"",""0.00""))"),"Loading...")</f>
        <v>Loading...</v>
      </c>
      <c r="L3033" s="129">
        <v>1.762006866E9</v>
      </c>
      <c r="M3033" s="99">
        <v>0.8</v>
      </c>
    </row>
    <row r="3034">
      <c r="A3034" s="122" t="s">
        <v>6500</v>
      </c>
      <c r="B3034" s="123">
        <v>1490927.0</v>
      </c>
      <c r="C3034" s="124" t="s">
        <v>6501</v>
      </c>
      <c r="D3034" s="125"/>
      <c r="E3034" s="126">
        <v>4.88</v>
      </c>
      <c r="F3034" s="127"/>
      <c r="G3034" s="127"/>
      <c r="H3034" s="127"/>
      <c r="I3034" s="128"/>
      <c r="K3034" s="105" t="str">
        <f>IFERROR(__xludf.DUMMYFUNCTION("if(A3034="""","""",substitute(SUBSTITUTE(index(importhtml(""http://finviz.com/quote.ashx?t=""&amp;A3034,""table"",10),7,2),""*"",""""),""-"",""0.00""))"),"Loading...")</f>
        <v>Loading...</v>
      </c>
      <c r="L3034" s="129">
        <v>1.134419466E9</v>
      </c>
      <c r="M3034" s="99" t="str">
        <f>IFERROR(__xludf.DUMMYFUNCTION("GOOGLEFINANCE(A3034,""beta"")"),"#N/A")</f>
        <v>#N/A</v>
      </c>
    </row>
    <row r="3035">
      <c r="A3035" s="122" t="s">
        <v>6502</v>
      </c>
      <c r="B3035" s="123">
        <v>766792.0</v>
      </c>
      <c r="C3035" s="124" t="s">
        <v>6503</v>
      </c>
      <c r="D3035" s="125"/>
      <c r="E3035" s="126">
        <v>4.9</v>
      </c>
      <c r="F3035" s="127"/>
      <c r="G3035" s="127"/>
      <c r="H3035" s="127"/>
      <c r="I3035" s="128"/>
      <c r="K3035" s="55" t="s">
        <v>1034</v>
      </c>
      <c r="L3035" s="129">
        <v>3.3440099E7</v>
      </c>
      <c r="M3035" s="99">
        <v>1.35</v>
      </c>
    </row>
    <row r="3036">
      <c r="A3036" s="122" t="s">
        <v>6504</v>
      </c>
      <c r="B3036" s="123">
        <v>1555074.0</v>
      </c>
      <c r="C3036" s="124" t="s">
        <v>6505</v>
      </c>
      <c r="D3036" s="125"/>
      <c r="E3036" s="126">
        <v>4.9</v>
      </c>
      <c r="F3036" s="127"/>
      <c r="G3036" s="127"/>
      <c r="H3036" s="127"/>
      <c r="I3036" s="128"/>
      <c r="K3036" s="105" t="str">
        <f>IFERROR(__xludf.DUMMYFUNCTION("if(A3036="""","""",substitute(SUBSTITUTE(index(importhtml(""http://finviz.com/quote.ashx?t=""&amp;A3036,""table"",10),7,2),""*"",""""),""-"",""0.00""))"),"Loading...")</f>
        <v>Loading...</v>
      </c>
      <c r="L3036" s="129">
        <v>1.3544251E7</v>
      </c>
      <c r="M3036" s="99">
        <v>1.2</v>
      </c>
    </row>
    <row r="3037">
      <c r="A3037" s="122" t="s">
        <v>6506</v>
      </c>
      <c r="B3037" s="123">
        <v>1649744.0</v>
      </c>
      <c r="C3037" s="124" t="s">
        <v>6507</v>
      </c>
      <c r="D3037" s="125"/>
      <c r="E3037" s="126">
        <v>4.9</v>
      </c>
      <c r="F3037" s="127"/>
      <c r="G3037" s="127"/>
      <c r="H3037" s="127"/>
      <c r="I3037" s="128"/>
      <c r="K3037" s="105" t="str">
        <f>IFERROR(__xludf.DUMMYFUNCTION("if(A3037="""","""",substitute(SUBSTITUTE(index(importhtml(""http://finviz.com/quote.ashx?t=""&amp;A3037,""table"",10),7,2),""*"",""""),""-"",""0.00""))"),"Loading...")</f>
        <v>Loading...</v>
      </c>
      <c r="L3037" s="129">
        <v>1.68928777E8</v>
      </c>
      <c r="M3037" s="99">
        <v>1.27</v>
      </c>
    </row>
    <row r="3038">
      <c r="A3038" s="122" t="s">
        <v>6508</v>
      </c>
      <c r="B3038" s="123">
        <v>723603.0</v>
      </c>
      <c r="C3038" s="124" t="s">
        <v>6509</v>
      </c>
      <c r="D3038" s="125"/>
      <c r="E3038" s="126">
        <v>4.91</v>
      </c>
      <c r="F3038" s="127"/>
      <c r="G3038" s="127"/>
      <c r="H3038" s="127"/>
      <c r="I3038" s="128"/>
      <c r="K3038" s="105" t="str">
        <f>IFERROR(__xludf.DUMMYFUNCTION("if(A3038="""","""",substitute(SUBSTITUTE(index(importhtml(""http://finviz.com/quote.ashx?t=""&amp;A3038,""table"",10),7,2),""*"",""""),""-"",""0.00""))"),"Loading...")</f>
        <v>Loading...</v>
      </c>
      <c r="L3038" s="129">
        <v>6.1227207E7</v>
      </c>
      <c r="M3038" s="99">
        <v>1.3</v>
      </c>
    </row>
    <row r="3039">
      <c r="A3039" s="122" t="s">
        <v>6510</v>
      </c>
      <c r="B3039" s="123">
        <v>1604950.0</v>
      </c>
      <c r="C3039" s="124" t="s">
        <v>6511</v>
      </c>
      <c r="D3039" s="125"/>
      <c r="E3039" s="126">
        <v>4.91</v>
      </c>
      <c r="F3039" s="127"/>
      <c r="G3039" s="127"/>
      <c r="H3039" s="127"/>
      <c r="I3039" s="128"/>
      <c r="K3039" s="105" t="str">
        <f>IFERROR(__xludf.DUMMYFUNCTION("if(A3039="""","""",substitute(SUBSTITUTE(index(importhtml(""http://finviz.com/quote.ashx?t=""&amp;A3039,""table"",10),7,2),""*"",""""),""-"",""0.00""))"),"Loading...")</f>
        <v>Loading...</v>
      </c>
      <c r="L3039" s="129">
        <v>1.76075E8</v>
      </c>
      <c r="M3039" s="99">
        <v>0.01</v>
      </c>
    </row>
    <row r="3040">
      <c r="A3040" s="122" t="s">
        <v>6512</v>
      </c>
      <c r="B3040" s="123">
        <v>1873923.0</v>
      </c>
      <c r="C3040" s="124" t="s">
        <v>6513</v>
      </c>
      <c r="D3040" s="125"/>
      <c r="E3040" s="126">
        <v>4.91</v>
      </c>
      <c r="F3040" s="127"/>
      <c r="G3040" s="127"/>
      <c r="H3040" s="127"/>
      <c r="I3040" s="128"/>
      <c r="K3040" s="105" t="str">
        <f>IFERROR(__xludf.DUMMYFUNCTION("if(A3040="""","""",substitute(SUBSTITUTE(index(importhtml(""http://finviz.com/quote.ashx?t=""&amp;A3040,""table"",10),7,2),""*"",""""),""-"",""0.00""))"),"Loading...")</f>
        <v>Loading...</v>
      </c>
      <c r="L3040" s="129">
        <v>2.73880036E8</v>
      </c>
      <c r="M3040" s="99">
        <f>IFERROR(__xludf.DUMMYFUNCTION("GOOGLEFINANCE(A3040,""beta"")"),1.42)</f>
        <v>1.42</v>
      </c>
    </row>
    <row r="3041">
      <c r="A3041" s="122" t="s">
        <v>6514</v>
      </c>
      <c r="B3041" s="123">
        <v>1913577.0</v>
      </c>
      <c r="C3041" s="124" t="s">
        <v>6515</v>
      </c>
      <c r="D3041" s="125"/>
      <c r="E3041" s="126">
        <v>4.92</v>
      </c>
      <c r="F3041" s="127"/>
      <c r="G3041" s="127"/>
      <c r="H3041" s="127"/>
      <c r="I3041" s="128"/>
      <c r="K3041" s="105" t="str">
        <f>IFERROR(__xludf.DUMMYFUNCTION("if(A3041="""","""",substitute(SUBSTITUTE(index(importhtml(""http://finviz.com/quote.ashx?t=""&amp;A3041,""table"",10),7,2),""*"",""""),""-"",""0.00""))"),"Loading...")</f>
        <v>Loading...</v>
      </c>
      <c r="L3041" s="129">
        <v>3.3347443E7</v>
      </c>
      <c r="M3041" s="99" t="str">
        <f>IFERROR(__xludf.DUMMYFUNCTION("GOOGLEFINANCE(A3041,""beta"")"),"#N/A")</f>
        <v>#N/A</v>
      </c>
    </row>
    <row r="3042">
      <c r="A3042" s="122" t="s">
        <v>6516</v>
      </c>
      <c r="B3042" s="123">
        <v>1223389.0</v>
      </c>
      <c r="C3042" s="124" t="s">
        <v>6517</v>
      </c>
      <c r="D3042" s="125"/>
      <c r="E3042" s="126">
        <v>4.92</v>
      </c>
      <c r="F3042" s="127"/>
      <c r="G3042" s="127"/>
      <c r="H3042" s="127"/>
      <c r="I3042" s="128"/>
      <c r="K3042" s="105" t="str">
        <f>IFERROR(__xludf.DUMMYFUNCTION("if(A3042="""","""",substitute(SUBSTITUTE(index(importhtml(""http://finviz.com/quote.ashx?t=""&amp;A3042,""table"",10),7,2),""*"",""""),""-"",""0.00""))"),"Loading...")</f>
        <v>Loading...</v>
      </c>
      <c r="L3042" s="129">
        <v>1.20786493E8</v>
      </c>
      <c r="M3042" s="99">
        <v>2.51</v>
      </c>
    </row>
    <row r="3043">
      <c r="A3043" s="122" t="s">
        <v>6518</v>
      </c>
      <c r="B3043" s="123">
        <v>1219360.0</v>
      </c>
      <c r="C3043" s="124" t="s">
        <v>6519</v>
      </c>
      <c r="D3043" s="125"/>
      <c r="E3043" s="126">
        <v>4.94</v>
      </c>
      <c r="F3043" s="127"/>
      <c r="G3043" s="127"/>
      <c r="H3043" s="127"/>
      <c r="I3043" s="128"/>
      <c r="K3043" s="105" t="str">
        <f>IFERROR(__xludf.DUMMYFUNCTION("if(A3043="""","""",substitute(SUBSTITUTE(index(importhtml(""http://finviz.com/quote.ashx?t=""&amp;A3043,""table"",10),7,2),""*"",""""),""-"",""0.00""))"),"Loading...")</f>
        <v>Loading...</v>
      </c>
      <c r="L3043" s="129">
        <v>7.21873316E8</v>
      </c>
      <c r="M3043" s="99">
        <v>0.83</v>
      </c>
    </row>
    <row r="3044">
      <c r="A3044" s="122" t="s">
        <v>6520</v>
      </c>
      <c r="B3044" s="123">
        <v>1824502.0</v>
      </c>
      <c r="C3044" s="124" t="s">
        <v>6521</v>
      </c>
      <c r="D3044" s="125"/>
      <c r="E3044" s="126">
        <v>4.94</v>
      </c>
      <c r="F3044" s="127"/>
      <c r="G3044" s="127"/>
      <c r="H3044" s="127"/>
      <c r="I3044" s="128"/>
      <c r="K3044" s="105" t="str">
        <f>IFERROR(__xludf.DUMMYFUNCTION("if(A3044="""","""",substitute(SUBSTITUTE(index(importhtml(""http://finviz.com/quote.ashx?t=""&amp;A3044,""table"",10),7,2),""*"",""""),""-"",""0.00""))"),"Loading...")</f>
        <v>Loading...</v>
      </c>
      <c r="L3044" s="129">
        <v>1.485841855E9</v>
      </c>
      <c r="M3044" s="99">
        <v>2.51</v>
      </c>
    </row>
    <row r="3045">
      <c r="A3045" s="122" t="s">
        <v>6522</v>
      </c>
      <c r="B3045" s="123">
        <v>793306.0</v>
      </c>
      <c r="C3045" s="124" t="s">
        <v>6523</v>
      </c>
      <c r="D3045" s="125"/>
      <c r="E3045" s="126">
        <v>4.95</v>
      </c>
      <c r="F3045" s="127"/>
      <c r="G3045" s="127"/>
      <c r="H3045" s="141" t="str">
        <f>YHFINANCE("BDCO","industry")</f>
        <v>Deprecated. Use =FINANCE instead</v>
      </c>
      <c r="I3045" s="128"/>
      <c r="K3045" s="105" t="str">
        <f>IFERROR(__xludf.DUMMYFUNCTION("if(A3045="""","""",substitute(SUBSTITUTE(index(importhtml(""http://finviz.com/quote.ashx?t=""&amp;A3045,""table"",10),7,2),""*"",""""),""-"",""0.00""))"),"Loading...")</f>
        <v>Loading...</v>
      </c>
      <c r="L3045" s="129">
        <v>6.2672229E7</v>
      </c>
      <c r="M3045" s="99" t="e">
        <v>#N/A</v>
      </c>
    </row>
    <row r="3046">
      <c r="A3046" s="122" t="s">
        <v>6524</v>
      </c>
      <c r="B3046" s="123">
        <v>918541.0</v>
      </c>
      <c r="C3046" s="124" t="s">
        <v>6525</v>
      </c>
      <c r="D3046" s="125"/>
      <c r="E3046" s="126">
        <v>4.95</v>
      </c>
      <c r="F3046" s="127"/>
      <c r="G3046" s="127"/>
      <c r="H3046" s="127"/>
      <c r="I3046" s="128"/>
      <c r="K3046" s="105" t="str">
        <f>IFERROR(__xludf.DUMMYFUNCTION("if(A3046="""","""",substitute(SUBSTITUTE(index(importhtml(""http://finviz.com/quote.ashx?t=""&amp;A3046,""table"",10),7,2),""*"",""""),""-"",""0.00""))"),"Loading...")</f>
        <v>Loading...</v>
      </c>
      <c r="L3046" s="129">
        <v>2.3439635E8</v>
      </c>
      <c r="M3046" s="99">
        <v>3.05</v>
      </c>
    </row>
    <row r="3047">
      <c r="A3047" s="122" t="s">
        <v>6526</v>
      </c>
      <c r="B3047" s="123">
        <v>1355839.0</v>
      </c>
      <c r="C3047" s="124" t="s">
        <v>6527</v>
      </c>
      <c r="D3047" s="125"/>
      <c r="E3047" s="126">
        <v>4.97</v>
      </c>
      <c r="F3047" s="127"/>
      <c r="G3047" s="127"/>
      <c r="H3047" s="127"/>
      <c r="I3047" s="128"/>
      <c r="K3047" s="105" t="str">
        <f>IFERROR(__xludf.DUMMYFUNCTION("if(A3047="""","""",substitute(SUBSTITUTE(index(importhtml(""http://finviz.com/quote.ashx?t=""&amp;A3047,""table"",10),7,2),""*"",""""),""-"",""0.00""))"),"Loading...")</f>
        <v>Loading...</v>
      </c>
      <c r="L3047" s="129">
        <v>4.588023E7</v>
      </c>
      <c r="M3047" s="99">
        <v>0.8</v>
      </c>
    </row>
    <row r="3048">
      <c r="A3048" s="122" t="s">
        <v>6528</v>
      </c>
      <c r="B3048" s="123">
        <v>1792781.0</v>
      </c>
      <c r="C3048" s="124" t="s">
        <v>6529</v>
      </c>
      <c r="D3048" s="125"/>
      <c r="E3048" s="126">
        <v>4.97</v>
      </c>
      <c r="F3048" s="127"/>
      <c r="G3048" s="127"/>
      <c r="H3048" s="127"/>
      <c r="I3048" s="128"/>
      <c r="K3048" s="105" t="str">
        <f>IFERROR(__xludf.DUMMYFUNCTION("if(A3048="""","""",substitute(SUBSTITUTE(index(importhtml(""http://finviz.com/quote.ashx?t=""&amp;A3048,""table"",10),7,2),""*"",""""),""-"",""0.00""))"),"Loading...")</f>
        <v>Loading...</v>
      </c>
      <c r="L3048" s="129">
        <v>5.17390397E8</v>
      </c>
      <c r="M3048" s="99">
        <f>IFERROR(__xludf.DUMMYFUNCTION("GOOGLEFINANCE(A3048,""beta"")"),1.48)</f>
        <v>1.48</v>
      </c>
    </row>
    <row r="3049">
      <c r="A3049" s="122" t="s">
        <v>6530</v>
      </c>
      <c r="B3049" s="123">
        <v>1848097.0</v>
      </c>
      <c r="C3049" s="124" t="s">
        <v>6531</v>
      </c>
      <c r="D3049" s="125"/>
      <c r="E3049" s="126">
        <v>4.97</v>
      </c>
      <c r="F3049" s="127"/>
      <c r="G3049" s="127"/>
      <c r="H3049" s="127"/>
      <c r="I3049" s="128"/>
      <c r="K3049" s="105" t="str">
        <f>IFERROR(__xludf.DUMMYFUNCTION("if(A3049="""","""",substitute(SUBSTITUTE(index(importhtml(""http://finviz.com/quote.ashx?t=""&amp;A3049,""table"",10),7,2),""*"",""""),""-"",""0.00""))"),"Loading...")</f>
        <v>Loading...</v>
      </c>
      <c r="L3049" s="129">
        <v>5.820709124E9</v>
      </c>
      <c r="M3049" s="99" t="str">
        <f>IFERROR(__xludf.DUMMYFUNCTION("GOOGLEFINANCE(A3049,""beta"")"),"#N/A")</f>
        <v>#N/A</v>
      </c>
    </row>
    <row r="3050">
      <c r="A3050" s="122" t="s">
        <v>6532</v>
      </c>
      <c r="B3050" s="123">
        <v>1436786.0</v>
      </c>
      <c r="C3050" s="124" t="s">
        <v>6533</v>
      </c>
      <c r="D3050" s="125"/>
      <c r="E3050" s="126">
        <v>4.98</v>
      </c>
      <c r="F3050" s="127"/>
      <c r="G3050" s="127"/>
      <c r="H3050" s="127"/>
      <c r="I3050" s="128"/>
      <c r="K3050" s="105" t="str">
        <f>IFERROR(__xludf.DUMMYFUNCTION("if(A3050="""","""",substitute(SUBSTITUTE(index(importhtml(""http://finviz.com/quote.ashx?t=""&amp;A3050,""table"",10),7,2),""*"",""""),""-"",""0.00""))"),"Loading...")</f>
        <v>Loading...</v>
      </c>
      <c r="L3050" s="129">
        <v>8.005436237E9</v>
      </c>
      <c r="M3050" s="99">
        <v>1.7</v>
      </c>
    </row>
    <row r="3051">
      <c r="A3051" s="122" t="s">
        <v>6534</v>
      </c>
      <c r="B3051" s="123">
        <v>1593222.0</v>
      </c>
      <c r="C3051" s="124" t="s">
        <v>6535</v>
      </c>
      <c r="D3051" s="125"/>
      <c r="E3051" s="126">
        <v>4.99</v>
      </c>
      <c r="F3051" s="127"/>
      <c r="G3051" s="127"/>
      <c r="H3051" s="127"/>
      <c r="I3051" s="128"/>
      <c r="K3051" s="55" t="s">
        <v>6536</v>
      </c>
      <c r="L3051" s="129">
        <v>1.86512564E8</v>
      </c>
      <c r="M3051" s="99">
        <v>1.9</v>
      </c>
    </row>
    <row r="3052">
      <c r="A3052" s="122" t="s">
        <v>6537</v>
      </c>
      <c r="B3052" s="123">
        <v>1438893.0</v>
      </c>
      <c r="C3052" s="124" t="s">
        <v>6538</v>
      </c>
      <c r="D3052" s="125"/>
      <c r="E3052" s="126">
        <v>4.99</v>
      </c>
      <c r="F3052" s="127"/>
      <c r="G3052" s="127"/>
      <c r="H3052" s="127"/>
      <c r="I3052" s="128"/>
      <c r="K3052" s="105" t="str">
        <f>IFERROR(__xludf.DUMMYFUNCTION("if(A3052="""","""",substitute(SUBSTITUTE(index(importhtml(""http://finviz.com/quote.ashx?t=""&amp;A3052,""table"",10),7,2),""*"",""""),""-"",""0.00""))"),"Loading...")</f>
        <v>Loading...</v>
      </c>
      <c r="L3052" s="129" t="e">
        <v>#N/A</v>
      </c>
      <c r="M3052" s="99">
        <v>1.0</v>
      </c>
    </row>
    <row r="3053">
      <c r="A3053" s="122" t="s">
        <v>6539</v>
      </c>
      <c r="B3053" s="123">
        <v>1810140.0</v>
      </c>
      <c r="C3053" s="124" t="s">
        <v>6540</v>
      </c>
      <c r="D3053" s="125"/>
      <c r="E3053" s="126">
        <v>4.99</v>
      </c>
      <c r="F3053" s="127"/>
      <c r="G3053" s="127"/>
      <c r="H3053" s="127"/>
      <c r="I3053" s="128"/>
      <c r="K3053" s="105" t="str">
        <f>IFERROR(__xludf.DUMMYFUNCTION("if(A3053="""","""",substitute(SUBSTITUTE(index(importhtml(""http://finviz.com/quote.ashx?t=""&amp;A3053,""table"",10),7,2),""*"",""""),""-"",""0.00""))"),"Loading...")</f>
        <v>Loading...</v>
      </c>
      <c r="L3053" s="129">
        <v>1.0525641E7</v>
      </c>
      <c r="M3053" s="99">
        <v>1.84</v>
      </c>
    </row>
    <row r="3054">
      <c r="A3054" s="122" t="s">
        <v>6541</v>
      </c>
      <c r="B3054" s="123">
        <v>72633.0</v>
      </c>
      <c r="C3054" s="124" t="s">
        <v>6542</v>
      </c>
      <c r="D3054" s="125"/>
      <c r="E3054" s="126">
        <v>4.99</v>
      </c>
      <c r="F3054" s="127"/>
      <c r="G3054" s="127"/>
      <c r="H3054" s="127"/>
      <c r="I3054" s="128"/>
      <c r="K3054" s="105" t="str">
        <f>IFERROR(__xludf.DUMMYFUNCTION("if(A3054="""","""",substitute(SUBSTITUTE(index(importhtml(""http://finviz.com/quote.ashx?t=""&amp;A3054,""table"",10),7,2),""*"",""""),""-"",""0.00""))"),"Loading...")</f>
        <v>Loading...</v>
      </c>
      <c r="L3054" s="129">
        <v>4.5861041E7</v>
      </c>
      <c r="M3054" s="99">
        <v>0.89</v>
      </c>
    </row>
    <row r="3055">
      <c r="A3055" s="122" t="s">
        <v>6543</v>
      </c>
      <c r="B3055" s="123">
        <v>1876431.0</v>
      </c>
      <c r="C3055" s="124" t="s">
        <v>6544</v>
      </c>
      <c r="D3055" s="125"/>
      <c r="E3055" s="126">
        <v>4.99</v>
      </c>
      <c r="F3055" s="127"/>
      <c r="G3055" s="127"/>
      <c r="H3055" s="127"/>
      <c r="I3055" s="128"/>
      <c r="K3055" s="105" t="str">
        <f>IFERROR(__xludf.DUMMYFUNCTION("if(A3055="""","""",substitute(SUBSTITUTE(index(importhtml(""http://finviz.com/quote.ashx?t=""&amp;A3055,""table"",10),7,2),""*"",""""),""-"",""0.00""))"),"Loading...")</f>
        <v>Loading...</v>
      </c>
      <c r="L3055" s="129">
        <v>5.9970416E7</v>
      </c>
      <c r="M3055" s="99">
        <f>IFERROR(__xludf.DUMMYFUNCTION("GOOGLEFINANCE(A3055,""beta"")"),0.47)</f>
        <v>0.47</v>
      </c>
    </row>
    <row r="3056">
      <c r="A3056" s="122" t="s">
        <v>6545</v>
      </c>
      <c r="B3056" s="123">
        <v>350868.0</v>
      </c>
      <c r="C3056" s="124" t="s">
        <v>6546</v>
      </c>
      <c r="D3056" s="125"/>
      <c r="E3056" s="126">
        <v>4.99</v>
      </c>
      <c r="F3056" s="127"/>
      <c r="G3056" s="127"/>
      <c r="H3056" s="127"/>
      <c r="I3056" s="128"/>
      <c r="K3056" s="105" t="str">
        <f>IFERROR(__xludf.DUMMYFUNCTION("if(A3056="""","""",substitute(SUBSTITUTE(index(importhtml(""http://finviz.com/quote.ashx?t=""&amp;A3056,""table"",10),7,2),""*"",""""),""-"",""0.00""))"),"Loading...")</f>
        <v>Loading...</v>
      </c>
      <c r="L3056" s="129">
        <v>2.13685712E8</v>
      </c>
      <c r="M3056" s="99">
        <v>0.68</v>
      </c>
    </row>
    <row r="3057">
      <c r="A3057" s="122" t="s">
        <v>6547</v>
      </c>
      <c r="B3057" s="123">
        <v>1880319.0</v>
      </c>
      <c r="C3057" s="124" t="s">
        <v>6548</v>
      </c>
      <c r="D3057" s="125"/>
      <c r="E3057" s="126">
        <v>4.99</v>
      </c>
      <c r="F3057" s="127"/>
      <c r="G3057" s="127"/>
      <c r="H3057" s="127"/>
      <c r="I3057" s="128"/>
      <c r="K3057" s="105" t="str">
        <f>IFERROR(__xludf.DUMMYFUNCTION("if(A3057="""","""",substitute(SUBSTITUTE(index(importhtml(""http://finviz.com/quote.ashx?t=""&amp;A3057,""table"",10),7,2),""*"",""""),""-"",""0.00""))"),"Loading...")</f>
        <v>Loading...</v>
      </c>
      <c r="L3057" s="129">
        <v>7.62393622E8</v>
      </c>
      <c r="M3057" s="99">
        <f>IFERROR(__xludf.DUMMYFUNCTION("GOOGLEFINANCE(A3057,""beta"")"),1.98)</f>
        <v>1.98</v>
      </c>
    </row>
    <row r="3058">
      <c r="A3058" s="122" t="s">
        <v>6549</v>
      </c>
      <c r="B3058" s="123">
        <v>783005.0</v>
      </c>
      <c r="C3058" s="124" t="s">
        <v>6550</v>
      </c>
      <c r="D3058" s="125"/>
      <c r="E3058" s="126">
        <v>5.0</v>
      </c>
      <c r="F3058" s="127"/>
      <c r="G3058" s="127"/>
      <c r="H3058" s="127"/>
      <c r="I3058" s="128"/>
      <c r="K3058" s="105" t="str">
        <f>IFERROR(__xludf.DUMMYFUNCTION("if(A3058="""","""",substitute(SUBSTITUTE(index(importhtml(""http://finviz.com/quote.ashx?t=""&amp;A3058,""table"",10),7,2),""*"",""""),""-"",""0.00""))"),"Loading...")</f>
        <v>Loading...</v>
      </c>
      <c r="L3058" s="129">
        <v>6.699566E7</v>
      </c>
      <c r="M3058" s="99" t="str">
        <f>IFERROR(__xludf.DUMMYFUNCTION("GOOGLEFINANCE(A3058,""beta"")"),"#N/A")</f>
        <v>#N/A</v>
      </c>
    </row>
    <row r="3059">
      <c r="A3059" s="122" t="s">
        <v>6551</v>
      </c>
      <c r="B3059" s="123">
        <v>1445831.0</v>
      </c>
      <c r="C3059" s="124" t="s">
        <v>6552</v>
      </c>
      <c r="D3059" s="125"/>
      <c r="E3059" s="126">
        <v>5.0</v>
      </c>
      <c r="F3059" s="127"/>
      <c r="G3059" s="127"/>
      <c r="H3059" s="127"/>
      <c r="I3059" s="128"/>
      <c r="K3059" s="105" t="str">
        <f>IFERROR(__xludf.DUMMYFUNCTION("if(A3059="""","""",substitute(SUBSTITUTE(index(importhtml(""http://finviz.com/quote.ashx?t=""&amp;A3059,""table"",10),7,2),""*"",""""),""-"",""0.00""))"),"Loading...")</f>
        <v>Loading...</v>
      </c>
      <c r="L3059" s="129">
        <v>9.576962E7</v>
      </c>
      <c r="M3059" s="99">
        <v>1.58</v>
      </c>
    </row>
    <row r="3060">
      <c r="A3060" s="122" t="s">
        <v>6553</v>
      </c>
      <c r="B3060" s="123">
        <v>1816581.0</v>
      </c>
      <c r="C3060" s="124" t="s">
        <v>6554</v>
      </c>
      <c r="D3060" s="125"/>
      <c r="E3060" s="126">
        <v>5.0</v>
      </c>
      <c r="F3060" s="127"/>
      <c r="G3060" s="127"/>
      <c r="H3060" s="127"/>
      <c r="I3060" s="128"/>
      <c r="K3060" s="105" t="str">
        <f>IFERROR(__xludf.DUMMYFUNCTION("if(A3060="""","""",substitute(SUBSTITUTE(index(importhtml(""http://finviz.com/quote.ashx?t=""&amp;A3060,""table"",10),7,2),""*"",""""),""-"",""0.00""))"),"Loading...")</f>
        <v>Loading...</v>
      </c>
      <c r="L3060" s="129">
        <v>2.034614E8</v>
      </c>
      <c r="M3060" s="99">
        <v>2.49</v>
      </c>
    </row>
    <row r="3061">
      <c r="A3061" s="122" t="s">
        <v>6555</v>
      </c>
      <c r="B3061" s="123">
        <v>1044896.0</v>
      </c>
      <c r="C3061" s="124" t="s">
        <v>6556</v>
      </c>
      <c r="D3061" s="125"/>
      <c r="E3061" s="126">
        <v>5.0</v>
      </c>
      <c r="F3061" s="127"/>
      <c r="G3061" s="127"/>
      <c r="H3061" s="127"/>
      <c r="I3061" s="128"/>
      <c r="K3061" s="105" t="str">
        <f>IFERROR(__xludf.DUMMYFUNCTION("if(A3061="""","""",substitute(SUBSTITUTE(index(importhtml(""http://finviz.com/quote.ashx?t=""&amp;A3061,""table"",10),7,2),""*"",""""),""-"",""0.00""))"),"Loading...")</f>
        <v>Loading...</v>
      </c>
      <c r="L3061" s="129">
        <v>5.52E10</v>
      </c>
      <c r="M3061" s="99" t="str">
        <f>IFERROR(__xludf.DUMMYFUNCTION("GOOGLEFINANCE(A3061,""beta"")"),"#N/A")</f>
        <v>#N/A</v>
      </c>
    </row>
    <row r="3062">
      <c r="A3062" s="122" t="s">
        <v>6557</v>
      </c>
      <c r="B3062" s="123">
        <v>1734237.0</v>
      </c>
      <c r="C3062" s="124" t="s">
        <v>6558</v>
      </c>
      <c r="D3062" s="125"/>
      <c r="E3062" s="126">
        <v>5.0</v>
      </c>
      <c r="F3062" s="127"/>
      <c r="G3062" s="127"/>
      <c r="H3062" s="127"/>
      <c r="I3062" s="128"/>
      <c r="K3062" s="105" t="str">
        <f>IFERROR(__xludf.DUMMYFUNCTION("if(A3062="""","""",substitute(SUBSTITUTE(index(importhtml(""http://finviz.com/quote.ashx?t=""&amp;A3062,""table"",10),7,2),""*"",""""),""-"",""0.00""))"),"Loading...")</f>
        <v>Loading...</v>
      </c>
      <c r="L3062" s="129" t="e">
        <v>#N/A</v>
      </c>
      <c r="M3062" s="99" t="str">
        <f>IFERROR(__xludf.DUMMYFUNCTION("GOOGLEFINANCE(A3062,""beta"")"),"#N/A")</f>
        <v>#N/A</v>
      </c>
    </row>
    <row r="3063">
      <c r="A3063" s="122" t="s">
        <v>6559</v>
      </c>
      <c r="B3063" s="123">
        <v>1624140.0</v>
      </c>
      <c r="C3063" s="124" t="s">
        <v>6560</v>
      </c>
      <c r="D3063" s="125"/>
      <c r="E3063" s="126">
        <v>5.0</v>
      </c>
      <c r="F3063" s="127"/>
      <c r="G3063" s="127"/>
      <c r="H3063" s="127"/>
      <c r="I3063" s="128"/>
      <c r="K3063" s="105" t="str">
        <f>IFERROR(__xludf.DUMMYFUNCTION("if(A3063="""","""",substitute(SUBSTITUTE(index(importhtml(""http://finviz.com/quote.ashx?t=""&amp;A3063,""table"",10),7,2),""*"",""""),""-"",""0.00""))"),"Loading...")</f>
        <v>Loading...</v>
      </c>
      <c r="L3063" s="129" t="e">
        <v>#N/A</v>
      </c>
      <c r="M3063" s="99" t="str">
        <f>IFERROR(__xludf.DUMMYFUNCTION("GOOGLEFINANCE(A3063,""beta"")"),"#N/A")</f>
        <v>#N/A</v>
      </c>
    </row>
    <row r="3064">
      <c r="A3064" s="122" t="s">
        <v>6561</v>
      </c>
      <c r="B3064" s="123">
        <v>1679379.0</v>
      </c>
      <c r="C3064" s="124" t="s">
        <v>6562</v>
      </c>
      <c r="D3064" s="125"/>
      <c r="E3064" s="126">
        <v>5.0</v>
      </c>
      <c r="F3064" s="127"/>
      <c r="G3064" s="127"/>
      <c r="H3064" s="127"/>
      <c r="I3064" s="128"/>
      <c r="K3064" s="105" t="str">
        <f>IFERROR(__xludf.DUMMYFUNCTION("if(A3064="""","""",substitute(SUBSTITUTE(index(importhtml(""http://finviz.com/quote.ashx?t=""&amp;A3064,""table"",10),7,2),""*"",""""),""-"",""0.00""))"),"Loading...")</f>
        <v>Loading...</v>
      </c>
      <c r="L3064" s="129" t="e">
        <v>#N/A</v>
      </c>
      <c r="M3064" s="99" t="str">
        <f>IFERROR(__xludf.DUMMYFUNCTION("GOOGLEFINANCE(A3064,""beta"")"),"#N/A")</f>
        <v>#N/A</v>
      </c>
    </row>
    <row r="3065">
      <c r="A3065" s="122" t="s">
        <v>6563</v>
      </c>
      <c r="B3065" s="123">
        <v>1483510.0</v>
      </c>
      <c r="C3065" s="124" t="s">
        <v>6564</v>
      </c>
      <c r="D3065" s="125"/>
      <c r="E3065" s="126">
        <v>5.01</v>
      </c>
      <c r="F3065" s="127"/>
      <c r="G3065" s="127"/>
      <c r="H3065" s="127"/>
      <c r="I3065" s="128"/>
      <c r="K3065" s="105" t="str">
        <f>IFERROR(__xludf.DUMMYFUNCTION("if(A3065="""","""",substitute(SUBSTITUTE(index(importhtml(""http://finviz.com/quote.ashx?t=""&amp;A3065,""table"",10),7,2),""*"",""""),""-"",""0.00""))"),"Loading...")</f>
        <v>Loading...</v>
      </c>
      <c r="L3065" s="129">
        <v>1.8768753E7</v>
      </c>
      <c r="M3065" s="99">
        <v>1.63</v>
      </c>
    </row>
    <row r="3066">
      <c r="A3066" s="122" t="s">
        <v>6565</v>
      </c>
      <c r="B3066" s="123">
        <v>1612720.0</v>
      </c>
      <c r="C3066" s="124" t="s">
        <v>6566</v>
      </c>
      <c r="D3066" s="125"/>
      <c r="E3066" s="126">
        <v>5.01</v>
      </c>
      <c r="F3066" s="127"/>
      <c r="G3066" s="127"/>
      <c r="H3066" s="127"/>
      <c r="I3066" s="128"/>
      <c r="K3066" s="105" t="str">
        <f>IFERROR(__xludf.DUMMYFUNCTION("if(A3066="""","""",substitute(SUBSTITUTE(index(importhtml(""http://finviz.com/quote.ashx?t=""&amp;A3066,""table"",10),7,2),""*"",""""),""-"",""0.00""))"),"Loading...")</f>
        <v>Loading...</v>
      </c>
      <c r="L3066" s="129">
        <v>1.28549191E9</v>
      </c>
      <c r="M3066" s="99">
        <v>1.36</v>
      </c>
    </row>
    <row r="3067">
      <c r="A3067" s="122" t="s">
        <v>6567</v>
      </c>
      <c r="B3067" s="123">
        <v>1703057.0</v>
      </c>
      <c r="C3067" s="124" t="s">
        <v>6568</v>
      </c>
      <c r="D3067" s="125"/>
      <c r="E3067" s="126">
        <v>5.01</v>
      </c>
      <c r="F3067" s="127"/>
      <c r="G3067" s="127"/>
      <c r="H3067" s="127"/>
      <c r="I3067" s="128"/>
      <c r="K3067" s="105" t="str">
        <f>IFERROR(__xludf.DUMMYFUNCTION("if(A3067="""","""",substitute(SUBSTITUTE(index(importhtml(""http://finviz.com/quote.ashx?t=""&amp;A3067,""table"",10),7,2),""*"",""""),""-"",""0.00""))"),"Loading...")</f>
        <v>Loading...</v>
      </c>
      <c r="L3067" s="129">
        <v>1.453752267E9</v>
      </c>
      <c r="M3067" s="99">
        <v>0.38</v>
      </c>
    </row>
    <row r="3068">
      <c r="A3068" s="122" t="s">
        <v>6569</v>
      </c>
      <c r="B3068" s="123">
        <v>1496292.0</v>
      </c>
      <c r="C3068" s="124" t="s">
        <v>6570</v>
      </c>
      <c r="D3068" s="125"/>
      <c r="E3068" s="126">
        <v>5.01</v>
      </c>
      <c r="F3068" s="127"/>
      <c r="G3068" s="127"/>
      <c r="H3068" s="127"/>
      <c r="I3068" s="128"/>
      <c r="K3068" s="105" t="str">
        <f>IFERROR(__xludf.DUMMYFUNCTION("if(A3068="""","""",substitute(SUBSTITUTE(index(importhtml(""http://finviz.com/quote.ashx?t=""&amp;A3068,""table"",10),7,2),""*"",""""),""-"",""0.00""))"),"Loading...")</f>
        <v>Loading...</v>
      </c>
      <c r="L3068" s="129" t="e">
        <v>#N/A</v>
      </c>
      <c r="M3068" s="99">
        <v>0.82</v>
      </c>
    </row>
    <row r="3069">
      <c r="A3069" s="122" t="s">
        <v>6571</v>
      </c>
      <c r="B3069" s="123">
        <v>1883788.0</v>
      </c>
      <c r="C3069" s="124" t="s">
        <v>6572</v>
      </c>
      <c r="D3069" s="125"/>
      <c r="E3069" s="126">
        <v>5.02</v>
      </c>
      <c r="F3069" s="127"/>
      <c r="G3069" s="127"/>
      <c r="H3069" s="127"/>
      <c r="I3069" s="128"/>
      <c r="K3069" s="105" t="str">
        <f>IFERROR(__xludf.DUMMYFUNCTION("if(A3069="""","""",substitute(SUBSTITUTE(index(importhtml(""http://finviz.com/quote.ashx?t=""&amp;A3069,""table"",10),7,2),""*"",""""),""-"",""0.00""))"),"Loading...")</f>
        <v>Loading...</v>
      </c>
      <c r="L3069" s="129">
        <v>5.3514655E7</v>
      </c>
      <c r="M3069" s="99" t="str">
        <f>IFERROR(__xludf.DUMMYFUNCTION("GOOGLEFINANCE(A3069,""beta"")"),"#N/A")</f>
        <v>#N/A</v>
      </c>
    </row>
    <row r="3070">
      <c r="A3070" s="122" t="s">
        <v>6573</v>
      </c>
      <c r="B3070" s="123">
        <v>1450346.0</v>
      </c>
      <c r="C3070" s="124" t="s">
        <v>6574</v>
      </c>
      <c r="D3070" s="125"/>
      <c r="E3070" s="126">
        <v>5.02</v>
      </c>
      <c r="F3070" s="127"/>
      <c r="G3070" s="127"/>
      <c r="H3070" s="127"/>
      <c r="I3070" s="128"/>
      <c r="K3070" s="105" t="str">
        <f>IFERROR(__xludf.DUMMYFUNCTION("if(A3070="""","""",substitute(SUBSTITUTE(index(importhtml(""http://finviz.com/quote.ashx?t=""&amp;A3070,""table"",10),7,2),""*"",""""),""-"",""0.00""))"),"Loading...")</f>
        <v>Loading...</v>
      </c>
      <c r="L3070" s="129">
        <v>7.113722972E9</v>
      </c>
      <c r="M3070" s="99">
        <v>1.53</v>
      </c>
    </row>
    <row r="3071">
      <c r="A3071" s="122" t="s">
        <v>6575</v>
      </c>
      <c r="B3071" s="123">
        <v>1001085.0</v>
      </c>
      <c r="C3071" s="124" t="s">
        <v>6576</v>
      </c>
      <c r="D3071" s="125"/>
      <c r="E3071" s="126">
        <v>5.02</v>
      </c>
      <c r="F3071" s="127"/>
      <c r="G3071" s="127"/>
      <c r="H3071" s="127"/>
      <c r="I3071" s="128"/>
      <c r="K3071" s="105" t="str">
        <f>IFERROR(__xludf.DUMMYFUNCTION("if(A3071="""","""",substitute(SUBSTITUTE(index(importhtml(""http://finviz.com/quote.ashx?t=""&amp;A3071,""table"",10),7,2),""*"",""""),""-"",""0.00""))"),"Loading...")</f>
        <v>Loading...</v>
      </c>
      <c r="L3071" s="129">
        <v>7.501639721E9</v>
      </c>
      <c r="M3071" s="99">
        <f>IFERROR(__xludf.DUMMYFUNCTION("GOOGLEFINANCE(A3071,""beta"")"),0.57)</f>
        <v>0.57</v>
      </c>
    </row>
    <row r="3072">
      <c r="A3072" s="122" t="s">
        <v>6577</v>
      </c>
      <c r="B3072" s="123">
        <v>1639877.0</v>
      </c>
      <c r="C3072" s="124" t="s">
        <v>6578</v>
      </c>
      <c r="D3072" s="125"/>
      <c r="E3072" s="126">
        <v>5.03</v>
      </c>
      <c r="F3072" s="127"/>
      <c r="G3072" s="127"/>
      <c r="H3072" s="127"/>
      <c r="I3072" s="128"/>
      <c r="K3072" s="105" t="str">
        <f>IFERROR(__xludf.DUMMYFUNCTION("if(A3072="""","""",substitute(SUBSTITUTE(index(importhtml(""http://finviz.com/quote.ashx?t=""&amp;A3072,""table"",10),7,2),""*"",""""),""-"",""0.00""))"),"Loading...")</f>
        <v>Loading...</v>
      </c>
      <c r="L3072" s="129">
        <v>9.42790544E8</v>
      </c>
      <c r="M3072" s="99">
        <v>2.07</v>
      </c>
    </row>
    <row r="3073">
      <c r="A3073" s="122" t="s">
        <v>6579</v>
      </c>
      <c r="B3073" s="123">
        <v>1807707.0</v>
      </c>
      <c r="C3073" s="124" t="s">
        <v>6580</v>
      </c>
      <c r="D3073" s="125"/>
      <c r="E3073" s="126">
        <v>5.04</v>
      </c>
      <c r="F3073" s="127"/>
      <c r="G3073" s="127"/>
      <c r="H3073" s="127"/>
      <c r="I3073" s="128"/>
      <c r="K3073" s="105" t="str">
        <f>IFERROR(__xludf.DUMMYFUNCTION("if(A3073="""","""",substitute(SUBSTITUTE(index(importhtml(""http://finviz.com/quote.ashx?t=""&amp;A3073,""table"",10),7,2),""*"",""""),""-"",""0.00""))"),"Loading...")</f>
        <v>Loading...</v>
      </c>
      <c r="L3073" s="129">
        <v>4.3495094E7</v>
      </c>
      <c r="M3073" s="99" t="str">
        <f>IFERROR(__xludf.DUMMYFUNCTION("GOOGLEFINANCE(A3073,""beta"")"),"#N/A")</f>
        <v>#N/A</v>
      </c>
    </row>
    <row r="3074">
      <c r="A3074" s="122" t="s">
        <v>6581</v>
      </c>
      <c r="B3074" s="123">
        <v>1055726.0</v>
      </c>
      <c r="C3074" s="124" t="s">
        <v>6582</v>
      </c>
      <c r="D3074" s="125"/>
      <c r="E3074" s="126">
        <v>5.04</v>
      </c>
      <c r="F3074" s="127"/>
      <c r="G3074" s="127"/>
      <c r="H3074" s="127"/>
      <c r="I3074" s="128"/>
      <c r="K3074" s="105" t="str">
        <f>IFERROR(__xludf.DUMMYFUNCTION("if(A3074="""","""",substitute(SUBSTITUTE(index(importhtml(""http://finviz.com/quote.ashx?t=""&amp;A3074,""table"",10),7,2),""*"",""""),""-"",""0.00""))"),"Loading...")</f>
        <v>Loading...</v>
      </c>
      <c r="L3074" s="129">
        <v>1.14654303E8</v>
      </c>
      <c r="M3074" s="99">
        <v>0.87</v>
      </c>
    </row>
    <row r="3075">
      <c r="A3075" s="122" t="s">
        <v>6583</v>
      </c>
      <c r="B3075" s="123">
        <v>1285890.0</v>
      </c>
      <c r="C3075" s="124" t="s">
        <v>6584</v>
      </c>
      <c r="D3075" s="125"/>
      <c r="E3075" s="126">
        <v>5.04</v>
      </c>
      <c r="F3075" s="127"/>
      <c r="G3075" s="127"/>
      <c r="H3075" s="127"/>
      <c r="I3075" s="128"/>
      <c r="K3075" s="105" t="str">
        <f>IFERROR(__xludf.DUMMYFUNCTION("if(A3075="""","""",substitute(SUBSTITUTE(index(importhtml(""http://finviz.com/quote.ashx?t=""&amp;A3075,""table"",10),7,2),""*"",""""),""-"",""0.00""))"),"Loading...")</f>
        <v>Loading...</v>
      </c>
      <c r="L3075" s="129">
        <v>4.00248673E8</v>
      </c>
      <c r="M3075" s="99">
        <v>0.72</v>
      </c>
    </row>
    <row r="3076">
      <c r="A3076" s="122" t="s">
        <v>6585</v>
      </c>
      <c r="B3076" s="123">
        <v>1499849.0</v>
      </c>
      <c r="C3076" s="124" t="s">
        <v>6586</v>
      </c>
      <c r="D3076" s="125"/>
      <c r="E3076" s="126">
        <v>5.04</v>
      </c>
      <c r="F3076" s="127"/>
      <c r="G3076" s="127"/>
      <c r="H3076" s="127"/>
      <c r="I3076" s="128"/>
      <c r="K3076" s="105" t="str">
        <f>IFERROR(__xludf.DUMMYFUNCTION("if(A3076="""","""",substitute(SUBSTITUTE(index(importhtml(""http://finviz.com/quote.ashx?t=""&amp;A3076,""table"",10),7,2),""*"",""""),""-"",""0.00""))"),"Loading...")</f>
        <v>Loading...</v>
      </c>
      <c r="L3076" s="129">
        <v>2.537306719E9</v>
      </c>
      <c r="M3076" s="99">
        <v>0.91</v>
      </c>
    </row>
    <row r="3077">
      <c r="A3077" s="122" t="s">
        <v>6587</v>
      </c>
      <c r="B3077" s="123">
        <v>1831363.0</v>
      </c>
      <c r="C3077" s="124" t="s">
        <v>6588</v>
      </c>
      <c r="D3077" s="125"/>
      <c r="E3077" s="126">
        <v>5.05</v>
      </c>
      <c r="F3077" s="127"/>
      <c r="G3077" s="127"/>
      <c r="H3077" s="127"/>
      <c r="I3077" s="128"/>
      <c r="K3077" s="105" t="str">
        <f>IFERROR(__xludf.DUMMYFUNCTION("if(A3077="""","""",substitute(SUBSTITUTE(index(importhtml(""http://finviz.com/quote.ashx?t=""&amp;A3077,""table"",10),7,2),""*"",""""),""-"",""0.00""))"),"Loading...")</f>
        <v>Loading...</v>
      </c>
      <c r="L3077" s="129">
        <v>3.12062337E8</v>
      </c>
      <c r="M3077" s="99">
        <f>IFERROR(__xludf.DUMMYFUNCTION("GOOGLEFINANCE(A3077,""beta"")"),-0.02)</f>
        <v>-0.02</v>
      </c>
    </row>
    <row r="3078">
      <c r="A3078" s="122" t="s">
        <v>6589</v>
      </c>
      <c r="B3078" s="123">
        <v>1888980.0</v>
      </c>
      <c r="C3078" s="124" t="s">
        <v>6590</v>
      </c>
      <c r="D3078" s="125"/>
      <c r="E3078" s="126">
        <v>5.06</v>
      </c>
      <c r="F3078" s="127"/>
      <c r="G3078" s="127"/>
      <c r="H3078" s="127"/>
      <c r="I3078" s="128"/>
      <c r="K3078" s="105" t="str">
        <f>IFERROR(__xludf.DUMMYFUNCTION("if(A3078="""","""",substitute(SUBSTITUTE(index(importhtml(""http://finviz.com/quote.ashx?t=""&amp;A3078,""table"",10),7,2),""*"",""""),""-"",""0.00""))"),"Loading...")</f>
        <v>Loading...</v>
      </c>
      <c r="L3078" s="129">
        <v>6.9244834E7</v>
      </c>
      <c r="M3078" s="99" t="str">
        <f>IFERROR(__xludf.DUMMYFUNCTION("GOOGLEFINANCE(A3078,""beta"")"),"#N/A")</f>
        <v>#N/A</v>
      </c>
    </row>
    <row r="3079">
      <c r="A3079" s="122" t="s">
        <v>6591</v>
      </c>
      <c r="B3079" s="123">
        <v>1649096.0</v>
      </c>
      <c r="C3079" s="124" t="s">
        <v>6592</v>
      </c>
      <c r="D3079" s="125"/>
      <c r="E3079" s="126">
        <v>5.06</v>
      </c>
      <c r="F3079" s="127"/>
      <c r="G3079" s="127"/>
      <c r="H3079" s="127"/>
      <c r="I3079" s="128"/>
      <c r="K3079" s="105" t="str">
        <f>IFERROR(__xludf.DUMMYFUNCTION("if(A3079="""","""",substitute(SUBSTITUTE(index(importhtml(""http://finviz.com/quote.ashx?t=""&amp;A3079,""table"",10),7,2),""*"",""""),""-"",""0.00""))"),"Loading...")</f>
        <v>Loading...</v>
      </c>
      <c r="L3079" s="129">
        <v>8.1279892E7</v>
      </c>
      <c r="M3079" s="99">
        <v>1.23</v>
      </c>
    </row>
    <row r="3080">
      <c r="A3080" s="122" t="s">
        <v>6593</v>
      </c>
      <c r="B3080" s="123">
        <v>1221029.0</v>
      </c>
      <c r="C3080" s="124" t="s">
        <v>6594</v>
      </c>
      <c r="D3080" s="125"/>
      <c r="E3080" s="126">
        <v>5.06</v>
      </c>
      <c r="F3080" s="127"/>
      <c r="G3080" s="127"/>
      <c r="H3080" s="127"/>
      <c r="I3080" s="128"/>
      <c r="K3080" s="105" t="str">
        <f>IFERROR(__xludf.DUMMYFUNCTION("if(A3080="""","""",substitute(SUBSTITUTE(index(importhtml(""http://finviz.com/quote.ashx?t=""&amp;A3080,""table"",10),7,2),""*"",""""),""-"",""0.00""))"),"Loading...")</f>
        <v>Loading...</v>
      </c>
      <c r="L3080" s="129">
        <v>4.66892317E8</v>
      </c>
      <c r="M3080" s="99">
        <v>0.88</v>
      </c>
    </row>
    <row r="3081">
      <c r="A3081" s="122" t="s">
        <v>6595</v>
      </c>
      <c r="B3081" s="123">
        <v>1026214.0</v>
      </c>
      <c r="C3081" s="124" t="s">
        <v>6596</v>
      </c>
      <c r="D3081" s="125"/>
      <c r="E3081" s="126">
        <v>5.06</v>
      </c>
      <c r="F3081" s="127"/>
      <c r="G3081" s="127"/>
      <c r="H3081" s="127"/>
      <c r="I3081" s="128"/>
      <c r="K3081" s="105" t="str">
        <f>IFERROR(__xludf.DUMMYFUNCTION("if(A3081="""","""",substitute(SUBSTITUTE(index(importhtml(""http://finviz.com/quote.ashx?t=""&amp;A3081,""table"",10),7,2),""*"",""""),""-"",""0.00""))"),"Loading...")</f>
        <v>Loading...</v>
      </c>
      <c r="L3081" s="129">
        <v>7.08564876E8</v>
      </c>
      <c r="M3081" s="99">
        <v>0.69</v>
      </c>
    </row>
    <row r="3082">
      <c r="A3082" s="122" t="s">
        <v>6597</v>
      </c>
      <c r="B3082" s="123">
        <v>1396502.0</v>
      </c>
      <c r="C3082" s="124" t="s">
        <v>6598</v>
      </c>
      <c r="D3082" s="125"/>
      <c r="E3082" s="126">
        <v>5.08</v>
      </c>
      <c r="F3082" s="127"/>
      <c r="G3082" s="127"/>
      <c r="H3082" s="127"/>
      <c r="I3082" s="128"/>
      <c r="K3082" s="105" t="str">
        <f>IFERROR(__xludf.DUMMYFUNCTION("if(A3082="""","""",substitute(SUBSTITUTE(index(importhtml(""http://finviz.com/quote.ashx?t=""&amp;A3082,""table"",10),7,2),""*"",""""),""-"",""0.00""))"),"Loading...")</f>
        <v>Loading...</v>
      </c>
      <c r="L3082" s="129">
        <v>5.5482489E7</v>
      </c>
      <c r="M3082" s="99">
        <v>0.79</v>
      </c>
    </row>
    <row r="3083">
      <c r="A3083" s="122" t="s">
        <v>6599</v>
      </c>
      <c r="B3083" s="123">
        <v>868278.0</v>
      </c>
      <c r="C3083" s="124" t="s">
        <v>6600</v>
      </c>
      <c r="D3083" s="125"/>
      <c r="E3083" s="126">
        <v>5.08</v>
      </c>
      <c r="F3083" s="127"/>
      <c r="G3083" s="127"/>
      <c r="H3083" s="127"/>
      <c r="I3083" s="128"/>
      <c r="K3083" s="105" t="str">
        <f>IFERROR(__xludf.DUMMYFUNCTION("if(A3083="""","""",substitute(SUBSTITUTE(index(importhtml(""http://finviz.com/quote.ashx?t=""&amp;A3083,""table"",10),7,2),""*"",""""),""-"",""0.00""))"),"Loading...")</f>
        <v>Loading...</v>
      </c>
      <c r="L3083" s="129">
        <v>9.16687E7</v>
      </c>
      <c r="M3083" s="99">
        <v>-0.32</v>
      </c>
    </row>
    <row r="3084">
      <c r="A3084" s="122" t="s">
        <v>6601</v>
      </c>
      <c r="B3084" s="123">
        <v>1156388.0</v>
      </c>
      <c r="C3084" s="124" t="s">
        <v>6602</v>
      </c>
      <c r="D3084" s="125"/>
      <c r="E3084" s="126">
        <v>5.08</v>
      </c>
      <c r="F3084" s="127"/>
      <c r="G3084" s="127"/>
      <c r="H3084" s="127"/>
      <c r="I3084" s="128"/>
      <c r="K3084" s="105" t="str">
        <f>IFERROR(__xludf.DUMMYFUNCTION("if(A3084="""","""",substitute(SUBSTITUTE(index(importhtml(""http://finviz.com/quote.ashx?t=""&amp;A3084,""table"",10),7,2),""*"",""""),""-"",""0.00""))"),"Loading...")</f>
        <v>Loading...</v>
      </c>
      <c r="L3084" s="129">
        <v>1.14017601E8</v>
      </c>
      <c r="M3084" s="99">
        <v>2.44</v>
      </c>
    </row>
    <row r="3085">
      <c r="A3085" s="122" t="s">
        <v>6603</v>
      </c>
      <c r="B3085" s="123">
        <v>882796.0</v>
      </c>
      <c r="C3085" s="124" t="s">
        <v>6604</v>
      </c>
      <c r="D3085" s="125"/>
      <c r="E3085" s="126">
        <v>5.08</v>
      </c>
      <c r="F3085" s="127"/>
      <c r="G3085" s="127"/>
      <c r="H3085" s="127"/>
      <c r="I3085" s="128"/>
      <c r="K3085" s="105" t="str">
        <f>IFERROR(__xludf.DUMMYFUNCTION("if(A3085="""","""",substitute(SUBSTITUTE(index(importhtml(""http://finviz.com/quote.ashx?t=""&amp;A3085,""table"",10),7,2),""*"",""""),""-"",""0.00""))"),"Loading...")</f>
        <v>Loading...</v>
      </c>
      <c r="L3085" s="129">
        <v>1.040431736E9</v>
      </c>
      <c r="M3085" s="99">
        <v>1.91</v>
      </c>
    </row>
    <row r="3086">
      <c r="A3086" s="122" t="s">
        <v>6605</v>
      </c>
      <c r="B3086" s="123">
        <v>1273441.0</v>
      </c>
      <c r="C3086" s="124" t="s">
        <v>6606</v>
      </c>
      <c r="D3086" s="125"/>
      <c r="E3086" s="126">
        <v>5.09</v>
      </c>
      <c r="F3086" s="127"/>
      <c r="G3086" s="127"/>
      <c r="H3086" s="127"/>
      <c r="I3086" s="128"/>
      <c r="K3086" s="105" t="str">
        <f>IFERROR(__xludf.DUMMYFUNCTION("if(A3086="""","""",substitute(SUBSTITUTE(index(importhtml(""http://finviz.com/quote.ashx?t=""&amp;A3086,""table"",10),7,2),""*"",""""),""-"",""0.00""))"),"Loading...")</f>
        <v>Loading...</v>
      </c>
      <c r="L3086" s="129">
        <v>1.64498777E8</v>
      </c>
      <c r="M3086" s="99">
        <v>1.6</v>
      </c>
    </row>
    <row r="3087">
      <c r="A3087" s="122" t="s">
        <v>6607</v>
      </c>
      <c r="B3087" s="123">
        <v>884269.0</v>
      </c>
      <c r="C3087" s="124" t="s">
        <v>6608</v>
      </c>
      <c r="D3087" s="125"/>
      <c r="E3087" s="126">
        <v>5.1</v>
      </c>
      <c r="F3087" s="127"/>
      <c r="G3087" s="127"/>
      <c r="H3087" s="127"/>
      <c r="I3087" s="128"/>
      <c r="K3087" s="55" t="s">
        <v>1034</v>
      </c>
      <c r="L3087" s="129">
        <v>5.9400157E7</v>
      </c>
      <c r="M3087" s="99">
        <v>-0.76</v>
      </c>
    </row>
    <row r="3088">
      <c r="A3088" s="122" t="s">
        <v>6609</v>
      </c>
      <c r="B3088" s="123">
        <v>1875609.0</v>
      </c>
      <c r="C3088" s="124" t="s">
        <v>6610</v>
      </c>
      <c r="D3088" s="125"/>
      <c r="E3088" s="126">
        <v>5.1</v>
      </c>
      <c r="F3088" s="127"/>
      <c r="G3088" s="127"/>
      <c r="H3088" s="127"/>
      <c r="I3088" s="128"/>
      <c r="K3088" s="105" t="str">
        <f>IFERROR(__xludf.DUMMYFUNCTION("if(A3088="""","""",substitute(SUBSTITUTE(index(importhtml(""http://finviz.com/quote.ashx?t=""&amp;A3088,""table"",10),7,2),""*"",""""),""-"",""0.00""))"),"Loading...")</f>
        <v>Loading...</v>
      </c>
      <c r="L3088" s="129">
        <v>3.4637179E7</v>
      </c>
      <c r="M3088" s="99">
        <f>IFERROR(__xludf.DUMMYFUNCTION("GOOGLEFINANCE(A3088,""beta"")"),0.81)</f>
        <v>0.81</v>
      </c>
    </row>
    <row r="3089">
      <c r="A3089" s="122" t="s">
        <v>6611</v>
      </c>
      <c r="B3089" s="123">
        <v>1296884.0</v>
      </c>
      <c r="C3089" s="124" t="s">
        <v>6612</v>
      </c>
      <c r="D3089" s="125"/>
      <c r="E3089" s="126">
        <v>5.11</v>
      </c>
      <c r="F3089" s="127"/>
      <c r="G3089" s="127"/>
      <c r="H3089" s="127"/>
      <c r="I3089" s="128"/>
      <c r="K3089" s="105" t="str">
        <f>IFERROR(__xludf.DUMMYFUNCTION("if(A3089="""","""",substitute(SUBSTITUTE(index(importhtml(""http://finviz.com/quote.ashx?t=""&amp;A3089,""table"",10),7,2),""*"",""""),""-"",""0.00""))"),"Loading...")</f>
        <v>Loading...</v>
      </c>
      <c r="L3089" s="129" t="e">
        <v>#N/A</v>
      </c>
      <c r="M3089" s="99" t="str">
        <f>IFERROR(__xludf.DUMMYFUNCTION("GOOGLEFINANCE(A3089,""beta"")"),"#N/A")</f>
        <v>#N/A</v>
      </c>
    </row>
    <row r="3090">
      <c r="A3090" s="122" t="s">
        <v>6613</v>
      </c>
      <c r="B3090" s="123">
        <v>1828377.0</v>
      </c>
      <c r="C3090" s="124" t="s">
        <v>6614</v>
      </c>
      <c r="D3090" s="125"/>
      <c r="E3090" s="126">
        <v>5.12</v>
      </c>
      <c r="F3090" s="127"/>
      <c r="G3090" s="127"/>
      <c r="H3090" s="127"/>
      <c r="I3090" s="128"/>
      <c r="K3090" s="105" t="str">
        <f>IFERROR(__xludf.DUMMYFUNCTION("if(A3090="""","""",substitute(SUBSTITUTE(index(importhtml(""http://finviz.com/quote.ashx?t=""&amp;A3090,""table"",10),7,2),""*"",""""),""-"",""0.00""))"),"Loading...")</f>
        <v>Loading...</v>
      </c>
      <c r="L3090" s="129">
        <v>1.2331279E8</v>
      </c>
      <c r="M3090" s="99">
        <f>IFERROR(__xludf.DUMMYFUNCTION("GOOGLEFINANCE(A3090,""beta"")"),0.63)</f>
        <v>0.63</v>
      </c>
    </row>
    <row r="3091">
      <c r="A3091" s="122" t="s">
        <v>6615</v>
      </c>
      <c r="B3091" s="123">
        <v>1637120.0</v>
      </c>
      <c r="C3091" s="124" t="s">
        <v>6616</v>
      </c>
      <c r="D3091" s="125"/>
      <c r="E3091" s="126">
        <v>5.12</v>
      </c>
      <c r="F3091" s="127"/>
      <c r="G3091" s="127"/>
      <c r="H3091" s="127"/>
      <c r="I3091" s="128"/>
      <c r="K3091" s="105" t="str">
        <f>IFERROR(__xludf.DUMMYFUNCTION("if(A3091="""","""",substitute(SUBSTITUTE(index(importhtml(""http://finviz.com/quote.ashx?t=""&amp;A3091,""table"",10),7,2),""*"",""""),""-"",""0.00""))"),"Loading...")</f>
        <v>Loading...</v>
      </c>
      <c r="L3091" s="129">
        <v>1.55691294444E11</v>
      </c>
      <c r="M3091" s="99">
        <v>0.68</v>
      </c>
    </row>
    <row r="3092">
      <c r="A3092" s="122" t="s">
        <v>6617</v>
      </c>
      <c r="B3092" s="123">
        <v>1638287.0</v>
      </c>
      <c r="C3092" s="124" t="s">
        <v>6618</v>
      </c>
      <c r="D3092" s="125"/>
      <c r="E3092" s="126">
        <v>5.13</v>
      </c>
      <c r="F3092" s="127"/>
      <c r="G3092" s="127"/>
      <c r="H3092" s="127"/>
      <c r="I3092" s="128"/>
      <c r="K3092" s="105" t="str">
        <f>IFERROR(__xludf.DUMMYFUNCTION("if(A3092="""","""",substitute(SUBSTITUTE(index(importhtml(""http://finviz.com/quote.ashx?t=""&amp;A3092,""table"",10),7,2),""*"",""""),""-"",""0.00""))"),"Loading...")</f>
        <v>Loading...</v>
      </c>
      <c r="L3092" s="129">
        <v>2.4888523E7</v>
      </c>
      <c r="M3092" s="99">
        <v>-0.4</v>
      </c>
    </row>
    <row r="3093">
      <c r="A3093" s="122" t="s">
        <v>6619</v>
      </c>
      <c r="B3093" s="123">
        <v>1604191.0</v>
      </c>
      <c r="C3093" s="124" t="s">
        <v>6620</v>
      </c>
      <c r="D3093" s="125"/>
      <c r="E3093" s="126">
        <v>5.14</v>
      </c>
      <c r="F3093" s="127"/>
      <c r="G3093" s="127"/>
      <c r="H3093" s="127"/>
      <c r="I3093" s="128"/>
      <c r="K3093" s="105" t="str">
        <f>IFERROR(__xludf.DUMMYFUNCTION("if(A3093="""","""",substitute(SUBSTITUTE(index(importhtml(""http://finviz.com/quote.ashx?t=""&amp;A3093,""table"",10),7,2),""*"",""""),""-"",""0.00""))"),"Loading...")</f>
        <v>Loading...</v>
      </c>
      <c r="L3093" s="129">
        <v>8023529.0</v>
      </c>
      <c r="M3093" s="99">
        <v>1.16</v>
      </c>
    </row>
    <row r="3094">
      <c r="A3094" s="122" t="s">
        <v>6621</v>
      </c>
      <c r="B3094" s="123">
        <v>732026.0</v>
      </c>
      <c r="C3094" s="124" t="s">
        <v>6622</v>
      </c>
      <c r="D3094" s="125"/>
      <c r="E3094" s="126">
        <v>5.14</v>
      </c>
      <c r="F3094" s="127"/>
      <c r="G3094" s="127"/>
      <c r="H3094" s="127"/>
      <c r="I3094" s="128"/>
      <c r="K3094" s="105" t="str">
        <f>IFERROR(__xludf.DUMMYFUNCTION("if(A3094="""","""",substitute(SUBSTITUTE(index(importhtml(""http://finviz.com/quote.ashx?t=""&amp;A3094,""table"",10),7,2),""*"",""""),""-"",""0.00""))"),"Loading...")</f>
        <v>Loading...</v>
      </c>
      <c r="L3094" s="129">
        <v>2.1066957E7</v>
      </c>
      <c r="M3094" s="99">
        <v>0.97</v>
      </c>
    </row>
    <row r="3095">
      <c r="A3095" s="122" t="s">
        <v>6623</v>
      </c>
      <c r="B3095" s="123">
        <v>1451505.0</v>
      </c>
      <c r="C3095" s="124" t="s">
        <v>6624</v>
      </c>
      <c r="D3095" s="125"/>
      <c r="E3095" s="126">
        <v>5.14</v>
      </c>
      <c r="F3095" s="127"/>
      <c r="G3095" s="127"/>
      <c r="H3095" s="127"/>
      <c r="I3095" s="128"/>
      <c r="K3095" s="105" t="str">
        <f>IFERROR(__xludf.DUMMYFUNCTION("if(A3095="""","""",substitute(SUBSTITUTE(index(importhtml(""http://finviz.com/quote.ashx?t=""&amp;A3095,""table"",10),7,2),""*"",""""),""-"",""0.00""))"),"Loading...")</f>
        <v>Loading...</v>
      </c>
      <c r="L3095" s="129">
        <v>4.158418203E9</v>
      </c>
      <c r="M3095" s="99">
        <v>2.8</v>
      </c>
    </row>
    <row r="3096">
      <c r="A3096" s="122" t="s">
        <v>6625</v>
      </c>
      <c r="B3096" s="123">
        <v>1163653.0</v>
      </c>
      <c r="C3096" s="124" t="s">
        <v>6626</v>
      </c>
      <c r="D3096" s="125"/>
      <c r="E3096" s="126">
        <v>5.14</v>
      </c>
      <c r="F3096" s="127"/>
      <c r="G3096" s="127"/>
      <c r="H3096" s="127"/>
      <c r="I3096" s="128"/>
      <c r="K3096" s="105" t="str">
        <f>IFERROR(__xludf.DUMMYFUNCTION("if(A3096="""","""",substitute(SUBSTITUTE(index(importhtml(""http://finviz.com/quote.ashx?t=""&amp;A3096,""table"",10),7,2),""*"",""""),""-"",""0.00""))"),"Loading...")</f>
        <v>Loading...</v>
      </c>
      <c r="L3096" s="129">
        <v>1.7136243238E10</v>
      </c>
      <c r="M3096" s="99">
        <v>0.64</v>
      </c>
    </row>
    <row r="3097">
      <c r="A3097" s="122" t="s">
        <v>6627</v>
      </c>
      <c r="B3097" s="123">
        <v>1287098.0</v>
      </c>
      <c r="C3097" s="124" t="s">
        <v>6628</v>
      </c>
      <c r="D3097" s="125"/>
      <c r="E3097" s="126">
        <v>5.15</v>
      </c>
      <c r="F3097" s="127"/>
      <c r="G3097" s="127"/>
      <c r="H3097" s="127"/>
      <c r="I3097" s="128"/>
      <c r="K3097" s="105" t="str">
        <f>IFERROR(__xludf.DUMMYFUNCTION("if(A3097="""","""",substitute(SUBSTITUTE(index(importhtml(""http://finviz.com/quote.ashx?t=""&amp;A3097,""table"",10),7,2),""*"",""""),""-"",""0.00""))"),"Loading...")</f>
        <v>Loading...</v>
      </c>
      <c r="L3097" s="129">
        <v>5.35402249E8</v>
      </c>
      <c r="M3097" s="99">
        <f>IFERROR(__xludf.DUMMYFUNCTION("GOOGLEFINANCE(A3097,""beta"")"),1.23)</f>
        <v>1.23</v>
      </c>
    </row>
    <row r="3098">
      <c r="A3098" s="122" t="s">
        <v>6629</v>
      </c>
      <c r="B3098" s="123">
        <v>1567925.0</v>
      </c>
      <c r="C3098" s="124" t="s">
        <v>6630</v>
      </c>
      <c r="D3098" s="125"/>
      <c r="E3098" s="126">
        <v>5.15</v>
      </c>
      <c r="F3098" s="127"/>
      <c r="G3098" s="127"/>
      <c r="H3098" s="127"/>
      <c r="I3098" s="128"/>
      <c r="K3098" s="105" t="str">
        <f>IFERROR(__xludf.DUMMYFUNCTION("if(A3098="""","""",substitute(SUBSTITUTE(index(importhtml(""http://finviz.com/quote.ashx?t=""&amp;A3098,""table"",10),7,2),""*"",""""),""-"",""0.00""))"),"Loading...")</f>
        <v>Loading...</v>
      </c>
      <c r="L3098" s="129" t="e">
        <v>#N/A</v>
      </c>
      <c r="M3098" s="99" t="str">
        <f>IFERROR(__xludf.DUMMYFUNCTION("GOOGLEFINANCE(A3098,""beta"")"),"#N/A")</f>
        <v>#N/A</v>
      </c>
    </row>
    <row r="3099">
      <c r="A3099" s="122" t="s">
        <v>6631</v>
      </c>
      <c r="B3099" s="123">
        <v>908937.0</v>
      </c>
      <c r="C3099" s="124" t="s">
        <v>6632</v>
      </c>
      <c r="D3099" s="125"/>
      <c r="E3099" s="126">
        <v>5.17</v>
      </c>
      <c r="F3099" s="127"/>
      <c r="G3099" s="127"/>
      <c r="H3099" s="127"/>
      <c r="I3099" s="128"/>
      <c r="K3099" s="105" t="str">
        <f>IFERROR(__xludf.DUMMYFUNCTION("if(A3099="""","""",substitute(SUBSTITUTE(index(importhtml(""http://finviz.com/quote.ashx?t=""&amp;A3099,""table"",10),7,2),""*"",""""),""-"",""0.00""))"),"Loading...")</f>
        <v>Loading...</v>
      </c>
      <c r="L3099" s="129">
        <v>1.9847309752E10</v>
      </c>
      <c r="M3099" s="99">
        <v>1.07</v>
      </c>
    </row>
    <row r="3100">
      <c r="A3100" s="122" t="s">
        <v>6633</v>
      </c>
      <c r="B3100" s="123">
        <v>909112.0</v>
      </c>
      <c r="C3100" s="124" t="s">
        <v>6634</v>
      </c>
      <c r="D3100" s="125"/>
      <c r="E3100" s="126">
        <v>5.18</v>
      </c>
      <c r="F3100" s="127"/>
      <c r="G3100" s="127"/>
      <c r="H3100" s="127"/>
      <c r="I3100" s="128"/>
      <c r="K3100" s="105" t="str">
        <f>IFERROR(__xludf.DUMMYFUNCTION("if(A3100="""","""",substitute(SUBSTITUTE(index(importhtml(""http://finviz.com/quote.ashx?t=""&amp;A3100,""table"",10),7,2),""*"",""""),""-"",""0.00""))"),"Loading...")</f>
        <v>Loading...</v>
      </c>
      <c r="L3100" s="129">
        <v>2.45420207E8</v>
      </c>
      <c r="M3100" s="99">
        <v>0.58</v>
      </c>
    </row>
    <row r="3101">
      <c r="A3101" s="122" t="s">
        <v>6635</v>
      </c>
      <c r="B3101" s="123">
        <v>1393434.0</v>
      </c>
      <c r="C3101" s="124" t="s">
        <v>6636</v>
      </c>
      <c r="D3101" s="125"/>
      <c r="E3101" s="126">
        <v>5.18</v>
      </c>
      <c r="F3101" s="127"/>
      <c r="G3101" s="127"/>
      <c r="H3101" s="127"/>
      <c r="I3101" s="128"/>
      <c r="K3101" s="105" t="str">
        <f>IFERROR(__xludf.DUMMYFUNCTION("if(A3101="""","""",substitute(SUBSTITUTE(index(importhtml(""http://finviz.com/quote.ashx?t=""&amp;A3101,""table"",10),7,2),""*"",""""),""-"",""0.00""))"),"Loading...")</f>
        <v>Loading...</v>
      </c>
      <c r="L3101" s="129">
        <v>5.70898659E8</v>
      </c>
      <c r="M3101" s="99">
        <v>1.09</v>
      </c>
    </row>
    <row r="3102">
      <c r="A3102" s="122" t="s">
        <v>6637</v>
      </c>
      <c r="B3102" s="123">
        <v>1138639.0</v>
      </c>
      <c r="C3102" s="124" t="s">
        <v>6638</v>
      </c>
      <c r="D3102" s="125"/>
      <c r="E3102" s="126">
        <v>5.18</v>
      </c>
      <c r="F3102" s="127"/>
      <c r="G3102" s="127"/>
      <c r="H3102" s="127"/>
      <c r="I3102" s="128"/>
      <c r="K3102" s="105" t="str">
        <f>IFERROR(__xludf.DUMMYFUNCTION("if(A3102="""","""",substitute(SUBSTITUTE(index(importhtml(""http://finviz.com/quote.ashx?t=""&amp;A3102,""table"",10),7,2),""*"",""""),""-"",""0.00""))"),"Loading...")</f>
        <v>Loading...</v>
      </c>
      <c r="L3102" s="129">
        <v>1.175464727E9</v>
      </c>
      <c r="M3102" s="99">
        <v>1.59</v>
      </c>
    </row>
    <row r="3103">
      <c r="A3103" s="122" t="s">
        <v>6639</v>
      </c>
      <c r="B3103" s="123">
        <v>1864163.0</v>
      </c>
      <c r="C3103" s="124" t="s">
        <v>6640</v>
      </c>
      <c r="D3103" s="125"/>
      <c r="E3103" s="126">
        <v>5.18</v>
      </c>
      <c r="F3103" s="127"/>
      <c r="G3103" s="127"/>
      <c r="H3103" s="127"/>
      <c r="I3103" s="128"/>
      <c r="K3103" s="105" t="str">
        <f>IFERROR(__xludf.DUMMYFUNCTION("if(A3103="""","""",substitute(SUBSTITUTE(index(importhtml(""http://finviz.com/quote.ashx?t=""&amp;A3103,""table"",10),7,2),""*"",""""),""-"",""0.00""))"),"Loading...")</f>
        <v>Loading...</v>
      </c>
      <c r="L3103" s="129">
        <v>2.265713276E9</v>
      </c>
      <c r="M3103" s="99">
        <f>IFERROR(__xludf.DUMMYFUNCTION("GOOGLEFINANCE(A3103,""beta"")"),1.13)</f>
        <v>1.13</v>
      </c>
    </row>
    <row r="3104">
      <c r="A3104" s="122" t="s">
        <v>6641</v>
      </c>
      <c r="B3104" s="123">
        <v>1823144.0</v>
      </c>
      <c r="C3104" s="124" t="s">
        <v>6642</v>
      </c>
      <c r="D3104" s="125"/>
      <c r="E3104" s="126">
        <v>5.19</v>
      </c>
      <c r="F3104" s="127"/>
      <c r="G3104" s="127"/>
      <c r="H3104" s="127"/>
      <c r="I3104" s="128"/>
      <c r="K3104" s="105" t="str">
        <f>IFERROR(__xludf.DUMMYFUNCTION("if(A3104="""","""",substitute(SUBSTITUTE(index(importhtml(""http://finviz.com/quote.ashx?t=""&amp;A3104,""table"",10),7,2),""*"",""""),""-"",""0.00""))"),"Loading...")</f>
        <v>Loading...</v>
      </c>
      <c r="L3104" s="129">
        <v>4.11646048E8</v>
      </c>
      <c r="M3104" s="99">
        <v>0.64</v>
      </c>
    </row>
    <row r="3105">
      <c r="A3105" s="122" t="s">
        <v>6643</v>
      </c>
      <c r="B3105" s="123">
        <v>1657853.0</v>
      </c>
      <c r="C3105" s="124" t="s">
        <v>6644</v>
      </c>
      <c r="D3105" s="125"/>
      <c r="E3105" s="126">
        <v>5.19</v>
      </c>
      <c r="F3105" s="127"/>
      <c r="G3105" s="127"/>
      <c r="H3105" s="127"/>
      <c r="I3105" s="128"/>
      <c r="K3105" s="105" t="str">
        <f>IFERROR(__xludf.DUMMYFUNCTION("if(A3105="""","""",substitute(SUBSTITUTE(index(importhtml(""http://finviz.com/quote.ashx?t=""&amp;A3105,""table"",10),7,2),""*"",""""),""-"",""0.00""))"),"Loading...")</f>
        <v>Loading...</v>
      </c>
      <c r="L3105" s="129">
        <v>2.677971301E9</v>
      </c>
      <c r="M3105" s="99">
        <f>IFERROR(__xludf.DUMMYFUNCTION("GOOGLEFINANCE(A3105,""beta"")"),2.44)</f>
        <v>2.44</v>
      </c>
    </row>
    <row r="3106">
      <c r="A3106" s="122" t="s">
        <v>6645</v>
      </c>
      <c r="B3106" s="123">
        <v>1654595.0</v>
      </c>
      <c r="C3106" s="124" t="s">
        <v>6646</v>
      </c>
      <c r="D3106" s="125"/>
      <c r="E3106" s="126">
        <v>5.2</v>
      </c>
      <c r="F3106" s="127"/>
      <c r="G3106" s="127"/>
      <c r="H3106" s="127"/>
      <c r="I3106" s="128"/>
      <c r="K3106" s="105" t="str">
        <f>IFERROR(__xludf.DUMMYFUNCTION("if(A3106="""","""",substitute(SUBSTITUTE(index(importhtml(""http://finviz.com/quote.ashx?t=""&amp;A3106,""table"",10),7,2),""*"",""""),""-"",""0.00""))"),"Loading...")</f>
        <v>Loading...</v>
      </c>
      <c r="L3106" s="129">
        <v>1.153759E7</v>
      </c>
      <c r="M3106" s="99">
        <v>0.91</v>
      </c>
    </row>
    <row r="3107">
      <c r="A3107" s="122" t="s">
        <v>6647</v>
      </c>
      <c r="B3107" s="123">
        <v>1745931.0</v>
      </c>
      <c r="C3107" s="124" t="s">
        <v>6648</v>
      </c>
      <c r="D3107" s="125"/>
      <c r="E3107" s="126">
        <v>5.2</v>
      </c>
      <c r="F3107" s="127"/>
      <c r="G3107" s="127"/>
      <c r="H3107" s="127"/>
      <c r="I3107" s="128"/>
      <c r="K3107" s="105" t="str">
        <f>IFERROR(__xludf.DUMMYFUNCTION("if(A3107="""","""",substitute(SUBSTITUTE(index(importhtml(""http://finviz.com/quote.ashx?t=""&amp;A3107,""table"",10),7,2),""*"",""""),""-"",""0.00""))"),"Loading...")</f>
        <v>Loading...</v>
      </c>
      <c r="L3107" s="129" t="e">
        <v>#N/A</v>
      </c>
      <c r="M3107" s="99" t="str">
        <f>IFERROR(__xludf.DUMMYFUNCTION("GOOGLEFINANCE(A3107,""beta"")"),"#N/A")</f>
        <v>#N/A</v>
      </c>
    </row>
    <row r="3108">
      <c r="A3108" s="122" t="s">
        <v>6649</v>
      </c>
      <c r="B3108" s="123">
        <v>838875.0</v>
      </c>
      <c r="C3108" s="124" t="s">
        <v>6650</v>
      </c>
      <c r="D3108" s="125"/>
      <c r="E3108" s="126">
        <v>5.21</v>
      </c>
      <c r="F3108" s="127"/>
      <c r="G3108" s="127"/>
      <c r="H3108" s="127"/>
      <c r="I3108" s="128"/>
      <c r="K3108" s="105" t="str">
        <f>IFERROR(__xludf.DUMMYFUNCTION("if(A3108="""","""",substitute(SUBSTITUTE(index(importhtml(""http://finviz.com/quote.ashx?t=""&amp;A3108,""table"",10),7,2),""*"",""""),""-"",""0.00""))"),"Loading...")</f>
        <v>Loading...</v>
      </c>
      <c r="L3108" s="129">
        <v>2.5865191E7</v>
      </c>
      <c r="M3108" s="99">
        <v>0.7</v>
      </c>
    </row>
    <row r="3109">
      <c r="A3109" s="122" t="s">
        <v>6651</v>
      </c>
      <c r="B3109" s="123">
        <v>1449792.0</v>
      </c>
      <c r="C3109" s="124" t="s">
        <v>6652</v>
      </c>
      <c r="D3109" s="125"/>
      <c r="E3109" s="126">
        <v>5.21</v>
      </c>
      <c r="F3109" s="127"/>
      <c r="G3109" s="127"/>
      <c r="H3109" s="127"/>
      <c r="I3109" s="128"/>
      <c r="K3109" s="105" t="str">
        <f>IFERROR(__xludf.DUMMYFUNCTION("if(A3109="""","""",substitute(SUBSTITUTE(index(importhtml(""http://finviz.com/quote.ashx?t=""&amp;A3109,""table"",10),7,2),""*"",""""),""-"",""0.00""))"),"Loading...")</f>
        <v>Loading...</v>
      </c>
      <c r="L3109" s="129">
        <v>5.1735414E7</v>
      </c>
      <c r="M3109" s="99">
        <v>0.74</v>
      </c>
    </row>
    <row r="3110">
      <c r="A3110" s="122" t="s">
        <v>6653</v>
      </c>
      <c r="B3110" s="123">
        <v>801961.0</v>
      </c>
      <c r="C3110" s="124" t="s">
        <v>6654</v>
      </c>
      <c r="D3110" s="125"/>
      <c r="E3110" s="126">
        <v>5.21</v>
      </c>
      <c r="F3110" s="127"/>
      <c r="G3110" s="127"/>
      <c r="H3110" s="127"/>
      <c r="I3110" s="128"/>
      <c r="K3110" s="105" t="str">
        <f>IFERROR(__xludf.DUMMYFUNCTION("if(A3110="""","""",substitute(SUBSTITUTE(index(importhtml(""http://finviz.com/quote.ashx?t=""&amp;A3110,""table"",10),7,2),""*"",""""),""-"",""0.00""))"),"Loading...")</f>
        <v>Loading...</v>
      </c>
      <c r="L3110" s="129">
        <v>2.14587501E8</v>
      </c>
      <c r="M3110" s="99">
        <v>0.5</v>
      </c>
    </row>
    <row r="3111">
      <c r="A3111" s="122" t="s">
        <v>6655</v>
      </c>
      <c r="B3111" s="123">
        <v>72162.0</v>
      </c>
      <c r="C3111" s="124" t="s">
        <v>6656</v>
      </c>
      <c r="D3111" s="125"/>
      <c r="E3111" s="126">
        <v>5.22</v>
      </c>
      <c r="F3111" s="127"/>
      <c r="G3111" s="127"/>
      <c r="H3111" s="127"/>
      <c r="I3111" s="128"/>
      <c r="K3111" s="138" t="s">
        <v>6151</v>
      </c>
      <c r="L3111" s="129">
        <v>2.54910755E8</v>
      </c>
      <c r="M3111" s="99">
        <v>0.65</v>
      </c>
    </row>
    <row r="3112">
      <c r="A3112" s="122" t="s">
        <v>6657</v>
      </c>
      <c r="B3112" s="123">
        <v>811641.0</v>
      </c>
      <c r="C3112" s="124" t="s">
        <v>6658</v>
      </c>
      <c r="D3112" s="125"/>
      <c r="E3112" s="126">
        <v>5.23</v>
      </c>
      <c r="F3112" s="127"/>
      <c r="G3112" s="127"/>
      <c r="H3112" s="127"/>
      <c r="I3112" s="128"/>
      <c r="K3112" s="105" t="str">
        <f>IFERROR(__xludf.DUMMYFUNCTION("if(A3112="""","""",substitute(SUBSTITUTE(index(importhtml(""http://finviz.com/quote.ashx?t=""&amp;A3112,""table"",10),7,2),""*"",""""),""-"",""0.00""))"),"Loading...")</f>
        <v>Loading...</v>
      </c>
      <c r="L3112" s="129">
        <v>4.0498258E7</v>
      </c>
      <c r="M3112" s="99">
        <v>0.6</v>
      </c>
    </row>
    <row r="3113">
      <c r="A3113" s="122" t="s">
        <v>6659</v>
      </c>
      <c r="B3113" s="123">
        <v>1368514.0</v>
      </c>
      <c r="C3113" s="124" t="s">
        <v>6660</v>
      </c>
      <c r="D3113" s="125"/>
      <c r="E3113" s="126">
        <v>5.23</v>
      </c>
      <c r="F3113" s="127"/>
      <c r="G3113" s="127"/>
      <c r="H3113" s="127"/>
      <c r="I3113" s="128"/>
      <c r="K3113" s="105" t="str">
        <f>IFERROR(__xludf.DUMMYFUNCTION("if(A3113="""","""",substitute(SUBSTITUTE(index(importhtml(""http://finviz.com/quote.ashx?t=""&amp;A3113,""table"",10),7,2),""*"",""""),""-"",""0.00""))"),"Loading...")</f>
        <v>Loading...</v>
      </c>
      <c r="L3113" s="129">
        <v>1.181811075E9</v>
      </c>
      <c r="M3113" s="99">
        <v>0.47</v>
      </c>
    </row>
    <row r="3114">
      <c r="A3114" s="122" t="s">
        <v>6661</v>
      </c>
      <c r="B3114" s="123">
        <v>25895.0</v>
      </c>
      <c r="C3114" s="124" t="s">
        <v>6662</v>
      </c>
      <c r="D3114" s="125"/>
      <c r="E3114" s="126">
        <v>5.24</v>
      </c>
      <c r="F3114" s="127"/>
      <c r="G3114" s="127"/>
      <c r="H3114" s="127"/>
      <c r="I3114" s="128"/>
      <c r="K3114" s="105" t="str">
        <f>IFERROR(__xludf.DUMMYFUNCTION("if(A3114="""","""",substitute(SUBSTITUTE(index(importhtml(""http://finviz.com/quote.ashx?t=""&amp;A3114,""table"",10),7,2),""*"",""""),""-"",""0.00""))"),"Loading...")</f>
        <v>Loading...</v>
      </c>
      <c r="L3114" s="129">
        <v>5.3682016E7</v>
      </c>
      <c r="M3114" s="99">
        <v>0.79</v>
      </c>
    </row>
    <row r="3115">
      <c r="A3115" s="122" t="s">
        <v>6663</v>
      </c>
      <c r="B3115" s="123">
        <v>1783328.0</v>
      </c>
      <c r="C3115" s="124" t="s">
        <v>6664</v>
      </c>
      <c r="D3115" s="125"/>
      <c r="E3115" s="126">
        <v>5.24</v>
      </c>
      <c r="F3115" s="127"/>
      <c r="G3115" s="127"/>
      <c r="H3115" s="127"/>
      <c r="I3115" s="128"/>
      <c r="K3115" s="105" t="str">
        <f>IFERROR(__xludf.DUMMYFUNCTION("if(A3115="""","""",substitute(SUBSTITUTE(index(importhtml(""http://finviz.com/quote.ashx?t=""&amp;A3115,""table"",10),7,2),""*"",""""),""-"",""0.00""))"),"Loading...")</f>
        <v>Loading...</v>
      </c>
      <c r="L3115" s="129">
        <v>2.50601259E8</v>
      </c>
      <c r="M3115" s="99">
        <f>IFERROR(__xludf.DUMMYFUNCTION("GOOGLEFINANCE(A3115,""beta"")"),1.0)</f>
        <v>1</v>
      </c>
    </row>
    <row r="3116">
      <c r="A3116" s="122" t="s">
        <v>6665</v>
      </c>
      <c r="B3116" s="123">
        <v>1620280.0</v>
      </c>
      <c r="C3116" s="124" t="s">
        <v>6666</v>
      </c>
      <c r="D3116" s="125"/>
      <c r="E3116" s="126">
        <v>5.24</v>
      </c>
      <c r="F3116" s="127"/>
      <c r="G3116" s="127"/>
      <c r="H3116" s="127"/>
      <c r="I3116" s="128"/>
      <c r="K3116" s="105" t="str">
        <f>IFERROR(__xludf.DUMMYFUNCTION("if(A3116="""","""",substitute(SUBSTITUTE(index(importhtml(""http://finviz.com/quote.ashx?t=""&amp;A3116,""table"",10),7,2),""*"",""""),""-"",""0.00""))"),"Loading...")</f>
        <v>Loading...</v>
      </c>
      <c r="L3116" s="129">
        <v>1.250641749E9</v>
      </c>
      <c r="M3116" s="99">
        <v>1.32</v>
      </c>
    </row>
    <row r="3117">
      <c r="A3117" s="122" t="s">
        <v>6667</v>
      </c>
      <c r="B3117" s="123">
        <v>1823239.0</v>
      </c>
      <c r="C3117" s="124" t="s">
        <v>6668</v>
      </c>
      <c r="D3117" s="125"/>
      <c r="E3117" s="126">
        <v>5.24</v>
      </c>
      <c r="F3117" s="127"/>
      <c r="G3117" s="127"/>
      <c r="H3117" s="127"/>
      <c r="I3117" s="128"/>
      <c r="K3117" s="105" t="str">
        <f>IFERROR(__xludf.DUMMYFUNCTION("if(A3117="""","""",substitute(SUBSTITUTE(index(importhtml(""http://finviz.com/quote.ashx?t=""&amp;A3117,""table"",10),7,2),""*"",""""),""-"",""0.00""))"),"Loading...")</f>
        <v>Loading...</v>
      </c>
      <c r="L3117" s="129">
        <v>1.31672129E9</v>
      </c>
      <c r="M3117" s="99">
        <v>-0.19</v>
      </c>
    </row>
    <row r="3118">
      <c r="A3118" s="122" t="s">
        <v>6669</v>
      </c>
      <c r="B3118" s="123">
        <v>876717.0</v>
      </c>
      <c r="C3118" s="124" t="s">
        <v>6670</v>
      </c>
      <c r="D3118" s="125"/>
      <c r="E3118" s="126">
        <v>5.25</v>
      </c>
      <c r="F3118" s="127"/>
      <c r="G3118" s="127"/>
      <c r="H3118" s="127"/>
      <c r="I3118" s="128"/>
      <c r="K3118" s="55" t="s">
        <v>6671</v>
      </c>
      <c r="L3118" s="129">
        <v>6.7142092E7</v>
      </c>
      <c r="M3118" s="99">
        <v>0.62</v>
      </c>
    </row>
    <row r="3119">
      <c r="A3119" s="122" t="s">
        <v>6672</v>
      </c>
      <c r="B3119" s="123">
        <v>830616.0</v>
      </c>
      <c r="C3119" s="124" t="s">
        <v>6673</v>
      </c>
      <c r="D3119" s="125"/>
      <c r="E3119" s="126">
        <v>5.25</v>
      </c>
      <c r="F3119" s="127"/>
      <c r="G3119" s="127"/>
      <c r="H3119" s="127"/>
      <c r="I3119" s="128"/>
      <c r="K3119" s="105" t="str">
        <f>IFERROR(__xludf.DUMMYFUNCTION("if(A3119="""","""",substitute(SUBSTITUTE(index(importhtml(""http://finviz.com/quote.ashx?t=""&amp;A3119,""table"",10),7,2),""*"",""""),""-"",""0.00""))"),"Loading...")</f>
        <v>Loading...</v>
      </c>
      <c r="L3119" s="129">
        <v>2.378359E7</v>
      </c>
      <c r="M3119" s="99">
        <v>1.21</v>
      </c>
    </row>
    <row r="3120">
      <c r="A3120" s="122" t="s">
        <v>6674</v>
      </c>
      <c r="B3120" s="123">
        <v>1860782.0</v>
      </c>
      <c r="C3120" s="124" t="s">
        <v>6675</v>
      </c>
      <c r="D3120" s="125"/>
      <c r="E3120" s="126">
        <v>5.25</v>
      </c>
      <c r="F3120" s="127"/>
      <c r="G3120" s="127"/>
      <c r="H3120" s="127"/>
      <c r="I3120" s="128"/>
      <c r="K3120" s="105" t="str">
        <f>IFERROR(__xludf.DUMMYFUNCTION("if(A3120="""","""",substitute(SUBSTITUTE(index(importhtml(""http://finviz.com/quote.ashx?t=""&amp;A3120,""table"",10),7,2),""*"",""""),""-"",""0.00""))"),"Loading...")</f>
        <v>Loading...</v>
      </c>
      <c r="L3120" s="129">
        <v>2.6577915E8</v>
      </c>
      <c r="M3120" s="99" t="str">
        <f>IFERROR(__xludf.DUMMYFUNCTION("GOOGLEFINANCE(A3120,""beta"")"),"#N/A")</f>
        <v>#N/A</v>
      </c>
    </row>
    <row r="3121">
      <c r="A3121" s="122" t="s">
        <v>6676</v>
      </c>
      <c r="B3121" s="123">
        <v>1026214.0</v>
      </c>
      <c r="C3121" s="124" t="s">
        <v>6677</v>
      </c>
      <c r="D3121" s="125"/>
      <c r="E3121" s="126">
        <v>5.25</v>
      </c>
      <c r="F3121" s="127"/>
      <c r="G3121" s="127"/>
      <c r="H3121" s="127"/>
      <c r="I3121" s="128"/>
      <c r="K3121" s="105" t="str">
        <f>IFERROR(__xludf.DUMMYFUNCTION("if(A3121="""","""",substitute(SUBSTITUTE(index(importhtml(""http://finviz.com/quote.ashx?t=""&amp;A3121,""table"",10),7,2),""*"",""""),""-"",""0.00""))"),"Loading...")</f>
        <v>Loading...</v>
      </c>
      <c r="L3121" s="129">
        <v>7.08564876E8</v>
      </c>
      <c r="M3121" s="99">
        <v>0.99</v>
      </c>
    </row>
    <row r="3122">
      <c r="A3122" s="122" t="s">
        <v>6678</v>
      </c>
      <c r="B3122" s="123">
        <v>1268884.0</v>
      </c>
      <c r="C3122" s="124" t="s">
        <v>6679</v>
      </c>
      <c r="D3122" s="125"/>
      <c r="E3122" s="126">
        <v>5.25</v>
      </c>
      <c r="F3122" s="127"/>
      <c r="G3122" s="127"/>
      <c r="H3122" s="127"/>
      <c r="I3122" s="128"/>
      <c r="K3122" s="105" t="str">
        <f>IFERROR(__xludf.DUMMYFUNCTION("if(A3122="""","""",substitute(SUBSTITUTE(index(importhtml(""http://finviz.com/quote.ashx?t=""&amp;A3122,""table"",10),7,2),""*"",""""),""-"",""0.00""))"),"Loading...")</f>
        <v>Loading...</v>
      </c>
      <c r="L3122" s="129">
        <v>7.34834625E8</v>
      </c>
      <c r="M3122" s="99">
        <v>1.35</v>
      </c>
    </row>
    <row r="3123">
      <c r="A3123" s="122" t="s">
        <v>6680</v>
      </c>
      <c r="B3123" s="123">
        <v>1526125.0</v>
      </c>
      <c r="C3123" s="124" t="s">
        <v>6681</v>
      </c>
      <c r="D3123" s="125"/>
      <c r="E3123" s="126">
        <v>5.26</v>
      </c>
      <c r="F3123" s="127"/>
      <c r="G3123" s="127"/>
      <c r="H3123" s="127"/>
      <c r="I3123" s="128"/>
      <c r="K3123" s="55" t="s">
        <v>1034</v>
      </c>
      <c r="L3123" s="129">
        <v>1.005322803E9</v>
      </c>
      <c r="M3123" s="99">
        <v>0.37</v>
      </c>
    </row>
    <row r="3124">
      <c r="A3124" s="122" t="s">
        <v>6682</v>
      </c>
      <c r="B3124" s="123">
        <v>1680379.0</v>
      </c>
      <c r="C3124" s="124" t="s">
        <v>6683</v>
      </c>
      <c r="D3124" s="125"/>
      <c r="E3124" s="126">
        <v>5.26</v>
      </c>
      <c r="F3124" s="127"/>
      <c r="G3124" s="127"/>
      <c r="H3124" s="127"/>
      <c r="I3124" s="128"/>
      <c r="K3124" s="105" t="str">
        <f>IFERROR(__xludf.DUMMYFUNCTION("if(A3124="""","""",substitute(SUBSTITUTE(index(importhtml(""http://finviz.com/quote.ashx?t=""&amp;A3124,""table"",10),7,2),""*"",""""),""-"",""0.00""))"),"Loading...")</f>
        <v>Loading...</v>
      </c>
      <c r="L3124" s="129">
        <v>2.73890052E8</v>
      </c>
      <c r="M3124" s="99">
        <v>0.6</v>
      </c>
    </row>
    <row r="3125">
      <c r="A3125" s="122" t="s">
        <v>6684</v>
      </c>
      <c r="B3125" s="123">
        <v>927971.0</v>
      </c>
      <c r="C3125" s="124" t="s">
        <v>6685</v>
      </c>
      <c r="D3125" s="125"/>
      <c r="E3125" s="126">
        <v>5.26</v>
      </c>
      <c r="F3125" s="127"/>
      <c r="G3125" s="127"/>
      <c r="H3125" s="127"/>
      <c r="I3125" s="128"/>
      <c r="K3125" s="105" t="str">
        <f>IFERROR(__xludf.DUMMYFUNCTION("if(A3125="""","""",substitute(SUBSTITUTE(index(importhtml(""http://finviz.com/quote.ashx?t=""&amp;A3125,""table"",10),7,2),""*"",""""),""-"",""0.00""))"),"Loading...")</f>
        <v>Loading...</v>
      </c>
      <c r="L3125" s="129">
        <v>6.7808877943E10</v>
      </c>
      <c r="M3125" s="99" t="str">
        <f>IFERROR(__xludf.DUMMYFUNCTION("GOOGLEFINANCE(A3125,""beta"")"),"#N/A")</f>
        <v>#N/A</v>
      </c>
    </row>
    <row r="3126">
      <c r="A3126" s="122" t="s">
        <v>6686</v>
      </c>
      <c r="B3126" s="123">
        <v>1637120.0</v>
      </c>
      <c r="C3126" s="124" t="s">
        <v>6687</v>
      </c>
      <c r="D3126" s="125"/>
      <c r="E3126" s="126">
        <v>5.26</v>
      </c>
      <c r="F3126" s="127"/>
      <c r="G3126" s="127"/>
      <c r="H3126" s="127"/>
      <c r="I3126" s="128"/>
      <c r="K3126" s="105" t="str">
        <f>IFERROR(__xludf.DUMMYFUNCTION("if(A3126="""","""",substitute(SUBSTITUTE(index(importhtml(""http://finviz.com/quote.ashx?t=""&amp;A3126,""table"",10),7,2),""*"",""""),""-"",""0.00""))"),"Loading...")</f>
        <v>Loading...</v>
      </c>
      <c r="L3126" s="129">
        <v>1.55691294444E11</v>
      </c>
      <c r="M3126" s="99">
        <v>0.63</v>
      </c>
    </row>
    <row r="3127">
      <c r="A3127" s="122" t="s">
        <v>6688</v>
      </c>
      <c r="B3127" s="123">
        <v>926617.0</v>
      </c>
      <c r="C3127" s="124" t="s">
        <v>6689</v>
      </c>
      <c r="D3127" s="125"/>
      <c r="E3127" s="126">
        <v>5.27</v>
      </c>
      <c r="F3127" s="127"/>
      <c r="G3127" s="127"/>
      <c r="H3127" s="127"/>
      <c r="I3127" s="128"/>
      <c r="K3127" s="55" t="s">
        <v>1034</v>
      </c>
      <c r="L3127" s="129">
        <v>5.4475093E7</v>
      </c>
      <c r="M3127" s="99">
        <v>1.74</v>
      </c>
    </row>
    <row r="3128">
      <c r="A3128" s="122" t="s">
        <v>6690</v>
      </c>
      <c r="B3128" s="123">
        <v>1362190.0</v>
      </c>
      <c r="C3128" s="124" t="s">
        <v>6691</v>
      </c>
      <c r="D3128" s="125"/>
      <c r="E3128" s="126">
        <v>5.27</v>
      </c>
      <c r="F3128" s="127"/>
      <c r="G3128" s="127"/>
      <c r="H3128" s="127"/>
      <c r="I3128" s="128"/>
      <c r="K3128" s="105" t="str">
        <f>IFERROR(__xludf.DUMMYFUNCTION("if(A3128="""","""",substitute(SUBSTITUTE(index(importhtml(""http://finviz.com/quote.ashx?t=""&amp;A3128,""table"",10),7,2),""*"",""""),""-"",""0.00""))"),"Loading...")</f>
        <v>Loading...</v>
      </c>
      <c r="L3128" s="129">
        <v>6.2654239E7</v>
      </c>
      <c r="M3128" s="99">
        <v>1.24</v>
      </c>
    </row>
    <row r="3129">
      <c r="A3129" s="122" t="s">
        <v>6692</v>
      </c>
      <c r="B3129" s="123">
        <v>1393299.0</v>
      </c>
      <c r="C3129" s="124" t="s">
        <v>6693</v>
      </c>
      <c r="D3129" s="125"/>
      <c r="E3129" s="126">
        <v>5.28</v>
      </c>
      <c r="F3129" s="127"/>
      <c r="G3129" s="127"/>
      <c r="H3129" s="127"/>
      <c r="I3129" s="128"/>
      <c r="K3129" s="55" t="s">
        <v>6478</v>
      </c>
      <c r="L3129" s="129">
        <v>5.35261605E8</v>
      </c>
      <c r="M3129" s="99">
        <v>0.86</v>
      </c>
    </row>
    <row r="3130">
      <c r="A3130" s="122" t="s">
        <v>6694</v>
      </c>
      <c r="B3130" s="123">
        <v>1785345.0</v>
      </c>
      <c r="C3130" s="124" t="s">
        <v>6695</v>
      </c>
      <c r="D3130" s="125"/>
      <c r="E3130" s="126">
        <v>5.28</v>
      </c>
      <c r="F3130" s="127"/>
      <c r="G3130" s="127"/>
      <c r="H3130" s="127"/>
      <c r="I3130" s="128"/>
      <c r="K3130" s="105" t="str">
        <f>IFERROR(__xludf.DUMMYFUNCTION("if(A3130="""","""",substitute(SUBSTITUTE(index(importhtml(""http://finviz.com/quote.ashx?t=""&amp;A3130,""table"",10),7,2),""*"",""""),""-"",""0.00""))"),"Loading...")</f>
        <v>Loading...</v>
      </c>
      <c r="L3130" s="129">
        <v>1.6456329E7</v>
      </c>
      <c r="M3130" s="99" t="str">
        <f>IFERROR(__xludf.DUMMYFUNCTION("GOOGLEFINANCE(A3130,""beta"")"),"#N/A")</f>
        <v>#N/A</v>
      </c>
    </row>
    <row r="3131">
      <c r="A3131" s="122" t="s">
        <v>6696</v>
      </c>
      <c r="B3131" s="123">
        <v>1675634.0</v>
      </c>
      <c r="C3131" s="124" t="s">
        <v>6697</v>
      </c>
      <c r="D3131" s="125"/>
      <c r="E3131" s="126">
        <v>5.28</v>
      </c>
      <c r="F3131" s="127"/>
      <c r="G3131" s="127"/>
      <c r="H3131" s="127"/>
      <c r="I3131" s="128"/>
      <c r="K3131" s="105" t="str">
        <f>IFERROR(__xludf.DUMMYFUNCTION("if(A3131="""","""",substitute(SUBSTITUTE(index(importhtml(""http://finviz.com/quote.ashx?t=""&amp;A3131,""table"",10),7,2),""*"",""""),""-"",""0.00""))"),"#N/A")</f>
        <v>#N/A</v>
      </c>
      <c r="L3131" s="129">
        <v>2.8499846E7</v>
      </c>
      <c r="M3131" s="99">
        <v>1.36</v>
      </c>
    </row>
    <row r="3132">
      <c r="A3132" s="122" t="s">
        <v>6698</v>
      </c>
      <c r="B3132" s="123">
        <v>1743102.0</v>
      </c>
      <c r="C3132" s="124" t="s">
        <v>6699</v>
      </c>
      <c r="D3132" s="125"/>
      <c r="E3132" s="126">
        <v>5.28</v>
      </c>
      <c r="F3132" s="127"/>
      <c r="G3132" s="127"/>
      <c r="H3132" s="127"/>
      <c r="I3132" s="128"/>
      <c r="K3132" s="105" t="str">
        <f>IFERROR(__xludf.DUMMYFUNCTION("if(A3132="""","""",substitute(SUBSTITUTE(index(importhtml(""http://finviz.com/quote.ashx?t=""&amp;A3132,""table"",10),7,2),""*"",""""),""-"",""0.00""))"),"Loading...")</f>
        <v>Loading...</v>
      </c>
      <c r="L3132" s="129">
        <v>2.83457022E8</v>
      </c>
      <c r="M3132" s="99">
        <v>0.97</v>
      </c>
    </row>
    <row r="3133">
      <c r="A3133" s="122" t="s">
        <v>6700</v>
      </c>
      <c r="B3133" s="123">
        <v>1041368.0</v>
      </c>
      <c r="C3133" s="124" t="s">
        <v>6701</v>
      </c>
      <c r="D3133" s="125"/>
      <c r="E3133" s="126">
        <v>5.29</v>
      </c>
      <c r="F3133" s="127"/>
      <c r="G3133" s="127"/>
      <c r="H3133" s="127"/>
      <c r="I3133" s="128"/>
      <c r="K3133" s="105" t="str">
        <f>IFERROR(__xludf.DUMMYFUNCTION("if(A3133="""","""",substitute(SUBSTITUTE(index(importhtml(""http://finviz.com/quote.ashx?t=""&amp;A3133,""table"",10),7,2),""*"",""""),""-"",""0.00""))"),"Loading...")</f>
        <v>Loading...</v>
      </c>
      <c r="L3133" s="129">
        <v>1.11677453E8</v>
      </c>
      <c r="M3133" s="99">
        <v>0.75</v>
      </c>
    </row>
    <row r="3134">
      <c r="A3134" s="122" t="s">
        <v>6702</v>
      </c>
      <c r="B3134" s="123">
        <v>1524684.0</v>
      </c>
      <c r="C3134" s="124" t="s">
        <v>6703</v>
      </c>
      <c r="D3134" s="125"/>
      <c r="E3134" s="126">
        <v>5.29</v>
      </c>
      <c r="F3134" s="127"/>
      <c r="G3134" s="127"/>
      <c r="H3134" s="127"/>
      <c r="I3134" s="128"/>
      <c r="K3134" s="105" t="str">
        <f>IFERROR(__xludf.DUMMYFUNCTION("if(A3134="""","""",substitute(SUBSTITUTE(index(importhtml(""http://finviz.com/quote.ashx?t=""&amp;A3134,""table"",10),7,2),""*"",""""),""-"",""0.00""))"),"Loading...")</f>
        <v>Loading...</v>
      </c>
      <c r="L3134" s="129">
        <v>5.0720629637E10</v>
      </c>
      <c r="M3134" s="99">
        <v>1.48</v>
      </c>
    </row>
    <row r="3135">
      <c r="A3135" s="122" t="s">
        <v>6704</v>
      </c>
      <c r="B3135" s="123">
        <v>786035.0</v>
      </c>
      <c r="C3135" s="124" t="s">
        <v>6705</v>
      </c>
      <c r="D3135" s="125"/>
      <c r="E3135" s="126">
        <v>5.3</v>
      </c>
      <c r="F3135" s="127"/>
      <c r="G3135" s="127"/>
      <c r="H3135" s="127"/>
      <c r="I3135" s="128"/>
      <c r="K3135" s="55" t="s">
        <v>6260</v>
      </c>
      <c r="L3135" s="129">
        <v>3.08656376E8</v>
      </c>
      <c r="M3135" s="99">
        <v>1.39</v>
      </c>
    </row>
    <row r="3136">
      <c r="A3136" s="122" t="s">
        <v>6706</v>
      </c>
      <c r="B3136" s="123">
        <v>1006655.0</v>
      </c>
      <c r="C3136" s="124" t="s">
        <v>6707</v>
      </c>
      <c r="D3136" s="125"/>
      <c r="E3136" s="126">
        <v>5.3</v>
      </c>
      <c r="F3136" s="127"/>
      <c r="G3136" s="127"/>
      <c r="H3136" s="127"/>
      <c r="I3136" s="128"/>
      <c r="K3136" s="55" t="s">
        <v>5866</v>
      </c>
      <c r="L3136" s="129">
        <v>1.7049524E8</v>
      </c>
      <c r="M3136" s="99">
        <v>0.87</v>
      </c>
    </row>
    <row r="3137">
      <c r="A3137" s="122" t="s">
        <v>6708</v>
      </c>
      <c r="B3137" s="123">
        <v>1358254.0</v>
      </c>
      <c r="C3137" s="124" t="s">
        <v>6709</v>
      </c>
      <c r="D3137" s="125"/>
      <c r="E3137" s="126">
        <v>5.3</v>
      </c>
      <c r="F3137" s="127"/>
      <c r="G3137" s="127"/>
      <c r="H3137" s="127"/>
      <c r="I3137" s="128"/>
      <c r="K3137" s="105" t="str">
        <f>IFERROR(__xludf.DUMMYFUNCTION("if(A3137="""","""",substitute(SUBSTITUTE(index(importhtml(""http://finviz.com/quote.ashx?t=""&amp;A3137,""table"",10),7,2),""*"",""""),""-"",""0.00""))"),"Loading...")</f>
        <v>Loading...</v>
      </c>
      <c r="L3137" s="129">
        <v>3.5584201E7</v>
      </c>
      <c r="M3137" s="99">
        <v>0.28</v>
      </c>
    </row>
    <row r="3138">
      <c r="A3138" s="122" t="s">
        <v>6710</v>
      </c>
      <c r="B3138" s="123">
        <v>1388320.0</v>
      </c>
      <c r="C3138" s="124" t="s">
        <v>6711</v>
      </c>
      <c r="D3138" s="125"/>
      <c r="E3138" s="126">
        <v>5.3</v>
      </c>
      <c r="F3138" s="127"/>
      <c r="G3138" s="127"/>
      <c r="H3138" s="127"/>
      <c r="I3138" s="128"/>
      <c r="K3138" s="105" t="str">
        <f>IFERROR(__xludf.DUMMYFUNCTION("if(A3138="""","""",substitute(SUBSTITUTE(index(importhtml(""http://finviz.com/quote.ashx?t=""&amp;A3138,""table"",10),7,2),""*"",""""),""-"",""0.00""))"),"Loading...")</f>
        <v>Loading...</v>
      </c>
      <c r="L3138" s="129">
        <v>1.45291184E8</v>
      </c>
      <c r="M3138" s="99">
        <v>-0.12</v>
      </c>
    </row>
    <row r="3139">
      <c r="A3139" s="122" t="s">
        <v>6712</v>
      </c>
      <c r="B3139" s="123">
        <v>1026214.0</v>
      </c>
      <c r="C3139" s="124" t="s">
        <v>6713</v>
      </c>
      <c r="D3139" s="125"/>
      <c r="E3139" s="126">
        <v>5.3</v>
      </c>
      <c r="F3139" s="127"/>
      <c r="G3139" s="127"/>
      <c r="H3139" s="127"/>
      <c r="I3139" s="128"/>
      <c r="K3139" s="105" t="str">
        <f>IFERROR(__xludf.DUMMYFUNCTION("if(A3139="""","""",substitute(SUBSTITUTE(index(importhtml(""http://finviz.com/quote.ashx?t=""&amp;A3139,""table"",10),7,2),""*"",""""),""-"",""0.00""))"),"Loading...")</f>
        <v>Loading...</v>
      </c>
      <c r="L3139" s="129">
        <v>7.08564876E8</v>
      </c>
      <c r="M3139" s="99">
        <v>0.87</v>
      </c>
    </row>
    <row r="3140">
      <c r="A3140" s="122" t="s">
        <v>6714</v>
      </c>
      <c r="B3140" s="123">
        <v>1693011.0</v>
      </c>
      <c r="C3140" s="124" t="s">
        <v>6715</v>
      </c>
      <c r="D3140" s="125"/>
      <c r="E3140" s="126">
        <v>5.31</v>
      </c>
      <c r="F3140" s="127"/>
      <c r="G3140" s="127"/>
      <c r="H3140" s="127"/>
      <c r="I3140" s="128"/>
      <c r="K3140" s="105" t="str">
        <f>IFERROR(__xludf.DUMMYFUNCTION("if(A3140="""","""",substitute(SUBSTITUTE(index(importhtml(""http://finviz.com/quote.ashx?t=""&amp;A3140,""table"",10),7,2),""*"",""""),""-"",""0.00""))"),"Loading...")</f>
        <v>Loading...</v>
      </c>
      <c r="L3140" s="129">
        <v>3.27949525E8</v>
      </c>
      <c r="M3140" s="99">
        <v>1.31</v>
      </c>
    </row>
    <row r="3141">
      <c r="A3141" s="122" t="s">
        <v>6716</v>
      </c>
      <c r="B3141" s="123">
        <v>836412.0</v>
      </c>
      <c r="C3141" s="124" t="s">
        <v>6717</v>
      </c>
      <c r="D3141" s="125"/>
      <c r="E3141" s="126">
        <v>5.31</v>
      </c>
      <c r="F3141" s="127"/>
      <c r="G3141" s="127"/>
      <c r="H3141" s="127"/>
      <c r="I3141" s="128"/>
      <c r="K3141" s="105" t="str">
        <f>IFERROR(__xludf.DUMMYFUNCTION("if(A3141="""","""",substitute(SUBSTITUTE(index(importhtml(""http://finviz.com/quote.ashx?t=""&amp;A3141,""table"",10),7,2),""*"",""""),""-"",""0.00""))"),"Loading...")</f>
        <v>Loading...</v>
      </c>
      <c r="L3141" s="129">
        <v>3.64150875E8</v>
      </c>
      <c r="M3141" s="99">
        <v>1.17</v>
      </c>
    </row>
    <row r="3142">
      <c r="A3142" s="122" t="s">
        <v>6718</v>
      </c>
      <c r="B3142" s="123">
        <v>1355096.0</v>
      </c>
      <c r="C3142" s="124" t="s">
        <v>6719</v>
      </c>
      <c r="D3142" s="125"/>
      <c r="E3142" s="126">
        <v>5.32</v>
      </c>
      <c r="F3142" s="127"/>
      <c r="G3142" s="127"/>
      <c r="H3142" s="127"/>
      <c r="I3142" s="128"/>
      <c r="K3142" s="105" t="str">
        <f>IFERROR(__xludf.DUMMYFUNCTION("if(A3142="""","""",substitute(SUBSTITUTE(index(importhtml(""http://finviz.com/quote.ashx?t=""&amp;A3142,""table"",10),7,2),""*"",""""),""-"",""0.00""))"),"Loading...")</f>
        <v>Loading...</v>
      </c>
      <c r="L3142" s="129">
        <v>3.70935515E8</v>
      </c>
      <c r="M3142" s="99">
        <v>1.21</v>
      </c>
    </row>
    <row r="3143">
      <c r="A3143" s="122" t="s">
        <v>6720</v>
      </c>
      <c r="B3143" s="123">
        <v>1615055.0</v>
      </c>
      <c r="C3143" s="124" t="s">
        <v>6721</v>
      </c>
      <c r="D3143" s="125"/>
      <c r="E3143" s="126">
        <v>5.32</v>
      </c>
      <c r="F3143" s="127"/>
      <c r="G3143" s="127"/>
      <c r="H3143" s="127"/>
      <c r="I3143" s="128"/>
      <c r="K3143" s="105" t="str">
        <f>IFERROR(__xludf.DUMMYFUNCTION("if(A3143="""","""",substitute(SUBSTITUTE(index(importhtml(""http://finviz.com/quote.ashx?t=""&amp;A3143,""table"",10),7,2),""*"",""""),""-"",""0.00""))"),"Loading...")</f>
        <v>Loading...</v>
      </c>
      <c r="L3143" s="129">
        <v>9.28477285E8</v>
      </c>
      <c r="M3143" s="99">
        <v>0.78</v>
      </c>
    </row>
    <row r="3144">
      <c r="A3144" s="122" t="s">
        <v>6722</v>
      </c>
      <c r="B3144" s="123">
        <v>1495222.0</v>
      </c>
      <c r="C3144" s="124" t="s">
        <v>6723</v>
      </c>
      <c r="D3144" s="125"/>
      <c r="E3144" s="126">
        <v>5.32</v>
      </c>
      <c r="F3144" s="127"/>
      <c r="G3144" s="127"/>
      <c r="H3144" s="127"/>
      <c r="I3144" s="128"/>
      <c r="K3144" s="105" t="str">
        <f>IFERROR(__xludf.DUMMYFUNCTION("if(A3144="""","""",substitute(SUBSTITUTE(index(importhtml(""http://finviz.com/quote.ashx?t=""&amp;A3144,""table"",10),7,2),""*"",""""),""-"",""0.00""))"),"Loading...")</f>
        <v>Loading...</v>
      </c>
      <c r="L3144" s="129">
        <v>1.168272037E9</v>
      </c>
      <c r="M3144" s="99">
        <v>1.13</v>
      </c>
    </row>
    <row r="3145">
      <c r="A3145" s="122" t="s">
        <v>6724</v>
      </c>
      <c r="B3145" s="123">
        <v>1856948.0</v>
      </c>
      <c r="C3145" s="124" t="s">
        <v>6725</v>
      </c>
      <c r="D3145" s="125"/>
      <c r="E3145" s="126">
        <v>5.33</v>
      </c>
      <c r="F3145" s="127"/>
      <c r="G3145" s="127"/>
      <c r="H3145" s="127"/>
      <c r="I3145" s="128"/>
      <c r="K3145" s="105" t="str">
        <f>IFERROR(__xludf.DUMMYFUNCTION("if(A3145="""","""",substitute(SUBSTITUTE(index(importhtml(""http://finviz.com/quote.ashx?t=""&amp;A3145,""table"",10),7,2),""*"",""""),""-"",""0.00""))"),"Loading...")</f>
        <v>Loading...</v>
      </c>
      <c r="L3145" s="129">
        <v>6.029653E7</v>
      </c>
      <c r="M3145" s="99" t="str">
        <f>IFERROR(__xludf.DUMMYFUNCTION("GOOGLEFINANCE(A3145,""beta"")"),"#N/A")</f>
        <v>#N/A</v>
      </c>
    </row>
    <row r="3146">
      <c r="A3146" s="122" t="s">
        <v>6726</v>
      </c>
      <c r="B3146" s="123">
        <v>1828962.0</v>
      </c>
      <c r="C3146" s="124" t="s">
        <v>6727</v>
      </c>
      <c r="D3146" s="125"/>
      <c r="E3146" s="126">
        <v>5.33</v>
      </c>
      <c r="F3146" s="127"/>
      <c r="G3146" s="127"/>
      <c r="H3146" s="127"/>
      <c r="I3146" s="128"/>
      <c r="K3146" s="105" t="str">
        <f>IFERROR(__xludf.DUMMYFUNCTION("if(A3146="""","""",substitute(SUBSTITUTE(index(importhtml(""http://finviz.com/quote.ashx?t=""&amp;A3146,""table"",10),7,2),""*"",""""),""-"",""0.00""))"),"Loading...")</f>
        <v>Loading...</v>
      </c>
      <c r="L3146" s="129">
        <v>1.168160093E9</v>
      </c>
      <c r="M3146" s="99">
        <f>IFERROR(__xludf.DUMMYFUNCTION("GOOGLEFINANCE(A3146,""beta"")"),0.29)</f>
        <v>0.29</v>
      </c>
    </row>
    <row r="3147">
      <c r="A3147" s="122" t="s">
        <v>6728</v>
      </c>
      <c r="B3147" s="123">
        <v>1310527.0</v>
      </c>
      <c r="C3147" s="124" t="s">
        <v>6729</v>
      </c>
      <c r="D3147" s="125"/>
      <c r="E3147" s="126">
        <v>5.35</v>
      </c>
      <c r="F3147" s="127"/>
      <c r="G3147" s="127"/>
      <c r="H3147" s="127"/>
      <c r="I3147" s="128"/>
      <c r="K3147" s="105" t="str">
        <f>IFERROR(__xludf.DUMMYFUNCTION("if(A3147="""","""",substitute(SUBSTITUTE(index(importhtml(""http://finviz.com/quote.ashx?t=""&amp;A3147,""table"",10),7,2),""*"",""""),""-"",""0.00""))"),"Loading...")</f>
        <v>Loading...</v>
      </c>
      <c r="L3147" s="129">
        <v>1.8568838E7</v>
      </c>
      <c r="M3147" s="99">
        <v>1.02</v>
      </c>
    </row>
    <row r="3148">
      <c r="A3148" s="122" t="s">
        <v>6730</v>
      </c>
      <c r="B3148" s="123">
        <v>1334325.0</v>
      </c>
      <c r="C3148" s="124" t="s">
        <v>6731</v>
      </c>
      <c r="D3148" s="125"/>
      <c r="E3148" s="126">
        <v>5.35</v>
      </c>
      <c r="F3148" s="127"/>
      <c r="G3148" s="127"/>
      <c r="H3148" s="127"/>
      <c r="I3148" s="128"/>
      <c r="K3148" s="105" t="str">
        <f>IFERROR(__xludf.DUMMYFUNCTION("if(A3148="""","""",substitute(SUBSTITUTE(index(importhtml(""http://finviz.com/quote.ashx?t=""&amp;A3148,""table"",10),7,2),""*"",""""),""-"",""0.00""))"),"Loading...")</f>
        <v>Loading...</v>
      </c>
      <c r="L3148" s="129">
        <v>5.9729966E7</v>
      </c>
      <c r="M3148" s="99">
        <v>1.04</v>
      </c>
    </row>
    <row r="3149">
      <c r="A3149" s="122" t="s">
        <v>6732</v>
      </c>
      <c r="B3149" s="123">
        <v>317788.0</v>
      </c>
      <c r="C3149" s="124" t="s">
        <v>6733</v>
      </c>
      <c r="D3149" s="125"/>
      <c r="E3149" s="126">
        <v>5.35</v>
      </c>
      <c r="F3149" s="127"/>
      <c r="G3149" s="127"/>
      <c r="H3149" s="127"/>
      <c r="I3149" s="128"/>
      <c r="K3149" s="105" t="str">
        <f>IFERROR(__xludf.DUMMYFUNCTION("if(A3149="""","""",substitute(SUBSTITUTE(index(importhtml(""http://finviz.com/quote.ashx?t=""&amp;A3149,""table"",10),7,2),""*"",""""),""-"",""0.00""))"),"Loading...")</f>
        <v>Loading...</v>
      </c>
      <c r="L3149" s="129">
        <v>5.4199565E8</v>
      </c>
      <c r="M3149" s="99">
        <v>2.69</v>
      </c>
    </row>
    <row r="3150">
      <c r="A3150" s="122" t="s">
        <v>6734</v>
      </c>
      <c r="B3150" s="123">
        <v>1854640.0</v>
      </c>
      <c r="C3150" s="124" t="s">
        <v>6735</v>
      </c>
      <c r="D3150" s="125"/>
      <c r="E3150" s="126">
        <v>5.35</v>
      </c>
      <c r="F3150" s="127"/>
      <c r="G3150" s="127"/>
      <c r="H3150" s="127"/>
      <c r="I3150" s="128"/>
      <c r="K3150" s="105" t="str">
        <f>IFERROR(__xludf.DUMMYFUNCTION("if(A3150="""","""",substitute(SUBSTITUTE(index(importhtml(""http://finviz.com/quote.ashx?t=""&amp;A3150,""table"",10),7,2),""*"",""""),""-"",""0.00""))"),"Loading...")</f>
        <v>Loading...</v>
      </c>
      <c r="L3150" s="129">
        <v>1.553734099E9</v>
      </c>
      <c r="M3150" s="99">
        <v>1.26</v>
      </c>
    </row>
    <row r="3151">
      <c r="A3151" s="122" t="s">
        <v>6736</v>
      </c>
      <c r="B3151" s="123">
        <v>1080720.0</v>
      </c>
      <c r="C3151" s="124" t="s">
        <v>6737</v>
      </c>
      <c r="D3151" s="125"/>
      <c r="E3151" s="126">
        <v>5.36</v>
      </c>
      <c r="F3151" s="127"/>
      <c r="G3151" s="127"/>
      <c r="H3151" s="127"/>
      <c r="I3151" s="128"/>
      <c r="K3151" s="105" t="str">
        <f>IFERROR(__xludf.DUMMYFUNCTION("if(A3151="""","""",substitute(SUBSTITUTE(index(importhtml(""http://finviz.com/quote.ashx?t=""&amp;A3151,""table"",10),7,2),""*"",""""),""-"",""0.00""))"),"Loading...")</f>
        <v>Loading...</v>
      </c>
      <c r="L3151" s="129">
        <v>3.99462639E8</v>
      </c>
      <c r="M3151" s="99">
        <v>0.71</v>
      </c>
    </row>
    <row r="3152">
      <c r="A3152" s="122" t="s">
        <v>6738</v>
      </c>
      <c r="B3152" s="123">
        <v>1578955.0</v>
      </c>
      <c r="C3152" s="124" t="s">
        <v>6739</v>
      </c>
      <c r="D3152" s="125"/>
      <c r="E3152" s="126">
        <v>5.36</v>
      </c>
      <c r="F3152" s="127"/>
      <c r="G3152" s="127"/>
      <c r="H3152" s="127"/>
      <c r="I3152" s="128"/>
      <c r="K3152" s="105" t="str">
        <f>IFERROR(__xludf.DUMMYFUNCTION("if(A3152="""","""",substitute(SUBSTITUTE(index(importhtml(""http://finviz.com/quote.ashx?t=""&amp;A3152,""table"",10),7,2),""*"",""""),""-"",""0.00""))"),"Loading...")</f>
        <v>Loading...</v>
      </c>
      <c r="L3152" s="129">
        <v>6.98388699E8</v>
      </c>
      <c r="M3152" s="99">
        <v>1.05</v>
      </c>
    </row>
    <row r="3153">
      <c r="A3153" s="122" t="s">
        <v>6740</v>
      </c>
      <c r="B3153" s="123">
        <v>1227476.0</v>
      </c>
      <c r="C3153" s="124" t="s">
        <v>6741</v>
      </c>
      <c r="D3153" s="125"/>
      <c r="E3153" s="126">
        <v>5.36</v>
      </c>
      <c r="F3153" s="127"/>
      <c r="G3153" s="127"/>
      <c r="H3153" s="127"/>
      <c r="I3153" s="128"/>
      <c r="K3153" s="105" t="str">
        <f>IFERROR(__xludf.DUMMYFUNCTION("if(A3153="""","""",substitute(SUBSTITUTE(index(importhtml(""http://finviz.com/quote.ashx?t=""&amp;A3153,""table"",10),7,2),""*"",""""),""-"",""0.00""))"),"Loading...")</f>
        <v>Loading...</v>
      </c>
      <c r="L3153" s="129">
        <v>7.26865866E8</v>
      </c>
      <c r="M3153" s="99">
        <v>0.62</v>
      </c>
    </row>
    <row r="3154">
      <c r="A3154" s="122" t="s">
        <v>6742</v>
      </c>
      <c r="B3154" s="123">
        <v>1662579.0</v>
      </c>
      <c r="C3154" s="124" t="s">
        <v>6743</v>
      </c>
      <c r="D3154" s="125"/>
      <c r="E3154" s="126">
        <v>5.37</v>
      </c>
      <c r="F3154" s="127"/>
      <c r="G3154" s="127"/>
      <c r="H3154" s="127"/>
      <c r="I3154" s="128"/>
      <c r="K3154" s="105" t="str">
        <f>IFERROR(__xludf.DUMMYFUNCTION("if(A3154="""","""",substitute(SUBSTITUTE(index(importhtml(""http://finviz.com/quote.ashx?t=""&amp;A3154,""table"",10),7,2),""*"",""""),""-"",""0.00""))"),"Loading...")</f>
        <v>Loading...</v>
      </c>
      <c r="L3154" s="129">
        <v>2.64639232E8</v>
      </c>
      <c r="M3154" s="99">
        <v>3.0</v>
      </c>
    </row>
    <row r="3155">
      <c r="A3155" s="122" t="s">
        <v>6744</v>
      </c>
      <c r="B3155" s="123">
        <v>1479290.0</v>
      </c>
      <c r="C3155" s="124" t="s">
        <v>6745</v>
      </c>
      <c r="D3155" s="125"/>
      <c r="E3155" s="126">
        <v>5.37</v>
      </c>
      <c r="F3155" s="127"/>
      <c r="G3155" s="127"/>
      <c r="H3155" s="127"/>
      <c r="I3155" s="128"/>
      <c r="K3155" s="105" t="str">
        <f>IFERROR(__xludf.DUMMYFUNCTION("if(A3155="""","""",substitute(SUBSTITUTE(index(importhtml(""http://finviz.com/quote.ashx?t=""&amp;A3155,""table"",10),7,2),""*"",""""),""-"",""0.00""))"),"Loading...")</f>
        <v>Loading...</v>
      </c>
      <c r="L3155" s="129">
        <v>4.71558323E8</v>
      </c>
      <c r="M3155" s="99">
        <v>0.99</v>
      </c>
    </row>
    <row r="3156">
      <c r="A3156" s="122" t="s">
        <v>6746</v>
      </c>
      <c r="B3156" s="123">
        <v>1867834.0</v>
      </c>
      <c r="C3156" s="124" t="s">
        <v>6747</v>
      </c>
      <c r="D3156" s="125"/>
      <c r="E3156" s="126">
        <v>5.38</v>
      </c>
      <c r="F3156" s="127"/>
      <c r="G3156" s="127"/>
      <c r="H3156" s="127"/>
      <c r="I3156" s="128"/>
      <c r="K3156" s="105" t="str">
        <f>IFERROR(__xludf.DUMMYFUNCTION("if(A3156="""","""",substitute(SUBSTITUTE(index(importhtml(""http://finviz.com/quote.ashx?t=""&amp;A3156,""table"",10),7,2),""*"",""""),""-"",""0.00""))"),"Loading...")</f>
        <v>Loading...</v>
      </c>
      <c r="L3156" s="129">
        <v>1.67005778E8</v>
      </c>
      <c r="M3156" s="99">
        <v>0.79</v>
      </c>
    </row>
    <row r="3157">
      <c r="A3157" s="122" t="s">
        <v>6748</v>
      </c>
      <c r="B3157" s="123">
        <v>1703644.0</v>
      </c>
      <c r="C3157" s="124" t="s">
        <v>6749</v>
      </c>
      <c r="D3157" s="125"/>
      <c r="E3157" s="126">
        <v>5.38</v>
      </c>
      <c r="F3157" s="127"/>
      <c r="G3157" s="127"/>
      <c r="H3157" s="127"/>
      <c r="I3157" s="128"/>
      <c r="K3157" s="105" t="str">
        <f>IFERROR(__xludf.DUMMYFUNCTION("if(A3157="""","""",substitute(SUBSTITUTE(index(importhtml(""http://finviz.com/quote.ashx?t=""&amp;A3157,""table"",10),7,2),""*"",""""),""-"",""0.00""))"),"Loading...")</f>
        <v>Loading...</v>
      </c>
      <c r="L3157" s="129">
        <v>2.77488785E8</v>
      </c>
      <c r="M3157" s="99">
        <v>1.82</v>
      </c>
    </row>
    <row r="3158">
      <c r="A3158" s="122" t="s">
        <v>6750</v>
      </c>
      <c r="B3158" s="123">
        <v>1590560.0</v>
      </c>
      <c r="C3158" s="124" t="s">
        <v>6751</v>
      </c>
      <c r="D3158" s="125"/>
      <c r="E3158" s="126">
        <v>5.39</v>
      </c>
      <c r="F3158" s="127"/>
      <c r="G3158" s="127"/>
      <c r="H3158" s="127"/>
      <c r="I3158" s="128"/>
      <c r="K3158" s="105" t="str">
        <f>IFERROR(__xludf.DUMMYFUNCTION("if(A3158="""","""",substitute(SUBSTITUTE(index(importhtml(""http://finviz.com/quote.ashx?t=""&amp;A3158,""table"",10),7,2),""*"",""""),""-"",""0.00""))"),"Loading...")</f>
        <v>Loading...</v>
      </c>
      <c r="L3158" s="129">
        <v>2.57703816E8</v>
      </c>
      <c r="M3158" s="99">
        <v>1.03</v>
      </c>
    </row>
    <row r="3159">
      <c r="A3159" s="122" t="s">
        <v>6752</v>
      </c>
      <c r="B3159" s="123">
        <v>1820378.0</v>
      </c>
      <c r="C3159" s="124" t="s">
        <v>6753</v>
      </c>
      <c r="D3159" s="125"/>
      <c r="E3159" s="126">
        <v>5.4</v>
      </c>
      <c r="F3159" s="127"/>
      <c r="G3159" s="127"/>
      <c r="H3159" s="127"/>
      <c r="I3159" s="128"/>
      <c r="K3159" s="105" t="str">
        <f>IFERROR(__xludf.DUMMYFUNCTION("if(A3159="""","""",substitute(SUBSTITUTE(index(importhtml(""http://finviz.com/quote.ashx?t=""&amp;A3159,""table"",10),7,2),""*"",""""),""-"",""0.00""))"),"Loading...")</f>
        <v>Loading...</v>
      </c>
      <c r="L3159" s="129">
        <v>3.9657546E7</v>
      </c>
      <c r="M3159" s="99">
        <f>IFERROR(__xludf.DUMMYFUNCTION("GOOGLEFINANCE(A3159,""beta"")"),0.73)</f>
        <v>0.73</v>
      </c>
    </row>
    <row r="3160">
      <c r="A3160" s="122" t="s">
        <v>6754</v>
      </c>
      <c r="B3160" s="123">
        <v>1670076.0</v>
      </c>
      <c r="C3160" s="124" t="s">
        <v>6755</v>
      </c>
      <c r="D3160" s="125"/>
      <c r="E3160" s="126">
        <v>5.4</v>
      </c>
      <c r="F3160" s="127"/>
      <c r="G3160" s="127"/>
      <c r="H3160" s="127"/>
      <c r="I3160" s="128"/>
      <c r="K3160" s="105" t="str">
        <f>IFERROR(__xludf.DUMMYFUNCTION("if(A3160="""","""",substitute(SUBSTITUTE(index(importhtml(""http://finviz.com/quote.ashx?t=""&amp;A3160,""table"",10),7,2),""*"",""""),""-"",""0.00""))"),"Loading...")</f>
        <v>Loading...</v>
      </c>
      <c r="L3160" s="129">
        <v>1.193743461E9</v>
      </c>
      <c r="M3160" s="99">
        <f>IFERROR(__xludf.DUMMYFUNCTION("GOOGLEFINANCE(A3160,""beta"")"),2.57)</f>
        <v>2.57</v>
      </c>
    </row>
    <row r="3161">
      <c r="A3161" s="122" t="s">
        <v>6756</v>
      </c>
      <c r="B3161" s="123">
        <v>1852040.0</v>
      </c>
      <c r="C3161" s="124" t="s">
        <v>6757</v>
      </c>
      <c r="D3161" s="125"/>
      <c r="E3161" s="126">
        <v>5.4</v>
      </c>
      <c r="F3161" s="127"/>
      <c r="G3161" s="127"/>
      <c r="H3161" s="127"/>
      <c r="I3161" s="128"/>
      <c r="K3161" s="105" t="str">
        <f>IFERROR(__xludf.DUMMYFUNCTION("if(A3161="""","""",substitute(SUBSTITUTE(index(importhtml(""http://finviz.com/quote.ashx?t=""&amp;A3161,""table"",10),7,2),""*"",""""),""-"",""0.00""))"),"Loading...")</f>
        <v>Loading...</v>
      </c>
      <c r="L3161" s="129" t="e">
        <v>#N/A</v>
      </c>
      <c r="M3161" s="99">
        <f>IFERROR(__xludf.DUMMYFUNCTION("GOOGLEFINANCE(A3161,""beta"")"),5.01)</f>
        <v>5.01</v>
      </c>
    </row>
    <row r="3162">
      <c r="A3162" s="122" t="s">
        <v>6758</v>
      </c>
      <c r="B3162" s="123">
        <v>1785530.0</v>
      </c>
      <c r="C3162" s="124" t="s">
        <v>6759</v>
      </c>
      <c r="D3162" s="125"/>
      <c r="E3162" s="126">
        <v>5.41</v>
      </c>
      <c r="F3162" s="127"/>
      <c r="G3162" s="127"/>
      <c r="H3162" s="127"/>
      <c r="I3162" s="128"/>
      <c r="K3162" s="105" t="str">
        <f>IFERROR(__xludf.DUMMYFUNCTION("if(A3162="""","""",substitute(SUBSTITUTE(index(importhtml(""http://finviz.com/quote.ashx?t=""&amp;A3162,""table"",10),7,2),""*"",""""),""-"",""0.00""))"),"Loading...")</f>
        <v>Loading...</v>
      </c>
      <c r="L3162" s="129">
        <v>1.95800012E8</v>
      </c>
      <c r="M3162" s="99">
        <f>IFERROR(__xludf.DUMMYFUNCTION("GOOGLEFINANCE(A3162,""beta"")"),0.72)</f>
        <v>0.72</v>
      </c>
    </row>
    <row r="3163">
      <c r="A3163" s="122" t="s">
        <v>6760</v>
      </c>
      <c r="B3163" s="123">
        <v>1288795.0</v>
      </c>
      <c r="C3163" s="124" t="s">
        <v>6761</v>
      </c>
      <c r="D3163" s="125"/>
      <c r="E3163" s="126">
        <v>5.42</v>
      </c>
      <c r="F3163" s="127"/>
      <c r="G3163" s="127"/>
      <c r="H3163" s="127"/>
      <c r="I3163" s="128"/>
      <c r="K3163" s="105" t="str">
        <f>IFERROR(__xludf.DUMMYFUNCTION("if(A3163="""","""",substitute(SUBSTITUTE(index(importhtml(""http://finviz.com/quote.ashx?t=""&amp;A3163,""table"",10),7,2),""*"",""""),""-"",""0.00""))"),"Loading...")</f>
        <v>Loading...</v>
      </c>
      <c r="L3163" s="129">
        <v>6.8885924E7</v>
      </c>
      <c r="M3163" s="99">
        <v>0.88</v>
      </c>
    </row>
    <row r="3164">
      <c r="A3164" s="122" t="s">
        <v>6762</v>
      </c>
      <c r="B3164" s="123">
        <v>885307.0</v>
      </c>
      <c r="C3164" s="124" t="s">
        <v>6763</v>
      </c>
      <c r="D3164" s="125"/>
      <c r="E3164" s="126">
        <v>5.43</v>
      </c>
      <c r="F3164" s="127"/>
      <c r="G3164" s="127"/>
      <c r="H3164" s="127"/>
      <c r="I3164" s="128"/>
      <c r="K3164" s="105" t="str">
        <f>IFERROR(__xludf.DUMMYFUNCTION("if(A3164="""","""",substitute(SUBSTITUTE(index(importhtml(""http://finviz.com/quote.ashx?t=""&amp;A3164,""table"",10),7,2),""*"",""""),""-"",""0.00""))"),"Loading...")</f>
        <v>Loading...</v>
      </c>
      <c r="L3164" s="129">
        <v>1.9031068E7</v>
      </c>
      <c r="M3164" s="99">
        <v>0.34</v>
      </c>
    </row>
    <row r="3165">
      <c r="A3165" s="122" t="s">
        <v>6764</v>
      </c>
      <c r="B3165" s="123">
        <v>1626878.0</v>
      </c>
      <c r="C3165" s="124" t="s">
        <v>6765</v>
      </c>
      <c r="D3165" s="125"/>
      <c r="E3165" s="126">
        <v>5.43</v>
      </c>
      <c r="F3165" s="127"/>
      <c r="G3165" s="127"/>
      <c r="H3165" s="127"/>
      <c r="I3165" s="128"/>
      <c r="K3165" s="105" t="str">
        <f>IFERROR(__xludf.DUMMYFUNCTION("if(A3165="""","""",substitute(SUBSTITUTE(index(importhtml(""http://finviz.com/quote.ashx?t=""&amp;A3165,""table"",10),7,2),""*"",""""),""-"",""0.00""))"),"Loading...")</f>
        <v>Loading...</v>
      </c>
      <c r="L3165" s="129">
        <v>1.65272633E8</v>
      </c>
      <c r="M3165" s="99">
        <v>1.4</v>
      </c>
    </row>
    <row r="3166">
      <c r="A3166" s="122" t="s">
        <v>6766</v>
      </c>
      <c r="B3166" s="123">
        <v>1928446.0</v>
      </c>
      <c r="C3166" s="124" t="s">
        <v>6767</v>
      </c>
      <c r="D3166" s="125"/>
      <c r="E3166" s="126">
        <v>5.43</v>
      </c>
      <c r="F3166" s="127"/>
      <c r="G3166" s="127"/>
      <c r="H3166" s="127"/>
      <c r="I3166" s="128"/>
      <c r="K3166" s="105" t="str">
        <f>IFERROR(__xludf.DUMMYFUNCTION("if(A3166="""","""",substitute(SUBSTITUTE(index(importhtml(""http://finviz.com/quote.ashx?t=""&amp;A3166,""table"",10),7,2),""*"",""""),""-"",""0.00""))"),"Loading...")</f>
        <v>Loading...</v>
      </c>
      <c r="L3166" s="129">
        <v>7.182161E8</v>
      </c>
      <c r="M3166" s="99">
        <v>0.13</v>
      </c>
    </row>
    <row r="3167">
      <c r="A3167" s="122" t="s">
        <v>6768</v>
      </c>
      <c r="B3167" s="123">
        <v>1431695.0</v>
      </c>
      <c r="C3167" s="124" t="s">
        <v>6769</v>
      </c>
      <c r="D3167" s="125"/>
      <c r="E3167" s="126">
        <v>5.43</v>
      </c>
      <c r="F3167" s="127"/>
      <c r="G3167" s="127"/>
      <c r="H3167" s="127"/>
      <c r="I3167" s="128"/>
      <c r="K3167" s="105" t="str">
        <f>IFERROR(__xludf.DUMMYFUNCTION("if(A3167="""","""",substitute(SUBSTITUTE(index(importhtml(""http://finviz.com/quote.ashx?t=""&amp;A3167,""table"",10),7,2),""*"",""""),""-"",""0.00""))"),"Loading...")</f>
        <v>Loading...</v>
      </c>
      <c r="L3167" s="129">
        <v>8.91490855E8</v>
      </c>
      <c r="M3167" s="99" t="str">
        <f>IFERROR(__xludf.DUMMYFUNCTION("GOOGLEFINANCE(A3167,""beta"")"),"#N/A")</f>
        <v>#N/A</v>
      </c>
    </row>
    <row r="3168">
      <c r="A3168" s="122" t="s">
        <v>6770</v>
      </c>
      <c r="B3168" s="123">
        <v>310522.0</v>
      </c>
      <c r="C3168" s="124" t="s">
        <v>6771</v>
      </c>
      <c r="D3168" s="125"/>
      <c r="E3168" s="126">
        <v>5.43</v>
      </c>
      <c r="F3168" s="127"/>
      <c r="G3168" s="127"/>
      <c r="H3168" s="127"/>
      <c r="I3168" s="128"/>
      <c r="K3168" s="105" t="str">
        <f>IFERROR(__xludf.DUMMYFUNCTION("if(A3168="""","""",substitute(SUBSTITUTE(index(importhtml(""http://finviz.com/quote.ashx?t=""&amp;A3168,""table"",10),7,2),""*"",""""),""-"",""0.00""))"),"Loading...")</f>
        <v>Loading...</v>
      </c>
      <c r="L3168" s="129">
        <v>1.540255759E9</v>
      </c>
      <c r="M3168" s="99">
        <v>0.72</v>
      </c>
    </row>
    <row r="3169">
      <c r="A3169" s="122" t="s">
        <v>6772</v>
      </c>
      <c r="B3169" s="123">
        <v>1163653.0</v>
      </c>
      <c r="C3169" s="124" t="s">
        <v>6626</v>
      </c>
      <c r="D3169" s="125"/>
      <c r="E3169" s="126">
        <v>5.43</v>
      </c>
      <c r="F3169" s="127"/>
      <c r="G3169" s="127"/>
      <c r="H3169" s="127"/>
      <c r="I3169" s="128"/>
      <c r="K3169" s="105" t="str">
        <f>IFERROR(__xludf.DUMMYFUNCTION("if(A3169="""","""",substitute(SUBSTITUTE(index(importhtml(""http://finviz.com/quote.ashx?t=""&amp;A3169,""table"",10),7,2),""*"",""""),""-"",""0.00""))"),"Loading...")</f>
        <v>Loading...</v>
      </c>
      <c r="L3169" s="129">
        <v>1.7136243238E10</v>
      </c>
      <c r="M3169" s="99">
        <v>0.69</v>
      </c>
    </row>
    <row r="3170">
      <c r="A3170" s="122" t="s">
        <v>6773</v>
      </c>
      <c r="B3170" s="123">
        <v>717826.0</v>
      </c>
      <c r="C3170" s="124" t="s">
        <v>6774</v>
      </c>
      <c r="D3170" s="125"/>
      <c r="E3170" s="126">
        <v>5.43</v>
      </c>
      <c r="F3170" s="127"/>
      <c r="G3170" s="127"/>
      <c r="H3170" s="127"/>
      <c r="I3170" s="128"/>
      <c r="K3170" s="105" t="str">
        <f>IFERROR(__xludf.DUMMYFUNCTION("if(A3170="""","""",substitute(SUBSTITUTE(index(importhtml(""http://finviz.com/quote.ashx?t=""&amp;A3170,""table"",10),7,2),""*"",""""),""-"",""0.00""))"),"Loading...")</f>
        <v>Loading...</v>
      </c>
      <c r="L3170" s="129">
        <v>1.8109967097E10</v>
      </c>
      <c r="M3170" s="99">
        <v>0.75</v>
      </c>
    </row>
    <row r="3171">
      <c r="A3171" s="122" t="s">
        <v>6775</v>
      </c>
      <c r="B3171" s="123">
        <v>717826.0</v>
      </c>
      <c r="C3171" s="124" t="s">
        <v>6776</v>
      </c>
      <c r="D3171" s="125"/>
      <c r="E3171" s="126">
        <v>5.43</v>
      </c>
      <c r="F3171" s="127"/>
      <c r="G3171" s="127"/>
      <c r="H3171" s="127"/>
      <c r="I3171" s="128"/>
      <c r="K3171" s="105" t="str">
        <f>IFERROR(__xludf.DUMMYFUNCTION("if(A3171="""","""",substitute(SUBSTITUTE(index(importhtml(""http://finviz.com/quote.ashx?t=""&amp;A3171,""table"",10),7,2),""*"",""""),""-"",""0.00""))"),"Loading...")</f>
        <v>Loading...</v>
      </c>
      <c r="L3171" s="129">
        <v>1.8109967097E10</v>
      </c>
      <c r="M3171" s="99">
        <v>0.8</v>
      </c>
    </row>
    <row r="3172">
      <c r="A3172" s="122" t="s">
        <v>6777</v>
      </c>
      <c r="B3172" s="123">
        <v>312070.0</v>
      </c>
      <c r="C3172" s="124" t="s">
        <v>6778</v>
      </c>
      <c r="D3172" s="125"/>
      <c r="E3172" s="126">
        <v>5.44</v>
      </c>
      <c r="F3172" s="127"/>
      <c r="G3172" s="127"/>
      <c r="H3172" s="127"/>
      <c r="I3172" s="128"/>
      <c r="K3172" s="105" t="str">
        <f>IFERROR(__xludf.DUMMYFUNCTION("if(A3172="""","""",substitute(SUBSTITUTE(index(importhtml(""http://finviz.com/quote.ashx?t=""&amp;A3172,""table"",10),7,2),""*"",""""),""-"",""0.00""))"),"Loading...")</f>
        <v>Loading...</v>
      </c>
      <c r="L3172" s="129">
        <v>2.8208535E10</v>
      </c>
      <c r="M3172" s="99">
        <v>0.96</v>
      </c>
    </row>
    <row r="3173">
      <c r="A3173" s="122" t="s">
        <v>6779</v>
      </c>
      <c r="B3173" s="123">
        <v>1026214.0</v>
      </c>
      <c r="C3173" s="124" t="s">
        <v>6780</v>
      </c>
      <c r="D3173" s="125"/>
      <c r="E3173" s="126">
        <v>5.45</v>
      </c>
      <c r="F3173" s="127"/>
      <c r="G3173" s="127"/>
      <c r="H3173" s="127"/>
      <c r="I3173" s="128"/>
      <c r="K3173" s="105" t="str">
        <f>IFERROR(__xludf.DUMMYFUNCTION("if(A3173="""","""",substitute(SUBSTITUTE(index(importhtml(""http://finviz.com/quote.ashx?t=""&amp;A3173,""table"",10),7,2),""*"",""""),""-"",""0.00""))"),"Loading...")</f>
        <v>Loading...</v>
      </c>
      <c r="L3173" s="129">
        <v>7.08564876E8</v>
      </c>
      <c r="M3173" s="99">
        <v>0.64</v>
      </c>
    </row>
    <row r="3174">
      <c r="A3174" s="122" t="s">
        <v>6781</v>
      </c>
      <c r="B3174" s="123">
        <v>1026214.0</v>
      </c>
      <c r="C3174" s="124" t="s">
        <v>6782</v>
      </c>
      <c r="D3174" s="125"/>
      <c r="E3174" s="126">
        <v>5.45</v>
      </c>
      <c r="F3174" s="127"/>
      <c r="G3174" s="127"/>
      <c r="H3174" s="127"/>
      <c r="I3174" s="128"/>
      <c r="K3174" s="105" t="str">
        <f>IFERROR(__xludf.DUMMYFUNCTION("if(A3174="""","""",substitute(SUBSTITUTE(index(importhtml(""http://finviz.com/quote.ashx?t=""&amp;A3174,""table"",10),7,2),""*"",""""),""-"",""0.00""))"),"Loading...")</f>
        <v>Loading...</v>
      </c>
      <c r="L3174" s="129">
        <v>7.08564876E8</v>
      </c>
      <c r="M3174" s="99">
        <v>0.82</v>
      </c>
    </row>
    <row r="3175">
      <c r="A3175" s="122" t="s">
        <v>6783</v>
      </c>
      <c r="B3175" s="123">
        <v>1826660.0</v>
      </c>
      <c r="C3175" s="124" t="s">
        <v>6784</v>
      </c>
      <c r="D3175" s="125"/>
      <c r="E3175" s="126">
        <v>5.45</v>
      </c>
      <c r="F3175" s="127"/>
      <c r="G3175" s="127"/>
      <c r="H3175" s="127"/>
      <c r="I3175" s="128"/>
      <c r="K3175" s="105" t="str">
        <f>IFERROR(__xludf.DUMMYFUNCTION("if(A3175="""","""",substitute(SUBSTITUTE(index(importhtml(""http://finviz.com/quote.ashx?t=""&amp;A3175,""table"",10),7,2),""*"",""""),""-"",""0.00""))"),"Loading...")</f>
        <v>Loading...</v>
      </c>
      <c r="L3175" s="129" t="e">
        <v>#N/A</v>
      </c>
      <c r="M3175" s="99">
        <v>0.61</v>
      </c>
    </row>
    <row r="3176">
      <c r="A3176" s="122" t="s">
        <v>6785</v>
      </c>
      <c r="B3176" s="123">
        <v>1793659.0</v>
      </c>
      <c r="C3176" s="124" t="s">
        <v>6786</v>
      </c>
      <c r="D3176" s="125"/>
      <c r="E3176" s="126">
        <v>5.46</v>
      </c>
      <c r="F3176" s="127"/>
      <c r="G3176" s="127"/>
      <c r="H3176" s="127"/>
      <c r="I3176" s="128"/>
      <c r="K3176" s="105" t="str">
        <f>IFERROR(__xludf.DUMMYFUNCTION("if(A3176="""","""",substitute(SUBSTITUTE(index(importhtml(""http://finviz.com/quote.ashx?t=""&amp;A3176,""table"",10),7,2),""*"",""""),""-"",""0.00""))"),"#REF!")</f>
        <v>#REF!</v>
      </c>
      <c r="L3176" s="129">
        <v>1.21356527E9</v>
      </c>
      <c r="M3176" s="99">
        <v>1.57</v>
      </c>
    </row>
    <row r="3177">
      <c r="A3177" s="122" t="s">
        <v>6787</v>
      </c>
      <c r="B3177" s="123">
        <v>921671.0</v>
      </c>
      <c r="C3177" s="124" t="s">
        <v>6788</v>
      </c>
      <c r="D3177" s="125"/>
      <c r="E3177" s="126">
        <v>5.49</v>
      </c>
      <c r="F3177" s="127"/>
      <c r="G3177" s="127"/>
      <c r="H3177" s="127"/>
      <c r="I3177" s="128"/>
      <c r="K3177" s="55" t="s">
        <v>6789</v>
      </c>
      <c r="L3177" s="129">
        <v>1.53133277E8</v>
      </c>
      <c r="M3177" s="99">
        <v>1.15</v>
      </c>
    </row>
    <row r="3178">
      <c r="A3178" s="122" t="s">
        <v>6790</v>
      </c>
      <c r="B3178" s="123">
        <v>862692.0</v>
      </c>
      <c r="C3178" s="124" t="s">
        <v>6791</v>
      </c>
      <c r="D3178" s="125"/>
      <c r="E3178" s="126">
        <v>5.49</v>
      </c>
      <c r="F3178" s="127"/>
      <c r="G3178" s="127"/>
      <c r="H3178" s="127"/>
      <c r="I3178" s="128"/>
      <c r="K3178" s="105" t="str">
        <f>IFERROR(__xludf.DUMMYFUNCTION("if(A3178="""","""",substitute(SUBSTITUTE(index(importhtml(""http://finviz.com/quote.ashx?t=""&amp;A3178,""table"",10),7,2),""*"",""""),""-"",""0.00""))"),"Loading...")</f>
        <v>Loading...</v>
      </c>
      <c r="L3178" s="129">
        <v>4.5494442E7</v>
      </c>
      <c r="M3178" s="99">
        <v>0.41</v>
      </c>
    </row>
    <row r="3179">
      <c r="A3179" s="122" t="s">
        <v>6792</v>
      </c>
      <c r="B3179" s="123">
        <v>1068689.0</v>
      </c>
      <c r="C3179" s="124" t="s">
        <v>6793</v>
      </c>
      <c r="D3179" s="125"/>
      <c r="E3179" s="126">
        <v>5.5</v>
      </c>
      <c r="F3179" s="127"/>
      <c r="G3179" s="127"/>
      <c r="H3179" s="127"/>
      <c r="I3179" s="128"/>
      <c r="K3179" s="105" t="str">
        <f>IFERROR(__xludf.DUMMYFUNCTION("if(A3179="""","""",substitute(SUBSTITUTE(index(importhtml(""http://finviz.com/quote.ashx?t=""&amp;A3179,""table"",10),7,2),""*"",""""),""-"",""0.00""))"),"Loading...")</f>
        <v>Loading...</v>
      </c>
      <c r="L3179" s="129">
        <v>1500810.0</v>
      </c>
      <c r="M3179" s="99">
        <v>3.56</v>
      </c>
    </row>
    <row r="3180">
      <c r="A3180" s="122" t="s">
        <v>6794</v>
      </c>
      <c r="B3180" s="123">
        <v>1817760.0</v>
      </c>
      <c r="C3180" s="124" t="s">
        <v>6795</v>
      </c>
      <c r="D3180" s="125"/>
      <c r="E3180" s="126">
        <v>5.5</v>
      </c>
      <c r="F3180" s="127"/>
      <c r="G3180" s="127"/>
      <c r="H3180" s="127"/>
      <c r="I3180" s="128"/>
      <c r="K3180" s="105" t="str">
        <f>IFERROR(__xludf.DUMMYFUNCTION("if(A3180="""","""",substitute(SUBSTITUTE(index(importhtml(""http://finviz.com/quote.ashx?t=""&amp;A3180,""table"",10),7,2),""*"",""""),""-"",""0.00""))"),"Loading...")</f>
        <v>Loading...</v>
      </c>
      <c r="L3180" s="129">
        <v>4859772.0</v>
      </c>
      <c r="M3180" s="99">
        <f>IFERROR(__xludf.DUMMYFUNCTION("GOOGLEFINANCE(A3180,""beta"")"),0.25)</f>
        <v>0.25</v>
      </c>
    </row>
    <row r="3181">
      <c r="A3181" s="122" t="s">
        <v>6796</v>
      </c>
      <c r="B3181" s="123">
        <v>1821534.0</v>
      </c>
      <c r="C3181" s="124" t="s">
        <v>6797</v>
      </c>
      <c r="D3181" s="125"/>
      <c r="E3181" s="126">
        <v>5.5</v>
      </c>
      <c r="F3181" s="127"/>
      <c r="G3181" s="127"/>
      <c r="H3181" s="127"/>
      <c r="I3181" s="128"/>
      <c r="K3181" s="105" t="str">
        <f>IFERROR(__xludf.DUMMYFUNCTION("if(A3181="""","""",substitute(SUBSTITUTE(index(importhtml(""http://finviz.com/quote.ashx?t=""&amp;A3181,""table"",10),7,2),""*"",""""),""-"",""0.00""))"),"Loading...")</f>
        <v>Loading...</v>
      </c>
      <c r="L3181" s="129">
        <v>2.349567E7</v>
      </c>
      <c r="M3181" s="99" t="str">
        <f>IFERROR(__xludf.DUMMYFUNCTION("GOOGLEFINANCE(A3181,""beta"")"),"#N/A")</f>
        <v>#N/A</v>
      </c>
    </row>
    <row r="3182">
      <c r="A3182" s="122" t="s">
        <v>6798</v>
      </c>
      <c r="B3182" s="123">
        <v>310522.0</v>
      </c>
      <c r="C3182" s="124" t="s">
        <v>6799</v>
      </c>
      <c r="D3182" s="125"/>
      <c r="E3182" s="126">
        <v>5.5</v>
      </c>
      <c r="F3182" s="127"/>
      <c r="G3182" s="127"/>
      <c r="H3182" s="127"/>
      <c r="I3182" s="128"/>
      <c r="K3182" s="105" t="str">
        <f>IFERROR(__xludf.DUMMYFUNCTION("if(A3182="""","""",substitute(SUBSTITUTE(index(importhtml(""http://finviz.com/quote.ashx?t=""&amp;A3182,""table"",10),7,2),""*"",""""),""-"",""0.00""))"),"Loading...")</f>
        <v>Loading...</v>
      </c>
      <c r="L3182" s="129">
        <v>1.540255759E9</v>
      </c>
      <c r="M3182" s="99">
        <v>0.32</v>
      </c>
    </row>
    <row r="3183">
      <c r="A3183" s="122" t="s">
        <v>6800</v>
      </c>
      <c r="B3183" s="123">
        <v>1756770.0</v>
      </c>
      <c r="C3183" s="124" t="s">
        <v>6801</v>
      </c>
      <c r="D3183" s="125"/>
      <c r="E3183" s="126">
        <v>5.5</v>
      </c>
      <c r="F3183" s="127"/>
      <c r="G3183" s="127"/>
      <c r="H3183" s="127"/>
      <c r="I3183" s="128"/>
      <c r="K3183" s="105" t="str">
        <f>IFERROR(__xludf.DUMMYFUNCTION("if(A3183="""","""",substitute(SUBSTITUTE(index(importhtml(""http://finviz.com/quote.ashx?t=""&amp;A3183,""table"",10),7,2),""*"",""""),""-"",""0.00""))"),"Loading...")</f>
        <v>Loading...</v>
      </c>
      <c r="L3183" s="129">
        <v>4.876863172E9</v>
      </c>
      <c r="M3183" s="99">
        <v>1.56</v>
      </c>
    </row>
    <row r="3184">
      <c r="A3184" s="122" t="s">
        <v>6802</v>
      </c>
      <c r="B3184" s="123">
        <v>701818.0</v>
      </c>
      <c r="C3184" s="124" t="s">
        <v>6803</v>
      </c>
      <c r="D3184" s="125"/>
      <c r="E3184" s="126">
        <v>5.5</v>
      </c>
      <c r="F3184" s="127"/>
      <c r="G3184" s="127"/>
      <c r="H3184" s="127"/>
      <c r="I3184" s="128"/>
      <c r="K3184" s="105" t="str">
        <f>IFERROR(__xludf.DUMMYFUNCTION("if(A3184="""","""",substitute(SUBSTITUTE(index(importhtml(""http://finviz.com/quote.ashx?t=""&amp;A3184,""table"",10),7,2),""*"",""""),""-"",""0.00""))"),"Loading...")</f>
        <v>Loading...</v>
      </c>
      <c r="L3184" s="129">
        <v>6.7479225E9</v>
      </c>
      <c r="M3184" s="99">
        <v>1.16</v>
      </c>
    </row>
    <row r="3185">
      <c r="A3185" s="122" t="s">
        <v>6804</v>
      </c>
      <c r="B3185" s="123">
        <v>1828723.0</v>
      </c>
      <c r="C3185" s="124" t="s">
        <v>6805</v>
      </c>
      <c r="D3185" s="125"/>
      <c r="E3185" s="126">
        <v>5.51</v>
      </c>
      <c r="F3185" s="127"/>
      <c r="G3185" s="127"/>
      <c r="H3185" s="127"/>
      <c r="I3185" s="128"/>
      <c r="K3185" s="105" t="str">
        <f>IFERROR(__xludf.DUMMYFUNCTION("if(A3185="""","""",substitute(SUBSTITUTE(index(importhtml(""http://finviz.com/quote.ashx?t=""&amp;A3185,""table"",10),7,2),""*"",""""),""-"",""0.00""))"),"Loading...")</f>
        <v>Loading...</v>
      </c>
      <c r="L3185" s="129">
        <v>8.81523447E8</v>
      </c>
      <c r="M3185" s="99" t="str">
        <f>IFERROR(__xludf.DUMMYFUNCTION("GOOGLEFINANCE(A3185,""beta"")"),"#N/A")</f>
        <v>#N/A</v>
      </c>
    </row>
    <row r="3186">
      <c r="A3186" s="122" t="s">
        <v>6806</v>
      </c>
      <c r="B3186" s="123">
        <v>1659520.0</v>
      </c>
      <c r="C3186" s="124" t="s">
        <v>6807</v>
      </c>
      <c r="D3186" s="125"/>
      <c r="E3186" s="126">
        <v>5.52</v>
      </c>
      <c r="F3186" s="127"/>
      <c r="G3186" s="127"/>
      <c r="H3186" s="127"/>
      <c r="I3186" s="128"/>
      <c r="K3186" s="105" t="str">
        <f>IFERROR(__xludf.DUMMYFUNCTION("if(A3186="""","""",substitute(SUBSTITUTE(index(importhtml(""http://finviz.com/quote.ashx?t=""&amp;A3186,""table"",10),7,2),""*"",""""),""-"",""0.00""))"),"Loading...")</f>
        <v>Loading...</v>
      </c>
      <c r="L3186" s="129">
        <v>1.080440221E9</v>
      </c>
      <c r="M3186" s="99">
        <v>1.31</v>
      </c>
    </row>
    <row r="3187">
      <c r="A3187" s="122" t="s">
        <v>6808</v>
      </c>
      <c r="B3187" s="123">
        <v>1723128.0</v>
      </c>
      <c r="C3187" s="124" t="s">
        <v>6809</v>
      </c>
      <c r="D3187" s="125"/>
      <c r="E3187" s="126">
        <v>5.52</v>
      </c>
      <c r="F3187" s="127"/>
      <c r="G3187" s="127"/>
      <c r="H3187" s="127"/>
      <c r="I3187" s="128"/>
      <c r="K3187" s="105" t="str">
        <f>IFERROR(__xludf.DUMMYFUNCTION("if(A3187="""","""",substitute(SUBSTITUTE(index(importhtml(""http://finviz.com/quote.ashx?t=""&amp;A3187,""table"",10),7,2),""*"",""""),""-"",""0.00""))"),"Loading...")</f>
        <v>Loading...</v>
      </c>
      <c r="L3187" s="129">
        <v>1.692123978E9</v>
      </c>
      <c r="M3187" s="99">
        <f>IFERROR(__xludf.DUMMYFUNCTION("GOOGLEFINANCE(A3187,""beta"")"),1.21)</f>
        <v>1.21</v>
      </c>
    </row>
    <row r="3188">
      <c r="A3188" s="122" t="s">
        <v>6810</v>
      </c>
      <c r="B3188" s="123">
        <v>1438569.0</v>
      </c>
      <c r="C3188" s="124" t="s">
        <v>6811</v>
      </c>
      <c r="D3188" s="125"/>
      <c r="E3188" s="126">
        <v>5.52</v>
      </c>
      <c r="F3188" s="127"/>
      <c r="G3188" s="127"/>
      <c r="H3188" s="127"/>
      <c r="I3188" s="128"/>
      <c r="K3188" s="105" t="str">
        <f>IFERROR(__xludf.DUMMYFUNCTION("if(A3188="""","""",substitute(SUBSTITUTE(index(importhtml(""http://finviz.com/quote.ashx?t=""&amp;A3188,""table"",10),7,2),""*"",""""),""-"",""0.00""))"),"Loading...")</f>
        <v>Loading...</v>
      </c>
      <c r="L3188" s="129">
        <v>6.81821185E9</v>
      </c>
      <c r="M3188" s="99">
        <v>0.61</v>
      </c>
    </row>
    <row r="3189">
      <c r="A3189" s="122" t="s">
        <v>6812</v>
      </c>
      <c r="B3189" s="123">
        <v>1337298.0</v>
      </c>
      <c r="C3189" s="124" t="s">
        <v>6813</v>
      </c>
      <c r="D3189" s="125"/>
      <c r="E3189" s="126">
        <v>5.54</v>
      </c>
      <c r="F3189" s="127"/>
      <c r="G3189" s="127"/>
      <c r="H3189" s="127"/>
      <c r="I3189" s="128"/>
      <c r="K3189" s="138" t="s">
        <v>6814</v>
      </c>
      <c r="L3189" s="129">
        <v>2.42448347E8</v>
      </c>
      <c r="M3189" s="99">
        <v>0.76</v>
      </c>
    </row>
    <row r="3190">
      <c r="A3190" s="122" t="s">
        <v>6815</v>
      </c>
      <c r="B3190" s="123">
        <v>1736541.0</v>
      </c>
      <c r="C3190" s="124" t="s">
        <v>6816</v>
      </c>
      <c r="D3190" s="125"/>
      <c r="E3190" s="126">
        <v>5.54</v>
      </c>
      <c r="F3190" s="127"/>
      <c r="G3190" s="127"/>
      <c r="H3190" s="127"/>
      <c r="I3190" s="128"/>
      <c r="K3190" s="105" t="str">
        <f>IFERROR(__xludf.DUMMYFUNCTION("if(A3190="""","""",substitute(SUBSTITUTE(index(importhtml(""http://finviz.com/quote.ashx?t=""&amp;A3190,""table"",10),7,2),""*"",""""),""-"",""0.00""))"),"Loading...")</f>
        <v>Loading...</v>
      </c>
      <c r="L3190" s="129">
        <v>9.245994016E9</v>
      </c>
      <c r="M3190" s="99">
        <v>1.98</v>
      </c>
    </row>
    <row r="3191">
      <c r="A3191" s="122" t="s">
        <v>6817</v>
      </c>
      <c r="B3191" s="123">
        <v>1481792.0</v>
      </c>
      <c r="C3191" s="124" t="s">
        <v>6818</v>
      </c>
      <c r="D3191" s="125"/>
      <c r="E3191" s="126">
        <v>5.55</v>
      </c>
      <c r="F3191" s="127"/>
      <c r="G3191" s="127"/>
      <c r="H3191" s="127"/>
      <c r="I3191" s="128"/>
      <c r="K3191" s="105" t="str">
        <f>IFERROR(__xludf.DUMMYFUNCTION("if(A3191="""","""",substitute(SUBSTITUTE(index(importhtml(""http://finviz.com/quote.ashx?t=""&amp;A3191,""table"",10),7,2),""*"",""""),""-"",""0.00""))"),"Loading...")</f>
        <v>Loading...</v>
      </c>
      <c r="L3191" s="129">
        <v>2.84761407E8</v>
      </c>
      <c r="M3191" s="99">
        <v>1.59</v>
      </c>
    </row>
    <row r="3192">
      <c r="A3192" s="122" t="s">
        <v>6819</v>
      </c>
      <c r="B3192" s="123">
        <v>1026214.0</v>
      </c>
      <c r="C3192" s="124" t="s">
        <v>6820</v>
      </c>
      <c r="D3192" s="125"/>
      <c r="E3192" s="126">
        <v>5.55</v>
      </c>
      <c r="F3192" s="127"/>
      <c r="G3192" s="127"/>
      <c r="H3192" s="127"/>
      <c r="I3192" s="128"/>
      <c r="K3192" s="105" t="str">
        <f>IFERROR(__xludf.DUMMYFUNCTION("if(A3192="""","""",substitute(SUBSTITUTE(index(importhtml(""http://finviz.com/quote.ashx?t=""&amp;A3192,""table"",10),7,2),""*"",""""),""-"",""0.00""))"),"Loading...")</f>
        <v>Loading...</v>
      </c>
      <c r="L3192" s="129">
        <v>7.08564876E8</v>
      </c>
      <c r="M3192" s="99">
        <v>0.63</v>
      </c>
    </row>
    <row r="3193">
      <c r="A3193" s="122" t="s">
        <v>6821</v>
      </c>
      <c r="B3193" s="123">
        <v>1322422.0</v>
      </c>
      <c r="C3193" s="124" t="s">
        <v>6822</v>
      </c>
      <c r="D3193" s="125"/>
      <c r="E3193" s="126">
        <v>5.55</v>
      </c>
      <c r="F3193" s="127"/>
      <c r="G3193" s="127"/>
      <c r="H3193" s="127"/>
      <c r="I3193" s="128"/>
      <c r="K3193" s="105" t="str">
        <f>IFERROR(__xludf.DUMMYFUNCTION("if(A3193="""","""",substitute(SUBSTITUTE(index(importhtml(""http://finviz.com/quote.ashx?t=""&amp;A3193,""table"",10),7,2),""*"",""""),""-"",""0.00""))"),"Loading...")</f>
        <v>Loading...</v>
      </c>
      <c r="L3193" s="129">
        <v>2.60870835E9</v>
      </c>
      <c r="M3193" s="99">
        <v>1.95</v>
      </c>
    </row>
    <row r="3194">
      <c r="A3194" s="122" t="s">
        <v>6823</v>
      </c>
      <c r="B3194" s="123">
        <v>310522.0</v>
      </c>
      <c r="C3194" s="124" t="s">
        <v>6824</v>
      </c>
      <c r="D3194" s="125"/>
      <c r="E3194" s="126">
        <v>5.58</v>
      </c>
      <c r="F3194" s="127"/>
      <c r="G3194" s="127"/>
      <c r="H3194" s="127"/>
      <c r="I3194" s="128"/>
      <c r="K3194" s="105" t="str">
        <f>IFERROR(__xludf.DUMMYFUNCTION("if(A3194="""","""",substitute(SUBSTITUTE(index(importhtml(""http://finviz.com/quote.ashx?t=""&amp;A3194,""table"",10),7,2),""*"",""""),""-"",""0.00""))"),"Loading...")</f>
        <v>Loading...</v>
      </c>
      <c r="L3194" s="129">
        <v>1.540255759E9</v>
      </c>
      <c r="M3194" s="99">
        <v>0.3</v>
      </c>
    </row>
    <row r="3195">
      <c r="A3195" s="122" t="s">
        <v>6825</v>
      </c>
      <c r="B3195" s="123">
        <v>1071321.0</v>
      </c>
      <c r="C3195" s="124" t="s">
        <v>6826</v>
      </c>
      <c r="D3195" s="125"/>
      <c r="E3195" s="126">
        <v>5.58</v>
      </c>
      <c r="F3195" s="127"/>
      <c r="G3195" s="127"/>
      <c r="H3195" s="127"/>
      <c r="I3195" s="128"/>
      <c r="K3195" s="105" t="str">
        <f>IFERROR(__xludf.DUMMYFUNCTION("if(A3195="""","""",substitute(SUBSTITUTE(index(importhtml(""http://finviz.com/quote.ashx?t=""&amp;A3195,""table"",10),7,2),""*"",""""),""-"",""0.00""))"),"Loading...")</f>
        <v>Loading...</v>
      </c>
      <c r="L3195" s="129">
        <v>5.033492499E9</v>
      </c>
      <c r="M3195" s="99">
        <v>0.95</v>
      </c>
    </row>
    <row r="3196">
      <c r="A3196" s="122" t="s">
        <v>6827</v>
      </c>
      <c r="B3196" s="123">
        <v>1094972.0</v>
      </c>
      <c r="C3196" s="124" t="s">
        <v>6828</v>
      </c>
      <c r="D3196" s="125"/>
      <c r="E3196" s="126">
        <v>5.58</v>
      </c>
      <c r="F3196" s="127"/>
      <c r="G3196" s="127"/>
      <c r="H3196" s="127"/>
      <c r="I3196" s="128"/>
      <c r="K3196" s="105" t="str">
        <f>IFERROR(__xludf.DUMMYFUNCTION("if(A3196="""","""",substitute(SUBSTITUTE(index(importhtml(""http://finviz.com/quote.ashx?t=""&amp;A3196,""table"",10),7,2),""*"",""""),""-"",""0.00""))"),"Loading...")</f>
        <v>Loading...</v>
      </c>
      <c r="L3196" s="129">
        <v>3.0824458999E10</v>
      </c>
      <c r="M3196" s="99">
        <v>1.58</v>
      </c>
    </row>
    <row r="3197">
      <c r="A3197" s="122" t="s">
        <v>6829</v>
      </c>
      <c r="B3197" s="123">
        <v>1026214.0</v>
      </c>
      <c r="C3197" s="124" t="s">
        <v>6820</v>
      </c>
      <c r="D3197" s="125"/>
      <c r="E3197" s="126">
        <v>5.6</v>
      </c>
      <c r="F3197" s="127"/>
      <c r="G3197" s="127"/>
      <c r="H3197" s="127"/>
      <c r="I3197" s="128"/>
      <c r="K3197" s="105" t="str">
        <f>IFERROR(__xludf.DUMMYFUNCTION("if(A3197="""","""",substitute(SUBSTITUTE(index(importhtml(""http://finviz.com/quote.ashx?t=""&amp;A3197,""table"",10),7,2),""*"",""""),""-"",""0.00""))"),"Loading...")</f>
        <v>Loading...</v>
      </c>
      <c r="L3197" s="129">
        <v>7.08564876E8</v>
      </c>
      <c r="M3197" s="99">
        <v>0.69</v>
      </c>
    </row>
    <row r="3198">
      <c r="A3198" s="122" t="s">
        <v>6830</v>
      </c>
      <c r="B3198" s="123">
        <v>1801661.0</v>
      </c>
      <c r="C3198" s="124" t="s">
        <v>6831</v>
      </c>
      <c r="D3198" s="125"/>
      <c r="E3198" s="126">
        <v>5.61</v>
      </c>
      <c r="F3198" s="127"/>
      <c r="G3198" s="127"/>
      <c r="H3198" s="127"/>
      <c r="I3198" s="128"/>
      <c r="K3198" s="105" t="str">
        <f>IFERROR(__xludf.DUMMYFUNCTION("if(A3198="""","""",substitute(SUBSTITUTE(index(importhtml(""http://finviz.com/quote.ashx?t=""&amp;A3198,""table"",10),7,2),""*"",""""),""-"",""0.00""))"),"Loading...")</f>
        <v>Loading...</v>
      </c>
      <c r="L3198" s="129">
        <v>1.20321319E8</v>
      </c>
      <c r="M3198" s="99">
        <v>2.77</v>
      </c>
    </row>
    <row r="3199">
      <c r="A3199" s="122" t="s">
        <v>6832</v>
      </c>
      <c r="B3199" s="123">
        <v>1519061.0</v>
      </c>
      <c r="C3199" s="124" t="s">
        <v>6833</v>
      </c>
      <c r="D3199" s="125"/>
      <c r="E3199" s="126">
        <v>5.61</v>
      </c>
      <c r="F3199" s="127"/>
      <c r="G3199" s="127"/>
      <c r="H3199" s="127"/>
      <c r="I3199" s="128"/>
      <c r="K3199" s="105" t="str">
        <f>IFERROR(__xludf.DUMMYFUNCTION("if(A3199="""","""",substitute(SUBSTITUTE(index(importhtml(""http://finviz.com/quote.ashx?t=""&amp;A3199,""table"",10),7,2),""*"",""""),""-"",""0.00""))"),"Loading...")</f>
        <v>Loading...</v>
      </c>
      <c r="L3199" s="129">
        <v>1.97445244E8</v>
      </c>
      <c r="M3199" s="99">
        <v>1.63</v>
      </c>
    </row>
    <row r="3200">
      <c r="A3200" s="122" t="s">
        <v>6834</v>
      </c>
      <c r="B3200" s="123">
        <v>1026214.0</v>
      </c>
      <c r="C3200" s="124" t="s">
        <v>6835</v>
      </c>
      <c r="D3200" s="125"/>
      <c r="E3200" s="126">
        <v>5.62</v>
      </c>
      <c r="F3200" s="127"/>
      <c r="G3200" s="127"/>
      <c r="H3200" s="127"/>
      <c r="I3200" s="128"/>
      <c r="K3200" s="105" t="str">
        <f>IFERROR(__xludf.DUMMYFUNCTION("if(A3200="""","""",substitute(SUBSTITUTE(index(importhtml(""http://finviz.com/quote.ashx?t=""&amp;A3200,""table"",10),7,2),""*"",""""),""-"",""0.00""))"),"Loading...")</f>
        <v>Loading...</v>
      </c>
      <c r="L3200" s="129">
        <v>7.08564876E8</v>
      </c>
      <c r="M3200" s="99">
        <v>0.91</v>
      </c>
    </row>
    <row r="3201">
      <c r="A3201" s="122" t="s">
        <v>6836</v>
      </c>
      <c r="B3201" s="123">
        <v>1332349.0</v>
      </c>
      <c r="C3201" s="124" t="s">
        <v>6837</v>
      </c>
      <c r="D3201" s="125"/>
      <c r="E3201" s="126">
        <v>5.63</v>
      </c>
      <c r="F3201" s="127"/>
      <c r="G3201" s="127"/>
      <c r="H3201" s="127"/>
      <c r="I3201" s="128"/>
      <c r="K3201" s="55" t="s">
        <v>1034</v>
      </c>
      <c r="L3201" s="129">
        <v>1.059780524E9</v>
      </c>
      <c r="M3201" s="99">
        <v>1.29</v>
      </c>
    </row>
    <row r="3202">
      <c r="A3202" s="122" t="s">
        <v>6838</v>
      </c>
      <c r="B3202" s="123">
        <v>1821769.0</v>
      </c>
      <c r="C3202" s="124" t="s">
        <v>6839</v>
      </c>
      <c r="D3202" s="125"/>
      <c r="E3202" s="126">
        <v>5.63</v>
      </c>
      <c r="F3202" s="127"/>
      <c r="G3202" s="127"/>
      <c r="H3202" s="127"/>
      <c r="I3202" s="128"/>
      <c r="K3202" s="105" t="str">
        <f>IFERROR(__xludf.DUMMYFUNCTION("if(A3202="""","""",substitute(SUBSTITUTE(index(importhtml(""http://finviz.com/quote.ashx?t=""&amp;A3202,""table"",10),7,2),""*"",""""),""-"",""0.00""))"),"Loading...")</f>
        <v>Loading...</v>
      </c>
      <c r="L3202" s="129">
        <v>1.004888586E9</v>
      </c>
      <c r="M3202" s="99">
        <v>2.63</v>
      </c>
    </row>
    <row r="3203">
      <c r="A3203" s="122" t="s">
        <v>6840</v>
      </c>
      <c r="B3203" s="123">
        <v>1437541.0</v>
      </c>
      <c r="C3203" s="124" t="s">
        <v>6841</v>
      </c>
      <c r="D3203" s="125"/>
      <c r="E3203" s="126">
        <v>5.63</v>
      </c>
      <c r="F3203" s="127"/>
      <c r="G3203" s="127"/>
      <c r="H3203" s="127"/>
      <c r="I3203" s="128"/>
      <c r="K3203" s="105" t="str">
        <f>IFERROR(__xludf.DUMMYFUNCTION("if(A3203="""","""",substitute(SUBSTITUTE(index(importhtml(""http://finviz.com/quote.ashx?t=""&amp;A3203,""table"",10),7,2),""*"",""""),""-"",""0.00""))"),"Loading...")</f>
        <v>Loading...</v>
      </c>
      <c r="L3203" s="129">
        <v>2.722187E9</v>
      </c>
      <c r="M3203" s="99" t="str">
        <f>IFERROR(__xludf.DUMMYFUNCTION("GOOGLEFINANCE(A3203,""beta"")"),"#N/A")</f>
        <v>#N/A</v>
      </c>
    </row>
    <row r="3204">
      <c r="A3204" s="122" t="s">
        <v>6842</v>
      </c>
      <c r="B3204" s="123">
        <v>1834376.0</v>
      </c>
      <c r="C3204" s="124" t="s">
        <v>6843</v>
      </c>
      <c r="D3204" s="125"/>
      <c r="E3204" s="126">
        <v>5.64</v>
      </c>
      <c r="F3204" s="127"/>
      <c r="G3204" s="127"/>
      <c r="H3204" s="127"/>
      <c r="I3204" s="128"/>
      <c r="K3204" s="105" t="str">
        <f>IFERROR(__xludf.DUMMYFUNCTION("if(A3204="""","""",substitute(SUBSTITUTE(index(importhtml(""http://finviz.com/quote.ashx?t=""&amp;A3204,""table"",10),7,2),""*"",""""),""-"",""0.00""))"),"Loading...")</f>
        <v>Loading...</v>
      </c>
      <c r="L3204" s="129">
        <v>7.66390253E8</v>
      </c>
      <c r="M3204" s="99">
        <f>IFERROR(__xludf.DUMMYFUNCTION("GOOGLEFINANCE(A3204,""beta"")"),0.59)</f>
        <v>0.59</v>
      </c>
    </row>
    <row r="3205">
      <c r="A3205" s="122" t="s">
        <v>6844</v>
      </c>
      <c r="B3205" s="123">
        <v>1296774.0</v>
      </c>
      <c r="C3205" s="124" t="s">
        <v>6845</v>
      </c>
      <c r="D3205" s="125"/>
      <c r="E3205" s="126">
        <v>5.65</v>
      </c>
      <c r="F3205" s="127"/>
      <c r="G3205" s="127"/>
      <c r="H3205" s="127"/>
      <c r="I3205" s="128"/>
      <c r="K3205" s="105" t="str">
        <f>IFERROR(__xludf.DUMMYFUNCTION("if(A3205="""","""",substitute(SUBSTITUTE(index(importhtml(""http://finviz.com/quote.ashx?t=""&amp;A3205,""table"",10),7,2),""*"",""""),""-"",""0.00""))"),"Loading...")</f>
        <v>Loading...</v>
      </c>
      <c r="L3205" s="129">
        <v>2.6818482E7</v>
      </c>
      <c r="M3205" s="99">
        <v>1.9</v>
      </c>
    </row>
    <row r="3206">
      <c r="A3206" s="122" t="s">
        <v>6846</v>
      </c>
      <c r="B3206" s="123">
        <v>1790340.0</v>
      </c>
      <c r="C3206" s="124" t="s">
        <v>6847</v>
      </c>
      <c r="D3206" s="125"/>
      <c r="E3206" s="126">
        <v>5.65</v>
      </c>
      <c r="F3206" s="127"/>
      <c r="G3206" s="127"/>
      <c r="H3206" s="127"/>
      <c r="I3206" s="128"/>
      <c r="K3206" s="105" t="str">
        <f>IFERROR(__xludf.DUMMYFUNCTION("if(A3206="""","""",substitute(SUBSTITUTE(index(importhtml(""http://finviz.com/quote.ashx?t=""&amp;A3206,""table"",10),7,2),""*"",""""),""-"",""0.00""))"),"Loading...")</f>
        <v>Loading...</v>
      </c>
      <c r="L3206" s="129">
        <v>1.65226681E8</v>
      </c>
      <c r="M3206" s="99">
        <f>IFERROR(__xludf.DUMMYFUNCTION("GOOGLEFINANCE(A3206,""beta"")"),0.47)</f>
        <v>0.47</v>
      </c>
    </row>
    <row r="3207">
      <c r="A3207" s="122" t="s">
        <v>6848</v>
      </c>
      <c r="B3207" s="123">
        <v>1026214.0</v>
      </c>
      <c r="C3207" s="124" t="s">
        <v>6849</v>
      </c>
      <c r="D3207" s="125"/>
      <c r="E3207" s="126">
        <v>5.65</v>
      </c>
      <c r="F3207" s="127"/>
      <c r="G3207" s="127"/>
      <c r="H3207" s="127"/>
      <c r="I3207" s="128"/>
      <c r="K3207" s="105" t="str">
        <f>IFERROR(__xludf.DUMMYFUNCTION("if(A3207="""","""",substitute(SUBSTITUTE(index(importhtml(""http://finviz.com/quote.ashx?t=""&amp;A3207,""table"",10),7,2),""*"",""""),""-"",""0.00""))"),"Loading...")</f>
        <v>Loading...</v>
      </c>
      <c r="L3207" s="129">
        <v>7.08564876E8</v>
      </c>
      <c r="M3207" s="99">
        <v>0.71</v>
      </c>
    </row>
    <row r="3208">
      <c r="A3208" s="122" t="s">
        <v>6850</v>
      </c>
      <c r="B3208" s="123">
        <v>844150.0</v>
      </c>
      <c r="C3208" s="124" t="s">
        <v>6851</v>
      </c>
      <c r="D3208" s="125"/>
      <c r="E3208" s="126">
        <v>5.65</v>
      </c>
      <c r="F3208" s="127"/>
      <c r="G3208" s="127"/>
      <c r="H3208" s="127"/>
      <c r="I3208" s="128"/>
      <c r="K3208" s="105" t="str">
        <f>IFERROR(__xludf.DUMMYFUNCTION("if(A3208="""","""",substitute(SUBSTITUTE(index(importhtml(""http://finviz.com/quote.ashx?t=""&amp;A3208,""table"",10),7,2),""*"",""""),""-"",""0.00""))"),"Loading...")</f>
        <v>Loading...</v>
      </c>
      <c r="L3208" s="129">
        <v>2.4177514308E10</v>
      </c>
      <c r="M3208" s="99">
        <v>1.27</v>
      </c>
    </row>
    <row r="3209">
      <c r="A3209" s="122" t="s">
        <v>6852</v>
      </c>
      <c r="B3209" s="123">
        <v>1850453.0</v>
      </c>
      <c r="C3209" s="124" t="s">
        <v>6853</v>
      </c>
      <c r="D3209" s="125"/>
      <c r="E3209" s="126">
        <v>5.66</v>
      </c>
      <c r="F3209" s="127"/>
      <c r="G3209" s="127"/>
      <c r="H3209" s="127"/>
      <c r="I3209" s="128"/>
      <c r="K3209" s="105" t="str">
        <f>IFERROR(__xludf.DUMMYFUNCTION("if(A3209="""","""",substitute(SUBSTITUTE(index(importhtml(""http://finviz.com/quote.ashx?t=""&amp;A3209,""table"",10),7,2),""*"",""""),""-"",""0.00""))"),"Loading...")</f>
        <v>Loading...</v>
      </c>
      <c r="L3209" s="129">
        <v>1.34146147E8</v>
      </c>
      <c r="M3209" s="99" t="str">
        <f>IFERROR(__xludf.DUMMYFUNCTION("GOOGLEFINANCE(A3209,""beta"")"),"#N/A")</f>
        <v>#N/A</v>
      </c>
    </row>
    <row r="3210">
      <c r="A3210" s="122" t="s">
        <v>6854</v>
      </c>
      <c r="B3210" s="123">
        <v>1795251.0</v>
      </c>
      <c r="C3210" s="124" t="s">
        <v>6855</v>
      </c>
      <c r="D3210" s="125"/>
      <c r="E3210" s="126">
        <v>5.66</v>
      </c>
      <c r="F3210" s="127"/>
      <c r="G3210" s="127"/>
      <c r="H3210" s="127"/>
      <c r="I3210" s="128"/>
      <c r="K3210" s="105" t="str">
        <f>IFERROR(__xludf.DUMMYFUNCTION("if(A3210="""","""",substitute(SUBSTITUTE(index(importhtml(""http://finviz.com/quote.ashx?t=""&amp;A3210,""table"",10),7,2),""*"",""""),""-"",""0.00""))"),"Loading...")</f>
        <v>Loading...</v>
      </c>
      <c r="L3210" s="129">
        <v>3.26765488E8</v>
      </c>
      <c r="M3210" s="99">
        <v>1.81</v>
      </c>
    </row>
    <row r="3211">
      <c r="A3211" s="122" t="s">
        <v>6856</v>
      </c>
      <c r="B3211" s="123">
        <v>1660334.0</v>
      </c>
      <c r="C3211" s="124" t="s">
        <v>6857</v>
      </c>
      <c r="D3211" s="125"/>
      <c r="E3211" s="126">
        <v>5.67</v>
      </c>
      <c r="F3211" s="127"/>
      <c r="G3211" s="127"/>
      <c r="H3211" s="127"/>
      <c r="I3211" s="128"/>
      <c r="K3211" s="105" t="str">
        <f>IFERROR(__xludf.DUMMYFUNCTION("if(A3211="""","""",substitute(SUBSTITUTE(index(importhtml(""http://finviz.com/quote.ashx?t=""&amp;A3211,""table"",10),7,2),""*"",""""),""-"",""0.00""))"),"Loading...")</f>
        <v>Loading...</v>
      </c>
      <c r="L3211" s="129">
        <v>2.38506001E8</v>
      </c>
      <c r="M3211" s="99">
        <v>1.89</v>
      </c>
    </row>
    <row r="3212">
      <c r="A3212" s="122" t="s">
        <v>6858</v>
      </c>
      <c r="B3212" s="123">
        <v>1026214.0</v>
      </c>
      <c r="C3212" s="124" t="s">
        <v>6859</v>
      </c>
      <c r="D3212" s="125"/>
      <c r="E3212" s="126">
        <v>5.67</v>
      </c>
      <c r="F3212" s="127"/>
      <c r="G3212" s="127"/>
      <c r="H3212" s="127"/>
      <c r="I3212" s="128"/>
      <c r="K3212" s="105" t="str">
        <f>IFERROR(__xludf.DUMMYFUNCTION("if(A3212="""","""",substitute(SUBSTITUTE(index(importhtml(""http://finviz.com/quote.ashx?t=""&amp;A3212,""table"",10),7,2),""*"",""""),""-"",""0.00""))"),"Loading...")</f>
        <v>Loading...</v>
      </c>
      <c r="L3212" s="129">
        <v>7.08564876E8</v>
      </c>
      <c r="M3212" s="99">
        <v>0.64</v>
      </c>
    </row>
    <row r="3213">
      <c r="A3213" s="122" t="s">
        <v>6860</v>
      </c>
      <c r="B3213" s="123">
        <v>1561566.0</v>
      </c>
      <c r="C3213" s="124" t="s">
        <v>6861</v>
      </c>
      <c r="D3213" s="125"/>
      <c r="E3213" s="126">
        <v>5.67</v>
      </c>
      <c r="F3213" s="127"/>
      <c r="G3213" s="127"/>
      <c r="H3213" s="127"/>
      <c r="I3213" s="128"/>
      <c r="K3213" s="105" t="str">
        <f>IFERROR(__xludf.DUMMYFUNCTION("if(A3213="""","""",substitute(SUBSTITUTE(index(importhtml(""http://finviz.com/quote.ashx?t=""&amp;A3213,""table"",10),7,2),""*"",""""),""-"",""0.00""))"),"Loading...")</f>
        <v>Loading...</v>
      </c>
      <c r="L3213" s="129" t="e">
        <v>#N/A</v>
      </c>
      <c r="M3213" s="99" t="str">
        <f>IFERROR(__xludf.DUMMYFUNCTION("GOOGLEFINANCE(A3213,""beta"")"),"#N/A")</f>
        <v>#N/A</v>
      </c>
    </row>
    <row r="3214">
      <c r="A3214" s="122" t="s">
        <v>6862</v>
      </c>
      <c r="B3214" s="123">
        <v>1564180.0</v>
      </c>
      <c r="C3214" s="124" t="s">
        <v>6863</v>
      </c>
      <c r="D3214" s="125"/>
      <c r="E3214" s="126">
        <v>5.69</v>
      </c>
      <c r="F3214" s="127"/>
      <c r="G3214" s="127"/>
      <c r="H3214" s="127"/>
      <c r="I3214" s="128"/>
      <c r="K3214" s="105" t="str">
        <f>IFERROR(__xludf.DUMMYFUNCTION("if(A3214="""","""",substitute(SUBSTITUTE(index(importhtml(""http://finviz.com/quote.ashx?t=""&amp;A3214,""table"",10),7,2),""*"",""""),""-"",""0.00""))"),"Loading...")</f>
        <v>Loading...</v>
      </c>
      <c r="L3214" s="129">
        <v>2.05205925E8</v>
      </c>
      <c r="M3214" s="99">
        <v>0.7</v>
      </c>
    </row>
    <row r="3215">
      <c r="A3215" s="122" t="s">
        <v>6864</v>
      </c>
      <c r="B3215" s="123">
        <v>948320.0</v>
      </c>
      <c r="C3215" s="124" t="s">
        <v>6865</v>
      </c>
      <c r="D3215" s="125"/>
      <c r="E3215" s="126">
        <v>5.69</v>
      </c>
      <c r="F3215" s="127"/>
      <c r="G3215" s="127"/>
      <c r="H3215" s="127"/>
      <c r="I3215" s="128"/>
      <c r="K3215" s="105" t="str">
        <f>IFERROR(__xludf.DUMMYFUNCTION("if(A3215="""","""",substitute(SUBSTITUTE(index(importhtml(""http://finviz.com/quote.ashx?t=""&amp;A3215,""table"",10),7,2),""*"",""""),""-"",""0.00""))"),"Loading...")</f>
        <v>Loading...</v>
      </c>
      <c r="L3215" s="129">
        <v>2.16099431E8</v>
      </c>
      <c r="M3215" s="99">
        <v>1.21</v>
      </c>
    </row>
    <row r="3216">
      <c r="A3216" s="122" t="s">
        <v>6866</v>
      </c>
      <c r="B3216" s="123">
        <v>1026214.0</v>
      </c>
      <c r="C3216" s="124" t="s">
        <v>6867</v>
      </c>
      <c r="D3216" s="125"/>
      <c r="E3216" s="126">
        <v>5.69</v>
      </c>
      <c r="F3216" s="127"/>
      <c r="G3216" s="127"/>
      <c r="H3216" s="127"/>
      <c r="I3216" s="128"/>
      <c r="K3216" s="105" t="str">
        <f>IFERROR(__xludf.DUMMYFUNCTION("if(A3216="""","""",substitute(SUBSTITUTE(index(importhtml(""http://finviz.com/quote.ashx?t=""&amp;A3216,""table"",10),7,2),""*"",""""),""-"",""0.00""))"),"Loading...")</f>
        <v>Loading...</v>
      </c>
      <c r="L3216" s="129">
        <v>7.08564876E8</v>
      </c>
      <c r="M3216" s="99">
        <v>0.46</v>
      </c>
    </row>
    <row r="3217">
      <c r="A3217" s="122" t="s">
        <v>6868</v>
      </c>
      <c r="B3217" s="123">
        <v>806172.0</v>
      </c>
      <c r="C3217" s="124" t="s">
        <v>6869</v>
      </c>
      <c r="D3217" s="125"/>
      <c r="E3217" s="126">
        <v>5.7</v>
      </c>
      <c r="F3217" s="127"/>
      <c r="G3217" s="127"/>
      <c r="H3217" s="127"/>
      <c r="I3217" s="128"/>
      <c r="K3217" s="105" t="str">
        <f>IFERROR(__xludf.DUMMYFUNCTION("if(A3217="""","""",substitute(SUBSTITUTE(index(importhtml(""http://finviz.com/quote.ashx?t=""&amp;A3217,""table"",10),7,2),""*"",""""),""-"",""0.00""))"),"Loading...")</f>
        <v>Loading...</v>
      </c>
      <c r="L3217" s="129">
        <v>8.9667095E7</v>
      </c>
      <c r="M3217" s="99">
        <v>-0.23</v>
      </c>
    </row>
    <row r="3218">
      <c r="A3218" s="122" t="s">
        <v>6870</v>
      </c>
      <c r="B3218" s="123">
        <v>1091223.0</v>
      </c>
      <c r="C3218" s="124" t="s">
        <v>6871</v>
      </c>
      <c r="D3218" s="125"/>
      <c r="E3218" s="126">
        <v>5.7</v>
      </c>
      <c r="F3218" s="127"/>
      <c r="G3218" s="127"/>
      <c r="H3218" s="127"/>
      <c r="I3218" s="128"/>
      <c r="K3218" s="105" t="str">
        <f>IFERROR(__xludf.DUMMYFUNCTION("if(A3218="""","""",substitute(SUBSTITUTE(index(importhtml(""http://finviz.com/quote.ashx?t=""&amp;A3218,""table"",10),7,2),""*"",""""),""-"",""0.00""))"),"Loading...")</f>
        <v>Loading...</v>
      </c>
      <c r="L3218" s="129">
        <v>3.36682914E8</v>
      </c>
      <c r="M3218" s="99">
        <v>1.31</v>
      </c>
    </row>
    <row r="3219">
      <c r="A3219" s="122" t="s">
        <v>6872</v>
      </c>
      <c r="B3219" s="123">
        <v>1819113.0</v>
      </c>
      <c r="C3219" s="124" t="s">
        <v>6873</v>
      </c>
      <c r="D3219" s="125"/>
      <c r="E3219" s="126">
        <v>5.71</v>
      </c>
      <c r="F3219" s="127"/>
      <c r="G3219" s="127"/>
      <c r="H3219" s="127"/>
      <c r="I3219" s="128"/>
      <c r="K3219" s="105" t="str">
        <f>IFERROR(__xludf.DUMMYFUNCTION("if(A3219="""","""",substitute(SUBSTITUTE(index(importhtml(""http://finviz.com/quote.ashx?t=""&amp;A3219,""table"",10),7,2),""*"",""""),""-"",""0.00""))"),"Loading...")</f>
        <v>Loading...</v>
      </c>
      <c r="L3219" s="129">
        <v>3.4420828E7</v>
      </c>
      <c r="M3219" s="99">
        <v>0.53</v>
      </c>
    </row>
    <row r="3220">
      <c r="A3220" s="122" t="s">
        <v>6874</v>
      </c>
      <c r="B3220" s="123">
        <v>1711933.0</v>
      </c>
      <c r="C3220" s="124" t="s">
        <v>6875</v>
      </c>
      <c r="D3220" s="125"/>
      <c r="E3220" s="126">
        <v>5.71</v>
      </c>
      <c r="F3220" s="127"/>
      <c r="G3220" s="127"/>
      <c r="H3220" s="127"/>
      <c r="I3220" s="128"/>
      <c r="K3220" s="105" t="str">
        <f>IFERROR(__xludf.DUMMYFUNCTION("if(A3220="""","""",substitute(SUBSTITUTE(index(importhtml(""http://finviz.com/quote.ashx?t=""&amp;A3220,""table"",10),7,2),""*"",""""),""-"",""0.00""))"),"Loading...")</f>
        <v>Loading...</v>
      </c>
      <c r="L3220" s="129">
        <v>2.80224875E8</v>
      </c>
      <c r="M3220" s="99" t="str">
        <f>IFERROR(__xludf.DUMMYFUNCTION("GOOGLEFINANCE(A3220,""beta"")"),"#N/A")</f>
        <v>#N/A</v>
      </c>
    </row>
    <row r="3221">
      <c r="A3221" s="122" t="s">
        <v>6876</v>
      </c>
      <c r="B3221" s="123">
        <v>1342338.0</v>
      </c>
      <c r="C3221" s="124" t="s">
        <v>6877</v>
      </c>
      <c r="D3221" s="125"/>
      <c r="E3221" s="126">
        <v>5.71</v>
      </c>
      <c r="F3221" s="127"/>
      <c r="G3221" s="127"/>
      <c r="H3221" s="127"/>
      <c r="I3221" s="128"/>
      <c r="K3221" s="105" t="str">
        <f>IFERROR(__xludf.DUMMYFUNCTION("if(A3221="""","""",substitute(SUBSTITUTE(index(importhtml(""http://finviz.com/quote.ashx?t=""&amp;A3221,""table"",10),7,2),""*"",""""),""-"",""0.00""))"),"Loading...")</f>
        <v>Loading...</v>
      </c>
      <c r="L3221" s="129">
        <v>9.9591765E8</v>
      </c>
      <c r="M3221" s="99">
        <v>2.04</v>
      </c>
    </row>
    <row r="3222">
      <c r="A3222" s="122" t="s">
        <v>6878</v>
      </c>
      <c r="B3222" s="123">
        <v>1856031.0</v>
      </c>
      <c r="C3222" s="124" t="s">
        <v>6879</v>
      </c>
      <c r="D3222" s="125"/>
      <c r="E3222" s="126">
        <v>5.71</v>
      </c>
      <c r="F3222" s="127"/>
      <c r="G3222" s="127"/>
      <c r="H3222" s="127"/>
      <c r="I3222" s="128"/>
      <c r="K3222" s="105" t="str">
        <f>IFERROR(__xludf.DUMMYFUNCTION("if(A3222="""","""",substitute(SUBSTITUTE(index(importhtml(""http://finviz.com/quote.ashx?t=""&amp;A3222,""table"",10),7,2),""*"",""""),""-"",""0.00""))"),"Loading...")</f>
        <v>Loading...</v>
      </c>
      <c r="L3222" s="129">
        <v>1.199675576E9</v>
      </c>
      <c r="M3222" s="99">
        <v>1.29</v>
      </c>
    </row>
    <row r="3223">
      <c r="A3223" s="122" t="s">
        <v>6880</v>
      </c>
      <c r="B3223" s="123">
        <v>1781983.0</v>
      </c>
      <c r="C3223" s="124" t="s">
        <v>6881</v>
      </c>
      <c r="D3223" s="125"/>
      <c r="E3223" s="126">
        <v>5.72</v>
      </c>
      <c r="F3223" s="127"/>
      <c r="G3223" s="127"/>
      <c r="H3223" s="127"/>
      <c r="I3223" s="128"/>
      <c r="K3223" s="105" t="str">
        <f>IFERROR(__xludf.DUMMYFUNCTION("if(A3223="""","""",substitute(SUBSTITUTE(index(importhtml(""http://finviz.com/quote.ashx?t=""&amp;A3223,""table"",10),7,2),""*"",""""),""-"",""0.00""))"),"Loading...")</f>
        <v>Loading...</v>
      </c>
      <c r="L3223" s="129">
        <v>2.1373768E7</v>
      </c>
      <c r="M3223" s="99">
        <v>0.88</v>
      </c>
    </row>
    <row r="3224">
      <c r="A3224" s="122" t="s">
        <v>6882</v>
      </c>
      <c r="B3224" s="123">
        <v>1567529.0</v>
      </c>
      <c r="C3224" s="124" t="s">
        <v>6883</v>
      </c>
      <c r="D3224" s="125"/>
      <c r="E3224" s="126">
        <v>5.72</v>
      </c>
      <c r="F3224" s="127"/>
      <c r="G3224" s="127"/>
      <c r="H3224" s="127"/>
      <c r="I3224" s="128"/>
      <c r="K3224" s="105" t="str">
        <f>IFERROR(__xludf.DUMMYFUNCTION("if(A3224="""","""",substitute(SUBSTITUTE(index(importhtml(""http://finviz.com/quote.ashx?t=""&amp;A3224,""table"",10),7,2),""*"",""""),""-"",""0.00""))"),"Loading...")</f>
        <v>Loading...</v>
      </c>
      <c r="L3224" s="129">
        <v>3.28750181E8</v>
      </c>
      <c r="M3224" s="99">
        <v>1.06</v>
      </c>
    </row>
    <row r="3225">
      <c r="A3225" s="122" t="s">
        <v>6884</v>
      </c>
      <c r="B3225" s="123">
        <v>1819848.0</v>
      </c>
      <c r="C3225" s="124" t="s">
        <v>6885</v>
      </c>
      <c r="D3225" s="125"/>
      <c r="E3225" s="126">
        <v>5.72</v>
      </c>
      <c r="F3225" s="127"/>
      <c r="G3225" s="127"/>
      <c r="H3225" s="127"/>
      <c r="I3225" s="128"/>
      <c r="K3225" s="105" t="str">
        <f>IFERROR(__xludf.DUMMYFUNCTION("if(A3225="""","""",substitute(SUBSTITUTE(index(importhtml(""http://finviz.com/quote.ashx?t=""&amp;A3225,""table"",10),7,2),""*"",""""),""-"",""0.00""))"),"Loading...")</f>
        <v>Loading...</v>
      </c>
      <c r="L3225" s="129">
        <v>3.982946249E9</v>
      </c>
      <c r="M3225" s="99">
        <v>2.12</v>
      </c>
    </row>
    <row r="3226">
      <c r="A3226" s="122" t="s">
        <v>6886</v>
      </c>
      <c r="B3226" s="123">
        <v>1471824.0</v>
      </c>
      <c r="C3226" s="124" t="s">
        <v>6887</v>
      </c>
      <c r="D3226" s="125"/>
      <c r="E3226" s="126">
        <v>5.72</v>
      </c>
      <c r="F3226" s="127"/>
      <c r="G3226" s="127"/>
      <c r="H3226" s="127"/>
      <c r="I3226" s="128"/>
      <c r="K3226" s="105" t="str">
        <f>IFERROR(__xludf.DUMMYFUNCTION("if(A3226="""","""",substitute(SUBSTITUTE(index(importhtml(""http://finviz.com/quote.ashx?t=""&amp;A3226,""table"",10),7,2),""*"",""""),""-"",""0.00""))"),"Loading...")</f>
        <v>Loading...</v>
      </c>
      <c r="L3226" s="129" t="e">
        <v>#N/A</v>
      </c>
      <c r="M3226" s="99" t="str">
        <f>IFERROR(__xludf.DUMMYFUNCTION("GOOGLEFINANCE(A3226,""beta"")"),"#N/A")</f>
        <v>#N/A</v>
      </c>
    </row>
    <row r="3227">
      <c r="A3227" s="122" t="s">
        <v>6888</v>
      </c>
      <c r="B3227" s="123">
        <v>855887.0</v>
      </c>
      <c r="C3227" s="124" t="s">
        <v>6889</v>
      </c>
      <c r="D3227" s="125"/>
      <c r="E3227" s="126">
        <v>5.73</v>
      </c>
      <c r="F3227" s="127"/>
      <c r="G3227" s="127"/>
      <c r="H3227" s="127"/>
      <c r="I3227" s="128"/>
      <c r="K3227" s="55" t="s">
        <v>6814</v>
      </c>
      <c r="L3227" s="129">
        <v>2.83226451E8</v>
      </c>
      <c r="M3227" s="99">
        <v>0.57</v>
      </c>
    </row>
    <row r="3228">
      <c r="A3228" s="122" t="s">
        <v>6890</v>
      </c>
      <c r="B3228" s="123">
        <v>1314052.0</v>
      </c>
      <c r="C3228" s="124" t="s">
        <v>6891</v>
      </c>
      <c r="D3228" s="125"/>
      <c r="E3228" s="126">
        <v>5.73</v>
      </c>
      <c r="F3228" s="127"/>
      <c r="G3228" s="127"/>
      <c r="H3228" s="127"/>
      <c r="I3228" s="128"/>
      <c r="K3228" s="105" t="str">
        <f>IFERROR(__xludf.DUMMYFUNCTION("if(A3228="""","""",substitute(SUBSTITUTE(index(importhtml(""http://finviz.com/quote.ashx?t=""&amp;A3228,""table"",10),7,2),""*"",""""),""-"",""0.00""))"),"Loading...")</f>
        <v>Loading...</v>
      </c>
      <c r="L3228" s="129">
        <v>4.70355646E8</v>
      </c>
      <c r="M3228" s="99">
        <v>0.64</v>
      </c>
    </row>
    <row r="3229">
      <c r="A3229" s="122" t="s">
        <v>6892</v>
      </c>
      <c r="B3229" s="123">
        <v>1026214.0</v>
      </c>
      <c r="C3229" s="124" t="s">
        <v>6893</v>
      </c>
      <c r="D3229" s="125"/>
      <c r="E3229" s="126">
        <v>5.74</v>
      </c>
      <c r="F3229" s="127"/>
      <c r="G3229" s="127"/>
      <c r="H3229" s="127"/>
      <c r="I3229" s="128"/>
      <c r="K3229" s="105" t="str">
        <f>IFERROR(__xludf.DUMMYFUNCTION("if(A3229="""","""",substitute(SUBSTITUTE(index(importhtml(""http://finviz.com/quote.ashx?t=""&amp;A3229,""table"",10),7,2),""*"",""""),""-"",""0.00""))"),"Loading...")</f>
        <v>Loading...</v>
      </c>
      <c r="L3229" s="129">
        <v>7.08564876E8</v>
      </c>
      <c r="M3229" s="99">
        <v>0.54</v>
      </c>
    </row>
    <row r="3230">
      <c r="A3230" s="122" t="s">
        <v>6894</v>
      </c>
      <c r="B3230" s="123">
        <v>1770121.0</v>
      </c>
      <c r="C3230" s="124" t="s">
        <v>6895</v>
      </c>
      <c r="D3230" s="125"/>
      <c r="E3230" s="126">
        <v>5.74</v>
      </c>
      <c r="F3230" s="127"/>
      <c r="G3230" s="127"/>
      <c r="H3230" s="127"/>
      <c r="I3230" s="128"/>
      <c r="K3230" s="105" t="str">
        <f>IFERROR(__xludf.DUMMYFUNCTION("if(A3230="""","""",substitute(SUBSTITUTE(index(importhtml(""http://finviz.com/quote.ashx?t=""&amp;A3230,""table"",10),7,2),""*"",""""),""-"",""0.00""))"),"Loading...")</f>
        <v>Loading...</v>
      </c>
      <c r="L3230" s="129">
        <v>1.131544522E9</v>
      </c>
      <c r="M3230" s="99">
        <f>IFERROR(__xludf.DUMMYFUNCTION("GOOGLEFINANCE(A3230,""beta"")"),1.94)</f>
        <v>1.94</v>
      </c>
    </row>
    <row r="3231">
      <c r="A3231" s="122" t="s">
        <v>6896</v>
      </c>
      <c r="B3231" s="123">
        <v>797465.0</v>
      </c>
      <c r="C3231" s="124" t="s">
        <v>6897</v>
      </c>
      <c r="D3231" s="125"/>
      <c r="E3231" s="126">
        <v>5.75</v>
      </c>
      <c r="F3231" s="127"/>
      <c r="G3231" s="127"/>
      <c r="H3231" s="127"/>
      <c r="I3231" s="128"/>
      <c r="K3231" s="105" t="str">
        <f>IFERROR(__xludf.DUMMYFUNCTION("if(A3231="""","""",substitute(SUBSTITUTE(index(importhtml(""http://finviz.com/quote.ashx?t=""&amp;A3231,""table"",10),7,2),""*"",""""),""-"",""0.00""))"),"Loading...")</f>
        <v>Loading...</v>
      </c>
      <c r="L3231" s="129">
        <v>1.6458616E7</v>
      </c>
      <c r="M3231" s="99">
        <v>0.39</v>
      </c>
    </row>
    <row r="3232">
      <c r="A3232" s="122" t="s">
        <v>6898</v>
      </c>
      <c r="B3232" s="123">
        <v>1496690.0</v>
      </c>
      <c r="C3232" s="124" t="s">
        <v>6899</v>
      </c>
      <c r="D3232" s="125"/>
      <c r="E3232" s="126">
        <v>5.75</v>
      </c>
      <c r="F3232" s="127"/>
      <c r="G3232" s="127"/>
      <c r="H3232" s="127"/>
      <c r="I3232" s="128"/>
      <c r="K3232" s="105" t="str">
        <f>IFERROR(__xludf.DUMMYFUNCTION("if(A3232="""","""",substitute(SUBSTITUTE(index(importhtml(""http://finviz.com/quote.ashx?t=""&amp;A3232,""table"",10),7,2),""*"",""""),""-"",""0.00""))"),"Loading...")</f>
        <v>Loading...</v>
      </c>
      <c r="L3232" s="129">
        <v>6.91938E7</v>
      </c>
      <c r="M3232" s="99">
        <v>0.22</v>
      </c>
    </row>
    <row r="3233">
      <c r="A3233" s="122" t="s">
        <v>6900</v>
      </c>
      <c r="B3233" s="123">
        <v>1610601.0</v>
      </c>
      <c r="C3233" s="124" t="s">
        <v>6901</v>
      </c>
      <c r="D3233" s="125"/>
      <c r="E3233" s="126">
        <v>5.75</v>
      </c>
      <c r="F3233" s="127"/>
      <c r="G3233" s="127"/>
      <c r="H3233" s="127"/>
      <c r="I3233" s="128"/>
      <c r="K3233" s="105" t="str">
        <f>IFERROR(__xludf.DUMMYFUNCTION("if(A3233="""","""",substitute(SUBSTITUTE(index(importhtml(""http://finviz.com/quote.ashx?t=""&amp;A3233,""table"",10),7,2),""*"",""""),""-"",""0.00""))"),"Loading...")</f>
        <v>Loading...</v>
      </c>
      <c r="L3233" s="129">
        <v>1.0837922E9</v>
      </c>
      <c r="M3233" s="99">
        <v>0.69</v>
      </c>
    </row>
    <row r="3234">
      <c r="A3234" s="122" t="s">
        <v>6902</v>
      </c>
      <c r="B3234" s="123">
        <v>1026214.0</v>
      </c>
      <c r="C3234" s="124" t="s">
        <v>6903</v>
      </c>
      <c r="D3234" s="125"/>
      <c r="E3234" s="126">
        <v>5.76</v>
      </c>
      <c r="F3234" s="127"/>
      <c r="G3234" s="127"/>
      <c r="H3234" s="127"/>
      <c r="I3234" s="128"/>
      <c r="K3234" s="105" t="str">
        <f>IFERROR(__xludf.DUMMYFUNCTION("if(A3234="""","""",substitute(SUBSTITUTE(index(importhtml(""http://finviz.com/quote.ashx?t=""&amp;A3234,""table"",10),7,2),""*"",""""),""-"",""0.00""))"),"Loading...")</f>
        <v>Loading...</v>
      </c>
      <c r="L3234" s="129">
        <v>7.08564876E8</v>
      </c>
      <c r="M3234" s="99">
        <v>0.51</v>
      </c>
    </row>
    <row r="3235">
      <c r="A3235" s="122" t="s">
        <v>6904</v>
      </c>
      <c r="B3235" s="123">
        <v>1123799.0</v>
      </c>
      <c r="C3235" s="124" t="s">
        <v>6905</v>
      </c>
      <c r="D3235" s="125"/>
      <c r="E3235" s="126">
        <v>5.77</v>
      </c>
      <c r="F3235" s="127"/>
      <c r="G3235" s="127"/>
      <c r="H3235" s="127"/>
      <c r="I3235" s="128"/>
      <c r="K3235" s="105" t="str">
        <f>IFERROR(__xludf.DUMMYFUNCTION("if(A3235="""","""",substitute(SUBSTITUTE(index(importhtml(""http://finviz.com/quote.ashx?t=""&amp;A3235,""table"",10),7,2),""*"",""""),""-"",""0.00""))"),"Loading...")</f>
        <v>Loading...</v>
      </c>
      <c r="L3235" s="129">
        <v>2.996502355E10</v>
      </c>
      <c r="M3235" s="99">
        <v>0.86</v>
      </c>
    </row>
    <row r="3236">
      <c r="A3236" s="122" t="s">
        <v>6906</v>
      </c>
      <c r="B3236" s="123">
        <v>1385632.0</v>
      </c>
      <c r="C3236" s="124" t="s">
        <v>6907</v>
      </c>
      <c r="D3236" s="125"/>
      <c r="E3236" s="126">
        <v>5.79</v>
      </c>
      <c r="F3236" s="127"/>
      <c r="G3236" s="127"/>
      <c r="H3236" s="127"/>
      <c r="I3236" s="128"/>
      <c r="K3236" s="105" t="str">
        <f>IFERROR(__xludf.DUMMYFUNCTION("if(A3236="""","""",substitute(SUBSTITUTE(index(importhtml(""http://finviz.com/quote.ashx?t=""&amp;A3236,""table"",10),7,2),""*"",""""),""-"",""0.00""))"),"Loading...")</f>
        <v>Loading...</v>
      </c>
      <c r="L3236" s="129">
        <v>6.5088284E7</v>
      </c>
      <c r="M3236" s="99">
        <v>0.75</v>
      </c>
    </row>
    <row r="3237">
      <c r="A3237" s="122" t="s">
        <v>6908</v>
      </c>
      <c r="B3237" s="123">
        <v>1170300.0</v>
      </c>
      <c r="C3237" s="124" t="s">
        <v>6909</v>
      </c>
      <c r="D3237" s="125"/>
      <c r="E3237" s="126">
        <v>5.79</v>
      </c>
      <c r="F3237" s="127"/>
      <c r="G3237" s="127"/>
      <c r="H3237" s="127"/>
      <c r="I3237" s="128"/>
      <c r="K3237" s="105" t="str">
        <f>IFERROR(__xludf.DUMMYFUNCTION("if(A3237="""","""",substitute(SUBSTITUTE(index(importhtml(""http://finviz.com/quote.ashx?t=""&amp;A3237,""table"",10),7,2),""*"",""""),""-"",""0.00""))"),"Loading...")</f>
        <v>Loading...</v>
      </c>
      <c r="L3237" s="129">
        <v>1.86747474E8</v>
      </c>
      <c r="M3237" s="99">
        <v>0.54</v>
      </c>
    </row>
    <row r="3238">
      <c r="A3238" s="122" t="s">
        <v>6910</v>
      </c>
      <c r="B3238" s="123">
        <v>1509991.0</v>
      </c>
      <c r="C3238" s="124" t="s">
        <v>6911</v>
      </c>
      <c r="D3238" s="125"/>
      <c r="E3238" s="126">
        <v>5.79</v>
      </c>
      <c r="F3238" s="127"/>
      <c r="G3238" s="127"/>
      <c r="H3238" s="127"/>
      <c r="I3238" s="128"/>
      <c r="K3238" s="105" t="str">
        <f>IFERROR(__xludf.DUMMYFUNCTION("if(A3238="""","""",substitute(SUBSTITUTE(index(importhtml(""http://finviz.com/quote.ashx?t=""&amp;A3238,""table"",10),7,2),""*"",""""),""-"",""0.00""))"),"Loading...")</f>
        <v>Loading...</v>
      </c>
      <c r="L3238" s="129">
        <v>2.664150366E9</v>
      </c>
      <c r="M3238" s="99">
        <v>2.43</v>
      </c>
    </row>
    <row r="3239">
      <c r="A3239" s="122" t="s">
        <v>6912</v>
      </c>
      <c r="B3239" s="123">
        <v>1471055.0</v>
      </c>
      <c r="C3239" s="124" t="s">
        <v>6913</v>
      </c>
      <c r="D3239" s="125"/>
      <c r="E3239" s="126">
        <v>5.79</v>
      </c>
      <c r="F3239" s="127"/>
      <c r="G3239" s="127"/>
      <c r="H3239" s="127"/>
      <c r="I3239" s="128"/>
      <c r="K3239" s="105" t="str">
        <f>IFERROR(__xludf.DUMMYFUNCTION("if(A3239="""","""",substitute(SUBSTITUTE(index(importhtml(""http://finviz.com/quote.ashx?t=""&amp;A3239,""table"",10),7,2),""*"",""""),""-"",""0.00""))"),"Loading...")</f>
        <v>Loading...</v>
      </c>
      <c r="L3239" s="129">
        <v>1.08753887444E11</v>
      </c>
      <c r="M3239" s="99">
        <v>1.02</v>
      </c>
    </row>
    <row r="3240">
      <c r="A3240" s="122" t="s">
        <v>6914</v>
      </c>
      <c r="B3240" s="123">
        <v>1332283.0</v>
      </c>
      <c r="C3240" s="124" t="s">
        <v>6915</v>
      </c>
      <c r="D3240" s="125"/>
      <c r="E3240" s="126">
        <v>5.8</v>
      </c>
      <c r="F3240" s="127"/>
      <c r="G3240" s="127"/>
      <c r="H3240" s="127"/>
      <c r="I3240" s="128"/>
      <c r="K3240" s="55" t="s">
        <v>6916</v>
      </c>
      <c r="L3240" s="129">
        <v>5.5471454E9</v>
      </c>
      <c r="M3240" s="99">
        <f>IFERROR(__xludf.DUMMYFUNCTION("GOOGLEFINANCE(A3240,""beta"")"),0.89)</f>
        <v>0.89</v>
      </c>
    </row>
    <row r="3241">
      <c r="A3241" s="122" t="s">
        <v>6917</v>
      </c>
      <c r="B3241" s="123">
        <v>1631487.0</v>
      </c>
      <c r="C3241" s="124" t="s">
        <v>6918</v>
      </c>
      <c r="D3241" s="125"/>
      <c r="E3241" s="126">
        <v>5.8</v>
      </c>
      <c r="F3241" s="127"/>
      <c r="G3241" s="127"/>
      <c r="H3241" s="127"/>
      <c r="I3241" s="128"/>
      <c r="K3241" s="105" t="str">
        <f>IFERROR(__xludf.DUMMYFUNCTION("if(A3241="""","""",substitute(SUBSTITUTE(index(importhtml(""http://finviz.com/quote.ashx?t=""&amp;A3241,""table"",10),7,2),""*"",""""),""-"",""0.00""))"),"Loading...")</f>
        <v>Loading...</v>
      </c>
      <c r="L3241" s="129">
        <v>6.6425488E7</v>
      </c>
      <c r="M3241" s="99">
        <v>0.41</v>
      </c>
    </row>
    <row r="3242">
      <c r="A3242" s="122" t="s">
        <v>6919</v>
      </c>
      <c r="B3242" s="123">
        <v>1026214.0</v>
      </c>
      <c r="C3242" s="124" t="s">
        <v>6920</v>
      </c>
      <c r="D3242" s="125"/>
      <c r="E3242" s="126">
        <v>5.8</v>
      </c>
      <c r="F3242" s="127"/>
      <c r="G3242" s="127"/>
      <c r="H3242" s="127"/>
      <c r="I3242" s="128"/>
      <c r="K3242" s="105" t="str">
        <f>IFERROR(__xludf.DUMMYFUNCTION("if(A3242="""","""",substitute(SUBSTITUTE(index(importhtml(""http://finviz.com/quote.ashx?t=""&amp;A3242,""table"",10),7,2),""*"",""""),""-"",""0.00""))"),"Loading...")</f>
        <v>Loading...</v>
      </c>
      <c r="L3242" s="129">
        <v>7.08564876E8</v>
      </c>
      <c r="M3242" s="99">
        <v>0.76</v>
      </c>
    </row>
    <row r="3243">
      <c r="A3243" s="122" t="s">
        <v>6921</v>
      </c>
      <c r="B3243" s="123">
        <v>310522.0</v>
      </c>
      <c r="C3243" s="124" t="s">
        <v>6922</v>
      </c>
      <c r="D3243" s="125"/>
      <c r="E3243" s="126">
        <v>5.8</v>
      </c>
      <c r="F3243" s="127"/>
      <c r="G3243" s="127"/>
      <c r="H3243" s="127"/>
      <c r="I3243" s="128"/>
      <c r="K3243" s="105" t="str">
        <f>IFERROR(__xludf.DUMMYFUNCTION("if(A3243="""","""",substitute(SUBSTITUTE(index(importhtml(""http://finviz.com/quote.ashx?t=""&amp;A3243,""table"",10),7,2),""*"",""""),""-"",""0.00""))"),"#N/A")</f>
        <v>#N/A</v>
      </c>
      <c r="L3243" s="129">
        <v>1.540255759E9</v>
      </c>
      <c r="M3243" s="99">
        <v>0.78</v>
      </c>
    </row>
    <row r="3244">
      <c r="A3244" s="122" t="s">
        <v>6923</v>
      </c>
      <c r="B3244" s="123">
        <v>313807.0</v>
      </c>
      <c r="C3244" s="124" t="s">
        <v>6924</v>
      </c>
      <c r="D3244" s="125"/>
      <c r="E3244" s="126">
        <v>5.8</v>
      </c>
      <c r="F3244" s="127"/>
      <c r="G3244" s="127"/>
      <c r="H3244" s="127"/>
      <c r="I3244" s="128"/>
      <c r="K3244" s="105" t="str">
        <f>IFERROR(__xludf.DUMMYFUNCTION("if(A3244="""","""",substitute(SUBSTITUTE(index(importhtml(""http://finviz.com/quote.ashx?t=""&amp;A3244,""table"",10),7,2),""*"",""""),""-"",""0.00""))"),"Loading...")</f>
        <v>Loading...</v>
      </c>
      <c r="L3244" s="129">
        <v>9.98589432E10</v>
      </c>
      <c r="M3244" s="99">
        <v>0.68</v>
      </c>
    </row>
    <row r="3245">
      <c r="A3245" s="122" t="s">
        <v>6925</v>
      </c>
      <c r="B3245" s="123">
        <v>769218.0</v>
      </c>
      <c r="C3245" s="124" t="s">
        <v>6926</v>
      </c>
      <c r="D3245" s="125"/>
      <c r="E3245" s="126">
        <v>5.81</v>
      </c>
      <c r="F3245" s="127"/>
      <c r="G3245" s="127"/>
      <c r="H3245" s="127"/>
      <c r="I3245" s="128"/>
      <c r="K3245" s="55" t="s">
        <v>5279</v>
      </c>
      <c r="L3245" s="129">
        <v>1.0534953346E10</v>
      </c>
      <c r="M3245" s="99">
        <v>1.12</v>
      </c>
    </row>
    <row r="3246">
      <c r="A3246" s="122" t="s">
        <v>6927</v>
      </c>
      <c r="B3246" s="123">
        <v>1614806.0</v>
      </c>
      <c r="C3246" s="124" t="s">
        <v>6928</v>
      </c>
      <c r="D3246" s="125"/>
      <c r="E3246" s="126">
        <v>5.81</v>
      </c>
      <c r="F3246" s="127"/>
      <c r="G3246" s="127"/>
      <c r="H3246" s="127"/>
      <c r="I3246" s="128"/>
      <c r="K3246" s="55" t="s">
        <v>6929</v>
      </c>
      <c r="L3246" s="129">
        <v>1.59597328E8</v>
      </c>
      <c r="M3246" s="99">
        <v>1.91</v>
      </c>
    </row>
    <row r="3247">
      <c r="A3247" s="122" t="s">
        <v>6930</v>
      </c>
      <c r="B3247" s="123">
        <v>1505065.0</v>
      </c>
      <c r="C3247" s="124" t="s">
        <v>6931</v>
      </c>
      <c r="D3247" s="125"/>
      <c r="E3247" s="126">
        <v>5.81</v>
      </c>
      <c r="F3247" s="127"/>
      <c r="G3247" s="127"/>
      <c r="H3247" s="127"/>
      <c r="I3247" s="128"/>
      <c r="K3247" s="105" t="str">
        <f>IFERROR(__xludf.DUMMYFUNCTION("if(A3247="""","""",substitute(SUBSTITUTE(index(importhtml(""http://finviz.com/quote.ashx?t=""&amp;A3247,""table"",10),7,2),""*"",""""),""-"",""0.00""))"),"Loading...")</f>
        <v>Loading...</v>
      </c>
      <c r="L3247" s="129">
        <v>3.795704E8</v>
      </c>
      <c r="M3247" s="99">
        <v>1.23</v>
      </c>
    </row>
    <row r="3248">
      <c r="A3248" s="122" t="s">
        <v>6932</v>
      </c>
      <c r="B3248" s="123">
        <v>1172494.0</v>
      </c>
      <c r="C3248" s="124" t="s">
        <v>6933</v>
      </c>
      <c r="D3248" s="125"/>
      <c r="E3248" s="126">
        <v>5.81</v>
      </c>
      <c r="F3248" s="127"/>
      <c r="G3248" s="127"/>
      <c r="H3248" s="127"/>
      <c r="I3248" s="128"/>
      <c r="K3248" s="105" t="str">
        <f>IFERROR(__xludf.DUMMYFUNCTION("if(A3248="""","""",substitute(SUBSTITUTE(index(importhtml(""http://finviz.com/quote.ashx?t=""&amp;A3248,""table"",10),7,2),""*"",""""),""-"",""0.00""))"),"Loading...")</f>
        <v>Loading...</v>
      </c>
      <c r="L3248" s="129">
        <v>4.435596233E9</v>
      </c>
      <c r="M3248" s="99">
        <v>1.11</v>
      </c>
    </row>
    <row r="3249">
      <c r="A3249" s="122" t="s">
        <v>6934</v>
      </c>
      <c r="B3249" s="123">
        <v>1378984.0</v>
      </c>
      <c r="C3249" s="124" t="s">
        <v>6935</v>
      </c>
      <c r="D3249" s="125"/>
      <c r="E3249" s="126">
        <v>5.81</v>
      </c>
      <c r="F3249" s="127"/>
      <c r="G3249" s="127"/>
      <c r="H3249" s="127"/>
      <c r="I3249" s="128"/>
      <c r="K3249" s="105" t="str">
        <f>IFERROR(__xludf.DUMMYFUNCTION("if(A3249="""","""",substitute(SUBSTITUTE(index(importhtml(""http://finviz.com/quote.ashx?t=""&amp;A3249,""table"",10),7,2),""*"",""""),""-"",""0.00""))"),"Loading...")</f>
        <v>Loading...</v>
      </c>
      <c r="L3249" s="129">
        <v>4.859874318E9</v>
      </c>
      <c r="M3249" s="99">
        <v>1.45</v>
      </c>
    </row>
    <row r="3250">
      <c r="A3250" s="122" t="s">
        <v>6936</v>
      </c>
      <c r="B3250" s="123">
        <v>768835.0</v>
      </c>
      <c r="C3250" s="124" t="s">
        <v>6937</v>
      </c>
      <c r="D3250" s="125"/>
      <c r="E3250" s="126">
        <v>5.82</v>
      </c>
      <c r="F3250" s="127"/>
      <c r="G3250" s="127"/>
      <c r="H3250" s="127"/>
      <c r="I3250" s="128"/>
      <c r="K3250" s="55" t="s">
        <v>6938</v>
      </c>
      <c r="L3250" s="129">
        <v>1.70040267E8</v>
      </c>
      <c r="M3250" s="99">
        <v>2.35</v>
      </c>
    </row>
    <row r="3251">
      <c r="A3251" s="122" t="s">
        <v>6939</v>
      </c>
      <c r="B3251" s="123">
        <v>1733413.0</v>
      </c>
      <c r="C3251" s="124" t="s">
        <v>6940</v>
      </c>
      <c r="D3251" s="125"/>
      <c r="E3251" s="126">
        <v>5.82</v>
      </c>
      <c r="F3251" s="127"/>
      <c r="G3251" s="127"/>
      <c r="H3251" s="127"/>
      <c r="I3251" s="128"/>
      <c r="K3251" s="105" t="str">
        <f>IFERROR(__xludf.DUMMYFUNCTION("if(A3251="""","""",substitute(SUBSTITUTE(index(importhtml(""http://finviz.com/quote.ashx?t=""&amp;A3251,""table"",10),7,2),""*"",""""),""-"",""0.00""))"),"Loading...")</f>
        <v>Loading...</v>
      </c>
      <c r="L3251" s="129">
        <v>1.3767349E7</v>
      </c>
      <c r="M3251" s="99">
        <v>1.26</v>
      </c>
    </row>
    <row r="3252">
      <c r="A3252" s="122" t="s">
        <v>6941</v>
      </c>
      <c r="B3252" s="123">
        <v>1504461.0</v>
      </c>
      <c r="C3252" s="124" t="s">
        <v>6942</v>
      </c>
      <c r="D3252" s="125"/>
      <c r="E3252" s="126">
        <v>5.82</v>
      </c>
      <c r="F3252" s="127"/>
      <c r="G3252" s="127"/>
      <c r="H3252" s="127"/>
      <c r="I3252" s="128"/>
      <c r="K3252" s="105" t="str">
        <f>IFERROR(__xludf.DUMMYFUNCTION("if(A3252="""","""",substitute(SUBSTITUTE(index(importhtml(""http://finviz.com/quote.ashx?t=""&amp;A3252,""table"",10),7,2),""*"",""""),""-"",""0.00""))"),"Loading...")</f>
        <v>Loading...</v>
      </c>
      <c r="L3252" s="129">
        <v>7.67816908E8</v>
      </c>
      <c r="M3252" s="99">
        <v>1.67</v>
      </c>
    </row>
    <row r="3253">
      <c r="A3253" s="122" t="s">
        <v>6943</v>
      </c>
      <c r="B3253" s="123">
        <v>1653087.0</v>
      </c>
      <c r="C3253" s="124" t="s">
        <v>6944</v>
      </c>
      <c r="D3253" s="125"/>
      <c r="E3253" s="126">
        <v>5.83</v>
      </c>
      <c r="F3253" s="127"/>
      <c r="G3253" s="127"/>
      <c r="H3253" s="127"/>
      <c r="I3253" s="128"/>
      <c r="K3253" s="105" t="str">
        <f>IFERROR(__xludf.DUMMYFUNCTION("if(A3253="""","""",substitute(SUBSTITUTE(index(importhtml(""http://finviz.com/quote.ashx?t=""&amp;A3253,""table"",10),7,2),""*"",""""),""-"",""0.00""))"),"Loading...")</f>
        <v>Loading...</v>
      </c>
      <c r="L3253" s="129">
        <v>5.53884622E8</v>
      </c>
      <c r="M3253" s="99">
        <v>0.77</v>
      </c>
    </row>
    <row r="3254">
      <c r="A3254" s="122" t="s">
        <v>6945</v>
      </c>
      <c r="B3254" s="123">
        <v>1865408.0</v>
      </c>
      <c r="C3254" s="124" t="s">
        <v>6946</v>
      </c>
      <c r="D3254" s="125"/>
      <c r="E3254" s="126">
        <v>5.83</v>
      </c>
      <c r="F3254" s="127"/>
      <c r="G3254" s="127"/>
      <c r="H3254" s="127"/>
      <c r="I3254" s="128"/>
      <c r="K3254" s="105" t="str">
        <f>IFERROR(__xludf.DUMMYFUNCTION("if(A3254="""","""",substitute(SUBSTITUTE(index(importhtml(""http://finviz.com/quote.ashx?t=""&amp;A3254,""table"",10),7,2),""*"",""""),""-"",""0.00""))"),"Loading...")</f>
        <v>Loading...</v>
      </c>
      <c r="L3254" s="129">
        <v>7.24351255E8</v>
      </c>
      <c r="M3254" s="99" t="str">
        <f>IFERROR(__xludf.DUMMYFUNCTION("GOOGLEFINANCE(A3254,""beta"")"),"#N/A")</f>
        <v>#N/A</v>
      </c>
    </row>
    <row r="3255">
      <c r="A3255" s="122" t="s">
        <v>6947</v>
      </c>
      <c r="B3255" s="123">
        <v>1630472.0</v>
      </c>
      <c r="C3255" s="124" t="s">
        <v>6948</v>
      </c>
      <c r="D3255" s="125"/>
      <c r="E3255" s="126">
        <v>5.84</v>
      </c>
      <c r="F3255" s="127"/>
      <c r="G3255" s="127"/>
      <c r="H3255" s="127"/>
      <c r="I3255" s="128"/>
      <c r="K3255" s="105" t="str">
        <f>IFERROR(__xludf.DUMMYFUNCTION("if(A3255="""","""",substitute(SUBSTITUTE(index(importhtml(""http://finviz.com/quote.ashx?t=""&amp;A3255,""table"",10),7,2),""*"",""""),""-"",""0.00""))"),"Loading...")</f>
        <v>Loading...</v>
      </c>
      <c r="L3255" s="129">
        <v>4.53971127E8</v>
      </c>
      <c r="M3255" s="99">
        <v>2.0</v>
      </c>
    </row>
    <row r="3256">
      <c r="A3256" s="122" t="s">
        <v>6949</v>
      </c>
      <c r="B3256" s="123">
        <v>1287032.0</v>
      </c>
      <c r="C3256" s="124" t="s">
        <v>6950</v>
      </c>
      <c r="D3256" s="125"/>
      <c r="E3256" s="126">
        <v>5.84</v>
      </c>
      <c r="F3256" s="127"/>
      <c r="G3256" s="127"/>
      <c r="H3256" s="127"/>
      <c r="I3256" s="128"/>
      <c r="K3256" s="105" t="str">
        <f>IFERROR(__xludf.DUMMYFUNCTION("if(A3256="""","""",substitute(SUBSTITUTE(index(importhtml(""http://finviz.com/quote.ashx?t=""&amp;A3256,""table"",10),7,2),""*"",""""),""-"",""0.00""))"),"Loading...")</f>
        <v>Loading...</v>
      </c>
      <c r="L3256" s="129">
        <v>2.396653134E9</v>
      </c>
      <c r="M3256" s="99">
        <v>1.02</v>
      </c>
    </row>
    <row r="3257">
      <c r="A3257" s="122" t="s">
        <v>6951</v>
      </c>
      <c r="B3257" s="123">
        <v>827871.0</v>
      </c>
      <c r="C3257" s="124" t="s">
        <v>6952</v>
      </c>
      <c r="D3257" s="125"/>
      <c r="E3257" s="126">
        <v>5.85</v>
      </c>
      <c r="F3257" s="127"/>
      <c r="G3257" s="127"/>
      <c r="H3257" s="127"/>
      <c r="I3257" s="128"/>
      <c r="K3257" s="105" t="str">
        <f>IFERROR(__xludf.DUMMYFUNCTION("if(A3257="""","""",substitute(SUBSTITUTE(index(importhtml(""http://finviz.com/quote.ashx?t=""&amp;A3257,""table"",10),7,2),""*"",""""),""-"",""0.00""))"),"Loading...")</f>
        <v>Loading...</v>
      </c>
      <c r="L3257" s="129">
        <v>7.5973773E7</v>
      </c>
      <c r="M3257" s="99">
        <v>0.44</v>
      </c>
    </row>
    <row r="3258">
      <c r="A3258" s="122" t="s">
        <v>6953</v>
      </c>
      <c r="B3258" s="123">
        <v>1598665.0</v>
      </c>
      <c r="C3258" s="124" t="s">
        <v>6954</v>
      </c>
      <c r="D3258" s="125"/>
      <c r="E3258" s="126">
        <v>5.87</v>
      </c>
      <c r="F3258" s="127"/>
      <c r="G3258" s="127"/>
      <c r="H3258" s="127"/>
      <c r="I3258" s="128"/>
      <c r="K3258" s="105" t="str">
        <f>IFERROR(__xludf.DUMMYFUNCTION("if(A3258="""","""",substitute(SUBSTITUTE(index(importhtml(""http://finviz.com/quote.ashx?t=""&amp;A3258,""table"",10),7,2),""*"",""""),""-"",""0.00""))"),"Loading...")</f>
        <v>Loading...</v>
      </c>
      <c r="L3258" s="129">
        <v>1.77764728E8</v>
      </c>
      <c r="M3258" s="99">
        <v>0.81</v>
      </c>
    </row>
    <row r="3259">
      <c r="A3259" s="122" t="s">
        <v>6955</v>
      </c>
      <c r="B3259" s="123">
        <v>1562151.0</v>
      </c>
      <c r="C3259" s="124" t="s">
        <v>6956</v>
      </c>
      <c r="D3259" s="125"/>
      <c r="E3259" s="126">
        <v>5.88</v>
      </c>
      <c r="F3259" s="127"/>
      <c r="G3259" s="127"/>
      <c r="H3259" s="127"/>
      <c r="I3259" s="128"/>
      <c r="K3259" s="105" t="str">
        <f>IFERROR(__xludf.DUMMYFUNCTION("if(A3259="""","""",substitute(SUBSTITUTE(index(importhtml(""http://finviz.com/quote.ashx?t=""&amp;A3259,""table"",10),7,2),""*"",""""),""-"",""0.00""))"),"Loading...")</f>
        <v>Loading...</v>
      </c>
      <c r="L3259" s="129">
        <v>1.2412398E8</v>
      </c>
      <c r="M3259" s="99">
        <v>0.47</v>
      </c>
    </row>
    <row r="3260">
      <c r="A3260" s="122" t="s">
        <v>6957</v>
      </c>
      <c r="B3260" s="123">
        <v>1846576.0</v>
      </c>
      <c r="C3260" s="124" t="s">
        <v>6958</v>
      </c>
      <c r="D3260" s="125"/>
      <c r="E3260" s="126">
        <v>5.88</v>
      </c>
      <c r="F3260" s="127"/>
      <c r="G3260" s="127"/>
      <c r="H3260" s="127"/>
      <c r="I3260" s="128"/>
      <c r="K3260" s="105" t="str">
        <f>IFERROR(__xludf.DUMMYFUNCTION("if(A3260="""","""",substitute(SUBSTITUTE(index(importhtml(""http://finviz.com/quote.ashx?t=""&amp;A3260,""table"",10),7,2),""*"",""""),""-"",""0.00""))"),"Loading...")</f>
        <v>Loading...</v>
      </c>
      <c r="L3260" s="129">
        <v>9.94512643E8</v>
      </c>
      <c r="M3260" s="99">
        <f>IFERROR(__xludf.DUMMYFUNCTION("GOOGLEFINANCE(A3260,""beta"")"),1.34)</f>
        <v>1.34</v>
      </c>
    </row>
    <row r="3261">
      <c r="A3261" s="122" t="s">
        <v>6959</v>
      </c>
      <c r="B3261" s="123">
        <v>1715497.0</v>
      </c>
      <c r="C3261" s="124" t="s">
        <v>6960</v>
      </c>
      <c r="D3261" s="125"/>
      <c r="E3261" s="126">
        <v>5.89</v>
      </c>
      <c r="F3261" s="127"/>
      <c r="G3261" s="127"/>
      <c r="H3261" s="127"/>
      <c r="I3261" s="128"/>
      <c r="K3261" s="105" t="str">
        <f>IFERROR(__xludf.DUMMYFUNCTION("if(A3261="""","""",substitute(SUBSTITUTE(index(importhtml(""http://finviz.com/quote.ashx?t=""&amp;A3261,""table"",10),7,2),""*"",""""),""-"",""0.00""))"),"Loading...")</f>
        <v>Loading...</v>
      </c>
      <c r="L3261" s="129" t="e">
        <v>#N/A</v>
      </c>
      <c r="M3261" s="99">
        <v>2.99</v>
      </c>
    </row>
    <row r="3262">
      <c r="A3262" s="122" t="s">
        <v>6961</v>
      </c>
      <c r="B3262" s="123">
        <v>1075736.0</v>
      </c>
      <c r="C3262" s="124" t="s">
        <v>6962</v>
      </c>
      <c r="D3262" s="125"/>
      <c r="E3262" s="126">
        <v>5.9</v>
      </c>
      <c r="F3262" s="127"/>
      <c r="G3262" s="127"/>
      <c r="H3262" s="127"/>
      <c r="I3262" s="128"/>
      <c r="K3262" s="105" t="str">
        <f>IFERROR(__xludf.DUMMYFUNCTION("if(A3262="""","""",substitute(SUBSTITUTE(index(importhtml(""http://finviz.com/quote.ashx?t=""&amp;A3262,""table"",10),7,2),""*"",""""),""-"",""0.00""))"),"Loading...")</f>
        <v>Loading...</v>
      </c>
      <c r="L3262" s="129">
        <v>1.53473966E8</v>
      </c>
      <c r="M3262" s="99">
        <v>1.18</v>
      </c>
    </row>
    <row r="3263">
      <c r="A3263" s="122" t="s">
        <v>6963</v>
      </c>
      <c r="B3263" s="123">
        <v>1402829.0</v>
      </c>
      <c r="C3263" s="124" t="s">
        <v>6964</v>
      </c>
      <c r="D3263" s="125"/>
      <c r="E3263" s="126">
        <v>5.9</v>
      </c>
      <c r="F3263" s="127"/>
      <c r="G3263" s="127"/>
      <c r="H3263" s="127"/>
      <c r="I3263" s="128"/>
      <c r="K3263" s="105" t="str">
        <f>IFERROR(__xludf.DUMMYFUNCTION("if(A3263="""","""",substitute(SUBSTITUTE(index(importhtml(""http://finviz.com/quote.ashx?t=""&amp;A3263,""table"",10),7,2),""*"",""""),""-"",""0.00""))"),"Loading...")</f>
        <v>Loading...</v>
      </c>
      <c r="L3263" s="129">
        <v>1.91697493E8</v>
      </c>
      <c r="M3263" s="99">
        <v>0.64</v>
      </c>
    </row>
    <row r="3264">
      <c r="A3264" s="122" t="s">
        <v>6965</v>
      </c>
      <c r="B3264" s="123">
        <v>1026214.0</v>
      </c>
      <c r="C3264" s="124" t="s">
        <v>6903</v>
      </c>
      <c r="D3264" s="125"/>
      <c r="E3264" s="126">
        <v>5.9</v>
      </c>
      <c r="F3264" s="127"/>
      <c r="G3264" s="127"/>
      <c r="H3264" s="127"/>
      <c r="I3264" s="128"/>
      <c r="K3264" s="105" t="str">
        <f>IFERROR(__xludf.DUMMYFUNCTION("if(A3264="""","""",substitute(SUBSTITUTE(index(importhtml(""http://finviz.com/quote.ashx?t=""&amp;A3264,""table"",10),7,2),""*"",""""),""-"",""0.00""))"),"Loading...")</f>
        <v>Loading...</v>
      </c>
      <c r="L3264" s="129">
        <v>7.08564876E8</v>
      </c>
      <c r="M3264" s="99">
        <v>0.46</v>
      </c>
    </row>
    <row r="3265">
      <c r="A3265" s="122" t="s">
        <v>6966</v>
      </c>
      <c r="B3265" s="123">
        <v>1820872.0</v>
      </c>
      <c r="C3265" s="124" t="s">
        <v>6967</v>
      </c>
      <c r="D3265" s="125"/>
      <c r="E3265" s="126">
        <v>5.9</v>
      </c>
      <c r="F3265" s="127"/>
      <c r="G3265" s="127"/>
      <c r="H3265" s="127"/>
      <c r="I3265" s="128"/>
      <c r="K3265" s="105" t="str">
        <f>IFERROR(__xludf.DUMMYFUNCTION("if(A3265="""","""",substitute(SUBSTITUTE(index(importhtml(""http://finviz.com/quote.ashx?t=""&amp;A3265,""table"",10),7,2),""*"",""""),""-"",""0.00""))"),"Loading...")</f>
        <v>Loading...</v>
      </c>
      <c r="L3265" s="129">
        <v>2.755434564E9</v>
      </c>
      <c r="M3265" s="99">
        <v>0.63</v>
      </c>
    </row>
    <row r="3266">
      <c r="A3266" s="122" t="s">
        <v>6968</v>
      </c>
      <c r="B3266" s="123">
        <v>1533924.0</v>
      </c>
      <c r="C3266" s="124" t="s">
        <v>6969</v>
      </c>
      <c r="D3266" s="125"/>
      <c r="E3266" s="126">
        <v>5.91</v>
      </c>
      <c r="F3266" s="127"/>
      <c r="G3266" s="127"/>
      <c r="H3266" s="127"/>
      <c r="I3266" s="128"/>
      <c r="K3266" s="105" t="str">
        <f>IFERROR(__xludf.DUMMYFUNCTION("if(A3266="""","""",substitute(SUBSTITUTE(index(importhtml(""http://finviz.com/quote.ashx?t=""&amp;A3266,""table"",10),7,2),""*"",""""),""-"",""0.00""))"),"Loading...")</f>
        <v>Loading...</v>
      </c>
      <c r="L3266" s="129">
        <v>2.31061431E8</v>
      </c>
      <c r="M3266" s="99">
        <v>2.12</v>
      </c>
    </row>
    <row r="3267">
      <c r="A3267" s="122" t="s">
        <v>6970</v>
      </c>
      <c r="B3267" s="123">
        <v>1595248.0</v>
      </c>
      <c r="C3267" s="124" t="s">
        <v>6971</v>
      </c>
      <c r="D3267" s="125"/>
      <c r="E3267" s="126">
        <v>5.91</v>
      </c>
      <c r="F3267" s="127"/>
      <c r="G3267" s="127"/>
      <c r="H3267" s="127"/>
      <c r="I3267" s="128"/>
      <c r="K3267" s="105" t="str">
        <f>IFERROR(__xludf.DUMMYFUNCTION("if(A3267="""","""",substitute(SUBSTITUTE(index(importhtml(""http://finviz.com/quote.ashx?t=""&amp;A3267,""table"",10),7,2),""*"",""""),""-"",""0.00""))"),"Loading...")</f>
        <v>Loading...</v>
      </c>
      <c r="L3267" s="129">
        <v>3.58089845E8</v>
      </c>
      <c r="M3267" s="99">
        <v>-0.47</v>
      </c>
    </row>
    <row r="3268">
      <c r="A3268" s="122" t="s">
        <v>6972</v>
      </c>
      <c r="B3268" s="123">
        <v>1735438.0</v>
      </c>
      <c r="C3268" s="124" t="s">
        <v>6973</v>
      </c>
      <c r="D3268" s="125"/>
      <c r="E3268" s="126">
        <v>5.91</v>
      </c>
      <c r="F3268" s="127"/>
      <c r="G3268" s="127"/>
      <c r="H3268" s="127"/>
      <c r="I3268" s="128"/>
      <c r="K3268" s="105" t="str">
        <f>IFERROR(__xludf.DUMMYFUNCTION("if(A3268="""","""",substitute(SUBSTITUTE(index(importhtml(""http://finviz.com/quote.ashx?t=""&amp;A3268,""table"",10),7,2),""*"",""""),""-"",""0.00""))"),"Loading...")</f>
        <v>Loading...</v>
      </c>
      <c r="L3268" s="129">
        <v>3.75859146E8</v>
      </c>
      <c r="M3268" s="99">
        <v>1.34</v>
      </c>
    </row>
    <row r="3269">
      <c r="A3269" s="122" t="s">
        <v>6974</v>
      </c>
      <c r="B3269" s="123">
        <v>1837824.0</v>
      </c>
      <c r="C3269" s="124" t="s">
        <v>6975</v>
      </c>
      <c r="D3269" s="125"/>
      <c r="E3269" s="126">
        <v>5.91</v>
      </c>
      <c r="F3269" s="127"/>
      <c r="G3269" s="127"/>
      <c r="H3269" s="127"/>
      <c r="I3269" s="128"/>
      <c r="K3269" s="105" t="str">
        <f>IFERROR(__xludf.DUMMYFUNCTION("if(A3269="""","""",substitute(SUBSTITUTE(index(importhtml(""http://finviz.com/quote.ashx?t=""&amp;A3269,""table"",10),7,2),""*"",""""),""-"",""0.00""))"),"Loading...")</f>
        <v>Loading...</v>
      </c>
      <c r="L3269" s="129">
        <v>2.695165997E9</v>
      </c>
      <c r="M3269" s="99" t="str">
        <f>IFERROR(__xludf.DUMMYFUNCTION("GOOGLEFINANCE(A3269,""beta"")"),"#N/A")</f>
        <v>#N/A</v>
      </c>
    </row>
    <row r="3270">
      <c r="A3270" s="122" t="s">
        <v>6976</v>
      </c>
      <c r="B3270" s="123">
        <v>769218.0</v>
      </c>
      <c r="C3270" s="124" t="s">
        <v>6926</v>
      </c>
      <c r="D3270" s="125"/>
      <c r="E3270" s="126">
        <v>5.91</v>
      </c>
      <c r="F3270" s="127"/>
      <c r="G3270" s="127"/>
      <c r="H3270" s="127"/>
      <c r="I3270" s="128"/>
      <c r="K3270" s="105" t="str">
        <f>IFERROR(__xludf.DUMMYFUNCTION("if(A3270="""","""",substitute(SUBSTITUTE(index(importhtml(""http://finviz.com/quote.ashx?t=""&amp;A3270,""table"",10),7,2),""*"",""""),""-"",""0.00""))"),"Loading...")</f>
        <v>Loading...</v>
      </c>
      <c r="L3270" s="129">
        <v>1.0534953346E10</v>
      </c>
      <c r="M3270" s="99">
        <v>1.08</v>
      </c>
    </row>
    <row r="3271">
      <c r="A3271" s="122" t="s">
        <v>6977</v>
      </c>
      <c r="B3271" s="123">
        <v>1275187.0</v>
      </c>
      <c r="C3271" s="124" t="s">
        <v>6978</v>
      </c>
      <c r="D3271" s="125"/>
      <c r="E3271" s="126">
        <v>5.93</v>
      </c>
      <c r="F3271" s="127"/>
      <c r="G3271" s="127"/>
      <c r="H3271" s="127"/>
      <c r="I3271" s="128"/>
      <c r="K3271" s="105" t="str">
        <f>IFERROR(__xludf.DUMMYFUNCTION("if(A3271="""","""",substitute(SUBSTITUTE(index(importhtml(""http://finviz.com/quote.ashx?t=""&amp;A3271,""table"",10),7,2),""*"",""""),""-"",""0.00""))"),"Loading...")</f>
        <v>Loading...</v>
      </c>
      <c r="L3271" s="129">
        <v>2.36341269E8</v>
      </c>
      <c r="M3271" s="99">
        <v>0.69</v>
      </c>
    </row>
    <row r="3272">
      <c r="A3272" s="122" t="s">
        <v>6979</v>
      </c>
      <c r="B3272" s="123">
        <v>771856.0</v>
      </c>
      <c r="C3272" s="124" t="s">
        <v>6980</v>
      </c>
      <c r="D3272" s="125"/>
      <c r="E3272" s="126">
        <v>5.95</v>
      </c>
      <c r="F3272" s="127"/>
      <c r="G3272" s="127"/>
      <c r="H3272" s="127"/>
      <c r="I3272" s="128"/>
      <c r="K3272" s="105" t="str">
        <f>IFERROR(__xludf.DUMMYFUNCTION("if(A3272="""","""",substitute(SUBSTITUTE(index(importhtml(""http://finviz.com/quote.ashx?t=""&amp;A3272,""table"",10),7,2),""*"",""""),""-"",""0.00""))"),"Loading...")</f>
        <v>Loading...</v>
      </c>
      <c r="L3272" s="129">
        <v>8.0882869E7</v>
      </c>
      <c r="M3272" s="99">
        <v>0.39</v>
      </c>
    </row>
    <row r="3273">
      <c r="A3273" s="122" t="s">
        <v>6981</v>
      </c>
      <c r="B3273" s="123">
        <v>1121484.0</v>
      </c>
      <c r="C3273" s="124" t="s">
        <v>6982</v>
      </c>
      <c r="D3273" s="125"/>
      <c r="E3273" s="126">
        <v>5.95</v>
      </c>
      <c r="F3273" s="127"/>
      <c r="G3273" s="127"/>
      <c r="H3273" s="127"/>
      <c r="I3273" s="128"/>
      <c r="K3273" s="105" t="str">
        <f>IFERROR(__xludf.DUMMYFUNCTION("if(A3273="""","""",substitute(SUBSTITUTE(index(importhtml(""http://finviz.com/quote.ashx?t=""&amp;A3273,""table"",10),7,2),""*"",""""),""-"",""0.00""))"),"Loading...")</f>
        <v>Loading...</v>
      </c>
      <c r="L3273" s="129">
        <v>3.80140608E8</v>
      </c>
      <c r="M3273" s="99">
        <v>2.61</v>
      </c>
    </row>
    <row r="3274">
      <c r="A3274" s="122" t="s">
        <v>6983</v>
      </c>
      <c r="B3274" s="123">
        <v>1833214.0</v>
      </c>
      <c r="C3274" s="124" t="s">
        <v>6984</v>
      </c>
      <c r="D3274" s="125"/>
      <c r="E3274" s="126">
        <v>5.96</v>
      </c>
      <c r="F3274" s="127"/>
      <c r="G3274" s="127"/>
      <c r="H3274" s="127"/>
      <c r="I3274" s="128"/>
      <c r="K3274" s="105" t="str">
        <f>IFERROR(__xludf.DUMMYFUNCTION("if(A3274="""","""",substitute(SUBSTITUTE(index(importhtml(""http://finviz.com/quote.ashx?t=""&amp;A3274,""table"",10),7,2),""*"",""""),""-"",""0.00""))"),"Loading...")</f>
        <v>Loading...</v>
      </c>
      <c r="L3274" s="129">
        <v>5.4983938E7</v>
      </c>
      <c r="M3274" s="99">
        <f>IFERROR(__xludf.DUMMYFUNCTION("GOOGLEFINANCE(A3274,""beta"")"),0.6)</f>
        <v>0.6</v>
      </c>
    </row>
    <row r="3275">
      <c r="A3275" s="122" t="s">
        <v>6985</v>
      </c>
      <c r="B3275" s="123">
        <v>939383.0</v>
      </c>
      <c r="C3275" s="124" t="s">
        <v>6986</v>
      </c>
      <c r="D3275" s="125"/>
      <c r="E3275" s="126">
        <v>5.96</v>
      </c>
      <c r="F3275" s="127"/>
      <c r="G3275" s="127"/>
      <c r="H3275" s="127"/>
      <c r="I3275" s="128"/>
      <c r="K3275" s="105" t="str">
        <f>IFERROR(__xludf.DUMMYFUNCTION("if(A3275="""","""",substitute(SUBSTITUTE(index(importhtml(""http://finviz.com/quote.ashx?t=""&amp;A3275,""table"",10),7,2),""*"",""""),""-"",""0.00""))"),"Loading...")</f>
        <v>Loading...</v>
      </c>
      <c r="L3275" s="129">
        <v>8.4345625E10</v>
      </c>
      <c r="M3275" s="99">
        <v>0.49</v>
      </c>
    </row>
    <row r="3276">
      <c r="A3276" s="122" t="s">
        <v>6987</v>
      </c>
      <c r="B3276" s="123">
        <v>1819704.0</v>
      </c>
      <c r="C3276" s="124" t="s">
        <v>6988</v>
      </c>
      <c r="D3276" s="125"/>
      <c r="E3276" s="126">
        <v>5.97</v>
      </c>
      <c r="F3276" s="127"/>
      <c r="G3276" s="127"/>
      <c r="H3276" s="127"/>
      <c r="I3276" s="128"/>
      <c r="K3276" s="105" t="str">
        <f>IFERROR(__xludf.DUMMYFUNCTION("if(A3276="""","""",substitute(SUBSTITUTE(index(importhtml(""http://finviz.com/quote.ashx?t=""&amp;A3276,""table"",10),7,2),""*"",""""),""-"",""0.00""))"),"Loading...")</f>
        <v>Loading...</v>
      </c>
      <c r="L3276" s="129">
        <v>2.9240097E7</v>
      </c>
      <c r="M3276" s="99">
        <v>0.0</v>
      </c>
    </row>
    <row r="3277">
      <c r="A3277" s="122" t="s">
        <v>6989</v>
      </c>
      <c r="B3277" s="123">
        <v>866095.0</v>
      </c>
      <c r="C3277" s="124" t="s">
        <v>6990</v>
      </c>
      <c r="D3277" s="125"/>
      <c r="E3277" s="126">
        <v>5.97</v>
      </c>
      <c r="F3277" s="127"/>
      <c r="G3277" s="127"/>
      <c r="H3277" s="127"/>
      <c r="I3277" s="128"/>
      <c r="K3277" s="105" t="str">
        <f>IFERROR(__xludf.DUMMYFUNCTION("if(A3277="""","""",substitute(SUBSTITUTE(index(importhtml(""http://finviz.com/quote.ashx?t=""&amp;A3277,""table"",10),7,2),""*"",""""),""-"",""0.00""))"),"Loading...")</f>
        <v>Loading...</v>
      </c>
      <c r="L3277" s="129">
        <v>8.1191877E7</v>
      </c>
      <c r="M3277" s="99">
        <v>0.88</v>
      </c>
    </row>
    <row r="3278">
      <c r="A3278" s="122" t="s">
        <v>6991</v>
      </c>
      <c r="B3278" s="123">
        <v>1174169.0</v>
      </c>
      <c r="C3278" s="124" t="s">
        <v>6992</v>
      </c>
      <c r="D3278" s="125"/>
      <c r="E3278" s="126">
        <v>5.98</v>
      </c>
      <c r="F3278" s="127"/>
      <c r="G3278" s="127"/>
      <c r="H3278" s="127"/>
      <c r="I3278" s="128"/>
      <c r="K3278" s="55" t="s">
        <v>6993</v>
      </c>
      <c r="L3278" s="129">
        <v>5.539536657E9</v>
      </c>
      <c r="M3278" s="99">
        <v>0.67</v>
      </c>
    </row>
    <row r="3279">
      <c r="A3279" s="122" t="s">
        <v>6994</v>
      </c>
      <c r="B3279" s="123">
        <v>1397016.0</v>
      </c>
      <c r="C3279" s="124" t="s">
        <v>6995</v>
      </c>
      <c r="D3279" s="125"/>
      <c r="E3279" s="126">
        <v>5.98</v>
      </c>
      <c r="F3279" s="127"/>
      <c r="G3279" s="127"/>
      <c r="H3279" s="127"/>
      <c r="I3279" s="128"/>
      <c r="K3279" s="105" t="str">
        <f>IFERROR(__xludf.DUMMYFUNCTION("if(A3279="""","""",substitute(SUBSTITUTE(index(importhtml(""http://finviz.com/quote.ashx?t=""&amp;A3279,""table"",10),7,2),""*"",""""),""-"",""0.00""))"),"Loading...")</f>
        <v>Loading...</v>
      </c>
      <c r="L3279" s="129">
        <v>4.0805678E7</v>
      </c>
      <c r="M3279" s="99">
        <v>0.14</v>
      </c>
    </row>
    <row r="3280">
      <c r="A3280" s="122" t="s">
        <v>6996</v>
      </c>
      <c r="B3280" s="123">
        <v>913277.0</v>
      </c>
      <c r="C3280" s="124" t="s">
        <v>6997</v>
      </c>
      <c r="D3280" s="125"/>
      <c r="E3280" s="126">
        <v>5.98</v>
      </c>
      <c r="F3280" s="127"/>
      <c r="G3280" s="127"/>
      <c r="H3280" s="127"/>
      <c r="I3280" s="128"/>
      <c r="K3280" s="105" t="str">
        <f>IFERROR(__xludf.DUMMYFUNCTION("if(A3280="""","""",substitute(SUBSTITUTE(index(importhtml(""http://finviz.com/quote.ashx?t=""&amp;A3280,""table"",10),7,2),""*"",""""),""-"",""0.00""))"),"Loading...")</f>
        <v>Loading...</v>
      </c>
      <c r="L3280" s="129">
        <v>2.28133412E8</v>
      </c>
      <c r="M3280" s="99">
        <v>0.9</v>
      </c>
    </row>
    <row r="3281">
      <c r="A3281" s="122" t="s">
        <v>6998</v>
      </c>
      <c r="B3281" s="123">
        <v>1446418.0</v>
      </c>
      <c r="C3281" s="124" t="s">
        <v>6999</v>
      </c>
      <c r="D3281" s="125"/>
      <c r="E3281" s="126">
        <v>5.98</v>
      </c>
      <c r="F3281" s="142"/>
      <c r="G3281" s="127"/>
      <c r="H3281" s="127"/>
      <c r="I3281" s="128"/>
      <c r="K3281" s="105" t="str">
        <f>IFERROR(__xludf.DUMMYFUNCTION("if(A3281="""","""",substitute(SUBSTITUTE(index(importhtml(""http://finviz.com/quote.ashx?t=""&amp;A3281,""table"",10),7,2),""*"",""""),""-"",""0.00""))"),"Loading...")</f>
        <v>Loading...</v>
      </c>
      <c r="L3281" s="129">
        <v>1.341349464E12</v>
      </c>
      <c r="M3281" s="99">
        <v>0.49</v>
      </c>
    </row>
    <row r="3282">
      <c r="A3282" s="122" t="s">
        <v>7000</v>
      </c>
      <c r="B3282" s="123">
        <v>1396277.0</v>
      </c>
      <c r="C3282" s="124" t="s">
        <v>7001</v>
      </c>
      <c r="D3282" s="125"/>
      <c r="E3282" s="126">
        <v>5.99</v>
      </c>
      <c r="F3282" s="127"/>
      <c r="G3282" s="127"/>
      <c r="H3282" s="127"/>
      <c r="I3282" s="128"/>
      <c r="K3282" s="55" t="s">
        <v>7002</v>
      </c>
      <c r="L3282" s="129">
        <v>3.82547621E8</v>
      </c>
      <c r="M3282" s="99">
        <v>1.3</v>
      </c>
    </row>
    <row r="3283">
      <c r="A3283" s="122" t="s">
        <v>7003</v>
      </c>
      <c r="B3283" s="123">
        <v>1043961.0</v>
      </c>
      <c r="C3283" s="124" t="s">
        <v>7004</v>
      </c>
      <c r="D3283" s="125"/>
      <c r="E3283" s="126">
        <v>5.99</v>
      </c>
      <c r="F3283" s="127"/>
      <c r="G3283" s="127"/>
      <c r="H3283" s="127"/>
      <c r="I3283" s="128"/>
      <c r="K3283" s="105" t="str">
        <f>IFERROR(__xludf.DUMMYFUNCTION("if(A3283="""","""",substitute(SUBSTITUTE(index(importhtml(""http://finviz.com/quote.ashx?t=""&amp;A3283,""table"",10),7,2),""*"",""""),""-"",""0.00""))"),"Loading...")</f>
        <v>Loading...</v>
      </c>
      <c r="L3283" s="129">
        <v>8502487.0</v>
      </c>
      <c r="M3283" s="99">
        <v>1.59</v>
      </c>
    </row>
    <row r="3284">
      <c r="A3284" s="122" t="s">
        <v>7005</v>
      </c>
      <c r="B3284" s="123">
        <v>1181505.0</v>
      </c>
      <c r="C3284" s="124" t="s">
        <v>7006</v>
      </c>
      <c r="D3284" s="125"/>
      <c r="E3284" s="126">
        <v>5.99</v>
      </c>
      <c r="F3284" s="127"/>
      <c r="G3284" s="127"/>
      <c r="H3284" s="127"/>
      <c r="I3284" s="128"/>
      <c r="K3284" s="105" t="str">
        <f>IFERROR(__xludf.DUMMYFUNCTION("if(A3284="""","""",substitute(SUBSTITUTE(index(importhtml(""http://finviz.com/quote.ashx?t=""&amp;A3284,""table"",10),7,2),""*"",""""),""-"",""0.00""))"),"Loading...")</f>
        <v>Loading...</v>
      </c>
      <c r="L3284" s="129">
        <v>3.4422929E7</v>
      </c>
      <c r="M3284" s="99" t="str">
        <f>IFERROR(__xludf.DUMMYFUNCTION("GOOGLEFINANCE(A3284,""beta"")"),"#N/A")</f>
        <v>#N/A</v>
      </c>
    </row>
    <row r="3285">
      <c r="A3285" s="122" t="s">
        <v>7007</v>
      </c>
      <c r="B3285" s="123">
        <v>1413855.0</v>
      </c>
      <c r="C3285" s="124" t="s">
        <v>7008</v>
      </c>
      <c r="D3285" s="125"/>
      <c r="E3285" s="126">
        <v>5.99</v>
      </c>
      <c r="F3285" s="127"/>
      <c r="G3285" s="127"/>
      <c r="H3285" s="127"/>
      <c r="I3285" s="128"/>
      <c r="K3285" s="105" t="str">
        <f>IFERROR(__xludf.DUMMYFUNCTION("if(A3285="""","""",substitute(SUBSTITUTE(index(importhtml(""http://finviz.com/quote.ashx?t=""&amp;A3285,""table"",10),7,2),""*"",""""),""-"",""0.00""))"),"Loading...")</f>
        <v>Loading...</v>
      </c>
      <c r="L3285" s="129">
        <v>3.39261607E8</v>
      </c>
      <c r="M3285" s="99">
        <v>0.02</v>
      </c>
    </row>
    <row r="3286">
      <c r="A3286" s="122" t="s">
        <v>7009</v>
      </c>
      <c r="B3286" s="123">
        <v>818972.0</v>
      </c>
      <c r="C3286" s="124" t="s">
        <v>7010</v>
      </c>
      <c r="D3286" s="125"/>
      <c r="E3286" s="126">
        <v>5.99</v>
      </c>
      <c r="F3286" s="127"/>
      <c r="G3286" s="127"/>
      <c r="H3286" s="127"/>
      <c r="I3286" s="128"/>
      <c r="K3286" s="105" t="str">
        <f>IFERROR(__xludf.DUMMYFUNCTION("if(A3286="""","""",substitute(SUBSTITUTE(index(importhtml(""http://finviz.com/quote.ashx?t=""&amp;A3286,""table"",10),7,2),""*"",""""),""-"",""0.00""))"),"Loading...")</f>
        <v>Loading...</v>
      </c>
      <c r="L3286" s="129">
        <v>3.73122117E8</v>
      </c>
      <c r="M3286" s="99">
        <v>0.54</v>
      </c>
    </row>
    <row r="3287">
      <c r="A3287" s="122" t="s">
        <v>7011</v>
      </c>
      <c r="B3287" s="123">
        <v>71829.0</v>
      </c>
      <c r="C3287" s="124" t="s">
        <v>7012</v>
      </c>
      <c r="D3287" s="125"/>
      <c r="E3287" s="126">
        <v>6.0</v>
      </c>
      <c r="F3287" s="127"/>
      <c r="G3287" s="127"/>
      <c r="H3287" s="127"/>
      <c r="I3287" s="128"/>
      <c r="K3287" s="55" t="s">
        <v>1034</v>
      </c>
      <c r="L3287" s="129">
        <v>5.1052896E8</v>
      </c>
      <c r="M3287" s="99">
        <v>2.78</v>
      </c>
    </row>
    <row r="3288">
      <c r="A3288" s="122" t="s">
        <v>7013</v>
      </c>
      <c r="B3288" s="123">
        <v>880984.0</v>
      </c>
      <c r="C3288" s="124" t="s">
        <v>7014</v>
      </c>
      <c r="D3288" s="125"/>
      <c r="E3288" s="126">
        <v>6.0</v>
      </c>
      <c r="F3288" s="127"/>
      <c r="G3288" s="127"/>
      <c r="H3288" s="127"/>
      <c r="I3288" s="128"/>
      <c r="K3288" s="105" t="str">
        <f>IFERROR(__xludf.DUMMYFUNCTION("if(A3288="""","""",substitute(SUBSTITUTE(index(importhtml(""http://finviz.com/quote.ashx?t=""&amp;A3288,""table"",10),7,2),""*"",""""),""-"",""0.00""))"),"Loading...")</f>
        <v>Loading...</v>
      </c>
      <c r="L3288" s="129">
        <v>1.4908746E7</v>
      </c>
      <c r="M3288" s="99">
        <v>0.95</v>
      </c>
    </row>
    <row r="3289">
      <c r="A3289" s="122" t="s">
        <v>7015</v>
      </c>
      <c r="B3289" s="123">
        <v>1294404.0</v>
      </c>
      <c r="C3289" s="124" t="s">
        <v>7016</v>
      </c>
      <c r="D3289" s="125"/>
      <c r="E3289" s="126">
        <v>6.0</v>
      </c>
      <c r="F3289" s="127"/>
      <c r="G3289" s="127"/>
      <c r="H3289" s="127"/>
      <c r="I3289" s="128"/>
      <c r="K3289" s="105" t="str">
        <f>IFERROR(__xludf.DUMMYFUNCTION("if(A3289="""","""",substitute(SUBSTITUTE(index(importhtml(""http://finviz.com/quote.ashx?t=""&amp;A3289,""table"",10),7,2),""*"",""""),""-"",""0.00""))"),"Loading...")</f>
        <v>Loading...</v>
      </c>
      <c r="L3289" s="129">
        <v>5.404451E7</v>
      </c>
      <c r="M3289" s="99">
        <v>0.72</v>
      </c>
    </row>
    <row r="3290">
      <c r="A3290" s="122" t="s">
        <v>7017</v>
      </c>
      <c r="B3290" s="123">
        <v>1370416.0</v>
      </c>
      <c r="C3290" s="124" t="s">
        <v>7018</v>
      </c>
      <c r="D3290" s="125"/>
      <c r="E3290" s="126">
        <v>6.0</v>
      </c>
      <c r="F3290" s="127"/>
      <c r="G3290" s="127"/>
      <c r="H3290" s="127"/>
      <c r="I3290" s="128"/>
      <c r="K3290" s="105" t="str">
        <f>IFERROR(__xludf.DUMMYFUNCTION("if(A3290="""","""",substitute(SUBSTITUTE(index(importhtml(""http://finviz.com/quote.ashx?t=""&amp;A3290,""table"",10),7,2),""*"",""""),""-"",""0.00""))"),"Loading...")</f>
        <v>Loading...</v>
      </c>
      <c r="L3290" s="129">
        <v>1.37915004E8</v>
      </c>
      <c r="M3290" s="99">
        <v>2.46</v>
      </c>
    </row>
    <row r="3291">
      <c r="A3291" s="122" t="s">
        <v>7019</v>
      </c>
      <c r="B3291" s="123">
        <v>310522.0</v>
      </c>
      <c r="C3291" s="124" t="s">
        <v>7020</v>
      </c>
      <c r="D3291" s="125"/>
      <c r="E3291" s="126">
        <v>6.0</v>
      </c>
      <c r="F3291" s="127"/>
      <c r="G3291" s="127"/>
      <c r="H3291" s="127"/>
      <c r="I3291" s="128"/>
      <c r="K3291" s="105" t="str">
        <f>IFERROR(__xludf.DUMMYFUNCTION("if(A3291="""","""",substitute(SUBSTITUTE(index(importhtml(""http://finviz.com/quote.ashx?t=""&amp;A3291,""table"",10),7,2),""*"",""""),""-"",""0.00""))"),"Loading...")</f>
        <v>Loading...</v>
      </c>
      <c r="L3291" s="129">
        <v>1.540255759E9</v>
      </c>
      <c r="M3291" s="99">
        <v>0.39</v>
      </c>
    </row>
    <row r="3292">
      <c r="A3292" s="122" t="s">
        <v>7021</v>
      </c>
      <c r="B3292" s="123">
        <v>1883389.0</v>
      </c>
      <c r="C3292" s="124" t="s">
        <v>7022</v>
      </c>
      <c r="D3292" s="125"/>
      <c r="E3292" s="126">
        <v>6.0</v>
      </c>
      <c r="F3292" s="127"/>
      <c r="G3292" s="127"/>
      <c r="H3292" s="127"/>
      <c r="I3292" s="128"/>
      <c r="K3292" s="105" t="str">
        <f>IFERROR(__xludf.DUMMYFUNCTION("if(A3292="""","""",substitute(SUBSTITUTE(index(importhtml(""http://finviz.com/quote.ashx?t=""&amp;A3292,""table"",10),7,2),""*"",""""),""-"",""0.00""))"),"Loading...")</f>
        <v>Loading...</v>
      </c>
      <c r="L3292" s="129" t="e">
        <v>#N/A</v>
      </c>
      <c r="M3292" s="99" t="str">
        <f>IFERROR(__xludf.DUMMYFUNCTION("GOOGLEFINANCE(A3292,""beta"")"),"#N/A")</f>
        <v>#N/A</v>
      </c>
    </row>
    <row r="3293">
      <c r="A3293" s="122" t="s">
        <v>7023</v>
      </c>
      <c r="B3293" s="123">
        <v>1845257.0</v>
      </c>
      <c r="C3293" s="124" t="s">
        <v>7024</v>
      </c>
      <c r="D3293" s="125"/>
      <c r="E3293" s="126">
        <v>6.01</v>
      </c>
      <c r="F3293" s="127"/>
      <c r="G3293" s="127"/>
      <c r="H3293" s="127"/>
      <c r="I3293" s="128"/>
      <c r="K3293" s="105" t="str">
        <f>IFERROR(__xludf.DUMMYFUNCTION("if(A3293="""","""",substitute(SUBSTITUTE(index(importhtml(""http://finviz.com/quote.ashx?t=""&amp;A3293,""table"",10),7,2),""*"",""""),""-"",""0.00""))"),"Loading...")</f>
        <v>Loading...</v>
      </c>
      <c r="L3293" s="129">
        <v>2.27543056E9</v>
      </c>
      <c r="M3293" s="99">
        <f>IFERROR(__xludf.DUMMYFUNCTION("GOOGLEFINANCE(A3293,""beta"")"),1.16)</f>
        <v>1.16</v>
      </c>
    </row>
    <row r="3294">
      <c r="A3294" s="122" t="s">
        <v>7025</v>
      </c>
      <c r="B3294" s="123">
        <v>838131.0</v>
      </c>
      <c r="C3294" s="124" t="s">
        <v>7026</v>
      </c>
      <c r="D3294" s="125"/>
      <c r="E3294" s="126">
        <v>6.03</v>
      </c>
      <c r="F3294" s="127"/>
      <c r="G3294" s="127"/>
      <c r="H3294" s="127"/>
      <c r="I3294" s="128"/>
      <c r="K3294" s="105" t="str">
        <f>IFERROR(__xludf.DUMMYFUNCTION("if(A3294="""","""",substitute(SUBSTITUTE(index(importhtml(""http://finviz.com/quote.ashx?t=""&amp;A3294,""table"",10),7,2),""*"",""""),""-"",""0.00""))"),"Loading...")</f>
        <v>Loading...</v>
      </c>
      <c r="L3294" s="129">
        <v>5.7020556E7</v>
      </c>
      <c r="M3294" s="99">
        <v>0.47</v>
      </c>
    </row>
    <row r="3295">
      <c r="A3295" s="122" t="s">
        <v>7027</v>
      </c>
      <c r="B3295" s="123">
        <v>1026214.0</v>
      </c>
      <c r="C3295" s="124" t="s">
        <v>7028</v>
      </c>
      <c r="D3295" s="125"/>
      <c r="E3295" s="126">
        <v>6.03</v>
      </c>
      <c r="F3295" s="127"/>
      <c r="G3295" s="127"/>
      <c r="H3295" s="127"/>
      <c r="I3295" s="128"/>
      <c r="K3295" s="105" t="str">
        <f>IFERROR(__xludf.DUMMYFUNCTION("if(A3295="""","""",substitute(SUBSTITUTE(index(importhtml(""http://finviz.com/quote.ashx?t=""&amp;A3295,""table"",10),7,2),""*"",""""),""-"",""0.00""))"),"Loading...")</f>
        <v>Loading...</v>
      </c>
      <c r="L3295" s="129">
        <v>7.08564876E8</v>
      </c>
      <c r="M3295" s="99">
        <v>1.06</v>
      </c>
    </row>
    <row r="3296">
      <c r="A3296" s="122" t="s">
        <v>7029</v>
      </c>
      <c r="B3296" s="123">
        <v>1730463.0</v>
      </c>
      <c r="C3296" s="124" t="s">
        <v>7030</v>
      </c>
      <c r="D3296" s="125"/>
      <c r="E3296" s="126">
        <v>6.03</v>
      </c>
      <c r="F3296" s="127"/>
      <c r="G3296" s="127"/>
      <c r="H3296" s="127"/>
      <c r="I3296" s="128"/>
      <c r="K3296" s="105" t="str">
        <f>IFERROR(__xludf.DUMMYFUNCTION("if(A3296="""","""",substitute(SUBSTITUTE(index(importhtml(""http://finviz.com/quote.ashx?t=""&amp;A3296,""table"",10),7,2),""*"",""""),""-"",""0.00""))"),"Loading...")</f>
        <v>Loading...</v>
      </c>
      <c r="L3296" s="129">
        <v>1.049154912E9</v>
      </c>
      <c r="M3296" s="99">
        <v>1.92</v>
      </c>
    </row>
    <row r="3297">
      <c r="A3297" s="122" t="s">
        <v>7031</v>
      </c>
      <c r="B3297" s="123">
        <v>1026214.0</v>
      </c>
      <c r="C3297" s="124" t="s">
        <v>7032</v>
      </c>
      <c r="D3297" s="125"/>
      <c r="E3297" s="126">
        <v>6.04</v>
      </c>
      <c r="F3297" s="127"/>
      <c r="G3297" s="127"/>
      <c r="H3297" s="127"/>
      <c r="I3297" s="128"/>
      <c r="K3297" s="105" t="str">
        <f>IFERROR(__xludf.DUMMYFUNCTION("if(A3297="""","""",substitute(SUBSTITUTE(index(importhtml(""http://finviz.com/quote.ashx?t=""&amp;A3297,""table"",10),7,2),""*"",""""),""-"",""0.00""))"),"Loading...")</f>
        <v>Loading...</v>
      </c>
      <c r="L3297" s="129">
        <v>7.08564876E8</v>
      </c>
      <c r="M3297" s="99">
        <v>0.61</v>
      </c>
    </row>
    <row r="3298">
      <c r="A3298" s="122" t="s">
        <v>7033</v>
      </c>
      <c r="B3298" s="123">
        <v>910073.0</v>
      </c>
      <c r="C3298" s="124" t="s">
        <v>7034</v>
      </c>
      <c r="D3298" s="125"/>
      <c r="E3298" s="126">
        <v>6.04</v>
      </c>
      <c r="F3298" s="127"/>
      <c r="G3298" s="127"/>
      <c r="H3298" s="127"/>
      <c r="I3298" s="128"/>
      <c r="K3298" s="105" t="str">
        <f>IFERROR(__xludf.DUMMYFUNCTION("if(A3298="""","""",substitute(SUBSTITUTE(index(importhtml(""http://finviz.com/quote.ashx?t=""&amp;A3298,""table"",10),7,2),""*"",""""),""-"",""0.00""))"),"Loading...")</f>
        <v>Loading...</v>
      </c>
      <c r="L3298" s="129">
        <v>4.363828096E9</v>
      </c>
      <c r="M3298" s="99">
        <v>1.03</v>
      </c>
    </row>
    <row r="3299">
      <c r="A3299" s="122" t="s">
        <v>7035</v>
      </c>
      <c r="B3299" s="123">
        <v>1522540.0</v>
      </c>
      <c r="C3299" s="124" t="s">
        <v>7036</v>
      </c>
      <c r="D3299" s="125"/>
      <c r="E3299" s="126">
        <v>6.05</v>
      </c>
      <c r="F3299" s="127"/>
      <c r="G3299" s="127"/>
      <c r="H3299" s="127"/>
      <c r="I3299" s="128"/>
      <c r="K3299" s="55" t="s">
        <v>1034</v>
      </c>
      <c r="L3299" s="129">
        <v>3.157199254E9</v>
      </c>
      <c r="M3299" s="99">
        <f>IFERROR(__xludf.DUMMYFUNCTION("GOOGLEFINANCE(A3299,""beta"")"),1.49)</f>
        <v>1.49</v>
      </c>
    </row>
    <row r="3300">
      <c r="A3300" s="122" t="s">
        <v>7037</v>
      </c>
      <c r="B3300" s="123">
        <v>1527249.0</v>
      </c>
      <c r="C3300" s="124" t="s">
        <v>7038</v>
      </c>
      <c r="D3300" s="125"/>
      <c r="E3300" s="126">
        <v>6.06</v>
      </c>
      <c r="F3300" s="127"/>
      <c r="G3300" s="127"/>
      <c r="H3300" s="127"/>
      <c r="I3300" s="128"/>
      <c r="K3300" s="105" t="str">
        <f>IFERROR(__xludf.DUMMYFUNCTION("if(A3300="""","""",substitute(SUBSTITUTE(index(importhtml(""http://finviz.com/quote.ashx?t=""&amp;A3300,""table"",10),7,2),""*"",""""),""-"",""0.00""))"),"Loading...")</f>
        <v>Loading...</v>
      </c>
      <c r="L3300" s="129">
        <v>1.22311785247E11</v>
      </c>
      <c r="M3300" s="99">
        <v>1.17</v>
      </c>
    </row>
    <row r="3301">
      <c r="A3301" s="122" t="s">
        <v>7039</v>
      </c>
      <c r="B3301" s="123">
        <v>1276520.0</v>
      </c>
      <c r="C3301" s="124" t="s">
        <v>7040</v>
      </c>
      <c r="D3301" s="125"/>
      <c r="E3301" s="126">
        <v>6.07</v>
      </c>
      <c r="F3301" s="127"/>
      <c r="G3301" s="127"/>
      <c r="H3301" s="127"/>
      <c r="I3301" s="128"/>
      <c r="K3301" s="105" t="str">
        <f>IFERROR(__xludf.DUMMYFUNCTION("if(A3301="""","""",substitute(SUBSTITUTE(index(importhtml(""http://finviz.com/quote.ashx?t=""&amp;A3301,""table"",10),7,2),""*"",""""),""-"",""0.00""))"),"Loading...")</f>
        <v>Loading...</v>
      </c>
      <c r="L3301" s="129">
        <v>2.737598606E9</v>
      </c>
      <c r="M3301" s="99">
        <v>1.05</v>
      </c>
    </row>
    <row r="3302">
      <c r="A3302" s="122" t="s">
        <v>7041</v>
      </c>
      <c r="B3302" s="123">
        <v>1787306.0</v>
      </c>
      <c r="C3302" s="124" t="s">
        <v>7042</v>
      </c>
      <c r="D3302" s="125"/>
      <c r="E3302" s="126">
        <v>6.07</v>
      </c>
      <c r="F3302" s="127"/>
      <c r="G3302" s="127"/>
      <c r="H3302" s="127"/>
      <c r="I3302" s="128"/>
      <c r="K3302" s="105" t="str">
        <f>IFERROR(__xludf.DUMMYFUNCTION("if(A3302="""","""",substitute(SUBSTITUTE(index(importhtml(""http://finviz.com/quote.ashx?t=""&amp;A3302,""table"",10),7,2),""*"",""""),""-"",""0.00""))"),"Loading...")</f>
        <v>Loading...</v>
      </c>
      <c r="L3302" s="129">
        <v>5.72899181E8</v>
      </c>
      <c r="M3302" s="99">
        <v>0.96</v>
      </c>
    </row>
    <row r="3303">
      <c r="A3303" s="122" t="s">
        <v>7043</v>
      </c>
      <c r="B3303" s="123">
        <v>1841925.0</v>
      </c>
      <c r="C3303" s="124" t="s">
        <v>7044</v>
      </c>
      <c r="D3303" s="125"/>
      <c r="E3303" s="126">
        <v>6.07</v>
      </c>
      <c r="F3303" s="127"/>
      <c r="G3303" s="127"/>
      <c r="H3303" s="127"/>
      <c r="I3303" s="128"/>
      <c r="K3303" s="105" t="str">
        <f>IFERROR(__xludf.DUMMYFUNCTION("if(A3303="""","""",substitute(SUBSTITUTE(index(importhtml(""http://finviz.com/quote.ashx?t=""&amp;A3303,""table"",10),7,2),""*"",""""),""-"",""0.00""))"),"Loading...")</f>
        <v>Loading...</v>
      </c>
      <c r="L3303" s="129">
        <v>1.098679743E9</v>
      </c>
      <c r="M3303" s="99">
        <v>1.15</v>
      </c>
    </row>
    <row r="3304">
      <c r="A3304" s="122" t="s">
        <v>7045</v>
      </c>
      <c r="B3304" s="123">
        <v>1831097.0</v>
      </c>
      <c r="C3304" s="124" t="s">
        <v>7046</v>
      </c>
      <c r="D3304" s="125"/>
      <c r="E3304" s="126">
        <v>6.08</v>
      </c>
      <c r="F3304" s="127"/>
      <c r="G3304" s="127"/>
      <c r="H3304" s="127"/>
      <c r="I3304" s="128"/>
      <c r="K3304" s="55" t="s">
        <v>1034</v>
      </c>
      <c r="L3304" s="129">
        <v>2.468728641E9</v>
      </c>
      <c r="M3304" s="99">
        <f>IFERROR(__xludf.DUMMYFUNCTION("GOOGLEFINANCE(A3304,""beta"")"),0.05)</f>
        <v>0.05</v>
      </c>
    </row>
    <row r="3305">
      <c r="A3305" s="122" t="s">
        <v>7047</v>
      </c>
      <c r="B3305" s="123">
        <v>1842731.0</v>
      </c>
      <c r="C3305" s="124" t="s">
        <v>7048</v>
      </c>
      <c r="D3305" s="125"/>
      <c r="E3305" s="126">
        <v>6.08</v>
      </c>
      <c r="F3305" s="127"/>
      <c r="G3305" s="127"/>
      <c r="H3305" s="127"/>
      <c r="I3305" s="128"/>
      <c r="K3305" s="105" t="str">
        <f>IFERROR(__xludf.DUMMYFUNCTION("if(A3305="""","""",substitute(SUBSTITUTE(index(importhtml(""http://finviz.com/quote.ashx?t=""&amp;A3305,""table"",10),7,2),""*"",""""),""-"",""0.00""))"),"Loading...")</f>
        <v>Loading...</v>
      </c>
      <c r="L3305" s="129">
        <v>4.75892477E8</v>
      </c>
      <c r="M3305" s="99">
        <f>IFERROR(__xludf.DUMMYFUNCTION("GOOGLEFINANCE(A3305,""beta"")"),1.09)</f>
        <v>1.09</v>
      </c>
    </row>
    <row r="3306">
      <c r="A3306" s="122" t="s">
        <v>7049</v>
      </c>
      <c r="B3306" s="123">
        <v>1614178.0</v>
      </c>
      <c r="C3306" s="124" t="s">
        <v>7050</v>
      </c>
      <c r="D3306" s="125"/>
      <c r="E3306" s="126">
        <v>6.08</v>
      </c>
      <c r="F3306" s="127"/>
      <c r="G3306" s="127"/>
      <c r="H3306" s="127"/>
      <c r="I3306" s="128"/>
      <c r="K3306" s="105" t="str">
        <f>IFERROR(__xludf.DUMMYFUNCTION("if(A3306="""","""",substitute(SUBSTITUTE(index(importhtml(""http://finviz.com/quote.ashx?t=""&amp;A3306,""table"",10),7,2),""*"",""""),""-"",""0.00""))"),"Loading...")</f>
        <v>Loading...</v>
      </c>
      <c r="L3306" s="129">
        <v>7.54364438E8</v>
      </c>
      <c r="M3306" s="99">
        <v>1.3</v>
      </c>
    </row>
    <row r="3307">
      <c r="A3307" s="122" t="s">
        <v>7051</v>
      </c>
      <c r="B3307" s="123">
        <v>1941536.0</v>
      </c>
      <c r="C3307" s="124" t="s">
        <v>7052</v>
      </c>
      <c r="D3307" s="125"/>
      <c r="E3307" s="126">
        <v>6.09</v>
      </c>
      <c r="F3307" s="127"/>
      <c r="G3307" s="127"/>
      <c r="H3307" s="127"/>
      <c r="I3307" s="128"/>
      <c r="K3307" s="105" t="str">
        <f>IFERROR(__xludf.DUMMYFUNCTION("if(A3307="""","""",substitute(SUBSTITUTE(index(importhtml(""http://finviz.com/quote.ashx?t=""&amp;A3307,""table"",10),7,2),""*"",""""),""-"",""0.00""))"),"Loading...")</f>
        <v>Loading...</v>
      </c>
      <c r="L3307" s="129">
        <v>2.72691449E8</v>
      </c>
      <c r="M3307" s="99">
        <f>IFERROR(__xludf.DUMMYFUNCTION("GOOGLEFINANCE(A3307,""beta"")"),0.15)</f>
        <v>0.15</v>
      </c>
    </row>
    <row r="3308">
      <c r="A3308" s="122" t="s">
        <v>7053</v>
      </c>
      <c r="B3308" s="123">
        <v>916183.0</v>
      </c>
      <c r="C3308" s="124" t="s">
        <v>7054</v>
      </c>
      <c r="D3308" s="125"/>
      <c r="E3308" s="126">
        <v>6.09</v>
      </c>
      <c r="F3308" s="127"/>
      <c r="G3308" s="127"/>
      <c r="H3308" s="127"/>
      <c r="I3308" s="128"/>
      <c r="K3308" s="105" t="str">
        <f>IFERROR(__xludf.DUMMYFUNCTION("if(A3308="""","""",substitute(SUBSTITUTE(index(importhtml(""http://finviz.com/quote.ashx?t=""&amp;A3308,""table"",10),7,2),""*"",""""),""-"",""0.00""))"),"Loading...")</f>
        <v>Loading...</v>
      </c>
      <c r="L3308" s="129">
        <v>2.76542217E8</v>
      </c>
      <c r="M3308" s="99">
        <v>0.98</v>
      </c>
    </row>
    <row r="3309">
      <c r="A3309" s="122" t="s">
        <v>7055</v>
      </c>
      <c r="B3309" s="123">
        <v>1171155.0</v>
      </c>
      <c r="C3309" s="124" t="s">
        <v>7056</v>
      </c>
      <c r="D3309" s="125"/>
      <c r="E3309" s="126">
        <v>6.09</v>
      </c>
      <c r="F3309" s="127"/>
      <c r="G3309" s="127"/>
      <c r="H3309" s="127"/>
      <c r="I3309" s="128"/>
      <c r="K3309" s="105" t="str">
        <f>IFERROR(__xludf.DUMMYFUNCTION("if(A3309="""","""",substitute(SUBSTITUTE(index(importhtml(""http://finviz.com/quote.ashx?t=""&amp;A3309,""table"",10),7,2),""*"",""""),""-"",""0.00""))"),"Loading...")</f>
        <v>Loading...</v>
      </c>
      <c r="L3309" s="129">
        <v>2.85882329E8</v>
      </c>
      <c r="M3309" s="99">
        <v>0.85</v>
      </c>
    </row>
    <row r="3310">
      <c r="A3310" s="122" t="s">
        <v>7057</v>
      </c>
      <c r="B3310" s="123">
        <v>310522.0</v>
      </c>
      <c r="C3310" s="124" t="s">
        <v>7058</v>
      </c>
      <c r="D3310" s="125"/>
      <c r="E3310" s="126">
        <v>6.09</v>
      </c>
      <c r="F3310" s="127"/>
      <c r="G3310" s="127"/>
      <c r="H3310" s="127"/>
      <c r="I3310" s="128"/>
      <c r="K3310" s="105" t="str">
        <f>IFERROR(__xludf.DUMMYFUNCTION("if(A3310="""","""",substitute(SUBSTITUTE(index(importhtml(""http://finviz.com/quote.ashx?t=""&amp;A3310,""table"",10),7,2),""*"",""""),""-"",""0.00""))"),"Loading...")</f>
        <v>Loading...</v>
      </c>
      <c r="L3310" s="129">
        <v>1.540255759E9</v>
      </c>
      <c r="M3310" s="99">
        <v>0.74</v>
      </c>
    </row>
    <row r="3311">
      <c r="A3311" s="122" t="s">
        <v>7059</v>
      </c>
      <c r="B3311" s="123">
        <v>1560672.0</v>
      </c>
      <c r="C3311" s="124" t="s">
        <v>7060</v>
      </c>
      <c r="D3311" s="125"/>
      <c r="E3311" s="126">
        <v>6.1</v>
      </c>
      <c r="F3311" s="127"/>
      <c r="G3311" s="127"/>
      <c r="H3311" s="127"/>
      <c r="I3311" s="128"/>
      <c r="K3311" s="105" t="str">
        <f>IFERROR(__xludf.DUMMYFUNCTION("if(A3311="""","""",substitute(SUBSTITUTE(index(importhtml(""http://finviz.com/quote.ashx?t=""&amp;A3311,""table"",10),7,2),""*"",""""),""-"",""0.00""))"),"Loading...")</f>
        <v>Loading...</v>
      </c>
      <c r="L3311" s="129">
        <v>9.9604946E7</v>
      </c>
      <c r="M3311" s="99">
        <v>1.85</v>
      </c>
    </row>
    <row r="3312">
      <c r="A3312" s="122" t="s">
        <v>7061</v>
      </c>
      <c r="B3312" s="123">
        <v>1040130.0</v>
      </c>
      <c r="C3312" s="124" t="s">
        <v>7062</v>
      </c>
      <c r="D3312" s="125"/>
      <c r="E3312" s="126">
        <v>6.1</v>
      </c>
      <c r="F3312" s="127"/>
      <c r="G3312" s="127"/>
      <c r="H3312" s="127"/>
      <c r="I3312" s="128"/>
      <c r="K3312" s="105" t="str">
        <f>IFERROR(__xludf.DUMMYFUNCTION("if(A3312="""","""",substitute(SUBSTITUTE(index(importhtml(""http://finviz.com/quote.ashx?t=""&amp;A3312,""table"",10),7,2),""*"",""""),""-"",""0.00""))"),"Loading...")</f>
        <v>Loading...</v>
      </c>
      <c r="L3312" s="129">
        <v>1.28996697E8</v>
      </c>
      <c r="M3312" s="99">
        <v>0.74</v>
      </c>
    </row>
    <row r="3313">
      <c r="A3313" s="122" t="s">
        <v>7063</v>
      </c>
      <c r="B3313" s="123">
        <v>100726.0</v>
      </c>
      <c r="C3313" s="124" t="s">
        <v>7064</v>
      </c>
      <c r="D3313" s="125"/>
      <c r="E3313" s="126">
        <v>6.11</v>
      </c>
      <c r="F3313" s="127"/>
      <c r="G3313" s="127"/>
      <c r="H3313" s="127"/>
      <c r="I3313" s="128"/>
      <c r="K3313" s="105" t="str">
        <f>IFERROR(__xludf.DUMMYFUNCTION("if(A3313="""","""",substitute(SUBSTITUTE(index(importhtml(""http://finviz.com/quote.ashx?t=""&amp;A3313,""table"",10),7,2),""*"",""""),""-"",""0.00""))"),"Loading...")</f>
        <v>Loading...</v>
      </c>
      <c r="L3313" s="129">
        <v>1.10692489E8</v>
      </c>
      <c r="M3313" s="99">
        <v>0.78</v>
      </c>
    </row>
    <row r="3314">
      <c r="A3314" s="122" t="s">
        <v>7065</v>
      </c>
      <c r="B3314" s="123">
        <v>1316463.0</v>
      </c>
      <c r="C3314" s="124" t="s">
        <v>7066</v>
      </c>
      <c r="D3314" s="125"/>
      <c r="E3314" s="126">
        <v>6.12</v>
      </c>
      <c r="F3314" s="127"/>
      <c r="G3314" s="127"/>
      <c r="H3314" s="127"/>
      <c r="I3314" s="128"/>
      <c r="K3314" s="55" t="s">
        <v>6255</v>
      </c>
      <c r="L3314" s="129">
        <v>1.17042611E8</v>
      </c>
      <c r="M3314" s="99">
        <v>1.13</v>
      </c>
    </row>
    <row r="3315">
      <c r="A3315" s="122" t="s">
        <v>7067</v>
      </c>
      <c r="B3315" s="123">
        <v>787253.0</v>
      </c>
      <c r="C3315" s="124" t="s">
        <v>7068</v>
      </c>
      <c r="D3315" s="125"/>
      <c r="E3315" s="126">
        <v>6.12</v>
      </c>
      <c r="F3315" s="127"/>
      <c r="G3315" s="127"/>
      <c r="H3315" s="127"/>
      <c r="I3315" s="128"/>
      <c r="K3315" s="105" t="str">
        <f>IFERROR(__xludf.DUMMYFUNCTION("if(A3315="""","""",substitute(SUBSTITUTE(index(importhtml(""http://finviz.com/quote.ashx?t=""&amp;A3315,""table"",10),7,2),""*"",""""),""-"",""0.00""))"),"Loading...")</f>
        <v>Loading...</v>
      </c>
      <c r="L3315" s="129">
        <v>3.7263528E7</v>
      </c>
      <c r="M3315" s="99">
        <v>0.6</v>
      </c>
    </row>
    <row r="3316">
      <c r="A3316" s="122" t="s">
        <v>7069</v>
      </c>
      <c r="B3316" s="123">
        <v>1282648.0</v>
      </c>
      <c r="C3316" s="124" t="s">
        <v>7070</v>
      </c>
      <c r="D3316" s="125"/>
      <c r="E3316" s="126">
        <v>6.12</v>
      </c>
      <c r="F3316" s="127"/>
      <c r="G3316" s="127"/>
      <c r="H3316" s="127"/>
      <c r="I3316" s="128"/>
      <c r="K3316" s="105" t="str">
        <f>IFERROR(__xludf.DUMMYFUNCTION("if(A3316="""","""",substitute(SUBSTITUTE(index(importhtml(""http://finviz.com/quote.ashx?t=""&amp;A3316,""table"",10),7,2),""*"",""""),""-"",""0.00""))"),"Loading...")</f>
        <v>Loading...</v>
      </c>
      <c r="L3316" s="129">
        <v>1.00714084E8</v>
      </c>
      <c r="M3316" s="99">
        <v>1.2</v>
      </c>
    </row>
    <row r="3317">
      <c r="A3317" s="122" t="s">
        <v>7071</v>
      </c>
      <c r="B3317" s="123">
        <v>310522.0</v>
      </c>
      <c r="C3317" s="124" t="s">
        <v>7072</v>
      </c>
      <c r="D3317" s="125"/>
      <c r="E3317" s="126">
        <v>6.12</v>
      </c>
      <c r="F3317" s="127"/>
      <c r="G3317" s="127"/>
      <c r="H3317" s="127"/>
      <c r="I3317" s="128"/>
      <c r="K3317" s="105" t="str">
        <f>IFERROR(__xludf.DUMMYFUNCTION("if(A3317="""","""",substitute(SUBSTITUTE(index(importhtml(""http://finviz.com/quote.ashx?t=""&amp;A3317,""table"",10),7,2),""*"",""""),""-"",""0.00""))"),"Loading...")</f>
        <v>Loading...</v>
      </c>
      <c r="L3317" s="129">
        <v>1.540255759E9</v>
      </c>
      <c r="M3317" s="99">
        <v>0.96</v>
      </c>
    </row>
    <row r="3318">
      <c r="A3318" s="122" t="s">
        <v>7073</v>
      </c>
      <c r="B3318" s="123">
        <v>1716166.0</v>
      </c>
      <c r="C3318" s="124" t="s">
        <v>7074</v>
      </c>
      <c r="D3318" s="125"/>
      <c r="E3318" s="126">
        <v>6.13</v>
      </c>
      <c r="F3318" s="127"/>
      <c r="G3318" s="127"/>
      <c r="H3318" s="127"/>
      <c r="I3318" s="128"/>
      <c r="K3318" s="105" t="str">
        <f>IFERROR(__xludf.DUMMYFUNCTION("if(A3318="""","""",substitute(SUBSTITUTE(index(importhtml(""http://finviz.com/quote.ashx?t=""&amp;A3318,""table"",10),7,2),""*"",""""),""-"",""0.00""))"),"Loading...")</f>
        <v>Loading...</v>
      </c>
      <c r="L3318" s="129">
        <v>8165019.0</v>
      </c>
      <c r="M3318" s="99">
        <v>8.37</v>
      </c>
    </row>
    <row r="3319">
      <c r="A3319" s="122" t="s">
        <v>7075</v>
      </c>
      <c r="B3319" s="123">
        <v>75208.0</v>
      </c>
      <c r="C3319" s="124" t="s">
        <v>7076</v>
      </c>
      <c r="D3319" s="125"/>
      <c r="E3319" s="126">
        <v>6.13</v>
      </c>
      <c r="F3319" s="127"/>
      <c r="G3319" s="127"/>
      <c r="H3319" s="127"/>
      <c r="I3319" s="128"/>
      <c r="K3319" s="105" t="str">
        <f>IFERROR(__xludf.DUMMYFUNCTION("if(A3319="""","""",substitute(SUBSTITUTE(index(importhtml(""http://finviz.com/quote.ashx?t=""&amp;A3319,""table"",10),7,2),""*"",""""),""-"",""0.00""))"),"Loading...")</f>
        <v>Loading...</v>
      </c>
      <c r="L3319" s="129">
        <v>4.43637119E8</v>
      </c>
      <c r="M3319" s="99">
        <v>0.35</v>
      </c>
    </row>
    <row r="3320">
      <c r="A3320" s="122" t="s">
        <v>7077</v>
      </c>
      <c r="B3320" s="123">
        <v>1838413.0</v>
      </c>
      <c r="C3320" s="124" t="s">
        <v>7078</v>
      </c>
      <c r="D3320" s="125"/>
      <c r="E3320" s="126">
        <v>6.13</v>
      </c>
      <c r="F3320" s="127"/>
      <c r="G3320" s="127"/>
      <c r="H3320" s="127"/>
      <c r="I3320" s="128"/>
      <c r="K3320" s="105" t="str">
        <f>IFERROR(__xludf.DUMMYFUNCTION("if(A3320="""","""",substitute(SUBSTITUTE(index(importhtml(""http://finviz.com/quote.ashx?t=""&amp;A3320,""table"",10),7,2),""*"",""""),""-"",""0.00""))"),"Loading...")</f>
        <v>Loading...</v>
      </c>
      <c r="L3320" s="129">
        <v>6.561674722E9</v>
      </c>
      <c r="M3320" s="99">
        <f>IFERROR(__xludf.DUMMYFUNCTION("GOOGLEFINANCE(A3320,""beta"")"),0.2)</f>
        <v>0.2</v>
      </c>
    </row>
    <row r="3321">
      <c r="A3321" s="122" t="s">
        <v>7079</v>
      </c>
      <c r="B3321" s="123">
        <v>351834.0</v>
      </c>
      <c r="C3321" s="124" t="s">
        <v>7080</v>
      </c>
      <c r="D3321" s="125"/>
      <c r="E3321" s="126">
        <v>6.14</v>
      </c>
      <c r="F3321" s="127"/>
      <c r="G3321" s="127"/>
      <c r="H3321" s="127"/>
      <c r="I3321" s="128"/>
      <c r="K3321" s="105" t="str">
        <f>IFERROR(__xludf.DUMMYFUNCTION("if(A3321="""","""",substitute(SUBSTITUTE(index(importhtml(""http://finviz.com/quote.ashx?t=""&amp;A3321,""table"",10),7,2),""*"",""""),""-"",""0.00""))"),"Loading...")</f>
        <v>Loading...</v>
      </c>
      <c r="L3321" s="129">
        <v>7.24620066E8</v>
      </c>
      <c r="M3321" s="99">
        <v>1.68</v>
      </c>
    </row>
    <row r="3322">
      <c r="A3322" s="122" t="s">
        <v>7081</v>
      </c>
      <c r="B3322" s="123">
        <v>1374690.0</v>
      </c>
      <c r="C3322" s="124" t="s">
        <v>7082</v>
      </c>
      <c r="D3322" s="125"/>
      <c r="E3322" s="126">
        <v>6.15</v>
      </c>
      <c r="F3322" s="127"/>
      <c r="G3322" s="127"/>
      <c r="H3322" s="127"/>
      <c r="I3322" s="128"/>
      <c r="K3322" s="105" t="str">
        <f>IFERROR(__xludf.DUMMYFUNCTION("if(A3322="""","""",substitute(SUBSTITUTE(index(importhtml(""http://finviz.com/quote.ashx?t=""&amp;A3322,""table"",10),7,2),""*"",""""),""-"",""0.00""))"),"Loading...")</f>
        <v>Loading...</v>
      </c>
      <c r="L3322" s="129">
        <v>2.70021289E8</v>
      </c>
      <c r="M3322" s="99">
        <v>0.72</v>
      </c>
    </row>
    <row r="3323">
      <c r="A3323" s="122" t="s">
        <v>7083</v>
      </c>
      <c r="B3323" s="123">
        <v>61004.0</v>
      </c>
      <c r="C3323" s="124" t="s">
        <v>7084</v>
      </c>
      <c r="D3323" s="125"/>
      <c r="E3323" s="126">
        <v>6.16</v>
      </c>
      <c r="F3323" s="127"/>
      <c r="G3323" s="127"/>
      <c r="H3323" s="127"/>
      <c r="I3323" s="128"/>
      <c r="K3323" s="105" t="str">
        <f>IFERROR(__xludf.DUMMYFUNCTION("if(A3323="""","""",substitute(SUBSTITUTE(index(importhtml(""http://finviz.com/quote.ashx?t=""&amp;A3323,""table"",10),7,2),""*"",""""),""-"",""0.00""))"),"Loading...")</f>
        <v>Loading...</v>
      </c>
      <c r="L3323" s="129">
        <v>3.2974091E7</v>
      </c>
      <c r="M3323" s="99">
        <v>0.53</v>
      </c>
    </row>
    <row r="3324">
      <c r="A3324" s="122" t="s">
        <v>7085</v>
      </c>
      <c r="B3324" s="123">
        <v>814585.0</v>
      </c>
      <c r="C3324" s="124" t="s">
        <v>7086</v>
      </c>
      <c r="D3324" s="125"/>
      <c r="E3324" s="126">
        <v>6.17</v>
      </c>
      <c r="F3324" s="127"/>
      <c r="G3324" s="127"/>
      <c r="H3324" s="127"/>
      <c r="I3324" s="128"/>
      <c r="K3324" s="105" t="str">
        <f>IFERROR(__xludf.DUMMYFUNCTION("if(A3324="""","""",substitute(SUBSTITUTE(index(importhtml(""http://finviz.com/quote.ashx?t=""&amp;A3324,""table"",10),7,2),""*"",""""),""-"",""0.00""))"),"Loading...")</f>
        <v>Loading...</v>
      </c>
      <c r="L3324" s="129">
        <v>3.15530657E8</v>
      </c>
      <c r="M3324" s="99">
        <v>1.68</v>
      </c>
    </row>
    <row r="3325">
      <c r="A3325" s="122" t="s">
        <v>7087</v>
      </c>
      <c r="B3325" s="123">
        <v>926423.0</v>
      </c>
      <c r="C3325" s="124" t="s">
        <v>7088</v>
      </c>
      <c r="D3325" s="125"/>
      <c r="E3325" s="126">
        <v>6.18</v>
      </c>
      <c r="F3325" s="127"/>
      <c r="G3325" s="127"/>
      <c r="H3325" s="127"/>
      <c r="I3325" s="128"/>
      <c r="K3325" s="105" t="str">
        <f>IFERROR(__xludf.DUMMYFUNCTION("if(A3325="""","""",substitute(SUBSTITUTE(index(importhtml(""http://finviz.com/quote.ashx?t=""&amp;A3325,""table"",10),7,2),""*"",""""),""-"",""0.00""))"),"Loading...")</f>
        <v>Loading...</v>
      </c>
      <c r="L3325" s="129">
        <v>8681669.0</v>
      </c>
      <c r="M3325" s="99">
        <v>1.38</v>
      </c>
    </row>
    <row r="3326">
      <c r="A3326" s="122" t="s">
        <v>7089</v>
      </c>
      <c r="B3326" s="123">
        <v>1579214.0</v>
      </c>
      <c r="C3326" s="124" t="s">
        <v>7090</v>
      </c>
      <c r="D3326" s="125"/>
      <c r="E3326" s="126">
        <v>6.19</v>
      </c>
      <c r="F3326" s="127"/>
      <c r="G3326" s="127"/>
      <c r="H3326" s="127"/>
      <c r="I3326" s="128"/>
      <c r="K3326" s="55" t="s">
        <v>1034</v>
      </c>
      <c r="L3326" s="129">
        <v>3.89304083E8</v>
      </c>
      <c r="M3326" s="99">
        <v>1.37</v>
      </c>
    </row>
    <row r="3327">
      <c r="A3327" s="122" t="s">
        <v>7091</v>
      </c>
      <c r="B3327" s="123">
        <v>1815849.0</v>
      </c>
      <c r="C3327" s="124" t="s">
        <v>7092</v>
      </c>
      <c r="D3327" s="125"/>
      <c r="E3327" s="126">
        <v>6.19</v>
      </c>
      <c r="F3327" s="127"/>
      <c r="G3327" s="127"/>
      <c r="H3327" s="127"/>
      <c r="I3327" s="128"/>
      <c r="K3327" s="105" t="str">
        <f>IFERROR(__xludf.DUMMYFUNCTION("if(A3327="""","""",substitute(SUBSTITUTE(index(importhtml(""http://finviz.com/quote.ashx?t=""&amp;A3327,""table"",10),7,2),""*"",""""),""-"",""0.00""))"),"Loading...")</f>
        <v>Loading...</v>
      </c>
      <c r="L3327" s="129">
        <v>2.6056185E7</v>
      </c>
      <c r="M3327" s="99">
        <v>0.2</v>
      </c>
    </row>
    <row r="3328">
      <c r="A3328" s="122" t="s">
        <v>7093</v>
      </c>
      <c r="B3328" s="123">
        <v>1490906.0</v>
      </c>
      <c r="C3328" s="124" t="s">
        <v>7094</v>
      </c>
      <c r="D3328" s="125"/>
      <c r="E3328" s="126">
        <v>6.19</v>
      </c>
      <c r="F3328" s="127"/>
      <c r="G3328" s="127"/>
      <c r="H3328" s="127"/>
      <c r="I3328" s="128"/>
      <c r="K3328" s="105" t="str">
        <f>IFERROR(__xludf.DUMMYFUNCTION("if(A3328="""","""",substitute(SUBSTITUTE(index(importhtml(""http://finviz.com/quote.ashx?t=""&amp;A3328,""table"",10),7,2),""*"",""""),""-"",""0.00""))"),"Loading...")</f>
        <v>Loading...</v>
      </c>
      <c r="L3328" s="129">
        <v>8.28892384E8</v>
      </c>
      <c r="M3328" s="99">
        <v>0.44</v>
      </c>
    </row>
    <row r="3329">
      <c r="A3329" s="122" t="s">
        <v>7095</v>
      </c>
      <c r="B3329" s="123">
        <v>1668370.0</v>
      </c>
      <c r="C3329" s="124" t="s">
        <v>7096</v>
      </c>
      <c r="D3329" s="125"/>
      <c r="E3329" s="126">
        <v>6.2</v>
      </c>
      <c r="F3329" s="127"/>
      <c r="G3329" s="127"/>
      <c r="H3329" s="127"/>
      <c r="I3329" s="128"/>
      <c r="K3329" s="105" t="str">
        <f>IFERROR(__xludf.DUMMYFUNCTION("if(A3329="""","""",substitute(SUBSTITUTE(index(importhtml(""http://finviz.com/quote.ashx?t=""&amp;A3329,""table"",10),7,2),""*"",""""),""-"",""0.00""))"),"Loading...")</f>
        <v>Loading...</v>
      </c>
      <c r="L3329" s="129">
        <v>3521143.0</v>
      </c>
      <c r="M3329" s="99">
        <v>1.98</v>
      </c>
    </row>
    <row r="3330">
      <c r="A3330" s="122" t="s">
        <v>7097</v>
      </c>
      <c r="B3330" s="123">
        <v>1081745.0</v>
      </c>
      <c r="C3330" s="124" t="s">
        <v>7098</v>
      </c>
      <c r="D3330" s="125"/>
      <c r="E3330" s="126">
        <v>6.2</v>
      </c>
      <c r="F3330" s="127"/>
      <c r="G3330" s="127"/>
      <c r="H3330" s="127"/>
      <c r="I3330" s="128"/>
      <c r="K3330" s="105" t="str">
        <f>IFERROR(__xludf.DUMMYFUNCTION("if(A3330="""","""",substitute(SUBSTITUTE(index(importhtml(""http://finviz.com/quote.ashx?t=""&amp;A3330,""table"",10),7,2),""*"",""""),""-"",""0.00""))"),"Loading...")</f>
        <v>Loading...</v>
      </c>
      <c r="L3330" s="129">
        <v>2.5257292E7</v>
      </c>
      <c r="M3330" s="99">
        <v>1.69</v>
      </c>
    </row>
    <row r="3331">
      <c r="A3331" s="122" t="s">
        <v>7099</v>
      </c>
      <c r="B3331" s="123">
        <v>1035976.0</v>
      </c>
      <c r="C3331" s="124" t="s">
        <v>7100</v>
      </c>
      <c r="D3331" s="125"/>
      <c r="E3331" s="126">
        <v>6.2</v>
      </c>
      <c r="F3331" s="127"/>
      <c r="G3331" s="127"/>
      <c r="H3331" s="127"/>
      <c r="I3331" s="128"/>
      <c r="K3331" s="105" t="str">
        <f>IFERROR(__xludf.DUMMYFUNCTION("if(A3331="""","""",substitute(SUBSTITUTE(index(importhtml(""http://finviz.com/quote.ashx?t=""&amp;A3331,""table"",10),7,2),""*"",""""),""-"",""0.00""))"),"#N/A")</f>
        <v>#N/A</v>
      </c>
      <c r="L3331" s="129">
        <v>1.2430237E8</v>
      </c>
      <c r="M3331" s="99">
        <v>0.33</v>
      </c>
    </row>
    <row r="3332">
      <c r="A3332" s="122" t="s">
        <v>7101</v>
      </c>
      <c r="B3332" s="123">
        <v>704562.0</v>
      </c>
      <c r="C3332" s="124" t="s">
        <v>7102</v>
      </c>
      <c r="D3332" s="125"/>
      <c r="E3332" s="126">
        <v>6.2</v>
      </c>
      <c r="F3332" s="127"/>
      <c r="G3332" s="127"/>
      <c r="H3332" s="127"/>
      <c r="I3332" s="128"/>
      <c r="K3332" s="105" t="str">
        <f>IFERROR(__xludf.DUMMYFUNCTION("if(A3332="""","""",substitute(SUBSTITUTE(index(importhtml(""http://finviz.com/quote.ashx?t=""&amp;A3332,""table"",10),7,2),""*"",""""),""-"",""0.00""))"),"Loading...")</f>
        <v>Loading...</v>
      </c>
      <c r="L3332" s="129">
        <v>3.92083275E8</v>
      </c>
      <c r="M3332" s="99">
        <v>1.64</v>
      </c>
    </row>
    <row r="3333">
      <c r="A3333" s="122" t="s">
        <v>7103</v>
      </c>
      <c r="B3333" s="123">
        <v>1809519.0</v>
      </c>
      <c r="C3333" s="124" t="s">
        <v>7104</v>
      </c>
      <c r="D3333" s="125"/>
      <c r="E3333" s="126">
        <v>6.2</v>
      </c>
      <c r="F3333" s="127"/>
      <c r="G3333" s="127"/>
      <c r="H3333" s="127"/>
      <c r="I3333" s="128"/>
      <c r="K3333" s="105" t="str">
        <f>IFERROR(__xludf.DUMMYFUNCTION("if(A3333="""","""",substitute(SUBSTITUTE(index(importhtml(""http://finviz.com/quote.ashx?t=""&amp;A3333,""table"",10),7,2),""*"",""""),""-"",""0.00""))"),"Loading...")</f>
        <v>Loading...</v>
      </c>
      <c r="L3333" s="129">
        <v>2.518017702E9</v>
      </c>
      <c r="M3333" s="99">
        <v>1.33</v>
      </c>
    </row>
    <row r="3334">
      <c r="A3334" s="122" t="s">
        <v>7105</v>
      </c>
      <c r="B3334" s="123">
        <v>1514281.0</v>
      </c>
      <c r="C3334" s="124" t="s">
        <v>7106</v>
      </c>
      <c r="D3334" s="125"/>
      <c r="E3334" s="126">
        <v>6.21</v>
      </c>
      <c r="F3334" s="127"/>
      <c r="G3334" s="127"/>
      <c r="H3334" s="127"/>
      <c r="I3334" s="128"/>
      <c r="K3334" s="105" t="str">
        <f>IFERROR(__xludf.DUMMYFUNCTION("if(A3334="""","""",substitute(SUBSTITUTE(index(importhtml(""http://finviz.com/quote.ashx?t=""&amp;A3334,""table"",10),7,2),""*"",""""),""-"",""0.00""))"),"Loading...")</f>
        <v>Loading...</v>
      </c>
      <c r="L3334" s="129">
        <v>1.82791164E8</v>
      </c>
      <c r="M3334" s="99">
        <v>1.96</v>
      </c>
    </row>
    <row r="3335">
      <c r="A3335" s="122" t="s">
        <v>7107</v>
      </c>
      <c r="B3335" s="123">
        <v>1175483.0</v>
      </c>
      <c r="C3335" s="124" t="s">
        <v>7108</v>
      </c>
      <c r="D3335" s="125"/>
      <c r="E3335" s="126">
        <v>6.22</v>
      </c>
      <c r="F3335" s="127"/>
      <c r="G3335" s="127"/>
      <c r="H3335" s="127"/>
      <c r="I3335" s="128"/>
      <c r="K3335" s="105" t="str">
        <f>IFERROR(__xludf.DUMMYFUNCTION("if(A3335="""","""",substitute(SUBSTITUTE(index(importhtml(""http://finviz.com/quote.ashx?t=""&amp;A3335,""table"",10),7,2),""*"",""""),""-"",""0.00""))"),"Loading...")</f>
        <v>Loading...</v>
      </c>
      <c r="L3335" s="129" t="e">
        <v>#N/A</v>
      </c>
      <c r="M3335" s="99">
        <v>0.56</v>
      </c>
    </row>
    <row r="3336">
      <c r="A3336" s="122" t="s">
        <v>7109</v>
      </c>
      <c r="B3336" s="123">
        <v>1843588.0</v>
      </c>
      <c r="C3336" s="124" t="s">
        <v>7110</v>
      </c>
      <c r="D3336" s="125"/>
      <c r="E3336" s="126">
        <v>6.23</v>
      </c>
      <c r="F3336" s="127"/>
      <c r="G3336" s="127"/>
      <c r="H3336" s="127"/>
      <c r="I3336" s="128"/>
      <c r="K3336" s="105" t="str">
        <f>IFERROR(__xludf.DUMMYFUNCTION("if(A3336="""","""",substitute(SUBSTITUTE(index(importhtml(""http://finviz.com/quote.ashx?t=""&amp;A3336,""table"",10),7,2),""*"",""""),""-"",""0.00""))"),"Loading...")</f>
        <v>Loading...</v>
      </c>
      <c r="L3336" s="129">
        <v>6.9835285E7</v>
      </c>
      <c r="M3336" s="99">
        <f>IFERROR(__xludf.DUMMYFUNCTION("GOOGLEFINANCE(A3336,""beta"")"),1.86)</f>
        <v>1.86</v>
      </c>
    </row>
    <row r="3337">
      <c r="A3337" s="122" t="s">
        <v>7111</v>
      </c>
      <c r="B3337" s="123">
        <v>1823652.0</v>
      </c>
      <c r="C3337" s="124" t="s">
        <v>7112</v>
      </c>
      <c r="D3337" s="125"/>
      <c r="E3337" s="126">
        <v>6.23</v>
      </c>
      <c r="F3337" s="127"/>
      <c r="G3337" s="127"/>
      <c r="H3337" s="127"/>
      <c r="I3337" s="128"/>
      <c r="K3337" s="105" t="str">
        <f>IFERROR(__xludf.DUMMYFUNCTION("if(A3337="""","""",substitute(SUBSTITUTE(index(importhtml(""http://finviz.com/quote.ashx?t=""&amp;A3337,""table"",10),7,2),""*"",""""),""-"",""0.00""))"),"Loading...")</f>
        <v>Loading...</v>
      </c>
      <c r="L3337" s="129">
        <v>1.678106575E9</v>
      </c>
      <c r="M3337" s="99">
        <v>0.53</v>
      </c>
    </row>
    <row r="3338">
      <c r="A3338" s="122" t="s">
        <v>7113</v>
      </c>
      <c r="B3338" s="123">
        <v>23197.0</v>
      </c>
      <c r="C3338" s="124" t="s">
        <v>7114</v>
      </c>
      <c r="D3338" s="125"/>
      <c r="E3338" s="126">
        <v>6.24</v>
      </c>
      <c r="F3338" s="127"/>
      <c r="G3338" s="127"/>
      <c r="H3338" s="127"/>
      <c r="I3338" s="128"/>
      <c r="K3338" s="105" t="str">
        <f>IFERROR(__xludf.DUMMYFUNCTION("if(A3338="""","""",substitute(SUBSTITUTE(index(importhtml(""http://finviz.com/quote.ashx?t=""&amp;A3338,""table"",10),7,2),""*"",""""),""-"",""0.00""))"),"Loading...")</f>
        <v>Loading...</v>
      </c>
      <c r="L3338" s="129">
        <v>1.77708641E8</v>
      </c>
      <c r="M3338" s="99">
        <v>1.51</v>
      </c>
    </row>
    <row r="3339">
      <c r="A3339" s="122" t="s">
        <v>7115</v>
      </c>
      <c r="B3339" s="123">
        <v>844790.0</v>
      </c>
      <c r="C3339" s="124" t="s">
        <v>7116</v>
      </c>
      <c r="D3339" s="125"/>
      <c r="E3339" s="126">
        <v>6.24</v>
      </c>
      <c r="F3339" s="127"/>
      <c r="G3339" s="127"/>
      <c r="H3339" s="127"/>
      <c r="I3339" s="128"/>
      <c r="K3339" s="105" t="str">
        <f>IFERROR(__xludf.DUMMYFUNCTION("if(A3339="""","""",substitute(SUBSTITUTE(index(importhtml(""http://finviz.com/quote.ashx?t=""&amp;A3339,""table"",10),7,2),""*"",""""),""-"",""0.00""))"),"Loading...")</f>
        <v>Loading...</v>
      </c>
      <c r="L3339" s="129">
        <v>2.98979355E8</v>
      </c>
      <c r="M3339" s="99">
        <v>0.59</v>
      </c>
    </row>
    <row r="3340">
      <c r="A3340" s="122" t="s">
        <v>7117</v>
      </c>
      <c r="B3340" s="123">
        <v>310522.0</v>
      </c>
      <c r="C3340" s="124" t="s">
        <v>7118</v>
      </c>
      <c r="D3340" s="125"/>
      <c r="E3340" s="126">
        <v>6.24</v>
      </c>
      <c r="F3340" s="127"/>
      <c r="G3340" s="127"/>
      <c r="H3340" s="127"/>
      <c r="I3340" s="128"/>
      <c r="K3340" s="105" t="str">
        <f>IFERROR(__xludf.DUMMYFUNCTION("if(A3340="""","""",substitute(SUBSTITUTE(index(importhtml(""http://finviz.com/quote.ashx?t=""&amp;A3340,""table"",10),7,2),""*"",""""),""-"",""0.00""))"),"Loading...")</f>
        <v>Loading...</v>
      </c>
      <c r="L3340" s="129">
        <v>1.540255759E9</v>
      </c>
      <c r="M3340" s="99">
        <v>0.44</v>
      </c>
    </row>
    <row r="3341">
      <c r="A3341" s="122" t="s">
        <v>7119</v>
      </c>
      <c r="B3341" s="123">
        <v>1667011.0</v>
      </c>
      <c r="C3341" s="124" t="s">
        <v>7120</v>
      </c>
      <c r="D3341" s="125"/>
      <c r="E3341" s="126">
        <v>6.25</v>
      </c>
      <c r="F3341" s="127"/>
      <c r="G3341" s="127"/>
      <c r="H3341" s="127"/>
      <c r="I3341" s="128"/>
      <c r="K3341" s="55" t="s">
        <v>1034</v>
      </c>
      <c r="L3341" s="129">
        <v>2.30339875E8</v>
      </c>
      <c r="M3341" s="99">
        <f>IFERROR(__xludf.DUMMYFUNCTION("GOOGLEFINANCE(A3341,""beta"")"),1.49)</f>
        <v>1.49</v>
      </c>
    </row>
    <row r="3342">
      <c r="A3342" s="122" t="s">
        <v>7121</v>
      </c>
      <c r="B3342" s="123">
        <v>1545851.0</v>
      </c>
      <c r="C3342" s="124" t="s">
        <v>7122</v>
      </c>
      <c r="D3342" s="125"/>
      <c r="E3342" s="126">
        <v>6.25</v>
      </c>
      <c r="F3342" s="127"/>
      <c r="G3342" s="127"/>
      <c r="H3342" s="127"/>
      <c r="I3342" s="128"/>
      <c r="K3342" s="55" t="s">
        <v>6234</v>
      </c>
      <c r="L3342" s="129">
        <v>5.232955887E9</v>
      </c>
      <c r="M3342" s="99">
        <v>2.21</v>
      </c>
    </row>
    <row r="3343">
      <c r="A3343" s="122" t="s">
        <v>7123</v>
      </c>
      <c r="B3343" s="123">
        <v>1302624.0</v>
      </c>
      <c r="C3343" s="124" t="s">
        <v>7124</v>
      </c>
      <c r="D3343" s="125"/>
      <c r="E3343" s="126">
        <v>6.27</v>
      </c>
      <c r="F3343" s="127"/>
      <c r="G3343" s="127"/>
      <c r="H3343" s="127"/>
      <c r="I3343" s="128"/>
      <c r="K3343" s="55" t="s">
        <v>6929</v>
      </c>
      <c r="L3343" s="129">
        <v>6.3598114E7</v>
      </c>
      <c r="M3343" s="99">
        <v>0.75</v>
      </c>
    </row>
    <row r="3344">
      <c r="A3344" s="122" t="s">
        <v>7125</v>
      </c>
      <c r="B3344" s="123">
        <v>1001171.0</v>
      </c>
      <c r="C3344" s="124" t="s">
        <v>7126</v>
      </c>
      <c r="D3344" s="125"/>
      <c r="E3344" s="126">
        <v>6.28</v>
      </c>
      <c r="F3344" s="127"/>
      <c r="G3344" s="127"/>
      <c r="H3344" s="127"/>
      <c r="I3344" s="128"/>
      <c r="K3344" s="105" t="str">
        <f>IFERROR(__xludf.DUMMYFUNCTION("if(A3344="""","""",substitute(SUBSTITUTE(index(importhtml(""http://finviz.com/quote.ashx?t=""&amp;A3344,""table"",10),7,2),""*"",""""),""-"",""0.00""))"),"Loading...")</f>
        <v>Loading...</v>
      </c>
      <c r="L3344" s="129">
        <v>3.8813899E7</v>
      </c>
      <c r="M3344" s="99">
        <v>0.61</v>
      </c>
    </row>
    <row r="3345">
      <c r="A3345" s="122" t="s">
        <v>7127</v>
      </c>
      <c r="B3345" s="123">
        <v>895051.0</v>
      </c>
      <c r="C3345" s="124" t="s">
        <v>7128</v>
      </c>
      <c r="D3345" s="125"/>
      <c r="E3345" s="126">
        <v>6.29</v>
      </c>
      <c r="F3345" s="127"/>
      <c r="G3345" s="127"/>
      <c r="H3345" s="127"/>
      <c r="I3345" s="128"/>
      <c r="K3345" s="105" t="str">
        <f>IFERROR(__xludf.DUMMYFUNCTION("if(A3345="""","""",substitute(SUBSTITUTE(index(importhtml(""http://finviz.com/quote.ashx?t=""&amp;A3345,""table"",10),7,2),""*"",""""),""-"",""0.00""))"),"Loading...")</f>
        <v>Loading...</v>
      </c>
      <c r="L3345" s="129">
        <v>8.3792234E7</v>
      </c>
      <c r="M3345" s="99">
        <v>0.44</v>
      </c>
    </row>
    <row r="3346">
      <c r="A3346" s="122" t="s">
        <v>7129</v>
      </c>
      <c r="B3346" s="123">
        <v>1552800.0</v>
      </c>
      <c r="C3346" s="124" t="s">
        <v>7130</v>
      </c>
      <c r="D3346" s="125"/>
      <c r="E3346" s="126">
        <v>6.3</v>
      </c>
      <c r="F3346" s="127"/>
      <c r="G3346" s="127"/>
      <c r="H3346" s="127"/>
      <c r="I3346" s="128"/>
      <c r="K3346" s="105" t="str">
        <f>IFERROR(__xludf.DUMMYFUNCTION("if(A3346="""","""",substitute(SUBSTITUTE(index(importhtml(""http://finviz.com/quote.ashx?t=""&amp;A3346,""table"",10),7,2),""*"",""""),""-"",""0.00""))"),"Loading...")</f>
        <v>Loading...</v>
      </c>
      <c r="L3346" s="129">
        <v>2.814352E8</v>
      </c>
      <c r="M3346" s="99" t="str">
        <f>IFERROR(__xludf.DUMMYFUNCTION("GOOGLEFINANCE(A3346,""beta"")"),"#N/A")</f>
        <v>#N/A</v>
      </c>
    </row>
    <row r="3347">
      <c r="A3347" s="122" t="s">
        <v>7131</v>
      </c>
      <c r="B3347" s="123">
        <v>712034.0</v>
      </c>
      <c r="C3347" s="124" t="s">
        <v>7132</v>
      </c>
      <c r="D3347" s="125"/>
      <c r="E3347" s="126">
        <v>6.3</v>
      </c>
      <c r="F3347" s="127"/>
      <c r="G3347" s="127"/>
      <c r="H3347" s="127"/>
      <c r="I3347" s="128"/>
      <c r="K3347" s="105" t="str">
        <f>IFERROR(__xludf.DUMMYFUNCTION("if(A3347="""","""",substitute(SUBSTITUTE(index(importhtml(""http://finviz.com/quote.ashx?t=""&amp;A3347,""table"",10),7,2),""*"",""""),""-"",""0.00""))"),"Loading...")</f>
        <v>Loading...</v>
      </c>
      <c r="L3347" s="129">
        <v>5.9803155E8</v>
      </c>
      <c r="M3347" s="99">
        <v>1.68</v>
      </c>
    </row>
    <row r="3348">
      <c r="A3348" s="122" t="s">
        <v>7133</v>
      </c>
      <c r="B3348" s="123">
        <v>1498710.0</v>
      </c>
      <c r="C3348" s="124" t="s">
        <v>7134</v>
      </c>
      <c r="D3348" s="125"/>
      <c r="E3348" s="126">
        <v>6.3</v>
      </c>
      <c r="F3348" s="127"/>
      <c r="G3348" s="127"/>
      <c r="H3348" s="127"/>
      <c r="I3348" s="128"/>
      <c r="K3348" s="105" t="str">
        <f>IFERROR(__xludf.DUMMYFUNCTION("if(A3348="""","""",substitute(SUBSTITUTE(index(importhtml(""http://finviz.com/quote.ashx?t=""&amp;A3348,""table"",10),7,2),""*"",""""),""-"",""0.00""))"),"Loading...")</f>
        <v>Loading...</v>
      </c>
      <c r="L3348" s="129">
        <v>6.8775527E8</v>
      </c>
      <c r="M3348" s="99">
        <v>1.37</v>
      </c>
    </row>
    <row r="3349">
      <c r="A3349" s="122" t="s">
        <v>7135</v>
      </c>
      <c r="B3349" s="123">
        <v>1803112.0</v>
      </c>
      <c r="C3349" s="124" t="s">
        <v>7136</v>
      </c>
      <c r="D3349" s="125"/>
      <c r="E3349" s="126">
        <v>6.3</v>
      </c>
      <c r="F3349" s="127"/>
      <c r="G3349" s="127"/>
      <c r="H3349" s="127"/>
      <c r="I3349" s="128"/>
      <c r="K3349" s="105" t="str">
        <f>IFERROR(__xludf.DUMMYFUNCTION("if(A3349="""","""",substitute(SUBSTITUTE(index(importhtml(""http://finviz.com/quote.ashx?t=""&amp;A3349,""table"",10),7,2),""*"",""""),""-"",""0.00""))"),"Loading...")</f>
        <v>Loading...</v>
      </c>
      <c r="L3349" s="129">
        <v>9.12985947E8</v>
      </c>
      <c r="M3349" s="99" t="str">
        <f>IFERROR(__xludf.DUMMYFUNCTION("GOOGLEFINANCE(A3349,""beta"")"),"#N/A")</f>
        <v>#N/A</v>
      </c>
    </row>
    <row r="3350">
      <c r="A3350" s="122" t="s">
        <v>7137</v>
      </c>
      <c r="B3350" s="123">
        <v>1233087.0</v>
      </c>
      <c r="C3350" s="124" t="s">
        <v>7138</v>
      </c>
      <c r="D3350" s="125"/>
      <c r="E3350" s="126">
        <v>6.31</v>
      </c>
      <c r="F3350" s="127"/>
      <c r="G3350" s="127"/>
      <c r="H3350" s="127"/>
      <c r="I3350" s="128"/>
      <c r="K3350" s="55" t="s">
        <v>5447</v>
      </c>
      <c r="L3350" s="129">
        <v>2.54957882E8</v>
      </c>
      <c r="M3350" s="99">
        <v>0.53</v>
      </c>
    </row>
    <row r="3351">
      <c r="A3351" s="122" t="s">
        <v>7139</v>
      </c>
      <c r="B3351" s="123">
        <v>912061.0</v>
      </c>
      <c r="C3351" s="124" t="s">
        <v>7140</v>
      </c>
      <c r="D3351" s="125"/>
      <c r="E3351" s="126">
        <v>6.33</v>
      </c>
      <c r="F3351" s="127"/>
      <c r="G3351" s="127"/>
      <c r="H3351" s="127"/>
      <c r="I3351" s="128"/>
      <c r="K3351" s="105" t="str">
        <f>IFERROR(__xludf.DUMMYFUNCTION("if(A3351="""","""",substitute(SUBSTITUTE(index(importhtml(""http://finviz.com/quote.ashx?t=""&amp;A3351,""table"",10),7,2),""*"",""""),""-"",""0.00""))"),"Loading...")</f>
        <v>Loading...</v>
      </c>
      <c r="L3351" s="129">
        <v>7.2901153E7</v>
      </c>
      <c r="M3351" s="99">
        <v>0.83</v>
      </c>
    </row>
    <row r="3352">
      <c r="A3352" s="122" t="s">
        <v>7141</v>
      </c>
      <c r="B3352" s="123">
        <v>1389207.0</v>
      </c>
      <c r="C3352" s="124" t="s">
        <v>7142</v>
      </c>
      <c r="D3352" s="125"/>
      <c r="E3352" s="126">
        <v>6.33</v>
      </c>
      <c r="F3352" s="127"/>
      <c r="G3352" s="127"/>
      <c r="H3352" s="127"/>
      <c r="I3352" s="128"/>
      <c r="K3352" s="105" t="str">
        <f>IFERROR(__xludf.DUMMYFUNCTION("if(A3352="""","""",substitute(SUBSTITUTE(index(importhtml(""http://finviz.com/quote.ashx?t=""&amp;A3352,""table"",10),7,2),""*"",""""),""-"",""0.00""))"),"Loading...")</f>
        <v>Loading...</v>
      </c>
      <c r="L3352" s="129">
        <v>7.58651902E8</v>
      </c>
      <c r="M3352" s="99">
        <v>2.33</v>
      </c>
    </row>
    <row r="3353">
      <c r="A3353" s="122" t="s">
        <v>7143</v>
      </c>
      <c r="B3353" s="123">
        <v>1571549.0</v>
      </c>
      <c r="C3353" s="124" t="s">
        <v>7144</v>
      </c>
      <c r="D3353" s="125"/>
      <c r="E3353" s="126">
        <v>6.33</v>
      </c>
      <c r="F3353" s="127"/>
      <c r="G3353" s="127"/>
      <c r="H3353" s="127"/>
      <c r="I3353" s="128"/>
      <c r="K3353" s="105" t="str">
        <f>IFERROR(__xludf.DUMMYFUNCTION("if(A3353="""","""",substitute(SUBSTITUTE(index(importhtml(""http://finviz.com/quote.ashx?t=""&amp;A3353,""table"",10),7,2),""*"",""""),""-"",""0.00""))"),"Loading...")</f>
        <v>Loading...</v>
      </c>
      <c r="L3353" s="129">
        <v>1.879746727E9</v>
      </c>
      <c r="M3353" s="99">
        <v>1.3</v>
      </c>
    </row>
    <row r="3354">
      <c r="A3354" s="122" t="s">
        <v>7145</v>
      </c>
      <c r="B3354" s="123">
        <v>897322.0</v>
      </c>
      <c r="C3354" s="124" t="s">
        <v>7146</v>
      </c>
      <c r="D3354" s="125"/>
      <c r="E3354" s="126">
        <v>6.34</v>
      </c>
      <c r="F3354" s="127"/>
      <c r="G3354" s="127"/>
      <c r="H3354" s="127"/>
      <c r="I3354" s="128"/>
      <c r="K3354" s="105" t="str">
        <f>IFERROR(__xludf.DUMMYFUNCTION("if(A3354="""","""",substitute(SUBSTITUTE(index(importhtml(""http://finviz.com/quote.ashx?t=""&amp;A3354,""table"",10),7,2),""*"",""""),""-"",""0.00""))"),"Loading...")</f>
        <v>Loading...</v>
      </c>
      <c r="L3354" s="129">
        <v>3.58981333E8</v>
      </c>
      <c r="M3354" s="99">
        <v>0.66</v>
      </c>
    </row>
    <row r="3355">
      <c r="A3355" s="122" t="s">
        <v>7147</v>
      </c>
      <c r="B3355" s="123">
        <v>1030192.0</v>
      </c>
      <c r="C3355" s="124" t="s">
        <v>7148</v>
      </c>
      <c r="D3355" s="125"/>
      <c r="E3355" s="126">
        <v>6.35</v>
      </c>
      <c r="F3355" s="127"/>
      <c r="G3355" s="127"/>
      <c r="H3355" s="127"/>
      <c r="I3355" s="128"/>
      <c r="K3355" s="105" t="str">
        <f>IFERROR(__xludf.DUMMYFUNCTION("if(A3355="""","""",substitute(SUBSTITUTE(index(importhtml(""http://finviz.com/quote.ashx?t=""&amp;A3355,""table"",10),7,2),""*"",""""),""-"",""0.00""))"),"Loading...")</f>
        <v>Loading...</v>
      </c>
      <c r="L3355" s="129">
        <v>7.78289E7</v>
      </c>
      <c r="M3355" s="99">
        <v>0.63</v>
      </c>
    </row>
    <row r="3356">
      <c r="A3356" s="122" t="s">
        <v>7149</v>
      </c>
      <c r="B3356" s="123">
        <v>1447113.0</v>
      </c>
      <c r="C3356" s="124" t="s">
        <v>7150</v>
      </c>
      <c r="D3356" s="125"/>
      <c r="E3356" s="126">
        <v>6.35</v>
      </c>
      <c r="F3356" s="127"/>
      <c r="G3356" s="127"/>
      <c r="H3356" s="127"/>
      <c r="I3356" s="128"/>
      <c r="K3356" s="105" t="str">
        <f>IFERROR(__xludf.DUMMYFUNCTION("if(A3356="""","""",substitute(SUBSTITUTE(index(importhtml(""http://finviz.com/quote.ashx?t=""&amp;A3356,""table"",10),7,2),""*"",""""),""-"",""0.00""))"),"Loading...")</f>
        <v>Loading...</v>
      </c>
      <c r="L3356" s="129">
        <v>1.53292304E12</v>
      </c>
      <c r="M3356" s="99">
        <f>IFERROR(__xludf.DUMMYFUNCTION("GOOGLEFINANCE(A3356,""beta"")"),-3.6)</f>
        <v>-3.6</v>
      </c>
    </row>
    <row r="3357">
      <c r="A3357" s="122" t="s">
        <v>7151</v>
      </c>
      <c r="B3357" s="123">
        <v>1481045.0</v>
      </c>
      <c r="C3357" s="124" t="s">
        <v>7152</v>
      </c>
      <c r="D3357" s="125"/>
      <c r="E3357" s="126">
        <v>6.37</v>
      </c>
      <c r="F3357" s="127"/>
      <c r="G3357" s="127"/>
      <c r="H3357" s="127"/>
      <c r="I3357" s="128"/>
      <c r="K3357" s="105" t="str">
        <f>IFERROR(__xludf.DUMMYFUNCTION("if(A3357="""","""",substitute(SUBSTITUTE(index(importhtml(""http://finviz.com/quote.ashx?t=""&amp;A3357,""table"",10),7,2),""*"",""""),""-"",""0.00""))"),"#N/A")</f>
        <v>#N/A</v>
      </c>
      <c r="L3357" s="129">
        <v>1.0695799124E10</v>
      </c>
      <c r="M3357" s="99">
        <v>0.65</v>
      </c>
    </row>
    <row r="3358">
      <c r="A3358" s="122" t="s">
        <v>7153</v>
      </c>
      <c r="B3358" s="123">
        <v>927971.0</v>
      </c>
      <c r="C3358" s="124" t="s">
        <v>7154</v>
      </c>
      <c r="D3358" s="125"/>
      <c r="E3358" s="126">
        <v>6.37</v>
      </c>
      <c r="F3358" s="127"/>
      <c r="G3358" s="127"/>
      <c r="H3358" s="127"/>
      <c r="I3358" s="128"/>
      <c r="K3358" s="105" t="str">
        <f>IFERROR(__xludf.DUMMYFUNCTION("if(A3358="""","""",substitute(SUBSTITUTE(index(importhtml(""http://finviz.com/quote.ashx?t=""&amp;A3358,""table"",10),7,2),""*"",""""),""-"",""0.00""))"),"Loading...")</f>
        <v>Loading...</v>
      </c>
      <c r="L3358" s="129">
        <v>6.7808877943E10</v>
      </c>
      <c r="M3358" s="99" t="str">
        <f>IFERROR(__xludf.DUMMYFUNCTION("GOOGLEFINANCE(A3358,""beta"")"),"#N/A")</f>
        <v>#N/A</v>
      </c>
    </row>
    <row r="3359">
      <c r="A3359" s="122" t="s">
        <v>7155</v>
      </c>
      <c r="B3359" s="123">
        <v>310522.0</v>
      </c>
      <c r="C3359" s="124" t="s">
        <v>7156</v>
      </c>
      <c r="D3359" s="125"/>
      <c r="E3359" s="126">
        <v>6.39</v>
      </c>
      <c r="F3359" s="127"/>
      <c r="G3359" s="127"/>
      <c r="H3359" s="127"/>
      <c r="I3359" s="128"/>
      <c r="K3359" s="105" t="str">
        <f>IFERROR(__xludf.DUMMYFUNCTION("if(A3359="""","""",substitute(SUBSTITUTE(index(importhtml(""http://finviz.com/quote.ashx?t=""&amp;A3359,""table"",10),7,2),""*"",""""),""-"",""0.00""))"),"Loading...")</f>
        <v>Loading...</v>
      </c>
      <c r="L3359" s="129">
        <v>1.540255759E9</v>
      </c>
      <c r="M3359" s="99">
        <v>0.69</v>
      </c>
    </row>
    <row r="3360">
      <c r="A3360" s="122" t="s">
        <v>7157</v>
      </c>
      <c r="B3360" s="123">
        <v>1023514.0</v>
      </c>
      <c r="C3360" s="124" t="s">
        <v>7158</v>
      </c>
      <c r="D3360" s="125"/>
      <c r="E3360" s="126">
        <v>6.39</v>
      </c>
      <c r="F3360" s="127"/>
      <c r="G3360" s="127"/>
      <c r="H3360" s="127"/>
      <c r="I3360" s="128"/>
      <c r="K3360" s="105" t="str">
        <f>IFERROR(__xludf.DUMMYFUNCTION("if(A3360="""","""",substitute(SUBSTITUTE(index(importhtml(""http://finviz.com/quote.ashx?t=""&amp;A3360,""table"",10),7,2),""*"",""""),""-"",""0.00""))"),"Loading...")</f>
        <v>Loading...</v>
      </c>
      <c r="L3360" s="129">
        <v>3.848844528E9</v>
      </c>
      <c r="M3360" s="99">
        <v>1.71</v>
      </c>
    </row>
    <row r="3361">
      <c r="A3361" s="122" t="s">
        <v>7159</v>
      </c>
      <c r="B3361" s="123">
        <v>872202.0</v>
      </c>
      <c r="C3361" s="124" t="s">
        <v>7160</v>
      </c>
      <c r="D3361" s="125"/>
      <c r="E3361" s="126">
        <v>6.4</v>
      </c>
      <c r="F3361" s="127"/>
      <c r="G3361" s="127"/>
      <c r="H3361" s="127"/>
      <c r="I3361" s="128"/>
      <c r="K3361" s="105" t="str">
        <f>IFERROR(__xludf.DUMMYFUNCTION("if(A3361="""","""",substitute(SUBSTITUTE(index(importhtml(""http://finviz.com/quote.ashx?t=""&amp;A3361,""table"",10),7,2),""*"",""""),""-"",""0.00""))"),"Loading...")</f>
        <v>Loading...</v>
      </c>
      <c r="L3361" s="129" t="e">
        <v>#N/A</v>
      </c>
      <c r="M3361" s="99" t="str">
        <f>IFERROR(__xludf.DUMMYFUNCTION("GOOGLEFINANCE(A3361,""beta"")"),"#N/A")</f>
        <v>#N/A</v>
      </c>
    </row>
    <row r="3362">
      <c r="A3362" s="122" t="s">
        <v>7161</v>
      </c>
      <c r="B3362" s="123">
        <v>1705873.0</v>
      </c>
      <c r="C3362" s="124" t="s">
        <v>7162</v>
      </c>
      <c r="D3362" s="125"/>
      <c r="E3362" s="126">
        <v>6.41</v>
      </c>
      <c r="F3362" s="127"/>
      <c r="G3362" s="127"/>
      <c r="H3362" s="127"/>
      <c r="I3362" s="128"/>
      <c r="K3362" s="55" t="s">
        <v>7163</v>
      </c>
      <c r="L3362" s="129">
        <v>4.85023984E8</v>
      </c>
      <c r="M3362" s="99">
        <v>1.79</v>
      </c>
    </row>
    <row r="3363">
      <c r="A3363" s="122" t="s">
        <v>7164</v>
      </c>
      <c r="B3363" s="123">
        <v>835333.0</v>
      </c>
      <c r="C3363" s="124" t="s">
        <v>7165</v>
      </c>
      <c r="D3363" s="125"/>
      <c r="E3363" s="126">
        <v>6.42</v>
      </c>
      <c r="F3363" s="127"/>
      <c r="G3363" s="127"/>
      <c r="H3363" s="127"/>
      <c r="I3363" s="128"/>
      <c r="K3363" s="105" t="str">
        <f>IFERROR(__xludf.DUMMYFUNCTION("if(A3363="""","""",substitute(SUBSTITUTE(index(importhtml(""http://finviz.com/quote.ashx?t=""&amp;A3363,""table"",10),7,2),""*"",""""),""-"",""0.00""))"),"Loading...")</f>
        <v>Loading...</v>
      </c>
      <c r="L3363" s="129">
        <v>3.05818372E8</v>
      </c>
      <c r="M3363" s="99">
        <v>0.68</v>
      </c>
    </row>
    <row r="3364">
      <c r="A3364" s="122" t="s">
        <v>7166</v>
      </c>
      <c r="B3364" s="123">
        <v>1810031.0</v>
      </c>
      <c r="C3364" s="124" t="s">
        <v>7167</v>
      </c>
      <c r="D3364" s="125"/>
      <c r="E3364" s="126">
        <v>6.43</v>
      </c>
      <c r="F3364" s="127"/>
      <c r="G3364" s="127"/>
      <c r="H3364" s="127"/>
      <c r="I3364" s="128"/>
      <c r="K3364" s="105" t="str">
        <f>IFERROR(__xludf.DUMMYFUNCTION("if(A3364="""","""",substitute(SUBSTITUTE(index(importhtml(""http://finviz.com/quote.ashx?t=""&amp;A3364,""table"",10),7,2),""*"",""""),""-"",""0.00""))"),"Loading...")</f>
        <v>Loading...</v>
      </c>
      <c r="L3364" s="129">
        <v>2.8021598E7</v>
      </c>
      <c r="M3364" s="99">
        <v>0.66</v>
      </c>
    </row>
    <row r="3365">
      <c r="A3365" s="122" t="s">
        <v>7168</v>
      </c>
      <c r="B3365" s="123">
        <v>1655210.0</v>
      </c>
      <c r="C3365" s="124" t="s">
        <v>7169</v>
      </c>
      <c r="D3365" s="125"/>
      <c r="E3365" s="126">
        <v>6.43</v>
      </c>
      <c r="F3365" s="127"/>
      <c r="G3365" s="127"/>
      <c r="H3365" s="127"/>
      <c r="I3365" s="128"/>
      <c r="K3365" s="105" t="str">
        <f>IFERROR(__xludf.DUMMYFUNCTION("if(A3365="""","""",substitute(SUBSTITUTE(index(importhtml(""http://finviz.com/quote.ashx?t=""&amp;A3365,""table"",10),7,2),""*"",""""),""-"",""0.00""))"),"Loading...")</f>
        <v>Loading...</v>
      </c>
      <c r="L3365" s="129">
        <v>4.1499804E8</v>
      </c>
      <c r="M3365" s="99">
        <v>2.31</v>
      </c>
    </row>
    <row r="3366">
      <c r="A3366" s="122" t="s">
        <v>7170</v>
      </c>
      <c r="B3366" s="123">
        <v>1776967.0</v>
      </c>
      <c r="C3366" s="124" t="s">
        <v>7171</v>
      </c>
      <c r="D3366" s="125"/>
      <c r="E3366" s="126">
        <v>6.43</v>
      </c>
      <c r="F3366" s="127"/>
      <c r="G3366" s="127"/>
      <c r="H3366" s="127"/>
      <c r="I3366" s="128"/>
      <c r="K3366" s="105" t="str">
        <f>IFERROR(__xludf.DUMMYFUNCTION("if(A3366="""","""",substitute(SUBSTITUTE(index(importhtml(""http://finviz.com/quote.ashx?t=""&amp;A3366,""table"",10),7,2),""*"",""""),""-"",""0.00""))"),"Loading...")</f>
        <v>Loading...</v>
      </c>
      <c r="L3366" s="129">
        <v>2.2383725873E10</v>
      </c>
      <c r="M3366" s="99">
        <v>2.02</v>
      </c>
    </row>
    <row r="3367">
      <c r="A3367" s="122" t="s">
        <v>7172</v>
      </c>
      <c r="B3367" s="123">
        <v>1848763.0</v>
      </c>
      <c r="C3367" s="124" t="s">
        <v>7173</v>
      </c>
      <c r="D3367" s="125"/>
      <c r="E3367" s="126">
        <v>6.44</v>
      </c>
      <c r="F3367" s="127"/>
      <c r="G3367" s="127"/>
      <c r="H3367" s="127"/>
      <c r="I3367" s="128"/>
      <c r="K3367" s="105" t="str">
        <f>IFERROR(__xludf.DUMMYFUNCTION("if(A3367="""","""",substitute(SUBSTITUTE(index(importhtml(""http://finviz.com/quote.ashx?t=""&amp;A3367,""table"",10),7,2),""*"",""""),""-"",""0.00""))"),"Loading...")</f>
        <v>Loading...</v>
      </c>
      <c r="L3367" s="129">
        <v>2.402362165E9</v>
      </c>
      <c r="M3367" s="99">
        <v>0.98</v>
      </c>
    </row>
    <row r="3368">
      <c r="A3368" s="122" t="s">
        <v>7174</v>
      </c>
      <c r="B3368" s="123">
        <v>910267.0</v>
      </c>
      <c r="C3368" s="124" t="s">
        <v>7175</v>
      </c>
      <c r="D3368" s="125"/>
      <c r="E3368" s="126">
        <v>6.45</v>
      </c>
      <c r="F3368" s="127"/>
      <c r="G3368" s="127"/>
      <c r="H3368" s="127"/>
      <c r="I3368" s="128"/>
      <c r="K3368" s="105" t="str">
        <f>IFERROR(__xludf.DUMMYFUNCTION("if(A3368="""","""",substitute(SUBSTITUTE(index(importhtml(""http://finviz.com/quote.ashx?t=""&amp;A3368,""table"",10),7,2),""*"",""""),""-"",""0.00""))"),"Loading...")</f>
        <v>Loading...</v>
      </c>
      <c r="L3368" s="129">
        <v>5040689.0</v>
      </c>
      <c r="M3368" s="99">
        <v>1.31</v>
      </c>
    </row>
    <row r="3369">
      <c r="A3369" s="122" t="s">
        <v>7176</v>
      </c>
      <c r="B3369" s="123">
        <v>876883.0</v>
      </c>
      <c r="C3369" s="124" t="s">
        <v>7177</v>
      </c>
      <c r="D3369" s="125"/>
      <c r="E3369" s="126">
        <v>6.45</v>
      </c>
      <c r="F3369" s="127"/>
      <c r="G3369" s="127"/>
      <c r="H3369" s="127"/>
      <c r="I3369" s="128"/>
      <c r="K3369" s="105" t="str">
        <f>IFERROR(__xludf.DUMMYFUNCTION("if(A3369="""","""",substitute(SUBSTITUTE(index(importhtml(""http://finviz.com/quote.ashx?t=""&amp;A3369,""table"",10),7,2),""*"",""""),""-"",""0.00""))"),"Loading...")</f>
        <v>Loading...</v>
      </c>
      <c r="L3369" s="129">
        <v>1.756225298E9</v>
      </c>
      <c r="M3369" s="99">
        <v>1.11</v>
      </c>
    </row>
    <row r="3370">
      <c r="A3370" s="122" t="s">
        <v>7178</v>
      </c>
      <c r="B3370" s="123">
        <v>7332.0</v>
      </c>
      <c r="C3370" s="124" t="s">
        <v>7179</v>
      </c>
      <c r="D3370" s="125"/>
      <c r="E3370" s="126">
        <v>6.45</v>
      </c>
      <c r="F3370" s="127"/>
      <c r="G3370" s="127"/>
      <c r="H3370" s="127"/>
      <c r="I3370" s="128"/>
      <c r="K3370" s="105" t="str">
        <f>IFERROR(__xludf.DUMMYFUNCTION("if(A3370="""","""",substitute(SUBSTITUTE(index(importhtml(""http://finviz.com/quote.ashx?t=""&amp;A3370,""table"",10),7,2),""*"",""""),""-"",""0.00""))"),"Loading...")</f>
        <v>Loading...</v>
      </c>
      <c r="L3370" s="129">
        <v>7.104436139E9</v>
      </c>
      <c r="M3370" s="99">
        <v>1.11</v>
      </c>
    </row>
    <row r="3371">
      <c r="A3371" s="122" t="s">
        <v>7180</v>
      </c>
      <c r="B3371" s="123">
        <v>1847351.0</v>
      </c>
      <c r="C3371" s="124" t="s">
        <v>7181</v>
      </c>
      <c r="D3371" s="125"/>
      <c r="E3371" s="126">
        <v>6.45</v>
      </c>
      <c r="F3371" s="127"/>
      <c r="G3371" s="127"/>
      <c r="H3371" s="127"/>
      <c r="I3371" s="128"/>
      <c r="K3371" s="105" t="str">
        <f>IFERROR(__xludf.DUMMYFUNCTION("if(A3371="""","""",substitute(SUBSTITUTE(index(importhtml(""http://finviz.com/quote.ashx?t=""&amp;A3371,""table"",10),7,2),""*"",""""),""-"",""0.00""))"),"Loading...")</f>
        <v>Loading...</v>
      </c>
      <c r="L3371" s="129">
        <v>1.4440605729E10</v>
      </c>
      <c r="M3371" s="99" t="str">
        <f>IFERROR(__xludf.DUMMYFUNCTION("GOOGLEFINANCE(A3371,""beta"")"),"#N/A")</f>
        <v>#N/A</v>
      </c>
    </row>
    <row r="3372">
      <c r="A3372" s="122" t="s">
        <v>7182</v>
      </c>
      <c r="B3372" s="123">
        <v>810943.0</v>
      </c>
      <c r="C3372" s="124" t="s">
        <v>7183</v>
      </c>
      <c r="D3372" s="125"/>
      <c r="E3372" s="126">
        <v>6.47</v>
      </c>
      <c r="F3372" s="127"/>
      <c r="G3372" s="127"/>
      <c r="H3372" s="127"/>
      <c r="I3372" s="128"/>
      <c r="K3372" s="105" t="str">
        <f>IFERROR(__xludf.DUMMYFUNCTION("if(A3372="""","""",substitute(SUBSTITUTE(index(importhtml(""http://finviz.com/quote.ashx?t=""&amp;A3372,""table"",10),7,2),""*"",""""),""-"",""0.00""))"),"Loading...")</f>
        <v>Loading...</v>
      </c>
      <c r="L3372" s="129">
        <v>1.13422072E8</v>
      </c>
      <c r="M3372" s="99">
        <v>0.88</v>
      </c>
    </row>
    <row r="3373">
      <c r="A3373" s="122" t="s">
        <v>7184</v>
      </c>
      <c r="B3373" s="123">
        <v>851170.0</v>
      </c>
      <c r="C3373" s="124" t="s">
        <v>7185</v>
      </c>
      <c r="D3373" s="125"/>
      <c r="E3373" s="126">
        <v>6.47</v>
      </c>
      <c r="F3373" s="127"/>
      <c r="G3373" s="127"/>
      <c r="H3373" s="127"/>
      <c r="I3373" s="128"/>
      <c r="K3373" s="105" t="str">
        <f>IFERROR(__xludf.DUMMYFUNCTION("if(A3373="""","""",substitute(SUBSTITUTE(index(importhtml(""http://finviz.com/quote.ashx?t=""&amp;A3373,""table"",10),7,2),""*"",""""),""-"",""0.00""))"),"Loading...")</f>
        <v>Loading...</v>
      </c>
      <c r="L3373" s="129">
        <v>2.79548763E8</v>
      </c>
      <c r="M3373" s="99">
        <v>0.67</v>
      </c>
    </row>
    <row r="3374">
      <c r="A3374" s="122" t="s">
        <v>7186</v>
      </c>
      <c r="B3374" s="123">
        <v>1084201.0</v>
      </c>
      <c r="C3374" s="124" t="s">
        <v>7187</v>
      </c>
      <c r="D3374" s="125"/>
      <c r="E3374" s="126">
        <v>6.47</v>
      </c>
      <c r="F3374" s="127"/>
      <c r="G3374" s="127"/>
      <c r="H3374" s="127"/>
      <c r="I3374" s="128"/>
      <c r="K3374" s="105" t="str">
        <f>IFERROR(__xludf.DUMMYFUNCTION("if(A3374="""","""",substitute(SUBSTITUTE(index(importhtml(""http://finviz.com/quote.ashx?t=""&amp;A3374,""table"",10),7,2),""*"",""""),""-"",""0.00""))"),"Loading...")</f>
        <v>Loading...</v>
      </c>
      <c r="L3374" s="129" t="e">
        <v>#N/A</v>
      </c>
      <c r="M3374" s="99" t="str">
        <f>IFERROR(__xludf.DUMMYFUNCTION("GOOGLEFINANCE(A3374,""beta"")"),"#N/A")</f>
        <v>#N/A</v>
      </c>
    </row>
    <row r="3375">
      <c r="A3375" s="122" t="s">
        <v>7188</v>
      </c>
      <c r="B3375" s="123">
        <v>1848731.0</v>
      </c>
      <c r="C3375" s="124" t="s">
        <v>7189</v>
      </c>
      <c r="D3375" s="125"/>
      <c r="E3375" s="126">
        <v>6.48</v>
      </c>
      <c r="F3375" s="127"/>
      <c r="G3375" s="127"/>
      <c r="H3375" s="127"/>
      <c r="I3375" s="128"/>
      <c r="K3375" s="105" t="str">
        <f>IFERROR(__xludf.DUMMYFUNCTION("if(A3375="""","""",substitute(SUBSTITUTE(index(importhtml(""http://finviz.com/quote.ashx?t=""&amp;A3375,""table"",10),7,2),""*"",""""),""-"",""0.00""))"),"Loading...")</f>
        <v>Loading...</v>
      </c>
      <c r="L3375" s="129">
        <v>3.97407773E8</v>
      </c>
      <c r="M3375" s="99">
        <v>0.66</v>
      </c>
    </row>
    <row r="3376">
      <c r="A3376" s="122" t="s">
        <v>7190</v>
      </c>
      <c r="B3376" s="123">
        <v>1832466.0</v>
      </c>
      <c r="C3376" s="124" t="s">
        <v>7191</v>
      </c>
      <c r="D3376" s="125"/>
      <c r="E3376" s="126">
        <v>6.48</v>
      </c>
      <c r="F3376" s="127"/>
      <c r="G3376" s="127"/>
      <c r="H3376" s="127"/>
      <c r="I3376" s="128"/>
      <c r="K3376" s="105" t="str">
        <f>IFERROR(__xludf.DUMMYFUNCTION("if(A3376="""","""",substitute(SUBSTITUTE(index(importhtml(""http://finviz.com/quote.ashx?t=""&amp;A3376,""table"",10),7,2),""*"",""""),""-"",""0.00""))"),"Loading...")</f>
        <v>Loading...</v>
      </c>
      <c r="L3376" s="129">
        <v>1.225366707E9</v>
      </c>
      <c r="M3376" s="99">
        <f>IFERROR(__xludf.DUMMYFUNCTION("GOOGLEFINANCE(A3376,""beta"")"),1.17)</f>
        <v>1.17</v>
      </c>
    </row>
    <row r="3377">
      <c r="A3377" s="122" t="s">
        <v>7192</v>
      </c>
      <c r="B3377" s="123">
        <v>1325702.0</v>
      </c>
      <c r="C3377" s="124" t="s">
        <v>7193</v>
      </c>
      <c r="D3377" s="125"/>
      <c r="E3377" s="126">
        <v>6.49</v>
      </c>
      <c r="F3377" s="127"/>
      <c r="G3377" s="127"/>
      <c r="H3377" s="127"/>
      <c r="I3377" s="128"/>
      <c r="K3377" s="55" t="s">
        <v>1034</v>
      </c>
      <c r="L3377" s="129">
        <v>2.51571926E8</v>
      </c>
      <c r="M3377" s="99">
        <v>0.85</v>
      </c>
    </row>
    <row r="3378">
      <c r="A3378" s="122" t="s">
        <v>7194</v>
      </c>
      <c r="B3378" s="123">
        <v>1841330.0</v>
      </c>
      <c r="C3378" s="124" t="s">
        <v>7195</v>
      </c>
      <c r="D3378" s="125"/>
      <c r="E3378" s="126">
        <v>6.5</v>
      </c>
      <c r="F3378" s="127"/>
      <c r="G3378" s="127"/>
      <c r="H3378" s="127"/>
      <c r="I3378" s="128"/>
      <c r="K3378" s="105" t="str">
        <f>IFERROR(__xludf.DUMMYFUNCTION("if(A3378="""","""",substitute(SUBSTITUTE(index(importhtml(""http://finviz.com/quote.ashx?t=""&amp;A3378,""table"",10),7,2),""*"",""""),""-"",""0.00""))"),"Loading...")</f>
        <v>Loading...</v>
      </c>
      <c r="L3378" s="129">
        <v>6771895.0</v>
      </c>
      <c r="M3378" s="99">
        <f>IFERROR(__xludf.DUMMYFUNCTION("GOOGLEFINANCE(A3378,""beta"")"),0.29)</f>
        <v>0.29</v>
      </c>
    </row>
    <row r="3379">
      <c r="A3379" s="122" t="s">
        <v>7196</v>
      </c>
      <c r="B3379" s="123">
        <v>900391.0</v>
      </c>
      <c r="C3379" s="124" t="s">
        <v>7197</v>
      </c>
      <c r="D3379" s="125"/>
      <c r="E3379" s="126">
        <v>6.5</v>
      </c>
      <c r="F3379" s="127"/>
      <c r="G3379" s="127"/>
      <c r="H3379" s="127"/>
      <c r="I3379" s="128"/>
      <c r="K3379" s="105" t="str">
        <f>IFERROR(__xludf.DUMMYFUNCTION("if(A3379="""","""",substitute(SUBSTITUTE(index(importhtml(""http://finviz.com/quote.ashx?t=""&amp;A3379,""table"",10),7,2),""*"",""""),""-"",""0.00""))"),"Loading...")</f>
        <v>Loading...</v>
      </c>
      <c r="L3379" s="129">
        <v>7.15949E7</v>
      </c>
      <c r="M3379" s="99">
        <v>1.3</v>
      </c>
    </row>
    <row r="3380">
      <c r="A3380" s="122" t="s">
        <v>7198</v>
      </c>
      <c r="B3380" s="123">
        <v>1696195.0</v>
      </c>
      <c r="C3380" s="124" t="s">
        <v>7199</v>
      </c>
      <c r="D3380" s="125"/>
      <c r="E3380" s="126">
        <v>6.5</v>
      </c>
      <c r="F3380" s="127"/>
      <c r="G3380" s="127"/>
      <c r="H3380" s="127"/>
      <c r="I3380" s="128"/>
      <c r="K3380" s="105" t="str">
        <f>IFERROR(__xludf.DUMMYFUNCTION("if(A3380="""","""",substitute(SUBSTITUTE(index(importhtml(""http://finviz.com/quote.ashx?t=""&amp;A3380,""table"",10),7,2),""*"",""""),""-"",""0.00""))"),"Loading...")</f>
        <v>Loading...</v>
      </c>
      <c r="L3380" s="129">
        <v>1.710813E8</v>
      </c>
      <c r="M3380" s="99">
        <v>-2.43</v>
      </c>
    </row>
    <row r="3381">
      <c r="A3381" s="122" t="s">
        <v>7200</v>
      </c>
      <c r="B3381" s="123">
        <v>887396.0</v>
      </c>
      <c r="C3381" s="124" t="s">
        <v>7201</v>
      </c>
      <c r="D3381" s="125"/>
      <c r="E3381" s="126">
        <v>6.51</v>
      </c>
      <c r="F3381" s="127"/>
      <c r="G3381" s="127"/>
      <c r="H3381" s="127"/>
      <c r="I3381" s="128"/>
      <c r="K3381" s="55" t="s">
        <v>1034</v>
      </c>
      <c r="L3381" s="129">
        <v>1.49028748E8</v>
      </c>
      <c r="M3381" s="99">
        <v>1.62</v>
      </c>
    </row>
    <row r="3382">
      <c r="A3382" s="122" t="s">
        <v>7202</v>
      </c>
      <c r="B3382" s="123">
        <v>1305253.0</v>
      </c>
      <c r="C3382" s="124" t="s">
        <v>7203</v>
      </c>
      <c r="D3382" s="125"/>
      <c r="E3382" s="126">
        <v>6.51</v>
      </c>
      <c r="F3382" s="127"/>
      <c r="G3382" s="127"/>
      <c r="H3382" s="127"/>
      <c r="I3382" s="128"/>
      <c r="K3382" s="105" t="str">
        <f>IFERROR(__xludf.DUMMYFUNCTION("if(A3382="""","""",substitute(SUBSTITUTE(index(importhtml(""http://finviz.com/quote.ashx?t=""&amp;A3382,""table"",10),7,2),""*"",""""),""-"",""0.00""))"),"Loading...")</f>
        <v>Loading...</v>
      </c>
      <c r="L3382" s="129">
        <v>9631467.0</v>
      </c>
      <c r="M3382" s="99">
        <v>1.9</v>
      </c>
    </row>
    <row r="3383">
      <c r="A3383" s="122" t="s">
        <v>7204</v>
      </c>
      <c r="B3383" s="123">
        <v>1159510.0</v>
      </c>
      <c r="C3383" s="124" t="s">
        <v>7205</v>
      </c>
      <c r="D3383" s="125"/>
      <c r="E3383" s="126">
        <v>6.51</v>
      </c>
      <c r="F3383" s="127"/>
      <c r="G3383" s="127"/>
      <c r="H3383" s="127"/>
      <c r="I3383" s="128"/>
      <c r="K3383" s="105" t="str">
        <f>IFERROR(__xludf.DUMMYFUNCTION("if(A3383="""","""",substitute(SUBSTITUTE(index(importhtml(""http://finviz.com/quote.ashx?t=""&amp;A3383,""table"",10),7,2),""*"",""""),""-"",""0.00""))"),"Loading...")</f>
        <v>Loading...</v>
      </c>
      <c r="L3383" s="129">
        <v>4.53143604E9</v>
      </c>
      <c r="M3383" s="99">
        <v>1.74</v>
      </c>
    </row>
    <row r="3384">
      <c r="A3384" s="122" t="s">
        <v>7206</v>
      </c>
      <c r="B3384" s="123">
        <v>833040.0</v>
      </c>
      <c r="C3384" s="124" t="s">
        <v>7207</v>
      </c>
      <c r="D3384" s="125"/>
      <c r="E3384" s="126">
        <v>6.52</v>
      </c>
      <c r="F3384" s="127"/>
      <c r="G3384" s="127"/>
      <c r="H3384" s="127"/>
      <c r="I3384" s="128"/>
      <c r="K3384" s="138" t="s">
        <v>7163</v>
      </c>
      <c r="L3384" s="129">
        <v>1.63859857E8</v>
      </c>
      <c r="M3384" s="99">
        <v>0.75</v>
      </c>
    </row>
    <row r="3385">
      <c r="A3385" s="122" t="s">
        <v>7208</v>
      </c>
      <c r="B3385" s="123">
        <v>1434316.0</v>
      </c>
      <c r="C3385" s="124" t="s">
        <v>7209</v>
      </c>
      <c r="D3385" s="125"/>
      <c r="E3385" s="126">
        <v>6.52</v>
      </c>
      <c r="F3385" s="127"/>
      <c r="G3385" s="127"/>
      <c r="H3385" s="127"/>
      <c r="I3385" s="128"/>
      <c r="K3385" s="105" t="str">
        <f>IFERROR(__xludf.DUMMYFUNCTION("if(A3385="""","""",substitute(SUBSTITUTE(index(importhtml(""http://finviz.com/quote.ashx?t=""&amp;A3385,""table"",10),7,2),""*"",""""),""-"",""0.00""))"),"Loading...")</f>
        <v>Loading...</v>
      </c>
      <c r="L3385" s="129">
        <v>6.42884777E8</v>
      </c>
      <c r="M3385" s="99">
        <v>1.65</v>
      </c>
    </row>
    <row r="3386">
      <c r="A3386" s="122" t="s">
        <v>7210</v>
      </c>
      <c r="B3386" s="123">
        <v>1334388.0</v>
      </c>
      <c r="C3386" s="124" t="s">
        <v>7211</v>
      </c>
      <c r="D3386" s="125"/>
      <c r="E3386" s="126">
        <v>6.54</v>
      </c>
      <c r="F3386" s="127"/>
      <c r="G3386" s="127"/>
      <c r="H3386" s="127"/>
      <c r="I3386" s="128"/>
      <c r="K3386" s="105" t="str">
        <f>IFERROR(__xludf.DUMMYFUNCTION("if(A3386="""","""",substitute(SUBSTITUTE(index(importhtml(""http://finviz.com/quote.ashx?t=""&amp;A3386,""table"",10),7,2),""*"",""""),""-"",""0.00""))"),"Loading...")</f>
        <v>Loading...</v>
      </c>
      <c r="L3386" s="129">
        <v>5.08316395E8</v>
      </c>
      <c r="M3386" s="99" t="str">
        <f>IFERROR(__xludf.DUMMYFUNCTION("GOOGLEFINANCE(A3386,""beta"")"),"#N/A")</f>
        <v>#N/A</v>
      </c>
    </row>
    <row r="3387">
      <c r="A3387" s="122" t="s">
        <v>7212</v>
      </c>
      <c r="B3387" s="123">
        <v>839122.0</v>
      </c>
      <c r="C3387" s="124" t="s">
        <v>7213</v>
      </c>
      <c r="D3387" s="125"/>
      <c r="E3387" s="126">
        <v>6.55</v>
      </c>
      <c r="F3387" s="127"/>
      <c r="G3387" s="127"/>
      <c r="H3387" s="127"/>
      <c r="I3387" s="128"/>
      <c r="K3387" s="55" t="s">
        <v>4800</v>
      </c>
      <c r="L3387" s="129">
        <v>1.35960122E8</v>
      </c>
      <c r="M3387" s="99">
        <v>0.51</v>
      </c>
    </row>
    <row r="3388">
      <c r="A3388" s="122" t="s">
        <v>7214</v>
      </c>
      <c r="B3388" s="123">
        <v>1445166.0</v>
      </c>
      <c r="C3388" s="124" t="s">
        <v>7215</v>
      </c>
      <c r="D3388" s="125"/>
      <c r="E3388" s="126">
        <v>6.55</v>
      </c>
      <c r="F3388" s="127"/>
      <c r="G3388" s="127"/>
      <c r="H3388" s="127"/>
      <c r="I3388" s="128"/>
      <c r="K3388" s="105" t="str">
        <f>IFERROR(__xludf.DUMMYFUNCTION("if(A3388="""","""",substitute(SUBSTITUTE(index(importhtml(""http://finviz.com/quote.ashx?t=""&amp;A3388,""table"",10),7,2),""*"",""""),""-"",""0.00""))"),"Loading...")</f>
        <v>Loading...</v>
      </c>
      <c r="L3388" s="129">
        <v>1.3679059426E11</v>
      </c>
      <c r="M3388" s="99">
        <v>0.93</v>
      </c>
    </row>
    <row r="3389">
      <c r="A3389" s="122" t="s">
        <v>7216</v>
      </c>
      <c r="B3389" s="123">
        <v>1132597.0</v>
      </c>
      <c r="C3389" s="124" t="s">
        <v>7217</v>
      </c>
      <c r="D3389" s="125"/>
      <c r="E3389" s="126">
        <v>6.56</v>
      </c>
      <c r="F3389" s="127"/>
      <c r="G3389" s="127"/>
      <c r="H3389" s="127"/>
      <c r="I3389" s="128"/>
      <c r="K3389" s="105" t="str">
        <f>IFERROR(__xludf.DUMMYFUNCTION("if(A3389="""","""",substitute(SUBSTITUTE(index(importhtml(""http://finviz.com/quote.ashx?t=""&amp;A3389,""table"",10),7,2),""*"",""""),""-"",""0.00""))"),"Loading...")</f>
        <v>Loading...</v>
      </c>
      <c r="L3389" s="129">
        <v>2.97896036872E11</v>
      </c>
      <c r="M3389" s="99">
        <v>0.78</v>
      </c>
    </row>
    <row r="3390">
      <c r="A3390" s="122" t="s">
        <v>7218</v>
      </c>
      <c r="B3390" s="123">
        <v>830487.0</v>
      </c>
      <c r="C3390" s="124" t="s">
        <v>7219</v>
      </c>
      <c r="D3390" s="125"/>
      <c r="E3390" s="126">
        <v>6.57</v>
      </c>
      <c r="F3390" s="127"/>
      <c r="G3390" s="127"/>
      <c r="H3390" s="127"/>
      <c r="I3390" s="128"/>
      <c r="K3390" s="105" t="str">
        <f>IFERROR(__xludf.DUMMYFUNCTION("if(A3390="""","""",substitute(SUBSTITUTE(index(importhtml(""http://finviz.com/quote.ashx?t=""&amp;A3390,""table"",10),7,2),""*"",""""),""-"",""0.00""))"),"Loading...")</f>
        <v>Loading...</v>
      </c>
      <c r="L3390" s="129">
        <v>1.42248453E8</v>
      </c>
      <c r="M3390" s="99">
        <v>0.4</v>
      </c>
    </row>
    <row r="3391">
      <c r="A3391" s="122" t="s">
        <v>7220</v>
      </c>
      <c r="B3391" s="123">
        <v>1114925.0</v>
      </c>
      <c r="C3391" s="124" t="s">
        <v>7221</v>
      </c>
      <c r="D3391" s="125"/>
      <c r="E3391" s="126">
        <v>6.57</v>
      </c>
      <c r="F3391" s="127"/>
      <c r="G3391" s="127"/>
      <c r="H3391" s="127"/>
      <c r="I3391" s="128"/>
      <c r="K3391" s="105" t="str">
        <f>IFERROR(__xludf.DUMMYFUNCTION("if(A3391="""","""",substitute(SUBSTITUTE(index(importhtml(""http://finviz.com/quote.ashx?t=""&amp;A3391,""table"",10),7,2),""*"",""""),""-"",""0.00""))"),"Loading...")</f>
        <v>Loading...</v>
      </c>
      <c r="L3391" s="129">
        <v>2.44833158E8</v>
      </c>
      <c r="M3391" s="99">
        <v>2.25</v>
      </c>
    </row>
    <row r="3392">
      <c r="A3392" s="122" t="s">
        <v>7222</v>
      </c>
      <c r="B3392" s="123">
        <v>1562051.0</v>
      </c>
      <c r="C3392" s="124" t="s">
        <v>7223</v>
      </c>
      <c r="D3392" s="125"/>
      <c r="E3392" s="126">
        <v>6.57</v>
      </c>
      <c r="F3392" s="127"/>
      <c r="G3392" s="127"/>
      <c r="H3392" s="127"/>
      <c r="I3392" s="128"/>
      <c r="K3392" s="105" t="str">
        <f>IFERROR(__xludf.DUMMYFUNCTION("if(A3392="""","""",substitute(SUBSTITUTE(index(importhtml(""http://finviz.com/quote.ashx?t=""&amp;A3392,""table"",10),7,2),""*"",""""),""-"",""0.00""))"),"Loading...")</f>
        <v>Loading...</v>
      </c>
      <c r="L3392" s="129">
        <v>3.72249114E8</v>
      </c>
      <c r="M3392" s="99">
        <v>1.75</v>
      </c>
    </row>
    <row r="3393">
      <c r="A3393" s="122" t="s">
        <v>7224</v>
      </c>
      <c r="B3393" s="123">
        <v>1703056.0</v>
      </c>
      <c r="C3393" s="124" t="s">
        <v>7225</v>
      </c>
      <c r="D3393" s="125"/>
      <c r="E3393" s="126">
        <v>6.58</v>
      </c>
      <c r="F3393" s="127"/>
      <c r="G3393" s="127"/>
      <c r="H3393" s="127"/>
      <c r="I3393" s="128"/>
      <c r="K3393" s="55" t="s">
        <v>5112</v>
      </c>
      <c r="L3393" s="129">
        <v>6.065584083E9</v>
      </c>
      <c r="M3393" s="99">
        <v>1.58</v>
      </c>
    </row>
    <row r="3394">
      <c r="A3394" s="122" t="s">
        <v>7226</v>
      </c>
      <c r="B3394" s="123">
        <v>1290900.0</v>
      </c>
      <c r="C3394" s="124" t="s">
        <v>7227</v>
      </c>
      <c r="D3394" s="125"/>
      <c r="E3394" s="126">
        <v>6.58</v>
      </c>
      <c r="F3394" s="127"/>
      <c r="G3394" s="127"/>
      <c r="H3394" s="127"/>
      <c r="I3394" s="128"/>
      <c r="K3394" s="105" t="str">
        <f>IFERROR(__xludf.DUMMYFUNCTION("if(A3394="""","""",substitute(SUBSTITUTE(index(importhtml(""http://finviz.com/quote.ashx?t=""&amp;A3394,""table"",10),7,2),""*"",""""),""-"",""0.00""))"),"Loading...")</f>
        <v>Loading...</v>
      </c>
      <c r="L3394" s="129">
        <v>2.21792452E8</v>
      </c>
      <c r="M3394" s="99">
        <v>2.76</v>
      </c>
    </row>
    <row r="3395">
      <c r="A3395" s="122" t="s">
        <v>7228</v>
      </c>
      <c r="B3395" s="123">
        <v>1932737.0</v>
      </c>
      <c r="C3395" s="124" t="s">
        <v>7229</v>
      </c>
      <c r="D3395" s="125"/>
      <c r="E3395" s="126">
        <v>6.58</v>
      </c>
      <c r="F3395" s="127"/>
      <c r="G3395" s="127"/>
      <c r="H3395" s="127"/>
      <c r="I3395" s="128"/>
      <c r="K3395" s="105" t="str">
        <f>IFERROR(__xludf.DUMMYFUNCTION("if(A3395="""","""",substitute(SUBSTITUTE(index(importhtml(""http://finviz.com/quote.ashx?t=""&amp;A3395,""table"",10),7,2),""*"",""""),""-"",""0.00""))"),"Loading...")</f>
        <v>Loading...</v>
      </c>
      <c r="L3395" s="129">
        <v>1.883107148E9</v>
      </c>
      <c r="M3395" s="99">
        <v>-0.03</v>
      </c>
    </row>
    <row r="3396">
      <c r="A3396" s="122" t="s">
        <v>7230</v>
      </c>
      <c r="B3396" s="123">
        <v>1846470.0</v>
      </c>
      <c r="C3396" s="124" t="s">
        <v>7231</v>
      </c>
      <c r="D3396" s="125"/>
      <c r="E3396" s="126">
        <v>6.58</v>
      </c>
      <c r="F3396" s="127"/>
      <c r="G3396" s="127"/>
      <c r="H3396" s="127"/>
      <c r="I3396" s="128"/>
      <c r="K3396" s="105" t="str">
        <f>IFERROR(__xludf.DUMMYFUNCTION("if(A3396="""","""",substitute(SUBSTITUTE(index(importhtml(""http://finviz.com/quote.ashx?t=""&amp;A3396,""table"",10),7,2),""*"",""""),""-"",""0.00""))"),"Loading...")</f>
        <v>Loading...</v>
      </c>
      <c r="L3396" s="129">
        <v>2.612981E9</v>
      </c>
      <c r="M3396" s="99" t="str">
        <f>IFERROR(__xludf.DUMMYFUNCTION("GOOGLEFINANCE(A3396,""beta"")"),"#N/A")</f>
        <v>#N/A</v>
      </c>
    </row>
    <row r="3397">
      <c r="A3397" s="122" t="s">
        <v>7232</v>
      </c>
      <c r="B3397" s="123">
        <v>1826600.0</v>
      </c>
      <c r="C3397" s="124" t="s">
        <v>7233</v>
      </c>
      <c r="D3397" s="125"/>
      <c r="E3397" s="126">
        <v>6.6</v>
      </c>
      <c r="F3397" s="127"/>
      <c r="G3397" s="127"/>
      <c r="H3397" s="127"/>
      <c r="I3397" s="128"/>
      <c r="K3397" s="105" t="str">
        <f>IFERROR(__xludf.DUMMYFUNCTION("if(A3397="""","""",substitute(SUBSTITUTE(index(importhtml(""http://finviz.com/quote.ashx?t=""&amp;A3397,""table"",10),7,2),""*"",""""),""-"",""0.00""))"),"Loading...")</f>
        <v>Loading...</v>
      </c>
      <c r="L3397" s="129">
        <v>9.48167206E8</v>
      </c>
      <c r="M3397" s="99">
        <v>-0.35</v>
      </c>
    </row>
    <row r="3398">
      <c r="A3398" s="122" t="s">
        <v>7234</v>
      </c>
      <c r="B3398" s="123">
        <v>799195.0</v>
      </c>
      <c r="C3398" s="124" t="s">
        <v>7235</v>
      </c>
      <c r="D3398" s="125"/>
      <c r="E3398" s="126">
        <v>6.6</v>
      </c>
      <c r="F3398" s="127"/>
      <c r="G3398" s="127"/>
      <c r="H3398" s="127"/>
      <c r="I3398" s="128"/>
      <c r="K3398" s="105" t="str">
        <f>IFERROR(__xludf.DUMMYFUNCTION("if(A3398="""","""",substitute(SUBSTITUTE(index(importhtml(""http://finviz.com/quote.ashx?t=""&amp;A3398,""table"",10),7,2),""*"",""""),""-"",""0.00""))"),"Loading...")</f>
        <v>Loading...</v>
      </c>
      <c r="L3398" s="129">
        <v>1.787654194E9</v>
      </c>
      <c r="M3398" s="99">
        <v>1.24</v>
      </c>
    </row>
    <row r="3399">
      <c r="A3399" s="122" t="s">
        <v>7236</v>
      </c>
      <c r="B3399" s="123">
        <v>1497645.0</v>
      </c>
      <c r="C3399" s="124" t="s">
        <v>7237</v>
      </c>
      <c r="D3399" s="125"/>
      <c r="E3399" s="126">
        <v>6.61</v>
      </c>
      <c r="F3399" s="127"/>
      <c r="G3399" s="127"/>
      <c r="H3399" s="127"/>
      <c r="I3399" s="128"/>
      <c r="K3399" s="105" t="str">
        <f>IFERROR(__xludf.DUMMYFUNCTION("if(A3399="""","""",substitute(SUBSTITUTE(index(importhtml(""http://finviz.com/quote.ashx?t=""&amp;A3399,""table"",10),7,2),""*"",""""),""-"",""0.00""))"),"Loading...")</f>
        <v>Loading...</v>
      </c>
      <c r="L3399" s="129">
        <v>7.11095221E8</v>
      </c>
      <c r="M3399" s="99">
        <v>1.94</v>
      </c>
    </row>
    <row r="3400">
      <c r="A3400" s="122" t="s">
        <v>7238</v>
      </c>
      <c r="B3400" s="123">
        <v>1070732.0</v>
      </c>
      <c r="C3400" s="124" t="s">
        <v>7239</v>
      </c>
      <c r="D3400" s="125"/>
      <c r="E3400" s="126">
        <v>6.62</v>
      </c>
      <c r="F3400" s="127"/>
      <c r="G3400" s="127"/>
      <c r="H3400" s="127"/>
      <c r="I3400" s="128"/>
      <c r="K3400" s="55" t="s">
        <v>7240</v>
      </c>
      <c r="L3400" s="129">
        <v>1.16107184E8</v>
      </c>
      <c r="M3400" s="99">
        <v>0.6</v>
      </c>
    </row>
    <row r="3401">
      <c r="A3401" s="122" t="s">
        <v>7241</v>
      </c>
      <c r="B3401" s="123">
        <v>1438569.0</v>
      </c>
      <c r="C3401" s="124" t="s">
        <v>7242</v>
      </c>
      <c r="D3401" s="125"/>
      <c r="E3401" s="126">
        <v>6.63</v>
      </c>
      <c r="F3401" s="127"/>
      <c r="G3401" s="127"/>
      <c r="H3401" s="127"/>
      <c r="I3401" s="128"/>
      <c r="K3401" s="105" t="str">
        <f>IFERROR(__xludf.DUMMYFUNCTION("if(A3401="""","""",substitute(SUBSTITUTE(index(importhtml(""http://finviz.com/quote.ashx?t=""&amp;A3401,""table"",10),7,2),""*"",""""),""-"",""0.00""))"),"Loading...")</f>
        <v>Loading...</v>
      </c>
      <c r="L3401" s="129">
        <v>6.81821185E9</v>
      </c>
      <c r="M3401" s="99">
        <v>0.58</v>
      </c>
    </row>
    <row r="3402">
      <c r="A3402" s="122" t="s">
        <v>7243</v>
      </c>
      <c r="B3402" s="123">
        <v>1096200.0</v>
      </c>
      <c r="C3402" s="124" t="s">
        <v>7244</v>
      </c>
      <c r="D3402" s="125"/>
      <c r="E3402" s="126">
        <v>6.63</v>
      </c>
      <c r="F3402" s="127"/>
      <c r="G3402" s="127"/>
      <c r="H3402" s="127"/>
      <c r="I3402" s="128"/>
      <c r="K3402" s="105" t="str">
        <f>IFERROR(__xludf.DUMMYFUNCTION("if(A3402="""","""",substitute(SUBSTITUTE(index(importhtml(""http://finviz.com/quote.ashx?t=""&amp;A3402,""table"",10),7,2),""*"",""""),""-"",""0.00""))"),"Loading...")</f>
        <v>Loading...</v>
      </c>
      <c r="L3402" s="129">
        <v>6.286146937E10</v>
      </c>
      <c r="M3402" s="99">
        <v>1.0</v>
      </c>
    </row>
    <row r="3403">
      <c r="A3403" s="122" t="s">
        <v>7245</v>
      </c>
      <c r="B3403" s="123">
        <v>1294133.0</v>
      </c>
      <c r="C3403" s="124" t="s">
        <v>7246</v>
      </c>
      <c r="D3403" s="125"/>
      <c r="E3403" s="126">
        <v>6.66</v>
      </c>
      <c r="F3403" s="127"/>
      <c r="G3403" s="127"/>
      <c r="H3403" s="127"/>
      <c r="I3403" s="128"/>
      <c r="K3403" s="105" t="str">
        <f>IFERROR(__xludf.DUMMYFUNCTION("if(A3403="""","""",substitute(SUBSTITUTE(index(importhtml(""http://finviz.com/quote.ashx?t=""&amp;A3403,""table"",10),7,2),""*"",""""),""-"",""0.00""))"),"Loading...")</f>
        <v>Loading...</v>
      </c>
      <c r="L3403" s="129">
        <v>1.55230011E8</v>
      </c>
      <c r="M3403" s="99">
        <v>1.01</v>
      </c>
    </row>
    <row r="3404">
      <c r="A3404" s="122" t="s">
        <v>7247</v>
      </c>
      <c r="B3404" s="123">
        <v>1096200.0</v>
      </c>
      <c r="C3404" s="124" t="s">
        <v>7248</v>
      </c>
      <c r="D3404" s="125"/>
      <c r="E3404" s="126">
        <v>6.66</v>
      </c>
      <c r="F3404" s="127"/>
      <c r="G3404" s="127"/>
      <c r="H3404" s="127"/>
      <c r="I3404" s="128"/>
      <c r="K3404" s="105" t="str">
        <f>IFERROR(__xludf.DUMMYFUNCTION("if(A3404="""","""",substitute(SUBSTITUTE(index(importhtml(""http://finviz.com/quote.ashx?t=""&amp;A3404,""table"",10),7,2),""*"",""""),""-"",""0.00""))"),"Loading...")</f>
        <v>Loading...</v>
      </c>
      <c r="L3404" s="129">
        <v>6.286146937E10</v>
      </c>
      <c r="M3404" s="99">
        <v>1.0</v>
      </c>
    </row>
    <row r="3405">
      <c r="A3405" s="122" t="s">
        <v>7249</v>
      </c>
      <c r="B3405" s="123">
        <v>1210123.0</v>
      </c>
      <c r="C3405" s="124" t="s">
        <v>7250</v>
      </c>
      <c r="D3405" s="125"/>
      <c r="E3405" s="126">
        <v>6.68</v>
      </c>
      <c r="F3405" s="127"/>
      <c r="G3405" s="127"/>
      <c r="H3405" s="127"/>
      <c r="I3405" s="128"/>
      <c r="K3405" s="55" t="s">
        <v>7251</v>
      </c>
      <c r="L3405" s="129">
        <v>3.98557847E8</v>
      </c>
      <c r="M3405" s="99">
        <v>0.88</v>
      </c>
    </row>
    <row r="3406">
      <c r="A3406" s="122" t="s">
        <v>7252</v>
      </c>
      <c r="B3406" s="123">
        <v>746838.0</v>
      </c>
      <c r="C3406" s="124" t="s">
        <v>7253</v>
      </c>
      <c r="D3406" s="125"/>
      <c r="E3406" s="126">
        <v>6.68</v>
      </c>
      <c r="F3406" s="127"/>
      <c r="G3406" s="127"/>
      <c r="H3406" s="127"/>
      <c r="I3406" s="128"/>
      <c r="K3406" s="105" t="str">
        <f>IFERROR(__xludf.DUMMYFUNCTION("if(A3406="""","""",substitute(SUBSTITUTE(index(importhtml(""http://finviz.com/quote.ashx?t=""&amp;A3406,""table"",10),7,2),""*"",""""),""-"",""0.00""))"),"Loading...")</f>
        <v>Loading...</v>
      </c>
      <c r="L3406" s="129">
        <v>4.56188985E8</v>
      </c>
      <c r="M3406" s="99">
        <v>1.05</v>
      </c>
    </row>
    <row r="3407">
      <c r="A3407" s="122" t="s">
        <v>7254</v>
      </c>
      <c r="B3407" s="123">
        <v>1042776.0</v>
      </c>
      <c r="C3407" s="124" t="s">
        <v>7255</v>
      </c>
      <c r="D3407" s="125"/>
      <c r="E3407" s="126">
        <v>6.69</v>
      </c>
      <c r="F3407" s="127"/>
      <c r="G3407" s="127"/>
      <c r="H3407" s="127"/>
      <c r="I3407" s="128"/>
      <c r="K3407" s="105" t="str">
        <f>IFERROR(__xludf.DUMMYFUNCTION("if(A3407="""","""",substitute(SUBSTITUTE(index(importhtml(""http://finviz.com/quote.ashx?t=""&amp;A3407,""table"",10),7,2),""*"",""""),""-"",""0.00""))"),"Loading...")</f>
        <v>Loading...</v>
      </c>
      <c r="L3407" s="129">
        <v>8.27642653E8</v>
      </c>
      <c r="M3407" s="99">
        <v>1.16</v>
      </c>
    </row>
    <row r="3408">
      <c r="A3408" s="122" t="s">
        <v>7256</v>
      </c>
      <c r="B3408" s="123">
        <v>930236.0</v>
      </c>
      <c r="C3408" s="124" t="s">
        <v>7257</v>
      </c>
      <c r="D3408" s="125"/>
      <c r="E3408" s="126">
        <v>6.69</v>
      </c>
      <c r="F3408" s="127"/>
      <c r="G3408" s="127"/>
      <c r="H3408" s="127"/>
      <c r="I3408" s="128"/>
      <c r="K3408" s="105" t="str">
        <f>IFERROR(__xludf.DUMMYFUNCTION("if(A3408="""","""",substitute(SUBSTITUTE(index(importhtml(""http://finviz.com/quote.ashx?t=""&amp;A3408,""table"",10),7,2),""*"",""""),""-"",""0.00""))"),"Loading...")</f>
        <v>Loading...</v>
      </c>
      <c r="L3408" s="129">
        <v>8.79735007E8</v>
      </c>
      <c r="M3408" s="99">
        <v>1.42</v>
      </c>
    </row>
    <row r="3409">
      <c r="A3409" s="122" t="s">
        <v>7258</v>
      </c>
      <c r="B3409" s="123">
        <v>926282.0</v>
      </c>
      <c r="C3409" s="124" t="s">
        <v>7259</v>
      </c>
      <c r="D3409" s="125"/>
      <c r="E3409" s="126">
        <v>6.7</v>
      </c>
      <c r="F3409" s="127"/>
      <c r="G3409" s="127"/>
      <c r="H3409" s="127"/>
      <c r="I3409" s="128"/>
      <c r="K3409" s="105" t="str">
        <f>IFERROR(__xludf.DUMMYFUNCTION("if(A3409="""","""",substitute(SUBSTITUTE(index(importhtml(""http://finviz.com/quote.ashx?t=""&amp;A3409,""table"",10),7,2),""*"",""""),""-"",""0.00""))"),"Loading...")</f>
        <v>Loading...</v>
      </c>
      <c r="L3409" s="129">
        <v>5.27283284E8</v>
      </c>
      <c r="M3409" s="99">
        <v>1.17</v>
      </c>
    </row>
    <row r="3410">
      <c r="A3410" s="122" t="s">
        <v>7260</v>
      </c>
      <c r="B3410" s="123">
        <v>1709682.0</v>
      </c>
      <c r="C3410" s="124" t="s">
        <v>7261</v>
      </c>
      <c r="D3410" s="125"/>
      <c r="E3410" s="126">
        <v>6.7</v>
      </c>
      <c r="F3410" s="127"/>
      <c r="G3410" s="127"/>
      <c r="H3410" s="127"/>
      <c r="I3410" s="128"/>
      <c r="K3410" s="105" t="str">
        <f>IFERROR(__xludf.DUMMYFUNCTION("if(A3410="""","""",substitute(SUBSTITUTE(index(importhtml(""http://finviz.com/quote.ashx?t=""&amp;A3410,""table"",10),7,2),""*"",""""),""-"",""0.00""))"),"Loading...")</f>
        <v>Loading...</v>
      </c>
      <c r="L3410" s="129">
        <v>1.627298633E9</v>
      </c>
      <c r="M3410" s="99">
        <v>0.68</v>
      </c>
    </row>
    <row r="3411">
      <c r="A3411" s="122" t="s">
        <v>7262</v>
      </c>
      <c r="B3411" s="123">
        <v>1467761.0</v>
      </c>
      <c r="C3411" s="124" t="s">
        <v>7263</v>
      </c>
      <c r="D3411" s="125"/>
      <c r="E3411" s="126">
        <v>6.71</v>
      </c>
      <c r="F3411" s="127"/>
      <c r="G3411" s="127"/>
      <c r="H3411" s="127"/>
      <c r="I3411" s="128"/>
      <c r="K3411" s="105" t="str">
        <f>IFERROR(__xludf.DUMMYFUNCTION("if(A3411="""","""",substitute(SUBSTITUTE(index(importhtml(""http://finviz.com/quote.ashx?t=""&amp;A3411,""table"",10),7,2),""*"",""""),""-"",""0.00""))"),"Loading...")</f>
        <v>Loading...</v>
      </c>
      <c r="L3411" s="129">
        <v>1.7666148E7</v>
      </c>
      <c r="M3411" s="99">
        <v>2.77</v>
      </c>
    </row>
    <row r="3412">
      <c r="A3412" s="122" t="s">
        <v>7264</v>
      </c>
      <c r="B3412" s="123">
        <v>1619856.0</v>
      </c>
      <c r="C3412" s="124" t="s">
        <v>7265</v>
      </c>
      <c r="D3412" s="125"/>
      <c r="E3412" s="126">
        <v>6.73</v>
      </c>
      <c r="F3412" s="127"/>
      <c r="G3412" s="127"/>
      <c r="H3412" s="127"/>
      <c r="I3412" s="128"/>
      <c r="K3412" s="105" t="str">
        <f>IFERROR(__xludf.DUMMYFUNCTION("if(A3412="""","""",substitute(SUBSTITUTE(index(importhtml(""http://finviz.com/quote.ashx?t=""&amp;A3412,""table"",10),7,2),""*"",""""),""-"",""0.00""))"),"Loading...")</f>
        <v>Loading...</v>
      </c>
      <c r="L3412" s="129">
        <v>5.95141506E8</v>
      </c>
      <c r="M3412" s="99">
        <f>IFERROR(__xludf.DUMMYFUNCTION("GOOGLEFINANCE(A3412,""beta"")"),2.59)</f>
        <v>2.59</v>
      </c>
    </row>
    <row r="3413">
      <c r="A3413" s="122" t="s">
        <v>7266</v>
      </c>
      <c r="B3413" s="123">
        <v>1442236.0</v>
      </c>
      <c r="C3413" s="124" t="s">
        <v>7267</v>
      </c>
      <c r="D3413" s="125"/>
      <c r="E3413" s="126">
        <v>6.74</v>
      </c>
      <c r="F3413" s="127"/>
      <c r="G3413" s="127"/>
      <c r="H3413" s="127"/>
      <c r="I3413" s="128"/>
      <c r="K3413" s="105" t="str">
        <f>IFERROR(__xludf.DUMMYFUNCTION("if(A3413="""","""",substitute(SUBSTITUTE(index(importhtml(""http://finviz.com/quote.ashx?t=""&amp;A3413,""table"",10),7,2),""*"",""""),""-"",""0.00""))"),"Loading...")</f>
        <v>Loading...</v>
      </c>
      <c r="L3413" s="129">
        <v>1.35203991E8</v>
      </c>
      <c r="M3413" s="99">
        <v>0.66</v>
      </c>
    </row>
    <row r="3414">
      <c r="A3414" s="122" t="s">
        <v>7268</v>
      </c>
      <c r="B3414" s="123">
        <v>1299130.0</v>
      </c>
      <c r="C3414" s="124" t="s">
        <v>7269</v>
      </c>
      <c r="D3414" s="125"/>
      <c r="E3414" s="126">
        <v>6.75</v>
      </c>
      <c r="F3414" s="127"/>
      <c r="G3414" s="127"/>
      <c r="H3414" s="127"/>
      <c r="I3414" s="128"/>
      <c r="K3414" s="105" t="str">
        <f>IFERROR(__xludf.DUMMYFUNCTION("if(A3414="""","""",substitute(SUBSTITUTE(index(importhtml(""http://finviz.com/quote.ashx?t=""&amp;A3414,""table"",10),7,2),""*"",""""),""-"",""0.00""))"),"Loading...")</f>
        <v>Loading...</v>
      </c>
      <c r="L3414" s="129">
        <v>1.805246325E9</v>
      </c>
      <c r="M3414" s="99">
        <v>1.93</v>
      </c>
    </row>
    <row r="3415">
      <c r="A3415" s="122" t="s">
        <v>7270</v>
      </c>
      <c r="B3415" s="123">
        <v>1503290.0</v>
      </c>
      <c r="C3415" s="124" t="s">
        <v>7271</v>
      </c>
      <c r="D3415" s="125"/>
      <c r="E3415" s="126">
        <v>6.76</v>
      </c>
      <c r="F3415" s="127"/>
      <c r="G3415" s="127"/>
      <c r="H3415" s="127"/>
      <c r="I3415" s="128"/>
      <c r="K3415" s="55" t="s">
        <v>7272</v>
      </c>
      <c r="L3415" s="129">
        <v>3.52263273E8</v>
      </c>
      <c r="M3415" s="99">
        <v>1.03</v>
      </c>
    </row>
    <row r="3416">
      <c r="A3416" s="122" t="s">
        <v>7273</v>
      </c>
      <c r="B3416" s="123">
        <v>1356115.0</v>
      </c>
      <c r="C3416" s="124" t="s">
        <v>7274</v>
      </c>
      <c r="D3416" s="125"/>
      <c r="E3416" s="126">
        <v>6.78</v>
      </c>
      <c r="F3416" s="127"/>
      <c r="G3416" s="127"/>
      <c r="H3416" s="127"/>
      <c r="I3416" s="128"/>
      <c r="K3416" s="105" t="str">
        <f>IFERROR(__xludf.DUMMYFUNCTION("if(A3416="""","""",substitute(SUBSTITUTE(index(importhtml(""http://finviz.com/quote.ashx?t=""&amp;A3416,""table"",10),7,2),""*"",""""),""-"",""0.00""))"),"Loading...")</f>
        <v>Loading...</v>
      </c>
      <c r="L3416" s="129">
        <v>2.646961E8</v>
      </c>
      <c r="M3416" s="99">
        <v>1.19</v>
      </c>
    </row>
    <row r="3417">
      <c r="A3417" s="122" t="s">
        <v>7275</v>
      </c>
      <c r="B3417" s="123">
        <v>1481045.0</v>
      </c>
      <c r="C3417" s="124" t="s">
        <v>7276</v>
      </c>
      <c r="D3417" s="125"/>
      <c r="E3417" s="126">
        <v>6.79</v>
      </c>
      <c r="F3417" s="127"/>
      <c r="G3417" s="127"/>
      <c r="H3417" s="127"/>
      <c r="I3417" s="128"/>
      <c r="K3417" s="105" t="str">
        <f>IFERROR(__xludf.DUMMYFUNCTION("if(A3417="""","""",substitute(SUBSTITUTE(index(importhtml(""http://finviz.com/quote.ashx?t=""&amp;A3417,""table"",10),7,2),""*"",""""),""-"",""0.00""))"),"Loading...")</f>
        <v>Loading...</v>
      </c>
      <c r="L3417" s="129">
        <v>1.0695799124E10</v>
      </c>
      <c r="M3417" s="99">
        <v>0.72</v>
      </c>
    </row>
    <row r="3418">
      <c r="A3418" s="122" t="s">
        <v>7277</v>
      </c>
      <c r="B3418" s="123">
        <v>1455967.0</v>
      </c>
      <c r="C3418" s="124" t="s">
        <v>7278</v>
      </c>
      <c r="D3418" s="125"/>
      <c r="E3418" s="126">
        <v>6.8</v>
      </c>
      <c r="F3418" s="127"/>
      <c r="G3418" s="127"/>
      <c r="H3418" s="127"/>
      <c r="I3418" s="128"/>
      <c r="K3418" s="105" t="str">
        <f>IFERROR(__xludf.DUMMYFUNCTION("if(A3418="""","""",substitute(SUBSTITUTE(index(importhtml(""http://finviz.com/quote.ashx?t=""&amp;A3418,""table"",10),7,2),""*"",""""),""-"",""0.00""))"),"Loading...")</f>
        <v>Loading...</v>
      </c>
      <c r="L3418" s="129">
        <v>2.1557490375E14</v>
      </c>
      <c r="M3418" s="99">
        <v>0.66</v>
      </c>
    </row>
    <row r="3419">
      <c r="A3419" s="122" t="s">
        <v>7279</v>
      </c>
      <c r="B3419" s="123">
        <v>318833.0</v>
      </c>
      <c r="C3419" s="124" t="s">
        <v>7280</v>
      </c>
      <c r="D3419" s="125"/>
      <c r="E3419" s="126">
        <v>6.81</v>
      </c>
      <c r="F3419" s="127"/>
      <c r="G3419" s="127"/>
      <c r="H3419" s="127"/>
      <c r="I3419" s="128"/>
      <c r="K3419" s="105" t="str">
        <f>IFERROR(__xludf.DUMMYFUNCTION("if(A3419="""","""",substitute(SUBSTITUTE(index(importhtml(""http://finviz.com/quote.ashx?t=""&amp;A3419,""table"",10),7,2),""*"",""""),""-"",""0.00""))"),"Loading...")</f>
        <v>Loading...</v>
      </c>
      <c r="L3419" s="129">
        <v>2.9727999E7</v>
      </c>
      <c r="M3419" s="99">
        <v>1.85</v>
      </c>
    </row>
    <row r="3420">
      <c r="A3420" s="122" t="s">
        <v>7281</v>
      </c>
      <c r="B3420" s="123">
        <v>1589420.0</v>
      </c>
      <c r="C3420" s="124" t="s">
        <v>7282</v>
      </c>
      <c r="D3420" s="125"/>
      <c r="E3420" s="126">
        <v>6.82</v>
      </c>
      <c r="F3420" s="127"/>
      <c r="G3420" s="127"/>
      <c r="H3420" s="127"/>
      <c r="I3420" s="128"/>
      <c r="K3420" s="55" t="s">
        <v>7163</v>
      </c>
      <c r="L3420" s="129">
        <v>1.59913045E8</v>
      </c>
      <c r="M3420" s="99">
        <v>1.31</v>
      </c>
    </row>
    <row r="3421">
      <c r="A3421" s="122" t="s">
        <v>7283</v>
      </c>
      <c r="B3421" s="123">
        <v>1840199.0</v>
      </c>
      <c r="C3421" s="124" t="s">
        <v>7284</v>
      </c>
      <c r="D3421" s="125"/>
      <c r="E3421" s="126">
        <v>6.82</v>
      </c>
      <c r="F3421" s="127"/>
      <c r="G3421" s="127"/>
      <c r="H3421" s="127"/>
      <c r="I3421" s="128"/>
      <c r="K3421" s="105" t="str">
        <f>IFERROR(__xludf.DUMMYFUNCTION("if(A3421="""","""",substitute(SUBSTITUTE(index(importhtml(""http://finviz.com/quote.ashx?t=""&amp;A3421,""table"",10),7,2),""*"",""""),""-"",""0.00""))"),"Loading...")</f>
        <v>Loading...</v>
      </c>
      <c r="L3421" s="129">
        <v>8.32561068E8</v>
      </c>
      <c r="M3421" s="99">
        <f>IFERROR(__xludf.DUMMYFUNCTION("GOOGLEFINANCE(A3421,""beta"")"),-0.4)</f>
        <v>-0.4</v>
      </c>
    </row>
    <row r="3422">
      <c r="A3422" s="122" t="s">
        <v>7285</v>
      </c>
      <c r="B3422" s="123">
        <v>1596961.0</v>
      </c>
      <c r="C3422" s="124" t="s">
        <v>7286</v>
      </c>
      <c r="D3422" s="125"/>
      <c r="E3422" s="126">
        <v>6.83</v>
      </c>
      <c r="F3422" s="127"/>
      <c r="G3422" s="127"/>
      <c r="H3422" s="127"/>
      <c r="I3422" s="128"/>
      <c r="K3422" s="105" t="str">
        <f>IFERROR(__xludf.DUMMYFUNCTION("if(A3422="""","""",substitute(SUBSTITUTE(index(importhtml(""http://finviz.com/quote.ashx?t=""&amp;A3422,""table"",10),7,2),""*"",""""),""-"",""0.00""))"),"Loading...")</f>
        <v>Loading...</v>
      </c>
      <c r="L3422" s="129">
        <v>1.15149017E8</v>
      </c>
      <c r="M3422" s="99">
        <v>2.02</v>
      </c>
    </row>
    <row r="3423">
      <c r="A3423" s="122" t="s">
        <v>7287</v>
      </c>
      <c r="B3423" s="123">
        <v>896429.0</v>
      </c>
      <c r="C3423" s="124" t="s">
        <v>7288</v>
      </c>
      <c r="D3423" s="125"/>
      <c r="E3423" s="126">
        <v>6.83</v>
      </c>
      <c r="F3423" s="127"/>
      <c r="G3423" s="127"/>
      <c r="H3423" s="127"/>
      <c r="I3423" s="128"/>
      <c r="K3423" s="105" t="str">
        <f>IFERROR(__xludf.DUMMYFUNCTION("if(A3423="""","""",substitute(SUBSTITUTE(index(importhtml(""http://finviz.com/quote.ashx?t=""&amp;A3423,""table"",10),7,2),""*"",""""),""-"",""0.00""))"),"Loading...")</f>
        <v>Loading...</v>
      </c>
      <c r="L3423" s="129">
        <v>4.96727863E8</v>
      </c>
      <c r="M3423" s="99">
        <v>1.54</v>
      </c>
    </row>
    <row r="3424">
      <c r="A3424" s="122" t="s">
        <v>7289</v>
      </c>
      <c r="B3424" s="123">
        <v>1848416.0</v>
      </c>
      <c r="C3424" s="124" t="s">
        <v>7290</v>
      </c>
      <c r="D3424" s="125"/>
      <c r="E3424" s="126">
        <v>6.83</v>
      </c>
      <c r="F3424" s="127"/>
      <c r="G3424" s="127"/>
      <c r="H3424" s="127"/>
      <c r="I3424" s="128"/>
      <c r="K3424" s="105" t="str">
        <f>IFERROR(__xludf.DUMMYFUNCTION("if(A3424="""","""",substitute(SUBSTITUTE(index(importhtml(""http://finviz.com/quote.ashx?t=""&amp;A3424,""table"",10),7,2),""*"",""""),""-"",""0.00""))"),"Loading...")</f>
        <v>Loading...</v>
      </c>
      <c r="L3424" s="129" t="e">
        <v>#N/A</v>
      </c>
      <c r="M3424" s="99" t="str">
        <f>IFERROR(__xludf.DUMMYFUNCTION("GOOGLEFINANCE(A3424,""beta"")"),"#N/A")</f>
        <v>#N/A</v>
      </c>
    </row>
    <row r="3425">
      <c r="A3425" s="122" t="s">
        <v>7291</v>
      </c>
      <c r="B3425" s="123">
        <v>1611842.0</v>
      </c>
      <c r="C3425" s="124" t="s">
        <v>7292</v>
      </c>
      <c r="D3425" s="125"/>
      <c r="E3425" s="126">
        <v>6.84</v>
      </c>
      <c r="F3425" s="127"/>
      <c r="G3425" s="127"/>
      <c r="H3425" s="127"/>
      <c r="I3425" s="128"/>
      <c r="K3425" s="105" t="str">
        <f>IFERROR(__xludf.DUMMYFUNCTION("if(A3425="""","""",substitute(SUBSTITUTE(index(importhtml(""http://finviz.com/quote.ashx?t=""&amp;A3425,""table"",10),7,2),""*"",""""),""-"",""0.00""))"),"Loading...")</f>
        <v>Loading...</v>
      </c>
      <c r="L3425" s="129">
        <v>1.33673304E8</v>
      </c>
      <c r="M3425" s="99" t="str">
        <f>IFERROR(__xludf.DUMMYFUNCTION("GOOGLEFINANCE(A3425,""beta"")"),"#N/A")</f>
        <v>#N/A</v>
      </c>
    </row>
    <row r="3426">
      <c r="A3426" s="122" t="s">
        <v>7293</v>
      </c>
      <c r="B3426" s="123">
        <v>1712184.0</v>
      </c>
      <c r="C3426" s="124" t="s">
        <v>7294</v>
      </c>
      <c r="D3426" s="125"/>
      <c r="E3426" s="126">
        <v>6.84</v>
      </c>
      <c r="F3426" s="127"/>
      <c r="G3426" s="127"/>
      <c r="H3426" s="127"/>
      <c r="I3426" s="128"/>
      <c r="K3426" s="105" t="str">
        <f>IFERROR(__xludf.DUMMYFUNCTION("if(A3426="""","""",substitute(SUBSTITUTE(index(importhtml(""http://finviz.com/quote.ashx?t=""&amp;A3426,""table"",10),7,2),""*"",""""),""-"",""0.00""))"),"Loading...")</f>
        <v>Loading...</v>
      </c>
      <c r="L3426" s="129">
        <v>1.432786459E9</v>
      </c>
      <c r="M3426" s="99">
        <v>1.21</v>
      </c>
    </row>
    <row r="3427">
      <c r="A3427" s="122" t="s">
        <v>7295</v>
      </c>
      <c r="B3427" s="123">
        <v>18255.0</v>
      </c>
      <c r="C3427" s="124" t="s">
        <v>7296</v>
      </c>
      <c r="D3427" s="125"/>
      <c r="E3427" s="126">
        <v>6.88</v>
      </c>
      <c r="F3427" s="127"/>
      <c r="G3427" s="127"/>
      <c r="H3427" s="127"/>
      <c r="I3427" s="128"/>
      <c r="K3427" s="105" t="str">
        <f>IFERROR(__xludf.DUMMYFUNCTION("if(A3427="""","""",substitute(SUBSTITUTE(index(importhtml(""http://finviz.com/quote.ashx?t=""&amp;A3427,""table"",10),7,2),""*"",""""),""-"",""0.00""))"),"Loading...")</f>
        <v>Loading...</v>
      </c>
      <c r="L3427" s="129">
        <v>1.41625834E8</v>
      </c>
      <c r="M3427" s="99">
        <v>1.08</v>
      </c>
    </row>
    <row r="3428">
      <c r="A3428" s="122" t="s">
        <v>7297</v>
      </c>
      <c r="B3428" s="123">
        <v>1567024.0</v>
      </c>
      <c r="C3428" s="124" t="s">
        <v>7298</v>
      </c>
      <c r="D3428" s="125"/>
      <c r="E3428" s="126">
        <v>6.88</v>
      </c>
      <c r="F3428" s="127"/>
      <c r="G3428" s="127"/>
      <c r="H3428" s="127"/>
      <c r="I3428" s="128"/>
      <c r="K3428" s="105" t="str">
        <f>IFERROR(__xludf.DUMMYFUNCTION("if(A3428="""","""",substitute(SUBSTITUTE(index(importhtml(""http://finviz.com/quote.ashx?t=""&amp;A3428,""table"",10),7,2),""*"",""""),""-"",""0.00""))"),"Loading...")</f>
        <v>Loading...</v>
      </c>
      <c r="L3428" s="129">
        <v>4.584075023E9</v>
      </c>
      <c r="M3428" s="99">
        <v>1.13</v>
      </c>
    </row>
    <row r="3429">
      <c r="A3429" s="122" t="s">
        <v>7299</v>
      </c>
      <c r="B3429" s="123">
        <v>1824403.0</v>
      </c>
      <c r="C3429" s="124" t="s">
        <v>7300</v>
      </c>
      <c r="D3429" s="125"/>
      <c r="E3429" s="126">
        <v>6.9</v>
      </c>
      <c r="F3429" s="127"/>
      <c r="G3429" s="127"/>
      <c r="H3429" s="127"/>
      <c r="I3429" s="128"/>
      <c r="K3429" s="105" t="str">
        <f>IFERROR(__xludf.DUMMYFUNCTION("if(A3429="""","""",substitute(SUBSTITUTE(index(importhtml(""http://finviz.com/quote.ashx?t=""&amp;A3429,""table"",10),7,2),""*"",""""),""-"",""0.00""))"),"Loading...")</f>
        <v>Loading...</v>
      </c>
      <c r="L3429" s="129">
        <v>4.47194733E8</v>
      </c>
      <c r="M3429" s="99">
        <v>1.05</v>
      </c>
    </row>
    <row r="3430">
      <c r="A3430" s="122" t="s">
        <v>7301</v>
      </c>
      <c r="B3430" s="123">
        <v>1383414.0</v>
      </c>
      <c r="C3430" s="124" t="s">
        <v>7302</v>
      </c>
      <c r="D3430" s="125"/>
      <c r="E3430" s="126">
        <v>6.91</v>
      </c>
      <c r="F3430" s="127"/>
      <c r="G3430" s="127"/>
      <c r="H3430" s="127"/>
      <c r="I3430" s="128"/>
      <c r="K3430" s="105" t="str">
        <f>IFERROR(__xludf.DUMMYFUNCTION("if(A3430="""","""",substitute(SUBSTITUTE(index(importhtml(""http://finviz.com/quote.ashx?t=""&amp;A3430,""table"",10),7,2),""*"",""""),""-"",""0.00""))"),"Loading...")</f>
        <v>Loading...</v>
      </c>
      <c r="L3430" s="129">
        <v>4.50701215E8</v>
      </c>
      <c r="M3430" s="99">
        <v>1.75</v>
      </c>
    </row>
    <row r="3431">
      <c r="A3431" s="122" t="s">
        <v>7303</v>
      </c>
      <c r="B3431" s="123">
        <v>1712184.0</v>
      </c>
      <c r="C3431" s="124" t="s">
        <v>7304</v>
      </c>
      <c r="D3431" s="125"/>
      <c r="E3431" s="126">
        <v>6.91</v>
      </c>
      <c r="F3431" s="127"/>
      <c r="G3431" s="127"/>
      <c r="H3431" s="127"/>
      <c r="I3431" s="128"/>
      <c r="K3431" s="105" t="str">
        <f>IFERROR(__xludf.DUMMYFUNCTION("if(A3431="""","""",substitute(SUBSTITUTE(index(importhtml(""http://finviz.com/quote.ashx?t=""&amp;A3431,""table"",10),7,2),""*"",""""),""-"",""0.00""))"),"Loading...")</f>
        <v>Loading...</v>
      </c>
      <c r="L3431" s="129">
        <v>1.432786459E9</v>
      </c>
      <c r="M3431" s="99">
        <v>1.2</v>
      </c>
    </row>
    <row r="3432">
      <c r="A3432" s="122" t="s">
        <v>7305</v>
      </c>
      <c r="B3432" s="123">
        <v>1783183.0</v>
      </c>
      <c r="C3432" s="124" t="s">
        <v>7306</v>
      </c>
      <c r="D3432" s="125"/>
      <c r="E3432" s="126">
        <v>6.92</v>
      </c>
      <c r="F3432" s="127"/>
      <c r="G3432" s="127"/>
      <c r="H3432" s="127"/>
      <c r="I3432" s="128"/>
      <c r="K3432" s="105" t="str">
        <f>IFERROR(__xludf.DUMMYFUNCTION("if(A3432="""","""",substitute(SUBSTITUTE(index(importhtml(""http://finviz.com/quote.ashx?t=""&amp;A3432,""table"",10),7,2),""*"",""""),""-"",""0.00""))"),"Loading...")</f>
        <v>Loading...</v>
      </c>
      <c r="L3432" s="129">
        <v>3.96187442E8</v>
      </c>
      <c r="M3432" s="99">
        <v>0.48</v>
      </c>
    </row>
    <row r="3433">
      <c r="A3433" s="122" t="s">
        <v>7307</v>
      </c>
      <c r="B3433" s="123">
        <v>1659494.0</v>
      </c>
      <c r="C3433" s="124" t="s">
        <v>7308</v>
      </c>
      <c r="D3433" s="125"/>
      <c r="E3433" s="126">
        <v>6.93</v>
      </c>
      <c r="F3433" s="127"/>
      <c r="G3433" s="127"/>
      <c r="H3433" s="127"/>
      <c r="I3433" s="128"/>
      <c r="K3433" s="55" t="s">
        <v>1034</v>
      </c>
      <c r="L3433" s="129">
        <v>3.9237139E7</v>
      </c>
      <c r="M3433" s="99">
        <v>-0.67</v>
      </c>
    </row>
    <row r="3434">
      <c r="A3434" s="122" t="s">
        <v>7309</v>
      </c>
      <c r="B3434" s="123">
        <v>1875547.0</v>
      </c>
      <c r="C3434" s="124" t="s">
        <v>7310</v>
      </c>
      <c r="D3434" s="125"/>
      <c r="E3434" s="126">
        <v>6.93</v>
      </c>
      <c r="F3434" s="127"/>
      <c r="G3434" s="127"/>
      <c r="H3434" s="127"/>
      <c r="I3434" s="128"/>
      <c r="K3434" s="105" t="str">
        <f>IFERROR(__xludf.DUMMYFUNCTION("if(A3434="""","""",substitute(SUBSTITUTE(index(importhtml(""http://finviz.com/quote.ashx?t=""&amp;A3434,""table"",10),7,2),""*"",""""),""-"",""0.00""))"),"Loading...")</f>
        <v>Loading...</v>
      </c>
      <c r="L3434" s="129">
        <v>8843420.0</v>
      </c>
      <c r="M3434" s="99">
        <f>IFERROR(__xludf.DUMMYFUNCTION("GOOGLEFINANCE(A3434,""beta"")"),1.91)</f>
        <v>1.91</v>
      </c>
    </row>
    <row r="3435">
      <c r="A3435" s="122" t="s">
        <v>7311</v>
      </c>
      <c r="B3435" s="123">
        <v>1058811.0</v>
      </c>
      <c r="C3435" s="124" t="s">
        <v>7312</v>
      </c>
      <c r="D3435" s="125"/>
      <c r="E3435" s="126">
        <v>6.93</v>
      </c>
      <c r="F3435" s="127"/>
      <c r="G3435" s="127"/>
      <c r="H3435" s="127"/>
      <c r="I3435" s="128"/>
      <c r="K3435" s="105" t="str">
        <f>IFERROR(__xludf.DUMMYFUNCTION("if(A3435="""","""",substitute(SUBSTITUTE(index(importhtml(""http://finviz.com/quote.ashx?t=""&amp;A3435,""table"",10),7,2),""*"",""""),""-"",""0.00""))"),"Loading...")</f>
        <v>Loading...</v>
      </c>
      <c r="L3435" s="129">
        <v>2.20651055E8</v>
      </c>
      <c r="M3435" s="99">
        <v>1.49</v>
      </c>
    </row>
    <row r="3436">
      <c r="A3436" s="122" t="s">
        <v>7313</v>
      </c>
      <c r="B3436" s="123">
        <v>1710680.0</v>
      </c>
      <c r="C3436" s="124" t="s">
        <v>7314</v>
      </c>
      <c r="D3436" s="125"/>
      <c r="E3436" s="126">
        <v>6.93</v>
      </c>
      <c r="F3436" s="127"/>
      <c r="G3436" s="127"/>
      <c r="H3436" s="127"/>
      <c r="I3436" s="128"/>
      <c r="K3436" s="105" t="str">
        <f>IFERROR(__xludf.DUMMYFUNCTION("if(A3436="""","""",substitute(SUBSTITUTE(index(importhtml(""http://finviz.com/quote.ashx?t=""&amp;A3436,""table"",10),7,2),""*"",""""),""-"",""0.00""))"),"Loading...")</f>
        <v>Loading...</v>
      </c>
      <c r="L3436" s="129">
        <v>4.72357589E8</v>
      </c>
      <c r="M3436" s="99">
        <v>0.79</v>
      </c>
    </row>
    <row r="3437">
      <c r="A3437" s="122" t="s">
        <v>7315</v>
      </c>
      <c r="B3437" s="123">
        <v>1811414.0</v>
      </c>
      <c r="C3437" s="124" t="s">
        <v>7316</v>
      </c>
      <c r="D3437" s="125"/>
      <c r="E3437" s="126">
        <v>6.94</v>
      </c>
      <c r="F3437" s="127"/>
      <c r="G3437" s="127"/>
      <c r="H3437" s="127"/>
      <c r="I3437" s="128"/>
      <c r="K3437" s="55" t="s">
        <v>1034</v>
      </c>
      <c r="L3437" s="129">
        <v>3.397554756E9</v>
      </c>
      <c r="M3437" s="99">
        <v>4.94</v>
      </c>
    </row>
    <row r="3438">
      <c r="A3438" s="122" t="s">
        <v>7317</v>
      </c>
      <c r="B3438" s="123">
        <v>1610853.0</v>
      </c>
      <c r="C3438" s="124" t="s">
        <v>7318</v>
      </c>
      <c r="D3438" s="125"/>
      <c r="E3438" s="126">
        <v>6.94</v>
      </c>
      <c r="F3438" s="127"/>
      <c r="G3438" s="127"/>
      <c r="H3438" s="127"/>
      <c r="I3438" s="128"/>
      <c r="K3438" s="105" t="str">
        <f>IFERROR(__xludf.DUMMYFUNCTION("if(A3438="""","""",substitute(SUBSTITUTE(index(importhtml(""http://finviz.com/quote.ashx?t=""&amp;A3438,""table"",10),7,2),""*"",""""),""-"",""0.00""))"),"Loading...")</f>
        <v>Loading...</v>
      </c>
      <c r="L3438" s="129">
        <v>4913540.0</v>
      </c>
      <c r="M3438" s="99">
        <v>1.48</v>
      </c>
    </row>
    <row r="3439">
      <c r="A3439" s="122" t="s">
        <v>7319</v>
      </c>
      <c r="B3439" s="123">
        <v>1561921.0</v>
      </c>
      <c r="C3439" s="124" t="s">
        <v>7320</v>
      </c>
      <c r="D3439" s="125"/>
      <c r="E3439" s="126">
        <v>6.94</v>
      </c>
      <c r="F3439" s="127"/>
      <c r="G3439" s="127"/>
      <c r="H3439" s="127"/>
      <c r="I3439" s="128"/>
      <c r="K3439" s="105" t="str">
        <f>IFERROR(__xludf.DUMMYFUNCTION("if(A3439="""","""",substitute(SUBSTITUTE(index(importhtml(""http://finviz.com/quote.ashx?t=""&amp;A3439,""table"",10),7,2),""*"",""""),""-"",""0.00""))"),"Loading...")</f>
        <v>Loading...</v>
      </c>
      <c r="L3439" s="129">
        <v>1.69952204E8</v>
      </c>
      <c r="M3439" s="99">
        <v>0.99</v>
      </c>
    </row>
    <row r="3440">
      <c r="A3440" s="122" t="s">
        <v>7321</v>
      </c>
      <c r="B3440" s="123">
        <v>1756701.0</v>
      </c>
      <c r="C3440" s="124" t="s">
        <v>7322</v>
      </c>
      <c r="D3440" s="125"/>
      <c r="E3440" s="126">
        <v>6.94</v>
      </c>
      <c r="F3440" s="127"/>
      <c r="G3440" s="127"/>
      <c r="H3440" s="127"/>
      <c r="I3440" s="128"/>
      <c r="K3440" s="105" t="str">
        <f>IFERROR(__xludf.DUMMYFUNCTION("if(A3440="""","""",substitute(SUBSTITUTE(index(importhtml(""http://finviz.com/quote.ashx?t=""&amp;A3440,""table"",10),7,2),""*"",""""),""-"",""0.00""))"),"Loading...")</f>
        <v>Loading...</v>
      </c>
      <c r="L3440" s="129">
        <v>2.5914439E8</v>
      </c>
      <c r="M3440" s="99">
        <v>0.39</v>
      </c>
    </row>
    <row r="3441">
      <c r="A3441" s="122" t="s">
        <v>7323</v>
      </c>
      <c r="B3441" s="123">
        <v>1479419.0</v>
      </c>
      <c r="C3441" s="124" t="s">
        <v>7324</v>
      </c>
      <c r="D3441" s="125"/>
      <c r="E3441" s="126">
        <v>6.96</v>
      </c>
      <c r="F3441" s="127"/>
      <c r="G3441" s="127"/>
      <c r="H3441" s="127"/>
      <c r="I3441" s="128"/>
      <c r="K3441" s="105" t="str">
        <f>IFERROR(__xludf.DUMMYFUNCTION("if(A3441="""","""",substitute(SUBSTITUTE(index(importhtml(""http://finviz.com/quote.ashx?t=""&amp;A3441,""table"",10),7,2),""*"",""""),""-"",""0.00""))"),"Loading...")</f>
        <v>Loading...</v>
      </c>
      <c r="L3441" s="129">
        <v>1.8744087E7</v>
      </c>
      <c r="M3441" s="99">
        <v>-1.81</v>
      </c>
    </row>
    <row r="3442">
      <c r="A3442" s="122" t="s">
        <v>7325</v>
      </c>
      <c r="B3442" s="123">
        <v>904112.0</v>
      </c>
      <c r="C3442" s="124" t="s">
        <v>7326</v>
      </c>
      <c r="D3442" s="125"/>
      <c r="E3442" s="126">
        <v>6.96</v>
      </c>
      <c r="F3442" s="127"/>
      <c r="G3442" s="127"/>
      <c r="H3442" s="127"/>
      <c r="I3442" s="128"/>
      <c r="K3442" s="105" t="str">
        <f>IFERROR(__xludf.DUMMYFUNCTION("if(A3442="""","""",substitute(SUBSTITUTE(index(importhtml(""http://finviz.com/quote.ashx?t=""&amp;A3442,""table"",10),7,2),""*"",""""),""-"",""0.00""))"),"Loading...")</f>
        <v>Loading...</v>
      </c>
      <c r="L3442" s="129">
        <v>1.40650255E8</v>
      </c>
      <c r="M3442" s="99">
        <v>0.74</v>
      </c>
    </row>
    <row r="3443">
      <c r="A3443" s="122" t="s">
        <v>7327</v>
      </c>
      <c r="B3443" s="123">
        <v>1145255.0</v>
      </c>
      <c r="C3443" s="124" t="s">
        <v>7328</v>
      </c>
      <c r="D3443" s="125"/>
      <c r="E3443" s="126">
        <v>6.98</v>
      </c>
      <c r="F3443" s="127"/>
      <c r="G3443" s="127"/>
      <c r="H3443" s="127"/>
      <c r="I3443" s="128"/>
      <c r="K3443" s="105" t="str">
        <f>IFERROR(__xludf.DUMMYFUNCTION("if(A3443="""","""",substitute(SUBSTITUTE(index(importhtml(""http://finviz.com/quote.ashx?t=""&amp;A3443,""table"",10),7,2),""*"",""""),""-"",""0.00""))"),"Loading...")</f>
        <v>Loading...</v>
      </c>
      <c r="L3443" s="129">
        <v>5.3571276E7</v>
      </c>
      <c r="M3443" s="99">
        <v>0.79</v>
      </c>
    </row>
    <row r="3444">
      <c r="A3444" s="122" t="s">
        <v>7329</v>
      </c>
      <c r="B3444" s="123">
        <v>1324948.0</v>
      </c>
      <c r="C3444" s="124" t="s">
        <v>7330</v>
      </c>
      <c r="D3444" s="125"/>
      <c r="E3444" s="126">
        <v>6.98</v>
      </c>
      <c r="F3444" s="127"/>
      <c r="G3444" s="127"/>
      <c r="H3444" s="127"/>
      <c r="I3444" s="128"/>
      <c r="K3444" s="105" t="str">
        <f>IFERROR(__xludf.DUMMYFUNCTION("if(A3444="""","""",substitute(SUBSTITUTE(index(importhtml(""http://finviz.com/quote.ashx?t=""&amp;A3444,""table"",10),7,2),""*"",""""),""-"",""0.00""))"),"Loading...")</f>
        <v>Loading...</v>
      </c>
      <c r="L3444" s="129" t="e">
        <v>#N/A</v>
      </c>
      <c r="M3444" s="99" t="str">
        <f>IFERROR(__xludf.DUMMYFUNCTION("GOOGLEFINANCE(A3444,""beta"")"),"#N/A")</f>
        <v>#N/A</v>
      </c>
    </row>
    <row r="3445">
      <c r="A3445" s="122" t="s">
        <v>7331</v>
      </c>
      <c r="B3445" s="123">
        <v>1505611.0</v>
      </c>
      <c r="C3445" s="124" t="s">
        <v>7332</v>
      </c>
      <c r="D3445" s="125"/>
      <c r="E3445" s="126">
        <v>6.99</v>
      </c>
      <c r="F3445" s="127"/>
      <c r="G3445" s="127"/>
      <c r="H3445" s="127"/>
      <c r="I3445" s="128"/>
      <c r="K3445" s="105" t="str">
        <f>IFERROR(__xludf.DUMMYFUNCTION("if(A3445="""","""",substitute(SUBSTITUTE(index(importhtml(""http://finviz.com/quote.ashx?t=""&amp;A3445,""table"",10),7,2),""*"",""""),""-"",""0.00""))"),"Loading...")</f>
        <v>Loading...</v>
      </c>
      <c r="L3445" s="129">
        <v>5.350626E7</v>
      </c>
      <c r="M3445" s="99" t="str">
        <f>IFERROR(__xludf.DUMMYFUNCTION("GOOGLEFINANCE(A3445,""beta"")"),"#N/A")</f>
        <v>#N/A</v>
      </c>
    </row>
    <row r="3446">
      <c r="A3446" s="122" t="s">
        <v>7333</v>
      </c>
      <c r="B3446" s="123">
        <v>50292.0</v>
      </c>
      <c r="C3446" s="124" t="s">
        <v>7334</v>
      </c>
      <c r="D3446" s="125"/>
      <c r="E3446" s="126">
        <v>7.0</v>
      </c>
      <c r="F3446" s="127"/>
      <c r="G3446" s="127"/>
      <c r="H3446" s="127"/>
      <c r="I3446" s="128"/>
      <c r="K3446" s="105" t="str">
        <f>IFERROR(__xludf.DUMMYFUNCTION("if(A3446="""","""",substitute(SUBSTITUTE(index(importhtml(""http://finviz.com/quote.ashx?t=""&amp;A3446,""table"",10),7,2),""*"",""""),""-"",""0.00""))"),"Loading...")</f>
        <v>Loading...</v>
      </c>
      <c r="L3446" s="129">
        <v>1.6661757E7</v>
      </c>
      <c r="M3446" s="99">
        <v>-0.14</v>
      </c>
    </row>
    <row r="3447">
      <c r="A3447" s="122" t="s">
        <v>7335</v>
      </c>
      <c r="B3447" s="123">
        <v>890066.0</v>
      </c>
      <c r="C3447" s="124" t="s">
        <v>7336</v>
      </c>
      <c r="D3447" s="125"/>
      <c r="E3447" s="126">
        <v>7.0</v>
      </c>
      <c r="F3447" s="127"/>
      <c r="G3447" s="127"/>
      <c r="H3447" s="127"/>
      <c r="I3447" s="128"/>
      <c r="K3447" s="105" t="str">
        <f>IFERROR(__xludf.DUMMYFUNCTION("if(A3447="""","""",substitute(SUBSTITUTE(index(importhtml(""http://finviz.com/quote.ashx?t=""&amp;A3447,""table"",10),7,2),""*"",""""),""-"",""0.00""))"),"Loading...")</f>
        <v>Loading...</v>
      </c>
      <c r="L3447" s="129">
        <v>2.0126922E7</v>
      </c>
      <c r="M3447" s="99">
        <v>0.74</v>
      </c>
    </row>
    <row r="3448">
      <c r="A3448" s="122" t="s">
        <v>7337</v>
      </c>
      <c r="B3448" s="123">
        <v>773717.0</v>
      </c>
      <c r="C3448" s="124" t="s">
        <v>7338</v>
      </c>
      <c r="D3448" s="125"/>
      <c r="E3448" s="126">
        <v>7.0</v>
      </c>
      <c r="F3448" s="127"/>
      <c r="G3448" s="127"/>
      <c r="H3448" s="127"/>
      <c r="I3448" s="128"/>
      <c r="K3448" s="105" t="str">
        <f>IFERROR(__xludf.DUMMYFUNCTION("if(A3448="""","""",substitute(SUBSTITUTE(index(importhtml(""http://finviz.com/quote.ashx?t=""&amp;A3448,""table"",10),7,2),""*"",""""),""-"",""0.00""))"),"Loading...")</f>
        <v>Loading...</v>
      </c>
      <c r="L3448" s="129">
        <v>1.009313E8</v>
      </c>
      <c r="M3448" s="99">
        <v>0.89</v>
      </c>
    </row>
    <row r="3449">
      <c r="A3449" s="122" t="s">
        <v>7339</v>
      </c>
      <c r="B3449" s="123">
        <v>1821806.0</v>
      </c>
      <c r="C3449" s="124" t="s">
        <v>7340</v>
      </c>
      <c r="D3449" s="125"/>
      <c r="E3449" s="126">
        <v>7.0</v>
      </c>
      <c r="F3449" s="127"/>
      <c r="G3449" s="127"/>
      <c r="H3449" s="127"/>
      <c r="I3449" s="128"/>
      <c r="K3449" s="105" t="str">
        <f>IFERROR(__xludf.DUMMYFUNCTION("if(A3449="""","""",substitute(SUBSTITUTE(index(importhtml(""http://finviz.com/quote.ashx?t=""&amp;A3449,""table"",10),7,2),""*"",""""),""-"",""0.00""))"),"Loading...")</f>
        <v>Loading...</v>
      </c>
      <c r="L3449" s="129">
        <v>1.2915917E9</v>
      </c>
      <c r="M3449" s="99">
        <v>0.86</v>
      </c>
    </row>
    <row r="3450">
      <c r="A3450" s="122" t="s">
        <v>7341</v>
      </c>
      <c r="B3450" s="123">
        <v>1534525.0</v>
      </c>
      <c r="C3450" s="124" t="s">
        <v>7342</v>
      </c>
      <c r="D3450" s="125"/>
      <c r="E3450" s="126">
        <v>7.0</v>
      </c>
      <c r="F3450" s="127"/>
      <c r="G3450" s="127"/>
      <c r="H3450" s="127"/>
      <c r="I3450" s="128"/>
      <c r="K3450" s="105" t="str">
        <f>IFERROR(__xludf.DUMMYFUNCTION("if(A3450="""","""",substitute(SUBSTITUTE(index(importhtml(""http://finviz.com/quote.ashx?t=""&amp;A3450,""table"",10),7,2),""*"",""""),""-"",""0.00""))"),"Loading...")</f>
        <v>Loading...</v>
      </c>
      <c r="L3450" s="129" t="e">
        <v>#N/A</v>
      </c>
      <c r="M3450" s="99">
        <v>-275.41</v>
      </c>
    </row>
    <row r="3451">
      <c r="A3451" s="122" t="s">
        <v>7343</v>
      </c>
      <c r="B3451" s="123">
        <v>1282847.0</v>
      </c>
      <c r="C3451" s="124" t="s">
        <v>7344</v>
      </c>
      <c r="D3451" s="125"/>
      <c r="E3451" s="126">
        <v>7.0</v>
      </c>
      <c r="F3451" s="127"/>
      <c r="G3451" s="127"/>
      <c r="H3451" s="127"/>
      <c r="I3451" s="128"/>
      <c r="K3451" s="105" t="str">
        <f>IFERROR(__xludf.DUMMYFUNCTION("if(A3451="""","""",substitute(SUBSTITUTE(index(importhtml(""http://finviz.com/quote.ashx?t=""&amp;A3451,""table"",10),7,2),""*"",""""),""-"",""0.00""))"),"Loading...")</f>
        <v>Loading...</v>
      </c>
      <c r="L3451" s="129" t="e">
        <v>#N/A</v>
      </c>
      <c r="M3451" s="99">
        <v>0.52</v>
      </c>
    </row>
    <row r="3452">
      <c r="A3452" s="122" t="s">
        <v>7345</v>
      </c>
      <c r="B3452" s="123">
        <v>1816017.0</v>
      </c>
      <c r="C3452" s="124" t="s">
        <v>7346</v>
      </c>
      <c r="D3452" s="125"/>
      <c r="E3452" s="126">
        <v>7.02</v>
      </c>
      <c r="F3452" s="127"/>
      <c r="G3452" s="127"/>
      <c r="H3452" s="127"/>
      <c r="I3452" s="128"/>
      <c r="K3452" s="105" t="str">
        <f>IFERROR(__xludf.DUMMYFUNCTION("if(A3452="""","""",substitute(SUBSTITUTE(index(importhtml(""http://finviz.com/quote.ashx?t=""&amp;A3452,""table"",10),7,2),""*"",""""),""-"",""0.00""))"),"Loading...")</f>
        <v>Loading...</v>
      </c>
      <c r="L3452" s="129">
        <v>1.56966848E8</v>
      </c>
      <c r="M3452" s="99">
        <v>1.73</v>
      </c>
    </row>
    <row r="3453">
      <c r="A3453" s="122" t="s">
        <v>7347</v>
      </c>
      <c r="B3453" s="123">
        <v>1707502.0</v>
      </c>
      <c r="C3453" s="124" t="s">
        <v>7348</v>
      </c>
      <c r="D3453" s="125"/>
      <c r="E3453" s="126">
        <v>7.02</v>
      </c>
      <c r="F3453" s="127"/>
      <c r="G3453" s="127"/>
      <c r="H3453" s="127"/>
      <c r="I3453" s="128"/>
      <c r="K3453" s="105" t="str">
        <f>IFERROR(__xludf.DUMMYFUNCTION("if(A3453="""","""",substitute(SUBSTITUTE(index(importhtml(""http://finviz.com/quote.ashx?t=""&amp;A3453,""table"",10),7,2),""*"",""""),""-"",""0.00""))"),"Loading...")</f>
        <v>Loading...</v>
      </c>
      <c r="L3453" s="129">
        <v>2.60796719E8</v>
      </c>
      <c r="M3453" s="99">
        <v>1.74</v>
      </c>
    </row>
    <row r="3454">
      <c r="A3454" s="122" t="s">
        <v>7349</v>
      </c>
      <c r="B3454" s="123">
        <v>1717547.0</v>
      </c>
      <c r="C3454" s="124" t="s">
        <v>7350</v>
      </c>
      <c r="D3454" s="125"/>
      <c r="E3454" s="126">
        <v>7.02</v>
      </c>
      <c r="F3454" s="127"/>
      <c r="G3454" s="127"/>
      <c r="H3454" s="127"/>
      <c r="I3454" s="128"/>
      <c r="K3454" s="105" t="str">
        <f>IFERROR(__xludf.DUMMYFUNCTION("if(A3454="""","""",substitute(SUBSTITUTE(index(importhtml(""http://finviz.com/quote.ashx?t=""&amp;A3454,""table"",10),7,2),""*"",""""),""-"",""0.00""))"),"Loading...")</f>
        <v>Loading...</v>
      </c>
      <c r="L3454" s="129">
        <v>9.12495399E8</v>
      </c>
      <c r="M3454" s="99">
        <v>1.89</v>
      </c>
    </row>
    <row r="3455">
      <c r="A3455" s="122" t="s">
        <v>7351</v>
      </c>
      <c r="B3455" s="123">
        <v>1270436.0</v>
      </c>
      <c r="C3455" s="124" t="s">
        <v>7352</v>
      </c>
      <c r="D3455" s="125"/>
      <c r="E3455" s="126">
        <v>7.04</v>
      </c>
      <c r="F3455" s="127"/>
      <c r="G3455" s="127"/>
      <c r="H3455" s="127"/>
      <c r="I3455" s="128"/>
      <c r="K3455" s="105" t="str">
        <f>IFERROR(__xludf.DUMMYFUNCTION("if(A3455="""","""",substitute(SUBSTITUTE(index(importhtml(""http://finviz.com/quote.ashx?t=""&amp;A3455,""table"",10),7,2),""*"",""""),""-"",""0.00""))"),"Loading...")</f>
        <v>Loading...</v>
      </c>
      <c r="L3455" s="129">
        <v>1.2821505E7</v>
      </c>
      <c r="M3455" s="99">
        <v>1.11</v>
      </c>
    </row>
    <row r="3456">
      <c r="A3456" s="122" t="s">
        <v>7353</v>
      </c>
      <c r="B3456" s="123">
        <v>835948.0</v>
      </c>
      <c r="C3456" s="124" t="s">
        <v>7354</v>
      </c>
      <c r="D3456" s="125"/>
      <c r="E3456" s="126">
        <v>7.04</v>
      </c>
      <c r="F3456" s="127"/>
      <c r="G3456" s="127"/>
      <c r="H3456" s="127"/>
      <c r="I3456" s="128"/>
      <c r="K3456" s="105" t="str">
        <f>IFERROR(__xludf.DUMMYFUNCTION("if(A3456="""","""",substitute(SUBSTITUTE(index(importhtml(""http://finviz.com/quote.ashx?t=""&amp;A3456,""table"",10),7,2),""*"",""""),""-"",""0.00""))"),"Loading...")</f>
        <v>Loading...</v>
      </c>
      <c r="L3456" s="129">
        <v>4.53349386E8</v>
      </c>
      <c r="M3456" s="99">
        <v>0.45</v>
      </c>
    </row>
    <row r="3457">
      <c r="A3457" s="122" t="s">
        <v>7355</v>
      </c>
      <c r="B3457" s="123">
        <v>1000045.0</v>
      </c>
      <c r="C3457" s="124" t="s">
        <v>7356</v>
      </c>
      <c r="D3457" s="125"/>
      <c r="E3457" s="126">
        <v>7.05</v>
      </c>
      <c r="F3457" s="127"/>
      <c r="G3457" s="127"/>
      <c r="H3457" s="127"/>
      <c r="I3457" s="128"/>
      <c r="K3457" s="105" t="str">
        <f>IFERROR(__xludf.DUMMYFUNCTION("if(A3457="""","""",substitute(SUBSTITUTE(index(importhtml(""http://finviz.com/quote.ashx?t=""&amp;A3457,""table"",10),7,2),""*"",""""),""-"",""0.00""))"),"Loading...")</f>
        <v>Loading...</v>
      </c>
      <c r="L3457" s="129">
        <v>5.1465001E7</v>
      </c>
      <c r="M3457" s="99">
        <v>0.87</v>
      </c>
    </row>
    <row r="3458">
      <c r="A3458" s="122" t="s">
        <v>7357</v>
      </c>
      <c r="B3458" s="123">
        <v>1875558.0</v>
      </c>
      <c r="C3458" s="124" t="s">
        <v>7358</v>
      </c>
      <c r="D3458" s="125"/>
      <c r="E3458" s="126">
        <v>7.05</v>
      </c>
      <c r="F3458" s="127"/>
      <c r="G3458" s="127"/>
      <c r="H3458" s="127"/>
      <c r="I3458" s="128"/>
      <c r="K3458" s="105" t="str">
        <f>IFERROR(__xludf.DUMMYFUNCTION("if(A3458="""","""",substitute(SUBSTITUTE(index(importhtml(""http://finviz.com/quote.ashx?t=""&amp;A3458,""table"",10),7,2),""*"",""""),""-"",""0.00""))"),"Loading...")</f>
        <v>Loading...</v>
      </c>
      <c r="L3458" s="129">
        <v>1.22152462E8</v>
      </c>
      <c r="M3458" s="99">
        <f>IFERROR(__xludf.DUMMYFUNCTION("GOOGLEFINANCE(A3458,""beta"")"),-0.28)</f>
        <v>-0.28</v>
      </c>
    </row>
    <row r="3459">
      <c r="A3459" s="122" t="s">
        <v>7359</v>
      </c>
      <c r="B3459" s="123">
        <v>742278.0</v>
      </c>
      <c r="C3459" s="124" t="s">
        <v>7360</v>
      </c>
      <c r="D3459" s="125"/>
      <c r="E3459" s="126">
        <v>7.05</v>
      </c>
      <c r="F3459" s="127"/>
      <c r="G3459" s="127"/>
      <c r="H3459" s="127"/>
      <c r="I3459" s="128"/>
      <c r="K3459" s="105" t="str">
        <f>IFERROR(__xludf.DUMMYFUNCTION("if(A3459="""","""",substitute(SUBSTITUTE(index(importhtml(""http://finviz.com/quote.ashx?t=""&amp;A3459,""table"",10),7,2),""*"",""""),""-"",""0.00""))"),"Loading...")</f>
        <v>Loading...</v>
      </c>
      <c r="L3459" s="129">
        <v>1.524409556E9</v>
      </c>
      <c r="M3459" s="99">
        <v>1.61</v>
      </c>
    </row>
    <row r="3460">
      <c r="A3460" s="122" t="s">
        <v>7361</v>
      </c>
      <c r="B3460" s="123">
        <v>1499961.0</v>
      </c>
      <c r="C3460" s="124" t="s">
        <v>7362</v>
      </c>
      <c r="D3460" s="125"/>
      <c r="E3460" s="126">
        <v>7.06</v>
      </c>
      <c r="F3460" s="127"/>
      <c r="G3460" s="127"/>
      <c r="H3460" s="127"/>
      <c r="I3460" s="128"/>
      <c r="K3460" s="105" t="str">
        <f>IFERROR(__xludf.DUMMYFUNCTION("if(A3460="""","""",substitute(SUBSTITUTE(index(importhtml(""http://finviz.com/quote.ashx?t=""&amp;A3460,""table"",10),7,2),""*"",""""),""-"",""0.00""))"),"Loading...")</f>
        <v>Loading...</v>
      </c>
      <c r="L3460" s="129">
        <v>4.1545932E7</v>
      </c>
      <c r="M3460" s="99">
        <v>2.1</v>
      </c>
    </row>
    <row r="3461">
      <c r="A3461" s="122" t="s">
        <v>7363</v>
      </c>
      <c r="B3461" s="123">
        <v>1783398.0</v>
      </c>
      <c r="C3461" s="124" t="s">
        <v>7364</v>
      </c>
      <c r="D3461" s="125"/>
      <c r="E3461" s="126">
        <v>7.07</v>
      </c>
      <c r="F3461" s="127"/>
      <c r="G3461" s="127"/>
      <c r="H3461" s="127"/>
      <c r="I3461" s="128"/>
      <c r="K3461" s="105" t="str">
        <f>IFERROR(__xludf.DUMMYFUNCTION("if(A3461="""","""",substitute(SUBSTITUTE(index(importhtml(""http://finviz.com/quote.ashx?t=""&amp;A3461,""table"",10),7,2),""*"",""""),""-"",""0.00""))"),"Loading...")</f>
        <v>Loading...</v>
      </c>
      <c r="L3461" s="129">
        <v>1.1281761883E10</v>
      </c>
      <c r="M3461" s="99">
        <v>1.55</v>
      </c>
    </row>
    <row r="3462">
      <c r="A3462" s="122" t="s">
        <v>7365</v>
      </c>
      <c r="B3462" s="123">
        <v>1824814.0</v>
      </c>
      <c r="C3462" s="124" t="s">
        <v>7366</v>
      </c>
      <c r="D3462" s="125"/>
      <c r="E3462" s="126">
        <v>7.08</v>
      </c>
      <c r="F3462" s="127"/>
      <c r="G3462" s="127"/>
      <c r="H3462" s="127"/>
      <c r="I3462" s="128"/>
      <c r="K3462" s="105" t="str">
        <f>IFERROR(__xludf.DUMMYFUNCTION("if(A3462="""","""",substitute(SUBSTITUTE(index(importhtml(""http://finviz.com/quote.ashx?t=""&amp;A3462,""table"",10),7,2),""*"",""""),""-"",""0.00""))"),"Loading...")</f>
        <v>Loading...</v>
      </c>
      <c r="L3462" s="129">
        <v>4.98246569E8</v>
      </c>
      <c r="M3462" s="99">
        <f>IFERROR(__xludf.DUMMYFUNCTION("GOOGLEFINANCE(A3462,""beta"")"),1.63)</f>
        <v>1.63</v>
      </c>
    </row>
    <row r="3463">
      <c r="A3463" s="122" t="s">
        <v>7367</v>
      </c>
      <c r="B3463" s="123">
        <v>1806201.0</v>
      </c>
      <c r="C3463" s="124" t="s">
        <v>7368</v>
      </c>
      <c r="D3463" s="125"/>
      <c r="E3463" s="126">
        <v>7.08</v>
      </c>
      <c r="F3463" s="127"/>
      <c r="G3463" s="127"/>
      <c r="H3463" s="127"/>
      <c r="I3463" s="128"/>
      <c r="K3463" s="105" t="str">
        <f>IFERROR(__xludf.DUMMYFUNCTION("if(A3463="""","""",substitute(SUBSTITUTE(index(importhtml(""http://finviz.com/quote.ashx?t=""&amp;A3463,""table"",10),7,2),""*"",""""),""-"",""0.00""))"),"Loading...")</f>
        <v>Loading...</v>
      </c>
      <c r="L3463" s="129">
        <v>8.47856186E8</v>
      </c>
      <c r="M3463" s="99">
        <v>1.02</v>
      </c>
    </row>
    <row r="3464">
      <c r="A3464" s="122" t="s">
        <v>7369</v>
      </c>
      <c r="B3464" s="123">
        <v>1289868.0</v>
      </c>
      <c r="C3464" s="124" t="s">
        <v>7370</v>
      </c>
      <c r="D3464" s="125"/>
      <c r="E3464" s="126">
        <v>7.09</v>
      </c>
      <c r="F3464" s="127"/>
      <c r="G3464" s="127"/>
      <c r="H3464" s="127"/>
      <c r="I3464" s="128"/>
      <c r="K3464" s="105" t="str">
        <f>IFERROR(__xludf.DUMMYFUNCTION("if(A3464="""","""",substitute(SUBSTITUTE(index(importhtml(""http://finviz.com/quote.ashx?t=""&amp;A3464,""table"",10),7,2),""*"",""""),""-"",""0.00""))"),"Loading...")</f>
        <v>Loading...</v>
      </c>
      <c r="L3464" s="129">
        <v>1.49141627E8</v>
      </c>
      <c r="M3464" s="99">
        <v>0.75</v>
      </c>
    </row>
    <row r="3465">
      <c r="A3465" s="122" t="s">
        <v>7371</v>
      </c>
      <c r="B3465" s="123">
        <v>1071438.0</v>
      </c>
      <c r="C3465" s="124" t="s">
        <v>7181</v>
      </c>
      <c r="D3465" s="125"/>
      <c r="E3465" s="126">
        <v>7.1</v>
      </c>
      <c r="F3465" s="127"/>
      <c r="G3465" s="127"/>
      <c r="H3465" s="127"/>
      <c r="I3465" s="128"/>
      <c r="K3465" s="55" t="s">
        <v>5940</v>
      </c>
      <c r="L3465" s="129">
        <v>1.4440605729E10</v>
      </c>
      <c r="M3465" s="99">
        <v>1.97</v>
      </c>
    </row>
    <row r="3466">
      <c r="A3466" s="122" t="s">
        <v>7372</v>
      </c>
      <c r="B3466" s="123">
        <v>1751700.0</v>
      </c>
      <c r="C3466" s="124" t="s">
        <v>7373</v>
      </c>
      <c r="D3466" s="125"/>
      <c r="E3466" s="126">
        <v>7.1</v>
      </c>
      <c r="F3466" s="127"/>
      <c r="G3466" s="127"/>
      <c r="H3466" s="127"/>
      <c r="I3466" s="128"/>
      <c r="K3466" s="105" t="str">
        <f>IFERROR(__xludf.DUMMYFUNCTION("if(A3466="""","""",substitute(SUBSTITUTE(index(importhtml(""http://finviz.com/quote.ashx?t=""&amp;A3466,""table"",10),7,2),""*"",""""),""-"",""0.00""))"),"Loading...")</f>
        <v>Loading...</v>
      </c>
      <c r="L3466" s="129">
        <v>1.863284E7</v>
      </c>
      <c r="M3466" s="99">
        <v>0.34</v>
      </c>
    </row>
    <row r="3467">
      <c r="A3467" s="122" t="s">
        <v>7374</v>
      </c>
      <c r="B3467" s="123">
        <v>1713334.0</v>
      </c>
      <c r="C3467" s="124" t="s">
        <v>7375</v>
      </c>
      <c r="D3467" s="125"/>
      <c r="E3467" s="126">
        <v>7.1</v>
      </c>
      <c r="F3467" s="127"/>
      <c r="G3467" s="127"/>
      <c r="H3467" s="127"/>
      <c r="I3467" s="128"/>
      <c r="K3467" s="105" t="str">
        <f>IFERROR(__xludf.DUMMYFUNCTION("if(A3467="""","""",substitute(SUBSTITUTE(index(importhtml(""http://finviz.com/quote.ashx?t=""&amp;A3467,""table"",10),7,2),""*"",""""),""-"",""0.00""))"),"Loading...")</f>
        <v>Loading...</v>
      </c>
      <c r="L3467" s="129">
        <v>1.496517389E9</v>
      </c>
      <c r="M3467" s="99">
        <v>-0.41</v>
      </c>
    </row>
    <row r="3468">
      <c r="A3468" s="122" t="s">
        <v>7376</v>
      </c>
      <c r="B3468" s="123">
        <v>875657.0</v>
      </c>
      <c r="C3468" s="124" t="s">
        <v>7377</v>
      </c>
      <c r="D3468" s="125"/>
      <c r="E3468" s="126">
        <v>7.11</v>
      </c>
      <c r="F3468" s="127"/>
      <c r="G3468" s="127"/>
      <c r="H3468" s="127"/>
      <c r="I3468" s="128"/>
      <c r="K3468" s="105" t="str">
        <f>IFERROR(__xludf.DUMMYFUNCTION("if(A3468="""","""",substitute(SUBSTITUTE(index(importhtml(""http://finviz.com/quote.ashx?t=""&amp;A3468,""table"",10),7,2),""*"",""""),""-"",""0.00""))"),"Loading...")</f>
        <v>Loading...</v>
      </c>
      <c r="L3468" s="129">
        <v>1.16178184E8</v>
      </c>
      <c r="M3468" s="99">
        <v>1.25</v>
      </c>
    </row>
    <row r="3469">
      <c r="A3469" s="122" t="s">
        <v>7378</v>
      </c>
      <c r="B3469" s="123">
        <v>1650664.0</v>
      </c>
      <c r="C3469" s="124" t="s">
        <v>7379</v>
      </c>
      <c r="D3469" s="125"/>
      <c r="E3469" s="126">
        <v>7.11</v>
      </c>
      <c r="F3469" s="127"/>
      <c r="G3469" s="127"/>
      <c r="H3469" s="127"/>
      <c r="I3469" s="128"/>
      <c r="K3469" s="105" t="str">
        <f>IFERROR(__xludf.DUMMYFUNCTION("if(A3469="""","""",substitute(SUBSTITUTE(index(importhtml(""http://finviz.com/quote.ashx?t=""&amp;A3469,""table"",10),7,2),""*"",""""),""-"",""0.00""))"),"Loading...")</f>
        <v>Loading...</v>
      </c>
      <c r="L3469" s="129">
        <v>5.80699875E8</v>
      </c>
      <c r="M3469" s="99">
        <v>1.96</v>
      </c>
    </row>
    <row r="3470">
      <c r="A3470" s="122" t="s">
        <v>7380</v>
      </c>
      <c r="B3470" s="123">
        <v>1711375.0</v>
      </c>
      <c r="C3470" s="124" t="s">
        <v>7381</v>
      </c>
      <c r="D3470" s="125"/>
      <c r="E3470" s="126">
        <v>7.12</v>
      </c>
      <c r="F3470" s="127"/>
      <c r="G3470" s="127"/>
      <c r="H3470" s="127"/>
      <c r="I3470" s="128"/>
      <c r="K3470" s="105" t="str">
        <f>IFERROR(__xludf.DUMMYFUNCTION("if(A3470="""","""",substitute(SUBSTITUTE(index(importhtml(""http://finviz.com/quote.ashx?t=""&amp;A3470,""table"",10),7,2),""*"",""""),""-"",""0.00""))"),"Loading...")</f>
        <v>Loading...</v>
      </c>
      <c r="L3470" s="129">
        <v>1.339234954E9</v>
      </c>
      <c r="M3470" s="99">
        <v>1.56</v>
      </c>
    </row>
    <row r="3471">
      <c r="A3471" s="122" t="s">
        <v>7382</v>
      </c>
      <c r="B3471" s="123">
        <v>1285550.0</v>
      </c>
      <c r="C3471" s="124" t="s">
        <v>7383</v>
      </c>
      <c r="D3471" s="125"/>
      <c r="E3471" s="126">
        <v>7.15</v>
      </c>
      <c r="F3471" s="127"/>
      <c r="G3471" s="127"/>
      <c r="H3471" s="127"/>
      <c r="I3471" s="128"/>
      <c r="K3471" s="105" t="str">
        <f>IFERROR(__xludf.DUMMYFUNCTION("if(A3471="""","""",substitute(SUBSTITUTE(index(importhtml(""http://finviz.com/quote.ashx?t=""&amp;A3471,""table"",10),7,2),""*"",""""),""-"",""0.00""))"),"Loading...")</f>
        <v>Loading...</v>
      </c>
      <c r="L3471" s="129">
        <v>1.76037006E8</v>
      </c>
      <c r="M3471" s="99">
        <v>0.93</v>
      </c>
    </row>
    <row r="3472">
      <c r="A3472" s="122" t="s">
        <v>7384</v>
      </c>
      <c r="B3472" s="123">
        <v>1555279.0</v>
      </c>
      <c r="C3472" s="124" t="s">
        <v>7385</v>
      </c>
      <c r="D3472" s="125"/>
      <c r="E3472" s="126">
        <v>7.16</v>
      </c>
      <c r="F3472" s="127"/>
      <c r="G3472" s="127"/>
      <c r="H3472" s="127"/>
      <c r="I3472" s="128"/>
      <c r="K3472" s="105" t="str">
        <f>IFERROR(__xludf.DUMMYFUNCTION("if(A3472="""","""",substitute(SUBSTITUTE(index(importhtml(""http://finviz.com/quote.ashx?t=""&amp;A3472,""table"",10),7,2),""*"",""""),""-"",""0.00""))"),"Loading...")</f>
        <v>Loading...</v>
      </c>
      <c r="L3472" s="129">
        <v>2.31834422E8</v>
      </c>
      <c r="M3472" s="99">
        <v>0.91</v>
      </c>
    </row>
    <row r="3473">
      <c r="A3473" s="122" t="s">
        <v>7386</v>
      </c>
      <c r="B3473" s="123">
        <v>1144800.0</v>
      </c>
      <c r="C3473" s="124" t="s">
        <v>7387</v>
      </c>
      <c r="D3473" s="125"/>
      <c r="E3473" s="126">
        <v>7.16</v>
      </c>
      <c r="F3473" s="127"/>
      <c r="G3473" s="127"/>
      <c r="H3473" s="127"/>
      <c r="I3473" s="128"/>
      <c r="K3473" s="105" t="str">
        <f>IFERROR(__xludf.DUMMYFUNCTION("if(A3473="""","""",substitute(SUBSTITUTE(index(importhtml(""http://finviz.com/quote.ashx?t=""&amp;A3473,""table"",10),7,2),""*"",""""),""-"",""0.00""))"),"Loading...")</f>
        <v>Loading...</v>
      </c>
      <c r="L3473" s="129">
        <v>2.213259772E9</v>
      </c>
      <c r="M3473" s="99">
        <v>0.88</v>
      </c>
    </row>
    <row r="3474">
      <c r="A3474" s="122" t="s">
        <v>7388</v>
      </c>
      <c r="B3474" s="123">
        <v>1835591.0</v>
      </c>
      <c r="C3474" s="124" t="s">
        <v>7389</v>
      </c>
      <c r="D3474" s="125"/>
      <c r="E3474" s="126">
        <v>7.17</v>
      </c>
      <c r="F3474" s="127"/>
      <c r="G3474" s="127"/>
      <c r="H3474" s="127"/>
      <c r="I3474" s="128"/>
      <c r="K3474" s="105" t="str">
        <f>IFERROR(__xludf.DUMMYFUNCTION("if(A3474="""","""",substitute(SUBSTITUTE(index(importhtml(""http://finviz.com/quote.ashx?t=""&amp;A3474,""table"",10),7,2),""*"",""""),""-"",""0.00""))"),"Loading...")</f>
        <v>Loading...</v>
      </c>
      <c r="L3474" s="129">
        <v>1.41389892E9</v>
      </c>
      <c r="M3474" s="99" t="str">
        <f>IFERROR(__xludf.DUMMYFUNCTION("GOOGLEFINANCE(A3474,""beta"")"),"#N/A")</f>
        <v>#N/A</v>
      </c>
    </row>
    <row r="3475">
      <c r="A3475" s="122" t="s">
        <v>7390</v>
      </c>
      <c r="B3475" s="123">
        <v>1828016.0</v>
      </c>
      <c r="C3475" s="124" t="s">
        <v>7391</v>
      </c>
      <c r="D3475" s="125"/>
      <c r="E3475" s="126">
        <v>7.17</v>
      </c>
      <c r="F3475" s="127"/>
      <c r="G3475" s="127"/>
      <c r="H3475" s="127"/>
      <c r="I3475" s="128"/>
      <c r="K3475" s="105" t="str">
        <f>IFERROR(__xludf.DUMMYFUNCTION("if(A3475="""","""",substitute(SUBSTITUTE(index(importhtml(""http://finviz.com/quote.ashx?t=""&amp;A3475,""table"",10),7,2),""*"",""""),""-"",""0.00""))"),"Loading...")</f>
        <v>Loading...</v>
      </c>
      <c r="L3475" s="129">
        <v>2.633021203E9</v>
      </c>
      <c r="M3475" s="99">
        <v>0.84</v>
      </c>
    </row>
    <row r="3476">
      <c r="A3476" s="122" t="s">
        <v>7392</v>
      </c>
      <c r="B3476" s="123">
        <v>1698514.0</v>
      </c>
      <c r="C3476" s="124" t="s">
        <v>7393</v>
      </c>
      <c r="D3476" s="125"/>
      <c r="E3476" s="126">
        <v>7.18</v>
      </c>
      <c r="F3476" s="127"/>
      <c r="G3476" s="127"/>
      <c r="H3476" s="127"/>
      <c r="I3476" s="128"/>
      <c r="K3476" s="105" t="str">
        <f>IFERROR(__xludf.DUMMYFUNCTION("if(A3476="""","""",substitute(SUBSTITUTE(index(importhtml(""http://finviz.com/quote.ashx?t=""&amp;A3476,""table"",10),7,2),""*"",""""),""-"",""0.00""))"),"Loading...")</f>
        <v>Loading...</v>
      </c>
      <c r="L3476" s="129">
        <v>6.82074063E8</v>
      </c>
      <c r="M3476" s="99">
        <v>0.87</v>
      </c>
    </row>
    <row r="3477">
      <c r="A3477" s="122" t="s">
        <v>7394</v>
      </c>
      <c r="B3477" s="123">
        <v>1713930.0</v>
      </c>
      <c r="C3477" s="124" t="s">
        <v>7395</v>
      </c>
      <c r="D3477" s="125"/>
      <c r="E3477" s="126">
        <v>7.18</v>
      </c>
      <c r="F3477" s="127"/>
      <c r="G3477" s="127"/>
      <c r="H3477" s="127"/>
      <c r="I3477" s="128"/>
      <c r="K3477" s="105" t="str">
        <f>IFERROR(__xludf.DUMMYFUNCTION("if(A3477="""","""",substitute(SUBSTITUTE(index(importhtml(""http://finviz.com/quote.ashx?t=""&amp;A3477,""table"",10),7,2),""*"",""""),""-"",""0.00""))"),"Loading...")</f>
        <v>Loading...</v>
      </c>
      <c r="L3477" s="129">
        <v>9.50909125E8</v>
      </c>
      <c r="M3477" s="99">
        <v>1.6</v>
      </c>
    </row>
    <row r="3478">
      <c r="A3478" s="122" t="s">
        <v>7396</v>
      </c>
      <c r="B3478" s="123">
        <v>1228509.0</v>
      </c>
      <c r="C3478" s="124" t="s">
        <v>7397</v>
      </c>
      <c r="D3478" s="125"/>
      <c r="E3478" s="126">
        <v>7.2</v>
      </c>
      <c r="F3478" s="127"/>
      <c r="G3478" s="127"/>
      <c r="H3478" s="127"/>
      <c r="I3478" s="128"/>
      <c r="K3478" s="55" t="s">
        <v>7398</v>
      </c>
      <c r="L3478" s="129">
        <v>1.63552099E8</v>
      </c>
      <c r="M3478" s="99">
        <v>0.92</v>
      </c>
    </row>
    <row r="3479">
      <c r="A3479" s="122" t="s">
        <v>7399</v>
      </c>
      <c r="B3479" s="123">
        <v>33934.0</v>
      </c>
      <c r="C3479" s="124" t="s">
        <v>7400</v>
      </c>
      <c r="D3479" s="125"/>
      <c r="E3479" s="126">
        <v>7.2</v>
      </c>
      <c r="F3479" s="127"/>
      <c r="G3479" s="127"/>
      <c r="H3479" s="127"/>
      <c r="I3479" s="128"/>
      <c r="K3479" s="55" t="s">
        <v>7401</v>
      </c>
      <c r="L3479" s="129">
        <v>7.4110678E8</v>
      </c>
      <c r="M3479" s="99">
        <v>1.04</v>
      </c>
    </row>
    <row r="3480">
      <c r="A3480" s="122" t="s">
        <v>7402</v>
      </c>
      <c r="B3480" s="123">
        <v>1101026.0</v>
      </c>
      <c r="C3480" s="124" t="s">
        <v>7403</v>
      </c>
      <c r="D3480" s="125"/>
      <c r="E3480" s="126">
        <v>7.2</v>
      </c>
      <c r="F3480" s="127"/>
      <c r="G3480" s="127"/>
      <c r="H3480" s="127"/>
      <c r="I3480" s="128"/>
      <c r="K3480" s="105" t="str">
        <f>IFERROR(__xludf.DUMMYFUNCTION("if(A3480="""","""",substitute(SUBSTITUTE(index(importhtml(""http://finviz.com/quote.ashx?t=""&amp;A3480,""table"",10),7,2),""*"",""""),""-"",""0.00""))"),"Loading...")</f>
        <v>Loading...</v>
      </c>
      <c r="L3480" s="129">
        <v>1.9786801E7</v>
      </c>
      <c r="M3480" s="99">
        <v>0.19</v>
      </c>
    </row>
    <row r="3481">
      <c r="A3481" s="122" t="s">
        <v>7404</v>
      </c>
      <c r="B3481" s="123">
        <v>1737189.0</v>
      </c>
      <c r="C3481" s="124" t="s">
        <v>7405</v>
      </c>
      <c r="D3481" s="125"/>
      <c r="E3481" s="126">
        <v>7.2</v>
      </c>
      <c r="F3481" s="127"/>
      <c r="G3481" s="127"/>
      <c r="H3481" s="127"/>
      <c r="I3481" s="128"/>
      <c r="K3481" s="105" t="str">
        <f>IFERROR(__xludf.DUMMYFUNCTION("if(A3481="""","""",substitute(SUBSTITUTE(index(importhtml(""http://finviz.com/quote.ashx?t=""&amp;A3481,""table"",10),7,2),""*"",""""),""-"",""0.00""))"),"Loading...")</f>
        <v>Loading...</v>
      </c>
      <c r="L3481" s="129">
        <v>2.788017E7</v>
      </c>
      <c r="M3481" s="99" t="str">
        <f>IFERROR(__xludf.DUMMYFUNCTION("GOOGLEFINANCE(A3481,""beta"")"),"#N/A")</f>
        <v>#N/A</v>
      </c>
    </row>
    <row r="3482">
      <c r="A3482" s="122" t="s">
        <v>7406</v>
      </c>
      <c r="B3482" s="123">
        <v>1523289.0</v>
      </c>
      <c r="C3482" s="124" t="s">
        <v>7407</v>
      </c>
      <c r="D3482" s="125"/>
      <c r="E3482" s="126">
        <v>7.21</v>
      </c>
      <c r="F3482" s="127"/>
      <c r="G3482" s="127"/>
      <c r="H3482" s="127"/>
      <c r="I3482" s="128"/>
      <c r="K3482" s="55" t="s">
        <v>5543</v>
      </c>
      <c r="L3482" s="129" t="e">
        <v>#N/A</v>
      </c>
      <c r="M3482" s="99">
        <v>0.43</v>
      </c>
    </row>
    <row r="3483">
      <c r="A3483" s="122" t="s">
        <v>7408</v>
      </c>
      <c r="B3483" s="123">
        <v>1328919.0</v>
      </c>
      <c r="C3483" s="124" t="s">
        <v>7409</v>
      </c>
      <c r="D3483" s="125"/>
      <c r="E3483" s="126">
        <v>7.21</v>
      </c>
      <c r="F3483" s="127"/>
      <c r="G3483" s="127"/>
      <c r="H3483" s="127"/>
      <c r="I3483" s="128"/>
      <c r="K3483" s="105" t="str">
        <f>IFERROR(__xludf.DUMMYFUNCTION("if(A3483="""","""",substitute(SUBSTITUTE(index(importhtml(""http://finviz.com/quote.ashx?t=""&amp;A3483,""table"",10),7,2),""*"",""""),""-"",""0.00""))"),"Loading...")</f>
        <v>Loading...</v>
      </c>
      <c r="L3483" s="129">
        <v>2.54580198E8</v>
      </c>
      <c r="M3483" s="99">
        <v>0.96</v>
      </c>
    </row>
    <row r="3484">
      <c r="A3484" s="122" t="s">
        <v>7410</v>
      </c>
      <c r="B3484" s="123">
        <v>1412558.0</v>
      </c>
      <c r="C3484" s="124" t="s">
        <v>7411</v>
      </c>
      <c r="D3484" s="125"/>
      <c r="E3484" s="126">
        <v>7.22</v>
      </c>
      <c r="F3484" s="127"/>
      <c r="G3484" s="127"/>
      <c r="H3484" s="127"/>
      <c r="I3484" s="128"/>
      <c r="K3484" s="55" t="s">
        <v>1034</v>
      </c>
      <c r="L3484" s="129">
        <v>2.512068245E9</v>
      </c>
      <c r="M3484" s="99">
        <v>1.42</v>
      </c>
    </row>
    <row r="3485">
      <c r="A3485" s="122" t="s">
        <v>7412</v>
      </c>
      <c r="B3485" s="123">
        <v>1808158.0</v>
      </c>
      <c r="C3485" s="124" t="s">
        <v>7413</v>
      </c>
      <c r="D3485" s="125"/>
      <c r="E3485" s="126">
        <v>7.22</v>
      </c>
      <c r="F3485" s="127"/>
      <c r="G3485" s="127"/>
      <c r="H3485" s="127"/>
      <c r="I3485" s="128"/>
      <c r="K3485" s="105" t="str">
        <f>IFERROR(__xludf.DUMMYFUNCTION("if(A3485="""","""",substitute(SUBSTITUTE(index(importhtml(""http://finviz.com/quote.ashx?t=""&amp;A3485,""table"",10),7,2),""*"",""""),""-"",""0.00""))"),"Loading...")</f>
        <v>Loading...</v>
      </c>
      <c r="L3485" s="129">
        <v>3.04175991E8</v>
      </c>
      <c r="M3485" s="99">
        <v>0.6</v>
      </c>
    </row>
    <row r="3486">
      <c r="A3486" s="122" t="s">
        <v>7414</v>
      </c>
      <c r="B3486" s="123">
        <v>1216583.0</v>
      </c>
      <c r="C3486" s="124" t="s">
        <v>7415</v>
      </c>
      <c r="D3486" s="125"/>
      <c r="E3486" s="126">
        <v>7.22</v>
      </c>
      <c r="F3486" s="127"/>
      <c r="G3486" s="127"/>
      <c r="H3486" s="127"/>
      <c r="I3486" s="128"/>
      <c r="K3486" s="105" t="str">
        <f>IFERROR(__xludf.DUMMYFUNCTION("if(A3486="""","""",substitute(SUBSTITUTE(index(importhtml(""http://finviz.com/quote.ashx?t=""&amp;A3486,""table"",10),7,2),""*"",""""),""-"",""0.00""))"),"Loading...")</f>
        <v>Loading...</v>
      </c>
      <c r="L3486" s="129">
        <v>7.58599601E8</v>
      </c>
      <c r="M3486" s="99">
        <v>0.9</v>
      </c>
    </row>
    <row r="3487">
      <c r="A3487" s="122" t="s">
        <v>7416</v>
      </c>
      <c r="B3487" s="123">
        <v>1617242.0</v>
      </c>
      <c r="C3487" s="124" t="s">
        <v>7417</v>
      </c>
      <c r="D3487" s="125"/>
      <c r="E3487" s="126">
        <v>7.23</v>
      </c>
      <c r="F3487" s="127"/>
      <c r="G3487" s="127"/>
      <c r="H3487" s="127"/>
      <c r="I3487" s="128"/>
      <c r="K3487" s="105" t="str">
        <f>IFERROR(__xludf.DUMMYFUNCTION("if(A3487="""","""",substitute(SUBSTITUTE(index(importhtml(""http://finviz.com/quote.ashx?t=""&amp;A3487,""table"",10),7,2),""*"",""""),""-"",""0.00""))"),"Loading...")</f>
        <v>Loading...</v>
      </c>
      <c r="L3487" s="129">
        <v>4.65937351E8</v>
      </c>
      <c r="M3487" s="99">
        <v>0.75</v>
      </c>
    </row>
    <row r="3488">
      <c r="A3488" s="122" t="s">
        <v>7418</v>
      </c>
      <c r="B3488" s="123">
        <v>919893.0</v>
      </c>
      <c r="C3488" s="124" t="s">
        <v>7419</v>
      </c>
      <c r="D3488" s="125"/>
      <c r="E3488" s="126">
        <v>7.24</v>
      </c>
      <c r="F3488" s="127"/>
      <c r="G3488" s="127"/>
      <c r="H3488" s="127"/>
      <c r="I3488" s="128"/>
      <c r="K3488" s="105" t="str">
        <f>IFERROR(__xludf.DUMMYFUNCTION("if(A3488="""","""",substitute(SUBSTITUTE(index(importhtml(""http://finviz.com/quote.ashx?t=""&amp;A3488,""table"",10),7,2),""*"",""""),""-"",""0.00""))"),"Loading...")</f>
        <v>Loading...</v>
      </c>
      <c r="L3488" s="129">
        <v>2.44708734E8</v>
      </c>
      <c r="M3488" s="99">
        <v>0.5</v>
      </c>
    </row>
    <row r="3489">
      <c r="A3489" s="122" t="s">
        <v>7420</v>
      </c>
      <c r="B3489" s="123">
        <v>1239819.0</v>
      </c>
      <c r="C3489" s="124" t="s">
        <v>7421</v>
      </c>
      <c r="D3489" s="125"/>
      <c r="E3489" s="126">
        <v>7.24</v>
      </c>
      <c r="F3489" s="127"/>
      <c r="G3489" s="127"/>
      <c r="H3489" s="127"/>
      <c r="I3489" s="128"/>
      <c r="K3489" s="105" t="str">
        <f>IFERROR(__xludf.DUMMYFUNCTION("if(A3489="""","""",substitute(SUBSTITUTE(index(importhtml(""http://finviz.com/quote.ashx?t=""&amp;A3489,""table"",10),7,2),""*"",""""),""-"",""0.00""))"),"Loading...")</f>
        <v>Loading...</v>
      </c>
      <c r="L3489" s="129">
        <v>2.45860473E8</v>
      </c>
      <c r="M3489" s="99">
        <v>1.41</v>
      </c>
    </row>
    <row r="3490">
      <c r="A3490" s="122" t="s">
        <v>7422</v>
      </c>
      <c r="B3490" s="123">
        <v>1749704.0</v>
      </c>
      <c r="C3490" s="124" t="s">
        <v>7423</v>
      </c>
      <c r="D3490" s="125"/>
      <c r="E3490" s="126">
        <v>7.24</v>
      </c>
      <c r="F3490" s="127"/>
      <c r="G3490" s="127"/>
      <c r="H3490" s="127"/>
      <c r="I3490" s="128"/>
      <c r="K3490" s="105" t="str">
        <f>IFERROR(__xludf.DUMMYFUNCTION("if(A3490="""","""",substitute(SUBSTITUTE(index(importhtml(""http://finviz.com/quote.ashx?t=""&amp;A3490,""table"",10),7,2),""*"",""""),""-"",""0.00""))"),"Loading...")</f>
        <v>Loading...</v>
      </c>
      <c r="L3490" s="129">
        <v>9.76273425E8</v>
      </c>
      <c r="M3490" s="99">
        <v>1.89</v>
      </c>
    </row>
    <row r="3491">
      <c r="A3491" s="122" t="s">
        <v>7424</v>
      </c>
      <c r="B3491" s="123">
        <v>814083.0</v>
      </c>
      <c r="C3491" s="124" t="s">
        <v>7425</v>
      </c>
      <c r="D3491" s="125"/>
      <c r="E3491" s="126">
        <v>7.25</v>
      </c>
      <c r="F3491" s="127"/>
      <c r="G3491" s="127"/>
      <c r="H3491" s="127"/>
      <c r="I3491" s="128"/>
      <c r="K3491" s="55" t="s">
        <v>7426</v>
      </c>
      <c r="L3491" s="129">
        <v>1.5765009E9</v>
      </c>
      <c r="M3491" s="99">
        <v>1.08</v>
      </c>
    </row>
    <row r="3492">
      <c r="A3492" s="122" t="s">
        <v>7427</v>
      </c>
      <c r="B3492" s="123">
        <v>1705012.0</v>
      </c>
      <c r="C3492" s="124" t="s">
        <v>7428</v>
      </c>
      <c r="D3492" s="125"/>
      <c r="E3492" s="126">
        <v>7.25</v>
      </c>
      <c r="F3492" s="127"/>
      <c r="G3492" s="127"/>
      <c r="H3492" s="127"/>
      <c r="I3492" s="128"/>
      <c r="K3492" s="105" t="str">
        <f>IFERROR(__xludf.DUMMYFUNCTION("if(A3492="""","""",substitute(SUBSTITUTE(index(importhtml(""http://finviz.com/quote.ashx?t=""&amp;A3492,""table"",10),7,2),""*"",""""),""-"",""0.00""))"),"Loading...")</f>
        <v>Loading...</v>
      </c>
      <c r="L3492" s="129">
        <v>1.40454457E8</v>
      </c>
      <c r="M3492" s="99">
        <f>IFERROR(__xludf.DUMMYFUNCTION("GOOGLEFINANCE(A3492,""beta"")"),0.9)</f>
        <v>0.9</v>
      </c>
    </row>
    <row r="3493">
      <c r="A3493" s="122" t="s">
        <v>7429</v>
      </c>
      <c r="B3493" s="123">
        <v>1882958.0</v>
      </c>
      <c r="C3493" s="124" t="s">
        <v>7430</v>
      </c>
      <c r="D3493" s="125"/>
      <c r="E3493" s="126">
        <v>7.25</v>
      </c>
      <c r="F3493" s="127"/>
      <c r="G3493" s="127"/>
      <c r="H3493" s="127"/>
      <c r="I3493" s="128"/>
      <c r="K3493" s="105" t="str">
        <f>IFERROR(__xludf.DUMMYFUNCTION("if(A3493="""","""",substitute(SUBSTITUTE(index(importhtml(""http://finviz.com/quote.ashx?t=""&amp;A3493,""table"",10),7,2),""*"",""""),""-"",""0.00""))"),"Loading...")</f>
        <v>Loading...</v>
      </c>
      <c r="L3493" s="129">
        <v>6.01818947E8</v>
      </c>
      <c r="M3493" s="99">
        <v>0.88</v>
      </c>
    </row>
    <row r="3494">
      <c r="A3494" s="122" t="s">
        <v>7431</v>
      </c>
      <c r="B3494" s="123">
        <v>1834489.0</v>
      </c>
      <c r="C3494" s="124" t="s">
        <v>7432</v>
      </c>
      <c r="D3494" s="125"/>
      <c r="E3494" s="126">
        <v>7.25</v>
      </c>
      <c r="F3494" s="127"/>
      <c r="G3494" s="127"/>
      <c r="H3494" s="127"/>
      <c r="I3494" s="128"/>
      <c r="K3494" s="105" t="str">
        <f>IFERROR(__xludf.DUMMYFUNCTION("if(A3494="""","""",substitute(SUBSTITUTE(index(importhtml(""http://finviz.com/quote.ashx?t=""&amp;A3494,""table"",10),7,2),""*"",""""),""-"",""0.00""))"),"Loading...")</f>
        <v>Loading...</v>
      </c>
      <c r="L3494" s="129">
        <v>1.677804425E9</v>
      </c>
      <c r="M3494" s="99">
        <v>2.03</v>
      </c>
    </row>
    <row r="3495">
      <c r="A3495" s="122" t="s">
        <v>7433</v>
      </c>
      <c r="B3495" s="123">
        <v>898171.0</v>
      </c>
      <c r="C3495" s="124" t="s">
        <v>7434</v>
      </c>
      <c r="D3495" s="125"/>
      <c r="E3495" s="126">
        <v>7.26</v>
      </c>
      <c r="F3495" s="127"/>
      <c r="G3495" s="127"/>
      <c r="H3495" s="127"/>
      <c r="I3495" s="128"/>
      <c r="K3495" s="105" t="str">
        <f>IFERROR(__xludf.DUMMYFUNCTION("if(A3495="""","""",substitute(SUBSTITUTE(index(importhtml(""http://finviz.com/quote.ashx?t=""&amp;A3495,""table"",10),7,2),""*"",""""),""-"",""0.00""))"),"Loading...")</f>
        <v>Loading...</v>
      </c>
      <c r="L3495" s="129">
        <v>5.208558E7</v>
      </c>
      <c r="M3495" s="99">
        <v>0.34</v>
      </c>
    </row>
    <row r="3496">
      <c r="A3496" s="122" t="s">
        <v>7435</v>
      </c>
      <c r="B3496" s="123">
        <v>1333493.0</v>
      </c>
      <c r="C3496" s="124" t="s">
        <v>7436</v>
      </c>
      <c r="D3496" s="125"/>
      <c r="E3496" s="126">
        <v>7.27</v>
      </c>
      <c r="F3496" s="127"/>
      <c r="G3496" s="127"/>
      <c r="H3496" s="127"/>
      <c r="I3496" s="128"/>
      <c r="K3496" s="105" t="str">
        <f>IFERROR(__xludf.DUMMYFUNCTION("if(A3496="""","""",substitute(SUBSTITUTE(index(importhtml(""http://finviz.com/quote.ashx?t=""&amp;A3496,""table"",10),7,2),""*"",""""),""-"",""0.00""))"),"Loading...")</f>
        <v>Loading...</v>
      </c>
      <c r="L3496" s="129">
        <v>2.06212168E8</v>
      </c>
      <c r="M3496" s="99">
        <v>0.41</v>
      </c>
    </row>
    <row r="3497">
      <c r="A3497" s="122" t="s">
        <v>7437</v>
      </c>
      <c r="B3497" s="123">
        <v>1398805.0</v>
      </c>
      <c r="C3497" s="124" t="s">
        <v>3956</v>
      </c>
      <c r="D3497" s="125"/>
      <c r="E3497" s="126">
        <v>7.28</v>
      </c>
      <c r="F3497" s="127"/>
      <c r="G3497" s="127"/>
      <c r="H3497" s="127"/>
      <c r="I3497" s="128"/>
      <c r="K3497" s="105" t="str">
        <f>IFERROR(__xludf.DUMMYFUNCTION("if(A3497="""","""",substitute(SUBSTITUTE(index(importhtml(""http://finviz.com/quote.ashx?t=""&amp;A3497,""table"",10),7,2),""*"",""""),""-"",""0.00""))"),"Loading...")</f>
        <v>Loading...</v>
      </c>
      <c r="L3497" s="129">
        <v>1.03618863E8</v>
      </c>
      <c r="M3497" s="99">
        <v>1.52</v>
      </c>
    </row>
    <row r="3498">
      <c r="A3498" s="122" t="s">
        <v>7438</v>
      </c>
      <c r="B3498" s="123">
        <v>1697500.0</v>
      </c>
      <c r="C3498" s="124" t="s">
        <v>7439</v>
      </c>
      <c r="D3498" s="125"/>
      <c r="E3498" s="126">
        <v>7.28</v>
      </c>
      <c r="F3498" s="127"/>
      <c r="G3498" s="127"/>
      <c r="H3498" s="127"/>
      <c r="I3498" s="128"/>
      <c r="K3498" s="105" t="str">
        <f>IFERROR(__xludf.DUMMYFUNCTION("if(A3498="""","""",substitute(SUBSTITUTE(index(importhtml(""http://finviz.com/quote.ashx?t=""&amp;A3498,""table"",10),7,2),""*"",""""),""-"",""0.00""))"),"Loading...")</f>
        <v>Loading...</v>
      </c>
      <c r="L3498" s="129">
        <v>3.22163523E8</v>
      </c>
      <c r="M3498" s="99">
        <v>1.28</v>
      </c>
    </row>
    <row r="3499">
      <c r="A3499" s="122" t="s">
        <v>7440</v>
      </c>
      <c r="B3499" s="123">
        <v>1731805.0</v>
      </c>
      <c r="C3499" s="124" t="s">
        <v>7441</v>
      </c>
      <c r="D3499" s="125"/>
      <c r="E3499" s="126">
        <v>7.28</v>
      </c>
      <c r="F3499" s="127"/>
      <c r="G3499" s="127"/>
      <c r="H3499" s="127"/>
      <c r="I3499" s="128"/>
      <c r="K3499" s="105" t="str">
        <f>IFERROR(__xludf.DUMMYFUNCTION("if(A3499="""","""",substitute(SUBSTITUTE(index(importhtml(""http://finviz.com/quote.ashx?t=""&amp;A3499,""table"",10),7,2),""*"",""""),""-"",""0.00""))"),"Loading...")</f>
        <v>Loading...</v>
      </c>
      <c r="L3499" s="129">
        <v>8.70057725E8</v>
      </c>
      <c r="M3499" s="99" t="str">
        <f>IFERROR(__xludf.DUMMYFUNCTION("GOOGLEFINANCE(A3499,""beta"")"),"#N/A")</f>
        <v>#N/A</v>
      </c>
    </row>
    <row r="3500">
      <c r="A3500" s="122" t="s">
        <v>7442</v>
      </c>
      <c r="B3500" s="123">
        <v>1445475.0</v>
      </c>
      <c r="C3500" s="124" t="s">
        <v>7443</v>
      </c>
      <c r="D3500" s="125"/>
      <c r="E3500" s="126">
        <v>7.28</v>
      </c>
      <c r="F3500" s="127"/>
      <c r="G3500" s="127"/>
      <c r="H3500" s="127"/>
      <c r="I3500" s="128"/>
      <c r="K3500" s="105" t="str">
        <f>IFERROR(__xludf.DUMMYFUNCTION("if(A3500="""","""",substitute(SUBSTITUTE(index(importhtml(""http://finviz.com/quote.ashx?t=""&amp;A3500,""table"",10),7,2),""*"",""""),""-"",""0.00""))"),"Loading...")</f>
        <v>Loading...</v>
      </c>
      <c r="L3500" s="129">
        <v>1.2947693106E10</v>
      </c>
      <c r="M3500" s="99">
        <v>0.88</v>
      </c>
    </row>
    <row r="3501">
      <c r="A3501" s="122" t="s">
        <v>7444</v>
      </c>
      <c r="B3501" s="123">
        <v>1879248.0</v>
      </c>
      <c r="C3501" s="124" t="s">
        <v>3499</v>
      </c>
      <c r="D3501" s="125"/>
      <c r="E3501" s="126">
        <v>7.29</v>
      </c>
      <c r="F3501" s="127"/>
      <c r="G3501" s="127"/>
      <c r="H3501" s="127"/>
      <c r="I3501" s="128"/>
      <c r="K3501" s="105" t="str">
        <f>IFERROR(__xludf.DUMMYFUNCTION("if(A3501="""","""",substitute(SUBSTITUTE(index(importhtml(""http://finviz.com/quote.ashx?t=""&amp;A3501,""table"",10),7,2),""*"",""""),""-"",""0.00""))"),"Loading...")</f>
        <v>Loading...</v>
      </c>
      <c r="L3501" s="129">
        <v>3.6795954E8</v>
      </c>
      <c r="M3501" s="99">
        <f>IFERROR(__xludf.DUMMYFUNCTION("GOOGLEFINANCE(A3501,""beta"")"),0.37)</f>
        <v>0.37</v>
      </c>
    </row>
    <row r="3502">
      <c r="A3502" s="122" t="s">
        <v>7445</v>
      </c>
      <c r="B3502" s="123">
        <v>1512931.0</v>
      </c>
      <c r="C3502" s="124" t="s">
        <v>7446</v>
      </c>
      <c r="D3502" s="125"/>
      <c r="E3502" s="126">
        <v>7.3</v>
      </c>
      <c r="F3502" s="127"/>
      <c r="G3502" s="127"/>
      <c r="H3502" s="127"/>
      <c r="I3502" s="128"/>
      <c r="K3502" s="105" t="str">
        <f>IFERROR(__xludf.DUMMYFUNCTION("if(A3502="""","""",substitute(SUBSTITUTE(index(importhtml(""http://finviz.com/quote.ashx?t=""&amp;A3502,""table"",10),7,2),""*"",""""),""-"",""0.00""))"),"Loading...")</f>
        <v>Loading...</v>
      </c>
      <c r="L3502" s="129">
        <v>1.58164213E8</v>
      </c>
      <c r="M3502" s="99">
        <v>1.03</v>
      </c>
    </row>
    <row r="3503">
      <c r="A3503" s="122" t="s">
        <v>7447</v>
      </c>
      <c r="B3503" s="123">
        <v>1705012.0</v>
      </c>
      <c r="C3503" s="124" t="s">
        <v>7448</v>
      </c>
      <c r="D3503" s="125"/>
      <c r="E3503" s="126">
        <v>7.32</v>
      </c>
      <c r="F3503" s="127"/>
      <c r="G3503" s="127"/>
      <c r="H3503" s="127"/>
      <c r="I3503" s="128"/>
      <c r="K3503" s="105" t="str">
        <f>IFERROR(__xludf.DUMMYFUNCTION("if(A3503="""","""",substitute(SUBSTITUTE(index(importhtml(""http://finviz.com/quote.ashx?t=""&amp;A3503,""table"",10),7,2),""*"",""""),""-"",""0.00""))"),"Loading...")</f>
        <v>Loading...</v>
      </c>
      <c r="L3503" s="129">
        <v>1.40454457E8</v>
      </c>
      <c r="M3503" s="99">
        <v>2.68</v>
      </c>
    </row>
    <row r="3504">
      <c r="A3504" s="122" t="s">
        <v>7449</v>
      </c>
      <c r="B3504" s="123">
        <v>1166258.0</v>
      </c>
      <c r="C3504" s="124" t="s">
        <v>7450</v>
      </c>
      <c r="D3504" s="125"/>
      <c r="E3504" s="126">
        <v>7.33</v>
      </c>
      <c r="F3504" s="127"/>
      <c r="G3504" s="127"/>
      <c r="H3504" s="127"/>
      <c r="I3504" s="128"/>
      <c r="K3504" s="105" t="str">
        <f>IFERROR(__xludf.DUMMYFUNCTION("if(A3504="""","""",substitute(SUBSTITUTE(index(importhtml(""http://finviz.com/quote.ashx?t=""&amp;A3504,""table"",10),7,2),""*"",""""),""-"",""0.00""))"),"Loading...")</f>
        <v>Loading...</v>
      </c>
      <c r="L3504" s="129">
        <v>2.15074145E8</v>
      </c>
      <c r="M3504" s="99">
        <v>0.91</v>
      </c>
    </row>
    <row r="3505">
      <c r="A3505" s="122" t="s">
        <v>7451</v>
      </c>
      <c r="B3505" s="123">
        <v>1737953.0</v>
      </c>
      <c r="C3505" s="124" t="s">
        <v>7452</v>
      </c>
      <c r="D3505" s="125"/>
      <c r="E3505" s="126">
        <v>7.34</v>
      </c>
      <c r="F3505" s="127"/>
      <c r="G3505" s="127"/>
      <c r="H3505" s="127"/>
      <c r="I3505" s="128"/>
      <c r="K3505" s="105" t="str">
        <f>IFERROR(__xludf.DUMMYFUNCTION("if(A3505="""","""",substitute(SUBSTITUTE(index(importhtml(""http://finviz.com/quote.ashx?t=""&amp;A3505,""table"",10),7,2),""*"",""""),""-"",""0.00""))"),"Loading...")</f>
        <v>Loading...</v>
      </c>
      <c r="L3505" s="129">
        <v>4.33495638E8</v>
      </c>
      <c r="M3505" s="99">
        <v>1.22</v>
      </c>
    </row>
    <row r="3506">
      <c r="A3506" s="122" t="s">
        <v>7453</v>
      </c>
      <c r="B3506" s="123">
        <v>825345.0</v>
      </c>
      <c r="C3506" s="124" t="s">
        <v>7454</v>
      </c>
      <c r="D3506" s="125"/>
      <c r="E3506" s="126">
        <v>7.35</v>
      </c>
      <c r="F3506" s="127"/>
      <c r="G3506" s="127"/>
      <c r="H3506" s="127"/>
      <c r="I3506" s="128"/>
      <c r="K3506" s="105" t="str">
        <f>IFERROR(__xludf.DUMMYFUNCTION("if(A3506="""","""",substitute(SUBSTITUTE(index(importhtml(""http://finviz.com/quote.ashx?t=""&amp;A3506,""table"",10),7,2),""*"",""""),""-"",""0.00""))"),"Loading...")</f>
        <v>Loading...</v>
      </c>
      <c r="L3506" s="129">
        <v>1.71804336E8</v>
      </c>
      <c r="M3506" s="99">
        <v>0.81</v>
      </c>
    </row>
    <row r="3507">
      <c r="A3507" s="122" t="s">
        <v>7455</v>
      </c>
      <c r="B3507" s="123">
        <v>1760854.0</v>
      </c>
      <c r="C3507" s="124" t="s">
        <v>7456</v>
      </c>
      <c r="D3507" s="125"/>
      <c r="E3507" s="126">
        <v>7.35</v>
      </c>
      <c r="F3507" s="127"/>
      <c r="G3507" s="127"/>
      <c r="H3507" s="127"/>
      <c r="I3507" s="128"/>
      <c r="K3507" s="105" t="str">
        <f>IFERROR(__xludf.DUMMYFUNCTION("if(A3507="""","""",substitute(SUBSTITUTE(index(importhtml(""http://finviz.com/quote.ashx?t=""&amp;A3507,""table"",10),7,2),""*"",""""),""-"",""0.00""))"),"Loading...")</f>
        <v>Loading...</v>
      </c>
      <c r="L3507" s="129">
        <v>3.69127505E8</v>
      </c>
      <c r="M3507" s="99">
        <v>0.22</v>
      </c>
    </row>
    <row r="3508">
      <c r="A3508" s="122" t="s">
        <v>7457</v>
      </c>
      <c r="B3508" s="123">
        <v>314203.0</v>
      </c>
      <c r="C3508" s="124" t="s">
        <v>7458</v>
      </c>
      <c r="D3508" s="125"/>
      <c r="E3508" s="126">
        <v>7.37</v>
      </c>
      <c r="F3508" s="127"/>
      <c r="G3508" s="127"/>
      <c r="H3508" s="127"/>
      <c r="I3508" s="128"/>
      <c r="K3508" s="105" t="str">
        <f>IFERROR(__xludf.DUMMYFUNCTION("if(A3508="""","""",substitute(SUBSTITUTE(index(importhtml(""http://finviz.com/quote.ashx?t=""&amp;A3508,""table"",10),7,2),""*"",""""),""-"",""0.00""))"),"Loading...")</f>
        <v>Loading...</v>
      </c>
      <c r="L3508" s="129">
        <v>3.64040112E8</v>
      </c>
      <c r="M3508" s="99">
        <v>1.48</v>
      </c>
    </row>
    <row r="3509">
      <c r="A3509" s="122" t="s">
        <v>7459</v>
      </c>
      <c r="B3509" s="123">
        <v>1490161.0</v>
      </c>
      <c r="C3509" s="124" t="s">
        <v>7460</v>
      </c>
      <c r="D3509" s="125"/>
      <c r="E3509" s="126">
        <v>7.4</v>
      </c>
      <c r="F3509" s="127"/>
      <c r="G3509" s="127"/>
      <c r="H3509" s="127"/>
      <c r="I3509" s="128"/>
      <c r="K3509" s="105" t="str">
        <f>IFERROR(__xludf.DUMMYFUNCTION("if(A3509="""","""",substitute(SUBSTITUTE(index(importhtml(""http://finviz.com/quote.ashx?t=""&amp;A3509,""table"",10),7,2),""*"",""""),""-"",""0.00""))"),"Loading...")</f>
        <v>Loading...</v>
      </c>
      <c r="L3509" s="129">
        <v>4.4617345E7</v>
      </c>
      <c r="M3509" s="99">
        <v>1.52</v>
      </c>
    </row>
    <row r="3510">
      <c r="A3510" s="122" t="s">
        <v>7461</v>
      </c>
      <c r="B3510" s="123">
        <v>922358.0</v>
      </c>
      <c r="C3510" s="124" t="s">
        <v>7462</v>
      </c>
      <c r="D3510" s="125"/>
      <c r="E3510" s="126">
        <v>7.42</v>
      </c>
      <c r="F3510" s="127"/>
      <c r="G3510" s="127"/>
      <c r="H3510" s="127"/>
      <c r="I3510" s="128"/>
      <c r="K3510" s="105" t="str">
        <f>IFERROR(__xludf.DUMMYFUNCTION("if(A3510="""","""",substitute(SUBSTITUTE(index(importhtml(""http://finviz.com/quote.ashx?t=""&amp;A3510,""table"",10),7,2),""*"",""""),""-"",""0.00""))"),"Loading...")</f>
        <v>Loading...</v>
      </c>
      <c r="L3510" s="129">
        <v>3.6043429E7</v>
      </c>
      <c r="M3510" s="99">
        <f>IFERROR(__xludf.DUMMYFUNCTION("GOOGLEFINANCE(A3510,""beta"")"),0.69)</f>
        <v>0.69</v>
      </c>
    </row>
    <row r="3511">
      <c r="A3511" s="122" t="s">
        <v>7463</v>
      </c>
      <c r="B3511" s="123">
        <v>1703079.0</v>
      </c>
      <c r="C3511" s="124" t="s">
        <v>7464</v>
      </c>
      <c r="D3511" s="125"/>
      <c r="E3511" s="126">
        <v>7.42</v>
      </c>
      <c r="F3511" s="127"/>
      <c r="G3511" s="127"/>
      <c r="H3511" s="127"/>
      <c r="I3511" s="128"/>
      <c r="K3511" s="105" t="str">
        <f>IFERROR(__xludf.DUMMYFUNCTION("if(A3511="""","""",substitute(SUBSTITUTE(index(importhtml(""http://finviz.com/quote.ashx?t=""&amp;A3511,""table"",10),7,2),""*"",""""),""-"",""0.00""))"),"Loading...")</f>
        <v>Loading...</v>
      </c>
      <c r="L3511" s="129" t="e">
        <v>#N/A</v>
      </c>
      <c r="M3511" s="99">
        <v>0.72</v>
      </c>
    </row>
    <row r="3512">
      <c r="A3512" s="122" t="s">
        <v>7465</v>
      </c>
      <c r="B3512" s="123">
        <v>1181506.0</v>
      </c>
      <c r="C3512" s="124" t="s">
        <v>7466</v>
      </c>
      <c r="D3512" s="125"/>
      <c r="E3512" s="126">
        <v>7.44</v>
      </c>
      <c r="F3512" s="127"/>
      <c r="G3512" s="127"/>
      <c r="H3512" s="127"/>
      <c r="I3512" s="128"/>
      <c r="K3512" s="105" t="str">
        <f>IFERROR(__xludf.DUMMYFUNCTION("if(A3512="""","""",substitute(SUBSTITUTE(index(importhtml(""http://finviz.com/quote.ashx?t=""&amp;A3512,""table"",10),7,2),""*"",""""),""-"",""0.00""))"),"Loading...")</f>
        <v>Loading...</v>
      </c>
      <c r="L3512" s="129">
        <v>2.48706628E8</v>
      </c>
      <c r="M3512" s="99">
        <v>0.76</v>
      </c>
    </row>
    <row r="3513">
      <c r="A3513" s="122" t="s">
        <v>7467</v>
      </c>
      <c r="B3513" s="123">
        <v>1116463.0</v>
      </c>
      <c r="C3513" s="124" t="s">
        <v>7468</v>
      </c>
      <c r="D3513" s="125"/>
      <c r="E3513" s="126">
        <v>7.44</v>
      </c>
      <c r="F3513" s="127"/>
      <c r="G3513" s="127"/>
      <c r="H3513" s="127"/>
      <c r="I3513" s="128"/>
      <c r="K3513" s="105" t="str">
        <f>IFERROR(__xludf.DUMMYFUNCTION("if(A3513="""","""",substitute(SUBSTITUTE(index(importhtml(""http://finviz.com/quote.ashx?t=""&amp;A3513,""table"",10),7,2),""*"",""""),""-"",""0.00""))"),"Loading...")</f>
        <v>Loading...</v>
      </c>
      <c r="L3513" s="129">
        <v>5.46722973E8</v>
      </c>
      <c r="M3513" s="99">
        <v>0.16</v>
      </c>
    </row>
    <row r="3514">
      <c r="A3514" s="122" t="s">
        <v>7469</v>
      </c>
      <c r="B3514" s="123">
        <v>1131554.0</v>
      </c>
      <c r="C3514" s="124" t="s">
        <v>7470</v>
      </c>
      <c r="D3514" s="125"/>
      <c r="E3514" s="126">
        <v>7.45</v>
      </c>
      <c r="F3514" s="127"/>
      <c r="G3514" s="127"/>
      <c r="H3514" s="127"/>
      <c r="I3514" s="128"/>
      <c r="K3514" s="105" t="str">
        <f>IFERROR(__xludf.DUMMYFUNCTION("if(A3514="""","""",substitute(SUBSTITUTE(index(importhtml(""http://finviz.com/quote.ashx?t=""&amp;A3514,""table"",10),7,2),""*"",""""),""-"",""0.00""))"),"Loading...")</f>
        <v>Loading...</v>
      </c>
      <c r="L3514" s="129">
        <v>7.7262085E7</v>
      </c>
      <c r="M3514" s="99">
        <v>1.63</v>
      </c>
    </row>
    <row r="3515">
      <c r="A3515" s="122" t="s">
        <v>7471</v>
      </c>
      <c r="B3515" s="123">
        <v>1387061.0</v>
      </c>
      <c r="C3515" s="124" t="s">
        <v>7472</v>
      </c>
      <c r="D3515" s="125"/>
      <c r="E3515" s="126">
        <v>7.45</v>
      </c>
      <c r="F3515" s="127"/>
      <c r="G3515" s="127"/>
      <c r="H3515" s="127"/>
      <c r="I3515" s="128"/>
      <c r="K3515" s="105" t="str">
        <f>IFERROR(__xludf.DUMMYFUNCTION("if(A3515="""","""",substitute(SUBSTITUTE(index(importhtml(""http://finviz.com/quote.ashx?t=""&amp;A3515,""table"",10),7,2),""*"",""""),""-"",""0.00""))"),"Loading...")</f>
        <v>Loading...</v>
      </c>
      <c r="L3515" s="129">
        <v>1.49745E8</v>
      </c>
      <c r="M3515" s="99" t="str">
        <f>IFERROR(__xludf.DUMMYFUNCTION("GOOGLEFINANCE(A3515,""beta"")"),"#N/A")</f>
        <v>#N/A</v>
      </c>
    </row>
    <row r="3516">
      <c r="A3516" s="122" t="s">
        <v>7473</v>
      </c>
      <c r="B3516" s="123">
        <v>1640266.0</v>
      </c>
      <c r="C3516" s="124" t="s">
        <v>7474</v>
      </c>
      <c r="D3516" s="125"/>
      <c r="E3516" s="126">
        <v>7.45</v>
      </c>
      <c r="F3516" s="127"/>
      <c r="G3516" s="127"/>
      <c r="H3516" s="127"/>
      <c r="I3516" s="128"/>
      <c r="K3516" s="105" t="str">
        <f>IFERROR(__xludf.DUMMYFUNCTION("if(A3516="""","""",substitute(SUBSTITUTE(index(importhtml(""http://finviz.com/quote.ashx?t=""&amp;A3516,""table"",10),7,2),""*"",""""),""-"",""0.00""))"),"Loading...")</f>
        <v>Loading...</v>
      </c>
      <c r="L3516" s="129">
        <v>4.01736695E8</v>
      </c>
      <c r="M3516" s="99">
        <v>0.98</v>
      </c>
    </row>
    <row r="3517">
      <c r="A3517" s="122" t="s">
        <v>7475</v>
      </c>
      <c r="B3517" s="123">
        <v>1870940.0</v>
      </c>
      <c r="C3517" s="124" t="s">
        <v>7476</v>
      </c>
      <c r="D3517" s="125"/>
      <c r="E3517" s="126">
        <v>7.45</v>
      </c>
      <c r="F3517" s="127"/>
      <c r="G3517" s="127"/>
      <c r="H3517" s="127"/>
      <c r="I3517" s="128"/>
      <c r="K3517" s="105" t="str">
        <f>IFERROR(__xludf.DUMMYFUNCTION("if(A3517="""","""",substitute(SUBSTITUTE(index(importhtml(""http://finviz.com/quote.ashx?t=""&amp;A3517,""table"",10),7,2),""*"",""""),""-"",""0.00""))"),"Loading...")</f>
        <v>Loading...</v>
      </c>
      <c r="L3517" s="129">
        <v>4.2729973E8</v>
      </c>
      <c r="M3517" s="99">
        <f>IFERROR(__xludf.DUMMYFUNCTION("GOOGLEFINANCE(A3517,""beta"")"),2.51)</f>
        <v>2.51</v>
      </c>
    </row>
    <row r="3518">
      <c r="A3518" s="122" t="s">
        <v>7477</v>
      </c>
      <c r="B3518" s="123">
        <v>1698508.0</v>
      </c>
      <c r="C3518" s="124" t="s">
        <v>7478</v>
      </c>
      <c r="D3518" s="125"/>
      <c r="E3518" s="126">
        <v>7.45</v>
      </c>
      <c r="F3518" s="127"/>
      <c r="G3518" s="127"/>
      <c r="H3518" s="127"/>
      <c r="I3518" s="128"/>
      <c r="K3518" s="105" t="str">
        <f>IFERROR(__xludf.DUMMYFUNCTION("if(A3518="""","""",substitute(SUBSTITUTE(index(importhtml(""http://finviz.com/quote.ashx?t=""&amp;A3518,""table"",10),7,2),""*"",""""),""-"",""0.00""))"),"Loading...")</f>
        <v>Loading...</v>
      </c>
      <c r="L3518" s="129" t="e">
        <v>#N/A</v>
      </c>
      <c r="M3518" s="99">
        <v>0.38</v>
      </c>
    </row>
    <row r="3519">
      <c r="A3519" s="122" t="s">
        <v>7479</v>
      </c>
      <c r="B3519" s="123">
        <v>1181504.0</v>
      </c>
      <c r="C3519" s="124" t="s">
        <v>7480</v>
      </c>
      <c r="D3519" s="125"/>
      <c r="E3519" s="126">
        <v>7.46</v>
      </c>
      <c r="F3519" s="127"/>
      <c r="G3519" s="127"/>
      <c r="H3519" s="127"/>
      <c r="I3519" s="128"/>
      <c r="K3519" s="105" t="str">
        <f>IFERROR(__xludf.DUMMYFUNCTION("if(A3519="""","""",substitute(SUBSTITUTE(index(importhtml(""http://finviz.com/quote.ashx?t=""&amp;A3519,""table"",10),7,2),""*"",""""),""-"",""0.00""))"),"Loading...")</f>
        <v>Loading...</v>
      </c>
      <c r="L3519" s="129">
        <v>1.67731013E8</v>
      </c>
      <c r="M3519" s="99" t="str">
        <f>IFERROR(__xludf.DUMMYFUNCTION("GOOGLEFINANCE(A3519,""beta"")"),"#N/A")</f>
        <v>#N/A</v>
      </c>
    </row>
    <row r="3520">
      <c r="A3520" s="122" t="s">
        <v>7481</v>
      </c>
      <c r="B3520" s="123">
        <v>1296250.0</v>
      </c>
      <c r="C3520" s="124" t="s">
        <v>7482</v>
      </c>
      <c r="D3520" s="125"/>
      <c r="E3520" s="126">
        <v>7.46</v>
      </c>
      <c r="F3520" s="127"/>
      <c r="G3520" s="127"/>
      <c r="H3520" s="127"/>
      <c r="I3520" s="128"/>
      <c r="K3520" s="105" t="str">
        <f>IFERROR(__xludf.DUMMYFUNCTION("if(A3520="""","""",substitute(SUBSTITUTE(index(importhtml(""http://finviz.com/quote.ashx?t=""&amp;A3520,""table"",10),7,2),""*"",""""),""-"",""0.00""))"),"Loading...")</f>
        <v>Loading...</v>
      </c>
      <c r="L3520" s="129">
        <v>6.26046784E8</v>
      </c>
      <c r="M3520" s="99">
        <v>0.81</v>
      </c>
    </row>
    <row r="3521">
      <c r="A3521" s="122" t="s">
        <v>7483</v>
      </c>
      <c r="B3521" s="123">
        <v>1276469.0</v>
      </c>
      <c r="C3521" s="124" t="s">
        <v>7484</v>
      </c>
      <c r="D3521" s="125"/>
      <c r="E3521" s="126">
        <v>7.47</v>
      </c>
      <c r="F3521" s="127"/>
      <c r="G3521" s="127"/>
      <c r="H3521" s="127"/>
      <c r="I3521" s="128"/>
      <c r="K3521" s="105" t="str">
        <f>IFERROR(__xludf.DUMMYFUNCTION("if(A3521="""","""",substitute(SUBSTITUTE(index(importhtml(""http://finviz.com/quote.ashx?t=""&amp;A3521,""table"",10),7,2),""*"",""""),""-"",""0.00""))"),"Loading...")</f>
        <v>Loading...</v>
      </c>
      <c r="L3521" s="129">
        <v>6.3849382E7</v>
      </c>
      <c r="M3521" s="99">
        <v>0.96</v>
      </c>
    </row>
    <row r="3522">
      <c r="A3522" s="122" t="s">
        <v>7485</v>
      </c>
      <c r="B3522" s="123">
        <v>1725255.0</v>
      </c>
      <c r="C3522" s="124" t="s">
        <v>7486</v>
      </c>
      <c r="D3522" s="125"/>
      <c r="E3522" s="126">
        <v>7.47</v>
      </c>
      <c r="F3522" s="127"/>
      <c r="G3522" s="127"/>
      <c r="H3522" s="127"/>
      <c r="I3522" s="128"/>
      <c r="K3522" s="105" t="str">
        <f>IFERROR(__xludf.DUMMYFUNCTION("if(A3522="""","""",substitute(SUBSTITUTE(index(importhtml(""http://finviz.com/quote.ashx?t=""&amp;A3522,""table"",10),7,2),""*"",""""),""-"",""0.00""))"),"Loading...")</f>
        <v>Loading...</v>
      </c>
      <c r="L3522" s="129">
        <v>1.018830283E9</v>
      </c>
      <c r="M3522" s="99">
        <v>0.91</v>
      </c>
    </row>
    <row r="3523">
      <c r="A3523" s="122" t="s">
        <v>7487</v>
      </c>
      <c r="B3523" s="123">
        <v>922864.0</v>
      </c>
      <c r="C3523" s="124" t="s">
        <v>7488</v>
      </c>
      <c r="D3523" s="125"/>
      <c r="E3523" s="126">
        <v>7.48</v>
      </c>
      <c r="F3523" s="127"/>
      <c r="G3523" s="127"/>
      <c r="H3523" s="127"/>
      <c r="I3523" s="128"/>
      <c r="K3523" s="55" t="s">
        <v>1034</v>
      </c>
      <c r="L3523" s="129">
        <v>4.821360447E9</v>
      </c>
      <c r="M3523" s="99">
        <v>1.12</v>
      </c>
    </row>
    <row r="3524">
      <c r="A3524" s="122" t="s">
        <v>7489</v>
      </c>
      <c r="B3524" s="123">
        <v>1624658.0</v>
      </c>
      <c r="C3524" s="124" t="s">
        <v>7490</v>
      </c>
      <c r="D3524" s="125"/>
      <c r="E3524" s="126">
        <v>7.5</v>
      </c>
      <c r="F3524" s="127"/>
      <c r="G3524" s="127"/>
      <c r="H3524" s="127"/>
      <c r="I3524" s="128"/>
      <c r="K3524" s="105" t="str">
        <f>IFERROR(__xludf.DUMMYFUNCTION("if(A3524="""","""",substitute(SUBSTITUTE(index(importhtml(""http://finviz.com/quote.ashx?t=""&amp;A3524,""table"",10),7,2),""*"",""""),""-"",""0.00""))"),"Loading...")</f>
        <v>Loading...</v>
      </c>
      <c r="L3524" s="129">
        <v>1702302.0</v>
      </c>
      <c r="M3524" s="99" t="str">
        <f>IFERROR(__xludf.DUMMYFUNCTION("GOOGLEFINANCE(A3524,""beta"")"),"#N/A")</f>
        <v>#N/A</v>
      </c>
    </row>
    <row r="3525">
      <c r="A3525" s="122" t="s">
        <v>7491</v>
      </c>
      <c r="B3525" s="123">
        <v>1392694.0</v>
      </c>
      <c r="C3525" s="124" t="s">
        <v>7492</v>
      </c>
      <c r="D3525" s="125"/>
      <c r="E3525" s="126">
        <v>7.51</v>
      </c>
      <c r="F3525" s="127"/>
      <c r="G3525" s="127"/>
      <c r="H3525" s="127"/>
      <c r="I3525" s="128"/>
      <c r="K3525" s="105" t="str">
        <f>IFERROR(__xludf.DUMMYFUNCTION("if(A3525="""","""",substitute(SUBSTITUTE(index(importhtml(""http://finviz.com/quote.ashx?t=""&amp;A3525,""table"",10),7,2),""*"",""""),""-"",""0.00""))"),"Loading...")</f>
        <v>Loading...</v>
      </c>
      <c r="L3525" s="129">
        <v>1.27236451E8</v>
      </c>
      <c r="M3525" s="99">
        <v>1.58</v>
      </c>
    </row>
    <row r="3526">
      <c r="A3526" s="122" t="s">
        <v>7493</v>
      </c>
      <c r="B3526" s="123">
        <v>1666071.0</v>
      </c>
      <c r="C3526" s="124" t="s">
        <v>7494</v>
      </c>
      <c r="D3526" s="125"/>
      <c r="E3526" s="126">
        <v>7.51</v>
      </c>
      <c r="F3526" s="127"/>
      <c r="G3526" s="127"/>
      <c r="H3526" s="127"/>
      <c r="I3526" s="128"/>
      <c r="K3526" s="105" t="str">
        <f>IFERROR(__xludf.DUMMYFUNCTION("if(A3526="""","""",substitute(SUBSTITUTE(index(importhtml(""http://finviz.com/quote.ashx?t=""&amp;A3526,""table"",10),7,2),""*"",""""),""-"",""0.00""))"),"Loading...")</f>
        <v>Loading...</v>
      </c>
      <c r="L3526" s="129">
        <v>2.947986E8</v>
      </c>
      <c r="M3526" s="99">
        <v>1.35</v>
      </c>
    </row>
    <row r="3527">
      <c r="A3527" s="122" t="s">
        <v>7495</v>
      </c>
      <c r="B3527" s="123">
        <v>1336917.0</v>
      </c>
      <c r="C3527" s="124" t="s">
        <v>7496</v>
      </c>
      <c r="D3527" s="125"/>
      <c r="E3527" s="126">
        <v>7.52</v>
      </c>
      <c r="F3527" s="127"/>
      <c r="G3527" s="127"/>
      <c r="H3527" s="127"/>
      <c r="I3527" s="128"/>
      <c r="K3527" s="55" t="s">
        <v>1034</v>
      </c>
      <c r="L3527" s="129">
        <v>3.4035675E9</v>
      </c>
      <c r="M3527" s="99">
        <v>1.63</v>
      </c>
    </row>
    <row r="3528">
      <c r="A3528" s="122" t="s">
        <v>7497</v>
      </c>
      <c r="B3528" s="123">
        <v>847411.0</v>
      </c>
      <c r="C3528" s="124" t="s">
        <v>7498</v>
      </c>
      <c r="D3528" s="125"/>
      <c r="E3528" s="126">
        <v>7.52</v>
      </c>
      <c r="F3528" s="127"/>
      <c r="G3528" s="127"/>
      <c r="H3528" s="127"/>
      <c r="I3528" s="128"/>
      <c r="K3528" s="55" t="s">
        <v>5543</v>
      </c>
      <c r="L3528" s="129">
        <v>6.8509042E7</v>
      </c>
      <c r="M3528" s="99">
        <v>0.55</v>
      </c>
    </row>
    <row r="3529">
      <c r="A3529" s="122" t="s">
        <v>7499</v>
      </c>
      <c r="B3529" s="123">
        <v>1524025.0</v>
      </c>
      <c r="C3529" s="124" t="s">
        <v>7500</v>
      </c>
      <c r="D3529" s="125"/>
      <c r="E3529" s="126">
        <v>7.52</v>
      </c>
      <c r="F3529" s="127"/>
      <c r="G3529" s="127"/>
      <c r="H3529" s="127"/>
      <c r="I3529" s="128"/>
      <c r="K3529" s="105" t="str">
        <f>IFERROR(__xludf.DUMMYFUNCTION("if(A3529="""","""",substitute(SUBSTITUTE(index(importhtml(""http://finviz.com/quote.ashx?t=""&amp;A3529,""table"",10),7,2),""*"",""""),""-"",""0.00""))"),"Loading...")</f>
        <v>Loading...</v>
      </c>
      <c r="L3529" s="129">
        <v>2.25402373E8</v>
      </c>
      <c r="M3529" s="99">
        <v>1.62</v>
      </c>
    </row>
    <row r="3530">
      <c r="A3530" s="122" t="s">
        <v>7501</v>
      </c>
      <c r="B3530" s="123">
        <v>1158289.0</v>
      </c>
      <c r="C3530" s="124" t="s">
        <v>7502</v>
      </c>
      <c r="D3530" s="125"/>
      <c r="E3530" s="126">
        <v>7.53</v>
      </c>
      <c r="F3530" s="127"/>
      <c r="G3530" s="127"/>
      <c r="H3530" s="127"/>
      <c r="I3530" s="128"/>
      <c r="K3530" s="105" t="str">
        <f>IFERROR(__xludf.DUMMYFUNCTION("if(A3530="""","""",substitute(SUBSTITUTE(index(importhtml(""http://finviz.com/quote.ashx?t=""&amp;A3530,""table"",10),7,2),""*"",""""),""-"",""0.00""))"),"Loading...")</f>
        <v>Loading...</v>
      </c>
      <c r="L3530" s="129">
        <v>2.17560229E8</v>
      </c>
      <c r="M3530" s="99">
        <v>1.16</v>
      </c>
    </row>
    <row r="3531">
      <c r="A3531" s="122" t="s">
        <v>7503</v>
      </c>
      <c r="B3531" s="123">
        <v>1584751.0</v>
      </c>
      <c r="C3531" s="124" t="s">
        <v>7504</v>
      </c>
      <c r="D3531" s="125"/>
      <c r="E3531" s="126">
        <v>7.54</v>
      </c>
      <c r="F3531" s="127"/>
      <c r="G3531" s="127"/>
      <c r="H3531" s="127"/>
      <c r="I3531" s="128"/>
      <c r="K3531" s="105" t="str">
        <f>IFERROR(__xludf.DUMMYFUNCTION("if(A3531="""","""",substitute(SUBSTITUTE(index(importhtml(""http://finviz.com/quote.ashx?t=""&amp;A3531,""table"",10),7,2),""*"",""""),""-"",""0.00""))"),"Loading...")</f>
        <v>Loading...</v>
      </c>
      <c r="L3531" s="129">
        <v>1.3731305E7</v>
      </c>
      <c r="M3531" s="99">
        <f>IFERROR(__xludf.DUMMYFUNCTION("GOOGLEFINANCE(A3531,""beta"")"),1.62)</f>
        <v>1.62</v>
      </c>
    </row>
    <row r="3532">
      <c r="A3532" s="122" t="s">
        <v>7505</v>
      </c>
      <c r="B3532" s="123">
        <v>1813914.0</v>
      </c>
      <c r="C3532" s="124" t="s">
        <v>7506</v>
      </c>
      <c r="D3532" s="125"/>
      <c r="E3532" s="126">
        <v>7.55</v>
      </c>
      <c r="F3532" s="127"/>
      <c r="G3532" s="127"/>
      <c r="H3532" s="127"/>
      <c r="I3532" s="128"/>
      <c r="K3532" s="105" t="str">
        <f>IFERROR(__xludf.DUMMYFUNCTION("if(A3532="""","""",substitute(SUBSTITUTE(index(importhtml(""http://finviz.com/quote.ashx?t=""&amp;A3532,""table"",10),7,2),""*"",""""),""-"",""0.00""))"),"Loading...")</f>
        <v>Loading...</v>
      </c>
      <c r="L3532" s="129">
        <v>2.8272395E7</v>
      </c>
      <c r="M3532" s="99">
        <v>0.95</v>
      </c>
    </row>
    <row r="3533">
      <c r="A3533" s="122" t="s">
        <v>7507</v>
      </c>
      <c r="B3533" s="123">
        <v>943034.0</v>
      </c>
      <c r="C3533" s="124" t="s">
        <v>7508</v>
      </c>
      <c r="D3533" s="125"/>
      <c r="E3533" s="126">
        <v>7.55</v>
      </c>
      <c r="F3533" s="127"/>
      <c r="G3533" s="127"/>
      <c r="H3533" s="127"/>
      <c r="I3533" s="128"/>
      <c r="K3533" s="105" t="str">
        <f>IFERROR(__xludf.DUMMYFUNCTION("if(A3533="""","""",substitute(SUBSTITUTE(index(importhtml(""http://finviz.com/quote.ashx?t=""&amp;A3533,""table"",10),7,2),""*"",""""),""-"",""0.00""))"),"Loading...")</f>
        <v>Loading...</v>
      </c>
      <c r="L3533" s="129">
        <v>4.1126716E7</v>
      </c>
      <c r="M3533" s="99">
        <v>0.85</v>
      </c>
    </row>
    <row r="3534">
      <c r="A3534" s="122" t="s">
        <v>7509</v>
      </c>
      <c r="B3534" s="123">
        <v>1507957.0</v>
      </c>
      <c r="C3534" s="124" t="s">
        <v>7510</v>
      </c>
      <c r="D3534" s="125"/>
      <c r="E3534" s="126">
        <v>7.55</v>
      </c>
      <c r="F3534" s="127"/>
      <c r="G3534" s="127"/>
      <c r="H3534" s="127"/>
      <c r="I3534" s="128"/>
      <c r="K3534" s="105" t="str">
        <f>IFERROR(__xludf.DUMMYFUNCTION("if(A3534="""","""",substitute(SUBSTITUTE(index(importhtml(""http://finviz.com/quote.ashx?t=""&amp;A3534,""table"",10),7,2),""*"",""""),""-"",""0.00""))"),"Loading...")</f>
        <v>Loading...</v>
      </c>
      <c r="L3534" s="129">
        <v>4.488737E7</v>
      </c>
      <c r="M3534" s="99">
        <v>0.93</v>
      </c>
    </row>
    <row r="3535">
      <c r="A3535" s="122" t="s">
        <v>7511</v>
      </c>
      <c r="B3535" s="123">
        <v>1576340.0</v>
      </c>
      <c r="C3535" s="124" t="s">
        <v>7512</v>
      </c>
      <c r="D3535" s="125"/>
      <c r="E3535" s="126">
        <v>7.55</v>
      </c>
      <c r="F3535" s="127"/>
      <c r="G3535" s="127"/>
      <c r="H3535" s="127"/>
      <c r="I3535" s="128"/>
      <c r="K3535" s="105" t="str">
        <f>IFERROR(__xludf.DUMMYFUNCTION("if(A3535="""","""",substitute(SUBSTITUTE(index(importhtml(""http://finviz.com/quote.ashx?t=""&amp;A3535,""table"",10),7,2),""*"",""""),""-"",""0.00""))"),"Loading...")</f>
        <v>Loading...</v>
      </c>
      <c r="L3535" s="129">
        <v>6.378026E9</v>
      </c>
      <c r="M3535" s="99" t="str">
        <f>IFERROR(__xludf.DUMMYFUNCTION("GOOGLEFINANCE(A3535,""beta"")"),"#N/A")</f>
        <v>#N/A</v>
      </c>
    </row>
    <row r="3536">
      <c r="A3536" s="122" t="s">
        <v>7513</v>
      </c>
      <c r="B3536" s="123">
        <v>826020.0</v>
      </c>
      <c r="C3536" s="124" t="s">
        <v>7514</v>
      </c>
      <c r="D3536" s="125"/>
      <c r="E3536" s="126">
        <v>7.57</v>
      </c>
      <c r="F3536" s="127"/>
      <c r="G3536" s="127"/>
      <c r="H3536" s="127"/>
      <c r="I3536" s="128"/>
      <c r="K3536" s="55" t="s">
        <v>7515</v>
      </c>
      <c r="L3536" s="129">
        <v>3.21948246E8</v>
      </c>
      <c r="M3536" s="99">
        <v>0.62</v>
      </c>
    </row>
    <row r="3537">
      <c r="A3537" s="122" t="s">
        <v>7516</v>
      </c>
      <c r="B3537" s="123">
        <v>1089113.0</v>
      </c>
      <c r="C3537" s="124" t="s">
        <v>7517</v>
      </c>
      <c r="D3537" s="125"/>
      <c r="E3537" s="126">
        <v>7.57</v>
      </c>
      <c r="F3537" s="127"/>
      <c r="G3537" s="127"/>
      <c r="H3537" s="127"/>
      <c r="I3537" s="128"/>
      <c r="K3537" s="105" t="str">
        <f>IFERROR(__xludf.DUMMYFUNCTION("if(A3537="""","""",substitute(SUBSTITUTE(index(importhtml(""http://finviz.com/quote.ashx?t=""&amp;A3537,""table"",10),7,2),""*"",""""),""-"",""0.00""))"),"Loading...")</f>
        <v>Loading...</v>
      </c>
      <c r="L3537" s="129">
        <v>1.48228729102E11</v>
      </c>
      <c r="M3537" s="99">
        <v>0.65</v>
      </c>
    </row>
    <row r="3538">
      <c r="A3538" s="122" t="s">
        <v>7518</v>
      </c>
      <c r="B3538" s="123">
        <v>1017303.0</v>
      </c>
      <c r="C3538" s="124" t="s">
        <v>7519</v>
      </c>
      <c r="D3538" s="125"/>
      <c r="E3538" s="126">
        <v>7.58</v>
      </c>
      <c r="F3538" s="127"/>
      <c r="G3538" s="127"/>
      <c r="H3538" s="127"/>
      <c r="I3538" s="128"/>
      <c r="K3538" s="105" t="str">
        <f>IFERROR(__xludf.DUMMYFUNCTION("if(A3538="""","""",substitute(SUBSTITUTE(index(importhtml(""http://finviz.com/quote.ashx?t=""&amp;A3538,""table"",10),7,2),""*"",""""),""-"",""0.00""))"),"Loading...")</f>
        <v>Loading...</v>
      </c>
      <c r="L3538" s="129">
        <v>7.5482526E7</v>
      </c>
      <c r="M3538" s="99">
        <v>1.95</v>
      </c>
    </row>
    <row r="3539">
      <c r="A3539" s="122" t="s">
        <v>7520</v>
      </c>
      <c r="B3539" s="123">
        <v>1170311.0</v>
      </c>
      <c r="C3539" s="124" t="s">
        <v>7521</v>
      </c>
      <c r="D3539" s="125"/>
      <c r="E3539" s="126">
        <v>7.58</v>
      </c>
      <c r="F3539" s="127"/>
      <c r="G3539" s="127"/>
      <c r="H3539" s="127"/>
      <c r="I3539" s="128"/>
      <c r="K3539" s="105" t="str">
        <f>IFERROR(__xludf.DUMMYFUNCTION("if(A3539="""","""",substitute(SUBSTITUTE(index(importhtml(""http://finviz.com/quote.ashx?t=""&amp;A3539,""table"",10),7,2),""*"",""""),""-"",""0.00""))"),"Loading...")</f>
        <v>Loading...</v>
      </c>
      <c r="L3539" s="129">
        <v>8.496528E7</v>
      </c>
      <c r="M3539" s="99">
        <v>0.7</v>
      </c>
    </row>
    <row r="3540">
      <c r="A3540" s="122" t="s">
        <v>7522</v>
      </c>
      <c r="B3540" s="123">
        <v>1318025.0</v>
      </c>
      <c r="C3540" s="124" t="s">
        <v>7523</v>
      </c>
      <c r="D3540" s="125"/>
      <c r="E3540" s="126">
        <v>7.58</v>
      </c>
      <c r="F3540" s="127"/>
      <c r="G3540" s="127"/>
      <c r="H3540" s="127"/>
      <c r="I3540" s="128"/>
      <c r="K3540" s="105" t="str">
        <f>IFERROR(__xludf.DUMMYFUNCTION("if(A3540="""","""",substitute(SUBSTITUTE(index(importhtml(""http://finviz.com/quote.ashx?t=""&amp;A3540,""table"",10),7,2),""*"",""""),""-"",""0.00""))"),"Loading...")</f>
        <v>Loading...</v>
      </c>
      <c r="L3540" s="129">
        <v>8.5758982E7</v>
      </c>
      <c r="M3540" s="99">
        <v>1.15</v>
      </c>
    </row>
    <row r="3541">
      <c r="A3541" s="122" t="s">
        <v>7524</v>
      </c>
      <c r="B3541" s="123">
        <v>1708715.0</v>
      </c>
      <c r="C3541" s="124" t="s">
        <v>7525</v>
      </c>
      <c r="D3541" s="125"/>
      <c r="E3541" s="126">
        <v>7.61</v>
      </c>
      <c r="F3541" s="127"/>
      <c r="G3541" s="127"/>
      <c r="H3541" s="127"/>
      <c r="I3541" s="128"/>
      <c r="K3541" s="105" t="str">
        <f>IFERROR(__xludf.DUMMYFUNCTION("if(A3541="""","""",substitute(SUBSTITUTE(index(importhtml(""http://finviz.com/quote.ashx?t=""&amp;A3541,""table"",10),7,2),""*"",""""),""-"",""0.00""))"),"Loading...")</f>
        <v>Loading...</v>
      </c>
      <c r="L3541" s="129">
        <v>1.4352285E7</v>
      </c>
      <c r="M3541" s="99">
        <v>0.26</v>
      </c>
    </row>
    <row r="3542">
      <c r="A3542" s="122" t="s">
        <v>7526</v>
      </c>
      <c r="B3542" s="123">
        <v>1216128.0</v>
      </c>
      <c r="C3542" s="124" t="s">
        <v>7527</v>
      </c>
      <c r="D3542" s="125"/>
      <c r="E3542" s="126">
        <v>7.61</v>
      </c>
      <c r="F3542" s="127"/>
      <c r="G3542" s="127"/>
      <c r="H3542" s="127"/>
      <c r="I3542" s="128"/>
      <c r="K3542" s="105" t="str">
        <f>IFERROR(__xludf.DUMMYFUNCTION("if(A3542="""","""",substitute(SUBSTITUTE(index(importhtml(""http://finviz.com/quote.ashx?t=""&amp;A3542,""table"",10),7,2),""*"",""""),""-"",""0.00""))"),"Loading...")</f>
        <v>Loading...</v>
      </c>
      <c r="L3542" s="129">
        <v>5.379249E7</v>
      </c>
      <c r="M3542" s="99">
        <v>0.21</v>
      </c>
    </row>
    <row r="3543">
      <c r="A3543" s="122" t="s">
        <v>7528</v>
      </c>
      <c r="B3543" s="123">
        <v>1082324.0</v>
      </c>
      <c r="C3543" s="124" t="s">
        <v>7529</v>
      </c>
      <c r="D3543" s="125"/>
      <c r="E3543" s="126">
        <v>7.62</v>
      </c>
      <c r="F3543" s="127"/>
      <c r="G3543" s="127"/>
      <c r="H3543" s="127"/>
      <c r="I3543" s="128"/>
      <c r="K3543" s="105" t="str">
        <f>IFERROR(__xludf.DUMMYFUNCTION("if(A3543="""","""",substitute(SUBSTITUTE(index(importhtml(""http://finviz.com/quote.ashx?t=""&amp;A3543,""table"",10),7,2),""*"",""""),""-"",""0.00""))"),"Loading...")</f>
        <v>Loading...</v>
      </c>
      <c r="L3543" s="129">
        <v>2.7572443E7</v>
      </c>
      <c r="M3543" s="99">
        <v>1.02</v>
      </c>
    </row>
    <row r="3544">
      <c r="A3544" s="122" t="s">
        <v>7530</v>
      </c>
      <c r="B3544" s="123">
        <v>1033767.0</v>
      </c>
      <c r="C3544" s="124" t="s">
        <v>7531</v>
      </c>
      <c r="D3544" s="125"/>
      <c r="E3544" s="126">
        <v>7.62</v>
      </c>
      <c r="F3544" s="127"/>
      <c r="G3544" s="127"/>
      <c r="H3544" s="127"/>
      <c r="I3544" s="128"/>
      <c r="K3544" s="105" t="str">
        <f>IFERROR(__xludf.DUMMYFUNCTION("if(A3544="""","""",substitute(SUBSTITUTE(index(importhtml(""http://finviz.com/quote.ashx?t=""&amp;A3544,""table"",10),7,2),""*"",""""),""-"",""0.00""))"),"Loading...")</f>
        <v>Loading...</v>
      </c>
      <c r="L3544" s="129">
        <v>1.9506513907E10</v>
      </c>
      <c r="M3544" s="99">
        <v>1.16</v>
      </c>
    </row>
    <row r="3545">
      <c r="A3545" s="122" t="s">
        <v>7532</v>
      </c>
      <c r="B3545" s="123">
        <v>1693256.0</v>
      </c>
      <c r="C3545" s="124" t="s">
        <v>7533</v>
      </c>
      <c r="D3545" s="125"/>
      <c r="E3545" s="126">
        <v>7.63</v>
      </c>
      <c r="F3545" s="127"/>
      <c r="G3545" s="127"/>
      <c r="H3545" s="127"/>
      <c r="I3545" s="128"/>
      <c r="K3545" s="105" t="str">
        <f>IFERROR(__xludf.DUMMYFUNCTION("if(A3545="""","""",substitute(SUBSTITUTE(index(importhtml(""http://finviz.com/quote.ashx?t=""&amp;A3545,""table"",10),7,2),""*"",""""),""-"",""0.00""))"),"Loading...")</f>
        <v>Loading...</v>
      </c>
      <c r="L3545" s="129">
        <v>9.16652953E8</v>
      </c>
      <c r="M3545" s="99">
        <v>1.67</v>
      </c>
    </row>
    <row r="3546">
      <c r="A3546" s="122" t="s">
        <v>7534</v>
      </c>
      <c r="B3546" s="123">
        <v>23194.0</v>
      </c>
      <c r="C3546" s="124" t="s">
        <v>7535</v>
      </c>
      <c r="D3546" s="125"/>
      <c r="E3546" s="126">
        <v>7.64</v>
      </c>
      <c r="F3546" s="127"/>
      <c r="G3546" s="127"/>
      <c r="H3546" s="127"/>
      <c r="I3546" s="128"/>
      <c r="K3546" s="55" t="s">
        <v>5279</v>
      </c>
      <c r="L3546" s="129">
        <v>2.127201342E9</v>
      </c>
      <c r="M3546" s="99">
        <v>0.7</v>
      </c>
    </row>
    <row r="3547">
      <c r="A3547" s="122" t="s">
        <v>7536</v>
      </c>
      <c r="B3547" s="123">
        <v>825202.0</v>
      </c>
      <c r="C3547" s="124" t="s">
        <v>7537</v>
      </c>
      <c r="D3547" s="125"/>
      <c r="E3547" s="126">
        <v>7.64</v>
      </c>
      <c r="F3547" s="127"/>
      <c r="G3547" s="127"/>
      <c r="H3547" s="127"/>
      <c r="I3547" s="128"/>
      <c r="K3547" s="105" t="str">
        <f>IFERROR(__xludf.DUMMYFUNCTION("if(A3547="""","""",substitute(SUBSTITUTE(index(importhtml(""http://finviz.com/quote.ashx?t=""&amp;A3547,""table"",10),7,2),""*"",""""),""-"",""0.00""))"),"Loading...")</f>
        <v>Loading...</v>
      </c>
      <c r="L3547" s="129">
        <v>2.26997536E8</v>
      </c>
      <c r="M3547" s="99">
        <v>1.06</v>
      </c>
    </row>
    <row r="3548">
      <c r="A3548" s="122" t="s">
        <v>7538</v>
      </c>
      <c r="B3548" s="123">
        <v>1494728.0</v>
      </c>
      <c r="C3548" s="124" t="s">
        <v>7539</v>
      </c>
      <c r="D3548" s="125"/>
      <c r="E3548" s="126">
        <v>7.64</v>
      </c>
      <c r="F3548" s="127"/>
      <c r="G3548" s="127"/>
      <c r="H3548" s="127"/>
      <c r="I3548" s="128"/>
      <c r="K3548" s="105" t="str">
        <f>IFERROR(__xludf.DUMMYFUNCTION("if(A3548="""","""",substitute(SUBSTITUTE(index(importhtml(""http://finviz.com/quote.ashx?t=""&amp;A3548,""table"",10),7,2),""*"",""""),""-"",""0.00""))"),"Loading...")</f>
        <v>Loading...</v>
      </c>
      <c r="L3548" s="129">
        <v>3.719896834E9</v>
      </c>
      <c r="M3548" s="99" t="str">
        <f>IFERROR(__xludf.DUMMYFUNCTION("GOOGLEFINANCE(A3548,""beta"")"),"#N/A")</f>
        <v>#N/A</v>
      </c>
    </row>
    <row r="3549">
      <c r="A3549" s="122" t="s">
        <v>7540</v>
      </c>
      <c r="B3549" s="123">
        <v>45919.0</v>
      </c>
      <c r="C3549" s="124" t="s">
        <v>7541</v>
      </c>
      <c r="D3549" s="125"/>
      <c r="E3549" s="126">
        <v>7.65</v>
      </c>
      <c r="F3549" s="127"/>
      <c r="G3549" s="127"/>
      <c r="H3549" s="127"/>
      <c r="I3549" s="128"/>
      <c r="K3549" s="105" t="str">
        <f>IFERROR(__xludf.DUMMYFUNCTION("if(A3549="""","""",substitute(SUBSTITUTE(index(importhtml(""http://finviz.com/quote.ashx?t=""&amp;A3549,""table"",10),7,2),""*"",""""),""-"",""0.00""))"),"Loading...")</f>
        <v>Loading...</v>
      </c>
      <c r="L3549" s="129">
        <v>5.5204795E7</v>
      </c>
      <c r="M3549" s="99">
        <v>0.53</v>
      </c>
    </row>
    <row r="3550">
      <c r="A3550" s="122" t="s">
        <v>7542</v>
      </c>
      <c r="B3550" s="123">
        <v>1556263.0</v>
      </c>
      <c r="C3550" s="124" t="s">
        <v>7543</v>
      </c>
      <c r="D3550" s="125"/>
      <c r="E3550" s="126">
        <v>7.65</v>
      </c>
      <c r="F3550" s="127"/>
      <c r="G3550" s="127"/>
      <c r="H3550" s="127"/>
      <c r="I3550" s="128"/>
      <c r="K3550" s="105" t="str">
        <f>IFERROR(__xludf.DUMMYFUNCTION("if(A3550="""","""",substitute(SUBSTITUTE(index(importhtml(""http://finviz.com/quote.ashx?t=""&amp;A3550,""table"",10),7,2),""*"",""""),""-"",""0.00""))"),"Loading...")</f>
        <v>Loading...</v>
      </c>
      <c r="L3550" s="129">
        <v>1.96299308E8</v>
      </c>
      <c r="M3550" s="99">
        <v>1.82</v>
      </c>
    </row>
    <row r="3551">
      <c r="A3551" s="122" t="s">
        <v>7544</v>
      </c>
      <c r="B3551" s="123">
        <v>1855129.0</v>
      </c>
      <c r="C3551" s="124" t="s">
        <v>7545</v>
      </c>
      <c r="D3551" s="125"/>
      <c r="E3551" s="126">
        <v>7.65</v>
      </c>
      <c r="F3551" s="127"/>
      <c r="G3551" s="127"/>
      <c r="H3551" s="127"/>
      <c r="I3551" s="128"/>
      <c r="K3551" s="105" t="str">
        <f>IFERROR(__xludf.DUMMYFUNCTION("if(A3551="""","""",substitute(SUBSTITUTE(index(importhtml(""http://finviz.com/quote.ashx?t=""&amp;A3551,""table"",10),7,2),""*"",""""),""-"",""0.00""))"),"Loading...")</f>
        <v>Loading...</v>
      </c>
      <c r="L3551" s="129">
        <v>3.97959507E8</v>
      </c>
      <c r="M3551" s="99">
        <f>IFERROR(__xludf.DUMMYFUNCTION("GOOGLEFINANCE(A3551,""beta"")"),0.97)</f>
        <v>0.97</v>
      </c>
    </row>
    <row r="3552">
      <c r="A3552" s="122" t="s">
        <v>7546</v>
      </c>
      <c r="B3552" s="123">
        <v>1468666.0</v>
      </c>
      <c r="C3552" s="124" t="s">
        <v>7547</v>
      </c>
      <c r="D3552" s="125"/>
      <c r="E3552" s="126">
        <v>7.65</v>
      </c>
      <c r="F3552" s="127"/>
      <c r="G3552" s="127"/>
      <c r="H3552" s="127"/>
      <c r="I3552" s="128"/>
      <c r="K3552" s="105" t="str">
        <f>IFERROR(__xludf.DUMMYFUNCTION("if(A3552="""","""",substitute(SUBSTITUTE(index(importhtml(""http://finviz.com/quote.ashx?t=""&amp;A3552,""table"",10),7,2),""*"",""""),""-"",""0.00""))"),"Loading...")</f>
        <v>Loading...</v>
      </c>
      <c r="L3552" s="129" t="e">
        <v>#N/A</v>
      </c>
      <c r="M3552" s="99">
        <v>0.99</v>
      </c>
    </row>
    <row r="3553">
      <c r="A3553" s="122" t="s">
        <v>7548</v>
      </c>
      <c r="B3553" s="123">
        <v>859796.0</v>
      </c>
      <c r="C3553" s="124" t="s">
        <v>7549</v>
      </c>
      <c r="D3553" s="125"/>
      <c r="E3553" s="126">
        <v>7.66</v>
      </c>
      <c r="F3553" s="127"/>
      <c r="G3553" s="127"/>
      <c r="H3553" s="127"/>
      <c r="I3553" s="128"/>
      <c r="K3553" s="105" t="str">
        <f>IFERROR(__xludf.DUMMYFUNCTION("if(A3553="""","""",substitute(SUBSTITUTE(index(importhtml(""http://finviz.com/quote.ashx?t=""&amp;A3553,""table"",10),7,2),""*"",""""),""-"",""0.00""))"),"Loading...")</f>
        <v>Loading...</v>
      </c>
      <c r="L3553" s="129">
        <v>2.17037593E8</v>
      </c>
      <c r="M3553" s="99">
        <v>0.6</v>
      </c>
    </row>
    <row r="3554">
      <c r="A3554" s="122" t="s">
        <v>7550</v>
      </c>
      <c r="B3554" s="123">
        <v>1385535.0</v>
      </c>
      <c r="C3554" s="124" t="s">
        <v>7551</v>
      </c>
      <c r="D3554" s="125"/>
      <c r="E3554" s="126">
        <v>7.66</v>
      </c>
      <c r="F3554" s="127"/>
      <c r="G3554" s="127"/>
      <c r="H3554" s="127"/>
      <c r="I3554" s="128"/>
      <c r="K3554" s="105" t="str">
        <f>IFERROR(__xludf.DUMMYFUNCTION("if(A3554="""","""",substitute(SUBSTITUTE(index(importhtml(""http://finviz.com/quote.ashx?t=""&amp;A3554,""table"",10),7,2),""*"",""""),""-"",""0.00""))"),"Loading...")</f>
        <v>Loading...</v>
      </c>
      <c r="L3554" s="129">
        <v>1.0593936936E10</v>
      </c>
      <c r="M3554" s="99">
        <v>0.59</v>
      </c>
    </row>
    <row r="3555">
      <c r="A3555" s="122" t="s">
        <v>7552</v>
      </c>
      <c r="B3555" s="123">
        <v>1372020.0</v>
      </c>
      <c r="C3555" s="124" t="s">
        <v>7553</v>
      </c>
      <c r="D3555" s="125"/>
      <c r="E3555" s="126">
        <v>7.68</v>
      </c>
      <c r="F3555" s="127"/>
      <c r="G3555" s="127"/>
      <c r="H3555" s="127"/>
      <c r="I3555" s="128"/>
      <c r="K3555" s="105" t="str">
        <f>IFERROR(__xludf.DUMMYFUNCTION("if(A3555="""","""",substitute(SUBSTITUTE(index(importhtml(""http://finviz.com/quote.ashx?t=""&amp;A3555,""table"",10),7,2),""*"",""""),""-"",""0.00""))"),"Loading...")</f>
        <v>Loading...</v>
      </c>
      <c r="L3555" s="129">
        <v>5.11583604E8</v>
      </c>
      <c r="M3555" s="99">
        <v>0.96</v>
      </c>
    </row>
    <row r="3556">
      <c r="A3556" s="122" t="s">
        <v>7554</v>
      </c>
      <c r="B3556" s="123">
        <v>60714.0</v>
      </c>
      <c r="C3556" s="124" t="s">
        <v>7555</v>
      </c>
      <c r="D3556" s="125"/>
      <c r="E3556" s="126">
        <v>7.68</v>
      </c>
      <c r="F3556" s="127"/>
      <c r="G3556" s="127"/>
      <c r="H3556" s="127"/>
      <c r="I3556" s="128"/>
      <c r="K3556" s="105" t="str">
        <f>IFERROR(__xludf.DUMMYFUNCTION("if(A3556="""","""",substitute(SUBSTITUTE(index(importhtml(""http://finviz.com/quote.ashx?t=""&amp;A3556,""table"",10),7,2),""*"",""""),""-"",""0.00""))"),"Loading...")</f>
        <v>Loading...</v>
      </c>
      <c r="L3556" s="129">
        <v>5.70964364E8</v>
      </c>
      <c r="M3556" s="99">
        <v>1.09</v>
      </c>
    </row>
    <row r="3557">
      <c r="A3557" s="122" t="s">
        <v>7556</v>
      </c>
      <c r="B3557" s="123">
        <v>1600620.0</v>
      </c>
      <c r="C3557" s="124" t="s">
        <v>7557</v>
      </c>
      <c r="D3557" s="125"/>
      <c r="E3557" s="126">
        <v>7.68</v>
      </c>
      <c r="F3557" s="127"/>
      <c r="G3557" s="127"/>
      <c r="H3557" s="127"/>
      <c r="I3557" s="128"/>
      <c r="K3557" s="105" t="str">
        <f>IFERROR(__xludf.DUMMYFUNCTION("if(A3557="""","""",substitute(SUBSTITUTE(index(importhtml(""http://finviz.com/quote.ashx?t=""&amp;A3557,""table"",10),7,2),""*"",""""),""-"",""0.00""))"),"Loading...")</f>
        <v>Loading...</v>
      </c>
      <c r="L3557" s="129">
        <v>1.102910183E9</v>
      </c>
      <c r="M3557" s="99">
        <v>1.46</v>
      </c>
    </row>
    <row r="3558">
      <c r="A3558" s="122" t="s">
        <v>7558</v>
      </c>
      <c r="B3558" s="123">
        <v>915779.0</v>
      </c>
      <c r="C3558" s="124" t="s">
        <v>7559</v>
      </c>
      <c r="D3558" s="125"/>
      <c r="E3558" s="126">
        <v>7.69</v>
      </c>
      <c r="F3558" s="127"/>
      <c r="G3558" s="127"/>
      <c r="H3558" s="127"/>
      <c r="I3558" s="128"/>
      <c r="K3558" s="105" t="str">
        <f>IFERROR(__xludf.DUMMYFUNCTION("if(A3558="""","""",substitute(SUBSTITUTE(index(importhtml(""http://finviz.com/quote.ashx?t=""&amp;A3558,""table"",10),7,2),""*"",""""),""-"",""0.00""))"),"Loading...")</f>
        <v>Loading...</v>
      </c>
      <c r="L3558" s="129">
        <v>3.55125433E8</v>
      </c>
      <c r="M3558" s="99">
        <v>1.05</v>
      </c>
    </row>
    <row r="3559">
      <c r="A3559" s="122" t="s">
        <v>7560</v>
      </c>
      <c r="B3559" s="123">
        <v>312069.0</v>
      </c>
      <c r="C3559" s="124" t="s">
        <v>4722</v>
      </c>
      <c r="D3559" s="125"/>
      <c r="E3559" s="126">
        <v>7.7</v>
      </c>
      <c r="F3559" s="127"/>
      <c r="G3559" s="127"/>
      <c r="H3559" s="127"/>
      <c r="I3559" s="128"/>
      <c r="K3559" s="55" t="s">
        <v>6260</v>
      </c>
      <c r="L3559" s="129">
        <v>2.8384401496E10</v>
      </c>
      <c r="M3559" s="99">
        <v>1.38</v>
      </c>
    </row>
    <row r="3560">
      <c r="A3560" s="122" t="s">
        <v>7561</v>
      </c>
      <c r="B3560" s="123">
        <v>1075706.0</v>
      </c>
      <c r="C3560" s="124" t="s">
        <v>7562</v>
      </c>
      <c r="D3560" s="125"/>
      <c r="E3560" s="126">
        <v>7.7</v>
      </c>
      <c r="F3560" s="127"/>
      <c r="G3560" s="127"/>
      <c r="H3560" s="127"/>
      <c r="I3560" s="128"/>
      <c r="K3560" s="105" t="str">
        <f>IFERROR(__xludf.DUMMYFUNCTION("if(A3560="""","""",substitute(SUBSTITUTE(index(importhtml(""http://finviz.com/quote.ashx?t=""&amp;A3560,""table"",10),7,2),""*"",""""),""-"",""0.00""))"),"Loading...")</f>
        <v>Loading...</v>
      </c>
      <c r="L3560" s="129">
        <v>4.3246563E7</v>
      </c>
      <c r="M3560" s="99">
        <v>0.0</v>
      </c>
    </row>
    <row r="3561">
      <c r="A3561" s="122" t="s">
        <v>7563</v>
      </c>
      <c r="B3561" s="123">
        <v>1879103.0</v>
      </c>
      <c r="C3561" s="124" t="s">
        <v>7564</v>
      </c>
      <c r="D3561" s="125"/>
      <c r="E3561" s="126">
        <v>7.7</v>
      </c>
      <c r="F3561" s="127"/>
      <c r="G3561" s="127"/>
      <c r="H3561" s="127"/>
      <c r="I3561" s="128"/>
      <c r="K3561" s="105" t="str">
        <f>IFERROR(__xludf.DUMMYFUNCTION("if(A3561="""","""",substitute(SUBSTITUTE(index(importhtml(""http://finviz.com/quote.ashx?t=""&amp;A3561,""table"",10),7,2),""*"",""""),""-"",""0.00""))"),"Loading...")</f>
        <v>Loading...</v>
      </c>
      <c r="L3561" s="129">
        <v>5.1071334E7</v>
      </c>
      <c r="M3561" s="99" t="str">
        <f>IFERROR(__xludf.DUMMYFUNCTION("GOOGLEFINANCE(A3561,""beta"")"),"#N/A")</f>
        <v>#N/A</v>
      </c>
    </row>
    <row r="3562">
      <c r="A3562" s="122" t="s">
        <v>7565</v>
      </c>
      <c r="B3562" s="123">
        <v>1753931.0</v>
      </c>
      <c r="C3562" s="124" t="s">
        <v>7566</v>
      </c>
      <c r="D3562" s="125"/>
      <c r="E3562" s="126">
        <v>7.7</v>
      </c>
      <c r="F3562" s="127"/>
      <c r="G3562" s="127"/>
      <c r="H3562" s="127"/>
      <c r="I3562" s="128"/>
      <c r="K3562" s="105" t="str">
        <f>IFERROR(__xludf.DUMMYFUNCTION("if(A3562="""","""",substitute(SUBSTITUTE(index(importhtml(""http://finviz.com/quote.ashx?t=""&amp;A3562,""table"",10),7,2),""*"",""""),""-"",""0.00""))"),"Loading...")</f>
        <v>Loading...</v>
      </c>
      <c r="L3562" s="129" t="e">
        <v>#N/A</v>
      </c>
      <c r="M3562" s="99" t="str">
        <f>IFERROR(__xludf.DUMMYFUNCTION("GOOGLEFINANCE(A3562,""beta"")"),"#N/A")</f>
        <v>#N/A</v>
      </c>
    </row>
    <row r="3563">
      <c r="A3563" s="122" t="s">
        <v>7567</v>
      </c>
      <c r="B3563" s="123">
        <v>1273685.0</v>
      </c>
      <c r="C3563" s="124" t="s">
        <v>7568</v>
      </c>
      <c r="D3563" s="125"/>
      <c r="E3563" s="126">
        <v>7.71</v>
      </c>
      <c r="F3563" s="127"/>
      <c r="G3563" s="127"/>
      <c r="H3563" s="127"/>
      <c r="I3563" s="128"/>
      <c r="K3563" s="105" t="str">
        <f>IFERROR(__xludf.DUMMYFUNCTION("if(A3563="""","""",substitute(SUBSTITUTE(index(importhtml(""http://finviz.com/quote.ashx?t=""&amp;A3563,""table"",10),7,2),""*"",""""),""-"",""0.00""))"),"Loading...")</f>
        <v>Loading...</v>
      </c>
      <c r="L3563" s="129">
        <v>6.99167629E8</v>
      </c>
      <c r="M3563" s="99">
        <v>1.98</v>
      </c>
    </row>
    <row r="3564">
      <c r="A3564" s="122" t="s">
        <v>7569</v>
      </c>
      <c r="B3564" s="123">
        <v>1036044.0</v>
      </c>
      <c r="C3564" s="124" t="s">
        <v>7570</v>
      </c>
      <c r="D3564" s="125"/>
      <c r="E3564" s="126">
        <v>7.72</v>
      </c>
      <c r="F3564" s="127"/>
      <c r="G3564" s="127"/>
      <c r="H3564" s="127"/>
      <c r="I3564" s="128"/>
      <c r="K3564" s="105" t="str">
        <f>IFERROR(__xludf.DUMMYFUNCTION("if(A3564="""","""",substitute(SUBSTITUTE(index(importhtml(""http://finviz.com/quote.ashx?t=""&amp;A3564,""table"",10),7,2),""*"",""""),""-"",""0.00""))"),"Loading...")</f>
        <v>Loading...</v>
      </c>
      <c r="L3564" s="129">
        <v>1.78905977E8</v>
      </c>
      <c r="M3564" s="99">
        <v>1.29</v>
      </c>
    </row>
    <row r="3565">
      <c r="A3565" s="122" t="s">
        <v>7571</v>
      </c>
      <c r="B3565" s="123">
        <v>945394.0</v>
      </c>
      <c r="C3565" s="124" t="s">
        <v>7572</v>
      </c>
      <c r="D3565" s="125"/>
      <c r="E3565" s="126">
        <v>7.72</v>
      </c>
      <c r="F3565" s="127"/>
      <c r="G3565" s="127"/>
      <c r="H3565" s="127"/>
      <c r="I3565" s="128"/>
      <c r="K3565" s="105" t="str">
        <f>IFERROR(__xludf.DUMMYFUNCTION("if(A3565="""","""",substitute(SUBSTITUTE(index(importhtml(""http://finviz.com/quote.ashx?t=""&amp;A3565,""table"",10),7,2),""*"",""""),""-"",""0.00""))"),"Loading...")</f>
        <v>Loading...</v>
      </c>
      <c r="L3565" s="129">
        <v>1.279745137E9</v>
      </c>
      <c r="M3565" s="99">
        <v>2.26</v>
      </c>
    </row>
    <row r="3566">
      <c r="A3566" s="122" t="s">
        <v>7573</v>
      </c>
      <c r="B3566" s="123">
        <v>1302028.0</v>
      </c>
      <c r="C3566" s="124" t="s">
        <v>7574</v>
      </c>
      <c r="D3566" s="125"/>
      <c r="E3566" s="126">
        <v>7.74</v>
      </c>
      <c r="F3566" s="127"/>
      <c r="G3566" s="127"/>
      <c r="H3566" s="127"/>
      <c r="I3566" s="128"/>
      <c r="K3566" s="105" t="str">
        <f>IFERROR(__xludf.DUMMYFUNCTION("if(A3566="""","""",substitute(SUBSTITUTE(index(importhtml(""http://finviz.com/quote.ashx?t=""&amp;A3566,""table"",10),7,2),""*"",""""),""-"",""0.00""))"),"Loading...")</f>
        <v>Loading...</v>
      </c>
      <c r="L3566" s="129">
        <v>1.56751326E8</v>
      </c>
      <c r="M3566" s="99">
        <v>0.83</v>
      </c>
    </row>
    <row r="3567">
      <c r="A3567" s="122" t="s">
        <v>7575</v>
      </c>
      <c r="B3567" s="123">
        <v>1528811.0</v>
      </c>
      <c r="C3567" s="124" t="s">
        <v>7576</v>
      </c>
      <c r="D3567" s="125"/>
      <c r="E3567" s="126">
        <v>7.74</v>
      </c>
      <c r="F3567" s="127"/>
      <c r="G3567" s="127"/>
      <c r="H3567" s="127"/>
      <c r="I3567" s="128"/>
      <c r="K3567" s="105" t="str">
        <f>IFERROR(__xludf.DUMMYFUNCTION("if(A3567="""","""",substitute(SUBSTITUTE(index(importhtml(""http://finviz.com/quote.ashx?t=""&amp;A3567,""table"",10),7,2),""*"",""""),""-"",""0.00""))"),"Loading...")</f>
        <v>Loading...</v>
      </c>
      <c r="L3567" s="129" t="e">
        <v>#N/A</v>
      </c>
      <c r="M3567" s="99">
        <v>0.78</v>
      </c>
    </row>
    <row r="3568">
      <c r="A3568" s="122" t="s">
        <v>7577</v>
      </c>
      <c r="B3568" s="123">
        <v>1680581.0</v>
      </c>
      <c r="C3568" s="124" t="s">
        <v>7578</v>
      </c>
      <c r="D3568" s="125"/>
      <c r="E3568" s="126">
        <v>7.75</v>
      </c>
      <c r="F3568" s="127"/>
      <c r="G3568" s="127"/>
      <c r="H3568" s="127"/>
      <c r="I3568" s="128"/>
      <c r="K3568" s="105" t="str">
        <f>IFERROR(__xludf.DUMMYFUNCTION("if(A3568="""","""",substitute(SUBSTITUTE(index(importhtml(""http://finviz.com/quote.ashx?t=""&amp;A3568,""table"",10),7,2),""*"",""""),""-"",""0.00""))"),"Loading...")</f>
        <v>Loading...</v>
      </c>
      <c r="L3568" s="129">
        <v>4.79124762E8</v>
      </c>
      <c r="M3568" s="99">
        <v>2.25</v>
      </c>
    </row>
    <row r="3569">
      <c r="A3569" s="122" t="s">
        <v>7579</v>
      </c>
      <c r="B3569" s="123">
        <v>1336917.0</v>
      </c>
      <c r="C3569" s="124" t="s">
        <v>7580</v>
      </c>
      <c r="D3569" s="125"/>
      <c r="E3569" s="126">
        <v>7.75</v>
      </c>
      <c r="F3569" s="127"/>
      <c r="G3569" s="127"/>
      <c r="H3569" s="127"/>
      <c r="I3569" s="128"/>
      <c r="K3569" s="105" t="str">
        <f>IFERROR(__xludf.DUMMYFUNCTION("if(A3569="""","""",substitute(SUBSTITUTE(index(importhtml(""http://finviz.com/quote.ashx?t=""&amp;A3569,""table"",10),7,2),""*"",""""),""-"",""0.00""))"),"Loading...")</f>
        <v>Loading...</v>
      </c>
      <c r="L3569" s="129">
        <v>3.4035675E9</v>
      </c>
      <c r="M3569" s="99">
        <v>1.64</v>
      </c>
    </row>
    <row r="3570">
      <c r="A3570" s="122" t="s">
        <v>7581</v>
      </c>
      <c r="B3570" s="123">
        <v>889608.0</v>
      </c>
      <c r="C3570" s="124" t="s">
        <v>7582</v>
      </c>
      <c r="D3570" s="125"/>
      <c r="E3570" s="126">
        <v>7.75</v>
      </c>
      <c r="F3570" s="127"/>
      <c r="G3570" s="127"/>
      <c r="H3570" s="127"/>
      <c r="I3570" s="128"/>
      <c r="K3570" s="105" t="str">
        <f>IFERROR(__xludf.DUMMYFUNCTION("if(A3570="""","""",substitute(SUBSTITUTE(index(importhtml(""http://finviz.com/quote.ashx?t=""&amp;A3570,""table"",10),7,2),""*"",""""),""-"",""0.00""))"),"Loading...")</f>
        <v>Loading...</v>
      </c>
      <c r="L3570" s="129" t="e">
        <v>#N/A</v>
      </c>
      <c r="M3570" s="99">
        <v>-1.85</v>
      </c>
    </row>
    <row r="3571">
      <c r="A3571" s="122" t="s">
        <v>7583</v>
      </c>
      <c r="B3571" s="123">
        <v>1687926.0</v>
      </c>
      <c r="C3571" s="124" t="s">
        <v>7584</v>
      </c>
      <c r="D3571" s="125"/>
      <c r="E3571" s="126">
        <v>7.76</v>
      </c>
      <c r="F3571" s="127"/>
      <c r="G3571" s="127"/>
      <c r="H3571" s="127"/>
      <c r="I3571" s="128"/>
      <c r="K3571" s="105" t="str">
        <f>IFERROR(__xludf.DUMMYFUNCTION("if(A3571="""","""",substitute(SUBSTITUTE(index(importhtml(""http://finviz.com/quote.ashx?t=""&amp;A3571,""table"",10),7,2),""*"",""""),""-"",""0.00""))"),"Loading...")</f>
        <v>Loading...</v>
      </c>
      <c r="L3571" s="129">
        <v>8.18799528E8</v>
      </c>
      <c r="M3571" s="99">
        <v>17.39</v>
      </c>
    </row>
    <row r="3572">
      <c r="A3572" s="122" t="s">
        <v>7585</v>
      </c>
      <c r="B3572" s="123">
        <v>1110611.0</v>
      </c>
      <c r="C3572" s="124" t="s">
        <v>7586</v>
      </c>
      <c r="D3572" s="125"/>
      <c r="E3572" s="126">
        <v>7.77</v>
      </c>
      <c r="F3572" s="127"/>
      <c r="G3572" s="127"/>
      <c r="H3572" s="127"/>
      <c r="I3572" s="128"/>
      <c r="K3572" s="105" t="str">
        <f>IFERROR(__xludf.DUMMYFUNCTION("if(A3572="""","""",substitute(SUBSTITUTE(index(importhtml(""http://finviz.com/quote.ashx?t=""&amp;A3572,""table"",10),7,2),""*"",""""),""-"",""0.00""))"),"Loading...")</f>
        <v>Loading...</v>
      </c>
      <c r="L3572" s="129">
        <v>3.22464867E8</v>
      </c>
      <c r="M3572" s="99">
        <f>IFERROR(__xludf.DUMMYFUNCTION("GOOGLEFINANCE(A3572,""beta"")"),0.65)</f>
        <v>0.65</v>
      </c>
    </row>
    <row r="3573">
      <c r="A3573" s="122" t="s">
        <v>7587</v>
      </c>
      <c r="B3573" s="123">
        <v>1501796.0</v>
      </c>
      <c r="C3573" s="124" t="s">
        <v>7588</v>
      </c>
      <c r="D3573" s="125"/>
      <c r="E3573" s="126">
        <v>7.77</v>
      </c>
      <c r="F3573" s="127"/>
      <c r="G3573" s="127"/>
      <c r="H3573" s="127"/>
      <c r="I3573" s="128"/>
      <c r="K3573" s="105" t="str">
        <f>IFERROR(__xludf.DUMMYFUNCTION("if(A3573="""","""",substitute(SUBSTITUTE(index(importhtml(""http://finviz.com/quote.ashx?t=""&amp;A3573,""table"",10),7,2),""*"",""""),""-"",""0.00""))"),"Loading...")</f>
        <v>Loading...</v>
      </c>
      <c r="L3573" s="129">
        <v>3.81402881E8</v>
      </c>
      <c r="M3573" s="99">
        <f>IFERROR(__xludf.DUMMYFUNCTION("GOOGLEFINANCE(A3573,""beta"")"),0.45)</f>
        <v>0.45</v>
      </c>
    </row>
    <row r="3574">
      <c r="A3574" s="122" t="s">
        <v>7589</v>
      </c>
      <c r="B3574" s="123">
        <v>1376339.0</v>
      </c>
      <c r="C3574" s="124" t="s">
        <v>7590</v>
      </c>
      <c r="D3574" s="125"/>
      <c r="E3574" s="126">
        <v>7.77</v>
      </c>
      <c r="F3574" s="127"/>
      <c r="G3574" s="127"/>
      <c r="H3574" s="127"/>
      <c r="I3574" s="128"/>
      <c r="K3574" s="105" t="str">
        <f>IFERROR(__xludf.DUMMYFUNCTION("if(A3574="""","""",substitute(SUBSTITUTE(index(importhtml(""http://finviz.com/quote.ashx?t=""&amp;A3574,""table"",10),7,2),""*"",""""),""-"",""0.00""))"),"Loading...")</f>
        <v>Loading...</v>
      </c>
      <c r="L3574" s="129">
        <v>9.04983552E8</v>
      </c>
      <c r="M3574" s="99">
        <v>1.36</v>
      </c>
    </row>
    <row r="3575">
      <c r="A3575" s="122" t="s">
        <v>7591</v>
      </c>
      <c r="B3575" s="123">
        <v>1385849.0</v>
      </c>
      <c r="C3575" s="124" t="s">
        <v>7592</v>
      </c>
      <c r="D3575" s="125"/>
      <c r="E3575" s="126">
        <v>7.78</v>
      </c>
      <c r="F3575" s="127"/>
      <c r="G3575" s="127"/>
      <c r="H3575" s="127"/>
      <c r="I3575" s="128"/>
      <c r="K3575" s="105" t="str">
        <f>IFERROR(__xludf.DUMMYFUNCTION("if(A3575="""","""",substitute(SUBSTITUTE(index(importhtml(""http://finviz.com/quote.ashx?t=""&amp;A3575,""table"",10),7,2),""*"",""""),""-"",""0.00""))"),"Loading...")</f>
        <v>Loading...</v>
      </c>
      <c r="L3575" s="129">
        <v>1.681361637E9</v>
      </c>
      <c r="M3575" s="99">
        <v>1.6</v>
      </c>
    </row>
    <row r="3576">
      <c r="A3576" s="122" t="s">
        <v>7593</v>
      </c>
      <c r="B3576" s="123">
        <v>1379438.0</v>
      </c>
      <c r="C3576" s="124" t="s">
        <v>7594</v>
      </c>
      <c r="D3576" s="125"/>
      <c r="E3576" s="126">
        <v>7.79</v>
      </c>
      <c r="F3576" s="127"/>
      <c r="G3576" s="127"/>
      <c r="H3576" s="127"/>
      <c r="I3576" s="128"/>
      <c r="K3576" s="55" t="s">
        <v>7595</v>
      </c>
      <c r="L3576" s="129">
        <v>2.385968707E9</v>
      </c>
      <c r="M3576" s="99">
        <v>1.09</v>
      </c>
    </row>
    <row r="3577">
      <c r="A3577" s="122" t="s">
        <v>7596</v>
      </c>
      <c r="B3577" s="123">
        <v>1163739.0</v>
      </c>
      <c r="C3577" s="124" t="s">
        <v>7597</v>
      </c>
      <c r="D3577" s="125"/>
      <c r="E3577" s="126">
        <v>7.8</v>
      </c>
      <c r="F3577" s="127"/>
      <c r="G3577" s="127"/>
      <c r="H3577" s="127"/>
      <c r="I3577" s="128"/>
      <c r="K3577" s="105" t="str">
        <f>IFERROR(__xludf.DUMMYFUNCTION("if(A3577="""","""",substitute(SUBSTITUTE(index(importhtml(""http://finviz.com/quote.ashx?t=""&amp;A3577,""table"",10),7,2),""*"",""""),""-"",""0.00""))"),"Loading...")</f>
        <v>Loading...</v>
      </c>
      <c r="L3577" s="129">
        <v>7.69039539E8</v>
      </c>
      <c r="M3577" s="99">
        <f>IFERROR(__xludf.DUMMYFUNCTION("GOOGLEFINANCE(A3577,""beta"")"),0.15)</f>
        <v>0.15</v>
      </c>
    </row>
    <row r="3578">
      <c r="A3578" s="122" t="s">
        <v>7598</v>
      </c>
      <c r="B3578" s="123">
        <v>1436126.0</v>
      </c>
      <c r="C3578" s="124" t="s">
        <v>7599</v>
      </c>
      <c r="D3578" s="125"/>
      <c r="E3578" s="126">
        <v>7.81</v>
      </c>
      <c r="F3578" s="127"/>
      <c r="G3578" s="127"/>
      <c r="H3578" s="127"/>
      <c r="I3578" s="128"/>
      <c r="K3578" s="55" t="s">
        <v>1034</v>
      </c>
      <c r="L3578" s="129">
        <v>2.37057709E8</v>
      </c>
      <c r="M3578" s="99">
        <v>1.63</v>
      </c>
    </row>
    <row r="3579">
      <c r="A3579" s="122" t="s">
        <v>7600</v>
      </c>
      <c r="B3579" s="123">
        <v>1836057.0</v>
      </c>
      <c r="C3579" s="124" t="s">
        <v>7601</v>
      </c>
      <c r="D3579" s="125"/>
      <c r="E3579" s="126">
        <v>7.81</v>
      </c>
      <c r="F3579" s="127"/>
      <c r="G3579" s="127"/>
      <c r="H3579" s="127"/>
      <c r="I3579" s="128"/>
      <c r="K3579" s="105" t="str">
        <f>IFERROR(__xludf.DUMMYFUNCTION("if(A3579="""","""",substitute(SUBSTITUTE(index(importhtml(""http://finviz.com/quote.ashx?t=""&amp;A3579,""table"",10),7,2),""*"",""""),""-"",""0.00""))"),"Loading...")</f>
        <v>Loading...</v>
      </c>
      <c r="L3579" s="129">
        <v>1.772160058E9</v>
      </c>
      <c r="M3579" s="99" t="str">
        <f>IFERROR(__xludf.DUMMYFUNCTION("GOOGLEFINANCE(A3579,""beta"")"),"#N/A")</f>
        <v>#N/A</v>
      </c>
    </row>
    <row r="3580">
      <c r="A3580" s="122" t="s">
        <v>7602</v>
      </c>
      <c r="B3580" s="123">
        <v>1066194.0</v>
      </c>
      <c r="C3580" s="124" t="s">
        <v>7603</v>
      </c>
      <c r="D3580" s="125"/>
      <c r="E3580" s="126">
        <v>7.82</v>
      </c>
      <c r="F3580" s="127"/>
      <c r="G3580" s="127"/>
      <c r="H3580" s="127"/>
      <c r="I3580" s="128"/>
      <c r="K3580" s="105" t="str">
        <f>IFERROR(__xludf.DUMMYFUNCTION("if(A3580="""","""",substitute(SUBSTITUTE(index(importhtml(""http://finviz.com/quote.ashx?t=""&amp;A3580,""table"",10),7,2),""*"",""""),""-"",""0.00""))"),"Loading...")</f>
        <v>Loading...</v>
      </c>
      <c r="L3580" s="129">
        <v>2.46214191E8</v>
      </c>
      <c r="M3580" s="99">
        <v>0.65</v>
      </c>
    </row>
    <row r="3581">
      <c r="A3581" s="122" t="s">
        <v>7604</v>
      </c>
      <c r="B3581" s="123">
        <v>1322435.0</v>
      </c>
      <c r="C3581" s="124" t="s">
        <v>7605</v>
      </c>
      <c r="D3581" s="125"/>
      <c r="E3581" s="126">
        <v>7.83</v>
      </c>
      <c r="F3581" s="127"/>
      <c r="G3581" s="127"/>
      <c r="H3581" s="127"/>
      <c r="I3581" s="128"/>
      <c r="K3581" s="55" t="s">
        <v>7606</v>
      </c>
      <c r="L3581" s="129">
        <v>8.57074923E8</v>
      </c>
      <c r="M3581" s="99">
        <v>0.96</v>
      </c>
    </row>
    <row r="3582">
      <c r="A3582" s="122" t="s">
        <v>7607</v>
      </c>
      <c r="B3582" s="123">
        <v>882300.0</v>
      </c>
      <c r="C3582" s="124" t="s">
        <v>7608</v>
      </c>
      <c r="D3582" s="125"/>
      <c r="E3582" s="126">
        <v>7.83</v>
      </c>
      <c r="F3582" s="127"/>
      <c r="G3582" s="127"/>
      <c r="H3582" s="127"/>
      <c r="I3582" s="128"/>
      <c r="K3582" s="105" t="str">
        <f>IFERROR(__xludf.DUMMYFUNCTION("if(A3582="""","""",substitute(SUBSTITUTE(index(importhtml(""http://finviz.com/quote.ashx?t=""&amp;A3582,""table"",10),7,2),""*"",""""),""-"",""0.00""))"),"Loading...")</f>
        <v>Loading...</v>
      </c>
      <c r="L3582" s="129">
        <v>1.10264486E8</v>
      </c>
      <c r="M3582" s="99">
        <v>0.35</v>
      </c>
    </row>
    <row r="3583">
      <c r="A3583" s="122" t="s">
        <v>7609</v>
      </c>
      <c r="B3583" s="123">
        <v>1825739.0</v>
      </c>
      <c r="C3583" s="124" t="s">
        <v>7610</v>
      </c>
      <c r="D3583" s="125"/>
      <c r="E3583" s="126">
        <v>7.83</v>
      </c>
      <c r="F3583" s="127"/>
      <c r="G3583" s="127"/>
      <c r="H3583" s="127"/>
      <c r="I3583" s="128"/>
      <c r="K3583" s="105" t="str">
        <f>IFERROR(__xludf.DUMMYFUNCTION("if(A3583="""","""",substitute(SUBSTITUTE(index(importhtml(""http://finviz.com/quote.ashx?t=""&amp;A3583,""table"",10),7,2),""*"",""""),""-"",""0.00""))"),"Loading...")</f>
        <v>Loading...</v>
      </c>
      <c r="L3583" s="129">
        <v>1.517347E9</v>
      </c>
      <c r="M3583" s="99" t="str">
        <f>IFERROR(__xludf.DUMMYFUNCTION("GOOGLEFINANCE(A3583,""beta"")"),"#N/A")</f>
        <v>#N/A</v>
      </c>
    </row>
    <row r="3584">
      <c r="A3584" s="122" t="s">
        <v>7611</v>
      </c>
      <c r="B3584" s="123">
        <v>1495320.0</v>
      </c>
      <c r="C3584" s="124" t="s">
        <v>7612</v>
      </c>
      <c r="D3584" s="125"/>
      <c r="E3584" s="126">
        <v>7.84</v>
      </c>
      <c r="F3584" s="127"/>
      <c r="G3584" s="127"/>
      <c r="H3584" s="127"/>
      <c r="I3584" s="128"/>
      <c r="K3584" s="105" t="str">
        <f>IFERROR(__xludf.DUMMYFUNCTION("if(A3584="""","""",substitute(SUBSTITUTE(index(importhtml(""http://finviz.com/quote.ashx?t=""&amp;A3584,""table"",10),7,2),""*"",""""),""-"",""0.00""))"),"Loading...")</f>
        <v>Loading...</v>
      </c>
      <c r="L3584" s="129">
        <v>2.41683684E8</v>
      </c>
      <c r="M3584" s="99">
        <v>1.94</v>
      </c>
    </row>
    <row r="3585">
      <c r="A3585" s="122" t="s">
        <v>7613</v>
      </c>
      <c r="B3585" s="123">
        <v>832428.0</v>
      </c>
      <c r="C3585" s="124" t="s">
        <v>7614</v>
      </c>
      <c r="D3585" s="125"/>
      <c r="E3585" s="126">
        <v>7.85</v>
      </c>
      <c r="F3585" s="127"/>
      <c r="G3585" s="127"/>
      <c r="H3585" s="127"/>
      <c r="I3585" s="128"/>
      <c r="K3585" s="105" t="str">
        <f>IFERROR(__xludf.DUMMYFUNCTION("if(A3585="""","""",substitute(SUBSTITUTE(index(importhtml(""http://finviz.com/quote.ashx?t=""&amp;A3585,""table"",10),7,2),""*"",""""),""-"",""0.00""))"),"Loading...")</f>
        <v>Loading...</v>
      </c>
      <c r="L3585" s="129">
        <v>6.64270053E8</v>
      </c>
      <c r="M3585" s="99">
        <v>2.09</v>
      </c>
    </row>
    <row r="3586">
      <c r="A3586" s="122" t="s">
        <v>7615</v>
      </c>
      <c r="B3586" s="123">
        <v>1868912.0</v>
      </c>
      <c r="C3586" s="124" t="s">
        <v>7616</v>
      </c>
      <c r="D3586" s="125"/>
      <c r="E3586" s="126">
        <v>7.85</v>
      </c>
      <c r="F3586" s="127"/>
      <c r="G3586" s="127"/>
      <c r="H3586" s="127"/>
      <c r="I3586" s="128"/>
      <c r="K3586" s="105" t="str">
        <f>IFERROR(__xludf.DUMMYFUNCTION("if(A3586="""","""",substitute(SUBSTITUTE(index(importhtml(""http://finviz.com/quote.ashx?t=""&amp;A3586,""table"",10),7,2),""*"",""""),""-"",""0.00""))"),"Loading...")</f>
        <v>Loading...</v>
      </c>
      <c r="L3586" s="129">
        <v>1.000704642E9</v>
      </c>
      <c r="M3586" s="99" t="str">
        <f>IFERROR(__xludf.DUMMYFUNCTION("GOOGLEFINANCE(A3586,""beta"")"),"#N/A")</f>
        <v>#N/A</v>
      </c>
    </row>
    <row r="3587">
      <c r="A3587" s="122" t="s">
        <v>7617</v>
      </c>
      <c r="B3587" s="123">
        <v>1703956.0</v>
      </c>
      <c r="C3587" s="124" t="s">
        <v>7618</v>
      </c>
      <c r="D3587" s="125"/>
      <c r="E3587" s="126">
        <v>7.86</v>
      </c>
      <c r="F3587" s="127"/>
      <c r="G3587" s="127"/>
      <c r="H3587" s="127"/>
      <c r="I3587" s="128"/>
      <c r="K3587" s="105" t="str">
        <f>IFERROR(__xludf.DUMMYFUNCTION("if(A3587="""","""",substitute(SUBSTITUTE(index(importhtml(""http://finviz.com/quote.ashx?t=""&amp;A3587,""table"",10),7,2),""*"",""""),""-"",""0.00""))"),"Loading...")</f>
        <v>Loading...</v>
      </c>
      <c r="L3587" s="129">
        <v>4.22455828E8</v>
      </c>
      <c r="M3587" s="99">
        <v>1.09</v>
      </c>
    </row>
    <row r="3588">
      <c r="A3588" s="122" t="s">
        <v>7619</v>
      </c>
      <c r="B3588" s="123">
        <v>1847903.0</v>
      </c>
      <c r="C3588" s="124" t="s">
        <v>7620</v>
      </c>
      <c r="D3588" s="125"/>
      <c r="E3588" s="126">
        <v>7.87</v>
      </c>
      <c r="F3588" s="127"/>
      <c r="G3588" s="127"/>
      <c r="H3588" s="127"/>
      <c r="I3588" s="128"/>
      <c r="K3588" s="105" t="str">
        <f>IFERROR(__xludf.DUMMYFUNCTION("if(A3588="""","""",substitute(SUBSTITUTE(index(importhtml(""http://finviz.com/quote.ashx?t=""&amp;A3588,""table"",10),7,2),""*"",""""),""-"",""0.00""))"),"Loading...")</f>
        <v>Loading...</v>
      </c>
      <c r="L3588" s="129">
        <v>7.68342815E8</v>
      </c>
      <c r="M3588" s="99">
        <f>IFERROR(__xludf.DUMMYFUNCTION("GOOGLEFINANCE(A3588,""beta"")"),1.56)</f>
        <v>1.56</v>
      </c>
    </row>
    <row r="3589">
      <c r="A3589" s="122" t="s">
        <v>7621</v>
      </c>
      <c r="B3589" s="123">
        <v>932470.0</v>
      </c>
      <c r="C3589" s="124" t="s">
        <v>7622</v>
      </c>
      <c r="D3589" s="125"/>
      <c r="E3589" s="126">
        <v>7.87</v>
      </c>
      <c r="F3589" s="127"/>
      <c r="G3589" s="127"/>
      <c r="H3589" s="127"/>
      <c r="I3589" s="128"/>
      <c r="K3589" s="105" t="str">
        <f>IFERROR(__xludf.DUMMYFUNCTION("if(A3589="""","""",substitute(SUBSTITUTE(index(importhtml(""http://finviz.com/quote.ashx?t=""&amp;A3589,""table"",10),7,2),""*"",""""),""-"",""0.00""))"),"Loading...")</f>
        <v>Loading...</v>
      </c>
      <c r="L3589" s="129">
        <v>1.540443871E9</v>
      </c>
      <c r="M3589" s="99">
        <v>0.77</v>
      </c>
    </row>
    <row r="3590">
      <c r="A3590" s="122" t="s">
        <v>7623</v>
      </c>
      <c r="B3590" s="123">
        <v>1101396.0</v>
      </c>
      <c r="C3590" s="124" t="s">
        <v>7624</v>
      </c>
      <c r="D3590" s="125"/>
      <c r="E3590" s="126">
        <v>7.88</v>
      </c>
      <c r="F3590" s="127"/>
      <c r="G3590" s="127"/>
      <c r="H3590" s="127"/>
      <c r="I3590" s="128"/>
      <c r="K3590" s="55" t="s">
        <v>1034</v>
      </c>
      <c r="L3590" s="129">
        <v>5.5168038E7</v>
      </c>
      <c r="M3590" s="99">
        <v>1.3</v>
      </c>
    </row>
    <row r="3591">
      <c r="A3591" s="122" t="s">
        <v>7625</v>
      </c>
      <c r="B3591" s="123">
        <v>1831915.0</v>
      </c>
      <c r="C3591" s="124" t="s">
        <v>7626</v>
      </c>
      <c r="D3591" s="125"/>
      <c r="E3591" s="126">
        <v>7.88</v>
      </c>
      <c r="F3591" s="127"/>
      <c r="G3591" s="127"/>
      <c r="H3591" s="127"/>
      <c r="I3591" s="128"/>
      <c r="K3591" s="105" t="str">
        <f>IFERROR(__xludf.DUMMYFUNCTION("if(A3591="""","""",substitute(SUBSTITUTE(index(importhtml(""http://finviz.com/quote.ashx?t=""&amp;A3591,""table"",10),7,2),""*"",""""),""-"",""0.00""))"),"Loading...")</f>
        <v>Loading...</v>
      </c>
      <c r="L3591" s="129">
        <v>1.068126923E9</v>
      </c>
      <c r="M3591" s="99">
        <f>IFERROR(__xludf.DUMMYFUNCTION("GOOGLEFINANCE(A3591,""beta"")"),1.33)</f>
        <v>1.33</v>
      </c>
    </row>
    <row r="3592">
      <c r="A3592" s="122" t="s">
        <v>7627</v>
      </c>
      <c r="B3592" s="123">
        <v>1818874.0</v>
      </c>
      <c r="C3592" s="124" t="s">
        <v>7628</v>
      </c>
      <c r="D3592" s="125"/>
      <c r="E3592" s="126">
        <v>7.88</v>
      </c>
      <c r="F3592" s="127"/>
      <c r="G3592" s="127"/>
      <c r="H3592" s="127"/>
      <c r="I3592" s="128"/>
      <c r="K3592" s="105" t="str">
        <f>IFERROR(__xludf.DUMMYFUNCTION("if(A3592="""","""",substitute(SUBSTITUTE(index(importhtml(""http://finviz.com/quote.ashx?t=""&amp;A3592,""table"",10),7,2),""*"",""""),""-"",""0.00""))"),"Loading...")</f>
        <v>Loading...</v>
      </c>
      <c r="L3592" s="129">
        <v>7.689791095E9</v>
      </c>
      <c r="M3592" s="99">
        <v>1.78</v>
      </c>
    </row>
    <row r="3593">
      <c r="A3593" s="122" t="s">
        <v>7629</v>
      </c>
      <c r="B3593" s="123">
        <v>1049183.0</v>
      </c>
      <c r="C3593" s="124" t="s">
        <v>7630</v>
      </c>
      <c r="D3593" s="125"/>
      <c r="E3593" s="126">
        <v>7.88</v>
      </c>
      <c r="F3593" s="127"/>
      <c r="G3593" s="127"/>
      <c r="H3593" s="127"/>
      <c r="I3593" s="128"/>
      <c r="K3593" s="105" t="str">
        <f>IFERROR(__xludf.DUMMYFUNCTION("if(A3593="""","""",substitute(SUBSTITUTE(index(importhtml(""http://finviz.com/quote.ashx?t=""&amp;A3593,""table"",10),7,2),""*"",""""),""-"",""0.00""))"),"Loading...")</f>
        <v>Loading...</v>
      </c>
      <c r="L3593" s="129">
        <v>9.097908011E9</v>
      </c>
      <c r="M3593" s="99">
        <v>1.21</v>
      </c>
    </row>
    <row r="3594">
      <c r="A3594" s="122" t="s">
        <v>7631</v>
      </c>
      <c r="B3594" s="123">
        <v>1023512.0</v>
      </c>
      <c r="C3594" s="124" t="s">
        <v>3501</v>
      </c>
      <c r="D3594" s="125"/>
      <c r="E3594" s="126">
        <v>7.89</v>
      </c>
      <c r="F3594" s="127"/>
      <c r="G3594" s="127"/>
      <c r="H3594" s="127"/>
      <c r="I3594" s="128"/>
      <c r="K3594" s="55" t="s">
        <v>6234</v>
      </c>
      <c r="L3594" s="129">
        <v>6.58966634E8</v>
      </c>
      <c r="M3594" s="99">
        <v>1.26</v>
      </c>
    </row>
    <row r="3595">
      <c r="A3595" s="122" t="s">
        <v>7632</v>
      </c>
      <c r="B3595" s="123">
        <v>793040.0</v>
      </c>
      <c r="C3595" s="124" t="s">
        <v>7633</v>
      </c>
      <c r="D3595" s="125"/>
      <c r="E3595" s="126">
        <v>7.89</v>
      </c>
      <c r="F3595" s="127"/>
      <c r="G3595" s="127"/>
      <c r="H3595" s="127"/>
      <c r="I3595" s="128"/>
      <c r="K3595" s="55" t="s">
        <v>7595</v>
      </c>
      <c r="L3595" s="129">
        <v>1.08718201E8</v>
      </c>
      <c r="M3595" s="99">
        <v>1.17</v>
      </c>
    </row>
    <row r="3596">
      <c r="A3596" s="122" t="s">
        <v>7634</v>
      </c>
      <c r="B3596" s="123">
        <v>1829667.0</v>
      </c>
      <c r="C3596" s="124" t="s">
        <v>7635</v>
      </c>
      <c r="D3596" s="125"/>
      <c r="E3596" s="126">
        <v>7.9</v>
      </c>
      <c r="F3596" s="127"/>
      <c r="G3596" s="127"/>
      <c r="H3596" s="127"/>
      <c r="I3596" s="128"/>
      <c r="K3596" s="105" t="str">
        <f>IFERROR(__xludf.DUMMYFUNCTION("if(A3596="""","""",substitute(SUBSTITUTE(index(importhtml(""http://finviz.com/quote.ashx?t=""&amp;A3596,""table"",10),7,2),""*"",""""),""-"",""0.00""))"),"Loading...")</f>
        <v>Loading...</v>
      </c>
      <c r="L3596" s="129">
        <v>1.028016E8</v>
      </c>
      <c r="M3596" s="99">
        <f>IFERROR(__xludf.DUMMYFUNCTION("GOOGLEFINANCE(A3596,""beta"")"),2.02)</f>
        <v>2.02</v>
      </c>
    </row>
    <row r="3597">
      <c r="A3597" s="122" t="s">
        <v>7636</v>
      </c>
      <c r="B3597" s="123">
        <v>318673.0</v>
      </c>
      <c r="C3597" s="124" t="s">
        <v>7637</v>
      </c>
      <c r="D3597" s="125"/>
      <c r="E3597" s="126">
        <v>7.9</v>
      </c>
      <c r="F3597" s="127"/>
      <c r="G3597" s="127"/>
      <c r="H3597" s="127"/>
      <c r="I3597" s="128"/>
      <c r="K3597" s="105" t="str">
        <f>IFERROR(__xludf.DUMMYFUNCTION("if(A3597="""","""",substitute(SUBSTITUTE(index(importhtml(""http://finviz.com/quote.ashx?t=""&amp;A3597,""table"",10),7,2),""*"",""""),""-"",""0.00""))"),"Loading...")</f>
        <v>Loading...</v>
      </c>
      <c r="L3597" s="129">
        <v>1.81540975E8</v>
      </c>
      <c r="M3597" s="99">
        <v>0.91</v>
      </c>
    </row>
    <row r="3598">
      <c r="A3598" s="122" t="s">
        <v>7638</v>
      </c>
      <c r="B3598" s="123">
        <v>1425205.0</v>
      </c>
      <c r="C3598" s="124" t="s">
        <v>7639</v>
      </c>
      <c r="D3598" s="125"/>
      <c r="E3598" s="126">
        <v>7.9</v>
      </c>
      <c r="F3598" s="127"/>
      <c r="G3598" s="127"/>
      <c r="H3598" s="127"/>
      <c r="I3598" s="128"/>
      <c r="K3598" s="105" t="str">
        <f>IFERROR(__xludf.DUMMYFUNCTION("if(A3598="""","""",substitute(SUBSTITUTE(index(importhtml(""http://finviz.com/quote.ashx?t=""&amp;A3598,""table"",10),7,2),""*"",""""),""-"",""0.00""))"),"Loading...")</f>
        <v>Loading...</v>
      </c>
      <c r="L3598" s="129">
        <v>2.021755384E9</v>
      </c>
      <c r="M3598" s="99">
        <v>0.39</v>
      </c>
    </row>
    <row r="3599">
      <c r="A3599" s="122" t="s">
        <v>7640</v>
      </c>
      <c r="B3599" s="123">
        <v>1489079.0</v>
      </c>
      <c r="C3599" s="124" t="s">
        <v>7641</v>
      </c>
      <c r="D3599" s="125"/>
      <c r="E3599" s="126">
        <v>7.9</v>
      </c>
      <c r="F3599" s="127"/>
      <c r="G3599" s="127"/>
      <c r="H3599" s="127"/>
      <c r="I3599" s="128"/>
      <c r="K3599" s="105" t="str">
        <f>IFERROR(__xludf.DUMMYFUNCTION("if(A3599="""","""",substitute(SUBSTITUTE(index(importhtml(""http://finviz.com/quote.ashx?t=""&amp;A3599,""table"",10),7,2),""*"",""""),""-"",""0.00""))"),"Loading...")</f>
        <v>Loading...</v>
      </c>
      <c r="L3599" s="129">
        <v>7.74060232E13</v>
      </c>
      <c r="M3599" s="99">
        <v>0.41</v>
      </c>
    </row>
    <row r="3600">
      <c r="A3600" s="122" t="s">
        <v>7642</v>
      </c>
      <c r="B3600" s="123">
        <v>1415311.0</v>
      </c>
      <c r="C3600" s="124" t="s">
        <v>7643</v>
      </c>
      <c r="D3600" s="125"/>
      <c r="E3600" s="126">
        <v>7.9</v>
      </c>
      <c r="F3600" s="127"/>
      <c r="G3600" s="127"/>
      <c r="H3600" s="127"/>
      <c r="I3600" s="128"/>
      <c r="K3600" s="105" t="str">
        <f>IFERROR(__xludf.DUMMYFUNCTION("if(A3600="""","""",substitute(SUBSTITUTE(index(importhtml(""http://finviz.com/quote.ashx?t=""&amp;A3600,""table"",10),7,2),""*"",""""),""-"",""0.00""))"),"Loading...")</f>
        <v>Loading...</v>
      </c>
      <c r="L3600" s="129" t="e">
        <v>#N/A</v>
      </c>
      <c r="M3600" s="99" t="str">
        <f>IFERROR(__xludf.DUMMYFUNCTION("GOOGLEFINANCE(A3600,""beta"")"),"#N/A")</f>
        <v>#N/A</v>
      </c>
    </row>
    <row r="3601">
      <c r="A3601" s="122" t="s">
        <v>7644</v>
      </c>
      <c r="B3601" s="123">
        <v>1378701.0</v>
      </c>
      <c r="C3601" s="124" t="s">
        <v>7645</v>
      </c>
      <c r="D3601" s="125"/>
      <c r="E3601" s="126">
        <v>7.91</v>
      </c>
      <c r="F3601" s="127"/>
      <c r="G3601" s="127"/>
      <c r="H3601" s="127"/>
      <c r="I3601" s="128"/>
      <c r="K3601" s="55" t="s">
        <v>5866</v>
      </c>
      <c r="L3601" s="129">
        <v>9.7406981E7</v>
      </c>
      <c r="M3601" s="99">
        <v>0.29</v>
      </c>
    </row>
    <row r="3602">
      <c r="A3602" s="122" t="s">
        <v>7646</v>
      </c>
      <c r="B3602" s="123">
        <v>813623.0</v>
      </c>
      <c r="C3602" s="124" t="s">
        <v>7647</v>
      </c>
      <c r="D3602" s="125"/>
      <c r="E3602" s="126">
        <v>7.91</v>
      </c>
      <c r="F3602" s="127"/>
      <c r="G3602" s="127"/>
      <c r="H3602" s="127"/>
      <c r="I3602" s="128"/>
      <c r="K3602" s="105" t="str">
        <f>IFERROR(__xludf.DUMMYFUNCTION("if(A3602="""","""",substitute(SUBSTITUTE(index(importhtml(""http://finviz.com/quote.ashx?t=""&amp;A3602,""table"",10),7,2),""*"",""""),""-"",""0.00""))"),"#REF!")</f>
        <v>#REF!</v>
      </c>
      <c r="L3602" s="129" t="e">
        <v>#N/A</v>
      </c>
      <c r="M3602" s="99">
        <v>0.76</v>
      </c>
    </row>
    <row r="3603">
      <c r="A3603" s="122" t="s">
        <v>7648</v>
      </c>
      <c r="B3603" s="123">
        <v>885590.0</v>
      </c>
      <c r="C3603" s="124" t="s">
        <v>7649</v>
      </c>
      <c r="D3603" s="125"/>
      <c r="E3603" s="126">
        <v>7.92</v>
      </c>
      <c r="F3603" s="127"/>
      <c r="G3603" s="127"/>
      <c r="H3603" s="127"/>
      <c r="I3603" s="128"/>
      <c r="K3603" s="55" t="s">
        <v>1034</v>
      </c>
      <c r="L3603" s="129">
        <v>2.864276739E9</v>
      </c>
      <c r="M3603" s="99">
        <v>0.79</v>
      </c>
    </row>
    <row r="3604">
      <c r="A3604" s="122" t="s">
        <v>7650</v>
      </c>
      <c r="B3604" s="123">
        <v>1823794.0</v>
      </c>
      <c r="C3604" s="124" t="s">
        <v>7651</v>
      </c>
      <c r="D3604" s="125"/>
      <c r="E3604" s="126">
        <v>7.93</v>
      </c>
      <c r="F3604" s="127"/>
      <c r="G3604" s="127"/>
      <c r="H3604" s="127"/>
      <c r="I3604" s="128"/>
      <c r="K3604" s="105" t="str">
        <f>IFERROR(__xludf.DUMMYFUNCTION("if(A3604="""","""",substitute(SUBSTITUTE(index(importhtml(""http://finviz.com/quote.ashx?t=""&amp;A3604,""table"",10),7,2),""*"",""""),""-"",""0.00""))"),"Loading...")</f>
        <v>Loading...</v>
      </c>
      <c r="L3604" s="129">
        <v>9.26296142E8</v>
      </c>
      <c r="M3604" s="99">
        <v>0.35</v>
      </c>
    </row>
    <row r="3605">
      <c r="A3605" s="122" t="s">
        <v>7652</v>
      </c>
      <c r="B3605" s="123">
        <v>900278.0</v>
      </c>
      <c r="C3605" s="124" t="s">
        <v>7653</v>
      </c>
      <c r="D3605" s="125"/>
      <c r="E3605" s="126">
        <v>7.93</v>
      </c>
      <c r="F3605" s="127"/>
      <c r="G3605" s="127"/>
      <c r="H3605" s="127"/>
      <c r="I3605" s="128"/>
      <c r="K3605" s="105" t="str">
        <f>IFERROR(__xludf.DUMMYFUNCTION("if(A3605="""","""",substitute(SUBSTITUTE(index(importhtml(""http://finviz.com/quote.ashx?t=""&amp;A3605,""table"",10),7,2),""*"",""""),""-"",""0.00""))"),"Loading...")</f>
        <v>Loading...</v>
      </c>
      <c r="L3605" s="129">
        <v>2.282719374E11</v>
      </c>
      <c r="M3605" s="99">
        <f>IFERROR(__xludf.DUMMYFUNCTION("GOOGLEFINANCE(A3605,""beta"")"),-9.0)</f>
        <v>-9</v>
      </c>
    </row>
    <row r="3606">
      <c r="A3606" s="122" t="s">
        <v>7654</v>
      </c>
      <c r="B3606" s="123">
        <v>1843162.0</v>
      </c>
      <c r="C3606" s="124" t="s">
        <v>7655</v>
      </c>
      <c r="D3606" s="125"/>
      <c r="E3606" s="126">
        <v>7.94</v>
      </c>
      <c r="F3606" s="127"/>
      <c r="G3606" s="127"/>
      <c r="H3606" s="127"/>
      <c r="I3606" s="128"/>
      <c r="K3606" s="105" t="str">
        <f>IFERROR(__xludf.DUMMYFUNCTION("if(A3606="""","""",substitute(SUBSTITUTE(index(importhtml(""http://finviz.com/quote.ashx?t=""&amp;A3606,""table"",10),7,2),""*"",""""),""-"",""0.00""))"),"Loading...")</f>
        <v>Loading...</v>
      </c>
      <c r="L3606" s="129">
        <v>4.9344758E7</v>
      </c>
      <c r="M3606" s="99" t="str">
        <f>IFERROR(__xludf.DUMMYFUNCTION("GOOGLEFINANCE(A3606,""beta"")"),"#N/A")</f>
        <v>#N/A</v>
      </c>
    </row>
    <row r="3607">
      <c r="A3607" s="122" t="s">
        <v>7656</v>
      </c>
      <c r="B3607" s="123">
        <v>1782430.0</v>
      </c>
      <c r="C3607" s="124" t="s">
        <v>7657</v>
      </c>
      <c r="D3607" s="125"/>
      <c r="E3607" s="126">
        <v>7.95</v>
      </c>
      <c r="F3607" s="127"/>
      <c r="G3607" s="127"/>
      <c r="H3607" s="127"/>
      <c r="I3607" s="128"/>
      <c r="K3607" s="105" t="str">
        <f>IFERROR(__xludf.DUMMYFUNCTION("if(A3607="""","""",substitute(SUBSTITUTE(index(importhtml(""http://finviz.com/quote.ashx?t=""&amp;A3607,""table"",10),7,2),""*"",""""),""-"",""0.00""))"),"Loading...")</f>
        <v>Loading...</v>
      </c>
      <c r="L3607" s="129">
        <v>5.1114627E7</v>
      </c>
      <c r="M3607" s="99">
        <f>IFERROR(__xludf.DUMMYFUNCTION("GOOGLEFINANCE(A3607,""beta"")"),0.18)</f>
        <v>0.18</v>
      </c>
    </row>
    <row r="3608">
      <c r="A3608" s="122" t="s">
        <v>7658</v>
      </c>
      <c r="B3608" s="123">
        <v>1856430.0</v>
      </c>
      <c r="C3608" s="124" t="s">
        <v>7659</v>
      </c>
      <c r="D3608" s="125"/>
      <c r="E3608" s="126">
        <v>7.96</v>
      </c>
      <c r="F3608" s="127"/>
      <c r="G3608" s="127"/>
      <c r="H3608" s="127"/>
      <c r="I3608" s="128"/>
      <c r="K3608" s="105" t="str">
        <f>IFERROR(__xludf.DUMMYFUNCTION("if(A3608="""","""",substitute(SUBSTITUTE(index(importhtml(""http://finviz.com/quote.ashx?t=""&amp;A3608,""table"",10),7,2),""*"",""""),""-"",""0.00""))"),"Loading...")</f>
        <v>Loading...</v>
      </c>
      <c r="L3608" s="129">
        <v>6.09181827E8</v>
      </c>
      <c r="M3608" s="99" t="str">
        <f>IFERROR(__xludf.DUMMYFUNCTION("GOOGLEFINANCE(A3608,""beta"")"),"#N/A")</f>
        <v>#N/A</v>
      </c>
    </row>
    <row r="3609">
      <c r="A3609" s="122" t="s">
        <v>7660</v>
      </c>
      <c r="B3609" s="123">
        <v>1777921.0</v>
      </c>
      <c r="C3609" s="124" t="s">
        <v>7661</v>
      </c>
      <c r="D3609" s="125"/>
      <c r="E3609" s="126">
        <v>7.96</v>
      </c>
      <c r="F3609" s="127"/>
      <c r="G3609" s="127"/>
      <c r="H3609" s="127"/>
      <c r="I3609" s="128"/>
      <c r="K3609" s="105" t="str">
        <f>IFERROR(__xludf.DUMMYFUNCTION("if(A3609="""","""",substitute(SUBSTITUTE(index(importhtml(""http://finviz.com/quote.ashx?t=""&amp;A3609,""table"",10),7,2),""*"",""""),""-"",""0.00""))"),"Loading...")</f>
        <v>Loading...</v>
      </c>
      <c r="L3609" s="129">
        <v>1.461947935E9</v>
      </c>
      <c r="M3609" s="99">
        <v>0.86</v>
      </c>
    </row>
    <row r="3610">
      <c r="A3610" s="122" t="s">
        <v>7662</v>
      </c>
      <c r="B3610" s="123">
        <v>1137547.0</v>
      </c>
      <c r="C3610" s="124" t="s">
        <v>7663</v>
      </c>
      <c r="D3610" s="125"/>
      <c r="E3610" s="126">
        <v>7.97</v>
      </c>
      <c r="F3610" s="127"/>
      <c r="G3610" s="127"/>
      <c r="H3610" s="127"/>
      <c r="I3610" s="128"/>
      <c r="K3610" s="105" t="str">
        <f>IFERROR(__xludf.DUMMYFUNCTION("if(A3610="""","""",substitute(SUBSTITUTE(index(importhtml(""http://finviz.com/quote.ashx?t=""&amp;A3610,""table"",10),7,2),""*"",""""),""-"",""0.00""))"),"Loading...")</f>
        <v>Loading...</v>
      </c>
      <c r="L3610" s="129">
        <v>1.36828079E8</v>
      </c>
      <c r="M3610" s="99">
        <v>0.63</v>
      </c>
    </row>
    <row r="3611">
      <c r="A3611" s="122" t="s">
        <v>7664</v>
      </c>
      <c r="B3611" s="123">
        <v>1379400.0</v>
      </c>
      <c r="C3611" s="124" t="s">
        <v>7665</v>
      </c>
      <c r="D3611" s="125"/>
      <c r="E3611" s="126">
        <v>7.99</v>
      </c>
      <c r="F3611" s="127"/>
      <c r="G3611" s="127"/>
      <c r="H3611" s="127"/>
      <c r="I3611" s="128"/>
      <c r="K3611" s="55" t="s">
        <v>7666</v>
      </c>
      <c r="L3611" s="129">
        <v>8.42392866E8</v>
      </c>
      <c r="M3611" s="99">
        <v>1.02</v>
      </c>
    </row>
    <row r="3612">
      <c r="A3612" s="122" t="s">
        <v>7667</v>
      </c>
      <c r="B3612" s="123">
        <v>1001907.0</v>
      </c>
      <c r="C3612" s="124" t="s">
        <v>7668</v>
      </c>
      <c r="D3612" s="125"/>
      <c r="E3612" s="126">
        <v>7.99</v>
      </c>
      <c r="F3612" s="127"/>
      <c r="G3612" s="127"/>
      <c r="H3612" s="127"/>
      <c r="I3612" s="128"/>
      <c r="K3612" s="105" t="str">
        <f>IFERROR(__xludf.DUMMYFUNCTION("if(A3612="""","""",substitute(SUBSTITUTE(index(importhtml(""http://finviz.com/quote.ashx?t=""&amp;A3612,""table"",10),7,2),""*"",""""),""-"",""0.00""))"),"Loading...")</f>
        <v>Loading...</v>
      </c>
      <c r="L3612" s="129">
        <v>1.3587727E7</v>
      </c>
      <c r="M3612" s="99">
        <v>-0.22</v>
      </c>
    </row>
    <row r="3613">
      <c r="A3613" s="122" t="s">
        <v>7669</v>
      </c>
      <c r="B3613" s="123">
        <v>1487610.0</v>
      </c>
      <c r="C3613" s="124" t="s">
        <v>7670</v>
      </c>
      <c r="D3613" s="125"/>
      <c r="E3613" s="126">
        <v>7.99</v>
      </c>
      <c r="F3613" s="127"/>
      <c r="G3613" s="127"/>
      <c r="H3613" s="127"/>
      <c r="I3613" s="128"/>
      <c r="K3613" s="105" t="str">
        <f>IFERROR(__xludf.DUMMYFUNCTION("if(A3613="""","""",substitute(SUBSTITUTE(index(importhtml(""http://finviz.com/quote.ashx?t=""&amp;A3613,""table"",10),7,2),""*"",""""),""-"",""0.00""))"),"Loading...")</f>
        <v>Loading...</v>
      </c>
      <c r="L3613" s="129">
        <v>1.53870456E8</v>
      </c>
      <c r="M3613" s="99">
        <v>0.99</v>
      </c>
    </row>
    <row r="3614">
      <c r="A3614" s="122" t="s">
        <v>7671</v>
      </c>
      <c r="B3614" s="123">
        <v>1482512.0</v>
      </c>
      <c r="C3614" s="124" t="s">
        <v>7672</v>
      </c>
      <c r="D3614" s="125"/>
      <c r="E3614" s="126">
        <v>7.99</v>
      </c>
      <c r="F3614" s="127"/>
      <c r="G3614" s="127"/>
      <c r="H3614" s="127"/>
      <c r="I3614" s="128"/>
      <c r="K3614" s="105" t="str">
        <f>IFERROR(__xludf.DUMMYFUNCTION("if(A3614="""","""",substitute(SUBSTITUTE(index(importhtml(""http://finviz.com/quote.ashx?t=""&amp;A3614,""table"",10),7,2),""*"",""""),""-"",""0.00""))"),"Loading...")</f>
        <v>Loading...</v>
      </c>
      <c r="L3614" s="129">
        <v>1.126091391E9</v>
      </c>
      <c r="M3614" s="99">
        <v>1.38</v>
      </c>
    </row>
    <row r="3615">
      <c r="A3615" s="122" t="s">
        <v>7673</v>
      </c>
      <c r="B3615" s="123">
        <v>1792849.0</v>
      </c>
      <c r="C3615" s="124" t="s">
        <v>7674</v>
      </c>
      <c r="D3615" s="125"/>
      <c r="E3615" s="126">
        <v>8.0</v>
      </c>
      <c r="F3615" s="127"/>
      <c r="G3615" s="127"/>
      <c r="H3615" s="127"/>
      <c r="I3615" s="128"/>
      <c r="K3615" s="105" t="str">
        <f>IFERROR(__xludf.DUMMYFUNCTION("if(A3615="""","""",substitute(SUBSTITUTE(index(importhtml(""http://finviz.com/quote.ashx?t=""&amp;A3615,""table"",10),7,2),""*"",""""),""-"",""0.00""))"),"Loading...")</f>
        <v>Loading...</v>
      </c>
      <c r="L3615" s="129">
        <v>1.616817891E9</v>
      </c>
      <c r="M3615" s="99">
        <v>1.16</v>
      </c>
    </row>
    <row r="3616">
      <c r="A3616" s="122" t="s">
        <v>7675</v>
      </c>
      <c r="B3616" s="123">
        <v>1381640.0</v>
      </c>
      <c r="C3616" s="124" t="s">
        <v>7676</v>
      </c>
      <c r="D3616" s="125"/>
      <c r="E3616" s="126">
        <v>8.0</v>
      </c>
      <c r="F3616" s="127"/>
      <c r="G3616" s="127"/>
      <c r="H3616" s="127"/>
      <c r="I3616" s="128"/>
      <c r="K3616" s="105" t="str">
        <f>IFERROR(__xludf.DUMMYFUNCTION("if(A3616="""","""",substitute(SUBSTITUTE(index(importhtml(""http://finviz.com/quote.ashx?t=""&amp;A3616,""table"",10),7,2),""*"",""""),""-"",""0.00""))"),"Loading...")</f>
        <v>Loading...</v>
      </c>
      <c r="L3616" s="129">
        <v>3.4967216E9</v>
      </c>
      <c r="M3616" s="99">
        <v>1.14</v>
      </c>
    </row>
    <row r="3617">
      <c r="A3617" s="122" t="s">
        <v>7677</v>
      </c>
      <c r="B3617" s="123">
        <v>1420520.0</v>
      </c>
      <c r="C3617" s="124" t="s">
        <v>7678</v>
      </c>
      <c r="D3617" s="125"/>
      <c r="E3617" s="126">
        <v>8.01</v>
      </c>
      <c r="F3617" s="127"/>
      <c r="G3617" s="127"/>
      <c r="H3617" s="127"/>
      <c r="I3617" s="128"/>
      <c r="K3617" s="105" t="str">
        <f>IFERROR(__xludf.DUMMYFUNCTION("if(A3617="""","""",substitute(SUBSTITUTE(index(importhtml(""http://finviz.com/quote.ashx?t=""&amp;A3617,""table"",10),7,2),""*"",""""),""-"",""0.00""))"),"Loading...")</f>
        <v>Loading...</v>
      </c>
      <c r="L3617" s="129">
        <v>2.06650076E8</v>
      </c>
      <c r="M3617" s="99">
        <v>1.33</v>
      </c>
    </row>
    <row r="3618">
      <c r="A3618" s="122" t="s">
        <v>7679</v>
      </c>
      <c r="B3618" s="123">
        <v>1680247.0</v>
      </c>
      <c r="C3618" s="124" t="s">
        <v>7680</v>
      </c>
      <c r="D3618" s="125"/>
      <c r="E3618" s="126">
        <v>8.02</v>
      </c>
      <c r="F3618" s="127"/>
      <c r="G3618" s="127"/>
      <c r="H3618" s="127"/>
      <c r="I3618" s="128"/>
      <c r="K3618" s="105" t="str">
        <f>IFERROR(__xludf.DUMMYFUNCTION("if(A3618="""","""",substitute(SUBSTITUTE(index(importhtml(""http://finviz.com/quote.ashx?t=""&amp;A3618,""table"",10),7,2),""*"",""""),""-"",""0.00""))"),"Loading...")</f>
        <v>Loading...</v>
      </c>
      <c r="L3618" s="129">
        <v>8.84105602E8</v>
      </c>
      <c r="M3618" s="99" t="str">
        <f>IFERROR(__xludf.DUMMYFUNCTION("GOOGLEFINANCE(A3618,""beta"")"),"#N/A")</f>
        <v>#N/A</v>
      </c>
    </row>
    <row r="3619">
      <c r="A3619" s="122" t="s">
        <v>7681</v>
      </c>
      <c r="B3619" s="123">
        <v>1333274.0</v>
      </c>
      <c r="C3619" s="124" t="s">
        <v>7682</v>
      </c>
      <c r="D3619" s="125"/>
      <c r="E3619" s="126">
        <v>8.03</v>
      </c>
      <c r="F3619" s="127"/>
      <c r="G3619" s="127"/>
      <c r="H3619" s="127"/>
      <c r="I3619" s="128"/>
      <c r="K3619" s="105" t="str">
        <f>IFERROR(__xludf.DUMMYFUNCTION("if(A3619="""","""",substitute(SUBSTITUTE(index(importhtml(""http://finviz.com/quote.ashx?t=""&amp;A3619,""table"",10),7,2),""*"",""""),""-"",""0.00""))"),"Loading...")</f>
        <v>Loading...</v>
      </c>
      <c r="L3619" s="129">
        <v>5.34194608E8</v>
      </c>
      <c r="M3619" s="99">
        <v>1.36</v>
      </c>
    </row>
    <row r="3620">
      <c r="A3620" s="122" t="s">
        <v>7683</v>
      </c>
      <c r="B3620" s="123">
        <v>1395325.0</v>
      </c>
      <c r="C3620" s="124" t="s">
        <v>7684</v>
      </c>
      <c r="D3620" s="125"/>
      <c r="E3620" s="126">
        <v>8.04</v>
      </c>
      <c r="F3620" s="127"/>
      <c r="G3620" s="127"/>
      <c r="H3620" s="127"/>
      <c r="I3620" s="128"/>
      <c r="K3620" s="55" t="s">
        <v>7595</v>
      </c>
      <c r="L3620" s="129">
        <v>5.39376985E8</v>
      </c>
      <c r="M3620" s="99">
        <v>0.72</v>
      </c>
    </row>
    <row r="3621">
      <c r="A3621" s="122" t="s">
        <v>7685</v>
      </c>
      <c r="B3621" s="123">
        <v>1258943.0</v>
      </c>
      <c r="C3621" s="124" t="s">
        <v>7686</v>
      </c>
      <c r="D3621" s="125"/>
      <c r="E3621" s="126">
        <v>8.04</v>
      </c>
      <c r="F3621" s="127"/>
      <c r="G3621" s="127"/>
      <c r="H3621" s="127"/>
      <c r="I3621" s="128"/>
      <c r="K3621" s="105" t="str">
        <f>IFERROR(__xludf.DUMMYFUNCTION("if(A3621="""","""",substitute(SUBSTITUTE(index(importhtml(""http://finviz.com/quote.ashx?t=""&amp;A3621,""table"",10),7,2),""*"",""""),""-"",""0.00""))"),"Loading...")</f>
        <v>Loading...</v>
      </c>
      <c r="L3621" s="129">
        <v>1.92272016E8</v>
      </c>
      <c r="M3621" s="99">
        <v>0.59</v>
      </c>
    </row>
    <row r="3622">
      <c r="A3622" s="122" t="s">
        <v>7687</v>
      </c>
      <c r="B3622" s="123">
        <v>1793663.0</v>
      </c>
      <c r="C3622" s="124" t="s">
        <v>7688</v>
      </c>
      <c r="D3622" s="125"/>
      <c r="E3622" s="126">
        <v>8.04</v>
      </c>
      <c r="F3622" s="127"/>
      <c r="G3622" s="127"/>
      <c r="H3622" s="127"/>
      <c r="I3622" s="128"/>
      <c r="K3622" s="105" t="str">
        <f>IFERROR(__xludf.DUMMYFUNCTION("if(A3622="""","""",substitute(SUBSTITUTE(index(importhtml(""http://finviz.com/quote.ashx?t=""&amp;A3622,""table"",10),7,2),""*"",""""),""-"",""0.00""))"),"Loading...")</f>
        <v>Loading...</v>
      </c>
      <c r="L3622" s="129">
        <v>1.501454716E9</v>
      </c>
      <c r="M3622" s="99">
        <f>IFERROR(__xludf.DUMMYFUNCTION("GOOGLEFINANCE(A3622,""beta"")"),1.33)</f>
        <v>1.33</v>
      </c>
    </row>
    <row r="3623">
      <c r="A3623" s="122" t="s">
        <v>7689</v>
      </c>
      <c r="B3623" s="123">
        <v>1840776.0</v>
      </c>
      <c r="C3623" s="124" t="s">
        <v>7690</v>
      </c>
      <c r="D3623" s="125"/>
      <c r="E3623" s="126">
        <v>8.04</v>
      </c>
      <c r="F3623" s="127"/>
      <c r="G3623" s="127"/>
      <c r="H3623" s="127"/>
      <c r="I3623" s="128"/>
      <c r="K3623" s="105" t="str">
        <f>IFERROR(__xludf.DUMMYFUNCTION("if(A3623="""","""",substitute(SUBSTITUTE(index(importhtml(""http://finviz.com/quote.ashx?t=""&amp;A3623,""table"",10),7,2),""*"",""""),""-"",""0.00""))"),"Loading...")</f>
        <v>Loading...</v>
      </c>
      <c r="L3623" s="129">
        <v>2.698404083E9</v>
      </c>
      <c r="M3623" s="99">
        <f>IFERROR(__xludf.DUMMYFUNCTION("GOOGLEFINANCE(A3623,""beta"")"),0.91)</f>
        <v>0.91</v>
      </c>
    </row>
    <row r="3624">
      <c r="A3624" s="122" t="s">
        <v>7691</v>
      </c>
      <c r="B3624" s="123">
        <v>1140410.0</v>
      </c>
      <c r="C3624" s="124" t="s">
        <v>7692</v>
      </c>
      <c r="D3624" s="125"/>
      <c r="E3624" s="126">
        <v>8.06</v>
      </c>
      <c r="F3624" s="127"/>
      <c r="G3624" s="127"/>
      <c r="H3624" s="127"/>
      <c r="I3624" s="128"/>
      <c r="K3624" s="105" t="str">
        <f>IFERROR(__xludf.DUMMYFUNCTION("if(A3624="""","""",substitute(SUBSTITUTE(index(importhtml(""http://finviz.com/quote.ashx?t=""&amp;A3624,""table"",10),7,2),""*"",""""),""-"",""0.00""))"),"Loading...")</f>
        <v>Loading...</v>
      </c>
      <c r="L3624" s="129">
        <v>6.3419113E7</v>
      </c>
      <c r="M3624" s="99">
        <v>0.7</v>
      </c>
    </row>
    <row r="3625">
      <c r="A3625" s="122" t="s">
        <v>7693</v>
      </c>
      <c r="B3625" s="123">
        <v>1520504.0</v>
      </c>
      <c r="C3625" s="124" t="s">
        <v>7694</v>
      </c>
      <c r="D3625" s="125"/>
      <c r="E3625" s="126">
        <v>8.06</v>
      </c>
      <c r="F3625" s="127"/>
      <c r="G3625" s="127"/>
      <c r="H3625" s="127"/>
      <c r="I3625" s="128"/>
      <c r="K3625" s="105" t="str">
        <f>IFERROR(__xludf.DUMMYFUNCTION("if(A3625="""","""",substitute(SUBSTITUTE(index(importhtml(""http://finviz.com/quote.ashx?t=""&amp;A3625,""table"",10),7,2),""*"",""""),""-"",""0.00""))"),"Loading...")</f>
        <v>Loading...</v>
      </c>
      <c r="L3625" s="129">
        <v>9.01478E8</v>
      </c>
      <c r="M3625" s="99">
        <v>2.62</v>
      </c>
    </row>
    <row r="3626">
      <c r="A3626" s="122" t="s">
        <v>7695</v>
      </c>
      <c r="B3626" s="123">
        <v>1606745.0</v>
      </c>
      <c r="C3626" s="124" t="s">
        <v>7696</v>
      </c>
      <c r="D3626" s="125"/>
      <c r="E3626" s="126">
        <v>8.07</v>
      </c>
      <c r="F3626" s="127"/>
      <c r="G3626" s="127"/>
      <c r="H3626" s="127"/>
      <c r="I3626" s="128"/>
      <c r="K3626" s="105" t="str">
        <f>IFERROR(__xludf.DUMMYFUNCTION("if(A3626="""","""",substitute(SUBSTITUTE(index(importhtml(""http://finviz.com/quote.ashx?t=""&amp;A3626,""table"",10),7,2),""*"",""""),""-"",""0.00""))"),"Loading...")</f>
        <v>Loading...</v>
      </c>
      <c r="L3626" s="129">
        <v>8.8398484E7</v>
      </c>
      <c r="M3626" s="99">
        <v>6.6</v>
      </c>
    </row>
    <row r="3627">
      <c r="A3627" s="122" t="s">
        <v>7697</v>
      </c>
      <c r="B3627" s="123">
        <v>1788882.0</v>
      </c>
      <c r="C3627" s="124" t="s">
        <v>7698</v>
      </c>
      <c r="D3627" s="125"/>
      <c r="E3627" s="126">
        <v>8.07</v>
      </c>
      <c r="F3627" s="127"/>
      <c r="G3627" s="127"/>
      <c r="H3627" s="127"/>
      <c r="I3627" s="128"/>
      <c r="K3627" s="105" t="str">
        <f>IFERROR(__xludf.DUMMYFUNCTION("if(A3627="""","""",substitute(SUBSTITUTE(index(importhtml(""http://finviz.com/quote.ashx?t=""&amp;A3627,""table"",10),7,2),""*"",""""),""-"",""0.00""))"),"Loading...")</f>
        <v>Loading...</v>
      </c>
      <c r="L3627" s="129">
        <v>1.17821995E8</v>
      </c>
      <c r="M3627" s="99">
        <v>1.55</v>
      </c>
    </row>
    <row r="3628">
      <c r="A3628" s="122" t="s">
        <v>7699</v>
      </c>
      <c r="B3628" s="123">
        <v>1357971.0</v>
      </c>
      <c r="C3628" s="124" t="s">
        <v>7700</v>
      </c>
      <c r="D3628" s="125"/>
      <c r="E3628" s="126">
        <v>8.07</v>
      </c>
      <c r="F3628" s="127"/>
      <c r="G3628" s="127"/>
      <c r="H3628" s="127"/>
      <c r="I3628" s="128"/>
      <c r="K3628" s="105" t="str">
        <f>IFERROR(__xludf.DUMMYFUNCTION("if(A3628="""","""",substitute(SUBSTITUTE(index(importhtml(""http://finviz.com/quote.ashx?t=""&amp;A3628,""table"",10),7,2),""*"",""""),""-"",""0.00""))"),"Loading...")</f>
        <v>Loading...</v>
      </c>
      <c r="L3628" s="129">
        <v>1.34019937E8</v>
      </c>
      <c r="M3628" s="99">
        <v>0.94</v>
      </c>
    </row>
    <row r="3629">
      <c r="A3629" s="122" t="s">
        <v>7701</v>
      </c>
      <c r="B3629" s="123">
        <v>1720592.0</v>
      </c>
      <c r="C3629" s="124" t="s">
        <v>7702</v>
      </c>
      <c r="D3629" s="125"/>
      <c r="E3629" s="126">
        <v>8.07</v>
      </c>
      <c r="F3629" s="127"/>
      <c r="G3629" s="127"/>
      <c r="H3629" s="127"/>
      <c r="I3629" s="128"/>
      <c r="K3629" s="105" t="str">
        <f>IFERROR(__xludf.DUMMYFUNCTION("if(A3629="""","""",substitute(SUBSTITUTE(index(importhtml(""http://finviz.com/quote.ashx?t=""&amp;A3629,""table"",10),7,2),""*"",""""),""-"",""0.00""))"),"Loading...")</f>
        <v>Loading...</v>
      </c>
      <c r="L3629" s="129">
        <v>7.63897939E8</v>
      </c>
      <c r="M3629" s="99">
        <v>1.3</v>
      </c>
    </row>
    <row r="3630">
      <c r="A3630" s="122" t="s">
        <v>7703</v>
      </c>
      <c r="B3630" s="123">
        <v>1041792.0</v>
      </c>
      <c r="C3630" s="124" t="s">
        <v>7704</v>
      </c>
      <c r="D3630" s="125"/>
      <c r="E3630" s="126">
        <v>8.09</v>
      </c>
      <c r="F3630" s="127"/>
      <c r="G3630" s="127"/>
      <c r="H3630" s="127"/>
      <c r="I3630" s="128"/>
      <c r="K3630" s="55" t="s">
        <v>6938</v>
      </c>
      <c r="L3630" s="129">
        <v>2.8594555252E10</v>
      </c>
      <c r="M3630" s="99">
        <v>2.53</v>
      </c>
    </row>
    <row r="3631">
      <c r="A3631" s="122" t="s">
        <v>7705</v>
      </c>
      <c r="B3631" s="123">
        <v>1836564.0</v>
      </c>
      <c r="C3631" s="124" t="s">
        <v>7706</v>
      </c>
      <c r="D3631" s="125"/>
      <c r="E3631" s="126">
        <v>8.09</v>
      </c>
      <c r="F3631" s="127"/>
      <c r="G3631" s="127"/>
      <c r="H3631" s="127"/>
      <c r="I3631" s="128"/>
      <c r="K3631" s="105" t="str">
        <f>IFERROR(__xludf.DUMMYFUNCTION("if(A3631="""","""",substitute(SUBSTITUTE(index(importhtml(""http://finviz.com/quote.ashx?t=""&amp;A3631,""table"",10),7,2),""*"",""""),""-"",""0.00""))"),"Loading...")</f>
        <v>Loading...</v>
      </c>
      <c r="L3631" s="129">
        <v>4.82513385E8</v>
      </c>
      <c r="M3631" s="99">
        <f>IFERROR(__xludf.DUMMYFUNCTION("GOOGLEFINANCE(A3631,""beta"")"),1.83)</f>
        <v>1.83</v>
      </c>
    </row>
    <row r="3632">
      <c r="A3632" s="122" t="s">
        <v>7707</v>
      </c>
      <c r="B3632" s="123">
        <v>1254370.0</v>
      </c>
      <c r="C3632" s="124" t="s">
        <v>7708</v>
      </c>
      <c r="D3632" s="125"/>
      <c r="E3632" s="126">
        <v>8.12</v>
      </c>
      <c r="F3632" s="127"/>
      <c r="G3632" s="127"/>
      <c r="H3632" s="127"/>
      <c r="I3632" s="128"/>
      <c r="K3632" s="105" t="str">
        <f>IFERROR(__xludf.DUMMYFUNCTION("if(A3632="""","""",substitute(SUBSTITUTE(index(importhtml(""http://finviz.com/quote.ashx?t=""&amp;A3632,""table"",10),7,2),""*"",""""),""-"",""0.00""))"),"Loading...")</f>
        <v>Loading...</v>
      </c>
      <c r="L3632" s="129">
        <v>1.89376667E8</v>
      </c>
      <c r="M3632" s="99">
        <v>0.55</v>
      </c>
    </row>
    <row r="3633">
      <c r="A3633" s="122" t="s">
        <v>7709</v>
      </c>
      <c r="B3633" s="123">
        <v>1698535.0</v>
      </c>
      <c r="C3633" s="124" t="s">
        <v>7710</v>
      </c>
      <c r="D3633" s="125"/>
      <c r="E3633" s="126">
        <v>8.12</v>
      </c>
      <c r="F3633" s="127"/>
      <c r="G3633" s="127"/>
      <c r="H3633" s="127"/>
      <c r="I3633" s="128"/>
      <c r="K3633" s="105" t="str">
        <f>IFERROR(__xludf.DUMMYFUNCTION("if(A3633="""","""",substitute(SUBSTITUTE(index(importhtml(""http://finviz.com/quote.ashx?t=""&amp;A3633,""table"",10),7,2),""*"",""""),""-"",""0.00""))"),"Loading...")</f>
        <v>Loading...</v>
      </c>
      <c r="L3633" s="129">
        <v>5.699244272E9</v>
      </c>
      <c r="M3633" s="99">
        <v>1.93</v>
      </c>
    </row>
    <row r="3634">
      <c r="A3634" s="122" t="s">
        <v>7711</v>
      </c>
      <c r="B3634" s="123">
        <v>1819493.0</v>
      </c>
      <c r="C3634" s="124" t="s">
        <v>7712</v>
      </c>
      <c r="D3634" s="125"/>
      <c r="E3634" s="126">
        <v>8.14</v>
      </c>
      <c r="F3634" s="127"/>
      <c r="G3634" s="127"/>
      <c r="H3634" s="127"/>
      <c r="I3634" s="128"/>
      <c r="K3634" s="105" t="str">
        <f>IFERROR(__xludf.DUMMYFUNCTION("if(A3634="""","""",substitute(SUBSTITUTE(index(importhtml(""http://finviz.com/quote.ashx?t=""&amp;A3634,""table"",10),7,2),""*"",""""),""-"",""0.00""))"),"Loading...")</f>
        <v>Loading...</v>
      </c>
      <c r="L3634" s="129">
        <v>4.8361638E7</v>
      </c>
      <c r="M3634" s="99">
        <v>1.76</v>
      </c>
    </row>
    <row r="3635">
      <c r="A3635" s="122" t="s">
        <v>7713</v>
      </c>
      <c r="B3635" s="123">
        <v>1787414.0</v>
      </c>
      <c r="C3635" s="124" t="s">
        <v>7714</v>
      </c>
      <c r="D3635" s="125"/>
      <c r="E3635" s="126">
        <v>8.14</v>
      </c>
      <c r="F3635" s="127"/>
      <c r="G3635" s="127"/>
      <c r="H3635" s="127"/>
      <c r="I3635" s="128"/>
      <c r="K3635" s="105" t="str">
        <f>IFERROR(__xludf.DUMMYFUNCTION("if(A3635="""","""",substitute(SUBSTITUTE(index(importhtml(""http://finviz.com/quote.ashx?t=""&amp;A3635,""table"",10),7,2),""*"",""""),""-"",""0.00""))"),"Loading...")</f>
        <v>Loading...</v>
      </c>
      <c r="L3635" s="129">
        <v>1.084839E8</v>
      </c>
      <c r="M3635" s="99">
        <v>0.54</v>
      </c>
    </row>
    <row r="3636">
      <c r="A3636" s="122" t="s">
        <v>7715</v>
      </c>
      <c r="B3636" s="123">
        <v>1549595.0</v>
      </c>
      <c r="C3636" s="124" t="s">
        <v>7716</v>
      </c>
      <c r="D3636" s="125"/>
      <c r="E3636" s="126">
        <v>8.14</v>
      </c>
      <c r="F3636" s="127"/>
      <c r="G3636" s="127"/>
      <c r="H3636" s="127"/>
      <c r="I3636" s="128"/>
      <c r="K3636" s="105" t="str">
        <f>IFERROR(__xludf.DUMMYFUNCTION("if(A3636="""","""",substitute(SUBSTITUTE(index(importhtml(""http://finviz.com/quote.ashx?t=""&amp;A3636,""table"",10),7,2),""*"",""""),""-"",""0.00""))"),"Loading...")</f>
        <v>Loading...</v>
      </c>
      <c r="L3636" s="129">
        <v>3.94820623E8</v>
      </c>
      <c r="M3636" s="99">
        <v>1.86</v>
      </c>
    </row>
    <row r="3637">
      <c r="A3637" s="122" t="s">
        <v>7717</v>
      </c>
      <c r="B3637" s="123">
        <v>1334933.0</v>
      </c>
      <c r="C3637" s="124" t="s">
        <v>7718</v>
      </c>
      <c r="D3637" s="125"/>
      <c r="E3637" s="126">
        <v>8.14</v>
      </c>
      <c r="F3637" s="127"/>
      <c r="G3637" s="127"/>
      <c r="H3637" s="127"/>
      <c r="I3637" s="128"/>
      <c r="K3637" s="105" t="str">
        <f>IFERROR(__xludf.DUMMYFUNCTION("if(A3637="""","""",substitute(SUBSTITUTE(index(importhtml(""http://finviz.com/quote.ashx?t=""&amp;A3637,""table"",10),7,2),""*"",""""),""-"",""0.00""))"),"Loading...")</f>
        <v>Loading...</v>
      </c>
      <c r="L3637" s="129">
        <v>3.198854892E9</v>
      </c>
      <c r="M3637" s="99">
        <v>1.9</v>
      </c>
    </row>
    <row r="3638">
      <c r="A3638" s="122" t="s">
        <v>7719</v>
      </c>
      <c r="B3638" s="123">
        <v>908187.0</v>
      </c>
      <c r="C3638" s="124" t="s">
        <v>7720</v>
      </c>
      <c r="D3638" s="125"/>
      <c r="E3638" s="126">
        <v>8.15</v>
      </c>
      <c r="F3638" s="127"/>
      <c r="G3638" s="127"/>
      <c r="H3638" s="127"/>
      <c r="I3638" s="128"/>
      <c r="K3638" s="105" t="str">
        <f>IFERROR(__xludf.DUMMYFUNCTION("if(A3638="""","""",substitute(SUBSTITUTE(index(importhtml(""http://finviz.com/quote.ashx?t=""&amp;A3638,""table"",10),7,2),""*"",""""),""-"",""0.00""))"),"Loading...")</f>
        <v>Loading...</v>
      </c>
      <c r="L3638" s="129">
        <v>9.6732426E7</v>
      </c>
      <c r="M3638" s="99">
        <v>0.87</v>
      </c>
    </row>
    <row r="3639">
      <c r="A3639" s="122" t="s">
        <v>7721</v>
      </c>
      <c r="B3639" s="123">
        <v>16859.0</v>
      </c>
      <c r="C3639" s="124" t="s">
        <v>7722</v>
      </c>
      <c r="D3639" s="125"/>
      <c r="E3639" s="126">
        <v>8.15</v>
      </c>
      <c r="F3639" s="127"/>
      <c r="G3639" s="127"/>
      <c r="H3639" s="127"/>
      <c r="I3639" s="128"/>
      <c r="K3639" s="105" t="str">
        <f>IFERROR(__xludf.DUMMYFUNCTION("if(A3639="""","""",substitute(SUBSTITUTE(index(importhtml(""http://finviz.com/quote.ashx?t=""&amp;A3639,""table"",10),7,2),""*"",""""),""-"",""0.00""))"),"Loading...")</f>
        <v>Loading...</v>
      </c>
      <c r="L3639" s="129">
        <v>1.20801331E8</v>
      </c>
      <c r="M3639" s="99">
        <v>1.28</v>
      </c>
    </row>
    <row r="3640">
      <c r="A3640" s="122" t="s">
        <v>7723</v>
      </c>
      <c r="B3640" s="123">
        <v>1729149.0</v>
      </c>
      <c r="C3640" s="124" t="s">
        <v>7724</v>
      </c>
      <c r="D3640" s="125"/>
      <c r="E3640" s="126">
        <v>8.15</v>
      </c>
      <c r="F3640" s="127"/>
      <c r="G3640" s="127"/>
      <c r="H3640" s="127"/>
      <c r="I3640" s="128"/>
      <c r="K3640" s="105" t="str">
        <f>IFERROR(__xludf.DUMMYFUNCTION("if(A3640="""","""",substitute(SUBSTITUTE(index(importhtml(""http://finviz.com/quote.ashx?t=""&amp;A3640,""table"",10),7,2),""*"",""""),""-"",""0.00""))"),"Loading...")</f>
        <v>Loading...</v>
      </c>
      <c r="L3640" s="129">
        <v>3.12006435E8</v>
      </c>
      <c r="M3640" s="99">
        <v>1.4</v>
      </c>
    </row>
    <row r="3641">
      <c r="A3641" s="122" t="s">
        <v>7725</v>
      </c>
      <c r="B3641" s="123">
        <v>1642453.0</v>
      </c>
      <c r="C3641" s="124" t="s">
        <v>7726</v>
      </c>
      <c r="D3641" s="125"/>
      <c r="E3641" s="126">
        <v>8.15</v>
      </c>
      <c r="F3641" s="127"/>
      <c r="G3641" s="127"/>
      <c r="H3641" s="127"/>
      <c r="I3641" s="128"/>
      <c r="K3641" s="105" t="str">
        <f>IFERROR(__xludf.DUMMYFUNCTION("if(A3641="""","""",substitute(SUBSTITUTE(index(importhtml(""http://finviz.com/quote.ashx?t=""&amp;A3641,""table"",10),7,2),""*"",""""),""-"",""0.00""))"),"Loading...")</f>
        <v>Loading...</v>
      </c>
      <c r="L3641" s="129">
        <v>3.79300004E8</v>
      </c>
      <c r="M3641" s="99">
        <v>2.05</v>
      </c>
    </row>
    <row r="3642">
      <c r="A3642" s="122" t="s">
        <v>7727</v>
      </c>
      <c r="B3642" s="123">
        <v>1847360.0</v>
      </c>
      <c r="C3642" s="124" t="s">
        <v>7728</v>
      </c>
      <c r="D3642" s="125"/>
      <c r="E3642" s="126">
        <v>8.17</v>
      </c>
      <c r="F3642" s="127"/>
      <c r="G3642" s="127"/>
      <c r="H3642" s="127"/>
      <c r="I3642" s="128"/>
      <c r="K3642" s="105" t="str">
        <f>IFERROR(__xludf.DUMMYFUNCTION("if(A3642="""","""",substitute(SUBSTITUTE(index(importhtml(""http://finviz.com/quote.ashx?t=""&amp;A3642,""table"",10),7,2),""*"",""""),""-"",""0.00""))"),"Loading...")</f>
        <v>Loading...</v>
      </c>
      <c r="L3642" s="129">
        <v>4.9924419E7</v>
      </c>
      <c r="M3642" s="99">
        <v>0.41</v>
      </c>
    </row>
    <row r="3643">
      <c r="A3643" s="122" t="s">
        <v>7729</v>
      </c>
      <c r="B3643" s="123">
        <v>1096056.0</v>
      </c>
      <c r="C3643" s="124" t="s">
        <v>7730</v>
      </c>
      <c r="D3643" s="125"/>
      <c r="E3643" s="126">
        <v>8.18</v>
      </c>
      <c r="F3643" s="127"/>
      <c r="G3643" s="127"/>
      <c r="H3643" s="127"/>
      <c r="I3643" s="128"/>
      <c r="K3643" s="105" t="str">
        <f>IFERROR(__xludf.DUMMYFUNCTION("if(A3643="""","""",substitute(SUBSTITUTE(index(importhtml(""http://finviz.com/quote.ashx?t=""&amp;A3643,""table"",10),7,2),""*"",""""),""-"",""0.00""))"),"Loading...")</f>
        <v>Loading...</v>
      </c>
      <c r="L3643" s="129">
        <v>2.19804542E8</v>
      </c>
      <c r="M3643" s="99">
        <v>0.8</v>
      </c>
    </row>
    <row r="3644">
      <c r="A3644" s="122" t="s">
        <v>7731</v>
      </c>
      <c r="B3644" s="123">
        <v>1438569.0</v>
      </c>
      <c r="C3644" s="124" t="s">
        <v>7732</v>
      </c>
      <c r="D3644" s="125"/>
      <c r="E3644" s="126">
        <v>8.18</v>
      </c>
      <c r="F3644" s="127"/>
      <c r="G3644" s="127"/>
      <c r="H3644" s="127"/>
      <c r="I3644" s="128"/>
      <c r="K3644" s="105" t="str">
        <f>IFERROR(__xludf.DUMMYFUNCTION("if(A3644="""","""",substitute(SUBSTITUTE(index(importhtml(""http://finviz.com/quote.ashx?t=""&amp;A3644,""table"",10),7,2),""*"",""""),""-"",""0.00""))"),"Loading...")</f>
        <v>Loading...</v>
      </c>
      <c r="L3644" s="129">
        <v>6.81821185E9</v>
      </c>
      <c r="M3644" s="99">
        <v>0.6</v>
      </c>
    </row>
    <row r="3645">
      <c r="A3645" s="122" t="s">
        <v>7733</v>
      </c>
      <c r="B3645" s="123">
        <v>926423.0</v>
      </c>
      <c r="C3645" s="124" t="s">
        <v>7734</v>
      </c>
      <c r="D3645" s="125"/>
      <c r="E3645" s="126">
        <v>8.19</v>
      </c>
      <c r="F3645" s="127"/>
      <c r="G3645" s="127"/>
      <c r="H3645" s="127"/>
      <c r="I3645" s="128"/>
      <c r="K3645" s="105" t="str">
        <f>IFERROR(__xludf.DUMMYFUNCTION("if(A3645="""","""",substitute(SUBSTITUTE(index(importhtml(""http://finviz.com/quote.ashx?t=""&amp;A3645,""table"",10),7,2),""*"",""""),""-"",""0.00""))"),"Loading...")</f>
        <v>Loading...</v>
      </c>
      <c r="L3645" s="129">
        <v>8681669.0</v>
      </c>
      <c r="M3645" s="99">
        <v>0.35</v>
      </c>
    </row>
    <row r="3646">
      <c r="A3646" s="122" t="s">
        <v>7735</v>
      </c>
      <c r="B3646" s="123">
        <v>891532.0</v>
      </c>
      <c r="C3646" s="124" t="s">
        <v>7736</v>
      </c>
      <c r="D3646" s="125"/>
      <c r="E3646" s="126">
        <v>8.19</v>
      </c>
      <c r="F3646" s="127"/>
      <c r="G3646" s="127"/>
      <c r="H3646" s="127"/>
      <c r="I3646" s="128"/>
      <c r="K3646" s="105" t="str">
        <f>IFERROR(__xludf.DUMMYFUNCTION("if(A3646="""","""",substitute(SUBSTITUTE(index(importhtml(""http://finviz.com/quote.ashx?t=""&amp;A3646,""table"",10),7,2),""*"",""""),""-"",""0.00""))"),"Loading...")</f>
        <v>Loading...</v>
      </c>
      <c r="L3646" s="129">
        <v>1.11493166E8</v>
      </c>
      <c r="M3646" s="99">
        <v>0.46</v>
      </c>
    </row>
    <row r="3647">
      <c r="A3647" s="122" t="s">
        <v>7737</v>
      </c>
      <c r="B3647" s="123">
        <v>836690.0</v>
      </c>
      <c r="C3647" s="124" t="s">
        <v>7738</v>
      </c>
      <c r="D3647" s="125"/>
      <c r="E3647" s="126">
        <v>8.19</v>
      </c>
      <c r="F3647" s="127"/>
      <c r="G3647" s="127"/>
      <c r="H3647" s="127"/>
      <c r="I3647" s="128"/>
      <c r="K3647" s="105" t="str">
        <f>IFERROR(__xludf.DUMMYFUNCTION("if(A3647="""","""",substitute(SUBSTITUTE(index(importhtml(""http://finviz.com/quote.ashx?t=""&amp;A3647,""table"",10),7,2),""*"",""""),""-"",""0.00""))"),"Loading...")</f>
        <v>Loading...</v>
      </c>
      <c r="L3647" s="129">
        <v>1.42997228E8</v>
      </c>
      <c r="M3647" s="99">
        <v>1.11</v>
      </c>
    </row>
    <row r="3648">
      <c r="A3648" s="122" t="s">
        <v>7739</v>
      </c>
      <c r="B3648" s="123">
        <v>807707.0</v>
      </c>
      <c r="C3648" s="124" t="s">
        <v>7740</v>
      </c>
      <c r="D3648" s="125"/>
      <c r="E3648" s="126">
        <v>8.19</v>
      </c>
      <c r="F3648" s="127"/>
      <c r="G3648" s="127"/>
      <c r="H3648" s="127"/>
      <c r="I3648" s="128"/>
      <c r="K3648" s="105" t="str">
        <f>IFERROR(__xludf.DUMMYFUNCTION("if(A3648="""","""",substitute(SUBSTITUTE(index(importhtml(""http://finviz.com/quote.ashx?t=""&amp;A3648,""table"",10),7,2),""*"",""""),""-"",""0.00""))"),"Loading...")</f>
        <v>Loading...</v>
      </c>
      <c r="L3648" s="129">
        <v>1.85077201E8</v>
      </c>
      <c r="M3648" s="99">
        <v>1.3</v>
      </c>
    </row>
    <row r="3649">
      <c r="A3649" s="122" t="s">
        <v>7741</v>
      </c>
      <c r="B3649" s="123">
        <v>1810997.0</v>
      </c>
      <c r="C3649" s="124" t="s">
        <v>7742</v>
      </c>
      <c r="D3649" s="125"/>
      <c r="E3649" s="126">
        <v>8.19</v>
      </c>
      <c r="F3649" s="127"/>
      <c r="G3649" s="127"/>
      <c r="H3649" s="127"/>
      <c r="I3649" s="128"/>
      <c r="K3649" s="105" t="str">
        <f>IFERROR(__xludf.DUMMYFUNCTION("if(A3649="""","""",substitute(SUBSTITUTE(index(importhtml(""http://finviz.com/quote.ashx?t=""&amp;A3649,""table"",10),7,2),""*"",""""),""-"",""0.00""))"),"Loading...")</f>
        <v>Loading...</v>
      </c>
      <c r="L3649" s="129">
        <v>7.726516038E9</v>
      </c>
      <c r="M3649" s="99">
        <v>3.0</v>
      </c>
    </row>
    <row r="3650">
      <c r="A3650" s="122" t="s">
        <v>7743</v>
      </c>
      <c r="B3650" s="123">
        <v>819050.0</v>
      </c>
      <c r="C3650" s="124" t="s">
        <v>7744</v>
      </c>
      <c r="D3650" s="125"/>
      <c r="E3650" s="126">
        <v>8.2</v>
      </c>
      <c r="F3650" s="127"/>
      <c r="G3650" s="127"/>
      <c r="H3650" s="127"/>
      <c r="I3650" s="128"/>
      <c r="K3650" s="105" t="str">
        <f>IFERROR(__xludf.DUMMYFUNCTION("if(A3650="""","""",substitute(SUBSTITUTE(index(importhtml(""http://finviz.com/quote.ashx?t=""&amp;A3650,""table"",10),7,2),""*"",""""),""-"",""0.00""))"),"Loading...")</f>
        <v>Loading...</v>
      </c>
      <c r="L3650" s="129">
        <v>4.2639999E7</v>
      </c>
      <c r="M3650" s="99" t="str">
        <f>IFERROR(__xludf.DUMMYFUNCTION("GOOGLEFINANCE(A3650,""beta"")"),"#N/A")</f>
        <v>#N/A</v>
      </c>
    </row>
    <row r="3651">
      <c r="A3651" s="122" t="s">
        <v>7745</v>
      </c>
      <c r="B3651" s="123">
        <v>27367.0</v>
      </c>
      <c r="C3651" s="124" t="s">
        <v>7746</v>
      </c>
      <c r="D3651" s="125"/>
      <c r="E3651" s="126">
        <v>8.21</v>
      </c>
      <c r="F3651" s="127"/>
      <c r="G3651" s="127"/>
      <c r="H3651" s="127"/>
      <c r="I3651" s="128"/>
      <c r="K3651" s="55" t="s">
        <v>1034</v>
      </c>
      <c r="L3651" s="129">
        <v>3.934493E7</v>
      </c>
      <c r="M3651" s="99">
        <v>-0.41</v>
      </c>
    </row>
    <row r="3652">
      <c r="A3652" s="122" t="s">
        <v>7747</v>
      </c>
      <c r="B3652" s="123">
        <v>1062231.0</v>
      </c>
      <c r="C3652" s="124" t="s">
        <v>7748</v>
      </c>
      <c r="D3652" s="125"/>
      <c r="E3652" s="126">
        <v>8.21</v>
      </c>
      <c r="F3652" s="127"/>
      <c r="G3652" s="127"/>
      <c r="H3652" s="127"/>
      <c r="I3652" s="128"/>
      <c r="K3652" s="55" t="s">
        <v>1034</v>
      </c>
      <c r="L3652" s="129">
        <v>9.61070814E8</v>
      </c>
      <c r="M3652" s="99">
        <v>2.28</v>
      </c>
    </row>
    <row r="3653">
      <c r="A3653" s="122" t="s">
        <v>7749</v>
      </c>
      <c r="B3653" s="123">
        <v>1439124.0</v>
      </c>
      <c r="C3653" s="124" t="s">
        <v>7750</v>
      </c>
      <c r="D3653" s="125"/>
      <c r="E3653" s="126">
        <v>8.21</v>
      </c>
      <c r="F3653" s="127"/>
      <c r="G3653" s="127"/>
      <c r="H3653" s="127"/>
      <c r="I3653" s="128"/>
      <c r="K3653" s="55" t="s">
        <v>6151</v>
      </c>
      <c r="L3653" s="129">
        <v>9.5170351043E10</v>
      </c>
      <c r="M3653" s="99">
        <v>0.99</v>
      </c>
    </row>
    <row r="3654">
      <c r="A3654" s="122" t="s">
        <v>7751</v>
      </c>
      <c r="B3654" s="123">
        <v>1622148.0</v>
      </c>
      <c r="C3654" s="124" t="s">
        <v>7752</v>
      </c>
      <c r="D3654" s="125"/>
      <c r="E3654" s="126">
        <v>8.23</v>
      </c>
      <c r="F3654" s="127"/>
      <c r="G3654" s="127"/>
      <c r="H3654" s="127"/>
      <c r="I3654" s="128"/>
      <c r="K3654" s="105" t="str">
        <f>IFERROR(__xludf.DUMMYFUNCTION("if(A3654="""","""",substitute(SUBSTITUTE(index(importhtml(""http://finviz.com/quote.ashx?t=""&amp;A3654,""table"",10),7,2),""*"",""""),""-"",""0.00""))"),"Loading...")</f>
        <v>Loading...</v>
      </c>
      <c r="L3654" s="129" t="e">
        <v>#N/A</v>
      </c>
      <c r="M3654" s="99">
        <v>1.32</v>
      </c>
    </row>
    <row r="3655">
      <c r="A3655" s="122" t="s">
        <v>7753</v>
      </c>
      <c r="B3655" s="123">
        <v>1133311.0</v>
      </c>
      <c r="C3655" s="124" t="s">
        <v>7754</v>
      </c>
      <c r="D3655" s="125"/>
      <c r="E3655" s="126">
        <v>8.24</v>
      </c>
      <c r="F3655" s="127"/>
      <c r="G3655" s="127"/>
      <c r="H3655" s="127"/>
      <c r="I3655" s="128"/>
      <c r="K3655" s="105" t="str">
        <f>IFERROR(__xludf.DUMMYFUNCTION("if(A3655="""","""",substitute(SUBSTITUTE(index(importhtml(""http://finviz.com/quote.ashx?t=""&amp;A3655,""table"",10),7,2),""*"",""""),""-"",""0.00""))"),"Loading...")</f>
        <v>Loading...</v>
      </c>
      <c r="L3655" s="129">
        <v>1.15127464E8</v>
      </c>
      <c r="M3655" s="99">
        <v>1.7</v>
      </c>
    </row>
    <row r="3656">
      <c r="A3656" s="122" t="s">
        <v>7755</v>
      </c>
      <c r="B3656" s="123">
        <v>1432364.0</v>
      </c>
      <c r="C3656" s="124" t="s">
        <v>7756</v>
      </c>
      <c r="D3656" s="125"/>
      <c r="E3656" s="126">
        <v>8.25</v>
      </c>
      <c r="F3656" s="127"/>
      <c r="G3656" s="127"/>
      <c r="H3656" s="127"/>
      <c r="I3656" s="128"/>
      <c r="K3656" s="105" t="str">
        <f>IFERROR(__xludf.DUMMYFUNCTION("if(A3656="""","""",substitute(SUBSTITUTE(index(importhtml(""http://finviz.com/quote.ashx?t=""&amp;A3656,""table"",10),7,2),""*"",""""),""-"",""0.00""))"),"Loading...")</f>
        <v>Loading...</v>
      </c>
      <c r="L3656" s="129">
        <v>4.609125148E9</v>
      </c>
      <c r="M3656" s="99">
        <v>1.89</v>
      </c>
    </row>
    <row r="3657">
      <c r="A3657" s="122" t="s">
        <v>7757</v>
      </c>
      <c r="B3657" s="123">
        <v>882071.0</v>
      </c>
      <c r="C3657" s="124" t="s">
        <v>7758</v>
      </c>
      <c r="D3657" s="125"/>
      <c r="E3657" s="126">
        <v>8.26</v>
      </c>
      <c r="F3657" s="127"/>
      <c r="G3657" s="127"/>
      <c r="H3657" s="127"/>
      <c r="I3657" s="128"/>
      <c r="K3657" s="105" t="str">
        <f>IFERROR(__xludf.DUMMYFUNCTION("if(A3657="""","""",substitute(SUBSTITUTE(index(importhtml(""http://finviz.com/quote.ashx?t=""&amp;A3657,""table"",10),7,2),""*"",""""),""-"",""0.00""))"),"Loading...")</f>
        <v>Loading...</v>
      </c>
      <c r="L3657" s="129">
        <v>1.08018666E8</v>
      </c>
      <c r="M3657" s="99">
        <v>0.81</v>
      </c>
    </row>
    <row r="3658">
      <c r="A3658" s="122" t="s">
        <v>7759</v>
      </c>
      <c r="B3658" s="123">
        <v>788965.0</v>
      </c>
      <c r="C3658" s="124" t="s">
        <v>7760</v>
      </c>
      <c r="D3658" s="125"/>
      <c r="E3658" s="126">
        <v>8.26</v>
      </c>
      <c r="F3658" s="127"/>
      <c r="G3658" s="127"/>
      <c r="H3658" s="127"/>
      <c r="I3658" s="128"/>
      <c r="K3658" s="105" t="str">
        <f>IFERROR(__xludf.DUMMYFUNCTION("if(A3658="""","""",substitute(SUBSTITUTE(index(importhtml(""http://finviz.com/quote.ashx?t=""&amp;A3658,""table"",10),7,2),""*"",""""),""-"",""0.00""))"),"Loading...")</f>
        <v>Loading...</v>
      </c>
      <c r="L3658" s="129">
        <v>2.73756148E8</v>
      </c>
      <c r="M3658" s="99">
        <v>0.49</v>
      </c>
    </row>
    <row r="3659">
      <c r="A3659" s="122" t="s">
        <v>7761</v>
      </c>
      <c r="B3659" s="123">
        <v>827876.0</v>
      </c>
      <c r="C3659" s="124" t="s">
        <v>7762</v>
      </c>
      <c r="D3659" s="125"/>
      <c r="E3659" s="126">
        <v>8.28</v>
      </c>
      <c r="F3659" s="127"/>
      <c r="G3659" s="127"/>
      <c r="H3659" s="127"/>
      <c r="I3659" s="128"/>
      <c r="K3659" s="105" t="str">
        <f>IFERROR(__xludf.DUMMYFUNCTION("if(A3659="""","""",substitute(SUBSTITUTE(index(importhtml(""http://finviz.com/quote.ashx?t=""&amp;A3659,""table"",10),7,2),""*"",""""),""-"",""0.00""))"),"Loading...")</f>
        <v>Loading...</v>
      </c>
      <c r="L3659" s="129">
        <v>1.627578019E9</v>
      </c>
      <c r="M3659" s="99">
        <v>3.84</v>
      </c>
    </row>
    <row r="3660">
      <c r="A3660" s="122" t="s">
        <v>7763</v>
      </c>
      <c r="B3660" s="123">
        <v>1128281.0</v>
      </c>
      <c r="C3660" s="124" t="s">
        <v>7764</v>
      </c>
      <c r="D3660" s="125"/>
      <c r="E3660" s="126">
        <v>8.29</v>
      </c>
      <c r="F3660" s="127"/>
      <c r="G3660" s="127"/>
      <c r="H3660" s="127"/>
      <c r="I3660" s="128"/>
      <c r="K3660" s="105" t="str">
        <f>IFERROR(__xludf.DUMMYFUNCTION("if(A3660="""","""",substitute(SUBSTITUTE(index(importhtml(""http://finviz.com/quote.ashx?t=""&amp;A3660,""table"",10),7,2),""*"",""""),""-"",""0.00""))"),"Loading...")</f>
        <v>Loading...</v>
      </c>
      <c r="L3660" s="129">
        <v>8093780.0</v>
      </c>
      <c r="M3660" s="99">
        <v>0.17</v>
      </c>
    </row>
    <row r="3661">
      <c r="A3661" s="122" t="s">
        <v>7765</v>
      </c>
      <c r="B3661" s="123">
        <v>1668340.0</v>
      </c>
      <c r="C3661" s="124" t="s">
        <v>7766</v>
      </c>
      <c r="D3661" s="125"/>
      <c r="E3661" s="126">
        <v>8.29</v>
      </c>
      <c r="F3661" s="127"/>
      <c r="G3661" s="127"/>
      <c r="H3661" s="127"/>
      <c r="I3661" s="128"/>
      <c r="K3661" s="105" t="str">
        <f>IFERROR(__xludf.DUMMYFUNCTION("if(A3661="""","""",substitute(SUBSTITUTE(index(importhtml(""http://finviz.com/quote.ashx?t=""&amp;A3661,""table"",10),7,2),""*"",""""),""-"",""0.00""))"),"Loading...")</f>
        <v>Loading...</v>
      </c>
      <c r="L3661" s="129">
        <v>3.2129876E7</v>
      </c>
      <c r="M3661" s="99">
        <v>0.7</v>
      </c>
    </row>
    <row r="3662">
      <c r="A3662" s="122" t="s">
        <v>7767</v>
      </c>
      <c r="B3662" s="123">
        <v>1157647.0</v>
      </c>
      <c r="C3662" s="124" t="s">
        <v>7768</v>
      </c>
      <c r="D3662" s="125"/>
      <c r="E3662" s="126">
        <v>8.31</v>
      </c>
      <c r="F3662" s="127"/>
      <c r="G3662" s="127"/>
      <c r="H3662" s="127"/>
      <c r="I3662" s="128"/>
      <c r="K3662" s="105" t="str">
        <f>IFERROR(__xludf.DUMMYFUNCTION("if(A3662="""","""",substitute(SUBSTITUTE(index(importhtml(""http://finviz.com/quote.ashx?t=""&amp;A3662,""table"",10),7,2),""*"",""""),""-"",""0.00""))"),"Loading...")</f>
        <v>Loading...</v>
      </c>
      <c r="L3662" s="129">
        <v>1.80051117E8</v>
      </c>
      <c r="M3662" s="99">
        <v>0.63</v>
      </c>
    </row>
    <row r="3663">
      <c r="A3663" s="122" t="s">
        <v>7769</v>
      </c>
      <c r="B3663" s="123">
        <v>1900304.0</v>
      </c>
      <c r="C3663" s="124" t="s">
        <v>7770</v>
      </c>
      <c r="D3663" s="125"/>
      <c r="E3663" s="126">
        <v>8.31</v>
      </c>
      <c r="F3663" s="127"/>
      <c r="G3663" s="127"/>
      <c r="H3663" s="127"/>
      <c r="I3663" s="128"/>
      <c r="K3663" s="105" t="str">
        <f>IFERROR(__xludf.DUMMYFUNCTION("if(A3663="""","""",substitute(SUBSTITUTE(index(importhtml(""http://finviz.com/quote.ashx?t=""&amp;A3663,""table"",10),7,2),""*"",""""),""-"",""0.00""))"),"Loading...")</f>
        <v>Loading...</v>
      </c>
      <c r="L3663" s="129">
        <v>3.7919138544E10</v>
      </c>
      <c r="M3663" s="99">
        <f>IFERROR(__xludf.DUMMYFUNCTION("GOOGLEFINANCE(A3663,""beta"")"),0.21)</f>
        <v>0.21</v>
      </c>
    </row>
    <row r="3664">
      <c r="A3664" s="122" t="s">
        <v>7771</v>
      </c>
      <c r="B3664" s="123">
        <v>858706.0</v>
      </c>
      <c r="C3664" s="124" t="s">
        <v>7772</v>
      </c>
      <c r="D3664" s="125"/>
      <c r="E3664" s="126">
        <v>8.32</v>
      </c>
      <c r="F3664" s="127"/>
      <c r="G3664" s="127"/>
      <c r="H3664" s="127"/>
      <c r="I3664" s="128"/>
      <c r="K3664" s="138" t="s">
        <v>7773</v>
      </c>
      <c r="L3664" s="129">
        <v>1.43208577E8</v>
      </c>
      <c r="M3664" s="99">
        <v>1.26</v>
      </c>
    </row>
    <row r="3665">
      <c r="A3665" s="122" t="s">
        <v>7774</v>
      </c>
      <c r="B3665" s="123">
        <v>1817713.0</v>
      </c>
      <c r="C3665" s="124" t="s">
        <v>7775</v>
      </c>
      <c r="D3665" s="125"/>
      <c r="E3665" s="126">
        <v>8.32</v>
      </c>
      <c r="F3665" s="127"/>
      <c r="G3665" s="127"/>
      <c r="H3665" s="127"/>
      <c r="I3665" s="128"/>
      <c r="K3665" s="105" t="str">
        <f>IFERROR(__xludf.DUMMYFUNCTION("if(A3665="""","""",substitute(SUBSTITUTE(index(importhtml(""http://finviz.com/quote.ashx?t=""&amp;A3665,""table"",10),7,2),""*"",""""),""-"",""0.00""))"),"Loading...")</f>
        <v>Loading...</v>
      </c>
      <c r="L3665" s="129">
        <v>3.84121323E8</v>
      </c>
      <c r="M3665" s="99">
        <f>IFERROR(__xludf.DUMMYFUNCTION("GOOGLEFINANCE(A3665,""beta"")"),2.83)</f>
        <v>2.83</v>
      </c>
    </row>
    <row r="3666">
      <c r="A3666" s="122" t="s">
        <v>7776</v>
      </c>
      <c r="B3666" s="123">
        <v>1860805.0</v>
      </c>
      <c r="C3666" s="124" t="s">
        <v>7777</v>
      </c>
      <c r="D3666" s="125"/>
      <c r="E3666" s="126">
        <v>8.32</v>
      </c>
      <c r="F3666" s="127"/>
      <c r="G3666" s="127"/>
      <c r="H3666" s="127"/>
      <c r="I3666" s="128"/>
      <c r="K3666" s="105" t="str">
        <f>IFERROR(__xludf.DUMMYFUNCTION("if(A3666="""","""",substitute(SUBSTITUTE(index(importhtml(""http://finviz.com/quote.ashx?t=""&amp;A3666,""table"",10),7,2),""*"",""""),""-"",""0.00""))"),"Loading...")</f>
        <v>Loading...</v>
      </c>
      <c r="L3666" s="129">
        <v>8.61978592E8</v>
      </c>
      <c r="M3666" s="99">
        <f>IFERROR(__xludf.DUMMYFUNCTION("GOOGLEFINANCE(A3666,""beta"")"),1.56)</f>
        <v>1.56</v>
      </c>
    </row>
    <row r="3667">
      <c r="A3667" s="122" t="s">
        <v>7778</v>
      </c>
      <c r="B3667" s="123">
        <v>814453.0</v>
      </c>
      <c r="C3667" s="124" t="s">
        <v>7779</v>
      </c>
      <c r="D3667" s="125"/>
      <c r="E3667" s="126">
        <v>8.32</v>
      </c>
      <c r="F3667" s="127"/>
      <c r="G3667" s="127"/>
      <c r="H3667" s="127"/>
      <c r="I3667" s="128"/>
      <c r="K3667" s="105" t="str">
        <f>IFERROR(__xludf.DUMMYFUNCTION("if(A3667="""","""",substitute(SUBSTITUTE(index(importhtml(""http://finviz.com/quote.ashx?t=""&amp;A3667,""table"",10),7,2),""*"",""""),""-"",""0.00""))"),"Loading...")</f>
        <v>Loading...</v>
      </c>
      <c r="L3667" s="129">
        <v>3.446143873E9</v>
      </c>
      <c r="M3667" s="99">
        <v>0.94</v>
      </c>
    </row>
    <row r="3668">
      <c r="A3668" s="122" t="s">
        <v>7780</v>
      </c>
      <c r="B3668" s="123">
        <v>1405513.0</v>
      </c>
      <c r="C3668" s="124" t="s">
        <v>7781</v>
      </c>
      <c r="D3668" s="125"/>
      <c r="E3668" s="126">
        <v>8.32</v>
      </c>
      <c r="F3668" s="127"/>
      <c r="G3668" s="127"/>
      <c r="H3668" s="127"/>
      <c r="I3668" s="128"/>
      <c r="K3668" s="105" t="str">
        <f>IFERROR(__xludf.DUMMYFUNCTION("if(A3668="""","""",substitute(SUBSTITUTE(index(importhtml(""http://finviz.com/quote.ashx?t=""&amp;A3668,""table"",10),7,2),""*"",""""),""-"",""0.00""))"),"Loading...")</f>
        <v>Loading...</v>
      </c>
      <c r="L3668" s="129" t="e">
        <v>#N/A</v>
      </c>
      <c r="M3668" s="99" t="str">
        <f>IFERROR(__xludf.DUMMYFUNCTION("GOOGLEFINANCE(A3668,""beta"")"),"#N/A")</f>
        <v>#N/A</v>
      </c>
    </row>
    <row r="3669">
      <c r="A3669" s="122" t="s">
        <v>7782</v>
      </c>
      <c r="B3669" s="123">
        <v>1526113.0</v>
      </c>
      <c r="C3669" s="124" t="s">
        <v>7783</v>
      </c>
      <c r="D3669" s="125"/>
      <c r="E3669" s="126">
        <v>8.33</v>
      </c>
      <c r="F3669" s="127"/>
      <c r="G3669" s="127"/>
      <c r="H3669" s="127"/>
      <c r="I3669" s="128"/>
      <c r="K3669" s="55" t="s">
        <v>7784</v>
      </c>
      <c r="L3669" s="129">
        <v>1.918722186E9</v>
      </c>
      <c r="M3669" s="99">
        <v>1.41</v>
      </c>
    </row>
    <row r="3670">
      <c r="A3670" s="122" t="s">
        <v>7785</v>
      </c>
      <c r="B3670" s="123">
        <v>1140471.0</v>
      </c>
      <c r="C3670" s="124" t="s">
        <v>7786</v>
      </c>
      <c r="D3670" s="125"/>
      <c r="E3670" s="126">
        <v>8.33</v>
      </c>
      <c r="F3670" s="127"/>
      <c r="G3670" s="127"/>
      <c r="H3670" s="127"/>
      <c r="I3670" s="128"/>
      <c r="K3670" s="105" t="str">
        <f>IFERROR(__xludf.DUMMYFUNCTION("if(A3670="""","""",substitute(SUBSTITUTE(index(importhtml(""http://finviz.com/quote.ashx?t=""&amp;A3670,""table"",10),7,2),""*"",""""),""-"",""0.00""))"),"Loading...")</f>
        <v>Loading...</v>
      </c>
      <c r="L3670" s="129">
        <v>2.3370530663E10</v>
      </c>
      <c r="M3670" s="99">
        <v>1.12</v>
      </c>
    </row>
    <row r="3671">
      <c r="A3671" s="122" t="s">
        <v>7787</v>
      </c>
      <c r="B3671" s="123">
        <v>1626450.0</v>
      </c>
      <c r="C3671" s="124" t="s">
        <v>7788</v>
      </c>
      <c r="D3671" s="125"/>
      <c r="E3671" s="126">
        <v>8.35</v>
      </c>
      <c r="F3671" s="127"/>
      <c r="G3671" s="127"/>
      <c r="H3671" s="127"/>
      <c r="I3671" s="128"/>
      <c r="K3671" s="105" t="str">
        <f>IFERROR(__xludf.DUMMYFUNCTION("if(A3671="""","""",substitute(SUBSTITUTE(index(importhtml(""http://finviz.com/quote.ashx?t=""&amp;A3671,""table"",10),7,2),""*"",""""),""-"",""0.00""))"),"Loading...")</f>
        <v>Loading...</v>
      </c>
      <c r="L3671" s="129">
        <v>6.35349859E8</v>
      </c>
      <c r="M3671" s="99">
        <v>0.83</v>
      </c>
    </row>
    <row r="3672">
      <c r="A3672" s="122" t="s">
        <v>7789</v>
      </c>
      <c r="B3672" s="123">
        <v>1448324.0</v>
      </c>
      <c r="C3672" s="124" t="s">
        <v>7790</v>
      </c>
      <c r="D3672" s="125"/>
      <c r="E3672" s="126">
        <v>8.35</v>
      </c>
      <c r="F3672" s="127"/>
      <c r="G3672" s="127"/>
      <c r="H3672" s="127"/>
      <c r="I3672" s="128"/>
      <c r="K3672" s="105" t="str">
        <f>IFERROR(__xludf.DUMMYFUNCTION("if(A3672="""","""",substitute(SUBSTITUTE(index(importhtml(""http://finviz.com/quote.ashx?t=""&amp;A3672,""table"",10),7,2),""*"",""""),""-"",""0.00""))"),"Loading...")</f>
        <v>Loading...</v>
      </c>
      <c r="L3672" s="129" t="e">
        <v>#N/A</v>
      </c>
      <c r="M3672" s="99">
        <v>0.36</v>
      </c>
    </row>
    <row r="3673">
      <c r="A3673" s="122" t="s">
        <v>7791</v>
      </c>
      <c r="B3673" s="123">
        <v>314590.0</v>
      </c>
      <c r="C3673" s="124" t="s">
        <v>7792</v>
      </c>
      <c r="D3673" s="125"/>
      <c r="E3673" s="126">
        <v>8.36</v>
      </c>
      <c r="F3673" s="127"/>
      <c r="G3673" s="127"/>
      <c r="H3673" s="127"/>
      <c r="I3673" s="128"/>
      <c r="K3673" s="105" t="str">
        <f>IFERROR(__xludf.DUMMYFUNCTION("if(A3673="""","""",substitute(SUBSTITUTE(index(importhtml(""http://finviz.com/quote.ashx?t=""&amp;A3673,""table"",10),7,2),""*"",""""),""-"",""0.00""))"),"Loading...")</f>
        <v>Loading...</v>
      </c>
      <c r="L3673" s="129">
        <v>5.43348898E9</v>
      </c>
      <c r="M3673" s="99">
        <v>2.44</v>
      </c>
    </row>
    <row r="3674">
      <c r="A3674" s="122" t="s">
        <v>7793</v>
      </c>
      <c r="B3674" s="123">
        <v>1464591.0</v>
      </c>
      <c r="C3674" s="124" t="s">
        <v>7794</v>
      </c>
      <c r="D3674" s="125"/>
      <c r="E3674" s="126">
        <v>8.37</v>
      </c>
      <c r="F3674" s="127"/>
      <c r="G3674" s="127"/>
      <c r="H3674" s="127"/>
      <c r="I3674" s="128"/>
      <c r="K3674" s="105" t="str">
        <f>IFERROR(__xludf.DUMMYFUNCTION("if(A3674="""","""",substitute(SUBSTITUTE(index(importhtml(""http://finviz.com/quote.ashx?t=""&amp;A3674,""table"",10),7,2),""*"",""""),""-"",""0.00""))"),"Loading...")</f>
        <v>Loading...</v>
      </c>
      <c r="L3674" s="129">
        <v>4.73490893E8</v>
      </c>
      <c r="M3674" s="99">
        <v>1.31</v>
      </c>
    </row>
    <row r="3675">
      <c r="A3675" s="122" t="s">
        <v>7795</v>
      </c>
      <c r="B3675" s="123">
        <v>1354866.0</v>
      </c>
      <c r="C3675" s="124" t="s">
        <v>7796</v>
      </c>
      <c r="D3675" s="125"/>
      <c r="E3675" s="126">
        <v>8.39</v>
      </c>
      <c r="F3675" s="127"/>
      <c r="G3675" s="127"/>
      <c r="H3675" s="127"/>
      <c r="I3675" s="128"/>
      <c r="K3675" s="105" t="str">
        <f>IFERROR(__xludf.DUMMYFUNCTION("if(A3675="""","""",substitute(SUBSTITUTE(index(importhtml(""http://finviz.com/quote.ashx?t=""&amp;A3675,""table"",10),7,2),""*"",""""),""-"",""0.00""))"),"Loading...")</f>
        <v>Loading...</v>
      </c>
      <c r="L3675" s="129">
        <v>1.84387205E8</v>
      </c>
      <c r="M3675" s="99">
        <v>5.17</v>
      </c>
    </row>
    <row r="3676">
      <c r="A3676" s="122" t="s">
        <v>7797</v>
      </c>
      <c r="B3676" s="123">
        <v>101295.0</v>
      </c>
      <c r="C3676" s="124" t="s">
        <v>7798</v>
      </c>
      <c r="D3676" s="125"/>
      <c r="E3676" s="126">
        <v>8.4</v>
      </c>
      <c r="F3676" s="127"/>
      <c r="G3676" s="127"/>
      <c r="H3676" s="127"/>
      <c r="I3676" s="128"/>
      <c r="K3676" s="55" t="s">
        <v>4587</v>
      </c>
      <c r="L3676" s="129">
        <v>3.8592269E7</v>
      </c>
      <c r="M3676" s="99">
        <v>0.72</v>
      </c>
    </row>
    <row r="3677">
      <c r="A3677" s="122" t="s">
        <v>7799</v>
      </c>
      <c r="B3677" s="123">
        <v>914122.0</v>
      </c>
      <c r="C3677" s="124" t="s">
        <v>7800</v>
      </c>
      <c r="D3677" s="125"/>
      <c r="E3677" s="126">
        <v>8.4</v>
      </c>
      <c r="F3677" s="127"/>
      <c r="G3677" s="127"/>
      <c r="H3677" s="127"/>
      <c r="I3677" s="128"/>
      <c r="K3677" s="105" t="str">
        <f>IFERROR(__xludf.DUMMYFUNCTION("if(A3677="""","""",substitute(SUBSTITUTE(index(importhtml(""http://finviz.com/quote.ashx?t=""&amp;A3677,""table"",10),7,2),""*"",""""),""-"",""0.00""))"),"Loading...")</f>
        <v>Loading...</v>
      </c>
      <c r="L3677" s="129">
        <v>6.7733396E7</v>
      </c>
      <c r="M3677" s="99">
        <v>0.3</v>
      </c>
    </row>
    <row r="3678">
      <c r="A3678" s="122" t="s">
        <v>7801</v>
      </c>
      <c r="B3678" s="123">
        <v>1462056.0</v>
      </c>
      <c r="C3678" s="124" t="s">
        <v>7802</v>
      </c>
      <c r="D3678" s="125"/>
      <c r="E3678" s="126">
        <v>8.4</v>
      </c>
      <c r="F3678" s="127"/>
      <c r="G3678" s="127"/>
      <c r="H3678" s="127"/>
      <c r="I3678" s="128"/>
      <c r="K3678" s="105" t="str">
        <f>IFERROR(__xludf.DUMMYFUNCTION("if(A3678="""","""",substitute(SUBSTITUTE(index(importhtml(""http://finviz.com/quote.ashx?t=""&amp;A3678,""table"",10),7,2),""*"",""""),""-"",""0.00""))"),"Loading...")</f>
        <v>Loading...</v>
      </c>
      <c r="L3678" s="129">
        <v>3.15839985E8</v>
      </c>
      <c r="M3678" s="99">
        <f>IFERROR(__xludf.DUMMYFUNCTION("GOOGLEFINANCE(A3678,""beta"")"),1.24)</f>
        <v>1.24</v>
      </c>
    </row>
    <row r="3679">
      <c r="A3679" s="122" t="s">
        <v>7803</v>
      </c>
      <c r="B3679" s="123">
        <v>1625641.0</v>
      </c>
      <c r="C3679" s="124" t="s">
        <v>7804</v>
      </c>
      <c r="D3679" s="125"/>
      <c r="E3679" s="126">
        <v>8.41</v>
      </c>
      <c r="F3679" s="127"/>
      <c r="G3679" s="127"/>
      <c r="H3679" s="127"/>
      <c r="I3679" s="128"/>
      <c r="K3679" s="105" t="str">
        <f>IFERROR(__xludf.DUMMYFUNCTION("if(A3679="""","""",substitute(SUBSTITUTE(index(importhtml(""http://finviz.com/quote.ashx?t=""&amp;A3679,""table"",10),7,2),""*"",""""),""-"",""0.00""))"),"Loading...")</f>
        <v>Loading...</v>
      </c>
      <c r="L3679" s="129">
        <v>5.09876761E8</v>
      </c>
      <c r="M3679" s="99">
        <f>IFERROR(__xludf.DUMMYFUNCTION("GOOGLEFINANCE(A3679,""beta"")"),2.12)</f>
        <v>2.12</v>
      </c>
    </row>
    <row r="3680">
      <c r="A3680" s="122" t="s">
        <v>7805</v>
      </c>
      <c r="B3680" s="123">
        <v>1627854.0</v>
      </c>
      <c r="C3680" s="124" t="s">
        <v>7806</v>
      </c>
      <c r="D3680" s="125"/>
      <c r="E3680" s="126">
        <v>8.42</v>
      </c>
      <c r="F3680" s="127"/>
      <c r="G3680" s="127"/>
      <c r="H3680" s="127"/>
      <c r="I3680" s="128"/>
      <c r="K3680" s="55" t="s">
        <v>5866</v>
      </c>
      <c r="L3680" s="129" t="e">
        <v>#N/A</v>
      </c>
      <c r="M3680" s="99">
        <v>0.75</v>
      </c>
    </row>
    <row r="3681">
      <c r="A3681" s="122" t="s">
        <v>7807</v>
      </c>
      <c r="B3681" s="123">
        <v>1595761.0</v>
      </c>
      <c r="C3681" s="124" t="s">
        <v>7808</v>
      </c>
      <c r="D3681" s="125"/>
      <c r="E3681" s="126">
        <v>8.44</v>
      </c>
      <c r="F3681" s="127"/>
      <c r="G3681" s="127"/>
      <c r="H3681" s="127"/>
      <c r="I3681" s="128"/>
      <c r="K3681" s="55" t="s">
        <v>7809</v>
      </c>
      <c r="L3681" s="129">
        <v>1.966782386E9</v>
      </c>
      <c r="M3681" s="99">
        <v>0.43</v>
      </c>
    </row>
    <row r="3682">
      <c r="A3682" s="122" t="s">
        <v>7810</v>
      </c>
      <c r="B3682" s="123">
        <v>1504545.0</v>
      </c>
      <c r="C3682" s="124" t="s">
        <v>7811</v>
      </c>
      <c r="D3682" s="125"/>
      <c r="E3682" s="126">
        <v>8.44</v>
      </c>
      <c r="F3682" s="127"/>
      <c r="G3682" s="127"/>
      <c r="H3682" s="127"/>
      <c r="I3682" s="128"/>
      <c r="K3682" s="55" t="s">
        <v>7812</v>
      </c>
      <c r="L3682" s="129">
        <v>1.41723038E8</v>
      </c>
      <c r="M3682" s="99">
        <v>0.75</v>
      </c>
    </row>
    <row r="3683">
      <c r="A3683" s="122" t="s">
        <v>7813</v>
      </c>
      <c r="B3683" s="123">
        <v>791718.0</v>
      </c>
      <c r="C3683" s="124" t="s">
        <v>7814</v>
      </c>
      <c r="D3683" s="125"/>
      <c r="E3683" s="126">
        <v>8.45</v>
      </c>
      <c r="F3683" s="127"/>
      <c r="G3683" s="127"/>
      <c r="H3683" s="127"/>
      <c r="I3683" s="128"/>
      <c r="K3683" s="55" t="s">
        <v>5367</v>
      </c>
      <c r="L3683" s="129">
        <v>5.8323833E7</v>
      </c>
      <c r="M3683" s="99">
        <v>1.12</v>
      </c>
    </row>
    <row r="3684">
      <c r="A3684" s="122" t="s">
        <v>7815</v>
      </c>
      <c r="B3684" s="123">
        <v>1668010.0</v>
      </c>
      <c r="C3684" s="124" t="s">
        <v>7816</v>
      </c>
      <c r="D3684" s="125"/>
      <c r="E3684" s="126">
        <v>8.45</v>
      </c>
      <c r="F3684" s="127"/>
      <c r="G3684" s="127"/>
      <c r="H3684" s="127"/>
      <c r="I3684" s="128"/>
      <c r="K3684" s="105" t="str">
        <f>IFERROR(__xludf.DUMMYFUNCTION("if(A3684="""","""",substitute(SUBSTITUTE(index(importhtml(""http://finviz.com/quote.ashx?t=""&amp;A3684,""table"",10),7,2),""*"",""""),""-"",""0.00""))"),"Loading...")</f>
        <v>Loading...</v>
      </c>
      <c r="L3684" s="129">
        <v>2650013.0</v>
      </c>
      <c r="M3684" s="99" t="str">
        <f>IFERROR(__xludf.DUMMYFUNCTION("GOOGLEFINANCE(A3684,""beta"")"),"#N/A")</f>
        <v>#N/A</v>
      </c>
    </row>
    <row r="3685">
      <c r="A3685" s="122" t="s">
        <v>7817</v>
      </c>
      <c r="B3685" s="123">
        <v>1370418.0</v>
      </c>
      <c r="C3685" s="124" t="s">
        <v>7818</v>
      </c>
      <c r="D3685" s="125"/>
      <c r="E3685" s="126">
        <v>8.45</v>
      </c>
      <c r="F3685" s="127"/>
      <c r="G3685" s="127"/>
      <c r="H3685" s="127"/>
      <c r="I3685" s="128"/>
      <c r="K3685" s="105" t="str">
        <f>IFERROR(__xludf.DUMMYFUNCTION("if(A3685="""","""",substitute(SUBSTITUTE(index(importhtml(""http://finviz.com/quote.ashx?t=""&amp;A3685,""table"",10),7,2),""*"",""""),""-"",""0.00""))"),"Loading...")</f>
        <v>Loading...</v>
      </c>
      <c r="L3685" s="129">
        <v>3.068513523E9</v>
      </c>
      <c r="M3685" s="99">
        <v>1.49</v>
      </c>
    </row>
    <row r="3686">
      <c r="A3686" s="122" t="s">
        <v>7819</v>
      </c>
      <c r="B3686" s="123">
        <v>1244183.0</v>
      </c>
      <c r="C3686" s="124" t="s">
        <v>7820</v>
      </c>
      <c r="D3686" s="125"/>
      <c r="E3686" s="126">
        <v>8.46</v>
      </c>
      <c r="F3686" s="127"/>
      <c r="G3686" s="127"/>
      <c r="H3686" s="127"/>
      <c r="I3686" s="128"/>
      <c r="K3686" s="105" t="str">
        <f>IFERROR(__xludf.DUMMYFUNCTION("if(A3686="""","""",substitute(SUBSTITUTE(index(importhtml(""http://finviz.com/quote.ashx?t=""&amp;A3686,""table"",10),7,2),""*"",""""),""-"",""0.00""))"),"Loading...")</f>
        <v>Loading...</v>
      </c>
      <c r="L3686" s="129">
        <v>3.2175512E8</v>
      </c>
      <c r="M3686" s="99">
        <v>0.82</v>
      </c>
    </row>
    <row r="3687">
      <c r="A3687" s="122" t="s">
        <v>7821</v>
      </c>
      <c r="B3687" s="123">
        <v>1276533.0</v>
      </c>
      <c r="C3687" s="124" t="s">
        <v>7822</v>
      </c>
      <c r="D3687" s="125"/>
      <c r="E3687" s="126">
        <v>8.46</v>
      </c>
      <c r="F3687" s="127"/>
      <c r="G3687" s="127"/>
      <c r="H3687" s="127"/>
      <c r="I3687" s="128"/>
      <c r="K3687" s="105" t="str">
        <f>IFERROR(__xludf.DUMMYFUNCTION("if(A3687="""","""",substitute(SUBSTITUTE(index(importhtml(""http://finviz.com/quote.ashx?t=""&amp;A3687,""table"",10),7,2),""*"",""""),""-"",""0.00""))"),"Loading...")</f>
        <v>Loading...</v>
      </c>
      <c r="L3687" s="129">
        <v>4.81530173E8</v>
      </c>
      <c r="M3687" s="99">
        <v>0.58</v>
      </c>
    </row>
    <row r="3688">
      <c r="A3688" s="122" t="s">
        <v>7823</v>
      </c>
      <c r="B3688" s="123">
        <v>1382821.0</v>
      </c>
      <c r="C3688" s="124" t="s">
        <v>7824</v>
      </c>
      <c r="D3688" s="125"/>
      <c r="E3688" s="126">
        <v>8.46</v>
      </c>
      <c r="F3688" s="127"/>
      <c r="G3688" s="127"/>
      <c r="H3688" s="127"/>
      <c r="I3688" s="128"/>
      <c r="K3688" s="105" t="str">
        <f>IFERROR(__xludf.DUMMYFUNCTION("if(A3688="""","""",substitute(SUBSTITUTE(index(importhtml(""http://finviz.com/quote.ashx?t=""&amp;A3688,""table"",10),7,2),""*"",""""),""-"",""0.00""))"),"Loading...")</f>
        <v>Loading...</v>
      </c>
      <c r="L3688" s="129">
        <v>9.7494394E8</v>
      </c>
      <c r="M3688" s="99">
        <v>2.74</v>
      </c>
    </row>
    <row r="3689">
      <c r="A3689" s="122" t="s">
        <v>7825</v>
      </c>
      <c r="B3689" s="123">
        <v>1705012.0</v>
      </c>
      <c r="C3689" s="124" t="s">
        <v>7826</v>
      </c>
      <c r="D3689" s="125"/>
      <c r="E3689" s="126">
        <v>8.47</v>
      </c>
      <c r="F3689" s="127"/>
      <c r="G3689" s="127"/>
      <c r="H3689" s="127"/>
      <c r="I3689" s="128"/>
      <c r="K3689" s="55" t="s">
        <v>7827</v>
      </c>
      <c r="L3689" s="129">
        <v>1.40454457E8</v>
      </c>
      <c r="M3689" s="99">
        <v>1.88</v>
      </c>
    </row>
    <row r="3690">
      <c r="A3690" s="122" t="s">
        <v>7828</v>
      </c>
      <c r="B3690" s="123">
        <v>1506289.0</v>
      </c>
      <c r="C3690" s="124" t="s">
        <v>7829</v>
      </c>
      <c r="D3690" s="125"/>
      <c r="E3690" s="126">
        <v>8.47</v>
      </c>
      <c r="F3690" s="127"/>
      <c r="G3690" s="127"/>
      <c r="H3690" s="127"/>
      <c r="I3690" s="128"/>
      <c r="K3690" s="55" t="s">
        <v>6229</v>
      </c>
      <c r="L3690" s="129">
        <v>7.2722355E8</v>
      </c>
      <c r="M3690" s="99">
        <v>0.98</v>
      </c>
    </row>
    <row r="3691">
      <c r="A3691" s="122" t="s">
        <v>7830</v>
      </c>
      <c r="B3691" s="123">
        <v>1692412.0</v>
      </c>
      <c r="C3691" s="124" t="s">
        <v>7831</v>
      </c>
      <c r="D3691" s="125"/>
      <c r="E3691" s="126">
        <v>8.47</v>
      </c>
      <c r="F3691" s="127"/>
      <c r="G3691" s="127"/>
      <c r="H3691" s="127"/>
      <c r="I3691" s="128"/>
      <c r="K3691" s="105" t="str">
        <f>IFERROR(__xludf.DUMMYFUNCTION("if(A3691="""","""",substitute(SUBSTITUTE(index(importhtml(""http://finviz.com/quote.ashx?t=""&amp;A3691,""table"",10),7,2),""*"",""""),""-"",""0.00""))"),"Loading...")</f>
        <v>Loading...</v>
      </c>
      <c r="L3691" s="129">
        <v>1.172713039E9</v>
      </c>
      <c r="M3691" s="99">
        <v>1.52</v>
      </c>
    </row>
    <row r="3692">
      <c r="A3692" s="122" t="s">
        <v>7832</v>
      </c>
      <c r="B3692" s="123">
        <v>1438533.0</v>
      </c>
      <c r="C3692" s="124" t="s">
        <v>7833</v>
      </c>
      <c r="D3692" s="125"/>
      <c r="E3692" s="126">
        <v>8.49</v>
      </c>
      <c r="F3692" s="127"/>
      <c r="G3692" s="127"/>
      <c r="H3692" s="127"/>
      <c r="I3692" s="128"/>
      <c r="K3692" s="105" t="str">
        <f>IFERROR(__xludf.DUMMYFUNCTION("if(A3692="""","""",substitute(SUBSTITUTE(index(importhtml(""http://finviz.com/quote.ashx?t=""&amp;A3692,""table"",10),7,2),""*"",""""),""-"",""0.00""))"),"Loading...")</f>
        <v>Loading...</v>
      </c>
      <c r="L3692" s="129">
        <v>6.37988079E8</v>
      </c>
      <c r="M3692" s="99">
        <v>0.63</v>
      </c>
    </row>
    <row r="3693">
      <c r="A3693" s="122" t="s">
        <v>7834</v>
      </c>
      <c r="B3693" s="123">
        <v>932695.0</v>
      </c>
      <c r="C3693" s="124" t="s">
        <v>7835</v>
      </c>
      <c r="D3693" s="125"/>
      <c r="E3693" s="126">
        <v>8.5</v>
      </c>
      <c r="F3693" s="127"/>
      <c r="G3693" s="127"/>
      <c r="H3693" s="127"/>
      <c r="I3693" s="128"/>
      <c r="K3693" s="55" t="s">
        <v>6151</v>
      </c>
      <c r="L3693" s="129">
        <v>3.4729538E8</v>
      </c>
      <c r="M3693" s="99">
        <v>1.17</v>
      </c>
    </row>
    <row r="3694">
      <c r="A3694" s="122" t="s">
        <v>7836</v>
      </c>
      <c r="B3694" s="123">
        <v>818850.0</v>
      </c>
      <c r="C3694" s="124" t="s">
        <v>7837</v>
      </c>
      <c r="D3694" s="125"/>
      <c r="E3694" s="126">
        <v>8.51</v>
      </c>
      <c r="F3694" s="127"/>
      <c r="G3694" s="127"/>
      <c r="H3694" s="127"/>
      <c r="I3694" s="128"/>
      <c r="K3694" s="105" t="str">
        <f>IFERROR(__xludf.DUMMYFUNCTION("if(A3694="""","""",substitute(SUBSTITUTE(index(importhtml(""http://finviz.com/quote.ashx?t=""&amp;A3694,""table"",10),7,2),""*"",""""),""-"",""0.00""))"),"Loading...")</f>
        <v>Loading...</v>
      </c>
      <c r="L3694" s="129">
        <v>1.60720289E8</v>
      </c>
      <c r="M3694" s="99">
        <v>0.32</v>
      </c>
    </row>
    <row r="3695">
      <c r="A3695" s="122" t="s">
        <v>7838</v>
      </c>
      <c r="B3695" s="123">
        <v>1678130.0</v>
      </c>
      <c r="C3695" s="124" t="s">
        <v>7839</v>
      </c>
      <c r="D3695" s="125"/>
      <c r="E3695" s="126">
        <v>8.52</v>
      </c>
      <c r="F3695" s="127"/>
      <c r="G3695" s="127"/>
      <c r="H3695" s="127"/>
      <c r="I3695" s="128"/>
      <c r="K3695" s="105" t="str">
        <f>IFERROR(__xludf.DUMMYFUNCTION("if(A3695="""","""",substitute(SUBSTITUTE(index(importhtml(""http://finviz.com/quote.ashx?t=""&amp;A3695,""table"",10),7,2),""*"",""""),""-"",""0.00""))"),"Loading...")</f>
        <v>Loading...</v>
      </c>
      <c r="L3695" s="129" t="e">
        <v>#N/A</v>
      </c>
      <c r="M3695" s="99">
        <v>0.69</v>
      </c>
    </row>
    <row r="3696">
      <c r="A3696" s="122" t="s">
        <v>7840</v>
      </c>
      <c r="B3696" s="123">
        <v>1053352.0</v>
      </c>
      <c r="C3696" s="124" t="s">
        <v>7841</v>
      </c>
      <c r="D3696" s="125"/>
      <c r="E3696" s="126">
        <v>8.53</v>
      </c>
      <c r="F3696" s="127"/>
      <c r="G3696" s="127"/>
      <c r="H3696" s="127"/>
      <c r="I3696" s="128"/>
      <c r="K3696" s="105" t="str">
        <f>IFERROR(__xludf.DUMMYFUNCTION("if(A3696="""","""",substitute(SUBSTITUTE(index(importhtml(""http://finviz.com/quote.ashx?t=""&amp;A3696,""table"",10),7,2),""*"",""""),""-"",""0.00""))"),"Loading...")</f>
        <v>Loading...</v>
      </c>
      <c r="L3696" s="129">
        <v>5.21582443E8</v>
      </c>
      <c r="M3696" s="99">
        <v>0.92</v>
      </c>
    </row>
    <row r="3697">
      <c r="A3697" s="122" t="s">
        <v>7842</v>
      </c>
      <c r="B3697" s="123">
        <v>1437226.0</v>
      </c>
      <c r="C3697" s="124" t="s">
        <v>7843</v>
      </c>
      <c r="D3697" s="125"/>
      <c r="E3697" s="126">
        <v>8.54</v>
      </c>
      <c r="F3697" s="127"/>
      <c r="G3697" s="127"/>
      <c r="H3697" s="127"/>
      <c r="I3697" s="128"/>
      <c r="K3697" s="105" t="str">
        <f>IFERROR(__xludf.DUMMYFUNCTION("if(A3697="""","""",substitute(SUBSTITUTE(index(importhtml(""http://finviz.com/quote.ashx?t=""&amp;A3697,""table"",10),7,2),""*"",""""),""-"",""0.00""))"),"Loading...")</f>
        <v>Loading...</v>
      </c>
      <c r="L3697" s="129">
        <v>9.9056569E7</v>
      </c>
      <c r="M3697" s="99">
        <v>0.5</v>
      </c>
    </row>
    <row r="3698">
      <c r="A3698" s="122" t="s">
        <v>7844</v>
      </c>
      <c r="B3698" s="123">
        <v>1642375.0</v>
      </c>
      <c r="C3698" s="124" t="s">
        <v>7845</v>
      </c>
      <c r="D3698" s="125"/>
      <c r="E3698" s="126">
        <v>8.55</v>
      </c>
      <c r="F3698" s="127"/>
      <c r="G3698" s="127"/>
      <c r="H3698" s="127"/>
      <c r="I3698" s="128"/>
      <c r="K3698" s="105" t="str">
        <f>IFERROR(__xludf.DUMMYFUNCTION("if(A3698="""","""",substitute(SUBSTITUTE(index(importhtml(""http://finviz.com/quote.ashx?t=""&amp;A3698,""table"",10),7,2),""*"",""""),""-"",""0.00""))"),"Loading...")</f>
        <v>Loading...</v>
      </c>
      <c r="L3698" s="129">
        <v>1.0903276E7</v>
      </c>
      <c r="M3698" s="99">
        <v>0.88</v>
      </c>
    </row>
    <row r="3699">
      <c r="A3699" s="122" t="s">
        <v>7846</v>
      </c>
      <c r="B3699" s="123">
        <v>1641489.0</v>
      </c>
      <c r="C3699" s="124" t="s">
        <v>7847</v>
      </c>
      <c r="D3699" s="125"/>
      <c r="E3699" s="126">
        <v>8.55</v>
      </c>
      <c r="F3699" s="127"/>
      <c r="G3699" s="127"/>
      <c r="H3699" s="127"/>
      <c r="I3699" s="128"/>
      <c r="K3699" s="105" t="str">
        <f>IFERROR(__xludf.DUMMYFUNCTION("if(A3699="""","""",substitute(SUBSTITUTE(index(importhtml(""http://finviz.com/quote.ashx?t=""&amp;A3699,""table"",10),7,2),""*"",""""),""-"",""0.00""))"),"Loading...")</f>
        <v>Loading...</v>
      </c>
      <c r="L3699" s="129">
        <v>2.2353428E7</v>
      </c>
      <c r="M3699" s="99">
        <v>0.23</v>
      </c>
    </row>
    <row r="3700">
      <c r="A3700" s="122" t="s">
        <v>7848</v>
      </c>
      <c r="B3700" s="123">
        <v>1628808.0</v>
      </c>
      <c r="C3700" s="124" t="s">
        <v>7849</v>
      </c>
      <c r="D3700" s="125"/>
      <c r="E3700" s="126">
        <v>8.55</v>
      </c>
      <c r="F3700" s="127"/>
      <c r="G3700" s="127"/>
      <c r="H3700" s="127"/>
      <c r="I3700" s="128"/>
      <c r="K3700" s="105" t="str">
        <f>IFERROR(__xludf.DUMMYFUNCTION("if(A3700="""","""",substitute(SUBSTITUTE(index(importhtml(""http://finviz.com/quote.ashx?t=""&amp;A3700,""table"",10),7,2),""*"",""""),""-"",""0.00""))"),"Loading...")</f>
        <v>Loading...</v>
      </c>
      <c r="L3700" s="129">
        <v>2.7580228E8</v>
      </c>
      <c r="M3700" s="99">
        <v>0.81</v>
      </c>
    </row>
    <row r="3701">
      <c r="A3701" s="122" t="s">
        <v>7850</v>
      </c>
      <c r="B3701" s="123">
        <v>1001085.0</v>
      </c>
      <c r="C3701" s="124" t="s">
        <v>7851</v>
      </c>
      <c r="D3701" s="125"/>
      <c r="E3701" s="126">
        <v>8.55</v>
      </c>
      <c r="F3701" s="127"/>
      <c r="G3701" s="127"/>
      <c r="H3701" s="127"/>
      <c r="I3701" s="128"/>
      <c r="K3701" s="105" t="str">
        <f>IFERROR(__xludf.DUMMYFUNCTION("if(A3701="""","""",substitute(SUBSTITUTE(index(importhtml(""http://finviz.com/quote.ashx?t=""&amp;A3701,""table"",10),7,2),""*"",""""),""-"",""0.00""))"),"Loading...")</f>
        <v>Loading...</v>
      </c>
      <c r="L3701" s="129">
        <v>6.4235271697E10</v>
      </c>
      <c r="M3701" s="99" t="str">
        <f>IFERROR(__xludf.DUMMYFUNCTION("GOOGLEFINANCE(A3701,""beta"")"),"#N/A")</f>
        <v>#N/A</v>
      </c>
    </row>
    <row r="3702">
      <c r="A3702" s="122" t="s">
        <v>7852</v>
      </c>
      <c r="B3702" s="123">
        <v>1842428.0</v>
      </c>
      <c r="C3702" s="124" t="s">
        <v>7853</v>
      </c>
      <c r="D3702" s="125"/>
      <c r="E3702" s="126">
        <v>8.56</v>
      </c>
      <c r="F3702" s="127"/>
      <c r="G3702" s="127"/>
      <c r="H3702" s="127"/>
      <c r="I3702" s="128"/>
      <c r="K3702" s="105" t="str">
        <f>IFERROR(__xludf.DUMMYFUNCTION("if(A3702="""","""",substitute(SUBSTITUTE(index(importhtml(""http://finviz.com/quote.ashx?t=""&amp;A3702,""table"",10),7,2),""*"",""""),""-"",""0.00""))"),"Loading...")</f>
        <v>Loading...</v>
      </c>
      <c r="L3702" s="129">
        <v>2250000.0</v>
      </c>
      <c r="M3702" s="99" t="str">
        <f>IFERROR(__xludf.DUMMYFUNCTION("GOOGLEFINANCE(A3702,""beta"")"),"#N/A")</f>
        <v>#N/A</v>
      </c>
    </row>
    <row r="3703">
      <c r="A3703" s="122" t="s">
        <v>7854</v>
      </c>
      <c r="B3703" s="123">
        <v>1076378.0</v>
      </c>
      <c r="C3703" s="124" t="s">
        <v>7855</v>
      </c>
      <c r="D3703" s="125"/>
      <c r="E3703" s="126">
        <v>8.57</v>
      </c>
      <c r="F3703" s="127"/>
      <c r="G3703" s="127"/>
      <c r="H3703" s="127"/>
      <c r="I3703" s="128"/>
      <c r="K3703" s="55" t="s">
        <v>1034</v>
      </c>
      <c r="L3703" s="129">
        <v>1.3007656946E10</v>
      </c>
      <c r="M3703" s="99">
        <v>1.47</v>
      </c>
    </row>
    <row r="3704">
      <c r="A3704" s="122" t="s">
        <v>7856</v>
      </c>
      <c r="B3704" s="123">
        <v>1332943.0</v>
      </c>
      <c r="C3704" s="124" t="s">
        <v>7857</v>
      </c>
      <c r="D3704" s="125"/>
      <c r="E3704" s="126">
        <v>8.57</v>
      </c>
      <c r="F3704" s="127"/>
      <c r="G3704" s="127"/>
      <c r="H3704" s="127"/>
      <c r="I3704" s="128"/>
      <c r="K3704" s="105" t="str">
        <f>IFERROR(__xludf.DUMMYFUNCTION("if(A3704="""","""",substitute(SUBSTITUTE(index(importhtml(""http://finviz.com/quote.ashx?t=""&amp;A3704,""table"",10),7,2),""*"",""""),""-"",""0.00""))"),"Loading...")</f>
        <v>Loading...</v>
      </c>
      <c r="L3704" s="129">
        <v>1.33256382E8</v>
      </c>
      <c r="M3704" s="99">
        <v>0.74</v>
      </c>
    </row>
    <row r="3705">
      <c r="A3705" s="122" t="s">
        <v>7858</v>
      </c>
      <c r="B3705" s="123">
        <v>908993.0</v>
      </c>
      <c r="C3705" s="124" t="s">
        <v>7859</v>
      </c>
      <c r="D3705" s="125"/>
      <c r="E3705" s="126">
        <v>8.57</v>
      </c>
      <c r="F3705" s="127"/>
      <c r="G3705" s="127"/>
      <c r="H3705" s="127"/>
      <c r="I3705" s="128"/>
      <c r="K3705" s="105" t="str">
        <f>IFERROR(__xludf.DUMMYFUNCTION("if(A3705="""","""",substitute(SUBSTITUTE(index(importhtml(""http://finviz.com/quote.ashx?t=""&amp;A3705,""table"",10),7,2),""*"",""""),""-"",""0.00""))"),"Loading...")</f>
        <v>Loading...</v>
      </c>
      <c r="L3705" s="129">
        <v>3.80559492E8</v>
      </c>
      <c r="M3705" s="99">
        <v>0.52</v>
      </c>
    </row>
    <row r="3706">
      <c r="A3706" s="122" t="s">
        <v>7860</v>
      </c>
      <c r="B3706" s="123">
        <v>1170299.0</v>
      </c>
      <c r="C3706" s="124" t="s">
        <v>7861</v>
      </c>
      <c r="D3706" s="125"/>
      <c r="E3706" s="126">
        <v>8.57</v>
      </c>
      <c r="F3706" s="127"/>
      <c r="G3706" s="127"/>
      <c r="H3706" s="127"/>
      <c r="I3706" s="128"/>
      <c r="K3706" s="105" t="str">
        <f>IFERROR(__xludf.DUMMYFUNCTION("if(A3706="""","""",substitute(SUBSTITUTE(index(importhtml(""http://finviz.com/quote.ashx?t=""&amp;A3706,""table"",10),7,2),""*"",""""),""-"",""0.00""))"),"Loading...")</f>
        <v>Loading...</v>
      </c>
      <c r="L3706" s="129">
        <v>5.69189556E8</v>
      </c>
      <c r="M3706" s="99">
        <v>0.59</v>
      </c>
    </row>
    <row r="3707">
      <c r="A3707" s="122" t="s">
        <v>7862</v>
      </c>
      <c r="B3707" s="123">
        <v>110471.0</v>
      </c>
      <c r="C3707" s="124" t="s">
        <v>7863</v>
      </c>
      <c r="D3707" s="125"/>
      <c r="E3707" s="126">
        <v>8.57</v>
      </c>
      <c r="F3707" s="127"/>
      <c r="G3707" s="127"/>
      <c r="H3707" s="127"/>
      <c r="I3707" s="128"/>
      <c r="K3707" s="105" t="str">
        <f>IFERROR(__xludf.DUMMYFUNCTION("if(A3707="""","""",substitute(SUBSTITUTE(index(importhtml(""http://finviz.com/quote.ashx?t=""&amp;A3707,""table"",10),7,2),""*"",""""),""-"",""0.00""))"),"Loading...")</f>
        <v>Loading...</v>
      </c>
      <c r="L3707" s="129">
        <v>6.81593072E8</v>
      </c>
      <c r="M3707" s="99">
        <v>1.7</v>
      </c>
    </row>
    <row r="3708">
      <c r="A3708" s="122" t="s">
        <v>7864</v>
      </c>
      <c r="B3708" s="123">
        <v>1879016.0</v>
      </c>
      <c r="C3708" s="124" t="s">
        <v>7865</v>
      </c>
      <c r="D3708" s="125"/>
      <c r="E3708" s="126">
        <v>8.58</v>
      </c>
      <c r="F3708" s="127"/>
      <c r="G3708" s="127"/>
      <c r="H3708" s="127"/>
      <c r="I3708" s="128"/>
      <c r="K3708" s="55" t="s">
        <v>1034</v>
      </c>
      <c r="L3708" s="129">
        <v>1.029817064E9</v>
      </c>
      <c r="M3708" s="99">
        <f>IFERROR(__xludf.DUMMYFUNCTION("GOOGLEFINANCE(A3708,""beta"")"),0.99)</f>
        <v>0.99</v>
      </c>
    </row>
    <row r="3709">
      <c r="A3709" s="122" t="s">
        <v>7866</v>
      </c>
      <c r="B3709" s="123">
        <v>1556336.0</v>
      </c>
      <c r="C3709" s="124" t="s">
        <v>7867</v>
      </c>
      <c r="D3709" s="125"/>
      <c r="E3709" s="126">
        <v>8.58</v>
      </c>
      <c r="F3709" s="127"/>
      <c r="G3709" s="127"/>
      <c r="H3709" s="127"/>
      <c r="I3709" s="128"/>
      <c r="K3709" s="55" t="s">
        <v>7002</v>
      </c>
      <c r="L3709" s="129">
        <v>3.88063958E8</v>
      </c>
      <c r="M3709" s="99">
        <v>1.32</v>
      </c>
    </row>
    <row r="3710">
      <c r="A3710" s="122" t="s">
        <v>7868</v>
      </c>
      <c r="B3710" s="123">
        <v>101984.0</v>
      </c>
      <c r="C3710" s="124" t="s">
        <v>7869</v>
      </c>
      <c r="D3710" s="125"/>
      <c r="E3710" s="126">
        <v>8.58</v>
      </c>
      <c r="F3710" s="127"/>
      <c r="G3710" s="127"/>
      <c r="H3710" s="127"/>
      <c r="I3710" s="128"/>
      <c r="K3710" s="105" t="str">
        <f>IFERROR(__xludf.DUMMYFUNCTION("if(A3710="""","""",substitute(SUBSTITUTE(index(importhtml(""http://finviz.com/quote.ashx?t=""&amp;A3710,""table"",10),7,2),""*"",""""),""-"",""0.00""))"),"Loading...")</f>
        <v>Loading...</v>
      </c>
      <c r="L3710" s="129">
        <v>1.1112936E8</v>
      </c>
      <c r="M3710" s="99">
        <v>1.16</v>
      </c>
    </row>
    <row r="3711">
      <c r="A3711" s="122" t="s">
        <v>7870</v>
      </c>
      <c r="B3711" s="123">
        <v>1438423.0</v>
      </c>
      <c r="C3711" s="124" t="s">
        <v>7871</v>
      </c>
      <c r="D3711" s="125"/>
      <c r="E3711" s="126">
        <v>8.58</v>
      </c>
      <c r="F3711" s="127"/>
      <c r="G3711" s="127"/>
      <c r="H3711" s="127"/>
      <c r="I3711" s="128"/>
      <c r="K3711" s="105" t="str">
        <f>IFERROR(__xludf.DUMMYFUNCTION("if(A3711="""","""",substitute(SUBSTITUTE(index(importhtml(""http://finviz.com/quote.ashx?t=""&amp;A3711,""table"",10),7,2),""*"",""""),""-"",""0.00""))"),"Loading...")</f>
        <v>Loading...</v>
      </c>
      <c r="L3711" s="129">
        <v>1.80381113E8</v>
      </c>
      <c r="M3711" s="99">
        <v>1.05</v>
      </c>
    </row>
    <row r="3712">
      <c r="A3712" s="122" t="s">
        <v>7872</v>
      </c>
      <c r="B3712" s="123">
        <v>1518621.0</v>
      </c>
      <c r="C3712" s="124" t="s">
        <v>7873</v>
      </c>
      <c r="D3712" s="125"/>
      <c r="E3712" s="126">
        <v>8.58</v>
      </c>
      <c r="F3712" s="127"/>
      <c r="G3712" s="127"/>
      <c r="H3712" s="127"/>
      <c r="I3712" s="128"/>
      <c r="K3712" s="105" t="str">
        <f>IFERROR(__xludf.DUMMYFUNCTION("if(A3712="""","""",substitute(SUBSTITUTE(index(importhtml(""http://finviz.com/quote.ashx?t=""&amp;A3712,""table"",10),7,2),""*"",""""),""-"",""0.00""))"),"Loading...")</f>
        <v>Loading...</v>
      </c>
      <c r="L3712" s="129">
        <v>4.44669564E8</v>
      </c>
      <c r="M3712" s="99">
        <v>1.82</v>
      </c>
    </row>
    <row r="3713">
      <c r="A3713" s="122" t="s">
        <v>7874</v>
      </c>
      <c r="B3713" s="123">
        <v>1710864.0</v>
      </c>
      <c r="C3713" s="124" t="s">
        <v>7875</v>
      </c>
      <c r="D3713" s="125"/>
      <c r="E3713" s="126">
        <v>8.58</v>
      </c>
      <c r="F3713" s="143"/>
      <c r="G3713" s="136"/>
      <c r="H3713" s="127"/>
      <c r="I3713" s="128"/>
      <c r="K3713" s="105" t="str">
        <f>IFERROR(__xludf.DUMMYFUNCTION("if(A3713="""","""",substitute(SUBSTITUTE(index(importhtml(""http://finviz.com/quote.ashx?t=""&amp;A3713,""table"",10),7,2),""*"",""""),""-"",""0.00""))"),"Loading...")</f>
        <v>Loading...</v>
      </c>
      <c r="L3713" s="129">
        <v>7.173897885E11</v>
      </c>
      <c r="M3713" s="99">
        <v>0.83</v>
      </c>
    </row>
    <row r="3714">
      <c r="A3714" s="122" t="s">
        <v>7876</v>
      </c>
      <c r="B3714" s="123">
        <v>1475115.0</v>
      </c>
      <c r="C3714" s="124" t="s">
        <v>7877</v>
      </c>
      <c r="D3714" s="125"/>
      <c r="E3714" s="126">
        <v>8.6</v>
      </c>
      <c r="F3714" s="127"/>
      <c r="G3714" s="127"/>
      <c r="H3714" s="127"/>
      <c r="I3714" s="128"/>
      <c r="K3714" s="55" t="s">
        <v>1034</v>
      </c>
      <c r="L3714" s="129">
        <v>8.65359558E8</v>
      </c>
      <c r="M3714" s="99">
        <v>2.6</v>
      </c>
    </row>
    <row r="3715">
      <c r="A3715" s="122" t="s">
        <v>7878</v>
      </c>
      <c r="B3715" s="123">
        <v>1819796.0</v>
      </c>
      <c r="C3715" s="124" t="s">
        <v>7879</v>
      </c>
      <c r="D3715" s="125"/>
      <c r="E3715" s="126">
        <v>8.6</v>
      </c>
      <c r="F3715" s="127"/>
      <c r="G3715" s="127"/>
      <c r="H3715" s="127"/>
      <c r="I3715" s="128"/>
      <c r="K3715" s="105" t="str">
        <f>IFERROR(__xludf.DUMMYFUNCTION("if(A3715="""","""",substitute(SUBSTITUTE(index(importhtml(""http://finviz.com/quote.ashx?t=""&amp;A3715,""table"",10),7,2),""*"",""""),""-"",""0.00""))"),"Loading...")</f>
        <v>Loading...</v>
      </c>
      <c r="L3715" s="129">
        <v>1.610124751E9</v>
      </c>
      <c r="M3715" s="99">
        <v>0.5</v>
      </c>
    </row>
    <row r="3716">
      <c r="A3716" s="122" t="s">
        <v>7880</v>
      </c>
      <c r="B3716" s="123">
        <v>1861795.0</v>
      </c>
      <c r="C3716" s="124" t="s">
        <v>7881</v>
      </c>
      <c r="D3716" s="125"/>
      <c r="E3716" s="126">
        <v>8.61</v>
      </c>
      <c r="F3716" s="127"/>
      <c r="G3716" s="127"/>
      <c r="H3716" s="127"/>
      <c r="I3716" s="128"/>
      <c r="K3716" s="55" t="s">
        <v>1034</v>
      </c>
      <c r="L3716" s="129">
        <v>1.338492465E9</v>
      </c>
      <c r="M3716" s="99">
        <f>IFERROR(__xludf.DUMMYFUNCTION("GOOGLEFINANCE(A3716,""beta"")"),1.61)</f>
        <v>1.61</v>
      </c>
    </row>
    <row r="3717">
      <c r="A3717" s="122" t="s">
        <v>7882</v>
      </c>
      <c r="B3717" s="123">
        <v>1267902.0</v>
      </c>
      <c r="C3717" s="124" t="s">
        <v>7883</v>
      </c>
      <c r="D3717" s="125"/>
      <c r="E3717" s="126">
        <v>8.62</v>
      </c>
      <c r="F3717" s="127"/>
      <c r="G3717" s="127"/>
      <c r="H3717" s="127"/>
      <c r="I3717" s="128"/>
      <c r="K3717" s="105" t="str">
        <f>IFERROR(__xludf.DUMMYFUNCTION("if(A3717="""","""",substitute(SUBSTITUTE(index(importhtml(""http://finviz.com/quote.ashx?t=""&amp;A3717,""table"",10),7,2),""*"",""""),""-"",""0.00""))"),"Loading...")</f>
        <v>Loading...</v>
      </c>
      <c r="L3717" s="129">
        <v>5.27105493E8</v>
      </c>
      <c r="M3717" s="99">
        <v>0.57</v>
      </c>
    </row>
    <row r="3718">
      <c r="A3718" s="122" t="s">
        <v>7884</v>
      </c>
      <c r="B3718" s="123">
        <v>1865187.0</v>
      </c>
      <c r="C3718" s="124" t="s">
        <v>7885</v>
      </c>
      <c r="D3718" s="125"/>
      <c r="E3718" s="126">
        <v>8.63</v>
      </c>
      <c r="F3718" s="127"/>
      <c r="G3718" s="127"/>
      <c r="H3718" s="127"/>
      <c r="I3718" s="128"/>
      <c r="K3718" s="105" t="str">
        <f>IFERROR(__xludf.DUMMYFUNCTION("if(A3718="""","""",substitute(SUBSTITUTE(index(importhtml(""http://finviz.com/quote.ashx?t=""&amp;A3718,""table"",10),7,2),""*"",""""),""-"",""0.00""))"),"Loading...")</f>
        <v>Loading...</v>
      </c>
      <c r="L3718" s="129">
        <v>4.97886281E8</v>
      </c>
      <c r="M3718" s="99">
        <v>-1.88</v>
      </c>
    </row>
    <row r="3719">
      <c r="A3719" s="122" t="s">
        <v>7886</v>
      </c>
      <c r="B3719" s="123">
        <v>1841675.0</v>
      </c>
      <c r="C3719" s="124" t="s">
        <v>7887</v>
      </c>
      <c r="D3719" s="125"/>
      <c r="E3719" s="126">
        <v>8.64</v>
      </c>
      <c r="F3719" s="127"/>
      <c r="G3719" s="127"/>
      <c r="H3719" s="127"/>
      <c r="I3719" s="128"/>
      <c r="K3719" s="105" t="str">
        <f>IFERROR(__xludf.DUMMYFUNCTION("if(A3719="""","""",substitute(SUBSTITUTE(index(importhtml(""http://finviz.com/quote.ashx?t=""&amp;A3719,""table"",10),7,2),""*"",""""),""-"",""0.00""))"),"Loading...")</f>
        <v>Loading...</v>
      </c>
      <c r="L3719" s="129">
        <v>1.07132714E8</v>
      </c>
      <c r="M3719" s="99">
        <f>IFERROR(__xludf.DUMMYFUNCTION("GOOGLEFINANCE(A3719,""beta"")"),0.28)</f>
        <v>0.28</v>
      </c>
    </row>
    <row r="3720">
      <c r="A3720" s="122" t="s">
        <v>7888</v>
      </c>
      <c r="B3720" s="123">
        <v>1172102.0</v>
      </c>
      <c r="C3720" s="124" t="s">
        <v>7889</v>
      </c>
      <c r="D3720" s="125"/>
      <c r="E3720" s="126">
        <v>8.65</v>
      </c>
      <c r="F3720" s="127"/>
      <c r="G3720" s="127"/>
      <c r="H3720" s="127"/>
      <c r="I3720" s="128"/>
      <c r="K3720" s="105" t="str">
        <f>IFERROR(__xludf.DUMMYFUNCTION("if(A3720="""","""",substitute(SUBSTITUTE(index(importhtml(""http://finviz.com/quote.ashx?t=""&amp;A3720,""table"",10),7,2),""*"",""""),""-"",""0.00""))"),"Loading...")</f>
        <v>Loading...</v>
      </c>
      <c r="L3720" s="129">
        <v>7.0413687E7</v>
      </c>
      <c r="M3720" s="99">
        <v>0.47</v>
      </c>
    </row>
    <row r="3721">
      <c r="A3721" s="122" t="s">
        <v>7890</v>
      </c>
      <c r="B3721" s="123">
        <v>1223026.0</v>
      </c>
      <c r="C3721" s="124" t="s">
        <v>7891</v>
      </c>
      <c r="D3721" s="125"/>
      <c r="E3721" s="126">
        <v>8.67</v>
      </c>
      <c r="F3721" s="127"/>
      <c r="G3721" s="127"/>
      <c r="H3721" s="127"/>
      <c r="I3721" s="128"/>
      <c r="K3721" s="105" t="str">
        <f>IFERROR(__xludf.DUMMYFUNCTION("if(A3721="""","""",substitute(SUBSTITUTE(index(importhtml(""http://finviz.com/quote.ashx?t=""&amp;A3721,""table"",10),7,2),""*"",""""),""-"",""0.00""))"),"Loading...")</f>
        <v>Loading...</v>
      </c>
      <c r="L3721" s="129">
        <v>1.97427519E8</v>
      </c>
      <c r="M3721" s="99">
        <v>0.62</v>
      </c>
    </row>
    <row r="3722">
      <c r="A3722" s="122" t="s">
        <v>7892</v>
      </c>
      <c r="B3722" s="123">
        <v>1706431.0</v>
      </c>
      <c r="C3722" s="124" t="s">
        <v>7893</v>
      </c>
      <c r="D3722" s="125"/>
      <c r="E3722" s="126">
        <v>8.67</v>
      </c>
      <c r="F3722" s="127"/>
      <c r="G3722" s="127"/>
      <c r="H3722" s="127"/>
      <c r="I3722" s="128"/>
      <c r="K3722" s="105" t="str">
        <f>IFERROR(__xludf.DUMMYFUNCTION("if(A3722="""","""",substitute(SUBSTITUTE(index(importhtml(""http://finviz.com/quote.ashx?t=""&amp;A3722,""table"",10),7,2),""*"",""""),""-"",""0.00""))"),"Loading...")</f>
        <v>Loading...</v>
      </c>
      <c r="L3722" s="129">
        <v>1.166298814E9</v>
      </c>
      <c r="M3722" s="99">
        <v>0.39</v>
      </c>
    </row>
    <row r="3723">
      <c r="A3723" s="122" t="s">
        <v>7894</v>
      </c>
      <c r="B3723" s="123">
        <v>933267.0</v>
      </c>
      <c r="C3723" s="124" t="s">
        <v>7895</v>
      </c>
      <c r="D3723" s="125"/>
      <c r="E3723" s="126">
        <v>8.69</v>
      </c>
      <c r="F3723" s="127"/>
      <c r="G3723" s="127"/>
      <c r="H3723" s="127"/>
      <c r="I3723" s="128"/>
      <c r="K3723" s="105" t="str">
        <f>IFERROR(__xludf.DUMMYFUNCTION("if(A3723="""","""",substitute(SUBSTITUTE(index(importhtml(""http://finviz.com/quote.ashx?t=""&amp;A3723,""table"",10),7,2),""*"",""""),""-"",""0.00""))"),"Loading...")</f>
        <v>Loading...</v>
      </c>
      <c r="L3723" s="129">
        <v>9.91881766E8</v>
      </c>
      <c r="M3723" s="99">
        <v>1.36</v>
      </c>
    </row>
    <row r="3724">
      <c r="A3724" s="122" t="s">
        <v>7896</v>
      </c>
      <c r="B3724" s="123">
        <v>1853513.0</v>
      </c>
      <c r="C3724" s="124" t="s">
        <v>7897</v>
      </c>
      <c r="D3724" s="125"/>
      <c r="E3724" s="126">
        <v>8.69</v>
      </c>
      <c r="F3724" s="127"/>
      <c r="G3724" s="127"/>
      <c r="H3724" s="127"/>
      <c r="I3724" s="128"/>
      <c r="K3724" s="105" t="str">
        <f>IFERROR(__xludf.DUMMYFUNCTION("if(A3724="""","""",substitute(SUBSTITUTE(index(importhtml(""http://finviz.com/quote.ashx?t=""&amp;A3724,""table"",10),7,2),""*"",""""),""-"",""0.00""))"),"Loading...")</f>
        <v>Loading...</v>
      </c>
      <c r="L3724" s="129">
        <v>2.729267299E9</v>
      </c>
      <c r="M3724" s="99">
        <f>IFERROR(__xludf.DUMMYFUNCTION("GOOGLEFINANCE(A3724,""beta"")"),1.47)</f>
        <v>1.47</v>
      </c>
    </row>
    <row r="3725">
      <c r="A3725" s="122" t="s">
        <v>7898</v>
      </c>
      <c r="B3725" s="123">
        <v>1657853.0</v>
      </c>
      <c r="C3725" s="124" t="s">
        <v>7899</v>
      </c>
      <c r="D3725" s="125"/>
      <c r="E3725" s="126">
        <v>8.7</v>
      </c>
      <c r="F3725" s="127"/>
      <c r="G3725" s="127"/>
      <c r="H3725" s="127"/>
      <c r="I3725" s="128"/>
      <c r="K3725" s="105" t="str">
        <f>IFERROR(__xludf.DUMMYFUNCTION("if(A3725="""","""",substitute(SUBSTITUTE(index(importhtml(""http://finviz.com/quote.ashx?t=""&amp;A3725,""table"",10),7,2),""*"",""""),""-"",""0.00""))"),"Loading...")</f>
        <v>Loading...</v>
      </c>
      <c r="L3725" s="129">
        <v>2.677971301E9</v>
      </c>
      <c r="M3725" s="99">
        <f>IFERROR(__xludf.DUMMYFUNCTION("GOOGLEFINANCE(A3725,""beta"")"),2.13)</f>
        <v>2.13</v>
      </c>
    </row>
    <row r="3726">
      <c r="A3726" s="122" t="s">
        <v>7900</v>
      </c>
      <c r="B3726" s="123">
        <v>1690842.0</v>
      </c>
      <c r="C3726" s="124" t="s">
        <v>7901</v>
      </c>
      <c r="D3726" s="125"/>
      <c r="E3726" s="126">
        <v>8.7</v>
      </c>
      <c r="F3726" s="127"/>
      <c r="G3726" s="127"/>
      <c r="H3726" s="127"/>
      <c r="I3726" s="128"/>
      <c r="K3726" s="105" t="str">
        <f>IFERROR(__xludf.DUMMYFUNCTION("if(A3726="""","""",substitute(SUBSTITUTE(index(importhtml(""http://finviz.com/quote.ashx?t=""&amp;A3726,""table"",10),7,2),""*"",""""),""-"",""0.00""))"),"Loading...")</f>
        <v>Loading...</v>
      </c>
      <c r="L3726" s="129" t="e">
        <v>#N/A</v>
      </c>
      <c r="M3726" s="99" t="str">
        <f>IFERROR(__xludf.DUMMYFUNCTION("GOOGLEFINANCE(A3726,""beta"")"),"#N/A")</f>
        <v>#N/A</v>
      </c>
    </row>
    <row r="3727">
      <c r="A3727" s="122" t="s">
        <v>7902</v>
      </c>
      <c r="B3727" s="123">
        <v>1114927.0</v>
      </c>
      <c r="C3727" s="124" t="s">
        <v>7903</v>
      </c>
      <c r="D3727" s="125"/>
      <c r="E3727" s="126">
        <v>8.71</v>
      </c>
      <c r="F3727" s="127"/>
      <c r="G3727" s="127"/>
      <c r="H3727" s="127"/>
      <c r="I3727" s="128"/>
      <c r="K3727" s="105" t="str">
        <f>IFERROR(__xludf.DUMMYFUNCTION("if(A3727="""","""",substitute(SUBSTITUTE(index(importhtml(""http://finviz.com/quote.ashx?t=""&amp;A3727,""table"",10),7,2),""*"",""""),""-"",""0.00""))"),"Loading...")</f>
        <v>Loading...</v>
      </c>
      <c r="L3727" s="129">
        <v>1.2830492E8</v>
      </c>
      <c r="M3727" s="99">
        <v>0.35</v>
      </c>
    </row>
    <row r="3728">
      <c r="A3728" s="122" t="s">
        <v>7904</v>
      </c>
      <c r="B3728" s="123">
        <v>1293613.0</v>
      </c>
      <c r="C3728" s="124" t="s">
        <v>7905</v>
      </c>
      <c r="D3728" s="125"/>
      <c r="E3728" s="126">
        <v>8.71</v>
      </c>
      <c r="F3728" s="127"/>
      <c r="G3728" s="127"/>
      <c r="H3728" s="127"/>
      <c r="I3728" s="128"/>
      <c r="K3728" s="105" t="str">
        <f>IFERROR(__xludf.DUMMYFUNCTION("if(A3728="""","""",substitute(SUBSTITUTE(index(importhtml(""http://finviz.com/quote.ashx?t=""&amp;A3728,""table"",10),7,2),""*"",""""),""-"",""0.00""))"),"Loading...")</f>
        <v>Loading...</v>
      </c>
      <c r="L3728" s="129">
        <v>1.18570537E9</v>
      </c>
      <c r="M3728" s="99">
        <v>1.64</v>
      </c>
    </row>
    <row r="3729">
      <c r="A3729" s="122" t="s">
        <v>7906</v>
      </c>
      <c r="B3729" s="123">
        <v>1734713.0</v>
      </c>
      <c r="C3729" s="124" t="s">
        <v>7907</v>
      </c>
      <c r="D3729" s="125"/>
      <c r="E3729" s="126">
        <v>8.72</v>
      </c>
      <c r="F3729" s="127"/>
      <c r="G3729" s="127"/>
      <c r="H3729" s="127"/>
      <c r="I3729" s="128"/>
      <c r="K3729" s="55" t="s">
        <v>1034</v>
      </c>
      <c r="L3729" s="129">
        <v>8.23168025E8</v>
      </c>
      <c r="M3729" s="99">
        <v>0.62</v>
      </c>
    </row>
    <row r="3730">
      <c r="A3730" s="122" t="s">
        <v>7908</v>
      </c>
      <c r="B3730" s="123">
        <v>1769267.0</v>
      </c>
      <c r="C3730" s="124" t="s">
        <v>7909</v>
      </c>
      <c r="D3730" s="125"/>
      <c r="E3730" s="126">
        <v>8.72</v>
      </c>
      <c r="F3730" s="127"/>
      <c r="G3730" s="127"/>
      <c r="H3730" s="127"/>
      <c r="I3730" s="128"/>
      <c r="K3730" s="105" t="str">
        <f>IFERROR(__xludf.DUMMYFUNCTION("if(A3730="""","""",substitute(SUBSTITUTE(index(importhtml(""http://finviz.com/quote.ashx?t=""&amp;A3730,""table"",10),7,2),""*"",""""),""-"",""0.00""))"),"Loading...")</f>
        <v>Loading...</v>
      </c>
      <c r="L3730" s="129">
        <v>4.4276812E7</v>
      </c>
      <c r="M3730" s="99" t="str">
        <f>IFERROR(__xludf.DUMMYFUNCTION("GOOGLEFINANCE(A3730,""beta"")"),"#N/A")</f>
        <v>#N/A</v>
      </c>
    </row>
    <row r="3731">
      <c r="A3731" s="122" t="s">
        <v>7910</v>
      </c>
      <c r="B3731" s="123">
        <v>1217234.0</v>
      </c>
      <c r="C3731" s="124" t="s">
        <v>7911</v>
      </c>
      <c r="D3731" s="125"/>
      <c r="E3731" s="126">
        <v>8.72</v>
      </c>
      <c r="F3731" s="127"/>
      <c r="G3731" s="127"/>
      <c r="H3731" s="127"/>
      <c r="I3731" s="128"/>
      <c r="K3731" s="105" t="str">
        <f>IFERROR(__xludf.DUMMYFUNCTION("if(A3731="""","""",substitute(SUBSTITUTE(index(importhtml(""http://finviz.com/quote.ashx?t=""&amp;A3731,""table"",10),7,2),""*"",""""),""-"",""0.00""))"),"Loading...")</f>
        <v>Loading...</v>
      </c>
      <c r="L3731" s="129">
        <v>4.717378E8</v>
      </c>
      <c r="M3731" s="99">
        <v>1.38</v>
      </c>
    </row>
    <row r="3732">
      <c r="A3732" s="122" t="s">
        <v>7912</v>
      </c>
      <c r="B3732" s="123">
        <v>1841968.0</v>
      </c>
      <c r="C3732" s="124" t="s">
        <v>7913</v>
      </c>
      <c r="D3732" s="125"/>
      <c r="E3732" s="126">
        <v>8.73</v>
      </c>
      <c r="F3732" s="127"/>
      <c r="G3732" s="127"/>
      <c r="H3732" s="127"/>
      <c r="I3732" s="128"/>
      <c r="K3732" s="55" t="s">
        <v>5721</v>
      </c>
      <c r="L3732" s="129">
        <v>1.021031937E9</v>
      </c>
      <c r="M3732" s="99">
        <v>0.94</v>
      </c>
    </row>
    <row r="3733">
      <c r="A3733" s="122" t="s">
        <v>7914</v>
      </c>
      <c r="B3733" s="123">
        <v>1701809.0</v>
      </c>
      <c r="C3733" s="124" t="s">
        <v>7915</v>
      </c>
      <c r="D3733" s="125"/>
      <c r="E3733" s="126">
        <v>8.74</v>
      </c>
      <c r="F3733" s="127"/>
      <c r="G3733" s="127"/>
      <c r="H3733" s="127"/>
      <c r="I3733" s="128"/>
      <c r="K3733" s="55" t="s">
        <v>7002</v>
      </c>
      <c r="L3733" s="129" t="e">
        <v>#N/A</v>
      </c>
      <c r="M3733" s="99">
        <v>0.49</v>
      </c>
    </row>
    <row r="3734">
      <c r="A3734" s="122" t="s">
        <v>7916</v>
      </c>
      <c r="B3734" s="123">
        <v>1799788.0</v>
      </c>
      <c r="C3734" s="124" t="s">
        <v>7917</v>
      </c>
      <c r="D3734" s="125"/>
      <c r="E3734" s="126">
        <v>8.74</v>
      </c>
      <c r="F3734" s="127"/>
      <c r="G3734" s="127"/>
      <c r="H3734" s="127"/>
      <c r="I3734" s="128"/>
      <c r="K3734" s="105" t="str">
        <f>IFERROR(__xludf.DUMMYFUNCTION("if(A3734="""","""",substitute(SUBSTITUTE(index(importhtml(""http://finviz.com/quote.ashx?t=""&amp;A3734,""table"",10),7,2),""*"",""""),""-"",""0.00""))"),"Loading...")</f>
        <v>Loading...</v>
      </c>
      <c r="L3734" s="129">
        <v>1.12292915E8</v>
      </c>
      <c r="M3734" s="99">
        <v>3.06</v>
      </c>
    </row>
    <row r="3735">
      <c r="A3735" s="122" t="s">
        <v>7918</v>
      </c>
      <c r="B3735" s="123">
        <v>839923.0</v>
      </c>
      <c r="C3735" s="124" t="s">
        <v>7919</v>
      </c>
      <c r="D3735" s="125"/>
      <c r="E3735" s="126">
        <v>8.74</v>
      </c>
      <c r="F3735" s="127"/>
      <c r="G3735" s="127"/>
      <c r="H3735" s="127"/>
      <c r="I3735" s="128"/>
      <c r="K3735" s="105" t="str">
        <f>IFERROR(__xludf.DUMMYFUNCTION("if(A3735="""","""",substitute(SUBSTITUTE(index(importhtml(""http://finviz.com/quote.ashx?t=""&amp;A3735,""table"",10),7,2),""*"",""""),""-"",""0.00""))"),"Loading...")</f>
        <v>Loading...</v>
      </c>
      <c r="L3735" s="129">
        <v>2.3237334551E10</v>
      </c>
      <c r="M3735" s="99">
        <v>0.84</v>
      </c>
    </row>
    <row r="3736">
      <c r="A3736" s="122" t="s">
        <v>7920</v>
      </c>
      <c r="B3736" s="123">
        <v>1456189.0</v>
      </c>
      <c r="C3736" s="124" t="s">
        <v>7921</v>
      </c>
      <c r="D3736" s="125"/>
      <c r="E3736" s="126">
        <v>8.75</v>
      </c>
      <c r="F3736" s="127"/>
      <c r="G3736" s="127"/>
      <c r="H3736" s="127"/>
      <c r="I3736" s="128"/>
      <c r="K3736" s="105" t="str">
        <f>IFERROR(__xludf.DUMMYFUNCTION("if(A3736="""","""",substitute(SUBSTITUTE(index(importhtml(""http://finviz.com/quote.ashx?t=""&amp;A3736,""table"",10),7,2),""*"",""""),""-"",""0.00""))"),"Loading...")</f>
        <v>Loading...</v>
      </c>
      <c r="L3736" s="129">
        <v>5.2249225E7</v>
      </c>
      <c r="M3736" s="99">
        <v>1.3</v>
      </c>
    </row>
    <row r="3737">
      <c r="A3737" s="122" t="s">
        <v>7922</v>
      </c>
      <c r="B3737" s="123">
        <v>911971.0</v>
      </c>
      <c r="C3737" s="124" t="s">
        <v>7923</v>
      </c>
      <c r="D3737" s="125"/>
      <c r="E3737" s="126">
        <v>8.76</v>
      </c>
      <c r="F3737" s="127"/>
      <c r="G3737" s="127"/>
      <c r="H3737" s="127"/>
      <c r="I3737" s="128"/>
      <c r="K3737" s="55" t="s">
        <v>1034</v>
      </c>
      <c r="L3737" s="129">
        <v>7.96716064E8</v>
      </c>
      <c r="M3737" s="99">
        <v>0.7</v>
      </c>
    </row>
    <row r="3738">
      <c r="A3738" s="122" t="s">
        <v>7924</v>
      </c>
      <c r="B3738" s="123">
        <v>1923840.0</v>
      </c>
      <c r="C3738" s="124" t="s">
        <v>7925</v>
      </c>
      <c r="D3738" s="125"/>
      <c r="E3738" s="126">
        <v>8.76</v>
      </c>
      <c r="F3738" s="127"/>
      <c r="G3738" s="127"/>
      <c r="H3738" s="127"/>
      <c r="I3738" s="128"/>
      <c r="K3738" s="105" t="str">
        <f>IFERROR(__xludf.DUMMYFUNCTION("if(A3738="""","""",substitute(SUBSTITUTE(index(importhtml(""http://finviz.com/quote.ashx?t=""&amp;A3738,""table"",10),7,2),""*"",""""),""-"",""0.00""))"),"Loading...")</f>
        <v>Loading...</v>
      </c>
      <c r="L3738" s="129">
        <v>3.53576122E8</v>
      </c>
      <c r="M3738" s="99" t="str">
        <f>IFERROR(__xludf.DUMMYFUNCTION("GOOGLEFINANCE(A3738,""beta"")"),"#N/A")</f>
        <v>#N/A</v>
      </c>
    </row>
    <row r="3739">
      <c r="A3739" s="122" t="s">
        <v>7926</v>
      </c>
      <c r="B3739" s="123">
        <v>1423774.0</v>
      </c>
      <c r="C3739" s="124" t="s">
        <v>7927</v>
      </c>
      <c r="D3739" s="125"/>
      <c r="E3739" s="126">
        <v>8.78</v>
      </c>
      <c r="F3739" s="127"/>
      <c r="G3739" s="127"/>
      <c r="H3739" s="127"/>
      <c r="I3739" s="128"/>
      <c r="K3739" s="105" t="str">
        <f>IFERROR(__xludf.DUMMYFUNCTION("if(A3739="""","""",substitute(SUBSTITUTE(index(importhtml(""http://finviz.com/quote.ashx?t=""&amp;A3739,""table"",10),7,2),""*"",""""),""-"",""0.00""))"),"Loading...")</f>
        <v>Loading...</v>
      </c>
      <c r="L3739" s="129">
        <v>1.256417961E9</v>
      </c>
      <c r="M3739" s="99">
        <v>1.94</v>
      </c>
    </row>
    <row r="3740">
      <c r="A3740" s="122" t="s">
        <v>7928</v>
      </c>
      <c r="B3740" s="123">
        <v>1830795.0</v>
      </c>
      <c r="C3740" s="124" t="s">
        <v>7929</v>
      </c>
      <c r="D3740" s="125"/>
      <c r="E3740" s="126">
        <v>8.79</v>
      </c>
      <c r="F3740" s="127"/>
      <c r="G3740" s="127"/>
      <c r="H3740" s="127"/>
      <c r="I3740" s="128"/>
      <c r="K3740" s="105" t="str">
        <f>IFERROR(__xludf.DUMMYFUNCTION("if(A3740="""","""",substitute(SUBSTITUTE(index(importhtml(""http://finviz.com/quote.ashx?t=""&amp;A3740,""table"",10),7,2),""*"",""""),""-"",""0.00""))"),"Loading...")</f>
        <v>Loading...</v>
      </c>
      <c r="L3740" s="129">
        <v>8.8617527E7</v>
      </c>
      <c r="M3740" s="99" t="str">
        <f>IFERROR(__xludf.DUMMYFUNCTION("GOOGLEFINANCE(A3740,""beta"")"),"#N/A")</f>
        <v>#N/A</v>
      </c>
    </row>
    <row r="3741">
      <c r="A3741" s="122" t="s">
        <v>7930</v>
      </c>
      <c r="B3741" s="123">
        <v>1824893.0</v>
      </c>
      <c r="C3741" s="124" t="s">
        <v>7931</v>
      </c>
      <c r="D3741" s="125"/>
      <c r="E3741" s="126">
        <v>8.8</v>
      </c>
      <c r="F3741" s="127"/>
      <c r="G3741" s="127"/>
      <c r="H3741" s="127"/>
      <c r="I3741" s="128"/>
      <c r="K3741" s="105" t="str">
        <f>IFERROR(__xludf.DUMMYFUNCTION("if(A3741="""","""",substitute(SUBSTITUTE(index(importhtml(""http://finviz.com/quote.ashx?t=""&amp;A3741,""table"",10),7,2),""*"",""""),""-"",""0.00""))"),"Loading...")</f>
        <v>Loading...</v>
      </c>
      <c r="L3741" s="129">
        <v>1.7936933E7</v>
      </c>
      <c r="M3741" s="99">
        <v>0.39</v>
      </c>
    </row>
    <row r="3742">
      <c r="A3742" s="122" t="s">
        <v>7932</v>
      </c>
      <c r="B3742" s="123">
        <v>98338.0</v>
      </c>
      <c r="C3742" s="124" t="s">
        <v>7933</v>
      </c>
      <c r="D3742" s="125"/>
      <c r="E3742" s="126">
        <v>8.8</v>
      </c>
      <c r="F3742" s="127"/>
      <c r="G3742" s="127"/>
      <c r="H3742" s="127"/>
      <c r="I3742" s="128"/>
      <c r="K3742" s="105" t="str">
        <f>IFERROR(__xludf.DUMMYFUNCTION("if(A3742="""","""",substitute(SUBSTITUTE(index(importhtml(""http://finviz.com/quote.ashx?t=""&amp;A3742,""table"",10),7,2),""*"",""""),""-"",""0.00""))"),"Loading...")</f>
        <v>Loading...</v>
      </c>
      <c r="L3742" s="129">
        <v>1.886467E7</v>
      </c>
      <c r="M3742" s="99">
        <v>0.56</v>
      </c>
    </row>
    <row r="3743">
      <c r="A3743" s="122" t="s">
        <v>7934</v>
      </c>
      <c r="B3743" s="123">
        <v>1386278.0</v>
      </c>
      <c r="C3743" s="124" t="s">
        <v>7935</v>
      </c>
      <c r="D3743" s="125"/>
      <c r="E3743" s="126">
        <v>8.8</v>
      </c>
      <c r="F3743" s="127"/>
      <c r="G3743" s="127"/>
      <c r="H3743" s="127"/>
      <c r="I3743" s="128"/>
      <c r="K3743" s="105" t="str">
        <f>IFERROR(__xludf.DUMMYFUNCTION("if(A3743="""","""",substitute(SUBSTITUTE(index(importhtml(""http://finviz.com/quote.ashx?t=""&amp;A3743,""table"",10),7,2),""*"",""""),""-"",""0.00""))"),"Loading...")</f>
        <v>Loading...</v>
      </c>
      <c r="L3743" s="129">
        <v>4.61580338E8</v>
      </c>
      <c r="M3743" s="99">
        <v>1.04</v>
      </c>
    </row>
    <row r="3744">
      <c r="A3744" s="122" t="s">
        <v>7936</v>
      </c>
      <c r="B3744" s="123">
        <v>889609.0</v>
      </c>
      <c r="C3744" s="124" t="s">
        <v>7937</v>
      </c>
      <c r="D3744" s="125"/>
      <c r="E3744" s="126">
        <v>8.81</v>
      </c>
      <c r="F3744" s="127"/>
      <c r="G3744" s="127"/>
      <c r="H3744" s="127"/>
      <c r="I3744" s="128"/>
      <c r="K3744" s="105" t="str">
        <f>IFERROR(__xludf.DUMMYFUNCTION("if(A3744="""","""",substitute(SUBSTITUTE(index(importhtml(""http://finviz.com/quote.ashx?t=""&amp;A3744,""table"",10),7,2),""*"",""""),""-"",""0.00""))"),"Loading...")</f>
        <v>Loading...</v>
      </c>
      <c r="L3744" s="129">
        <v>1.86069499E8</v>
      </c>
      <c r="M3744" s="99">
        <v>2.13</v>
      </c>
    </row>
    <row r="3745">
      <c r="A3745" s="122" t="s">
        <v>7938</v>
      </c>
      <c r="B3745" s="123">
        <v>846596.0</v>
      </c>
      <c r="C3745" s="124" t="s">
        <v>7939</v>
      </c>
      <c r="D3745" s="125"/>
      <c r="E3745" s="126">
        <v>8.82</v>
      </c>
      <c r="F3745" s="127"/>
      <c r="G3745" s="127"/>
      <c r="H3745" s="127"/>
      <c r="I3745" s="128"/>
      <c r="K3745" s="105" t="str">
        <f>IFERROR(__xludf.DUMMYFUNCTION("if(A3745="""","""",substitute(SUBSTITUTE(index(importhtml(""http://finviz.com/quote.ashx?t=""&amp;A3745,""table"",10),7,2),""*"",""""),""-"",""0.00""))"),"Loading...")</f>
        <v>Loading...</v>
      </c>
      <c r="L3745" s="129">
        <v>9.7442121E7</v>
      </c>
      <c r="M3745" s="99">
        <v>0.59</v>
      </c>
    </row>
    <row r="3746">
      <c r="A3746" s="122" t="s">
        <v>7940</v>
      </c>
      <c r="B3746" s="123">
        <v>1072627.0</v>
      </c>
      <c r="C3746" s="124" t="s">
        <v>7941</v>
      </c>
      <c r="D3746" s="125"/>
      <c r="E3746" s="126">
        <v>8.82</v>
      </c>
      <c r="F3746" s="127"/>
      <c r="G3746" s="127"/>
      <c r="H3746" s="127"/>
      <c r="I3746" s="128"/>
      <c r="K3746" s="105" t="str">
        <f>IFERROR(__xludf.DUMMYFUNCTION("if(A3746="""","""",substitute(SUBSTITUTE(index(importhtml(""http://finviz.com/quote.ashx?t=""&amp;A3746,""table"",10),7,2),""*"",""""),""-"",""0.00""))"),"Loading...")</f>
        <v>Loading...</v>
      </c>
      <c r="L3746" s="129">
        <v>2.49531021E8</v>
      </c>
      <c r="M3746" s="99">
        <v>-0.1</v>
      </c>
    </row>
    <row r="3747">
      <c r="A3747" s="122" t="s">
        <v>7942</v>
      </c>
      <c r="B3747" s="123">
        <v>1735707.0</v>
      </c>
      <c r="C3747" s="124" t="s">
        <v>7943</v>
      </c>
      <c r="D3747" s="125"/>
      <c r="E3747" s="126">
        <v>8.82</v>
      </c>
      <c r="F3747" s="127"/>
      <c r="G3747" s="127"/>
      <c r="H3747" s="127"/>
      <c r="I3747" s="128"/>
      <c r="K3747" s="105" t="str">
        <f>IFERROR(__xludf.DUMMYFUNCTION("if(A3747="""","""",substitute(SUBSTITUTE(index(importhtml(""http://finviz.com/quote.ashx?t=""&amp;A3747,""table"",10),7,2),""*"",""""),""-"",""0.00""))"),"Loading...")</f>
        <v>Loading...</v>
      </c>
      <c r="L3747" s="129">
        <v>2.13814168E9</v>
      </c>
      <c r="M3747" s="99">
        <v>1.29</v>
      </c>
    </row>
    <row r="3748">
      <c r="A3748" s="122" t="s">
        <v>7944</v>
      </c>
      <c r="B3748" s="123">
        <v>1593548.0</v>
      </c>
      <c r="C3748" s="124" t="s">
        <v>7945</v>
      </c>
      <c r="D3748" s="125"/>
      <c r="E3748" s="126">
        <v>8.83</v>
      </c>
      <c r="F3748" s="127"/>
      <c r="G3748" s="127"/>
      <c r="H3748" s="127"/>
      <c r="I3748" s="128"/>
      <c r="K3748" s="55" t="s">
        <v>1034</v>
      </c>
      <c r="L3748" s="129">
        <v>3.41828811E8</v>
      </c>
      <c r="M3748" s="99">
        <v>2.41</v>
      </c>
    </row>
    <row r="3749">
      <c r="A3749" s="122" t="s">
        <v>7946</v>
      </c>
      <c r="B3749" s="123">
        <v>1835256.0</v>
      </c>
      <c r="C3749" s="124" t="s">
        <v>7947</v>
      </c>
      <c r="D3749" s="125"/>
      <c r="E3749" s="126">
        <v>8.83</v>
      </c>
      <c r="F3749" s="127"/>
      <c r="G3749" s="127"/>
      <c r="H3749" s="127"/>
      <c r="I3749" s="128"/>
      <c r="K3749" s="105" t="str">
        <f>IFERROR(__xludf.DUMMYFUNCTION("if(A3749="""","""",substitute(SUBSTITUTE(index(importhtml(""http://finviz.com/quote.ashx?t=""&amp;A3749,""table"",10),7,2),""*"",""""),""-"",""0.00""))"),"Loading...")</f>
        <v>Loading...</v>
      </c>
      <c r="L3749" s="129">
        <v>1.018695899E9</v>
      </c>
      <c r="M3749" s="99" t="str">
        <f>IFERROR(__xludf.DUMMYFUNCTION("GOOGLEFINANCE(A3749,""beta"")"),"#N/A")</f>
        <v>#N/A</v>
      </c>
    </row>
    <row r="3750">
      <c r="A3750" s="122" t="s">
        <v>7948</v>
      </c>
      <c r="B3750" s="123">
        <v>1751783.0</v>
      </c>
      <c r="C3750" s="124" t="s">
        <v>7949</v>
      </c>
      <c r="D3750" s="125"/>
      <c r="E3750" s="126">
        <v>8.85</v>
      </c>
      <c r="F3750" s="127"/>
      <c r="G3750" s="127"/>
      <c r="H3750" s="127"/>
      <c r="I3750" s="128"/>
      <c r="K3750" s="105" t="str">
        <f>IFERROR(__xludf.DUMMYFUNCTION("if(A3750="""","""",substitute(SUBSTITUTE(index(importhtml(""http://finviz.com/quote.ashx?t=""&amp;A3750,""table"",10),7,2),""*"",""""),""-"",""0.00""))"),"Loading...")</f>
        <v>Loading...</v>
      </c>
      <c r="L3750" s="129">
        <v>9.7992514E7</v>
      </c>
      <c r="M3750" s="99">
        <v>0.74</v>
      </c>
    </row>
    <row r="3751">
      <c r="A3751" s="122" t="s">
        <v>7950</v>
      </c>
      <c r="B3751" s="123">
        <v>77543.0</v>
      </c>
      <c r="C3751" s="124" t="s">
        <v>7951</v>
      </c>
      <c r="D3751" s="125"/>
      <c r="E3751" s="126">
        <v>8.85</v>
      </c>
      <c r="F3751" s="127"/>
      <c r="G3751" s="127"/>
      <c r="H3751" s="127"/>
      <c r="I3751" s="128"/>
      <c r="K3751" s="105" t="str">
        <f>IFERROR(__xludf.DUMMYFUNCTION("if(A3751="""","""",substitute(SUBSTITUTE(index(importhtml(""http://finviz.com/quote.ashx?t=""&amp;A3751,""table"",10),7,2),""*"",""""),""-"",""0.00""))"),"Loading...")</f>
        <v>Loading...</v>
      </c>
      <c r="L3751" s="129">
        <v>4.60396135E8</v>
      </c>
      <c r="M3751" s="99">
        <v>1.55</v>
      </c>
    </row>
    <row r="3752">
      <c r="A3752" s="122" t="s">
        <v>7952</v>
      </c>
      <c r="B3752" s="123">
        <v>1754170.0</v>
      </c>
      <c r="C3752" s="124" t="s">
        <v>7953</v>
      </c>
      <c r="D3752" s="125"/>
      <c r="E3752" s="126">
        <v>8.86</v>
      </c>
      <c r="F3752" s="127"/>
      <c r="G3752" s="127"/>
      <c r="H3752" s="127"/>
      <c r="I3752" s="128"/>
      <c r="K3752" s="105" t="str">
        <f>IFERROR(__xludf.DUMMYFUNCTION("if(A3752="""","""",substitute(SUBSTITUTE(index(importhtml(""http://finviz.com/quote.ashx?t=""&amp;A3752,""table"",10),7,2),""*"",""""),""-"",""0.00""))"),"Loading...")</f>
        <v>Loading...</v>
      </c>
      <c r="L3752" s="129">
        <v>4.5477315E8</v>
      </c>
      <c r="M3752" s="99">
        <v>0.27</v>
      </c>
    </row>
    <row r="3753">
      <c r="A3753" s="122" t="s">
        <v>7954</v>
      </c>
      <c r="B3753" s="123">
        <v>1379785.0</v>
      </c>
      <c r="C3753" s="124" t="s">
        <v>7955</v>
      </c>
      <c r="D3753" s="125"/>
      <c r="E3753" s="126">
        <v>8.86</v>
      </c>
      <c r="F3753" s="127"/>
      <c r="G3753" s="127"/>
      <c r="H3753" s="127"/>
      <c r="I3753" s="128"/>
      <c r="K3753" s="105" t="str">
        <f>IFERROR(__xludf.DUMMYFUNCTION("if(A3753="""","""",substitute(SUBSTITUTE(index(importhtml(""http://finviz.com/quote.ashx?t=""&amp;A3753,""table"",10),7,2),""*"",""""),""-"",""0.00""))"),"Loading...")</f>
        <v>Loading...</v>
      </c>
      <c r="L3753" s="129">
        <v>9.43732609E8</v>
      </c>
      <c r="M3753" s="99">
        <v>0.54</v>
      </c>
    </row>
    <row r="3754">
      <c r="A3754" s="122" t="s">
        <v>7956</v>
      </c>
      <c r="B3754" s="123">
        <v>812801.0</v>
      </c>
      <c r="C3754" s="124" t="s">
        <v>7957</v>
      </c>
      <c r="D3754" s="125"/>
      <c r="E3754" s="126">
        <v>8.86</v>
      </c>
      <c r="F3754" s="127"/>
      <c r="G3754" s="127"/>
      <c r="H3754" s="127"/>
      <c r="I3754" s="128"/>
      <c r="K3754" s="105" t="str">
        <f>IFERROR(__xludf.DUMMYFUNCTION("if(A3754="""","""",substitute(SUBSTITUTE(index(importhtml(""http://finviz.com/quote.ashx?t=""&amp;A3754,""table"",10),7,2),""*"",""""),""-"",""0.00""))"),"Loading...")</f>
        <v>Loading...</v>
      </c>
      <c r="L3754" s="129">
        <v>1.838817618E9</v>
      </c>
      <c r="M3754" s="99">
        <v>0.34</v>
      </c>
    </row>
    <row r="3755">
      <c r="A3755" s="122" t="s">
        <v>7958</v>
      </c>
      <c r="B3755" s="123">
        <v>1773751.0</v>
      </c>
      <c r="C3755" s="124" t="s">
        <v>7959</v>
      </c>
      <c r="D3755" s="125"/>
      <c r="E3755" s="126">
        <v>8.87</v>
      </c>
      <c r="F3755" s="127"/>
      <c r="G3755" s="127"/>
      <c r="H3755" s="127"/>
      <c r="I3755" s="128"/>
      <c r="K3755" s="105" t="str">
        <f>IFERROR(__xludf.DUMMYFUNCTION("if(A3755="""","""",substitute(SUBSTITUTE(index(importhtml(""http://finviz.com/quote.ashx?t=""&amp;A3755,""table"",10),7,2),""*"",""""),""-"",""0.00""))"),"Loading...")</f>
        <v>Loading...</v>
      </c>
      <c r="L3755" s="129">
        <v>1.880381433E9</v>
      </c>
      <c r="M3755" s="99">
        <v>0.77</v>
      </c>
    </row>
    <row r="3756">
      <c r="A3756" s="122" t="s">
        <v>7960</v>
      </c>
      <c r="B3756" s="123">
        <v>1828791.0</v>
      </c>
      <c r="C3756" s="124" t="s">
        <v>7961</v>
      </c>
      <c r="D3756" s="125"/>
      <c r="E3756" s="126">
        <v>8.88</v>
      </c>
      <c r="F3756" s="127"/>
      <c r="G3756" s="127"/>
      <c r="H3756" s="127"/>
      <c r="I3756" s="128"/>
      <c r="K3756" s="55" t="s">
        <v>1034</v>
      </c>
      <c r="L3756" s="129">
        <v>5.56095355E8</v>
      </c>
      <c r="M3756" s="99">
        <f>IFERROR(__xludf.DUMMYFUNCTION("GOOGLEFINANCE(A3756,""beta"")"),1.07)</f>
        <v>1.07</v>
      </c>
    </row>
    <row r="3757">
      <c r="A3757" s="122" t="s">
        <v>7962</v>
      </c>
      <c r="B3757" s="123">
        <v>1437402.0</v>
      </c>
      <c r="C3757" s="124" t="s">
        <v>7963</v>
      </c>
      <c r="D3757" s="125"/>
      <c r="E3757" s="126">
        <v>8.89</v>
      </c>
      <c r="F3757" s="127"/>
      <c r="G3757" s="127"/>
      <c r="H3757" s="127"/>
      <c r="I3757" s="128"/>
      <c r="K3757" s="105" t="str">
        <f>IFERROR(__xludf.DUMMYFUNCTION("if(A3757="""","""",substitute(SUBSTITUTE(index(importhtml(""http://finviz.com/quote.ashx?t=""&amp;A3757,""table"",10),7,2),""*"",""""),""-"",""0.00""))"),"Loading...")</f>
        <v>Loading...</v>
      </c>
      <c r="L3757" s="129">
        <v>2.063703343E9</v>
      </c>
      <c r="M3757" s="99">
        <v>0.92</v>
      </c>
    </row>
    <row r="3758">
      <c r="A3758" s="122" t="s">
        <v>7964</v>
      </c>
      <c r="B3758" s="123">
        <v>1163609.0</v>
      </c>
      <c r="C3758" s="124" t="s">
        <v>7965</v>
      </c>
      <c r="D3758" s="125"/>
      <c r="E3758" s="126">
        <v>8.9</v>
      </c>
      <c r="F3758" s="127"/>
      <c r="G3758" s="127"/>
      <c r="H3758" s="127"/>
      <c r="I3758" s="128"/>
      <c r="K3758" s="105" t="str">
        <f>IFERROR(__xludf.DUMMYFUNCTION("if(A3758="""","""",substitute(SUBSTITUTE(index(importhtml(""http://finviz.com/quote.ashx?t=""&amp;A3758,""table"",10),7,2),""*"",""""),""-"",""0.00""))"),"Loading...")</f>
        <v>Loading...</v>
      </c>
      <c r="L3758" s="129">
        <v>2.706624E8</v>
      </c>
      <c r="M3758" s="99" t="str">
        <f>IFERROR(__xludf.DUMMYFUNCTION("GOOGLEFINANCE(A3758,""beta"")"),"#N/A")</f>
        <v>#N/A</v>
      </c>
    </row>
    <row r="3759">
      <c r="A3759" s="122" t="s">
        <v>7966</v>
      </c>
      <c r="B3759" s="123">
        <v>1583107.0</v>
      </c>
      <c r="C3759" s="124" t="s">
        <v>7967</v>
      </c>
      <c r="D3759" s="125"/>
      <c r="E3759" s="126">
        <v>8.9</v>
      </c>
      <c r="F3759" s="127"/>
      <c r="G3759" s="127"/>
      <c r="H3759" s="127"/>
      <c r="I3759" s="128"/>
      <c r="K3759" s="105" t="str">
        <f>IFERROR(__xludf.DUMMYFUNCTION("if(A3759="""","""",substitute(SUBSTITUTE(index(importhtml(""http://finviz.com/quote.ashx?t=""&amp;A3759,""table"",10),7,2),""*"",""""),""-"",""0.00""))"),"Loading...")</f>
        <v>Loading...</v>
      </c>
      <c r="L3759" s="129">
        <v>4.43200935E8</v>
      </c>
      <c r="M3759" s="99">
        <v>0.36</v>
      </c>
    </row>
    <row r="3760">
      <c r="A3760" s="122" t="s">
        <v>7968</v>
      </c>
      <c r="B3760" s="123">
        <v>1799290.0</v>
      </c>
      <c r="C3760" s="124" t="s">
        <v>7969</v>
      </c>
      <c r="D3760" s="125"/>
      <c r="E3760" s="126">
        <v>8.91</v>
      </c>
      <c r="F3760" s="127"/>
      <c r="G3760" s="127"/>
      <c r="H3760" s="127"/>
      <c r="I3760" s="128"/>
      <c r="K3760" s="105" t="str">
        <f>IFERROR(__xludf.DUMMYFUNCTION("if(A3760="""","""",substitute(SUBSTITUTE(index(importhtml(""http://finviz.com/quote.ashx?t=""&amp;A3760,""table"",10),7,2),""*"",""""),""-"",""0.00""))"),"Loading...")</f>
        <v>Loading...</v>
      </c>
      <c r="L3760" s="129">
        <v>5.5960278E7</v>
      </c>
      <c r="M3760" s="99">
        <v>1.73</v>
      </c>
    </row>
    <row r="3761">
      <c r="A3761" s="122" t="s">
        <v>7970</v>
      </c>
      <c r="B3761" s="123">
        <v>806628.0</v>
      </c>
      <c r="C3761" s="124" t="s">
        <v>7971</v>
      </c>
      <c r="D3761" s="125"/>
      <c r="E3761" s="126">
        <v>8.92</v>
      </c>
      <c r="F3761" s="127"/>
      <c r="G3761" s="127"/>
      <c r="H3761" s="127"/>
      <c r="I3761" s="128"/>
      <c r="K3761" s="55" t="s">
        <v>7972</v>
      </c>
      <c r="L3761" s="129">
        <v>3.238862731E9</v>
      </c>
      <c r="M3761" s="99">
        <v>0.47</v>
      </c>
    </row>
    <row r="3762">
      <c r="A3762" s="122" t="s">
        <v>7973</v>
      </c>
      <c r="B3762" s="123">
        <v>1515671.0</v>
      </c>
      <c r="C3762" s="124" t="s">
        <v>7974</v>
      </c>
      <c r="D3762" s="125"/>
      <c r="E3762" s="126">
        <v>8.92</v>
      </c>
      <c r="F3762" s="127"/>
      <c r="G3762" s="127"/>
      <c r="H3762" s="127"/>
      <c r="I3762" s="128"/>
      <c r="K3762" s="55" t="s">
        <v>7975</v>
      </c>
      <c r="L3762" s="129">
        <v>3.40581123E8</v>
      </c>
      <c r="M3762" s="99">
        <v>0.84</v>
      </c>
    </row>
    <row r="3763">
      <c r="A3763" s="122" t="s">
        <v>7976</v>
      </c>
      <c r="B3763" s="123">
        <v>1437071.0</v>
      </c>
      <c r="C3763" s="124" t="s">
        <v>7977</v>
      </c>
      <c r="D3763" s="125"/>
      <c r="E3763" s="126">
        <v>8.92</v>
      </c>
      <c r="F3763" s="127"/>
      <c r="G3763" s="127"/>
      <c r="H3763" s="127"/>
      <c r="I3763" s="128"/>
      <c r="K3763" s="105" t="str">
        <f>IFERROR(__xludf.DUMMYFUNCTION("if(A3763="""","""",substitute(SUBSTITUTE(index(importhtml(""http://finviz.com/quote.ashx?t=""&amp;A3763,""table"",10),7,2),""*"",""""),""-"",""0.00""))"),"Loading...")</f>
        <v>Loading...</v>
      </c>
      <c r="L3763" s="129">
        <v>4.32268734E8</v>
      </c>
      <c r="M3763" s="99">
        <v>2.01</v>
      </c>
    </row>
    <row r="3764">
      <c r="A3764" s="122" t="s">
        <v>7978</v>
      </c>
      <c r="B3764" s="123">
        <v>1413837.0</v>
      </c>
      <c r="C3764" s="124" t="s">
        <v>7979</v>
      </c>
      <c r="D3764" s="125"/>
      <c r="E3764" s="126">
        <v>8.92</v>
      </c>
      <c r="F3764" s="127"/>
      <c r="G3764" s="127"/>
      <c r="H3764" s="127"/>
      <c r="I3764" s="128"/>
      <c r="K3764" s="105" t="str">
        <f>IFERROR(__xludf.DUMMYFUNCTION("if(A3764="""","""",substitute(SUBSTITUTE(index(importhtml(""http://finviz.com/quote.ashx?t=""&amp;A3764,""table"",10),7,2),""*"",""""),""-"",""0.00""))"),"Loading...")</f>
        <v>Loading...</v>
      </c>
      <c r="L3764" s="129">
        <v>5.03478432E8</v>
      </c>
      <c r="M3764" s="99">
        <v>1.0</v>
      </c>
    </row>
    <row r="3765">
      <c r="A3765" s="122" t="s">
        <v>7980</v>
      </c>
      <c r="B3765" s="123">
        <v>1822492.0</v>
      </c>
      <c r="C3765" s="124" t="s">
        <v>7981</v>
      </c>
      <c r="D3765" s="125"/>
      <c r="E3765" s="126">
        <v>8.92</v>
      </c>
      <c r="F3765" s="127"/>
      <c r="G3765" s="127"/>
      <c r="H3765" s="127"/>
      <c r="I3765" s="128"/>
      <c r="K3765" s="105" t="str">
        <f>IFERROR(__xludf.DUMMYFUNCTION("if(A3765="""","""",substitute(SUBSTITUTE(index(importhtml(""http://finviz.com/quote.ashx?t=""&amp;A3765,""table"",10),7,2),""*"",""""),""-"",""0.00""))"),"Loading...")</f>
        <v>Loading...</v>
      </c>
      <c r="L3765" s="129">
        <v>1.738533882E9</v>
      </c>
      <c r="M3765" s="99">
        <v>1.68</v>
      </c>
    </row>
    <row r="3766">
      <c r="A3766" s="122" t="s">
        <v>7982</v>
      </c>
      <c r="B3766" s="123">
        <v>1825155.0</v>
      </c>
      <c r="C3766" s="124" t="s">
        <v>7983</v>
      </c>
      <c r="D3766" s="125"/>
      <c r="E3766" s="126">
        <v>8.93</v>
      </c>
      <c r="F3766" s="127"/>
      <c r="G3766" s="127"/>
      <c r="H3766" s="127"/>
      <c r="I3766" s="128"/>
      <c r="K3766" s="105" t="str">
        <f>IFERROR(__xludf.DUMMYFUNCTION("if(A3766="""","""",substitute(SUBSTITUTE(index(importhtml(""http://finviz.com/quote.ashx?t=""&amp;A3766,""table"",10),7,2),""*"",""""),""-"",""0.00""))"),"Loading...")</f>
        <v>Loading...</v>
      </c>
      <c r="L3766" s="129">
        <v>3.693416876E9</v>
      </c>
      <c r="M3766" s="99" t="str">
        <f>IFERROR(__xludf.DUMMYFUNCTION("GOOGLEFINANCE(A3766,""beta"")"),"#N/A")</f>
        <v>#N/A</v>
      </c>
    </row>
    <row r="3767">
      <c r="A3767" s="122" t="s">
        <v>7984</v>
      </c>
      <c r="B3767" s="123">
        <v>1279014.0</v>
      </c>
      <c r="C3767" s="124" t="s">
        <v>7985</v>
      </c>
      <c r="D3767" s="125"/>
      <c r="E3767" s="126">
        <v>8.94</v>
      </c>
      <c r="F3767" s="127"/>
      <c r="G3767" s="127"/>
      <c r="H3767" s="127"/>
      <c r="I3767" s="128"/>
      <c r="K3767" s="55" t="s">
        <v>7986</v>
      </c>
      <c r="L3767" s="129">
        <v>8.3072764E7</v>
      </c>
      <c r="M3767" s="99">
        <v>0.88</v>
      </c>
    </row>
    <row r="3768">
      <c r="A3768" s="122" t="s">
        <v>7987</v>
      </c>
      <c r="B3768" s="123">
        <v>1723690.0</v>
      </c>
      <c r="C3768" s="124" t="s">
        <v>7988</v>
      </c>
      <c r="D3768" s="125"/>
      <c r="E3768" s="126">
        <v>8.94</v>
      </c>
      <c r="F3768" s="127"/>
      <c r="G3768" s="127"/>
      <c r="H3768" s="127"/>
      <c r="I3768" s="128"/>
      <c r="K3768" s="105" t="str">
        <f>IFERROR(__xludf.DUMMYFUNCTION("if(A3768="""","""",substitute(SUBSTITUTE(index(importhtml(""http://finviz.com/quote.ashx?t=""&amp;A3768,""table"",10),7,2),""*"",""""),""-"",""0.00""))"),"Loading...")</f>
        <v>Loading...</v>
      </c>
      <c r="L3768" s="129">
        <v>4.433094577E9</v>
      </c>
      <c r="M3768" s="99">
        <v>0.97</v>
      </c>
    </row>
    <row r="3769">
      <c r="A3769" s="122" t="s">
        <v>7989</v>
      </c>
      <c r="B3769" s="123">
        <v>1725293.0</v>
      </c>
      <c r="C3769" s="124" t="s">
        <v>7990</v>
      </c>
      <c r="D3769" s="125"/>
      <c r="E3769" s="126">
        <v>8.97</v>
      </c>
      <c r="F3769" s="127"/>
      <c r="G3769" s="127"/>
      <c r="H3769" s="127"/>
      <c r="I3769" s="128"/>
      <c r="K3769" s="105" t="str">
        <f>IFERROR(__xludf.DUMMYFUNCTION("if(A3769="""","""",substitute(SUBSTITUTE(index(importhtml(""http://finviz.com/quote.ashx?t=""&amp;A3769,""table"",10),7,2),""*"",""""),""-"",""0.00""))"),"Loading...")</f>
        <v>Loading...</v>
      </c>
      <c r="L3769" s="129">
        <v>1.76481227E8</v>
      </c>
      <c r="M3769" s="99">
        <v>0.65</v>
      </c>
    </row>
    <row r="3770">
      <c r="A3770" s="122" t="s">
        <v>7991</v>
      </c>
      <c r="B3770" s="123">
        <v>1537054.0</v>
      </c>
      <c r="C3770" s="124" t="s">
        <v>7992</v>
      </c>
      <c r="D3770" s="125"/>
      <c r="E3770" s="126">
        <v>8.97</v>
      </c>
      <c r="F3770" s="127"/>
      <c r="G3770" s="127"/>
      <c r="H3770" s="127"/>
      <c r="I3770" s="128"/>
      <c r="K3770" s="105" t="str">
        <f>IFERROR(__xludf.DUMMYFUNCTION("if(A3770="""","""",substitute(SUBSTITUTE(index(importhtml(""http://finviz.com/quote.ashx?t=""&amp;A3770,""table"",10),7,2),""*"",""""),""-"",""0.00""))"),"Loading...")</f>
        <v>Loading...</v>
      </c>
      <c r="L3770" s="129">
        <v>1.191782025E9</v>
      </c>
      <c r="M3770" s="99">
        <v>1.12</v>
      </c>
    </row>
    <row r="3771">
      <c r="A3771" s="122" t="s">
        <v>7993</v>
      </c>
      <c r="B3771" s="123">
        <v>850027.0</v>
      </c>
      <c r="C3771" s="124" t="s">
        <v>7994</v>
      </c>
      <c r="D3771" s="125"/>
      <c r="E3771" s="126">
        <v>8.99</v>
      </c>
      <c r="F3771" s="127"/>
      <c r="G3771" s="127"/>
      <c r="H3771" s="127"/>
      <c r="I3771" s="128"/>
      <c r="K3771" s="55" t="s">
        <v>1034</v>
      </c>
      <c r="L3771" s="129">
        <v>3.5670835E7</v>
      </c>
      <c r="M3771" s="99">
        <v>0.54</v>
      </c>
    </row>
    <row r="3772">
      <c r="A3772" s="122" t="s">
        <v>7995</v>
      </c>
      <c r="B3772" s="123">
        <v>1844971.0</v>
      </c>
      <c r="C3772" s="124" t="s">
        <v>7996</v>
      </c>
      <c r="D3772" s="125"/>
      <c r="E3772" s="126">
        <v>9.0</v>
      </c>
      <c r="F3772" s="127"/>
      <c r="G3772" s="127"/>
      <c r="H3772" s="127"/>
      <c r="I3772" s="128"/>
      <c r="K3772" s="105" t="str">
        <f>IFERROR(__xludf.DUMMYFUNCTION("if(A3772="""","""",substitute(SUBSTITUTE(index(importhtml(""http://finviz.com/quote.ashx?t=""&amp;A3772,""table"",10),7,2),""*"",""""),""-"",""0.00""))"),"Loading...")</f>
        <v>Loading...</v>
      </c>
      <c r="L3772" s="129">
        <v>2.4952139E7</v>
      </c>
      <c r="M3772" s="99">
        <f>IFERROR(__xludf.DUMMYFUNCTION("GOOGLEFINANCE(A3772,""beta"")"),2.19)</f>
        <v>2.19</v>
      </c>
    </row>
    <row r="3773">
      <c r="A3773" s="122" t="s">
        <v>7997</v>
      </c>
      <c r="B3773" s="123">
        <v>818851.0</v>
      </c>
      <c r="C3773" s="124" t="s">
        <v>7998</v>
      </c>
      <c r="D3773" s="125"/>
      <c r="E3773" s="126">
        <v>9.0</v>
      </c>
      <c r="F3773" s="127"/>
      <c r="G3773" s="127"/>
      <c r="H3773" s="127"/>
      <c r="I3773" s="128"/>
      <c r="K3773" s="105" t="str">
        <f>IFERROR(__xludf.DUMMYFUNCTION("if(A3773="""","""",substitute(SUBSTITUTE(index(importhtml(""http://finviz.com/quote.ashx?t=""&amp;A3773,""table"",10),7,2),""*"",""""),""-"",""0.00""))"),"Loading...")</f>
        <v>Loading...</v>
      </c>
      <c r="L3773" s="129">
        <v>2.9780946E8</v>
      </c>
      <c r="M3773" s="99">
        <v>0.31</v>
      </c>
    </row>
    <row r="3774">
      <c r="A3774" s="122" t="s">
        <v>7999</v>
      </c>
      <c r="B3774" s="123">
        <v>1812364.0</v>
      </c>
      <c r="C3774" s="124" t="s">
        <v>8000</v>
      </c>
      <c r="D3774" s="125"/>
      <c r="E3774" s="126">
        <v>9.0</v>
      </c>
      <c r="F3774" s="127"/>
      <c r="G3774" s="127"/>
      <c r="H3774" s="127"/>
      <c r="I3774" s="128"/>
      <c r="K3774" s="105" t="str">
        <f>IFERROR(__xludf.DUMMYFUNCTION("if(A3774="""","""",substitute(SUBSTITUTE(index(importhtml(""http://finviz.com/quote.ashx?t=""&amp;A3774,""table"",10),7,2),""*"",""""),""-"",""0.00""))"),"Loading...")</f>
        <v>Loading...</v>
      </c>
      <c r="L3774" s="129">
        <v>1.1471607E9</v>
      </c>
      <c r="M3774" s="99">
        <v>1.65</v>
      </c>
    </row>
    <row r="3775">
      <c r="A3775" s="122" t="s">
        <v>8001</v>
      </c>
      <c r="B3775" s="123">
        <v>1712184.0</v>
      </c>
      <c r="C3775" s="124" t="s">
        <v>8002</v>
      </c>
      <c r="D3775" s="125"/>
      <c r="E3775" s="126">
        <v>9.0</v>
      </c>
      <c r="F3775" s="127"/>
      <c r="G3775" s="127"/>
      <c r="H3775" s="127"/>
      <c r="I3775" s="128"/>
      <c r="K3775" s="105" t="str">
        <f>IFERROR(__xludf.DUMMYFUNCTION("if(A3775="""","""",substitute(SUBSTITUTE(index(importhtml(""http://finviz.com/quote.ashx?t=""&amp;A3775,""table"",10),7,2),""*"",""""),""-"",""0.00""))"),"Loading...")</f>
        <v>Loading...</v>
      </c>
      <c r="L3775" s="129">
        <v>1.432786459E9</v>
      </c>
      <c r="M3775" s="99">
        <f>IFERROR(__xludf.DUMMYFUNCTION("GOOGLEFINANCE(A3775,""beta"")"),1897.22)</f>
        <v>1897.22</v>
      </c>
    </row>
    <row r="3776">
      <c r="A3776" s="122" t="s">
        <v>8003</v>
      </c>
      <c r="B3776" s="123">
        <v>839533.0</v>
      </c>
      <c r="C3776" s="124" t="s">
        <v>8004</v>
      </c>
      <c r="D3776" s="125"/>
      <c r="E3776" s="126">
        <v>9.01</v>
      </c>
      <c r="F3776" s="127"/>
      <c r="G3776" s="127"/>
      <c r="H3776" s="127"/>
      <c r="I3776" s="128"/>
      <c r="K3776" s="105" t="str">
        <f>IFERROR(__xludf.DUMMYFUNCTION("if(A3776="""","""",substitute(SUBSTITUTE(index(importhtml(""http://finviz.com/quote.ashx?t=""&amp;A3776,""table"",10),7,2),""*"",""""),""-"",""0.00""))"),"Loading...")</f>
        <v>Loading...</v>
      </c>
      <c r="L3776" s="129">
        <v>3.52947207E8</v>
      </c>
      <c r="M3776" s="99">
        <v>0.44</v>
      </c>
    </row>
    <row r="3777">
      <c r="A3777" s="122" t="s">
        <v>8005</v>
      </c>
      <c r="B3777" s="123">
        <v>1784440.0</v>
      </c>
      <c r="C3777" s="124" t="s">
        <v>8006</v>
      </c>
      <c r="D3777" s="125"/>
      <c r="E3777" s="126">
        <v>9.01</v>
      </c>
      <c r="F3777" s="127"/>
      <c r="G3777" s="127"/>
      <c r="H3777" s="127"/>
      <c r="I3777" s="128"/>
      <c r="K3777" s="105" t="str">
        <f>IFERROR(__xludf.DUMMYFUNCTION("if(A3777="""","""",substitute(SUBSTITUTE(index(importhtml(""http://finviz.com/quote.ashx?t=""&amp;A3777,""table"",10),7,2),""*"",""""),""-"",""0.00""))"),"Loading...")</f>
        <v>Loading...</v>
      </c>
      <c r="L3777" s="129">
        <v>3.675413E8</v>
      </c>
      <c r="M3777" s="99">
        <v>-2.96</v>
      </c>
    </row>
    <row r="3778">
      <c r="A3778" s="122" t="s">
        <v>8007</v>
      </c>
      <c r="B3778" s="123">
        <v>912147.0</v>
      </c>
      <c r="C3778" s="124" t="s">
        <v>8008</v>
      </c>
      <c r="D3778" s="125"/>
      <c r="E3778" s="126">
        <v>9.01</v>
      </c>
      <c r="F3778" s="127"/>
      <c r="G3778" s="127"/>
      <c r="H3778" s="127"/>
      <c r="I3778" s="128"/>
      <c r="K3778" s="105" t="str">
        <f>IFERROR(__xludf.DUMMYFUNCTION("if(A3778="""","""",substitute(SUBSTITUTE(index(importhtml(""http://finviz.com/quote.ashx?t=""&amp;A3778,""table"",10),7,2),""*"",""""),""-"",""0.00""))"),"Loading...")</f>
        <v>Loading...</v>
      </c>
      <c r="L3778" s="129">
        <v>4.38259475E8</v>
      </c>
      <c r="M3778" s="99">
        <v>1.17</v>
      </c>
    </row>
    <row r="3779">
      <c r="A3779" s="122" t="s">
        <v>8009</v>
      </c>
      <c r="B3779" s="123">
        <v>1124804.0</v>
      </c>
      <c r="C3779" s="124" t="s">
        <v>8010</v>
      </c>
      <c r="D3779" s="125"/>
      <c r="E3779" s="126">
        <v>9.01</v>
      </c>
      <c r="F3779" s="127"/>
      <c r="G3779" s="127"/>
      <c r="H3779" s="127"/>
      <c r="I3779" s="128"/>
      <c r="K3779" s="105" t="str">
        <f>IFERROR(__xludf.DUMMYFUNCTION("if(A3779="""","""",substitute(SUBSTITUTE(index(importhtml(""http://finviz.com/quote.ashx?t=""&amp;A3779,""table"",10),7,2),""*"",""""),""-"",""0.00""))"),"Loading...")</f>
        <v>Loading...</v>
      </c>
      <c r="L3779" s="129">
        <v>9.84429922E8</v>
      </c>
      <c r="M3779" s="99">
        <v>0.7</v>
      </c>
    </row>
    <row r="3780">
      <c r="A3780" s="122" t="s">
        <v>8011</v>
      </c>
      <c r="B3780" s="123">
        <v>1056358.0</v>
      </c>
      <c r="C3780" s="124" t="s">
        <v>8012</v>
      </c>
      <c r="D3780" s="125"/>
      <c r="E3780" s="126">
        <v>9.02</v>
      </c>
      <c r="F3780" s="127"/>
      <c r="G3780" s="127"/>
      <c r="H3780" s="127"/>
      <c r="I3780" s="128"/>
      <c r="K3780" s="105" t="str">
        <f>IFERROR(__xludf.DUMMYFUNCTION("if(A3780="""","""",substitute(SUBSTITUTE(index(importhtml(""http://finviz.com/quote.ashx?t=""&amp;A3780,""table"",10),7,2),""*"",""""),""-"",""0.00""))"),"Loading...")</f>
        <v>Loading...</v>
      </c>
      <c r="L3780" s="129" t="e">
        <v>#N/A</v>
      </c>
      <c r="M3780" s="99">
        <f>IFERROR(__xludf.DUMMYFUNCTION("GOOGLEFINANCE(A3780,""beta"")"),0.88)</f>
        <v>0.88</v>
      </c>
    </row>
    <row r="3781">
      <c r="A3781" s="122" t="s">
        <v>8013</v>
      </c>
      <c r="B3781" s="123">
        <v>866273.0</v>
      </c>
      <c r="C3781" s="124" t="s">
        <v>8014</v>
      </c>
      <c r="D3781" s="125"/>
      <c r="E3781" s="126">
        <v>9.03</v>
      </c>
      <c r="F3781" s="127"/>
      <c r="G3781" s="127"/>
      <c r="H3781" s="127"/>
      <c r="I3781" s="128"/>
      <c r="K3781" s="105" t="str">
        <f>IFERROR(__xludf.DUMMYFUNCTION("if(A3781="""","""",substitute(SUBSTITUTE(index(importhtml(""http://finviz.com/quote.ashx?t=""&amp;A3781,""table"",10),7,2),""*"",""""),""-"",""0.00""))"),"Loading...")</f>
        <v>Loading...</v>
      </c>
      <c r="L3781" s="129">
        <v>2.45739703E8</v>
      </c>
      <c r="M3781" s="99">
        <v>1.16</v>
      </c>
    </row>
    <row r="3782">
      <c r="A3782" s="122" t="s">
        <v>8015</v>
      </c>
      <c r="B3782" s="123">
        <v>1409970.0</v>
      </c>
      <c r="C3782" s="124" t="s">
        <v>8016</v>
      </c>
      <c r="D3782" s="125"/>
      <c r="E3782" s="126">
        <v>9.04</v>
      </c>
      <c r="F3782" s="127"/>
      <c r="G3782" s="127"/>
      <c r="H3782" s="127"/>
      <c r="I3782" s="128"/>
      <c r="K3782" s="55" t="s">
        <v>1034</v>
      </c>
      <c r="L3782" s="129">
        <v>9.98110915E8</v>
      </c>
      <c r="M3782" s="99">
        <v>2.01</v>
      </c>
    </row>
    <row r="3783">
      <c r="A3783" s="122" t="s">
        <v>8017</v>
      </c>
      <c r="B3783" s="123">
        <v>1227862.0</v>
      </c>
      <c r="C3783" s="124" t="s">
        <v>8018</v>
      </c>
      <c r="D3783" s="125"/>
      <c r="E3783" s="126">
        <v>9.04</v>
      </c>
      <c r="F3783" s="127"/>
      <c r="G3783" s="127"/>
      <c r="H3783" s="127"/>
      <c r="I3783" s="128"/>
      <c r="K3783" s="55" t="s">
        <v>8019</v>
      </c>
      <c r="L3783" s="129">
        <v>5.36909824E8</v>
      </c>
      <c r="M3783" s="99">
        <v>0.88</v>
      </c>
    </row>
    <row r="3784">
      <c r="A3784" s="122" t="s">
        <v>8020</v>
      </c>
      <c r="B3784" s="123">
        <v>1577552.0</v>
      </c>
      <c r="C3784" s="124" t="s">
        <v>8021</v>
      </c>
      <c r="D3784" s="125"/>
      <c r="E3784" s="126">
        <v>9.04</v>
      </c>
      <c r="F3784" s="127"/>
      <c r="G3784" s="127"/>
      <c r="H3784" s="127"/>
      <c r="I3784" s="128"/>
      <c r="K3784" s="105" t="str">
        <f>IFERROR(__xludf.DUMMYFUNCTION("if(A3784="""","""",substitute(SUBSTITUTE(index(importhtml(""http://finviz.com/quote.ashx?t=""&amp;A3784,""table"",10),7,2),""*"",""""),""-"",""0.00""))"),"Loading...")</f>
        <v>Loading...</v>
      </c>
      <c r="L3784" s="129">
        <v>1.82744938669E11</v>
      </c>
      <c r="M3784" s="99">
        <v>0.25</v>
      </c>
    </row>
    <row r="3785">
      <c r="A3785" s="122" t="s">
        <v>8022</v>
      </c>
      <c r="B3785" s="123">
        <v>1839799.0</v>
      </c>
      <c r="C3785" s="124" t="s">
        <v>8023</v>
      </c>
      <c r="D3785" s="125"/>
      <c r="E3785" s="126">
        <v>9.05</v>
      </c>
      <c r="F3785" s="127"/>
      <c r="G3785" s="127"/>
      <c r="H3785" s="127"/>
      <c r="I3785" s="128"/>
      <c r="K3785" s="105" t="str">
        <f>IFERROR(__xludf.DUMMYFUNCTION("if(A3785="""","""",substitute(SUBSTITUTE(index(importhtml(""http://finviz.com/quote.ashx?t=""&amp;A3785,""table"",10),7,2),""*"",""""),""-"",""0.00""))"),"Loading...")</f>
        <v>Loading...</v>
      </c>
      <c r="L3785" s="129">
        <v>3.39495734E8</v>
      </c>
      <c r="M3785" s="99">
        <f>IFERROR(__xludf.DUMMYFUNCTION("GOOGLEFINANCE(A3785,""beta"")"),0.85)</f>
        <v>0.85</v>
      </c>
    </row>
    <row r="3786">
      <c r="A3786" s="122" t="s">
        <v>8024</v>
      </c>
      <c r="B3786" s="123">
        <v>1736946.0</v>
      </c>
      <c r="C3786" s="124" t="s">
        <v>8025</v>
      </c>
      <c r="D3786" s="125"/>
      <c r="E3786" s="126">
        <v>9.05</v>
      </c>
      <c r="F3786" s="127"/>
      <c r="G3786" s="127"/>
      <c r="H3786" s="127"/>
      <c r="I3786" s="128"/>
      <c r="K3786" s="105" t="str">
        <f>IFERROR(__xludf.DUMMYFUNCTION("if(A3786="""","""",substitute(SUBSTITUTE(index(importhtml(""http://finviz.com/quote.ashx?t=""&amp;A3786,""table"",10),7,2),""*"",""""),""-"",""0.00""))"),"Loading...")</f>
        <v>Loading...</v>
      </c>
      <c r="L3786" s="129">
        <v>8.56388848E8</v>
      </c>
      <c r="M3786" s="99">
        <v>1.77</v>
      </c>
    </row>
    <row r="3787">
      <c r="A3787" s="122" t="s">
        <v>8026</v>
      </c>
      <c r="B3787" s="123">
        <v>1378239.0</v>
      </c>
      <c r="C3787" s="124" t="s">
        <v>8027</v>
      </c>
      <c r="D3787" s="125"/>
      <c r="E3787" s="126">
        <v>9.05</v>
      </c>
      <c r="F3787" s="127"/>
      <c r="G3787" s="127"/>
      <c r="H3787" s="127"/>
      <c r="I3787" s="128"/>
      <c r="K3787" s="105" t="str">
        <f>IFERROR(__xludf.DUMMYFUNCTION("if(A3787="""","""",substitute(SUBSTITUTE(index(importhtml(""http://finviz.com/quote.ashx?t=""&amp;A3787,""table"",10),7,2),""*"",""""),""-"",""0.00""))"),"Loading...")</f>
        <v>Loading...</v>
      </c>
      <c r="L3787" s="129">
        <v>3.230688521E9</v>
      </c>
      <c r="M3787" s="99" t="str">
        <f>IFERROR(__xludf.DUMMYFUNCTION("GOOGLEFINANCE(A3787,""beta"")"),"#N/A")</f>
        <v>#N/A</v>
      </c>
    </row>
    <row r="3788">
      <c r="A3788" s="122" t="s">
        <v>8028</v>
      </c>
      <c r="B3788" s="123">
        <v>1748790.0</v>
      </c>
      <c r="C3788" s="124" t="s">
        <v>8029</v>
      </c>
      <c r="D3788" s="125"/>
      <c r="E3788" s="126">
        <v>9.05</v>
      </c>
      <c r="F3788" s="127"/>
      <c r="G3788" s="127"/>
      <c r="H3788" s="127"/>
      <c r="I3788" s="128"/>
      <c r="K3788" s="105" t="str">
        <f>IFERROR(__xludf.DUMMYFUNCTION("if(A3788="""","""",substitute(SUBSTITUTE(index(importhtml(""http://finviz.com/quote.ashx?t=""&amp;A3788,""table"",10),7,2),""*"",""""),""-"",""0.00""))"),"Loading...")</f>
        <v>Loading...</v>
      </c>
      <c r="L3788" s="129">
        <v>1.3571771266E10</v>
      </c>
      <c r="M3788" s="99">
        <f>IFERROR(__xludf.DUMMYFUNCTION("GOOGLEFINANCE(A3788,""beta"")"),0.84)</f>
        <v>0.84</v>
      </c>
    </row>
    <row r="3789">
      <c r="A3789" s="122" t="s">
        <v>8030</v>
      </c>
      <c r="B3789" s="123">
        <v>1531740.0</v>
      </c>
      <c r="C3789" s="124" t="s">
        <v>8031</v>
      </c>
      <c r="D3789" s="125"/>
      <c r="E3789" s="126">
        <v>9.05</v>
      </c>
      <c r="F3789" s="127"/>
      <c r="G3789" s="127"/>
      <c r="H3789" s="127"/>
      <c r="I3789" s="128"/>
      <c r="K3789" s="105" t="str">
        <f>IFERROR(__xludf.DUMMYFUNCTION("if(A3789="""","""",substitute(SUBSTITUTE(index(importhtml(""http://finviz.com/quote.ashx?t=""&amp;A3789,""table"",10),7,2),""*"",""""),""-"",""0.00""))"),"Loading...")</f>
        <v>Loading...</v>
      </c>
      <c r="L3789" s="129">
        <v>1.747864E11</v>
      </c>
      <c r="M3789" s="99">
        <v>-0.02</v>
      </c>
    </row>
    <row r="3790">
      <c r="A3790" s="122" t="s">
        <v>8032</v>
      </c>
      <c r="B3790" s="123">
        <v>1286405.0</v>
      </c>
      <c r="C3790" s="124" t="s">
        <v>8033</v>
      </c>
      <c r="D3790" s="125"/>
      <c r="E3790" s="126">
        <v>9.05</v>
      </c>
      <c r="F3790" s="127"/>
      <c r="G3790" s="127"/>
      <c r="H3790" s="127"/>
      <c r="I3790" s="128"/>
      <c r="K3790" s="105" t="str">
        <f>IFERROR(__xludf.DUMMYFUNCTION("if(A3790="""","""",substitute(SUBSTITUTE(index(importhtml(""http://finviz.com/quote.ashx?t=""&amp;A3790,""table"",10),7,2),""*"",""""),""-"",""0.00""))"),"Loading...")</f>
        <v>Loading...</v>
      </c>
      <c r="L3790" s="129" t="e">
        <v>#N/A</v>
      </c>
      <c r="M3790" s="99">
        <v>0.29</v>
      </c>
    </row>
    <row r="3791">
      <c r="A3791" s="122" t="s">
        <v>8034</v>
      </c>
      <c r="B3791" s="123">
        <v>845379.0</v>
      </c>
      <c r="C3791" s="124" t="s">
        <v>8035</v>
      </c>
      <c r="D3791" s="125"/>
      <c r="E3791" s="126">
        <v>9.06</v>
      </c>
      <c r="F3791" s="127"/>
      <c r="G3791" s="127"/>
      <c r="H3791" s="127"/>
      <c r="I3791" s="128"/>
      <c r="K3791" s="55" t="s">
        <v>4180</v>
      </c>
      <c r="L3791" s="129">
        <v>9.1660205E7</v>
      </c>
      <c r="M3791" s="99">
        <v>0.56</v>
      </c>
    </row>
    <row r="3792">
      <c r="A3792" s="122" t="s">
        <v>8036</v>
      </c>
      <c r="B3792" s="123">
        <v>1809104.0</v>
      </c>
      <c r="C3792" s="124" t="s">
        <v>8037</v>
      </c>
      <c r="D3792" s="125"/>
      <c r="E3792" s="126">
        <v>9.07</v>
      </c>
      <c r="F3792" s="127"/>
      <c r="G3792" s="127"/>
      <c r="H3792" s="127"/>
      <c r="I3792" s="128"/>
      <c r="K3792" s="105" t="str">
        <f>IFERROR(__xludf.DUMMYFUNCTION("if(A3792="""","""",substitute(SUBSTITUTE(index(importhtml(""http://finviz.com/quote.ashx?t=""&amp;A3792,""table"",10),7,2),""*"",""""),""-"",""0.00""))"),"Loading...")</f>
        <v>Loading...</v>
      </c>
      <c r="L3792" s="129">
        <v>5.015558362E9</v>
      </c>
      <c r="M3792" s="99">
        <v>0.92</v>
      </c>
    </row>
    <row r="3793">
      <c r="A3793" s="122" t="s">
        <v>8038</v>
      </c>
      <c r="B3793" s="123">
        <v>1652362.0</v>
      </c>
      <c r="C3793" s="124" t="s">
        <v>8039</v>
      </c>
      <c r="D3793" s="125"/>
      <c r="E3793" s="126">
        <v>9.07</v>
      </c>
      <c r="F3793" s="127"/>
      <c r="G3793" s="127"/>
      <c r="H3793" s="127"/>
      <c r="I3793" s="128"/>
      <c r="K3793" s="105" t="str">
        <f>IFERROR(__xludf.DUMMYFUNCTION("if(A3793="""","""",substitute(SUBSTITUTE(index(importhtml(""http://finviz.com/quote.ashx?t=""&amp;A3793,""table"",10),7,2),""*"",""""),""-"",""0.00""))"),"Loading...")</f>
        <v>Loading...</v>
      </c>
      <c r="L3793" s="129">
        <v>1.074884492E10</v>
      </c>
      <c r="M3793" s="99" t="str">
        <f>IFERROR(__xludf.DUMMYFUNCTION("GOOGLEFINANCE(A3793,""beta"")"),"#N/A")</f>
        <v>#N/A</v>
      </c>
    </row>
    <row r="3794">
      <c r="A3794" s="122" t="s">
        <v>8040</v>
      </c>
      <c r="B3794" s="123">
        <v>1799567.0</v>
      </c>
      <c r="C3794" s="124" t="s">
        <v>8041</v>
      </c>
      <c r="D3794" s="125"/>
      <c r="E3794" s="126">
        <v>9.1</v>
      </c>
      <c r="F3794" s="127"/>
      <c r="G3794" s="127"/>
      <c r="H3794" s="127"/>
      <c r="I3794" s="128"/>
      <c r="K3794" s="55" t="s">
        <v>1034</v>
      </c>
      <c r="L3794" s="129">
        <v>4.50936322E8</v>
      </c>
      <c r="M3794" s="99">
        <f>IFERROR(__xludf.DUMMYFUNCTION("GOOGLEFINANCE(A3794,""beta"")"),0.85)</f>
        <v>0.85</v>
      </c>
    </row>
    <row r="3795">
      <c r="A3795" s="122" t="s">
        <v>8042</v>
      </c>
      <c r="B3795" s="123">
        <v>1512499.0</v>
      </c>
      <c r="C3795" s="124" t="s">
        <v>8043</v>
      </c>
      <c r="D3795" s="125"/>
      <c r="E3795" s="126">
        <v>9.1</v>
      </c>
      <c r="F3795" s="127"/>
      <c r="G3795" s="127"/>
      <c r="H3795" s="127"/>
      <c r="I3795" s="128"/>
      <c r="K3795" s="105" t="str">
        <f>IFERROR(__xludf.DUMMYFUNCTION("if(A3795="""","""",substitute(SUBSTITUTE(index(importhtml(""http://finviz.com/quote.ashx?t=""&amp;A3795,""table"",10),7,2),""*"",""""),""-"",""0.00""))"),"Loading...")</f>
        <v>Loading...</v>
      </c>
      <c r="L3795" s="129">
        <v>4.85833277E8</v>
      </c>
      <c r="M3795" s="99">
        <v>2.89</v>
      </c>
    </row>
    <row r="3796">
      <c r="A3796" s="122" t="s">
        <v>8044</v>
      </c>
      <c r="B3796" s="123">
        <v>1589061.0</v>
      </c>
      <c r="C3796" s="124" t="s">
        <v>8045</v>
      </c>
      <c r="D3796" s="125"/>
      <c r="E3796" s="126">
        <v>9.12</v>
      </c>
      <c r="F3796" s="127"/>
      <c r="G3796" s="127"/>
      <c r="H3796" s="127"/>
      <c r="I3796" s="128"/>
      <c r="K3796" s="105" t="str">
        <f>IFERROR(__xludf.DUMMYFUNCTION("if(A3796="""","""",substitute(SUBSTITUTE(index(importhtml(""http://finviz.com/quote.ashx?t=""&amp;A3796,""table"",10),7,2),""*"",""""),""-"",""0.00""))"),"Loading...")</f>
        <v>Loading...</v>
      </c>
      <c r="L3796" s="129">
        <v>1.4365344E7</v>
      </c>
      <c r="M3796" s="99">
        <v>0.34</v>
      </c>
    </row>
    <row r="3797">
      <c r="A3797" s="122" t="s">
        <v>8046</v>
      </c>
      <c r="B3797" s="123">
        <v>1828105.0</v>
      </c>
      <c r="C3797" s="124" t="s">
        <v>8047</v>
      </c>
      <c r="D3797" s="125"/>
      <c r="E3797" s="126">
        <v>9.13</v>
      </c>
      <c r="F3797" s="127"/>
      <c r="G3797" s="127"/>
      <c r="H3797" s="127"/>
      <c r="I3797" s="128"/>
      <c r="K3797" s="105" t="str">
        <f>IFERROR(__xludf.DUMMYFUNCTION("if(A3797="""","""",substitute(SUBSTITUTE(index(importhtml(""http://finviz.com/quote.ashx?t=""&amp;A3797,""table"",10),7,2),""*"",""""),""-"",""0.00""))"),"Loading...")</f>
        <v>Loading...</v>
      </c>
      <c r="L3797" s="129">
        <v>2.18090412E8</v>
      </c>
      <c r="M3797" s="99">
        <v>1.25</v>
      </c>
    </row>
    <row r="3798">
      <c r="A3798" s="122" t="s">
        <v>8048</v>
      </c>
      <c r="B3798" s="123">
        <v>1625101.0</v>
      </c>
      <c r="C3798" s="124" t="s">
        <v>8049</v>
      </c>
      <c r="D3798" s="125"/>
      <c r="E3798" s="126">
        <v>9.13</v>
      </c>
      <c r="F3798" s="127"/>
      <c r="G3798" s="127"/>
      <c r="H3798" s="127"/>
      <c r="I3798" s="128"/>
      <c r="K3798" s="105" t="str">
        <f>IFERROR(__xludf.DUMMYFUNCTION("if(A3798="""","""",substitute(SUBSTITUTE(index(importhtml(""http://finviz.com/quote.ashx?t=""&amp;A3798,""table"",10),7,2),""*"",""""),""-"",""0.00""))"),"Loading...")</f>
        <v>Loading...</v>
      </c>
      <c r="L3798" s="129">
        <v>5.02885153E8</v>
      </c>
      <c r="M3798" s="99">
        <v>1.72</v>
      </c>
    </row>
    <row r="3799">
      <c r="A3799" s="122" t="s">
        <v>8050</v>
      </c>
      <c r="B3799" s="123">
        <v>1455633.0</v>
      </c>
      <c r="C3799" s="124" t="s">
        <v>8051</v>
      </c>
      <c r="D3799" s="125"/>
      <c r="E3799" s="126">
        <v>9.13</v>
      </c>
      <c r="F3799" s="127"/>
      <c r="G3799" s="127"/>
      <c r="H3799" s="127"/>
      <c r="I3799" s="128"/>
      <c r="K3799" s="105" t="str">
        <f>IFERROR(__xludf.DUMMYFUNCTION("if(A3799="""","""",substitute(SUBSTITUTE(index(importhtml(""http://finviz.com/quote.ashx?t=""&amp;A3799,""table"",10),7,2),""*"",""""),""-"",""0.00""))"),"Loading...")</f>
        <v>Loading...</v>
      </c>
      <c r="L3799" s="129">
        <v>1.983500155E9</v>
      </c>
      <c r="M3799" s="99">
        <v>0.49</v>
      </c>
    </row>
    <row r="3800">
      <c r="A3800" s="122" t="s">
        <v>8052</v>
      </c>
      <c r="B3800" s="123">
        <v>884144.0</v>
      </c>
      <c r="C3800" s="124" t="s">
        <v>8053</v>
      </c>
      <c r="D3800" s="125"/>
      <c r="E3800" s="126">
        <v>9.14</v>
      </c>
      <c r="F3800" s="127"/>
      <c r="G3800" s="127"/>
      <c r="H3800" s="127"/>
      <c r="I3800" s="128"/>
      <c r="K3800" s="105" t="str">
        <f>IFERROR(__xludf.DUMMYFUNCTION("if(A3800="""","""",substitute(SUBSTITUTE(index(importhtml(""http://finviz.com/quote.ashx?t=""&amp;A3800,""table"",10),7,2),""*"",""""),""-"",""0.00""))"),"Loading...")</f>
        <v>Loading...</v>
      </c>
      <c r="L3800" s="129">
        <v>2.26242611E8</v>
      </c>
      <c r="M3800" s="99">
        <v>0.76</v>
      </c>
    </row>
    <row r="3801">
      <c r="A3801" s="122" t="s">
        <v>8054</v>
      </c>
      <c r="B3801" s="123">
        <v>890119.0</v>
      </c>
      <c r="C3801" s="124" t="s">
        <v>8055</v>
      </c>
      <c r="D3801" s="125"/>
      <c r="E3801" s="126">
        <v>9.15</v>
      </c>
      <c r="F3801" s="127"/>
      <c r="G3801" s="127"/>
      <c r="H3801" s="127"/>
      <c r="I3801" s="128"/>
      <c r="K3801" s="105" t="str">
        <f>IFERROR(__xludf.DUMMYFUNCTION("if(A3801="""","""",substitute(SUBSTITUTE(index(importhtml(""http://finviz.com/quote.ashx?t=""&amp;A3801,""table"",10),7,2),""*"",""""),""-"",""0.00""))"),"Loading...")</f>
        <v>Loading...</v>
      </c>
      <c r="L3801" s="129">
        <v>1.13886293E8</v>
      </c>
      <c r="M3801" s="99">
        <v>0.26</v>
      </c>
    </row>
    <row r="3802">
      <c r="A3802" s="122" t="s">
        <v>8056</v>
      </c>
      <c r="B3802" s="123">
        <v>1808997.0</v>
      </c>
      <c r="C3802" s="124" t="s">
        <v>8057</v>
      </c>
      <c r="D3802" s="125"/>
      <c r="E3802" s="126">
        <v>9.15</v>
      </c>
      <c r="F3802" s="127"/>
      <c r="G3802" s="127"/>
      <c r="H3802" s="127"/>
      <c r="I3802" s="128"/>
      <c r="K3802" s="105" t="str">
        <f>IFERROR(__xludf.DUMMYFUNCTION("if(A3802="""","""",substitute(SUBSTITUTE(index(importhtml(""http://finviz.com/quote.ashx?t=""&amp;A3802,""table"",10),7,2),""*"",""""),""-"",""0.00""))"),"Loading...")</f>
        <v>Loading...</v>
      </c>
      <c r="L3802" s="129">
        <v>1.18370525E8</v>
      </c>
      <c r="M3802" s="99">
        <v>0.31</v>
      </c>
    </row>
    <row r="3803">
      <c r="A3803" s="122" t="s">
        <v>8058</v>
      </c>
      <c r="B3803" s="123">
        <v>1615063.0</v>
      </c>
      <c r="C3803" s="124" t="s">
        <v>8059</v>
      </c>
      <c r="D3803" s="125"/>
      <c r="E3803" s="126">
        <v>9.15</v>
      </c>
      <c r="F3803" s="127"/>
      <c r="G3803" s="127"/>
      <c r="H3803" s="127"/>
      <c r="I3803" s="128"/>
      <c r="K3803" s="105" t="str">
        <f>IFERROR(__xludf.DUMMYFUNCTION("if(A3803="""","""",substitute(SUBSTITUTE(index(importhtml(""http://finviz.com/quote.ashx?t=""&amp;A3803,""table"",10),7,2),""*"",""""),""-"",""0.00""))"),"Loading...")</f>
        <v>Loading...</v>
      </c>
      <c r="L3803" s="129">
        <v>2.40979696E8</v>
      </c>
      <c r="M3803" s="99">
        <v>1.42</v>
      </c>
    </row>
    <row r="3804">
      <c r="A3804" s="122" t="s">
        <v>8060</v>
      </c>
      <c r="B3804" s="123">
        <v>1527590.0</v>
      </c>
      <c r="C3804" s="124" t="s">
        <v>8061</v>
      </c>
      <c r="D3804" s="125"/>
      <c r="E3804" s="126">
        <v>9.17</v>
      </c>
      <c r="F3804" s="127"/>
      <c r="G3804" s="127"/>
      <c r="H3804" s="127"/>
      <c r="I3804" s="128"/>
      <c r="K3804" s="55" t="s">
        <v>8062</v>
      </c>
      <c r="L3804" s="129">
        <v>1.578382595E9</v>
      </c>
      <c r="M3804" s="99">
        <v>1.41</v>
      </c>
    </row>
    <row r="3805">
      <c r="A3805" s="122" t="s">
        <v>8063</v>
      </c>
      <c r="B3805" s="123">
        <v>866829.0</v>
      </c>
      <c r="C3805" s="124" t="s">
        <v>8064</v>
      </c>
      <c r="D3805" s="125"/>
      <c r="E3805" s="126">
        <v>9.17</v>
      </c>
      <c r="F3805" s="127"/>
      <c r="G3805" s="127"/>
      <c r="H3805" s="127"/>
      <c r="I3805" s="128"/>
      <c r="K3805" s="105" t="str">
        <f>IFERROR(__xludf.DUMMYFUNCTION("if(A3805="""","""",substitute(SUBSTITUTE(index(importhtml(""http://finviz.com/quote.ashx?t=""&amp;A3805,""table"",10),7,2),""*"",""""),""-"",""0.00""))"),"Loading...")</f>
        <v>Loading...</v>
      </c>
      <c r="L3805" s="129">
        <v>1.382021715E9</v>
      </c>
      <c r="M3805" s="99">
        <v>2.54</v>
      </c>
    </row>
    <row r="3806">
      <c r="A3806" s="122" t="s">
        <v>8065</v>
      </c>
      <c r="B3806" s="123">
        <v>910108.0</v>
      </c>
      <c r="C3806" s="124" t="s">
        <v>8066</v>
      </c>
      <c r="D3806" s="125"/>
      <c r="E3806" s="126">
        <v>9.17</v>
      </c>
      <c r="F3806" s="127"/>
      <c r="G3806" s="127"/>
      <c r="H3806" s="127"/>
      <c r="I3806" s="128"/>
      <c r="K3806" s="105" t="str">
        <f>IFERROR(__xludf.DUMMYFUNCTION("if(A3806="""","""",substitute(SUBSTITUTE(index(importhtml(""http://finviz.com/quote.ashx?t=""&amp;A3806,""table"",10),7,2),""*"",""""),""-"",""0.00""))"),"Loading...")</f>
        <v>Loading...</v>
      </c>
      <c r="L3806" s="129">
        <v>2.683458387E9</v>
      </c>
      <c r="M3806" s="99">
        <v>0.79</v>
      </c>
    </row>
    <row r="3807">
      <c r="A3807" s="122" t="s">
        <v>8067</v>
      </c>
      <c r="B3807" s="123">
        <v>1539190.0</v>
      </c>
      <c r="C3807" s="124" t="s">
        <v>8068</v>
      </c>
      <c r="D3807" s="125"/>
      <c r="E3807" s="126">
        <v>9.19</v>
      </c>
      <c r="F3807" s="127"/>
      <c r="G3807" s="127"/>
      <c r="H3807" s="127"/>
      <c r="I3807" s="128"/>
      <c r="K3807" s="105" t="str">
        <f>IFERROR(__xludf.DUMMYFUNCTION("if(A3807="""","""",substitute(SUBSTITUTE(index(importhtml(""http://finviz.com/quote.ashx?t=""&amp;A3807,""table"",10),7,2),""*"",""""),""-"",""0.00""))"),"Loading...")</f>
        <v>Loading...</v>
      </c>
      <c r="L3807" s="129">
        <v>1.00366558E8</v>
      </c>
      <c r="M3807" s="99" t="str">
        <f>IFERROR(__xludf.DUMMYFUNCTION("GOOGLEFINANCE(A3807,""beta"")"),"#N/A")</f>
        <v>#N/A</v>
      </c>
    </row>
    <row r="3808">
      <c r="A3808" s="122" t="s">
        <v>8069</v>
      </c>
      <c r="B3808" s="123">
        <v>1819974.0</v>
      </c>
      <c r="C3808" s="124" t="s">
        <v>8070</v>
      </c>
      <c r="D3808" s="125"/>
      <c r="E3808" s="126">
        <v>9.19</v>
      </c>
      <c r="F3808" s="127"/>
      <c r="G3808" s="127"/>
      <c r="H3808" s="127"/>
      <c r="I3808" s="128"/>
      <c r="K3808" s="105" t="str">
        <f>IFERROR(__xludf.DUMMYFUNCTION("if(A3808="""","""",substitute(SUBSTITUTE(index(importhtml(""http://finviz.com/quote.ashx?t=""&amp;A3808,""table"",10),7,2),""*"",""""),""-"",""0.00""))"),"Loading...")</f>
        <v>Loading...</v>
      </c>
      <c r="L3808" s="129">
        <v>4.32156146E8</v>
      </c>
      <c r="M3808" s="99">
        <f>IFERROR(__xludf.DUMMYFUNCTION("GOOGLEFINANCE(A3808,""beta"")"),3.49)</f>
        <v>3.49</v>
      </c>
    </row>
    <row r="3809">
      <c r="A3809" s="122" t="s">
        <v>8071</v>
      </c>
      <c r="B3809" s="123">
        <v>1230992.0</v>
      </c>
      <c r="C3809" s="124" t="s">
        <v>8072</v>
      </c>
      <c r="D3809" s="125"/>
      <c r="E3809" s="126">
        <v>9.19</v>
      </c>
      <c r="F3809" s="127"/>
      <c r="G3809" s="127"/>
      <c r="H3809" s="127"/>
      <c r="I3809" s="128"/>
      <c r="K3809" s="105" t="str">
        <f>IFERROR(__xludf.DUMMYFUNCTION("if(A3809="""","""",substitute(SUBSTITUTE(index(importhtml(""http://finviz.com/quote.ashx?t=""&amp;A3809,""table"",10),7,2),""*"",""""),""-"",""0.00""))"),"Loading...")</f>
        <v>Loading...</v>
      </c>
      <c r="L3809" s="129">
        <v>9.44613405E8</v>
      </c>
      <c r="M3809" s="99">
        <v>1.16</v>
      </c>
    </row>
    <row r="3810">
      <c r="A3810" s="122" t="s">
        <v>8073</v>
      </c>
      <c r="B3810" s="123">
        <v>1708035.0</v>
      </c>
      <c r="C3810" s="124" t="s">
        <v>8074</v>
      </c>
      <c r="D3810" s="125"/>
      <c r="E3810" s="126">
        <v>9.19</v>
      </c>
      <c r="F3810" s="127"/>
      <c r="G3810" s="127"/>
      <c r="H3810" s="127"/>
      <c r="I3810" s="128"/>
      <c r="K3810" s="105" t="str">
        <f>IFERROR(__xludf.DUMMYFUNCTION("if(A3810="""","""",substitute(SUBSTITUTE(index(importhtml(""http://finviz.com/quote.ashx?t=""&amp;A3810,""table"",10),7,2),""*"",""""),""-"",""0.00""))"),"Loading...")</f>
        <v>Loading...</v>
      </c>
      <c r="L3810" s="129">
        <v>1.067114262E9</v>
      </c>
      <c r="M3810" s="99">
        <v>1.03</v>
      </c>
    </row>
    <row r="3811">
      <c r="A3811" s="122" t="s">
        <v>8075</v>
      </c>
      <c r="B3811" s="123">
        <v>1606909.0</v>
      </c>
      <c r="C3811" s="124" t="s">
        <v>8076</v>
      </c>
      <c r="D3811" s="125"/>
      <c r="E3811" s="126">
        <v>9.2</v>
      </c>
      <c r="F3811" s="127"/>
      <c r="G3811" s="127"/>
      <c r="H3811" s="127"/>
      <c r="I3811" s="128"/>
      <c r="K3811" s="105" t="str">
        <f>IFERROR(__xludf.DUMMYFUNCTION("if(A3811="""","""",substitute(SUBSTITUTE(index(importhtml(""http://finviz.com/quote.ashx?t=""&amp;A3811,""table"",10),7,2),""*"",""""),""-"",""0.00""))"),"Loading...")</f>
        <v>Loading...</v>
      </c>
      <c r="L3811" s="129">
        <v>4.27492895E8</v>
      </c>
      <c r="M3811" s="99">
        <v>0.91</v>
      </c>
    </row>
    <row r="3812">
      <c r="A3812" s="122" t="s">
        <v>8077</v>
      </c>
      <c r="B3812" s="123">
        <v>1319947.0</v>
      </c>
      <c r="C3812" s="124" t="s">
        <v>8078</v>
      </c>
      <c r="D3812" s="125"/>
      <c r="E3812" s="126">
        <v>9.21</v>
      </c>
      <c r="F3812" s="127"/>
      <c r="G3812" s="127"/>
      <c r="H3812" s="127"/>
      <c r="I3812" s="128"/>
      <c r="K3812" s="55" t="s">
        <v>5049</v>
      </c>
      <c r="L3812" s="129">
        <v>5.23654814E8</v>
      </c>
      <c r="M3812" s="99">
        <v>2.02</v>
      </c>
    </row>
    <row r="3813">
      <c r="A3813" s="122" t="s">
        <v>8079</v>
      </c>
      <c r="B3813" s="123">
        <v>1723935.0</v>
      </c>
      <c r="C3813" s="124" t="s">
        <v>8080</v>
      </c>
      <c r="D3813" s="125"/>
      <c r="E3813" s="126">
        <v>9.21</v>
      </c>
      <c r="F3813" s="127"/>
      <c r="G3813" s="127"/>
      <c r="H3813" s="127"/>
      <c r="I3813" s="128"/>
      <c r="K3813" s="105" t="str">
        <f>IFERROR(__xludf.DUMMYFUNCTION("if(A3813="""","""",substitute(SUBSTITUTE(index(importhtml(""http://finviz.com/quote.ashx?t=""&amp;A3813,""table"",10),7,2),""*"",""""),""-"",""0.00""))"),"Loading...")</f>
        <v>Loading...</v>
      </c>
      <c r="L3813" s="129">
        <v>1.26643563E8</v>
      </c>
      <c r="M3813" s="99">
        <v>0.67</v>
      </c>
    </row>
    <row r="3814">
      <c r="A3814" s="122" t="s">
        <v>8081</v>
      </c>
      <c r="B3814" s="123">
        <v>1854587.0</v>
      </c>
      <c r="C3814" s="124" t="s">
        <v>8082</v>
      </c>
      <c r="D3814" s="125"/>
      <c r="E3814" s="126">
        <v>9.21</v>
      </c>
      <c r="F3814" s="127"/>
      <c r="G3814" s="127"/>
      <c r="H3814" s="127"/>
      <c r="I3814" s="128"/>
      <c r="K3814" s="105" t="str">
        <f>IFERROR(__xludf.DUMMYFUNCTION("if(A3814="""","""",substitute(SUBSTITUTE(index(importhtml(""http://finviz.com/quote.ashx?t=""&amp;A3814,""table"",10),7,2),""*"",""""),""-"",""0.00""))"),"Loading...")</f>
        <v>Loading...</v>
      </c>
      <c r="L3814" s="129">
        <v>1.817757445E9</v>
      </c>
      <c r="M3814" s="99">
        <v>1.45</v>
      </c>
    </row>
    <row r="3815">
      <c r="A3815" s="122" t="s">
        <v>8083</v>
      </c>
      <c r="B3815" s="123">
        <v>714310.0</v>
      </c>
      <c r="C3815" s="124" t="s">
        <v>8084</v>
      </c>
      <c r="D3815" s="125"/>
      <c r="E3815" s="126">
        <v>9.21</v>
      </c>
      <c r="F3815" s="127"/>
      <c r="G3815" s="127"/>
      <c r="H3815" s="127"/>
      <c r="I3815" s="128"/>
      <c r="K3815" s="105" t="str">
        <f>IFERROR(__xludf.DUMMYFUNCTION("if(A3815="""","""",substitute(SUBSTITUTE(index(importhtml(""http://finviz.com/quote.ashx?t=""&amp;A3815,""table"",10),7,2),""*"",""""),""-"",""0.00""))"),"Loading...")</f>
        <v>Loading...</v>
      </c>
      <c r="L3815" s="129">
        <v>4.676008198E9</v>
      </c>
      <c r="M3815" s="99">
        <v>1.13</v>
      </c>
    </row>
    <row r="3816">
      <c r="A3816" s="122" t="s">
        <v>8085</v>
      </c>
      <c r="B3816" s="123">
        <v>1620459.0</v>
      </c>
      <c r="C3816" s="124" t="s">
        <v>8086</v>
      </c>
      <c r="D3816" s="125"/>
      <c r="E3816" s="126">
        <v>9.22</v>
      </c>
      <c r="F3816" s="127"/>
      <c r="G3816" s="127"/>
      <c r="H3816" s="127"/>
      <c r="I3816" s="128"/>
      <c r="K3816" s="105" t="str">
        <f>IFERROR(__xludf.DUMMYFUNCTION("if(A3816="""","""",substitute(SUBSTITUTE(index(importhtml(""http://finviz.com/quote.ashx?t=""&amp;A3816,""table"",10),7,2),""*"",""""),""-"",""0.00""))"),"Loading...")</f>
        <v>Loading...</v>
      </c>
      <c r="L3816" s="129">
        <v>3.47036845E8</v>
      </c>
      <c r="M3816" s="99">
        <v>0.17</v>
      </c>
    </row>
    <row r="3817">
      <c r="A3817" s="122" t="s">
        <v>8087</v>
      </c>
      <c r="B3817" s="123">
        <v>914712.0</v>
      </c>
      <c r="C3817" s="124" t="s">
        <v>8088</v>
      </c>
      <c r="D3817" s="125"/>
      <c r="E3817" s="126">
        <v>9.23</v>
      </c>
      <c r="F3817" s="127"/>
      <c r="G3817" s="127"/>
      <c r="H3817" s="127"/>
      <c r="I3817" s="128"/>
      <c r="K3817" s="105" t="str">
        <f>IFERROR(__xludf.DUMMYFUNCTION("if(A3817="""","""",substitute(SUBSTITUTE(index(importhtml(""http://finviz.com/quote.ashx?t=""&amp;A3817,""table"",10),7,2),""*"",""""),""-"",""0.00""))"),"Loading...")</f>
        <v>Loading...</v>
      </c>
      <c r="L3817" s="129">
        <v>5.784653E7</v>
      </c>
      <c r="M3817" s="99">
        <v>3.26</v>
      </c>
    </row>
    <row r="3818">
      <c r="A3818" s="122" t="s">
        <v>8089</v>
      </c>
      <c r="B3818" s="123">
        <v>1874071.0</v>
      </c>
      <c r="C3818" s="124" t="s">
        <v>8090</v>
      </c>
      <c r="D3818" s="125"/>
      <c r="E3818" s="126">
        <v>9.24</v>
      </c>
      <c r="F3818" s="127"/>
      <c r="G3818" s="127"/>
      <c r="H3818" s="127"/>
      <c r="I3818" s="128"/>
      <c r="K3818" s="105" t="str">
        <f>IFERROR(__xludf.DUMMYFUNCTION("if(A3818="""","""",substitute(SUBSTITUTE(index(importhtml(""http://finviz.com/quote.ashx?t=""&amp;A3818,""table"",10),7,2),""*"",""""),""-"",""0.00""))"),"Loading...")</f>
        <v>Loading...</v>
      </c>
      <c r="L3818" s="129">
        <v>2.19778106E8</v>
      </c>
      <c r="M3818" s="99">
        <f>IFERROR(__xludf.DUMMYFUNCTION("GOOGLEFINANCE(A3818,""beta"")"),0.66)</f>
        <v>0.66</v>
      </c>
    </row>
    <row r="3819">
      <c r="A3819" s="122" t="s">
        <v>8091</v>
      </c>
      <c r="B3819" s="123">
        <v>1298946.0</v>
      </c>
      <c r="C3819" s="124" t="s">
        <v>8092</v>
      </c>
      <c r="D3819" s="125"/>
      <c r="E3819" s="126">
        <v>9.25</v>
      </c>
      <c r="F3819" s="127"/>
      <c r="G3819" s="127"/>
      <c r="H3819" s="127"/>
      <c r="I3819" s="128"/>
      <c r="K3819" s="55" t="s">
        <v>5721</v>
      </c>
      <c r="L3819" s="129">
        <v>1.9390516E9</v>
      </c>
      <c r="M3819" s="99">
        <v>1.62</v>
      </c>
    </row>
    <row r="3820">
      <c r="A3820" s="122" t="s">
        <v>8093</v>
      </c>
      <c r="B3820" s="123">
        <v>1362481.0</v>
      </c>
      <c r="C3820" s="124" t="s">
        <v>8094</v>
      </c>
      <c r="D3820" s="125"/>
      <c r="E3820" s="126">
        <v>9.25</v>
      </c>
      <c r="F3820" s="127"/>
      <c r="G3820" s="127"/>
      <c r="H3820" s="127"/>
      <c r="I3820" s="128"/>
      <c r="K3820" s="55" t="s">
        <v>7986</v>
      </c>
      <c r="L3820" s="129">
        <v>2.3000199E8</v>
      </c>
      <c r="M3820" s="99">
        <v>1.05</v>
      </c>
    </row>
    <row r="3821">
      <c r="A3821" s="122" t="s">
        <v>8095</v>
      </c>
      <c r="B3821" s="123">
        <v>1628063.0</v>
      </c>
      <c r="C3821" s="124" t="s">
        <v>8096</v>
      </c>
      <c r="D3821" s="125"/>
      <c r="E3821" s="126">
        <v>9.25</v>
      </c>
      <c r="F3821" s="127"/>
      <c r="G3821" s="127"/>
      <c r="H3821" s="127"/>
      <c r="I3821" s="128"/>
      <c r="K3821" s="105" t="str">
        <f>IFERROR(__xludf.DUMMYFUNCTION("if(A3821="""","""",substitute(SUBSTITUTE(index(importhtml(""http://finviz.com/quote.ashx?t=""&amp;A3821,""table"",10),7,2),""*"",""""),""-"",""0.00""))"),"Loading...")</f>
        <v>Loading...</v>
      </c>
      <c r="L3821" s="129">
        <v>5.19715042E8</v>
      </c>
      <c r="M3821" s="99">
        <v>2.67</v>
      </c>
    </row>
    <row r="3822">
      <c r="A3822" s="122" t="s">
        <v>8097</v>
      </c>
      <c r="B3822" s="123">
        <v>1529377.0</v>
      </c>
      <c r="C3822" s="124" t="s">
        <v>8098</v>
      </c>
      <c r="D3822" s="125"/>
      <c r="E3822" s="126">
        <v>9.27</v>
      </c>
      <c r="F3822" s="127"/>
      <c r="G3822" s="127"/>
      <c r="H3822" s="127"/>
      <c r="I3822" s="128"/>
      <c r="K3822" s="105" t="str">
        <f>IFERROR(__xludf.DUMMYFUNCTION("if(A3822="""","""",substitute(SUBSTITUTE(index(importhtml(""http://finviz.com/quote.ashx?t=""&amp;A3822,""table"",10),7,2),""*"",""""),""-"",""0.00""))"),"Loading...")</f>
        <v>Loading...</v>
      </c>
      <c r="L3822" s="129">
        <v>5.01883015E8</v>
      </c>
      <c r="M3822" s="99">
        <v>1.39</v>
      </c>
    </row>
    <row r="3823">
      <c r="A3823" s="122" t="s">
        <v>8099</v>
      </c>
      <c r="B3823" s="123">
        <v>1330306.0</v>
      </c>
      <c r="C3823" s="124" t="s">
        <v>8100</v>
      </c>
      <c r="D3823" s="125"/>
      <c r="E3823" s="126">
        <v>9.27</v>
      </c>
      <c r="F3823" s="127"/>
      <c r="G3823" s="127"/>
      <c r="H3823" s="127"/>
      <c r="I3823" s="128"/>
      <c r="K3823" s="105" t="str">
        <f>IFERROR(__xludf.DUMMYFUNCTION("if(A3823="""","""",substitute(SUBSTITUTE(index(importhtml(""http://finviz.com/quote.ashx?t=""&amp;A3823,""table"",10),7,2),""*"",""""),""-"",""0.00""))"),"Loading...")</f>
        <v>Loading...</v>
      </c>
      <c r="L3823" s="129">
        <v>1.970955E11</v>
      </c>
      <c r="M3823" s="99">
        <v>1.46</v>
      </c>
    </row>
    <row r="3824">
      <c r="A3824" s="122" t="s">
        <v>8101</v>
      </c>
      <c r="B3824" s="123">
        <v>1856948.0</v>
      </c>
      <c r="C3824" s="124" t="s">
        <v>8102</v>
      </c>
      <c r="D3824" s="125"/>
      <c r="E3824" s="126">
        <v>9.28</v>
      </c>
      <c r="F3824" s="127"/>
      <c r="G3824" s="127"/>
      <c r="H3824" s="127"/>
      <c r="I3824" s="128"/>
      <c r="K3824" s="105" t="str">
        <f>IFERROR(__xludf.DUMMYFUNCTION("if(A3824="""","""",substitute(SUBSTITUTE(index(importhtml(""http://finviz.com/quote.ashx?t=""&amp;A3824,""table"",10),7,2),""*"",""""),""-"",""0.00""))"),"Loading...")</f>
        <v>Loading...</v>
      </c>
      <c r="L3824" s="129">
        <v>6.029653E7</v>
      </c>
      <c r="M3824" s="99" t="str">
        <f>IFERROR(__xludf.DUMMYFUNCTION("GOOGLEFINANCE(A3824,""beta"")"),"#N/A")</f>
        <v>#N/A</v>
      </c>
    </row>
    <row r="3825">
      <c r="A3825" s="122" t="s">
        <v>8103</v>
      </c>
      <c r="B3825" s="123">
        <v>799288.0</v>
      </c>
      <c r="C3825" s="124" t="s">
        <v>8104</v>
      </c>
      <c r="D3825" s="125"/>
      <c r="E3825" s="126">
        <v>9.29</v>
      </c>
      <c r="F3825" s="127"/>
      <c r="G3825" s="127"/>
      <c r="H3825" s="127"/>
      <c r="I3825" s="128"/>
      <c r="K3825" s="55" t="s">
        <v>1034</v>
      </c>
      <c r="L3825" s="129">
        <v>2.92130644E8</v>
      </c>
      <c r="M3825" s="99">
        <v>2.99</v>
      </c>
    </row>
    <row r="3826">
      <c r="A3826" s="122" t="s">
        <v>8105</v>
      </c>
      <c r="B3826" s="123">
        <v>1043000.0</v>
      </c>
      <c r="C3826" s="124" t="s">
        <v>8106</v>
      </c>
      <c r="D3826" s="125"/>
      <c r="E3826" s="126">
        <v>9.29</v>
      </c>
      <c r="F3826" s="127"/>
      <c r="G3826" s="127"/>
      <c r="H3826" s="127"/>
      <c r="I3826" s="128"/>
      <c r="K3826" s="105" t="str">
        <f>IFERROR(__xludf.DUMMYFUNCTION("if(A3826="""","""",substitute(SUBSTITUTE(index(importhtml(""http://finviz.com/quote.ashx?t=""&amp;A3826,""table"",10),7,2),""*"",""""),""-"",""0.00""))"),"Loading...")</f>
        <v>Loading...</v>
      </c>
      <c r="L3826" s="129">
        <v>7.5972179E7</v>
      </c>
      <c r="M3826" s="99">
        <v>0.99</v>
      </c>
    </row>
    <row r="3827">
      <c r="A3827" s="122" t="s">
        <v>8107</v>
      </c>
      <c r="B3827" s="123">
        <v>1601830.0</v>
      </c>
      <c r="C3827" s="124" t="s">
        <v>8108</v>
      </c>
      <c r="D3827" s="125"/>
      <c r="E3827" s="126">
        <v>9.29</v>
      </c>
      <c r="F3827" s="127"/>
      <c r="G3827" s="127"/>
      <c r="H3827" s="127"/>
      <c r="I3827" s="128"/>
      <c r="K3827" s="105" t="str">
        <f>IFERROR(__xludf.DUMMYFUNCTION("if(A3827="""","""",substitute(SUBSTITUTE(index(importhtml(""http://finviz.com/quote.ashx?t=""&amp;A3827,""table"",10),7,2),""*"",""""),""-"",""0.00""))"),"Loading...")</f>
        <v>Loading...</v>
      </c>
      <c r="L3827" s="129">
        <v>2.005467593E9</v>
      </c>
      <c r="M3827" s="99">
        <f>IFERROR(__xludf.DUMMYFUNCTION("GOOGLEFINANCE(A3827,""beta"")"),0.93)</f>
        <v>0.93</v>
      </c>
    </row>
    <row r="3828">
      <c r="A3828" s="122" t="s">
        <v>8109</v>
      </c>
      <c r="B3828" s="123">
        <v>1764046.0</v>
      </c>
      <c r="C3828" s="124" t="s">
        <v>8110</v>
      </c>
      <c r="D3828" s="125"/>
      <c r="E3828" s="126">
        <v>9.29</v>
      </c>
      <c r="F3828" s="127"/>
      <c r="G3828" s="127"/>
      <c r="H3828" s="127"/>
      <c r="I3828" s="128"/>
      <c r="K3828" s="105" t="str">
        <f>IFERROR(__xludf.DUMMYFUNCTION("if(A3828="""","""",substitute(SUBSTITUTE(index(importhtml(""http://finviz.com/quote.ashx?t=""&amp;A3828,""table"",10),7,2),""*"",""""),""-"",""0.00""))"),"Loading...")</f>
        <v>Loading...</v>
      </c>
      <c r="L3828" s="129">
        <v>6.167842786E9</v>
      </c>
      <c r="M3828" s="99">
        <v>1.32</v>
      </c>
    </row>
    <row r="3829">
      <c r="A3829" s="122" t="s">
        <v>8111</v>
      </c>
      <c r="B3829" s="123">
        <v>1553079.0</v>
      </c>
      <c r="C3829" s="124" t="s">
        <v>8112</v>
      </c>
      <c r="D3829" s="125"/>
      <c r="E3829" s="126">
        <v>9.3</v>
      </c>
      <c r="F3829" s="127"/>
      <c r="G3829" s="127"/>
      <c r="H3829" s="127"/>
      <c r="I3829" s="128"/>
      <c r="K3829" s="105" t="str">
        <f>IFERROR(__xludf.DUMMYFUNCTION("if(A3829="""","""",substitute(SUBSTITUTE(index(importhtml(""http://finviz.com/quote.ashx?t=""&amp;A3829,""table"",10),7,2),""*"",""""),""-"",""0.00""))"),"Loading...")</f>
        <v>Loading...</v>
      </c>
      <c r="L3829" s="129">
        <v>2.68956102E8</v>
      </c>
      <c r="M3829" s="99" t="str">
        <f>IFERROR(__xludf.DUMMYFUNCTION("GOOGLEFINANCE(A3829,""beta"")"),"#N/A")</f>
        <v>#N/A</v>
      </c>
    </row>
    <row r="3830">
      <c r="A3830" s="122" t="s">
        <v>8113</v>
      </c>
      <c r="B3830" s="123">
        <v>63271.0</v>
      </c>
      <c r="C3830" s="124" t="s">
        <v>8114</v>
      </c>
      <c r="D3830" s="125"/>
      <c r="E3830" s="126">
        <v>9.3</v>
      </c>
      <c r="F3830" s="127"/>
      <c r="G3830" s="127"/>
      <c r="H3830" s="127"/>
      <c r="I3830" s="128"/>
      <c r="K3830" s="105" t="str">
        <f>IFERROR(__xludf.DUMMYFUNCTION("if(A3830="""","""",substitute(SUBSTITUTE(index(importhtml(""http://finviz.com/quote.ashx?t=""&amp;A3830,""table"",10),7,2),""*"",""""),""-"",""0.00""))"),"Loading...")</f>
        <v>Loading...</v>
      </c>
      <c r="L3830" s="129">
        <v>2.3605944866E10</v>
      </c>
      <c r="M3830" s="99">
        <v>1.03</v>
      </c>
    </row>
    <row r="3831">
      <c r="A3831" s="122" t="s">
        <v>8115</v>
      </c>
      <c r="B3831" s="123">
        <v>893949.0</v>
      </c>
      <c r="C3831" s="124" t="s">
        <v>8116</v>
      </c>
      <c r="D3831" s="125"/>
      <c r="E3831" s="126">
        <v>9.31</v>
      </c>
      <c r="F3831" s="127"/>
      <c r="G3831" s="127"/>
      <c r="H3831" s="127"/>
      <c r="I3831" s="128"/>
      <c r="K3831" s="55" t="s">
        <v>1034</v>
      </c>
      <c r="L3831" s="129">
        <v>7.82262637E8</v>
      </c>
      <c r="M3831" s="99">
        <v>1.57</v>
      </c>
    </row>
    <row r="3832">
      <c r="A3832" s="122" t="s">
        <v>8117</v>
      </c>
      <c r="B3832" s="123">
        <v>68622.0</v>
      </c>
      <c r="C3832" s="124" t="s">
        <v>8118</v>
      </c>
      <c r="D3832" s="125"/>
      <c r="E3832" s="126">
        <v>9.31</v>
      </c>
      <c r="F3832" s="127"/>
      <c r="G3832" s="127"/>
      <c r="H3832" s="127"/>
      <c r="I3832" s="128"/>
      <c r="K3832" s="105" t="str">
        <f>IFERROR(__xludf.DUMMYFUNCTION("if(A3832="""","""",substitute(SUBSTITUTE(index(importhtml(""http://finviz.com/quote.ashx?t=""&amp;A3832,""table"",10),7,2),""*"",""""),""-"",""0.00""))"),"Loading...")</f>
        <v>Loading...</v>
      </c>
      <c r="L3832" s="129">
        <v>30.0</v>
      </c>
      <c r="M3832" s="99">
        <v>0.4</v>
      </c>
    </row>
    <row r="3833">
      <c r="A3833" s="122" t="s">
        <v>8119</v>
      </c>
      <c r="B3833" s="123">
        <v>731012.0</v>
      </c>
      <c r="C3833" s="124" t="s">
        <v>8120</v>
      </c>
      <c r="D3833" s="125"/>
      <c r="E3833" s="126">
        <v>9.31</v>
      </c>
      <c r="F3833" s="127"/>
      <c r="G3833" s="127"/>
      <c r="H3833" s="127"/>
      <c r="I3833" s="128"/>
      <c r="K3833" s="105" t="str">
        <f>IFERROR(__xludf.DUMMYFUNCTION("if(A3833="""","""",substitute(SUBSTITUTE(index(importhtml(""http://finviz.com/quote.ashx?t=""&amp;A3833,""table"",10),7,2),""*"",""""),""-"",""0.00""))"),"#REF!")</f>
        <v>#REF!</v>
      </c>
      <c r="L3833" s="129">
        <v>6.87534127E8</v>
      </c>
      <c r="M3833" s="99">
        <v>0.38</v>
      </c>
    </row>
    <row r="3834">
      <c r="A3834" s="122" t="s">
        <v>8121</v>
      </c>
      <c r="B3834" s="123">
        <v>1326190.0</v>
      </c>
      <c r="C3834" s="124" t="s">
        <v>8122</v>
      </c>
      <c r="D3834" s="125"/>
      <c r="E3834" s="126">
        <v>9.32</v>
      </c>
      <c r="F3834" s="127"/>
      <c r="G3834" s="127"/>
      <c r="H3834" s="127"/>
      <c r="I3834" s="128"/>
      <c r="K3834" s="55" t="s">
        <v>1034</v>
      </c>
      <c r="L3834" s="129">
        <v>5.00752958E8</v>
      </c>
      <c r="M3834" s="99">
        <v>0.01</v>
      </c>
    </row>
    <row r="3835">
      <c r="A3835" s="122" t="s">
        <v>8123</v>
      </c>
      <c r="B3835" s="123">
        <v>1177161.0</v>
      </c>
      <c r="C3835" s="124" t="s">
        <v>8124</v>
      </c>
      <c r="D3835" s="125"/>
      <c r="E3835" s="126">
        <v>9.33</v>
      </c>
      <c r="F3835" s="127"/>
      <c r="G3835" s="127"/>
      <c r="H3835" s="127"/>
      <c r="I3835" s="128"/>
      <c r="K3835" s="55" t="s">
        <v>8125</v>
      </c>
      <c r="L3835" s="129">
        <v>2.30198528E8</v>
      </c>
      <c r="M3835" s="99">
        <v>0.48</v>
      </c>
    </row>
    <row r="3836">
      <c r="A3836" s="122" t="s">
        <v>8126</v>
      </c>
      <c r="B3836" s="123">
        <v>1874944.0</v>
      </c>
      <c r="C3836" s="124" t="s">
        <v>8127</v>
      </c>
      <c r="D3836" s="125"/>
      <c r="E3836" s="126">
        <v>9.33</v>
      </c>
      <c r="F3836" s="127"/>
      <c r="G3836" s="127"/>
      <c r="H3836" s="127"/>
      <c r="I3836" s="128"/>
      <c r="K3836" s="105" t="str">
        <f>IFERROR(__xludf.DUMMYFUNCTION("if(A3836="""","""",substitute(SUBSTITUTE(index(importhtml(""http://finviz.com/quote.ashx?t=""&amp;A3836,""table"",10),7,2),""*"",""""),""-"",""0.00""))"),"Loading...")</f>
        <v>Loading...</v>
      </c>
      <c r="L3836" s="129">
        <v>2.04689655E8</v>
      </c>
      <c r="M3836" s="99" t="str">
        <f>IFERROR(__xludf.DUMMYFUNCTION("GOOGLEFINANCE(A3836,""beta"")"),"#N/A")</f>
        <v>#N/A</v>
      </c>
    </row>
    <row r="3837">
      <c r="A3837" s="122" t="s">
        <v>8128</v>
      </c>
      <c r="B3837" s="123">
        <v>43196.0</v>
      </c>
      <c r="C3837" s="124" t="s">
        <v>8129</v>
      </c>
      <c r="D3837" s="125"/>
      <c r="E3837" s="126">
        <v>9.33</v>
      </c>
      <c r="F3837" s="127"/>
      <c r="G3837" s="127"/>
      <c r="H3837" s="127"/>
      <c r="I3837" s="128"/>
      <c r="K3837" s="105" t="str">
        <f>IFERROR(__xludf.DUMMYFUNCTION("if(A3837="""","""",substitute(SUBSTITUTE(index(importhtml(""http://finviz.com/quote.ashx?t=""&amp;A3837,""table"",10),7,2),""*"",""""),""-"",""0.00""))"),"Loading...")</f>
        <v>Loading...</v>
      </c>
      <c r="L3837" s="129">
        <v>8.87025951E8</v>
      </c>
      <c r="M3837" s="99">
        <v>1.7</v>
      </c>
    </row>
    <row r="3838">
      <c r="A3838" s="122" t="s">
        <v>8130</v>
      </c>
      <c r="B3838" s="123">
        <v>1257640.0</v>
      </c>
      <c r="C3838" s="124" t="s">
        <v>8131</v>
      </c>
      <c r="D3838" s="125"/>
      <c r="E3838" s="126">
        <v>9.33</v>
      </c>
      <c r="F3838" s="127"/>
      <c r="G3838" s="127"/>
      <c r="H3838" s="127"/>
      <c r="I3838" s="128"/>
      <c r="K3838" s="105" t="str">
        <f>IFERROR(__xludf.DUMMYFUNCTION("if(A3838="""","""",substitute(SUBSTITUTE(index(importhtml(""http://finviz.com/quote.ashx?t=""&amp;A3838,""table"",10),7,2),""*"",""""),""-"",""0.00""))"),"Loading...")</f>
        <v>Loading...</v>
      </c>
      <c r="L3838" s="129">
        <v>1.073201901E9</v>
      </c>
      <c r="M3838" s="99">
        <v>1.2</v>
      </c>
    </row>
    <row r="3839">
      <c r="A3839" s="122" t="s">
        <v>8132</v>
      </c>
      <c r="B3839" s="123">
        <v>1814974.0</v>
      </c>
      <c r="C3839" s="124" t="s">
        <v>8133</v>
      </c>
      <c r="D3839" s="125"/>
      <c r="E3839" s="126">
        <v>9.34</v>
      </c>
      <c r="F3839" s="127"/>
      <c r="G3839" s="127"/>
      <c r="H3839" s="127"/>
      <c r="I3839" s="128"/>
      <c r="K3839" s="105" t="str">
        <f>IFERROR(__xludf.DUMMYFUNCTION("if(A3839="""","""",substitute(SUBSTITUTE(index(importhtml(""http://finviz.com/quote.ashx?t=""&amp;A3839,""table"",10),7,2),""*"",""""),""-"",""0.00""))"),"Loading...")</f>
        <v>Loading...</v>
      </c>
      <c r="L3839" s="129">
        <v>1.43836871E8</v>
      </c>
      <c r="M3839" s="99">
        <v>0.76</v>
      </c>
    </row>
    <row r="3840">
      <c r="A3840" s="122" t="s">
        <v>8134</v>
      </c>
      <c r="B3840" s="123">
        <v>1576914.0</v>
      </c>
      <c r="C3840" s="124" t="s">
        <v>8135</v>
      </c>
      <c r="D3840" s="125"/>
      <c r="E3840" s="126">
        <v>9.34</v>
      </c>
      <c r="F3840" s="127"/>
      <c r="G3840" s="127"/>
      <c r="H3840" s="127"/>
      <c r="I3840" s="128"/>
      <c r="K3840" s="105" t="str">
        <f>IFERROR(__xludf.DUMMYFUNCTION("if(A3840="""","""",substitute(SUBSTITUTE(index(importhtml(""http://finviz.com/quote.ashx?t=""&amp;A3840,""table"",10),7,2),""*"",""""),""-"",""0.00""))"),"Loading...")</f>
        <v>Loading...</v>
      </c>
      <c r="L3840" s="129">
        <v>2.45690852E8</v>
      </c>
      <c r="M3840" s="99">
        <v>1.17</v>
      </c>
    </row>
    <row r="3841">
      <c r="A3841" s="122" t="s">
        <v>8136</v>
      </c>
      <c r="B3841" s="123">
        <v>1606366.0</v>
      </c>
      <c r="C3841" s="124" t="s">
        <v>8137</v>
      </c>
      <c r="D3841" s="125"/>
      <c r="E3841" s="126">
        <v>9.34</v>
      </c>
      <c r="F3841" s="127"/>
      <c r="G3841" s="127"/>
      <c r="H3841" s="127"/>
      <c r="I3841" s="128"/>
      <c r="K3841" s="105" t="str">
        <f>IFERROR(__xludf.DUMMYFUNCTION("if(A3841="""","""",substitute(SUBSTITUTE(index(importhtml(""http://finviz.com/quote.ashx?t=""&amp;A3841,""table"",10),7,2),""*"",""""),""-"",""0.00""))"),"Loading...")</f>
        <v>Loading...</v>
      </c>
      <c r="L3841" s="129">
        <v>2.93773453E8</v>
      </c>
      <c r="M3841" s="99">
        <v>1.55</v>
      </c>
    </row>
    <row r="3842">
      <c r="A3842" s="122" t="s">
        <v>8138</v>
      </c>
      <c r="B3842" s="123">
        <v>1735556.0</v>
      </c>
      <c r="C3842" s="124" t="s">
        <v>8139</v>
      </c>
      <c r="D3842" s="125"/>
      <c r="E3842" s="126">
        <v>9.35</v>
      </c>
      <c r="F3842" s="127"/>
      <c r="G3842" s="127"/>
      <c r="H3842" s="127"/>
      <c r="I3842" s="128"/>
      <c r="K3842" s="105" t="str">
        <f>IFERROR(__xludf.DUMMYFUNCTION("if(A3842="""","""",substitute(SUBSTITUTE(index(importhtml(""http://finviz.com/quote.ashx?t=""&amp;A3842,""table"",10),7,2),""*"",""""),""-"",""0.00""))"),"Loading...")</f>
        <v>Loading...</v>
      </c>
      <c r="L3842" s="129">
        <v>5.1732589E7</v>
      </c>
      <c r="M3842" s="99">
        <v>1.52</v>
      </c>
    </row>
    <row r="3843">
      <c r="A3843" s="122" t="s">
        <v>8140</v>
      </c>
      <c r="B3843" s="123">
        <v>1447945.0</v>
      </c>
      <c r="C3843" s="124" t="s">
        <v>8141</v>
      </c>
      <c r="D3843" s="125"/>
      <c r="E3843" s="126">
        <v>9.35</v>
      </c>
      <c r="F3843" s="127"/>
      <c r="G3843" s="127"/>
      <c r="H3843" s="127"/>
      <c r="I3843" s="128"/>
      <c r="K3843" s="105" t="str">
        <f>IFERROR(__xludf.DUMMYFUNCTION("if(A3843="""","""",substitute(SUBSTITUTE(index(importhtml(""http://finviz.com/quote.ashx?t=""&amp;A3843,""table"",10),7,2),""*"",""""),""-"",""0.00""))"),"Loading...")</f>
        <v>Loading...</v>
      </c>
      <c r="L3843" s="129">
        <v>3.533658535E10</v>
      </c>
      <c r="M3843" s="99">
        <f>IFERROR(__xludf.DUMMYFUNCTION("GOOGLEFINANCE(A3843,""beta"")"),1.04)</f>
        <v>1.04</v>
      </c>
    </row>
    <row r="3844">
      <c r="A3844" s="122" t="s">
        <v>8142</v>
      </c>
      <c r="B3844" s="123">
        <v>1285650.0</v>
      </c>
      <c r="C3844" s="124" t="s">
        <v>8143</v>
      </c>
      <c r="D3844" s="125"/>
      <c r="E3844" s="126">
        <v>9.36</v>
      </c>
      <c r="F3844" s="127"/>
      <c r="G3844" s="127"/>
      <c r="H3844" s="127"/>
      <c r="I3844" s="128"/>
      <c r="K3844" s="55" t="s">
        <v>6789</v>
      </c>
      <c r="L3844" s="129">
        <v>9.192366E7</v>
      </c>
      <c r="M3844" s="99">
        <v>1.19</v>
      </c>
    </row>
    <row r="3845">
      <c r="A3845" s="122" t="s">
        <v>8144</v>
      </c>
      <c r="B3845" s="123">
        <v>1034957.0</v>
      </c>
      <c r="C3845" s="124" t="s">
        <v>8145</v>
      </c>
      <c r="D3845" s="125"/>
      <c r="E3845" s="126">
        <v>9.36</v>
      </c>
      <c r="F3845" s="127"/>
      <c r="G3845" s="127"/>
      <c r="H3845" s="127"/>
      <c r="I3845" s="128"/>
      <c r="K3845" s="105" t="str">
        <f>IFERROR(__xludf.DUMMYFUNCTION("if(A3845="""","""",substitute(SUBSTITUTE(index(importhtml(""http://finviz.com/quote.ashx?t=""&amp;A3845,""table"",10),7,2),""*"",""""),""-"",""0.00""))"),"Loading...")</f>
        <v>Loading...</v>
      </c>
      <c r="L3845" s="129">
        <v>8.79809266E8</v>
      </c>
      <c r="M3845" s="99">
        <v>1.15</v>
      </c>
    </row>
    <row r="3846">
      <c r="A3846" s="122" t="s">
        <v>8146</v>
      </c>
      <c r="B3846" s="123">
        <v>1691493.0</v>
      </c>
      <c r="C3846" s="124" t="s">
        <v>8147</v>
      </c>
      <c r="D3846" s="125"/>
      <c r="E3846" s="126">
        <v>9.37</v>
      </c>
      <c r="F3846" s="127"/>
      <c r="G3846" s="127"/>
      <c r="H3846" s="127"/>
      <c r="I3846" s="128"/>
      <c r="K3846" s="55" t="s">
        <v>1034</v>
      </c>
      <c r="L3846" s="129">
        <v>4.4438302007E10</v>
      </c>
      <c r="M3846" s="99">
        <f>IFERROR(__xludf.DUMMYFUNCTION("GOOGLEFINANCE(A3846,""beta"")"),1.08)</f>
        <v>1.08</v>
      </c>
    </row>
    <row r="3847">
      <c r="A3847" s="122" t="s">
        <v>8148</v>
      </c>
      <c r="B3847" s="123">
        <v>1667075.0</v>
      </c>
      <c r="C3847" s="124" t="s">
        <v>8149</v>
      </c>
      <c r="D3847" s="125"/>
      <c r="E3847" s="126">
        <v>9.37</v>
      </c>
      <c r="F3847" s="127"/>
      <c r="G3847" s="127"/>
      <c r="H3847" s="127"/>
      <c r="I3847" s="128"/>
      <c r="K3847" s="105" t="str">
        <f>IFERROR(__xludf.DUMMYFUNCTION("if(A3847="""","""",substitute(SUBSTITUTE(index(importhtml(""http://finviz.com/quote.ashx?t=""&amp;A3847,""table"",10),7,2),""*"",""""),""-"",""0.00""))"),"Loading...")</f>
        <v>Loading...</v>
      </c>
      <c r="L3847" s="129">
        <v>6.956602232E9</v>
      </c>
      <c r="M3847" s="99">
        <f>IFERROR(__xludf.DUMMYFUNCTION("GOOGLEFINANCE(A3847,""beta"")"),0.28)</f>
        <v>0.28</v>
      </c>
    </row>
    <row r="3848">
      <c r="A3848" s="122" t="s">
        <v>8150</v>
      </c>
      <c r="B3848" s="123">
        <v>830271.0</v>
      </c>
      <c r="C3848" s="124" t="s">
        <v>8151</v>
      </c>
      <c r="D3848" s="125"/>
      <c r="E3848" s="126">
        <v>9.38</v>
      </c>
      <c r="F3848" s="127"/>
      <c r="G3848" s="127"/>
      <c r="H3848" s="127"/>
      <c r="I3848" s="128"/>
      <c r="K3848" s="105" t="str">
        <f>IFERROR(__xludf.DUMMYFUNCTION("if(A3848="""","""",substitute(SUBSTITUTE(index(importhtml(""http://finviz.com/quote.ashx?t=""&amp;A3848,""table"",10),7,2),""*"",""""),""-"",""0.00""))"),"Loading...")</f>
        <v>Loading...</v>
      </c>
      <c r="L3848" s="129">
        <v>9.4279225E7</v>
      </c>
      <c r="M3848" s="99">
        <v>0.22</v>
      </c>
    </row>
    <row r="3849">
      <c r="A3849" s="122" t="s">
        <v>8152</v>
      </c>
      <c r="B3849" s="123">
        <v>1865107.0</v>
      </c>
      <c r="C3849" s="124" t="s">
        <v>8153</v>
      </c>
      <c r="D3849" s="125"/>
      <c r="E3849" s="126">
        <v>9.39</v>
      </c>
      <c r="F3849" s="127"/>
      <c r="G3849" s="127"/>
      <c r="H3849" s="127"/>
      <c r="I3849" s="128"/>
      <c r="K3849" s="55" t="s">
        <v>1034</v>
      </c>
      <c r="L3849" s="129">
        <v>9.9790465E7</v>
      </c>
      <c r="M3849" s="99">
        <f>IFERROR(__xludf.DUMMYFUNCTION("GOOGLEFINANCE(A3849,""beta"")"),1.63)</f>
        <v>1.63</v>
      </c>
    </row>
    <row r="3850">
      <c r="A3850" s="122" t="s">
        <v>8154</v>
      </c>
      <c r="B3850" s="123">
        <v>1825024.0</v>
      </c>
      <c r="C3850" s="124" t="s">
        <v>8155</v>
      </c>
      <c r="D3850" s="125"/>
      <c r="E3850" s="126">
        <v>9.39</v>
      </c>
      <c r="F3850" s="127"/>
      <c r="G3850" s="127"/>
      <c r="H3850" s="127"/>
      <c r="I3850" s="128"/>
      <c r="K3850" s="105" t="str">
        <f>IFERROR(__xludf.DUMMYFUNCTION("if(A3850="""","""",substitute(SUBSTITUTE(index(importhtml(""http://finviz.com/quote.ashx?t=""&amp;A3850,""table"",10),7,2),""*"",""""),""-"",""0.00""))"),"Loading...")</f>
        <v>Loading...</v>
      </c>
      <c r="L3850" s="129">
        <v>2.55717128E8</v>
      </c>
      <c r="M3850" s="99">
        <v>2.15</v>
      </c>
    </row>
    <row r="3851">
      <c r="A3851" s="122" t="s">
        <v>8156</v>
      </c>
      <c r="B3851" s="123">
        <v>1475348.0</v>
      </c>
      <c r="C3851" s="124" t="s">
        <v>8157</v>
      </c>
      <c r="D3851" s="125"/>
      <c r="E3851" s="126">
        <v>9.39</v>
      </c>
      <c r="F3851" s="127"/>
      <c r="G3851" s="127"/>
      <c r="H3851" s="127"/>
      <c r="I3851" s="128"/>
      <c r="K3851" s="105" t="str">
        <f>IFERROR(__xludf.DUMMYFUNCTION("if(A3851="""","""",substitute(SUBSTITUTE(index(importhtml(""http://finviz.com/quote.ashx?t=""&amp;A3851,""table"",10),7,2),""*"",""""),""-"",""0.00""))"),"Loading...")</f>
        <v>Loading...</v>
      </c>
      <c r="L3851" s="129">
        <v>4.79049084E8</v>
      </c>
      <c r="M3851" s="99">
        <v>0.69</v>
      </c>
    </row>
    <row r="3852">
      <c r="A3852" s="122" t="s">
        <v>8158</v>
      </c>
      <c r="B3852" s="123">
        <v>1748790.0</v>
      </c>
      <c r="C3852" s="124" t="s">
        <v>8159</v>
      </c>
      <c r="D3852" s="125"/>
      <c r="E3852" s="126">
        <v>9.39</v>
      </c>
      <c r="F3852" s="127"/>
      <c r="G3852" s="127"/>
      <c r="H3852" s="127"/>
      <c r="I3852" s="128"/>
      <c r="K3852" s="105" t="str">
        <f>IFERROR(__xludf.DUMMYFUNCTION("if(A3852="""","""",substitute(SUBSTITUTE(index(importhtml(""http://finviz.com/quote.ashx?t=""&amp;A3852,""table"",10),7,2),""*"",""""),""-"",""0.00""))"),"Loading...")</f>
        <v>Loading...</v>
      </c>
      <c r="L3852" s="129">
        <v>1.3571771266E10</v>
      </c>
      <c r="M3852" s="99">
        <v>0.84</v>
      </c>
    </row>
    <row r="3853">
      <c r="A3853" s="122" t="s">
        <v>8160</v>
      </c>
      <c r="B3853" s="123">
        <v>1595974.0</v>
      </c>
      <c r="C3853" s="124" t="s">
        <v>8161</v>
      </c>
      <c r="D3853" s="125"/>
      <c r="E3853" s="126">
        <v>9.4</v>
      </c>
      <c r="F3853" s="127"/>
      <c r="G3853" s="127"/>
      <c r="H3853" s="127"/>
      <c r="I3853" s="128"/>
      <c r="K3853" s="105" t="str">
        <f>IFERROR(__xludf.DUMMYFUNCTION("if(A3853="""","""",substitute(SUBSTITUTE(index(importhtml(""http://finviz.com/quote.ashx?t=""&amp;A3853,""table"",10),7,2),""*"",""""),""-"",""0.00""))"),"Loading...")</f>
        <v>Loading...</v>
      </c>
      <c r="L3853" s="129">
        <v>1.295798407E9</v>
      </c>
      <c r="M3853" s="99">
        <v>2.24</v>
      </c>
    </row>
    <row r="3854">
      <c r="A3854" s="122" t="s">
        <v>8162</v>
      </c>
      <c r="B3854" s="123">
        <v>1846017.0</v>
      </c>
      <c r="C3854" s="124" t="s">
        <v>8163</v>
      </c>
      <c r="D3854" s="125"/>
      <c r="E3854" s="126">
        <v>9.41</v>
      </c>
      <c r="F3854" s="127"/>
      <c r="G3854" s="127"/>
      <c r="H3854" s="127"/>
      <c r="I3854" s="128"/>
      <c r="K3854" s="105" t="str">
        <f>IFERROR(__xludf.DUMMYFUNCTION("if(A3854="""","""",substitute(SUBSTITUTE(index(importhtml(""http://finviz.com/quote.ashx?t=""&amp;A3854,""table"",10),7,2),""*"",""""),""-"",""0.00""))"),"Loading...")</f>
        <v>Loading...</v>
      </c>
      <c r="L3854" s="129">
        <v>2.30638531E8</v>
      </c>
      <c r="M3854" s="99">
        <f>IFERROR(__xludf.DUMMYFUNCTION("GOOGLEFINANCE(A3854,""beta"")"),0.59)</f>
        <v>0.59</v>
      </c>
    </row>
    <row r="3855">
      <c r="A3855" s="122" t="s">
        <v>8164</v>
      </c>
      <c r="B3855" s="123">
        <v>1852973.0</v>
      </c>
      <c r="C3855" s="124" t="s">
        <v>1633</v>
      </c>
      <c r="D3855" s="125"/>
      <c r="E3855" s="126">
        <v>9.43</v>
      </c>
      <c r="F3855" s="127"/>
      <c r="G3855" s="127"/>
      <c r="H3855" s="127"/>
      <c r="I3855" s="128"/>
      <c r="K3855" s="105" t="str">
        <f>IFERROR(__xludf.DUMMYFUNCTION("if(A3855="""","""",substitute(SUBSTITUTE(index(importhtml(""http://finviz.com/quote.ashx?t=""&amp;A3855,""table"",10),7,2),""*"",""""),""-"",""0.00""))"),"Loading...")</f>
        <v>Loading...</v>
      </c>
      <c r="L3855" s="129">
        <v>6.1786597E7</v>
      </c>
      <c r="M3855" s="99" t="str">
        <f>IFERROR(__xludf.DUMMYFUNCTION("GOOGLEFINANCE(A3855,""beta"")"),"#N/A")</f>
        <v>#N/A</v>
      </c>
    </row>
    <row r="3856">
      <c r="A3856" s="122" t="s">
        <v>8165</v>
      </c>
      <c r="B3856" s="123">
        <v>809248.0</v>
      </c>
      <c r="C3856" s="124" t="s">
        <v>8166</v>
      </c>
      <c r="D3856" s="125"/>
      <c r="E3856" s="126">
        <v>9.43</v>
      </c>
      <c r="F3856" s="127"/>
      <c r="G3856" s="127"/>
      <c r="H3856" s="127"/>
      <c r="I3856" s="128"/>
      <c r="K3856" s="105" t="str">
        <f>IFERROR(__xludf.DUMMYFUNCTION("if(A3856="""","""",substitute(SUBSTITUTE(index(importhtml(""http://finviz.com/quote.ashx?t=""&amp;A3856,""table"",10),7,2),""*"",""""),""-"",""0.00""))"),"Loading...")</f>
        <v>Loading...</v>
      </c>
      <c r="L3856" s="129">
        <v>4.86610081E8</v>
      </c>
      <c r="M3856" s="99">
        <v>2.55</v>
      </c>
    </row>
    <row r="3857">
      <c r="A3857" s="122" t="s">
        <v>8167</v>
      </c>
      <c r="B3857" s="123">
        <v>1598646.0</v>
      </c>
      <c r="C3857" s="124" t="s">
        <v>8168</v>
      </c>
      <c r="D3857" s="125"/>
      <c r="E3857" s="126">
        <v>9.44</v>
      </c>
      <c r="F3857" s="127"/>
      <c r="G3857" s="127"/>
      <c r="H3857" s="127"/>
      <c r="I3857" s="128"/>
      <c r="K3857" s="105" t="str">
        <f>IFERROR(__xludf.DUMMYFUNCTION("if(A3857="""","""",substitute(SUBSTITUTE(index(importhtml(""http://finviz.com/quote.ashx?t=""&amp;A3857,""table"",10),7,2),""*"",""""),""-"",""0.00""))"),"Loading...")</f>
        <v>Loading...</v>
      </c>
      <c r="L3857" s="129">
        <v>6.601774E7</v>
      </c>
      <c r="M3857" s="99">
        <f>IFERROR(__xludf.DUMMYFUNCTION("GOOGLEFINANCE(A3857,""beta"")"),-0.95)</f>
        <v>-0.95</v>
      </c>
    </row>
    <row r="3858">
      <c r="A3858" s="122" t="s">
        <v>8169</v>
      </c>
      <c r="B3858" s="123">
        <v>918251.0</v>
      </c>
      <c r="C3858" s="124" t="s">
        <v>8170</v>
      </c>
      <c r="D3858" s="125"/>
      <c r="E3858" s="126">
        <v>9.45</v>
      </c>
      <c r="F3858" s="127"/>
      <c r="G3858" s="127"/>
      <c r="H3858" s="127"/>
      <c r="I3858" s="128"/>
      <c r="K3858" s="105" t="str">
        <f>IFERROR(__xludf.DUMMYFUNCTION("if(A3858="""","""",substitute(SUBSTITUTE(index(importhtml(""http://finviz.com/quote.ashx?t=""&amp;A3858,""table"",10),7,2),""*"",""""),""-"",""0.00""))"),"Loading...")</f>
        <v>Loading...</v>
      </c>
      <c r="L3858" s="129">
        <v>1.85290304E8</v>
      </c>
      <c r="M3858" s="99">
        <v>1.47</v>
      </c>
    </row>
    <row r="3859">
      <c r="A3859" s="122" t="s">
        <v>8171</v>
      </c>
      <c r="B3859" s="123">
        <v>1541401.0</v>
      </c>
      <c r="C3859" s="124" t="s">
        <v>8172</v>
      </c>
      <c r="D3859" s="125"/>
      <c r="E3859" s="126">
        <v>9.45</v>
      </c>
      <c r="F3859" s="127"/>
      <c r="G3859" s="127"/>
      <c r="H3859" s="127"/>
      <c r="I3859" s="128"/>
      <c r="K3859" s="105" t="str">
        <f>IFERROR(__xludf.DUMMYFUNCTION("if(A3859="""","""",substitute(SUBSTITUTE(index(importhtml(""http://finviz.com/quote.ashx?t=""&amp;A3859,""table"",10),7,2),""*"",""""),""-"",""0.00""))"),"Loading...")</f>
        <v>Loading...</v>
      </c>
      <c r="L3859" s="129">
        <v>1.535434079E9</v>
      </c>
      <c r="M3859" s="99">
        <v>1.29</v>
      </c>
    </row>
    <row r="3860">
      <c r="A3860" s="122" t="s">
        <v>8173</v>
      </c>
      <c r="B3860" s="123">
        <v>67088.0</v>
      </c>
      <c r="C3860" s="124" t="s">
        <v>8174</v>
      </c>
      <c r="D3860" s="125"/>
      <c r="E3860" s="126">
        <v>9.46</v>
      </c>
      <c r="F3860" s="127"/>
      <c r="G3860" s="127"/>
      <c r="H3860" s="127"/>
      <c r="I3860" s="128"/>
      <c r="K3860" s="105" t="str">
        <f>IFERROR(__xludf.DUMMYFUNCTION("if(A3860="""","""",substitute(SUBSTITUTE(index(importhtml(""http://finviz.com/quote.ashx?t=""&amp;A3860,""table"",10),7,2),""*"",""""),""-"",""0.00""))"),"Loading...")</f>
        <v>Loading...</v>
      </c>
      <c r="L3860" s="129">
        <v>1.17168904103E11</v>
      </c>
      <c r="M3860" s="99">
        <v>0.57</v>
      </c>
    </row>
    <row r="3861">
      <c r="A3861" s="122" t="s">
        <v>8175</v>
      </c>
      <c r="B3861" s="123">
        <v>1227073.0</v>
      </c>
      <c r="C3861" s="124" t="s">
        <v>8176</v>
      </c>
      <c r="D3861" s="125"/>
      <c r="E3861" s="126">
        <v>9.47</v>
      </c>
      <c r="F3861" s="127"/>
      <c r="G3861" s="127"/>
      <c r="H3861" s="127"/>
      <c r="I3861" s="128"/>
      <c r="K3861" s="55" t="s">
        <v>7398</v>
      </c>
      <c r="L3861" s="129">
        <v>2.65787584E8</v>
      </c>
      <c r="M3861" s="99">
        <v>0.7</v>
      </c>
    </row>
    <row r="3862">
      <c r="A3862" s="122" t="s">
        <v>8177</v>
      </c>
      <c r="B3862" s="123">
        <v>1360214.0</v>
      </c>
      <c r="C3862" s="124" t="s">
        <v>8178</v>
      </c>
      <c r="D3862" s="125"/>
      <c r="E3862" s="126">
        <v>9.47</v>
      </c>
      <c r="F3862" s="127"/>
      <c r="G3862" s="127"/>
      <c r="H3862" s="127"/>
      <c r="I3862" s="128"/>
      <c r="K3862" s="105" t="str">
        <f>IFERROR(__xludf.DUMMYFUNCTION("if(A3862="""","""",substitute(SUBSTITUTE(index(importhtml(""http://finviz.com/quote.ashx?t=""&amp;A3862,""table"",10),7,2),""*"",""""),""-"",""0.00""))"),"Loading...")</f>
        <v>Loading...</v>
      </c>
      <c r="L3862" s="129">
        <v>3.32565007E8</v>
      </c>
      <c r="M3862" s="99">
        <v>0.44</v>
      </c>
    </row>
    <row r="3863">
      <c r="A3863" s="122" t="s">
        <v>8179</v>
      </c>
      <c r="B3863" s="123">
        <v>67088.0</v>
      </c>
      <c r="C3863" s="124" t="s">
        <v>8174</v>
      </c>
      <c r="D3863" s="125"/>
      <c r="E3863" s="126">
        <v>9.47</v>
      </c>
      <c r="F3863" s="127"/>
      <c r="G3863" s="127"/>
      <c r="H3863" s="127"/>
      <c r="I3863" s="128"/>
      <c r="K3863" s="105" t="str">
        <f>IFERROR(__xludf.DUMMYFUNCTION("if(A3863="""","""",substitute(SUBSTITUTE(index(importhtml(""http://finviz.com/quote.ashx?t=""&amp;A3863,""table"",10),7,2),""*"",""""),""-"",""0.00""))"),"Loading...")</f>
        <v>Loading...</v>
      </c>
      <c r="L3863" s="129">
        <v>1.732214484E13</v>
      </c>
      <c r="M3863" s="99">
        <v>0.63</v>
      </c>
    </row>
    <row r="3864">
      <c r="A3864" s="122" t="s">
        <v>8180</v>
      </c>
      <c r="B3864" s="123">
        <v>68622.0</v>
      </c>
      <c r="C3864" s="124" t="s">
        <v>8181</v>
      </c>
      <c r="D3864" s="125"/>
      <c r="E3864" s="126">
        <v>9.49</v>
      </c>
      <c r="F3864" s="127"/>
      <c r="G3864" s="127"/>
      <c r="H3864" s="127"/>
      <c r="I3864" s="128"/>
      <c r="K3864" s="105" t="str">
        <f>IFERROR(__xludf.DUMMYFUNCTION("if(A3864="""","""",substitute(SUBSTITUTE(index(importhtml(""http://finviz.com/quote.ashx?t=""&amp;A3864,""table"",10),7,2),""*"",""""),""-"",""0.00""))"),"Loading...")</f>
        <v>Loading...</v>
      </c>
      <c r="L3864" s="129">
        <v>30.0</v>
      </c>
      <c r="M3864" s="99">
        <v>0.34</v>
      </c>
    </row>
    <row r="3865">
      <c r="A3865" s="122" t="s">
        <v>8182</v>
      </c>
      <c r="B3865" s="123">
        <v>1140411.0</v>
      </c>
      <c r="C3865" s="124" t="s">
        <v>8183</v>
      </c>
      <c r="D3865" s="125"/>
      <c r="E3865" s="126">
        <v>9.49</v>
      </c>
      <c r="F3865" s="127"/>
      <c r="G3865" s="127"/>
      <c r="H3865" s="127"/>
      <c r="I3865" s="128"/>
      <c r="K3865" s="105" t="str">
        <f>IFERROR(__xludf.DUMMYFUNCTION("if(A3865="""","""",substitute(SUBSTITUTE(index(importhtml(""http://finviz.com/quote.ashx?t=""&amp;A3865,""table"",10),7,2),""*"",""""),""-"",""0.00""))"),"Loading...")</f>
        <v>Loading...</v>
      </c>
      <c r="L3865" s="129">
        <v>1.80130255E8</v>
      </c>
      <c r="M3865" s="99">
        <v>0.4</v>
      </c>
    </row>
    <row r="3866">
      <c r="A3866" s="122" t="s">
        <v>8184</v>
      </c>
      <c r="B3866" s="123">
        <v>1895597.0</v>
      </c>
      <c r="C3866" s="124" t="s">
        <v>8185</v>
      </c>
      <c r="D3866" s="125"/>
      <c r="E3866" s="126">
        <v>9.49</v>
      </c>
      <c r="F3866" s="127"/>
      <c r="G3866" s="127"/>
      <c r="H3866" s="127"/>
      <c r="I3866" s="128"/>
      <c r="K3866" s="105" t="str">
        <f>IFERROR(__xludf.DUMMYFUNCTION("if(A3866="""","""",substitute(SUBSTITUTE(index(importhtml(""http://finviz.com/quote.ashx?t=""&amp;A3866,""table"",10),7,2),""*"",""""),""-"",""0.00""))"),"Loading...")</f>
        <v>Loading...</v>
      </c>
      <c r="L3866" s="129">
        <v>5.678135E8</v>
      </c>
      <c r="M3866" s="99" t="str">
        <f>IFERROR(__xludf.DUMMYFUNCTION("GOOGLEFINANCE(A3866,""beta"")"),"#N/A")</f>
        <v>#N/A</v>
      </c>
    </row>
    <row r="3867">
      <c r="A3867" s="122" t="s">
        <v>8186</v>
      </c>
      <c r="B3867" s="123">
        <v>912093.0</v>
      </c>
      <c r="C3867" s="124" t="s">
        <v>8187</v>
      </c>
      <c r="D3867" s="125"/>
      <c r="E3867" s="126">
        <v>9.49</v>
      </c>
      <c r="F3867" s="127"/>
      <c r="G3867" s="127"/>
      <c r="H3867" s="127"/>
      <c r="I3867" s="128"/>
      <c r="K3867" s="105" t="str">
        <f>IFERROR(__xludf.DUMMYFUNCTION("if(A3867="""","""",substitute(SUBSTITUTE(index(importhtml(""http://finviz.com/quote.ashx?t=""&amp;A3867,""table"",10),7,2),""*"",""""),""-"",""0.00""))"),"Loading...")</f>
        <v>Loading...</v>
      </c>
      <c r="L3867" s="129">
        <v>2.110523754E9</v>
      </c>
      <c r="M3867" s="99">
        <v>0.99</v>
      </c>
    </row>
    <row r="3868">
      <c r="A3868" s="122" t="s">
        <v>8188</v>
      </c>
      <c r="B3868" s="123">
        <v>1551040.0</v>
      </c>
      <c r="C3868" s="124" t="s">
        <v>8189</v>
      </c>
      <c r="D3868" s="125"/>
      <c r="E3868" s="126">
        <v>9.5</v>
      </c>
      <c r="F3868" s="127"/>
      <c r="G3868" s="127"/>
      <c r="H3868" s="127"/>
      <c r="I3868" s="128"/>
      <c r="K3868" s="105" t="str">
        <f>IFERROR(__xludf.DUMMYFUNCTION("if(A3868="""","""",substitute(SUBSTITUTE(index(importhtml(""http://finviz.com/quote.ashx?t=""&amp;A3868,""table"",10),7,2),""*"",""""),""-"",""0.00""))"),"Loading...")</f>
        <v>Loading...</v>
      </c>
      <c r="L3868" s="129">
        <v>2.4996875E7</v>
      </c>
      <c r="M3868" s="99" t="str">
        <f>IFERROR(__xludf.DUMMYFUNCTION("GOOGLEFINANCE(A3868,""beta"")"),"#N/A")</f>
        <v>#N/A</v>
      </c>
    </row>
    <row r="3869">
      <c r="A3869" s="122" t="s">
        <v>8190</v>
      </c>
      <c r="B3869" s="123">
        <v>76321.0</v>
      </c>
      <c r="C3869" s="124" t="s">
        <v>8191</v>
      </c>
      <c r="D3869" s="125"/>
      <c r="E3869" s="126">
        <v>9.5</v>
      </c>
      <c r="F3869" s="127"/>
      <c r="G3869" s="127"/>
      <c r="H3869" s="127"/>
      <c r="I3869" s="128"/>
      <c r="K3869" s="105" t="str">
        <f>IFERROR(__xludf.DUMMYFUNCTION("if(A3869="""","""",substitute(SUBSTITUTE(index(importhtml(""http://finviz.com/quote.ashx?t=""&amp;A3869,""table"",10),7,2),""*"",""""),""-"",""0.00""))"),"Loading...")</f>
        <v>Loading...</v>
      </c>
      <c r="L3869" s="129">
        <v>1.429244E8</v>
      </c>
      <c r="M3869" s="99" t="str">
        <f>IFERROR(__xludf.DUMMYFUNCTION("GOOGLEFINANCE(A3869,""beta"")"),"#N/A")</f>
        <v>#N/A</v>
      </c>
    </row>
    <row r="3870">
      <c r="A3870" s="122" t="s">
        <v>8192</v>
      </c>
      <c r="B3870" s="123">
        <v>1835385.0</v>
      </c>
      <c r="C3870" s="124" t="s">
        <v>8193</v>
      </c>
      <c r="D3870" s="125"/>
      <c r="E3870" s="126">
        <v>9.5</v>
      </c>
      <c r="F3870" s="127"/>
      <c r="G3870" s="127"/>
      <c r="H3870" s="127"/>
      <c r="I3870" s="128"/>
      <c r="K3870" s="105" t="str">
        <f>IFERROR(__xludf.DUMMYFUNCTION("if(A3870="""","""",substitute(SUBSTITUTE(index(importhtml(""http://finviz.com/quote.ashx?t=""&amp;A3870,""table"",10),7,2),""*"",""""),""-"",""0.00""))"),"Loading...")</f>
        <v>Loading...</v>
      </c>
      <c r="L3870" s="129" t="e">
        <v>#N/A</v>
      </c>
      <c r="M3870" s="99" t="str">
        <f>IFERROR(__xludf.DUMMYFUNCTION("GOOGLEFINANCE(A3870,""beta"")"),"#N/A")</f>
        <v>#N/A</v>
      </c>
    </row>
    <row r="3871">
      <c r="A3871" s="122" t="s">
        <v>8194</v>
      </c>
      <c r="B3871" s="123">
        <v>842180.0</v>
      </c>
      <c r="C3871" s="124" t="s">
        <v>8195</v>
      </c>
      <c r="D3871" s="125"/>
      <c r="E3871" s="126">
        <v>9.51</v>
      </c>
      <c r="F3871" s="127"/>
      <c r="G3871" s="127"/>
      <c r="H3871" s="127"/>
      <c r="I3871" s="128"/>
      <c r="K3871" s="105" t="str">
        <f>IFERROR(__xludf.DUMMYFUNCTION("if(A3871="""","""",substitute(SUBSTITUTE(index(importhtml(""http://finviz.com/quote.ashx?t=""&amp;A3871,""table"",10),7,2),""*"",""""),""-"",""0.00""))"),"Loading...")</f>
        <v>Loading...</v>
      </c>
      <c r="L3871" s="129">
        <v>5.5923455839E10</v>
      </c>
      <c r="M3871" s="99">
        <v>1.53</v>
      </c>
    </row>
    <row r="3872">
      <c r="A3872" s="122" t="s">
        <v>8196</v>
      </c>
      <c r="B3872" s="123">
        <v>877463.0</v>
      </c>
      <c r="C3872" s="124" t="s">
        <v>8197</v>
      </c>
      <c r="D3872" s="125"/>
      <c r="E3872" s="126">
        <v>9.52</v>
      </c>
      <c r="F3872" s="127"/>
      <c r="G3872" s="127"/>
      <c r="H3872" s="127"/>
      <c r="I3872" s="128"/>
      <c r="K3872" s="105" t="str">
        <f>IFERROR(__xludf.DUMMYFUNCTION("if(A3872="""","""",substitute(SUBSTITUTE(index(importhtml(""http://finviz.com/quote.ashx?t=""&amp;A3872,""table"",10),7,2),""*"",""""),""-"",""0.00""))"),"Loading...")</f>
        <v>Loading...</v>
      </c>
      <c r="L3872" s="129">
        <v>5.2679408E8</v>
      </c>
      <c r="M3872" s="99">
        <v>0.5</v>
      </c>
    </row>
    <row r="3873">
      <c r="A3873" s="122" t="s">
        <v>8198</v>
      </c>
      <c r="B3873" s="123">
        <v>1305767.0</v>
      </c>
      <c r="C3873" s="124" t="s">
        <v>8199</v>
      </c>
      <c r="D3873" s="125"/>
      <c r="E3873" s="126">
        <v>9.53</v>
      </c>
      <c r="F3873" s="127"/>
      <c r="G3873" s="127"/>
      <c r="H3873" s="127"/>
      <c r="I3873" s="128"/>
      <c r="K3873" s="105" t="str">
        <f>IFERROR(__xludf.DUMMYFUNCTION("if(A3873="""","""",substitute(SUBSTITUTE(index(importhtml(""http://finviz.com/quote.ashx?t=""&amp;A3873,""table"",10),7,2),""*"",""""),""-"",""0.00""))"),"Loading...")</f>
        <v>Loading...</v>
      </c>
      <c r="L3873" s="129">
        <v>1.17933079E8</v>
      </c>
      <c r="M3873" s="99">
        <v>0.61</v>
      </c>
    </row>
    <row r="3874">
      <c r="A3874" s="122" t="s">
        <v>8200</v>
      </c>
      <c r="B3874" s="123">
        <v>1286613.0</v>
      </c>
      <c r="C3874" s="124" t="s">
        <v>8201</v>
      </c>
      <c r="D3874" s="125"/>
      <c r="E3874" s="126">
        <v>9.53</v>
      </c>
      <c r="F3874" s="127"/>
      <c r="G3874" s="127"/>
      <c r="H3874" s="127"/>
      <c r="I3874" s="128"/>
      <c r="K3874" s="105" t="str">
        <f>IFERROR(__xludf.DUMMYFUNCTION("if(A3874="""","""",substitute(SUBSTITUTE(index(importhtml(""http://finviz.com/quote.ashx?t=""&amp;A3874,""table"",10),7,2),""*"",""""),""-"",""0.00""))"),"#REF!")</f>
        <v>#REF!</v>
      </c>
      <c r="L3874" s="129">
        <v>2.98852214E8</v>
      </c>
      <c r="M3874" s="99">
        <v>1.34</v>
      </c>
    </row>
    <row r="3875">
      <c r="A3875" s="122" t="s">
        <v>8202</v>
      </c>
      <c r="B3875" s="123">
        <v>921638.0</v>
      </c>
      <c r="C3875" s="124" t="s">
        <v>8203</v>
      </c>
      <c r="D3875" s="125"/>
      <c r="E3875" s="126">
        <v>9.54</v>
      </c>
      <c r="F3875" s="127"/>
      <c r="G3875" s="127"/>
      <c r="H3875" s="127"/>
      <c r="I3875" s="128"/>
      <c r="K3875" s="105" t="str">
        <f>IFERROR(__xludf.DUMMYFUNCTION("if(A3875="""","""",substitute(SUBSTITUTE(index(importhtml(""http://finviz.com/quote.ashx?t=""&amp;A3875,""table"",10),7,2),""*"",""""),""-"",""0.00""))"),"Loading...")</f>
        <v>Loading...</v>
      </c>
      <c r="L3875" s="129">
        <v>1.93615921E9</v>
      </c>
      <c r="M3875" s="99">
        <v>0.96</v>
      </c>
    </row>
    <row r="3876">
      <c r="A3876" s="122" t="s">
        <v>8204</v>
      </c>
      <c r="B3876" s="123">
        <v>1337013.0</v>
      </c>
      <c r="C3876" s="124" t="s">
        <v>8205</v>
      </c>
      <c r="D3876" s="125"/>
      <c r="E3876" s="126">
        <v>9.55</v>
      </c>
      <c r="F3876" s="127"/>
      <c r="G3876" s="127"/>
      <c r="H3876" s="127"/>
      <c r="I3876" s="128"/>
      <c r="K3876" s="105" t="str">
        <f>IFERROR(__xludf.DUMMYFUNCTION("if(A3876="""","""",substitute(SUBSTITUTE(index(importhtml(""http://finviz.com/quote.ashx?t=""&amp;A3876,""table"",10),7,2),""*"",""""),""-"",""0.00""))"),"Loading...")</f>
        <v>Loading...</v>
      </c>
      <c r="L3876" s="129">
        <v>2.0230262E8</v>
      </c>
      <c r="M3876" s="99">
        <v>1.28</v>
      </c>
    </row>
    <row r="3877">
      <c r="A3877" s="122" t="s">
        <v>8206</v>
      </c>
      <c r="B3877" s="123">
        <v>1423689.0</v>
      </c>
      <c r="C3877" s="124" t="s">
        <v>8207</v>
      </c>
      <c r="D3877" s="125"/>
      <c r="E3877" s="126">
        <v>9.55</v>
      </c>
      <c r="F3877" s="127"/>
      <c r="G3877" s="127"/>
      <c r="H3877" s="127"/>
      <c r="I3877" s="128"/>
      <c r="K3877" s="105" t="str">
        <f>IFERROR(__xludf.DUMMYFUNCTION("if(A3877="""","""",substitute(SUBSTITUTE(index(importhtml(""http://finviz.com/quote.ashx?t=""&amp;A3877,""table"",10),7,2),""*"",""""),""-"",""0.00""))"),"Loading...")</f>
        <v>Loading...</v>
      </c>
      <c r="L3877" s="129">
        <v>6.409060518E9</v>
      </c>
      <c r="M3877" s="99">
        <v>1.45</v>
      </c>
    </row>
    <row r="3878">
      <c r="A3878" s="122" t="s">
        <v>8208</v>
      </c>
      <c r="B3878" s="123">
        <v>1058255.0</v>
      </c>
      <c r="C3878" s="124" t="s">
        <v>8209</v>
      </c>
      <c r="D3878" s="125"/>
      <c r="E3878" s="126">
        <v>9.55</v>
      </c>
      <c r="F3878" s="127"/>
      <c r="G3878" s="127"/>
      <c r="H3878" s="127"/>
      <c r="I3878" s="128"/>
      <c r="K3878" s="105" t="str">
        <f>IFERROR(__xludf.DUMMYFUNCTION("if(A3878="""","""",substitute(SUBSTITUTE(index(importhtml(""http://finviz.com/quote.ashx?t=""&amp;A3878,""table"",10),7,2),""*"",""""),""-"",""0.00""))"),"Loading...")</f>
        <v>Loading...</v>
      </c>
      <c r="L3878" s="129">
        <v>1.650505E12</v>
      </c>
      <c r="M3878" s="99" t="str">
        <f>IFERROR(__xludf.DUMMYFUNCTION("GOOGLEFINANCE(A3878,""beta"")"),"#N/A")</f>
        <v>#N/A</v>
      </c>
    </row>
    <row r="3879">
      <c r="A3879" s="122" t="s">
        <v>8210</v>
      </c>
      <c r="B3879" s="123">
        <v>1436794.0</v>
      </c>
      <c r="C3879" s="124" t="s">
        <v>8211</v>
      </c>
      <c r="D3879" s="125"/>
      <c r="E3879" s="126">
        <v>9.56</v>
      </c>
      <c r="F3879" s="127"/>
      <c r="G3879" s="127"/>
      <c r="H3879" s="127"/>
      <c r="I3879" s="128"/>
      <c r="K3879" s="105" t="str">
        <f>IFERROR(__xludf.DUMMYFUNCTION("if(A3879="""","""",substitute(SUBSTITUTE(index(importhtml(""http://finviz.com/quote.ashx?t=""&amp;A3879,""table"",10),7,2),""*"",""""),""-"",""0.00""))"),"Loading...")</f>
        <v>Loading...</v>
      </c>
      <c r="L3879" s="129">
        <v>7.20348936E9</v>
      </c>
      <c r="M3879" s="99">
        <v>0.81</v>
      </c>
    </row>
    <row r="3880">
      <c r="A3880" s="122" t="s">
        <v>8212</v>
      </c>
      <c r="B3880" s="123">
        <v>1364954.0</v>
      </c>
      <c r="C3880" s="124" t="s">
        <v>8213</v>
      </c>
      <c r="D3880" s="125"/>
      <c r="E3880" s="126">
        <v>9.57</v>
      </c>
      <c r="F3880" s="127"/>
      <c r="G3880" s="127"/>
      <c r="H3880" s="127"/>
      <c r="I3880" s="128"/>
      <c r="K3880" s="105" t="str">
        <f>IFERROR(__xludf.DUMMYFUNCTION("if(A3880="""","""",substitute(SUBSTITUTE(index(importhtml(""http://finviz.com/quote.ashx?t=""&amp;A3880,""table"",10),7,2),""*"",""""),""-"",""0.00""))"),"Loading...")</f>
        <v>Loading...</v>
      </c>
      <c r="L3880" s="129">
        <v>1.108348557E9</v>
      </c>
      <c r="M3880" s="99">
        <v>1.33</v>
      </c>
    </row>
    <row r="3881">
      <c r="A3881" s="122" t="s">
        <v>8214</v>
      </c>
      <c r="B3881" s="123">
        <v>1859392.0</v>
      </c>
      <c r="C3881" s="124" t="s">
        <v>8215</v>
      </c>
      <c r="D3881" s="125"/>
      <c r="E3881" s="126">
        <v>9.57</v>
      </c>
      <c r="F3881" s="127"/>
      <c r="G3881" s="127"/>
      <c r="H3881" s="127"/>
      <c r="I3881" s="128"/>
      <c r="K3881" s="105" t="str">
        <f>IFERROR(__xludf.DUMMYFUNCTION("if(A3881="""","""",substitute(SUBSTITUTE(index(importhtml(""http://finviz.com/quote.ashx?t=""&amp;A3881,""table"",10),7,2),""*"",""""),""-"",""0.00""))"),"Loading...")</f>
        <v>Loading...</v>
      </c>
      <c r="L3881" s="129">
        <v>3.228865262E9</v>
      </c>
      <c r="M3881" s="99">
        <v>3.19</v>
      </c>
    </row>
    <row r="3882">
      <c r="A3882" s="122" t="s">
        <v>8216</v>
      </c>
      <c r="B3882" s="123">
        <v>1140392.0</v>
      </c>
      <c r="C3882" s="124" t="s">
        <v>8217</v>
      </c>
      <c r="D3882" s="125"/>
      <c r="E3882" s="126">
        <v>9.58</v>
      </c>
      <c r="F3882" s="127"/>
      <c r="G3882" s="127"/>
      <c r="H3882" s="127"/>
      <c r="I3882" s="128"/>
      <c r="K3882" s="105" t="str">
        <f>IFERROR(__xludf.DUMMYFUNCTION("if(A3882="""","""",substitute(SUBSTITUTE(index(importhtml(""http://finviz.com/quote.ashx?t=""&amp;A3882,""table"",10),7,2),""*"",""""),""-"",""0.00""))"),"Loading...")</f>
        <v>Loading...</v>
      </c>
      <c r="L3882" s="129">
        <v>2.51244503E8</v>
      </c>
      <c r="M3882" s="99">
        <v>0.58</v>
      </c>
    </row>
    <row r="3883">
      <c r="A3883" s="122" t="s">
        <v>8218</v>
      </c>
      <c r="B3883" s="123">
        <v>1553079.0</v>
      </c>
      <c r="C3883" s="124" t="s">
        <v>8219</v>
      </c>
      <c r="D3883" s="125"/>
      <c r="E3883" s="126">
        <v>9.58</v>
      </c>
      <c r="F3883" s="127"/>
      <c r="G3883" s="127"/>
      <c r="H3883" s="127"/>
      <c r="I3883" s="128"/>
      <c r="K3883" s="105" t="str">
        <f>IFERROR(__xludf.DUMMYFUNCTION("if(A3883="""","""",substitute(SUBSTITUTE(index(importhtml(""http://finviz.com/quote.ashx?t=""&amp;A3883,""table"",10),7,2),""*"",""""),""-"",""0.00""))"),"#REF!")</f>
        <v>#REF!</v>
      </c>
      <c r="L3883" s="129">
        <v>2.68956102E8</v>
      </c>
      <c r="M3883" s="99" t="str">
        <f>IFERROR(__xludf.DUMMYFUNCTION("GOOGLEFINANCE(A3883,""beta"")"),"#N/A")</f>
        <v>#N/A</v>
      </c>
    </row>
    <row r="3884">
      <c r="A3884" s="122" t="s">
        <v>8220</v>
      </c>
      <c r="B3884" s="123">
        <v>885125.0</v>
      </c>
      <c r="C3884" s="124" t="s">
        <v>8221</v>
      </c>
      <c r="D3884" s="125"/>
      <c r="E3884" s="126">
        <v>9.58</v>
      </c>
      <c r="F3884" s="127"/>
      <c r="G3884" s="127"/>
      <c r="H3884" s="127"/>
      <c r="I3884" s="128"/>
      <c r="K3884" s="105" t="str">
        <f>IFERROR(__xludf.DUMMYFUNCTION("if(A3884="""","""",substitute(SUBSTITUTE(index(importhtml(""http://finviz.com/quote.ashx?t=""&amp;A3884,""table"",10),7,2),""*"",""""),""-"",""0.00""))"),"Loading...")</f>
        <v>Loading...</v>
      </c>
      <c r="L3884" s="129">
        <v>5.06626799E8</v>
      </c>
      <c r="M3884" s="99">
        <v>0.56</v>
      </c>
    </row>
    <row r="3885">
      <c r="A3885" s="122" t="s">
        <v>8222</v>
      </c>
      <c r="B3885" s="123">
        <v>884152.0</v>
      </c>
      <c r="C3885" s="124" t="s">
        <v>8223</v>
      </c>
      <c r="D3885" s="125"/>
      <c r="E3885" s="126">
        <v>9.58</v>
      </c>
      <c r="F3885" s="127"/>
      <c r="G3885" s="127"/>
      <c r="H3885" s="127"/>
      <c r="I3885" s="128"/>
      <c r="K3885" s="105" t="str">
        <f>IFERROR(__xludf.DUMMYFUNCTION("if(A3885="""","""",substitute(SUBSTITUTE(index(importhtml(""http://finviz.com/quote.ashx?t=""&amp;A3885,""table"",10),7,2),""*"",""""),""-"",""0.00""))"),"Loading...")</f>
        <v>Loading...</v>
      </c>
      <c r="L3885" s="129">
        <v>6.46081709E8</v>
      </c>
      <c r="M3885" s="99">
        <v>0.53</v>
      </c>
    </row>
    <row r="3886">
      <c r="A3886" s="122" t="s">
        <v>8224</v>
      </c>
      <c r="B3886" s="123">
        <v>1438569.0</v>
      </c>
      <c r="C3886" s="124" t="s">
        <v>8225</v>
      </c>
      <c r="D3886" s="125"/>
      <c r="E3886" s="126">
        <v>9.58</v>
      </c>
      <c r="F3886" s="127"/>
      <c r="G3886" s="127"/>
      <c r="H3886" s="127"/>
      <c r="I3886" s="128"/>
      <c r="K3886" s="105" t="str">
        <f>IFERROR(__xludf.DUMMYFUNCTION("if(A3886="""","""",substitute(SUBSTITUTE(index(importhtml(""http://finviz.com/quote.ashx?t=""&amp;A3886,""table"",10),7,2),""*"",""""),""-"",""0.00""))"),"Loading...")</f>
        <v>Loading...</v>
      </c>
      <c r="L3886" s="129">
        <v>6.81821185E9</v>
      </c>
      <c r="M3886" s="99">
        <v>0.67</v>
      </c>
    </row>
    <row r="3887">
      <c r="A3887" s="122" t="s">
        <v>8226</v>
      </c>
      <c r="B3887" s="123">
        <v>1391437.0</v>
      </c>
      <c r="C3887" s="124" t="s">
        <v>8227</v>
      </c>
      <c r="D3887" s="125"/>
      <c r="E3887" s="126">
        <v>9.59</v>
      </c>
      <c r="F3887" s="127"/>
      <c r="G3887" s="127"/>
      <c r="H3887" s="127"/>
      <c r="I3887" s="128"/>
      <c r="K3887" s="105" t="str">
        <f>IFERROR(__xludf.DUMMYFUNCTION("if(A3887="""","""",substitute(SUBSTITUTE(index(importhtml(""http://finviz.com/quote.ashx?t=""&amp;A3887,""table"",10),7,2),""*"",""""),""-"",""0.00""))"),"Loading...")</f>
        <v>Loading...</v>
      </c>
      <c r="L3887" s="129">
        <v>1.59960818E8</v>
      </c>
      <c r="M3887" s="99">
        <v>1.01</v>
      </c>
    </row>
    <row r="3888">
      <c r="A3888" s="122" t="s">
        <v>8228</v>
      </c>
      <c r="B3888" s="123">
        <v>1534154.0</v>
      </c>
      <c r="C3888" s="124" t="s">
        <v>8229</v>
      </c>
      <c r="D3888" s="125"/>
      <c r="E3888" s="126">
        <v>9.6</v>
      </c>
      <c r="F3888" s="127"/>
      <c r="G3888" s="127"/>
      <c r="H3888" s="127"/>
      <c r="I3888" s="128"/>
      <c r="K3888" s="105" t="str">
        <f>IFERROR(__xludf.DUMMYFUNCTION("if(A3888="""","""",substitute(SUBSTITUTE(index(importhtml(""http://finviz.com/quote.ashx?t=""&amp;A3888,""table"",10),7,2),""*"",""""),""-"",""0.00""))"),"Loading...")</f>
        <v>Loading...</v>
      </c>
      <c r="L3888" s="129">
        <v>9.0719533E7</v>
      </c>
      <c r="M3888" s="99">
        <v>2.55</v>
      </c>
    </row>
    <row r="3889">
      <c r="A3889" s="122" t="s">
        <v>8230</v>
      </c>
      <c r="B3889" s="123">
        <v>805928.0</v>
      </c>
      <c r="C3889" s="124" t="s">
        <v>8231</v>
      </c>
      <c r="D3889" s="125"/>
      <c r="E3889" s="126">
        <v>9.6</v>
      </c>
      <c r="F3889" s="127"/>
      <c r="G3889" s="127"/>
      <c r="H3889" s="127"/>
      <c r="I3889" s="128"/>
      <c r="K3889" s="105" t="str">
        <f>IFERROR(__xludf.DUMMYFUNCTION("if(A3889="""","""",substitute(SUBSTITUTE(index(importhtml(""http://finviz.com/quote.ashx?t=""&amp;A3889,""table"",10),7,2),""*"",""""),""-"",""0.00""))"),"Loading...")</f>
        <v>Loading...</v>
      </c>
      <c r="L3889" s="129">
        <v>4.13218672E8</v>
      </c>
      <c r="M3889" s="99">
        <v>1.07</v>
      </c>
    </row>
    <row r="3890">
      <c r="A3890" s="122" t="s">
        <v>8232</v>
      </c>
      <c r="B3890" s="123">
        <v>1717161.0</v>
      </c>
      <c r="C3890" s="124" t="s">
        <v>8233</v>
      </c>
      <c r="D3890" s="125"/>
      <c r="E3890" s="126">
        <v>9.6</v>
      </c>
      <c r="F3890" s="127"/>
      <c r="G3890" s="127"/>
      <c r="H3890" s="127"/>
      <c r="I3890" s="128"/>
      <c r="K3890" s="105" t="str">
        <f>IFERROR(__xludf.DUMMYFUNCTION("if(A3890="""","""",substitute(SUBSTITUTE(index(importhtml(""http://finviz.com/quote.ashx?t=""&amp;A3890,""table"",10),7,2),""*"",""""),""-"",""0.00""))"),"Loading...")</f>
        <v>Loading...</v>
      </c>
      <c r="L3890" s="129">
        <v>1.915994841E12</v>
      </c>
      <c r="M3890" s="99">
        <v>1.51</v>
      </c>
    </row>
    <row r="3891">
      <c r="A3891" s="122" t="s">
        <v>8234</v>
      </c>
      <c r="B3891" s="123">
        <v>355948.0</v>
      </c>
      <c r="C3891" s="124" t="s">
        <v>8235</v>
      </c>
      <c r="D3891" s="125"/>
      <c r="E3891" s="126">
        <v>9.61</v>
      </c>
      <c r="F3891" s="127"/>
      <c r="G3891" s="127"/>
      <c r="H3891" s="127"/>
      <c r="I3891" s="128"/>
      <c r="K3891" s="105" t="str">
        <f>IFERROR(__xludf.DUMMYFUNCTION("if(A3891="""","""",substitute(SUBSTITUTE(index(importhtml(""http://finviz.com/quote.ashx?t=""&amp;A3891,""table"",10),7,2),""*"",""""),""-"",""0.00""))"),"Loading...")</f>
        <v>Loading...</v>
      </c>
      <c r="L3891" s="129">
        <v>1.37215707E8</v>
      </c>
      <c r="M3891" s="99">
        <v>1.04</v>
      </c>
    </row>
    <row r="3892">
      <c r="A3892" s="122" t="s">
        <v>8236</v>
      </c>
      <c r="B3892" s="123">
        <v>1881592.0</v>
      </c>
      <c r="C3892" s="124" t="s">
        <v>8237</v>
      </c>
      <c r="D3892" s="125"/>
      <c r="E3892" s="126">
        <v>9.62</v>
      </c>
      <c r="F3892" s="127"/>
      <c r="G3892" s="127"/>
      <c r="H3892" s="127"/>
      <c r="I3892" s="128"/>
      <c r="K3892" s="105" t="str">
        <f>IFERROR(__xludf.DUMMYFUNCTION("if(A3892="""","""",substitute(SUBSTITUTE(index(importhtml(""http://finviz.com/quote.ashx?t=""&amp;A3892,""table"",10),7,2),""*"",""""),""-"",""0.00""))"),"Loading...")</f>
        <v>Loading...</v>
      </c>
      <c r="L3892" s="129">
        <v>5.11328E7</v>
      </c>
      <c r="M3892" s="99">
        <f>IFERROR(__xludf.DUMMYFUNCTION("GOOGLEFINANCE(A3892,""beta"")"),0.13)</f>
        <v>0.13</v>
      </c>
    </row>
    <row r="3893">
      <c r="A3893" s="122" t="s">
        <v>8238</v>
      </c>
      <c r="B3893" s="123">
        <v>1680367.0</v>
      </c>
      <c r="C3893" s="124" t="s">
        <v>8239</v>
      </c>
      <c r="D3893" s="125"/>
      <c r="E3893" s="126">
        <v>9.62</v>
      </c>
      <c r="F3893" s="127"/>
      <c r="G3893" s="127"/>
      <c r="H3893" s="127"/>
      <c r="I3893" s="128"/>
      <c r="K3893" s="105" t="str">
        <f>IFERROR(__xludf.DUMMYFUNCTION("if(A3893="""","""",substitute(SUBSTITUTE(index(importhtml(""http://finviz.com/quote.ashx?t=""&amp;A3893,""table"",10),7,2),""*"",""""),""-"",""0.00""))"),"Loading...")</f>
        <v>Loading...</v>
      </c>
      <c r="L3893" s="129">
        <v>4.53454567E8</v>
      </c>
      <c r="M3893" s="99">
        <v>2.2</v>
      </c>
    </row>
    <row r="3894">
      <c r="A3894" s="122" t="s">
        <v>8240</v>
      </c>
      <c r="B3894" s="123">
        <v>1854401.0</v>
      </c>
      <c r="C3894" s="124" t="s">
        <v>8241</v>
      </c>
      <c r="D3894" s="125"/>
      <c r="E3894" s="126">
        <v>9.62</v>
      </c>
      <c r="F3894" s="127"/>
      <c r="G3894" s="127"/>
      <c r="H3894" s="127"/>
      <c r="I3894" s="128"/>
      <c r="K3894" s="105" t="str">
        <f>IFERROR(__xludf.DUMMYFUNCTION("if(A3894="""","""",substitute(SUBSTITUTE(index(importhtml(""http://finviz.com/quote.ashx?t=""&amp;A3894,""table"",10),7,2),""*"",""""),""-"",""0.00""))"),"Loading...")</f>
        <v>Loading...</v>
      </c>
      <c r="L3894" s="129">
        <v>1.138433672E9</v>
      </c>
      <c r="M3894" s="99" t="str">
        <f>IFERROR(__xludf.DUMMYFUNCTION("GOOGLEFINANCE(A3894,""beta"")"),"#N/A")</f>
        <v>#N/A</v>
      </c>
    </row>
    <row r="3895">
      <c r="A3895" s="122" t="s">
        <v>8242</v>
      </c>
      <c r="B3895" s="123">
        <v>1633932.0</v>
      </c>
      <c r="C3895" s="124" t="s">
        <v>8243</v>
      </c>
      <c r="D3895" s="125"/>
      <c r="E3895" s="126">
        <v>9.64</v>
      </c>
      <c r="F3895" s="127"/>
      <c r="G3895" s="127"/>
      <c r="H3895" s="127"/>
      <c r="I3895" s="128"/>
      <c r="K3895" s="105" t="str">
        <f>IFERROR(__xludf.DUMMYFUNCTION("if(A3895="""","""",substitute(SUBSTITUTE(index(importhtml(""http://finviz.com/quote.ashx?t=""&amp;A3895,""table"",10),7,2),""*"",""""),""-"",""0.00""))"),"Loading...")</f>
        <v>Loading...</v>
      </c>
      <c r="L3895" s="129">
        <v>4.25737504E8</v>
      </c>
      <c r="M3895" s="99">
        <v>1.61</v>
      </c>
    </row>
    <row r="3896">
      <c r="A3896" s="122" t="s">
        <v>8244</v>
      </c>
      <c r="B3896" s="123">
        <v>1222401.0</v>
      </c>
      <c r="C3896" s="124" t="s">
        <v>8245</v>
      </c>
      <c r="D3896" s="125"/>
      <c r="E3896" s="126">
        <v>9.64</v>
      </c>
      <c r="F3896" s="127"/>
      <c r="G3896" s="127"/>
      <c r="H3896" s="127"/>
      <c r="I3896" s="128"/>
      <c r="K3896" s="105" t="str">
        <f>IFERROR(__xludf.DUMMYFUNCTION("if(A3896="""","""",substitute(SUBSTITUTE(index(importhtml(""http://finviz.com/quote.ashx?t=""&amp;A3896,""table"",10),7,2),""*"",""""),""-"",""0.00""))"),"Loading...")</f>
        <v>Loading...</v>
      </c>
      <c r="L3896" s="129">
        <v>1.37562612E9</v>
      </c>
      <c r="M3896" s="99">
        <v>0.79</v>
      </c>
    </row>
    <row r="3897">
      <c r="A3897" s="122" t="s">
        <v>8246</v>
      </c>
      <c r="B3897" s="123">
        <v>1378453.0</v>
      </c>
      <c r="C3897" s="124" t="s">
        <v>7387</v>
      </c>
      <c r="D3897" s="125"/>
      <c r="E3897" s="126">
        <v>9.64</v>
      </c>
      <c r="F3897" s="127"/>
      <c r="G3897" s="127"/>
      <c r="H3897" s="127"/>
      <c r="I3897" s="128"/>
      <c r="K3897" s="105" t="str">
        <f>IFERROR(__xludf.DUMMYFUNCTION("if(A3897="""","""",substitute(SUBSTITUTE(index(importhtml(""http://finviz.com/quote.ashx?t=""&amp;A3897,""table"",10),7,2),""*"",""""),""-"",""0.00""))"),"Loading...")</f>
        <v>Loading...</v>
      </c>
      <c r="L3897" s="129">
        <v>2.213259772E9</v>
      </c>
      <c r="M3897" s="99">
        <v>0.63</v>
      </c>
    </row>
    <row r="3898">
      <c r="A3898" s="122" t="s">
        <v>8247</v>
      </c>
      <c r="B3898" s="123">
        <v>63271.0</v>
      </c>
      <c r="C3898" s="124" t="s">
        <v>8114</v>
      </c>
      <c r="D3898" s="125"/>
      <c r="E3898" s="126">
        <v>9.65</v>
      </c>
      <c r="F3898" s="127"/>
      <c r="G3898" s="127"/>
      <c r="H3898" s="127"/>
      <c r="I3898" s="128"/>
      <c r="K3898" s="105" t="str">
        <f>IFERROR(__xludf.DUMMYFUNCTION("if(A3898="""","""",substitute(SUBSTITUTE(index(importhtml(""http://finviz.com/quote.ashx?t=""&amp;A3898,""table"",10),7,2),""*"",""""),""-"",""0.00""))"),"Loading...")</f>
        <v>Loading...</v>
      </c>
      <c r="L3898" s="129">
        <v>2.3605944866E10</v>
      </c>
      <c r="M3898" s="99">
        <v>1.04</v>
      </c>
    </row>
    <row r="3899">
      <c r="A3899" s="122" t="s">
        <v>8248</v>
      </c>
      <c r="B3899" s="123">
        <v>842180.0</v>
      </c>
      <c r="C3899" s="124" t="s">
        <v>8195</v>
      </c>
      <c r="D3899" s="125"/>
      <c r="E3899" s="126">
        <v>9.65</v>
      </c>
      <c r="F3899" s="127"/>
      <c r="G3899" s="127"/>
      <c r="H3899" s="127"/>
      <c r="I3899" s="128"/>
      <c r="K3899" s="105" t="str">
        <f>IFERROR(__xludf.DUMMYFUNCTION("if(A3899="""","""",substitute(SUBSTITUTE(index(importhtml(""http://finviz.com/quote.ashx?t=""&amp;A3899,""table"",10),7,2),""*"",""""),""-"",""0.00""))"),"Loading...")</f>
        <v>Loading...</v>
      </c>
      <c r="L3899" s="129">
        <v>5.5923455839E10</v>
      </c>
      <c r="M3899" s="99">
        <v>1.34</v>
      </c>
    </row>
    <row r="3900">
      <c r="A3900" s="122" t="s">
        <v>8249</v>
      </c>
      <c r="B3900" s="123">
        <v>1787400.0</v>
      </c>
      <c r="C3900" s="124" t="s">
        <v>8250</v>
      </c>
      <c r="D3900" s="125"/>
      <c r="E3900" s="126">
        <v>9.66</v>
      </c>
      <c r="F3900" s="127"/>
      <c r="G3900" s="127"/>
      <c r="H3900" s="127"/>
      <c r="I3900" s="128"/>
      <c r="K3900" s="105" t="str">
        <f>IFERROR(__xludf.DUMMYFUNCTION("if(A3900="""","""",substitute(SUBSTITUTE(index(importhtml(""http://finviz.com/quote.ashx?t=""&amp;A3900,""table"",10),7,2),""*"",""""),""-"",""0.00""))"),"Loading...")</f>
        <v>Loading...</v>
      </c>
      <c r="L3900" s="129">
        <v>4.740387E8</v>
      </c>
      <c r="M3900" s="99">
        <v>0.63</v>
      </c>
    </row>
    <row r="3901">
      <c r="A3901" s="122" t="s">
        <v>8251</v>
      </c>
      <c r="B3901" s="123">
        <v>1828318.0</v>
      </c>
      <c r="C3901" s="124" t="s">
        <v>8252</v>
      </c>
      <c r="D3901" s="125"/>
      <c r="E3901" s="126">
        <v>9.66</v>
      </c>
      <c r="F3901" s="127"/>
      <c r="G3901" s="127"/>
      <c r="H3901" s="127"/>
      <c r="I3901" s="128"/>
      <c r="K3901" s="105" t="str">
        <f>IFERROR(__xludf.DUMMYFUNCTION("if(A3901="""","""",substitute(SUBSTITUTE(index(importhtml(""http://finviz.com/quote.ashx?t=""&amp;A3901,""table"",10),7,2),""*"",""""),""-"",""0.00""))"),"Loading...")</f>
        <v>Loading...</v>
      </c>
      <c r="L3901" s="129">
        <v>1.620696814E9</v>
      </c>
      <c r="M3901" s="99">
        <v>1.7</v>
      </c>
    </row>
    <row r="3902">
      <c r="A3902" s="122" t="s">
        <v>8253</v>
      </c>
      <c r="B3902" s="123">
        <v>1455626.0</v>
      </c>
      <c r="C3902" s="124" t="s">
        <v>8254</v>
      </c>
      <c r="D3902" s="125"/>
      <c r="E3902" s="126">
        <v>9.66</v>
      </c>
      <c r="F3902" s="127"/>
      <c r="G3902" s="127"/>
      <c r="H3902" s="127"/>
      <c r="I3902" s="128"/>
      <c r="K3902" s="105" t="str">
        <f>IFERROR(__xludf.DUMMYFUNCTION("if(A3902="""","""",substitute(SUBSTITUTE(index(importhtml(""http://finviz.com/quote.ashx?t=""&amp;A3902,""table"",10),7,2),""*"",""""),""-"",""0.00""))"),"Loading...")</f>
        <v>Loading...</v>
      </c>
      <c r="L3902" s="129">
        <v>3.669272E9</v>
      </c>
      <c r="M3902" s="99">
        <f>IFERROR(__xludf.DUMMYFUNCTION("GOOGLEFINANCE(A3902,""beta"")"),1.16)</f>
        <v>1.16</v>
      </c>
    </row>
    <row r="3903">
      <c r="A3903" s="122" t="s">
        <v>8255</v>
      </c>
      <c r="B3903" s="123">
        <v>1437771.0</v>
      </c>
      <c r="C3903" s="124" t="s">
        <v>8256</v>
      </c>
      <c r="D3903" s="125"/>
      <c r="E3903" s="126">
        <v>9.66</v>
      </c>
      <c r="F3903" s="127"/>
      <c r="G3903" s="127"/>
      <c r="H3903" s="127"/>
      <c r="I3903" s="128"/>
      <c r="K3903" s="105" t="str">
        <f>IFERROR(__xludf.DUMMYFUNCTION("if(A3903="""","""",substitute(SUBSTITUTE(index(importhtml(""http://finviz.com/quote.ashx?t=""&amp;A3903,""table"",10),7,2),""*"",""""),""-"",""0.00""))"),"Loading...")</f>
        <v>Loading...</v>
      </c>
      <c r="L3903" s="129">
        <v>1.518772812E10</v>
      </c>
      <c r="M3903" s="99">
        <v>0.7</v>
      </c>
    </row>
    <row r="3904">
      <c r="A3904" s="122" t="s">
        <v>8257</v>
      </c>
      <c r="B3904" s="123">
        <v>1437731.0</v>
      </c>
      <c r="C3904" s="124" t="s">
        <v>8258</v>
      </c>
      <c r="D3904" s="125"/>
      <c r="E3904" s="126">
        <v>9.67</v>
      </c>
      <c r="F3904" s="127"/>
      <c r="G3904" s="127"/>
      <c r="H3904" s="127"/>
      <c r="I3904" s="128"/>
      <c r="K3904" s="105" t="str">
        <f>IFERROR(__xludf.DUMMYFUNCTION("if(A3904="""","""",substitute(SUBSTITUTE(index(importhtml(""http://finviz.com/quote.ashx?t=""&amp;A3904,""table"",10),7,2),""*"",""""),""-"",""0.00""))"),"#N/A")</f>
        <v>#N/A</v>
      </c>
      <c r="L3904" s="129" t="e">
        <v>#N/A</v>
      </c>
      <c r="M3904" s="99">
        <v>1.44</v>
      </c>
    </row>
    <row r="3905">
      <c r="A3905" s="122" t="s">
        <v>8259</v>
      </c>
      <c r="B3905" s="123">
        <v>1814974.0</v>
      </c>
      <c r="C3905" s="124" t="s">
        <v>8260</v>
      </c>
      <c r="D3905" s="125"/>
      <c r="E3905" s="126">
        <v>9.69</v>
      </c>
      <c r="F3905" s="127"/>
      <c r="G3905" s="127"/>
      <c r="H3905" s="127"/>
      <c r="I3905" s="128"/>
      <c r="K3905" s="105" t="str">
        <f>IFERROR(__xludf.DUMMYFUNCTION("if(A3905="""","""",substitute(SUBSTITUTE(index(importhtml(""http://finviz.com/quote.ashx?t=""&amp;A3905,""table"",10),7,2),""*"",""""),""-"",""0.00""))"),"Loading...")</f>
        <v>Loading...</v>
      </c>
      <c r="L3905" s="129">
        <v>1.43836871E8</v>
      </c>
      <c r="M3905" s="99">
        <v>0.13</v>
      </c>
    </row>
    <row r="3906">
      <c r="A3906" s="122" t="s">
        <v>8261</v>
      </c>
      <c r="B3906" s="123">
        <v>1825413.0</v>
      </c>
      <c r="C3906" s="124" t="s">
        <v>8262</v>
      </c>
      <c r="D3906" s="125"/>
      <c r="E3906" s="126">
        <v>9.69</v>
      </c>
      <c r="F3906" s="127"/>
      <c r="G3906" s="127"/>
      <c r="H3906" s="127"/>
      <c r="I3906" s="128"/>
      <c r="K3906" s="105" t="str">
        <f>IFERROR(__xludf.DUMMYFUNCTION("if(A3906="""","""",substitute(SUBSTITUTE(index(importhtml(""http://finviz.com/quote.ashx?t=""&amp;A3906,""table"",10),7,2),""*"",""""),""-"",""0.00""))"),"Loading...")</f>
        <v>Loading...</v>
      </c>
      <c r="L3906" s="129" t="e">
        <v>#N/A</v>
      </c>
      <c r="M3906" s="99" t="str">
        <f>IFERROR(__xludf.DUMMYFUNCTION("GOOGLEFINANCE(A3906,""beta"")"),"#N/A")</f>
        <v>#N/A</v>
      </c>
    </row>
    <row r="3907">
      <c r="A3907" s="122" t="s">
        <v>8263</v>
      </c>
      <c r="B3907" s="123">
        <v>1818787.0</v>
      </c>
      <c r="C3907" s="124" t="s">
        <v>8264</v>
      </c>
      <c r="D3907" s="125"/>
      <c r="E3907" s="126">
        <v>9.7</v>
      </c>
      <c r="F3907" s="127"/>
      <c r="G3907" s="127"/>
      <c r="H3907" s="127"/>
      <c r="I3907" s="128"/>
      <c r="K3907" s="105" t="str">
        <f>IFERROR(__xludf.DUMMYFUNCTION("if(A3907="""","""",substitute(SUBSTITUTE(index(importhtml(""http://finviz.com/quote.ashx?t=""&amp;A3907,""table"",10),7,2),""*"",""""),""-"",""0.00""))"),"Loading...")</f>
        <v>Loading...</v>
      </c>
      <c r="L3907" s="129" t="e">
        <v>#N/A</v>
      </c>
      <c r="M3907" s="99" t="str">
        <f>IFERROR(__xludf.DUMMYFUNCTION("GOOGLEFINANCE(A3907,""beta"")"),"#N/A")</f>
        <v>#N/A</v>
      </c>
    </row>
    <row r="3908">
      <c r="A3908" s="122" t="s">
        <v>8265</v>
      </c>
      <c r="B3908" s="123">
        <v>1845840.0</v>
      </c>
      <c r="C3908" s="124" t="s">
        <v>8266</v>
      </c>
      <c r="D3908" s="125"/>
      <c r="E3908" s="126">
        <v>9.71</v>
      </c>
      <c r="F3908" s="127"/>
      <c r="G3908" s="127"/>
      <c r="H3908" s="127"/>
      <c r="I3908" s="128"/>
      <c r="K3908" s="105" t="str">
        <f>IFERROR(__xludf.DUMMYFUNCTION("if(A3908="""","""",substitute(SUBSTITUTE(index(importhtml(""http://finviz.com/quote.ashx?t=""&amp;A3908,""table"",10),7,2),""*"",""""),""-"",""0.00""))"),"Loading...")</f>
        <v>Loading...</v>
      </c>
      <c r="L3908" s="129">
        <v>4.84590369E8</v>
      </c>
      <c r="M3908" s="99">
        <f>IFERROR(__xludf.DUMMYFUNCTION("GOOGLEFINANCE(A3908,""beta"")"),2.04)</f>
        <v>2.04</v>
      </c>
    </row>
    <row r="3909">
      <c r="A3909" s="122" t="s">
        <v>8267</v>
      </c>
      <c r="B3909" s="123">
        <v>707388.0</v>
      </c>
      <c r="C3909" s="124" t="s">
        <v>8268</v>
      </c>
      <c r="D3909" s="125"/>
      <c r="E3909" s="126">
        <v>9.73</v>
      </c>
      <c r="F3909" s="127"/>
      <c r="G3909" s="127"/>
      <c r="H3909" s="127"/>
      <c r="I3909" s="128"/>
      <c r="K3909" s="105" t="str">
        <f>IFERROR(__xludf.DUMMYFUNCTION("if(A3909="""","""",substitute(SUBSTITUTE(index(importhtml(""http://finviz.com/quote.ashx?t=""&amp;A3909,""table"",10),7,2),""*"",""""),""-"",""0.00""))"),"Loading...")</f>
        <v>Loading...</v>
      </c>
      <c r="L3909" s="129">
        <v>1.5669551E7</v>
      </c>
      <c r="M3909" s="99">
        <v>0.36</v>
      </c>
    </row>
    <row r="3910">
      <c r="A3910" s="122" t="s">
        <v>8269</v>
      </c>
      <c r="B3910" s="123">
        <v>860489.0</v>
      </c>
      <c r="C3910" s="124" t="s">
        <v>8270</v>
      </c>
      <c r="D3910" s="125"/>
      <c r="E3910" s="126">
        <v>9.75</v>
      </c>
      <c r="F3910" s="127"/>
      <c r="G3910" s="127"/>
      <c r="H3910" s="127"/>
      <c r="I3910" s="128"/>
      <c r="K3910" s="55" t="s">
        <v>8125</v>
      </c>
      <c r="L3910" s="129">
        <v>6.1428822E7</v>
      </c>
      <c r="M3910" s="99">
        <v>1.31</v>
      </c>
    </row>
    <row r="3911">
      <c r="A3911" s="122" t="s">
        <v>8271</v>
      </c>
      <c r="B3911" s="123">
        <v>1709819.0</v>
      </c>
      <c r="C3911" s="124" t="s">
        <v>8272</v>
      </c>
      <c r="D3911" s="125"/>
      <c r="E3911" s="126">
        <v>9.75</v>
      </c>
      <c r="F3911" s="127"/>
      <c r="G3911" s="127"/>
      <c r="H3911" s="127"/>
      <c r="I3911" s="128"/>
      <c r="K3911" s="105" t="str">
        <f>IFERROR(__xludf.DUMMYFUNCTION("if(A3911="""","""",substitute(SUBSTITUTE(index(importhtml(""http://finviz.com/quote.ashx?t=""&amp;A3911,""table"",10),7,2),""*"",""""),""-"",""0.00""))"),"Loading...")</f>
        <v>Loading...</v>
      </c>
      <c r="L3911" s="129">
        <v>2.0638946E7</v>
      </c>
      <c r="M3911" s="99">
        <v>-0.28</v>
      </c>
    </row>
    <row r="3912">
      <c r="A3912" s="122" t="s">
        <v>8273</v>
      </c>
      <c r="B3912" s="123">
        <v>1260990.0</v>
      </c>
      <c r="C3912" s="124" t="s">
        <v>8274</v>
      </c>
      <c r="D3912" s="125"/>
      <c r="E3912" s="126">
        <v>9.75</v>
      </c>
      <c r="F3912" s="127"/>
      <c r="G3912" s="127"/>
      <c r="H3912" s="127"/>
      <c r="I3912" s="128"/>
      <c r="K3912" s="105" t="str">
        <f>IFERROR(__xludf.DUMMYFUNCTION("if(A3912="""","""",substitute(SUBSTITUTE(index(importhtml(""http://finviz.com/quote.ashx?t=""&amp;A3912,""table"",10),7,2),""*"",""""),""-"",""0.00""))"),"Loading...")</f>
        <v>Loading...</v>
      </c>
      <c r="L3912" s="129">
        <v>2.8747387E7</v>
      </c>
      <c r="M3912" s="99">
        <v>1.2</v>
      </c>
    </row>
    <row r="3913">
      <c r="A3913" s="122" t="s">
        <v>8275</v>
      </c>
      <c r="B3913" s="123">
        <v>895531.0</v>
      </c>
      <c r="C3913" s="124" t="s">
        <v>8276</v>
      </c>
      <c r="D3913" s="125"/>
      <c r="E3913" s="126">
        <v>9.75</v>
      </c>
      <c r="F3913" s="127"/>
      <c r="G3913" s="127"/>
      <c r="H3913" s="127"/>
      <c r="I3913" s="128"/>
      <c r="K3913" s="105" t="str">
        <f>IFERROR(__xludf.DUMMYFUNCTION("if(A3913="""","""",substitute(SUBSTITUTE(index(importhtml(""http://finviz.com/quote.ashx?t=""&amp;A3913,""table"",10),7,2),""*"",""""),""-"",""0.00""))"),"Loading...")</f>
        <v>Loading...</v>
      </c>
      <c r="L3913" s="129">
        <v>4.6693257E8</v>
      </c>
      <c r="M3913" s="99">
        <v>0.62</v>
      </c>
    </row>
    <row r="3914">
      <c r="A3914" s="122" t="s">
        <v>8277</v>
      </c>
      <c r="B3914" s="123">
        <v>1734107.0</v>
      </c>
      <c r="C3914" s="124" t="s">
        <v>8278</v>
      </c>
      <c r="D3914" s="125"/>
      <c r="E3914" s="126">
        <v>9.76</v>
      </c>
      <c r="F3914" s="127"/>
      <c r="G3914" s="127"/>
      <c r="H3914" s="127"/>
      <c r="I3914" s="128"/>
      <c r="K3914" s="105" t="str">
        <f>IFERROR(__xludf.DUMMYFUNCTION("if(A3914="""","""",substitute(SUBSTITUTE(index(importhtml(""http://finviz.com/quote.ashx?t=""&amp;A3914,""table"",10),7,2),""*"",""""),""-"",""0.00""))"),"Loading...")</f>
        <v>Loading...</v>
      </c>
      <c r="L3914" s="129">
        <v>3.29276348E8</v>
      </c>
      <c r="M3914" s="99">
        <v>1.37</v>
      </c>
    </row>
    <row r="3915">
      <c r="A3915" s="122" t="s">
        <v>8279</v>
      </c>
      <c r="B3915" s="123">
        <v>1222922.0</v>
      </c>
      <c r="C3915" s="124" t="s">
        <v>8280</v>
      </c>
      <c r="D3915" s="125"/>
      <c r="E3915" s="126">
        <v>9.78</v>
      </c>
      <c r="F3915" s="127"/>
      <c r="G3915" s="127"/>
      <c r="H3915" s="127"/>
      <c r="I3915" s="128"/>
      <c r="K3915" s="55" t="s">
        <v>8281</v>
      </c>
      <c r="L3915" s="129">
        <v>1.13646922E9</v>
      </c>
      <c r="M3915" s="99">
        <v>0.65</v>
      </c>
    </row>
    <row r="3916">
      <c r="A3916" s="122" t="s">
        <v>8282</v>
      </c>
      <c r="B3916" s="123">
        <v>1809987.0</v>
      </c>
      <c r="C3916" s="124" t="s">
        <v>8283</v>
      </c>
      <c r="D3916" s="125"/>
      <c r="E3916" s="126">
        <v>9.78</v>
      </c>
      <c r="F3916" s="127"/>
      <c r="G3916" s="127"/>
      <c r="H3916" s="127"/>
      <c r="I3916" s="128"/>
      <c r="K3916" s="105" t="str">
        <f>IFERROR(__xludf.DUMMYFUNCTION("if(A3916="""","""",substitute(SUBSTITUTE(index(importhtml(""http://finviz.com/quote.ashx?t=""&amp;A3916,""table"",10),7,2),""*"",""""),""-"",""0.00""))"),"Loading...")</f>
        <v>Loading...</v>
      </c>
      <c r="L3916" s="129">
        <v>2.208368927E9</v>
      </c>
      <c r="M3916" s="99">
        <v>0.78</v>
      </c>
    </row>
    <row r="3917">
      <c r="A3917" s="122" t="s">
        <v>8284</v>
      </c>
      <c r="B3917" s="123">
        <v>1231457.0</v>
      </c>
      <c r="C3917" s="124" t="s">
        <v>8285</v>
      </c>
      <c r="D3917" s="125"/>
      <c r="E3917" s="126">
        <v>9.8</v>
      </c>
      <c r="F3917" s="127"/>
      <c r="G3917" s="127"/>
      <c r="H3917" s="127"/>
      <c r="I3917" s="128"/>
      <c r="K3917" s="105" t="str">
        <f>IFERROR(__xludf.DUMMYFUNCTION("if(A3917="""","""",substitute(SUBSTITUTE(index(importhtml(""http://finviz.com/quote.ashx?t=""&amp;A3917,""table"",10),7,2),""*"",""""),""-"",""0.00""))"),"Loading...")</f>
        <v>Loading...</v>
      </c>
      <c r="L3917" s="129">
        <v>2.61833269E8</v>
      </c>
      <c r="M3917" s="99" t="str">
        <f>IFERROR(__xludf.DUMMYFUNCTION("GOOGLEFINANCE(A3917,""beta"")"),"#N/A")</f>
        <v>#N/A</v>
      </c>
    </row>
    <row r="3918">
      <c r="A3918" s="122" t="s">
        <v>8286</v>
      </c>
      <c r="B3918" s="123">
        <v>1769663.0</v>
      </c>
      <c r="C3918" s="124" t="s">
        <v>8287</v>
      </c>
      <c r="D3918" s="125"/>
      <c r="E3918" s="126">
        <v>9.81</v>
      </c>
      <c r="F3918" s="127"/>
      <c r="G3918" s="127"/>
      <c r="H3918" s="127"/>
      <c r="I3918" s="128"/>
      <c r="K3918" s="105" t="str">
        <f>IFERROR(__xludf.DUMMYFUNCTION("if(A3918="""","""",substitute(SUBSTITUTE(index(importhtml(""http://finviz.com/quote.ashx?t=""&amp;A3918,""table"",10),7,2),""*"",""""),""-"",""0.00""))"),"Loading...")</f>
        <v>Loading...</v>
      </c>
      <c r="L3918" s="129">
        <v>2.54841051E8</v>
      </c>
      <c r="M3918" s="99">
        <v>0.46</v>
      </c>
    </row>
    <row r="3919">
      <c r="A3919" s="122" t="s">
        <v>8288</v>
      </c>
      <c r="B3919" s="123">
        <v>1712189.0</v>
      </c>
      <c r="C3919" s="124" t="s">
        <v>8289</v>
      </c>
      <c r="D3919" s="125"/>
      <c r="E3919" s="126">
        <v>9.82</v>
      </c>
      <c r="F3919" s="127"/>
      <c r="G3919" s="127"/>
      <c r="H3919" s="127"/>
      <c r="I3919" s="128"/>
      <c r="K3919" s="55" t="s">
        <v>1034</v>
      </c>
      <c r="L3919" s="129">
        <v>9.98314916E8</v>
      </c>
      <c r="M3919" s="99">
        <v>2.1</v>
      </c>
    </row>
    <row r="3920">
      <c r="A3920" s="122" t="s">
        <v>8290</v>
      </c>
      <c r="B3920" s="123">
        <v>1553079.0</v>
      </c>
      <c r="C3920" s="124" t="s">
        <v>8291</v>
      </c>
      <c r="D3920" s="125"/>
      <c r="E3920" s="126">
        <v>9.82</v>
      </c>
      <c r="F3920" s="127"/>
      <c r="G3920" s="127"/>
      <c r="H3920" s="127"/>
      <c r="I3920" s="128"/>
      <c r="K3920" s="105" t="str">
        <f>IFERROR(__xludf.DUMMYFUNCTION("if(A3920="""","""",substitute(SUBSTITUTE(index(importhtml(""http://finviz.com/quote.ashx?t=""&amp;A3920,""table"",10),7,2),""*"",""""),""-"",""0.00""))"),"Loading...")</f>
        <v>Loading...</v>
      </c>
      <c r="L3920" s="129">
        <v>2.68956102E8</v>
      </c>
      <c r="M3920" s="99" t="str">
        <f>IFERROR(__xludf.DUMMYFUNCTION("GOOGLEFINANCE(A3920,""beta"")"),"#N/A")</f>
        <v>#N/A</v>
      </c>
    </row>
    <row r="3921">
      <c r="A3921" s="122" t="s">
        <v>8292</v>
      </c>
      <c r="B3921" s="123">
        <v>1177162.0</v>
      </c>
      <c r="C3921" s="124" t="s">
        <v>8293</v>
      </c>
      <c r="D3921" s="125"/>
      <c r="E3921" s="126">
        <v>9.83</v>
      </c>
      <c r="F3921" s="127"/>
      <c r="G3921" s="127"/>
      <c r="H3921" s="127"/>
      <c r="I3921" s="128"/>
      <c r="K3921" s="55" t="s">
        <v>8125</v>
      </c>
      <c r="L3921" s="129">
        <v>1.76559381E8</v>
      </c>
      <c r="M3921" s="99">
        <v>0.54</v>
      </c>
    </row>
    <row r="3922">
      <c r="A3922" s="122" t="s">
        <v>8294</v>
      </c>
      <c r="B3922" s="123">
        <v>34956.0</v>
      </c>
      <c r="C3922" s="124" t="s">
        <v>8295</v>
      </c>
      <c r="D3922" s="125"/>
      <c r="E3922" s="126">
        <v>9.85</v>
      </c>
      <c r="F3922" s="127"/>
      <c r="G3922" s="127"/>
      <c r="H3922" s="127"/>
      <c r="I3922" s="128"/>
      <c r="K3922" s="105" t="str">
        <f>IFERROR(__xludf.DUMMYFUNCTION("if(A3922="""","""",substitute(SUBSTITUTE(index(importhtml(""http://finviz.com/quote.ashx?t=""&amp;A3922,""table"",10),7,2),""*"",""""),""-"",""0.00""))"),"Loading...")</f>
        <v>Loading...</v>
      </c>
      <c r="L3922" s="129">
        <v>2938602.0</v>
      </c>
      <c r="M3922" s="99">
        <v>2.46</v>
      </c>
    </row>
    <row r="3923">
      <c r="A3923" s="122" t="s">
        <v>8296</v>
      </c>
      <c r="B3923" s="123">
        <v>880892.0</v>
      </c>
      <c r="C3923" s="124" t="s">
        <v>8297</v>
      </c>
      <c r="D3923" s="125"/>
      <c r="E3923" s="126">
        <v>9.85</v>
      </c>
      <c r="F3923" s="127"/>
      <c r="G3923" s="127"/>
      <c r="H3923" s="127"/>
      <c r="I3923" s="128"/>
      <c r="K3923" s="105" t="str">
        <f>IFERROR(__xludf.DUMMYFUNCTION("if(A3923="""","""",substitute(SUBSTITUTE(index(importhtml(""http://finviz.com/quote.ashx?t=""&amp;A3923,""table"",10),7,2),""*"",""""),""-"",""0.00""))"),"Loading...")</f>
        <v>Loading...</v>
      </c>
      <c r="L3923" s="129">
        <v>5.34184826E8</v>
      </c>
      <c r="M3923" s="99">
        <v>0.51</v>
      </c>
    </row>
    <row r="3924">
      <c r="A3924" s="122" t="s">
        <v>8298</v>
      </c>
      <c r="B3924" s="123">
        <v>1851003.0</v>
      </c>
      <c r="C3924" s="124" t="s">
        <v>8299</v>
      </c>
      <c r="D3924" s="125"/>
      <c r="E3924" s="126">
        <v>9.86</v>
      </c>
      <c r="F3924" s="127"/>
      <c r="G3924" s="127"/>
      <c r="H3924" s="127"/>
      <c r="I3924" s="128"/>
      <c r="K3924" s="105" t="str">
        <f>IFERROR(__xludf.DUMMYFUNCTION("if(A3924="""","""",substitute(SUBSTITUTE(index(importhtml(""http://finviz.com/quote.ashx?t=""&amp;A3924,""table"",10),7,2),""*"",""""),""-"",""0.00""))"),"Loading...")</f>
        <v>Loading...</v>
      </c>
      <c r="L3924" s="129">
        <v>2.112776076E9</v>
      </c>
      <c r="M3924" s="99">
        <f>IFERROR(__xludf.DUMMYFUNCTION("GOOGLEFINANCE(A3924,""beta"")"),1.27)</f>
        <v>1.27</v>
      </c>
    </row>
    <row r="3925">
      <c r="A3925" s="122" t="s">
        <v>8300</v>
      </c>
      <c r="B3925" s="123">
        <v>1533615.0</v>
      </c>
      <c r="C3925" s="124" t="s">
        <v>8301</v>
      </c>
      <c r="D3925" s="125"/>
      <c r="E3925" s="126">
        <v>9.88</v>
      </c>
      <c r="F3925" s="127"/>
      <c r="G3925" s="127"/>
      <c r="H3925" s="127"/>
      <c r="I3925" s="128"/>
      <c r="K3925" s="105" t="str">
        <f>IFERROR(__xludf.DUMMYFUNCTION("if(A3925="""","""",substitute(SUBSTITUTE(index(importhtml(""http://finviz.com/quote.ashx?t=""&amp;A3925,""table"",10),7,2),""*"",""""),""-"",""0.00""))"),"Loading...")</f>
        <v>Loading...</v>
      </c>
      <c r="L3925" s="129">
        <v>6.47781614E8</v>
      </c>
      <c r="M3925" s="99">
        <v>1.16</v>
      </c>
    </row>
    <row r="3926">
      <c r="A3926" s="122" t="s">
        <v>8302</v>
      </c>
      <c r="B3926" s="123">
        <v>1336050.0</v>
      </c>
      <c r="C3926" s="124" t="s">
        <v>8303</v>
      </c>
      <c r="D3926" s="125"/>
      <c r="E3926" s="126">
        <v>9.89</v>
      </c>
      <c r="F3926" s="127"/>
      <c r="G3926" s="127"/>
      <c r="H3926" s="127"/>
      <c r="I3926" s="128"/>
      <c r="K3926" s="55" t="s">
        <v>5866</v>
      </c>
      <c r="L3926" s="129">
        <v>3.8901912E7</v>
      </c>
      <c r="M3926" s="99">
        <v>0.24</v>
      </c>
    </row>
    <row r="3927">
      <c r="A3927" s="122" t="s">
        <v>8304</v>
      </c>
      <c r="B3927" s="123">
        <v>1417802.0</v>
      </c>
      <c r="C3927" s="124" t="s">
        <v>8305</v>
      </c>
      <c r="D3927" s="125"/>
      <c r="E3927" s="126">
        <v>9.89</v>
      </c>
      <c r="F3927" s="127"/>
      <c r="G3927" s="127"/>
      <c r="H3927" s="127"/>
      <c r="I3927" s="128"/>
      <c r="K3927" s="105" t="str">
        <f>IFERROR(__xludf.DUMMYFUNCTION("if(A3927="""","""",substitute(SUBSTITUTE(index(importhtml(""http://finviz.com/quote.ashx?t=""&amp;A3927,""table"",10),7,2),""*"",""""),""-"",""0.00""))"),"Loading...")</f>
        <v>Loading...</v>
      </c>
      <c r="L3927" s="129">
        <v>1.50706198E8</v>
      </c>
      <c r="M3927" s="99">
        <v>1.01</v>
      </c>
    </row>
    <row r="3928">
      <c r="A3928" s="122" t="s">
        <v>8306</v>
      </c>
      <c r="B3928" s="123">
        <v>1612630.0</v>
      </c>
      <c r="C3928" s="124" t="s">
        <v>8307</v>
      </c>
      <c r="D3928" s="125"/>
      <c r="E3928" s="126">
        <v>9.9</v>
      </c>
      <c r="F3928" s="127"/>
      <c r="G3928" s="127"/>
      <c r="H3928" s="127"/>
      <c r="I3928" s="128"/>
      <c r="K3928" s="105" t="str">
        <f>IFERROR(__xludf.DUMMYFUNCTION("if(A3928="""","""",substitute(SUBSTITUTE(index(importhtml(""http://finviz.com/quote.ashx?t=""&amp;A3928,""table"",10),7,2),""*"",""""),""-"",""0.00""))"),"Loading...")</f>
        <v>Loading...</v>
      </c>
      <c r="L3928" s="129">
        <v>1.46067465E8</v>
      </c>
      <c r="M3928" s="99">
        <v>1.62</v>
      </c>
    </row>
    <row r="3929">
      <c r="A3929" s="122" t="s">
        <v>8308</v>
      </c>
      <c r="B3929" s="123">
        <v>1282850.0</v>
      </c>
      <c r="C3929" s="124" t="s">
        <v>8309</v>
      </c>
      <c r="D3929" s="125"/>
      <c r="E3929" s="126">
        <v>9.92</v>
      </c>
      <c r="F3929" s="127"/>
      <c r="G3929" s="127"/>
      <c r="H3929" s="127"/>
      <c r="I3929" s="128"/>
      <c r="K3929" s="55" t="s">
        <v>8310</v>
      </c>
      <c r="L3929" s="129">
        <v>2.57755131E8</v>
      </c>
      <c r="M3929" s="99">
        <v>0.58</v>
      </c>
    </row>
    <row r="3930">
      <c r="A3930" s="122" t="s">
        <v>8311</v>
      </c>
      <c r="B3930" s="123">
        <v>1852973.0</v>
      </c>
      <c r="C3930" s="124" t="s">
        <v>8312</v>
      </c>
      <c r="D3930" s="125"/>
      <c r="E3930" s="126">
        <v>9.92</v>
      </c>
      <c r="F3930" s="127"/>
      <c r="G3930" s="127"/>
      <c r="H3930" s="127"/>
      <c r="I3930" s="128"/>
      <c r="K3930" s="105" t="str">
        <f>IFERROR(__xludf.DUMMYFUNCTION("if(A3930="""","""",substitute(SUBSTITUTE(index(importhtml(""http://finviz.com/quote.ashx?t=""&amp;A3930,""table"",10),7,2),""*"",""""),""-"",""0.00""))"),"Loading...")</f>
        <v>Loading...</v>
      </c>
      <c r="L3930" s="129">
        <v>6.1786597E7</v>
      </c>
      <c r="M3930" s="99" t="str">
        <f>IFERROR(__xludf.DUMMYFUNCTION("GOOGLEFINANCE(A3930,""beta"")"),"#N/A")</f>
        <v>#N/A</v>
      </c>
    </row>
    <row r="3931">
      <c r="A3931" s="122" t="s">
        <v>8313</v>
      </c>
      <c r="B3931" s="123">
        <v>775368.0</v>
      </c>
      <c r="C3931" s="124" t="s">
        <v>8314</v>
      </c>
      <c r="D3931" s="125"/>
      <c r="E3931" s="126">
        <v>9.92</v>
      </c>
      <c r="F3931" s="127"/>
      <c r="G3931" s="127"/>
      <c r="H3931" s="127"/>
      <c r="I3931" s="128"/>
      <c r="K3931" s="105" t="str">
        <f>IFERROR(__xludf.DUMMYFUNCTION("if(A3931="""","""",substitute(SUBSTITUTE(index(importhtml(""http://finviz.com/quote.ashx?t=""&amp;A3931,""table"",10),7,2),""*"",""""),""-"",""0.00""))"),"Loading...")</f>
        <v>Loading...</v>
      </c>
      <c r="L3931" s="129">
        <v>1.85090734E8</v>
      </c>
      <c r="M3931" s="99">
        <v>0.56</v>
      </c>
    </row>
    <row r="3932">
      <c r="A3932" s="122" t="s">
        <v>8315</v>
      </c>
      <c r="B3932" s="123">
        <v>1636422.0</v>
      </c>
      <c r="C3932" s="124" t="s">
        <v>8316</v>
      </c>
      <c r="D3932" s="125"/>
      <c r="E3932" s="126">
        <v>9.92</v>
      </c>
      <c r="F3932" s="127"/>
      <c r="G3932" s="127"/>
      <c r="H3932" s="127"/>
      <c r="I3932" s="128"/>
      <c r="K3932" s="105" t="str">
        <f>IFERROR(__xludf.DUMMYFUNCTION("if(A3932="""","""",substitute(SUBSTITUTE(index(importhtml(""http://finviz.com/quote.ashx?t=""&amp;A3932,""table"",10),7,2),""*"",""""),""-"",""0.00""))"),"Loading...")</f>
        <v>Loading...</v>
      </c>
      <c r="L3932" s="129">
        <v>5.70899178E8</v>
      </c>
      <c r="M3932" s="99">
        <v>1.35</v>
      </c>
    </row>
    <row r="3933">
      <c r="A3933" s="122" t="s">
        <v>8317</v>
      </c>
      <c r="B3933" s="123">
        <v>1159508.0</v>
      </c>
      <c r="C3933" s="124" t="s">
        <v>8318</v>
      </c>
      <c r="D3933" s="125"/>
      <c r="E3933" s="126">
        <v>9.93</v>
      </c>
      <c r="F3933" s="127"/>
      <c r="G3933" s="127"/>
      <c r="H3933" s="127"/>
      <c r="I3933" s="128"/>
      <c r="K3933" s="55" t="s">
        <v>1034</v>
      </c>
      <c r="L3933" s="129" t="e">
        <v>#N/A</v>
      </c>
      <c r="M3933" s="99" t="str">
        <f>IFERROR(__xludf.DUMMYFUNCTION("GOOGLEFINANCE(A3933,""beta"")"),"#N/A")</f>
        <v>#N/A</v>
      </c>
    </row>
    <row r="3934">
      <c r="A3934" s="122" t="s">
        <v>8319</v>
      </c>
      <c r="B3934" s="123">
        <v>1785173.0</v>
      </c>
      <c r="C3934" s="124" t="s">
        <v>8320</v>
      </c>
      <c r="D3934" s="125"/>
      <c r="E3934" s="126">
        <v>9.94</v>
      </c>
      <c r="F3934" s="127"/>
      <c r="G3934" s="127"/>
      <c r="H3934" s="127"/>
      <c r="I3934" s="128"/>
      <c r="K3934" s="105" t="str">
        <f>IFERROR(__xludf.DUMMYFUNCTION("if(A3934="""","""",substitute(SUBSTITUTE(index(importhtml(""http://finviz.com/quote.ashx?t=""&amp;A3934,""table"",10),7,2),""*"",""""),""-"",""0.00""))"),"Loading...")</f>
        <v>Loading...</v>
      </c>
      <c r="L3934" s="129">
        <v>9.26002443E8</v>
      </c>
      <c r="M3934" s="99">
        <v>0.93</v>
      </c>
    </row>
    <row r="3935">
      <c r="A3935" s="122" t="s">
        <v>8321</v>
      </c>
      <c r="B3935" s="123">
        <v>66418.0</v>
      </c>
      <c r="C3935" s="124" t="s">
        <v>8322</v>
      </c>
      <c r="D3935" s="125"/>
      <c r="E3935" s="126">
        <v>9.95</v>
      </c>
      <c r="F3935" s="127"/>
      <c r="G3935" s="127"/>
      <c r="H3935" s="127"/>
      <c r="I3935" s="128"/>
      <c r="K3935" s="105" t="str">
        <f>IFERROR(__xludf.DUMMYFUNCTION("if(A3935="""","""",substitute(SUBSTITUTE(index(importhtml(""http://finviz.com/quote.ashx?t=""&amp;A3935,""table"",10),7,2),""*"",""""),""-"",""0.00""))"),"Loading...")</f>
        <v>Loading...</v>
      </c>
      <c r="L3935" s="129">
        <v>2.0939985E7</v>
      </c>
      <c r="M3935" s="99">
        <v>0.71</v>
      </c>
    </row>
    <row r="3936">
      <c r="A3936" s="122" t="s">
        <v>8323</v>
      </c>
      <c r="B3936" s="123">
        <v>1071899.0</v>
      </c>
      <c r="C3936" s="124" t="s">
        <v>8324</v>
      </c>
      <c r="D3936" s="125"/>
      <c r="E3936" s="126">
        <v>9.95</v>
      </c>
      <c r="F3936" s="127"/>
      <c r="G3936" s="127"/>
      <c r="H3936" s="127"/>
      <c r="I3936" s="128"/>
      <c r="K3936" s="105" t="str">
        <f>IFERROR(__xludf.DUMMYFUNCTION("if(A3936="""","""",substitute(SUBSTITUTE(index(importhtml(""http://finviz.com/quote.ashx?t=""&amp;A3936,""table"",10),7,2),""*"",""""),""-"",""0.00""))"),"Loading...")</f>
        <v>Loading...</v>
      </c>
      <c r="L3936" s="129">
        <v>2.21540626E8</v>
      </c>
      <c r="M3936" s="99">
        <v>0.52</v>
      </c>
    </row>
    <row r="3937">
      <c r="A3937" s="122" t="s">
        <v>8325</v>
      </c>
      <c r="B3937" s="123">
        <v>276720.0</v>
      </c>
      <c r="C3937" s="124" t="s">
        <v>8326</v>
      </c>
      <c r="D3937" s="125"/>
      <c r="E3937" s="126">
        <v>9.95</v>
      </c>
      <c r="F3937" s="127"/>
      <c r="G3937" s="127"/>
      <c r="H3937" s="127"/>
      <c r="I3937" s="128"/>
      <c r="K3937" s="105" t="str">
        <f>IFERROR(__xludf.DUMMYFUNCTION("if(A3937="""","""",substitute(SUBSTITUTE(index(importhtml(""http://finviz.com/quote.ashx?t=""&amp;A3937,""table"",10),7,2),""*"",""""),""-"",""0.00""))"),"#REF!")</f>
        <v>#REF!</v>
      </c>
      <c r="L3937" s="129">
        <v>2.3960286E8</v>
      </c>
      <c r="M3937" s="99">
        <v>0.98</v>
      </c>
    </row>
    <row r="3938">
      <c r="A3938" s="122" t="s">
        <v>8327</v>
      </c>
      <c r="B3938" s="123">
        <v>1514490.0</v>
      </c>
      <c r="C3938" s="124" t="s">
        <v>8328</v>
      </c>
      <c r="D3938" s="125"/>
      <c r="E3938" s="126">
        <v>9.96</v>
      </c>
      <c r="F3938" s="127"/>
      <c r="G3938" s="127"/>
      <c r="H3938" s="127"/>
      <c r="I3938" s="128"/>
      <c r="K3938" s="105" t="str">
        <f>IFERROR(__xludf.DUMMYFUNCTION("if(A3938="""","""",substitute(SUBSTITUTE(index(importhtml(""http://finviz.com/quote.ashx?t=""&amp;A3938,""table"",10),7,2),""*"",""""),""-"",""0.00""))"),"Loading...")</f>
        <v>Loading...</v>
      </c>
      <c r="L3938" s="129">
        <v>6.2850767E7</v>
      </c>
      <c r="M3938" s="99">
        <v>1.34</v>
      </c>
    </row>
    <row r="3939">
      <c r="A3939" s="122" t="s">
        <v>8329</v>
      </c>
      <c r="B3939" s="123">
        <v>1808865.0</v>
      </c>
      <c r="C3939" s="124" t="s">
        <v>8330</v>
      </c>
      <c r="D3939" s="125"/>
      <c r="E3939" s="126">
        <v>9.96</v>
      </c>
      <c r="F3939" s="127"/>
      <c r="G3939" s="127"/>
      <c r="H3939" s="127"/>
      <c r="I3939" s="128"/>
      <c r="K3939" s="105" t="str">
        <f>IFERROR(__xludf.DUMMYFUNCTION("if(A3939="""","""",substitute(SUBSTITUTE(index(importhtml(""http://finviz.com/quote.ashx?t=""&amp;A3939,""table"",10),7,2),""*"",""""),""-"",""0.00""))"),"Loading...")</f>
        <v>Loading...</v>
      </c>
      <c r="L3939" s="129">
        <v>3.56418103E8</v>
      </c>
      <c r="M3939" s="99">
        <v>1.14</v>
      </c>
    </row>
    <row r="3940">
      <c r="A3940" s="122" t="s">
        <v>8331</v>
      </c>
      <c r="B3940" s="123">
        <v>1853145.0</v>
      </c>
      <c r="C3940" s="124" t="s">
        <v>8332</v>
      </c>
      <c r="D3940" s="125"/>
      <c r="E3940" s="126">
        <v>9.97</v>
      </c>
      <c r="F3940" s="127"/>
      <c r="G3940" s="127"/>
      <c r="H3940" s="127"/>
      <c r="I3940" s="128"/>
      <c r="K3940" s="105" t="str">
        <f>IFERROR(__xludf.DUMMYFUNCTION("if(A3940="""","""",substitute(SUBSTITUTE(index(importhtml(""http://finviz.com/quote.ashx?t=""&amp;A3940,""table"",10),7,2),""*"",""""),""-"",""0.00""))"),"Loading...")</f>
        <v>Loading...</v>
      </c>
      <c r="L3940" s="129">
        <v>1.880925295E9</v>
      </c>
      <c r="M3940" s="99">
        <f>IFERROR(__xludf.DUMMYFUNCTION("GOOGLEFINANCE(A3940,""beta"")"),1.05)</f>
        <v>1.05</v>
      </c>
    </row>
    <row r="3941">
      <c r="A3941" s="122" t="s">
        <v>8333</v>
      </c>
      <c r="B3941" s="123">
        <v>1436786.0</v>
      </c>
      <c r="C3941" s="124" t="s">
        <v>8334</v>
      </c>
      <c r="D3941" s="125"/>
      <c r="E3941" s="126">
        <v>9.97</v>
      </c>
      <c r="F3941" s="127"/>
      <c r="G3941" s="127"/>
      <c r="H3941" s="127"/>
      <c r="I3941" s="128"/>
      <c r="K3941" s="105" t="str">
        <f>IFERROR(__xludf.DUMMYFUNCTION("if(A3941="""","""",substitute(SUBSTITUTE(index(importhtml(""http://finviz.com/quote.ashx?t=""&amp;A3941,""table"",10),7,2),""*"",""""),""-"",""0.00""))"),"Loading...")</f>
        <v>Loading...</v>
      </c>
      <c r="L3941" s="129">
        <v>8.005436237E9</v>
      </c>
      <c r="M3941" s="99">
        <f>IFERROR(__xludf.DUMMYFUNCTION("GOOGLEFINANCE(A3941,""beta"")"),1.18)</f>
        <v>1.18</v>
      </c>
    </row>
    <row r="3942">
      <c r="A3942" s="122" t="s">
        <v>8335</v>
      </c>
      <c r="B3942" s="123">
        <v>58361.0</v>
      </c>
      <c r="C3942" s="124" t="s">
        <v>8336</v>
      </c>
      <c r="D3942" s="125"/>
      <c r="E3942" s="126">
        <v>9.98</v>
      </c>
      <c r="F3942" s="127"/>
      <c r="G3942" s="127"/>
      <c r="H3942" s="127"/>
      <c r="I3942" s="128"/>
      <c r="K3942" s="105" t="str">
        <f>IFERROR(__xludf.DUMMYFUNCTION("if(A3942="""","""",substitute(SUBSTITUTE(index(importhtml(""http://finviz.com/quote.ashx?t=""&amp;A3942,""table"",10),7,2),""*"",""""),""-"",""0.00""))"),"Loading...")</f>
        <v>Loading...</v>
      </c>
      <c r="L3942" s="129">
        <v>6.1297187E7</v>
      </c>
      <c r="M3942" s="99">
        <v>1.19</v>
      </c>
    </row>
    <row r="3943">
      <c r="A3943" s="122" t="s">
        <v>8337</v>
      </c>
      <c r="B3943" s="123">
        <v>95953.0</v>
      </c>
      <c r="C3943" s="124" t="s">
        <v>8338</v>
      </c>
      <c r="D3943" s="125"/>
      <c r="E3943" s="126">
        <v>9.98</v>
      </c>
      <c r="F3943" s="127"/>
      <c r="G3943" s="127"/>
      <c r="H3943" s="127"/>
      <c r="I3943" s="128"/>
      <c r="K3943" s="105" t="str">
        <f>IFERROR(__xludf.DUMMYFUNCTION("if(A3943="""","""",substitute(SUBSTITUTE(index(importhtml(""http://finviz.com/quote.ashx?t=""&amp;A3943,""table"",10),7,2),""*"",""""),""-"",""0.00""))"),"Loading...")</f>
        <v>Loading...</v>
      </c>
      <c r="L3943" s="129">
        <v>1.01052784E8</v>
      </c>
      <c r="M3943" s="99">
        <v>0.72</v>
      </c>
    </row>
    <row r="3944">
      <c r="A3944" s="122" t="s">
        <v>8339</v>
      </c>
      <c r="B3944" s="123">
        <v>1169445.0</v>
      </c>
      <c r="C3944" s="124" t="s">
        <v>8340</v>
      </c>
      <c r="D3944" s="125"/>
      <c r="E3944" s="126">
        <v>9.98</v>
      </c>
      <c r="F3944" s="127"/>
      <c r="G3944" s="127"/>
      <c r="H3944" s="127"/>
      <c r="I3944" s="128"/>
      <c r="K3944" s="105" t="str">
        <f>IFERROR(__xludf.DUMMYFUNCTION("if(A3944="""","""",substitute(SUBSTITUTE(index(importhtml(""http://finviz.com/quote.ashx?t=""&amp;A3944,""table"",10),7,2),""*"",""""),""-"",""0.00""))"),"Loading...")</f>
        <v>Loading...</v>
      </c>
      <c r="L3944" s="129">
        <v>1.45196717E8</v>
      </c>
      <c r="M3944" s="99">
        <v>0.68</v>
      </c>
    </row>
    <row r="3945">
      <c r="A3945" s="122" t="s">
        <v>8341</v>
      </c>
      <c r="B3945" s="123">
        <v>1044777.0</v>
      </c>
      <c r="C3945" s="124" t="s">
        <v>8342</v>
      </c>
      <c r="D3945" s="125"/>
      <c r="E3945" s="126">
        <v>9.98</v>
      </c>
      <c r="F3945" s="127"/>
      <c r="G3945" s="127"/>
      <c r="H3945" s="127"/>
      <c r="I3945" s="128"/>
      <c r="K3945" s="105" t="str">
        <f>IFERROR(__xludf.DUMMYFUNCTION("if(A3945="""","""",substitute(SUBSTITUTE(index(importhtml(""http://finviz.com/quote.ashx?t=""&amp;A3945,""table"",10),7,2),""*"",""""),""-"",""0.00""))"),"Loading...")</f>
        <v>Loading...</v>
      </c>
      <c r="L3945" s="129">
        <v>3.98075535E8</v>
      </c>
      <c r="M3945" s="99">
        <v>0.85</v>
      </c>
    </row>
    <row r="3946">
      <c r="A3946" s="122" t="s">
        <v>8343</v>
      </c>
      <c r="B3946" s="123">
        <v>1267813.0</v>
      </c>
      <c r="C3946" s="124" t="s">
        <v>8344</v>
      </c>
      <c r="D3946" s="125"/>
      <c r="E3946" s="126">
        <v>9.98</v>
      </c>
      <c r="F3946" s="127"/>
      <c r="G3946" s="127"/>
      <c r="H3946" s="127"/>
      <c r="I3946" s="128"/>
      <c r="K3946" s="105" t="str">
        <f>IFERROR(__xludf.DUMMYFUNCTION("if(A3946="""","""",substitute(SUBSTITUTE(index(importhtml(""http://finviz.com/quote.ashx?t=""&amp;A3946,""table"",10),7,2),""*"",""""),""-"",""0.00""))"),"Loading...")</f>
        <v>Loading...</v>
      </c>
      <c r="L3946" s="129">
        <v>5.44644303E8</v>
      </c>
      <c r="M3946" s="99">
        <v>0.94</v>
      </c>
    </row>
    <row r="3947">
      <c r="A3947" s="122" t="s">
        <v>8345</v>
      </c>
      <c r="B3947" s="123">
        <v>1599617.0</v>
      </c>
      <c r="C3947" s="124" t="s">
        <v>8346</v>
      </c>
      <c r="D3947" s="125"/>
      <c r="E3947" s="126">
        <v>9.99</v>
      </c>
      <c r="F3947" s="127"/>
      <c r="G3947" s="127"/>
      <c r="H3947" s="127"/>
      <c r="I3947" s="128"/>
      <c r="K3947" s="105" t="str">
        <f>IFERROR(__xludf.DUMMYFUNCTION("if(A3947="""","""",substitute(SUBSTITUTE(index(importhtml(""http://finviz.com/quote.ashx?t=""&amp;A3947,""table"",10),7,2),""*"",""""),""-"",""0.00""))"),"Loading...")</f>
        <v>Loading...</v>
      </c>
      <c r="L3947" s="129">
        <v>1.062247664E9</v>
      </c>
      <c r="M3947" s="99">
        <v>1.4</v>
      </c>
    </row>
    <row r="3948">
      <c r="A3948" s="122" t="s">
        <v>8347</v>
      </c>
      <c r="B3948" s="123">
        <v>1833089.0</v>
      </c>
      <c r="C3948" s="124" t="s">
        <v>8348</v>
      </c>
      <c r="D3948" s="125"/>
      <c r="E3948" s="126">
        <v>10.0</v>
      </c>
      <c r="F3948" s="127"/>
      <c r="G3948" s="127"/>
      <c r="H3948" s="127"/>
      <c r="I3948" s="128"/>
      <c r="K3948" s="105" t="str">
        <f>IFERROR(__xludf.DUMMYFUNCTION("if(A3948="""","""",substitute(SUBSTITUTE(index(importhtml(""http://finviz.com/quote.ashx?t=""&amp;A3948,""table"",10),7,2),""*"",""""),""-"",""0.00""))"),"Loading...")</f>
        <v>Loading...</v>
      </c>
      <c r="L3948" s="129">
        <v>589110.0</v>
      </c>
      <c r="M3948" s="99" t="str">
        <f>IFERROR(__xludf.DUMMYFUNCTION("GOOGLEFINANCE(A3948,""beta"")"),"#N/A")</f>
        <v>#N/A</v>
      </c>
    </row>
    <row r="3949">
      <c r="A3949" s="122" t="s">
        <v>8349</v>
      </c>
      <c r="B3949" s="123">
        <v>1834518.0</v>
      </c>
      <c r="C3949" s="124" t="s">
        <v>8350</v>
      </c>
      <c r="D3949" s="125"/>
      <c r="E3949" s="126">
        <v>10.0</v>
      </c>
      <c r="F3949" s="127"/>
      <c r="G3949" s="127"/>
      <c r="H3949" s="127"/>
      <c r="I3949" s="128"/>
      <c r="K3949" s="105" t="str">
        <f>IFERROR(__xludf.DUMMYFUNCTION("if(A3949="""","""",substitute(SUBSTITUTE(index(importhtml(""http://finviz.com/quote.ashx?t=""&amp;A3949,""table"",10),7,2),""*"",""""),""-"",""0.00""))"),"Loading...")</f>
        <v>Loading...</v>
      </c>
      <c r="L3949" s="129">
        <v>1.912654E7</v>
      </c>
      <c r="M3949" s="99" t="str">
        <f>IFERROR(__xludf.DUMMYFUNCTION("GOOGLEFINANCE(A3949,""beta"")"),"#N/A")</f>
        <v>#N/A</v>
      </c>
    </row>
    <row r="3950">
      <c r="A3950" s="122" t="s">
        <v>8351</v>
      </c>
      <c r="B3950" s="123">
        <v>1697412.0</v>
      </c>
      <c r="C3950" s="124" t="s">
        <v>8352</v>
      </c>
      <c r="D3950" s="125"/>
      <c r="E3950" s="126">
        <v>10.0</v>
      </c>
      <c r="F3950" s="127"/>
      <c r="G3950" s="127"/>
      <c r="H3950" s="127"/>
      <c r="I3950" s="128"/>
      <c r="K3950" s="105" t="str">
        <f>IFERROR(__xludf.DUMMYFUNCTION("if(A3950="""","""",substitute(SUBSTITUTE(index(importhtml(""http://finviz.com/quote.ashx?t=""&amp;A3950,""table"",10),7,2),""*"",""""),""-"",""0.00""))"),"Loading...")</f>
        <v>Loading...</v>
      </c>
      <c r="L3950" s="129">
        <v>7.539E7</v>
      </c>
      <c r="M3950" s="99" t="str">
        <f>IFERROR(__xludf.DUMMYFUNCTION("GOOGLEFINANCE(A3950,""beta"")"),"#N/A")</f>
        <v>#N/A</v>
      </c>
    </row>
    <row r="3951">
      <c r="A3951" s="122" t="s">
        <v>8353</v>
      </c>
      <c r="B3951" s="123">
        <v>1627469.0</v>
      </c>
      <c r="C3951" s="124" t="s">
        <v>8354</v>
      </c>
      <c r="D3951" s="125"/>
      <c r="E3951" s="126">
        <v>10.0</v>
      </c>
      <c r="F3951" s="127"/>
      <c r="G3951" s="127"/>
      <c r="H3951" s="127"/>
      <c r="I3951" s="128"/>
      <c r="K3951" s="105" t="str">
        <f>IFERROR(__xludf.DUMMYFUNCTION("if(A3951="""","""",substitute(SUBSTITUTE(index(importhtml(""http://finviz.com/quote.ashx?t=""&amp;A3951,""table"",10),7,2),""*"",""""),""-"",""0.00""))"),"Loading...")</f>
        <v>Loading...</v>
      </c>
      <c r="L3951" s="129">
        <v>8.0E7</v>
      </c>
      <c r="M3951" s="99" t="str">
        <f>IFERROR(__xludf.DUMMYFUNCTION("GOOGLEFINANCE(A3951,""beta"")"),"#N/A")</f>
        <v>#N/A</v>
      </c>
    </row>
    <row r="3952">
      <c r="A3952" s="122" t="s">
        <v>8355</v>
      </c>
      <c r="B3952" s="123">
        <v>1699039.0</v>
      </c>
      <c r="C3952" s="124" t="s">
        <v>8356</v>
      </c>
      <c r="D3952" s="125"/>
      <c r="E3952" s="126">
        <v>10.0</v>
      </c>
      <c r="F3952" s="127"/>
      <c r="G3952" s="127"/>
      <c r="H3952" s="127"/>
      <c r="I3952" s="128"/>
      <c r="K3952" s="105" t="str">
        <f>IFERROR(__xludf.DUMMYFUNCTION("if(A3952="""","""",substitute(SUBSTITUTE(index(importhtml(""http://finviz.com/quote.ashx?t=""&amp;A3952,""table"",10),7,2),""*"",""""),""-"",""0.00""))"),"Loading...")</f>
        <v>Loading...</v>
      </c>
      <c r="L3952" s="129">
        <v>2.44127E8</v>
      </c>
      <c r="M3952" s="99">
        <v>0.56</v>
      </c>
    </row>
    <row r="3953">
      <c r="A3953" s="122" t="s">
        <v>8357</v>
      </c>
      <c r="B3953" s="123">
        <v>1865429.0</v>
      </c>
      <c r="C3953" s="124" t="s">
        <v>8358</v>
      </c>
      <c r="D3953" s="125"/>
      <c r="E3953" s="126">
        <v>10.0</v>
      </c>
      <c r="F3953" s="127"/>
      <c r="G3953" s="127"/>
      <c r="H3953" s="127"/>
      <c r="I3953" s="128"/>
      <c r="K3953" s="105" t="str">
        <f>IFERROR(__xludf.DUMMYFUNCTION("if(A3953="""","""",substitute(SUBSTITUTE(index(importhtml(""http://finviz.com/quote.ashx?t=""&amp;A3953,""table"",10),7,2),""*"",""""),""-"",""0.00""))"),"Loading...")</f>
        <v>Loading...</v>
      </c>
      <c r="L3953" s="129" t="e">
        <v>#N/A</v>
      </c>
      <c r="M3953" s="99">
        <v>0.15</v>
      </c>
    </row>
    <row r="3954">
      <c r="A3954" s="122" t="s">
        <v>8359</v>
      </c>
      <c r="B3954" s="123">
        <v>1831523.0</v>
      </c>
      <c r="C3954" s="124" t="s">
        <v>8360</v>
      </c>
      <c r="D3954" s="125"/>
      <c r="E3954" s="126">
        <v>10.0</v>
      </c>
      <c r="F3954" s="127"/>
      <c r="G3954" s="127"/>
      <c r="H3954" s="127"/>
      <c r="I3954" s="128"/>
      <c r="K3954" s="105" t="str">
        <f>IFERROR(__xludf.DUMMYFUNCTION("if(A3954="""","""",substitute(SUBSTITUTE(index(importhtml(""http://finviz.com/quote.ashx?t=""&amp;A3954,""table"",10),7,2),""*"",""""),""-"",""0.00""))"),"Loading...")</f>
        <v>Loading...</v>
      </c>
      <c r="L3954" s="129" t="e">
        <v>#N/A</v>
      </c>
      <c r="M3954" s="99">
        <f>IFERROR(__xludf.DUMMYFUNCTION("GOOGLEFINANCE(A3954,""beta"")"),0.37)</f>
        <v>0.37</v>
      </c>
    </row>
    <row r="3955">
      <c r="A3955" s="122" t="s">
        <v>8361</v>
      </c>
      <c r="B3955" s="123">
        <v>1016838.0</v>
      </c>
      <c r="C3955" s="124" t="s">
        <v>8362</v>
      </c>
      <c r="D3955" s="125"/>
      <c r="E3955" s="126">
        <v>10.03</v>
      </c>
      <c r="F3955" s="127"/>
      <c r="G3955" s="127"/>
      <c r="H3955" s="127"/>
      <c r="I3955" s="128"/>
      <c r="K3955" s="105" t="str">
        <f>IFERROR(__xludf.DUMMYFUNCTION("if(A3955="""","""",substitute(SUBSTITUTE(index(importhtml(""http://finviz.com/quote.ashx?t=""&amp;A3955,""table"",10),7,2),""*"",""""),""-"",""0.00""))"),"Loading...")</f>
        <v>Loading...</v>
      </c>
      <c r="L3955" s="129">
        <v>1.51049288E8</v>
      </c>
      <c r="M3955" s="99">
        <v>0.72</v>
      </c>
    </row>
    <row r="3956">
      <c r="A3956" s="122" t="s">
        <v>8363</v>
      </c>
      <c r="B3956" s="123">
        <v>1266585.0</v>
      </c>
      <c r="C3956" s="124" t="s">
        <v>8364</v>
      </c>
      <c r="D3956" s="125"/>
      <c r="E3956" s="126">
        <v>10.03</v>
      </c>
      <c r="F3956" s="127"/>
      <c r="G3956" s="127"/>
      <c r="H3956" s="127"/>
      <c r="I3956" s="128"/>
      <c r="K3956" s="105" t="str">
        <f>IFERROR(__xludf.DUMMYFUNCTION("if(A3956="""","""",substitute(SUBSTITUTE(index(importhtml(""http://finviz.com/quote.ashx?t=""&amp;A3956,""table"",10),7,2),""*"",""""),""-"",""0.00""))"),"Loading...")</f>
        <v>Loading...</v>
      </c>
      <c r="L3956" s="129">
        <v>1.108709149E9</v>
      </c>
      <c r="M3956" s="99">
        <v>0.61</v>
      </c>
    </row>
    <row r="3957">
      <c r="A3957" s="122" t="s">
        <v>8365</v>
      </c>
      <c r="B3957" s="123">
        <v>806968.0</v>
      </c>
      <c r="C3957" s="124" t="s">
        <v>8366</v>
      </c>
      <c r="D3957" s="125"/>
      <c r="E3957" s="126">
        <v>10.03</v>
      </c>
      <c r="F3957" s="127"/>
      <c r="G3957" s="127"/>
      <c r="H3957" s="127"/>
      <c r="I3957" s="128"/>
      <c r="K3957" s="105" t="str">
        <f>IFERROR(__xludf.DUMMYFUNCTION("if(A3957="""","""",substitute(SUBSTITUTE(index(importhtml(""http://finviz.com/quote.ashx?t=""&amp;A3957,""table"",10),7,2),""*"",""""),""-"",""0.00""))"),"Loading...")</f>
        <v>Loading...</v>
      </c>
      <c r="L3957" s="129">
        <v>1.0484858228E10</v>
      </c>
      <c r="M3957" s="99">
        <v>1.33</v>
      </c>
    </row>
    <row r="3958">
      <c r="A3958" s="122" t="s">
        <v>8367</v>
      </c>
      <c r="B3958" s="123">
        <v>1766526.0</v>
      </c>
      <c r="C3958" s="124" t="s">
        <v>8368</v>
      </c>
      <c r="D3958" s="125"/>
      <c r="E3958" s="126">
        <v>10.03</v>
      </c>
      <c r="F3958" s="127"/>
      <c r="G3958" s="127"/>
      <c r="H3958" s="127"/>
      <c r="I3958" s="128"/>
      <c r="K3958" s="105" t="str">
        <f>IFERROR(__xludf.DUMMYFUNCTION("if(A3958="""","""",substitute(SUBSTITUTE(index(importhtml(""http://finviz.com/quote.ashx?t=""&amp;A3958,""table"",10),7,2),""*"",""""),""-"",""0.00""))"),"Loading...")</f>
        <v>Loading...</v>
      </c>
      <c r="L3958" s="129" t="e">
        <v>#N/A</v>
      </c>
      <c r="M3958" s="99">
        <v>0.43</v>
      </c>
    </row>
    <row r="3959">
      <c r="A3959" s="122" t="s">
        <v>8369</v>
      </c>
      <c r="B3959" s="123">
        <v>1000209.0</v>
      </c>
      <c r="C3959" s="124" t="s">
        <v>8370</v>
      </c>
      <c r="D3959" s="125"/>
      <c r="E3959" s="126">
        <v>10.04</v>
      </c>
      <c r="F3959" s="127"/>
      <c r="G3959" s="127"/>
      <c r="H3959" s="127"/>
      <c r="I3959" s="128"/>
      <c r="K3959" s="105" t="str">
        <f>IFERROR(__xludf.DUMMYFUNCTION("if(A3959="""","""",substitute(SUBSTITUTE(index(importhtml(""http://finviz.com/quote.ashx?t=""&amp;A3959,""table"",10),7,2),""*"",""""),""-"",""0.00""))"),"Loading...")</f>
        <v>Loading...</v>
      </c>
      <c r="L3959" s="129">
        <v>2.34571747E8</v>
      </c>
      <c r="M3959" s="99">
        <v>2.18</v>
      </c>
    </row>
    <row r="3960">
      <c r="A3960" s="122" t="s">
        <v>8371</v>
      </c>
      <c r="B3960" s="123">
        <v>1327688.0</v>
      </c>
      <c r="C3960" s="124" t="s">
        <v>8372</v>
      </c>
      <c r="D3960" s="125"/>
      <c r="E3960" s="126">
        <v>10.04</v>
      </c>
      <c r="F3960" s="127"/>
      <c r="G3960" s="127"/>
      <c r="H3960" s="127"/>
      <c r="I3960" s="128"/>
      <c r="K3960" s="105" t="str">
        <f>IFERROR(__xludf.DUMMYFUNCTION("if(A3960="""","""",substitute(SUBSTITUTE(index(importhtml(""http://finviz.com/quote.ashx?t=""&amp;A3960,""table"",10),7,2),""*"",""""),""-"",""0.00""))"),"Loading...")</f>
        <v>Loading...</v>
      </c>
      <c r="L3960" s="129">
        <v>2.59031999E8</v>
      </c>
      <c r="M3960" s="99">
        <v>0.85</v>
      </c>
    </row>
    <row r="3961">
      <c r="A3961" s="122" t="s">
        <v>8373</v>
      </c>
      <c r="B3961" s="123">
        <v>1320375.0</v>
      </c>
      <c r="C3961" s="124" t="s">
        <v>8374</v>
      </c>
      <c r="D3961" s="125"/>
      <c r="E3961" s="126">
        <v>10.06</v>
      </c>
      <c r="F3961" s="127"/>
      <c r="G3961" s="127"/>
      <c r="H3961" s="127"/>
      <c r="I3961" s="128"/>
      <c r="K3961" s="55" t="s">
        <v>6255</v>
      </c>
      <c r="L3961" s="129">
        <v>6.26047205E8</v>
      </c>
      <c r="M3961" s="99">
        <v>0.9</v>
      </c>
    </row>
    <row r="3962">
      <c r="A3962" s="122" t="s">
        <v>8375</v>
      </c>
      <c r="B3962" s="123">
        <v>1477845.0</v>
      </c>
      <c r="C3962" s="124" t="s">
        <v>8376</v>
      </c>
      <c r="D3962" s="125"/>
      <c r="E3962" s="126">
        <v>10.06</v>
      </c>
      <c r="F3962" s="127"/>
      <c r="G3962" s="127"/>
      <c r="H3962" s="127"/>
      <c r="I3962" s="128"/>
      <c r="K3962" s="105" t="str">
        <f>IFERROR(__xludf.DUMMYFUNCTION("if(A3962="""","""",substitute(SUBSTITUTE(index(importhtml(""http://finviz.com/quote.ashx?t=""&amp;A3962,""table"",10),7,2),""*"",""""),""-"",""0.00""))"),"Loading...")</f>
        <v>Loading...</v>
      </c>
      <c r="L3962" s="129">
        <v>1.0323844E8</v>
      </c>
      <c r="M3962" s="99">
        <v>1.65</v>
      </c>
    </row>
    <row r="3963">
      <c r="A3963" s="122" t="s">
        <v>8377</v>
      </c>
      <c r="B3963" s="123">
        <v>876523.0</v>
      </c>
      <c r="C3963" s="124" t="s">
        <v>8378</v>
      </c>
      <c r="D3963" s="125"/>
      <c r="E3963" s="126">
        <v>10.06</v>
      </c>
      <c r="F3963" s="127"/>
      <c r="G3963" s="127"/>
      <c r="H3963" s="127"/>
      <c r="I3963" s="128"/>
      <c r="K3963" s="105" t="str">
        <f>IFERROR(__xludf.DUMMYFUNCTION("if(A3963="""","""",substitute(SUBSTITUTE(index(importhtml(""http://finviz.com/quote.ashx?t=""&amp;A3963,""table"",10),7,2),""*"",""""),""-"",""0.00""))"),"Loading...")</f>
        <v>Loading...</v>
      </c>
      <c r="L3963" s="129">
        <v>5.5484876E8</v>
      </c>
      <c r="M3963" s="99">
        <v>1.11</v>
      </c>
    </row>
    <row r="3964">
      <c r="A3964" s="122" t="s">
        <v>8379</v>
      </c>
      <c r="B3964" s="123">
        <v>1496749.0</v>
      </c>
      <c r="C3964" s="124" t="s">
        <v>8380</v>
      </c>
      <c r="D3964" s="125"/>
      <c r="E3964" s="126">
        <v>10.07</v>
      </c>
      <c r="F3964" s="127"/>
      <c r="G3964" s="127"/>
      <c r="H3964" s="127"/>
      <c r="I3964" s="128"/>
      <c r="K3964" s="55" t="s">
        <v>6671</v>
      </c>
      <c r="L3964" s="129" t="e">
        <v>#N/A</v>
      </c>
      <c r="M3964" s="99">
        <v>0.78</v>
      </c>
    </row>
    <row r="3965">
      <c r="A3965" s="122" t="s">
        <v>8381</v>
      </c>
      <c r="B3965" s="123">
        <v>1211583.0</v>
      </c>
      <c r="C3965" s="124" t="s">
        <v>8382</v>
      </c>
      <c r="D3965" s="125"/>
      <c r="E3965" s="126">
        <v>10.07</v>
      </c>
      <c r="F3965" s="127"/>
      <c r="G3965" s="127"/>
      <c r="H3965" s="127"/>
      <c r="I3965" s="128"/>
      <c r="K3965" s="105" t="str">
        <f>IFERROR(__xludf.DUMMYFUNCTION("if(A3965="""","""",substitute(SUBSTITUTE(index(importhtml(""http://finviz.com/quote.ashx?t=""&amp;A3965,""table"",10),7,2),""*"",""""),""-"",""0.00""))"),"Loading...")</f>
        <v>Loading...</v>
      </c>
      <c r="L3965" s="129">
        <v>2.68202458E8</v>
      </c>
      <c r="M3965" s="99">
        <v>0.37</v>
      </c>
    </row>
    <row r="3966">
      <c r="A3966" s="122" t="s">
        <v>8383</v>
      </c>
      <c r="B3966" s="123">
        <v>1604174.0</v>
      </c>
      <c r="C3966" s="124" t="s">
        <v>8384</v>
      </c>
      <c r="D3966" s="125"/>
      <c r="E3966" s="126">
        <v>10.08</v>
      </c>
      <c r="F3966" s="127"/>
      <c r="G3966" s="127"/>
      <c r="H3966" s="127"/>
      <c r="I3966" s="128"/>
      <c r="K3966" s="55" t="s">
        <v>8385</v>
      </c>
      <c r="L3966" s="129">
        <v>7.25665242E8</v>
      </c>
      <c r="M3966" s="99">
        <v>0.76</v>
      </c>
    </row>
    <row r="3967">
      <c r="A3967" s="122" t="s">
        <v>8386</v>
      </c>
      <c r="B3967" s="123">
        <v>1447051.0</v>
      </c>
      <c r="C3967" s="124" t="s">
        <v>8387</v>
      </c>
      <c r="D3967" s="125"/>
      <c r="E3967" s="126">
        <v>10.08</v>
      </c>
      <c r="F3967" s="127"/>
      <c r="G3967" s="127"/>
      <c r="H3967" s="127"/>
      <c r="I3967" s="128"/>
      <c r="K3967" s="105" t="str">
        <f>IFERROR(__xludf.DUMMYFUNCTION("if(A3967="""","""",substitute(SUBSTITUTE(index(importhtml(""http://finviz.com/quote.ashx?t=""&amp;A3967,""table"",10),7,2),""*"",""""),""-"",""0.00""))"),"Loading...")</f>
        <v>Loading...</v>
      </c>
      <c r="L3967" s="129">
        <v>8.8972248E7</v>
      </c>
      <c r="M3967" s="99">
        <v>0.71</v>
      </c>
    </row>
    <row r="3968">
      <c r="A3968" s="122" t="s">
        <v>8388</v>
      </c>
      <c r="B3968" s="123">
        <v>1698991.0</v>
      </c>
      <c r="C3968" s="124" t="s">
        <v>8389</v>
      </c>
      <c r="D3968" s="125"/>
      <c r="E3968" s="126">
        <v>10.08</v>
      </c>
      <c r="F3968" s="127"/>
      <c r="G3968" s="127"/>
      <c r="H3968" s="127"/>
      <c r="I3968" s="128"/>
      <c r="K3968" s="105" t="str">
        <f>IFERROR(__xludf.DUMMYFUNCTION("if(A3968="""","""",substitute(SUBSTITUTE(index(importhtml(""http://finviz.com/quote.ashx?t=""&amp;A3968,""table"",10),7,2),""*"",""""),""-"",""0.00""))"),"Loading...")</f>
        <v>Loading...</v>
      </c>
      <c r="L3968" s="129">
        <v>8.54817055E8</v>
      </c>
      <c r="M3968" s="99">
        <v>1.39</v>
      </c>
    </row>
    <row r="3969">
      <c r="A3969" s="122" t="s">
        <v>8390</v>
      </c>
      <c r="B3969" s="123">
        <v>886043.0</v>
      </c>
      <c r="C3969" s="124" t="s">
        <v>8391</v>
      </c>
      <c r="D3969" s="125"/>
      <c r="E3969" s="126">
        <v>10.1</v>
      </c>
      <c r="F3969" s="127"/>
      <c r="G3969" s="127"/>
      <c r="H3969" s="127"/>
      <c r="I3969" s="128"/>
      <c r="K3969" s="105" t="str">
        <f>IFERROR(__xludf.DUMMYFUNCTION("if(A3969="""","""",substitute(SUBSTITUTE(index(importhtml(""http://finviz.com/quote.ashx?t=""&amp;A3969,""table"",10),7,2),""*"",""""),""-"",""0.00""))"),"Loading...")</f>
        <v>Loading...</v>
      </c>
      <c r="L3969" s="129">
        <v>4.38015301E8</v>
      </c>
      <c r="M3969" s="99">
        <v>0.42</v>
      </c>
    </row>
    <row r="3970">
      <c r="A3970" s="122" t="s">
        <v>8392</v>
      </c>
      <c r="B3970" s="123">
        <v>1821393.0</v>
      </c>
      <c r="C3970" s="124" t="s">
        <v>8393</v>
      </c>
      <c r="D3970" s="125"/>
      <c r="E3970" s="126">
        <v>10.11</v>
      </c>
      <c r="F3970" s="127"/>
      <c r="G3970" s="127"/>
      <c r="H3970" s="127"/>
      <c r="I3970" s="128"/>
      <c r="K3970" s="55" t="s">
        <v>6536</v>
      </c>
      <c r="L3970" s="129">
        <v>3.0662901E8</v>
      </c>
      <c r="M3970" s="99">
        <v>1.45</v>
      </c>
    </row>
    <row r="3971">
      <c r="A3971" s="122" t="s">
        <v>8394</v>
      </c>
      <c r="B3971" s="123">
        <v>1408100.0</v>
      </c>
      <c r="C3971" s="124" t="s">
        <v>8395</v>
      </c>
      <c r="D3971" s="125"/>
      <c r="E3971" s="126">
        <v>10.11</v>
      </c>
      <c r="F3971" s="127"/>
      <c r="G3971" s="127"/>
      <c r="H3971" s="127"/>
      <c r="I3971" s="128"/>
      <c r="K3971" s="138" t="s">
        <v>8396</v>
      </c>
      <c r="L3971" s="129">
        <v>1.40924094E9</v>
      </c>
      <c r="M3971" s="99">
        <v>1.11</v>
      </c>
    </row>
    <row r="3972">
      <c r="A3972" s="122" t="s">
        <v>8397</v>
      </c>
      <c r="B3972" s="123">
        <v>1332551.0</v>
      </c>
      <c r="C3972" s="124" t="s">
        <v>8398</v>
      </c>
      <c r="D3972" s="125"/>
      <c r="E3972" s="126">
        <v>10.12</v>
      </c>
      <c r="F3972" s="127"/>
      <c r="G3972" s="127"/>
      <c r="H3972" s="127"/>
      <c r="I3972" s="128"/>
      <c r="K3972" s="55" t="s">
        <v>1034</v>
      </c>
      <c r="L3972" s="129">
        <v>8.5565914E7</v>
      </c>
      <c r="M3972" s="99">
        <v>1.95</v>
      </c>
    </row>
    <row r="3973">
      <c r="A3973" s="122" t="s">
        <v>8399</v>
      </c>
      <c r="B3973" s="123">
        <v>1847064.0</v>
      </c>
      <c r="C3973" s="124" t="s">
        <v>8400</v>
      </c>
      <c r="D3973" s="125"/>
      <c r="E3973" s="126">
        <v>10.13</v>
      </c>
      <c r="F3973" s="127"/>
      <c r="G3973" s="127"/>
      <c r="H3973" s="127"/>
      <c r="I3973" s="128"/>
      <c r="K3973" s="105" t="str">
        <f>IFERROR(__xludf.DUMMYFUNCTION("if(A3973="""","""",substitute(SUBSTITUTE(index(importhtml(""http://finviz.com/quote.ashx?t=""&amp;A3973,""table"",10),7,2),""*"",""""),""-"",""0.00""))"),"Loading...")</f>
        <v>Loading...</v>
      </c>
      <c r="L3973" s="129">
        <v>2.18428127E8</v>
      </c>
      <c r="M3973" s="99" t="str">
        <f>IFERROR(__xludf.DUMMYFUNCTION("GOOGLEFINANCE(A3973,""beta"")"),"#N/A")</f>
        <v>#N/A</v>
      </c>
    </row>
    <row r="3974">
      <c r="A3974" s="122" t="s">
        <v>8401</v>
      </c>
      <c r="B3974" s="123">
        <v>895528.0</v>
      </c>
      <c r="C3974" s="124" t="s">
        <v>8402</v>
      </c>
      <c r="D3974" s="125"/>
      <c r="E3974" s="126">
        <v>10.13</v>
      </c>
      <c r="F3974" s="127"/>
      <c r="G3974" s="127"/>
      <c r="H3974" s="127"/>
      <c r="I3974" s="128"/>
      <c r="K3974" s="105" t="str">
        <f>IFERROR(__xludf.DUMMYFUNCTION("if(A3974="""","""",substitute(SUBSTITUTE(index(importhtml(""http://finviz.com/quote.ashx?t=""&amp;A3974,""table"",10),7,2),""*"",""""),""-"",""0.00""))"),"Loading...")</f>
        <v>Loading...</v>
      </c>
      <c r="L3974" s="129">
        <v>2.41393141E8</v>
      </c>
      <c r="M3974" s="99">
        <v>0.47</v>
      </c>
    </row>
    <row r="3975">
      <c r="A3975" s="122" t="s">
        <v>8403</v>
      </c>
      <c r="B3975" s="123">
        <v>1290877.0</v>
      </c>
      <c r="C3975" s="124" t="s">
        <v>8404</v>
      </c>
      <c r="D3975" s="125"/>
      <c r="E3975" s="126">
        <v>10.13</v>
      </c>
      <c r="F3975" s="127"/>
      <c r="G3975" s="127"/>
      <c r="H3975" s="127"/>
      <c r="I3975" s="128"/>
      <c r="K3975" s="105" t="str">
        <f>IFERROR(__xludf.DUMMYFUNCTION("if(A3975="""","""",substitute(SUBSTITUTE(index(importhtml(""http://finviz.com/quote.ashx?t=""&amp;A3975,""table"",10),7,2),""*"",""""),""-"",""0.00""))"),"Loading...")</f>
        <v>Loading...</v>
      </c>
      <c r="L3975" s="129">
        <v>8.00031071E8</v>
      </c>
      <c r="M3975" s="99">
        <v>1.07</v>
      </c>
    </row>
    <row r="3976">
      <c r="A3976" s="122" t="s">
        <v>8405</v>
      </c>
      <c r="B3976" s="123">
        <v>1557523.0</v>
      </c>
      <c r="C3976" s="124" t="s">
        <v>8406</v>
      </c>
      <c r="D3976" s="125"/>
      <c r="E3976" s="126">
        <v>10.13</v>
      </c>
      <c r="F3976" s="127"/>
      <c r="G3976" s="127"/>
      <c r="H3976" s="127"/>
      <c r="I3976" s="128"/>
      <c r="K3976" s="105" t="str">
        <f>IFERROR(__xludf.DUMMYFUNCTION("if(A3976="""","""",substitute(SUBSTITUTE(index(importhtml(""http://finviz.com/quote.ashx?t=""&amp;A3976,""table"",10),7,2),""*"",""""),""-"",""0.00""))"),"Loading...")</f>
        <v>Loading...</v>
      </c>
      <c r="L3976" s="129" t="e">
        <v>#N/A</v>
      </c>
      <c r="M3976" s="99">
        <v>1.04</v>
      </c>
    </row>
    <row r="3977">
      <c r="A3977" s="122" t="s">
        <v>8407</v>
      </c>
      <c r="B3977" s="123">
        <v>1690680.0</v>
      </c>
      <c r="C3977" s="124" t="s">
        <v>8408</v>
      </c>
      <c r="D3977" s="125"/>
      <c r="E3977" s="126">
        <v>10.14</v>
      </c>
      <c r="F3977" s="127"/>
      <c r="G3977" s="127"/>
      <c r="H3977" s="127"/>
      <c r="I3977" s="128"/>
      <c r="K3977" s="105" t="str">
        <f>IFERROR(__xludf.DUMMYFUNCTION("if(A3977="""","""",substitute(SUBSTITUTE(index(importhtml(""http://finviz.com/quote.ashx?t=""&amp;A3977,""table"",10),7,2),""*"",""""),""-"",""0.00""))"),"Loading...")</f>
        <v>Loading...</v>
      </c>
      <c r="L3977" s="129">
        <v>1.751119247E9</v>
      </c>
      <c r="M3977" s="99">
        <v>1.96</v>
      </c>
    </row>
    <row r="3978">
      <c r="A3978" s="122" t="s">
        <v>8409</v>
      </c>
      <c r="B3978" s="123">
        <v>1846235.0</v>
      </c>
      <c r="C3978" s="124" t="s">
        <v>8410</v>
      </c>
      <c r="D3978" s="125"/>
      <c r="E3978" s="126">
        <v>10.15</v>
      </c>
      <c r="F3978" s="127"/>
      <c r="G3978" s="127"/>
      <c r="H3978" s="127"/>
      <c r="I3978" s="128"/>
      <c r="K3978" s="105" t="str">
        <f>IFERROR(__xludf.DUMMYFUNCTION("if(A3978="""","""",substitute(SUBSTITUTE(index(importhtml(""http://finviz.com/quote.ashx?t=""&amp;A3978,""table"",10),7,2),""*"",""""),""-"",""0.00""))"),"Loading...")</f>
        <v>Loading...</v>
      </c>
      <c r="L3978" s="129">
        <v>8.5078686E7</v>
      </c>
      <c r="M3978" s="99">
        <f>IFERROR(__xludf.DUMMYFUNCTION("GOOGLEFINANCE(A3978,""beta"")"),-0.09)</f>
        <v>-0.09</v>
      </c>
    </row>
    <row r="3979">
      <c r="A3979" s="122" t="s">
        <v>8411</v>
      </c>
      <c r="B3979" s="123">
        <v>1176984.0</v>
      </c>
      <c r="C3979" s="124" t="s">
        <v>8412</v>
      </c>
      <c r="D3979" s="125"/>
      <c r="E3979" s="126">
        <v>10.16</v>
      </c>
      <c r="F3979" s="127"/>
      <c r="G3979" s="127"/>
      <c r="H3979" s="127"/>
      <c r="I3979" s="128"/>
      <c r="K3979" s="55" t="s">
        <v>7163</v>
      </c>
      <c r="L3979" s="129">
        <v>7.25620186E8</v>
      </c>
      <c r="M3979" s="99">
        <v>0.35</v>
      </c>
    </row>
    <row r="3980">
      <c r="A3980" s="122" t="s">
        <v>8413</v>
      </c>
      <c r="B3980" s="123">
        <v>910631.0</v>
      </c>
      <c r="C3980" s="124" t="s">
        <v>8414</v>
      </c>
      <c r="D3980" s="125"/>
      <c r="E3980" s="126">
        <v>10.16</v>
      </c>
      <c r="F3980" s="127"/>
      <c r="G3980" s="127"/>
      <c r="H3980" s="127"/>
      <c r="I3980" s="128"/>
      <c r="K3980" s="105" t="str">
        <f>IFERROR(__xludf.DUMMYFUNCTION("if(A3980="""","""",substitute(SUBSTITUTE(index(importhtml(""http://finviz.com/quote.ashx?t=""&amp;A3980,""table"",10),7,2),""*"",""""),""-"",""0.00""))"),"Loading...")</f>
        <v>Loading...</v>
      </c>
      <c r="L3980" s="129">
        <v>2.1492520947E10</v>
      </c>
      <c r="M3980" s="99">
        <f>IFERROR(__xludf.DUMMYFUNCTION("GOOGLEFINANCE(A3980,""beta"")"),-424.43)</f>
        <v>-424.43</v>
      </c>
    </row>
    <row r="3981">
      <c r="A3981" s="122" t="s">
        <v>8415</v>
      </c>
      <c r="B3981" s="123">
        <v>1137393.0</v>
      </c>
      <c r="C3981" s="124" t="s">
        <v>8416</v>
      </c>
      <c r="D3981" s="125"/>
      <c r="E3981" s="126">
        <v>10.17</v>
      </c>
      <c r="F3981" s="127"/>
      <c r="G3981" s="127"/>
      <c r="H3981" s="127"/>
      <c r="I3981" s="128"/>
      <c r="K3981" s="55" t="s">
        <v>8417</v>
      </c>
      <c r="L3981" s="129">
        <v>4.520324E8</v>
      </c>
      <c r="M3981" s="99">
        <v>0.59</v>
      </c>
    </row>
    <row r="3982">
      <c r="A3982" s="122" t="s">
        <v>8418</v>
      </c>
      <c r="B3982" s="123">
        <v>1838108.0</v>
      </c>
      <c r="C3982" s="124" t="s">
        <v>8419</v>
      </c>
      <c r="D3982" s="125"/>
      <c r="E3982" s="126">
        <v>10.17</v>
      </c>
      <c r="F3982" s="127"/>
      <c r="G3982" s="127"/>
      <c r="H3982" s="127"/>
      <c r="I3982" s="128"/>
      <c r="K3982" s="105" t="str">
        <f>IFERROR(__xludf.DUMMYFUNCTION("if(A3982="""","""",substitute(SUBSTITUTE(index(importhtml(""http://finviz.com/quote.ashx?t=""&amp;A3982,""table"",10),7,2),""*"",""""),""-"",""0.00""))"),"Loading...")</f>
        <v>Loading...</v>
      </c>
      <c r="L3982" s="129">
        <v>1.29268531E8</v>
      </c>
      <c r="M3982" s="99" t="str">
        <f>IFERROR(__xludf.DUMMYFUNCTION("GOOGLEFINANCE(A3982,""beta"")"),"#N/A")</f>
        <v>#N/A</v>
      </c>
    </row>
    <row r="3983">
      <c r="A3983" s="122" t="s">
        <v>8420</v>
      </c>
      <c r="B3983" s="123">
        <v>827187.0</v>
      </c>
      <c r="C3983" s="124" t="s">
        <v>8421</v>
      </c>
      <c r="D3983" s="125"/>
      <c r="E3983" s="126">
        <v>10.17</v>
      </c>
      <c r="F3983" s="127"/>
      <c r="G3983" s="127"/>
      <c r="H3983" s="127"/>
      <c r="I3983" s="128"/>
      <c r="K3983" s="105" t="str">
        <f>IFERROR(__xludf.DUMMYFUNCTION("if(A3983="""","""",substitute(SUBSTITUTE(index(importhtml(""http://finviz.com/quote.ashx?t=""&amp;A3983,""table"",10),7,2),""*"",""""),""-"",""0.00""))"),"Loading...")</f>
        <v>Loading...</v>
      </c>
      <c r="L3983" s="129">
        <v>2.26058659E8</v>
      </c>
      <c r="M3983" s="99">
        <v>1.87</v>
      </c>
    </row>
    <row r="3984">
      <c r="A3984" s="122" t="s">
        <v>8422</v>
      </c>
      <c r="B3984" s="123">
        <v>1837671.0</v>
      </c>
      <c r="C3984" s="124" t="s">
        <v>8423</v>
      </c>
      <c r="D3984" s="125"/>
      <c r="E3984" s="126">
        <v>10.17</v>
      </c>
      <c r="F3984" s="127"/>
      <c r="G3984" s="127"/>
      <c r="H3984" s="127"/>
      <c r="I3984" s="128"/>
      <c r="K3984" s="105" t="str">
        <f>IFERROR(__xludf.DUMMYFUNCTION("if(A3984="""","""",substitute(SUBSTITUTE(index(importhtml(""http://finviz.com/quote.ashx?t=""&amp;A3984,""table"",10),7,2),""*"",""""),""-"",""0.00""))"),"Loading...")</f>
        <v>Loading...</v>
      </c>
      <c r="L3984" s="129">
        <v>7.62750005E8</v>
      </c>
      <c r="M3984" s="99">
        <f>IFERROR(__xludf.DUMMYFUNCTION("GOOGLEFINANCE(A3984,""beta"")"),0.04)</f>
        <v>0.04</v>
      </c>
    </row>
    <row r="3985">
      <c r="A3985" s="122" t="s">
        <v>8424</v>
      </c>
      <c r="B3985" s="123">
        <v>1290877.0</v>
      </c>
      <c r="C3985" s="124" t="s">
        <v>8425</v>
      </c>
      <c r="D3985" s="125"/>
      <c r="E3985" s="126">
        <v>10.18</v>
      </c>
      <c r="F3985" s="127"/>
      <c r="G3985" s="127"/>
      <c r="H3985" s="127"/>
      <c r="I3985" s="128"/>
      <c r="K3985" s="105" t="str">
        <f>IFERROR(__xludf.DUMMYFUNCTION("if(A3985="""","""",substitute(SUBSTITUTE(index(importhtml(""http://finviz.com/quote.ashx?t=""&amp;A3985,""table"",10),7,2),""*"",""""),""-"",""0.00""))"),"#N/A")</f>
        <v>#N/A</v>
      </c>
      <c r="L3985" s="129">
        <v>8.00031071E8</v>
      </c>
      <c r="M3985" s="99">
        <v>1.07</v>
      </c>
    </row>
    <row r="3986">
      <c r="A3986" s="122" t="s">
        <v>8426</v>
      </c>
      <c r="B3986" s="123">
        <v>1074540.0</v>
      </c>
      <c r="C3986" s="124" t="s">
        <v>8427</v>
      </c>
      <c r="D3986" s="125"/>
      <c r="E3986" s="126">
        <v>10.19</v>
      </c>
      <c r="F3986" s="127"/>
      <c r="G3986" s="127"/>
      <c r="H3986" s="127"/>
      <c r="I3986" s="128"/>
      <c r="K3986" s="55" t="s">
        <v>5866</v>
      </c>
      <c r="L3986" s="129">
        <v>4.04208343E8</v>
      </c>
      <c r="M3986" s="99">
        <v>0.45</v>
      </c>
    </row>
    <row r="3987">
      <c r="A3987" s="122" t="s">
        <v>8428</v>
      </c>
      <c r="B3987" s="123">
        <v>1846809.0</v>
      </c>
      <c r="C3987" s="124" t="s">
        <v>8429</v>
      </c>
      <c r="D3987" s="125"/>
      <c r="E3987" s="126">
        <v>10.2</v>
      </c>
      <c r="F3987" s="127"/>
      <c r="G3987" s="127"/>
      <c r="H3987" s="127"/>
      <c r="I3987" s="128"/>
      <c r="K3987" s="105" t="str">
        <f>IFERROR(__xludf.DUMMYFUNCTION("if(A3987="""","""",substitute(SUBSTITUTE(index(importhtml(""http://finviz.com/quote.ashx?t=""&amp;A3987,""table"",10),7,2),""*"",""""),""-"",""0.00""))"),"Loading...")</f>
        <v>Loading...</v>
      </c>
      <c r="L3987" s="129">
        <v>4.1049529E7</v>
      </c>
      <c r="M3987" s="99" t="str">
        <f>IFERROR(__xludf.DUMMYFUNCTION("GOOGLEFINANCE(A3987,""beta"")"),"#N/A")</f>
        <v>#N/A</v>
      </c>
    </row>
    <row r="3988">
      <c r="A3988" s="122" t="s">
        <v>8430</v>
      </c>
      <c r="B3988" s="123">
        <v>1844981.0</v>
      </c>
      <c r="C3988" s="124" t="s">
        <v>8431</v>
      </c>
      <c r="D3988" s="125"/>
      <c r="E3988" s="126">
        <v>10.2</v>
      </c>
      <c r="F3988" s="127"/>
      <c r="G3988" s="127"/>
      <c r="H3988" s="127"/>
      <c r="I3988" s="128"/>
      <c r="K3988" s="105" t="str">
        <f>IFERROR(__xludf.DUMMYFUNCTION("if(A3988="""","""",substitute(SUBSTITUTE(index(importhtml(""http://finviz.com/quote.ashx?t=""&amp;A3988,""table"",10),7,2),""*"",""""),""-"",""0.00""))"),"Loading...")</f>
        <v>Loading...</v>
      </c>
      <c r="L3988" s="129">
        <v>5.1356576E7</v>
      </c>
      <c r="M3988" s="99" t="str">
        <f>IFERROR(__xludf.DUMMYFUNCTION("GOOGLEFINANCE(A3988,""beta"")"),"#N/A")</f>
        <v>#N/A</v>
      </c>
    </row>
    <row r="3989">
      <c r="A3989" s="122" t="s">
        <v>8432</v>
      </c>
      <c r="B3989" s="123">
        <v>871459.0</v>
      </c>
      <c r="C3989" s="124" t="s">
        <v>8433</v>
      </c>
      <c r="D3989" s="125"/>
      <c r="E3989" s="126">
        <v>10.2</v>
      </c>
      <c r="F3989" s="127"/>
      <c r="G3989" s="127"/>
      <c r="H3989" s="127"/>
      <c r="I3989" s="128"/>
      <c r="K3989" s="105" t="str">
        <f>IFERROR(__xludf.DUMMYFUNCTION("if(A3989="""","""",substitute(SUBSTITUTE(index(importhtml(""http://finviz.com/quote.ashx?t=""&amp;A3989,""table"",10),7,2),""*"",""""),""-"",""0.00""))"),"Loading...")</f>
        <v>Loading...</v>
      </c>
      <c r="L3989" s="129">
        <v>2.788521E9</v>
      </c>
      <c r="M3989" s="99">
        <v>0.24</v>
      </c>
    </row>
    <row r="3990">
      <c r="A3990" s="122" t="s">
        <v>8434</v>
      </c>
      <c r="B3990" s="123">
        <v>1001085.0</v>
      </c>
      <c r="C3990" s="124" t="s">
        <v>8435</v>
      </c>
      <c r="D3990" s="125"/>
      <c r="E3990" s="126">
        <v>10.2</v>
      </c>
      <c r="F3990" s="127"/>
      <c r="G3990" s="127"/>
      <c r="H3990" s="127"/>
      <c r="I3990" s="128"/>
      <c r="K3990" s="105" t="str">
        <f>IFERROR(__xludf.DUMMYFUNCTION("if(A3990="""","""",substitute(SUBSTITUTE(index(importhtml(""http://finviz.com/quote.ashx?t=""&amp;A3990,""table"",10),7,2),""*"",""""),""-"",""0.00""))"),"Loading...")</f>
        <v>Loading...</v>
      </c>
      <c r="L3990" s="129">
        <v>6.4235271697E10</v>
      </c>
      <c r="M3990" s="99">
        <f>IFERROR(__xludf.DUMMYFUNCTION("GOOGLEFINANCE(A3990,""beta"")"),0.7)</f>
        <v>0.7</v>
      </c>
    </row>
    <row r="3991">
      <c r="A3991" s="122" t="s">
        <v>8436</v>
      </c>
      <c r="B3991" s="123">
        <v>1803737.0</v>
      </c>
      <c r="C3991" s="124" t="s">
        <v>8437</v>
      </c>
      <c r="D3991" s="125"/>
      <c r="E3991" s="126">
        <v>10.21</v>
      </c>
      <c r="F3991" s="127"/>
      <c r="G3991" s="127"/>
      <c r="H3991" s="127"/>
      <c r="I3991" s="128"/>
      <c r="K3991" s="105" t="str">
        <f>IFERROR(__xludf.DUMMYFUNCTION("if(A3991="""","""",substitute(SUBSTITUTE(index(importhtml(""http://finviz.com/quote.ashx?t=""&amp;A3991,""table"",10),7,2),""*"",""""),""-"",""0.00""))"),"Loading...")</f>
        <v>Loading...</v>
      </c>
      <c r="L3991" s="129">
        <v>5.11823115E8</v>
      </c>
      <c r="M3991" s="99">
        <f>IFERROR(__xludf.DUMMYFUNCTION("GOOGLEFINANCE(A3991,""beta"")"),1.32)</f>
        <v>1.32</v>
      </c>
    </row>
    <row r="3992">
      <c r="A3992" s="122" t="s">
        <v>8438</v>
      </c>
      <c r="B3992" s="123">
        <v>1826492.0</v>
      </c>
      <c r="C3992" s="124" t="s">
        <v>8439</v>
      </c>
      <c r="D3992" s="125"/>
      <c r="E3992" s="126">
        <v>10.21</v>
      </c>
      <c r="F3992" s="127"/>
      <c r="G3992" s="127"/>
      <c r="H3992" s="127"/>
      <c r="I3992" s="128"/>
      <c r="K3992" s="105" t="str">
        <f>IFERROR(__xludf.DUMMYFUNCTION("if(A3992="""","""",substitute(SUBSTITUTE(index(importhtml(""http://finviz.com/quote.ashx?t=""&amp;A3992,""table"",10),7,2),""*"",""""),""-"",""0.00""))"),"Loading...")</f>
        <v>Loading...</v>
      </c>
      <c r="L3992" s="129">
        <v>9.85700153E8</v>
      </c>
      <c r="M3992" s="99">
        <v>-0.33</v>
      </c>
    </row>
    <row r="3993">
      <c r="A3993" s="122" t="s">
        <v>8440</v>
      </c>
      <c r="B3993" s="123">
        <v>314590.0</v>
      </c>
      <c r="C3993" s="124" t="s">
        <v>8441</v>
      </c>
      <c r="D3993" s="125"/>
      <c r="E3993" s="126">
        <v>10.21</v>
      </c>
      <c r="F3993" s="127"/>
      <c r="G3993" s="127"/>
      <c r="H3993" s="127"/>
      <c r="I3993" s="128"/>
      <c r="K3993" s="105" t="str">
        <f>IFERROR(__xludf.DUMMYFUNCTION("if(A3993="""","""",substitute(SUBSTITUTE(index(importhtml(""http://finviz.com/quote.ashx?t=""&amp;A3993,""table"",10),7,2),""*"",""""),""-"",""0.00""))"),"Loading...")</f>
        <v>Loading...</v>
      </c>
      <c r="L3993" s="129">
        <v>5.43348898E9</v>
      </c>
      <c r="M3993" s="99">
        <v>2.38</v>
      </c>
    </row>
    <row r="3994">
      <c r="A3994" s="122" t="s">
        <v>8442</v>
      </c>
      <c r="B3994" s="123">
        <v>1802974.0</v>
      </c>
      <c r="C3994" s="124" t="s">
        <v>8443</v>
      </c>
      <c r="D3994" s="125"/>
      <c r="E3994" s="126">
        <v>10.22</v>
      </c>
      <c r="F3994" s="127"/>
      <c r="G3994" s="127"/>
      <c r="H3994" s="127"/>
      <c r="I3994" s="128"/>
      <c r="K3994" s="55" t="s">
        <v>1034</v>
      </c>
      <c r="L3994" s="129">
        <v>7.22857655E8</v>
      </c>
      <c r="M3994" s="99">
        <v>0.46</v>
      </c>
    </row>
    <row r="3995">
      <c r="A3995" s="122" t="s">
        <v>8444</v>
      </c>
      <c r="B3995" s="123">
        <v>1822366.0</v>
      </c>
      <c r="C3995" s="124" t="s">
        <v>8445</v>
      </c>
      <c r="D3995" s="125"/>
      <c r="E3995" s="126">
        <v>10.23</v>
      </c>
      <c r="F3995" s="127"/>
      <c r="G3995" s="127"/>
      <c r="H3995" s="127"/>
      <c r="I3995" s="128"/>
      <c r="K3995" s="105" t="str">
        <f>IFERROR(__xludf.DUMMYFUNCTION("if(A3995="""","""",substitute(SUBSTITUTE(index(importhtml(""http://finviz.com/quote.ashx?t=""&amp;A3995,""table"",10),7,2),""*"",""""),""-"",""0.00""))"),"Loading...")</f>
        <v>Loading...</v>
      </c>
      <c r="L3995" s="129">
        <v>8.6874254E7</v>
      </c>
      <c r="M3995" s="99">
        <v>-0.09</v>
      </c>
    </row>
    <row r="3996">
      <c r="A3996" s="122" t="s">
        <v>8446</v>
      </c>
      <c r="B3996" s="123">
        <v>882150.0</v>
      </c>
      <c r="C3996" s="124" t="s">
        <v>8447</v>
      </c>
      <c r="D3996" s="125"/>
      <c r="E3996" s="126">
        <v>10.23</v>
      </c>
      <c r="F3996" s="127"/>
      <c r="G3996" s="127"/>
      <c r="H3996" s="127"/>
      <c r="I3996" s="128"/>
      <c r="K3996" s="105" t="str">
        <f>IFERROR(__xludf.DUMMYFUNCTION("if(A3996="""","""",substitute(SUBSTITUTE(index(importhtml(""http://finviz.com/quote.ashx?t=""&amp;A3996,""table"",10),7,2),""*"",""""),""-"",""0.00""))"),"Loading...")</f>
        <v>Loading...</v>
      </c>
      <c r="L3996" s="129">
        <v>3.98273114E8</v>
      </c>
      <c r="M3996" s="99">
        <v>0.55</v>
      </c>
    </row>
    <row r="3997">
      <c r="A3997" s="122" t="s">
        <v>8448</v>
      </c>
      <c r="B3997" s="123">
        <v>1572957.0</v>
      </c>
      <c r="C3997" s="124" t="s">
        <v>8449</v>
      </c>
      <c r="D3997" s="125"/>
      <c r="E3997" s="126">
        <v>10.23</v>
      </c>
      <c r="F3997" s="127"/>
      <c r="G3997" s="127"/>
      <c r="H3997" s="127"/>
      <c r="I3997" s="128"/>
      <c r="K3997" s="105" t="str">
        <f>IFERROR(__xludf.DUMMYFUNCTION("if(A3997="""","""",substitute(SUBSTITUTE(index(importhtml(""http://finviz.com/quote.ashx?t=""&amp;A3997,""table"",10),7,2),""*"",""""),""-"",""0.00""))"),"Loading...")</f>
        <v>Loading...</v>
      </c>
      <c r="L3997" s="129">
        <v>1.097307E10</v>
      </c>
      <c r="M3997" s="99">
        <v>0.85</v>
      </c>
    </row>
    <row r="3998">
      <c r="A3998" s="122" t="s">
        <v>8450</v>
      </c>
      <c r="B3998" s="123">
        <v>1759783.0</v>
      </c>
      <c r="C3998" s="124" t="s">
        <v>8451</v>
      </c>
      <c r="D3998" s="125"/>
      <c r="E3998" s="126">
        <v>10.24</v>
      </c>
      <c r="F3998" s="127"/>
      <c r="G3998" s="127"/>
      <c r="H3998" s="127"/>
      <c r="I3998" s="128"/>
      <c r="K3998" s="55" t="s">
        <v>1034</v>
      </c>
      <c r="L3998" s="129">
        <v>6.18418674E8</v>
      </c>
      <c r="M3998" s="99">
        <v>0.95</v>
      </c>
    </row>
    <row r="3999">
      <c r="A3999" s="122" t="s">
        <v>8452</v>
      </c>
      <c r="B3999" s="123">
        <v>899782.0</v>
      </c>
      <c r="C3999" s="124" t="s">
        <v>8453</v>
      </c>
      <c r="D3999" s="125"/>
      <c r="E3999" s="126">
        <v>10.24</v>
      </c>
      <c r="F3999" s="127"/>
      <c r="G3999" s="127"/>
      <c r="H3999" s="127"/>
      <c r="I3999" s="128"/>
      <c r="K3999" s="105" t="str">
        <f>IFERROR(__xludf.DUMMYFUNCTION("if(A3999="""","""",substitute(SUBSTITUTE(index(importhtml(""http://finviz.com/quote.ashx?t=""&amp;A3999,""table"",10),7,2),""*"",""""),""-"",""0.00""))"),"Loading...")</f>
        <v>Loading...</v>
      </c>
      <c r="L3999" s="129">
        <v>2.406392E7</v>
      </c>
      <c r="M3999" s="99">
        <v>0.38</v>
      </c>
    </row>
    <row r="4000">
      <c r="A4000" s="122" t="s">
        <v>8454</v>
      </c>
      <c r="B4000" s="123">
        <v>895574.0</v>
      </c>
      <c r="C4000" s="124" t="s">
        <v>8455</v>
      </c>
      <c r="D4000" s="125"/>
      <c r="E4000" s="126">
        <v>10.24</v>
      </c>
      <c r="F4000" s="127"/>
      <c r="G4000" s="127"/>
      <c r="H4000" s="127"/>
      <c r="I4000" s="128"/>
      <c r="K4000" s="105" t="str">
        <f>IFERROR(__xludf.DUMMYFUNCTION("if(A4000="""","""",substitute(SUBSTITUTE(index(importhtml(""http://finviz.com/quote.ashx?t=""&amp;A4000,""table"",10),7,2),""*"",""""),""-"",""0.00""))"),"#REF!")</f>
        <v>#REF!</v>
      </c>
      <c r="L4000" s="129">
        <v>1.25726717E8</v>
      </c>
      <c r="M4000" s="99">
        <v>0.56</v>
      </c>
    </row>
    <row r="4001">
      <c r="A4001" s="122" t="s">
        <v>8456</v>
      </c>
      <c r="B4001" s="123">
        <v>1108205.0</v>
      </c>
      <c r="C4001" s="124" t="s">
        <v>8457</v>
      </c>
      <c r="D4001" s="125"/>
      <c r="E4001" s="126">
        <v>10.25</v>
      </c>
      <c r="F4001" s="127"/>
      <c r="G4001" s="127"/>
      <c r="H4001" s="127"/>
      <c r="I4001" s="128"/>
      <c r="K4001" s="105" t="str">
        <f>IFERROR(__xludf.DUMMYFUNCTION("if(A4001="""","""",substitute(SUBSTITUTE(index(importhtml(""http://finviz.com/quote.ashx?t=""&amp;A4001,""table"",10),7,2),""*"",""""),""-"",""0.00""))"),"Loading...")</f>
        <v>Loading...</v>
      </c>
      <c r="L4001" s="129">
        <v>6.0414371E7</v>
      </c>
      <c r="M4001" s="99">
        <v>3.78</v>
      </c>
    </row>
    <row r="4002">
      <c r="A4002" s="122" t="s">
        <v>8458</v>
      </c>
      <c r="B4002" s="123">
        <v>1822366.0</v>
      </c>
      <c r="C4002" s="124" t="s">
        <v>8459</v>
      </c>
      <c r="D4002" s="125"/>
      <c r="E4002" s="126">
        <v>10.25</v>
      </c>
      <c r="F4002" s="127"/>
      <c r="G4002" s="127"/>
      <c r="H4002" s="127"/>
      <c r="I4002" s="128"/>
      <c r="K4002" s="105" t="str">
        <f>IFERROR(__xludf.DUMMYFUNCTION("if(A4002="""","""",substitute(SUBSTITUTE(index(importhtml(""http://finviz.com/quote.ashx?t=""&amp;A4002,""table"",10),7,2),""*"",""""),""-"",""0.00""))"),"Loading...")</f>
        <v>Loading...</v>
      </c>
      <c r="L4002" s="129">
        <v>8.6874254E7</v>
      </c>
      <c r="M4002" s="99">
        <v>-0.02</v>
      </c>
    </row>
    <row r="4003">
      <c r="A4003" s="122" t="s">
        <v>8460</v>
      </c>
      <c r="B4003" s="123">
        <v>1843993.0</v>
      </c>
      <c r="C4003" s="124" t="s">
        <v>8461</v>
      </c>
      <c r="D4003" s="125"/>
      <c r="E4003" s="126">
        <v>10.25</v>
      </c>
      <c r="F4003" s="127"/>
      <c r="G4003" s="127"/>
      <c r="H4003" s="127"/>
      <c r="I4003" s="128"/>
      <c r="K4003" s="105" t="str">
        <f>IFERROR(__xludf.DUMMYFUNCTION("if(A4003="""","""",substitute(SUBSTITUTE(index(importhtml(""http://finviz.com/quote.ashx?t=""&amp;A4003,""table"",10),7,2),""*"",""""),""-"",""0.00""))"),"Loading...")</f>
        <v>Loading...</v>
      </c>
      <c r="L4003" s="129">
        <v>1.033029E8</v>
      </c>
      <c r="M4003" s="99" t="str">
        <f>IFERROR(__xludf.DUMMYFUNCTION("GOOGLEFINANCE(A4003,""beta"")"),"#N/A")</f>
        <v>#N/A</v>
      </c>
    </row>
    <row r="4004">
      <c r="A4004" s="122" t="s">
        <v>8462</v>
      </c>
      <c r="B4004" s="123">
        <v>1774342.0</v>
      </c>
      <c r="C4004" s="124" t="s">
        <v>8463</v>
      </c>
      <c r="D4004" s="125"/>
      <c r="E4004" s="126">
        <v>10.25</v>
      </c>
      <c r="F4004" s="127"/>
      <c r="G4004" s="127"/>
      <c r="H4004" s="127"/>
      <c r="I4004" s="128"/>
      <c r="K4004" s="105" t="str">
        <f>IFERROR(__xludf.DUMMYFUNCTION("if(A4004="""","""",substitute(SUBSTITUTE(index(importhtml(""http://finviz.com/quote.ashx?t=""&amp;A4004,""table"",10),7,2),""*"",""""),""-"",""0.00""))"),"Loading...")</f>
        <v>Loading...</v>
      </c>
      <c r="L4004" s="129">
        <v>5.61719372E8</v>
      </c>
      <c r="M4004" s="99">
        <v>0.74</v>
      </c>
    </row>
    <row r="4005">
      <c r="A4005" s="122" t="s">
        <v>8464</v>
      </c>
      <c r="B4005" s="123">
        <v>1437107.0</v>
      </c>
      <c r="C4005" s="124" t="s">
        <v>8465</v>
      </c>
      <c r="D4005" s="125"/>
      <c r="E4005" s="126">
        <v>10.25</v>
      </c>
      <c r="F4005" s="127"/>
      <c r="G4005" s="127"/>
      <c r="H4005" s="127"/>
      <c r="I4005" s="128"/>
      <c r="K4005" s="105" t="str">
        <f>IFERROR(__xludf.DUMMYFUNCTION("if(A4005="""","""",substitute(SUBSTITUTE(index(importhtml(""http://finviz.com/quote.ashx?t=""&amp;A4005,""table"",10),7,2),""*"",""""),""-"",""0.00""))"),"Loading...")</f>
        <v>Loading...</v>
      </c>
      <c r="L4005" s="129">
        <v>2.499529125E10</v>
      </c>
      <c r="M4005" s="99">
        <v>1.55</v>
      </c>
    </row>
    <row r="4006">
      <c r="A4006" s="122" t="s">
        <v>8466</v>
      </c>
      <c r="B4006" s="123">
        <v>1565381.0</v>
      </c>
      <c r="C4006" s="124" t="s">
        <v>8467</v>
      </c>
      <c r="D4006" s="125"/>
      <c r="E4006" s="126">
        <v>10.26</v>
      </c>
      <c r="F4006" s="127"/>
      <c r="G4006" s="127"/>
      <c r="H4006" s="127"/>
      <c r="I4006" s="128"/>
      <c r="K4006" s="55" t="s">
        <v>8468</v>
      </c>
      <c r="L4006" s="129">
        <v>1.88845256E8</v>
      </c>
      <c r="M4006" s="99">
        <v>0.47</v>
      </c>
    </row>
    <row r="4007">
      <c r="A4007" s="122" t="s">
        <v>8469</v>
      </c>
      <c r="B4007" s="123">
        <v>1851612.0</v>
      </c>
      <c r="C4007" s="124" t="s">
        <v>8470</v>
      </c>
      <c r="D4007" s="125"/>
      <c r="E4007" s="126">
        <v>10.26</v>
      </c>
      <c r="F4007" s="127"/>
      <c r="G4007" s="127"/>
      <c r="H4007" s="127"/>
      <c r="I4007" s="128"/>
      <c r="K4007" s="105" t="str">
        <f>IFERROR(__xludf.DUMMYFUNCTION("if(A4007="""","""",substitute(SUBSTITUTE(index(importhtml(""http://finviz.com/quote.ashx?t=""&amp;A4007,""table"",10),7,2),""*"",""""),""-"",""0.00""))"),"Loading...")</f>
        <v>Loading...</v>
      </c>
      <c r="L4007" s="129">
        <v>8.432882E7</v>
      </c>
      <c r="M4007" s="99" t="str">
        <f>IFERROR(__xludf.DUMMYFUNCTION("GOOGLEFINANCE(A4007,""beta"")"),"#N/A")</f>
        <v>#N/A</v>
      </c>
    </row>
    <row r="4008">
      <c r="A4008" s="122" t="s">
        <v>8471</v>
      </c>
      <c r="B4008" s="123">
        <v>1474903.0</v>
      </c>
      <c r="C4008" s="124" t="s">
        <v>8472</v>
      </c>
      <c r="D4008" s="125"/>
      <c r="E4008" s="126">
        <v>10.27</v>
      </c>
      <c r="F4008" s="127"/>
      <c r="G4008" s="127"/>
      <c r="H4008" s="127"/>
      <c r="I4008" s="128"/>
      <c r="K4008" s="105" t="str">
        <f>IFERROR(__xludf.DUMMYFUNCTION("if(A4008="""","""",substitute(SUBSTITUTE(index(importhtml(""http://finviz.com/quote.ashx?t=""&amp;A4008,""table"",10),7,2),""*"",""""),""-"",""0.00""))"),"Loading...")</f>
        <v>Loading...</v>
      </c>
      <c r="L4008" s="129">
        <v>1.11702892E8</v>
      </c>
      <c r="M4008" s="99">
        <v>1.69</v>
      </c>
    </row>
    <row r="4009">
      <c r="A4009" s="122" t="s">
        <v>8473</v>
      </c>
      <c r="B4009" s="123">
        <v>1842937.0</v>
      </c>
      <c r="C4009" s="124" t="s">
        <v>8474</v>
      </c>
      <c r="D4009" s="125"/>
      <c r="E4009" s="126">
        <v>10.27</v>
      </c>
      <c r="F4009" s="127"/>
      <c r="G4009" s="127"/>
      <c r="H4009" s="127"/>
      <c r="I4009" s="128"/>
      <c r="K4009" s="105" t="str">
        <f>IFERROR(__xludf.DUMMYFUNCTION("if(A4009="""","""",substitute(SUBSTITUTE(index(importhtml(""http://finviz.com/quote.ashx?t=""&amp;A4009,""table"",10),7,2),""*"",""""),""-"",""0.00""))"),"Loading...")</f>
        <v>Loading...</v>
      </c>
      <c r="L4009" s="129">
        <v>1.72486593E8</v>
      </c>
      <c r="M4009" s="99" t="str">
        <f>IFERROR(__xludf.DUMMYFUNCTION("GOOGLEFINANCE(A4009,""beta"")"),"#N/A")</f>
        <v>#N/A</v>
      </c>
    </row>
    <row r="4010">
      <c r="A4010" s="122" t="s">
        <v>8475</v>
      </c>
      <c r="B4010" s="123">
        <v>1824920.0</v>
      </c>
      <c r="C4010" s="124" t="s">
        <v>8476</v>
      </c>
      <c r="D4010" s="125"/>
      <c r="E4010" s="126">
        <v>10.27</v>
      </c>
      <c r="F4010" s="127"/>
      <c r="G4010" s="127"/>
      <c r="H4010" s="127"/>
      <c r="I4010" s="128"/>
      <c r="K4010" s="105" t="str">
        <f>IFERROR(__xludf.DUMMYFUNCTION("if(A4010="""","""",substitute(SUBSTITUTE(index(importhtml(""http://finviz.com/quote.ashx?t=""&amp;A4010,""table"",10),7,2),""*"",""""),""-"",""0.00""))"),"Loading...")</f>
        <v>Loading...</v>
      </c>
      <c r="L4010" s="129">
        <v>2.102315308E9</v>
      </c>
      <c r="M4010" s="99">
        <v>2.22</v>
      </c>
    </row>
    <row r="4011">
      <c r="A4011" s="122" t="s">
        <v>8477</v>
      </c>
      <c r="B4011" s="123">
        <v>1293135.0</v>
      </c>
      <c r="C4011" s="124" t="s">
        <v>8478</v>
      </c>
      <c r="D4011" s="125"/>
      <c r="E4011" s="126">
        <v>10.27</v>
      </c>
      <c r="F4011" s="127"/>
      <c r="G4011" s="127"/>
      <c r="H4011" s="127"/>
      <c r="I4011" s="128"/>
      <c r="K4011" s="105" t="str">
        <f>IFERROR(__xludf.DUMMYFUNCTION("if(A4011="""","""",substitute(SUBSTITUTE(index(importhtml(""http://finviz.com/quote.ashx?t=""&amp;A4011,""table"",10),7,2),""*"",""""),""-"",""0.00""))"),"Loading...")</f>
        <v>Loading...</v>
      </c>
      <c r="L4011" s="129">
        <v>2.254229902E9</v>
      </c>
      <c r="M4011" s="99">
        <v>2.02</v>
      </c>
    </row>
    <row r="4012">
      <c r="A4012" s="122" t="s">
        <v>8479</v>
      </c>
      <c r="B4012" s="123">
        <v>1836470.0</v>
      </c>
      <c r="C4012" s="124" t="s">
        <v>8480</v>
      </c>
      <c r="D4012" s="125"/>
      <c r="E4012" s="126">
        <v>10.27</v>
      </c>
      <c r="F4012" s="127"/>
      <c r="G4012" s="127"/>
      <c r="H4012" s="127"/>
      <c r="I4012" s="128"/>
      <c r="K4012" s="105" t="str">
        <f>IFERROR(__xludf.DUMMYFUNCTION("if(A4012="""","""",substitute(SUBSTITUTE(index(importhtml(""http://finviz.com/quote.ashx?t=""&amp;A4012,""table"",10),7,2),""*"",""""),""-"",""0.00""))"),"Loading...")</f>
        <v>Loading...</v>
      </c>
      <c r="L4012" s="129">
        <v>3.052404348E9</v>
      </c>
      <c r="M4012" s="99">
        <f>IFERROR(__xludf.DUMMYFUNCTION("GOOGLEFINANCE(A4012,""beta"")"),2.01)</f>
        <v>2.01</v>
      </c>
    </row>
    <row r="4013">
      <c r="A4013" s="122" t="s">
        <v>8481</v>
      </c>
      <c r="B4013" s="123">
        <v>1053584.0</v>
      </c>
      <c r="C4013" s="124" t="s">
        <v>8482</v>
      </c>
      <c r="D4013" s="125"/>
      <c r="E4013" s="126">
        <v>10.28</v>
      </c>
      <c r="F4013" s="127"/>
      <c r="G4013" s="127"/>
      <c r="H4013" s="127"/>
      <c r="I4013" s="128"/>
      <c r="K4013" s="105" t="str">
        <f>IFERROR(__xludf.DUMMYFUNCTION("if(A4013="""","""",substitute(SUBSTITUTE(index(importhtml(""http://finviz.com/quote.ashx?t=""&amp;A4013,""table"",10),7,2),""*"",""""),""-"",""0.00""))"),"Loading...")</f>
        <v>Loading...</v>
      </c>
      <c r="L4013" s="129">
        <v>3.52516405E8</v>
      </c>
      <c r="M4013" s="99">
        <v>0.7</v>
      </c>
    </row>
    <row r="4014">
      <c r="A4014" s="122" t="s">
        <v>8483</v>
      </c>
      <c r="B4014" s="123">
        <v>1552653.0</v>
      </c>
      <c r="C4014" s="124" t="s">
        <v>8484</v>
      </c>
      <c r="D4014" s="125"/>
      <c r="E4014" s="126">
        <v>10.28</v>
      </c>
      <c r="F4014" s="127"/>
      <c r="G4014" s="127"/>
      <c r="H4014" s="127"/>
      <c r="I4014" s="128"/>
      <c r="K4014" s="105" t="str">
        <f>IFERROR(__xludf.DUMMYFUNCTION("if(A4014="""","""",substitute(SUBSTITUTE(index(importhtml(""http://finviz.com/quote.ashx?t=""&amp;A4014,""table"",10),7,2),""*"",""""),""-"",""0.00""))"),"Loading...")</f>
        <v>Loading...</v>
      </c>
      <c r="L4014" s="129">
        <v>4.9440831E9</v>
      </c>
      <c r="M4014" s="99">
        <v>0.62</v>
      </c>
    </row>
    <row r="4015">
      <c r="A4015" s="122" t="s">
        <v>8485</v>
      </c>
      <c r="B4015" s="123">
        <v>1843993.0</v>
      </c>
      <c r="C4015" s="124" t="s">
        <v>8486</v>
      </c>
      <c r="D4015" s="125"/>
      <c r="E4015" s="126">
        <v>10.29</v>
      </c>
      <c r="F4015" s="127"/>
      <c r="G4015" s="127"/>
      <c r="H4015" s="127"/>
      <c r="I4015" s="128"/>
      <c r="K4015" s="105" t="str">
        <f>IFERROR(__xludf.DUMMYFUNCTION("if(A4015="""","""",substitute(SUBSTITUTE(index(importhtml(""http://finviz.com/quote.ashx?t=""&amp;A4015,""table"",10),7,2),""*"",""""),""-"",""0.00""))"),"Loading...")</f>
        <v>Loading...</v>
      </c>
      <c r="L4015" s="129">
        <v>1.033029E8</v>
      </c>
      <c r="M4015" s="99" t="str">
        <f>IFERROR(__xludf.DUMMYFUNCTION("GOOGLEFINANCE(A4015,""beta"")"),"#N/A")</f>
        <v>#N/A</v>
      </c>
    </row>
    <row r="4016">
      <c r="A4016" s="122" t="s">
        <v>8487</v>
      </c>
      <c r="B4016" s="123">
        <v>1278027.0</v>
      </c>
      <c r="C4016" s="124" t="s">
        <v>8488</v>
      </c>
      <c r="D4016" s="125"/>
      <c r="E4016" s="126">
        <v>10.3</v>
      </c>
      <c r="F4016" s="127"/>
      <c r="G4016" s="127"/>
      <c r="H4016" s="127"/>
      <c r="I4016" s="128"/>
      <c r="K4016" s="55" t="s">
        <v>7975</v>
      </c>
      <c r="L4016" s="129">
        <v>8.09831437E8</v>
      </c>
      <c r="M4016" s="99">
        <v>0.66</v>
      </c>
    </row>
    <row r="4017">
      <c r="A4017" s="122" t="s">
        <v>8489</v>
      </c>
      <c r="B4017" s="123">
        <v>1831874.0</v>
      </c>
      <c r="C4017" s="124" t="s">
        <v>8490</v>
      </c>
      <c r="D4017" s="125"/>
      <c r="E4017" s="126">
        <v>10.3</v>
      </c>
      <c r="F4017" s="127"/>
      <c r="G4017" s="127"/>
      <c r="H4017" s="127"/>
      <c r="I4017" s="128"/>
      <c r="K4017" s="105" t="str">
        <f>IFERROR(__xludf.DUMMYFUNCTION("if(A4017="""","""",substitute(SUBSTITUTE(index(importhtml(""http://finviz.com/quote.ashx?t=""&amp;A4017,""table"",10),7,2),""*"",""""),""-"",""0.00""))"),"Loading...")</f>
        <v>Loading...</v>
      </c>
      <c r="L4017" s="129">
        <v>7.5331131E7</v>
      </c>
      <c r="M4017" s="99" t="str">
        <f>IFERROR(__xludf.DUMMYFUNCTION("GOOGLEFINANCE(A4017,""beta"")"),"#N/A")</f>
        <v>#N/A</v>
      </c>
    </row>
    <row r="4018">
      <c r="A4018" s="122" t="s">
        <v>8491</v>
      </c>
      <c r="B4018" s="123">
        <v>1778784.0</v>
      </c>
      <c r="C4018" s="124" t="s">
        <v>8492</v>
      </c>
      <c r="D4018" s="125"/>
      <c r="E4018" s="126">
        <v>10.3</v>
      </c>
      <c r="F4018" s="127"/>
      <c r="G4018" s="127"/>
      <c r="H4018" s="127"/>
      <c r="I4018" s="128"/>
      <c r="K4018" s="105" t="str">
        <f>IFERROR(__xludf.DUMMYFUNCTION("if(A4018="""","""",substitute(SUBSTITUTE(index(importhtml(""http://finviz.com/quote.ashx?t=""&amp;A4018,""table"",10),7,2),""*"",""""),""-"",""0.00""))"),"Loading...")</f>
        <v>Loading...</v>
      </c>
      <c r="L4018" s="129">
        <v>1.82078047E8</v>
      </c>
      <c r="M4018" s="99">
        <v>0.52</v>
      </c>
    </row>
    <row r="4019">
      <c r="A4019" s="122" t="s">
        <v>8493</v>
      </c>
      <c r="B4019" s="123">
        <v>1161611.0</v>
      </c>
      <c r="C4019" s="124" t="s">
        <v>8494</v>
      </c>
      <c r="D4019" s="125"/>
      <c r="E4019" s="126">
        <v>10.3</v>
      </c>
      <c r="F4019" s="127"/>
      <c r="G4019" s="127"/>
      <c r="H4019" s="127"/>
      <c r="I4019" s="128"/>
      <c r="K4019" s="105" t="str">
        <f>IFERROR(__xludf.DUMMYFUNCTION("if(A4019="""","""",substitute(SUBSTITUTE(index(importhtml(""http://finviz.com/quote.ashx?t=""&amp;A4019,""table"",10),7,2),""*"",""""),""-"",""0.00""))"),"Loading...")</f>
        <v>Loading...</v>
      </c>
      <c r="L4019" s="129">
        <v>5.87479992E8</v>
      </c>
      <c r="M4019" s="99" t="str">
        <f>IFERROR(__xludf.DUMMYFUNCTION("GOOGLEFINANCE(A4019,""beta"")"),"#N/A")</f>
        <v>#N/A</v>
      </c>
    </row>
    <row r="4020">
      <c r="A4020" s="122" t="s">
        <v>8495</v>
      </c>
      <c r="B4020" s="123">
        <v>1831874.0</v>
      </c>
      <c r="C4020" s="124" t="s">
        <v>8496</v>
      </c>
      <c r="D4020" s="125"/>
      <c r="E4020" s="126">
        <v>10.31</v>
      </c>
      <c r="F4020" s="127"/>
      <c r="G4020" s="127"/>
      <c r="H4020" s="127"/>
      <c r="I4020" s="128"/>
      <c r="K4020" s="105" t="str">
        <f>IFERROR(__xludf.DUMMYFUNCTION("if(A4020="""","""",substitute(SUBSTITUTE(index(importhtml(""http://finviz.com/quote.ashx?t=""&amp;A4020,""table"",10),7,2),""*"",""""),""-"",""0.00""))"),"Loading...")</f>
        <v>Loading...</v>
      </c>
      <c r="L4020" s="129">
        <v>7.5331131E7</v>
      </c>
      <c r="M4020" s="99" t="str">
        <f>IFERROR(__xludf.DUMMYFUNCTION("GOOGLEFINANCE(A4020,""beta"")"),"#N/A")</f>
        <v>#N/A</v>
      </c>
    </row>
    <row r="4021">
      <c r="A4021" s="122" t="s">
        <v>8497</v>
      </c>
      <c r="B4021" s="123">
        <v>876779.0</v>
      </c>
      <c r="C4021" s="124" t="s">
        <v>8498</v>
      </c>
      <c r="D4021" s="125"/>
      <c r="E4021" s="126">
        <v>10.32</v>
      </c>
      <c r="F4021" s="127"/>
      <c r="G4021" s="127"/>
      <c r="H4021" s="127"/>
      <c r="I4021" s="128"/>
      <c r="K4021" s="105" t="str">
        <f>IFERROR(__xludf.DUMMYFUNCTION("if(A4021="""","""",substitute(SUBSTITUTE(index(importhtml(""http://finviz.com/quote.ashx?t=""&amp;A4021,""table"",10),7,2),""*"",""""),""-"",""0.00""))"),"Loading...")</f>
        <v>Loading...</v>
      </c>
      <c r="L4021" s="129">
        <v>5.02677161E8</v>
      </c>
      <c r="M4021" s="99">
        <v>1.16</v>
      </c>
    </row>
    <row r="4022">
      <c r="A4022" s="122" t="s">
        <v>8499</v>
      </c>
      <c r="B4022" s="123">
        <v>909327.0</v>
      </c>
      <c r="C4022" s="124" t="s">
        <v>8500</v>
      </c>
      <c r="D4022" s="125"/>
      <c r="E4022" s="126">
        <v>10.32</v>
      </c>
      <c r="F4022" s="127"/>
      <c r="G4022" s="127"/>
      <c r="H4022" s="127"/>
      <c r="I4022" s="128"/>
      <c r="K4022" s="105" t="str">
        <f>IFERROR(__xludf.DUMMYFUNCTION("if(A4022="""","""",substitute(SUBSTITUTE(index(importhtml(""http://finviz.com/quote.ashx?t=""&amp;A4022,""table"",10),7,2),""*"",""""),""-"",""0.00""))"),"Loading...")</f>
        <v>Loading...</v>
      </c>
      <c r="L4022" s="129">
        <v>6.6953366978E10</v>
      </c>
      <c r="M4022" s="99">
        <v>1.02</v>
      </c>
    </row>
    <row r="4023">
      <c r="A4023" s="122" t="s">
        <v>8501</v>
      </c>
      <c r="B4023" s="123">
        <v>1488917.0</v>
      </c>
      <c r="C4023" s="124" t="s">
        <v>8502</v>
      </c>
      <c r="D4023" s="125"/>
      <c r="E4023" s="126">
        <v>10.33</v>
      </c>
      <c r="F4023" s="127"/>
      <c r="G4023" s="127"/>
      <c r="H4023" s="127"/>
      <c r="I4023" s="128"/>
      <c r="K4023" s="105" t="str">
        <f>IFERROR(__xludf.DUMMYFUNCTION("if(A4023="""","""",substitute(SUBSTITUTE(index(importhtml(""http://finviz.com/quote.ashx?t=""&amp;A4023,""table"",10),7,2),""*"",""""),""-"",""0.00""))"),"Loading...")</f>
        <v>Loading...</v>
      </c>
      <c r="L4023" s="129">
        <v>8.8648722E7</v>
      </c>
      <c r="M4023" s="99">
        <v>0.3</v>
      </c>
    </row>
    <row r="4024">
      <c r="A4024" s="122" t="s">
        <v>8503</v>
      </c>
      <c r="B4024" s="123">
        <v>868578.0</v>
      </c>
      <c r="C4024" s="124" t="s">
        <v>8504</v>
      </c>
      <c r="D4024" s="125"/>
      <c r="E4024" s="126">
        <v>10.34</v>
      </c>
      <c r="F4024" s="127"/>
      <c r="G4024" s="127"/>
      <c r="H4024" s="127"/>
      <c r="I4024" s="128"/>
      <c r="K4024" s="105" t="str">
        <f>IFERROR(__xludf.DUMMYFUNCTION("if(A4024="""","""",substitute(SUBSTITUTE(index(importhtml(""http://finviz.com/quote.ashx?t=""&amp;A4024,""table"",10),7,2),""*"",""""),""-"",""0.00""))"),"Loading...")</f>
        <v>Loading...</v>
      </c>
      <c r="L4024" s="129">
        <v>1.32895368E8</v>
      </c>
      <c r="M4024" s="99">
        <v>0.81</v>
      </c>
    </row>
    <row r="4025">
      <c r="A4025" s="122" t="s">
        <v>8505</v>
      </c>
      <c r="B4025" s="123">
        <v>887394.0</v>
      </c>
      <c r="C4025" s="124" t="s">
        <v>8506</v>
      </c>
      <c r="D4025" s="125"/>
      <c r="E4025" s="126">
        <v>10.34</v>
      </c>
      <c r="F4025" s="127"/>
      <c r="G4025" s="127"/>
      <c r="H4025" s="127"/>
      <c r="I4025" s="128"/>
      <c r="K4025" s="105" t="str">
        <f>IFERROR(__xludf.DUMMYFUNCTION("if(A4025="""","""",substitute(SUBSTITUTE(index(importhtml(""http://finviz.com/quote.ashx?t=""&amp;A4025,""table"",10),7,2),""*"",""""),""-"",""0.00""))"),"Loading...")</f>
        <v>Loading...</v>
      </c>
      <c r="L4025" s="129">
        <v>2.3282113E8</v>
      </c>
      <c r="M4025" s="99">
        <v>0.47</v>
      </c>
    </row>
    <row r="4026">
      <c r="A4026" s="122" t="s">
        <v>8507</v>
      </c>
      <c r="B4026" s="123">
        <v>906013.0</v>
      </c>
      <c r="C4026" s="124" t="s">
        <v>8508</v>
      </c>
      <c r="D4026" s="125"/>
      <c r="E4026" s="126">
        <v>10.35</v>
      </c>
      <c r="F4026" s="127"/>
      <c r="G4026" s="127"/>
      <c r="H4026" s="127"/>
      <c r="I4026" s="128"/>
      <c r="K4026" s="55" t="s">
        <v>8509</v>
      </c>
      <c r="L4026" s="129">
        <v>8.92477117E8</v>
      </c>
      <c r="M4026" s="99">
        <v>0.76</v>
      </c>
    </row>
    <row r="4027">
      <c r="A4027" s="122" t="s">
        <v>8510</v>
      </c>
      <c r="B4027" s="123">
        <v>900422.0</v>
      </c>
      <c r="C4027" s="124" t="s">
        <v>8511</v>
      </c>
      <c r="D4027" s="125"/>
      <c r="E4027" s="126">
        <v>10.35</v>
      </c>
      <c r="F4027" s="127"/>
      <c r="G4027" s="127"/>
      <c r="H4027" s="127"/>
      <c r="I4027" s="128"/>
      <c r="K4027" s="105" t="str">
        <f>IFERROR(__xludf.DUMMYFUNCTION("if(A4027="""","""",substitute(SUBSTITUTE(index(importhtml(""http://finviz.com/quote.ashx?t=""&amp;A4027,""table"",10),7,2),""*"",""""),""-"",""0.00""))"),"Loading...")</f>
        <v>Loading...</v>
      </c>
      <c r="L4027" s="129">
        <v>3.43544147E8</v>
      </c>
      <c r="M4027" s="99">
        <v>0.58</v>
      </c>
    </row>
    <row r="4028">
      <c r="A4028" s="122" t="s">
        <v>8512</v>
      </c>
      <c r="B4028" s="123">
        <v>1503584.0</v>
      </c>
      <c r="C4028" s="124" t="s">
        <v>8513</v>
      </c>
      <c r="D4028" s="125"/>
      <c r="E4028" s="126">
        <v>10.35</v>
      </c>
      <c r="F4028" s="127"/>
      <c r="G4028" s="127"/>
      <c r="H4028" s="127"/>
      <c r="I4028" s="128"/>
      <c r="K4028" s="105" t="str">
        <f>IFERROR(__xludf.DUMMYFUNCTION("if(A4028="""","""",substitute(SUBSTITUTE(index(importhtml(""http://finviz.com/quote.ashx?t=""&amp;A4028,""table"",10),7,2),""*"",""""),""-"",""0.00""))"),"Loading...")</f>
        <v>Loading...</v>
      </c>
      <c r="L4028" s="129">
        <v>1.217597849E9</v>
      </c>
      <c r="M4028" s="99">
        <v>1.38</v>
      </c>
    </row>
    <row r="4029">
      <c r="A4029" s="122" t="s">
        <v>8514</v>
      </c>
      <c r="B4029" s="123">
        <v>1747009.0</v>
      </c>
      <c r="C4029" s="124" t="s">
        <v>8515</v>
      </c>
      <c r="D4029" s="125"/>
      <c r="E4029" s="126">
        <v>10.35</v>
      </c>
      <c r="F4029" s="127"/>
      <c r="G4029" s="127"/>
      <c r="H4029" s="127"/>
      <c r="I4029" s="128"/>
      <c r="K4029" s="105" t="str">
        <f>IFERROR(__xludf.DUMMYFUNCTION("if(A4029="""","""",substitute(SUBSTITUTE(index(importhtml(""http://finviz.com/quote.ashx?t=""&amp;A4029,""table"",10),7,2),""*"",""""),""-"",""0.00""))"),"Loading...")</f>
        <v>Loading...</v>
      </c>
      <c r="L4029" s="129">
        <v>4.48425048E9</v>
      </c>
      <c r="M4029" s="99">
        <v>1.95</v>
      </c>
    </row>
    <row r="4030">
      <c r="A4030" s="122" t="s">
        <v>8516</v>
      </c>
      <c r="B4030" s="123">
        <v>717806.0</v>
      </c>
      <c r="C4030" s="124" t="s">
        <v>8517</v>
      </c>
      <c r="D4030" s="125"/>
      <c r="E4030" s="126">
        <v>10.36</v>
      </c>
      <c r="F4030" s="127"/>
      <c r="G4030" s="127"/>
      <c r="H4030" s="127"/>
      <c r="I4030" s="128"/>
      <c r="K4030" s="105" t="str">
        <f>IFERROR(__xludf.DUMMYFUNCTION("if(A4030="""","""",substitute(SUBSTITUTE(index(importhtml(""http://finviz.com/quote.ashx?t=""&amp;A4030,""table"",10),7,2),""*"",""""),""-"",""0.00""))"),"Loading...")</f>
        <v>Loading...</v>
      </c>
      <c r="L4030" s="129">
        <v>5.9415364E7</v>
      </c>
      <c r="M4030" s="99">
        <v>1.03</v>
      </c>
    </row>
    <row r="4031">
      <c r="A4031" s="122" t="s">
        <v>8518</v>
      </c>
      <c r="B4031" s="123">
        <v>1847584.0</v>
      </c>
      <c r="C4031" s="124" t="s">
        <v>8519</v>
      </c>
      <c r="D4031" s="125"/>
      <c r="E4031" s="126">
        <v>10.36</v>
      </c>
      <c r="F4031" s="127"/>
      <c r="G4031" s="127"/>
      <c r="H4031" s="127"/>
      <c r="I4031" s="128"/>
      <c r="K4031" s="105" t="str">
        <f>IFERROR(__xludf.DUMMYFUNCTION("if(A4031="""","""",substitute(SUBSTITUTE(index(importhtml(""http://finviz.com/quote.ashx?t=""&amp;A4031,""table"",10),7,2),""*"",""""),""-"",""0.00""))"),"Loading...")</f>
        <v>Loading...</v>
      </c>
      <c r="L4031" s="129">
        <v>9.14235988E8</v>
      </c>
      <c r="M4031" s="99" t="str">
        <f>IFERROR(__xludf.DUMMYFUNCTION("GOOGLEFINANCE(A4031,""beta"")"),"#N/A")</f>
        <v>#N/A</v>
      </c>
    </row>
    <row r="4032">
      <c r="A4032" s="122" t="s">
        <v>8520</v>
      </c>
      <c r="B4032" s="123">
        <v>1116578.0</v>
      </c>
      <c r="C4032" s="124" t="s">
        <v>8521</v>
      </c>
      <c r="D4032" s="125"/>
      <c r="E4032" s="126">
        <v>10.36</v>
      </c>
      <c r="F4032" s="127"/>
      <c r="G4032" s="127"/>
      <c r="H4032" s="127"/>
      <c r="I4032" s="128"/>
      <c r="K4032" s="105" t="str">
        <f>IFERROR(__xludf.DUMMYFUNCTION("if(A4032="""","""",substitute(SUBSTITUTE(index(importhtml(""http://finviz.com/quote.ashx?t=""&amp;A4032,""table"",10),7,2),""*"",""""),""-"",""0.00""))"),"Loading...")</f>
        <v>Loading...</v>
      </c>
      <c r="L4032" s="129">
        <v>2.804330033E10</v>
      </c>
      <c r="M4032" s="99">
        <v>1.44</v>
      </c>
    </row>
    <row r="4033">
      <c r="A4033" s="122" t="s">
        <v>8522</v>
      </c>
      <c r="B4033" s="123">
        <v>1628369.0</v>
      </c>
      <c r="C4033" s="124" t="s">
        <v>8523</v>
      </c>
      <c r="D4033" s="125"/>
      <c r="E4033" s="126">
        <v>10.37</v>
      </c>
      <c r="F4033" s="127"/>
      <c r="G4033" s="127"/>
      <c r="H4033" s="127"/>
      <c r="I4033" s="128"/>
      <c r="K4033" s="55" t="s">
        <v>1034</v>
      </c>
      <c r="L4033" s="129">
        <v>2.356616694E9</v>
      </c>
      <c r="M4033" s="99">
        <v>1.37</v>
      </c>
    </row>
    <row r="4034">
      <c r="A4034" s="122" t="s">
        <v>8524</v>
      </c>
      <c r="B4034" s="123">
        <v>1343793.0</v>
      </c>
      <c r="C4034" s="124" t="s">
        <v>8525</v>
      </c>
      <c r="D4034" s="125"/>
      <c r="E4034" s="126">
        <v>10.37</v>
      </c>
      <c r="F4034" s="127"/>
      <c r="G4034" s="127"/>
      <c r="H4034" s="127"/>
      <c r="I4034" s="128"/>
      <c r="K4034" s="55" t="s">
        <v>7595</v>
      </c>
      <c r="L4034" s="129">
        <v>1.39371657E8</v>
      </c>
      <c r="M4034" s="99">
        <v>0.66</v>
      </c>
    </row>
    <row r="4035">
      <c r="A4035" s="122" t="s">
        <v>8526</v>
      </c>
      <c r="B4035" s="123">
        <v>1838108.0</v>
      </c>
      <c r="C4035" s="124" t="s">
        <v>8527</v>
      </c>
      <c r="D4035" s="125"/>
      <c r="E4035" s="126">
        <v>10.37</v>
      </c>
      <c r="F4035" s="127"/>
      <c r="G4035" s="127"/>
      <c r="H4035" s="127"/>
      <c r="I4035" s="128"/>
      <c r="K4035" s="105" t="str">
        <f>IFERROR(__xludf.DUMMYFUNCTION("if(A4035="""","""",substitute(SUBSTITUTE(index(importhtml(""http://finviz.com/quote.ashx?t=""&amp;A4035,""table"",10),7,2),""*"",""""),""-"",""0.00""))"),"Loading...")</f>
        <v>Loading...</v>
      </c>
      <c r="L4035" s="129">
        <v>1.29268531E8</v>
      </c>
      <c r="M4035" s="99" t="str">
        <f>IFERROR(__xludf.DUMMYFUNCTION("GOOGLEFINANCE(A4035,""beta"")"),"#N/A")</f>
        <v>#N/A</v>
      </c>
    </row>
    <row r="4036">
      <c r="A4036" s="122" t="s">
        <v>8528</v>
      </c>
      <c r="B4036" s="123">
        <v>1842937.0</v>
      </c>
      <c r="C4036" s="124" t="s">
        <v>8529</v>
      </c>
      <c r="D4036" s="125"/>
      <c r="E4036" s="126">
        <v>10.37</v>
      </c>
      <c r="F4036" s="127"/>
      <c r="G4036" s="127"/>
      <c r="H4036" s="127"/>
      <c r="I4036" s="128"/>
      <c r="K4036" s="105" t="str">
        <f>IFERROR(__xludf.DUMMYFUNCTION("if(A4036="""","""",substitute(SUBSTITUTE(index(importhtml(""http://finviz.com/quote.ashx?t=""&amp;A4036,""table"",10),7,2),""*"",""""),""-"",""0.00""))"),"Loading...")</f>
        <v>Loading...</v>
      </c>
      <c r="L4036" s="129">
        <v>1.72486593E8</v>
      </c>
      <c r="M4036" s="99" t="str">
        <f>IFERROR(__xludf.DUMMYFUNCTION("GOOGLEFINANCE(A4036,""beta"")"),"#N/A")</f>
        <v>#N/A</v>
      </c>
    </row>
    <row r="4037">
      <c r="A4037" s="122" t="s">
        <v>8530</v>
      </c>
      <c r="B4037" s="123">
        <v>1318568.0</v>
      </c>
      <c r="C4037" s="124" t="s">
        <v>8531</v>
      </c>
      <c r="D4037" s="125"/>
      <c r="E4037" s="126">
        <v>10.37</v>
      </c>
      <c r="F4037" s="127"/>
      <c r="G4037" s="127"/>
      <c r="H4037" s="127"/>
      <c r="I4037" s="128"/>
      <c r="K4037" s="105" t="str">
        <f>IFERROR(__xludf.DUMMYFUNCTION("if(A4037="""","""",substitute(SUBSTITUTE(index(importhtml(""http://finviz.com/quote.ashx?t=""&amp;A4037,""table"",10),7,2),""*"",""""),""-"",""0.00""))"),"Loading...")</f>
        <v>Loading...</v>
      </c>
      <c r="L4037" s="129">
        <v>8.87325217E8</v>
      </c>
      <c r="M4037" s="99">
        <v>2.09</v>
      </c>
    </row>
    <row r="4038">
      <c r="A4038" s="122" t="s">
        <v>8532</v>
      </c>
      <c r="B4038" s="123">
        <v>1524741.0</v>
      </c>
      <c r="C4038" s="124" t="s">
        <v>8533</v>
      </c>
      <c r="D4038" s="125"/>
      <c r="E4038" s="126">
        <v>10.38</v>
      </c>
      <c r="F4038" s="127"/>
      <c r="G4038" s="127"/>
      <c r="H4038" s="127"/>
      <c r="I4038" s="128"/>
      <c r="K4038" s="105" t="str">
        <f>IFERROR(__xludf.DUMMYFUNCTION("if(A4038="""","""",substitute(SUBSTITUTE(index(importhtml(""http://finviz.com/quote.ashx?t=""&amp;A4038,""table"",10),7,2),""*"",""""),""-"",""0.00""))"),"Loading...")</f>
        <v>Loading...</v>
      </c>
      <c r="L4038" s="129">
        <v>8.00862784E8</v>
      </c>
      <c r="M4038" s="99">
        <v>2.25</v>
      </c>
    </row>
    <row r="4039">
      <c r="A4039" s="122" t="s">
        <v>8534</v>
      </c>
      <c r="B4039" s="123">
        <v>1084869.0</v>
      </c>
      <c r="C4039" s="124" t="s">
        <v>8535</v>
      </c>
      <c r="D4039" s="125"/>
      <c r="E4039" s="126">
        <v>10.39</v>
      </c>
      <c r="F4039" s="127"/>
      <c r="G4039" s="127"/>
      <c r="H4039" s="127"/>
      <c r="I4039" s="128"/>
      <c r="K4039" s="105" t="str">
        <f>IFERROR(__xludf.DUMMYFUNCTION("if(A4039="""","""",substitute(SUBSTITUTE(index(importhtml(""http://finviz.com/quote.ashx?t=""&amp;A4039,""table"",10),7,2),""*"",""""),""-"",""0.00""))"),"Loading...")</f>
        <v>Loading...</v>
      </c>
      <c r="L4039" s="129">
        <v>6.74292424E8</v>
      </c>
      <c r="M4039" s="99">
        <v>1.69</v>
      </c>
    </row>
    <row r="4040">
      <c r="A4040" s="122" t="s">
        <v>8536</v>
      </c>
      <c r="B4040" s="123">
        <v>1614806.0</v>
      </c>
      <c r="C4040" s="124" t="s">
        <v>8537</v>
      </c>
      <c r="D4040" s="125"/>
      <c r="E4040" s="126">
        <v>10.4</v>
      </c>
      <c r="F4040" s="127"/>
      <c r="G4040" s="127"/>
      <c r="H4040" s="127"/>
      <c r="I4040" s="128"/>
      <c r="K4040" s="105" t="str">
        <f>IFERROR(__xludf.DUMMYFUNCTION("if(A4040="""","""",substitute(SUBSTITUTE(index(importhtml(""http://finviz.com/quote.ashx?t=""&amp;A4040,""table"",10),7,2),""*"",""""),""-"",""0.00""))"),"Loading...")</f>
        <v>Loading...</v>
      </c>
      <c r="L4040" s="129">
        <v>1.9344332E8</v>
      </c>
      <c r="M4040" s="99" t="str">
        <f>IFERROR(__xludf.DUMMYFUNCTION("GOOGLEFINANCE(A4040,""beta"")"),"#N/A")</f>
        <v>#N/A</v>
      </c>
    </row>
    <row r="4041">
      <c r="A4041" s="122" t="s">
        <v>8538</v>
      </c>
      <c r="B4041" s="123">
        <v>1835972.0</v>
      </c>
      <c r="C4041" s="124" t="s">
        <v>8539</v>
      </c>
      <c r="D4041" s="125"/>
      <c r="E4041" s="126">
        <v>10.41</v>
      </c>
      <c r="F4041" s="127"/>
      <c r="G4041" s="127"/>
      <c r="H4041" s="127"/>
      <c r="I4041" s="128"/>
      <c r="K4041" s="105" t="str">
        <f>IFERROR(__xludf.DUMMYFUNCTION("if(A4041="""","""",substitute(SUBSTITUTE(index(importhtml(""http://finviz.com/quote.ashx?t=""&amp;A4041,""table"",10),7,2),""*"",""""),""-"",""0.00""))"),"Loading...")</f>
        <v>Loading...</v>
      </c>
      <c r="L4041" s="129">
        <v>1.21044587E8</v>
      </c>
      <c r="M4041" s="99" t="str">
        <f>IFERROR(__xludf.DUMMYFUNCTION("GOOGLEFINANCE(A4041,""beta"")"),"#N/A")</f>
        <v>#N/A</v>
      </c>
    </row>
    <row r="4042">
      <c r="A4042" s="122" t="s">
        <v>8540</v>
      </c>
      <c r="B4042" s="123">
        <v>1286139.0</v>
      </c>
      <c r="C4042" s="124" t="s">
        <v>8541</v>
      </c>
      <c r="D4042" s="125"/>
      <c r="E4042" s="126">
        <v>10.42</v>
      </c>
      <c r="F4042" s="127"/>
      <c r="G4042" s="127"/>
      <c r="H4042" s="127"/>
      <c r="I4042" s="128"/>
      <c r="K4042" s="55" t="s">
        <v>1034</v>
      </c>
      <c r="L4042" s="129">
        <v>1.958272294E9</v>
      </c>
      <c r="M4042" s="99">
        <f>IFERROR(__xludf.DUMMYFUNCTION("GOOGLEFINANCE(A4042,""beta"")"),1.23)</f>
        <v>1.23</v>
      </c>
    </row>
    <row r="4043">
      <c r="A4043" s="122" t="s">
        <v>8542</v>
      </c>
      <c r="B4043" s="123">
        <v>1851959.0</v>
      </c>
      <c r="C4043" s="124" t="s">
        <v>8543</v>
      </c>
      <c r="D4043" s="125"/>
      <c r="E4043" s="126">
        <v>10.42</v>
      </c>
      <c r="F4043" s="127"/>
      <c r="G4043" s="127"/>
      <c r="H4043" s="127"/>
      <c r="I4043" s="128"/>
      <c r="K4043" s="105" t="str">
        <f>IFERROR(__xludf.DUMMYFUNCTION("if(A4043="""","""",substitute(SUBSTITUTE(index(importhtml(""http://finviz.com/quote.ashx?t=""&amp;A4043,""table"",10),7,2),""*"",""""),""-"",""0.00""))"),"Loading...")</f>
        <v>Loading...</v>
      </c>
      <c r="L4043" s="129">
        <v>2.2612911E8</v>
      </c>
      <c r="M4043" s="99">
        <f>IFERROR(__xludf.DUMMYFUNCTION("GOOGLEFINANCE(A4043,""beta"")"),0.02)</f>
        <v>0.02</v>
      </c>
    </row>
    <row r="4044">
      <c r="A4044" s="122" t="s">
        <v>8544</v>
      </c>
      <c r="B4044" s="123">
        <v>1022837.0</v>
      </c>
      <c r="C4044" s="124" t="s">
        <v>8545</v>
      </c>
      <c r="D4044" s="125"/>
      <c r="E4044" s="126">
        <v>10.42</v>
      </c>
      <c r="F4044" s="127"/>
      <c r="G4044" s="127"/>
      <c r="H4044" s="127"/>
      <c r="I4044" s="128"/>
      <c r="K4044" s="105" t="str">
        <f>IFERROR(__xludf.DUMMYFUNCTION("if(A4044="""","""",substitute(SUBSTITUTE(index(importhtml(""http://finviz.com/quote.ashx?t=""&amp;A4044,""table"",10),7,2),""*"",""""),""-"",""0.00""))"),"Loading...")</f>
        <v>Loading...</v>
      </c>
      <c r="L4044" s="129">
        <v>6.9562795149E10</v>
      </c>
      <c r="M4044" s="99">
        <v>0.6</v>
      </c>
    </row>
    <row r="4045">
      <c r="A4045" s="122" t="s">
        <v>8546</v>
      </c>
      <c r="B4045" s="123">
        <v>1898019.0</v>
      </c>
      <c r="C4045" s="124" t="s">
        <v>8547</v>
      </c>
      <c r="D4045" s="125"/>
      <c r="E4045" s="126">
        <v>10.43</v>
      </c>
      <c r="F4045" s="127"/>
      <c r="G4045" s="127"/>
      <c r="H4045" s="127"/>
      <c r="I4045" s="128"/>
      <c r="K4045" s="105" t="str">
        <f>IFERROR(__xludf.DUMMYFUNCTION("if(A4045="""","""",substitute(SUBSTITUTE(index(importhtml(""http://finviz.com/quote.ashx?t=""&amp;A4045,""table"",10),7,2),""*"",""""),""-"",""0.00""))"),"Loading...")</f>
        <v>Loading...</v>
      </c>
      <c r="L4045" s="129">
        <v>9.161878E7</v>
      </c>
      <c r="M4045" s="99" t="str">
        <f>IFERROR(__xludf.DUMMYFUNCTION("GOOGLEFINANCE(A4045,""beta"")"),"#N/A")</f>
        <v>#N/A</v>
      </c>
    </row>
    <row r="4046">
      <c r="A4046" s="122" t="s">
        <v>8548</v>
      </c>
      <c r="B4046" s="123">
        <v>1834755.0</v>
      </c>
      <c r="C4046" s="124" t="s">
        <v>8549</v>
      </c>
      <c r="D4046" s="125"/>
      <c r="E4046" s="126">
        <v>10.43</v>
      </c>
      <c r="F4046" s="127"/>
      <c r="G4046" s="127"/>
      <c r="H4046" s="127"/>
      <c r="I4046" s="128"/>
      <c r="K4046" s="105" t="str">
        <f>IFERROR(__xludf.DUMMYFUNCTION("if(A4046="""","""",substitute(SUBSTITUTE(index(importhtml(""http://finviz.com/quote.ashx?t=""&amp;A4046,""table"",10),7,2),""*"",""""),""-"",""0.00""))"),"Loading...")</f>
        <v>Loading...</v>
      </c>
      <c r="L4046" s="129">
        <v>1.06199619E8</v>
      </c>
      <c r="M4046" s="99" t="str">
        <f>IFERROR(__xludf.DUMMYFUNCTION("GOOGLEFINANCE(A4046,""beta"")"),"#N/A")</f>
        <v>#N/A</v>
      </c>
    </row>
    <row r="4047">
      <c r="A4047" s="122" t="s">
        <v>8550</v>
      </c>
      <c r="B4047" s="123">
        <v>1303942.0</v>
      </c>
      <c r="C4047" s="124" t="s">
        <v>8551</v>
      </c>
      <c r="D4047" s="125"/>
      <c r="E4047" s="126">
        <v>10.43</v>
      </c>
      <c r="F4047" s="127"/>
      <c r="G4047" s="127"/>
      <c r="H4047" s="127"/>
      <c r="I4047" s="128"/>
      <c r="K4047" s="105" t="str">
        <f>IFERROR(__xludf.DUMMYFUNCTION("if(A4047="""","""",substitute(SUBSTITUTE(index(importhtml(""http://finviz.com/quote.ashx?t=""&amp;A4047,""table"",10),7,2),""*"",""""),""-"",""0.00""))"),"Loading...")</f>
        <v>Loading...</v>
      </c>
      <c r="L4047" s="129">
        <v>1.30869177E8</v>
      </c>
      <c r="M4047" s="99">
        <v>0.49</v>
      </c>
    </row>
    <row r="4048">
      <c r="A4048" s="122" t="s">
        <v>8552</v>
      </c>
      <c r="B4048" s="123">
        <v>59440.0</v>
      </c>
      <c r="C4048" s="124" t="s">
        <v>8553</v>
      </c>
      <c r="D4048" s="125"/>
      <c r="E4048" s="126">
        <v>10.44</v>
      </c>
      <c r="F4048" s="127"/>
      <c r="G4048" s="127"/>
      <c r="H4048" s="127"/>
      <c r="I4048" s="128"/>
      <c r="K4048" s="105" t="str">
        <f>IFERROR(__xludf.DUMMYFUNCTION("if(A4048="""","""",substitute(SUBSTITUTE(index(importhtml(""http://finviz.com/quote.ashx?t=""&amp;A4048,""table"",10),7,2),""*"",""""),""-"",""0.00""))"),"Loading...")</f>
        <v>Loading...</v>
      </c>
      <c r="L4048" s="129">
        <v>1.627940454E9</v>
      </c>
      <c r="M4048" s="99">
        <v>1.04</v>
      </c>
    </row>
    <row r="4049">
      <c r="A4049" s="122" t="s">
        <v>8554</v>
      </c>
      <c r="B4049" s="123">
        <v>1903870.0</v>
      </c>
      <c r="C4049" s="124" t="s">
        <v>8555</v>
      </c>
      <c r="D4049" s="125"/>
      <c r="E4049" s="126">
        <v>10.45</v>
      </c>
      <c r="F4049" s="127"/>
      <c r="G4049" s="127"/>
      <c r="H4049" s="127"/>
      <c r="I4049" s="128"/>
      <c r="K4049" s="105" t="str">
        <f>IFERROR(__xludf.DUMMYFUNCTION("if(A4049="""","""",substitute(SUBSTITUTE(index(importhtml(""http://finviz.com/quote.ashx?t=""&amp;A4049,""table"",10),7,2),""*"",""""),""-"",""0.00""))"),"Loading...")</f>
        <v>Loading...</v>
      </c>
      <c r="L4049" s="129">
        <v>2.8088753E8</v>
      </c>
      <c r="M4049" s="99">
        <f>IFERROR(__xludf.DUMMYFUNCTION("GOOGLEFINANCE(A4049,""beta"")"),0.38)</f>
        <v>0.38</v>
      </c>
    </row>
    <row r="4050">
      <c r="A4050" s="122" t="s">
        <v>8556</v>
      </c>
      <c r="B4050" s="123">
        <v>1826286.0</v>
      </c>
      <c r="C4050" s="124" t="s">
        <v>8557</v>
      </c>
      <c r="D4050" s="125"/>
      <c r="E4050" s="126">
        <v>10.45</v>
      </c>
      <c r="F4050" s="127"/>
      <c r="G4050" s="127"/>
      <c r="H4050" s="127"/>
      <c r="I4050" s="128"/>
      <c r="K4050" s="105" t="str">
        <f>IFERROR(__xludf.DUMMYFUNCTION("if(A4050="""","""",substitute(SUBSTITUTE(index(importhtml(""http://finviz.com/quote.ashx?t=""&amp;A4050,""table"",10),7,2),""*"",""""),""-"",""0.00""))"),"Loading...")</f>
        <v>Loading...</v>
      </c>
      <c r="L4050" s="129">
        <v>5.70539893E8</v>
      </c>
      <c r="M4050" s="99">
        <v>0.04</v>
      </c>
    </row>
    <row r="4051">
      <c r="A4051" s="122" t="s">
        <v>8558</v>
      </c>
      <c r="B4051" s="123">
        <v>889900.0</v>
      </c>
      <c r="C4051" s="124" t="s">
        <v>8559</v>
      </c>
      <c r="D4051" s="125"/>
      <c r="E4051" s="126">
        <v>10.45</v>
      </c>
      <c r="F4051" s="127"/>
      <c r="G4051" s="127"/>
      <c r="H4051" s="127"/>
      <c r="I4051" s="128"/>
      <c r="K4051" s="105" t="str">
        <f>IFERROR(__xludf.DUMMYFUNCTION("if(A4051="""","""",substitute(SUBSTITUTE(index(importhtml(""http://finviz.com/quote.ashx?t=""&amp;A4051,""table"",10),7,2),""*"",""""),""-"",""0.00""))"),"Loading...")</f>
        <v>Loading...</v>
      </c>
      <c r="L4051" s="129">
        <v>4.36061145E9</v>
      </c>
      <c r="M4051" s="99">
        <v>2.24</v>
      </c>
    </row>
    <row r="4052">
      <c r="A4052" s="122" t="s">
        <v>8560</v>
      </c>
      <c r="B4052" s="123">
        <v>1851612.0</v>
      </c>
      <c r="C4052" s="124" t="s">
        <v>8561</v>
      </c>
      <c r="D4052" s="125"/>
      <c r="E4052" s="126">
        <v>10.46</v>
      </c>
      <c r="F4052" s="127"/>
      <c r="G4052" s="127"/>
      <c r="H4052" s="127"/>
      <c r="I4052" s="128"/>
      <c r="K4052" s="105" t="str">
        <f>IFERROR(__xludf.DUMMYFUNCTION("if(A4052="""","""",substitute(SUBSTITUTE(index(importhtml(""http://finviz.com/quote.ashx?t=""&amp;A4052,""table"",10),7,2),""*"",""""),""-"",""0.00""))"),"Loading...")</f>
        <v>Loading...</v>
      </c>
      <c r="L4052" s="129">
        <v>8.432882E7</v>
      </c>
      <c r="M4052" s="99" t="str">
        <f>IFERROR(__xludf.DUMMYFUNCTION("GOOGLEFINANCE(A4052,""beta"")"),"#N/A")</f>
        <v>#N/A</v>
      </c>
    </row>
    <row r="4053">
      <c r="A4053" s="122" t="s">
        <v>8562</v>
      </c>
      <c r="B4053" s="123">
        <v>1835068.0</v>
      </c>
      <c r="C4053" s="124" t="s">
        <v>8563</v>
      </c>
      <c r="D4053" s="125"/>
      <c r="E4053" s="126">
        <v>10.46</v>
      </c>
      <c r="F4053" s="127"/>
      <c r="G4053" s="127"/>
      <c r="H4053" s="127"/>
      <c r="I4053" s="128"/>
      <c r="K4053" s="105" t="str">
        <f>IFERROR(__xludf.DUMMYFUNCTION("if(A4053="""","""",substitute(SUBSTITUTE(index(importhtml(""http://finviz.com/quote.ashx?t=""&amp;A4053,""table"",10),7,2),""*"",""""),""-"",""0.00""))"),"Loading...")</f>
        <v>Loading...</v>
      </c>
      <c r="L4053" s="129">
        <v>3.00777301E8</v>
      </c>
      <c r="M4053" s="99">
        <f>IFERROR(__xludf.DUMMYFUNCTION("GOOGLEFINANCE(A4053,""beta"")"),0.83)</f>
        <v>0.83</v>
      </c>
    </row>
    <row r="4054">
      <c r="A4054" s="122" t="s">
        <v>8564</v>
      </c>
      <c r="B4054" s="123">
        <v>1143513.0</v>
      </c>
      <c r="C4054" s="124" t="s">
        <v>8565</v>
      </c>
      <c r="D4054" s="125"/>
      <c r="E4054" s="126">
        <v>10.46</v>
      </c>
      <c r="F4054" s="127"/>
      <c r="G4054" s="127"/>
      <c r="H4054" s="127"/>
      <c r="I4054" s="128"/>
      <c r="K4054" s="105" t="str">
        <f>IFERROR(__xludf.DUMMYFUNCTION("if(A4054="""","""",substitute(SUBSTITUTE(index(importhtml(""http://finviz.com/quote.ashx?t=""&amp;A4054,""table"",10),7,2),""*"",""""),""-"",""0.00""))"),"Loading...")</f>
        <v>Loading...</v>
      </c>
      <c r="L4054" s="129">
        <v>4.55102991E8</v>
      </c>
      <c r="M4054" s="99">
        <v>1.26</v>
      </c>
    </row>
    <row r="4055">
      <c r="A4055" s="122" t="s">
        <v>8566</v>
      </c>
      <c r="B4055" s="123">
        <v>1049782.0</v>
      </c>
      <c r="C4055" s="124" t="s">
        <v>8567</v>
      </c>
      <c r="D4055" s="125"/>
      <c r="E4055" s="126">
        <v>10.46</v>
      </c>
      <c r="F4055" s="127"/>
      <c r="G4055" s="127"/>
      <c r="H4055" s="127"/>
      <c r="I4055" s="128"/>
      <c r="K4055" s="105" t="str">
        <f>IFERROR(__xludf.DUMMYFUNCTION("if(A4055="""","""",substitute(SUBSTITUTE(index(importhtml(""http://finviz.com/quote.ashx?t=""&amp;A4055,""table"",10),7,2),""*"",""""),""-"",""0.00""))"),"Loading...")</f>
        <v>Loading...</v>
      </c>
      <c r="L4055" s="129">
        <v>9.2983731E8</v>
      </c>
      <c r="M4055" s="99">
        <v>0.78</v>
      </c>
    </row>
    <row r="4056">
      <c r="A4056" s="122" t="s">
        <v>8568</v>
      </c>
      <c r="B4056" s="123">
        <v>1844642.0</v>
      </c>
      <c r="C4056" s="124" t="s">
        <v>8569</v>
      </c>
      <c r="D4056" s="125"/>
      <c r="E4056" s="126">
        <v>10.47</v>
      </c>
      <c r="F4056" s="127"/>
      <c r="G4056" s="127"/>
      <c r="H4056" s="127"/>
      <c r="I4056" s="128"/>
      <c r="K4056" s="105" t="str">
        <f>IFERROR(__xludf.DUMMYFUNCTION("if(A4056="""","""",substitute(SUBSTITUTE(index(importhtml(""http://finviz.com/quote.ashx?t=""&amp;A4056,""table"",10),7,2),""*"",""""),""-"",""0.00""))"),"Loading...")</f>
        <v>Loading...</v>
      </c>
      <c r="L4056" s="129">
        <v>1.41957603E8</v>
      </c>
      <c r="M4056" s="99" t="str">
        <f>IFERROR(__xludf.DUMMYFUNCTION("GOOGLEFINANCE(A4056,""beta"")"),"#N/A")</f>
        <v>#N/A</v>
      </c>
    </row>
    <row r="4057">
      <c r="A4057" s="122" t="s">
        <v>8570</v>
      </c>
      <c r="B4057" s="123">
        <v>1047564.0</v>
      </c>
      <c r="C4057" s="124" t="s">
        <v>8571</v>
      </c>
      <c r="D4057" s="125"/>
      <c r="E4057" s="126">
        <v>10.47</v>
      </c>
      <c r="F4057" s="127"/>
      <c r="G4057" s="127"/>
      <c r="H4057" s="127"/>
      <c r="I4057" s="128"/>
      <c r="K4057" s="105" t="str">
        <f>IFERROR(__xludf.DUMMYFUNCTION("if(A4057="""","""",substitute(SUBSTITUTE(index(importhtml(""http://finviz.com/quote.ashx?t=""&amp;A4057,""table"",10),7,2),""*"",""""),""-"",""0.00""))"),"Loading...")</f>
        <v>Loading...</v>
      </c>
      <c r="L4057" s="129">
        <v>2.048099572E9</v>
      </c>
      <c r="M4057" s="99">
        <v>0.73</v>
      </c>
    </row>
    <row r="4058">
      <c r="A4058" s="122" t="s">
        <v>8572</v>
      </c>
      <c r="B4058" s="123">
        <v>1835416.0</v>
      </c>
      <c r="C4058" s="124" t="s">
        <v>8573</v>
      </c>
      <c r="D4058" s="125"/>
      <c r="E4058" s="126">
        <v>10.48</v>
      </c>
      <c r="F4058" s="127"/>
      <c r="G4058" s="127"/>
      <c r="H4058" s="127"/>
      <c r="I4058" s="128"/>
      <c r="K4058" s="105" t="str">
        <f>IFERROR(__xludf.DUMMYFUNCTION("if(A4058="""","""",substitute(SUBSTITUTE(index(importhtml(""http://finviz.com/quote.ashx?t=""&amp;A4058,""table"",10),7,2),""*"",""""),""-"",""0.00""))"),"Loading...")</f>
        <v>Loading...</v>
      </c>
      <c r="L4058" s="129">
        <v>4.249281E7</v>
      </c>
      <c r="M4058" s="99" t="str">
        <f>IFERROR(__xludf.DUMMYFUNCTION("GOOGLEFINANCE(A4058,""beta"")"),"#N/A")</f>
        <v>#N/A</v>
      </c>
    </row>
    <row r="4059">
      <c r="A4059" s="122" t="s">
        <v>8574</v>
      </c>
      <c r="B4059" s="123">
        <v>1874218.0</v>
      </c>
      <c r="C4059" s="124" t="s">
        <v>8575</v>
      </c>
      <c r="D4059" s="125"/>
      <c r="E4059" s="126">
        <v>10.49</v>
      </c>
      <c r="F4059" s="127"/>
      <c r="G4059" s="127"/>
      <c r="H4059" s="127"/>
      <c r="I4059" s="128"/>
      <c r="K4059" s="105" t="str">
        <f>IFERROR(__xludf.DUMMYFUNCTION("if(A4059="""","""",substitute(SUBSTITUTE(index(importhtml(""http://finviz.com/quote.ashx?t=""&amp;A4059,""table"",10),7,2),""*"",""""),""-"",""0.00""))"),"Loading...")</f>
        <v>Loading...</v>
      </c>
      <c r="L4059" s="129">
        <v>8.190124E7</v>
      </c>
      <c r="M4059" s="99" t="str">
        <f>IFERROR(__xludf.DUMMYFUNCTION("GOOGLEFINANCE(A4059,""beta"")"),"#N/A")</f>
        <v>#N/A</v>
      </c>
    </row>
    <row r="4060">
      <c r="A4060" s="122" t="s">
        <v>8576</v>
      </c>
      <c r="B4060" s="123">
        <v>1844642.0</v>
      </c>
      <c r="C4060" s="124" t="s">
        <v>8577</v>
      </c>
      <c r="D4060" s="125"/>
      <c r="E4060" s="126">
        <v>10.49</v>
      </c>
      <c r="F4060" s="127"/>
      <c r="G4060" s="127"/>
      <c r="H4060" s="127"/>
      <c r="I4060" s="128"/>
      <c r="K4060" s="105" t="str">
        <f>IFERROR(__xludf.DUMMYFUNCTION("if(A4060="""","""",substitute(SUBSTITUTE(index(importhtml(""http://finviz.com/quote.ashx?t=""&amp;A4060,""table"",10),7,2),""*"",""""),""-"",""0.00""))"),"Loading...")</f>
        <v>Loading...</v>
      </c>
      <c r="L4060" s="129">
        <v>1.41957603E8</v>
      </c>
      <c r="M4060" s="99" t="str">
        <f>IFERROR(__xludf.DUMMYFUNCTION("GOOGLEFINANCE(A4060,""beta"")"),"#N/A")</f>
        <v>#N/A</v>
      </c>
    </row>
    <row r="4061">
      <c r="A4061" s="122" t="s">
        <v>8578</v>
      </c>
      <c r="B4061" s="123">
        <v>1129155.0</v>
      </c>
      <c r="C4061" s="124" t="s">
        <v>8579</v>
      </c>
      <c r="D4061" s="125"/>
      <c r="E4061" s="126">
        <v>10.49</v>
      </c>
      <c r="F4061" s="127"/>
      <c r="G4061" s="127"/>
      <c r="H4061" s="127"/>
      <c r="I4061" s="128"/>
      <c r="K4061" s="105" t="str">
        <f>IFERROR(__xludf.DUMMYFUNCTION("if(A4061="""","""",substitute(SUBSTITUTE(index(importhtml(""http://finviz.com/quote.ashx?t=""&amp;A4061,""table"",10),7,2),""*"",""""),""-"",""0.00""))"),"Loading...")</f>
        <v>Loading...</v>
      </c>
      <c r="L4061" s="129">
        <v>3.61555884E8</v>
      </c>
      <c r="M4061" s="99">
        <v>1.24</v>
      </c>
    </row>
    <row r="4062">
      <c r="A4062" s="122" t="s">
        <v>8580</v>
      </c>
      <c r="B4062" s="123">
        <v>1866175.0</v>
      </c>
      <c r="C4062" s="124" t="s">
        <v>8581</v>
      </c>
      <c r="D4062" s="125"/>
      <c r="E4062" s="126">
        <v>10.49</v>
      </c>
      <c r="F4062" s="127"/>
      <c r="G4062" s="127"/>
      <c r="H4062" s="127"/>
      <c r="I4062" s="128"/>
      <c r="K4062" s="105" t="str">
        <f>IFERROR(__xludf.DUMMYFUNCTION("if(A4062="""","""",substitute(SUBSTITUTE(index(importhtml(""http://finviz.com/quote.ashx?t=""&amp;A4062,""table"",10),7,2),""*"",""""),""-"",""0.00""))"),"Loading...")</f>
        <v>Loading...</v>
      </c>
      <c r="L4062" s="129">
        <v>1.884600839E9</v>
      </c>
      <c r="M4062" s="99">
        <f>IFERROR(__xludf.DUMMYFUNCTION("GOOGLEFINANCE(A4062,""beta"")"),1.23)</f>
        <v>1.23</v>
      </c>
    </row>
    <row r="4063">
      <c r="A4063" s="122" t="s">
        <v>8582</v>
      </c>
      <c r="B4063" s="123">
        <v>1863099.0</v>
      </c>
      <c r="C4063" s="124" t="s">
        <v>8583</v>
      </c>
      <c r="D4063" s="125"/>
      <c r="E4063" s="126">
        <v>10.5</v>
      </c>
      <c r="F4063" s="127"/>
      <c r="G4063" s="127"/>
      <c r="H4063" s="127"/>
      <c r="I4063" s="128"/>
      <c r="K4063" s="105" t="str">
        <f>IFERROR(__xludf.DUMMYFUNCTION("if(A4063="""","""",substitute(SUBSTITUTE(index(importhtml(""http://finviz.com/quote.ashx?t=""&amp;A4063,""table"",10),7,2),""*"",""""),""-"",""0.00""))"),"Loading...")</f>
        <v>Loading...</v>
      </c>
      <c r="L4063" s="129">
        <v>1.3051416E7</v>
      </c>
      <c r="M4063" s="99" t="str">
        <f>IFERROR(__xludf.DUMMYFUNCTION("GOOGLEFINANCE(A4063,""beta"")"),"#N/A")</f>
        <v>#N/A</v>
      </c>
    </row>
    <row r="4064">
      <c r="A4064" s="122" t="s">
        <v>8584</v>
      </c>
      <c r="B4064" s="123">
        <v>1365794.0</v>
      </c>
      <c r="C4064" s="124" t="s">
        <v>8585</v>
      </c>
      <c r="D4064" s="125"/>
      <c r="E4064" s="126">
        <v>10.5</v>
      </c>
      <c r="F4064" s="127"/>
      <c r="G4064" s="127"/>
      <c r="H4064" s="127"/>
      <c r="I4064" s="128"/>
      <c r="K4064" s="105" t="str">
        <f>IFERROR(__xludf.DUMMYFUNCTION("if(A4064="""","""",substitute(SUBSTITUTE(index(importhtml(""http://finviz.com/quote.ashx?t=""&amp;A4064,""table"",10),7,2),""*"",""""),""-"",""0.00""))"),"Loading...")</f>
        <v>Loading...</v>
      </c>
      <c r="L4064" s="129">
        <v>3.3727669E7</v>
      </c>
      <c r="M4064" s="99">
        <v>0.47</v>
      </c>
    </row>
    <row r="4065">
      <c r="A4065" s="122" t="s">
        <v>8586</v>
      </c>
      <c r="B4065" s="123">
        <v>1867443.0</v>
      </c>
      <c r="C4065" s="124" t="s">
        <v>8587</v>
      </c>
      <c r="D4065" s="125"/>
      <c r="E4065" s="126">
        <v>10.5</v>
      </c>
      <c r="F4065" s="127"/>
      <c r="G4065" s="127"/>
      <c r="H4065" s="127"/>
      <c r="I4065" s="128"/>
      <c r="K4065" s="105" t="str">
        <f>IFERROR(__xludf.DUMMYFUNCTION("if(A4065="""","""",substitute(SUBSTITUTE(index(importhtml(""http://finviz.com/quote.ashx?t=""&amp;A4065,""table"",10),7,2),""*"",""""),""-"",""0.00""))"),"Loading...")</f>
        <v>Loading...</v>
      </c>
      <c r="L4065" s="129">
        <v>9.8683263E7</v>
      </c>
      <c r="M4065" s="99" t="str">
        <f>IFERROR(__xludf.DUMMYFUNCTION("GOOGLEFINANCE(A4065,""beta"")"),"#N/A")</f>
        <v>#N/A</v>
      </c>
    </row>
    <row r="4066">
      <c r="A4066" s="122" t="s">
        <v>8588</v>
      </c>
      <c r="B4066" s="123">
        <v>1835972.0</v>
      </c>
      <c r="C4066" s="124" t="s">
        <v>8589</v>
      </c>
      <c r="D4066" s="125"/>
      <c r="E4066" s="126">
        <v>10.5</v>
      </c>
      <c r="F4066" s="127"/>
      <c r="G4066" s="127"/>
      <c r="H4066" s="127"/>
      <c r="I4066" s="128"/>
      <c r="K4066" s="105" t="str">
        <f>IFERROR(__xludf.DUMMYFUNCTION("if(A4066="""","""",substitute(SUBSTITUTE(index(importhtml(""http://finviz.com/quote.ashx?t=""&amp;A4066,""table"",10),7,2),""*"",""""),""-"",""0.00""))"),"Loading...")</f>
        <v>Loading...</v>
      </c>
      <c r="L4066" s="129">
        <v>1.21044587E8</v>
      </c>
      <c r="M4066" s="99" t="str">
        <f>IFERROR(__xludf.DUMMYFUNCTION("GOOGLEFINANCE(A4066,""beta"")"),"#N/A")</f>
        <v>#N/A</v>
      </c>
    </row>
    <row r="4067">
      <c r="A4067" s="122" t="s">
        <v>8590</v>
      </c>
      <c r="B4067" s="123">
        <v>1835817.0</v>
      </c>
      <c r="C4067" s="124" t="s">
        <v>8591</v>
      </c>
      <c r="D4067" s="125"/>
      <c r="E4067" s="126">
        <v>10.5</v>
      </c>
      <c r="F4067" s="127"/>
      <c r="G4067" s="127"/>
      <c r="H4067" s="127"/>
      <c r="I4067" s="128"/>
      <c r="K4067" s="105" t="str">
        <f>IFERROR(__xludf.DUMMYFUNCTION("if(A4067="""","""",substitute(SUBSTITUTE(index(importhtml(""http://finviz.com/quote.ashx?t=""&amp;A4067,""table"",10),7,2),""*"",""""),""-"",""0.00""))"),"Loading...")</f>
        <v>Loading...</v>
      </c>
      <c r="L4067" s="129">
        <v>1.470016E8</v>
      </c>
      <c r="M4067" s="99" t="str">
        <f>IFERROR(__xludf.DUMMYFUNCTION("GOOGLEFINANCE(A4067,""beta"")"),"#N/A")</f>
        <v>#N/A</v>
      </c>
    </row>
    <row r="4068">
      <c r="A4068" s="122" t="s">
        <v>8592</v>
      </c>
      <c r="B4068" s="123">
        <v>1524684.0</v>
      </c>
      <c r="C4068" s="124" t="s">
        <v>8593</v>
      </c>
      <c r="D4068" s="125"/>
      <c r="E4068" s="126">
        <v>10.5</v>
      </c>
      <c r="F4068" s="127"/>
      <c r="G4068" s="127"/>
      <c r="H4068" s="127"/>
      <c r="I4068" s="128"/>
      <c r="K4068" s="105" t="str">
        <f>IFERROR(__xludf.DUMMYFUNCTION("if(A4068="""","""",substitute(SUBSTITUTE(index(importhtml(""http://finviz.com/quote.ashx?t=""&amp;A4068,""table"",10),7,2),""*"",""""),""-"",""0.00""))"),"Loading...")</f>
        <v>Loading...</v>
      </c>
      <c r="L4068" s="129">
        <v>5.0720629637E10</v>
      </c>
      <c r="M4068" s="99">
        <v>1.45</v>
      </c>
    </row>
    <row r="4069">
      <c r="A4069" s="122" t="s">
        <v>8594</v>
      </c>
      <c r="B4069" s="123">
        <v>1855555.0</v>
      </c>
      <c r="C4069" s="124" t="s">
        <v>8595</v>
      </c>
      <c r="D4069" s="125"/>
      <c r="E4069" s="126">
        <v>10.5</v>
      </c>
      <c r="F4069" s="127"/>
      <c r="G4069" s="127"/>
      <c r="H4069" s="127"/>
      <c r="I4069" s="128"/>
      <c r="K4069" s="105" t="str">
        <f>IFERROR(__xludf.DUMMYFUNCTION("if(A4069="""","""",substitute(SUBSTITUTE(index(importhtml(""http://finviz.com/quote.ashx?t=""&amp;A4069,""table"",10),7,2),""*"",""""),""-"",""0.00""))"),"Loading...")</f>
        <v>Loading...</v>
      </c>
      <c r="L4069" s="129" t="e">
        <v>#N/A</v>
      </c>
      <c r="M4069" s="99" t="str">
        <f>IFERROR(__xludf.DUMMYFUNCTION("GOOGLEFINANCE(A4069,""beta"")"),"#N/A")</f>
        <v>#N/A</v>
      </c>
    </row>
    <row r="4070">
      <c r="A4070" s="122" t="s">
        <v>8596</v>
      </c>
      <c r="B4070" s="123">
        <v>1838513.0</v>
      </c>
      <c r="C4070" s="124" t="s">
        <v>8597</v>
      </c>
      <c r="D4070" s="125"/>
      <c r="E4070" s="126">
        <v>10.51</v>
      </c>
      <c r="F4070" s="127"/>
      <c r="G4070" s="127"/>
      <c r="H4070" s="127"/>
      <c r="I4070" s="128"/>
      <c r="K4070" s="105" t="str">
        <f>IFERROR(__xludf.DUMMYFUNCTION("if(A4070="""","""",substitute(SUBSTITUTE(index(importhtml(""http://finviz.com/quote.ashx?t=""&amp;A4070,""table"",10),7,2),""*"",""""),""-"",""0.00""))"),"Loading...")</f>
        <v>Loading...</v>
      </c>
      <c r="L4070" s="129">
        <v>7.25328E7</v>
      </c>
      <c r="M4070" s="99" t="str">
        <f>IFERROR(__xludf.DUMMYFUNCTION("GOOGLEFINANCE(A4070,""beta"")"),"#N/A")</f>
        <v>#N/A</v>
      </c>
    </row>
    <row r="4071">
      <c r="A4071" s="122" t="s">
        <v>8598</v>
      </c>
      <c r="B4071" s="123">
        <v>1838000.0</v>
      </c>
      <c r="C4071" s="124" t="s">
        <v>1548</v>
      </c>
      <c r="D4071" s="125"/>
      <c r="E4071" s="126">
        <v>10.51</v>
      </c>
      <c r="F4071" s="127"/>
      <c r="G4071" s="127"/>
      <c r="H4071" s="127"/>
      <c r="I4071" s="128"/>
      <c r="K4071" s="105" t="str">
        <f>IFERROR(__xludf.DUMMYFUNCTION("if(A4071="""","""",substitute(SUBSTITUTE(index(importhtml(""http://finviz.com/quote.ashx?t=""&amp;A4071,""table"",10),7,2),""*"",""""),""-"",""0.00""))"),"Loading...")</f>
        <v>Loading...</v>
      </c>
      <c r="L4071" s="129">
        <v>7.369235E7</v>
      </c>
      <c r="M4071" s="99" t="str">
        <f>IFERROR(__xludf.DUMMYFUNCTION("GOOGLEFINANCE(A4071,""beta"")"),"#N/A")</f>
        <v>#N/A</v>
      </c>
    </row>
    <row r="4072">
      <c r="A4072" s="122" t="s">
        <v>8599</v>
      </c>
      <c r="B4072" s="123">
        <v>1838000.0</v>
      </c>
      <c r="C4072" s="124" t="s">
        <v>8600</v>
      </c>
      <c r="D4072" s="125"/>
      <c r="E4072" s="126">
        <v>10.51</v>
      </c>
      <c r="F4072" s="127"/>
      <c r="G4072" s="127"/>
      <c r="H4072" s="127"/>
      <c r="I4072" s="128"/>
      <c r="K4072" s="105" t="str">
        <f>IFERROR(__xludf.DUMMYFUNCTION("if(A4072="""","""",substitute(SUBSTITUTE(index(importhtml(""http://finviz.com/quote.ashx?t=""&amp;A4072,""table"",10),7,2),""*"",""""),""-"",""0.00""))"),"Loading...")</f>
        <v>Loading...</v>
      </c>
      <c r="L4072" s="129">
        <v>7.369235E7</v>
      </c>
      <c r="M4072" s="99" t="str">
        <f>IFERROR(__xludf.DUMMYFUNCTION("GOOGLEFINANCE(A4072,""beta"")"),"#N/A")</f>
        <v>#N/A</v>
      </c>
    </row>
    <row r="4073">
      <c r="A4073" s="122" t="s">
        <v>8601</v>
      </c>
      <c r="B4073" s="123">
        <v>1171759.0</v>
      </c>
      <c r="C4073" s="124" t="s">
        <v>8602</v>
      </c>
      <c r="D4073" s="125"/>
      <c r="E4073" s="126">
        <v>10.51</v>
      </c>
      <c r="F4073" s="127"/>
      <c r="G4073" s="127"/>
      <c r="H4073" s="127"/>
      <c r="I4073" s="128"/>
      <c r="K4073" s="105" t="str">
        <f>IFERROR(__xludf.DUMMYFUNCTION("if(A4073="""","""",substitute(SUBSTITUTE(index(importhtml(""http://finviz.com/quote.ashx?t=""&amp;A4073,""table"",10),7,2),""*"",""""),""-"",""0.00""))"),"Loading...")</f>
        <v>Loading...</v>
      </c>
      <c r="L4073" s="129">
        <v>1.62694803E8</v>
      </c>
      <c r="M4073" s="99">
        <v>2.92</v>
      </c>
    </row>
    <row r="4074">
      <c r="A4074" s="122" t="s">
        <v>8603</v>
      </c>
      <c r="B4074" s="123">
        <v>1439095.0</v>
      </c>
      <c r="C4074" s="124" t="s">
        <v>8604</v>
      </c>
      <c r="D4074" s="125"/>
      <c r="E4074" s="126">
        <v>10.51</v>
      </c>
      <c r="F4074" s="127"/>
      <c r="G4074" s="127"/>
      <c r="H4074" s="127"/>
      <c r="I4074" s="128"/>
      <c r="K4074" s="105" t="str">
        <f>IFERROR(__xludf.DUMMYFUNCTION("if(A4074="""","""",substitute(SUBSTITUTE(index(importhtml(""http://finviz.com/quote.ashx?t=""&amp;A4074,""table"",10),7,2),""*"",""""),""-"",""0.00""))"),"Loading...")</f>
        <v>Loading...</v>
      </c>
      <c r="L4074" s="129">
        <v>8.86012988E8</v>
      </c>
      <c r="M4074" s="99">
        <v>1.99</v>
      </c>
    </row>
    <row r="4075">
      <c r="A4075" s="122" t="s">
        <v>8605</v>
      </c>
      <c r="B4075" s="123">
        <v>1066119.0</v>
      </c>
      <c r="C4075" s="124" t="s">
        <v>8606</v>
      </c>
      <c r="D4075" s="125"/>
      <c r="E4075" s="126">
        <v>10.51</v>
      </c>
      <c r="F4075" s="127"/>
      <c r="G4075" s="127"/>
      <c r="H4075" s="127"/>
      <c r="I4075" s="128"/>
      <c r="K4075" s="105" t="str">
        <f>IFERROR(__xludf.DUMMYFUNCTION("if(A4075="""","""",substitute(SUBSTITUTE(index(importhtml(""http://finviz.com/quote.ashx?t=""&amp;A4075,""table"",10),7,2),""*"",""""),""-"",""0.00""))"),"Loading...")</f>
        <v>Loading...</v>
      </c>
      <c r="L4075" s="129">
        <v>8.6612136827E10</v>
      </c>
      <c r="M4075" s="99">
        <v>0.83</v>
      </c>
    </row>
    <row r="4076">
      <c r="A4076" s="122" t="s">
        <v>8607</v>
      </c>
      <c r="B4076" s="123">
        <v>766011.0</v>
      </c>
      <c r="C4076" s="124" t="s">
        <v>8608</v>
      </c>
      <c r="D4076" s="125"/>
      <c r="E4076" s="126">
        <v>10.52</v>
      </c>
      <c r="F4076" s="127"/>
      <c r="G4076" s="127"/>
      <c r="H4076" s="127"/>
      <c r="I4076" s="128"/>
      <c r="K4076" s="105" t="str">
        <f>IFERROR(__xludf.DUMMYFUNCTION("if(A4076="""","""",substitute(SUBSTITUTE(index(importhtml(""http://finviz.com/quote.ashx?t=""&amp;A4076,""table"",10),7,2),""*"",""""),""-"",""0.00""))"),"Loading...")</f>
        <v>Loading...</v>
      </c>
      <c r="L4076" s="129">
        <v>2.01926359E8</v>
      </c>
      <c r="M4076" s="99">
        <v>0.7</v>
      </c>
    </row>
    <row r="4077">
      <c r="A4077" s="122" t="s">
        <v>8609</v>
      </c>
      <c r="B4077" s="123">
        <v>1476045.0</v>
      </c>
      <c r="C4077" s="124" t="s">
        <v>8610</v>
      </c>
      <c r="D4077" s="125"/>
      <c r="E4077" s="126">
        <v>10.52</v>
      </c>
      <c r="F4077" s="127"/>
      <c r="G4077" s="127"/>
      <c r="H4077" s="127"/>
      <c r="I4077" s="128"/>
      <c r="K4077" s="105" t="str">
        <f>IFERROR(__xludf.DUMMYFUNCTION("if(A4077="""","""",substitute(SUBSTITUTE(index(importhtml(""http://finviz.com/quote.ashx?t=""&amp;A4077,""table"",10),7,2),""*"",""""),""-"",""0.00""))"),"Loading...")</f>
        <v>Loading...</v>
      </c>
      <c r="L4077" s="129">
        <v>5.13995965E8</v>
      </c>
      <c r="M4077" s="99">
        <v>1.76</v>
      </c>
    </row>
    <row r="4078">
      <c r="A4078" s="122" t="s">
        <v>8611</v>
      </c>
      <c r="B4078" s="123">
        <v>1893219.0</v>
      </c>
      <c r="C4078" s="124" t="s">
        <v>8612</v>
      </c>
      <c r="D4078" s="125"/>
      <c r="E4078" s="126">
        <v>10.53</v>
      </c>
      <c r="F4078" s="127"/>
      <c r="G4078" s="127"/>
      <c r="H4078" s="127"/>
      <c r="I4078" s="128"/>
      <c r="K4078" s="105" t="str">
        <f>IFERROR(__xludf.DUMMYFUNCTION("if(A4078="""","""",substitute(SUBSTITUTE(index(importhtml(""http://finviz.com/quote.ashx?t=""&amp;A4078,""table"",10),7,2),""*"",""""),""-"",""0.00""))"),"Loading...")</f>
        <v>Loading...</v>
      </c>
      <c r="L4078" s="129">
        <v>1.241201E8</v>
      </c>
      <c r="M4078" s="99" t="str">
        <f>IFERROR(__xludf.DUMMYFUNCTION("GOOGLEFINANCE(A4078,""beta"")"),"#N/A")</f>
        <v>#N/A</v>
      </c>
    </row>
    <row r="4079">
      <c r="A4079" s="122" t="s">
        <v>8613</v>
      </c>
      <c r="B4079" s="123">
        <v>1880613.0</v>
      </c>
      <c r="C4079" s="124" t="s">
        <v>8614</v>
      </c>
      <c r="D4079" s="125"/>
      <c r="E4079" s="126">
        <v>10.53</v>
      </c>
      <c r="F4079" s="127"/>
      <c r="G4079" s="127"/>
      <c r="H4079" s="127"/>
      <c r="I4079" s="128"/>
      <c r="K4079" s="105" t="str">
        <f>IFERROR(__xludf.DUMMYFUNCTION("if(A4079="""","""",substitute(SUBSTITUTE(index(importhtml(""http://finviz.com/quote.ashx?t=""&amp;A4079,""table"",10),7,2),""*"",""""),""-"",""0.00""))"),"Loading...")</f>
        <v>Loading...</v>
      </c>
      <c r="L4079" s="129">
        <v>1.50267518E8</v>
      </c>
      <c r="M4079" s="99">
        <f>IFERROR(__xludf.DUMMYFUNCTION("GOOGLEFINANCE(A4079,""beta"")"),5.88)</f>
        <v>5.88</v>
      </c>
    </row>
    <row r="4080">
      <c r="A4080" s="122" t="s">
        <v>8615</v>
      </c>
      <c r="B4080" s="123">
        <v>1519505.0</v>
      </c>
      <c r="C4080" s="124" t="s">
        <v>8616</v>
      </c>
      <c r="D4080" s="125"/>
      <c r="E4080" s="126">
        <v>10.55</v>
      </c>
      <c r="F4080" s="127"/>
      <c r="G4080" s="127"/>
      <c r="H4080" s="127"/>
      <c r="I4080" s="128"/>
      <c r="K4080" s="55" t="s">
        <v>8617</v>
      </c>
      <c r="L4080" s="129" t="e">
        <v>#N/A</v>
      </c>
      <c r="M4080" s="99">
        <v>1.22</v>
      </c>
    </row>
    <row r="4081">
      <c r="A4081" s="122" t="s">
        <v>8618</v>
      </c>
      <c r="B4081" s="123">
        <v>1832136.0</v>
      </c>
      <c r="C4081" s="124" t="s">
        <v>8619</v>
      </c>
      <c r="D4081" s="125"/>
      <c r="E4081" s="126">
        <v>10.55</v>
      </c>
      <c r="F4081" s="127"/>
      <c r="G4081" s="127"/>
      <c r="H4081" s="127"/>
      <c r="I4081" s="128"/>
      <c r="K4081" s="105" t="str">
        <f>IFERROR(__xludf.DUMMYFUNCTION("if(A4081="""","""",substitute(SUBSTITUTE(index(importhtml(""http://finviz.com/quote.ashx?t=""&amp;A4081,""table"",10),7,2),""*"",""""),""-"",""0.00""))"),"Loading...")</f>
        <v>Loading...</v>
      </c>
      <c r="L4081" s="129">
        <v>9.340486E7</v>
      </c>
      <c r="M4081" s="99" t="str">
        <f>IFERROR(__xludf.DUMMYFUNCTION("GOOGLEFINANCE(A4081,""beta"")"),"#N/A")</f>
        <v>#N/A</v>
      </c>
    </row>
    <row r="4082">
      <c r="A4082" s="122" t="s">
        <v>8620</v>
      </c>
      <c r="B4082" s="123">
        <v>1835814.0</v>
      </c>
      <c r="C4082" s="124" t="s">
        <v>8621</v>
      </c>
      <c r="D4082" s="125"/>
      <c r="E4082" s="126">
        <v>10.55</v>
      </c>
      <c r="F4082" s="127"/>
      <c r="G4082" s="127"/>
      <c r="H4082" s="127"/>
      <c r="I4082" s="128"/>
      <c r="K4082" s="105" t="str">
        <f>IFERROR(__xludf.DUMMYFUNCTION("if(A4082="""","""",substitute(SUBSTITUTE(index(importhtml(""http://finviz.com/quote.ashx?t=""&amp;A4082,""table"",10),7,2),""*"",""""),""-"",""0.00""))"),"Loading...")</f>
        <v>Loading...</v>
      </c>
      <c r="L4082" s="129">
        <v>1.499462E8</v>
      </c>
      <c r="M4082" s="99" t="str">
        <f>IFERROR(__xludf.DUMMYFUNCTION("GOOGLEFINANCE(A4082,""beta"")"),"#N/A")</f>
        <v>#N/A</v>
      </c>
    </row>
    <row r="4083">
      <c r="A4083" s="122" t="s">
        <v>8622</v>
      </c>
      <c r="B4083" s="123">
        <v>1793129.0</v>
      </c>
      <c r="C4083" s="124" t="s">
        <v>8623</v>
      </c>
      <c r="D4083" s="125"/>
      <c r="E4083" s="126">
        <v>10.55</v>
      </c>
      <c r="F4083" s="127"/>
      <c r="G4083" s="127"/>
      <c r="H4083" s="127"/>
      <c r="I4083" s="128"/>
      <c r="K4083" s="105" t="str">
        <f>IFERROR(__xludf.DUMMYFUNCTION("if(A4083="""","""",substitute(SUBSTITUTE(index(importhtml(""http://finviz.com/quote.ashx?t=""&amp;A4083,""table"",10),7,2),""*"",""""),""-"",""0.00""))"),"Loading...")</f>
        <v>Loading...</v>
      </c>
      <c r="L4083" s="129" t="e">
        <v>#N/A</v>
      </c>
      <c r="M4083" s="99">
        <v>0.8</v>
      </c>
    </row>
    <row r="4084">
      <c r="A4084" s="122" t="s">
        <v>8624</v>
      </c>
      <c r="B4084" s="123">
        <v>1828522.0</v>
      </c>
      <c r="C4084" s="124" t="s">
        <v>1834</v>
      </c>
      <c r="D4084" s="125"/>
      <c r="E4084" s="126">
        <v>10.56</v>
      </c>
      <c r="F4084" s="127"/>
      <c r="G4084" s="127"/>
      <c r="H4084" s="127"/>
      <c r="I4084" s="128"/>
      <c r="K4084" s="105" t="str">
        <f>IFERROR(__xludf.DUMMYFUNCTION("if(A4084="""","""",substitute(SUBSTITUTE(index(importhtml(""http://finviz.com/quote.ashx?t=""&amp;A4084,""table"",10),7,2),""*"",""""),""-"",""0.00""))"),"Loading...")</f>
        <v>Loading...</v>
      </c>
      <c r="L4084" s="129">
        <v>3.2510302E7</v>
      </c>
      <c r="M4084" s="99">
        <f>IFERROR(__xludf.DUMMYFUNCTION("GOOGLEFINANCE(A4084,""beta"")"),0.41)</f>
        <v>0.41</v>
      </c>
    </row>
    <row r="4085">
      <c r="A4085" s="122" t="s">
        <v>8625</v>
      </c>
      <c r="B4085" s="123">
        <v>1865191.0</v>
      </c>
      <c r="C4085" s="124" t="s">
        <v>8626</v>
      </c>
      <c r="D4085" s="125"/>
      <c r="E4085" s="126">
        <v>10.56</v>
      </c>
      <c r="F4085" s="127"/>
      <c r="G4085" s="127"/>
      <c r="H4085" s="127"/>
      <c r="I4085" s="128"/>
      <c r="K4085" s="105" t="str">
        <f>IFERROR(__xludf.DUMMYFUNCTION("if(A4085="""","""",substitute(SUBSTITUTE(index(importhtml(""http://finviz.com/quote.ashx?t=""&amp;A4085,""table"",10),7,2),""*"",""""),""-"",""0.00""))"),"Loading...")</f>
        <v>Loading...</v>
      </c>
      <c r="L4085" s="129">
        <v>4.2426335E7</v>
      </c>
      <c r="M4085" s="99" t="str">
        <f>IFERROR(__xludf.DUMMYFUNCTION("GOOGLEFINANCE(A4085,""beta"")"),"#N/A")</f>
        <v>#N/A</v>
      </c>
    </row>
    <row r="4086">
      <c r="A4086" s="122" t="s">
        <v>8627</v>
      </c>
      <c r="B4086" s="123">
        <v>1581091.0</v>
      </c>
      <c r="C4086" s="124" t="s">
        <v>8628</v>
      </c>
      <c r="D4086" s="125"/>
      <c r="E4086" s="126">
        <v>10.56</v>
      </c>
      <c r="F4086" s="127"/>
      <c r="G4086" s="127"/>
      <c r="H4086" s="127"/>
      <c r="I4086" s="128"/>
      <c r="K4086" s="105" t="str">
        <f>IFERROR(__xludf.DUMMYFUNCTION("if(A4086="""","""",substitute(SUBSTITUTE(index(importhtml(""http://finviz.com/quote.ashx?t=""&amp;A4086,""table"",10),7,2),""*"",""""),""-"",""0.00""))"),"Loading...")</f>
        <v>Loading...</v>
      </c>
      <c r="L4086" s="129">
        <v>1.92586212E8</v>
      </c>
      <c r="M4086" s="99">
        <v>1.46</v>
      </c>
    </row>
    <row r="4087">
      <c r="A4087" s="122" t="s">
        <v>8629</v>
      </c>
      <c r="B4087" s="123">
        <v>1038186.0</v>
      </c>
      <c r="C4087" s="124" t="s">
        <v>8630</v>
      </c>
      <c r="D4087" s="125"/>
      <c r="E4087" s="126">
        <v>10.56</v>
      </c>
      <c r="F4087" s="127"/>
      <c r="G4087" s="127"/>
      <c r="H4087" s="127"/>
      <c r="I4087" s="128"/>
      <c r="K4087" s="105" t="str">
        <f>IFERROR(__xludf.DUMMYFUNCTION("if(A4087="""","""",substitute(SUBSTITUTE(index(importhtml(""http://finviz.com/quote.ashx?t=""&amp;A4087,""table"",10),7,2),""*"",""""),""-"",""0.00""))"),"Loading...")</f>
        <v>Loading...</v>
      </c>
      <c r="L4087" s="129">
        <v>3.23940896E8</v>
      </c>
      <c r="M4087" s="99">
        <v>0.52</v>
      </c>
    </row>
    <row r="4088">
      <c r="A4088" s="122" t="s">
        <v>8631</v>
      </c>
      <c r="B4088" s="123">
        <v>1499505.0</v>
      </c>
      <c r="C4088" s="124" t="s">
        <v>8632</v>
      </c>
      <c r="D4088" s="125"/>
      <c r="E4088" s="126">
        <v>10.56</v>
      </c>
      <c r="F4088" s="127"/>
      <c r="G4088" s="127"/>
      <c r="H4088" s="127"/>
      <c r="I4088" s="128"/>
      <c r="K4088" s="105" t="str">
        <f>IFERROR(__xludf.DUMMYFUNCTION("if(A4088="""","""",substitute(SUBSTITUTE(index(importhtml(""http://finviz.com/quote.ashx?t=""&amp;A4088,""table"",10),7,2),""*"",""""),""-"",""0.00""))"),"Loading...")</f>
        <v>Loading...</v>
      </c>
      <c r="L4088" s="129">
        <v>1.126097324E9</v>
      </c>
      <c r="M4088" s="99">
        <v>1.11</v>
      </c>
    </row>
    <row r="4089">
      <c r="A4089" s="122" t="s">
        <v>8633</v>
      </c>
      <c r="B4089" s="123">
        <v>1556593.0</v>
      </c>
      <c r="C4089" s="124" t="s">
        <v>8634</v>
      </c>
      <c r="D4089" s="125"/>
      <c r="E4089" s="126">
        <v>10.56</v>
      </c>
      <c r="F4089" s="127"/>
      <c r="G4089" s="127"/>
      <c r="H4089" s="127"/>
      <c r="I4089" s="128"/>
      <c r="K4089" s="105" t="str">
        <f>IFERROR(__xludf.DUMMYFUNCTION("if(A4089="""","""",substitute(SUBSTITUTE(index(importhtml(""http://finviz.com/quote.ashx?t=""&amp;A4089,""table"",10),7,2),""*"",""""),""-"",""0.00""))"),"Loading...")</f>
        <v>Loading...</v>
      </c>
      <c r="L4089" s="129">
        <v>5.155894E9</v>
      </c>
      <c r="M4089" s="99">
        <v>1.69</v>
      </c>
    </row>
    <row r="4090">
      <c r="A4090" s="122" t="s">
        <v>8635</v>
      </c>
      <c r="B4090" s="123">
        <v>852772.0</v>
      </c>
      <c r="C4090" s="124" t="s">
        <v>8636</v>
      </c>
      <c r="D4090" s="125"/>
      <c r="E4090" s="126">
        <v>10.57</v>
      </c>
      <c r="F4090" s="127"/>
      <c r="G4090" s="127"/>
      <c r="H4090" s="127"/>
      <c r="I4090" s="128"/>
      <c r="K4090" s="105" t="str">
        <f>IFERROR(__xludf.DUMMYFUNCTION("if(A4090="""","""",substitute(SUBSTITUTE(index(importhtml(""http://finviz.com/quote.ashx?t=""&amp;A4090,""table"",10),7,2),""*"",""""),""-"",""0.00""))"),"Loading...")</f>
        <v>Loading...</v>
      </c>
      <c r="L4090" s="129">
        <v>5.61113084E8</v>
      </c>
      <c r="M4090" s="99">
        <v>1.99</v>
      </c>
    </row>
    <row r="4091">
      <c r="A4091" s="122" t="s">
        <v>8637</v>
      </c>
      <c r="B4091" s="123">
        <v>1231346.0</v>
      </c>
      <c r="C4091" s="124" t="s">
        <v>8638</v>
      </c>
      <c r="D4091" s="125"/>
      <c r="E4091" s="126">
        <v>10.58</v>
      </c>
      <c r="F4091" s="127"/>
      <c r="G4091" s="127"/>
      <c r="H4091" s="127"/>
      <c r="I4091" s="128"/>
      <c r="K4091" s="55" t="s">
        <v>1034</v>
      </c>
      <c r="L4091" s="129">
        <v>8.96960967E8</v>
      </c>
      <c r="M4091" s="99">
        <v>1.06</v>
      </c>
    </row>
    <row r="4092">
      <c r="A4092" s="122" t="s">
        <v>8639</v>
      </c>
      <c r="B4092" s="123">
        <v>1331284.0</v>
      </c>
      <c r="C4092" s="124" t="s">
        <v>8640</v>
      </c>
      <c r="D4092" s="125"/>
      <c r="E4092" s="126">
        <v>10.58</v>
      </c>
      <c r="F4092" s="127"/>
      <c r="G4092" s="127"/>
      <c r="H4092" s="127"/>
      <c r="I4092" s="128"/>
      <c r="K4092" s="55" t="s">
        <v>7515</v>
      </c>
      <c r="L4092" s="129">
        <v>1.703374697E9</v>
      </c>
      <c r="M4092" s="99">
        <v>-0.29</v>
      </c>
    </row>
    <row r="4093">
      <c r="A4093" s="122" t="s">
        <v>8641</v>
      </c>
      <c r="B4093" s="123">
        <v>1889123.0</v>
      </c>
      <c r="C4093" s="124" t="s">
        <v>8642</v>
      </c>
      <c r="D4093" s="125"/>
      <c r="E4093" s="126">
        <v>10.58</v>
      </c>
      <c r="F4093" s="127"/>
      <c r="G4093" s="127"/>
      <c r="H4093" s="127"/>
      <c r="I4093" s="128"/>
      <c r="K4093" s="105" t="str">
        <f>IFERROR(__xludf.DUMMYFUNCTION("if(A4093="""","""",substitute(SUBSTITUTE(index(importhtml(""http://finviz.com/quote.ashx?t=""&amp;A4093,""table"",10),7,2),""*"",""""),""-"",""0.00""))"),"Loading...")</f>
        <v>Loading...</v>
      </c>
      <c r="L4093" s="129">
        <v>4.995778E7</v>
      </c>
      <c r="M4093" s="99" t="str">
        <f>IFERROR(__xludf.DUMMYFUNCTION("GOOGLEFINANCE(A4093,""beta"")"),"#N/A")</f>
        <v>#N/A</v>
      </c>
    </row>
    <row r="4094">
      <c r="A4094" s="122" t="s">
        <v>8643</v>
      </c>
      <c r="B4094" s="123">
        <v>1879851.0</v>
      </c>
      <c r="C4094" s="124" t="s">
        <v>8644</v>
      </c>
      <c r="D4094" s="125"/>
      <c r="E4094" s="126">
        <v>10.58</v>
      </c>
      <c r="F4094" s="127"/>
      <c r="G4094" s="127"/>
      <c r="H4094" s="127"/>
      <c r="I4094" s="128"/>
      <c r="K4094" s="105" t="str">
        <f>IFERROR(__xludf.DUMMYFUNCTION("if(A4094="""","""",substitute(SUBSTITUTE(index(importhtml(""http://finviz.com/quote.ashx?t=""&amp;A4094,""table"",10),7,2),""*"",""""),""-"",""0.00""))"),"Loading...")</f>
        <v>Loading...</v>
      </c>
      <c r="L4094" s="129">
        <v>8.615946E7</v>
      </c>
      <c r="M4094" s="99" t="str">
        <f>IFERROR(__xludf.DUMMYFUNCTION("GOOGLEFINANCE(A4094,""beta"")"),"#N/A")</f>
        <v>#N/A</v>
      </c>
    </row>
    <row r="4095">
      <c r="A4095" s="122" t="s">
        <v>8645</v>
      </c>
      <c r="B4095" s="123">
        <v>1842386.0</v>
      </c>
      <c r="C4095" s="124" t="s">
        <v>8646</v>
      </c>
      <c r="D4095" s="125"/>
      <c r="E4095" s="126">
        <v>10.58</v>
      </c>
      <c r="F4095" s="127"/>
      <c r="G4095" s="127"/>
      <c r="H4095" s="127"/>
      <c r="I4095" s="128"/>
      <c r="K4095" s="105" t="str">
        <f>IFERROR(__xludf.DUMMYFUNCTION("if(A4095="""","""",substitute(SUBSTITUTE(index(importhtml(""http://finviz.com/quote.ashx?t=""&amp;A4095,""table"",10),7,2),""*"",""""),""-"",""0.00""))"),"Loading...")</f>
        <v>Loading...</v>
      </c>
      <c r="L4095" s="129">
        <v>1.71997154E8</v>
      </c>
      <c r="M4095" s="99" t="str">
        <f>IFERROR(__xludf.DUMMYFUNCTION("GOOGLEFINANCE(A4095,""beta"")"),"#N/A")</f>
        <v>#N/A</v>
      </c>
    </row>
    <row r="4096">
      <c r="A4096" s="122" t="s">
        <v>8647</v>
      </c>
      <c r="B4096" s="123">
        <v>1806347.0</v>
      </c>
      <c r="C4096" s="124" t="s">
        <v>8648</v>
      </c>
      <c r="D4096" s="125"/>
      <c r="E4096" s="126">
        <v>10.58</v>
      </c>
      <c r="F4096" s="127"/>
      <c r="G4096" s="127"/>
      <c r="H4096" s="127"/>
      <c r="I4096" s="128"/>
      <c r="K4096" s="105" t="str">
        <f>IFERROR(__xludf.DUMMYFUNCTION("if(A4096="""","""",substitute(SUBSTITUTE(index(importhtml(""http://finviz.com/quote.ashx?t=""&amp;A4096,""table"",10),7,2),""*"",""""),""-"",""0.00""))"),"Loading...")</f>
        <v>Loading...</v>
      </c>
      <c r="L4096" s="129">
        <v>9.31454411E8</v>
      </c>
      <c r="M4096" s="99">
        <f>IFERROR(__xludf.DUMMYFUNCTION("GOOGLEFINANCE(A4096,""beta"")"),0.47)</f>
        <v>0.47</v>
      </c>
    </row>
    <row r="4097">
      <c r="A4097" s="122" t="s">
        <v>8649</v>
      </c>
      <c r="B4097" s="123">
        <v>1085243.0</v>
      </c>
      <c r="C4097" s="124" t="s">
        <v>8650</v>
      </c>
      <c r="D4097" s="125"/>
      <c r="E4097" s="126">
        <v>10.59</v>
      </c>
      <c r="F4097" s="127"/>
      <c r="G4097" s="127"/>
      <c r="H4097" s="127"/>
      <c r="I4097" s="128"/>
      <c r="K4097" s="105" t="str">
        <f>IFERROR(__xludf.DUMMYFUNCTION("if(A4097="""","""",substitute(SUBSTITUTE(index(importhtml(""http://finviz.com/quote.ashx?t=""&amp;A4097,""table"",10),7,2),""*"",""""),""-"",""0.00""))"),"Loading...")</f>
        <v>Loading...</v>
      </c>
      <c r="L4097" s="129">
        <v>1.17492662E8</v>
      </c>
      <c r="M4097" s="99">
        <v>0.87</v>
      </c>
    </row>
    <row r="4098">
      <c r="A4098" s="122" t="s">
        <v>8651</v>
      </c>
      <c r="B4098" s="123">
        <v>1137390.0</v>
      </c>
      <c r="C4098" s="124" t="s">
        <v>8652</v>
      </c>
      <c r="D4098" s="125"/>
      <c r="E4098" s="126">
        <v>10.6</v>
      </c>
      <c r="F4098" s="127"/>
      <c r="G4098" s="127"/>
      <c r="H4098" s="127"/>
      <c r="I4098" s="128"/>
      <c r="K4098" s="55" t="s">
        <v>8653</v>
      </c>
      <c r="L4098" s="129">
        <v>2.59217391E8</v>
      </c>
      <c r="M4098" s="99">
        <v>0.52</v>
      </c>
    </row>
    <row r="4099">
      <c r="A4099" s="122" t="s">
        <v>8654</v>
      </c>
      <c r="B4099" s="123">
        <v>1840425.0</v>
      </c>
      <c r="C4099" s="124" t="s">
        <v>8655</v>
      </c>
      <c r="D4099" s="125"/>
      <c r="E4099" s="126">
        <v>10.6</v>
      </c>
      <c r="F4099" s="127"/>
      <c r="G4099" s="127"/>
      <c r="H4099" s="127"/>
      <c r="I4099" s="128"/>
      <c r="K4099" s="105" t="str">
        <f>IFERROR(__xludf.DUMMYFUNCTION("if(A4099="""","""",substitute(SUBSTITUTE(index(importhtml(""http://finviz.com/quote.ashx?t=""&amp;A4099,""table"",10),7,2),""*"",""""),""-"",""0.00""))"),"Loading...")</f>
        <v>Loading...</v>
      </c>
      <c r="L4099" s="129">
        <v>6.9330443E7</v>
      </c>
      <c r="M4099" s="99" t="str">
        <f>IFERROR(__xludf.DUMMYFUNCTION("GOOGLEFINANCE(A4099,""beta"")"),"#N/A")</f>
        <v>#N/A</v>
      </c>
    </row>
    <row r="4100">
      <c r="A4100" s="122" t="s">
        <v>8656</v>
      </c>
      <c r="B4100" s="123">
        <v>1838163.0</v>
      </c>
      <c r="C4100" s="124" t="s">
        <v>8657</v>
      </c>
      <c r="D4100" s="125"/>
      <c r="E4100" s="126">
        <v>10.6</v>
      </c>
      <c r="F4100" s="127"/>
      <c r="G4100" s="127"/>
      <c r="H4100" s="127"/>
      <c r="I4100" s="128"/>
      <c r="K4100" s="105" t="str">
        <f>IFERROR(__xludf.DUMMYFUNCTION("if(A4100="""","""",substitute(SUBSTITUTE(index(importhtml(""http://finviz.com/quote.ashx?t=""&amp;A4100,""table"",10),7,2),""*"",""""),""-"",""0.00""))"),"Loading...")</f>
        <v>Loading...</v>
      </c>
      <c r="L4100" s="129">
        <v>1.04190909E8</v>
      </c>
      <c r="M4100" s="99" t="str">
        <f>IFERROR(__xludf.DUMMYFUNCTION("GOOGLEFINANCE(A4100,""beta"")"),"#N/A")</f>
        <v>#N/A</v>
      </c>
    </row>
    <row r="4101">
      <c r="A4101" s="122" t="s">
        <v>8658</v>
      </c>
      <c r="B4101" s="123">
        <v>1836274.0</v>
      </c>
      <c r="C4101" s="124" t="s">
        <v>8659</v>
      </c>
      <c r="D4101" s="125"/>
      <c r="E4101" s="126">
        <v>10.6</v>
      </c>
      <c r="F4101" s="127"/>
      <c r="G4101" s="127"/>
      <c r="H4101" s="127"/>
      <c r="I4101" s="128"/>
      <c r="K4101" s="105" t="str">
        <f>IFERROR(__xludf.DUMMYFUNCTION("if(A4101="""","""",substitute(SUBSTITUTE(index(importhtml(""http://finviz.com/quote.ashx?t=""&amp;A4101,""table"",10),7,2),""*"",""""),""-"",""0.00""))"),"Loading...")</f>
        <v>Loading...</v>
      </c>
      <c r="L4101" s="129">
        <v>1.159183E8</v>
      </c>
      <c r="M4101" s="99" t="str">
        <f>IFERROR(__xludf.DUMMYFUNCTION("GOOGLEFINANCE(A4101,""beta"")"),"#N/A")</f>
        <v>#N/A</v>
      </c>
    </row>
    <row r="4102">
      <c r="A4102" s="122" t="s">
        <v>8660</v>
      </c>
      <c r="B4102" s="123">
        <v>1845550.0</v>
      </c>
      <c r="C4102" s="124" t="s">
        <v>8661</v>
      </c>
      <c r="D4102" s="125"/>
      <c r="E4102" s="126">
        <v>10.6</v>
      </c>
      <c r="F4102" s="127"/>
      <c r="G4102" s="127"/>
      <c r="H4102" s="127"/>
      <c r="I4102" s="128"/>
      <c r="K4102" s="105" t="str">
        <f>IFERROR(__xludf.DUMMYFUNCTION("if(A4102="""","""",substitute(SUBSTITUTE(index(importhtml(""http://finviz.com/quote.ashx?t=""&amp;A4102,""table"",10),7,2),""*"",""""),""-"",""0.00""))"),"Loading...")</f>
        <v>Loading...</v>
      </c>
      <c r="L4102" s="129">
        <v>2.42755692E8</v>
      </c>
      <c r="M4102" s="99" t="str">
        <f>IFERROR(__xludf.DUMMYFUNCTION("GOOGLEFINANCE(A4102,""beta"")"),"#N/A")</f>
        <v>#N/A</v>
      </c>
    </row>
    <row r="4103">
      <c r="A4103" s="122" t="s">
        <v>8662</v>
      </c>
      <c r="B4103" s="123">
        <v>1805890.0</v>
      </c>
      <c r="C4103" s="124" t="s">
        <v>8663</v>
      </c>
      <c r="D4103" s="125"/>
      <c r="E4103" s="126">
        <v>10.6</v>
      </c>
      <c r="F4103" s="127"/>
      <c r="G4103" s="127"/>
      <c r="H4103" s="127"/>
      <c r="I4103" s="128"/>
      <c r="K4103" s="105" t="str">
        <f>IFERROR(__xludf.DUMMYFUNCTION("if(A4103="""","""",substitute(SUBSTITUTE(index(importhtml(""http://finviz.com/quote.ashx?t=""&amp;A4103,""table"",10),7,2),""*"",""""),""-"",""0.00""))"),"Loading...")</f>
        <v>Loading...</v>
      </c>
      <c r="L4103" s="129">
        <v>7.67501931E8</v>
      </c>
      <c r="M4103" s="99">
        <v>-0.86</v>
      </c>
    </row>
    <row r="4104">
      <c r="A4104" s="122" t="s">
        <v>8664</v>
      </c>
      <c r="B4104" s="123">
        <v>1585389.0</v>
      </c>
      <c r="C4104" s="124" t="s">
        <v>8665</v>
      </c>
      <c r="D4104" s="125"/>
      <c r="E4104" s="126">
        <v>10.6</v>
      </c>
      <c r="F4104" s="127"/>
      <c r="G4104" s="127"/>
      <c r="H4104" s="127"/>
      <c r="I4104" s="128"/>
      <c r="K4104" s="105" t="str">
        <f>IFERROR(__xludf.DUMMYFUNCTION("if(A4104="""","""",substitute(SUBSTITUTE(index(importhtml(""http://finviz.com/quote.ashx?t=""&amp;A4104,""table"",10),7,2),""*"",""""),""-"",""0.00""))"),"Loading...")</f>
        <v>Loading...</v>
      </c>
      <c r="L4104" s="129">
        <v>9.384594E8</v>
      </c>
      <c r="M4104" s="99" t="str">
        <f>IFERROR(__xludf.DUMMYFUNCTION("GOOGLEFINANCE(A4104,""beta"")"),"#N/A")</f>
        <v>#N/A</v>
      </c>
    </row>
    <row r="4105">
      <c r="A4105" s="122" t="s">
        <v>8666</v>
      </c>
      <c r="B4105" s="123">
        <v>1828248.0</v>
      </c>
      <c r="C4105" s="124" t="s">
        <v>8667</v>
      </c>
      <c r="D4105" s="125"/>
      <c r="E4105" s="126">
        <v>10.6</v>
      </c>
      <c r="F4105" s="127"/>
      <c r="G4105" s="127"/>
      <c r="H4105" s="127"/>
      <c r="I4105" s="128"/>
      <c r="K4105" s="105" t="str">
        <f>IFERROR(__xludf.DUMMYFUNCTION("if(A4105="""","""",substitute(SUBSTITUTE(index(importhtml(""http://finviz.com/quote.ashx?t=""&amp;A4105,""table"",10),7,2),""*"",""""),""-"",""0.00""))"),"Loading...")</f>
        <v>Loading...</v>
      </c>
      <c r="L4105" s="129">
        <v>1.418653781E9</v>
      </c>
      <c r="M4105" s="99" t="str">
        <f>IFERROR(__xludf.DUMMYFUNCTION("GOOGLEFINANCE(A4105,""beta"")"),"#N/A")</f>
        <v>#N/A</v>
      </c>
    </row>
    <row r="4106">
      <c r="A4106" s="122" t="s">
        <v>8668</v>
      </c>
      <c r="B4106" s="123">
        <v>1853047.0</v>
      </c>
      <c r="C4106" s="124" t="s">
        <v>8669</v>
      </c>
      <c r="D4106" s="125"/>
      <c r="E4106" s="126">
        <v>10.61</v>
      </c>
      <c r="F4106" s="127"/>
      <c r="G4106" s="127"/>
      <c r="H4106" s="127"/>
      <c r="I4106" s="128"/>
      <c r="K4106" s="105" t="str">
        <f>IFERROR(__xludf.DUMMYFUNCTION("if(A4106="""","""",substitute(SUBSTITUTE(index(importhtml(""http://finviz.com/quote.ashx?t=""&amp;A4106,""table"",10),7,2),""*"",""""),""-"",""0.00""))"),"Loading...")</f>
        <v>Loading...</v>
      </c>
      <c r="L4106" s="129">
        <v>4.774666E7</v>
      </c>
      <c r="M4106" s="99" t="str">
        <f>IFERROR(__xludf.DUMMYFUNCTION("GOOGLEFINANCE(A4106,""beta"")"),"#N/A")</f>
        <v>#N/A</v>
      </c>
    </row>
    <row r="4107">
      <c r="A4107" s="122" t="s">
        <v>8670</v>
      </c>
      <c r="B4107" s="123">
        <v>1823000.0</v>
      </c>
      <c r="C4107" s="124" t="s">
        <v>8671</v>
      </c>
      <c r="D4107" s="125"/>
      <c r="E4107" s="126">
        <v>10.61</v>
      </c>
      <c r="F4107" s="127"/>
      <c r="G4107" s="127"/>
      <c r="H4107" s="127"/>
      <c r="I4107" s="128"/>
      <c r="K4107" s="105" t="str">
        <f>IFERROR(__xludf.DUMMYFUNCTION("if(A4107="""","""",substitute(SUBSTITUTE(index(importhtml(""http://finviz.com/quote.ashx?t=""&amp;A4107,""table"",10),7,2),""*"",""""),""-"",""0.00""))"),"Loading...")</f>
        <v>Loading...</v>
      </c>
      <c r="L4107" s="129">
        <v>2.21464865E8</v>
      </c>
      <c r="M4107" s="99">
        <v>0.01</v>
      </c>
    </row>
    <row r="4108">
      <c r="A4108" s="122" t="s">
        <v>8672</v>
      </c>
      <c r="B4108" s="123">
        <v>1885998.0</v>
      </c>
      <c r="C4108" s="124" t="s">
        <v>8673</v>
      </c>
      <c r="D4108" s="125"/>
      <c r="E4108" s="126">
        <v>10.62</v>
      </c>
      <c r="F4108" s="127"/>
      <c r="G4108" s="127"/>
      <c r="H4108" s="127"/>
      <c r="I4108" s="128"/>
      <c r="K4108" s="105" t="str">
        <f>IFERROR(__xludf.DUMMYFUNCTION("if(A4108="""","""",substitute(SUBSTITUTE(index(importhtml(""http://finviz.com/quote.ashx?t=""&amp;A4108,""table"",10),7,2),""*"",""""),""-"",""0.00""))"),"Loading...")</f>
        <v>Loading...</v>
      </c>
      <c r="L4108" s="129">
        <v>6.6031363E7</v>
      </c>
      <c r="M4108" s="99" t="str">
        <f>IFERROR(__xludf.DUMMYFUNCTION("GOOGLEFINANCE(A4108,""beta"")"),"#N/A")</f>
        <v>#N/A</v>
      </c>
    </row>
    <row r="4109">
      <c r="A4109" s="122" t="s">
        <v>8674</v>
      </c>
      <c r="B4109" s="123">
        <v>1606268.0</v>
      </c>
      <c r="C4109" s="124" t="s">
        <v>8675</v>
      </c>
      <c r="D4109" s="125"/>
      <c r="E4109" s="126">
        <v>10.62</v>
      </c>
      <c r="F4109" s="127"/>
      <c r="G4109" s="127"/>
      <c r="H4109" s="127"/>
      <c r="I4109" s="128"/>
      <c r="K4109" s="105" t="str">
        <f>IFERROR(__xludf.DUMMYFUNCTION("if(A4109="""","""",substitute(SUBSTITUTE(index(importhtml(""http://finviz.com/quote.ashx?t=""&amp;A4109,""table"",10),7,2),""*"",""""),""-"",""0.00""))"),"Loading...")</f>
        <v>Loading...</v>
      </c>
      <c r="L4109" s="129">
        <v>7.6811273E7</v>
      </c>
      <c r="M4109" s="99">
        <v>1.34</v>
      </c>
    </row>
    <row r="4110">
      <c r="A4110" s="122" t="s">
        <v>8676</v>
      </c>
      <c r="B4110" s="123">
        <v>1722010.0</v>
      </c>
      <c r="C4110" s="124" t="s">
        <v>8677</v>
      </c>
      <c r="D4110" s="125"/>
      <c r="E4110" s="126">
        <v>10.62</v>
      </c>
      <c r="F4110" s="127"/>
      <c r="G4110" s="127"/>
      <c r="H4110" s="127"/>
      <c r="I4110" s="128"/>
      <c r="K4110" s="105" t="str">
        <f>IFERROR(__xludf.DUMMYFUNCTION("if(A4110="""","""",substitute(SUBSTITUTE(index(importhtml(""http://finviz.com/quote.ashx?t=""&amp;A4110,""table"",10),7,2),""*"",""""),""-"",""0.00""))"),"Loading...")</f>
        <v>Loading...</v>
      </c>
      <c r="L4110" s="129">
        <v>1.59304564E8</v>
      </c>
      <c r="M4110" s="99">
        <v>0.64</v>
      </c>
    </row>
    <row r="4111">
      <c r="A4111" s="122" t="s">
        <v>8678</v>
      </c>
      <c r="B4111" s="123">
        <v>1893325.0</v>
      </c>
      <c r="C4111" s="124" t="s">
        <v>8679</v>
      </c>
      <c r="D4111" s="125"/>
      <c r="E4111" s="126">
        <v>10.62</v>
      </c>
      <c r="F4111" s="127"/>
      <c r="G4111" s="127"/>
      <c r="H4111" s="127"/>
      <c r="I4111" s="128"/>
      <c r="K4111" s="105" t="str">
        <f>IFERROR(__xludf.DUMMYFUNCTION("if(A4111="""","""",substitute(SUBSTITUTE(index(importhtml(""http://finviz.com/quote.ashx?t=""&amp;A4111,""table"",10),7,2),""*"",""""),""-"",""0.00""))"),"Loading...")</f>
        <v>Loading...</v>
      </c>
      <c r="L4111" s="129">
        <v>9.95624989E8</v>
      </c>
      <c r="M4111" s="99" t="str">
        <f>IFERROR(__xludf.DUMMYFUNCTION("GOOGLEFINANCE(A4111,""beta"")"),"#N/A")</f>
        <v>#N/A</v>
      </c>
    </row>
    <row r="4112">
      <c r="A4112" s="122" t="s">
        <v>8680</v>
      </c>
      <c r="B4112" s="123">
        <v>1841125.0</v>
      </c>
      <c r="C4112" s="124" t="s">
        <v>8681</v>
      </c>
      <c r="D4112" s="125"/>
      <c r="E4112" s="126">
        <v>10.63</v>
      </c>
      <c r="F4112" s="127"/>
      <c r="G4112" s="127"/>
      <c r="H4112" s="127"/>
      <c r="I4112" s="128"/>
      <c r="K4112" s="105" t="str">
        <f>IFERROR(__xludf.DUMMYFUNCTION("if(A4112="""","""",substitute(SUBSTITUTE(index(importhtml(""http://finviz.com/quote.ashx?t=""&amp;A4112,""table"",10),7,2),""*"",""""),""-"",""0.00""))"),"Loading...")</f>
        <v>Loading...</v>
      </c>
      <c r="L4112" s="129">
        <v>8.27019E7</v>
      </c>
      <c r="M4112" s="99" t="str">
        <f>IFERROR(__xludf.DUMMYFUNCTION("GOOGLEFINANCE(A4112,""beta"")"),"#N/A")</f>
        <v>#N/A</v>
      </c>
    </row>
    <row r="4113">
      <c r="A4113" s="122" t="s">
        <v>8682</v>
      </c>
      <c r="B4113" s="123">
        <v>1892922.0</v>
      </c>
      <c r="C4113" s="124" t="s">
        <v>8683</v>
      </c>
      <c r="D4113" s="125"/>
      <c r="E4113" s="126">
        <v>10.63</v>
      </c>
      <c r="F4113" s="127"/>
      <c r="G4113" s="127"/>
      <c r="H4113" s="127"/>
      <c r="I4113" s="128"/>
      <c r="K4113" s="105" t="str">
        <f>IFERROR(__xludf.DUMMYFUNCTION("if(A4113="""","""",substitute(SUBSTITUTE(index(importhtml(""http://finviz.com/quote.ashx?t=""&amp;A4113,""table"",10),7,2),""*"",""""),""-"",""0.00""))"),"Loading...")</f>
        <v>Loading...</v>
      </c>
      <c r="L4113" s="129">
        <v>9.8773961E7</v>
      </c>
      <c r="M4113" s="99" t="str">
        <f>IFERROR(__xludf.DUMMYFUNCTION("GOOGLEFINANCE(A4113,""beta"")"),"#N/A")</f>
        <v>#N/A</v>
      </c>
    </row>
    <row r="4114">
      <c r="A4114" s="122" t="s">
        <v>8684</v>
      </c>
      <c r="B4114" s="123">
        <v>1840317.0</v>
      </c>
      <c r="C4114" s="124" t="s">
        <v>8685</v>
      </c>
      <c r="D4114" s="125"/>
      <c r="E4114" s="126">
        <v>10.63</v>
      </c>
      <c r="F4114" s="127"/>
      <c r="G4114" s="127"/>
      <c r="H4114" s="127"/>
      <c r="I4114" s="128"/>
      <c r="K4114" s="105" t="str">
        <f>IFERROR(__xludf.DUMMYFUNCTION("if(A4114="""","""",substitute(SUBSTITUTE(index(importhtml(""http://finviz.com/quote.ashx?t=""&amp;A4114,""table"",10),7,2),""*"",""""),""-"",""0.00""))"),"Loading...")</f>
        <v>Loading...</v>
      </c>
      <c r="L4114" s="129">
        <v>1.230342E8</v>
      </c>
      <c r="M4114" s="99" t="str">
        <f>IFERROR(__xludf.DUMMYFUNCTION("GOOGLEFINANCE(A4114,""beta"")"),"#N/A")</f>
        <v>#N/A</v>
      </c>
    </row>
    <row r="4115">
      <c r="A4115" s="122" t="s">
        <v>8686</v>
      </c>
      <c r="B4115" s="123">
        <v>1871638.0</v>
      </c>
      <c r="C4115" s="124" t="s">
        <v>8687</v>
      </c>
      <c r="D4115" s="125"/>
      <c r="E4115" s="126">
        <v>10.63</v>
      </c>
      <c r="F4115" s="127"/>
      <c r="G4115" s="127"/>
      <c r="H4115" s="127"/>
      <c r="I4115" s="128"/>
      <c r="K4115" s="105" t="str">
        <f>IFERROR(__xludf.DUMMYFUNCTION("if(A4115="""","""",substitute(SUBSTITUTE(index(importhtml(""http://finviz.com/quote.ashx?t=""&amp;A4115,""table"",10),7,2),""*"",""""),""-"",""0.00""))"),"Loading...")</f>
        <v>Loading...</v>
      </c>
      <c r="L4115" s="129">
        <v>1.637568E8</v>
      </c>
      <c r="M4115" s="99" t="str">
        <f>IFERROR(__xludf.DUMMYFUNCTION("GOOGLEFINANCE(A4115,""beta"")"),"#N/A")</f>
        <v>#N/A</v>
      </c>
    </row>
    <row r="4116">
      <c r="A4116" s="122" t="s">
        <v>8688</v>
      </c>
      <c r="B4116" s="123">
        <v>1069899.0</v>
      </c>
      <c r="C4116" s="124" t="s">
        <v>8689</v>
      </c>
      <c r="D4116" s="125"/>
      <c r="E4116" s="126">
        <v>10.63</v>
      </c>
      <c r="F4116" s="127"/>
      <c r="G4116" s="127"/>
      <c r="H4116" s="127"/>
      <c r="I4116" s="128"/>
      <c r="K4116" s="105" t="str">
        <f>IFERROR(__xludf.DUMMYFUNCTION("if(A4116="""","""",substitute(SUBSTITUTE(index(importhtml(""http://finviz.com/quote.ashx?t=""&amp;A4116,""table"",10),7,2),""*"",""""),""-"",""0.00""))"),"Loading...")</f>
        <v>Loading...</v>
      </c>
      <c r="L4116" s="129">
        <v>4.30553378E8</v>
      </c>
      <c r="M4116" s="99">
        <v>0.7</v>
      </c>
    </row>
    <row r="4117">
      <c r="A4117" s="122" t="s">
        <v>8690</v>
      </c>
      <c r="B4117" s="123">
        <v>1849056.0</v>
      </c>
      <c r="C4117" s="124" t="s">
        <v>8691</v>
      </c>
      <c r="D4117" s="125"/>
      <c r="E4117" s="126">
        <v>10.63</v>
      </c>
      <c r="F4117" s="127"/>
      <c r="G4117" s="127"/>
      <c r="H4117" s="127"/>
      <c r="I4117" s="128"/>
      <c r="K4117" s="105" t="str">
        <f>IFERROR(__xludf.DUMMYFUNCTION("if(A4117="""","""",substitute(SUBSTITUTE(index(importhtml(""http://finviz.com/quote.ashx?t=""&amp;A4117,""table"",10),7,2),""*"",""""),""-"",""0.00""))"),"Loading...")</f>
        <v>Loading...</v>
      </c>
      <c r="L4117" s="129">
        <v>4.58158532E8</v>
      </c>
      <c r="M4117" s="99" t="str">
        <f>IFERROR(__xludf.DUMMYFUNCTION("GOOGLEFINANCE(A4117,""beta"")"),"#N/A")</f>
        <v>#N/A</v>
      </c>
    </row>
    <row r="4118">
      <c r="A4118" s="122" t="s">
        <v>8692</v>
      </c>
      <c r="B4118" s="123">
        <v>1855693.0</v>
      </c>
      <c r="C4118" s="124" t="s">
        <v>8693</v>
      </c>
      <c r="D4118" s="125"/>
      <c r="E4118" s="126">
        <v>10.64</v>
      </c>
      <c r="F4118" s="127"/>
      <c r="G4118" s="127"/>
      <c r="H4118" s="127"/>
      <c r="I4118" s="128"/>
      <c r="K4118" s="105" t="str">
        <f>IFERROR(__xludf.DUMMYFUNCTION("if(A4118="""","""",substitute(SUBSTITUTE(index(importhtml(""http://finviz.com/quote.ashx?t=""&amp;A4118,""table"",10),7,2),""*"",""""),""-"",""0.00""))"),"Loading...")</f>
        <v>Loading...</v>
      </c>
      <c r="L4118" s="129">
        <v>8.731343E7</v>
      </c>
      <c r="M4118" s="99" t="str">
        <f>IFERROR(__xludf.DUMMYFUNCTION("GOOGLEFINANCE(A4118,""beta"")"),"#N/A")</f>
        <v>#N/A</v>
      </c>
    </row>
    <row r="4119">
      <c r="A4119" s="122" t="s">
        <v>8694</v>
      </c>
      <c r="B4119" s="123">
        <v>897419.0</v>
      </c>
      <c r="C4119" s="124" t="s">
        <v>8695</v>
      </c>
      <c r="D4119" s="125"/>
      <c r="E4119" s="126">
        <v>10.64</v>
      </c>
      <c r="F4119" s="127"/>
      <c r="G4119" s="127"/>
      <c r="H4119" s="127"/>
      <c r="I4119" s="128"/>
      <c r="K4119" s="105" t="str">
        <f>IFERROR(__xludf.DUMMYFUNCTION("if(A4119="""","""",substitute(SUBSTITUTE(index(importhtml(""http://finviz.com/quote.ashx?t=""&amp;A4119,""table"",10),7,2),""*"",""""),""-"",""0.00""))"),"Loading...")</f>
        <v>Loading...</v>
      </c>
      <c r="L4119" s="129">
        <v>9.9218545E7</v>
      </c>
      <c r="M4119" s="99">
        <v>0.39</v>
      </c>
    </row>
    <row r="4120">
      <c r="A4120" s="122" t="s">
        <v>8696</v>
      </c>
      <c r="B4120" s="123">
        <v>1853580.0</v>
      </c>
      <c r="C4120" s="124" t="s">
        <v>8697</v>
      </c>
      <c r="D4120" s="125"/>
      <c r="E4120" s="126">
        <v>10.64</v>
      </c>
      <c r="F4120" s="127"/>
      <c r="G4120" s="127"/>
      <c r="H4120" s="127"/>
      <c r="I4120" s="128"/>
      <c r="K4120" s="105" t="str">
        <f>IFERROR(__xludf.DUMMYFUNCTION("if(A4120="""","""",substitute(SUBSTITUTE(index(importhtml(""http://finviz.com/quote.ashx?t=""&amp;A4120,""table"",10),7,2),""*"",""""),""-"",""0.00""))"),"Loading...")</f>
        <v>Loading...</v>
      </c>
      <c r="L4120" s="129">
        <v>1.105306E8</v>
      </c>
      <c r="M4120" s="99" t="str">
        <f>IFERROR(__xludf.DUMMYFUNCTION("GOOGLEFINANCE(A4120,""beta"")"),"#N/A")</f>
        <v>#N/A</v>
      </c>
    </row>
    <row r="4121">
      <c r="A4121" s="122" t="s">
        <v>8698</v>
      </c>
      <c r="B4121" s="123">
        <v>1851909.0</v>
      </c>
      <c r="C4121" s="124" t="s">
        <v>8699</v>
      </c>
      <c r="D4121" s="125"/>
      <c r="E4121" s="126">
        <v>10.64</v>
      </c>
      <c r="F4121" s="127"/>
      <c r="G4121" s="127"/>
      <c r="H4121" s="127"/>
      <c r="I4121" s="128"/>
      <c r="K4121" s="105" t="str">
        <f>IFERROR(__xludf.DUMMYFUNCTION("if(A4121="""","""",substitute(SUBSTITUTE(index(importhtml(""http://finviz.com/quote.ashx?t=""&amp;A4121,""table"",10),7,2),""*"",""""),""-"",""0.00""))"),"Loading...")</f>
        <v>Loading...</v>
      </c>
      <c r="L4121" s="129">
        <v>1.11770543E8</v>
      </c>
      <c r="M4121" s="99" t="str">
        <f>IFERROR(__xludf.DUMMYFUNCTION("GOOGLEFINANCE(A4121,""beta"")"),"#N/A")</f>
        <v>#N/A</v>
      </c>
    </row>
    <row r="4122">
      <c r="A4122" s="122" t="s">
        <v>8700</v>
      </c>
      <c r="B4122" s="123">
        <v>1803696.0</v>
      </c>
      <c r="C4122" s="124" t="s">
        <v>8701</v>
      </c>
      <c r="D4122" s="125"/>
      <c r="E4122" s="126">
        <v>10.64</v>
      </c>
      <c r="F4122" s="127"/>
      <c r="G4122" s="127"/>
      <c r="H4122" s="127"/>
      <c r="I4122" s="128"/>
      <c r="K4122" s="105" t="str">
        <f>IFERROR(__xludf.DUMMYFUNCTION("if(A4122="""","""",substitute(SUBSTITUTE(index(importhtml(""http://finviz.com/quote.ashx?t=""&amp;A4122,""table"",10),7,2),""*"",""""),""-"",""0.00""))"),"Loading...")</f>
        <v>Loading...</v>
      </c>
      <c r="L4122" s="129">
        <v>4.62476446E8</v>
      </c>
      <c r="M4122" s="99">
        <v>0.86</v>
      </c>
    </row>
    <row r="4123">
      <c r="A4123" s="122" t="s">
        <v>8702</v>
      </c>
      <c r="B4123" s="123">
        <v>1907730.0</v>
      </c>
      <c r="C4123" s="124" t="s">
        <v>8703</v>
      </c>
      <c r="D4123" s="125"/>
      <c r="E4123" s="126">
        <v>10.65</v>
      </c>
      <c r="F4123" s="127"/>
      <c r="G4123" s="127"/>
      <c r="H4123" s="127"/>
      <c r="I4123" s="128"/>
      <c r="K4123" s="105" t="str">
        <f>IFERROR(__xludf.DUMMYFUNCTION("if(A4123="""","""",substitute(SUBSTITUTE(index(importhtml(""http://finviz.com/quote.ashx?t=""&amp;A4123,""table"",10),7,2),""*"",""""),""-"",""0.00""))"),"Loading...")</f>
        <v>Loading...</v>
      </c>
      <c r="L4123" s="129">
        <v>4.2012491E7</v>
      </c>
      <c r="M4123" s="99" t="str">
        <f>IFERROR(__xludf.DUMMYFUNCTION("GOOGLEFINANCE(A4123,""beta"")"),"#N/A")</f>
        <v>#N/A</v>
      </c>
    </row>
    <row r="4124">
      <c r="A4124" s="122" t="s">
        <v>8704</v>
      </c>
      <c r="B4124" s="123">
        <v>1841125.0</v>
      </c>
      <c r="C4124" s="124" t="s">
        <v>8705</v>
      </c>
      <c r="D4124" s="125"/>
      <c r="E4124" s="126">
        <v>10.65</v>
      </c>
      <c r="F4124" s="127"/>
      <c r="G4124" s="127"/>
      <c r="H4124" s="127"/>
      <c r="I4124" s="128"/>
      <c r="K4124" s="105" t="str">
        <f>IFERROR(__xludf.DUMMYFUNCTION("if(A4124="""","""",substitute(SUBSTITUTE(index(importhtml(""http://finviz.com/quote.ashx?t=""&amp;A4124,""table"",10),7,2),""*"",""""),""-"",""0.00""))"),"Loading...")</f>
        <v>Loading...</v>
      </c>
      <c r="L4124" s="129">
        <v>8.27019E7</v>
      </c>
      <c r="M4124" s="99" t="str">
        <f>IFERROR(__xludf.DUMMYFUNCTION("GOOGLEFINANCE(A4124,""beta"")"),"#N/A")</f>
        <v>#N/A</v>
      </c>
    </row>
    <row r="4125">
      <c r="A4125" s="122" t="s">
        <v>8706</v>
      </c>
      <c r="B4125" s="123">
        <v>1847241.0</v>
      </c>
      <c r="C4125" s="124" t="s">
        <v>8707</v>
      </c>
      <c r="D4125" s="125"/>
      <c r="E4125" s="126">
        <v>10.65</v>
      </c>
      <c r="F4125" s="127"/>
      <c r="G4125" s="127"/>
      <c r="H4125" s="127"/>
      <c r="I4125" s="128"/>
      <c r="K4125" s="105" t="str">
        <f>IFERROR(__xludf.DUMMYFUNCTION("if(A4125="""","""",substitute(SUBSTITUTE(index(importhtml(""http://finviz.com/quote.ashx?t=""&amp;A4125,""table"",10),7,2),""*"",""""),""-"",""0.00""))"),"Loading...")</f>
        <v>Loading...</v>
      </c>
      <c r="L4125" s="129">
        <v>1.86095537E8</v>
      </c>
      <c r="M4125" s="99" t="str">
        <f>IFERROR(__xludf.DUMMYFUNCTION("GOOGLEFINANCE(A4125,""beta"")"),"#N/A")</f>
        <v>#N/A</v>
      </c>
    </row>
    <row r="4126">
      <c r="A4126" s="122" t="s">
        <v>8708</v>
      </c>
      <c r="B4126" s="123">
        <v>1836274.0</v>
      </c>
      <c r="C4126" s="124" t="s">
        <v>8709</v>
      </c>
      <c r="D4126" s="125"/>
      <c r="E4126" s="126">
        <v>10.66</v>
      </c>
      <c r="F4126" s="127"/>
      <c r="G4126" s="127"/>
      <c r="H4126" s="127"/>
      <c r="I4126" s="128"/>
      <c r="K4126" s="105" t="str">
        <f>IFERROR(__xludf.DUMMYFUNCTION("if(A4126="""","""",substitute(SUBSTITUTE(index(importhtml(""http://finviz.com/quote.ashx?t=""&amp;A4126,""table"",10),7,2),""*"",""""),""-"",""0.00""))"),"Loading...")</f>
        <v>Loading...</v>
      </c>
      <c r="L4126" s="129">
        <v>1.159183E8</v>
      </c>
      <c r="M4126" s="99" t="str">
        <f>IFERROR(__xludf.DUMMYFUNCTION("GOOGLEFINANCE(A4126,""beta"")"),"#N/A")</f>
        <v>#N/A</v>
      </c>
    </row>
    <row r="4127">
      <c r="A4127" s="122" t="s">
        <v>8710</v>
      </c>
      <c r="B4127" s="123">
        <v>1851961.0</v>
      </c>
      <c r="C4127" s="124" t="s">
        <v>8711</v>
      </c>
      <c r="D4127" s="125"/>
      <c r="E4127" s="126">
        <v>10.66</v>
      </c>
      <c r="F4127" s="127"/>
      <c r="G4127" s="127"/>
      <c r="H4127" s="127"/>
      <c r="I4127" s="128"/>
      <c r="K4127" s="105" t="str">
        <f>IFERROR(__xludf.DUMMYFUNCTION("if(A4127="""","""",substitute(SUBSTITUTE(index(importhtml(""http://finviz.com/quote.ashx?t=""&amp;A4127,""table"",10),7,2),""*"",""""),""-"",""0.00""))"),"Loading...")</f>
        <v>Loading...</v>
      </c>
      <c r="L4127" s="129">
        <v>1.33957289E8</v>
      </c>
      <c r="M4127" s="99" t="str">
        <f>IFERROR(__xludf.DUMMYFUNCTION("GOOGLEFINANCE(A4127,""beta"")"),"#N/A")</f>
        <v>#N/A</v>
      </c>
    </row>
    <row r="4128">
      <c r="A4128" s="122" t="s">
        <v>8712</v>
      </c>
      <c r="B4128" s="123">
        <v>1856161.0</v>
      </c>
      <c r="C4128" s="124" t="s">
        <v>8713</v>
      </c>
      <c r="D4128" s="125"/>
      <c r="E4128" s="126">
        <v>10.66</v>
      </c>
      <c r="F4128" s="127"/>
      <c r="G4128" s="127"/>
      <c r="H4128" s="127"/>
      <c r="I4128" s="128"/>
      <c r="K4128" s="105" t="str">
        <f>IFERROR(__xludf.DUMMYFUNCTION("if(A4128="""","""",substitute(SUBSTITUTE(index(importhtml(""http://finviz.com/quote.ashx?t=""&amp;A4128,""table"",10),7,2),""*"",""""),""-"",""0.00""))"),"Loading...")</f>
        <v>Loading...</v>
      </c>
      <c r="L4128" s="129">
        <v>2.6875E8</v>
      </c>
      <c r="M4128" s="99" t="str">
        <f>IFERROR(__xludf.DUMMYFUNCTION("GOOGLEFINANCE(A4128,""beta"")"),"#N/A")</f>
        <v>#N/A</v>
      </c>
    </row>
    <row r="4129">
      <c r="A4129" s="122" t="s">
        <v>8714</v>
      </c>
      <c r="B4129" s="123">
        <v>1859035.0</v>
      </c>
      <c r="C4129" s="124" t="s">
        <v>8715</v>
      </c>
      <c r="D4129" s="125"/>
      <c r="E4129" s="126">
        <v>10.67</v>
      </c>
      <c r="F4129" s="127"/>
      <c r="G4129" s="127"/>
      <c r="H4129" s="127"/>
      <c r="I4129" s="128"/>
      <c r="K4129" s="105" t="str">
        <f>IFERROR(__xludf.DUMMYFUNCTION("if(A4129="""","""",substitute(SUBSTITUTE(index(importhtml(""http://finviz.com/quote.ashx?t=""&amp;A4129,""table"",10),7,2),""*"",""""),""-"",""0.00""))"),"Loading...")</f>
        <v>Loading...</v>
      </c>
      <c r="L4129" s="129">
        <v>4.332029E7</v>
      </c>
      <c r="M4129" s="99">
        <f>IFERROR(__xludf.DUMMYFUNCTION("GOOGLEFINANCE(A4129,""beta"")"),-0.01)</f>
        <v>-0.01</v>
      </c>
    </row>
    <row r="4130">
      <c r="A4130" s="122" t="s">
        <v>8716</v>
      </c>
      <c r="B4130" s="123">
        <v>1922331.0</v>
      </c>
      <c r="C4130" s="124" t="s">
        <v>8717</v>
      </c>
      <c r="D4130" s="125"/>
      <c r="E4130" s="126">
        <v>10.67</v>
      </c>
      <c r="F4130" s="127"/>
      <c r="G4130" s="127"/>
      <c r="H4130" s="127"/>
      <c r="I4130" s="128"/>
      <c r="K4130" s="105" t="str">
        <f>IFERROR(__xludf.DUMMYFUNCTION("if(A4130="""","""",substitute(SUBSTITUTE(index(importhtml(""http://finviz.com/quote.ashx?t=""&amp;A4130,""table"",10),7,2),""*"",""""),""-"",""0.00""))"),"Loading...")</f>
        <v>Loading...</v>
      </c>
      <c r="L4130" s="129">
        <v>7.9432175E7</v>
      </c>
      <c r="M4130" s="99" t="str">
        <f>IFERROR(__xludf.DUMMYFUNCTION("GOOGLEFINANCE(A4130,""beta"")"),"#N/A")</f>
        <v>#N/A</v>
      </c>
    </row>
    <row r="4131">
      <c r="A4131" s="122" t="s">
        <v>8718</v>
      </c>
      <c r="B4131" s="123">
        <v>1843370.0</v>
      </c>
      <c r="C4131" s="124" t="s">
        <v>8719</v>
      </c>
      <c r="D4131" s="125"/>
      <c r="E4131" s="126">
        <v>10.67</v>
      </c>
      <c r="F4131" s="127"/>
      <c r="G4131" s="127"/>
      <c r="H4131" s="127"/>
      <c r="I4131" s="128"/>
      <c r="K4131" s="105" t="str">
        <f>IFERROR(__xludf.DUMMYFUNCTION("if(A4131="""","""",substitute(SUBSTITUTE(index(importhtml(""http://finviz.com/quote.ashx?t=""&amp;A4131,""table"",10),7,2),""*"",""""),""-"",""0.00""))"),"Loading...")</f>
        <v>Loading...</v>
      </c>
      <c r="L4131" s="129">
        <v>8.0979598E7</v>
      </c>
      <c r="M4131" s="99" t="str">
        <f>IFERROR(__xludf.DUMMYFUNCTION("GOOGLEFINANCE(A4131,""beta"")"),"#N/A")</f>
        <v>#N/A</v>
      </c>
    </row>
    <row r="4132">
      <c r="A4132" s="122" t="s">
        <v>8720</v>
      </c>
      <c r="B4132" s="123">
        <v>1823000.0</v>
      </c>
      <c r="C4132" s="124" t="s">
        <v>8721</v>
      </c>
      <c r="D4132" s="125"/>
      <c r="E4132" s="126">
        <v>10.67</v>
      </c>
      <c r="F4132" s="127"/>
      <c r="G4132" s="127"/>
      <c r="H4132" s="127"/>
      <c r="I4132" s="128"/>
      <c r="K4132" s="105" t="str">
        <f>IFERROR(__xludf.DUMMYFUNCTION("if(A4132="""","""",substitute(SUBSTITUTE(index(importhtml(""http://finviz.com/quote.ashx?t=""&amp;A4132,""table"",10),7,2),""*"",""""),""-"",""0.00""))"),"Loading...")</f>
        <v>Loading...</v>
      </c>
      <c r="L4132" s="129">
        <v>2.21464865E8</v>
      </c>
      <c r="M4132" s="99">
        <v>0.0</v>
      </c>
    </row>
    <row r="4133">
      <c r="A4133" s="122" t="s">
        <v>8722</v>
      </c>
      <c r="B4133" s="123">
        <v>1843988.0</v>
      </c>
      <c r="C4133" s="124" t="s">
        <v>8723</v>
      </c>
      <c r="D4133" s="125"/>
      <c r="E4133" s="126">
        <v>10.68</v>
      </c>
      <c r="F4133" s="127"/>
      <c r="G4133" s="127"/>
      <c r="H4133" s="127"/>
      <c r="I4133" s="128"/>
      <c r="K4133" s="105" t="str">
        <f>IFERROR(__xludf.DUMMYFUNCTION("if(A4133="""","""",substitute(SUBSTITUTE(index(importhtml(""http://finviz.com/quote.ashx?t=""&amp;A4133,""table"",10),7,2),""*"",""""),""-"",""0.00""))"),"Loading...")</f>
        <v>Loading...</v>
      </c>
      <c r="L4133" s="129">
        <v>1.10638288E8</v>
      </c>
      <c r="M4133" s="99" t="str">
        <f>IFERROR(__xludf.DUMMYFUNCTION("GOOGLEFINANCE(A4133,""beta"")"),"#N/A")</f>
        <v>#N/A</v>
      </c>
    </row>
    <row r="4134">
      <c r="A4134" s="122" t="s">
        <v>8724</v>
      </c>
      <c r="B4134" s="123">
        <v>1865200.0</v>
      </c>
      <c r="C4134" s="124" t="s">
        <v>8725</v>
      </c>
      <c r="D4134" s="125"/>
      <c r="E4134" s="126">
        <v>10.69</v>
      </c>
      <c r="F4134" s="127"/>
      <c r="G4134" s="127"/>
      <c r="H4134" s="127"/>
      <c r="I4134" s="128"/>
      <c r="K4134" s="105" t="str">
        <f>IFERROR(__xludf.DUMMYFUNCTION("if(A4134="""","""",substitute(SUBSTITUTE(index(importhtml(""http://finviz.com/quote.ashx?t=""&amp;A4134,""table"",10),7,2),""*"",""""),""-"",""0.00""))"),"Loading...")</f>
        <v>Loading...</v>
      </c>
      <c r="L4134" s="129">
        <v>1.0583169E8</v>
      </c>
      <c r="M4134" s="99" t="str">
        <f>IFERROR(__xludf.DUMMYFUNCTION("GOOGLEFINANCE(A4134,""beta"")"),"#N/A")</f>
        <v>#N/A</v>
      </c>
    </row>
    <row r="4135">
      <c r="A4135" s="122" t="s">
        <v>8726</v>
      </c>
      <c r="B4135" s="123">
        <v>1837929.0</v>
      </c>
      <c r="C4135" s="124" t="s">
        <v>8727</v>
      </c>
      <c r="D4135" s="125"/>
      <c r="E4135" s="126">
        <v>10.69</v>
      </c>
      <c r="F4135" s="127"/>
      <c r="G4135" s="127"/>
      <c r="H4135" s="127"/>
      <c r="I4135" s="128"/>
      <c r="K4135" s="105" t="str">
        <f>IFERROR(__xludf.DUMMYFUNCTION("if(A4135="""","""",substitute(SUBSTITUTE(index(importhtml(""http://finviz.com/quote.ashx?t=""&amp;A4135,""table"",10),7,2),""*"",""""),""-"",""0.00""))"),"Loading...")</f>
        <v>Loading...</v>
      </c>
      <c r="L4135" s="129">
        <v>1.231261E8</v>
      </c>
      <c r="M4135" s="99" t="str">
        <f>IFERROR(__xludf.DUMMYFUNCTION("GOOGLEFINANCE(A4135,""beta"")"),"#N/A")</f>
        <v>#N/A</v>
      </c>
    </row>
    <row r="4136">
      <c r="A4136" s="122" t="s">
        <v>8728</v>
      </c>
      <c r="B4136" s="123">
        <v>1456772.0</v>
      </c>
      <c r="C4136" s="124" t="s">
        <v>8729</v>
      </c>
      <c r="D4136" s="125"/>
      <c r="E4136" s="126">
        <v>10.69</v>
      </c>
      <c r="F4136" s="127"/>
      <c r="G4136" s="127"/>
      <c r="H4136" s="127"/>
      <c r="I4136" s="128"/>
      <c r="K4136" s="105" t="str">
        <f>IFERROR(__xludf.DUMMYFUNCTION("if(A4136="""","""",substitute(SUBSTITUTE(index(importhtml(""http://finviz.com/quote.ashx?t=""&amp;A4136,""table"",10),7,2),""*"",""""),""-"",""0.00""))"),"Loading...")</f>
        <v>Loading...</v>
      </c>
      <c r="L4136" s="129">
        <v>1.76008757E8</v>
      </c>
      <c r="M4136" s="99">
        <v>0.47</v>
      </c>
    </row>
    <row r="4137">
      <c r="A4137" s="122" t="s">
        <v>8730</v>
      </c>
      <c r="B4137" s="123">
        <v>1847112.0</v>
      </c>
      <c r="C4137" s="124" t="s">
        <v>8731</v>
      </c>
      <c r="D4137" s="125"/>
      <c r="E4137" s="126">
        <v>10.69</v>
      </c>
      <c r="F4137" s="127"/>
      <c r="G4137" s="127"/>
      <c r="H4137" s="127"/>
      <c r="I4137" s="128"/>
      <c r="K4137" s="105" t="str">
        <f>IFERROR(__xludf.DUMMYFUNCTION("if(A4137="""","""",substitute(SUBSTITUTE(index(importhtml(""http://finviz.com/quote.ashx?t=""&amp;A4137,""table"",10),7,2),""*"",""""),""-"",""0.00""))"),"Loading...")</f>
        <v>Loading...</v>
      </c>
      <c r="L4137" s="129">
        <v>4.50307244E8</v>
      </c>
      <c r="M4137" s="99" t="str">
        <f>IFERROR(__xludf.DUMMYFUNCTION("GOOGLEFINANCE(A4137,""beta"")"),"#N/A")</f>
        <v>#N/A</v>
      </c>
    </row>
    <row r="4138">
      <c r="A4138" s="122" t="s">
        <v>8732</v>
      </c>
      <c r="B4138" s="123">
        <v>1882078.0</v>
      </c>
      <c r="C4138" s="124" t="s">
        <v>8733</v>
      </c>
      <c r="D4138" s="125"/>
      <c r="E4138" s="126">
        <v>10.7</v>
      </c>
      <c r="F4138" s="127"/>
      <c r="G4138" s="127"/>
      <c r="H4138" s="127"/>
      <c r="I4138" s="128"/>
      <c r="K4138" s="105" t="str">
        <f>IFERROR(__xludf.DUMMYFUNCTION("if(A4138="""","""",substitute(SUBSTITUTE(index(importhtml(""http://finviz.com/quote.ashx?t=""&amp;A4138,""table"",10),7,2),""*"",""""),""-"",""0.00""))"),"Loading...")</f>
        <v>Loading...</v>
      </c>
      <c r="L4138" s="129">
        <v>5.712575E7</v>
      </c>
      <c r="M4138" s="99" t="str">
        <f>IFERROR(__xludf.DUMMYFUNCTION("GOOGLEFINANCE(A4138,""beta"")"),"#N/A")</f>
        <v>#N/A</v>
      </c>
    </row>
    <row r="4139">
      <c r="A4139" s="122" t="s">
        <v>8734</v>
      </c>
      <c r="B4139" s="123">
        <v>1868419.0</v>
      </c>
      <c r="C4139" s="124" t="s">
        <v>8735</v>
      </c>
      <c r="D4139" s="125"/>
      <c r="E4139" s="126">
        <v>10.71</v>
      </c>
      <c r="F4139" s="127"/>
      <c r="G4139" s="127"/>
      <c r="H4139" s="127"/>
      <c r="I4139" s="128"/>
      <c r="K4139" s="105" t="str">
        <f>IFERROR(__xludf.DUMMYFUNCTION("if(A4139="""","""",substitute(SUBSTITUTE(index(importhtml(""http://finviz.com/quote.ashx?t=""&amp;A4139,""table"",10),7,2),""*"",""""),""-"",""0.00""))"),"Loading...")</f>
        <v>Loading...</v>
      </c>
      <c r="L4139" s="129">
        <v>3.808914E7</v>
      </c>
      <c r="M4139" s="99" t="str">
        <f>IFERROR(__xludf.DUMMYFUNCTION("GOOGLEFINANCE(A4139,""beta"")"),"#N/A")</f>
        <v>#N/A</v>
      </c>
    </row>
    <row r="4140">
      <c r="A4140" s="122" t="s">
        <v>8736</v>
      </c>
      <c r="B4140" s="123">
        <v>1866547.0</v>
      </c>
      <c r="C4140" s="124" t="s">
        <v>8737</v>
      </c>
      <c r="D4140" s="125"/>
      <c r="E4140" s="126">
        <v>10.71</v>
      </c>
      <c r="F4140" s="127"/>
      <c r="G4140" s="127"/>
      <c r="H4140" s="127"/>
      <c r="I4140" s="128"/>
      <c r="K4140" s="105" t="str">
        <f>IFERROR(__xludf.DUMMYFUNCTION("if(A4140="""","""",substitute(SUBSTITUTE(index(importhtml(""http://finviz.com/quote.ashx?t=""&amp;A4140,""table"",10),7,2),""*"",""""),""-"",""0.00""))"),"Loading...")</f>
        <v>Loading...</v>
      </c>
      <c r="L4140" s="129">
        <v>6.970008E7</v>
      </c>
      <c r="M4140" s="99" t="str">
        <f>IFERROR(__xludf.DUMMYFUNCTION("GOOGLEFINANCE(A4140,""beta"")"),"#N/A")</f>
        <v>#N/A</v>
      </c>
    </row>
    <row r="4141">
      <c r="A4141" s="122" t="s">
        <v>8738</v>
      </c>
      <c r="B4141" s="123">
        <v>1874218.0</v>
      </c>
      <c r="C4141" s="124" t="s">
        <v>8739</v>
      </c>
      <c r="D4141" s="125"/>
      <c r="E4141" s="126">
        <v>10.71</v>
      </c>
      <c r="F4141" s="127"/>
      <c r="G4141" s="127"/>
      <c r="H4141" s="127"/>
      <c r="I4141" s="128"/>
      <c r="K4141" s="105" t="str">
        <f>IFERROR(__xludf.DUMMYFUNCTION("if(A4141="""","""",substitute(SUBSTITUTE(index(importhtml(""http://finviz.com/quote.ashx?t=""&amp;A4141,""table"",10),7,2),""*"",""""),""-"",""0.00""))"),"Loading...")</f>
        <v>Loading...</v>
      </c>
      <c r="L4141" s="129">
        <v>8.190124E7</v>
      </c>
      <c r="M4141" s="99" t="str">
        <f>IFERROR(__xludf.DUMMYFUNCTION("GOOGLEFINANCE(A4141,""beta"")"),"#N/A")</f>
        <v>#N/A</v>
      </c>
    </row>
    <row r="4142">
      <c r="A4142" s="122" t="s">
        <v>8740</v>
      </c>
      <c r="B4142" s="123">
        <v>1847241.0</v>
      </c>
      <c r="C4142" s="124" t="s">
        <v>8741</v>
      </c>
      <c r="D4142" s="125"/>
      <c r="E4142" s="126">
        <v>10.71</v>
      </c>
      <c r="F4142" s="127"/>
      <c r="G4142" s="127"/>
      <c r="H4142" s="127"/>
      <c r="I4142" s="128"/>
      <c r="K4142" s="105" t="str">
        <f>IFERROR(__xludf.DUMMYFUNCTION("if(A4142="""","""",substitute(SUBSTITUTE(index(importhtml(""http://finviz.com/quote.ashx?t=""&amp;A4142,""table"",10),7,2),""*"",""""),""-"",""0.00""))"),"Loading...")</f>
        <v>Loading...</v>
      </c>
      <c r="L4142" s="129">
        <v>1.86095537E8</v>
      </c>
      <c r="M4142" s="99" t="str">
        <f>IFERROR(__xludf.DUMMYFUNCTION("GOOGLEFINANCE(A4142,""beta"")"),"#N/A")</f>
        <v>#N/A</v>
      </c>
    </row>
    <row r="4143">
      <c r="A4143" s="122" t="s">
        <v>8742</v>
      </c>
      <c r="B4143" s="123">
        <v>1894630.0</v>
      </c>
      <c r="C4143" s="124" t="s">
        <v>8743</v>
      </c>
      <c r="D4143" s="125"/>
      <c r="E4143" s="126">
        <v>10.71</v>
      </c>
      <c r="F4143" s="127"/>
      <c r="G4143" s="127"/>
      <c r="H4143" s="127"/>
      <c r="I4143" s="128"/>
      <c r="K4143" s="105" t="str">
        <f>IFERROR(__xludf.DUMMYFUNCTION("if(A4143="""","""",substitute(SUBSTITUTE(index(importhtml(""http://finviz.com/quote.ashx?t=""&amp;A4143,""table"",10),7,2),""*"",""""),""-"",""0.00""))"),"Loading...")</f>
        <v>Loading...</v>
      </c>
      <c r="L4143" s="129">
        <v>2.05149836E8</v>
      </c>
      <c r="M4143" s="99" t="str">
        <f>IFERROR(__xludf.DUMMYFUNCTION("GOOGLEFINANCE(A4143,""beta"")"),"#N/A")</f>
        <v>#N/A</v>
      </c>
    </row>
    <row r="4144">
      <c r="A4144" s="122" t="s">
        <v>8744</v>
      </c>
      <c r="B4144" s="123">
        <v>1857803.0</v>
      </c>
      <c r="C4144" s="124" t="s">
        <v>8745</v>
      </c>
      <c r="D4144" s="125"/>
      <c r="E4144" s="126">
        <v>10.71</v>
      </c>
      <c r="F4144" s="127"/>
      <c r="G4144" s="127"/>
      <c r="H4144" s="127"/>
      <c r="I4144" s="128"/>
      <c r="K4144" s="105" t="str">
        <f>IFERROR(__xludf.DUMMYFUNCTION("if(A4144="""","""",substitute(SUBSTITUTE(index(importhtml(""http://finviz.com/quote.ashx?t=""&amp;A4144,""table"",10),7,2),""*"",""""),""-"",""0.00""))"),"Loading...")</f>
        <v>Loading...</v>
      </c>
      <c r="L4144" s="129">
        <v>3.02719436E8</v>
      </c>
      <c r="M4144" s="99" t="str">
        <f>IFERROR(__xludf.DUMMYFUNCTION("GOOGLEFINANCE(A4144,""beta"")"),"#N/A")</f>
        <v>#N/A</v>
      </c>
    </row>
    <row r="4145">
      <c r="A4145" s="122" t="s">
        <v>8746</v>
      </c>
      <c r="B4145" s="123">
        <v>1176194.0</v>
      </c>
      <c r="C4145" s="124" t="s">
        <v>8747</v>
      </c>
      <c r="D4145" s="125"/>
      <c r="E4145" s="126">
        <v>10.72</v>
      </c>
      <c r="F4145" s="127"/>
      <c r="G4145" s="127"/>
      <c r="H4145" s="127"/>
      <c r="I4145" s="128"/>
      <c r="K4145" s="55" t="s">
        <v>8468</v>
      </c>
      <c r="L4145" s="129">
        <v>5.20562355E8</v>
      </c>
      <c r="M4145" s="99">
        <v>0.58</v>
      </c>
    </row>
    <row r="4146">
      <c r="A4146" s="122" t="s">
        <v>8748</v>
      </c>
      <c r="B4146" s="123">
        <v>1878074.0</v>
      </c>
      <c r="C4146" s="124" t="s">
        <v>8749</v>
      </c>
      <c r="D4146" s="125"/>
      <c r="E4146" s="126">
        <v>10.72</v>
      </c>
      <c r="F4146" s="127"/>
      <c r="G4146" s="127"/>
      <c r="H4146" s="127"/>
      <c r="I4146" s="128"/>
      <c r="K4146" s="105" t="str">
        <f>IFERROR(__xludf.DUMMYFUNCTION("if(A4146="""","""",substitute(SUBSTITUTE(index(importhtml(""http://finviz.com/quote.ashx?t=""&amp;A4146,""table"",10),7,2),""*"",""""),""-"",""0.00""))"),"Loading...")</f>
        <v>Loading...</v>
      </c>
      <c r="L4146" s="129">
        <v>7.3185886E7</v>
      </c>
      <c r="M4146" s="99" t="str">
        <f>IFERROR(__xludf.DUMMYFUNCTION("GOOGLEFINANCE(A4146,""beta"")"),"#N/A")</f>
        <v>#N/A</v>
      </c>
    </row>
    <row r="4147">
      <c r="A4147" s="122" t="s">
        <v>8750</v>
      </c>
      <c r="B4147" s="123">
        <v>1836100.0</v>
      </c>
      <c r="C4147" s="124" t="s">
        <v>8751</v>
      </c>
      <c r="D4147" s="125"/>
      <c r="E4147" s="126">
        <v>10.72</v>
      </c>
      <c r="F4147" s="127"/>
      <c r="G4147" s="127"/>
      <c r="H4147" s="127"/>
      <c r="I4147" s="128"/>
      <c r="K4147" s="105" t="str">
        <f>IFERROR(__xludf.DUMMYFUNCTION("if(A4147="""","""",substitute(SUBSTITUTE(index(importhtml(""http://finviz.com/quote.ashx?t=""&amp;A4147,""table"",10),7,2),""*"",""""),""-"",""0.00""))"),"Loading...")</f>
        <v>Loading...</v>
      </c>
      <c r="L4147" s="129">
        <v>8.202124E7</v>
      </c>
      <c r="M4147" s="99" t="str">
        <f>IFERROR(__xludf.DUMMYFUNCTION("GOOGLEFINANCE(A4147,""beta"")"),"#N/A")</f>
        <v>#N/A</v>
      </c>
    </row>
    <row r="4148">
      <c r="A4148" s="122" t="s">
        <v>8752</v>
      </c>
      <c r="B4148" s="123">
        <v>1838163.0</v>
      </c>
      <c r="C4148" s="124" t="s">
        <v>8753</v>
      </c>
      <c r="D4148" s="125"/>
      <c r="E4148" s="126">
        <v>10.72</v>
      </c>
      <c r="F4148" s="127"/>
      <c r="G4148" s="127"/>
      <c r="H4148" s="127"/>
      <c r="I4148" s="128"/>
      <c r="K4148" s="105" t="str">
        <f>IFERROR(__xludf.DUMMYFUNCTION("if(A4148="""","""",substitute(SUBSTITUTE(index(importhtml(""http://finviz.com/quote.ashx?t=""&amp;A4148,""table"",10),7,2),""*"",""""),""-"",""0.00""))"),"Loading...")</f>
        <v>Loading...</v>
      </c>
      <c r="L4148" s="129">
        <v>1.04190909E8</v>
      </c>
      <c r="M4148" s="99" t="str">
        <f>IFERROR(__xludf.DUMMYFUNCTION("GOOGLEFINANCE(A4148,""beta"")"),"#N/A")</f>
        <v>#N/A</v>
      </c>
    </row>
    <row r="4149">
      <c r="A4149" s="122" t="s">
        <v>8754</v>
      </c>
      <c r="B4149" s="123">
        <v>1832950.0</v>
      </c>
      <c r="C4149" s="124" t="s">
        <v>8755</v>
      </c>
      <c r="D4149" s="125"/>
      <c r="E4149" s="126">
        <v>10.72</v>
      </c>
      <c r="F4149" s="127"/>
      <c r="G4149" s="127"/>
      <c r="H4149" s="127"/>
      <c r="I4149" s="128"/>
      <c r="K4149" s="105" t="str">
        <f>IFERROR(__xludf.DUMMYFUNCTION("if(A4149="""","""",substitute(SUBSTITUTE(index(importhtml(""http://finviz.com/quote.ashx?t=""&amp;A4149,""table"",10),7,2),""*"",""""),""-"",""0.00""))"),"Loading...")</f>
        <v>Loading...</v>
      </c>
      <c r="L4149" s="129">
        <v>1.4937988E8</v>
      </c>
      <c r="M4149" s="99" t="str">
        <f>IFERROR(__xludf.DUMMYFUNCTION("GOOGLEFINANCE(A4149,""beta"")"),"#N/A")</f>
        <v>#N/A</v>
      </c>
    </row>
    <row r="4150">
      <c r="A4150" s="122" t="s">
        <v>8756</v>
      </c>
      <c r="B4150" s="123">
        <v>1915328.0</v>
      </c>
      <c r="C4150" s="124" t="s">
        <v>8757</v>
      </c>
      <c r="D4150" s="125"/>
      <c r="E4150" s="126">
        <v>10.72</v>
      </c>
      <c r="F4150" s="127"/>
      <c r="G4150" s="127"/>
      <c r="H4150" s="127"/>
      <c r="I4150" s="128"/>
      <c r="K4150" s="105" t="str">
        <f>IFERROR(__xludf.DUMMYFUNCTION("if(A4150="""","""",substitute(SUBSTITUTE(index(importhtml(""http://finviz.com/quote.ashx?t=""&amp;A4150,""table"",10),7,2),""*"",""""),""-"",""0.00""))"),"Loading...")</f>
        <v>Loading...</v>
      </c>
      <c r="L4150" s="129">
        <v>1.88730321E8</v>
      </c>
      <c r="M4150" s="99" t="str">
        <f>IFERROR(__xludf.DUMMYFUNCTION("GOOGLEFINANCE(A4150,""beta"")"),"#N/A")</f>
        <v>#N/A</v>
      </c>
    </row>
    <row r="4151">
      <c r="A4151" s="122" t="s">
        <v>8758</v>
      </c>
      <c r="B4151" s="123">
        <v>1850502.0</v>
      </c>
      <c r="C4151" s="124" t="s">
        <v>8759</v>
      </c>
      <c r="D4151" s="125"/>
      <c r="E4151" s="126">
        <v>10.72</v>
      </c>
      <c r="F4151" s="127"/>
      <c r="G4151" s="127"/>
      <c r="H4151" s="127"/>
      <c r="I4151" s="128"/>
      <c r="K4151" s="105" t="str">
        <f>IFERROR(__xludf.DUMMYFUNCTION("if(A4151="""","""",substitute(SUBSTITUTE(index(importhtml(""http://finviz.com/quote.ashx?t=""&amp;A4151,""table"",10),7,2),""*"",""""),""-"",""0.00""))"),"Loading...")</f>
        <v>Loading...</v>
      </c>
      <c r="L4151" s="129">
        <v>2.016906E8</v>
      </c>
      <c r="M4151" s="99" t="str">
        <f>IFERROR(__xludf.DUMMYFUNCTION("GOOGLEFINANCE(A4151,""beta"")"),"#N/A")</f>
        <v>#N/A</v>
      </c>
    </row>
    <row r="4152">
      <c r="A4152" s="122" t="s">
        <v>8760</v>
      </c>
      <c r="B4152" s="123">
        <v>1845550.0</v>
      </c>
      <c r="C4152" s="124" t="s">
        <v>8761</v>
      </c>
      <c r="D4152" s="125"/>
      <c r="E4152" s="126">
        <v>10.72</v>
      </c>
      <c r="F4152" s="127"/>
      <c r="G4152" s="127"/>
      <c r="H4152" s="127"/>
      <c r="I4152" s="128"/>
      <c r="K4152" s="105" t="str">
        <f>IFERROR(__xludf.DUMMYFUNCTION("if(A4152="""","""",substitute(SUBSTITUTE(index(importhtml(""http://finviz.com/quote.ashx?t=""&amp;A4152,""table"",10),7,2),""*"",""""),""-"",""0.00""))"),"Loading...")</f>
        <v>Loading...</v>
      </c>
      <c r="L4152" s="129">
        <v>2.42755692E8</v>
      </c>
      <c r="M4152" s="99" t="str">
        <f>IFERROR(__xludf.DUMMYFUNCTION("GOOGLEFINANCE(A4152,""beta"")"),"#N/A")</f>
        <v>#N/A</v>
      </c>
    </row>
    <row r="4153">
      <c r="A4153" s="122" t="s">
        <v>8762</v>
      </c>
      <c r="B4153" s="123">
        <v>903651.0</v>
      </c>
      <c r="C4153" s="124" t="s">
        <v>8763</v>
      </c>
      <c r="D4153" s="125"/>
      <c r="E4153" s="126">
        <v>10.72</v>
      </c>
      <c r="F4153" s="127"/>
      <c r="G4153" s="127"/>
      <c r="H4153" s="127"/>
      <c r="I4153" s="128"/>
      <c r="K4153" s="105" t="str">
        <f>IFERROR(__xludf.DUMMYFUNCTION("if(A4153="""","""",substitute(SUBSTITUTE(index(importhtml(""http://finviz.com/quote.ashx?t=""&amp;A4153,""table"",10),7,2),""*"",""""),""-"",""0.00""))"),"Loading...")</f>
        <v>Loading...</v>
      </c>
      <c r="L4153" s="129">
        <v>3.07766276E8</v>
      </c>
      <c r="M4153" s="99">
        <v>2.08</v>
      </c>
    </row>
    <row r="4154">
      <c r="A4154" s="122" t="s">
        <v>8764</v>
      </c>
      <c r="B4154" s="123">
        <v>1847440.0</v>
      </c>
      <c r="C4154" s="124" t="s">
        <v>8765</v>
      </c>
      <c r="D4154" s="125"/>
      <c r="E4154" s="126">
        <v>10.73</v>
      </c>
      <c r="F4154" s="127"/>
      <c r="G4154" s="127"/>
      <c r="H4154" s="127"/>
      <c r="I4154" s="128"/>
      <c r="K4154" s="105" t="str">
        <f>IFERROR(__xludf.DUMMYFUNCTION("if(A4154="""","""",substitute(SUBSTITUTE(index(importhtml(""http://finviz.com/quote.ashx?t=""&amp;A4154,""table"",10),7,2),""*"",""""),""-"",""0.00""))"),"Loading...")</f>
        <v>Loading...</v>
      </c>
      <c r="L4154" s="129">
        <v>7.1100839E7</v>
      </c>
      <c r="M4154" s="99" t="str">
        <f>IFERROR(__xludf.DUMMYFUNCTION("GOOGLEFINANCE(A4154,""beta"")"),"#N/A")</f>
        <v>#N/A</v>
      </c>
    </row>
    <row r="4155">
      <c r="A4155" s="122" t="s">
        <v>8766</v>
      </c>
      <c r="B4155" s="123">
        <v>1852749.0</v>
      </c>
      <c r="C4155" s="124" t="s">
        <v>8767</v>
      </c>
      <c r="D4155" s="125"/>
      <c r="E4155" s="126">
        <v>10.73</v>
      </c>
      <c r="F4155" s="127"/>
      <c r="G4155" s="127"/>
      <c r="H4155" s="127"/>
      <c r="I4155" s="128"/>
      <c r="K4155" s="105" t="str">
        <f>IFERROR(__xludf.DUMMYFUNCTION("if(A4155="""","""",substitute(SUBSTITUTE(index(importhtml(""http://finviz.com/quote.ashx?t=""&amp;A4155,""table"",10),7,2),""*"",""""),""-"",""0.00""))"),"Loading...")</f>
        <v>Loading...</v>
      </c>
      <c r="L4155" s="129">
        <v>8.587656E7</v>
      </c>
      <c r="M4155" s="99" t="str">
        <f>IFERROR(__xludf.DUMMYFUNCTION("GOOGLEFINANCE(A4155,""beta"")"),"#N/A")</f>
        <v>#N/A</v>
      </c>
    </row>
    <row r="4156">
      <c r="A4156" s="122" t="s">
        <v>8768</v>
      </c>
      <c r="B4156" s="123">
        <v>1865248.0</v>
      </c>
      <c r="C4156" s="124" t="s">
        <v>8769</v>
      </c>
      <c r="D4156" s="125"/>
      <c r="E4156" s="126">
        <v>10.73</v>
      </c>
      <c r="F4156" s="127"/>
      <c r="G4156" s="127"/>
      <c r="H4156" s="127"/>
      <c r="I4156" s="128"/>
      <c r="K4156" s="105" t="str">
        <f>IFERROR(__xludf.DUMMYFUNCTION("if(A4156="""","""",substitute(SUBSTITUTE(index(importhtml(""http://finviz.com/quote.ashx?t=""&amp;A4156,""table"",10),7,2),""*"",""""),""-"",""0.00""))"),"Loading...")</f>
        <v>Loading...</v>
      </c>
      <c r="L4156" s="129">
        <v>1.09982312E8</v>
      </c>
      <c r="M4156" s="99" t="str">
        <f>IFERROR(__xludf.DUMMYFUNCTION("GOOGLEFINANCE(A4156,""beta"")"),"#N/A")</f>
        <v>#N/A</v>
      </c>
    </row>
    <row r="4157">
      <c r="A4157" s="122" t="s">
        <v>8770</v>
      </c>
      <c r="B4157" s="123">
        <v>1074692.0</v>
      </c>
      <c r="C4157" s="124" t="s">
        <v>8771</v>
      </c>
      <c r="D4157" s="125"/>
      <c r="E4157" s="126">
        <v>10.74</v>
      </c>
      <c r="F4157" s="127"/>
      <c r="G4157" s="127"/>
      <c r="H4157" s="127"/>
      <c r="I4157" s="128"/>
      <c r="K4157" s="55" t="s">
        <v>6260</v>
      </c>
      <c r="L4157" s="129">
        <v>7.5540583E7</v>
      </c>
      <c r="M4157" s="99">
        <v>0.35</v>
      </c>
    </row>
    <row r="4158">
      <c r="A4158" s="122" t="s">
        <v>8772</v>
      </c>
      <c r="B4158" s="123">
        <v>1843370.0</v>
      </c>
      <c r="C4158" s="124" t="s">
        <v>995</v>
      </c>
      <c r="D4158" s="125"/>
      <c r="E4158" s="126">
        <v>10.74</v>
      </c>
      <c r="F4158" s="127"/>
      <c r="G4158" s="127"/>
      <c r="H4158" s="127"/>
      <c r="I4158" s="128"/>
      <c r="K4158" s="105" t="str">
        <f>IFERROR(__xludf.DUMMYFUNCTION("if(A4158="""","""",substitute(SUBSTITUTE(index(importhtml(""http://finviz.com/quote.ashx?t=""&amp;A4158,""table"",10),7,2),""*"",""""),""-"",""0.00""))"),"Loading...")</f>
        <v>Loading...</v>
      </c>
      <c r="L4158" s="129">
        <v>8.0979598E7</v>
      </c>
      <c r="M4158" s="99" t="str">
        <f>IFERROR(__xludf.DUMMYFUNCTION("GOOGLEFINANCE(A4158,""beta"")"),"#N/A")</f>
        <v>#N/A</v>
      </c>
    </row>
    <row r="4159">
      <c r="A4159" s="122" t="s">
        <v>8773</v>
      </c>
      <c r="B4159" s="123">
        <v>1858007.0</v>
      </c>
      <c r="C4159" s="124" t="s">
        <v>8774</v>
      </c>
      <c r="D4159" s="125"/>
      <c r="E4159" s="126">
        <v>10.74</v>
      </c>
      <c r="F4159" s="127"/>
      <c r="G4159" s="127"/>
      <c r="H4159" s="127"/>
      <c r="I4159" s="128"/>
      <c r="K4159" s="105" t="str">
        <f>IFERROR(__xludf.DUMMYFUNCTION("if(A4159="""","""",substitute(SUBSTITUTE(index(importhtml(""http://finviz.com/quote.ashx?t=""&amp;A4159,""table"",10),7,2),""*"",""""),""-"",""0.00""))"),"Loading...")</f>
        <v>Loading...</v>
      </c>
      <c r="L4159" s="129">
        <v>8.241931E7</v>
      </c>
      <c r="M4159" s="99">
        <f>IFERROR(__xludf.DUMMYFUNCTION("GOOGLEFINANCE(A4159,""beta"")"),-0.08)</f>
        <v>-0.08</v>
      </c>
    </row>
    <row r="4160">
      <c r="A4160" s="122" t="s">
        <v>8775</v>
      </c>
      <c r="B4160" s="123">
        <v>1848948.0</v>
      </c>
      <c r="C4160" s="124" t="s">
        <v>8776</v>
      </c>
      <c r="D4160" s="125"/>
      <c r="E4160" s="126">
        <v>10.74</v>
      </c>
      <c r="F4160" s="127"/>
      <c r="G4160" s="127"/>
      <c r="H4160" s="127"/>
      <c r="I4160" s="128"/>
      <c r="K4160" s="105" t="str">
        <f>IFERROR(__xludf.DUMMYFUNCTION("if(A4160="""","""",substitute(SUBSTITUTE(index(importhtml(""http://finviz.com/quote.ashx?t=""&amp;A4160,""table"",10),7,2),""*"",""""),""-"",""0.00""))"),"Loading...")</f>
        <v>Loading...</v>
      </c>
      <c r="L4160" s="129">
        <v>1.41706564E8</v>
      </c>
      <c r="M4160" s="99" t="str">
        <f>IFERROR(__xludf.DUMMYFUNCTION("GOOGLEFINANCE(A4160,""beta"")"),"#N/A")</f>
        <v>#N/A</v>
      </c>
    </row>
    <row r="4161">
      <c r="A4161" s="122" t="s">
        <v>8777</v>
      </c>
      <c r="B4161" s="123">
        <v>1893325.0</v>
      </c>
      <c r="C4161" s="124" t="s">
        <v>8778</v>
      </c>
      <c r="D4161" s="125"/>
      <c r="E4161" s="126">
        <v>10.74</v>
      </c>
      <c r="F4161" s="127"/>
      <c r="G4161" s="127"/>
      <c r="H4161" s="127"/>
      <c r="I4161" s="128"/>
      <c r="K4161" s="105" t="str">
        <f>IFERROR(__xludf.DUMMYFUNCTION("if(A4161="""","""",substitute(SUBSTITUTE(index(importhtml(""http://finviz.com/quote.ashx?t=""&amp;A4161,""table"",10),7,2),""*"",""""),""-"",""0.00""))"),"Loading...")</f>
        <v>Loading...</v>
      </c>
      <c r="L4161" s="129">
        <v>9.95624989E8</v>
      </c>
      <c r="M4161" s="99" t="str">
        <f>IFERROR(__xludf.DUMMYFUNCTION("GOOGLEFINANCE(A4161,""beta"")"),"#N/A")</f>
        <v>#N/A</v>
      </c>
    </row>
    <row r="4162">
      <c r="A4162" s="122" t="s">
        <v>8779</v>
      </c>
      <c r="B4162" s="123">
        <v>1915380.0</v>
      </c>
      <c r="C4162" s="124" t="s">
        <v>8780</v>
      </c>
      <c r="D4162" s="125"/>
      <c r="E4162" s="126">
        <v>10.75</v>
      </c>
      <c r="F4162" s="127"/>
      <c r="G4162" s="127"/>
      <c r="H4162" s="127"/>
      <c r="I4162" s="128"/>
      <c r="K4162" s="105" t="str">
        <f>IFERROR(__xludf.DUMMYFUNCTION("if(A4162="""","""",substitute(SUBSTITUTE(index(importhtml(""http://finviz.com/quote.ashx?t=""&amp;A4162,""table"",10),7,2),""*"",""""),""-"",""0.00""))"),"Loading...")</f>
        <v>Loading...</v>
      </c>
      <c r="L4162" s="129">
        <v>4.2122101E7</v>
      </c>
      <c r="M4162" s="99" t="str">
        <f>IFERROR(__xludf.DUMMYFUNCTION("GOOGLEFINANCE(A4162,""beta"")"),"#N/A")</f>
        <v>#N/A</v>
      </c>
    </row>
    <row r="4163">
      <c r="A4163" s="122" t="s">
        <v>8781</v>
      </c>
      <c r="B4163" s="123">
        <v>1831978.0</v>
      </c>
      <c r="C4163" s="124" t="s">
        <v>8782</v>
      </c>
      <c r="D4163" s="125"/>
      <c r="E4163" s="126">
        <v>10.75</v>
      </c>
      <c r="F4163" s="127"/>
      <c r="G4163" s="127"/>
      <c r="H4163" s="127"/>
      <c r="I4163" s="128"/>
      <c r="K4163" s="105" t="str">
        <f>IFERROR(__xludf.DUMMYFUNCTION("if(A4163="""","""",substitute(SUBSTITUTE(index(importhtml(""http://finviz.com/quote.ashx?t=""&amp;A4163,""table"",10),7,2),""*"",""""),""-"",""0.00""))"),"Loading...")</f>
        <v>Loading...</v>
      </c>
      <c r="L4163" s="129">
        <v>6.3201691E7</v>
      </c>
      <c r="M4163" s="99" t="str">
        <f>IFERROR(__xludf.DUMMYFUNCTION("GOOGLEFINANCE(A4163,""beta"")"),"#N/A")</f>
        <v>#N/A</v>
      </c>
    </row>
    <row r="4164">
      <c r="A4164" s="122" t="s">
        <v>8783</v>
      </c>
      <c r="B4164" s="123">
        <v>1894951.0</v>
      </c>
      <c r="C4164" s="124" t="s">
        <v>8784</v>
      </c>
      <c r="D4164" s="125"/>
      <c r="E4164" s="126">
        <v>10.75</v>
      </c>
      <c r="F4164" s="127"/>
      <c r="G4164" s="127"/>
      <c r="H4164" s="127"/>
      <c r="I4164" s="128"/>
      <c r="K4164" s="105" t="str">
        <f>IFERROR(__xludf.DUMMYFUNCTION("if(A4164="""","""",substitute(SUBSTITUTE(index(importhtml(""http://finviz.com/quote.ashx?t=""&amp;A4164,""table"",10),7,2),""*"",""""),""-"",""0.00""))"),"Loading...")</f>
        <v>Loading...</v>
      </c>
      <c r="L4164" s="129">
        <v>7.731271E7</v>
      </c>
      <c r="M4164" s="99" t="str">
        <f>IFERROR(__xludf.DUMMYFUNCTION("GOOGLEFINANCE(A4164,""beta"")"),"#N/A")</f>
        <v>#N/A</v>
      </c>
    </row>
    <row r="4165">
      <c r="A4165" s="122" t="s">
        <v>8785</v>
      </c>
      <c r="B4165" s="123">
        <v>1848437.0</v>
      </c>
      <c r="C4165" s="124" t="s">
        <v>8786</v>
      </c>
      <c r="D4165" s="125"/>
      <c r="E4165" s="126">
        <v>10.75</v>
      </c>
      <c r="F4165" s="127"/>
      <c r="G4165" s="127"/>
      <c r="H4165" s="127"/>
      <c r="I4165" s="128"/>
      <c r="K4165" s="105" t="str">
        <f>IFERROR(__xludf.DUMMYFUNCTION("if(A4165="""","""",substitute(SUBSTITUTE(index(importhtml(""http://finviz.com/quote.ashx?t=""&amp;A4165,""table"",10),7,2),""*"",""""),""-"",""0.00""))"),"Loading...")</f>
        <v>Loading...</v>
      </c>
      <c r="L4165" s="129">
        <v>1.09708189E8</v>
      </c>
      <c r="M4165" s="99" t="str">
        <f>IFERROR(__xludf.DUMMYFUNCTION("GOOGLEFINANCE(A4165,""beta"")"),"#N/A")</f>
        <v>#N/A</v>
      </c>
    </row>
    <row r="4166">
      <c r="A4166" s="122" t="s">
        <v>8787</v>
      </c>
      <c r="B4166" s="123">
        <v>1093728.0</v>
      </c>
      <c r="C4166" s="124" t="s">
        <v>8788</v>
      </c>
      <c r="D4166" s="125"/>
      <c r="E4166" s="126">
        <v>10.75</v>
      </c>
      <c r="F4166" s="127"/>
      <c r="G4166" s="127"/>
      <c r="H4166" s="127"/>
      <c r="I4166" s="128"/>
      <c r="K4166" s="105" t="str">
        <f>IFERROR(__xludf.DUMMYFUNCTION("if(A4166="""","""",substitute(SUBSTITUTE(index(importhtml(""http://finviz.com/quote.ashx?t=""&amp;A4166,""table"",10),7,2),""*"",""""),""-"",""0.00""))"),"Loading...")</f>
        <v>Loading...</v>
      </c>
      <c r="L4166" s="129">
        <v>1.1167874E8</v>
      </c>
      <c r="M4166" s="99">
        <v>0.77</v>
      </c>
    </row>
    <row r="4167">
      <c r="A4167" s="122" t="s">
        <v>8789</v>
      </c>
      <c r="B4167" s="123">
        <v>1827899.0</v>
      </c>
      <c r="C4167" s="124" t="s">
        <v>8790</v>
      </c>
      <c r="D4167" s="125"/>
      <c r="E4167" s="126">
        <v>10.75</v>
      </c>
      <c r="F4167" s="127"/>
      <c r="G4167" s="127"/>
      <c r="H4167" s="127"/>
      <c r="I4167" s="128"/>
      <c r="K4167" s="105" t="str">
        <f>IFERROR(__xludf.DUMMYFUNCTION("if(A4167="""","""",substitute(SUBSTITUTE(index(importhtml(""http://finviz.com/quote.ashx?t=""&amp;A4167,""table"",10),7,2),""*"",""""),""-"",""0.00""))"),"#N/A")</f>
        <v>#N/A</v>
      </c>
      <c r="L4167" s="129">
        <v>1.1928716E8</v>
      </c>
      <c r="M4167" s="99" t="str">
        <f>IFERROR(__xludf.DUMMYFUNCTION("GOOGLEFINANCE(A4167,""beta"")"),"#N/A")</f>
        <v>#N/A</v>
      </c>
    </row>
    <row r="4168">
      <c r="A4168" s="122" t="s">
        <v>8791</v>
      </c>
      <c r="B4168" s="123">
        <v>1856161.0</v>
      </c>
      <c r="C4168" s="124" t="s">
        <v>8792</v>
      </c>
      <c r="D4168" s="125"/>
      <c r="E4168" s="126">
        <v>10.75</v>
      </c>
      <c r="F4168" s="127"/>
      <c r="G4168" s="127"/>
      <c r="H4168" s="127"/>
      <c r="I4168" s="128"/>
      <c r="K4168" s="105" t="str">
        <f>IFERROR(__xludf.DUMMYFUNCTION("if(A4168="""","""",substitute(SUBSTITUTE(index(importhtml(""http://finviz.com/quote.ashx?t=""&amp;A4168,""table"",10),7,2),""*"",""""),""-"",""0.00""))"),"Loading...")</f>
        <v>Loading...</v>
      </c>
      <c r="L4168" s="129">
        <v>2.6875E8</v>
      </c>
      <c r="M4168" s="99" t="str">
        <f>IFERROR(__xludf.DUMMYFUNCTION("GOOGLEFINANCE(A4168,""beta"")"),"#N/A")</f>
        <v>#N/A</v>
      </c>
    </row>
    <row r="4169">
      <c r="A4169" s="122" t="s">
        <v>8793</v>
      </c>
      <c r="B4169" s="123">
        <v>879361.0</v>
      </c>
      <c r="C4169" s="124" t="s">
        <v>8794</v>
      </c>
      <c r="D4169" s="125"/>
      <c r="E4169" s="126">
        <v>10.75</v>
      </c>
      <c r="F4169" s="127"/>
      <c r="G4169" s="127"/>
      <c r="H4169" s="127"/>
      <c r="I4169" s="128"/>
      <c r="K4169" s="105" t="str">
        <f>IFERROR(__xludf.DUMMYFUNCTION("if(A4169="""","""",substitute(SUBSTITUTE(index(importhtml(""http://finviz.com/quote.ashx?t=""&amp;A4169,""table"",10),7,2),""*"",""""),""-"",""0.00""))"),"Loading...")</f>
        <v>Loading...</v>
      </c>
      <c r="L4169" s="129">
        <v>5.01569092E8</v>
      </c>
      <c r="M4169" s="99">
        <v>0.61</v>
      </c>
    </row>
    <row r="4170">
      <c r="A4170" s="122" t="s">
        <v>8795</v>
      </c>
      <c r="B4170" s="123">
        <v>1862463.0</v>
      </c>
      <c r="C4170" s="124" t="s">
        <v>8796</v>
      </c>
      <c r="D4170" s="125"/>
      <c r="E4170" s="126">
        <v>10.76</v>
      </c>
      <c r="F4170" s="127"/>
      <c r="G4170" s="127"/>
      <c r="H4170" s="127"/>
      <c r="I4170" s="128"/>
      <c r="K4170" s="105" t="str">
        <f>IFERROR(__xludf.DUMMYFUNCTION("if(A4170="""","""",substitute(SUBSTITUTE(index(importhtml(""http://finviz.com/quote.ashx?t=""&amp;A4170,""table"",10),7,2),""*"",""""),""-"",""0.00""))"),"Loading...")</f>
        <v>Loading...</v>
      </c>
      <c r="L4170" s="129">
        <v>7.533017E7</v>
      </c>
      <c r="M4170" s="99" t="str">
        <f>IFERROR(__xludf.DUMMYFUNCTION("GOOGLEFINANCE(A4170,""beta"")"),"#N/A")</f>
        <v>#N/A</v>
      </c>
    </row>
    <row r="4171">
      <c r="A4171" s="122" t="s">
        <v>8797</v>
      </c>
      <c r="B4171" s="123">
        <v>1847607.0</v>
      </c>
      <c r="C4171" s="124" t="s">
        <v>8798</v>
      </c>
      <c r="D4171" s="125"/>
      <c r="E4171" s="126">
        <v>10.76</v>
      </c>
      <c r="F4171" s="127"/>
      <c r="G4171" s="127"/>
      <c r="H4171" s="127"/>
      <c r="I4171" s="128"/>
      <c r="K4171" s="105" t="str">
        <f>IFERROR(__xludf.DUMMYFUNCTION("if(A4171="""","""",substitute(SUBSTITUTE(index(importhtml(""http://finviz.com/quote.ashx?t=""&amp;A4171,""table"",10),7,2),""*"",""""),""-"",""0.00""))"),"Loading...")</f>
        <v>Loading...</v>
      </c>
      <c r="L4171" s="129">
        <v>7.728937E7</v>
      </c>
      <c r="M4171" s="99" t="str">
        <f>IFERROR(__xludf.DUMMYFUNCTION("GOOGLEFINANCE(A4171,""beta"")"),"#N/A")</f>
        <v>#N/A</v>
      </c>
    </row>
    <row r="4172">
      <c r="A4172" s="122" t="s">
        <v>8799</v>
      </c>
      <c r="B4172" s="123">
        <v>1846750.0</v>
      </c>
      <c r="C4172" s="124" t="s">
        <v>8800</v>
      </c>
      <c r="D4172" s="125"/>
      <c r="E4172" s="126">
        <v>10.76</v>
      </c>
      <c r="F4172" s="127"/>
      <c r="G4172" s="127"/>
      <c r="H4172" s="127"/>
      <c r="I4172" s="128"/>
      <c r="K4172" s="105" t="str">
        <f>IFERROR(__xludf.DUMMYFUNCTION("if(A4172="""","""",substitute(SUBSTITUTE(index(importhtml(""http://finviz.com/quote.ashx?t=""&amp;A4172,""table"",10),7,2),""*"",""""),""-"",""0.00""))"),"Loading...")</f>
        <v>Loading...</v>
      </c>
      <c r="L4172" s="129">
        <v>7.7521712E7</v>
      </c>
      <c r="M4172" s="99" t="str">
        <f>IFERROR(__xludf.DUMMYFUNCTION("GOOGLEFINANCE(A4172,""beta"")"),"#N/A")</f>
        <v>#N/A</v>
      </c>
    </row>
    <row r="4173">
      <c r="A4173" s="122" t="s">
        <v>8801</v>
      </c>
      <c r="B4173" s="123">
        <v>1831270.0</v>
      </c>
      <c r="C4173" s="124" t="s">
        <v>8802</v>
      </c>
      <c r="D4173" s="125"/>
      <c r="E4173" s="126">
        <v>10.76</v>
      </c>
      <c r="F4173" s="127"/>
      <c r="G4173" s="127"/>
      <c r="H4173" s="127"/>
      <c r="I4173" s="128"/>
      <c r="K4173" s="105" t="str">
        <f>IFERROR(__xludf.DUMMYFUNCTION("if(A4173="""","""",substitute(SUBSTITUTE(index(importhtml(""http://finviz.com/quote.ashx?t=""&amp;A4173,""table"",10),7,2),""*"",""""),""-"",""0.00""))"),"Loading...")</f>
        <v>Loading...</v>
      </c>
      <c r="L4173" s="129">
        <v>9.1655586E7</v>
      </c>
      <c r="M4173" s="99" t="str">
        <f>IFERROR(__xludf.DUMMYFUNCTION("GOOGLEFINANCE(A4173,""beta"")"),"#N/A")</f>
        <v>#N/A</v>
      </c>
    </row>
    <row r="4174">
      <c r="A4174" s="122" t="s">
        <v>8803</v>
      </c>
      <c r="B4174" s="123">
        <v>897269.0</v>
      </c>
      <c r="C4174" s="124" t="s">
        <v>8804</v>
      </c>
      <c r="D4174" s="125"/>
      <c r="E4174" s="126">
        <v>10.76</v>
      </c>
      <c r="F4174" s="127"/>
      <c r="G4174" s="127"/>
      <c r="H4174" s="127"/>
      <c r="I4174" s="128"/>
      <c r="K4174" s="105" t="str">
        <f>IFERROR(__xludf.DUMMYFUNCTION("if(A4174="""","""",substitute(SUBSTITUTE(index(importhtml(""http://finviz.com/quote.ashx?t=""&amp;A4174,""table"",10),7,2),""*"",""""),""-"",""0.00""))"),"Loading...")</f>
        <v>Loading...</v>
      </c>
      <c r="L4174" s="129">
        <v>2.27100026E8</v>
      </c>
      <c r="M4174" s="99">
        <v>0.6</v>
      </c>
    </row>
    <row r="4175">
      <c r="A4175" s="122" t="s">
        <v>8805</v>
      </c>
      <c r="B4175" s="123">
        <v>1854480.0</v>
      </c>
      <c r="C4175" s="124" t="s">
        <v>8806</v>
      </c>
      <c r="D4175" s="125"/>
      <c r="E4175" s="126">
        <v>10.76</v>
      </c>
      <c r="F4175" s="127"/>
      <c r="G4175" s="127"/>
      <c r="H4175" s="127"/>
      <c r="I4175" s="128"/>
      <c r="K4175" s="105" t="str">
        <f>IFERROR(__xludf.DUMMYFUNCTION("if(A4175="""","""",substitute(SUBSTITUTE(index(importhtml(""http://finviz.com/quote.ashx?t=""&amp;A4175,""table"",10),7,2),""*"",""""),""-"",""0.00""))"),"Loading...")</f>
        <v>Loading...</v>
      </c>
      <c r="L4175" s="129">
        <v>3.11603674E8</v>
      </c>
      <c r="M4175" s="99" t="str">
        <f>IFERROR(__xludf.DUMMYFUNCTION("GOOGLEFINANCE(A4175,""beta"")"),"#N/A")</f>
        <v>#N/A</v>
      </c>
    </row>
    <row r="4176">
      <c r="A4176" s="122" t="s">
        <v>8807</v>
      </c>
      <c r="B4176" s="123">
        <v>1195739.0</v>
      </c>
      <c r="C4176" s="124" t="s">
        <v>8808</v>
      </c>
      <c r="D4176" s="125"/>
      <c r="E4176" s="126">
        <v>10.76</v>
      </c>
      <c r="F4176" s="127"/>
      <c r="G4176" s="127"/>
      <c r="H4176" s="127"/>
      <c r="I4176" s="128"/>
      <c r="K4176" s="105" t="str">
        <f>IFERROR(__xludf.DUMMYFUNCTION("if(A4176="""","""",substitute(SUBSTITUTE(index(importhtml(""http://finviz.com/quote.ashx?t=""&amp;A4176,""table"",10),7,2),""*"",""""),""-"",""0.00""))"),"Loading...")</f>
        <v>Loading...</v>
      </c>
      <c r="L4176" s="129">
        <v>9.38651847E8</v>
      </c>
      <c r="M4176" s="99">
        <v>0.48</v>
      </c>
    </row>
    <row r="4177">
      <c r="A4177" s="122" t="s">
        <v>8809</v>
      </c>
      <c r="B4177" s="123">
        <v>1865407.0</v>
      </c>
      <c r="C4177" s="124" t="s">
        <v>8810</v>
      </c>
      <c r="D4177" s="125"/>
      <c r="E4177" s="126">
        <v>10.77</v>
      </c>
      <c r="F4177" s="127"/>
      <c r="G4177" s="127"/>
      <c r="H4177" s="127"/>
      <c r="I4177" s="128"/>
      <c r="K4177" s="105" t="str">
        <f>IFERROR(__xludf.DUMMYFUNCTION("if(A4177="""","""",substitute(SUBSTITUTE(index(importhtml(""http://finviz.com/quote.ashx?t=""&amp;A4177,""table"",10),7,2),""*"",""""),""-"",""0.00""))"),"Loading...")</f>
        <v>Loading...</v>
      </c>
      <c r="L4177" s="129">
        <v>1.23238207E8</v>
      </c>
      <c r="M4177" s="99" t="str">
        <f>IFERROR(__xludf.DUMMYFUNCTION("GOOGLEFINANCE(A4177,""beta"")"),"#N/A")</f>
        <v>#N/A</v>
      </c>
    </row>
    <row r="4178">
      <c r="A4178" s="122" t="s">
        <v>8811</v>
      </c>
      <c r="B4178" s="123">
        <v>1769617.0</v>
      </c>
      <c r="C4178" s="124" t="s">
        <v>8812</v>
      </c>
      <c r="D4178" s="125"/>
      <c r="E4178" s="126">
        <v>10.77</v>
      </c>
      <c r="F4178" s="127"/>
      <c r="G4178" s="127"/>
      <c r="H4178" s="127"/>
      <c r="I4178" s="128"/>
      <c r="K4178" s="105" t="str">
        <f>IFERROR(__xludf.DUMMYFUNCTION("if(A4178="""","""",substitute(SUBSTITUTE(index(importhtml(""http://finviz.com/quote.ashx?t=""&amp;A4178,""table"",10),7,2),""*"",""""),""-"",""0.00""))"),"Loading...")</f>
        <v>Loading...</v>
      </c>
      <c r="L4178" s="129">
        <v>4.8897116E8</v>
      </c>
      <c r="M4178" s="99">
        <v>0.84</v>
      </c>
    </row>
    <row r="4179">
      <c r="A4179" s="122" t="s">
        <v>8813</v>
      </c>
      <c r="B4179" s="123">
        <v>1861063.0</v>
      </c>
      <c r="C4179" s="124" t="s">
        <v>8814</v>
      </c>
      <c r="D4179" s="125"/>
      <c r="E4179" s="126">
        <v>10.78</v>
      </c>
      <c r="F4179" s="127"/>
      <c r="G4179" s="127"/>
      <c r="H4179" s="127"/>
      <c r="I4179" s="128"/>
      <c r="K4179" s="55" t="s">
        <v>1034</v>
      </c>
      <c r="L4179" s="129">
        <v>4.908296E7</v>
      </c>
      <c r="M4179" s="99" t="str">
        <f>IFERROR(__xludf.DUMMYFUNCTION("GOOGLEFINANCE(A4179,""beta"")"),"#N/A")</f>
        <v>#N/A</v>
      </c>
    </row>
    <row r="4180">
      <c r="A4180" s="122" t="s">
        <v>8815</v>
      </c>
      <c r="B4180" s="123">
        <v>1865701.0</v>
      </c>
      <c r="C4180" s="124" t="s">
        <v>8816</v>
      </c>
      <c r="D4180" s="125"/>
      <c r="E4180" s="126">
        <v>10.78</v>
      </c>
      <c r="F4180" s="127"/>
      <c r="G4180" s="127"/>
      <c r="H4180" s="127"/>
      <c r="I4180" s="128"/>
      <c r="K4180" s="105" t="str">
        <f>IFERROR(__xludf.DUMMYFUNCTION("if(A4180="""","""",substitute(SUBSTITUTE(index(importhtml(""http://finviz.com/quote.ashx?t=""&amp;A4180,""table"",10),7,2),""*"",""""),""-"",""0.00""))"),"Loading...")</f>
        <v>Loading...</v>
      </c>
      <c r="L4180" s="129">
        <v>2.2295597E7</v>
      </c>
      <c r="M4180" s="99" t="str">
        <f>IFERROR(__xludf.DUMMYFUNCTION("GOOGLEFINANCE(A4180,""beta"")"),"#N/A")</f>
        <v>#N/A</v>
      </c>
    </row>
    <row r="4181">
      <c r="A4181" s="122" t="s">
        <v>8817</v>
      </c>
      <c r="B4181" s="123">
        <v>1866226.0</v>
      </c>
      <c r="C4181" s="124" t="s">
        <v>8818</v>
      </c>
      <c r="D4181" s="125"/>
      <c r="E4181" s="126">
        <v>10.78</v>
      </c>
      <c r="F4181" s="127"/>
      <c r="G4181" s="127"/>
      <c r="H4181" s="127"/>
      <c r="I4181" s="128"/>
      <c r="K4181" s="105" t="str">
        <f>IFERROR(__xludf.DUMMYFUNCTION("if(A4181="""","""",substitute(SUBSTITUTE(index(importhtml(""http://finviz.com/quote.ashx?t=""&amp;A4181,""table"",10),7,2),""*"",""""),""-"",""0.00""))"),"Loading...")</f>
        <v>Loading...</v>
      </c>
      <c r="L4181" s="129">
        <v>4.8044593E7</v>
      </c>
      <c r="M4181" s="99">
        <f>IFERROR(__xludf.DUMMYFUNCTION("GOOGLEFINANCE(A4181,""beta"")"),-0.01)</f>
        <v>-0.01</v>
      </c>
    </row>
    <row r="4182">
      <c r="A4182" s="122" t="s">
        <v>8819</v>
      </c>
      <c r="B4182" s="123">
        <v>1907223.0</v>
      </c>
      <c r="C4182" s="124" t="s">
        <v>8820</v>
      </c>
      <c r="D4182" s="125"/>
      <c r="E4182" s="126">
        <v>10.78</v>
      </c>
      <c r="F4182" s="127"/>
      <c r="G4182" s="127"/>
      <c r="H4182" s="127"/>
      <c r="I4182" s="128"/>
      <c r="K4182" s="105" t="str">
        <f>IFERROR(__xludf.DUMMYFUNCTION("if(A4182="""","""",substitute(SUBSTITUTE(index(importhtml(""http://finviz.com/quote.ashx?t=""&amp;A4182,""table"",10),7,2),""*"",""""),""-"",""0.00""))"),"Loading...")</f>
        <v>Loading...</v>
      </c>
      <c r="L4182" s="129">
        <v>5.568079E7</v>
      </c>
      <c r="M4182" s="99" t="str">
        <f>IFERROR(__xludf.DUMMYFUNCTION("GOOGLEFINANCE(A4182,""beta"")"),"#N/A")</f>
        <v>#N/A</v>
      </c>
    </row>
    <row r="4183">
      <c r="A4183" s="122" t="s">
        <v>8821</v>
      </c>
      <c r="B4183" s="123">
        <v>1845799.0</v>
      </c>
      <c r="C4183" s="124" t="s">
        <v>8822</v>
      </c>
      <c r="D4183" s="125"/>
      <c r="E4183" s="126">
        <v>10.78</v>
      </c>
      <c r="F4183" s="127"/>
      <c r="G4183" s="127"/>
      <c r="H4183" s="127"/>
      <c r="I4183" s="128"/>
      <c r="K4183" s="105" t="str">
        <f>IFERROR(__xludf.DUMMYFUNCTION("if(A4183="""","""",substitute(SUBSTITUTE(index(importhtml(""http://finviz.com/quote.ashx?t=""&amp;A4183,""table"",10),7,2),""*"",""""),""-"",""0.00""))"),"Loading...")</f>
        <v>Loading...</v>
      </c>
      <c r="L4183" s="129">
        <v>7.837194E7</v>
      </c>
      <c r="M4183" s="99">
        <v>0.05</v>
      </c>
    </row>
    <row r="4184">
      <c r="A4184" s="122" t="s">
        <v>8823</v>
      </c>
      <c r="B4184" s="123">
        <v>1853580.0</v>
      </c>
      <c r="C4184" s="124" t="s">
        <v>8824</v>
      </c>
      <c r="D4184" s="125"/>
      <c r="E4184" s="126">
        <v>10.78</v>
      </c>
      <c r="F4184" s="127"/>
      <c r="G4184" s="127"/>
      <c r="H4184" s="127"/>
      <c r="I4184" s="128"/>
      <c r="K4184" s="105" t="str">
        <f>IFERROR(__xludf.DUMMYFUNCTION("if(A4184="""","""",substitute(SUBSTITUTE(index(importhtml(""http://finviz.com/quote.ashx?t=""&amp;A4184,""table"",10),7,2),""*"",""""),""-"",""0.00""))"),"Loading...")</f>
        <v>Loading...</v>
      </c>
      <c r="L4184" s="129">
        <v>1.105306E8</v>
      </c>
      <c r="M4184" s="99" t="str">
        <f>IFERROR(__xludf.DUMMYFUNCTION("GOOGLEFINANCE(A4184,""beta"")"),"#N/A")</f>
        <v>#N/A</v>
      </c>
    </row>
    <row r="4185">
      <c r="A4185" s="122" t="s">
        <v>8825</v>
      </c>
      <c r="B4185" s="123">
        <v>1824185.0</v>
      </c>
      <c r="C4185" s="124" t="s">
        <v>8826</v>
      </c>
      <c r="D4185" s="125"/>
      <c r="E4185" s="126">
        <v>10.78</v>
      </c>
      <c r="F4185" s="127"/>
      <c r="G4185" s="127"/>
      <c r="H4185" s="127"/>
      <c r="I4185" s="128"/>
      <c r="K4185" s="105" t="str">
        <f>IFERROR(__xludf.DUMMYFUNCTION("if(A4185="""","""",substitute(SUBSTITUTE(index(importhtml(""http://finviz.com/quote.ashx?t=""&amp;A4185,""table"",10),7,2),""*"",""""),""-"",""0.00""))"),"Loading...")</f>
        <v>Loading...</v>
      </c>
      <c r="L4185" s="129">
        <v>1.56832058E8</v>
      </c>
      <c r="M4185" s="99" t="str">
        <f>IFERROR(__xludf.DUMMYFUNCTION("GOOGLEFINANCE(A4185,""beta"")"),"#N/A")</f>
        <v>#N/A</v>
      </c>
    </row>
    <row r="4186">
      <c r="A4186" s="122" t="s">
        <v>8827</v>
      </c>
      <c r="B4186" s="123">
        <v>1839519.0</v>
      </c>
      <c r="C4186" s="124" t="s">
        <v>8828</v>
      </c>
      <c r="D4186" s="125"/>
      <c r="E4186" s="126">
        <v>10.78</v>
      </c>
      <c r="F4186" s="127"/>
      <c r="G4186" s="127"/>
      <c r="H4186" s="127"/>
      <c r="I4186" s="128"/>
      <c r="K4186" s="105" t="str">
        <f>IFERROR(__xludf.DUMMYFUNCTION("if(A4186="""","""",substitute(SUBSTITUTE(index(importhtml(""http://finviz.com/quote.ashx?t=""&amp;A4186,""table"",10),7,2),""*"",""""),""-"",""0.00""))"),"Loading...")</f>
        <v>Loading...</v>
      </c>
      <c r="L4186" s="129">
        <v>2.10931595E8</v>
      </c>
      <c r="M4186" s="99" t="str">
        <f>IFERROR(__xludf.DUMMYFUNCTION("GOOGLEFINANCE(A4186,""beta"")"),"#N/A")</f>
        <v>#N/A</v>
      </c>
    </row>
    <row r="4187">
      <c r="A4187" s="122" t="s">
        <v>8829</v>
      </c>
      <c r="B4187" s="123">
        <v>1295810.0</v>
      </c>
      <c r="C4187" s="124" t="s">
        <v>8830</v>
      </c>
      <c r="D4187" s="125"/>
      <c r="E4187" s="126">
        <v>10.78</v>
      </c>
      <c r="F4187" s="127"/>
      <c r="G4187" s="127"/>
      <c r="H4187" s="127"/>
      <c r="I4187" s="128"/>
      <c r="K4187" s="105" t="str">
        <f>IFERROR(__xludf.DUMMYFUNCTION("if(A4187="""","""",substitute(SUBSTITUTE(index(importhtml(""http://finviz.com/quote.ashx?t=""&amp;A4187,""table"",10),7,2),""*"",""""),""-"",""0.00""))"),"Loading...")</f>
        <v>Loading...</v>
      </c>
      <c r="L4187" s="129">
        <v>2.214686265E9</v>
      </c>
      <c r="M4187" s="99">
        <v>1.23</v>
      </c>
    </row>
    <row r="4188">
      <c r="A4188" s="122" t="s">
        <v>8831</v>
      </c>
      <c r="B4188" s="123">
        <v>1287498.0</v>
      </c>
      <c r="C4188" s="124" t="s">
        <v>8832</v>
      </c>
      <c r="D4188" s="125"/>
      <c r="E4188" s="126">
        <v>10.79</v>
      </c>
      <c r="F4188" s="127"/>
      <c r="G4188" s="127"/>
      <c r="H4188" s="127"/>
      <c r="I4188" s="128"/>
      <c r="K4188" s="55" t="s">
        <v>8833</v>
      </c>
      <c r="L4188" s="129" t="e">
        <v>#N/A</v>
      </c>
      <c r="M4188" s="99">
        <v>0.46</v>
      </c>
    </row>
    <row r="4189">
      <c r="A4189" s="122" t="s">
        <v>8834</v>
      </c>
      <c r="B4189" s="123">
        <v>1831978.0</v>
      </c>
      <c r="C4189" s="124" t="s">
        <v>8835</v>
      </c>
      <c r="D4189" s="125"/>
      <c r="E4189" s="126">
        <v>10.79</v>
      </c>
      <c r="F4189" s="127"/>
      <c r="G4189" s="127"/>
      <c r="H4189" s="127"/>
      <c r="I4189" s="128"/>
      <c r="K4189" s="105" t="str">
        <f>IFERROR(__xludf.DUMMYFUNCTION("if(A4189="""","""",substitute(SUBSTITUTE(index(importhtml(""http://finviz.com/quote.ashx?t=""&amp;A4189,""table"",10),7,2),""*"",""""),""-"",""0.00""))"),"Loading...")</f>
        <v>Loading...</v>
      </c>
      <c r="L4189" s="129">
        <v>6.3201691E7</v>
      </c>
      <c r="M4189" s="99" t="str">
        <f>IFERROR(__xludf.DUMMYFUNCTION("GOOGLEFINANCE(A4189,""beta"")"),"#N/A")</f>
        <v>#N/A</v>
      </c>
    </row>
    <row r="4190">
      <c r="A4190" s="122" t="s">
        <v>8836</v>
      </c>
      <c r="B4190" s="123">
        <v>1577670.0</v>
      </c>
      <c r="C4190" s="124" t="s">
        <v>8837</v>
      </c>
      <c r="D4190" s="125"/>
      <c r="E4190" s="126">
        <v>10.79</v>
      </c>
      <c r="F4190" s="127"/>
      <c r="G4190" s="127"/>
      <c r="H4190" s="127"/>
      <c r="I4190" s="128"/>
      <c r="K4190" s="105" t="str">
        <f>IFERROR(__xludf.DUMMYFUNCTION("if(A4190="""","""",substitute(SUBSTITUTE(index(importhtml(""http://finviz.com/quote.ashx?t=""&amp;A4190,""table"",10),7,2),""*"",""""),""-"",""0.00""))"),"Loading...")</f>
        <v>Loading...</v>
      </c>
      <c r="L4190" s="129">
        <v>1.369376159E9</v>
      </c>
      <c r="M4190" s="99">
        <v>1.9</v>
      </c>
    </row>
    <row r="4191">
      <c r="A4191" s="122" t="s">
        <v>8838</v>
      </c>
      <c r="B4191" s="123">
        <v>1910851.0</v>
      </c>
      <c r="C4191" s="124" t="s">
        <v>8839</v>
      </c>
      <c r="D4191" s="125"/>
      <c r="E4191" s="126">
        <v>10.79</v>
      </c>
      <c r="F4191" s="127"/>
      <c r="G4191" s="127"/>
      <c r="H4191" s="127"/>
      <c r="I4191" s="128"/>
      <c r="K4191" s="105" t="str">
        <f>IFERROR(__xludf.DUMMYFUNCTION("if(A4191="""","""",substitute(SUBSTITUTE(index(importhtml(""http://finviz.com/quote.ashx?t=""&amp;A4191,""table"",10),7,2),""*"",""""),""-"",""0.00""))"),"Loading...")</f>
        <v>Loading...</v>
      </c>
      <c r="L4191" s="129">
        <v>4.524334383E9</v>
      </c>
      <c r="M4191" s="99">
        <v>0.74</v>
      </c>
    </row>
    <row r="4192">
      <c r="A4192" s="122" t="s">
        <v>8840</v>
      </c>
      <c r="B4192" s="123">
        <v>1171471.0</v>
      </c>
      <c r="C4192" s="124" t="s">
        <v>8841</v>
      </c>
      <c r="D4192" s="125"/>
      <c r="E4192" s="126">
        <v>10.8</v>
      </c>
      <c r="F4192" s="127"/>
      <c r="G4192" s="127"/>
      <c r="H4192" s="127"/>
      <c r="I4192" s="128"/>
      <c r="K4192" s="55" t="s">
        <v>8842</v>
      </c>
      <c r="L4192" s="129">
        <v>8.03466458E8</v>
      </c>
      <c r="M4192" s="99">
        <v>1.16</v>
      </c>
    </row>
    <row r="4193">
      <c r="A4193" s="122" t="s">
        <v>8843</v>
      </c>
      <c r="B4193" s="123">
        <v>1881741.0</v>
      </c>
      <c r="C4193" s="124" t="s">
        <v>8844</v>
      </c>
      <c r="D4193" s="125"/>
      <c r="E4193" s="126">
        <v>10.8</v>
      </c>
      <c r="F4193" s="127"/>
      <c r="G4193" s="127"/>
      <c r="H4193" s="127"/>
      <c r="I4193" s="128"/>
      <c r="K4193" s="105" t="str">
        <f>IFERROR(__xludf.DUMMYFUNCTION("if(A4193="""","""",substitute(SUBSTITUTE(index(importhtml(""http://finviz.com/quote.ashx?t=""&amp;A4193,""table"",10),7,2),""*"",""""),""-"",""0.00""))"),"Loading...")</f>
        <v>Loading...</v>
      </c>
      <c r="L4193" s="129">
        <v>4.697902E7</v>
      </c>
      <c r="M4193" s="99" t="str">
        <f>IFERROR(__xludf.DUMMYFUNCTION("GOOGLEFINANCE(A4193,""beta"")"),"#N/A")</f>
        <v>#N/A</v>
      </c>
    </row>
    <row r="4194">
      <c r="A4194" s="122" t="s">
        <v>8845</v>
      </c>
      <c r="B4194" s="123">
        <v>1907223.0</v>
      </c>
      <c r="C4194" s="124" t="s">
        <v>8846</v>
      </c>
      <c r="D4194" s="125"/>
      <c r="E4194" s="126">
        <v>10.8</v>
      </c>
      <c r="F4194" s="127"/>
      <c r="G4194" s="127"/>
      <c r="H4194" s="127"/>
      <c r="I4194" s="128"/>
      <c r="K4194" s="105" t="str">
        <f>IFERROR(__xludf.DUMMYFUNCTION("if(A4194="""","""",substitute(SUBSTITUTE(index(importhtml(""http://finviz.com/quote.ashx?t=""&amp;A4194,""table"",10),7,2),""*"",""""),""-"",""0.00""))"),"Loading...")</f>
        <v>Loading...</v>
      </c>
      <c r="L4194" s="129">
        <v>5.568079E7</v>
      </c>
      <c r="M4194" s="99" t="str">
        <f>IFERROR(__xludf.DUMMYFUNCTION("GOOGLEFINANCE(A4194,""beta"")"),"#N/A")</f>
        <v>#N/A</v>
      </c>
    </row>
    <row r="4195">
      <c r="A4195" s="122" t="s">
        <v>8847</v>
      </c>
      <c r="B4195" s="123">
        <v>1866838.0</v>
      </c>
      <c r="C4195" s="124" t="s">
        <v>8848</v>
      </c>
      <c r="D4195" s="125"/>
      <c r="E4195" s="126">
        <v>10.8</v>
      </c>
      <c r="F4195" s="127"/>
      <c r="G4195" s="127"/>
      <c r="H4195" s="127"/>
      <c r="I4195" s="128"/>
      <c r="K4195" s="105" t="str">
        <f>IFERROR(__xludf.DUMMYFUNCTION("if(A4195="""","""",substitute(SUBSTITUTE(index(importhtml(""http://finviz.com/quote.ashx?t=""&amp;A4195,""table"",10),7,2),""*"",""""),""-"",""0.00""))"),"Loading...")</f>
        <v>Loading...</v>
      </c>
      <c r="L4195" s="129">
        <v>6.035462E7</v>
      </c>
      <c r="M4195" s="99">
        <f>IFERROR(__xludf.DUMMYFUNCTION("GOOGLEFINANCE(A4195,""beta"")"),0.21)</f>
        <v>0.21</v>
      </c>
    </row>
    <row r="4196">
      <c r="A4196" s="122" t="s">
        <v>8849</v>
      </c>
      <c r="B4196" s="123">
        <v>1852749.0</v>
      </c>
      <c r="C4196" s="124" t="s">
        <v>8850</v>
      </c>
      <c r="D4196" s="125"/>
      <c r="E4196" s="126">
        <v>10.8</v>
      </c>
      <c r="F4196" s="127"/>
      <c r="G4196" s="127"/>
      <c r="H4196" s="127"/>
      <c r="I4196" s="128"/>
      <c r="K4196" s="105" t="str">
        <f>IFERROR(__xludf.DUMMYFUNCTION("if(A4196="""","""",substitute(SUBSTITUTE(index(importhtml(""http://finviz.com/quote.ashx?t=""&amp;A4196,""table"",10),7,2),""*"",""""),""-"",""0.00""))"),"Loading...")</f>
        <v>Loading...</v>
      </c>
      <c r="L4196" s="129">
        <v>8.587656E7</v>
      </c>
      <c r="M4196" s="99" t="str">
        <f>IFERROR(__xludf.DUMMYFUNCTION("GOOGLEFINANCE(A4196,""beta"")"),"#N/A")</f>
        <v>#N/A</v>
      </c>
    </row>
    <row r="4197">
      <c r="A4197" s="122" t="s">
        <v>8851</v>
      </c>
      <c r="B4197" s="123">
        <v>1829953.0</v>
      </c>
      <c r="C4197" s="124" t="s">
        <v>8852</v>
      </c>
      <c r="D4197" s="125"/>
      <c r="E4197" s="126">
        <v>10.8</v>
      </c>
      <c r="F4197" s="127"/>
      <c r="G4197" s="127"/>
      <c r="H4197" s="127"/>
      <c r="I4197" s="128"/>
      <c r="K4197" s="105" t="str">
        <f>IFERROR(__xludf.DUMMYFUNCTION("if(A4197="""","""",substitute(SUBSTITUTE(index(importhtml(""http://finviz.com/quote.ashx?t=""&amp;A4197,""table"",10),7,2),""*"",""""),""-"",""0.00""))"),"Loading...")</f>
        <v>Loading...</v>
      </c>
      <c r="L4197" s="129">
        <v>1.127417E8</v>
      </c>
      <c r="M4197" s="99">
        <v>-0.04</v>
      </c>
    </row>
    <row r="4198">
      <c r="A4198" s="122" t="s">
        <v>8853</v>
      </c>
      <c r="B4198" s="123">
        <v>1843121.0</v>
      </c>
      <c r="C4198" s="124" t="s">
        <v>8854</v>
      </c>
      <c r="D4198" s="125"/>
      <c r="E4198" s="126">
        <v>10.8</v>
      </c>
      <c r="F4198" s="127"/>
      <c r="G4198" s="127"/>
      <c r="H4198" s="127"/>
      <c r="I4198" s="128"/>
      <c r="K4198" s="105" t="str">
        <f>IFERROR(__xludf.DUMMYFUNCTION("if(A4198="""","""",substitute(SUBSTITUTE(index(importhtml(""http://finviz.com/quote.ashx?t=""&amp;A4198,""table"",10),7,2),""*"",""""),""-"",""0.00""))"),"Loading...")</f>
        <v>Loading...</v>
      </c>
      <c r="L4198" s="129">
        <v>1.19719E8</v>
      </c>
      <c r="M4198" s="99" t="str">
        <f>IFERROR(__xludf.DUMMYFUNCTION("GOOGLEFINANCE(A4198,""beta"")"),"#N/A")</f>
        <v>#N/A</v>
      </c>
    </row>
    <row r="4199">
      <c r="A4199" s="122" t="s">
        <v>8855</v>
      </c>
      <c r="B4199" s="123">
        <v>1819498.0</v>
      </c>
      <c r="C4199" s="124" t="s">
        <v>8856</v>
      </c>
      <c r="D4199" s="125"/>
      <c r="E4199" s="126">
        <v>10.8</v>
      </c>
      <c r="F4199" s="127"/>
      <c r="G4199" s="127"/>
      <c r="H4199" s="127"/>
      <c r="I4199" s="128"/>
      <c r="K4199" s="105" t="str">
        <f>IFERROR(__xludf.DUMMYFUNCTION("if(A4199="""","""",substitute(SUBSTITUTE(index(importhtml(""http://finviz.com/quote.ashx?t=""&amp;A4199,""table"",10),7,2),""*"",""""),""-"",""0.00""))"),"Loading...")</f>
        <v>Loading...</v>
      </c>
      <c r="L4199" s="129">
        <v>1.40319326E8</v>
      </c>
      <c r="M4199" s="99" t="str">
        <f>IFERROR(__xludf.DUMMYFUNCTION("GOOGLEFINANCE(A4199,""beta"")"),"#N/A")</f>
        <v>#N/A</v>
      </c>
    </row>
    <row r="4200">
      <c r="A4200" s="122" t="s">
        <v>8857</v>
      </c>
      <c r="B4200" s="123">
        <v>1871638.0</v>
      </c>
      <c r="C4200" s="124" t="s">
        <v>8858</v>
      </c>
      <c r="D4200" s="125"/>
      <c r="E4200" s="126">
        <v>10.8</v>
      </c>
      <c r="F4200" s="127"/>
      <c r="G4200" s="127"/>
      <c r="H4200" s="127"/>
      <c r="I4200" s="128"/>
      <c r="K4200" s="105" t="str">
        <f>IFERROR(__xludf.DUMMYFUNCTION("if(A4200="""","""",substitute(SUBSTITUTE(index(importhtml(""http://finviz.com/quote.ashx?t=""&amp;A4200,""table"",10),7,2),""*"",""""),""-"",""0.00""))"),"Loading...")</f>
        <v>Loading...</v>
      </c>
      <c r="L4200" s="129">
        <v>1.637568E8</v>
      </c>
      <c r="M4200" s="99" t="str">
        <f>IFERROR(__xludf.DUMMYFUNCTION("GOOGLEFINANCE(A4200,""beta"")"),"#N/A")</f>
        <v>#N/A</v>
      </c>
    </row>
    <row r="4201">
      <c r="A4201" s="122" t="s">
        <v>8859</v>
      </c>
      <c r="B4201" s="123">
        <v>1864290.0</v>
      </c>
      <c r="C4201" s="124" t="s">
        <v>8860</v>
      </c>
      <c r="D4201" s="125"/>
      <c r="E4201" s="126">
        <v>10.8</v>
      </c>
      <c r="F4201" s="127"/>
      <c r="G4201" s="127"/>
      <c r="H4201" s="127"/>
      <c r="I4201" s="128"/>
      <c r="K4201" s="105" t="str">
        <f>IFERROR(__xludf.DUMMYFUNCTION("if(A4201="""","""",substitute(SUBSTITUTE(index(importhtml(""http://finviz.com/quote.ashx?t=""&amp;A4201,""table"",10),7,2),""*"",""""),""-"",""0.00""))"),"Loading...")</f>
        <v>Loading...</v>
      </c>
      <c r="L4201" s="129" t="e">
        <v>#N/A</v>
      </c>
      <c r="M4201" s="99" t="str">
        <f>IFERROR(__xludf.DUMMYFUNCTION("GOOGLEFINANCE(A4201,""beta"")"),"#N/A")</f>
        <v>#N/A</v>
      </c>
    </row>
    <row r="4202">
      <c r="A4202" s="122" t="s">
        <v>8861</v>
      </c>
      <c r="B4202" s="123">
        <v>1881741.0</v>
      </c>
      <c r="C4202" s="124" t="s">
        <v>8862</v>
      </c>
      <c r="D4202" s="125"/>
      <c r="E4202" s="126">
        <v>10.81</v>
      </c>
      <c r="F4202" s="127"/>
      <c r="G4202" s="127"/>
      <c r="H4202" s="127"/>
      <c r="I4202" s="128"/>
      <c r="K4202" s="105" t="str">
        <f>IFERROR(__xludf.DUMMYFUNCTION("if(A4202="""","""",substitute(SUBSTITUTE(index(importhtml(""http://finviz.com/quote.ashx?t=""&amp;A4202,""table"",10),7,2),""*"",""""),""-"",""0.00""))"),"Loading...")</f>
        <v>Loading...</v>
      </c>
      <c r="L4202" s="129">
        <v>4.697902E7</v>
      </c>
      <c r="M4202" s="99" t="str">
        <f>IFERROR(__xludf.DUMMYFUNCTION("GOOGLEFINANCE(A4202,""beta"")"),"#N/A")</f>
        <v>#N/A</v>
      </c>
    </row>
    <row r="4203">
      <c r="A4203" s="122" t="s">
        <v>8863</v>
      </c>
      <c r="B4203" s="123">
        <v>1885998.0</v>
      </c>
      <c r="C4203" s="124" t="s">
        <v>8864</v>
      </c>
      <c r="D4203" s="125"/>
      <c r="E4203" s="126">
        <v>10.81</v>
      </c>
      <c r="F4203" s="127"/>
      <c r="G4203" s="127"/>
      <c r="H4203" s="127"/>
      <c r="I4203" s="128"/>
      <c r="K4203" s="105" t="str">
        <f>IFERROR(__xludf.DUMMYFUNCTION("if(A4203="""","""",substitute(SUBSTITUTE(index(importhtml(""http://finviz.com/quote.ashx?t=""&amp;A4203,""table"",10),7,2),""*"",""""),""-"",""0.00""))"),"Loading...")</f>
        <v>Loading...</v>
      </c>
      <c r="L4203" s="129">
        <v>6.6031363E7</v>
      </c>
      <c r="M4203" s="99" t="str">
        <f>IFERROR(__xludf.DUMMYFUNCTION("GOOGLEFINANCE(A4203,""beta"")"),"#N/A")</f>
        <v>#N/A</v>
      </c>
    </row>
    <row r="4204">
      <c r="A4204" s="122" t="s">
        <v>8865</v>
      </c>
      <c r="B4204" s="123">
        <v>1855474.0</v>
      </c>
      <c r="C4204" s="124" t="s">
        <v>8866</v>
      </c>
      <c r="D4204" s="125"/>
      <c r="E4204" s="126">
        <v>10.81</v>
      </c>
      <c r="F4204" s="127"/>
      <c r="G4204" s="127"/>
      <c r="H4204" s="127"/>
      <c r="I4204" s="128"/>
      <c r="K4204" s="105" t="str">
        <f>IFERROR(__xludf.DUMMYFUNCTION("if(A4204="""","""",substitute(SUBSTITUTE(index(importhtml(""http://finviz.com/quote.ashx?t=""&amp;A4204,""table"",10),7,2),""*"",""""),""-"",""0.00""))"),"Loading...")</f>
        <v>Loading...</v>
      </c>
      <c r="L4204" s="129">
        <v>1.923712E8</v>
      </c>
      <c r="M4204" s="99" t="str">
        <f>IFERROR(__xludf.DUMMYFUNCTION("GOOGLEFINANCE(A4204,""beta"")"),"#N/A")</f>
        <v>#N/A</v>
      </c>
    </row>
    <row r="4205">
      <c r="A4205" s="122" t="s">
        <v>8867</v>
      </c>
      <c r="B4205" s="123">
        <v>1855474.0</v>
      </c>
      <c r="C4205" s="124" t="s">
        <v>8868</v>
      </c>
      <c r="D4205" s="125"/>
      <c r="E4205" s="126">
        <v>10.81</v>
      </c>
      <c r="F4205" s="127"/>
      <c r="G4205" s="127"/>
      <c r="H4205" s="127"/>
      <c r="I4205" s="128"/>
      <c r="K4205" s="105" t="str">
        <f>IFERROR(__xludf.DUMMYFUNCTION("if(A4205="""","""",substitute(SUBSTITUTE(index(importhtml(""http://finviz.com/quote.ashx?t=""&amp;A4205,""table"",10),7,2),""*"",""""),""-"",""0.00""))"),"Loading...")</f>
        <v>Loading...</v>
      </c>
      <c r="L4205" s="129">
        <v>1.923712E8</v>
      </c>
      <c r="M4205" s="99" t="str">
        <f>IFERROR(__xludf.DUMMYFUNCTION("GOOGLEFINANCE(A4205,""beta"")"),"#N/A")</f>
        <v>#N/A</v>
      </c>
    </row>
    <row r="4206">
      <c r="A4206" s="122" t="s">
        <v>8869</v>
      </c>
      <c r="B4206" s="123">
        <v>1829953.0</v>
      </c>
      <c r="C4206" s="124" t="s">
        <v>8870</v>
      </c>
      <c r="D4206" s="125"/>
      <c r="E4206" s="126">
        <v>10.82</v>
      </c>
      <c r="F4206" s="127"/>
      <c r="G4206" s="127"/>
      <c r="H4206" s="127"/>
      <c r="I4206" s="128"/>
      <c r="K4206" s="105" t="str">
        <f>IFERROR(__xludf.DUMMYFUNCTION("if(A4206="""","""",substitute(SUBSTITUTE(index(importhtml(""http://finviz.com/quote.ashx?t=""&amp;A4206,""table"",10),7,2),""*"",""""),""-"",""0.00""))"),"Loading...")</f>
        <v>Loading...</v>
      </c>
      <c r="L4206" s="129">
        <v>1.127417E8</v>
      </c>
      <c r="M4206" s="99" t="str">
        <f>IFERROR(__xludf.DUMMYFUNCTION("GOOGLEFINANCE(A4206,""beta"")"),"#N/A")</f>
        <v>#N/A</v>
      </c>
    </row>
    <row r="4207">
      <c r="A4207" s="122" t="s">
        <v>8871</v>
      </c>
      <c r="B4207" s="123">
        <v>879535.0</v>
      </c>
      <c r="C4207" s="124" t="s">
        <v>8872</v>
      </c>
      <c r="D4207" s="125"/>
      <c r="E4207" s="126">
        <v>10.83</v>
      </c>
      <c r="F4207" s="127"/>
      <c r="G4207" s="127"/>
      <c r="H4207" s="127"/>
      <c r="I4207" s="128"/>
      <c r="K4207" s="55" t="s">
        <v>8873</v>
      </c>
      <c r="L4207" s="129">
        <v>7.613021E7</v>
      </c>
      <c r="M4207" s="99">
        <v>0.32</v>
      </c>
    </row>
    <row r="4208">
      <c r="A4208" s="122" t="s">
        <v>8874</v>
      </c>
      <c r="B4208" s="123">
        <v>1169034.0</v>
      </c>
      <c r="C4208" s="124" t="s">
        <v>8875</v>
      </c>
      <c r="D4208" s="125"/>
      <c r="E4208" s="126">
        <v>10.83</v>
      </c>
      <c r="F4208" s="127"/>
      <c r="G4208" s="127"/>
      <c r="H4208" s="127"/>
      <c r="I4208" s="128"/>
      <c r="K4208" s="55" t="s">
        <v>8873</v>
      </c>
      <c r="L4208" s="129">
        <v>1.88778795E8</v>
      </c>
      <c r="M4208" s="99">
        <v>0.73</v>
      </c>
    </row>
    <row r="4209">
      <c r="A4209" s="122" t="s">
        <v>8876</v>
      </c>
      <c r="B4209" s="123">
        <v>1850262.0</v>
      </c>
      <c r="C4209" s="124" t="s">
        <v>8877</v>
      </c>
      <c r="D4209" s="125"/>
      <c r="E4209" s="126">
        <v>10.83</v>
      </c>
      <c r="F4209" s="127"/>
      <c r="G4209" s="127"/>
      <c r="H4209" s="127"/>
      <c r="I4209" s="128"/>
      <c r="K4209" s="105" t="str">
        <f>IFERROR(__xludf.DUMMYFUNCTION("if(A4209="""","""",substitute(SUBSTITUTE(index(importhtml(""http://finviz.com/quote.ashx?t=""&amp;A4209,""table"",10),7,2),""*"",""""),""-"",""0.00""))"),"Loading...")</f>
        <v>Loading...</v>
      </c>
      <c r="L4209" s="129">
        <v>4.411429E7</v>
      </c>
      <c r="M4209" s="99">
        <f>IFERROR(__xludf.DUMMYFUNCTION("GOOGLEFINANCE(A4209,""beta"")"),1.3)</f>
        <v>1.3</v>
      </c>
    </row>
    <row r="4210">
      <c r="A4210" s="122" t="s">
        <v>8878</v>
      </c>
      <c r="B4210" s="123">
        <v>1847607.0</v>
      </c>
      <c r="C4210" s="124" t="s">
        <v>8879</v>
      </c>
      <c r="D4210" s="125"/>
      <c r="E4210" s="126">
        <v>10.83</v>
      </c>
      <c r="F4210" s="127"/>
      <c r="G4210" s="127"/>
      <c r="H4210" s="127"/>
      <c r="I4210" s="128"/>
      <c r="K4210" s="105" t="str">
        <f>IFERROR(__xludf.DUMMYFUNCTION("if(A4210="""","""",substitute(SUBSTITUTE(index(importhtml(""http://finviz.com/quote.ashx?t=""&amp;A4210,""table"",10),7,2),""*"",""""),""-"",""0.00""))"),"Loading...")</f>
        <v>Loading...</v>
      </c>
      <c r="L4210" s="129">
        <v>7.728937E7</v>
      </c>
      <c r="M4210" s="99" t="str">
        <f>IFERROR(__xludf.DUMMYFUNCTION("GOOGLEFINANCE(A4210,""beta"")"),"#N/A")</f>
        <v>#N/A</v>
      </c>
    </row>
    <row r="4211">
      <c r="A4211" s="122" t="s">
        <v>8880</v>
      </c>
      <c r="B4211" s="123">
        <v>1831006.0</v>
      </c>
      <c r="C4211" s="124" t="s">
        <v>8881</v>
      </c>
      <c r="D4211" s="125"/>
      <c r="E4211" s="126">
        <v>10.83</v>
      </c>
      <c r="F4211" s="127"/>
      <c r="G4211" s="127"/>
      <c r="H4211" s="127"/>
      <c r="I4211" s="128"/>
      <c r="K4211" s="105" t="str">
        <f>IFERROR(__xludf.DUMMYFUNCTION("if(A4211="""","""",substitute(SUBSTITUTE(index(importhtml(""http://finviz.com/quote.ashx?t=""&amp;A4211,""table"",10),7,2),""*"",""""),""-"",""0.00""))"),"#N/A")</f>
        <v>#N/A</v>
      </c>
      <c r="L4211" s="129">
        <v>1.06788391E8</v>
      </c>
      <c r="M4211" s="99" t="str">
        <f>IFERROR(__xludf.DUMMYFUNCTION("GOOGLEFINANCE(A4211,""beta"")"),"#N/A")</f>
        <v>#N/A</v>
      </c>
    </row>
    <row r="4212">
      <c r="A4212" s="122" t="s">
        <v>8882</v>
      </c>
      <c r="B4212" s="123">
        <v>1894057.0</v>
      </c>
      <c r="C4212" s="124" t="s">
        <v>8883</v>
      </c>
      <c r="D4212" s="125"/>
      <c r="E4212" s="126">
        <v>10.83</v>
      </c>
      <c r="F4212" s="127"/>
      <c r="G4212" s="127"/>
      <c r="H4212" s="127"/>
      <c r="I4212" s="128"/>
      <c r="K4212" s="105" t="str">
        <f>IFERROR(__xludf.DUMMYFUNCTION("if(A4212="""","""",substitute(SUBSTITUTE(index(importhtml(""http://finviz.com/quote.ashx?t=""&amp;A4212,""table"",10),7,2),""*"",""""),""-"",""0.00""))"),"Loading...")</f>
        <v>Loading...</v>
      </c>
      <c r="L4212" s="129">
        <v>1.2126979E8</v>
      </c>
      <c r="M4212" s="99" t="str">
        <f>IFERROR(__xludf.DUMMYFUNCTION("GOOGLEFINANCE(A4212,""beta"")"),"#N/A")</f>
        <v>#N/A</v>
      </c>
    </row>
    <row r="4213">
      <c r="A4213" s="122" t="s">
        <v>8884</v>
      </c>
      <c r="B4213" s="123">
        <v>1852407.0</v>
      </c>
      <c r="C4213" s="124" t="s">
        <v>8885</v>
      </c>
      <c r="D4213" s="125"/>
      <c r="E4213" s="126">
        <v>10.84</v>
      </c>
      <c r="F4213" s="127"/>
      <c r="G4213" s="127"/>
      <c r="H4213" s="127"/>
      <c r="I4213" s="128"/>
      <c r="K4213" s="105" t="str">
        <f>IFERROR(__xludf.DUMMYFUNCTION("if(A4213="""","""",substitute(SUBSTITUTE(index(importhtml(""http://finviz.com/quote.ashx?t=""&amp;A4213,""table"",10),7,2),""*"",""""),""-"",""0.00""))"),"Loading...")</f>
        <v>Loading...</v>
      </c>
      <c r="L4213" s="129">
        <v>7.484481E7</v>
      </c>
      <c r="M4213" s="99" t="str">
        <f>IFERROR(__xludf.DUMMYFUNCTION("GOOGLEFINANCE(A4213,""beta"")"),"#N/A")</f>
        <v>#N/A</v>
      </c>
    </row>
    <row r="4214">
      <c r="A4214" s="122" t="s">
        <v>8886</v>
      </c>
      <c r="B4214" s="123">
        <v>1826889.0</v>
      </c>
      <c r="C4214" s="124" t="s">
        <v>8887</v>
      </c>
      <c r="D4214" s="125"/>
      <c r="E4214" s="126">
        <v>10.84</v>
      </c>
      <c r="F4214" s="127"/>
      <c r="G4214" s="127"/>
      <c r="H4214" s="127"/>
      <c r="I4214" s="128"/>
      <c r="K4214" s="105" t="str">
        <f>IFERROR(__xludf.DUMMYFUNCTION("if(A4214="""","""",substitute(SUBSTITUTE(index(importhtml(""http://finviz.com/quote.ashx?t=""&amp;A4214,""table"",10),7,2),""*"",""""),""-"",""0.00""))"),"Loading...")</f>
        <v>Loading...</v>
      </c>
      <c r="L4214" s="129">
        <v>7.490494E7</v>
      </c>
      <c r="M4214" s="99">
        <v>1.3</v>
      </c>
    </row>
    <row r="4215">
      <c r="A4215" s="122" t="s">
        <v>8888</v>
      </c>
      <c r="B4215" s="123">
        <v>1876716.0</v>
      </c>
      <c r="C4215" s="124" t="s">
        <v>8889</v>
      </c>
      <c r="D4215" s="125"/>
      <c r="E4215" s="126">
        <v>10.84</v>
      </c>
      <c r="F4215" s="127"/>
      <c r="G4215" s="127"/>
      <c r="H4215" s="127"/>
      <c r="I4215" s="128"/>
      <c r="K4215" s="105" t="str">
        <f>IFERROR(__xludf.DUMMYFUNCTION("if(A4215="""","""",substitute(SUBSTITUTE(index(importhtml(""http://finviz.com/quote.ashx?t=""&amp;A4215,""table"",10),7,2),""*"",""""),""-"",""0.00""))"),"Loading...")</f>
        <v>Loading...</v>
      </c>
      <c r="L4215" s="129">
        <v>7.916589E7</v>
      </c>
      <c r="M4215" s="99" t="str">
        <f>IFERROR(__xludf.DUMMYFUNCTION("GOOGLEFINANCE(A4215,""beta"")"),"#N/A")</f>
        <v>#N/A</v>
      </c>
    </row>
    <row r="4216">
      <c r="A4216" s="122" t="s">
        <v>8890</v>
      </c>
      <c r="B4216" s="123">
        <v>1675033.0</v>
      </c>
      <c r="C4216" s="124" t="s">
        <v>8891</v>
      </c>
      <c r="D4216" s="125"/>
      <c r="E4216" s="126">
        <v>10.84</v>
      </c>
      <c r="F4216" s="127"/>
      <c r="G4216" s="127"/>
      <c r="H4216" s="127"/>
      <c r="I4216" s="128"/>
      <c r="K4216" s="105" t="str">
        <f>IFERROR(__xludf.DUMMYFUNCTION("if(A4216="""","""",substitute(SUBSTITUTE(index(importhtml(""http://finviz.com/quote.ashx?t=""&amp;A4216,""table"",10),7,2),""*"",""""),""-"",""0.00""))"),"Loading...")</f>
        <v>Loading...</v>
      </c>
      <c r="L4216" s="129">
        <v>8.2405215E7</v>
      </c>
      <c r="M4216" s="99">
        <v>1.46</v>
      </c>
    </row>
    <row r="4217">
      <c r="A4217" s="122" t="s">
        <v>8892</v>
      </c>
      <c r="B4217" s="123">
        <v>1888734.0</v>
      </c>
      <c r="C4217" s="124" t="s">
        <v>8893</v>
      </c>
      <c r="D4217" s="125"/>
      <c r="E4217" s="126">
        <v>10.84</v>
      </c>
      <c r="F4217" s="127"/>
      <c r="G4217" s="127"/>
      <c r="H4217" s="127"/>
      <c r="I4217" s="128"/>
      <c r="K4217" s="105" t="str">
        <f>IFERROR(__xludf.DUMMYFUNCTION("if(A4217="""","""",substitute(SUBSTITUTE(index(importhtml(""http://finviz.com/quote.ashx?t=""&amp;A4217,""table"",10),7,2),""*"",""""),""-"",""0.00""))"),"Loading...")</f>
        <v>Loading...</v>
      </c>
      <c r="L4217" s="129">
        <v>8.9293384E7</v>
      </c>
      <c r="M4217" s="99" t="str">
        <f>IFERROR(__xludf.DUMMYFUNCTION("GOOGLEFINANCE(A4217,""beta"")"),"#N/A")</f>
        <v>#N/A</v>
      </c>
    </row>
    <row r="4218">
      <c r="A4218" s="122" t="s">
        <v>8894</v>
      </c>
      <c r="B4218" s="123">
        <v>1873324.0</v>
      </c>
      <c r="C4218" s="124" t="s">
        <v>8895</v>
      </c>
      <c r="D4218" s="125"/>
      <c r="E4218" s="126">
        <v>10.85</v>
      </c>
      <c r="F4218" s="127"/>
      <c r="G4218" s="127"/>
      <c r="H4218" s="127"/>
      <c r="I4218" s="128"/>
      <c r="K4218" s="105" t="str">
        <f>IFERROR(__xludf.DUMMYFUNCTION("if(A4218="""","""",substitute(SUBSTITUTE(index(importhtml(""http://finviz.com/quote.ashx?t=""&amp;A4218,""table"",10),7,2),""*"",""""),""-"",""0.00""))"),"Loading...")</f>
        <v>Loading...</v>
      </c>
      <c r="L4218" s="129">
        <v>5.529735E7</v>
      </c>
      <c r="M4218" s="99" t="str">
        <f>IFERROR(__xludf.DUMMYFUNCTION("GOOGLEFINANCE(A4218,""beta"")"),"#N/A")</f>
        <v>#N/A</v>
      </c>
    </row>
    <row r="4219">
      <c r="A4219" s="122" t="s">
        <v>8896</v>
      </c>
      <c r="B4219" s="123">
        <v>1845942.0</v>
      </c>
      <c r="C4219" s="124" t="s">
        <v>8897</v>
      </c>
      <c r="D4219" s="125"/>
      <c r="E4219" s="126">
        <v>10.85</v>
      </c>
      <c r="F4219" s="127"/>
      <c r="G4219" s="127"/>
      <c r="H4219" s="127"/>
      <c r="I4219" s="128"/>
      <c r="K4219" s="105" t="str">
        <f>IFERROR(__xludf.DUMMYFUNCTION("if(A4219="""","""",substitute(SUBSTITUTE(index(importhtml(""http://finviz.com/quote.ashx?t=""&amp;A4219,""table"",10),7,2),""*"",""""),""-"",""0.00""))"),"Loading...")</f>
        <v>Loading...</v>
      </c>
      <c r="L4219" s="129">
        <v>5.9280192E7</v>
      </c>
      <c r="M4219" s="99" t="str">
        <f>IFERROR(__xludf.DUMMYFUNCTION("GOOGLEFINANCE(A4219,""beta"")"),"#N/A")</f>
        <v>#N/A</v>
      </c>
    </row>
    <row r="4220">
      <c r="A4220" s="122" t="s">
        <v>8898</v>
      </c>
      <c r="B4220" s="123">
        <v>1820175.0</v>
      </c>
      <c r="C4220" s="124" t="s">
        <v>8899</v>
      </c>
      <c r="D4220" s="125"/>
      <c r="E4220" s="126">
        <v>10.85</v>
      </c>
      <c r="F4220" s="127"/>
      <c r="G4220" s="127"/>
      <c r="H4220" s="127"/>
      <c r="I4220" s="128"/>
      <c r="K4220" s="105" t="str">
        <f>IFERROR(__xludf.DUMMYFUNCTION("if(A4220="""","""",substitute(SUBSTITUTE(index(importhtml(""http://finviz.com/quote.ashx?t=""&amp;A4220,""table"",10),7,2),""*"",""""),""-"",""0.00""))"),"Loading...")</f>
        <v>Loading...</v>
      </c>
      <c r="L4220" s="129">
        <v>7.307791E7</v>
      </c>
      <c r="M4220" s="99" t="str">
        <f>IFERROR(__xludf.DUMMYFUNCTION("GOOGLEFINANCE(A4220,""beta"")"),"#N/A")</f>
        <v>#N/A</v>
      </c>
    </row>
    <row r="4221">
      <c r="A4221" s="122" t="s">
        <v>8900</v>
      </c>
      <c r="B4221" s="123">
        <v>1876716.0</v>
      </c>
      <c r="C4221" s="124" t="s">
        <v>8901</v>
      </c>
      <c r="D4221" s="125"/>
      <c r="E4221" s="126">
        <v>10.85</v>
      </c>
      <c r="F4221" s="127"/>
      <c r="G4221" s="127"/>
      <c r="H4221" s="127"/>
      <c r="I4221" s="128"/>
      <c r="K4221" s="105" t="str">
        <f>IFERROR(__xludf.DUMMYFUNCTION("if(A4221="""","""",substitute(SUBSTITUTE(index(importhtml(""http://finviz.com/quote.ashx?t=""&amp;A4221,""table"",10),7,2),""*"",""""),""-"",""0.00""))"),"Loading...")</f>
        <v>Loading...</v>
      </c>
      <c r="L4221" s="129">
        <v>7.916589E7</v>
      </c>
      <c r="M4221" s="99" t="str">
        <f>IFERROR(__xludf.DUMMYFUNCTION("GOOGLEFINANCE(A4221,""beta"")"),"#N/A")</f>
        <v>#N/A</v>
      </c>
    </row>
    <row r="4222">
      <c r="A4222" s="122" t="s">
        <v>8902</v>
      </c>
      <c r="B4222" s="123">
        <v>1858007.0</v>
      </c>
      <c r="C4222" s="124" t="s">
        <v>8903</v>
      </c>
      <c r="D4222" s="125"/>
      <c r="E4222" s="126">
        <v>10.85</v>
      </c>
      <c r="F4222" s="127"/>
      <c r="G4222" s="127"/>
      <c r="H4222" s="127"/>
      <c r="I4222" s="128"/>
      <c r="K4222" s="105" t="str">
        <f>IFERROR(__xludf.DUMMYFUNCTION("if(A4222="""","""",substitute(SUBSTITUTE(index(importhtml(""http://finviz.com/quote.ashx?t=""&amp;A4222,""table"",10),7,2),""*"",""""),""-"",""0.00""))"),"Loading...")</f>
        <v>Loading...</v>
      </c>
      <c r="L4222" s="129">
        <v>8.241931E7</v>
      </c>
      <c r="M4222" s="99">
        <f>IFERROR(__xludf.DUMMYFUNCTION("GOOGLEFINANCE(A4222,""beta"")"),0.04)</f>
        <v>0.04</v>
      </c>
    </row>
    <row r="4223">
      <c r="A4223" s="122" t="s">
        <v>8904</v>
      </c>
      <c r="B4223" s="123">
        <v>1856961.0</v>
      </c>
      <c r="C4223" s="124" t="s">
        <v>8905</v>
      </c>
      <c r="D4223" s="125"/>
      <c r="E4223" s="126">
        <v>10.85</v>
      </c>
      <c r="F4223" s="127"/>
      <c r="G4223" s="127"/>
      <c r="H4223" s="127"/>
      <c r="I4223" s="128"/>
      <c r="K4223" s="105" t="str">
        <f>IFERROR(__xludf.DUMMYFUNCTION("if(A4223="""","""",substitute(SUBSTITUTE(index(importhtml(""http://finviz.com/quote.ashx?t=""&amp;A4223,""table"",10),7,2),""*"",""""),""-"",""0.00""))"),"Loading...")</f>
        <v>Loading...</v>
      </c>
      <c r="L4223" s="129">
        <v>2.58534256E8</v>
      </c>
      <c r="M4223" s="99" t="str">
        <f>IFERROR(__xludf.DUMMYFUNCTION("GOOGLEFINANCE(A4223,""beta"")"),"#N/A")</f>
        <v>#N/A</v>
      </c>
    </row>
    <row r="4224">
      <c r="A4224" s="122" t="s">
        <v>8906</v>
      </c>
      <c r="B4224" s="123">
        <v>1912461.0</v>
      </c>
      <c r="C4224" s="124" t="s">
        <v>8907</v>
      </c>
      <c r="D4224" s="125"/>
      <c r="E4224" s="126">
        <v>10.86</v>
      </c>
      <c r="F4224" s="127"/>
      <c r="G4224" s="127"/>
      <c r="H4224" s="127"/>
      <c r="I4224" s="128"/>
      <c r="K4224" s="105" t="str">
        <f>IFERROR(__xludf.DUMMYFUNCTION("if(A4224="""","""",substitute(SUBSTITUTE(index(importhtml(""http://finviz.com/quote.ashx?t=""&amp;A4224,""table"",10),7,2),""*"",""""),""-"",""0.00""))"),"Loading...")</f>
        <v>Loading...</v>
      </c>
      <c r="L4224" s="129">
        <v>1.1062249E8</v>
      </c>
      <c r="M4224" s="99" t="str">
        <f>IFERROR(__xludf.DUMMYFUNCTION("GOOGLEFINANCE(A4224,""beta"")"),"#N/A")</f>
        <v>#N/A</v>
      </c>
    </row>
    <row r="4225">
      <c r="A4225" s="122" t="s">
        <v>8908</v>
      </c>
      <c r="B4225" s="123">
        <v>1737450.0</v>
      </c>
      <c r="C4225" s="124" t="s">
        <v>8909</v>
      </c>
      <c r="D4225" s="125"/>
      <c r="E4225" s="126">
        <v>10.86</v>
      </c>
      <c r="F4225" s="127"/>
      <c r="G4225" s="127"/>
      <c r="H4225" s="127"/>
      <c r="I4225" s="128"/>
      <c r="K4225" s="105" t="str">
        <f>IFERROR(__xludf.DUMMYFUNCTION("if(A4225="""","""",substitute(SUBSTITUTE(index(importhtml(""http://finviz.com/quote.ashx?t=""&amp;A4225,""table"",10),7,2),""*"",""""),""-"",""0.00""))"),"Loading...")</f>
        <v>Loading...</v>
      </c>
      <c r="L4225" s="129">
        <v>9.62980387E8</v>
      </c>
      <c r="M4225" s="99">
        <v>0.8</v>
      </c>
    </row>
    <row r="4226">
      <c r="A4226" s="122" t="s">
        <v>8910</v>
      </c>
      <c r="B4226" s="123">
        <v>1854463.0</v>
      </c>
      <c r="C4226" s="124" t="s">
        <v>8911</v>
      </c>
      <c r="D4226" s="125"/>
      <c r="E4226" s="126">
        <v>10.87</v>
      </c>
      <c r="F4226" s="127"/>
      <c r="G4226" s="127"/>
      <c r="H4226" s="127"/>
      <c r="I4226" s="128"/>
      <c r="K4226" s="105" t="str">
        <f>IFERROR(__xludf.DUMMYFUNCTION("if(A4226="""","""",substitute(SUBSTITUTE(index(importhtml(""http://finviz.com/quote.ashx?t=""&amp;A4226,""table"",10),7,2),""*"",""""),""-"",""0.00""))"),"#N/A")</f>
        <v>#N/A</v>
      </c>
      <c r="L4226" s="129">
        <v>4.63728E7</v>
      </c>
      <c r="M4226" s="99" t="str">
        <f>IFERROR(__xludf.DUMMYFUNCTION("GOOGLEFINANCE(A4226,""beta"")"),"#N/A")</f>
        <v>#N/A</v>
      </c>
    </row>
    <row r="4227">
      <c r="A4227" s="122" t="s">
        <v>8912</v>
      </c>
      <c r="B4227" s="123">
        <v>1852736.0</v>
      </c>
      <c r="C4227" s="124" t="s">
        <v>8913</v>
      </c>
      <c r="D4227" s="125"/>
      <c r="E4227" s="126">
        <v>10.87</v>
      </c>
      <c r="F4227" s="127"/>
      <c r="G4227" s="127"/>
      <c r="H4227" s="127"/>
      <c r="I4227" s="128"/>
      <c r="K4227" s="105" t="str">
        <f>IFERROR(__xludf.DUMMYFUNCTION("if(A4227="""","""",substitute(SUBSTITUTE(index(importhtml(""http://finviz.com/quote.ashx?t=""&amp;A4227,""table"",10),7,2),""*"",""""),""-"",""0.00""))"),"Loading...")</f>
        <v>Loading...</v>
      </c>
      <c r="L4227" s="129">
        <v>1.77820154E8</v>
      </c>
      <c r="M4227" s="99" t="str">
        <f>IFERROR(__xludf.DUMMYFUNCTION("GOOGLEFINANCE(A4227,""beta"")"),"#N/A")</f>
        <v>#N/A</v>
      </c>
    </row>
    <row r="4228">
      <c r="A4228" s="122" t="s">
        <v>8914</v>
      </c>
      <c r="B4228" s="123">
        <v>901243.0</v>
      </c>
      <c r="C4228" s="124" t="s">
        <v>8915</v>
      </c>
      <c r="D4228" s="125"/>
      <c r="E4228" s="126">
        <v>10.87</v>
      </c>
      <c r="F4228" s="127"/>
      <c r="G4228" s="127"/>
      <c r="H4228" s="127"/>
      <c r="I4228" s="128"/>
      <c r="K4228" s="105" t="str">
        <f>IFERROR(__xludf.DUMMYFUNCTION("if(A4228="""","""",substitute(SUBSTITUTE(index(importhtml(""http://finviz.com/quote.ashx?t=""&amp;A4228,""table"",10),7,2),""*"",""""),""-"",""0.00""))"),"Loading...")</f>
        <v>Loading...</v>
      </c>
      <c r="L4228" s="129">
        <v>4.20273218E8</v>
      </c>
      <c r="M4228" s="99">
        <v>0.52</v>
      </c>
    </row>
    <row r="4229">
      <c r="A4229" s="122" t="s">
        <v>8916</v>
      </c>
      <c r="B4229" s="123">
        <v>1866226.0</v>
      </c>
      <c r="C4229" s="124" t="s">
        <v>8917</v>
      </c>
      <c r="D4229" s="125"/>
      <c r="E4229" s="126">
        <v>10.88</v>
      </c>
      <c r="F4229" s="127"/>
      <c r="G4229" s="127"/>
      <c r="H4229" s="127"/>
      <c r="I4229" s="128"/>
      <c r="K4229" s="105" t="str">
        <f>IFERROR(__xludf.DUMMYFUNCTION("if(A4229="""","""",substitute(SUBSTITUTE(index(importhtml(""http://finviz.com/quote.ashx?t=""&amp;A4229,""table"",10),7,2),""*"",""""),""-"",""0.00""))"),"Loading...")</f>
        <v>Loading...</v>
      </c>
      <c r="L4229" s="129">
        <v>4.8044593E7</v>
      </c>
      <c r="M4229" s="99">
        <f>IFERROR(__xludf.DUMMYFUNCTION("GOOGLEFINANCE(A4229,""beta"")"),0.19)</f>
        <v>0.19</v>
      </c>
    </row>
    <row r="4230">
      <c r="A4230" s="122" t="s">
        <v>8918</v>
      </c>
      <c r="B4230" s="123">
        <v>1848861.0</v>
      </c>
      <c r="C4230" s="124" t="s">
        <v>8919</v>
      </c>
      <c r="D4230" s="125"/>
      <c r="E4230" s="126">
        <v>10.88</v>
      </c>
      <c r="F4230" s="127"/>
      <c r="G4230" s="127"/>
      <c r="H4230" s="127"/>
      <c r="I4230" s="128"/>
      <c r="K4230" s="105" t="str">
        <f>IFERROR(__xludf.DUMMYFUNCTION("if(A4230="""","""",substitute(SUBSTITUTE(index(importhtml(""http://finviz.com/quote.ashx?t=""&amp;A4230,""table"",10),7,2),""*"",""""),""-"",""0.00""))"),"Loading...")</f>
        <v>Loading...</v>
      </c>
      <c r="L4230" s="129">
        <v>5.897316E7</v>
      </c>
      <c r="M4230" s="99" t="str">
        <f>IFERROR(__xludf.DUMMYFUNCTION("GOOGLEFINANCE(A4230,""beta"")"),"#N/A")</f>
        <v>#N/A</v>
      </c>
    </row>
    <row r="4231">
      <c r="A4231" s="122" t="s">
        <v>8920</v>
      </c>
      <c r="B4231" s="123">
        <v>1912582.0</v>
      </c>
      <c r="C4231" s="124" t="s">
        <v>8921</v>
      </c>
      <c r="D4231" s="125"/>
      <c r="E4231" s="126">
        <v>10.88</v>
      </c>
      <c r="F4231" s="127"/>
      <c r="G4231" s="127"/>
      <c r="H4231" s="127"/>
      <c r="I4231" s="128"/>
      <c r="K4231" s="105" t="str">
        <f>IFERROR(__xludf.DUMMYFUNCTION("if(A4231="""","""",substitute(SUBSTITUTE(index(importhtml(""http://finviz.com/quote.ashx?t=""&amp;A4231,""table"",10),7,2),""*"",""""),""-"",""0.00""))"),"Loading...")</f>
        <v>Loading...</v>
      </c>
      <c r="L4231" s="129">
        <v>8.6888964E7</v>
      </c>
      <c r="M4231" s="99" t="str">
        <f>IFERROR(__xludf.DUMMYFUNCTION("GOOGLEFINANCE(A4231,""beta"")"),"#N/A")</f>
        <v>#N/A</v>
      </c>
    </row>
    <row r="4232">
      <c r="A4232" s="122" t="s">
        <v>8922</v>
      </c>
      <c r="B4232" s="123">
        <v>14177.0</v>
      </c>
      <c r="C4232" s="124" t="s">
        <v>8923</v>
      </c>
      <c r="D4232" s="125"/>
      <c r="E4232" s="126">
        <v>10.88</v>
      </c>
      <c r="F4232" s="127"/>
      <c r="G4232" s="127"/>
      <c r="H4232" s="127"/>
      <c r="I4232" s="128"/>
      <c r="K4232" s="105" t="str">
        <f>IFERROR(__xludf.DUMMYFUNCTION("if(A4232="""","""",substitute(SUBSTITUTE(index(importhtml(""http://finviz.com/quote.ashx?t=""&amp;A4232,""table"",10),7,2),""*"",""""),""-"",""0.00""))"),"Loading...")</f>
        <v>Loading...</v>
      </c>
      <c r="L4232" s="129">
        <v>9.8756836E7</v>
      </c>
      <c r="M4232" s="99">
        <v>-0.63</v>
      </c>
    </row>
    <row r="4233">
      <c r="A4233" s="122" t="s">
        <v>8924</v>
      </c>
      <c r="B4233" s="123">
        <v>1845149.0</v>
      </c>
      <c r="C4233" s="124" t="s">
        <v>8925</v>
      </c>
      <c r="D4233" s="125"/>
      <c r="E4233" s="126">
        <v>10.88</v>
      </c>
      <c r="F4233" s="127"/>
      <c r="G4233" s="127"/>
      <c r="H4233" s="127"/>
      <c r="I4233" s="128"/>
      <c r="K4233" s="105" t="str">
        <f>IFERROR(__xludf.DUMMYFUNCTION("if(A4233="""","""",substitute(SUBSTITUTE(index(importhtml(""http://finviz.com/quote.ashx?t=""&amp;A4233,""table"",10),7,2),""*"",""""),""-"",""0.00""))"),"Loading...")</f>
        <v>Loading...</v>
      </c>
      <c r="L4233" s="129">
        <v>1.08219419E8</v>
      </c>
      <c r="M4233" s="99" t="str">
        <f>IFERROR(__xludf.DUMMYFUNCTION("GOOGLEFINANCE(A4233,""beta"")"),"#N/A")</f>
        <v>#N/A</v>
      </c>
    </row>
    <row r="4234">
      <c r="A4234" s="122" t="s">
        <v>8926</v>
      </c>
      <c r="B4234" s="123">
        <v>1881462.0</v>
      </c>
      <c r="C4234" s="124" t="s">
        <v>8927</v>
      </c>
      <c r="D4234" s="125"/>
      <c r="E4234" s="126">
        <v>10.88</v>
      </c>
      <c r="F4234" s="127"/>
      <c r="G4234" s="127"/>
      <c r="H4234" s="127"/>
      <c r="I4234" s="128"/>
      <c r="K4234" s="105" t="str">
        <f>IFERROR(__xludf.DUMMYFUNCTION("if(A4234="""","""",substitute(SUBSTITUTE(index(importhtml(""http://finviz.com/quote.ashx?t=""&amp;A4234,""table"",10),7,2),""*"",""""),""-"",""0.00""))"),"Loading...")</f>
        <v>Loading...</v>
      </c>
      <c r="L4234" s="129">
        <v>1.10734682E8</v>
      </c>
      <c r="M4234" s="99" t="str">
        <f>IFERROR(__xludf.DUMMYFUNCTION("GOOGLEFINANCE(A4234,""beta"")"),"#N/A")</f>
        <v>#N/A</v>
      </c>
    </row>
    <row r="4235">
      <c r="A4235" s="122" t="s">
        <v>8928</v>
      </c>
      <c r="B4235" s="123">
        <v>1846975.0</v>
      </c>
      <c r="C4235" s="124" t="s">
        <v>8929</v>
      </c>
      <c r="D4235" s="125"/>
      <c r="E4235" s="126">
        <v>10.88</v>
      </c>
      <c r="F4235" s="127"/>
      <c r="G4235" s="127"/>
      <c r="H4235" s="127"/>
      <c r="I4235" s="128"/>
      <c r="K4235" s="105" t="str">
        <f>IFERROR(__xludf.DUMMYFUNCTION("if(A4235="""","""",substitute(SUBSTITUTE(index(importhtml(""http://finviz.com/quote.ashx?t=""&amp;A4235,""table"",10),7,2),""*"",""""),""-"",""0.00""))"),"Loading...")</f>
        <v>Loading...</v>
      </c>
      <c r="L4235" s="129">
        <v>1.89349994E8</v>
      </c>
      <c r="M4235" s="99" t="str">
        <f>IFERROR(__xludf.DUMMYFUNCTION("GOOGLEFINANCE(A4235,""beta"")"),"#N/A")</f>
        <v>#N/A</v>
      </c>
    </row>
    <row r="4236">
      <c r="A4236" s="122" t="s">
        <v>8930</v>
      </c>
      <c r="B4236" s="123">
        <v>1838162.0</v>
      </c>
      <c r="C4236" s="124" t="s">
        <v>8931</v>
      </c>
      <c r="D4236" s="125"/>
      <c r="E4236" s="126">
        <v>10.88</v>
      </c>
      <c r="F4236" s="127"/>
      <c r="G4236" s="127"/>
      <c r="H4236" s="127"/>
      <c r="I4236" s="128"/>
      <c r="K4236" s="105" t="str">
        <f>IFERROR(__xludf.DUMMYFUNCTION("if(A4236="""","""",substitute(SUBSTITUTE(index(importhtml(""http://finviz.com/quote.ashx?t=""&amp;A4236,""table"",10),7,2),""*"",""""),""-"",""0.00""))"),"Loading...")</f>
        <v>Loading...</v>
      </c>
      <c r="L4236" s="129">
        <v>6.28475017E8</v>
      </c>
      <c r="M4236" s="99" t="str">
        <f>IFERROR(__xludf.DUMMYFUNCTION("GOOGLEFINANCE(A4236,""beta"")"),"#N/A")</f>
        <v>#N/A</v>
      </c>
    </row>
    <row r="4237">
      <c r="A4237" s="122" t="s">
        <v>8932</v>
      </c>
      <c r="B4237" s="123">
        <v>1162027.0</v>
      </c>
      <c r="C4237" s="124" t="s">
        <v>8933</v>
      </c>
      <c r="D4237" s="125"/>
      <c r="E4237" s="126">
        <v>10.89</v>
      </c>
      <c r="F4237" s="127"/>
      <c r="G4237" s="127"/>
      <c r="H4237" s="127"/>
      <c r="I4237" s="128"/>
      <c r="K4237" s="55" t="s">
        <v>7163</v>
      </c>
      <c r="L4237" s="129">
        <v>3.13032297E8</v>
      </c>
      <c r="M4237" s="99">
        <v>0.5</v>
      </c>
    </row>
    <row r="4238">
      <c r="A4238" s="122" t="s">
        <v>8934</v>
      </c>
      <c r="B4238" s="123">
        <v>1848821.0</v>
      </c>
      <c r="C4238" s="124" t="s">
        <v>8935</v>
      </c>
      <c r="D4238" s="125"/>
      <c r="E4238" s="126">
        <v>10.89</v>
      </c>
      <c r="F4238" s="127"/>
      <c r="G4238" s="127"/>
      <c r="H4238" s="127"/>
      <c r="I4238" s="128"/>
      <c r="K4238" s="105" t="str">
        <f>IFERROR(__xludf.DUMMYFUNCTION("if(A4238="""","""",substitute(SUBSTITUTE(index(importhtml(""http://finviz.com/quote.ashx?t=""&amp;A4238,""table"",10),7,2),""*"",""""),""-"",""0.00""))"),"Loading...")</f>
        <v>Loading...</v>
      </c>
      <c r="L4238" s="129">
        <v>7.721006E7</v>
      </c>
      <c r="M4238" s="99" t="str">
        <f>IFERROR(__xludf.DUMMYFUNCTION("GOOGLEFINANCE(A4238,""beta"")"),"#N/A")</f>
        <v>#N/A</v>
      </c>
    </row>
    <row r="4239">
      <c r="A4239" s="122" t="s">
        <v>8936</v>
      </c>
      <c r="B4239" s="123">
        <v>1860514.0</v>
      </c>
      <c r="C4239" s="124" t="s">
        <v>8937</v>
      </c>
      <c r="D4239" s="125"/>
      <c r="E4239" s="126">
        <v>10.89</v>
      </c>
      <c r="F4239" s="127"/>
      <c r="G4239" s="127"/>
      <c r="H4239" s="127"/>
      <c r="I4239" s="128"/>
      <c r="K4239" s="105" t="str">
        <f>IFERROR(__xludf.DUMMYFUNCTION("if(A4239="""","""",substitute(SUBSTITUTE(index(importhtml(""http://finviz.com/quote.ashx?t=""&amp;A4239,""table"",10),7,2),""*"",""""),""-"",""0.00""))"),"Loading...")</f>
        <v>Loading...</v>
      </c>
      <c r="L4239" s="129">
        <v>8.632552E7</v>
      </c>
      <c r="M4239" s="99" t="str">
        <f>IFERROR(__xludf.DUMMYFUNCTION("GOOGLEFINANCE(A4239,""beta"")"),"#N/A")</f>
        <v>#N/A</v>
      </c>
    </row>
    <row r="4240">
      <c r="A4240" s="122" t="s">
        <v>8938</v>
      </c>
      <c r="B4240" s="123">
        <v>1847345.0</v>
      </c>
      <c r="C4240" s="124" t="s">
        <v>8939</v>
      </c>
      <c r="D4240" s="125"/>
      <c r="E4240" s="126">
        <v>10.89</v>
      </c>
      <c r="F4240" s="127"/>
      <c r="G4240" s="127"/>
      <c r="H4240" s="127"/>
      <c r="I4240" s="128"/>
      <c r="K4240" s="105" t="str">
        <f>IFERROR(__xludf.DUMMYFUNCTION("if(A4240="""","""",substitute(SUBSTITUTE(index(importhtml(""http://finviz.com/quote.ashx?t=""&amp;A4240,""table"",10),7,2),""*"",""""),""-"",""0.00""))"),"Loading...")</f>
        <v>Loading...</v>
      </c>
      <c r="L4240" s="129">
        <v>9.809431E7</v>
      </c>
      <c r="M4240" s="99" t="str">
        <f>IFERROR(__xludf.DUMMYFUNCTION("GOOGLEFINANCE(A4240,""beta"")"),"#N/A")</f>
        <v>#N/A</v>
      </c>
    </row>
    <row r="4241">
      <c r="A4241" s="122" t="s">
        <v>8940</v>
      </c>
      <c r="B4241" s="123">
        <v>1875493.0</v>
      </c>
      <c r="C4241" s="124" t="s">
        <v>8941</v>
      </c>
      <c r="D4241" s="125"/>
      <c r="E4241" s="126">
        <v>10.89</v>
      </c>
      <c r="F4241" s="127"/>
      <c r="G4241" s="127"/>
      <c r="H4241" s="127"/>
      <c r="I4241" s="128"/>
      <c r="K4241" s="105" t="str">
        <f>IFERROR(__xludf.DUMMYFUNCTION("if(A4241="""","""",substitute(SUBSTITUTE(index(importhtml(""http://finviz.com/quote.ashx?t=""&amp;A4241,""table"",10),7,2),""*"",""""),""-"",""0.00""))"),"Loading...")</f>
        <v>Loading...</v>
      </c>
      <c r="L4241" s="129">
        <v>1.04199497E8</v>
      </c>
      <c r="M4241" s="99" t="str">
        <f>IFERROR(__xludf.DUMMYFUNCTION("GOOGLEFINANCE(A4241,""beta"")"),"#N/A")</f>
        <v>#N/A</v>
      </c>
    </row>
    <row r="4242">
      <c r="A4242" s="122" t="s">
        <v>8942</v>
      </c>
      <c r="B4242" s="123">
        <v>1843477.0</v>
      </c>
      <c r="C4242" s="124" t="s">
        <v>8943</v>
      </c>
      <c r="D4242" s="125"/>
      <c r="E4242" s="126">
        <v>10.89</v>
      </c>
      <c r="F4242" s="127"/>
      <c r="G4242" s="127"/>
      <c r="H4242" s="127"/>
      <c r="I4242" s="128"/>
      <c r="K4242" s="105" t="str">
        <f>IFERROR(__xludf.DUMMYFUNCTION("if(A4242="""","""",substitute(SUBSTITUTE(index(importhtml(""http://finviz.com/quote.ashx?t=""&amp;A4242,""table"",10),7,2),""*"",""""),""-"",""0.00""))"),"Loading...")</f>
        <v>Loading...</v>
      </c>
      <c r="L4242" s="129">
        <v>2.4289525E8</v>
      </c>
      <c r="M4242" s="99" t="str">
        <f>IFERROR(__xludf.DUMMYFUNCTION("GOOGLEFINANCE(A4242,""beta"")"),"#N/A")</f>
        <v>#N/A</v>
      </c>
    </row>
    <row r="4243">
      <c r="A4243" s="122" t="s">
        <v>8944</v>
      </c>
      <c r="B4243" s="123">
        <v>1816590.0</v>
      </c>
      <c r="C4243" s="124" t="s">
        <v>8945</v>
      </c>
      <c r="D4243" s="125"/>
      <c r="E4243" s="126">
        <v>10.89</v>
      </c>
      <c r="F4243" s="127"/>
      <c r="G4243" s="127"/>
      <c r="H4243" s="127"/>
      <c r="I4243" s="128"/>
      <c r="K4243" s="105" t="str">
        <f>IFERROR(__xludf.DUMMYFUNCTION("if(A4243="""","""",substitute(SUBSTITUTE(index(importhtml(""http://finviz.com/quote.ashx?t=""&amp;A4243,""table"",10),7,2),""*"",""""),""-"",""0.00""))"),"Loading...")</f>
        <v>Loading...</v>
      </c>
      <c r="L4243" s="129">
        <v>6.74053232E8</v>
      </c>
      <c r="M4243" s="99">
        <v>2.6</v>
      </c>
    </row>
    <row r="4244">
      <c r="A4244" s="122" t="s">
        <v>8946</v>
      </c>
      <c r="B4244" s="123">
        <v>1844505.0</v>
      </c>
      <c r="C4244" s="124" t="s">
        <v>8947</v>
      </c>
      <c r="D4244" s="125"/>
      <c r="E4244" s="126">
        <v>10.9</v>
      </c>
      <c r="F4244" s="127"/>
      <c r="G4244" s="127"/>
      <c r="H4244" s="127"/>
      <c r="I4244" s="128"/>
      <c r="K4244" s="55" t="s">
        <v>1034</v>
      </c>
      <c r="L4244" s="129">
        <v>9.4393745E7</v>
      </c>
      <c r="M4244" s="99" t="str">
        <f>IFERROR(__xludf.DUMMYFUNCTION("GOOGLEFINANCE(A4244,""beta"")"),"#N/A")</f>
        <v>#N/A</v>
      </c>
    </row>
    <row r="4245">
      <c r="A4245" s="122" t="s">
        <v>8948</v>
      </c>
      <c r="B4245" s="123">
        <v>1861121.0</v>
      </c>
      <c r="C4245" s="124" t="s">
        <v>8949</v>
      </c>
      <c r="D4245" s="125"/>
      <c r="E4245" s="126">
        <v>10.9</v>
      </c>
      <c r="F4245" s="127"/>
      <c r="G4245" s="127"/>
      <c r="H4245" s="127"/>
      <c r="I4245" s="128"/>
      <c r="K4245" s="55" t="s">
        <v>1034</v>
      </c>
      <c r="L4245" s="129">
        <v>1.70074547E8</v>
      </c>
      <c r="M4245" s="99" t="str">
        <f>IFERROR(__xludf.DUMMYFUNCTION("GOOGLEFINANCE(A4245,""beta"")"),"#N/A")</f>
        <v>#N/A</v>
      </c>
    </row>
    <row r="4246">
      <c r="A4246" s="122" t="s">
        <v>8950</v>
      </c>
      <c r="B4246" s="123">
        <v>1868775.0</v>
      </c>
      <c r="C4246" s="124" t="s">
        <v>8951</v>
      </c>
      <c r="D4246" s="125"/>
      <c r="E4246" s="126">
        <v>10.9</v>
      </c>
      <c r="F4246" s="127"/>
      <c r="G4246" s="127"/>
      <c r="H4246" s="127"/>
      <c r="I4246" s="128"/>
      <c r="K4246" s="105" t="str">
        <f>IFERROR(__xludf.DUMMYFUNCTION("if(A4246="""","""",substitute(SUBSTITUTE(index(importhtml(""http://finviz.com/quote.ashx?t=""&amp;A4246,""table"",10),7,2),""*"",""""),""-"",""0.00""))"),"Loading...")</f>
        <v>Loading...</v>
      </c>
      <c r="L4246" s="129">
        <v>4.091665E7</v>
      </c>
      <c r="M4246" s="99" t="str">
        <f>IFERROR(__xludf.DUMMYFUNCTION("GOOGLEFINANCE(A4246,""beta"")"),"#N/A")</f>
        <v>#N/A</v>
      </c>
    </row>
    <row r="4247">
      <c r="A4247" s="122" t="s">
        <v>8952</v>
      </c>
      <c r="B4247" s="123">
        <v>1866547.0</v>
      </c>
      <c r="C4247" s="124" t="s">
        <v>8953</v>
      </c>
      <c r="D4247" s="125"/>
      <c r="E4247" s="126">
        <v>10.9</v>
      </c>
      <c r="F4247" s="127"/>
      <c r="G4247" s="127"/>
      <c r="H4247" s="127"/>
      <c r="I4247" s="128"/>
      <c r="K4247" s="105" t="str">
        <f>IFERROR(__xludf.DUMMYFUNCTION("if(A4247="""","""",substitute(SUBSTITUTE(index(importhtml(""http://finviz.com/quote.ashx?t=""&amp;A4247,""table"",10),7,2),""*"",""""),""-"",""0.00""))"),"#N/A")</f>
        <v>#N/A</v>
      </c>
      <c r="L4247" s="129">
        <v>6.970008E7</v>
      </c>
      <c r="M4247" s="99" t="str">
        <f>IFERROR(__xludf.DUMMYFUNCTION("GOOGLEFINANCE(A4247,""beta"")"),"#N/A")</f>
        <v>#N/A</v>
      </c>
    </row>
    <row r="4248">
      <c r="A4248" s="122" t="s">
        <v>8954</v>
      </c>
      <c r="B4248" s="123">
        <v>1848821.0</v>
      </c>
      <c r="C4248" s="124" t="s">
        <v>8955</v>
      </c>
      <c r="D4248" s="125"/>
      <c r="E4248" s="126">
        <v>10.9</v>
      </c>
      <c r="F4248" s="127"/>
      <c r="G4248" s="127"/>
      <c r="H4248" s="127"/>
      <c r="I4248" s="128"/>
      <c r="K4248" s="105" t="str">
        <f>IFERROR(__xludf.DUMMYFUNCTION("if(A4248="""","""",substitute(SUBSTITUTE(index(importhtml(""http://finviz.com/quote.ashx?t=""&amp;A4248,""table"",10),7,2),""*"",""""),""-"",""0.00""))"),"Loading...")</f>
        <v>Loading...</v>
      </c>
      <c r="L4248" s="129">
        <v>7.721006E7</v>
      </c>
      <c r="M4248" s="99" t="str">
        <f>IFERROR(__xludf.DUMMYFUNCTION("GOOGLEFINANCE(A4248,""beta"")"),"#N/A")</f>
        <v>#N/A</v>
      </c>
    </row>
    <row r="4249">
      <c r="A4249" s="122" t="s">
        <v>8956</v>
      </c>
      <c r="B4249" s="123">
        <v>1890671.0</v>
      </c>
      <c r="C4249" s="124" t="s">
        <v>8957</v>
      </c>
      <c r="D4249" s="125"/>
      <c r="E4249" s="126">
        <v>10.9</v>
      </c>
      <c r="F4249" s="127"/>
      <c r="G4249" s="127"/>
      <c r="H4249" s="127"/>
      <c r="I4249" s="128"/>
      <c r="K4249" s="105" t="str">
        <f>IFERROR(__xludf.DUMMYFUNCTION("if(A4249="""","""",substitute(SUBSTITUTE(index(importhtml(""http://finviz.com/quote.ashx?t=""&amp;A4249,""table"",10),7,2),""*"",""""),""-"",""0.00""))"),"Loading...")</f>
        <v>Loading...</v>
      </c>
      <c r="L4249" s="129">
        <v>8.39043E7</v>
      </c>
      <c r="M4249" s="99" t="str">
        <f>IFERROR(__xludf.DUMMYFUNCTION("GOOGLEFINANCE(A4249,""beta"")"),"#N/A")</f>
        <v>#N/A</v>
      </c>
    </row>
    <row r="4250">
      <c r="A4250" s="122" t="s">
        <v>8958</v>
      </c>
      <c r="B4250" s="123">
        <v>1856961.0</v>
      </c>
      <c r="C4250" s="124" t="s">
        <v>1021</v>
      </c>
      <c r="D4250" s="125"/>
      <c r="E4250" s="126">
        <v>10.9</v>
      </c>
      <c r="F4250" s="127"/>
      <c r="G4250" s="127"/>
      <c r="H4250" s="127"/>
      <c r="I4250" s="128"/>
      <c r="K4250" s="105" t="str">
        <f>IFERROR(__xludf.DUMMYFUNCTION("if(A4250="""","""",substitute(SUBSTITUTE(index(importhtml(""http://finviz.com/quote.ashx?t=""&amp;A4250,""table"",10),7,2),""*"",""""),""-"",""0.00""))"),"Loading...")</f>
        <v>Loading...</v>
      </c>
      <c r="L4250" s="129">
        <v>2.58534256E8</v>
      </c>
      <c r="M4250" s="99" t="str">
        <f>IFERROR(__xludf.DUMMYFUNCTION("GOOGLEFINANCE(A4250,""beta"")"),"#N/A")</f>
        <v>#N/A</v>
      </c>
    </row>
    <row r="4251">
      <c r="A4251" s="122" t="s">
        <v>8959</v>
      </c>
      <c r="B4251" s="123">
        <v>313364.0</v>
      </c>
      <c r="C4251" s="124" t="s">
        <v>8960</v>
      </c>
      <c r="D4251" s="125"/>
      <c r="E4251" s="126">
        <v>10.91</v>
      </c>
      <c r="F4251" s="127"/>
      <c r="G4251" s="127"/>
      <c r="H4251" s="127"/>
      <c r="I4251" s="128"/>
      <c r="K4251" s="105" t="str">
        <f>IFERROR(__xludf.DUMMYFUNCTION("if(A4251="""","""",substitute(SUBSTITUTE(index(importhtml(""http://finviz.com/quote.ashx?t=""&amp;A4251,""table"",10),7,2),""*"",""""),""-"",""0.00""))"),"Loading...")</f>
        <v>Loading...</v>
      </c>
      <c r="L4251" s="129">
        <v>2.0337533E7</v>
      </c>
      <c r="M4251" s="99">
        <v>0.69</v>
      </c>
    </row>
    <row r="4252">
      <c r="A4252" s="122" t="s">
        <v>8961</v>
      </c>
      <c r="B4252" s="123">
        <v>1847345.0</v>
      </c>
      <c r="C4252" s="124" t="s">
        <v>8962</v>
      </c>
      <c r="D4252" s="125"/>
      <c r="E4252" s="126">
        <v>10.91</v>
      </c>
      <c r="F4252" s="127"/>
      <c r="G4252" s="127"/>
      <c r="H4252" s="127"/>
      <c r="I4252" s="128"/>
      <c r="K4252" s="105" t="str">
        <f>IFERROR(__xludf.DUMMYFUNCTION("if(A4252="""","""",substitute(SUBSTITUTE(index(importhtml(""http://finviz.com/quote.ashx?t=""&amp;A4252,""table"",10),7,2),""*"",""""),""-"",""0.00""))"),"Loading...")</f>
        <v>Loading...</v>
      </c>
      <c r="L4252" s="129">
        <v>9.809431E7</v>
      </c>
      <c r="M4252" s="99" t="str">
        <f>IFERROR(__xludf.DUMMYFUNCTION("GOOGLEFINANCE(A4252,""beta"")"),"#N/A")</f>
        <v>#N/A</v>
      </c>
    </row>
    <row r="4253">
      <c r="A4253" s="122" t="s">
        <v>8963</v>
      </c>
      <c r="B4253" s="123">
        <v>1160864.0</v>
      </c>
      <c r="C4253" s="124" t="s">
        <v>8964</v>
      </c>
      <c r="D4253" s="125"/>
      <c r="E4253" s="126">
        <v>10.92</v>
      </c>
      <c r="F4253" s="127"/>
      <c r="G4253" s="127"/>
      <c r="H4253" s="127"/>
      <c r="I4253" s="128"/>
      <c r="K4253" s="55" t="s">
        <v>8965</v>
      </c>
      <c r="L4253" s="129">
        <v>5.89796848E8</v>
      </c>
      <c r="M4253" s="99">
        <v>0.7</v>
      </c>
    </row>
    <row r="4254">
      <c r="A4254" s="122" t="s">
        <v>8966</v>
      </c>
      <c r="B4254" s="123">
        <v>1873324.0</v>
      </c>
      <c r="C4254" s="124" t="s">
        <v>8967</v>
      </c>
      <c r="D4254" s="125"/>
      <c r="E4254" s="126">
        <v>10.92</v>
      </c>
      <c r="F4254" s="127"/>
      <c r="G4254" s="127"/>
      <c r="H4254" s="127"/>
      <c r="I4254" s="128"/>
      <c r="K4254" s="105" t="str">
        <f>IFERROR(__xludf.DUMMYFUNCTION("if(A4254="""","""",substitute(SUBSTITUTE(index(importhtml(""http://finviz.com/quote.ashx?t=""&amp;A4254,""table"",10),7,2),""*"",""""),""-"",""0.00""))"),"Loading...")</f>
        <v>Loading...</v>
      </c>
      <c r="L4254" s="129">
        <v>5.529735E7</v>
      </c>
      <c r="M4254" s="99" t="str">
        <f>IFERROR(__xludf.DUMMYFUNCTION("GOOGLEFINANCE(A4254,""beta"")"),"#N/A")</f>
        <v>#N/A</v>
      </c>
    </row>
    <row r="4255">
      <c r="A4255" s="122" t="s">
        <v>8968</v>
      </c>
      <c r="B4255" s="123">
        <v>1839519.0</v>
      </c>
      <c r="C4255" s="124" t="s">
        <v>8969</v>
      </c>
      <c r="D4255" s="125"/>
      <c r="E4255" s="126">
        <v>10.92</v>
      </c>
      <c r="F4255" s="127"/>
      <c r="G4255" s="127"/>
      <c r="H4255" s="127"/>
      <c r="I4255" s="128"/>
      <c r="K4255" s="105" t="str">
        <f>IFERROR(__xludf.DUMMYFUNCTION("if(A4255="""","""",substitute(SUBSTITUTE(index(importhtml(""http://finviz.com/quote.ashx?t=""&amp;A4255,""table"",10),7,2),""*"",""""),""-"",""0.00""))"),"Loading...")</f>
        <v>Loading...</v>
      </c>
      <c r="L4255" s="129">
        <v>2.10931595E8</v>
      </c>
      <c r="M4255" s="99" t="str">
        <f>IFERROR(__xludf.DUMMYFUNCTION("GOOGLEFINANCE(A4255,""beta"")"),"#N/A")</f>
        <v>#N/A</v>
      </c>
    </row>
    <row r="4256">
      <c r="A4256" s="122" t="s">
        <v>8970</v>
      </c>
      <c r="B4256" s="123">
        <v>1844817.0</v>
      </c>
      <c r="C4256" s="124" t="s">
        <v>8971</v>
      </c>
      <c r="D4256" s="125"/>
      <c r="E4256" s="126">
        <v>10.92</v>
      </c>
      <c r="F4256" s="127"/>
      <c r="G4256" s="127"/>
      <c r="H4256" s="127"/>
      <c r="I4256" s="128"/>
      <c r="K4256" s="105" t="str">
        <f>IFERROR(__xludf.DUMMYFUNCTION("if(A4256="""","""",substitute(SUBSTITUTE(index(importhtml(""http://finviz.com/quote.ashx?t=""&amp;A4256,""table"",10),7,2),""*"",""""),""-"",""0.00""))"),"Loading...")</f>
        <v>Loading...</v>
      </c>
      <c r="L4256" s="129">
        <v>2.31582917E8</v>
      </c>
      <c r="M4256" s="99" t="str">
        <f>IFERROR(__xludf.DUMMYFUNCTION("GOOGLEFINANCE(A4256,""beta"")"),"#N/A")</f>
        <v>#N/A</v>
      </c>
    </row>
    <row r="4257">
      <c r="A4257" s="122" t="s">
        <v>8972</v>
      </c>
      <c r="B4257" s="123">
        <v>855886.0</v>
      </c>
      <c r="C4257" s="124" t="s">
        <v>8973</v>
      </c>
      <c r="D4257" s="125"/>
      <c r="E4257" s="126">
        <v>10.92</v>
      </c>
      <c r="F4257" s="127"/>
      <c r="G4257" s="127"/>
      <c r="H4257" s="127"/>
      <c r="I4257" s="128"/>
      <c r="K4257" s="105" t="str">
        <f>IFERROR(__xludf.DUMMYFUNCTION("if(A4257="""","""",substitute(SUBSTITUTE(index(importhtml(""http://finviz.com/quote.ashx?t=""&amp;A4257,""table"",10),7,2),""*"",""""),""-"",""0.00""))"),"Loading...")</f>
        <v>Loading...</v>
      </c>
      <c r="L4257" s="129">
        <v>5.37102606E8</v>
      </c>
      <c r="M4257" s="99">
        <v>0.9</v>
      </c>
    </row>
    <row r="4258">
      <c r="A4258" s="122" t="s">
        <v>8974</v>
      </c>
      <c r="B4258" s="123">
        <v>949157.0</v>
      </c>
      <c r="C4258" s="124" t="s">
        <v>8975</v>
      </c>
      <c r="D4258" s="125"/>
      <c r="E4258" s="126">
        <v>10.92</v>
      </c>
      <c r="F4258" s="127"/>
      <c r="G4258" s="127"/>
      <c r="H4258" s="127"/>
      <c r="I4258" s="128"/>
      <c r="K4258" s="105" t="str">
        <f>IFERROR(__xludf.DUMMYFUNCTION("if(A4258="""","""",substitute(SUBSTITUTE(index(importhtml(""http://finviz.com/quote.ashx?t=""&amp;A4258,""table"",10),7,2),""*"",""""),""-"",""0.00""))"),"Loading...")</f>
        <v>Loading...</v>
      </c>
      <c r="L4258" s="129">
        <v>1.009058457E9</v>
      </c>
      <c r="M4258" s="99">
        <v>2.7</v>
      </c>
    </row>
    <row r="4259">
      <c r="A4259" s="122" t="s">
        <v>8976</v>
      </c>
      <c r="B4259" s="123">
        <v>1783879.0</v>
      </c>
      <c r="C4259" s="124" t="s">
        <v>8977</v>
      </c>
      <c r="D4259" s="125"/>
      <c r="E4259" s="126">
        <v>10.92</v>
      </c>
      <c r="F4259" s="127"/>
      <c r="G4259" s="127"/>
      <c r="H4259" s="127"/>
      <c r="I4259" s="128"/>
      <c r="K4259" s="105" t="str">
        <f>IFERROR(__xludf.DUMMYFUNCTION("if(A4259="""","""",substitute(SUBSTITUTE(index(importhtml(""http://finviz.com/quote.ashx?t=""&amp;A4259,""table"",10),7,2),""*"",""""),""-"",""0.00""))"),"Loading...")</f>
        <v>Loading...</v>
      </c>
      <c r="L4259" s="129">
        <v>9.443418413E9</v>
      </c>
      <c r="M4259" s="99">
        <f>IFERROR(__xludf.DUMMYFUNCTION("GOOGLEFINANCE(A4259,""beta"")"),2.42)</f>
        <v>2.42</v>
      </c>
    </row>
    <row r="4260">
      <c r="A4260" s="122" t="s">
        <v>8978</v>
      </c>
      <c r="B4260" s="123">
        <v>1865701.0</v>
      </c>
      <c r="C4260" s="124" t="s">
        <v>8979</v>
      </c>
      <c r="D4260" s="125"/>
      <c r="E4260" s="126">
        <v>10.93</v>
      </c>
      <c r="F4260" s="127"/>
      <c r="G4260" s="127"/>
      <c r="H4260" s="127"/>
      <c r="I4260" s="128"/>
      <c r="K4260" s="105" t="str">
        <f>IFERROR(__xludf.DUMMYFUNCTION("if(A4260="""","""",substitute(SUBSTITUTE(index(importhtml(""http://finviz.com/quote.ashx?t=""&amp;A4260,""table"",10),7,2),""*"",""""),""-"",""0.00""))"),"Loading...")</f>
        <v>Loading...</v>
      </c>
      <c r="L4260" s="129">
        <v>2.2295597E7</v>
      </c>
      <c r="M4260" s="99" t="str">
        <f>IFERROR(__xludf.DUMMYFUNCTION("GOOGLEFINANCE(A4260,""beta"")"),"#N/A")</f>
        <v>#N/A</v>
      </c>
    </row>
    <row r="4261">
      <c r="A4261" s="122" t="s">
        <v>8980</v>
      </c>
      <c r="B4261" s="123">
        <v>1890671.0</v>
      </c>
      <c r="C4261" s="124" t="s">
        <v>8981</v>
      </c>
      <c r="D4261" s="125"/>
      <c r="E4261" s="126">
        <v>10.93</v>
      </c>
      <c r="F4261" s="127"/>
      <c r="G4261" s="127"/>
      <c r="H4261" s="127"/>
      <c r="I4261" s="128"/>
      <c r="K4261" s="105" t="str">
        <f>IFERROR(__xludf.DUMMYFUNCTION("if(A4261="""","""",substitute(SUBSTITUTE(index(importhtml(""http://finviz.com/quote.ashx?t=""&amp;A4261,""table"",10),7,2),""*"",""""),""-"",""0.00""))"),"Loading...")</f>
        <v>Loading...</v>
      </c>
      <c r="L4261" s="129">
        <v>8.39043E7</v>
      </c>
      <c r="M4261" s="99" t="str">
        <f>IFERROR(__xludf.DUMMYFUNCTION("GOOGLEFINANCE(A4261,""beta"")"),"#N/A")</f>
        <v>#N/A</v>
      </c>
    </row>
    <row r="4262">
      <c r="A4262" s="122" t="s">
        <v>8982</v>
      </c>
      <c r="B4262" s="123">
        <v>1831964.0</v>
      </c>
      <c r="C4262" s="124" t="s">
        <v>8983</v>
      </c>
      <c r="D4262" s="125"/>
      <c r="E4262" s="126">
        <v>10.93</v>
      </c>
      <c r="F4262" s="127"/>
      <c r="G4262" s="127"/>
      <c r="H4262" s="127"/>
      <c r="I4262" s="128"/>
      <c r="K4262" s="105" t="str">
        <f>IFERROR(__xludf.DUMMYFUNCTION("if(A4262="""","""",substitute(SUBSTITUTE(index(importhtml(""http://finviz.com/quote.ashx?t=""&amp;A4262,""table"",10),7,2),""*"",""""),""-"",""0.00""))"),"Loading...")</f>
        <v>Loading...</v>
      </c>
      <c r="L4262" s="129">
        <v>8.742518E7</v>
      </c>
      <c r="M4262" s="99" t="str">
        <f>IFERROR(__xludf.DUMMYFUNCTION("GOOGLEFINANCE(A4262,""beta"")"),"#N/A")</f>
        <v>#N/A</v>
      </c>
    </row>
    <row r="4263">
      <c r="A4263" s="122" t="s">
        <v>8984</v>
      </c>
      <c r="B4263" s="123">
        <v>1845149.0</v>
      </c>
      <c r="C4263" s="124" t="s">
        <v>8985</v>
      </c>
      <c r="D4263" s="125"/>
      <c r="E4263" s="126">
        <v>10.93</v>
      </c>
      <c r="F4263" s="127"/>
      <c r="G4263" s="127"/>
      <c r="H4263" s="127"/>
      <c r="I4263" s="128"/>
      <c r="K4263" s="105" t="str">
        <f>IFERROR(__xludf.DUMMYFUNCTION("if(A4263="""","""",substitute(SUBSTITUTE(index(importhtml(""http://finviz.com/quote.ashx?t=""&amp;A4263,""table"",10),7,2),""*"",""""),""-"",""0.00""))"),"Loading...")</f>
        <v>Loading...</v>
      </c>
      <c r="L4263" s="129">
        <v>1.08219419E8</v>
      </c>
      <c r="M4263" s="99" t="str">
        <f>IFERROR(__xludf.DUMMYFUNCTION("GOOGLEFINANCE(A4263,""beta"")"),"#N/A")</f>
        <v>#N/A</v>
      </c>
    </row>
    <row r="4264">
      <c r="A4264" s="122" t="s">
        <v>8986</v>
      </c>
      <c r="B4264" s="123">
        <v>1847577.0</v>
      </c>
      <c r="C4264" s="124" t="s">
        <v>8987</v>
      </c>
      <c r="D4264" s="125"/>
      <c r="E4264" s="126">
        <v>10.93</v>
      </c>
      <c r="F4264" s="127"/>
      <c r="G4264" s="127"/>
      <c r="H4264" s="127"/>
      <c r="I4264" s="128"/>
      <c r="K4264" s="105" t="str">
        <f>IFERROR(__xludf.DUMMYFUNCTION("if(A4264="""","""",substitute(SUBSTITUTE(index(importhtml(""http://finviz.com/quote.ashx?t=""&amp;A4264,""table"",10),7,2),""*"",""""),""-"",""0.00""))"),"Loading...")</f>
        <v>Loading...</v>
      </c>
      <c r="L4264" s="129">
        <v>1.64840882E8</v>
      </c>
      <c r="M4264" s="99" t="str">
        <f>IFERROR(__xludf.DUMMYFUNCTION("GOOGLEFINANCE(A4264,""beta"")"),"#N/A")</f>
        <v>#N/A</v>
      </c>
    </row>
    <row r="4265">
      <c r="A4265" s="122" t="s">
        <v>8988</v>
      </c>
      <c r="B4265" s="123">
        <v>1838162.0</v>
      </c>
      <c r="C4265" s="124" t="s">
        <v>8989</v>
      </c>
      <c r="D4265" s="125"/>
      <c r="E4265" s="126">
        <v>10.93</v>
      </c>
      <c r="F4265" s="127"/>
      <c r="G4265" s="127"/>
      <c r="H4265" s="127"/>
      <c r="I4265" s="128"/>
      <c r="K4265" s="105" t="str">
        <f>IFERROR(__xludf.DUMMYFUNCTION("if(A4265="""","""",substitute(SUBSTITUTE(index(importhtml(""http://finviz.com/quote.ashx?t=""&amp;A4265,""table"",10),7,2),""*"",""""),""-"",""0.00""))"),"Loading...")</f>
        <v>Loading...</v>
      </c>
      <c r="L4265" s="129">
        <v>6.28475017E8</v>
      </c>
      <c r="M4265" s="99" t="str">
        <f>IFERROR(__xludf.DUMMYFUNCTION("GOOGLEFINANCE(A4265,""beta"")"),"#N/A")</f>
        <v>#N/A</v>
      </c>
    </row>
    <row r="4266">
      <c r="A4266" s="122" t="s">
        <v>8990</v>
      </c>
      <c r="B4266" s="123">
        <v>1865861.0</v>
      </c>
      <c r="C4266" s="124" t="s">
        <v>8991</v>
      </c>
      <c r="D4266" s="125"/>
      <c r="E4266" s="126">
        <v>10.94</v>
      </c>
      <c r="F4266" s="127"/>
      <c r="G4266" s="127"/>
      <c r="H4266" s="127"/>
      <c r="I4266" s="128"/>
      <c r="K4266" s="105" t="str">
        <f>IFERROR(__xludf.DUMMYFUNCTION("if(A4266="""","""",substitute(SUBSTITUTE(index(importhtml(""http://finviz.com/quote.ashx?t=""&amp;A4266,""table"",10),7,2),""*"",""""),""-"",""0.00""))"),"Loading...")</f>
        <v>Loading...</v>
      </c>
      <c r="L4266" s="129">
        <v>5.6178809E7</v>
      </c>
      <c r="M4266" s="99" t="str">
        <f>IFERROR(__xludf.DUMMYFUNCTION("GOOGLEFINANCE(A4266,""beta"")"),"#N/A")</f>
        <v>#N/A</v>
      </c>
    </row>
    <row r="4267">
      <c r="A4267" s="122" t="s">
        <v>8992</v>
      </c>
      <c r="B4267" s="123">
        <v>1848861.0</v>
      </c>
      <c r="C4267" s="124" t="s">
        <v>8993</v>
      </c>
      <c r="D4267" s="125"/>
      <c r="E4267" s="126">
        <v>10.94</v>
      </c>
      <c r="F4267" s="127"/>
      <c r="G4267" s="127"/>
      <c r="H4267" s="127"/>
      <c r="I4267" s="128"/>
      <c r="K4267" s="105" t="str">
        <f>IFERROR(__xludf.DUMMYFUNCTION("if(A4267="""","""",substitute(SUBSTITUTE(index(importhtml(""http://finviz.com/quote.ashx?t=""&amp;A4267,""table"",10),7,2),""*"",""""),""-"",""0.00""))"),"Loading...")</f>
        <v>Loading...</v>
      </c>
      <c r="L4267" s="129" t="e">
        <v>#N/A</v>
      </c>
      <c r="M4267" s="99" t="e">
        <v>#N/A</v>
      </c>
    </row>
    <row r="4268">
      <c r="A4268" s="122" t="s">
        <v>8994</v>
      </c>
      <c r="B4268" s="123">
        <v>1901886.0</v>
      </c>
      <c r="C4268" s="124" t="s">
        <v>8995</v>
      </c>
      <c r="D4268" s="125"/>
      <c r="E4268" s="126">
        <v>10.94</v>
      </c>
      <c r="F4268" s="127"/>
      <c r="G4268" s="127"/>
      <c r="H4268" s="127"/>
      <c r="I4268" s="128"/>
      <c r="K4268" s="105" t="str">
        <f>IFERROR(__xludf.DUMMYFUNCTION("if(A4268="""","""",substitute(SUBSTITUTE(index(importhtml(""http://finviz.com/quote.ashx?t=""&amp;A4268,""table"",10),7,2),""*"",""""),""-"",""0.00""))"),"Loading...")</f>
        <v>Loading...</v>
      </c>
      <c r="L4268" s="129">
        <v>6.342521E7</v>
      </c>
      <c r="M4268" s="99" t="str">
        <f>IFERROR(__xludf.DUMMYFUNCTION("GOOGLEFINANCE(A4268,""beta"")"),"#N/A")</f>
        <v>#N/A</v>
      </c>
    </row>
    <row r="4269">
      <c r="A4269" s="122" t="s">
        <v>8996</v>
      </c>
      <c r="B4269" s="123">
        <v>1852016.0</v>
      </c>
      <c r="C4269" s="124" t="s">
        <v>8997</v>
      </c>
      <c r="D4269" s="125"/>
      <c r="E4269" s="126">
        <v>10.94</v>
      </c>
      <c r="F4269" s="127"/>
      <c r="G4269" s="127"/>
      <c r="H4269" s="127"/>
      <c r="I4269" s="128"/>
      <c r="K4269" s="105" t="str">
        <f>IFERROR(__xludf.DUMMYFUNCTION("if(A4269="""","""",substitute(SUBSTITUTE(index(importhtml(""http://finviz.com/quote.ashx?t=""&amp;A4269,""table"",10),7,2),""*"",""""),""-"",""0.00""))"),"Loading...")</f>
        <v>Loading...</v>
      </c>
      <c r="L4269" s="129">
        <v>8.045571E7</v>
      </c>
      <c r="M4269" s="99">
        <f>IFERROR(__xludf.DUMMYFUNCTION("GOOGLEFINANCE(A4269,""beta"")"),-0.07)</f>
        <v>-0.07</v>
      </c>
    </row>
    <row r="4270">
      <c r="A4270" s="122" t="s">
        <v>8998</v>
      </c>
      <c r="B4270" s="123">
        <v>1801417.0</v>
      </c>
      <c r="C4270" s="124" t="s">
        <v>8999</v>
      </c>
      <c r="D4270" s="125"/>
      <c r="E4270" s="126">
        <v>10.94</v>
      </c>
      <c r="F4270" s="127"/>
      <c r="G4270" s="127"/>
      <c r="H4270" s="127"/>
      <c r="I4270" s="128"/>
      <c r="K4270" s="105" t="str">
        <f>IFERROR(__xludf.DUMMYFUNCTION("if(A4270="""","""",substitute(SUBSTITUTE(index(importhtml(""http://finviz.com/quote.ashx?t=""&amp;A4270,""table"",10),7,2),""*"",""""),""-"",""0.00""))"),"Loading...")</f>
        <v>Loading...</v>
      </c>
      <c r="L4270" s="129">
        <v>1.135528E8</v>
      </c>
      <c r="M4270" s="99">
        <f>IFERROR(__xludf.DUMMYFUNCTION("GOOGLEFINANCE(A4270,""beta"")"),-0.24)</f>
        <v>-0.24</v>
      </c>
    </row>
    <row r="4271">
      <c r="A4271" s="122" t="s">
        <v>9000</v>
      </c>
      <c r="B4271" s="123">
        <v>1895249.0</v>
      </c>
      <c r="C4271" s="124" t="s">
        <v>9001</v>
      </c>
      <c r="D4271" s="125"/>
      <c r="E4271" s="126">
        <v>10.94</v>
      </c>
      <c r="F4271" s="127"/>
      <c r="G4271" s="127"/>
      <c r="H4271" s="127"/>
      <c r="I4271" s="128"/>
      <c r="K4271" s="105" t="str">
        <f>IFERROR(__xludf.DUMMYFUNCTION("if(A4271="""","""",substitute(SUBSTITUTE(index(importhtml(""http://finviz.com/quote.ashx?t=""&amp;A4271,""table"",10),7,2),""*"",""""),""-"",""0.00""))"),"Loading...")</f>
        <v>Loading...</v>
      </c>
      <c r="L4271" s="129">
        <v>2.07455102E8</v>
      </c>
      <c r="M4271" s="99" t="str">
        <f>IFERROR(__xludf.DUMMYFUNCTION("GOOGLEFINANCE(A4271,""beta"")"),"#N/A")</f>
        <v>#N/A</v>
      </c>
    </row>
    <row r="4272">
      <c r="A4272" s="122" t="s">
        <v>9002</v>
      </c>
      <c r="B4272" s="123">
        <v>1857803.0</v>
      </c>
      <c r="C4272" s="124" t="s">
        <v>9003</v>
      </c>
      <c r="D4272" s="125"/>
      <c r="E4272" s="126">
        <v>10.94</v>
      </c>
      <c r="F4272" s="127"/>
      <c r="G4272" s="127"/>
      <c r="H4272" s="127"/>
      <c r="I4272" s="128"/>
      <c r="K4272" s="105" t="str">
        <f>IFERROR(__xludf.DUMMYFUNCTION("if(A4272="""","""",substitute(SUBSTITUTE(index(importhtml(""http://finviz.com/quote.ashx?t=""&amp;A4272,""table"",10),7,2),""*"",""""),""-"",""0.00""))"),"Loading...")</f>
        <v>Loading...</v>
      </c>
      <c r="L4272" s="129">
        <v>3.02719436E8</v>
      </c>
      <c r="M4272" s="99" t="str">
        <f>IFERROR(__xludf.DUMMYFUNCTION("GOOGLEFINANCE(A4272,""beta"")"),"#N/A")</f>
        <v>#N/A</v>
      </c>
    </row>
    <row r="4273">
      <c r="A4273" s="122" t="s">
        <v>9004</v>
      </c>
      <c r="B4273" s="123">
        <v>1379384.0</v>
      </c>
      <c r="C4273" s="124" t="s">
        <v>9005</v>
      </c>
      <c r="D4273" s="125"/>
      <c r="E4273" s="126">
        <v>10.95</v>
      </c>
      <c r="F4273" s="127"/>
      <c r="G4273" s="127"/>
      <c r="H4273" s="127"/>
      <c r="I4273" s="128"/>
      <c r="K4273" s="55" t="s">
        <v>8281</v>
      </c>
      <c r="L4273" s="129">
        <v>1.023902727E9</v>
      </c>
      <c r="M4273" s="99">
        <v>0.79</v>
      </c>
    </row>
    <row r="4274">
      <c r="A4274" s="122" t="s">
        <v>9006</v>
      </c>
      <c r="B4274" s="123">
        <v>1930313.0</v>
      </c>
      <c r="C4274" s="124" t="s">
        <v>9007</v>
      </c>
      <c r="D4274" s="125"/>
      <c r="E4274" s="126">
        <v>10.95</v>
      </c>
      <c r="F4274" s="127"/>
      <c r="G4274" s="127"/>
      <c r="H4274" s="127"/>
      <c r="I4274" s="128"/>
      <c r="K4274" s="105" t="str">
        <f>IFERROR(__xludf.DUMMYFUNCTION("if(A4274="""","""",substitute(SUBSTITUTE(index(importhtml(""http://finviz.com/quote.ashx?t=""&amp;A4274,""table"",10),7,2),""*"",""""),""-"",""0.00""))"),"Loading...")</f>
        <v>Loading...</v>
      </c>
      <c r="L4274" s="129">
        <v>6.0111381E7</v>
      </c>
      <c r="M4274" s="99" t="str">
        <f>IFERROR(__xludf.DUMMYFUNCTION("GOOGLEFINANCE(A4274,""beta"")"),"#N/A")</f>
        <v>#N/A</v>
      </c>
    </row>
    <row r="4275">
      <c r="A4275" s="122" t="s">
        <v>9008</v>
      </c>
      <c r="B4275" s="123">
        <v>1930313.0</v>
      </c>
      <c r="C4275" s="124" t="s">
        <v>9009</v>
      </c>
      <c r="D4275" s="125"/>
      <c r="E4275" s="126">
        <v>10.95</v>
      </c>
      <c r="F4275" s="127"/>
      <c r="G4275" s="127"/>
      <c r="H4275" s="127"/>
      <c r="I4275" s="128"/>
      <c r="K4275" s="105" t="str">
        <f>IFERROR(__xludf.DUMMYFUNCTION("if(A4275="""","""",substitute(SUBSTITUTE(index(importhtml(""http://finviz.com/quote.ashx?t=""&amp;A4275,""table"",10),7,2),""*"",""""),""-"",""0.00""))"),"Loading...")</f>
        <v>Loading...</v>
      </c>
      <c r="L4275" s="129">
        <v>6.0111381E7</v>
      </c>
      <c r="M4275" s="99" t="str">
        <f>IFERROR(__xludf.DUMMYFUNCTION("GOOGLEFINANCE(A4275,""beta"")"),"#N/A")</f>
        <v>#N/A</v>
      </c>
    </row>
    <row r="4276">
      <c r="A4276" s="122" t="s">
        <v>9010</v>
      </c>
      <c r="B4276" s="123">
        <v>1875493.0</v>
      </c>
      <c r="C4276" s="124" t="s">
        <v>9011</v>
      </c>
      <c r="D4276" s="125"/>
      <c r="E4276" s="126">
        <v>10.95</v>
      </c>
      <c r="F4276" s="127"/>
      <c r="G4276" s="127"/>
      <c r="H4276" s="127"/>
      <c r="I4276" s="128"/>
      <c r="K4276" s="105" t="str">
        <f>IFERROR(__xludf.DUMMYFUNCTION("if(A4276="""","""",substitute(SUBSTITUTE(index(importhtml(""http://finviz.com/quote.ashx?t=""&amp;A4276,""table"",10),7,2),""*"",""""),""-"",""0.00""))"),"Loading...")</f>
        <v>Loading...</v>
      </c>
      <c r="L4276" s="129">
        <v>1.04199497E8</v>
      </c>
      <c r="M4276" s="99" t="str">
        <f>IFERROR(__xludf.DUMMYFUNCTION("GOOGLEFINANCE(A4276,""beta"")"),"#N/A")</f>
        <v>#N/A</v>
      </c>
    </row>
    <row r="4277">
      <c r="A4277" s="122" t="s">
        <v>9012</v>
      </c>
      <c r="B4277" s="123">
        <v>1843714.0</v>
      </c>
      <c r="C4277" s="124" t="s">
        <v>9013</v>
      </c>
      <c r="D4277" s="125"/>
      <c r="E4277" s="126">
        <v>10.95</v>
      </c>
      <c r="F4277" s="127"/>
      <c r="G4277" s="127"/>
      <c r="H4277" s="127"/>
      <c r="I4277" s="128"/>
      <c r="K4277" s="105" t="str">
        <f>IFERROR(__xludf.DUMMYFUNCTION("if(A4277="""","""",substitute(SUBSTITUTE(index(importhtml(""http://finviz.com/quote.ashx?t=""&amp;A4277,""table"",10),7,2),""*"",""""),""-"",""0.00""))"),"Loading...")</f>
        <v>Loading...</v>
      </c>
      <c r="L4277" s="129">
        <v>1.49342338E8</v>
      </c>
      <c r="M4277" s="99" t="str">
        <f>IFERROR(__xludf.DUMMYFUNCTION("GOOGLEFINANCE(A4277,""beta"")"),"#N/A")</f>
        <v>#N/A</v>
      </c>
    </row>
    <row r="4278">
      <c r="A4278" s="122" t="s">
        <v>9014</v>
      </c>
      <c r="B4278" s="123">
        <v>1841610.0</v>
      </c>
      <c r="C4278" s="124" t="s">
        <v>9015</v>
      </c>
      <c r="D4278" s="125"/>
      <c r="E4278" s="126">
        <v>10.95</v>
      </c>
      <c r="F4278" s="127"/>
      <c r="G4278" s="127"/>
      <c r="H4278" s="127"/>
      <c r="I4278" s="128"/>
      <c r="K4278" s="105" t="str">
        <f>IFERROR(__xludf.DUMMYFUNCTION("if(A4278="""","""",substitute(SUBSTITUTE(index(importhtml(""http://finviz.com/quote.ashx?t=""&amp;A4278,""table"",10),7,2),""*"",""""),""-"",""0.00""))"),"Loading...")</f>
        <v>Loading...</v>
      </c>
      <c r="L4278" s="129">
        <v>1.49643792E8</v>
      </c>
      <c r="M4278" s="99" t="str">
        <f>IFERROR(__xludf.DUMMYFUNCTION("GOOGLEFINANCE(A4278,""beta"")"),"#N/A")</f>
        <v>#N/A</v>
      </c>
    </row>
    <row r="4279">
      <c r="A4279" s="122" t="s">
        <v>9016</v>
      </c>
      <c r="B4279" s="123">
        <v>1499832.0</v>
      </c>
      <c r="C4279" s="124" t="s">
        <v>9017</v>
      </c>
      <c r="D4279" s="125"/>
      <c r="E4279" s="126">
        <v>10.95</v>
      </c>
      <c r="F4279" s="127"/>
      <c r="G4279" s="127"/>
      <c r="H4279" s="127"/>
      <c r="I4279" s="128"/>
      <c r="K4279" s="105" t="str">
        <f>IFERROR(__xludf.DUMMYFUNCTION("if(A4279="""","""",substitute(SUBSTITUTE(index(importhtml(""http://finviz.com/quote.ashx?t=""&amp;A4279,""table"",10),7,2),""*"",""""),""-"",""0.00""))"),"Loading...")</f>
        <v>Loading...</v>
      </c>
      <c r="L4279" s="129">
        <v>1.80207869E8</v>
      </c>
      <c r="M4279" s="99">
        <v>1.38</v>
      </c>
    </row>
    <row r="4280">
      <c r="A4280" s="122" t="s">
        <v>9018</v>
      </c>
      <c r="B4280" s="123">
        <v>1863719.0</v>
      </c>
      <c r="C4280" s="124" t="s">
        <v>9019</v>
      </c>
      <c r="D4280" s="125"/>
      <c r="E4280" s="126">
        <v>10.95</v>
      </c>
      <c r="F4280" s="127"/>
      <c r="G4280" s="127"/>
      <c r="H4280" s="127"/>
      <c r="I4280" s="128"/>
      <c r="K4280" s="105" t="str">
        <f>IFERROR(__xludf.DUMMYFUNCTION("if(A4280="""","""",substitute(SUBSTITUTE(index(importhtml(""http://finviz.com/quote.ashx?t=""&amp;A4280,""table"",10),7,2),""*"",""""),""-"",""0.00""))"),"Loading...")</f>
        <v>Loading...</v>
      </c>
      <c r="L4280" s="129">
        <v>1.94215985E8</v>
      </c>
      <c r="M4280" s="99" t="str">
        <f>IFERROR(__xludf.DUMMYFUNCTION("GOOGLEFINANCE(A4280,""beta"")"),"#N/A")</f>
        <v>#N/A</v>
      </c>
    </row>
    <row r="4281">
      <c r="A4281" s="122" t="s">
        <v>9020</v>
      </c>
      <c r="B4281" s="123">
        <v>1759824.0</v>
      </c>
      <c r="C4281" s="124" t="s">
        <v>9021</v>
      </c>
      <c r="D4281" s="125"/>
      <c r="E4281" s="126">
        <v>10.95</v>
      </c>
      <c r="F4281" s="127"/>
      <c r="G4281" s="127"/>
      <c r="H4281" s="127"/>
      <c r="I4281" s="128"/>
      <c r="K4281" s="105" t="str">
        <f>IFERROR(__xludf.DUMMYFUNCTION("if(A4281="""","""",substitute(SUBSTITUTE(index(importhtml(""http://finviz.com/quote.ashx?t=""&amp;A4281,""table"",10),7,2),""*"",""""),""-"",""0.00""))"),"Loading...")</f>
        <v>Loading...</v>
      </c>
      <c r="L4281" s="129">
        <v>3.54430798E8</v>
      </c>
      <c r="M4281" s="99">
        <v>1.65</v>
      </c>
    </row>
    <row r="4282">
      <c r="A4282" s="122" t="s">
        <v>9022</v>
      </c>
      <c r="B4282" s="123">
        <v>713425.0</v>
      </c>
      <c r="C4282" s="124" t="s">
        <v>9023</v>
      </c>
      <c r="D4282" s="125"/>
      <c r="E4282" s="126">
        <v>10.95</v>
      </c>
      <c r="F4282" s="127"/>
      <c r="G4282" s="127"/>
      <c r="H4282" s="127"/>
      <c r="I4282" s="128"/>
      <c r="K4282" s="105" t="str">
        <f>IFERROR(__xludf.DUMMYFUNCTION("if(A4282="""","""",substitute(SUBSTITUTE(index(importhtml(""http://finviz.com/quote.ashx?t=""&amp;A4282,""table"",10),7,2),""*"",""""),""-"",""0.00""))"),"Loading...")</f>
        <v>Loading...</v>
      </c>
      <c r="L4282" s="129">
        <v>3.74122511E8</v>
      </c>
      <c r="M4282" s="99">
        <v>0.71</v>
      </c>
    </row>
    <row r="4283">
      <c r="A4283" s="122" t="s">
        <v>9024</v>
      </c>
      <c r="B4283" s="123">
        <v>1826018.0</v>
      </c>
      <c r="C4283" s="124" t="s">
        <v>9025</v>
      </c>
      <c r="D4283" s="125"/>
      <c r="E4283" s="126">
        <v>10.95</v>
      </c>
      <c r="F4283" s="127"/>
      <c r="G4283" s="127"/>
      <c r="H4283" s="127"/>
      <c r="I4283" s="128"/>
      <c r="K4283" s="105" t="str">
        <f>IFERROR(__xludf.DUMMYFUNCTION("if(A4283="""","""",substitute(SUBSTITUTE(index(importhtml(""http://finviz.com/quote.ashx?t=""&amp;A4283,""table"",10),7,2),""*"",""""),""-"",""0.00""))"),"Loading...")</f>
        <v>Loading...</v>
      </c>
      <c r="L4283" s="129">
        <v>1.9907899E9</v>
      </c>
      <c r="M4283" s="99">
        <v>1.93</v>
      </c>
    </row>
    <row r="4284">
      <c r="A4284" s="122" t="s">
        <v>9026</v>
      </c>
      <c r="B4284" s="123">
        <v>1554394.0</v>
      </c>
      <c r="C4284" s="124" t="s">
        <v>9027</v>
      </c>
      <c r="D4284" s="125"/>
      <c r="E4284" s="126">
        <v>10.95</v>
      </c>
      <c r="F4284" s="127"/>
      <c r="G4284" s="127"/>
      <c r="H4284" s="127"/>
      <c r="I4284" s="128"/>
      <c r="K4284" s="105" t="str">
        <f>IFERROR(__xludf.DUMMYFUNCTION("if(A4284="""","""",substitute(SUBSTITUTE(index(importhtml(""http://finviz.com/quote.ashx?t=""&amp;A4284,""table"",10),7,2),""*"",""""),""-"",""0.00""))"),"Loading...")</f>
        <v>Loading...</v>
      </c>
      <c r="L4284" s="129">
        <v>5.7348267242E10</v>
      </c>
      <c r="M4284" s="99">
        <v>0.61</v>
      </c>
    </row>
    <row r="4285">
      <c r="A4285" s="122" t="s">
        <v>9028</v>
      </c>
      <c r="B4285" s="123">
        <v>715153.0</v>
      </c>
      <c r="C4285" s="124" t="s">
        <v>9029</v>
      </c>
      <c r="D4285" s="125"/>
      <c r="E4285" s="126">
        <v>10.95</v>
      </c>
      <c r="F4285" s="127"/>
      <c r="G4285" s="127"/>
      <c r="H4285" s="127"/>
      <c r="I4285" s="128"/>
      <c r="K4285" s="105" t="str">
        <f>IFERROR(__xludf.DUMMYFUNCTION("if(A4285="""","""",substitute(SUBSTITUTE(index(importhtml(""http://finviz.com/quote.ashx?t=""&amp;A4285,""table"",10),7,2),""*"",""""),""-"",""0.00""))"),"Loading...")</f>
        <v>Loading...</v>
      </c>
      <c r="L4285" s="129">
        <v>6.04109988E10</v>
      </c>
      <c r="M4285" s="99">
        <v>0.72</v>
      </c>
    </row>
    <row r="4286">
      <c r="A4286" s="122" t="s">
        <v>9030</v>
      </c>
      <c r="B4286" s="123">
        <v>1840317.0</v>
      </c>
      <c r="C4286" s="124" t="s">
        <v>9031</v>
      </c>
      <c r="D4286" s="125"/>
      <c r="E4286" s="126">
        <v>10.95</v>
      </c>
      <c r="F4286" s="127"/>
      <c r="G4286" s="127"/>
      <c r="H4286" s="127"/>
      <c r="I4286" s="128"/>
      <c r="K4286" s="105" t="str">
        <f>IFERROR(__xludf.DUMMYFUNCTION("if(A4286="""","""",substitute(SUBSTITUTE(index(importhtml(""http://finviz.com/quote.ashx?t=""&amp;A4286,""table"",10),7,2),""*"",""""),""-"",""0.00""))"),"Loading...")</f>
        <v>Loading...</v>
      </c>
      <c r="L4286" s="129" t="e">
        <v>#N/A</v>
      </c>
      <c r="M4286" s="99" t="str">
        <f>IFERROR(__xludf.DUMMYFUNCTION("GOOGLEFINANCE(A4286,""beta"")"),"#N/A")</f>
        <v>#N/A</v>
      </c>
    </row>
    <row r="4287">
      <c r="A4287" s="122" t="s">
        <v>9032</v>
      </c>
      <c r="B4287" s="123">
        <v>1851484.0</v>
      </c>
      <c r="C4287" s="124" t="s">
        <v>9033</v>
      </c>
      <c r="D4287" s="125"/>
      <c r="E4287" s="126">
        <v>10.96</v>
      </c>
      <c r="F4287" s="127"/>
      <c r="G4287" s="127"/>
      <c r="H4287" s="127"/>
      <c r="I4287" s="128"/>
      <c r="K4287" s="105" t="str">
        <f>IFERROR(__xludf.DUMMYFUNCTION("if(A4287="""","""",substitute(SUBSTITUTE(index(importhtml(""http://finviz.com/quote.ashx?t=""&amp;A4287,""table"",10),7,2),""*"",""""),""-"",""0.00""))"),"Loading...")</f>
        <v>Loading...</v>
      </c>
      <c r="L4287" s="129">
        <v>9.674162E7</v>
      </c>
      <c r="M4287" s="99" t="str">
        <f>IFERROR(__xludf.DUMMYFUNCTION("GOOGLEFINANCE(A4287,""beta"")"),"#N/A")</f>
        <v>#N/A</v>
      </c>
    </row>
    <row r="4288">
      <c r="A4288" s="122" t="s">
        <v>9034</v>
      </c>
      <c r="B4288" s="123">
        <v>1879297.0</v>
      </c>
      <c r="C4288" s="124" t="s">
        <v>9035</v>
      </c>
      <c r="D4288" s="125"/>
      <c r="E4288" s="126">
        <v>10.96</v>
      </c>
      <c r="F4288" s="127"/>
      <c r="G4288" s="127"/>
      <c r="H4288" s="127"/>
      <c r="I4288" s="128"/>
      <c r="K4288" s="105" t="str">
        <f>IFERROR(__xludf.DUMMYFUNCTION("if(A4288="""","""",substitute(SUBSTITUTE(index(importhtml(""http://finviz.com/quote.ashx?t=""&amp;A4288,""table"",10),7,2),""*"",""""),""-"",""0.00""))"),"Loading...")</f>
        <v>Loading...</v>
      </c>
      <c r="L4288" s="129">
        <v>1.36911772E8</v>
      </c>
      <c r="M4288" s="99" t="str">
        <f>IFERROR(__xludf.DUMMYFUNCTION("GOOGLEFINANCE(A4288,""beta"")"),"#N/A")</f>
        <v>#N/A</v>
      </c>
    </row>
    <row r="4289">
      <c r="A4289" s="122" t="s">
        <v>9036</v>
      </c>
      <c r="B4289" s="123">
        <v>1873441.0</v>
      </c>
      <c r="C4289" s="124" t="s">
        <v>9037</v>
      </c>
      <c r="D4289" s="125"/>
      <c r="E4289" s="126">
        <v>10.96</v>
      </c>
      <c r="F4289" s="127"/>
      <c r="G4289" s="127"/>
      <c r="H4289" s="127"/>
      <c r="I4289" s="128"/>
      <c r="K4289" s="105" t="str">
        <f>IFERROR(__xludf.DUMMYFUNCTION("if(A4289="""","""",substitute(SUBSTITUTE(index(importhtml(""http://finviz.com/quote.ashx?t=""&amp;A4289,""table"",10),7,2),""*"",""""),""-"",""0.00""))"),"Loading...")</f>
        <v>Loading...</v>
      </c>
      <c r="L4289" s="129">
        <v>1.473687E8</v>
      </c>
      <c r="M4289" s="99" t="str">
        <f>IFERROR(__xludf.DUMMYFUNCTION("GOOGLEFINANCE(A4289,""beta"")"),"#N/A")</f>
        <v>#N/A</v>
      </c>
    </row>
    <row r="4290">
      <c r="A4290" s="122" t="s">
        <v>9038</v>
      </c>
      <c r="B4290" s="123">
        <v>1852889.0</v>
      </c>
      <c r="C4290" s="124" t="s">
        <v>9039</v>
      </c>
      <c r="D4290" s="125"/>
      <c r="E4290" s="126">
        <v>10.96</v>
      </c>
      <c r="F4290" s="127"/>
      <c r="G4290" s="127"/>
      <c r="H4290" s="127"/>
      <c r="I4290" s="128"/>
      <c r="K4290" s="105" t="str">
        <f>IFERROR(__xludf.DUMMYFUNCTION("if(A4290="""","""",substitute(SUBSTITUTE(index(importhtml(""http://finviz.com/quote.ashx?t=""&amp;A4290,""table"",10),7,2),""*"",""""),""-"",""0.00""))"),"Loading...")</f>
        <v>Loading...</v>
      </c>
      <c r="L4290" s="129">
        <v>1.80140743E8</v>
      </c>
      <c r="M4290" s="99" t="str">
        <f>IFERROR(__xludf.DUMMYFUNCTION("GOOGLEFINANCE(A4290,""beta"")"),"#N/A")</f>
        <v>#N/A</v>
      </c>
    </row>
    <row r="4291">
      <c r="A4291" s="122" t="s">
        <v>9040</v>
      </c>
      <c r="B4291" s="123">
        <v>1914023.0</v>
      </c>
      <c r="C4291" s="124" t="s">
        <v>9041</v>
      </c>
      <c r="D4291" s="125"/>
      <c r="E4291" s="126">
        <v>10.97</v>
      </c>
      <c r="F4291" s="127"/>
      <c r="G4291" s="127"/>
      <c r="H4291" s="127"/>
      <c r="I4291" s="128"/>
      <c r="K4291" s="105" t="str">
        <f>IFERROR(__xludf.DUMMYFUNCTION("if(A4291="""","""",substitute(SUBSTITUTE(index(importhtml(""http://finviz.com/quote.ashx?t=""&amp;A4291,""table"",10),7,2),""*"",""""),""-"",""0.00""))"),"Loading...")</f>
        <v>Loading...</v>
      </c>
      <c r="L4291" s="129">
        <v>6.017366E7</v>
      </c>
      <c r="M4291" s="99" t="str">
        <f>IFERROR(__xludf.DUMMYFUNCTION("GOOGLEFINANCE(A4291,""beta"")"),"#N/A")</f>
        <v>#N/A</v>
      </c>
    </row>
    <row r="4292">
      <c r="A4292" s="122" t="s">
        <v>9042</v>
      </c>
      <c r="B4292" s="123">
        <v>1901886.0</v>
      </c>
      <c r="C4292" s="124" t="s">
        <v>979</v>
      </c>
      <c r="D4292" s="125"/>
      <c r="E4292" s="126">
        <v>10.97</v>
      </c>
      <c r="F4292" s="127"/>
      <c r="G4292" s="127"/>
      <c r="H4292" s="127"/>
      <c r="I4292" s="128"/>
      <c r="K4292" s="105" t="str">
        <f>IFERROR(__xludf.DUMMYFUNCTION("if(A4292="""","""",substitute(SUBSTITUTE(index(importhtml(""http://finviz.com/quote.ashx?t=""&amp;A4292,""table"",10),7,2),""*"",""""),""-"",""0.00""))"),"Loading...")</f>
        <v>Loading...</v>
      </c>
      <c r="L4292" s="129">
        <v>6.342521E7</v>
      </c>
      <c r="M4292" s="99" t="str">
        <f>IFERROR(__xludf.DUMMYFUNCTION("GOOGLEFINANCE(A4292,""beta"")"),"#N/A")</f>
        <v>#N/A</v>
      </c>
    </row>
    <row r="4293">
      <c r="A4293" s="122" t="s">
        <v>9043</v>
      </c>
      <c r="B4293" s="123">
        <v>1860514.0</v>
      </c>
      <c r="C4293" s="124" t="s">
        <v>1001</v>
      </c>
      <c r="D4293" s="125"/>
      <c r="E4293" s="126">
        <v>10.97</v>
      </c>
      <c r="F4293" s="127"/>
      <c r="G4293" s="127"/>
      <c r="H4293" s="127"/>
      <c r="I4293" s="128"/>
      <c r="K4293" s="105" t="str">
        <f>IFERROR(__xludf.DUMMYFUNCTION("if(A4293="""","""",substitute(SUBSTITUTE(index(importhtml(""http://finviz.com/quote.ashx?t=""&amp;A4293,""table"",10),7,2),""*"",""""),""-"",""0.00""))"),"Loading...")</f>
        <v>Loading...</v>
      </c>
      <c r="L4293" s="129">
        <v>8.632552E7</v>
      </c>
      <c r="M4293" s="99" t="str">
        <f>IFERROR(__xludf.DUMMYFUNCTION("GOOGLEFINANCE(A4293,""beta"")"),"#N/A")</f>
        <v>#N/A</v>
      </c>
    </row>
    <row r="4294">
      <c r="A4294" s="122" t="s">
        <v>9044</v>
      </c>
      <c r="B4294" s="123">
        <v>1845123.0</v>
      </c>
      <c r="C4294" s="124" t="s">
        <v>9045</v>
      </c>
      <c r="D4294" s="125"/>
      <c r="E4294" s="126">
        <v>10.97</v>
      </c>
      <c r="F4294" s="127"/>
      <c r="G4294" s="127"/>
      <c r="H4294" s="127"/>
      <c r="I4294" s="128"/>
      <c r="K4294" s="105" t="str">
        <f>IFERROR(__xludf.DUMMYFUNCTION("if(A4294="""","""",substitute(SUBSTITUTE(index(importhtml(""http://finviz.com/quote.ashx?t=""&amp;A4294,""table"",10),7,2),""*"",""""),""-"",""0.00""))"),"Loading...")</f>
        <v>Loading...</v>
      </c>
      <c r="L4294" s="129">
        <v>8.635485E7</v>
      </c>
      <c r="M4294" s="99" t="str">
        <f>IFERROR(__xludf.DUMMYFUNCTION("GOOGLEFINANCE(A4294,""beta"")"),"#N/A")</f>
        <v>#N/A</v>
      </c>
    </row>
    <row r="4295">
      <c r="A4295" s="122" t="s">
        <v>9046</v>
      </c>
      <c r="B4295" s="123">
        <v>1873441.0</v>
      </c>
      <c r="C4295" s="124" t="s">
        <v>9047</v>
      </c>
      <c r="D4295" s="125"/>
      <c r="E4295" s="126">
        <v>10.97</v>
      </c>
      <c r="F4295" s="127"/>
      <c r="G4295" s="127"/>
      <c r="H4295" s="127"/>
      <c r="I4295" s="128"/>
      <c r="K4295" s="105" t="str">
        <f>IFERROR(__xludf.DUMMYFUNCTION("if(A4295="""","""",substitute(SUBSTITUTE(index(importhtml(""http://finviz.com/quote.ashx?t=""&amp;A4295,""table"",10),7,2),""*"",""""),""-"",""0.00""))"),"Loading...")</f>
        <v>Loading...</v>
      </c>
      <c r="L4295" s="129">
        <v>1.473687E8</v>
      </c>
      <c r="M4295" s="99" t="str">
        <f>IFERROR(__xludf.DUMMYFUNCTION("GOOGLEFINANCE(A4295,""beta"")"),"#N/A")</f>
        <v>#N/A</v>
      </c>
    </row>
    <row r="4296">
      <c r="A4296" s="122" t="s">
        <v>9048</v>
      </c>
      <c r="B4296" s="123">
        <v>1868775.0</v>
      </c>
      <c r="C4296" s="124" t="s">
        <v>961</v>
      </c>
      <c r="D4296" s="125"/>
      <c r="E4296" s="126">
        <v>10.98</v>
      </c>
      <c r="F4296" s="127"/>
      <c r="G4296" s="127"/>
      <c r="H4296" s="127"/>
      <c r="I4296" s="128"/>
      <c r="K4296" s="105" t="str">
        <f>IFERROR(__xludf.DUMMYFUNCTION("if(A4296="""","""",substitute(SUBSTITUTE(index(importhtml(""http://finviz.com/quote.ashx?t=""&amp;A4296,""table"",10),7,2),""*"",""""),""-"",""0.00""))"),"Loading...")</f>
        <v>Loading...</v>
      </c>
      <c r="L4296" s="129">
        <v>4.091665E7</v>
      </c>
      <c r="M4296" s="99" t="str">
        <f>IFERROR(__xludf.DUMMYFUNCTION("GOOGLEFINANCE(A4296,""beta"")"),"#N/A")</f>
        <v>#N/A</v>
      </c>
    </row>
    <row r="4297">
      <c r="A4297" s="122" t="s">
        <v>9049</v>
      </c>
      <c r="B4297" s="123">
        <v>1835416.0</v>
      </c>
      <c r="C4297" s="124" t="s">
        <v>9050</v>
      </c>
      <c r="D4297" s="125"/>
      <c r="E4297" s="126">
        <v>10.98</v>
      </c>
      <c r="F4297" s="127"/>
      <c r="G4297" s="127"/>
      <c r="H4297" s="127"/>
      <c r="I4297" s="128"/>
      <c r="K4297" s="105" t="str">
        <f>IFERROR(__xludf.DUMMYFUNCTION("if(A4297="""","""",substitute(SUBSTITUTE(index(importhtml(""http://finviz.com/quote.ashx?t=""&amp;A4297,""table"",10),7,2),""*"",""""),""-"",""0.00""))"),"Loading...")</f>
        <v>Loading...</v>
      </c>
      <c r="L4297" s="129">
        <v>4.249281E7</v>
      </c>
      <c r="M4297" s="99" t="str">
        <f>IFERROR(__xludf.DUMMYFUNCTION("GOOGLEFINANCE(A4297,""beta"")"),"#N/A")</f>
        <v>#N/A</v>
      </c>
    </row>
    <row r="4298">
      <c r="A4298" s="122" t="s">
        <v>9051</v>
      </c>
      <c r="B4298" s="123">
        <v>1852016.0</v>
      </c>
      <c r="C4298" s="124" t="s">
        <v>9052</v>
      </c>
      <c r="D4298" s="125"/>
      <c r="E4298" s="126">
        <v>10.98</v>
      </c>
      <c r="F4298" s="127"/>
      <c r="G4298" s="127"/>
      <c r="H4298" s="127"/>
      <c r="I4298" s="128"/>
      <c r="K4298" s="105" t="str">
        <f>IFERROR(__xludf.DUMMYFUNCTION("if(A4298="""","""",substitute(SUBSTITUTE(index(importhtml(""http://finviz.com/quote.ashx?t=""&amp;A4298,""table"",10),7,2),""*"",""""),""-"",""0.00""))"),"Loading...")</f>
        <v>Loading...</v>
      </c>
      <c r="L4298" s="129">
        <v>8.045571E7</v>
      </c>
      <c r="M4298" s="99">
        <f>IFERROR(__xludf.DUMMYFUNCTION("GOOGLEFINANCE(A4298,""beta"")"),0.05)</f>
        <v>0.05</v>
      </c>
    </row>
    <row r="4299">
      <c r="A4299" s="122" t="s">
        <v>9053</v>
      </c>
      <c r="B4299" s="123">
        <v>1870143.0</v>
      </c>
      <c r="C4299" s="124" t="s">
        <v>9054</v>
      </c>
      <c r="D4299" s="125"/>
      <c r="E4299" s="126">
        <v>10.98</v>
      </c>
      <c r="F4299" s="127"/>
      <c r="G4299" s="127"/>
      <c r="H4299" s="127"/>
      <c r="I4299" s="128"/>
      <c r="K4299" s="105" t="str">
        <f>IFERROR(__xludf.DUMMYFUNCTION("if(A4299="""","""",substitute(SUBSTITUTE(index(importhtml(""http://finviz.com/quote.ashx?t=""&amp;A4299,""table"",10),7,2),""*"",""""),""-"",""0.00""))"),"Loading...")</f>
        <v>Loading...</v>
      </c>
      <c r="L4299" s="129">
        <v>1.17682514E8</v>
      </c>
      <c r="M4299" s="99" t="str">
        <f>IFERROR(__xludf.DUMMYFUNCTION("GOOGLEFINANCE(A4299,""beta"")"),"#N/A")</f>
        <v>#N/A</v>
      </c>
    </row>
    <row r="4300">
      <c r="A4300" s="122" t="s">
        <v>9055</v>
      </c>
      <c r="B4300" s="123">
        <v>1870404.0</v>
      </c>
      <c r="C4300" s="124" t="s">
        <v>9056</v>
      </c>
      <c r="D4300" s="125"/>
      <c r="E4300" s="126">
        <v>10.99</v>
      </c>
      <c r="F4300" s="127"/>
      <c r="G4300" s="127"/>
      <c r="H4300" s="127"/>
      <c r="I4300" s="128"/>
      <c r="K4300" s="105" t="str">
        <f>IFERROR(__xludf.DUMMYFUNCTION("if(A4300="""","""",substitute(SUBSTITUTE(index(importhtml(""http://finviz.com/quote.ashx?t=""&amp;A4300,""table"",10),7,2),""*"",""""),""-"",""0.00""))"),"Loading...")</f>
        <v>Loading...</v>
      </c>
      <c r="L4300" s="129">
        <v>7.0326072E7</v>
      </c>
      <c r="M4300" s="99" t="str">
        <f>IFERROR(__xludf.DUMMYFUNCTION("GOOGLEFINANCE(A4300,""beta"")"),"#N/A")</f>
        <v>#N/A</v>
      </c>
    </row>
    <row r="4301">
      <c r="A4301" s="122" t="s">
        <v>9057</v>
      </c>
      <c r="B4301" s="123">
        <v>1867443.0</v>
      </c>
      <c r="C4301" s="124" t="s">
        <v>9058</v>
      </c>
      <c r="D4301" s="125"/>
      <c r="E4301" s="126">
        <v>10.99</v>
      </c>
      <c r="F4301" s="127"/>
      <c r="G4301" s="127"/>
      <c r="H4301" s="127"/>
      <c r="I4301" s="128"/>
      <c r="K4301" s="105" t="str">
        <f>IFERROR(__xludf.DUMMYFUNCTION("if(A4301="""","""",substitute(SUBSTITUTE(index(importhtml(""http://finviz.com/quote.ashx?t=""&amp;A4301,""table"",10),7,2),""*"",""""),""-"",""0.00""))"),"Loading...")</f>
        <v>Loading...</v>
      </c>
      <c r="L4301" s="129">
        <v>9.8683263E7</v>
      </c>
      <c r="M4301" s="99" t="str">
        <f>IFERROR(__xludf.DUMMYFUNCTION("GOOGLEFINANCE(A4301,""beta"")"),"#N/A")</f>
        <v>#N/A</v>
      </c>
    </row>
    <row r="4302">
      <c r="A4302" s="122" t="s">
        <v>9059</v>
      </c>
      <c r="B4302" s="123">
        <v>1837607.0</v>
      </c>
      <c r="C4302" s="124" t="s">
        <v>9060</v>
      </c>
      <c r="D4302" s="125"/>
      <c r="E4302" s="126">
        <v>10.99</v>
      </c>
      <c r="F4302" s="127"/>
      <c r="G4302" s="127"/>
      <c r="H4302" s="127"/>
      <c r="I4302" s="128"/>
      <c r="K4302" s="105" t="str">
        <f>IFERROR(__xludf.DUMMYFUNCTION("if(A4302="""","""",substitute(SUBSTITUTE(index(importhtml(""http://finviz.com/quote.ashx?t=""&amp;A4302,""table"",10),7,2),""*"",""""),""-"",""0.00""))"),"Loading...")</f>
        <v>Loading...</v>
      </c>
      <c r="L4302" s="129">
        <v>3.07739989E8</v>
      </c>
      <c r="M4302" s="99" t="str">
        <f>IFERROR(__xludf.DUMMYFUNCTION("GOOGLEFINANCE(A4302,""beta"")"),"#N/A")</f>
        <v>#N/A</v>
      </c>
    </row>
    <row r="4303">
      <c r="A4303" s="122" t="s">
        <v>9061</v>
      </c>
      <c r="B4303" s="123">
        <v>1837344.0</v>
      </c>
      <c r="C4303" s="124" t="s">
        <v>9062</v>
      </c>
      <c r="D4303" s="125"/>
      <c r="E4303" s="126">
        <v>11.0</v>
      </c>
      <c r="F4303" s="127"/>
      <c r="G4303" s="127"/>
      <c r="H4303" s="127"/>
      <c r="I4303" s="128"/>
      <c r="K4303" s="105" t="str">
        <f>IFERROR(__xludf.DUMMYFUNCTION("if(A4303="""","""",substitute(SUBSTITUTE(index(importhtml(""http://finviz.com/quote.ashx?t=""&amp;A4303,""table"",10),7,2),""*"",""""),""-"",""0.00""))"),"Loading...")</f>
        <v>Loading...</v>
      </c>
      <c r="L4303" s="129">
        <v>5.344707E7</v>
      </c>
      <c r="M4303" s="99" t="str">
        <f>IFERROR(__xludf.DUMMYFUNCTION("GOOGLEFINANCE(A4303,""beta"")"),"#N/A")</f>
        <v>#N/A</v>
      </c>
    </row>
    <row r="4304">
      <c r="A4304" s="122" t="s">
        <v>9063</v>
      </c>
      <c r="B4304" s="123">
        <v>1844419.0</v>
      </c>
      <c r="C4304" s="124" t="s">
        <v>9064</v>
      </c>
      <c r="D4304" s="125"/>
      <c r="E4304" s="126">
        <v>11.0</v>
      </c>
      <c r="F4304" s="127"/>
      <c r="G4304" s="127"/>
      <c r="H4304" s="127"/>
      <c r="I4304" s="128"/>
      <c r="K4304" s="105" t="str">
        <f>IFERROR(__xludf.DUMMYFUNCTION("if(A4304="""","""",substitute(SUBSTITUTE(index(importhtml(""http://finviz.com/quote.ashx?t=""&amp;A4304,""table"",10),7,2),""*"",""""),""-"",""0.00""))"),"Loading...")</f>
        <v>Loading...</v>
      </c>
      <c r="L4304" s="129">
        <v>6.7782418E7</v>
      </c>
      <c r="M4304" s="99" t="str">
        <f>IFERROR(__xludf.DUMMYFUNCTION("GOOGLEFINANCE(A4304,""beta"")"),"#N/A")</f>
        <v>#N/A</v>
      </c>
    </row>
    <row r="4305">
      <c r="A4305" s="122" t="s">
        <v>9065</v>
      </c>
      <c r="B4305" s="123">
        <v>1882464.0</v>
      </c>
      <c r="C4305" s="124" t="s">
        <v>9066</v>
      </c>
      <c r="D4305" s="125"/>
      <c r="E4305" s="126">
        <v>11.0</v>
      </c>
      <c r="F4305" s="127"/>
      <c r="G4305" s="127"/>
      <c r="H4305" s="127"/>
      <c r="I4305" s="128"/>
      <c r="K4305" s="105" t="str">
        <f>IFERROR(__xludf.DUMMYFUNCTION("if(A4305="""","""",substitute(SUBSTITUTE(index(importhtml(""http://finviz.com/quote.ashx?t=""&amp;A4305,""table"",10),7,2),""*"",""""),""-"",""0.00""))"),"Loading...")</f>
        <v>Loading...</v>
      </c>
      <c r="L4305" s="129">
        <v>7.0481565E7</v>
      </c>
      <c r="M4305" s="99" t="str">
        <f>IFERROR(__xludf.DUMMYFUNCTION("GOOGLEFINANCE(A4305,""beta"")"),"#N/A")</f>
        <v>#N/A</v>
      </c>
    </row>
    <row r="4306">
      <c r="A4306" s="122" t="s">
        <v>9067</v>
      </c>
      <c r="B4306" s="123">
        <v>1845123.0</v>
      </c>
      <c r="C4306" s="124" t="s">
        <v>9068</v>
      </c>
      <c r="D4306" s="125"/>
      <c r="E4306" s="126">
        <v>11.0</v>
      </c>
      <c r="F4306" s="127"/>
      <c r="G4306" s="127"/>
      <c r="H4306" s="127"/>
      <c r="I4306" s="128"/>
      <c r="K4306" s="105" t="str">
        <f>IFERROR(__xludf.DUMMYFUNCTION("if(A4306="""","""",substitute(SUBSTITUTE(index(importhtml(""http://finviz.com/quote.ashx?t=""&amp;A4306,""table"",10),7,2),""*"",""""),""-"",""0.00""))"),"Loading...")</f>
        <v>Loading...</v>
      </c>
      <c r="L4306" s="129">
        <v>8.635485E7</v>
      </c>
      <c r="M4306" s="99" t="str">
        <f>IFERROR(__xludf.DUMMYFUNCTION("GOOGLEFINANCE(A4306,""beta"")"),"#N/A")</f>
        <v>#N/A</v>
      </c>
    </row>
    <row r="4307">
      <c r="A4307" s="122" t="s">
        <v>9069</v>
      </c>
      <c r="B4307" s="123">
        <v>1831964.0</v>
      </c>
      <c r="C4307" s="124" t="s">
        <v>1170</v>
      </c>
      <c r="D4307" s="125"/>
      <c r="E4307" s="126">
        <v>11.0</v>
      </c>
      <c r="F4307" s="127"/>
      <c r="G4307" s="127"/>
      <c r="H4307" s="127"/>
      <c r="I4307" s="128"/>
      <c r="K4307" s="105" t="str">
        <f>IFERROR(__xludf.DUMMYFUNCTION("if(A4307="""","""",substitute(SUBSTITUTE(index(importhtml(""http://finviz.com/quote.ashx?t=""&amp;A4307,""table"",10),7,2),""*"",""""),""-"",""0.00""))"),"Loading...")</f>
        <v>Loading...</v>
      </c>
      <c r="L4307" s="129">
        <v>8.742518E7</v>
      </c>
      <c r="M4307" s="99" t="str">
        <f>IFERROR(__xludf.DUMMYFUNCTION("GOOGLEFINANCE(A4307,""beta"")"),"#N/A")</f>
        <v>#N/A</v>
      </c>
    </row>
    <row r="4308">
      <c r="A4308" s="122" t="s">
        <v>9070</v>
      </c>
      <c r="B4308" s="123">
        <v>1865506.0</v>
      </c>
      <c r="C4308" s="124" t="s">
        <v>9071</v>
      </c>
      <c r="D4308" s="125"/>
      <c r="E4308" s="126">
        <v>11.0</v>
      </c>
      <c r="F4308" s="127"/>
      <c r="G4308" s="127"/>
      <c r="H4308" s="127"/>
      <c r="I4308" s="128"/>
      <c r="K4308" s="105" t="str">
        <f>IFERROR(__xludf.DUMMYFUNCTION("if(A4308="""","""",substitute(SUBSTITUTE(index(importhtml(""http://finviz.com/quote.ashx?t=""&amp;A4308,""table"",10),7,2),""*"",""""),""-"",""0.00""))"),"Loading...")</f>
        <v>Loading...</v>
      </c>
      <c r="L4308" s="129">
        <v>9.4219014E7</v>
      </c>
      <c r="M4308" s="99" t="str">
        <f>IFERROR(__xludf.DUMMYFUNCTION("GOOGLEFINANCE(A4308,""beta"")"),"#N/A")</f>
        <v>#N/A</v>
      </c>
    </row>
    <row r="4309">
      <c r="A4309" s="122" t="s">
        <v>9072</v>
      </c>
      <c r="B4309" s="123">
        <v>1857855.0</v>
      </c>
      <c r="C4309" s="124" t="s">
        <v>9073</v>
      </c>
      <c r="D4309" s="125"/>
      <c r="E4309" s="126">
        <v>11.0</v>
      </c>
      <c r="F4309" s="127"/>
      <c r="G4309" s="127"/>
      <c r="H4309" s="127"/>
      <c r="I4309" s="128"/>
      <c r="K4309" s="105" t="str">
        <f>IFERROR(__xludf.DUMMYFUNCTION("if(A4309="""","""",substitute(SUBSTITUTE(index(importhtml(""http://finviz.com/quote.ashx?t=""&amp;A4309,""table"",10),7,2),""*"",""""),""-"",""0.00""))"),"Loading...")</f>
        <v>Loading...</v>
      </c>
      <c r="L4309" s="129">
        <v>1.01307E8</v>
      </c>
      <c r="M4309" s="99" t="str">
        <f>IFERROR(__xludf.DUMMYFUNCTION("GOOGLEFINANCE(A4309,""beta"")"),"#N/A")</f>
        <v>#N/A</v>
      </c>
    </row>
    <row r="4310">
      <c r="A4310" s="122" t="s">
        <v>9074</v>
      </c>
      <c r="B4310" s="123">
        <v>1865248.0</v>
      </c>
      <c r="C4310" s="124" t="s">
        <v>9075</v>
      </c>
      <c r="D4310" s="125"/>
      <c r="E4310" s="126">
        <v>11.0</v>
      </c>
      <c r="F4310" s="127"/>
      <c r="G4310" s="127"/>
      <c r="H4310" s="127"/>
      <c r="I4310" s="128"/>
      <c r="K4310" s="105" t="str">
        <f>IFERROR(__xludf.DUMMYFUNCTION("if(A4310="""","""",substitute(SUBSTITUTE(index(importhtml(""http://finviz.com/quote.ashx?t=""&amp;A4310,""table"",10),7,2),""*"",""""),""-"",""0.00""))"),"Loading...")</f>
        <v>Loading...</v>
      </c>
      <c r="L4310" s="129">
        <v>1.09982312E8</v>
      </c>
      <c r="M4310" s="99" t="str">
        <f>IFERROR(__xludf.DUMMYFUNCTION("GOOGLEFINANCE(A4310,""beta"")"),"#N/A")</f>
        <v>#N/A</v>
      </c>
    </row>
    <row r="4311">
      <c r="A4311" s="122" t="s">
        <v>9076</v>
      </c>
      <c r="B4311" s="123">
        <v>1912461.0</v>
      </c>
      <c r="C4311" s="124" t="s">
        <v>1645</v>
      </c>
      <c r="D4311" s="125"/>
      <c r="E4311" s="126">
        <v>11.0</v>
      </c>
      <c r="F4311" s="127"/>
      <c r="G4311" s="127"/>
      <c r="H4311" s="127"/>
      <c r="I4311" s="128"/>
      <c r="K4311" s="105" t="str">
        <f>IFERROR(__xludf.DUMMYFUNCTION("if(A4311="""","""",substitute(SUBSTITUTE(index(importhtml(""http://finviz.com/quote.ashx?t=""&amp;A4311,""table"",10),7,2),""*"",""""),""-"",""0.00""))"),"Loading...")</f>
        <v>Loading...</v>
      </c>
      <c r="L4311" s="129">
        <v>1.1062249E8</v>
      </c>
      <c r="M4311" s="99" t="str">
        <f>IFERROR(__xludf.DUMMYFUNCTION("GOOGLEFINANCE(A4311,""beta"")"),"#N/A")</f>
        <v>#N/A</v>
      </c>
    </row>
    <row r="4312">
      <c r="A4312" s="122" t="s">
        <v>9077</v>
      </c>
      <c r="B4312" s="123">
        <v>1871745.0</v>
      </c>
      <c r="C4312" s="124" t="s">
        <v>9078</v>
      </c>
      <c r="D4312" s="125"/>
      <c r="E4312" s="126">
        <v>11.0</v>
      </c>
      <c r="F4312" s="127"/>
      <c r="G4312" s="127"/>
      <c r="H4312" s="127"/>
      <c r="I4312" s="128"/>
      <c r="K4312" s="105" t="str">
        <f>IFERROR(__xludf.DUMMYFUNCTION("if(A4312="""","""",substitute(SUBSTITUTE(index(importhtml(""http://finviz.com/quote.ashx?t=""&amp;A4312,""table"",10),7,2),""*"",""""),""-"",""0.00""))"),"Loading...")</f>
        <v>Loading...</v>
      </c>
      <c r="L4312" s="129">
        <v>1.2480039E8</v>
      </c>
      <c r="M4312" s="99" t="str">
        <f>IFERROR(__xludf.DUMMYFUNCTION("GOOGLEFINANCE(A4312,""beta"")"),"#N/A")</f>
        <v>#N/A</v>
      </c>
    </row>
    <row r="4313">
      <c r="A4313" s="122" t="s">
        <v>9079</v>
      </c>
      <c r="B4313" s="123">
        <v>1817565.0</v>
      </c>
      <c r="C4313" s="124" t="s">
        <v>9080</v>
      </c>
      <c r="D4313" s="125"/>
      <c r="E4313" s="126">
        <v>11.0</v>
      </c>
      <c r="F4313" s="127"/>
      <c r="G4313" s="127"/>
      <c r="H4313" s="127"/>
      <c r="I4313" s="128"/>
      <c r="K4313" s="105" t="str">
        <f>IFERROR(__xludf.DUMMYFUNCTION("if(A4313="""","""",substitute(SUBSTITUTE(index(importhtml(""http://finviz.com/quote.ashx?t=""&amp;A4313,""table"",10),7,2),""*"",""""),""-"",""0.00""))"),"Loading...")</f>
        <v>Loading...</v>
      </c>
      <c r="L4313" s="129">
        <v>1.474545E8</v>
      </c>
      <c r="M4313" s="99" t="str">
        <f>IFERROR(__xludf.DUMMYFUNCTION("GOOGLEFINANCE(A4313,""beta"")"),"#N/A")</f>
        <v>#N/A</v>
      </c>
    </row>
    <row r="4314">
      <c r="A4314" s="122" t="s">
        <v>9081</v>
      </c>
      <c r="B4314" s="123">
        <v>1403752.0</v>
      </c>
      <c r="C4314" s="124" t="s">
        <v>9082</v>
      </c>
      <c r="D4314" s="125"/>
      <c r="E4314" s="126">
        <v>11.0</v>
      </c>
      <c r="F4314" s="127"/>
      <c r="G4314" s="127"/>
      <c r="H4314" s="127"/>
      <c r="I4314" s="128"/>
      <c r="K4314" s="105" t="str">
        <f>IFERROR(__xludf.DUMMYFUNCTION("if(A4314="""","""",substitute(SUBSTITUTE(index(importhtml(""http://finviz.com/quote.ashx?t=""&amp;A4314,""table"",10),7,2),""*"",""""),""-"",""0.00""))"),"Loading...")</f>
        <v>Loading...</v>
      </c>
      <c r="L4314" s="129">
        <v>7.7002178E8</v>
      </c>
      <c r="M4314" s="99">
        <v>1.14</v>
      </c>
    </row>
    <row r="4315">
      <c r="A4315" s="122" t="s">
        <v>9083</v>
      </c>
      <c r="B4315" s="123">
        <v>1818201.0</v>
      </c>
      <c r="C4315" s="124" t="s">
        <v>9084</v>
      </c>
      <c r="D4315" s="125"/>
      <c r="E4315" s="126">
        <v>11.0</v>
      </c>
      <c r="F4315" s="127"/>
      <c r="G4315" s="127"/>
      <c r="H4315" s="127"/>
      <c r="I4315" s="128"/>
      <c r="K4315" s="105" t="str">
        <f>IFERROR(__xludf.DUMMYFUNCTION("if(A4315="""","""",substitute(SUBSTITUTE(index(importhtml(""http://finviz.com/quote.ashx?t=""&amp;A4315,""table"",10),7,2),""*"",""""),""-"",""0.00""))"),"Loading...")</f>
        <v>Loading...</v>
      </c>
      <c r="L4315" s="129">
        <v>6.6282535E9</v>
      </c>
      <c r="M4315" s="99">
        <v>0.6</v>
      </c>
    </row>
    <row r="4316">
      <c r="A4316" s="122" t="s">
        <v>9085</v>
      </c>
      <c r="B4316" s="123">
        <v>1867287.0</v>
      </c>
      <c r="C4316" s="124" t="s">
        <v>9086</v>
      </c>
      <c r="D4316" s="125"/>
      <c r="E4316" s="126">
        <v>11.01</v>
      </c>
      <c r="F4316" s="127"/>
      <c r="G4316" s="127"/>
      <c r="H4316" s="127"/>
      <c r="I4316" s="128"/>
      <c r="K4316" s="105" t="str">
        <f>IFERROR(__xludf.DUMMYFUNCTION("if(A4316="""","""",substitute(SUBSTITUTE(index(importhtml(""http://finviz.com/quote.ashx?t=""&amp;A4316,""table"",10),7,2),""*"",""""),""-"",""0.00""))"),"Loading...")</f>
        <v>Loading...</v>
      </c>
      <c r="L4316" s="129">
        <v>3.9505631E7</v>
      </c>
      <c r="M4316" s="99" t="str">
        <f>IFERROR(__xludf.DUMMYFUNCTION("GOOGLEFINANCE(A4316,""beta"")"),"#N/A")</f>
        <v>#N/A</v>
      </c>
    </row>
    <row r="4317">
      <c r="A4317" s="122" t="s">
        <v>9087</v>
      </c>
      <c r="B4317" s="123">
        <v>1868269.0</v>
      </c>
      <c r="C4317" s="124" t="s">
        <v>9088</v>
      </c>
      <c r="D4317" s="125"/>
      <c r="E4317" s="126">
        <v>11.01</v>
      </c>
      <c r="F4317" s="127"/>
      <c r="G4317" s="127"/>
      <c r="H4317" s="127"/>
      <c r="I4317" s="128"/>
      <c r="K4317" s="105" t="str">
        <f>IFERROR(__xludf.DUMMYFUNCTION("if(A4317="""","""",substitute(SUBSTITUTE(index(importhtml(""http://finviz.com/quote.ashx?t=""&amp;A4317,""table"",10),7,2),""*"",""""),""-"",""0.00""))"),"Loading...")</f>
        <v>Loading...</v>
      </c>
      <c r="L4317" s="129">
        <v>7.982979E7</v>
      </c>
      <c r="M4317" s="99" t="str">
        <f>IFERROR(__xludf.DUMMYFUNCTION("GOOGLEFINANCE(A4317,""beta"")"),"#N/A")</f>
        <v>#N/A</v>
      </c>
    </row>
    <row r="4318">
      <c r="A4318" s="122" t="s">
        <v>9089</v>
      </c>
      <c r="B4318" s="123">
        <v>1848437.0</v>
      </c>
      <c r="C4318" s="124" t="s">
        <v>9090</v>
      </c>
      <c r="D4318" s="125"/>
      <c r="E4318" s="126">
        <v>11.01</v>
      </c>
      <c r="F4318" s="127"/>
      <c r="G4318" s="127"/>
      <c r="H4318" s="127"/>
      <c r="I4318" s="128"/>
      <c r="K4318" s="105" t="str">
        <f>IFERROR(__xludf.DUMMYFUNCTION("if(A4318="""","""",substitute(SUBSTITUTE(index(importhtml(""http://finviz.com/quote.ashx?t=""&amp;A4318,""table"",10),7,2),""*"",""""),""-"",""0.00""))"),"Loading...")</f>
        <v>Loading...</v>
      </c>
      <c r="L4318" s="129">
        <v>1.09708189E8</v>
      </c>
      <c r="M4318" s="99" t="str">
        <f>IFERROR(__xludf.DUMMYFUNCTION("GOOGLEFINANCE(A4318,""beta"")"),"#N/A")</f>
        <v>#N/A</v>
      </c>
    </row>
    <row r="4319">
      <c r="A4319" s="122" t="s">
        <v>9091</v>
      </c>
      <c r="B4319" s="123">
        <v>1591670.0</v>
      </c>
      <c r="C4319" s="124" t="s">
        <v>9092</v>
      </c>
      <c r="D4319" s="125"/>
      <c r="E4319" s="126">
        <v>11.02</v>
      </c>
      <c r="F4319" s="127"/>
      <c r="G4319" s="127"/>
      <c r="H4319" s="127"/>
      <c r="I4319" s="128"/>
      <c r="K4319" s="55" t="s">
        <v>6361</v>
      </c>
      <c r="L4319" s="129">
        <v>5.31009191E8</v>
      </c>
      <c r="M4319" s="99">
        <v>0.75</v>
      </c>
    </row>
    <row r="4320">
      <c r="A4320" s="122" t="s">
        <v>9093</v>
      </c>
      <c r="B4320" s="123">
        <v>1912582.0</v>
      </c>
      <c r="C4320" s="124" t="s">
        <v>9094</v>
      </c>
      <c r="D4320" s="125"/>
      <c r="E4320" s="126">
        <v>11.02</v>
      </c>
      <c r="F4320" s="127"/>
      <c r="G4320" s="127"/>
      <c r="H4320" s="127"/>
      <c r="I4320" s="128"/>
      <c r="K4320" s="105" t="str">
        <f>IFERROR(__xludf.DUMMYFUNCTION("if(A4320="""","""",substitute(SUBSTITUTE(index(importhtml(""http://finviz.com/quote.ashx?t=""&amp;A4320,""table"",10),7,2),""*"",""""),""-"",""0.00""))"),"Loading...")</f>
        <v>Loading...</v>
      </c>
      <c r="L4320" s="129">
        <v>8.6888964E7</v>
      </c>
      <c r="M4320" s="99" t="str">
        <f>IFERROR(__xludf.DUMMYFUNCTION("GOOGLEFINANCE(A4320,""beta"")"),"#N/A")</f>
        <v>#N/A</v>
      </c>
    </row>
    <row r="4321">
      <c r="A4321" s="122" t="s">
        <v>9095</v>
      </c>
      <c r="B4321" s="123">
        <v>1889450.0</v>
      </c>
      <c r="C4321" s="124" t="s">
        <v>9096</v>
      </c>
      <c r="D4321" s="125"/>
      <c r="E4321" s="126">
        <v>11.02</v>
      </c>
      <c r="F4321" s="127"/>
      <c r="G4321" s="127"/>
      <c r="H4321" s="127"/>
      <c r="I4321" s="128"/>
      <c r="K4321" s="105" t="str">
        <f>IFERROR(__xludf.DUMMYFUNCTION("if(A4321="""","""",substitute(SUBSTITUTE(index(importhtml(""http://finviz.com/quote.ashx?t=""&amp;A4321,""table"",10),7,2),""*"",""""),""-"",""0.00""))"),"Loading...")</f>
        <v>Loading...</v>
      </c>
      <c r="L4321" s="129">
        <v>9.3166408E7</v>
      </c>
      <c r="M4321" s="99">
        <f>IFERROR(__xludf.DUMMYFUNCTION("GOOGLEFINANCE(A4321,""beta"")"),-0.18)</f>
        <v>-0.18</v>
      </c>
    </row>
    <row r="4322">
      <c r="A4322" s="122" t="s">
        <v>9097</v>
      </c>
      <c r="B4322" s="123">
        <v>1829322.0</v>
      </c>
      <c r="C4322" s="124" t="s">
        <v>9098</v>
      </c>
      <c r="D4322" s="125"/>
      <c r="E4322" s="126">
        <v>11.02</v>
      </c>
      <c r="F4322" s="127"/>
      <c r="G4322" s="127"/>
      <c r="H4322" s="127"/>
      <c r="I4322" s="128"/>
      <c r="K4322" s="105" t="str">
        <f>IFERROR(__xludf.DUMMYFUNCTION("if(A4322="""","""",substitute(SUBSTITUTE(index(importhtml(""http://finviz.com/quote.ashx?t=""&amp;A4322,""table"",10),7,2),""*"",""""),""-"",""0.00""))"),"Loading...")</f>
        <v>Loading...</v>
      </c>
      <c r="L4322" s="129">
        <v>1.03110331E8</v>
      </c>
      <c r="M4322" s="99" t="str">
        <f>IFERROR(__xludf.DUMMYFUNCTION("GOOGLEFINANCE(A4322,""beta"")"),"#N/A")</f>
        <v>#N/A</v>
      </c>
    </row>
    <row r="4323">
      <c r="A4323" s="122" t="s">
        <v>9099</v>
      </c>
      <c r="B4323" s="123">
        <v>1584425.0</v>
      </c>
      <c r="C4323" s="124" t="s">
        <v>9100</v>
      </c>
      <c r="D4323" s="125"/>
      <c r="E4323" s="126">
        <v>11.02</v>
      </c>
      <c r="F4323" s="127"/>
      <c r="G4323" s="127"/>
      <c r="H4323" s="127"/>
      <c r="I4323" s="128"/>
      <c r="K4323" s="105" t="str">
        <f>IFERROR(__xludf.DUMMYFUNCTION("if(A4323="""","""",substitute(SUBSTITUTE(index(importhtml(""http://finviz.com/quote.ashx?t=""&amp;A4323,""table"",10),7,2),""*"",""""),""-"",""0.00""))"),"Loading...")</f>
        <v>Loading...</v>
      </c>
      <c r="L4323" s="129">
        <v>4.057040861E9</v>
      </c>
      <c r="M4323" s="99">
        <v>1.39</v>
      </c>
    </row>
    <row r="4324">
      <c r="A4324" s="122" t="s">
        <v>9101</v>
      </c>
      <c r="B4324" s="123">
        <v>1869601.0</v>
      </c>
      <c r="C4324" s="124" t="s">
        <v>9102</v>
      </c>
      <c r="D4324" s="125"/>
      <c r="E4324" s="126">
        <v>11.03</v>
      </c>
      <c r="F4324" s="127"/>
      <c r="G4324" s="127"/>
      <c r="H4324" s="127"/>
      <c r="I4324" s="128"/>
      <c r="K4324" s="105" t="str">
        <f>IFERROR(__xludf.DUMMYFUNCTION("if(A4324="""","""",substitute(SUBSTITUTE(index(importhtml(""http://finviz.com/quote.ashx?t=""&amp;A4324,""table"",10),7,2),""*"",""""),""-"",""0.00""))"),"Loading...")</f>
        <v>Loading...</v>
      </c>
      <c r="L4324" s="129">
        <v>8.187762E7</v>
      </c>
      <c r="M4324" s="99" t="str">
        <f>IFERROR(__xludf.DUMMYFUNCTION("GOOGLEFINANCE(A4324,""beta"")"),"#N/A")</f>
        <v>#N/A</v>
      </c>
    </row>
    <row r="4325">
      <c r="A4325" s="122" t="s">
        <v>9103</v>
      </c>
      <c r="B4325" s="123">
        <v>39020.0</v>
      </c>
      <c r="C4325" s="124" t="s">
        <v>9104</v>
      </c>
      <c r="D4325" s="125"/>
      <c r="E4325" s="126">
        <v>11.03</v>
      </c>
      <c r="F4325" s="127"/>
      <c r="G4325" s="127"/>
      <c r="H4325" s="127"/>
      <c r="I4325" s="128"/>
      <c r="K4325" s="105" t="str">
        <f>IFERROR(__xludf.DUMMYFUNCTION("if(A4325="""","""",substitute(SUBSTITUTE(index(importhtml(""http://finviz.com/quote.ashx?t=""&amp;A4325,""table"",10),7,2),""*"",""""),""-"",""0.00""))"),"Loading...")</f>
        <v>Loading...</v>
      </c>
      <c r="L4325" s="129">
        <v>1.03852102E8</v>
      </c>
      <c r="M4325" s="99">
        <v>0.57</v>
      </c>
    </row>
    <row r="4326">
      <c r="A4326" s="122" t="s">
        <v>9105</v>
      </c>
      <c r="B4326" s="123">
        <v>1847355.0</v>
      </c>
      <c r="C4326" s="124" t="s">
        <v>9106</v>
      </c>
      <c r="D4326" s="125"/>
      <c r="E4326" s="126">
        <v>11.03</v>
      </c>
      <c r="F4326" s="127"/>
      <c r="G4326" s="127"/>
      <c r="H4326" s="127"/>
      <c r="I4326" s="128"/>
      <c r="K4326" s="105" t="str">
        <f>IFERROR(__xludf.DUMMYFUNCTION("if(A4326="""","""",substitute(SUBSTITUTE(index(importhtml(""http://finviz.com/quote.ashx?t=""&amp;A4326,""table"",10),7,2),""*"",""""),""-"",""0.00""))"),"Loading...")</f>
        <v>Loading...</v>
      </c>
      <c r="L4326" s="129">
        <v>1.101263E8</v>
      </c>
      <c r="M4326" s="99" t="str">
        <f>IFERROR(__xludf.DUMMYFUNCTION("GOOGLEFINANCE(A4326,""beta"")"),"#N/A")</f>
        <v>#N/A</v>
      </c>
    </row>
    <row r="4327">
      <c r="A4327" s="122" t="s">
        <v>9107</v>
      </c>
      <c r="B4327" s="123">
        <v>1889112.0</v>
      </c>
      <c r="C4327" s="124" t="s">
        <v>2160</v>
      </c>
      <c r="D4327" s="125"/>
      <c r="E4327" s="126">
        <v>11.03</v>
      </c>
      <c r="F4327" s="127"/>
      <c r="G4327" s="127"/>
      <c r="H4327" s="127"/>
      <c r="I4327" s="128"/>
      <c r="K4327" s="105" t="str">
        <f>IFERROR(__xludf.DUMMYFUNCTION("if(A4327="""","""",substitute(SUBSTITUTE(index(importhtml(""http://finviz.com/quote.ashx?t=""&amp;A4327,""table"",10),7,2),""*"",""""),""-"",""0.00""))"),"Loading...")</f>
        <v>Loading...</v>
      </c>
      <c r="L4327" s="129">
        <v>2.38474771E8</v>
      </c>
      <c r="M4327" s="99" t="str">
        <f>IFERROR(__xludf.DUMMYFUNCTION("GOOGLEFINANCE(A4327,""beta"")"),"#N/A")</f>
        <v>#N/A</v>
      </c>
    </row>
    <row r="4328">
      <c r="A4328" s="122" t="s">
        <v>9108</v>
      </c>
      <c r="B4328" s="123">
        <v>1889112.0</v>
      </c>
      <c r="C4328" s="124" t="s">
        <v>9109</v>
      </c>
      <c r="D4328" s="125"/>
      <c r="E4328" s="126">
        <v>11.03</v>
      </c>
      <c r="F4328" s="127"/>
      <c r="G4328" s="127"/>
      <c r="H4328" s="127"/>
      <c r="I4328" s="128"/>
      <c r="K4328" s="105" t="str">
        <f>IFERROR(__xludf.DUMMYFUNCTION("if(A4328="""","""",substitute(SUBSTITUTE(index(importhtml(""http://finviz.com/quote.ashx?t=""&amp;A4328,""table"",10),7,2),""*"",""""),""-"",""0.00""))"),"Loading...")</f>
        <v>Loading...</v>
      </c>
      <c r="L4328" s="129">
        <v>2.38474771E8</v>
      </c>
      <c r="M4328" s="99" t="str">
        <f>IFERROR(__xludf.DUMMYFUNCTION("GOOGLEFINANCE(A4328,""beta"")"),"#N/A")</f>
        <v>#N/A</v>
      </c>
    </row>
    <row r="4329">
      <c r="A4329" s="122" t="s">
        <v>9110</v>
      </c>
      <c r="B4329" s="123">
        <v>1754195.0</v>
      </c>
      <c r="C4329" s="124" t="s">
        <v>9111</v>
      </c>
      <c r="D4329" s="125"/>
      <c r="E4329" s="126">
        <v>11.03</v>
      </c>
      <c r="F4329" s="127"/>
      <c r="G4329" s="127"/>
      <c r="H4329" s="127"/>
      <c r="I4329" s="128"/>
      <c r="K4329" s="105" t="str">
        <f>IFERROR(__xludf.DUMMYFUNCTION("if(A4329="""","""",substitute(SUBSTITUTE(index(importhtml(""http://finviz.com/quote.ashx?t=""&amp;A4329,""table"",10),7,2),""*"",""""),""-"",""0.00""))"),"Loading...")</f>
        <v>Loading...</v>
      </c>
      <c r="L4329" s="129">
        <v>2.779428E9</v>
      </c>
      <c r="M4329" s="99">
        <v>1.76</v>
      </c>
    </row>
    <row r="4330">
      <c r="A4330" s="122" t="s">
        <v>9112</v>
      </c>
      <c r="B4330" s="123">
        <v>910406.0</v>
      </c>
      <c r="C4330" s="124" t="s">
        <v>9113</v>
      </c>
      <c r="D4330" s="125"/>
      <c r="E4330" s="126">
        <v>11.04</v>
      </c>
      <c r="F4330" s="127"/>
      <c r="G4330" s="127"/>
      <c r="H4330" s="127"/>
      <c r="I4330" s="128"/>
      <c r="K4330" s="105" t="str">
        <f>IFERROR(__xludf.DUMMYFUNCTION("if(A4330="""","""",substitute(SUBSTITUTE(index(importhtml(""http://finviz.com/quote.ashx?t=""&amp;A4330,""table"",10),7,2),""*"",""""),""-"",""0.00""))"),"Loading...")</f>
        <v>Loading...</v>
      </c>
      <c r="L4330" s="129">
        <v>1.017300187E9</v>
      </c>
      <c r="M4330" s="99">
        <v>0.74</v>
      </c>
    </row>
    <row r="4331">
      <c r="A4331" s="122" t="s">
        <v>9114</v>
      </c>
      <c r="B4331" s="123">
        <v>1199004.0</v>
      </c>
      <c r="C4331" s="124" t="s">
        <v>9115</v>
      </c>
      <c r="D4331" s="125"/>
      <c r="E4331" s="126">
        <v>11.05</v>
      </c>
      <c r="F4331" s="127"/>
      <c r="G4331" s="127"/>
      <c r="H4331" s="127"/>
      <c r="I4331" s="128"/>
      <c r="K4331" s="55" t="s">
        <v>9116</v>
      </c>
      <c r="L4331" s="129">
        <v>1.27034549E8</v>
      </c>
      <c r="M4331" s="99">
        <v>0.51</v>
      </c>
    </row>
    <row r="4332">
      <c r="A4332" s="122" t="s">
        <v>9117</v>
      </c>
      <c r="B4332" s="123">
        <v>1903464.0</v>
      </c>
      <c r="C4332" s="124" t="s">
        <v>726</v>
      </c>
      <c r="D4332" s="125"/>
      <c r="E4332" s="126">
        <v>11.05</v>
      </c>
      <c r="F4332" s="127"/>
      <c r="G4332" s="127"/>
      <c r="H4332" s="127"/>
      <c r="I4332" s="128"/>
      <c r="K4332" s="105" t="str">
        <f>IFERROR(__xludf.DUMMYFUNCTION("if(A4332="""","""",substitute(SUBSTITUTE(index(importhtml(""http://finviz.com/quote.ashx?t=""&amp;A4332,""table"",10),7,2),""*"",""""),""-"",""0.00""))"),"Loading...")</f>
        <v>Loading...</v>
      </c>
      <c r="L4332" s="129">
        <v>4.9348E7</v>
      </c>
      <c r="M4332" s="99" t="str">
        <f>IFERROR(__xludf.DUMMYFUNCTION("GOOGLEFINANCE(A4332,""beta"")"),"#N/A")</f>
        <v>#N/A</v>
      </c>
    </row>
    <row r="4333">
      <c r="A4333" s="122" t="s">
        <v>9118</v>
      </c>
      <c r="B4333" s="123">
        <v>1860871.0</v>
      </c>
      <c r="C4333" s="124" t="s">
        <v>9119</v>
      </c>
      <c r="D4333" s="125"/>
      <c r="E4333" s="126">
        <v>11.05</v>
      </c>
      <c r="F4333" s="127"/>
      <c r="G4333" s="127"/>
      <c r="H4333" s="127"/>
      <c r="I4333" s="128"/>
      <c r="K4333" s="105" t="str">
        <f>IFERROR(__xludf.DUMMYFUNCTION("if(A4333="""","""",substitute(SUBSTITUTE(index(importhtml(""http://finviz.com/quote.ashx?t=""&amp;A4333,""table"",10),7,2),""*"",""""),""-"",""0.00""))"),"Loading...")</f>
        <v>Loading...</v>
      </c>
      <c r="L4333" s="129">
        <v>6.2729139E7</v>
      </c>
      <c r="M4333" s="99" t="str">
        <f>IFERROR(__xludf.DUMMYFUNCTION("GOOGLEFINANCE(A4333,""beta"")"),"#N/A")</f>
        <v>#N/A</v>
      </c>
    </row>
    <row r="4334">
      <c r="A4334" s="122" t="s">
        <v>9120</v>
      </c>
      <c r="B4334" s="123">
        <v>1889450.0</v>
      </c>
      <c r="C4334" s="124" t="s">
        <v>9121</v>
      </c>
      <c r="D4334" s="125"/>
      <c r="E4334" s="126">
        <v>11.05</v>
      </c>
      <c r="F4334" s="127"/>
      <c r="G4334" s="127"/>
      <c r="H4334" s="127"/>
      <c r="I4334" s="128"/>
      <c r="K4334" s="105" t="str">
        <f>IFERROR(__xludf.DUMMYFUNCTION("if(A4334="""","""",substitute(SUBSTITUTE(index(importhtml(""http://finviz.com/quote.ashx?t=""&amp;A4334,""table"",10),7,2),""*"",""""),""-"",""0.00""))"),"Loading...")</f>
        <v>Loading...</v>
      </c>
      <c r="L4334" s="129">
        <v>9.3166408E7</v>
      </c>
      <c r="M4334" s="99">
        <f>IFERROR(__xludf.DUMMYFUNCTION("GOOGLEFINANCE(A4334,""beta"")"),0.07)</f>
        <v>0.07</v>
      </c>
    </row>
    <row r="4335">
      <c r="A4335" s="122" t="s">
        <v>9122</v>
      </c>
      <c r="B4335" s="123">
        <v>1801417.0</v>
      </c>
      <c r="C4335" s="124" t="s">
        <v>1456</v>
      </c>
      <c r="D4335" s="125"/>
      <c r="E4335" s="126">
        <v>11.05</v>
      </c>
      <c r="F4335" s="127"/>
      <c r="G4335" s="127"/>
      <c r="H4335" s="127"/>
      <c r="I4335" s="128"/>
      <c r="K4335" s="105" t="str">
        <f>IFERROR(__xludf.DUMMYFUNCTION("if(A4335="""","""",substitute(SUBSTITUTE(index(importhtml(""http://finviz.com/quote.ashx?t=""&amp;A4335,""table"",10),7,2),""*"",""""),""-"",""0.00""))"),"Loading...")</f>
        <v>Loading...</v>
      </c>
      <c r="L4335" s="129">
        <v>1.135528E8</v>
      </c>
      <c r="M4335" s="99">
        <f>IFERROR(__xludf.DUMMYFUNCTION("GOOGLEFINANCE(A4335,""beta"")"),0.01)</f>
        <v>0.01</v>
      </c>
    </row>
    <row r="4336">
      <c r="A4336" s="122" t="s">
        <v>9123</v>
      </c>
      <c r="B4336" s="123">
        <v>759866.0</v>
      </c>
      <c r="C4336" s="124" t="s">
        <v>9124</v>
      </c>
      <c r="D4336" s="125"/>
      <c r="E4336" s="126">
        <v>11.05</v>
      </c>
      <c r="F4336" s="127"/>
      <c r="G4336" s="127"/>
      <c r="H4336" s="127"/>
      <c r="I4336" s="128"/>
      <c r="K4336" s="105" t="str">
        <f>IFERROR(__xludf.DUMMYFUNCTION("if(A4336="""","""",substitute(SUBSTITUTE(index(importhtml(""http://finviz.com/quote.ashx?t=""&amp;A4336,""table"",10),7,2),""*"",""""),""-"",""0.00""))"),"Loading...")</f>
        <v>Loading...</v>
      </c>
      <c r="L4336" s="129">
        <v>1.28694711E8</v>
      </c>
      <c r="M4336" s="99">
        <v>0.42</v>
      </c>
    </row>
    <row r="4337">
      <c r="A4337" s="122" t="s">
        <v>9125</v>
      </c>
      <c r="B4337" s="123">
        <v>1880441.0</v>
      </c>
      <c r="C4337" s="124" t="s">
        <v>9126</v>
      </c>
      <c r="D4337" s="125"/>
      <c r="E4337" s="126">
        <v>11.05</v>
      </c>
      <c r="F4337" s="127"/>
      <c r="G4337" s="127"/>
      <c r="H4337" s="127"/>
      <c r="I4337" s="128"/>
      <c r="K4337" s="105" t="str">
        <f>IFERROR(__xludf.DUMMYFUNCTION("if(A4337="""","""",substitute(SUBSTITUTE(index(importhtml(""http://finviz.com/quote.ashx?t=""&amp;A4337,""table"",10),7,2),""*"",""""),""-"",""0.00""))"),"Loading...")</f>
        <v>Loading...</v>
      </c>
      <c r="L4337" s="129">
        <v>1.52441272E8</v>
      </c>
      <c r="M4337" s="99" t="str">
        <f>IFERROR(__xludf.DUMMYFUNCTION("GOOGLEFINANCE(A4337,""beta"")"),"#N/A")</f>
        <v>#N/A</v>
      </c>
    </row>
    <row r="4338">
      <c r="A4338" s="122" t="s">
        <v>9127</v>
      </c>
      <c r="B4338" s="123">
        <v>897421.0</v>
      </c>
      <c r="C4338" s="124" t="s">
        <v>9128</v>
      </c>
      <c r="D4338" s="125"/>
      <c r="E4338" s="126">
        <v>11.05</v>
      </c>
      <c r="F4338" s="127"/>
      <c r="G4338" s="127"/>
      <c r="H4338" s="127"/>
      <c r="I4338" s="128"/>
      <c r="K4338" s="105" t="str">
        <f>IFERROR(__xludf.DUMMYFUNCTION("if(A4338="""","""",substitute(SUBSTITUTE(index(importhtml(""http://finviz.com/quote.ashx?t=""&amp;A4338,""table"",10),7,2),""*"",""""),""-"",""0.00""))"),"Loading...")</f>
        <v>Loading...</v>
      </c>
      <c r="L4338" s="129">
        <v>1.98067938E8</v>
      </c>
      <c r="M4338" s="99">
        <v>0.6</v>
      </c>
    </row>
    <row r="4339">
      <c r="A4339" s="122" t="s">
        <v>9129</v>
      </c>
      <c r="B4339" s="123">
        <v>1854480.0</v>
      </c>
      <c r="C4339" s="124" t="s">
        <v>9130</v>
      </c>
      <c r="D4339" s="125"/>
      <c r="E4339" s="126">
        <v>11.05</v>
      </c>
      <c r="F4339" s="127"/>
      <c r="G4339" s="127"/>
      <c r="H4339" s="127"/>
      <c r="I4339" s="128"/>
      <c r="K4339" s="105" t="str">
        <f>IFERROR(__xludf.DUMMYFUNCTION("if(A4339="""","""",substitute(SUBSTITUTE(index(importhtml(""http://finviz.com/quote.ashx?t=""&amp;A4339,""table"",10),7,2),""*"",""""),""-"",""0.00""))"),"Loading...")</f>
        <v>Loading...</v>
      </c>
      <c r="L4339" s="129">
        <v>3.11603674E8</v>
      </c>
      <c r="M4339" s="99" t="str">
        <f>IFERROR(__xludf.DUMMYFUNCTION("GOOGLEFINANCE(A4339,""beta"")"),"#N/A")</f>
        <v>#N/A</v>
      </c>
    </row>
    <row r="4340">
      <c r="A4340" s="122" t="s">
        <v>9131</v>
      </c>
      <c r="B4340" s="123">
        <v>1855351.0</v>
      </c>
      <c r="C4340" s="124" t="s">
        <v>9132</v>
      </c>
      <c r="D4340" s="125"/>
      <c r="E4340" s="126">
        <v>11.05</v>
      </c>
      <c r="F4340" s="127"/>
      <c r="G4340" s="127"/>
      <c r="H4340" s="127"/>
      <c r="I4340" s="128"/>
      <c r="K4340" s="105" t="str">
        <f>IFERROR(__xludf.DUMMYFUNCTION("if(A4340="""","""",substitute(SUBSTITUTE(index(importhtml(""http://finviz.com/quote.ashx?t=""&amp;A4340,""table"",10),7,2),""*"",""""),""-"",""0.00""))"),"Loading...")</f>
        <v>Loading...</v>
      </c>
      <c r="L4340" s="129">
        <v>5.513243E8</v>
      </c>
      <c r="M4340" s="99" t="str">
        <f>IFERROR(__xludf.DUMMYFUNCTION("GOOGLEFINANCE(A4340,""beta"")"),"#N/A")</f>
        <v>#N/A</v>
      </c>
    </row>
    <row r="4341">
      <c r="A4341" s="122" t="s">
        <v>9133</v>
      </c>
      <c r="B4341" s="123">
        <v>1852023.0</v>
      </c>
      <c r="C4341" s="124" t="s">
        <v>9134</v>
      </c>
      <c r="D4341" s="125"/>
      <c r="E4341" s="126">
        <v>11.05</v>
      </c>
      <c r="F4341" s="127"/>
      <c r="G4341" s="127"/>
      <c r="H4341" s="127"/>
      <c r="I4341" s="128"/>
      <c r="K4341" s="105" t="str">
        <f>IFERROR(__xludf.DUMMYFUNCTION("if(A4341="""","""",substitute(SUBSTITUTE(index(importhtml(""http://finviz.com/quote.ashx?t=""&amp;A4341,""table"",10),7,2),""*"",""""),""-"",""0.00""))"),"Loading...")</f>
        <v>Loading...</v>
      </c>
      <c r="L4341" s="129" t="e">
        <v>#N/A</v>
      </c>
      <c r="M4341" s="99">
        <f>IFERROR(__xludf.DUMMYFUNCTION("GOOGLEFINANCE(A4341,""beta"")"),7.13)</f>
        <v>7.13</v>
      </c>
    </row>
    <row r="4342">
      <c r="A4342" s="122" t="s">
        <v>9135</v>
      </c>
      <c r="B4342" s="123">
        <v>1051003.0</v>
      </c>
      <c r="C4342" s="124" t="s">
        <v>9136</v>
      </c>
      <c r="D4342" s="125"/>
      <c r="E4342" s="126">
        <v>11.06</v>
      </c>
      <c r="F4342" s="127"/>
      <c r="G4342" s="127"/>
      <c r="H4342" s="127"/>
      <c r="I4342" s="128"/>
      <c r="K4342" s="55" t="s">
        <v>9137</v>
      </c>
      <c r="L4342" s="129">
        <v>5.15510048E8</v>
      </c>
      <c r="M4342" s="99">
        <v>0.71</v>
      </c>
    </row>
    <row r="4343">
      <c r="A4343" s="122" t="s">
        <v>9138</v>
      </c>
      <c r="B4343" s="123">
        <v>1863460.0</v>
      </c>
      <c r="C4343" s="124" t="s">
        <v>9139</v>
      </c>
      <c r="D4343" s="125"/>
      <c r="E4343" s="126">
        <v>11.06</v>
      </c>
      <c r="F4343" s="127"/>
      <c r="G4343" s="127"/>
      <c r="H4343" s="127"/>
      <c r="I4343" s="128"/>
      <c r="K4343" s="105" t="str">
        <f>IFERROR(__xludf.DUMMYFUNCTION("if(A4343="""","""",substitute(SUBSTITUTE(index(importhtml(""http://finviz.com/quote.ashx?t=""&amp;A4343,""table"",10),7,2),""*"",""""),""-"",""0.00""))"),"Loading...")</f>
        <v>Loading...</v>
      </c>
      <c r="L4343" s="129">
        <v>2.547825E7</v>
      </c>
      <c r="M4343" s="99" t="str">
        <f>IFERROR(__xludf.DUMMYFUNCTION("GOOGLEFINANCE(A4343,""beta"")"),"#N/A")</f>
        <v>#N/A</v>
      </c>
    </row>
    <row r="4344">
      <c r="A4344" s="122" t="s">
        <v>9140</v>
      </c>
      <c r="B4344" s="123">
        <v>1903464.0</v>
      </c>
      <c r="C4344" s="124" t="s">
        <v>9141</v>
      </c>
      <c r="D4344" s="125"/>
      <c r="E4344" s="126">
        <v>11.06</v>
      </c>
      <c r="F4344" s="127"/>
      <c r="G4344" s="127"/>
      <c r="H4344" s="127"/>
      <c r="I4344" s="128"/>
      <c r="K4344" s="105" t="str">
        <f>IFERROR(__xludf.DUMMYFUNCTION("if(A4344="""","""",substitute(SUBSTITUTE(index(importhtml(""http://finviz.com/quote.ashx?t=""&amp;A4344,""table"",10),7,2),""*"",""""),""-"",""0.00""))"),"Loading...")</f>
        <v>Loading...</v>
      </c>
      <c r="L4344" s="129">
        <v>4.9348E7</v>
      </c>
      <c r="M4344" s="99" t="str">
        <f>IFERROR(__xludf.DUMMYFUNCTION("GOOGLEFINANCE(A4344,""beta"")"),"#N/A")</f>
        <v>#N/A</v>
      </c>
    </row>
    <row r="4345">
      <c r="A4345" s="122" t="s">
        <v>9142</v>
      </c>
      <c r="B4345" s="123">
        <v>1852019.0</v>
      </c>
      <c r="C4345" s="124" t="s">
        <v>9143</v>
      </c>
      <c r="D4345" s="125"/>
      <c r="E4345" s="126">
        <v>11.06</v>
      </c>
      <c r="F4345" s="127"/>
      <c r="G4345" s="127"/>
      <c r="H4345" s="127"/>
      <c r="I4345" s="128"/>
      <c r="K4345" s="105" t="str">
        <f>IFERROR(__xludf.DUMMYFUNCTION("if(A4345="""","""",substitute(SUBSTITUTE(index(importhtml(""http://finviz.com/quote.ashx?t=""&amp;A4345,""table"",10),7,2),""*"",""""),""-"",""0.00""))"),"Loading...")</f>
        <v>Loading...</v>
      </c>
      <c r="L4345" s="129">
        <v>9.558831E7</v>
      </c>
      <c r="M4345" s="99" t="str">
        <f>IFERROR(__xludf.DUMMYFUNCTION("GOOGLEFINANCE(A4345,""beta"")"),"#N/A")</f>
        <v>#N/A</v>
      </c>
    </row>
    <row r="4346">
      <c r="A4346" s="122" t="s">
        <v>9144</v>
      </c>
      <c r="B4346" s="123">
        <v>1549802.0</v>
      </c>
      <c r="C4346" s="124" t="s">
        <v>9145</v>
      </c>
      <c r="D4346" s="125"/>
      <c r="E4346" s="126">
        <v>11.06</v>
      </c>
      <c r="F4346" s="127"/>
      <c r="G4346" s="127"/>
      <c r="H4346" s="127"/>
      <c r="I4346" s="128"/>
      <c r="K4346" s="105" t="str">
        <f>IFERROR(__xludf.DUMMYFUNCTION("if(A4346="""","""",substitute(SUBSTITUTE(index(importhtml(""http://finviz.com/quote.ashx?t=""&amp;A4346,""table"",10),7,2),""*"",""""),""-"",""0.00""))"),"Loading...")</f>
        <v>Loading...</v>
      </c>
      <c r="L4346" s="129">
        <v>3.4882587739E10</v>
      </c>
      <c r="M4346" s="99">
        <v>0.63</v>
      </c>
    </row>
    <row r="4347">
      <c r="A4347" s="122" t="s">
        <v>9146</v>
      </c>
      <c r="B4347" s="123">
        <v>1865861.0</v>
      </c>
      <c r="C4347" s="124" t="s">
        <v>9147</v>
      </c>
      <c r="D4347" s="125"/>
      <c r="E4347" s="126">
        <v>11.07</v>
      </c>
      <c r="F4347" s="127"/>
      <c r="G4347" s="127"/>
      <c r="H4347" s="127"/>
      <c r="I4347" s="128"/>
      <c r="K4347" s="105" t="str">
        <f>IFERROR(__xludf.DUMMYFUNCTION("if(A4347="""","""",substitute(SUBSTITUTE(index(importhtml(""http://finviz.com/quote.ashx?t=""&amp;A4347,""table"",10),7,2),""*"",""""),""-"",""0.00""))"),"Loading...")</f>
        <v>Loading...</v>
      </c>
      <c r="L4347" s="129">
        <v>5.6178809E7</v>
      </c>
      <c r="M4347" s="99" t="str">
        <f>IFERROR(__xludf.DUMMYFUNCTION("GOOGLEFINANCE(A4347,""beta"")"),"#N/A")</f>
        <v>#N/A</v>
      </c>
    </row>
    <row r="4348">
      <c r="A4348" s="122" t="s">
        <v>9148</v>
      </c>
      <c r="B4348" s="123">
        <v>1849548.0</v>
      </c>
      <c r="C4348" s="124" t="s">
        <v>9149</v>
      </c>
      <c r="D4348" s="125"/>
      <c r="E4348" s="126">
        <v>11.07</v>
      </c>
      <c r="F4348" s="127"/>
      <c r="G4348" s="127"/>
      <c r="H4348" s="127"/>
      <c r="I4348" s="128"/>
      <c r="K4348" s="105" t="str">
        <f>IFERROR(__xludf.DUMMYFUNCTION("if(A4348="""","""",substitute(SUBSTITUTE(index(importhtml(""http://finviz.com/quote.ashx?t=""&amp;A4348,""table"",10),7,2),""*"",""""),""-"",""0.00""))"),"Loading...")</f>
        <v>Loading...</v>
      </c>
      <c r="L4348" s="129">
        <v>9.547129E7</v>
      </c>
      <c r="M4348" s="99" t="str">
        <f>IFERROR(__xludf.DUMMYFUNCTION("GOOGLEFINANCE(A4348,""beta"")"),"#N/A")</f>
        <v>#N/A</v>
      </c>
    </row>
    <row r="4349">
      <c r="A4349" s="122" t="s">
        <v>9150</v>
      </c>
      <c r="B4349" s="123">
        <v>1340243.0</v>
      </c>
      <c r="C4349" s="124" t="s">
        <v>9151</v>
      </c>
      <c r="D4349" s="125"/>
      <c r="E4349" s="126">
        <v>11.07</v>
      </c>
      <c r="F4349" s="127"/>
      <c r="G4349" s="127"/>
      <c r="H4349" s="127"/>
      <c r="I4349" s="128"/>
      <c r="K4349" s="105" t="str">
        <f>IFERROR(__xludf.DUMMYFUNCTION("if(A4349="""","""",substitute(SUBSTITUTE(index(importhtml(""http://finviz.com/quote.ashx?t=""&amp;A4349,""table"",10),7,2),""*"",""""),""-"",""0.00""))"),"Loading...")</f>
        <v>Loading...</v>
      </c>
      <c r="L4349" s="129">
        <v>1.599364773E9</v>
      </c>
      <c r="M4349" s="99">
        <v>1.0</v>
      </c>
    </row>
    <row r="4350">
      <c r="A4350" s="122" t="s">
        <v>9152</v>
      </c>
      <c r="B4350" s="123">
        <v>1195737.0</v>
      </c>
      <c r="C4350" s="124" t="s">
        <v>9153</v>
      </c>
      <c r="D4350" s="125"/>
      <c r="E4350" s="126">
        <v>11.07</v>
      </c>
      <c r="F4350" s="127"/>
      <c r="G4350" s="127"/>
      <c r="H4350" s="127"/>
      <c r="I4350" s="128"/>
      <c r="K4350" s="105" t="str">
        <f>IFERROR(__xludf.DUMMYFUNCTION("if(A4350="""","""",substitute(SUBSTITUTE(index(importhtml(""http://finviz.com/quote.ashx?t=""&amp;A4350,""table"",10),7,2),""*"",""""),""-"",""0.00""))"),"Loading...")</f>
        <v>Loading...</v>
      </c>
      <c r="L4350" s="129">
        <v>3.310343926E9</v>
      </c>
      <c r="M4350" s="99">
        <v>0.5</v>
      </c>
    </row>
    <row r="4351">
      <c r="A4351" s="122" t="s">
        <v>9154</v>
      </c>
      <c r="B4351" s="123">
        <v>1882078.0</v>
      </c>
      <c r="C4351" s="124" t="s">
        <v>9155</v>
      </c>
      <c r="D4351" s="125"/>
      <c r="E4351" s="126">
        <v>11.08</v>
      </c>
      <c r="F4351" s="127"/>
      <c r="G4351" s="127"/>
      <c r="H4351" s="127"/>
      <c r="I4351" s="128"/>
      <c r="K4351" s="105" t="str">
        <f>IFERROR(__xludf.DUMMYFUNCTION("if(A4351="""","""",substitute(SUBSTITUTE(index(importhtml(""http://finviz.com/quote.ashx?t=""&amp;A4351,""table"",10),7,2),""*"",""""),""-"",""0.00""))"),"Loading...")</f>
        <v>Loading...</v>
      </c>
      <c r="L4351" s="129">
        <v>5.712575E7</v>
      </c>
      <c r="M4351" s="99" t="str">
        <f>IFERROR(__xludf.DUMMYFUNCTION("GOOGLEFINANCE(A4351,""beta"")"),"#N/A")</f>
        <v>#N/A</v>
      </c>
    </row>
    <row r="4352">
      <c r="A4352" s="122" t="s">
        <v>9156</v>
      </c>
      <c r="B4352" s="123">
        <v>1849294.0</v>
      </c>
      <c r="C4352" s="124" t="s">
        <v>9157</v>
      </c>
      <c r="D4352" s="125"/>
      <c r="E4352" s="126">
        <v>11.08</v>
      </c>
      <c r="F4352" s="127"/>
      <c r="G4352" s="127"/>
      <c r="H4352" s="127"/>
      <c r="I4352" s="128"/>
      <c r="K4352" s="105" t="str">
        <f>IFERROR(__xludf.DUMMYFUNCTION("if(A4352="""","""",substitute(SUBSTITUTE(index(importhtml(""http://finviz.com/quote.ashx?t=""&amp;A4352,""table"",10),7,2),""*"",""""),""-"",""0.00""))"),"Loading...")</f>
        <v>Loading...</v>
      </c>
      <c r="L4352" s="129">
        <v>6.949151E7</v>
      </c>
      <c r="M4352" s="99" t="str">
        <f>IFERROR(__xludf.DUMMYFUNCTION("GOOGLEFINANCE(A4352,""beta"")"),"#N/A")</f>
        <v>#N/A</v>
      </c>
    </row>
    <row r="4353">
      <c r="A4353" s="122" t="s">
        <v>9158</v>
      </c>
      <c r="B4353" s="123">
        <v>1880151.0</v>
      </c>
      <c r="C4353" s="124" t="s">
        <v>9159</v>
      </c>
      <c r="D4353" s="125"/>
      <c r="E4353" s="126">
        <v>11.08</v>
      </c>
      <c r="F4353" s="127"/>
      <c r="G4353" s="127"/>
      <c r="H4353" s="127"/>
      <c r="I4353" s="128"/>
      <c r="K4353" s="105" t="str">
        <f>IFERROR(__xludf.DUMMYFUNCTION("if(A4353="""","""",substitute(SUBSTITUTE(index(importhtml(""http://finviz.com/quote.ashx?t=""&amp;A4353,""table"",10),7,2),""*"",""""),""-"",""0.00""))"),"Loading...")</f>
        <v>Loading...</v>
      </c>
      <c r="L4353" s="129">
        <v>7.9903696E7</v>
      </c>
      <c r="M4353" s="99" t="str">
        <f>IFERROR(__xludf.DUMMYFUNCTION("GOOGLEFINANCE(A4353,""beta"")"),"#N/A")</f>
        <v>#N/A</v>
      </c>
    </row>
    <row r="4354">
      <c r="A4354" s="122" t="s">
        <v>9160</v>
      </c>
      <c r="B4354" s="123">
        <v>1892747.0</v>
      </c>
      <c r="C4354" s="124" t="s">
        <v>9161</v>
      </c>
      <c r="D4354" s="125"/>
      <c r="E4354" s="126">
        <v>11.08</v>
      </c>
      <c r="F4354" s="127"/>
      <c r="G4354" s="127"/>
      <c r="H4354" s="127"/>
      <c r="I4354" s="128"/>
      <c r="K4354" s="105" t="str">
        <f>IFERROR(__xludf.DUMMYFUNCTION("if(A4354="""","""",substitute(SUBSTITUTE(index(importhtml(""http://finviz.com/quote.ashx?t=""&amp;A4354,""table"",10),7,2),""*"",""""),""-"",""0.00""))"),"Loading...")</f>
        <v>Loading...</v>
      </c>
      <c r="L4354" s="129">
        <v>1.316565E8</v>
      </c>
      <c r="M4354" s="99" t="str">
        <f>IFERROR(__xludf.DUMMYFUNCTION("GOOGLEFINANCE(A4354,""beta"")"),"#N/A")</f>
        <v>#N/A</v>
      </c>
    </row>
    <row r="4355">
      <c r="A4355" s="122" t="s">
        <v>9162</v>
      </c>
      <c r="B4355" s="123">
        <v>1845368.0</v>
      </c>
      <c r="C4355" s="124" t="s">
        <v>9163</v>
      </c>
      <c r="D4355" s="125"/>
      <c r="E4355" s="126">
        <v>11.08</v>
      </c>
      <c r="F4355" s="127"/>
      <c r="G4355" s="127"/>
      <c r="H4355" s="127"/>
      <c r="I4355" s="128"/>
      <c r="K4355" s="105" t="str">
        <f>IFERROR(__xludf.DUMMYFUNCTION("if(A4355="""","""",substitute(SUBSTITUTE(index(importhtml(""http://finviz.com/quote.ashx?t=""&amp;A4355,""table"",10),7,2),""*"",""""),""-"",""0.00""))"),"Loading...")</f>
        <v>Loading...</v>
      </c>
      <c r="L4355" s="129">
        <v>1.32382344E8</v>
      </c>
      <c r="M4355" s="99" t="str">
        <f>IFERROR(__xludf.DUMMYFUNCTION("GOOGLEFINANCE(A4355,""beta"")"),"#N/A")</f>
        <v>#N/A</v>
      </c>
    </row>
    <row r="4356">
      <c r="A4356" s="122" t="s">
        <v>9164</v>
      </c>
      <c r="B4356" s="123">
        <v>1852889.0</v>
      </c>
      <c r="C4356" s="124" t="s">
        <v>9165</v>
      </c>
      <c r="D4356" s="125"/>
      <c r="E4356" s="126">
        <v>11.08</v>
      </c>
      <c r="F4356" s="127"/>
      <c r="G4356" s="127"/>
      <c r="H4356" s="127"/>
      <c r="I4356" s="128"/>
      <c r="K4356" s="105" t="str">
        <f>IFERROR(__xludf.DUMMYFUNCTION("if(A4356="""","""",substitute(SUBSTITUTE(index(importhtml(""http://finviz.com/quote.ashx?t=""&amp;A4356,""table"",10),7,2),""*"",""""),""-"",""0.00""))"),"Loading...")</f>
        <v>Loading...</v>
      </c>
      <c r="L4356" s="129">
        <v>1.80140743E8</v>
      </c>
      <c r="M4356" s="99" t="str">
        <f>IFERROR(__xludf.DUMMYFUNCTION("GOOGLEFINANCE(A4356,""beta"")"),"#N/A")</f>
        <v>#N/A</v>
      </c>
    </row>
    <row r="4357">
      <c r="A4357" s="122" t="s">
        <v>9166</v>
      </c>
      <c r="B4357" s="123">
        <v>1711754.0</v>
      </c>
      <c r="C4357" s="124" t="s">
        <v>9167</v>
      </c>
      <c r="D4357" s="125"/>
      <c r="E4357" s="126">
        <v>11.08</v>
      </c>
      <c r="F4357" s="127"/>
      <c r="G4357" s="127"/>
      <c r="H4357" s="127"/>
      <c r="I4357" s="128"/>
      <c r="K4357" s="105" t="str">
        <f>IFERROR(__xludf.DUMMYFUNCTION("if(A4357="""","""",substitute(SUBSTITUTE(index(importhtml(""http://finviz.com/quote.ashx?t=""&amp;A4357,""table"",10),7,2),""*"",""""),""-"",""0.00""))"),"Loading...")</f>
        <v>Loading...</v>
      </c>
      <c r="L4357" s="129">
        <v>1.99680323E8</v>
      </c>
      <c r="M4357" s="99">
        <v>2.03</v>
      </c>
    </row>
    <row r="4358">
      <c r="A4358" s="122" t="s">
        <v>9168</v>
      </c>
      <c r="B4358" s="123">
        <v>1860879.0</v>
      </c>
      <c r="C4358" s="124" t="s">
        <v>9169</v>
      </c>
      <c r="D4358" s="125"/>
      <c r="E4358" s="126">
        <v>11.08</v>
      </c>
      <c r="F4358" s="127"/>
      <c r="G4358" s="127"/>
      <c r="H4358" s="127"/>
      <c r="I4358" s="128"/>
      <c r="K4358" s="105" t="str">
        <f>IFERROR(__xludf.DUMMYFUNCTION("if(A4358="""","""",substitute(SUBSTITUTE(index(importhtml(""http://finviz.com/quote.ashx?t=""&amp;A4358,""table"",10),7,2),""*"",""""),""-"",""0.00""))"),"Loading...")</f>
        <v>Loading...</v>
      </c>
      <c r="L4358" s="129">
        <v>3.55335929E8</v>
      </c>
      <c r="M4358" s="99" t="str">
        <f>IFERROR(__xludf.DUMMYFUNCTION("GOOGLEFINANCE(A4358,""beta"")"),"#N/A")</f>
        <v>#N/A</v>
      </c>
    </row>
    <row r="4359">
      <c r="A4359" s="122" t="s">
        <v>9170</v>
      </c>
      <c r="B4359" s="123">
        <v>1878074.0</v>
      </c>
      <c r="C4359" s="124" t="s">
        <v>9171</v>
      </c>
      <c r="D4359" s="125"/>
      <c r="E4359" s="126">
        <v>11.09</v>
      </c>
      <c r="F4359" s="127"/>
      <c r="G4359" s="127"/>
      <c r="H4359" s="127"/>
      <c r="I4359" s="128"/>
      <c r="K4359" s="105" t="str">
        <f>IFERROR(__xludf.DUMMYFUNCTION("if(A4359="""","""",substitute(SUBSTITUTE(index(importhtml(""http://finviz.com/quote.ashx?t=""&amp;A4359,""table"",10),7,2),""*"",""""),""-"",""0.00""))"),"Loading...")</f>
        <v>Loading...</v>
      </c>
      <c r="L4359" s="129">
        <v>7.3185886E7</v>
      </c>
      <c r="M4359" s="99" t="str">
        <f>IFERROR(__xludf.DUMMYFUNCTION("GOOGLEFINANCE(A4359,""beta"")"),"#N/A")</f>
        <v>#N/A</v>
      </c>
    </row>
    <row r="4360">
      <c r="A4360" s="122" t="s">
        <v>9172</v>
      </c>
      <c r="B4360" s="123">
        <v>1882198.0</v>
      </c>
      <c r="C4360" s="124" t="s">
        <v>9173</v>
      </c>
      <c r="D4360" s="125"/>
      <c r="E4360" s="126">
        <v>11.09</v>
      </c>
      <c r="F4360" s="127"/>
      <c r="G4360" s="127"/>
      <c r="H4360" s="127"/>
      <c r="I4360" s="128"/>
      <c r="K4360" s="105" t="str">
        <f>IFERROR(__xludf.DUMMYFUNCTION("if(A4360="""","""",substitute(SUBSTITUTE(index(importhtml(""http://finviz.com/quote.ashx?t=""&amp;A4360,""table"",10),7,2),""*"",""""),""-"",""0.00""))"),"Loading...")</f>
        <v>Loading...</v>
      </c>
      <c r="L4360" s="129">
        <v>1.33446304E8</v>
      </c>
      <c r="M4360" s="99">
        <f>IFERROR(__xludf.DUMMYFUNCTION("GOOGLEFINANCE(A4360,""beta"")"),-0.27)</f>
        <v>-0.27</v>
      </c>
    </row>
    <row r="4361">
      <c r="A4361" s="122" t="s">
        <v>9174</v>
      </c>
      <c r="B4361" s="123">
        <v>1127055.0</v>
      </c>
      <c r="C4361" s="124" t="s">
        <v>9175</v>
      </c>
      <c r="D4361" s="125"/>
      <c r="E4361" s="126">
        <v>11.09</v>
      </c>
      <c r="F4361" s="127"/>
      <c r="G4361" s="127"/>
      <c r="H4361" s="127"/>
      <c r="I4361" s="128"/>
      <c r="K4361" s="105" t="str">
        <f>IFERROR(__xludf.DUMMYFUNCTION("if(A4361="""","""",substitute(SUBSTITUTE(index(importhtml(""http://finviz.com/quote.ashx?t=""&amp;A4361,""table"",10),7,2),""*"",""""),""-"",""0.00""))"),"Loading...")</f>
        <v>Loading...</v>
      </c>
      <c r="L4361" s="129">
        <v>1.0597820996E10</v>
      </c>
      <c r="M4361" s="99">
        <v>1.53</v>
      </c>
    </row>
    <row r="4362">
      <c r="A4362" s="122" t="s">
        <v>9176</v>
      </c>
      <c r="B4362" s="123">
        <v>1467760.0</v>
      </c>
      <c r="C4362" s="124" t="s">
        <v>9177</v>
      </c>
      <c r="D4362" s="125"/>
      <c r="E4362" s="126">
        <v>11.1</v>
      </c>
      <c r="F4362" s="127"/>
      <c r="G4362" s="127"/>
      <c r="H4362" s="127"/>
      <c r="I4362" s="128"/>
      <c r="K4362" s="55" t="s">
        <v>9178</v>
      </c>
      <c r="L4362" s="129">
        <v>1.569079403E9</v>
      </c>
      <c r="M4362" s="99">
        <v>1.64</v>
      </c>
    </row>
    <row r="4363">
      <c r="A4363" s="122" t="s">
        <v>9179</v>
      </c>
      <c r="B4363" s="123">
        <v>1822886.0</v>
      </c>
      <c r="C4363" s="124" t="s">
        <v>9180</v>
      </c>
      <c r="D4363" s="125"/>
      <c r="E4363" s="126">
        <v>11.1</v>
      </c>
      <c r="F4363" s="127"/>
      <c r="G4363" s="127"/>
      <c r="H4363" s="127"/>
      <c r="I4363" s="128"/>
      <c r="K4363" s="105" t="str">
        <f>IFERROR(__xludf.DUMMYFUNCTION("if(A4363="""","""",substitute(SUBSTITUTE(index(importhtml(""http://finviz.com/quote.ashx?t=""&amp;A4363,""table"",10),7,2),""*"",""""),""-"",""0.00""))"),"Loading...")</f>
        <v>Loading...</v>
      </c>
      <c r="L4363" s="129">
        <v>5.6058194E7</v>
      </c>
      <c r="M4363" s="99" t="str">
        <f>IFERROR(__xludf.DUMMYFUNCTION("GOOGLEFINANCE(A4363,""beta"")"),"#N/A")</f>
        <v>#N/A</v>
      </c>
    </row>
    <row r="4364">
      <c r="A4364" s="122" t="s">
        <v>9181</v>
      </c>
      <c r="B4364" s="123">
        <v>1868269.0</v>
      </c>
      <c r="C4364" s="124" t="s">
        <v>9182</v>
      </c>
      <c r="D4364" s="125"/>
      <c r="E4364" s="126">
        <v>11.1</v>
      </c>
      <c r="F4364" s="127"/>
      <c r="G4364" s="127"/>
      <c r="H4364" s="127"/>
      <c r="I4364" s="128"/>
      <c r="K4364" s="105" t="str">
        <f>IFERROR(__xludf.DUMMYFUNCTION("if(A4364="""","""",substitute(SUBSTITUTE(index(importhtml(""http://finviz.com/quote.ashx?t=""&amp;A4364,""table"",10),7,2),""*"",""""),""-"",""0.00""))"),"Loading...")</f>
        <v>Loading...</v>
      </c>
      <c r="L4364" s="129">
        <v>7.982979E7</v>
      </c>
      <c r="M4364" s="99" t="str">
        <f>IFERROR(__xludf.DUMMYFUNCTION("GOOGLEFINANCE(A4364,""beta"")"),"#N/A")</f>
        <v>#N/A</v>
      </c>
    </row>
    <row r="4365">
      <c r="A4365" s="122" t="s">
        <v>9183</v>
      </c>
      <c r="B4365" s="123">
        <v>1838821.0</v>
      </c>
      <c r="C4365" s="124" t="s">
        <v>9184</v>
      </c>
      <c r="D4365" s="125"/>
      <c r="E4365" s="126">
        <v>11.1</v>
      </c>
      <c r="F4365" s="127"/>
      <c r="G4365" s="127"/>
      <c r="H4365" s="127"/>
      <c r="I4365" s="128"/>
      <c r="K4365" s="105" t="str">
        <f>IFERROR(__xludf.DUMMYFUNCTION("if(A4365="""","""",substitute(SUBSTITUTE(index(importhtml(""http://finviz.com/quote.ashx?t=""&amp;A4365,""table"",10),7,2),""*"",""""),""-"",""0.00""))"),"Loading...")</f>
        <v>Loading...</v>
      </c>
      <c r="L4365" s="129">
        <v>8.7993377E7</v>
      </c>
      <c r="M4365" s="99" t="str">
        <f>IFERROR(__xludf.DUMMYFUNCTION("GOOGLEFINANCE(A4365,""beta"")"),"#N/A")</f>
        <v>#N/A</v>
      </c>
    </row>
    <row r="4366">
      <c r="A4366" s="122" t="s">
        <v>9185</v>
      </c>
      <c r="B4366" s="123">
        <v>1848756.0</v>
      </c>
      <c r="C4366" s="124" t="s">
        <v>9186</v>
      </c>
      <c r="D4366" s="125"/>
      <c r="E4366" s="126">
        <v>11.1</v>
      </c>
      <c r="F4366" s="127"/>
      <c r="G4366" s="127"/>
      <c r="H4366" s="127"/>
      <c r="I4366" s="128"/>
      <c r="K4366" s="105" t="str">
        <f>IFERROR(__xludf.DUMMYFUNCTION("if(A4366="""","""",substitute(SUBSTITUTE(index(importhtml(""http://finviz.com/quote.ashx?t=""&amp;A4366,""table"",10),7,2),""*"",""""),""-"",""0.00""))"),"Loading...")</f>
        <v>Loading...</v>
      </c>
      <c r="L4366" s="129">
        <v>1.55456504E8</v>
      </c>
      <c r="M4366" s="99" t="str">
        <f>IFERROR(__xludf.DUMMYFUNCTION("GOOGLEFINANCE(A4366,""beta"")"),"#N/A")</f>
        <v>#N/A</v>
      </c>
    </row>
    <row r="4367">
      <c r="A4367" s="122" t="s">
        <v>9187</v>
      </c>
      <c r="B4367" s="123">
        <v>743238.0</v>
      </c>
      <c r="C4367" s="124" t="s">
        <v>9188</v>
      </c>
      <c r="D4367" s="125"/>
      <c r="E4367" s="126">
        <v>11.1</v>
      </c>
      <c r="F4367" s="127"/>
      <c r="G4367" s="127"/>
      <c r="H4367" s="127"/>
      <c r="I4367" s="128"/>
      <c r="K4367" s="105" t="str">
        <f>IFERROR(__xludf.DUMMYFUNCTION("if(A4367="""","""",substitute(SUBSTITUTE(index(importhtml(""http://finviz.com/quote.ashx?t=""&amp;A4367,""table"",10),7,2),""*"",""""),""-"",""0.00""))"),"Loading...")</f>
        <v>Loading...</v>
      </c>
      <c r="L4367" s="129">
        <v>3.80617126E8</v>
      </c>
      <c r="M4367" s="99">
        <v>1.68</v>
      </c>
    </row>
    <row r="4368">
      <c r="A4368" s="122" t="s">
        <v>9189</v>
      </c>
      <c r="B4368" s="123">
        <v>1055160.0</v>
      </c>
      <c r="C4368" s="124" t="s">
        <v>9190</v>
      </c>
      <c r="D4368" s="125"/>
      <c r="E4368" s="126">
        <v>11.1</v>
      </c>
      <c r="F4368" s="127"/>
      <c r="G4368" s="127"/>
      <c r="H4368" s="127"/>
      <c r="I4368" s="128"/>
      <c r="K4368" s="105" t="str">
        <f>IFERROR(__xludf.DUMMYFUNCTION("if(A4368="""","""",substitute(SUBSTITUTE(index(importhtml(""http://finviz.com/quote.ashx?t=""&amp;A4368,""table"",10),7,2),""*"",""""),""-"",""0.00""))"),"Loading...")</f>
        <v>Loading...</v>
      </c>
      <c r="L4368" s="129">
        <v>1.131265418E9</v>
      </c>
      <c r="M4368" s="99">
        <v>2.1</v>
      </c>
    </row>
    <row r="4369">
      <c r="A4369" s="122" t="s">
        <v>9191</v>
      </c>
      <c r="B4369" s="123">
        <v>1823365.0</v>
      </c>
      <c r="C4369" s="124" t="s">
        <v>9192</v>
      </c>
      <c r="D4369" s="125"/>
      <c r="E4369" s="126">
        <v>11.11</v>
      </c>
      <c r="F4369" s="127"/>
      <c r="G4369" s="127"/>
      <c r="H4369" s="127"/>
      <c r="I4369" s="128"/>
      <c r="K4369" s="105" t="str">
        <f>IFERROR(__xludf.DUMMYFUNCTION("if(A4369="""","""",substitute(SUBSTITUTE(index(importhtml(""http://finviz.com/quote.ashx?t=""&amp;A4369,""table"",10),7,2),""*"",""""),""-"",""0.00""))"),"Loading...")</f>
        <v>Loading...</v>
      </c>
      <c r="L4369" s="129">
        <v>2.484073E7</v>
      </c>
      <c r="M4369" s="99">
        <v>0.66</v>
      </c>
    </row>
    <row r="4370">
      <c r="A4370" s="122" t="s">
        <v>9193</v>
      </c>
      <c r="B4370" s="123">
        <v>1857410.0</v>
      </c>
      <c r="C4370" s="124" t="s">
        <v>9194</v>
      </c>
      <c r="D4370" s="125"/>
      <c r="E4370" s="126">
        <v>11.11</v>
      </c>
      <c r="F4370" s="127"/>
      <c r="G4370" s="127"/>
      <c r="H4370" s="127"/>
      <c r="I4370" s="128"/>
      <c r="K4370" s="105" t="str">
        <f>IFERROR(__xludf.DUMMYFUNCTION("if(A4370="""","""",substitute(SUBSTITUTE(index(importhtml(""http://finviz.com/quote.ashx?t=""&amp;A4370,""table"",10),7,2),""*"",""""),""-"",""0.00""))"),"Loading...")</f>
        <v>Loading...</v>
      </c>
      <c r="L4370" s="129">
        <v>2.23990925E8</v>
      </c>
      <c r="M4370" s="99" t="str">
        <f>IFERROR(__xludf.DUMMYFUNCTION("GOOGLEFINANCE(A4370,""beta"")"),"#N/A")</f>
        <v>#N/A</v>
      </c>
    </row>
    <row r="4371">
      <c r="A4371" s="122" t="s">
        <v>9195</v>
      </c>
      <c r="B4371" s="123">
        <v>1051004.0</v>
      </c>
      <c r="C4371" s="124" t="s">
        <v>9196</v>
      </c>
      <c r="D4371" s="125"/>
      <c r="E4371" s="126">
        <v>11.11</v>
      </c>
      <c r="F4371" s="127"/>
      <c r="G4371" s="127"/>
      <c r="H4371" s="127"/>
      <c r="I4371" s="128"/>
      <c r="K4371" s="105" t="str">
        <f>IFERROR(__xludf.DUMMYFUNCTION("if(A4371="""","""",substitute(SUBSTITUTE(index(importhtml(""http://finviz.com/quote.ashx?t=""&amp;A4371,""table"",10),7,2),""*"",""""),""-"",""0.00""))"),"Loading...")</f>
        <v>Loading...</v>
      </c>
      <c r="L4371" s="129">
        <v>1.067034252E9</v>
      </c>
      <c r="M4371" s="99">
        <v>0.46</v>
      </c>
    </row>
    <row r="4372">
      <c r="A4372" s="122" t="s">
        <v>9197</v>
      </c>
      <c r="B4372" s="123">
        <v>1499620.0</v>
      </c>
      <c r="C4372" s="124" t="s">
        <v>9198</v>
      </c>
      <c r="D4372" s="125"/>
      <c r="E4372" s="126">
        <v>11.11</v>
      </c>
      <c r="F4372" s="127"/>
      <c r="G4372" s="127"/>
      <c r="H4372" s="127"/>
      <c r="I4372" s="128"/>
      <c r="K4372" s="105" t="str">
        <f>IFERROR(__xludf.DUMMYFUNCTION("if(A4372="""","""",substitute(SUBSTITUTE(index(importhtml(""http://finviz.com/quote.ashx?t=""&amp;A4372,""table"",10),7,2),""*"",""""),""-"",""0.00""))"),"Loading...")</f>
        <v>Loading...</v>
      </c>
      <c r="L4372" s="129">
        <v>7.093543688E9</v>
      </c>
      <c r="M4372" s="99">
        <v>0.1</v>
      </c>
    </row>
    <row r="4373">
      <c r="A4373" s="122" t="s">
        <v>9199</v>
      </c>
      <c r="B4373" s="123">
        <v>1379235.0</v>
      </c>
      <c r="C4373" s="124" t="s">
        <v>9200</v>
      </c>
      <c r="D4373" s="125"/>
      <c r="E4373" s="126">
        <v>11.11</v>
      </c>
      <c r="F4373" s="127"/>
      <c r="G4373" s="127"/>
      <c r="H4373" s="127"/>
      <c r="I4373" s="128"/>
      <c r="K4373" s="105" t="str">
        <f>IFERROR(__xludf.DUMMYFUNCTION("if(A4373="""","""",substitute(SUBSTITUTE(index(importhtml(""http://finviz.com/quote.ashx?t=""&amp;A4373,""table"",10),7,2),""*"",""""),""-"",""0.00""))"),"Loading...")</f>
        <v>Loading...</v>
      </c>
      <c r="L4373" s="129">
        <v>3.2027893044E10</v>
      </c>
      <c r="M4373" s="99">
        <v>1.03</v>
      </c>
    </row>
    <row r="4374">
      <c r="A4374" s="122" t="s">
        <v>9201</v>
      </c>
      <c r="B4374" s="123">
        <v>1865191.0</v>
      </c>
      <c r="C4374" s="124" t="s">
        <v>9202</v>
      </c>
      <c r="D4374" s="125"/>
      <c r="E4374" s="126">
        <v>11.12</v>
      </c>
      <c r="F4374" s="127"/>
      <c r="G4374" s="127"/>
      <c r="H4374" s="127"/>
      <c r="I4374" s="128"/>
      <c r="K4374" s="105" t="str">
        <f>IFERROR(__xludf.DUMMYFUNCTION("if(A4374="""","""",substitute(SUBSTITUTE(index(importhtml(""http://finviz.com/quote.ashx?t=""&amp;A4374,""table"",10),7,2),""*"",""""),""-"",""0.00""))"),"Loading...")</f>
        <v>Loading...</v>
      </c>
      <c r="L4374" s="129">
        <v>4.2426335E7</v>
      </c>
      <c r="M4374" s="99" t="str">
        <f>IFERROR(__xludf.DUMMYFUNCTION("GOOGLEFINANCE(A4374,""beta"")"),"#N/A")</f>
        <v>#N/A</v>
      </c>
    </row>
    <row r="4375">
      <c r="A4375" s="122" t="s">
        <v>9203</v>
      </c>
      <c r="B4375" s="123">
        <v>1914023.0</v>
      </c>
      <c r="C4375" s="124" t="s">
        <v>1768</v>
      </c>
      <c r="D4375" s="125"/>
      <c r="E4375" s="126">
        <v>11.12</v>
      </c>
      <c r="F4375" s="127"/>
      <c r="G4375" s="127"/>
      <c r="H4375" s="127"/>
      <c r="I4375" s="128"/>
      <c r="K4375" s="105" t="str">
        <f>IFERROR(__xludf.DUMMYFUNCTION("if(A4375="""","""",substitute(SUBSTITUTE(index(importhtml(""http://finviz.com/quote.ashx?t=""&amp;A4375,""table"",10),7,2),""*"",""""),""-"",""0.00""))"),"Loading...")</f>
        <v>Loading...</v>
      </c>
      <c r="L4375" s="129">
        <v>6.017366E7</v>
      </c>
      <c r="M4375" s="99" t="str">
        <f>IFERROR(__xludf.DUMMYFUNCTION("GOOGLEFINANCE(A4375,""beta"")"),"#N/A")</f>
        <v>#N/A</v>
      </c>
    </row>
    <row r="4376">
      <c r="A4376" s="122" t="s">
        <v>9204</v>
      </c>
      <c r="B4376" s="123">
        <v>1852019.0</v>
      </c>
      <c r="C4376" s="124" t="s">
        <v>9205</v>
      </c>
      <c r="D4376" s="125"/>
      <c r="E4376" s="126">
        <v>11.12</v>
      </c>
      <c r="F4376" s="127"/>
      <c r="G4376" s="127"/>
      <c r="H4376" s="127"/>
      <c r="I4376" s="128"/>
      <c r="K4376" s="105" t="str">
        <f>IFERROR(__xludf.DUMMYFUNCTION("if(A4376="""","""",substitute(SUBSTITUTE(index(importhtml(""http://finviz.com/quote.ashx?t=""&amp;A4376,""table"",10),7,2),""*"",""""),""-"",""0.00""))"),"Loading...")</f>
        <v>Loading...</v>
      </c>
      <c r="L4376" s="129">
        <v>9.558831E7</v>
      </c>
      <c r="M4376" s="99" t="str">
        <f>IFERROR(__xludf.DUMMYFUNCTION("GOOGLEFINANCE(A4376,""beta"")"),"#N/A")</f>
        <v>#N/A</v>
      </c>
    </row>
    <row r="4377">
      <c r="A4377" s="122" t="s">
        <v>9206</v>
      </c>
      <c r="B4377" s="123">
        <v>1831979.0</v>
      </c>
      <c r="C4377" s="124" t="s">
        <v>9207</v>
      </c>
      <c r="D4377" s="125"/>
      <c r="E4377" s="126">
        <v>11.12</v>
      </c>
      <c r="F4377" s="127"/>
      <c r="G4377" s="127"/>
      <c r="H4377" s="127"/>
      <c r="I4377" s="128"/>
      <c r="K4377" s="105" t="str">
        <f>IFERROR(__xludf.DUMMYFUNCTION("if(A4377="""","""",substitute(SUBSTITUTE(index(importhtml(""http://finviz.com/quote.ashx?t=""&amp;A4377,""table"",10),7,2),""*"",""""),""-"",""0.00""))"),"Loading...")</f>
        <v>Loading...</v>
      </c>
      <c r="L4377" s="129">
        <v>1.27147021E8</v>
      </c>
      <c r="M4377" s="99">
        <f>IFERROR(__xludf.DUMMYFUNCTION("GOOGLEFINANCE(A4377,""beta"")"),2.2)</f>
        <v>2.2</v>
      </c>
    </row>
    <row r="4378">
      <c r="A4378" s="122" t="s">
        <v>9208</v>
      </c>
      <c r="B4378" s="123">
        <v>1201792.0</v>
      </c>
      <c r="C4378" s="124" t="s">
        <v>9209</v>
      </c>
      <c r="D4378" s="125"/>
      <c r="E4378" s="126">
        <v>11.12</v>
      </c>
      <c r="F4378" s="127"/>
      <c r="G4378" s="127"/>
      <c r="H4378" s="127"/>
      <c r="I4378" s="128"/>
      <c r="K4378" s="105" t="str">
        <f>IFERROR(__xludf.DUMMYFUNCTION("if(A4378="""","""",substitute(SUBSTITUTE(index(importhtml(""http://finviz.com/quote.ashx?t=""&amp;A4378,""table"",10),7,2),""*"",""""),""-"",""0.00""))"),"Loading...")</f>
        <v>Loading...</v>
      </c>
      <c r="L4378" s="129">
        <v>1.97753741E8</v>
      </c>
      <c r="M4378" s="99">
        <v>1.27</v>
      </c>
    </row>
    <row r="4379">
      <c r="A4379" s="122" t="s">
        <v>9210</v>
      </c>
      <c r="B4379" s="123">
        <v>1690639.0</v>
      </c>
      <c r="C4379" s="124" t="s">
        <v>9211</v>
      </c>
      <c r="D4379" s="125"/>
      <c r="E4379" s="126">
        <v>11.12</v>
      </c>
      <c r="F4379" s="127"/>
      <c r="G4379" s="127"/>
      <c r="H4379" s="127"/>
      <c r="I4379" s="128"/>
      <c r="K4379" s="105" t="str">
        <f>IFERROR(__xludf.DUMMYFUNCTION("if(A4379="""","""",substitute(SUBSTITUTE(index(importhtml(""http://finviz.com/quote.ashx?t=""&amp;A4379,""table"",10),7,2),""*"",""""),""-"",""0.00""))"),"Loading...")</f>
        <v>Loading...</v>
      </c>
      <c r="L4379" s="129">
        <v>3.879085E8</v>
      </c>
      <c r="M4379" s="99">
        <f>IFERROR(__xludf.DUMMYFUNCTION("GOOGLEFINANCE(A4379,""beta"")"),0.92)</f>
        <v>0.92</v>
      </c>
    </row>
    <row r="4380">
      <c r="A4380" s="122" t="s">
        <v>9212</v>
      </c>
      <c r="B4380" s="123">
        <v>1883983.0</v>
      </c>
      <c r="C4380" s="124" t="s">
        <v>9213</v>
      </c>
      <c r="D4380" s="125"/>
      <c r="E4380" s="126">
        <v>11.13</v>
      </c>
      <c r="F4380" s="127"/>
      <c r="G4380" s="127"/>
      <c r="H4380" s="127"/>
      <c r="I4380" s="128"/>
      <c r="K4380" s="105" t="str">
        <f>IFERROR(__xludf.DUMMYFUNCTION("if(A4380="""","""",substitute(SUBSTITUTE(index(importhtml(""http://finviz.com/quote.ashx?t=""&amp;A4380,""table"",10),7,2),""*"",""""),""-"",""0.00""))"),"Loading...")</f>
        <v>Loading...</v>
      </c>
      <c r="L4380" s="129">
        <v>5.136727E7</v>
      </c>
      <c r="M4380" s="99" t="str">
        <f>IFERROR(__xludf.DUMMYFUNCTION("GOOGLEFINANCE(A4380,""beta"")"),"#N/A")</f>
        <v>#N/A</v>
      </c>
    </row>
    <row r="4381">
      <c r="A4381" s="122" t="s">
        <v>9214</v>
      </c>
      <c r="B4381" s="123">
        <v>1879814.0</v>
      </c>
      <c r="C4381" s="124" t="s">
        <v>9215</v>
      </c>
      <c r="D4381" s="125"/>
      <c r="E4381" s="126">
        <v>11.13</v>
      </c>
      <c r="F4381" s="127"/>
      <c r="G4381" s="127"/>
      <c r="H4381" s="127"/>
      <c r="I4381" s="128"/>
      <c r="K4381" s="105" t="str">
        <f>IFERROR(__xludf.DUMMYFUNCTION("if(A4381="""","""",substitute(SUBSTITUTE(index(importhtml(""http://finviz.com/quote.ashx?t=""&amp;A4381,""table"",10),7,2),""*"",""""),""-"",""0.00""))"),"Loading...")</f>
        <v>Loading...</v>
      </c>
      <c r="L4381" s="129">
        <v>1.459716E8</v>
      </c>
      <c r="M4381" s="99" t="str">
        <f>IFERROR(__xludf.DUMMYFUNCTION("GOOGLEFINANCE(A4381,""beta"")"),"#N/A")</f>
        <v>#N/A</v>
      </c>
    </row>
    <row r="4382">
      <c r="A4382" s="122" t="s">
        <v>9216</v>
      </c>
      <c r="B4382" s="123">
        <v>1857410.0</v>
      </c>
      <c r="C4382" s="124" t="s">
        <v>9217</v>
      </c>
      <c r="D4382" s="125"/>
      <c r="E4382" s="126">
        <v>11.14</v>
      </c>
      <c r="F4382" s="127"/>
      <c r="G4382" s="127"/>
      <c r="H4382" s="127"/>
      <c r="I4382" s="128"/>
      <c r="K4382" s="105" t="str">
        <f>IFERROR(__xludf.DUMMYFUNCTION("if(A4382="""","""",substitute(SUBSTITUTE(index(importhtml(""http://finviz.com/quote.ashx?t=""&amp;A4382,""table"",10),7,2),""*"",""""),""-"",""0.00""))"),"Loading...")</f>
        <v>Loading...</v>
      </c>
      <c r="L4382" s="129">
        <v>2.23990925E8</v>
      </c>
      <c r="M4382" s="99" t="str">
        <f>IFERROR(__xludf.DUMMYFUNCTION("GOOGLEFINANCE(A4382,""beta"")"),"#N/A")</f>
        <v>#N/A</v>
      </c>
    </row>
    <row r="4383">
      <c r="A4383" s="122" t="s">
        <v>9218</v>
      </c>
      <c r="B4383" s="123">
        <v>1580345.0</v>
      </c>
      <c r="C4383" s="124" t="s">
        <v>9219</v>
      </c>
      <c r="D4383" s="125"/>
      <c r="E4383" s="126">
        <v>11.14</v>
      </c>
      <c r="F4383" s="127"/>
      <c r="G4383" s="127"/>
      <c r="H4383" s="127"/>
      <c r="I4383" s="128"/>
      <c r="K4383" s="105" t="str">
        <f>IFERROR(__xludf.DUMMYFUNCTION("if(A4383="""","""",substitute(SUBSTITUTE(index(importhtml(""http://finviz.com/quote.ashx?t=""&amp;A4383,""table"",10),7,2),""*"",""""),""-"",""0.00""))"),"Loading...")</f>
        <v>Loading...</v>
      </c>
      <c r="L4383" s="129">
        <v>4.01996492E8</v>
      </c>
      <c r="M4383" s="99">
        <v>1.8</v>
      </c>
    </row>
    <row r="4384">
      <c r="A4384" s="122" t="s">
        <v>9220</v>
      </c>
      <c r="B4384" s="123">
        <v>1859807.0</v>
      </c>
      <c r="C4384" s="124" t="s">
        <v>9221</v>
      </c>
      <c r="D4384" s="125"/>
      <c r="E4384" s="126">
        <v>11.15</v>
      </c>
      <c r="F4384" s="127"/>
      <c r="G4384" s="127"/>
      <c r="H4384" s="127"/>
      <c r="I4384" s="128"/>
      <c r="K4384" s="105" t="str">
        <f>IFERROR(__xludf.DUMMYFUNCTION("if(A4384="""","""",substitute(SUBSTITUTE(index(importhtml(""http://finviz.com/quote.ashx?t=""&amp;A4384,""table"",10),7,2),""*"",""""),""-"",""0.00""))"),"Loading...")</f>
        <v>Loading...</v>
      </c>
      <c r="L4384" s="129">
        <v>6.877188E7</v>
      </c>
      <c r="M4384" s="99" t="str">
        <f>IFERROR(__xludf.DUMMYFUNCTION("GOOGLEFINANCE(A4384,""beta"")"),"#N/A")</f>
        <v>#N/A</v>
      </c>
    </row>
    <row r="4385">
      <c r="A4385" s="122" t="s">
        <v>9222</v>
      </c>
      <c r="B4385" s="123">
        <v>1857855.0</v>
      </c>
      <c r="C4385" s="124" t="s">
        <v>9223</v>
      </c>
      <c r="D4385" s="125"/>
      <c r="E4385" s="126">
        <v>11.15</v>
      </c>
      <c r="F4385" s="127"/>
      <c r="G4385" s="127"/>
      <c r="H4385" s="127"/>
      <c r="I4385" s="128"/>
      <c r="K4385" s="105" t="str">
        <f>IFERROR(__xludf.DUMMYFUNCTION("if(A4385="""","""",substitute(SUBSTITUTE(index(importhtml(""http://finviz.com/quote.ashx?t=""&amp;A4385,""table"",10),7,2),""*"",""""),""-"",""0.00""))"),"Loading...")</f>
        <v>Loading...</v>
      </c>
      <c r="L4385" s="129">
        <v>1.01307E8</v>
      </c>
      <c r="M4385" s="99" t="str">
        <f>IFERROR(__xludf.DUMMYFUNCTION("GOOGLEFINANCE(A4385,""beta"")"),"#N/A")</f>
        <v>#N/A</v>
      </c>
    </row>
    <row r="4386">
      <c r="A4386" s="122" t="s">
        <v>9224</v>
      </c>
      <c r="B4386" s="123">
        <v>1837607.0</v>
      </c>
      <c r="C4386" s="124" t="s">
        <v>9225</v>
      </c>
      <c r="D4386" s="125"/>
      <c r="E4386" s="126">
        <v>11.15</v>
      </c>
      <c r="F4386" s="127"/>
      <c r="G4386" s="127"/>
      <c r="H4386" s="127"/>
      <c r="I4386" s="128"/>
      <c r="K4386" s="105" t="str">
        <f>IFERROR(__xludf.DUMMYFUNCTION("if(A4386="""","""",substitute(SUBSTITUTE(index(importhtml(""http://finviz.com/quote.ashx?t=""&amp;A4386,""table"",10),7,2),""*"",""""),""-"",""0.00""))"),"Loading...")</f>
        <v>Loading...</v>
      </c>
      <c r="L4386" s="129">
        <v>3.07739989E8</v>
      </c>
      <c r="M4386" s="99">
        <v>-0.06</v>
      </c>
    </row>
    <row r="4387">
      <c r="A4387" s="122" t="s">
        <v>9226</v>
      </c>
      <c r="B4387" s="123">
        <v>1802156.0</v>
      </c>
      <c r="C4387" s="124" t="s">
        <v>9227</v>
      </c>
      <c r="D4387" s="125"/>
      <c r="E4387" s="126">
        <v>11.15</v>
      </c>
      <c r="F4387" s="127"/>
      <c r="G4387" s="127"/>
      <c r="H4387" s="127"/>
      <c r="I4387" s="128"/>
      <c r="K4387" s="105" t="str">
        <f>IFERROR(__xludf.DUMMYFUNCTION("if(A4387="""","""",substitute(SUBSTITUTE(index(importhtml(""http://finviz.com/quote.ashx?t=""&amp;A4387,""table"",10),7,2),""*"",""""),""-"",""0.00""))"),"Loading...")</f>
        <v>Loading...</v>
      </c>
      <c r="L4387" s="129">
        <v>5.291462E8</v>
      </c>
      <c r="M4387" s="99">
        <f>IFERROR(__xludf.DUMMYFUNCTION("GOOGLEFINANCE(A4387,""beta"")"),1.43)</f>
        <v>1.43</v>
      </c>
    </row>
    <row r="4388">
      <c r="A4388" s="122" t="s">
        <v>9228</v>
      </c>
      <c r="B4388" s="123">
        <v>1534254.0</v>
      </c>
      <c r="C4388" s="124" t="s">
        <v>9229</v>
      </c>
      <c r="D4388" s="125"/>
      <c r="E4388" s="126">
        <v>11.15</v>
      </c>
      <c r="F4388" s="127"/>
      <c r="G4388" s="127"/>
      <c r="H4388" s="127"/>
      <c r="I4388" s="128"/>
      <c r="K4388" s="105" t="str">
        <f>IFERROR(__xludf.DUMMYFUNCTION("if(A4388="""","""",substitute(SUBSTITUTE(index(importhtml(""http://finviz.com/quote.ashx?t=""&amp;A4388,""table"",10),7,2),""*"",""""),""-"",""0.00""))"),"Loading...")</f>
        <v>Loading...</v>
      </c>
      <c r="L4388" s="129">
        <v>6.05439292E8</v>
      </c>
      <c r="M4388" s="99">
        <f>IFERROR(__xludf.DUMMYFUNCTION("GOOGLEFINANCE(A4388,""beta"")"),1.09)</f>
        <v>1.09</v>
      </c>
    </row>
    <row r="4389">
      <c r="A4389" s="122" t="s">
        <v>9230</v>
      </c>
      <c r="B4389" s="123">
        <v>1903392.0</v>
      </c>
      <c r="C4389" s="124" t="s">
        <v>9231</v>
      </c>
      <c r="D4389" s="125"/>
      <c r="E4389" s="126">
        <v>11.16</v>
      </c>
      <c r="F4389" s="127"/>
      <c r="G4389" s="127"/>
      <c r="H4389" s="127"/>
      <c r="I4389" s="128"/>
      <c r="K4389" s="105" t="str">
        <f>IFERROR(__xludf.DUMMYFUNCTION("if(A4389="""","""",substitute(SUBSTITUTE(index(importhtml(""http://finviz.com/quote.ashx?t=""&amp;A4389,""table"",10),7,2),""*"",""""),""-"",""0.00""))"),"Loading...")</f>
        <v>Loading...</v>
      </c>
      <c r="L4389" s="129">
        <v>5.205039E7</v>
      </c>
      <c r="M4389" s="99" t="str">
        <f>IFERROR(__xludf.DUMMYFUNCTION("GOOGLEFINANCE(A4389,""beta"")"),"#N/A")</f>
        <v>#N/A</v>
      </c>
    </row>
    <row r="4390">
      <c r="A4390" s="122" t="s">
        <v>9232</v>
      </c>
      <c r="B4390" s="123">
        <v>1847355.0</v>
      </c>
      <c r="C4390" s="124" t="s">
        <v>9233</v>
      </c>
      <c r="D4390" s="125"/>
      <c r="E4390" s="126">
        <v>11.16</v>
      </c>
      <c r="F4390" s="127"/>
      <c r="G4390" s="127"/>
      <c r="H4390" s="127"/>
      <c r="I4390" s="128"/>
      <c r="K4390" s="105" t="str">
        <f>IFERROR(__xludf.DUMMYFUNCTION("if(A4390="""","""",substitute(SUBSTITUTE(index(importhtml(""http://finviz.com/quote.ashx?t=""&amp;A4390,""table"",10),7,2),""*"",""""),""-"",""0.00""))"),"Loading...")</f>
        <v>Loading...</v>
      </c>
      <c r="L4390" s="129">
        <v>1.101263E8</v>
      </c>
      <c r="M4390" s="99" t="str">
        <f>IFERROR(__xludf.DUMMYFUNCTION("GOOGLEFINANCE(A4390,""beta"")"),"#N/A")</f>
        <v>#N/A</v>
      </c>
    </row>
    <row r="4391">
      <c r="A4391" s="122" t="s">
        <v>9234</v>
      </c>
      <c r="B4391" s="123">
        <v>1867287.0</v>
      </c>
      <c r="C4391" s="124" t="s">
        <v>9235</v>
      </c>
      <c r="D4391" s="125"/>
      <c r="E4391" s="126">
        <v>11.17</v>
      </c>
      <c r="F4391" s="127"/>
      <c r="G4391" s="127"/>
      <c r="H4391" s="127"/>
      <c r="I4391" s="128"/>
      <c r="K4391" s="105" t="str">
        <f>IFERROR(__xludf.DUMMYFUNCTION("if(A4391="""","""",substitute(SUBSTITUTE(index(importhtml(""http://finviz.com/quote.ashx?t=""&amp;A4391,""table"",10),7,2),""*"",""""),""-"",""0.00""))"),"Loading...")</f>
        <v>Loading...</v>
      </c>
      <c r="L4391" s="129">
        <v>3.9505631E7</v>
      </c>
      <c r="M4391" s="99" t="str">
        <f>IFERROR(__xludf.DUMMYFUNCTION("GOOGLEFINANCE(A4391,""beta"")"),"#N/A")</f>
        <v>#N/A</v>
      </c>
    </row>
    <row r="4392">
      <c r="A4392" s="122" t="s">
        <v>9236</v>
      </c>
      <c r="B4392" s="123">
        <v>1607997.0</v>
      </c>
      <c r="C4392" s="124" t="s">
        <v>9237</v>
      </c>
      <c r="D4392" s="125"/>
      <c r="E4392" s="126">
        <v>11.17</v>
      </c>
      <c r="F4392" s="127"/>
      <c r="G4392" s="127"/>
      <c r="H4392" s="127"/>
      <c r="I4392" s="128"/>
      <c r="K4392" s="105" t="str">
        <f>IFERROR(__xludf.DUMMYFUNCTION("if(A4392="""","""",substitute(SUBSTITUTE(index(importhtml(""http://finviz.com/quote.ashx?t=""&amp;A4392,""table"",10),7,2),""*"",""""),""-"",""0.00""))"),"Loading...")</f>
        <v>Loading...</v>
      </c>
      <c r="L4392" s="129">
        <v>6.461263E7</v>
      </c>
      <c r="M4392" s="99">
        <v>0.41</v>
      </c>
    </row>
    <row r="4393">
      <c r="A4393" s="122" t="s">
        <v>9238</v>
      </c>
      <c r="B4393" s="123">
        <v>1900402.0</v>
      </c>
      <c r="C4393" s="124" t="s">
        <v>9239</v>
      </c>
      <c r="D4393" s="125"/>
      <c r="E4393" s="126">
        <v>11.17</v>
      </c>
      <c r="F4393" s="127"/>
      <c r="G4393" s="127"/>
      <c r="H4393" s="127"/>
      <c r="I4393" s="128"/>
      <c r="K4393" s="105" t="str">
        <f>IFERROR(__xludf.DUMMYFUNCTION("if(A4393="""","""",substitute(SUBSTITUTE(index(importhtml(""http://finviz.com/quote.ashx?t=""&amp;A4393,""table"",10),7,2),""*"",""""),""-"",""0.00""))"),"Loading...")</f>
        <v>Loading...</v>
      </c>
      <c r="L4393" s="129">
        <v>1.22660662E8</v>
      </c>
      <c r="M4393" s="99" t="str">
        <f>IFERROR(__xludf.DUMMYFUNCTION("GOOGLEFINANCE(A4393,""beta"")"),"#N/A")</f>
        <v>#N/A</v>
      </c>
    </row>
    <row r="4394">
      <c r="A4394" s="122" t="s">
        <v>9240</v>
      </c>
      <c r="B4394" s="123">
        <v>1163792.0</v>
      </c>
      <c r="C4394" s="124" t="s">
        <v>9241</v>
      </c>
      <c r="D4394" s="125"/>
      <c r="E4394" s="126">
        <v>11.17</v>
      </c>
      <c r="F4394" s="127"/>
      <c r="G4394" s="127"/>
      <c r="H4394" s="127"/>
      <c r="I4394" s="128"/>
      <c r="K4394" s="105" t="str">
        <f>IFERROR(__xludf.DUMMYFUNCTION("if(A4394="""","""",substitute(SUBSTITUTE(index(importhtml(""http://finviz.com/quote.ashx?t=""&amp;A4394,""table"",10),7,2),""*"",""""),""-"",""0.00""))"),"Loading...")</f>
        <v>Loading...</v>
      </c>
      <c r="L4394" s="129">
        <v>1.32538641E8</v>
      </c>
      <c r="M4394" s="99">
        <v>0.72</v>
      </c>
    </row>
    <row r="4395">
      <c r="A4395" s="122" t="s">
        <v>9242</v>
      </c>
      <c r="B4395" s="123">
        <v>1879814.0</v>
      </c>
      <c r="C4395" s="124" t="s">
        <v>9243</v>
      </c>
      <c r="D4395" s="125"/>
      <c r="E4395" s="126">
        <v>11.17</v>
      </c>
      <c r="F4395" s="127"/>
      <c r="G4395" s="127"/>
      <c r="H4395" s="127"/>
      <c r="I4395" s="128"/>
      <c r="K4395" s="105" t="str">
        <f>IFERROR(__xludf.DUMMYFUNCTION("if(A4395="""","""",substitute(SUBSTITUTE(index(importhtml(""http://finviz.com/quote.ashx?t=""&amp;A4395,""table"",10),7,2),""*"",""""),""-"",""0.00""))"),"Loading...")</f>
        <v>Loading...</v>
      </c>
      <c r="L4395" s="129">
        <v>1.459716E8</v>
      </c>
      <c r="M4395" s="99" t="str">
        <f>IFERROR(__xludf.DUMMYFUNCTION("GOOGLEFINANCE(A4395,""beta"")"),"#N/A")</f>
        <v>#N/A</v>
      </c>
    </row>
    <row r="4396">
      <c r="A4396" s="122" t="s">
        <v>9244</v>
      </c>
      <c r="B4396" s="123">
        <v>880807.0</v>
      </c>
      <c r="C4396" s="124" t="s">
        <v>9245</v>
      </c>
      <c r="D4396" s="125"/>
      <c r="E4396" s="126">
        <v>11.17</v>
      </c>
      <c r="F4396" s="127"/>
      <c r="G4396" s="127"/>
      <c r="H4396" s="127"/>
      <c r="I4396" s="128"/>
      <c r="K4396" s="105" t="str">
        <f>IFERROR(__xludf.DUMMYFUNCTION("if(A4396="""","""",substitute(SUBSTITUTE(index(importhtml(""http://finviz.com/quote.ashx?t=""&amp;A4396,""table"",10),7,2),""*"",""""),""-"",""0.00""))"),"Loading...")</f>
        <v>Loading...</v>
      </c>
      <c r="L4396" s="129">
        <v>3.4332492E8</v>
      </c>
      <c r="M4396" s="99">
        <v>1.91</v>
      </c>
    </row>
    <row r="4397">
      <c r="A4397" s="122" t="s">
        <v>9246</v>
      </c>
      <c r="B4397" s="123">
        <v>1127055.0</v>
      </c>
      <c r="C4397" s="124" t="s">
        <v>9175</v>
      </c>
      <c r="D4397" s="125"/>
      <c r="E4397" s="126">
        <v>11.17</v>
      </c>
      <c r="F4397" s="127"/>
      <c r="G4397" s="127"/>
      <c r="H4397" s="127"/>
      <c r="I4397" s="128"/>
      <c r="K4397" s="105" t="str">
        <f>IFERROR(__xludf.DUMMYFUNCTION("if(A4397="""","""",substitute(SUBSTITUTE(index(importhtml(""http://finviz.com/quote.ashx?t=""&amp;A4397,""table"",10),7,2),""*"",""""),""-"",""0.00""))"),"Loading...")</f>
        <v>Loading...</v>
      </c>
      <c r="L4397" s="129">
        <v>1.0597820996E10</v>
      </c>
      <c r="M4397" s="99">
        <v>0.94</v>
      </c>
    </row>
    <row r="4398">
      <c r="A4398" s="122" t="s">
        <v>9247</v>
      </c>
      <c r="B4398" s="123">
        <v>1610940.0</v>
      </c>
      <c r="C4398" s="124" t="s">
        <v>9248</v>
      </c>
      <c r="D4398" s="125"/>
      <c r="E4398" s="126">
        <v>11.17</v>
      </c>
      <c r="F4398" s="127"/>
      <c r="G4398" s="127"/>
      <c r="H4398" s="127"/>
      <c r="I4398" s="128"/>
      <c r="K4398" s="105" t="str">
        <f>IFERROR(__xludf.DUMMYFUNCTION("if(A4398="""","""",substitute(SUBSTITUTE(index(importhtml(""http://finviz.com/quote.ashx?t=""&amp;A4398,""table"",10),7,2),""*"",""""),""-"",""0.00""))"),"Loading...")</f>
        <v>Loading...</v>
      </c>
      <c r="L4398" s="129" t="e">
        <v>#N/A</v>
      </c>
      <c r="M4398" s="99" t="str">
        <f>IFERROR(__xludf.DUMMYFUNCTION("GOOGLEFINANCE(A4398,""beta"")"),"#N/A")</f>
        <v>#N/A</v>
      </c>
    </row>
    <row r="4399">
      <c r="A4399" s="122" t="s">
        <v>9249</v>
      </c>
      <c r="B4399" s="123">
        <v>1477815.0</v>
      </c>
      <c r="C4399" s="124" t="s">
        <v>9250</v>
      </c>
      <c r="D4399" s="125"/>
      <c r="E4399" s="126">
        <v>11.18</v>
      </c>
      <c r="F4399" s="127"/>
      <c r="G4399" s="127"/>
      <c r="H4399" s="127"/>
      <c r="I4399" s="128"/>
      <c r="K4399" s="55" t="s">
        <v>1034</v>
      </c>
      <c r="L4399" s="129">
        <v>1.256921596E9</v>
      </c>
      <c r="M4399" s="99">
        <f>IFERROR(__xludf.DUMMYFUNCTION("GOOGLEFINANCE(A4399,""beta"")"),1.94)</f>
        <v>1.94</v>
      </c>
    </row>
    <row r="4400">
      <c r="A4400" s="122" t="s">
        <v>9251</v>
      </c>
      <c r="B4400" s="123">
        <v>5981.0</v>
      </c>
      <c r="C4400" s="124" t="s">
        <v>9252</v>
      </c>
      <c r="D4400" s="125"/>
      <c r="E4400" s="126">
        <v>11.18</v>
      </c>
      <c r="F4400" s="127"/>
      <c r="G4400" s="127"/>
      <c r="H4400" s="127"/>
      <c r="I4400" s="128"/>
      <c r="K4400" s="55" t="s">
        <v>6214</v>
      </c>
      <c r="L4400" s="129">
        <v>3.21429816E8</v>
      </c>
      <c r="M4400" s="99">
        <v>1.0</v>
      </c>
    </row>
    <row r="4401">
      <c r="A4401" s="122" t="s">
        <v>9253</v>
      </c>
      <c r="B4401" s="123">
        <v>1847440.0</v>
      </c>
      <c r="C4401" s="124" t="s">
        <v>9254</v>
      </c>
      <c r="D4401" s="125"/>
      <c r="E4401" s="126">
        <v>11.18</v>
      </c>
      <c r="F4401" s="127"/>
      <c r="G4401" s="127"/>
      <c r="H4401" s="127"/>
      <c r="I4401" s="128"/>
      <c r="K4401" s="105" t="str">
        <f>IFERROR(__xludf.DUMMYFUNCTION("if(A4401="""","""",substitute(SUBSTITUTE(index(importhtml(""http://finviz.com/quote.ashx?t=""&amp;A4401,""table"",10),7,2),""*"",""""),""-"",""0.00""))"),"Loading...")</f>
        <v>Loading...</v>
      </c>
      <c r="L4401" s="129">
        <v>7.1100839E7</v>
      </c>
      <c r="M4401" s="99" t="str">
        <f>IFERROR(__xludf.DUMMYFUNCTION("GOOGLEFINANCE(A4401,""beta"")"),"#N/A")</f>
        <v>#N/A</v>
      </c>
    </row>
    <row r="4402">
      <c r="A4402" s="122" t="s">
        <v>9255</v>
      </c>
      <c r="B4402" s="123">
        <v>1879297.0</v>
      </c>
      <c r="C4402" s="124" t="s">
        <v>9256</v>
      </c>
      <c r="D4402" s="125"/>
      <c r="E4402" s="126">
        <v>11.18</v>
      </c>
      <c r="F4402" s="127"/>
      <c r="G4402" s="127"/>
      <c r="H4402" s="127"/>
      <c r="I4402" s="128"/>
      <c r="K4402" s="105" t="str">
        <f>IFERROR(__xludf.DUMMYFUNCTION("if(A4402="""","""",substitute(SUBSTITUTE(index(importhtml(""http://finviz.com/quote.ashx?t=""&amp;A4402,""table"",10),7,2),""*"",""""),""-"",""0.00""))"),"Loading...")</f>
        <v>Loading...</v>
      </c>
      <c r="L4402" s="129">
        <v>1.36911772E8</v>
      </c>
      <c r="M4402" s="99" t="str">
        <f>IFERROR(__xludf.DUMMYFUNCTION("GOOGLEFINANCE(A4402,""beta"")"),"#N/A")</f>
        <v>#N/A</v>
      </c>
    </row>
    <row r="4403">
      <c r="A4403" s="122" t="s">
        <v>9257</v>
      </c>
      <c r="B4403" s="123">
        <v>1857190.0</v>
      </c>
      <c r="C4403" s="124" t="s">
        <v>9258</v>
      </c>
      <c r="D4403" s="125"/>
      <c r="E4403" s="126">
        <v>11.18</v>
      </c>
      <c r="F4403" s="127"/>
      <c r="G4403" s="127"/>
      <c r="H4403" s="127"/>
      <c r="I4403" s="128"/>
      <c r="K4403" s="105" t="str">
        <f>IFERROR(__xludf.DUMMYFUNCTION("if(A4403="""","""",substitute(SUBSTITUTE(index(importhtml(""http://finviz.com/quote.ashx?t=""&amp;A4403,""table"",10),7,2),""*"",""""),""-"",""0.00""))"),"Loading...")</f>
        <v>Loading...</v>
      </c>
      <c r="L4403" s="129">
        <v>2.90919086E8</v>
      </c>
      <c r="M4403" s="99">
        <f>IFERROR(__xludf.DUMMYFUNCTION("GOOGLEFINANCE(A4403,""beta"")"),1.55)</f>
        <v>1.55</v>
      </c>
    </row>
    <row r="4404">
      <c r="A4404" s="122" t="s">
        <v>9259</v>
      </c>
      <c r="B4404" s="123">
        <v>1868573.0</v>
      </c>
      <c r="C4404" s="124" t="s">
        <v>9260</v>
      </c>
      <c r="D4404" s="125"/>
      <c r="E4404" s="126">
        <v>11.19</v>
      </c>
      <c r="F4404" s="127"/>
      <c r="G4404" s="127"/>
      <c r="H4404" s="127"/>
      <c r="I4404" s="128"/>
      <c r="K4404" s="105" t="str">
        <f>IFERROR(__xludf.DUMMYFUNCTION("if(A4404="""","""",substitute(SUBSTITUTE(index(importhtml(""http://finviz.com/quote.ashx?t=""&amp;A4404,""table"",10),7,2),""*"",""""),""-"",""0.00""))"),"Loading...")</f>
        <v>Loading...</v>
      </c>
      <c r="L4404" s="129">
        <v>1.12182589E8</v>
      </c>
      <c r="M4404" s="99" t="str">
        <f>IFERROR(__xludf.DUMMYFUNCTION("GOOGLEFINANCE(A4404,""beta"")"),"#N/A")</f>
        <v>#N/A</v>
      </c>
    </row>
    <row r="4405">
      <c r="A4405" s="122" t="s">
        <v>9261</v>
      </c>
      <c r="B4405" s="123">
        <v>1861541.0</v>
      </c>
      <c r="C4405" s="124" t="s">
        <v>9262</v>
      </c>
      <c r="D4405" s="125"/>
      <c r="E4405" s="126">
        <v>11.19</v>
      </c>
      <c r="F4405" s="127"/>
      <c r="G4405" s="127"/>
      <c r="H4405" s="127"/>
      <c r="I4405" s="128"/>
      <c r="K4405" s="105" t="str">
        <f>IFERROR(__xludf.DUMMYFUNCTION("if(A4405="""","""",substitute(SUBSTITUTE(index(importhtml(""http://finviz.com/quote.ashx?t=""&amp;A4405,""table"",10),7,2),""*"",""""),""-"",""0.00""))"),"Loading...")</f>
        <v>Loading...</v>
      </c>
      <c r="L4405" s="129">
        <v>1.13298857E8</v>
      </c>
      <c r="M4405" s="99" t="str">
        <f>IFERROR(__xludf.DUMMYFUNCTION("GOOGLEFINANCE(A4405,""beta"")"),"#N/A")</f>
        <v>#N/A</v>
      </c>
    </row>
    <row r="4406">
      <c r="A4406" s="122" t="s">
        <v>9263</v>
      </c>
      <c r="B4406" s="123">
        <v>1831979.0</v>
      </c>
      <c r="C4406" s="124" t="s">
        <v>9264</v>
      </c>
      <c r="D4406" s="125"/>
      <c r="E4406" s="126">
        <v>11.19</v>
      </c>
      <c r="F4406" s="127"/>
      <c r="G4406" s="127"/>
      <c r="H4406" s="127"/>
      <c r="I4406" s="128"/>
      <c r="K4406" s="105" t="str">
        <f>IFERROR(__xludf.DUMMYFUNCTION("if(A4406="""","""",substitute(SUBSTITUTE(index(importhtml(""http://finviz.com/quote.ashx?t=""&amp;A4406,""table"",10),7,2),""*"",""""),""-"",""0.00""))"),"Loading...")</f>
        <v>Loading...</v>
      </c>
      <c r="L4406" s="129">
        <v>1.27147021E8</v>
      </c>
      <c r="M4406" s="99">
        <v>-0.01</v>
      </c>
    </row>
    <row r="4407">
      <c r="A4407" s="122" t="s">
        <v>9265</v>
      </c>
      <c r="B4407" s="123">
        <v>1863460.0</v>
      </c>
      <c r="C4407" s="124" t="s">
        <v>9266</v>
      </c>
      <c r="D4407" s="125"/>
      <c r="E4407" s="126">
        <v>11.2</v>
      </c>
      <c r="F4407" s="127"/>
      <c r="G4407" s="127"/>
      <c r="H4407" s="127"/>
      <c r="I4407" s="128"/>
      <c r="K4407" s="105" t="str">
        <f>IFERROR(__xludf.DUMMYFUNCTION("if(A4407="""","""",substitute(SUBSTITUTE(index(importhtml(""http://finviz.com/quote.ashx?t=""&amp;A4407,""table"",10),7,2),""*"",""""),""-"",""0.00""))"),"Loading...")</f>
        <v>Loading...</v>
      </c>
      <c r="L4407" s="129">
        <v>2.547825E7</v>
      </c>
      <c r="M4407" s="99" t="str">
        <f>IFERROR(__xludf.DUMMYFUNCTION("GOOGLEFINANCE(A4407,""beta"")"),"#N/A")</f>
        <v>#N/A</v>
      </c>
    </row>
    <row r="4408">
      <c r="A4408" s="122" t="s">
        <v>9267</v>
      </c>
      <c r="B4408" s="123">
        <v>1854463.0</v>
      </c>
      <c r="C4408" s="124" t="s">
        <v>9268</v>
      </c>
      <c r="D4408" s="125"/>
      <c r="E4408" s="126">
        <v>11.2</v>
      </c>
      <c r="F4408" s="127"/>
      <c r="G4408" s="127"/>
      <c r="H4408" s="127"/>
      <c r="I4408" s="128"/>
      <c r="K4408" s="105" t="str">
        <f>IFERROR(__xludf.DUMMYFUNCTION("if(A4408="""","""",substitute(SUBSTITUTE(index(importhtml(""http://finviz.com/quote.ashx?t=""&amp;A4408,""table"",10),7,2),""*"",""""),""-"",""0.00""))"),"Loading...")</f>
        <v>Loading...</v>
      </c>
      <c r="L4408" s="129">
        <v>4.63728E7</v>
      </c>
      <c r="M4408" s="99" t="str">
        <f>IFERROR(__xludf.DUMMYFUNCTION("GOOGLEFINANCE(A4408,""beta"")"),"#N/A")</f>
        <v>#N/A</v>
      </c>
    </row>
    <row r="4409">
      <c r="A4409" s="122" t="s">
        <v>9269</v>
      </c>
      <c r="B4409" s="123">
        <v>1862993.0</v>
      </c>
      <c r="C4409" s="124" t="s">
        <v>9270</v>
      </c>
      <c r="D4409" s="125"/>
      <c r="E4409" s="126">
        <v>11.2</v>
      </c>
      <c r="F4409" s="127"/>
      <c r="G4409" s="127"/>
      <c r="H4409" s="127"/>
      <c r="I4409" s="128"/>
      <c r="K4409" s="105" t="str">
        <f>IFERROR(__xludf.DUMMYFUNCTION("if(A4409="""","""",substitute(SUBSTITUTE(index(importhtml(""http://finviz.com/quote.ashx?t=""&amp;A4409,""table"",10),7,2),""*"",""""),""-"",""0.00""))"),"Loading...")</f>
        <v>Loading...</v>
      </c>
      <c r="L4409" s="129">
        <v>1.74888333E8</v>
      </c>
      <c r="M4409" s="99" t="str">
        <f>IFERROR(__xludf.DUMMYFUNCTION("GOOGLEFINANCE(A4409,""beta"")"),"#N/A")</f>
        <v>#N/A</v>
      </c>
    </row>
    <row r="4410">
      <c r="A4410" s="122" t="s">
        <v>9271</v>
      </c>
      <c r="B4410" s="123">
        <v>1856995.0</v>
      </c>
      <c r="C4410" s="124" t="s">
        <v>9272</v>
      </c>
      <c r="D4410" s="125"/>
      <c r="E4410" s="126">
        <v>11.2</v>
      </c>
      <c r="F4410" s="127"/>
      <c r="G4410" s="127"/>
      <c r="H4410" s="127"/>
      <c r="I4410" s="128"/>
      <c r="K4410" s="105" t="str">
        <f>IFERROR(__xludf.DUMMYFUNCTION("if(A4410="""","""",substitute(SUBSTITUTE(index(importhtml(""http://finviz.com/quote.ashx?t=""&amp;A4410,""table"",10),7,2),""*"",""""),""-"",""0.00""))"),"Loading...")</f>
        <v>Loading...</v>
      </c>
      <c r="L4410" s="129">
        <v>1.96108355E8</v>
      </c>
      <c r="M4410" s="99" t="str">
        <f>IFERROR(__xludf.DUMMYFUNCTION("GOOGLEFINANCE(A4410,""beta"")"),"#N/A")</f>
        <v>#N/A</v>
      </c>
    </row>
    <row r="4411">
      <c r="A4411" s="122" t="s">
        <v>9273</v>
      </c>
      <c r="B4411" s="123">
        <v>1849737.0</v>
      </c>
      <c r="C4411" s="124" t="s">
        <v>9274</v>
      </c>
      <c r="D4411" s="125"/>
      <c r="E4411" s="126">
        <v>11.2</v>
      </c>
      <c r="F4411" s="127"/>
      <c r="G4411" s="127"/>
      <c r="H4411" s="127"/>
      <c r="I4411" s="128"/>
      <c r="K4411" s="105" t="str">
        <f>IFERROR(__xludf.DUMMYFUNCTION("if(A4411="""","""",substitute(SUBSTITUTE(index(importhtml(""http://finviz.com/quote.ashx?t=""&amp;A4411,""table"",10),7,2),""*"",""""),""-"",""0.00""))"),"Loading...")</f>
        <v>Loading...</v>
      </c>
      <c r="L4411" s="129">
        <v>2.53461371E8</v>
      </c>
      <c r="M4411" s="99" t="str">
        <f>IFERROR(__xludf.DUMMYFUNCTION("GOOGLEFINANCE(A4411,""beta"")"),"#N/A")</f>
        <v>#N/A</v>
      </c>
    </row>
    <row r="4412">
      <c r="A4412" s="122" t="s">
        <v>9275</v>
      </c>
      <c r="B4412" s="123">
        <v>1849737.0</v>
      </c>
      <c r="C4412" s="124" t="s">
        <v>9276</v>
      </c>
      <c r="D4412" s="125"/>
      <c r="E4412" s="126">
        <v>11.2</v>
      </c>
      <c r="F4412" s="127"/>
      <c r="G4412" s="127"/>
      <c r="H4412" s="127"/>
      <c r="I4412" s="128"/>
      <c r="K4412" s="105" t="str">
        <f>IFERROR(__xludf.DUMMYFUNCTION("if(A4412="""","""",substitute(SUBSTITUTE(index(importhtml(""http://finviz.com/quote.ashx?t=""&amp;A4412,""table"",10),7,2),""*"",""""),""-"",""0.00""))"),"Loading...")</f>
        <v>Loading...</v>
      </c>
      <c r="L4412" s="129">
        <v>2.53461371E8</v>
      </c>
      <c r="M4412" s="99" t="str">
        <f>IFERROR(__xludf.DUMMYFUNCTION("GOOGLEFINANCE(A4412,""beta"")"),"#N/A")</f>
        <v>#N/A</v>
      </c>
    </row>
    <row r="4413">
      <c r="A4413" s="122" t="s">
        <v>9277</v>
      </c>
      <c r="B4413" s="123">
        <v>1841024.0</v>
      </c>
      <c r="C4413" s="124" t="s">
        <v>9278</v>
      </c>
      <c r="D4413" s="125"/>
      <c r="E4413" s="126">
        <v>11.2</v>
      </c>
      <c r="F4413" s="127"/>
      <c r="G4413" s="127"/>
      <c r="H4413" s="127"/>
      <c r="I4413" s="128"/>
      <c r="K4413" s="105" t="str">
        <f>IFERROR(__xludf.DUMMYFUNCTION("if(A4413="""","""",substitute(SUBSTITUTE(index(importhtml(""http://finviz.com/quote.ashx?t=""&amp;A4413,""table"",10),7,2),""*"",""""),""-"",""0.00""))"),"Loading...")</f>
        <v>Loading...</v>
      </c>
      <c r="L4413" s="129">
        <v>3.32593439E8</v>
      </c>
      <c r="M4413" s="99" t="str">
        <f>IFERROR(__xludf.DUMMYFUNCTION("GOOGLEFINANCE(A4413,""beta"")"),"#N/A")</f>
        <v>#N/A</v>
      </c>
    </row>
    <row r="4414">
      <c r="A4414" s="122" t="s">
        <v>9279</v>
      </c>
      <c r="B4414" s="123">
        <v>1865120.0</v>
      </c>
      <c r="C4414" s="124" t="s">
        <v>9280</v>
      </c>
      <c r="D4414" s="125"/>
      <c r="E4414" s="126">
        <v>11.21</v>
      </c>
      <c r="F4414" s="127"/>
      <c r="G4414" s="127"/>
      <c r="H4414" s="127"/>
      <c r="I4414" s="128"/>
      <c r="K4414" s="105" t="str">
        <f>IFERROR(__xludf.DUMMYFUNCTION("if(A4414="""","""",substitute(SUBSTITUTE(index(importhtml(""http://finviz.com/quote.ashx?t=""&amp;A4414,""table"",10),7,2),""*"",""""),""-"",""0.00""))"),"Loading...")</f>
        <v>Loading...</v>
      </c>
      <c r="L4414" s="129">
        <v>1.9254991E7</v>
      </c>
      <c r="M4414" s="99" t="str">
        <f>IFERROR(__xludf.DUMMYFUNCTION("GOOGLEFINANCE(A4414,""beta"")"),"#N/A")</f>
        <v>#N/A</v>
      </c>
    </row>
    <row r="4415">
      <c r="A4415" s="122" t="s">
        <v>9281</v>
      </c>
      <c r="B4415" s="123">
        <v>1388126.0</v>
      </c>
      <c r="C4415" s="124" t="s">
        <v>9282</v>
      </c>
      <c r="D4415" s="125"/>
      <c r="E4415" s="126">
        <v>11.21</v>
      </c>
      <c r="F4415" s="127"/>
      <c r="G4415" s="127"/>
      <c r="H4415" s="127"/>
      <c r="I4415" s="128"/>
      <c r="K4415" s="105" t="str">
        <f>IFERROR(__xludf.DUMMYFUNCTION("if(A4415="""","""",substitute(SUBSTITUTE(index(importhtml(""http://finviz.com/quote.ashx?t=""&amp;A4415,""table"",10),7,2),""*"",""""),""-"",""0.00""))"),"Loading...")</f>
        <v>Loading...</v>
      </c>
      <c r="L4415" s="129">
        <v>9.3432648E7</v>
      </c>
      <c r="M4415" s="99">
        <v>0.8</v>
      </c>
    </row>
    <row r="4416">
      <c r="A4416" s="122" t="s">
        <v>9283</v>
      </c>
      <c r="B4416" s="123">
        <v>1385613.0</v>
      </c>
      <c r="C4416" s="124" t="s">
        <v>9284</v>
      </c>
      <c r="D4416" s="125"/>
      <c r="E4416" s="126">
        <v>11.21</v>
      </c>
      <c r="F4416" s="127"/>
      <c r="G4416" s="127"/>
      <c r="H4416" s="127"/>
      <c r="I4416" s="128"/>
      <c r="K4416" s="105" t="str">
        <f>IFERROR(__xludf.DUMMYFUNCTION("if(A4416="""","""",substitute(SUBSTITUTE(index(importhtml(""http://finviz.com/quote.ashx?t=""&amp;A4416,""table"",10),7,2),""*"",""""),""-"",""0.00""))"),"Loading...")</f>
        <v>Loading...</v>
      </c>
      <c r="L4416" s="129">
        <v>3.90377713E8</v>
      </c>
      <c r="M4416" s="99">
        <v>0.81</v>
      </c>
    </row>
    <row r="4417">
      <c r="A4417" s="122" t="s">
        <v>9285</v>
      </c>
      <c r="B4417" s="123">
        <v>1167419.0</v>
      </c>
      <c r="C4417" s="124" t="s">
        <v>9286</v>
      </c>
      <c r="D4417" s="125"/>
      <c r="E4417" s="126">
        <v>11.21</v>
      </c>
      <c r="F4417" s="127"/>
      <c r="G4417" s="127"/>
      <c r="H4417" s="127"/>
      <c r="I4417" s="128"/>
      <c r="K4417" s="105" t="str">
        <f>IFERROR(__xludf.DUMMYFUNCTION("if(A4417="""","""",substitute(SUBSTITUTE(index(importhtml(""http://finviz.com/quote.ashx?t=""&amp;A4417,""table"",10),7,2),""*"",""""),""-"",""0.00""))"),"Loading...")</f>
        <v>Loading...</v>
      </c>
      <c r="L4417" s="129">
        <v>2.31503652E9</v>
      </c>
      <c r="M4417" s="99">
        <v>4.34</v>
      </c>
    </row>
    <row r="4418">
      <c r="A4418" s="122" t="s">
        <v>9287</v>
      </c>
      <c r="B4418" s="123">
        <v>809708.0</v>
      </c>
      <c r="C4418" s="124" t="s">
        <v>9288</v>
      </c>
      <c r="D4418" s="125"/>
      <c r="E4418" s="126">
        <v>11.22</v>
      </c>
      <c r="F4418" s="127"/>
      <c r="G4418" s="127"/>
      <c r="H4418" s="127"/>
      <c r="I4418" s="128"/>
      <c r="K4418" s="55" t="s">
        <v>9289</v>
      </c>
      <c r="L4418" s="129">
        <v>1.7400571E8</v>
      </c>
      <c r="M4418" s="99">
        <v>0.92</v>
      </c>
    </row>
    <row r="4419">
      <c r="A4419" s="122" t="s">
        <v>9290</v>
      </c>
      <c r="B4419" s="123">
        <v>1838293.0</v>
      </c>
      <c r="C4419" s="124" t="s">
        <v>9291</v>
      </c>
      <c r="D4419" s="125"/>
      <c r="E4419" s="126">
        <v>11.22</v>
      </c>
      <c r="F4419" s="127"/>
      <c r="G4419" s="127"/>
      <c r="H4419" s="127"/>
      <c r="I4419" s="128"/>
      <c r="K4419" s="105" t="str">
        <f>IFERROR(__xludf.DUMMYFUNCTION("if(A4419="""","""",substitute(SUBSTITUTE(index(importhtml(""http://finviz.com/quote.ashx?t=""&amp;A4419,""table"",10),7,2),""*"",""""),""-"",""0.00""))"),"Loading...")</f>
        <v>Loading...</v>
      </c>
      <c r="L4419" s="129">
        <v>1.09000698E8</v>
      </c>
      <c r="M4419" s="99" t="str">
        <f>IFERROR(__xludf.DUMMYFUNCTION("GOOGLEFINANCE(A4419,""beta"")"),"#N/A")</f>
        <v>#N/A</v>
      </c>
    </row>
    <row r="4420">
      <c r="A4420" s="122" t="s">
        <v>9292</v>
      </c>
      <c r="B4420" s="123">
        <v>1504619.0</v>
      </c>
      <c r="C4420" s="124" t="s">
        <v>9293</v>
      </c>
      <c r="D4420" s="125"/>
      <c r="E4420" s="126">
        <v>11.22</v>
      </c>
      <c r="F4420" s="127"/>
      <c r="G4420" s="127"/>
      <c r="H4420" s="127"/>
      <c r="I4420" s="128"/>
      <c r="K4420" s="105" t="str">
        <f>IFERROR(__xludf.DUMMYFUNCTION("if(A4420="""","""",substitute(SUBSTITUTE(index(importhtml(""http://finviz.com/quote.ashx?t=""&amp;A4420,""table"",10),7,2),""*"",""""),""-"",""0.00""))"),"Loading...")</f>
        <v>Loading...</v>
      </c>
      <c r="L4420" s="129">
        <v>6.59003349E8</v>
      </c>
      <c r="M4420" s="99">
        <v>1.86</v>
      </c>
    </row>
    <row r="4421">
      <c r="A4421" s="122" t="s">
        <v>9294</v>
      </c>
      <c r="B4421" s="123">
        <v>885834.0</v>
      </c>
      <c r="C4421" s="124" t="s">
        <v>5833</v>
      </c>
      <c r="D4421" s="125"/>
      <c r="E4421" s="126">
        <v>11.22</v>
      </c>
      <c r="F4421" s="127"/>
      <c r="G4421" s="127"/>
      <c r="H4421" s="127"/>
      <c r="I4421" s="128"/>
      <c r="K4421" s="105" t="str">
        <f>IFERROR(__xludf.DUMMYFUNCTION("if(A4421="""","""",substitute(SUBSTITUTE(index(importhtml(""http://finviz.com/quote.ashx?t=""&amp;A4421,""table"",10),7,2),""*"",""""),""-"",""0.00""))"),"Loading...")</f>
        <v>Loading...</v>
      </c>
      <c r="L4421" s="129">
        <v>2.6408020948E10</v>
      </c>
      <c r="M4421" s="99">
        <v>0.8</v>
      </c>
    </row>
    <row r="4422">
      <c r="A4422" s="122" t="s">
        <v>9295</v>
      </c>
      <c r="B4422" s="123">
        <v>1865120.0</v>
      </c>
      <c r="C4422" s="124" t="s">
        <v>9296</v>
      </c>
      <c r="D4422" s="125"/>
      <c r="E4422" s="126">
        <v>11.23</v>
      </c>
      <c r="F4422" s="127"/>
      <c r="G4422" s="127"/>
      <c r="H4422" s="127"/>
      <c r="I4422" s="128"/>
      <c r="K4422" s="105" t="str">
        <f>IFERROR(__xludf.DUMMYFUNCTION("if(A4422="""","""",substitute(SUBSTITUTE(index(importhtml(""http://finviz.com/quote.ashx?t=""&amp;A4422,""table"",10),7,2),""*"",""""),""-"",""0.00""))"),"Loading...")</f>
        <v>Loading...</v>
      </c>
      <c r="L4422" s="129">
        <v>1.9254991E7</v>
      </c>
      <c r="M4422" s="99" t="str">
        <f>IFERROR(__xludf.DUMMYFUNCTION("GOOGLEFINANCE(A4422,""beta"")"),"#N/A")</f>
        <v>#N/A</v>
      </c>
    </row>
    <row r="4423">
      <c r="A4423" s="122" t="s">
        <v>9297</v>
      </c>
      <c r="B4423" s="123">
        <v>1865111.0</v>
      </c>
      <c r="C4423" s="124" t="s">
        <v>9298</v>
      </c>
      <c r="D4423" s="125"/>
      <c r="E4423" s="126">
        <v>11.23</v>
      </c>
      <c r="F4423" s="127"/>
      <c r="G4423" s="127"/>
      <c r="H4423" s="127"/>
      <c r="I4423" s="128"/>
      <c r="K4423" s="105" t="str">
        <f>IFERROR(__xludf.DUMMYFUNCTION("if(A4423="""","""",substitute(SUBSTITUTE(index(importhtml(""http://finviz.com/quote.ashx?t=""&amp;A4423,""table"",10),7,2),""*"",""""),""-"",""0.00""))"),"#N/A")</f>
        <v>#N/A</v>
      </c>
      <c r="L4423" s="129">
        <v>1.00492571E8</v>
      </c>
      <c r="M4423" s="99" t="str">
        <f>IFERROR(__xludf.DUMMYFUNCTION("GOOGLEFINANCE(A4423,""beta"")"),"#N/A")</f>
        <v>#N/A</v>
      </c>
    </row>
    <row r="4424">
      <c r="A4424" s="122" t="s">
        <v>9299</v>
      </c>
      <c r="B4424" s="123">
        <v>1829322.0</v>
      </c>
      <c r="C4424" s="124" t="s">
        <v>9300</v>
      </c>
      <c r="D4424" s="125"/>
      <c r="E4424" s="126">
        <v>11.23</v>
      </c>
      <c r="F4424" s="127"/>
      <c r="G4424" s="127"/>
      <c r="H4424" s="127"/>
      <c r="I4424" s="128"/>
      <c r="K4424" s="105" t="str">
        <f>IFERROR(__xludf.DUMMYFUNCTION("if(A4424="""","""",substitute(SUBSTITUTE(index(importhtml(""http://finviz.com/quote.ashx?t=""&amp;A4424,""table"",10),7,2),""*"",""""),""-"",""0.00""))"),"Loading...")</f>
        <v>Loading...</v>
      </c>
      <c r="L4424" s="129">
        <v>1.03110331E8</v>
      </c>
      <c r="M4424" s="99" t="str">
        <f>IFERROR(__xludf.DUMMYFUNCTION("GOOGLEFINANCE(A4424,""beta"")"),"#N/A")</f>
        <v>#N/A</v>
      </c>
    </row>
    <row r="4425">
      <c r="A4425" s="122" t="s">
        <v>9301</v>
      </c>
      <c r="B4425" s="123">
        <v>1796280.0</v>
      </c>
      <c r="C4425" s="124" t="s">
        <v>9302</v>
      </c>
      <c r="D4425" s="125"/>
      <c r="E4425" s="126">
        <v>11.23</v>
      </c>
      <c r="F4425" s="127"/>
      <c r="G4425" s="127"/>
      <c r="H4425" s="127"/>
      <c r="I4425" s="128"/>
      <c r="K4425" s="105" t="str">
        <f>IFERROR(__xludf.DUMMYFUNCTION("if(A4425="""","""",substitute(SUBSTITUTE(index(importhtml(""http://finviz.com/quote.ashx?t=""&amp;A4425,""table"",10),7,2),""*"",""""),""-"",""0.00""))"),"Loading...")</f>
        <v>Loading...</v>
      </c>
      <c r="L4425" s="129">
        <v>7.52985843E8</v>
      </c>
      <c r="M4425" s="99">
        <v>1.0</v>
      </c>
    </row>
    <row r="4426">
      <c r="A4426" s="122" t="s">
        <v>9303</v>
      </c>
      <c r="B4426" s="123">
        <v>1892747.0</v>
      </c>
      <c r="C4426" s="124" t="s">
        <v>9304</v>
      </c>
      <c r="D4426" s="125"/>
      <c r="E4426" s="126">
        <v>11.24</v>
      </c>
      <c r="F4426" s="127"/>
      <c r="G4426" s="127"/>
      <c r="H4426" s="127"/>
      <c r="I4426" s="128"/>
      <c r="K4426" s="105" t="str">
        <f>IFERROR(__xludf.DUMMYFUNCTION("if(A4426="""","""",substitute(SUBSTITUTE(index(importhtml(""http://finviz.com/quote.ashx?t=""&amp;A4426,""table"",10),7,2),""*"",""""),""-"",""0.00""))"),"#N/A")</f>
        <v>#N/A</v>
      </c>
      <c r="L4426" s="129">
        <v>1.316565E8</v>
      </c>
      <c r="M4426" s="99" t="str">
        <f>IFERROR(__xludf.DUMMYFUNCTION("GOOGLEFINANCE(A4426,""beta"")"),"#N/A")</f>
        <v>#N/A</v>
      </c>
    </row>
    <row r="4427">
      <c r="A4427" s="122" t="s">
        <v>9305</v>
      </c>
      <c r="B4427" s="123">
        <v>1574232.0</v>
      </c>
      <c r="C4427" s="124" t="s">
        <v>9306</v>
      </c>
      <c r="D4427" s="125"/>
      <c r="E4427" s="126">
        <v>11.25</v>
      </c>
      <c r="F4427" s="127"/>
      <c r="G4427" s="127"/>
      <c r="H4427" s="127"/>
      <c r="I4427" s="128"/>
      <c r="K4427" s="105" t="str">
        <f>IFERROR(__xludf.DUMMYFUNCTION("if(A4427="""","""",substitute(SUBSTITUTE(index(importhtml(""http://finviz.com/quote.ashx?t=""&amp;A4427,""table"",10),7,2),""*"",""""),""-"",""0.00""))"),"Loading...")</f>
        <v>Loading...</v>
      </c>
      <c r="L4427" s="129">
        <v>1.8001316E7</v>
      </c>
      <c r="M4427" s="99">
        <v>1.66</v>
      </c>
    </row>
    <row r="4428">
      <c r="A4428" s="122" t="s">
        <v>9307</v>
      </c>
      <c r="B4428" s="123">
        <v>1900402.0</v>
      </c>
      <c r="C4428" s="124" t="s">
        <v>9308</v>
      </c>
      <c r="D4428" s="125"/>
      <c r="E4428" s="126">
        <v>11.25</v>
      </c>
      <c r="F4428" s="127"/>
      <c r="G4428" s="127"/>
      <c r="H4428" s="127"/>
      <c r="I4428" s="128"/>
      <c r="K4428" s="105" t="str">
        <f>IFERROR(__xludf.DUMMYFUNCTION("if(A4428="""","""",substitute(SUBSTITUTE(index(importhtml(""http://finviz.com/quote.ashx?t=""&amp;A4428,""table"",10),7,2),""*"",""""),""-"",""0.00""))"),"Loading...")</f>
        <v>Loading...</v>
      </c>
      <c r="L4428" s="129">
        <v>1.22660662E8</v>
      </c>
      <c r="M4428" s="99" t="str">
        <f>IFERROR(__xludf.DUMMYFUNCTION("GOOGLEFINANCE(A4428,""beta"")"),"#N/A")</f>
        <v>#N/A</v>
      </c>
    </row>
    <row r="4429">
      <c r="A4429" s="122" t="s">
        <v>9309</v>
      </c>
      <c r="B4429" s="123">
        <v>1681769.0</v>
      </c>
      <c r="C4429" s="124" t="s">
        <v>9310</v>
      </c>
      <c r="D4429" s="125"/>
      <c r="E4429" s="126">
        <v>11.25</v>
      </c>
      <c r="F4429" s="127"/>
      <c r="G4429" s="127"/>
      <c r="H4429" s="127"/>
      <c r="I4429" s="128"/>
      <c r="K4429" s="105" t="str">
        <f>IFERROR(__xludf.DUMMYFUNCTION("if(A4429="""","""",substitute(SUBSTITUTE(index(importhtml(""http://finviz.com/quote.ashx?t=""&amp;A4429,""table"",10),7,2),""*"",""""),""-"",""0.00""))"),"Loading...")</f>
        <v>Loading...</v>
      </c>
      <c r="L4429" s="129">
        <v>1.722437E9</v>
      </c>
      <c r="M4429" s="99" t="str">
        <f>IFERROR(__xludf.DUMMYFUNCTION("GOOGLEFINANCE(A4429,""beta"")"),"#N/A")</f>
        <v>#N/A</v>
      </c>
    </row>
    <row r="4430">
      <c r="A4430" s="122" t="s">
        <v>9311</v>
      </c>
      <c r="B4430" s="123">
        <v>1877557.0</v>
      </c>
      <c r="C4430" s="124" t="s">
        <v>9312</v>
      </c>
      <c r="D4430" s="125"/>
      <c r="E4430" s="126">
        <v>11.27</v>
      </c>
      <c r="F4430" s="127"/>
      <c r="G4430" s="127"/>
      <c r="H4430" s="127"/>
      <c r="I4430" s="128"/>
      <c r="K4430" s="105" t="str">
        <f>IFERROR(__xludf.DUMMYFUNCTION("if(A4430="""","""",substitute(SUBSTITUTE(index(importhtml(""http://finviz.com/quote.ashx?t=""&amp;A4430,""table"",10),7,2),""*"",""""),""-"",""0.00""))"),"Loading...")</f>
        <v>Loading...</v>
      </c>
      <c r="L4430" s="129">
        <v>8.035642E7</v>
      </c>
      <c r="M4430" s="99" t="str">
        <f>IFERROR(__xludf.DUMMYFUNCTION("GOOGLEFINANCE(A4430,""beta"")"),"#N/A")</f>
        <v>#N/A</v>
      </c>
    </row>
    <row r="4431">
      <c r="A4431" s="122" t="s">
        <v>9313</v>
      </c>
      <c r="B4431" s="123">
        <v>1870404.0</v>
      </c>
      <c r="C4431" s="124" t="s">
        <v>9314</v>
      </c>
      <c r="D4431" s="125"/>
      <c r="E4431" s="126">
        <v>11.28</v>
      </c>
      <c r="F4431" s="127"/>
      <c r="G4431" s="127"/>
      <c r="H4431" s="127"/>
      <c r="I4431" s="128"/>
      <c r="K4431" s="105" t="str">
        <f>IFERROR(__xludf.DUMMYFUNCTION("if(A4431="""","""",substitute(SUBSTITUTE(index(importhtml(""http://finviz.com/quote.ashx?t=""&amp;A4431,""table"",10),7,2),""*"",""""),""-"",""0.00""))"),"Loading...")</f>
        <v>Loading...</v>
      </c>
      <c r="L4431" s="129">
        <v>7.0326072E7</v>
      </c>
      <c r="M4431" s="99" t="str">
        <f>IFERROR(__xludf.DUMMYFUNCTION("GOOGLEFINANCE(A4431,""beta"")"),"#N/A")</f>
        <v>#N/A</v>
      </c>
    </row>
    <row r="4432">
      <c r="A4432" s="122" t="s">
        <v>9315</v>
      </c>
      <c r="B4432" s="123">
        <v>1857475.0</v>
      </c>
      <c r="C4432" s="124" t="s">
        <v>9316</v>
      </c>
      <c r="D4432" s="125"/>
      <c r="E4432" s="126">
        <v>11.28</v>
      </c>
      <c r="F4432" s="127"/>
      <c r="G4432" s="127"/>
      <c r="H4432" s="127"/>
      <c r="I4432" s="128"/>
      <c r="K4432" s="105" t="str">
        <f>IFERROR(__xludf.DUMMYFUNCTION("if(A4432="""","""",substitute(SUBSTITUTE(index(importhtml(""http://finviz.com/quote.ashx?t=""&amp;A4432,""table"",10),7,2),""*"",""""),""-"",""0.00""))"),"Loading...")</f>
        <v>Loading...</v>
      </c>
      <c r="L4432" s="129">
        <v>1.070798756E9</v>
      </c>
      <c r="M4432" s="99">
        <f>IFERROR(__xludf.DUMMYFUNCTION("GOOGLEFINANCE(A4432,""beta"")"),0.65)</f>
        <v>0.65</v>
      </c>
    </row>
    <row r="4433">
      <c r="A4433" s="122" t="s">
        <v>9317</v>
      </c>
      <c r="B4433" s="123">
        <v>1723690.0</v>
      </c>
      <c r="C4433" s="124" t="s">
        <v>9318</v>
      </c>
      <c r="D4433" s="125"/>
      <c r="E4433" s="126">
        <v>11.28</v>
      </c>
      <c r="F4433" s="127"/>
      <c r="G4433" s="127"/>
      <c r="H4433" s="127"/>
      <c r="I4433" s="128"/>
      <c r="K4433" s="105" t="str">
        <f>IFERROR(__xludf.DUMMYFUNCTION("if(A4433="""","""",substitute(SUBSTITUTE(index(importhtml(""http://finviz.com/quote.ashx?t=""&amp;A4433,""table"",10),7,2),""*"",""""),""-"",""0.00""))"),"Loading...")</f>
        <v>Loading...</v>
      </c>
      <c r="L4433" s="129">
        <v>4.433094577E9</v>
      </c>
      <c r="M4433" s="99" t="str">
        <f>IFERROR(__xludf.DUMMYFUNCTION("GOOGLEFINANCE(A4433,""beta"")"),"#N/A")</f>
        <v>#N/A</v>
      </c>
    </row>
    <row r="4434">
      <c r="A4434" s="122" t="s">
        <v>9319</v>
      </c>
      <c r="B4434" s="123">
        <v>863900.0</v>
      </c>
      <c r="C4434" s="124" t="s">
        <v>9320</v>
      </c>
      <c r="D4434" s="125"/>
      <c r="E4434" s="126">
        <v>11.28</v>
      </c>
      <c r="F4434" s="127"/>
      <c r="G4434" s="127"/>
      <c r="H4434" s="127"/>
      <c r="I4434" s="128"/>
      <c r="K4434" s="105" t="str">
        <f>IFERROR(__xludf.DUMMYFUNCTION("if(A4434="""","""",substitute(SUBSTITUTE(index(importhtml(""http://finviz.com/quote.ashx?t=""&amp;A4434,""table"",10),7,2),""*"",""""),""-"",""0.00""))"),"Loading...")</f>
        <v>Loading...</v>
      </c>
      <c r="L4434" s="129" t="e">
        <v>#N/A</v>
      </c>
      <c r="M4434" s="99">
        <v>1.06</v>
      </c>
    </row>
    <row r="4435">
      <c r="A4435" s="122" t="s">
        <v>9321</v>
      </c>
      <c r="B4435" s="123">
        <v>1855693.0</v>
      </c>
      <c r="C4435" s="124" t="s">
        <v>9322</v>
      </c>
      <c r="D4435" s="125"/>
      <c r="E4435" s="126">
        <v>11.29</v>
      </c>
      <c r="F4435" s="127"/>
      <c r="G4435" s="127"/>
      <c r="H4435" s="127"/>
      <c r="I4435" s="128"/>
      <c r="K4435" s="105" t="str">
        <f>IFERROR(__xludf.DUMMYFUNCTION("if(A4435="""","""",substitute(SUBSTITUTE(index(importhtml(""http://finviz.com/quote.ashx?t=""&amp;A4435,""table"",10),7,2),""*"",""""),""-"",""0.00""))"),"Loading...")</f>
        <v>Loading...</v>
      </c>
      <c r="L4435" s="129">
        <v>8.731343E7</v>
      </c>
      <c r="M4435" s="99" t="str">
        <f>IFERROR(__xludf.DUMMYFUNCTION("GOOGLEFINANCE(A4435,""beta"")"),"#N/A")</f>
        <v>#N/A</v>
      </c>
    </row>
    <row r="4436">
      <c r="A4436" s="122" t="s">
        <v>9323</v>
      </c>
      <c r="B4436" s="123">
        <v>1747079.0</v>
      </c>
      <c r="C4436" s="124" t="s">
        <v>9324</v>
      </c>
      <c r="D4436" s="125"/>
      <c r="E4436" s="126">
        <v>11.29</v>
      </c>
      <c r="F4436" s="127"/>
      <c r="G4436" s="127"/>
      <c r="H4436" s="127"/>
      <c r="I4436" s="128"/>
      <c r="K4436" s="105" t="str">
        <f>IFERROR(__xludf.DUMMYFUNCTION("if(A4436="""","""",substitute(SUBSTITUTE(index(importhtml(""http://finviz.com/quote.ashx?t=""&amp;A4436,""table"",10),7,2),""*"",""""),""-"",""0.00""))"),"Loading...")</f>
        <v>Loading...</v>
      </c>
      <c r="L4436" s="129">
        <v>5.15077797E8</v>
      </c>
      <c r="M4436" s="99">
        <v>2.08</v>
      </c>
    </row>
    <row r="4437">
      <c r="A4437" s="122" t="s">
        <v>9325</v>
      </c>
      <c r="B4437" s="123">
        <v>1809196.0</v>
      </c>
      <c r="C4437" s="124" t="s">
        <v>9326</v>
      </c>
      <c r="D4437" s="125"/>
      <c r="E4437" s="126">
        <v>11.29</v>
      </c>
      <c r="F4437" s="127"/>
      <c r="G4437" s="127"/>
      <c r="H4437" s="127"/>
      <c r="I4437" s="128"/>
      <c r="K4437" s="105" t="str">
        <f>IFERROR(__xludf.DUMMYFUNCTION("if(A4437="""","""",substitute(SUBSTITUTE(index(importhtml(""http://finviz.com/quote.ashx?t=""&amp;A4437,""table"",10),7,2),""*"",""""),""-"",""0.00""))"),"Loading...")</f>
        <v>Loading...</v>
      </c>
      <c r="L4437" s="129">
        <v>1.162529038E9</v>
      </c>
      <c r="M4437" s="99">
        <v>0.95</v>
      </c>
    </row>
    <row r="4438">
      <c r="A4438" s="122" t="s">
        <v>9327</v>
      </c>
      <c r="B4438" s="123">
        <v>1822886.0</v>
      </c>
      <c r="C4438" s="124" t="s">
        <v>9328</v>
      </c>
      <c r="D4438" s="125"/>
      <c r="E4438" s="126">
        <v>11.3</v>
      </c>
      <c r="F4438" s="127"/>
      <c r="G4438" s="127"/>
      <c r="H4438" s="127"/>
      <c r="I4438" s="128"/>
      <c r="K4438" s="105" t="str">
        <f>IFERROR(__xludf.DUMMYFUNCTION("if(A4438="""","""",substitute(SUBSTITUTE(index(importhtml(""http://finviz.com/quote.ashx?t=""&amp;A4438,""table"",10),7,2),""*"",""""),""-"",""0.00""))"),"Loading...")</f>
        <v>Loading...</v>
      </c>
      <c r="L4438" s="129">
        <v>5.6058194E7</v>
      </c>
      <c r="M4438" s="99" t="str">
        <f>IFERROR(__xludf.DUMMYFUNCTION("GOOGLEFINANCE(A4438,""beta"")"),"#N/A")</f>
        <v>#N/A</v>
      </c>
    </row>
    <row r="4439">
      <c r="A4439" s="122" t="s">
        <v>9329</v>
      </c>
      <c r="B4439" s="123">
        <v>1505952.0</v>
      </c>
      <c r="C4439" s="124" t="s">
        <v>9330</v>
      </c>
      <c r="D4439" s="125"/>
      <c r="E4439" s="126">
        <v>11.3</v>
      </c>
      <c r="F4439" s="127"/>
      <c r="G4439" s="127"/>
      <c r="H4439" s="127"/>
      <c r="I4439" s="128"/>
      <c r="K4439" s="105" t="str">
        <f>IFERROR(__xludf.DUMMYFUNCTION("if(A4439="""","""",substitute(SUBSTITUTE(index(importhtml(""http://finviz.com/quote.ashx?t=""&amp;A4439,""table"",10),7,2),""*"",""""),""-"",""0.00""))"),"Loading...")</f>
        <v>Loading...</v>
      </c>
      <c r="L4439" s="129">
        <v>4.13780016E8</v>
      </c>
      <c r="M4439" s="99">
        <v>2.39</v>
      </c>
    </row>
    <row r="4440">
      <c r="A4440" s="122" t="s">
        <v>9331</v>
      </c>
      <c r="B4440" s="123">
        <v>1801956.0</v>
      </c>
      <c r="C4440" s="124" t="s">
        <v>9332</v>
      </c>
      <c r="D4440" s="125"/>
      <c r="E4440" s="126">
        <v>11.3</v>
      </c>
      <c r="F4440" s="127"/>
      <c r="G4440" s="127"/>
      <c r="H4440" s="127"/>
      <c r="I4440" s="128"/>
      <c r="K4440" s="105" t="str">
        <f>IFERROR(__xludf.DUMMYFUNCTION("if(A4440="""","""",substitute(SUBSTITUTE(index(importhtml(""http://finviz.com/quote.ashx?t=""&amp;A4440,""table"",10),7,2),""*"",""""),""-"",""0.00""))"),"Loading...")</f>
        <v>Loading...</v>
      </c>
      <c r="L4440" s="129">
        <v>3.638053644E9</v>
      </c>
      <c r="M4440" s="99" t="str">
        <f>IFERROR(__xludf.DUMMYFUNCTION("GOOGLEFINANCE(A4440,""beta"")"),"#N/A")</f>
        <v>#N/A</v>
      </c>
    </row>
    <row r="4441">
      <c r="A4441" s="122" t="s">
        <v>9333</v>
      </c>
      <c r="B4441" s="123">
        <v>1846235.0</v>
      </c>
      <c r="C4441" s="124" t="s">
        <v>1164</v>
      </c>
      <c r="D4441" s="125"/>
      <c r="E4441" s="126">
        <v>11.31</v>
      </c>
      <c r="F4441" s="127"/>
      <c r="G4441" s="127"/>
      <c r="H4441" s="127"/>
      <c r="I4441" s="128"/>
      <c r="K4441" s="105" t="str">
        <f>IFERROR(__xludf.DUMMYFUNCTION("if(A4441="""","""",substitute(SUBSTITUTE(index(importhtml(""http://finviz.com/quote.ashx?t=""&amp;A4441,""table"",10),7,2),""*"",""""),""-"",""0.00""))"),"Loading...")</f>
        <v>Loading...</v>
      </c>
      <c r="L4441" s="129">
        <v>8.5078686E7</v>
      </c>
      <c r="M4441" s="99">
        <f>IFERROR(__xludf.DUMMYFUNCTION("GOOGLEFINANCE(A4441,""beta"")"),0.25)</f>
        <v>0.25</v>
      </c>
    </row>
    <row r="4442">
      <c r="A4442" s="122" t="s">
        <v>9334</v>
      </c>
      <c r="B4442" s="123">
        <v>1819498.0</v>
      </c>
      <c r="C4442" s="124" t="s">
        <v>9335</v>
      </c>
      <c r="D4442" s="125"/>
      <c r="E4442" s="126">
        <v>11.31</v>
      </c>
      <c r="F4442" s="127"/>
      <c r="G4442" s="127"/>
      <c r="H4442" s="127"/>
      <c r="I4442" s="128"/>
      <c r="K4442" s="105" t="str">
        <f>IFERROR(__xludf.DUMMYFUNCTION("if(A4442="""","""",substitute(SUBSTITUTE(index(importhtml(""http://finviz.com/quote.ashx?t=""&amp;A4442,""table"",10),7,2),""*"",""""),""-"",""0.00""))"),"Loading...")</f>
        <v>Loading...</v>
      </c>
      <c r="L4442" s="129">
        <v>1.40319326E8</v>
      </c>
      <c r="M4442" s="99" t="str">
        <f>IFERROR(__xludf.DUMMYFUNCTION("GOOGLEFINANCE(A4442,""beta"")"),"#N/A")</f>
        <v>#N/A</v>
      </c>
    </row>
    <row r="4443">
      <c r="A4443" s="122" t="s">
        <v>9336</v>
      </c>
      <c r="B4443" s="123">
        <v>1493761.0</v>
      </c>
      <c r="C4443" s="124" t="s">
        <v>9337</v>
      </c>
      <c r="D4443" s="125"/>
      <c r="E4443" s="126">
        <v>11.31</v>
      </c>
      <c r="F4443" s="127"/>
      <c r="G4443" s="127"/>
      <c r="H4443" s="127"/>
      <c r="I4443" s="128"/>
      <c r="K4443" s="105" t="str">
        <f>IFERROR(__xludf.DUMMYFUNCTION("if(A4443="""","""",substitute(SUBSTITUTE(index(importhtml(""http://finviz.com/quote.ashx?t=""&amp;A4443,""table"",10),7,2),""*"",""""),""-"",""0.00""))"),"Loading...")</f>
        <v>Loading...</v>
      </c>
      <c r="L4443" s="129">
        <v>1.9683936E8</v>
      </c>
      <c r="M4443" s="99">
        <v>2.11</v>
      </c>
    </row>
    <row r="4444">
      <c r="A4444" s="122" t="s">
        <v>9338</v>
      </c>
      <c r="B4444" s="123">
        <v>1832765.0</v>
      </c>
      <c r="C4444" s="124" t="s">
        <v>9339</v>
      </c>
      <c r="D4444" s="125"/>
      <c r="E4444" s="126">
        <v>11.32</v>
      </c>
      <c r="F4444" s="127"/>
      <c r="G4444" s="127"/>
      <c r="H4444" s="127"/>
      <c r="I4444" s="128"/>
      <c r="K4444" s="55" t="s">
        <v>1034</v>
      </c>
      <c r="L4444" s="129">
        <v>8.855255E7</v>
      </c>
      <c r="M4444" s="99" t="str">
        <f>IFERROR(__xludf.DUMMYFUNCTION("GOOGLEFINANCE(A4444,""beta"")"),"#N/A")</f>
        <v>#N/A</v>
      </c>
    </row>
    <row r="4445">
      <c r="A4445" s="122" t="s">
        <v>9340</v>
      </c>
      <c r="B4445" s="123">
        <v>1868573.0</v>
      </c>
      <c r="C4445" s="124" t="s">
        <v>1454</v>
      </c>
      <c r="D4445" s="125"/>
      <c r="E4445" s="126">
        <v>11.32</v>
      </c>
      <c r="F4445" s="127"/>
      <c r="G4445" s="127"/>
      <c r="H4445" s="127"/>
      <c r="I4445" s="128"/>
      <c r="K4445" s="105" t="str">
        <f>IFERROR(__xludf.DUMMYFUNCTION("if(A4445="""","""",substitute(SUBSTITUTE(index(importhtml(""http://finviz.com/quote.ashx?t=""&amp;A4445,""table"",10),7,2),""*"",""""),""-"",""0.00""))"),"Loading...")</f>
        <v>Loading...</v>
      </c>
      <c r="L4445" s="129">
        <v>1.12182589E8</v>
      </c>
      <c r="M4445" s="99" t="str">
        <f>IFERROR(__xludf.DUMMYFUNCTION("GOOGLEFINANCE(A4445,""beta"")"),"#N/A")</f>
        <v>#N/A</v>
      </c>
    </row>
    <row r="4446">
      <c r="A4446" s="122" t="s">
        <v>9341</v>
      </c>
      <c r="B4446" s="123">
        <v>1858257.0</v>
      </c>
      <c r="C4446" s="124" t="s">
        <v>9342</v>
      </c>
      <c r="D4446" s="125"/>
      <c r="E4446" s="126">
        <v>11.32</v>
      </c>
      <c r="F4446" s="127"/>
      <c r="G4446" s="127"/>
      <c r="H4446" s="127"/>
      <c r="I4446" s="128"/>
      <c r="K4446" s="105" t="str">
        <f>IFERROR(__xludf.DUMMYFUNCTION("if(A4446="""","""",substitute(SUBSTITUTE(index(importhtml(""http://finviz.com/quote.ashx?t=""&amp;A4446,""table"",10),7,2),""*"",""""),""-"",""0.00""))"),"Loading...")</f>
        <v>Loading...</v>
      </c>
      <c r="L4446" s="129">
        <v>2.299629638E9</v>
      </c>
      <c r="M4446" s="99" t="str">
        <f>IFERROR(__xludf.DUMMYFUNCTION("GOOGLEFINANCE(A4446,""beta"")"),"#N/A")</f>
        <v>#N/A</v>
      </c>
    </row>
    <row r="4447">
      <c r="A4447" s="122" t="s">
        <v>9343</v>
      </c>
      <c r="B4447" s="123">
        <v>1600520.0</v>
      </c>
      <c r="C4447" s="124" t="s">
        <v>9344</v>
      </c>
      <c r="D4447" s="125"/>
      <c r="E4447" s="126">
        <v>11.32</v>
      </c>
      <c r="F4447" s="127"/>
      <c r="G4447" s="127"/>
      <c r="H4447" s="127"/>
      <c r="I4447" s="128"/>
      <c r="K4447" s="105" t="str">
        <f>IFERROR(__xludf.DUMMYFUNCTION("if(A4447="""","""",substitute(SUBSTITUTE(index(importhtml(""http://finviz.com/quote.ashx?t=""&amp;A4447,""table"",10),7,2),""*"",""""),""-"",""0.00""))"),"Loading...")</f>
        <v>Loading...</v>
      </c>
      <c r="L4447" s="129">
        <v>1.7686229918E12</v>
      </c>
      <c r="M4447" s="99">
        <v>0.55</v>
      </c>
    </row>
    <row r="4448">
      <c r="A4448" s="122" t="s">
        <v>9345</v>
      </c>
      <c r="B4448" s="123">
        <v>1845368.0</v>
      </c>
      <c r="C4448" s="124" t="s">
        <v>9346</v>
      </c>
      <c r="D4448" s="125"/>
      <c r="E4448" s="126">
        <v>11.33</v>
      </c>
      <c r="F4448" s="127"/>
      <c r="G4448" s="127"/>
      <c r="H4448" s="127"/>
      <c r="I4448" s="128"/>
      <c r="K4448" s="105" t="str">
        <f>IFERROR(__xludf.DUMMYFUNCTION("if(A4448="""","""",substitute(SUBSTITUTE(index(importhtml(""http://finviz.com/quote.ashx?t=""&amp;A4448,""table"",10),7,2),""*"",""""),""-"",""0.00""))"),"Loading...")</f>
        <v>Loading...</v>
      </c>
      <c r="L4448" s="129">
        <v>1.32382344E8</v>
      </c>
      <c r="M4448" s="99" t="str">
        <f>IFERROR(__xludf.DUMMYFUNCTION("GOOGLEFINANCE(A4448,""beta"")"),"#N/A")</f>
        <v>#N/A</v>
      </c>
    </row>
    <row r="4449">
      <c r="A4449" s="122" t="s">
        <v>9347</v>
      </c>
      <c r="B4449" s="123">
        <v>883412.0</v>
      </c>
      <c r="C4449" s="124" t="s">
        <v>9348</v>
      </c>
      <c r="D4449" s="125"/>
      <c r="E4449" s="126">
        <v>11.33</v>
      </c>
      <c r="F4449" s="127"/>
      <c r="G4449" s="127"/>
      <c r="H4449" s="127"/>
      <c r="I4449" s="128"/>
      <c r="K4449" s="105" t="str">
        <f>IFERROR(__xludf.DUMMYFUNCTION("if(A4449="""","""",substitute(SUBSTITUTE(index(importhtml(""http://finviz.com/quote.ashx?t=""&amp;A4449,""table"",10),7,2),""*"",""""),""-"",""0.00""))"),"Loading...")</f>
        <v>Loading...</v>
      </c>
      <c r="L4449" s="129">
        <v>7.71158996E8</v>
      </c>
      <c r="M4449" s="99">
        <v>0.42</v>
      </c>
    </row>
    <row r="4450">
      <c r="A4450" s="122" t="s">
        <v>9349</v>
      </c>
      <c r="B4450" s="123">
        <v>1415311.0</v>
      </c>
      <c r="C4450" s="124" t="s">
        <v>9350</v>
      </c>
      <c r="D4450" s="125"/>
      <c r="E4450" s="126">
        <v>11.33</v>
      </c>
      <c r="F4450" s="127"/>
      <c r="G4450" s="127"/>
      <c r="H4450" s="127"/>
      <c r="I4450" s="128"/>
      <c r="K4450" s="105" t="str">
        <f>IFERROR(__xludf.DUMMYFUNCTION("if(A4450="""","""",substitute(SUBSTITUTE(index(importhtml(""http://finviz.com/quote.ashx?t=""&amp;A4450,""table"",10),7,2),""*"",""""),""-"",""0.00""))"),"Loading...")</f>
        <v>Loading...</v>
      </c>
      <c r="L4450" s="129" t="e">
        <v>#N/A</v>
      </c>
      <c r="M4450" s="99" t="str">
        <f>IFERROR(__xludf.DUMMYFUNCTION("GOOGLEFINANCE(A4450,""beta"")"),"#N/A")</f>
        <v>#N/A</v>
      </c>
    </row>
    <row r="4451">
      <c r="A4451" s="122" t="s">
        <v>9351</v>
      </c>
      <c r="B4451" s="123">
        <v>923796.0</v>
      </c>
      <c r="C4451" s="124" t="s">
        <v>9352</v>
      </c>
      <c r="D4451" s="125"/>
      <c r="E4451" s="126">
        <v>11.34</v>
      </c>
      <c r="F4451" s="127"/>
      <c r="G4451" s="127"/>
      <c r="H4451" s="127"/>
      <c r="I4451" s="128"/>
      <c r="K4451" s="55" t="s">
        <v>1034</v>
      </c>
      <c r="L4451" s="129">
        <v>1.430276797E9</v>
      </c>
      <c r="M4451" s="99">
        <v>0.61</v>
      </c>
    </row>
    <row r="4452">
      <c r="A4452" s="122" t="s">
        <v>9353</v>
      </c>
      <c r="B4452" s="123">
        <v>1865506.0</v>
      </c>
      <c r="C4452" s="124" t="s">
        <v>1846</v>
      </c>
      <c r="D4452" s="125"/>
      <c r="E4452" s="126">
        <v>11.34</v>
      </c>
      <c r="F4452" s="127"/>
      <c r="G4452" s="127"/>
      <c r="H4452" s="127"/>
      <c r="I4452" s="128"/>
      <c r="K4452" s="105" t="str">
        <f>IFERROR(__xludf.DUMMYFUNCTION("if(A4452="""","""",substitute(SUBSTITUTE(index(importhtml(""http://finviz.com/quote.ashx?t=""&amp;A4452,""table"",10),7,2),""*"",""""),""-"",""0.00""))"),"Loading...")</f>
        <v>Loading...</v>
      </c>
      <c r="L4452" s="129">
        <v>9.4219014E7</v>
      </c>
      <c r="M4452" s="99" t="str">
        <f>IFERROR(__xludf.DUMMYFUNCTION("GOOGLEFINANCE(A4452,""beta"")"),"#N/A")</f>
        <v>#N/A</v>
      </c>
    </row>
    <row r="4453">
      <c r="A4453" s="122" t="s">
        <v>9354</v>
      </c>
      <c r="B4453" s="123">
        <v>1893219.0</v>
      </c>
      <c r="C4453" s="124" t="s">
        <v>9355</v>
      </c>
      <c r="D4453" s="125"/>
      <c r="E4453" s="126">
        <v>11.35</v>
      </c>
      <c r="F4453" s="127"/>
      <c r="G4453" s="127"/>
      <c r="H4453" s="127"/>
      <c r="I4453" s="128"/>
      <c r="K4453" s="105" t="str">
        <f>IFERROR(__xludf.DUMMYFUNCTION("if(A4453="""","""",substitute(SUBSTITUTE(index(importhtml(""http://finviz.com/quote.ashx?t=""&amp;A4453,""table"",10),7,2),""*"",""""),""-"",""0.00""))"),"Loading...")</f>
        <v>Loading...</v>
      </c>
      <c r="L4453" s="129">
        <v>1.241201E8</v>
      </c>
      <c r="M4453" s="99" t="str">
        <f>IFERROR(__xludf.DUMMYFUNCTION("GOOGLEFINANCE(A4453,""beta"")"),"#N/A")</f>
        <v>#N/A</v>
      </c>
    </row>
    <row r="4454">
      <c r="A4454" s="122" t="s">
        <v>9356</v>
      </c>
      <c r="B4454" s="123">
        <v>1862935.0</v>
      </c>
      <c r="C4454" s="124" t="s">
        <v>9357</v>
      </c>
      <c r="D4454" s="125"/>
      <c r="E4454" s="126">
        <v>11.35</v>
      </c>
      <c r="F4454" s="127"/>
      <c r="G4454" s="127"/>
      <c r="H4454" s="127"/>
      <c r="I4454" s="128"/>
      <c r="K4454" s="105" t="str">
        <f>IFERROR(__xludf.DUMMYFUNCTION("if(A4454="""","""",substitute(SUBSTITUTE(index(importhtml(""http://finviz.com/quote.ashx?t=""&amp;A4454,""table"",10),7,2),""*"",""""),""-"",""0.00""))"),"Loading...")</f>
        <v>Loading...</v>
      </c>
      <c r="L4454" s="129">
        <v>1.502911E8</v>
      </c>
      <c r="M4454" s="99" t="str">
        <f>IFERROR(__xludf.DUMMYFUNCTION("GOOGLEFINANCE(A4454,""beta"")"),"#N/A")</f>
        <v>#N/A</v>
      </c>
    </row>
    <row r="4455">
      <c r="A4455" s="122" t="s">
        <v>9358</v>
      </c>
      <c r="B4455" s="123">
        <v>1487918.0</v>
      </c>
      <c r="C4455" s="124" t="s">
        <v>9359</v>
      </c>
      <c r="D4455" s="125"/>
      <c r="E4455" s="126">
        <v>11.35</v>
      </c>
      <c r="F4455" s="127"/>
      <c r="G4455" s="127"/>
      <c r="H4455" s="127"/>
      <c r="I4455" s="128"/>
      <c r="K4455" s="105" t="str">
        <f>IFERROR(__xludf.DUMMYFUNCTION("if(A4455="""","""",substitute(SUBSTITUTE(index(importhtml(""http://finviz.com/quote.ashx?t=""&amp;A4455,""table"",10),7,2),""*"",""""),""-"",""0.00""))"),"Loading...")</f>
        <v>Loading...</v>
      </c>
      <c r="L4455" s="129">
        <v>1.52068213E8</v>
      </c>
      <c r="M4455" s="99">
        <v>1.78</v>
      </c>
    </row>
    <row r="4456">
      <c r="A4456" s="122" t="s">
        <v>9360</v>
      </c>
      <c r="B4456" s="123">
        <v>1704299.0</v>
      </c>
      <c r="C4456" s="124" t="s">
        <v>9361</v>
      </c>
      <c r="D4456" s="125"/>
      <c r="E4456" s="126">
        <v>11.35</v>
      </c>
      <c r="F4456" s="127"/>
      <c r="G4456" s="127"/>
      <c r="H4456" s="127"/>
      <c r="I4456" s="128"/>
      <c r="K4456" s="105" t="str">
        <f>IFERROR(__xludf.DUMMYFUNCTION("if(A4456="""","""",substitute(SUBSTITUTE(index(importhtml(""http://finviz.com/quote.ashx?t=""&amp;A4456,""table"",10),7,2),""*"",""""),""-"",""0.00""))"),"Loading...")</f>
        <v>Loading...</v>
      </c>
      <c r="L4456" s="129">
        <v>1.53124217E8</v>
      </c>
      <c r="M4456" s="99">
        <v>0.86</v>
      </c>
    </row>
    <row r="4457">
      <c r="A4457" s="122" t="s">
        <v>9362</v>
      </c>
      <c r="B4457" s="123">
        <v>1823857.0</v>
      </c>
      <c r="C4457" s="124" t="s">
        <v>9363</v>
      </c>
      <c r="D4457" s="125"/>
      <c r="E4457" s="126">
        <v>11.36</v>
      </c>
      <c r="F4457" s="127"/>
      <c r="G4457" s="127"/>
      <c r="H4457" s="127"/>
      <c r="I4457" s="128"/>
      <c r="K4457" s="105" t="str">
        <f>IFERROR(__xludf.DUMMYFUNCTION("if(A4457="""","""",substitute(SUBSTITUTE(index(importhtml(""http://finviz.com/quote.ashx?t=""&amp;A4457,""table"",10),7,2),""*"",""""),""-"",""0.00""))"),"Loading...")</f>
        <v>Loading...</v>
      </c>
      <c r="L4457" s="129">
        <v>7.5528832E7</v>
      </c>
      <c r="M4457" s="99" t="str">
        <f>IFERROR(__xludf.DUMMYFUNCTION("GOOGLEFINANCE(A4457,""beta"")"),"#N/A")</f>
        <v>#N/A</v>
      </c>
    </row>
    <row r="4458">
      <c r="A4458" s="122" t="s">
        <v>9364</v>
      </c>
      <c r="B4458" s="123">
        <v>1856995.0</v>
      </c>
      <c r="C4458" s="124" t="s">
        <v>1340</v>
      </c>
      <c r="D4458" s="125"/>
      <c r="E4458" s="126">
        <v>11.36</v>
      </c>
      <c r="F4458" s="127"/>
      <c r="G4458" s="127"/>
      <c r="H4458" s="127"/>
      <c r="I4458" s="128"/>
      <c r="K4458" s="105" t="str">
        <f>IFERROR(__xludf.DUMMYFUNCTION("if(A4458="""","""",substitute(SUBSTITUTE(index(importhtml(""http://finviz.com/quote.ashx?t=""&amp;A4458,""table"",10),7,2),""*"",""""),""-"",""0.00""))"),"Loading...")</f>
        <v>Loading...</v>
      </c>
      <c r="L4458" s="129">
        <v>1.96108355E8</v>
      </c>
      <c r="M4458" s="99" t="str">
        <f>IFERROR(__xludf.DUMMYFUNCTION("GOOGLEFINANCE(A4458,""beta"")"),"#N/A")</f>
        <v>#N/A</v>
      </c>
    </row>
    <row r="4459">
      <c r="A4459" s="122" t="s">
        <v>9365</v>
      </c>
      <c r="B4459" s="123">
        <v>1145986.0</v>
      </c>
      <c r="C4459" s="124" t="s">
        <v>9366</v>
      </c>
      <c r="D4459" s="125"/>
      <c r="E4459" s="126">
        <v>11.37</v>
      </c>
      <c r="F4459" s="127"/>
      <c r="G4459" s="127"/>
      <c r="H4459" s="127"/>
      <c r="I4459" s="128"/>
      <c r="K4459" s="105" t="str">
        <f>IFERROR(__xludf.DUMMYFUNCTION("if(A4459="""","""",substitute(SUBSTITUTE(index(importhtml(""http://finviz.com/quote.ashx?t=""&amp;A4459,""table"",10),7,2),""*"",""""),""-"",""0.00""))"),"Loading...")</f>
        <v>Loading...</v>
      </c>
      <c r="L4459" s="129">
        <v>8.67385796E8</v>
      </c>
      <c r="M4459" s="99">
        <v>1.96</v>
      </c>
    </row>
    <row r="4460">
      <c r="A4460" s="122" t="s">
        <v>9367</v>
      </c>
      <c r="B4460" s="123">
        <v>1666291.0</v>
      </c>
      <c r="C4460" s="124" t="s">
        <v>9368</v>
      </c>
      <c r="D4460" s="125"/>
      <c r="E4460" s="126">
        <v>11.37</v>
      </c>
      <c r="F4460" s="127"/>
      <c r="G4460" s="127"/>
      <c r="H4460" s="127"/>
      <c r="I4460" s="128"/>
      <c r="K4460" s="105" t="str">
        <f>IFERROR(__xludf.DUMMYFUNCTION("if(A4460="""","""",substitute(SUBSTITUTE(index(importhtml(""http://finviz.com/quote.ashx?t=""&amp;A4460,""table"",10),7,2),""*"",""""),""-"",""0.00""))"),"Loading...")</f>
        <v>Loading...</v>
      </c>
      <c r="L4460" s="129">
        <v>1.577344166E9</v>
      </c>
      <c r="M4460" s="99">
        <f>IFERROR(__xludf.DUMMYFUNCTION("GOOGLEFINANCE(A4460,""beta"")"),1.22)</f>
        <v>1.22</v>
      </c>
    </row>
    <row r="4461">
      <c r="A4461" s="122" t="s">
        <v>9369</v>
      </c>
      <c r="B4461" s="123">
        <v>1879373.0</v>
      </c>
      <c r="C4461" s="124" t="s">
        <v>9370</v>
      </c>
      <c r="D4461" s="125"/>
      <c r="E4461" s="126">
        <v>11.38</v>
      </c>
      <c r="F4461" s="127"/>
      <c r="G4461" s="127"/>
      <c r="H4461" s="127"/>
      <c r="I4461" s="128"/>
      <c r="K4461" s="105" t="str">
        <f>IFERROR(__xludf.DUMMYFUNCTION("if(A4461="""","""",substitute(SUBSTITUTE(index(importhtml(""http://finviz.com/quote.ashx?t=""&amp;A4461,""table"",10),7,2),""*"",""""),""-"",""0.00""))"),"Loading...")</f>
        <v>Loading...</v>
      </c>
      <c r="L4461" s="129">
        <v>4.7446756E7</v>
      </c>
      <c r="M4461" s="99" t="str">
        <f>IFERROR(__xludf.DUMMYFUNCTION("GOOGLEFINANCE(A4461,""beta"")"),"#N/A")</f>
        <v>#N/A</v>
      </c>
    </row>
    <row r="4462">
      <c r="A4462" s="122" t="s">
        <v>9371</v>
      </c>
      <c r="B4462" s="123">
        <v>1337068.0</v>
      </c>
      <c r="C4462" s="124" t="s">
        <v>9372</v>
      </c>
      <c r="D4462" s="125"/>
      <c r="E4462" s="126">
        <v>11.38</v>
      </c>
      <c r="F4462" s="127"/>
      <c r="G4462" s="127"/>
      <c r="H4462" s="127"/>
      <c r="I4462" s="128"/>
      <c r="K4462" s="105" t="str">
        <f>IFERROR(__xludf.DUMMYFUNCTION("if(A4462="""","""",substitute(SUBSTITUTE(index(importhtml(""http://finviz.com/quote.ashx?t=""&amp;A4462,""table"",10),7,2),""*"",""""),""-"",""0.00""))"),"Loading...")</f>
        <v>Loading...</v>
      </c>
      <c r="L4462" s="129">
        <v>7.7208418E7</v>
      </c>
      <c r="M4462" s="99">
        <v>0.3</v>
      </c>
    </row>
    <row r="4463">
      <c r="A4463" s="122" t="s">
        <v>9373</v>
      </c>
      <c r="B4463" s="123">
        <v>1371782.0</v>
      </c>
      <c r="C4463" s="124" t="s">
        <v>9374</v>
      </c>
      <c r="D4463" s="125"/>
      <c r="E4463" s="126">
        <v>11.38</v>
      </c>
      <c r="F4463" s="127"/>
      <c r="G4463" s="127"/>
      <c r="H4463" s="127"/>
      <c r="I4463" s="128"/>
      <c r="K4463" s="105" t="str">
        <f>IFERROR(__xludf.DUMMYFUNCTION("if(A4463="""","""",substitute(SUBSTITUTE(index(importhtml(""http://finviz.com/quote.ashx?t=""&amp;A4463,""table"",10),7,2),""*"",""""),""-"",""0.00""))"),"Loading...")</f>
        <v>Loading...</v>
      </c>
      <c r="L4463" s="129">
        <v>1.30870001E8</v>
      </c>
      <c r="M4463" s="99">
        <v>0.86</v>
      </c>
    </row>
    <row r="4464">
      <c r="A4464" s="122" t="s">
        <v>9375</v>
      </c>
      <c r="B4464" s="123">
        <v>890393.0</v>
      </c>
      <c r="C4464" s="124" t="s">
        <v>9376</v>
      </c>
      <c r="D4464" s="125"/>
      <c r="E4464" s="126">
        <v>11.38</v>
      </c>
      <c r="F4464" s="127"/>
      <c r="G4464" s="127"/>
      <c r="H4464" s="127"/>
      <c r="I4464" s="128"/>
      <c r="K4464" s="105" t="str">
        <f>IFERROR(__xludf.DUMMYFUNCTION("if(A4464="""","""",substitute(SUBSTITUTE(index(importhtml(""http://finviz.com/quote.ashx?t=""&amp;A4464,""table"",10),7,2),""*"",""""),""-"",""0.00""))"),"Loading...")</f>
        <v>Loading...</v>
      </c>
      <c r="L4464" s="129">
        <v>3.32662325E8</v>
      </c>
      <c r="M4464" s="99">
        <v>0.4</v>
      </c>
    </row>
    <row r="4465">
      <c r="A4465" s="122" t="s">
        <v>9377</v>
      </c>
      <c r="B4465" s="123">
        <v>1750735.0</v>
      </c>
      <c r="C4465" s="124" t="s">
        <v>9378</v>
      </c>
      <c r="D4465" s="125"/>
      <c r="E4465" s="126">
        <v>11.39</v>
      </c>
      <c r="F4465" s="127"/>
      <c r="G4465" s="127"/>
      <c r="H4465" s="127"/>
      <c r="I4465" s="128"/>
      <c r="K4465" s="105" t="str">
        <f>IFERROR(__xludf.DUMMYFUNCTION("if(A4465="""","""",substitute(SUBSTITUTE(index(importhtml(""http://finviz.com/quote.ashx?t=""&amp;A4465,""table"",10),7,2),""*"",""""),""-"",""0.00""))"),"Loading...")</f>
        <v>Loading...</v>
      </c>
      <c r="L4465" s="129">
        <v>1.27374259E8</v>
      </c>
      <c r="M4465" s="99">
        <v>0.72</v>
      </c>
    </row>
    <row r="4466">
      <c r="A4466" s="122" t="s">
        <v>9379</v>
      </c>
      <c r="B4466" s="123">
        <v>1514705.0</v>
      </c>
      <c r="C4466" s="124" t="s">
        <v>9380</v>
      </c>
      <c r="D4466" s="125"/>
      <c r="E4466" s="126">
        <v>11.39</v>
      </c>
      <c r="F4466" s="127"/>
      <c r="G4466" s="127"/>
      <c r="H4466" s="127"/>
      <c r="I4466" s="128"/>
      <c r="K4466" s="105" t="str">
        <f>IFERROR(__xludf.DUMMYFUNCTION("if(A4466="""","""",substitute(SUBSTITUTE(index(importhtml(""http://finviz.com/quote.ashx?t=""&amp;A4466,""table"",10),7,2),""*"",""""),""-"",""0.00""))"),"Loading...")</f>
        <v>Loading...</v>
      </c>
      <c r="L4466" s="129">
        <v>9.5398326E8</v>
      </c>
      <c r="M4466" s="99">
        <v>1.14</v>
      </c>
    </row>
    <row r="4467">
      <c r="A4467" s="122" t="s">
        <v>9381</v>
      </c>
      <c r="B4467" s="123">
        <v>1732406.0</v>
      </c>
      <c r="C4467" s="124" t="s">
        <v>9382</v>
      </c>
      <c r="D4467" s="125"/>
      <c r="E4467" s="126">
        <v>11.39</v>
      </c>
      <c r="F4467" s="127"/>
      <c r="G4467" s="127"/>
      <c r="H4467" s="127"/>
      <c r="I4467" s="128"/>
      <c r="K4467" s="105" t="str">
        <f>IFERROR(__xludf.DUMMYFUNCTION("if(A4467="""","""",substitute(SUBSTITUTE(index(importhtml(""http://finviz.com/quote.ashx?t=""&amp;A4467,""table"",10),7,2),""*"",""""),""-"",""0.00""))"),"Loading...")</f>
        <v>Loading...</v>
      </c>
      <c r="L4467" s="129" t="e">
        <v>#N/A</v>
      </c>
      <c r="M4467" s="99">
        <v>8.62</v>
      </c>
    </row>
    <row r="4468">
      <c r="A4468" s="122" t="s">
        <v>9383</v>
      </c>
      <c r="B4468" s="123">
        <v>1022321.0</v>
      </c>
      <c r="C4468" s="124" t="s">
        <v>9384</v>
      </c>
      <c r="D4468" s="125"/>
      <c r="E4468" s="126">
        <v>11.4</v>
      </c>
      <c r="F4468" s="127"/>
      <c r="G4468" s="127"/>
      <c r="H4468" s="127"/>
      <c r="I4468" s="128"/>
      <c r="K4468" s="55" t="s">
        <v>6229</v>
      </c>
      <c r="L4468" s="129">
        <v>1.396091833E9</v>
      </c>
      <c r="M4468" s="99">
        <v>2.08</v>
      </c>
    </row>
    <row r="4469">
      <c r="A4469" s="122" t="s">
        <v>9385</v>
      </c>
      <c r="B4469" s="123">
        <v>1767837.0</v>
      </c>
      <c r="C4469" s="124" t="s">
        <v>9386</v>
      </c>
      <c r="D4469" s="125"/>
      <c r="E4469" s="126">
        <v>11.41</v>
      </c>
      <c r="F4469" s="127"/>
      <c r="G4469" s="127"/>
      <c r="H4469" s="127"/>
      <c r="I4469" s="128"/>
      <c r="K4469" s="105" t="str">
        <f>IFERROR(__xludf.DUMMYFUNCTION("if(A4469="""","""",substitute(SUBSTITUTE(index(importhtml(""http://finviz.com/quote.ashx?t=""&amp;A4469,""table"",10),7,2),""*"",""""),""-"",""0.00""))"),"Loading...")</f>
        <v>Loading...</v>
      </c>
      <c r="L4469" s="129">
        <v>1.28301568E8</v>
      </c>
      <c r="M4469" s="99">
        <v>0.65</v>
      </c>
    </row>
    <row r="4470">
      <c r="A4470" s="122" t="s">
        <v>9387</v>
      </c>
      <c r="B4470" s="123">
        <v>882508.0</v>
      </c>
      <c r="C4470" s="124" t="s">
        <v>9388</v>
      </c>
      <c r="D4470" s="125"/>
      <c r="E4470" s="126">
        <v>11.41</v>
      </c>
      <c r="F4470" s="127"/>
      <c r="G4470" s="127"/>
      <c r="H4470" s="127"/>
      <c r="I4470" s="128"/>
      <c r="K4470" s="105" t="str">
        <f>IFERROR(__xludf.DUMMYFUNCTION("if(A4470="""","""",substitute(SUBSTITUTE(index(importhtml(""http://finviz.com/quote.ashx?t=""&amp;A4470,""table"",10),7,2),""*"",""""),""-"",""0.00""))"),"Loading...")</f>
        <v>Loading...</v>
      </c>
      <c r="L4470" s="129">
        <v>1.58714467E8</v>
      </c>
      <c r="M4470" s="99">
        <v>1.56</v>
      </c>
    </row>
    <row r="4471">
      <c r="A4471" s="122" t="s">
        <v>9389</v>
      </c>
      <c r="B4471" s="123">
        <v>1181187.0</v>
      </c>
      <c r="C4471" s="124" t="s">
        <v>9390</v>
      </c>
      <c r="D4471" s="125"/>
      <c r="E4471" s="126">
        <v>11.42</v>
      </c>
      <c r="F4471" s="127"/>
      <c r="G4471" s="127"/>
      <c r="H4471" s="127"/>
      <c r="I4471" s="128"/>
      <c r="K4471" s="55" t="s">
        <v>5866</v>
      </c>
      <c r="L4471" s="129">
        <v>2.99554824E8</v>
      </c>
      <c r="M4471" s="99">
        <v>0.56</v>
      </c>
    </row>
    <row r="4472">
      <c r="A4472" s="122" t="s">
        <v>9391</v>
      </c>
      <c r="B4472" s="123">
        <v>1831840.0</v>
      </c>
      <c r="C4472" s="124" t="s">
        <v>9392</v>
      </c>
      <c r="D4472" s="125"/>
      <c r="E4472" s="126">
        <v>11.42</v>
      </c>
      <c r="F4472" s="127"/>
      <c r="G4472" s="127"/>
      <c r="H4472" s="127"/>
      <c r="I4472" s="128"/>
      <c r="K4472" s="105" t="str">
        <f>IFERROR(__xludf.DUMMYFUNCTION("if(A4472="""","""",substitute(SUBSTITUTE(index(importhtml(""http://finviz.com/quote.ashx?t=""&amp;A4472,""table"",10),7,2),""*"",""""),""-"",""0.00""))"),"Loading...")</f>
        <v>Loading...</v>
      </c>
      <c r="L4472" s="129">
        <v>1.635696888E9</v>
      </c>
      <c r="M4472" s="99">
        <f>IFERROR(__xludf.DUMMYFUNCTION("GOOGLEFINANCE(A4472,""beta"")"),1.6)</f>
        <v>1.6</v>
      </c>
    </row>
    <row r="4473">
      <c r="A4473" s="122" t="s">
        <v>9393</v>
      </c>
      <c r="B4473" s="123">
        <v>1478102.0</v>
      </c>
      <c r="C4473" s="124" t="s">
        <v>9394</v>
      </c>
      <c r="D4473" s="125"/>
      <c r="E4473" s="126">
        <v>11.43</v>
      </c>
      <c r="F4473" s="127"/>
      <c r="G4473" s="127"/>
      <c r="H4473" s="127"/>
      <c r="I4473" s="128"/>
      <c r="K4473" s="55" t="s">
        <v>9395</v>
      </c>
      <c r="L4473" s="129">
        <v>1.30113865E8</v>
      </c>
      <c r="M4473" s="99">
        <v>0.57</v>
      </c>
    </row>
    <row r="4474">
      <c r="A4474" s="122" t="s">
        <v>9396</v>
      </c>
      <c r="B4474" s="123">
        <v>1900679.0</v>
      </c>
      <c r="C4474" s="124" t="s">
        <v>9397</v>
      </c>
      <c r="D4474" s="125"/>
      <c r="E4474" s="126">
        <v>11.45</v>
      </c>
      <c r="F4474" s="127"/>
      <c r="G4474" s="127"/>
      <c r="H4474" s="127"/>
      <c r="I4474" s="128"/>
      <c r="K4474" s="105" t="str">
        <f>IFERROR(__xludf.DUMMYFUNCTION("if(A4474="""","""",substitute(SUBSTITUTE(index(importhtml(""http://finviz.com/quote.ashx?t=""&amp;A4474,""table"",10),7,2),""*"",""""),""-"",""0.00""))"),"Loading...")</f>
        <v>Loading...</v>
      </c>
      <c r="L4474" s="129">
        <v>7.4056815E7</v>
      </c>
      <c r="M4474" s="99" t="str">
        <f>IFERROR(__xludf.DUMMYFUNCTION("GOOGLEFINANCE(A4474,""beta"")"),"#N/A")</f>
        <v>#N/A</v>
      </c>
    </row>
    <row r="4475">
      <c r="A4475" s="122" t="s">
        <v>9398</v>
      </c>
      <c r="B4475" s="123">
        <v>1823587.0</v>
      </c>
      <c r="C4475" s="124" t="s">
        <v>9399</v>
      </c>
      <c r="D4475" s="125"/>
      <c r="E4475" s="126">
        <v>11.45</v>
      </c>
      <c r="F4475" s="127"/>
      <c r="G4475" s="127"/>
      <c r="H4475" s="127"/>
      <c r="I4475" s="128"/>
      <c r="K4475" s="105" t="str">
        <f>IFERROR(__xludf.DUMMYFUNCTION("if(A4475="""","""",substitute(SUBSTITUTE(index(importhtml(""http://finviz.com/quote.ashx?t=""&amp;A4475,""table"",10),7,2),""*"",""""),""-"",""0.00""))"),"Loading...")</f>
        <v>Loading...</v>
      </c>
      <c r="L4475" s="129">
        <v>7.31594989E8</v>
      </c>
      <c r="M4475" s="99">
        <f>IFERROR(__xludf.DUMMYFUNCTION("GOOGLEFINANCE(A4475,""beta"")"),1.44)</f>
        <v>1.44</v>
      </c>
    </row>
    <row r="4476">
      <c r="A4476" s="122" t="s">
        <v>9400</v>
      </c>
      <c r="B4476" s="123">
        <v>1554697.0</v>
      </c>
      <c r="C4476" s="124" t="s">
        <v>9401</v>
      </c>
      <c r="D4476" s="125"/>
      <c r="E4476" s="126">
        <v>11.46</v>
      </c>
      <c r="F4476" s="127"/>
      <c r="G4476" s="127"/>
      <c r="H4476" s="127"/>
      <c r="I4476" s="128"/>
      <c r="K4476" s="55" t="s">
        <v>9402</v>
      </c>
      <c r="L4476" s="129">
        <v>4.68987666E8</v>
      </c>
      <c r="M4476" s="99">
        <v>0.77</v>
      </c>
    </row>
    <row r="4477">
      <c r="A4477" s="122" t="s">
        <v>9403</v>
      </c>
      <c r="B4477" s="123">
        <v>1002590.0</v>
      </c>
      <c r="C4477" s="124" t="s">
        <v>9404</v>
      </c>
      <c r="D4477" s="125"/>
      <c r="E4477" s="126">
        <v>11.47</v>
      </c>
      <c r="F4477" s="127"/>
      <c r="G4477" s="127"/>
      <c r="H4477" s="127"/>
      <c r="I4477" s="128"/>
      <c r="K4477" s="105" t="str">
        <f>IFERROR(__xludf.DUMMYFUNCTION("if(A4477="""","""",substitute(SUBSTITUTE(index(importhtml(""http://finviz.com/quote.ashx?t=""&amp;A4477,""table"",10),7,2),""*"",""""),""-"",""0.00""))"),"Loading...")</f>
        <v>Loading...</v>
      </c>
      <c r="L4477" s="129">
        <v>4.08208133E8</v>
      </c>
      <c r="M4477" s="99">
        <v>0.52</v>
      </c>
    </row>
    <row r="4478">
      <c r="A4478" s="122" t="s">
        <v>9405</v>
      </c>
      <c r="B4478" s="123">
        <v>1849548.0</v>
      </c>
      <c r="C4478" s="124" t="s">
        <v>9406</v>
      </c>
      <c r="D4478" s="125"/>
      <c r="E4478" s="126">
        <v>11.49</v>
      </c>
      <c r="F4478" s="127"/>
      <c r="G4478" s="127"/>
      <c r="H4478" s="127"/>
      <c r="I4478" s="128"/>
      <c r="K4478" s="105" t="str">
        <f>IFERROR(__xludf.DUMMYFUNCTION("if(A4478="""","""",substitute(SUBSTITUTE(index(importhtml(""http://finviz.com/quote.ashx?t=""&amp;A4478,""table"",10),7,2),""*"",""""),""-"",""0.00""))"),"Loading...")</f>
        <v>Loading...</v>
      </c>
      <c r="L4478" s="129">
        <v>9.547129E7</v>
      </c>
      <c r="M4478" s="99" t="str">
        <f>IFERROR(__xludf.DUMMYFUNCTION("GOOGLEFINANCE(A4478,""beta"")"),"#N/A")</f>
        <v>#N/A</v>
      </c>
    </row>
    <row r="4479">
      <c r="A4479" s="122" t="s">
        <v>9407</v>
      </c>
      <c r="B4479" s="123">
        <v>1841024.0</v>
      </c>
      <c r="C4479" s="124" t="s">
        <v>9408</v>
      </c>
      <c r="D4479" s="125"/>
      <c r="E4479" s="126">
        <v>11.49</v>
      </c>
      <c r="F4479" s="127"/>
      <c r="G4479" s="127"/>
      <c r="H4479" s="127"/>
      <c r="I4479" s="128"/>
      <c r="K4479" s="105" t="str">
        <f>IFERROR(__xludf.DUMMYFUNCTION("if(A4479="""","""",substitute(SUBSTITUTE(index(importhtml(""http://finviz.com/quote.ashx?t=""&amp;A4479,""table"",10),7,2),""*"",""""),""-"",""0.00""))"),"Loading...")</f>
        <v>Loading...</v>
      </c>
      <c r="L4479" s="129">
        <v>3.32593439E8</v>
      </c>
      <c r="M4479" s="99" t="str">
        <f>IFERROR(__xludf.DUMMYFUNCTION("GOOGLEFINANCE(A4479,""beta"")"),"#N/A")</f>
        <v>#N/A</v>
      </c>
    </row>
    <row r="4480">
      <c r="A4480" s="122" t="s">
        <v>9409</v>
      </c>
      <c r="B4480" s="123">
        <v>1086434.0</v>
      </c>
      <c r="C4480" s="124" t="s">
        <v>9410</v>
      </c>
      <c r="D4480" s="125"/>
      <c r="E4480" s="126">
        <v>11.49</v>
      </c>
      <c r="F4480" s="127"/>
      <c r="G4480" s="127"/>
      <c r="H4480" s="127"/>
      <c r="I4480" s="128"/>
      <c r="K4480" s="105" t="str">
        <f>IFERROR(__xludf.DUMMYFUNCTION("if(A4480="""","""",substitute(SUBSTITUTE(index(importhtml(""http://finviz.com/quote.ashx?t=""&amp;A4480,""table"",10),7,2),""*"",""""),""-"",""0.00""))"),"Loading...")</f>
        <v>Loading...</v>
      </c>
      <c r="L4480" s="129">
        <v>3.52572711E8</v>
      </c>
      <c r="M4480" s="99">
        <v>0.75</v>
      </c>
    </row>
    <row r="4481">
      <c r="A4481" s="122" t="s">
        <v>9411</v>
      </c>
      <c r="B4481" s="123">
        <v>1496323.0</v>
      </c>
      <c r="C4481" s="124" t="s">
        <v>9412</v>
      </c>
      <c r="D4481" s="125"/>
      <c r="E4481" s="126">
        <v>11.49</v>
      </c>
      <c r="F4481" s="127"/>
      <c r="G4481" s="127"/>
      <c r="H4481" s="127"/>
      <c r="I4481" s="128"/>
      <c r="K4481" s="105" t="str">
        <f>IFERROR(__xludf.DUMMYFUNCTION("if(A4481="""","""",substitute(SUBSTITUTE(index(importhtml(""http://finviz.com/quote.ashx?t=""&amp;A4481,""table"",10),7,2),""*"",""""),""-"",""0.00""))"),"Loading...")</f>
        <v>Loading...</v>
      </c>
      <c r="L4481" s="129">
        <v>6.70947621E8</v>
      </c>
      <c r="M4481" s="99">
        <v>0.25</v>
      </c>
    </row>
    <row r="4482">
      <c r="A4482" s="122" t="s">
        <v>9413</v>
      </c>
      <c r="B4482" s="123">
        <v>1882963.0</v>
      </c>
      <c r="C4482" s="124" t="s">
        <v>9414</v>
      </c>
      <c r="D4482" s="125"/>
      <c r="E4482" s="126">
        <v>11.5</v>
      </c>
      <c r="F4482" s="127"/>
      <c r="G4482" s="127"/>
      <c r="H4482" s="127"/>
      <c r="I4482" s="128"/>
      <c r="K4482" s="105" t="str">
        <f>IFERROR(__xludf.DUMMYFUNCTION("if(A4482="""","""",substitute(SUBSTITUTE(index(importhtml(""http://finviz.com/quote.ashx?t=""&amp;A4482,""table"",10),7,2),""*"",""""),""-"",""0.00""))"),"Loading...")</f>
        <v>Loading...</v>
      </c>
      <c r="L4482" s="129">
        <v>4.1718889E7</v>
      </c>
      <c r="M4482" s="99" t="str">
        <f>IFERROR(__xludf.DUMMYFUNCTION("GOOGLEFINANCE(A4482,""beta"")"),"#N/A")</f>
        <v>#N/A</v>
      </c>
    </row>
    <row r="4483">
      <c r="A4483" s="122" t="s">
        <v>9415</v>
      </c>
      <c r="B4483" s="123">
        <v>1493225.0</v>
      </c>
      <c r="C4483" s="124" t="s">
        <v>9416</v>
      </c>
      <c r="D4483" s="125"/>
      <c r="E4483" s="126">
        <v>11.5</v>
      </c>
      <c r="F4483" s="127"/>
      <c r="G4483" s="127"/>
      <c r="H4483" s="127"/>
      <c r="I4483" s="128"/>
      <c r="K4483" s="105" t="str">
        <f>IFERROR(__xludf.DUMMYFUNCTION("if(A4483="""","""",substitute(SUBSTITUTE(index(importhtml(""http://finviz.com/quote.ashx?t=""&amp;A4483,""table"",10),7,2),""*"",""""),""-"",""0.00""))"),"Loading...")</f>
        <v>Loading...</v>
      </c>
      <c r="L4483" s="129">
        <v>5.12036695E8</v>
      </c>
      <c r="M4483" s="99">
        <v>0.73</v>
      </c>
    </row>
    <row r="4484">
      <c r="A4484" s="122" t="s">
        <v>9417</v>
      </c>
      <c r="B4484" s="123">
        <v>1894630.0</v>
      </c>
      <c r="C4484" s="124" t="s">
        <v>9418</v>
      </c>
      <c r="D4484" s="125"/>
      <c r="E4484" s="126">
        <v>11.51</v>
      </c>
      <c r="F4484" s="127"/>
      <c r="G4484" s="127"/>
      <c r="H4484" s="127"/>
      <c r="I4484" s="128"/>
      <c r="K4484" s="105" t="str">
        <f>IFERROR(__xludf.DUMMYFUNCTION("if(A4484="""","""",substitute(SUBSTITUTE(index(importhtml(""http://finviz.com/quote.ashx?t=""&amp;A4484,""table"",10),7,2),""*"",""""),""-"",""0.00""))"),"Loading...")</f>
        <v>Loading...</v>
      </c>
      <c r="L4484" s="129">
        <v>2.05149836E8</v>
      </c>
      <c r="M4484" s="99" t="str">
        <f>IFERROR(__xludf.DUMMYFUNCTION("GOOGLEFINANCE(A4484,""beta"")"),"#N/A")</f>
        <v>#N/A</v>
      </c>
    </row>
    <row r="4485">
      <c r="A4485" s="122" t="s">
        <v>9419</v>
      </c>
      <c r="B4485" s="123">
        <v>1053988.0</v>
      </c>
      <c r="C4485" s="124" t="s">
        <v>9420</v>
      </c>
      <c r="D4485" s="125"/>
      <c r="E4485" s="126">
        <v>11.51</v>
      </c>
      <c r="F4485" s="127"/>
      <c r="G4485" s="127"/>
      <c r="H4485" s="127"/>
      <c r="I4485" s="128"/>
      <c r="K4485" s="105" t="str">
        <f>IFERROR(__xludf.DUMMYFUNCTION("if(A4485="""","""",substitute(SUBSTITUTE(index(importhtml(""http://finviz.com/quote.ashx?t=""&amp;A4485,""table"",10),7,2),""*"",""""),""-"",""0.00""))"),"Loading...")</f>
        <v>Loading...</v>
      </c>
      <c r="L4485" s="129">
        <v>6.213829E8</v>
      </c>
      <c r="M4485" s="99">
        <v>0.43</v>
      </c>
    </row>
    <row r="4486">
      <c r="A4486" s="122" t="s">
        <v>9421</v>
      </c>
      <c r="B4486" s="123">
        <v>1000623.0</v>
      </c>
      <c r="C4486" s="124" t="s">
        <v>9422</v>
      </c>
      <c r="D4486" s="125"/>
      <c r="E4486" s="126">
        <v>11.51</v>
      </c>
      <c r="F4486" s="127"/>
      <c r="G4486" s="127"/>
      <c r="H4486" s="127"/>
      <c r="I4486" s="128"/>
      <c r="K4486" s="105" t="str">
        <f>IFERROR(__xludf.DUMMYFUNCTION("if(A4486="""","""",substitute(SUBSTITUTE(index(importhtml(""http://finviz.com/quote.ashx?t=""&amp;A4486,""table"",10),7,2),""*"",""""),""-"",""0.00""))"),"Loading...")</f>
        <v>Loading...</v>
      </c>
      <c r="L4486" s="129">
        <v>6.23849839E8</v>
      </c>
      <c r="M4486" s="99">
        <v>1.01</v>
      </c>
    </row>
    <row r="4487">
      <c r="A4487" s="122" t="s">
        <v>9423</v>
      </c>
      <c r="B4487" s="123">
        <v>1858028.0</v>
      </c>
      <c r="C4487" s="124" t="s">
        <v>9424</v>
      </c>
      <c r="D4487" s="125"/>
      <c r="E4487" s="126">
        <v>11.52</v>
      </c>
      <c r="F4487" s="127"/>
      <c r="G4487" s="127"/>
      <c r="H4487" s="127"/>
      <c r="I4487" s="128"/>
      <c r="K4487" s="105" t="str">
        <f>IFERROR(__xludf.DUMMYFUNCTION("if(A4487="""","""",substitute(SUBSTITUTE(index(importhtml(""http://finviz.com/quote.ashx?t=""&amp;A4487,""table"",10),7,2),""*"",""""),""-"",""0.00""))"),"Loading...")</f>
        <v>Loading...</v>
      </c>
      <c r="L4487" s="129">
        <v>4.114497E7</v>
      </c>
      <c r="M4487" s="99" t="str">
        <f>IFERROR(__xludf.DUMMYFUNCTION("GOOGLEFINANCE(A4487,""beta"")"),"#N/A")</f>
        <v>#N/A</v>
      </c>
    </row>
    <row r="4488">
      <c r="A4488" s="122" t="s">
        <v>9425</v>
      </c>
      <c r="B4488" s="123">
        <v>1837344.0</v>
      </c>
      <c r="C4488" s="124" t="s">
        <v>9426</v>
      </c>
      <c r="D4488" s="125"/>
      <c r="E4488" s="126">
        <v>11.53</v>
      </c>
      <c r="F4488" s="127"/>
      <c r="G4488" s="127"/>
      <c r="H4488" s="127"/>
      <c r="I4488" s="128"/>
      <c r="K4488" s="105" t="str">
        <f>IFERROR(__xludf.DUMMYFUNCTION("if(A4488="""","""",substitute(SUBSTITUTE(index(importhtml(""http://finviz.com/quote.ashx?t=""&amp;A4488,""table"",10),7,2),""*"",""""),""-"",""0.00""))"),"Loading...")</f>
        <v>Loading...</v>
      </c>
      <c r="L4488" s="129">
        <v>5.344707E7</v>
      </c>
      <c r="M4488" s="99" t="str">
        <f>IFERROR(__xludf.DUMMYFUNCTION("GOOGLEFINANCE(A4488,""beta"")"),"#N/A")</f>
        <v>#N/A</v>
      </c>
    </row>
    <row r="4489">
      <c r="A4489" s="122" t="s">
        <v>9427</v>
      </c>
      <c r="B4489" s="123">
        <v>1865111.0</v>
      </c>
      <c r="C4489" s="124" t="s">
        <v>9428</v>
      </c>
      <c r="D4489" s="125"/>
      <c r="E4489" s="126">
        <v>11.53</v>
      </c>
      <c r="F4489" s="127"/>
      <c r="G4489" s="127"/>
      <c r="H4489" s="127"/>
      <c r="I4489" s="128"/>
      <c r="K4489" s="105" t="str">
        <f>IFERROR(__xludf.DUMMYFUNCTION("if(A4489="""","""",substitute(SUBSTITUTE(index(importhtml(""http://finviz.com/quote.ashx?t=""&amp;A4489,""table"",10),7,2),""*"",""""),""-"",""0.00""))"),"Loading...")</f>
        <v>Loading...</v>
      </c>
      <c r="L4489" s="129">
        <v>1.00492571E8</v>
      </c>
      <c r="M4489" s="99" t="str">
        <f>IFERROR(__xludf.DUMMYFUNCTION("GOOGLEFINANCE(A4489,""beta"")"),"#N/A")</f>
        <v>#N/A</v>
      </c>
    </row>
    <row r="4490">
      <c r="A4490" s="122" t="s">
        <v>9429</v>
      </c>
      <c r="B4490" s="123">
        <v>1895249.0</v>
      </c>
      <c r="C4490" s="124" t="s">
        <v>9430</v>
      </c>
      <c r="D4490" s="125"/>
      <c r="E4490" s="126">
        <v>11.54</v>
      </c>
      <c r="F4490" s="127"/>
      <c r="G4490" s="127"/>
      <c r="H4490" s="127"/>
      <c r="I4490" s="128"/>
      <c r="K4490" s="105" t="str">
        <f>IFERROR(__xludf.DUMMYFUNCTION("if(A4490="""","""",substitute(SUBSTITUTE(index(importhtml(""http://finviz.com/quote.ashx?t=""&amp;A4490,""table"",10),7,2),""*"",""""),""-"",""0.00""))"),"Loading...")</f>
        <v>Loading...</v>
      </c>
      <c r="L4490" s="129">
        <v>2.07455102E8</v>
      </c>
      <c r="M4490" s="99" t="str">
        <f>IFERROR(__xludf.DUMMYFUNCTION("GOOGLEFINANCE(A4490,""beta"")"),"#N/A")</f>
        <v>#N/A</v>
      </c>
    </row>
    <row r="4491">
      <c r="A4491" s="122" t="s">
        <v>9431</v>
      </c>
      <c r="B4491" s="123">
        <v>858707.0</v>
      </c>
      <c r="C4491" s="124" t="s">
        <v>9432</v>
      </c>
      <c r="D4491" s="125"/>
      <c r="E4491" s="126">
        <v>11.54</v>
      </c>
      <c r="F4491" s="127"/>
      <c r="G4491" s="127"/>
      <c r="H4491" s="127"/>
      <c r="I4491" s="128"/>
      <c r="K4491" s="105" t="str">
        <f>IFERROR(__xludf.DUMMYFUNCTION("if(A4491="""","""",substitute(SUBSTITUTE(index(importhtml(""http://finviz.com/quote.ashx?t=""&amp;A4491,""table"",10),7,2),""*"",""""),""-"",""0.00""))"),"Loading...")</f>
        <v>Loading...</v>
      </c>
      <c r="L4491" s="129" t="e">
        <v>#N/A</v>
      </c>
      <c r="M4491" s="99" t="str">
        <f>IFERROR(__xludf.DUMMYFUNCTION("GOOGLEFINANCE(A4491,""beta"")"),"#N/A")</f>
        <v>#N/A</v>
      </c>
    </row>
    <row r="4492">
      <c r="A4492" s="122" t="s">
        <v>9433</v>
      </c>
      <c r="B4492" s="123">
        <v>1882963.0</v>
      </c>
      <c r="C4492" s="124" t="s">
        <v>9434</v>
      </c>
      <c r="D4492" s="125"/>
      <c r="E4492" s="126">
        <v>11.55</v>
      </c>
      <c r="F4492" s="127"/>
      <c r="G4492" s="127"/>
      <c r="H4492" s="127"/>
      <c r="I4492" s="128"/>
      <c r="K4492" s="55" t="s">
        <v>1034</v>
      </c>
      <c r="L4492" s="129">
        <v>4.1718889E7</v>
      </c>
      <c r="M4492" s="99" t="str">
        <f>IFERROR(__xludf.DUMMYFUNCTION("GOOGLEFINANCE(A4492,""beta"")"),"#N/A")</f>
        <v>#N/A</v>
      </c>
    </row>
    <row r="4493">
      <c r="A4493" s="122" t="s">
        <v>9435</v>
      </c>
      <c r="B4493" s="123">
        <v>1546429.0</v>
      </c>
      <c r="C4493" s="124" t="s">
        <v>9436</v>
      </c>
      <c r="D4493" s="125"/>
      <c r="E4493" s="126">
        <v>11.55</v>
      </c>
      <c r="F4493" s="127"/>
      <c r="G4493" s="127"/>
      <c r="H4493" s="127"/>
      <c r="I4493" s="128"/>
      <c r="K4493" s="55" t="s">
        <v>8310</v>
      </c>
      <c r="L4493" s="129">
        <v>5.15842643E8</v>
      </c>
      <c r="M4493" s="99">
        <v>0.62</v>
      </c>
    </row>
    <row r="4494">
      <c r="A4494" s="122" t="s">
        <v>9437</v>
      </c>
      <c r="B4494" s="123">
        <v>1675192.0</v>
      </c>
      <c r="C4494" s="124" t="s">
        <v>9438</v>
      </c>
      <c r="D4494" s="125"/>
      <c r="E4494" s="126">
        <v>11.55</v>
      </c>
      <c r="F4494" s="127"/>
      <c r="G4494" s="127"/>
      <c r="H4494" s="127"/>
      <c r="I4494" s="128"/>
      <c r="K4494" s="105" t="str">
        <f>IFERROR(__xludf.DUMMYFUNCTION("if(A4494="""","""",substitute(SUBSTITUTE(index(importhtml(""http://finviz.com/quote.ashx?t=""&amp;A4494,""table"",10),7,2),""*"",""""),""-"",""0.00""))"),"Loading...")</f>
        <v>Loading...</v>
      </c>
      <c r="L4494" s="129">
        <v>2.958424E7</v>
      </c>
      <c r="M4494" s="99">
        <v>0.29</v>
      </c>
    </row>
    <row r="4495">
      <c r="A4495" s="122" t="s">
        <v>9439</v>
      </c>
      <c r="B4495" s="123">
        <v>1035092.0</v>
      </c>
      <c r="C4495" s="124" t="s">
        <v>9440</v>
      </c>
      <c r="D4495" s="125"/>
      <c r="E4495" s="126">
        <v>11.56</v>
      </c>
      <c r="F4495" s="127"/>
      <c r="G4495" s="127"/>
      <c r="H4495" s="127"/>
      <c r="I4495" s="128"/>
      <c r="K4495" s="105" t="str">
        <f>IFERROR(__xludf.DUMMYFUNCTION("if(A4495="""","""",substitute(SUBSTITUTE(index(importhtml(""http://finviz.com/quote.ashx?t=""&amp;A4495,""table"",10),7,2),""*"",""""),""-"",""0.00""))"),"Loading...")</f>
        <v>Loading...</v>
      </c>
      <c r="L4495" s="129">
        <v>3.8316419E8</v>
      </c>
      <c r="M4495" s="99">
        <v>0.97</v>
      </c>
    </row>
    <row r="4496">
      <c r="A4496" s="122" t="s">
        <v>9441</v>
      </c>
      <c r="B4496" s="123">
        <v>1195738.0</v>
      </c>
      <c r="C4496" s="124" t="s">
        <v>9442</v>
      </c>
      <c r="D4496" s="125"/>
      <c r="E4496" s="126">
        <v>11.56</v>
      </c>
      <c r="F4496" s="127"/>
      <c r="G4496" s="127"/>
      <c r="H4496" s="127"/>
      <c r="I4496" s="128"/>
      <c r="K4496" s="105" t="str">
        <f>IFERROR(__xludf.DUMMYFUNCTION("if(A4496="""","""",substitute(SUBSTITUTE(index(importhtml(""http://finviz.com/quote.ashx?t=""&amp;A4496,""table"",10),7,2),""*"",""""),""-"",""0.00""))"),"Loading...")</f>
        <v>Loading...</v>
      </c>
      <c r="L4496" s="129">
        <v>5.49335034E8</v>
      </c>
      <c r="M4496" s="99">
        <v>0.47</v>
      </c>
    </row>
    <row r="4497">
      <c r="A4497" s="122" t="s">
        <v>9443</v>
      </c>
      <c r="B4497" s="123">
        <v>1585855.0</v>
      </c>
      <c r="C4497" s="124" t="s">
        <v>9444</v>
      </c>
      <c r="D4497" s="125"/>
      <c r="E4497" s="126">
        <v>11.59</v>
      </c>
      <c r="F4497" s="127"/>
      <c r="G4497" s="127"/>
      <c r="H4497" s="127"/>
      <c r="I4497" s="128"/>
      <c r="K4497" s="55" t="s">
        <v>9445</v>
      </c>
      <c r="L4497" s="129">
        <v>9.9895126E7</v>
      </c>
      <c r="M4497" s="99">
        <v>1.37</v>
      </c>
    </row>
    <row r="4498">
      <c r="A4498" s="122" t="s">
        <v>9446</v>
      </c>
      <c r="B4498" s="123">
        <v>1725160.0</v>
      </c>
      <c r="C4498" s="124" t="s">
        <v>9447</v>
      </c>
      <c r="D4498" s="125"/>
      <c r="E4498" s="126">
        <v>11.59</v>
      </c>
      <c r="F4498" s="127"/>
      <c r="G4498" s="127"/>
      <c r="H4498" s="127"/>
      <c r="I4498" s="128"/>
      <c r="K4498" s="105" t="str">
        <f>IFERROR(__xludf.DUMMYFUNCTION("if(A4498="""","""",substitute(SUBSTITUTE(index(importhtml(""http://finviz.com/quote.ashx?t=""&amp;A4498,""table"",10),7,2),""*"",""""),""-"",""0.00""))"),"Loading...")</f>
        <v>Loading...</v>
      </c>
      <c r="L4498" s="129">
        <v>8.20175169E8</v>
      </c>
      <c r="M4498" s="99">
        <v>1.65</v>
      </c>
    </row>
    <row r="4499">
      <c r="A4499" s="122" t="s">
        <v>9448</v>
      </c>
      <c r="B4499" s="123">
        <v>1664703.0</v>
      </c>
      <c r="C4499" s="124" t="s">
        <v>9449</v>
      </c>
      <c r="D4499" s="125"/>
      <c r="E4499" s="126">
        <v>11.6</v>
      </c>
      <c r="F4499" s="127"/>
      <c r="G4499" s="127"/>
      <c r="H4499" s="127"/>
      <c r="I4499" s="128"/>
      <c r="K4499" s="55" t="s">
        <v>1034</v>
      </c>
      <c r="L4499" s="129">
        <v>2.598965005E9</v>
      </c>
      <c r="M4499" s="99">
        <v>2.91</v>
      </c>
    </row>
    <row r="4500">
      <c r="A4500" s="122" t="s">
        <v>9450</v>
      </c>
      <c r="B4500" s="123">
        <v>1879373.0</v>
      </c>
      <c r="C4500" s="124" t="s">
        <v>9451</v>
      </c>
      <c r="D4500" s="125"/>
      <c r="E4500" s="126">
        <v>11.6</v>
      </c>
      <c r="F4500" s="127"/>
      <c r="G4500" s="127"/>
      <c r="H4500" s="127"/>
      <c r="I4500" s="128"/>
      <c r="K4500" s="105" t="str">
        <f>IFERROR(__xludf.DUMMYFUNCTION("if(A4500="""","""",substitute(SUBSTITUTE(index(importhtml(""http://finviz.com/quote.ashx?t=""&amp;A4500,""table"",10),7,2),""*"",""""),""-"",""0.00""))"),"Loading...")</f>
        <v>Loading...</v>
      </c>
      <c r="L4500" s="129">
        <v>4.7446756E7</v>
      </c>
      <c r="M4500" s="99" t="str">
        <f>IFERROR(__xludf.DUMMYFUNCTION("GOOGLEFINANCE(A4500,""beta"")"),"#N/A")</f>
        <v>#N/A</v>
      </c>
    </row>
    <row r="4501">
      <c r="A4501" s="122" t="s">
        <v>9452</v>
      </c>
      <c r="B4501" s="123">
        <v>1341318.0</v>
      </c>
      <c r="C4501" s="124" t="s">
        <v>9453</v>
      </c>
      <c r="D4501" s="125"/>
      <c r="E4501" s="126">
        <v>11.6</v>
      </c>
      <c r="F4501" s="127"/>
      <c r="G4501" s="127"/>
      <c r="H4501" s="127"/>
      <c r="I4501" s="128"/>
      <c r="K4501" s="105" t="str">
        <f>IFERROR(__xludf.DUMMYFUNCTION("if(A4501="""","""",substitute(SUBSTITUTE(index(importhtml(""http://finviz.com/quote.ashx?t=""&amp;A4501,""table"",10),7,2),""*"",""""),""-"",""0.00""))"),"Loading...")</f>
        <v>Loading...</v>
      </c>
      <c r="L4501" s="129">
        <v>6.6013003E7</v>
      </c>
      <c r="M4501" s="99">
        <v>0.56</v>
      </c>
    </row>
    <row r="4502">
      <c r="A4502" s="122" t="s">
        <v>9454</v>
      </c>
      <c r="B4502" s="123">
        <v>1900679.0</v>
      </c>
      <c r="C4502" s="124" t="s">
        <v>9455</v>
      </c>
      <c r="D4502" s="125"/>
      <c r="E4502" s="126">
        <v>11.6</v>
      </c>
      <c r="F4502" s="127"/>
      <c r="G4502" s="127"/>
      <c r="H4502" s="127"/>
      <c r="I4502" s="128"/>
      <c r="K4502" s="105" t="str">
        <f>IFERROR(__xludf.DUMMYFUNCTION("if(A4502="""","""",substitute(SUBSTITUTE(index(importhtml(""http://finviz.com/quote.ashx?t=""&amp;A4502,""table"",10),7,2),""*"",""""),""-"",""0.00""))"),"Loading...")</f>
        <v>Loading...</v>
      </c>
      <c r="L4502" s="129">
        <v>7.4056815E7</v>
      </c>
      <c r="M4502" s="99" t="str">
        <f>IFERROR(__xludf.DUMMYFUNCTION("GOOGLEFINANCE(A4502,""beta"")"),"#N/A")</f>
        <v>#N/A</v>
      </c>
    </row>
    <row r="4503">
      <c r="A4503" s="122" t="s">
        <v>9456</v>
      </c>
      <c r="B4503" s="123">
        <v>1228454.0</v>
      </c>
      <c r="C4503" s="124" t="s">
        <v>9457</v>
      </c>
      <c r="D4503" s="125"/>
      <c r="E4503" s="126">
        <v>11.6</v>
      </c>
      <c r="F4503" s="127"/>
      <c r="G4503" s="127"/>
      <c r="H4503" s="127"/>
      <c r="I4503" s="128"/>
      <c r="K4503" s="105" t="str">
        <f>IFERROR(__xludf.DUMMYFUNCTION("if(A4503="""","""",substitute(SUBSTITUTE(index(importhtml(""http://finviz.com/quote.ashx?t=""&amp;A4503,""table"",10),7,2),""*"",""""),""-"",""0.00""))"),"Loading...")</f>
        <v>Loading...</v>
      </c>
      <c r="L4503" s="129">
        <v>1.95436806E8</v>
      </c>
      <c r="M4503" s="99">
        <v>0.64</v>
      </c>
    </row>
    <row r="4504">
      <c r="A4504" s="122" t="s">
        <v>9458</v>
      </c>
      <c r="B4504" s="123">
        <v>1528985.0</v>
      </c>
      <c r="C4504" s="124" t="s">
        <v>9459</v>
      </c>
      <c r="D4504" s="125"/>
      <c r="E4504" s="126">
        <v>11.6</v>
      </c>
      <c r="F4504" s="127"/>
      <c r="G4504" s="127"/>
      <c r="H4504" s="127"/>
      <c r="I4504" s="128"/>
      <c r="K4504" s="105" t="str">
        <f>IFERROR(__xludf.DUMMYFUNCTION("if(A4504="""","""",substitute(SUBSTITUTE(index(importhtml(""http://finviz.com/quote.ashx?t=""&amp;A4504,""table"",10),7,2),""*"",""""),""-"",""0.00""))"),"Loading...")</f>
        <v>Loading...</v>
      </c>
      <c r="L4504" s="129">
        <v>4.196106E8</v>
      </c>
      <c r="M4504" s="99" t="str">
        <f>IFERROR(__xludf.DUMMYFUNCTION("GOOGLEFINANCE(A4504,""beta"")"),"#N/A")</f>
        <v>#N/A</v>
      </c>
    </row>
    <row r="4505">
      <c r="A4505" s="122" t="s">
        <v>9460</v>
      </c>
      <c r="B4505" s="123">
        <v>1840572.0</v>
      </c>
      <c r="C4505" s="124" t="s">
        <v>9461</v>
      </c>
      <c r="D4505" s="125"/>
      <c r="E4505" s="126">
        <v>11.6</v>
      </c>
      <c r="F4505" s="127"/>
      <c r="G4505" s="127"/>
      <c r="H4505" s="127"/>
      <c r="I4505" s="128"/>
      <c r="K4505" s="105" t="str">
        <f>IFERROR(__xludf.DUMMYFUNCTION("if(A4505="""","""",substitute(SUBSTITUTE(index(importhtml(""http://finviz.com/quote.ashx?t=""&amp;A4505,""table"",10),7,2),""*"",""""),""-"",""0.00""))"),"Loading...")</f>
        <v>Loading...</v>
      </c>
      <c r="L4505" s="129">
        <v>1.754937377E9</v>
      </c>
      <c r="M4505" s="99" t="str">
        <f>IFERROR(__xludf.DUMMYFUNCTION("GOOGLEFINANCE(A4505,""beta"")"),"#N/A")</f>
        <v>#N/A</v>
      </c>
    </row>
    <row r="4506">
      <c r="A4506" s="122" t="s">
        <v>9462</v>
      </c>
      <c r="B4506" s="123">
        <v>895728.0</v>
      </c>
      <c r="C4506" s="124" t="s">
        <v>9463</v>
      </c>
      <c r="D4506" s="125"/>
      <c r="E4506" s="126">
        <v>11.6</v>
      </c>
      <c r="F4506" s="127"/>
      <c r="G4506" s="127"/>
      <c r="H4506" s="127"/>
      <c r="I4506" s="128"/>
      <c r="K4506" s="105" t="str">
        <f>IFERROR(__xludf.DUMMYFUNCTION("if(A4506="""","""",substitute(SUBSTITUTE(index(importhtml(""http://finviz.com/quote.ashx?t=""&amp;A4506,""table"",10),7,2),""*"",""""),""-"",""0.00""))"),"Loading...")</f>
        <v>Loading...</v>
      </c>
      <c r="L4506" s="129">
        <v>7.4962372379E10</v>
      </c>
      <c r="M4506" s="99" t="str">
        <f>IFERROR(__xludf.DUMMYFUNCTION("GOOGLEFINANCE(A4506,""beta"")"),"#N/A")</f>
        <v>#N/A</v>
      </c>
    </row>
    <row r="4507">
      <c r="A4507" s="122" t="s">
        <v>9464</v>
      </c>
      <c r="B4507" s="123">
        <v>1799208.0</v>
      </c>
      <c r="C4507" s="124" t="s">
        <v>9465</v>
      </c>
      <c r="D4507" s="125"/>
      <c r="E4507" s="126">
        <v>11.61</v>
      </c>
      <c r="F4507" s="127"/>
      <c r="G4507" s="127"/>
      <c r="H4507" s="127"/>
      <c r="I4507" s="128"/>
      <c r="K4507" s="55" t="s">
        <v>5049</v>
      </c>
      <c r="L4507" s="129">
        <v>5.096319644E9</v>
      </c>
      <c r="M4507" s="99">
        <v>1.2</v>
      </c>
    </row>
    <row r="4508">
      <c r="A4508" s="122" t="s">
        <v>9466</v>
      </c>
      <c r="B4508" s="123">
        <v>1864032.0</v>
      </c>
      <c r="C4508" s="124" t="s">
        <v>9467</v>
      </c>
      <c r="D4508" s="125"/>
      <c r="E4508" s="126">
        <v>11.61</v>
      </c>
      <c r="F4508" s="127"/>
      <c r="G4508" s="127"/>
      <c r="H4508" s="127"/>
      <c r="I4508" s="128"/>
      <c r="K4508" s="105" t="str">
        <f>IFERROR(__xludf.DUMMYFUNCTION("if(A4508="""","""",substitute(SUBSTITUTE(index(importhtml(""http://finviz.com/quote.ashx?t=""&amp;A4508,""table"",10),7,2),""*"",""""),""-"",""0.00""))"),"Loading...")</f>
        <v>Loading...</v>
      </c>
      <c r="L4508" s="129">
        <v>1.13999996E8</v>
      </c>
      <c r="M4508" s="99" t="str">
        <f>IFERROR(__xludf.DUMMYFUNCTION("GOOGLEFINANCE(A4508,""beta"")"),"#N/A")</f>
        <v>#N/A</v>
      </c>
    </row>
    <row r="4509">
      <c r="A4509" s="122" t="s">
        <v>9468</v>
      </c>
      <c r="B4509" s="123">
        <v>1865468.0</v>
      </c>
      <c r="C4509" s="124" t="s">
        <v>9469</v>
      </c>
      <c r="D4509" s="125"/>
      <c r="E4509" s="126">
        <v>11.62</v>
      </c>
      <c r="F4509" s="127"/>
      <c r="G4509" s="127"/>
      <c r="H4509" s="127"/>
      <c r="I4509" s="128"/>
      <c r="K4509" s="105" t="str">
        <f>IFERROR(__xludf.DUMMYFUNCTION("if(A4509="""","""",substitute(SUBSTITUTE(index(importhtml(""http://finviz.com/quote.ashx?t=""&amp;A4509,""table"",10),7,2),""*"",""""),""-"",""0.00""))"),"Loading...")</f>
        <v>Loading...</v>
      </c>
      <c r="L4509" s="129">
        <v>5.154584E7</v>
      </c>
      <c r="M4509" s="99" t="str">
        <f>IFERROR(__xludf.DUMMYFUNCTION("GOOGLEFINANCE(A4509,""beta"")"),"#N/A")</f>
        <v>#N/A</v>
      </c>
    </row>
    <row r="4510">
      <c r="A4510" s="122" t="s">
        <v>9470</v>
      </c>
      <c r="B4510" s="123">
        <v>1599901.0</v>
      </c>
      <c r="C4510" s="124" t="s">
        <v>9471</v>
      </c>
      <c r="D4510" s="125"/>
      <c r="E4510" s="126">
        <v>11.63</v>
      </c>
      <c r="F4510" s="127"/>
      <c r="G4510" s="127"/>
      <c r="H4510" s="127"/>
      <c r="I4510" s="128"/>
      <c r="K4510" s="105" t="str">
        <f>IFERROR(__xludf.DUMMYFUNCTION("if(A4510="""","""",substitute(SUBSTITUTE(index(importhtml(""http://finviz.com/quote.ashx?t=""&amp;A4510,""table"",10),7,2),""*"",""""),""-"",""0.00""))"),"Loading...")</f>
        <v>Loading...</v>
      </c>
      <c r="L4510" s="129">
        <v>8.61797545E8</v>
      </c>
      <c r="M4510" s="99">
        <v>0.55</v>
      </c>
    </row>
    <row r="4511">
      <c r="A4511" s="122" t="s">
        <v>9472</v>
      </c>
      <c r="B4511" s="123">
        <v>1851182.0</v>
      </c>
      <c r="C4511" s="124" t="s">
        <v>9473</v>
      </c>
      <c r="D4511" s="125"/>
      <c r="E4511" s="126">
        <v>11.64</v>
      </c>
      <c r="F4511" s="127"/>
      <c r="G4511" s="127"/>
      <c r="H4511" s="127"/>
      <c r="I4511" s="128"/>
      <c r="K4511" s="105" t="str">
        <f>IFERROR(__xludf.DUMMYFUNCTION("if(A4511="""","""",substitute(SUBSTITUTE(index(importhtml(""http://finviz.com/quote.ashx?t=""&amp;A4511,""table"",10),7,2),""*"",""""),""-"",""0.00""))"),"Loading...")</f>
        <v>Loading...</v>
      </c>
      <c r="L4511" s="129">
        <v>1.090024E7</v>
      </c>
      <c r="M4511" s="99" t="str">
        <f>IFERROR(__xludf.DUMMYFUNCTION("GOOGLEFINANCE(A4511,""beta"")"),"#N/A")</f>
        <v>#N/A</v>
      </c>
    </row>
    <row r="4512">
      <c r="A4512" s="122" t="s">
        <v>9474</v>
      </c>
      <c r="B4512" s="123">
        <v>1705181.0</v>
      </c>
      <c r="C4512" s="124" t="s">
        <v>9475</v>
      </c>
      <c r="D4512" s="125"/>
      <c r="E4512" s="126">
        <v>11.64</v>
      </c>
      <c r="F4512" s="127"/>
      <c r="G4512" s="127"/>
      <c r="H4512" s="127"/>
      <c r="I4512" s="128"/>
      <c r="K4512" s="105" t="str">
        <f>IFERROR(__xludf.DUMMYFUNCTION("if(A4512="""","""",substitute(SUBSTITUTE(index(importhtml(""http://finviz.com/quote.ashx?t=""&amp;A4512,""table"",10),7,2),""*"",""""),""-"",""0.00""))"),"Loading...")</f>
        <v>Loading...</v>
      </c>
      <c r="L4512" s="129">
        <v>1.62860482E8</v>
      </c>
      <c r="M4512" s="99">
        <v>2.73</v>
      </c>
    </row>
    <row r="4513">
      <c r="A4513" s="122" t="s">
        <v>9476</v>
      </c>
      <c r="B4513" s="123">
        <v>1375340.0</v>
      </c>
      <c r="C4513" s="124" t="s">
        <v>9477</v>
      </c>
      <c r="D4513" s="125"/>
      <c r="E4513" s="126">
        <v>11.65</v>
      </c>
      <c r="F4513" s="127"/>
      <c r="G4513" s="127"/>
      <c r="H4513" s="127"/>
      <c r="I4513" s="128"/>
      <c r="K4513" s="55" t="s">
        <v>6671</v>
      </c>
      <c r="L4513" s="129">
        <v>3.20045644E8</v>
      </c>
      <c r="M4513" s="99">
        <v>1.15</v>
      </c>
    </row>
    <row r="4514">
      <c r="A4514" s="122" t="s">
        <v>9478</v>
      </c>
      <c r="B4514" s="123">
        <v>84112.0</v>
      </c>
      <c r="C4514" s="124" t="s">
        <v>9479</v>
      </c>
      <c r="D4514" s="125"/>
      <c r="E4514" s="126">
        <v>11.65</v>
      </c>
      <c r="F4514" s="127"/>
      <c r="G4514" s="127"/>
      <c r="H4514" s="127"/>
      <c r="I4514" s="128"/>
      <c r="K4514" s="105" t="str">
        <f>IFERROR(__xludf.DUMMYFUNCTION("if(A4514="""","""",substitute(SUBSTITUTE(index(importhtml(""http://finviz.com/quote.ashx?t=""&amp;A4514,""table"",10),7,2),""*"",""""),""-"",""0.00""))"),"Loading...")</f>
        <v>Loading...</v>
      </c>
      <c r="L4514" s="129">
        <v>5.708651E7</v>
      </c>
      <c r="M4514" s="99">
        <v>0.37</v>
      </c>
    </row>
    <row r="4515">
      <c r="A4515" s="122" t="s">
        <v>9480</v>
      </c>
      <c r="B4515" s="123">
        <v>1587987.0</v>
      </c>
      <c r="C4515" s="124" t="s">
        <v>9481</v>
      </c>
      <c r="D4515" s="125"/>
      <c r="E4515" s="126">
        <v>11.65</v>
      </c>
      <c r="F4515" s="127"/>
      <c r="G4515" s="127"/>
      <c r="H4515" s="127"/>
      <c r="I4515" s="128"/>
      <c r="K4515" s="105" t="str">
        <f>IFERROR(__xludf.DUMMYFUNCTION("if(A4515="""","""",substitute(SUBSTITUTE(index(importhtml(""http://finviz.com/quote.ashx?t=""&amp;A4515,""table"",10),7,2),""*"",""""),""-"",""0.00""))"),"Loading...")</f>
        <v>Loading...</v>
      </c>
      <c r="L4515" s="129">
        <v>2.87151287E8</v>
      </c>
      <c r="M4515" s="99">
        <v>1.19</v>
      </c>
    </row>
    <row r="4516">
      <c r="A4516" s="122" t="s">
        <v>9482</v>
      </c>
      <c r="B4516" s="123">
        <v>1222719.0</v>
      </c>
      <c r="C4516" s="124" t="s">
        <v>9483</v>
      </c>
      <c r="D4516" s="125"/>
      <c r="E4516" s="126">
        <v>11.66</v>
      </c>
      <c r="F4516" s="127"/>
      <c r="G4516" s="127"/>
      <c r="H4516" s="127"/>
      <c r="I4516" s="128"/>
      <c r="K4516" s="55" t="s">
        <v>789</v>
      </c>
      <c r="L4516" s="129">
        <v>8.86263062E8</v>
      </c>
      <c r="M4516" s="99">
        <v>1.19</v>
      </c>
    </row>
    <row r="4517">
      <c r="A4517" s="122" t="s">
        <v>9484</v>
      </c>
      <c r="B4517" s="123">
        <v>1494530.0</v>
      </c>
      <c r="C4517" s="124" t="s">
        <v>9485</v>
      </c>
      <c r="D4517" s="125"/>
      <c r="E4517" s="126">
        <v>11.66</v>
      </c>
      <c r="F4517" s="127"/>
      <c r="G4517" s="127"/>
      <c r="H4517" s="127"/>
      <c r="I4517" s="128"/>
      <c r="K4517" s="55" t="s">
        <v>9486</v>
      </c>
      <c r="L4517" s="129">
        <v>3.88173171E8</v>
      </c>
      <c r="M4517" s="99">
        <v>0.75</v>
      </c>
    </row>
    <row r="4518">
      <c r="A4518" s="122" t="s">
        <v>9487</v>
      </c>
      <c r="B4518" s="123">
        <v>1858028.0</v>
      </c>
      <c r="C4518" s="124" t="s">
        <v>9488</v>
      </c>
      <c r="D4518" s="125"/>
      <c r="E4518" s="126">
        <v>11.66</v>
      </c>
      <c r="F4518" s="127"/>
      <c r="G4518" s="127"/>
      <c r="H4518" s="127"/>
      <c r="I4518" s="128"/>
      <c r="K4518" s="105" t="str">
        <f>IFERROR(__xludf.DUMMYFUNCTION("if(A4518="""","""",substitute(SUBSTITUTE(index(importhtml(""http://finviz.com/quote.ashx?t=""&amp;A4518,""table"",10),7,2),""*"",""""),""-"",""0.00""))"),"Loading...")</f>
        <v>Loading...</v>
      </c>
      <c r="L4518" s="129">
        <v>4.114497E7</v>
      </c>
      <c r="M4518" s="99" t="str">
        <f>IFERROR(__xludf.DUMMYFUNCTION("GOOGLEFINANCE(A4518,""beta"")"),"#N/A")</f>
        <v>#N/A</v>
      </c>
    </row>
    <row r="4519">
      <c r="A4519" s="122" t="s">
        <v>9489</v>
      </c>
      <c r="B4519" s="123">
        <v>1835597.0</v>
      </c>
      <c r="C4519" s="124" t="s">
        <v>9490</v>
      </c>
      <c r="D4519" s="125"/>
      <c r="E4519" s="126">
        <v>11.66</v>
      </c>
      <c r="F4519" s="127"/>
      <c r="G4519" s="127"/>
      <c r="H4519" s="127"/>
      <c r="I4519" s="128"/>
      <c r="K4519" s="105" t="str">
        <f>IFERROR(__xludf.DUMMYFUNCTION("if(A4519="""","""",substitute(SUBSTITUTE(index(importhtml(""http://finviz.com/quote.ashx?t=""&amp;A4519,""table"",10),7,2),""*"",""""),""-"",""0.00""))"),"Loading...")</f>
        <v>Loading...</v>
      </c>
      <c r="L4519" s="129">
        <v>2.77665872E8</v>
      </c>
      <c r="M4519" s="99">
        <f>IFERROR(__xludf.DUMMYFUNCTION("GOOGLEFINANCE(A4519,""beta"")"),1.95)</f>
        <v>1.95</v>
      </c>
    </row>
    <row r="4520">
      <c r="A4520" s="122" t="s">
        <v>9491</v>
      </c>
      <c r="B4520" s="123">
        <v>1511337.0</v>
      </c>
      <c r="C4520" s="124" t="s">
        <v>9492</v>
      </c>
      <c r="D4520" s="125"/>
      <c r="E4520" s="126">
        <v>11.66</v>
      </c>
      <c r="F4520" s="127"/>
      <c r="G4520" s="127"/>
      <c r="H4520" s="127"/>
      <c r="I4520" s="128"/>
      <c r="K4520" s="105" t="str">
        <f>IFERROR(__xludf.DUMMYFUNCTION("if(A4520="""","""",substitute(SUBSTITUTE(index(importhtml(""http://finviz.com/quote.ashx?t=""&amp;A4520,""table"",10),7,2),""*"",""""),""-"",""0.00""))"),"Loading...")</f>
        <v>Loading...</v>
      </c>
      <c r="L4520" s="129">
        <v>1.817144514E9</v>
      </c>
      <c r="M4520" s="99">
        <v>1.73</v>
      </c>
    </row>
    <row r="4521">
      <c r="A4521" s="122" t="s">
        <v>9493</v>
      </c>
      <c r="B4521" s="123">
        <v>1785424.0</v>
      </c>
      <c r="C4521" s="124" t="s">
        <v>9494</v>
      </c>
      <c r="D4521" s="125"/>
      <c r="E4521" s="126">
        <v>11.68</v>
      </c>
      <c r="F4521" s="127"/>
      <c r="G4521" s="127"/>
      <c r="H4521" s="127"/>
      <c r="I4521" s="128"/>
      <c r="K4521" s="105" t="str">
        <f>IFERROR(__xludf.DUMMYFUNCTION("if(A4521="""","""",substitute(SUBSTITUTE(index(importhtml(""http://finviz.com/quote.ashx?t=""&amp;A4521,""table"",10),7,2),""*"",""""),""-"",""0.00""))"),"Loading...")</f>
        <v>Loading...</v>
      </c>
      <c r="L4521" s="129">
        <v>4.7481245E7</v>
      </c>
      <c r="M4521" s="99">
        <v>1.06</v>
      </c>
    </row>
    <row r="4522">
      <c r="A4522" s="122" t="s">
        <v>9495</v>
      </c>
      <c r="B4522" s="123">
        <v>1883983.0</v>
      </c>
      <c r="C4522" s="124" t="s">
        <v>9496</v>
      </c>
      <c r="D4522" s="125"/>
      <c r="E4522" s="126">
        <v>11.68</v>
      </c>
      <c r="F4522" s="127"/>
      <c r="G4522" s="127"/>
      <c r="H4522" s="127"/>
      <c r="I4522" s="128"/>
      <c r="K4522" s="105" t="str">
        <f>IFERROR(__xludf.DUMMYFUNCTION("if(A4522="""","""",substitute(SUBSTITUTE(index(importhtml(""http://finviz.com/quote.ashx?t=""&amp;A4522,""table"",10),7,2),""*"",""""),""-"",""0.00""))"),"Loading...")</f>
        <v>Loading...</v>
      </c>
      <c r="L4522" s="129">
        <v>5.136727E7</v>
      </c>
      <c r="M4522" s="99" t="str">
        <f>IFERROR(__xludf.DUMMYFUNCTION("GOOGLEFINANCE(A4522,""beta"")"),"#N/A")</f>
        <v>#N/A</v>
      </c>
    </row>
    <row r="4523">
      <c r="A4523" s="122" t="s">
        <v>9497</v>
      </c>
      <c r="B4523" s="123">
        <v>846475.0</v>
      </c>
      <c r="C4523" s="124" t="s">
        <v>9498</v>
      </c>
      <c r="D4523" s="125"/>
      <c r="E4523" s="126">
        <v>11.68</v>
      </c>
      <c r="F4523" s="127"/>
      <c r="G4523" s="127"/>
      <c r="H4523" s="127"/>
      <c r="I4523" s="128"/>
      <c r="K4523" s="105" t="str">
        <f>IFERROR(__xludf.DUMMYFUNCTION("if(A4523="""","""",substitute(SUBSTITUTE(index(importhtml(""http://finviz.com/quote.ashx?t=""&amp;A4523,""table"",10),7,2),""*"",""""),""-"",""0.00""))"),"Loading...")</f>
        <v>Loading...</v>
      </c>
      <c r="L4523" s="129">
        <v>3.9599616E8</v>
      </c>
      <c r="M4523" s="99">
        <v>0.52</v>
      </c>
    </row>
    <row r="4524">
      <c r="A4524" s="122" t="s">
        <v>9499</v>
      </c>
      <c r="B4524" s="123">
        <v>870780.0</v>
      </c>
      <c r="C4524" s="124" t="s">
        <v>9500</v>
      </c>
      <c r="D4524" s="125"/>
      <c r="E4524" s="126">
        <v>11.68</v>
      </c>
      <c r="F4524" s="127"/>
      <c r="G4524" s="127"/>
      <c r="H4524" s="127"/>
      <c r="I4524" s="128"/>
      <c r="K4524" s="105" t="str">
        <f>IFERROR(__xludf.DUMMYFUNCTION("if(A4524="""","""",substitute(SUBSTITUTE(index(importhtml(""http://finviz.com/quote.ashx?t=""&amp;A4524,""table"",10),7,2),""*"",""""),""-"",""0.00""))"),"#REF!")</f>
        <v>#REF!</v>
      </c>
      <c r="L4524" s="129">
        <v>4.34756825E8</v>
      </c>
      <c r="M4524" s="99">
        <v>0.46</v>
      </c>
    </row>
    <row r="4525">
      <c r="A4525" s="122" t="s">
        <v>9501</v>
      </c>
      <c r="B4525" s="123">
        <v>949039.0</v>
      </c>
      <c r="C4525" s="124" t="s">
        <v>9502</v>
      </c>
      <c r="D4525" s="125"/>
      <c r="E4525" s="126">
        <v>11.69</v>
      </c>
      <c r="F4525" s="127"/>
      <c r="G4525" s="127"/>
      <c r="H4525" s="127"/>
      <c r="I4525" s="128"/>
      <c r="K4525" s="55" t="s">
        <v>1034</v>
      </c>
      <c r="L4525" s="129">
        <v>1.196144137E9</v>
      </c>
      <c r="M4525" s="99" t="str">
        <f>IFERROR(__xludf.DUMMYFUNCTION("GOOGLEFINANCE(A4525,""beta"")"),"#N/A")</f>
        <v>#N/A</v>
      </c>
    </row>
    <row r="4526">
      <c r="A4526" s="122" t="s">
        <v>9503</v>
      </c>
      <c r="B4526" s="123">
        <v>202947.0</v>
      </c>
      <c r="C4526" s="124" t="s">
        <v>9504</v>
      </c>
      <c r="D4526" s="125"/>
      <c r="E4526" s="126">
        <v>11.7</v>
      </c>
      <c r="F4526" s="127"/>
      <c r="G4526" s="127"/>
      <c r="H4526" s="127"/>
      <c r="I4526" s="128"/>
      <c r="K4526" s="105" t="str">
        <f>IFERROR(__xludf.DUMMYFUNCTION("if(A4526="""","""",substitute(SUBSTITUTE(index(importhtml(""http://finviz.com/quote.ashx?t=""&amp;A4526,""table"",10),7,2),""*"",""""),""-"",""0.00""))"),"Loading...")</f>
        <v>Loading...</v>
      </c>
      <c r="L4526" s="129">
        <v>7.721897E7</v>
      </c>
      <c r="M4526" s="99">
        <v>0.03</v>
      </c>
    </row>
    <row r="4527">
      <c r="A4527" s="122" t="s">
        <v>9505</v>
      </c>
      <c r="B4527" s="123">
        <v>1817640.0</v>
      </c>
      <c r="C4527" s="124" t="s">
        <v>9506</v>
      </c>
      <c r="D4527" s="125"/>
      <c r="E4527" s="126">
        <v>11.71</v>
      </c>
      <c r="F4527" s="127"/>
      <c r="G4527" s="127"/>
      <c r="H4527" s="127"/>
      <c r="I4527" s="128"/>
      <c r="K4527" s="105" t="str">
        <f>IFERROR(__xludf.DUMMYFUNCTION("if(A4527="""","""",substitute(SUBSTITUTE(index(importhtml(""http://finviz.com/quote.ashx?t=""&amp;A4527,""table"",10),7,2),""*"",""""),""-"",""0.00""))"),"Loading...")</f>
        <v>Loading...</v>
      </c>
      <c r="L4527" s="129">
        <v>5.034451E7</v>
      </c>
      <c r="M4527" s="99">
        <v>0.02</v>
      </c>
    </row>
    <row r="4528">
      <c r="A4528" s="122" t="s">
        <v>9507</v>
      </c>
      <c r="B4528" s="123">
        <v>1675644.0</v>
      </c>
      <c r="C4528" s="124" t="s">
        <v>9508</v>
      </c>
      <c r="D4528" s="125"/>
      <c r="E4528" s="126">
        <v>11.71</v>
      </c>
      <c r="F4528" s="127"/>
      <c r="G4528" s="127"/>
      <c r="H4528" s="127"/>
      <c r="I4528" s="128"/>
      <c r="K4528" s="105" t="str">
        <f>IFERROR(__xludf.DUMMYFUNCTION("if(A4528="""","""",substitute(SUBSTITUTE(index(importhtml(""http://finviz.com/quote.ashx?t=""&amp;A4528,""table"",10),7,2),""*"",""""),""-"",""0.00""))"),"Loading...")</f>
        <v>Loading...</v>
      </c>
      <c r="L4528" s="129">
        <v>2.08519853E8</v>
      </c>
      <c r="M4528" s="99">
        <v>0.22</v>
      </c>
    </row>
    <row r="4529">
      <c r="A4529" s="122" t="s">
        <v>9509</v>
      </c>
      <c r="B4529" s="123">
        <v>1844389.0</v>
      </c>
      <c r="C4529" s="124" t="s">
        <v>9510</v>
      </c>
      <c r="D4529" s="125"/>
      <c r="E4529" s="126">
        <v>11.72</v>
      </c>
      <c r="F4529" s="127"/>
      <c r="G4529" s="127"/>
      <c r="H4529" s="127"/>
      <c r="I4529" s="128"/>
      <c r="K4529" s="105" t="str">
        <f>IFERROR(__xludf.DUMMYFUNCTION("if(A4529="""","""",substitute(SUBSTITUTE(index(importhtml(""http://finviz.com/quote.ashx?t=""&amp;A4529,""table"",10),7,2),""*"",""""),""-"",""0.00""))"),"Loading...")</f>
        <v>Loading...</v>
      </c>
      <c r="L4529" s="129">
        <v>4.110552E7</v>
      </c>
      <c r="M4529" s="99" t="str">
        <f>IFERROR(__xludf.DUMMYFUNCTION("GOOGLEFINANCE(A4529,""beta"")"),"#N/A")</f>
        <v>#N/A</v>
      </c>
    </row>
    <row r="4530">
      <c r="A4530" s="122" t="s">
        <v>9511</v>
      </c>
      <c r="B4530" s="123">
        <v>1232860.0</v>
      </c>
      <c r="C4530" s="124" t="s">
        <v>9512</v>
      </c>
      <c r="D4530" s="125"/>
      <c r="E4530" s="126">
        <v>11.72</v>
      </c>
      <c r="F4530" s="127"/>
      <c r="G4530" s="127"/>
      <c r="H4530" s="127"/>
      <c r="I4530" s="128"/>
      <c r="K4530" s="105" t="str">
        <f>IFERROR(__xludf.DUMMYFUNCTION("if(A4530="""","""",substitute(SUBSTITUTE(index(importhtml(""http://finviz.com/quote.ashx?t=""&amp;A4530,""table"",10),7,2),""*"",""""),""-"",""0.00""))"),"Loading...")</f>
        <v>Loading...</v>
      </c>
      <c r="L4530" s="129">
        <v>8.58521194E8</v>
      </c>
      <c r="M4530" s="99">
        <v>0.49</v>
      </c>
    </row>
    <row r="4531">
      <c r="A4531" s="122" t="s">
        <v>9513</v>
      </c>
      <c r="B4531" s="123">
        <v>1576018.0</v>
      </c>
      <c r="C4531" s="124" t="s">
        <v>9514</v>
      </c>
      <c r="D4531" s="125"/>
      <c r="E4531" s="126">
        <v>11.73</v>
      </c>
      <c r="F4531" s="127"/>
      <c r="G4531" s="127"/>
      <c r="H4531" s="127"/>
      <c r="I4531" s="128"/>
      <c r="K4531" s="105" t="str">
        <f>IFERROR(__xludf.DUMMYFUNCTION("if(A4531="""","""",substitute(SUBSTITUTE(index(importhtml(""http://finviz.com/quote.ashx?t=""&amp;A4531,""table"",10),7,2),""*"",""""),""-"",""0.00""))"),"Loading...")</f>
        <v>Loading...</v>
      </c>
      <c r="L4531" s="129">
        <v>1.965715669E9</v>
      </c>
      <c r="M4531" s="99">
        <v>0.96</v>
      </c>
    </row>
    <row r="4532">
      <c r="A4532" s="122" t="s">
        <v>9515</v>
      </c>
      <c r="B4532" s="123">
        <v>1281721.0</v>
      </c>
      <c r="C4532" s="124" t="s">
        <v>9516</v>
      </c>
      <c r="D4532" s="125"/>
      <c r="E4532" s="126">
        <v>11.73</v>
      </c>
      <c r="F4532" s="127"/>
      <c r="G4532" s="127"/>
      <c r="H4532" s="127"/>
      <c r="I4532" s="128"/>
      <c r="K4532" s="105" t="str">
        <f>IFERROR(__xludf.DUMMYFUNCTION("if(A4532="""","""",substitute(SUBSTITUTE(index(importhtml(""http://finviz.com/quote.ashx?t=""&amp;A4532,""table"",10),7,2),""*"",""""),""-"",""0.00""))"),"Loading...")</f>
        <v>Loading...</v>
      </c>
      <c r="L4532" s="129">
        <v>2.1427892002E12</v>
      </c>
      <c r="M4532" s="99">
        <v>0.47</v>
      </c>
    </row>
    <row r="4533">
      <c r="A4533" s="122" t="s">
        <v>9517</v>
      </c>
      <c r="B4533" s="123">
        <v>1789769.0</v>
      </c>
      <c r="C4533" s="124" t="s">
        <v>9518</v>
      </c>
      <c r="D4533" s="125"/>
      <c r="E4533" s="126">
        <v>11.74</v>
      </c>
      <c r="F4533" s="127"/>
      <c r="G4533" s="127"/>
      <c r="H4533" s="127"/>
      <c r="I4533" s="128"/>
      <c r="K4533" s="105" t="str">
        <f>IFERROR(__xludf.DUMMYFUNCTION("if(A4533="""","""",substitute(SUBSTITUTE(index(importhtml(""http://finviz.com/quote.ashx?t=""&amp;A4533,""table"",10),7,2),""*"",""""),""-"",""0.00""))"),"Loading...")</f>
        <v>Loading...</v>
      </c>
      <c r="L4533" s="129">
        <v>7.6356418E7</v>
      </c>
      <c r="M4533" s="99">
        <f>IFERROR(__xludf.DUMMYFUNCTION("GOOGLEFINANCE(A4533,""beta"")"),2.06)</f>
        <v>2.06</v>
      </c>
    </row>
    <row r="4534">
      <c r="A4534" s="122" t="s">
        <v>9519</v>
      </c>
      <c r="B4534" s="123">
        <v>1777835.0</v>
      </c>
      <c r="C4534" s="124" t="s">
        <v>9520</v>
      </c>
      <c r="D4534" s="125"/>
      <c r="E4534" s="126">
        <v>11.74</v>
      </c>
      <c r="F4534" s="127"/>
      <c r="G4534" s="127"/>
      <c r="H4534" s="127"/>
      <c r="I4534" s="128"/>
      <c r="K4534" s="105" t="str">
        <f>IFERROR(__xludf.DUMMYFUNCTION("if(A4534="""","""",substitute(SUBSTITUTE(index(importhtml(""http://finviz.com/quote.ashx?t=""&amp;A4534,""table"",10),7,2),""*"",""""),""-"",""0.00""))"),"Loading...")</f>
        <v>Loading...</v>
      </c>
      <c r="L4534" s="129">
        <v>1.011384426E9</v>
      </c>
      <c r="M4534" s="99">
        <v>1.54</v>
      </c>
    </row>
    <row r="4535">
      <c r="A4535" s="122" t="s">
        <v>9521</v>
      </c>
      <c r="B4535" s="123">
        <v>1569187.0</v>
      </c>
      <c r="C4535" s="124" t="s">
        <v>9522</v>
      </c>
      <c r="D4535" s="125"/>
      <c r="E4535" s="126">
        <v>11.75</v>
      </c>
      <c r="F4535" s="127"/>
      <c r="G4535" s="127"/>
      <c r="H4535" s="127"/>
      <c r="I4535" s="128"/>
      <c r="K4535" s="55" t="s">
        <v>7986</v>
      </c>
      <c r="L4535" s="129">
        <v>1.045211262E9</v>
      </c>
      <c r="M4535" s="99">
        <v>1.02</v>
      </c>
    </row>
    <row r="4536">
      <c r="A4536" s="122" t="s">
        <v>9523</v>
      </c>
      <c r="B4536" s="123">
        <v>1846809.0</v>
      </c>
      <c r="C4536" s="124" t="s">
        <v>9524</v>
      </c>
      <c r="D4536" s="125"/>
      <c r="E4536" s="126">
        <v>11.75</v>
      </c>
      <c r="F4536" s="127"/>
      <c r="G4536" s="127"/>
      <c r="H4536" s="127"/>
      <c r="I4536" s="128"/>
      <c r="K4536" s="105" t="str">
        <f>IFERROR(__xludf.DUMMYFUNCTION("if(A4536="""","""",substitute(SUBSTITUTE(index(importhtml(""http://finviz.com/quote.ashx?t=""&amp;A4536,""table"",10),7,2),""*"",""""),""-"",""0.00""))"),"Loading...")</f>
        <v>Loading...</v>
      </c>
      <c r="L4536" s="129">
        <v>4.1049529E7</v>
      </c>
      <c r="M4536" s="99" t="str">
        <f>IFERROR(__xludf.DUMMYFUNCTION("GOOGLEFINANCE(A4536,""beta"")"),"#N/A")</f>
        <v>#N/A</v>
      </c>
    </row>
    <row r="4537">
      <c r="A4537" s="122" t="s">
        <v>9525</v>
      </c>
      <c r="B4537" s="123">
        <v>1824884.0</v>
      </c>
      <c r="C4537" s="124" t="s">
        <v>9526</v>
      </c>
      <c r="D4537" s="125"/>
      <c r="E4537" s="126">
        <v>11.75</v>
      </c>
      <c r="F4537" s="127"/>
      <c r="G4537" s="127"/>
      <c r="H4537" s="127"/>
      <c r="I4537" s="128"/>
      <c r="K4537" s="105" t="str">
        <f>IFERROR(__xludf.DUMMYFUNCTION("if(A4537="""","""",substitute(SUBSTITUTE(index(importhtml(""http://finviz.com/quote.ashx?t=""&amp;A4537,""table"",10),7,2),""*"",""""),""-"",""0.00""))"),"Loading...")</f>
        <v>Loading...</v>
      </c>
      <c r="L4537" s="129">
        <v>4.2537432E7</v>
      </c>
      <c r="M4537" s="99">
        <v>0.01</v>
      </c>
    </row>
    <row r="4538">
      <c r="A4538" s="122" t="s">
        <v>9527</v>
      </c>
      <c r="B4538" s="123">
        <v>1036262.0</v>
      </c>
      <c r="C4538" s="124" t="s">
        <v>9528</v>
      </c>
      <c r="D4538" s="125"/>
      <c r="E4538" s="126">
        <v>11.75</v>
      </c>
      <c r="F4538" s="127"/>
      <c r="G4538" s="127"/>
      <c r="H4538" s="127"/>
      <c r="I4538" s="128"/>
      <c r="K4538" s="105" t="str">
        <f>IFERROR(__xludf.DUMMYFUNCTION("if(A4538="""","""",substitute(SUBSTITUTE(index(importhtml(""http://finviz.com/quote.ashx?t=""&amp;A4538,""table"",10),7,2),""*"",""""),""-"",""0.00""))"),"Loading...")</f>
        <v>Loading...</v>
      </c>
      <c r="L4538" s="129">
        <v>1.42895275E8</v>
      </c>
      <c r="M4538" s="99">
        <v>1.98</v>
      </c>
    </row>
    <row r="4539">
      <c r="A4539" s="122" t="s">
        <v>9529</v>
      </c>
      <c r="B4539" s="123">
        <v>1844507.0</v>
      </c>
      <c r="C4539" s="124" t="s">
        <v>9530</v>
      </c>
      <c r="D4539" s="125"/>
      <c r="E4539" s="126">
        <v>11.76</v>
      </c>
      <c r="F4539" s="127"/>
      <c r="G4539" s="127"/>
      <c r="H4539" s="127"/>
      <c r="I4539" s="128"/>
      <c r="K4539" s="105" t="str">
        <f>IFERROR(__xludf.DUMMYFUNCTION("if(A4539="""","""",substitute(SUBSTITUTE(index(importhtml(""http://finviz.com/quote.ashx?t=""&amp;A4539,""table"",10),7,2),""*"",""""),""-"",""0.00""))"),"Loading...")</f>
        <v>Loading...</v>
      </c>
      <c r="L4539" s="129">
        <v>3.6906655E7</v>
      </c>
      <c r="M4539" s="99" t="str">
        <f>IFERROR(__xludf.DUMMYFUNCTION("GOOGLEFINANCE(A4539,""beta"")"),"#N/A")</f>
        <v>#N/A</v>
      </c>
    </row>
    <row r="4540">
      <c r="A4540" s="122" t="s">
        <v>9531</v>
      </c>
      <c r="B4540" s="123">
        <v>1539337.0</v>
      </c>
      <c r="C4540" s="124" t="s">
        <v>9532</v>
      </c>
      <c r="D4540" s="125"/>
      <c r="E4540" s="126">
        <v>11.76</v>
      </c>
      <c r="F4540" s="127"/>
      <c r="G4540" s="127"/>
      <c r="H4540" s="127"/>
      <c r="I4540" s="128"/>
      <c r="K4540" s="105" t="str">
        <f>IFERROR(__xludf.DUMMYFUNCTION("if(A4540="""","""",substitute(SUBSTITUTE(index(importhtml(""http://finviz.com/quote.ashx?t=""&amp;A4540,""table"",10),7,2),""*"",""""),""-"",""0.00""))"),"Loading...")</f>
        <v>Loading...</v>
      </c>
      <c r="L4540" s="129" t="e">
        <v>#N/A</v>
      </c>
      <c r="M4540" s="99">
        <v>1.21</v>
      </c>
    </row>
    <row r="4541">
      <c r="A4541" s="122" t="s">
        <v>9533</v>
      </c>
      <c r="B4541" s="123">
        <v>885601.0</v>
      </c>
      <c r="C4541" s="124" t="s">
        <v>9534</v>
      </c>
      <c r="D4541" s="125"/>
      <c r="E4541" s="126">
        <v>11.77</v>
      </c>
      <c r="F4541" s="127"/>
      <c r="G4541" s="127"/>
      <c r="H4541" s="127"/>
      <c r="I4541" s="128"/>
      <c r="K4541" s="105" t="str">
        <f>IFERROR(__xludf.DUMMYFUNCTION("if(A4541="""","""",substitute(SUBSTITUTE(index(importhtml(""http://finviz.com/quote.ashx?t=""&amp;A4541,""table"",10),7,2),""*"",""""),""-"",""0.00""))"),"Loading...")</f>
        <v>Loading...</v>
      </c>
      <c r="L4541" s="129">
        <v>5.53995442E8</v>
      </c>
      <c r="M4541" s="99">
        <v>0.58</v>
      </c>
    </row>
    <row r="4542">
      <c r="A4542" s="122" t="s">
        <v>9535</v>
      </c>
      <c r="B4542" s="123">
        <v>1545772.0</v>
      </c>
      <c r="C4542" s="124" t="s">
        <v>9536</v>
      </c>
      <c r="D4542" s="125"/>
      <c r="E4542" s="126">
        <v>11.78</v>
      </c>
      <c r="F4542" s="127"/>
      <c r="G4542" s="127"/>
      <c r="H4542" s="127"/>
      <c r="I4542" s="128"/>
      <c r="K4542" s="105" t="str">
        <f>IFERROR(__xludf.DUMMYFUNCTION("if(A4542="""","""",substitute(SUBSTITUTE(index(importhtml(""http://finviz.com/quote.ashx?t=""&amp;A4542,""table"",10),7,2),""*"",""""),""-"",""0.00""))"),"Loading...")</f>
        <v>Loading...</v>
      </c>
      <c r="L4542" s="129">
        <v>9.9948799E7</v>
      </c>
      <c r="M4542" s="99">
        <v>1.53</v>
      </c>
    </row>
    <row r="4543">
      <c r="A4543" s="122" t="s">
        <v>9537</v>
      </c>
      <c r="B4543" s="123">
        <v>1180262.0</v>
      </c>
      <c r="C4543" s="124" t="s">
        <v>9538</v>
      </c>
      <c r="D4543" s="125"/>
      <c r="E4543" s="126">
        <v>11.78</v>
      </c>
      <c r="F4543" s="127"/>
      <c r="G4543" s="127"/>
      <c r="H4543" s="127"/>
      <c r="I4543" s="128"/>
      <c r="K4543" s="105" t="str">
        <f>IFERROR(__xludf.DUMMYFUNCTION("if(A4543="""","""",substitute(SUBSTITUTE(index(importhtml(""http://finviz.com/quote.ashx?t=""&amp;A4543,""table"",10),7,2),""*"",""""),""-"",""0.00""))"),"Loading...")</f>
        <v>Loading...</v>
      </c>
      <c r="L4543" s="129">
        <v>1.167544516E9</v>
      </c>
      <c r="M4543" s="99">
        <v>1.27</v>
      </c>
    </row>
    <row r="4544">
      <c r="A4544" s="122" t="s">
        <v>9539</v>
      </c>
      <c r="B4544" s="123">
        <v>1219120.0</v>
      </c>
      <c r="C4544" s="124" t="s">
        <v>9540</v>
      </c>
      <c r="D4544" s="125"/>
      <c r="E4544" s="126">
        <v>11.79</v>
      </c>
      <c r="F4544" s="127"/>
      <c r="G4544" s="127"/>
      <c r="H4544" s="127"/>
      <c r="I4544" s="128"/>
      <c r="K4544" s="55" t="s">
        <v>9541</v>
      </c>
      <c r="L4544" s="129">
        <v>4.07860546E8</v>
      </c>
      <c r="M4544" s="99">
        <v>1.4</v>
      </c>
    </row>
    <row r="4545">
      <c r="A4545" s="122" t="s">
        <v>9542</v>
      </c>
      <c r="B4545" s="123">
        <v>1444406.0</v>
      </c>
      <c r="C4545" s="124" t="s">
        <v>9543</v>
      </c>
      <c r="D4545" s="125"/>
      <c r="E4545" s="126">
        <v>11.79</v>
      </c>
      <c r="F4545" s="127"/>
      <c r="G4545" s="127"/>
      <c r="H4545" s="127"/>
      <c r="I4545" s="128"/>
      <c r="K4545" s="138" t="s">
        <v>9544</v>
      </c>
      <c r="L4545" s="129">
        <v>2.4117164111E10</v>
      </c>
      <c r="M4545" s="99">
        <v>1.17</v>
      </c>
    </row>
    <row r="4546">
      <c r="A4546" s="122" t="s">
        <v>9545</v>
      </c>
      <c r="B4546" s="123">
        <v>751365.0</v>
      </c>
      <c r="C4546" s="124" t="s">
        <v>9546</v>
      </c>
      <c r="D4546" s="125"/>
      <c r="E4546" s="126">
        <v>11.79</v>
      </c>
      <c r="F4546" s="127"/>
      <c r="G4546" s="127"/>
      <c r="H4546" s="127"/>
      <c r="I4546" s="128"/>
      <c r="K4546" s="105" t="str">
        <f>IFERROR(__xludf.DUMMYFUNCTION("if(A4546="""","""",substitute(SUBSTITUTE(index(importhtml(""http://finviz.com/quote.ashx?t=""&amp;A4546,""table"",10),7,2),""*"",""""),""-"",""0.00""))"),"Loading...")</f>
        <v>Loading...</v>
      </c>
      <c r="L4546" s="129">
        <v>1.92734784E8</v>
      </c>
      <c r="M4546" s="99">
        <v>0.72</v>
      </c>
    </row>
    <row r="4547">
      <c r="A4547" s="122" t="s">
        <v>9547</v>
      </c>
      <c r="B4547" s="123">
        <v>1501072.0</v>
      </c>
      <c r="C4547" s="124" t="s">
        <v>9548</v>
      </c>
      <c r="D4547" s="125"/>
      <c r="E4547" s="126">
        <v>11.8</v>
      </c>
      <c r="F4547" s="127"/>
      <c r="G4547" s="127"/>
      <c r="H4547" s="127"/>
      <c r="I4547" s="128"/>
      <c r="K4547" s="105" t="str">
        <f>IFERROR(__xludf.DUMMYFUNCTION("if(A4547="""","""",substitute(SUBSTITUTE(index(importhtml(""http://finviz.com/quote.ashx?t=""&amp;A4547,""table"",10),7,2),""*"",""""),""-"",""0.00""))"),"Loading...")</f>
        <v>Loading...</v>
      </c>
      <c r="L4547" s="129">
        <v>2.5314741E8</v>
      </c>
      <c r="M4547" s="99">
        <v>0.76</v>
      </c>
    </row>
    <row r="4548">
      <c r="A4548" s="122" t="s">
        <v>9549</v>
      </c>
      <c r="B4548" s="123">
        <v>1592000.0</v>
      </c>
      <c r="C4548" s="124" t="s">
        <v>9550</v>
      </c>
      <c r="D4548" s="125"/>
      <c r="E4548" s="126">
        <v>11.8</v>
      </c>
      <c r="F4548" s="127"/>
      <c r="G4548" s="127"/>
      <c r="H4548" s="127"/>
      <c r="I4548" s="128"/>
      <c r="K4548" s="105" t="str">
        <f>IFERROR(__xludf.DUMMYFUNCTION("if(A4548="""","""",substitute(SUBSTITUTE(index(importhtml(""http://finviz.com/quote.ashx?t=""&amp;A4548,""table"",10),7,2),""*"",""""),""-"",""0.00""))"),"Loading...")</f>
        <v>Loading...</v>
      </c>
      <c r="L4548" s="129">
        <v>5.390846607E9</v>
      </c>
      <c r="M4548" s="99">
        <v>2.42</v>
      </c>
    </row>
    <row r="4549">
      <c r="A4549" s="122" t="s">
        <v>9551</v>
      </c>
      <c r="B4549" s="123">
        <v>894242.0</v>
      </c>
      <c r="C4549" s="124" t="s">
        <v>9552</v>
      </c>
      <c r="D4549" s="125"/>
      <c r="E4549" s="126">
        <v>11.81</v>
      </c>
      <c r="F4549" s="127"/>
      <c r="G4549" s="127"/>
      <c r="H4549" s="127"/>
      <c r="I4549" s="128"/>
      <c r="K4549" s="55" t="s">
        <v>9553</v>
      </c>
      <c r="L4549" s="129">
        <v>2.0595625E8</v>
      </c>
      <c r="M4549" s="99">
        <v>0.53</v>
      </c>
    </row>
    <row r="4550">
      <c r="A4550" s="122" t="s">
        <v>9554</v>
      </c>
      <c r="B4550" s="123">
        <v>1349436.0</v>
      </c>
      <c r="C4550" s="124" t="s">
        <v>9555</v>
      </c>
      <c r="D4550" s="125"/>
      <c r="E4550" s="126">
        <v>11.83</v>
      </c>
      <c r="F4550" s="127"/>
      <c r="G4550" s="127"/>
      <c r="H4550" s="127"/>
      <c r="I4550" s="128"/>
      <c r="K4550" s="55" t="s">
        <v>5049</v>
      </c>
      <c r="L4550" s="129">
        <v>4.38789721E8</v>
      </c>
      <c r="M4550" s="99">
        <v>2.16</v>
      </c>
    </row>
    <row r="4551">
      <c r="A4551" s="122" t="s">
        <v>9556</v>
      </c>
      <c r="B4551" s="123">
        <v>1743905.0</v>
      </c>
      <c r="C4551" s="124" t="s">
        <v>9557</v>
      </c>
      <c r="D4551" s="125"/>
      <c r="E4551" s="126">
        <v>11.84</v>
      </c>
      <c r="F4551" s="127"/>
      <c r="G4551" s="127"/>
      <c r="H4551" s="127"/>
      <c r="I4551" s="128"/>
      <c r="K4551" s="105" t="str">
        <f>IFERROR(__xludf.DUMMYFUNCTION("if(A4551="""","""",substitute(SUBSTITUTE(index(importhtml(""http://finviz.com/quote.ashx?t=""&amp;A4551,""table"",10),7,2),""*"",""""),""-"",""0.00""))"),"Loading...")</f>
        <v>Loading...</v>
      </c>
      <c r="L4551" s="129">
        <v>7.8932083E7</v>
      </c>
      <c r="M4551" s="99">
        <f>IFERROR(__xludf.DUMMYFUNCTION("GOOGLEFINANCE(A4551,""beta"")"),-0.31)</f>
        <v>-0.31</v>
      </c>
    </row>
    <row r="4552">
      <c r="A4552" s="122" t="s">
        <v>9558</v>
      </c>
      <c r="B4552" s="123">
        <v>711669.0</v>
      </c>
      <c r="C4552" s="124" t="s">
        <v>9559</v>
      </c>
      <c r="D4552" s="125"/>
      <c r="E4552" s="126">
        <v>11.85</v>
      </c>
      <c r="F4552" s="127"/>
      <c r="G4552" s="127"/>
      <c r="H4552" s="127"/>
      <c r="I4552" s="128"/>
      <c r="K4552" s="105" t="str">
        <f>IFERROR(__xludf.DUMMYFUNCTION("if(A4552="""","""",substitute(SUBSTITUTE(index(importhtml(""http://finviz.com/quote.ashx?t=""&amp;A4552,""table"",10),7,2),""*"",""""),""-"",""0.00""))"),"Loading...")</f>
        <v>Loading...</v>
      </c>
      <c r="L4552" s="129">
        <v>2.08101885E8</v>
      </c>
      <c r="M4552" s="99">
        <v>0.56</v>
      </c>
    </row>
    <row r="4553">
      <c r="A4553" s="122" t="s">
        <v>9560</v>
      </c>
      <c r="B4553" s="123">
        <v>1875444.0</v>
      </c>
      <c r="C4553" s="124" t="s">
        <v>9561</v>
      </c>
      <c r="D4553" s="125"/>
      <c r="E4553" s="126">
        <v>11.85</v>
      </c>
      <c r="F4553" s="127"/>
      <c r="G4553" s="127"/>
      <c r="H4553" s="127"/>
      <c r="I4553" s="128"/>
      <c r="K4553" s="105" t="str">
        <f>IFERROR(__xludf.DUMMYFUNCTION("if(A4553="""","""",substitute(SUBSTITUTE(index(importhtml(""http://finviz.com/quote.ashx?t=""&amp;A4553,""table"",10),7,2),""*"",""""),""-"",""0.00""))"),"Loading...")</f>
        <v>Loading...</v>
      </c>
      <c r="L4553" s="129">
        <v>1.662352418E9</v>
      </c>
      <c r="M4553" s="99">
        <f>IFERROR(__xludf.DUMMYFUNCTION("GOOGLEFINANCE(A4553,""beta"")"),2.52)</f>
        <v>2.52</v>
      </c>
    </row>
    <row r="4554">
      <c r="A4554" s="122" t="s">
        <v>9562</v>
      </c>
      <c r="B4554" s="123">
        <v>1792044.0</v>
      </c>
      <c r="C4554" s="124" t="s">
        <v>9563</v>
      </c>
      <c r="D4554" s="125"/>
      <c r="E4554" s="126">
        <v>11.85</v>
      </c>
      <c r="F4554" s="127"/>
      <c r="G4554" s="127"/>
      <c r="H4554" s="127"/>
      <c r="I4554" s="128"/>
      <c r="K4554" s="105" t="str">
        <f>IFERROR(__xludf.DUMMYFUNCTION("if(A4554="""","""",substitute(SUBSTITUTE(index(importhtml(""http://finviz.com/quote.ashx?t=""&amp;A4554,""table"",10),7,2),""*"",""""),""-"",""0.00""))"),"Loading...")</f>
        <v>Loading...</v>
      </c>
      <c r="L4554" s="129">
        <v>1.4216089957E10</v>
      </c>
      <c r="M4554" s="99">
        <v>0.83</v>
      </c>
    </row>
    <row r="4555">
      <c r="A4555" s="122" t="s">
        <v>9564</v>
      </c>
      <c r="B4555" s="123">
        <v>1907730.0</v>
      </c>
      <c r="C4555" s="124" t="s">
        <v>9565</v>
      </c>
      <c r="D4555" s="125"/>
      <c r="E4555" s="126">
        <v>11.86</v>
      </c>
      <c r="F4555" s="127"/>
      <c r="G4555" s="127"/>
      <c r="H4555" s="127"/>
      <c r="I4555" s="128"/>
      <c r="K4555" s="105" t="str">
        <f>IFERROR(__xludf.DUMMYFUNCTION("if(A4555="""","""",substitute(SUBSTITUTE(index(importhtml(""http://finviz.com/quote.ashx?t=""&amp;A4555,""table"",10),7,2),""*"",""""),""-"",""0.00""))"),"Loading...")</f>
        <v>Loading...</v>
      </c>
      <c r="L4555" s="129">
        <v>4.2012491E7</v>
      </c>
      <c r="M4555" s="99" t="str">
        <f>IFERROR(__xludf.DUMMYFUNCTION("GOOGLEFINANCE(A4555,""beta"")"),"#N/A")</f>
        <v>#N/A</v>
      </c>
    </row>
    <row r="4556">
      <c r="A4556" s="122" t="s">
        <v>9566</v>
      </c>
      <c r="B4556" s="123">
        <v>1289877.0</v>
      </c>
      <c r="C4556" s="124" t="s">
        <v>9567</v>
      </c>
      <c r="D4556" s="125"/>
      <c r="E4556" s="126">
        <v>11.86</v>
      </c>
      <c r="F4556" s="127"/>
      <c r="G4556" s="127"/>
      <c r="H4556" s="127"/>
      <c r="I4556" s="128"/>
      <c r="K4556" s="105" t="str">
        <f>IFERROR(__xludf.DUMMYFUNCTION("if(A4556="""","""",substitute(SUBSTITUTE(index(importhtml(""http://finviz.com/quote.ashx?t=""&amp;A4556,""table"",10),7,2),""*"",""""),""-"",""0.00""))"),"Loading...")</f>
        <v>Loading...</v>
      </c>
      <c r="L4556" s="129">
        <v>1.630359758E9</v>
      </c>
      <c r="M4556" s="99">
        <v>0.59</v>
      </c>
    </row>
    <row r="4557">
      <c r="A4557" s="122" t="s">
        <v>9568</v>
      </c>
      <c r="B4557" s="123">
        <v>1038143.0</v>
      </c>
      <c r="C4557" s="124" t="s">
        <v>9569</v>
      </c>
      <c r="D4557" s="125"/>
      <c r="E4557" s="126">
        <v>11.87</v>
      </c>
      <c r="F4557" s="127"/>
      <c r="G4557" s="127"/>
      <c r="H4557" s="127"/>
      <c r="I4557" s="128"/>
      <c r="K4557" s="105" t="str">
        <f>IFERROR(__xludf.DUMMYFUNCTION("if(A4557="""","""",substitute(SUBSTITUTE(index(importhtml(""http://finviz.com/quote.ashx?t=""&amp;A4557,""table"",10),7,2),""*"",""""),""-"",""0.00""))"),"Loading...")</f>
        <v>Loading...</v>
      </c>
      <c r="L4557" s="129">
        <v>3.1453268136E10</v>
      </c>
      <c r="M4557" s="99">
        <v>0.22</v>
      </c>
    </row>
    <row r="4558">
      <c r="A4558" s="122" t="s">
        <v>9570</v>
      </c>
      <c r="B4558" s="123">
        <v>883945.0</v>
      </c>
      <c r="C4558" s="124" t="s">
        <v>9571</v>
      </c>
      <c r="D4558" s="125"/>
      <c r="E4558" s="126">
        <v>11.88</v>
      </c>
      <c r="F4558" s="127"/>
      <c r="G4558" s="127"/>
      <c r="H4558" s="127"/>
      <c r="I4558" s="128"/>
      <c r="K4558" s="105" t="str">
        <f>IFERROR(__xludf.DUMMYFUNCTION("if(A4558="""","""",substitute(SUBSTITUTE(index(importhtml(""http://finviz.com/quote.ashx?t=""&amp;A4558,""table"",10),7,2),""*"",""""),""-"",""0.00""))"),"Loading...")</f>
        <v>Loading...</v>
      </c>
      <c r="L4558" s="129">
        <v>2.910600028E9</v>
      </c>
      <c r="M4558" s="99" t="str">
        <f>IFERROR(__xludf.DUMMYFUNCTION("GOOGLEFINANCE(A4558,""beta"")"),"#N/A")</f>
        <v>#N/A</v>
      </c>
    </row>
    <row r="4559">
      <c r="A4559" s="122" t="s">
        <v>9572</v>
      </c>
      <c r="B4559" s="123">
        <v>1341317.0</v>
      </c>
      <c r="C4559" s="124" t="s">
        <v>9573</v>
      </c>
      <c r="D4559" s="125"/>
      <c r="E4559" s="126">
        <v>11.89</v>
      </c>
      <c r="F4559" s="127"/>
      <c r="G4559" s="127"/>
      <c r="H4559" s="127"/>
      <c r="I4559" s="128"/>
      <c r="K4559" s="55" t="s">
        <v>1034</v>
      </c>
      <c r="L4559" s="129">
        <v>3.29935143E8</v>
      </c>
      <c r="M4559" s="99">
        <v>0.67</v>
      </c>
    </row>
    <row r="4560">
      <c r="A4560" s="122" t="s">
        <v>9574</v>
      </c>
      <c r="B4560" s="123">
        <v>891038.0</v>
      </c>
      <c r="C4560" s="124" t="s">
        <v>9575</v>
      </c>
      <c r="D4560" s="125"/>
      <c r="E4560" s="126">
        <v>11.89</v>
      </c>
      <c r="F4560" s="127"/>
      <c r="G4560" s="127"/>
      <c r="H4560" s="127"/>
      <c r="I4560" s="128"/>
      <c r="K4560" s="105" t="str">
        <f>IFERROR(__xludf.DUMMYFUNCTION("if(A4560="""","""",substitute(SUBSTITUTE(index(importhtml(""http://finviz.com/quote.ashx?t=""&amp;A4560,""table"",10),7,2),""*"",""""),""-"",""0.00""))"),"Loading...")</f>
        <v>Loading...</v>
      </c>
      <c r="L4560" s="129">
        <v>1.54865114E8</v>
      </c>
      <c r="M4560" s="99">
        <v>0.45</v>
      </c>
    </row>
    <row r="4561">
      <c r="A4561" s="122" t="s">
        <v>9576</v>
      </c>
      <c r="B4561" s="123">
        <v>1499543.0</v>
      </c>
      <c r="C4561" s="124" t="s">
        <v>9577</v>
      </c>
      <c r="D4561" s="125"/>
      <c r="E4561" s="126">
        <v>11.89</v>
      </c>
      <c r="F4561" s="127"/>
      <c r="G4561" s="127"/>
      <c r="H4561" s="127"/>
      <c r="I4561" s="128"/>
      <c r="K4561" s="105" t="str">
        <f>IFERROR(__xludf.DUMMYFUNCTION("if(A4561="""","""",substitute(SUBSTITUTE(index(importhtml(""http://finviz.com/quote.ashx?t=""&amp;A4561,""table"",10),7,2),""*"",""""),""-"",""0.00""))"),"Loading...")</f>
        <v>Loading...</v>
      </c>
      <c r="L4561" s="129">
        <v>7.80066301E8</v>
      </c>
      <c r="M4561" s="99">
        <v>1.07</v>
      </c>
    </row>
    <row r="4562">
      <c r="A4562" s="122" t="s">
        <v>9578</v>
      </c>
      <c r="B4562" s="123">
        <v>1157842.0</v>
      </c>
      <c r="C4562" s="124" t="s">
        <v>9579</v>
      </c>
      <c r="D4562" s="125"/>
      <c r="E4562" s="126">
        <v>11.9</v>
      </c>
      <c r="F4562" s="127"/>
      <c r="G4562" s="127"/>
      <c r="H4562" s="127"/>
      <c r="I4562" s="128"/>
      <c r="K4562" s="105" t="str">
        <f>IFERROR(__xludf.DUMMYFUNCTION("if(A4562="""","""",substitute(SUBSTITUTE(index(importhtml(""http://finviz.com/quote.ashx?t=""&amp;A4562,""table"",10),7,2),""*"",""""),""-"",""0.00""))"),"Loading...")</f>
        <v>Loading...</v>
      </c>
      <c r="L4562" s="129">
        <v>1.599733608E9</v>
      </c>
      <c r="M4562" s="99">
        <v>1.44</v>
      </c>
    </row>
    <row r="4563">
      <c r="A4563" s="122" t="s">
        <v>9580</v>
      </c>
      <c r="B4563" s="123">
        <v>1504234.0</v>
      </c>
      <c r="C4563" s="124" t="s">
        <v>9581</v>
      </c>
      <c r="D4563" s="125"/>
      <c r="E4563" s="126">
        <v>11.91</v>
      </c>
      <c r="F4563" s="127"/>
      <c r="G4563" s="127"/>
      <c r="H4563" s="127"/>
      <c r="I4563" s="128"/>
      <c r="K4563" s="55" t="s">
        <v>9582</v>
      </c>
      <c r="L4563" s="129">
        <v>1.51355493E8</v>
      </c>
      <c r="M4563" s="99">
        <v>0.7</v>
      </c>
    </row>
    <row r="4564">
      <c r="A4564" s="122" t="s">
        <v>9583</v>
      </c>
      <c r="B4564" s="123">
        <v>938323.0</v>
      </c>
      <c r="C4564" s="124" t="s">
        <v>9584</v>
      </c>
      <c r="D4564" s="125"/>
      <c r="E4564" s="126">
        <v>11.91</v>
      </c>
      <c r="F4564" s="127"/>
      <c r="G4564" s="127"/>
      <c r="H4564" s="127"/>
      <c r="I4564" s="128"/>
      <c r="K4564" s="105" t="str">
        <f>IFERROR(__xludf.DUMMYFUNCTION("if(A4564="""","""",substitute(SUBSTITUTE(index(importhtml(""http://finviz.com/quote.ashx?t=""&amp;A4564,""table"",10),7,2),""*"",""""),""-"",""0.00""))"),"Loading...")</f>
        <v>Loading...</v>
      </c>
      <c r="L4564" s="129">
        <v>8.355696389E9</v>
      </c>
      <c r="M4564" s="99">
        <v>0.74</v>
      </c>
    </row>
    <row r="4565">
      <c r="A4565" s="122" t="s">
        <v>9585</v>
      </c>
      <c r="B4565" s="123">
        <v>1137887.0</v>
      </c>
      <c r="C4565" s="124" t="s">
        <v>9586</v>
      </c>
      <c r="D4565" s="125"/>
      <c r="E4565" s="126">
        <v>11.93</v>
      </c>
      <c r="F4565" s="127"/>
      <c r="G4565" s="127"/>
      <c r="H4565" s="127"/>
      <c r="I4565" s="128"/>
      <c r="K4565" s="105" t="str">
        <f>IFERROR(__xludf.DUMMYFUNCTION("if(A4565="""","""",substitute(SUBSTITUTE(index(importhtml(""http://finviz.com/quote.ashx?t=""&amp;A4565,""table"",10),7,2),""*"",""""),""-"",""0.00""))"),"Loading...")</f>
        <v>Loading...</v>
      </c>
      <c r="L4565" s="129">
        <v>2.311425629E9</v>
      </c>
      <c r="M4565" s="99">
        <v>0.58</v>
      </c>
    </row>
    <row r="4566">
      <c r="A4566" s="122" t="s">
        <v>9587</v>
      </c>
      <c r="B4566" s="123">
        <v>1894057.0</v>
      </c>
      <c r="C4566" s="124" t="s">
        <v>9588</v>
      </c>
      <c r="D4566" s="125"/>
      <c r="E4566" s="126">
        <v>11.94</v>
      </c>
      <c r="F4566" s="127"/>
      <c r="G4566" s="127"/>
      <c r="H4566" s="127"/>
      <c r="I4566" s="128"/>
      <c r="K4566" s="105" t="str">
        <f>IFERROR(__xludf.DUMMYFUNCTION("if(A4566="""","""",substitute(SUBSTITUTE(index(importhtml(""http://finviz.com/quote.ashx?t=""&amp;A4566,""table"",10),7,2),""*"",""""),""-"",""0.00""))"),"Loading...")</f>
        <v>Loading...</v>
      </c>
      <c r="L4566" s="129">
        <v>1.2126979E8</v>
      </c>
      <c r="M4566" s="99" t="str">
        <f>IFERROR(__xludf.DUMMYFUNCTION("GOOGLEFINANCE(A4566,""beta"")"),"#N/A")</f>
        <v>#N/A</v>
      </c>
    </row>
    <row r="4567">
      <c r="A4567" s="122" t="s">
        <v>9589</v>
      </c>
      <c r="B4567" s="123">
        <v>1671858.0</v>
      </c>
      <c r="C4567" s="124" t="s">
        <v>9590</v>
      </c>
      <c r="D4567" s="125"/>
      <c r="E4567" s="126">
        <v>11.95</v>
      </c>
      <c r="F4567" s="127"/>
      <c r="G4567" s="127"/>
      <c r="H4567" s="127"/>
      <c r="I4567" s="128"/>
      <c r="K4567" s="105" t="str">
        <f>IFERROR(__xludf.DUMMYFUNCTION("if(A4567="""","""",substitute(SUBSTITUTE(index(importhtml(""http://finviz.com/quote.ashx?t=""&amp;A4567,""table"",10),7,2),""*"",""""),""-"",""0.00""))"),"Loading...")</f>
        <v>Loading...</v>
      </c>
      <c r="L4567" s="129">
        <v>2.2748366E7</v>
      </c>
      <c r="M4567" s="99" t="str">
        <f>IFERROR(__xludf.DUMMYFUNCTION("GOOGLEFINANCE(A4567,""beta"")"),"#N/A")</f>
        <v>#N/A</v>
      </c>
    </row>
    <row r="4568">
      <c r="A4568" s="122" t="s">
        <v>9591</v>
      </c>
      <c r="B4568" s="123">
        <v>1631596.0</v>
      </c>
      <c r="C4568" s="124" t="s">
        <v>9592</v>
      </c>
      <c r="D4568" s="125"/>
      <c r="E4568" s="126">
        <v>11.96</v>
      </c>
      <c r="F4568" s="127"/>
      <c r="G4568" s="127"/>
      <c r="H4568" s="127"/>
      <c r="I4568" s="128"/>
      <c r="K4568" s="105" t="str">
        <f>IFERROR(__xludf.DUMMYFUNCTION("if(A4568="""","""",substitute(SUBSTITUTE(index(importhtml(""http://finviz.com/quote.ashx?t=""&amp;A4568,""table"",10),7,2),""*"",""""),""-"",""0.00""))"),"Loading...")</f>
        <v>Loading...</v>
      </c>
      <c r="L4568" s="129">
        <v>8.28993648E8</v>
      </c>
      <c r="M4568" s="99">
        <v>0.98</v>
      </c>
    </row>
    <row r="4569">
      <c r="A4569" s="122" t="s">
        <v>9593</v>
      </c>
      <c r="B4569" s="123">
        <v>1038143.0</v>
      </c>
      <c r="C4569" s="124" t="s">
        <v>9569</v>
      </c>
      <c r="D4569" s="125"/>
      <c r="E4569" s="126">
        <v>11.97</v>
      </c>
      <c r="F4569" s="127"/>
      <c r="G4569" s="127"/>
      <c r="H4569" s="127"/>
      <c r="I4569" s="128"/>
      <c r="K4569" s="105" t="str">
        <f>IFERROR(__xludf.DUMMYFUNCTION("if(A4569="""","""",substitute(SUBSTITUTE(index(importhtml(""http://finviz.com/quote.ashx?t=""&amp;A4569,""table"",10),7,2),""*"",""""),""-"",""0.00""))"),"Loading...")</f>
        <v>Loading...</v>
      </c>
      <c r="L4569" s="129">
        <v>3.1453268136E10</v>
      </c>
      <c r="M4569" s="99">
        <v>0.21</v>
      </c>
    </row>
    <row r="4570">
      <c r="A4570" s="122" t="s">
        <v>9594</v>
      </c>
      <c r="B4570" s="123">
        <v>1844389.0</v>
      </c>
      <c r="C4570" s="124" t="s">
        <v>9595</v>
      </c>
      <c r="D4570" s="125"/>
      <c r="E4570" s="126">
        <v>11.98</v>
      </c>
      <c r="F4570" s="127"/>
      <c r="G4570" s="127"/>
      <c r="H4570" s="127"/>
      <c r="I4570" s="128"/>
      <c r="K4570" s="105" t="str">
        <f>IFERROR(__xludf.DUMMYFUNCTION("if(A4570="""","""",substitute(SUBSTITUTE(index(importhtml(""http://finviz.com/quote.ashx?t=""&amp;A4570,""table"",10),7,2),""*"",""""),""-"",""0.00""))"),"Loading...")</f>
        <v>Loading...</v>
      </c>
      <c r="L4570" s="129">
        <v>4.110552E7</v>
      </c>
      <c r="M4570" s="99" t="str">
        <f>IFERROR(__xludf.DUMMYFUNCTION("GOOGLEFINANCE(A4570,""beta"")"),"#N/A")</f>
        <v>#N/A</v>
      </c>
    </row>
    <row r="4571">
      <c r="A4571" s="122" t="s">
        <v>9596</v>
      </c>
      <c r="B4571" s="123">
        <v>1849867.0</v>
      </c>
      <c r="C4571" s="124" t="s">
        <v>9597</v>
      </c>
      <c r="D4571" s="125"/>
      <c r="E4571" s="126">
        <v>11.98</v>
      </c>
      <c r="F4571" s="127"/>
      <c r="G4571" s="127"/>
      <c r="H4571" s="127"/>
      <c r="I4571" s="128"/>
      <c r="K4571" s="105" t="str">
        <f>IFERROR(__xludf.DUMMYFUNCTION("if(A4571="""","""",substitute(SUBSTITUTE(index(importhtml(""http://finviz.com/quote.ashx?t=""&amp;A4571,""table"",10),7,2),""*"",""""),""-"",""0.00""))"),"Loading...")</f>
        <v>Loading...</v>
      </c>
      <c r="L4571" s="129">
        <v>5.7040683E7</v>
      </c>
      <c r="M4571" s="99">
        <f>IFERROR(__xludf.DUMMYFUNCTION("GOOGLEFINANCE(A4571,""beta"")"),0.18)</f>
        <v>0.18</v>
      </c>
    </row>
    <row r="4572">
      <c r="A4572" s="122" t="s">
        <v>9598</v>
      </c>
      <c r="B4572" s="123">
        <v>808439.0</v>
      </c>
      <c r="C4572" s="124" t="s">
        <v>9599</v>
      </c>
      <c r="D4572" s="125"/>
      <c r="E4572" s="126">
        <v>11.98</v>
      </c>
      <c r="F4572" s="127"/>
      <c r="G4572" s="127"/>
      <c r="H4572" s="127"/>
      <c r="I4572" s="128"/>
      <c r="K4572" s="105" t="str">
        <f>IFERROR(__xludf.DUMMYFUNCTION("if(A4572="""","""",substitute(SUBSTITUTE(index(importhtml(""http://finviz.com/quote.ashx?t=""&amp;A4572,""table"",10),7,2),""*"",""""),""-"",""0.00""))"),"Loading...")</f>
        <v>Loading...</v>
      </c>
      <c r="L4572" s="129">
        <v>1.21062088E8</v>
      </c>
      <c r="M4572" s="99">
        <v>0.77</v>
      </c>
    </row>
    <row r="4573">
      <c r="A4573" s="122" t="s">
        <v>9600</v>
      </c>
      <c r="B4573" s="123">
        <v>1087786.0</v>
      </c>
      <c r="C4573" s="124" t="s">
        <v>9601</v>
      </c>
      <c r="D4573" s="125"/>
      <c r="E4573" s="126">
        <v>11.98</v>
      </c>
      <c r="F4573" s="127"/>
      <c r="G4573" s="127"/>
      <c r="H4573" s="127"/>
      <c r="I4573" s="128"/>
      <c r="K4573" s="105" t="str">
        <f>IFERROR(__xludf.DUMMYFUNCTION("if(A4573="""","""",substitute(SUBSTITUTE(index(importhtml(""http://finviz.com/quote.ashx?t=""&amp;A4573,""table"",10),7,2),""*"",""""),""-"",""0.00""))"),"Loading...")</f>
        <v>Loading...</v>
      </c>
      <c r="L4573" s="129">
        <v>4.94349649E8</v>
      </c>
      <c r="M4573" s="99">
        <v>0.48</v>
      </c>
    </row>
    <row r="4574">
      <c r="A4574" s="122" t="s">
        <v>9602</v>
      </c>
      <c r="B4574" s="123">
        <v>1034665.0</v>
      </c>
      <c r="C4574" s="124" t="s">
        <v>9603</v>
      </c>
      <c r="D4574" s="125"/>
      <c r="E4574" s="126">
        <v>11.98</v>
      </c>
      <c r="F4574" s="127"/>
      <c r="G4574" s="127"/>
      <c r="H4574" s="127"/>
      <c r="I4574" s="128"/>
      <c r="K4574" s="105" t="str">
        <f>IFERROR(__xludf.DUMMYFUNCTION("if(A4574="""","""",substitute(SUBSTITUTE(index(importhtml(""http://finviz.com/quote.ashx?t=""&amp;A4574,""table"",10),7,2),""*"",""""),""-"",""0.00""))"),"Loading...")</f>
        <v>Loading...</v>
      </c>
      <c r="L4574" s="129">
        <v>6.32293833E8</v>
      </c>
      <c r="M4574" s="99">
        <v>0.49</v>
      </c>
    </row>
    <row r="4575">
      <c r="A4575" s="122" t="s">
        <v>9604</v>
      </c>
      <c r="B4575" s="123">
        <v>1090116.0</v>
      </c>
      <c r="C4575" s="124" t="s">
        <v>9605</v>
      </c>
      <c r="D4575" s="125"/>
      <c r="E4575" s="126">
        <v>11.99</v>
      </c>
      <c r="F4575" s="127"/>
      <c r="G4575" s="127"/>
      <c r="H4575" s="127"/>
      <c r="I4575" s="128"/>
      <c r="K4575" s="105" t="str">
        <f>IFERROR(__xludf.DUMMYFUNCTION("if(A4575="""","""",substitute(SUBSTITUTE(index(importhtml(""http://finviz.com/quote.ashx?t=""&amp;A4575,""table"",10),7,2),""*"",""""),""-"",""0.00""))"),"Loading...")</f>
        <v>Loading...</v>
      </c>
      <c r="L4575" s="129">
        <v>2.560133527E9</v>
      </c>
      <c r="M4575" s="99">
        <v>0.6</v>
      </c>
    </row>
    <row r="4576">
      <c r="A4576" s="122" t="s">
        <v>9606</v>
      </c>
      <c r="B4576" s="123">
        <v>1901637.0</v>
      </c>
      <c r="C4576" s="124" t="s">
        <v>9607</v>
      </c>
      <c r="D4576" s="125"/>
      <c r="E4576" s="126">
        <v>12.0</v>
      </c>
      <c r="F4576" s="127"/>
      <c r="G4576" s="127"/>
      <c r="H4576" s="127"/>
      <c r="I4576" s="128"/>
      <c r="K4576" s="105" t="str">
        <f>IFERROR(__xludf.DUMMYFUNCTION("if(A4576="""","""",substitute(SUBSTITUTE(index(importhtml(""http://finviz.com/quote.ashx?t=""&amp;A4576,""table"",10),7,2),""*"",""""),""-"",""0.00""))"),"Loading...")</f>
        <v>Loading...</v>
      </c>
      <c r="L4576" s="129">
        <v>2.3490516E8</v>
      </c>
      <c r="M4576" s="99">
        <f>IFERROR(__xludf.DUMMYFUNCTION("GOOGLEFINANCE(A4576,""beta"")"),0.61)</f>
        <v>0.61</v>
      </c>
    </row>
    <row r="4577">
      <c r="A4577" s="122" t="s">
        <v>9608</v>
      </c>
      <c r="B4577" s="123">
        <v>1497186.0</v>
      </c>
      <c r="C4577" s="124" t="s">
        <v>9609</v>
      </c>
      <c r="D4577" s="125"/>
      <c r="E4577" s="126">
        <v>12.0</v>
      </c>
      <c r="F4577" s="127"/>
      <c r="G4577" s="127"/>
      <c r="H4577" s="127"/>
      <c r="I4577" s="128"/>
      <c r="K4577" s="105" t="str">
        <f>IFERROR(__xludf.DUMMYFUNCTION("if(A4577="""","""",substitute(SUBSTITUTE(index(importhtml(""http://finviz.com/quote.ashx?t=""&amp;A4577,""table"",10),7,2),""*"",""""),""-"",""0.00""))"),"Loading...")</f>
        <v>Loading...</v>
      </c>
      <c r="L4577" s="129">
        <v>2.7192696E8</v>
      </c>
      <c r="M4577" s="99">
        <v>0.64</v>
      </c>
    </row>
    <row r="4578">
      <c r="A4578" s="122" t="s">
        <v>9610</v>
      </c>
      <c r="B4578" s="123">
        <v>1898601.0</v>
      </c>
      <c r="C4578" s="124" t="s">
        <v>9611</v>
      </c>
      <c r="D4578" s="125"/>
      <c r="E4578" s="126">
        <v>12.0</v>
      </c>
      <c r="F4578" s="127"/>
      <c r="G4578" s="127"/>
      <c r="H4578" s="127"/>
      <c r="I4578" s="128"/>
      <c r="K4578" s="105" t="str">
        <f>IFERROR(__xludf.DUMMYFUNCTION("if(A4578="""","""",substitute(SUBSTITUTE(index(importhtml(""http://finviz.com/quote.ashx?t=""&amp;A4578,""table"",10),7,2),""*"",""""),""-"",""0.00""))"),"Loading...")</f>
        <v>Loading...</v>
      </c>
      <c r="L4578" s="129">
        <v>4.14535223E8</v>
      </c>
      <c r="M4578" s="99">
        <f>IFERROR(__xludf.DUMMYFUNCTION("GOOGLEFINANCE(A4578,""beta"")"),1.54)</f>
        <v>1.54</v>
      </c>
    </row>
    <row r="4579">
      <c r="A4579" s="122" t="s">
        <v>9612</v>
      </c>
      <c r="B4579" s="123">
        <v>1481646.0</v>
      </c>
      <c r="C4579" s="124" t="s">
        <v>9613</v>
      </c>
      <c r="D4579" s="125"/>
      <c r="E4579" s="126">
        <v>12.0</v>
      </c>
      <c r="F4579" s="127"/>
      <c r="G4579" s="127"/>
      <c r="H4579" s="127"/>
      <c r="I4579" s="128"/>
      <c r="K4579" s="105" t="str">
        <f>IFERROR(__xludf.DUMMYFUNCTION("if(A4579="""","""",substitute(SUBSTITUTE(index(importhtml(""http://finviz.com/quote.ashx?t=""&amp;A4579,""table"",10),7,2),""*"",""""),""-"",""0.00""))"),"Loading...")</f>
        <v>Loading...</v>
      </c>
      <c r="L4579" s="129">
        <v>9.288912E8</v>
      </c>
      <c r="M4579" s="99">
        <v>2.15</v>
      </c>
    </row>
    <row r="4580">
      <c r="A4580" s="122" t="s">
        <v>9614</v>
      </c>
      <c r="B4580" s="123">
        <v>1741257.0</v>
      </c>
      <c r="C4580" s="124" t="s">
        <v>9615</v>
      </c>
      <c r="D4580" s="125"/>
      <c r="E4580" s="126">
        <v>12.0</v>
      </c>
      <c r="F4580" s="127"/>
      <c r="G4580" s="127"/>
      <c r="H4580" s="127"/>
      <c r="I4580" s="128"/>
      <c r="K4580" s="105" t="str">
        <f>IFERROR(__xludf.DUMMYFUNCTION("if(A4580="""","""",substitute(SUBSTITUTE(index(importhtml(""http://finviz.com/quote.ashx?t=""&amp;A4580,""table"",10),7,2),""*"",""""),""-"",""0.00""))"),"Loading...")</f>
        <v>Loading...</v>
      </c>
      <c r="L4580" s="129" t="e">
        <v>#N/A</v>
      </c>
      <c r="M4580" s="99" t="str">
        <f>IFERROR(__xludf.DUMMYFUNCTION("GOOGLEFINANCE(A4580,""beta"")"),"#N/A")</f>
        <v>#N/A</v>
      </c>
    </row>
    <row r="4581">
      <c r="A4581" s="122" t="s">
        <v>9616</v>
      </c>
      <c r="B4581" s="123">
        <v>1849058.0</v>
      </c>
      <c r="C4581" s="124" t="s">
        <v>9617</v>
      </c>
      <c r="D4581" s="125"/>
      <c r="E4581" s="126">
        <v>12.01</v>
      </c>
      <c r="F4581" s="127"/>
      <c r="G4581" s="127"/>
      <c r="H4581" s="127"/>
      <c r="I4581" s="128"/>
      <c r="K4581" s="105" t="str">
        <f>IFERROR(__xludf.DUMMYFUNCTION("if(A4581="""","""",substitute(SUBSTITUTE(index(importhtml(""http://finviz.com/quote.ashx?t=""&amp;A4581,""table"",10),7,2),""*"",""""),""-"",""0.00""))"),"Loading...")</f>
        <v>Loading...</v>
      </c>
      <c r="L4581" s="129">
        <v>6.38727E7</v>
      </c>
      <c r="M4581" s="99" t="str">
        <f>IFERROR(__xludf.DUMMYFUNCTION("GOOGLEFINANCE(A4581,""beta"")"),"#N/A")</f>
        <v>#N/A</v>
      </c>
    </row>
    <row r="4582">
      <c r="A4582" s="122" t="s">
        <v>9618</v>
      </c>
      <c r="B4582" s="123">
        <v>891290.0</v>
      </c>
      <c r="C4582" s="124" t="s">
        <v>9619</v>
      </c>
      <c r="D4582" s="125"/>
      <c r="E4582" s="126">
        <v>12.01</v>
      </c>
      <c r="F4582" s="127"/>
      <c r="G4582" s="127"/>
      <c r="H4582" s="127"/>
      <c r="I4582" s="128"/>
      <c r="K4582" s="105" t="str">
        <f>IFERROR(__xludf.DUMMYFUNCTION("if(A4582="""","""",substitute(SUBSTITUTE(index(importhtml(""http://finviz.com/quote.ashx?t=""&amp;A4582,""table"",10),7,2),""*"",""""),""-"",""0.00""))"),"Loading...")</f>
        <v>Loading...</v>
      </c>
      <c r="L4582" s="129">
        <v>3.18434827E8</v>
      </c>
      <c r="M4582" s="99">
        <v>1.08</v>
      </c>
    </row>
    <row r="4583">
      <c r="A4583" s="122" t="s">
        <v>9620</v>
      </c>
      <c r="B4583" s="123">
        <v>1682241.0</v>
      </c>
      <c r="C4583" s="124" t="s">
        <v>9621</v>
      </c>
      <c r="D4583" s="125"/>
      <c r="E4583" s="126">
        <v>12.01</v>
      </c>
      <c r="F4583" s="127"/>
      <c r="G4583" s="127"/>
      <c r="H4583" s="127"/>
      <c r="I4583" s="128"/>
      <c r="K4583" s="105" t="str">
        <f>IFERROR(__xludf.DUMMYFUNCTION("if(A4583="""","""",substitute(SUBSTITUTE(index(importhtml(""http://finviz.com/quote.ashx?t=""&amp;A4583,""table"",10),7,2),""*"",""""),""-"",""0.00""))"),"Loading...")</f>
        <v>Loading...</v>
      </c>
      <c r="L4583" s="129">
        <v>4.77280051E8</v>
      </c>
      <c r="M4583" s="99" t="str">
        <f>IFERROR(__xludf.DUMMYFUNCTION("GOOGLEFINANCE(A4583,""beta"")"),"#N/A")</f>
        <v>#N/A</v>
      </c>
    </row>
    <row r="4584">
      <c r="A4584" s="122" t="s">
        <v>9622</v>
      </c>
      <c r="B4584" s="123">
        <v>731653.0</v>
      </c>
      <c r="C4584" s="124" t="s">
        <v>9623</v>
      </c>
      <c r="D4584" s="125"/>
      <c r="E4584" s="126">
        <v>12.03</v>
      </c>
      <c r="F4584" s="127"/>
      <c r="G4584" s="127"/>
      <c r="H4584" s="127"/>
      <c r="I4584" s="128"/>
      <c r="K4584" s="105" t="str">
        <f>IFERROR(__xludf.DUMMYFUNCTION("if(A4584="""","""",substitute(SUBSTITUTE(index(importhtml(""http://finviz.com/quote.ashx?t=""&amp;A4584,""table"",10),7,2),""*"",""""),""-"",""0.00""))"),"Loading...")</f>
        <v>Loading...</v>
      </c>
      <c r="L4584" s="129">
        <v>6.8741722E7</v>
      </c>
      <c r="M4584" s="99">
        <v>0.33</v>
      </c>
    </row>
    <row r="4585">
      <c r="A4585" s="122" t="s">
        <v>9624</v>
      </c>
      <c r="B4585" s="123">
        <v>1471265.0</v>
      </c>
      <c r="C4585" s="124" t="s">
        <v>9625</v>
      </c>
      <c r="D4585" s="125"/>
      <c r="E4585" s="126">
        <v>12.03</v>
      </c>
      <c r="F4585" s="127"/>
      <c r="G4585" s="127"/>
      <c r="H4585" s="127"/>
      <c r="I4585" s="128"/>
      <c r="K4585" s="105" t="str">
        <f>IFERROR(__xludf.DUMMYFUNCTION("if(A4585="""","""",substitute(SUBSTITUTE(index(importhtml(""http://finviz.com/quote.ashx?t=""&amp;A4585,""table"",10),7,2),""*"",""""),""-"",""0.00""))"),"Loading...")</f>
        <v>Loading...</v>
      </c>
      <c r="L4585" s="129">
        <v>1.529138078E9</v>
      </c>
      <c r="M4585" s="99">
        <v>0.62</v>
      </c>
    </row>
    <row r="4586">
      <c r="A4586" s="122" t="s">
        <v>9626</v>
      </c>
      <c r="B4586" s="123">
        <v>1319183.0</v>
      </c>
      <c r="C4586" s="124" t="s">
        <v>9627</v>
      </c>
      <c r="D4586" s="125"/>
      <c r="E4586" s="126">
        <v>12.05</v>
      </c>
      <c r="F4586" s="127"/>
      <c r="G4586" s="127"/>
      <c r="H4586" s="127"/>
      <c r="I4586" s="128"/>
      <c r="K4586" s="55" t="s">
        <v>7986</v>
      </c>
      <c r="L4586" s="129" t="e">
        <v>#N/A</v>
      </c>
      <c r="M4586" s="99">
        <v>0.29</v>
      </c>
    </row>
    <row r="4587">
      <c r="A4587" s="122" t="s">
        <v>9628</v>
      </c>
      <c r="B4587" s="123">
        <v>1864531.0</v>
      </c>
      <c r="C4587" s="124" t="s">
        <v>9629</v>
      </c>
      <c r="D4587" s="125"/>
      <c r="E4587" s="126">
        <v>12.05</v>
      </c>
      <c r="F4587" s="127"/>
      <c r="G4587" s="127"/>
      <c r="H4587" s="127"/>
      <c r="I4587" s="128"/>
      <c r="K4587" s="105" t="str">
        <f>IFERROR(__xludf.DUMMYFUNCTION("if(A4587="""","""",substitute(SUBSTITUTE(index(importhtml(""http://finviz.com/quote.ashx?t=""&amp;A4587,""table"",10),7,2),""*"",""""),""-"",""0.00""))"),"Loading...")</f>
        <v>Loading...</v>
      </c>
      <c r="L4587" s="129">
        <v>4.3186778E7</v>
      </c>
      <c r="M4587" s="99" t="str">
        <f>IFERROR(__xludf.DUMMYFUNCTION("GOOGLEFINANCE(A4587,""beta"")"),"#N/A")</f>
        <v>#N/A</v>
      </c>
    </row>
    <row r="4588">
      <c r="A4588" s="122" t="s">
        <v>9630</v>
      </c>
      <c r="B4588" s="123">
        <v>1434728.0</v>
      </c>
      <c r="C4588" s="124" t="s">
        <v>9631</v>
      </c>
      <c r="D4588" s="125"/>
      <c r="E4588" s="126">
        <v>12.05</v>
      </c>
      <c r="F4588" s="127"/>
      <c r="G4588" s="127"/>
      <c r="H4588" s="127"/>
      <c r="I4588" s="128"/>
      <c r="K4588" s="105" t="str">
        <f>IFERROR(__xludf.DUMMYFUNCTION("if(A4588="""","""",substitute(SUBSTITUTE(index(importhtml(""http://finviz.com/quote.ashx?t=""&amp;A4588,""table"",10),7,2),""*"",""""),""-"",""0.00""))"),"Loading...")</f>
        <v>Loading...</v>
      </c>
      <c r="L4588" s="129">
        <v>2.912667E8</v>
      </c>
      <c r="M4588" s="99">
        <v>0.96</v>
      </c>
    </row>
    <row r="4589">
      <c r="A4589" s="122" t="s">
        <v>9632</v>
      </c>
      <c r="B4589" s="123">
        <v>1609253.0</v>
      </c>
      <c r="C4589" s="124" t="s">
        <v>9633</v>
      </c>
      <c r="D4589" s="125"/>
      <c r="E4589" s="126">
        <v>12.06</v>
      </c>
      <c r="F4589" s="127"/>
      <c r="G4589" s="127"/>
      <c r="H4589" s="127"/>
      <c r="I4589" s="128"/>
      <c r="K4589" s="105" t="str">
        <f>IFERROR(__xludf.DUMMYFUNCTION("if(A4589="""","""",substitute(SUBSTITUTE(index(importhtml(""http://finviz.com/quote.ashx?t=""&amp;A4589,""table"",10),7,2),""*"",""""),""-"",""0.00""))"),"Loading...")</f>
        <v>Loading...</v>
      </c>
      <c r="L4589" s="129">
        <v>3.212095272E9</v>
      </c>
      <c r="M4589" s="99">
        <v>1.67</v>
      </c>
    </row>
    <row r="4590">
      <c r="A4590" s="122" t="s">
        <v>9634</v>
      </c>
      <c r="B4590" s="123">
        <v>1306550.0</v>
      </c>
      <c r="C4590" s="124" t="s">
        <v>9635</v>
      </c>
      <c r="D4590" s="125"/>
      <c r="E4590" s="126">
        <v>12.07</v>
      </c>
      <c r="F4590" s="127"/>
      <c r="G4590" s="127"/>
      <c r="H4590" s="127"/>
      <c r="I4590" s="128"/>
      <c r="K4590" s="55" t="s">
        <v>7986</v>
      </c>
      <c r="L4590" s="129">
        <v>3.35882865E8</v>
      </c>
      <c r="M4590" s="99">
        <v>1.05</v>
      </c>
    </row>
    <row r="4591">
      <c r="A4591" s="122" t="s">
        <v>9636</v>
      </c>
      <c r="B4591" s="123">
        <v>1808220.0</v>
      </c>
      <c r="C4591" s="124" t="s">
        <v>9637</v>
      </c>
      <c r="D4591" s="125"/>
      <c r="E4591" s="126">
        <v>12.07</v>
      </c>
      <c r="F4591" s="127"/>
      <c r="G4591" s="127"/>
      <c r="H4591" s="127"/>
      <c r="I4591" s="128"/>
      <c r="K4591" s="105" t="str">
        <f>IFERROR(__xludf.DUMMYFUNCTION("if(A4591="""","""",substitute(SUBSTITUTE(index(importhtml(""http://finviz.com/quote.ashx?t=""&amp;A4591,""table"",10),7,2),""*"",""""),""-"",""0.00""))"),"Loading...")</f>
        <v>Loading...</v>
      </c>
      <c r="L4591" s="129">
        <v>2.7001929E8</v>
      </c>
      <c r="M4591" s="99">
        <f>IFERROR(__xludf.DUMMYFUNCTION("GOOGLEFINANCE(A4591,""beta"")"),1.57)</f>
        <v>1.57</v>
      </c>
    </row>
    <row r="4592">
      <c r="A4592" s="122" t="s">
        <v>9638</v>
      </c>
      <c r="B4592" s="123">
        <v>320340.0</v>
      </c>
      <c r="C4592" s="124" t="s">
        <v>9639</v>
      </c>
      <c r="D4592" s="125"/>
      <c r="E4592" s="126">
        <v>12.09</v>
      </c>
      <c r="F4592" s="127"/>
      <c r="G4592" s="127"/>
      <c r="H4592" s="127"/>
      <c r="I4592" s="128"/>
      <c r="K4592" s="105" t="str">
        <f>IFERROR(__xludf.DUMMYFUNCTION("if(A4592="""","""",substitute(SUBSTITUTE(index(importhtml(""http://finviz.com/quote.ashx?t=""&amp;A4592,""table"",10),7,2),""*"",""""),""-"",""0.00""))"),"Loading...")</f>
        <v>Loading...</v>
      </c>
      <c r="L4592" s="129">
        <v>1.02043917E8</v>
      </c>
      <c r="M4592" s="99">
        <v>0.38</v>
      </c>
    </row>
    <row r="4593">
      <c r="A4593" s="122" t="s">
        <v>9640</v>
      </c>
      <c r="B4593" s="123">
        <v>1437710.0</v>
      </c>
      <c r="C4593" s="124" t="s">
        <v>9641</v>
      </c>
      <c r="D4593" s="125"/>
      <c r="E4593" s="126">
        <v>12.09</v>
      </c>
      <c r="F4593" s="127"/>
      <c r="G4593" s="127"/>
      <c r="H4593" s="127"/>
      <c r="I4593" s="128"/>
      <c r="K4593" s="105" t="str">
        <f>IFERROR(__xludf.DUMMYFUNCTION("if(A4593="""","""",substitute(SUBSTITUTE(index(importhtml(""http://finviz.com/quote.ashx?t=""&amp;A4593,""table"",10),7,2),""*"",""""),""-"",""0.00""))"),"Loading...")</f>
        <v>Loading...</v>
      </c>
      <c r="L4593" s="129">
        <v>1.979656673E9</v>
      </c>
      <c r="M4593" s="99">
        <f>IFERROR(__xludf.DUMMYFUNCTION("GOOGLEFINANCE(A4593,""beta"")"),1.19)</f>
        <v>1.19</v>
      </c>
    </row>
    <row r="4594">
      <c r="A4594" s="122" t="s">
        <v>9642</v>
      </c>
      <c r="B4594" s="123">
        <v>1574540.0</v>
      </c>
      <c r="C4594" s="124" t="s">
        <v>9643</v>
      </c>
      <c r="D4594" s="125"/>
      <c r="E4594" s="126">
        <v>12.1</v>
      </c>
      <c r="F4594" s="127"/>
      <c r="G4594" s="127"/>
      <c r="H4594" s="127"/>
      <c r="I4594" s="128"/>
      <c r="K4594" s="55" t="s">
        <v>9644</v>
      </c>
      <c r="L4594" s="129">
        <v>2.886995961E9</v>
      </c>
      <c r="M4594" s="99">
        <v>0.9</v>
      </c>
    </row>
    <row r="4595">
      <c r="A4595" s="122" t="s">
        <v>9645</v>
      </c>
      <c r="B4595" s="123">
        <v>885731.0</v>
      </c>
      <c r="C4595" s="124" t="s">
        <v>9646</v>
      </c>
      <c r="D4595" s="125"/>
      <c r="E4595" s="126">
        <v>12.1</v>
      </c>
      <c r="F4595" s="127"/>
      <c r="G4595" s="127"/>
      <c r="H4595" s="127"/>
      <c r="I4595" s="128"/>
      <c r="K4595" s="105" t="str">
        <f>IFERROR(__xludf.DUMMYFUNCTION("if(A4595="""","""",substitute(SUBSTITUTE(index(importhtml(""http://finviz.com/quote.ashx?t=""&amp;A4595,""table"",10),7,2),""*"",""""),""-"",""0.00""))"),"Loading...")</f>
        <v>Loading...</v>
      </c>
      <c r="L4595" s="129">
        <v>4.7473162E7</v>
      </c>
      <c r="M4595" s="99">
        <v>0.3</v>
      </c>
    </row>
    <row r="4596">
      <c r="A4596" s="122" t="s">
        <v>9647</v>
      </c>
      <c r="B4596" s="123">
        <v>71557.0</v>
      </c>
      <c r="C4596" s="124" t="s">
        <v>9648</v>
      </c>
      <c r="D4596" s="125"/>
      <c r="E4596" s="126">
        <v>12.1</v>
      </c>
      <c r="F4596" s="127"/>
      <c r="G4596" s="127"/>
      <c r="H4596" s="127"/>
      <c r="I4596" s="128"/>
      <c r="K4596" s="105" t="str">
        <f>IFERROR(__xludf.DUMMYFUNCTION("if(A4596="""","""",substitute(SUBSTITUTE(index(importhtml(""http://finviz.com/quote.ashx?t=""&amp;A4596,""table"",10),7,2),""*"",""""),""-"",""0.00""))"),"Loading...")</f>
        <v>Loading...</v>
      </c>
      <c r="L4596" s="129">
        <v>6.203163E7</v>
      </c>
      <c r="M4596" s="99">
        <v>0.29</v>
      </c>
    </row>
    <row r="4597">
      <c r="A4597" s="122" t="s">
        <v>9649</v>
      </c>
      <c r="B4597" s="123">
        <v>1739942.0</v>
      </c>
      <c r="C4597" s="124" t="s">
        <v>9650</v>
      </c>
      <c r="D4597" s="125"/>
      <c r="E4597" s="126">
        <v>12.1</v>
      </c>
      <c r="F4597" s="127"/>
      <c r="G4597" s="127"/>
      <c r="H4597" s="127"/>
      <c r="I4597" s="128"/>
      <c r="K4597" s="105" t="str">
        <f>IFERROR(__xludf.DUMMYFUNCTION("if(A4597="""","""",substitute(SUBSTITUTE(index(importhtml(""http://finviz.com/quote.ashx?t=""&amp;A4597,""table"",10),7,2),""*"",""""),""-"",""0.00""))"),"Loading...")</f>
        <v>Loading...</v>
      </c>
      <c r="L4597" s="129">
        <v>2.006731823E9</v>
      </c>
      <c r="M4597" s="99">
        <v>0.99</v>
      </c>
    </row>
    <row r="4598">
      <c r="A4598" s="122" t="s">
        <v>9651</v>
      </c>
      <c r="B4598" s="123">
        <v>888746.0</v>
      </c>
      <c r="C4598" s="124" t="s">
        <v>9652</v>
      </c>
      <c r="D4598" s="125"/>
      <c r="E4598" s="126">
        <v>12.11</v>
      </c>
      <c r="F4598" s="127"/>
      <c r="G4598" s="127"/>
      <c r="H4598" s="127"/>
      <c r="I4598" s="128"/>
      <c r="K4598" s="55" t="s">
        <v>9653</v>
      </c>
      <c r="L4598" s="129">
        <v>2.238147127E9</v>
      </c>
      <c r="M4598" s="99">
        <v>0.92</v>
      </c>
    </row>
    <row r="4599">
      <c r="A4599" s="122" t="s">
        <v>9654</v>
      </c>
      <c r="B4599" s="123">
        <v>1622194.0</v>
      </c>
      <c r="C4599" s="124" t="s">
        <v>9655</v>
      </c>
      <c r="D4599" s="125"/>
      <c r="E4599" s="126">
        <v>12.11</v>
      </c>
      <c r="F4599" s="127"/>
      <c r="G4599" s="127"/>
      <c r="H4599" s="127"/>
      <c r="I4599" s="128"/>
      <c r="K4599" s="55" t="s">
        <v>9656</v>
      </c>
      <c r="L4599" s="129">
        <v>1.152882745E9</v>
      </c>
      <c r="M4599" s="99">
        <v>0.72</v>
      </c>
    </row>
    <row r="4600">
      <c r="A4600" s="122" t="s">
        <v>9657</v>
      </c>
      <c r="B4600" s="123">
        <v>740663.0</v>
      </c>
      <c r="C4600" s="124" t="s">
        <v>9658</v>
      </c>
      <c r="D4600" s="125"/>
      <c r="E4600" s="126">
        <v>12.11</v>
      </c>
      <c r="F4600" s="127"/>
      <c r="G4600" s="127"/>
      <c r="H4600" s="127"/>
      <c r="I4600" s="128"/>
      <c r="K4600" s="105" t="str">
        <f>IFERROR(__xludf.DUMMYFUNCTION("if(A4600="""","""",substitute(SUBSTITUTE(index(importhtml(""http://finviz.com/quote.ashx?t=""&amp;A4600,""table"",10),7,2),""*"",""""),""-"",""0.00""))"),"Loading...")</f>
        <v>Loading...</v>
      </c>
      <c r="L4600" s="129">
        <v>2.73576154E8</v>
      </c>
      <c r="M4600" s="99">
        <v>0.67</v>
      </c>
    </row>
    <row r="4601">
      <c r="A4601" s="122" t="s">
        <v>9659</v>
      </c>
      <c r="B4601" s="123">
        <v>938323.0</v>
      </c>
      <c r="C4601" s="124" t="s">
        <v>9660</v>
      </c>
      <c r="D4601" s="125"/>
      <c r="E4601" s="126">
        <v>12.12</v>
      </c>
      <c r="F4601" s="127"/>
      <c r="G4601" s="127"/>
      <c r="H4601" s="127"/>
      <c r="I4601" s="128"/>
      <c r="K4601" s="105" t="str">
        <f>IFERROR(__xludf.DUMMYFUNCTION("if(A4601="""","""",substitute(SUBSTITUTE(index(importhtml(""http://finviz.com/quote.ashx?t=""&amp;A4601,""table"",10),7,2),""*"",""""),""-"",""0.00""))"),"Loading...")</f>
        <v>Loading...</v>
      </c>
      <c r="L4601" s="129">
        <v>8.355696389E9</v>
      </c>
      <c r="M4601" s="99">
        <v>0.4</v>
      </c>
    </row>
    <row r="4602">
      <c r="A4602" s="122" t="s">
        <v>9661</v>
      </c>
      <c r="B4602" s="123">
        <v>75398.0</v>
      </c>
      <c r="C4602" s="124" t="s">
        <v>9662</v>
      </c>
      <c r="D4602" s="125"/>
      <c r="E4602" s="126">
        <v>12.13</v>
      </c>
      <c r="F4602" s="127"/>
      <c r="G4602" s="127"/>
      <c r="H4602" s="127"/>
      <c r="I4602" s="128"/>
      <c r="K4602" s="105" t="str">
        <f>IFERROR(__xludf.DUMMYFUNCTION("if(A4602="""","""",substitute(SUBSTITUTE(index(importhtml(""http://finviz.com/quote.ashx?t=""&amp;A4602,""table"",10),7,2),""*"",""""),""-"",""0.00""))"),"Loading...")</f>
        <v>Loading...</v>
      </c>
      <c r="L4602" s="129">
        <v>1.15339459E8</v>
      </c>
      <c r="M4602" s="99">
        <v>0.51</v>
      </c>
    </row>
    <row r="4603">
      <c r="A4603" s="122" t="s">
        <v>9663</v>
      </c>
      <c r="B4603" s="123">
        <v>897802.0</v>
      </c>
      <c r="C4603" s="124" t="s">
        <v>9664</v>
      </c>
      <c r="D4603" s="125"/>
      <c r="E4603" s="126">
        <v>12.13</v>
      </c>
      <c r="F4603" s="127"/>
      <c r="G4603" s="127"/>
      <c r="H4603" s="127"/>
      <c r="I4603" s="128"/>
      <c r="K4603" s="105" t="str">
        <f>IFERROR(__xludf.DUMMYFUNCTION("if(A4603="""","""",substitute(SUBSTITUTE(index(importhtml(""http://finviz.com/quote.ashx?t=""&amp;A4603,""table"",10),7,2),""*"",""""),""-"",""0.00""))"),"Loading...")</f>
        <v>Loading...</v>
      </c>
      <c r="L4603" s="129">
        <v>1.35639238E8</v>
      </c>
      <c r="M4603" s="99">
        <v>1.01</v>
      </c>
    </row>
    <row r="4604">
      <c r="A4604" s="122" t="s">
        <v>9665</v>
      </c>
      <c r="B4604" s="123">
        <v>37996.0</v>
      </c>
      <c r="C4604" s="124" t="s">
        <v>9666</v>
      </c>
      <c r="D4604" s="125"/>
      <c r="E4604" s="126">
        <v>12.14</v>
      </c>
      <c r="F4604" s="127"/>
      <c r="G4604" s="127"/>
      <c r="H4604" s="127"/>
      <c r="I4604" s="128"/>
      <c r="K4604" s="138" t="s">
        <v>6916</v>
      </c>
      <c r="L4604" s="129">
        <v>4.8595862934E10</v>
      </c>
      <c r="M4604" s="99">
        <v>1.61</v>
      </c>
    </row>
    <row r="4605">
      <c r="A4605" s="122" t="s">
        <v>9667</v>
      </c>
      <c r="B4605" s="123">
        <v>1275101.0</v>
      </c>
      <c r="C4605" s="124" t="s">
        <v>9668</v>
      </c>
      <c r="D4605" s="125"/>
      <c r="E4605" s="126">
        <v>12.15</v>
      </c>
      <c r="F4605" s="127"/>
      <c r="G4605" s="127"/>
      <c r="H4605" s="127"/>
      <c r="I4605" s="128"/>
      <c r="K4605" s="105" t="str">
        <f>IFERROR(__xludf.DUMMYFUNCTION("if(A4605="""","""",substitute(SUBSTITUTE(index(importhtml(""http://finviz.com/quote.ashx?t=""&amp;A4605,""table"",10),7,2),""*"",""""),""-"",""0.00""))"),"Loading...")</f>
        <v>Loading...</v>
      </c>
      <c r="L4605" s="129">
        <v>5.5201554E7</v>
      </c>
      <c r="M4605" s="99">
        <v>0.74</v>
      </c>
    </row>
    <row r="4606">
      <c r="A4606" s="122" t="s">
        <v>9669</v>
      </c>
      <c r="B4606" s="123">
        <v>1165002.0</v>
      </c>
      <c r="C4606" s="124" t="s">
        <v>9670</v>
      </c>
      <c r="D4606" s="125"/>
      <c r="E4606" s="126">
        <v>12.15</v>
      </c>
      <c r="F4606" s="127"/>
      <c r="G4606" s="127"/>
      <c r="H4606" s="127"/>
      <c r="I4606" s="128"/>
      <c r="K4606" s="105" t="str">
        <f>IFERROR(__xludf.DUMMYFUNCTION("if(A4606="""","""",substitute(SUBSTITUTE(index(importhtml(""http://finviz.com/quote.ashx?t=""&amp;A4606,""table"",10),7,2),""*"",""""),""-"",""0.00""))"),"Loading...")</f>
        <v>Loading...</v>
      </c>
      <c r="L4606" s="129">
        <v>1.11119789E8</v>
      </c>
      <c r="M4606" s="99">
        <v>1.25</v>
      </c>
    </row>
    <row r="4607">
      <c r="A4607" s="122" t="s">
        <v>9671</v>
      </c>
      <c r="B4607" s="123">
        <v>1368493.0</v>
      </c>
      <c r="C4607" s="124" t="s">
        <v>9672</v>
      </c>
      <c r="D4607" s="125"/>
      <c r="E4607" s="126">
        <v>12.17</v>
      </c>
      <c r="F4607" s="127"/>
      <c r="G4607" s="127"/>
      <c r="H4607" s="127"/>
      <c r="I4607" s="128"/>
      <c r="K4607" s="55" t="s">
        <v>6214</v>
      </c>
      <c r="L4607" s="129">
        <v>2.66203295E8</v>
      </c>
      <c r="M4607" s="99">
        <v>0.48</v>
      </c>
    </row>
    <row r="4608">
      <c r="A4608" s="122" t="s">
        <v>9673</v>
      </c>
      <c r="B4608" s="123">
        <v>832327.0</v>
      </c>
      <c r="C4608" s="124" t="s">
        <v>9674</v>
      </c>
      <c r="D4608" s="125"/>
      <c r="E4608" s="126">
        <v>12.2</v>
      </c>
      <c r="F4608" s="127"/>
      <c r="G4608" s="127"/>
      <c r="H4608" s="127"/>
      <c r="I4608" s="128"/>
      <c r="K4608" s="55" t="s">
        <v>9675</v>
      </c>
      <c r="L4608" s="129">
        <v>2.59848405E8</v>
      </c>
      <c r="M4608" s="99">
        <v>0.41</v>
      </c>
    </row>
    <row r="4609">
      <c r="A4609" s="122" t="s">
        <v>9676</v>
      </c>
      <c r="B4609" s="123">
        <v>1861115.0</v>
      </c>
      <c r="C4609" s="124" t="s">
        <v>9677</v>
      </c>
      <c r="D4609" s="125"/>
      <c r="E4609" s="126">
        <v>12.22</v>
      </c>
      <c r="F4609" s="127"/>
      <c r="G4609" s="127"/>
      <c r="H4609" s="127"/>
      <c r="I4609" s="128"/>
      <c r="K4609" s="105" t="str">
        <f>IFERROR(__xludf.DUMMYFUNCTION("if(A4609="""","""",substitute(SUBSTITUTE(index(importhtml(""http://finviz.com/quote.ashx?t=""&amp;A4609,""table"",10),7,2),""*"",""""),""-"",""0.00""))"),"Loading...")</f>
        <v>Loading...</v>
      </c>
      <c r="L4609" s="129">
        <v>4.08461329E8</v>
      </c>
      <c r="M4609" s="99">
        <f>IFERROR(__xludf.DUMMYFUNCTION("GOOGLEFINANCE(A4609,""beta"")"),0.96)</f>
        <v>0.96</v>
      </c>
    </row>
    <row r="4610">
      <c r="A4610" s="122" t="s">
        <v>9678</v>
      </c>
      <c r="B4610" s="123">
        <v>1254699.0</v>
      </c>
      <c r="C4610" s="124" t="s">
        <v>9679</v>
      </c>
      <c r="D4610" s="125"/>
      <c r="E4610" s="126">
        <v>12.23</v>
      </c>
      <c r="F4610" s="127"/>
      <c r="G4610" s="127"/>
      <c r="H4610" s="127"/>
      <c r="I4610" s="128"/>
      <c r="K4610" s="105" t="str">
        <f>IFERROR(__xludf.DUMMYFUNCTION("if(A4610="""","""",substitute(SUBSTITUTE(index(importhtml(""http://finviz.com/quote.ashx?t=""&amp;A4610,""table"",10),7,2),""*"",""""),""-"",""0.00""))"),"Loading...")</f>
        <v>Loading...</v>
      </c>
      <c r="L4610" s="129">
        <v>9.0</v>
      </c>
      <c r="M4610" s="99">
        <v>1.09</v>
      </c>
    </row>
    <row r="4611">
      <c r="A4611" s="122" t="s">
        <v>9680</v>
      </c>
      <c r="B4611" s="123">
        <v>890196.0</v>
      </c>
      <c r="C4611" s="124" t="s">
        <v>9681</v>
      </c>
      <c r="D4611" s="125"/>
      <c r="E4611" s="126">
        <v>12.23</v>
      </c>
      <c r="F4611" s="127"/>
      <c r="G4611" s="127"/>
      <c r="H4611" s="127"/>
      <c r="I4611" s="128"/>
      <c r="K4611" s="105" t="str">
        <f>IFERROR(__xludf.DUMMYFUNCTION("if(A4611="""","""",substitute(SUBSTITUTE(index(importhtml(""http://finviz.com/quote.ashx?t=""&amp;A4611,""table"",10),7,2),""*"",""""),""-"",""0.00""))"),"Loading...")</f>
        <v>Loading...</v>
      </c>
      <c r="L4611" s="129">
        <v>8.8830547E8</v>
      </c>
      <c r="M4611" s="99">
        <v>0.45</v>
      </c>
    </row>
    <row r="4612">
      <c r="A4612" s="122" t="s">
        <v>9682</v>
      </c>
      <c r="B4612" s="123">
        <v>1724965.0</v>
      </c>
      <c r="C4612" s="124" t="s">
        <v>9683</v>
      </c>
      <c r="D4612" s="125"/>
      <c r="E4612" s="126">
        <v>12.23</v>
      </c>
      <c r="F4612" s="127"/>
      <c r="G4612" s="127"/>
      <c r="H4612" s="127"/>
      <c r="I4612" s="128"/>
      <c r="K4612" s="105" t="str">
        <f>IFERROR(__xludf.DUMMYFUNCTION("if(A4612="""","""",substitute(SUBSTITUTE(index(importhtml(""http://finviz.com/quote.ashx?t=""&amp;A4612,""table"",10),7,2),""*"",""""),""-"",""0.00""))"),"Loading...")</f>
        <v>Loading...</v>
      </c>
      <c r="L4612" s="129">
        <v>1.939436996E9</v>
      </c>
      <c r="M4612" s="99">
        <v>2.05</v>
      </c>
    </row>
    <row r="4613">
      <c r="A4613" s="122" t="s">
        <v>9684</v>
      </c>
      <c r="B4613" s="123">
        <v>1590877.0</v>
      </c>
      <c r="C4613" s="124" t="s">
        <v>9685</v>
      </c>
      <c r="D4613" s="125"/>
      <c r="E4613" s="126">
        <v>12.24</v>
      </c>
      <c r="F4613" s="127"/>
      <c r="G4613" s="127"/>
      <c r="H4613" s="127"/>
      <c r="I4613" s="128"/>
      <c r="K4613" s="105" t="str">
        <f>IFERROR(__xludf.DUMMYFUNCTION("if(A4613="""","""",substitute(SUBSTITUTE(index(importhtml(""http://finviz.com/quote.ashx?t=""&amp;A4613,""table"",10),7,2),""*"",""""),""-"",""0.00""))"),"Loading...")</f>
        <v>Loading...</v>
      </c>
      <c r="L4613" s="129">
        <v>5.38461702E8</v>
      </c>
      <c r="M4613" s="99">
        <v>1.2</v>
      </c>
    </row>
    <row r="4614">
      <c r="A4614" s="122" t="s">
        <v>9686</v>
      </c>
      <c r="B4614" s="123">
        <v>1526119.0</v>
      </c>
      <c r="C4614" s="124" t="s">
        <v>9687</v>
      </c>
      <c r="D4614" s="125"/>
      <c r="E4614" s="126">
        <v>12.25</v>
      </c>
      <c r="F4614" s="127"/>
      <c r="G4614" s="127"/>
      <c r="H4614" s="127"/>
      <c r="I4614" s="128"/>
      <c r="K4614" s="105" t="str">
        <f>IFERROR(__xludf.DUMMYFUNCTION("if(A4614="""","""",substitute(SUBSTITUTE(index(importhtml(""http://finviz.com/quote.ashx?t=""&amp;A4614,""table"",10),7,2),""*"",""""),""-"",""0.00""))"),"Loading...")</f>
        <v>Loading...</v>
      </c>
      <c r="L4614" s="129">
        <v>3.09534102E8</v>
      </c>
      <c r="M4614" s="99">
        <v>0.47</v>
      </c>
    </row>
    <row r="4615">
      <c r="A4615" s="122" t="s">
        <v>9688</v>
      </c>
      <c r="B4615" s="123">
        <v>1260563.0</v>
      </c>
      <c r="C4615" s="124" t="s">
        <v>9689</v>
      </c>
      <c r="D4615" s="125"/>
      <c r="E4615" s="126">
        <v>12.25</v>
      </c>
      <c r="F4615" s="127"/>
      <c r="G4615" s="127"/>
      <c r="H4615" s="127"/>
      <c r="I4615" s="128"/>
      <c r="K4615" s="105" t="str">
        <f>IFERROR(__xludf.DUMMYFUNCTION("if(A4615="""","""",substitute(SUBSTITUTE(index(importhtml(""http://finviz.com/quote.ashx?t=""&amp;A4615,""table"",10),7,2),""*"",""""),""-"",""0.00""))"),"Loading...")</f>
        <v>Loading...</v>
      </c>
      <c r="L4615" s="129">
        <v>1.161318865E9</v>
      </c>
      <c r="M4615" s="99">
        <v>1.07</v>
      </c>
    </row>
    <row r="4616">
      <c r="A4616" s="122" t="s">
        <v>9690</v>
      </c>
      <c r="B4616" s="123">
        <v>1860484.0</v>
      </c>
      <c r="C4616" s="124" t="s">
        <v>9691</v>
      </c>
      <c r="D4616" s="125"/>
      <c r="E4616" s="126">
        <v>12.28</v>
      </c>
      <c r="F4616" s="127"/>
      <c r="G4616" s="127"/>
      <c r="H4616" s="127"/>
      <c r="I4616" s="128"/>
      <c r="K4616" s="105" t="str">
        <f>IFERROR(__xludf.DUMMYFUNCTION("if(A4616="""","""",substitute(SUBSTITUTE(index(importhtml(""http://finviz.com/quote.ashx?t=""&amp;A4616,""table"",10),7,2),""*"",""""),""-"",""0.00""))"),"Loading...")</f>
        <v>Loading...</v>
      </c>
      <c r="L4616" s="129">
        <v>5.404176E7</v>
      </c>
      <c r="M4616" s="99" t="str">
        <f>IFERROR(__xludf.DUMMYFUNCTION("GOOGLEFINANCE(A4616,""beta"")"),"#N/A")</f>
        <v>#N/A</v>
      </c>
    </row>
    <row r="4617">
      <c r="A4617" s="122" t="s">
        <v>9692</v>
      </c>
      <c r="B4617" s="123">
        <v>1177648.0</v>
      </c>
      <c r="C4617" s="124" t="s">
        <v>9693</v>
      </c>
      <c r="D4617" s="125"/>
      <c r="E4617" s="126">
        <v>12.28</v>
      </c>
      <c r="F4617" s="127"/>
      <c r="G4617" s="127"/>
      <c r="H4617" s="127"/>
      <c r="I4617" s="128"/>
      <c r="K4617" s="105" t="str">
        <f>IFERROR(__xludf.DUMMYFUNCTION("if(A4617="""","""",substitute(SUBSTITUTE(index(importhtml(""http://finviz.com/quote.ashx?t=""&amp;A4617,""table"",10),7,2),""*"",""""),""-"",""0.00""))"),"Loading...")</f>
        <v>Loading...</v>
      </c>
      <c r="L4617" s="129">
        <v>2.59795428E8</v>
      </c>
      <c r="M4617" s="99">
        <v>0.43</v>
      </c>
    </row>
    <row r="4618">
      <c r="A4618" s="122" t="s">
        <v>9694</v>
      </c>
      <c r="B4618" s="123">
        <v>818686.0</v>
      </c>
      <c r="C4618" s="124" t="s">
        <v>9695</v>
      </c>
      <c r="D4618" s="125"/>
      <c r="E4618" s="126">
        <v>12.28</v>
      </c>
      <c r="F4618" s="127"/>
      <c r="G4618" s="127"/>
      <c r="H4618" s="127"/>
      <c r="I4618" s="128"/>
      <c r="K4618" s="105" t="str">
        <f>IFERROR(__xludf.DUMMYFUNCTION("if(A4618="""","""",substitute(SUBSTITUTE(index(importhtml(""http://finviz.com/quote.ashx?t=""&amp;A4618,""table"",10),7,2),""*"",""""),""-"",""0.00""))"),"Loading...")</f>
        <v>Loading...</v>
      </c>
      <c r="L4618" s="129">
        <v>1.3541253945E10</v>
      </c>
      <c r="M4618" s="99">
        <v>1.01</v>
      </c>
    </row>
    <row r="4619">
      <c r="A4619" s="122" t="s">
        <v>9696</v>
      </c>
      <c r="B4619" s="123">
        <v>1567094.0</v>
      </c>
      <c r="C4619" s="124" t="s">
        <v>9697</v>
      </c>
      <c r="D4619" s="125"/>
      <c r="E4619" s="126">
        <v>12.28</v>
      </c>
      <c r="F4619" s="127"/>
      <c r="G4619" s="127"/>
      <c r="H4619" s="127"/>
      <c r="I4619" s="128"/>
      <c r="K4619" s="105" t="str">
        <f>IFERROR(__xludf.DUMMYFUNCTION("if(A4619="""","""",substitute(SUBSTITUTE(index(importhtml(""http://finviz.com/quote.ashx?t=""&amp;A4619,""table"",10),7,2),""*"",""""),""-"",""0.00""))"),"Loading...")</f>
        <v>Loading...</v>
      </c>
      <c r="L4619" s="129">
        <v>1.6754831635E10</v>
      </c>
      <c r="M4619" s="99">
        <v>1.74</v>
      </c>
    </row>
    <row r="4620">
      <c r="A4620" s="122" t="s">
        <v>9698</v>
      </c>
      <c r="B4620" s="123">
        <v>1793497.0</v>
      </c>
      <c r="C4620" s="124" t="s">
        <v>9699</v>
      </c>
      <c r="D4620" s="125"/>
      <c r="E4620" s="126">
        <v>12.29</v>
      </c>
      <c r="F4620" s="127"/>
      <c r="G4620" s="127"/>
      <c r="H4620" s="127"/>
      <c r="I4620" s="128"/>
      <c r="K4620" s="105" t="str">
        <f>IFERROR(__xludf.DUMMYFUNCTION("if(A4620="""","""",substitute(SUBSTITUTE(index(importhtml(""http://finviz.com/quote.ashx?t=""&amp;A4620,""table"",10),7,2),""*"",""""),""-"",""0.00""))"),"Loading...")</f>
        <v>Loading...</v>
      </c>
      <c r="L4620" s="129" t="e">
        <v>#N/A</v>
      </c>
      <c r="M4620" s="99" t="str">
        <f>IFERROR(__xludf.DUMMYFUNCTION("GOOGLEFINANCE(A4620,""beta"")"),"#N/A")</f>
        <v>#N/A</v>
      </c>
    </row>
    <row r="4621">
      <c r="A4621" s="122" t="s">
        <v>9700</v>
      </c>
      <c r="B4621" s="123">
        <v>828146.0</v>
      </c>
      <c r="C4621" s="124" t="s">
        <v>9701</v>
      </c>
      <c r="D4621" s="125"/>
      <c r="E4621" s="126">
        <v>12.3</v>
      </c>
      <c r="F4621" s="127"/>
      <c r="G4621" s="127"/>
      <c r="H4621" s="127"/>
      <c r="I4621" s="128"/>
      <c r="K4621" s="105" t="str">
        <f>IFERROR(__xludf.DUMMYFUNCTION("if(A4621="""","""",substitute(SUBSTITUTE(index(importhtml(""http://finviz.com/quote.ashx?t=""&amp;A4621,""table"",10),7,2),""*"",""""),""-"",""0.00""))"),"Loading...")</f>
        <v>Loading...</v>
      </c>
      <c r="L4621" s="129">
        <v>3.35124571E8</v>
      </c>
      <c r="M4621" s="99">
        <v>1.17</v>
      </c>
    </row>
    <row r="4622">
      <c r="A4622" s="122" t="s">
        <v>9702</v>
      </c>
      <c r="B4622" s="123">
        <v>1745059.0</v>
      </c>
      <c r="C4622" s="124" t="s">
        <v>9703</v>
      </c>
      <c r="D4622" s="125"/>
      <c r="E4622" s="126">
        <v>12.3</v>
      </c>
      <c r="F4622" s="127"/>
      <c r="G4622" s="127"/>
      <c r="H4622" s="127"/>
      <c r="I4622" s="128"/>
      <c r="K4622" s="105" t="str">
        <f>IFERROR(__xludf.DUMMYFUNCTION("if(A4622="""","""",substitute(SUBSTITUTE(index(importhtml(""http://finviz.com/quote.ashx?t=""&amp;A4622,""table"",10),7,2),""*"",""""),""-"",""0.00""))"),"Loading...")</f>
        <v>Loading...</v>
      </c>
      <c r="L4622" s="129" t="e">
        <v>#N/A</v>
      </c>
      <c r="M4622" s="99">
        <v>0.33</v>
      </c>
    </row>
    <row r="4623">
      <c r="A4623" s="122" t="s">
        <v>9704</v>
      </c>
      <c r="B4623" s="123">
        <v>1361371.0</v>
      </c>
      <c r="C4623" s="124" t="s">
        <v>9705</v>
      </c>
      <c r="D4623" s="125"/>
      <c r="E4623" s="126">
        <v>12.31</v>
      </c>
      <c r="F4623" s="127"/>
      <c r="G4623" s="127"/>
      <c r="H4623" s="127"/>
      <c r="I4623" s="128"/>
      <c r="K4623" s="105" t="str">
        <f>IFERROR(__xludf.DUMMYFUNCTION("if(A4623="""","""",substitute(SUBSTITUTE(index(importhtml(""http://finviz.com/quote.ashx?t=""&amp;A4623,""table"",10),7,2),""*"",""""),""-"",""0.00""))"),"Loading...")</f>
        <v>Loading...</v>
      </c>
      <c r="L4623" s="129">
        <v>8.339574126E9</v>
      </c>
      <c r="M4623" s="99">
        <v>2.04</v>
      </c>
    </row>
    <row r="4624">
      <c r="A4624" s="122" t="s">
        <v>9706</v>
      </c>
      <c r="B4624" s="123">
        <v>1411342.0</v>
      </c>
      <c r="C4624" s="124" t="s">
        <v>9707</v>
      </c>
      <c r="D4624" s="125"/>
      <c r="E4624" s="126">
        <v>12.32</v>
      </c>
      <c r="F4624" s="127"/>
      <c r="G4624" s="127"/>
      <c r="H4624" s="127"/>
      <c r="I4624" s="128"/>
      <c r="K4624" s="55" t="s">
        <v>9708</v>
      </c>
      <c r="L4624" s="129">
        <v>9.76667483E8</v>
      </c>
      <c r="M4624" s="99">
        <v>1.97</v>
      </c>
    </row>
    <row r="4625">
      <c r="A4625" s="122" t="s">
        <v>9709</v>
      </c>
      <c r="B4625" s="123">
        <v>1593984.0</v>
      </c>
      <c r="C4625" s="124" t="s">
        <v>9710</v>
      </c>
      <c r="D4625" s="125"/>
      <c r="E4625" s="126">
        <v>12.32</v>
      </c>
      <c r="F4625" s="127"/>
      <c r="G4625" s="127"/>
      <c r="H4625" s="127"/>
      <c r="I4625" s="128"/>
      <c r="K4625" s="105" t="str">
        <f>IFERROR(__xludf.DUMMYFUNCTION("if(A4625="""","""",substitute(SUBSTITUTE(index(importhtml(""http://finviz.com/quote.ashx?t=""&amp;A4625,""table"",10),7,2),""*"",""""),""-"",""0.00""))"),"#REF!")</f>
        <v>#REF!</v>
      </c>
      <c r="L4625" s="129">
        <v>1.13581255E8</v>
      </c>
      <c r="M4625" s="99">
        <v>0.91</v>
      </c>
    </row>
    <row r="4626">
      <c r="A4626" s="122" t="s">
        <v>9711</v>
      </c>
      <c r="B4626" s="123">
        <v>1447137.0</v>
      </c>
      <c r="C4626" s="124" t="s">
        <v>9712</v>
      </c>
      <c r="D4626" s="125"/>
      <c r="E4626" s="126">
        <v>12.32</v>
      </c>
      <c r="F4626" s="127"/>
      <c r="G4626" s="127"/>
      <c r="H4626" s="127"/>
      <c r="I4626" s="128"/>
      <c r="K4626" s="105" t="str">
        <f>IFERROR(__xludf.DUMMYFUNCTION("if(A4626="""","""",substitute(SUBSTITUTE(index(importhtml(""http://finviz.com/quote.ashx?t=""&amp;A4626,""table"",10),7,2),""*"",""""),""-"",""0.00""))"),"Loading...")</f>
        <v>Loading...</v>
      </c>
      <c r="L4626" s="129">
        <v>5.056659276E9</v>
      </c>
      <c r="M4626" s="99">
        <v>0.6</v>
      </c>
    </row>
    <row r="4627">
      <c r="A4627" s="122" t="s">
        <v>9713</v>
      </c>
      <c r="B4627" s="123">
        <v>826675.0</v>
      </c>
      <c r="C4627" s="124" t="s">
        <v>9714</v>
      </c>
      <c r="D4627" s="125"/>
      <c r="E4627" s="126">
        <v>12.34</v>
      </c>
      <c r="F4627" s="127"/>
      <c r="G4627" s="127"/>
      <c r="H4627" s="127"/>
      <c r="I4627" s="128"/>
      <c r="K4627" s="138" t="s">
        <v>9715</v>
      </c>
      <c r="L4627" s="129">
        <v>7.0385189E8</v>
      </c>
      <c r="M4627" s="99">
        <v>1.34</v>
      </c>
    </row>
    <row r="4628">
      <c r="A4628" s="122" t="s">
        <v>9716</v>
      </c>
      <c r="B4628" s="123">
        <v>1436467.0</v>
      </c>
      <c r="C4628" s="124" t="s">
        <v>9717</v>
      </c>
      <c r="D4628" s="125"/>
      <c r="E4628" s="126">
        <v>12.34</v>
      </c>
      <c r="F4628" s="127"/>
      <c r="G4628" s="127"/>
      <c r="H4628" s="127"/>
      <c r="I4628" s="128"/>
      <c r="K4628" s="105" t="str">
        <f>IFERROR(__xludf.DUMMYFUNCTION("if(A4628="""","""",substitute(SUBSTITUTE(index(importhtml(""http://finviz.com/quote.ashx?t=""&amp;A4628,""table"",10),7,2),""*"",""""),""-"",""0.00""))"),"Loading...")</f>
        <v>Loading...</v>
      </c>
      <c r="L4628" s="129">
        <v>5.855039719E9</v>
      </c>
      <c r="M4628" s="99">
        <v>1.09</v>
      </c>
    </row>
    <row r="4629">
      <c r="A4629" s="122" t="s">
        <v>9718</v>
      </c>
      <c r="B4629" s="123">
        <v>1287480.0</v>
      </c>
      <c r="C4629" s="124" t="s">
        <v>9719</v>
      </c>
      <c r="D4629" s="125"/>
      <c r="E4629" s="126">
        <v>12.36</v>
      </c>
      <c r="F4629" s="127"/>
      <c r="G4629" s="127"/>
      <c r="H4629" s="127"/>
      <c r="I4629" s="128"/>
      <c r="K4629" s="55" t="s">
        <v>9720</v>
      </c>
      <c r="L4629" s="129">
        <v>2.86808971E8</v>
      </c>
      <c r="M4629" s="99">
        <v>0.68</v>
      </c>
    </row>
    <row r="4630">
      <c r="A4630" s="122" t="s">
        <v>9721</v>
      </c>
      <c r="B4630" s="123">
        <v>1648257.0</v>
      </c>
      <c r="C4630" s="124" t="s">
        <v>5967</v>
      </c>
      <c r="D4630" s="125"/>
      <c r="E4630" s="126">
        <v>12.36</v>
      </c>
      <c r="F4630" s="127"/>
      <c r="G4630" s="127"/>
      <c r="H4630" s="127"/>
      <c r="I4630" s="128"/>
      <c r="K4630" s="105" t="str">
        <f>IFERROR(__xludf.DUMMYFUNCTION("if(A4630="""","""",substitute(SUBSTITUTE(index(importhtml(""http://finviz.com/quote.ashx?t=""&amp;A4630,""table"",10),7,2),""*"",""""),""-"",""0.00""))"),"Loading...")</f>
        <v>Loading...</v>
      </c>
      <c r="L4630" s="129">
        <v>2.143642944E9</v>
      </c>
      <c r="M4630" s="99">
        <v>0.78</v>
      </c>
    </row>
    <row r="4631">
      <c r="A4631" s="122" t="s">
        <v>9722</v>
      </c>
      <c r="B4631" s="123">
        <v>918608.0</v>
      </c>
      <c r="C4631" s="124" t="s">
        <v>9723</v>
      </c>
      <c r="D4631" s="125"/>
      <c r="E4631" s="126">
        <v>12.37</v>
      </c>
      <c r="F4631" s="127"/>
      <c r="G4631" s="127"/>
      <c r="H4631" s="127"/>
      <c r="I4631" s="128"/>
      <c r="K4631" s="55" t="s">
        <v>1034</v>
      </c>
      <c r="L4631" s="129">
        <v>2.530906924E9</v>
      </c>
      <c r="M4631" s="99">
        <v>1.14</v>
      </c>
    </row>
    <row r="4632">
      <c r="A4632" s="122" t="s">
        <v>9724</v>
      </c>
      <c r="B4632" s="123">
        <v>1254699.0</v>
      </c>
      <c r="C4632" s="124" t="s">
        <v>9725</v>
      </c>
      <c r="D4632" s="125"/>
      <c r="E4632" s="126">
        <v>12.39</v>
      </c>
      <c r="F4632" s="127"/>
      <c r="G4632" s="127"/>
      <c r="H4632" s="127"/>
      <c r="I4632" s="128"/>
      <c r="K4632" s="105" t="str">
        <f>IFERROR(__xludf.DUMMYFUNCTION("if(A4632="""","""",substitute(SUBSTITUTE(index(importhtml(""http://finviz.com/quote.ashx?t=""&amp;A4632,""table"",10),7,2),""*"",""""),""-"",""0.00""))"),"Loading...")</f>
        <v>Loading...</v>
      </c>
      <c r="L4632" s="129">
        <v>9.0</v>
      </c>
      <c r="M4632" s="99">
        <v>1.26</v>
      </c>
    </row>
    <row r="4633">
      <c r="A4633" s="122" t="s">
        <v>9726</v>
      </c>
      <c r="B4633" s="123">
        <v>1367859.0</v>
      </c>
      <c r="C4633" s="124" t="s">
        <v>9727</v>
      </c>
      <c r="D4633" s="125"/>
      <c r="E4633" s="126">
        <v>12.4</v>
      </c>
      <c r="F4633" s="127"/>
      <c r="G4633" s="127"/>
      <c r="H4633" s="127"/>
      <c r="I4633" s="128"/>
      <c r="K4633" s="105" t="str">
        <f>IFERROR(__xludf.DUMMYFUNCTION("if(A4633="""","""",substitute(SUBSTITUTE(index(importhtml(""http://finviz.com/quote.ashx?t=""&amp;A4633,""table"",10),7,2),""*"",""""),""-"",""0.00""))"),"Loading...")</f>
        <v>Loading...</v>
      </c>
      <c r="L4633" s="129">
        <v>1.29804188E8</v>
      </c>
      <c r="M4633" s="99">
        <v>1.01</v>
      </c>
    </row>
    <row r="4634">
      <c r="A4634" s="122" t="s">
        <v>9728</v>
      </c>
      <c r="B4634" s="123">
        <v>1831481.0</v>
      </c>
      <c r="C4634" s="124" t="s">
        <v>9729</v>
      </c>
      <c r="D4634" s="125"/>
      <c r="E4634" s="126">
        <v>12.4</v>
      </c>
      <c r="F4634" s="127"/>
      <c r="G4634" s="127"/>
      <c r="H4634" s="127"/>
      <c r="I4634" s="128"/>
      <c r="K4634" s="105" t="str">
        <f>IFERROR(__xludf.DUMMYFUNCTION("if(A4634="""","""",substitute(SUBSTITUTE(index(importhtml(""http://finviz.com/quote.ashx?t=""&amp;A4634,""table"",10),7,2),""*"",""""),""-"",""0.00""))"),"Loading...")</f>
        <v>Loading...</v>
      </c>
      <c r="L4634" s="129">
        <v>1.64757802E8</v>
      </c>
      <c r="M4634" s="99" t="str">
        <f>IFERROR(__xludf.DUMMYFUNCTION("GOOGLEFINANCE(A4634,""beta"")"),"#N/A")</f>
        <v>#N/A</v>
      </c>
    </row>
    <row r="4635">
      <c r="A4635" s="122" t="s">
        <v>9730</v>
      </c>
      <c r="B4635" s="123">
        <v>1178819.0</v>
      </c>
      <c r="C4635" s="124" t="s">
        <v>9731</v>
      </c>
      <c r="D4635" s="125"/>
      <c r="E4635" s="126">
        <v>12.43</v>
      </c>
      <c r="F4635" s="127"/>
      <c r="G4635" s="127"/>
      <c r="H4635" s="127"/>
      <c r="I4635" s="128"/>
      <c r="K4635" s="55" t="s">
        <v>4587</v>
      </c>
      <c r="L4635" s="129">
        <v>6.649028075E9</v>
      </c>
      <c r="M4635" s="99">
        <v>1.15</v>
      </c>
    </row>
    <row r="4636">
      <c r="A4636" s="122" t="s">
        <v>9732</v>
      </c>
      <c r="B4636" s="123">
        <v>1844981.0</v>
      </c>
      <c r="C4636" s="124" t="s">
        <v>9733</v>
      </c>
      <c r="D4636" s="125"/>
      <c r="E4636" s="126">
        <v>12.43</v>
      </c>
      <c r="F4636" s="133"/>
      <c r="G4636" s="133"/>
      <c r="H4636" s="133"/>
      <c r="I4636" s="128"/>
      <c r="K4636" s="105" t="str">
        <f>IFERROR(__xludf.DUMMYFUNCTION("if(A4636="""","""",substitute(SUBSTITUTE(index(importhtml(""http://finviz.com/quote.ashx?t=""&amp;A4636,""table"",10),7,2),""*"",""""),""-"",""0.00""))"),"Loading...")</f>
        <v>Loading...</v>
      </c>
      <c r="L4636" s="129">
        <v>6.3219722E7</v>
      </c>
      <c r="M4636" s="99" t="e">
        <v>#N/A</v>
      </c>
    </row>
    <row r="4637">
      <c r="A4637" s="122" t="s">
        <v>9734</v>
      </c>
      <c r="B4637" s="123">
        <v>1322436.0</v>
      </c>
      <c r="C4637" s="124" t="s">
        <v>9735</v>
      </c>
      <c r="D4637" s="125"/>
      <c r="E4637" s="126">
        <v>12.44</v>
      </c>
      <c r="F4637" s="127"/>
      <c r="G4637" s="127"/>
      <c r="H4637" s="127"/>
      <c r="I4637" s="128"/>
      <c r="K4637" s="55" t="s">
        <v>8019</v>
      </c>
      <c r="L4637" s="129">
        <v>1.356333154E9</v>
      </c>
      <c r="M4637" s="99">
        <v>0.9</v>
      </c>
    </row>
    <row r="4638">
      <c r="A4638" s="122" t="s">
        <v>9736</v>
      </c>
      <c r="B4638" s="123">
        <v>1178879.0</v>
      </c>
      <c r="C4638" s="124" t="s">
        <v>9737</v>
      </c>
      <c r="D4638" s="125"/>
      <c r="E4638" s="126">
        <v>12.44</v>
      </c>
      <c r="F4638" s="127"/>
      <c r="G4638" s="127"/>
      <c r="H4638" s="127"/>
      <c r="I4638" s="128"/>
      <c r="K4638" s="105" t="str">
        <f>IFERROR(__xludf.DUMMYFUNCTION("if(A4638="""","""",substitute(SUBSTITUTE(index(importhtml(""http://finviz.com/quote.ashx?t=""&amp;A4638,""table"",10),7,2),""*"",""""),""-"",""0.00""))"),"Loading...")</f>
        <v>Loading...</v>
      </c>
      <c r="L4638" s="129">
        <v>3.647976384E9</v>
      </c>
      <c r="M4638" s="99">
        <v>0.77</v>
      </c>
    </row>
    <row r="4639">
      <c r="A4639" s="122" t="s">
        <v>9738</v>
      </c>
      <c r="B4639" s="123">
        <v>1690511.0</v>
      </c>
      <c r="C4639" s="124" t="s">
        <v>9739</v>
      </c>
      <c r="D4639" s="125"/>
      <c r="E4639" s="126">
        <v>12.45</v>
      </c>
      <c r="F4639" s="127"/>
      <c r="G4639" s="127"/>
      <c r="H4639" s="127"/>
      <c r="I4639" s="128"/>
      <c r="K4639" s="105" t="str">
        <f>IFERROR(__xludf.DUMMYFUNCTION("if(A4639="""","""",substitute(SUBSTITUTE(index(importhtml(""http://finviz.com/quote.ashx?t=""&amp;A4639,""table"",10),7,2),""*"",""""),""-"",""0.00""))"),"Loading...")</f>
        <v>Loading...</v>
      </c>
      <c r="L4639" s="129">
        <v>1.697785025E9</v>
      </c>
      <c r="M4639" s="99">
        <v>1.48</v>
      </c>
    </row>
    <row r="4640">
      <c r="A4640" s="122" t="s">
        <v>9740</v>
      </c>
      <c r="B4640" s="123">
        <v>1569994.0</v>
      </c>
      <c r="C4640" s="124" t="s">
        <v>9741</v>
      </c>
      <c r="D4640" s="125"/>
      <c r="E4640" s="126">
        <v>12.46</v>
      </c>
      <c r="F4640" s="127"/>
      <c r="G4640" s="127"/>
      <c r="H4640" s="127"/>
      <c r="I4640" s="128"/>
      <c r="K4640" s="105" t="str">
        <f>IFERROR(__xludf.DUMMYFUNCTION("if(A4640="""","""",substitute(SUBSTITUTE(index(importhtml(""http://finviz.com/quote.ashx?t=""&amp;A4640,""table"",10),7,2),""*"",""""),""-"",""0.00""))"),"Loading...")</f>
        <v>Loading...</v>
      </c>
      <c r="L4640" s="129">
        <v>2.53124776E8</v>
      </c>
      <c r="M4640" s="99">
        <v>0.62</v>
      </c>
    </row>
    <row r="4641">
      <c r="A4641" s="122" t="s">
        <v>9742</v>
      </c>
      <c r="B4641" s="123">
        <v>1766368.0</v>
      </c>
      <c r="C4641" s="124" t="s">
        <v>9743</v>
      </c>
      <c r="D4641" s="125"/>
      <c r="E4641" s="126">
        <v>12.47</v>
      </c>
      <c r="F4641" s="127"/>
      <c r="G4641" s="127"/>
      <c r="H4641" s="127"/>
      <c r="I4641" s="128"/>
      <c r="K4641" s="105" t="str">
        <f>IFERROR(__xludf.DUMMYFUNCTION("if(A4641="""","""",substitute(SUBSTITUTE(index(importhtml(""http://finviz.com/quote.ashx?t=""&amp;A4641,""table"",10),7,2),""*"",""""),""-"",""0.00""))"),"Loading...")</f>
        <v>Loading...</v>
      </c>
      <c r="L4641" s="129">
        <v>2.53245129E8</v>
      </c>
      <c r="M4641" s="99">
        <v>0.84</v>
      </c>
    </row>
    <row r="4642">
      <c r="A4642" s="122" t="s">
        <v>9744</v>
      </c>
      <c r="B4642" s="123">
        <v>79661.0</v>
      </c>
      <c r="C4642" s="124" t="s">
        <v>9745</v>
      </c>
      <c r="D4642" s="125"/>
      <c r="E4642" s="126">
        <v>12.5</v>
      </c>
      <c r="F4642" s="127"/>
      <c r="G4642" s="127"/>
      <c r="H4642" s="127"/>
      <c r="I4642" s="128"/>
      <c r="K4642" s="105" t="str">
        <f>IFERROR(__xludf.DUMMYFUNCTION("if(A4642="""","""",substitute(SUBSTITUTE(index(importhtml(""http://finviz.com/quote.ashx?t=""&amp;A4642,""table"",10),7,2),""*"",""""),""-"",""0.00""))"),"Loading...")</f>
        <v>Loading...</v>
      </c>
      <c r="L4642" s="129">
        <v>9177340.0</v>
      </c>
      <c r="M4642" s="99">
        <v>0.18</v>
      </c>
    </row>
    <row r="4643">
      <c r="A4643" s="122" t="s">
        <v>9746</v>
      </c>
      <c r="B4643" s="123">
        <v>716643.0</v>
      </c>
      <c r="C4643" s="124" t="s">
        <v>9747</v>
      </c>
      <c r="D4643" s="125"/>
      <c r="E4643" s="126">
        <v>12.5</v>
      </c>
      <c r="F4643" s="127"/>
      <c r="G4643" s="127"/>
      <c r="H4643" s="127"/>
      <c r="I4643" s="128"/>
      <c r="K4643" s="105" t="str">
        <f>IFERROR(__xludf.DUMMYFUNCTION("if(A4643="""","""",substitute(SUBSTITUTE(index(importhtml(""http://finviz.com/quote.ashx?t=""&amp;A4643,""table"",10),7,2),""*"",""""),""-"",""0.00""))"),"Loading...")</f>
        <v>Loading...</v>
      </c>
      <c r="L4643" s="129">
        <v>2.8493125E7</v>
      </c>
      <c r="M4643" s="99">
        <v>1.81</v>
      </c>
    </row>
    <row r="4644">
      <c r="A4644" s="122" t="s">
        <v>9748</v>
      </c>
      <c r="B4644" s="123">
        <v>1391933.0</v>
      </c>
      <c r="C4644" s="124" t="s">
        <v>9749</v>
      </c>
      <c r="D4644" s="125"/>
      <c r="E4644" s="126">
        <v>12.5</v>
      </c>
      <c r="F4644" s="127"/>
      <c r="G4644" s="127"/>
      <c r="H4644" s="127"/>
      <c r="I4644" s="128"/>
      <c r="K4644" s="105" t="str">
        <f>IFERROR(__xludf.DUMMYFUNCTION("if(A4644="""","""",substitute(SUBSTITUTE(index(importhtml(""http://finviz.com/quote.ashx?t=""&amp;A4644,""table"",10),7,2),""*"",""""),""-"",""0.00""))"),"Loading...")</f>
        <v>Loading...</v>
      </c>
      <c r="L4644" s="129">
        <v>2.9878562E7</v>
      </c>
      <c r="M4644" s="99">
        <v>0.17</v>
      </c>
    </row>
    <row r="4645">
      <c r="A4645" s="122" t="s">
        <v>9750</v>
      </c>
      <c r="B4645" s="123">
        <v>65759.0</v>
      </c>
      <c r="C4645" s="124" t="s">
        <v>9751</v>
      </c>
      <c r="D4645" s="125"/>
      <c r="E4645" s="126">
        <v>12.5</v>
      </c>
      <c r="F4645" s="127"/>
      <c r="G4645" s="127"/>
      <c r="H4645" s="127"/>
      <c r="I4645" s="128"/>
      <c r="K4645" s="105" t="str">
        <f>IFERROR(__xludf.DUMMYFUNCTION("if(A4645="""","""",substitute(SUBSTITUTE(index(importhtml(""http://finviz.com/quote.ashx?t=""&amp;A4645,""table"",10),7,2),""*"",""""),""-"",""0.00""))"),"Loading...")</f>
        <v>Loading...</v>
      </c>
      <c r="L4645" s="129">
        <v>3.2228937E7</v>
      </c>
      <c r="M4645" s="99">
        <v>0.34</v>
      </c>
    </row>
    <row r="4646">
      <c r="A4646" s="122" t="s">
        <v>9752</v>
      </c>
      <c r="B4646" s="123">
        <v>1805284.0</v>
      </c>
      <c r="C4646" s="124" t="s">
        <v>9753</v>
      </c>
      <c r="D4646" s="125"/>
      <c r="E4646" s="126">
        <v>12.51</v>
      </c>
      <c r="F4646" s="127"/>
      <c r="G4646" s="127"/>
      <c r="H4646" s="127"/>
      <c r="I4646" s="128"/>
      <c r="K4646" s="105" t="str">
        <f>IFERROR(__xludf.DUMMYFUNCTION("if(A4646="""","""",substitute(SUBSTITUTE(index(importhtml(""http://finviz.com/quote.ashx?t=""&amp;A4646,""table"",10),7,2),""*"",""""),""-"",""0.00""))"),"Loading...")</f>
        <v>Loading...</v>
      </c>
      <c r="L4646" s="129">
        <v>2.4798273213E10</v>
      </c>
      <c r="M4646" s="99">
        <v>2.45</v>
      </c>
    </row>
    <row r="4647">
      <c r="A4647" s="122" t="s">
        <v>9754</v>
      </c>
      <c r="B4647" s="123">
        <v>814586.0</v>
      </c>
      <c r="C4647" s="124" t="s">
        <v>9755</v>
      </c>
      <c r="D4647" s="125"/>
      <c r="E4647" s="126">
        <v>12.52</v>
      </c>
      <c r="F4647" s="127"/>
      <c r="G4647" s="127"/>
      <c r="H4647" s="127"/>
      <c r="I4647" s="128"/>
      <c r="K4647" s="105" t="str">
        <f>IFERROR(__xludf.DUMMYFUNCTION("if(A4647="""","""",substitute(SUBSTITUTE(index(importhtml(""http://finviz.com/quote.ashx?t=""&amp;A4647,""table"",10),7,2),""*"",""""),""-"",""0.00""))"),"Loading...")</f>
        <v>Loading...</v>
      </c>
      <c r="L4647" s="129">
        <v>1.83931201E8</v>
      </c>
      <c r="M4647" s="99">
        <v>1.3</v>
      </c>
    </row>
    <row r="4648">
      <c r="A4648" s="122" t="s">
        <v>9756</v>
      </c>
      <c r="B4648" s="123">
        <v>1495932.0</v>
      </c>
      <c r="C4648" s="124" t="s">
        <v>9757</v>
      </c>
      <c r="D4648" s="125"/>
      <c r="E4648" s="126">
        <v>12.53</v>
      </c>
      <c r="F4648" s="127"/>
      <c r="G4648" s="127"/>
      <c r="H4648" s="127"/>
      <c r="I4648" s="128"/>
      <c r="K4648" s="105" t="str">
        <f>IFERROR(__xludf.DUMMYFUNCTION("if(A4648="""","""",substitute(SUBSTITUTE(index(importhtml(""http://finviz.com/quote.ashx?t=""&amp;A4648,""table"",10),7,2),""*"",""""),""-"",""0.00""))"),"Loading...")</f>
        <v>Loading...</v>
      </c>
      <c r="L4648" s="129">
        <v>1.927098922E9</v>
      </c>
      <c r="M4648" s="99">
        <v>2.33</v>
      </c>
    </row>
    <row r="4649">
      <c r="A4649" s="122" t="s">
        <v>9758</v>
      </c>
      <c r="B4649" s="123">
        <v>1721386.0</v>
      </c>
      <c r="C4649" s="124" t="s">
        <v>9759</v>
      </c>
      <c r="D4649" s="125"/>
      <c r="E4649" s="126">
        <v>12.54</v>
      </c>
      <c r="F4649" s="127"/>
      <c r="G4649" s="127"/>
      <c r="H4649" s="127"/>
      <c r="I4649" s="128"/>
      <c r="K4649" s="105" t="str">
        <f>IFERROR(__xludf.DUMMYFUNCTION("if(A4649="""","""",substitute(SUBSTITUTE(index(importhtml(""http://finviz.com/quote.ashx?t=""&amp;A4649,""table"",10),7,2),""*"",""""),""-"",""0.00""))"),"Loading...")</f>
        <v>Loading...</v>
      </c>
      <c r="L4649" s="129">
        <v>4.73951555E8</v>
      </c>
      <c r="M4649" s="99">
        <v>1.05</v>
      </c>
    </row>
    <row r="4650">
      <c r="A4650" s="122" t="s">
        <v>9760</v>
      </c>
      <c r="B4650" s="123">
        <v>1007273.0</v>
      </c>
      <c r="C4650" s="124" t="s">
        <v>9761</v>
      </c>
      <c r="D4650" s="125"/>
      <c r="E4650" s="126">
        <v>12.55</v>
      </c>
      <c r="F4650" s="127"/>
      <c r="G4650" s="127"/>
      <c r="H4650" s="127"/>
      <c r="I4650" s="128"/>
      <c r="K4650" s="105" t="str">
        <f>IFERROR(__xludf.DUMMYFUNCTION("if(A4650="""","""",substitute(SUBSTITUTE(index(importhtml(""http://finviz.com/quote.ashx?t=""&amp;A4650,""table"",10),7,2),""*"",""""),""-"",""0.00""))"),"Loading...")</f>
        <v>Loading...</v>
      </c>
      <c r="L4650" s="129">
        <v>6.8846226E7</v>
      </c>
      <c r="M4650" s="99">
        <v>0.46</v>
      </c>
    </row>
    <row r="4651">
      <c r="A4651" s="122" t="s">
        <v>9762</v>
      </c>
      <c r="B4651" s="123">
        <v>1259708.0</v>
      </c>
      <c r="C4651" s="124" t="s">
        <v>9763</v>
      </c>
      <c r="D4651" s="125"/>
      <c r="E4651" s="126">
        <v>12.56</v>
      </c>
      <c r="F4651" s="127"/>
      <c r="G4651" s="127"/>
      <c r="H4651" s="127"/>
      <c r="I4651" s="128"/>
      <c r="K4651" s="55" t="s">
        <v>9764</v>
      </c>
      <c r="L4651" s="129">
        <v>4.42516321E8</v>
      </c>
      <c r="M4651" s="99">
        <v>0.63</v>
      </c>
    </row>
    <row r="4652">
      <c r="A4652" s="122" t="s">
        <v>9765</v>
      </c>
      <c r="B4652" s="123">
        <v>1465740.0</v>
      </c>
      <c r="C4652" s="124" t="s">
        <v>9766</v>
      </c>
      <c r="D4652" s="125"/>
      <c r="E4652" s="126">
        <v>12.57</v>
      </c>
      <c r="F4652" s="127"/>
      <c r="G4652" s="127"/>
      <c r="H4652" s="127"/>
      <c r="I4652" s="128"/>
      <c r="K4652" s="105" t="str">
        <f>IFERROR(__xludf.DUMMYFUNCTION("if(A4652="""","""",substitute(SUBSTITUTE(index(importhtml(""http://finviz.com/quote.ashx?t=""&amp;A4652,""table"",10),7,2),""*"",""""),""-"",""0.00""))"),"Loading...")</f>
        <v>Loading...</v>
      </c>
      <c r="L4652" s="129">
        <v>1.20908137E9</v>
      </c>
      <c r="M4652" s="99">
        <v>1.89</v>
      </c>
    </row>
    <row r="4653">
      <c r="A4653" s="122" t="s">
        <v>9767</v>
      </c>
      <c r="B4653" s="123">
        <v>1472341.0</v>
      </c>
      <c r="C4653" s="124" t="s">
        <v>9768</v>
      </c>
      <c r="D4653" s="125"/>
      <c r="E4653" s="126">
        <v>12.58</v>
      </c>
      <c r="F4653" s="127"/>
      <c r="G4653" s="127"/>
      <c r="H4653" s="127"/>
      <c r="I4653" s="128"/>
      <c r="K4653" s="55" t="s">
        <v>9769</v>
      </c>
      <c r="L4653" s="129">
        <v>1.88060557E8</v>
      </c>
      <c r="M4653" s="99">
        <v>0.85</v>
      </c>
    </row>
    <row r="4654">
      <c r="A4654" s="122" t="s">
        <v>9770</v>
      </c>
      <c r="B4654" s="123">
        <v>1552198.0</v>
      </c>
      <c r="C4654" s="124" t="s">
        <v>9771</v>
      </c>
      <c r="D4654" s="125"/>
      <c r="E4654" s="126">
        <v>12.59</v>
      </c>
      <c r="F4654" s="127"/>
      <c r="G4654" s="127"/>
      <c r="H4654" s="127"/>
      <c r="I4654" s="128"/>
      <c r="K4654" s="105" t="str">
        <f>IFERROR(__xludf.DUMMYFUNCTION("if(A4654="""","""",substitute(SUBSTITUTE(index(importhtml(""http://finviz.com/quote.ashx?t=""&amp;A4654,""table"",10),7,2),""*"",""""),""-"",""0.00""))"),"Loading...")</f>
        <v>Loading...</v>
      </c>
      <c r="L4654" s="129">
        <v>2.9263038E8</v>
      </c>
      <c r="M4654" s="99">
        <v>1.22</v>
      </c>
    </row>
    <row r="4655">
      <c r="A4655" s="122" t="s">
        <v>9772</v>
      </c>
      <c r="B4655" s="123">
        <v>1078271.0</v>
      </c>
      <c r="C4655" s="124" t="s">
        <v>9773</v>
      </c>
      <c r="D4655" s="125"/>
      <c r="E4655" s="126">
        <v>12.59</v>
      </c>
      <c r="F4655" s="127"/>
      <c r="G4655" s="127"/>
      <c r="H4655" s="127"/>
      <c r="I4655" s="128"/>
      <c r="K4655" s="105" t="str">
        <f>IFERROR(__xludf.DUMMYFUNCTION("if(A4655="""","""",substitute(SUBSTITUTE(index(importhtml(""http://finviz.com/quote.ashx?t=""&amp;A4655,""table"",10),7,2),""*"",""""),""-"",""0.00""))"),"Loading...")</f>
        <v>Loading...</v>
      </c>
      <c r="L4655" s="129">
        <v>1.631837761E9</v>
      </c>
      <c r="M4655" s="99">
        <v>1.95</v>
      </c>
    </row>
    <row r="4656">
      <c r="A4656" s="122" t="s">
        <v>9774</v>
      </c>
      <c r="B4656" s="123">
        <v>49196.0</v>
      </c>
      <c r="C4656" s="124" t="s">
        <v>9775</v>
      </c>
      <c r="D4656" s="125"/>
      <c r="E4656" s="126">
        <v>12.59</v>
      </c>
      <c r="F4656" s="127"/>
      <c r="G4656" s="127"/>
      <c r="H4656" s="127"/>
      <c r="I4656" s="128"/>
      <c r="K4656" s="105" t="str">
        <f>IFERROR(__xludf.DUMMYFUNCTION("if(A4656="""","""",substitute(SUBSTITUTE(index(importhtml(""http://finviz.com/quote.ashx?t=""&amp;A4656,""table"",10),7,2),""*"",""""),""-"",""0.00""))"),"Loading...")</f>
        <v>Loading...</v>
      </c>
      <c r="L4656" s="129">
        <v>1.823434902E10</v>
      </c>
      <c r="M4656" s="99">
        <v>1.11</v>
      </c>
    </row>
    <row r="4657">
      <c r="A4657" s="122" t="s">
        <v>9776</v>
      </c>
      <c r="B4657" s="123">
        <v>1340736.0</v>
      </c>
      <c r="C4657" s="124" t="s">
        <v>9777</v>
      </c>
      <c r="D4657" s="125"/>
      <c r="E4657" s="126">
        <v>12.6</v>
      </c>
      <c r="F4657" s="127"/>
      <c r="G4657" s="127"/>
      <c r="H4657" s="127"/>
      <c r="I4657" s="128"/>
      <c r="K4657" s="55" t="s">
        <v>9289</v>
      </c>
      <c r="L4657" s="129">
        <v>1.887473757E9</v>
      </c>
      <c r="M4657" s="99">
        <v>1.06</v>
      </c>
    </row>
    <row r="4658">
      <c r="A4658" s="122" t="s">
        <v>9778</v>
      </c>
      <c r="B4658" s="123">
        <v>1538210.0</v>
      </c>
      <c r="C4658" s="124" t="s">
        <v>9779</v>
      </c>
      <c r="D4658" s="125"/>
      <c r="E4658" s="126">
        <v>12.6</v>
      </c>
      <c r="F4658" s="127"/>
      <c r="G4658" s="127"/>
      <c r="H4658" s="127"/>
      <c r="I4658" s="128"/>
      <c r="K4658" s="105" t="str">
        <f>IFERROR(__xludf.DUMMYFUNCTION("if(A4658="""","""",substitute(SUBSTITUTE(index(importhtml(""http://finviz.com/quote.ashx?t=""&amp;A4658,""table"",10),7,2),""*"",""""),""-"",""0.00""))"),"Loading...")</f>
        <v>Loading...</v>
      </c>
      <c r="L4658" s="129">
        <v>1.3332375E7</v>
      </c>
      <c r="M4658" s="99">
        <f>IFERROR(__xludf.DUMMYFUNCTION("GOOGLEFINANCE(A4658,""beta"")"),2.34)</f>
        <v>2.34</v>
      </c>
    </row>
    <row r="4659">
      <c r="A4659" s="122" t="s">
        <v>9780</v>
      </c>
      <c r="B4659" s="123">
        <v>1615905.0</v>
      </c>
      <c r="C4659" s="124" t="s">
        <v>9781</v>
      </c>
      <c r="D4659" s="125"/>
      <c r="E4659" s="126">
        <v>12.6</v>
      </c>
      <c r="F4659" s="127"/>
      <c r="G4659" s="127"/>
      <c r="H4659" s="127"/>
      <c r="I4659" s="128"/>
      <c r="K4659" s="105" t="str">
        <f>IFERROR(__xludf.DUMMYFUNCTION("if(A4659="""","""",substitute(SUBSTITUTE(index(importhtml(""http://finviz.com/quote.ashx?t=""&amp;A4659,""table"",10),7,2),""*"",""""),""-"",""0.00""))"),"Loading...")</f>
        <v>Loading...</v>
      </c>
      <c r="L4659" s="129">
        <v>2.92035122E8</v>
      </c>
      <c r="M4659" s="99">
        <v>0.92</v>
      </c>
    </row>
    <row r="4660">
      <c r="A4660" s="122" t="s">
        <v>9782</v>
      </c>
      <c r="B4660" s="123">
        <v>1859285.0</v>
      </c>
      <c r="C4660" s="124" t="s">
        <v>9783</v>
      </c>
      <c r="D4660" s="125"/>
      <c r="E4660" s="126">
        <v>12.6</v>
      </c>
      <c r="F4660" s="127"/>
      <c r="G4660" s="127"/>
      <c r="H4660" s="127"/>
      <c r="I4660" s="128"/>
      <c r="K4660" s="105" t="str">
        <f>IFERROR(__xludf.DUMMYFUNCTION("if(A4660="""","""",substitute(SUBSTITUTE(index(importhtml(""http://finviz.com/quote.ashx?t=""&amp;A4660,""table"",10),7,2),""*"",""""),""-"",""0.00""))"),"Loading...")</f>
        <v>Loading...</v>
      </c>
      <c r="L4660" s="129">
        <v>8.52323749E8</v>
      </c>
      <c r="M4660" s="99" t="str">
        <f>IFERROR(__xludf.DUMMYFUNCTION("GOOGLEFINANCE(A4660,""beta"")"),"#N/A")</f>
        <v>#N/A</v>
      </c>
    </row>
    <row r="4661">
      <c r="A4661" s="122" t="s">
        <v>9784</v>
      </c>
      <c r="B4661" s="123">
        <v>1365135.0</v>
      </c>
      <c r="C4661" s="124" t="s">
        <v>9785</v>
      </c>
      <c r="D4661" s="125"/>
      <c r="E4661" s="126">
        <v>12.61</v>
      </c>
      <c r="F4661" s="127"/>
      <c r="G4661" s="127"/>
      <c r="H4661" s="127"/>
      <c r="I4661" s="128"/>
      <c r="K4661" s="55" t="s">
        <v>8833</v>
      </c>
      <c r="L4661" s="129">
        <v>4.594565603E9</v>
      </c>
      <c r="M4661" s="99">
        <v>0.83</v>
      </c>
    </row>
    <row r="4662">
      <c r="A4662" s="122" t="s">
        <v>9786</v>
      </c>
      <c r="B4662" s="123">
        <v>1050825.0</v>
      </c>
      <c r="C4662" s="124" t="s">
        <v>9787</v>
      </c>
      <c r="D4662" s="125"/>
      <c r="E4662" s="126">
        <v>12.62</v>
      </c>
      <c r="F4662" s="127"/>
      <c r="G4662" s="127"/>
      <c r="H4662" s="127"/>
      <c r="I4662" s="128"/>
      <c r="K4662" s="105" t="str">
        <f>IFERROR(__xludf.DUMMYFUNCTION("if(A4662="""","""",substitute(SUBSTITUTE(index(importhtml(""http://finviz.com/quote.ashx?t=""&amp;A4662,""table"",10),7,2),""*"",""""),""-"",""0.00""))"),"Loading...")</f>
        <v>Loading...</v>
      </c>
      <c r="L4662" s="129">
        <v>1.441476578E9</v>
      </c>
      <c r="M4662" s="99">
        <v>1.35</v>
      </c>
    </row>
    <row r="4663">
      <c r="A4663" s="122" t="s">
        <v>9788</v>
      </c>
      <c r="B4663" s="123">
        <v>1823086.0</v>
      </c>
      <c r="C4663" s="124" t="s">
        <v>9789</v>
      </c>
      <c r="D4663" s="125"/>
      <c r="E4663" s="126">
        <v>12.65</v>
      </c>
      <c r="F4663" s="127"/>
      <c r="G4663" s="127"/>
      <c r="H4663" s="127"/>
      <c r="I4663" s="128"/>
      <c r="K4663" s="105" t="str">
        <f>IFERROR(__xludf.DUMMYFUNCTION("if(A4663="""","""",substitute(SUBSTITUTE(index(importhtml(""http://finviz.com/quote.ashx?t=""&amp;A4663,""table"",10),7,2),""*"",""""),""-"",""0.00""))"),"Loading...")</f>
        <v>Loading...</v>
      </c>
      <c r="L4663" s="129">
        <v>4.3808E7</v>
      </c>
      <c r="M4663" s="99" t="str">
        <f>IFERROR(__xludf.DUMMYFUNCTION("GOOGLEFINANCE(A4663,""beta"")"),"#N/A")</f>
        <v>#N/A</v>
      </c>
    </row>
    <row r="4664">
      <c r="A4664" s="122" t="s">
        <v>9790</v>
      </c>
      <c r="B4664" s="123">
        <v>1534880.0</v>
      </c>
      <c r="C4664" s="124" t="s">
        <v>9791</v>
      </c>
      <c r="D4664" s="125"/>
      <c r="E4664" s="126">
        <v>12.65</v>
      </c>
      <c r="F4664" s="127"/>
      <c r="G4664" s="127"/>
      <c r="H4664" s="127"/>
      <c r="I4664" s="128"/>
      <c r="K4664" s="105" t="str">
        <f>IFERROR(__xludf.DUMMYFUNCTION("if(A4664="""","""",substitute(SUBSTITUTE(index(importhtml(""http://finviz.com/quote.ashx?t=""&amp;A4664,""table"",10),7,2),""*"",""""),""-"",""0.00""))"),"Loading...")</f>
        <v>Loading...</v>
      </c>
      <c r="L4664" s="129" t="e">
        <v>#N/A</v>
      </c>
      <c r="M4664" s="99">
        <v>0.79</v>
      </c>
    </row>
    <row r="4665">
      <c r="A4665" s="122" t="s">
        <v>9792</v>
      </c>
      <c r="B4665" s="123">
        <v>1566388.0</v>
      </c>
      <c r="C4665" s="124" t="s">
        <v>9793</v>
      </c>
      <c r="D4665" s="125"/>
      <c r="E4665" s="126">
        <v>12.66</v>
      </c>
      <c r="F4665" s="127"/>
      <c r="G4665" s="127"/>
      <c r="H4665" s="127"/>
      <c r="I4665" s="128"/>
      <c r="K4665" s="55" t="s">
        <v>9720</v>
      </c>
      <c r="L4665" s="129">
        <v>1.310069444E9</v>
      </c>
      <c r="M4665" s="99">
        <v>0.84</v>
      </c>
    </row>
    <row r="4666">
      <c r="A4666" s="122" t="s">
        <v>9794</v>
      </c>
      <c r="B4666" s="123">
        <v>1769484.0</v>
      </c>
      <c r="C4666" s="124" t="s">
        <v>9795</v>
      </c>
      <c r="D4666" s="125"/>
      <c r="E4666" s="126">
        <v>12.66</v>
      </c>
      <c r="F4666" s="127"/>
      <c r="G4666" s="127"/>
      <c r="H4666" s="127"/>
      <c r="I4666" s="128"/>
      <c r="K4666" s="105" t="str">
        <f>IFERROR(__xludf.DUMMYFUNCTION("if(A4666="""","""",substitute(SUBSTITUTE(index(importhtml(""http://finviz.com/quote.ashx?t=""&amp;A4666,""table"",10),7,2),""*"",""""),""-"",""0.00""))"),"Loading...")</f>
        <v>Loading...</v>
      </c>
      <c r="L4666" s="129">
        <v>7.9568099E8</v>
      </c>
      <c r="M4666" s="99">
        <v>0.51</v>
      </c>
    </row>
    <row r="4667">
      <c r="A4667" s="122" t="s">
        <v>9796</v>
      </c>
      <c r="B4667" s="123">
        <v>1234006.0</v>
      </c>
      <c r="C4667" s="124" t="s">
        <v>9797</v>
      </c>
      <c r="D4667" s="125"/>
      <c r="E4667" s="126">
        <v>12.67</v>
      </c>
      <c r="F4667" s="127"/>
      <c r="G4667" s="127"/>
      <c r="H4667" s="127"/>
      <c r="I4667" s="128"/>
      <c r="K4667" s="105" t="str">
        <f>IFERROR(__xludf.DUMMYFUNCTION("if(A4667="""","""",substitute(SUBSTITUTE(index(importhtml(""http://finviz.com/quote.ashx?t=""&amp;A4667,""table"",10),7,2),""*"",""""),""-"",""0.00""))"),"Loading...")</f>
        <v>Loading...</v>
      </c>
      <c r="L4667" s="129">
        <v>5.56029034E8</v>
      </c>
      <c r="M4667" s="99">
        <v>1.15</v>
      </c>
    </row>
    <row r="4668">
      <c r="A4668" s="122" t="s">
        <v>9798</v>
      </c>
      <c r="B4668" s="123">
        <v>1117297.0</v>
      </c>
      <c r="C4668" s="124" t="s">
        <v>9799</v>
      </c>
      <c r="D4668" s="125"/>
      <c r="E4668" s="126">
        <v>12.67</v>
      </c>
      <c r="F4668" s="127"/>
      <c r="G4668" s="127"/>
      <c r="H4668" s="127"/>
      <c r="I4668" s="128"/>
      <c r="K4668" s="105" t="str">
        <f>IFERROR(__xludf.DUMMYFUNCTION("if(A4668="""","""",substitute(SUBSTITUTE(index(importhtml(""http://finviz.com/quote.ashx?t=""&amp;A4668,""table"",10),7,2),""*"",""""),""-"",""0.00""))"),"Loading...")</f>
        <v>Loading...</v>
      </c>
      <c r="L4668" s="129">
        <v>6.9151644E8</v>
      </c>
      <c r="M4668" s="99">
        <v>1.05</v>
      </c>
    </row>
    <row r="4669">
      <c r="A4669" s="122" t="s">
        <v>9800</v>
      </c>
      <c r="B4669" s="123">
        <v>1818383.0</v>
      </c>
      <c r="C4669" s="124" t="s">
        <v>9801</v>
      </c>
      <c r="D4669" s="125"/>
      <c r="E4669" s="126">
        <v>12.67</v>
      </c>
      <c r="F4669" s="127"/>
      <c r="G4669" s="127"/>
      <c r="H4669" s="127"/>
      <c r="I4669" s="128"/>
      <c r="K4669" s="105" t="str">
        <f>IFERROR(__xludf.DUMMYFUNCTION("if(A4669="""","""",substitute(SUBSTITUTE(index(importhtml(""http://finviz.com/quote.ashx?t=""&amp;A4669,""table"",10),7,2),""*"",""""),""-"",""0.00""))"),"Loading...")</f>
        <v>Loading...</v>
      </c>
      <c r="L4669" s="129">
        <v>8.24678901E8</v>
      </c>
      <c r="M4669" s="99">
        <v>1.14</v>
      </c>
    </row>
    <row r="4670">
      <c r="A4670" s="122" t="s">
        <v>9802</v>
      </c>
      <c r="B4670" s="123">
        <v>1368458.0</v>
      </c>
      <c r="C4670" s="124" t="s">
        <v>9803</v>
      </c>
      <c r="D4670" s="125"/>
      <c r="E4670" s="126">
        <v>12.67</v>
      </c>
      <c r="F4670" s="127"/>
      <c r="G4670" s="127"/>
      <c r="H4670" s="127"/>
      <c r="I4670" s="128"/>
      <c r="K4670" s="105" t="str">
        <f>IFERROR(__xludf.DUMMYFUNCTION("if(A4670="""","""",substitute(SUBSTITUTE(index(importhtml(""http://finviz.com/quote.ashx?t=""&amp;A4670,""table"",10),7,2),""*"",""""),""-"",""0.00""))"),"Loading...")</f>
        <v>Loading...</v>
      </c>
      <c r="L4670" s="129">
        <v>1.352798714E9</v>
      </c>
      <c r="M4670" s="99">
        <v>1.48</v>
      </c>
    </row>
    <row r="4671">
      <c r="A4671" s="122" t="s">
        <v>9804</v>
      </c>
      <c r="B4671" s="123">
        <v>715787.0</v>
      </c>
      <c r="C4671" s="124" t="s">
        <v>9805</v>
      </c>
      <c r="D4671" s="125"/>
      <c r="E4671" s="126">
        <v>12.69</v>
      </c>
      <c r="F4671" s="127"/>
      <c r="G4671" s="127"/>
      <c r="H4671" s="127"/>
      <c r="I4671" s="128"/>
      <c r="K4671" s="105" t="str">
        <f>IFERROR(__xludf.DUMMYFUNCTION("if(A4671="""","""",substitute(SUBSTITUTE(index(importhtml(""http://finviz.com/quote.ashx?t=""&amp;A4671,""table"",10),7,2),""*"",""""),""-"",""0.00""))"),"Loading...")</f>
        <v>Loading...</v>
      </c>
      <c r="L4671" s="129">
        <v>7.37377551E8</v>
      </c>
      <c r="M4671" s="99">
        <v>1.94</v>
      </c>
    </row>
    <row r="4672">
      <c r="A4672" s="122" t="s">
        <v>9806</v>
      </c>
      <c r="B4672" s="123">
        <v>1864531.0</v>
      </c>
      <c r="C4672" s="124" t="s">
        <v>9807</v>
      </c>
      <c r="D4672" s="125"/>
      <c r="E4672" s="126">
        <v>12.7</v>
      </c>
      <c r="F4672" s="127"/>
      <c r="G4672" s="127"/>
      <c r="H4672" s="127"/>
      <c r="I4672" s="128"/>
      <c r="K4672" s="105" t="str">
        <f>IFERROR(__xludf.DUMMYFUNCTION("if(A4672="""","""",substitute(SUBSTITUTE(index(importhtml(""http://finviz.com/quote.ashx?t=""&amp;A4672,""table"",10),7,2),""*"",""""),""-"",""0.00""))"),"Loading...")</f>
        <v>Loading...</v>
      </c>
      <c r="L4672" s="129">
        <v>4.3186778E7</v>
      </c>
      <c r="M4672" s="99" t="str">
        <f>IFERROR(__xludf.DUMMYFUNCTION("GOOGLEFINANCE(A4672,""beta"")"),"#N/A")</f>
        <v>#N/A</v>
      </c>
    </row>
    <row r="4673">
      <c r="A4673" s="122" t="s">
        <v>9808</v>
      </c>
      <c r="B4673" s="123">
        <v>706129.0</v>
      </c>
      <c r="C4673" s="124" t="s">
        <v>9809</v>
      </c>
      <c r="D4673" s="125"/>
      <c r="E4673" s="126">
        <v>12.7</v>
      </c>
      <c r="F4673" s="127"/>
      <c r="G4673" s="127"/>
      <c r="H4673" s="127"/>
      <c r="I4673" s="128"/>
      <c r="K4673" s="105" t="str">
        <f>IFERROR(__xludf.DUMMYFUNCTION("if(A4673="""","""",substitute(SUBSTITUTE(index(importhtml(""http://finviz.com/quote.ashx?t=""&amp;A4673,""table"",10),7,2),""*"",""""),""-"",""0.00""))"),"Loading...")</f>
        <v>Loading...</v>
      </c>
      <c r="L4673" s="129">
        <v>5.60248426E8</v>
      </c>
      <c r="M4673" s="99">
        <v>1.05</v>
      </c>
    </row>
    <row r="4674">
      <c r="A4674" s="122" t="s">
        <v>9810</v>
      </c>
      <c r="B4674" s="123">
        <v>1743759.0</v>
      </c>
      <c r="C4674" s="124" t="s">
        <v>9811</v>
      </c>
      <c r="D4674" s="125"/>
      <c r="E4674" s="126">
        <v>12.7</v>
      </c>
      <c r="F4674" s="127"/>
      <c r="G4674" s="127"/>
      <c r="H4674" s="127"/>
      <c r="I4674" s="128"/>
      <c r="K4674" s="105" t="str">
        <f>IFERROR(__xludf.DUMMYFUNCTION("if(A4674="""","""",substitute(SUBSTITUTE(index(importhtml(""http://finviz.com/quote.ashx?t=""&amp;A4674,""table"",10),7,2),""*"",""""),""-"",""0.00""))"),"Loading...")</f>
        <v>Loading...</v>
      </c>
      <c r="L4674" s="129">
        <v>1.30782693E9</v>
      </c>
      <c r="M4674" s="99">
        <v>1.64</v>
      </c>
    </row>
    <row r="4675">
      <c r="A4675" s="122" t="s">
        <v>9812</v>
      </c>
      <c r="B4675" s="123">
        <v>2186.0</v>
      </c>
      <c r="C4675" s="124" t="s">
        <v>9813</v>
      </c>
      <c r="D4675" s="125"/>
      <c r="E4675" s="126">
        <v>12.71</v>
      </c>
      <c r="F4675" s="127"/>
      <c r="G4675" s="127"/>
      <c r="H4675" s="127"/>
      <c r="I4675" s="128"/>
      <c r="K4675" s="105" t="str">
        <f>IFERROR(__xludf.DUMMYFUNCTION("if(A4675="""","""",substitute(SUBSTITUTE(index(importhtml(""http://finviz.com/quote.ashx?t=""&amp;A4675,""table"",10),7,2),""*"",""""),""-"",""0.00""))"),"Loading...")</f>
        <v>Loading...</v>
      </c>
      <c r="L4675" s="129">
        <v>4.3919379E7</v>
      </c>
      <c r="M4675" s="99">
        <v>1.16</v>
      </c>
    </row>
    <row r="4676">
      <c r="A4676" s="122" t="s">
        <v>9814</v>
      </c>
      <c r="B4676" s="123">
        <v>1834622.0</v>
      </c>
      <c r="C4676" s="124" t="s">
        <v>9815</v>
      </c>
      <c r="D4676" s="125"/>
      <c r="E4676" s="126">
        <v>12.71</v>
      </c>
      <c r="F4676" s="127"/>
      <c r="G4676" s="127"/>
      <c r="H4676" s="127"/>
      <c r="I4676" s="128"/>
      <c r="K4676" s="105" t="str">
        <f>IFERROR(__xludf.DUMMYFUNCTION("if(A4676="""","""",substitute(SUBSTITUTE(index(importhtml(""http://finviz.com/quote.ashx?t=""&amp;A4676,""table"",10),7,2),""*"",""""),""-"",""0.00""))"),"Loading...")</f>
        <v>Loading...</v>
      </c>
      <c r="L4676" s="129">
        <v>2.716114298E9</v>
      </c>
      <c r="M4676" s="99">
        <f>IFERROR(__xludf.DUMMYFUNCTION("GOOGLEFINANCE(A4676,""beta"")"),1.12)</f>
        <v>1.12</v>
      </c>
    </row>
    <row r="4677">
      <c r="A4677" s="122" t="s">
        <v>9816</v>
      </c>
      <c r="B4677" s="123">
        <v>807863.0</v>
      </c>
      <c r="C4677" s="124" t="s">
        <v>9817</v>
      </c>
      <c r="D4677" s="125"/>
      <c r="E4677" s="126">
        <v>12.72</v>
      </c>
      <c r="F4677" s="127"/>
      <c r="G4677" s="127"/>
      <c r="H4677" s="127"/>
      <c r="I4677" s="128"/>
      <c r="K4677" s="105" t="str">
        <f>IFERROR(__xludf.DUMMYFUNCTION("if(A4677="""","""",substitute(SUBSTITUTE(index(importhtml(""http://finviz.com/quote.ashx?t=""&amp;A4677,""table"",10),7,2),""*"",""""),""-"",""0.00""))"),"Loading...")</f>
        <v>Loading...</v>
      </c>
      <c r="L4677" s="129">
        <v>5.79899342E8</v>
      </c>
      <c r="M4677" s="99">
        <v>1.1</v>
      </c>
    </row>
    <row r="4678">
      <c r="A4678" s="122" t="s">
        <v>9818</v>
      </c>
      <c r="B4678" s="123">
        <v>912766.0</v>
      </c>
      <c r="C4678" s="124" t="s">
        <v>9819</v>
      </c>
      <c r="D4678" s="125"/>
      <c r="E4678" s="126">
        <v>12.73</v>
      </c>
      <c r="F4678" s="127"/>
      <c r="G4678" s="127"/>
      <c r="H4678" s="127"/>
      <c r="I4678" s="128"/>
      <c r="K4678" s="105" t="str">
        <f>IFERROR(__xludf.DUMMYFUNCTION("if(A4678="""","""",substitute(SUBSTITUTE(index(importhtml(""http://finviz.com/quote.ashx?t=""&amp;A4678,""table"",10),7,2),""*"",""""),""-"",""0.00""))"),"Loading...")</f>
        <v>Loading...</v>
      </c>
      <c r="L4678" s="129">
        <v>2.003285656E9</v>
      </c>
      <c r="M4678" s="99">
        <v>0.74</v>
      </c>
    </row>
    <row r="4679">
      <c r="A4679" s="122" t="s">
        <v>9820</v>
      </c>
      <c r="B4679" s="123">
        <v>1829726.0</v>
      </c>
      <c r="C4679" s="124" t="s">
        <v>9821</v>
      </c>
      <c r="D4679" s="125"/>
      <c r="E4679" s="126">
        <v>12.74</v>
      </c>
      <c r="F4679" s="127"/>
      <c r="G4679" s="127"/>
      <c r="H4679" s="127"/>
      <c r="I4679" s="128"/>
      <c r="K4679" s="105" t="str">
        <f>IFERROR(__xludf.DUMMYFUNCTION("if(A4679="""","""",substitute(SUBSTITUTE(index(importhtml(""http://finviz.com/quote.ashx?t=""&amp;A4679,""table"",10),7,2),""*"",""""),""-"",""0.00""))"),"Loading...")</f>
        <v>Loading...</v>
      </c>
      <c r="L4679" s="129">
        <v>3.457246478E9</v>
      </c>
      <c r="M4679" s="99">
        <f>IFERROR(__xludf.DUMMYFUNCTION("GOOGLEFINANCE(A4679,""beta"")"),-0.17)</f>
        <v>-0.17</v>
      </c>
    </row>
    <row r="4680">
      <c r="A4680" s="122" t="s">
        <v>9822</v>
      </c>
      <c r="B4680" s="123">
        <v>1853021.0</v>
      </c>
      <c r="C4680" s="124" t="s">
        <v>9823</v>
      </c>
      <c r="D4680" s="125"/>
      <c r="E4680" s="126">
        <v>12.75</v>
      </c>
      <c r="F4680" s="127"/>
      <c r="G4680" s="127"/>
      <c r="H4680" s="127"/>
      <c r="I4680" s="128"/>
      <c r="K4680" s="105" t="str">
        <f>IFERROR(__xludf.DUMMYFUNCTION("if(A4680="""","""",substitute(SUBSTITUTE(index(importhtml(""http://finviz.com/quote.ashx?t=""&amp;A4680,""table"",10),7,2),""*"",""""),""-"",""0.00""))"),"Loading...")</f>
        <v>Loading...</v>
      </c>
      <c r="L4680" s="129">
        <v>6.40515885E8</v>
      </c>
      <c r="M4680" s="99" t="str">
        <f>IFERROR(__xludf.DUMMYFUNCTION("GOOGLEFINANCE(A4680,""beta"")"),"#N/A")</f>
        <v>#N/A</v>
      </c>
    </row>
    <row r="4681">
      <c r="A4681" s="122" t="s">
        <v>9824</v>
      </c>
      <c r="B4681" s="123">
        <v>1496099.0</v>
      </c>
      <c r="C4681" s="124" t="s">
        <v>9825</v>
      </c>
      <c r="D4681" s="125"/>
      <c r="E4681" s="126">
        <v>12.75</v>
      </c>
      <c r="F4681" s="127"/>
      <c r="G4681" s="127"/>
      <c r="H4681" s="127"/>
      <c r="I4681" s="128"/>
      <c r="K4681" s="105" t="str">
        <f>IFERROR(__xludf.DUMMYFUNCTION("if(A4681="""","""",substitute(SUBSTITUTE(index(importhtml(""http://finviz.com/quote.ashx?t=""&amp;A4681,""table"",10),7,2),""*"",""""),""-"",""0.00""))"),"#REF!")</f>
        <v>#REF!</v>
      </c>
      <c r="L4681" s="129">
        <v>1.2933549E9</v>
      </c>
      <c r="M4681" s="99">
        <v>1.09</v>
      </c>
    </row>
    <row r="4682">
      <c r="A4682" s="122" t="s">
        <v>9826</v>
      </c>
      <c r="B4682" s="123">
        <v>1029142.0</v>
      </c>
      <c r="C4682" s="124" t="s">
        <v>9827</v>
      </c>
      <c r="D4682" s="125"/>
      <c r="E4682" s="126">
        <v>12.75</v>
      </c>
      <c r="F4682" s="127"/>
      <c r="G4682" s="127"/>
      <c r="H4682" s="127"/>
      <c r="I4682" s="128"/>
      <c r="K4682" s="105" t="str">
        <f>IFERROR(__xludf.DUMMYFUNCTION("if(A4682="""","""",substitute(SUBSTITUTE(index(importhtml(""http://finviz.com/quote.ashx?t=""&amp;A4682,""table"",10),7,2),""*"",""""),""-"",""0.00""))"),"Loading...")</f>
        <v>Loading...</v>
      </c>
      <c r="L4682" s="129">
        <v>1.6480752E9</v>
      </c>
      <c r="M4682" s="99">
        <v>1.26</v>
      </c>
    </row>
    <row r="4683">
      <c r="A4683" s="122" t="s">
        <v>9828</v>
      </c>
      <c r="B4683" s="123">
        <v>1759509.0</v>
      </c>
      <c r="C4683" s="124" t="s">
        <v>9829</v>
      </c>
      <c r="D4683" s="125"/>
      <c r="E4683" s="126">
        <v>12.75</v>
      </c>
      <c r="F4683" s="127"/>
      <c r="G4683" s="127"/>
      <c r="H4683" s="127"/>
      <c r="I4683" s="128"/>
      <c r="K4683" s="105" t="str">
        <f>IFERROR(__xludf.DUMMYFUNCTION("if(A4683="""","""",substitute(SUBSTITUTE(index(importhtml(""http://finviz.com/quote.ashx?t=""&amp;A4683,""table"",10),7,2),""*"",""""),""-"",""0.00""))"),"Loading...")</f>
        <v>Loading...</v>
      </c>
      <c r="L4683" s="129">
        <v>5.010626325E9</v>
      </c>
      <c r="M4683" s="99">
        <v>1.9</v>
      </c>
    </row>
    <row r="4684">
      <c r="A4684" s="122" t="s">
        <v>9830</v>
      </c>
      <c r="B4684" s="123">
        <v>1325670.0</v>
      </c>
      <c r="C4684" s="124" t="s">
        <v>9831</v>
      </c>
      <c r="D4684" s="125"/>
      <c r="E4684" s="126">
        <v>12.77</v>
      </c>
      <c r="F4684" s="127"/>
      <c r="G4684" s="127"/>
      <c r="H4684" s="127"/>
      <c r="I4684" s="128"/>
      <c r="K4684" s="105" t="str">
        <f>IFERROR(__xludf.DUMMYFUNCTION("if(A4684="""","""",substitute(SUBSTITUTE(index(importhtml(""http://finviz.com/quote.ashx?t=""&amp;A4684,""table"",10),7,2),""*"",""""),""-"",""0.00""))"),"Loading...")</f>
        <v>Loading...</v>
      </c>
      <c r="L4684" s="129">
        <v>3.15186086E8</v>
      </c>
      <c r="M4684" s="99">
        <v>0.76</v>
      </c>
    </row>
    <row r="4685">
      <c r="A4685" s="122" t="s">
        <v>9832</v>
      </c>
      <c r="B4685" s="123">
        <v>1635977.0</v>
      </c>
      <c r="C4685" s="124" t="s">
        <v>9833</v>
      </c>
      <c r="D4685" s="125"/>
      <c r="E4685" s="126">
        <v>12.77</v>
      </c>
      <c r="F4685" s="127"/>
      <c r="G4685" s="127"/>
      <c r="H4685" s="127"/>
      <c r="I4685" s="128"/>
      <c r="K4685" s="105" t="str">
        <f>IFERROR(__xludf.DUMMYFUNCTION("if(A4685="""","""",substitute(SUBSTITUTE(index(importhtml(""http://finviz.com/quote.ashx?t=""&amp;A4685,""table"",10),7,2),""*"",""""),""-"",""0.00""))"),"Loading...")</f>
        <v>Loading...</v>
      </c>
      <c r="L4685" s="129">
        <v>4.85239713E8</v>
      </c>
      <c r="M4685" s="99">
        <v>0.9</v>
      </c>
    </row>
    <row r="4686">
      <c r="A4686" s="122" t="s">
        <v>9834</v>
      </c>
      <c r="B4686" s="123">
        <v>61398.0</v>
      </c>
      <c r="C4686" s="124" t="s">
        <v>9835</v>
      </c>
      <c r="D4686" s="125"/>
      <c r="E4686" s="126">
        <v>12.8</v>
      </c>
      <c r="F4686" s="127"/>
      <c r="G4686" s="127"/>
      <c r="H4686" s="127"/>
      <c r="I4686" s="128"/>
      <c r="K4686" s="105" t="str">
        <f>IFERROR(__xludf.DUMMYFUNCTION("if(A4686="""","""",substitute(SUBSTITUTE(index(importhtml(""http://finviz.com/quote.ashx?t=""&amp;A4686,""table"",10),7,2),""*"",""""),""-"",""0.00""))"),"Loading...")</f>
        <v>Loading...</v>
      </c>
      <c r="L4686" s="129">
        <v>2.97927598E8</v>
      </c>
      <c r="M4686" s="99" t="str">
        <f>IFERROR(__xludf.DUMMYFUNCTION("GOOGLEFINANCE(A4686,""beta"")"),"#N/A")</f>
        <v>#N/A</v>
      </c>
    </row>
    <row r="4687">
      <c r="A4687" s="122" t="s">
        <v>9836</v>
      </c>
      <c r="B4687" s="123">
        <v>742112.0</v>
      </c>
      <c r="C4687" s="124" t="s">
        <v>9837</v>
      </c>
      <c r="D4687" s="125"/>
      <c r="E4687" s="126">
        <v>12.8</v>
      </c>
      <c r="F4687" s="127"/>
      <c r="G4687" s="127"/>
      <c r="H4687" s="127"/>
      <c r="I4687" s="128"/>
      <c r="K4687" s="105" t="str">
        <f>IFERROR(__xludf.DUMMYFUNCTION("if(A4687="""","""",substitute(SUBSTITUTE(index(importhtml(""http://finviz.com/quote.ashx?t=""&amp;A4687,""table"",10),7,2),""*"",""""),""-"",""0.00""))"),"Loading...")</f>
        <v>Loading...</v>
      </c>
      <c r="L4687" s="129">
        <v>4.000776526E9</v>
      </c>
      <c r="M4687" s="99" t="str">
        <f>IFERROR(__xludf.DUMMYFUNCTION("GOOGLEFINANCE(A4687,""beta"")"),"#N/A")</f>
        <v>#N/A</v>
      </c>
    </row>
    <row r="4688">
      <c r="A4688" s="122" t="s">
        <v>9838</v>
      </c>
      <c r="B4688" s="123">
        <v>1569345.0</v>
      </c>
      <c r="C4688" s="124" t="s">
        <v>9839</v>
      </c>
      <c r="D4688" s="125"/>
      <c r="E4688" s="126">
        <v>12.82</v>
      </c>
      <c r="F4688" s="127"/>
      <c r="G4688" s="127"/>
      <c r="H4688" s="127"/>
      <c r="I4688" s="128"/>
      <c r="K4688" s="55" t="s">
        <v>1034</v>
      </c>
      <c r="L4688" s="129">
        <v>3.511274844E9</v>
      </c>
      <c r="M4688" s="99">
        <f>IFERROR(__xludf.DUMMYFUNCTION("GOOGLEFINANCE(A4688,""beta"")"),0.78)</f>
        <v>0.78</v>
      </c>
    </row>
    <row r="4689">
      <c r="A4689" s="122" t="s">
        <v>9840</v>
      </c>
      <c r="B4689" s="123">
        <v>1545772.0</v>
      </c>
      <c r="C4689" s="124" t="s">
        <v>9841</v>
      </c>
      <c r="D4689" s="125"/>
      <c r="E4689" s="126">
        <v>12.83</v>
      </c>
      <c r="F4689" s="127"/>
      <c r="G4689" s="127"/>
      <c r="H4689" s="127"/>
      <c r="I4689" s="128"/>
      <c r="K4689" s="105" t="str">
        <f>IFERROR(__xludf.DUMMYFUNCTION("if(A4689="""","""",substitute(SUBSTITUTE(index(importhtml(""http://finviz.com/quote.ashx?t=""&amp;A4689,""table"",10),7,2),""*"",""""),""-"",""0.00""))"),"Loading...")</f>
        <v>Loading...</v>
      </c>
      <c r="L4689" s="129">
        <v>9.9948799E7</v>
      </c>
      <c r="M4689" s="99">
        <v>1.31</v>
      </c>
    </row>
    <row r="4690">
      <c r="A4690" s="122" t="s">
        <v>9842</v>
      </c>
      <c r="B4690" s="123">
        <v>1551901.0</v>
      </c>
      <c r="C4690" s="124" t="s">
        <v>9843</v>
      </c>
      <c r="D4690" s="125"/>
      <c r="E4690" s="126">
        <v>12.84</v>
      </c>
      <c r="F4690" s="127"/>
      <c r="G4690" s="127"/>
      <c r="H4690" s="127"/>
      <c r="I4690" s="128"/>
      <c r="K4690" s="105" t="str">
        <f>IFERROR(__xludf.DUMMYFUNCTION("if(A4690="""","""",substitute(SUBSTITUTE(index(importhtml(""http://finviz.com/quote.ashx?t=""&amp;A4690,""table"",10),7,2),""*"",""""),""-"",""0.00""))"),"Loading...")</f>
        <v>Loading...</v>
      </c>
      <c r="L4690" s="129">
        <v>3.09773092E8</v>
      </c>
      <c r="M4690" s="99">
        <v>1.15</v>
      </c>
    </row>
    <row r="4691">
      <c r="A4691" s="122" t="s">
        <v>9844</v>
      </c>
      <c r="B4691" s="123">
        <v>1253986.0</v>
      </c>
      <c r="C4691" s="124" t="s">
        <v>9845</v>
      </c>
      <c r="D4691" s="125"/>
      <c r="E4691" s="126">
        <v>12.85</v>
      </c>
      <c r="F4691" s="127"/>
      <c r="G4691" s="127"/>
      <c r="H4691" s="127"/>
      <c r="I4691" s="128"/>
      <c r="K4691" s="55" t="s">
        <v>9846</v>
      </c>
      <c r="L4691" s="129">
        <v>2.422245631E9</v>
      </c>
      <c r="M4691" s="99">
        <v>2.02</v>
      </c>
    </row>
    <row r="4692">
      <c r="A4692" s="122" t="s">
        <v>9847</v>
      </c>
      <c r="B4692" s="123">
        <v>1508478.0</v>
      </c>
      <c r="C4692" s="124" t="s">
        <v>9848</v>
      </c>
      <c r="D4692" s="125"/>
      <c r="E4692" s="126">
        <v>12.85</v>
      </c>
      <c r="F4692" s="127"/>
      <c r="G4692" s="127"/>
      <c r="H4692" s="127"/>
      <c r="I4692" s="128"/>
      <c r="K4692" s="105" t="str">
        <f>IFERROR(__xludf.DUMMYFUNCTION("if(A4692="""","""",substitute(SUBSTITUTE(index(importhtml(""http://finviz.com/quote.ashx?t=""&amp;A4692,""table"",10),7,2),""*"",""""),""-"",""0.00""))"),"Loading...")</f>
        <v>Loading...</v>
      </c>
      <c r="L4692" s="129">
        <v>2.587512518E9</v>
      </c>
      <c r="M4692" s="99">
        <v>1.28</v>
      </c>
    </row>
    <row r="4693">
      <c r="A4693" s="122" t="s">
        <v>9849</v>
      </c>
      <c r="B4693" s="123">
        <v>1767057.0</v>
      </c>
      <c r="C4693" s="124" t="s">
        <v>9850</v>
      </c>
      <c r="D4693" s="125"/>
      <c r="E4693" s="126">
        <v>12.85</v>
      </c>
      <c r="F4693" s="127"/>
      <c r="G4693" s="127"/>
      <c r="H4693" s="127"/>
      <c r="I4693" s="128"/>
      <c r="K4693" s="105" t="str">
        <f>IFERROR(__xludf.DUMMYFUNCTION("if(A4693="""","""",substitute(SUBSTITUTE(index(importhtml(""http://finviz.com/quote.ashx?t=""&amp;A4693,""table"",10),7,2),""*"",""""),""-"",""0.00""))"),"Loading...")</f>
        <v>Loading...</v>
      </c>
      <c r="L4693" s="129" t="e">
        <v>#N/A</v>
      </c>
      <c r="M4693" s="99">
        <v>1.78</v>
      </c>
    </row>
    <row r="4694">
      <c r="A4694" s="122" t="s">
        <v>9851</v>
      </c>
      <c r="B4694" s="123">
        <v>1819133.0</v>
      </c>
      <c r="C4694" s="124" t="s">
        <v>9852</v>
      </c>
      <c r="D4694" s="125"/>
      <c r="E4694" s="126">
        <v>12.88</v>
      </c>
      <c r="F4694" s="127"/>
      <c r="G4694" s="127"/>
      <c r="H4694" s="127"/>
      <c r="I4694" s="128"/>
      <c r="K4694" s="105" t="str">
        <f>IFERROR(__xludf.DUMMYFUNCTION("if(A4694="""","""",substitute(SUBSTITUTE(index(importhtml(""http://finviz.com/quote.ashx?t=""&amp;A4694,""table"",10),7,2),""*"",""""),""-"",""0.00""))"),"Loading...")</f>
        <v>Loading...</v>
      </c>
      <c r="L4694" s="129">
        <v>1.313626059E9</v>
      </c>
      <c r="M4694" s="99">
        <v>0.94</v>
      </c>
    </row>
    <row r="4695">
      <c r="A4695" s="122" t="s">
        <v>9853</v>
      </c>
      <c r="B4695" s="123">
        <v>1298699.0</v>
      </c>
      <c r="C4695" s="124" t="s">
        <v>9854</v>
      </c>
      <c r="D4695" s="125"/>
      <c r="E4695" s="126">
        <v>12.89</v>
      </c>
      <c r="F4695" s="127"/>
      <c r="G4695" s="127"/>
      <c r="H4695" s="127"/>
      <c r="I4695" s="128"/>
      <c r="K4695" s="105" t="str">
        <f>IFERROR(__xludf.DUMMYFUNCTION("if(A4695="""","""",substitute(SUBSTITUTE(index(importhtml(""http://finviz.com/quote.ashx?t=""&amp;A4695,""table"",10),7,2),""*"",""""),""-"",""0.00""))"),"Loading...")</f>
        <v>Loading...</v>
      </c>
      <c r="L4695" s="129">
        <v>1.342689463E9</v>
      </c>
      <c r="M4695" s="99">
        <v>0.86</v>
      </c>
    </row>
    <row r="4696">
      <c r="A4696" s="122" t="s">
        <v>9855</v>
      </c>
      <c r="B4696" s="123">
        <v>1658566.0</v>
      </c>
      <c r="C4696" s="124" t="s">
        <v>9856</v>
      </c>
      <c r="D4696" s="125"/>
      <c r="E4696" s="126">
        <v>12.9</v>
      </c>
      <c r="F4696" s="127"/>
      <c r="G4696" s="127"/>
      <c r="H4696" s="127"/>
      <c r="I4696" s="128"/>
      <c r="K4696" s="138" t="s">
        <v>6361</v>
      </c>
      <c r="L4696" s="129">
        <v>9.984656464E9</v>
      </c>
      <c r="M4696" s="99">
        <v>4.32</v>
      </c>
    </row>
    <row r="4697">
      <c r="A4697" s="122" t="s">
        <v>9857</v>
      </c>
      <c r="B4697" s="123">
        <v>1856365.0</v>
      </c>
      <c r="C4697" s="124" t="s">
        <v>9858</v>
      </c>
      <c r="D4697" s="125"/>
      <c r="E4697" s="126">
        <v>12.91</v>
      </c>
      <c r="F4697" s="127"/>
      <c r="G4697" s="127"/>
      <c r="H4697" s="127"/>
      <c r="I4697" s="128"/>
      <c r="K4697" s="105" t="str">
        <f>IFERROR(__xludf.DUMMYFUNCTION("if(A4697="""","""",substitute(SUBSTITUTE(index(importhtml(""http://finviz.com/quote.ashx?t=""&amp;A4697,""table"",10),7,2),""*"",""""),""-"",""0.00""))"),"Loading...")</f>
        <v>Loading...</v>
      </c>
      <c r="L4697" s="129">
        <v>1.61291857E8</v>
      </c>
      <c r="M4697" s="99">
        <f>IFERROR(__xludf.DUMMYFUNCTION("GOOGLEFINANCE(A4697,""beta"")"),0.81)</f>
        <v>0.81</v>
      </c>
    </row>
    <row r="4698">
      <c r="A4698" s="122" t="s">
        <v>9859</v>
      </c>
      <c r="B4698" s="123">
        <v>1437731.0</v>
      </c>
      <c r="C4698" s="124" t="s">
        <v>9860</v>
      </c>
      <c r="D4698" s="125"/>
      <c r="E4698" s="126">
        <v>12.91</v>
      </c>
      <c r="F4698" s="127"/>
      <c r="G4698" s="127"/>
      <c r="H4698" s="127"/>
      <c r="I4698" s="128"/>
      <c r="K4698" s="105" t="str">
        <f>IFERROR(__xludf.DUMMYFUNCTION("if(A4698="""","""",substitute(SUBSTITUTE(index(importhtml(""http://finviz.com/quote.ashx?t=""&amp;A4698,""table"",10),7,2),""*"",""""),""-"",""0.00""))"),"Loading...")</f>
        <v>Loading...</v>
      </c>
      <c r="L4698" s="129" t="e">
        <v>#N/A</v>
      </c>
      <c r="M4698" s="99">
        <f>IFERROR(__xludf.DUMMYFUNCTION("GOOGLEFINANCE(A4698,""beta"")"),0.7)</f>
        <v>0.7</v>
      </c>
    </row>
    <row r="4699">
      <c r="A4699" s="122" t="s">
        <v>9861</v>
      </c>
      <c r="B4699" s="123">
        <v>1124796.0</v>
      </c>
      <c r="C4699" s="124" t="s">
        <v>9862</v>
      </c>
      <c r="D4699" s="125"/>
      <c r="E4699" s="126">
        <v>12.92</v>
      </c>
      <c r="F4699" s="127"/>
      <c r="G4699" s="127"/>
      <c r="H4699" s="127"/>
      <c r="I4699" s="128"/>
      <c r="K4699" s="105" t="str">
        <f>IFERROR(__xludf.DUMMYFUNCTION("if(A4699="""","""",substitute(SUBSTITUTE(index(importhtml(""http://finviz.com/quote.ashx?t=""&amp;A4699,""table"",10),7,2),""*"",""""),""-"",""0.00""))"),"Loading...")</f>
        <v>Loading...</v>
      </c>
      <c r="L4699" s="129">
        <v>6.03184415E8</v>
      </c>
      <c r="M4699" s="99">
        <v>2.47</v>
      </c>
    </row>
    <row r="4700">
      <c r="A4700" s="122" t="s">
        <v>9863</v>
      </c>
      <c r="B4700" s="123">
        <v>846901.0</v>
      </c>
      <c r="C4700" s="124" t="s">
        <v>9864</v>
      </c>
      <c r="D4700" s="125"/>
      <c r="E4700" s="126">
        <v>12.92</v>
      </c>
      <c r="F4700" s="127"/>
      <c r="G4700" s="127"/>
      <c r="H4700" s="127"/>
      <c r="I4700" s="128"/>
      <c r="K4700" s="105" t="str">
        <f>IFERROR(__xludf.DUMMYFUNCTION("if(A4700="""","""",substitute(SUBSTITUTE(index(importhtml(""http://finviz.com/quote.ashx?t=""&amp;A4700,""table"",10),7,2),""*"",""""),""-"",""0.00""))"),"Loading...")</f>
        <v>Loading...</v>
      </c>
      <c r="L4700" s="129">
        <v>8.40191093E8</v>
      </c>
      <c r="M4700" s="99">
        <v>0.88</v>
      </c>
    </row>
    <row r="4701">
      <c r="A4701" s="122" t="s">
        <v>9865</v>
      </c>
      <c r="B4701" s="123">
        <v>1515940.0</v>
      </c>
      <c r="C4701" s="124" t="s">
        <v>9866</v>
      </c>
      <c r="D4701" s="125"/>
      <c r="E4701" s="126">
        <v>12.93</v>
      </c>
      <c r="F4701" s="127"/>
      <c r="G4701" s="127"/>
      <c r="H4701" s="127"/>
      <c r="I4701" s="128"/>
      <c r="K4701" s="105" t="str">
        <f>IFERROR(__xludf.DUMMYFUNCTION("if(A4701="""","""",substitute(SUBSTITUTE(index(importhtml(""http://finviz.com/quote.ashx?t=""&amp;A4701,""table"",10),7,2),""*"",""""),""-"",""0.00""))"),"Loading...")</f>
        <v>Loading...</v>
      </c>
      <c r="L4701" s="129">
        <v>2.63000214E8</v>
      </c>
      <c r="M4701" s="99">
        <v>0.78</v>
      </c>
    </row>
    <row r="4702">
      <c r="A4702" s="122" t="s">
        <v>9867</v>
      </c>
      <c r="B4702" s="123">
        <v>799233.0</v>
      </c>
      <c r="C4702" s="124" t="s">
        <v>9868</v>
      </c>
      <c r="D4702" s="125"/>
      <c r="E4702" s="126">
        <v>12.93</v>
      </c>
      <c r="F4702" s="127"/>
      <c r="G4702" s="127"/>
      <c r="H4702" s="127"/>
      <c r="I4702" s="128"/>
      <c r="K4702" s="105" t="str">
        <f>IFERROR(__xludf.DUMMYFUNCTION("if(A4702="""","""",substitute(SUBSTITUTE(index(importhtml(""http://finviz.com/quote.ashx?t=""&amp;A4702,""table"",10),7,2),""*"",""""),""-"",""0.00""))"),"Loading...")</f>
        <v>Loading...</v>
      </c>
      <c r="L4702" s="129">
        <v>1.021814608E9</v>
      </c>
      <c r="M4702" s="99">
        <v>0.63</v>
      </c>
    </row>
    <row r="4703">
      <c r="A4703" s="122" t="s">
        <v>9869</v>
      </c>
      <c r="B4703" s="123">
        <v>925528.0</v>
      </c>
      <c r="C4703" s="124" t="s">
        <v>9870</v>
      </c>
      <c r="D4703" s="125"/>
      <c r="E4703" s="126">
        <v>12.94</v>
      </c>
      <c r="F4703" s="127"/>
      <c r="G4703" s="127"/>
      <c r="H4703" s="127"/>
      <c r="I4703" s="128"/>
      <c r="K4703" s="105" t="str">
        <f>IFERROR(__xludf.DUMMYFUNCTION("if(A4703="""","""",substitute(SUBSTITUTE(index(importhtml(""http://finviz.com/quote.ashx?t=""&amp;A4703,""table"",10),7,2),""*"",""""),""-"",""0.00""))"),"Loading...")</f>
        <v>Loading...</v>
      </c>
      <c r="L4703" s="129">
        <v>5.88800648E8</v>
      </c>
      <c r="M4703" s="99">
        <v>0.95</v>
      </c>
    </row>
    <row r="4704">
      <c r="A4704" s="122" t="s">
        <v>9871</v>
      </c>
      <c r="B4704" s="123">
        <v>1787384.0</v>
      </c>
      <c r="C4704" s="124" t="s">
        <v>9872</v>
      </c>
      <c r="D4704" s="125"/>
      <c r="E4704" s="126">
        <v>12.95</v>
      </c>
      <c r="F4704" s="127"/>
      <c r="G4704" s="127"/>
      <c r="H4704" s="127"/>
      <c r="I4704" s="128"/>
      <c r="K4704" s="105" t="str">
        <f>IFERROR(__xludf.DUMMYFUNCTION("if(A4704="""","""",substitute(SUBSTITUTE(index(importhtml(""http://finviz.com/quote.ashx?t=""&amp;A4704,""table"",10),7,2),""*"",""""),""-"",""0.00""))"),"Loading...")</f>
        <v>Loading...</v>
      </c>
      <c r="L4704" s="129">
        <v>6.5967299E7</v>
      </c>
      <c r="M4704" s="99">
        <v>0.39</v>
      </c>
    </row>
    <row r="4705">
      <c r="A4705" s="122" t="s">
        <v>9873</v>
      </c>
      <c r="B4705" s="123">
        <v>1849670.0</v>
      </c>
      <c r="C4705" s="124" t="s">
        <v>9874</v>
      </c>
      <c r="D4705" s="125"/>
      <c r="E4705" s="126">
        <v>12.97</v>
      </c>
      <c r="F4705" s="127"/>
      <c r="G4705" s="127"/>
      <c r="H4705" s="127"/>
      <c r="I4705" s="128"/>
      <c r="K4705" s="105" t="str">
        <f>IFERROR(__xludf.DUMMYFUNCTION("if(A4705="""","""",substitute(SUBSTITUTE(index(importhtml(""http://finviz.com/quote.ashx?t=""&amp;A4705,""table"",10),7,2),""*"",""""),""-"",""0.00""))"),"Loading...")</f>
        <v>Loading...</v>
      </c>
      <c r="L4705" s="129">
        <v>3.5213109E7</v>
      </c>
      <c r="M4705" s="99">
        <f>IFERROR(__xludf.DUMMYFUNCTION("GOOGLEFINANCE(A4705,""beta"")"),0.14)</f>
        <v>0.14</v>
      </c>
    </row>
    <row r="4706">
      <c r="A4706" s="122" t="s">
        <v>9875</v>
      </c>
      <c r="B4706" s="123">
        <v>1609151.0</v>
      </c>
      <c r="C4706" s="124" t="s">
        <v>9876</v>
      </c>
      <c r="D4706" s="125"/>
      <c r="E4706" s="126">
        <v>12.97</v>
      </c>
      <c r="F4706" s="127"/>
      <c r="G4706" s="127"/>
      <c r="H4706" s="127"/>
      <c r="I4706" s="128"/>
      <c r="K4706" s="105" t="str">
        <f>IFERROR(__xludf.DUMMYFUNCTION("if(A4706="""","""",substitute(SUBSTITUTE(index(importhtml(""http://finviz.com/quote.ashx?t=""&amp;A4706,""table"",10),7,2),""*"",""""),""-"",""0.00""))"),"Loading...")</f>
        <v>Loading...</v>
      </c>
      <c r="L4706" s="129">
        <v>9.01077798E8</v>
      </c>
      <c r="M4706" s="99">
        <f>IFERROR(__xludf.DUMMYFUNCTION("GOOGLEFINANCE(A4706,""beta"")"),1.71)</f>
        <v>1.71</v>
      </c>
    </row>
    <row r="4707">
      <c r="A4707" s="122" t="s">
        <v>9877</v>
      </c>
      <c r="B4707" s="123">
        <v>1039765.0</v>
      </c>
      <c r="C4707" s="124" t="s">
        <v>9878</v>
      </c>
      <c r="D4707" s="125"/>
      <c r="E4707" s="126">
        <v>12.98</v>
      </c>
      <c r="F4707" s="127"/>
      <c r="G4707" s="127"/>
      <c r="H4707" s="127"/>
      <c r="I4707" s="128"/>
      <c r="K4707" s="105" t="str">
        <f>IFERROR(__xludf.DUMMYFUNCTION("if(A4707="""","""",substitute(SUBSTITUTE(index(importhtml(""http://finviz.com/quote.ashx?t=""&amp;A4707,""table"",10),7,2),""*"",""""),""-"",""0.00""))"),"Loading...")</f>
        <v>Loading...</v>
      </c>
      <c r="L4707" s="129">
        <v>4.6299825372E10</v>
      </c>
      <c r="M4707" s="99">
        <v>1.66</v>
      </c>
    </row>
    <row r="4708">
      <c r="A4708" s="122" t="s">
        <v>9879</v>
      </c>
      <c r="B4708" s="123">
        <v>1140102.0</v>
      </c>
      <c r="C4708" s="124" t="s">
        <v>9880</v>
      </c>
      <c r="D4708" s="125"/>
      <c r="E4708" s="126">
        <v>12.99</v>
      </c>
      <c r="F4708" s="127"/>
      <c r="G4708" s="127"/>
      <c r="H4708" s="127"/>
      <c r="I4708" s="128"/>
      <c r="K4708" s="105" t="str">
        <f>IFERROR(__xludf.DUMMYFUNCTION("if(A4708="""","""",substitute(SUBSTITUTE(index(importhtml(""http://finviz.com/quote.ashx?t=""&amp;A4708,""table"",10),7,2),""*"",""""),""-"",""0.00""))"),"Loading...")</f>
        <v>Loading...</v>
      </c>
      <c r="L4708" s="129">
        <v>1.80560996E8</v>
      </c>
      <c r="M4708" s="99">
        <v>1.12</v>
      </c>
    </row>
    <row r="4709">
      <c r="A4709" s="122" t="s">
        <v>9881</v>
      </c>
      <c r="B4709" s="123">
        <v>818686.0</v>
      </c>
      <c r="C4709" s="124" t="s">
        <v>9695</v>
      </c>
      <c r="D4709" s="125"/>
      <c r="E4709" s="126">
        <v>12.99</v>
      </c>
      <c r="F4709" s="127"/>
      <c r="G4709" s="127"/>
      <c r="H4709" s="127"/>
      <c r="I4709" s="128"/>
      <c r="K4709" s="105" t="str">
        <f>IFERROR(__xludf.DUMMYFUNCTION("if(A4709="""","""",substitute(SUBSTITUTE(index(importhtml(""http://finviz.com/quote.ashx?t=""&amp;A4709,""table"",10),7,2),""*"",""""),""-"",""0.00""))"),"Loading...")</f>
        <v>Loading...</v>
      </c>
      <c r="L4709" s="129">
        <v>1.3541253945E10</v>
      </c>
      <c r="M4709" s="99">
        <v>0.91</v>
      </c>
    </row>
    <row r="4710">
      <c r="A4710" s="122" t="s">
        <v>9882</v>
      </c>
      <c r="B4710" s="123">
        <v>910679.0</v>
      </c>
      <c r="C4710" s="124" t="s">
        <v>9883</v>
      </c>
      <c r="D4710" s="125"/>
      <c r="E4710" s="126">
        <v>13.0</v>
      </c>
      <c r="F4710" s="127"/>
      <c r="G4710" s="127"/>
      <c r="H4710" s="127"/>
      <c r="I4710" s="128"/>
      <c r="K4710" s="105" t="str">
        <f>IFERROR(__xludf.DUMMYFUNCTION("if(A4710="""","""",substitute(SUBSTITUTE(index(importhtml(""http://finviz.com/quote.ashx?t=""&amp;A4710,""table"",10),7,2),""*"",""""),""-"",""0.00""))"),"Loading...")</f>
        <v>Loading...</v>
      </c>
      <c r="L4710" s="129">
        <v>2.252624E7</v>
      </c>
      <c r="M4710" s="99">
        <v>0.55</v>
      </c>
    </row>
    <row r="4711">
      <c r="A4711" s="122" t="s">
        <v>9884</v>
      </c>
      <c r="B4711" s="123">
        <v>1429260.0</v>
      </c>
      <c r="C4711" s="124" t="s">
        <v>9885</v>
      </c>
      <c r="D4711" s="125"/>
      <c r="E4711" s="126">
        <v>13.0</v>
      </c>
      <c r="F4711" s="127"/>
      <c r="G4711" s="127"/>
      <c r="H4711" s="127"/>
      <c r="I4711" s="128"/>
      <c r="K4711" s="105" t="str">
        <f>IFERROR(__xludf.DUMMYFUNCTION("if(A4711="""","""",substitute(SUBSTITUTE(index(importhtml(""http://finviz.com/quote.ashx?t=""&amp;A4711,""table"",10),7,2),""*"",""""),""-"",""0.00""))"),"Loading...")</f>
        <v>Loading...</v>
      </c>
      <c r="L4711" s="129">
        <v>3.3996987E7</v>
      </c>
      <c r="M4711" s="99">
        <v>0.94</v>
      </c>
    </row>
    <row r="4712">
      <c r="A4712" s="122" t="s">
        <v>9886</v>
      </c>
      <c r="B4712" s="123">
        <v>1277575.0</v>
      </c>
      <c r="C4712" s="124" t="s">
        <v>9887</v>
      </c>
      <c r="D4712" s="125"/>
      <c r="E4712" s="126">
        <v>13.0</v>
      </c>
      <c r="F4712" s="127"/>
      <c r="G4712" s="127"/>
      <c r="H4712" s="127"/>
      <c r="I4712" s="128"/>
      <c r="K4712" s="105" t="str">
        <f>IFERROR(__xludf.DUMMYFUNCTION("if(A4712="""","""",substitute(SUBSTITUTE(index(importhtml(""http://finviz.com/quote.ashx?t=""&amp;A4712,""table"",10),7,2),""*"",""""),""-"",""0.00""))"),"Loading...")</f>
        <v>Loading...</v>
      </c>
      <c r="L4712" s="129">
        <v>5.925795E8</v>
      </c>
      <c r="M4712" s="99">
        <v>2.73</v>
      </c>
    </row>
    <row r="4713">
      <c r="A4713" s="122" t="s">
        <v>9888</v>
      </c>
      <c r="B4713" s="123">
        <v>1175535.0</v>
      </c>
      <c r="C4713" s="124" t="s">
        <v>9889</v>
      </c>
      <c r="D4713" s="125"/>
      <c r="E4713" s="126">
        <v>13.0</v>
      </c>
      <c r="F4713" s="127"/>
      <c r="G4713" s="127"/>
      <c r="H4713" s="127"/>
      <c r="I4713" s="128"/>
      <c r="K4713" s="105" t="str">
        <f>IFERROR(__xludf.DUMMYFUNCTION("if(A4713="""","""",substitute(SUBSTITUTE(index(importhtml(""http://finviz.com/quote.ashx?t=""&amp;A4713,""table"",10),7,2),""*"",""""),""-"",""0.00""))"),"Loading...")</f>
        <v>Loading...</v>
      </c>
      <c r="L4713" s="129">
        <v>6.4461163E8</v>
      </c>
      <c r="M4713" s="99">
        <v>1.19</v>
      </c>
    </row>
    <row r="4714">
      <c r="A4714" s="122" t="s">
        <v>9890</v>
      </c>
      <c r="B4714" s="123">
        <v>1065521.0</v>
      </c>
      <c r="C4714" s="124" t="s">
        <v>9891</v>
      </c>
      <c r="D4714" s="125"/>
      <c r="E4714" s="126">
        <v>13.0</v>
      </c>
      <c r="F4714" s="127"/>
      <c r="G4714" s="127"/>
      <c r="H4714" s="127"/>
      <c r="I4714" s="128"/>
      <c r="K4714" s="105" t="str">
        <f>IFERROR(__xludf.DUMMYFUNCTION("if(A4714="""","""",substitute(SUBSTITUTE(index(importhtml(""http://finviz.com/quote.ashx?t=""&amp;A4714,""table"",10),7,2),""*"",""""),""-"",""0.00""))"),"Loading...")</f>
        <v>Loading...</v>
      </c>
      <c r="L4714" s="129">
        <v>9.6085437015E12</v>
      </c>
      <c r="M4714" s="99">
        <v>0.4</v>
      </c>
    </row>
    <row r="4715">
      <c r="A4715" s="122" t="s">
        <v>9892</v>
      </c>
      <c r="B4715" s="123">
        <v>1159167.0</v>
      </c>
      <c r="C4715" s="124" t="s">
        <v>9893</v>
      </c>
      <c r="D4715" s="125"/>
      <c r="E4715" s="126">
        <v>13.01</v>
      </c>
      <c r="F4715" s="127"/>
      <c r="G4715" s="127"/>
      <c r="H4715" s="127"/>
      <c r="I4715" s="128"/>
      <c r="K4715" s="105" t="str">
        <f>IFERROR(__xludf.DUMMYFUNCTION("if(A4715="""","""",substitute(SUBSTITUTE(index(importhtml(""http://finviz.com/quote.ashx?t=""&amp;A4715,""table"",10),7,2),""*"",""""),""-"",""0.00""))"),"Loading...")</f>
        <v>Loading...</v>
      </c>
      <c r="L4715" s="129">
        <v>3.62531462E8</v>
      </c>
      <c r="M4715" s="99">
        <v>1.02</v>
      </c>
    </row>
    <row r="4716">
      <c r="A4716" s="122" t="s">
        <v>9894</v>
      </c>
      <c r="B4716" s="123">
        <v>1828316.0</v>
      </c>
      <c r="C4716" s="124" t="s">
        <v>9895</v>
      </c>
      <c r="D4716" s="125"/>
      <c r="E4716" s="126">
        <v>13.04</v>
      </c>
      <c r="F4716" s="127"/>
      <c r="G4716" s="127"/>
      <c r="H4716" s="127"/>
      <c r="I4716" s="128"/>
      <c r="K4716" s="105" t="str">
        <f>IFERROR(__xludf.DUMMYFUNCTION("if(A4716="""","""",substitute(SUBSTITUTE(index(importhtml(""http://finviz.com/quote.ashx?t=""&amp;A4716,""table"",10),7,2),""*"",""""),""-"",""0.00""))"),"Loading...")</f>
        <v>Loading...</v>
      </c>
      <c r="L4716" s="129">
        <v>7.57087224E8</v>
      </c>
      <c r="M4716" s="99">
        <v>0.25</v>
      </c>
    </row>
    <row r="4717">
      <c r="A4717" s="122" t="s">
        <v>9896</v>
      </c>
      <c r="B4717" s="123">
        <v>1579877.0</v>
      </c>
      <c r="C4717" s="124" t="s">
        <v>9897</v>
      </c>
      <c r="D4717" s="125"/>
      <c r="E4717" s="126">
        <v>13.04</v>
      </c>
      <c r="F4717" s="127"/>
      <c r="G4717" s="127"/>
      <c r="H4717" s="127"/>
      <c r="I4717" s="128"/>
      <c r="K4717" s="105" t="str">
        <f>IFERROR(__xludf.DUMMYFUNCTION("if(A4717="""","""",substitute(SUBSTITUTE(index(importhtml(""http://finviz.com/quote.ashx?t=""&amp;A4717,""table"",10),7,2),""*"",""""),""-"",""0.00""))"),"Loading...")</f>
        <v>Loading...</v>
      </c>
      <c r="L4717" s="129">
        <v>2.152245473E9</v>
      </c>
      <c r="M4717" s="99">
        <v>1.86</v>
      </c>
    </row>
    <row r="4718">
      <c r="A4718" s="122" t="s">
        <v>9898</v>
      </c>
      <c r="B4718" s="123">
        <v>1364250.0</v>
      </c>
      <c r="C4718" s="124" t="s">
        <v>9899</v>
      </c>
      <c r="D4718" s="125"/>
      <c r="E4718" s="126">
        <v>13.05</v>
      </c>
      <c r="F4718" s="127"/>
      <c r="G4718" s="127"/>
      <c r="H4718" s="127"/>
      <c r="I4718" s="128"/>
      <c r="K4718" s="55" t="s">
        <v>7975</v>
      </c>
      <c r="L4718" s="129">
        <v>2.122570844E9</v>
      </c>
      <c r="M4718" s="99">
        <v>1.06</v>
      </c>
    </row>
    <row r="4719">
      <c r="A4719" s="122" t="s">
        <v>9900</v>
      </c>
      <c r="B4719" s="123">
        <v>1094738.0</v>
      </c>
      <c r="C4719" s="124" t="s">
        <v>9901</v>
      </c>
      <c r="D4719" s="125"/>
      <c r="E4719" s="126">
        <v>13.05</v>
      </c>
      <c r="F4719" s="127"/>
      <c r="G4719" s="127"/>
      <c r="H4719" s="127"/>
      <c r="I4719" s="128"/>
      <c r="K4719" s="105" t="str">
        <f>IFERROR(__xludf.DUMMYFUNCTION("if(A4719="""","""",substitute(SUBSTITUTE(index(importhtml(""http://finviz.com/quote.ashx?t=""&amp;A4719,""table"",10),7,2),""*"",""""),""-"",""0.00""))"),"Loading...")</f>
        <v>Loading...</v>
      </c>
      <c r="L4719" s="129">
        <v>2.5860715E7</v>
      </c>
      <c r="M4719" s="99">
        <v>-0.1</v>
      </c>
    </row>
    <row r="4720">
      <c r="A4720" s="122" t="s">
        <v>9902</v>
      </c>
      <c r="B4720" s="123">
        <v>1855066.0</v>
      </c>
      <c r="C4720" s="124" t="s">
        <v>9903</v>
      </c>
      <c r="D4720" s="125"/>
      <c r="E4720" s="126">
        <v>13.05</v>
      </c>
      <c r="F4720" s="127"/>
      <c r="G4720" s="127"/>
      <c r="H4720" s="127"/>
      <c r="I4720" s="128"/>
      <c r="K4720" s="105" t="str">
        <f>IFERROR(__xludf.DUMMYFUNCTION("if(A4720="""","""",substitute(SUBSTITUTE(index(importhtml(""http://finviz.com/quote.ashx?t=""&amp;A4720,""table"",10),7,2),""*"",""""),""-"",""0.00""))"),"Loading...")</f>
        <v>Loading...</v>
      </c>
      <c r="L4720" s="129">
        <v>6.79220276E8</v>
      </c>
      <c r="M4720" s="99">
        <f>IFERROR(__xludf.DUMMYFUNCTION("GOOGLEFINANCE(A4720,""beta"")"),1.0)</f>
        <v>1</v>
      </c>
    </row>
    <row r="4721">
      <c r="A4721" s="122" t="s">
        <v>9904</v>
      </c>
      <c r="B4721" s="123">
        <v>1545772.0</v>
      </c>
      <c r="C4721" s="124" t="s">
        <v>9905</v>
      </c>
      <c r="D4721" s="125"/>
      <c r="E4721" s="126">
        <v>13.05</v>
      </c>
      <c r="F4721" s="127"/>
      <c r="G4721" s="127"/>
      <c r="H4721" s="127"/>
      <c r="I4721" s="128"/>
      <c r="K4721" s="105" t="str">
        <f>IFERROR(__xludf.DUMMYFUNCTION("if(A4721="""","""",substitute(SUBSTITUTE(index(importhtml(""http://finviz.com/quote.ashx?t=""&amp;A4721,""table"",10),7,2),""*"",""""),""-"",""0.00""))"),"Loading...")</f>
        <v>Loading...</v>
      </c>
      <c r="L4721" s="129" t="e">
        <v>#N/A</v>
      </c>
      <c r="M4721" s="99">
        <f>IFERROR(__xludf.DUMMYFUNCTION("GOOGLEFINANCE(A4721,""beta"")"),0.68)</f>
        <v>0.68</v>
      </c>
    </row>
    <row r="4722">
      <c r="A4722" s="122" t="s">
        <v>9906</v>
      </c>
      <c r="B4722" s="123">
        <v>1492298.0</v>
      </c>
      <c r="C4722" s="124" t="s">
        <v>9907</v>
      </c>
      <c r="D4722" s="125"/>
      <c r="E4722" s="126">
        <v>13.07</v>
      </c>
      <c r="F4722" s="127"/>
      <c r="G4722" s="127"/>
      <c r="H4722" s="127"/>
      <c r="I4722" s="128"/>
      <c r="K4722" s="105" t="str">
        <f>IFERROR(__xludf.DUMMYFUNCTION("if(A4722="""","""",substitute(SUBSTITUTE(index(importhtml(""http://finviz.com/quote.ashx?t=""&amp;A4722,""table"",10),7,2),""*"",""""),""-"",""0.00""))"),"Loading...")</f>
        <v>Loading...</v>
      </c>
      <c r="L4722" s="129">
        <v>3.022037487E9</v>
      </c>
      <c r="M4722" s="99">
        <v>1.12</v>
      </c>
    </row>
    <row r="4723">
      <c r="A4723" s="122" t="s">
        <v>9908</v>
      </c>
      <c r="B4723" s="123">
        <v>37808.0</v>
      </c>
      <c r="C4723" s="124" t="s">
        <v>9909</v>
      </c>
      <c r="D4723" s="125"/>
      <c r="E4723" s="126">
        <v>13.08</v>
      </c>
      <c r="F4723" s="127"/>
      <c r="G4723" s="127"/>
      <c r="H4723" s="127"/>
      <c r="I4723" s="128"/>
      <c r="K4723" s="55" t="s">
        <v>9910</v>
      </c>
      <c r="L4723" s="129">
        <v>4.693488524E9</v>
      </c>
      <c r="M4723" s="99">
        <v>1.02</v>
      </c>
    </row>
    <row r="4724">
      <c r="A4724" s="122" t="s">
        <v>9911</v>
      </c>
      <c r="B4724" s="123">
        <v>875582.0</v>
      </c>
      <c r="C4724" s="124" t="s">
        <v>9912</v>
      </c>
      <c r="D4724" s="125"/>
      <c r="E4724" s="126">
        <v>13.1</v>
      </c>
      <c r="F4724" s="127"/>
      <c r="G4724" s="127"/>
      <c r="H4724" s="127"/>
      <c r="I4724" s="128"/>
      <c r="K4724" s="105" t="str">
        <f>IFERROR(__xludf.DUMMYFUNCTION("if(A4724="""","""",substitute(SUBSTITUTE(index(importhtml(""http://finviz.com/quote.ashx?t=""&amp;A4724,""table"",10),7,2),""*"",""""),""-"",""0.00""))"),"Loading...")</f>
        <v>Loading...</v>
      </c>
      <c r="L4724" s="129">
        <v>1.23501537E8</v>
      </c>
      <c r="M4724" s="99">
        <v>0.72</v>
      </c>
    </row>
    <row r="4725">
      <c r="A4725" s="122" t="s">
        <v>9913</v>
      </c>
      <c r="B4725" s="123">
        <v>1308927.0</v>
      </c>
      <c r="C4725" s="124" t="s">
        <v>9914</v>
      </c>
      <c r="D4725" s="125"/>
      <c r="E4725" s="126">
        <v>13.11</v>
      </c>
      <c r="F4725" s="127"/>
      <c r="G4725" s="127"/>
      <c r="H4725" s="127"/>
      <c r="I4725" s="128"/>
      <c r="K4725" s="55" t="s">
        <v>8509</v>
      </c>
      <c r="L4725" s="129">
        <v>3.84831454E8</v>
      </c>
      <c r="M4725" s="99">
        <v>0.95</v>
      </c>
    </row>
    <row r="4726">
      <c r="A4726" s="122" t="s">
        <v>9915</v>
      </c>
      <c r="B4726" s="123">
        <v>759828.0</v>
      </c>
      <c r="C4726" s="124" t="s">
        <v>9916</v>
      </c>
      <c r="D4726" s="125"/>
      <c r="E4726" s="126">
        <v>13.11</v>
      </c>
      <c r="F4726" s="127"/>
      <c r="G4726" s="127"/>
      <c r="H4726" s="127"/>
      <c r="I4726" s="128"/>
      <c r="K4726" s="105" t="str">
        <f>IFERROR(__xludf.DUMMYFUNCTION("if(A4726="""","""",substitute(SUBSTITUTE(index(importhtml(""http://finviz.com/quote.ashx?t=""&amp;A4726,""table"",10),7,2),""*"",""""),""-"",""0.00""))"),"Loading...")</f>
        <v>Loading...</v>
      </c>
      <c r="L4726" s="129">
        <v>1.14640968E8</v>
      </c>
      <c r="M4726" s="99">
        <v>0.85</v>
      </c>
    </row>
    <row r="4727">
      <c r="A4727" s="122" t="s">
        <v>9917</v>
      </c>
      <c r="B4727" s="123">
        <v>1798618.0</v>
      </c>
      <c r="C4727" s="124" t="s">
        <v>9918</v>
      </c>
      <c r="D4727" s="125"/>
      <c r="E4727" s="126">
        <v>13.12</v>
      </c>
      <c r="F4727" s="127"/>
      <c r="G4727" s="127"/>
      <c r="H4727" s="127"/>
      <c r="I4727" s="128"/>
      <c r="K4727" s="105" t="str">
        <f>IFERROR(__xludf.DUMMYFUNCTION("if(A4727="""","""",substitute(SUBSTITUTE(index(importhtml(""http://finviz.com/quote.ashx?t=""&amp;A4727,""table"",10),7,2),""*"",""""),""-"",""0.00""))"),"Loading...")</f>
        <v>Loading...</v>
      </c>
      <c r="L4727" s="129">
        <v>1.450625907E9</v>
      </c>
      <c r="M4727" s="99">
        <v>0.79</v>
      </c>
    </row>
    <row r="4728">
      <c r="A4728" s="122" t="s">
        <v>9919</v>
      </c>
      <c r="B4728" s="123">
        <v>1877787.0</v>
      </c>
      <c r="C4728" s="124" t="s">
        <v>9920</v>
      </c>
      <c r="D4728" s="125"/>
      <c r="E4728" s="126">
        <v>13.12</v>
      </c>
      <c r="F4728" s="127"/>
      <c r="G4728" s="127"/>
      <c r="H4728" s="127"/>
      <c r="I4728" s="128"/>
      <c r="K4728" s="105" t="str">
        <f>IFERROR(__xludf.DUMMYFUNCTION("if(A4728="""","""",substitute(SUBSTITUTE(index(importhtml(""http://finviz.com/quote.ashx?t=""&amp;A4728,""table"",10),7,2),""*"",""""),""-"",""0.00""))"),"Loading...")</f>
        <v>Loading...</v>
      </c>
      <c r="L4728" s="129">
        <v>3.277759075E9</v>
      </c>
      <c r="M4728" s="99">
        <v>0.54</v>
      </c>
    </row>
    <row r="4729">
      <c r="A4729" s="122" t="s">
        <v>9921</v>
      </c>
      <c r="B4729" s="123">
        <v>1379481.0</v>
      </c>
      <c r="C4729" s="124" t="s">
        <v>9922</v>
      </c>
      <c r="D4729" s="125"/>
      <c r="E4729" s="126">
        <v>13.12</v>
      </c>
      <c r="F4729" s="127"/>
      <c r="G4729" s="127"/>
      <c r="H4729" s="127"/>
      <c r="I4729" s="128"/>
      <c r="K4729" s="105" t="str">
        <f>IFERROR(__xludf.DUMMYFUNCTION("if(A4729="""","""",substitute(SUBSTITUTE(index(importhtml(""http://finviz.com/quote.ashx?t=""&amp;A4729,""table"",10),7,2),""*"",""""),""-"",""0.00""))"),"Loading...")</f>
        <v>Loading...</v>
      </c>
      <c r="L4729" s="129">
        <v>1.0250364662E10</v>
      </c>
      <c r="M4729" s="99">
        <v>1.3</v>
      </c>
    </row>
    <row r="4730">
      <c r="A4730" s="122" t="s">
        <v>9923</v>
      </c>
      <c r="B4730" s="123">
        <v>1274792.0</v>
      </c>
      <c r="C4730" s="124" t="s">
        <v>9924</v>
      </c>
      <c r="D4730" s="125"/>
      <c r="E4730" s="126">
        <v>13.13</v>
      </c>
      <c r="F4730" s="127"/>
      <c r="G4730" s="127"/>
      <c r="H4730" s="127"/>
      <c r="I4730" s="128"/>
      <c r="K4730" s="105" t="str">
        <f>IFERROR(__xludf.DUMMYFUNCTION("if(A4730="""","""",substitute(SUBSTITUTE(index(importhtml(""http://finviz.com/quote.ashx?t=""&amp;A4730,""table"",10),7,2),""*"",""""),""-"",""0.00""))"),"Loading...")</f>
        <v>Loading...</v>
      </c>
      <c r="L4730" s="129">
        <v>1.88034075E8</v>
      </c>
      <c r="M4730" s="99">
        <v>1.47</v>
      </c>
    </row>
    <row r="4731">
      <c r="A4731" s="122" t="s">
        <v>9925</v>
      </c>
      <c r="B4731" s="123">
        <v>1092796.0</v>
      </c>
      <c r="C4731" s="124" t="s">
        <v>9926</v>
      </c>
      <c r="D4731" s="125"/>
      <c r="E4731" s="126">
        <v>13.14</v>
      </c>
      <c r="F4731" s="127"/>
      <c r="G4731" s="127"/>
      <c r="H4731" s="127"/>
      <c r="I4731" s="128"/>
      <c r="K4731" s="105" t="str">
        <f>IFERROR(__xludf.DUMMYFUNCTION("if(A4731="""","""",substitute(SUBSTITUTE(index(importhtml(""http://finviz.com/quote.ashx?t=""&amp;A4731,""table"",10),7,2),""*"",""""),""-"",""0.00""))"),"Loading...")</f>
        <v>Loading...</v>
      </c>
      <c r="L4731" s="129">
        <v>5.99700943E8</v>
      </c>
      <c r="M4731" s="99">
        <v>1.14</v>
      </c>
    </row>
    <row r="4732">
      <c r="A4732" s="122" t="s">
        <v>9927</v>
      </c>
      <c r="B4732" s="123">
        <v>851310.0</v>
      </c>
      <c r="C4732" s="124" t="s">
        <v>9928</v>
      </c>
      <c r="D4732" s="125"/>
      <c r="E4732" s="126">
        <v>13.14</v>
      </c>
      <c r="F4732" s="127"/>
      <c r="G4732" s="127"/>
      <c r="H4732" s="127"/>
      <c r="I4732" s="128"/>
      <c r="K4732" s="105" t="str">
        <f>IFERROR(__xludf.DUMMYFUNCTION("if(A4732="""","""",substitute(SUBSTITUTE(index(importhtml(""http://finviz.com/quote.ashx?t=""&amp;A4732,""table"",10),7,2),""*"",""""),""-"",""0.00""))"),"Loading...")</f>
        <v>Loading...</v>
      </c>
      <c r="L4732" s="129">
        <v>1.477026704E9</v>
      </c>
      <c r="M4732" s="99">
        <v>0.82</v>
      </c>
    </row>
    <row r="4733">
      <c r="A4733" s="122" t="s">
        <v>9929</v>
      </c>
      <c r="B4733" s="123">
        <v>1062066.0</v>
      </c>
      <c r="C4733" s="124" t="s">
        <v>9930</v>
      </c>
      <c r="D4733" s="125"/>
      <c r="E4733" s="126">
        <v>13.14</v>
      </c>
      <c r="F4733" s="127"/>
      <c r="G4733" s="127"/>
      <c r="H4733" s="127"/>
      <c r="I4733" s="128"/>
      <c r="K4733" s="105" t="str">
        <f>IFERROR(__xludf.DUMMYFUNCTION("if(A4733="""","""",substitute(SUBSTITUTE(index(importhtml(""http://finviz.com/quote.ashx?t=""&amp;A4733,""table"",10),7,2),""*"",""""),""-"",""0.00""))"),"Loading...")</f>
        <v>Loading...</v>
      </c>
      <c r="L4733" s="129">
        <v>4.61352734E9</v>
      </c>
      <c r="M4733" s="99">
        <v>1.23</v>
      </c>
    </row>
    <row r="4734">
      <c r="A4734" s="122" t="s">
        <v>9931</v>
      </c>
      <c r="B4734" s="123">
        <v>1580808.0</v>
      </c>
      <c r="C4734" s="124" t="s">
        <v>9932</v>
      </c>
      <c r="D4734" s="125"/>
      <c r="E4734" s="126">
        <v>13.15</v>
      </c>
      <c r="F4734" s="127"/>
      <c r="G4734" s="127"/>
      <c r="H4734" s="127"/>
      <c r="I4734" s="128"/>
      <c r="K4734" s="105" t="str">
        <f>IFERROR(__xludf.DUMMYFUNCTION("if(A4734="""","""",substitute(SUBSTITUTE(index(importhtml(""http://finviz.com/quote.ashx?t=""&amp;A4734,""table"",10),7,2),""*"",""""),""-"",""0.00""))"),"Loading...")</f>
        <v>Loading...</v>
      </c>
      <c r="L4734" s="129">
        <v>9.74917564E8</v>
      </c>
      <c r="M4734" s="99">
        <v>1.12</v>
      </c>
    </row>
    <row r="4735">
      <c r="A4735" s="122" t="s">
        <v>9933</v>
      </c>
      <c r="B4735" s="123">
        <v>1866692.0</v>
      </c>
      <c r="C4735" s="124" t="s">
        <v>9934</v>
      </c>
      <c r="D4735" s="125"/>
      <c r="E4735" s="126">
        <v>13.15</v>
      </c>
      <c r="F4735" s="127"/>
      <c r="G4735" s="127"/>
      <c r="H4735" s="127"/>
      <c r="I4735" s="128"/>
      <c r="K4735" s="105" t="str">
        <f>IFERROR(__xludf.DUMMYFUNCTION("if(A4735="""","""",substitute(SUBSTITUTE(index(importhtml(""http://finviz.com/quote.ashx?t=""&amp;A4735,""table"",10),7,2),""*"",""""),""-"",""0.00""))"),"Loading...")</f>
        <v>Loading...</v>
      </c>
      <c r="L4735" s="129">
        <v>1.565507454E9</v>
      </c>
      <c r="M4735" s="99">
        <f>IFERROR(__xludf.DUMMYFUNCTION("GOOGLEFINANCE(A4735,""beta"")"),1.51)</f>
        <v>1.51</v>
      </c>
    </row>
    <row r="4736">
      <c r="A4736" s="122" t="s">
        <v>9935</v>
      </c>
      <c r="B4736" s="123">
        <v>1718512.0</v>
      </c>
      <c r="C4736" s="124" t="s">
        <v>9936</v>
      </c>
      <c r="D4736" s="125"/>
      <c r="E4736" s="126">
        <v>13.16</v>
      </c>
      <c r="F4736" s="127"/>
      <c r="G4736" s="127"/>
      <c r="H4736" s="127"/>
      <c r="I4736" s="128"/>
      <c r="K4736" s="105" t="str">
        <f>IFERROR(__xludf.DUMMYFUNCTION("if(A4736="""","""",substitute(SUBSTITUTE(index(importhtml(""http://finviz.com/quote.ashx?t=""&amp;A4736,""table"",10),7,2),""*"",""""),""-"",""0.00""))"),"Loading...")</f>
        <v>Loading...</v>
      </c>
      <c r="L4736" s="129">
        <v>3.475670451E9</v>
      </c>
      <c r="M4736" s="99">
        <v>1.54</v>
      </c>
    </row>
    <row r="4737">
      <c r="A4737" s="122" t="s">
        <v>9937</v>
      </c>
      <c r="B4737" s="123">
        <v>1048515.0</v>
      </c>
      <c r="C4737" s="124" t="s">
        <v>9938</v>
      </c>
      <c r="D4737" s="125"/>
      <c r="E4737" s="126">
        <v>13.16</v>
      </c>
      <c r="F4737" s="127"/>
      <c r="G4737" s="127"/>
      <c r="H4737" s="127"/>
      <c r="I4737" s="128"/>
      <c r="K4737" s="105" t="str">
        <f>IFERROR(__xludf.DUMMYFUNCTION("if(A4737="""","""",substitute(SUBSTITUTE(index(importhtml(""http://finviz.com/quote.ashx?t=""&amp;A4737,""table"",10),7,2),""*"",""""),""-"",""0.00""))"),"Loading...")</f>
        <v>Loading...</v>
      </c>
      <c r="L4737" s="129">
        <v>4.12836593E10</v>
      </c>
      <c r="M4737" s="99">
        <v>0.53</v>
      </c>
    </row>
    <row r="4738">
      <c r="A4738" s="122" t="s">
        <v>9939</v>
      </c>
      <c r="B4738" s="123">
        <v>1258623.0</v>
      </c>
      <c r="C4738" s="124" t="s">
        <v>9940</v>
      </c>
      <c r="D4738" s="125"/>
      <c r="E4738" s="126">
        <v>13.18</v>
      </c>
      <c r="F4738" s="127"/>
      <c r="G4738" s="127"/>
      <c r="H4738" s="127"/>
      <c r="I4738" s="128"/>
      <c r="K4738" s="55" t="s">
        <v>9941</v>
      </c>
      <c r="L4738" s="129">
        <v>3.845244E8</v>
      </c>
      <c r="M4738" s="99">
        <v>0.56</v>
      </c>
    </row>
    <row r="4739">
      <c r="A4739" s="122" t="s">
        <v>9942</v>
      </c>
      <c r="B4739" s="123">
        <v>1039765.0</v>
      </c>
      <c r="C4739" s="124" t="s">
        <v>9878</v>
      </c>
      <c r="D4739" s="125"/>
      <c r="E4739" s="126">
        <v>13.18</v>
      </c>
      <c r="F4739" s="127"/>
      <c r="G4739" s="127"/>
      <c r="H4739" s="127"/>
      <c r="I4739" s="128"/>
      <c r="K4739" s="105" t="str">
        <f>IFERROR(__xludf.DUMMYFUNCTION("if(A4739="""","""",substitute(SUBSTITUTE(index(importhtml(""http://finviz.com/quote.ashx?t=""&amp;A4739,""table"",10),7,2),""*"",""""),""-"",""0.00""))"),"Loading...")</f>
        <v>Loading...</v>
      </c>
      <c r="L4739" s="129">
        <v>4.6299825372E10</v>
      </c>
      <c r="M4739" s="99">
        <v>1.57</v>
      </c>
    </row>
    <row r="4740">
      <c r="A4740" s="122" t="s">
        <v>9943</v>
      </c>
      <c r="B4740" s="123">
        <v>883569.0</v>
      </c>
      <c r="C4740" s="124" t="s">
        <v>9944</v>
      </c>
      <c r="D4740" s="125"/>
      <c r="E4740" s="126">
        <v>13.19</v>
      </c>
      <c r="F4740" s="127"/>
      <c r="G4740" s="127"/>
      <c r="H4740" s="127"/>
      <c r="I4740" s="128"/>
      <c r="K4740" s="105" t="str">
        <f>IFERROR(__xludf.DUMMYFUNCTION("if(A4740="""","""",substitute(SUBSTITUTE(index(importhtml(""http://finviz.com/quote.ashx?t=""&amp;A4740,""table"",10),7,2),""*"",""""),""-"",""0.00""))"),"Loading...")</f>
        <v>Loading...</v>
      </c>
      <c r="L4740" s="129">
        <v>5.7987677E7</v>
      </c>
      <c r="M4740" s="99" t="str">
        <f>IFERROR(__xludf.DUMMYFUNCTION("GOOGLEFINANCE(A4740,""beta"")"),"#N/A")</f>
        <v>#N/A</v>
      </c>
    </row>
    <row r="4741">
      <c r="A4741" s="122" t="s">
        <v>9945</v>
      </c>
      <c r="B4741" s="123">
        <v>1654126.0</v>
      </c>
      <c r="C4741" s="124" t="s">
        <v>9946</v>
      </c>
      <c r="D4741" s="125"/>
      <c r="E4741" s="126">
        <v>13.19</v>
      </c>
      <c r="F4741" s="127"/>
      <c r="G4741" s="127"/>
      <c r="H4741" s="127"/>
      <c r="I4741" s="128"/>
      <c r="K4741" s="105" t="str">
        <f>IFERROR(__xludf.DUMMYFUNCTION("if(A4741="""","""",substitute(SUBSTITUTE(index(importhtml(""http://finviz.com/quote.ashx?t=""&amp;A4741,""table"",10),7,2),""*"",""""),""-"",""0.00""))"),"Loading...")</f>
        <v>Loading...</v>
      </c>
      <c r="L4741" s="129">
        <v>1.585678007E9</v>
      </c>
      <c r="M4741" s="99">
        <v>2.07</v>
      </c>
    </row>
    <row r="4742">
      <c r="A4742" s="122" t="s">
        <v>9947</v>
      </c>
      <c r="B4742" s="123">
        <v>1195734.0</v>
      </c>
      <c r="C4742" s="124" t="s">
        <v>9948</v>
      </c>
      <c r="D4742" s="125"/>
      <c r="E4742" s="126">
        <v>13.2</v>
      </c>
      <c r="F4742" s="127"/>
      <c r="G4742" s="127"/>
      <c r="H4742" s="127"/>
      <c r="I4742" s="128"/>
      <c r="K4742" s="105" t="str">
        <f>IFERROR(__xludf.DUMMYFUNCTION("if(A4742="""","""",substitute(SUBSTITUTE(index(importhtml(""http://finviz.com/quote.ashx?t=""&amp;A4742,""table"",10),7,2),""*"",""""),""-"",""0.00""))"),"Loading...")</f>
        <v>Loading...</v>
      </c>
      <c r="L4742" s="129">
        <v>3.87535494E8</v>
      </c>
      <c r="M4742" s="99">
        <v>1.33</v>
      </c>
    </row>
    <row r="4743">
      <c r="A4743" s="122" t="s">
        <v>9949</v>
      </c>
      <c r="B4743" s="123">
        <v>1236275.0</v>
      </c>
      <c r="C4743" s="124" t="s">
        <v>9950</v>
      </c>
      <c r="D4743" s="125"/>
      <c r="E4743" s="126">
        <v>13.23</v>
      </c>
      <c r="F4743" s="127"/>
      <c r="G4743" s="127"/>
      <c r="H4743" s="127"/>
      <c r="I4743" s="128"/>
      <c r="K4743" s="105" t="str">
        <f>IFERROR(__xludf.DUMMYFUNCTION("if(A4743="""","""",substitute(SUBSTITUTE(index(importhtml(""http://finviz.com/quote.ashx?t=""&amp;A4743,""table"",10),7,2),""*"",""""),""-"",""0.00""))"),"Loading...")</f>
        <v>Loading...</v>
      </c>
      <c r="L4743" s="129">
        <v>6.9539219E7</v>
      </c>
      <c r="M4743" s="99">
        <v>2.25</v>
      </c>
    </row>
    <row r="4744">
      <c r="A4744" s="122" t="s">
        <v>9951</v>
      </c>
      <c r="B4744" s="123">
        <v>1869198.0</v>
      </c>
      <c r="C4744" s="124" t="s">
        <v>9952</v>
      </c>
      <c r="D4744" s="125"/>
      <c r="E4744" s="126">
        <v>13.25</v>
      </c>
      <c r="F4744" s="127"/>
      <c r="G4744" s="127"/>
      <c r="H4744" s="127"/>
      <c r="I4744" s="128"/>
      <c r="K4744" s="105" t="str">
        <f>IFERROR(__xludf.DUMMYFUNCTION("if(A4744="""","""",substitute(SUBSTITUTE(index(importhtml(""http://finviz.com/quote.ashx?t=""&amp;A4744,""table"",10),7,2),""*"",""""),""-"",""0.00""))"),"Loading...")</f>
        <v>Loading...</v>
      </c>
      <c r="L4744" s="129">
        <v>2.6024166E9</v>
      </c>
      <c r="M4744" s="99">
        <f>IFERROR(__xludf.DUMMYFUNCTION("GOOGLEFINANCE(A4744,""beta"")"),1.68)</f>
        <v>1.68</v>
      </c>
    </row>
    <row r="4745">
      <c r="A4745" s="122" t="s">
        <v>9953</v>
      </c>
      <c r="B4745" s="123">
        <v>1518715.0</v>
      </c>
      <c r="C4745" s="124" t="s">
        <v>9954</v>
      </c>
      <c r="D4745" s="125"/>
      <c r="E4745" s="126">
        <v>13.27</v>
      </c>
      <c r="F4745" s="127"/>
      <c r="G4745" s="127"/>
      <c r="H4745" s="127"/>
      <c r="I4745" s="128"/>
      <c r="K4745" s="105" t="str">
        <f>IFERROR(__xludf.DUMMYFUNCTION("if(A4745="""","""",substitute(SUBSTITUTE(index(importhtml(""http://finviz.com/quote.ashx?t=""&amp;A4745,""table"",10),7,2),""*"",""""),""-"",""0.00""))"),"Loading...")</f>
        <v>Loading...</v>
      </c>
      <c r="L4745" s="129">
        <v>2.49609372E8</v>
      </c>
      <c r="M4745" s="99">
        <v>1.34</v>
      </c>
    </row>
    <row r="4746">
      <c r="A4746" s="122" t="s">
        <v>9955</v>
      </c>
      <c r="B4746" s="123">
        <v>1288992.0</v>
      </c>
      <c r="C4746" s="124" t="s">
        <v>9956</v>
      </c>
      <c r="D4746" s="125"/>
      <c r="E4746" s="126">
        <v>13.28</v>
      </c>
      <c r="F4746" s="127"/>
      <c r="G4746" s="127"/>
      <c r="H4746" s="127"/>
      <c r="I4746" s="128"/>
      <c r="K4746" s="55" t="s">
        <v>9957</v>
      </c>
      <c r="L4746" s="129">
        <v>3.86320637E8</v>
      </c>
      <c r="M4746" s="99">
        <v>0.58</v>
      </c>
    </row>
    <row r="4747">
      <c r="A4747" s="122" t="s">
        <v>9958</v>
      </c>
      <c r="B4747" s="123">
        <v>46207.0</v>
      </c>
      <c r="C4747" s="124" t="s">
        <v>9959</v>
      </c>
      <c r="D4747" s="125"/>
      <c r="E4747" s="126">
        <v>13.28</v>
      </c>
      <c r="F4747" s="127"/>
      <c r="G4747" s="127"/>
      <c r="H4747" s="127"/>
      <c r="I4747" s="128"/>
      <c r="K4747" s="105" t="str">
        <f>IFERROR(__xludf.DUMMYFUNCTION("if(A4747="""","""",substitute(SUBSTITUTE(index(importhtml(""http://finviz.com/quote.ashx?t=""&amp;A4747,""table"",10),7,2),""*"",""""),""-"",""0.00""))"),"Loading...")</f>
        <v>Loading...</v>
      </c>
      <c r="L4747" s="129">
        <v>2822500.0</v>
      </c>
      <c r="M4747" s="99">
        <v>0.3</v>
      </c>
    </row>
    <row r="4748">
      <c r="A4748" s="122" t="s">
        <v>9960</v>
      </c>
      <c r="B4748" s="123">
        <v>1774675.0</v>
      </c>
      <c r="C4748" s="124" t="s">
        <v>9961</v>
      </c>
      <c r="D4748" s="125"/>
      <c r="E4748" s="126">
        <v>13.28</v>
      </c>
      <c r="F4748" s="127"/>
      <c r="G4748" s="127"/>
      <c r="H4748" s="127"/>
      <c r="I4748" s="128"/>
      <c r="K4748" s="105" t="str">
        <f>IFERROR(__xludf.DUMMYFUNCTION("if(A4748="""","""",substitute(SUBSTITUTE(index(importhtml(""http://finviz.com/quote.ashx?t=""&amp;A4748,""table"",10),7,2),""*"",""""),""-"",""0.00""))"),"Loading...")</f>
        <v>Loading...</v>
      </c>
      <c r="L4748" s="129">
        <v>1.0715394E8</v>
      </c>
      <c r="M4748" s="99">
        <v>1.21</v>
      </c>
    </row>
    <row r="4749">
      <c r="A4749" s="122" t="s">
        <v>9962</v>
      </c>
      <c r="B4749" s="123">
        <v>1655099.0</v>
      </c>
      <c r="C4749" s="124" t="s">
        <v>9963</v>
      </c>
      <c r="D4749" s="125"/>
      <c r="E4749" s="126">
        <v>13.29</v>
      </c>
      <c r="F4749" s="127"/>
      <c r="G4749" s="127"/>
      <c r="H4749" s="127"/>
      <c r="I4749" s="128"/>
      <c r="K4749" s="55" t="s">
        <v>9964</v>
      </c>
      <c r="L4749" s="129">
        <v>7.43368572E8</v>
      </c>
      <c r="M4749" s="99">
        <v>0.87</v>
      </c>
    </row>
    <row r="4750">
      <c r="A4750" s="122" t="s">
        <v>9965</v>
      </c>
      <c r="B4750" s="123">
        <v>917851.0</v>
      </c>
      <c r="C4750" s="124" t="s">
        <v>9966</v>
      </c>
      <c r="D4750" s="125"/>
      <c r="E4750" s="126">
        <v>13.29</v>
      </c>
      <c r="F4750" s="127"/>
      <c r="G4750" s="127"/>
      <c r="H4750" s="127"/>
      <c r="I4750" s="128"/>
      <c r="K4750" s="105" t="str">
        <f>IFERROR(__xludf.DUMMYFUNCTION("if(A4750="""","""",substitute(SUBSTITUTE(index(importhtml(""http://finviz.com/quote.ashx?t=""&amp;A4750,""table"",10),7,2),""*"",""""),""-"",""0.00""))"),"Loading...")</f>
        <v>Loading...</v>
      </c>
      <c r="L4750" s="129">
        <v>2.99937656951E11</v>
      </c>
      <c r="M4750" s="99">
        <v>0.95</v>
      </c>
    </row>
    <row r="4751">
      <c r="A4751" s="122" t="s">
        <v>9967</v>
      </c>
      <c r="B4751" s="123">
        <v>1609065.0</v>
      </c>
      <c r="C4751" s="124" t="s">
        <v>9968</v>
      </c>
      <c r="D4751" s="125"/>
      <c r="E4751" s="126">
        <v>13.3</v>
      </c>
      <c r="F4751" s="127"/>
      <c r="G4751" s="127"/>
      <c r="H4751" s="127"/>
      <c r="I4751" s="128"/>
      <c r="K4751" s="105" t="str">
        <f>IFERROR(__xludf.DUMMYFUNCTION("if(A4751="""","""",substitute(SUBSTITUTE(index(importhtml(""http://finviz.com/quote.ashx?t=""&amp;A4751,""table"",10),7,2),""*"",""""),""-"",""0.00""))"),"Loading...")</f>
        <v>Loading...</v>
      </c>
      <c r="L4751" s="129">
        <v>6.2766531E7</v>
      </c>
      <c r="M4751" s="99">
        <v>0.23</v>
      </c>
    </row>
    <row r="4752">
      <c r="A4752" s="122" t="s">
        <v>9969</v>
      </c>
      <c r="B4752" s="123">
        <v>1571549.0</v>
      </c>
      <c r="C4752" s="124" t="s">
        <v>9970</v>
      </c>
      <c r="D4752" s="125"/>
      <c r="E4752" s="126">
        <v>13.3</v>
      </c>
      <c r="F4752" s="127"/>
      <c r="G4752" s="127"/>
      <c r="H4752" s="127"/>
      <c r="I4752" s="128"/>
      <c r="K4752" s="105" t="str">
        <f>IFERROR(__xludf.DUMMYFUNCTION("if(A4752="""","""",substitute(SUBSTITUTE(index(importhtml(""http://finviz.com/quote.ashx?t=""&amp;A4752,""table"",10),7,2),""*"",""""),""-"",""0.00""))"),"Loading...")</f>
        <v>Loading...</v>
      </c>
      <c r="L4752" s="129">
        <v>1.879746727E9</v>
      </c>
      <c r="M4752" s="99">
        <v>1.34</v>
      </c>
    </row>
    <row r="4753">
      <c r="A4753" s="122" t="s">
        <v>9971</v>
      </c>
      <c r="B4753" s="123">
        <v>1447113.0</v>
      </c>
      <c r="C4753" s="124" t="s">
        <v>9972</v>
      </c>
      <c r="D4753" s="125"/>
      <c r="E4753" s="126">
        <v>13.3</v>
      </c>
      <c r="F4753" s="144" t="s">
        <v>9973</v>
      </c>
      <c r="G4753" s="145" t="s">
        <v>9974</v>
      </c>
      <c r="H4753" s="127"/>
      <c r="I4753" s="128"/>
      <c r="K4753" s="105" t="str">
        <f>IFERROR(__xludf.DUMMYFUNCTION("if(A4753="""","""",substitute(SUBSTITUTE(index(importhtml(""http://finviz.com/quote.ashx?t=""&amp;A4753,""table"",10),7,2),""*"",""""),""-"",""0.00""))"),"Loading...")</f>
        <v>Loading...</v>
      </c>
      <c r="L4753" s="129">
        <v>1.53292304E12</v>
      </c>
      <c r="M4753" s="99">
        <v>0.48</v>
      </c>
    </row>
    <row r="4754">
      <c r="A4754" s="122" t="s">
        <v>9975</v>
      </c>
      <c r="B4754" s="123">
        <v>1442656.0</v>
      </c>
      <c r="C4754" s="124" t="s">
        <v>9976</v>
      </c>
      <c r="D4754" s="125"/>
      <c r="E4754" s="126">
        <v>13.31</v>
      </c>
      <c r="F4754" s="140"/>
      <c r="G4754" s="136"/>
      <c r="H4754" s="127"/>
      <c r="I4754" s="128"/>
      <c r="K4754" s="105" t="str">
        <f>IFERROR(__xludf.DUMMYFUNCTION("if(A4754="""","""",substitute(SUBSTITUTE(index(importhtml(""http://finviz.com/quote.ashx?t=""&amp;A4754,""table"",10),7,2),""*"",""""),""-"",""0.00""))"),"Loading...")</f>
        <v>Loading...</v>
      </c>
      <c r="L4754" s="129">
        <v>5.61499069E11</v>
      </c>
      <c r="M4754" s="99">
        <f>IFERROR(__xludf.DUMMYFUNCTION("GOOGLEFINANCE(A4754,""beta"")"),-3.94)</f>
        <v>-3.94</v>
      </c>
    </row>
    <row r="4755">
      <c r="A4755" s="122" t="s">
        <v>9977</v>
      </c>
      <c r="B4755" s="123">
        <v>885732.0</v>
      </c>
      <c r="C4755" s="124" t="s">
        <v>9978</v>
      </c>
      <c r="D4755" s="125"/>
      <c r="E4755" s="126">
        <v>13.32</v>
      </c>
      <c r="F4755" s="127"/>
      <c r="G4755" s="127"/>
      <c r="H4755" s="127"/>
      <c r="I4755" s="128"/>
      <c r="K4755" s="105" t="str">
        <f>IFERROR(__xludf.DUMMYFUNCTION("if(A4755="""","""",substitute(SUBSTITUTE(index(importhtml(""http://finviz.com/quote.ashx?t=""&amp;A4755,""table"",10),7,2),""*"",""""),""-"",""0.00""))"),"Loading...")</f>
        <v>Loading...</v>
      </c>
      <c r="L4755" s="129">
        <v>8.4745514E7</v>
      </c>
      <c r="M4755" s="99">
        <v>0.28</v>
      </c>
    </row>
    <row r="4756">
      <c r="A4756" s="122" t="s">
        <v>9979</v>
      </c>
      <c r="B4756" s="123">
        <v>1084765.0</v>
      </c>
      <c r="C4756" s="124" t="s">
        <v>9980</v>
      </c>
      <c r="D4756" s="125"/>
      <c r="E4756" s="126">
        <v>13.32</v>
      </c>
      <c r="F4756" s="127"/>
      <c r="G4756" s="127"/>
      <c r="H4756" s="127"/>
      <c r="I4756" s="128"/>
      <c r="K4756" s="105" t="str">
        <f>IFERROR(__xludf.DUMMYFUNCTION("if(A4756="""","""",substitute(SUBSTITUTE(index(importhtml(""http://finviz.com/quote.ashx?t=""&amp;A4756,""table"",10),7,2),""*"",""""),""-"",""0.00""))"),"Loading...")</f>
        <v>Loading...</v>
      </c>
      <c r="L4756" s="129">
        <v>4.516906E8</v>
      </c>
      <c r="M4756" s="99">
        <v>0.62</v>
      </c>
    </row>
    <row r="4757">
      <c r="A4757" s="122" t="s">
        <v>9981</v>
      </c>
      <c r="B4757" s="123">
        <v>1127703.0</v>
      </c>
      <c r="C4757" s="124" t="s">
        <v>9982</v>
      </c>
      <c r="D4757" s="125"/>
      <c r="E4757" s="126">
        <v>13.32</v>
      </c>
      <c r="F4757" s="127"/>
      <c r="G4757" s="127"/>
      <c r="H4757" s="127"/>
      <c r="I4757" s="128"/>
      <c r="K4757" s="105" t="str">
        <f>IFERROR(__xludf.DUMMYFUNCTION("if(A4757="""","""",substitute(SUBSTITUTE(index(importhtml(""http://finviz.com/quote.ashx?t=""&amp;A4757,""table"",10),7,2),""*"",""""),""-"",""0.00""))"),"Loading...")</f>
        <v>Loading...</v>
      </c>
      <c r="L4757" s="129">
        <v>6.78911593E8</v>
      </c>
      <c r="M4757" s="99">
        <v>0.25</v>
      </c>
    </row>
    <row r="4758">
      <c r="A4758" s="122" t="s">
        <v>9983</v>
      </c>
      <c r="B4758" s="123">
        <v>1616000.0</v>
      </c>
      <c r="C4758" s="124" t="s">
        <v>9984</v>
      </c>
      <c r="D4758" s="125"/>
      <c r="E4758" s="126">
        <v>13.33</v>
      </c>
      <c r="F4758" s="127"/>
      <c r="G4758" s="127"/>
      <c r="H4758" s="127"/>
      <c r="I4758" s="128"/>
      <c r="K4758" s="105" t="str">
        <f>IFERROR(__xludf.DUMMYFUNCTION("if(A4758="""","""",substitute(SUBSTITUTE(index(importhtml(""http://finviz.com/quote.ashx?t=""&amp;A4758,""table"",10),7,2),""*"",""""),""-"",""0.00""))"),"Loading...")</f>
        <v>Loading...</v>
      </c>
      <c r="L4758" s="129">
        <v>1.402329321E9</v>
      </c>
      <c r="M4758" s="99">
        <v>1.42</v>
      </c>
    </row>
    <row r="4759">
      <c r="A4759" s="122" t="s">
        <v>9985</v>
      </c>
      <c r="B4759" s="123">
        <v>1381668.0</v>
      </c>
      <c r="C4759" s="124" t="s">
        <v>9986</v>
      </c>
      <c r="D4759" s="125"/>
      <c r="E4759" s="126">
        <v>13.33</v>
      </c>
      <c r="F4759" s="127"/>
      <c r="G4759" s="127"/>
      <c r="H4759" s="127"/>
      <c r="I4759" s="128"/>
      <c r="K4759" s="105" t="str">
        <f>IFERROR(__xludf.DUMMYFUNCTION("if(A4759="""","""",substitute(SUBSTITUTE(index(importhtml(""http://finviz.com/quote.ashx?t=""&amp;A4759,""table"",10),7,2),""*"",""""),""-"",""0.00""))"),"Loading...")</f>
        <v>Loading...</v>
      </c>
      <c r="L4759" s="129">
        <v>3.741874942E9</v>
      </c>
      <c r="M4759" s="99">
        <v>0.66</v>
      </c>
    </row>
    <row r="4760">
      <c r="A4760" s="122" t="s">
        <v>9987</v>
      </c>
      <c r="B4760" s="123">
        <v>1629137.0</v>
      </c>
      <c r="C4760" s="124" t="s">
        <v>9988</v>
      </c>
      <c r="D4760" s="125"/>
      <c r="E4760" s="126">
        <v>13.34</v>
      </c>
      <c r="F4760" s="127"/>
      <c r="G4760" s="127"/>
      <c r="H4760" s="127"/>
      <c r="I4760" s="128"/>
      <c r="K4760" s="105" t="str">
        <f>IFERROR(__xludf.DUMMYFUNCTION("if(A4760="""","""",substitute(SUBSTITUTE(index(importhtml(""http://finviz.com/quote.ashx?t=""&amp;A4760,""table"",10),7,2),""*"",""""),""-"",""0.00""))"),"Loading...")</f>
        <v>Loading...</v>
      </c>
      <c r="L4760" s="129">
        <v>4.36139965E8</v>
      </c>
      <c r="M4760" s="99">
        <v>0.82</v>
      </c>
    </row>
    <row r="4761">
      <c r="A4761" s="122" t="s">
        <v>9989</v>
      </c>
      <c r="B4761" s="123">
        <v>357173.0</v>
      </c>
      <c r="C4761" s="124" t="s">
        <v>9990</v>
      </c>
      <c r="D4761" s="125"/>
      <c r="E4761" s="126">
        <v>13.35</v>
      </c>
      <c r="F4761" s="127"/>
      <c r="G4761" s="127"/>
      <c r="H4761" s="127"/>
      <c r="I4761" s="128"/>
      <c r="K4761" s="105" t="str">
        <f>IFERROR(__xludf.DUMMYFUNCTION("if(A4761="""","""",substitute(SUBSTITUTE(index(importhtml(""http://finviz.com/quote.ashx?t=""&amp;A4761,""table"",10),7,2),""*"",""""),""-"",""0.00""))"),"Loading...")</f>
        <v>Loading...</v>
      </c>
      <c r="L4761" s="129">
        <v>5.96717115E8</v>
      </c>
      <c r="M4761" s="99">
        <v>1.11</v>
      </c>
    </row>
    <row r="4762">
      <c r="A4762" s="122" t="s">
        <v>9991</v>
      </c>
      <c r="B4762" s="123">
        <v>1004315.0</v>
      </c>
      <c r="C4762" s="124" t="s">
        <v>9992</v>
      </c>
      <c r="D4762" s="125"/>
      <c r="E4762" s="126">
        <v>13.35</v>
      </c>
      <c r="F4762" s="127"/>
      <c r="G4762" s="127"/>
      <c r="H4762" s="127"/>
      <c r="I4762" s="128"/>
      <c r="K4762" s="105" t="str">
        <f>IFERROR(__xludf.DUMMYFUNCTION("if(A4762="""","""",substitute(SUBSTITUTE(index(importhtml(""http://finviz.com/quote.ashx?t=""&amp;A4762,""table"",10),7,2),""*"",""""),""-"",""0.00""))"),"Loading...")</f>
        <v>Loading...</v>
      </c>
      <c r="L4762" s="129">
        <v>4.8578620405E10</v>
      </c>
      <c r="M4762" s="99">
        <v>0.63</v>
      </c>
    </row>
    <row r="4763">
      <c r="A4763" s="122" t="s">
        <v>9993</v>
      </c>
      <c r="B4763" s="123">
        <v>1385763.0</v>
      </c>
      <c r="C4763" s="124" t="s">
        <v>9994</v>
      </c>
      <c r="D4763" s="125"/>
      <c r="E4763" s="126">
        <v>13.36</v>
      </c>
      <c r="F4763" s="127"/>
      <c r="G4763" s="127"/>
      <c r="H4763" s="127"/>
      <c r="I4763" s="128"/>
      <c r="K4763" s="105" t="str">
        <f>IFERROR(__xludf.DUMMYFUNCTION("if(A4763="""","""",substitute(SUBSTITUTE(index(importhtml(""http://finviz.com/quote.ashx?t=""&amp;A4763,""table"",10),7,2),""*"",""""),""-"",""0.00""))"),"Loading...")</f>
        <v>Loading...</v>
      </c>
      <c r="L4763" s="129">
        <v>2.1488504E8</v>
      </c>
      <c r="M4763" s="99">
        <v>1.09</v>
      </c>
    </row>
    <row r="4764">
      <c r="A4764" s="122" t="s">
        <v>9995</v>
      </c>
      <c r="B4764" s="123">
        <v>1517396.0</v>
      </c>
      <c r="C4764" s="124" t="s">
        <v>9996</v>
      </c>
      <c r="D4764" s="125"/>
      <c r="E4764" s="126">
        <v>13.36</v>
      </c>
      <c r="F4764" s="127"/>
      <c r="G4764" s="127"/>
      <c r="H4764" s="127"/>
      <c r="I4764" s="128"/>
      <c r="K4764" s="105" t="str">
        <f>IFERROR(__xludf.DUMMYFUNCTION("if(A4764="""","""",substitute(SUBSTITUTE(index(importhtml(""http://finviz.com/quote.ashx?t=""&amp;A4764,""table"",10),7,2),""*"",""""),""-"",""0.00""))"),"Loading...")</f>
        <v>Loading...</v>
      </c>
      <c r="L4764" s="129">
        <v>9.24044242E8</v>
      </c>
      <c r="M4764" s="99">
        <v>1.34</v>
      </c>
    </row>
    <row r="4765">
      <c r="A4765" s="122" t="s">
        <v>9997</v>
      </c>
      <c r="B4765" s="123">
        <v>46207.0</v>
      </c>
      <c r="C4765" s="124" t="s">
        <v>9998</v>
      </c>
      <c r="D4765" s="125"/>
      <c r="E4765" s="126">
        <v>13.37</v>
      </c>
      <c r="F4765" s="127"/>
      <c r="G4765" s="127"/>
      <c r="H4765" s="127"/>
      <c r="I4765" s="128"/>
      <c r="K4765" s="105" t="str">
        <f>IFERROR(__xludf.DUMMYFUNCTION("if(A4765="""","""",substitute(SUBSTITUTE(index(importhtml(""http://finviz.com/quote.ashx?t=""&amp;A4765,""table"",10),7,2),""*"",""""),""-"",""0.00""))"),"Loading...")</f>
        <v>Loading...</v>
      </c>
      <c r="L4765" s="129">
        <v>2822500.0</v>
      </c>
      <c r="M4765" s="99">
        <v>0.05</v>
      </c>
    </row>
    <row r="4766">
      <c r="A4766" s="122" t="s">
        <v>9999</v>
      </c>
      <c r="B4766" s="123">
        <v>894315.0</v>
      </c>
      <c r="C4766" s="124" t="s">
        <v>10000</v>
      </c>
      <c r="D4766" s="125"/>
      <c r="E4766" s="126">
        <v>13.37</v>
      </c>
      <c r="F4766" s="127"/>
      <c r="G4766" s="127"/>
      <c r="H4766" s="127"/>
      <c r="I4766" s="128"/>
      <c r="K4766" s="105" t="str">
        <f>IFERROR(__xludf.DUMMYFUNCTION("if(A4766="""","""",substitute(SUBSTITUTE(index(importhtml(""http://finviz.com/quote.ashx?t=""&amp;A4766,""table"",10),7,2),""*"",""""),""-"",""0.00""))"),"Loading...")</f>
        <v>Loading...</v>
      </c>
      <c r="L4766" s="129">
        <v>2.798574951E9</v>
      </c>
      <c r="M4766" s="99">
        <v>1.59</v>
      </c>
    </row>
    <row r="4767">
      <c r="A4767" s="122" t="s">
        <v>10001</v>
      </c>
      <c r="B4767" s="123">
        <v>1487428.0</v>
      </c>
      <c r="C4767" s="124" t="s">
        <v>10002</v>
      </c>
      <c r="D4767" s="125"/>
      <c r="E4767" s="126">
        <v>13.38</v>
      </c>
      <c r="F4767" s="127"/>
      <c r="G4767" s="127"/>
      <c r="H4767" s="127"/>
      <c r="I4767" s="128"/>
      <c r="K4767" s="105" t="str">
        <f>IFERROR(__xludf.DUMMYFUNCTION("if(A4767="""","""",substitute(SUBSTITUTE(index(importhtml(""http://finviz.com/quote.ashx?t=""&amp;A4767,""table"",10),7,2),""*"",""""),""-"",""0.00""))"),"Loading...")</f>
        <v>Loading...</v>
      </c>
      <c r="L4767" s="129">
        <v>4.45962495E8</v>
      </c>
      <c r="M4767" s="99">
        <v>1.25</v>
      </c>
    </row>
    <row r="4768">
      <c r="A4768" s="122" t="s">
        <v>10003</v>
      </c>
      <c r="B4768" s="123">
        <v>354707.0</v>
      </c>
      <c r="C4768" s="124" t="s">
        <v>10004</v>
      </c>
      <c r="D4768" s="125"/>
      <c r="E4768" s="126">
        <v>13.39</v>
      </c>
      <c r="F4768" s="127"/>
      <c r="G4768" s="127"/>
      <c r="H4768" s="127"/>
      <c r="I4768" s="128"/>
      <c r="K4768" s="138" t="s">
        <v>9402</v>
      </c>
      <c r="L4768" s="129">
        <v>1.474560397E9</v>
      </c>
      <c r="M4768" s="99">
        <v>0.57</v>
      </c>
    </row>
    <row r="4769">
      <c r="A4769" s="122" t="s">
        <v>10005</v>
      </c>
      <c r="B4769" s="123">
        <v>1743725.0</v>
      </c>
      <c r="C4769" s="124" t="s">
        <v>10006</v>
      </c>
      <c r="D4769" s="125"/>
      <c r="E4769" s="126">
        <v>13.4</v>
      </c>
      <c r="F4769" s="127"/>
      <c r="G4769" s="127"/>
      <c r="H4769" s="127"/>
      <c r="I4769" s="128"/>
      <c r="K4769" s="105" t="str">
        <f>IFERROR(__xludf.DUMMYFUNCTION("if(A4769="""","""",substitute(SUBSTITUTE(index(importhtml(""http://finviz.com/quote.ashx?t=""&amp;A4769,""table"",10),7,2),""*"",""""),""-"",""0.00""))"),"Loading...")</f>
        <v>Loading...</v>
      </c>
      <c r="L4769" s="129">
        <v>1.012905435E9</v>
      </c>
      <c r="M4769" s="99">
        <v>0.96</v>
      </c>
    </row>
    <row r="4770">
      <c r="A4770" s="122" t="s">
        <v>10007</v>
      </c>
      <c r="B4770" s="123">
        <v>1794338.0</v>
      </c>
      <c r="C4770" s="124" t="s">
        <v>10008</v>
      </c>
      <c r="D4770" s="125"/>
      <c r="E4770" s="126">
        <v>13.41</v>
      </c>
      <c r="F4770" s="127"/>
      <c r="G4770" s="127"/>
      <c r="H4770" s="127"/>
      <c r="I4770" s="128"/>
      <c r="K4770" s="105" t="str">
        <f>IFERROR(__xludf.DUMMYFUNCTION("if(A4770="""","""",substitute(SUBSTITUTE(index(importhtml(""http://finviz.com/quote.ashx?t=""&amp;A4770,""table"",10),7,2),""*"",""""),""-"",""0.00""))"),"Loading...")</f>
        <v>Loading...</v>
      </c>
      <c r="L4770" s="129">
        <v>6.24823253E8</v>
      </c>
      <c r="M4770" s="99">
        <v>0.16</v>
      </c>
    </row>
    <row r="4771">
      <c r="A4771" s="122" t="s">
        <v>10009</v>
      </c>
      <c r="B4771" s="123">
        <v>1415404.0</v>
      </c>
      <c r="C4771" s="124" t="s">
        <v>10010</v>
      </c>
      <c r="D4771" s="125"/>
      <c r="E4771" s="126">
        <v>13.41</v>
      </c>
      <c r="F4771" s="127"/>
      <c r="G4771" s="127"/>
      <c r="H4771" s="127"/>
      <c r="I4771" s="128"/>
      <c r="K4771" s="105" t="str">
        <f>IFERROR(__xludf.DUMMYFUNCTION("if(A4771="""","""",substitute(SUBSTITUTE(index(importhtml(""http://finviz.com/quote.ashx?t=""&amp;A4771,""table"",10),7,2),""*"",""""),""-"",""0.00""))"),"Loading...")</f>
        <v>Loading...</v>
      </c>
      <c r="L4771" s="129">
        <v>3.639634878E9</v>
      </c>
      <c r="M4771" s="99">
        <v>0.68</v>
      </c>
    </row>
    <row r="4772">
      <c r="A4772" s="122" t="s">
        <v>10011</v>
      </c>
      <c r="B4772" s="123">
        <v>1415916.0</v>
      </c>
      <c r="C4772" s="124" t="s">
        <v>10012</v>
      </c>
      <c r="D4772" s="125"/>
      <c r="E4772" s="126">
        <v>13.41</v>
      </c>
      <c r="F4772" s="127"/>
      <c r="G4772" s="127"/>
      <c r="H4772" s="127"/>
      <c r="I4772" s="128"/>
      <c r="K4772" s="105" t="str">
        <f>IFERROR(__xludf.DUMMYFUNCTION("if(A4772="""","""",substitute(SUBSTITUTE(index(importhtml(""http://finviz.com/quote.ashx?t=""&amp;A4772,""table"",10),7,2),""*"",""""),""-"",""0.00""))"),"Loading...")</f>
        <v>Loading...</v>
      </c>
      <c r="L4772" s="129" t="e">
        <v>#N/A</v>
      </c>
      <c r="M4772" s="99">
        <v>1.65</v>
      </c>
    </row>
    <row r="4773">
      <c r="A4773" s="122" t="s">
        <v>10013</v>
      </c>
      <c r="B4773" s="123">
        <v>1282957.0</v>
      </c>
      <c r="C4773" s="124" t="s">
        <v>10014</v>
      </c>
      <c r="D4773" s="125"/>
      <c r="E4773" s="126">
        <v>13.42</v>
      </c>
      <c r="F4773" s="127"/>
      <c r="G4773" s="127"/>
      <c r="H4773" s="127"/>
      <c r="I4773" s="128"/>
      <c r="K4773" s="105" t="str">
        <f>IFERROR(__xludf.DUMMYFUNCTION("if(A4773="""","""",substitute(SUBSTITUTE(index(importhtml(""http://finviz.com/quote.ashx?t=""&amp;A4773,""table"",10),7,2),""*"",""""),""-"",""0.00""))"),"Loading...")</f>
        <v>Loading...</v>
      </c>
      <c r="L4773" s="129">
        <v>8.0072886E7</v>
      </c>
      <c r="M4773" s="99">
        <v>0.94</v>
      </c>
    </row>
    <row r="4774">
      <c r="A4774" s="122" t="s">
        <v>10015</v>
      </c>
      <c r="B4774" s="123">
        <v>1834488.0</v>
      </c>
      <c r="C4774" s="124" t="s">
        <v>10016</v>
      </c>
      <c r="D4774" s="125"/>
      <c r="E4774" s="126">
        <v>13.43</v>
      </c>
      <c r="F4774" s="127"/>
      <c r="G4774" s="127"/>
      <c r="H4774" s="127"/>
      <c r="I4774" s="128"/>
      <c r="K4774" s="105" t="str">
        <f>IFERROR(__xludf.DUMMYFUNCTION("if(A4774="""","""",substitute(SUBSTITUTE(index(importhtml(""http://finviz.com/quote.ashx?t=""&amp;A4774,""table"",10),7,2),""*"",""""),""-"",""0.00""))"),"Loading...")</f>
        <v>Loading...</v>
      </c>
      <c r="L4774" s="129">
        <v>2.456713694E9</v>
      </c>
      <c r="M4774" s="99">
        <f>IFERROR(__xludf.DUMMYFUNCTION("GOOGLEFINANCE(A4774,""beta"")"),0.61)</f>
        <v>0.61</v>
      </c>
    </row>
    <row r="4775">
      <c r="A4775" s="122" t="s">
        <v>10017</v>
      </c>
      <c r="B4775" s="123">
        <v>1649739.0</v>
      </c>
      <c r="C4775" s="124" t="s">
        <v>10018</v>
      </c>
      <c r="D4775" s="125"/>
      <c r="E4775" s="126">
        <v>13.44</v>
      </c>
      <c r="F4775" s="127"/>
      <c r="G4775" s="127"/>
      <c r="H4775" s="127"/>
      <c r="I4775" s="128"/>
      <c r="K4775" s="105" t="str">
        <f>IFERROR(__xludf.DUMMYFUNCTION("if(A4775="""","""",substitute(SUBSTITUTE(index(importhtml(""http://finviz.com/quote.ashx?t=""&amp;A4775,""table"",10),7,2),""*"",""""),""-"",""0.00""))"),"Loading...")</f>
        <v>Loading...</v>
      </c>
      <c r="L4775" s="129">
        <v>5.5244715E7</v>
      </c>
      <c r="M4775" s="99">
        <v>0.66</v>
      </c>
    </row>
    <row r="4776">
      <c r="A4776" s="122" t="s">
        <v>10019</v>
      </c>
      <c r="B4776" s="123">
        <v>1681206.0</v>
      </c>
      <c r="C4776" s="124" t="s">
        <v>10020</v>
      </c>
      <c r="D4776" s="125"/>
      <c r="E4776" s="126">
        <v>13.44</v>
      </c>
      <c r="F4776" s="127"/>
      <c r="G4776" s="127"/>
      <c r="H4776" s="127"/>
      <c r="I4776" s="128"/>
      <c r="K4776" s="105" t="str">
        <f>IFERROR(__xludf.DUMMYFUNCTION("if(A4776="""","""",substitute(SUBSTITUTE(index(importhtml(""http://finviz.com/quote.ashx?t=""&amp;A4776,""table"",10),7,2),""*"",""""),""-"",""0.00""))"),"Loading...")</f>
        <v>Loading...</v>
      </c>
      <c r="L4776" s="129">
        <v>2.7653592E8</v>
      </c>
      <c r="M4776" s="99">
        <v>0.31</v>
      </c>
    </row>
    <row r="4777">
      <c r="A4777" s="122" t="s">
        <v>10021</v>
      </c>
      <c r="B4777" s="123">
        <v>81955.0</v>
      </c>
      <c r="C4777" s="124" t="s">
        <v>10022</v>
      </c>
      <c r="D4777" s="125"/>
      <c r="E4777" s="126">
        <v>13.45</v>
      </c>
      <c r="F4777" s="127"/>
      <c r="G4777" s="127"/>
      <c r="H4777" s="127"/>
      <c r="I4777" s="128"/>
      <c r="K4777" s="105" t="str">
        <f>IFERROR(__xludf.DUMMYFUNCTION("if(A4777="""","""",substitute(SUBSTITUTE(index(importhtml(""http://finviz.com/quote.ashx?t=""&amp;A4777,""table"",10),7,2),""*"",""""),""-"",""0.00""))"),"Loading...")</f>
        <v>Loading...</v>
      </c>
      <c r="L4777" s="129">
        <v>3.4711893E7</v>
      </c>
      <c r="M4777" s="99">
        <v>0.4</v>
      </c>
    </row>
    <row r="4778">
      <c r="A4778" s="122" t="s">
        <v>10023</v>
      </c>
      <c r="B4778" s="123">
        <v>1515324.0</v>
      </c>
      <c r="C4778" s="124" t="s">
        <v>10024</v>
      </c>
      <c r="D4778" s="125"/>
      <c r="E4778" s="126">
        <v>13.45</v>
      </c>
      <c r="F4778" s="127"/>
      <c r="G4778" s="127"/>
      <c r="H4778" s="127"/>
      <c r="I4778" s="128"/>
      <c r="K4778" s="105" t="str">
        <f>IFERROR(__xludf.DUMMYFUNCTION("if(A4778="""","""",substitute(SUBSTITUTE(index(importhtml(""http://finviz.com/quote.ashx?t=""&amp;A4778,""table"",10),7,2),""*"",""""),""-"",""0.00""))"),"Loading...")</f>
        <v>Loading...</v>
      </c>
      <c r="L4778" s="129">
        <v>3.08206745E8</v>
      </c>
      <c r="M4778" s="99">
        <v>0.7</v>
      </c>
    </row>
    <row r="4779">
      <c r="A4779" s="122" t="s">
        <v>10025</v>
      </c>
      <c r="B4779" s="123">
        <v>1169770.0</v>
      </c>
      <c r="C4779" s="124" t="s">
        <v>10026</v>
      </c>
      <c r="D4779" s="125"/>
      <c r="E4779" s="126">
        <v>13.45</v>
      </c>
      <c r="F4779" s="127"/>
      <c r="G4779" s="127"/>
      <c r="H4779" s="127"/>
      <c r="I4779" s="128"/>
      <c r="K4779" s="105" t="str">
        <f>IFERROR(__xludf.DUMMYFUNCTION("if(A4779="""","""",substitute(SUBSTITUTE(index(importhtml(""http://finviz.com/quote.ashx?t=""&amp;A4779,""table"",10),7,2),""*"",""""),""-"",""0.00""))"),"Loading...")</f>
        <v>Loading...</v>
      </c>
      <c r="L4779" s="129">
        <v>2.118374969E9</v>
      </c>
      <c r="M4779" s="99">
        <v>1.16</v>
      </c>
    </row>
    <row r="4780">
      <c r="A4780" s="122" t="s">
        <v>10027</v>
      </c>
      <c r="B4780" s="123">
        <v>1160990.0</v>
      </c>
      <c r="C4780" s="124" t="s">
        <v>10028</v>
      </c>
      <c r="D4780" s="125"/>
      <c r="E4780" s="126">
        <v>13.47</v>
      </c>
      <c r="F4780" s="127"/>
      <c r="G4780" s="127"/>
      <c r="H4780" s="127"/>
      <c r="I4780" s="128"/>
      <c r="K4780" s="105" t="str">
        <f>IFERROR(__xludf.DUMMYFUNCTION("if(A4780="""","""",substitute(SUBSTITUTE(index(importhtml(""http://finviz.com/quote.ashx?t=""&amp;A4780,""table"",10),7,2),""*"",""""),""-"",""0.00""))"),"Loading...")</f>
        <v>Loading...</v>
      </c>
      <c r="L4780" s="129">
        <v>6.43554855E8</v>
      </c>
      <c r="M4780" s="99">
        <v>0.91</v>
      </c>
    </row>
    <row r="4781">
      <c r="A4781" s="122" t="s">
        <v>10029</v>
      </c>
      <c r="B4781" s="123">
        <v>1570562.0</v>
      </c>
      <c r="C4781" s="124" t="s">
        <v>10030</v>
      </c>
      <c r="D4781" s="125"/>
      <c r="E4781" s="126">
        <v>13.47</v>
      </c>
      <c r="F4781" s="127"/>
      <c r="G4781" s="127"/>
      <c r="H4781" s="127"/>
      <c r="I4781" s="128"/>
      <c r="K4781" s="105" t="str">
        <f>IFERROR(__xludf.DUMMYFUNCTION("if(A4781="""","""",substitute(SUBSTITUTE(index(importhtml(""http://finviz.com/quote.ashx?t=""&amp;A4781,""table"",10),7,2),""*"",""""),""-"",""0.00""))"),"Loading...")</f>
        <v>Loading...</v>
      </c>
      <c r="L4781" s="129">
        <v>7.78036913E8</v>
      </c>
      <c r="M4781" s="99">
        <v>1.5</v>
      </c>
    </row>
    <row r="4782">
      <c r="A4782" s="122" t="s">
        <v>10031</v>
      </c>
      <c r="B4782" s="123">
        <v>1500375.0</v>
      </c>
      <c r="C4782" s="124" t="s">
        <v>10032</v>
      </c>
      <c r="D4782" s="125"/>
      <c r="E4782" s="126">
        <v>13.48</v>
      </c>
      <c r="F4782" s="127"/>
      <c r="G4782" s="127"/>
      <c r="H4782" s="127"/>
      <c r="I4782" s="128"/>
      <c r="K4782" s="105" t="str">
        <f>IFERROR(__xludf.DUMMYFUNCTION("if(A4782="""","""",substitute(SUBSTITUTE(index(importhtml(""http://finviz.com/quote.ashx?t=""&amp;A4782,""table"",10),7,2),""*"",""""),""-"",""0.00""))"),"Loading...")</f>
        <v>Loading...</v>
      </c>
      <c r="L4782" s="129">
        <v>4.2374796E7</v>
      </c>
      <c r="M4782" s="99">
        <v>0.54</v>
      </c>
    </row>
    <row r="4783">
      <c r="A4783" s="122" t="s">
        <v>10033</v>
      </c>
      <c r="B4783" s="123">
        <v>1464790.0</v>
      </c>
      <c r="C4783" s="124" t="s">
        <v>10034</v>
      </c>
      <c r="D4783" s="125"/>
      <c r="E4783" s="126">
        <v>13.48</v>
      </c>
      <c r="F4783" s="127"/>
      <c r="G4783" s="127"/>
      <c r="H4783" s="127"/>
      <c r="I4783" s="128"/>
      <c r="K4783" s="105" t="str">
        <f>IFERROR(__xludf.DUMMYFUNCTION("if(A4783="""","""",substitute(SUBSTITUTE(index(importhtml(""http://finviz.com/quote.ashx?t=""&amp;A4783,""table"",10),7,2),""*"",""""),""-"",""0.00""))"),"Loading...")</f>
        <v>Loading...</v>
      </c>
      <c r="L4783" s="129">
        <v>6.2052646E8</v>
      </c>
      <c r="M4783" s="99">
        <f>IFERROR(__xludf.DUMMYFUNCTION("GOOGLEFINANCE(A4783,""beta"")"),0.12)</f>
        <v>0.12</v>
      </c>
    </row>
    <row r="4784">
      <c r="A4784" s="122" t="s">
        <v>10035</v>
      </c>
      <c r="B4784" s="123">
        <v>1712807.0</v>
      </c>
      <c r="C4784" s="124" t="s">
        <v>10036</v>
      </c>
      <c r="D4784" s="125"/>
      <c r="E4784" s="126">
        <v>13.48</v>
      </c>
      <c r="F4784" s="127"/>
      <c r="G4784" s="127"/>
      <c r="H4784" s="127"/>
      <c r="I4784" s="128"/>
      <c r="K4784" s="105" t="str">
        <f>IFERROR(__xludf.DUMMYFUNCTION("if(A4784="""","""",substitute(SUBSTITUTE(index(importhtml(""http://finviz.com/quote.ashx?t=""&amp;A4784,""table"",10),7,2),""*"",""""),""-"",""0.00""))"),"Loading...")</f>
        <v>Loading...</v>
      </c>
      <c r="L4784" s="129">
        <v>4.443118385E9</v>
      </c>
      <c r="M4784" s="99">
        <v>1.81</v>
      </c>
    </row>
    <row r="4785">
      <c r="A4785" s="122" t="s">
        <v>10037</v>
      </c>
      <c r="B4785" s="123">
        <v>1531978.0</v>
      </c>
      <c r="C4785" s="124" t="s">
        <v>10038</v>
      </c>
      <c r="D4785" s="125"/>
      <c r="E4785" s="126">
        <v>13.5</v>
      </c>
      <c r="F4785" s="127"/>
      <c r="G4785" s="127"/>
      <c r="H4785" s="127"/>
      <c r="I4785" s="128"/>
      <c r="K4785" s="55" t="s">
        <v>1034</v>
      </c>
      <c r="L4785" s="129">
        <v>1.11646593E9</v>
      </c>
      <c r="M4785" s="99" t="str">
        <f>IFERROR(__xludf.DUMMYFUNCTION("GOOGLEFINANCE(A4785,""beta"")"),"#N/A")</f>
        <v>#N/A</v>
      </c>
    </row>
    <row r="4786">
      <c r="A4786" s="122" t="s">
        <v>10039</v>
      </c>
      <c r="B4786" s="123">
        <v>93676.0</v>
      </c>
      <c r="C4786" s="124" t="s">
        <v>10040</v>
      </c>
      <c r="D4786" s="125"/>
      <c r="E4786" s="126">
        <v>13.5</v>
      </c>
      <c r="F4786" s="127"/>
      <c r="G4786" s="127"/>
      <c r="H4786" s="127"/>
      <c r="I4786" s="128"/>
      <c r="K4786" s="105" t="str">
        <f>IFERROR(__xludf.DUMMYFUNCTION("if(A4786="""","""",substitute(SUBSTITUTE(index(importhtml(""http://finviz.com/quote.ashx?t=""&amp;A4786,""table"",10),7,2),""*"",""""),""-"",""0.00""))"),"Loading...")</f>
        <v>Loading...</v>
      </c>
      <c r="L4786" s="129">
        <v>1.03809075E8</v>
      </c>
      <c r="M4786" s="99">
        <v>-3.09</v>
      </c>
    </row>
    <row r="4787">
      <c r="A4787" s="122" t="s">
        <v>10041</v>
      </c>
      <c r="B4787" s="123">
        <v>1535665.0</v>
      </c>
      <c r="C4787" s="124" t="s">
        <v>10042</v>
      </c>
      <c r="D4787" s="125"/>
      <c r="E4787" s="126">
        <v>13.5</v>
      </c>
      <c r="F4787" s="127"/>
      <c r="G4787" s="127"/>
      <c r="H4787" s="127"/>
      <c r="I4787" s="128"/>
      <c r="K4787" s="105" t="str">
        <f>IFERROR(__xludf.DUMMYFUNCTION("if(A4787="""","""",substitute(SUBSTITUTE(index(importhtml(""http://finviz.com/quote.ashx?t=""&amp;A4787,""table"",10),7,2),""*"",""""),""-"",""0.00""))"),"Loading...")</f>
        <v>Loading...</v>
      </c>
      <c r="L4787" s="129" t="e">
        <v>#N/A</v>
      </c>
      <c r="M4787" s="99">
        <f>IFERROR(__xludf.DUMMYFUNCTION("GOOGLEFINANCE(A4787,""beta"")"),-0.99)</f>
        <v>-0.99</v>
      </c>
    </row>
    <row r="4788">
      <c r="A4788" s="122" t="s">
        <v>10043</v>
      </c>
      <c r="B4788" s="123">
        <v>837465.0</v>
      </c>
      <c r="C4788" s="124" t="s">
        <v>10044</v>
      </c>
      <c r="D4788" s="125"/>
      <c r="E4788" s="126">
        <v>13.51</v>
      </c>
      <c r="F4788" s="127"/>
      <c r="G4788" s="127"/>
      <c r="H4788" s="127"/>
      <c r="I4788" s="128"/>
      <c r="K4788" s="105" t="str">
        <f>IFERROR(__xludf.DUMMYFUNCTION("if(A4788="""","""",substitute(SUBSTITUTE(index(importhtml(""http://finviz.com/quote.ashx?t=""&amp;A4788,""table"",10),7,2),""*"",""""),""-"",""0.00""))"),"Loading...")</f>
        <v>Loading...</v>
      </c>
      <c r="L4788" s="129">
        <v>2.524193E9</v>
      </c>
      <c r="M4788" s="99">
        <v>1.75</v>
      </c>
    </row>
    <row r="4789">
      <c r="A4789" s="122" t="s">
        <v>10045</v>
      </c>
      <c r="B4789" s="123">
        <v>845982.0</v>
      </c>
      <c r="C4789" s="124" t="s">
        <v>10046</v>
      </c>
      <c r="D4789" s="125"/>
      <c r="E4789" s="126">
        <v>13.51</v>
      </c>
      <c r="F4789" s="127"/>
      <c r="G4789" s="127"/>
      <c r="H4789" s="127"/>
      <c r="I4789" s="128"/>
      <c r="K4789" s="105" t="str">
        <f>IFERROR(__xludf.DUMMYFUNCTION("if(A4789="""","""",substitute(SUBSTITUTE(index(importhtml(""http://finviz.com/quote.ashx?t=""&amp;A4789,""table"",10),7,2),""*"",""""),""-"",""0.00""))"),"Loading...")</f>
        <v>Loading...</v>
      </c>
      <c r="L4789" s="129">
        <v>1.1953719329E10</v>
      </c>
      <c r="M4789" s="99">
        <v>0.7</v>
      </c>
    </row>
    <row r="4790">
      <c r="A4790" s="122" t="s">
        <v>10047</v>
      </c>
      <c r="B4790" s="123">
        <v>1653384.0</v>
      </c>
      <c r="C4790" s="124" t="s">
        <v>10048</v>
      </c>
      <c r="D4790" s="125"/>
      <c r="E4790" s="126">
        <v>13.52</v>
      </c>
      <c r="F4790" s="127"/>
      <c r="G4790" s="127"/>
      <c r="H4790" s="127"/>
      <c r="I4790" s="128"/>
      <c r="K4790" s="105" t="str">
        <f>IFERROR(__xludf.DUMMYFUNCTION("if(A4790="""","""",substitute(SUBSTITUTE(index(importhtml(""http://finviz.com/quote.ashx?t=""&amp;A4790,""table"",10),7,2),""*"",""""),""-"",""0.00""))"),"Loading...")</f>
        <v>Loading...</v>
      </c>
      <c r="L4790" s="129">
        <v>5.47685348E8</v>
      </c>
      <c r="M4790" s="99">
        <f>IFERROR(__xludf.DUMMYFUNCTION("GOOGLEFINANCE(A4790,""beta"")"),0.7)</f>
        <v>0.7</v>
      </c>
    </row>
    <row r="4791">
      <c r="A4791" s="122" t="s">
        <v>10049</v>
      </c>
      <c r="B4791" s="123">
        <v>1086888.0</v>
      </c>
      <c r="C4791" s="124" t="s">
        <v>10050</v>
      </c>
      <c r="D4791" s="125"/>
      <c r="E4791" s="126">
        <v>13.52</v>
      </c>
      <c r="F4791" s="127"/>
      <c r="G4791" s="127"/>
      <c r="H4791" s="127"/>
      <c r="I4791" s="128"/>
      <c r="K4791" s="105" t="str">
        <f>IFERROR(__xludf.DUMMYFUNCTION("if(A4791="""","""",substitute(SUBSTITUTE(index(importhtml(""http://finviz.com/quote.ashx?t=""&amp;A4791,""table"",10),7,2),""*"",""""),""-"",""0.00""))"),"Loading...")</f>
        <v>Loading...</v>
      </c>
      <c r="L4791" s="129">
        <v>3.9519375826E10</v>
      </c>
      <c r="M4791" s="99" t="str">
        <f>IFERROR(__xludf.DUMMYFUNCTION("GOOGLEFINANCE(A4791,""beta"")"),"#N/A")</f>
        <v>#N/A</v>
      </c>
    </row>
    <row r="4792">
      <c r="A4792" s="122" t="s">
        <v>10051</v>
      </c>
      <c r="B4792" s="123">
        <v>709337.0</v>
      </c>
      <c r="C4792" s="124" t="s">
        <v>10052</v>
      </c>
      <c r="D4792" s="125"/>
      <c r="E4792" s="126">
        <v>13.53</v>
      </c>
      <c r="F4792" s="127"/>
      <c r="G4792" s="127"/>
      <c r="H4792" s="127"/>
      <c r="I4792" s="128"/>
      <c r="K4792" s="105" t="str">
        <f>IFERROR(__xludf.DUMMYFUNCTION("if(A4792="""","""",substitute(SUBSTITUTE(index(importhtml(""http://finviz.com/quote.ashx?t=""&amp;A4792,""table"",10),7,2),""*"",""""),""-"",""0.00""))"),"Loading...")</f>
        <v>Loading...</v>
      </c>
      <c r="L4792" s="129">
        <v>5.07232519E8</v>
      </c>
      <c r="M4792" s="99">
        <v>0.86</v>
      </c>
    </row>
    <row r="4793">
      <c r="A4793" s="122" t="s">
        <v>10053</v>
      </c>
      <c r="B4793" s="123">
        <v>712537.0</v>
      </c>
      <c r="C4793" s="124" t="s">
        <v>10054</v>
      </c>
      <c r="D4793" s="125"/>
      <c r="E4793" s="126">
        <v>13.54</v>
      </c>
      <c r="F4793" s="127"/>
      <c r="G4793" s="127"/>
      <c r="H4793" s="127"/>
      <c r="I4793" s="128"/>
      <c r="K4793" s="55" t="s">
        <v>10055</v>
      </c>
      <c r="L4793" s="129">
        <v>1.38263168E9</v>
      </c>
      <c r="M4793" s="99">
        <v>0.88</v>
      </c>
    </row>
    <row r="4794">
      <c r="A4794" s="122" t="s">
        <v>10056</v>
      </c>
      <c r="B4794" s="123">
        <v>1834048.0</v>
      </c>
      <c r="C4794" s="124" t="s">
        <v>10057</v>
      </c>
      <c r="D4794" s="125"/>
      <c r="E4794" s="126">
        <v>13.54</v>
      </c>
      <c r="F4794" s="127"/>
      <c r="G4794" s="127"/>
      <c r="H4794" s="127"/>
      <c r="I4794" s="128"/>
      <c r="K4794" s="105" t="str">
        <f>IFERROR(__xludf.DUMMYFUNCTION("if(A4794="""","""",substitute(SUBSTITUTE(index(importhtml(""http://finviz.com/quote.ashx?t=""&amp;A4794,""table"",10),7,2),""*"",""""),""-"",""0.00""))"),"Loading...")</f>
        <v>Loading...</v>
      </c>
      <c r="L4794" s="129">
        <v>1.8276769258E10</v>
      </c>
      <c r="M4794" s="99" t="str">
        <f>IFERROR(__xludf.DUMMYFUNCTION("GOOGLEFINANCE(A4794,""beta"")"),"#N/A")</f>
        <v>#N/A</v>
      </c>
    </row>
    <row r="4795">
      <c r="A4795" s="122" t="s">
        <v>10058</v>
      </c>
      <c r="B4795" s="123">
        <v>1379481.0</v>
      </c>
      <c r="C4795" s="124" t="s">
        <v>10059</v>
      </c>
      <c r="D4795" s="125"/>
      <c r="E4795" s="126">
        <v>13.55</v>
      </c>
      <c r="F4795" s="127"/>
      <c r="G4795" s="127"/>
      <c r="H4795" s="127"/>
      <c r="I4795" s="128"/>
      <c r="K4795" s="105" t="str">
        <f>IFERROR(__xludf.DUMMYFUNCTION("if(A4795="""","""",substitute(SUBSTITUTE(index(importhtml(""http://finviz.com/quote.ashx?t=""&amp;A4795,""table"",10),7,2),""*"",""""),""-"",""0.00""))"),"Loading...")</f>
        <v>Loading...</v>
      </c>
      <c r="L4795" s="129">
        <v>1.0250364662E10</v>
      </c>
      <c r="M4795" s="99">
        <f>IFERROR(__xludf.DUMMYFUNCTION("GOOGLEFINANCE(A4795,""beta"")"),0.58)</f>
        <v>0.58</v>
      </c>
    </row>
    <row r="4796">
      <c r="A4796" s="122" t="s">
        <v>10060</v>
      </c>
      <c r="B4796" s="123">
        <v>1486298.0</v>
      </c>
      <c r="C4796" s="124" t="s">
        <v>10061</v>
      </c>
      <c r="D4796" s="125"/>
      <c r="E4796" s="126">
        <v>13.56</v>
      </c>
      <c r="F4796" s="127"/>
      <c r="G4796" s="127"/>
      <c r="H4796" s="127"/>
      <c r="I4796" s="128"/>
      <c r="K4796" s="55" t="s">
        <v>10062</v>
      </c>
      <c r="L4796" s="129">
        <v>1.76395807E8</v>
      </c>
      <c r="M4796" s="99">
        <v>0.58</v>
      </c>
    </row>
    <row r="4797">
      <c r="A4797" s="122" t="s">
        <v>10063</v>
      </c>
      <c r="B4797" s="123">
        <v>1640428.0</v>
      </c>
      <c r="C4797" s="124" t="s">
        <v>10064</v>
      </c>
      <c r="D4797" s="125"/>
      <c r="E4797" s="126">
        <v>13.56</v>
      </c>
      <c r="F4797" s="127"/>
      <c r="G4797" s="127"/>
      <c r="H4797" s="127"/>
      <c r="I4797" s="128"/>
      <c r="K4797" s="105" t="str">
        <f>IFERROR(__xludf.DUMMYFUNCTION("if(A4797="""","""",substitute(SUBSTITUTE(index(importhtml(""http://finviz.com/quote.ashx?t=""&amp;A4797,""table"",10),7,2),""*"",""""),""-"",""0.00""))"),"Loading...")</f>
        <v>Loading...</v>
      </c>
      <c r="L4797" s="129">
        <v>4.57134056E8</v>
      </c>
      <c r="M4797" s="99">
        <v>0.87</v>
      </c>
    </row>
    <row r="4798">
      <c r="A4798" s="122" t="s">
        <v>10065</v>
      </c>
      <c r="B4798" s="123">
        <v>89140.0</v>
      </c>
      <c r="C4798" s="124" t="s">
        <v>10066</v>
      </c>
      <c r="D4798" s="125"/>
      <c r="E4798" s="126">
        <v>13.57</v>
      </c>
      <c r="F4798" s="127"/>
      <c r="G4798" s="127"/>
      <c r="H4798" s="127"/>
      <c r="I4798" s="128"/>
      <c r="K4798" s="105" t="str">
        <f>IFERROR(__xludf.DUMMYFUNCTION("if(A4798="""","""",substitute(SUBSTITUTE(index(importhtml(""http://finviz.com/quote.ashx?t=""&amp;A4798,""table"",10),7,2),""*"",""""),""-"",""0.00""))"),"Loading...")</f>
        <v>Loading...</v>
      </c>
      <c r="L4798" s="129">
        <v>3.3870574E7</v>
      </c>
      <c r="M4798" s="99">
        <v>0.66</v>
      </c>
    </row>
    <row r="4799">
      <c r="A4799" s="122" t="s">
        <v>10067</v>
      </c>
      <c r="B4799" s="123">
        <v>1734875.0</v>
      </c>
      <c r="C4799" s="124" t="s">
        <v>10068</v>
      </c>
      <c r="D4799" s="125"/>
      <c r="E4799" s="126">
        <v>13.58</v>
      </c>
      <c r="F4799" s="127"/>
      <c r="G4799" s="127"/>
      <c r="H4799" s="127"/>
      <c r="I4799" s="128"/>
      <c r="K4799" s="105" t="str">
        <f>IFERROR(__xludf.DUMMYFUNCTION("if(A4799="""","""",substitute(SUBSTITUTE(index(importhtml(""http://finviz.com/quote.ashx?t=""&amp;A4799,""table"",10),7,2),""*"",""""),""-"",""0.00""))"),"#N/A")</f>
        <v>#N/A</v>
      </c>
      <c r="L4799" s="129">
        <v>4.8418539E7</v>
      </c>
      <c r="M4799" s="99">
        <v>0.21</v>
      </c>
    </row>
    <row r="4800">
      <c r="A4800" s="122" t="s">
        <v>10069</v>
      </c>
      <c r="B4800" s="123">
        <v>1545772.0</v>
      </c>
      <c r="C4800" s="124" t="s">
        <v>10070</v>
      </c>
      <c r="D4800" s="125"/>
      <c r="E4800" s="126">
        <v>13.58</v>
      </c>
      <c r="F4800" s="127"/>
      <c r="G4800" s="127"/>
      <c r="H4800" s="127"/>
      <c r="I4800" s="128"/>
      <c r="K4800" s="105" t="str">
        <f>IFERROR(__xludf.DUMMYFUNCTION("if(A4800="""","""",substitute(SUBSTITUTE(index(importhtml(""http://finviz.com/quote.ashx?t=""&amp;A4800,""table"",10),7,2),""*"",""""),""-"",""0.00""))"),"Loading...")</f>
        <v>Loading...</v>
      </c>
      <c r="L4800" s="129">
        <v>9.9948799E7</v>
      </c>
      <c r="M4800" s="99">
        <v>1.07</v>
      </c>
    </row>
    <row r="4801">
      <c r="A4801" s="122" t="s">
        <v>10071</v>
      </c>
      <c r="B4801" s="123">
        <v>1857154.0</v>
      </c>
      <c r="C4801" s="124" t="s">
        <v>10072</v>
      </c>
      <c r="D4801" s="125"/>
      <c r="E4801" s="126">
        <v>13.58</v>
      </c>
      <c r="F4801" s="127"/>
      <c r="G4801" s="127"/>
      <c r="H4801" s="127"/>
      <c r="I4801" s="128"/>
      <c r="K4801" s="105" t="str">
        <f>IFERROR(__xludf.DUMMYFUNCTION("if(A4801="""","""",substitute(SUBSTITUTE(index(importhtml(""http://finviz.com/quote.ashx?t=""&amp;A4801,""table"",10),7,2),""*"",""""),""-"",""0.00""))"),"Loading...")</f>
        <v>Loading...</v>
      </c>
      <c r="L4801" s="129">
        <v>2.290673029E9</v>
      </c>
      <c r="M4801" s="99">
        <f>IFERROR(__xludf.DUMMYFUNCTION("GOOGLEFINANCE(A4801,""beta"")"),1.33)</f>
        <v>1.33</v>
      </c>
    </row>
    <row r="4802">
      <c r="A4802" s="122" t="s">
        <v>10073</v>
      </c>
      <c r="B4802" s="123">
        <v>1302387.0</v>
      </c>
      <c r="C4802" s="124" t="s">
        <v>10074</v>
      </c>
      <c r="D4802" s="125"/>
      <c r="E4802" s="126">
        <v>13.59</v>
      </c>
      <c r="F4802" s="127"/>
      <c r="G4802" s="127"/>
      <c r="H4802" s="127"/>
      <c r="I4802" s="128"/>
      <c r="K4802" s="105" t="str">
        <f>IFERROR(__xludf.DUMMYFUNCTION("if(A4802="""","""",substitute(SUBSTITUTE(index(importhtml(""http://finviz.com/quote.ashx?t=""&amp;A4802,""table"",10),7,2),""*"",""""),""-"",""0.00""))"),"Loading...")</f>
        <v>Loading...</v>
      </c>
      <c r="L4802" s="129">
        <v>1.54597123E8</v>
      </c>
      <c r="M4802" s="99" t="str">
        <f>IFERROR(__xludf.DUMMYFUNCTION("GOOGLEFINANCE(A4802,""beta"")"),"#N/A")</f>
        <v>#N/A</v>
      </c>
    </row>
    <row r="4803">
      <c r="A4803" s="122" t="s">
        <v>10075</v>
      </c>
      <c r="B4803" s="123">
        <v>1637873.0</v>
      </c>
      <c r="C4803" s="124" t="s">
        <v>10076</v>
      </c>
      <c r="D4803" s="125"/>
      <c r="E4803" s="126">
        <v>13.6</v>
      </c>
      <c r="F4803" s="127"/>
      <c r="G4803" s="127"/>
      <c r="H4803" s="127"/>
      <c r="I4803" s="128"/>
      <c r="K4803" s="105" t="str">
        <f>IFERROR(__xludf.DUMMYFUNCTION("if(A4803="""","""",substitute(SUBSTITUTE(index(importhtml(""http://finviz.com/quote.ashx?t=""&amp;A4803,""table"",10),7,2),""*"",""""),""-"",""0.00""))"),"Loading...")</f>
        <v>Loading...</v>
      </c>
      <c r="L4803" s="129">
        <v>2.195570461E9</v>
      </c>
      <c r="M4803" s="99">
        <f>IFERROR(__xludf.DUMMYFUNCTION("GOOGLEFINANCE(A4803,""beta"")"),1.63)</f>
        <v>1.63</v>
      </c>
    </row>
    <row r="4804">
      <c r="A4804" s="122" t="s">
        <v>10077</v>
      </c>
      <c r="B4804" s="123">
        <v>59255.0</v>
      </c>
      <c r="C4804" s="124" t="s">
        <v>10078</v>
      </c>
      <c r="D4804" s="125"/>
      <c r="E4804" s="126">
        <v>13.61</v>
      </c>
      <c r="F4804" s="127"/>
      <c r="G4804" s="127"/>
      <c r="H4804" s="127"/>
      <c r="I4804" s="128"/>
      <c r="K4804" s="105" t="str">
        <f>IFERROR(__xludf.DUMMYFUNCTION("if(A4804="""","""",substitute(SUBSTITUTE(index(importhtml(""http://finviz.com/quote.ashx?t=""&amp;A4804,""table"",10),7,2),""*"",""""),""-"",""0.00""))"),"Loading...")</f>
        <v>Loading...</v>
      </c>
      <c r="L4804" s="129">
        <v>3.85006339E8</v>
      </c>
      <c r="M4804" s="99">
        <v>1.41</v>
      </c>
    </row>
    <row r="4805">
      <c r="A4805" s="122" t="s">
        <v>10079</v>
      </c>
      <c r="B4805" s="123">
        <v>1914605.0</v>
      </c>
      <c r="C4805" s="124" t="s">
        <v>10080</v>
      </c>
      <c r="D4805" s="125"/>
      <c r="E4805" s="126">
        <v>13.62</v>
      </c>
      <c r="F4805" s="127"/>
      <c r="G4805" s="127"/>
      <c r="H4805" s="127"/>
      <c r="I4805" s="128"/>
      <c r="K4805" s="105" t="str">
        <f>IFERROR(__xludf.DUMMYFUNCTION("if(A4805="""","""",substitute(SUBSTITUTE(index(importhtml(""http://finviz.com/quote.ashx?t=""&amp;A4805,""table"",10),7,2),""*"",""""),""-"",""0.00""))"),"Loading...")</f>
        <v>Loading...</v>
      </c>
      <c r="L4805" s="129">
        <v>1.27873793E8</v>
      </c>
      <c r="M4805" s="99">
        <f>IFERROR(__xludf.DUMMYFUNCTION("GOOGLEFINANCE(A4805,""beta"")"),0.47)</f>
        <v>0.47</v>
      </c>
    </row>
    <row r="4806">
      <c r="A4806" s="122" t="s">
        <v>10081</v>
      </c>
      <c r="B4806" s="123">
        <v>62234.0</v>
      </c>
      <c r="C4806" s="124" t="s">
        <v>10082</v>
      </c>
      <c r="D4806" s="125"/>
      <c r="E4806" s="126">
        <v>13.62</v>
      </c>
      <c r="F4806" s="127"/>
      <c r="G4806" s="127"/>
      <c r="H4806" s="127"/>
      <c r="I4806" s="128"/>
      <c r="K4806" s="105" t="str">
        <f>IFERROR(__xludf.DUMMYFUNCTION("if(A4806="""","""",substitute(SUBSTITUTE(index(importhtml(""http://finviz.com/quote.ashx?t=""&amp;A4806,""table"",10),7,2),""*"",""""),""-"",""0.00""))"),"Loading...")</f>
        <v>Loading...</v>
      </c>
      <c r="L4806" s="129">
        <v>4.31696111E8</v>
      </c>
      <c r="M4806" s="99">
        <v>1.46</v>
      </c>
    </row>
    <row r="4807">
      <c r="A4807" s="122" t="s">
        <v>10083</v>
      </c>
      <c r="B4807" s="123">
        <v>1369568.0</v>
      </c>
      <c r="C4807" s="124" t="s">
        <v>10084</v>
      </c>
      <c r="D4807" s="125"/>
      <c r="E4807" s="126">
        <v>13.62</v>
      </c>
      <c r="F4807" s="127"/>
      <c r="G4807" s="127"/>
      <c r="H4807" s="127"/>
      <c r="I4807" s="128"/>
      <c r="K4807" s="105" t="str">
        <f>IFERROR(__xludf.DUMMYFUNCTION("if(A4807="""","""",substitute(SUBSTITUTE(index(importhtml(""http://finviz.com/quote.ashx?t=""&amp;A4807,""table"",10),7,2),""*"",""""),""-"",""0.00""))"),"Loading...")</f>
        <v>Loading...</v>
      </c>
      <c r="L4807" s="129">
        <v>1.6012312E9</v>
      </c>
      <c r="M4807" s="99">
        <v>0.93</v>
      </c>
    </row>
    <row r="4808">
      <c r="A4808" s="122" t="s">
        <v>10085</v>
      </c>
      <c r="B4808" s="123">
        <v>1568651.0</v>
      </c>
      <c r="C4808" s="124" t="s">
        <v>10086</v>
      </c>
      <c r="D4808" s="125"/>
      <c r="E4808" s="126">
        <v>13.64</v>
      </c>
      <c r="F4808" s="127"/>
      <c r="G4808" s="127"/>
      <c r="H4808" s="127"/>
      <c r="I4808" s="128"/>
      <c r="K4808" s="105" t="str">
        <f>IFERROR(__xludf.DUMMYFUNCTION("if(A4808="""","""",substitute(SUBSTITUTE(index(importhtml(""http://finviz.com/quote.ashx?t=""&amp;A4808,""table"",10),7,2),""*"",""""),""-"",""0.00""))"),"Loading...")</f>
        <v>Loading...</v>
      </c>
      <c r="L4808" s="129">
        <v>3.084156845E9</v>
      </c>
      <c r="M4808" s="99">
        <f>IFERROR(__xludf.DUMMYFUNCTION("GOOGLEFINANCE(A4808,""beta"")"),1.88)</f>
        <v>1.88</v>
      </c>
    </row>
    <row r="4809">
      <c r="A4809" s="122" t="s">
        <v>10087</v>
      </c>
      <c r="B4809" s="123">
        <v>716634.0</v>
      </c>
      <c r="C4809" s="124" t="s">
        <v>10088</v>
      </c>
      <c r="D4809" s="125"/>
      <c r="E4809" s="126">
        <v>13.65</v>
      </c>
      <c r="F4809" s="127"/>
      <c r="G4809" s="127"/>
      <c r="H4809" s="127"/>
      <c r="I4809" s="128"/>
      <c r="K4809" s="105" t="str">
        <f>IFERROR(__xludf.DUMMYFUNCTION("if(A4809="""","""",substitute(SUBSTITUTE(index(importhtml(""http://finviz.com/quote.ashx?t=""&amp;A4809,""table"",10),7,2),""*"",""""),""-"",""0.00""))"),"Loading...")</f>
        <v>Loading...</v>
      </c>
      <c r="L4809" s="129">
        <v>6.4918836E7</v>
      </c>
      <c r="M4809" s="99">
        <v>1.02</v>
      </c>
    </row>
    <row r="4810">
      <c r="A4810" s="122" t="s">
        <v>10089</v>
      </c>
      <c r="B4810" s="123">
        <v>771992.0</v>
      </c>
      <c r="C4810" s="124" t="s">
        <v>10090</v>
      </c>
      <c r="D4810" s="125"/>
      <c r="E4810" s="126">
        <v>13.65</v>
      </c>
      <c r="F4810" s="127"/>
      <c r="G4810" s="127"/>
      <c r="H4810" s="127"/>
      <c r="I4810" s="128"/>
      <c r="K4810" s="105" t="str">
        <f>IFERROR(__xludf.DUMMYFUNCTION("if(A4810="""","""",substitute(SUBSTITUTE(index(importhtml(""http://finviz.com/quote.ashx?t=""&amp;A4810,""table"",10),7,2),""*"",""""),""-"",""0.00""))"),"Loading...")</f>
        <v>Loading...</v>
      </c>
      <c r="L4810" s="129">
        <v>4.976894965E9</v>
      </c>
      <c r="M4810" s="99">
        <v>1.22</v>
      </c>
    </row>
    <row r="4811">
      <c r="A4811" s="122" t="s">
        <v>10091</v>
      </c>
      <c r="B4811" s="123">
        <v>1126874.0</v>
      </c>
      <c r="C4811" s="124" t="s">
        <v>10092</v>
      </c>
      <c r="D4811" s="125"/>
      <c r="E4811" s="126">
        <v>13.66</v>
      </c>
      <c r="F4811" s="127"/>
      <c r="G4811" s="127"/>
      <c r="H4811" s="127"/>
      <c r="I4811" s="128"/>
      <c r="K4811" s="55" t="s">
        <v>10093</v>
      </c>
      <c r="L4811" s="129">
        <v>2.78868487E9</v>
      </c>
      <c r="M4811" s="99">
        <v>1.95</v>
      </c>
    </row>
    <row r="4812">
      <c r="A4812" s="122" t="s">
        <v>10094</v>
      </c>
      <c r="B4812" s="123">
        <v>1825497.0</v>
      </c>
      <c r="C4812" s="124" t="s">
        <v>10095</v>
      </c>
      <c r="D4812" s="125"/>
      <c r="E4812" s="126">
        <v>13.67</v>
      </c>
      <c r="F4812" s="127"/>
      <c r="G4812" s="127"/>
      <c r="H4812" s="127"/>
      <c r="I4812" s="128"/>
      <c r="K4812" s="105" t="str">
        <f>IFERROR(__xludf.DUMMYFUNCTION("if(A4812="""","""",substitute(SUBSTITUTE(index(importhtml(""http://finviz.com/quote.ashx?t=""&amp;A4812,""table"",10),7,2),""*"",""""),""-"",""0.00""))"),"Loading...")</f>
        <v>Loading...</v>
      </c>
      <c r="L4812" s="129">
        <v>1.2189394E7</v>
      </c>
      <c r="M4812" s="99" t="str">
        <f>IFERROR(__xludf.DUMMYFUNCTION("GOOGLEFINANCE(A4812,""beta"")"),"#N/A")</f>
        <v>#N/A</v>
      </c>
    </row>
    <row r="4813">
      <c r="A4813" s="122" t="s">
        <v>10096</v>
      </c>
      <c r="B4813" s="123">
        <v>1478454.0</v>
      </c>
      <c r="C4813" s="124" t="s">
        <v>10097</v>
      </c>
      <c r="D4813" s="125"/>
      <c r="E4813" s="126">
        <v>13.67</v>
      </c>
      <c r="F4813" s="127"/>
      <c r="G4813" s="127"/>
      <c r="H4813" s="127"/>
      <c r="I4813" s="128"/>
      <c r="K4813" s="105" t="str">
        <f>IFERROR(__xludf.DUMMYFUNCTION("if(A4813="""","""",substitute(SUBSTITUTE(index(importhtml(""http://finviz.com/quote.ashx?t=""&amp;A4813,""table"",10),7,2),""*"",""""),""-"",""0.00""))"),"Loading...")</f>
        <v>Loading...</v>
      </c>
      <c r="L4813" s="129">
        <v>1.09589424E8</v>
      </c>
      <c r="M4813" s="99">
        <v>0.55</v>
      </c>
    </row>
    <row r="4814">
      <c r="A4814" s="122" t="s">
        <v>10098</v>
      </c>
      <c r="B4814" s="123">
        <v>768899.0</v>
      </c>
      <c r="C4814" s="124" t="s">
        <v>10099</v>
      </c>
      <c r="D4814" s="125"/>
      <c r="E4814" s="126">
        <v>13.68</v>
      </c>
      <c r="F4814" s="127"/>
      <c r="G4814" s="127"/>
      <c r="H4814" s="127"/>
      <c r="I4814" s="128"/>
      <c r="K4814" s="105" t="str">
        <f>IFERROR(__xludf.DUMMYFUNCTION("if(A4814="""","""",substitute(SUBSTITUTE(index(importhtml(""http://finviz.com/quote.ashx?t=""&amp;A4814,""table"",10),7,2),""*"",""""),""-"",""0.00""))"),"Loading...")</f>
        <v>Loading...</v>
      </c>
      <c r="L4814" s="129">
        <v>4.25991652E8</v>
      </c>
      <c r="M4814" s="99">
        <v>1.52</v>
      </c>
    </row>
    <row r="4815">
      <c r="A4815" s="122" t="s">
        <v>10100</v>
      </c>
      <c r="B4815" s="123">
        <v>1495240.0</v>
      </c>
      <c r="C4815" s="124" t="s">
        <v>10101</v>
      </c>
      <c r="D4815" s="125"/>
      <c r="E4815" s="126">
        <v>13.68</v>
      </c>
      <c r="F4815" s="127"/>
      <c r="G4815" s="127"/>
      <c r="H4815" s="127"/>
      <c r="I4815" s="128"/>
      <c r="K4815" s="105" t="str">
        <f>IFERROR(__xludf.DUMMYFUNCTION("if(A4815="""","""",substitute(SUBSTITUTE(index(importhtml(""http://finviz.com/quote.ashx?t=""&amp;A4815,""table"",10),7,2),""*"",""""),""-"",""0.00""))"),"Loading...")</f>
        <v>Loading...</v>
      </c>
      <c r="L4815" s="129">
        <v>4.9026987E8</v>
      </c>
      <c r="M4815" s="99">
        <v>1.02</v>
      </c>
    </row>
    <row r="4816">
      <c r="A4816" s="122" t="s">
        <v>10102</v>
      </c>
      <c r="B4816" s="123">
        <v>1820721.0</v>
      </c>
      <c r="C4816" s="124" t="s">
        <v>10103</v>
      </c>
      <c r="D4816" s="125"/>
      <c r="E4816" s="126">
        <v>13.68</v>
      </c>
      <c r="F4816" s="127"/>
      <c r="G4816" s="127"/>
      <c r="H4816" s="127"/>
      <c r="I4816" s="128"/>
      <c r="K4816" s="105" t="str">
        <f>IFERROR(__xludf.DUMMYFUNCTION("if(A4816="""","""",substitute(SUBSTITUTE(index(importhtml(""http://finviz.com/quote.ashx?t=""&amp;A4816,""table"",10),7,2),""*"",""""),""-"",""0.00""))"),"Loading...")</f>
        <v>Loading...</v>
      </c>
      <c r="L4816" s="129">
        <v>2.068640398E9</v>
      </c>
      <c r="M4816" s="99">
        <v>1.66</v>
      </c>
    </row>
    <row r="4817">
      <c r="A4817" s="122" t="s">
        <v>10104</v>
      </c>
      <c r="B4817" s="123">
        <v>1729997.0</v>
      </c>
      <c r="C4817" s="124" t="s">
        <v>10105</v>
      </c>
      <c r="D4817" s="125"/>
      <c r="E4817" s="126">
        <v>13.7</v>
      </c>
      <c r="F4817" s="127"/>
      <c r="G4817" s="127"/>
      <c r="H4817" s="127"/>
      <c r="I4817" s="128"/>
      <c r="K4817" s="105" t="str">
        <f>IFERROR(__xludf.DUMMYFUNCTION("if(A4817="""","""",substitute(SUBSTITUTE(index(importhtml(""http://finviz.com/quote.ashx?t=""&amp;A4817,""table"",10),7,2),""*"",""""),""-"",""0.00""))"),"Loading...")</f>
        <v>Loading...</v>
      </c>
      <c r="L4817" s="129">
        <v>2.17304038E8</v>
      </c>
      <c r="M4817" s="99">
        <v>3.45</v>
      </c>
    </row>
    <row r="4818">
      <c r="A4818" s="122" t="s">
        <v>10106</v>
      </c>
      <c r="B4818" s="123">
        <v>1817159.0</v>
      </c>
      <c r="C4818" s="124" t="s">
        <v>10107</v>
      </c>
      <c r="D4818" s="125"/>
      <c r="E4818" s="126">
        <v>13.7</v>
      </c>
      <c r="F4818" s="127"/>
      <c r="G4818" s="127"/>
      <c r="H4818" s="127"/>
      <c r="I4818" s="128"/>
      <c r="K4818" s="105" t="str">
        <f>IFERROR(__xludf.DUMMYFUNCTION("if(A4818="""","""",substitute(SUBSTITUTE(index(importhtml(""http://finviz.com/quote.ashx?t=""&amp;A4818,""table"",10),7,2),""*"",""""),""-"",""0.00""))"),"Loading...")</f>
        <v>Loading...</v>
      </c>
      <c r="L4818" s="129">
        <v>3.3361897E8</v>
      </c>
      <c r="M4818" s="99">
        <f>IFERROR(__xludf.DUMMYFUNCTION("GOOGLEFINANCE(A4818,""beta"")"),0.74)</f>
        <v>0.74</v>
      </c>
    </row>
    <row r="4819">
      <c r="A4819" s="122" t="s">
        <v>10108</v>
      </c>
      <c r="B4819" s="123">
        <v>1502573.0</v>
      </c>
      <c r="C4819" s="124" t="s">
        <v>10109</v>
      </c>
      <c r="D4819" s="125"/>
      <c r="E4819" s="126">
        <v>13.71</v>
      </c>
      <c r="F4819" s="127"/>
      <c r="G4819" s="127"/>
      <c r="H4819" s="127"/>
      <c r="I4819" s="128"/>
      <c r="K4819" s="55" t="s">
        <v>10110</v>
      </c>
      <c r="L4819" s="129">
        <v>2.13513645E8</v>
      </c>
      <c r="M4819" s="99">
        <v>0.48</v>
      </c>
    </row>
    <row r="4820">
      <c r="A4820" s="122" t="s">
        <v>10111</v>
      </c>
      <c r="B4820" s="123">
        <v>1830043.0</v>
      </c>
      <c r="C4820" s="124" t="s">
        <v>10112</v>
      </c>
      <c r="D4820" s="125"/>
      <c r="E4820" s="126">
        <v>13.71</v>
      </c>
      <c r="F4820" s="127"/>
      <c r="G4820" s="127"/>
      <c r="H4820" s="127"/>
      <c r="I4820" s="128"/>
      <c r="K4820" s="105" t="str">
        <f>IFERROR(__xludf.DUMMYFUNCTION("if(A4820="""","""",substitute(SUBSTITUTE(index(importhtml(""http://finviz.com/quote.ashx?t=""&amp;A4820,""table"",10),7,2),""*"",""""),""-"",""0.00""))"),"Loading...")</f>
        <v>Loading...</v>
      </c>
      <c r="L4820" s="129">
        <v>1.874860328E9</v>
      </c>
      <c r="M4820" s="99">
        <f>IFERROR(__xludf.DUMMYFUNCTION("GOOGLEFINANCE(A4820,""beta"")"),1.93)</f>
        <v>1.93</v>
      </c>
    </row>
    <row r="4821">
      <c r="A4821" s="122" t="s">
        <v>10113</v>
      </c>
      <c r="B4821" s="123">
        <v>1504776.0</v>
      </c>
      <c r="C4821" s="124" t="s">
        <v>10114</v>
      </c>
      <c r="D4821" s="125"/>
      <c r="E4821" s="126">
        <v>13.72</v>
      </c>
      <c r="F4821" s="127"/>
      <c r="G4821" s="127"/>
      <c r="H4821" s="127"/>
      <c r="I4821" s="128"/>
      <c r="K4821" s="105" t="str">
        <f>IFERROR(__xludf.DUMMYFUNCTION("if(A4821="""","""",substitute(SUBSTITUTE(index(importhtml(""http://finviz.com/quote.ashx?t=""&amp;A4821,""table"",10),7,2),""*"",""""),""-"",""0.00""))"),"Loading...")</f>
        <v>Loading...</v>
      </c>
      <c r="L4821" s="129">
        <v>1.614016715E9</v>
      </c>
      <c r="M4821" s="99">
        <f>IFERROR(__xludf.DUMMYFUNCTION("GOOGLEFINANCE(A4821,""beta"")"),2.06)</f>
        <v>2.06</v>
      </c>
    </row>
    <row r="4822">
      <c r="A4822" s="122" t="s">
        <v>10115</v>
      </c>
      <c r="B4822" s="123">
        <v>1871509.0</v>
      </c>
      <c r="C4822" s="124" t="s">
        <v>10116</v>
      </c>
      <c r="D4822" s="125"/>
      <c r="E4822" s="126">
        <v>13.74</v>
      </c>
      <c r="F4822" s="127"/>
      <c r="G4822" s="127"/>
      <c r="H4822" s="127"/>
      <c r="I4822" s="128"/>
      <c r="K4822" s="105" t="str">
        <f>IFERROR(__xludf.DUMMYFUNCTION("if(A4822="""","""",substitute(SUBSTITUTE(index(importhtml(""http://finviz.com/quote.ashx?t=""&amp;A4822,""table"",10),7,2),""*"",""""),""-"",""0.00""))"),"Loading...")</f>
        <v>Loading...</v>
      </c>
      <c r="L4822" s="129">
        <v>1.001854556E9</v>
      </c>
      <c r="M4822" s="99">
        <f>IFERROR(__xludf.DUMMYFUNCTION("GOOGLEFINANCE(A4822,""beta"")"),1.73)</f>
        <v>1.73</v>
      </c>
    </row>
    <row r="4823">
      <c r="A4823" s="122" t="s">
        <v>10117</v>
      </c>
      <c r="B4823" s="123">
        <v>1296484.0</v>
      </c>
      <c r="C4823" s="124" t="s">
        <v>10118</v>
      </c>
      <c r="D4823" s="125"/>
      <c r="E4823" s="126">
        <v>13.75</v>
      </c>
      <c r="F4823" s="127"/>
      <c r="G4823" s="127"/>
      <c r="H4823" s="127"/>
      <c r="I4823" s="128"/>
      <c r="K4823" s="105" t="str">
        <f>IFERROR(__xludf.DUMMYFUNCTION("if(A4823="""","""",substitute(SUBSTITUTE(index(importhtml(""http://finviz.com/quote.ashx?t=""&amp;A4823,""table"",10),7,2),""*"",""""),""-"",""0.00""))"),"Loading...")</f>
        <v>Loading...</v>
      </c>
      <c r="L4823" s="129">
        <v>6.361058E7</v>
      </c>
      <c r="M4823" s="99">
        <v>1.64</v>
      </c>
    </row>
    <row r="4824">
      <c r="A4824" s="122" t="s">
        <v>10119</v>
      </c>
      <c r="B4824" s="123">
        <v>95574.0</v>
      </c>
      <c r="C4824" s="124" t="s">
        <v>10120</v>
      </c>
      <c r="D4824" s="125"/>
      <c r="E4824" s="126">
        <v>13.75</v>
      </c>
      <c r="F4824" s="127"/>
      <c r="G4824" s="127"/>
      <c r="H4824" s="127"/>
      <c r="I4824" s="128"/>
      <c r="K4824" s="105" t="str">
        <f>IFERROR(__xludf.DUMMYFUNCTION("if(A4824="""","""",substitute(SUBSTITUTE(index(importhtml(""http://finviz.com/quote.ashx?t=""&amp;A4824,""table"",10),7,2),""*"",""""),""-"",""0.00""))"),"Loading...")</f>
        <v>Loading...</v>
      </c>
      <c r="L4824" s="129">
        <v>2.26955025E8</v>
      </c>
      <c r="M4824" s="99">
        <v>1.38</v>
      </c>
    </row>
    <row r="4825">
      <c r="A4825" s="122" t="s">
        <v>10121</v>
      </c>
      <c r="B4825" s="123">
        <v>1788257.0</v>
      </c>
      <c r="C4825" s="124" t="s">
        <v>10122</v>
      </c>
      <c r="D4825" s="125"/>
      <c r="E4825" s="126">
        <v>13.75</v>
      </c>
      <c r="F4825" s="127"/>
      <c r="G4825" s="127"/>
      <c r="H4825" s="127"/>
      <c r="I4825" s="128"/>
      <c r="K4825" s="105" t="str">
        <f>IFERROR(__xludf.DUMMYFUNCTION("if(A4825="""","""",substitute(SUBSTITUTE(index(importhtml(""http://finviz.com/quote.ashx?t=""&amp;A4825,""table"",10),7,2),""*"",""""),""-"",""0.00""))"),"Loading...")</f>
        <v>Loading...</v>
      </c>
      <c r="L4825" s="129">
        <v>5.13102425E8</v>
      </c>
      <c r="M4825" s="99">
        <v>1.08</v>
      </c>
    </row>
    <row r="4826">
      <c r="A4826" s="122" t="s">
        <v>10123</v>
      </c>
      <c r="B4826" s="123">
        <v>1758488.0</v>
      </c>
      <c r="C4826" s="124" t="s">
        <v>10124</v>
      </c>
      <c r="D4826" s="125"/>
      <c r="E4826" s="126">
        <v>13.75</v>
      </c>
      <c r="F4826" s="127"/>
      <c r="G4826" s="127"/>
      <c r="H4826" s="127"/>
      <c r="I4826" s="128"/>
      <c r="K4826" s="105" t="str">
        <f>IFERROR(__xludf.DUMMYFUNCTION("if(A4826="""","""",substitute(SUBSTITUTE(index(importhtml(""http://finviz.com/quote.ashx?t=""&amp;A4826,""table"",10),7,2),""*"",""""),""-"",""0.00""))"),"Loading...")</f>
        <v>Loading...</v>
      </c>
      <c r="L4826" s="129">
        <v>1.37377405E9</v>
      </c>
      <c r="M4826" s="99">
        <v>2.2</v>
      </c>
    </row>
    <row r="4827">
      <c r="A4827" s="122" t="s">
        <v>10125</v>
      </c>
      <c r="B4827" s="123">
        <v>1407623.0</v>
      </c>
      <c r="C4827" s="124" t="s">
        <v>10126</v>
      </c>
      <c r="D4827" s="125"/>
      <c r="E4827" s="126">
        <v>13.75</v>
      </c>
      <c r="F4827" s="127"/>
      <c r="G4827" s="127"/>
      <c r="H4827" s="127"/>
      <c r="I4827" s="128"/>
      <c r="K4827" s="105" t="str">
        <f>IFERROR(__xludf.DUMMYFUNCTION("if(A4827="""","""",substitute(SUBSTITUTE(index(importhtml(""http://finviz.com/quote.ashx?t=""&amp;A4827,""table"",10),7,2),""*"",""""),""-"",""0.00""))"),"Loading...")</f>
        <v>Loading...</v>
      </c>
      <c r="L4827" s="129">
        <v>1.73252475E9</v>
      </c>
      <c r="M4827" s="99">
        <v>1.43</v>
      </c>
    </row>
    <row r="4828">
      <c r="A4828" s="122" t="s">
        <v>10127</v>
      </c>
      <c r="B4828" s="123">
        <v>1278752.0</v>
      </c>
      <c r="C4828" s="124" t="s">
        <v>10128</v>
      </c>
      <c r="D4828" s="125"/>
      <c r="E4828" s="126">
        <v>13.76</v>
      </c>
      <c r="F4828" s="127"/>
      <c r="G4828" s="127"/>
      <c r="H4828" s="127"/>
      <c r="I4828" s="128"/>
      <c r="K4828" s="105" t="str">
        <f>IFERROR(__xludf.DUMMYFUNCTION("if(A4828="""","""",substitute(SUBSTITUTE(index(importhtml(""http://finviz.com/quote.ashx?t=""&amp;A4828,""table"",10),7,2),""*"",""""),""-"",""0.00""))"),"Loading...")</f>
        <v>Loading...</v>
      </c>
      <c r="L4828" s="129">
        <v>8.9788501E8</v>
      </c>
      <c r="M4828" s="99">
        <v>1.47</v>
      </c>
    </row>
    <row r="4829">
      <c r="A4829" s="122" t="s">
        <v>10129</v>
      </c>
      <c r="B4829" s="123">
        <v>1645070.0</v>
      </c>
      <c r="C4829" s="124" t="s">
        <v>10130</v>
      </c>
      <c r="D4829" s="125"/>
      <c r="E4829" s="126">
        <v>13.77</v>
      </c>
      <c r="F4829" s="127"/>
      <c r="G4829" s="127"/>
      <c r="H4829" s="127"/>
      <c r="I4829" s="128"/>
      <c r="K4829" s="105" t="str">
        <f>IFERROR(__xludf.DUMMYFUNCTION("if(A4829="""","""",substitute(SUBSTITUTE(index(importhtml(""http://finviz.com/quote.ashx?t=""&amp;A4829,""table"",10),7,2),""*"",""""),""-"",""0.00""))"),"Loading...")</f>
        <v>Loading...</v>
      </c>
      <c r="L4829" s="129">
        <v>1.298306007E9</v>
      </c>
      <c r="M4829" s="99" t="str">
        <f>IFERROR(__xludf.DUMMYFUNCTION("GOOGLEFINANCE(A4829,""beta"")"),"#N/A")</f>
        <v>#N/A</v>
      </c>
    </row>
    <row r="4830">
      <c r="A4830" s="122" t="s">
        <v>10131</v>
      </c>
      <c r="B4830" s="123">
        <v>1839990.0</v>
      </c>
      <c r="C4830" s="124" t="s">
        <v>10132</v>
      </c>
      <c r="D4830" s="125"/>
      <c r="E4830" s="126">
        <v>13.8</v>
      </c>
      <c r="F4830" s="127"/>
      <c r="G4830" s="127"/>
      <c r="H4830" s="127"/>
      <c r="I4830" s="128"/>
      <c r="K4830" s="105" t="str">
        <f>IFERROR(__xludf.DUMMYFUNCTION("if(A4830="""","""",substitute(SUBSTITUTE(index(importhtml(""http://finviz.com/quote.ashx?t=""&amp;A4830,""table"",10),7,2),""*"",""""),""-"",""0.00""))"),"Loading...")</f>
        <v>Loading...</v>
      </c>
      <c r="L4830" s="129">
        <v>6.5479331E7</v>
      </c>
      <c r="M4830" s="99" t="str">
        <f>IFERROR(__xludf.DUMMYFUNCTION("GOOGLEFINANCE(A4830,""beta"")"),"#N/A")</f>
        <v>#N/A</v>
      </c>
    </row>
    <row r="4831">
      <c r="A4831" s="122" t="s">
        <v>10133</v>
      </c>
      <c r="B4831" s="123">
        <v>921582.0</v>
      </c>
      <c r="C4831" s="124" t="s">
        <v>10134</v>
      </c>
      <c r="D4831" s="125"/>
      <c r="E4831" s="126">
        <v>13.8</v>
      </c>
      <c r="F4831" s="127"/>
      <c r="G4831" s="127"/>
      <c r="H4831" s="127"/>
      <c r="I4831" s="128"/>
      <c r="K4831" s="105" t="str">
        <f>IFERROR(__xludf.DUMMYFUNCTION("if(A4831="""","""",substitute(SUBSTITUTE(index(importhtml(""http://finviz.com/quote.ashx?t=""&amp;A4831,""table"",10),7,2),""*"",""""),""-"",""0.00""))"),"Loading...")</f>
        <v>Loading...</v>
      </c>
      <c r="L4831" s="129">
        <v>7.53577852E8</v>
      </c>
      <c r="M4831" s="99">
        <v>1.22</v>
      </c>
    </row>
    <row r="4832">
      <c r="A4832" s="122" t="s">
        <v>10135</v>
      </c>
      <c r="B4832" s="123">
        <v>1850398.0</v>
      </c>
      <c r="C4832" s="124" t="s">
        <v>10136</v>
      </c>
      <c r="D4832" s="125"/>
      <c r="E4832" s="126">
        <v>13.82</v>
      </c>
      <c r="F4832" s="127"/>
      <c r="G4832" s="127"/>
      <c r="H4832" s="127"/>
      <c r="I4832" s="128"/>
      <c r="K4832" s="105" t="str">
        <f>IFERROR(__xludf.DUMMYFUNCTION("if(A4832="""","""",substitute(SUBSTITUTE(index(importhtml(""http://finviz.com/quote.ashx?t=""&amp;A4832,""table"",10),7,2),""*"",""""),""-"",""0.00""))"),"Loading...")</f>
        <v>Loading...</v>
      </c>
      <c r="L4832" s="129">
        <v>6.2867841E7</v>
      </c>
      <c r="M4832" s="99">
        <f>IFERROR(__xludf.DUMMYFUNCTION("GOOGLEFINANCE(A4832,""beta"")"),0.17)</f>
        <v>0.17</v>
      </c>
    </row>
    <row r="4833">
      <c r="A4833" s="122" t="s">
        <v>10137</v>
      </c>
      <c r="B4833" s="123">
        <v>884121.0</v>
      </c>
      <c r="C4833" s="124" t="s">
        <v>10138</v>
      </c>
      <c r="D4833" s="125"/>
      <c r="E4833" s="126">
        <v>13.82</v>
      </c>
      <c r="F4833" s="127"/>
      <c r="G4833" s="127"/>
      <c r="H4833" s="127"/>
      <c r="I4833" s="128"/>
      <c r="K4833" s="105" t="str">
        <f>IFERROR(__xludf.DUMMYFUNCTION("if(A4833="""","""",substitute(SUBSTITUTE(index(importhtml(""http://finviz.com/quote.ashx?t=""&amp;A4833,""table"",10),7,2),""*"",""""),""-"",""0.00""))"),"Loading...")</f>
        <v>Loading...</v>
      </c>
      <c r="L4833" s="129">
        <v>3.62250384E8</v>
      </c>
      <c r="M4833" s="99">
        <v>0.73</v>
      </c>
    </row>
    <row r="4834">
      <c r="A4834" s="122" t="s">
        <v>10139</v>
      </c>
      <c r="B4834" s="123">
        <v>26780.0</v>
      </c>
      <c r="C4834" s="124" t="s">
        <v>10140</v>
      </c>
      <c r="D4834" s="125"/>
      <c r="E4834" s="126">
        <v>13.83</v>
      </c>
      <c r="F4834" s="127"/>
      <c r="G4834" s="127"/>
      <c r="H4834" s="127"/>
      <c r="I4834" s="128"/>
      <c r="K4834" s="55" t="s">
        <v>8653</v>
      </c>
      <c r="L4834" s="129">
        <v>1.996195911E9</v>
      </c>
      <c r="M4834" s="99">
        <v>2.55</v>
      </c>
    </row>
    <row r="4835">
      <c r="A4835" s="122" t="s">
        <v>10141</v>
      </c>
      <c r="B4835" s="123">
        <v>1159508.0</v>
      </c>
      <c r="C4835" s="124" t="s">
        <v>10142</v>
      </c>
      <c r="D4835" s="125"/>
      <c r="E4835" s="126">
        <v>13.83</v>
      </c>
      <c r="F4835" s="127"/>
      <c r="G4835" s="127"/>
      <c r="H4835" s="127"/>
      <c r="I4835" s="128"/>
      <c r="K4835" s="138" t="s">
        <v>6255</v>
      </c>
      <c r="L4835" s="129">
        <v>2.7947802145E10</v>
      </c>
      <c r="M4835" s="99">
        <v>1.27</v>
      </c>
    </row>
    <row r="4836">
      <c r="A4836" s="122" t="s">
        <v>10143</v>
      </c>
      <c r="B4836" s="123">
        <v>1380936.0</v>
      </c>
      <c r="C4836" s="124" t="s">
        <v>10144</v>
      </c>
      <c r="D4836" s="125"/>
      <c r="E4836" s="126">
        <v>13.83</v>
      </c>
      <c r="F4836" s="127"/>
      <c r="G4836" s="127"/>
      <c r="H4836" s="127"/>
      <c r="I4836" s="128"/>
      <c r="K4836" s="105" t="str">
        <f>IFERROR(__xludf.DUMMYFUNCTION("if(A4836="""","""",substitute(SUBSTITUTE(index(importhtml(""http://finviz.com/quote.ashx?t=""&amp;A4836,""table"",10),7,2),""*"",""""),""-"",""0.00""))"),"Loading...")</f>
        <v>Loading...</v>
      </c>
      <c r="L4836" s="129">
        <v>1.601378457E9</v>
      </c>
      <c r="M4836" s="99">
        <v>0.6</v>
      </c>
    </row>
    <row r="4837">
      <c r="A4837" s="122" t="s">
        <v>10145</v>
      </c>
      <c r="B4837" s="123">
        <v>1795139.0</v>
      </c>
      <c r="C4837" s="124" t="s">
        <v>10146</v>
      </c>
      <c r="D4837" s="125"/>
      <c r="E4837" s="126">
        <v>13.83</v>
      </c>
      <c r="F4837" s="127"/>
      <c r="G4837" s="127"/>
      <c r="H4837" s="127"/>
      <c r="I4837" s="128"/>
      <c r="K4837" s="105" t="str">
        <f>IFERROR(__xludf.DUMMYFUNCTION("if(A4837="""","""",substitute(SUBSTITUTE(index(importhtml(""http://finviz.com/quote.ashx?t=""&amp;A4837,""table"",10),7,2),""*"",""""),""-"",""0.00""))"),"Loading...")</f>
        <v>Loading...</v>
      </c>
      <c r="L4837" s="129">
        <v>3.876669463E9</v>
      </c>
      <c r="M4837" s="99">
        <v>1.76</v>
      </c>
    </row>
    <row r="4838">
      <c r="A4838" s="122" t="s">
        <v>10147</v>
      </c>
      <c r="B4838" s="123">
        <v>1809587.0</v>
      </c>
      <c r="C4838" s="124" t="s">
        <v>10148</v>
      </c>
      <c r="D4838" s="125"/>
      <c r="E4838" s="126">
        <v>13.83</v>
      </c>
      <c r="F4838" s="127"/>
      <c r="G4838" s="127"/>
      <c r="H4838" s="127"/>
      <c r="I4838" s="128"/>
      <c r="K4838" s="105" t="str">
        <f>IFERROR(__xludf.DUMMYFUNCTION("if(A4838="""","""",substitute(SUBSTITUTE(index(importhtml(""http://finviz.com/quote.ashx?t=""&amp;A4838,""table"",10),7,2),""*"",""""),""-"",""0.00""))"),"Loading...")</f>
        <v>Loading...</v>
      </c>
      <c r="L4838" s="129">
        <v>1.7015187206E10</v>
      </c>
      <c r="M4838" s="99">
        <v>-0.74</v>
      </c>
    </row>
    <row r="4839">
      <c r="A4839" s="122" t="s">
        <v>10149</v>
      </c>
      <c r="B4839" s="123">
        <v>1458412.0</v>
      </c>
      <c r="C4839" s="124" t="s">
        <v>10150</v>
      </c>
      <c r="D4839" s="125"/>
      <c r="E4839" s="126">
        <v>13.85</v>
      </c>
      <c r="F4839" s="127"/>
      <c r="G4839" s="127"/>
      <c r="H4839" s="127"/>
      <c r="I4839" s="128"/>
      <c r="K4839" s="55" t="s">
        <v>1034</v>
      </c>
      <c r="L4839" s="129">
        <v>6.83301956E8</v>
      </c>
      <c r="M4839" s="99">
        <v>1.02</v>
      </c>
    </row>
    <row r="4840">
      <c r="A4840" s="122" t="s">
        <v>10151</v>
      </c>
      <c r="B4840" s="123">
        <v>1270131.0</v>
      </c>
      <c r="C4840" s="124" t="s">
        <v>10152</v>
      </c>
      <c r="D4840" s="125"/>
      <c r="E4840" s="126">
        <v>13.86</v>
      </c>
      <c r="F4840" s="127"/>
      <c r="G4840" s="127"/>
      <c r="H4840" s="127"/>
      <c r="I4840" s="128"/>
      <c r="K4840" s="105" t="str">
        <f>IFERROR(__xludf.DUMMYFUNCTION("if(A4840="""","""",substitute(SUBSTITUTE(index(importhtml(""http://finviz.com/quote.ashx?t=""&amp;A4840,""table"",10),7,2),""*"",""""),""-"",""0.00""))"),"Loading...")</f>
        <v>Loading...</v>
      </c>
      <c r="L4840" s="129">
        <v>2.37529763E8</v>
      </c>
      <c r="M4840" s="99">
        <v>1.39</v>
      </c>
    </row>
    <row r="4841">
      <c r="A4841" s="122" t="s">
        <v>10153</v>
      </c>
      <c r="B4841" s="123">
        <v>1741530.0</v>
      </c>
      <c r="C4841" s="124" t="s">
        <v>10154</v>
      </c>
      <c r="D4841" s="125"/>
      <c r="E4841" s="126">
        <v>13.87</v>
      </c>
      <c r="F4841" s="127"/>
      <c r="G4841" s="127"/>
      <c r="H4841" s="127"/>
      <c r="I4841" s="128"/>
      <c r="K4841" s="105" t="str">
        <f>IFERROR(__xludf.DUMMYFUNCTION("if(A4841="""","""",substitute(SUBSTITUTE(index(importhtml(""http://finviz.com/quote.ashx?t=""&amp;A4841,""table"",10),7,2),""*"",""""),""-"",""0.00""))"),"Loading...")</f>
        <v>Loading...</v>
      </c>
      <c r="L4841" s="129">
        <v>2.239516757E9</v>
      </c>
      <c r="M4841" s="99">
        <v>0.61</v>
      </c>
    </row>
    <row r="4842">
      <c r="A4842" s="122" t="s">
        <v>10155</v>
      </c>
      <c r="B4842" s="123">
        <v>1471824.0</v>
      </c>
      <c r="C4842" s="124" t="s">
        <v>10156</v>
      </c>
      <c r="D4842" s="125"/>
      <c r="E4842" s="126">
        <v>13.88</v>
      </c>
      <c r="F4842" s="127"/>
      <c r="G4842" s="127"/>
      <c r="H4842" s="127"/>
      <c r="I4842" s="128"/>
      <c r="K4842" s="105" t="str">
        <f>IFERROR(__xludf.DUMMYFUNCTION("if(A4842="""","""",substitute(SUBSTITUTE(index(importhtml(""http://finviz.com/quote.ashx?t=""&amp;A4842,""table"",10),7,2),""*"",""""),""-"",""0.00""))"),"Loading...")</f>
        <v>Loading...</v>
      </c>
      <c r="L4842" s="129" t="e">
        <v>#N/A</v>
      </c>
      <c r="M4842" s="99" t="str">
        <f>IFERROR(__xludf.DUMMYFUNCTION("GOOGLEFINANCE(A4842,""beta"")"),"#N/A")</f>
        <v>#N/A</v>
      </c>
    </row>
    <row r="4843">
      <c r="A4843" s="122" t="s">
        <v>10157</v>
      </c>
      <c r="B4843" s="123">
        <v>1501078.0</v>
      </c>
      <c r="C4843" s="124" t="s">
        <v>10158</v>
      </c>
      <c r="D4843" s="125"/>
      <c r="E4843" s="126">
        <v>13.89</v>
      </c>
      <c r="F4843" s="127"/>
      <c r="G4843" s="127"/>
      <c r="H4843" s="127"/>
      <c r="I4843" s="128"/>
      <c r="K4843" s="105" t="str">
        <f>IFERROR(__xludf.DUMMYFUNCTION("if(A4843="""","""",substitute(SUBSTITUTE(index(importhtml(""http://finviz.com/quote.ashx?t=""&amp;A4843,""table"",10),7,2),""*"",""""),""-"",""0.00""))"),"#N/A")</f>
        <v>#N/A</v>
      </c>
      <c r="L4843" s="129">
        <v>9.1766342E7</v>
      </c>
      <c r="M4843" s="99">
        <v>0.37</v>
      </c>
    </row>
    <row r="4844">
      <c r="A4844" s="122" t="s">
        <v>10159</v>
      </c>
      <c r="B4844" s="123">
        <v>1810546.0</v>
      </c>
      <c r="C4844" s="124" t="s">
        <v>10160</v>
      </c>
      <c r="D4844" s="125"/>
      <c r="E4844" s="126">
        <v>13.9</v>
      </c>
      <c r="F4844" s="127"/>
      <c r="G4844" s="127"/>
      <c r="H4844" s="127"/>
      <c r="I4844" s="128"/>
      <c r="K4844" s="55" t="s">
        <v>8468</v>
      </c>
      <c r="L4844" s="129">
        <v>2.452335232E9</v>
      </c>
      <c r="M4844" s="99">
        <v>0.89</v>
      </c>
    </row>
    <row r="4845">
      <c r="A4845" s="122" t="s">
        <v>10161</v>
      </c>
      <c r="B4845" s="123">
        <v>1360565.0</v>
      </c>
      <c r="C4845" s="124" t="s">
        <v>10162</v>
      </c>
      <c r="D4845" s="125"/>
      <c r="E4845" s="126">
        <v>13.9</v>
      </c>
      <c r="F4845" s="127"/>
      <c r="G4845" s="127"/>
      <c r="H4845" s="127"/>
      <c r="I4845" s="128"/>
      <c r="K4845" s="105" t="str">
        <f>IFERROR(__xludf.DUMMYFUNCTION("if(A4845="""","""",substitute(SUBSTITUTE(index(importhtml(""http://finviz.com/quote.ashx?t=""&amp;A4845,""table"",10),7,2),""*"",""""),""-"",""0.00""))"),"Loading...")</f>
        <v>Loading...</v>
      </c>
      <c r="L4845" s="129">
        <v>7.7045821E7</v>
      </c>
      <c r="M4845" s="99">
        <v>0.66</v>
      </c>
    </row>
    <row r="4846">
      <c r="A4846" s="122" t="s">
        <v>10163</v>
      </c>
      <c r="B4846" s="123">
        <v>93676.0</v>
      </c>
      <c r="C4846" s="124" t="s">
        <v>10164</v>
      </c>
      <c r="D4846" s="125"/>
      <c r="E4846" s="126">
        <v>13.9</v>
      </c>
      <c r="F4846" s="127"/>
      <c r="G4846" s="127"/>
      <c r="H4846" s="127"/>
      <c r="I4846" s="128"/>
      <c r="K4846" s="105" t="str">
        <f>IFERROR(__xludf.DUMMYFUNCTION("if(A4846="""","""",substitute(SUBSTITUTE(index(importhtml(""http://finviz.com/quote.ashx?t=""&amp;A4846,""table"",10),7,2),""*"",""""),""-"",""0.00""))"),"Loading...")</f>
        <v>Loading...</v>
      </c>
      <c r="L4846" s="129">
        <v>1.03809075E8</v>
      </c>
      <c r="M4846" s="99">
        <v>0.5</v>
      </c>
    </row>
    <row r="4847">
      <c r="A4847" s="122" t="s">
        <v>10165</v>
      </c>
      <c r="B4847" s="123">
        <v>1350593.0</v>
      </c>
      <c r="C4847" s="124" t="s">
        <v>10166</v>
      </c>
      <c r="D4847" s="125"/>
      <c r="E4847" s="126">
        <v>13.91</v>
      </c>
      <c r="F4847" s="127"/>
      <c r="G4847" s="127"/>
      <c r="H4847" s="127"/>
      <c r="I4847" s="128"/>
      <c r="K4847" s="105" t="str">
        <f>IFERROR(__xludf.DUMMYFUNCTION("if(A4847="""","""",substitute(SUBSTITUTE(index(importhtml(""http://finviz.com/quote.ashx?t=""&amp;A4847,""table"",10),7,2),""*"",""""),""-"",""0.00""))"),"Loading...")</f>
        <v>Loading...</v>
      </c>
      <c r="L4847" s="129">
        <v>2.171790532E9</v>
      </c>
      <c r="M4847" s="99">
        <v>1.33</v>
      </c>
    </row>
    <row r="4848">
      <c r="A4848" s="122" t="s">
        <v>10167</v>
      </c>
      <c r="B4848" s="123">
        <v>312070.0</v>
      </c>
      <c r="C4848" s="124" t="s">
        <v>10168</v>
      </c>
      <c r="D4848" s="125"/>
      <c r="E4848" s="126">
        <v>13.91</v>
      </c>
      <c r="F4848" s="127"/>
      <c r="G4848" s="127"/>
      <c r="H4848" s="127"/>
      <c r="I4848" s="128"/>
      <c r="K4848" s="105" t="str">
        <f>IFERROR(__xludf.DUMMYFUNCTION("if(A4848="""","""",substitute(SUBSTITUTE(index(importhtml(""http://finviz.com/quote.ashx?t=""&amp;A4848,""table"",10),7,2),""*"",""""),""-"",""0.00""))"),"Loading...")</f>
        <v>Loading...</v>
      </c>
      <c r="L4848" s="129">
        <v>2.8384401496E10</v>
      </c>
      <c r="M4848" s="99" t="str">
        <f>IFERROR(__xludf.DUMMYFUNCTION("GOOGLEFINANCE(A4848,""beta"")"),"#N/A")</f>
        <v>#N/A</v>
      </c>
    </row>
    <row r="4849">
      <c r="A4849" s="122" t="s">
        <v>10169</v>
      </c>
      <c r="B4849" s="123">
        <v>1233681.0</v>
      </c>
      <c r="C4849" s="124" t="s">
        <v>10170</v>
      </c>
      <c r="D4849" s="125"/>
      <c r="E4849" s="126">
        <v>13.92</v>
      </c>
      <c r="F4849" s="127"/>
      <c r="G4849" s="127"/>
      <c r="H4849" s="127"/>
      <c r="I4849" s="128"/>
      <c r="K4849" s="55" t="s">
        <v>9486</v>
      </c>
      <c r="L4849" s="129">
        <v>4.96923401E8</v>
      </c>
      <c r="M4849" s="99">
        <v>0.72</v>
      </c>
    </row>
    <row r="4850">
      <c r="A4850" s="122" t="s">
        <v>10171</v>
      </c>
      <c r="B4850" s="123">
        <v>36966.0</v>
      </c>
      <c r="C4850" s="124" t="s">
        <v>10172</v>
      </c>
      <c r="D4850" s="125"/>
      <c r="E4850" s="126">
        <v>13.93</v>
      </c>
      <c r="F4850" s="127"/>
      <c r="G4850" s="127"/>
      <c r="H4850" s="127"/>
      <c r="I4850" s="128"/>
      <c r="K4850" s="55" t="s">
        <v>6229</v>
      </c>
      <c r="L4850" s="129">
        <v>7.783657912E9</v>
      </c>
      <c r="M4850" s="99">
        <v>0.95</v>
      </c>
    </row>
    <row r="4851">
      <c r="A4851" s="122" t="s">
        <v>10173</v>
      </c>
      <c r="B4851" s="123">
        <v>1521404.0</v>
      </c>
      <c r="C4851" s="124" t="s">
        <v>10174</v>
      </c>
      <c r="D4851" s="125"/>
      <c r="E4851" s="126">
        <v>13.94</v>
      </c>
      <c r="F4851" s="127"/>
      <c r="G4851" s="127"/>
      <c r="H4851" s="127"/>
      <c r="I4851" s="128"/>
      <c r="K4851" s="55" t="s">
        <v>9402</v>
      </c>
      <c r="L4851" s="129" t="e">
        <v>#N/A</v>
      </c>
      <c r="M4851" s="99">
        <v>0.87</v>
      </c>
    </row>
    <row r="4852">
      <c r="A4852" s="122" t="s">
        <v>10175</v>
      </c>
      <c r="B4852" s="123">
        <v>1556727.0</v>
      </c>
      <c r="C4852" s="124" t="s">
        <v>10176</v>
      </c>
      <c r="D4852" s="125"/>
      <c r="E4852" s="126">
        <v>13.94</v>
      </c>
      <c r="F4852" s="127"/>
      <c r="G4852" s="127"/>
      <c r="H4852" s="127"/>
      <c r="I4852" s="128"/>
      <c r="K4852" s="105" t="str">
        <f>IFERROR(__xludf.DUMMYFUNCTION("if(A4852="""","""",substitute(SUBSTITUTE(index(importhtml(""http://finviz.com/quote.ashx?t=""&amp;A4852,""table"",10),7,2),""*"",""""),""-"",""0.00""))"),"Loading...")</f>
        <v>Loading...</v>
      </c>
      <c r="L4852" s="129">
        <v>1.33989519E8</v>
      </c>
      <c r="M4852" s="99">
        <v>0.76</v>
      </c>
    </row>
    <row r="4853">
      <c r="A4853" s="122" t="s">
        <v>10177</v>
      </c>
      <c r="B4853" s="123">
        <v>1786108.0</v>
      </c>
      <c r="C4853" s="124" t="s">
        <v>10178</v>
      </c>
      <c r="D4853" s="125"/>
      <c r="E4853" s="126">
        <v>13.94</v>
      </c>
      <c r="F4853" s="127"/>
      <c r="G4853" s="127"/>
      <c r="H4853" s="127"/>
      <c r="I4853" s="128"/>
      <c r="K4853" s="105" t="str">
        <f>IFERROR(__xludf.DUMMYFUNCTION("if(A4853="""","""",substitute(SUBSTITUTE(index(importhtml(""http://finviz.com/quote.ashx?t=""&amp;A4853,""table"",10),7,2),""*"",""""),""-"",""0.00""))"),"Loading...")</f>
        <v>Loading...</v>
      </c>
      <c r="L4853" s="129">
        <v>6.08144191E8</v>
      </c>
      <c r="M4853" s="99">
        <v>0.48</v>
      </c>
    </row>
    <row r="4854">
      <c r="A4854" s="122" t="s">
        <v>10179</v>
      </c>
      <c r="B4854" s="123">
        <v>1450445.0</v>
      </c>
      <c r="C4854" s="124" t="s">
        <v>10180</v>
      </c>
      <c r="D4854" s="125"/>
      <c r="E4854" s="126">
        <v>13.95</v>
      </c>
      <c r="F4854" s="127"/>
      <c r="G4854" s="127"/>
      <c r="H4854" s="127"/>
      <c r="I4854" s="128"/>
      <c r="K4854" s="105" t="str">
        <f>IFERROR(__xludf.DUMMYFUNCTION("if(A4854="""","""",substitute(SUBSTITUTE(index(importhtml(""http://finviz.com/quote.ashx?t=""&amp;A4854,""table"",10),7,2),""*"",""""),""-"",""0.00""))"),"Loading...")</f>
        <v>Loading...</v>
      </c>
      <c r="L4854" s="129">
        <v>2.5042105E8</v>
      </c>
      <c r="M4854" s="99">
        <v>0.2</v>
      </c>
    </row>
    <row r="4855">
      <c r="A4855" s="122" t="s">
        <v>10181</v>
      </c>
      <c r="B4855" s="123">
        <v>1464423.0</v>
      </c>
      <c r="C4855" s="124" t="s">
        <v>10182</v>
      </c>
      <c r="D4855" s="125"/>
      <c r="E4855" s="126">
        <v>13.96</v>
      </c>
      <c r="F4855" s="127"/>
      <c r="G4855" s="127"/>
      <c r="H4855" s="127"/>
      <c r="I4855" s="128"/>
      <c r="K4855" s="105" t="str">
        <f>IFERROR(__xludf.DUMMYFUNCTION("if(A4855="""","""",substitute(SUBSTITUTE(index(importhtml(""http://finviz.com/quote.ashx?t=""&amp;A4855,""table"",10),7,2),""*"",""""),""-"",""0.00""))"),"Loading...")</f>
        <v>Loading...</v>
      </c>
      <c r="L4855" s="129">
        <v>1.209271462E9</v>
      </c>
      <c r="M4855" s="99">
        <v>1.57</v>
      </c>
    </row>
    <row r="4856">
      <c r="A4856" s="122" t="s">
        <v>10183</v>
      </c>
      <c r="B4856" s="123">
        <v>1383058.0</v>
      </c>
      <c r="C4856" s="124" t="s">
        <v>10184</v>
      </c>
      <c r="D4856" s="125"/>
      <c r="E4856" s="126">
        <v>13.97</v>
      </c>
      <c r="F4856" s="127"/>
      <c r="G4856" s="127"/>
      <c r="H4856" s="127"/>
      <c r="I4856" s="128"/>
      <c r="K4856" s="55" t="s">
        <v>9445</v>
      </c>
      <c r="L4856" s="129" t="e">
        <v>#N/A</v>
      </c>
      <c r="M4856" s="99" t="str">
        <f>IFERROR(__xludf.DUMMYFUNCTION("GOOGLEFINANCE(A4856,""beta"")"),"#N/A")</f>
        <v>#N/A</v>
      </c>
    </row>
    <row r="4857">
      <c r="A4857" s="122" t="s">
        <v>10185</v>
      </c>
      <c r="B4857" s="123">
        <v>1860742.0</v>
      </c>
      <c r="C4857" s="124" t="s">
        <v>10186</v>
      </c>
      <c r="D4857" s="125"/>
      <c r="E4857" s="126">
        <v>13.98</v>
      </c>
      <c r="F4857" s="127"/>
      <c r="G4857" s="127"/>
      <c r="H4857" s="127"/>
      <c r="I4857" s="128"/>
      <c r="K4857" s="105" t="str">
        <f>IFERROR(__xludf.DUMMYFUNCTION("if(A4857="""","""",substitute(SUBSTITUTE(index(importhtml(""http://finviz.com/quote.ashx?t=""&amp;A4857,""table"",10),7,2),""*"",""""),""-"",""0.00""))"),"Loading...")</f>
        <v>Loading...</v>
      </c>
      <c r="L4857" s="129">
        <v>4.905773365E9</v>
      </c>
      <c r="M4857" s="99">
        <f>IFERROR(__xludf.DUMMYFUNCTION("GOOGLEFINANCE(A4857,""beta"")"),0.63)</f>
        <v>0.63</v>
      </c>
    </row>
    <row r="4858">
      <c r="A4858" s="122" t="s">
        <v>10187</v>
      </c>
      <c r="B4858" s="123">
        <v>42582.0</v>
      </c>
      <c r="C4858" s="124" t="s">
        <v>10188</v>
      </c>
      <c r="D4858" s="125"/>
      <c r="E4858" s="126">
        <v>14.0</v>
      </c>
      <c r="F4858" s="127"/>
      <c r="G4858" s="127"/>
      <c r="H4858" s="127"/>
      <c r="I4858" s="128"/>
      <c r="K4858" s="55" t="s">
        <v>1034</v>
      </c>
      <c r="L4858" s="129">
        <v>3.9696776E9</v>
      </c>
      <c r="M4858" s="99">
        <v>1.87</v>
      </c>
    </row>
    <row r="4859">
      <c r="A4859" s="122" t="s">
        <v>10189</v>
      </c>
      <c r="B4859" s="123">
        <v>1842827.0</v>
      </c>
      <c r="C4859" s="124" t="s">
        <v>10190</v>
      </c>
      <c r="D4859" s="125"/>
      <c r="E4859" s="126">
        <v>14.0</v>
      </c>
      <c r="F4859" s="127"/>
      <c r="G4859" s="127"/>
      <c r="H4859" s="127"/>
      <c r="I4859" s="128"/>
      <c r="K4859" s="138" t="s">
        <v>3453</v>
      </c>
      <c r="L4859" s="129">
        <v>6.1732356E9</v>
      </c>
      <c r="M4859" s="99">
        <f>IFERROR(__xludf.DUMMYFUNCTION("GOOGLEFINANCE(A4859,""beta"")"),0.43)</f>
        <v>0.43</v>
      </c>
    </row>
    <row r="4860">
      <c r="A4860" s="122" t="s">
        <v>10191</v>
      </c>
      <c r="B4860" s="123">
        <v>46207.0</v>
      </c>
      <c r="C4860" s="124" t="s">
        <v>10192</v>
      </c>
      <c r="D4860" s="125"/>
      <c r="E4860" s="126">
        <v>14.0</v>
      </c>
      <c r="F4860" s="127"/>
      <c r="G4860" s="127"/>
      <c r="H4860" s="127"/>
      <c r="I4860" s="128"/>
      <c r="K4860" s="105" t="str">
        <f>IFERROR(__xludf.DUMMYFUNCTION("if(A4860="""","""",substitute(SUBSTITUTE(index(importhtml(""http://finviz.com/quote.ashx?t=""&amp;A4860,""table"",10),7,2),""*"",""""),""-"",""0.00""))"),"Loading...")</f>
        <v>Loading...</v>
      </c>
      <c r="L4860" s="129">
        <v>2822500.0</v>
      </c>
      <c r="M4860" s="99">
        <v>0.61</v>
      </c>
    </row>
    <row r="4861">
      <c r="A4861" s="122" t="s">
        <v>10193</v>
      </c>
      <c r="B4861" s="123">
        <v>949961.0</v>
      </c>
      <c r="C4861" s="124" t="s">
        <v>10194</v>
      </c>
      <c r="D4861" s="125"/>
      <c r="E4861" s="126">
        <v>14.0</v>
      </c>
      <c r="F4861" s="127"/>
      <c r="G4861" s="127"/>
      <c r="H4861" s="127"/>
      <c r="I4861" s="128"/>
      <c r="K4861" s="105" t="str">
        <f>IFERROR(__xludf.DUMMYFUNCTION("if(A4861="""","""",substitute(SUBSTITUTE(index(importhtml(""http://finviz.com/quote.ashx?t=""&amp;A4861,""table"",10),7,2),""*"",""""),""-"",""0.00""))"),"Loading...")</f>
        <v>Loading...</v>
      </c>
      <c r="L4861" s="129">
        <v>5.8352123E7</v>
      </c>
      <c r="M4861" s="99">
        <v>0.15</v>
      </c>
    </row>
    <row r="4862">
      <c r="A4862" s="122" t="s">
        <v>10195</v>
      </c>
      <c r="B4862" s="123">
        <v>1722964.0</v>
      </c>
      <c r="C4862" s="124" t="s">
        <v>10196</v>
      </c>
      <c r="D4862" s="125"/>
      <c r="E4862" s="126">
        <v>14.0</v>
      </c>
      <c r="F4862" s="127"/>
      <c r="G4862" s="127"/>
      <c r="H4862" s="127"/>
      <c r="I4862" s="128"/>
      <c r="K4862" s="105" t="str">
        <f>IFERROR(__xludf.DUMMYFUNCTION("if(A4862="""","""",substitute(SUBSTITUTE(index(importhtml(""http://finviz.com/quote.ashx?t=""&amp;A4862,""table"",10),7,2),""*"",""""),""-"",""0.00""))"),"Loading...")</f>
        <v>Loading...</v>
      </c>
      <c r="L4862" s="129">
        <v>6.1070254E8</v>
      </c>
      <c r="M4862" s="99">
        <v>0.69</v>
      </c>
    </row>
    <row r="4863">
      <c r="A4863" s="122" t="s">
        <v>10197</v>
      </c>
      <c r="B4863" s="123">
        <v>1190935.0</v>
      </c>
      <c r="C4863" s="124" t="s">
        <v>10198</v>
      </c>
      <c r="D4863" s="125"/>
      <c r="E4863" s="126">
        <v>14.0</v>
      </c>
      <c r="F4863" s="127"/>
      <c r="G4863" s="127"/>
      <c r="H4863" s="127"/>
      <c r="I4863" s="128"/>
      <c r="K4863" s="105" t="str">
        <f>IFERROR(__xludf.DUMMYFUNCTION("if(A4863="""","""",substitute(SUBSTITUTE(index(importhtml(""http://finviz.com/quote.ashx?t=""&amp;A4863,""table"",10),7,2),""*"",""""),""-"",""0.00""))"),"Loading...")</f>
        <v>Loading...</v>
      </c>
      <c r="L4863" s="129">
        <v>2.0036212E9</v>
      </c>
      <c r="M4863" s="99">
        <v>0.95</v>
      </c>
    </row>
    <row r="4864">
      <c r="A4864" s="122" t="s">
        <v>10199</v>
      </c>
      <c r="B4864" s="123">
        <v>1530804.0</v>
      </c>
      <c r="C4864" s="124" t="s">
        <v>10200</v>
      </c>
      <c r="D4864" s="125"/>
      <c r="E4864" s="126">
        <v>14.0</v>
      </c>
      <c r="F4864" s="127"/>
      <c r="G4864" s="127"/>
      <c r="H4864" s="127"/>
      <c r="I4864" s="128"/>
      <c r="K4864" s="105" t="str">
        <f>IFERROR(__xludf.DUMMYFUNCTION("if(A4864="""","""",substitute(SUBSTITUTE(index(importhtml(""http://finviz.com/quote.ashx?t=""&amp;A4864,""table"",10),7,2),""*"",""""),""-"",""0.00""))"),"Loading...")</f>
        <v>Loading...</v>
      </c>
      <c r="L4864" s="129">
        <v>2.1951118E9</v>
      </c>
      <c r="M4864" s="99">
        <v>1.97</v>
      </c>
    </row>
    <row r="4865">
      <c r="A4865" s="122" t="s">
        <v>10201</v>
      </c>
      <c r="B4865" s="123">
        <v>900278.0</v>
      </c>
      <c r="C4865" s="124" t="s">
        <v>10202</v>
      </c>
      <c r="D4865" s="125"/>
      <c r="E4865" s="126">
        <v>14.0</v>
      </c>
      <c r="F4865" s="127"/>
      <c r="G4865" s="127"/>
      <c r="H4865" s="127"/>
      <c r="I4865" s="128"/>
      <c r="K4865" s="105" t="str">
        <f>IFERROR(__xludf.DUMMYFUNCTION("if(A4865="""","""",substitute(SUBSTITUTE(index(importhtml(""http://finviz.com/quote.ashx?t=""&amp;A4865,""table"",10),7,2),""*"",""""),""-"",""0.00""))"),"Loading...")</f>
        <v>Loading...</v>
      </c>
      <c r="L4865" s="129">
        <v>2.282719374E11</v>
      </c>
      <c r="M4865" s="99">
        <v>1.07</v>
      </c>
    </row>
    <row r="4866">
      <c r="A4866" s="122" t="s">
        <v>10203</v>
      </c>
      <c r="B4866" s="123">
        <v>1172222.0</v>
      </c>
      <c r="C4866" s="124" t="s">
        <v>10204</v>
      </c>
      <c r="D4866" s="125"/>
      <c r="E4866" s="126">
        <v>14.01</v>
      </c>
      <c r="F4866" s="127"/>
      <c r="G4866" s="127"/>
      <c r="H4866" s="127"/>
      <c r="I4866" s="128"/>
      <c r="K4866" s="55" t="s">
        <v>1034</v>
      </c>
      <c r="L4866" s="129">
        <v>7.26059295E8</v>
      </c>
      <c r="M4866" s="99">
        <v>2.41</v>
      </c>
    </row>
    <row r="4867">
      <c r="A4867" s="122" t="s">
        <v>10205</v>
      </c>
      <c r="B4867" s="123">
        <v>1810523.0</v>
      </c>
      <c r="C4867" s="124" t="s">
        <v>10206</v>
      </c>
      <c r="D4867" s="125"/>
      <c r="E4867" s="126">
        <v>14.02</v>
      </c>
      <c r="F4867" s="127"/>
      <c r="G4867" s="127"/>
      <c r="H4867" s="127"/>
      <c r="I4867" s="128"/>
      <c r="K4867" s="105" t="str">
        <f>IFERROR(__xludf.DUMMYFUNCTION("if(A4867="""","""",substitute(SUBSTITUTE(index(importhtml(""http://finviz.com/quote.ashx?t=""&amp;A4867,""table"",10),7,2),""*"",""""),""-"",""0.00""))"),"Loading...")</f>
        <v>Loading...</v>
      </c>
      <c r="L4867" s="129">
        <v>5.15557196E8</v>
      </c>
      <c r="M4867" s="99">
        <v>0.64</v>
      </c>
    </row>
    <row r="4868">
      <c r="A4868" s="122" t="s">
        <v>10207</v>
      </c>
      <c r="B4868" s="123">
        <v>1490281.0</v>
      </c>
      <c r="C4868" s="124" t="s">
        <v>10208</v>
      </c>
      <c r="D4868" s="125"/>
      <c r="E4868" s="126">
        <v>14.03</v>
      </c>
      <c r="F4868" s="127"/>
      <c r="G4868" s="127"/>
      <c r="H4868" s="127"/>
      <c r="I4868" s="128"/>
      <c r="K4868" s="105" t="str">
        <f>IFERROR(__xludf.DUMMYFUNCTION("if(A4868="""","""",substitute(SUBSTITUTE(index(importhtml(""http://finviz.com/quote.ashx?t=""&amp;A4868,""table"",10),7,2),""*"",""""),""-"",""0.00""))"),"Loading...")</f>
        <v>Loading...</v>
      </c>
      <c r="L4868" s="129">
        <v>4.46743502E8</v>
      </c>
      <c r="M4868" s="99">
        <v>1.6</v>
      </c>
    </row>
    <row r="4869">
      <c r="A4869" s="122" t="s">
        <v>10209</v>
      </c>
      <c r="B4869" s="123">
        <v>1630627.0</v>
      </c>
      <c r="C4869" s="124" t="s">
        <v>10210</v>
      </c>
      <c r="D4869" s="125"/>
      <c r="E4869" s="126">
        <v>14.03</v>
      </c>
      <c r="F4869" s="127"/>
      <c r="G4869" s="127"/>
      <c r="H4869" s="127"/>
      <c r="I4869" s="128"/>
      <c r="K4869" s="105" t="str">
        <f>IFERROR(__xludf.DUMMYFUNCTION("if(A4869="""","""",substitute(SUBSTITUTE(index(importhtml(""http://finviz.com/quote.ashx?t=""&amp;A4869,""table"",10),7,2),""*"",""""),""-"",""0.00""))"),"Loading...")</f>
        <v>Loading...</v>
      </c>
      <c r="L4869" s="129">
        <v>8.65312299E8</v>
      </c>
      <c r="M4869" s="99">
        <f>IFERROR(__xludf.DUMMYFUNCTION("GOOGLEFINANCE(A4869,""beta"")"),0.68)</f>
        <v>0.68</v>
      </c>
    </row>
    <row r="4870">
      <c r="A4870" s="122" t="s">
        <v>10211</v>
      </c>
      <c r="B4870" s="123">
        <v>1759774.0</v>
      </c>
      <c r="C4870" s="124" t="s">
        <v>10212</v>
      </c>
      <c r="D4870" s="125"/>
      <c r="E4870" s="126">
        <v>14.06</v>
      </c>
      <c r="F4870" s="127"/>
      <c r="G4870" s="127"/>
      <c r="H4870" s="127"/>
      <c r="I4870" s="128"/>
      <c r="K4870" s="105" t="str">
        <f>IFERROR(__xludf.DUMMYFUNCTION("if(A4870="""","""",substitute(SUBSTITUTE(index(importhtml(""http://finviz.com/quote.ashx?t=""&amp;A4870,""table"",10),7,2),""*"",""""),""-"",""0.00""))"),"Loading...")</f>
        <v>Loading...</v>
      </c>
      <c r="L4870" s="129">
        <v>3.05305738E8</v>
      </c>
      <c r="M4870" s="99">
        <v>1.73</v>
      </c>
    </row>
    <row r="4871">
      <c r="A4871" s="122" t="s">
        <v>10213</v>
      </c>
      <c r="B4871" s="123">
        <v>1321741.0</v>
      </c>
      <c r="C4871" s="124" t="s">
        <v>10214</v>
      </c>
      <c r="D4871" s="125"/>
      <c r="E4871" s="126">
        <v>14.08</v>
      </c>
      <c r="F4871" s="127"/>
      <c r="G4871" s="127"/>
      <c r="H4871" s="127"/>
      <c r="I4871" s="128"/>
      <c r="K4871" s="105" t="str">
        <f>IFERROR(__xludf.DUMMYFUNCTION("if(A4871="""","""",substitute(SUBSTITUTE(index(importhtml(""http://finviz.com/quote.ashx?t=""&amp;A4871,""table"",10),7,2),""*"",""""),""-"",""0.00""))"),"Loading...")</f>
        <v>Loading...</v>
      </c>
      <c r="L4871" s="129">
        <v>4.77251031E8</v>
      </c>
      <c r="M4871" s="99">
        <v>1.38</v>
      </c>
    </row>
    <row r="4872">
      <c r="A4872" s="122" t="s">
        <v>10215</v>
      </c>
      <c r="B4872" s="123">
        <v>1385280.0</v>
      </c>
      <c r="C4872" s="124" t="s">
        <v>10216</v>
      </c>
      <c r="D4872" s="125"/>
      <c r="E4872" s="126">
        <v>14.1</v>
      </c>
      <c r="F4872" s="127"/>
      <c r="G4872" s="127"/>
      <c r="H4872" s="127"/>
      <c r="I4872" s="128"/>
      <c r="K4872" s="55" t="s">
        <v>1034</v>
      </c>
      <c r="L4872" s="129">
        <v>1.714743346E9</v>
      </c>
      <c r="M4872" s="99">
        <v>2.22</v>
      </c>
    </row>
    <row r="4873">
      <c r="A4873" s="122" t="s">
        <v>10217</v>
      </c>
      <c r="B4873" s="123">
        <v>1662991.0</v>
      </c>
      <c r="C4873" s="124" t="s">
        <v>10218</v>
      </c>
      <c r="D4873" s="125"/>
      <c r="E4873" s="126">
        <v>14.1</v>
      </c>
      <c r="F4873" s="127"/>
      <c r="G4873" s="127"/>
      <c r="H4873" s="127"/>
      <c r="I4873" s="128"/>
      <c r="K4873" s="105" t="str">
        <f>IFERROR(__xludf.DUMMYFUNCTION("if(A4873="""","""",substitute(SUBSTITUTE(index(importhtml(""http://finviz.com/quote.ashx?t=""&amp;A4873,""table"",10),7,2),""*"",""""),""-"",""0.00""))"),"Loading...")</f>
        <v>Loading...</v>
      </c>
      <c r="L4873" s="129">
        <v>2.41477633E8</v>
      </c>
      <c r="M4873" s="99">
        <v>16.0</v>
      </c>
    </row>
    <row r="4874">
      <c r="A4874" s="122" t="s">
        <v>10219</v>
      </c>
      <c r="B4874" s="123">
        <v>1645113.0</v>
      </c>
      <c r="C4874" s="124" t="s">
        <v>10220</v>
      </c>
      <c r="D4874" s="125"/>
      <c r="E4874" s="126">
        <v>14.1</v>
      </c>
      <c r="F4874" s="127"/>
      <c r="G4874" s="127"/>
      <c r="H4874" s="127"/>
      <c r="I4874" s="128"/>
      <c r="K4874" s="105" t="str">
        <f>IFERROR(__xludf.DUMMYFUNCTION("if(A4874="""","""",substitute(SUBSTITUTE(index(importhtml(""http://finviz.com/quote.ashx?t=""&amp;A4874,""table"",10),7,2),""*"",""""),""-"",""0.00""))"),"Loading...")</f>
        <v>Loading...</v>
      </c>
      <c r="L4874" s="129">
        <v>1.50674155E9</v>
      </c>
      <c r="M4874" s="99">
        <v>0.4</v>
      </c>
    </row>
    <row r="4875">
      <c r="A4875" s="122" t="s">
        <v>10221</v>
      </c>
      <c r="B4875" s="123">
        <v>884624.0</v>
      </c>
      <c r="C4875" s="124" t="s">
        <v>10222</v>
      </c>
      <c r="D4875" s="125"/>
      <c r="E4875" s="126">
        <v>14.11</v>
      </c>
      <c r="F4875" s="127"/>
      <c r="G4875" s="127"/>
      <c r="H4875" s="127"/>
      <c r="I4875" s="128"/>
      <c r="K4875" s="105" t="str">
        <f>IFERROR(__xludf.DUMMYFUNCTION("if(A4875="""","""",substitute(SUBSTITUTE(index(importhtml(""http://finviz.com/quote.ashx?t=""&amp;A4875,""table"",10),7,2),""*"",""""),""-"",""0.00""))"),"Loading...")</f>
        <v>Loading...</v>
      </c>
      <c r="L4875" s="129">
        <v>5.18635613E8</v>
      </c>
      <c r="M4875" s="99">
        <v>1.07</v>
      </c>
    </row>
    <row r="4876">
      <c r="A4876" s="122" t="s">
        <v>10223</v>
      </c>
      <c r="B4876" s="123">
        <v>1607939.0</v>
      </c>
      <c r="C4876" s="124" t="s">
        <v>10224</v>
      </c>
      <c r="D4876" s="125"/>
      <c r="E4876" s="126">
        <v>14.12</v>
      </c>
      <c r="F4876" s="127"/>
      <c r="G4876" s="127"/>
      <c r="H4876" s="127"/>
      <c r="I4876" s="128"/>
      <c r="K4876" s="105" t="str">
        <f>IFERROR(__xludf.DUMMYFUNCTION("if(A4876="""","""",substitute(SUBSTITUTE(index(importhtml(""http://finviz.com/quote.ashx?t=""&amp;A4876,""table"",10),7,2),""*"",""""),""-"",""0.00""))"),"Loading...")</f>
        <v>Loading...</v>
      </c>
      <c r="L4876" s="129">
        <v>2.16501111E9</v>
      </c>
      <c r="M4876" s="99">
        <f>IFERROR(__xludf.DUMMYFUNCTION("GOOGLEFINANCE(A4876,""beta"")"),1.74)</f>
        <v>1.74</v>
      </c>
    </row>
    <row r="4877">
      <c r="A4877" s="122" t="s">
        <v>10225</v>
      </c>
      <c r="B4877" s="123">
        <v>1617553.0</v>
      </c>
      <c r="C4877" s="124" t="s">
        <v>10226</v>
      </c>
      <c r="D4877" s="125"/>
      <c r="E4877" s="126">
        <v>14.15</v>
      </c>
      <c r="F4877" s="127"/>
      <c r="G4877" s="127"/>
      <c r="H4877" s="127"/>
      <c r="I4877" s="128"/>
      <c r="K4877" s="105" t="str">
        <f>IFERROR(__xludf.DUMMYFUNCTION("if(A4877="""","""",substitute(SUBSTITUTE(index(importhtml(""http://finviz.com/quote.ashx?t=""&amp;A4877,""table"",10),7,2),""*"",""""),""-"",""0.00""))"),"Loading...")</f>
        <v>Loading...</v>
      </c>
      <c r="L4877" s="129">
        <v>1.398489459E9</v>
      </c>
      <c r="M4877" s="99" t="str">
        <f>IFERROR(__xludf.DUMMYFUNCTION("GOOGLEFINANCE(A4877,""beta"")"),"#N/A")</f>
        <v>#N/A</v>
      </c>
    </row>
    <row r="4878">
      <c r="A4878" s="122" t="s">
        <v>10227</v>
      </c>
      <c r="B4878" s="123">
        <v>1116942.0</v>
      </c>
      <c r="C4878" s="124" t="s">
        <v>10228</v>
      </c>
      <c r="D4878" s="125"/>
      <c r="E4878" s="126">
        <v>14.15</v>
      </c>
      <c r="F4878" s="127"/>
      <c r="G4878" s="127"/>
      <c r="H4878" s="127"/>
      <c r="I4878" s="128"/>
      <c r="K4878" s="105" t="str">
        <f>IFERROR(__xludf.DUMMYFUNCTION("if(A4878="""","""",substitute(SUBSTITUTE(index(importhtml(""http://finviz.com/quote.ashx?t=""&amp;A4878,""table"",10),7,2),""*"",""""),""-"",""0.00""))"),"Loading...")</f>
        <v>Loading...</v>
      </c>
      <c r="L4878" s="129">
        <v>1.44676105E9</v>
      </c>
      <c r="M4878" s="99">
        <v>1.39</v>
      </c>
    </row>
    <row r="4879">
      <c r="A4879" s="122" t="s">
        <v>10229</v>
      </c>
      <c r="B4879" s="123">
        <v>1627475.0</v>
      </c>
      <c r="C4879" s="124" t="s">
        <v>10230</v>
      </c>
      <c r="D4879" s="125"/>
      <c r="E4879" s="126">
        <v>14.15</v>
      </c>
      <c r="F4879" s="127"/>
      <c r="G4879" s="127"/>
      <c r="H4879" s="127"/>
      <c r="I4879" s="128"/>
      <c r="K4879" s="105" t="str">
        <f>IFERROR(__xludf.DUMMYFUNCTION("if(A4879="""","""",substitute(SUBSTITUTE(index(importhtml(""http://finviz.com/quote.ashx?t=""&amp;A4879,""table"",10),7,2),""*"",""""),""-"",""0.00""))"),"Loading...")</f>
        <v>Loading...</v>
      </c>
      <c r="L4879" s="129">
        <v>1.925949373E9</v>
      </c>
      <c r="M4879" s="99">
        <v>1.73</v>
      </c>
    </row>
    <row r="4880">
      <c r="A4880" s="122" t="s">
        <v>10231</v>
      </c>
      <c r="B4880" s="123">
        <v>1408201.0</v>
      </c>
      <c r="C4880" s="124" t="s">
        <v>10232</v>
      </c>
      <c r="D4880" s="125"/>
      <c r="E4880" s="126">
        <v>14.18</v>
      </c>
      <c r="F4880" s="127"/>
      <c r="G4880" s="127"/>
      <c r="H4880" s="127"/>
      <c r="I4880" s="128"/>
      <c r="K4880" s="105" t="str">
        <f>IFERROR(__xludf.DUMMYFUNCTION("if(A4880="""","""",substitute(SUBSTITUTE(index(importhtml(""http://finviz.com/quote.ashx?t=""&amp;A4880,""table"",10),7,2),""*"",""""),""-"",""0.00""))"),"#REF!")</f>
        <v>#REF!</v>
      </c>
      <c r="L4880" s="129">
        <v>9.8569889E7</v>
      </c>
      <c r="M4880" s="99">
        <v>1.3</v>
      </c>
    </row>
    <row r="4881">
      <c r="A4881" s="122" t="s">
        <v>10233</v>
      </c>
      <c r="B4881" s="123">
        <v>1834584.0</v>
      </c>
      <c r="C4881" s="124" t="s">
        <v>10234</v>
      </c>
      <c r="D4881" s="125"/>
      <c r="E4881" s="126">
        <v>14.2</v>
      </c>
      <c r="F4881" s="127"/>
      <c r="G4881" s="127"/>
      <c r="H4881" s="127"/>
      <c r="I4881" s="128"/>
      <c r="K4881" s="105" t="str">
        <f>IFERROR(__xludf.DUMMYFUNCTION("if(A4881="""","""",substitute(SUBSTITUTE(index(importhtml(""http://finviz.com/quote.ashx?t=""&amp;A4881,""table"",10),7,2),""*"",""""),""-"",""0.00""))"),"Loading...")</f>
        <v>Loading...</v>
      </c>
      <c r="L4881" s="129">
        <v>2.5386575059E10</v>
      </c>
      <c r="M4881" s="99">
        <f>IFERROR(__xludf.DUMMYFUNCTION("GOOGLEFINANCE(A4881,""beta"")"),1.17)</f>
        <v>1.17</v>
      </c>
    </row>
    <row r="4882">
      <c r="A4882" s="122" t="s">
        <v>10235</v>
      </c>
      <c r="B4882" s="123">
        <v>1829576.0</v>
      </c>
      <c r="C4882" s="124" t="s">
        <v>10236</v>
      </c>
      <c r="D4882" s="125"/>
      <c r="E4882" s="126">
        <v>14.21</v>
      </c>
      <c r="F4882" s="127"/>
      <c r="G4882" s="127"/>
      <c r="H4882" s="127"/>
      <c r="I4882" s="128"/>
      <c r="K4882" s="105" t="str">
        <f>IFERROR(__xludf.DUMMYFUNCTION("if(A4882="""","""",substitute(SUBSTITUTE(index(importhtml(""http://finviz.com/quote.ashx?t=""&amp;A4882,""table"",10),7,2),""*"",""""),""-"",""0.00""))"),"Loading...")</f>
        <v>Loading...</v>
      </c>
      <c r="L4882" s="129">
        <v>3.26209023E8</v>
      </c>
      <c r="M4882" s="99">
        <v>0.98</v>
      </c>
    </row>
    <row r="4883">
      <c r="A4883" s="122" t="s">
        <v>10237</v>
      </c>
      <c r="B4883" s="123">
        <v>102426.0</v>
      </c>
      <c r="C4883" s="124" t="s">
        <v>10238</v>
      </c>
      <c r="D4883" s="125"/>
      <c r="E4883" s="126">
        <v>14.21</v>
      </c>
      <c r="F4883" s="127"/>
      <c r="G4883" s="127"/>
      <c r="H4883" s="127"/>
      <c r="I4883" s="128"/>
      <c r="K4883" s="105" t="str">
        <f>IFERROR(__xludf.DUMMYFUNCTION("if(A4883="""","""",substitute(SUBSTITUTE(index(importhtml(""http://finviz.com/quote.ashx?t=""&amp;A4883,""table"",10),7,2),""*"",""""),""-"",""0.00""))"),"Loading...")</f>
        <v>Loading...</v>
      </c>
      <c r="L4883" s="129">
        <v>1.377264E9</v>
      </c>
      <c r="M4883" s="99">
        <v>0.85</v>
      </c>
    </row>
    <row r="4884">
      <c r="A4884" s="122" t="s">
        <v>10239</v>
      </c>
      <c r="B4884" s="123">
        <v>1526697.0</v>
      </c>
      <c r="C4884" s="124" t="s">
        <v>10240</v>
      </c>
      <c r="D4884" s="125"/>
      <c r="E4884" s="126">
        <v>14.22</v>
      </c>
      <c r="F4884" s="127"/>
      <c r="G4884" s="127"/>
      <c r="H4884" s="127"/>
      <c r="I4884" s="128"/>
      <c r="K4884" s="55" t="s">
        <v>8062</v>
      </c>
      <c r="L4884" s="129">
        <v>2.05678368E8</v>
      </c>
      <c r="M4884" s="99">
        <v>0.6</v>
      </c>
    </row>
    <row r="4885">
      <c r="A4885" s="122" t="s">
        <v>10241</v>
      </c>
      <c r="B4885" s="123">
        <v>748954.0</v>
      </c>
      <c r="C4885" s="124" t="s">
        <v>10242</v>
      </c>
      <c r="D4885" s="125"/>
      <c r="E4885" s="126">
        <v>14.22</v>
      </c>
      <c r="F4885" s="137"/>
      <c r="G4885" s="136"/>
      <c r="H4885" s="127"/>
      <c r="I4885" s="128"/>
      <c r="K4885" s="105" t="str">
        <f>IFERROR(__xludf.DUMMYFUNCTION("if(A4885="""","""",substitute(SUBSTITUTE(index(importhtml(""http://finviz.com/quote.ashx?t=""&amp;A4885,""table"",10),7,2),""*"",""""),""-"",""0.00""))"),"Loading...")</f>
        <v>Loading...</v>
      </c>
      <c r="L4885" s="129">
        <v>7.982958E11</v>
      </c>
      <c r="M4885" s="99">
        <v>1.41</v>
      </c>
    </row>
    <row r="4886">
      <c r="A4886" s="122" t="s">
        <v>10243</v>
      </c>
      <c r="B4886" s="123">
        <v>892450.0</v>
      </c>
      <c r="C4886" s="124" t="s">
        <v>10244</v>
      </c>
      <c r="D4886" s="125"/>
      <c r="E4886" s="126">
        <v>14.23</v>
      </c>
      <c r="F4886" s="127"/>
      <c r="G4886" s="127"/>
      <c r="H4886" s="127"/>
      <c r="I4886" s="128"/>
      <c r="K4886" s="138" t="s">
        <v>10245</v>
      </c>
      <c r="L4886" s="129">
        <v>7.278132485E9</v>
      </c>
      <c r="M4886" s="99">
        <v>0.8</v>
      </c>
    </row>
    <row r="4887">
      <c r="A4887" s="122" t="s">
        <v>10246</v>
      </c>
      <c r="B4887" s="123">
        <v>1411579.0</v>
      </c>
      <c r="C4887" s="124" t="s">
        <v>10247</v>
      </c>
      <c r="D4887" s="125"/>
      <c r="E4887" s="126">
        <v>14.23</v>
      </c>
      <c r="F4887" s="127"/>
      <c r="G4887" s="127"/>
      <c r="H4887" s="127"/>
      <c r="I4887" s="128"/>
      <c r="K4887" s="105" t="str">
        <f>IFERROR(__xludf.DUMMYFUNCTION("if(A4887="""","""",substitute(SUBSTITUTE(index(importhtml(""http://finviz.com/quote.ashx?t=""&amp;A4887,""table"",10),7,2),""*"",""""),""-"",""0.00""))"),"Loading...")</f>
        <v>Loading...</v>
      </c>
      <c r="L4887" s="129">
        <v>3.655692574E9</v>
      </c>
      <c r="M4887" s="99" t="str">
        <f>IFERROR(__xludf.DUMMYFUNCTION("GOOGLEFINANCE(A4887,""beta"")"),"#N/A")</f>
        <v>#N/A</v>
      </c>
    </row>
    <row r="4888">
      <c r="A4888" s="122" t="s">
        <v>10248</v>
      </c>
      <c r="B4888" s="123">
        <v>1849466.0</v>
      </c>
      <c r="C4888" s="124" t="s">
        <v>10249</v>
      </c>
      <c r="D4888" s="125"/>
      <c r="E4888" s="126">
        <v>14.24</v>
      </c>
      <c r="F4888" s="127"/>
      <c r="G4888" s="127"/>
      <c r="H4888" s="127"/>
      <c r="I4888" s="128"/>
      <c r="K4888" s="105" t="str">
        <f>IFERROR(__xludf.DUMMYFUNCTION("if(A4888="""","""",substitute(SUBSTITUTE(index(importhtml(""http://finviz.com/quote.ashx?t=""&amp;A4888,""table"",10),7,2),""*"",""""),""-"",""0.00""))"),"Loading...")</f>
        <v>Loading...</v>
      </c>
      <c r="L4888" s="129">
        <v>4.5678419E7</v>
      </c>
      <c r="M4888" s="99">
        <f>IFERROR(__xludf.DUMMYFUNCTION("GOOGLEFINANCE(A4888,""beta"")"),0.05)</f>
        <v>0.05</v>
      </c>
    </row>
    <row r="4889">
      <c r="A4889" s="122" t="s">
        <v>10250</v>
      </c>
      <c r="B4889" s="123">
        <v>1127537.0</v>
      </c>
      <c r="C4889" s="124" t="s">
        <v>10251</v>
      </c>
      <c r="D4889" s="125"/>
      <c r="E4889" s="126">
        <v>14.26</v>
      </c>
      <c r="F4889" s="127"/>
      <c r="G4889" s="127"/>
      <c r="H4889" s="127"/>
      <c r="I4889" s="128"/>
      <c r="K4889" s="105" t="str">
        <f>IFERROR(__xludf.DUMMYFUNCTION("if(A4889="""","""",substitute(SUBSTITUTE(index(importhtml(""http://finviz.com/quote.ashx?t=""&amp;A4889,""table"",10),7,2),""*"",""""),""-"",""0.00""))"),"Loading...")</f>
        <v>Loading...</v>
      </c>
      <c r="L4889" s="129">
        <v>5.46273657E8</v>
      </c>
      <c r="M4889" s="99">
        <v>0.72</v>
      </c>
    </row>
    <row r="4890">
      <c r="A4890" s="122" t="s">
        <v>10252</v>
      </c>
      <c r="B4890" s="123">
        <v>1395942.0</v>
      </c>
      <c r="C4890" s="124" t="s">
        <v>10253</v>
      </c>
      <c r="D4890" s="125"/>
      <c r="E4890" s="126">
        <v>14.26</v>
      </c>
      <c r="F4890" s="127"/>
      <c r="G4890" s="127"/>
      <c r="H4890" s="127"/>
      <c r="I4890" s="128"/>
      <c r="K4890" s="105" t="str">
        <f>IFERROR(__xludf.DUMMYFUNCTION("if(A4890="""","""",substitute(SUBSTITUTE(index(importhtml(""http://finviz.com/quote.ashx?t=""&amp;A4890,""table"",10),7,2),""*"",""""),""-"",""0.00""))"),"Loading...")</f>
        <v>Loading...</v>
      </c>
      <c r="L4890" s="129">
        <v>1.540342408E9</v>
      </c>
      <c r="M4890" s="99">
        <v>1.42</v>
      </c>
    </row>
    <row r="4891">
      <c r="A4891" s="122" t="s">
        <v>10254</v>
      </c>
      <c r="B4891" s="123">
        <v>1514416.0</v>
      </c>
      <c r="C4891" s="124" t="s">
        <v>10255</v>
      </c>
      <c r="D4891" s="125"/>
      <c r="E4891" s="126">
        <v>14.28</v>
      </c>
      <c r="F4891" s="127"/>
      <c r="G4891" s="127"/>
      <c r="H4891" s="127"/>
      <c r="I4891" s="128"/>
      <c r="K4891" s="105" t="str">
        <f>IFERROR(__xludf.DUMMYFUNCTION("if(A4891="""","""",substitute(SUBSTITUTE(index(importhtml(""http://finviz.com/quote.ashx?t=""&amp;A4891,""table"",10),7,2),""*"",""""),""-"",""0.00""))"),"Loading...")</f>
        <v>Loading...</v>
      </c>
      <c r="L4891" s="129">
        <v>3.66163611E8</v>
      </c>
      <c r="M4891" s="99">
        <v>1.42</v>
      </c>
    </row>
    <row r="4892">
      <c r="A4892" s="122" t="s">
        <v>10256</v>
      </c>
      <c r="B4892" s="123">
        <v>804116.0</v>
      </c>
      <c r="C4892" s="124" t="s">
        <v>10257</v>
      </c>
      <c r="D4892" s="125"/>
      <c r="E4892" s="126">
        <v>14.28</v>
      </c>
      <c r="F4892" s="127"/>
      <c r="G4892" s="127"/>
      <c r="H4892" s="127"/>
      <c r="I4892" s="128"/>
      <c r="K4892" s="105" t="str">
        <f>IFERROR(__xludf.DUMMYFUNCTION("if(A4892="""","""",substitute(SUBSTITUTE(index(importhtml(""http://finviz.com/quote.ashx?t=""&amp;A4892,""table"",10),7,2),""*"",""""),""-"",""0.00""))"),"Loading...")</f>
        <v>Loading...</v>
      </c>
      <c r="L4892" s="129">
        <v>1.594658994E9</v>
      </c>
      <c r="M4892" s="99">
        <v>1.28</v>
      </c>
    </row>
    <row r="4893">
      <c r="A4893" s="122" t="s">
        <v>10258</v>
      </c>
      <c r="B4893" s="123">
        <v>1395064.0</v>
      </c>
      <c r="C4893" s="124" t="s">
        <v>10259</v>
      </c>
      <c r="D4893" s="125"/>
      <c r="E4893" s="126">
        <v>14.28</v>
      </c>
      <c r="F4893" s="127"/>
      <c r="G4893" s="127"/>
      <c r="H4893" s="127"/>
      <c r="I4893" s="128"/>
      <c r="K4893" s="105" t="str">
        <f>IFERROR(__xludf.DUMMYFUNCTION("if(A4893="""","""",substitute(SUBSTITUTE(index(importhtml(""http://finviz.com/quote.ashx?t=""&amp;A4893,""table"",10),7,2),""*"",""""),""-"",""0.00""))"),"Loading...")</f>
        <v>Loading...</v>
      </c>
      <c r="L4893" s="129">
        <v>4.6067536178E10</v>
      </c>
      <c r="M4893" s="99">
        <v>0.58</v>
      </c>
    </row>
    <row r="4894">
      <c r="A4894" s="122" t="s">
        <v>10260</v>
      </c>
      <c r="B4894" s="123">
        <v>1444874.0</v>
      </c>
      <c r="C4894" s="124" t="s">
        <v>10261</v>
      </c>
      <c r="D4894" s="125"/>
      <c r="E4894" s="126">
        <v>14.3</v>
      </c>
      <c r="F4894" s="127"/>
      <c r="G4894" s="127"/>
      <c r="H4894" s="127"/>
      <c r="I4894" s="128"/>
      <c r="K4894" s="105" t="str">
        <f>IFERROR(__xludf.DUMMYFUNCTION("if(A4894="""","""",substitute(SUBSTITUTE(index(importhtml(""http://finviz.com/quote.ashx?t=""&amp;A4894,""table"",10),7,2),""*"",""""),""-"",""0.00""))"),"Loading...")</f>
        <v>Loading...</v>
      </c>
      <c r="L4894" s="129">
        <v>2.321984E7</v>
      </c>
      <c r="M4894" s="99">
        <v>0.17</v>
      </c>
    </row>
    <row r="4895">
      <c r="A4895" s="122" t="s">
        <v>10262</v>
      </c>
      <c r="B4895" s="123">
        <v>1831651.0</v>
      </c>
      <c r="C4895" s="124" t="s">
        <v>10263</v>
      </c>
      <c r="D4895" s="125"/>
      <c r="E4895" s="126">
        <v>14.3</v>
      </c>
      <c r="F4895" s="127"/>
      <c r="G4895" s="127"/>
      <c r="H4895" s="127"/>
      <c r="I4895" s="128"/>
      <c r="K4895" s="105" t="str">
        <f>IFERROR(__xludf.DUMMYFUNCTION("if(A4895="""","""",substitute(SUBSTITUTE(index(importhtml(""http://finviz.com/quote.ashx?t=""&amp;A4895,""table"",10),7,2),""*"",""""),""-"",""0.00""))"),"Loading...")</f>
        <v>Loading...</v>
      </c>
      <c r="L4895" s="129">
        <v>2.431822282E9</v>
      </c>
      <c r="M4895" s="99">
        <v>1.87</v>
      </c>
    </row>
    <row r="4896">
      <c r="A4896" s="122" t="s">
        <v>10264</v>
      </c>
      <c r="B4896" s="123">
        <v>1284940.0</v>
      </c>
      <c r="C4896" s="124" t="s">
        <v>10265</v>
      </c>
      <c r="D4896" s="125"/>
      <c r="E4896" s="126">
        <v>14.31</v>
      </c>
      <c r="F4896" s="127"/>
      <c r="G4896" s="127"/>
      <c r="H4896" s="127"/>
      <c r="I4896" s="128"/>
      <c r="K4896" s="55" t="s">
        <v>7272</v>
      </c>
      <c r="L4896" s="129">
        <v>2.78428377E8</v>
      </c>
      <c r="M4896" s="99">
        <v>1.14</v>
      </c>
    </row>
    <row r="4897">
      <c r="A4897" s="122" t="s">
        <v>10266</v>
      </c>
      <c r="B4897" s="123">
        <v>1172724.0</v>
      </c>
      <c r="C4897" s="124" t="s">
        <v>10267</v>
      </c>
      <c r="D4897" s="125"/>
      <c r="E4897" s="126">
        <v>14.32</v>
      </c>
      <c r="F4897" s="127"/>
      <c r="G4897" s="127"/>
      <c r="H4897" s="127"/>
      <c r="I4897" s="128"/>
      <c r="K4897" s="105" t="str">
        <f>IFERROR(__xludf.DUMMYFUNCTION("if(A4897="""","""",substitute(SUBSTITUTE(index(importhtml(""http://finviz.com/quote.ashx?t=""&amp;A4897,""table"",10),7,2),""*"",""""),""-"",""0.00""))"),"Loading...")</f>
        <v>Loading...</v>
      </c>
      <c r="L4897" s="129">
        <v>1.2670149596E10</v>
      </c>
      <c r="M4897" s="99">
        <f>IFERROR(__xludf.DUMMYFUNCTION("GOOGLEFINANCE(A4897,""beta"")"),0.57)</f>
        <v>0.57</v>
      </c>
    </row>
    <row r="4898">
      <c r="A4898" s="122" t="s">
        <v>10268</v>
      </c>
      <c r="B4898" s="123">
        <v>1276187.0</v>
      </c>
      <c r="C4898" s="124" t="s">
        <v>10269</v>
      </c>
      <c r="D4898" s="125"/>
      <c r="E4898" s="126">
        <v>14.33</v>
      </c>
      <c r="F4898" s="127"/>
      <c r="G4898" s="127"/>
      <c r="H4898" s="127"/>
      <c r="I4898" s="128"/>
      <c r="K4898" s="138" t="s">
        <v>9582</v>
      </c>
      <c r="L4898" s="129">
        <v>4.506879554E10</v>
      </c>
      <c r="M4898" s="99">
        <v>1.64</v>
      </c>
    </row>
    <row r="4899">
      <c r="A4899" s="122" t="s">
        <v>10270</v>
      </c>
      <c r="B4899" s="123">
        <v>1012037.0</v>
      </c>
      <c r="C4899" s="124" t="s">
        <v>10271</v>
      </c>
      <c r="D4899" s="125"/>
      <c r="E4899" s="126">
        <v>14.33</v>
      </c>
      <c r="F4899" s="127"/>
      <c r="G4899" s="127"/>
      <c r="H4899" s="127"/>
      <c r="I4899" s="128"/>
      <c r="K4899" s="105" t="str">
        <f>IFERROR(__xludf.DUMMYFUNCTION("if(A4899="""","""",substitute(SUBSTITUTE(index(importhtml(""http://finviz.com/quote.ashx?t=""&amp;A4899,""table"",10),7,2),""*"",""""),""-"",""0.00""))"),"Loading...")</f>
        <v>Loading...</v>
      </c>
      <c r="L4899" s="129">
        <v>3.3293138281E10</v>
      </c>
      <c r="M4899" s="99">
        <v>1.49</v>
      </c>
    </row>
    <row r="4900">
      <c r="A4900" s="122" t="s">
        <v>10272</v>
      </c>
      <c r="B4900" s="123">
        <v>1825570.0</v>
      </c>
      <c r="C4900" s="124" t="s">
        <v>10273</v>
      </c>
      <c r="D4900" s="125"/>
      <c r="E4900" s="126">
        <v>14.34</v>
      </c>
      <c r="F4900" s="127"/>
      <c r="G4900" s="127"/>
      <c r="H4900" s="127"/>
      <c r="I4900" s="128"/>
      <c r="K4900" s="105" t="str">
        <f>IFERROR(__xludf.DUMMYFUNCTION("if(A4900="""","""",substitute(SUBSTITUTE(index(importhtml(""http://finviz.com/quote.ashx?t=""&amp;A4900,""table"",10),7,2),""*"",""""),""-"",""0.00""))"),"Loading...")</f>
        <v>Loading...</v>
      </c>
      <c r="L4900" s="129">
        <v>2.125960948E9</v>
      </c>
      <c r="M4900" s="99">
        <v>0.58</v>
      </c>
    </row>
    <row r="4901">
      <c r="A4901" s="122" t="s">
        <v>10274</v>
      </c>
      <c r="B4901" s="123">
        <v>1469367.0</v>
      </c>
      <c r="C4901" s="124" t="s">
        <v>10275</v>
      </c>
      <c r="D4901" s="125"/>
      <c r="E4901" s="126">
        <v>14.34</v>
      </c>
      <c r="F4901" s="127"/>
      <c r="G4901" s="127"/>
      <c r="H4901" s="127"/>
      <c r="I4901" s="128"/>
      <c r="K4901" s="105" t="str">
        <f>IFERROR(__xludf.DUMMYFUNCTION("if(A4901="""","""",substitute(SUBSTITUTE(index(importhtml(""http://finviz.com/quote.ashx?t=""&amp;A4901,""table"",10),7,2),""*"",""""),""-"",""0.00""))"),"Loading...")</f>
        <v>Loading...</v>
      </c>
      <c r="L4901" s="129">
        <v>3.124383459E9</v>
      </c>
      <c r="M4901" s="99">
        <v>2.54</v>
      </c>
    </row>
    <row r="4902">
      <c r="A4902" s="122" t="s">
        <v>10276</v>
      </c>
      <c r="B4902" s="123">
        <v>1174164.0</v>
      </c>
      <c r="C4902" s="124" t="s">
        <v>10277</v>
      </c>
      <c r="D4902" s="125"/>
      <c r="E4902" s="126">
        <v>14.36</v>
      </c>
      <c r="F4902" s="127"/>
      <c r="G4902" s="127"/>
      <c r="H4902" s="127"/>
      <c r="I4902" s="128"/>
      <c r="K4902" s="55" t="s">
        <v>10278</v>
      </c>
      <c r="L4902" s="129">
        <v>6.91834483E8</v>
      </c>
      <c r="M4902" s="99">
        <v>0.89</v>
      </c>
    </row>
    <row r="4903">
      <c r="A4903" s="122" t="s">
        <v>10279</v>
      </c>
      <c r="B4903" s="123">
        <v>1864208.0</v>
      </c>
      <c r="C4903" s="124" t="s">
        <v>10280</v>
      </c>
      <c r="D4903" s="125"/>
      <c r="E4903" s="126">
        <v>14.37</v>
      </c>
      <c r="F4903" s="127"/>
      <c r="G4903" s="127"/>
      <c r="H4903" s="127"/>
      <c r="I4903" s="128"/>
      <c r="K4903" s="105" t="str">
        <f>IFERROR(__xludf.DUMMYFUNCTION("if(A4903="""","""",substitute(SUBSTITUTE(index(importhtml(""http://finviz.com/quote.ashx?t=""&amp;A4903,""table"",10),7,2),""*"",""""),""-"",""0.00""))"),"#REF!")</f>
        <v>#REF!</v>
      </c>
      <c r="L4903" s="129">
        <v>4.73923745E8</v>
      </c>
      <c r="M4903" s="99">
        <f>IFERROR(__xludf.DUMMYFUNCTION("GOOGLEFINANCE(A4903,""beta"")"),0.84)</f>
        <v>0.84</v>
      </c>
    </row>
    <row r="4904">
      <c r="A4904" s="122" t="s">
        <v>10281</v>
      </c>
      <c r="B4904" s="123">
        <v>91576.0</v>
      </c>
      <c r="C4904" s="124" t="s">
        <v>10282</v>
      </c>
      <c r="D4904" s="125"/>
      <c r="E4904" s="126">
        <v>14.37</v>
      </c>
      <c r="F4904" s="127"/>
      <c r="G4904" s="127"/>
      <c r="H4904" s="127"/>
      <c r="I4904" s="128"/>
      <c r="K4904" s="105" t="str">
        <f>IFERROR(__xludf.DUMMYFUNCTION("if(A4904="""","""",substitute(SUBSTITUTE(index(importhtml(""http://finviz.com/quote.ashx?t=""&amp;A4904,""table"",10),7,2),""*"",""""),""-"",""0.00""))"),"Loading...")</f>
        <v>Loading...</v>
      </c>
      <c r="L4904" s="129">
        <v>1.3458421698E10</v>
      </c>
      <c r="M4904" s="99">
        <v>1.29</v>
      </c>
    </row>
    <row r="4905">
      <c r="A4905" s="122" t="s">
        <v>10283</v>
      </c>
      <c r="B4905" s="123">
        <v>1716957.0</v>
      </c>
      <c r="C4905" s="124" t="s">
        <v>10284</v>
      </c>
      <c r="D4905" s="125"/>
      <c r="E4905" s="126">
        <v>14.37</v>
      </c>
      <c r="F4905" s="137"/>
      <c r="G4905" s="146"/>
      <c r="H4905" s="127"/>
      <c r="I4905" s="128"/>
      <c r="K4905" s="105" t="str">
        <f>IFERROR(__xludf.DUMMYFUNCTION("if(A4905="""","""",substitute(SUBSTITUTE(index(importhtml(""http://finviz.com/quote.ashx?t=""&amp;A4905,""table"",10),7,2),""*"",""""),""-"",""0.00""))"),"Loading...")</f>
        <v>Loading...</v>
      </c>
      <c r="L4905" s="129">
        <v>7.3109417455E11</v>
      </c>
      <c r="M4905" s="99">
        <v>0.5</v>
      </c>
    </row>
    <row r="4906">
      <c r="A4906" s="122" t="s">
        <v>10285</v>
      </c>
      <c r="B4906" s="123">
        <v>1903382.0</v>
      </c>
      <c r="C4906" s="124" t="s">
        <v>10286</v>
      </c>
      <c r="D4906" s="125"/>
      <c r="E4906" s="126">
        <v>14.4</v>
      </c>
      <c r="F4906" s="127"/>
      <c r="G4906" s="127"/>
      <c r="H4906" s="127"/>
      <c r="I4906" s="128"/>
      <c r="K4906" s="55" t="s">
        <v>1034</v>
      </c>
      <c r="L4906" s="129">
        <v>5.5868456E7</v>
      </c>
      <c r="M4906" s="99">
        <f>IFERROR(__xludf.DUMMYFUNCTION("GOOGLEFINANCE(A4906,""beta"")"),0.99)</f>
        <v>0.99</v>
      </c>
    </row>
    <row r="4907">
      <c r="A4907" s="122" t="s">
        <v>10287</v>
      </c>
      <c r="B4907" s="123">
        <v>1527541.0</v>
      </c>
      <c r="C4907" s="124" t="s">
        <v>10288</v>
      </c>
      <c r="D4907" s="125"/>
      <c r="E4907" s="126">
        <v>14.4</v>
      </c>
      <c r="F4907" s="127"/>
      <c r="G4907" s="127"/>
      <c r="H4907" s="127"/>
      <c r="I4907" s="128"/>
      <c r="K4907" s="105" t="str">
        <f>IFERROR(__xludf.DUMMYFUNCTION("if(A4907="""","""",substitute(SUBSTITUTE(index(importhtml(""http://finviz.com/quote.ashx?t=""&amp;A4907,""table"",10),7,2),""*"",""""),""-"",""0.00""))"),"Loading...")</f>
        <v>Loading...</v>
      </c>
      <c r="L4907" s="129">
        <v>1.083502E7</v>
      </c>
      <c r="M4907" s="99">
        <v>0.64</v>
      </c>
    </row>
    <row r="4908">
      <c r="A4908" s="122" t="s">
        <v>10289</v>
      </c>
      <c r="B4908" s="123">
        <v>1261654.0</v>
      </c>
      <c r="C4908" s="124" t="s">
        <v>10290</v>
      </c>
      <c r="D4908" s="125"/>
      <c r="E4908" s="126">
        <v>14.4</v>
      </c>
      <c r="F4908" s="127"/>
      <c r="G4908" s="127"/>
      <c r="H4908" s="127"/>
      <c r="I4908" s="128"/>
      <c r="K4908" s="105" t="str">
        <f>IFERROR(__xludf.DUMMYFUNCTION("if(A4908="""","""",substitute(SUBSTITUTE(index(importhtml(""http://finviz.com/quote.ashx?t=""&amp;A4908,""table"",10),7,2),""*"",""""),""-"",""0.00""))"),"Loading...")</f>
        <v>Loading...</v>
      </c>
      <c r="L4908" s="129">
        <v>7.73741067E8</v>
      </c>
      <c r="M4908" s="99">
        <v>1.2</v>
      </c>
    </row>
    <row r="4909">
      <c r="A4909" s="122" t="s">
        <v>10291</v>
      </c>
      <c r="B4909" s="123">
        <v>1527508.0</v>
      </c>
      <c r="C4909" s="124" t="s">
        <v>10292</v>
      </c>
      <c r="D4909" s="125"/>
      <c r="E4909" s="126">
        <v>14.42</v>
      </c>
      <c r="F4909" s="127"/>
      <c r="G4909" s="127"/>
      <c r="H4909" s="127"/>
      <c r="I4909" s="128"/>
      <c r="K4909" s="105" t="str">
        <f>IFERROR(__xludf.DUMMYFUNCTION("if(A4909="""","""",substitute(SUBSTITUTE(index(importhtml(""http://finviz.com/quote.ashx?t=""&amp;A4909,""table"",10),7,2),""*"",""""),""-"",""0.00""))"),"Loading...")</f>
        <v>Loading...</v>
      </c>
      <c r="L4909" s="129">
        <v>2.573328323E9</v>
      </c>
      <c r="M4909" s="99">
        <v>1.53</v>
      </c>
    </row>
    <row r="4910">
      <c r="A4910" s="122" t="s">
        <v>10293</v>
      </c>
      <c r="B4910" s="123">
        <v>1819559.0</v>
      </c>
      <c r="C4910" s="124" t="s">
        <v>10294</v>
      </c>
      <c r="D4910" s="125"/>
      <c r="E4910" s="126">
        <v>14.43</v>
      </c>
      <c r="F4910" s="127"/>
      <c r="G4910" s="127"/>
      <c r="H4910" s="127"/>
      <c r="I4910" s="128"/>
      <c r="K4910" s="105" t="str">
        <f>IFERROR(__xludf.DUMMYFUNCTION("if(A4910="""","""",substitute(SUBSTITUTE(index(importhtml(""http://finviz.com/quote.ashx?t=""&amp;A4910,""table"",10),7,2),""*"",""""),""-"",""0.00""))"),"Loading...")</f>
        <v>Loading...</v>
      </c>
      <c r="L4910" s="129">
        <v>7.47303886E8</v>
      </c>
      <c r="M4910" s="99">
        <f>IFERROR(__xludf.DUMMYFUNCTION("GOOGLEFINANCE(A4910,""beta"")"),0.65)</f>
        <v>0.65</v>
      </c>
    </row>
    <row r="4911">
      <c r="A4911" s="122" t="s">
        <v>10295</v>
      </c>
      <c r="B4911" s="123">
        <v>813828.0</v>
      </c>
      <c r="C4911" s="124" t="s">
        <v>10296</v>
      </c>
      <c r="D4911" s="125"/>
      <c r="E4911" s="126">
        <v>14.43</v>
      </c>
      <c r="F4911" s="127"/>
      <c r="G4911" s="127"/>
      <c r="H4911" s="127"/>
      <c r="I4911" s="128"/>
      <c r="K4911" s="105" t="str">
        <f>IFERROR(__xludf.DUMMYFUNCTION("if(A4911="""","""",substitute(SUBSTITUTE(index(importhtml(""http://finviz.com/quote.ashx?t=""&amp;A4911,""table"",10),7,2),""*"",""""),""-"",""0.00""))"),"Loading...")</f>
        <v>Loading...</v>
      </c>
      <c r="L4911" s="129">
        <v>9.749478191E9</v>
      </c>
      <c r="M4911" s="99">
        <v>1.84</v>
      </c>
    </row>
    <row r="4912">
      <c r="A4912" s="122" t="s">
        <v>10297</v>
      </c>
      <c r="B4912" s="123">
        <v>1210708.0</v>
      </c>
      <c r="C4912" s="124" t="s">
        <v>10298</v>
      </c>
      <c r="D4912" s="125"/>
      <c r="E4912" s="126">
        <v>14.45</v>
      </c>
      <c r="F4912" s="127"/>
      <c r="G4912" s="127"/>
      <c r="H4912" s="127"/>
      <c r="I4912" s="128"/>
      <c r="K4912" s="105" t="str">
        <f>IFERROR(__xludf.DUMMYFUNCTION("if(A4912="""","""",substitute(SUBSTITUTE(index(importhtml(""http://finviz.com/quote.ashx?t=""&amp;A4912,""table"",10),7,2),""*"",""""),""-"",""0.00""))"),"Loading...")</f>
        <v>Loading...</v>
      </c>
      <c r="L4912" s="129">
        <v>4.0677211E7</v>
      </c>
      <c r="M4912" s="99">
        <v>0.6</v>
      </c>
    </row>
    <row r="4913">
      <c r="A4913" s="122" t="s">
        <v>10299</v>
      </c>
      <c r="B4913" s="123">
        <v>46207.0</v>
      </c>
      <c r="C4913" s="124" t="s">
        <v>10300</v>
      </c>
      <c r="D4913" s="125"/>
      <c r="E4913" s="126">
        <v>14.46</v>
      </c>
      <c r="F4913" s="127"/>
      <c r="G4913" s="127"/>
      <c r="H4913" s="127"/>
      <c r="I4913" s="128"/>
      <c r="K4913" s="105" t="str">
        <f>IFERROR(__xludf.DUMMYFUNCTION("if(A4913="""","""",substitute(SUBSTITUTE(index(importhtml(""http://finviz.com/quote.ashx?t=""&amp;A4913,""table"",10),7,2),""*"",""""),""-"",""0.00""))"),"Loading...")</f>
        <v>Loading...</v>
      </c>
      <c r="L4913" s="129">
        <v>2822500.0</v>
      </c>
      <c r="M4913" s="99">
        <v>0.49</v>
      </c>
    </row>
    <row r="4914">
      <c r="A4914" s="122" t="s">
        <v>10301</v>
      </c>
      <c r="B4914" s="123">
        <v>76267.0</v>
      </c>
      <c r="C4914" s="124" t="s">
        <v>10302</v>
      </c>
      <c r="D4914" s="125"/>
      <c r="E4914" s="126">
        <v>14.46</v>
      </c>
      <c r="F4914" s="127"/>
      <c r="G4914" s="127"/>
      <c r="H4914" s="127"/>
      <c r="I4914" s="128"/>
      <c r="K4914" s="105" t="str">
        <f>IFERROR(__xludf.DUMMYFUNCTION("if(A4914="""","""",substitute(SUBSTITUTE(index(importhtml(""http://finviz.com/quote.ashx?t=""&amp;A4914,""table"",10),7,2),""*"",""""),""-"",""0.00""))"),"Loading...")</f>
        <v>Loading...</v>
      </c>
      <c r="L4914" s="129">
        <v>2.92863441E8</v>
      </c>
      <c r="M4914" s="99">
        <v>0.41</v>
      </c>
    </row>
    <row r="4915">
      <c r="A4915" s="122" t="s">
        <v>10303</v>
      </c>
      <c r="B4915" s="123">
        <v>1074902.0</v>
      </c>
      <c r="C4915" s="124" t="s">
        <v>10304</v>
      </c>
      <c r="D4915" s="125"/>
      <c r="E4915" s="126">
        <v>14.47</v>
      </c>
      <c r="F4915" s="127"/>
      <c r="G4915" s="127"/>
      <c r="H4915" s="127"/>
      <c r="I4915" s="128"/>
      <c r="K4915" s="105" t="str">
        <f>IFERROR(__xludf.DUMMYFUNCTION("if(A4915="""","""",substitute(SUBSTITUTE(index(importhtml(""http://finviz.com/quote.ashx?t=""&amp;A4915,""table"",10),7,2),""*"",""""),""-"",""0.00""))"),"Loading...")</f>
        <v>Loading...</v>
      </c>
      <c r="L4915" s="129">
        <v>2.35889654E8</v>
      </c>
      <c r="M4915" s="99">
        <v>0.75</v>
      </c>
    </row>
    <row r="4916">
      <c r="A4916" s="122" t="s">
        <v>10305</v>
      </c>
      <c r="B4916" s="123">
        <v>1654151.0</v>
      </c>
      <c r="C4916" s="124" t="s">
        <v>10306</v>
      </c>
      <c r="D4916" s="125"/>
      <c r="E4916" s="126">
        <v>14.48</v>
      </c>
      <c r="F4916" s="127"/>
      <c r="G4916" s="127"/>
      <c r="H4916" s="127"/>
      <c r="I4916" s="128"/>
      <c r="K4916" s="105" t="str">
        <f>IFERROR(__xludf.DUMMYFUNCTION("if(A4916="""","""",substitute(SUBSTITUTE(index(importhtml(""http://finviz.com/quote.ashx?t=""&amp;A4916,""table"",10),7,2),""*"",""""),""-"",""0.00""))"),"Loading...")</f>
        <v>Loading...</v>
      </c>
      <c r="L4916" s="129">
        <v>1.160183464E9</v>
      </c>
      <c r="M4916" s="99">
        <v>0.36</v>
      </c>
    </row>
    <row r="4917">
      <c r="A4917" s="122" t="s">
        <v>10307</v>
      </c>
      <c r="B4917" s="123">
        <v>1070985.0</v>
      </c>
      <c r="C4917" s="124" t="s">
        <v>10308</v>
      </c>
      <c r="D4917" s="125"/>
      <c r="E4917" s="126">
        <v>14.49</v>
      </c>
      <c r="F4917" s="127"/>
      <c r="G4917" s="127"/>
      <c r="H4917" s="127"/>
      <c r="I4917" s="128"/>
      <c r="K4917" s="55" t="s">
        <v>1034</v>
      </c>
      <c r="L4917" s="129">
        <v>1.646137872E9</v>
      </c>
      <c r="M4917" s="99">
        <v>0.79</v>
      </c>
    </row>
    <row r="4918">
      <c r="A4918" s="122" t="s">
        <v>10309</v>
      </c>
      <c r="B4918" s="123">
        <v>319654.0</v>
      </c>
      <c r="C4918" s="124" t="s">
        <v>10310</v>
      </c>
      <c r="D4918" s="125"/>
      <c r="E4918" s="126">
        <v>14.49</v>
      </c>
      <c r="F4918" s="127"/>
      <c r="G4918" s="127"/>
      <c r="H4918" s="127"/>
      <c r="I4918" s="128"/>
      <c r="K4918" s="105" t="str">
        <f>IFERROR(__xludf.DUMMYFUNCTION("if(A4918="""","""",substitute(SUBSTITUTE(index(importhtml(""http://finviz.com/quote.ashx?t=""&amp;A4918,""table"",10),7,2),""*"",""""),""-"",""0.00""))"),"Loading...")</f>
        <v>Loading...</v>
      </c>
      <c r="L4918" s="129">
        <v>6.75361356E8</v>
      </c>
      <c r="M4918" s="99">
        <v>0.64</v>
      </c>
    </row>
    <row r="4919">
      <c r="A4919" s="122" t="s">
        <v>10311</v>
      </c>
      <c r="B4919" s="123">
        <v>1430162.0</v>
      </c>
      <c r="C4919" s="124" t="s">
        <v>10312</v>
      </c>
      <c r="D4919" s="125"/>
      <c r="E4919" s="126">
        <v>14.49</v>
      </c>
      <c r="F4919" s="127"/>
      <c r="G4919" s="127"/>
      <c r="H4919" s="127"/>
      <c r="I4919" s="128"/>
      <c r="K4919" s="105" t="str">
        <f>IFERROR(__xludf.DUMMYFUNCTION("if(A4919="""","""",substitute(SUBSTITUTE(index(importhtml(""http://finviz.com/quote.ashx?t=""&amp;A4919,""table"",10),7,2),""*"",""""),""-"",""0.00""))"),"Loading...")</f>
        <v>Loading...</v>
      </c>
      <c r="L4919" s="129">
        <v>3.3639575879E10</v>
      </c>
      <c r="M4919" s="99">
        <f>IFERROR(__xludf.DUMMYFUNCTION("GOOGLEFINANCE(A4919,""beta"")"),0.86)</f>
        <v>0.86</v>
      </c>
    </row>
    <row r="4920">
      <c r="A4920" s="122" t="s">
        <v>10313</v>
      </c>
      <c r="B4920" s="123">
        <v>1230869.0</v>
      </c>
      <c r="C4920" s="124" t="s">
        <v>10314</v>
      </c>
      <c r="D4920" s="125"/>
      <c r="E4920" s="126">
        <v>14.5</v>
      </c>
      <c r="F4920" s="127"/>
      <c r="G4920" s="127"/>
      <c r="H4920" s="127"/>
      <c r="I4920" s="128"/>
      <c r="K4920" s="55" t="s">
        <v>1034</v>
      </c>
      <c r="L4920" s="129">
        <v>2.7970355E8</v>
      </c>
      <c r="M4920" s="99">
        <v>1.2</v>
      </c>
    </row>
    <row r="4921">
      <c r="A4921" s="122" t="s">
        <v>10315</v>
      </c>
      <c r="B4921" s="123">
        <v>1608742.0</v>
      </c>
      <c r="C4921" s="124" t="s">
        <v>10316</v>
      </c>
      <c r="D4921" s="125"/>
      <c r="E4921" s="126">
        <v>14.5</v>
      </c>
      <c r="F4921" s="127"/>
      <c r="G4921" s="127"/>
      <c r="H4921" s="127"/>
      <c r="I4921" s="128"/>
      <c r="K4921" s="105" t="str">
        <f>IFERROR(__xludf.DUMMYFUNCTION("if(A4921="""","""",substitute(SUBSTITUTE(index(importhtml(""http://finviz.com/quote.ashx?t=""&amp;A4921,""table"",10),7,2),""*"",""""),""-"",""0.00""))"),"Loading...")</f>
        <v>Loading...</v>
      </c>
      <c r="L4921" s="129">
        <v>5.27320195E8</v>
      </c>
      <c r="M4921" s="99">
        <v>0.85</v>
      </c>
    </row>
    <row r="4922">
      <c r="A4922" s="122" t="s">
        <v>10317</v>
      </c>
      <c r="B4922" s="123">
        <v>1888012.0</v>
      </c>
      <c r="C4922" s="124" t="s">
        <v>10318</v>
      </c>
      <c r="D4922" s="125"/>
      <c r="E4922" s="126">
        <v>14.5</v>
      </c>
      <c r="F4922" s="127"/>
      <c r="G4922" s="127"/>
      <c r="H4922" s="127"/>
      <c r="I4922" s="128"/>
      <c r="K4922" s="105" t="str">
        <f>IFERROR(__xludf.DUMMYFUNCTION("if(A4922="""","""",substitute(SUBSTITUTE(index(importhtml(""http://finviz.com/quote.ashx?t=""&amp;A4922,""table"",10),7,2),""*"",""""),""-"",""0.00""))"),"Loading...")</f>
        <v>Loading...</v>
      </c>
      <c r="L4922" s="129">
        <v>7.02336355E8</v>
      </c>
      <c r="M4922" s="99" t="str">
        <f>IFERROR(__xludf.DUMMYFUNCTION("GOOGLEFINANCE(A4922,""beta"")"),"#N/A")</f>
        <v>#N/A</v>
      </c>
    </row>
    <row r="4923">
      <c r="A4923" s="122" t="s">
        <v>10319</v>
      </c>
      <c r="B4923" s="123">
        <v>1821160.0</v>
      </c>
      <c r="C4923" s="124" t="s">
        <v>10320</v>
      </c>
      <c r="D4923" s="125"/>
      <c r="E4923" s="126">
        <v>14.51</v>
      </c>
      <c r="F4923" s="127"/>
      <c r="G4923" s="127"/>
      <c r="H4923" s="127"/>
      <c r="I4923" s="128"/>
      <c r="K4923" s="105" t="str">
        <f>IFERROR(__xludf.DUMMYFUNCTION("if(A4923="""","""",substitute(SUBSTITUTE(index(importhtml(""http://finviz.com/quote.ashx?t=""&amp;A4923,""table"",10),7,2),""*"",""""),""-"",""0.00""))"),"Loading...")</f>
        <v>Loading...</v>
      </c>
      <c r="L4923" s="129">
        <v>8.86515162E8</v>
      </c>
      <c r="M4923" s="99">
        <v>1.01</v>
      </c>
    </row>
    <row r="4924">
      <c r="A4924" s="122" t="s">
        <v>10321</v>
      </c>
      <c r="B4924" s="123">
        <v>1172724.0</v>
      </c>
      <c r="C4924" s="124" t="s">
        <v>10267</v>
      </c>
      <c r="D4924" s="125"/>
      <c r="E4924" s="126">
        <v>14.53</v>
      </c>
      <c r="F4924" s="127"/>
      <c r="G4924" s="127"/>
      <c r="H4924" s="127"/>
      <c r="I4924" s="128"/>
      <c r="K4924" s="55" t="s">
        <v>5927</v>
      </c>
      <c r="L4924" s="129">
        <v>1.2670149596E10</v>
      </c>
      <c r="M4924" s="99">
        <v>1.12</v>
      </c>
    </row>
    <row r="4925">
      <c r="A4925" s="122" t="s">
        <v>10322</v>
      </c>
      <c r="B4925" s="123">
        <v>1122904.0</v>
      </c>
      <c r="C4925" s="124" t="s">
        <v>10323</v>
      </c>
      <c r="D4925" s="125"/>
      <c r="E4925" s="126">
        <v>14.55</v>
      </c>
      <c r="F4925" s="127"/>
      <c r="G4925" s="127"/>
      <c r="H4925" s="127"/>
      <c r="I4925" s="128"/>
      <c r="K4925" s="105" t="str">
        <f>IFERROR(__xludf.DUMMYFUNCTION("if(A4925="""","""",substitute(SUBSTITUTE(index(importhtml(""http://finviz.com/quote.ashx?t=""&amp;A4925,""table"",10),7,2),""*"",""""),""-"",""0.00""))"),"Loading...")</f>
        <v>Loading...</v>
      </c>
      <c r="L4925" s="129">
        <v>4.30802953E8</v>
      </c>
      <c r="M4925" s="99">
        <v>0.82</v>
      </c>
    </row>
    <row r="4926">
      <c r="A4926" s="122" t="s">
        <v>10324</v>
      </c>
      <c r="B4926" s="123">
        <v>1420798.0</v>
      </c>
      <c r="C4926" s="124" t="s">
        <v>10325</v>
      </c>
      <c r="D4926" s="125"/>
      <c r="E4926" s="126">
        <v>14.55</v>
      </c>
      <c r="F4926" s="127"/>
      <c r="G4926" s="127"/>
      <c r="H4926" s="127"/>
      <c r="I4926" s="128"/>
      <c r="K4926" s="105" t="str">
        <f>IFERROR(__xludf.DUMMYFUNCTION("if(A4926="""","""",substitute(SUBSTITUTE(index(importhtml(""http://finviz.com/quote.ashx?t=""&amp;A4926,""table"",10),7,2),""*"",""""),""-"",""0.00""))"),"Loading...")</f>
        <v>Loading...</v>
      </c>
      <c r="L4926" s="129">
        <v>5.1568998226E10</v>
      </c>
      <c r="M4926" s="99">
        <v>0.46</v>
      </c>
    </row>
    <row r="4927">
      <c r="A4927" s="122" t="s">
        <v>10326</v>
      </c>
      <c r="B4927" s="123">
        <v>6201.0</v>
      </c>
      <c r="C4927" s="124" t="s">
        <v>10327</v>
      </c>
      <c r="D4927" s="125"/>
      <c r="E4927" s="126">
        <v>14.56</v>
      </c>
      <c r="F4927" s="127"/>
      <c r="G4927" s="127"/>
      <c r="H4927" s="127"/>
      <c r="I4927" s="128"/>
      <c r="K4927" s="55" t="s">
        <v>1034</v>
      </c>
      <c r="L4927" s="129">
        <v>9.52621661E9</v>
      </c>
      <c r="M4927" s="99">
        <v>1.56</v>
      </c>
    </row>
    <row r="4928">
      <c r="A4928" s="122" t="s">
        <v>10328</v>
      </c>
      <c r="B4928" s="123">
        <v>883618.0</v>
      </c>
      <c r="C4928" s="124" t="s">
        <v>10329</v>
      </c>
      <c r="D4928" s="125"/>
      <c r="E4928" s="126">
        <v>14.56</v>
      </c>
      <c r="F4928" s="127"/>
      <c r="G4928" s="127"/>
      <c r="H4928" s="127"/>
      <c r="I4928" s="128"/>
      <c r="K4928" s="105" t="str">
        <f>IFERROR(__xludf.DUMMYFUNCTION("if(A4928="""","""",substitute(SUBSTITUTE(index(importhtml(""http://finviz.com/quote.ashx?t=""&amp;A4928,""table"",10),7,2),""*"",""""),""-"",""0.00""))"),"Loading...")</f>
        <v>Loading...</v>
      </c>
      <c r="L4928" s="129">
        <v>6.81633554E8</v>
      </c>
      <c r="M4928" s="99">
        <v>0.31</v>
      </c>
    </row>
    <row r="4929">
      <c r="A4929" s="122" t="s">
        <v>10330</v>
      </c>
      <c r="B4929" s="123">
        <v>894081.0</v>
      </c>
      <c r="C4929" s="124" t="s">
        <v>10331</v>
      </c>
      <c r="D4929" s="125"/>
      <c r="E4929" s="126">
        <v>14.57</v>
      </c>
      <c r="F4929" s="127"/>
      <c r="G4929" s="127"/>
      <c r="H4929" s="127"/>
      <c r="I4929" s="128"/>
      <c r="K4929" s="105" t="str">
        <f>IFERROR(__xludf.DUMMYFUNCTION("if(A4929="""","""",substitute(SUBSTITUTE(index(importhtml(""http://finviz.com/quote.ashx?t=""&amp;A4929,""table"",10),7,2),""*"",""""),""-"",""0.00""))"),"Loading...")</f>
        <v>Loading...</v>
      </c>
      <c r="L4929" s="129">
        <v>9.51026133E8</v>
      </c>
      <c r="M4929" s="99">
        <v>0.89</v>
      </c>
    </row>
    <row r="4930">
      <c r="A4930" s="122" t="s">
        <v>10332</v>
      </c>
      <c r="B4930" s="123">
        <v>1446847.0</v>
      </c>
      <c r="C4930" s="124" t="s">
        <v>10333</v>
      </c>
      <c r="D4930" s="125"/>
      <c r="E4930" s="126">
        <v>14.59</v>
      </c>
      <c r="F4930" s="127"/>
      <c r="G4930" s="127"/>
      <c r="H4930" s="127"/>
      <c r="I4930" s="128"/>
      <c r="K4930" s="105" t="str">
        <f>IFERROR(__xludf.DUMMYFUNCTION("if(A4930="""","""",substitute(SUBSTITUTE(index(importhtml(""http://finviz.com/quote.ashx?t=""&amp;A4930,""table"",10),7,2),""*"",""""),""-"",""0.00""))"),"Loading...")</f>
        <v>Loading...</v>
      </c>
      <c r="L4930" s="129">
        <v>2.277922133E9</v>
      </c>
      <c r="M4930" s="99">
        <v>0.65</v>
      </c>
    </row>
    <row r="4931">
      <c r="A4931" s="122" t="s">
        <v>10334</v>
      </c>
      <c r="B4931" s="123">
        <v>1449794.0</v>
      </c>
      <c r="C4931" s="124" t="s">
        <v>10335</v>
      </c>
      <c r="D4931" s="125"/>
      <c r="E4931" s="126">
        <v>14.6</v>
      </c>
      <c r="F4931" s="127"/>
      <c r="G4931" s="127"/>
      <c r="H4931" s="127"/>
      <c r="I4931" s="128"/>
      <c r="K4931" s="105" t="str">
        <f>IFERROR(__xludf.DUMMYFUNCTION("if(A4931="""","""",substitute(SUBSTITUTE(index(importhtml(""http://finviz.com/quote.ashx?t=""&amp;A4931,""table"",10),7,2),""*"",""""),""-"",""0.00""))"),"Loading...")</f>
        <v>Loading...</v>
      </c>
      <c r="L4931" s="129">
        <v>1.11021162E8</v>
      </c>
      <c r="M4931" s="99">
        <v>0.62</v>
      </c>
    </row>
    <row r="4932">
      <c r="A4932" s="122" t="s">
        <v>10336</v>
      </c>
      <c r="B4932" s="123">
        <v>1805012.0</v>
      </c>
      <c r="C4932" s="124" t="s">
        <v>10337</v>
      </c>
      <c r="D4932" s="125"/>
      <c r="E4932" s="126">
        <v>14.62</v>
      </c>
      <c r="F4932" s="127"/>
      <c r="G4932" s="127"/>
      <c r="H4932" s="127"/>
      <c r="I4932" s="128"/>
      <c r="K4932" s="105" t="str">
        <f>IFERROR(__xludf.DUMMYFUNCTION("if(A4932="""","""",substitute(SUBSTITUTE(index(importhtml(""http://finviz.com/quote.ashx?t=""&amp;A4932,""table"",10),7,2),""*"",""""),""-"",""0.00""))"),"Loading...")</f>
        <v>Loading...</v>
      </c>
      <c r="L4932" s="129">
        <v>4.94556145E8</v>
      </c>
      <c r="M4932" s="99">
        <v>-0.18</v>
      </c>
    </row>
    <row r="4933">
      <c r="A4933" s="122" t="s">
        <v>10338</v>
      </c>
      <c r="B4933" s="123">
        <v>1051343.0</v>
      </c>
      <c r="C4933" s="124" t="s">
        <v>10339</v>
      </c>
      <c r="D4933" s="125"/>
      <c r="E4933" s="126">
        <v>14.65</v>
      </c>
      <c r="F4933" s="127"/>
      <c r="G4933" s="127"/>
      <c r="H4933" s="127"/>
      <c r="I4933" s="128"/>
      <c r="K4933" s="105" t="str">
        <f>IFERROR(__xludf.DUMMYFUNCTION("if(A4933="""","""",substitute(SUBSTITUTE(index(importhtml(""http://finviz.com/quote.ashx?t=""&amp;A4933,""table"",10),7,2),""*"",""""),""-"",""0.00""))"),"Loading...")</f>
        <v>Loading...</v>
      </c>
      <c r="L4933" s="129">
        <v>1.30018688E8</v>
      </c>
      <c r="M4933" s="99">
        <v>0.7</v>
      </c>
    </row>
    <row r="4934">
      <c r="A4934" s="122" t="s">
        <v>10340</v>
      </c>
      <c r="B4934" s="123">
        <v>1068897.0</v>
      </c>
      <c r="C4934" s="124" t="s">
        <v>10341</v>
      </c>
      <c r="D4934" s="125"/>
      <c r="E4934" s="126">
        <v>14.67</v>
      </c>
      <c r="F4934" s="127"/>
      <c r="G4934" s="127"/>
      <c r="H4934" s="127"/>
      <c r="I4934" s="128"/>
      <c r="K4934" s="105" t="str">
        <f>IFERROR(__xludf.DUMMYFUNCTION("if(A4934="""","""",substitute(SUBSTITUTE(index(importhtml(""http://finviz.com/quote.ashx?t=""&amp;A4934,""table"",10),7,2),""*"",""""),""-"",""0.00""))"),"Loading...")</f>
        <v>Loading...</v>
      </c>
      <c r="L4934" s="129">
        <v>7653570.0</v>
      </c>
      <c r="M4934" s="99">
        <v>0.72</v>
      </c>
    </row>
    <row r="4935">
      <c r="A4935" s="122" t="s">
        <v>10342</v>
      </c>
      <c r="B4935" s="123">
        <v>1084991.0</v>
      </c>
      <c r="C4935" s="124" t="s">
        <v>10343</v>
      </c>
      <c r="D4935" s="125"/>
      <c r="E4935" s="126">
        <v>14.68</v>
      </c>
      <c r="F4935" s="127"/>
      <c r="G4935" s="127"/>
      <c r="H4935" s="127"/>
      <c r="I4935" s="128"/>
      <c r="K4935" s="105" t="str">
        <f>IFERROR(__xludf.DUMMYFUNCTION("if(A4935="""","""",substitute(SUBSTITUTE(index(importhtml(""http://finviz.com/quote.ashx?t=""&amp;A4935,""table"",10),7,2),""*"",""""),""-"",""0.00""))"),"Loading...")</f>
        <v>Loading...</v>
      </c>
      <c r="L4935" s="129">
        <v>1.8257942E8</v>
      </c>
      <c r="M4935" s="99">
        <v>1.13</v>
      </c>
    </row>
    <row r="4936">
      <c r="A4936" s="122" t="s">
        <v>10344</v>
      </c>
      <c r="B4936" s="123">
        <v>1448431.0</v>
      </c>
      <c r="C4936" s="124" t="s">
        <v>10345</v>
      </c>
      <c r="D4936" s="125"/>
      <c r="E4936" s="126">
        <v>14.68</v>
      </c>
      <c r="F4936" s="127"/>
      <c r="G4936" s="127"/>
      <c r="H4936" s="127"/>
      <c r="I4936" s="128"/>
      <c r="K4936" s="105" t="str">
        <f>IFERROR(__xludf.DUMMYFUNCTION("if(A4936="""","""",substitute(SUBSTITUTE(index(importhtml(""http://finviz.com/quote.ashx?t=""&amp;A4936,""table"",10),7,2),""*"",""""),""-"",""0.00""))"),"Loading...")</f>
        <v>Loading...</v>
      </c>
      <c r="L4936" s="129">
        <v>2.66478411E8</v>
      </c>
      <c r="M4936" s="99">
        <v>1.02</v>
      </c>
    </row>
    <row r="4937">
      <c r="A4937" s="122" t="s">
        <v>10346</v>
      </c>
      <c r="B4937" s="123">
        <v>1077183.0</v>
      </c>
      <c r="C4937" s="124" t="s">
        <v>10347</v>
      </c>
      <c r="D4937" s="125"/>
      <c r="E4937" s="126">
        <v>14.68</v>
      </c>
      <c r="F4937" s="127"/>
      <c r="G4937" s="127"/>
      <c r="H4937" s="127"/>
      <c r="I4937" s="128"/>
      <c r="K4937" s="105" t="str">
        <f>IFERROR(__xludf.DUMMYFUNCTION("if(A4937="""","""",substitute(SUBSTITUTE(index(importhtml(""http://finviz.com/quote.ashx?t=""&amp;A4937,""table"",10),7,2),""*"",""""),""-"",""0.00""))"),"Loading...")</f>
        <v>Loading...</v>
      </c>
      <c r="L4937" s="129">
        <v>1.871197982E9</v>
      </c>
      <c r="M4937" s="99">
        <v>1.12</v>
      </c>
    </row>
    <row r="4938">
      <c r="A4938" s="122" t="s">
        <v>10348</v>
      </c>
      <c r="B4938" s="123">
        <v>1012477.0</v>
      </c>
      <c r="C4938" s="124" t="s">
        <v>10349</v>
      </c>
      <c r="D4938" s="125"/>
      <c r="E4938" s="126">
        <v>14.69</v>
      </c>
      <c r="F4938" s="127"/>
      <c r="G4938" s="127"/>
      <c r="H4938" s="127"/>
      <c r="I4938" s="128"/>
      <c r="K4938" s="105" t="str">
        <f>IFERROR(__xludf.DUMMYFUNCTION("if(A4938="""","""",substitute(SUBSTITUTE(index(importhtml(""http://finviz.com/quote.ashx?t=""&amp;A4938,""table"",10),7,2),""*"",""""),""-"",""0.00""))"),"Loading...")</f>
        <v>Loading...</v>
      </c>
      <c r="L4938" s="129">
        <v>1.319244667E9</v>
      </c>
      <c r="M4938" s="99">
        <v>1.57</v>
      </c>
    </row>
    <row r="4939">
      <c r="A4939" s="122" t="s">
        <v>10350</v>
      </c>
      <c r="B4939" s="123">
        <v>800457.0</v>
      </c>
      <c r="C4939" s="124" t="s">
        <v>10351</v>
      </c>
      <c r="D4939" s="125"/>
      <c r="E4939" s="126">
        <v>14.7</v>
      </c>
      <c r="F4939" s="127"/>
      <c r="G4939" s="127"/>
      <c r="H4939" s="127"/>
      <c r="I4939" s="128"/>
      <c r="K4939" s="105" t="str">
        <f>IFERROR(__xludf.DUMMYFUNCTION("if(A4939="""","""",substitute(SUBSTITUTE(index(importhtml(""http://finviz.com/quote.ashx?t=""&amp;A4939,""table"",10),7,2),""*"",""""),""-"",""0.00""))"),"Loading...")</f>
        <v>Loading...</v>
      </c>
      <c r="L4939" s="129">
        <v>4.90863569E8</v>
      </c>
      <c r="M4939" s="99">
        <v>-0.05</v>
      </c>
    </row>
    <row r="4940">
      <c r="A4940" s="122" t="s">
        <v>10352</v>
      </c>
      <c r="B4940" s="123">
        <v>1810182.0</v>
      </c>
      <c r="C4940" s="124" t="s">
        <v>10353</v>
      </c>
      <c r="D4940" s="125"/>
      <c r="E4940" s="126">
        <v>14.7</v>
      </c>
      <c r="F4940" s="127"/>
      <c r="G4940" s="127"/>
      <c r="H4940" s="127"/>
      <c r="I4940" s="128"/>
      <c r="K4940" s="105" t="str">
        <f>IFERROR(__xludf.DUMMYFUNCTION("if(A4940="""","""",substitute(SUBSTITUTE(index(importhtml(""http://finviz.com/quote.ashx?t=""&amp;A4940,""table"",10),7,2),""*"",""""),""-"",""0.00""))"),"Loading...")</f>
        <v>Loading...</v>
      </c>
      <c r="L4940" s="129">
        <v>7.32336497E8</v>
      </c>
      <c r="M4940" s="99">
        <v>1.65</v>
      </c>
    </row>
    <row r="4941">
      <c r="A4941" s="122" t="s">
        <v>10354</v>
      </c>
      <c r="B4941" s="123">
        <v>1839839.0</v>
      </c>
      <c r="C4941" s="124" t="s">
        <v>10355</v>
      </c>
      <c r="D4941" s="125"/>
      <c r="E4941" s="126">
        <v>14.71</v>
      </c>
      <c r="F4941" s="127"/>
      <c r="G4941" s="127"/>
      <c r="H4941" s="127"/>
      <c r="I4941" s="128"/>
      <c r="K4941" s="105" t="str">
        <f>IFERROR(__xludf.DUMMYFUNCTION("if(A4941="""","""",substitute(SUBSTITUTE(index(importhtml(""http://finviz.com/quote.ashx?t=""&amp;A4941,""table"",10),7,2),""*"",""""),""-"",""0.00""))"),"Loading...")</f>
        <v>Loading...</v>
      </c>
      <c r="L4941" s="129">
        <v>2.159844298E9</v>
      </c>
      <c r="M4941" s="99">
        <v>0.95</v>
      </c>
    </row>
    <row r="4942">
      <c r="A4942" s="122" t="s">
        <v>10356</v>
      </c>
      <c r="B4942" s="123">
        <v>1689375.0</v>
      </c>
      <c r="C4942" s="124" t="s">
        <v>10357</v>
      </c>
      <c r="D4942" s="125"/>
      <c r="E4942" s="126">
        <v>14.72</v>
      </c>
      <c r="F4942" s="127"/>
      <c r="G4942" s="127"/>
      <c r="H4942" s="127"/>
      <c r="I4942" s="128"/>
      <c r="K4942" s="105" t="str">
        <f>IFERROR(__xludf.DUMMYFUNCTION("if(A4942="""","""",substitute(SUBSTITUTE(index(importhtml(""http://finviz.com/quote.ashx?t=""&amp;A4942,""table"",10),7,2),""*"",""""),""-"",""0.00""))"),"Loading...")</f>
        <v>Loading...</v>
      </c>
      <c r="L4942" s="129">
        <v>4.91177999E8</v>
      </c>
      <c r="M4942" s="99">
        <f>IFERROR(__xludf.DUMMYFUNCTION("GOOGLEFINANCE(A4942,""beta"")"),-0.08)</f>
        <v>-0.08</v>
      </c>
    </row>
    <row r="4943">
      <c r="A4943" s="122" t="s">
        <v>10358</v>
      </c>
      <c r="B4943" s="123">
        <v>1886878.0</v>
      </c>
      <c r="C4943" s="124" t="s">
        <v>10359</v>
      </c>
      <c r="D4943" s="125"/>
      <c r="E4943" s="126">
        <v>14.72</v>
      </c>
      <c r="F4943" s="127"/>
      <c r="G4943" s="127"/>
      <c r="H4943" s="127"/>
      <c r="I4943" s="128"/>
      <c r="K4943" s="105" t="str">
        <f>IFERROR(__xludf.DUMMYFUNCTION("if(A4943="""","""",substitute(SUBSTITUTE(index(importhtml(""http://finviz.com/quote.ashx?t=""&amp;A4943,""table"",10),7,2),""*"",""""),""-"",""0.00""))"),"Loading...")</f>
        <v>Loading...</v>
      </c>
      <c r="L4943" s="129">
        <v>6.47690757E8</v>
      </c>
      <c r="M4943" s="99">
        <f>IFERROR(__xludf.DUMMYFUNCTION("GOOGLEFINANCE(A4943,""beta"")"),0.69)</f>
        <v>0.69</v>
      </c>
    </row>
    <row r="4944">
      <c r="A4944" s="122" t="s">
        <v>10360</v>
      </c>
      <c r="B4944" s="123">
        <v>1326380.0</v>
      </c>
      <c r="C4944" s="124" t="s">
        <v>10361</v>
      </c>
      <c r="D4944" s="125"/>
      <c r="E4944" s="126">
        <v>14.73</v>
      </c>
      <c r="F4944" s="127"/>
      <c r="G4944" s="127"/>
      <c r="H4944" s="127"/>
      <c r="I4944" s="128"/>
      <c r="K4944" s="105" t="str">
        <f>IFERROR(__xludf.DUMMYFUNCTION("if(A4944="""","""",substitute(SUBSTITUTE(index(importhtml(""http://finviz.com/quote.ashx?t=""&amp;A4944,""table"",10),7,2),""*"",""""),""-"",""0.00""))"),"Loading...")</f>
        <v>Loading...</v>
      </c>
      <c r="L4944" s="129">
        <v>4.500225499E9</v>
      </c>
      <c r="M4944" s="99">
        <v>-0.37</v>
      </c>
    </row>
    <row r="4945">
      <c r="A4945" s="122" t="s">
        <v>10362</v>
      </c>
      <c r="B4945" s="123">
        <v>1739104.0</v>
      </c>
      <c r="C4945" s="124" t="s">
        <v>10363</v>
      </c>
      <c r="D4945" s="125"/>
      <c r="E4945" s="126">
        <v>14.73</v>
      </c>
      <c r="F4945" s="127"/>
      <c r="G4945" s="127"/>
      <c r="H4945" s="127"/>
      <c r="I4945" s="128"/>
      <c r="K4945" s="105" t="str">
        <f>IFERROR(__xludf.DUMMYFUNCTION("if(A4945="""","""",substitute(SUBSTITUTE(index(importhtml(""http://finviz.com/quote.ashx?t=""&amp;A4945,""table"",10),7,2),""*"",""""),""-"",""0.00""))"),"Loading...")</f>
        <v>Loading...</v>
      </c>
      <c r="L4945" s="129">
        <v>7.258915787E9</v>
      </c>
      <c r="M4945" s="99">
        <v>1.29</v>
      </c>
    </row>
    <row r="4946">
      <c r="A4946" s="122" t="s">
        <v>10364</v>
      </c>
      <c r="B4946" s="123">
        <v>1743907.0</v>
      </c>
      <c r="C4946" s="124" t="s">
        <v>10365</v>
      </c>
      <c r="D4946" s="125"/>
      <c r="E4946" s="126">
        <v>14.74</v>
      </c>
      <c r="F4946" s="127"/>
      <c r="G4946" s="127"/>
      <c r="H4946" s="127"/>
      <c r="I4946" s="128"/>
      <c r="K4946" s="105" t="str">
        <f>IFERROR(__xludf.DUMMYFUNCTION("if(A4946="""","""",substitute(SUBSTITUTE(index(importhtml(""http://finviz.com/quote.ashx?t=""&amp;A4946,""table"",10),7,2),""*"",""""),""-"",""0.00""))"),"Loading...")</f>
        <v>Loading...</v>
      </c>
      <c r="L4946" s="129">
        <v>7.88706662E8</v>
      </c>
      <c r="M4946" s="99">
        <f>IFERROR(__xludf.DUMMYFUNCTION("GOOGLEFINANCE(A4946,""beta"")"),1.59)</f>
        <v>1.59</v>
      </c>
    </row>
    <row r="4947">
      <c r="A4947" s="122" t="s">
        <v>10366</v>
      </c>
      <c r="B4947" s="123">
        <v>1833835.0</v>
      </c>
      <c r="C4947" s="124" t="s">
        <v>10367</v>
      </c>
      <c r="D4947" s="125"/>
      <c r="E4947" s="126">
        <v>14.74</v>
      </c>
      <c r="F4947" s="127"/>
      <c r="G4947" s="127"/>
      <c r="H4947" s="127"/>
      <c r="I4947" s="128"/>
      <c r="K4947" s="105" t="str">
        <f>IFERROR(__xludf.DUMMYFUNCTION("if(A4947="""","""",substitute(SUBSTITUTE(index(importhtml(""http://finviz.com/quote.ashx?t=""&amp;A4947,""table"",10),7,2),""*"",""""),""-"",""0.00""))"),"Loading...")</f>
        <v>Loading...</v>
      </c>
      <c r="L4947" s="129">
        <v>9.08759752E8</v>
      </c>
      <c r="M4947" s="99">
        <v>1.87</v>
      </c>
    </row>
    <row r="4948">
      <c r="A4948" s="122" t="s">
        <v>10368</v>
      </c>
      <c r="B4948" s="123">
        <v>1579733.0</v>
      </c>
      <c r="C4948" s="124" t="s">
        <v>10369</v>
      </c>
      <c r="D4948" s="125"/>
      <c r="E4948" s="126">
        <v>14.75</v>
      </c>
      <c r="F4948" s="127"/>
      <c r="G4948" s="127"/>
      <c r="H4948" s="127"/>
      <c r="I4948" s="128"/>
      <c r="K4948" s="105" t="str">
        <f>IFERROR(__xludf.DUMMYFUNCTION("if(A4948="""","""",substitute(SUBSTITUTE(index(importhtml(""http://finviz.com/quote.ashx?t=""&amp;A4948,""table"",10),7,2),""*"",""""),""-"",""0.00""))"),"#REF!")</f>
        <v>#REF!</v>
      </c>
      <c r="L4948" s="129">
        <v>6.13633335E8</v>
      </c>
      <c r="M4948" s="99">
        <v>0.75</v>
      </c>
    </row>
    <row r="4949">
      <c r="A4949" s="122" t="s">
        <v>10370</v>
      </c>
      <c r="B4949" s="123">
        <v>884713.0</v>
      </c>
      <c r="C4949" s="124" t="s">
        <v>10371</v>
      </c>
      <c r="D4949" s="125"/>
      <c r="E4949" s="126">
        <v>14.78</v>
      </c>
      <c r="F4949" s="127"/>
      <c r="G4949" s="127"/>
      <c r="H4949" s="127"/>
      <c r="I4949" s="128"/>
      <c r="K4949" s="105" t="str">
        <f>IFERROR(__xludf.DUMMYFUNCTION("if(A4949="""","""",substitute(SUBSTITUTE(index(importhtml(""http://finviz.com/quote.ashx?t=""&amp;A4949,""table"",10),7,2),""*"",""""),""-"",""0.00""))"),"Loading...")</f>
        <v>Loading...</v>
      </c>
      <c r="L4949" s="129">
        <v>2.376702291E9</v>
      </c>
      <c r="M4949" s="99" t="str">
        <f>IFERROR(__xludf.DUMMYFUNCTION("GOOGLEFINANCE(A4949,""beta"")"),"#N/A")</f>
        <v>#N/A</v>
      </c>
    </row>
    <row r="4950">
      <c r="A4950" s="122" t="s">
        <v>10372</v>
      </c>
      <c r="B4950" s="123">
        <v>1215913.0</v>
      </c>
      <c r="C4950" s="124" t="s">
        <v>10373</v>
      </c>
      <c r="D4950" s="125"/>
      <c r="E4950" s="126">
        <v>14.79</v>
      </c>
      <c r="F4950" s="127"/>
      <c r="G4950" s="127"/>
      <c r="H4950" s="127"/>
      <c r="I4950" s="128"/>
      <c r="K4950" s="105" t="str">
        <f>IFERROR(__xludf.DUMMYFUNCTION("if(A4950="""","""",substitute(SUBSTITUTE(index(importhtml(""http://finviz.com/quote.ashx?t=""&amp;A4950,""table"",10),7,2),""*"",""""),""-"",""0.00""))"),"Loading...")</f>
        <v>Loading...</v>
      </c>
      <c r="L4950" s="129">
        <v>4.72157141E8</v>
      </c>
      <c r="M4950" s="99">
        <v>0.9</v>
      </c>
    </row>
    <row r="4951">
      <c r="A4951" s="122" t="s">
        <v>10374</v>
      </c>
      <c r="B4951" s="123">
        <v>1705012.0</v>
      </c>
      <c r="C4951" s="124" t="s">
        <v>10375</v>
      </c>
      <c r="D4951" s="125"/>
      <c r="E4951" s="126">
        <v>14.8</v>
      </c>
      <c r="F4951" s="127"/>
      <c r="G4951" s="127"/>
      <c r="H4951" s="127"/>
      <c r="I4951" s="128"/>
      <c r="K4951" s="105" t="str">
        <f>IFERROR(__xludf.DUMMYFUNCTION("if(A4951="""","""",substitute(SUBSTITUTE(index(importhtml(""http://finviz.com/quote.ashx?t=""&amp;A4951,""table"",10),7,2),""*"",""""),""-"",""0.00""))"),"Loading...")</f>
        <v>Loading...</v>
      </c>
      <c r="L4951" s="129">
        <v>1.40454457E8</v>
      </c>
      <c r="M4951" s="99">
        <v>0.64</v>
      </c>
    </row>
    <row r="4952">
      <c r="A4952" s="122" t="s">
        <v>10376</v>
      </c>
      <c r="B4952" s="123">
        <v>1255474.0</v>
      </c>
      <c r="C4952" s="124" t="s">
        <v>10377</v>
      </c>
      <c r="D4952" s="125"/>
      <c r="E4952" s="126">
        <v>14.8</v>
      </c>
      <c r="F4952" s="127"/>
      <c r="G4952" s="127"/>
      <c r="H4952" s="127"/>
      <c r="I4952" s="128"/>
      <c r="K4952" s="105" t="str">
        <f>IFERROR(__xludf.DUMMYFUNCTION("if(A4952="""","""",substitute(SUBSTITUTE(index(importhtml(""http://finviz.com/quote.ashx?t=""&amp;A4952,""table"",10),7,2),""*"",""""),""-"",""0.00""))"),"Loading...")</f>
        <v>Loading...</v>
      </c>
      <c r="L4952" s="129">
        <v>6.253682145E9</v>
      </c>
      <c r="M4952" s="99">
        <v>1.14</v>
      </c>
    </row>
    <row r="4953">
      <c r="A4953" s="122" t="s">
        <v>10378</v>
      </c>
      <c r="B4953" s="123">
        <v>1546066.0</v>
      </c>
      <c r="C4953" s="124" t="s">
        <v>10379</v>
      </c>
      <c r="D4953" s="125"/>
      <c r="E4953" s="126">
        <v>14.83</v>
      </c>
      <c r="F4953" s="127"/>
      <c r="G4953" s="127"/>
      <c r="H4953" s="127"/>
      <c r="I4953" s="128"/>
      <c r="K4953" s="105" t="str">
        <f>IFERROR(__xludf.DUMMYFUNCTION("if(A4953="""","""",substitute(SUBSTITUTE(index(importhtml(""http://finviz.com/quote.ashx?t=""&amp;A4953,""table"",10),7,2),""*"",""""),""-"",""0.00""))"),"Loading...")</f>
        <v>Loading...</v>
      </c>
      <c r="L4953" s="129">
        <v>2.5244778784E10</v>
      </c>
      <c r="M4953" s="99" t="str">
        <f>IFERROR(__xludf.DUMMYFUNCTION("GOOGLEFINANCE(A4953,""beta"")"),"#N/A")</f>
        <v>#N/A</v>
      </c>
    </row>
    <row r="4954">
      <c r="A4954" s="122" t="s">
        <v>10380</v>
      </c>
      <c r="B4954" s="123">
        <v>1627272.0</v>
      </c>
      <c r="C4954" s="124" t="s">
        <v>10381</v>
      </c>
      <c r="D4954" s="125"/>
      <c r="E4954" s="126">
        <v>14.84</v>
      </c>
      <c r="F4954" s="127"/>
      <c r="G4954" s="127"/>
      <c r="H4954" s="127"/>
      <c r="I4954" s="128"/>
      <c r="K4954" s="138" t="s">
        <v>5842</v>
      </c>
      <c r="L4954" s="129">
        <v>3.699614597E9</v>
      </c>
      <c r="M4954" s="99">
        <v>0.99</v>
      </c>
    </row>
    <row r="4955">
      <c r="A4955" s="122" t="s">
        <v>10382</v>
      </c>
      <c r="B4955" s="123">
        <v>1888447.0</v>
      </c>
      <c r="C4955" s="124" t="s">
        <v>10383</v>
      </c>
      <c r="D4955" s="125"/>
      <c r="E4955" s="126">
        <v>14.86</v>
      </c>
      <c r="F4955" s="127"/>
      <c r="G4955" s="127"/>
      <c r="H4955" s="127"/>
      <c r="I4955" s="128"/>
      <c r="K4955" s="138" t="s">
        <v>10384</v>
      </c>
      <c r="L4955" s="129">
        <v>1.609077912E9</v>
      </c>
      <c r="M4955" s="99">
        <f>IFERROR(__xludf.DUMMYFUNCTION("GOOGLEFINANCE(A4955,""beta"")"),1.38)</f>
        <v>1.38</v>
      </c>
    </row>
    <row r="4956">
      <c r="A4956" s="122" t="s">
        <v>10385</v>
      </c>
      <c r="B4956" s="123">
        <v>915191.0</v>
      </c>
      <c r="C4956" s="124" t="s">
        <v>10386</v>
      </c>
      <c r="D4956" s="125"/>
      <c r="E4956" s="126">
        <v>14.86</v>
      </c>
      <c r="F4956" s="127"/>
      <c r="G4956" s="127"/>
      <c r="H4956" s="127"/>
      <c r="I4956" s="128"/>
      <c r="K4956" s="105" t="str">
        <f>IFERROR(__xludf.DUMMYFUNCTION("if(A4956="""","""",substitute(SUBSTITUTE(index(importhtml(""http://finviz.com/quote.ashx?t=""&amp;A4956,""table"",10),7,2),""*"",""""),""-"",""0.00""))"),"Loading...")</f>
        <v>Loading...</v>
      </c>
      <c r="L4956" s="129">
        <v>2.5176537109E10</v>
      </c>
      <c r="M4956" s="99" t="str">
        <f>IFERROR(__xludf.DUMMYFUNCTION("GOOGLEFINANCE(A4956,""beta"")"),"#N/A")</f>
        <v>#N/A</v>
      </c>
    </row>
    <row r="4957">
      <c r="A4957" s="122" t="s">
        <v>10387</v>
      </c>
      <c r="B4957" s="123">
        <v>1657788.0</v>
      </c>
      <c r="C4957" s="124" t="s">
        <v>10388</v>
      </c>
      <c r="D4957" s="125"/>
      <c r="E4957" s="126">
        <v>14.87</v>
      </c>
      <c r="F4957" s="127"/>
      <c r="G4957" s="127"/>
      <c r="H4957" s="127"/>
      <c r="I4957" s="128"/>
      <c r="K4957" s="105" t="str">
        <f>IFERROR(__xludf.DUMMYFUNCTION("if(A4957="""","""",substitute(SUBSTITUTE(index(importhtml(""http://finviz.com/quote.ashx?t=""&amp;A4957,""table"",10),7,2),""*"",""""),""-"",""0.00""))"),"Loading...")</f>
        <v>Loading...</v>
      </c>
      <c r="L4957" s="129">
        <v>1.408170104E9</v>
      </c>
      <c r="M4957" s="99">
        <v>1.07</v>
      </c>
    </row>
    <row r="4958">
      <c r="A4958" s="122" t="s">
        <v>10389</v>
      </c>
      <c r="B4958" s="123">
        <v>895564.0</v>
      </c>
      <c r="C4958" s="124" t="s">
        <v>10390</v>
      </c>
      <c r="D4958" s="125"/>
      <c r="E4958" s="126">
        <v>14.88</v>
      </c>
      <c r="F4958" s="127"/>
      <c r="G4958" s="127"/>
      <c r="H4958" s="127"/>
      <c r="I4958" s="128"/>
      <c r="K4958" s="105" t="str">
        <f>IFERROR(__xludf.DUMMYFUNCTION("if(A4958="""","""",substitute(SUBSTITUTE(index(importhtml(""http://finviz.com/quote.ashx?t=""&amp;A4958,""table"",10),7,2),""*"",""""),""-"",""0.00""))"),"Loading...")</f>
        <v>Loading...</v>
      </c>
      <c r="L4958" s="129">
        <v>4.4969184223E10</v>
      </c>
      <c r="M4958" s="99">
        <v>0.57</v>
      </c>
    </row>
    <row r="4959">
      <c r="A4959" s="122" t="s">
        <v>10391</v>
      </c>
      <c r="B4959" s="123">
        <v>1714174.0</v>
      </c>
      <c r="C4959" s="124" t="s">
        <v>10392</v>
      </c>
      <c r="D4959" s="125"/>
      <c r="E4959" s="126">
        <v>14.89</v>
      </c>
      <c r="F4959" s="127"/>
      <c r="G4959" s="127"/>
      <c r="H4959" s="127"/>
      <c r="I4959" s="128"/>
      <c r="K4959" s="55" t="s">
        <v>5721</v>
      </c>
      <c r="L4959" s="129">
        <v>2.570197195E9</v>
      </c>
      <c r="M4959" s="99">
        <v>1.24</v>
      </c>
    </row>
    <row r="4960">
      <c r="A4960" s="122" t="s">
        <v>10393</v>
      </c>
      <c r="B4960" s="123">
        <v>752642.0</v>
      </c>
      <c r="C4960" s="124" t="s">
        <v>10394</v>
      </c>
      <c r="D4960" s="125"/>
      <c r="E4960" s="126">
        <v>14.9</v>
      </c>
      <c r="F4960" s="127"/>
      <c r="G4960" s="127"/>
      <c r="H4960" s="127"/>
      <c r="I4960" s="128"/>
      <c r="K4960" s="105" t="str">
        <f>IFERROR(__xludf.DUMMYFUNCTION("if(A4960="""","""",substitute(SUBSTITUTE(index(importhtml(""http://finviz.com/quote.ashx?t=""&amp;A4960,""table"",10),7,2),""*"",""""),""-"",""0.00""))"),"Loading...")</f>
        <v>Loading...</v>
      </c>
      <c r="L4960" s="129">
        <v>9.8933226E8</v>
      </c>
      <c r="M4960" s="99">
        <v>1.23</v>
      </c>
    </row>
    <row r="4961">
      <c r="A4961" s="122" t="s">
        <v>10395</v>
      </c>
      <c r="B4961" s="123">
        <v>1415311.0</v>
      </c>
      <c r="C4961" s="124" t="s">
        <v>10396</v>
      </c>
      <c r="D4961" s="125"/>
      <c r="E4961" s="126">
        <v>14.9</v>
      </c>
      <c r="F4961" s="127"/>
      <c r="G4961" s="127"/>
      <c r="H4961" s="127"/>
      <c r="I4961" s="128"/>
      <c r="K4961" s="105" t="str">
        <f>IFERROR(__xludf.DUMMYFUNCTION("if(A4961="""","""",substitute(SUBSTITUTE(index(importhtml(""http://finviz.com/quote.ashx?t=""&amp;A4961,""table"",10),7,2),""*"",""""),""-"",""0.00""))"),"Loading...")</f>
        <v>Loading...</v>
      </c>
      <c r="L4961" s="129" t="e">
        <v>#N/A</v>
      </c>
      <c r="M4961" s="99" t="str">
        <f>IFERROR(__xludf.DUMMYFUNCTION("GOOGLEFINANCE(A4961,""beta"")"),"#N/A")</f>
        <v>#N/A</v>
      </c>
    </row>
    <row r="4962">
      <c r="A4962" s="122" t="s">
        <v>10397</v>
      </c>
      <c r="B4962" s="123">
        <v>779544.0</v>
      </c>
      <c r="C4962" s="124" t="s">
        <v>10398</v>
      </c>
      <c r="D4962" s="125"/>
      <c r="E4962" s="126">
        <v>14.92</v>
      </c>
      <c r="F4962" s="127"/>
      <c r="G4962" s="127"/>
      <c r="H4962" s="127"/>
      <c r="I4962" s="128"/>
      <c r="K4962" s="105" t="str">
        <f>IFERROR(__xludf.DUMMYFUNCTION("if(A4962="""","""",substitute(SUBSTITUTE(index(importhtml(""http://finviz.com/quote.ashx?t=""&amp;A4962,""table"",10),7,2),""*"",""""),""-"",""0.00""))"),"Loading...")</f>
        <v>Loading...</v>
      </c>
      <c r="L4962" s="129">
        <v>5.3774007E7</v>
      </c>
      <c r="M4962" s="99">
        <v>0.98</v>
      </c>
    </row>
    <row r="4963">
      <c r="A4963" s="122" t="s">
        <v>10399</v>
      </c>
      <c r="B4963" s="123">
        <v>1075415.0</v>
      </c>
      <c r="C4963" s="124" t="s">
        <v>10400</v>
      </c>
      <c r="D4963" s="125"/>
      <c r="E4963" s="126">
        <v>14.94</v>
      </c>
      <c r="F4963" s="127"/>
      <c r="G4963" s="127"/>
      <c r="H4963" s="127"/>
      <c r="I4963" s="128"/>
      <c r="K4963" s="105" t="str">
        <f>IFERROR(__xludf.DUMMYFUNCTION("if(A4963="""","""",substitute(SUBSTITUTE(index(importhtml(""http://finviz.com/quote.ashx?t=""&amp;A4963,""table"",10),7,2),""*"",""""),""-"",""0.00""))"),"Loading...")</f>
        <v>Loading...</v>
      </c>
      <c r="L4963" s="129">
        <v>6.61238325E8</v>
      </c>
      <c r="M4963" s="99">
        <v>1.15</v>
      </c>
    </row>
    <row r="4964">
      <c r="A4964" s="122" t="s">
        <v>10401</v>
      </c>
      <c r="B4964" s="123">
        <v>899751.0</v>
      </c>
      <c r="C4964" s="124" t="s">
        <v>10402</v>
      </c>
      <c r="D4964" s="125"/>
      <c r="E4964" s="126">
        <v>14.94</v>
      </c>
      <c r="F4964" s="127"/>
      <c r="G4964" s="127"/>
      <c r="H4964" s="127"/>
      <c r="I4964" s="128"/>
      <c r="K4964" s="105" t="str">
        <f>IFERROR(__xludf.DUMMYFUNCTION("if(A4964="""","""",substitute(SUBSTITUTE(index(importhtml(""http://finviz.com/quote.ashx?t=""&amp;A4964,""table"",10),7,2),""*"",""""),""-"",""0.00""))"),"Loading...")</f>
        <v>Loading...</v>
      </c>
      <c r="L4964" s="129">
        <v>9.24633137E8</v>
      </c>
      <c r="M4964" s="99">
        <v>2.17</v>
      </c>
    </row>
    <row r="4965">
      <c r="A4965" s="122" t="s">
        <v>10403</v>
      </c>
      <c r="B4965" s="123">
        <v>1245648.0</v>
      </c>
      <c r="C4965" s="124" t="s">
        <v>10404</v>
      </c>
      <c r="D4965" s="125"/>
      <c r="E4965" s="126">
        <v>14.95</v>
      </c>
      <c r="F4965" s="127"/>
      <c r="G4965" s="127"/>
      <c r="H4965" s="127"/>
      <c r="I4965" s="128"/>
      <c r="K4965" s="55" t="s">
        <v>10405</v>
      </c>
      <c r="L4965" s="129">
        <v>1.56308676E8</v>
      </c>
      <c r="M4965" s="99">
        <v>0.85</v>
      </c>
    </row>
    <row r="4966">
      <c r="A4966" s="122" t="s">
        <v>10406</v>
      </c>
      <c r="B4966" s="123">
        <v>931427.0</v>
      </c>
      <c r="C4966" s="124" t="s">
        <v>10407</v>
      </c>
      <c r="D4966" s="125"/>
      <c r="E4966" s="126">
        <v>14.95</v>
      </c>
      <c r="F4966" s="127"/>
      <c r="G4966" s="127"/>
      <c r="H4966" s="127"/>
      <c r="I4966" s="128"/>
      <c r="K4966" s="105" t="str">
        <f>IFERROR(__xludf.DUMMYFUNCTION("if(A4966="""","""",substitute(SUBSTITUTE(index(importhtml(""http://finviz.com/quote.ashx?t=""&amp;A4966,""table"",10),7,2),""*"",""""),""-"",""0.00""))"),"Loading...")</f>
        <v>Loading...</v>
      </c>
      <c r="L4966" s="129">
        <v>1.793991007E9</v>
      </c>
      <c r="M4966" s="99">
        <v>0.74</v>
      </c>
    </row>
    <row r="4967">
      <c r="A4967" s="122" t="s">
        <v>10408</v>
      </c>
      <c r="B4967" s="123">
        <v>915191.0</v>
      </c>
      <c r="C4967" s="124" t="s">
        <v>10409</v>
      </c>
      <c r="D4967" s="125"/>
      <c r="E4967" s="126">
        <v>14.95</v>
      </c>
      <c r="F4967" s="127"/>
      <c r="G4967" s="127"/>
      <c r="H4967" s="127"/>
      <c r="I4967" s="128"/>
      <c r="K4967" s="105" t="str">
        <f>IFERROR(__xludf.DUMMYFUNCTION("if(A4967="""","""",substitute(SUBSTITUTE(index(importhtml(""http://finviz.com/quote.ashx?t=""&amp;A4967,""table"",10),7,2),""*"",""""),""-"",""0.00""))"),"Loading...")</f>
        <v>Loading...</v>
      </c>
      <c r="L4967" s="129">
        <v>2.5176537109E10</v>
      </c>
      <c r="M4967" s="99" t="str">
        <f>IFERROR(__xludf.DUMMYFUNCTION("GOOGLEFINANCE(A4967,""beta"")"),"#N/A")</f>
        <v>#N/A</v>
      </c>
    </row>
    <row r="4968">
      <c r="A4968" s="122" t="s">
        <v>10410</v>
      </c>
      <c r="B4968" s="123">
        <v>1724521.0</v>
      </c>
      <c r="C4968" s="124" t="s">
        <v>10411</v>
      </c>
      <c r="D4968" s="125"/>
      <c r="E4968" s="126">
        <v>14.96</v>
      </c>
      <c r="F4968" s="127"/>
      <c r="G4968" s="127"/>
      <c r="H4968" s="127"/>
      <c r="I4968" s="128"/>
      <c r="K4968" s="105" t="str">
        <f>IFERROR(__xludf.DUMMYFUNCTION("if(A4968="""","""",substitute(SUBSTITUTE(index(importhtml(""http://finviz.com/quote.ashx?t=""&amp;A4968,""table"",10),7,2),""*"",""""),""-"",""0.00""))"),"Loading...")</f>
        <v>Loading...</v>
      </c>
      <c r="L4968" s="129">
        <v>1.119839479E9</v>
      </c>
      <c r="M4968" s="99">
        <v>0.78</v>
      </c>
    </row>
    <row r="4969">
      <c r="A4969" s="122" t="s">
        <v>10412</v>
      </c>
      <c r="B4969" s="123">
        <v>1466085.0</v>
      </c>
      <c r="C4969" s="124" t="s">
        <v>10413</v>
      </c>
      <c r="D4969" s="125"/>
      <c r="E4969" s="126">
        <v>14.98</v>
      </c>
      <c r="F4969" s="127"/>
      <c r="G4969" s="127"/>
      <c r="H4969" s="127"/>
      <c r="I4969" s="128"/>
      <c r="K4969" s="105" t="str">
        <f>IFERROR(__xludf.DUMMYFUNCTION("if(A4969="""","""",substitute(SUBSTITUTE(index(importhtml(""http://finviz.com/quote.ashx?t=""&amp;A4969,""table"",10),7,2),""*"",""""),""-"",""0.00""))"),"Loading...")</f>
        <v>Loading...</v>
      </c>
      <c r="L4969" s="129">
        <v>3.366164685E9</v>
      </c>
      <c r="M4969" s="99">
        <v>1.09</v>
      </c>
    </row>
    <row r="4970">
      <c r="A4970" s="122" t="s">
        <v>10414</v>
      </c>
      <c r="B4970" s="123">
        <v>812074.0</v>
      </c>
      <c r="C4970" s="124" t="s">
        <v>10415</v>
      </c>
      <c r="D4970" s="125"/>
      <c r="E4970" s="126">
        <v>15.0</v>
      </c>
      <c r="F4970" s="127"/>
      <c r="G4970" s="127"/>
      <c r="H4970" s="127"/>
      <c r="I4970" s="128"/>
      <c r="K4970" s="55" t="s">
        <v>1034</v>
      </c>
      <c r="L4970" s="129">
        <v>2.320908E9</v>
      </c>
      <c r="M4970" s="99">
        <v>1.32</v>
      </c>
    </row>
    <row r="4971">
      <c r="A4971" s="122" t="s">
        <v>10416</v>
      </c>
      <c r="B4971" s="123">
        <v>1074543.0</v>
      </c>
      <c r="C4971" s="124" t="s">
        <v>10417</v>
      </c>
      <c r="D4971" s="125"/>
      <c r="E4971" s="126">
        <v>15.0</v>
      </c>
      <c r="F4971" s="127"/>
      <c r="G4971" s="127"/>
      <c r="H4971" s="127"/>
      <c r="I4971" s="128"/>
      <c r="K4971" s="105" t="str">
        <f>IFERROR(__xludf.DUMMYFUNCTION("if(A4971="""","""",substitute(SUBSTITUTE(index(importhtml(""http://finviz.com/quote.ashx?t=""&amp;A4971,""table"",10),7,2),""*"",""""),""-"",""0.00""))"),"Loading...")</f>
        <v>Loading...</v>
      </c>
      <c r="L4971" s="129">
        <v>2.617332E7</v>
      </c>
      <c r="M4971" s="99">
        <v>0.34</v>
      </c>
    </row>
    <row r="4972">
      <c r="A4972" s="122" t="s">
        <v>10418</v>
      </c>
      <c r="B4972" s="123">
        <v>925173.0</v>
      </c>
      <c r="C4972" s="124" t="s">
        <v>10419</v>
      </c>
      <c r="D4972" s="125"/>
      <c r="E4972" s="126">
        <v>15.0</v>
      </c>
      <c r="F4972" s="127"/>
      <c r="G4972" s="127"/>
      <c r="H4972" s="127"/>
      <c r="I4972" s="128"/>
      <c r="K4972" s="105" t="str">
        <f>IFERROR(__xludf.DUMMYFUNCTION("if(A4972="""","""",substitute(SUBSTITUTE(index(importhtml(""http://finviz.com/quote.ashx?t=""&amp;A4972,""table"",10),7,2),""*"",""""),""-"",""0.00""))"),"Loading...")</f>
        <v>Loading...</v>
      </c>
      <c r="L4972" s="129">
        <v>6.2007165E7</v>
      </c>
      <c r="M4972" s="99">
        <v>0.37</v>
      </c>
    </row>
    <row r="4973">
      <c r="A4973" s="122" t="s">
        <v>10420</v>
      </c>
      <c r="B4973" s="123">
        <v>1094032.0</v>
      </c>
      <c r="C4973" s="124" t="s">
        <v>10421</v>
      </c>
      <c r="D4973" s="125"/>
      <c r="E4973" s="126">
        <v>15.0</v>
      </c>
      <c r="F4973" s="127"/>
      <c r="G4973" s="127"/>
      <c r="H4973" s="127"/>
      <c r="I4973" s="128"/>
      <c r="K4973" s="105" t="str">
        <f>IFERROR(__xludf.DUMMYFUNCTION("if(A4973="""","""",substitute(SUBSTITUTE(index(importhtml(""http://finviz.com/quote.ashx?t=""&amp;A4973,""table"",10),7,2),""*"",""""),""-"",""0.00""))"),"Loading...")</f>
        <v>Loading...</v>
      </c>
      <c r="L4973" s="129">
        <v>4.3734975E8</v>
      </c>
      <c r="M4973" s="99">
        <v>10.52</v>
      </c>
    </row>
    <row r="4974">
      <c r="A4974" s="122" t="s">
        <v>10422</v>
      </c>
      <c r="B4974" s="123">
        <v>1746618.0</v>
      </c>
      <c r="C4974" s="124" t="s">
        <v>10423</v>
      </c>
      <c r="D4974" s="125"/>
      <c r="E4974" s="126">
        <v>15.0</v>
      </c>
      <c r="F4974" s="127"/>
      <c r="G4974" s="127"/>
      <c r="H4974" s="127"/>
      <c r="I4974" s="128"/>
      <c r="K4974" s="105" t="str">
        <f>IFERROR(__xludf.DUMMYFUNCTION("if(A4974="""","""",substitute(SUBSTITUTE(index(importhtml(""http://finviz.com/quote.ashx?t=""&amp;A4974,""table"",10),7,2),""*"",""""),""-"",""0.00""))"),"Loading...")</f>
        <v>Loading...</v>
      </c>
      <c r="L4974" s="129">
        <v>1.08230775E9</v>
      </c>
      <c r="M4974" s="99">
        <v>2.06</v>
      </c>
    </row>
    <row r="4975">
      <c r="A4975" s="122" t="s">
        <v>10424</v>
      </c>
      <c r="B4975" s="123">
        <v>1697884.0</v>
      </c>
      <c r="C4975" s="124" t="s">
        <v>10425</v>
      </c>
      <c r="D4975" s="125"/>
      <c r="E4975" s="126">
        <v>15.0</v>
      </c>
      <c r="F4975" s="127"/>
      <c r="G4975" s="127"/>
      <c r="H4975" s="127"/>
      <c r="I4975" s="128"/>
      <c r="K4975" s="105" t="str">
        <f>IFERROR(__xludf.DUMMYFUNCTION("if(A4975="""","""",substitute(SUBSTITUTE(index(importhtml(""http://finviz.com/quote.ashx?t=""&amp;A4975,""table"",10),7,2),""*"",""""),""-"",""0.00""))"),"Loading...")</f>
        <v>Loading...</v>
      </c>
      <c r="L4975" s="129">
        <v>3.097801E9</v>
      </c>
      <c r="M4975" s="99" t="str">
        <f>IFERROR(__xludf.DUMMYFUNCTION("GOOGLEFINANCE(A4975,""beta"")"),"#N/A")</f>
        <v>#N/A</v>
      </c>
    </row>
    <row r="4976">
      <c r="A4976" s="122" t="s">
        <v>10426</v>
      </c>
      <c r="B4976" s="123">
        <v>1125259.0</v>
      </c>
      <c r="C4976" s="124" t="s">
        <v>10427</v>
      </c>
      <c r="D4976" s="125"/>
      <c r="E4976" s="126">
        <v>15.04</v>
      </c>
      <c r="F4976" s="127"/>
      <c r="G4976" s="127"/>
      <c r="H4976" s="127"/>
      <c r="I4976" s="128"/>
      <c r="K4976" s="55" t="s">
        <v>1034</v>
      </c>
      <c r="L4976" s="129">
        <v>2.0518741067E10</v>
      </c>
      <c r="M4976" s="99">
        <v>2.62</v>
      </c>
    </row>
    <row r="4977">
      <c r="A4977" s="122" t="s">
        <v>10428</v>
      </c>
      <c r="B4977" s="123">
        <v>1655050.0</v>
      </c>
      <c r="C4977" s="124" t="s">
        <v>10429</v>
      </c>
      <c r="D4977" s="125"/>
      <c r="E4977" s="126">
        <v>15.04</v>
      </c>
      <c r="F4977" s="127"/>
      <c r="G4977" s="127"/>
      <c r="H4977" s="127"/>
      <c r="I4977" s="128"/>
      <c r="K4977" s="105" t="str">
        <f>IFERROR(__xludf.DUMMYFUNCTION("if(A4977="""","""",substitute(SUBSTITUTE(index(importhtml(""http://finviz.com/quote.ashx?t=""&amp;A4977,""table"",10),7,2),""*"",""""),""-"",""0.00""))"),"Loading...")</f>
        <v>Loading...</v>
      </c>
      <c r="L4977" s="129">
        <v>9.71016387E8</v>
      </c>
      <c r="M4977" s="99">
        <v>1.12</v>
      </c>
    </row>
    <row r="4978">
      <c r="A4978" s="122" t="s">
        <v>10430</v>
      </c>
      <c r="B4978" s="123">
        <v>1822479.0</v>
      </c>
      <c r="C4978" s="124" t="s">
        <v>10431</v>
      </c>
      <c r="D4978" s="125"/>
      <c r="E4978" s="126">
        <v>15.04</v>
      </c>
      <c r="F4978" s="127"/>
      <c r="G4978" s="127"/>
      <c r="H4978" s="127"/>
      <c r="I4978" s="128"/>
      <c r="K4978" s="105" t="str">
        <f>IFERROR(__xludf.DUMMYFUNCTION("if(A4978="""","""",substitute(SUBSTITUTE(index(importhtml(""http://finviz.com/quote.ashx?t=""&amp;A4978,""table"",10),7,2),""*"",""""),""-"",""0.00""))"),"Loading...")</f>
        <v>Loading...</v>
      </c>
      <c r="L4978" s="129">
        <v>4.250642389E9</v>
      </c>
      <c r="M4978" s="99">
        <v>2.2</v>
      </c>
    </row>
    <row r="4979">
      <c r="A4979" s="122" t="s">
        <v>10432</v>
      </c>
      <c r="B4979" s="123">
        <v>719245.0</v>
      </c>
      <c r="C4979" s="124" t="s">
        <v>10433</v>
      </c>
      <c r="D4979" s="125"/>
      <c r="E4979" s="126">
        <v>15.04</v>
      </c>
      <c r="F4979" s="127"/>
      <c r="G4979" s="127"/>
      <c r="H4979" s="127"/>
      <c r="I4979" s="128"/>
      <c r="K4979" s="105" t="str">
        <f>IFERROR(__xludf.DUMMYFUNCTION("if(A4979="""","""",substitute(SUBSTITUTE(index(importhtml(""http://finviz.com/quote.ashx?t=""&amp;A4979,""table"",10),7,2),""*"",""""),""-"",""0.00""))"),"Loading...")</f>
        <v>Loading...</v>
      </c>
      <c r="L4979" s="129">
        <v>8.4212539378E10</v>
      </c>
      <c r="M4979" s="99">
        <v>1.12</v>
      </c>
    </row>
    <row r="4980">
      <c r="A4980" s="122" t="s">
        <v>10434</v>
      </c>
      <c r="B4980" s="123">
        <v>1561032.0</v>
      </c>
      <c r="C4980" s="124" t="s">
        <v>10435</v>
      </c>
      <c r="D4980" s="125"/>
      <c r="E4980" s="126">
        <v>15.04</v>
      </c>
      <c r="F4980" s="127"/>
      <c r="G4980" s="127"/>
      <c r="H4980" s="127"/>
      <c r="I4980" s="128"/>
      <c r="K4980" s="105" t="str">
        <f>IFERROR(__xludf.DUMMYFUNCTION("if(A4980="""","""",substitute(SUBSTITUTE(index(importhtml(""http://finviz.com/quote.ashx?t=""&amp;A4980,""table"",10),7,2),""*"",""""),""-"",""0.00""))"),"Loading...")</f>
        <v>Loading...</v>
      </c>
      <c r="L4980" s="129" t="e">
        <v>#N/A</v>
      </c>
      <c r="M4980" s="99" t="str">
        <f>IFERROR(__xludf.DUMMYFUNCTION("GOOGLEFINANCE(A4980,""beta"")"),"#N/A")</f>
        <v>#N/A</v>
      </c>
    </row>
    <row r="4981">
      <c r="A4981" s="122" t="s">
        <v>10436</v>
      </c>
      <c r="B4981" s="123">
        <v>1528287.0</v>
      </c>
      <c r="C4981" s="124" t="s">
        <v>10437</v>
      </c>
      <c r="D4981" s="125"/>
      <c r="E4981" s="126">
        <v>15.06</v>
      </c>
      <c r="F4981" s="127"/>
      <c r="G4981" s="127"/>
      <c r="H4981" s="127"/>
      <c r="I4981" s="128"/>
      <c r="K4981" s="105" t="str">
        <f>IFERROR(__xludf.DUMMYFUNCTION("if(A4981="""","""",substitute(SUBSTITUTE(index(importhtml(""http://finviz.com/quote.ashx?t=""&amp;A4981,""table"",10),7,2),""*"",""""),""-"",""0.00""))"),"Loading...")</f>
        <v>Loading...</v>
      </c>
      <c r="L4981" s="129">
        <v>3.95832081E8</v>
      </c>
      <c r="M4981" s="99">
        <f>IFERROR(__xludf.DUMMYFUNCTION("GOOGLEFINANCE(A4981,""beta"")"),1.9)</f>
        <v>1.9</v>
      </c>
    </row>
    <row r="4982">
      <c r="A4982" s="122" t="s">
        <v>10438</v>
      </c>
      <c r="B4982" s="123">
        <v>1040470.0</v>
      </c>
      <c r="C4982" s="124" t="s">
        <v>10439</v>
      </c>
      <c r="D4982" s="125"/>
      <c r="E4982" s="126">
        <v>15.06</v>
      </c>
      <c r="F4982" s="127"/>
      <c r="G4982" s="127"/>
      <c r="H4982" s="127"/>
      <c r="I4982" s="128"/>
      <c r="K4982" s="105" t="str">
        <f>IFERROR(__xludf.DUMMYFUNCTION("if(A4982="""","""",substitute(SUBSTITUTE(index(importhtml(""http://finviz.com/quote.ashx?t=""&amp;A4982,""table"",10),7,2),""*"",""""),""-"",""0.00""))"),"Loading...")</f>
        <v>Loading...</v>
      </c>
      <c r="L4982" s="129">
        <v>4.34469415E8</v>
      </c>
      <c r="M4982" s="99">
        <v>2.03</v>
      </c>
    </row>
    <row r="4983">
      <c r="A4983" s="122" t="s">
        <v>10440</v>
      </c>
      <c r="B4983" s="123">
        <v>1727196.0</v>
      </c>
      <c r="C4983" s="124" t="s">
        <v>10441</v>
      </c>
      <c r="D4983" s="125"/>
      <c r="E4983" s="126">
        <v>15.06</v>
      </c>
      <c r="F4983" s="127"/>
      <c r="G4983" s="127"/>
      <c r="H4983" s="127"/>
      <c r="I4983" s="128"/>
      <c r="K4983" s="105" t="str">
        <f>IFERROR(__xludf.DUMMYFUNCTION("if(A4983="""","""",substitute(SUBSTITUTE(index(importhtml(""http://finviz.com/quote.ashx?t=""&amp;A4983,""table"",10),7,2),""*"",""""),""-"",""0.00""))"),"Loading...")</f>
        <v>Loading...</v>
      </c>
      <c r="L4983" s="129">
        <v>1.086477074E9</v>
      </c>
      <c r="M4983" s="99">
        <v>0.9</v>
      </c>
    </row>
    <row r="4984">
      <c r="A4984" s="122" t="s">
        <v>10442</v>
      </c>
      <c r="B4984" s="123">
        <v>1792627.0</v>
      </c>
      <c r="C4984" s="124" t="s">
        <v>10443</v>
      </c>
      <c r="D4984" s="125"/>
      <c r="E4984" s="126">
        <v>15.06</v>
      </c>
      <c r="F4984" s="127"/>
      <c r="G4984" s="127"/>
      <c r="H4984" s="127"/>
      <c r="I4984" s="128"/>
      <c r="K4984" s="105" t="str">
        <f>IFERROR(__xludf.DUMMYFUNCTION("if(A4984="""","""",substitute(SUBSTITUTE(index(importhtml(""http://finviz.com/quote.ashx?t=""&amp;A4984,""table"",10),7,2),""*"",""""),""-"",""0.00""))"),"Loading...")</f>
        <v>Loading...</v>
      </c>
      <c r="L4984" s="129">
        <v>3.321767281E9</v>
      </c>
      <c r="M4984" s="99">
        <f>IFERROR(__xludf.DUMMYFUNCTION("GOOGLEFINANCE(A4984,""beta"")"),14230.11)</f>
        <v>14230.11</v>
      </c>
    </row>
    <row r="4985">
      <c r="A4985" s="122" t="s">
        <v>10444</v>
      </c>
      <c r="B4985" s="123">
        <v>1125259.0</v>
      </c>
      <c r="C4985" s="124" t="s">
        <v>10427</v>
      </c>
      <c r="D4985" s="125"/>
      <c r="E4985" s="126">
        <v>15.06</v>
      </c>
      <c r="F4985" s="127"/>
      <c r="G4985" s="127"/>
      <c r="H4985" s="127"/>
      <c r="I4985" s="128"/>
      <c r="K4985" s="105" t="str">
        <f>IFERROR(__xludf.DUMMYFUNCTION("if(A4985="""","""",substitute(SUBSTITUTE(index(importhtml(""http://finviz.com/quote.ashx?t=""&amp;A4985,""table"",10),7,2),""*"",""""),""-"",""0.00""))"),"Loading...")</f>
        <v>Loading...</v>
      </c>
      <c r="L4985" s="129">
        <v>2.0518741067E10</v>
      </c>
      <c r="M4985" s="99">
        <v>2.61</v>
      </c>
    </row>
    <row r="4986">
      <c r="A4986" s="122" t="s">
        <v>10445</v>
      </c>
      <c r="B4986" s="123">
        <v>1547459.0</v>
      </c>
      <c r="C4986" s="124" t="s">
        <v>10446</v>
      </c>
      <c r="D4986" s="125"/>
      <c r="E4986" s="126">
        <v>15.07</v>
      </c>
      <c r="F4986" s="127"/>
      <c r="G4986" s="127"/>
      <c r="H4986" s="127"/>
      <c r="I4986" s="128"/>
      <c r="K4986" s="105" t="str">
        <f>IFERROR(__xludf.DUMMYFUNCTION("if(A4986="""","""",substitute(SUBSTITUTE(index(importhtml(""http://finviz.com/quote.ashx?t=""&amp;A4986,""table"",10),7,2),""*"",""""),""-"",""0.00""))"),"Loading...")</f>
        <v>Loading...</v>
      </c>
      <c r="L4986" s="129">
        <v>3.42878811E8</v>
      </c>
      <c r="M4986" s="99">
        <v>1.13</v>
      </c>
    </row>
    <row r="4987">
      <c r="A4987" s="122" t="s">
        <v>10447</v>
      </c>
      <c r="B4987" s="123">
        <v>1572694.0</v>
      </c>
      <c r="C4987" s="124" t="s">
        <v>10448</v>
      </c>
      <c r="D4987" s="125"/>
      <c r="E4987" s="126">
        <v>15.1</v>
      </c>
      <c r="F4987" s="127"/>
      <c r="G4987" s="127"/>
      <c r="H4987" s="127"/>
      <c r="I4987" s="128"/>
      <c r="K4987" s="105" t="str">
        <f>IFERROR(__xludf.DUMMYFUNCTION("if(A4987="""","""",substitute(SUBSTITUTE(index(importhtml(""http://finviz.com/quote.ashx?t=""&amp;A4987,""table"",10),7,2),""*"",""""),""-"",""0.00""))"),"Loading...")</f>
        <v>Loading...</v>
      </c>
      <c r="L4987" s="129">
        <v>1.654408891E9</v>
      </c>
      <c r="M4987" s="99">
        <v>1.09</v>
      </c>
    </row>
    <row r="4988">
      <c r="A4988" s="122" t="s">
        <v>10449</v>
      </c>
      <c r="B4988" s="123">
        <v>1544206.0</v>
      </c>
      <c r="C4988" s="124" t="s">
        <v>10450</v>
      </c>
      <c r="D4988" s="125"/>
      <c r="E4988" s="126">
        <v>15.11</v>
      </c>
      <c r="F4988" s="127"/>
      <c r="G4988" s="127"/>
      <c r="H4988" s="127"/>
      <c r="I4988" s="128"/>
      <c r="K4988" s="105" t="str">
        <f>IFERROR(__xludf.DUMMYFUNCTION("if(A4988="""","""",substitute(SUBSTITUTE(index(importhtml(""http://finviz.com/quote.ashx?t=""&amp;A4988,""table"",10),7,2),""*"",""""),""-"",""0.00""))"),"Loading...")</f>
        <v>Loading...</v>
      </c>
      <c r="L4988" s="129">
        <v>7.67511374E8</v>
      </c>
      <c r="M4988" s="99">
        <v>1.45</v>
      </c>
    </row>
    <row r="4989">
      <c r="A4989" s="122" t="s">
        <v>10451</v>
      </c>
      <c r="B4989" s="123">
        <v>1281845.0</v>
      </c>
      <c r="C4989" s="124" t="s">
        <v>10452</v>
      </c>
      <c r="D4989" s="125"/>
      <c r="E4989" s="126">
        <v>15.13</v>
      </c>
      <c r="F4989" s="127"/>
      <c r="G4989" s="127"/>
      <c r="H4989" s="127"/>
      <c r="I4989" s="128"/>
      <c r="K4989" s="105" t="str">
        <f>IFERROR(__xludf.DUMMYFUNCTION("if(A4989="""","""",substitute(SUBSTITUTE(index(importhtml(""http://finviz.com/quote.ashx?t=""&amp;A4989,""table"",10),7,2),""*"",""""),""-"",""0.00""))"),"Loading...")</f>
        <v>Loading...</v>
      </c>
      <c r="L4989" s="129" t="e">
        <v>#N/A</v>
      </c>
      <c r="M4989" s="99">
        <v>-4.5</v>
      </c>
    </row>
    <row r="4990">
      <c r="A4990" s="122" t="s">
        <v>10453</v>
      </c>
      <c r="B4990" s="123">
        <v>1010470.0</v>
      </c>
      <c r="C4990" s="124" t="s">
        <v>10454</v>
      </c>
      <c r="D4990" s="125"/>
      <c r="E4990" s="126">
        <v>15.15</v>
      </c>
      <c r="F4990" s="127"/>
      <c r="G4990" s="127"/>
      <c r="H4990" s="127"/>
      <c r="I4990" s="128"/>
      <c r="K4990" s="105" t="str">
        <f>IFERROR(__xludf.DUMMYFUNCTION("if(A4990="""","""",substitute(SUBSTITUTE(index(importhtml(""http://finviz.com/quote.ashx?t=""&amp;A4990,""table"",10),7,2),""*"",""""),""-"",""0.00""))"),"Loading...")</f>
        <v>Loading...</v>
      </c>
      <c r="L4990" s="129">
        <v>1.05237108E8</v>
      </c>
      <c r="M4990" s="99">
        <v>0.44</v>
      </c>
    </row>
    <row r="4991">
      <c r="A4991" s="122" t="s">
        <v>10455</v>
      </c>
      <c r="B4991" s="123">
        <v>1418076.0</v>
      </c>
      <c r="C4991" s="124" t="s">
        <v>10456</v>
      </c>
      <c r="D4991" s="125"/>
      <c r="E4991" s="126">
        <v>15.16</v>
      </c>
      <c r="F4991" s="127"/>
      <c r="G4991" s="127"/>
      <c r="H4991" s="127"/>
      <c r="I4991" s="128"/>
      <c r="K4991" s="105" t="str">
        <f>IFERROR(__xludf.DUMMYFUNCTION("if(A4991="""","""",substitute(SUBSTITUTE(index(importhtml(""http://finviz.com/quote.ashx?t=""&amp;A4991,""table"",10),7,2),""*"",""""),""-"",""0.00""))"),"Loading...")</f>
        <v>Loading...</v>
      </c>
      <c r="L4991" s="129">
        <v>8.27048182E8</v>
      </c>
      <c r="M4991" s="99">
        <v>1.1</v>
      </c>
    </row>
    <row r="4992">
      <c r="A4992" s="122" t="s">
        <v>10457</v>
      </c>
      <c r="B4992" s="123">
        <v>1446420.0</v>
      </c>
      <c r="C4992" s="124" t="s">
        <v>10458</v>
      </c>
      <c r="D4992" s="125"/>
      <c r="E4992" s="126">
        <v>15.16</v>
      </c>
      <c r="F4992" s="137"/>
      <c r="G4992" s="140"/>
      <c r="H4992" s="127"/>
      <c r="I4992" s="128"/>
      <c r="K4992" s="105" t="str">
        <f>IFERROR(__xludf.DUMMYFUNCTION("if(A4992="""","""",substitute(SUBSTITUTE(index(importhtml(""http://finviz.com/quote.ashx?t=""&amp;A4992,""table"",10),7,2),""*"",""""),""-"",""0.00""))"),"Loading...")</f>
        <v>Loading...</v>
      </c>
      <c r="L4992" s="129">
        <v>8.724654672E11</v>
      </c>
      <c r="M4992" s="99">
        <v>0.8</v>
      </c>
    </row>
    <row r="4993">
      <c r="A4993" s="122" t="s">
        <v>10459</v>
      </c>
      <c r="B4993" s="123">
        <v>924901.0</v>
      </c>
      <c r="C4993" s="124" t="s">
        <v>10460</v>
      </c>
      <c r="D4993" s="125"/>
      <c r="E4993" s="126">
        <v>15.17</v>
      </c>
      <c r="F4993" s="127"/>
      <c r="G4993" s="127"/>
      <c r="H4993" s="127"/>
      <c r="I4993" s="128"/>
      <c r="K4993" s="105" t="str">
        <f>IFERROR(__xludf.DUMMYFUNCTION("if(A4993="""","""",substitute(SUBSTITUTE(index(importhtml(""http://finviz.com/quote.ashx?t=""&amp;A4993,""table"",10),7,2),""*"",""""),""-"",""0.00""))"),"Loading...")</f>
        <v>Loading...</v>
      </c>
      <c r="L4993" s="129">
        <v>1.370412E9</v>
      </c>
      <c r="M4993" s="99">
        <v>1.06</v>
      </c>
    </row>
    <row r="4994">
      <c r="A4994" s="122" t="s">
        <v>10461</v>
      </c>
      <c r="B4994" s="123">
        <v>948696.0</v>
      </c>
      <c r="C4994" s="124" t="s">
        <v>10462</v>
      </c>
      <c r="D4994" s="125"/>
      <c r="E4994" s="126">
        <v>15.17</v>
      </c>
      <c r="F4994" s="127"/>
      <c r="G4994" s="127"/>
      <c r="H4994" s="127"/>
      <c r="I4994" s="128"/>
      <c r="K4994" s="105" t="str">
        <f>IFERROR(__xludf.DUMMYFUNCTION("if(A4994="""","""",substitute(SUBSTITUTE(index(importhtml(""http://finviz.com/quote.ashx?t=""&amp;A4994,""table"",10),7,2),""*"",""""),""-"",""0.00""))"),"Loading...")</f>
        <v>Loading...</v>
      </c>
      <c r="L4994" s="129">
        <v>4.378278953E10</v>
      </c>
      <c r="M4994" s="99">
        <v>1.08</v>
      </c>
    </row>
    <row r="4995">
      <c r="A4995" s="122" t="s">
        <v>10463</v>
      </c>
      <c r="B4995" s="123">
        <v>1546066.0</v>
      </c>
      <c r="C4995" s="124" t="s">
        <v>10464</v>
      </c>
      <c r="D4995" s="125"/>
      <c r="E4995" s="126">
        <v>15.19</v>
      </c>
      <c r="F4995" s="127"/>
      <c r="G4995" s="127"/>
      <c r="H4995" s="127"/>
      <c r="I4995" s="128"/>
      <c r="K4995" s="105" t="str">
        <f>IFERROR(__xludf.DUMMYFUNCTION("if(A4995="""","""",substitute(SUBSTITUTE(index(importhtml(""http://finviz.com/quote.ashx?t=""&amp;A4995,""table"",10),7,2),""*"",""""),""-"",""0.00""))"),"Loading...")</f>
        <v>Loading...</v>
      </c>
      <c r="L4995" s="129">
        <v>2.5244778784E10</v>
      </c>
      <c r="M4995" s="99" t="str">
        <f>IFERROR(__xludf.DUMMYFUNCTION("GOOGLEFINANCE(A4995,""beta"")"),"#N/A")</f>
        <v>#N/A</v>
      </c>
    </row>
    <row r="4996">
      <c r="A4996" s="122" t="s">
        <v>10465</v>
      </c>
      <c r="B4996" s="123">
        <v>1856236.0</v>
      </c>
      <c r="C4996" s="124" t="s">
        <v>10466</v>
      </c>
      <c r="D4996" s="125"/>
      <c r="E4996" s="126">
        <v>15.2</v>
      </c>
      <c r="F4996" s="127"/>
      <c r="G4996" s="127"/>
      <c r="H4996" s="127"/>
      <c r="I4996" s="128"/>
      <c r="K4996" s="105" t="str">
        <f>IFERROR(__xludf.DUMMYFUNCTION("if(A4996="""","""",substitute(SUBSTITUTE(index(importhtml(""http://finviz.com/quote.ashx?t=""&amp;A4996,""table"",10),7,2),""*"",""""),""-"",""0.00""))"),"Loading...")</f>
        <v>Loading...</v>
      </c>
      <c r="L4996" s="129">
        <v>9.49108964E8</v>
      </c>
      <c r="M4996" s="99">
        <f>IFERROR(__xludf.DUMMYFUNCTION("GOOGLEFINANCE(A4996,""beta"")"),1.35)</f>
        <v>1.35</v>
      </c>
    </row>
    <row r="4997">
      <c r="A4997" s="122" t="s">
        <v>10467</v>
      </c>
      <c r="B4997" s="123">
        <v>1617406.0</v>
      </c>
      <c r="C4997" s="124" t="s">
        <v>10468</v>
      </c>
      <c r="D4997" s="125"/>
      <c r="E4997" s="126">
        <v>15.21</v>
      </c>
      <c r="F4997" s="127"/>
      <c r="G4997" s="127"/>
      <c r="H4997" s="127"/>
      <c r="I4997" s="128"/>
      <c r="K4997" s="138" t="s">
        <v>10405</v>
      </c>
      <c r="L4997" s="129">
        <v>3.193852085E9</v>
      </c>
      <c r="M4997" s="99">
        <v>2.01</v>
      </c>
    </row>
    <row r="4998">
      <c r="A4998" s="122" t="s">
        <v>10469</v>
      </c>
      <c r="B4998" s="123">
        <v>1027838.0</v>
      </c>
      <c r="C4998" s="124" t="s">
        <v>10470</v>
      </c>
      <c r="D4998" s="125"/>
      <c r="E4998" s="126">
        <v>15.21</v>
      </c>
      <c r="F4998" s="127"/>
      <c r="G4998" s="127"/>
      <c r="H4998" s="127"/>
      <c r="I4998" s="128"/>
      <c r="K4998" s="105" t="str">
        <f>IFERROR(__xludf.DUMMYFUNCTION("if(A4998="""","""",substitute(SUBSTITUTE(index(importhtml(""http://finviz.com/quote.ashx?t=""&amp;A4998,""table"",10),7,2),""*"",""""),""-"",""0.00""))"),"Loading...")</f>
        <v>Loading...</v>
      </c>
      <c r="L4998" s="129">
        <v>3.57397736E8</v>
      </c>
      <c r="M4998" s="99">
        <v>1.2</v>
      </c>
    </row>
    <row r="4999">
      <c r="A4999" s="122" t="s">
        <v>10471</v>
      </c>
      <c r="B4999" s="123">
        <v>1348911.0</v>
      </c>
      <c r="C4999" s="124" t="s">
        <v>10472</v>
      </c>
      <c r="D4999" s="125"/>
      <c r="E4999" s="126">
        <v>15.22</v>
      </c>
      <c r="F4999" s="127"/>
      <c r="G4999" s="127"/>
      <c r="H4999" s="127"/>
      <c r="I4999" s="128"/>
      <c r="K4999" s="105" t="str">
        <f>IFERROR(__xludf.DUMMYFUNCTION("if(A4999="""","""",substitute(SUBSTITUTE(index(importhtml(""http://finviz.com/quote.ashx?t=""&amp;A4999,""table"",10),7,2),""*"",""""),""-"",""0.00""))"),"Loading...")</f>
        <v>Loading...</v>
      </c>
      <c r="L4999" s="129">
        <v>5.25983575E8</v>
      </c>
      <c r="M4999" s="99">
        <v>0.97</v>
      </c>
    </row>
    <row r="5000">
      <c r="A5000" s="122" t="s">
        <v>10473</v>
      </c>
      <c r="B5000" s="123">
        <v>1338561.0</v>
      </c>
      <c r="C5000" s="124" t="s">
        <v>10474</v>
      </c>
      <c r="D5000" s="125"/>
      <c r="E5000" s="126">
        <v>15.23</v>
      </c>
      <c r="F5000" s="127"/>
      <c r="G5000" s="127"/>
      <c r="H5000" s="127"/>
      <c r="I5000" s="128"/>
      <c r="K5000" s="105" t="str">
        <f>IFERROR(__xludf.DUMMYFUNCTION("if(A5000="""","""",substitute(SUBSTITUTE(index(importhtml(""http://finviz.com/quote.ashx?t=""&amp;A5000,""table"",10),7,2),""*"",""""),""-"",""0.00""))"),"Loading...")</f>
        <v>Loading...</v>
      </c>
      <c r="L5000" s="129">
        <v>2.73530944E8</v>
      </c>
      <c r="M5000" s="99">
        <v>0.92</v>
      </c>
    </row>
    <row r="5001">
      <c r="A5001" s="122" t="s">
        <v>10475</v>
      </c>
      <c r="B5001" s="123">
        <v>1750284.0</v>
      </c>
      <c r="C5001" s="124" t="s">
        <v>10476</v>
      </c>
      <c r="D5001" s="125"/>
      <c r="E5001" s="126">
        <v>15.23</v>
      </c>
      <c r="F5001" s="127"/>
      <c r="G5001" s="127"/>
      <c r="H5001" s="127"/>
      <c r="I5001" s="128"/>
      <c r="K5001" s="105" t="str">
        <f>IFERROR(__xludf.DUMMYFUNCTION("if(A5001="""","""",substitute(SUBSTITUTE(index(importhtml(""http://finviz.com/quote.ashx?t=""&amp;A5001,""table"",10),7,2),""*"",""""),""-"",""0.00""))"),"Loading...")</f>
        <v>Loading...</v>
      </c>
      <c r="L5001" s="129">
        <v>8.34143876E8</v>
      </c>
      <c r="M5001" s="99">
        <v>2.2</v>
      </c>
    </row>
    <row r="5002">
      <c r="A5002" s="122" t="s">
        <v>10477</v>
      </c>
      <c r="B5002" s="123">
        <v>800457.0</v>
      </c>
      <c r="C5002" s="124" t="s">
        <v>10478</v>
      </c>
      <c r="D5002" s="125"/>
      <c r="E5002" s="126">
        <v>15.24</v>
      </c>
      <c r="F5002" s="127"/>
      <c r="G5002" s="127"/>
      <c r="H5002" s="127"/>
      <c r="I5002" s="128"/>
      <c r="K5002" s="105" t="str">
        <f>IFERROR(__xludf.DUMMYFUNCTION("if(A5002="""","""",substitute(SUBSTITUTE(index(importhtml(""http://finviz.com/quote.ashx?t=""&amp;A5002,""table"",10),7,2),""*"",""""),""-"",""0.00""))"),"Loading...")</f>
        <v>Loading...</v>
      </c>
      <c r="L5002" s="129">
        <v>4.90863569E8</v>
      </c>
      <c r="M5002" s="99">
        <v>-0.11</v>
      </c>
    </row>
    <row r="5003">
      <c r="A5003" s="122" t="s">
        <v>10479</v>
      </c>
      <c r="B5003" s="123">
        <v>1786255.0</v>
      </c>
      <c r="C5003" s="124" t="s">
        <v>10480</v>
      </c>
      <c r="D5003" s="125"/>
      <c r="E5003" s="126">
        <v>15.24</v>
      </c>
      <c r="F5003" s="127"/>
      <c r="G5003" s="127"/>
      <c r="H5003" s="127"/>
      <c r="I5003" s="128"/>
      <c r="K5003" s="105" t="str">
        <f>IFERROR(__xludf.DUMMYFUNCTION("if(A5003="""","""",substitute(SUBSTITUTE(index(importhtml(""http://finviz.com/quote.ashx?t=""&amp;A5003,""table"",10),7,2),""*"",""""),""-"",""0.00""))"),"Loading...")</f>
        <v>Loading...</v>
      </c>
      <c r="L5003" s="129">
        <v>7.6337677E8</v>
      </c>
      <c r="M5003" s="99" t="str">
        <f>IFERROR(__xludf.DUMMYFUNCTION("GOOGLEFINANCE(A5003,""beta"")"),"#N/A")</f>
        <v>#N/A</v>
      </c>
    </row>
    <row r="5004">
      <c r="A5004" s="122" t="s">
        <v>10481</v>
      </c>
      <c r="B5004" s="123">
        <v>843006.0</v>
      </c>
      <c r="C5004" s="124" t="s">
        <v>10482</v>
      </c>
      <c r="D5004" s="125"/>
      <c r="E5004" s="126">
        <v>15.25</v>
      </c>
      <c r="F5004" s="127"/>
      <c r="G5004" s="127"/>
      <c r="H5004" s="127"/>
      <c r="I5004" s="128"/>
      <c r="K5004" s="105" t="str">
        <f>IFERROR(__xludf.DUMMYFUNCTION("if(A5004="""","""",substitute(SUBSTITUTE(index(importhtml(""http://finviz.com/quote.ashx?t=""&amp;A5004,""table"",10),7,2),""*"",""""),""-"",""0.00""))"),"Loading...")</f>
        <v>Loading...</v>
      </c>
      <c r="L5004" s="129">
        <v>5.8127632E7</v>
      </c>
      <c r="M5004" s="99">
        <v>0.89</v>
      </c>
    </row>
    <row r="5005">
      <c r="A5005" s="122" t="s">
        <v>10483</v>
      </c>
      <c r="B5005" s="123">
        <v>1437479.0</v>
      </c>
      <c r="C5005" s="124" t="s">
        <v>10484</v>
      </c>
      <c r="D5005" s="125"/>
      <c r="E5005" s="126">
        <v>15.25</v>
      </c>
      <c r="F5005" s="127"/>
      <c r="G5005" s="127"/>
      <c r="H5005" s="127"/>
      <c r="I5005" s="128"/>
      <c r="K5005" s="105" t="str">
        <f>IFERROR(__xludf.DUMMYFUNCTION("if(A5005="""","""",substitute(SUBSTITUTE(index(importhtml(""http://finviz.com/quote.ashx?t=""&amp;A5005,""table"",10),7,2),""*"",""""),""-"",""0.00""))"),"Loading...")</f>
        <v>Loading...</v>
      </c>
      <c r="L5005" s="129">
        <v>8.6254427E7</v>
      </c>
      <c r="M5005" s="99">
        <v>0.26</v>
      </c>
    </row>
    <row r="5006">
      <c r="A5006" s="122" t="s">
        <v>10485</v>
      </c>
      <c r="B5006" s="123">
        <v>1029730.0</v>
      </c>
      <c r="C5006" s="124" t="s">
        <v>10486</v>
      </c>
      <c r="D5006" s="125"/>
      <c r="E5006" s="126">
        <v>15.25</v>
      </c>
      <c r="F5006" s="127"/>
      <c r="G5006" s="127"/>
      <c r="H5006" s="127"/>
      <c r="I5006" s="128"/>
      <c r="K5006" s="105" t="str">
        <f>IFERROR(__xludf.DUMMYFUNCTION("if(A5006="""","""",substitute(SUBSTITUTE(index(importhtml(""http://finviz.com/quote.ashx?t=""&amp;A5006,""table"",10),7,2),""*"",""""),""-"",""0.00""))"),"Loading...")</f>
        <v>Loading...</v>
      </c>
      <c r="L5006" s="129" t="e">
        <v>#N/A</v>
      </c>
      <c r="M5006" s="99">
        <v>0.88</v>
      </c>
    </row>
    <row r="5007">
      <c r="A5007" s="122" t="s">
        <v>10487</v>
      </c>
      <c r="B5007" s="123">
        <v>1494582.0</v>
      </c>
      <c r="C5007" s="124" t="s">
        <v>10488</v>
      </c>
      <c r="D5007" s="125"/>
      <c r="E5007" s="126">
        <v>15.27</v>
      </c>
      <c r="F5007" s="127"/>
      <c r="G5007" s="127"/>
      <c r="H5007" s="127"/>
      <c r="I5007" s="128"/>
      <c r="K5007" s="55" t="s">
        <v>1034</v>
      </c>
      <c r="L5007" s="129">
        <v>4.78027364E8</v>
      </c>
      <c r="M5007" s="99">
        <v>0.76</v>
      </c>
    </row>
    <row r="5008">
      <c r="A5008" s="122" t="s">
        <v>10489</v>
      </c>
      <c r="B5008" s="123">
        <v>1070423.0</v>
      </c>
      <c r="C5008" s="124" t="s">
        <v>10490</v>
      </c>
      <c r="D5008" s="125"/>
      <c r="E5008" s="126">
        <v>15.27</v>
      </c>
      <c r="F5008" s="127"/>
      <c r="G5008" s="127"/>
      <c r="H5008" s="127"/>
      <c r="I5008" s="128"/>
      <c r="K5008" s="105" t="str">
        <f>IFERROR(__xludf.DUMMYFUNCTION("if(A5008="""","""",substitute(SUBSTITUTE(index(importhtml(""http://finviz.com/quote.ashx?t=""&amp;A5008,""table"",10),7,2),""*"",""""),""-"",""0.00""))"),"Loading...")</f>
        <v>Loading...</v>
      </c>
      <c r="L5008" s="129">
        <v>1.0704151214E10</v>
      </c>
      <c r="M5008" s="99">
        <v>1.6</v>
      </c>
    </row>
    <row r="5009">
      <c r="A5009" s="122" t="s">
        <v>10491</v>
      </c>
      <c r="B5009" s="123">
        <v>1476765.0</v>
      </c>
      <c r="C5009" s="124" t="s">
        <v>10492</v>
      </c>
      <c r="D5009" s="125"/>
      <c r="E5009" s="126">
        <v>15.28</v>
      </c>
      <c r="F5009" s="127"/>
      <c r="G5009" s="127"/>
      <c r="H5009" s="127"/>
      <c r="I5009" s="128"/>
      <c r="K5009" s="105" t="str">
        <f>IFERROR(__xludf.DUMMYFUNCTION("if(A5009="""","""",substitute(SUBSTITUTE(index(importhtml(""http://finviz.com/quote.ashx?t=""&amp;A5009,""table"",10),7,2),""*"",""""),""-"",""0.00""))"),"Loading...")</f>
        <v>Loading...</v>
      </c>
      <c r="L5009" s="129">
        <v>2.606550978E9</v>
      </c>
      <c r="M5009" s="99">
        <v>0.52</v>
      </c>
    </row>
    <row r="5010">
      <c r="A5010" s="122" t="s">
        <v>10493</v>
      </c>
      <c r="B5010" s="123">
        <v>1001115.0</v>
      </c>
      <c r="C5010" s="124" t="s">
        <v>10494</v>
      </c>
      <c r="D5010" s="125"/>
      <c r="E5010" s="126">
        <v>15.29</v>
      </c>
      <c r="F5010" s="127"/>
      <c r="G5010" s="127"/>
      <c r="H5010" s="127"/>
      <c r="I5010" s="128"/>
      <c r="K5010" s="105" t="str">
        <f>IFERROR(__xludf.DUMMYFUNCTION("if(A5010="""","""",substitute(SUBSTITUTE(index(importhtml(""http://finviz.com/quote.ashx?t=""&amp;A5010,""table"",10),7,2),""*"",""""),""-"",""0.00""))"),"Loading...")</f>
        <v>Loading...</v>
      </c>
      <c r="L5010" s="129">
        <v>2.03618152E8</v>
      </c>
      <c r="M5010" s="99">
        <v>0.83</v>
      </c>
    </row>
    <row r="5011">
      <c r="A5011" s="122" t="s">
        <v>10495</v>
      </c>
      <c r="B5011" s="123">
        <v>1794515.0</v>
      </c>
      <c r="C5011" s="124" t="s">
        <v>10496</v>
      </c>
      <c r="D5011" s="125"/>
      <c r="E5011" s="126">
        <v>15.31</v>
      </c>
      <c r="F5011" s="127"/>
      <c r="G5011" s="127"/>
      <c r="H5011" s="127"/>
      <c r="I5011" s="128"/>
      <c r="K5011" s="55" t="s">
        <v>1034</v>
      </c>
      <c r="L5011" s="129">
        <v>5.967567176E9</v>
      </c>
      <c r="M5011" s="99">
        <v>1.17</v>
      </c>
    </row>
    <row r="5012">
      <c r="A5012" s="122" t="s">
        <v>10497</v>
      </c>
      <c r="B5012" s="123">
        <v>1013131.0</v>
      </c>
      <c r="C5012" s="124" t="s">
        <v>10498</v>
      </c>
      <c r="D5012" s="125"/>
      <c r="E5012" s="126">
        <v>15.33</v>
      </c>
      <c r="F5012" s="127"/>
      <c r="G5012" s="127"/>
      <c r="H5012" s="127"/>
      <c r="I5012" s="128"/>
      <c r="K5012" s="55" t="s">
        <v>5516</v>
      </c>
      <c r="L5012" s="129">
        <v>3.495052956E9</v>
      </c>
      <c r="M5012" s="99">
        <v>0.89</v>
      </c>
    </row>
    <row r="5013">
      <c r="A5013" s="122" t="s">
        <v>10499</v>
      </c>
      <c r="B5013" s="123">
        <v>1278211.0</v>
      </c>
      <c r="C5013" s="124" t="s">
        <v>10500</v>
      </c>
      <c r="D5013" s="125"/>
      <c r="E5013" s="126">
        <v>15.33</v>
      </c>
      <c r="F5013" s="127"/>
      <c r="G5013" s="127"/>
      <c r="H5013" s="127"/>
      <c r="I5013" s="128"/>
      <c r="K5013" s="105" t="str">
        <f>IFERROR(__xludf.DUMMYFUNCTION("if(A5013="""","""",substitute(SUBSTITUTE(index(importhtml(""http://finviz.com/quote.ashx?t=""&amp;A5013,""table"",10),7,2),""*"",""""),""-"",""0.00""))"),"Loading...")</f>
        <v>Loading...</v>
      </c>
      <c r="L5013" s="129">
        <v>1.99488369E8</v>
      </c>
      <c r="M5013" s="99">
        <v>1.14</v>
      </c>
    </row>
    <row r="5014">
      <c r="A5014" s="122" t="s">
        <v>10501</v>
      </c>
      <c r="B5014" s="123">
        <v>1666175.0</v>
      </c>
      <c r="C5014" s="124" t="s">
        <v>10502</v>
      </c>
      <c r="D5014" s="125"/>
      <c r="E5014" s="126">
        <v>15.35</v>
      </c>
      <c r="F5014" s="127"/>
      <c r="G5014" s="127"/>
      <c r="H5014" s="127"/>
      <c r="I5014" s="128"/>
      <c r="K5014" s="105" t="str">
        <f>IFERROR(__xludf.DUMMYFUNCTION("if(A5014="""","""",substitute(SUBSTITUTE(index(importhtml(""http://finviz.com/quote.ashx?t=""&amp;A5014,""table"",10),7,2),""*"",""""),""-"",""0.00""))"),"Loading...")</f>
        <v>Loading...</v>
      </c>
      <c r="L5014" s="129">
        <v>2.6314271629E10</v>
      </c>
      <c r="M5014" s="99" t="str">
        <f>IFERROR(__xludf.DUMMYFUNCTION("GOOGLEFINANCE(A5014,""beta"")"),"#N/A")</f>
        <v>#N/A</v>
      </c>
    </row>
    <row r="5015">
      <c r="A5015" s="122" t="s">
        <v>10503</v>
      </c>
      <c r="B5015" s="123">
        <v>9521.0</v>
      </c>
      <c r="C5015" s="124" t="s">
        <v>10504</v>
      </c>
      <c r="D5015" s="125"/>
      <c r="E5015" s="126">
        <v>15.37</v>
      </c>
      <c r="F5015" s="127"/>
      <c r="G5015" s="127"/>
      <c r="H5015" s="127"/>
      <c r="I5015" s="128"/>
      <c r="K5015" s="55" t="s">
        <v>10505</v>
      </c>
      <c r="L5015" s="129">
        <v>9.034552E7</v>
      </c>
      <c r="M5015" s="99">
        <v>1.03</v>
      </c>
    </row>
    <row r="5016">
      <c r="A5016" s="122" t="s">
        <v>10506</v>
      </c>
      <c r="B5016" s="123">
        <v>1812923.0</v>
      </c>
      <c r="C5016" s="124" t="s">
        <v>10507</v>
      </c>
      <c r="D5016" s="125"/>
      <c r="E5016" s="126">
        <v>15.37</v>
      </c>
      <c r="F5016" s="127"/>
      <c r="G5016" s="127"/>
      <c r="H5016" s="127"/>
      <c r="I5016" s="128"/>
      <c r="K5016" s="105" t="str">
        <f>IFERROR(__xludf.DUMMYFUNCTION("if(A5016="""","""",substitute(SUBSTITUTE(index(importhtml(""http://finviz.com/quote.ashx?t=""&amp;A5016,""table"",10),7,2),""*"",""""),""-"",""0.00""))"),"Loading...")</f>
        <v>Loading...</v>
      </c>
      <c r="L5016" s="129">
        <v>3.79224775E8</v>
      </c>
      <c r="M5016" s="99">
        <v>0.48</v>
      </c>
    </row>
    <row r="5017">
      <c r="A5017" s="122" t="s">
        <v>10508</v>
      </c>
      <c r="B5017" s="123">
        <v>1525201.0</v>
      </c>
      <c r="C5017" s="124" t="s">
        <v>10509</v>
      </c>
      <c r="D5017" s="125"/>
      <c r="E5017" s="126">
        <v>15.38</v>
      </c>
      <c r="F5017" s="127"/>
      <c r="G5017" s="127"/>
      <c r="H5017" s="127"/>
      <c r="I5017" s="128"/>
      <c r="K5017" s="55" t="s">
        <v>9720</v>
      </c>
      <c r="L5017" s="129" t="e">
        <v>#N/A</v>
      </c>
      <c r="M5017" s="99">
        <v>0.4</v>
      </c>
    </row>
    <row r="5018">
      <c r="A5018" s="122" t="s">
        <v>10510</v>
      </c>
      <c r="B5018" s="123">
        <v>1474098.0</v>
      </c>
      <c r="C5018" s="124" t="s">
        <v>10511</v>
      </c>
      <c r="D5018" s="125"/>
      <c r="E5018" s="126">
        <v>15.38</v>
      </c>
      <c r="F5018" s="127"/>
      <c r="G5018" s="127"/>
      <c r="H5018" s="127"/>
      <c r="I5018" s="128"/>
      <c r="K5018" s="105" t="str">
        <f>IFERROR(__xludf.DUMMYFUNCTION("if(A5018="""","""",substitute(SUBSTITUTE(index(importhtml(""http://finviz.com/quote.ashx?t=""&amp;A5018,""table"",10),7,2),""*"",""""),""-"",""0.00""))"),"Loading...")</f>
        <v>Loading...</v>
      </c>
      <c r="L5018" s="129">
        <v>1.853317697E9</v>
      </c>
      <c r="M5018" s="99">
        <v>1.88</v>
      </c>
    </row>
    <row r="5019">
      <c r="A5019" s="122" t="s">
        <v>10512</v>
      </c>
      <c r="B5019" s="123">
        <v>831655.0</v>
      </c>
      <c r="C5019" s="124" t="s">
        <v>10513</v>
      </c>
      <c r="D5019" s="125"/>
      <c r="E5019" s="126">
        <v>15.39</v>
      </c>
      <c r="F5019" s="127"/>
      <c r="G5019" s="127"/>
      <c r="H5019" s="127"/>
      <c r="I5019" s="128"/>
      <c r="K5019" s="105" t="str">
        <f>IFERROR(__xludf.DUMMYFUNCTION("if(A5019="""","""",substitute(SUBSTITUTE(index(importhtml(""http://finviz.com/quote.ashx?t=""&amp;A5019,""table"",10),7,2),""*"",""""),""-"",""0.00""))"),"Loading...")</f>
        <v>Loading...</v>
      </c>
      <c r="L5019" s="129">
        <v>1.63160166E8</v>
      </c>
      <c r="M5019" s="99">
        <v>0.57</v>
      </c>
    </row>
    <row r="5020">
      <c r="A5020" s="122" t="s">
        <v>10514</v>
      </c>
      <c r="B5020" s="123">
        <v>1464790.0</v>
      </c>
      <c r="C5020" s="124" t="s">
        <v>10515</v>
      </c>
      <c r="D5020" s="125"/>
      <c r="E5020" s="126">
        <v>15.39</v>
      </c>
      <c r="F5020" s="127"/>
      <c r="G5020" s="127"/>
      <c r="H5020" s="127"/>
      <c r="I5020" s="128"/>
      <c r="K5020" s="105" t="str">
        <f>IFERROR(__xludf.DUMMYFUNCTION("if(A5020="""","""",substitute(SUBSTITUTE(index(importhtml(""http://finviz.com/quote.ashx?t=""&amp;A5020,""table"",10),7,2),""*"",""""),""-"",""0.00""))"),"Loading...")</f>
        <v>Loading...</v>
      </c>
      <c r="L5020" s="129">
        <v>6.2052646E8</v>
      </c>
      <c r="M5020" s="99">
        <v>0.31</v>
      </c>
    </row>
    <row r="5021">
      <c r="A5021" s="122" t="s">
        <v>10516</v>
      </c>
      <c r="B5021" s="123">
        <v>946394.0</v>
      </c>
      <c r="C5021" s="124" t="s">
        <v>10517</v>
      </c>
      <c r="D5021" s="125"/>
      <c r="E5021" s="126">
        <v>15.41</v>
      </c>
      <c r="F5021" s="127"/>
      <c r="G5021" s="127"/>
      <c r="H5021" s="127"/>
      <c r="I5021" s="128"/>
      <c r="K5021" s="105" t="str">
        <f>IFERROR(__xludf.DUMMYFUNCTION("if(A5021="""","""",substitute(SUBSTITUTE(index(importhtml(""http://finviz.com/quote.ashx?t=""&amp;A5021,""table"",10),7,2),""*"",""""),""-"",""0.00""))"),"Loading...")</f>
        <v>Loading...</v>
      </c>
      <c r="L5021" s="129">
        <v>1.98058255E8</v>
      </c>
      <c r="M5021" s="99">
        <v>1.02</v>
      </c>
    </row>
    <row r="5022">
      <c r="A5022" s="122" t="s">
        <v>10518</v>
      </c>
      <c r="B5022" s="123">
        <v>1786117.0</v>
      </c>
      <c r="C5022" s="124" t="s">
        <v>10519</v>
      </c>
      <c r="D5022" s="125"/>
      <c r="E5022" s="126">
        <v>15.41</v>
      </c>
      <c r="F5022" s="127"/>
      <c r="G5022" s="127"/>
      <c r="H5022" s="127"/>
      <c r="I5022" s="128"/>
      <c r="K5022" s="105" t="str">
        <f>IFERROR(__xludf.DUMMYFUNCTION("if(A5022="""","""",substitute(SUBSTITUTE(index(importhtml(""http://finviz.com/quote.ashx?t=""&amp;A5022,""table"",10),7,2),""*"",""""),""-"",""0.00""))"),"Loading...")</f>
        <v>Loading...</v>
      </c>
      <c r="L5022" s="129">
        <v>2.11116381E8</v>
      </c>
      <c r="M5022" s="99">
        <v>0.81</v>
      </c>
    </row>
    <row r="5023">
      <c r="A5023" s="122" t="s">
        <v>10520</v>
      </c>
      <c r="B5023" s="123">
        <v>1645590.0</v>
      </c>
      <c r="C5023" s="124" t="s">
        <v>10521</v>
      </c>
      <c r="D5023" s="125"/>
      <c r="E5023" s="126">
        <v>15.41</v>
      </c>
      <c r="F5023" s="127"/>
      <c r="G5023" s="127"/>
      <c r="H5023" s="127"/>
      <c r="I5023" s="128"/>
      <c r="K5023" s="105" t="str">
        <f>IFERROR(__xludf.DUMMYFUNCTION("if(A5023="""","""",substitute(SUBSTITUTE(index(importhtml(""http://finviz.com/quote.ashx?t=""&amp;A5023,""table"",10),7,2),""*"",""""),""-"",""0.00""))"),"Loading...")</f>
        <v>Loading...</v>
      </c>
      <c r="L5023" s="129">
        <v>2.0032999801E10</v>
      </c>
      <c r="M5023" s="99">
        <v>1.2</v>
      </c>
    </row>
    <row r="5024">
      <c r="A5024" s="122" t="s">
        <v>10522</v>
      </c>
      <c r="B5024" s="123">
        <v>756894.0</v>
      </c>
      <c r="C5024" s="124" t="s">
        <v>10523</v>
      </c>
      <c r="D5024" s="125"/>
      <c r="E5024" s="126">
        <v>15.41</v>
      </c>
      <c r="F5024" s="127"/>
      <c r="G5024" s="127"/>
      <c r="H5024" s="127"/>
      <c r="I5024" s="128"/>
      <c r="K5024" s="105" t="str">
        <f>IFERROR(__xludf.DUMMYFUNCTION("if(A5024="""","""",substitute(SUBSTITUTE(index(importhtml(""http://finviz.com/quote.ashx?t=""&amp;A5024,""table"",10),7,2),""*"",""""),""-"",""0.00""))"),"Loading...")</f>
        <v>Loading...</v>
      </c>
      <c r="L5024" s="129">
        <v>2.6970612552E10</v>
      </c>
      <c r="M5024" s="99">
        <v>-0.5</v>
      </c>
    </row>
    <row r="5025">
      <c r="A5025" s="122" t="s">
        <v>10524</v>
      </c>
      <c r="B5025" s="123">
        <v>1075415.0</v>
      </c>
      <c r="C5025" s="124" t="s">
        <v>10525</v>
      </c>
      <c r="D5025" s="125"/>
      <c r="E5025" s="126">
        <v>15.42</v>
      </c>
      <c r="F5025" s="127"/>
      <c r="G5025" s="127"/>
      <c r="H5025" s="127"/>
      <c r="I5025" s="128"/>
      <c r="K5025" s="105" t="str">
        <f>IFERROR(__xludf.DUMMYFUNCTION("if(A5025="""","""",substitute(SUBSTITUTE(index(importhtml(""http://finviz.com/quote.ashx?t=""&amp;A5025,""table"",10),7,2),""*"",""""),""-"",""0.00""))"),"Loading...")</f>
        <v>Loading...</v>
      </c>
      <c r="L5025" s="129">
        <v>6.61238325E8</v>
      </c>
      <c r="M5025" s="99">
        <v>1.16</v>
      </c>
    </row>
    <row r="5026">
      <c r="A5026" s="122" t="s">
        <v>10526</v>
      </c>
      <c r="B5026" s="123">
        <v>1397702.0</v>
      </c>
      <c r="C5026" s="124" t="s">
        <v>10527</v>
      </c>
      <c r="D5026" s="125"/>
      <c r="E5026" s="126">
        <v>15.44</v>
      </c>
      <c r="F5026" s="127"/>
      <c r="G5026" s="127"/>
      <c r="H5026" s="127"/>
      <c r="I5026" s="128"/>
      <c r="K5026" s="105" t="str">
        <f>IFERROR(__xludf.DUMMYFUNCTION("if(A5026="""","""",substitute(SUBSTITUTE(index(importhtml(""http://finviz.com/quote.ashx?t=""&amp;A5026,""table"",10),7,2),""*"",""""),""-"",""0.00""))"),"Loading...")</f>
        <v>Loading...</v>
      </c>
      <c r="L5026" s="129">
        <v>6.01318349E8</v>
      </c>
      <c r="M5026" s="99">
        <v>1.45</v>
      </c>
    </row>
    <row r="5027">
      <c r="A5027" s="122" t="s">
        <v>10528</v>
      </c>
      <c r="B5027" s="123">
        <v>1562818.0</v>
      </c>
      <c r="C5027" s="124" t="s">
        <v>10529</v>
      </c>
      <c r="D5027" s="125"/>
      <c r="E5027" s="126">
        <v>15.45</v>
      </c>
      <c r="F5027" s="127"/>
      <c r="G5027" s="127"/>
      <c r="H5027" s="127"/>
      <c r="I5027" s="128"/>
      <c r="K5027" s="55" t="s">
        <v>10530</v>
      </c>
      <c r="L5027" s="129">
        <v>5.8285804E8</v>
      </c>
      <c r="M5027" s="99">
        <v>0.78</v>
      </c>
    </row>
    <row r="5028">
      <c r="A5028" s="122" t="s">
        <v>10531</v>
      </c>
      <c r="B5028" s="123">
        <v>923139.0</v>
      </c>
      <c r="C5028" s="124" t="s">
        <v>10532</v>
      </c>
      <c r="D5028" s="125"/>
      <c r="E5028" s="126">
        <v>15.45</v>
      </c>
      <c r="F5028" s="127"/>
      <c r="G5028" s="127"/>
      <c r="H5028" s="127"/>
      <c r="I5028" s="128"/>
      <c r="K5028" s="105" t="str">
        <f>IFERROR(__xludf.DUMMYFUNCTION("if(A5028="""","""",substitute(SUBSTITUTE(index(importhtml(""http://finviz.com/quote.ashx?t=""&amp;A5028,""table"",10),7,2),""*"",""""),""-"",""0.00""))"),"Loading...")</f>
        <v>Loading...</v>
      </c>
      <c r="L5028" s="129">
        <v>4.46576373E8</v>
      </c>
      <c r="M5028" s="99">
        <v>0.79</v>
      </c>
    </row>
    <row r="5029">
      <c r="A5029" s="122" t="s">
        <v>10533</v>
      </c>
      <c r="B5029" s="123">
        <v>1125345.0</v>
      </c>
      <c r="C5029" s="124" t="s">
        <v>10534</v>
      </c>
      <c r="D5029" s="125"/>
      <c r="E5029" s="126">
        <v>15.45</v>
      </c>
      <c r="F5029" s="127"/>
      <c r="G5029" s="127"/>
      <c r="H5029" s="127"/>
      <c r="I5029" s="128"/>
      <c r="K5029" s="105" t="str">
        <f>IFERROR(__xludf.DUMMYFUNCTION("if(A5029="""","""",substitute(SUBSTITUTE(index(importhtml(""http://finviz.com/quote.ashx?t=""&amp;A5029,""table"",10),7,2),""*"",""""),""-"",""0.00""))"),"Loading...")</f>
        <v>Loading...</v>
      </c>
      <c r="L5029" s="129">
        <v>9.58044681E8</v>
      </c>
      <c r="M5029" s="99">
        <v>2.16</v>
      </c>
    </row>
    <row r="5030">
      <c r="A5030" s="122" t="s">
        <v>10535</v>
      </c>
      <c r="B5030" s="123">
        <v>700564.0</v>
      </c>
      <c r="C5030" s="124" t="s">
        <v>10536</v>
      </c>
      <c r="D5030" s="125"/>
      <c r="E5030" s="126">
        <v>15.45</v>
      </c>
      <c r="F5030" s="127"/>
      <c r="G5030" s="127"/>
      <c r="H5030" s="127"/>
      <c r="I5030" s="128"/>
      <c r="K5030" s="105" t="str">
        <f>IFERROR(__xludf.DUMMYFUNCTION("if(A5030="""","""",substitute(SUBSTITUTE(index(importhtml(""http://finviz.com/quote.ashx?t=""&amp;A5030,""table"",10),7,2),""*"",""""),""-"",""0.00""))"),"Loading...")</f>
        <v>Loading...</v>
      </c>
      <c r="L5030" s="129">
        <v>2.530725418E9</v>
      </c>
      <c r="M5030" s="99">
        <v>0.82</v>
      </c>
    </row>
    <row r="5031">
      <c r="A5031" s="122" t="s">
        <v>10537</v>
      </c>
      <c r="B5031" s="123">
        <v>1766400.0</v>
      </c>
      <c r="C5031" s="124" t="s">
        <v>10538</v>
      </c>
      <c r="D5031" s="125"/>
      <c r="E5031" s="126">
        <v>15.46</v>
      </c>
      <c r="F5031" s="127"/>
      <c r="G5031" s="127"/>
      <c r="H5031" s="127"/>
      <c r="I5031" s="128"/>
      <c r="K5031" s="105" t="str">
        <f>IFERROR(__xludf.DUMMYFUNCTION("if(A5031="""","""",substitute(SUBSTITUTE(index(importhtml(""http://finviz.com/quote.ashx?t=""&amp;A5031,""table"",10),7,2),""*"",""""),""-"",""0.00""))"),"Loading...")</f>
        <v>Loading...</v>
      </c>
      <c r="L5031" s="129">
        <v>4.62663536E8</v>
      </c>
      <c r="M5031" s="99">
        <v>2.03</v>
      </c>
    </row>
    <row r="5032">
      <c r="A5032" s="122" t="s">
        <v>10539</v>
      </c>
      <c r="B5032" s="123">
        <v>39899.0</v>
      </c>
      <c r="C5032" s="124" t="s">
        <v>10540</v>
      </c>
      <c r="D5032" s="125"/>
      <c r="E5032" s="126">
        <v>15.46</v>
      </c>
      <c r="F5032" s="127"/>
      <c r="G5032" s="127"/>
      <c r="H5032" s="127"/>
      <c r="I5032" s="128"/>
      <c r="K5032" s="105" t="str">
        <f>IFERROR(__xludf.DUMMYFUNCTION("if(A5032="""","""",substitute(SUBSTITUTE(index(importhtml(""http://finviz.com/quote.ashx?t=""&amp;A5032,""table"",10),7,2),""*"",""""),""-"",""0.00""))"),"Loading...")</f>
        <v>Loading...</v>
      </c>
      <c r="L5032" s="129">
        <v>3.045123741E9</v>
      </c>
      <c r="M5032" s="99">
        <v>0.54</v>
      </c>
    </row>
    <row r="5033">
      <c r="A5033" s="122" t="s">
        <v>10541</v>
      </c>
      <c r="B5033" s="123">
        <v>1603454.0</v>
      </c>
      <c r="C5033" s="124" t="s">
        <v>10542</v>
      </c>
      <c r="D5033" s="125"/>
      <c r="E5033" s="126">
        <v>15.47</v>
      </c>
      <c r="F5033" s="127"/>
      <c r="G5033" s="127"/>
      <c r="H5033" s="127"/>
      <c r="I5033" s="128"/>
      <c r="K5033" s="105" t="str">
        <f>IFERROR(__xludf.DUMMYFUNCTION("if(A5033="""","""",substitute(SUBSTITUTE(index(importhtml(""http://finviz.com/quote.ashx?t=""&amp;A5033,""table"",10),7,2),""*"",""""),""-"",""0.00""))"),"Loading...")</f>
        <v>Loading...</v>
      </c>
      <c r="L5033" s="129">
        <v>3.74422736E8</v>
      </c>
      <c r="M5033" s="99">
        <v>0.74</v>
      </c>
    </row>
    <row r="5034">
      <c r="A5034" s="122" t="s">
        <v>10543</v>
      </c>
      <c r="B5034" s="123">
        <v>1464790.0</v>
      </c>
      <c r="C5034" s="124" t="s">
        <v>10544</v>
      </c>
      <c r="D5034" s="125"/>
      <c r="E5034" s="126">
        <v>15.47</v>
      </c>
      <c r="F5034" s="127"/>
      <c r="G5034" s="127"/>
      <c r="H5034" s="127"/>
      <c r="I5034" s="128"/>
      <c r="K5034" s="105" t="str">
        <f>IFERROR(__xludf.DUMMYFUNCTION("if(A5034="""","""",substitute(SUBSTITUTE(index(importhtml(""http://finviz.com/quote.ashx?t=""&amp;A5034,""table"",10),7,2),""*"",""""),""-"",""0.00""))"),"Loading...")</f>
        <v>Loading...</v>
      </c>
      <c r="L5034" s="129">
        <v>6.2052646E8</v>
      </c>
      <c r="M5034" s="99">
        <f>IFERROR(__xludf.DUMMYFUNCTION("GOOGLEFINANCE(A5034,""beta"")"),0.06)</f>
        <v>0.06</v>
      </c>
    </row>
    <row r="5035">
      <c r="A5035" s="122" t="s">
        <v>10545</v>
      </c>
      <c r="B5035" s="123">
        <v>1340122.0</v>
      </c>
      <c r="C5035" s="124" t="s">
        <v>10546</v>
      </c>
      <c r="D5035" s="125"/>
      <c r="E5035" s="126">
        <v>15.47</v>
      </c>
      <c r="F5035" s="127"/>
      <c r="G5035" s="127"/>
      <c r="H5035" s="127"/>
      <c r="I5035" s="128"/>
      <c r="K5035" s="105" t="str">
        <f>IFERROR(__xludf.DUMMYFUNCTION("if(A5035="""","""",substitute(SUBSTITUTE(index(importhtml(""http://finviz.com/quote.ashx?t=""&amp;A5035,""table"",10),7,2),""*"",""""),""-"",""0.00""))"),"Loading...")</f>
        <v>Loading...</v>
      </c>
      <c r="L5035" s="129">
        <v>1.236692705E9</v>
      </c>
      <c r="M5035" s="99">
        <v>1.79</v>
      </c>
    </row>
    <row r="5036">
      <c r="A5036" s="122" t="s">
        <v>10547</v>
      </c>
      <c r="B5036" s="123">
        <v>1754836.0</v>
      </c>
      <c r="C5036" s="124" t="s">
        <v>10548</v>
      </c>
      <c r="D5036" s="125"/>
      <c r="E5036" s="126">
        <v>15.48</v>
      </c>
      <c r="F5036" s="127"/>
      <c r="G5036" s="127"/>
      <c r="H5036" s="127"/>
      <c r="I5036" s="128"/>
      <c r="K5036" s="55" t="s">
        <v>10549</v>
      </c>
      <c r="L5036" s="129">
        <v>1.39035798E8</v>
      </c>
      <c r="M5036" s="99">
        <v>0.44</v>
      </c>
    </row>
    <row r="5037">
      <c r="A5037" s="122" t="s">
        <v>10550</v>
      </c>
      <c r="B5037" s="123">
        <v>1421517.0</v>
      </c>
      <c r="C5037" s="124" t="s">
        <v>10551</v>
      </c>
      <c r="D5037" s="125"/>
      <c r="E5037" s="126">
        <v>15.48</v>
      </c>
      <c r="F5037" s="127"/>
      <c r="G5037" s="127"/>
      <c r="H5037" s="127"/>
      <c r="I5037" s="128"/>
      <c r="K5037" s="105" t="str">
        <f>IFERROR(__xludf.DUMMYFUNCTION("if(A5037="""","""",substitute(SUBSTITUTE(index(importhtml(""http://finviz.com/quote.ashx?t=""&amp;A5037,""table"",10),7,2),""*"",""""),""-"",""0.00""))"),"Loading...")</f>
        <v>Loading...</v>
      </c>
      <c r="L5037" s="129">
        <v>8.7489753E8</v>
      </c>
      <c r="M5037" s="99">
        <v>1.29</v>
      </c>
    </row>
    <row r="5038">
      <c r="A5038" s="122" t="s">
        <v>10552</v>
      </c>
      <c r="B5038" s="123">
        <v>912242.0</v>
      </c>
      <c r="C5038" s="124" t="s">
        <v>10553</v>
      </c>
      <c r="D5038" s="125"/>
      <c r="E5038" s="126">
        <v>15.48</v>
      </c>
      <c r="F5038" s="127"/>
      <c r="G5038" s="127"/>
      <c r="H5038" s="127"/>
      <c r="I5038" s="128"/>
      <c r="K5038" s="105" t="str">
        <f>IFERROR(__xludf.DUMMYFUNCTION("if(A5038="""","""",substitute(SUBSTITUTE(index(importhtml(""http://finviz.com/quote.ashx?t=""&amp;A5038,""table"",10),7,2),""*"",""""),""-"",""0.00""))"),"Loading...")</f>
        <v>Loading...</v>
      </c>
      <c r="L5038" s="129">
        <v>3.335136489E9</v>
      </c>
      <c r="M5038" s="99">
        <v>3.17</v>
      </c>
    </row>
    <row r="5039">
      <c r="A5039" s="122" t="s">
        <v>10554</v>
      </c>
      <c r="B5039" s="123">
        <v>1692376.0</v>
      </c>
      <c r="C5039" s="124" t="s">
        <v>10555</v>
      </c>
      <c r="D5039" s="125"/>
      <c r="E5039" s="126">
        <v>15.49</v>
      </c>
      <c r="F5039" s="127"/>
      <c r="G5039" s="127"/>
      <c r="H5039" s="127"/>
      <c r="I5039" s="128"/>
      <c r="K5039" s="105" t="str">
        <f>IFERROR(__xludf.DUMMYFUNCTION("if(A5039="""","""",substitute(SUBSTITUTE(index(importhtml(""http://finviz.com/quote.ashx?t=""&amp;A5039,""table"",10),7,2),""*"",""""),""-"",""0.00""))"),"Loading...")</f>
        <v>Loading...</v>
      </c>
      <c r="L5039" s="129">
        <v>5.07792552E8</v>
      </c>
      <c r="M5039" s="99">
        <v>1.04</v>
      </c>
    </row>
    <row r="5040">
      <c r="A5040" s="122" t="s">
        <v>10556</v>
      </c>
      <c r="B5040" s="123">
        <v>1625278.0</v>
      </c>
      <c r="C5040" s="124" t="s">
        <v>10557</v>
      </c>
      <c r="D5040" s="125"/>
      <c r="E5040" s="126">
        <v>15.49</v>
      </c>
      <c r="F5040" s="127"/>
      <c r="G5040" s="127"/>
      <c r="H5040" s="127"/>
      <c r="I5040" s="128"/>
      <c r="K5040" s="105" t="str">
        <f>IFERROR(__xludf.DUMMYFUNCTION("if(A5040="""","""",substitute(SUBSTITUTE(index(importhtml(""http://finviz.com/quote.ashx?t=""&amp;A5040,""table"",10),7,2),""*"",""""),""-"",""0.00""))"),"Loading...")</f>
        <v>Loading...</v>
      </c>
      <c r="L5040" s="129">
        <v>1.179178865E9</v>
      </c>
      <c r="M5040" s="99">
        <f>IFERROR(__xludf.DUMMYFUNCTION("GOOGLEFINANCE(A5040,""beta"")"),1.45)</f>
        <v>1.45</v>
      </c>
    </row>
    <row r="5041">
      <c r="A5041" s="122" t="s">
        <v>10558</v>
      </c>
      <c r="B5041" s="123">
        <v>1883037.0</v>
      </c>
      <c r="C5041" s="124" t="s">
        <v>10559</v>
      </c>
      <c r="D5041" s="125"/>
      <c r="E5041" s="126">
        <v>15.5</v>
      </c>
      <c r="F5041" s="127"/>
      <c r="G5041" s="127"/>
      <c r="H5041" s="127"/>
      <c r="I5041" s="128"/>
      <c r="K5041" s="105" t="str">
        <f>IFERROR(__xludf.DUMMYFUNCTION("if(A5041="""","""",substitute(SUBSTITUTE(index(importhtml(""http://finviz.com/quote.ashx?t=""&amp;A5041,""table"",10),7,2),""*"",""""),""-"",""0.00""))"),"Loading...")</f>
        <v>Loading...</v>
      </c>
      <c r="L5041" s="129">
        <v>2.2515346E7</v>
      </c>
      <c r="M5041" s="99" t="str">
        <f>IFERROR(__xludf.DUMMYFUNCTION("GOOGLEFINANCE(A5041,""beta"")"),"#N/A")</f>
        <v>#N/A</v>
      </c>
    </row>
    <row r="5042">
      <c r="A5042" s="122" t="s">
        <v>10560</v>
      </c>
      <c r="B5042" s="123">
        <v>1842718.0</v>
      </c>
      <c r="C5042" s="124" t="s">
        <v>10561</v>
      </c>
      <c r="D5042" s="125"/>
      <c r="E5042" s="126">
        <v>15.51</v>
      </c>
      <c r="F5042" s="127"/>
      <c r="G5042" s="127"/>
      <c r="H5042" s="127"/>
      <c r="I5042" s="128"/>
      <c r="K5042" s="105" t="str">
        <f>IFERROR(__xludf.DUMMYFUNCTION("if(A5042="""","""",substitute(SUBSTITUTE(index(importhtml(""http://finviz.com/quote.ashx?t=""&amp;A5042,""table"",10),7,2),""*"",""""),""-"",""0.00""))"),"Loading...")</f>
        <v>Loading...</v>
      </c>
      <c r="L5042" s="129">
        <v>2.454963162E9</v>
      </c>
      <c r="M5042" s="99">
        <f>IFERROR(__xludf.DUMMYFUNCTION("GOOGLEFINANCE(A5042,""beta"")"),1.58)</f>
        <v>1.58</v>
      </c>
    </row>
    <row r="5043">
      <c r="A5043" s="122" t="s">
        <v>10562</v>
      </c>
      <c r="B5043" s="123">
        <v>1785971.0</v>
      </c>
      <c r="C5043" s="124" t="s">
        <v>10563</v>
      </c>
      <c r="D5043" s="125"/>
      <c r="E5043" s="126">
        <v>15.53</v>
      </c>
      <c r="F5043" s="127"/>
      <c r="G5043" s="127"/>
      <c r="H5043" s="127"/>
      <c r="I5043" s="128"/>
      <c r="K5043" s="105" t="str">
        <f>IFERROR(__xludf.DUMMYFUNCTION("if(A5043="""","""",substitute(SUBSTITUTE(index(importhtml(""http://finviz.com/quote.ashx?t=""&amp;A5043,""table"",10),7,2),""*"",""""),""-"",""0.00""))"),"Loading...")</f>
        <v>Loading...</v>
      </c>
      <c r="L5043" s="129">
        <v>1.677705871E9</v>
      </c>
      <c r="M5043" s="99">
        <v>0.9</v>
      </c>
    </row>
    <row r="5044">
      <c r="A5044" s="122" t="s">
        <v>10564</v>
      </c>
      <c r="B5044" s="123">
        <v>767405.0</v>
      </c>
      <c r="C5044" s="124" t="s">
        <v>10565</v>
      </c>
      <c r="D5044" s="125"/>
      <c r="E5044" s="126">
        <v>15.56</v>
      </c>
      <c r="F5044" s="127"/>
      <c r="G5044" s="127"/>
      <c r="H5044" s="127"/>
      <c r="I5044" s="128"/>
      <c r="K5044" s="105" t="str">
        <f>IFERROR(__xludf.DUMMYFUNCTION("if(A5044="""","""",substitute(SUBSTITUTE(index(importhtml(""http://finviz.com/quote.ashx?t=""&amp;A5044,""table"",10),7,2),""*"",""""),""-"",""0.00""))"),"Loading...")</f>
        <v>Loading...</v>
      </c>
      <c r="L5044" s="129">
        <v>1.04563202E8</v>
      </c>
      <c r="M5044" s="99">
        <v>0.73</v>
      </c>
    </row>
    <row r="5045">
      <c r="A5045" s="122" t="s">
        <v>10566</v>
      </c>
      <c r="B5045" s="123">
        <v>1874178.0</v>
      </c>
      <c r="C5045" s="124" t="s">
        <v>10567</v>
      </c>
      <c r="D5045" s="125"/>
      <c r="E5045" s="126">
        <v>15.6</v>
      </c>
      <c r="F5045" s="127"/>
      <c r="G5045" s="127"/>
      <c r="H5045" s="127"/>
      <c r="I5045" s="128"/>
      <c r="K5045" s="105" t="str">
        <f>IFERROR(__xludf.DUMMYFUNCTION("if(A5045="""","""",substitute(SUBSTITUTE(index(importhtml(""http://finviz.com/quote.ashx?t=""&amp;A5045,""table"",10),7,2),""*"",""""),""-"",""0.00""))"),"Loading...")</f>
        <v>Loading...</v>
      </c>
      <c r="L5045" s="129">
        <v>1.4940390245E10</v>
      </c>
      <c r="M5045" s="99">
        <f>IFERROR(__xludf.DUMMYFUNCTION("GOOGLEFINANCE(A5045,""beta"")"),1.81)</f>
        <v>1.81</v>
      </c>
    </row>
    <row r="5046">
      <c r="A5046" s="122" t="s">
        <v>10568</v>
      </c>
      <c r="B5046" s="123">
        <v>711377.0</v>
      </c>
      <c r="C5046" s="124" t="s">
        <v>10569</v>
      </c>
      <c r="D5046" s="125"/>
      <c r="E5046" s="126">
        <v>15.63</v>
      </c>
      <c r="F5046" s="127"/>
      <c r="G5046" s="127"/>
      <c r="H5046" s="127"/>
      <c r="I5046" s="128"/>
      <c r="K5046" s="105" t="str">
        <f>IFERROR(__xludf.DUMMYFUNCTION("if(A5046="""","""",substitute(SUBSTITUTE(index(importhtml(""http://finviz.com/quote.ashx?t=""&amp;A5046,""table"",10),7,2),""*"",""""),""-"",""0.00""))"),"Loading...")</f>
        <v>Loading...</v>
      </c>
      <c r="L5046" s="129">
        <v>3.38421075E9</v>
      </c>
      <c r="M5046" s="99">
        <v>1.12</v>
      </c>
    </row>
    <row r="5047">
      <c r="A5047" s="122" t="s">
        <v>10570</v>
      </c>
      <c r="B5047" s="123">
        <v>1275214.0</v>
      </c>
      <c r="C5047" s="124" t="s">
        <v>10571</v>
      </c>
      <c r="D5047" s="125"/>
      <c r="E5047" s="126">
        <v>15.64</v>
      </c>
      <c r="F5047" s="127"/>
      <c r="G5047" s="127"/>
      <c r="H5047" s="127"/>
      <c r="I5047" s="128"/>
      <c r="K5047" s="55" t="s">
        <v>8310</v>
      </c>
      <c r="L5047" s="129">
        <v>2.50387647E9</v>
      </c>
      <c r="M5047" s="99">
        <v>1.36</v>
      </c>
    </row>
    <row r="5048">
      <c r="A5048" s="122" t="s">
        <v>10572</v>
      </c>
      <c r="B5048" s="123">
        <v>5094.0</v>
      </c>
      <c r="C5048" s="124" t="s">
        <v>10573</v>
      </c>
      <c r="D5048" s="125"/>
      <c r="E5048" s="126">
        <v>15.65</v>
      </c>
      <c r="F5048" s="127"/>
      <c r="G5048" s="127"/>
      <c r="H5048" s="127"/>
      <c r="I5048" s="128"/>
      <c r="K5048" s="105" t="str">
        <f>IFERROR(__xludf.DUMMYFUNCTION("if(A5048="""","""",substitute(SUBSTITUTE(index(importhtml(""http://finviz.com/quote.ashx?t=""&amp;A5048,""table"",10),7,2),""*"",""""),""-"",""0.00""))"),"Loading...")</f>
        <v>Loading...</v>
      </c>
      <c r="L5048" s="129">
        <v>1.78698581E8</v>
      </c>
      <c r="M5048" s="99">
        <v>0.45</v>
      </c>
    </row>
    <row r="5049">
      <c r="A5049" s="122" t="s">
        <v>10574</v>
      </c>
      <c r="B5049" s="123">
        <v>1463157.0</v>
      </c>
      <c r="C5049" s="124" t="s">
        <v>10575</v>
      </c>
      <c r="D5049" s="125"/>
      <c r="E5049" s="126">
        <v>15.65</v>
      </c>
      <c r="F5049" s="127"/>
      <c r="G5049" s="127"/>
      <c r="H5049" s="127"/>
      <c r="I5049" s="128"/>
      <c r="K5049" s="105" t="str">
        <f>IFERROR(__xludf.DUMMYFUNCTION("if(A5049="""","""",substitute(SUBSTITUTE(index(importhtml(""http://finviz.com/quote.ashx?t=""&amp;A5049,""table"",10),7,2),""*"",""""),""-"",""0.00""))"),"Loading...")</f>
        <v>Loading...</v>
      </c>
      <c r="L5049" s="129">
        <v>1.18380934E15</v>
      </c>
      <c r="M5049" s="99">
        <v>0.68</v>
      </c>
    </row>
    <row r="5050">
      <c r="A5050" s="122" t="s">
        <v>10576</v>
      </c>
      <c r="B5050" s="123">
        <v>1581804.0</v>
      </c>
      <c r="C5050" s="124" t="s">
        <v>10577</v>
      </c>
      <c r="D5050" s="125"/>
      <c r="E5050" s="126">
        <v>15.66</v>
      </c>
      <c r="F5050" s="127"/>
      <c r="G5050" s="127"/>
      <c r="H5050" s="127"/>
      <c r="I5050" s="128"/>
      <c r="K5050" s="105" t="str">
        <f>IFERROR(__xludf.DUMMYFUNCTION("if(A5050="""","""",substitute(SUBSTITUTE(index(importhtml(""http://finviz.com/quote.ashx?t=""&amp;A5050,""table"",10),7,2),""*"",""""),""-"",""0.00""))"),"Loading...")</f>
        <v>Loading...</v>
      </c>
      <c r="L5050" s="129">
        <v>1.147644498E9</v>
      </c>
      <c r="M5050" s="99">
        <v>1.5</v>
      </c>
    </row>
    <row r="5051">
      <c r="A5051" s="122" t="s">
        <v>10578</v>
      </c>
      <c r="B5051" s="123">
        <v>912752.0</v>
      </c>
      <c r="C5051" s="124" t="s">
        <v>10579</v>
      </c>
      <c r="D5051" s="125"/>
      <c r="E5051" s="126">
        <v>15.67</v>
      </c>
      <c r="F5051" s="127"/>
      <c r="G5051" s="127"/>
      <c r="H5051" s="127"/>
      <c r="I5051" s="128"/>
      <c r="K5051" s="105" t="str">
        <f>IFERROR(__xludf.DUMMYFUNCTION("if(A5051="""","""",substitute(SUBSTITUTE(index(importhtml(""http://finviz.com/quote.ashx?t=""&amp;A5051,""table"",10),7,2),""*"",""""),""-"",""0.00""))"),"Loading...")</f>
        <v>Loading...</v>
      </c>
      <c r="L5051" s="129">
        <v>9.9527316E8</v>
      </c>
      <c r="M5051" s="99">
        <v>1.46</v>
      </c>
    </row>
    <row r="5052">
      <c r="A5052" s="122" t="s">
        <v>10580</v>
      </c>
      <c r="B5052" s="123">
        <v>1385535.0</v>
      </c>
      <c r="C5052" s="124" t="s">
        <v>10581</v>
      </c>
      <c r="D5052" s="125"/>
      <c r="E5052" s="126">
        <v>15.68</v>
      </c>
      <c r="F5052" s="127"/>
      <c r="G5052" s="127"/>
      <c r="H5052" s="127"/>
      <c r="I5052" s="128"/>
      <c r="K5052" s="105" t="str">
        <f>IFERROR(__xludf.DUMMYFUNCTION("if(A5052="""","""",substitute(SUBSTITUTE(index(importhtml(""http://finviz.com/quote.ashx?t=""&amp;A5052,""table"",10),7,2),""*"",""""),""-"",""0.00""))"),"Loading...")</f>
        <v>Loading...</v>
      </c>
      <c r="L5052" s="129">
        <v>1.0593936936E10</v>
      </c>
      <c r="M5052" s="99">
        <f>IFERROR(__xludf.DUMMYFUNCTION("GOOGLEFINANCE(A5052,""beta"")"),0.39)</f>
        <v>0.39</v>
      </c>
    </row>
    <row r="5053">
      <c r="A5053" s="122" t="s">
        <v>10582</v>
      </c>
      <c r="B5053" s="123">
        <v>1853774.0</v>
      </c>
      <c r="C5053" s="124" t="s">
        <v>10583</v>
      </c>
      <c r="D5053" s="125"/>
      <c r="E5053" s="126">
        <v>15.7</v>
      </c>
      <c r="F5053" s="127"/>
      <c r="G5053" s="127"/>
      <c r="H5053" s="127"/>
      <c r="I5053" s="128"/>
      <c r="K5053" s="105" t="str">
        <f>IFERROR(__xludf.DUMMYFUNCTION("if(A5053="""","""",substitute(SUBSTITUTE(index(importhtml(""http://finviz.com/quote.ashx?t=""&amp;A5053,""table"",10),7,2),""*"",""""),""-"",""0.00""))"),"Loading...")</f>
        <v>Loading...</v>
      </c>
      <c r="L5053" s="129">
        <v>6269392.0</v>
      </c>
      <c r="M5053" s="99" t="str">
        <f>IFERROR(__xludf.DUMMYFUNCTION("GOOGLEFINANCE(A5053,""beta"")"),"#N/A")</f>
        <v>#N/A</v>
      </c>
    </row>
    <row r="5054">
      <c r="A5054" s="122" t="s">
        <v>10584</v>
      </c>
      <c r="B5054" s="123">
        <v>1681903.0</v>
      </c>
      <c r="C5054" s="124" t="s">
        <v>10585</v>
      </c>
      <c r="D5054" s="125"/>
      <c r="E5054" s="126">
        <v>15.7</v>
      </c>
      <c r="F5054" s="127"/>
      <c r="G5054" s="127"/>
      <c r="H5054" s="127"/>
      <c r="I5054" s="128"/>
      <c r="K5054" s="105" t="str">
        <f>IFERROR(__xludf.DUMMYFUNCTION("if(A5054="""","""",substitute(SUBSTITUTE(index(importhtml(""http://finviz.com/quote.ashx?t=""&amp;A5054,""table"",10),7,2),""*"",""""),""-"",""0.00""))"),"Loading...")</f>
        <v>Loading...</v>
      </c>
      <c r="L5054" s="129">
        <v>4.929169E7</v>
      </c>
      <c r="M5054" s="99">
        <v>0.25</v>
      </c>
    </row>
    <row r="5055">
      <c r="A5055" s="122" t="s">
        <v>10586</v>
      </c>
      <c r="B5055" s="123">
        <v>737875.0</v>
      </c>
      <c r="C5055" s="124" t="s">
        <v>10587</v>
      </c>
      <c r="D5055" s="125"/>
      <c r="E5055" s="126">
        <v>15.7</v>
      </c>
      <c r="F5055" s="127"/>
      <c r="G5055" s="127"/>
      <c r="H5055" s="127"/>
      <c r="I5055" s="128"/>
      <c r="K5055" s="105" t="str">
        <f>IFERROR(__xludf.DUMMYFUNCTION("if(A5055="""","""",substitute(SUBSTITUTE(index(importhtml(""http://finviz.com/quote.ashx?t=""&amp;A5055,""table"",10),7,2),""*"",""""),""-"",""0.00""))"),"Loading...")</f>
        <v>Loading...</v>
      </c>
      <c r="L5055" s="129">
        <v>9.563121E7</v>
      </c>
      <c r="M5055" s="99">
        <v>0.66</v>
      </c>
    </row>
    <row r="5056">
      <c r="A5056" s="122" t="s">
        <v>10588</v>
      </c>
      <c r="B5056" s="123">
        <v>1898416.0</v>
      </c>
      <c r="C5056" s="124" t="s">
        <v>10589</v>
      </c>
      <c r="D5056" s="125"/>
      <c r="E5056" s="126">
        <v>15.7</v>
      </c>
      <c r="F5056" s="127"/>
      <c r="G5056" s="127"/>
      <c r="H5056" s="127"/>
      <c r="I5056" s="128"/>
      <c r="K5056" s="105" t="str">
        <f>IFERROR(__xludf.DUMMYFUNCTION("if(A5056="""","""",substitute(SUBSTITUTE(index(importhtml(""http://finviz.com/quote.ashx?t=""&amp;A5056,""table"",10),7,2),""*"",""""),""-"",""0.00""))"),"Loading...")</f>
        <v>Loading...</v>
      </c>
      <c r="L5056" s="129">
        <v>4.168816239E9</v>
      </c>
      <c r="M5056" s="99">
        <v>0.14</v>
      </c>
    </row>
    <row r="5057">
      <c r="A5057" s="122" t="s">
        <v>10590</v>
      </c>
      <c r="B5057" s="123">
        <v>1853860.0</v>
      </c>
      <c r="C5057" s="124" t="s">
        <v>10591</v>
      </c>
      <c r="D5057" s="125"/>
      <c r="E5057" s="126">
        <v>15.72</v>
      </c>
      <c r="F5057" s="127"/>
      <c r="G5057" s="127"/>
      <c r="H5057" s="127"/>
      <c r="I5057" s="128"/>
      <c r="K5057" s="55" t="s">
        <v>1034</v>
      </c>
      <c r="L5057" s="129">
        <v>2.174137084E9</v>
      </c>
      <c r="M5057" s="99">
        <v>1.8</v>
      </c>
    </row>
    <row r="5058">
      <c r="A5058" s="122" t="s">
        <v>10592</v>
      </c>
      <c r="B5058" s="123">
        <v>915191.0</v>
      </c>
      <c r="C5058" s="124" t="s">
        <v>10593</v>
      </c>
      <c r="D5058" s="125"/>
      <c r="E5058" s="126">
        <v>15.73</v>
      </c>
      <c r="F5058" s="127"/>
      <c r="G5058" s="127"/>
      <c r="H5058" s="127"/>
      <c r="I5058" s="128"/>
      <c r="K5058" s="105" t="str">
        <f>IFERROR(__xludf.DUMMYFUNCTION("if(A5058="""","""",substitute(SUBSTITUTE(index(importhtml(""http://finviz.com/quote.ashx?t=""&amp;A5058,""table"",10),7,2),""*"",""""),""-"",""0.00""))"),"Loading...")</f>
        <v>Loading...</v>
      </c>
      <c r="L5058" s="129">
        <v>2.5176537109E10</v>
      </c>
      <c r="M5058" s="99" t="str">
        <f>IFERROR(__xludf.DUMMYFUNCTION("GOOGLEFINANCE(A5058,""beta"")"),"#N/A")</f>
        <v>#N/A</v>
      </c>
    </row>
    <row r="5059">
      <c r="A5059" s="122" t="s">
        <v>10594</v>
      </c>
      <c r="B5059" s="123">
        <v>10329.0</v>
      </c>
      <c r="C5059" s="124" t="s">
        <v>10595</v>
      </c>
      <c r="D5059" s="125"/>
      <c r="E5059" s="126">
        <v>15.75</v>
      </c>
      <c r="F5059" s="127"/>
      <c r="G5059" s="127"/>
      <c r="H5059" s="127"/>
      <c r="I5059" s="128"/>
      <c r="K5059" s="105" t="str">
        <f>IFERROR(__xludf.DUMMYFUNCTION("if(A5059="""","""",substitute(SUBSTITUTE(index(importhtml(""http://finviz.com/quote.ashx?t=""&amp;A5059,""table"",10),7,2),""*"",""""),""-"",""0.00""))"),"Loading...")</f>
        <v>Loading...</v>
      </c>
      <c r="L5059" s="129">
        <v>1.38776825E8</v>
      </c>
      <c r="M5059" s="99">
        <v>1.75</v>
      </c>
    </row>
    <row r="5060">
      <c r="A5060" s="122" t="s">
        <v>10596</v>
      </c>
      <c r="B5060" s="123">
        <v>1446626.0</v>
      </c>
      <c r="C5060" s="124" t="s">
        <v>10597</v>
      </c>
      <c r="D5060" s="125"/>
      <c r="E5060" s="126">
        <v>15.75</v>
      </c>
      <c r="F5060" s="127"/>
      <c r="G5060" s="127"/>
      <c r="H5060" s="127"/>
      <c r="I5060" s="128"/>
      <c r="K5060" s="105" t="str">
        <f>IFERROR(__xludf.DUMMYFUNCTION("if(A5060="""","""",substitute(SUBSTITUTE(index(importhtml(""http://finviz.com/quote.ashx?t=""&amp;A5060,""table"",10),7,2),""*"",""""),""-"",""0.00""))"),"Loading...")</f>
        <v>Loading...</v>
      </c>
      <c r="L5060" s="129">
        <v>2.5801314295E11</v>
      </c>
      <c r="M5060" s="99">
        <f>IFERROR(__xludf.DUMMYFUNCTION("GOOGLEFINANCE(A5060,""beta"")"),0.41)</f>
        <v>0.41</v>
      </c>
    </row>
    <row r="5061">
      <c r="A5061" s="122" t="s">
        <v>10598</v>
      </c>
      <c r="B5061" s="123">
        <v>1477049.0</v>
      </c>
      <c r="C5061" s="124" t="s">
        <v>10599</v>
      </c>
      <c r="D5061" s="125"/>
      <c r="E5061" s="126">
        <v>15.77</v>
      </c>
      <c r="F5061" s="127"/>
      <c r="G5061" s="127"/>
      <c r="H5061" s="127"/>
      <c r="I5061" s="128"/>
      <c r="K5061" s="105" t="str">
        <f>IFERROR(__xludf.DUMMYFUNCTION("if(A5061="""","""",substitute(SUBSTITUTE(index(importhtml(""http://finviz.com/quote.ashx?t=""&amp;A5061,""table"",10),7,2),""*"",""""),""-"",""0.00""))"),"Loading...")</f>
        <v>Loading...</v>
      </c>
      <c r="L5061" s="129">
        <v>6.328603688E9</v>
      </c>
      <c r="M5061" s="99" t="str">
        <f>IFERROR(__xludf.DUMMYFUNCTION("GOOGLEFINANCE(A5061,""beta"")"),"#N/A")</f>
        <v>#N/A</v>
      </c>
    </row>
    <row r="5062">
      <c r="A5062" s="122" t="s">
        <v>10600</v>
      </c>
      <c r="B5062" s="123">
        <v>1658551.0</v>
      </c>
      <c r="C5062" s="124" t="s">
        <v>10601</v>
      </c>
      <c r="D5062" s="125"/>
      <c r="E5062" s="126">
        <v>15.78</v>
      </c>
      <c r="F5062" s="127"/>
      <c r="G5062" s="127"/>
      <c r="H5062" s="127"/>
      <c r="I5062" s="128"/>
      <c r="K5062" s="105" t="str">
        <f>IFERROR(__xludf.DUMMYFUNCTION("if(A5062="""","""",substitute(SUBSTITUTE(index(importhtml(""http://finviz.com/quote.ashx?t=""&amp;A5062,""table"",10),7,2),""*"",""""),""-"",""0.00""))"),"Loading...")</f>
        <v>Loading...</v>
      </c>
      <c r="L5062" s="129">
        <v>1.065429919E9</v>
      </c>
      <c r="M5062" s="99" t="str">
        <f>IFERROR(__xludf.DUMMYFUNCTION("GOOGLEFINANCE(A5062,""beta"")"),"#N/A")</f>
        <v>#N/A</v>
      </c>
    </row>
    <row r="5063">
      <c r="A5063" s="122" t="s">
        <v>10602</v>
      </c>
      <c r="B5063" s="123">
        <v>1475260.0</v>
      </c>
      <c r="C5063" s="124" t="s">
        <v>10603</v>
      </c>
      <c r="D5063" s="125"/>
      <c r="E5063" s="126">
        <v>15.83</v>
      </c>
      <c r="F5063" s="127"/>
      <c r="G5063" s="127"/>
      <c r="H5063" s="127"/>
      <c r="I5063" s="128"/>
      <c r="K5063" s="55" t="s">
        <v>6478</v>
      </c>
      <c r="L5063" s="129">
        <v>2.9834325956E10</v>
      </c>
      <c r="M5063" s="99">
        <v>2.14</v>
      </c>
    </row>
    <row r="5064">
      <c r="A5064" s="122" t="s">
        <v>10604</v>
      </c>
      <c r="B5064" s="123">
        <v>914208.0</v>
      </c>
      <c r="C5064" s="124" t="s">
        <v>10605</v>
      </c>
      <c r="D5064" s="125"/>
      <c r="E5064" s="126">
        <v>15.83</v>
      </c>
      <c r="F5064" s="127"/>
      <c r="G5064" s="127"/>
      <c r="H5064" s="127"/>
      <c r="I5064" s="128"/>
      <c r="K5064" s="105" t="str">
        <f>IFERROR(__xludf.DUMMYFUNCTION("if(A5064="""","""",substitute(SUBSTITUTE(index(importhtml(""http://finviz.com/quote.ashx?t=""&amp;A5064,""table"",10),7,2),""*"",""""),""-"",""0.00""))"),"Loading...")</f>
        <v>Loading...</v>
      </c>
      <c r="L5064" s="129">
        <v>7.115584965E9</v>
      </c>
      <c r="M5064" s="99">
        <v>1.45</v>
      </c>
    </row>
    <row r="5065">
      <c r="A5065" s="122" t="s">
        <v>10606</v>
      </c>
      <c r="B5065" s="123">
        <v>1080657.0</v>
      </c>
      <c r="C5065" s="124" t="s">
        <v>10607</v>
      </c>
      <c r="D5065" s="125"/>
      <c r="E5065" s="126">
        <v>15.86</v>
      </c>
      <c r="F5065" s="127"/>
      <c r="G5065" s="127"/>
      <c r="H5065" s="127"/>
      <c r="I5065" s="128"/>
      <c r="K5065" s="105" t="str">
        <f>IFERROR(__xludf.DUMMYFUNCTION("if(A5065="""","""",substitute(SUBSTITUTE(index(importhtml(""http://finviz.com/quote.ashx?t=""&amp;A5065,""table"",10),7,2),""*"",""""),""-"",""0.00""))"),"Loading...")</f>
        <v>Loading...</v>
      </c>
      <c r="L5065" s="129">
        <v>1.3854474E7</v>
      </c>
      <c r="M5065" s="99">
        <f>IFERROR(__xludf.DUMMYFUNCTION("GOOGLEFINANCE(A5065,""beta"")"),0.36)</f>
        <v>0.36</v>
      </c>
    </row>
    <row r="5066">
      <c r="A5066" s="122" t="s">
        <v>10608</v>
      </c>
      <c r="B5066" s="123">
        <v>1170858.0</v>
      </c>
      <c r="C5066" s="124" t="s">
        <v>10609</v>
      </c>
      <c r="D5066" s="125"/>
      <c r="E5066" s="126">
        <v>15.86</v>
      </c>
      <c r="F5066" s="127"/>
      <c r="G5066" s="127"/>
      <c r="H5066" s="127"/>
      <c r="I5066" s="128"/>
      <c r="K5066" s="105" t="str">
        <f>IFERROR(__xludf.DUMMYFUNCTION("if(A5066="""","""",substitute(SUBSTITUTE(index(importhtml(""http://finviz.com/quote.ashx?t=""&amp;A5066,""table"",10),7,2),""*"",""""),""-"",""0.00""))"),"Loading...")</f>
        <v>Loading...</v>
      </c>
      <c r="L5066" s="129">
        <v>5.3819560191E10</v>
      </c>
      <c r="M5066" s="99">
        <v>1.23</v>
      </c>
    </row>
    <row r="5067">
      <c r="A5067" s="122" t="s">
        <v>10610</v>
      </c>
      <c r="B5067" s="123">
        <v>1109242.0</v>
      </c>
      <c r="C5067" s="124" t="s">
        <v>10611</v>
      </c>
      <c r="D5067" s="125"/>
      <c r="E5067" s="126">
        <v>15.87</v>
      </c>
      <c r="F5067" s="127"/>
      <c r="G5067" s="127"/>
      <c r="H5067" s="127"/>
      <c r="I5067" s="128"/>
      <c r="K5067" s="105" t="str">
        <f>IFERROR(__xludf.DUMMYFUNCTION("if(A5067="""","""",substitute(SUBSTITUTE(index(importhtml(""http://finviz.com/quote.ashx?t=""&amp;A5067,""table"",10),7,2),""*"",""""),""-"",""0.00""))"),"Loading...")</f>
        <v>Loading...</v>
      </c>
      <c r="L5067" s="129">
        <v>4.81950472E8</v>
      </c>
      <c r="M5067" s="99">
        <v>0.97</v>
      </c>
    </row>
    <row r="5068">
      <c r="A5068" s="122" t="s">
        <v>10612</v>
      </c>
      <c r="B5068" s="123">
        <v>1867949.0</v>
      </c>
      <c r="C5068" s="124" t="s">
        <v>10613</v>
      </c>
      <c r="D5068" s="125"/>
      <c r="E5068" s="126">
        <v>15.88</v>
      </c>
      <c r="F5068" s="127"/>
      <c r="G5068" s="127"/>
      <c r="H5068" s="127"/>
      <c r="I5068" s="128"/>
      <c r="K5068" s="105" t="str">
        <f>IFERROR(__xludf.DUMMYFUNCTION("if(A5068="""","""",substitute(SUBSTITUTE(index(importhtml(""http://finviz.com/quote.ashx?t=""&amp;A5068,""table"",10),7,2),""*"",""""),""-"",""0.00""))"),"Loading...")</f>
        <v>Loading...</v>
      </c>
      <c r="L5068" s="129">
        <v>2.88733973E8</v>
      </c>
      <c r="M5068" s="99">
        <f>IFERROR(__xludf.DUMMYFUNCTION("GOOGLEFINANCE(A5068,""beta"")"),0.13)</f>
        <v>0.13</v>
      </c>
    </row>
    <row r="5069">
      <c r="A5069" s="122" t="s">
        <v>10614</v>
      </c>
      <c r="B5069" s="123">
        <v>1080014.0</v>
      </c>
      <c r="C5069" s="124" t="s">
        <v>10615</v>
      </c>
      <c r="D5069" s="125"/>
      <c r="E5069" s="126">
        <v>15.9</v>
      </c>
      <c r="F5069" s="127"/>
      <c r="G5069" s="127"/>
      <c r="H5069" s="127"/>
      <c r="I5069" s="128"/>
      <c r="K5069" s="105" t="str">
        <f>IFERROR(__xludf.DUMMYFUNCTION("if(A5069="""","""",substitute(SUBSTITUTE(index(importhtml(""http://finviz.com/quote.ashx?t=""&amp;A5069,""table"",10),7,2),""*"",""""),""-"",""0.00""))"),"Loading...")</f>
        <v>Loading...</v>
      </c>
      <c r="L5069" s="129">
        <v>1.018978028E9</v>
      </c>
      <c r="M5069" s="99">
        <v>0.58</v>
      </c>
    </row>
    <row r="5070">
      <c r="A5070" s="122" t="s">
        <v>10616</v>
      </c>
      <c r="B5070" s="123">
        <v>1823945.0</v>
      </c>
      <c r="C5070" s="124" t="s">
        <v>10617</v>
      </c>
      <c r="D5070" s="125"/>
      <c r="E5070" s="126">
        <v>15.9</v>
      </c>
      <c r="F5070" s="127"/>
      <c r="G5070" s="127"/>
      <c r="H5070" s="127"/>
      <c r="I5070" s="128"/>
      <c r="K5070" s="105" t="str">
        <f>IFERROR(__xludf.DUMMYFUNCTION("if(A5070="""","""",substitute(SUBSTITUTE(index(importhtml(""http://finviz.com/quote.ashx?t=""&amp;A5070,""table"",10),7,2),""*"",""""),""-"",""0.00""))"),"Loading...")</f>
        <v>Loading...</v>
      </c>
      <c r="L5070" s="129">
        <v>2.2401573062E10</v>
      </c>
      <c r="M5070" s="99">
        <v>1.22</v>
      </c>
    </row>
    <row r="5071">
      <c r="A5071" s="122" t="s">
        <v>10618</v>
      </c>
      <c r="B5071" s="123">
        <v>1746967.0</v>
      </c>
      <c r="C5071" s="124" t="s">
        <v>10619</v>
      </c>
      <c r="D5071" s="125"/>
      <c r="E5071" s="126">
        <v>15.91</v>
      </c>
      <c r="F5071" s="127"/>
      <c r="G5071" s="127"/>
      <c r="H5071" s="127"/>
      <c r="I5071" s="128"/>
      <c r="K5071" s="105" t="str">
        <f>IFERROR(__xludf.DUMMYFUNCTION("if(A5071="""","""",substitute(SUBSTITUTE(index(importhtml(""http://finviz.com/quote.ashx?t=""&amp;A5071,""table"",10),7,2),""*"",""""),""-"",""0.00""))"),"Loading...")</f>
        <v>Loading...</v>
      </c>
      <c r="L5071" s="129">
        <v>1.01419009E8</v>
      </c>
      <c r="M5071" s="99" t="str">
        <f>IFERROR(__xludf.DUMMYFUNCTION("GOOGLEFINANCE(A5071,""beta"")"),"#N/A")</f>
        <v>#N/A</v>
      </c>
    </row>
    <row r="5072">
      <c r="A5072" s="122" t="s">
        <v>10620</v>
      </c>
      <c r="B5072" s="123">
        <v>1008848.0</v>
      </c>
      <c r="C5072" s="124" t="s">
        <v>10621</v>
      </c>
      <c r="D5072" s="125"/>
      <c r="E5072" s="126">
        <v>15.92</v>
      </c>
      <c r="F5072" s="127"/>
      <c r="G5072" s="127"/>
      <c r="H5072" s="127"/>
      <c r="I5072" s="128"/>
      <c r="K5072" s="105" t="str">
        <f>IFERROR(__xludf.DUMMYFUNCTION("if(A5072="""","""",substitute(SUBSTITUTE(index(importhtml(""http://finviz.com/quote.ashx?t=""&amp;A5072,""table"",10),7,2),""*"",""""),""-"",""0.00""))"),"Loading...")</f>
        <v>Loading...</v>
      </c>
      <c r="L5072" s="129">
        <v>1.9774184E7</v>
      </c>
      <c r="M5072" s="99">
        <v>1.44</v>
      </c>
    </row>
    <row r="5073">
      <c r="A5073" s="122" t="s">
        <v>10622</v>
      </c>
      <c r="B5073" s="123">
        <v>1176199.0</v>
      </c>
      <c r="C5073" s="124" t="s">
        <v>10623</v>
      </c>
      <c r="D5073" s="125"/>
      <c r="E5073" s="126">
        <v>15.92</v>
      </c>
      <c r="F5073" s="127"/>
      <c r="G5073" s="127"/>
      <c r="H5073" s="127"/>
      <c r="I5073" s="128"/>
      <c r="K5073" s="105" t="str">
        <f>IFERROR(__xludf.DUMMYFUNCTION("if(A5073="""","""",substitute(SUBSTITUTE(index(importhtml(""http://finviz.com/quote.ashx?t=""&amp;A5073,""table"",10),7,2),""*"",""""),""-"",""0.00""))"),"Loading...")</f>
        <v>Loading...</v>
      </c>
      <c r="L5073" s="129">
        <v>4.22508842E8</v>
      </c>
      <c r="M5073" s="99">
        <v>0.95</v>
      </c>
    </row>
    <row r="5074">
      <c r="A5074" s="122" t="s">
        <v>10624</v>
      </c>
      <c r="B5074" s="123">
        <v>96869.0</v>
      </c>
      <c r="C5074" s="124" t="s">
        <v>10625</v>
      </c>
      <c r="D5074" s="125"/>
      <c r="E5074" s="126">
        <v>15.93</v>
      </c>
      <c r="F5074" s="127"/>
      <c r="G5074" s="127"/>
      <c r="H5074" s="127"/>
      <c r="I5074" s="128"/>
      <c r="K5074" s="105" t="str">
        <f>IFERROR(__xludf.DUMMYFUNCTION("if(A5074="""","""",substitute(SUBSTITUTE(index(importhtml(""http://finviz.com/quote.ashx?t=""&amp;A5074,""table"",10),7,2),""*"",""""),""-"",""0.00""))"),"Loading...")</f>
        <v>Loading...</v>
      </c>
      <c r="L5074" s="129">
        <v>4.25875654E8</v>
      </c>
      <c r="M5074" s="99">
        <v>0.63</v>
      </c>
    </row>
    <row r="5075">
      <c r="A5075" s="122" t="s">
        <v>10626</v>
      </c>
      <c r="B5075" s="123">
        <v>100378.0</v>
      </c>
      <c r="C5075" s="124" t="s">
        <v>10627</v>
      </c>
      <c r="D5075" s="125"/>
      <c r="E5075" s="126">
        <v>15.94</v>
      </c>
      <c r="F5075" s="127"/>
      <c r="G5075" s="127"/>
      <c r="H5075" s="127"/>
      <c r="I5075" s="128"/>
      <c r="K5075" s="105" t="str">
        <f>IFERROR(__xludf.DUMMYFUNCTION("if(A5075="""","""",substitute(SUBSTITUTE(index(importhtml(""http://finviz.com/quote.ashx?t=""&amp;A5075,""table"",10),7,2),""*"",""""),""-"",""0.00""))"),"Loading...")</f>
        <v>Loading...</v>
      </c>
      <c r="L5075" s="129">
        <v>2.22536102E8</v>
      </c>
      <c r="M5075" s="99">
        <v>0.8</v>
      </c>
    </row>
    <row r="5076">
      <c r="A5076" s="122" t="s">
        <v>10628</v>
      </c>
      <c r="B5076" s="123">
        <v>1762322.0</v>
      </c>
      <c r="C5076" s="124" t="s">
        <v>10629</v>
      </c>
      <c r="D5076" s="125"/>
      <c r="E5076" s="126">
        <v>15.95</v>
      </c>
      <c r="F5076" s="127"/>
      <c r="G5076" s="127"/>
      <c r="H5076" s="127"/>
      <c r="I5076" s="128"/>
      <c r="K5076" s="105" t="str">
        <f>IFERROR(__xludf.DUMMYFUNCTION("if(A5076="""","""",substitute(SUBSTITUTE(index(importhtml(""http://finviz.com/quote.ashx?t=""&amp;A5076,""table"",10),7,2),""*"",""""),""-"",""0.00""))"),"Loading...")</f>
        <v>Loading...</v>
      </c>
      <c r="L5076" s="129">
        <v>5.85125E7</v>
      </c>
      <c r="M5076" s="99" t="str">
        <f>IFERROR(__xludf.DUMMYFUNCTION("GOOGLEFINANCE(A5076,""beta"")"),"#N/A")</f>
        <v>#N/A</v>
      </c>
    </row>
    <row r="5077">
      <c r="A5077" s="122" t="s">
        <v>10630</v>
      </c>
      <c r="B5077" s="123">
        <v>1347557.0</v>
      </c>
      <c r="C5077" s="124" t="s">
        <v>10631</v>
      </c>
      <c r="D5077" s="125"/>
      <c r="E5077" s="126">
        <v>15.95</v>
      </c>
      <c r="F5077" s="127"/>
      <c r="G5077" s="127"/>
      <c r="H5077" s="127"/>
      <c r="I5077" s="128"/>
      <c r="K5077" s="105" t="str">
        <f>IFERROR(__xludf.DUMMYFUNCTION("if(A5077="""","""",substitute(SUBSTITUTE(index(importhtml(""http://finviz.com/quote.ashx?t=""&amp;A5077,""table"",10),7,2),""*"",""""),""-"",""0.00""))"),"Loading...")</f>
        <v>Loading...</v>
      </c>
      <c r="L5077" s="129">
        <v>7.127037007E9</v>
      </c>
      <c r="M5077" s="99" t="str">
        <f>IFERROR(__xludf.DUMMYFUNCTION("GOOGLEFINANCE(A5077,""beta"")"),"#N/A")</f>
        <v>#N/A</v>
      </c>
    </row>
    <row r="5078">
      <c r="A5078" s="122" t="s">
        <v>10632</v>
      </c>
      <c r="B5078" s="123">
        <v>1190723.0</v>
      </c>
      <c r="C5078" s="124" t="s">
        <v>10633</v>
      </c>
      <c r="D5078" s="125"/>
      <c r="E5078" s="126">
        <v>15.95</v>
      </c>
      <c r="F5078" s="127"/>
      <c r="G5078" s="127"/>
      <c r="H5078" s="127"/>
      <c r="I5078" s="128"/>
      <c r="K5078" s="105" t="str">
        <f>IFERROR(__xludf.DUMMYFUNCTION("if(A5078="""","""",substitute(SUBSTITUTE(index(importhtml(""http://finviz.com/quote.ashx?t=""&amp;A5078,""table"",10),7,2),""*"",""""),""-"",""0.00""))"),"Loading...")</f>
        <v>Loading...</v>
      </c>
      <c r="L5078" s="129">
        <v>1.891820151E10</v>
      </c>
      <c r="M5078" s="99" t="str">
        <f>IFERROR(__xludf.DUMMYFUNCTION("GOOGLEFINANCE(A5078,""beta"")"),"#N/A")</f>
        <v>#N/A</v>
      </c>
    </row>
    <row r="5079">
      <c r="A5079" s="122" t="s">
        <v>10634</v>
      </c>
      <c r="B5079" s="123">
        <v>1644771.0</v>
      </c>
      <c r="C5079" s="124" t="s">
        <v>10635</v>
      </c>
      <c r="D5079" s="125"/>
      <c r="E5079" s="126">
        <v>15.95</v>
      </c>
      <c r="F5079" s="127"/>
      <c r="G5079" s="127"/>
      <c r="H5079" s="127"/>
      <c r="I5079" s="128"/>
      <c r="K5079" s="105" t="str">
        <f>IFERROR(__xludf.DUMMYFUNCTION("if(A5079="""","""",substitute(SUBSTITUTE(index(importhtml(""http://finviz.com/quote.ashx?t=""&amp;A5079,""table"",10),7,2),""*"",""""),""-"",""0.00""))"),"Loading...")</f>
        <v>Loading...</v>
      </c>
      <c r="L5079" s="129" t="e">
        <v>#N/A</v>
      </c>
      <c r="M5079" s="99">
        <v>0.2</v>
      </c>
    </row>
    <row r="5080">
      <c r="A5080" s="122" t="s">
        <v>10636</v>
      </c>
      <c r="B5080" s="123">
        <v>1561032.0</v>
      </c>
      <c r="C5080" s="124" t="s">
        <v>10637</v>
      </c>
      <c r="D5080" s="125"/>
      <c r="E5080" s="126">
        <v>15.95</v>
      </c>
      <c r="F5080" s="127"/>
      <c r="G5080" s="127"/>
      <c r="H5080" s="127"/>
      <c r="I5080" s="128"/>
      <c r="K5080" s="105" t="str">
        <f>IFERROR(__xludf.DUMMYFUNCTION("if(A5080="""","""",substitute(SUBSTITUTE(index(importhtml(""http://finviz.com/quote.ashx?t=""&amp;A5080,""table"",10),7,2),""*"",""""),""-"",""0.00""))"),"Loading...")</f>
        <v>Loading...</v>
      </c>
      <c r="L5080" s="129" t="e">
        <v>#N/A</v>
      </c>
      <c r="M5080" s="99">
        <v>0.91</v>
      </c>
    </row>
    <row r="5081">
      <c r="A5081" s="122" t="s">
        <v>10638</v>
      </c>
      <c r="B5081" s="123">
        <v>785557.0</v>
      </c>
      <c r="C5081" s="124" t="s">
        <v>10639</v>
      </c>
      <c r="D5081" s="125"/>
      <c r="E5081" s="126">
        <v>15.97</v>
      </c>
      <c r="F5081" s="127"/>
      <c r="G5081" s="127"/>
      <c r="H5081" s="127"/>
      <c r="I5081" s="128"/>
      <c r="K5081" s="105" t="str">
        <f>IFERROR(__xludf.DUMMYFUNCTION("if(A5081="""","""",substitute(SUBSTITUTE(index(importhtml(""http://finviz.com/quote.ashx?t=""&amp;A5081,""table"",10),7,2),""*"",""""),""-"",""0.00""))"),"Loading...")</f>
        <v>Loading...</v>
      </c>
      <c r="L5081" s="129">
        <v>2.27264282E8</v>
      </c>
      <c r="M5081" s="99">
        <v>1.28</v>
      </c>
    </row>
    <row r="5082">
      <c r="A5082" s="122" t="s">
        <v>10640</v>
      </c>
      <c r="B5082" s="123">
        <v>1692427.0</v>
      </c>
      <c r="C5082" s="124" t="s">
        <v>10641</v>
      </c>
      <c r="D5082" s="125"/>
      <c r="E5082" s="126">
        <v>15.98</v>
      </c>
      <c r="F5082" s="127"/>
      <c r="G5082" s="127"/>
      <c r="H5082" s="127"/>
      <c r="I5082" s="128"/>
      <c r="K5082" s="105" t="str">
        <f>IFERROR(__xludf.DUMMYFUNCTION("if(A5082="""","""",substitute(SUBSTITUTE(index(importhtml(""http://finviz.com/quote.ashx?t=""&amp;A5082,""table"",10),7,2),""*"",""""),""-"",""0.00""))"),"Loading...")</f>
        <v>Loading...</v>
      </c>
      <c r="L5082" s="129">
        <v>3.8977216E7</v>
      </c>
      <c r="M5082" s="99">
        <v>1.41</v>
      </c>
    </row>
    <row r="5083">
      <c r="A5083" s="122" t="s">
        <v>10642</v>
      </c>
      <c r="B5083" s="123">
        <v>1710864.0</v>
      </c>
      <c r="C5083" s="124" t="s">
        <v>10643</v>
      </c>
      <c r="D5083" s="125"/>
      <c r="E5083" s="126">
        <v>15.98</v>
      </c>
      <c r="F5083" s="143"/>
      <c r="G5083" s="136"/>
      <c r="H5083" s="127"/>
      <c r="I5083" s="128"/>
      <c r="K5083" s="105" t="str">
        <f>IFERROR(__xludf.DUMMYFUNCTION("if(A5083="""","""",substitute(SUBSTITUTE(index(importhtml(""http://finviz.com/quote.ashx?t=""&amp;A5083,""table"",10),7,2),""*"",""""),""-"",""0.00""))"),"Loading...")</f>
        <v>Loading...</v>
      </c>
      <c r="L5083" s="129">
        <v>7.173897885E11</v>
      </c>
      <c r="M5083" s="99">
        <f>IFERROR(__xludf.DUMMYFUNCTION("GOOGLEFINANCE(A5083,""beta"")"),-1.21)</f>
        <v>-1.21</v>
      </c>
    </row>
    <row r="5084">
      <c r="A5084" s="122" t="s">
        <v>10644</v>
      </c>
      <c r="B5084" s="123">
        <v>1314727.0</v>
      </c>
      <c r="C5084" s="124" t="s">
        <v>10645</v>
      </c>
      <c r="D5084" s="125"/>
      <c r="E5084" s="126">
        <v>15.99</v>
      </c>
      <c r="F5084" s="127"/>
      <c r="G5084" s="127"/>
      <c r="H5084" s="127"/>
      <c r="I5084" s="128"/>
      <c r="K5084" s="105" t="str">
        <f>IFERROR(__xludf.DUMMYFUNCTION("if(A5084="""","""",substitute(SUBSTITUTE(index(importhtml(""http://finviz.com/quote.ashx?t=""&amp;A5084,""table"",10),7,2),""*"",""""),""-"",""0.00""))"),"Loading...")</f>
        <v>Loading...</v>
      </c>
      <c r="L5084" s="129">
        <v>1.985179258E9</v>
      </c>
      <c r="M5084" s="99">
        <v>1.94</v>
      </c>
    </row>
    <row r="5085">
      <c r="A5085" s="122" t="s">
        <v>10646</v>
      </c>
      <c r="B5085" s="123">
        <v>36840.0</v>
      </c>
      <c r="C5085" s="124" t="s">
        <v>10647</v>
      </c>
      <c r="D5085" s="125"/>
      <c r="E5085" s="126">
        <v>16.0</v>
      </c>
      <c r="F5085" s="127"/>
      <c r="G5085" s="127"/>
      <c r="H5085" s="127"/>
      <c r="I5085" s="128"/>
      <c r="K5085" s="105" t="str">
        <f>IFERROR(__xludf.DUMMYFUNCTION("if(A5085="""","""",substitute(SUBSTITUTE(index(importhtml(""http://finviz.com/quote.ashx?t=""&amp;A5085,""table"",10),7,2),""*"",""""),""-"",""0.00""))"),"Loading...")</f>
        <v>Loading...</v>
      </c>
      <c r="L5085" s="129">
        <v>1.19193264E8</v>
      </c>
      <c r="M5085" s="99">
        <v>0.64</v>
      </c>
    </row>
    <row r="5086">
      <c r="A5086" s="122" t="s">
        <v>10648</v>
      </c>
      <c r="B5086" s="123">
        <v>1412558.0</v>
      </c>
      <c r="C5086" s="124" t="s">
        <v>7411</v>
      </c>
      <c r="D5086" s="125"/>
      <c r="E5086" s="126">
        <v>16.0</v>
      </c>
      <c r="F5086" s="127"/>
      <c r="G5086" s="127"/>
      <c r="H5086" s="127"/>
      <c r="I5086" s="128"/>
      <c r="K5086" s="105" t="str">
        <f>IFERROR(__xludf.DUMMYFUNCTION("if(A5086="""","""",substitute(SUBSTITUTE(index(importhtml(""http://finviz.com/quote.ashx?t=""&amp;A5086,""table"",10),7,2),""*"",""""),""-"",""0.00""))"),"Loading...")</f>
        <v>Loading...</v>
      </c>
      <c r="L5086" s="129">
        <v>2.512068245E9</v>
      </c>
      <c r="M5086" s="99">
        <f>IFERROR(__xludf.DUMMYFUNCTION("GOOGLEFINANCE(A5086,""beta"")"),1.87)</f>
        <v>1.87</v>
      </c>
    </row>
    <row r="5087">
      <c r="A5087" s="122" t="s">
        <v>10649</v>
      </c>
      <c r="B5087" s="123">
        <v>1529192.0</v>
      </c>
      <c r="C5087" s="124" t="s">
        <v>10650</v>
      </c>
      <c r="D5087" s="125"/>
      <c r="E5087" s="126">
        <v>16.0</v>
      </c>
      <c r="F5087" s="127"/>
      <c r="G5087" s="127"/>
      <c r="H5087" s="127"/>
      <c r="I5087" s="128"/>
      <c r="K5087" s="105" t="str">
        <f>IFERROR(__xludf.DUMMYFUNCTION("if(A5087="""","""",substitute(SUBSTITUTE(index(importhtml(""http://finviz.com/quote.ashx?t=""&amp;A5087,""table"",10),7,2),""*"",""""),""-"",""0.00""))"),"Loading...")</f>
        <v>Loading...</v>
      </c>
      <c r="L5087" s="129">
        <v>8.6691504E9</v>
      </c>
      <c r="M5087" s="99">
        <v>0.38</v>
      </c>
    </row>
    <row r="5088">
      <c r="A5088" s="122" t="s">
        <v>10651</v>
      </c>
      <c r="B5088" s="123">
        <v>1533232.0</v>
      </c>
      <c r="C5088" s="124" t="s">
        <v>10652</v>
      </c>
      <c r="D5088" s="125"/>
      <c r="E5088" s="126">
        <v>16.0</v>
      </c>
      <c r="F5088" s="127"/>
      <c r="G5088" s="127"/>
      <c r="H5088" s="127"/>
      <c r="I5088" s="128"/>
      <c r="K5088" s="105" t="str">
        <f>IFERROR(__xludf.DUMMYFUNCTION("if(A5088="""","""",substitute(SUBSTITUTE(index(importhtml(""http://finviz.com/quote.ashx?t=""&amp;A5088,""table"",10),7,2),""*"",""""),""-"",""0.00""))"),"Loading...")</f>
        <v>Loading...</v>
      </c>
      <c r="L5088" s="129" t="e">
        <v>#N/A</v>
      </c>
      <c r="M5088" s="99">
        <f>IFERROR(__xludf.DUMMYFUNCTION("GOOGLEFINANCE(A5088,""beta"")"),0.74)</f>
        <v>0.74</v>
      </c>
    </row>
    <row r="5089">
      <c r="A5089" s="122" t="s">
        <v>10653</v>
      </c>
      <c r="B5089" s="123">
        <v>1020859.0</v>
      </c>
      <c r="C5089" s="124" t="s">
        <v>10654</v>
      </c>
      <c r="D5089" s="125"/>
      <c r="E5089" s="126">
        <v>16.01</v>
      </c>
      <c r="F5089" s="127"/>
      <c r="G5089" s="127"/>
      <c r="H5089" s="127"/>
      <c r="I5089" s="128"/>
      <c r="K5089" s="105" t="str">
        <f>IFERROR(__xludf.DUMMYFUNCTION("if(A5089="""","""",substitute(SUBSTITUTE(index(importhtml(""http://finviz.com/quote.ashx?t=""&amp;A5089,""table"",10),7,2),""*"",""""),""-"",""0.00""))"),"Loading...")</f>
        <v>Loading...</v>
      </c>
      <c r="L5089" s="129">
        <v>9.51121613E8</v>
      </c>
      <c r="M5089" s="99" t="str">
        <f>IFERROR(__xludf.DUMMYFUNCTION("GOOGLEFINANCE(A5089,""beta"")"),"#N/A")</f>
        <v>#N/A</v>
      </c>
    </row>
    <row r="5090">
      <c r="A5090" s="122" t="s">
        <v>10655</v>
      </c>
      <c r="B5090" s="123">
        <v>1581990.0</v>
      </c>
      <c r="C5090" s="124" t="s">
        <v>10656</v>
      </c>
      <c r="D5090" s="125"/>
      <c r="E5090" s="126">
        <v>16.02</v>
      </c>
      <c r="F5090" s="127"/>
      <c r="G5090" s="127"/>
      <c r="H5090" s="127"/>
      <c r="I5090" s="128"/>
      <c r="K5090" s="105" t="str">
        <f>IFERROR(__xludf.DUMMYFUNCTION("if(A5090="""","""",substitute(SUBSTITUTE(index(importhtml(""http://finviz.com/quote.ashx?t=""&amp;A5090,""table"",10),7,2),""*"",""""),""-"",""0.00""))"),"Loading...")</f>
        <v>Loading...</v>
      </c>
      <c r="L5090" s="129">
        <v>3.146595623E9</v>
      </c>
      <c r="M5090" s="99">
        <v>1.58</v>
      </c>
    </row>
    <row r="5091">
      <c r="A5091" s="122" t="s">
        <v>10657</v>
      </c>
      <c r="B5091" s="123">
        <v>30125.0</v>
      </c>
      <c r="C5091" s="124" t="s">
        <v>10658</v>
      </c>
      <c r="D5091" s="125"/>
      <c r="E5091" s="126">
        <v>16.03</v>
      </c>
      <c r="F5091" s="127"/>
      <c r="G5091" s="127"/>
      <c r="H5091" s="127"/>
      <c r="I5091" s="128"/>
      <c r="K5091" s="105" t="str">
        <f>IFERROR(__xludf.DUMMYFUNCTION("if(A5091="""","""",substitute(SUBSTITUTE(index(importhtml(""http://finviz.com/quote.ashx?t=""&amp;A5091,""table"",10),7,2),""*"",""""),""-"",""0.00""))"),"#N/A")</f>
        <v>#N/A</v>
      </c>
      <c r="L5091" s="129">
        <v>1.727002E8</v>
      </c>
      <c r="M5091" s="99">
        <v>0.26</v>
      </c>
    </row>
    <row r="5092">
      <c r="A5092" s="122" t="s">
        <v>10659</v>
      </c>
      <c r="B5092" s="123">
        <v>1841156.0</v>
      </c>
      <c r="C5092" s="124" t="s">
        <v>10660</v>
      </c>
      <c r="D5092" s="125"/>
      <c r="E5092" s="126">
        <v>16.03</v>
      </c>
      <c r="F5092" s="127"/>
      <c r="G5092" s="127"/>
      <c r="H5092" s="127"/>
      <c r="I5092" s="128"/>
      <c r="K5092" s="105" t="str">
        <f>IFERROR(__xludf.DUMMYFUNCTION("if(A5092="""","""",substitute(SUBSTITUTE(index(importhtml(""http://finviz.com/quote.ashx?t=""&amp;A5092,""table"",10),7,2),""*"",""""),""-"",""0.00""))"),"Loading...")</f>
        <v>Loading...</v>
      </c>
      <c r="L5092" s="129">
        <v>1.982867803E9</v>
      </c>
      <c r="M5092" s="99">
        <f>IFERROR(__xludf.DUMMYFUNCTION("GOOGLEFINANCE(A5092,""beta"")"),1.5)</f>
        <v>1.5</v>
      </c>
    </row>
    <row r="5093">
      <c r="A5093" s="122" t="s">
        <v>10661</v>
      </c>
      <c r="B5093" s="123">
        <v>1691421.0</v>
      </c>
      <c r="C5093" s="124" t="s">
        <v>10662</v>
      </c>
      <c r="D5093" s="125"/>
      <c r="E5093" s="126">
        <v>16.05</v>
      </c>
      <c r="F5093" s="127"/>
      <c r="G5093" s="127"/>
      <c r="H5093" s="127"/>
      <c r="I5093" s="128"/>
      <c r="K5093" s="105" t="str">
        <f>IFERROR(__xludf.DUMMYFUNCTION("if(A5093="""","""",substitute(SUBSTITUTE(index(importhtml(""http://finviz.com/quote.ashx?t=""&amp;A5093,""table"",10),7,2),""*"",""""),""-"",""0.00""))"),"Loading...")</f>
        <v>Loading...</v>
      </c>
      <c r="L5093" s="129">
        <v>1.122272763E9</v>
      </c>
      <c r="M5093" s="99">
        <v>1.92</v>
      </c>
    </row>
    <row r="5094">
      <c r="A5094" s="122" t="s">
        <v>10663</v>
      </c>
      <c r="B5094" s="123">
        <v>1714899.0</v>
      </c>
      <c r="C5094" s="124" t="s">
        <v>10664</v>
      </c>
      <c r="D5094" s="125"/>
      <c r="E5094" s="126">
        <v>16.05</v>
      </c>
      <c r="F5094" s="127"/>
      <c r="G5094" s="127"/>
      <c r="H5094" s="127"/>
      <c r="I5094" s="128"/>
      <c r="K5094" s="105" t="str">
        <f>IFERROR(__xludf.DUMMYFUNCTION("if(A5094="""","""",substitute(SUBSTITUTE(index(importhtml(""http://finviz.com/quote.ashx?t=""&amp;A5094,""table"",10),7,2),""*"",""""),""-"",""0.00""))"),"Loading...")</f>
        <v>Loading...</v>
      </c>
      <c r="L5094" s="129">
        <v>2.298212668E9</v>
      </c>
      <c r="M5094" s="99">
        <v>1.31</v>
      </c>
    </row>
    <row r="5095">
      <c r="A5095" s="122" t="s">
        <v>10665</v>
      </c>
      <c r="B5095" s="123">
        <v>707179.0</v>
      </c>
      <c r="C5095" s="124" t="s">
        <v>10666</v>
      </c>
      <c r="D5095" s="125"/>
      <c r="E5095" s="126">
        <v>16.06</v>
      </c>
      <c r="F5095" s="127"/>
      <c r="G5095" s="127"/>
      <c r="H5095" s="127"/>
      <c r="I5095" s="128"/>
      <c r="K5095" s="105" t="str">
        <f>IFERROR(__xludf.DUMMYFUNCTION("if(A5095="""","""",substitute(SUBSTITUTE(index(importhtml(""http://finviz.com/quote.ashx?t=""&amp;A5095,""table"",10),7,2),""*"",""""),""-"",""0.00""))"),"Loading...")</f>
        <v>Loading...</v>
      </c>
      <c r="L5095" s="129">
        <v>4.700039143E9</v>
      </c>
      <c r="M5095" s="99">
        <v>0.84</v>
      </c>
    </row>
    <row r="5096">
      <c r="A5096" s="122" t="s">
        <v>10667</v>
      </c>
      <c r="B5096" s="123">
        <v>1415311.0</v>
      </c>
      <c r="C5096" s="124" t="s">
        <v>10668</v>
      </c>
      <c r="D5096" s="125"/>
      <c r="E5096" s="126">
        <v>16.06</v>
      </c>
      <c r="F5096" s="127"/>
      <c r="G5096" s="127"/>
      <c r="H5096" s="127"/>
      <c r="I5096" s="128"/>
      <c r="K5096" s="105" t="str">
        <f>IFERROR(__xludf.DUMMYFUNCTION("if(A5096="""","""",substitute(SUBSTITUTE(index(importhtml(""http://finviz.com/quote.ashx?t=""&amp;A5096,""table"",10),7,2),""*"",""""),""-"",""0.00""))"),"Loading...")</f>
        <v>Loading...</v>
      </c>
      <c r="L5096" s="129" t="e">
        <v>#N/A</v>
      </c>
      <c r="M5096" s="99" t="str">
        <f>IFERROR(__xludf.DUMMYFUNCTION("GOOGLEFINANCE(A5096,""beta"")"),"#N/A")</f>
        <v>#N/A</v>
      </c>
    </row>
    <row r="5097">
      <c r="A5097" s="122" t="s">
        <v>10669</v>
      </c>
      <c r="B5097" s="123">
        <v>1689796.0</v>
      </c>
      <c r="C5097" s="124" t="s">
        <v>10670</v>
      </c>
      <c r="D5097" s="125"/>
      <c r="E5097" s="126">
        <v>16.08</v>
      </c>
      <c r="F5097" s="127"/>
      <c r="G5097" s="127"/>
      <c r="H5097" s="127"/>
      <c r="I5097" s="128"/>
      <c r="K5097" s="105" t="str">
        <f>IFERROR(__xludf.DUMMYFUNCTION("if(A5097="""","""",substitute(SUBSTITUTE(index(importhtml(""http://finviz.com/quote.ashx?t=""&amp;A5097,""table"",10),7,2),""*"",""""),""-"",""0.00""))"),"Loading...")</f>
        <v>Loading...</v>
      </c>
      <c r="L5097" s="129">
        <v>1.538859851E9</v>
      </c>
      <c r="M5097" s="99">
        <v>1.09</v>
      </c>
    </row>
    <row r="5098">
      <c r="A5098" s="122" t="s">
        <v>10671</v>
      </c>
      <c r="B5098" s="123">
        <v>1677250.0</v>
      </c>
      <c r="C5098" s="124" t="s">
        <v>10672</v>
      </c>
      <c r="D5098" s="125"/>
      <c r="E5098" s="126">
        <v>16.08</v>
      </c>
      <c r="F5098" s="127"/>
      <c r="G5098" s="127"/>
      <c r="H5098" s="127"/>
      <c r="I5098" s="128"/>
      <c r="K5098" s="105" t="str">
        <f>IFERROR(__xludf.DUMMYFUNCTION("if(A5098="""","""",substitute(SUBSTITUTE(index(importhtml(""http://finviz.com/quote.ashx?t=""&amp;A5098,""table"",10),7,2),""*"",""""),""-"",""0.00""))"),"Loading...")</f>
        <v>Loading...</v>
      </c>
      <c r="L5098" s="129">
        <v>1.2938508226E10</v>
      </c>
      <c r="M5098" s="99">
        <v>-0.07</v>
      </c>
    </row>
    <row r="5099">
      <c r="A5099" s="122" t="s">
        <v>10673</v>
      </c>
      <c r="B5099" s="123">
        <v>1360604.0</v>
      </c>
      <c r="C5099" s="124" t="s">
        <v>10674</v>
      </c>
      <c r="D5099" s="125"/>
      <c r="E5099" s="126">
        <v>16.09</v>
      </c>
      <c r="F5099" s="127"/>
      <c r="G5099" s="127"/>
      <c r="H5099" s="127"/>
      <c r="I5099" s="128"/>
      <c r="K5099" s="138" t="s">
        <v>10675</v>
      </c>
      <c r="L5099" s="129">
        <v>6.128262718E9</v>
      </c>
      <c r="M5099" s="99">
        <v>1.01</v>
      </c>
    </row>
    <row r="5100">
      <c r="A5100" s="122" t="s">
        <v>10676</v>
      </c>
      <c r="B5100" s="123">
        <v>64472.0</v>
      </c>
      <c r="C5100" s="124" t="s">
        <v>10677</v>
      </c>
      <c r="D5100" s="125"/>
      <c r="E5100" s="126">
        <v>16.09</v>
      </c>
      <c r="F5100" s="127"/>
      <c r="G5100" s="127"/>
      <c r="H5100" s="127"/>
      <c r="I5100" s="128"/>
      <c r="K5100" s="105" t="str">
        <f>IFERROR(__xludf.DUMMYFUNCTION("if(A5100="""","""",substitute(SUBSTITUTE(index(importhtml(""http://finviz.com/quote.ashx?t=""&amp;A5100,""table"",10),7,2),""*"",""""),""-"",""0.00""))"),"Loading...")</f>
        <v>Loading...</v>
      </c>
      <c r="L5100" s="129">
        <v>2.35842395E8</v>
      </c>
      <c r="M5100" s="99">
        <v>0.53</v>
      </c>
    </row>
    <row r="5101">
      <c r="A5101" s="122" t="s">
        <v>10678</v>
      </c>
      <c r="B5101" s="123">
        <v>1549966.0</v>
      </c>
      <c r="C5101" s="124" t="s">
        <v>10679</v>
      </c>
      <c r="D5101" s="125"/>
      <c r="E5101" s="126">
        <v>16.12</v>
      </c>
      <c r="F5101" s="127"/>
      <c r="G5101" s="127"/>
      <c r="H5101" s="127"/>
      <c r="I5101" s="128"/>
      <c r="K5101" s="105" t="str">
        <f>IFERROR(__xludf.DUMMYFUNCTION("if(A5101="""","""",substitute(SUBSTITUTE(index(importhtml(""http://finviz.com/quote.ashx?t=""&amp;A5101,""table"",10),7,2),""*"",""""),""-"",""0.00""))"),"Loading...")</f>
        <v>Loading...</v>
      </c>
      <c r="L5101" s="129">
        <v>2.23859418E8</v>
      </c>
      <c r="M5101" s="99">
        <v>0.88</v>
      </c>
    </row>
    <row r="5102">
      <c r="A5102" s="122" t="s">
        <v>10680</v>
      </c>
      <c r="B5102" s="123">
        <v>1178970.0</v>
      </c>
      <c r="C5102" s="124" t="s">
        <v>10681</v>
      </c>
      <c r="D5102" s="125"/>
      <c r="E5102" s="126">
        <v>16.12</v>
      </c>
      <c r="F5102" s="127"/>
      <c r="G5102" s="127"/>
      <c r="H5102" s="127"/>
      <c r="I5102" s="128"/>
      <c r="K5102" s="105" t="str">
        <f>IFERROR(__xludf.DUMMYFUNCTION("if(A5102="""","""",substitute(SUBSTITUTE(index(importhtml(""http://finviz.com/quote.ashx?t=""&amp;A5102,""table"",10),7,2),""*"",""""),""-"",""0.00""))"),"Loading...")</f>
        <v>Loading...</v>
      </c>
      <c r="L5102" s="129">
        <v>1.217659727E9</v>
      </c>
      <c r="M5102" s="99">
        <v>1.11</v>
      </c>
    </row>
    <row r="5103">
      <c r="A5103" s="122" t="s">
        <v>10682</v>
      </c>
      <c r="B5103" s="123">
        <v>1189740.0</v>
      </c>
      <c r="C5103" s="124" t="s">
        <v>10683</v>
      </c>
      <c r="D5103" s="125"/>
      <c r="E5103" s="126">
        <v>16.15</v>
      </c>
      <c r="F5103" s="127"/>
      <c r="G5103" s="127"/>
      <c r="H5103" s="127"/>
      <c r="I5103" s="128"/>
      <c r="K5103" s="105" t="str">
        <f>IFERROR(__xludf.DUMMYFUNCTION("if(A5103="""","""",substitute(SUBSTITUTE(index(importhtml(""http://finviz.com/quote.ashx?t=""&amp;A5103,""table"",10),7,2),""*"",""""),""-"",""0.00""))"),"Loading...")</f>
        <v>Loading...</v>
      </c>
      <c r="L5103" s="129">
        <v>3.4740684E8</v>
      </c>
      <c r="M5103" s="99">
        <v>0.87</v>
      </c>
    </row>
    <row r="5104">
      <c r="A5104" s="122" t="s">
        <v>10684</v>
      </c>
      <c r="B5104" s="123">
        <v>1664780.0</v>
      </c>
      <c r="C5104" s="124" t="s">
        <v>10685</v>
      </c>
      <c r="D5104" s="125"/>
      <c r="E5104" s="126">
        <v>16.17</v>
      </c>
      <c r="F5104" s="127"/>
      <c r="G5104" s="127"/>
      <c r="H5104" s="127"/>
      <c r="I5104" s="128"/>
      <c r="K5104" s="105" t="str">
        <f>IFERROR(__xludf.DUMMYFUNCTION("if(A5104="""","""",substitute(SUBSTITUTE(index(importhtml(""http://finviz.com/quote.ashx?t=""&amp;A5104,""table"",10),7,2),""*"",""""),""-"",""0.00""))"),"Loading...")</f>
        <v>Loading...</v>
      </c>
      <c r="L5104" s="129">
        <v>5.31929292E8</v>
      </c>
      <c r="M5104" s="99">
        <v>0.78</v>
      </c>
    </row>
    <row r="5105">
      <c r="A5105" s="122" t="s">
        <v>10686</v>
      </c>
      <c r="B5105" s="123">
        <v>748954.0</v>
      </c>
      <c r="C5105" s="124" t="s">
        <v>10687</v>
      </c>
      <c r="D5105" s="125"/>
      <c r="E5105" s="126">
        <v>16.17</v>
      </c>
      <c r="F5105" s="136"/>
      <c r="G5105" s="147" t="s">
        <v>10688</v>
      </c>
      <c r="H5105" s="127"/>
      <c r="I5105" s="128"/>
      <c r="K5105" s="105" t="str">
        <f>IFERROR(__xludf.DUMMYFUNCTION("if(A5105="""","""",substitute(SUBSTITUTE(index(importhtml(""http://finviz.com/quote.ashx?t=""&amp;A5105,""table"",10),7,2),""*"",""""),""-"",""0.00""))"),"Loading...")</f>
        <v>Loading...</v>
      </c>
      <c r="L5105" s="129">
        <v>7.982958E11</v>
      </c>
      <c r="M5105" s="99">
        <v>1.4</v>
      </c>
    </row>
    <row r="5106">
      <c r="A5106" s="122" t="s">
        <v>10689</v>
      </c>
      <c r="B5106" s="123">
        <v>1621434.0</v>
      </c>
      <c r="C5106" s="124" t="s">
        <v>10690</v>
      </c>
      <c r="D5106" s="125"/>
      <c r="E5106" s="126">
        <v>16.18</v>
      </c>
      <c r="F5106" s="127"/>
      <c r="G5106" s="127"/>
      <c r="H5106" s="127"/>
      <c r="I5106" s="128"/>
      <c r="K5106" s="55" t="s">
        <v>10691</v>
      </c>
      <c r="L5106" s="129">
        <v>3.397652826E9</v>
      </c>
      <c r="M5106" s="99">
        <v>0.96</v>
      </c>
    </row>
    <row r="5107">
      <c r="A5107" s="122" t="s">
        <v>10692</v>
      </c>
      <c r="B5107" s="123">
        <v>874501.0</v>
      </c>
      <c r="C5107" s="124" t="s">
        <v>10693</v>
      </c>
      <c r="D5107" s="125"/>
      <c r="E5107" s="126">
        <v>16.18</v>
      </c>
      <c r="F5107" s="127"/>
      <c r="G5107" s="127"/>
      <c r="H5107" s="127"/>
      <c r="I5107" s="128"/>
      <c r="K5107" s="105" t="str">
        <f>IFERROR(__xludf.DUMMYFUNCTION("if(A5107="""","""",substitute(SUBSTITUTE(index(importhtml(""http://finviz.com/quote.ashx?t=""&amp;A5107,""table"",10),7,2),""*"",""""),""-"",""0.00""))"),"Loading...")</f>
        <v>Loading...</v>
      </c>
      <c r="L5107" s="129">
        <v>7.31247509E8</v>
      </c>
      <c r="M5107" s="99" t="str">
        <f>IFERROR(__xludf.DUMMYFUNCTION("GOOGLEFINANCE(A5107,""beta"")"),"#N/A")</f>
        <v>#N/A</v>
      </c>
    </row>
    <row r="5108">
      <c r="A5108" s="122" t="s">
        <v>10694</v>
      </c>
      <c r="B5108" s="123">
        <v>1593538.0</v>
      </c>
      <c r="C5108" s="124" t="s">
        <v>10695</v>
      </c>
      <c r="D5108" s="125"/>
      <c r="E5108" s="126">
        <v>16.18</v>
      </c>
      <c r="F5108" s="127"/>
      <c r="G5108" s="127"/>
      <c r="H5108" s="127"/>
      <c r="I5108" s="128"/>
      <c r="K5108" s="105" t="str">
        <f>IFERROR(__xludf.DUMMYFUNCTION("if(A5108="""","""",substitute(SUBSTITUTE(index(importhtml(""http://finviz.com/quote.ashx?t=""&amp;A5108,""table"",10),7,2),""*"",""""),""-"",""0.00""))"),"Loading...")</f>
        <v>Loading...</v>
      </c>
      <c r="L5108" s="129">
        <v>1.902298815E9</v>
      </c>
      <c r="M5108" s="99">
        <v>1.41</v>
      </c>
    </row>
    <row r="5109">
      <c r="A5109" s="122" t="s">
        <v>10696</v>
      </c>
      <c r="B5109" s="123">
        <v>1513789.0</v>
      </c>
      <c r="C5109" s="124" t="s">
        <v>10697</v>
      </c>
      <c r="D5109" s="125"/>
      <c r="E5109" s="126">
        <v>16.19</v>
      </c>
      <c r="F5109" s="127"/>
      <c r="G5109" s="127"/>
      <c r="H5109" s="127"/>
      <c r="I5109" s="128"/>
      <c r="K5109" s="55" t="s">
        <v>10698</v>
      </c>
      <c r="L5109" s="129" t="e">
        <v>#N/A</v>
      </c>
      <c r="M5109" s="99">
        <v>1.06</v>
      </c>
    </row>
    <row r="5110">
      <c r="A5110" s="122" t="s">
        <v>10699</v>
      </c>
      <c r="B5110" s="123">
        <v>1823406.0</v>
      </c>
      <c r="C5110" s="124" t="s">
        <v>10700</v>
      </c>
      <c r="D5110" s="125"/>
      <c r="E5110" s="126">
        <v>16.2</v>
      </c>
      <c r="F5110" s="127"/>
      <c r="G5110" s="127"/>
      <c r="H5110" s="127"/>
      <c r="I5110" s="128"/>
      <c r="K5110" s="105" t="str">
        <f>IFERROR(__xludf.DUMMYFUNCTION("if(A5110="""","""",substitute(SUBSTITUTE(index(importhtml(""http://finviz.com/quote.ashx?t=""&amp;A5110,""table"",10),7,2),""*"",""""),""-"",""0.00""))"),"Loading...")</f>
        <v>Loading...</v>
      </c>
      <c r="L5110" s="129">
        <v>1.03458891E8</v>
      </c>
      <c r="M5110" s="99">
        <v>0.57</v>
      </c>
    </row>
    <row r="5111">
      <c r="A5111" s="122" t="s">
        <v>10701</v>
      </c>
      <c r="B5111" s="123">
        <v>748954.0</v>
      </c>
      <c r="C5111" s="124" t="s">
        <v>10702</v>
      </c>
      <c r="D5111" s="125"/>
      <c r="E5111" s="126">
        <v>16.2</v>
      </c>
      <c r="F5111" s="142"/>
      <c r="G5111" s="136"/>
      <c r="H5111" s="127"/>
      <c r="I5111" s="128"/>
      <c r="K5111" s="105" t="str">
        <f>IFERROR(__xludf.DUMMYFUNCTION("if(A5111="""","""",substitute(SUBSTITUTE(index(importhtml(""http://finviz.com/quote.ashx?t=""&amp;A5111,""table"",10),7,2),""*"",""""),""-"",""0.00""))"),"Loading...")</f>
        <v>Loading...</v>
      </c>
      <c r="L5111" s="129">
        <v>7.982958E11</v>
      </c>
      <c r="M5111" s="99">
        <v>2.17</v>
      </c>
    </row>
    <row r="5112">
      <c r="A5112" s="122" t="s">
        <v>10703</v>
      </c>
      <c r="B5112" s="123">
        <v>94845.0</v>
      </c>
      <c r="C5112" s="124" t="s">
        <v>10704</v>
      </c>
      <c r="D5112" s="125"/>
      <c r="E5112" s="126">
        <v>16.22</v>
      </c>
      <c r="F5112" s="127"/>
      <c r="G5112" s="127"/>
      <c r="H5112" s="127"/>
      <c r="I5112" s="128"/>
      <c r="K5112" s="105" t="str">
        <f>IFERROR(__xludf.DUMMYFUNCTION("if(A5112="""","""",substitute(SUBSTITUTE(index(importhtml(""http://finviz.com/quote.ashx?t=""&amp;A5112,""table"",10),7,2),""*"",""""),""-"",""0.00""))"),"Loading...")</f>
        <v>Loading...</v>
      </c>
      <c r="L5112" s="129">
        <v>6.45525479E9</v>
      </c>
      <c r="M5112" s="99">
        <v>1.19</v>
      </c>
    </row>
    <row r="5113">
      <c r="A5113" s="122" t="s">
        <v>10705</v>
      </c>
      <c r="B5113" s="123">
        <v>1577437.0</v>
      </c>
      <c r="C5113" s="124" t="s">
        <v>10706</v>
      </c>
      <c r="D5113" s="125"/>
      <c r="E5113" s="126">
        <v>16.23</v>
      </c>
      <c r="F5113" s="127"/>
      <c r="G5113" s="127"/>
      <c r="H5113" s="127"/>
      <c r="I5113" s="128"/>
      <c r="K5113" s="55" t="s">
        <v>9675</v>
      </c>
      <c r="L5113" s="129">
        <v>6.70280154E8</v>
      </c>
      <c r="M5113" s="99">
        <v>0.39</v>
      </c>
    </row>
    <row r="5114">
      <c r="A5114" s="122" t="s">
        <v>10707</v>
      </c>
      <c r="B5114" s="123">
        <v>1418121.0</v>
      </c>
      <c r="C5114" s="124" t="s">
        <v>10708</v>
      </c>
      <c r="D5114" s="125"/>
      <c r="E5114" s="126">
        <v>16.23</v>
      </c>
      <c r="F5114" s="127"/>
      <c r="G5114" s="127"/>
      <c r="H5114" s="127"/>
      <c r="I5114" s="128"/>
      <c r="K5114" s="105" t="str">
        <f>IFERROR(__xludf.DUMMYFUNCTION("if(A5114="""","""",substitute(SUBSTITUTE(index(importhtml(""http://finviz.com/quote.ashx?t=""&amp;A5114,""table"",10),7,2),""*"",""""),""-"",""0.00""))"),"Loading...")</f>
        <v>Loading...</v>
      </c>
      <c r="L5114" s="129">
        <v>3.713539128E9</v>
      </c>
      <c r="M5114" s="99">
        <v>1.07</v>
      </c>
    </row>
    <row r="5115">
      <c r="A5115" s="122" t="s">
        <v>10709</v>
      </c>
      <c r="B5115" s="123">
        <v>1680062.0</v>
      </c>
      <c r="C5115" s="124" t="s">
        <v>10710</v>
      </c>
      <c r="D5115" s="125"/>
      <c r="E5115" s="126">
        <v>16.24</v>
      </c>
      <c r="F5115" s="127"/>
      <c r="G5115" s="127"/>
      <c r="H5115" s="127"/>
      <c r="I5115" s="128"/>
      <c r="K5115" s="105" t="str">
        <f>IFERROR(__xludf.DUMMYFUNCTION("if(A5115="""","""",substitute(SUBSTITUTE(index(importhtml(""http://finviz.com/quote.ashx?t=""&amp;A5115,""table"",10),7,2),""*"",""""),""-"",""0.00""))"),"Loading...")</f>
        <v>Loading...</v>
      </c>
      <c r="L5115" s="129">
        <v>9.84270008E8</v>
      </c>
      <c r="M5115" s="99">
        <v>1.26</v>
      </c>
    </row>
    <row r="5116">
      <c r="A5116" s="122" t="s">
        <v>10711</v>
      </c>
      <c r="B5116" s="123">
        <v>1913838.0</v>
      </c>
      <c r="C5116" s="124" t="s">
        <v>10712</v>
      </c>
      <c r="D5116" s="125"/>
      <c r="E5116" s="126">
        <v>16.25</v>
      </c>
      <c r="F5116" s="127"/>
      <c r="G5116" s="127"/>
      <c r="H5116" s="127"/>
      <c r="I5116" s="128"/>
      <c r="K5116" s="105" t="str">
        <f>IFERROR(__xludf.DUMMYFUNCTION("if(A5116="""","""",substitute(SUBSTITUTE(index(importhtml(""http://finviz.com/quote.ashx?t=""&amp;A5116,""table"",10),7,2),""*"",""""),""-"",""0.00""))"),"Loading...")</f>
        <v>Loading...</v>
      </c>
      <c r="L5116" s="129">
        <v>3.1247498E7</v>
      </c>
      <c r="M5116" s="99">
        <f>IFERROR(__xludf.DUMMYFUNCTION("GOOGLEFINANCE(A5116,""beta"")"),0.14)</f>
        <v>0.14</v>
      </c>
    </row>
    <row r="5117">
      <c r="A5117" s="122" t="s">
        <v>10713</v>
      </c>
      <c r="B5117" s="123">
        <v>1870833.0</v>
      </c>
      <c r="C5117" s="124" t="s">
        <v>10714</v>
      </c>
      <c r="D5117" s="125"/>
      <c r="E5117" s="126">
        <v>16.25</v>
      </c>
      <c r="F5117" s="127"/>
      <c r="G5117" s="127"/>
      <c r="H5117" s="127"/>
      <c r="I5117" s="128"/>
      <c r="K5117" s="105" t="str">
        <f>IFERROR(__xludf.DUMMYFUNCTION("if(A5117="""","""",substitute(SUBSTITUTE(index(importhtml(""http://finviz.com/quote.ashx?t=""&amp;A5117,""table"",10),7,2),""*"",""""),""-"",""0.00""))"),"Loading...")</f>
        <v>Loading...</v>
      </c>
      <c r="L5117" s="129">
        <v>1.37393798E8</v>
      </c>
      <c r="M5117" s="99">
        <f>IFERROR(__xludf.DUMMYFUNCTION("GOOGLEFINANCE(A5117,""beta"")"),0.81)</f>
        <v>0.81</v>
      </c>
    </row>
    <row r="5118">
      <c r="A5118" s="122" t="s">
        <v>10715</v>
      </c>
      <c r="B5118" s="123">
        <v>1389050.0</v>
      </c>
      <c r="C5118" s="124" t="s">
        <v>10716</v>
      </c>
      <c r="D5118" s="125"/>
      <c r="E5118" s="126">
        <v>16.25</v>
      </c>
      <c r="F5118" s="127"/>
      <c r="G5118" s="127"/>
      <c r="H5118" s="127"/>
      <c r="I5118" s="128"/>
      <c r="K5118" s="105" t="str">
        <f>IFERROR(__xludf.DUMMYFUNCTION("if(A5118="""","""",substitute(SUBSTITUTE(index(importhtml(""http://finviz.com/quote.ashx?t=""&amp;A5118,""table"",10),7,2),""*"",""""),""-"",""0.00""))"),"Loading...")</f>
        <v>Loading...</v>
      </c>
      <c r="L5118" s="129">
        <v>2.535940875E9</v>
      </c>
      <c r="M5118" s="99">
        <v>1.57</v>
      </c>
    </row>
    <row r="5119">
      <c r="A5119" s="122" t="s">
        <v>10717</v>
      </c>
      <c r="B5119" s="123">
        <v>1444380.0</v>
      </c>
      <c r="C5119" s="124" t="s">
        <v>10718</v>
      </c>
      <c r="D5119" s="125"/>
      <c r="E5119" s="126">
        <v>16.26</v>
      </c>
      <c r="F5119" s="127"/>
      <c r="G5119" s="127"/>
      <c r="H5119" s="127"/>
      <c r="I5119" s="128"/>
      <c r="K5119" s="105" t="str">
        <f>IFERROR(__xludf.DUMMYFUNCTION("if(A5119="""","""",substitute(SUBSTITUTE(index(importhtml(""http://finviz.com/quote.ashx?t=""&amp;A5119,""table"",10),7,2),""*"",""""),""-"",""0.00""))"),"Loading...")</f>
        <v>Loading...</v>
      </c>
      <c r="L5119" s="129">
        <v>5.89678501E8</v>
      </c>
      <c r="M5119" s="99">
        <v>0.94</v>
      </c>
    </row>
    <row r="5120">
      <c r="A5120" s="122" t="s">
        <v>10719</v>
      </c>
      <c r="B5120" s="123">
        <v>944745.0</v>
      </c>
      <c r="C5120" s="124" t="s">
        <v>10720</v>
      </c>
      <c r="D5120" s="125"/>
      <c r="E5120" s="126">
        <v>16.27</v>
      </c>
      <c r="F5120" s="127"/>
      <c r="G5120" s="127"/>
      <c r="H5120" s="127"/>
      <c r="I5120" s="128"/>
      <c r="K5120" s="105" t="str">
        <f>IFERROR(__xludf.DUMMYFUNCTION("if(A5120="""","""",substitute(SUBSTITUTE(index(importhtml(""http://finviz.com/quote.ashx?t=""&amp;A5120,""table"",10),7,2),""*"",""""),""-"",""0.00""))"),"Loading...")</f>
        <v>Loading...</v>
      </c>
      <c r="L5120" s="129">
        <v>2.55373764E8</v>
      </c>
      <c r="M5120" s="99">
        <v>0.83</v>
      </c>
    </row>
    <row r="5121">
      <c r="A5121" s="122" t="s">
        <v>10721</v>
      </c>
      <c r="B5121" s="123">
        <v>1472012.0</v>
      </c>
      <c r="C5121" s="124" t="s">
        <v>10722</v>
      </c>
      <c r="D5121" s="125"/>
      <c r="E5121" s="126">
        <v>16.29</v>
      </c>
      <c r="F5121" s="127"/>
      <c r="G5121" s="127"/>
      <c r="H5121" s="127"/>
      <c r="I5121" s="128"/>
      <c r="K5121" s="105" t="str">
        <f>IFERROR(__xludf.DUMMYFUNCTION("if(A5121="""","""",substitute(SUBSTITUTE(index(importhtml(""http://finviz.com/quote.ashx?t=""&amp;A5121,""table"",10),7,2),""*"",""""),""-"",""0.00""))"),"Loading...")</f>
        <v>Loading...</v>
      </c>
      <c r="L5121" s="129">
        <v>6.96069132E8</v>
      </c>
      <c r="M5121" s="99">
        <v>1.55</v>
      </c>
    </row>
    <row r="5122">
      <c r="A5122" s="122" t="s">
        <v>10723</v>
      </c>
      <c r="B5122" s="123">
        <v>1633336.0</v>
      </c>
      <c r="C5122" s="124" t="s">
        <v>10724</v>
      </c>
      <c r="D5122" s="125"/>
      <c r="E5122" s="126">
        <v>16.33</v>
      </c>
      <c r="F5122" s="127"/>
      <c r="G5122" s="127"/>
      <c r="H5122" s="127"/>
      <c r="I5122" s="128"/>
      <c r="K5122" s="105" t="str">
        <f>IFERROR(__xludf.DUMMYFUNCTION("if(A5122="""","""",substitute(SUBSTITUTE(index(importhtml(""http://finviz.com/quote.ashx?t=""&amp;A5122,""table"",10),7,2),""*"",""""),""-"",""0.00""))"),"Loading...")</f>
        <v>Loading...</v>
      </c>
      <c r="L5122" s="129">
        <v>6.05214945E8</v>
      </c>
      <c r="M5122" s="99">
        <v>0.81</v>
      </c>
    </row>
    <row r="5123">
      <c r="A5123" s="122" t="s">
        <v>10725</v>
      </c>
      <c r="B5123" s="123">
        <v>1004702.0</v>
      </c>
      <c r="C5123" s="124" t="s">
        <v>10726</v>
      </c>
      <c r="D5123" s="125"/>
      <c r="E5123" s="126">
        <v>16.34</v>
      </c>
      <c r="F5123" s="127"/>
      <c r="G5123" s="127"/>
      <c r="H5123" s="127"/>
      <c r="I5123" s="128"/>
      <c r="K5123" s="105" t="str">
        <f>IFERROR(__xludf.DUMMYFUNCTION("if(A5123="""","""",substitute(SUBSTITUTE(index(importhtml(""http://finviz.com/quote.ashx?t=""&amp;A5123,""table"",10),7,2),""*"",""""),""-"",""0.00""))"),"Loading...")</f>
        <v>Loading...</v>
      </c>
      <c r="L5123" s="129">
        <v>9.713751E8</v>
      </c>
      <c r="M5123" s="99">
        <v>1.03</v>
      </c>
    </row>
    <row r="5124">
      <c r="A5124" s="122" t="s">
        <v>10727</v>
      </c>
      <c r="B5124" s="123">
        <v>1815846.0</v>
      </c>
      <c r="C5124" s="124" t="s">
        <v>10728</v>
      </c>
      <c r="D5124" s="125"/>
      <c r="E5124" s="126">
        <v>16.35</v>
      </c>
      <c r="F5124" s="127"/>
      <c r="G5124" s="127"/>
      <c r="H5124" s="127"/>
      <c r="I5124" s="128"/>
      <c r="K5124" s="105" t="str">
        <f>IFERROR(__xludf.DUMMYFUNCTION("if(A5124="""","""",substitute(SUBSTITUTE(index(importhtml(""http://finviz.com/quote.ashx?t=""&amp;A5124,""table"",10),7,2),""*"",""""),""-"",""0.00""))"),"Loading...")</f>
        <v>Loading...</v>
      </c>
      <c r="L5124" s="129">
        <v>5.291841123E9</v>
      </c>
      <c r="M5124" s="99">
        <v>0.18</v>
      </c>
    </row>
    <row r="5125">
      <c r="A5125" s="122" t="s">
        <v>10729</v>
      </c>
      <c r="B5125" s="123">
        <v>1587523.0</v>
      </c>
      <c r="C5125" s="124" t="s">
        <v>10730</v>
      </c>
      <c r="D5125" s="125"/>
      <c r="E5125" s="126">
        <v>16.38</v>
      </c>
      <c r="F5125" s="127"/>
      <c r="G5125" s="127"/>
      <c r="H5125" s="127"/>
      <c r="I5125" s="128"/>
      <c r="K5125" s="55" t="s">
        <v>1034</v>
      </c>
      <c r="L5125" s="129">
        <v>1.478411713E9</v>
      </c>
      <c r="M5125" s="99">
        <v>1.52</v>
      </c>
    </row>
    <row r="5126">
      <c r="A5126" s="122" t="s">
        <v>10731</v>
      </c>
      <c r="B5126" s="123">
        <v>815097.0</v>
      </c>
      <c r="C5126" s="124" t="s">
        <v>10732</v>
      </c>
      <c r="D5126" s="125"/>
      <c r="E5126" s="126">
        <v>16.44</v>
      </c>
      <c r="F5126" s="127"/>
      <c r="G5126" s="127"/>
      <c r="H5126" s="127"/>
      <c r="I5126" s="128"/>
      <c r="K5126" s="55" t="s">
        <v>1034</v>
      </c>
      <c r="L5126" s="129">
        <v>2.0492920985E10</v>
      </c>
      <c r="M5126" s="99">
        <v>2.57</v>
      </c>
    </row>
    <row r="5127">
      <c r="A5127" s="122" t="s">
        <v>10733</v>
      </c>
      <c r="B5127" s="123">
        <v>34067.0</v>
      </c>
      <c r="C5127" s="124" t="s">
        <v>10734</v>
      </c>
      <c r="D5127" s="125"/>
      <c r="E5127" s="126">
        <v>16.45</v>
      </c>
      <c r="F5127" s="127"/>
      <c r="G5127" s="127"/>
      <c r="H5127" s="127"/>
      <c r="I5127" s="128"/>
      <c r="K5127" s="105" t="str">
        <f>IFERROR(__xludf.DUMMYFUNCTION("if(A5127="""","""",substitute(SUBSTITUTE(index(importhtml(""http://finviz.com/quote.ashx?t=""&amp;A5127,""table"",10),7,2),""*"",""""),""-"",""0.00""))"),"Loading...")</f>
        <v>Loading...</v>
      </c>
      <c r="L5127" s="129">
        <v>3.25078006E8</v>
      </c>
      <c r="M5127" s="99">
        <v>1.67</v>
      </c>
    </row>
    <row r="5128">
      <c r="A5128" s="122" t="s">
        <v>10735</v>
      </c>
      <c r="B5128" s="123">
        <v>1001316.0</v>
      </c>
      <c r="C5128" s="124" t="s">
        <v>10736</v>
      </c>
      <c r="D5128" s="125"/>
      <c r="E5128" s="126">
        <v>16.46</v>
      </c>
      <c r="F5128" s="127"/>
      <c r="G5128" s="127"/>
      <c r="H5128" s="127"/>
      <c r="I5128" s="128"/>
      <c r="K5128" s="105" t="str">
        <f>IFERROR(__xludf.DUMMYFUNCTION("if(A5128="""","""",substitute(SUBSTITUTE(index(importhtml(""http://finviz.com/quote.ashx?t=""&amp;A5128,""table"",10),7,2),""*"",""""),""-"",""0.00""))"),"Loading...")</f>
        <v>Loading...</v>
      </c>
      <c r="L5128" s="129">
        <v>2.492208461E9</v>
      </c>
      <c r="M5128" s="99">
        <v>2.42</v>
      </c>
    </row>
    <row r="5129">
      <c r="A5129" s="122" t="s">
        <v>10737</v>
      </c>
      <c r="B5129" s="123">
        <v>1717393.0</v>
      </c>
      <c r="C5129" s="124" t="s">
        <v>10738</v>
      </c>
      <c r="D5129" s="125"/>
      <c r="E5129" s="126">
        <v>16.46</v>
      </c>
      <c r="F5129" s="127"/>
      <c r="G5129" s="127"/>
      <c r="H5129" s="127"/>
      <c r="I5129" s="128"/>
      <c r="K5129" s="105" t="str">
        <f>IFERROR(__xludf.DUMMYFUNCTION("if(A5129="""","""",substitute(SUBSTITUTE(index(importhtml(""http://finviz.com/quote.ashx?t=""&amp;A5129,""table"",10),7,2),""*"",""""),""-"",""0.00""))"),"Loading...")</f>
        <v>Loading...</v>
      </c>
      <c r="L5129" s="129">
        <v>2.686645492E9</v>
      </c>
      <c r="M5129" s="99">
        <v>2.11</v>
      </c>
    </row>
    <row r="5130">
      <c r="A5130" s="122" t="s">
        <v>10739</v>
      </c>
      <c r="B5130" s="123">
        <v>1518557.0</v>
      </c>
      <c r="C5130" s="124" t="s">
        <v>10740</v>
      </c>
      <c r="D5130" s="125"/>
      <c r="E5130" s="126">
        <v>16.47</v>
      </c>
      <c r="F5130" s="127"/>
      <c r="G5130" s="127"/>
      <c r="H5130" s="127"/>
      <c r="I5130" s="128"/>
      <c r="K5130" s="105" t="str">
        <f>IFERROR(__xludf.DUMMYFUNCTION("if(A5130="""","""",substitute(SUBSTITUTE(index(importhtml(""http://finviz.com/quote.ashx?t=""&amp;A5130,""table"",10),7,2),""*"",""""),""-"",""0.00""))"),"Loading...")</f>
        <v>Loading...</v>
      </c>
      <c r="L5130" s="129">
        <v>4.59748666E8</v>
      </c>
      <c r="M5130" s="99">
        <v>0.51</v>
      </c>
    </row>
    <row r="5131">
      <c r="A5131" s="122" t="s">
        <v>10741</v>
      </c>
      <c r="B5131" s="123">
        <v>1668243.0</v>
      </c>
      <c r="C5131" s="124" t="s">
        <v>10742</v>
      </c>
      <c r="D5131" s="125"/>
      <c r="E5131" s="126">
        <v>16.47</v>
      </c>
      <c r="F5131" s="127"/>
      <c r="G5131" s="127"/>
      <c r="H5131" s="127"/>
      <c r="I5131" s="128"/>
      <c r="K5131" s="105" t="str">
        <f>IFERROR(__xludf.DUMMYFUNCTION("if(A5131="""","""",substitute(SUBSTITUTE(index(importhtml(""http://finviz.com/quote.ashx?t=""&amp;A5131,""table"",10),7,2),""*"",""""),""-"",""0.00""))"),"Loading...")</f>
        <v>Loading...</v>
      </c>
      <c r="L5131" s="129">
        <v>5.08368269E8</v>
      </c>
      <c r="M5131" s="99">
        <v>1.05</v>
      </c>
    </row>
    <row r="5132">
      <c r="A5132" s="122" t="s">
        <v>10743</v>
      </c>
      <c r="B5132" s="123">
        <v>1092662.0</v>
      </c>
      <c r="C5132" s="124" t="s">
        <v>10744</v>
      </c>
      <c r="D5132" s="125"/>
      <c r="E5132" s="126">
        <v>16.47</v>
      </c>
      <c r="F5132" s="127"/>
      <c r="G5132" s="127"/>
      <c r="H5132" s="127"/>
      <c r="I5132" s="128"/>
      <c r="K5132" s="105" t="str">
        <f>IFERROR(__xludf.DUMMYFUNCTION("if(A5132="""","""",substitute(SUBSTITUTE(index(importhtml(""http://finviz.com/quote.ashx?t=""&amp;A5132,""table"",10),7,2),""*"",""""),""-"",""0.00""))"),"Loading...")</f>
        <v>Loading...</v>
      </c>
      <c r="L5132" s="129" t="e">
        <v>#N/A</v>
      </c>
      <c r="M5132" s="99">
        <f>IFERROR(__xludf.DUMMYFUNCTION("GOOGLEFINANCE(A5132,""beta"")"),0.35)</f>
        <v>0.35</v>
      </c>
    </row>
    <row r="5133">
      <c r="A5133" s="122" t="s">
        <v>10745</v>
      </c>
      <c r="B5133" s="123">
        <v>1846832.0</v>
      </c>
      <c r="C5133" s="124" t="s">
        <v>10746</v>
      </c>
      <c r="D5133" s="125"/>
      <c r="E5133" s="126">
        <v>16.5</v>
      </c>
      <c r="F5133" s="127"/>
      <c r="G5133" s="127"/>
      <c r="H5133" s="127"/>
      <c r="I5133" s="128"/>
      <c r="K5133" s="55" t="s">
        <v>1034</v>
      </c>
      <c r="L5133" s="129">
        <v>4.77770535E9</v>
      </c>
      <c r="M5133" s="99">
        <f>IFERROR(__xludf.DUMMYFUNCTION("GOOGLEFINANCE(A5133,""beta"")"),1.16)</f>
        <v>1.16</v>
      </c>
    </row>
    <row r="5134">
      <c r="A5134" s="122" t="s">
        <v>10747</v>
      </c>
      <c r="B5134" s="123">
        <v>1021162.0</v>
      </c>
      <c r="C5134" s="124" t="s">
        <v>10748</v>
      </c>
      <c r="D5134" s="125"/>
      <c r="E5134" s="126">
        <v>16.5</v>
      </c>
      <c r="F5134" s="127"/>
      <c r="G5134" s="127"/>
      <c r="H5134" s="127"/>
      <c r="I5134" s="128"/>
      <c r="K5134" s="105" t="str">
        <f>IFERROR(__xludf.DUMMYFUNCTION("if(A5134="""","""",substitute(SUBSTITUTE(index(importhtml(""http://finviz.com/quote.ashx?t=""&amp;A5134,""table"",10),7,2),""*"",""""),""-"",""0.00""))"),"Loading...")</f>
        <v>Loading...</v>
      </c>
      <c r="L5134" s="129">
        <v>1.268122845E9</v>
      </c>
      <c r="M5134" s="99">
        <v>2.64</v>
      </c>
    </row>
    <row r="5135">
      <c r="A5135" s="122" t="s">
        <v>10749</v>
      </c>
      <c r="B5135" s="123">
        <v>891166.0</v>
      </c>
      <c r="C5135" s="124" t="s">
        <v>10750</v>
      </c>
      <c r="D5135" s="125"/>
      <c r="E5135" s="126">
        <v>16.53</v>
      </c>
      <c r="F5135" s="127"/>
      <c r="G5135" s="127"/>
      <c r="H5135" s="127"/>
      <c r="I5135" s="128"/>
      <c r="K5135" s="105" t="str">
        <f>IFERROR(__xludf.DUMMYFUNCTION("if(A5135="""","""",substitute(SUBSTITUTE(index(importhtml(""http://finviz.com/quote.ashx?t=""&amp;A5135,""table"",10),7,2),""*"",""""),""-"",""0.00""))"),"Loading...")</f>
        <v>Loading...</v>
      </c>
      <c r="L5135" s="129">
        <v>4.82441294E8</v>
      </c>
      <c r="M5135" s="99">
        <v>0.77</v>
      </c>
    </row>
    <row r="5136">
      <c r="A5136" s="122" t="s">
        <v>10751</v>
      </c>
      <c r="B5136" s="123">
        <v>896076.0</v>
      </c>
      <c r="C5136" s="124" t="s">
        <v>10752</v>
      </c>
      <c r="D5136" s="125"/>
      <c r="E5136" s="126">
        <v>16.54</v>
      </c>
      <c r="F5136" s="127"/>
      <c r="G5136" s="127"/>
      <c r="H5136" s="127"/>
      <c r="I5136" s="128"/>
      <c r="K5136" s="105" t="str">
        <f>IFERROR(__xludf.DUMMYFUNCTION("if(A5136="""","""",substitute(SUBSTITUTE(index(importhtml(""http://finviz.com/quote.ashx?t=""&amp;A5136,""table"",10),7,2),""*"",""""),""-"",""0.00""))"),"Loading...")</f>
        <v>Loading...</v>
      </c>
      <c r="L5136" s="129">
        <v>2.1663229884E10</v>
      </c>
      <c r="M5136" s="99">
        <v>1.03</v>
      </c>
    </row>
    <row r="5137">
      <c r="A5137" s="122" t="s">
        <v>10753</v>
      </c>
      <c r="B5137" s="123">
        <v>1864843.0</v>
      </c>
      <c r="C5137" s="124" t="s">
        <v>10754</v>
      </c>
      <c r="D5137" s="125"/>
      <c r="E5137" s="126">
        <v>16.55</v>
      </c>
      <c r="F5137" s="127"/>
      <c r="G5137" s="127"/>
      <c r="H5137" s="127"/>
      <c r="I5137" s="128"/>
      <c r="K5137" s="105" t="str">
        <f>IFERROR(__xludf.DUMMYFUNCTION("if(A5137="""","""",substitute(SUBSTITUTE(index(importhtml(""http://finviz.com/quote.ashx?t=""&amp;A5137,""table"",10),7,2),""*"",""""),""-"",""0.00""))"),"Loading...")</f>
        <v>Loading...</v>
      </c>
      <c r="L5137" s="129">
        <v>1.694425331E9</v>
      </c>
      <c r="M5137" s="99">
        <f>IFERROR(__xludf.DUMMYFUNCTION("GOOGLEFINANCE(A5137,""beta"")"),0.98)</f>
        <v>0.98</v>
      </c>
    </row>
    <row r="5138">
      <c r="A5138" s="122" t="s">
        <v>10755</v>
      </c>
      <c r="B5138" s="123">
        <v>1533232.0</v>
      </c>
      <c r="C5138" s="124" t="s">
        <v>10756</v>
      </c>
      <c r="D5138" s="125"/>
      <c r="E5138" s="126">
        <v>16.55</v>
      </c>
      <c r="F5138" s="127"/>
      <c r="G5138" s="127"/>
      <c r="H5138" s="127"/>
      <c r="I5138" s="128"/>
      <c r="K5138" s="105" t="str">
        <f>IFERROR(__xludf.DUMMYFUNCTION("if(A5138="""","""",substitute(SUBSTITUTE(index(importhtml(""http://finviz.com/quote.ashx?t=""&amp;A5138,""table"",10),7,2),""*"",""""),""-"",""0.00""))"),"Loading...")</f>
        <v>Loading...</v>
      </c>
      <c r="L5138" s="129" t="e">
        <v>#N/A</v>
      </c>
      <c r="M5138" s="99">
        <f>IFERROR(__xludf.DUMMYFUNCTION("GOOGLEFINANCE(A5138,""beta"")"),0.93)</f>
        <v>0.93</v>
      </c>
    </row>
    <row r="5139">
      <c r="A5139" s="122" t="s">
        <v>10757</v>
      </c>
      <c r="B5139" s="123">
        <v>14846.0</v>
      </c>
      <c r="C5139" s="124" t="s">
        <v>10758</v>
      </c>
      <c r="D5139" s="125"/>
      <c r="E5139" s="126">
        <v>16.57</v>
      </c>
      <c r="F5139" s="127"/>
      <c r="G5139" s="127"/>
      <c r="H5139" s="127"/>
      <c r="I5139" s="128"/>
      <c r="K5139" s="55" t="s">
        <v>9675</v>
      </c>
      <c r="L5139" s="129">
        <v>3.0814201E8</v>
      </c>
      <c r="M5139" s="99">
        <v>1.16</v>
      </c>
    </row>
    <row r="5140">
      <c r="A5140" s="122" t="s">
        <v>10759</v>
      </c>
      <c r="B5140" s="123">
        <v>1210677.0</v>
      </c>
      <c r="C5140" s="124" t="s">
        <v>10760</v>
      </c>
      <c r="D5140" s="125"/>
      <c r="E5140" s="126">
        <v>16.58</v>
      </c>
      <c r="F5140" s="127"/>
      <c r="G5140" s="127"/>
      <c r="H5140" s="127"/>
      <c r="I5140" s="128"/>
      <c r="K5140" s="55" t="s">
        <v>1034</v>
      </c>
      <c r="L5140" s="129">
        <v>2.406089588E9</v>
      </c>
      <c r="M5140" s="99">
        <f>IFERROR(__xludf.DUMMYFUNCTION("GOOGLEFINANCE(A5140,""beta"")"),1.19)</f>
        <v>1.19</v>
      </c>
    </row>
    <row r="5141">
      <c r="A5141" s="122" t="s">
        <v>10761</v>
      </c>
      <c r="B5141" s="123">
        <v>61986.0</v>
      </c>
      <c r="C5141" s="124" t="s">
        <v>10762</v>
      </c>
      <c r="D5141" s="125"/>
      <c r="E5141" s="126">
        <v>16.58</v>
      </c>
      <c r="F5141" s="127"/>
      <c r="G5141" s="127"/>
      <c r="H5141" s="127"/>
      <c r="I5141" s="128"/>
      <c r="K5141" s="105" t="str">
        <f>IFERROR(__xludf.DUMMYFUNCTION("if(A5141="""","""",substitute(SUBSTITUTE(index(importhtml(""http://finviz.com/quote.ashx?t=""&amp;A5141,""table"",10),7,2),""*"",""""),""-"",""0.00""))"),"Loading...")</f>
        <v>Loading...</v>
      </c>
      <c r="L5141" s="129">
        <v>5.81709628E8</v>
      </c>
      <c r="M5141" s="99">
        <v>2.11</v>
      </c>
    </row>
    <row r="5142">
      <c r="A5142" s="122" t="s">
        <v>10763</v>
      </c>
      <c r="B5142" s="123">
        <v>23795.0</v>
      </c>
      <c r="C5142" s="124" t="s">
        <v>10764</v>
      </c>
      <c r="D5142" s="125"/>
      <c r="E5142" s="126">
        <v>16.59</v>
      </c>
      <c r="F5142" s="127"/>
      <c r="G5142" s="127"/>
      <c r="H5142" s="127"/>
      <c r="I5142" s="128"/>
      <c r="K5142" s="55" t="s">
        <v>10765</v>
      </c>
      <c r="L5142" s="129">
        <v>3.76368043E8</v>
      </c>
      <c r="M5142" s="99">
        <v>1.09</v>
      </c>
    </row>
    <row r="5143">
      <c r="A5143" s="122" t="s">
        <v>10766</v>
      </c>
      <c r="B5143" s="123">
        <v>1827090.0</v>
      </c>
      <c r="C5143" s="124" t="s">
        <v>10767</v>
      </c>
      <c r="D5143" s="125"/>
      <c r="E5143" s="126">
        <v>16.59</v>
      </c>
      <c r="F5143" s="127"/>
      <c r="G5143" s="127"/>
      <c r="H5143" s="127"/>
      <c r="I5143" s="128"/>
      <c r="K5143" s="105" t="str">
        <f>IFERROR(__xludf.DUMMYFUNCTION("if(A5143="""","""",substitute(SUBSTITUTE(index(importhtml(""http://finviz.com/quote.ashx?t=""&amp;A5143,""table"",10),7,2),""*"",""""),""-"",""0.00""))"),"Loading...")</f>
        <v>Loading...</v>
      </c>
      <c r="L5143" s="129">
        <v>2.651823597E9</v>
      </c>
      <c r="M5143" s="99">
        <v>1.63</v>
      </c>
    </row>
    <row r="5144">
      <c r="A5144" s="122" t="s">
        <v>10768</v>
      </c>
      <c r="B5144" s="123">
        <v>1350653.0</v>
      </c>
      <c r="C5144" s="124" t="s">
        <v>10769</v>
      </c>
      <c r="D5144" s="125"/>
      <c r="E5144" s="126">
        <v>16.62</v>
      </c>
      <c r="F5144" s="127"/>
      <c r="G5144" s="127"/>
      <c r="H5144" s="127"/>
      <c r="I5144" s="128"/>
      <c r="K5144" s="105" t="str">
        <f>IFERROR(__xludf.DUMMYFUNCTION("if(A5144="""","""",substitute(SUBSTITUTE(index(importhtml(""http://finviz.com/quote.ashx?t=""&amp;A5144,""table"",10),7,2),""*"",""""),""-"",""0.00""))"),"Loading...")</f>
        <v>Loading...</v>
      </c>
      <c r="L5144" s="129">
        <v>2.265316086E9</v>
      </c>
      <c r="M5144" s="99">
        <v>1.67</v>
      </c>
    </row>
    <row r="5145">
      <c r="A5145" s="122" t="s">
        <v>10770</v>
      </c>
      <c r="B5145" s="123">
        <v>1854964.0</v>
      </c>
      <c r="C5145" s="124" t="s">
        <v>10771</v>
      </c>
      <c r="D5145" s="125"/>
      <c r="E5145" s="126">
        <v>16.63</v>
      </c>
      <c r="F5145" s="127"/>
      <c r="G5145" s="127"/>
      <c r="H5145" s="127"/>
      <c r="I5145" s="128"/>
      <c r="K5145" s="105" t="str">
        <f>IFERROR(__xludf.DUMMYFUNCTION("if(A5145="""","""",substitute(SUBSTITUTE(index(importhtml(""http://finviz.com/quote.ashx?t=""&amp;A5145,""table"",10),7,2),""*"",""""),""-"",""0.00""))"),"Loading...")</f>
        <v>Loading...</v>
      </c>
      <c r="L5145" s="129">
        <v>3.44147189E8</v>
      </c>
      <c r="M5145" s="99">
        <f>IFERROR(__xludf.DUMMYFUNCTION("GOOGLEFINANCE(A5145,""beta"")"),0.86)</f>
        <v>0.86</v>
      </c>
    </row>
    <row r="5146">
      <c r="A5146" s="122" t="s">
        <v>10772</v>
      </c>
      <c r="B5146" s="123">
        <v>1685040.0</v>
      </c>
      <c r="C5146" s="124" t="s">
        <v>10773</v>
      </c>
      <c r="D5146" s="125"/>
      <c r="E5146" s="126">
        <v>16.63</v>
      </c>
      <c r="F5146" s="127"/>
      <c r="G5146" s="127"/>
      <c r="H5146" s="127"/>
      <c r="I5146" s="128"/>
      <c r="K5146" s="105" t="str">
        <f>IFERROR(__xludf.DUMMYFUNCTION("if(A5146="""","""",substitute(SUBSTITUTE(index(importhtml(""http://finviz.com/quote.ashx?t=""&amp;A5146,""table"",10),7,2),""*"",""""),""-"",""0.00""))"),"Loading...")</f>
        <v>Loading...</v>
      </c>
      <c r="L5146" s="129">
        <v>3.282790981E9</v>
      </c>
      <c r="M5146" s="99">
        <f>IFERROR(__xludf.DUMMYFUNCTION("GOOGLEFINANCE(A5146,""beta"")"),0.78)</f>
        <v>0.78</v>
      </c>
    </row>
    <row r="5147">
      <c r="A5147" s="122" t="s">
        <v>10774</v>
      </c>
      <c r="B5147" s="123">
        <v>1821825.0</v>
      </c>
      <c r="C5147" s="124" t="s">
        <v>10775</v>
      </c>
      <c r="D5147" s="125"/>
      <c r="E5147" s="126">
        <v>16.64</v>
      </c>
      <c r="F5147" s="127"/>
      <c r="G5147" s="127"/>
      <c r="H5147" s="127"/>
      <c r="I5147" s="128"/>
      <c r="K5147" s="105" t="str">
        <f>IFERROR(__xludf.DUMMYFUNCTION("if(A5147="""","""",substitute(SUBSTITUTE(index(importhtml(""http://finviz.com/quote.ashx?t=""&amp;A5147,""table"",10),7,2),""*"",""""),""-"",""0.00""))"),"Loading...")</f>
        <v>Loading...</v>
      </c>
      <c r="L5147" s="129">
        <v>4.253290339E9</v>
      </c>
      <c r="M5147" s="99">
        <f>IFERROR(__xludf.DUMMYFUNCTION("GOOGLEFINANCE(A5147,""beta"")"),0.57)</f>
        <v>0.57</v>
      </c>
    </row>
    <row r="5148">
      <c r="A5148" s="122" t="s">
        <v>10776</v>
      </c>
      <c r="B5148" s="123">
        <v>1057706.0</v>
      </c>
      <c r="C5148" s="124" t="s">
        <v>10777</v>
      </c>
      <c r="D5148" s="125"/>
      <c r="E5148" s="126">
        <v>16.65</v>
      </c>
      <c r="F5148" s="127"/>
      <c r="G5148" s="127"/>
      <c r="H5148" s="127"/>
      <c r="I5148" s="128"/>
      <c r="K5148" s="55" t="s">
        <v>7827</v>
      </c>
      <c r="L5148" s="129">
        <v>2.81888989E9</v>
      </c>
      <c r="M5148" s="99">
        <v>1.17</v>
      </c>
    </row>
    <row r="5149">
      <c r="A5149" s="122" t="s">
        <v>10778</v>
      </c>
      <c r="B5149" s="123">
        <v>1530256.0</v>
      </c>
      <c r="C5149" s="124" t="s">
        <v>10779</v>
      </c>
      <c r="D5149" s="125"/>
      <c r="E5149" s="126">
        <v>16.65</v>
      </c>
      <c r="F5149" s="127"/>
      <c r="G5149" s="127"/>
      <c r="H5149" s="127"/>
      <c r="I5149" s="128"/>
      <c r="K5149" s="105" t="str">
        <f>IFERROR(__xludf.DUMMYFUNCTION("if(A5149="""","""",substitute(SUBSTITUTE(index(importhtml(""http://finviz.com/quote.ashx?t=""&amp;A5149,""table"",10),7,2),""*"",""""),""-"",""0.00""))"),"Loading...")</f>
        <v>Loading...</v>
      </c>
      <c r="L5149" s="129">
        <v>2.479324546E9</v>
      </c>
      <c r="M5149" s="99">
        <v>0.91</v>
      </c>
    </row>
    <row r="5150">
      <c r="A5150" s="122" t="s">
        <v>10780</v>
      </c>
      <c r="B5150" s="123">
        <v>1004980.0</v>
      </c>
      <c r="C5150" s="124" t="s">
        <v>10781</v>
      </c>
      <c r="D5150" s="125"/>
      <c r="E5150" s="126">
        <v>16.65</v>
      </c>
      <c r="F5150" s="127"/>
      <c r="G5150" s="127"/>
      <c r="H5150" s="127"/>
      <c r="I5150" s="128"/>
      <c r="K5150" s="105" t="str">
        <f>IFERROR(__xludf.DUMMYFUNCTION("if(A5150="""","""",substitute(SUBSTITUTE(index(importhtml(""http://finviz.com/quote.ashx?t=""&amp;A5150,""table"",10),7,2),""*"",""""),""-"",""0.00""))"),"Loading...")</f>
        <v>Loading...</v>
      </c>
      <c r="L5150" s="129">
        <v>3.5522907386E10</v>
      </c>
      <c r="M5150" s="99">
        <v>1.38</v>
      </c>
    </row>
    <row r="5151">
      <c r="A5151" s="122" t="s">
        <v>10782</v>
      </c>
      <c r="B5151" s="123">
        <v>103379.0</v>
      </c>
      <c r="C5151" s="124" t="s">
        <v>10783</v>
      </c>
      <c r="D5151" s="125"/>
      <c r="E5151" s="126">
        <v>16.67</v>
      </c>
      <c r="F5151" s="127"/>
      <c r="G5151" s="127"/>
      <c r="H5151" s="127"/>
      <c r="I5151" s="128"/>
      <c r="K5151" s="105" t="str">
        <f>IFERROR(__xludf.DUMMYFUNCTION("if(A5151="""","""",substitute(SUBSTITUTE(index(importhtml(""http://finviz.com/quote.ashx?t=""&amp;A5151,""table"",10),7,2),""*"",""""),""-"",""0.00""))"),"Loading...")</f>
        <v>Loading...</v>
      </c>
      <c r="L5151" s="129">
        <v>6.482686307E9</v>
      </c>
      <c r="M5151" s="99">
        <v>1.5</v>
      </c>
    </row>
    <row r="5152">
      <c r="A5152" s="122" t="s">
        <v>10784</v>
      </c>
      <c r="B5152" s="123">
        <v>936528.0</v>
      </c>
      <c r="C5152" s="124" t="s">
        <v>10785</v>
      </c>
      <c r="D5152" s="125"/>
      <c r="E5152" s="126">
        <v>16.68</v>
      </c>
      <c r="F5152" s="127"/>
      <c r="G5152" s="127"/>
      <c r="H5152" s="127"/>
      <c r="I5152" s="128"/>
      <c r="K5152" s="105" t="str">
        <f>IFERROR(__xludf.DUMMYFUNCTION("if(A5152="""","""",substitute(SUBSTITUTE(index(importhtml(""http://finviz.com/quote.ashx?t=""&amp;A5152,""table"",10),7,2),""*"",""""),""-"",""0.00""))"),"Loading...")</f>
        <v>Loading...</v>
      </c>
      <c r="L5152" s="129">
        <v>1.83593909E9</v>
      </c>
      <c r="M5152" s="99">
        <f>IFERROR(__xludf.DUMMYFUNCTION("GOOGLEFINANCE(A5152,""beta"")"),0.66)</f>
        <v>0.66</v>
      </c>
    </row>
    <row r="5153">
      <c r="A5153" s="122" t="s">
        <v>10786</v>
      </c>
      <c r="B5153" s="123">
        <v>1569650.0</v>
      </c>
      <c r="C5153" s="124" t="s">
        <v>10787</v>
      </c>
      <c r="D5153" s="125"/>
      <c r="E5153" s="126">
        <v>16.68</v>
      </c>
      <c r="F5153" s="127"/>
      <c r="G5153" s="127"/>
      <c r="H5153" s="127"/>
      <c r="I5153" s="128"/>
      <c r="K5153" s="105" t="str">
        <f>IFERROR(__xludf.DUMMYFUNCTION("if(A5153="""","""",substitute(SUBSTITUTE(index(importhtml(""http://finviz.com/quote.ashx?t=""&amp;A5153,""table"",10),7,2),""*"",""""),""-"",""0.00""))"),"Loading...")</f>
        <v>Loading...</v>
      </c>
      <c r="L5153" s="129">
        <v>4.852407259E9</v>
      </c>
      <c r="M5153" s="99">
        <f>IFERROR(__xludf.DUMMYFUNCTION("GOOGLEFINANCE(A5153,""beta"")"),0.7)</f>
        <v>0.7</v>
      </c>
    </row>
    <row r="5154">
      <c r="A5154" s="122" t="s">
        <v>10788</v>
      </c>
      <c r="B5154" s="123">
        <v>1472215.0</v>
      </c>
      <c r="C5154" s="124" t="s">
        <v>10789</v>
      </c>
      <c r="D5154" s="125"/>
      <c r="E5154" s="126">
        <v>16.7</v>
      </c>
      <c r="F5154" s="127"/>
      <c r="G5154" s="127"/>
      <c r="H5154" s="127"/>
      <c r="I5154" s="128"/>
      <c r="K5154" s="105" t="str">
        <f>IFERROR(__xludf.DUMMYFUNCTION("if(A5154="""","""",substitute(SUBSTITUTE(index(importhtml(""http://finviz.com/quote.ashx?t=""&amp;A5154,""table"",10),7,2),""*"",""""),""-"",""0.00""))"),"Loading...")</f>
        <v>Loading...</v>
      </c>
      <c r="L5154" s="129">
        <v>9.1459658E7</v>
      </c>
      <c r="M5154" s="99">
        <v>0.52</v>
      </c>
    </row>
    <row r="5155">
      <c r="A5155" s="122" t="s">
        <v>10790</v>
      </c>
      <c r="B5155" s="123">
        <v>1502377.0</v>
      </c>
      <c r="C5155" s="124" t="s">
        <v>10791</v>
      </c>
      <c r="D5155" s="125"/>
      <c r="E5155" s="126">
        <v>16.7</v>
      </c>
      <c r="F5155" s="127"/>
      <c r="G5155" s="127"/>
      <c r="H5155" s="127"/>
      <c r="I5155" s="128"/>
      <c r="K5155" s="105" t="str">
        <f>IFERROR(__xludf.DUMMYFUNCTION("if(A5155="""","""",substitute(SUBSTITUTE(index(importhtml(""http://finviz.com/quote.ashx?t=""&amp;A5155,""table"",10),7,2),""*"",""""),""-"",""0.00""))"),"Loading...")</f>
        <v>Loading...</v>
      </c>
      <c r="L5155" s="129">
        <v>1.56982161E8</v>
      </c>
      <c r="M5155" s="99">
        <v>1.24</v>
      </c>
    </row>
    <row r="5156">
      <c r="A5156" s="122" t="s">
        <v>10792</v>
      </c>
      <c r="B5156" s="123">
        <v>912958.0</v>
      </c>
      <c r="C5156" s="124" t="s">
        <v>10793</v>
      </c>
      <c r="D5156" s="125"/>
      <c r="E5156" s="126">
        <v>16.71</v>
      </c>
      <c r="F5156" s="127"/>
      <c r="G5156" s="127"/>
      <c r="H5156" s="127"/>
      <c r="I5156" s="128"/>
      <c r="K5156" s="105" t="str">
        <f>IFERROR(__xludf.DUMMYFUNCTION("if(A5156="""","""",substitute(SUBSTITUTE(index(importhtml(""http://finviz.com/quote.ashx?t=""&amp;A5156,""table"",10),7,2),""*"",""""),""-"",""0.00""))"),"#REF!")</f>
        <v>#REF!</v>
      </c>
      <c r="L5156" s="129">
        <v>2.870837998E9</v>
      </c>
      <c r="M5156" s="99">
        <v>1.1</v>
      </c>
    </row>
    <row r="5157">
      <c r="A5157" s="122" t="s">
        <v>10794</v>
      </c>
      <c r="B5157" s="123">
        <v>1002242.0</v>
      </c>
      <c r="C5157" s="124" t="s">
        <v>10795</v>
      </c>
      <c r="D5157" s="125"/>
      <c r="E5157" s="126">
        <v>16.71</v>
      </c>
      <c r="F5157" s="127"/>
      <c r="G5157" s="127"/>
      <c r="H5157" s="127"/>
      <c r="I5157" s="128"/>
      <c r="K5157" s="105" t="str">
        <f>IFERROR(__xludf.DUMMYFUNCTION("if(A5157="""","""",substitute(SUBSTITUTE(index(importhtml(""http://finviz.com/quote.ashx?t=""&amp;A5157,""table"",10),7,2),""*"",""""),""-"",""0.00""))"),"Loading...")</f>
        <v>Loading...</v>
      </c>
      <c r="L5157" s="129">
        <v>5.3154526889E10</v>
      </c>
      <c r="M5157" s="99">
        <v>0.97</v>
      </c>
    </row>
    <row r="5158">
      <c r="A5158" s="122" t="s">
        <v>10796</v>
      </c>
      <c r="B5158" s="123">
        <v>1423869.0</v>
      </c>
      <c r="C5158" s="124" t="s">
        <v>10797</v>
      </c>
      <c r="D5158" s="125"/>
      <c r="E5158" s="126">
        <v>16.72</v>
      </c>
      <c r="F5158" s="127"/>
      <c r="G5158" s="127"/>
      <c r="H5158" s="127"/>
      <c r="I5158" s="128"/>
      <c r="K5158" s="105" t="str">
        <f>IFERROR(__xludf.DUMMYFUNCTION("if(A5158="""","""",substitute(SUBSTITUTE(index(importhtml(""http://finviz.com/quote.ashx?t=""&amp;A5158,""table"",10),7,2),""*"",""""),""-"",""0.00""))"),"Loading...")</f>
        <v>Loading...</v>
      </c>
      <c r="L5158" s="129">
        <v>2.38434547E8</v>
      </c>
      <c r="M5158" s="99">
        <v>0.65</v>
      </c>
    </row>
    <row r="5159">
      <c r="A5159" s="122" t="s">
        <v>10798</v>
      </c>
      <c r="B5159" s="123">
        <v>1495686.0</v>
      </c>
      <c r="C5159" s="124" t="s">
        <v>10799</v>
      </c>
      <c r="D5159" s="125"/>
      <c r="E5159" s="126">
        <v>16.73</v>
      </c>
      <c r="F5159" s="127"/>
      <c r="G5159" s="127"/>
      <c r="H5159" s="127"/>
      <c r="I5159" s="128"/>
      <c r="K5159" s="105" t="str">
        <f>IFERROR(__xludf.DUMMYFUNCTION("if(A5159="""","""",substitute(SUBSTITUTE(index(importhtml(""http://finviz.com/quote.ashx?t=""&amp;A5159,""table"",10),7,2),""*"",""""),""-"",""0.00""))"),"Loading...")</f>
        <v>Loading...</v>
      </c>
      <c r="L5159" s="129">
        <v>3.3351637547E10</v>
      </c>
      <c r="M5159" s="99">
        <v>0.87</v>
      </c>
    </row>
    <row r="5160">
      <c r="A5160" s="122" t="s">
        <v>10800</v>
      </c>
      <c r="B5160" s="123">
        <v>1630805.0</v>
      </c>
      <c r="C5160" s="124" t="s">
        <v>10801</v>
      </c>
      <c r="D5160" s="125"/>
      <c r="E5160" s="126">
        <v>16.75</v>
      </c>
      <c r="F5160" s="127"/>
      <c r="G5160" s="127"/>
      <c r="H5160" s="127"/>
      <c r="I5160" s="128"/>
      <c r="K5160" s="105" t="str">
        <f>IFERROR(__xludf.DUMMYFUNCTION("if(A5160="""","""",substitute(SUBSTITUTE(index(importhtml(""http://finviz.com/quote.ashx?t=""&amp;A5160,""table"",10),7,2),""*"",""""),""-"",""0.00""))"),"Loading...")</f>
        <v>Loading...</v>
      </c>
      <c r="L5160" s="129">
        <v>1.16182828E8</v>
      </c>
      <c r="M5160" s="99">
        <f>IFERROR(__xludf.DUMMYFUNCTION("GOOGLEFINANCE(A5160,""beta"")"),0.19)</f>
        <v>0.19</v>
      </c>
    </row>
    <row r="5161">
      <c r="A5161" s="122" t="s">
        <v>10802</v>
      </c>
      <c r="B5161" s="123">
        <v>1495825.0</v>
      </c>
      <c r="C5161" s="124" t="s">
        <v>10803</v>
      </c>
      <c r="D5161" s="125"/>
      <c r="E5161" s="126">
        <v>16.78</v>
      </c>
      <c r="F5161" s="127"/>
      <c r="G5161" s="127"/>
      <c r="H5161" s="127"/>
      <c r="I5161" s="128"/>
      <c r="K5161" s="105" t="str">
        <f>IFERROR(__xludf.DUMMYFUNCTION("if(A5161="""","""",substitute(SUBSTITUTE(index(importhtml(""http://finviz.com/quote.ashx?t=""&amp;A5161,""table"",10),7,2),""*"",""""),""-"",""0.00""))"),"Loading...")</f>
        <v>Loading...</v>
      </c>
      <c r="L5161" s="129">
        <v>3.80487186E8</v>
      </c>
      <c r="M5161" s="99">
        <v>0.46</v>
      </c>
    </row>
    <row r="5162">
      <c r="A5162" s="122" t="s">
        <v>10804</v>
      </c>
      <c r="B5162" s="123">
        <v>1454741.0</v>
      </c>
      <c r="C5162" s="124" t="s">
        <v>10805</v>
      </c>
      <c r="D5162" s="125"/>
      <c r="E5162" s="126">
        <v>16.79</v>
      </c>
      <c r="F5162" s="127"/>
      <c r="G5162" s="127"/>
      <c r="H5162" s="127"/>
      <c r="I5162" s="128"/>
      <c r="K5162" s="55" t="s">
        <v>10245</v>
      </c>
      <c r="L5162" s="129">
        <v>2.62342421E8</v>
      </c>
      <c r="M5162" s="99">
        <v>0.32</v>
      </c>
    </row>
    <row r="5163">
      <c r="A5163" s="122" t="s">
        <v>10806</v>
      </c>
      <c r="B5163" s="123">
        <v>33488.0</v>
      </c>
      <c r="C5163" s="124" t="s">
        <v>10807</v>
      </c>
      <c r="D5163" s="125"/>
      <c r="E5163" s="126">
        <v>16.79</v>
      </c>
      <c r="F5163" s="127"/>
      <c r="G5163" s="127"/>
      <c r="H5163" s="127"/>
      <c r="I5163" s="128"/>
      <c r="K5163" s="105" t="str">
        <f>IFERROR(__xludf.DUMMYFUNCTION("if(A5163="""","""",substitute(SUBSTITUTE(index(importhtml(""http://finviz.com/quote.ashx?t=""&amp;A5163,""table"",10),7,2),""*"",""""),""-"",""0.00""))"),"Loading...")</f>
        <v>Loading...</v>
      </c>
      <c r="L5163" s="129">
        <v>2.30640716E8</v>
      </c>
      <c r="M5163" s="99">
        <v>1.25</v>
      </c>
    </row>
    <row r="5164">
      <c r="A5164" s="122" t="s">
        <v>10808</v>
      </c>
      <c r="B5164" s="123">
        <v>1493683.0</v>
      </c>
      <c r="C5164" s="124" t="s">
        <v>10809</v>
      </c>
      <c r="D5164" s="125"/>
      <c r="E5164" s="126">
        <v>16.8</v>
      </c>
      <c r="F5164" s="127"/>
      <c r="G5164" s="127"/>
      <c r="H5164" s="127"/>
      <c r="I5164" s="128"/>
      <c r="K5164" s="55" t="s">
        <v>789</v>
      </c>
      <c r="L5164" s="129">
        <v>1.03811412E9</v>
      </c>
      <c r="M5164" s="99">
        <v>0.62</v>
      </c>
    </row>
    <row r="5165">
      <c r="A5165" s="122" t="s">
        <v>10810</v>
      </c>
      <c r="B5165" s="123">
        <v>1006830.0</v>
      </c>
      <c r="C5165" s="124" t="s">
        <v>10811</v>
      </c>
      <c r="D5165" s="125"/>
      <c r="E5165" s="126">
        <v>16.8</v>
      </c>
      <c r="F5165" s="127"/>
      <c r="G5165" s="127"/>
      <c r="H5165" s="127"/>
      <c r="I5165" s="128"/>
      <c r="K5165" s="105" t="str">
        <f>IFERROR(__xludf.DUMMYFUNCTION("if(A5165="""","""",substitute(SUBSTITUTE(index(importhtml(""http://finviz.com/quote.ashx?t=""&amp;A5165,""table"",10),7,2),""*"",""""),""-"",""0.00""))"),"Loading...")</f>
        <v>Loading...</v>
      </c>
      <c r="L5165" s="129">
        <v>5.2221201E7</v>
      </c>
      <c r="M5165" s="99">
        <v>0.12</v>
      </c>
    </row>
    <row r="5166">
      <c r="A5166" s="122" t="s">
        <v>10812</v>
      </c>
      <c r="B5166" s="123">
        <v>1847398.0</v>
      </c>
      <c r="C5166" s="124" t="s">
        <v>10813</v>
      </c>
      <c r="D5166" s="125"/>
      <c r="E5166" s="126">
        <v>16.81</v>
      </c>
      <c r="F5166" s="127"/>
      <c r="G5166" s="127"/>
      <c r="H5166" s="127"/>
      <c r="I5166" s="128"/>
      <c r="K5166" s="105" t="str">
        <f>IFERROR(__xludf.DUMMYFUNCTION("if(A5166="""","""",substitute(SUBSTITUTE(index(importhtml(""http://finviz.com/quote.ashx?t=""&amp;A5166,""table"",10),7,2),""*"",""""),""-"",""0.00""))"),"Loading...")</f>
        <v>Loading...</v>
      </c>
      <c r="L5166" s="129">
        <v>2.38640804E8</v>
      </c>
      <c r="M5166" s="99">
        <v>0.53</v>
      </c>
    </row>
    <row r="5167">
      <c r="A5167" s="122" t="s">
        <v>10814</v>
      </c>
      <c r="B5167" s="123">
        <v>1863127.0</v>
      </c>
      <c r="C5167" s="124" t="s">
        <v>10815</v>
      </c>
      <c r="D5167" s="125"/>
      <c r="E5167" s="126">
        <v>16.82</v>
      </c>
      <c r="F5167" s="127"/>
      <c r="G5167" s="127"/>
      <c r="H5167" s="127"/>
      <c r="I5167" s="128"/>
      <c r="K5167" s="105" t="str">
        <f>IFERROR(__xludf.DUMMYFUNCTION("if(A5167="""","""",substitute(SUBSTITUTE(index(importhtml(""http://finviz.com/quote.ashx?t=""&amp;A5167,""table"",10),7,2),""*"",""""),""-"",""0.00""))"),"Loading...")</f>
        <v>Loading...</v>
      </c>
      <c r="L5167" s="129">
        <v>7.24247993E8</v>
      </c>
      <c r="M5167" s="99">
        <f>IFERROR(__xludf.DUMMYFUNCTION("GOOGLEFINANCE(A5167,""beta"")"),1.12)</f>
        <v>1.12</v>
      </c>
    </row>
    <row r="5168">
      <c r="A5168" s="122" t="s">
        <v>10816</v>
      </c>
      <c r="B5168" s="123">
        <v>353184.0</v>
      </c>
      <c r="C5168" s="124" t="s">
        <v>10817</v>
      </c>
      <c r="D5168" s="125"/>
      <c r="E5168" s="126">
        <v>16.84</v>
      </c>
      <c r="F5168" s="127"/>
      <c r="G5168" s="127"/>
      <c r="H5168" s="127"/>
      <c r="I5168" s="128"/>
      <c r="K5168" s="105" t="str">
        <f>IFERROR(__xludf.DUMMYFUNCTION("if(A5168="""","""",substitute(SUBSTITUTE(index(importhtml(""http://finviz.com/quote.ashx?t=""&amp;A5168,""table"",10),7,2),""*"",""""),""-"",""0.00""))"),"Loading...")</f>
        <v>Loading...</v>
      </c>
      <c r="L5168" s="129">
        <v>4.7502104E7</v>
      </c>
      <c r="M5168" s="99">
        <v>0.61</v>
      </c>
    </row>
    <row r="5169">
      <c r="A5169" s="122" t="s">
        <v>10818</v>
      </c>
      <c r="B5169" s="123">
        <v>1848309.0</v>
      </c>
      <c r="C5169" s="124" t="s">
        <v>10819</v>
      </c>
      <c r="D5169" s="125"/>
      <c r="E5169" s="126">
        <v>16.85</v>
      </c>
      <c r="F5169" s="127"/>
      <c r="G5169" s="127"/>
      <c r="H5169" s="127"/>
      <c r="I5169" s="128"/>
      <c r="K5169" s="105" t="str">
        <f>IFERROR(__xludf.DUMMYFUNCTION("if(A5169="""","""",substitute(SUBSTITUTE(index(importhtml(""http://finviz.com/quote.ashx?t=""&amp;A5169,""table"",10),7,2),""*"",""""),""-"",""0.00""))"),"Loading...")</f>
        <v>Loading...</v>
      </c>
      <c r="L5169" s="129">
        <v>2.498713868E9</v>
      </c>
      <c r="M5169" s="99">
        <v>0.26</v>
      </c>
    </row>
    <row r="5170">
      <c r="A5170" s="122" t="s">
        <v>10820</v>
      </c>
      <c r="B5170" s="123">
        <v>1592386.0</v>
      </c>
      <c r="C5170" s="124" t="s">
        <v>10821</v>
      </c>
      <c r="D5170" s="125"/>
      <c r="E5170" s="126">
        <v>16.85</v>
      </c>
      <c r="F5170" s="127"/>
      <c r="G5170" s="127"/>
      <c r="H5170" s="127"/>
      <c r="I5170" s="128"/>
      <c r="K5170" s="105" t="str">
        <f>IFERROR(__xludf.DUMMYFUNCTION("if(A5170="""","""",substitute(SUBSTITUTE(index(importhtml(""http://finviz.com/quote.ashx?t=""&amp;A5170,""table"",10),7,2),""*"",""""),""-"",""0.00""))"),"Loading...")</f>
        <v>Loading...</v>
      </c>
      <c r="L5170" s="129">
        <v>2.682124085E9</v>
      </c>
      <c r="M5170" s="99">
        <v>0.36</v>
      </c>
    </row>
    <row r="5171">
      <c r="A5171" s="122" t="s">
        <v>10822</v>
      </c>
      <c r="B5171" s="123">
        <v>1335730.0</v>
      </c>
      <c r="C5171" s="124" t="s">
        <v>5914</v>
      </c>
      <c r="D5171" s="125"/>
      <c r="E5171" s="126">
        <v>16.85</v>
      </c>
      <c r="F5171" s="127"/>
      <c r="G5171" s="127"/>
      <c r="H5171" s="127"/>
      <c r="I5171" s="128"/>
      <c r="K5171" s="105" t="str">
        <f>IFERROR(__xludf.DUMMYFUNCTION("if(A5171="""","""",substitute(SUBSTITUTE(index(importhtml(""http://finviz.com/quote.ashx?t=""&amp;A5171,""table"",10),7,2),""*"",""""),""-"",""0.00""))"),"Loading...")</f>
        <v>Loading...</v>
      </c>
      <c r="L5171" s="129">
        <v>4.705036944E10</v>
      </c>
      <c r="M5171" s="99">
        <v>0.46</v>
      </c>
    </row>
    <row r="5172">
      <c r="A5172" s="122" t="s">
        <v>10823</v>
      </c>
      <c r="B5172" s="123">
        <v>354647.0</v>
      </c>
      <c r="C5172" s="124" t="s">
        <v>10824</v>
      </c>
      <c r="D5172" s="125"/>
      <c r="E5172" s="126">
        <v>16.86</v>
      </c>
      <c r="F5172" s="127"/>
      <c r="G5172" s="127"/>
      <c r="H5172" s="127"/>
      <c r="I5172" s="128"/>
      <c r="K5172" s="105" t="str">
        <f>IFERROR(__xludf.DUMMYFUNCTION("if(A5172="""","""",substitute(SUBSTITUTE(index(importhtml(""http://finviz.com/quote.ashx?t=""&amp;A5172,""table"",10),7,2),""*"",""""),""-"",""0.00""))"),"Loading...")</f>
        <v>Loading...</v>
      </c>
      <c r="L5172" s="129">
        <v>2.349356785E9</v>
      </c>
      <c r="M5172" s="99">
        <v>0.46</v>
      </c>
    </row>
    <row r="5173">
      <c r="A5173" s="122" t="s">
        <v>10825</v>
      </c>
      <c r="B5173" s="123">
        <v>1379606.0</v>
      </c>
      <c r="C5173" s="124" t="s">
        <v>10826</v>
      </c>
      <c r="D5173" s="125"/>
      <c r="E5173" s="126">
        <v>16.87</v>
      </c>
      <c r="F5173" s="127"/>
      <c r="G5173" s="127"/>
      <c r="H5173" s="127"/>
      <c r="I5173" s="128"/>
      <c r="K5173" s="55" t="s">
        <v>10827</v>
      </c>
      <c r="L5173" s="129" t="e">
        <v>#N/A</v>
      </c>
      <c r="M5173" s="99" t="e">
        <v>#N/A</v>
      </c>
    </row>
    <row r="5174">
      <c r="A5174" s="122" t="s">
        <v>10828</v>
      </c>
      <c r="B5174" s="123">
        <v>784199.0</v>
      </c>
      <c r="C5174" s="124" t="s">
        <v>10829</v>
      </c>
      <c r="D5174" s="125"/>
      <c r="E5174" s="126">
        <v>16.87</v>
      </c>
      <c r="F5174" s="127"/>
      <c r="G5174" s="127"/>
      <c r="H5174" s="127"/>
      <c r="I5174" s="128"/>
      <c r="K5174" s="105" t="str">
        <f>IFERROR(__xludf.DUMMYFUNCTION("if(A5174="""","""",substitute(SUBSTITUTE(index(importhtml(""http://finviz.com/quote.ashx?t=""&amp;A5174,""table"",10),7,2),""*"",""""),""-"",""0.00""))"),"Loading...")</f>
        <v>Loading...</v>
      </c>
      <c r="L5174" s="129">
        <v>6.92489916E8</v>
      </c>
      <c r="M5174" s="99">
        <v>1.53</v>
      </c>
    </row>
    <row r="5175">
      <c r="A5175" s="122" t="s">
        <v>10830</v>
      </c>
      <c r="B5175" s="123">
        <v>899629.0</v>
      </c>
      <c r="C5175" s="124" t="s">
        <v>10831</v>
      </c>
      <c r="D5175" s="125"/>
      <c r="E5175" s="126">
        <v>16.89</v>
      </c>
      <c r="F5175" s="127"/>
      <c r="G5175" s="127"/>
      <c r="H5175" s="127"/>
      <c r="I5175" s="128"/>
      <c r="K5175" s="55" t="s">
        <v>6455</v>
      </c>
      <c r="L5175" s="129">
        <v>1.727417931E9</v>
      </c>
      <c r="M5175" s="99">
        <v>1.43</v>
      </c>
    </row>
    <row r="5176">
      <c r="A5176" s="122" t="s">
        <v>10832</v>
      </c>
      <c r="B5176" s="123">
        <v>1419554.0</v>
      </c>
      <c r="C5176" s="124" t="s">
        <v>10833</v>
      </c>
      <c r="D5176" s="125"/>
      <c r="E5176" s="126">
        <v>16.89</v>
      </c>
      <c r="F5176" s="127"/>
      <c r="G5176" s="127"/>
      <c r="H5176" s="127"/>
      <c r="I5176" s="128"/>
      <c r="K5176" s="105" t="str">
        <f>IFERROR(__xludf.DUMMYFUNCTION("if(A5176="""","""",substitute(SUBSTITUTE(index(importhtml(""http://finviz.com/quote.ashx?t=""&amp;A5176,""table"",10),7,2),""*"",""""),""-"",""0.00""))"),"Loading...")</f>
        <v>Loading...</v>
      </c>
      <c r="L5176" s="129">
        <v>1704042.0</v>
      </c>
      <c r="M5176" s="99">
        <f>IFERROR(__xludf.DUMMYFUNCTION("GOOGLEFINANCE(A5176,""beta"")"),17.4)</f>
        <v>17.4</v>
      </c>
    </row>
    <row r="5177">
      <c r="A5177" s="122" t="s">
        <v>10834</v>
      </c>
      <c r="B5177" s="123">
        <v>1762303.0</v>
      </c>
      <c r="C5177" s="124" t="s">
        <v>10835</v>
      </c>
      <c r="D5177" s="125"/>
      <c r="E5177" s="126">
        <v>16.9</v>
      </c>
      <c r="F5177" s="127"/>
      <c r="G5177" s="127"/>
      <c r="H5177" s="127"/>
      <c r="I5177" s="128"/>
      <c r="K5177" s="105" t="str">
        <f>IFERROR(__xludf.DUMMYFUNCTION("if(A5177="""","""",substitute(SUBSTITUTE(index(importhtml(""http://finviz.com/quote.ashx?t=""&amp;A5177,""table"",10),7,2),""*"",""""),""-"",""0.00""))"),"Loading...")</f>
        <v>Loading...</v>
      </c>
      <c r="L5177" s="129">
        <v>4.31806651E8</v>
      </c>
      <c r="M5177" s="99">
        <v>1.57</v>
      </c>
    </row>
    <row r="5178">
      <c r="A5178" s="122" t="s">
        <v>10836</v>
      </c>
      <c r="B5178" s="123">
        <v>1761612.0</v>
      </c>
      <c r="C5178" s="124" t="s">
        <v>10837</v>
      </c>
      <c r="D5178" s="125"/>
      <c r="E5178" s="126">
        <v>16.91</v>
      </c>
      <c r="F5178" s="127"/>
      <c r="G5178" s="127"/>
      <c r="H5178" s="127"/>
      <c r="I5178" s="128"/>
      <c r="K5178" s="105" t="str">
        <f>IFERROR(__xludf.DUMMYFUNCTION("if(A5178="""","""",substitute(SUBSTITUTE(index(importhtml(""http://finviz.com/quote.ashx?t=""&amp;A5178,""table"",10),7,2),""*"",""""),""-"",""0.00""))"),"Loading...")</f>
        <v>Loading...</v>
      </c>
      <c r="L5178" s="129">
        <v>7.17348404E8</v>
      </c>
      <c r="M5178" s="99">
        <v>0.8</v>
      </c>
    </row>
    <row r="5179">
      <c r="A5179" s="122" t="s">
        <v>10838</v>
      </c>
      <c r="B5179" s="123">
        <v>1089907.0</v>
      </c>
      <c r="C5179" s="124" t="s">
        <v>10839</v>
      </c>
      <c r="D5179" s="125"/>
      <c r="E5179" s="126">
        <v>16.92</v>
      </c>
      <c r="F5179" s="127"/>
      <c r="G5179" s="127"/>
      <c r="H5179" s="127"/>
      <c r="I5179" s="128"/>
      <c r="K5179" s="105" t="str">
        <f>IFERROR(__xludf.DUMMYFUNCTION("if(A5179="""","""",substitute(SUBSTITUTE(index(importhtml(""http://finviz.com/quote.ashx?t=""&amp;A5179,""table"",10),7,2),""*"",""""),""-"",""0.00""))"),"Loading...")</f>
        <v>Loading...</v>
      </c>
      <c r="L5179" s="129">
        <v>2.11552622E8</v>
      </c>
      <c r="M5179" s="99">
        <v>0.3</v>
      </c>
    </row>
    <row r="5180">
      <c r="A5180" s="122" t="s">
        <v>10840</v>
      </c>
      <c r="B5180" s="123">
        <v>1506307.0</v>
      </c>
      <c r="C5180" s="124" t="s">
        <v>10841</v>
      </c>
      <c r="D5180" s="125"/>
      <c r="E5180" s="126">
        <v>16.96</v>
      </c>
      <c r="F5180" s="127"/>
      <c r="G5180" s="127"/>
      <c r="H5180" s="127"/>
      <c r="I5180" s="128"/>
      <c r="K5180" s="105" t="str">
        <f>IFERROR(__xludf.DUMMYFUNCTION("if(A5180="""","""",substitute(SUBSTITUTE(index(importhtml(""http://finviz.com/quote.ashx?t=""&amp;A5180,""table"",10),7,2),""*"",""""),""-"",""0.00""))"),"Loading...")</f>
        <v>Loading...</v>
      </c>
      <c r="L5180" s="129">
        <v>3.7698228044E10</v>
      </c>
      <c r="M5180" s="99">
        <v>0.91</v>
      </c>
    </row>
    <row r="5181">
      <c r="A5181" s="122" t="s">
        <v>10842</v>
      </c>
      <c r="B5181" s="123">
        <v>1327607.0</v>
      </c>
      <c r="C5181" s="124" t="s">
        <v>10843</v>
      </c>
      <c r="D5181" s="125"/>
      <c r="E5181" s="126">
        <v>17.0</v>
      </c>
      <c r="F5181" s="127"/>
      <c r="G5181" s="127"/>
      <c r="H5181" s="127"/>
      <c r="I5181" s="128"/>
      <c r="K5181" s="105" t="str">
        <f>IFERROR(__xludf.DUMMYFUNCTION("if(A5181="""","""",substitute(SUBSTITUTE(index(importhtml(""http://finviz.com/quote.ashx?t=""&amp;A5181,""table"",10),7,2),""*"",""""),""-"",""0.00""))"),"Loading...")</f>
        <v>Loading...</v>
      </c>
      <c r="L5181" s="129">
        <v>1.62550022E8</v>
      </c>
      <c r="M5181" s="99">
        <v>0.72</v>
      </c>
    </row>
    <row r="5182">
      <c r="A5182" s="122" t="s">
        <v>10844</v>
      </c>
      <c r="B5182" s="123">
        <v>1119639.0</v>
      </c>
      <c r="C5182" s="124" t="s">
        <v>10845</v>
      </c>
      <c r="D5182" s="125"/>
      <c r="E5182" s="126">
        <v>17.01</v>
      </c>
      <c r="F5182" s="136"/>
      <c r="G5182" s="136"/>
      <c r="H5182" s="127"/>
      <c r="I5182" s="128"/>
      <c r="K5182" s="105" t="str">
        <f>IFERROR(__xludf.DUMMYFUNCTION("if(A5182="""","""",substitute(SUBSTITUTE(index(importhtml(""http://finviz.com/quote.ashx?t=""&amp;A5182,""table"",10),7,2),""*"",""""),""-"",""0.00""))"),"Loading...")</f>
        <v>Loading...</v>
      </c>
      <c r="L5182" s="129">
        <v>5.45426134272E11</v>
      </c>
      <c r="M5182" s="99">
        <v>1.51</v>
      </c>
    </row>
    <row r="5183">
      <c r="A5183" s="122" t="s">
        <v>10846</v>
      </c>
      <c r="B5183" s="123">
        <v>1461748.0</v>
      </c>
      <c r="C5183" s="124" t="s">
        <v>10847</v>
      </c>
      <c r="D5183" s="125"/>
      <c r="E5183" s="126">
        <v>17.01</v>
      </c>
      <c r="F5183" s="127"/>
      <c r="G5183" s="127"/>
      <c r="H5183" s="127"/>
      <c r="I5183" s="128"/>
      <c r="K5183" s="105" t="str">
        <f>IFERROR(__xludf.DUMMYFUNCTION("if(A5183="""","""",substitute(SUBSTITUTE(index(importhtml(""http://finviz.com/quote.ashx?t=""&amp;A5183,""table"",10),7,2),""*"",""""),""-"",""0.00""))"),"Loading...")</f>
        <v>Loading...</v>
      </c>
      <c r="L5183" s="129">
        <v>6.1677E14</v>
      </c>
      <c r="M5183" s="99">
        <v>0.78</v>
      </c>
    </row>
    <row r="5184">
      <c r="A5184" s="122" t="s">
        <v>10848</v>
      </c>
      <c r="B5184" s="123">
        <v>874761.0</v>
      </c>
      <c r="C5184" s="124" t="s">
        <v>10849</v>
      </c>
      <c r="D5184" s="125"/>
      <c r="E5184" s="126">
        <v>17.02</v>
      </c>
      <c r="F5184" s="127"/>
      <c r="G5184" s="127"/>
      <c r="H5184" s="127"/>
      <c r="I5184" s="128"/>
      <c r="K5184" s="55" t="s">
        <v>7972</v>
      </c>
      <c r="L5184" s="129">
        <v>1.139708078E10</v>
      </c>
      <c r="M5184" s="99">
        <v>1.1</v>
      </c>
    </row>
    <row r="5185">
      <c r="A5185" s="122" t="s">
        <v>10850</v>
      </c>
      <c r="B5185" s="123">
        <v>916793.0</v>
      </c>
      <c r="C5185" s="124" t="s">
        <v>10851</v>
      </c>
      <c r="D5185" s="125"/>
      <c r="E5185" s="126">
        <v>17.02</v>
      </c>
      <c r="F5185" s="127"/>
      <c r="G5185" s="127"/>
      <c r="H5185" s="127"/>
      <c r="I5185" s="128"/>
      <c r="K5185" s="105" t="str">
        <f>IFERROR(__xludf.DUMMYFUNCTION("if(A5185="""","""",substitute(SUBSTITUTE(index(importhtml(""http://finviz.com/quote.ashx?t=""&amp;A5185,""table"",10),7,2),""*"",""""),""-"",""0.00""))"),"Loading...")</f>
        <v>Loading...</v>
      </c>
      <c r="L5185" s="129">
        <v>1.14992024E8</v>
      </c>
      <c r="M5185" s="99">
        <v>1.08</v>
      </c>
    </row>
    <row r="5186">
      <c r="A5186" s="122" t="s">
        <v>10852</v>
      </c>
      <c r="B5186" s="123">
        <v>1289945.0</v>
      </c>
      <c r="C5186" s="124" t="s">
        <v>10853</v>
      </c>
      <c r="D5186" s="125"/>
      <c r="E5186" s="126">
        <v>17.02</v>
      </c>
      <c r="F5186" s="127"/>
      <c r="G5186" s="127"/>
      <c r="H5186" s="127"/>
      <c r="I5186" s="128"/>
      <c r="K5186" s="105" t="str">
        <f>IFERROR(__xludf.DUMMYFUNCTION("if(A5186="""","""",substitute(SUBSTITUTE(index(importhtml(""http://finviz.com/quote.ashx?t=""&amp;A5186,""table"",10),7,2),""*"",""""),""-"",""0.00""))"),"Loading...")</f>
        <v>Loading...</v>
      </c>
      <c r="L5186" s="129">
        <v>3.40080543E8</v>
      </c>
      <c r="M5186" s="99">
        <v>0.26</v>
      </c>
    </row>
    <row r="5187">
      <c r="A5187" s="122" t="s">
        <v>10854</v>
      </c>
      <c r="B5187" s="123">
        <v>1437774.0</v>
      </c>
      <c r="C5187" s="124" t="s">
        <v>10855</v>
      </c>
      <c r="D5187" s="125"/>
      <c r="E5187" s="126">
        <v>17.02</v>
      </c>
      <c r="F5187" s="127"/>
      <c r="G5187" s="127"/>
      <c r="H5187" s="127"/>
      <c r="I5187" s="128"/>
      <c r="K5187" s="105" t="str">
        <f>IFERROR(__xludf.DUMMYFUNCTION("if(A5187="""","""",substitute(SUBSTITUTE(index(importhtml(""http://finviz.com/quote.ashx?t=""&amp;A5187,""table"",10),7,2),""*"",""""),""-"",""0.00""))"),"Loading...")</f>
        <v>Loading...</v>
      </c>
      <c r="L5187" s="129">
        <v>5.962871099E9</v>
      </c>
      <c r="M5187" s="99">
        <v>1.15</v>
      </c>
    </row>
    <row r="5188">
      <c r="A5188" s="122" t="s">
        <v>10856</v>
      </c>
      <c r="B5188" s="123">
        <v>1321655.0</v>
      </c>
      <c r="C5188" s="124" t="s">
        <v>10857</v>
      </c>
      <c r="D5188" s="125"/>
      <c r="E5188" s="126">
        <v>17.02</v>
      </c>
      <c r="F5188" s="127"/>
      <c r="G5188" s="127"/>
      <c r="H5188" s="127"/>
      <c r="I5188" s="128"/>
      <c r="K5188" s="105" t="str">
        <f>IFERROR(__xludf.DUMMYFUNCTION("if(A5188="""","""",substitute(SUBSTITUTE(index(importhtml(""http://finviz.com/quote.ashx?t=""&amp;A5188,""table"",10),7,2),""*"",""""),""-"",""0.00""))"),"Loading...")</f>
        <v>Loading...</v>
      </c>
      <c r="L5188" s="129">
        <v>3.7018228675E10</v>
      </c>
      <c r="M5188" s="99">
        <v>2.66</v>
      </c>
    </row>
    <row r="5189">
      <c r="A5189" s="122" t="s">
        <v>10858</v>
      </c>
      <c r="B5189" s="123">
        <v>1069258.0</v>
      </c>
      <c r="C5189" s="124" t="s">
        <v>10859</v>
      </c>
      <c r="D5189" s="125"/>
      <c r="E5189" s="126">
        <v>17.04</v>
      </c>
      <c r="F5189" s="127"/>
      <c r="G5189" s="127"/>
      <c r="H5189" s="127"/>
      <c r="I5189" s="128"/>
      <c r="K5189" s="105" t="str">
        <f>IFERROR(__xludf.DUMMYFUNCTION("if(A5189="""","""",substitute(SUBSTITUTE(index(importhtml(""http://finviz.com/quote.ashx?t=""&amp;A5189,""table"",10),7,2),""*"",""""),""-"",""0.00""))"),"Loading...")</f>
        <v>Loading...</v>
      </c>
      <c r="L5189" s="129">
        <v>2.197113862E9</v>
      </c>
      <c r="M5189" s="99">
        <v>0.8</v>
      </c>
    </row>
    <row r="5190">
      <c r="A5190" s="122" t="s">
        <v>10860</v>
      </c>
      <c r="B5190" s="123">
        <v>872203.0</v>
      </c>
      <c r="C5190" s="124" t="s">
        <v>10861</v>
      </c>
      <c r="D5190" s="125"/>
      <c r="E5190" s="126">
        <v>17.05</v>
      </c>
      <c r="F5190" s="127"/>
      <c r="G5190" s="127"/>
      <c r="H5190" s="127"/>
      <c r="I5190" s="128"/>
      <c r="K5190" s="105" t="str">
        <f>IFERROR(__xludf.DUMMYFUNCTION("if(A5190="""","""",substitute(SUBSTITUTE(index(importhtml(""http://finviz.com/quote.ashx?t=""&amp;A5190,""table"",10),7,2),""*"",""""),""-"",""0.00""))"),"Loading...")</f>
        <v>Loading...</v>
      </c>
      <c r="L5190" s="129" t="e">
        <v>#N/A</v>
      </c>
      <c r="M5190" s="99">
        <f>IFERROR(__xludf.DUMMYFUNCTION("GOOGLEFINANCE(A5190,""beta"")"),-0.13)</f>
        <v>-0.13</v>
      </c>
    </row>
    <row r="5191">
      <c r="A5191" s="122" t="s">
        <v>10862</v>
      </c>
      <c r="B5191" s="123">
        <v>1872789.0</v>
      </c>
      <c r="C5191" s="124" t="s">
        <v>10863</v>
      </c>
      <c r="D5191" s="125"/>
      <c r="E5191" s="126">
        <v>17.09</v>
      </c>
      <c r="F5191" s="127"/>
      <c r="G5191" s="127"/>
      <c r="H5191" s="127"/>
      <c r="I5191" s="128"/>
      <c r="K5191" s="105" t="str">
        <f>IFERROR(__xludf.DUMMYFUNCTION("if(A5191="""","""",substitute(SUBSTITUTE(index(importhtml(""http://finviz.com/quote.ashx?t=""&amp;A5191,""table"",10),7,2),""*"",""""),""-"",""0.00""))"),"Loading...")</f>
        <v>Loading...</v>
      </c>
      <c r="L5191" s="129">
        <v>9.83940523E8</v>
      </c>
      <c r="M5191" s="99">
        <f>IFERROR(__xludf.DUMMYFUNCTION("GOOGLEFINANCE(A5191,""beta"")"),1.07)</f>
        <v>1.07</v>
      </c>
    </row>
    <row r="5192">
      <c r="A5192" s="122" t="s">
        <v>10864</v>
      </c>
      <c r="B5192" s="123">
        <v>39092.0</v>
      </c>
      <c r="C5192" s="124" t="s">
        <v>10865</v>
      </c>
      <c r="D5192" s="125"/>
      <c r="E5192" s="126">
        <v>17.1</v>
      </c>
      <c r="F5192" s="127"/>
      <c r="G5192" s="127"/>
      <c r="H5192" s="127"/>
      <c r="I5192" s="128"/>
      <c r="K5192" s="55" t="s">
        <v>5611</v>
      </c>
      <c r="L5192" s="129">
        <v>1.26117342E8</v>
      </c>
      <c r="M5192" s="99">
        <v>1.34</v>
      </c>
    </row>
    <row r="5193">
      <c r="A5193" s="122" t="s">
        <v>10866</v>
      </c>
      <c r="B5193" s="123">
        <v>1740332.0</v>
      </c>
      <c r="C5193" s="124" t="s">
        <v>10867</v>
      </c>
      <c r="D5193" s="125"/>
      <c r="E5193" s="126">
        <v>17.1</v>
      </c>
      <c r="F5193" s="127"/>
      <c r="G5193" s="127"/>
      <c r="H5193" s="127"/>
      <c r="I5193" s="128"/>
      <c r="K5193" s="105" t="str">
        <f>IFERROR(__xludf.DUMMYFUNCTION("if(A5193="""","""",substitute(SUBSTITUTE(index(importhtml(""http://finviz.com/quote.ashx?t=""&amp;A5193,""table"",10),7,2),""*"",""""),""-"",""0.00""))"),"Loading...")</f>
        <v>Loading...</v>
      </c>
      <c r="L5193" s="129">
        <v>2.498104855E9</v>
      </c>
      <c r="M5193" s="99">
        <v>2.09</v>
      </c>
    </row>
    <row r="5194">
      <c r="A5194" s="122" t="s">
        <v>10868</v>
      </c>
      <c r="B5194" s="123">
        <v>1559444.0</v>
      </c>
      <c r="C5194" s="124" t="s">
        <v>10869</v>
      </c>
      <c r="D5194" s="125"/>
      <c r="E5194" s="126">
        <v>17.1</v>
      </c>
      <c r="F5194" s="127"/>
      <c r="G5194" s="127"/>
      <c r="H5194" s="127"/>
      <c r="I5194" s="128"/>
      <c r="K5194" s="105" t="str">
        <f>IFERROR(__xludf.DUMMYFUNCTION("if(A5194="""","""",substitute(SUBSTITUTE(index(importhtml(""http://finviz.com/quote.ashx?t=""&amp;A5194,""table"",10),7,2),""*"",""""),""-"",""0.00""))"),"Loading...")</f>
        <v>Loading...</v>
      </c>
      <c r="L5194" s="129">
        <v>3.118043549E9</v>
      </c>
      <c r="M5194" s="99">
        <f>IFERROR(__xludf.DUMMYFUNCTION("GOOGLEFINANCE(A5194,""beta"")"),1.83)</f>
        <v>1.83</v>
      </c>
    </row>
    <row r="5195">
      <c r="A5195" s="122" t="s">
        <v>10870</v>
      </c>
      <c r="B5195" s="123">
        <v>1338065.0</v>
      </c>
      <c r="C5195" s="124" t="s">
        <v>10871</v>
      </c>
      <c r="D5195" s="125"/>
      <c r="E5195" s="126">
        <v>17.13</v>
      </c>
      <c r="F5195" s="127"/>
      <c r="G5195" s="127"/>
      <c r="H5195" s="127"/>
      <c r="I5195" s="128"/>
      <c r="K5195" s="105" t="str">
        <f>IFERROR(__xludf.DUMMYFUNCTION("if(A5195="""","""",substitute(SUBSTITUTE(index(importhtml(""http://finviz.com/quote.ashx?t=""&amp;A5195,""table"",10),7,2),""*"",""""),""-"",""0.00""))"),"Loading...")</f>
        <v>Loading...</v>
      </c>
      <c r="L5195" s="129" t="e">
        <v>#N/A</v>
      </c>
      <c r="M5195" s="99">
        <v>0.56</v>
      </c>
    </row>
    <row r="5196">
      <c r="A5196" s="122" t="s">
        <v>10872</v>
      </c>
      <c r="B5196" s="123">
        <v>1545654.0</v>
      </c>
      <c r="C5196" s="124" t="s">
        <v>10873</v>
      </c>
      <c r="D5196" s="125"/>
      <c r="E5196" s="126">
        <v>17.14</v>
      </c>
      <c r="F5196" s="127"/>
      <c r="G5196" s="127"/>
      <c r="H5196" s="127"/>
      <c r="I5196" s="128"/>
      <c r="K5196" s="105" t="str">
        <f>IFERROR(__xludf.DUMMYFUNCTION("if(A5196="""","""",substitute(SUBSTITUTE(index(importhtml(""http://finviz.com/quote.ashx?t=""&amp;A5196,""table"",10),7,2),""*"",""""),""-"",""0.00""))"),"Loading...")</f>
        <v>Loading...</v>
      </c>
      <c r="L5196" s="129">
        <v>1.243272309E9</v>
      </c>
      <c r="M5196" s="99">
        <v>1.24</v>
      </c>
    </row>
    <row r="5197">
      <c r="A5197" s="122" t="s">
        <v>10874</v>
      </c>
      <c r="B5197" s="123">
        <v>1004434.0</v>
      </c>
      <c r="C5197" s="124" t="s">
        <v>10875</v>
      </c>
      <c r="D5197" s="125"/>
      <c r="E5197" s="126">
        <v>17.14</v>
      </c>
      <c r="F5197" s="127"/>
      <c r="G5197" s="127"/>
      <c r="H5197" s="127"/>
      <c r="I5197" s="128"/>
      <c r="K5197" s="105" t="str">
        <f>IFERROR(__xludf.DUMMYFUNCTION("if(A5197="""","""",substitute(SUBSTITUTE(index(importhtml(""http://finviz.com/quote.ashx?t=""&amp;A5197,""table"",10),7,2),""*"",""""),""-"",""0.00""))"),"#N/A")</f>
        <v>#N/A</v>
      </c>
      <c r="L5197" s="129">
        <v>5.059799689E9</v>
      </c>
      <c r="M5197" s="99">
        <f>IFERROR(__xludf.DUMMYFUNCTION("GOOGLEFINANCE(A5197,""beta"")"),0.69)</f>
        <v>0.69</v>
      </c>
    </row>
    <row r="5198">
      <c r="A5198" s="122" t="s">
        <v>10876</v>
      </c>
      <c r="B5198" s="123">
        <v>19871.0</v>
      </c>
      <c r="C5198" s="124" t="s">
        <v>10877</v>
      </c>
      <c r="D5198" s="125"/>
      <c r="E5198" s="126">
        <v>17.15</v>
      </c>
      <c r="F5198" s="127"/>
      <c r="G5198" s="127"/>
      <c r="H5198" s="127"/>
      <c r="I5198" s="128"/>
      <c r="K5198" s="55" t="s">
        <v>9445</v>
      </c>
      <c r="L5198" s="129">
        <v>1.6569067E7</v>
      </c>
      <c r="M5198" s="99">
        <v>0.16</v>
      </c>
    </row>
    <row r="5199">
      <c r="A5199" s="122" t="s">
        <v>10878</v>
      </c>
      <c r="B5199" s="123">
        <v>1575828.0</v>
      </c>
      <c r="C5199" s="124" t="s">
        <v>10879</v>
      </c>
      <c r="D5199" s="125"/>
      <c r="E5199" s="126">
        <v>17.17</v>
      </c>
      <c r="F5199" s="127"/>
      <c r="G5199" s="127"/>
      <c r="H5199" s="127"/>
      <c r="I5199" s="128"/>
      <c r="K5199" s="105" t="str">
        <f>IFERROR(__xludf.DUMMYFUNCTION("if(A5199="""","""",substitute(SUBSTITUTE(index(importhtml(""http://finviz.com/quote.ashx?t=""&amp;A5199,""table"",10),7,2),""*"",""""),""-"",""0.00""))"),"Loading...")</f>
        <v>Loading...</v>
      </c>
      <c r="L5199" s="129">
        <v>1.900238248E9</v>
      </c>
      <c r="M5199" s="99">
        <v>0.91</v>
      </c>
    </row>
    <row r="5200">
      <c r="A5200" s="122" t="s">
        <v>10880</v>
      </c>
      <c r="B5200" s="123">
        <v>1300391.0</v>
      </c>
      <c r="C5200" s="124" t="s">
        <v>10881</v>
      </c>
      <c r="D5200" s="125"/>
      <c r="E5200" s="126">
        <v>17.18</v>
      </c>
      <c r="F5200" s="127"/>
      <c r="G5200" s="127"/>
      <c r="H5200" s="127"/>
      <c r="I5200" s="128"/>
      <c r="K5200" s="55" t="s">
        <v>10882</v>
      </c>
      <c r="L5200" s="129">
        <v>6.92786776E8</v>
      </c>
      <c r="M5200" s="99">
        <v>1.1</v>
      </c>
    </row>
    <row r="5201">
      <c r="A5201" s="122" t="s">
        <v>10883</v>
      </c>
      <c r="B5201" s="123">
        <v>904851.0</v>
      </c>
      <c r="C5201" s="124" t="s">
        <v>10884</v>
      </c>
      <c r="D5201" s="125"/>
      <c r="E5201" s="126">
        <v>17.18</v>
      </c>
      <c r="F5201" s="127"/>
      <c r="G5201" s="127"/>
      <c r="H5201" s="127"/>
      <c r="I5201" s="128"/>
      <c r="K5201" s="105" t="str">
        <f>IFERROR(__xludf.DUMMYFUNCTION("if(A5201="""","""",substitute(SUBSTITUTE(index(importhtml(""http://finviz.com/quote.ashx?t=""&amp;A5201,""table"",10),7,2),""*"",""""),""-"",""0.00""))"),"Loading...")</f>
        <v>Loading...</v>
      </c>
      <c r="L5201" s="129">
        <v>1.0546161373E10</v>
      </c>
      <c r="M5201" s="99">
        <v>1.89</v>
      </c>
    </row>
    <row r="5202">
      <c r="A5202" s="122" t="s">
        <v>10885</v>
      </c>
      <c r="B5202" s="123">
        <v>1801368.0</v>
      </c>
      <c r="C5202" s="124" t="s">
        <v>10886</v>
      </c>
      <c r="D5202" s="125"/>
      <c r="E5202" s="126">
        <v>17.19</v>
      </c>
      <c r="F5202" s="127"/>
      <c r="G5202" s="127"/>
      <c r="H5202" s="127"/>
      <c r="I5202" s="128"/>
      <c r="K5202" s="55" t="s">
        <v>1034</v>
      </c>
      <c r="L5202" s="129">
        <v>3.056639944E9</v>
      </c>
      <c r="M5202" s="99">
        <v>2.5</v>
      </c>
    </row>
    <row r="5203">
      <c r="A5203" s="122" t="s">
        <v>10887</v>
      </c>
      <c r="B5203" s="123">
        <v>1829237.0</v>
      </c>
      <c r="C5203" s="124" t="s">
        <v>10888</v>
      </c>
      <c r="D5203" s="125"/>
      <c r="E5203" s="126">
        <v>17.2</v>
      </c>
      <c r="F5203" s="127"/>
      <c r="G5203" s="127"/>
      <c r="H5203" s="127"/>
      <c r="I5203" s="128"/>
      <c r="K5203" s="105" t="str">
        <f>IFERROR(__xludf.DUMMYFUNCTION("if(A5203="""","""",substitute(SUBSTITUTE(index(importhtml(""http://finviz.com/quote.ashx?t=""&amp;A5203,""table"",10),7,2),""*"",""""),""-"",""0.00""))"),"Loading...")</f>
        <v>Loading...</v>
      </c>
      <c r="L5203" s="129">
        <v>2.0616867517E10</v>
      </c>
      <c r="M5203" s="99" t="str">
        <f>IFERROR(__xludf.DUMMYFUNCTION("GOOGLEFINANCE(A5203,""beta"")"),"#N/A")</f>
        <v>#N/A</v>
      </c>
    </row>
    <row r="5204">
      <c r="A5204" s="122" t="s">
        <v>10889</v>
      </c>
      <c r="B5204" s="123">
        <v>1865389.0</v>
      </c>
      <c r="C5204" s="124" t="s">
        <v>10890</v>
      </c>
      <c r="D5204" s="125"/>
      <c r="E5204" s="126">
        <v>17.21</v>
      </c>
      <c r="F5204" s="127"/>
      <c r="G5204" s="127"/>
      <c r="H5204" s="127"/>
      <c r="I5204" s="128"/>
      <c r="K5204" s="105" t="str">
        <f>IFERROR(__xludf.DUMMYFUNCTION("if(A5204="""","""",substitute(SUBSTITUTE(index(importhtml(""http://finviz.com/quote.ashx?t=""&amp;A5204,""table"",10),7,2),""*"",""""),""-"",""0.00""))"),"Loading...")</f>
        <v>Loading...</v>
      </c>
      <c r="L5204" s="129">
        <v>4.15864827E8</v>
      </c>
      <c r="M5204" s="99">
        <f>IFERROR(__xludf.DUMMYFUNCTION("GOOGLEFINANCE(A5204,""beta"")"),0.74)</f>
        <v>0.74</v>
      </c>
    </row>
    <row r="5205">
      <c r="A5205" s="122" t="s">
        <v>10891</v>
      </c>
      <c r="B5205" s="123">
        <v>1698022.0</v>
      </c>
      <c r="C5205" s="124" t="s">
        <v>10892</v>
      </c>
      <c r="D5205" s="125"/>
      <c r="E5205" s="126">
        <v>17.25</v>
      </c>
      <c r="F5205" s="127"/>
      <c r="G5205" s="127"/>
      <c r="H5205" s="127"/>
      <c r="I5205" s="128"/>
      <c r="K5205" s="105" t="str">
        <f>IFERROR(__xludf.DUMMYFUNCTION("if(A5205="""","""",substitute(SUBSTITUTE(index(importhtml(""http://finviz.com/quote.ashx?t=""&amp;A5205,""table"",10),7,2),""*"",""""),""-"",""0.00""))"),"Loading...")</f>
        <v>Loading...</v>
      </c>
      <c r="L5205" s="129" t="e">
        <v>#N/A</v>
      </c>
      <c r="M5205" s="99">
        <v>0.29</v>
      </c>
    </row>
    <row r="5206">
      <c r="A5206" s="122" t="s">
        <v>10893</v>
      </c>
      <c r="B5206" s="123">
        <v>1611547.0</v>
      </c>
      <c r="C5206" s="124" t="s">
        <v>10894</v>
      </c>
      <c r="D5206" s="125"/>
      <c r="E5206" s="126">
        <v>17.26</v>
      </c>
      <c r="F5206" s="127"/>
      <c r="G5206" s="127"/>
      <c r="H5206" s="127"/>
      <c r="I5206" s="128"/>
      <c r="K5206" s="55" t="s">
        <v>9445</v>
      </c>
      <c r="L5206" s="129">
        <v>2.03050785E9</v>
      </c>
      <c r="M5206" s="99">
        <v>1.53</v>
      </c>
    </row>
    <row r="5207">
      <c r="A5207" s="122" t="s">
        <v>10895</v>
      </c>
      <c r="B5207" s="123">
        <v>1326200.0</v>
      </c>
      <c r="C5207" s="124" t="s">
        <v>10896</v>
      </c>
      <c r="D5207" s="125"/>
      <c r="E5207" s="126">
        <v>17.26</v>
      </c>
      <c r="F5207" s="127"/>
      <c r="G5207" s="127"/>
      <c r="H5207" s="127"/>
      <c r="I5207" s="128"/>
      <c r="K5207" s="105" t="str">
        <f>IFERROR(__xludf.DUMMYFUNCTION("if(A5207="""","""",substitute(SUBSTITUTE(index(importhtml(""http://finviz.com/quote.ashx?t=""&amp;A5207,""table"",10),7,2),""*"",""""),""-"",""0.00""))"),"Loading...")</f>
        <v>Loading...</v>
      </c>
      <c r="L5207" s="129">
        <v>7.34217281E8</v>
      </c>
      <c r="M5207" s="99">
        <v>1.15</v>
      </c>
    </row>
    <row r="5208">
      <c r="A5208" s="122" t="s">
        <v>10897</v>
      </c>
      <c r="B5208" s="123">
        <v>943184.0</v>
      </c>
      <c r="C5208" s="124" t="s">
        <v>10898</v>
      </c>
      <c r="D5208" s="125"/>
      <c r="E5208" s="126">
        <v>17.26</v>
      </c>
      <c r="F5208" s="127"/>
      <c r="G5208" s="127"/>
      <c r="H5208" s="127"/>
      <c r="I5208" s="128"/>
      <c r="K5208" s="105" t="str">
        <f>IFERROR(__xludf.DUMMYFUNCTION("if(A5208="""","""",substitute(SUBSTITUTE(index(importhtml(""http://finviz.com/quote.ashx?t=""&amp;A5208,""table"",10),7,2),""*"",""""),""-"",""0.00""))"),"Loading...")</f>
        <v>Loading...</v>
      </c>
      <c r="L5208" s="129">
        <v>7.99397441E9</v>
      </c>
      <c r="M5208" s="99" t="str">
        <f>IFERROR(__xludf.DUMMYFUNCTION("GOOGLEFINANCE(A5208,""beta"")"),"#N/A")</f>
        <v>#N/A</v>
      </c>
    </row>
    <row r="5209">
      <c r="A5209" s="122" t="s">
        <v>10899</v>
      </c>
      <c r="B5209" s="123">
        <v>1026655.0</v>
      </c>
      <c r="C5209" s="124" t="s">
        <v>10900</v>
      </c>
      <c r="D5209" s="125"/>
      <c r="E5209" s="126">
        <v>17.27</v>
      </c>
      <c r="F5209" s="127"/>
      <c r="G5209" s="127"/>
      <c r="H5209" s="127"/>
      <c r="I5209" s="128"/>
      <c r="K5209" s="55" t="s">
        <v>1034</v>
      </c>
      <c r="L5209" s="129">
        <v>1.4947852E8</v>
      </c>
      <c r="M5209" s="99">
        <v>1.65</v>
      </c>
    </row>
    <row r="5210">
      <c r="A5210" s="122" t="s">
        <v>10901</v>
      </c>
      <c r="B5210" s="123">
        <v>805267.0</v>
      </c>
      <c r="C5210" s="124" t="s">
        <v>10902</v>
      </c>
      <c r="D5210" s="125"/>
      <c r="E5210" s="126">
        <v>17.27</v>
      </c>
      <c r="F5210" s="127"/>
      <c r="G5210" s="127"/>
      <c r="H5210" s="127"/>
      <c r="I5210" s="128"/>
      <c r="K5210" s="105" t="str">
        <f>IFERROR(__xludf.DUMMYFUNCTION("if(A5210="""","""",substitute(SUBSTITUTE(index(importhtml(""http://finviz.com/quote.ashx?t=""&amp;A5210,""table"",10),7,2),""*"",""""),""-"",""0.00""))"),"Loading...")</f>
        <v>Loading...</v>
      </c>
      <c r="L5210" s="129">
        <v>8.35023691E8</v>
      </c>
      <c r="M5210" s="99">
        <v>0.75</v>
      </c>
    </row>
    <row r="5211">
      <c r="A5211" s="122" t="s">
        <v>10903</v>
      </c>
      <c r="B5211" s="123">
        <v>1280784.0</v>
      </c>
      <c r="C5211" s="124" t="s">
        <v>10904</v>
      </c>
      <c r="D5211" s="125"/>
      <c r="E5211" s="126">
        <v>17.28</v>
      </c>
      <c r="F5211" s="127"/>
      <c r="G5211" s="127"/>
      <c r="H5211" s="127"/>
      <c r="I5211" s="128"/>
      <c r="K5211" s="105" t="str">
        <f>IFERROR(__xludf.DUMMYFUNCTION("if(A5211="""","""",substitute(SUBSTITUTE(index(importhtml(""http://finviz.com/quote.ashx?t=""&amp;A5211,""table"",10),7,2),""*"",""""),""-"",""0.00""))"),"Loading...")</f>
        <v>Loading...</v>
      </c>
      <c r="L5211" s="129">
        <v>2.611688935E9</v>
      </c>
      <c r="M5211" s="99">
        <v>1.35</v>
      </c>
    </row>
    <row r="5212">
      <c r="A5212" s="122" t="s">
        <v>10905</v>
      </c>
      <c r="B5212" s="123">
        <v>1464790.0</v>
      </c>
      <c r="C5212" s="124" t="s">
        <v>10906</v>
      </c>
      <c r="D5212" s="125"/>
      <c r="E5212" s="126">
        <v>17.3</v>
      </c>
      <c r="F5212" s="127"/>
      <c r="G5212" s="127"/>
      <c r="H5212" s="127"/>
      <c r="I5212" s="128"/>
      <c r="K5212" s="105" t="str">
        <f>IFERROR(__xludf.DUMMYFUNCTION("if(A5212="""","""",substitute(SUBSTITUTE(index(importhtml(""http://finviz.com/quote.ashx?t=""&amp;A5212,""table"",10),7,2),""*"",""""),""-"",""0.00""))"),"Loading...")</f>
        <v>Loading...</v>
      </c>
      <c r="L5212" s="129">
        <v>6.2052646E8</v>
      </c>
      <c r="M5212" s="99">
        <v>0.47</v>
      </c>
    </row>
    <row r="5213">
      <c r="A5213" s="122" t="s">
        <v>10907</v>
      </c>
      <c r="B5213" s="123">
        <v>1567569.0</v>
      </c>
      <c r="C5213" s="124" t="s">
        <v>10908</v>
      </c>
      <c r="D5213" s="125"/>
      <c r="E5213" s="126">
        <v>17.34</v>
      </c>
      <c r="F5213" s="127"/>
      <c r="G5213" s="127"/>
      <c r="H5213" s="127"/>
      <c r="I5213" s="128"/>
      <c r="K5213" s="55" t="s">
        <v>10909</v>
      </c>
      <c r="L5213" s="129">
        <v>1.055101034E9</v>
      </c>
      <c r="M5213" s="99">
        <v>0.9</v>
      </c>
    </row>
    <row r="5214">
      <c r="A5214" s="122" t="s">
        <v>10910</v>
      </c>
      <c r="B5214" s="123">
        <v>1462586.0</v>
      </c>
      <c r="C5214" s="124" t="s">
        <v>10911</v>
      </c>
      <c r="D5214" s="125"/>
      <c r="E5214" s="126">
        <v>17.35</v>
      </c>
      <c r="F5214" s="127"/>
      <c r="G5214" s="127"/>
      <c r="H5214" s="127"/>
      <c r="I5214" s="128"/>
      <c r="K5214" s="105" t="str">
        <f>IFERROR(__xludf.DUMMYFUNCTION("if(A5214="""","""",substitute(SUBSTITUTE(index(importhtml(""http://finviz.com/quote.ashx?t=""&amp;A5214,""table"",10),7,2),""*"",""""),""-"",""0.00""))"),"Loading...")</f>
        <v>Loading...</v>
      </c>
      <c r="L5214" s="129">
        <v>1.88212977E8</v>
      </c>
      <c r="M5214" s="99">
        <v>0.57</v>
      </c>
    </row>
    <row r="5215">
      <c r="A5215" s="122" t="s">
        <v>10912</v>
      </c>
      <c r="B5215" s="123">
        <v>1383084.0</v>
      </c>
      <c r="C5215" s="124" t="s">
        <v>10913</v>
      </c>
      <c r="D5215" s="125"/>
      <c r="E5215" s="126">
        <v>17.39</v>
      </c>
      <c r="F5215" s="127"/>
      <c r="G5215" s="127"/>
      <c r="H5215" s="127"/>
      <c r="I5215" s="128"/>
      <c r="K5215" s="55" t="s">
        <v>9720</v>
      </c>
      <c r="L5215" s="129" t="e">
        <v>#N/A</v>
      </c>
      <c r="M5215" s="99" t="str">
        <f>IFERROR(__xludf.DUMMYFUNCTION("GOOGLEFINANCE(A5215,""beta"")"),"#N/A")</f>
        <v>#N/A</v>
      </c>
    </row>
    <row r="5216">
      <c r="A5216" s="122" t="s">
        <v>10914</v>
      </c>
      <c r="B5216" s="123">
        <v>1699018.0</v>
      </c>
      <c r="C5216" s="124" t="s">
        <v>10915</v>
      </c>
      <c r="D5216" s="125"/>
      <c r="E5216" s="126">
        <v>17.4</v>
      </c>
      <c r="F5216" s="127"/>
      <c r="G5216" s="127"/>
      <c r="H5216" s="127"/>
      <c r="I5216" s="128"/>
      <c r="K5216" s="105" t="str">
        <f>IFERROR(__xludf.DUMMYFUNCTION("if(A5216="""","""",substitute(SUBSTITUTE(index(importhtml(""http://finviz.com/quote.ashx?t=""&amp;A5216,""table"",10),7,2),""*"",""""),""-"",""0.00""))"),"Loading...")</f>
        <v>Loading...</v>
      </c>
      <c r="L5216" s="129">
        <v>2.335559E7</v>
      </c>
      <c r="M5216" s="99" t="str">
        <f>IFERROR(__xludf.DUMMYFUNCTION("GOOGLEFINANCE(A5216,""beta"")"),"#N/A")</f>
        <v>#N/A</v>
      </c>
    </row>
    <row r="5217">
      <c r="A5217" s="122" t="s">
        <v>10916</v>
      </c>
      <c r="B5217" s="123">
        <v>8063.0</v>
      </c>
      <c r="C5217" s="124" t="s">
        <v>10917</v>
      </c>
      <c r="D5217" s="125"/>
      <c r="E5217" s="126">
        <v>17.4</v>
      </c>
      <c r="F5217" s="127"/>
      <c r="G5217" s="127"/>
      <c r="H5217" s="127"/>
      <c r="I5217" s="128"/>
      <c r="K5217" s="105" t="str">
        <f>IFERROR(__xludf.DUMMYFUNCTION("if(A5217="""","""",substitute(SUBSTITUTE(index(importhtml(""http://finviz.com/quote.ashx?t=""&amp;A5217,""table"",10),7,2),""*"",""""),""-"",""0.00""))"),"Loading...")</f>
        <v>Loading...</v>
      </c>
      <c r="L5217" s="129">
        <v>5.97746902E8</v>
      </c>
      <c r="M5217" s="99">
        <v>1.78</v>
      </c>
    </row>
    <row r="5218">
      <c r="A5218" s="122" t="s">
        <v>10918</v>
      </c>
      <c r="B5218" s="123">
        <v>1746473.0</v>
      </c>
      <c r="C5218" s="124" t="s">
        <v>10919</v>
      </c>
      <c r="D5218" s="125"/>
      <c r="E5218" s="126">
        <v>17.4</v>
      </c>
      <c r="F5218" s="127"/>
      <c r="G5218" s="127"/>
      <c r="H5218" s="127"/>
      <c r="I5218" s="128"/>
      <c r="K5218" s="105" t="str">
        <f>IFERROR(__xludf.DUMMYFUNCTION("if(A5218="""","""",substitute(SUBSTITUTE(index(importhtml(""http://finviz.com/quote.ashx?t=""&amp;A5218,""table"",10),7,2),""*"",""""),""-"",""0.00""))"),"Loading...")</f>
        <v>Loading...</v>
      </c>
      <c r="L5218" s="129">
        <v>1.042190029E9</v>
      </c>
      <c r="M5218" s="99">
        <v>1.2</v>
      </c>
    </row>
    <row r="5219">
      <c r="A5219" s="122" t="s">
        <v>10920</v>
      </c>
      <c r="B5219" s="123">
        <v>1768666.0</v>
      </c>
      <c r="C5219" s="124" t="s">
        <v>10921</v>
      </c>
      <c r="D5219" s="125"/>
      <c r="E5219" s="126">
        <v>17.4</v>
      </c>
      <c r="F5219" s="127"/>
      <c r="G5219" s="127"/>
      <c r="H5219" s="127"/>
      <c r="I5219" s="128"/>
      <c r="K5219" s="105" t="str">
        <f>IFERROR(__xludf.DUMMYFUNCTION("if(A5219="""","""",substitute(SUBSTITUTE(index(importhtml(""http://finviz.com/quote.ashx?t=""&amp;A5219,""table"",10),7,2),""*"",""""),""-"",""0.00""))"),"Loading...")</f>
        <v>Loading...</v>
      </c>
      <c r="L5219" s="129">
        <v>1.338335238E9</v>
      </c>
      <c r="M5219" s="99">
        <v>1.39</v>
      </c>
    </row>
    <row r="5220">
      <c r="A5220" s="122" t="s">
        <v>10922</v>
      </c>
      <c r="B5220" s="123">
        <v>1723596.0</v>
      </c>
      <c r="C5220" s="124" t="s">
        <v>10923</v>
      </c>
      <c r="D5220" s="125"/>
      <c r="E5220" s="126">
        <v>17.43</v>
      </c>
      <c r="F5220" s="127"/>
      <c r="G5220" s="127"/>
      <c r="H5220" s="127"/>
      <c r="I5220" s="128"/>
      <c r="K5220" s="105" t="str">
        <f>IFERROR(__xludf.DUMMYFUNCTION("if(A5220="""","""",substitute(SUBSTITUTE(index(importhtml(""http://finviz.com/quote.ashx?t=""&amp;A5220,""table"",10),7,2),""*"",""""),""-"",""0.00""))"),"Loading...")</f>
        <v>Loading...</v>
      </c>
      <c r="L5220" s="129">
        <v>1.828734716E9</v>
      </c>
      <c r="M5220" s="99">
        <v>0.23</v>
      </c>
    </row>
    <row r="5221">
      <c r="A5221" s="122" t="s">
        <v>10924</v>
      </c>
      <c r="B5221" s="123">
        <v>700564.0</v>
      </c>
      <c r="C5221" s="124" t="s">
        <v>10925</v>
      </c>
      <c r="D5221" s="125"/>
      <c r="E5221" s="126">
        <v>17.44</v>
      </c>
      <c r="F5221" s="127"/>
      <c r="G5221" s="127"/>
      <c r="H5221" s="127"/>
      <c r="I5221" s="128"/>
      <c r="K5221" s="105" t="str">
        <f>IFERROR(__xludf.DUMMYFUNCTION("if(A5221="""","""",substitute(SUBSTITUTE(index(importhtml(""http://finviz.com/quote.ashx?t=""&amp;A5221,""table"",10),7,2),""*"",""""),""-"",""0.00""))"),"Loading...")</f>
        <v>Loading...</v>
      </c>
      <c r="L5221" s="129">
        <v>2.530725418E9</v>
      </c>
      <c r="M5221" s="99">
        <v>0.45</v>
      </c>
    </row>
    <row r="5222">
      <c r="A5222" s="122" t="s">
        <v>10926</v>
      </c>
      <c r="B5222" s="123">
        <v>1320461.0</v>
      </c>
      <c r="C5222" s="124" t="s">
        <v>10927</v>
      </c>
      <c r="D5222" s="125"/>
      <c r="E5222" s="126">
        <v>17.45</v>
      </c>
      <c r="F5222" s="127"/>
      <c r="G5222" s="127"/>
      <c r="H5222" s="127"/>
      <c r="I5222" s="128"/>
      <c r="K5222" s="55" t="s">
        <v>1034</v>
      </c>
      <c r="L5222" s="129">
        <v>3.00095864E8</v>
      </c>
      <c r="M5222" s="99">
        <v>2.91</v>
      </c>
    </row>
    <row r="5223">
      <c r="A5223" s="122" t="s">
        <v>10928</v>
      </c>
      <c r="B5223" s="123">
        <v>1591890.0</v>
      </c>
      <c r="C5223" s="124" t="s">
        <v>10929</v>
      </c>
      <c r="D5223" s="125"/>
      <c r="E5223" s="126">
        <v>17.45</v>
      </c>
      <c r="F5223" s="127"/>
      <c r="G5223" s="127"/>
      <c r="H5223" s="127"/>
      <c r="I5223" s="128"/>
      <c r="K5223" s="105" t="str">
        <f>IFERROR(__xludf.DUMMYFUNCTION("if(A5223="""","""",substitute(SUBSTITUTE(index(importhtml(""http://finviz.com/quote.ashx?t=""&amp;A5223,""table"",10),7,2),""*"",""""),""-"",""0.00""))"),"Loading...")</f>
        <v>Loading...</v>
      </c>
      <c r="L5223" s="129">
        <v>1.5447515E7</v>
      </c>
      <c r="M5223" s="99">
        <v>0.27</v>
      </c>
    </row>
    <row r="5224">
      <c r="A5224" s="122" t="s">
        <v>10930</v>
      </c>
      <c r="B5224" s="123">
        <v>1625791.0</v>
      </c>
      <c r="C5224" s="124" t="s">
        <v>10931</v>
      </c>
      <c r="D5224" s="125"/>
      <c r="E5224" s="126">
        <v>17.45</v>
      </c>
      <c r="F5224" s="127"/>
      <c r="G5224" s="127"/>
      <c r="H5224" s="127"/>
      <c r="I5224" s="128"/>
      <c r="K5224" s="105" t="str">
        <f>IFERROR(__xludf.DUMMYFUNCTION("if(A5224="""","""",substitute(SUBSTITUTE(index(importhtml(""http://finviz.com/quote.ashx?t=""&amp;A5224,""table"",10),7,2),""*"",""""),""-"",""0.00""))"),"Loading...")</f>
        <v>Loading...</v>
      </c>
      <c r="L5224" s="129">
        <v>8.58149506E8</v>
      </c>
      <c r="M5224" s="99">
        <v>1.92</v>
      </c>
    </row>
    <row r="5225">
      <c r="A5225" s="122" t="s">
        <v>10932</v>
      </c>
      <c r="B5225" s="123">
        <v>1730346.0</v>
      </c>
      <c r="C5225" s="124" t="s">
        <v>10933</v>
      </c>
      <c r="D5225" s="125"/>
      <c r="E5225" s="126">
        <v>17.49</v>
      </c>
      <c r="F5225" s="127"/>
      <c r="G5225" s="127"/>
      <c r="H5225" s="127"/>
      <c r="I5225" s="128"/>
      <c r="K5225" s="105" t="str">
        <f>IFERROR(__xludf.DUMMYFUNCTION("if(A5225="""","""",substitute(SUBSTITUTE(index(importhtml(""http://finviz.com/quote.ashx?t=""&amp;A5225,""table"",10),7,2),""*"",""""),""-"",""0.00""))"),"Loading...")</f>
        <v>Loading...</v>
      </c>
      <c r="L5225" s="129">
        <v>2.096016E7</v>
      </c>
      <c r="M5225" s="99">
        <f>IFERROR(__xludf.DUMMYFUNCTION("GOOGLEFINANCE(A5225,""beta"")"),0.36)</f>
        <v>0.36</v>
      </c>
    </row>
    <row r="5226">
      <c r="A5226" s="122" t="s">
        <v>10934</v>
      </c>
      <c r="B5226" s="123">
        <v>1650648.0</v>
      </c>
      <c r="C5226" s="124" t="s">
        <v>10935</v>
      </c>
      <c r="D5226" s="125"/>
      <c r="E5226" s="126">
        <v>17.49</v>
      </c>
      <c r="F5226" s="127"/>
      <c r="G5226" s="127"/>
      <c r="H5226" s="127"/>
      <c r="I5226" s="128"/>
      <c r="K5226" s="105" t="str">
        <f>IFERROR(__xludf.DUMMYFUNCTION("if(A5226="""","""",substitute(SUBSTITUTE(index(importhtml(""http://finviz.com/quote.ashx?t=""&amp;A5226,""table"",10),7,2),""*"",""""),""-"",""0.00""))"),"Loading...")</f>
        <v>Loading...</v>
      </c>
      <c r="L5226" s="129">
        <v>7.47760454E8</v>
      </c>
      <c r="M5226" s="99">
        <v>2.63</v>
      </c>
    </row>
    <row r="5227">
      <c r="A5227" s="122" t="s">
        <v>10936</v>
      </c>
      <c r="B5227" s="123">
        <v>703699.0</v>
      </c>
      <c r="C5227" s="124" t="s">
        <v>10937</v>
      </c>
      <c r="D5227" s="125"/>
      <c r="E5227" s="126">
        <v>17.5</v>
      </c>
      <c r="F5227" s="127"/>
      <c r="G5227" s="127"/>
      <c r="H5227" s="127"/>
      <c r="I5227" s="128"/>
      <c r="K5227" s="105" t="str">
        <f>IFERROR(__xludf.DUMMYFUNCTION("if(A5227="""","""",substitute(SUBSTITUTE(index(importhtml(""http://finviz.com/quote.ashx?t=""&amp;A5227,""table"",10),7,2),""*"",""""),""-"",""0.00""))"),"Loading...")</f>
        <v>Loading...</v>
      </c>
      <c r="L5227" s="129">
        <v>7.9085615E7</v>
      </c>
      <c r="M5227" s="99">
        <v>0.37</v>
      </c>
    </row>
    <row r="5228">
      <c r="A5228" s="122" t="s">
        <v>10938</v>
      </c>
      <c r="B5228" s="123">
        <v>1880866.0</v>
      </c>
      <c r="C5228" s="124" t="s">
        <v>10939</v>
      </c>
      <c r="D5228" s="125"/>
      <c r="E5228" s="126">
        <v>17.5</v>
      </c>
      <c r="F5228" s="127"/>
      <c r="G5228" s="127"/>
      <c r="H5228" s="127"/>
      <c r="I5228" s="128"/>
      <c r="K5228" s="105" t="str">
        <f>IFERROR(__xludf.DUMMYFUNCTION("if(A5228="""","""",substitute(SUBSTITUTE(index(importhtml(""http://finviz.com/quote.ashx?t=""&amp;A5228,""table"",10),7,2),""*"",""""),""-"",""0.00""))"),"Loading...")</f>
        <v>Loading...</v>
      </c>
      <c r="L5228" s="129">
        <v>3.261791317E9</v>
      </c>
      <c r="M5228" s="99" t="str">
        <f>IFERROR(__xludf.DUMMYFUNCTION("GOOGLEFINANCE(A5228,""beta"")"),"#N/A")</f>
        <v>#N/A</v>
      </c>
    </row>
    <row r="5229">
      <c r="A5229" s="122" t="s">
        <v>10940</v>
      </c>
      <c r="B5229" s="123">
        <v>1533945.0</v>
      </c>
      <c r="C5229" s="124" t="s">
        <v>10941</v>
      </c>
      <c r="D5229" s="125"/>
      <c r="E5229" s="126">
        <v>17.51</v>
      </c>
      <c r="F5229" s="127"/>
      <c r="G5229" s="127"/>
      <c r="H5229" s="127"/>
      <c r="I5229" s="128"/>
      <c r="K5229" s="105" t="str">
        <f>IFERROR(__xludf.DUMMYFUNCTION("if(A5229="""","""",substitute(SUBSTITUTE(index(importhtml(""http://finviz.com/quote.ashx?t=""&amp;A5229,""table"",10),7,2),""*"",""""),""-"",""0.00""))"),"Loading...")</f>
        <v>Loading...</v>
      </c>
      <c r="L5229" s="129">
        <v>1.188537761E10</v>
      </c>
      <c r="M5229" s="99">
        <v>1.19</v>
      </c>
    </row>
    <row r="5230">
      <c r="A5230" s="122" t="s">
        <v>10942</v>
      </c>
      <c r="B5230" s="123">
        <v>1601669.0</v>
      </c>
      <c r="C5230" s="124" t="s">
        <v>10943</v>
      </c>
      <c r="D5230" s="125"/>
      <c r="E5230" s="126">
        <v>17.54</v>
      </c>
      <c r="F5230" s="127"/>
      <c r="G5230" s="127"/>
      <c r="H5230" s="127"/>
      <c r="I5230" s="128"/>
      <c r="K5230" s="105" t="str">
        <f>IFERROR(__xludf.DUMMYFUNCTION("if(A5230="""","""",substitute(SUBSTITUTE(index(importhtml(""http://finviz.com/quote.ashx?t=""&amp;A5230,""table"",10),7,2),""*"",""""),""-"",""0.00""))"),"Loading...")</f>
        <v>Loading...</v>
      </c>
      <c r="L5230" s="129">
        <v>2.066179944E9</v>
      </c>
      <c r="M5230" s="99" t="str">
        <f>IFERROR(__xludf.DUMMYFUNCTION("GOOGLEFINANCE(A5230,""beta"")"),"#N/A")</f>
        <v>#N/A</v>
      </c>
    </row>
    <row r="5231">
      <c r="A5231" s="122" t="s">
        <v>10944</v>
      </c>
      <c r="B5231" s="123">
        <v>1464790.0</v>
      </c>
      <c r="C5231" s="124" t="s">
        <v>10945</v>
      </c>
      <c r="D5231" s="125"/>
      <c r="E5231" s="126">
        <v>17.55</v>
      </c>
      <c r="F5231" s="127"/>
      <c r="G5231" s="127"/>
      <c r="H5231" s="127"/>
      <c r="I5231" s="128"/>
      <c r="K5231" s="105" t="str">
        <f>IFERROR(__xludf.DUMMYFUNCTION("if(A5231="""","""",substitute(SUBSTITUTE(index(importhtml(""http://finviz.com/quote.ashx?t=""&amp;A5231,""table"",10),7,2),""*"",""""),""-"",""0.00""))"),"Loading...")</f>
        <v>Loading...</v>
      </c>
      <c r="L5231" s="129">
        <v>6.2052646E8</v>
      </c>
      <c r="M5231" s="99">
        <v>0.93</v>
      </c>
    </row>
    <row r="5232">
      <c r="A5232" s="122" t="s">
        <v>10946</v>
      </c>
      <c r="B5232" s="123">
        <v>1270523.0</v>
      </c>
      <c r="C5232" s="124" t="s">
        <v>10947</v>
      </c>
      <c r="D5232" s="125"/>
      <c r="E5232" s="126">
        <v>17.6</v>
      </c>
      <c r="F5232" s="127"/>
      <c r="G5232" s="127"/>
      <c r="H5232" s="127"/>
      <c r="I5232" s="128"/>
      <c r="K5232" s="55" t="s">
        <v>10948</v>
      </c>
      <c r="L5232" s="129">
        <v>1.345677197E9</v>
      </c>
      <c r="M5232" s="99">
        <v>1.33</v>
      </c>
    </row>
    <row r="5233">
      <c r="A5233" s="122" t="s">
        <v>10949</v>
      </c>
      <c r="B5233" s="123">
        <v>1710482.0</v>
      </c>
      <c r="C5233" s="124" t="s">
        <v>10950</v>
      </c>
      <c r="D5233" s="125"/>
      <c r="E5233" s="126">
        <v>17.6</v>
      </c>
      <c r="F5233" s="127"/>
      <c r="G5233" s="127"/>
      <c r="H5233" s="127"/>
      <c r="I5233" s="128"/>
      <c r="K5233" s="105" t="str">
        <f>IFERROR(__xludf.DUMMYFUNCTION("if(A5233="""","""",substitute(SUBSTITUTE(index(importhtml(""http://finviz.com/quote.ashx?t=""&amp;A5233,""table"",10),7,2),""*"",""""),""-"",""0.00""))"),"Loading...")</f>
        <v>Loading...</v>
      </c>
      <c r="L5233" s="129">
        <v>2.48619013E8</v>
      </c>
      <c r="M5233" s="99">
        <v>0.67</v>
      </c>
    </row>
    <row r="5234">
      <c r="A5234" s="122" t="s">
        <v>10951</v>
      </c>
      <c r="B5234" s="123">
        <v>275053.0</v>
      </c>
      <c r="C5234" s="124" t="s">
        <v>10952</v>
      </c>
      <c r="D5234" s="125"/>
      <c r="E5234" s="126">
        <v>17.6</v>
      </c>
      <c r="F5234" s="127"/>
      <c r="G5234" s="127"/>
      <c r="H5234" s="127"/>
      <c r="I5234" s="128"/>
      <c r="K5234" s="105" t="str">
        <f>IFERROR(__xludf.DUMMYFUNCTION("if(A5234="""","""",substitute(SUBSTITUTE(index(importhtml(""http://finviz.com/quote.ashx?t=""&amp;A5234,""table"",10),7,2),""*"",""""),""-"",""0.00""))"),"Loading...")</f>
        <v>Loading...</v>
      </c>
      <c r="L5234" s="129">
        <v>3.35720535E8</v>
      </c>
      <c r="M5234" s="99">
        <v>0.82</v>
      </c>
    </row>
    <row r="5235">
      <c r="A5235" s="122" t="s">
        <v>10953</v>
      </c>
      <c r="B5235" s="123">
        <v>1791706.0</v>
      </c>
      <c r="C5235" s="124" t="s">
        <v>10954</v>
      </c>
      <c r="D5235" s="125"/>
      <c r="E5235" s="126">
        <v>17.6</v>
      </c>
      <c r="F5235" s="127"/>
      <c r="G5235" s="127"/>
      <c r="H5235" s="127"/>
      <c r="I5235" s="128"/>
      <c r="K5235" s="105" t="str">
        <f>IFERROR(__xludf.DUMMYFUNCTION("if(A5235="""","""",substitute(SUBSTITUTE(index(importhtml(""http://finviz.com/quote.ashx?t=""&amp;A5235,""table"",10),7,2),""*"",""""),""-"",""0.00""))"),"Loading...")</f>
        <v>Loading...</v>
      </c>
      <c r="L5235" s="129">
        <v>2.8816253855E10</v>
      </c>
      <c r="M5235" s="99" t="str">
        <f>IFERROR(__xludf.DUMMYFUNCTION("GOOGLEFINANCE(A5235,""beta"")"),"#N/A")</f>
        <v>#N/A</v>
      </c>
    </row>
    <row r="5236">
      <c r="A5236" s="122" t="s">
        <v>10955</v>
      </c>
      <c r="B5236" s="123">
        <v>1477720.0</v>
      </c>
      <c r="C5236" s="124" t="s">
        <v>10956</v>
      </c>
      <c r="D5236" s="125"/>
      <c r="E5236" s="126">
        <v>17.61</v>
      </c>
      <c r="F5236" s="127"/>
      <c r="G5236" s="127"/>
      <c r="H5236" s="127"/>
      <c r="I5236" s="128"/>
      <c r="K5236" s="105" t="str">
        <f>IFERROR(__xludf.DUMMYFUNCTION("if(A5236="""","""",substitute(SUBSTITUTE(index(importhtml(""http://finviz.com/quote.ashx?t=""&amp;A5236,""table"",10),7,2),""*"",""""),""-"",""0.00""))"),"Loading...")</f>
        <v>Loading...</v>
      </c>
      <c r="L5236" s="129">
        <v>3.918836202E9</v>
      </c>
      <c r="M5236" s="99">
        <v>1.24</v>
      </c>
    </row>
    <row r="5237">
      <c r="A5237" s="122" t="s">
        <v>10957</v>
      </c>
      <c r="B5237" s="123">
        <v>1499422.0</v>
      </c>
      <c r="C5237" s="124" t="s">
        <v>10958</v>
      </c>
      <c r="D5237" s="125"/>
      <c r="E5237" s="126">
        <v>17.62</v>
      </c>
      <c r="F5237" s="127"/>
      <c r="G5237" s="127"/>
      <c r="H5237" s="127"/>
      <c r="I5237" s="128"/>
      <c r="K5237" s="105" t="str">
        <f>IFERROR(__xludf.DUMMYFUNCTION("if(A5237="""","""",substitute(SUBSTITUTE(index(importhtml(""http://finviz.com/quote.ashx?t=""&amp;A5237,""table"",10),7,2),""*"",""""),""-"",""0.00""))"),"Loading...")</f>
        <v>Loading...</v>
      </c>
      <c r="L5237" s="129">
        <v>3.27893767E8</v>
      </c>
      <c r="M5237" s="99">
        <v>0.99</v>
      </c>
    </row>
    <row r="5238">
      <c r="A5238" s="122" t="s">
        <v>10959</v>
      </c>
      <c r="B5238" s="123">
        <v>1021860.0</v>
      </c>
      <c r="C5238" s="124" t="s">
        <v>10960</v>
      </c>
      <c r="D5238" s="125"/>
      <c r="E5238" s="126">
        <v>17.62</v>
      </c>
      <c r="F5238" s="127"/>
      <c r="G5238" s="127"/>
      <c r="H5238" s="127"/>
      <c r="I5238" s="128"/>
      <c r="K5238" s="105" t="str">
        <f>IFERROR(__xludf.DUMMYFUNCTION("if(A5238="""","""",substitute(SUBSTITUTE(index(importhtml(""http://finviz.com/quote.ashx?t=""&amp;A5238,""table"",10),7,2),""*"",""""),""-"",""0.00""))"),"Loading...")</f>
        <v>Loading...</v>
      </c>
      <c r="L5238" s="129">
        <v>6.94099407E9</v>
      </c>
      <c r="M5238" s="99">
        <v>1.77</v>
      </c>
    </row>
    <row r="5239">
      <c r="A5239" s="122" t="s">
        <v>10961</v>
      </c>
      <c r="B5239" s="123">
        <v>1455633.0</v>
      </c>
      <c r="C5239" s="124" t="s">
        <v>10962</v>
      </c>
      <c r="D5239" s="125"/>
      <c r="E5239" s="126">
        <v>17.63</v>
      </c>
      <c r="F5239" s="127"/>
      <c r="G5239" s="127"/>
      <c r="H5239" s="127"/>
      <c r="I5239" s="128"/>
      <c r="K5239" s="105" t="str">
        <f>IFERROR(__xludf.DUMMYFUNCTION("if(A5239="""","""",substitute(SUBSTITUTE(index(importhtml(""http://finviz.com/quote.ashx?t=""&amp;A5239,""table"",10),7,2),""*"",""""),""-"",""0.00""))"),"Loading...")</f>
        <v>Loading...</v>
      </c>
      <c r="L5239" s="129">
        <v>1.983500155E9</v>
      </c>
      <c r="M5239" s="99">
        <v>0.78</v>
      </c>
    </row>
    <row r="5240">
      <c r="A5240" s="122" t="s">
        <v>10963</v>
      </c>
      <c r="B5240" s="123">
        <v>8063.0</v>
      </c>
      <c r="C5240" s="124" t="s">
        <v>10964</v>
      </c>
      <c r="D5240" s="125"/>
      <c r="E5240" s="126">
        <v>17.64</v>
      </c>
      <c r="F5240" s="127"/>
      <c r="G5240" s="127"/>
      <c r="H5240" s="127"/>
      <c r="I5240" s="128"/>
      <c r="K5240" s="105" t="str">
        <f>IFERROR(__xludf.DUMMYFUNCTION("if(A5240="""","""",substitute(SUBSTITUTE(index(importhtml(""http://finviz.com/quote.ashx?t=""&amp;A5240,""table"",10),7,2),""*"",""""),""-"",""0.00""))"),"Loading...")</f>
        <v>Loading...</v>
      </c>
      <c r="L5240" s="129">
        <v>5.97746902E8</v>
      </c>
      <c r="M5240" s="99">
        <v>1.63</v>
      </c>
    </row>
    <row r="5241">
      <c r="A5241" s="122" t="s">
        <v>10965</v>
      </c>
      <c r="B5241" s="123">
        <v>1676479.0</v>
      </c>
      <c r="C5241" s="124" t="s">
        <v>10966</v>
      </c>
      <c r="D5241" s="125"/>
      <c r="E5241" s="126">
        <v>17.66</v>
      </c>
      <c r="F5241" s="127"/>
      <c r="G5241" s="127"/>
      <c r="H5241" s="127"/>
      <c r="I5241" s="128"/>
      <c r="K5241" s="105" t="str">
        <f>IFERROR(__xludf.DUMMYFUNCTION("if(A5241="""","""",substitute(SUBSTITUTE(index(importhtml(""http://finviz.com/quote.ashx?t=""&amp;A5241,""table"",10),7,2),""*"",""""),""-"",""0.00""))"),"Loading...")</f>
        <v>Loading...</v>
      </c>
      <c r="L5241" s="129">
        <v>3.65689678E8</v>
      </c>
      <c r="M5241" s="99">
        <v>0.79</v>
      </c>
    </row>
    <row r="5242">
      <c r="A5242" s="122" t="s">
        <v>10967</v>
      </c>
      <c r="B5242" s="123">
        <v>1700171.0</v>
      </c>
      <c r="C5242" s="124" t="s">
        <v>10968</v>
      </c>
      <c r="D5242" s="125"/>
      <c r="E5242" s="126">
        <v>17.66</v>
      </c>
      <c r="F5242" s="127"/>
      <c r="G5242" s="127"/>
      <c r="H5242" s="127"/>
      <c r="I5242" s="128"/>
      <c r="K5242" s="105" t="str">
        <f>IFERROR(__xludf.DUMMYFUNCTION("if(A5242="""","""",substitute(SUBSTITUTE(index(importhtml(""http://finviz.com/quote.ashx?t=""&amp;A5242,""table"",10),7,2),""*"",""""),""-"",""0.00""))"),"Loading...")</f>
        <v>Loading...</v>
      </c>
      <c r="L5242" s="129">
        <v>2.4629921913E10</v>
      </c>
      <c r="M5242" s="99">
        <f>IFERROR(__xludf.DUMMYFUNCTION("GOOGLEFINANCE(A5242,""beta"")"),0.88)</f>
        <v>0.88</v>
      </c>
    </row>
    <row r="5243">
      <c r="A5243" s="122" t="s">
        <v>10969</v>
      </c>
      <c r="B5243" s="123">
        <v>881787.0</v>
      </c>
      <c r="C5243" s="124" t="s">
        <v>10970</v>
      </c>
      <c r="D5243" s="125"/>
      <c r="E5243" s="126">
        <v>17.69</v>
      </c>
      <c r="F5243" s="127"/>
      <c r="G5243" s="127"/>
      <c r="H5243" s="127"/>
      <c r="I5243" s="128"/>
      <c r="K5243" s="55" t="s">
        <v>10971</v>
      </c>
      <c r="L5243" s="129">
        <v>1.06140003E8</v>
      </c>
      <c r="M5243" s="99">
        <v>0.61</v>
      </c>
    </row>
    <row r="5244">
      <c r="A5244" s="122" t="s">
        <v>10972</v>
      </c>
      <c r="B5244" s="123">
        <v>1318008.0</v>
      </c>
      <c r="C5244" s="124" t="s">
        <v>10973</v>
      </c>
      <c r="D5244" s="125"/>
      <c r="E5244" s="126">
        <v>17.7</v>
      </c>
      <c r="F5244" s="127"/>
      <c r="G5244" s="127"/>
      <c r="H5244" s="127"/>
      <c r="I5244" s="128"/>
      <c r="K5244" s="105" t="str">
        <f>IFERROR(__xludf.DUMMYFUNCTION("if(A5244="""","""",substitute(SUBSTITUTE(index(importhtml(""http://finviz.com/quote.ashx?t=""&amp;A5244,""table"",10),7,2),""*"",""""),""-"",""0.00""))"),"Loading...")</f>
        <v>Loading...</v>
      </c>
      <c r="L5244" s="129">
        <v>3.51062346E8</v>
      </c>
      <c r="M5244" s="99">
        <v>1.48</v>
      </c>
    </row>
    <row r="5245">
      <c r="A5245" s="122" t="s">
        <v>10974</v>
      </c>
      <c r="B5245" s="123">
        <v>1025835.0</v>
      </c>
      <c r="C5245" s="124" t="s">
        <v>10975</v>
      </c>
      <c r="D5245" s="125"/>
      <c r="E5245" s="126">
        <v>17.7</v>
      </c>
      <c r="F5245" s="127"/>
      <c r="G5245" s="127"/>
      <c r="H5245" s="127"/>
      <c r="I5245" s="128"/>
      <c r="K5245" s="105" t="str">
        <f>IFERROR(__xludf.DUMMYFUNCTION("if(A5245="""","""",substitute(SUBSTITUTE(index(importhtml(""http://finviz.com/quote.ashx?t=""&amp;A5245,""table"",10),7,2),""*"",""""),""-"",""0.00""))"),"Loading...")</f>
        <v>Loading...</v>
      </c>
      <c r="L5245" s="129">
        <v>1.512354247E9</v>
      </c>
      <c r="M5245" s="99">
        <f>IFERROR(__xludf.DUMMYFUNCTION("GOOGLEFINANCE(A5245,""beta"")"),0.75)</f>
        <v>0.75</v>
      </c>
    </row>
    <row r="5246">
      <c r="A5246" s="122" t="s">
        <v>10976</v>
      </c>
      <c r="B5246" s="123">
        <v>868675.0</v>
      </c>
      <c r="C5246" s="124" t="s">
        <v>10977</v>
      </c>
      <c r="D5246" s="125"/>
      <c r="E5246" s="126">
        <v>17.71</v>
      </c>
      <c r="F5246" s="127"/>
      <c r="G5246" s="127"/>
      <c r="H5246" s="127"/>
      <c r="I5246" s="128"/>
      <c r="K5246" s="55" t="s">
        <v>10978</v>
      </c>
      <c r="L5246" s="129">
        <v>2.590985263E10</v>
      </c>
      <c r="M5246" s="99">
        <v>0.71</v>
      </c>
    </row>
    <row r="5247">
      <c r="A5247" s="122" t="s">
        <v>10979</v>
      </c>
      <c r="B5247" s="123">
        <v>1720420.0</v>
      </c>
      <c r="C5247" s="124" t="s">
        <v>10980</v>
      </c>
      <c r="D5247" s="125"/>
      <c r="E5247" s="126">
        <v>17.71</v>
      </c>
      <c r="F5247" s="127"/>
      <c r="G5247" s="127"/>
      <c r="H5247" s="127"/>
      <c r="I5247" s="128"/>
      <c r="K5247" s="105" t="str">
        <f>IFERROR(__xludf.DUMMYFUNCTION("if(A5247="""","""",substitute(SUBSTITUTE(index(importhtml(""http://finviz.com/quote.ashx?t=""&amp;A5247,""table"",10),7,2),""*"",""""),""-"",""0.00""))"),"Loading...")</f>
        <v>Loading...</v>
      </c>
      <c r="L5247" s="129">
        <v>3.17695246E8</v>
      </c>
      <c r="M5247" s="99">
        <v>0.69</v>
      </c>
    </row>
    <row r="5248">
      <c r="A5248" s="122" t="s">
        <v>10981</v>
      </c>
      <c r="B5248" s="123">
        <v>1563696.0</v>
      </c>
      <c r="C5248" s="124" t="s">
        <v>10982</v>
      </c>
      <c r="D5248" s="125"/>
      <c r="E5248" s="126">
        <v>17.72</v>
      </c>
      <c r="F5248" s="127"/>
      <c r="G5248" s="127"/>
      <c r="H5248" s="127"/>
      <c r="I5248" s="128"/>
      <c r="K5248" s="55" t="s">
        <v>10983</v>
      </c>
      <c r="L5248" s="129">
        <v>1.92881306E8</v>
      </c>
      <c r="M5248" s="99">
        <v>0.22</v>
      </c>
    </row>
    <row r="5249">
      <c r="A5249" s="122" t="s">
        <v>10984</v>
      </c>
      <c r="B5249" s="123">
        <v>1604481.0</v>
      </c>
      <c r="C5249" s="124" t="s">
        <v>10985</v>
      </c>
      <c r="D5249" s="125"/>
      <c r="E5249" s="126">
        <v>17.72</v>
      </c>
      <c r="F5249" s="127"/>
      <c r="G5249" s="127"/>
      <c r="H5249" s="127"/>
      <c r="I5249" s="128"/>
      <c r="K5249" s="105" t="str">
        <f>IFERROR(__xludf.DUMMYFUNCTION("if(A5249="""","""",substitute(SUBSTITUTE(index(importhtml(""http://finviz.com/quote.ashx?t=""&amp;A5249,""table"",10),7,2),""*"",""""),""-"",""0.00""))"),"Loading...")</f>
        <v>Loading...</v>
      </c>
      <c r="L5249" s="129">
        <v>3.559213625E9</v>
      </c>
      <c r="M5249" s="99">
        <v>0.12</v>
      </c>
    </row>
    <row r="5250">
      <c r="A5250" s="122" t="s">
        <v>10986</v>
      </c>
      <c r="B5250" s="123">
        <v>1602658.0</v>
      </c>
      <c r="C5250" s="124" t="s">
        <v>10987</v>
      </c>
      <c r="D5250" s="125"/>
      <c r="E5250" s="126">
        <v>17.74</v>
      </c>
      <c r="F5250" s="127"/>
      <c r="G5250" s="127"/>
      <c r="H5250" s="127"/>
      <c r="I5250" s="128"/>
      <c r="K5250" s="105" t="str">
        <f>IFERROR(__xludf.DUMMYFUNCTION("if(A5250="""","""",substitute(SUBSTITUTE(index(importhtml(""http://finviz.com/quote.ashx?t=""&amp;A5250,""table"",10),7,2),""*"",""""),""-"",""0.00""))"),"Loading...")</f>
        <v>Loading...</v>
      </c>
      <c r="L5250" s="129">
        <v>1.72930688E8</v>
      </c>
      <c r="M5250" s="99">
        <v>0.81</v>
      </c>
    </row>
    <row r="5251">
      <c r="A5251" s="122" t="s">
        <v>10988</v>
      </c>
      <c r="B5251" s="123">
        <v>1513761.0</v>
      </c>
      <c r="C5251" s="124" t="s">
        <v>10989</v>
      </c>
      <c r="D5251" s="125"/>
      <c r="E5251" s="126">
        <v>17.74</v>
      </c>
      <c r="F5251" s="127"/>
      <c r="G5251" s="127"/>
      <c r="H5251" s="127"/>
      <c r="I5251" s="128"/>
      <c r="K5251" s="105" t="str">
        <f>IFERROR(__xludf.DUMMYFUNCTION("if(A5251="""","""",substitute(SUBSTITUTE(index(importhtml(""http://finviz.com/quote.ashx?t=""&amp;A5251,""table"",10),7,2),""*"",""""),""-"",""0.00""))"),"Loading...")</f>
        <v>Loading...</v>
      </c>
      <c r="L5251" s="129">
        <v>7.547037628E9</v>
      </c>
      <c r="M5251" s="99">
        <v>2.6</v>
      </c>
    </row>
    <row r="5252">
      <c r="A5252" s="122" t="s">
        <v>10990</v>
      </c>
      <c r="B5252" s="123">
        <v>803016.0</v>
      </c>
      <c r="C5252" s="124" t="s">
        <v>10991</v>
      </c>
      <c r="D5252" s="125"/>
      <c r="E5252" s="126">
        <v>17.75</v>
      </c>
      <c r="F5252" s="127"/>
      <c r="G5252" s="127"/>
      <c r="H5252" s="127"/>
      <c r="I5252" s="128"/>
      <c r="K5252" s="105" t="str">
        <f>IFERROR(__xludf.DUMMYFUNCTION("if(A5252="""","""",substitute(SUBSTITUTE(index(importhtml(""http://finviz.com/quote.ashx?t=""&amp;A5252,""table"",10),7,2),""*"",""""),""-"",""0.00""))"),"Loading...")</f>
        <v>Loading...</v>
      </c>
      <c r="L5252" s="129">
        <v>1.65241583E8</v>
      </c>
      <c r="M5252" s="99">
        <v>0.26</v>
      </c>
    </row>
    <row r="5253">
      <c r="A5253" s="122" t="s">
        <v>10992</v>
      </c>
      <c r="B5253" s="123">
        <v>1288469.0</v>
      </c>
      <c r="C5253" s="124" t="s">
        <v>10993</v>
      </c>
      <c r="D5253" s="125"/>
      <c r="E5253" s="126">
        <v>17.77</v>
      </c>
      <c r="F5253" s="127"/>
      <c r="G5253" s="127"/>
      <c r="H5253" s="127"/>
      <c r="I5253" s="128"/>
      <c r="K5253" s="105" t="str">
        <f>IFERROR(__xludf.DUMMYFUNCTION("if(A5253="""","""",substitute(SUBSTITUTE(index(importhtml(""http://finviz.com/quote.ashx?t=""&amp;A5253,""table"",10),7,2),""*"",""""),""-"",""0.00""))"),"Loading...")</f>
        <v>Loading...</v>
      </c>
      <c r="L5253" s="129">
        <v>1.455831099E9</v>
      </c>
      <c r="M5253" s="99">
        <v>2.06</v>
      </c>
    </row>
    <row r="5254">
      <c r="A5254" s="122" t="s">
        <v>10994</v>
      </c>
      <c r="B5254" s="123">
        <v>1641614.0</v>
      </c>
      <c r="C5254" s="124" t="s">
        <v>10995</v>
      </c>
      <c r="D5254" s="125"/>
      <c r="E5254" s="126">
        <v>17.79</v>
      </c>
      <c r="F5254" s="127"/>
      <c r="G5254" s="127"/>
      <c r="H5254" s="127"/>
      <c r="I5254" s="128"/>
      <c r="K5254" s="105" t="str">
        <f>IFERROR(__xludf.DUMMYFUNCTION("if(A5254="""","""",substitute(SUBSTITUTE(index(importhtml(""http://finviz.com/quote.ashx?t=""&amp;A5254,""table"",10),7,2),""*"",""""),""-"",""0.00""))"),"Loading...")</f>
        <v>Loading...</v>
      </c>
      <c r="L5254" s="129">
        <v>2.03861491E8</v>
      </c>
      <c r="M5254" s="99">
        <v>0.98</v>
      </c>
    </row>
    <row r="5255">
      <c r="A5255" s="122" t="s">
        <v>10996</v>
      </c>
      <c r="B5255" s="123">
        <v>1273685.0</v>
      </c>
      <c r="C5255" s="124" t="s">
        <v>10997</v>
      </c>
      <c r="D5255" s="125"/>
      <c r="E5255" s="126">
        <v>17.8</v>
      </c>
      <c r="F5255" s="127"/>
      <c r="G5255" s="127"/>
      <c r="H5255" s="127"/>
      <c r="I5255" s="128"/>
      <c r="K5255" s="105" t="str">
        <f>IFERROR(__xludf.DUMMYFUNCTION("if(A5255="""","""",substitute(SUBSTITUTE(index(importhtml(""http://finviz.com/quote.ashx?t=""&amp;A5255,""table"",10),7,2),""*"",""""),""-"",""0.00""))"),"Loading...")</f>
        <v>Loading...</v>
      </c>
      <c r="L5255" s="129">
        <v>6.99167629E8</v>
      </c>
      <c r="M5255" s="99" t="str">
        <f>IFERROR(__xludf.DUMMYFUNCTION("GOOGLEFINANCE(A5255,""beta"")"),"#N/A")</f>
        <v>#N/A</v>
      </c>
    </row>
    <row r="5256">
      <c r="A5256" s="122" t="s">
        <v>10998</v>
      </c>
      <c r="B5256" s="123">
        <v>1788348.0</v>
      </c>
      <c r="C5256" s="124" t="s">
        <v>10999</v>
      </c>
      <c r="D5256" s="125"/>
      <c r="E5256" s="126">
        <v>17.82</v>
      </c>
      <c r="F5256" s="127"/>
      <c r="G5256" s="127"/>
      <c r="H5256" s="127"/>
      <c r="I5256" s="128"/>
      <c r="K5256" s="105" t="str">
        <f>IFERROR(__xludf.DUMMYFUNCTION("if(A5256="""","""",substitute(SUBSTITUTE(index(importhtml(""http://finviz.com/quote.ashx?t=""&amp;A5256,""table"",10),7,2),""*"",""""),""-"",""0.00""))"),"Loading...")</f>
        <v>Loading...</v>
      </c>
      <c r="L5256" s="129" t="e">
        <v>#N/A</v>
      </c>
      <c r="M5256" s="99">
        <f>IFERROR(__xludf.DUMMYFUNCTION("GOOGLEFINANCE(A5256,""beta"")"),0.93)</f>
        <v>0.93</v>
      </c>
    </row>
    <row r="5257">
      <c r="A5257" s="122" t="s">
        <v>11000</v>
      </c>
      <c r="B5257" s="123">
        <v>732717.0</v>
      </c>
      <c r="C5257" s="124" t="s">
        <v>11001</v>
      </c>
      <c r="D5257" s="125"/>
      <c r="E5257" s="126">
        <v>17.83</v>
      </c>
      <c r="F5257" s="127"/>
      <c r="G5257" s="127"/>
      <c r="H5257" s="127"/>
      <c r="I5257" s="128"/>
      <c r="K5257" s="138" t="s">
        <v>8310</v>
      </c>
      <c r="L5257" s="129">
        <v>1.27484499454E11</v>
      </c>
      <c r="M5257" s="99">
        <v>0.59</v>
      </c>
    </row>
    <row r="5258">
      <c r="A5258" s="122" t="s">
        <v>11002</v>
      </c>
      <c r="B5258" s="123">
        <v>1766502.0</v>
      </c>
      <c r="C5258" s="124" t="s">
        <v>11003</v>
      </c>
      <c r="D5258" s="125"/>
      <c r="E5258" s="126">
        <v>17.83</v>
      </c>
      <c r="F5258" s="127"/>
      <c r="G5258" s="127"/>
      <c r="H5258" s="127"/>
      <c r="I5258" s="128"/>
      <c r="K5258" s="105" t="str">
        <f>IFERROR(__xludf.DUMMYFUNCTION("if(A5258="""","""",substitute(SUBSTITUTE(index(importhtml(""http://finviz.com/quote.ashx?t=""&amp;A5258,""table"",10),7,2),""*"",""""),""-"",""0.00""))"),"Loading...")</f>
        <v>Loading...</v>
      </c>
      <c r="L5258" s="129">
        <v>7.691967164E9</v>
      </c>
      <c r="M5258" s="99">
        <v>0.93</v>
      </c>
    </row>
    <row r="5259">
      <c r="A5259" s="122" t="s">
        <v>11004</v>
      </c>
      <c r="B5259" s="123">
        <v>1826168.0</v>
      </c>
      <c r="C5259" s="124" t="s">
        <v>11005</v>
      </c>
      <c r="D5259" s="125"/>
      <c r="E5259" s="126">
        <v>17.83</v>
      </c>
      <c r="F5259" s="127"/>
      <c r="G5259" s="127"/>
      <c r="H5259" s="127"/>
      <c r="I5259" s="128"/>
      <c r="K5259" s="105" t="str">
        <f>IFERROR(__xludf.DUMMYFUNCTION("if(A5259="""","""",substitute(SUBSTITUTE(index(importhtml(""http://finviz.com/quote.ashx?t=""&amp;A5259,""table"",10),7,2),""*"",""""),""-"",""0.00""))"),"Loading...")</f>
        <v>Loading...</v>
      </c>
      <c r="L5259" s="129">
        <v>4.2848232646E10</v>
      </c>
      <c r="M5259" s="99">
        <v>0.88</v>
      </c>
    </row>
    <row r="5260">
      <c r="A5260" s="122" t="s">
        <v>11006</v>
      </c>
      <c r="B5260" s="123">
        <v>1504122.0</v>
      </c>
      <c r="C5260" s="124" t="s">
        <v>11007</v>
      </c>
      <c r="D5260" s="125"/>
      <c r="E5260" s="126">
        <v>17.83</v>
      </c>
      <c r="F5260" s="127"/>
      <c r="G5260" s="127"/>
      <c r="H5260" s="127"/>
      <c r="I5260" s="128"/>
      <c r="K5260" s="105" t="str">
        <f>IFERROR(__xludf.DUMMYFUNCTION("if(A5260="""","""",substitute(SUBSTITUTE(index(importhtml(""http://finviz.com/quote.ashx?t=""&amp;A5260,""table"",10),7,2),""*"",""""),""-"",""0.00""))"),"Loading...")</f>
        <v>Loading...</v>
      </c>
      <c r="L5260" s="129">
        <v>2.132380635E14</v>
      </c>
      <c r="M5260" s="99">
        <v>1.14</v>
      </c>
    </row>
    <row r="5261">
      <c r="A5261" s="122" t="s">
        <v>11008</v>
      </c>
      <c r="B5261" s="123">
        <v>1853717.0</v>
      </c>
      <c r="C5261" s="124" t="s">
        <v>11009</v>
      </c>
      <c r="D5261" s="125"/>
      <c r="E5261" s="126">
        <v>17.84</v>
      </c>
      <c r="F5261" s="127"/>
      <c r="G5261" s="127"/>
      <c r="H5261" s="127"/>
      <c r="I5261" s="128"/>
      <c r="K5261" s="105" t="str">
        <f>IFERROR(__xludf.DUMMYFUNCTION("if(A5261="""","""",substitute(SUBSTITUTE(index(importhtml(""http://finviz.com/quote.ashx?t=""&amp;A5261,""table"",10),7,2),""*"",""""),""-"",""0.00""))"),"Loading...")</f>
        <v>Loading...</v>
      </c>
      <c r="L5261" s="129">
        <v>2.450390028E9</v>
      </c>
      <c r="M5261" s="99" t="str">
        <f>IFERROR(__xludf.DUMMYFUNCTION("GOOGLEFINANCE(A5261,""beta"")"),"#N/A")</f>
        <v>#N/A</v>
      </c>
    </row>
    <row r="5262">
      <c r="A5262" s="122" t="s">
        <v>11010</v>
      </c>
      <c r="B5262" s="123">
        <v>1406234.0</v>
      </c>
      <c r="C5262" s="124" t="s">
        <v>11011</v>
      </c>
      <c r="D5262" s="125"/>
      <c r="E5262" s="126">
        <v>17.84</v>
      </c>
      <c r="F5262" s="127"/>
      <c r="G5262" s="127"/>
      <c r="H5262" s="127"/>
      <c r="I5262" s="128"/>
      <c r="K5262" s="105" t="str">
        <f>IFERROR(__xludf.DUMMYFUNCTION("if(A5262="""","""",substitute(SUBSTITUTE(index(importhtml(""http://finviz.com/quote.ashx?t=""&amp;A5262,""table"",10),7,2),""*"",""""),""-"",""0.00""))"),"Loading...")</f>
        <v>Loading...</v>
      </c>
      <c r="L5262" s="129" t="e">
        <v>#N/A</v>
      </c>
      <c r="M5262" s="99">
        <f>IFERROR(__xludf.DUMMYFUNCTION("GOOGLEFINANCE(A5262,""beta"")"),0.73)</f>
        <v>0.73</v>
      </c>
    </row>
    <row r="5263">
      <c r="A5263" s="122" t="s">
        <v>11012</v>
      </c>
      <c r="B5263" s="123">
        <v>1477641.0</v>
      </c>
      <c r="C5263" s="124" t="s">
        <v>11013</v>
      </c>
      <c r="D5263" s="125"/>
      <c r="E5263" s="126">
        <v>17.85</v>
      </c>
      <c r="F5263" s="127"/>
      <c r="G5263" s="127"/>
      <c r="H5263" s="127"/>
      <c r="I5263" s="128"/>
      <c r="K5263" s="138" t="s">
        <v>6361</v>
      </c>
      <c r="L5263" s="129">
        <v>1.395953389E9</v>
      </c>
      <c r="M5263" s="99">
        <v>0.14</v>
      </c>
    </row>
    <row r="5264">
      <c r="A5264" s="122" t="s">
        <v>11014</v>
      </c>
      <c r="B5264" s="123">
        <v>1782170.0</v>
      </c>
      <c r="C5264" s="124" t="s">
        <v>11015</v>
      </c>
      <c r="D5264" s="125"/>
      <c r="E5264" s="126">
        <v>17.85</v>
      </c>
      <c r="F5264" s="127"/>
      <c r="G5264" s="127"/>
      <c r="H5264" s="127"/>
      <c r="I5264" s="128"/>
      <c r="K5264" s="105" t="str">
        <f>IFERROR(__xludf.DUMMYFUNCTION("if(A5264="""","""",substitute(SUBSTITUTE(index(importhtml(""http://finviz.com/quote.ashx?t=""&amp;A5264,""table"",10),7,2),""*"",""""),""-"",""0.00""))"),"Loading...")</f>
        <v>Loading...</v>
      </c>
      <c r="L5264" s="129">
        <v>3.305065015E9</v>
      </c>
      <c r="M5264" s="99">
        <f>IFERROR(__xludf.DUMMYFUNCTION("GOOGLEFINANCE(A5264,""beta"")"),0.1)</f>
        <v>0.1</v>
      </c>
    </row>
    <row r="5265">
      <c r="A5265" s="122" t="s">
        <v>11016</v>
      </c>
      <c r="B5265" s="123">
        <v>846617.0</v>
      </c>
      <c r="C5265" s="124" t="s">
        <v>11017</v>
      </c>
      <c r="D5265" s="125"/>
      <c r="E5265" s="126">
        <v>17.87</v>
      </c>
      <c r="F5265" s="127"/>
      <c r="G5265" s="127"/>
      <c r="H5265" s="127"/>
      <c r="I5265" s="128"/>
      <c r="K5265" s="105" t="str">
        <f>IFERROR(__xludf.DUMMYFUNCTION("if(A5265="""","""",substitute(SUBSTITUTE(index(importhtml(""http://finviz.com/quote.ashx?t=""&amp;A5265,""table"",10),7,2),""*"",""""),""-"",""0.00""))"),"Loading...")</f>
        <v>Loading...</v>
      </c>
      <c r="L5265" s="129">
        <v>8.31200424E8</v>
      </c>
      <c r="M5265" s="99">
        <v>0.91</v>
      </c>
    </row>
    <row r="5266">
      <c r="A5266" s="122" t="s">
        <v>11018</v>
      </c>
      <c r="B5266" s="123">
        <v>1342423.0</v>
      </c>
      <c r="C5266" s="124" t="s">
        <v>11019</v>
      </c>
      <c r="D5266" s="125"/>
      <c r="E5266" s="126">
        <v>17.92</v>
      </c>
      <c r="F5266" s="127"/>
      <c r="G5266" s="127"/>
      <c r="H5266" s="127"/>
      <c r="I5266" s="128"/>
      <c r="K5266" s="105" t="str">
        <f>IFERROR(__xludf.DUMMYFUNCTION("if(A5266="""","""",substitute(SUBSTITUTE(index(importhtml(""http://finviz.com/quote.ashx?t=""&amp;A5266,""table"",10),7,2),""*"",""""),""-"",""0.00""))"),"Loading...")</f>
        <v>Loading...</v>
      </c>
      <c r="L5266" s="129">
        <v>3.22454452E8</v>
      </c>
      <c r="M5266" s="99">
        <v>0.55</v>
      </c>
    </row>
    <row r="5267">
      <c r="A5267" s="122" t="s">
        <v>11020</v>
      </c>
      <c r="B5267" s="123">
        <v>1674356.0</v>
      </c>
      <c r="C5267" s="124" t="s">
        <v>11021</v>
      </c>
      <c r="D5267" s="125"/>
      <c r="E5267" s="126">
        <v>17.92</v>
      </c>
      <c r="F5267" s="127"/>
      <c r="G5267" s="127"/>
      <c r="H5267" s="127"/>
      <c r="I5267" s="128"/>
      <c r="K5267" s="105" t="str">
        <f>IFERROR(__xludf.DUMMYFUNCTION("if(A5267="""","""",substitute(SUBSTITUTE(index(importhtml(""http://finviz.com/quote.ashx?t=""&amp;A5267,""table"",10),7,2),""*"",""""),""-"",""0.00""))"),"Loading...")</f>
        <v>Loading...</v>
      </c>
      <c r="L5267" s="129" t="e">
        <v>#N/A</v>
      </c>
      <c r="M5267" s="99">
        <f>IFERROR(__xludf.DUMMYFUNCTION("GOOGLEFINANCE(A5267,""beta"")"),0.28)</f>
        <v>0.28</v>
      </c>
    </row>
    <row r="5268">
      <c r="A5268" s="122" t="s">
        <v>11022</v>
      </c>
      <c r="B5268" s="123">
        <v>834365.0</v>
      </c>
      <c r="C5268" s="124" t="s">
        <v>11023</v>
      </c>
      <c r="D5268" s="125"/>
      <c r="E5268" s="126">
        <v>17.94</v>
      </c>
      <c r="F5268" s="127"/>
      <c r="G5268" s="127"/>
      <c r="H5268" s="127"/>
      <c r="I5268" s="128"/>
      <c r="K5268" s="105" t="str">
        <f>IFERROR(__xludf.DUMMYFUNCTION("if(A5268="""","""",substitute(SUBSTITUTE(index(importhtml(""http://finviz.com/quote.ashx?t=""&amp;A5268,""table"",10),7,2),""*"",""""),""-"",""0.00""))"),"Loading...")</f>
        <v>Loading...</v>
      </c>
      <c r="L5268" s="129">
        <v>7.89921904E8</v>
      </c>
      <c r="M5268" s="99">
        <v>1.71</v>
      </c>
    </row>
    <row r="5269">
      <c r="A5269" s="122" t="s">
        <v>11024</v>
      </c>
      <c r="B5269" s="123">
        <v>1798749.0</v>
      </c>
      <c r="C5269" s="124" t="s">
        <v>11025</v>
      </c>
      <c r="D5269" s="125"/>
      <c r="E5269" s="126">
        <v>17.95</v>
      </c>
      <c r="F5269" s="127"/>
      <c r="G5269" s="127"/>
      <c r="H5269" s="127"/>
      <c r="I5269" s="128"/>
      <c r="K5269" s="105" t="str">
        <f>IFERROR(__xludf.DUMMYFUNCTION("if(A5269="""","""",substitute(SUBSTITUTE(index(importhtml(""http://finviz.com/quote.ashx?t=""&amp;A5269,""table"",10),7,2),""*"",""""),""-"",""0.00""))"),"Loading...")</f>
        <v>Loading...</v>
      </c>
      <c r="L5269" s="129">
        <v>4.96656417E8</v>
      </c>
      <c r="M5269" s="99" t="str">
        <f>IFERROR(__xludf.DUMMYFUNCTION("GOOGLEFINANCE(A5269,""beta"")"),"#N/A")</f>
        <v>#N/A</v>
      </c>
    </row>
    <row r="5270">
      <c r="A5270" s="122" t="s">
        <v>11026</v>
      </c>
      <c r="B5270" s="123">
        <v>1876588.0</v>
      </c>
      <c r="C5270" s="124" t="s">
        <v>11027</v>
      </c>
      <c r="D5270" s="125"/>
      <c r="E5270" s="126">
        <v>17.96</v>
      </c>
      <c r="F5270" s="127"/>
      <c r="G5270" s="127"/>
      <c r="H5270" s="127"/>
      <c r="I5270" s="128"/>
      <c r="K5270" s="105" t="str">
        <f>IFERROR(__xludf.DUMMYFUNCTION("if(A5270="""","""",substitute(SUBSTITUTE(index(importhtml(""http://finviz.com/quote.ashx?t=""&amp;A5270,""table"",10),7,2),""*"",""""),""-"",""0.00""))"),"Loading...")</f>
        <v>Loading...</v>
      </c>
      <c r="L5270" s="129">
        <v>4.76587792E8</v>
      </c>
      <c r="M5270" s="99" t="str">
        <f>IFERROR(__xludf.DUMMYFUNCTION("GOOGLEFINANCE(A5270,""beta"")"),"#N/A")</f>
        <v>#N/A</v>
      </c>
    </row>
    <row r="5271">
      <c r="A5271" s="122" t="s">
        <v>11028</v>
      </c>
      <c r="B5271" s="123">
        <v>1868734.0</v>
      </c>
      <c r="C5271" s="124" t="s">
        <v>11029</v>
      </c>
      <c r="D5271" s="125"/>
      <c r="E5271" s="126">
        <v>17.96</v>
      </c>
      <c r="F5271" s="127"/>
      <c r="G5271" s="127"/>
      <c r="H5271" s="127"/>
      <c r="I5271" s="128"/>
      <c r="K5271" s="105" t="str">
        <f>IFERROR(__xludf.DUMMYFUNCTION("if(A5271="""","""",substitute(SUBSTITUTE(index(importhtml(""http://finviz.com/quote.ashx?t=""&amp;A5271,""table"",10),7,2),""*"",""""),""-"",""0.00""))"),"Loading...")</f>
        <v>Loading...</v>
      </c>
      <c r="L5271" s="129" t="e">
        <v>#N/A</v>
      </c>
      <c r="M5271" s="99">
        <v>0.12</v>
      </c>
    </row>
    <row r="5272">
      <c r="A5272" s="122" t="s">
        <v>11030</v>
      </c>
      <c r="B5272" s="123">
        <v>91668.0</v>
      </c>
      <c r="C5272" s="124" t="s">
        <v>11031</v>
      </c>
      <c r="D5272" s="125"/>
      <c r="E5272" s="126">
        <v>17.97</v>
      </c>
      <c r="F5272" s="127"/>
      <c r="G5272" s="127"/>
      <c r="H5272" s="127"/>
      <c r="I5272" s="128"/>
      <c r="K5272" s="105" t="str">
        <f>IFERROR(__xludf.DUMMYFUNCTION("if(A5272="""","""",substitute(SUBSTITUTE(index(importhtml(""http://finviz.com/quote.ashx?t=""&amp;A5272,""table"",10),7,2),""*"",""""),""-"",""0.00""))"),"Loading...")</f>
        <v>Loading...</v>
      </c>
      <c r="L5272" s="129">
        <v>3.7439343E7</v>
      </c>
      <c r="M5272" s="99">
        <v>0.57</v>
      </c>
    </row>
    <row r="5273">
      <c r="A5273" s="122" t="s">
        <v>11032</v>
      </c>
      <c r="B5273" s="123">
        <v>740971.0</v>
      </c>
      <c r="C5273" s="124" t="s">
        <v>11033</v>
      </c>
      <c r="D5273" s="125"/>
      <c r="E5273" s="126">
        <v>17.98</v>
      </c>
      <c r="F5273" s="127"/>
      <c r="G5273" s="127"/>
      <c r="H5273" s="127"/>
      <c r="I5273" s="128"/>
      <c r="K5273" s="105" t="str">
        <f>IFERROR(__xludf.DUMMYFUNCTION("if(A5273="""","""",substitute(SUBSTITUTE(index(importhtml(""http://finviz.com/quote.ashx?t=""&amp;A5273,""table"",10),7,2),""*"",""""),""-"",""0.00""))"),"Loading...")</f>
        <v>Loading...</v>
      </c>
      <c r="L5273" s="129">
        <v>9.0584406E7</v>
      </c>
      <c r="M5273" s="99">
        <v>0.19</v>
      </c>
    </row>
    <row r="5274">
      <c r="A5274" s="122" t="s">
        <v>11034</v>
      </c>
      <c r="B5274" s="123">
        <v>1355444.0</v>
      </c>
      <c r="C5274" s="124" t="s">
        <v>11035</v>
      </c>
      <c r="D5274" s="125"/>
      <c r="E5274" s="126">
        <v>17.99</v>
      </c>
      <c r="F5274" s="127"/>
      <c r="G5274" s="127"/>
      <c r="H5274" s="127"/>
      <c r="I5274" s="128"/>
      <c r="K5274" s="55" t="s">
        <v>3453</v>
      </c>
      <c r="L5274" s="129">
        <v>1.6616034995E10</v>
      </c>
      <c r="M5274" s="99">
        <v>1.63</v>
      </c>
    </row>
    <row r="5275">
      <c r="A5275" s="122" t="s">
        <v>11036</v>
      </c>
      <c r="B5275" s="123">
        <v>1853774.0</v>
      </c>
      <c r="C5275" s="124" t="s">
        <v>11037</v>
      </c>
      <c r="D5275" s="125"/>
      <c r="E5275" s="126">
        <v>18.0</v>
      </c>
      <c r="F5275" s="127"/>
      <c r="G5275" s="127"/>
      <c r="H5275" s="127"/>
      <c r="I5275" s="128"/>
      <c r="K5275" s="105" t="str">
        <f>IFERROR(__xludf.DUMMYFUNCTION("if(A5275="""","""",substitute(SUBSTITUTE(index(importhtml(""http://finviz.com/quote.ashx?t=""&amp;A5275,""table"",10),7,2),""*"",""""),""-"",""0.00""))"),"Loading...")</f>
        <v>Loading...</v>
      </c>
      <c r="L5275" s="129">
        <v>6269392.0</v>
      </c>
      <c r="M5275" s="99" t="str">
        <f>IFERROR(__xludf.DUMMYFUNCTION("GOOGLEFINANCE(A5275,""beta"")"),"#N/A")</f>
        <v>#N/A</v>
      </c>
    </row>
    <row r="5276">
      <c r="A5276" s="122" t="s">
        <v>11038</v>
      </c>
      <c r="B5276" s="123">
        <v>718413.0</v>
      </c>
      <c r="C5276" s="124" t="s">
        <v>11039</v>
      </c>
      <c r="D5276" s="125"/>
      <c r="E5276" s="126">
        <v>18.0</v>
      </c>
      <c r="F5276" s="127"/>
      <c r="G5276" s="127"/>
      <c r="H5276" s="127"/>
      <c r="I5276" s="128"/>
      <c r="K5276" s="105" t="str">
        <f>IFERROR(__xludf.DUMMYFUNCTION("if(A5276="""","""",substitute(SUBSTITUTE(index(importhtml(""http://finviz.com/quote.ashx?t=""&amp;A5276,""table"",10),7,2),""*"",""""),""-"",""0.00""))"),"Loading...")</f>
        <v>Loading...</v>
      </c>
      <c r="L5276" s="129">
        <v>9.8885844E7</v>
      </c>
      <c r="M5276" s="99">
        <v>0.44</v>
      </c>
    </row>
    <row r="5277">
      <c r="A5277" s="122" t="s">
        <v>11040</v>
      </c>
      <c r="B5277" s="123">
        <v>1383149.0</v>
      </c>
      <c r="C5277" s="124" t="s">
        <v>11041</v>
      </c>
      <c r="D5277" s="125"/>
      <c r="E5277" s="126">
        <v>18.0</v>
      </c>
      <c r="F5277" s="127"/>
      <c r="G5277" s="127"/>
      <c r="H5277" s="127"/>
      <c r="I5277" s="128"/>
      <c r="K5277" s="105" t="str">
        <f>IFERROR(__xludf.DUMMYFUNCTION("if(A5277="""","""",substitute(SUBSTITUTE(index(importhtml(""http://finviz.com/quote.ashx?t=""&amp;A5277,""table"",10),7,2),""*"",""""),""-"",""0.00""))"),"Loading...")</f>
        <v>Loading...</v>
      </c>
      <c r="L5277" s="129">
        <v>1.09263295E8</v>
      </c>
      <c r="M5277" s="99" t="str">
        <f>IFERROR(__xludf.DUMMYFUNCTION("GOOGLEFINANCE(A5277,""beta"")"),"#N/A")</f>
        <v>#N/A</v>
      </c>
    </row>
    <row r="5278">
      <c r="A5278" s="122" t="s">
        <v>11042</v>
      </c>
      <c r="B5278" s="123">
        <v>8146.0</v>
      </c>
      <c r="C5278" s="124" t="s">
        <v>11043</v>
      </c>
      <c r="D5278" s="125"/>
      <c r="E5278" s="126">
        <v>18.0</v>
      </c>
      <c r="F5278" s="127"/>
      <c r="G5278" s="127"/>
      <c r="H5278" s="127"/>
      <c r="I5278" s="128"/>
      <c r="K5278" s="105" t="str">
        <f>IFERROR(__xludf.DUMMYFUNCTION("if(A5278="""","""",substitute(SUBSTITUTE(index(importhtml(""http://finviz.com/quote.ashx?t=""&amp;A5278,""table"",10),7,2),""*"",""""),""-"",""0.00""))"),"Loading...")</f>
        <v>Loading...</v>
      </c>
      <c r="L5278" s="129">
        <v>1.33790436E8</v>
      </c>
      <c r="M5278" s="99">
        <v>0.63</v>
      </c>
    </row>
    <row r="5279">
      <c r="A5279" s="122" t="s">
        <v>11044</v>
      </c>
      <c r="B5279" s="123">
        <v>1315399.0</v>
      </c>
      <c r="C5279" s="124" t="s">
        <v>11045</v>
      </c>
      <c r="D5279" s="125"/>
      <c r="E5279" s="126">
        <v>18.0</v>
      </c>
      <c r="F5279" s="127"/>
      <c r="G5279" s="127"/>
      <c r="H5279" s="127"/>
      <c r="I5279" s="128"/>
      <c r="K5279" s="105" t="str">
        <f>IFERROR(__xludf.DUMMYFUNCTION("if(A5279="""","""",substitute(SUBSTITUTE(index(importhtml(""http://finviz.com/quote.ashx?t=""&amp;A5279,""table"",10),7,2),""*"",""""),""-"",""0.00""))"),"Loading...")</f>
        <v>Loading...</v>
      </c>
      <c r="L5279" s="129">
        <v>2.1504006E8</v>
      </c>
      <c r="M5279" s="99">
        <v>0.83</v>
      </c>
    </row>
    <row r="5280">
      <c r="A5280" s="122" t="s">
        <v>11046</v>
      </c>
      <c r="B5280" s="123">
        <v>1792597.0</v>
      </c>
      <c r="C5280" s="124" t="s">
        <v>11047</v>
      </c>
      <c r="D5280" s="125"/>
      <c r="E5280" s="126">
        <v>18.0</v>
      </c>
      <c r="F5280" s="127"/>
      <c r="G5280" s="127"/>
      <c r="H5280" s="127"/>
      <c r="I5280" s="128"/>
      <c r="K5280" s="105" t="str">
        <f>IFERROR(__xludf.DUMMYFUNCTION("if(A5280="""","""",substitute(SUBSTITUTE(index(importhtml(""http://finviz.com/quote.ashx?t=""&amp;A5280,""table"",10),7,2),""*"",""""),""-"",""0.00""))"),"Loading...")</f>
        <v>Loading...</v>
      </c>
      <c r="L5280" s="129" t="e">
        <v>#N/A</v>
      </c>
      <c r="M5280" s="99">
        <v>0.36</v>
      </c>
    </row>
    <row r="5281">
      <c r="A5281" s="122" t="s">
        <v>11048</v>
      </c>
      <c r="B5281" s="123">
        <v>1046568.0</v>
      </c>
      <c r="C5281" s="124" t="s">
        <v>11049</v>
      </c>
      <c r="D5281" s="125"/>
      <c r="E5281" s="126">
        <v>18.01</v>
      </c>
      <c r="F5281" s="127"/>
      <c r="G5281" s="127"/>
      <c r="H5281" s="127"/>
      <c r="I5281" s="128"/>
      <c r="K5281" s="105" t="str">
        <f>IFERROR(__xludf.DUMMYFUNCTION("if(A5281="""","""",substitute(SUBSTITUTE(index(importhtml(""http://finviz.com/quote.ashx?t=""&amp;A5281,""table"",10),7,2),""*"",""""),""-"",""0.00""))"),"Loading...")</f>
        <v>Loading...</v>
      </c>
      <c r="L5281" s="129">
        <v>1.183039994E9</v>
      </c>
      <c r="M5281" s="99">
        <v>1.01</v>
      </c>
    </row>
    <row r="5282">
      <c r="A5282" s="122" t="s">
        <v>11050</v>
      </c>
      <c r="B5282" s="123">
        <v>1070304.0</v>
      </c>
      <c r="C5282" s="124" t="s">
        <v>11051</v>
      </c>
      <c r="D5282" s="125"/>
      <c r="E5282" s="126">
        <v>18.03</v>
      </c>
      <c r="F5282" s="127"/>
      <c r="G5282" s="127"/>
      <c r="H5282" s="127"/>
      <c r="I5282" s="128"/>
      <c r="K5282" s="105" t="str">
        <f>IFERROR(__xludf.DUMMYFUNCTION("if(A5282="""","""",substitute(SUBSTITUTE(index(importhtml(""http://finviz.com/quote.ashx?t=""&amp;A5282,""table"",10),7,2),""*"",""""),""-"",""0.00""))"),"Loading...")</f>
        <v>Loading...</v>
      </c>
      <c r="L5282" s="129">
        <v>2.3150631997E10</v>
      </c>
      <c r="M5282" s="99" t="str">
        <f>IFERROR(__xludf.DUMMYFUNCTION("GOOGLEFINANCE(A5282,""beta"")"),"#N/A")</f>
        <v>#N/A</v>
      </c>
    </row>
    <row r="5283">
      <c r="A5283" s="122" t="s">
        <v>11052</v>
      </c>
      <c r="B5283" s="123">
        <v>1067428.0</v>
      </c>
      <c r="C5283" s="124" t="s">
        <v>11053</v>
      </c>
      <c r="D5283" s="125"/>
      <c r="E5283" s="126">
        <v>18.05</v>
      </c>
      <c r="F5283" s="127"/>
      <c r="G5283" s="127"/>
      <c r="H5283" s="127"/>
      <c r="I5283" s="128"/>
      <c r="K5283" s="138" t="s">
        <v>11054</v>
      </c>
      <c r="L5283" s="129">
        <v>9.045515204E9</v>
      </c>
      <c r="M5283" s="99">
        <f>IFERROR(__xludf.DUMMYFUNCTION("GOOGLEFINANCE(A5283,""beta"")"),0.48)</f>
        <v>0.48</v>
      </c>
    </row>
    <row r="5284">
      <c r="A5284" s="122" t="s">
        <v>11055</v>
      </c>
      <c r="B5284" s="123">
        <v>1129137.0</v>
      </c>
      <c r="C5284" s="124" t="s">
        <v>11056</v>
      </c>
      <c r="D5284" s="125"/>
      <c r="E5284" s="126">
        <v>18.06</v>
      </c>
      <c r="F5284" s="127"/>
      <c r="G5284" s="127"/>
      <c r="H5284" s="127"/>
      <c r="I5284" s="128"/>
      <c r="K5284" s="55" t="s">
        <v>7827</v>
      </c>
      <c r="L5284" s="129">
        <v>5.6285523435E10</v>
      </c>
      <c r="M5284" s="99">
        <v>0.95</v>
      </c>
    </row>
    <row r="5285">
      <c r="A5285" s="122" t="s">
        <v>11057</v>
      </c>
      <c r="B5285" s="123">
        <v>1687187.0</v>
      </c>
      <c r="C5285" s="124" t="s">
        <v>11058</v>
      </c>
      <c r="D5285" s="125"/>
      <c r="E5285" s="126">
        <v>18.07</v>
      </c>
      <c r="F5285" s="127"/>
      <c r="G5285" s="127"/>
      <c r="H5285" s="127"/>
      <c r="I5285" s="128"/>
      <c r="K5285" s="105" t="str">
        <f>IFERROR(__xludf.DUMMYFUNCTION("if(A5285="""","""",substitute(SUBSTITUTE(index(importhtml(""http://finviz.com/quote.ashx?t=""&amp;A5285,""table"",10),7,2),""*"",""""),""-"",""0.00""))"),"Loading...")</f>
        <v>Loading...</v>
      </c>
      <c r="L5285" s="129">
        <v>8.99602285E8</v>
      </c>
      <c r="M5285" s="99" t="str">
        <f>IFERROR(__xludf.DUMMYFUNCTION("GOOGLEFINANCE(A5285,""beta"")"),"#N/A")</f>
        <v>#N/A</v>
      </c>
    </row>
    <row r="5286">
      <c r="A5286" s="122" t="s">
        <v>11059</v>
      </c>
      <c r="B5286" s="123">
        <v>1769725.0</v>
      </c>
      <c r="C5286" s="124" t="s">
        <v>11060</v>
      </c>
      <c r="D5286" s="125"/>
      <c r="E5286" s="126">
        <v>18.1</v>
      </c>
      <c r="F5286" s="127"/>
      <c r="G5286" s="127"/>
      <c r="H5286" s="127"/>
      <c r="I5286" s="128"/>
      <c r="K5286" s="105" t="str">
        <f>IFERROR(__xludf.DUMMYFUNCTION("if(A5286="""","""",substitute(SUBSTITUTE(index(importhtml(""http://finviz.com/quote.ashx?t=""&amp;A5286,""table"",10),7,2),""*"",""""),""-"",""0.00""))"),"#N/A")</f>
        <v>#N/A</v>
      </c>
      <c r="L5286" s="129">
        <v>1.85729E7</v>
      </c>
      <c r="M5286" s="99">
        <v>0.49</v>
      </c>
    </row>
    <row r="5287">
      <c r="A5287" s="122" t="s">
        <v>11061</v>
      </c>
      <c r="B5287" s="123">
        <v>798081.0</v>
      </c>
      <c r="C5287" s="124" t="s">
        <v>11062</v>
      </c>
      <c r="D5287" s="125"/>
      <c r="E5287" s="126">
        <v>18.1</v>
      </c>
      <c r="F5287" s="127"/>
      <c r="G5287" s="127"/>
      <c r="H5287" s="127"/>
      <c r="I5287" s="128"/>
      <c r="K5287" s="105" t="str">
        <f>IFERROR(__xludf.DUMMYFUNCTION("if(A5287="""","""",substitute(SUBSTITUTE(index(importhtml(""http://finviz.com/quote.ashx?t=""&amp;A5287,""table"",10),7,2),""*"",""""),""-"",""0.00""))"),"Loading...")</f>
        <v>Loading...</v>
      </c>
      <c r="L5287" s="129">
        <v>1.33302104E8</v>
      </c>
      <c r="M5287" s="99">
        <v>0.48</v>
      </c>
    </row>
    <row r="5288">
      <c r="A5288" s="122" t="s">
        <v>11063</v>
      </c>
      <c r="B5288" s="123">
        <v>1514991.0</v>
      </c>
      <c r="C5288" s="124" t="s">
        <v>11064</v>
      </c>
      <c r="D5288" s="125"/>
      <c r="E5288" s="126">
        <v>18.1</v>
      </c>
      <c r="F5288" s="127"/>
      <c r="G5288" s="127"/>
      <c r="H5288" s="127"/>
      <c r="I5288" s="128"/>
      <c r="K5288" s="105" t="str">
        <f>IFERROR(__xludf.DUMMYFUNCTION("if(A5288="""","""",substitute(SUBSTITUTE(index(importhtml(""http://finviz.com/quote.ashx?t=""&amp;A5288,""table"",10),7,2),""*"",""""),""-"",""0.00""))"),"Loading...")</f>
        <v>Loading...</v>
      </c>
      <c r="L5288" s="129">
        <v>7.88389318E8</v>
      </c>
      <c r="M5288" s="99">
        <v>1.29</v>
      </c>
    </row>
    <row r="5289">
      <c r="A5289" s="122" t="s">
        <v>11065</v>
      </c>
      <c r="B5289" s="123">
        <v>1553915.0</v>
      </c>
      <c r="C5289" s="124" t="s">
        <v>11066</v>
      </c>
      <c r="D5289" s="125"/>
      <c r="E5289" s="126">
        <v>18.11</v>
      </c>
      <c r="F5289" s="127"/>
      <c r="G5289" s="127"/>
      <c r="H5289" s="127"/>
      <c r="I5289" s="128"/>
      <c r="K5289" s="105" t="str">
        <f>IFERROR(__xludf.DUMMYFUNCTION("if(A5289="""","""",substitute(SUBSTITUTE(index(importhtml(""http://finviz.com/quote.ashx?t=""&amp;A5289,""table"",10),7,2),""*"",""""),""-"",""0.00""))"),"Loading...")</f>
        <v>Loading...</v>
      </c>
      <c r="L5289" s="129">
        <v>4.9024255384E10</v>
      </c>
      <c r="M5289" s="99">
        <v>0.35</v>
      </c>
    </row>
    <row r="5290">
      <c r="A5290" s="122" t="s">
        <v>11067</v>
      </c>
      <c r="B5290" s="123">
        <v>72333.0</v>
      </c>
      <c r="C5290" s="124" t="s">
        <v>11068</v>
      </c>
      <c r="D5290" s="125"/>
      <c r="E5290" s="126">
        <v>18.12</v>
      </c>
      <c r="F5290" s="127"/>
      <c r="G5290" s="127"/>
      <c r="H5290" s="127"/>
      <c r="I5290" s="128"/>
      <c r="K5290" s="105" t="str">
        <f>IFERROR(__xludf.DUMMYFUNCTION("if(A5290="""","""",substitute(SUBSTITUTE(index(importhtml(""http://finviz.com/quote.ashx?t=""&amp;A5290,""table"",10),7,2),""*"",""""),""-"",""0.00""))"),"Loading...")</f>
        <v>Loading...</v>
      </c>
      <c r="L5290" s="129">
        <v>2.941470472E9</v>
      </c>
      <c r="M5290" s="99">
        <v>2.58</v>
      </c>
    </row>
    <row r="5291">
      <c r="A5291" s="122" t="s">
        <v>11069</v>
      </c>
      <c r="B5291" s="123">
        <v>1828588.0</v>
      </c>
      <c r="C5291" s="124" t="s">
        <v>11070</v>
      </c>
      <c r="D5291" s="125"/>
      <c r="E5291" s="126">
        <v>18.13</v>
      </c>
      <c r="F5291" s="127"/>
      <c r="G5291" s="127"/>
      <c r="H5291" s="127"/>
      <c r="I5291" s="128"/>
      <c r="K5291" s="105" t="str">
        <f>IFERROR(__xludf.DUMMYFUNCTION("if(A5291="""","""",substitute(SUBSTITUTE(index(importhtml(""http://finviz.com/quote.ashx?t=""&amp;A5291,""table"",10),7,2),""*"",""""),""-"",""0.00""))"),"Loading...")</f>
        <v>Loading...</v>
      </c>
      <c r="L5291" s="129">
        <v>1.33165043E8</v>
      </c>
      <c r="M5291" s="99">
        <f>IFERROR(__xludf.DUMMYFUNCTION("GOOGLEFINANCE(A5291,""beta"")"),0.07)</f>
        <v>0.07</v>
      </c>
    </row>
    <row r="5292">
      <c r="A5292" s="122" t="s">
        <v>11071</v>
      </c>
      <c r="B5292" s="123">
        <v>1021561.0</v>
      </c>
      <c r="C5292" s="124" t="s">
        <v>11072</v>
      </c>
      <c r="D5292" s="125"/>
      <c r="E5292" s="126">
        <v>18.16</v>
      </c>
      <c r="F5292" s="127"/>
      <c r="G5292" s="127"/>
      <c r="H5292" s="127"/>
      <c r="I5292" s="128"/>
      <c r="K5292" s="105" t="str">
        <f>IFERROR(__xludf.DUMMYFUNCTION("if(A5292="""","""",substitute(SUBSTITUTE(index(importhtml(""http://finviz.com/quote.ashx?t=""&amp;A5292,""table"",10),7,2),""*"",""""),""-"",""0.00""))"),"Loading...")</f>
        <v>Loading...</v>
      </c>
      <c r="L5292" s="129">
        <v>8.97272154E8</v>
      </c>
      <c r="M5292" s="99">
        <v>1.17</v>
      </c>
    </row>
    <row r="5293">
      <c r="A5293" s="122" t="s">
        <v>11073</v>
      </c>
      <c r="B5293" s="123">
        <v>1166928.0</v>
      </c>
      <c r="C5293" s="124" t="s">
        <v>11074</v>
      </c>
      <c r="D5293" s="125"/>
      <c r="E5293" s="126">
        <v>18.17</v>
      </c>
      <c r="F5293" s="127"/>
      <c r="G5293" s="127"/>
      <c r="H5293" s="127"/>
      <c r="I5293" s="128"/>
      <c r="K5293" s="105" t="str">
        <f>IFERROR(__xludf.DUMMYFUNCTION("if(A5293="""","""",substitute(SUBSTITUTE(index(importhtml(""http://finviz.com/quote.ashx?t=""&amp;A5293,""table"",10),7,2),""*"",""""),""-"",""0.00""))"),"Loading...")</f>
        <v>Loading...</v>
      </c>
      <c r="L5293" s="129">
        <v>3.03894886E8</v>
      </c>
      <c r="M5293" s="99">
        <v>0.94</v>
      </c>
    </row>
    <row r="5294">
      <c r="A5294" s="122" t="s">
        <v>11075</v>
      </c>
      <c r="B5294" s="123">
        <v>1798100.0</v>
      </c>
      <c r="C5294" s="124" t="s">
        <v>11076</v>
      </c>
      <c r="D5294" s="125"/>
      <c r="E5294" s="126">
        <v>18.17</v>
      </c>
      <c r="F5294" s="127"/>
      <c r="G5294" s="127"/>
      <c r="H5294" s="127"/>
      <c r="I5294" s="128"/>
      <c r="K5294" s="105" t="str">
        <f>IFERROR(__xludf.DUMMYFUNCTION("if(A5294="""","""",substitute(SUBSTITUTE(index(importhtml(""http://finviz.com/quote.ashx?t=""&amp;A5294,""table"",10),7,2),""*"",""""),""-"",""0.00""))"),"Loading...")</f>
        <v>Loading...</v>
      </c>
      <c r="L5294" s="129">
        <v>1.448898155E9</v>
      </c>
      <c r="M5294" s="99">
        <v>1.01</v>
      </c>
    </row>
    <row r="5295">
      <c r="A5295" s="122" t="s">
        <v>11077</v>
      </c>
      <c r="B5295" s="123">
        <v>849399.0</v>
      </c>
      <c r="C5295" s="124" t="s">
        <v>11078</v>
      </c>
      <c r="D5295" s="125"/>
      <c r="E5295" s="126">
        <v>18.18</v>
      </c>
      <c r="F5295" s="127"/>
      <c r="G5295" s="127"/>
      <c r="H5295" s="127"/>
      <c r="I5295" s="128"/>
      <c r="K5295" s="105" t="str">
        <f>IFERROR(__xludf.DUMMYFUNCTION("if(A5295="""","""",substitute(SUBSTITUTE(index(importhtml(""http://finviz.com/quote.ashx?t=""&amp;A5295,""table"",10),7,2),""*"",""""),""-"",""0.00""))"),"Loading...")</f>
        <v>Loading...</v>
      </c>
      <c r="L5295" s="129">
        <v>1.3602385525E10</v>
      </c>
      <c r="M5295" s="99" t="str">
        <f>IFERROR(__xludf.DUMMYFUNCTION("GOOGLEFINANCE(A5295,""beta"")"),"#N/A")</f>
        <v>#N/A</v>
      </c>
    </row>
    <row r="5296">
      <c r="A5296" s="122" t="s">
        <v>11079</v>
      </c>
      <c r="B5296" s="123">
        <v>1651717.0</v>
      </c>
      <c r="C5296" s="124" t="s">
        <v>11080</v>
      </c>
      <c r="D5296" s="125"/>
      <c r="E5296" s="126">
        <v>18.19</v>
      </c>
      <c r="F5296" s="127"/>
      <c r="G5296" s="127"/>
      <c r="H5296" s="127"/>
      <c r="I5296" s="128"/>
      <c r="K5296" s="105" t="str">
        <f>IFERROR(__xludf.DUMMYFUNCTION("if(A5296="""","""",substitute(SUBSTITUTE(index(importhtml(""http://finviz.com/quote.ashx?t=""&amp;A5296,""table"",10),7,2),""*"",""""),""-"",""0.00""))"),"Loading...")</f>
        <v>Loading...</v>
      </c>
      <c r="L5296" s="129">
        <v>3.17348752E9</v>
      </c>
      <c r="M5296" s="99">
        <v>0.76</v>
      </c>
    </row>
    <row r="5297">
      <c r="A5297" s="122" t="s">
        <v>11081</v>
      </c>
      <c r="B5297" s="123">
        <v>1507605.0</v>
      </c>
      <c r="C5297" s="124" t="s">
        <v>11082</v>
      </c>
      <c r="D5297" s="125"/>
      <c r="E5297" s="126">
        <v>18.2</v>
      </c>
      <c r="F5297" s="127"/>
      <c r="G5297" s="127"/>
      <c r="H5297" s="127"/>
      <c r="I5297" s="128"/>
      <c r="K5297" s="105" t="str">
        <f>IFERROR(__xludf.DUMMYFUNCTION("if(A5297="""","""",substitute(SUBSTITUTE(index(importhtml(""http://finviz.com/quote.ashx?t=""&amp;A5297,""table"",10),7,2),""*"",""""),""-"",""0.00""))"),"Loading...")</f>
        <v>Loading...</v>
      </c>
      <c r="L5297" s="129">
        <v>4.051775169E9</v>
      </c>
      <c r="M5297" s="99">
        <v>5.46</v>
      </c>
    </row>
    <row r="5298">
      <c r="A5298" s="122" t="s">
        <v>11083</v>
      </c>
      <c r="B5298" s="123">
        <v>1745431.0</v>
      </c>
      <c r="C5298" s="124" t="s">
        <v>11084</v>
      </c>
      <c r="D5298" s="125"/>
      <c r="E5298" s="126">
        <v>18.21</v>
      </c>
      <c r="F5298" s="127"/>
      <c r="G5298" s="127"/>
      <c r="H5298" s="127"/>
      <c r="I5298" s="128"/>
      <c r="K5298" s="105" t="str">
        <f>IFERROR(__xludf.DUMMYFUNCTION("if(A5298="""","""",substitute(SUBSTITUTE(index(importhtml(""http://finviz.com/quote.ashx?t=""&amp;A5298,""table"",10),7,2),""*"",""""),""-"",""0.00""))"),"Loading...")</f>
        <v>Loading...</v>
      </c>
      <c r="L5298" s="129">
        <v>5.702351953E9</v>
      </c>
      <c r="M5298" s="99">
        <v>2.43</v>
      </c>
    </row>
    <row r="5299">
      <c r="A5299" s="122" t="s">
        <v>11085</v>
      </c>
      <c r="B5299" s="123">
        <v>932781.0</v>
      </c>
      <c r="C5299" s="124" t="s">
        <v>11086</v>
      </c>
      <c r="D5299" s="125"/>
      <c r="E5299" s="126">
        <v>18.24</v>
      </c>
      <c r="F5299" s="127"/>
      <c r="G5299" s="127"/>
      <c r="H5299" s="127"/>
      <c r="I5299" s="128"/>
      <c r="K5299" s="105" t="str">
        <f>IFERROR(__xludf.DUMMYFUNCTION("if(A5299="""","""",substitute(SUBSTITUTE(index(importhtml(""http://finviz.com/quote.ashx?t=""&amp;A5299,""table"",10),7,2),""*"",""""),""-"",""0.00""))"),"Loading...")</f>
        <v>Loading...</v>
      </c>
      <c r="L5299" s="129">
        <v>1.38736539E8</v>
      </c>
      <c r="M5299" s="99">
        <v>0.45</v>
      </c>
    </row>
    <row r="5300">
      <c r="A5300" s="122" t="s">
        <v>11087</v>
      </c>
      <c r="B5300" s="123">
        <v>1043337.0</v>
      </c>
      <c r="C5300" s="124" t="s">
        <v>11088</v>
      </c>
      <c r="D5300" s="125"/>
      <c r="E5300" s="126">
        <v>18.24</v>
      </c>
      <c r="F5300" s="127"/>
      <c r="G5300" s="127"/>
      <c r="H5300" s="127"/>
      <c r="I5300" s="128"/>
      <c r="K5300" s="105" t="str">
        <f>IFERROR(__xludf.DUMMYFUNCTION("if(A5300="""","""",substitute(SUBSTITUTE(index(importhtml(""http://finviz.com/quote.ashx?t=""&amp;A5300,""table"",10),7,2),""*"",""""),""-"",""0.00""))"),"Loading...")</f>
        <v>Loading...</v>
      </c>
      <c r="L5300" s="129">
        <v>5.02474966E8</v>
      </c>
      <c r="M5300" s="99">
        <v>1.41</v>
      </c>
    </row>
    <row r="5301">
      <c r="A5301" s="122" t="s">
        <v>11089</v>
      </c>
      <c r="B5301" s="123">
        <v>1166362.0</v>
      </c>
      <c r="C5301" s="124" t="s">
        <v>11090</v>
      </c>
      <c r="D5301" s="125"/>
      <c r="E5301" s="126">
        <v>18.25</v>
      </c>
      <c r="F5301" s="127"/>
      <c r="G5301" s="127"/>
      <c r="H5301" s="127"/>
      <c r="I5301" s="128"/>
      <c r="K5301" s="105" t="str">
        <f>IFERROR(__xludf.DUMMYFUNCTION("if(A5301="""","""",substitute(SUBSTITUTE(index(importhtml(""http://finviz.com/quote.ashx?t=""&amp;A5301,""table"",10),7,2),""*"",""""),""-"",""0.00""))"),"Loading...")</f>
        <v>Loading...</v>
      </c>
      <c r="L5301" s="129">
        <v>3.915886E7</v>
      </c>
      <c r="M5301" s="99">
        <v>0.51</v>
      </c>
    </row>
    <row r="5302">
      <c r="A5302" s="122" t="s">
        <v>11091</v>
      </c>
      <c r="B5302" s="123">
        <v>1770450.0</v>
      </c>
      <c r="C5302" s="124" t="s">
        <v>11092</v>
      </c>
      <c r="D5302" s="125"/>
      <c r="E5302" s="126">
        <v>18.25</v>
      </c>
      <c r="F5302" s="127"/>
      <c r="G5302" s="127"/>
      <c r="H5302" s="127"/>
      <c r="I5302" s="128"/>
      <c r="K5302" s="105" t="str">
        <f>IFERROR(__xludf.DUMMYFUNCTION("if(A5302="""","""",substitute(SUBSTITUTE(index(importhtml(""http://finviz.com/quote.ashx?t=""&amp;A5302,""table"",10),7,2),""*"",""""),""-"",""0.00""))"),"Loading...")</f>
        <v>Loading...</v>
      </c>
      <c r="L5302" s="129">
        <v>2.243032675E9</v>
      </c>
      <c r="M5302" s="99">
        <v>1.58</v>
      </c>
    </row>
    <row r="5303">
      <c r="A5303" s="122" t="s">
        <v>11093</v>
      </c>
      <c r="B5303" s="123">
        <v>1412100.0</v>
      </c>
      <c r="C5303" s="124" t="s">
        <v>11094</v>
      </c>
      <c r="D5303" s="125"/>
      <c r="E5303" s="126">
        <v>18.26</v>
      </c>
      <c r="F5303" s="127"/>
      <c r="G5303" s="127"/>
      <c r="H5303" s="127"/>
      <c r="I5303" s="128"/>
      <c r="K5303" s="105" t="str">
        <f>IFERROR(__xludf.DUMMYFUNCTION("if(A5303="""","""",substitute(SUBSTITUTE(index(importhtml(""http://finviz.com/quote.ashx?t=""&amp;A5303,""table"",10),7,2),""*"",""""),""-"",""0.00""))"),"Loading...")</f>
        <v>Loading...</v>
      </c>
      <c r="L5303" s="129" t="e">
        <v>#N/A</v>
      </c>
      <c r="M5303" s="99">
        <v>0.5</v>
      </c>
    </row>
    <row r="5304">
      <c r="A5304" s="122" t="s">
        <v>11095</v>
      </c>
      <c r="B5304" s="123">
        <v>275694.0</v>
      </c>
      <c r="C5304" s="124" t="s">
        <v>11096</v>
      </c>
      <c r="D5304" s="125"/>
      <c r="E5304" s="126">
        <v>18.27</v>
      </c>
      <c r="F5304" s="127"/>
      <c r="G5304" s="127"/>
      <c r="H5304" s="127"/>
      <c r="I5304" s="128"/>
      <c r="K5304" s="105" t="str">
        <f>IFERROR(__xludf.DUMMYFUNCTION("if(A5304="""","""",substitute(SUBSTITUTE(index(importhtml(""http://finviz.com/quote.ashx?t=""&amp;A5304,""table"",10),7,2),""*"",""""),""-"",""0.00""))"),"Loading...")</f>
        <v>Loading...</v>
      </c>
      <c r="L5304" s="129" t="e">
        <v>#N/A</v>
      </c>
      <c r="M5304" s="99">
        <v>0.72</v>
      </c>
    </row>
    <row r="5305">
      <c r="A5305" s="122" t="s">
        <v>11097</v>
      </c>
      <c r="B5305" s="123">
        <v>1281761.0</v>
      </c>
      <c r="C5305" s="124" t="s">
        <v>11098</v>
      </c>
      <c r="D5305" s="125"/>
      <c r="E5305" s="126">
        <v>18.3</v>
      </c>
      <c r="F5305" s="127"/>
      <c r="G5305" s="127"/>
      <c r="H5305" s="127"/>
      <c r="I5305" s="128"/>
      <c r="K5305" s="55" t="s">
        <v>11099</v>
      </c>
      <c r="L5305" s="129">
        <v>1.6909199295E10</v>
      </c>
      <c r="M5305" s="99">
        <v>1.21</v>
      </c>
    </row>
    <row r="5306">
      <c r="A5306" s="122" t="s">
        <v>11100</v>
      </c>
      <c r="B5306" s="123">
        <v>1127371.0</v>
      </c>
      <c r="C5306" s="124" t="s">
        <v>11101</v>
      </c>
      <c r="D5306" s="125"/>
      <c r="E5306" s="126">
        <v>18.3</v>
      </c>
      <c r="F5306" s="127"/>
      <c r="G5306" s="127"/>
      <c r="H5306" s="127"/>
      <c r="I5306" s="128"/>
      <c r="K5306" s="105" t="str">
        <f>IFERROR(__xludf.DUMMYFUNCTION("if(A5306="""","""",substitute(SUBSTITUTE(index(importhtml(""http://finviz.com/quote.ashx?t=""&amp;A5306,""table"",10),7,2),""*"",""""),""-"",""0.00""))"),"Loading...")</f>
        <v>Loading...</v>
      </c>
      <c r="L5306" s="129">
        <v>2.16270122E8</v>
      </c>
      <c r="M5306" s="99">
        <v>0.86</v>
      </c>
    </row>
    <row r="5307">
      <c r="A5307" s="122" t="s">
        <v>11102</v>
      </c>
      <c r="B5307" s="123">
        <v>1709164.0</v>
      </c>
      <c r="C5307" s="124" t="s">
        <v>11103</v>
      </c>
      <c r="D5307" s="125"/>
      <c r="E5307" s="126">
        <v>18.3</v>
      </c>
      <c r="F5307" s="127"/>
      <c r="G5307" s="127"/>
      <c r="H5307" s="127"/>
      <c r="I5307" s="128"/>
      <c r="K5307" s="105" t="str">
        <f>IFERROR(__xludf.DUMMYFUNCTION("if(A5307="""","""",substitute(SUBSTITUTE(index(importhtml(""http://finviz.com/quote.ashx?t=""&amp;A5307,""table"",10),7,2),""*"",""""),""-"",""0.00""))"),"Loading...")</f>
        <v>Loading...</v>
      </c>
      <c r="L5307" s="129">
        <v>2.56074817E8</v>
      </c>
      <c r="M5307" s="99">
        <v>0.86</v>
      </c>
    </row>
    <row r="5308">
      <c r="A5308" s="122" t="s">
        <v>11104</v>
      </c>
      <c r="B5308" s="123">
        <v>1657312.0</v>
      </c>
      <c r="C5308" s="124" t="s">
        <v>11105</v>
      </c>
      <c r="D5308" s="125"/>
      <c r="E5308" s="126">
        <v>18.31</v>
      </c>
      <c r="F5308" s="127"/>
      <c r="G5308" s="127"/>
      <c r="H5308" s="127"/>
      <c r="I5308" s="128"/>
      <c r="K5308" s="105" t="str">
        <f>IFERROR(__xludf.DUMMYFUNCTION("if(A5308="""","""",substitute(SUBSTITUTE(index(importhtml(""http://finviz.com/quote.ashx?t=""&amp;A5308,""table"",10),7,2),""*"",""""),""-"",""0.00""))"),"Loading...")</f>
        <v>Loading...</v>
      </c>
      <c r="L5308" s="129">
        <v>1.46370154E9</v>
      </c>
      <c r="M5308" s="99">
        <v>0.44</v>
      </c>
    </row>
    <row r="5309">
      <c r="A5309" s="122" t="s">
        <v>11106</v>
      </c>
      <c r="B5309" s="123">
        <v>765880.0</v>
      </c>
      <c r="C5309" s="124" t="s">
        <v>11107</v>
      </c>
      <c r="D5309" s="125"/>
      <c r="E5309" s="126">
        <v>18.31</v>
      </c>
      <c r="F5309" s="127"/>
      <c r="G5309" s="127"/>
      <c r="H5309" s="127"/>
      <c r="I5309" s="128"/>
      <c r="K5309" s="105" t="str">
        <f>IFERROR(__xludf.DUMMYFUNCTION("if(A5309="""","""",substitute(SUBSTITUTE(index(importhtml(""http://finviz.com/quote.ashx?t=""&amp;A5309,""table"",10),7,2),""*"",""""),""-"",""0.00""))"),"Loading...")</f>
        <v>Loading...</v>
      </c>
      <c r="L5309" s="129">
        <v>1.0018459025E10</v>
      </c>
      <c r="M5309" s="99">
        <v>1.04</v>
      </c>
    </row>
    <row r="5310">
      <c r="A5310" s="122" t="s">
        <v>11108</v>
      </c>
      <c r="B5310" s="123">
        <v>1421461.0</v>
      </c>
      <c r="C5310" s="124" t="s">
        <v>11109</v>
      </c>
      <c r="D5310" s="125"/>
      <c r="E5310" s="126">
        <v>18.34</v>
      </c>
      <c r="F5310" s="127"/>
      <c r="G5310" s="127"/>
      <c r="H5310" s="127"/>
      <c r="I5310" s="128"/>
      <c r="K5310" s="105" t="str">
        <f>IFERROR(__xludf.DUMMYFUNCTION("if(A5310="""","""",substitute(SUBSTITUTE(index(importhtml(""http://finviz.com/quote.ashx?t=""&amp;A5310,""table"",10),7,2),""*"",""""),""-"",""0.00""))"),"Loading...")</f>
        <v>Loading...</v>
      </c>
      <c r="L5310" s="129">
        <v>2.41292229E8</v>
      </c>
      <c r="M5310" s="99">
        <v>2.2</v>
      </c>
    </row>
    <row r="5311">
      <c r="A5311" s="122" t="s">
        <v>11110</v>
      </c>
      <c r="B5311" s="123">
        <v>1392326.0</v>
      </c>
      <c r="C5311" s="124" t="s">
        <v>11111</v>
      </c>
      <c r="D5311" s="125"/>
      <c r="E5311" s="126">
        <v>18.35</v>
      </c>
      <c r="F5311" s="127"/>
      <c r="G5311" s="127"/>
      <c r="H5311" s="127"/>
      <c r="I5311" s="128"/>
      <c r="K5311" s="105" t="str">
        <f>IFERROR(__xludf.DUMMYFUNCTION("if(A5311="""","""",substitute(SUBSTITUTE(index(importhtml(""http://finviz.com/quote.ashx?t=""&amp;A5311,""table"",10),7,2),""*"",""""),""-"",""0.00""))"),"Loading...")</f>
        <v>Loading...</v>
      </c>
      <c r="L5311" s="129">
        <v>1.009692985E9</v>
      </c>
      <c r="M5311" s="99">
        <v>0.87</v>
      </c>
    </row>
    <row r="5312">
      <c r="A5312" s="122" t="s">
        <v>11112</v>
      </c>
      <c r="B5312" s="123">
        <v>1730430.0</v>
      </c>
      <c r="C5312" s="124" t="s">
        <v>11113</v>
      </c>
      <c r="D5312" s="125"/>
      <c r="E5312" s="126">
        <v>18.38</v>
      </c>
      <c r="F5312" s="127"/>
      <c r="G5312" s="127"/>
      <c r="H5312" s="127"/>
      <c r="I5312" s="128"/>
      <c r="K5312" s="105" t="str">
        <f>IFERROR(__xludf.DUMMYFUNCTION("if(A5312="""","""",substitute(SUBSTITUTE(index(importhtml(""http://finviz.com/quote.ashx?t=""&amp;A5312,""table"",10),7,2),""*"",""""),""-"",""0.00""))"),"Loading...")</f>
        <v>Loading...</v>
      </c>
      <c r="L5312" s="129">
        <v>1.292818446E9</v>
      </c>
      <c r="M5312" s="99">
        <v>0.24</v>
      </c>
    </row>
    <row r="5313">
      <c r="A5313" s="122" t="s">
        <v>11114</v>
      </c>
      <c r="B5313" s="123">
        <v>813762.0</v>
      </c>
      <c r="C5313" s="124" t="s">
        <v>11115</v>
      </c>
      <c r="D5313" s="125"/>
      <c r="E5313" s="126">
        <v>18.39</v>
      </c>
      <c r="F5313" s="127"/>
      <c r="G5313" s="127"/>
      <c r="H5313" s="127"/>
      <c r="I5313" s="128"/>
      <c r="K5313" s="105" t="str">
        <f>IFERROR(__xludf.DUMMYFUNCTION("if(A5313="""","""",substitute(SUBSTITUTE(index(importhtml(""http://finviz.com/quote.ashx?t=""&amp;A5313,""table"",10),7,2),""*"",""""),""-"",""0.00""))"),"Loading...")</f>
        <v>Loading...</v>
      </c>
      <c r="L5313" s="129">
        <v>7.55466508E9</v>
      </c>
      <c r="M5313" s="99">
        <v>0.92</v>
      </c>
    </row>
    <row r="5314">
      <c r="A5314" s="122" t="s">
        <v>11116</v>
      </c>
      <c r="B5314" s="123">
        <v>90498.0</v>
      </c>
      <c r="C5314" s="124" t="s">
        <v>11117</v>
      </c>
      <c r="D5314" s="125"/>
      <c r="E5314" s="126">
        <v>18.41</v>
      </c>
      <c r="F5314" s="127"/>
      <c r="G5314" s="127"/>
      <c r="H5314" s="127"/>
      <c r="I5314" s="128"/>
      <c r="K5314" s="105" t="str">
        <f>IFERROR(__xludf.DUMMYFUNCTION("if(A5314="""","""",substitute(SUBSTITUTE(index(importhtml(""http://finviz.com/quote.ashx?t=""&amp;A5314,""table"",10),7,2),""*"",""""),""-"",""0.00""))"),"Loading...")</f>
        <v>Loading...</v>
      </c>
      <c r="L5314" s="129">
        <v>2.304639261E9</v>
      </c>
      <c r="M5314" s="99">
        <v>0.89</v>
      </c>
    </row>
    <row r="5315">
      <c r="A5315" s="122" t="s">
        <v>11118</v>
      </c>
      <c r="B5315" s="123">
        <v>821130.0</v>
      </c>
      <c r="C5315" s="124" t="s">
        <v>11119</v>
      </c>
      <c r="D5315" s="125"/>
      <c r="E5315" s="126">
        <v>18.43</v>
      </c>
      <c r="F5315" s="127"/>
      <c r="G5315" s="127"/>
      <c r="H5315" s="127"/>
      <c r="I5315" s="128"/>
      <c r="K5315" s="105" t="str">
        <f>IFERROR(__xludf.DUMMYFUNCTION("if(A5315="""","""",substitute(SUBSTITUTE(index(importhtml(""http://finviz.com/quote.ashx?t=""&amp;A5315,""table"",10),7,2),""*"",""""),""-"",""0.00""))"),"Loading...")</f>
        <v>Loading...</v>
      </c>
      <c r="L5315" s="129">
        <v>3.728100051E9</v>
      </c>
      <c r="M5315" s="99">
        <f>IFERROR(__xludf.DUMMYFUNCTION("GOOGLEFINANCE(A5315,""beta"")"),0.86)</f>
        <v>0.86</v>
      </c>
    </row>
    <row r="5316">
      <c r="A5316" s="122" t="s">
        <v>11120</v>
      </c>
      <c r="B5316" s="123">
        <v>1291334.0</v>
      </c>
      <c r="C5316" s="124" t="s">
        <v>11121</v>
      </c>
      <c r="D5316" s="125"/>
      <c r="E5316" s="126">
        <v>18.44</v>
      </c>
      <c r="F5316" s="127"/>
      <c r="G5316" s="127"/>
      <c r="H5316" s="127"/>
      <c r="I5316" s="128"/>
      <c r="K5316" s="55" t="s">
        <v>11122</v>
      </c>
      <c r="L5316" s="129">
        <v>3.68580205E8</v>
      </c>
      <c r="M5316" s="99">
        <v>1.0</v>
      </c>
    </row>
    <row r="5317">
      <c r="A5317" s="122" t="s">
        <v>11123</v>
      </c>
      <c r="B5317" s="123">
        <v>357294.0</v>
      </c>
      <c r="C5317" s="124" t="s">
        <v>11124</v>
      </c>
      <c r="D5317" s="125"/>
      <c r="E5317" s="126">
        <v>18.45</v>
      </c>
      <c r="F5317" s="127"/>
      <c r="G5317" s="127"/>
      <c r="H5317" s="127"/>
      <c r="I5317" s="128"/>
      <c r="K5317" s="105" t="str">
        <f>IFERROR(__xludf.DUMMYFUNCTION("if(A5317="""","""",substitute(SUBSTITUTE(index(importhtml(""http://finviz.com/quote.ashx?t=""&amp;A5317,""table"",10),7,2),""*"",""""),""-"",""0.00""))"),"Loading...")</f>
        <v>Loading...</v>
      </c>
      <c r="L5317" s="129">
        <v>1.045397069E9</v>
      </c>
      <c r="M5317" s="99">
        <v>0.87</v>
      </c>
    </row>
    <row r="5318">
      <c r="A5318" s="122" t="s">
        <v>11125</v>
      </c>
      <c r="B5318" s="123">
        <v>1840439.0</v>
      </c>
      <c r="C5318" s="124" t="s">
        <v>11126</v>
      </c>
      <c r="D5318" s="125"/>
      <c r="E5318" s="126">
        <v>18.47</v>
      </c>
      <c r="F5318" s="127"/>
      <c r="G5318" s="127"/>
      <c r="H5318" s="127"/>
      <c r="I5318" s="128"/>
      <c r="K5318" s="105" t="str">
        <f>IFERROR(__xludf.DUMMYFUNCTION("if(A5318="""","""",substitute(SUBSTITUTE(index(importhtml(""http://finviz.com/quote.ashx?t=""&amp;A5318,""table"",10),7,2),""*"",""""),""-"",""0.00""))"),"Loading...")</f>
        <v>Loading...</v>
      </c>
      <c r="L5318" s="129">
        <v>6.59485732E8</v>
      </c>
      <c r="M5318" s="99">
        <f>IFERROR(__xludf.DUMMYFUNCTION("GOOGLEFINANCE(A5318,""beta"")"),-0.16)</f>
        <v>-0.16</v>
      </c>
    </row>
    <row r="5319">
      <c r="A5319" s="122" t="s">
        <v>11127</v>
      </c>
      <c r="B5319" s="123">
        <v>948320.0</v>
      </c>
      <c r="C5319" s="124" t="s">
        <v>11128</v>
      </c>
      <c r="D5319" s="125"/>
      <c r="E5319" s="126">
        <v>18.48</v>
      </c>
      <c r="F5319" s="127"/>
      <c r="G5319" s="127"/>
      <c r="H5319" s="127"/>
      <c r="I5319" s="128"/>
      <c r="K5319" s="105" t="str">
        <f>IFERROR(__xludf.DUMMYFUNCTION("if(A5319="""","""",substitute(SUBSTITUTE(index(importhtml(""http://finviz.com/quote.ashx?t=""&amp;A5319,""table"",10),7,2),""*"",""""),""-"",""0.00""))"),"Loading...")</f>
        <v>Loading...</v>
      </c>
      <c r="L5319" s="129">
        <v>2.16099431E8</v>
      </c>
      <c r="M5319" s="99">
        <f>IFERROR(__xludf.DUMMYFUNCTION("GOOGLEFINANCE(A5319,""beta"")"),0.45)</f>
        <v>0.45</v>
      </c>
    </row>
    <row r="5320">
      <c r="A5320" s="122" t="s">
        <v>11129</v>
      </c>
      <c r="B5320" s="123">
        <v>1604522.0</v>
      </c>
      <c r="C5320" s="124" t="s">
        <v>11130</v>
      </c>
      <c r="D5320" s="125"/>
      <c r="E5320" s="126">
        <v>18.48</v>
      </c>
      <c r="F5320" s="127"/>
      <c r="G5320" s="127"/>
      <c r="H5320" s="127"/>
      <c r="I5320" s="128"/>
      <c r="K5320" s="105" t="str">
        <f>IFERROR(__xludf.DUMMYFUNCTION("if(A5320="""","""",substitute(SUBSTITUTE(index(importhtml(""http://finviz.com/quote.ashx?t=""&amp;A5320,""table"",10),7,2),""*"",""""),""-"",""0.00""))"),"Loading...")</f>
        <v>Loading...</v>
      </c>
      <c r="L5320" s="129">
        <v>7.64259785E8</v>
      </c>
      <c r="M5320" s="99">
        <v>0.91</v>
      </c>
    </row>
    <row r="5321">
      <c r="A5321" s="122" t="s">
        <v>11131</v>
      </c>
      <c r="B5321" s="123">
        <v>1436794.0</v>
      </c>
      <c r="C5321" s="124" t="s">
        <v>11132</v>
      </c>
      <c r="D5321" s="125"/>
      <c r="E5321" s="126">
        <v>18.5</v>
      </c>
      <c r="F5321" s="127"/>
      <c r="G5321" s="127"/>
      <c r="H5321" s="127"/>
      <c r="I5321" s="128"/>
      <c r="K5321" s="105" t="str">
        <f>IFERROR(__xludf.DUMMYFUNCTION("if(A5321="""","""",substitute(SUBSTITUTE(index(importhtml(""http://finviz.com/quote.ashx?t=""&amp;A5321,""table"",10),7,2),""*"",""""),""-"",""0.00""))"),"#N/A")</f>
        <v>#N/A</v>
      </c>
      <c r="L5321" s="129">
        <v>7.20348936E9</v>
      </c>
      <c r="M5321" s="99">
        <f>IFERROR(__xludf.DUMMYFUNCTION("GOOGLEFINANCE(A5321,""beta"")"),0.74)</f>
        <v>0.74</v>
      </c>
    </row>
    <row r="5322">
      <c r="A5322" s="122" t="s">
        <v>11133</v>
      </c>
      <c r="B5322" s="123">
        <v>2230.0</v>
      </c>
      <c r="C5322" s="124" t="s">
        <v>11134</v>
      </c>
      <c r="D5322" s="125"/>
      <c r="E5322" s="126">
        <v>18.51</v>
      </c>
      <c r="F5322" s="127"/>
      <c r="G5322" s="127"/>
      <c r="H5322" s="127"/>
      <c r="I5322" s="128"/>
      <c r="K5322" s="55" t="s">
        <v>6214</v>
      </c>
      <c r="L5322" s="129">
        <v>2.236261614E9</v>
      </c>
      <c r="M5322" s="99">
        <v>1.07</v>
      </c>
    </row>
    <row r="5323">
      <c r="A5323" s="122" t="s">
        <v>11135</v>
      </c>
      <c r="B5323" s="123">
        <v>1683606.0</v>
      </c>
      <c r="C5323" s="124" t="s">
        <v>11136</v>
      </c>
      <c r="D5323" s="125"/>
      <c r="E5323" s="126">
        <v>18.52</v>
      </c>
      <c r="F5323" s="127"/>
      <c r="G5323" s="127"/>
      <c r="H5323" s="127"/>
      <c r="I5323" s="128"/>
      <c r="K5323" s="105" t="str">
        <f>IFERROR(__xludf.DUMMYFUNCTION("if(A5323="""","""",substitute(SUBSTITUTE(index(importhtml(""http://finviz.com/quote.ashx?t=""&amp;A5323,""table"",10),7,2),""*"",""""),""-"",""0.00""))"),"Loading...")</f>
        <v>Loading...</v>
      </c>
      <c r="L5323" s="129">
        <v>1.226568518E9</v>
      </c>
      <c r="M5323" s="99">
        <v>2.05</v>
      </c>
    </row>
    <row r="5324">
      <c r="A5324" s="122" t="s">
        <v>11137</v>
      </c>
      <c r="B5324" s="123">
        <v>821130.0</v>
      </c>
      <c r="C5324" s="124" t="s">
        <v>11138</v>
      </c>
      <c r="D5324" s="125"/>
      <c r="E5324" s="126">
        <v>18.53</v>
      </c>
      <c r="F5324" s="127"/>
      <c r="G5324" s="127"/>
      <c r="H5324" s="127"/>
      <c r="I5324" s="128"/>
      <c r="K5324" s="105" t="str">
        <f>IFERROR(__xludf.DUMMYFUNCTION("if(A5324="""","""",substitute(SUBSTITUTE(index(importhtml(""http://finviz.com/quote.ashx?t=""&amp;A5324,""table"",10),7,2),""*"",""""),""-"",""0.00""))"),"Loading...")</f>
        <v>Loading...</v>
      </c>
      <c r="L5324" s="129">
        <v>3.728100051E9</v>
      </c>
      <c r="M5324" s="99">
        <v>0.92</v>
      </c>
    </row>
    <row r="5325">
      <c r="A5325" s="122" t="s">
        <v>11139</v>
      </c>
      <c r="B5325" s="123">
        <v>1720116.0</v>
      </c>
      <c r="C5325" s="124" t="s">
        <v>11140</v>
      </c>
      <c r="D5325" s="125"/>
      <c r="E5325" s="126">
        <v>18.54</v>
      </c>
      <c r="F5325" s="127"/>
      <c r="G5325" s="127"/>
      <c r="H5325" s="127"/>
      <c r="I5325" s="128"/>
      <c r="K5325" s="105" t="str">
        <f>IFERROR(__xludf.DUMMYFUNCTION("if(A5325="""","""",substitute(SUBSTITUTE(index(importhtml(""http://finviz.com/quote.ashx?t=""&amp;A5325,""table"",10),7,2),""*"",""""),""-"",""0.00""))"),"Loading...")</f>
        <v>Loading...</v>
      </c>
      <c r="L5325" s="129">
        <v>2.58436488E8</v>
      </c>
      <c r="M5325" s="99">
        <v>1.15</v>
      </c>
    </row>
    <row r="5326">
      <c r="A5326" s="122" t="s">
        <v>11141</v>
      </c>
      <c r="B5326" s="123">
        <v>1726122.0</v>
      </c>
      <c r="C5326" s="124" t="s">
        <v>11142</v>
      </c>
      <c r="D5326" s="125"/>
      <c r="E5326" s="126">
        <v>18.55</v>
      </c>
      <c r="F5326" s="127"/>
      <c r="G5326" s="127"/>
      <c r="H5326" s="127"/>
      <c r="I5326" s="128"/>
      <c r="K5326" s="55" t="s">
        <v>1034</v>
      </c>
      <c r="L5326" s="129">
        <v>3.915155418E9</v>
      </c>
      <c r="M5326" s="99" t="str">
        <f>IFERROR(__xludf.DUMMYFUNCTION("GOOGLEFINANCE(A5326,""beta"")"),"#N/A")</f>
        <v>#N/A</v>
      </c>
    </row>
    <row r="5327">
      <c r="A5327" s="122" t="s">
        <v>11143</v>
      </c>
      <c r="B5327" s="123">
        <v>1710072.0</v>
      </c>
      <c r="C5327" s="124" t="s">
        <v>11144</v>
      </c>
      <c r="D5327" s="125"/>
      <c r="E5327" s="126">
        <v>18.55</v>
      </c>
      <c r="F5327" s="127"/>
      <c r="G5327" s="127"/>
      <c r="H5327" s="127"/>
      <c r="I5327" s="128"/>
      <c r="K5327" s="105" t="str">
        <f>IFERROR(__xludf.DUMMYFUNCTION("if(A5327="""","""",substitute(SUBSTITUTE(index(importhtml(""http://finviz.com/quote.ashx?t=""&amp;A5327,""table"",10),7,2),""*"",""""),""-"",""0.00""))"),"Loading...")</f>
        <v>Loading...</v>
      </c>
      <c r="L5327" s="129">
        <v>1.581927981E9</v>
      </c>
      <c r="M5327" s="99">
        <f>IFERROR(__xludf.DUMMYFUNCTION("GOOGLEFINANCE(A5327,""beta"")"),0.3)</f>
        <v>0.3</v>
      </c>
    </row>
    <row r="5328">
      <c r="A5328" s="122" t="s">
        <v>11145</v>
      </c>
      <c r="B5328" s="123">
        <v>1709401.0</v>
      </c>
      <c r="C5328" s="124" t="s">
        <v>11146</v>
      </c>
      <c r="D5328" s="125"/>
      <c r="E5328" s="126">
        <v>18.55</v>
      </c>
      <c r="F5328" s="127"/>
      <c r="G5328" s="127"/>
      <c r="H5328" s="127"/>
      <c r="I5328" s="128"/>
      <c r="K5328" s="105" t="str">
        <f>IFERROR(__xludf.DUMMYFUNCTION("if(A5328="""","""",substitute(SUBSTITUTE(index(importhtml(""http://finviz.com/quote.ashx?t=""&amp;A5328,""table"",10),7,2),""*"",""""),""-"",""0.00""))"),"Loading...")</f>
        <v>Loading...</v>
      </c>
      <c r="L5328" s="129" t="e">
        <v>#N/A</v>
      </c>
      <c r="M5328" s="99">
        <v>0.96</v>
      </c>
    </row>
    <row r="5329">
      <c r="A5329" s="122" t="s">
        <v>11147</v>
      </c>
      <c r="B5329" s="123">
        <v>1578987.0</v>
      </c>
      <c r="C5329" s="124" t="s">
        <v>11148</v>
      </c>
      <c r="D5329" s="125"/>
      <c r="E5329" s="126">
        <v>18.56</v>
      </c>
      <c r="F5329" s="127"/>
      <c r="G5329" s="127"/>
      <c r="H5329" s="127"/>
      <c r="I5329" s="128"/>
      <c r="K5329" s="105" t="str">
        <f>IFERROR(__xludf.DUMMYFUNCTION("if(A5329="""","""",substitute(SUBSTITUTE(index(importhtml(""http://finviz.com/quote.ashx?t=""&amp;A5329,""table"",10),7,2),""*"",""""),""-"",""0.00""))"),"Loading...")</f>
        <v>Loading...</v>
      </c>
      <c r="L5329" s="129">
        <v>1.31930118E8</v>
      </c>
      <c r="M5329" s="99">
        <v>0.43</v>
      </c>
    </row>
    <row r="5330">
      <c r="A5330" s="122" t="s">
        <v>11149</v>
      </c>
      <c r="B5330" s="123">
        <v>1739566.0</v>
      </c>
      <c r="C5330" s="124" t="s">
        <v>11150</v>
      </c>
      <c r="D5330" s="125"/>
      <c r="E5330" s="126">
        <v>18.59</v>
      </c>
      <c r="F5330" s="127"/>
      <c r="G5330" s="127"/>
      <c r="H5330" s="127"/>
      <c r="I5330" s="128"/>
      <c r="K5330" s="105" t="str">
        <f>IFERROR(__xludf.DUMMYFUNCTION("if(A5330="""","""",substitute(SUBSTITUTE(index(importhtml(""http://finviz.com/quote.ashx?t=""&amp;A5330,""table"",10),7,2),""*"",""""),""-"",""0.00""))"),"Loading...")</f>
        <v>Loading...</v>
      </c>
      <c r="L5330" s="129">
        <v>2.611716557E9</v>
      </c>
      <c r="M5330" s="99">
        <v>0.98</v>
      </c>
    </row>
    <row r="5331">
      <c r="A5331" s="122" t="s">
        <v>11151</v>
      </c>
      <c r="B5331" s="123">
        <v>71508.0</v>
      </c>
      <c r="C5331" s="124" t="s">
        <v>11152</v>
      </c>
      <c r="D5331" s="125"/>
      <c r="E5331" s="126">
        <v>18.6</v>
      </c>
      <c r="F5331" s="127"/>
      <c r="G5331" s="127"/>
      <c r="H5331" s="127"/>
      <c r="I5331" s="128"/>
      <c r="K5331" s="105" t="str">
        <f>IFERROR(__xludf.DUMMYFUNCTION("if(A5331="""","""",substitute(SUBSTITUTE(index(importhtml(""http://finviz.com/quote.ashx?t=""&amp;A5331,""table"",10),7,2),""*"",""""),""-"",""0.00""))"),"Loading...")</f>
        <v>Loading...</v>
      </c>
      <c r="L5331" s="129">
        <v>1.653140281E9</v>
      </c>
      <c r="M5331" s="99">
        <f>IFERROR(__xludf.DUMMYFUNCTION("GOOGLEFINANCE(A5331,""beta"")"),0.25)</f>
        <v>0.25</v>
      </c>
    </row>
    <row r="5332">
      <c r="A5332" s="122" t="s">
        <v>11153</v>
      </c>
      <c r="B5332" s="123">
        <v>794367.0</v>
      </c>
      <c r="C5332" s="124" t="s">
        <v>11154</v>
      </c>
      <c r="D5332" s="125"/>
      <c r="E5332" s="126">
        <v>18.63</v>
      </c>
      <c r="F5332" s="127"/>
      <c r="G5332" s="127"/>
      <c r="H5332" s="127"/>
      <c r="I5332" s="128"/>
      <c r="K5332" s="138" t="s">
        <v>7240</v>
      </c>
      <c r="L5332" s="129">
        <v>5.105985348E9</v>
      </c>
      <c r="M5332" s="99">
        <v>2.16</v>
      </c>
    </row>
    <row r="5333">
      <c r="A5333" s="122" t="s">
        <v>11155</v>
      </c>
      <c r="B5333" s="123">
        <v>1464790.0</v>
      </c>
      <c r="C5333" s="124" t="s">
        <v>11156</v>
      </c>
      <c r="D5333" s="125"/>
      <c r="E5333" s="126">
        <v>18.63</v>
      </c>
      <c r="F5333" s="127"/>
      <c r="G5333" s="127"/>
      <c r="H5333" s="127"/>
      <c r="I5333" s="128"/>
      <c r="K5333" s="105" t="str">
        <f>IFERROR(__xludf.DUMMYFUNCTION("if(A5333="""","""",substitute(SUBSTITUTE(index(importhtml(""http://finviz.com/quote.ashx?t=""&amp;A5333,""table"",10),7,2),""*"",""""),""-"",""0.00""))"),"Loading...")</f>
        <v>Loading...</v>
      </c>
      <c r="L5333" s="129">
        <v>6.2052646E8</v>
      </c>
      <c r="M5333" s="99">
        <f>IFERROR(__xludf.DUMMYFUNCTION("GOOGLEFINANCE(A5333,""beta"")"),0.19)</f>
        <v>0.19</v>
      </c>
    </row>
    <row r="5334">
      <c r="A5334" s="122" t="s">
        <v>11157</v>
      </c>
      <c r="B5334" s="123">
        <v>1793882.0</v>
      </c>
      <c r="C5334" s="124" t="s">
        <v>11158</v>
      </c>
      <c r="D5334" s="125"/>
      <c r="E5334" s="126">
        <v>18.64</v>
      </c>
      <c r="F5334" s="127"/>
      <c r="G5334" s="127"/>
      <c r="H5334" s="127"/>
      <c r="I5334" s="128"/>
      <c r="K5334" s="105" t="str">
        <f>IFERROR(__xludf.DUMMYFUNCTION("if(A5334="""","""",substitute(SUBSTITUTE(index(importhtml(""http://finviz.com/quote.ashx?t=""&amp;A5334,""table"",10),7,2),""*"",""""),""-"",""0.00""))"),"Loading...")</f>
        <v>Loading...</v>
      </c>
      <c r="L5334" s="129" t="e">
        <v>#N/A</v>
      </c>
      <c r="M5334" s="99">
        <v>0.58</v>
      </c>
    </row>
    <row r="5335">
      <c r="A5335" s="122" t="s">
        <v>11159</v>
      </c>
      <c r="B5335" s="123">
        <v>1382230.0</v>
      </c>
      <c r="C5335" s="124" t="s">
        <v>11160</v>
      </c>
      <c r="D5335" s="125"/>
      <c r="E5335" s="126">
        <v>18.65</v>
      </c>
      <c r="F5335" s="127"/>
      <c r="G5335" s="127"/>
      <c r="H5335" s="127"/>
      <c r="I5335" s="128"/>
      <c r="K5335" s="105" t="str">
        <f>IFERROR(__xludf.DUMMYFUNCTION("if(A5335="""","""",substitute(SUBSTITUTE(index(importhtml(""http://finviz.com/quote.ashx?t=""&amp;A5335,""table"",10),7,2),""*"",""""),""-"",""0.00""))"),"Loading...")</f>
        <v>Loading...</v>
      </c>
      <c r="L5335" s="129">
        <v>1.88952844E8</v>
      </c>
      <c r="M5335" s="99">
        <v>0.34</v>
      </c>
    </row>
    <row r="5336">
      <c r="A5336" s="122" t="s">
        <v>11161</v>
      </c>
      <c r="B5336" s="123">
        <v>1547994.0</v>
      </c>
      <c r="C5336" s="124" t="s">
        <v>11162</v>
      </c>
      <c r="D5336" s="125"/>
      <c r="E5336" s="126">
        <v>18.67</v>
      </c>
      <c r="F5336" s="127"/>
      <c r="G5336" s="127"/>
      <c r="H5336" s="127"/>
      <c r="I5336" s="128"/>
      <c r="K5336" s="105" t="str">
        <f>IFERROR(__xludf.DUMMYFUNCTION("if(A5336="""","""",substitute(SUBSTITUTE(index(importhtml(""http://finviz.com/quote.ashx?t=""&amp;A5336,""table"",10),7,2),""*"",""""),""-"",""0.00""))"),"Loading...")</f>
        <v>Loading...</v>
      </c>
      <c r="L5336" s="129">
        <v>4.25160896E8</v>
      </c>
      <c r="M5336" s="99">
        <v>0.8</v>
      </c>
    </row>
    <row r="5337">
      <c r="A5337" s="122" t="s">
        <v>11163</v>
      </c>
      <c r="B5337" s="123">
        <v>1650164.0</v>
      </c>
      <c r="C5337" s="124" t="s">
        <v>11164</v>
      </c>
      <c r="D5337" s="125"/>
      <c r="E5337" s="126">
        <v>18.67</v>
      </c>
      <c r="F5337" s="127"/>
      <c r="G5337" s="127"/>
      <c r="H5337" s="127"/>
      <c r="I5337" s="128"/>
      <c r="K5337" s="105" t="str">
        <f>IFERROR(__xludf.DUMMYFUNCTION("if(A5337="""","""",substitute(SUBSTITUTE(index(importhtml(""http://finviz.com/quote.ashx?t=""&amp;A5337,""table"",10),7,2),""*"",""""),""-"",""0.00""))"),"Loading...")</f>
        <v>Loading...</v>
      </c>
      <c r="L5337" s="129">
        <v>1.0085683401E10</v>
      </c>
      <c r="M5337" s="99">
        <f>IFERROR(__xludf.DUMMYFUNCTION("GOOGLEFINANCE(A5337,""beta"")"),1.94)</f>
        <v>1.94</v>
      </c>
    </row>
    <row r="5338">
      <c r="A5338" s="122" t="s">
        <v>11165</v>
      </c>
      <c r="B5338" s="123">
        <v>1090159.0</v>
      </c>
      <c r="C5338" s="124" t="s">
        <v>11166</v>
      </c>
      <c r="D5338" s="125"/>
      <c r="E5338" s="126">
        <v>18.71</v>
      </c>
      <c r="F5338" s="127"/>
      <c r="G5338" s="127"/>
      <c r="H5338" s="127"/>
      <c r="I5338" s="128"/>
      <c r="K5338" s="105" t="str">
        <f>IFERROR(__xludf.DUMMYFUNCTION("if(A5338="""","""",substitute(SUBSTITUTE(index(importhtml(""http://finviz.com/quote.ashx?t=""&amp;A5338,""table"",10),7,2),""*"",""""),""-"",""0.00""))"),"Loading...")</f>
        <v>Loading...</v>
      </c>
      <c r="L5338" s="129" t="e">
        <v>#N/A</v>
      </c>
      <c r="M5338" s="99" t="str">
        <f>IFERROR(__xludf.DUMMYFUNCTION("GOOGLEFINANCE(A5338,""beta"")"),"#N/A")</f>
        <v>#N/A</v>
      </c>
    </row>
    <row r="5339">
      <c r="A5339" s="122" t="s">
        <v>11167</v>
      </c>
      <c r="B5339" s="123">
        <v>1403475.0</v>
      </c>
      <c r="C5339" s="124" t="s">
        <v>11168</v>
      </c>
      <c r="D5339" s="125"/>
      <c r="E5339" s="126">
        <v>18.73</v>
      </c>
      <c r="F5339" s="127"/>
      <c r="G5339" s="127"/>
      <c r="H5339" s="127"/>
      <c r="I5339" s="128"/>
      <c r="K5339" s="105" t="str">
        <f>IFERROR(__xludf.DUMMYFUNCTION("if(A5339="""","""",substitute(SUBSTITUTE(index(importhtml(""http://finviz.com/quote.ashx?t=""&amp;A5339,""table"",10),7,2),""*"",""""),""-"",""0.00""))"),"Loading...")</f>
        <v>Loading...</v>
      </c>
      <c r="L5339" s="129">
        <v>3.02647011E8</v>
      </c>
      <c r="M5339" s="99">
        <v>0.9</v>
      </c>
    </row>
    <row r="5340">
      <c r="A5340" s="122" t="s">
        <v>11169</v>
      </c>
      <c r="B5340" s="123">
        <v>1606498.0</v>
      </c>
      <c r="C5340" s="124" t="s">
        <v>11170</v>
      </c>
      <c r="D5340" s="125"/>
      <c r="E5340" s="126">
        <v>18.74</v>
      </c>
      <c r="F5340" s="127"/>
      <c r="G5340" s="127"/>
      <c r="H5340" s="127"/>
      <c r="I5340" s="128"/>
      <c r="K5340" s="105" t="str">
        <f>IFERROR(__xludf.DUMMYFUNCTION("if(A5340="""","""",substitute(SUBSTITUTE(index(importhtml(""http://finviz.com/quote.ashx?t=""&amp;A5340,""table"",10),7,2),""*"",""""),""-"",""0.00""))"),"Loading...")</f>
        <v>Loading...</v>
      </c>
      <c r="L5340" s="129">
        <v>8.70014983E8</v>
      </c>
      <c r="M5340" s="99">
        <v>0.96</v>
      </c>
    </row>
    <row r="5341">
      <c r="A5341" s="122" t="s">
        <v>11171</v>
      </c>
      <c r="B5341" s="123">
        <v>1326732.0</v>
      </c>
      <c r="C5341" s="124" t="s">
        <v>11172</v>
      </c>
      <c r="D5341" s="125"/>
      <c r="E5341" s="126">
        <v>18.74</v>
      </c>
      <c r="F5341" s="127"/>
      <c r="G5341" s="127"/>
      <c r="H5341" s="127"/>
      <c r="I5341" s="128"/>
      <c r="K5341" s="105" t="str">
        <f>IFERROR(__xludf.DUMMYFUNCTION("if(A5341="""","""",substitute(SUBSTITUTE(index(importhtml(""http://finviz.com/quote.ashx?t=""&amp;A5341,""table"",10),7,2),""*"",""""),""-"",""0.00""))"),"Loading...")</f>
        <v>Loading...</v>
      </c>
      <c r="L5341" s="129">
        <v>1.140800859E9</v>
      </c>
      <c r="M5341" s="99">
        <v>0.7</v>
      </c>
    </row>
    <row r="5342">
      <c r="A5342" s="122" t="s">
        <v>11173</v>
      </c>
      <c r="B5342" s="123">
        <v>1094366.0</v>
      </c>
      <c r="C5342" s="124" t="s">
        <v>11174</v>
      </c>
      <c r="D5342" s="125"/>
      <c r="E5342" s="126">
        <v>18.76</v>
      </c>
      <c r="F5342" s="127"/>
      <c r="G5342" s="127"/>
      <c r="H5342" s="127"/>
      <c r="I5342" s="128"/>
      <c r="K5342" s="105" t="str">
        <f>IFERROR(__xludf.DUMMYFUNCTION("if(A5342="""","""",substitute(SUBSTITUTE(index(importhtml(""http://finviz.com/quote.ashx?t=""&amp;A5342,""table"",10),7,2),""*"",""""),""-"",""0.00""))"),"Loading...")</f>
        <v>Loading...</v>
      </c>
      <c r="L5342" s="129">
        <v>7.8887902E8</v>
      </c>
      <c r="M5342" s="99">
        <v>0.97</v>
      </c>
    </row>
    <row r="5343">
      <c r="A5343" s="122" t="s">
        <v>11175</v>
      </c>
      <c r="B5343" s="123">
        <v>1027552.0</v>
      </c>
      <c r="C5343" s="124" t="s">
        <v>11176</v>
      </c>
      <c r="D5343" s="125"/>
      <c r="E5343" s="126">
        <v>18.82</v>
      </c>
      <c r="F5343" s="127"/>
      <c r="G5343" s="127"/>
      <c r="H5343" s="127"/>
      <c r="I5343" s="128"/>
      <c r="K5343" s="105" t="str">
        <f>IFERROR(__xludf.DUMMYFUNCTION("if(A5343="""","""",substitute(SUBSTITUTE(index(importhtml(""http://finviz.com/quote.ashx?t=""&amp;A5343,""table"",10),7,2),""*"",""""),""-"",""0.00""))"),"Loading...")</f>
        <v>Loading...</v>
      </c>
      <c r="L5343" s="129">
        <v>8.973176362E9</v>
      </c>
      <c r="M5343" s="99">
        <v>0.82</v>
      </c>
    </row>
    <row r="5344">
      <c r="A5344" s="122" t="s">
        <v>11177</v>
      </c>
      <c r="B5344" s="123">
        <v>1158114.0</v>
      </c>
      <c r="C5344" s="124" t="s">
        <v>11178</v>
      </c>
      <c r="D5344" s="125"/>
      <c r="E5344" s="126">
        <v>18.83</v>
      </c>
      <c r="F5344" s="127"/>
      <c r="G5344" s="127"/>
      <c r="H5344" s="127"/>
      <c r="I5344" s="128"/>
      <c r="K5344" s="105" t="str">
        <f>IFERROR(__xludf.DUMMYFUNCTION("if(A5344="""","""",substitute(SUBSTITUTE(index(importhtml(""http://finviz.com/quote.ashx?t=""&amp;A5344,""table"",10),7,2),""*"",""""),""-"",""0.00""))"),"Loading...")</f>
        <v>Loading...</v>
      </c>
      <c r="L5344" s="129">
        <v>6.6915361E8</v>
      </c>
      <c r="M5344" s="99">
        <v>2.05</v>
      </c>
    </row>
    <row r="5345">
      <c r="A5345" s="122" t="s">
        <v>11179</v>
      </c>
      <c r="B5345" s="123">
        <v>1173489.0</v>
      </c>
      <c r="C5345" s="124" t="s">
        <v>11180</v>
      </c>
      <c r="D5345" s="125"/>
      <c r="E5345" s="126">
        <v>18.84</v>
      </c>
      <c r="F5345" s="127"/>
      <c r="G5345" s="127"/>
      <c r="H5345" s="127"/>
      <c r="I5345" s="128"/>
      <c r="K5345" s="105" t="str">
        <f>IFERROR(__xludf.DUMMYFUNCTION("if(A5345="""","""",substitute(SUBSTITUTE(index(importhtml(""http://finviz.com/quote.ashx?t=""&amp;A5345,""table"",10),7,2),""*"",""""),""-"",""0.00""))"),"Loading...")</f>
        <v>Loading...</v>
      </c>
      <c r="L5345" s="129">
        <v>4.43891127E8</v>
      </c>
      <c r="M5345" s="99">
        <v>1.1</v>
      </c>
    </row>
    <row r="5346">
      <c r="A5346" s="122" t="s">
        <v>11181</v>
      </c>
      <c r="B5346" s="123">
        <v>1590750.0</v>
      </c>
      <c r="C5346" s="124" t="s">
        <v>11182</v>
      </c>
      <c r="D5346" s="125"/>
      <c r="E5346" s="126">
        <v>18.85</v>
      </c>
      <c r="F5346" s="127"/>
      <c r="G5346" s="127"/>
      <c r="H5346" s="127"/>
      <c r="I5346" s="128"/>
      <c r="K5346" s="105" t="str">
        <f>IFERROR(__xludf.DUMMYFUNCTION("if(A5346="""","""",substitute(SUBSTITUTE(index(importhtml(""http://finviz.com/quote.ashx?t=""&amp;A5346,""table"",10),7,2),""*"",""""),""-"",""0.00""))"),"Loading...")</f>
        <v>Loading...</v>
      </c>
      <c r="L5346" s="129">
        <v>9.58406591E8</v>
      </c>
      <c r="M5346" s="99">
        <v>8.57</v>
      </c>
    </row>
    <row r="5347">
      <c r="A5347" s="122" t="s">
        <v>11183</v>
      </c>
      <c r="B5347" s="123">
        <v>1681459.0</v>
      </c>
      <c r="C5347" s="124" t="s">
        <v>11184</v>
      </c>
      <c r="D5347" s="125"/>
      <c r="E5347" s="126">
        <v>18.87</v>
      </c>
      <c r="F5347" s="127"/>
      <c r="G5347" s="127"/>
      <c r="H5347" s="127"/>
      <c r="I5347" s="128"/>
      <c r="K5347" s="55" t="s">
        <v>7809</v>
      </c>
      <c r="L5347" s="129">
        <v>8.217132452E9</v>
      </c>
      <c r="M5347" s="99">
        <v>1.63</v>
      </c>
    </row>
    <row r="5348">
      <c r="A5348" s="122" t="s">
        <v>11185</v>
      </c>
      <c r="B5348" s="123">
        <v>1813756.0</v>
      </c>
      <c r="C5348" s="124" t="s">
        <v>11186</v>
      </c>
      <c r="D5348" s="125"/>
      <c r="E5348" s="126">
        <v>18.87</v>
      </c>
      <c r="F5348" s="127"/>
      <c r="G5348" s="127"/>
      <c r="H5348" s="127"/>
      <c r="I5348" s="128"/>
      <c r="K5348" s="105" t="str">
        <f>IFERROR(__xludf.DUMMYFUNCTION("if(A5348="""","""",substitute(SUBSTITUTE(index(importhtml(""http://finviz.com/quote.ashx?t=""&amp;A5348,""table"",10),7,2),""*"",""""),""-"",""0.00""))"),"Loading...")</f>
        <v>Loading...</v>
      </c>
      <c r="L5348" s="129">
        <v>6390659.0</v>
      </c>
      <c r="M5348" s="99" t="str">
        <f>IFERROR(__xludf.DUMMYFUNCTION("GOOGLEFINANCE(A5348,""beta"")"),"#N/A")</f>
        <v>#N/A</v>
      </c>
    </row>
    <row r="5349">
      <c r="A5349" s="122" t="s">
        <v>11187</v>
      </c>
      <c r="B5349" s="123">
        <v>1029730.0</v>
      </c>
      <c r="C5349" s="124" t="s">
        <v>11188</v>
      </c>
      <c r="D5349" s="125"/>
      <c r="E5349" s="126">
        <v>18.87</v>
      </c>
      <c r="F5349" s="127"/>
      <c r="G5349" s="127"/>
      <c r="H5349" s="127"/>
      <c r="I5349" s="128"/>
      <c r="K5349" s="105" t="str">
        <f>IFERROR(__xludf.DUMMYFUNCTION("if(A5349="""","""",substitute(SUBSTITUTE(index(importhtml(""http://finviz.com/quote.ashx?t=""&amp;A5349,""table"",10),7,2),""*"",""""),""-"",""0.00""))"),"Loading...")</f>
        <v>Loading...</v>
      </c>
      <c r="L5349" s="129" t="e">
        <v>#N/A</v>
      </c>
      <c r="M5349" s="99">
        <v>0.6</v>
      </c>
    </row>
    <row r="5350">
      <c r="A5350" s="122" t="s">
        <v>11189</v>
      </c>
      <c r="B5350" s="123">
        <v>1029730.0</v>
      </c>
      <c r="C5350" s="124" t="s">
        <v>11190</v>
      </c>
      <c r="D5350" s="125"/>
      <c r="E5350" s="126">
        <v>18.87</v>
      </c>
      <c r="F5350" s="127"/>
      <c r="G5350" s="127"/>
      <c r="H5350" s="127"/>
      <c r="I5350" s="128"/>
      <c r="K5350" s="105" t="str">
        <f>IFERROR(__xludf.DUMMYFUNCTION("if(A5350="""","""",substitute(SUBSTITUTE(index(importhtml(""http://finviz.com/quote.ashx?t=""&amp;A5350,""table"",10),7,2),""*"",""""),""-"",""0.00""))"),"Loading...")</f>
        <v>Loading...</v>
      </c>
      <c r="L5350" s="129" t="e">
        <v>#N/A</v>
      </c>
      <c r="M5350" s="99">
        <v>0.7</v>
      </c>
    </row>
    <row r="5351">
      <c r="A5351" s="122" t="s">
        <v>11191</v>
      </c>
      <c r="B5351" s="123">
        <v>1069533.0</v>
      </c>
      <c r="C5351" s="124" t="s">
        <v>11192</v>
      </c>
      <c r="D5351" s="125"/>
      <c r="E5351" s="126">
        <v>18.91</v>
      </c>
      <c r="F5351" s="127"/>
      <c r="G5351" s="127"/>
      <c r="H5351" s="127"/>
      <c r="I5351" s="128"/>
      <c r="K5351" s="105" t="str">
        <f>IFERROR(__xludf.DUMMYFUNCTION("if(A5351="""","""",substitute(SUBSTITUTE(index(importhtml(""http://finviz.com/quote.ashx?t=""&amp;A5351,""table"",10),7,2),""*"",""""),""-"",""0.00""))"),"Loading...")</f>
        <v>Loading...</v>
      </c>
      <c r="L5351" s="129">
        <v>1.8970058E8</v>
      </c>
      <c r="M5351" s="99">
        <v>0.22</v>
      </c>
    </row>
    <row r="5352">
      <c r="A5352" s="122" t="s">
        <v>11193</v>
      </c>
      <c r="B5352" s="123">
        <v>803649.0</v>
      </c>
      <c r="C5352" s="124" t="s">
        <v>11194</v>
      </c>
      <c r="D5352" s="125"/>
      <c r="E5352" s="126">
        <v>18.93</v>
      </c>
      <c r="F5352" s="127"/>
      <c r="G5352" s="127"/>
      <c r="H5352" s="127"/>
      <c r="I5352" s="128"/>
      <c r="K5352" s="55" t="s">
        <v>11195</v>
      </c>
      <c r="L5352" s="129">
        <v>2.01472247E9</v>
      </c>
      <c r="M5352" s="99">
        <v>0.19</v>
      </c>
    </row>
    <row r="5353">
      <c r="A5353" s="122" t="s">
        <v>11196</v>
      </c>
      <c r="B5353" s="123">
        <v>1513845.0</v>
      </c>
      <c r="C5353" s="124" t="s">
        <v>11197</v>
      </c>
      <c r="D5353" s="125"/>
      <c r="E5353" s="126">
        <v>18.94</v>
      </c>
      <c r="F5353" s="127"/>
      <c r="G5353" s="127"/>
      <c r="H5353" s="127"/>
      <c r="I5353" s="128"/>
      <c r="K5353" s="105" t="str">
        <f>IFERROR(__xludf.DUMMYFUNCTION("if(A5353="""","""",substitute(SUBSTITUTE(index(importhtml(""http://finviz.com/quote.ashx?t=""&amp;A5353,""table"",10),7,2),""*"",""""),""-"",""0.00""))"),"Loading...")</f>
        <v>Loading...</v>
      </c>
      <c r="L5353" s="129" t="e">
        <v>#N/A</v>
      </c>
      <c r="M5353" s="99" t="str">
        <f>IFERROR(__xludf.DUMMYFUNCTION("GOOGLEFINANCE(A5353,""beta"")"),"#N/A")</f>
        <v>#N/A</v>
      </c>
    </row>
    <row r="5354">
      <c r="A5354" s="122" t="s">
        <v>11198</v>
      </c>
      <c r="B5354" s="123">
        <v>1823306.0</v>
      </c>
      <c r="C5354" s="124" t="s">
        <v>11199</v>
      </c>
      <c r="D5354" s="125"/>
      <c r="E5354" s="126">
        <v>18.98</v>
      </c>
      <c r="F5354" s="127"/>
      <c r="G5354" s="127"/>
      <c r="H5354" s="127"/>
      <c r="I5354" s="128"/>
      <c r="K5354" s="105" t="str">
        <f>IFERROR(__xludf.DUMMYFUNCTION("if(A5354="""","""",substitute(SUBSTITUTE(index(importhtml(""http://finviz.com/quote.ashx?t=""&amp;A5354,""table"",10),7,2),""*"",""""),""-"",""0.00""))"),"Loading...")</f>
        <v>Loading...</v>
      </c>
      <c r="L5354" s="129">
        <v>3.91676831E9</v>
      </c>
      <c r="M5354" s="99">
        <v>2.69</v>
      </c>
    </row>
    <row r="5355">
      <c r="A5355" s="122" t="s">
        <v>11200</v>
      </c>
      <c r="B5355" s="123">
        <v>1401257.0</v>
      </c>
      <c r="C5355" s="124" t="s">
        <v>11201</v>
      </c>
      <c r="D5355" s="125"/>
      <c r="E5355" s="126">
        <v>18.99</v>
      </c>
      <c r="F5355" s="127"/>
      <c r="G5355" s="127"/>
      <c r="H5355" s="127"/>
      <c r="I5355" s="128"/>
      <c r="K5355" s="55" t="s">
        <v>1034</v>
      </c>
      <c r="L5355" s="129">
        <v>1.93564497E8</v>
      </c>
      <c r="M5355" s="99">
        <v>2.65</v>
      </c>
    </row>
    <row r="5356">
      <c r="A5356" s="122" t="s">
        <v>11202</v>
      </c>
      <c r="B5356" s="123">
        <v>65433.0</v>
      </c>
      <c r="C5356" s="124" t="s">
        <v>11203</v>
      </c>
      <c r="D5356" s="125"/>
      <c r="E5356" s="126">
        <v>18.99</v>
      </c>
      <c r="F5356" s="127"/>
      <c r="G5356" s="127"/>
      <c r="H5356" s="127"/>
      <c r="I5356" s="128"/>
      <c r="K5356" s="105" t="str">
        <f>IFERROR(__xludf.DUMMYFUNCTION("if(A5356="""","""",substitute(SUBSTITUTE(index(importhtml(""http://finviz.com/quote.ashx?t=""&amp;A5356,""table"",10),7,2),""*"",""""),""-"",""0.00""))"),"Loading...")</f>
        <v>Loading...</v>
      </c>
      <c r="L5356" s="129">
        <v>2.80517618E8</v>
      </c>
      <c r="M5356" s="99">
        <v>1.17</v>
      </c>
    </row>
    <row r="5357">
      <c r="A5357" s="122" t="s">
        <v>11204</v>
      </c>
      <c r="B5357" s="123">
        <v>740806.0</v>
      </c>
      <c r="C5357" s="124" t="s">
        <v>11205</v>
      </c>
      <c r="D5357" s="125"/>
      <c r="E5357" s="126">
        <v>19.0</v>
      </c>
      <c r="F5357" s="127"/>
      <c r="G5357" s="127"/>
      <c r="H5357" s="127"/>
      <c r="I5357" s="128"/>
      <c r="K5357" s="105" t="str">
        <f>IFERROR(__xludf.DUMMYFUNCTION("if(A5357="""","""",substitute(SUBSTITUTE(index(importhtml(""http://finviz.com/quote.ashx?t=""&amp;A5357,""table"",10),7,2),""*"",""""),""-"",""0.00""))"),"Loading...")</f>
        <v>Loading...</v>
      </c>
      <c r="L5357" s="129">
        <v>6.6165087E7</v>
      </c>
      <c r="M5357" s="99">
        <v>0.43</v>
      </c>
    </row>
    <row r="5358">
      <c r="A5358" s="122" t="s">
        <v>11206</v>
      </c>
      <c r="B5358" s="123">
        <v>1674335.0</v>
      </c>
      <c r="C5358" s="124" t="s">
        <v>11207</v>
      </c>
      <c r="D5358" s="125"/>
      <c r="E5358" s="126">
        <v>19.0</v>
      </c>
      <c r="F5358" s="127"/>
      <c r="G5358" s="127"/>
      <c r="H5358" s="127"/>
      <c r="I5358" s="128"/>
      <c r="K5358" s="105" t="str">
        <f>IFERROR(__xludf.DUMMYFUNCTION("if(A5358="""","""",substitute(SUBSTITUTE(index(importhtml(""http://finviz.com/quote.ashx?t=""&amp;A5358,""table"",10),7,2),""*"",""""),""-"",""0.00""))"),"Loading...")</f>
        <v>Loading...</v>
      </c>
      <c r="L5358" s="129">
        <v>1.61908614E9</v>
      </c>
      <c r="M5358" s="99">
        <v>2.37</v>
      </c>
    </row>
    <row r="5359">
      <c r="A5359" s="122" t="s">
        <v>11208</v>
      </c>
      <c r="B5359" s="123">
        <v>1721947.0</v>
      </c>
      <c r="C5359" s="124" t="s">
        <v>11209</v>
      </c>
      <c r="D5359" s="125"/>
      <c r="E5359" s="126">
        <v>19.0</v>
      </c>
      <c r="F5359" s="127"/>
      <c r="G5359" s="127"/>
      <c r="H5359" s="127"/>
      <c r="I5359" s="128"/>
      <c r="K5359" s="105" t="str">
        <f>IFERROR(__xludf.DUMMYFUNCTION("if(A5359="""","""",substitute(SUBSTITUTE(index(importhtml(""http://finviz.com/quote.ashx?t=""&amp;A5359,""table"",10),7,2),""*"",""""),""-"",""0.00""))"),"Loading...")</f>
        <v>Loading...</v>
      </c>
      <c r="L5359" s="129">
        <v>2.3901183E9</v>
      </c>
      <c r="M5359" s="99">
        <v>0.52</v>
      </c>
    </row>
    <row r="5360">
      <c r="A5360" s="122" t="s">
        <v>11210</v>
      </c>
      <c r="B5360" s="123">
        <v>1693577.0</v>
      </c>
      <c r="C5360" s="124" t="s">
        <v>11211</v>
      </c>
      <c r="D5360" s="125"/>
      <c r="E5360" s="126">
        <v>19.01</v>
      </c>
      <c r="F5360" s="127"/>
      <c r="G5360" s="127"/>
      <c r="H5360" s="127"/>
      <c r="I5360" s="128"/>
      <c r="K5360" s="105" t="str">
        <f>IFERROR(__xludf.DUMMYFUNCTION("if(A5360="""","""",substitute(SUBSTITUTE(index(importhtml(""http://finviz.com/quote.ashx?t=""&amp;A5360,""table"",10),7,2),""*"",""""),""-"",""0.00""))"),"Loading...")</f>
        <v>Loading...</v>
      </c>
      <c r="L5360" s="129">
        <v>1.43093822E8</v>
      </c>
      <c r="M5360" s="99">
        <v>0.48</v>
      </c>
    </row>
    <row r="5361">
      <c r="A5361" s="122" t="s">
        <v>11212</v>
      </c>
      <c r="B5361" s="123">
        <v>1725210.0</v>
      </c>
      <c r="C5361" s="124" t="s">
        <v>11213</v>
      </c>
      <c r="D5361" s="125"/>
      <c r="E5361" s="126">
        <v>19.01</v>
      </c>
      <c r="F5361" s="127"/>
      <c r="G5361" s="127"/>
      <c r="H5361" s="127"/>
      <c r="I5361" s="128"/>
      <c r="K5361" s="105" t="str">
        <f>IFERROR(__xludf.DUMMYFUNCTION("if(A5361="""","""",substitute(SUBSTITUTE(index(importhtml(""http://finviz.com/quote.ashx?t=""&amp;A5361,""table"",10),7,2),""*"",""""),""-"",""0.00""))"),"Loading...")</f>
        <v>Loading...</v>
      </c>
      <c r="L5361" s="129">
        <v>5.896111254E9</v>
      </c>
      <c r="M5361" s="99">
        <v>2.64</v>
      </c>
    </row>
    <row r="5362">
      <c r="A5362" s="122" t="s">
        <v>11214</v>
      </c>
      <c r="B5362" s="123">
        <v>1077428.0</v>
      </c>
      <c r="C5362" s="124" t="s">
        <v>11215</v>
      </c>
      <c r="D5362" s="125"/>
      <c r="E5362" s="126">
        <v>19.02</v>
      </c>
      <c r="F5362" s="127"/>
      <c r="G5362" s="127"/>
      <c r="H5362" s="127"/>
      <c r="I5362" s="128"/>
      <c r="K5362" s="105" t="str">
        <f>IFERROR(__xludf.DUMMYFUNCTION("if(A5362="""","""",substitute(SUBSTITUTE(index(importhtml(""http://finviz.com/quote.ashx?t=""&amp;A5362,""table"",10),7,2),""*"",""""),""-"",""0.00""))"),"Loading...")</f>
        <v>Loading...</v>
      </c>
      <c r="L5362" s="129">
        <v>2.846555774E9</v>
      </c>
      <c r="M5362" s="99">
        <f>IFERROR(__xludf.DUMMYFUNCTION("GOOGLEFINANCE(A5362,""beta"")"),0.87)</f>
        <v>0.87</v>
      </c>
    </row>
    <row r="5363">
      <c r="A5363" s="122" t="s">
        <v>11216</v>
      </c>
      <c r="B5363" s="123">
        <v>63276.0</v>
      </c>
      <c r="C5363" s="124" t="s">
        <v>11217</v>
      </c>
      <c r="D5363" s="125"/>
      <c r="E5363" s="126">
        <v>19.02</v>
      </c>
      <c r="F5363" s="127"/>
      <c r="G5363" s="127"/>
      <c r="H5363" s="127"/>
      <c r="I5363" s="128"/>
      <c r="K5363" s="105" t="str">
        <f>IFERROR(__xludf.DUMMYFUNCTION("if(A5363="""","""",substitute(SUBSTITUTE(index(importhtml(""http://finviz.com/quote.ashx?t=""&amp;A5363,""table"",10),7,2),""*"",""""),""-"",""0.00""))"),"Loading...")</f>
        <v>Loading...</v>
      </c>
      <c r="L5363" s="129">
        <v>6.718484213E9</v>
      </c>
      <c r="M5363" s="99">
        <v>0.96</v>
      </c>
    </row>
    <row r="5364">
      <c r="A5364" s="122" t="s">
        <v>11218</v>
      </c>
      <c r="B5364" s="123">
        <v>1301236.0</v>
      </c>
      <c r="C5364" s="124" t="s">
        <v>11219</v>
      </c>
      <c r="D5364" s="125"/>
      <c r="E5364" s="126">
        <v>19.03</v>
      </c>
      <c r="F5364" s="127"/>
      <c r="G5364" s="127"/>
      <c r="H5364" s="127"/>
      <c r="I5364" s="128"/>
      <c r="K5364" s="105" t="str">
        <f>IFERROR(__xludf.DUMMYFUNCTION("if(A5364="""","""",substitute(SUBSTITUTE(index(importhtml(""http://finviz.com/quote.ashx?t=""&amp;A5364,""table"",10),7,2),""*"",""""),""-"",""0.00""))"),"Loading...")</f>
        <v>Loading...</v>
      </c>
      <c r="L5364" s="129">
        <v>2.7083797E7</v>
      </c>
      <c r="M5364" s="99">
        <v>1.32</v>
      </c>
    </row>
    <row r="5365">
      <c r="A5365" s="122" t="s">
        <v>11220</v>
      </c>
      <c r="B5365" s="123">
        <v>1528356.0</v>
      </c>
      <c r="C5365" s="124" t="s">
        <v>11221</v>
      </c>
      <c r="D5365" s="125"/>
      <c r="E5365" s="126">
        <v>19.04</v>
      </c>
      <c r="F5365" s="127"/>
      <c r="G5365" s="127"/>
      <c r="H5365" s="127"/>
      <c r="I5365" s="128"/>
      <c r="K5365" s="105" t="str">
        <f>IFERROR(__xludf.DUMMYFUNCTION("if(A5365="""","""",substitute(SUBSTITUTE(index(importhtml(""http://finviz.com/quote.ashx?t=""&amp;A5365,""table"",10),7,2),""*"",""""),""-"",""0.00""))"),"Loading...")</f>
        <v>Loading...</v>
      </c>
      <c r="L5365" s="129">
        <v>5.22038364E8</v>
      </c>
      <c r="M5365" s="99">
        <v>0.2</v>
      </c>
    </row>
    <row r="5366">
      <c r="A5366" s="122" t="s">
        <v>11222</v>
      </c>
      <c r="B5366" s="123">
        <v>1372807.0</v>
      </c>
      <c r="C5366" s="124" t="s">
        <v>11223</v>
      </c>
      <c r="D5366" s="125"/>
      <c r="E5366" s="126">
        <v>19.05</v>
      </c>
      <c r="F5366" s="127"/>
      <c r="G5366" s="127"/>
      <c r="H5366" s="127"/>
      <c r="I5366" s="128"/>
      <c r="K5366" s="105" t="str">
        <f>IFERROR(__xludf.DUMMYFUNCTION("if(A5366="""","""",substitute(SUBSTITUTE(index(importhtml(""http://finviz.com/quote.ashx?t=""&amp;A5366,""table"",10),7,2),""*"",""""),""-"",""0.00""))"),"Loading...")</f>
        <v>Loading...</v>
      </c>
      <c r="L5366" s="129">
        <v>1.79966638E8</v>
      </c>
      <c r="M5366" s="99">
        <v>1.03</v>
      </c>
    </row>
    <row r="5367">
      <c r="A5367" s="122" t="s">
        <v>11224</v>
      </c>
      <c r="B5367" s="123">
        <v>1260041.0</v>
      </c>
      <c r="C5367" s="124" t="s">
        <v>11225</v>
      </c>
      <c r="D5367" s="125"/>
      <c r="E5367" s="126">
        <v>19.05</v>
      </c>
      <c r="F5367" s="127"/>
      <c r="G5367" s="127"/>
      <c r="H5367" s="127"/>
      <c r="I5367" s="128"/>
      <c r="K5367" s="105" t="str">
        <f>IFERROR(__xludf.DUMMYFUNCTION("if(A5367="""","""",substitute(SUBSTITUTE(index(importhtml(""http://finviz.com/quote.ashx?t=""&amp;A5367,""table"",10),7,2),""*"",""""),""-"",""0.00""))"),"Loading...")</f>
        <v>Loading...</v>
      </c>
      <c r="L5367" s="129">
        <v>6.74976143E8</v>
      </c>
      <c r="M5367" s="99">
        <v>1.03</v>
      </c>
    </row>
    <row r="5368">
      <c r="A5368" s="122" t="s">
        <v>11226</v>
      </c>
      <c r="B5368" s="123">
        <v>1778114.0</v>
      </c>
      <c r="C5368" s="124" t="s">
        <v>11227</v>
      </c>
      <c r="D5368" s="125"/>
      <c r="E5368" s="126">
        <v>19.06</v>
      </c>
      <c r="F5368" s="127"/>
      <c r="G5368" s="127"/>
      <c r="H5368" s="127"/>
      <c r="I5368" s="128"/>
      <c r="K5368" s="55" t="s">
        <v>9769</v>
      </c>
      <c r="L5368" s="129">
        <v>6.54538869E8</v>
      </c>
      <c r="M5368" s="99">
        <v>1.06</v>
      </c>
    </row>
    <row r="5369">
      <c r="A5369" s="122" t="s">
        <v>11228</v>
      </c>
      <c r="B5369" s="123">
        <v>943819.0</v>
      </c>
      <c r="C5369" s="124" t="s">
        <v>11229</v>
      </c>
      <c r="D5369" s="125"/>
      <c r="E5369" s="126">
        <v>19.06</v>
      </c>
      <c r="F5369" s="127"/>
      <c r="G5369" s="127"/>
      <c r="H5369" s="127"/>
      <c r="I5369" s="128"/>
      <c r="K5369" s="105" t="str">
        <f>IFERROR(__xludf.DUMMYFUNCTION("if(A5369="""","""",substitute(SUBSTITUTE(index(importhtml(""http://finviz.com/quote.ashx?t=""&amp;A5369,""table"",10),7,2),""*"",""""),""-"",""0.00""))"),"Loading...")</f>
        <v>Loading...</v>
      </c>
      <c r="L5369" s="129">
        <v>2.8220457257E10</v>
      </c>
      <c r="M5369" s="99">
        <v>6.06</v>
      </c>
    </row>
    <row r="5370">
      <c r="A5370" s="122" t="s">
        <v>11230</v>
      </c>
      <c r="B5370" s="123">
        <v>1046025.0</v>
      </c>
      <c r="C5370" s="124" t="s">
        <v>11231</v>
      </c>
      <c r="D5370" s="125"/>
      <c r="E5370" s="126">
        <v>19.07</v>
      </c>
      <c r="F5370" s="127"/>
      <c r="G5370" s="127"/>
      <c r="H5370" s="127"/>
      <c r="I5370" s="128"/>
      <c r="K5370" s="105" t="str">
        <f>IFERROR(__xludf.DUMMYFUNCTION("if(A5370="""","""",substitute(SUBSTITUTE(index(importhtml(""http://finviz.com/quote.ashx?t=""&amp;A5370,""table"",10),7,2),""*"",""""),""-"",""0.00""))"),"Loading...")</f>
        <v>Loading...</v>
      </c>
      <c r="L5370" s="129">
        <v>6.65563394E8</v>
      </c>
      <c r="M5370" s="99">
        <v>0.57</v>
      </c>
    </row>
    <row r="5371">
      <c r="A5371" s="122" t="s">
        <v>11232</v>
      </c>
      <c r="B5371" s="123">
        <v>69488.0</v>
      </c>
      <c r="C5371" s="124" t="s">
        <v>11233</v>
      </c>
      <c r="D5371" s="125"/>
      <c r="E5371" s="126">
        <v>19.07</v>
      </c>
      <c r="F5371" s="127"/>
      <c r="G5371" s="127"/>
      <c r="H5371" s="127"/>
      <c r="I5371" s="128"/>
      <c r="K5371" s="105" t="str">
        <f>IFERROR(__xludf.DUMMYFUNCTION("if(A5371="""","""",substitute(SUBSTITUTE(index(importhtml(""http://finviz.com/quote.ashx?t=""&amp;A5371,""table"",10),7,2),""*"",""""),""-"",""0.00""))"),"Loading...")</f>
        <v>Loading...</v>
      </c>
      <c r="L5371" s="129">
        <v>7.0250942E8</v>
      </c>
      <c r="M5371" s="99">
        <v>1.32</v>
      </c>
    </row>
    <row r="5372">
      <c r="A5372" s="122" t="s">
        <v>11234</v>
      </c>
      <c r="B5372" s="123">
        <v>30697.0</v>
      </c>
      <c r="C5372" s="124" t="s">
        <v>11235</v>
      </c>
      <c r="D5372" s="125"/>
      <c r="E5372" s="126">
        <v>19.07</v>
      </c>
      <c r="F5372" s="127"/>
      <c r="G5372" s="127"/>
      <c r="H5372" s="127"/>
      <c r="I5372" s="128"/>
      <c r="K5372" s="105" t="str">
        <f>IFERROR(__xludf.DUMMYFUNCTION("if(A5372="""","""",substitute(SUBSTITUTE(index(importhtml(""http://finviz.com/quote.ashx?t=""&amp;A5372,""table"",10),7,2),""*"",""""),""-"",""0.00""))"),"Loading...")</f>
        <v>Loading...</v>
      </c>
      <c r="L5372" s="129">
        <v>3.933366695E9</v>
      </c>
      <c r="M5372" s="99">
        <v>0.83</v>
      </c>
    </row>
    <row r="5373">
      <c r="A5373" s="122" t="s">
        <v>11236</v>
      </c>
      <c r="B5373" s="123">
        <v>1013880.0</v>
      </c>
      <c r="C5373" s="124" t="s">
        <v>11237</v>
      </c>
      <c r="D5373" s="125"/>
      <c r="E5373" s="126">
        <v>19.11</v>
      </c>
      <c r="F5373" s="127"/>
      <c r="G5373" s="127"/>
      <c r="H5373" s="127"/>
      <c r="I5373" s="128"/>
      <c r="K5373" s="105" t="str">
        <f>IFERROR(__xludf.DUMMYFUNCTION("if(A5373="""","""",substitute(SUBSTITUTE(index(importhtml(""http://finviz.com/quote.ashx?t=""&amp;A5373,""table"",10),7,2),""*"",""""),""-"",""0.00""))"),"Loading...")</f>
        <v>Loading...</v>
      </c>
      <c r="L5373" s="129">
        <v>9.06279548E8</v>
      </c>
      <c r="M5373" s="99">
        <v>1.08</v>
      </c>
    </row>
    <row r="5374">
      <c r="A5374" s="122" t="s">
        <v>11238</v>
      </c>
      <c r="B5374" s="123">
        <v>931584.0</v>
      </c>
      <c r="C5374" s="124" t="s">
        <v>11239</v>
      </c>
      <c r="D5374" s="125"/>
      <c r="E5374" s="126">
        <v>19.12</v>
      </c>
      <c r="F5374" s="127"/>
      <c r="G5374" s="127"/>
      <c r="H5374" s="127"/>
      <c r="I5374" s="128"/>
      <c r="K5374" s="105" t="str">
        <f>IFERROR(__xludf.DUMMYFUNCTION("if(A5374="""","""",substitute(SUBSTITUTE(index(importhtml(""http://finviz.com/quote.ashx?t=""&amp;A5374,""table"",10),7,2),""*"",""""),""-"",""0.00""))"),"Loading...")</f>
        <v>Loading...</v>
      </c>
      <c r="L5374" s="129">
        <v>1.73767252E8</v>
      </c>
      <c r="M5374" s="99">
        <v>1.03</v>
      </c>
    </row>
    <row r="5375">
      <c r="A5375" s="122" t="s">
        <v>11240</v>
      </c>
      <c r="B5375" s="123">
        <v>1370450.0</v>
      </c>
      <c r="C5375" s="124" t="s">
        <v>11241</v>
      </c>
      <c r="D5375" s="125"/>
      <c r="E5375" s="126">
        <v>19.12</v>
      </c>
      <c r="F5375" s="127"/>
      <c r="G5375" s="127"/>
      <c r="H5375" s="127"/>
      <c r="I5375" s="128"/>
      <c r="K5375" s="105" t="str">
        <f>IFERROR(__xludf.DUMMYFUNCTION("if(A5375="""","""",substitute(SUBSTITUTE(index(importhtml(""http://finviz.com/quote.ashx?t=""&amp;A5375,""table"",10),7,2),""*"",""""),""-"",""0.00""))"),"Loading...")</f>
        <v>Loading...</v>
      </c>
      <c r="L5375" s="129">
        <v>2.60926253E8</v>
      </c>
      <c r="M5375" s="99">
        <v>1.45</v>
      </c>
    </row>
    <row r="5376">
      <c r="A5376" s="122" t="s">
        <v>11242</v>
      </c>
      <c r="B5376" s="123">
        <v>1833756.0</v>
      </c>
      <c r="C5376" s="124" t="s">
        <v>11243</v>
      </c>
      <c r="D5376" s="125"/>
      <c r="E5376" s="126">
        <v>19.16</v>
      </c>
      <c r="F5376" s="127"/>
      <c r="G5376" s="127"/>
      <c r="H5376" s="127"/>
      <c r="I5376" s="128"/>
      <c r="K5376" s="55" t="s">
        <v>1034</v>
      </c>
      <c r="L5376" s="129">
        <v>5.027009159E9</v>
      </c>
      <c r="M5376" s="99">
        <v>0.79</v>
      </c>
    </row>
    <row r="5377">
      <c r="A5377" s="122" t="s">
        <v>11244</v>
      </c>
      <c r="B5377" s="123">
        <v>1874113.0</v>
      </c>
      <c r="C5377" s="124" t="s">
        <v>11245</v>
      </c>
      <c r="D5377" s="125"/>
      <c r="E5377" s="126">
        <v>19.16</v>
      </c>
      <c r="F5377" s="127"/>
      <c r="G5377" s="127"/>
      <c r="H5377" s="127"/>
      <c r="I5377" s="128"/>
      <c r="K5377" s="105" t="str">
        <f>IFERROR(__xludf.DUMMYFUNCTION("if(A5377="""","""",substitute(SUBSTITUTE(index(importhtml(""http://finviz.com/quote.ashx?t=""&amp;A5377,""table"",10),7,2),""*"",""""),""-"",""0.00""))"),"Loading...")</f>
        <v>Loading...</v>
      </c>
      <c r="L5377" s="129" t="e">
        <v>#N/A</v>
      </c>
      <c r="M5377" s="99" t="str">
        <f>IFERROR(__xludf.DUMMYFUNCTION("GOOGLEFINANCE(A5377,""beta"")"),"#N/A")</f>
        <v>#N/A</v>
      </c>
    </row>
    <row r="5378">
      <c r="A5378" s="122" t="s">
        <v>11246</v>
      </c>
      <c r="B5378" s="123">
        <v>1393726.0</v>
      </c>
      <c r="C5378" s="124" t="s">
        <v>11247</v>
      </c>
      <c r="D5378" s="125"/>
      <c r="E5378" s="126">
        <v>19.17</v>
      </c>
      <c r="F5378" s="127"/>
      <c r="G5378" s="127"/>
      <c r="H5378" s="127"/>
      <c r="I5378" s="128"/>
      <c r="K5378" s="105" t="str">
        <f>IFERROR(__xludf.DUMMYFUNCTION("if(A5378="""","""",substitute(SUBSTITUTE(index(importhtml(""http://finviz.com/quote.ashx?t=""&amp;A5378,""table"",10),7,2),""*"",""""),""-"",""0.00""))"),"Loading...")</f>
        <v>Loading...</v>
      </c>
      <c r="L5378" s="129">
        <v>7.04492902E8</v>
      </c>
      <c r="M5378" s="99">
        <v>1.24</v>
      </c>
    </row>
    <row r="5379">
      <c r="A5379" s="122" t="s">
        <v>11248</v>
      </c>
      <c r="B5379" s="123">
        <v>1601072.0</v>
      </c>
      <c r="C5379" s="124" t="s">
        <v>11249</v>
      </c>
      <c r="D5379" s="125"/>
      <c r="E5379" s="126">
        <v>19.19</v>
      </c>
      <c r="F5379" s="127"/>
      <c r="G5379" s="127"/>
      <c r="H5379" s="127"/>
      <c r="I5379" s="128"/>
      <c r="K5379" s="138" t="s">
        <v>11250</v>
      </c>
      <c r="L5379" s="129">
        <v>2.039751977E9</v>
      </c>
      <c r="M5379" s="99" t="str">
        <f>IFERROR(__xludf.DUMMYFUNCTION("GOOGLEFINANCE(A5379,""beta"")"),"#N/A")</f>
        <v>#N/A</v>
      </c>
    </row>
    <row r="5380">
      <c r="A5380" s="122" t="s">
        <v>11251</v>
      </c>
      <c r="B5380" s="123">
        <v>1681622.0</v>
      </c>
      <c r="C5380" s="124" t="s">
        <v>11252</v>
      </c>
      <c r="D5380" s="125"/>
      <c r="E5380" s="126">
        <v>19.19</v>
      </c>
      <c r="F5380" s="127"/>
      <c r="G5380" s="127"/>
      <c r="H5380" s="127"/>
      <c r="I5380" s="128"/>
      <c r="K5380" s="105" t="str">
        <f>IFERROR(__xludf.DUMMYFUNCTION("if(A5380="""","""",substitute(SUBSTITUTE(index(importhtml(""http://finviz.com/quote.ashx?t=""&amp;A5380,""table"",10),7,2),""*"",""""),""-"",""0.00""))"),"Loading...")</f>
        <v>Loading...</v>
      </c>
      <c r="L5380" s="129">
        <v>7.77762469E8</v>
      </c>
      <c r="M5380" s="99">
        <v>0.73</v>
      </c>
    </row>
    <row r="5381">
      <c r="A5381" s="122" t="s">
        <v>11253</v>
      </c>
      <c r="B5381" s="123">
        <v>712771.0</v>
      </c>
      <c r="C5381" s="124" t="s">
        <v>11254</v>
      </c>
      <c r="D5381" s="125"/>
      <c r="E5381" s="126">
        <v>19.19</v>
      </c>
      <c r="F5381" s="127"/>
      <c r="G5381" s="127"/>
      <c r="H5381" s="127"/>
      <c r="I5381" s="128"/>
      <c r="K5381" s="105" t="str">
        <f>IFERROR(__xludf.DUMMYFUNCTION("if(A5381="""","""",substitute(SUBSTITUTE(index(importhtml(""http://finviz.com/quote.ashx?t=""&amp;A5381,""table"",10),7,2),""*"",""""),""-"",""0.00""))"),"Loading...")</f>
        <v>Loading...</v>
      </c>
      <c r="L5381" s="129">
        <v>8.3505575E8</v>
      </c>
      <c r="M5381" s="99">
        <f>IFERROR(__xludf.DUMMYFUNCTION("GOOGLEFINANCE(A5381,""beta"")"),0.47)</f>
        <v>0.47</v>
      </c>
    </row>
    <row r="5382">
      <c r="A5382" s="122" t="s">
        <v>11255</v>
      </c>
      <c r="B5382" s="123">
        <v>1278895.0</v>
      </c>
      <c r="C5382" s="124" t="s">
        <v>11256</v>
      </c>
      <c r="D5382" s="125"/>
      <c r="E5382" s="126">
        <v>19.22</v>
      </c>
      <c r="F5382" s="127"/>
      <c r="G5382" s="127"/>
      <c r="H5382" s="127"/>
      <c r="I5382" s="128"/>
      <c r="K5382" s="55" t="s">
        <v>8310</v>
      </c>
      <c r="L5382" s="129">
        <v>8.49984256E8</v>
      </c>
      <c r="M5382" s="99">
        <v>0.98</v>
      </c>
    </row>
    <row r="5383">
      <c r="A5383" s="122" t="s">
        <v>11257</v>
      </c>
      <c r="B5383" s="123">
        <v>799167.0</v>
      </c>
      <c r="C5383" s="124" t="s">
        <v>11258</v>
      </c>
      <c r="D5383" s="125"/>
      <c r="E5383" s="126">
        <v>19.23</v>
      </c>
      <c r="F5383" s="127"/>
      <c r="G5383" s="127"/>
      <c r="H5383" s="127"/>
      <c r="I5383" s="128"/>
      <c r="K5383" s="105" t="str">
        <f>IFERROR(__xludf.DUMMYFUNCTION("if(A5383="""","""",substitute(SUBSTITUTE(index(importhtml(""http://finviz.com/quote.ashx?t=""&amp;A5383,""table"",10),7,2),""*"",""""),""-"",""0.00""))"),"Loading...")</f>
        <v>Loading...</v>
      </c>
      <c r="L5383" s="129">
        <v>1.563632991E9</v>
      </c>
      <c r="M5383" s="99">
        <v>0.77</v>
      </c>
    </row>
    <row r="5384">
      <c r="A5384" s="122" t="s">
        <v>11259</v>
      </c>
      <c r="B5384" s="123">
        <v>1051512.0</v>
      </c>
      <c r="C5384" s="124" t="s">
        <v>11260</v>
      </c>
      <c r="D5384" s="125"/>
      <c r="E5384" s="126">
        <v>19.23</v>
      </c>
      <c r="F5384" s="127"/>
      <c r="G5384" s="127"/>
      <c r="H5384" s="127"/>
      <c r="I5384" s="128"/>
      <c r="K5384" s="105" t="str">
        <f>IFERROR(__xludf.DUMMYFUNCTION("if(A5384="""","""",substitute(SUBSTITUTE(index(importhtml(""http://finviz.com/quote.ashx?t=""&amp;A5384,""table"",10),7,2),""*"",""""),""-"",""0.00""))"),"Loading...")</f>
        <v>Loading...</v>
      </c>
      <c r="L5384" s="129">
        <v>2.038379951E9</v>
      </c>
      <c r="M5384" s="99">
        <v>0.85</v>
      </c>
    </row>
    <row r="5385">
      <c r="A5385" s="122" t="s">
        <v>11261</v>
      </c>
      <c r="B5385" s="123">
        <v>1728688.0</v>
      </c>
      <c r="C5385" s="124" t="s">
        <v>11262</v>
      </c>
      <c r="D5385" s="125"/>
      <c r="E5385" s="126">
        <v>19.24</v>
      </c>
      <c r="F5385" s="127"/>
      <c r="G5385" s="127"/>
      <c r="H5385" s="127"/>
      <c r="I5385" s="128"/>
      <c r="K5385" s="105" t="str">
        <f>IFERROR(__xludf.DUMMYFUNCTION("if(A5385="""","""",substitute(SUBSTITUTE(index(importhtml(""http://finviz.com/quote.ashx?t=""&amp;A5385,""table"",10),7,2),""*"",""""),""-"",""0.00""))"),"Loading...")</f>
        <v>Loading...</v>
      </c>
      <c r="L5385" s="129">
        <v>6.42081697E8</v>
      </c>
      <c r="M5385" s="99">
        <v>1.53</v>
      </c>
    </row>
    <row r="5386">
      <c r="A5386" s="122" t="s">
        <v>11263</v>
      </c>
      <c r="B5386" s="123">
        <v>1563411.0</v>
      </c>
      <c r="C5386" s="124" t="s">
        <v>11264</v>
      </c>
      <c r="D5386" s="125"/>
      <c r="E5386" s="126">
        <v>19.24</v>
      </c>
      <c r="F5386" s="127"/>
      <c r="G5386" s="127"/>
      <c r="H5386" s="127"/>
      <c r="I5386" s="128"/>
      <c r="K5386" s="105" t="str">
        <f>IFERROR(__xludf.DUMMYFUNCTION("if(A5386="""","""",substitute(SUBSTITUTE(index(importhtml(""http://finviz.com/quote.ashx?t=""&amp;A5386,""table"",10),7,2),""*"",""""),""-"",""0.00""))"),"Loading...")</f>
        <v>Loading...</v>
      </c>
      <c r="L5386" s="129">
        <v>2.824812918E9</v>
      </c>
      <c r="M5386" s="99">
        <v>2.01</v>
      </c>
    </row>
    <row r="5387">
      <c r="A5387" s="122" t="s">
        <v>11265</v>
      </c>
      <c r="B5387" s="123">
        <v>847538.0</v>
      </c>
      <c r="C5387" s="124" t="s">
        <v>11266</v>
      </c>
      <c r="D5387" s="125"/>
      <c r="E5387" s="126">
        <v>19.25</v>
      </c>
      <c r="F5387" s="127"/>
      <c r="G5387" s="127"/>
      <c r="H5387" s="127"/>
      <c r="I5387" s="128"/>
      <c r="K5387" s="105" t="str">
        <f>IFERROR(__xludf.DUMMYFUNCTION("if(A5387="""","""",substitute(SUBSTITUTE(index(importhtml(""http://finviz.com/quote.ashx?t=""&amp;A5387,""table"",10),7,2),""*"",""""),""-"",""0.00""))"),"Loading...")</f>
        <v>Loading...</v>
      </c>
      <c r="L5387" s="129">
        <v>9.0668905E7</v>
      </c>
      <c r="M5387" s="99">
        <v>0.5</v>
      </c>
    </row>
    <row r="5388">
      <c r="A5388" s="122" t="s">
        <v>11267</v>
      </c>
      <c r="B5388" s="123">
        <v>1548717.0</v>
      </c>
      <c r="C5388" s="124" t="s">
        <v>11268</v>
      </c>
      <c r="D5388" s="125"/>
      <c r="E5388" s="126">
        <v>19.25</v>
      </c>
      <c r="F5388" s="127"/>
      <c r="G5388" s="127"/>
      <c r="H5388" s="127"/>
      <c r="I5388" s="128"/>
      <c r="K5388" s="105" t="str">
        <f>IFERROR(__xludf.DUMMYFUNCTION("if(A5388="""","""",substitute(SUBSTITUTE(index(importhtml(""http://finviz.com/quote.ashx?t=""&amp;A5388,""table"",10),7,2),""*"",""""),""-"",""0.00""))"),"Loading...")</f>
        <v>Loading...</v>
      </c>
      <c r="L5388" s="129">
        <v>5.59774985E8</v>
      </c>
      <c r="M5388" s="99">
        <v>0.83</v>
      </c>
    </row>
    <row r="5389">
      <c r="A5389" s="122" t="s">
        <v>11269</v>
      </c>
      <c r="B5389" s="123">
        <v>1061630.0</v>
      </c>
      <c r="C5389" s="124" t="s">
        <v>11270</v>
      </c>
      <c r="D5389" s="125"/>
      <c r="E5389" s="126">
        <v>19.25</v>
      </c>
      <c r="F5389" s="127"/>
      <c r="G5389" s="127"/>
      <c r="H5389" s="127"/>
      <c r="I5389" s="128"/>
      <c r="K5389" s="105" t="str">
        <f>IFERROR(__xludf.DUMMYFUNCTION("if(A5389="""","""",substitute(SUBSTITUTE(index(importhtml(""http://finviz.com/quote.ashx?t=""&amp;A5389,""table"",10),7,2),""*"",""""),""-"",""0.00""))"),"Loading...")</f>
        <v>Loading...</v>
      </c>
      <c r="L5389" s="129">
        <v>3.316726875E9</v>
      </c>
      <c r="M5389" s="99">
        <v>1.38</v>
      </c>
    </row>
    <row r="5390">
      <c r="A5390" s="122" t="s">
        <v>11271</v>
      </c>
      <c r="B5390" s="123">
        <v>1866368.0</v>
      </c>
      <c r="C5390" s="124" t="s">
        <v>11272</v>
      </c>
      <c r="D5390" s="125"/>
      <c r="E5390" s="126">
        <v>19.26</v>
      </c>
      <c r="F5390" s="127"/>
      <c r="G5390" s="127"/>
      <c r="H5390" s="127"/>
      <c r="I5390" s="128"/>
      <c r="K5390" s="105" t="str">
        <f>IFERROR(__xludf.DUMMYFUNCTION("if(A5390="""","""",substitute(SUBSTITUTE(index(importhtml(""http://finviz.com/quote.ashx?t=""&amp;A5390,""table"",10),7,2),""*"",""""),""-"",""0.00""))"),"Loading...")</f>
        <v>Loading...</v>
      </c>
      <c r="L5390" s="129">
        <v>4.679222833E9</v>
      </c>
      <c r="M5390" s="99">
        <f>IFERROR(__xludf.DUMMYFUNCTION("GOOGLEFINANCE(A5390,""beta"")"),0.69)</f>
        <v>0.69</v>
      </c>
    </row>
    <row r="5391">
      <c r="A5391" s="122" t="s">
        <v>11273</v>
      </c>
      <c r="B5391" s="123">
        <v>1043219.0</v>
      </c>
      <c r="C5391" s="124" t="s">
        <v>11274</v>
      </c>
      <c r="D5391" s="125"/>
      <c r="E5391" s="126">
        <v>19.26</v>
      </c>
      <c r="F5391" s="127"/>
      <c r="G5391" s="127"/>
      <c r="H5391" s="127"/>
      <c r="I5391" s="128"/>
      <c r="K5391" s="105" t="str">
        <f>IFERROR(__xludf.DUMMYFUNCTION("if(A5391="""","""",substitute(SUBSTITUTE(index(importhtml(""http://finviz.com/quote.ashx?t=""&amp;A5391,""table"",10),7,2),""*"",""""),""-"",""0.00""))"),"Loading...")</f>
        <v>Loading...</v>
      </c>
      <c r="L5391" s="129">
        <v>9.631733514E9</v>
      </c>
      <c r="M5391" s="99">
        <v>1.54</v>
      </c>
    </row>
    <row r="5392">
      <c r="A5392" s="122" t="s">
        <v>11275</v>
      </c>
      <c r="B5392" s="123">
        <v>1513363.0</v>
      </c>
      <c r="C5392" s="124" t="s">
        <v>11276</v>
      </c>
      <c r="D5392" s="125"/>
      <c r="E5392" s="126">
        <v>19.27</v>
      </c>
      <c r="F5392" s="127"/>
      <c r="G5392" s="127"/>
      <c r="H5392" s="127"/>
      <c r="I5392" s="128"/>
      <c r="K5392" s="105" t="str">
        <f>IFERROR(__xludf.DUMMYFUNCTION("if(A5392="""","""",substitute(SUBSTITUTE(index(importhtml(""http://finviz.com/quote.ashx?t=""&amp;A5392,""table"",10),7,2),""*"",""""),""-"",""0.00""))"),"Loading...")</f>
        <v>Loading...</v>
      </c>
      <c r="L5392" s="129">
        <v>5.48298187E8</v>
      </c>
      <c r="M5392" s="99">
        <v>1.29</v>
      </c>
    </row>
    <row r="5393">
      <c r="A5393" s="122" t="s">
        <v>11277</v>
      </c>
      <c r="B5393" s="123">
        <v>1383062.0</v>
      </c>
      <c r="C5393" s="124" t="s">
        <v>11278</v>
      </c>
      <c r="D5393" s="125"/>
      <c r="E5393" s="126">
        <v>19.28</v>
      </c>
      <c r="F5393" s="127"/>
      <c r="G5393" s="127"/>
      <c r="H5393" s="127"/>
      <c r="I5393" s="128"/>
      <c r="K5393" s="55" t="s">
        <v>10983</v>
      </c>
      <c r="L5393" s="129">
        <v>1.09263295E8</v>
      </c>
      <c r="M5393" s="99" t="str">
        <f>IFERROR(__xludf.DUMMYFUNCTION("GOOGLEFINANCE(A5393,""beta"")"),"#N/A")</f>
        <v>#N/A</v>
      </c>
    </row>
    <row r="5394">
      <c r="A5394" s="122" t="s">
        <v>11279</v>
      </c>
      <c r="B5394" s="123">
        <v>1004434.0</v>
      </c>
      <c r="C5394" s="124" t="s">
        <v>11280</v>
      </c>
      <c r="D5394" s="125"/>
      <c r="E5394" s="126">
        <v>19.28</v>
      </c>
      <c r="F5394" s="127"/>
      <c r="G5394" s="127"/>
      <c r="H5394" s="127"/>
      <c r="I5394" s="128"/>
      <c r="K5394" s="105" t="str">
        <f>IFERROR(__xludf.DUMMYFUNCTION("if(A5394="""","""",substitute(SUBSTITUTE(index(importhtml(""http://finviz.com/quote.ashx?t=""&amp;A5394,""table"",10),7,2),""*"",""""),""-"",""0.00""))"),"Loading...")</f>
        <v>Loading...</v>
      </c>
      <c r="L5394" s="129">
        <v>5.059799689E9</v>
      </c>
      <c r="M5394" s="99">
        <v>0.59</v>
      </c>
    </row>
    <row r="5395">
      <c r="A5395" s="122" t="s">
        <v>11281</v>
      </c>
      <c r="B5395" s="123">
        <v>1273685.0</v>
      </c>
      <c r="C5395" s="124" t="s">
        <v>11282</v>
      </c>
      <c r="D5395" s="125"/>
      <c r="E5395" s="126">
        <v>19.31</v>
      </c>
      <c r="F5395" s="127"/>
      <c r="G5395" s="127"/>
      <c r="H5395" s="127"/>
      <c r="I5395" s="128"/>
      <c r="K5395" s="105" t="str">
        <f>IFERROR(__xludf.DUMMYFUNCTION("if(A5395="""","""",substitute(SUBSTITUTE(index(importhtml(""http://finviz.com/quote.ashx?t=""&amp;A5395,""table"",10),7,2),""*"",""""),""-"",""0.00""))"),"Loading...")</f>
        <v>Loading...</v>
      </c>
      <c r="L5395" s="129">
        <v>6.99167629E8</v>
      </c>
      <c r="M5395" s="99" t="str">
        <f>IFERROR(__xludf.DUMMYFUNCTION("GOOGLEFINANCE(A5395,""beta"")"),"#N/A")</f>
        <v>#N/A</v>
      </c>
    </row>
    <row r="5396">
      <c r="A5396" s="122" t="s">
        <v>11283</v>
      </c>
      <c r="B5396" s="123">
        <v>1032033.0</v>
      </c>
      <c r="C5396" s="124" t="s">
        <v>11284</v>
      </c>
      <c r="D5396" s="125"/>
      <c r="E5396" s="126">
        <v>19.31</v>
      </c>
      <c r="F5396" s="127"/>
      <c r="G5396" s="127"/>
      <c r="H5396" s="127"/>
      <c r="I5396" s="128"/>
      <c r="K5396" s="105" t="str">
        <f>IFERROR(__xludf.DUMMYFUNCTION("if(A5396="""","""",substitute(SUBSTITUTE(index(importhtml(""http://finviz.com/quote.ashx?t=""&amp;A5396,""table"",10),7,2),""*"",""""),""-"",""0.00""))"),"Loading...")</f>
        <v>Loading...</v>
      </c>
      <c r="L5396" s="129">
        <v>4.253992882E9</v>
      </c>
      <c r="M5396" s="99">
        <v>1.16</v>
      </c>
    </row>
    <row r="5397">
      <c r="A5397" s="122" t="s">
        <v>11285</v>
      </c>
      <c r="B5397" s="123">
        <v>1333141.0</v>
      </c>
      <c r="C5397" s="124" t="s">
        <v>11286</v>
      </c>
      <c r="D5397" s="125"/>
      <c r="E5397" s="126">
        <v>19.32</v>
      </c>
      <c r="F5397" s="127"/>
      <c r="G5397" s="127"/>
      <c r="H5397" s="127"/>
      <c r="I5397" s="128"/>
      <c r="K5397" s="55" t="s">
        <v>10055</v>
      </c>
      <c r="L5397" s="129">
        <v>1.1204479263E10</v>
      </c>
      <c r="M5397" s="99">
        <v>1.02</v>
      </c>
    </row>
    <row r="5398">
      <c r="A5398" s="122" t="s">
        <v>11287</v>
      </c>
      <c r="B5398" s="123">
        <v>1428205.0</v>
      </c>
      <c r="C5398" s="124" t="s">
        <v>11288</v>
      </c>
      <c r="D5398" s="125"/>
      <c r="E5398" s="126">
        <v>19.32</v>
      </c>
      <c r="F5398" s="127"/>
      <c r="G5398" s="127"/>
      <c r="H5398" s="127"/>
      <c r="I5398" s="128"/>
      <c r="K5398" s="55" t="s">
        <v>11289</v>
      </c>
      <c r="L5398" s="129">
        <v>9.46590726E8</v>
      </c>
      <c r="M5398" s="99">
        <v>1.49</v>
      </c>
    </row>
    <row r="5399">
      <c r="A5399" s="122" t="s">
        <v>11290</v>
      </c>
      <c r="B5399" s="123">
        <v>1606268.0</v>
      </c>
      <c r="C5399" s="124" t="s">
        <v>11291</v>
      </c>
      <c r="D5399" s="125"/>
      <c r="E5399" s="126">
        <v>19.33</v>
      </c>
      <c r="F5399" s="127"/>
      <c r="G5399" s="127"/>
      <c r="H5399" s="127"/>
      <c r="I5399" s="128"/>
      <c r="K5399" s="105" t="str">
        <f>IFERROR(__xludf.DUMMYFUNCTION("if(A5399="""","""",substitute(SUBSTITUTE(index(importhtml(""http://finviz.com/quote.ashx?t=""&amp;A5399,""table"",10),7,2),""*"",""""),""-"",""0.00""))"),"Loading...")</f>
        <v>Loading...</v>
      </c>
      <c r="L5399" s="129">
        <v>7.6811273E7</v>
      </c>
      <c r="M5399" s="99">
        <v>0.76</v>
      </c>
    </row>
    <row r="5400">
      <c r="A5400" s="122" t="s">
        <v>11292</v>
      </c>
      <c r="B5400" s="123">
        <v>1130144.0</v>
      </c>
      <c r="C5400" s="124" t="s">
        <v>11293</v>
      </c>
      <c r="D5400" s="125"/>
      <c r="E5400" s="126">
        <v>19.33</v>
      </c>
      <c r="F5400" s="127"/>
      <c r="G5400" s="127"/>
      <c r="H5400" s="127"/>
      <c r="I5400" s="128"/>
      <c r="K5400" s="105" t="str">
        <f>IFERROR(__xludf.DUMMYFUNCTION("if(A5400="""","""",substitute(SUBSTITUTE(index(importhtml(""http://finviz.com/quote.ashx?t=""&amp;A5400,""table"",10),7,2),""*"",""""),""-"",""0.00""))"),"Loading...")</f>
        <v>Loading...</v>
      </c>
      <c r="L5400" s="129">
        <v>2.85964732E8</v>
      </c>
      <c r="M5400" s="99">
        <v>0.96</v>
      </c>
    </row>
    <row r="5401">
      <c r="A5401" s="122" t="s">
        <v>11294</v>
      </c>
      <c r="B5401" s="123">
        <v>49196.0</v>
      </c>
      <c r="C5401" s="124" t="s">
        <v>11295</v>
      </c>
      <c r="D5401" s="125"/>
      <c r="E5401" s="126">
        <v>19.34</v>
      </c>
      <c r="F5401" s="127"/>
      <c r="G5401" s="127"/>
      <c r="H5401" s="127"/>
      <c r="I5401" s="128"/>
      <c r="K5401" s="105" t="str">
        <f>IFERROR(__xludf.DUMMYFUNCTION("if(A5401="""","""",substitute(SUBSTITUTE(index(importhtml(""http://finviz.com/quote.ashx?t=""&amp;A5401,""table"",10),7,2),""*"",""""),""-"",""0.00""))"),"Loading...")</f>
        <v>Loading...</v>
      </c>
      <c r="L5401" s="129">
        <v>1.823434902E10</v>
      </c>
      <c r="M5401" s="99">
        <f>IFERROR(__xludf.DUMMYFUNCTION("GOOGLEFINANCE(A5401,""beta"")"),0.83)</f>
        <v>0.83</v>
      </c>
    </row>
    <row r="5402">
      <c r="A5402" s="122" t="s">
        <v>11296</v>
      </c>
      <c r="B5402" s="123">
        <v>1551467.0</v>
      </c>
      <c r="C5402" s="124" t="s">
        <v>11297</v>
      </c>
      <c r="D5402" s="125"/>
      <c r="E5402" s="126">
        <v>19.34</v>
      </c>
      <c r="F5402" s="127"/>
      <c r="G5402" s="127"/>
      <c r="H5402" s="127"/>
      <c r="I5402" s="128"/>
      <c r="K5402" s="105" t="str">
        <f>IFERROR(__xludf.DUMMYFUNCTION("if(A5402="""","""",substitute(SUBSTITUTE(index(importhtml(""http://finviz.com/quote.ashx?t=""&amp;A5402,""table"",10),7,2),""*"",""""),""-"",""0.00""))"),"Loading...")</f>
        <v>Loading...</v>
      </c>
      <c r="L5402" s="129">
        <v>1.5340062336E12</v>
      </c>
      <c r="M5402" s="99">
        <v>0.36</v>
      </c>
    </row>
    <row r="5403">
      <c r="A5403" s="122" t="s">
        <v>11298</v>
      </c>
      <c r="B5403" s="123">
        <v>1781730.0</v>
      </c>
      <c r="C5403" s="124" t="s">
        <v>11299</v>
      </c>
      <c r="D5403" s="125"/>
      <c r="E5403" s="126">
        <v>19.35</v>
      </c>
      <c r="F5403" s="127"/>
      <c r="G5403" s="127"/>
      <c r="H5403" s="127"/>
      <c r="I5403" s="128"/>
      <c r="K5403" s="105" t="str">
        <f>IFERROR(__xludf.DUMMYFUNCTION("if(A5403="""","""",substitute(SUBSTITUTE(index(importhtml(""http://finviz.com/quote.ashx?t=""&amp;A5403,""table"",10),7,2),""*"",""""),""-"",""0.00""))"),"Loading...")</f>
        <v>Loading...</v>
      </c>
      <c r="L5403" s="129">
        <v>2.63250176E8</v>
      </c>
      <c r="M5403" s="99">
        <f>IFERROR(__xludf.DUMMYFUNCTION("GOOGLEFINANCE(A5403,""beta"")"),0.73)</f>
        <v>0.73</v>
      </c>
    </row>
    <row r="5404">
      <c r="A5404" s="122" t="s">
        <v>11300</v>
      </c>
      <c r="B5404" s="123">
        <v>701347.0</v>
      </c>
      <c r="C5404" s="124" t="s">
        <v>11301</v>
      </c>
      <c r="D5404" s="125"/>
      <c r="E5404" s="126">
        <v>19.36</v>
      </c>
      <c r="F5404" s="127"/>
      <c r="G5404" s="127"/>
      <c r="H5404" s="127"/>
      <c r="I5404" s="128"/>
      <c r="K5404" s="55" t="s">
        <v>11302</v>
      </c>
      <c r="L5404" s="129">
        <v>5.23555594E8</v>
      </c>
      <c r="M5404" s="99">
        <v>1.16</v>
      </c>
    </row>
    <row r="5405">
      <c r="A5405" s="122" t="s">
        <v>11303</v>
      </c>
      <c r="B5405" s="123">
        <v>63330.0</v>
      </c>
      <c r="C5405" s="124" t="s">
        <v>11304</v>
      </c>
      <c r="D5405" s="125"/>
      <c r="E5405" s="126">
        <v>19.36</v>
      </c>
      <c r="F5405" s="127"/>
      <c r="G5405" s="127"/>
      <c r="H5405" s="127"/>
      <c r="I5405" s="128"/>
      <c r="K5405" s="105" t="str">
        <f>IFERROR(__xludf.DUMMYFUNCTION("if(A5405="""","""",substitute(SUBSTITUTE(index(importhtml(""http://finviz.com/quote.ashx?t=""&amp;A5405,""table"",10),7,2),""*"",""""),""-"",""0.00""))"),"Loading...")</f>
        <v>Loading...</v>
      </c>
      <c r="L5405" s="129">
        <v>3.79924911E8</v>
      </c>
      <c r="M5405" s="99">
        <v>0.46</v>
      </c>
    </row>
    <row r="5406">
      <c r="A5406" s="122" t="s">
        <v>11305</v>
      </c>
      <c r="B5406" s="123">
        <v>1376227.0</v>
      </c>
      <c r="C5406" s="124" t="s">
        <v>11306</v>
      </c>
      <c r="D5406" s="125"/>
      <c r="E5406" s="126">
        <v>19.36</v>
      </c>
      <c r="F5406" s="127"/>
      <c r="G5406" s="127"/>
      <c r="H5406" s="127"/>
      <c r="I5406" s="128"/>
      <c r="K5406" s="105" t="str">
        <f>IFERROR(__xludf.DUMMYFUNCTION("if(A5406="""","""",substitute(SUBSTITUTE(index(importhtml(""http://finviz.com/quote.ashx?t=""&amp;A5406,""table"",10),7,2),""*"",""""),""-"",""0.00""))"),"Loading...")</f>
        <v>Loading...</v>
      </c>
      <c r="L5406" s="129">
        <v>2.646212003E9</v>
      </c>
      <c r="M5406" s="99" t="str">
        <f>IFERROR(__xludf.DUMMYFUNCTION("GOOGLEFINANCE(A5406,""beta"")"),"#N/A")</f>
        <v>#N/A</v>
      </c>
    </row>
    <row r="5407">
      <c r="A5407" s="122" t="s">
        <v>11307</v>
      </c>
      <c r="B5407" s="123">
        <v>1883313.0</v>
      </c>
      <c r="C5407" s="124" t="s">
        <v>11308</v>
      </c>
      <c r="D5407" s="125"/>
      <c r="E5407" s="126">
        <v>19.36</v>
      </c>
      <c r="F5407" s="127"/>
      <c r="G5407" s="127"/>
      <c r="H5407" s="127"/>
      <c r="I5407" s="128"/>
      <c r="K5407" s="105" t="str">
        <f>IFERROR(__xludf.DUMMYFUNCTION("if(A5407="""","""",substitute(SUBSTITUTE(index(importhtml(""http://finviz.com/quote.ashx?t=""&amp;A5407,""table"",10),7,2),""*"",""""),""-"",""0.00""))"),"Loading...")</f>
        <v>Loading...</v>
      </c>
      <c r="L5407" s="129">
        <v>3.106362433E9</v>
      </c>
      <c r="M5407" s="99" t="str">
        <f>IFERROR(__xludf.DUMMYFUNCTION("GOOGLEFINANCE(A5407,""beta"")"),"#N/A")</f>
        <v>#N/A</v>
      </c>
    </row>
    <row r="5408">
      <c r="A5408" s="122" t="s">
        <v>11309</v>
      </c>
      <c r="B5408" s="123">
        <v>1130889.0</v>
      </c>
      <c r="C5408" s="124" t="s">
        <v>11310</v>
      </c>
      <c r="D5408" s="125"/>
      <c r="E5408" s="126">
        <v>19.37</v>
      </c>
      <c r="F5408" s="127"/>
      <c r="G5408" s="127"/>
      <c r="H5408" s="127"/>
      <c r="I5408" s="128"/>
      <c r="K5408" s="105" t="str">
        <f>IFERROR(__xludf.DUMMYFUNCTION("if(A5408="""","""",substitute(SUBSTITUTE(index(importhtml(""http://finviz.com/quote.ashx?t=""&amp;A5408,""table"",10),7,2),""*"",""""),""-"",""0.00""))"),"Loading...")</f>
        <v>Loading...</v>
      </c>
      <c r="L5408" s="129" t="e">
        <v>#N/A</v>
      </c>
      <c r="M5408" s="99" t="str">
        <f>IFERROR(__xludf.DUMMYFUNCTION("GOOGLEFINANCE(A5408,""beta"")"),"#N/A")</f>
        <v>#N/A</v>
      </c>
    </row>
    <row r="5409">
      <c r="A5409" s="122" t="s">
        <v>11311</v>
      </c>
      <c r="B5409" s="123">
        <v>88941.0</v>
      </c>
      <c r="C5409" s="124" t="s">
        <v>11312</v>
      </c>
      <c r="D5409" s="125"/>
      <c r="E5409" s="126">
        <v>19.38</v>
      </c>
      <c r="F5409" s="127"/>
      <c r="G5409" s="127"/>
      <c r="H5409" s="127"/>
      <c r="I5409" s="128"/>
      <c r="K5409" s="105" t="str">
        <f>IFERROR(__xludf.DUMMYFUNCTION("if(A5409="""","""",substitute(SUBSTITUTE(index(importhtml(""http://finviz.com/quote.ashx?t=""&amp;A5409,""table"",10),7,2),""*"",""""),""-"",""0.00""))"),"Loading...")</f>
        <v>Loading...</v>
      </c>
      <c r="L5409" s="129">
        <v>1.245838788E9</v>
      </c>
      <c r="M5409" s="99">
        <v>1.83</v>
      </c>
    </row>
    <row r="5410">
      <c r="A5410" s="122" t="s">
        <v>11313</v>
      </c>
      <c r="B5410" s="123">
        <v>1510599.0</v>
      </c>
      <c r="C5410" s="124" t="s">
        <v>11314</v>
      </c>
      <c r="D5410" s="125"/>
      <c r="E5410" s="126">
        <v>19.38</v>
      </c>
      <c r="F5410" s="127"/>
      <c r="G5410" s="127"/>
      <c r="H5410" s="127"/>
      <c r="I5410" s="128"/>
      <c r="K5410" s="105" t="str">
        <f>IFERROR(__xludf.DUMMYFUNCTION("if(A5410="""","""",substitute(SUBSTITUTE(index(importhtml(""http://finviz.com/quote.ashx?t=""&amp;A5410,""table"",10),7,2),""*"",""""),""-"",""0.00""))"),"Loading...")</f>
        <v>Loading...</v>
      </c>
      <c r="L5410" s="129">
        <v>5.304069334E9</v>
      </c>
      <c r="M5410" s="99">
        <v>0.7</v>
      </c>
    </row>
    <row r="5411">
      <c r="A5411" s="122" t="s">
        <v>11315</v>
      </c>
      <c r="B5411" s="123">
        <v>1687221.0</v>
      </c>
      <c r="C5411" s="124" t="s">
        <v>11316</v>
      </c>
      <c r="D5411" s="125"/>
      <c r="E5411" s="126">
        <v>19.39</v>
      </c>
      <c r="F5411" s="127"/>
      <c r="G5411" s="127"/>
      <c r="H5411" s="127"/>
      <c r="I5411" s="128"/>
      <c r="K5411" s="105" t="str">
        <f>IFERROR(__xludf.DUMMYFUNCTION("if(A5411="""","""",substitute(SUBSTITUTE(index(importhtml(""http://finviz.com/quote.ashx?t=""&amp;A5411,""table"",10),7,2),""*"",""""),""-"",""0.00""))"),"Loading...")</f>
        <v>Loading...</v>
      </c>
      <c r="L5411" s="129">
        <v>1.158326763E9</v>
      </c>
      <c r="M5411" s="99">
        <v>1.67</v>
      </c>
    </row>
    <row r="5412">
      <c r="A5412" s="122" t="s">
        <v>11317</v>
      </c>
      <c r="B5412" s="123">
        <v>1308335.0</v>
      </c>
      <c r="C5412" s="124" t="s">
        <v>11318</v>
      </c>
      <c r="D5412" s="125"/>
      <c r="E5412" s="126">
        <v>19.4</v>
      </c>
      <c r="F5412" s="127"/>
      <c r="G5412" s="127"/>
      <c r="H5412" s="127"/>
      <c r="I5412" s="128"/>
      <c r="K5412" s="55" t="s">
        <v>10278</v>
      </c>
      <c r="L5412" s="129">
        <v>1.014352648E9</v>
      </c>
      <c r="M5412" s="99">
        <v>1.21</v>
      </c>
    </row>
    <row r="5413">
      <c r="A5413" s="122" t="s">
        <v>11319</v>
      </c>
      <c r="B5413" s="123">
        <v>1070750.0</v>
      </c>
      <c r="C5413" s="124" t="s">
        <v>11320</v>
      </c>
      <c r="D5413" s="125"/>
      <c r="E5413" s="126">
        <v>19.41</v>
      </c>
      <c r="F5413" s="127"/>
      <c r="G5413" s="127"/>
      <c r="H5413" s="127"/>
      <c r="I5413" s="128"/>
      <c r="K5413" s="105" t="str">
        <f>IFERROR(__xludf.DUMMYFUNCTION("if(A5413="""","""",substitute(SUBSTITUTE(index(importhtml(""http://finviz.com/quote.ashx?t=""&amp;A5413,""table"",10),7,2),""*"",""""),""-"",""0.00""))"),"Loading...")</f>
        <v>Loading...</v>
      </c>
      <c r="L5413" s="129">
        <v>1.3692534003E10</v>
      </c>
      <c r="M5413" s="99">
        <v>1.29</v>
      </c>
    </row>
    <row r="5414">
      <c r="A5414" s="122" t="s">
        <v>11321</v>
      </c>
      <c r="B5414" s="123">
        <v>775215.0</v>
      </c>
      <c r="C5414" s="124" t="s">
        <v>11322</v>
      </c>
      <c r="D5414" s="125"/>
      <c r="E5414" s="126">
        <v>19.42</v>
      </c>
      <c r="F5414" s="127"/>
      <c r="G5414" s="127"/>
      <c r="H5414" s="127"/>
      <c r="I5414" s="128"/>
      <c r="K5414" s="105" t="str">
        <f>IFERROR(__xludf.DUMMYFUNCTION("if(A5414="""","""",substitute(SUBSTITUTE(index(importhtml(""http://finviz.com/quote.ashx?t=""&amp;A5414,""table"",10),7,2),""*"",""""),""-"",""0.00""))"),"Loading...")</f>
        <v>Loading...</v>
      </c>
      <c r="L5414" s="129">
        <v>6.15532826E8</v>
      </c>
      <c r="M5414" s="99">
        <v>0.88</v>
      </c>
    </row>
    <row r="5415">
      <c r="A5415" s="122" t="s">
        <v>11323</v>
      </c>
      <c r="B5415" s="123">
        <v>1450923.0</v>
      </c>
      <c r="C5415" s="124" t="s">
        <v>11324</v>
      </c>
      <c r="D5415" s="125"/>
      <c r="E5415" s="126">
        <v>19.46</v>
      </c>
      <c r="F5415" s="127"/>
      <c r="G5415" s="127"/>
      <c r="H5415" s="127"/>
      <c r="I5415" s="128"/>
      <c r="K5415" s="105" t="str">
        <f>IFERROR(__xludf.DUMMYFUNCTION("if(A5415="""","""",substitute(SUBSTITUTE(index(importhtml(""http://finviz.com/quote.ashx?t=""&amp;A5415,""table"",10),7,2),""*"",""""),""-"",""0.00""))"),"Loading...")</f>
        <v>Loading...</v>
      </c>
      <c r="L5415" s="129" t="e">
        <v>#N/A</v>
      </c>
      <c r="M5415" s="99" t="str">
        <f>IFERROR(__xludf.DUMMYFUNCTION("GOOGLEFINANCE(A5415,""beta"")"),"#N/A")</f>
        <v>#N/A</v>
      </c>
    </row>
    <row r="5416">
      <c r="A5416" s="122" t="s">
        <v>11325</v>
      </c>
      <c r="B5416" s="123">
        <v>1158172.0</v>
      </c>
      <c r="C5416" s="124" t="s">
        <v>11326</v>
      </c>
      <c r="D5416" s="125"/>
      <c r="E5416" s="126">
        <v>19.47</v>
      </c>
      <c r="F5416" s="127"/>
      <c r="G5416" s="127"/>
      <c r="H5416" s="127"/>
      <c r="I5416" s="128"/>
      <c r="K5416" s="105" t="str">
        <f>IFERROR(__xludf.DUMMYFUNCTION("if(A5416="""","""",substitute(SUBSTITUTE(index(importhtml(""http://finviz.com/quote.ashx?t=""&amp;A5416,""table"",10),7,2),""*"",""""),""-"",""0.00""))"),"Loading...")</f>
        <v>Loading...</v>
      </c>
      <c r="L5416" s="129">
        <v>1.851657681E9</v>
      </c>
      <c r="M5416" s="99">
        <v>1.08</v>
      </c>
    </row>
    <row r="5417">
      <c r="A5417" s="122" t="s">
        <v>11327</v>
      </c>
      <c r="B5417" s="123">
        <v>887343.0</v>
      </c>
      <c r="C5417" s="124" t="s">
        <v>11328</v>
      </c>
      <c r="D5417" s="125"/>
      <c r="E5417" s="126">
        <v>19.5</v>
      </c>
      <c r="F5417" s="127"/>
      <c r="G5417" s="127"/>
      <c r="H5417" s="127"/>
      <c r="I5417" s="128"/>
      <c r="K5417" s="105" t="str">
        <f>IFERROR(__xludf.DUMMYFUNCTION("if(A5417="""","""",substitute(SUBSTITUTE(index(importhtml(""http://finviz.com/quote.ashx?t=""&amp;A5417,""table"",10),7,2),""*"",""""),""-"",""0.00""))"),"Loading...")</f>
        <v>Loading...</v>
      </c>
      <c r="L5417" s="129">
        <v>4.06740555E9</v>
      </c>
      <c r="M5417" s="99">
        <v>0.73</v>
      </c>
    </row>
    <row r="5418">
      <c r="A5418" s="122" t="s">
        <v>11329</v>
      </c>
      <c r="B5418" s="123">
        <v>1395213.0</v>
      </c>
      <c r="C5418" s="124" t="s">
        <v>11330</v>
      </c>
      <c r="D5418" s="125"/>
      <c r="E5418" s="126">
        <v>19.51</v>
      </c>
      <c r="F5418" s="127"/>
      <c r="G5418" s="127"/>
      <c r="H5418" s="127"/>
      <c r="I5418" s="128"/>
      <c r="K5418" s="55" t="s">
        <v>1034</v>
      </c>
      <c r="L5418" s="129">
        <v>6.73443651E8</v>
      </c>
      <c r="M5418" s="99">
        <v>1.46</v>
      </c>
    </row>
    <row r="5419">
      <c r="A5419" s="122" t="s">
        <v>11331</v>
      </c>
      <c r="B5419" s="123">
        <v>1936258.0</v>
      </c>
      <c r="C5419" s="124" t="s">
        <v>11332</v>
      </c>
      <c r="D5419" s="125"/>
      <c r="E5419" s="126">
        <v>19.55</v>
      </c>
      <c r="F5419" s="127"/>
      <c r="G5419" s="127"/>
      <c r="H5419" s="127"/>
      <c r="I5419" s="128"/>
      <c r="K5419" s="105" t="str">
        <f>IFERROR(__xludf.DUMMYFUNCTION("if(A5419="""","""",substitute(SUBSTITUTE(index(importhtml(""http://finviz.com/quote.ashx?t=""&amp;A5419,""table"",10),7,2),""*"",""""),""-"",""0.00""))"),"Loading...")</f>
        <v>Loading...</v>
      </c>
      <c r="L5419" s="129">
        <v>1.944137894E9</v>
      </c>
      <c r="M5419" s="99">
        <f>IFERROR(__xludf.DUMMYFUNCTION("GOOGLEFINANCE(A5419,""beta"")"),0.06)</f>
        <v>0.06</v>
      </c>
    </row>
    <row r="5420">
      <c r="A5420" s="122" t="s">
        <v>11333</v>
      </c>
      <c r="B5420" s="123">
        <v>1498612.0</v>
      </c>
      <c r="C5420" s="124" t="s">
        <v>11334</v>
      </c>
      <c r="D5420" s="125"/>
      <c r="E5420" s="126">
        <v>19.57</v>
      </c>
      <c r="F5420" s="127"/>
      <c r="G5420" s="127"/>
      <c r="H5420" s="127"/>
      <c r="I5420" s="128"/>
      <c r="K5420" s="105" t="str">
        <f>IFERROR(__xludf.DUMMYFUNCTION("if(A5420="""","""",substitute(SUBSTITUTE(index(importhtml(""http://finviz.com/quote.ashx?t=""&amp;A5420,""table"",10),7,2),""*"",""""),""-"",""0.00""))"),"Loading...")</f>
        <v>Loading...</v>
      </c>
      <c r="L5420" s="129">
        <v>2.35360949E8</v>
      </c>
      <c r="M5420" s="99">
        <v>1.06</v>
      </c>
    </row>
    <row r="5421">
      <c r="A5421" s="122" t="s">
        <v>11335</v>
      </c>
      <c r="B5421" s="123">
        <v>1570585.0</v>
      </c>
      <c r="C5421" s="124" t="s">
        <v>11336</v>
      </c>
      <c r="D5421" s="125"/>
      <c r="E5421" s="126">
        <v>19.58</v>
      </c>
      <c r="F5421" s="127"/>
      <c r="G5421" s="127"/>
      <c r="H5421" s="127"/>
      <c r="I5421" s="128"/>
      <c r="K5421" s="105" t="str">
        <f>IFERROR(__xludf.DUMMYFUNCTION("if(A5421="""","""",substitute(SUBSTITUTE(index(importhtml(""http://finviz.com/quote.ashx?t=""&amp;A5421,""table"",10),7,2),""*"",""""),""-"",""0.00""))"),"Loading...")</f>
        <v>Loading...</v>
      </c>
      <c r="L5421" s="129">
        <v>7.869493711E9</v>
      </c>
      <c r="M5421" s="99">
        <v>1.23</v>
      </c>
    </row>
    <row r="5422">
      <c r="A5422" s="122" t="s">
        <v>11337</v>
      </c>
      <c r="B5422" s="123">
        <v>1042046.0</v>
      </c>
      <c r="C5422" s="124" t="s">
        <v>11338</v>
      </c>
      <c r="D5422" s="125"/>
      <c r="E5422" s="126">
        <v>19.58</v>
      </c>
      <c r="F5422" s="127"/>
      <c r="G5422" s="127"/>
      <c r="H5422" s="127"/>
      <c r="I5422" s="128"/>
      <c r="K5422" s="105" t="str">
        <f>IFERROR(__xludf.DUMMYFUNCTION("if(A5422="""","""",substitute(SUBSTITUTE(index(importhtml(""http://finviz.com/quote.ashx?t=""&amp;A5422,""table"",10),7,2),""*"",""""),""-"",""0.00""))"),"Loading...")</f>
        <v>Loading...</v>
      </c>
      <c r="L5422" s="129">
        <v>9.91845369E9</v>
      </c>
      <c r="M5422" s="99">
        <v>0.59</v>
      </c>
    </row>
    <row r="5423">
      <c r="A5423" s="122" t="s">
        <v>11339</v>
      </c>
      <c r="B5423" s="123">
        <v>1856314.0</v>
      </c>
      <c r="C5423" s="124" t="s">
        <v>11340</v>
      </c>
      <c r="D5423" s="125"/>
      <c r="E5423" s="126">
        <v>19.6</v>
      </c>
      <c r="F5423" s="127"/>
      <c r="G5423" s="127"/>
      <c r="H5423" s="127"/>
      <c r="I5423" s="128"/>
      <c r="K5423" s="105" t="str">
        <f>IFERROR(__xludf.DUMMYFUNCTION("if(A5423="""","""",substitute(SUBSTITUTE(index(importhtml(""http://finviz.com/quote.ashx?t=""&amp;A5423,""table"",10),7,2),""*"",""""),""-"",""0.00""))"),"Loading...")</f>
        <v>Loading...</v>
      </c>
      <c r="L5423" s="129">
        <v>2.955781977E9</v>
      </c>
      <c r="M5423" s="99">
        <f>IFERROR(__xludf.DUMMYFUNCTION("GOOGLEFINANCE(A5423,""beta"")"),1.23)</f>
        <v>1.23</v>
      </c>
    </row>
    <row r="5424">
      <c r="A5424" s="122" t="s">
        <v>11341</v>
      </c>
      <c r="B5424" s="123">
        <v>1498632.0</v>
      </c>
      <c r="C5424" s="124" t="s">
        <v>11342</v>
      </c>
      <c r="D5424" s="125"/>
      <c r="E5424" s="126">
        <v>19.6</v>
      </c>
      <c r="F5424" s="127"/>
      <c r="G5424" s="127"/>
      <c r="H5424" s="127"/>
      <c r="I5424" s="128"/>
      <c r="K5424" s="105" t="str">
        <f>IFERROR(__xludf.DUMMYFUNCTION("if(A5424="""","""",substitute(SUBSTITUTE(index(importhtml(""http://finviz.com/quote.ashx?t=""&amp;A5424,""table"",10),7,2),""*"",""""),""-"",""0.00""))"),"Loading...")</f>
        <v>Loading...</v>
      </c>
      <c r="L5424" s="129" t="e">
        <v>#N/A</v>
      </c>
      <c r="M5424" s="99">
        <v>1.34</v>
      </c>
    </row>
    <row r="5425">
      <c r="A5425" s="122" t="s">
        <v>11343</v>
      </c>
      <c r="B5425" s="123">
        <v>917100.0</v>
      </c>
      <c r="C5425" s="124" t="s">
        <v>11344</v>
      </c>
      <c r="D5425" s="125"/>
      <c r="E5425" s="126">
        <v>19.63</v>
      </c>
      <c r="F5425" s="127"/>
      <c r="G5425" s="127"/>
      <c r="H5425" s="127"/>
      <c r="I5425" s="128"/>
      <c r="K5425" s="105" t="str">
        <f>IFERROR(__xludf.DUMMYFUNCTION("if(A5425="""","""",substitute(SUBSTITUTE(index(importhtml(""http://finviz.com/quote.ashx?t=""&amp;A5425,""table"",10),7,2),""*"",""""),""-"",""0.00""))"),"Loading...")</f>
        <v>Loading...</v>
      </c>
      <c r="L5425" s="129">
        <v>5.89725023E8</v>
      </c>
      <c r="M5425" s="99">
        <v>0.8</v>
      </c>
    </row>
    <row r="5426">
      <c r="A5426" s="122" t="s">
        <v>11345</v>
      </c>
      <c r="B5426" s="123">
        <v>6207.0</v>
      </c>
      <c r="C5426" s="124" t="s">
        <v>11346</v>
      </c>
      <c r="D5426" s="125"/>
      <c r="E5426" s="126">
        <v>19.66</v>
      </c>
      <c r="F5426" s="127"/>
      <c r="G5426" s="127"/>
      <c r="H5426" s="127"/>
      <c r="I5426" s="128"/>
      <c r="K5426" s="55" t="s">
        <v>1034</v>
      </c>
      <c r="L5426" s="129">
        <v>1.03633934E8</v>
      </c>
      <c r="M5426" s="99">
        <v>0.96</v>
      </c>
    </row>
    <row r="5427">
      <c r="A5427" s="122" t="s">
        <v>11347</v>
      </c>
      <c r="B5427" s="123">
        <v>109380.0</v>
      </c>
      <c r="C5427" s="124" t="s">
        <v>11348</v>
      </c>
      <c r="D5427" s="125"/>
      <c r="E5427" s="126">
        <v>19.66</v>
      </c>
      <c r="F5427" s="127"/>
      <c r="G5427" s="127"/>
      <c r="H5427" s="127"/>
      <c r="I5427" s="128"/>
      <c r="K5427" s="105" t="str">
        <f>IFERROR(__xludf.DUMMYFUNCTION("if(A5427="""","""",substitute(SUBSTITUTE(index(importhtml(""http://finviz.com/quote.ashx?t=""&amp;A5427,""table"",10),7,2),""*"",""""),""-"",""0.00""))"),"Loading...")</f>
        <v>Loading...</v>
      </c>
      <c r="L5427" s="129">
        <v>5.874096181E9</v>
      </c>
      <c r="M5427" s="99">
        <v>0.22</v>
      </c>
    </row>
    <row r="5428">
      <c r="A5428" s="122" t="s">
        <v>11349</v>
      </c>
      <c r="B5428" s="123">
        <v>75252.0</v>
      </c>
      <c r="C5428" s="124" t="s">
        <v>11350</v>
      </c>
      <c r="D5428" s="125"/>
      <c r="E5428" s="126">
        <v>19.67</v>
      </c>
      <c r="F5428" s="127"/>
      <c r="G5428" s="127"/>
      <c r="H5428" s="127"/>
      <c r="I5428" s="128"/>
      <c r="K5428" s="105" t="str">
        <f>IFERROR(__xludf.DUMMYFUNCTION("if(A5428="""","""",substitute(SUBSTITUTE(index(importhtml(""http://finviz.com/quote.ashx?t=""&amp;A5428,""table"",10),7,2),""*"",""""),""-"",""0.00""))"),"Loading...")</f>
        <v>Loading...</v>
      </c>
      <c r="L5428" s="129">
        <v>1.504775462E9</v>
      </c>
      <c r="M5428" s="99">
        <v>0.34</v>
      </c>
    </row>
    <row r="5429">
      <c r="A5429" s="122" t="s">
        <v>11351</v>
      </c>
      <c r="B5429" s="123">
        <v>1173382.0</v>
      </c>
      <c r="C5429" s="124" t="s">
        <v>11352</v>
      </c>
      <c r="D5429" s="125"/>
      <c r="E5429" s="126">
        <v>19.68</v>
      </c>
      <c r="F5429" s="127"/>
      <c r="G5429" s="127"/>
      <c r="H5429" s="127"/>
      <c r="I5429" s="128"/>
      <c r="K5429" s="55" t="s">
        <v>4180</v>
      </c>
      <c r="L5429" s="129">
        <v>6.263463169E9</v>
      </c>
      <c r="M5429" s="99">
        <v>1.6</v>
      </c>
    </row>
    <row r="5430">
      <c r="A5430" s="122" t="s">
        <v>11353</v>
      </c>
      <c r="B5430" s="123">
        <v>1024672.0</v>
      </c>
      <c r="C5430" s="124" t="s">
        <v>11354</v>
      </c>
      <c r="D5430" s="125"/>
      <c r="E5430" s="126">
        <v>19.68</v>
      </c>
      <c r="F5430" s="127"/>
      <c r="G5430" s="127"/>
      <c r="H5430" s="127"/>
      <c r="I5430" s="128"/>
      <c r="K5430" s="105" t="str">
        <f>IFERROR(__xludf.DUMMYFUNCTION("if(A5430="""","""",substitute(SUBSTITUTE(index(importhtml(""http://finviz.com/quote.ashx?t=""&amp;A5430,""table"",10),7,2),""*"",""""),""-"",""0.00""))"),"Loading...")</f>
        <v>Loading...</v>
      </c>
      <c r="L5430" s="129">
        <v>1.16386813E8</v>
      </c>
      <c r="M5430" s="99">
        <v>-1.79</v>
      </c>
    </row>
    <row r="5431">
      <c r="A5431" s="122" t="s">
        <v>11355</v>
      </c>
      <c r="B5431" s="123">
        <v>1132651.0</v>
      </c>
      <c r="C5431" s="124" t="s">
        <v>11356</v>
      </c>
      <c r="D5431" s="125"/>
      <c r="E5431" s="126">
        <v>19.68</v>
      </c>
      <c r="F5431" s="127"/>
      <c r="G5431" s="127"/>
      <c r="H5431" s="127"/>
      <c r="I5431" s="128"/>
      <c r="K5431" s="105" t="str">
        <f>IFERROR(__xludf.DUMMYFUNCTION("if(A5431="""","""",substitute(SUBSTITUTE(index(importhtml(""http://finviz.com/quote.ashx?t=""&amp;A5431,""table"",10),7,2),""*"",""""),""-"",""0.00""))"),"Loading...")</f>
        <v>Loading...</v>
      </c>
      <c r="L5431" s="129">
        <v>1.76965829E8</v>
      </c>
      <c r="M5431" s="99">
        <v>0.61</v>
      </c>
    </row>
    <row r="5432">
      <c r="A5432" s="122" t="s">
        <v>11357</v>
      </c>
      <c r="B5432" s="123">
        <v>1351636.0</v>
      </c>
      <c r="C5432" s="124" t="s">
        <v>11358</v>
      </c>
      <c r="D5432" s="125"/>
      <c r="E5432" s="126">
        <v>19.69</v>
      </c>
      <c r="F5432" s="127"/>
      <c r="G5432" s="127"/>
      <c r="H5432" s="127"/>
      <c r="I5432" s="128"/>
      <c r="K5432" s="105" t="str">
        <f>IFERROR(__xludf.DUMMYFUNCTION("if(A5432="""","""",substitute(SUBSTITUTE(index(importhtml(""http://finviz.com/quote.ashx?t=""&amp;A5432,""table"",10),7,2),""*"",""""),""-"",""0.00""))"),"Loading...")</f>
        <v>Loading...</v>
      </c>
      <c r="L5432" s="129">
        <v>2.5046862E8</v>
      </c>
      <c r="M5432" s="99">
        <v>1.27</v>
      </c>
    </row>
    <row r="5433">
      <c r="A5433" s="122" t="s">
        <v>11359</v>
      </c>
      <c r="B5433" s="123">
        <v>1443575.0</v>
      </c>
      <c r="C5433" s="124" t="s">
        <v>11360</v>
      </c>
      <c r="D5433" s="125"/>
      <c r="E5433" s="126">
        <v>19.69</v>
      </c>
      <c r="F5433" s="127"/>
      <c r="G5433" s="127"/>
      <c r="H5433" s="127"/>
      <c r="I5433" s="128"/>
      <c r="K5433" s="105" t="str">
        <f>IFERROR(__xludf.DUMMYFUNCTION("if(A5433="""","""",substitute(SUBSTITUTE(index(importhtml(""http://finviz.com/quote.ashx?t=""&amp;A5433,""table"",10),7,2),""*"",""""),""-"",""0.00""))"),"Loading...")</f>
        <v>Loading...</v>
      </c>
      <c r="L5433" s="129" t="e">
        <v>#N/A</v>
      </c>
      <c r="M5433" s="99">
        <v>0.67</v>
      </c>
    </row>
    <row r="5434">
      <c r="A5434" s="122" t="s">
        <v>11361</v>
      </c>
      <c r="B5434" s="123">
        <v>1546652.0</v>
      </c>
      <c r="C5434" s="124" t="s">
        <v>11362</v>
      </c>
      <c r="D5434" s="125"/>
      <c r="E5434" s="126">
        <v>19.7</v>
      </c>
      <c r="F5434" s="127"/>
      <c r="G5434" s="127"/>
      <c r="H5434" s="127"/>
      <c r="I5434" s="128"/>
      <c r="K5434" s="105" t="str">
        <f>IFERROR(__xludf.DUMMYFUNCTION("if(A5434="""","""",substitute(SUBSTITUTE(index(importhtml(""http://finviz.com/quote.ashx?t=""&amp;A5434,""table"",10),7,2),""*"",""""),""-"",""0.00""))"),"Loading...")</f>
        <v>Loading...</v>
      </c>
      <c r="L5434" s="129" t="e">
        <v>#N/A</v>
      </c>
      <c r="M5434" s="99" t="str">
        <f>IFERROR(__xludf.DUMMYFUNCTION("GOOGLEFINANCE(A5434,""beta"")"),"#N/A")</f>
        <v>#N/A</v>
      </c>
    </row>
    <row r="5435">
      <c r="A5435" s="122" t="s">
        <v>11363</v>
      </c>
      <c r="B5435" s="123">
        <v>1414932.0</v>
      </c>
      <c r="C5435" s="124" t="s">
        <v>11364</v>
      </c>
      <c r="D5435" s="125"/>
      <c r="E5435" s="126">
        <v>19.71</v>
      </c>
      <c r="F5435" s="127"/>
      <c r="G5435" s="127"/>
      <c r="H5435" s="127"/>
      <c r="I5435" s="128"/>
      <c r="K5435" s="105" t="str">
        <f>IFERROR(__xludf.DUMMYFUNCTION("if(A5435="""","""",substitute(SUBSTITUTE(index(importhtml(""http://finviz.com/quote.ashx?t=""&amp;A5435,""table"",10),7,2),""*"",""""),""-"",""0.00""))"),"Loading...")</f>
        <v>Loading...</v>
      </c>
      <c r="L5435" s="129">
        <v>1.556407173E9</v>
      </c>
      <c r="M5435" s="99">
        <v>1.12</v>
      </c>
    </row>
    <row r="5436">
      <c r="A5436" s="122" t="s">
        <v>11365</v>
      </c>
      <c r="B5436" s="123">
        <v>1009759.0</v>
      </c>
      <c r="C5436" s="124" t="s">
        <v>11366</v>
      </c>
      <c r="D5436" s="125"/>
      <c r="E5436" s="126">
        <v>19.71</v>
      </c>
      <c r="F5436" s="127"/>
      <c r="G5436" s="127"/>
      <c r="H5436" s="127"/>
      <c r="I5436" s="128"/>
      <c r="K5436" s="105" t="str">
        <f>IFERROR(__xludf.DUMMYFUNCTION("if(A5436="""","""",substitute(SUBSTITUTE(index(importhtml(""http://finviz.com/quote.ashx?t=""&amp;A5436,""table"",10),7,2),""*"",""""),""-"",""0.00""))"),"Loading...")</f>
        <v>Loading...</v>
      </c>
      <c r="L5436" s="129" t="e">
        <v>#N/A</v>
      </c>
      <c r="M5436" s="99">
        <f>IFERROR(__xludf.DUMMYFUNCTION("GOOGLEFINANCE(A5436,""beta"")"),0.56)</f>
        <v>0.56</v>
      </c>
    </row>
    <row r="5437">
      <c r="A5437" s="122" t="s">
        <v>11367</v>
      </c>
      <c r="B5437" s="123">
        <v>1042893.0</v>
      </c>
      <c r="C5437" s="124" t="s">
        <v>11368</v>
      </c>
      <c r="D5437" s="125"/>
      <c r="E5437" s="126">
        <v>19.72</v>
      </c>
      <c r="F5437" s="127"/>
      <c r="G5437" s="127"/>
      <c r="H5437" s="127"/>
      <c r="I5437" s="128"/>
      <c r="K5437" s="55" t="s">
        <v>1034</v>
      </c>
      <c r="L5437" s="129">
        <v>6.74089722E8</v>
      </c>
      <c r="M5437" s="99">
        <v>0.84</v>
      </c>
    </row>
    <row r="5438">
      <c r="A5438" s="122" t="s">
        <v>11369</v>
      </c>
      <c r="B5438" s="123">
        <v>1556898.0</v>
      </c>
      <c r="C5438" s="124" t="s">
        <v>11370</v>
      </c>
      <c r="D5438" s="125"/>
      <c r="E5438" s="126">
        <v>19.75</v>
      </c>
      <c r="F5438" s="127"/>
      <c r="G5438" s="127"/>
      <c r="H5438" s="127"/>
      <c r="I5438" s="128"/>
      <c r="K5438" s="105" t="str">
        <f>IFERROR(__xludf.DUMMYFUNCTION("if(A5438="""","""",substitute(SUBSTITUTE(index(importhtml(""http://finviz.com/quote.ashx?t=""&amp;A5438,""table"",10),7,2),""*"",""""),""-"",""0.00""))"),"Loading...")</f>
        <v>Loading...</v>
      </c>
      <c r="L5438" s="129">
        <v>2.706004528E10</v>
      </c>
      <c r="M5438" s="99" t="str">
        <f>IFERROR(__xludf.DUMMYFUNCTION("GOOGLEFINANCE(A5438,""beta"")"),"#N/A")</f>
        <v>#N/A</v>
      </c>
    </row>
    <row r="5439">
      <c r="A5439" s="122" t="s">
        <v>11371</v>
      </c>
      <c r="B5439" s="123">
        <v>716314.0</v>
      </c>
      <c r="C5439" s="124" t="s">
        <v>11372</v>
      </c>
      <c r="D5439" s="125"/>
      <c r="E5439" s="126">
        <v>19.78</v>
      </c>
      <c r="F5439" s="127"/>
      <c r="G5439" s="127"/>
      <c r="H5439" s="127"/>
      <c r="I5439" s="128"/>
      <c r="K5439" s="55" t="s">
        <v>1034</v>
      </c>
      <c r="L5439" s="129">
        <v>2.11700006E8</v>
      </c>
      <c r="M5439" s="99">
        <v>0.53</v>
      </c>
    </row>
    <row r="5440">
      <c r="A5440" s="122" t="s">
        <v>11373</v>
      </c>
      <c r="B5440" s="123">
        <v>1477449.0</v>
      </c>
      <c r="C5440" s="124" t="s">
        <v>11374</v>
      </c>
      <c r="D5440" s="125"/>
      <c r="E5440" s="126">
        <v>19.79</v>
      </c>
      <c r="F5440" s="127"/>
      <c r="G5440" s="127"/>
      <c r="H5440" s="127"/>
      <c r="I5440" s="128"/>
      <c r="K5440" s="105" t="str">
        <f>IFERROR(__xludf.DUMMYFUNCTION("if(A5440="""","""",substitute(SUBSTITUTE(index(importhtml(""http://finviz.com/quote.ashx?t=""&amp;A5440,""table"",10),7,2),""*"",""""),""-"",""0.00""))"),"Loading...")</f>
        <v>Loading...</v>
      </c>
      <c r="L5440" s="129">
        <v>3.276379118E9</v>
      </c>
      <c r="M5440" s="99">
        <v>1.0</v>
      </c>
    </row>
    <row r="5441">
      <c r="A5441" s="122" t="s">
        <v>11375</v>
      </c>
      <c r="B5441" s="123">
        <v>1868941.0</v>
      </c>
      <c r="C5441" s="124" t="s">
        <v>11376</v>
      </c>
      <c r="D5441" s="125"/>
      <c r="E5441" s="126">
        <v>19.79</v>
      </c>
      <c r="F5441" s="127"/>
      <c r="G5441" s="127"/>
      <c r="H5441" s="127"/>
      <c r="I5441" s="128"/>
      <c r="K5441" s="105" t="str">
        <f>IFERROR(__xludf.DUMMYFUNCTION("if(A5441="""","""",substitute(SUBSTITUTE(index(importhtml(""http://finviz.com/quote.ashx?t=""&amp;A5441,""table"",10),7,2),""*"",""""),""-"",""0.00""))"),"Loading...")</f>
        <v>Loading...</v>
      </c>
      <c r="L5441" s="129">
        <v>3.527140199E9</v>
      </c>
      <c r="M5441" s="99">
        <f>IFERROR(__xludf.DUMMYFUNCTION("GOOGLEFINANCE(A5441,""beta"")"),2.88)</f>
        <v>2.88</v>
      </c>
    </row>
    <row r="5442">
      <c r="A5442" s="122" t="s">
        <v>11377</v>
      </c>
      <c r="B5442" s="123">
        <v>862831.0</v>
      </c>
      <c r="C5442" s="124" t="s">
        <v>11378</v>
      </c>
      <c r="D5442" s="125"/>
      <c r="E5442" s="126">
        <v>19.8</v>
      </c>
      <c r="F5442" s="127"/>
      <c r="G5442" s="127"/>
      <c r="H5442" s="127"/>
      <c r="I5442" s="128"/>
      <c r="K5442" s="105" t="str">
        <f>IFERROR(__xludf.DUMMYFUNCTION("if(A5442="""","""",substitute(SUBSTITUTE(index(importhtml(""http://finviz.com/quote.ashx?t=""&amp;A5442,""table"",10),7,2),""*"",""""),""-"",""0.00""))"),"Loading...")</f>
        <v>Loading...</v>
      </c>
      <c r="L5442" s="129">
        <v>3.05058588E8</v>
      </c>
      <c r="M5442" s="99">
        <v>0.91</v>
      </c>
    </row>
    <row r="5443">
      <c r="A5443" s="122" t="s">
        <v>11379</v>
      </c>
      <c r="B5443" s="123">
        <v>39911.0</v>
      </c>
      <c r="C5443" s="124" t="s">
        <v>11380</v>
      </c>
      <c r="D5443" s="125"/>
      <c r="E5443" s="126">
        <v>19.81</v>
      </c>
      <c r="F5443" s="127"/>
      <c r="G5443" s="127"/>
      <c r="H5443" s="127"/>
      <c r="I5443" s="128"/>
      <c r="K5443" s="55" t="s">
        <v>11381</v>
      </c>
      <c r="L5443" s="129">
        <v>7.346207474E9</v>
      </c>
      <c r="M5443" s="99">
        <v>2.33</v>
      </c>
    </row>
    <row r="5444">
      <c r="A5444" s="122" t="s">
        <v>11382</v>
      </c>
      <c r="B5444" s="123">
        <v>1832168.0</v>
      </c>
      <c r="C5444" s="124" t="s">
        <v>11383</v>
      </c>
      <c r="D5444" s="125"/>
      <c r="E5444" s="126">
        <v>19.81</v>
      </c>
      <c r="F5444" s="127"/>
      <c r="G5444" s="127"/>
      <c r="H5444" s="127"/>
      <c r="I5444" s="128"/>
      <c r="K5444" s="105" t="str">
        <f>IFERROR(__xludf.DUMMYFUNCTION("if(A5444="""","""",substitute(SUBSTITUTE(index(importhtml(""http://finviz.com/quote.ashx?t=""&amp;A5444,""table"",10),7,2),""*"",""""),""-"",""0.00""))"),"Loading...")</f>
        <v>Loading...</v>
      </c>
      <c r="L5444" s="129">
        <v>6.70508061E8</v>
      </c>
      <c r="M5444" s="99" t="str">
        <f>IFERROR(__xludf.DUMMYFUNCTION("GOOGLEFINANCE(A5444,""beta"")"),"#N/A")</f>
        <v>#N/A</v>
      </c>
    </row>
    <row r="5445">
      <c r="A5445" s="122" t="s">
        <v>11384</v>
      </c>
      <c r="B5445" s="123">
        <v>67716.0</v>
      </c>
      <c r="C5445" s="124" t="s">
        <v>11385</v>
      </c>
      <c r="D5445" s="125"/>
      <c r="E5445" s="126">
        <v>19.81</v>
      </c>
      <c r="F5445" s="127"/>
      <c r="G5445" s="127"/>
      <c r="H5445" s="127"/>
      <c r="I5445" s="128"/>
      <c r="K5445" s="105" t="str">
        <f>IFERROR(__xludf.DUMMYFUNCTION("if(A5445="""","""",substitute(SUBSTITUTE(index(importhtml(""http://finviz.com/quote.ashx?t=""&amp;A5445,""table"",10),7,2),""*"",""""),""-"",""0.00""))"),"Loading...")</f>
        <v>Loading...</v>
      </c>
      <c r="L5445" s="129">
        <v>4.034074614E9</v>
      </c>
      <c r="M5445" s="99">
        <v>0.74</v>
      </c>
    </row>
    <row r="5446">
      <c r="A5446" s="122" t="s">
        <v>11386</v>
      </c>
      <c r="B5446" s="123">
        <v>876437.0</v>
      </c>
      <c r="C5446" s="124" t="s">
        <v>11387</v>
      </c>
      <c r="D5446" s="125"/>
      <c r="E5446" s="126">
        <v>19.81</v>
      </c>
      <c r="F5446" s="127"/>
      <c r="G5446" s="127"/>
      <c r="H5446" s="127"/>
      <c r="I5446" s="128"/>
      <c r="K5446" s="105" t="str">
        <f>IFERROR(__xludf.DUMMYFUNCTION("if(A5446="""","""",substitute(SUBSTITUTE(index(importhtml(""http://finviz.com/quote.ashx?t=""&amp;A5446,""table"",10),7,2),""*"",""""),""-"",""0.00""))"),"Loading...")</f>
        <v>Loading...</v>
      </c>
      <c r="L5446" s="129">
        <v>5.398104013E9</v>
      </c>
      <c r="M5446" s="99">
        <v>1.24</v>
      </c>
    </row>
    <row r="5447">
      <c r="A5447" s="122" t="s">
        <v>11388</v>
      </c>
      <c r="B5447" s="123">
        <v>1549107.0</v>
      </c>
      <c r="C5447" s="124" t="s">
        <v>11389</v>
      </c>
      <c r="D5447" s="125"/>
      <c r="E5447" s="126">
        <v>19.83</v>
      </c>
      <c r="F5447" s="127"/>
      <c r="G5447" s="127"/>
      <c r="H5447" s="127"/>
      <c r="I5447" s="128"/>
      <c r="K5447" s="105" t="str">
        <f>IFERROR(__xludf.DUMMYFUNCTION("if(A5447="""","""",substitute(SUBSTITUTE(index(importhtml(""http://finviz.com/quote.ashx?t=""&amp;A5447,""table"",10),7,2),""*"",""""),""-"",""0.00""))"),"Loading...")</f>
        <v>Loading...</v>
      </c>
      <c r="L5447" s="129">
        <v>3.235440974E9</v>
      </c>
      <c r="M5447" s="99">
        <v>0.85</v>
      </c>
    </row>
    <row r="5448">
      <c r="A5448" s="122" t="s">
        <v>11390</v>
      </c>
      <c r="B5448" s="123">
        <v>1694028.0</v>
      </c>
      <c r="C5448" s="124" t="s">
        <v>11391</v>
      </c>
      <c r="D5448" s="125"/>
      <c r="E5448" s="126">
        <v>19.83</v>
      </c>
      <c r="F5448" s="127"/>
      <c r="G5448" s="127"/>
      <c r="H5448" s="127"/>
      <c r="I5448" s="128"/>
      <c r="K5448" s="105" t="str">
        <f>IFERROR(__xludf.DUMMYFUNCTION("if(A5448="""","""",substitute(SUBSTITUTE(index(importhtml(""http://finviz.com/quote.ashx?t=""&amp;A5448,""table"",10),7,2),""*"",""""),""-"",""0.00""))"),"Loading...")</f>
        <v>Loading...</v>
      </c>
      <c r="L5448" s="129" t="e">
        <v>#N/A</v>
      </c>
      <c r="M5448" s="99">
        <v>1.88</v>
      </c>
    </row>
    <row r="5449">
      <c r="A5449" s="122" t="s">
        <v>11392</v>
      </c>
      <c r="B5449" s="123">
        <v>1404912.0</v>
      </c>
      <c r="C5449" s="124" t="s">
        <v>11393</v>
      </c>
      <c r="D5449" s="125"/>
      <c r="E5449" s="126">
        <v>19.83</v>
      </c>
      <c r="F5449" s="127"/>
      <c r="G5449" s="127"/>
      <c r="H5449" s="127"/>
      <c r="I5449" s="128"/>
      <c r="K5449" s="105" t="str">
        <f>IFERROR(__xludf.DUMMYFUNCTION("if(A5449="""","""",substitute(SUBSTITUTE(index(importhtml(""http://finviz.com/quote.ashx?t=""&amp;A5449,""table"",10),7,2),""*"",""""),""-"",""0.00""))"),"Loading...")</f>
        <v>Loading...</v>
      </c>
      <c r="L5449" s="129" t="e">
        <v>#N/A</v>
      </c>
      <c r="M5449" s="99">
        <f>IFERROR(__xludf.DUMMYFUNCTION("GOOGLEFINANCE(A5449,""beta"")"),0.8)</f>
        <v>0.8</v>
      </c>
    </row>
    <row r="5450">
      <c r="A5450" s="122" t="s">
        <v>11394</v>
      </c>
      <c r="B5450" s="123">
        <v>355019.0</v>
      </c>
      <c r="C5450" s="124" t="s">
        <v>11395</v>
      </c>
      <c r="D5450" s="125"/>
      <c r="E5450" s="126">
        <v>19.85</v>
      </c>
      <c r="F5450" s="127"/>
      <c r="G5450" s="127"/>
      <c r="H5450" s="127"/>
      <c r="I5450" s="128"/>
      <c r="K5450" s="105" t="str">
        <f>IFERROR(__xludf.DUMMYFUNCTION("if(A5450="""","""",substitute(SUBSTITUTE(index(importhtml(""http://finviz.com/quote.ashx?t=""&amp;A5450,""table"",10),7,2),""*"",""""),""-"",""0.00""))"),"Loading...")</f>
        <v>Loading...</v>
      </c>
      <c r="L5450" s="129">
        <v>1.35642913E8</v>
      </c>
      <c r="M5450" s="99">
        <v>1.1</v>
      </c>
    </row>
    <row r="5451">
      <c r="A5451" s="122" t="s">
        <v>11396</v>
      </c>
      <c r="B5451" s="123">
        <v>1131399.0</v>
      </c>
      <c r="C5451" s="124" t="s">
        <v>11397</v>
      </c>
      <c r="D5451" s="125"/>
      <c r="E5451" s="126">
        <v>19.86</v>
      </c>
      <c r="F5451" s="127"/>
      <c r="G5451" s="127"/>
      <c r="H5451" s="127"/>
      <c r="I5451" s="128"/>
      <c r="K5451" s="105" t="str">
        <f>IFERROR(__xludf.DUMMYFUNCTION("if(A5451="""","""",substitute(SUBSTITUTE(index(importhtml(""http://finviz.com/quote.ashx?t=""&amp;A5451,""table"",10),7,2),""*"",""""),""-"",""0.00""))"),"Loading...")</f>
        <v>Loading...</v>
      </c>
      <c r="L5451" s="129">
        <v>8.3355104818E10</v>
      </c>
      <c r="M5451" s="99">
        <v>0.54</v>
      </c>
    </row>
    <row r="5452">
      <c r="A5452" s="122" t="s">
        <v>11398</v>
      </c>
      <c r="B5452" s="123">
        <v>1070412.0</v>
      </c>
      <c r="C5452" s="124" t="s">
        <v>11399</v>
      </c>
      <c r="D5452" s="125"/>
      <c r="E5452" s="126">
        <v>19.89</v>
      </c>
      <c r="F5452" s="127"/>
      <c r="G5452" s="127"/>
      <c r="H5452" s="127"/>
      <c r="I5452" s="128"/>
      <c r="K5452" s="55" t="s">
        <v>1034</v>
      </c>
      <c r="L5452" s="129">
        <v>3.059012291E9</v>
      </c>
      <c r="M5452" s="99">
        <v>1.31</v>
      </c>
    </row>
    <row r="5453">
      <c r="A5453" s="122" t="s">
        <v>11400</v>
      </c>
      <c r="B5453" s="123">
        <v>1630805.0</v>
      </c>
      <c r="C5453" s="124" t="s">
        <v>11401</v>
      </c>
      <c r="D5453" s="125"/>
      <c r="E5453" s="126">
        <v>19.89</v>
      </c>
      <c r="F5453" s="127"/>
      <c r="G5453" s="127"/>
      <c r="H5453" s="127"/>
      <c r="I5453" s="128"/>
      <c r="K5453" s="105" t="str">
        <f>IFERROR(__xludf.DUMMYFUNCTION("if(A5453="""","""",substitute(SUBSTITUTE(index(importhtml(""http://finviz.com/quote.ashx?t=""&amp;A5453,""table"",10),7,2),""*"",""""),""-"",""0.00""))"),"Loading...")</f>
        <v>Loading...</v>
      </c>
      <c r="L5453" s="129">
        <v>1.16182828E8</v>
      </c>
      <c r="M5453" s="99">
        <f>IFERROR(__xludf.DUMMYFUNCTION("GOOGLEFINANCE(A5453,""beta"")"),0.26)</f>
        <v>0.26</v>
      </c>
    </row>
    <row r="5454">
      <c r="A5454" s="122" t="s">
        <v>11402</v>
      </c>
      <c r="B5454" s="123">
        <v>1527166.0</v>
      </c>
      <c r="C5454" s="124" t="s">
        <v>11403</v>
      </c>
      <c r="D5454" s="125"/>
      <c r="E5454" s="126">
        <v>19.89</v>
      </c>
      <c r="F5454" s="127"/>
      <c r="G5454" s="127"/>
      <c r="H5454" s="127"/>
      <c r="I5454" s="128"/>
      <c r="K5454" s="105" t="str">
        <f>IFERROR(__xludf.DUMMYFUNCTION("if(A5454="""","""",substitute(SUBSTITUTE(index(importhtml(""http://finviz.com/quote.ashx?t=""&amp;A5454,""table"",10),7,2),""*"",""""),""-"",""0.00""))"),"Loading...")</f>
        <v>Loading...</v>
      </c>
      <c r="L5454" s="129" t="e">
        <v>#N/A</v>
      </c>
      <c r="M5454" s="99">
        <f>IFERROR(__xludf.DUMMYFUNCTION("GOOGLEFINANCE(A5454,""beta"")"),0.84)</f>
        <v>0.84</v>
      </c>
    </row>
    <row r="5455">
      <c r="A5455" s="122" t="s">
        <v>11404</v>
      </c>
      <c r="B5455" s="123">
        <v>1465128.0</v>
      </c>
      <c r="C5455" s="124" t="s">
        <v>11405</v>
      </c>
      <c r="D5455" s="125"/>
      <c r="E5455" s="126">
        <v>19.91</v>
      </c>
      <c r="F5455" s="127"/>
      <c r="G5455" s="127"/>
      <c r="H5455" s="127"/>
      <c r="I5455" s="128"/>
      <c r="K5455" s="105" t="str">
        <f>IFERROR(__xludf.DUMMYFUNCTION("if(A5455="""","""",substitute(SUBSTITUTE(index(importhtml(""http://finviz.com/quote.ashx?t=""&amp;A5455,""table"",10),7,2),""*"",""""),""-"",""0.00""))"),"Loading...")</f>
        <v>Loading...</v>
      </c>
      <c r="L5455" s="129">
        <v>6.236329612E9</v>
      </c>
      <c r="M5455" s="99">
        <v>1.65</v>
      </c>
    </row>
    <row r="5456">
      <c r="A5456" s="122" t="s">
        <v>11406</v>
      </c>
      <c r="B5456" s="123">
        <v>1341317.0</v>
      </c>
      <c r="C5456" s="124" t="s">
        <v>11407</v>
      </c>
      <c r="D5456" s="125"/>
      <c r="E5456" s="126">
        <v>19.94</v>
      </c>
      <c r="F5456" s="127"/>
      <c r="G5456" s="127"/>
      <c r="H5456" s="127"/>
      <c r="I5456" s="128"/>
      <c r="K5456" s="105" t="str">
        <f>IFERROR(__xludf.DUMMYFUNCTION("if(A5456="""","""",substitute(SUBSTITUTE(index(importhtml(""http://finviz.com/quote.ashx?t=""&amp;A5456,""table"",10),7,2),""*"",""""),""-"",""0.00""))"),"Loading...")</f>
        <v>Loading...</v>
      </c>
      <c r="L5456" s="129">
        <v>3.29935143E8</v>
      </c>
      <c r="M5456" s="99">
        <f>IFERROR(__xludf.DUMMYFUNCTION("GOOGLEFINANCE(A5456,""beta"")"),0.42)</f>
        <v>0.42</v>
      </c>
    </row>
    <row r="5457">
      <c r="A5457" s="122" t="s">
        <v>11408</v>
      </c>
      <c r="B5457" s="123">
        <v>1482981.0</v>
      </c>
      <c r="C5457" s="124" t="s">
        <v>11409</v>
      </c>
      <c r="D5457" s="125"/>
      <c r="E5457" s="126">
        <v>19.94</v>
      </c>
      <c r="F5457" s="127"/>
      <c r="G5457" s="127"/>
      <c r="H5457" s="127"/>
      <c r="I5457" s="128"/>
      <c r="K5457" s="105" t="str">
        <f>IFERROR(__xludf.DUMMYFUNCTION("if(A5457="""","""",substitute(SUBSTITUTE(index(importhtml(""http://finviz.com/quote.ashx?t=""&amp;A5457,""table"",10),7,2),""*"",""""),""-"",""0.00""))"),"Loading...")</f>
        <v>Loading...</v>
      </c>
      <c r="L5457" s="129">
        <v>1.132647662E9</v>
      </c>
      <c r="M5457" s="99">
        <f>IFERROR(__xludf.DUMMYFUNCTION("GOOGLEFINANCE(A5457,""beta"")"),0.39)</f>
        <v>0.39</v>
      </c>
    </row>
    <row r="5458">
      <c r="A5458" s="122" t="s">
        <v>11410</v>
      </c>
      <c r="B5458" s="123">
        <v>1131554.0</v>
      </c>
      <c r="C5458" s="124" t="s">
        <v>11411</v>
      </c>
      <c r="D5458" s="125"/>
      <c r="E5458" s="126">
        <v>19.95</v>
      </c>
      <c r="F5458" s="127"/>
      <c r="G5458" s="127"/>
      <c r="H5458" s="127"/>
      <c r="I5458" s="128"/>
      <c r="K5458" s="105" t="str">
        <f>IFERROR(__xludf.DUMMYFUNCTION("if(A5458="""","""",substitute(SUBSTITUTE(index(importhtml(""http://finviz.com/quote.ashx?t=""&amp;A5458,""table"",10),7,2),""*"",""""),""-"",""0.00""))"),"#N/A")</f>
        <v>#N/A</v>
      </c>
      <c r="L5458" s="129">
        <v>7.7262085E7</v>
      </c>
      <c r="M5458" s="99" t="str">
        <f>IFERROR(__xludf.DUMMYFUNCTION("GOOGLEFINANCE(A5458,""beta"")"),"#N/A")</f>
        <v>#N/A</v>
      </c>
    </row>
    <row r="5459">
      <c r="A5459" s="122" t="s">
        <v>11412</v>
      </c>
      <c r="B5459" s="123">
        <v>1679688.0</v>
      </c>
      <c r="C5459" s="124" t="s">
        <v>11413</v>
      </c>
      <c r="D5459" s="125"/>
      <c r="E5459" s="126">
        <v>19.96</v>
      </c>
      <c r="F5459" s="127"/>
      <c r="G5459" s="127"/>
      <c r="H5459" s="127"/>
      <c r="I5459" s="128"/>
      <c r="K5459" s="105" t="str">
        <f>IFERROR(__xludf.DUMMYFUNCTION("if(A5459="""","""",substitute(SUBSTITUTE(index(importhtml(""http://finviz.com/quote.ashx?t=""&amp;A5459,""table"",10),7,2),""*"",""""),""-"",""0.00""))"),"Loading...")</f>
        <v>Loading...</v>
      </c>
      <c r="L5459" s="129">
        <v>3.261679418E9</v>
      </c>
      <c r="M5459" s="99">
        <v>1.93</v>
      </c>
    </row>
    <row r="5460">
      <c r="A5460" s="122" t="s">
        <v>11414</v>
      </c>
      <c r="B5460" s="123">
        <v>712770.0</v>
      </c>
      <c r="C5460" s="124" t="s">
        <v>11415</v>
      </c>
      <c r="D5460" s="125"/>
      <c r="E5460" s="126">
        <v>19.97</v>
      </c>
      <c r="F5460" s="127"/>
      <c r="G5460" s="127"/>
      <c r="H5460" s="127"/>
      <c r="I5460" s="128"/>
      <c r="K5460" s="105" t="str">
        <f>IFERROR(__xludf.DUMMYFUNCTION("if(A5460="""","""",substitute(SUBSTITUTE(index(importhtml(""http://finviz.com/quote.ashx?t=""&amp;A5460,""table"",10),7,2),""*"",""""),""-"",""0.00""))"),"Loading...")</f>
        <v>Loading...</v>
      </c>
      <c r="L5460" s="129">
        <v>4.20681814E8</v>
      </c>
      <c r="M5460" s="99">
        <v>1.33</v>
      </c>
    </row>
    <row r="5461">
      <c r="A5461" s="122" t="s">
        <v>11416</v>
      </c>
      <c r="B5461" s="123">
        <v>1698990.0</v>
      </c>
      <c r="C5461" s="124" t="s">
        <v>11417</v>
      </c>
      <c r="D5461" s="125"/>
      <c r="E5461" s="126">
        <v>19.98</v>
      </c>
      <c r="F5461" s="127"/>
      <c r="G5461" s="127"/>
      <c r="H5461" s="127"/>
      <c r="I5461" s="128"/>
      <c r="K5461" s="105" t="str">
        <f>IFERROR(__xludf.DUMMYFUNCTION("if(A5461="""","""",substitute(SUBSTITUTE(index(importhtml(""http://finviz.com/quote.ashx?t=""&amp;A5461,""table"",10),7,2),""*"",""""),""-"",""0.00""))"),"Loading...")</f>
        <v>Loading...</v>
      </c>
      <c r="L5461" s="129">
        <v>4.136862901E9</v>
      </c>
      <c r="M5461" s="99">
        <v>2.03</v>
      </c>
    </row>
    <row r="5462">
      <c r="A5462" s="122" t="s">
        <v>11418</v>
      </c>
      <c r="B5462" s="123">
        <v>1838615.0</v>
      </c>
      <c r="C5462" s="124" t="s">
        <v>11419</v>
      </c>
      <c r="D5462" s="125"/>
      <c r="E5462" s="126">
        <v>19.99</v>
      </c>
      <c r="F5462" s="127"/>
      <c r="G5462" s="127"/>
      <c r="H5462" s="127"/>
      <c r="I5462" s="128"/>
      <c r="K5462" s="105" t="str">
        <f>IFERROR(__xludf.DUMMYFUNCTION("if(A5462="""","""",substitute(SUBSTITUTE(index(importhtml(""http://finviz.com/quote.ashx?t=""&amp;A5462,""table"",10),7,2),""*"",""""),""-"",""0.00""))"),"Loading...")</f>
        <v>Loading...</v>
      </c>
      <c r="L5462" s="129" t="e">
        <v>#N/A</v>
      </c>
      <c r="M5462" s="99" t="str">
        <f>IFERROR(__xludf.DUMMYFUNCTION("GOOGLEFINANCE(A5462,""beta"")"),"#N/A")</f>
        <v>#N/A</v>
      </c>
    </row>
    <row r="5463">
      <c r="A5463" s="122" t="s">
        <v>11420</v>
      </c>
      <c r="B5463" s="123">
        <v>1667075.0</v>
      </c>
      <c r="C5463" s="124" t="s">
        <v>11421</v>
      </c>
      <c r="D5463" s="125"/>
      <c r="E5463" s="126">
        <v>20.01</v>
      </c>
      <c r="F5463" s="127"/>
      <c r="G5463" s="127"/>
      <c r="H5463" s="127"/>
      <c r="I5463" s="128"/>
      <c r="K5463" s="105" t="str">
        <f>IFERROR(__xludf.DUMMYFUNCTION("if(A5463="""","""",substitute(SUBSTITUTE(index(importhtml(""http://finviz.com/quote.ashx?t=""&amp;A5463,""table"",10),7,2),""*"",""""),""-"",""0.00""))"),"Loading...")</f>
        <v>Loading...</v>
      </c>
      <c r="L5463" s="129">
        <v>6.956602232E9</v>
      </c>
      <c r="M5463" s="99">
        <v>1.55</v>
      </c>
    </row>
    <row r="5464">
      <c r="A5464" s="122" t="s">
        <v>11422</v>
      </c>
      <c r="B5464" s="123">
        <v>1130166.0</v>
      </c>
      <c r="C5464" s="124" t="s">
        <v>11423</v>
      </c>
      <c r="D5464" s="125"/>
      <c r="E5464" s="126">
        <v>20.05</v>
      </c>
      <c r="F5464" s="127"/>
      <c r="G5464" s="127"/>
      <c r="H5464" s="127"/>
      <c r="I5464" s="128"/>
      <c r="K5464" s="105" t="str">
        <f>IFERROR(__xludf.DUMMYFUNCTION("if(A5464="""","""",substitute(SUBSTITUTE(index(importhtml(""http://finviz.com/quote.ashx?t=""&amp;A5464,""table"",10),7,2),""*"",""""),""-"",""0.00""))"),"Loading...")</f>
        <v>Loading...</v>
      </c>
      <c r="L5464" s="129">
        <v>2255319.0</v>
      </c>
      <c r="M5464" s="99">
        <v>0.45</v>
      </c>
    </row>
    <row r="5465">
      <c r="A5465" s="122" t="s">
        <v>11424</v>
      </c>
      <c r="B5465" s="123">
        <v>1730984.0</v>
      </c>
      <c r="C5465" s="124" t="s">
        <v>11425</v>
      </c>
      <c r="D5465" s="125"/>
      <c r="E5465" s="126">
        <v>20.05</v>
      </c>
      <c r="F5465" s="127"/>
      <c r="G5465" s="127"/>
      <c r="H5465" s="127"/>
      <c r="I5465" s="128"/>
      <c r="K5465" s="105" t="str">
        <f>IFERROR(__xludf.DUMMYFUNCTION("if(A5465="""","""",substitute(SUBSTITUTE(index(importhtml(""http://finviz.com/quote.ashx?t=""&amp;A5465,""table"",10),7,2),""*"",""""),""-"",""0.00""))"),"Loading...")</f>
        <v>Loading...</v>
      </c>
      <c r="L5465" s="129">
        <v>2.31602954E8</v>
      </c>
      <c r="M5465" s="99">
        <v>0.77</v>
      </c>
    </row>
    <row r="5466">
      <c r="A5466" s="122" t="s">
        <v>11426</v>
      </c>
      <c r="B5466" s="123">
        <v>1771007.0</v>
      </c>
      <c r="C5466" s="124" t="s">
        <v>11427</v>
      </c>
      <c r="D5466" s="125"/>
      <c r="E5466" s="126">
        <v>20.08</v>
      </c>
      <c r="F5466" s="127"/>
      <c r="G5466" s="127"/>
      <c r="H5466" s="127"/>
      <c r="I5466" s="128"/>
      <c r="K5466" s="105" t="str">
        <f>IFERROR(__xludf.DUMMYFUNCTION("if(A5466="""","""",substitute(SUBSTITUTE(index(importhtml(""http://finviz.com/quote.ashx?t=""&amp;A5466,""table"",10),7,2),""*"",""""),""-"",""0.00""))"),"Loading...")</f>
        <v>Loading...</v>
      </c>
      <c r="L5466" s="129">
        <v>1.881954218E9</v>
      </c>
      <c r="M5466" s="99">
        <v>0.98</v>
      </c>
    </row>
    <row r="5467">
      <c r="A5467" s="122" t="s">
        <v>11428</v>
      </c>
      <c r="B5467" s="123">
        <v>719402.0</v>
      </c>
      <c r="C5467" s="124" t="s">
        <v>11429</v>
      </c>
      <c r="D5467" s="125"/>
      <c r="E5467" s="126">
        <v>20.1</v>
      </c>
      <c r="F5467" s="127"/>
      <c r="G5467" s="127"/>
      <c r="H5467" s="127"/>
      <c r="I5467" s="128"/>
      <c r="K5467" s="105" t="str">
        <f>IFERROR(__xludf.DUMMYFUNCTION("if(A5467="""","""",substitute(SUBSTITUTE(index(importhtml(""http://finviz.com/quote.ashx?t=""&amp;A5467,""table"",10),7,2),""*"",""""),""-"",""0.00""))"),"Loading...")</f>
        <v>Loading...</v>
      </c>
      <c r="L5467" s="129">
        <v>1.25844815E8</v>
      </c>
      <c r="M5467" s="99">
        <v>0.56</v>
      </c>
    </row>
    <row r="5468">
      <c r="A5468" s="122" t="s">
        <v>11430</v>
      </c>
      <c r="B5468" s="123">
        <v>1094517.0</v>
      </c>
      <c r="C5468" s="124" t="s">
        <v>11431</v>
      </c>
      <c r="D5468" s="125"/>
      <c r="E5468" s="126">
        <v>20.11</v>
      </c>
      <c r="F5468" s="127"/>
      <c r="G5468" s="127"/>
      <c r="H5468" s="127"/>
      <c r="I5468" s="128"/>
      <c r="K5468" s="105" t="str">
        <f>IFERROR(__xludf.DUMMYFUNCTION("if(A5468="""","""",substitute(SUBSTITUTE(index(importhtml(""http://finviz.com/quote.ashx?t=""&amp;A5468,""table"",10),7,2),""*"",""""),""-"",""0.00""))"),"Loading...")</f>
        <v>Loading...</v>
      </c>
      <c r="L5468" s="129">
        <v>3.27704038017E11</v>
      </c>
      <c r="M5468" s="99">
        <v>0.71</v>
      </c>
    </row>
    <row r="5469">
      <c r="A5469" s="122" t="s">
        <v>11432</v>
      </c>
      <c r="B5469" s="123">
        <v>1415311.0</v>
      </c>
      <c r="C5469" s="124" t="s">
        <v>11433</v>
      </c>
      <c r="D5469" s="125"/>
      <c r="E5469" s="126">
        <v>20.12</v>
      </c>
      <c r="F5469" s="127"/>
      <c r="G5469" s="127"/>
      <c r="H5469" s="127"/>
      <c r="I5469" s="128"/>
      <c r="K5469" s="105" t="str">
        <f>IFERROR(__xludf.DUMMYFUNCTION("if(A5469="""","""",substitute(SUBSTITUTE(index(importhtml(""http://finviz.com/quote.ashx?t=""&amp;A5469,""table"",10),7,2),""*"",""""),""-"",""0.00""))"),"Loading...")</f>
        <v>Loading...</v>
      </c>
      <c r="L5469" s="129" t="e">
        <v>#N/A</v>
      </c>
      <c r="M5469" s="99" t="str">
        <f>IFERROR(__xludf.DUMMYFUNCTION("GOOGLEFINANCE(A5469,""beta"")"),"#N/A")</f>
        <v>#N/A</v>
      </c>
    </row>
    <row r="5470">
      <c r="A5470" s="122" t="s">
        <v>11434</v>
      </c>
      <c r="B5470" s="123">
        <v>1690437.0</v>
      </c>
      <c r="C5470" s="124" t="s">
        <v>11435</v>
      </c>
      <c r="D5470" s="125"/>
      <c r="E5470" s="126">
        <v>20.13</v>
      </c>
      <c r="F5470" s="127"/>
      <c r="G5470" s="127"/>
      <c r="H5470" s="127"/>
      <c r="I5470" s="128"/>
      <c r="K5470" s="55" t="s">
        <v>1034</v>
      </c>
      <c r="L5470" s="129" t="e">
        <v>#N/A</v>
      </c>
      <c r="M5470" s="99" t="str">
        <f>IFERROR(__xludf.DUMMYFUNCTION("GOOGLEFINANCE(A5470,""beta"")"),"#N/A")</f>
        <v>#N/A</v>
      </c>
    </row>
    <row r="5471">
      <c r="A5471" s="122" t="s">
        <v>11436</v>
      </c>
      <c r="B5471" s="123">
        <v>1005210.0</v>
      </c>
      <c r="C5471" s="124" t="s">
        <v>11437</v>
      </c>
      <c r="D5471" s="125"/>
      <c r="E5471" s="126">
        <v>20.13</v>
      </c>
      <c r="F5471" s="127"/>
      <c r="G5471" s="127"/>
      <c r="H5471" s="127"/>
      <c r="I5471" s="128"/>
      <c r="K5471" s="105" t="str">
        <f>IFERROR(__xludf.DUMMYFUNCTION("if(A5471="""","""",substitute(SUBSTITUTE(index(importhtml(""http://finviz.com/quote.ashx?t=""&amp;A5471,""table"",10),7,2),""*"",""""),""-"",""0.00""))"),"Loading...")</f>
        <v>Loading...</v>
      </c>
      <c r="L5471" s="129">
        <v>1.288621896E9</v>
      </c>
      <c r="M5471" s="99">
        <v>0.42</v>
      </c>
    </row>
    <row r="5472">
      <c r="A5472" s="122" t="s">
        <v>11438</v>
      </c>
      <c r="B5472" s="123">
        <v>1616533.0</v>
      </c>
      <c r="C5472" s="124" t="s">
        <v>11439</v>
      </c>
      <c r="D5472" s="125"/>
      <c r="E5472" s="126">
        <v>20.15</v>
      </c>
      <c r="F5472" s="127"/>
      <c r="G5472" s="127"/>
      <c r="H5472" s="127"/>
      <c r="I5472" s="128"/>
      <c r="K5472" s="105" t="str">
        <f>IFERROR(__xludf.DUMMYFUNCTION("if(A5472="""","""",substitute(SUBSTITUTE(index(importhtml(""http://finviz.com/quote.ashx?t=""&amp;A5472,""table"",10),7,2),""*"",""""),""-"",""0.00""))"),"Loading...")</f>
        <v>Loading...</v>
      </c>
      <c r="L5472" s="129">
        <v>1.044376898E9</v>
      </c>
      <c r="M5472" s="99">
        <v>1.72</v>
      </c>
    </row>
    <row r="5473">
      <c r="A5473" s="122" t="s">
        <v>11440</v>
      </c>
      <c r="B5473" s="123">
        <v>1501570.0</v>
      </c>
      <c r="C5473" s="124" t="s">
        <v>11441</v>
      </c>
      <c r="D5473" s="125"/>
      <c r="E5473" s="126">
        <v>20.16</v>
      </c>
      <c r="F5473" s="127"/>
      <c r="G5473" s="127"/>
      <c r="H5473" s="127"/>
      <c r="I5473" s="128"/>
      <c r="K5473" s="105" t="str">
        <f>IFERROR(__xludf.DUMMYFUNCTION("if(A5473="""","""",substitute(SUBSTITUTE(index(importhtml(""http://finviz.com/quote.ashx?t=""&amp;A5473,""table"",10),7,2),""*"",""""),""-"",""0.00""))"),"Loading...")</f>
        <v>Loading...</v>
      </c>
      <c r="L5473" s="129">
        <v>1.09545387E9</v>
      </c>
      <c r="M5473" s="99">
        <v>1.37</v>
      </c>
    </row>
    <row r="5474">
      <c r="A5474" s="122" t="s">
        <v>11442</v>
      </c>
      <c r="B5474" s="123">
        <v>73756.0</v>
      </c>
      <c r="C5474" s="124" t="s">
        <v>11443</v>
      </c>
      <c r="D5474" s="125"/>
      <c r="E5474" s="126">
        <v>20.16</v>
      </c>
      <c r="F5474" s="127"/>
      <c r="G5474" s="127"/>
      <c r="H5474" s="127"/>
      <c r="I5474" s="128"/>
      <c r="K5474" s="105" t="str">
        <f>IFERROR(__xludf.DUMMYFUNCTION("if(A5474="""","""",substitute(SUBSTITUTE(index(importhtml(""http://finviz.com/quote.ashx?t=""&amp;A5474,""table"",10),7,2),""*"",""""),""-"",""0.00""))"),"Loading...")</f>
        <v>Loading...</v>
      </c>
      <c r="L5474" s="129">
        <v>2.030624048E9</v>
      </c>
      <c r="M5474" s="99">
        <v>2.51</v>
      </c>
    </row>
    <row r="5475">
      <c r="A5475" s="122" t="s">
        <v>11444</v>
      </c>
      <c r="B5475" s="123">
        <v>1708646.0</v>
      </c>
      <c r="C5475" s="124" t="s">
        <v>11445</v>
      </c>
      <c r="D5475" s="102" t="s">
        <v>11446</v>
      </c>
      <c r="E5475" s="126">
        <v>20.16</v>
      </c>
      <c r="F5475" s="127"/>
      <c r="G5475" s="127"/>
      <c r="H5475" s="127"/>
      <c r="I5475" s="128"/>
      <c r="K5475" s="105" t="str">
        <f>IFERROR(__xludf.DUMMYFUNCTION("if(A5475="""","""",substitute(SUBSTITUTE(index(importhtml(""http://finviz.com/quote.ashx?t=""&amp;A5475,""table"",10),7,2),""*"",""""),""-"",""0.00""))"),"Loading...")</f>
        <v>Loading...</v>
      </c>
      <c r="L5475" s="129" t="e">
        <v>#N/A</v>
      </c>
      <c r="M5475" s="99" t="str">
        <f>IFERROR(__xludf.DUMMYFUNCTION("GOOGLEFINANCE(A5475,""beta"")"),"#N/A")</f>
        <v>#N/A</v>
      </c>
    </row>
    <row r="5476">
      <c r="A5476" s="122" t="s">
        <v>11447</v>
      </c>
      <c r="B5476" s="123">
        <v>1839439.0</v>
      </c>
      <c r="C5476" s="124" t="s">
        <v>11448</v>
      </c>
      <c r="D5476" s="125"/>
      <c r="E5476" s="126">
        <v>20.17</v>
      </c>
      <c r="F5476" s="127"/>
      <c r="G5476" s="127"/>
      <c r="H5476" s="127"/>
      <c r="I5476" s="128"/>
      <c r="K5476" s="105" t="str">
        <f>IFERROR(__xludf.DUMMYFUNCTION("if(A5476="""","""",substitute(SUBSTITUTE(index(importhtml(""http://finviz.com/quote.ashx?t=""&amp;A5476,""table"",10),7,2),""*"",""""),""-"",""0.00""))"),"Loading...")</f>
        <v>Loading...</v>
      </c>
      <c r="L5476" s="129">
        <v>3.581966109E9</v>
      </c>
      <c r="M5476" s="99" t="str">
        <f>IFERROR(__xludf.DUMMYFUNCTION("GOOGLEFINANCE(A5476,""beta"")"),"#N/A")</f>
        <v>#N/A</v>
      </c>
    </row>
    <row r="5477">
      <c r="A5477" s="122" t="s">
        <v>11449</v>
      </c>
      <c r="B5477" s="123">
        <v>1287750.0</v>
      </c>
      <c r="C5477" s="124" t="s">
        <v>11450</v>
      </c>
      <c r="D5477" s="125"/>
      <c r="E5477" s="126">
        <v>20.17</v>
      </c>
      <c r="F5477" s="127"/>
      <c r="G5477" s="127"/>
      <c r="H5477" s="127"/>
      <c r="I5477" s="128"/>
      <c r="K5477" s="105" t="str">
        <f>IFERROR(__xludf.DUMMYFUNCTION("if(A5477="""","""",substitute(SUBSTITUTE(index(importhtml(""http://finviz.com/quote.ashx?t=""&amp;A5477,""table"",10),7,2),""*"",""""),""-"",""0.00""))"),"Loading...")</f>
        <v>Loading...</v>
      </c>
      <c r="L5477" s="129">
        <v>1.1485538282E10</v>
      </c>
      <c r="M5477" s="99">
        <v>0.94</v>
      </c>
    </row>
    <row r="5478">
      <c r="A5478" s="122" t="s">
        <v>11451</v>
      </c>
      <c r="B5478" s="123">
        <v>879101.0</v>
      </c>
      <c r="C5478" s="124" t="s">
        <v>11452</v>
      </c>
      <c r="D5478" s="125"/>
      <c r="E5478" s="126">
        <v>20.18</v>
      </c>
      <c r="F5478" s="127"/>
      <c r="G5478" s="127"/>
      <c r="H5478" s="127"/>
      <c r="I5478" s="128"/>
      <c r="K5478" s="105" t="str">
        <f>IFERROR(__xludf.DUMMYFUNCTION("if(A5478="""","""",substitute(SUBSTITUTE(index(importhtml(""http://finviz.com/quote.ashx?t=""&amp;A5478,""table"",10),7,2),""*"",""""),""-"",""0.00""))"),"Loading...")</f>
        <v>Loading...</v>
      </c>
      <c r="L5478" s="129">
        <v>1.3578601561E10</v>
      </c>
      <c r="M5478" s="99">
        <v>1.51</v>
      </c>
    </row>
    <row r="5479">
      <c r="A5479" s="122" t="s">
        <v>11453</v>
      </c>
      <c r="B5479" s="123">
        <v>791908.0</v>
      </c>
      <c r="C5479" s="124" t="s">
        <v>11454</v>
      </c>
      <c r="D5479" s="125"/>
      <c r="E5479" s="126">
        <v>20.2</v>
      </c>
      <c r="F5479" s="127"/>
      <c r="G5479" s="127"/>
      <c r="H5479" s="127"/>
      <c r="I5479" s="128"/>
      <c r="K5479" s="105" t="str">
        <f>IFERROR(__xludf.DUMMYFUNCTION("if(A5479="""","""",substitute(SUBSTITUTE(index(importhtml(""http://finviz.com/quote.ashx?t=""&amp;A5479,""table"",10),7,2),""*"",""""),""-"",""0.00""))"),"Loading...")</f>
        <v>Loading...</v>
      </c>
      <c r="L5479" s="129">
        <v>2.32053568E8</v>
      </c>
      <c r="M5479" s="99">
        <v>0.55</v>
      </c>
    </row>
    <row r="5480">
      <c r="A5480" s="122" t="s">
        <v>11455</v>
      </c>
      <c r="B5480" s="123">
        <v>895728.0</v>
      </c>
      <c r="C5480" s="124" t="s">
        <v>11456</v>
      </c>
      <c r="D5480" s="125"/>
      <c r="E5480" s="126">
        <v>20.2</v>
      </c>
      <c r="F5480" s="127"/>
      <c r="G5480" s="127"/>
      <c r="H5480" s="127"/>
      <c r="I5480" s="128"/>
      <c r="K5480" s="105" t="str">
        <f>IFERROR(__xludf.DUMMYFUNCTION("if(A5480="""","""",substitute(SUBSTITUTE(index(importhtml(""http://finviz.com/quote.ashx?t=""&amp;A5480,""table"",10),7,2),""*"",""""),""-"",""0.00""))"),"Loading...")</f>
        <v>Loading...</v>
      </c>
      <c r="L5480" s="129">
        <v>7.4962372379E10</v>
      </c>
      <c r="M5480" s="99">
        <v>0.6</v>
      </c>
    </row>
    <row r="5481">
      <c r="A5481" s="122" t="s">
        <v>11457</v>
      </c>
      <c r="B5481" s="123">
        <v>1710155.0</v>
      </c>
      <c r="C5481" s="124" t="s">
        <v>11458</v>
      </c>
      <c r="D5481" s="125"/>
      <c r="E5481" s="126">
        <v>20.23</v>
      </c>
      <c r="F5481" s="127"/>
      <c r="G5481" s="127"/>
      <c r="H5481" s="127"/>
      <c r="I5481" s="128"/>
      <c r="K5481" s="55" t="s">
        <v>1034</v>
      </c>
      <c r="L5481" s="129">
        <v>1.582909059E9</v>
      </c>
      <c r="M5481" s="99">
        <v>1.36</v>
      </c>
    </row>
    <row r="5482">
      <c r="A5482" s="122" t="s">
        <v>11459</v>
      </c>
      <c r="B5482" s="123">
        <v>354963.0</v>
      </c>
      <c r="C5482" s="124" t="s">
        <v>11460</v>
      </c>
      <c r="D5482" s="125"/>
      <c r="E5482" s="126">
        <v>20.27</v>
      </c>
      <c r="F5482" s="127"/>
      <c r="G5482" s="127"/>
      <c r="H5482" s="127"/>
      <c r="I5482" s="128"/>
      <c r="K5482" s="105" t="str">
        <f>IFERROR(__xludf.DUMMYFUNCTION("if(A5482="""","""",substitute(SUBSTITUTE(index(importhtml(""http://finviz.com/quote.ashx?t=""&amp;A5482,""table"",10),7,2),""*"",""""),""-"",""0.00""))"),"Loading...")</f>
        <v>Loading...</v>
      </c>
      <c r="L5482" s="129">
        <v>1.018860829E9</v>
      </c>
      <c r="M5482" s="99">
        <v>0.63</v>
      </c>
    </row>
    <row r="5483">
      <c r="A5483" s="122" t="s">
        <v>11461</v>
      </c>
      <c r="B5483" s="123">
        <v>1570585.0</v>
      </c>
      <c r="C5483" s="124" t="s">
        <v>11462</v>
      </c>
      <c r="D5483" s="125"/>
      <c r="E5483" s="126">
        <v>20.27</v>
      </c>
      <c r="F5483" s="127"/>
      <c r="G5483" s="127"/>
      <c r="H5483" s="127"/>
      <c r="I5483" s="128"/>
      <c r="K5483" s="105" t="str">
        <f>IFERROR(__xludf.DUMMYFUNCTION("if(A5483="""","""",substitute(SUBSTITUTE(index(importhtml(""http://finviz.com/quote.ashx?t=""&amp;A5483,""table"",10),7,2),""*"",""""),""-"",""0.00""))"),"Loading...")</f>
        <v>Loading...</v>
      </c>
      <c r="L5483" s="129">
        <v>7.869493711E9</v>
      </c>
      <c r="M5483" s="99">
        <v>1.14</v>
      </c>
    </row>
    <row r="5484">
      <c r="A5484" s="122" t="s">
        <v>11463</v>
      </c>
      <c r="B5484" s="123">
        <v>798287.0</v>
      </c>
      <c r="C5484" s="124" t="s">
        <v>11464</v>
      </c>
      <c r="D5484" s="125"/>
      <c r="E5484" s="126">
        <v>20.28</v>
      </c>
      <c r="F5484" s="127"/>
      <c r="G5484" s="127"/>
      <c r="H5484" s="127"/>
      <c r="I5484" s="128"/>
      <c r="K5484" s="105" t="str">
        <f>IFERROR(__xludf.DUMMYFUNCTION("if(A5484="""","""",substitute(SUBSTITUTE(index(importhtml(""http://finviz.com/quote.ashx?t=""&amp;A5484,""table"",10),7,2),""*"",""""),""-"",""0.00""))"),"Loading...")</f>
        <v>Loading...</v>
      </c>
      <c r="L5484" s="129">
        <v>4.4659279E8</v>
      </c>
      <c r="M5484" s="99">
        <v>1.16</v>
      </c>
    </row>
    <row r="5485">
      <c r="A5485" s="122" t="s">
        <v>11465</v>
      </c>
      <c r="B5485" s="123">
        <v>1464790.0</v>
      </c>
      <c r="C5485" s="124" t="s">
        <v>11466</v>
      </c>
      <c r="D5485" s="125"/>
      <c r="E5485" s="126">
        <v>20.29</v>
      </c>
      <c r="F5485" s="127"/>
      <c r="G5485" s="127"/>
      <c r="H5485" s="127"/>
      <c r="I5485" s="128"/>
      <c r="K5485" s="105" t="str">
        <f>IFERROR(__xludf.DUMMYFUNCTION("if(A5485="""","""",substitute(SUBSTITUTE(index(importhtml(""http://finviz.com/quote.ashx?t=""&amp;A5485,""table"",10),7,2),""*"",""""),""-"",""0.00""))"),"#REF!")</f>
        <v>#REF!</v>
      </c>
      <c r="L5485" s="129">
        <v>6.2052646E8</v>
      </c>
      <c r="M5485" s="99">
        <v>1.62</v>
      </c>
    </row>
    <row r="5486">
      <c r="A5486" s="122" t="s">
        <v>11467</v>
      </c>
      <c r="B5486" s="123">
        <v>1090633.0</v>
      </c>
      <c r="C5486" s="124" t="s">
        <v>11468</v>
      </c>
      <c r="D5486" s="125"/>
      <c r="E5486" s="126">
        <v>20.3</v>
      </c>
      <c r="F5486" s="127"/>
      <c r="G5486" s="127"/>
      <c r="H5486" s="127"/>
      <c r="I5486" s="128"/>
      <c r="K5486" s="105" t="str">
        <f>IFERROR(__xludf.DUMMYFUNCTION("if(A5486="""","""",substitute(SUBSTITUTE(index(importhtml(""http://finviz.com/quote.ashx?t=""&amp;A5486,""table"",10),7,2),""*"",""""),""-"",""0.00""))"),"Loading...")</f>
        <v>Loading...</v>
      </c>
      <c r="L5486" s="129">
        <v>3.645414026E9</v>
      </c>
      <c r="M5486" s="99">
        <f>IFERROR(__xludf.DUMMYFUNCTION("GOOGLEFINANCE(A5486,""beta"")"),0.0)</f>
        <v>0</v>
      </c>
    </row>
    <row r="5487">
      <c r="A5487" s="122" t="s">
        <v>11469</v>
      </c>
      <c r="B5487" s="123">
        <v>312070.0</v>
      </c>
      <c r="C5487" s="124" t="s">
        <v>11470</v>
      </c>
      <c r="D5487" s="125"/>
      <c r="E5487" s="126">
        <v>20.3</v>
      </c>
      <c r="F5487" s="127"/>
      <c r="G5487" s="127"/>
      <c r="H5487" s="127"/>
      <c r="I5487" s="128"/>
      <c r="K5487" s="105" t="str">
        <f>IFERROR(__xludf.DUMMYFUNCTION("if(A5487="""","""",substitute(SUBSTITUTE(index(importhtml(""http://finviz.com/quote.ashx?t=""&amp;A5487,""table"",10),7,2),""*"",""""),""-"",""0.00""))"),"Loading...")</f>
        <v>Loading...</v>
      </c>
      <c r="L5487" s="129">
        <v>2.8384401496E10</v>
      </c>
      <c r="M5487" s="99">
        <v>0.56</v>
      </c>
    </row>
    <row r="5488">
      <c r="A5488" s="122" t="s">
        <v>11471</v>
      </c>
      <c r="B5488" s="123">
        <v>932477.0</v>
      </c>
      <c r="C5488" s="124" t="s">
        <v>3940</v>
      </c>
      <c r="D5488" s="125"/>
      <c r="E5488" s="126">
        <v>20.33</v>
      </c>
      <c r="F5488" s="127"/>
      <c r="G5488" s="127"/>
      <c r="H5488" s="127"/>
      <c r="I5488" s="128"/>
      <c r="K5488" s="105" t="str">
        <f>IFERROR(__xludf.DUMMYFUNCTION("if(A5488="""","""",substitute(SUBSTITUTE(index(importhtml(""http://finviz.com/quote.ashx?t=""&amp;A5488,""table"",10),7,2),""*"",""""),""-"",""0.00""))"),"Loading...")</f>
        <v>Loading...</v>
      </c>
      <c r="L5488" s="129">
        <v>1.251795146E10</v>
      </c>
      <c r="M5488" s="99">
        <v>1.19</v>
      </c>
    </row>
    <row r="5489">
      <c r="A5489" s="122" t="s">
        <v>11472</v>
      </c>
      <c r="B5489" s="123">
        <v>1759124.0</v>
      </c>
      <c r="C5489" s="124" t="s">
        <v>11473</v>
      </c>
      <c r="D5489" s="125"/>
      <c r="E5489" s="126">
        <v>20.33</v>
      </c>
      <c r="F5489" s="127"/>
      <c r="G5489" s="127"/>
      <c r="H5489" s="127"/>
      <c r="I5489" s="128"/>
      <c r="K5489" s="105" t="str">
        <f>IFERROR(__xludf.DUMMYFUNCTION("if(A5489="""","""",substitute(SUBSTITUTE(index(importhtml(""http://finviz.com/quote.ashx?t=""&amp;A5489,""table"",10),7,2),""*"",""""),""-"",""0.00""))"),"Loading...")</f>
        <v>Loading...</v>
      </c>
      <c r="L5489" s="129" t="e">
        <v>#N/A</v>
      </c>
      <c r="M5489" s="99" t="str">
        <f>IFERROR(__xludf.DUMMYFUNCTION("GOOGLEFINANCE(A5489,""beta"")"),"#N/A")</f>
        <v>#N/A</v>
      </c>
    </row>
    <row r="5490">
      <c r="A5490" s="122" t="s">
        <v>11474</v>
      </c>
      <c r="B5490" s="123">
        <v>764065.0</v>
      </c>
      <c r="C5490" s="124" t="s">
        <v>11475</v>
      </c>
      <c r="D5490" s="125"/>
      <c r="E5490" s="126">
        <v>20.34</v>
      </c>
      <c r="F5490" s="127"/>
      <c r="G5490" s="127"/>
      <c r="H5490" s="127"/>
      <c r="I5490" s="128"/>
      <c r="K5490" s="55" t="s">
        <v>1034</v>
      </c>
      <c r="L5490" s="129">
        <v>1.0268880953E10</v>
      </c>
      <c r="M5490" s="99">
        <v>2.04</v>
      </c>
    </row>
    <row r="5491">
      <c r="A5491" s="122" t="s">
        <v>11476</v>
      </c>
      <c r="B5491" s="123">
        <v>33002.0</v>
      </c>
      <c r="C5491" s="124" t="s">
        <v>11477</v>
      </c>
      <c r="D5491" s="125"/>
      <c r="E5491" s="126">
        <v>20.34</v>
      </c>
      <c r="F5491" s="127"/>
      <c r="G5491" s="127"/>
      <c r="H5491" s="127"/>
      <c r="I5491" s="128"/>
      <c r="K5491" s="55" t="s">
        <v>9675</v>
      </c>
      <c r="L5491" s="129">
        <v>5.26291198E8</v>
      </c>
      <c r="M5491" s="99">
        <v>0.45</v>
      </c>
    </row>
    <row r="5492">
      <c r="A5492" s="122" t="s">
        <v>11478</v>
      </c>
      <c r="B5492" s="123">
        <v>1866633.0</v>
      </c>
      <c r="C5492" s="124" t="s">
        <v>11479</v>
      </c>
      <c r="D5492" s="125"/>
      <c r="E5492" s="126">
        <v>20.35</v>
      </c>
      <c r="F5492" s="127"/>
      <c r="G5492" s="127"/>
      <c r="H5492" s="127"/>
      <c r="I5492" s="128"/>
      <c r="K5492" s="105" t="str">
        <f>IFERROR(__xludf.DUMMYFUNCTION("if(A5492="""","""",substitute(SUBSTITUTE(index(importhtml(""http://finviz.com/quote.ashx?t=""&amp;A5492,""table"",10),7,2),""*"",""""),""-"",""0.00""))"),"Loading...")</f>
        <v>Loading...</v>
      </c>
      <c r="L5492" s="129">
        <v>3.89775563E8</v>
      </c>
      <c r="M5492" s="99">
        <f>IFERROR(__xludf.DUMMYFUNCTION("GOOGLEFINANCE(A5492,""beta"")"),1.91)</f>
        <v>1.91</v>
      </c>
    </row>
    <row r="5493">
      <c r="A5493" s="122" t="s">
        <v>11480</v>
      </c>
      <c r="B5493" s="123">
        <v>947484.0</v>
      </c>
      <c r="C5493" s="124" t="s">
        <v>11481</v>
      </c>
      <c r="D5493" s="125"/>
      <c r="E5493" s="126">
        <v>20.35</v>
      </c>
      <c r="F5493" s="127"/>
      <c r="G5493" s="127"/>
      <c r="H5493" s="127"/>
      <c r="I5493" s="128"/>
      <c r="K5493" s="105" t="str">
        <f>IFERROR(__xludf.DUMMYFUNCTION("if(A5493="""","""",substitute(SUBSTITUTE(index(importhtml(""http://finviz.com/quote.ashx?t=""&amp;A5493,""table"",10),7,2),""*"",""""),""-"",""0.00""))"),"Loading...")</f>
        <v>Loading...</v>
      </c>
      <c r="L5493" s="129">
        <v>3.1085212078E10</v>
      </c>
      <c r="M5493" s="99">
        <f>IFERROR(__xludf.DUMMYFUNCTION("GOOGLEFINANCE(A5493,""beta"")"),0.6)</f>
        <v>0.6</v>
      </c>
    </row>
    <row r="5494">
      <c r="A5494" s="122" t="s">
        <v>11482</v>
      </c>
      <c r="B5494" s="123">
        <v>1067491.0</v>
      </c>
      <c r="C5494" s="124" t="s">
        <v>11483</v>
      </c>
      <c r="D5494" s="125"/>
      <c r="E5494" s="126">
        <v>20.35</v>
      </c>
      <c r="F5494" s="127"/>
      <c r="G5494" s="127"/>
      <c r="H5494" s="127"/>
      <c r="I5494" s="128"/>
      <c r="K5494" s="105" t="str">
        <f>IFERROR(__xludf.DUMMYFUNCTION("if(A5494="""","""",substitute(SUBSTITUTE(index(importhtml(""http://finviz.com/quote.ashx?t=""&amp;A5494,""table"",10),7,2),""*"",""""),""-"",""0.00""))"),"Loading...")</f>
        <v>Loading...</v>
      </c>
      <c r="L5494" s="129">
        <v>8.3190374209E10</v>
      </c>
      <c r="M5494" s="99">
        <v>0.97</v>
      </c>
    </row>
    <row r="5495">
      <c r="A5495" s="122" t="s">
        <v>11484</v>
      </c>
      <c r="B5495" s="123">
        <v>102212.0</v>
      </c>
      <c r="C5495" s="124" t="s">
        <v>11485</v>
      </c>
      <c r="D5495" s="125"/>
      <c r="E5495" s="126">
        <v>20.36</v>
      </c>
      <c r="F5495" s="127"/>
      <c r="G5495" s="127"/>
      <c r="H5495" s="127"/>
      <c r="I5495" s="128"/>
      <c r="K5495" s="105" t="str">
        <f>IFERROR(__xludf.DUMMYFUNCTION("if(A5495="""","""",substitute(SUBSTITUTE(index(importhtml(""http://finviz.com/quote.ashx?t=""&amp;A5495,""table"",10),7,2),""*"",""""),""-"",""0.00""))"),"Loading...")</f>
        <v>Loading...</v>
      </c>
      <c r="L5495" s="129">
        <v>6.00858433E8</v>
      </c>
      <c r="M5495" s="99">
        <v>0.92</v>
      </c>
    </row>
    <row r="5496">
      <c r="A5496" s="122" t="s">
        <v>11486</v>
      </c>
      <c r="B5496" s="123">
        <v>1471824.0</v>
      </c>
      <c r="C5496" s="124" t="s">
        <v>11487</v>
      </c>
      <c r="D5496" s="125"/>
      <c r="E5496" s="126">
        <v>20.36</v>
      </c>
      <c r="F5496" s="127"/>
      <c r="G5496" s="127"/>
      <c r="H5496" s="127"/>
      <c r="I5496" s="128"/>
      <c r="K5496" s="105" t="str">
        <f>IFERROR(__xludf.DUMMYFUNCTION("if(A5496="""","""",substitute(SUBSTITUTE(index(importhtml(""http://finviz.com/quote.ashx?t=""&amp;A5496,""table"",10),7,2),""*"",""""),""-"",""0.00""))"),"Loading...")</f>
        <v>Loading...</v>
      </c>
      <c r="L5496" s="129" t="e">
        <v>#N/A</v>
      </c>
      <c r="M5496" s="99" t="str">
        <f>IFERROR(__xludf.DUMMYFUNCTION("GOOGLEFINANCE(A5496,""beta"")"),"#N/A")</f>
        <v>#N/A</v>
      </c>
    </row>
    <row r="5497">
      <c r="A5497" s="122" t="s">
        <v>11488</v>
      </c>
      <c r="B5497" s="123">
        <v>1332174.0</v>
      </c>
      <c r="C5497" s="124" t="s">
        <v>11489</v>
      </c>
      <c r="D5497" s="125"/>
      <c r="E5497" s="126">
        <v>20.37</v>
      </c>
      <c r="F5497" s="127"/>
      <c r="G5497" s="127"/>
      <c r="H5497" s="127"/>
      <c r="I5497" s="128"/>
      <c r="K5497" s="105" t="str">
        <f>IFERROR(__xludf.DUMMYFUNCTION("if(A5497="""","""",substitute(SUBSTITUTE(index(importhtml(""http://finviz.com/quote.ashx?t=""&amp;A5497,""table"",10),7,2),""*"",""""),""-"",""0.00""))"),"Loading...")</f>
        <v>Loading...</v>
      </c>
      <c r="L5497" s="129">
        <v>8.98317037E8</v>
      </c>
      <c r="M5497" s="99" t="str">
        <f>IFERROR(__xludf.DUMMYFUNCTION("GOOGLEFINANCE(A5497,""beta"")"),"#N/A")</f>
        <v>#N/A</v>
      </c>
    </row>
    <row r="5498">
      <c r="A5498" s="122" t="s">
        <v>11490</v>
      </c>
      <c r="B5498" s="123">
        <v>1768267.0</v>
      </c>
      <c r="C5498" s="124" t="s">
        <v>11491</v>
      </c>
      <c r="D5498" s="125"/>
      <c r="E5498" s="126">
        <v>20.39</v>
      </c>
      <c r="F5498" s="127"/>
      <c r="G5498" s="127"/>
      <c r="H5498" s="127"/>
      <c r="I5498" s="128"/>
      <c r="K5498" s="105" t="str">
        <f>IFERROR(__xludf.DUMMYFUNCTION("if(A5498="""","""",substitute(SUBSTITUTE(index(importhtml(""http://finviz.com/quote.ashx?t=""&amp;A5498,""table"",10),7,2),""*"",""""),""-"",""0.00""))"),"Loading...")</f>
        <v>Loading...</v>
      </c>
      <c r="L5498" s="129">
        <v>8.40832192E8</v>
      </c>
      <c r="M5498" s="99">
        <v>2.56</v>
      </c>
    </row>
    <row r="5499">
      <c r="A5499" s="122" t="s">
        <v>11492</v>
      </c>
      <c r="B5499" s="123">
        <v>1880438.0</v>
      </c>
      <c r="C5499" s="124" t="s">
        <v>11493</v>
      </c>
      <c r="D5499" s="125"/>
      <c r="E5499" s="126">
        <v>20.4</v>
      </c>
      <c r="F5499" s="127"/>
      <c r="G5499" s="127"/>
      <c r="H5499" s="127"/>
      <c r="I5499" s="128"/>
      <c r="K5499" s="105" t="str">
        <f>IFERROR(__xludf.DUMMYFUNCTION("if(A5499="""","""",substitute(SUBSTITUTE(index(importhtml(""http://finviz.com/quote.ashx?t=""&amp;A5499,""table"",10),7,2),""*"",""""),""-"",""0.00""))"),"Loading...")</f>
        <v>Loading...</v>
      </c>
      <c r="L5499" s="129">
        <v>6.06725364E8</v>
      </c>
      <c r="M5499" s="99">
        <f>IFERROR(__xludf.DUMMYFUNCTION("GOOGLEFINANCE(A5499,""beta"")"),-0.03)</f>
        <v>-0.03</v>
      </c>
    </row>
    <row r="5500">
      <c r="A5500" s="122" t="s">
        <v>11494</v>
      </c>
      <c r="B5500" s="123">
        <v>1590717.0</v>
      </c>
      <c r="C5500" s="124" t="s">
        <v>11495</v>
      </c>
      <c r="D5500" s="125"/>
      <c r="E5500" s="126">
        <v>20.41</v>
      </c>
      <c r="F5500" s="127"/>
      <c r="G5500" s="127"/>
      <c r="H5500" s="127"/>
      <c r="I5500" s="128"/>
      <c r="K5500" s="105" t="str">
        <f>IFERROR(__xludf.DUMMYFUNCTION("if(A5500="""","""",substitute(SUBSTITUTE(index(importhtml(""http://finviz.com/quote.ashx?t=""&amp;A5500,""table"",10),7,2),""*"",""""),""-"",""0.00""))"),"Loading...")</f>
        <v>Loading...</v>
      </c>
      <c r="L5500" s="129">
        <v>2.431077942E9</v>
      </c>
      <c r="M5500" s="99">
        <v>1.18</v>
      </c>
    </row>
    <row r="5501">
      <c r="A5501" s="122" t="s">
        <v>11496</v>
      </c>
      <c r="B5501" s="123">
        <v>1685040.0</v>
      </c>
      <c r="C5501" s="124" t="s">
        <v>11497</v>
      </c>
      <c r="D5501" s="125"/>
      <c r="E5501" s="126">
        <v>20.41</v>
      </c>
      <c r="F5501" s="127"/>
      <c r="G5501" s="127"/>
      <c r="H5501" s="127"/>
      <c r="I5501" s="128"/>
      <c r="K5501" s="105" t="str">
        <f>IFERROR(__xludf.DUMMYFUNCTION("if(A5501="""","""",substitute(SUBSTITUTE(index(importhtml(""http://finviz.com/quote.ashx?t=""&amp;A5501,""table"",10),7,2),""*"",""""),""-"",""0.00""))"),"Loading...")</f>
        <v>Loading...</v>
      </c>
      <c r="L5501" s="129">
        <v>3.282790981E9</v>
      </c>
      <c r="M5501" s="99">
        <v>0.7</v>
      </c>
    </row>
    <row r="5502">
      <c r="A5502" s="122" t="s">
        <v>11498</v>
      </c>
      <c r="B5502" s="123">
        <v>1038683.0</v>
      </c>
      <c r="C5502" s="124" t="s">
        <v>11499</v>
      </c>
      <c r="D5502" s="125"/>
      <c r="E5502" s="126">
        <v>20.41</v>
      </c>
      <c r="F5502" s="127"/>
      <c r="G5502" s="127"/>
      <c r="H5502" s="127"/>
      <c r="I5502" s="128"/>
      <c r="K5502" s="105" t="str">
        <f>IFERROR(__xludf.DUMMYFUNCTION("if(A5502="""","""",substitute(SUBSTITUTE(index(importhtml(""http://finviz.com/quote.ashx?t=""&amp;A5502,""table"",10),7,2),""*"",""""),""-"",""0.00""))"),"Loading...")</f>
        <v>Loading...</v>
      </c>
      <c r="L5502" s="129">
        <v>2.2646032026E10</v>
      </c>
      <c r="M5502" s="99" t="str">
        <f>IFERROR(__xludf.DUMMYFUNCTION("GOOGLEFINANCE(A5502,""beta"")"),"#N/A")</f>
        <v>#N/A</v>
      </c>
    </row>
    <row r="5503">
      <c r="A5503" s="122" t="s">
        <v>11500</v>
      </c>
      <c r="B5503" s="123">
        <v>1224450.0</v>
      </c>
      <c r="C5503" s="124" t="s">
        <v>11501</v>
      </c>
      <c r="D5503" s="125"/>
      <c r="E5503" s="126">
        <v>20.42</v>
      </c>
      <c r="F5503" s="127"/>
      <c r="G5503" s="127"/>
      <c r="H5503" s="127"/>
      <c r="I5503" s="128"/>
      <c r="K5503" s="105" t="str">
        <f>IFERROR(__xludf.DUMMYFUNCTION("if(A5503="""","""",substitute(SUBSTITUTE(index(importhtml(""http://finviz.com/quote.ashx?t=""&amp;A5503,""table"",10),7,2),""*"",""""),""-"",""0.00""))"),"Loading...")</f>
        <v>Loading...</v>
      </c>
      <c r="L5503" s="129">
        <v>9.75254711E8</v>
      </c>
      <c r="M5503" s="99">
        <v>1.23</v>
      </c>
    </row>
    <row r="5504">
      <c r="A5504" s="122" t="s">
        <v>11502</v>
      </c>
      <c r="B5504" s="123">
        <v>1415311.0</v>
      </c>
      <c r="C5504" s="124" t="s">
        <v>11503</v>
      </c>
      <c r="D5504" s="125"/>
      <c r="E5504" s="126">
        <v>20.42</v>
      </c>
      <c r="F5504" s="127"/>
      <c r="G5504" s="127"/>
      <c r="H5504" s="127"/>
      <c r="I5504" s="128"/>
      <c r="K5504" s="105" t="str">
        <f>IFERROR(__xludf.DUMMYFUNCTION("if(A5504="""","""",substitute(SUBSTITUTE(index(importhtml(""http://finviz.com/quote.ashx?t=""&amp;A5504,""table"",10),7,2),""*"",""""),""-"",""0.00""))"),"Loading...")</f>
        <v>Loading...</v>
      </c>
      <c r="L5504" s="129" t="e">
        <v>#N/A</v>
      </c>
      <c r="M5504" s="99" t="str">
        <f>IFERROR(__xludf.DUMMYFUNCTION("GOOGLEFINANCE(A5504,""beta"")"),"#N/A")</f>
        <v>#N/A</v>
      </c>
    </row>
    <row r="5505">
      <c r="A5505" s="122" t="s">
        <v>11504</v>
      </c>
      <c r="B5505" s="123">
        <v>1422183.0</v>
      </c>
      <c r="C5505" s="124" t="s">
        <v>11505</v>
      </c>
      <c r="D5505" s="125"/>
      <c r="E5505" s="126">
        <v>20.44</v>
      </c>
      <c r="F5505" s="127"/>
      <c r="G5505" s="127"/>
      <c r="H5505" s="127"/>
      <c r="I5505" s="128"/>
      <c r="K5505" s="55" t="s">
        <v>11506</v>
      </c>
      <c r="L5505" s="129">
        <v>5.724557365E9</v>
      </c>
      <c r="M5505" s="99">
        <v>1.16</v>
      </c>
    </row>
    <row r="5506">
      <c r="A5506" s="122" t="s">
        <v>11507</v>
      </c>
      <c r="B5506" s="123">
        <v>1464790.0</v>
      </c>
      <c r="C5506" s="124" t="s">
        <v>11508</v>
      </c>
      <c r="D5506" s="125"/>
      <c r="E5506" s="126">
        <v>20.45</v>
      </c>
      <c r="F5506" s="127"/>
      <c r="G5506" s="127"/>
      <c r="H5506" s="127"/>
      <c r="I5506" s="128"/>
      <c r="K5506" s="105" t="str">
        <f>IFERROR(__xludf.DUMMYFUNCTION("if(A5506="""","""",substitute(SUBSTITUTE(index(importhtml(""http://finviz.com/quote.ashx?t=""&amp;A5506,""table"",10),7,2),""*"",""""),""-"",""0.00""))"),"#N/A")</f>
        <v>#N/A</v>
      </c>
      <c r="L5506" s="129">
        <v>6.2052646E8</v>
      </c>
      <c r="M5506" s="99">
        <v>0.1</v>
      </c>
    </row>
    <row r="5507">
      <c r="A5507" s="122" t="s">
        <v>11509</v>
      </c>
      <c r="B5507" s="123">
        <v>1309402.0</v>
      </c>
      <c r="C5507" s="124" t="s">
        <v>11510</v>
      </c>
      <c r="D5507" s="125"/>
      <c r="E5507" s="126">
        <v>20.47</v>
      </c>
      <c r="F5507" s="127"/>
      <c r="G5507" s="127"/>
      <c r="H5507" s="127"/>
      <c r="I5507" s="128"/>
      <c r="K5507" s="105" t="str">
        <f>IFERROR(__xludf.DUMMYFUNCTION("if(A5507="""","""",substitute(SUBSTITUTE(index(importhtml(""http://finviz.com/quote.ashx?t=""&amp;A5507,""table"",10),7,2),""*"",""""),""-"",""0.00""))"),"Loading...")</f>
        <v>Loading...</v>
      </c>
      <c r="L5507" s="129">
        <v>1.314441908E9</v>
      </c>
      <c r="M5507" s="99">
        <v>1.62</v>
      </c>
    </row>
    <row r="5508">
      <c r="A5508" s="122" t="s">
        <v>11511</v>
      </c>
      <c r="B5508" s="123">
        <v>1792045.0</v>
      </c>
      <c r="C5508" s="124" t="s">
        <v>11512</v>
      </c>
      <c r="D5508" s="125"/>
      <c r="E5508" s="126">
        <v>20.49</v>
      </c>
      <c r="F5508" s="127"/>
      <c r="G5508" s="127"/>
      <c r="H5508" s="127"/>
      <c r="I5508" s="128"/>
      <c r="K5508" s="105" t="str">
        <f>IFERROR(__xludf.DUMMYFUNCTION("if(A5508="""","""",substitute(SUBSTITUTE(index(importhtml(""http://finviz.com/quote.ashx?t=""&amp;A5508,""table"",10),7,2),""*"",""""),""-"",""0.00""))"),"Loading...")</f>
        <v>Loading...</v>
      </c>
      <c r="L5508" s="129">
        <v>3.556963771E9</v>
      </c>
      <c r="M5508" s="99">
        <f>IFERROR(__xludf.DUMMYFUNCTION("GOOGLEFINANCE(A5508,""beta"")"),0.55)</f>
        <v>0.55</v>
      </c>
    </row>
    <row r="5509">
      <c r="A5509" s="122" t="s">
        <v>11513</v>
      </c>
      <c r="B5509" s="123">
        <v>927719.0</v>
      </c>
      <c r="C5509" s="124" t="s">
        <v>11514</v>
      </c>
      <c r="D5509" s="125"/>
      <c r="E5509" s="126">
        <v>20.5</v>
      </c>
      <c r="F5509" s="127"/>
      <c r="G5509" s="127"/>
      <c r="H5509" s="127"/>
      <c r="I5509" s="128"/>
      <c r="K5509" s="105" t="str">
        <f>IFERROR(__xludf.DUMMYFUNCTION("if(A5509="""","""",substitute(SUBSTITUTE(index(importhtml(""http://finviz.com/quote.ashx?t=""&amp;A5509,""table"",10),7,2),""*"",""""),""-"",""0.00""))"),"Loading...")</f>
        <v>Loading...</v>
      </c>
      <c r="L5509" s="129" t="e">
        <v>#N/A</v>
      </c>
      <c r="M5509" s="99">
        <v>-0.01</v>
      </c>
    </row>
    <row r="5510">
      <c r="A5510" s="122" t="s">
        <v>11515</v>
      </c>
      <c r="B5510" s="123">
        <v>1731388.0</v>
      </c>
      <c r="C5510" s="124" t="s">
        <v>11516</v>
      </c>
      <c r="D5510" s="125"/>
      <c r="E5510" s="126">
        <v>20.51</v>
      </c>
      <c r="F5510" s="127"/>
      <c r="G5510" s="127"/>
      <c r="H5510" s="127"/>
      <c r="I5510" s="128"/>
      <c r="K5510" s="105" t="str">
        <f>IFERROR(__xludf.DUMMYFUNCTION("if(A5510="""","""",substitute(SUBSTITUTE(index(importhtml(""http://finviz.com/quote.ashx?t=""&amp;A5510,""table"",10),7,2),""*"",""""),""-"",""0.00""))"),"Loading...")</f>
        <v>Loading...</v>
      </c>
      <c r="L5510" s="129">
        <v>5.7139978E7</v>
      </c>
      <c r="M5510" s="99">
        <v>0.68</v>
      </c>
    </row>
    <row r="5511">
      <c r="A5511" s="122" t="s">
        <v>11517</v>
      </c>
      <c r="B5511" s="123">
        <v>716605.0</v>
      </c>
      <c r="C5511" s="124" t="s">
        <v>11518</v>
      </c>
      <c r="D5511" s="125"/>
      <c r="E5511" s="126">
        <v>20.52</v>
      </c>
      <c r="F5511" s="127"/>
      <c r="G5511" s="127"/>
      <c r="H5511" s="127"/>
      <c r="I5511" s="128"/>
      <c r="K5511" s="105" t="str">
        <f>IFERROR(__xludf.DUMMYFUNCTION("if(A5511="""","""",substitute(SUBSTITUTE(index(importhtml(""http://finviz.com/quote.ashx?t=""&amp;A5511,""table"",10),7,2),""*"",""""),""-"",""0.00""))"),"Loading...")</f>
        <v>Loading...</v>
      </c>
      <c r="L5511" s="129">
        <v>1.46995987E8</v>
      </c>
      <c r="M5511" s="99">
        <v>0.51</v>
      </c>
    </row>
    <row r="5512">
      <c r="A5512" s="122" t="s">
        <v>11519</v>
      </c>
      <c r="B5512" s="123">
        <v>1459839.0</v>
      </c>
      <c r="C5512" s="124" t="s">
        <v>11520</v>
      </c>
      <c r="D5512" s="125"/>
      <c r="E5512" s="126">
        <v>20.52</v>
      </c>
      <c r="F5512" s="127"/>
      <c r="G5512" s="127"/>
      <c r="H5512" s="127"/>
      <c r="I5512" s="128"/>
      <c r="K5512" s="105" t="str">
        <f>IFERROR(__xludf.DUMMYFUNCTION("if(A5512="""","""",substitute(SUBSTITUTE(index(importhtml(""http://finviz.com/quote.ashx?t=""&amp;A5512,""table"",10),7,2),""*"",""""),""-"",""0.00""))"),"Loading...")</f>
        <v>Loading...</v>
      </c>
      <c r="L5512" s="129">
        <v>8.31080948E8</v>
      </c>
      <c r="M5512" s="99">
        <v>1.27</v>
      </c>
    </row>
    <row r="5513">
      <c r="A5513" s="122" t="s">
        <v>11521</v>
      </c>
      <c r="B5513" s="123">
        <v>1703785.0</v>
      </c>
      <c r="C5513" s="124" t="s">
        <v>11522</v>
      </c>
      <c r="D5513" s="125"/>
      <c r="E5513" s="126">
        <v>20.52</v>
      </c>
      <c r="F5513" s="127"/>
      <c r="G5513" s="127"/>
      <c r="H5513" s="127"/>
      <c r="I5513" s="128"/>
      <c r="K5513" s="105" t="str">
        <f>IFERROR(__xludf.DUMMYFUNCTION("if(A5513="""","""",substitute(SUBSTITUTE(index(importhtml(""http://finviz.com/quote.ashx?t=""&amp;A5513,""table"",10),7,2),""*"",""""),""-"",""0.00""))"),"Loading...")</f>
        <v>Loading...</v>
      </c>
      <c r="L5513" s="129">
        <v>3.225309047E9</v>
      </c>
      <c r="M5513" s="99">
        <v>1.83</v>
      </c>
    </row>
    <row r="5514">
      <c r="A5514" s="122" t="s">
        <v>11523</v>
      </c>
      <c r="B5514" s="123">
        <v>1419536.0</v>
      </c>
      <c r="C5514" s="124" t="s">
        <v>11524</v>
      </c>
      <c r="D5514" s="125"/>
      <c r="E5514" s="126">
        <v>20.53</v>
      </c>
      <c r="F5514" s="127"/>
      <c r="G5514" s="127"/>
      <c r="H5514" s="127"/>
      <c r="I5514" s="128"/>
      <c r="K5514" s="105" t="str">
        <f>IFERROR(__xludf.DUMMYFUNCTION("if(A5514="""","""",substitute(SUBSTITUTE(index(importhtml(""http://finviz.com/quote.ashx?t=""&amp;A5514,""table"",10),7,2),""*"",""""),""-"",""0.00""))"),"Loading...")</f>
        <v>Loading...</v>
      </c>
      <c r="L5514" s="129">
        <v>2.85838994E8</v>
      </c>
      <c r="M5514" s="99">
        <v>0.43</v>
      </c>
    </row>
    <row r="5515">
      <c r="A5515" s="122" t="s">
        <v>11525</v>
      </c>
      <c r="B5515" s="123">
        <v>7789.0</v>
      </c>
      <c r="C5515" s="124" t="s">
        <v>11526</v>
      </c>
      <c r="D5515" s="125"/>
      <c r="E5515" s="126">
        <v>20.54</v>
      </c>
      <c r="F5515" s="127"/>
      <c r="G5515" s="127"/>
      <c r="H5515" s="127"/>
      <c r="I5515" s="128"/>
      <c r="K5515" s="55" t="s">
        <v>7812</v>
      </c>
      <c r="L5515" s="129">
        <v>3.100299522E9</v>
      </c>
      <c r="M5515" s="99">
        <v>1.01</v>
      </c>
    </row>
    <row r="5516">
      <c r="A5516" s="122" t="s">
        <v>11527</v>
      </c>
      <c r="B5516" s="123">
        <v>313216.0</v>
      </c>
      <c r="C5516" s="124" t="s">
        <v>11528</v>
      </c>
      <c r="D5516" s="125"/>
      <c r="E5516" s="126">
        <v>20.55</v>
      </c>
      <c r="F5516" s="127"/>
      <c r="G5516" s="127"/>
      <c r="H5516" s="127"/>
      <c r="I5516" s="128"/>
      <c r="K5516" s="105" t="str">
        <f>IFERROR(__xludf.DUMMYFUNCTION("if(A5516="""","""",substitute(SUBSTITUTE(index(importhtml(""http://finviz.com/quote.ashx?t=""&amp;A5516,""table"",10),7,2),""*"",""""),""-"",""0.00""))"),"Loading...")</f>
        <v>Loading...</v>
      </c>
      <c r="L5516" s="129">
        <v>1.8955928722E10</v>
      </c>
      <c r="M5516" s="99">
        <v>0.86</v>
      </c>
    </row>
    <row r="5517">
      <c r="A5517" s="122" t="s">
        <v>11529</v>
      </c>
      <c r="B5517" s="123">
        <v>65172.0</v>
      </c>
      <c r="C5517" s="124" t="s">
        <v>11530</v>
      </c>
      <c r="D5517" s="125"/>
      <c r="E5517" s="126">
        <v>20.56</v>
      </c>
      <c r="F5517" s="127"/>
      <c r="G5517" s="127"/>
      <c r="H5517" s="127"/>
      <c r="I5517" s="128"/>
      <c r="K5517" s="105" t="str">
        <f>IFERROR(__xludf.DUMMYFUNCTION("if(A5517="""","""",substitute(SUBSTITUTE(index(importhtml(""http://finviz.com/quote.ashx?t=""&amp;A5517,""table"",10),7,2),""*"",""""),""-"",""0.00""))"),"Loading...")</f>
        <v>Loading...</v>
      </c>
      <c r="L5517" s="129">
        <v>2.69747398E8</v>
      </c>
      <c r="M5517" s="99">
        <v>0.89</v>
      </c>
    </row>
    <row r="5518">
      <c r="A5518" s="122" t="s">
        <v>11531</v>
      </c>
      <c r="B5518" s="123">
        <v>216851.0</v>
      </c>
      <c r="C5518" s="124" t="s">
        <v>11532</v>
      </c>
      <c r="D5518" s="125"/>
      <c r="E5518" s="126">
        <v>20.56</v>
      </c>
      <c r="F5518" s="127"/>
      <c r="G5518" s="127"/>
      <c r="H5518" s="127"/>
      <c r="I5518" s="128"/>
      <c r="K5518" s="105" t="str">
        <f>IFERROR(__xludf.DUMMYFUNCTION("if(A5518="""","""",substitute(SUBSTITUTE(index(importhtml(""http://finviz.com/quote.ashx?t=""&amp;A5518,""table"",10),7,2),""*"",""""),""-"",""0.00""))"),"Loading...")</f>
        <v>Loading...</v>
      </c>
      <c r="L5518" s="129">
        <v>5.14686073E8</v>
      </c>
      <c r="M5518" s="99">
        <v>1.26</v>
      </c>
    </row>
    <row r="5519">
      <c r="A5519" s="122" t="s">
        <v>11533</v>
      </c>
      <c r="B5519" s="123">
        <v>810958.0</v>
      </c>
      <c r="C5519" s="124" t="s">
        <v>11534</v>
      </c>
      <c r="D5519" s="125"/>
      <c r="E5519" s="126">
        <v>20.57</v>
      </c>
      <c r="F5519" s="127"/>
      <c r="G5519" s="127"/>
      <c r="H5519" s="127"/>
      <c r="I5519" s="128"/>
      <c r="K5519" s="105" t="str">
        <f>IFERROR(__xludf.DUMMYFUNCTION("if(A5519="""","""",substitute(SUBSTITUTE(index(importhtml(""http://finviz.com/quote.ashx?t=""&amp;A5519,""table"",10),7,2),""*"",""""),""-"",""0.00""))"),"Loading...")</f>
        <v>Loading...</v>
      </c>
      <c r="L5519" s="129">
        <v>3.14620819E8</v>
      </c>
      <c r="M5519" s="99">
        <v>0.46</v>
      </c>
    </row>
    <row r="5520">
      <c r="A5520" s="122" t="s">
        <v>11535</v>
      </c>
      <c r="B5520" s="123">
        <v>1430725.0</v>
      </c>
      <c r="C5520" s="124" t="s">
        <v>11536</v>
      </c>
      <c r="D5520" s="125"/>
      <c r="E5520" s="126">
        <v>20.57</v>
      </c>
      <c r="F5520" s="127"/>
      <c r="G5520" s="127"/>
      <c r="H5520" s="127"/>
      <c r="I5520" s="128"/>
      <c r="K5520" s="105" t="str">
        <f>IFERROR(__xludf.DUMMYFUNCTION("if(A5520="""","""",substitute(SUBSTITUTE(index(importhtml(""http://finviz.com/quote.ashx?t=""&amp;A5520,""table"",10),7,2),""*"",""""),""-"",""0.00""))"),"Loading...")</f>
        <v>Loading...</v>
      </c>
      <c r="L5520" s="129">
        <v>7.2389984E8</v>
      </c>
      <c r="M5520" s="99">
        <v>1.53</v>
      </c>
    </row>
    <row r="5521">
      <c r="A5521" s="122" t="s">
        <v>11537</v>
      </c>
      <c r="B5521" s="123">
        <v>1267238.0</v>
      </c>
      <c r="C5521" s="124" t="s">
        <v>11538</v>
      </c>
      <c r="D5521" s="125"/>
      <c r="E5521" s="126">
        <v>20.6</v>
      </c>
      <c r="F5521" s="127"/>
      <c r="G5521" s="127"/>
      <c r="H5521" s="127"/>
      <c r="I5521" s="128"/>
      <c r="K5521" s="105" t="str">
        <f>IFERROR(__xludf.DUMMYFUNCTION("if(A5521="""","""",substitute(SUBSTITUTE(index(importhtml(""http://finviz.com/quote.ashx?t=""&amp;A5521,""table"",10),7,2),""*"",""""),""-"",""0.00""))"),"Loading...")</f>
        <v>Loading...</v>
      </c>
      <c r="L5521" s="129">
        <v>8.775270885E9</v>
      </c>
      <c r="M5521" s="99">
        <v>0.32</v>
      </c>
    </row>
    <row r="5522">
      <c r="A5522" s="122" t="s">
        <v>11539</v>
      </c>
      <c r="B5522" s="123">
        <v>1695519.0</v>
      </c>
      <c r="C5522" s="124" t="s">
        <v>11540</v>
      </c>
      <c r="D5522" s="125"/>
      <c r="E5522" s="126">
        <v>20.62</v>
      </c>
      <c r="F5522" s="127"/>
      <c r="G5522" s="127"/>
      <c r="H5522" s="127"/>
      <c r="I5522" s="128"/>
      <c r="K5522" s="105" t="str">
        <f>IFERROR(__xludf.DUMMYFUNCTION("if(A5522="""","""",substitute(SUBSTITUTE(index(importhtml(""http://finviz.com/quote.ashx?t=""&amp;A5522,""table"",10),7,2),""*"",""""),""-"",""0.00""))"),"Loading...")</f>
        <v>Loading...</v>
      </c>
      <c r="L5522" s="129">
        <v>8.195374092E9</v>
      </c>
      <c r="M5522" s="99">
        <v>1.06</v>
      </c>
    </row>
    <row r="5523">
      <c r="A5523" s="122" t="s">
        <v>11541</v>
      </c>
      <c r="B5523" s="123">
        <v>1488813.0</v>
      </c>
      <c r="C5523" s="124" t="s">
        <v>11542</v>
      </c>
      <c r="D5523" s="125"/>
      <c r="E5523" s="126">
        <v>20.63</v>
      </c>
      <c r="F5523" s="127"/>
      <c r="G5523" s="127"/>
      <c r="H5523" s="127"/>
      <c r="I5523" s="128"/>
      <c r="K5523" s="105" t="str">
        <f>IFERROR(__xludf.DUMMYFUNCTION("if(A5523="""","""",substitute(SUBSTITUTE(index(importhtml(""http://finviz.com/quote.ashx?t=""&amp;A5523,""table"",10),7,2),""*"",""""),""-"",""0.00""))"),"Loading...")</f>
        <v>Loading...</v>
      </c>
      <c r="L5523" s="129">
        <v>1.635870508E9</v>
      </c>
      <c r="M5523" s="99">
        <v>0.49</v>
      </c>
    </row>
    <row r="5524">
      <c r="A5524" s="122" t="s">
        <v>11543</v>
      </c>
      <c r="B5524" s="123">
        <v>1792045.0</v>
      </c>
      <c r="C5524" s="124" t="s">
        <v>11544</v>
      </c>
      <c r="D5524" s="125"/>
      <c r="E5524" s="126">
        <v>20.65</v>
      </c>
      <c r="F5524" s="127"/>
      <c r="G5524" s="127"/>
      <c r="H5524" s="127"/>
      <c r="I5524" s="128"/>
      <c r="K5524" s="105" t="str">
        <f>IFERROR(__xludf.DUMMYFUNCTION("if(A5524="""","""",substitute(SUBSTITUTE(index(importhtml(""http://finviz.com/quote.ashx?t=""&amp;A5524,""table"",10),7,2),""*"",""""),""-"",""0.00""))"),"Loading...")</f>
        <v>Loading...</v>
      </c>
      <c r="L5524" s="129">
        <v>3.556963771E9</v>
      </c>
      <c r="M5524" s="99">
        <f>IFERROR(__xludf.DUMMYFUNCTION("GOOGLEFINANCE(A5524,""beta"")"),0.65)</f>
        <v>0.65</v>
      </c>
    </row>
    <row r="5525">
      <c r="A5525" s="122" t="s">
        <v>11545</v>
      </c>
      <c r="B5525" s="123">
        <v>1598428.0</v>
      </c>
      <c r="C5525" s="124" t="s">
        <v>11546</v>
      </c>
      <c r="D5525" s="125"/>
      <c r="E5525" s="126">
        <v>20.67</v>
      </c>
      <c r="F5525" s="127"/>
      <c r="G5525" s="127"/>
      <c r="H5525" s="127"/>
      <c r="I5525" s="128"/>
      <c r="K5525" s="105" t="str">
        <f>IFERROR(__xludf.DUMMYFUNCTION("if(A5525="""","""",substitute(SUBSTITUTE(index(importhtml(""http://finviz.com/quote.ashx?t=""&amp;A5525,""table"",10),7,2),""*"",""""),""-"",""0.00""))"),"Loading...")</f>
        <v>Loading...</v>
      </c>
      <c r="L5525" s="129">
        <v>8.92009925E8</v>
      </c>
      <c r="M5525" s="99">
        <v>1.51</v>
      </c>
    </row>
    <row r="5526">
      <c r="A5526" s="122" t="s">
        <v>11547</v>
      </c>
      <c r="B5526" s="123">
        <v>1759655.0</v>
      </c>
      <c r="C5526" s="124" t="s">
        <v>11548</v>
      </c>
      <c r="D5526" s="125"/>
      <c r="E5526" s="126">
        <v>20.69</v>
      </c>
      <c r="F5526" s="127"/>
      <c r="G5526" s="127"/>
      <c r="H5526" s="127"/>
      <c r="I5526" s="128"/>
      <c r="K5526" s="105" t="str">
        <f>IFERROR(__xludf.DUMMYFUNCTION("if(A5526="""","""",substitute(SUBSTITUTE(index(importhtml(""http://finviz.com/quote.ashx?t=""&amp;A5526,""table"",10),7,2),""*"",""""),""-"",""0.00""))"),"Loading...")</f>
        <v>Loading...</v>
      </c>
      <c r="L5526" s="129">
        <v>2.44275043E9</v>
      </c>
      <c r="M5526" s="99">
        <f>IFERROR(__xludf.DUMMYFUNCTION("GOOGLEFINANCE(A5526,""beta"")"),0.83)</f>
        <v>0.83</v>
      </c>
    </row>
    <row r="5527">
      <c r="A5527" s="122" t="s">
        <v>11549</v>
      </c>
      <c r="B5527" s="123">
        <v>1408534.0</v>
      </c>
      <c r="C5527" s="124" t="s">
        <v>11550</v>
      </c>
      <c r="D5527" s="125"/>
      <c r="E5527" s="126">
        <v>20.7</v>
      </c>
      <c r="F5527" s="127"/>
      <c r="G5527" s="127"/>
      <c r="H5527" s="127"/>
      <c r="I5527" s="128"/>
      <c r="K5527" s="105" t="str">
        <f>IFERROR(__xludf.DUMMYFUNCTION("if(A5527="""","""",substitute(SUBSTITUTE(index(importhtml(""http://finviz.com/quote.ashx?t=""&amp;A5527,""table"",10),7,2),""*"",""""),""-"",""0.00""))"),"Loading...")</f>
        <v>Loading...</v>
      </c>
      <c r="L5527" s="129">
        <v>1.42774186E8</v>
      </c>
      <c r="M5527" s="99">
        <f>IFERROR(__xludf.DUMMYFUNCTION("GOOGLEFINANCE(A5527,""beta"")"),0.34)</f>
        <v>0.34</v>
      </c>
    </row>
    <row r="5528">
      <c r="A5528" s="122" t="s">
        <v>11551</v>
      </c>
      <c r="B5528" s="123">
        <v>1602584.0</v>
      </c>
      <c r="C5528" s="124" t="s">
        <v>11552</v>
      </c>
      <c r="D5528" s="125"/>
      <c r="E5528" s="126">
        <v>20.73</v>
      </c>
      <c r="F5528" s="127"/>
      <c r="G5528" s="127"/>
      <c r="H5528" s="127"/>
      <c r="I5528" s="128"/>
      <c r="K5528" s="55" t="s">
        <v>11553</v>
      </c>
      <c r="L5528" s="129">
        <v>5.48491741E8</v>
      </c>
      <c r="M5528" s="99">
        <v>1.07</v>
      </c>
    </row>
    <row r="5529">
      <c r="A5529" s="122" t="s">
        <v>11554</v>
      </c>
      <c r="B5529" s="123">
        <v>736772.0</v>
      </c>
      <c r="C5529" s="124" t="s">
        <v>11555</v>
      </c>
      <c r="D5529" s="125"/>
      <c r="E5529" s="126">
        <v>20.73</v>
      </c>
      <c r="F5529" s="127"/>
      <c r="G5529" s="127"/>
      <c r="H5529" s="127"/>
      <c r="I5529" s="128"/>
      <c r="K5529" s="105" t="str">
        <f>IFERROR(__xludf.DUMMYFUNCTION("if(A5529="""","""",substitute(SUBSTITUTE(index(importhtml(""http://finviz.com/quote.ashx?t=""&amp;A5529,""table"",10),7,2),""*"",""""),""-"",""0.00""))"),"Loading...")</f>
        <v>Loading...</v>
      </c>
      <c r="L5529" s="129">
        <v>4.33182984E8</v>
      </c>
      <c r="M5529" s="99">
        <v>0.8</v>
      </c>
    </row>
    <row r="5530">
      <c r="A5530" s="122" t="s">
        <v>11556</v>
      </c>
      <c r="B5530" s="123">
        <v>1556739.0</v>
      </c>
      <c r="C5530" s="124" t="s">
        <v>11557</v>
      </c>
      <c r="D5530" s="125"/>
      <c r="E5530" s="126">
        <v>20.74</v>
      </c>
      <c r="F5530" s="127"/>
      <c r="G5530" s="127"/>
      <c r="H5530" s="127"/>
      <c r="I5530" s="128"/>
      <c r="K5530" s="105" t="str">
        <f>IFERROR(__xludf.DUMMYFUNCTION("if(A5530="""","""",substitute(SUBSTITUTE(index(importhtml(""http://finviz.com/quote.ashx?t=""&amp;A5530,""table"",10),7,2),""*"",""""),""-"",""0.00""))"),"Loading...")</f>
        <v>Loading...</v>
      </c>
      <c r="L5530" s="129">
        <v>7.29322299E8</v>
      </c>
      <c r="M5530" s="99">
        <v>0.96</v>
      </c>
    </row>
    <row r="5531">
      <c r="A5531" s="122" t="s">
        <v>11558</v>
      </c>
      <c r="B5531" s="123">
        <v>1116578.0</v>
      </c>
      <c r="C5531" s="124" t="s">
        <v>11559</v>
      </c>
      <c r="D5531" s="125"/>
      <c r="E5531" s="126">
        <v>20.74</v>
      </c>
      <c r="F5531" s="127"/>
      <c r="G5531" s="127"/>
      <c r="H5531" s="127"/>
      <c r="I5531" s="128"/>
      <c r="K5531" s="105" t="str">
        <f>IFERROR(__xludf.DUMMYFUNCTION("if(A5531="""","""",substitute(SUBSTITUTE(index(importhtml(""http://finviz.com/quote.ashx?t=""&amp;A5531,""table"",10),7,2),""*"",""""),""-"",""0.00""))"),"Loading...")</f>
        <v>Loading...</v>
      </c>
      <c r="L5531" s="129">
        <v>2.804330033E10</v>
      </c>
      <c r="M5531" s="99">
        <v>1.36</v>
      </c>
    </row>
    <row r="5532">
      <c r="A5532" s="122" t="s">
        <v>11560</v>
      </c>
      <c r="B5532" s="123">
        <v>750574.0</v>
      </c>
      <c r="C5532" s="124" t="s">
        <v>11561</v>
      </c>
      <c r="D5532" s="125"/>
      <c r="E5532" s="126">
        <v>20.75</v>
      </c>
      <c r="F5532" s="127"/>
      <c r="G5532" s="127"/>
      <c r="H5532" s="127"/>
      <c r="I5532" s="128"/>
      <c r="K5532" s="105" t="str">
        <f>IFERROR(__xludf.DUMMYFUNCTION("if(A5532="""","""",substitute(SUBSTITUTE(index(importhtml(""http://finviz.com/quote.ashx?t=""&amp;A5532,""table"",10),7,2),""*"",""""),""-"",""0.00""))"),"Loading...")</f>
        <v>Loading...</v>
      </c>
      <c r="L5532" s="129">
        <v>7.2492469E7</v>
      </c>
      <c r="M5532" s="99">
        <v>0.49</v>
      </c>
    </row>
    <row r="5533">
      <c r="A5533" s="122" t="s">
        <v>11562</v>
      </c>
      <c r="B5533" s="123">
        <v>1330568.0</v>
      </c>
      <c r="C5533" s="124" t="s">
        <v>11563</v>
      </c>
      <c r="D5533" s="125"/>
      <c r="E5533" s="126">
        <v>20.75</v>
      </c>
      <c r="F5533" s="127"/>
      <c r="G5533" s="127"/>
      <c r="H5533" s="127"/>
      <c r="I5533" s="128"/>
      <c r="K5533" s="105" t="str">
        <f>IFERROR(__xludf.DUMMYFUNCTION("if(A5533="""","""",substitute(SUBSTITUTE(index(importhtml(""http://finviz.com/quote.ashx?t=""&amp;A5533,""table"",10),7,2),""*"",""""),""-"",""0.00""))"),"Loading...")</f>
        <v>Loading...</v>
      </c>
      <c r="L5533" s="129">
        <v>8.318675E9</v>
      </c>
      <c r="M5533" s="99" t="str">
        <f>IFERROR(__xludf.DUMMYFUNCTION("GOOGLEFINANCE(A5533,""beta"")"),"#N/A")</f>
        <v>#N/A</v>
      </c>
    </row>
    <row r="5534">
      <c r="A5534" s="122" t="s">
        <v>11564</v>
      </c>
      <c r="B5534" s="123">
        <v>1704720.0</v>
      </c>
      <c r="C5534" s="124" t="s">
        <v>11565</v>
      </c>
      <c r="D5534" s="125"/>
      <c r="E5534" s="126">
        <v>20.76</v>
      </c>
      <c r="F5534" s="127"/>
      <c r="G5534" s="127"/>
      <c r="H5534" s="127"/>
      <c r="I5534" s="128"/>
      <c r="K5534" s="105" t="str">
        <f>IFERROR(__xludf.DUMMYFUNCTION("if(A5534="""","""",substitute(SUBSTITUTE(index(importhtml(""http://finviz.com/quote.ashx?t=""&amp;A5534,""table"",10),7,2),""*"",""""),""-"",""0.00""))"),"Loading...")</f>
        <v>Loading...</v>
      </c>
      <c r="L5534" s="129">
        <v>1.467980305E9</v>
      </c>
      <c r="M5534" s="99">
        <v>0.9</v>
      </c>
    </row>
    <row r="5535">
      <c r="A5535" s="122" t="s">
        <v>11566</v>
      </c>
      <c r="B5535" s="123">
        <v>919012.0</v>
      </c>
      <c r="C5535" s="124" t="s">
        <v>11567</v>
      </c>
      <c r="D5535" s="125"/>
      <c r="E5535" s="126">
        <v>20.77</v>
      </c>
      <c r="F5535" s="127"/>
      <c r="G5535" s="127"/>
      <c r="H5535" s="127"/>
      <c r="I5535" s="128"/>
      <c r="K5535" s="55" t="s">
        <v>9116</v>
      </c>
      <c r="L5535" s="129">
        <v>4.102870581E9</v>
      </c>
      <c r="M5535" s="99">
        <v>1.58</v>
      </c>
    </row>
    <row r="5536">
      <c r="A5536" s="122" t="s">
        <v>11568</v>
      </c>
      <c r="B5536" s="123">
        <v>946647.0</v>
      </c>
      <c r="C5536" s="124" t="s">
        <v>11569</v>
      </c>
      <c r="D5536" s="125"/>
      <c r="E5536" s="126">
        <v>20.77</v>
      </c>
      <c r="F5536" s="127"/>
      <c r="G5536" s="127"/>
      <c r="H5536" s="127"/>
      <c r="I5536" s="128"/>
      <c r="K5536" s="105" t="str">
        <f>IFERROR(__xludf.DUMMYFUNCTION("if(A5536="""","""",substitute(SUBSTITUTE(index(importhtml(""http://finviz.com/quote.ashx?t=""&amp;A5536,""table"",10),7,2),""*"",""""),""-"",""0.00""))"),"Loading...")</f>
        <v>Loading...</v>
      </c>
      <c r="L5536" s="129">
        <v>7.42112116E8</v>
      </c>
      <c r="M5536" s="99">
        <v>1.3</v>
      </c>
    </row>
    <row r="5537">
      <c r="A5537" s="122" t="s">
        <v>11570</v>
      </c>
      <c r="B5537" s="123">
        <v>821130.0</v>
      </c>
      <c r="C5537" s="124" t="s">
        <v>11571</v>
      </c>
      <c r="D5537" s="125"/>
      <c r="E5537" s="126">
        <v>20.78</v>
      </c>
      <c r="F5537" s="127"/>
      <c r="G5537" s="127"/>
      <c r="H5537" s="127"/>
      <c r="I5537" s="128"/>
      <c r="K5537" s="105" t="str">
        <f>IFERROR(__xludf.DUMMYFUNCTION("if(A5537="""","""",substitute(SUBSTITUTE(index(importhtml(""http://finviz.com/quote.ashx?t=""&amp;A5537,""table"",10),7,2),""*"",""""),""-"",""0.00""))"),"Loading...")</f>
        <v>Loading...</v>
      </c>
      <c r="L5537" s="129">
        <v>3.728100051E9</v>
      </c>
      <c r="M5537" s="99">
        <v>0.79</v>
      </c>
    </row>
    <row r="5538">
      <c r="A5538" s="122" t="s">
        <v>11572</v>
      </c>
      <c r="B5538" s="123">
        <v>92122.0</v>
      </c>
      <c r="C5538" s="124" t="s">
        <v>11573</v>
      </c>
      <c r="D5538" s="125"/>
      <c r="E5538" s="126">
        <v>20.78</v>
      </c>
      <c r="F5538" s="127"/>
      <c r="G5538" s="127"/>
      <c r="H5538" s="127"/>
      <c r="I5538" s="128"/>
      <c r="K5538" s="105" t="str">
        <f>IFERROR(__xludf.DUMMYFUNCTION("if(A5538="""","""",substitute(SUBSTITUTE(index(importhtml(""http://finviz.com/quote.ashx?t=""&amp;A5538,""table"",10),7,2),""*"",""""),""-"",""0.00""))"),"Loading...")</f>
        <v>Loading...</v>
      </c>
      <c r="L5538" s="129">
        <v>7.4870996014E10</v>
      </c>
      <c r="M5538" s="99">
        <v>0.64</v>
      </c>
    </row>
    <row r="5539">
      <c r="A5539" s="122" t="s">
        <v>11574</v>
      </c>
      <c r="B5539" s="123">
        <v>714310.0</v>
      </c>
      <c r="C5539" s="124" t="s">
        <v>11575</v>
      </c>
      <c r="D5539" s="125"/>
      <c r="E5539" s="126">
        <v>20.79</v>
      </c>
      <c r="F5539" s="127"/>
      <c r="G5539" s="127"/>
      <c r="H5539" s="127"/>
      <c r="I5539" s="128"/>
      <c r="K5539" s="105" t="str">
        <f>IFERROR(__xludf.DUMMYFUNCTION("if(A5539="""","""",substitute(SUBSTITUTE(index(importhtml(""http://finviz.com/quote.ashx?t=""&amp;A5539,""table"",10),7,2),""*"",""""),""-"",""0.00""))"),"Loading...")</f>
        <v>Loading...</v>
      </c>
      <c r="L5539" s="129">
        <v>4.676008198E9</v>
      </c>
      <c r="M5539" s="99">
        <v>0.51</v>
      </c>
    </row>
    <row r="5540">
      <c r="A5540" s="122" t="s">
        <v>11576</v>
      </c>
      <c r="B5540" s="123">
        <v>844551.0</v>
      </c>
      <c r="C5540" s="124" t="s">
        <v>11577</v>
      </c>
      <c r="D5540" s="125"/>
      <c r="E5540" s="126">
        <v>20.79</v>
      </c>
      <c r="F5540" s="127"/>
      <c r="G5540" s="127"/>
      <c r="H5540" s="127"/>
      <c r="I5540" s="128"/>
      <c r="K5540" s="105" t="str">
        <f>IFERROR(__xludf.DUMMYFUNCTION("if(A5540="""","""",substitute(SUBSTITUTE(index(importhtml(""http://finviz.com/quote.ashx?t=""&amp;A5540,""table"",10),7,2),""*"",""""),""-"",""0.00""))"),"Loading...")</f>
        <v>Loading...</v>
      </c>
      <c r="L5540" s="129">
        <v>6.1614406498E10</v>
      </c>
      <c r="M5540" s="99">
        <v>1.05</v>
      </c>
    </row>
    <row r="5541">
      <c r="A5541" s="122" t="s">
        <v>11578</v>
      </c>
      <c r="B5541" s="123">
        <v>27996.0</v>
      </c>
      <c r="C5541" s="124" t="s">
        <v>11579</v>
      </c>
      <c r="D5541" s="125"/>
      <c r="E5541" s="126">
        <v>20.8</v>
      </c>
      <c r="F5541" s="127"/>
      <c r="G5541" s="127"/>
      <c r="H5541" s="127"/>
      <c r="I5541" s="128"/>
      <c r="K5541" s="55" t="s">
        <v>7272</v>
      </c>
      <c r="L5541" s="129">
        <v>9.08804798E8</v>
      </c>
      <c r="M5541" s="99">
        <v>1.48</v>
      </c>
    </row>
    <row r="5542">
      <c r="A5542" s="122" t="s">
        <v>11580</v>
      </c>
      <c r="B5542" s="123">
        <v>1744659.0</v>
      </c>
      <c r="C5542" s="124" t="s">
        <v>11581</v>
      </c>
      <c r="D5542" s="125"/>
      <c r="E5542" s="126">
        <v>20.81</v>
      </c>
      <c r="F5542" s="127"/>
      <c r="G5542" s="127"/>
      <c r="H5542" s="127"/>
      <c r="I5542" s="128"/>
      <c r="K5542" s="105" t="str">
        <f>IFERROR(__xludf.DUMMYFUNCTION("if(A5542="""","""",substitute(SUBSTITUTE(index(importhtml(""http://finviz.com/quote.ashx?t=""&amp;A5542,""table"",10),7,2),""*"",""""),""-"",""0.00""))"),"Loading...")</f>
        <v>Loading...</v>
      </c>
      <c r="L5542" s="129">
        <v>1.159320283E9</v>
      </c>
      <c r="M5542" s="99">
        <v>-0.42</v>
      </c>
    </row>
    <row r="5543">
      <c r="A5543" s="122" t="s">
        <v>11582</v>
      </c>
      <c r="B5543" s="123">
        <v>1570585.0</v>
      </c>
      <c r="C5543" s="124" t="s">
        <v>11583</v>
      </c>
      <c r="D5543" s="125"/>
      <c r="E5543" s="126">
        <v>20.84</v>
      </c>
      <c r="F5543" s="127"/>
      <c r="G5543" s="127"/>
      <c r="H5543" s="127"/>
      <c r="I5543" s="128"/>
      <c r="K5543" s="105" t="str">
        <f>IFERROR(__xludf.DUMMYFUNCTION("if(A5543="""","""",substitute(SUBSTITUTE(index(importhtml(""http://finviz.com/quote.ashx?t=""&amp;A5543,""table"",10),7,2),""*"",""""),""-"",""0.00""))"),"Loading...")</f>
        <v>Loading...</v>
      </c>
      <c r="L5543" s="129">
        <v>7.869493711E9</v>
      </c>
      <c r="M5543" s="99">
        <v>1.18</v>
      </c>
    </row>
    <row r="5544">
      <c r="A5544" s="122" t="s">
        <v>11584</v>
      </c>
      <c r="B5544" s="123">
        <v>1795579.0</v>
      </c>
      <c r="C5544" s="124" t="s">
        <v>11585</v>
      </c>
      <c r="D5544" s="125"/>
      <c r="E5544" s="126">
        <v>20.85</v>
      </c>
      <c r="F5544" s="127"/>
      <c r="G5544" s="127"/>
      <c r="H5544" s="127"/>
      <c r="I5544" s="128"/>
      <c r="K5544" s="105" t="str">
        <f>IFERROR(__xludf.DUMMYFUNCTION("if(A5544="""","""",substitute(SUBSTITUTE(index(importhtml(""http://finviz.com/quote.ashx?t=""&amp;A5544,""table"",10),7,2),""*"",""""),""-"",""0.00""))"),"Loading...")</f>
        <v>Loading...</v>
      </c>
      <c r="L5544" s="129">
        <v>6.17477139E8</v>
      </c>
      <c r="M5544" s="99">
        <v>1.55</v>
      </c>
    </row>
    <row r="5545">
      <c r="A5545" s="122" t="s">
        <v>11586</v>
      </c>
      <c r="B5545" s="123">
        <v>1683695.0</v>
      </c>
      <c r="C5545" s="124" t="s">
        <v>11587</v>
      </c>
      <c r="D5545" s="125"/>
      <c r="E5545" s="126">
        <v>20.89</v>
      </c>
      <c r="F5545" s="127"/>
      <c r="G5545" s="127"/>
      <c r="H5545" s="127"/>
      <c r="I5545" s="128"/>
      <c r="K5545" s="105" t="str">
        <f>IFERROR(__xludf.DUMMYFUNCTION("if(A5545="""","""",substitute(SUBSTITUTE(index(importhtml(""http://finviz.com/quote.ashx?t=""&amp;A5545,""table"",10),7,2),""*"",""""),""-"",""0.00""))"),"Loading...")</f>
        <v>Loading...</v>
      </c>
      <c r="L5545" s="129">
        <v>7.28372026E8</v>
      </c>
      <c r="M5545" s="99">
        <v>0.73</v>
      </c>
    </row>
    <row r="5546">
      <c r="A5546" s="122" t="s">
        <v>11588</v>
      </c>
      <c r="B5546" s="123">
        <v>1867072.0</v>
      </c>
      <c r="C5546" s="124" t="s">
        <v>11589</v>
      </c>
      <c r="D5546" s="125"/>
      <c r="E5546" s="126">
        <v>20.9</v>
      </c>
      <c r="F5546" s="127"/>
      <c r="G5546" s="127"/>
      <c r="H5546" s="127"/>
      <c r="I5546" s="128"/>
      <c r="K5546" s="55" t="s">
        <v>1034</v>
      </c>
      <c r="L5546" s="129">
        <v>4.795793332E9</v>
      </c>
      <c r="M5546" s="99">
        <f>IFERROR(__xludf.DUMMYFUNCTION("GOOGLEFINANCE(A5546,""beta"")"),1.93)</f>
        <v>1.93</v>
      </c>
    </row>
    <row r="5547">
      <c r="A5547" s="122" t="s">
        <v>11590</v>
      </c>
      <c r="B5547" s="123">
        <v>313216.0</v>
      </c>
      <c r="C5547" s="124" t="s">
        <v>11528</v>
      </c>
      <c r="D5547" s="125"/>
      <c r="E5547" s="126">
        <v>20.93</v>
      </c>
      <c r="F5547" s="127"/>
      <c r="G5547" s="127"/>
      <c r="H5547" s="127"/>
      <c r="I5547" s="128"/>
      <c r="K5547" s="105" t="str">
        <f>IFERROR(__xludf.DUMMYFUNCTION("if(A5547="""","""",substitute(SUBSTITUTE(index(importhtml(""http://finviz.com/quote.ashx?t=""&amp;A5547,""table"",10),7,2),""*"",""""),""-"",""0.00""))"),"Loading...")</f>
        <v>Loading...</v>
      </c>
      <c r="L5547" s="129">
        <v>1.8955928722E10</v>
      </c>
      <c r="M5547" s="99">
        <v>0.89</v>
      </c>
    </row>
    <row r="5548">
      <c r="A5548" s="122" t="s">
        <v>11591</v>
      </c>
      <c r="B5548" s="123">
        <v>1401564.0</v>
      </c>
      <c r="C5548" s="124" t="s">
        <v>11592</v>
      </c>
      <c r="D5548" s="125"/>
      <c r="E5548" s="126">
        <v>20.95</v>
      </c>
      <c r="F5548" s="127"/>
      <c r="G5548" s="127"/>
      <c r="H5548" s="127"/>
      <c r="I5548" s="128"/>
      <c r="K5548" s="105" t="str">
        <f>IFERROR(__xludf.DUMMYFUNCTION("if(A5548="""","""",substitute(SUBSTITUTE(index(importhtml(""http://finviz.com/quote.ashx?t=""&amp;A5548,""table"",10),7,2),""*"",""""),""-"",""0.00""))"),"Loading...")</f>
        <v>Loading...</v>
      </c>
      <c r="L5548" s="129">
        <v>1.92310762E8</v>
      </c>
      <c r="M5548" s="99">
        <v>0.56</v>
      </c>
    </row>
    <row r="5549">
      <c r="A5549" s="122" t="s">
        <v>11593</v>
      </c>
      <c r="B5549" s="123">
        <v>1141688.0</v>
      </c>
      <c r="C5549" s="124" t="s">
        <v>11594</v>
      </c>
      <c r="D5549" s="125"/>
      <c r="E5549" s="126">
        <v>21.0</v>
      </c>
      <c r="F5549" s="127"/>
      <c r="G5549" s="127"/>
      <c r="H5549" s="127"/>
      <c r="I5549" s="128"/>
      <c r="K5549" s="105" t="str">
        <f>IFERROR(__xludf.DUMMYFUNCTION("if(A5549="""","""",substitute(SUBSTITUTE(index(importhtml(""http://finviz.com/quote.ashx?t=""&amp;A5549,""table"",10),7,2),""*"",""""),""-"",""0.00""))"),"Loading...")</f>
        <v>Loading...</v>
      </c>
      <c r="L5549" s="129">
        <v>1.15107678E8</v>
      </c>
      <c r="M5549" s="99">
        <v>0.46</v>
      </c>
    </row>
    <row r="5550">
      <c r="A5550" s="122" t="s">
        <v>11595</v>
      </c>
      <c r="B5550" s="123">
        <v>1059262.0</v>
      </c>
      <c r="C5550" s="124" t="s">
        <v>11596</v>
      </c>
      <c r="D5550" s="125"/>
      <c r="E5550" s="126">
        <v>21.0</v>
      </c>
      <c r="F5550" s="127"/>
      <c r="G5550" s="127"/>
      <c r="H5550" s="127"/>
      <c r="I5550" s="128"/>
      <c r="K5550" s="105" t="str">
        <f>IFERROR(__xludf.DUMMYFUNCTION("if(A5550="""","""",substitute(SUBSTITUTE(index(importhtml(""http://finviz.com/quote.ashx?t=""&amp;A5550,""table"",10),7,2),""*"",""""),""-"",""0.00""))"),"Loading...")</f>
        <v>Loading...</v>
      </c>
      <c r="L5550" s="129" t="e">
        <v>#N/A</v>
      </c>
      <c r="M5550" s="99">
        <v>0.3</v>
      </c>
    </row>
    <row r="5551">
      <c r="A5551" s="122" t="s">
        <v>11597</v>
      </c>
      <c r="B5551" s="123">
        <v>936340.0</v>
      </c>
      <c r="C5551" s="124" t="s">
        <v>11598</v>
      </c>
      <c r="D5551" s="125"/>
      <c r="E5551" s="126">
        <v>21.01</v>
      </c>
      <c r="F5551" s="127"/>
      <c r="G5551" s="127"/>
      <c r="H5551" s="127"/>
      <c r="I5551" s="128"/>
      <c r="K5551" s="105" t="str">
        <f>IFERROR(__xludf.DUMMYFUNCTION("if(A5551="""","""",substitute(SUBSTITUTE(index(importhtml(""http://finviz.com/quote.ashx?t=""&amp;A5551,""table"",10),7,2),""*"",""""),""-"",""0.00""))"),"Loading...")</f>
        <v>Loading...</v>
      </c>
      <c r="L5551" s="129">
        <v>2.1673664573E10</v>
      </c>
      <c r="M5551" s="99">
        <v>0.73</v>
      </c>
    </row>
    <row r="5552">
      <c r="A5552" s="122" t="s">
        <v>11599</v>
      </c>
      <c r="B5552" s="123">
        <v>65270.0</v>
      </c>
      <c r="C5552" s="124" t="s">
        <v>11600</v>
      </c>
      <c r="D5552" s="125"/>
      <c r="E5552" s="126">
        <v>21.03</v>
      </c>
      <c r="F5552" s="127"/>
      <c r="G5552" s="127"/>
      <c r="H5552" s="127"/>
      <c r="I5552" s="128"/>
      <c r="K5552" s="105" t="str">
        <f>IFERROR(__xludf.DUMMYFUNCTION("if(A5552="""","""",substitute(SUBSTITUTE(index(importhtml(""http://finviz.com/quote.ashx?t=""&amp;A5552,""table"",10),7,2),""*"",""""),""-"",""0.00""))"),"Loading...")</f>
        <v>Loading...</v>
      </c>
      <c r="L5552" s="129">
        <v>7.48655827E8</v>
      </c>
      <c r="M5552" s="99">
        <v>0.92</v>
      </c>
    </row>
    <row r="5553">
      <c r="A5553" s="122" t="s">
        <v>11601</v>
      </c>
      <c r="B5553" s="123">
        <v>1818794.0</v>
      </c>
      <c r="C5553" s="124" t="s">
        <v>11602</v>
      </c>
      <c r="D5553" s="125"/>
      <c r="E5553" s="126">
        <v>21.04</v>
      </c>
      <c r="F5553" s="127"/>
      <c r="G5553" s="127"/>
      <c r="H5553" s="127"/>
      <c r="I5553" s="128"/>
      <c r="K5553" s="55" t="s">
        <v>1034</v>
      </c>
      <c r="L5553" s="129">
        <v>1.652347647E9</v>
      </c>
      <c r="M5553" s="99">
        <v>0.88</v>
      </c>
    </row>
    <row r="5554">
      <c r="A5554" s="122" t="s">
        <v>11603</v>
      </c>
      <c r="B5554" s="123">
        <v>1831096.0</v>
      </c>
      <c r="C5554" s="124" t="s">
        <v>11604</v>
      </c>
      <c r="D5554" s="125"/>
      <c r="E5554" s="126">
        <v>21.09</v>
      </c>
      <c r="F5554" s="127"/>
      <c r="G5554" s="127"/>
      <c r="H5554" s="127"/>
      <c r="I5554" s="128"/>
      <c r="K5554" s="105" t="str">
        <f>IFERROR(__xludf.DUMMYFUNCTION("if(A5554="""","""",substitute(SUBSTITUTE(index(importhtml(""http://finviz.com/quote.ashx?t=""&amp;A5554,""table"",10),7,2),""*"",""""),""-"",""0.00""))"),"Loading...")</f>
        <v>Loading...</v>
      </c>
      <c r="L5554" s="129">
        <v>5.8608247E7</v>
      </c>
      <c r="M5554" s="99">
        <f>IFERROR(__xludf.DUMMYFUNCTION("GOOGLEFINANCE(A5554,""beta"")"),0.63)</f>
        <v>0.63</v>
      </c>
    </row>
    <row r="5555">
      <c r="A5555" s="122" t="s">
        <v>11605</v>
      </c>
      <c r="B5555" s="123">
        <v>1488139.0</v>
      </c>
      <c r="C5555" s="124" t="s">
        <v>11606</v>
      </c>
      <c r="D5555" s="125"/>
      <c r="E5555" s="126">
        <v>21.1</v>
      </c>
      <c r="F5555" s="127"/>
      <c r="G5555" s="127"/>
      <c r="H5555" s="127"/>
      <c r="I5555" s="128"/>
      <c r="K5555" s="105" t="str">
        <f>IFERROR(__xludf.DUMMYFUNCTION("if(A5555="""","""",substitute(SUBSTITUTE(index(importhtml(""http://finviz.com/quote.ashx?t=""&amp;A5555,""table"",10),7,2),""*"",""""),""-"",""0.00""))"),"Loading...")</f>
        <v>Loading...</v>
      </c>
      <c r="L5555" s="129">
        <v>1.102147969E9</v>
      </c>
      <c r="M5555" s="99">
        <v>1.56</v>
      </c>
    </row>
    <row r="5556">
      <c r="A5556" s="122" t="s">
        <v>11607</v>
      </c>
      <c r="B5556" s="123">
        <v>1593538.0</v>
      </c>
      <c r="C5556" s="124" t="s">
        <v>11608</v>
      </c>
      <c r="D5556" s="125"/>
      <c r="E5556" s="126">
        <v>21.1</v>
      </c>
      <c r="F5556" s="127"/>
      <c r="G5556" s="127"/>
      <c r="H5556" s="127"/>
      <c r="I5556" s="128"/>
      <c r="K5556" s="105" t="str">
        <f>IFERROR(__xludf.DUMMYFUNCTION("if(A5556="""","""",substitute(SUBSTITUTE(index(importhtml(""http://finviz.com/quote.ashx?t=""&amp;A5556,""table"",10),7,2),""*"",""""),""-"",""0.00""))"),"Loading...")</f>
        <v>Loading...</v>
      </c>
      <c r="L5556" s="129">
        <v>1.902298815E9</v>
      </c>
      <c r="M5556" s="99">
        <v>0.94</v>
      </c>
    </row>
    <row r="5557">
      <c r="A5557" s="122" t="s">
        <v>11609</v>
      </c>
      <c r="B5557" s="123">
        <v>1015650.0</v>
      </c>
      <c r="C5557" s="124" t="s">
        <v>11610</v>
      </c>
      <c r="D5557" s="125"/>
      <c r="E5557" s="126">
        <v>21.11</v>
      </c>
      <c r="F5557" s="127"/>
      <c r="G5557" s="127"/>
      <c r="H5557" s="127"/>
      <c r="I5557" s="128"/>
      <c r="K5557" s="105" t="str">
        <f>IFERROR(__xludf.DUMMYFUNCTION("if(A5557="""","""",substitute(SUBSTITUTE(index(importhtml(""http://finviz.com/quote.ashx?t=""&amp;A5557,""table"",10),7,2),""*"",""""),""-"",""0.00""))"),"Loading...")</f>
        <v>Loading...</v>
      </c>
      <c r="L5557" s="129">
        <v>8.196164614E9</v>
      </c>
      <c r="M5557" s="99">
        <v>0.91</v>
      </c>
    </row>
    <row r="5558">
      <c r="A5558" s="122" t="s">
        <v>11611</v>
      </c>
      <c r="B5558" s="123">
        <v>1422143.0</v>
      </c>
      <c r="C5558" s="124" t="s">
        <v>11612</v>
      </c>
      <c r="D5558" s="125"/>
      <c r="E5558" s="126">
        <v>21.13</v>
      </c>
      <c r="F5558" s="127"/>
      <c r="G5558" s="127"/>
      <c r="H5558" s="127"/>
      <c r="I5558" s="128"/>
      <c r="K5558" s="105" t="str">
        <f>IFERROR(__xludf.DUMMYFUNCTION("if(A5558="""","""",substitute(SUBSTITUTE(index(importhtml(""http://finviz.com/quote.ashx?t=""&amp;A5558,""table"",10),7,2),""*"",""""),""-"",""0.00""))"),"Loading...")</f>
        <v>Loading...</v>
      </c>
      <c r="L5558" s="129">
        <v>1.598461193E9</v>
      </c>
      <c r="M5558" s="99">
        <v>0.85</v>
      </c>
    </row>
    <row r="5559">
      <c r="A5559" s="122" t="s">
        <v>11613</v>
      </c>
      <c r="B5559" s="123">
        <v>1767582.0</v>
      </c>
      <c r="C5559" s="124" t="s">
        <v>11614</v>
      </c>
      <c r="D5559" s="125"/>
      <c r="E5559" s="126">
        <v>21.14</v>
      </c>
      <c r="F5559" s="127"/>
      <c r="G5559" s="127"/>
      <c r="H5559" s="127"/>
      <c r="I5559" s="128"/>
      <c r="K5559" s="105" t="str">
        <f>IFERROR(__xludf.DUMMYFUNCTION("if(A5559="""","""",substitute(SUBSTITUTE(index(importhtml(""http://finviz.com/quote.ashx?t=""&amp;A5559,""table"",10),7,2),""*"",""""),""-"",""0.00""))"),"Loading...")</f>
        <v>Loading...</v>
      </c>
      <c r="L5559" s="129">
        <v>5.495875569E9</v>
      </c>
      <c r="M5559" s="99">
        <v>0.29</v>
      </c>
    </row>
    <row r="5560">
      <c r="A5560" s="122" t="s">
        <v>11615</v>
      </c>
      <c r="B5560" s="123">
        <v>1277902.0</v>
      </c>
      <c r="C5560" s="124" t="s">
        <v>11616</v>
      </c>
      <c r="D5560" s="125"/>
      <c r="E5560" s="126">
        <v>21.15</v>
      </c>
      <c r="F5560" s="127"/>
      <c r="G5560" s="127"/>
      <c r="H5560" s="127"/>
      <c r="I5560" s="128"/>
      <c r="K5560" s="105" t="str">
        <f>IFERROR(__xludf.DUMMYFUNCTION("if(A5560="""","""",substitute(SUBSTITUTE(index(importhtml(""http://finviz.com/quote.ashx?t=""&amp;A5560,""table"",10),7,2),""*"",""""),""-"",""0.00""))"),"Loading...")</f>
        <v>Loading...</v>
      </c>
      <c r="L5560" s="129">
        <v>2.69379508E8</v>
      </c>
      <c r="M5560" s="99">
        <v>1.0</v>
      </c>
    </row>
    <row r="5561">
      <c r="A5561" s="122" t="s">
        <v>11617</v>
      </c>
      <c r="B5561" s="123">
        <v>1446702.0</v>
      </c>
      <c r="C5561" s="124" t="s">
        <v>11618</v>
      </c>
      <c r="D5561" s="125"/>
      <c r="E5561" s="126">
        <v>21.15</v>
      </c>
      <c r="F5561" s="127"/>
      <c r="G5561" s="127"/>
      <c r="H5561" s="127"/>
      <c r="I5561" s="128"/>
      <c r="K5561" s="105" t="str">
        <f>IFERROR(__xludf.DUMMYFUNCTION("if(A5561="""","""",substitute(SUBSTITUTE(index(importhtml(""http://finviz.com/quote.ashx?t=""&amp;A5561,""table"",10),7,2),""*"",""""),""-"",""0.00""))"),"Loading...")</f>
        <v>Loading...</v>
      </c>
      <c r="L5561" s="129">
        <v>2.570256835E9</v>
      </c>
      <c r="M5561" s="99">
        <v>0.07</v>
      </c>
    </row>
    <row r="5562">
      <c r="A5562" s="122" t="s">
        <v>11619</v>
      </c>
      <c r="B5562" s="123">
        <v>1702750.0</v>
      </c>
      <c r="C5562" s="124" t="s">
        <v>11620</v>
      </c>
      <c r="D5562" s="125"/>
      <c r="E5562" s="126">
        <v>21.18</v>
      </c>
      <c r="F5562" s="127"/>
      <c r="G5562" s="127"/>
      <c r="H5562" s="127"/>
      <c r="I5562" s="128"/>
      <c r="K5562" s="138" t="s">
        <v>8653</v>
      </c>
      <c r="L5562" s="129">
        <v>9.25919931E8</v>
      </c>
      <c r="M5562" s="99">
        <v>1.16</v>
      </c>
    </row>
    <row r="5563">
      <c r="A5563" s="122" t="s">
        <v>11621</v>
      </c>
      <c r="B5563" s="123">
        <v>860748.0</v>
      </c>
      <c r="C5563" s="124" t="s">
        <v>11622</v>
      </c>
      <c r="D5563" s="125"/>
      <c r="E5563" s="126">
        <v>21.25</v>
      </c>
      <c r="F5563" s="127"/>
      <c r="G5563" s="127"/>
      <c r="H5563" s="127"/>
      <c r="I5563" s="128"/>
      <c r="K5563" s="105" t="str">
        <f>IFERROR(__xludf.DUMMYFUNCTION("if(A5563="""","""",substitute(SUBSTITUTE(index(importhtml(""http://finviz.com/quote.ashx?t=""&amp;A5563,""table"",10),7,2),""*"",""""),""-"",""0.00""))"),"Loading...")</f>
        <v>Loading...</v>
      </c>
      <c r="L5563" s="129">
        <v>3.674116426E9</v>
      </c>
      <c r="M5563" s="99">
        <f>IFERROR(__xludf.DUMMYFUNCTION("GOOGLEFINANCE(A5563,""beta"")"),0.61)</f>
        <v>0.61</v>
      </c>
    </row>
    <row r="5564">
      <c r="A5564" s="122" t="s">
        <v>11623</v>
      </c>
      <c r="B5564" s="123">
        <v>1838207.0</v>
      </c>
      <c r="C5564" s="124" t="s">
        <v>11624</v>
      </c>
      <c r="D5564" s="125"/>
      <c r="E5564" s="126">
        <v>21.26</v>
      </c>
      <c r="F5564" s="127"/>
      <c r="G5564" s="127"/>
      <c r="H5564" s="127"/>
      <c r="I5564" s="128"/>
      <c r="K5564" s="105" t="str">
        <f>IFERROR(__xludf.DUMMYFUNCTION("if(A5564="""","""",substitute(SUBSTITUTE(index(importhtml(""http://finviz.com/quote.ashx?t=""&amp;A5564,""table"",10),7,2),""*"",""""),""-"",""0.00""))"),"Loading...")</f>
        <v>Loading...</v>
      </c>
      <c r="L5564" s="129">
        <v>7.86520028E8</v>
      </c>
      <c r="M5564" s="99" t="str">
        <f>IFERROR(__xludf.DUMMYFUNCTION("GOOGLEFINANCE(A5564,""beta"")"),"#N/A")</f>
        <v>#N/A</v>
      </c>
    </row>
    <row r="5565">
      <c r="A5565" s="122" t="s">
        <v>11625</v>
      </c>
      <c r="B5565" s="123">
        <v>1577916.0</v>
      </c>
      <c r="C5565" s="124" t="s">
        <v>11626</v>
      </c>
      <c r="D5565" s="125"/>
      <c r="E5565" s="126">
        <v>21.26</v>
      </c>
      <c r="F5565" s="127"/>
      <c r="G5565" s="127"/>
      <c r="H5565" s="127"/>
      <c r="I5565" s="128"/>
      <c r="K5565" s="105" t="str">
        <f>IFERROR(__xludf.DUMMYFUNCTION("if(A5565="""","""",substitute(SUBSTITUTE(index(importhtml(""http://finviz.com/quote.ashx?t=""&amp;A5565,""table"",10),7,2),""*"",""""),""-"",""0.00""))"),"Loading...")</f>
        <v>Loading...</v>
      </c>
      <c r="L5565" s="129">
        <v>2.544235251E9</v>
      </c>
      <c r="M5565" s="99">
        <v>0.37</v>
      </c>
    </row>
    <row r="5566">
      <c r="A5566" s="122" t="s">
        <v>11627</v>
      </c>
      <c r="B5566" s="123">
        <v>899923.0</v>
      </c>
      <c r="C5566" s="124" t="s">
        <v>11628</v>
      </c>
      <c r="D5566" s="125"/>
      <c r="E5566" s="126">
        <v>21.27</v>
      </c>
      <c r="F5566" s="127"/>
      <c r="G5566" s="127"/>
      <c r="H5566" s="127"/>
      <c r="I5566" s="128"/>
      <c r="K5566" s="105" t="str">
        <f>IFERROR(__xludf.DUMMYFUNCTION("if(A5566="""","""",substitute(SUBSTITUTE(index(importhtml(""http://finviz.com/quote.ashx?t=""&amp;A5566,""table"",10),7,2),""*"",""""),""-"",""0.00""))"),"Loading...")</f>
        <v>Loading...</v>
      </c>
      <c r="L5566" s="129">
        <v>1.988496243E9</v>
      </c>
      <c r="M5566" s="99">
        <v>1.99</v>
      </c>
    </row>
    <row r="5567">
      <c r="A5567" s="122" t="s">
        <v>11629</v>
      </c>
      <c r="B5567" s="123">
        <v>1086600.0</v>
      </c>
      <c r="C5567" s="124" t="s">
        <v>11630</v>
      </c>
      <c r="D5567" s="125"/>
      <c r="E5567" s="126">
        <v>21.28</v>
      </c>
      <c r="F5567" s="127"/>
      <c r="G5567" s="127"/>
      <c r="H5567" s="127"/>
      <c r="I5567" s="128"/>
      <c r="K5567" s="105" t="str">
        <f>IFERROR(__xludf.DUMMYFUNCTION("if(A5567="""","""",substitute(SUBSTITUTE(index(importhtml(""http://finviz.com/quote.ashx?t=""&amp;A5567,""table"",10),7,2),""*"",""""),""-"",""0.00""))"),"Loading...")</f>
        <v>Loading...</v>
      </c>
      <c r="L5567" s="129">
        <v>2.705228599E9</v>
      </c>
      <c r="M5567" s="99">
        <v>1.17</v>
      </c>
    </row>
    <row r="5568">
      <c r="A5568" s="122" t="s">
        <v>11631</v>
      </c>
      <c r="B5568" s="123">
        <v>36377.0</v>
      </c>
      <c r="C5568" s="124" t="s">
        <v>11632</v>
      </c>
      <c r="D5568" s="125"/>
      <c r="E5568" s="126">
        <v>21.29</v>
      </c>
      <c r="F5568" s="127"/>
      <c r="G5568" s="127"/>
      <c r="H5568" s="127"/>
      <c r="I5568" s="128"/>
      <c r="K5568" s="55" t="s">
        <v>10405</v>
      </c>
      <c r="L5568" s="129">
        <v>2.717002239E9</v>
      </c>
      <c r="M5568" s="99">
        <v>1.02</v>
      </c>
    </row>
    <row r="5569">
      <c r="A5569" s="122" t="s">
        <v>11633</v>
      </c>
      <c r="B5569" s="123">
        <v>798941.0</v>
      </c>
      <c r="C5569" s="124" t="s">
        <v>11634</v>
      </c>
      <c r="D5569" s="125"/>
      <c r="E5569" s="126">
        <v>21.31</v>
      </c>
      <c r="F5569" s="127"/>
      <c r="G5569" s="127"/>
      <c r="H5569" s="127"/>
      <c r="I5569" s="128"/>
      <c r="K5569" s="105" t="str">
        <f>IFERROR(__xludf.DUMMYFUNCTION("if(A5569="""","""",substitute(SUBSTITUTE(index(importhtml(""http://finviz.com/quote.ashx?t=""&amp;A5569,""table"",10),7,2),""*"",""""),""-"",""0.00""))"),"Loading...")</f>
        <v>Loading...</v>
      </c>
      <c r="L5569" s="129">
        <v>2.3402032908E10</v>
      </c>
      <c r="M5569" s="99">
        <v>0.46</v>
      </c>
    </row>
    <row r="5570">
      <c r="A5570" s="122" t="s">
        <v>11635</v>
      </c>
      <c r="B5570" s="123">
        <v>1528437.0</v>
      </c>
      <c r="C5570" s="124" t="s">
        <v>11636</v>
      </c>
      <c r="D5570" s="125"/>
      <c r="E5570" s="126">
        <v>21.33</v>
      </c>
      <c r="F5570" s="127"/>
      <c r="G5570" s="127"/>
      <c r="H5570" s="127"/>
      <c r="I5570" s="128"/>
      <c r="K5570" s="55" t="s">
        <v>9445</v>
      </c>
      <c r="L5570" s="129">
        <v>1.503883589E9</v>
      </c>
      <c r="M5570" s="99">
        <v>0.39</v>
      </c>
    </row>
    <row r="5571">
      <c r="A5571" s="122" t="s">
        <v>11637</v>
      </c>
      <c r="B5571" s="123">
        <v>1646972.0</v>
      </c>
      <c r="C5571" s="124" t="s">
        <v>11638</v>
      </c>
      <c r="D5571" s="125"/>
      <c r="E5571" s="126">
        <v>21.35</v>
      </c>
      <c r="F5571" s="127"/>
      <c r="G5571" s="127"/>
      <c r="H5571" s="127"/>
      <c r="I5571" s="128"/>
      <c r="K5571" s="55" t="s">
        <v>6993</v>
      </c>
      <c r="L5571" s="129">
        <v>1.233877E10</v>
      </c>
      <c r="M5571" s="99" t="str">
        <f>IFERROR(__xludf.DUMMYFUNCTION("GOOGLEFINANCE(A5571,""beta"")"),"#N/A")</f>
        <v>#N/A</v>
      </c>
    </row>
    <row r="5572">
      <c r="A5572" s="122" t="s">
        <v>11639</v>
      </c>
      <c r="B5572" s="123">
        <v>1234006.0</v>
      </c>
      <c r="C5572" s="124" t="s">
        <v>11640</v>
      </c>
      <c r="D5572" s="125"/>
      <c r="E5572" s="126">
        <v>21.35</v>
      </c>
      <c r="F5572" s="127"/>
      <c r="G5572" s="127"/>
      <c r="H5572" s="127"/>
      <c r="I5572" s="128"/>
      <c r="K5572" s="105" t="str">
        <f>IFERROR(__xludf.DUMMYFUNCTION("if(A5572="""","""",substitute(SUBSTITUTE(index(importhtml(""http://finviz.com/quote.ashx?t=""&amp;A5572,""table"",10),7,2),""*"",""""),""-"",""0.00""))"),"Loading...")</f>
        <v>Loading...</v>
      </c>
      <c r="L5572" s="129">
        <v>5.56029034E8</v>
      </c>
      <c r="M5572" s="99">
        <v>0.56</v>
      </c>
    </row>
    <row r="5573">
      <c r="A5573" s="122" t="s">
        <v>11641</v>
      </c>
      <c r="B5573" s="123">
        <v>1748824.0</v>
      </c>
      <c r="C5573" s="124" t="s">
        <v>11642</v>
      </c>
      <c r="D5573" s="125"/>
      <c r="E5573" s="126">
        <v>21.36</v>
      </c>
      <c r="F5573" s="127"/>
      <c r="G5573" s="127"/>
      <c r="H5573" s="127"/>
      <c r="I5573" s="128"/>
      <c r="K5573" s="105" t="str">
        <f>IFERROR(__xludf.DUMMYFUNCTION("if(A5573="""","""",substitute(SUBSTITUTE(index(importhtml(""http://finviz.com/quote.ashx?t=""&amp;A5573,""table"",10),7,2),""*"",""""),""-"",""0.00""))"),"Loading...")</f>
        <v>Loading...</v>
      </c>
      <c r="L5573" s="129">
        <v>8.86613895E8</v>
      </c>
      <c r="M5573" s="99">
        <v>1.58</v>
      </c>
    </row>
    <row r="5574">
      <c r="A5574" s="122" t="s">
        <v>11643</v>
      </c>
      <c r="B5574" s="123">
        <v>1528988.0</v>
      </c>
      <c r="C5574" s="124" t="s">
        <v>11644</v>
      </c>
      <c r="D5574" s="125"/>
      <c r="E5574" s="126">
        <v>21.38</v>
      </c>
      <c r="F5574" s="127"/>
      <c r="G5574" s="127"/>
      <c r="H5574" s="127"/>
      <c r="I5574" s="128"/>
      <c r="K5574" s="55" t="s">
        <v>11645</v>
      </c>
      <c r="L5574" s="129" t="e">
        <v>#N/A</v>
      </c>
      <c r="M5574" s="99">
        <v>0.89</v>
      </c>
    </row>
    <row r="5575">
      <c r="A5575" s="122" t="s">
        <v>11646</v>
      </c>
      <c r="B5575" s="123">
        <v>1041859.0</v>
      </c>
      <c r="C5575" s="124" t="s">
        <v>11647</v>
      </c>
      <c r="D5575" s="125"/>
      <c r="E5575" s="126">
        <v>21.39</v>
      </c>
      <c r="F5575" s="127"/>
      <c r="G5575" s="127"/>
      <c r="H5575" s="127"/>
      <c r="I5575" s="128"/>
      <c r="K5575" s="105" t="str">
        <f>IFERROR(__xludf.DUMMYFUNCTION("if(A5575="""","""",substitute(SUBSTITUTE(index(importhtml(""http://finviz.com/quote.ashx?t=""&amp;A5575,""table"",10),7,2),""*"",""""),""-"",""0.00""))"),"Loading...")</f>
        <v>Loading...</v>
      </c>
      <c r="L5575" s="129">
        <v>2.66889867E8</v>
      </c>
      <c r="M5575" s="99">
        <v>2.08</v>
      </c>
    </row>
    <row r="5576">
      <c r="A5576" s="122" t="s">
        <v>11648</v>
      </c>
      <c r="B5576" s="123">
        <v>1078075.0</v>
      </c>
      <c r="C5576" s="124" t="s">
        <v>11649</v>
      </c>
      <c r="D5576" s="125"/>
      <c r="E5576" s="126">
        <v>21.39</v>
      </c>
      <c r="F5576" s="127"/>
      <c r="G5576" s="127"/>
      <c r="H5576" s="127"/>
      <c r="I5576" s="128"/>
      <c r="K5576" s="105" t="str">
        <f>IFERROR(__xludf.DUMMYFUNCTION("if(A5576="""","""",substitute(SUBSTITUTE(index(importhtml(""http://finviz.com/quote.ashx?t=""&amp;A5576,""table"",10),7,2),""*"",""""),""-"",""0.00""))"),"Loading...")</f>
        <v>Loading...</v>
      </c>
      <c r="L5576" s="129">
        <v>1.518606535E9</v>
      </c>
      <c r="M5576" s="99">
        <v>0.65</v>
      </c>
    </row>
    <row r="5577">
      <c r="A5577" s="122" t="s">
        <v>11650</v>
      </c>
      <c r="B5577" s="123">
        <v>1876581.0</v>
      </c>
      <c r="C5577" s="124" t="s">
        <v>11651</v>
      </c>
      <c r="D5577" s="125"/>
      <c r="E5577" s="126">
        <v>21.4</v>
      </c>
      <c r="F5577" s="127"/>
      <c r="G5577" s="127"/>
      <c r="H5577" s="127"/>
      <c r="I5577" s="128"/>
      <c r="K5577" s="105" t="str">
        <f>IFERROR(__xludf.DUMMYFUNCTION("if(A5577="""","""",substitute(SUBSTITUTE(index(importhtml(""http://finviz.com/quote.ashx?t=""&amp;A5577,""table"",10),7,2),""*"",""""),""-"",""0.00""))"),"Loading...")</f>
        <v>Loading...</v>
      </c>
      <c r="L5577" s="129">
        <v>9.9021453E7</v>
      </c>
      <c r="M5577" s="99">
        <f>IFERROR(__xludf.DUMMYFUNCTION("GOOGLEFINANCE(A5577,""beta"")"),-0.07)</f>
        <v>-0.07</v>
      </c>
    </row>
    <row r="5578">
      <c r="A5578" s="122" t="s">
        <v>11652</v>
      </c>
      <c r="B5578" s="123">
        <v>846617.0</v>
      </c>
      <c r="C5578" s="124" t="s">
        <v>11653</v>
      </c>
      <c r="D5578" s="125"/>
      <c r="E5578" s="126">
        <v>21.41</v>
      </c>
      <c r="F5578" s="127"/>
      <c r="G5578" s="127"/>
      <c r="H5578" s="127"/>
      <c r="I5578" s="128"/>
      <c r="K5578" s="105" t="str">
        <f>IFERROR(__xludf.DUMMYFUNCTION("if(A5578="""","""",substitute(SUBSTITUTE(index(importhtml(""http://finviz.com/quote.ashx?t=""&amp;A5578,""table"",10),7,2),""*"",""""),""-"",""0.00""))"),"Loading...")</f>
        <v>Loading...</v>
      </c>
      <c r="L5578" s="129">
        <v>8.31200424E8</v>
      </c>
      <c r="M5578" s="99">
        <v>1.08</v>
      </c>
    </row>
    <row r="5579">
      <c r="A5579" s="122" t="s">
        <v>11654</v>
      </c>
      <c r="B5579" s="123">
        <v>1174169.0</v>
      </c>
      <c r="C5579" s="124" t="s">
        <v>11655</v>
      </c>
      <c r="D5579" s="125"/>
      <c r="E5579" s="126">
        <v>21.41</v>
      </c>
      <c r="F5579" s="127"/>
      <c r="G5579" s="127"/>
      <c r="H5579" s="127"/>
      <c r="I5579" s="128"/>
      <c r="K5579" s="105" t="str">
        <f>IFERROR(__xludf.DUMMYFUNCTION("if(A5579="""","""",substitute(SUBSTITUTE(index(importhtml(""http://finviz.com/quote.ashx?t=""&amp;A5579,""table"",10),7,2),""*"",""""),""-"",""0.00""))"),"Loading...")</f>
        <v>Loading...</v>
      </c>
      <c r="L5579" s="129">
        <v>5.539536657E9</v>
      </c>
      <c r="M5579" s="99" t="str">
        <f>IFERROR(__xludf.DUMMYFUNCTION("GOOGLEFINANCE(A5579,""beta"")"),"#N/A")</f>
        <v>#N/A</v>
      </c>
    </row>
    <row r="5580">
      <c r="A5580" s="122" t="s">
        <v>11656</v>
      </c>
      <c r="B5580" s="123">
        <v>913290.0</v>
      </c>
      <c r="C5580" s="124" t="s">
        <v>11657</v>
      </c>
      <c r="D5580" s="125"/>
      <c r="E5580" s="126">
        <v>21.43</v>
      </c>
      <c r="F5580" s="127"/>
      <c r="G5580" s="127"/>
      <c r="H5580" s="127"/>
      <c r="I5580" s="128"/>
      <c r="K5580" s="55" t="s">
        <v>11658</v>
      </c>
      <c r="L5580" s="129">
        <v>4.770806671E9</v>
      </c>
      <c r="M5580" s="99">
        <v>0.03</v>
      </c>
    </row>
    <row r="5581">
      <c r="A5581" s="122" t="s">
        <v>11659</v>
      </c>
      <c r="B5581" s="123">
        <v>788920.0</v>
      </c>
      <c r="C5581" s="124" t="s">
        <v>11660</v>
      </c>
      <c r="D5581" s="125"/>
      <c r="E5581" s="126">
        <v>21.44</v>
      </c>
      <c r="F5581" s="127"/>
      <c r="G5581" s="127"/>
      <c r="H5581" s="127"/>
      <c r="I5581" s="128"/>
      <c r="K5581" s="105" t="str">
        <f>IFERROR(__xludf.DUMMYFUNCTION("if(A5581="""","""",substitute(SUBSTITUTE(index(importhtml(""http://finviz.com/quote.ashx?t=""&amp;A5581,""table"",10),7,2),""*"",""""),""-"",""0.00""))"),"Loading...")</f>
        <v>Loading...</v>
      </c>
      <c r="L5581" s="129">
        <v>7.6054757E7</v>
      </c>
      <c r="M5581" s="99">
        <v>0.65</v>
      </c>
    </row>
    <row r="5582">
      <c r="A5582" s="122" t="s">
        <v>11661</v>
      </c>
      <c r="B5582" s="123">
        <v>1508655.0</v>
      </c>
      <c r="C5582" s="124" t="s">
        <v>11662</v>
      </c>
      <c r="D5582" s="125"/>
      <c r="E5582" s="126">
        <v>21.47</v>
      </c>
      <c r="F5582" s="127"/>
      <c r="G5582" s="127"/>
      <c r="H5582" s="127"/>
      <c r="I5582" s="128"/>
      <c r="K5582" s="105" t="str">
        <f>IFERROR(__xludf.DUMMYFUNCTION("if(A5582="""","""",substitute(SUBSTITUTE(index(importhtml(""http://finviz.com/quote.ashx?t=""&amp;A5582,""table"",10),7,2),""*"",""""),""-"",""0.00""))"),"Loading...")</f>
        <v>Loading...</v>
      </c>
      <c r="L5582" s="129">
        <v>1.88031334E9</v>
      </c>
      <c r="M5582" s="99">
        <v>1.02</v>
      </c>
    </row>
    <row r="5583">
      <c r="A5583" s="122" t="s">
        <v>11663</v>
      </c>
      <c r="B5583" s="123">
        <v>1286043.0</v>
      </c>
      <c r="C5583" s="124" t="s">
        <v>11664</v>
      </c>
      <c r="D5583" s="125"/>
      <c r="E5583" s="126">
        <v>21.49</v>
      </c>
      <c r="F5583" s="127"/>
      <c r="G5583" s="127"/>
      <c r="H5583" s="127"/>
      <c r="I5583" s="128"/>
      <c r="K5583" s="105" t="str">
        <f>IFERROR(__xludf.DUMMYFUNCTION("if(A5583="""","""",substitute(SUBSTITUTE(index(importhtml(""http://finviz.com/quote.ashx?t=""&amp;A5583,""table"",10),7,2),""*"",""""),""-"",""0.00""))"),"Loading...")</f>
        <v>Loading...</v>
      </c>
      <c r="L5583" s="129">
        <v>4.714633026E9</v>
      </c>
      <c r="M5583" s="99">
        <v>1.29</v>
      </c>
    </row>
    <row r="5584">
      <c r="A5584" s="122" t="s">
        <v>11665</v>
      </c>
      <c r="B5584" s="123">
        <v>939767.0</v>
      </c>
      <c r="C5584" s="124" t="s">
        <v>11666</v>
      </c>
      <c r="D5584" s="125"/>
      <c r="E5584" s="126">
        <v>21.49</v>
      </c>
      <c r="F5584" s="127"/>
      <c r="G5584" s="127"/>
      <c r="H5584" s="127"/>
      <c r="I5584" s="128"/>
      <c r="K5584" s="105" t="str">
        <f>IFERROR(__xludf.DUMMYFUNCTION("if(A5584="""","""",substitute(SUBSTITUTE(index(importhtml(""http://finviz.com/quote.ashx?t=""&amp;A5584,""table"",10),7,2),""*"",""""),""-"",""0.00""))"),"Loading...")</f>
        <v>Loading...</v>
      </c>
      <c r="L5584" s="129">
        <v>6.682833337E9</v>
      </c>
      <c r="M5584" s="99">
        <v>0.53</v>
      </c>
    </row>
    <row r="5585">
      <c r="A5585" s="122" t="s">
        <v>11667</v>
      </c>
      <c r="B5585" s="123">
        <v>1438656.0</v>
      </c>
      <c r="C5585" s="124" t="s">
        <v>11668</v>
      </c>
      <c r="D5585" s="125"/>
      <c r="E5585" s="126">
        <v>21.51</v>
      </c>
      <c r="F5585" s="127"/>
      <c r="G5585" s="127"/>
      <c r="H5585" s="127"/>
      <c r="I5585" s="128"/>
      <c r="K5585" s="105" t="str">
        <f>IFERROR(__xludf.DUMMYFUNCTION("if(A5585="""","""",substitute(SUBSTITUTE(index(importhtml(""http://finviz.com/quote.ashx?t=""&amp;A5585,""table"",10),7,2),""*"",""""),""-"",""0.00""))"),"Loading...")</f>
        <v>Loading...</v>
      </c>
      <c r="L5585" s="129">
        <v>1.24295201872E11</v>
      </c>
      <c r="M5585" s="99">
        <v>1.04</v>
      </c>
    </row>
    <row r="5586">
      <c r="A5586" s="122" t="s">
        <v>11669</v>
      </c>
      <c r="B5586" s="123">
        <v>1386716.0</v>
      </c>
      <c r="C5586" s="124" t="s">
        <v>11670</v>
      </c>
      <c r="D5586" s="125"/>
      <c r="E5586" s="126">
        <v>21.52</v>
      </c>
      <c r="F5586" s="127"/>
      <c r="G5586" s="127"/>
      <c r="H5586" s="127"/>
      <c r="I5586" s="128"/>
      <c r="K5586" s="105" t="str">
        <f>IFERROR(__xludf.DUMMYFUNCTION("if(A5586="""","""",substitute(SUBSTITUTE(index(importhtml(""http://finviz.com/quote.ashx?t=""&amp;A5586,""table"",10),7,2),""*"",""""),""-"",""0.00""))"),"Loading...")</f>
        <v>Loading...</v>
      </c>
      <c r="L5586" s="129">
        <v>2.019906194E9</v>
      </c>
      <c r="M5586" s="99">
        <v>1.11</v>
      </c>
    </row>
    <row r="5587">
      <c r="A5587" s="122" t="s">
        <v>11671</v>
      </c>
      <c r="B5587" s="123">
        <v>1001614.0</v>
      </c>
      <c r="C5587" s="124" t="s">
        <v>11672</v>
      </c>
      <c r="D5587" s="125"/>
      <c r="E5587" s="126">
        <v>21.56</v>
      </c>
      <c r="F5587" s="127"/>
      <c r="G5587" s="127"/>
      <c r="H5587" s="127"/>
      <c r="I5587" s="128"/>
      <c r="K5587" s="105" t="str">
        <f>IFERROR(__xludf.DUMMYFUNCTION("if(A5587="""","""",substitute(SUBSTITUTE(index(importhtml(""http://finviz.com/quote.ashx?t=""&amp;A5587,""table"",10),7,2),""*"",""""),""-"",""0.00""))"),"Loading...")</f>
        <v>Loading...</v>
      </c>
      <c r="L5587" s="129">
        <v>4.40388645E8</v>
      </c>
      <c r="M5587" s="99">
        <v>1.22</v>
      </c>
    </row>
    <row r="5588">
      <c r="A5588" s="122" t="s">
        <v>11673</v>
      </c>
      <c r="B5588" s="123">
        <v>879635.0</v>
      </c>
      <c r="C5588" s="124" t="s">
        <v>11674</v>
      </c>
      <c r="D5588" s="125"/>
      <c r="E5588" s="126">
        <v>21.57</v>
      </c>
      <c r="F5588" s="127"/>
      <c r="G5588" s="127"/>
      <c r="H5588" s="127"/>
      <c r="I5588" s="128"/>
      <c r="K5588" s="105" t="str">
        <f>IFERROR(__xludf.DUMMYFUNCTION("if(A5588="""","""",substitute(SUBSTITUTE(index(importhtml(""http://finviz.com/quote.ashx?t=""&amp;A5588,""table"",10),7,2),""*"",""""),""-"",""0.00""))"),"Loading...")</f>
        <v>Loading...</v>
      </c>
      <c r="L5588" s="129">
        <v>3.59540834E8</v>
      </c>
      <c r="M5588" s="99">
        <v>0.59</v>
      </c>
    </row>
    <row r="5589">
      <c r="A5589" s="122" t="s">
        <v>11675</v>
      </c>
      <c r="B5589" s="123">
        <v>1446597.0</v>
      </c>
      <c r="C5589" s="124" t="s">
        <v>11676</v>
      </c>
      <c r="D5589" s="125"/>
      <c r="E5589" s="126">
        <v>21.57</v>
      </c>
      <c r="F5589" s="127"/>
      <c r="G5589" s="127"/>
      <c r="H5589" s="127"/>
      <c r="I5589" s="128"/>
      <c r="K5589" s="105" t="str">
        <f>IFERROR(__xludf.DUMMYFUNCTION("if(A5589="""","""",substitute(SUBSTITUTE(index(importhtml(""http://finviz.com/quote.ashx?t=""&amp;A5589,""table"",10),7,2),""*"",""""),""-"",""0.00""))"),"Loading...")</f>
        <v>Loading...</v>
      </c>
      <c r="L5589" s="129">
        <v>2.098744674E12</v>
      </c>
      <c r="M5589" s="99">
        <f>IFERROR(__xludf.DUMMYFUNCTION("GOOGLEFINANCE(A5589,""beta"")"),4.72)</f>
        <v>4.72</v>
      </c>
    </row>
    <row r="5590">
      <c r="A5590" s="122" t="s">
        <v>11677</v>
      </c>
      <c r="B5590" s="123">
        <v>1088856.0</v>
      </c>
      <c r="C5590" s="124" t="s">
        <v>11678</v>
      </c>
      <c r="D5590" s="125"/>
      <c r="E5590" s="126">
        <v>21.58</v>
      </c>
      <c r="F5590" s="127"/>
      <c r="G5590" s="127"/>
      <c r="H5590" s="127"/>
      <c r="I5590" s="128"/>
      <c r="K5590" s="105" t="str">
        <f>IFERROR(__xludf.DUMMYFUNCTION("if(A5590="""","""",substitute(SUBSTITUTE(index(importhtml(""http://finviz.com/quote.ashx?t=""&amp;A5590,""table"",10),7,2),""*"",""""),""-"",""0.00""))"),"Loading...")</f>
        <v>Loading...</v>
      </c>
      <c r="L5590" s="129">
        <v>2.224494446E9</v>
      </c>
      <c r="M5590" s="99">
        <v>0.46</v>
      </c>
    </row>
    <row r="5591">
      <c r="A5591" s="122" t="s">
        <v>11679</v>
      </c>
      <c r="B5591" s="123">
        <v>842517.0</v>
      </c>
      <c r="C5591" s="124" t="s">
        <v>11680</v>
      </c>
      <c r="D5591" s="125"/>
      <c r="E5591" s="126">
        <v>21.6</v>
      </c>
      <c r="F5591" s="127"/>
      <c r="G5591" s="127"/>
      <c r="H5591" s="127"/>
      <c r="I5591" s="128"/>
      <c r="K5591" s="105" t="str">
        <f>IFERROR(__xludf.DUMMYFUNCTION("if(A5591="""","""",substitute(SUBSTITUTE(index(importhtml(""http://finviz.com/quote.ashx?t=""&amp;A5591,""table"",10),7,2),""*"",""""),""-"",""0.00""))"),"Loading...")</f>
        <v>Loading...</v>
      </c>
      <c r="L5591" s="129">
        <v>1.61863858E8</v>
      </c>
      <c r="M5591" s="99">
        <v>0.29</v>
      </c>
    </row>
    <row r="5592">
      <c r="A5592" s="122" t="s">
        <v>11681</v>
      </c>
      <c r="B5592" s="123">
        <v>1273685.0</v>
      </c>
      <c r="C5592" s="124" t="s">
        <v>11682</v>
      </c>
      <c r="D5592" s="125"/>
      <c r="E5592" s="126">
        <v>21.6</v>
      </c>
      <c r="F5592" s="127"/>
      <c r="G5592" s="127"/>
      <c r="H5592" s="127"/>
      <c r="I5592" s="128"/>
      <c r="K5592" s="105" t="str">
        <f>IFERROR(__xludf.DUMMYFUNCTION("if(A5592="""","""",substitute(SUBSTITUTE(index(importhtml(""http://finviz.com/quote.ashx?t=""&amp;A5592,""table"",10),7,2),""*"",""""),""-"",""0.00""))"),"Loading...")</f>
        <v>Loading...</v>
      </c>
      <c r="L5592" s="129">
        <v>6.99167629E8</v>
      </c>
      <c r="M5592" s="99">
        <v>1.83</v>
      </c>
    </row>
    <row r="5593">
      <c r="A5593" s="122" t="s">
        <v>11683</v>
      </c>
      <c r="B5593" s="123">
        <v>1464790.0</v>
      </c>
      <c r="C5593" s="124" t="s">
        <v>11684</v>
      </c>
      <c r="D5593" s="125"/>
      <c r="E5593" s="126">
        <v>21.63</v>
      </c>
      <c r="F5593" s="127"/>
      <c r="G5593" s="127"/>
      <c r="H5593" s="127"/>
      <c r="I5593" s="128"/>
      <c r="K5593" s="105" t="str">
        <f>IFERROR(__xludf.DUMMYFUNCTION("if(A5593="""","""",substitute(SUBSTITUTE(index(importhtml(""http://finviz.com/quote.ashx?t=""&amp;A5593,""table"",10),7,2),""*"",""""),""-"",""0.00""))"),"Loading...")</f>
        <v>Loading...</v>
      </c>
      <c r="L5593" s="129">
        <v>6.2052646E8</v>
      </c>
      <c r="M5593" s="99">
        <v>0.56</v>
      </c>
    </row>
    <row r="5594">
      <c r="A5594" s="122" t="s">
        <v>11685</v>
      </c>
      <c r="B5594" s="123">
        <v>712771.0</v>
      </c>
      <c r="C5594" s="124" t="s">
        <v>11686</v>
      </c>
      <c r="D5594" s="125"/>
      <c r="E5594" s="126">
        <v>21.63</v>
      </c>
      <c r="F5594" s="127"/>
      <c r="G5594" s="127"/>
      <c r="H5594" s="127"/>
      <c r="I5594" s="128"/>
      <c r="K5594" s="105" t="str">
        <f>IFERROR(__xludf.DUMMYFUNCTION("if(A5594="""","""",substitute(SUBSTITUTE(index(importhtml(""http://finviz.com/quote.ashx?t=""&amp;A5594,""table"",10),7,2),""*"",""""),""-"",""0.00""))"),"Loading...")</f>
        <v>Loading...</v>
      </c>
      <c r="L5594" s="129">
        <v>8.3505575E8</v>
      </c>
      <c r="M5594" s="99">
        <v>1.31</v>
      </c>
    </row>
    <row r="5595">
      <c r="A5595" s="122" t="s">
        <v>11687</v>
      </c>
      <c r="B5595" s="123">
        <v>921738.0</v>
      </c>
      <c r="C5595" s="124" t="s">
        <v>11688</v>
      </c>
      <c r="D5595" s="125"/>
      <c r="E5595" s="126">
        <v>21.63</v>
      </c>
      <c r="F5595" s="127"/>
      <c r="G5595" s="127"/>
      <c r="H5595" s="127"/>
      <c r="I5595" s="128"/>
      <c r="K5595" s="105" t="str">
        <f>IFERROR(__xludf.DUMMYFUNCTION("if(A5595="""","""",substitute(SUBSTITUTE(index(importhtml(""http://finviz.com/quote.ashx?t=""&amp;A5595,""table"",10),7,2),""*"",""""),""-"",""0.00""))"),"Loading...")</f>
        <v>Loading...</v>
      </c>
      <c r="L5595" s="129">
        <v>3.282544879E9</v>
      </c>
      <c r="M5595" s="99">
        <v>2.13</v>
      </c>
    </row>
    <row r="5596">
      <c r="A5596" s="122" t="s">
        <v>11689</v>
      </c>
      <c r="B5596" s="123">
        <v>895728.0</v>
      </c>
      <c r="C5596" s="124" t="s">
        <v>11690</v>
      </c>
      <c r="D5596" s="125"/>
      <c r="E5596" s="126">
        <v>21.63</v>
      </c>
      <c r="F5596" s="127"/>
      <c r="G5596" s="127"/>
      <c r="H5596" s="127"/>
      <c r="I5596" s="128"/>
      <c r="K5596" s="105" t="str">
        <f>IFERROR(__xludf.DUMMYFUNCTION("if(A5596="""","""",substitute(SUBSTITUTE(index(importhtml(""http://finviz.com/quote.ashx?t=""&amp;A5596,""table"",10),7,2),""*"",""""),""-"",""0.00""))"),"Loading...")</f>
        <v>Loading...</v>
      </c>
      <c r="L5596" s="129">
        <v>7.4962372379E10</v>
      </c>
      <c r="M5596" s="99">
        <v>0.54</v>
      </c>
    </row>
    <row r="5597">
      <c r="A5597" s="122" t="s">
        <v>11691</v>
      </c>
      <c r="B5597" s="123">
        <v>1383441.0</v>
      </c>
      <c r="C5597" s="124" t="s">
        <v>11692</v>
      </c>
      <c r="D5597" s="125"/>
      <c r="E5597" s="126">
        <v>21.64</v>
      </c>
      <c r="F5597" s="127"/>
      <c r="G5597" s="127"/>
      <c r="H5597" s="127"/>
      <c r="I5597" s="128"/>
      <c r="K5597" s="105" t="str">
        <f>IFERROR(__xludf.DUMMYFUNCTION("if(A5597="""","""",substitute(SUBSTITUTE(index(importhtml(""http://finviz.com/quote.ashx?t=""&amp;A5597,""table"",10),7,2),""*"",""""),""-"",""0.00""))"),"Loading...")</f>
        <v>Loading...</v>
      </c>
      <c r="L5597" s="129">
        <v>5.99621877E8</v>
      </c>
      <c r="M5597" s="99">
        <v>0.94</v>
      </c>
    </row>
    <row r="5598">
      <c r="A5598" s="122" t="s">
        <v>11693</v>
      </c>
      <c r="B5598" s="123">
        <v>312070.0</v>
      </c>
      <c r="C5598" s="124" t="s">
        <v>11694</v>
      </c>
      <c r="D5598" s="125"/>
      <c r="E5598" s="126">
        <v>21.65</v>
      </c>
      <c r="F5598" s="127"/>
      <c r="G5598" s="127"/>
      <c r="H5598" s="127"/>
      <c r="I5598" s="128"/>
      <c r="K5598" s="105" t="str">
        <f>IFERROR(__xludf.DUMMYFUNCTION("if(A5598="""","""",substitute(SUBSTITUTE(index(importhtml(""http://finviz.com/quote.ashx?t=""&amp;A5598,""table"",10),7,2),""*"",""""),""-"",""0.00""))"),"Loading...")</f>
        <v>Loading...</v>
      </c>
      <c r="L5598" s="129">
        <v>2.8384401496E10</v>
      </c>
      <c r="M5598" s="99" t="str">
        <f>IFERROR(__xludf.DUMMYFUNCTION("GOOGLEFINANCE(A5598,""beta"")"),"#N/A")</f>
        <v>#N/A</v>
      </c>
    </row>
    <row r="5599">
      <c r="A5599" s="122" t="s">
        <v>11695</v>
      </c>
      <c r="B5599" s="123">
        <v>1688568.0</v>
      </c>
      <c r="C5599" s="124" t="s">
        <v>11696</v>
      </c>
      <c r="D5599" s="125"/>
      <c r="E5599" s="126">
        <v>21.67</v>
      </c>
      <c r="F5599" s="127"/>
      <c r="G5599" s="127"/>
      <c r="H5599" s="127"/>
      <c r="I5599" s="128"/>
      <c r="K5599" s="55" t="s">
        <v>5842</v>
      </c>
      <c r="L5599" s="129">
        <v>4.196254659E9</v>
      </c>
      <c r="M5599" s="99">
        <v>1.88</v>
      </c>
    </row>
    <row r="5600">
      <c r="A5600" s="122" t="s">
        <v>11697</v>
      </c>
      <c r="B5600" s="123">
        <v>936340.0</v>
      </c>
      <c r="C5600" s="124" t="s">
        <v>11698</v>
      </c>
      <c r="D5600" s="125"/>
      <c r="E5600" s="126">
        <v>21.67</v>
      </c>
      <c r="F5600" s="127"/>
      <c r="G5600" s="127"/>
      <c r="H5600" s="127"/>
      <c r="I5600" s="128"/>
      <c r="K5600" s="105" t="str">
        <f>IFERROR(__xludf.DUMMYFUNCTION("if(A5600="""","""",substitute(SUBSTITUTE(index(importhtml(""http://finviz.com/quote.ashx?t=""&amp;A5600,""table"",10),7,2),""*"",""""),""-"",""0.00""))"),"Loading...")</f>
        <v>Loading...</v>
      </c>
      <c r="L5600" s="129">
        <v>2.1673664573E10</v>
      </c>
      <c r="M5600" s="99">
        <f>IFERROR(__xludf.DUMMYFUNCTION("GOOGLEFINANCE(A5600,""beta"")"),0.84)</f>
        <v>0.84</v>
      </c>
    </row>
    <row r="5601">
      <c r="A5601" s="122" t="s">
        <v>11699</v>
      </c>
      <c r="B5601" s="123">
        <v>1207179.0</v>
      </c>
      <c r="C5601" s="124" t="s">
        <v>11700</v>
      </c>
      <c r="D5601" s="125"/>
      <c r="E5601" s="126">
        <v>21.69</v>
      </c>
      <c r="F5601" s="127"/>
      <c r="G5601" s="127"/>
      <c r="H5601" s="127"/>
      <c r="I5601" s="128"/>
      <c r="K5601" s="105" t="str">
        <f>IFERROR(__xludf.DUMMYFUNCTION("if(A5601="""","""",substitute(SUBSTITUTE(index(importhtml(""http://finviz.com/quote.ashx?t=""&amp;A5601,""table"",10),7,2),""*"",""""),""-"",""0.00""))"),"Loading...")</f>
        <v>Loading...</v>
      </c>
      <c r="L5601" s="129">
        <v>2.273068675E9</v>
      </c>
      <c r="M5601" s="99">
        <v>0.61</v>
      </c>
    </row>
    <row r="5602">
      <c r="A5602" s="122" t="s">
        <v>11701</v>
      </c>
      <c r="B5602" s="123">
        <v>1383082.0</v>
      </c>
      <c r="C5602" s="124" t="s">
        <v>11702</v>
      </c>
      <c r="D5602" s="125"/>
      <c r="E5602" s="126">
        <v>21.7</v>
      </c>
      <c r="F5602" s="127"/>
      <c r="G5602" s="127"/>
      <c r="H5602" s="127"/>
      <c r="I5602" s="128"/>
      <c r="K5602" s="55" t="s">
        <v>8396</v>
      </c>
      <c r="L5602" s="129" t="e">
        <v>#N/A</v>
      </c>
      <c r="M5602" s="99" t="str">
        <f>IFERROR(__xludf.DUMMYFUNCTION("GOOGLEFINANCE(A5602,""beta"")"),"#N/A")</f>
        <v>#N/A</v>
      </c>
    </row>
    <row r="5603">
      <c r="A5603" s="122" t="s">
        <v>11703</v>
      </c>
      <c r="B5603" s="123">
        <v>1450922.0</v>
      </c>
      <c r="C5603" s="124" t="s">
        <v>11704</v>
      </c>
      <c r="D5603" s="125"/>
      <c r="E5603" s="126">
        <v>21.71</v>
      </c>
      <c r="F5603" s="127"/>
      <c r="G5603" s="127"/>
      <c r="H5603" s="127"/>
      <c r="I5603" s="128"/>
      <c r="K5603" s="105" t="str">
        <f>IFERROR(__xludf.DUMMYFUNCTION("if(A5603="""","""",substitute(SUBSTITUTE(index(importhtml(""http://finviz.com/quote.ashx?t=""&amp;A5603,""table"",10),7,2),""*"",""""),""-"",""0.00""))"),"Loading...")</f>
        <v>Loading...</v>
      </c>
      <c r="L5603" s="129" t="e">
        <v>#N/A</v>
      </c>
      <c r="M5603" s="99" t="str">
        <f>IFERROR(__xludf.DUMMYFUNCTION("GOOGLEFINANCE(A5603,""beta"")"),"#N/A")</f>
        <v>#N/A</v>
      </c>
    </row>
    <row r="5604">
      <c r="A5604" s="122" t="s">
        <v>11705</v>
      </c>
      <c r="B5604" s="123">
        <v>1379235.0</v>
      </c>
      <c r="C5604" s="124" t="s">
        <v>11706</v>
      </c>
      <c r="D5604" s="125"/>
      <c r="E5604" s="126">
        <v>21.72</v>
      </c>
      <c r="F5604" s="127"/>
      <c r="G5604" s="127"/>
      <c r="H5604" s="127"/>
      <c r="I5604" s="128"/>
      <c r="K5604" s="105" t="str">
        <f>IFERROR(__xludf.DUMMYFUNCTION("if(A5604="""","""",substitute(SUBSTITUTE(index(importhtml(""http://finviz.com/quote.ashx?t=""&amp;A5604,""table"",10),7,2),""*"",""""),""-"",""0.00""))"),"Loading...")</f>
        <v>Loading...</v>
      </c>
      <c r="L5604" s="129">
        <v>3.2027893044E10</v>
      </c>
      <c r="M5604" s="99">
        <f>IFERROR(__xludf.DUMMYFUNCTION("GOOGLEFINANCE(A5604,""beta"")"),0.67)</f>
        <v>0.67</v>
      </c>
    </row>
    <row r="5605">
      <c r="A5605" s="122" t="s">
        <v>11707</v>
      </c>
      <c r="B5605" s="123">
        <v>1723788.0</v>
      </c>
      <c r="C5605" s="124" t="s">
        <v>11708</v>
      </c>
      <c r="D5605" s="125"/>
      <c r="E5605" s="126">
        <v>21.72</v>
      </c>
      <c r="F5605" s="127"/>
      <c r="G5605" s="127"/>
      <c r="H5605" s="127"/>
      <c r="I5605" s="128"/>
      <c r="K5605" s="105" t="str">
        <f>IFERROR(__xludf.DUMMYFUNCTION("if(A5605="""","""",substitute(SUBSTITUTE(index(importhtml(""http://finviz.com/quote.ashx?t=""&amp;A5605,""table"",10),7,2),""*"",""""),""-"",""0.00""))"),"Loading...")</f>
        <v>Loading...</v>
      </c>
      <c r="L5605" s="129" t="e">
        <v>#N/A</v>
      </c>
      <c r="M5605" s="99">
        <v>3.89</v>
      </c>
    </row>
    <row r="5606">
      <c r="A5606" s="122" t="s">
        <v>11709</v>
      </c>
      <c r="B5606" s="123">
        <v>844551.0</v>
      </c>
      <c r="C5606" s="124" t="s">
        <v>11710</v>
      </c>
      <c r="D5606" s="125"/>
      <c r="E5606" s="126">
        <v>21.73</v>
      </c>
      <c r="F5606" s="127"/>
      <c r="G5606" s="127"/>
      <c r="H5606" s="127"/>
      <c r="I5606" s="128"/>
      <c r="K5606" s="105" t="str">
        <f>IFERROR(__xludf.DUMMYFUNCTION("if(A5606="""","""",substitute(SUBSTITUTE(index(importhtml(""http://finviz.com/quote.ashx?t=""&amp;A5606,""table"",10),7,2),""*"",""""),""-"",""0.00""))"),"Loading...")</f>
        <v>Loading...</v>
      </c>
      <c r="L5606" s="129">
        <v>6.1614406498E10</v>
      </c>
      <c r="M5606" s="99">
        <v>1.11</v>
      </c>
    </row>
    <row r="5607">
      <c r="A5607" s="122" t="s">
        <v>11711</v>
      </c>
      <c r="B5607" s="123">
        <v>1549802.0</v>
      </c>
      <c r="C5607" s="124" t="s">
        <v>11712</v>
      </c>
      <c r="D5607" s="125"/>
      <c r="E5607" s="126">
        <v>21.78</v>
      </c>
      <c r="F5607" s="127"/>
      <c r="G5607" s="127"/>
      <c r="H5607" s="127"/>
      <c r="I5607" s="128"/>
      <c r="K5607" s="138" t="s">
        <v>11713</v>
      </c>
      <c r="L5607" s="129">
        <v>3.4882587739E10</v>
      </c>
      <c r="M5607" s="99">
        <v>0.54</v>
      </c>
    </row>
    <row r="5608">
      <c r="A5608" s="122" t="s">
        <v>11714</v>
      </c>
      <c r="B5608" s="123">
        <v>1070680.0</v>
      </c>
      <c r="C5608" s="124" t="s">
        <v>11715</v>
      </c>
      <c r="D5608" s="125"/>
      <c r="E5608" s="126">
        <v>21.79</v>
      </c>
      <c r="F5608" s="127"/>
      <c r="G5608" s="127"/>
      <c r="H5608" s="127"/>
      <c r="I5608" s="128"/>
      <c r="K5608" s="105" t="str">
        <f>IFERROR(__xludf.DUMMYFUNCTION("if(A5608="""","""",substitute(SUBSTITUTE(index(importhtml(""http://finviz.com/quote.ashx?t=""&amp;A5608,""table"",10),7,2),""*"",""""),""-"",""0.00""))"),"Loading...")</f>
        <v>Loading...</v>
      </c>
      <c r="L5608" s="129">
        <v>1.4283485E8</v>
      </c>
      <c r="M5608" s="99">
        <v>0.53</v>
      </c>
    </row>
    <row r="5609">
      <c r="A5609" s="122" t="s">
        <v>11716</v>
      </c>
      <c r="B5609" s="123">
        <v>885508.0</v>
      </c>
      <c r="C5609" s="124" t="s">
        <v>11717</v>
      </c>
      <c r="D5609" s="125"/>
      <c r="E5609" s="126">
        <v>21.8</v>
      </c>
      <c r="F5609" s="127"/>
      <c r="G5609" s="127"/>
      <c r="H5609" s="127"/>
      <c r="I5609" s="128"/>
      <c r="K5609" s="105" t="str">
        <f>IFERROR(__xludf.DUMMYFUNCTION("if(A5609="""","""",substitute(SUBSTITUTE(index(importhtml(""http://finviz.com/quote.ashx?t=""&amp;A5609,""table"",10),7,2),""*"",""""),""-"",""0.00""))"),"Loading...")</f>
        <v>Loading...</v>
      </c>
      <c r="L5609" s="129">
        <v>1.74470189E8</v>
      </c>
      <c r="M5609" s="99">
        <v>1.04</v>
      </c>
    </row>
    <row r="5610">
      <c r="A5610" s="122" t="s">
        <v>11718</v>
      </c>
      <c r="B5610" s="123">
        <v>1328237.0</v>
      </c>
      <c r="C5610" s="124" t="s">
        <v>11719</v>
      </c>
      <c r="D5610" s="125"/>
      <c r="E5610" s="126">
        <v>21.81</v>
      </c>
      <c r="F5610" s="127"/>
      <c r="G5610" s="127"/>
      <c r="H5610" s="127"/>
      <c r="I5610" s="128"/>
      <c r="K5610" s="55" t="s">
        <v>11720</v>
      </c>
      <c r="L5610" s="129">
        <v>2.04141595E9</v>
      </c>
      <c r="M5610" s="99" t="str">
        <f>IFERROR(__xludf.DUMMYFUNCTION("GOOGLEFINANCE(A5610,""beta"")"),"#N/A")</f>
        <v>#N/A</v>
      </c>
    </row>
    <row r="5611">
      <c r="A5611" s="122" t="s">
        <v>11721</v>
      </c>
      <c r="B5611" s="123">
        <v>1141103.0</v>
      </c>
      <c r="C5611" s="124" t="s">
        <v>11722</v>
      </c>
      <c r="D5611" s="125"/>
      <c r="E5611" s="126">
        <v>21.81</v>
      </c>
      <c r="F5611" s="127"/>
      <c r="G5611" s="127"/>
      <c r="H5611" s="127"/>
      <c r="I5611" s="128"/>
      <c r="K5611" s="105" t="str">
        <f>IFERROR(__xludf.DUMMYFUNCTION("if(A5611="""","""",substitute(SUBSTITUTE(index(importhtml(""http://finviz.com/quote.ashx?t=""&amp;A5611,""table"",10),7,2),""*"",""""),""-"",""0.00""))"),"Loading...")</f>
        <v>Loading...</v>
      </c>
      <c r="L5611" s="129">
        <v>7.66639801E8</v>
      </c>
      <c r="M5611" s="99">
        <v>0.77</v>
      </c>
    </row>
    <row r="5612">
      <c r="A5612" s="122" t="s">
        <v>11723</v>
      </c>
      <c r="B5612" s="123">
        <v>1789940.0</v>
      </c>
      <c r="C5612" s="124" t="s">
        <v>11724</v>
      </c>
      <c r="D5612" s="125"/>
      <c r="E5612" s="126">
        <v>21.81</v>
      </c>
      <c r="F5612" s="127"/>
      <c r="G5612" s="127"/>
      <c r="H5612" s="127"/>
      <c r="I5612" s="128"/>
      <c r="K5612" s="105" t="str">
        <f>IFERROR(__xludf.DUMMYFUNCTION("if(A5612="""","""",substitute(SUBSTITUTE(index(importhtml(""http://finviz.com/quote.ashx?t=""&amp;A5612,""table"",10),7,2),""*"",""""),""-"",""0.00""))"),"Loading...")</f>
        <v>Loading...</v>
      </c>
      <c r="L5612" s="129">
        <v>1.304622696E9</v>
      </c>
      <c r="M5612" s="99">
        <f>IFERROR(__xludf.DUMMYFUNCTION("GOOGLEFINANCE(A5612,""beta"")"),0.88)</f>
        <v>0.88</v>
      </c>
    </row>
    <row r="5613">
      <c r="A5613" s="122" t="s">
        <v>11725</v>
      </c>
      <c r="B5613" s="123">
        <v>1065521.0</v>
      </c>
      <c r="C5613" s="124" t="s">
        <v>11726</v>
      </c>
      <c r="D5613" s="125"/>
      <c r="E5613" s="126">
        <v>21.82</v>
      </c>
      <c r="F5613" s="127"/>
      <c r="G5613" s="127"/>
      <c r="H5613" s="127"/>
      <c r="I5613" s="128"/>
      <c r="K5613" s="105" t="str">
        <f>IFERROR(__xludf.DUMMYFUNCTION("if(A5613="""","""",substitute(SUBSTITUTE(index(importhtml(""http://finviz.com/quote.ashx?t=""&amp;A5613,""table"",10),7,2),""*"",""""),""-"",""0.00""))"),"Loading...")</f>
        <v>Loading...</v>
      </c>
      <c r="L5613" s="129">
        <v>6.3968012329E10</v>
      </c>
      <c r="M5613" s="99">
        <v>1.1</v>
      </c>
    </row>
    <row r="5614">
      <c r="A5614" s="122" t="s">
        <v>11727</v>
      </c>
      <c r="B5614" s="123">
        <v>792966.0</v>
      </c>
      <c r="C5614" s="124" t="s">
        <v>11728</v>
      </c>
      <c r="D5614" s="125"/>
      <c r="E5614" s="126">
        <v>21.85</v>
      </c>
      <c r="F5614" s="127"/>
      <c r="G5614" s="127"/>
      <c r="H5614" s="127"/>
      <c r="I5614" s="128"/>
      <c r="K5614" s="105" t="str">
        <f>IFERROR(__xludf.DUMMYFUNCTION("if(A5614="""","""",substitute(SUBSTITUTE(index(importhtml(""http://finviz.com/quote.ashx?t=""&amp;A5614,""table"",10),7,2),""*"",""""),""-"",""0.00""))"),"Loading...")</f>
        <v>Loading...</v>
      </c>
      <c r="L5614" s="129">
        <v>2.98606038E8</v>
      </c>
      <c r="M5614" s="99">
        <v>0.63</v>
      </c>
    </row>
    <row r="5615">
      <c r="A5615" s="122" t="s">
        <v>11729</v>
      </c>
      <c r="B5615" s="123">
        <v>1526520.0</v>
      </c>
      <c r="C5615" s="124" t="s">
        <v>11730</v>
      </c>
      <c r="D5615" s="125"/>
      <c r="E5615" s="126">
        <v>21.85</v>
      </c>
      <c r="F5615" s="127"/>
      <c r="G5615" s="127"/>
      <c r="H5615" s="127"/>
      <c r="I5615" s="128"/>
      <c r="K5615" s="105" t="str">
        <f>IFERROR(__xludf.DUMMYFUNCTION("if(A5615="""","""",substitute(SUBSTITUTE(index(importhtml(""http://finviz.com/quote.ashx?t=""&amp;A5615,""table"",10),7,2),""*"",""""),""-"",""0.00""))"),"Loading...")</f>
        <v>Loading...</v>
      </c>
      <c r="L5615" s="129">
        <v>3.026541877E9</v>
      </c>
      <c r="M5615" s="99">
        <v>1.51</v>
      </c>
    </row>
    <row r="5616">
      <c r="A5616" s="122" t="s">
        <v>11731</v>
      </c>
      <c r="B5616" s="123">
        <v>1807794.0</v>
      </c>
      <c r="C5616" s="124" t="s">
        <v>11732</v>
      </c>
      <c r="D5616" s="125"/>
      <c r="E5616" s="126">
        <v>21.85</v>
      </c>
      <c r="F5616" s="127"/>
      <c r="G5616" s="127"/>
      <c r="H5616" s="127"/>
      <c r="I5616" s="128"/>
      <c r="K5616" s="105" t="str">
        <f>IFERROR(__xludf.DUMMYFUNCTION("if(A5616="""","""",substitute(SUBSTITUTE(index(importhtml(""http://finviz.com/quote.ashx?t=""&amp;A5616,""table"",10),7,2),""*"",""""),""-"",""0.00""))"),"Loading...")</f>
        <v>Loading...</v>
      </c>
      <c r="L5616" s="129">
        <v>3.484762605E9</v>
      </c>
      <c r="M5616" s="99">
        <f>IFERROR(__xludf.DUMMYFUNCTION("GOOGLEFINANCE(A5616,""beta"")"),2.62)</f>
        <v>2.62</v>
      </c>
    </row>
    <row r="5617">
      <c r="A5617" s="122" t="s">
        <v>11733</v>
      </c>
      <c r="B5617" s="123">
        <v>1374328.0</v>
      </c>
      <c r="C5617" s="124" t="s">
        <v>11734</v>
      </c>
      <c r="D5617" s="125"/>
      <c r="E5617" s="126">
        <v>21.86</v>
      </c>
      <c r="F5617" s="127"/>
      <c r="G5617" s="127"/>
      <c r="H5617" s="127"/>
      <c r="I5617" s="128"/>
      <c r="K5617" s="105" t="str">
        <f>IFERROR(__xludf.DUMMYFUNCTION("if(A5617="""","""",substitute(SUBSTITUTE(index(importhtml(""http://finviz.com/quote.ashx?t=""&amp;A5617,""table"",10),7,2),""*"",""""),""-"",""0.00""))"),"Loading...")</f>
        <v>Loading...</v>
      </c>
      <c r="L5617" s="129">
        <v>1.00329533E8</v>
      </c>
      <c r="M5617" s="99">
        <v>0.9</v>
      </c>
    </row>
    <row r="5618">
      <c r="A5618" s="122" t="s">
        <v>11735</v>
      </c>
      <c r="B5618" s="123">
        <v>895728.0</v>
      </c>
      <c r="C5618" s="124" t="s">
        <v>11736</v>
      </c>
      <c r="D5618" s="125"/>
      <c r="E5618" s="126">
        <v>21.86</v>
      </c>
      <c r="F5618" s="127"/>
      <c r="G5618" s="127"/>
      <c r="H5618" s="127"/>
      <c r="I5618" s="128"/>
      <c r="K5618" s="105" t="str">
        <f>IFERROR(__xludf.DUMMYFUNCTION("if(A5618="""","""",substitute(SUBSTITUTE(index(importhtml(""http://finviz.com/quote.ashx?t=""&amp;A5618,""table"",10),7,2),""*"",""""),""-"",""0.00""))"),"Loading...")</f>
        <v>Loading...</v>
      </c>
      <c r="L5618" s="129">
        <v>7.4962372379E10</v>
      </c>
      <c r="M5618" s="99">
        <v>0.46</v>
      </c>
    </row>
    <row r="5619">
      <c r="A5619" s="122" t="s">
        <v>11737</v>
      </c>
      <c r="B5619" s="123">
        <v>1260729.0</v>
      </c>
      <c r="C5619" s="124" t="s">
        <v>11738</v>
      </c>
      <c r="D5619" s="125"/>
      <c r="E5619" s="126">
        <v>21.87</v>
      </c>
      <c r="F5619" s="127"/>
      <c r="G5619" s="127"/>
      <c r="H5619" s="127"/>
      <c r="I5619" s="128"/>
      <c r="K5619" s="55" t="s">
        <v>9720</v>
      </c>
      <c r="L5619" s="129">
        <v>1.971764721E9</v>
      </c>
      <c r="M5619" s="99">
        <v>1.2</v>
      </c>
    </row>
    <row r="5620">
      <c r="A5620" s="122" t="s">
        <v>11739</v>
      </c>
      <c r="B5620" s="123">
        <v>1629019.0</v>
      </c>
      <c r="C5620" s="124" t="s">
        <v>11740</v>
      </c>
      <c r="D5620" s="125"/>
      <c r="E5620" s="126">
        <v>21.87</v>
      </c>
      <c r="F5620" s="127"/>
      <c r="G5620" s="127"/>
      <c r="H5620" s="127"/>
      <c r="I5620" s="128"/>
      <c r="K5620" s="105" t="str">
        <f>IFERROR(__xludf.DUMMYFUNCTION("if(A5620="""","""",substitute(SUBSTITUTE(index(importhtml(""http://finviz.com/quote.ashx?t=""&amp;A5620,""table"",10),7,2),""*"",""""),""-"",""0.00""))"),"Loading...")</f>
        <v>Loading...</v>
      </c>
      <c r="L5620" s="129">
        <v>1.77987858E9</v>
      </c>
      <c r="M5620" s="99">
        <f>IFERROR(__xludf.DUMMYFUNCTION("GOOGLEFINANCE(A5620,""beta"")"),0.59)</f>
        <v>0.59</v>
      </c>
    </row>
    <row r="5621">
      <c r="A5621" s="122" t="s">
        <v>11741</v>
      </c>
      <c r="B5621" s="123">
        <v>1086888.0</v>
      </c>
      <c r="C5621" s="124" t="s">
        <v>11742</v>
      </c>
      <c r="D5621" s="125"/>
      <c r="E5621" s="126">
        <v>21.87</v>
      </c>
      <c r="F5621" s="127"/>
      <c r="G5621" s="127"/>
      <c r="H5621" s="127"/>
      <c r="I5621" s="128"/>
      <c r="K5621" s="105" t="str">
        <f>IFERROR(__xludf.DUMMYFUNCTION("if(A5621="""","""",substitute(SUBSTITUTE(index(importhtml(""http://finviz.com/quote.ashx?t=""&amp;A5621,""table"",10),7,2),""*"",""""),""-"",""0.00""))"),"Loading...")</f>
        <v>Loading...</v>
      </c>
      <c r="L5621" s="129">
        <v>3.9519375826E10</v>
      </c>
      <c r="M5621" s="99">
        <v>1.07</v>
      </c>
    </row>
    <row r="5622">
      <c r="A5622" s="122" t="s">
        <v>11743</v>
      </c>
      <c r="B5622" s="123">
        <v>1433270.0</v>
      </c>
      <c r="C5622" s="124" t="s">
        <v>11744</v>
      </c>
      <c r="D5622" s="125"/>
      <c r="E5622" s="126">
        <v>21.89</v>
      </c>
      <c r="F5622" s="127"/>
      <c r="G5622" s="127"/>
      <c r="H5622" s="127"/>
      <c r="I5622" s="128"/>
      <c r="K5622" s="55" t="s">
        <v>1034</v>
      </c>
      <c r="L5622" s="129">
        <v>8.111334079E9</v>
      </c>
      <c r="M5622" s="99">
        <f>IFERROR(__xludf.DUMMYFUNCTION("GOOGLEFINANCE(A5622,""beta"")"),0.62)</f>
        <v>0.62</v>
      </c>
    </row>
    <row r="5623">
      <c r="A5623" s="122" t="s">
        <v>11745</v>
      </c>
      <c r="B5623" s="123">
        <v>1114700.0</v>
      </c>
      <c r="C5623" s="124" t="s">
        <v>11746</v>
      </c>
      <c r="D5623" s="125"/>
      <c r="E5623" s="126">
        <v>21.9</v>
      </c>
      <c r="F5623" s="127"/>
      <c r="G5623" s="127"/>
      <c r="H5623" s="127"/>
      <c r="I5623" s="128"/>
      <c r="K5623" s="105" t="str">
        <f>IFERROR(__xludf.DUMMYFUNCTION("if(A5623="""","""",substitute(SUBSTITUTE(index(importhtml(""http://finviz.com/quote.ashx?t=""&amp;A5623,""table"",10),7,2),""*"",""""),""-"",""0.00""))"),"Loading...")</f>
        <v>Loading...</v>
      </c>
      <c r="L5623" s="129">
        <v>4.063757359E9</v>
      </c>
      <c r="M5623" s="99">
        <v>1.99</v>
      </c>
    </row>
    <row r="5624">
      <c r="A5624" s="122" t="s">
        <v>11747</v>
      </c>
      <c r="B5624" s="123">
        <v>103730.0</v>
      </c>
      <c r="C5624" s="124" t="s">
        <v>11748</v>
      </c>
      <c r="D5624" s="125"/>
      <c r="E5624" s="126">
        <v>21.92</v>
      </c>
      <c r="F5624" s="127"/>
      <c r="G5624" s="127"/>
      <c r="H5624" s="127"/>
      <c r="I5624" s="128"/>
      <c r="K5624" s="105" t="str">
        <f>IFERROR(__xludf.DUMMYFUNCTION("if(A5624="""","""",substitute(SUBSTITUTE(index(importhtml(""http://finviz.com/quote.ashx?t=""&amp;A5624,""table"",10),7,2),""*"",""""),""-"",""0.00""))"),"Loading...")</f>
        <v>Loading...</v>
      </c>
      <c r="L5624" s="129">
        <v>3.032318554E9</v>
      </c>
      <c r="M5624" s="99">
        <v>1.26</v>
      </c>
    </row>
    <row r="5625">
      <c r="A5625" s="122" t="s">
        <v>11749</v>
      </c>
      <c r="B5625" s="123">
        <v>1042046.0</v>
      </c>
      <c r="C5625" s="124" t="s">
        <v>11750</v>
      </c>
      <c r="D5625" s="125"/>
      <c r="E5625" s="126">
        <v>21.92</v>
      </c>
      <c r="F5625" s="127"/>
      <c r="G5625" s="127"/>
      <c r="H5625" s="127"/>
      <c r="I5625" s="128"/>
      <c r="K5625" s="105" t="str">
        <f>IFERROR(__xludf.DUMMYFUNCTION("if(A5625="""","""",substitute(SUBSTITUTE(index(importhtml(""http://finviz.com/quote.ashx?t=""&amp;A5625,""table"",10),7,2),""*"",""""),""-"",""0.00""))"),"Loading...")</f>
        <v>Loading...</v>
      </c>
      <c r="L5625" s="129">
        <v>9.91845369E9</v>
      </c>
      <c r="M5625" s="99">
        <v>0.57</v>
      </c>
    </row>
    <row r="5626">
      <c r="A5626" s="122" t="s">
        <v>11751</v>
      </c>
      <c r="B5626" s="123">
        <v>1580560.0</v>
      </c>
      <c r="C5626" s="124" t="s">
        <v>11752</v>
      </c>
      <c r="D5626" s="125"/>
      <c r="E5626" s="126">
        <v>21.94</v>
      </c>
      <c r="F5626" s="127"/>
      <c r="G5626" s="127"/>
      <c r="H5626" s="127"/>
      <c r="I5626" s="128"/>
      <c r="K5626" s="105" t="str">
        <f>IFERROR(__xludf.DUMMYFUNCTION("if(A5626="""","""",substitute(SUBSTITUTE(index(importhtml(""http://finviz.com/quote.ashx?t=""&amp;A5626,""table"",10),7,2),""*"",""""),""-"",""0.00""))"),"Loading...")</f>
        <v>Loading...</v>
      </c>
      <c r="L5626" s="129">
        <v>2.663803478E9</v>
      </c>
      <c r="M5626" s="99">
        <f>IFERROR(__xludf.DUMMYFUNCTION("GOOGLEFINANCE(A5626,""beta"")"),1.29)</f>
        <v>1.29</v>
      </c>
    </row>
    <row r="5627">
      <c r="A5627" s="122" t="s">
        <v>11753</v>
      </c>
      <c r="B5627" s="123">
        <v>1375877.0</v>
      </c>
      <c r="C5627" s="124" t="s">
        <v>11754</v>
      </c>
      <c r="D5627" s="125"/>
      <c r="E5627" s="126">
        <v>21.98</v>
      </c>
      <c r="F5627" s="127"/>
      <c r="G5627" s="127"/>
      <c r="H5627" s="127"/>
      <c r="I5627" s="128"/>
      <c r="K5627" s="105" t="str">
        <f>IFERROR(__xludf.DUMMYFUNCTION("if(A5627="""","""",substitute(SUBSTITUTE(index(importhtml(""http://finviz.com/quote.ashx?t=""&amp;A5627,""table"",10),7,2),""*"",""""),""-"",""0.00""))"),"Loading...")</f>
        <v>Loading...</v>
      </c>
      <c r="L5627" s="129">
        <v>1.42108368E9</v>
      </c>
      <c r="M5627" s="99">
        <v>1.3</v>
      </c>
    </row>
    <row r="5628">
      <c r="A5628" s="122" t="s">
        <v>11755</v>
      </c>
      <c r="B5628" s="123">
        <v>1682220.0</v>
      </c>
      <c r="C5628" s="124" t="s">
        <v>11756</v>
      </c>
      <c r="D5628" s="125"/>
      <c r="E5628" s="126">
        <v>22.0</v>
      </c>
      <c r="F5628" s="127"/>
      <c r="G5628" s="127"/>
      <c r="H5628" s="127"/>
      <c r="I5628" s="128"/>
      <c r="K5628" s="105" t="str">
        <f>IFERROR(__xludf.DUMMYFUNCTION("if(A5628="""","""",substitute(SUBSTITUTE(index(importhtml(""http://finviz.com/quote.ashx?t=""&amp;A5628,""table"",10),7,2),""*"",""""),""-"",""0.00""))"),"Loading...")</f>
        <v>Loading...</v>
      </c>
      <c r="L5628" s="129">
        <v>1.60561725E8</v>
      </c>
      <c r="M5628" s="99">
        <f>IFERROR(__xludf.DUMMYFUNCTION("GOOGLEFINANCE(A5628,""beta"")"),0.15)</f>
        <v>0.15</v>
      </c>
    </row>
    <row r="5629">
      <c r="A5629" s="122" t="s">
        <v>11757</v>
      </c>
      <c r="B5629" s="123">
        <v>1464343.0</v>
      </c>
      <c r="C5629" s="124" t="s">
        <v>11758</v>
      </c>
      <c r="D5629" s="125"/>
      <c r="E5629" s="126">
        <v>22.0</v>
      </c>
      <c r="F5629" s="127"/>
      <c r="G5629" s="127"/>
      <c r="H5629" s="127"/>
      <c r="I5629" s="128"/>
      <c r="K5629" s="105" t="str">
        <f>IFERROR(__xludf.DUMMYFUNCTION("if(A5629="""","""",substitute(SUBSTITUTE(index(importhtml(""http://finviz.com/quote.ashx?t=""&amp;A5629,""table"",10),7,2),""*"",""""),""-"",""0.00""))"),"Loading...")</f>
        <v>Loading...</v>
      </c>
      <c r="L5629" s="129">
        <v>4.99331145E8</v>
      </c>
      <c r="M5629" s="99">
        <f>IFERROR(__xludf.DUMMYFUNCTION("GOOGLEFINANCE(A5629,""beta"")"),0.79)</f>
        <v>0.79</v>
      </c>
    </row>
    <row r="5630">
      <c r="A5630" s="122" t="s">
        <v>11759</v>
      </c>
      <c r="B5630" s="123">
        <v>78150.0</v>
      </c>
      <c r="C5630" s="124" t="s">
        <v>11760</v>
      </c>
      <c r="D5630" s="125"/>
      <c r="E5630" s="126">
        <v>22.0</v>
      </c>
      <c r="F5630" s="127"/>
      <c r="G5630" s="127"/>
      <c r="H5630" s="127"/>
      <c r="I5630" s="128"/>
      <c r="K5630" s="105" t="str">
        <f>IFERROR(__xludf.DUMMYFUNCTION("if(A5630="""","""",substitute(SUBSTITUTE(index(importhtml(""http://finviz.com/quote.ashx?t=""&amp;A5630,""table"",10),7,2),""*"",""""),""-"",""0.00""))"),"Loading...")</f>
        <v>Loading...</v>
      </c>
      <c r="L5630" s="129">
        <v>4.87528799E9</v>
      </c>
      <c r="M5630" s="99">
        <v>0.52</v>
      </c>
    </row>
    <row r="5631">
      <c r="A5631" s="122" t="s">
        <v>11761</v>
      </c>
      <c r="B5631" s="123">
        <v>1376986.0</v>
      </c>
      <c r="C5631" s="124" t="s">
        <v>11762</v>
      </c>
      <c r="D5631" s="125"/>
      <c r="E5631" s="126">
        <v>22.01</v>
      </c>
      <c r="F5631" s="127"/>
      <c r="G5631" s="127"/>
      <c r="H5631" s="127"/>
      <c r="I5631" s="128"/>
      <c r="K5631" s="105" t="str">
        <f>IFERROR(__xludf.DUMMYFUNCTION("if(A5631="""","""",substitute(SUBSTITUTE(index(importhtml(""http://finviz.com/quote.ashx?t=""&amp;A5631,""table"",10),7,2),""*"",""""),""-"",""0.00""))"),"Loading...")</f>
        <v>Loading...</v>
      </c>
      <c r="L5631" s="129">
        <v>2.463945E8</v>
      </c>
      <c r="M5631" s="99">
        <v>0.15</v>
      </c>
    </row>
    <row r="5632">
      <c r="A5632" s="122" t="s">
        <v>11763</v>
      </c>
      <c r="B5632" s="123">
        <v>1611983.0</v>
      </c>
      <c r="C5632" s="124" t="s">
        <v>11764</v>
      </c>
      <c r="D5632" s="125"/>
      <c r="E5632" s="126">
        <v>22.01</v>
      </c>
      <c r="F5632" s="127"/>
      <c r="G5632" s="127"/>
      <c r="H5632" s="127"/>
      <c r="I5632" s="128"/>
      <c r="K5632" s="105" t="str">
        <f>IFERROR(__xludf.DUMMYFUNCTION("if(A5632="""","""",substitute(SUBSTITUTE(index(importhtml(""http://finviz.com/quote.ashx?t=""&amp;A5632,""table"",10),7,2),""*"",""""),""-"",""0.00""))"),"Loading...")</f>
        <v>Loading...</v>
      </c>
      <c r="L5632" s="129">
        <v>9.79587999E9</v>
      </c>
      <c r="M5632" s="99">
        <v>0.26</v>
      </c>
    </row>
    <row r="5633">
      <c r="A5633" s="122" t="s">
        <v>11765</v>
      </c>
      <c r="B5633" s="123">
        <v>1487918.0</v>
      </c>
      <c r="C5633" s="124" t="s">
        <v>11766</v>
      </c>
      <c r="D5633" s="125"/>
      <c r="E5633" s="126">
        <v>22.03</v>
      </c>
      <c r="F5633" s="127"/>
      <c r="G5633" s="127"/>
      <c r="H5633" s="127"/>
      <c r="I5633" s="128"/>
      <c r="K5633" s="105" t="str">
        <f>IFERROR(__xludf.DUMMYFUNCTION("if(A5633="""","""",substitute(SUBSTITUTE(index(importhtml(""http://finviz.com/quote.ashx?t=""&amp;A5633,""table"",10),7,2),""*"",""""),""-"",""0.00""))"),"Loading...")</f>
        <v>Loading...</v>
      </c>
      <c r="L5633" s="129">
        <v>1.52068213E8</v>
      </c>
      <c r="M5633" s="99">
        <f>IFERROR(__xludf.DUMMYFUNCTION("GOOGLEFINANCE(A5633,""beta"")"),0.09)</f>
        <v>0.09</v>
      </c>
    </row>
    <row r="5634">
      <c r="A5634" s="122" t="s">
        <v>11767</v>
      </c>
      <c r="B5634" s="123">
        <v>1759138.0</v>
      </c>
      <c r="C5634" s="124" t="s">
        <v>11768</v>
      </c>
      <c r="D5634" s="125"/>
      <c r="E5634" s="126">
        <v>22.03</v>
      </c>
      <c r="F5634" s="127"/>
      <c r="G5634" s="127"/>
      <c r="H5634" s="127"/>
      <c r="I5634" s="128"/>
      <c r="K5634" s="105" t="str">
        <f>IFERROR(__xludf.DUMMYFUNCTION("if(A5634="""","""",substitute(SUBSTITUTE(index(importhtml(""http://finviz.com/quote.ashx?t=""&amp;A5634,""table"",10),7,2),""*"",""""),""-"",""0.00""))"),"Loading...")</f>
        <v>Loading...</v>
      </c>
      <c r="L5634" s="129">
        <v>9.43972531E8</v>
      </c>
      <c r="M5634" s="99">
        <v>2.47</v>
      </c>
    </row>
    <row r="5635">
      <c r="A5635" s="122" t="s">
        <v>11769</v>
      </c>
      <c r="B5635" s="123">
        <v>1856608.0</v>
      </c>
      <c r="C5635" s="124" t="s">
        <v>11770</v>
      </c>
      <c r="D5635" s="125"/>
      <c r="E5635" s="126">
        <v>22.08</v>
      </c>
      <c r="F5635" s="127"/>
      <c r="G5635" s="127"/>
      <c r="H5635" s="127"/>
      <c r="I5635" s="128"/>
      <c r="K5635" s="105" t="str">
        <f>IFERROR(__xludf.DUMMYFUNCTION("if(A5635="""","""",substitute(SUBSTITUTE(index(importhtml(""http://finviz.com/quote.ashx?t=""&amp;A5635,""table"",10),7,2),""*"",""""),""-"",""0.00""))"),"Loading...")</f>
        <v>Loading...</v>
      </c>
      <c r="L5635" s="129">
        <v>2.240133016E9</v>
      </c>
      <c r="M5635" s="99" t="str">
        <f>IFERROR(__xludf.DUMMYFUNCTION("GOOGLEFINANCE(A5635,""beta"")"),"#N/A")</f>
        <v>#N/A</v>
      </c>
    </row>
    <row r="5636">
      <c r="A5636" s="122" t="s">
        <v>11771</v>
      </c>
      <c r="B5636" s="123">
        <v>1604174.0</v>
      </c>
      <c r="C5636" s="124" t="s">
        <v>11772</v>
      </c>
      <c r="D5636" s="125"/>
      <c r="E5636" s="126">
        <v>22.13</v>
      </c>
      <c r="F5636" s="127"/>
      <c r="G5636" s="127"/>
      <c r="H5636" s="127"/>
      <c r="I5636" s="128"/>
      <c r="K5636" s="105" t="str">
        <f>IFERROR(__xludf.DUMMYFUNCTION("if(A5636="""","""",substitute(SUBSTITUTE(index(importhtml(""http://finviz.com/quote.ashx?t=""&amp;A5636,""table"",10),7,2),""*"",""""),""-"",""0.00""))"),"Loading...")</f>
        <v>Loading...</v>
      </c>
      <c r="L5636" s="129">
        <v>7.25665242E8</v>
      </c>
      <c r="M5636" s="99">
        <f>IFERROR(__xludf.DUMMYFUNCTION("GOOGLEFINANCE(A5636,""beta"")"),0.3)</f>
        <v>0.3</v>
      </c>
    </row>
    <row r="5637">
      <c r="A5637" s="122" t="s">
        <v>11773</v>
      </c>
      <c r="B5637" s="123">
        <v>1538849.0</v>
      </c>
      <c r="C5637" s="124" t="s">
        <v>11774</v>
      </c>
      <c r="D5637" s="125"/>
      <c r="E5637" s="126">
        <v>22.13</v>
      </c>
      <c r="F5637" s="127"/>
      <c r="G5637" s="127"/>
      <c r="H5637" s="127"/>
      <c r="I5637" s="128"/>
      <c r="K5637" s="105" t="str">
        <f>IFERROR(__xludf.DUMMYFUNCTION("if(A5637="""","""",substitute(SUBSTITUTE(index(importhtml(""http://finviz.com/quote.ashx?t=""&amp;A5637,""table"",10),7,2),""*"",""""),""-"",""0.00""))"),"Loading...")</f>
        <v>Loading...</v>
      </c>
      <c r="L5637" s="129">
        <v>8.4029178E8</v>
      </c>
      <c r="M5637" s="99">
        <v>1.56</v>
      </c>
    </row>
    <row r="5638">
      <c r="A5638" s="122" t="s">
        <v>11775</v>
      </c>
      <c r="B5638" s="123">
        <v>708955.0</v>
      </c>
      <c r="C5638" s="124" t="s">
        <v>11776</v>
      </c>
      <c r="D5638" s="125"/>
      <c r="E5638" s="126">
        <v>22.13</v>
      </c>
      <c r="F5638" s="127"/>
      <c r="G5638" s="127"/>
      <c r="H5638" s="127"/>
      <c r="I5638" s="128"/>
      <c r="K5638" s="105" t="str">
        <f>IFERROR(__xludf.DUMMYFUNCTION("if(A5638="""","""",substitute(SUBSTITUTE(index(importhtml(""http://finviz.com/quote.ashx?t=""&amp;A5638,""table"",10),7,2),""*"",""""),""-"",""0.00""))"),"Loading...")</f>
        <v>Loading...</v>
      </c>
      <c r="L5638" s="129">
        <v>2.10547534E9</v>
      </c>
      <c r="M5638" s="99">
        <v>1.06</v>
      </c>
    </row>
    <row r="5639">
      <c r="A5639" s="122" t="s">
        <v>11777</v>
      </c>
      <c r="B5639" s="123">
        <v>1253327.0</v>
      </c>
      <c r="C5639" s="124" t="s">
        <v>11778</v>
      </c>
      <c r="D5639" s="125"/>
      <c r="E5639" s="126">
        <v>22.14</v>
      </c>
      <c r="F5639" s="127"/>
      <c r="G5639" s="127"/>
      <c r="H5639" s="127"/>
      <c r="I5639" s="128"/>
      <c r="K5639" s="55" t="s">
        <v>11779</v>
      </c>
      <c r="L5639" s="129">
        <v>1.65037666E9</v>
      </c>
      <c r="M5639" s="99">
        <v>1.25</v>
      </c>
    </row>
    <row r="5640">
      <c r="A5640" s="122" t="s">
        <v>11780</v>
      </c>
      <c r="B5640" s="123">
        <v>1275617.0</v>
      </c>
      <c r="C5640" s="124" t="s">
        <v>11781</v>
      </c>
      <c r="D5640" s="125"/>
      <c r="E5640" s="126">
        <v>22.14</v>
      </c>
      <c r="F5640" s="127"/>
      <c r="G5640" s="127"/>
      <c r="H5640" s="127"/>
      <c r="I5640" s="128"/>
      <c r="K5640" s="105" t="str">
        <f>IFERROR(__xludf.DUMMYFUNCTION("if(A5640="""","""",substitute(SUBSTITUTE(index(importhtml(""http://finviz.com/quote.ashx?t=""&amp;A5640,""table"",10),7,2),""*"",""""),""-"",""0.00""))"),"Loading...")</f>
        <v>Loading...</v>
      </c>
      <c r="L5640" s="129">
        <v>2.129949195E9</v>
      </c>
      <c r="M5640" s="99">
        <v>1.03</v>
      </c>
    </row>
    <row r="5641">
      <c r="A5641" s="122" t="s">
        <v>11782</v>
      </c>
      <c r="B5641" s="123">
        <v>1357660.0</v>
      </c>
      <c r="C5641" s="124" t="s">
        <v>11783</v>
      </c>
      <c r="D5641" s="125"/>
      <c r="E5641" s="126">
        <v>22.14</v>
      </c>
      <c r="F5641" s="127"/>
      <c r="G5641" s="127"/>
      <c r="H5641" s="127"/>
      <c r="I5641" s="128"/>
      <c r="K5641" s="105" t="str">
        <f>IFERROR(__xludf.DUMMYFUNCTION("if(A5641="""","""",substitute(SUBSTITUTE(index(importhtml(""http://finviz.com/quote.ashx?t=""&amp;A5641,""table"",10),7,2),""*"",""""),""-"",""0.00""))"),"Loading...")</f>
        <v>Loading...</v>
      </c>
      <c r="L5641" s="129" t="e">
        <v>#N/A</v>
      </c>
      <c r="M5641" s="99">
        <v>0.23</v>
      </c>
    </row>
    <row r="5642">
      <c r="A5642" s="122" t="s">
        <v>11784</v>
      </c>
      <c r="B5642" s="123">
        <v>1356284.0</v>
      </c>
      <c r="C5642" s="124" t="s">
        <v>11785</v>
      </c>
      <c r="D5642" s="125"/>
      <c r="E5642" s="126">
        <v>22.15</v>
      </c>
      <c r="F5642" s="127"/>
      <c r="G5642" s="127"/>
      <c r="H5642" s="127"/>
      <c r="I5642" s="128"/>
      <c r="K5642" s="105" t="str">
        <f>IFERROR(__xludf.DUMMYFUNCTION("if(A5642="""","""",substitute(SUBSTITUTE(index(importhtml(""http://finviz.com/quote.ashx?t=""&amp;A5642,""table"",10),7,2),""*"",""""),""-"",""0.00""))"),"Loading...")</f>
        <v>Loading...</v>
      </c>
      <c r="L5642" s="129" t="e">
        <v>#N/A</v>
      </c>
      <c r="M5642" s="99">
        <v>0.16</v>
      </c>
    </row>
    <row r="5643">
      <c r="A5643" s="122" t="s">
        <v>11786</v>
      </c>
      <c r="B5643" s="123">
        <v>1682220.0</v>
      </c>
      <c r="C5643" s="124" t="s">
        <v>11787</v>
      </c>
      <c r="D5643" s="125"/>
      <c r="E5643" s="126">
        <v>22.16</v>
      </c>
      <c r="F5643" s="127"/>
      <c r="G5643" s="127"/>
      <c r="H5643" s="127"/>
      <c r="I5643" s="128"/>
      <c r="K5643" s="105" t="str">
        <f>IFERROR(__xludf.DUMMYFUNCTION("if(A5643="""","""",substitute(SUBSTITUTE(index(importhtml(""http://finviz.com/quote.ashx?t=""&amp;A5643,""table"",10),7,2),""*"",""""),""-"",""0.00""))"),"Loading...")</f>
        <v>Loading...</v>
      </c>
      <c r="L5643" s="129">
        <v>1.60561725E8</v>
      </c>
      <c r="M5643" s="99">
        <f>IFERROR(__xludf.DUMMYFUNCTION("GOOGLEFINANCE(A5643,""beta"")"),0.26)</f>
        <v>0.26</v>
      </c>
    </row>
    <row r="5644">
      <c r="A5644" s="122" t="s">
        <v>11788</v>
      </c>
      <c r="B5644" s="123">
        <v>101199.0</v>
      </c>
      <c r="C5644" s="124" t="s">
        <v>11789</v>
      </c>
      <c r="D5644" s="125"/>
      <c r="E5644" s="126">
        <v>22.18</v>
      </c>
      <c r="F5644" s="127"/>
      <c r="G5644" s="127"/>
      <c r="H5644" s="127"/>
      <c r="I5644" s="128"/>
      <c r="K5644" s="105" t="str">
        <f>IFERROR(__xludf.DUMMYFUNCTION("if(A5644="""","""",substitute(SUBSTITUTE(index(importhtml(""http://finviz.com/quote.ashx?t=""&amp;A5644,""table"",10),7,2),""*"",""""),""-"",""0.00""))"),"Loading...")</f>
        <v>Loading...</v>
      </c>
      <c r="L5644" s="129">
        <v>5.6038547E8</v>
      </c>
      <c r="M5644" s="99">
        <v>0.34</v>
      </c>
    </row>
    <row r="5645">
      <c r="A5645" s="122" t="s">
        <v>11790</v>
      </c>
      <c r="B5645" s="123">
        <v>1515816.0</v>
      </c>
      <c r="C5645" s="124" t="s">
        <v>11791</v>
      </c>
      <c r="D5645" s="125"/>
      <c r="E5645" s="126">
        <v>22.18</v>
      </c>
      <c r="F5645" s="127"/>
      <c r="G5645" s="127"/>
      <c r="H5645" s="127"/>
      <c r="I5645" s="128"/>
      <c r="K5645" s="105" t="str">
        <f>IFERROR(__xludf.DUMMYFUNCTION("if(A5645="""","""",substitute(SUBSTITUTE(index(importhtml(""http://finviz.com/quote.ashx?t=""&amp;A5645,""table"",10),7,2),""*"",""""),""-"",""0.00""))"),"Loading...")</f>
        <v>Loading...</v>
      </c>
      <c r="L5645" s="129">
        <v>1.003649228E9</v>
      </c>
      <c r="M5645" s="99">
        <v>1.37</v>
      </c>
    </row>
    <row r="5646">
      <c r="A5646" s="122" t="s">
        <v>11792</v>
      </c>
      <c r="B5646" s="123">
        <v>1576280.0</v>
      </c>
      <c r="C5646" s="124" t="s">
        <v>11793</v>
      </c>
      <c r="D5646" s="125"/>
      <c r="E5646" s="126">
        <v>22.19</v>
      </c>
      <c r="F5646" s="127"/>
      <c r="G5646" s="127"/>
      <c r="H5646" s="127"/>
      <c r="I5646" s="128"/>
      <c r="K5646" s="55" t="s">
        <v>1034</v>
      </c>
      <c r="L5646" s="129">
        <v>2.690240218E9</v>
      </c>
      <c r="M5646" s="99">
        <v>0.99</v>
      </c>
    </row>
    <row r="5647">
      <c r="A5647" s="122" t="s">
        <v>11794</v>
      </c>
      <c r="B5647" s="123">
        <v>921082.0</v>
      </c>
      <c r="C5647" s="124" t="s">
        <v>11795</v>
      </c>
      <c r="D5647" s="125"/>
      <c r="E5647" s="126">
        <v>22.23</v>
      </c>
      <c r="F5647" s="127"/>
      <c r="G5647" s="127"/>
      <c r="H5647" s="127"/>
      <c r="I5647" s="128"/>
      <c r="K5647" s="105" t="str">
        <f>IFERROR(__xludf.DUMMYFUNCTION("if(A5647="""","""",substitute(SUBSTITUTE(index(importhtml(""http://finviz.com/quote.ashx?t=""&amp;A5647,""table"",10),7,2),""*"",""""),""-"",""0.00""))"),"Loading...")</f>
        <v>Loading...</v>
      </c>
      <c r="L5647" s="129">
        <v>2.349559787E9</v>
      </c>
      <c r="M5647" s="99">
        <v>1.22</v>
      </c>
    </row>
    <row r="5648">
      <c r="A5648" s="122" t="s">
        <v>11796</v>
      </c>
      <c r="B5648" s="123">
        <v>1624322.0</v>
      </c>
      <c r="C5648" s="124" t="s">
        <v>11797</v>
      </c>
      <c r="D5648" s="125"/>
      <c r="E5648" s="126">
        <v>22.24</v>
      </c>
      <c r="F5648" s="127"/>
      <c r="G5648" s="127"/>
      <c r="H5648" s="127"/>
      <c r="I5648" s="128"/>
      <c r="K5648" s="105" t="str">
        <f>IFERROR(__xludf.DUMMYFUNCTION("if(A5648="""","""",substitute(SUBSTITUTE(index(importhtml(""http://finviz.com/quote.ashx?t=""&amp;A5648,""table"",10),7,2),""*"",""""),""-"",""0.00""))"),"Loading...")</f>
        <v>Loading...</v>
      </c>
      <c r="L5648" s="129">
        <v>5.63654112E8</v>
      </c>
      <c r="M5648" s="99">
        <v>0.96</v>
      </c>
    </row>
    <row r="5649">
      <c r="A5649" s="122" t="s">
        <v>11798</v>
      </c>
      <c r="B5649" s="123">
        <v>1438077.0</v>
      </c>
      <c r="C5649" s="124" t="s">
        <v>11799</v>
      </c>
      <c r="D5649" s="125"/>
      <c r="E5649" s="126">
        <v>22.24</v>
      </c>
      <c r="F5649" s="127"/>
      <c r="G5649" s="127"/>
      <c r="H5649" s="127"/>
      <c r="I5649" s="128"/>
      <c r="K5649" s="105" t="str">
        <f>IFERROR(__xludf.DUMMYFUNCTION("if(A5649="""","""",substitute(SUBSTITUTE(index(importhtml(""http://finviz.com/quote.ashx?t=""&amp;A5649,""table"",10),7,2),""*"",""""),""-"",""0.00""))"),"Loading...")</f>
        <v>Loading...</v>
      </c>
      <c r="L5649" s="129">
        <v>1.4189241E10</v>
      </c>
      <c r="M5649" s="99">
        <f>IFERROR(__xludf.DUMMYFUNCTION("GOOGLEFINANCE(A5649,""beta"")"),0.99)</f>
        <v>0.99</v>
      </c>
    </row>
    <row r="5650">
      <c r="A5650" s="122" t="s">
        <v>11800</v>
      </c>
      <c r="B5650" s="123">
        <v>1571329.0</v>
      </c>
      <c r="C5650" s="124" t="s">
        <v>11801</v>
      </c>
      <c r="D5650" s="125"/>
      <c r="E5650" s="126">
        <v>22.25</v>
      </c>
      <c r="F5650" s="127"/>
      <c r="G5650" s="127"/>
      <c r="H5650" s="127"/>
      <c r="I5650" s="128"/>
      <c r="K5650" s="105" t="str">
        <f>IFERROR(__xludf.DUMMYFUNCTION("if(A5650="""","""",substitute(SUBSTITUTE(index(importhtml(""http://finviz.com/quote.ashx?t=""&amp;A5650,""table"",10),7,2),""*"",""""),""-"",""0.00""))"),"Loading...")</f>
        <v>Loading...</v>
      </c>
      <c r="L5650" s="129">
        <v>5.9539665E7</v>
      </c>
      <c r="M5650" s="99">
        <v>1.34</v>
      </c>
    </row>
    <row r="5651">
      <c r="A5651" s="122" t="s">
        <v>11802</v>
      </c>
      <c r="B5651" s="123">
        <v>1345126.0</v>
      </c>
      <c r="C5651" s="124" t="s">
        <v>11803</v>
      </c>
      <c r="D5651" s="125"/>
      <c r="E5651" s="126">
        <v>22.25</v>
      </c>
      <c r="F5651" s="127"/>
      <c r="G5651" s="127"/>
      <c r="H5651" s="127"/>
      <c r="I5651" s="128"/>
      <c r="K5651" s="105" t="str">
        <f>IFERROR(__xludf.DUMMYFUNCTION("if(A5651="""","""",substitute(SUBSTITUTE(index(importhtml(""http://finviz.com/quote.ashx?t=""&amp;A5651,""table"",10),7,2),""*"",""""),""-"",""0.00""))"),"Loading...")</f>
        <v>Loading...</v>
      </c>
      <c r="L5651" s="129">
        <v>1.598002565E9</v>
      </c>
      <c r="M5651" s="99">
        <v>1.77</v>
      </c>
    </row>
    <row r="5652">
      <c r="A5652" s="122" t="s">
        <v>11804</v>
      </c>
      <c r="B5652" s="123">
        <v>1492074.0</v>
      </c>
      <c r="C5652" s="124" t="s">
        <v>11805</v>
      </c>
      <c r="D5652" s="125"/>
      <c r="E5652" s="126">
        <v>22.25</v>
      </c>
      <c r="F5652" s="127"/>
      <c r="G5652" s="127"/>
      <c r="H5652" s="127"/>
      <c r="I5652" s="128"/>
      <c r="K5652" s="105" t="str">
        <f>IFERROR(__xludf.DUMMYFUNCTION("if(A5652="""","""",substitute(SUBSTITUTE(index(importhtml(""http://finviz.com/quote.ashx?t=""&amp;A5652,""table"",10),7,2),""*"",""""),""-"",""0.00""))"),"Loading...")</f>
        <v>Loading...</v>
      </c>
      <c r="L5652" s="129">
        <v>2.733227E9</v>
      </c>
      <c r="M5652" s="99" t="str">
        <f>IFERROR(__xludf.DUMMYFUNCTION("GOOGLEFINANCE(A5652,""beta"")"),"#N/A")</f>
        <v>#N/A</v>
      </c>
    </row>
    <row r="5653">
      <c r="A5653" s="122" t="s">
        <v>11806</v>
      </c>
      <c r="B5653" s="123">
        <v>1379329.0</v>
      </c>
      <c r="C5653" s="124" t="s">
        <v>11807</v>
      </c>
      <c r="D5653" s="125"/>
      <c r="E5653" s="126">
        <v>22.25</v>
      </c>
      <c r="F5653" s="127"/>
      <c r="G5653" s="127"/>
      <c r="H5653" s="127"/>
      <c r="I5653" s="128"/>
      <c r="K5653" s="105" t="str">
        <f>IFERROR(__xludf.DUMMYFUNCTION("if(A5653="""","""",substitute(SUBSTITUTE(index(importhtml(""http://finviz.com/quote.ashx?t=""&amp;A5653,""table"",10),7,2),""*"",""""),""-"",""0.00""))"),"Loading...")</f>
        <v>Loading...</v>
      </c>
      <c r="L5653" s="129" t="e">
        <v>#N/A</v>
      </c>
      <c r="M5653" s="99">
        <v>0.26</v>
      </c>
    </row>
    <row r="5654">
      <c r="A5654" s="122" t="s">
        <v>11808</v>
      </c>
      <c r="B5654" s="123">
        <v>1102238.0</v>
      </c>
      <c r="C5654" s="124" t="s">
        <v>11809</v>
      </c>
      <c r="D5654" s="125"/>
      <c r="E5654" s="126">
        <v>22.26</v>
      </c>
      <c r="F5654" s="127"/>
      <c r="G5654" s="127"/>
      <c r="H5654" s="127"/>
      <c r="I5654" s="128"/>
      <c r="K5654" s="55" t="s">
        <v>1034</v>
      </c>
      <c r="L5654" s="129">
        <v>3.59544414E8</v>
      </c>
      <c r="M5654" s="99">
        <v>0.75</v>
      </c>
    </row>
    <row r="5655">
      <c r="A5655" s="122" t="s">
        <v>11810</v>
      </c>
      <c r="B5655" s="123">
        <v>1590714.0</v>
      </c>
      <c r="C5655" s="124" t="s">
        <v>11811</v>
      </c>
      <c r="D5655" s="125"/>
      <c r="E5655" s="126">
        <v>22.26</v>
      </c>
      <c r="F5655" s="127"/>
      <c r="G5655" s="127"/>
      <c r="H5655" s="127"/>
      <c r="I5655" s="128"/>
      <c r="K5655" s="55" t="s">
        <v>6398</v>
      </c>
      <c r="L5655" s="129">
        <v>5.376152893E9</v>
      </c>
      <c r="M5655" s="99">
        <v>1.31</v>
      </c>
    </row>
    <row r="5656">
      <c r="A5656" s="122" t="s">
        <v>11812</v>
      </c>
      <c r="B5656" s="123">
        <v>1609804.0</v>
      </c>
      <c r="C5656" s="124" t="s">
        <v>11813</v>
      </c>
      <c r="D5656" s="125"/>
      <c r="E5656" s="126">
        <v>22.27</v>
      </c>
      <c r="F5656" s="127"/>
      <c r="G5656" s="127"/>
      <c r="H5656" s="127"/>
      <c r="I5656" s="128"/>
      <c r="K5656" s="105" t="str">
        <f>IFERROR(__xludf.DUMMYFUNCTION("if(A5656="""","""",substitute(SUBSTITUTE(index(importhtml(""http://finviz.com/quote.ashx?t=""&amp;A5656,""table"",10),7,2),""*"",""""),""-"",""0.00""))"),"Loading...")</f>
        <v>Loading...</v>
      </c>
      <c r="L5656" s="129">
        <v>1.292642801E9</v>
      </c>
      <c r="M5656" s="99">
        <v>1.64</v>
      </c>
    </row>
    <row r="5657">
      <c r="A5657" s="122" t="s">
        <v>11814</v>
      </c>
      <c r="B5657" s="123">
        <v>1500217.0</v>
      </c>
      <c r="C5657" s="124" t="s">
        <v>11815</v>
      </c>
      <c r="D5657" s="125"/>
      <c r="E5657" s="126">
        <v>22.28</v>
      </c>
      <c r="F5657" s="127"/>
      <c r="G5657" s="127"/>
      <c r="H5657" s="127"/>
      <c r="I5657" s="128"/>
      <c r="K5657" s="55" t="s">
        <v>11816</v>
      </c>
      <c r="L5657" s="129">
        <v>1.35294502E9</v>
      </c>
      <c r="M5657" s="99">
        <v>1.26</v>
      </c>
    </row>
    <row r="5658">
      <c r="A5658" s="122" t="s">
        <v>11817</v>
      </c>
      <c r="B5658" s="123">
        <v>1479615.0</v>
      </c>
      <c r="C5658" s="124" t="s">
        <v>11818</v>
      </c>
      <c r="D5658" s="125"/>
      <c r="E5658" s="126">
        <v>22.28</v>
      </c>
      <c r="F5658" s="127"/>
      <c r="G5658" s="127"/>
      <c r="H5658" s="127"/>
      <c r="I5658" s="128"/>
      <c r="K5658" s="105" t="str">
        <f>IFERROR(__xludf.DUMMYFUNCTION("if(A5658="""","""",substitute(SUBSTITUTE(index(importhtml(""http://finviz.com/quote.ashx?t=""&amp;A5658,""table"",10),7,2),""*"",""""),""-"",""0.00""))"),"Loading...")</f>
        <v>Loading...</v>
      </c>
      <c r="L5658" s="129">
        <v>8.341104E8</v>
      </c>
      <c r="M5658" s="99">
        <v>1.58</v>
      </c>
    </row>
    <row r="5659">
      <c r="A5659" s="122" t="s">
        <v>11819</v>
      </c>
      <c r="B5659" s="123">
        <v>921183.0</v>
      </c>
      <c r="C5659" s="124" t="s">
        <v>11820</v>
      </c>
      <c r="D5659" s="125"/>
      <c r="E5659" s="126">
        <v>22.29</v>
      </c>
      <c r="F5659" s="127"/>
      <c r="G5659" s="127"/>
      <c r="H5659" s="127"/>
      <c r="I5659" s="128"/>
      <c r="K5659" s="105" t="str">
        <f>IFERROR(__xludf.DUMMYFUNCTION("if(A5659="""","""",substitute(SUBSTITUTE(index(importhtml(""http://finviz.com/quote.ashx?t=""&amp;A5659,""table"",10),7,2),""*"",""""),""-"",""0.00""))"),"Loading...")</f>
        <v>Loading...</v>
      </c>
      <c r="L5659" s="129">
        <v>9.93667E7</v>
      </c>
      <c r="M5659" s="99">
        <v>0.2</v>
      </c>
    </row>
    <row r="5660">
      <c r="A5660" s="122" t="s">
        <v>11821</v>
      </c>
      <c r="B5660" s="123">
        <v>797721.0</v>
      </c>
      <c r="C5660" s="124" t="s">
        <v>11822</v>
      </c>
      <c r="D5660" s="125"/>
      <c r="E5660" s="126">
        <v>22.29</v>
      </c>
      <c r="F5660" s="127"/>
      <c r="G5660" s="127"/>
      <c r="H5660" s="127"/>
      <c r="I5660" s="128"/>
      <c r="K5660" s="105" t="str">
        <f>IFERROR(__xludf.DUMMYFUNCTION("if(A5660="""","""",substitute(SUBSTITUTE(index(importhtml(""http://finviz.com/quote.ashx?t=""&amp;A5660,""table"",10),7,2),""*"",""""),""-"",""0.00""))"),"Loading...")</f>
        <v>Loading...</v>
      </c>
      <c r="L5660" s="129">
        <v>2.775265601E9</v>
      </c>
      <c r="M5660" s="99">
        <v>1.4</v>
      </c>
    </row>
    <row r="5661">
      <c r="A5661" s="122" t="s">
        <v>11823</v>
      </c>
      <c r="B5661" s="123">
        <v>1708493.0</v>
      </c>
      <c r="C5661" s="124" t="s">
        <v>11824</v>
      </c>
      <c r="D5661" s="125"/>
      <c r="E5661" s="126">
        <v>22.33</v>
      </c>
      <c r="F5661" s="127"/>
      <c r="G5661" s="127"/>
      <c r="H5661" s="127"/>
      <c r="I5661" s="128"/>
      <c r="K5661" s="105" t="str">
        <f>IFERROR(__xludf.DUMMYFUNCTION("if(A5661="""","""",substitute(SUBSTITUTE(index(importhtml(""http://finviz.com/quote.ashx?t=""&amp;A5661,""table"",10),7,2),""*"",""""),""-"",""0.00""))"),"Loading...")</f>
        <v>Loading...</v>
      </c>
      <c r="L5661" s="129">
        <v>3.78097587E8</v>
      </c>
      <c r="M5661" s="99">
        <v>2.13</v>
      </c>
    </row>
    <row r="5662">
      <c r="A5662" s="122" t="s">
        <v>11825</v>
      </c>
      <c r="B5662" s="123">
        <v>1544522.0</v>
      </c>
      <c r="C5662" s="124" t="s">
        <v>11826</v>
      </c>
      <c r="D5662" s="125"/>
      <c r="E5662" s="126">
        <v>22.33</v>
      </c>
      <c r="F5662" s="127"/>
      <c r="G5662" s="127"/>
      <c r="H5662" s="127"/>
      <c r="I5662" s="128"/>
      <c r="K5662" s="105" t="str">
        <f>IFERROR(__xludf.DUMMYFUNCTION("if(A5662="""","""",substitute(SUBSTITUTE(index(importhtml(""http://finviz.com/quote.ashx?t=""&amp;A5662,""table"",10),7,2),""*"",""""),""-"",""0.00""))"),"Loading...")</f>
        <v>Loading...</v>
      </c>
      <c r="L5662" s="129">
        <v>6.593810046E9</v>
      </c>
      <c r="M5662" s="99">
        <f>IFERROR(__xludf.DUMMYFUNCTION("GOOGLEFINANCE(A5662,""beta"")"),0.9)</f>
        <v>0.9</v>
      </c>
    </row>
    <row r="5663">
      <c r="A5663" s="122" t="s">
        <v>11827</v>
      </c>
      <c r="B5663" s="123">
        <v>1437672.0</v>
      </c>
      <c r="C5663" s="124" t="s">
        <v>11828</v>
      </c>
      <c r="D5663" s="125"/>
      <c r="E5663" s="126">
        <v>22.34</v>
      </c>
      <c r="F5663" s="127"/>
      <c r="G5663" s="127"/>
      <c r="H5663" s="127"/>
      <c r="I5663" s="128"/>
      <c r="K5663" s="105" t="str">
        <f>IFERROR(__xludf.DUMMYFUNCTION("if(A5663="""","""",substitute(SUBSTITUTE(index(importhtml(""http://finviz.com/quote.ashx?t=""&amp;A5663,""table"",10),7,2),""*"",""""),""-"",""0.00""))"),"Loading...")</f>
        <v>Loading...</v>
      </c>
      <c r="L5663" s="129">
        <v>1.1368328639E10</v>
      </c>
      <c r="M5663" s="99">
        <v>1.29</v>
      </c>
    </row>
    <row r="5664">
      <c r="A5664" s="122" t="s">
        <v>11829</v>
      </c>
      <c r="B5664" s="123">
        <v>1781755.0</v>
      </c>
      <c r="C5664" s="124" t="s">
        <v>11830</v>
      </c>
      <c r="D5664" s="125"/>
      <c r="E5664" s="126">
        <v>22.36</v>
      </c>
      <c r="F5664" s="127"/>
      <c r="G5664" s="127"/>
      <c r="H5664" s="127"/>
      <c r="I5664" s="128"/>
      <c r="K5664" s="55" t="s">
        <v>1034</v>
      </c>
      <c r="L5664" s="129">
        <v>2.610507711E9</v>
      </c>
      <c r="M5664" s="99">
        <v>1.5</v>
      </c>
    </row>
    <row r="5665">
      <c r="A5665" s="122" t="s">
        <v>11831</v>
      </c>
      <c r="B5665" s="123">
        <v>25232.0</v>
      </c>
      <c r="C5665" s="124" t="s">
        <v>11832</v>
      </c>
      <c r="D5665" s="125"/>
      <c r="E5665" s="126">
        <v>22.36</v>
      </c>
      <c r="F5665" s="127"/>
      <c r="G5665" s="127"/>
      <c r="H5665" s="127"/>
      <c r="I5665" s="128"/>
      <c r="K5665" s="55" t="s">
        <v>10505</v>
      </c>
      <c r="L5665" s="129">
        <v>3.393660024E9</v>
      </c>
      <c r="M5665" s="99">
        <v>1.32</v>
      </c>
    </row>
    <row r="5666">
      <c r="A5666" s="122" t="s">
        <v>11833</v>
      </c>
      <c r="B5666" s="123">
        <v>1446597.0</v>
      </c>
      <c r="C5666" s="124" t="s">
        <v>11834</v>
      </c>
      <c r="D5666" s="125"/>
      <c r="E5666" s="126">
        <v>22.39</v>
      </c>
      <c r="F5666" s="127"/>
      <c r="G5666" s="127"/>
      <c r="H5666" s="127"/>
      <c r="I5666" s="128"/>
      <c r="K5666" s="105" t="str">
        <f>IFERROR(__xludf.DUMMYFUNCTION("if(A5666="""","""",substitute(SUBSTITUTE(index(importhtml(""http://finviz.com/quote.ashx?t=""&amp;A5666,""table"",10),7,2),""*"",""""),""-"",""0.00""))"),"Loading...")</f>
        <v>Loading...</v>
      </c>
      <c r="L5666" s="129">
        <v>2.098744674E12</v>
      </c>
      <c r="M5666" s="99">
        <v>-0.05</v>
      </c>
    </row>
    <row r="5667">
      <c r="A5667" s="122" t="s">
        <v>11835</v>
      </c>
      <c r="B5667" s="123">
        <v>736772.0</v>
      </c>
      <c r="C5667" s="124" t="s">
        <v>11836</v>
      </c>
      <c r="D5667" s="125"/>
      <c r="E5667" s="126">
        <v>22.4</v>
      </c>
      <c r="F5667" s="127"/>
      <c r="G5667" s="127"/>
      <c r="H5667" s="127"/>
      <c r="I5667" s="128"/>
      <c r="K5667" s="105" t="str">
        <f>IFERROR(__xludf.DUMMYFUNCTION("if(A5667="""","""",substitute(SUBSTITUTE(index(importhtml(""http://finviz.com/quote.ashx?t=""&amp;A5667,""table"",10),7,2),""*"",""""),""-"",""0.00""))"),"Loading...")</f>
        <v>Loading...</v>
      </c>
      <c r="L5667" s="129">
        <v>4.33182984E8</v>
      </c>
      <c r="M5667" s="99">
        <v>0.2</v>
      </c>
    </row>
    <row r="5668">
      <c r="A5668" s="122" t="s">
        <v>11837</v>
      </c>
      <c r="B5668" s="123">
        <v>1415311.0</v>
      </c>
      <c r="C5668" s="124" t="s">
        <v>11838</v>
      </c>
      <c r="D5668" s="125"/>
      <c r="E5668" s="126">
        <v>22.4</v>
      </c>
      <c r="F5668" s="127"/>
      <c r="G5668" s="127"/>
      <c r="H5668" s="127"/>
      <c r="I5668" s="128"/>
      <c r="K5668" s="105" t="str">
        <f>IFERROR(__xludf.DUMMYFUNCTION("if(A5668="""","""",substitute(SUBSTITUTE(index(importhtml(""http://finviz.com/quote.ashx?t=""&amp;A5668,""table"",10),7,2),""*"",""""),""-"",""0.00""))"),"Loading...")</f>
        <v>Loading...</v>
      </c>
      <c r="L5668" s="129" t="e">
        <v>#N/A</v>
      </c>
      <c r="M5668" s="99" t="str">
        <f>IFERROR(__xludf.DUMMYFUNCTION("GOOGLEFINANCE(A5668,""beta"")"),"#N/A")</f>
        <v>#N/A</v>
      </c>
    </row>
    <row r="5669">
      <c r="A5669" s="122" t="s">
        <v>11839</v>
      </c>
      <c r="B5669" s="123">
        <v>1368519.0</v>
      </c>
      <c r="C5669" s="124" t="s">
        <v>11840</v>
      </c>
      <c r="D5669" s="125"/>
      <c r="E5669" s="126">
        <v>22.42</v>
      </c>
      <c r="F5669" s="127"/>
      <c r="G5669" s="127"/>
      <c r="H5669" s="127"/>
      <c r="I5669" s="128"/>
      <c r="K5669" s="105" t="str">
        <f>IFERROR(__xludf.DUMMYFUNCTION("if(A5669="""","""",substitute(SUBSTITUTE(index(importhtml(""http://finviz.com/quote.ashx?t=""&amp;A5669,""table"",10),7,2),""*"",""""),""-"",""0.00""))"),"Loading...")</f>
        <v>Loading...</v>
      </c>
      <c r="L5669" s="129">
        <v>6.371838E8</v>
      </c>
      <c r="M5669" s="99">
        <v>1.57</v>
      </c>
    </row>
    <row r="5670">
      <c r="A5670" s="122" t="s">
        <v>11841</v>
      </c>
      <c r="B5670" s="123">
        <v>73124.0</v>
      </c>
      <c r="C5670" s="124" t="s">
        <v>11842</v>
      </c>
      <c r="D5670" s="125"/>
      <c r="E5670" s="126">
        <v>22.43</v>
      </c>
      <c r="F5670" s="127"/>
      <c r="G5670" s="127"/>
      <c r="H5670" s="127"/>
      <c r="I5670" s="128"/>
      <c r="K5670" s="105" t="str">
        <f>IFERROR(__xludf.DUMMYFUNCTION("if(A5670="""","""",substitute(SUBSTITUTE(index(importhtml(""http://finviz.com/quote.ashx?t=""&amp;A5670,""table"",10),7,2),""*"",""""),""-"",""0.00""))"),"Loading...")</f>
        <v>Loading...</v>
      </c>
      <c r="L5670" s="129">
        <v>1.6488019278E10</v>
      </c>
      <c r="M5670" s="99">
        <v>0.57</v>
      </c>
    </row>
    <row r="5671">
      <c r="A5671" s="122" t="s">
        <v>11843</v>
      </c>
      <c r="B5671" s="123">
        <v>1490349.0</v>
      </c>
      <c r="C5671" s="124" t="s">
        <v>11844</v>
      </c>
      <c r="D5671" s="125"/>
      <c r="E5671" s="126">
        <v>22.44</v>
      </c>
      <c r="F5671" s="127"/>
      <c r="G5671" s="127"/>
      <c r="H5671" s="127"/>
      <c r="I5671" s="128"/>
      <c r="K5671" s="105" t="str">
        <f>IFERROR(__xludf.DUMMYFUNCTION("if(A5671="""","""",substitute(SUBSTITUTE(index(importhtml(""http://finviz.com/quote.ashx?t=""&amp;A5671,""table"",10),7,2),""*"",""""),""-"",""0.00""))"),"Loading...")</f>
        <v>Loading...</v>
      </c>
      <c r="L5671" s="129">
        <v>9.3113495E7</v>
      </c>
      <c r="M5671" s="99">
        <f>IFERROR(__xludf.DUMMYFUNCTION("GOOGLEFINANCE(A5671,""beta"")"),0.0)</f>
        <v>0</v>
      </c>
    </row>
    <row r="5672">
      <c r="A5672" s="122" t="s">
        <v>11845</v>
      </c>
      <c r="B5672" s="123">
        <v>1636289.0</v>
      </c>
      <c r="C5672" s="124" t="s">
        <v>11846</v>
      </c>
      <c r="D5672" s="125"/>
      <c r="E5672" s="126">
        <v>22.45</v>
      </c>
      <c r="F5672" s="127"/>
      <c r="G5672" s="127"/>
      <c r="H5672" s="127"/>
      <c r="I5672" s="128"/>
      <c r="K5672" s="55" t="s">
        <v>10530</v>
      </c>
      <c r="L5672" s="129">
        <v>2.32697849E8</v>
      </c>
      <c r="M5672" s="99">
        <v>1.43</v>
      </c>
    </row>
    <row r="5673">
      <c r="A5673" s="122" t="s">
        <v>11847</v>
      </c>
      <c r="B5673" s="123">
        <v>1590584.0</v>
      </c>
      <c r="C5673" s="124" t="s">
        <v>11848</v>
      </c>
      <c r="D5673" s="125"/>
      <c r="E5673" s="126">
        <v>22.45</v>
      </c>
      <c r="F5673" s="127"/>
      <c r="G5673" s="127"/>
      <c r="H5673" s="127"/>
      <c r="I5673" s="128"/>
      <c r="K5673" s="105" t="str">
        <f>IFERROR(__xludf.DUMMYFUNCTION("if(A5673="""","""",substitute(SUBSTITUTE(index(importhtml(""http://finviz.com/quote.ashx?t=""&amp;A5673,""table"",10),7,2),""*"",""""),""-"",""0.00""))"),"Loading...")</f>
        <v>Loading...</v>
      </c>
      <c r="L5673" s="129">
        <v>3.31045466E8</v>
      </c>
      <c r="M5673" s="99">
        <v>2.17</v>
      </c>
    </row>
    <row r="5674">
      <c r="A5674" s="122" t="s">
        <v>11849</v>
      </c>
      <c r="B5674" s="123">
        <v>798941.0</v>
      </c>
      <c r="C5674" s="124" t="s">
        <v>11850</v>
      </c>
      <c r="D5674" s="125"/>
      <c r="E5674" s="126">
        <v>22.45</v>
      </c>
      <c r="F5674" s="127"/>
      <c r="G5674" s="127"/>
      <c r="H5674" s="127"/>
      <c r="I5674" s="128"/>
      <c r="K5674" s="105" t="str">
        <f>IFERROR(__xludf.DUMMYFUNCTION("if(A5674="""","""",substitute(SUBSTITUTE(index(importhtml(""http://finviz.com/quote.ashx?t=""&amp;A5674,""table"",10),7,2),""*"",""""),""-"",""0.00""))"),"Loading...")</f>
        <v>Loading...</v>
      </c>
      <c r="L5674" s="129">
        <v>2.3402032908E10</v>
      </c>
      <c r="M5674" s="99">
        <v>0.76</v>
      </c>
    </row>
    <row r="5675">
      <c r="A5675" s="122" t="s">
        <v>11851</v>
      </c>
      <c r="B5675" s="123">
        <v>1581068.0</v>
      </c>
      <c r="C5675" s="124" t="s">
        <v>11852</v>
      </c>
      <c r="D5675" s="125"/>
      <c r="E5675" s="126">
        <v>22.46</v>
      </c>
      <c r="F5675" s="127"/>
      <c r="G5675" s="127"/>
      <c r="H5675" s="127"/>
      <c r="I5675" s="128"/>
      <c r="K5675" s="55" t="s">
        <v>10405</v>
      </c>
      <c r="L5675" s="129">
        <v>6.751392622E9</v>
      </c>
      <c r="M5675" s="99">
        <v>1.6</v>
      </c>
    </row>
    <row r="5676">
      <c r="A5676" s="122" t="s">
        <v>11853</v>
      </c>
      <c r="B5676" s="123">
        <v>101778.0</v>
      </c>
      <c r="C5676" s="124" t="s">
        <v>11854</v>
      </c>
      <c r="D5676" s="125"/>
      <c r="E5676" s="126">
        <v>22.46</v>
      </c>
      <c r="F5676" s="127"/>
      <c r="G5676" s="127"/>
      <c r="H5676" s="127"/>
      <c r="I5676" s="128"/>
      <c r="K5676" s="105" t="str">
        <f>IFERROR(__xludf.DUMMYFUNCTION("if(A5676="""","""",substitute(SUBSTITUTE(index(importhtml(""http://finviz.com/quote.ashx?t=""&amp;A5676,""table"",10),7,2),""*"",""""),""-"",""0.00""))"),"Loading...")</f>
        <v>Loading...</v>
      </c>
      <c r="L5676" s="129">
        <v>1.3144658314E10</v>
      </c>
      <c r="M5676" s="99">
        <v>2.22</v>
      </c>
    </row>
    <row r="5677">
      <c r="A5677" s="122" t="s">
        <v>11855</v>
      </c>
      <c r="B5677" s="123">
        <v>1600520.0</v>
      </c>
      <c r="C5677" s="124" t="s">
        <v>11856</v>
      </c>
      <c r="D5677" s="125"/>
      <c r="E5677" s="126">
        <v>22.46</v>
      </c>
      <c r="F5677" s="127"/>
      <c r="G5677" s="127"/>
      <c r="H5677" s="127"/>
      <c r="I5677" s="128"/>
      <c r="K5677" s="105" t="str">
        <f>IFERROR(__xludf.DUMMYFUNCTION("if(A5677="""","""",substitute(SUBSTITUTE(index(importhtml(""http://finviz.com/quote.ashx?t=""&amp;A5677,""table"",10),7,2),""*"",""""),""-"",""0.00""))"),"Loading...")</f>
        <v>Loading...</v>
      </c>
      <c r="L5677" s="129">
        <v>1.7686229918E12</v>
      </c>
      <c r="M5677" s="99">
        <v>0.52</v>
      </c>
    </row>
    <row r="5678">
      <c r="A5678" s="122" t="s">
        <v>11857</v>
      </c>
      <c r="B5678" s="123">
        <v>748691.0</v>
      </c>
      <c r="C5678" s="124" t="s">
        <v>11858</v>
      </c>
      <c r="D5678" s="125"/>
      <c r="E5678" s="126">
        <v>22.47</v>
      </c>
      <c r="F5678" s="127"/>
      <c r="G5678" s="127"/>
      <c r="H5678" s="127"/>
      <c r="I5678" s="128"/>
      <c r="K5678" s="55" t="s">
        <v>1034</v>
      </c>
      <c r="L5678" s="129">
        <v>1.10587674E8</v>
      </c>
      <c r="M5678" s="99">
        <v>1.16</v>
      </c>
    </row>
    <row r="5679">
      <c r="A5679" s="122" t="s">
        <v>11859</v>
      </c>
      <c r="B5679" s="123">
        <v>33533.0</v>
      </c>
      <c r="C5679" s="124" t="s">
        <v>11860</v>
      </c>
      <c r="D5679" s="125"/>
      <c r="E5679" s="126">
        <v>22.47</v>
      </c>
      <c r="F5679" s="127"/>
      <c r="G5679" s="127"/>
      <c r="H5679" s="127"/>
      <c r="I5679" s="128"/>
      <c r="K5679" s="55" t="s">
        <v>6536</v>
      </c>
      <c r="L5679" s="129">
        <v>6.0818019E7</v>
      </c>
      <c r="M5679" s="99">
        <v>0.14</v>
      </c>
    </row>
    <row r="5680">
      <c r="A5680" s="122" t="s">
        <v>11861</v>
      </c>
      <c r="B5680" s="123">
        <v>1038773.0</v>
      </c>
      <c r="C5680" s="124" t="s">
        <v>11862</v>
      </c>
      <c r="D5680" s="125"/>
      <c r="E5680" s="126">
        <v>22.47</v>
      </c>
      <c r="F5680" s="127"/>
      <c r="G5680" s="127"/>
      <c r="H5680" s="127"/>
      <c r="I5680" s="128"/>
      <c r="K5680" s="105" t="str">
        <f>IFERROR(__xludf.DUMMYFUNCTION("if(A5680="""","""",substitute(SUBSTITUTE(index(importhtml(""http://finviz.com/quote.ashx?t=""&amp;A5680,""table"",10),7,2),""*"",""""),""-"",""0.00""))"),"Loading...")</f>
        <v>Loading...</v>
      </c>
      <c r="L5680" s="129">
        <v>3.81739897E8</v>
      </c>
      <c r="M5680" s="99">
        <v>0.73</v>
      </c>
    </row>
    <row r="5681">
      <c r="A5681" s="122" t="s">
        <v>11863</v>
      </c>
      <c r="B5681" s="123">
        <v>1604665.0</v>
      </c>
      <c r="C5681" s="124" t="s">
        <v>11864</v>
      </c>
      <c r="D5681" s="125"/>
      <c r="E5681" s="126">
        <v>22.47</v>
      </c>
      <c r="F5681" s="127"/>
      <c r="G5681" s="127"/>
      <c r="H5681" s="127"/>
      <c r="I5681" s="128"/>
      <c r="K5681" s="105" t="str">
        <f>IFERROR(__xludf.DUMMYFUNCTION("if(A5681="""","""",substitute(SUBSTITUTE(index(importhtml(""http://finviz.com/quote.ashx?t=""&amp;A5681,""table"",10),7,2),""*"",""""),""-"",""0.00""))"),"Loading...")</f>
        <v>Loading...</v>
      </c>
      <c r="L5681" s="129">
        <v>7.91576056E8</v>
      </c>
      <c r="M5681" s="99">
        <v>1.1</v>
      </c>
    </row>
    <row r="5682">
      <c r="A5682" s="122" t="s">
        <v>11865</v>
      </c>
      <c r="B5682" s="123">
        <v>1259429.0</v>
      </c>
      <c r="C5682" s="124" t="s">
        <v>11866</v>
      </c>
      <c r="D5682" s="125"/>
      <c r="E5682" s="126">
        <v>22.5</v>
      </c>
      <c r="F5682" s="127"/>
      <c r="G5682" s="127"/>
      <c r="H5682" s="127"/>
      <c r="I5682" s="128"/>
      <c r="K5682" s="105" t="str">
        <f>IFERROR(__xludf.DUMMYFUNCTION("if(A5682="""","""",substitute(SUBSTITUTE(index(importhtml(""http://finviz.com/quote.ashx?t=""&amp;A5682,""table"",10),7,2),""*"",""""),""-"",""0.00""))"),"Loading...")</f>
        <v>Loading...</v>
      </c>
      <c r="L5682" s="129">
        <v>1.7729549E8</v>
      </c>
      <c r="M5682" s="99">
        <f>IFERROR(__xludf.DUMMYFUNCTION("GOOGLEFINANCE(A5682,""beta"")"),0.09)</f>
        <v>0.09</v>
      </c>
    </row>
    <row r="5683">
      <c r="A5683" s="122" t="s">
        <v>11867</v>
      </c>
      <c r="B5683" s="123">
        <v>1376986.0</v>
      </c>
      <c r="C5683" s="124" t="s">
        <v>11868</v>
      </c>
      <c r="D5683" s="125"/>
      <c r="E5683" s="126">
        <v>22.5</v>
      </c>
      <c r="F5683" s="127"/>
      <c r="G5683" s="127"/>
      <c r="H5683" s="127"/>
      <c r="I5683" s="128"/>
      <c r="K5683" s="105" t="str">
        <f>IFERROR(__xludf.DUMMYFUNCTION("if(A5683="""","""",substitute(SUBSTITUTE(index(importhtml(""http://finviz.com/quote.ashx?t=""&amp;A5683,""table"",10),7,2),""*"",""""),""-"",""0.00""))"),"Loading...")</f>
        <v>Loading...</v>
      </c>
      <c r="L5683" s="129">
        <v>2.463945E8</v>
      </c>
      <c r="M5683" s="99">
        <v>0.1</v>
      </c>
    </row>
    <row r="5684">
      <c r="A5684" s="122" t="s">
        <v>11869</v>
      </c>
      <c r="B5684" s="123">
        <v>1604174.0</v>
      </c>
      <c r="C5684" s="124" t="s">
        <v>11870</v>
      </c>
      <c r="D5684" s="125"/>
      <c r="E5684" s="126">
        <v>22.5</v>
      </c>
      <c r="F5684" s="127"/>
      <c r="G5684" s="127"/>
      <c r="H5684" s="127"/>
      <c r="I5684" s="128"/>
      <c r="K5684" s="105" t="str">
        <f>IFERROR(__xludf.DUMMYFUNCTION("if(A5684="""","""",substitute(SUBSTITUTE(index(importhtml(""http://finviz.com/quote.ashx?t=""&amp;A5684,""table"",10),7,2),""*"",""""),""-"",""0.00""))"),"Loading...")</f>
        <v>Loading...</v>
      </c>
      <c r="L5684" s="129">
        <v>7.25665242E8</v>
      </c>
      <c r="M5684" s="99">
        <f>IFERROR(__xludf.DUMMYFUNCTION("GOOGLEFINANCE(A5684,""beta"")"),0.16)</f>
        <v>0.16</v>
      </c>
    </row>
    <row r="5685">
      <c r="A5685" s="122" t="s">
        <v>11871</v>
      </c>
      <c r="B5685" s="123">
        <v>1704292.0</v>
      </c>
      <c r="C5685" s="124" t="s">
        <v>11872</v>
      </c>
      <c r="D5685" s="125"/>
      <c r="E5685" s="126">
        <v>22.5</v>
      </c>
      <c r="F5685" s="127"/>
      <c r="G5685" s="127"/>
      <c r="H5685" s="127"/>
      <c r="I5685" s="128"/>
      <c r="K5685" s="105" t="str">
        <f>IFERROR(__xludf.DUMMYFUNCTION("if(A5685="""","""",substitute(SUBSTITUTE(index(importhtml(""http://finviz.com/quote.ashx?t=""&amp;A5685,""table"",10),7,2),""*"",""""),""-"",""0.00""))"),"Loading...")</f>
        <v>Loading...</v>
      </c>
      <c r="L5685" s="129">
        <v>2.207041875E9</v>
      </c>
      <c r="M5685" s="99">
        <v>1.16</v>
      </c>
    </row>
    <row r="5686">
      <c r="A5686" s="122" t="s">
        <v>11873</v>
      </c>
      <c r="B5686" s="123">
        <v>903419.0</v>
      </c>
      <c r="C5686" s="124" t="s">
        <v>11874</v>
      </c>
      <c r="D5686" s="125"/>
      <c r="E5686" s="126">
        <v>22.51</v>
      </c>
      <c r="F5686" s="127"/>
      <c r="G5686" s="127"/>
      <c r="H5686" s="127"/>
      <c r="I5686" s="128"/>
      <c r="K5686" s="105" t="str">
        <f>IFERROR(__xludf.DUMMYFUNCTION("if(A5686="""","""",substitute(SUBSTITUTE(index(importhtml(""http://finviz.com/quote.ashx?t=""&amp;A5686,""table"",10),7,2),""*"",""""),""-"",""0.00""))"),"Loading...")</f>
        <v>Loading...</v>
      </c>
      <c r="L5686" s="129">
        <v>4.4421392E8</v>
      </c>
      <c r="M5686" s="99">
        <v>0.63</v>
      </c>
    </row>
    <row r="5687">
      <c r="A5687" s="122" t="s">
        <v>11875</v>
      </c>
      <c r="B5687" s="123">
        <v>1495222.0</v>
      </c>
      <c r="C5687" s="124" t="s">
        <v>11876</v>
      </c>
      <c r="D5687" s="125"/>
      <c r="E5687" s="126">
        <v>22.52</v>
      </c>
      <c r="F5687" s="127"/>
      <c r="G5687" s="127"/>
      <c r="H5687" s="127"/>
      <c r="I5687" s="128"/>
      <c r="K5687" s="105" t="str">
        <f>IFERROR(__xludf.DUMMYFUNCTION("if(A5687="""","""",substitute(SUBSTITUTE(index(importhtml(""http://finviz.com/quote.ashx?t=""&amp;A5687,""table"",10),7,2),""*"",""""),""-"",""0.00""))"),"Loading...")</f>
        <v>Loading...</v>
      </c>
      <c r="L5687" s="129">
        <v>1.168272037E9</v>
      </c>
      <c r="M5687" s="99">
        <f>IFERROR(__xludf.DUMMYFUNCTION("GOOGLEFINANCE(A5687,""beta"")"),0.16)</f>
        <v>0.16</v>
      </c>
    </row>
    <row r="5688">
      <c r="A5688" s="122" t="s">
        <v>11877</v>
      </c>
      <c r="B5688" s="123">
        <v>917491.0</v>
      </c>
      <c r="C5688" s="124" t="s">
        <v>11878</v>
      </c>
      <c r="D5688" s="125"/>
      <c r="E5688" s="126">
        <v>22.53</v>
      </c>
      <c r="F5688" s="127"/>
      <c r="G5688" s="127"/>
      <c r="H5688" s="127"/>
      <c r="I5688" s="128"/>
      <c r="K5688" s="105" t="str">
        <f>IFERROR(__xludf.DUMMYFUNCTION("if(A5688="""","""",substitute(SUBSTITUTE(index(importhtml(""http://finviz.com/quote.ashx?t=""&amp;A5688,""table"",10),7,2),""*"",""""),""-"",""0.00""))"),"Loading...")</f>
        <v>Loading...</v>
      </c>
      <c r="L5688" s="129">
        <v>4.27039265E8</v>
      </c>
      <c r="M5688" s="99">
        <v>1.43</v>
      </c>
    </row>
    <row r="5689">
      <c r="A5689" s="122" t="s">
        <v>11879</v>
      </c>
      <c r="B5689" s="123">
        <v>877422.0</v>
      </c>
      <c r="C5689" s="124" t="s">
        <v>11880</v>
      </c>
      <c r="D5689" s="125"/>
      <c r="E5689" s="126">
        <v>22.55</v>
      </c>
      <c r="F5689" s="127"/>
      <c r="G5689" s="127"/>
      <c r="H5689" s="127"/>
      <c r="I5689" s="128"/>
      <c r="K5689" s="105" t="str">
        <f>IFERROR(__xludf.DUMMYFUNCTION("if(A5689="""","""",substitute(SUBSTITUTE(index(importhtml(""http://finviz.com/quote.ashx?t=""&amp;A5689,""table"",10),7,2),""*"",""""),""-"",""0.00""))"),"Loading...")</f>
        <v>Loading...</v>
      </c>
      <c r="L5689" s="129">
        <v>7.80765085E8</v>
      </c>
      <c r="M5689" s="99">
        <v>0.53</v>
      </c>
    </row>
    <row r="5690">
      <c r="A5690" s="122" t="s">
        <v>11881</v>
      </c>
      <c r="B5690" s="123">
        <v>1161125.0</v>
      </c>
      <c r="C5690" s="124" t="s">
        <v>11882</v>
      </c>
      <c r="D5690" s="125"/>
      <c r="E5690" s="126">
        <v>22.56</v>
      </c>
      <c r="F5690" s="127"/>
      <c r="G5690" s="127"/>
      <c r="H5690" s="127"/>
      <c r="I5690" s="128"/>
      <c r="K5690" s="55" t="s">
        <v>11883</v>
      </c>
      <c r="L5690" s="129">
        <v>1.1395949106E10</v>
      </c>
      <c r="M5690" s="99">
        <v>0.41</v>
      </c>
    </row>
    <row r="5691">
      <c r="A5691" s="122" t="s">
        <v>11884</v>
      </c>
      <c r="B5691" s="123">
        <v>1517413.0</v>
      </c>
      <c r="C5691" s="124" t="s">
        <v>11885</v>
      </c>
      <c r="D5691" s="125"/>
      <c r="E5691" s="126">
        <v>22.58</v>
      </c>
      <c r="F5691" s="127"/>
      <c r="G5691" s="127"/>
      <c r="H5691" s="127"/>
      <c r="I5691" s="128"/>
      <c r="K5691" s="105" t="str">
        <f>IFERROR(__xludf.DUMMYFUNCTION("if(A5691="""","""",substitute(SUBSTITUTE(index(importhtml(""http://finviz.com/quote.ashx?t=""&amp;A5691,""table"",10),7,2),""*"",""""),""-"",""0.00""))"),"Loading...")</f>
        <v>Loading...</v>
      </c>
      <c r="L5691" s="129">
        <v>2.95346399E9</v>
      </c>
      <c r="M5691" s="99">
        <v>1.33</v>
      </c>
    </row>
    <row r="5692">
      <c r="A5692" s="122" t="s">
        <v>11886</v>
      </c>
      <c r="B5692" s="123">
        <v>78150.0</v>
      </c>
      <c r="C5692" s="124" t="s">
        <v>11887</v>
      </c>
      <c r="D5692" s="125"/>
      <c r="E5692" s="126">
        <v>22.59</v>
      </c>
      <c r="F5692" s="127"/>
      <c r="G5692" s="127"/>
      <c r="H5692" s="127"/>
      <c r="I5692" s="128"/>
      <c r="K5692" s="105" t="str">
        <f>IFERROR(__xludf.DUMMYFUNCTION("if(A5692="""","""",substitute(SUBSTITUTE(index(importhtml(""http://finviz.com/quote.ashx?t=""&amp;A5692,""table"",10),7,2),""*"",""""),""-"",""0.00""))"),"Loading...")</f>
        <v>Loading...</v>
      </c>
      <c r="L5692" s="129">
        <v>4.87528799E9</v>
      </c>
      <c r="M5692" s="99">
        <v>0.54</v>
      </c>
    </row>
    <row r="5693">
      <c r="A5693" s="122" t="s">
        <v>11888</v>
      </c>
      <c r="B5693" s="123">
        <v>1716951.0</v>
      </c>
      <c r="C5693" s="124" t="s">
        <v>11889</v>
      </c>
      <c r="D5693" s="125"/>
      <c r="E5693" s="126">
        <v>22.61</v>
      </c>
      <c r="F5693" s="127"/>
      <c r="G5693" s="127"/>
      <c r="H5693" s="127"/>
      <c r="I5693" s="128"/>
      <c r="K5693" s="105" t="str">
        <f>IFERROR(__xludf.DUMMYFUNCTION("if(A5693="""","""",substitute(SUBSTITUTE(index(importhtml(""http://finviz.com/quote.ashx?t=""&amp;A5693,""table"",10),7,2),""*"",""""),""-"",""0.00""))"),"Loading...")</f>
        <v>Loading...</v>
      </c>
      <c r="L5693" s="129">
        <v>1.1046405E8</v>
      </c>
      <c r="M5693" s="99">
        <f>IFERROR(__xludf.DUMMYFUNCTION("GOOGLEFINANCE(A5693,""beta"")"),0.05)</f>
        <v>0.05</v>
      </c>
    </row>
    <row r="5694">
      <c r="A5694" s="122" t="s">
        <v>11890</v>
      </c>
      <c r="B5694" s="123">
        <v>49196.0</v>
      </c>
      <c r="C5694" s="124" t="s">
        <v>11891</v>
      </c>
      <c r="D5694" s="125"/>
      <c r="E5694" s="126">
        <v>22.62</v>
      </c>
      <c r="F5694" s="127"/>
      <c r="G5694" s="127"/>
      <c r="H5694" s="127"/>
      <c r="I5694" s="128"/>
      <c r="K5694" s="105" t="str">
        <f>IFERROR(__xludf.DUMMYFUNCTION("if(A5694="""","""",substitute(SUBSTITUTE(index(importhtml(""http://finviz.com/quote.ashx?t=""&amp;A5694,""table"",10),7,2),""*"",""""),""-"",""0.00""))"),"Loading...")</f>
        <v>Loading...</v>
      </c>
      <c r="L5694" s="129">
        <v>1.823434902E10</v>
      </c>
      <c r="M5694" s="99">
        <v>0.47</v>
      </c>
    </row>
    <row r="5695">
      <c r="A5695" s="122" t="s">
        <v>11892</v>
      </c>
      <c r="B5695" s="123">
        <v>1110805.0</v>
      </c>
      <c r="C5695" s="124" t="s">
        <v>11893</v>
      </c>
      <c r="D5695" s="125"/>
      <c r="E5695" s="126">
        <v>22.64</v>
      </c>
      <c r="F5695" s="127"/>
      <c r="G5695" s="127"/>
      <c r="H5695" s="127"/>
      <c r="I5695" s="128"/>
      <c r="K5695" s="138" t="s">
        <v>11894</v>
      </c>
      <c r="L5695" s="129">
        <v>2.850274043E9</v>
      </c>
      <c r="M5695" s="99">
        <v>1.7</v>
      </c>
    </row>
    <row r="5696">
      <c r="A5696" s="122" t="s">
        <v>11895</v>
      </c>
      <c r="B5696" s="123">
        <v>69422.0</v>
      </c>
      <c r="C5696" s="124" t="s">
        <v>11896</v>
      </c>
      <c r="D5696" s="125"/>
      <c r="E5696" s="126">
        <v>22.64</v>
      </c>
      <c r="F5696" s="127"/>
      <c r="G5696" s="127"/>
      <c r="H5696" s="127"/>
      <c r="I5696" s="128"/>
      <c r="K5696" s="105" t="str">
        <f>IFERROR(__xludf.DUMMYFUNCTION("if(A5696="""","""",substitute(SUBSTITUTE(index(importhtml(""http://finviz.com/quote.ashx?t=""&amp;A5696,""table"",10),7,2),""*"",""""),""-"",""0.00""))"),"Loading...")</f>
        <v>Loading...</v>
      </c>
      <c r="L5696" s="129">
        <v>4.9917847E7</v>
      </c>
      <c r="M5696" s="99">
        <v>0.13</v>
      </c>
    </row>
    <row r="5697">
      <c r="A5697" s="122" t="s">
        <v>11897</v>
      </c>
      <c r="B5697" s="123">
        <v>1618921.0</v>
      </c>
      <c r="C5697" s="124" t="s">
        <v>11898</v>
      </c>
      <c r="D5697" s="125"/>
      <c r="E5697" s="126">
        <v>22.64</v>
      </c>
      <c r="F5697" s="127"/>
      <c r="G5697" s="127"/>
      <c r="H5697" s="127"/>
      <c r="I5697" s="128"/>
      <c r="K5697" s="105" t="str">
        <f>IFERROR(__xludf.DUMMYFUNCTION("if(A5697="""","""",substitute(SUBSTITUTE(index(importhtml(""http://finviz.com/quote.ashx?t=""&amp;A5697,""table"",10),7,2),""*"",""""),""-"",""0.00""))"),"Loading...")</f>
        <v>Loading...</v>
      </c>
      <c r="L5697" s="129">
        <v>1.9524178529E10</v>
      </c>
      <c r="M5697" s="99">
        <v>0.74</v>
      </c>
    </row>
    <row r="5698">
      <c r="A5698" s="122" t="s">
        <v>11899</v>
      </c>
      <c r="B5698" s="123">
        <v>1682220.0</v>
      </c>
      <c r="C5698" s="124" t="s">
        <v>11900</v>
      </c>
      <c r="D5698" s="125"/>
      <c r="E5698" s="126">
        <v>22.65</v>
      </c>
      <c r="F5698" s="127"/>
      <c r="G5698" s="127"/>
      <c r="H5698" s="127"/>
      <c r="I5698" s="128"/>
      <c r="K5698" s="105" t="str">
        <f>IFERROR(__xludf.DUMMYFUNCTION("if(A5698="""","""",substitute(SUBSTITUTE(index(importhtml(""http://finviz.com/quote.ashx?t=""&amp;A5698,""table"",10),7,2),""*"",""""),""-"",""0.00""))"),"Loading...")</f>
        <v>Loading...</v>
      </c>
      <c r="L5698" s="129">
        <v>1.60561725E8</v>
      </c>
      <c r="M5698" s="99">
        <f>IFERROR(__xludf.DUMMYFUNCTION("GOOGLEFINANCE(A5698,""beta"")"),0.12)</f>
        <v>0.12</v>
      </c>
    </row>
    <row r="5699">
      <c r="A5699" s="122" t="s">
        <v>11901</v>
      </c>
      <c r="B5699" s="123">
        <v>1281189.0</v>
      </c>
      <c r="C5699" s="124" t="s">
        <v>11902</v>
      </c>
      <c r="D5699" s="125"/>
      <c r="E5699" s="126">
        <v>22.65</v>
      </c>
      <c r="F5699" s="127"/>
      <c r="G5699" s="127"/>
      <c r="H5699" s="127"/>
      <c r="I5699" s="128"/>
      <c r="K5699" s="105" t="str">
        <f>IFERROR(__xludf.DUMMYFUNCTION("if(A5699="""","""",substitute(SUBSTITUTE(index(importhtml(""http://finviz.com/quote.ashx?t=""&amp;A5699,""table"",10),7,2),""*"",""""),""-"",""0.00""))"),"Loading...")</f>
        <v>Loading...</v>
      </c>
      <c r="L5699" s="129" t="e">
        <v>#N/A</v>
      </c>
      <c r="M5699" s="99">
        <v>0.24</v>
      </c>
    </row>
    <row r="5700">
      <c r="A5700" s="122" t="s">
        <v>11903</v>
      </c>
      <c r="B5700" s="123">
        <v>714310.0</v>
      </c>
      <c r="C5700" s="124" t="s">
        <v>11904</v>
      </c>
      <c r="D5700" s="125"/>
      <c r="E5700" s="126">
        <v>22.68</v>
      </c>
      <c r="F5700" s="127"/>
      <c r="G5700" s="127"/>
      <c r="H5700" s="127"/>
      <c r="I5700" s="128"/>
      <c r="K5700" s="105" t="str">
        <f>IFERROR(__xludf.DUMMYFUNCTION("if(A5700="""","""",substitute(SUBSTITUTE(index(importhtml(""http://finviz.com/quote.ashx?t=""&amp;A5700,""table"",10),7,2),""*"",""""),""-"",""0.00""))"),"Loading...")</f>
        <v>Loading...</v>
      </c>
      <c r="L5700" s="129">
        <v>4.676008198E9</v>
      </c>
      <c r="M5700" s="99">
        <v>0.52</v>
      </c>
    </row>
    <row r="5701">
      <c r="A5701" s="122" t="s">
        <v>11905</v>
      </c>
      <c r="B5701" s="123">
        <v>1639327.0</v>
      </c>
      <c r="C5701" s="124" t="s">
        <v>11906</v>
      </c>
      <c r="D5701" s="125"/>
      <c r="E5701" s="126">
        <v>22.7</v>
      </c>
      <c r="F5701" s="127"/>
      <c r="G5701" s="127"/>
      <c r="H5701" s="127"/>
      <c r="I5701" s="128"/>
      <c r="K5701" s="105" t="str">
        <f>IFERROR(__xludf.DUMMYFUNCTION("if(A5701="""","""",substitute(SUBSTITUTE(index(importhtml(""http://finviz.com/quote.ashx?t=""&amp;A5701,""table"",10),7,2),""*"",""""),""-"",""0.00""))"),"Loading...")</f>
        <v>Loading...</v>
      </c>
      <c r="L5701" s="129">
        <v>9.321046E9</v>
      </c>
      <c r="M5701" s="99" t="str">
        <f>IFERROR(__xludf.DUMMYFUNCTION("GOOGLEFINANCE(A5701,""beta"")"),"#N/A")</f>
        <v>#N/A</v>
      </c>
    </row>
    <row r="5702">
      <c r="A5702" s="122" t="s">
        <v>11907</v>
      </c>
      <c r="B5702" s="123">
        <v>1113809.0</v>
      </c>
      <c r="C5702" s="124" t="s">
        <v>11908</v>
      </c>
      <c r="D5702" s="125"/>
      <c r="E5702" s="126">
        <v>22.72</v>
      </c>
      <c r="F5702" s="127"/>
      <c r="G5702" s="127"/>
      <c r="H5702" s="127"/>
      <c r="I5702" s="128"/>
      <c r="K5702" s="55" t="s">
        <v>1034</v>
      </c>
      <c r="L5702" s="129">
        <v>3.25025039E8</v>
      </c>
      <c r="M5702" s="99">
        <v>1.69</v>
      </c>
    </row>
    <row r="5703">
      <c r="A5703" s="122" t="s">
        <v>11909</v>
      </c>
      <c r="B5703" s="123">
        <v>916618.0</v>
      </c>
      <c r="C5703" s="124" t="s">
        <v>11910</v>
      </c>
      <c r="D5703" s="125"/>
      <c r="E5703" s="126">
        <v>22.73</v>
      </c>
      <c r="F5703" s="127"/>
      <c r="G5703" s="127"/>
      <c r="H5703" s="127"/>
      <c r="I5703" s="128"/>
      <c r="K5703" s="105" t="str">
        <f>IFERROR(__xludf.DUMMYFUNCTION("if(A5703="""","""",substitute(SUBSTITUTE(index(importhtml(""http://finviz.com/quote.ashx?t=""&amp;A5703,""table"",10),7,2),""*"",""""),""-"",""0.00""))"),"Loading...")</f>
        <v>Loading...</v>
      </c>
      <c r="L5703" s="129">
        <v>2.3060721E8</v>
      </c>
      <c r="M5703" s="99">
        <v>0.78</v>
      </c>
    </row>
    <row r="5704">
      <c r="A5704" s="122" t="s">
        <v>11911</v>
      </c>
      <c r="B5704" s="123">
        <v>1834494.0</v>
      </c>
      <c r="C5704" s="124" t="s">
        <v>11912</v>
      </c>
      <c r="D5704" s="125"/>
      <c r="E5704" s="126">
        <v>22.75</v>
      </c>
      <c r="F5704" s="127"/>
      <c r="G5704" s="127"/>
      <c r="H5704" s="127"/>
      <c r="I5704" s="128"/>
      <c r="K5704" s="105" t="str">
        <f>IFERROR(__xludf.DUMMYFUNCTION("if(A5704="""","""",substitute(SUBSTITUTE(index(importhtml(""http://finviz.com/quote.ashx?t=""&amp;A5704,""table"",10),7,2),""*"",""""),""-"",""0.00""))"),"Loading...")</f>
        <v>Loading...</v>
      </c>
      <c r="L5704" s="129">
        <v>1.796943785E9</v>
      </c>
      <c r="M5704" s="99" t="str">
        <f>IFERROR(__xludf.DUMMYFUNCTION("GOOGLEFINANCE(A5704,""beta"")"),"#N/A")</f>
        <v>#N/A</v>
      </c>
    </row>
    <row r="5705">
      <c r="A5705" s="122" t="s">
        <v>11913</v>
      </c>
      <c r="B5705" s="123">
        <v>1423689.0</v>
      </c>
      <c r="C5705" s="124" t="s">
        <v>11914</v>
      </c>
      <c r="D5705" s="125"/>
      <c r="E5705" s="126">
        <v>22.8</v>
      </c>
      <c r="F5705" s="127"/>
      <c r="G5705" s="127"/>
      <c r="H5705" s="127"/>
      <c r="I5705" s="128"/>
      <c r="K5705" s="105" t="str">
        <f>IFERROR(__xludf.DUMMYFUNCTION("if(A5705="""","""",substitute(SUBSTITUTE(index(importhtml(""http://finviz.com/quote.ashx?t=""&amp;A5705,""table"",10),7,2),""*"",""""),""-"",""0.00""))"),"Loading...")</f>
        <v>Loading...</v>
      </c>
      <c r="L5705" s="129">
        <v>6.409060518E9</v>
      </c>
      <c r="M5705" s="99">
        <f>IFERROR(__xludf.DUMMYFUNCTION("GOOGLEFINANCE(A5705,""beta"")"),0.35)</f>
        <v>0.35</v>
      </c>
    </row>
    <row r="5706">
      <c r="A5706" s="122" t="s">
        <v>11915</v>
      </c>
      <c r="B5706" s="123">
        <v>912463.0</v>
      </c>
      <c r="C5706" s="124" t="s">
        <v>11916</v>
      </c>
      <c r="D5706" s="125"/>
      <c r="E5706" s="126">
        <v>22.86</v>
      </c>
      <c r="F5706" s="127"/>
      <c r="G5706" s="127"/>
      <c r="H5706" s="127"/>
      <c r="I5706" s="128"/>
      <c r="K5706" s="55" t="s">
        <v>11122</v>
      </c>
      <c r="L5706" s="129">
        <v>1.22758889E9</v>
      </c>
      <c r="M5706" s="99">
        <v>1.96</v>
      </c>
    </row>
    <row r="5707">
      <c r="A5707" s="122" t="s">
        <v>11917</v>
      </c>
      <c r="B5707" s="123">
        <v>763907.0</v>
      </c>
      <c r="C5707" s="124" t="s">
        <v>11918</v>
      </c>
      <c r="D5707" s="125"/>
      <c r="E5707" s="126">
        <v>22.87</v>
      </c>
      <c r="F5707" s="127"/>
      <c r="G5707" s="127"/>
      <c r="H5707" s="127"/>
      <c r="I5707" s="128"/>
      <c r="K5707" s="105" t="str">
        <f>IFERROR(__xludf.DUMMYFUNCTION("if(A5707="""","""",substitute(SUBSTITUTE(index(importhtml(""http://finviz.com/quote.ashx?t=""&amp;A5707,""table"",10),7,2),""*"",""""),""-"",""0.00""))"),"Loading...")</f>
        <v>Loading...</v>
      </c>
      <c r="L5707" s="129">
        <v>1.52913902E8</v>
      </c>
      <c r="M5707" s="99">
        <v>0.88</v>
      </c>
    </row>
    <row r="5708">
      <c r="A5708" s="122" t="s">
        <v>11919</v>
      </c>
      <c r="B5708" s="123">
        <v>1057379.0</v>
      </c>
      <c r="C5708" s="124" t="s">
        <v>11920</v>
      </c>
      <c r="D5708" s="125"/>
      <c r="E5708" s="126">
        <v>22.87</v>
      </c>
      <c r="F5708" s="127"/>
      <c r="G5708" s="127"/>
      <c r="H5708" s="127"/>
      <c r="I5708" s="128"/>
      <c r="K5708" s="105" t="str">
        <f>IFERROR(__xludf.DUMMYFUNCTION("if(A5708="""","""",substitute(SUBSTITUTE(index(importhtml(""http://finviz.com/quote.ashx?t=""&amp;A5708,""table"",10),7,2),""*"",""""),""-"",""0.00""))"),"Loading...")</f>
        <v>Loading...</v>
      </c>
      <c r="L5708" s="129">
        <v>6.22921647E8</v>
      </c>
      <c r="M5708" s="99">
        <v>0.82</v>
      </c>
    </row>
    <row r="5709">
      <c r="A5709" s="122" t="s">
        <v>11921</v>
      </c>
      <c r="B5709" s="123">
        <v>1321741.0</v>
      </c>
      <c r="C5709" s="124" t="s">
        <v>11922</v>
      </c>
      <c r="D5709" s="125"/>
      <c r="E5709" s="126">
        <v>22.88</v>
      </c>
      <c r="F5709" s="127"/>
      <c r="G5709" s="127"/>
      <c r="H5709" s="127"/>
      <c r="I5709" s="128"/>
      <c r="K5709" s="105" t="str">
        <f>IFERROR(__xludf.DUMMYFUNCTION("if(A5709="""","""",substitute(SUBSTITUTE(index(importhtml(""http://finviz.com/quote.ashx?t=""&amp;A5709,""table"",10),7,2),""*"",""""),""-"",""0.00""))"),"Loading...")</f>
        <v>Loading...</v>
      </c>
      <c r="L5709" s="129">
        <v>4.77251031E8</v>
      </c>
      <c r="M5709" s="99">
        <f>IFERROR(__xludf.DUMMYFUNCTION("GOOGLEFINANCE(A5709,""beta"")"),0.22)</f>
        <v>0.22</v>
      </c>
    </row>
    <row r="5710">
      <c r="A5710" s="122" t="s">
        <v>11923</v>
      </c>
      <c r="B5710" s="123">
        <v>65312.0</v>
      </c>
      <c r="C5710" s="124" t="s">
        <v>11924</v>
      </c>
      <c r="D5710" s="125"/>
      <c r="E5710" s="126">
        <v>22.89</v>
      </c>
      <c r="F5710" s="127"/>
      <c r="G5710" s="127"/>
      <c r="H5710" s="127"/>
      <c r="I5710" s="128"/>
      <c r="K5710" s="55" t="s">
        <v>1034</v>
      </c>
      <c r="L5710" s="129">
        <v>3.19829143E8</v>
      </c>
      <c r="M5710" s="99">
        <v>0.35</v>
      </c>
    </row>
    <row r="5711">
      <c r="A5711" s="122" t="s">
        <v>11925</v>
      </c>
      <c r="B5711" s="123">
        <v>1654795.0</v>
      </c>
      <c r="C5711" s="124" t="s">
        <v>11926</v>
      </c>
      <c r="D5711" s="125"/>
      <c r="E5711" s="126">
        <v>22.92</v>
      </c>
      <c r="F5711" s="127"/>
      <c r="G5711" s="127"/>
      <c r="H5711" s="127"/>
      <c r="I5711" s="128"/>
      <c r="K5711" s="55" t="s">
        <v>11713</v>
      </c>
      <c r="L5711" s="129">
        <v>4.28794E9</v>
      </c>
      <c r="M5711" s="99">
        <v>1.45</v>
      </c>
    </row>
    <row r="5712">
      <c r="A5712" s="122" t="s">
        <v>11927</v>
      </c>
      <c r="B5712" s="123">
        <v>1091748.0</v>
      </c>
      <c r="C5712" s="124" t="s">
        <v>11928</v>
      </c>
      <c r="D5712" s="125"/>
      <c r="E5712" s="126">
        <v>22.95</v>
      </c>
      <c r="F5712" s="127"/>
      <c r="G5712" s="127"/>
      <c r="H5712" s="127"/>
      <c r="I5712" s="128"/>
      <c r="K5712" s="105" t="str">
        <f>IFERROR(__xludf.DUMMYFUNCTION("if(A5712="""","""",substitute(SUBSTITUTE(index(importhtml(""http://finviz.com/quote.ashx?t=""&amp;A5712,""table"",10),7,2),""*"",""""),""-"",""0.00""))"),"Loading...")</f>
        <v>Loading...</v>
      </c>
      <c r="L5712" s="129" t="e">
        <v>#N/A</v>
      </c>
      <c r="M5712" s="99">
        <v>0.39</v>
      </c>
    </row>
    <row r="5713">
      <c r="A5713" s="122" t="s">
        <v>11929</v>
      </c>
      <c r="B5713" s="123">
        <v>1273685.0</v>
      </c>
      <c r="C5713" s="124" t="s">
        <v>11930</v>
      </c>
      <c r="D5713" s="125"/>
      <c r="E5713" s="126">
        <v>22.96</v>
      </c>
      <c r="F5713" s="127"/>
      <c r="G5713" s="127"/>
      <c r="H5713" s="127"/>
      <c r="I5713" s="128"/>
      <c r="K5713" s="105" t="str">
        <f>IFERROR(__xludf.DUMMYFUNCTION("if(A5713="""","""",substitute(SUBSTITUTE(index(importhtml(""http://finviz.com/quote.ashx?t=""&amp;A5713,""table"",10),7,2),""*"",""""),""-"",""0.00""))"),"Loading...")</f>
        <v>Loading...</v>
      </c>
      <c r="L5713" s="129">
        <v>6.99167629E8</v>
      </c>
      <c r="M5713" s="99">
        <v>1.97</v>
      </c>
    </row>
    <row r="5714">
      <c r="A5714" s="122" t="s">
        <v>11931</v>
      </c>
      <c r="B5714" s="123">
        <v>927971.0</v>
      </c>
      <c r="C5714" s="124" t="s">
        <v>11932</v>
      </c>
      <c r="D5714" s="125"/>
      <c r="E5714" s="126">
        <v>22.96</v>
      </c>
      <c r="F5714" s="127"/>
      <c r="G5714" s="127"/>
      <c r="H5714" s="127"/>
      <c r="I5714" s="128"/>
      <c r="K5714" s="105" t="str">
        <f>IFERROR(__xludf.DUMMYFUNCTION("if(A5714="""","""",substitute(SUBSTITUTE(index(importhtml(""http://finviz.com/quote.ashx?t=""&amp;A5714,""table"",10),7,2),""*"",""""),""-"",""0.00""))"),"Loading...")</f>
        <v>Loading...</v>
      </c>
      <c r="L5714" s="129">
        <v>6.7808877943E10</v>
      </c>
      <c r="M5714" s="99" t="str">
        <f>IFERROR(__xludf.DUMMYFUNCTION("GOOGLEFINANCE(A5714,""beta"")"),"#N/A")</f>
        <v>#N/A</v>
      </c>
    </row>
    <row r="5715">
      <c r="A5715" s="122" t="s">
        <v>11933</v>
      </c>
      <c r="B5715" s="123">
        <v>356037.0</v>
      </c>
      <c r="C5715" s="124" t="s">
        <v>11934</v>
      </c>
      <c r="D5715" s="125"/>
      <c r="E5715" s="126">
        <v>23.0</v>
      </c>
      <c r="F5715" s="127"/>
      <c r="G5715" s="127"/>
      <c r="H5715" s="127"/>
      <c r="I5715" s="128"/>
      <c r="K5715" s="105" t="str">
        <f>IFERROR(__xludf.DUMMYFUNCTION("if(A5715="""","""",substitute(SUBSTITUTE(index(importhtml(""http://finviz.com/quote.ashx?t=""&amp;A5715,""table"",10),7,2),""*"",""""),""-"",""0.00""))"),"Loading...")</f>
        <v>Loading...</v>
      </c>
      <c r="L5715" s="129">
        <v>1.08734156E8</v>
      </c>
      <c r="M5715" s="99">
        <v>1.03</v>
      </c>
    </row>
    <row r="5716">
      <c r="A5716" s="122" t="s">
        <v>11935</v>
      </c>
      <c r="B5716" s="123">
        <v>1850453.0</v>
      </c>
      <c r="C5716" s="124" t="s">
        <v>11936</v>
      </c>
      <c r="D5716" s="125"/>
      <c r="E5716" s="126">
        <v>23.0</v>
      </c>
      <c r="F5716" s="127"/>
      <c r="G5716" s="127"/>
      <c r="H5716" s="127"/>
      <c r="I5716" s="128"/>
      <c r="K5716" s="105" t="str">
        <f>IFERROR(__xludf.DUMMYFUNCTION("if(A5716="""","""",substitute(SUBSTITUTE(index(importhtml(""http://finviz.com/quote.ashx?t=""&amp;A5716,""table"",10),7,2),""*"",""""),""-"",""0.00""))"),"#N/A")</f>
        <v>#N/A</v>
      </c>
      <c r="L5716" s="129">
        <v>1.34146147E8</v>
      </c>
      <c r="M5716" s="99" t="str">
        <f>IFERROR(__xludf.DUMMYFUNCTION("GOOGLEFINANCE(A5716,""beta"")"),"#N/A")</f>
        <v>#N/A</v>
      </c>
    </row>
    <row r="5717">
      <c r="A5717" s="122" t="s">
        <v>11937</v>
      </c>
      <c r="B5717" s="123">
        <v>806279.0</v>
      </c>
      <c r="C5717" s="124" t="s">
        <v>11938</v>
      </c>
      <c r="D5717" s="125"/>
      <c r="E5717" s="126">
        <v>23.0</v>
      </c>
      <c r="F5717" s="127"/>
      <c r="G5717" s="127"/>
      <c r="H5717" s="127"/>
      <c r="I5717" s="128"/>
      <c r="K5717" s="105" t="str">
        <f>IFERROR(__xludf.DUMMYFUNCTION("if(A5717="""","""",substitute(SUBSTITUTE(index(importhtml(""http://finviz.com/quote.ashx?t=""&amp;A5717,""table"",10),7,2),""*"",""""),""-"",""0.00""))"),"Loading...")</f>
        <v>Loading...</v>
      </c>
      <c r="L5717" s="129">
        <v>2.21785573E8</v>
      </c>
      <c r="M5717" s="99">
        <v>0.57</v>
      </c>
    </row>
    <row r="5718">
      <c r="A5718" s="122" t="s">
        <v>11939</v>
      </c>
      <c r="B5718" s="123">
        <v>1651166.0</v>
      </c>
      <c r="C5718" s="124" t="s">
        <v>11940</v>
      </c>
      <c r="D5718" s="125"/>
      <c r="E5718" s="126">
        <v>23.0</v>
      </c>
      <c r="F5718" s="127"/>
      <c r="G5718" s="127"/>
      <c r="H5718" s="127"/>
      <c r="I5718" s="128"/>
      <c r="K5718" s="105" t="str">
        <f>IFERROR(__xludf.DUMMYFUNCTION("if(A5718="""","""",substitute(SUBSTITUTE(index(importhtml(""http://finviz.com/quote.ashx?t=""&amp;A5718,""table"",10),7,2),""*"",""""),""-"",""0.00""))"),"Loading...")</f>
        <v>Loading...</v>
      </c>
      <c r="L5718" s="129" t="e">
        <v>#N/A</v>
      </c>
      <c r="M5718" s="99">
        <v>0.21</v>
      </c>
    </row>
    <row r="5719">
      <c r="A5719" s="122" t="s">
        <v>11941</v>
      </c>
      <c r="B5719" s="123">
        <v>1227654.0</v>
      </c>
      <c r="C5719" s="124" t="s">
        <v>11942</v>
      </c>
      <c r="D5719" s="125"/>
      <c r="E5719" s="126">
        <v>23.01</v>
      </c>
      <c r="F5719" s="127"/>
      <c r="G5719" s="127"/>
      <c r="H5719" s="127"/>
      <c r="I5719" s="128"/>
      <c r="K5719" s="55" t="s">
        <v>5866</v>
      </c>
      <c r="L5719" s="129">
        <v>9.50572102E8</v>
      </c>
      <c r="M5719" s="99">
        <v>1.18</v>
      </c>
    </row>
    <row r="5720">
      <c r="A5720" s="122" t="s">
        <v>11943</v>
      </c>
      <c r="B5720" s="123">
        <v>1701758.0</v>
      </c>
      <c r="C5720" s="124" t="s">
        <v>11944</v>
      </c>
      <c r="D5720" s="125"/>
      <c r="E5720" s="126">
        <v>23.02</v>
      </c>
      <c r="F5720" s="127"/>
      <c r="G5720" s="127"/>
      <c r="H5720" s="127"/>
      <c r="I5720" s="128"/>
      <c r="K5720" s="105" t="str">
        <f>IFERROR(__xludf.DUMMYFUNCTION("if(A5720="""","""",substitute(SUBSTITUTE(index(importhtml(""http://finviz.com/quote.ashx?t=""&amp;A5720,""table"",10),7,2),""*"",""""),""-"",""0.00""))"),"Loading...")</f>
        <v>Loading...</v>
      </c>
      <c r="L5720" s="129">
        <v>3.56556556E8</v>
      </c>
      <c r="M5720" s="99">
        <v>2.93</v>
      </c>
    </row>
    <row r="5721">
      <c r="A5721" s="122" t="s">
        <v>11945</v>
      </c>
      <c r="B5721" s="123">
        <v>1377936.0</v>
      </c>
      <c r="C5721" s="124" t="s">
        <v>11946</v>
      </c>
      <c r="D5721" s="125"/>
      <c r="E5721" s="126">
        <v>23.05</v>
      </c>
      <c r="F5721" s="127"/>
      <c r="G5721" s="127"/>
      <c r="H5721" s="127"/>
      <c r="I5721" s="128"/>
      <c r="K5721" s="105" t="str">
        <f>IFERROR(__xludf.DUMMYFUNCTION("if(A5721="""","""",substitute(SUBSTITUTE(index(importhtml(""http://finviz.com/quote.ashx?t=""&amp;A5721,""table"",10),7,2),""*"",""""),""-"",""0.00""))"),"Loading...")</f>
        <v>Loading...</v>
      </c>
      <c r="L5721" s="129">
        <v>3.14712473E8</v>
      </c>
      <c r="M5721" s="99">
        <v>1.3</v>
      </c>
    </row>
    <row r="5722">
      <c r="A5722" s="122" t="s">
        <v>11947</v>
      </c>
      <c r="B5722" s="123">
        <v>1863105.0</v>
      </c>
      <c r="C5722" s="124" t="s">
        <v>11948</v>
      </c>
      <c r="D5722" s="125"/>
      <c r="E5722" s="126">
        <v>23.05</v>
      </c>
      <c r="F5722" s="127"/>
      <c r="G5722" s="127"/>
      <c r="H5722" s="127"/>
      <c r="I5722" s="128"/>
      <c r="K5722" s="105" t="str">
        <f>IFERROR(__xludf.DUMMYFUNCTION("if(A5722="""","""",substitute(SUBSTITUTE(index(importhtml(""http://finviz.com/quote.ashx?t=""&amp;A5722,""table"",10),7,2),""*"",""""),""-"",""0.00""))"),"Loading...")</f>
        <v>Loading...</v>
      </c>
      <c r="L5722" s="129">
        <v>3.880114706E9</v>
      </c>
      <c r="M5722" s="99" t="str">
        <f>IFERROR(__xludf.DUMMYFUNCTION("GOOGLEFINANCE(A5722,""beta"")"),"#N/A")</f>
        <v>#N/A</v>
      </c>
    </row>
    <row r="5723">
      <c r="A5723" s="122" t="s">
        <v>11949</v>
      </c>
      <c r="B5723" s="123">
        <v>1108134.0</v>
      </c>
      <c r="C5723" s="124" t="s">
        <v>11950</v>
      </c>
      <c r="D5723" s="125"/>
      <c r="E5723" s="126">
        <v>23.07</v>
      </c>
      <c r="F5723" s="127"/>
      <c r="G5723" s="127"/>
      <c r="H5723" s="127"/>
      <c r="I5723" s="128"/>
      <c r="K5723" s="105" t="str">
        <f>IFERROR(__xludf.DUMMYFUNCTION("if(A5723="""","""",substitute(SUBSTITUTE(index(importhtml(""http://finviz.com/quote.ashx?t=""&amp;A5723,""table"",10),7,2),""*"",""""),""-"",""0.00""))"),"Loading...")</f>
        <v>Loading...</v>
      </c>
      <c r="L5723" s="129">
        <v>1.003567826E9</v>
      </c>
      <c r="M5723" s="99">
        <v>0.91</v>
      </c>
    </row>
    <row r="5724">
      <c r="A5724" s="122" t="s">
        <v>11951</v>
      </c>
      <c r="B5724" s="123">
        <v>1464343.0</v>
      </c>
      <c r="C5724" s="124" t="s">
        <v>11952</v>
      </c>
      <c r="D5724" s="125"/>
      <c r="E5724" s="126">
        <v>23.08</v>
      </c>
      <c r="F5724" s="127"/>
      <c r="G5724" s="127"/>
      <c r="H5724" s="127"/>
      <c r="I5724" s="128"/>
      <c r="K5724" s="105" t="str">
        <f>IFERROR(__xludf.DUMMYFUNCTION("if(A5724="""","""",substitute(SUBSTITUTE(index(importhtml(""http://finviz.com/quote.ashx?t=""&amp;A5724,""table"",10),7,2),""*"",""""),""-"",""0.00""))"),"Loading...")</f>
        <v>Loading...</v>
      </c>
      <c r="L5724" s="129">
        <v>4.99331145E8</v>
      </c>
      <c r="M5724" s="99">
        <f>IFERROR(__xludf.DUMMYFUNCTION("GOOGLEFINANCE(A5724,""beta"")"),0.31)</f>
        <v>0.31</v>
      </c>
    </row>
    <row r="5725">
      <c r="A5725" s="122" t="s">
        <v>11953</v>
      </c>
      <c r="B5725" s="123">
        <v>1605484.0</v>
      </c>
      <c r="C5725" s="124" t="s">
        <v>11954</v>
      </c>
      <c r="D5725" s="125"/>
      <c r="E5725" s="126">
        <v>23.08</v>
      </c>
      <c r="F5725" s="127"/>
      <c r="G5725" s="127"/>
      <c r="H5725" s="127"/>
      <c r="I5725" s="128"/>
      <c r="K5725" s="105" t="str">
        <f>IFERROR(__xludf.DUMMYFUNCTION("if(A5725="""","""",substitute(SUBSTITUTE(index(importhtml(""http://finviz.com/quote.ashx?t=""&amp;A5725,""table"",10),7,2),""*"",""""),""-"",""0.00""))"),"Loading...")</f>
        <v>Loading...</v>
      </c>
      <c r="L5725" s="129">
        <v>6.671189581E10</v>
      </c>
      <c r="M5725" s="99">
        <v>1.45</v>
      </c>
    </row>
    <row r="5726">
      <c r="A5726" s="122" t="s">
        <v>11955</v>
      </c>
      <c r="B5726" s="123">
        <v>1439222.0</v>
      </c>
      <c r="C5726" s="124" t="s">
        <v>11956</v>
      </c>
      <c r="D5726" s="125"/>
      <c r="E5726" s="126">
        <v>23.09</v>
      </c>
      <c r="F5726" s="127"/>
      <c r="G5726" s="127"/>
      <c r="H5726" s="127"/>
      <c r="I5726" s="128"/>
      <c r="K5726" s="105" t="str">
        <f>IFERROR(__xludf.DUMMYFUNCTION("if(A5726="""","""",substitute(SUBSTITUTE(index(importhtml(""http://finviz.com/quote.ashx?t=""&amp;A5726,""table"",10),7,2),""*"",""""),""-"",""0.00""))"),"Loading...")</f>
        <v>Loading...</v>
      </c>
      <c r="L5726" s="129">
        <v>1.290529663E9</v>
      </c>
      <c r="M5726" s="99">
        <v>0.76</v>
      </c>
    </row>
    <row r="5727">
      <c r="A5727" s="122" t="s">
        <v>11957</v>
      </c>
      <c r="B5727" s="123">
        <v>1786485.0</v>
      </c>
      <c r="C5727" s="124" t="s">
        <v>11958</v>
      </c>
      <c r="D5727" s="125"/>
      <c r="E5727" s="126">
        <v>23.1</v>
      </c>
      <c r="F5727" s="127"/>
      <c r="G5727" s="127"/>
      <c r="H5727" s="127"/>
      <c r="I5727" s="128"/>
      <c r="K5727" s="55" t="s">
        <v>10948</v>
      </c>
      <c r="L5727" s="129">
        <v>2.599819572E9</v>
      </c>
      <c r="M5727" s="99">
        <v>0.92</v>
      </c>
    </row>
    <row r="5728">
      <c r="A5728" s="122" t="s">
        <v>11959</v>
      </c>
      <c r="B5728" s="123">
        <v>898437.0</v>
      </c>
      <c r="C5728" s="124" t="s">
        <v>11960</v>
      </c>
      <c r="D5728" s="125"/>
      <c r="E5728" s="126">
        <v>23.1</v>
      </c>
      <c r="F5728" s="127"/>
      <c r="G5728" s="127"/>
      <c r="H5728" s="127"/>
      <c r="I5728" s="128"/>
      <c r="K5728" s="105" t="str">
        <f>IFERROR(__xludf.DUMMYFUNCTION("if(A5728="""","""",substitute(SUBSTITUTE(index(importhtml(""http://finviz.com/quote.ashx?t=""&amp;A5728,""table"",10),7,2),""*"",""""),""-"",""0.00""))"),"Loading...")</f>
        <v>Loading...</v>
      </c>
      <c r="L5728" s="129">
        <v>3.38204333E8</v>
      </c>
      <c r="M5728" s="99">
        <v>0.73</v>
      </c>
    </row>
    <row r="5729">
      <c r="A5729" s="122" t="s">
        <v>11961</v>
      </c>
      <c r="B5729" s="123">
        <v>1503274.0</v>
      </c>
      <c r="C5729" s="124" t="s">
        <v>11962</v>
      </c>
      <c r="D5729" s="125"/>
      <c r="E5729" s="126">
        <v>23.1</v>
      </c>
      <c r="F5729" s="127"/>
      <c r="G5729" s="127"/>
      <c r="H5729" s="127"/>
      <c r="I5729" s="128"/>
      <c r="K5729" s="105" t="str">
        <f>IFERROR(__xludf.DUMMYFUNCTION("if(A5729="""","""",substitute(SUBSTITUTE(index(importhtml(""http://finviz.com/quote.ashx?t=""&amp;A5729,""table"",10),7,2),""*"",""""),""-"",""0.00""))"),"Loading...")</f>
        <v>Loading...</v>
      </c>
      <c r="L5729" s="129">
        <v>8.73867008E8</v>
      </c>
      <c r="M5729" s="99">
        <v>1.32</v>
      </c>
    </row>
    <row r="5730">
      <c r="A5730" s="122" t="s">
        <v>11963</v>
      </c>
      <c r="B5730" s="123">
        <v>804563.0</v>
      </c>
      <c r="C5730" s="124" t="s">
        <v>11964</v>
      </c>
      <c r="D5730" s="125"/>
      <c r="E5730" s="126">
        <v>23.12</v>
      </c>
      <c r="F5730" s="127"/>
      <c r="G5730" s="127"/>
      <c r="H5730" s="127"/>
      <c r="I5730" s="128"/>
      <c r="K5730" s="105" t="str">
        <f>IFERROR(__xludf.DUMMYFUNCTION("if(A5730="""","""",substitute(SUBSTITUTE(index(importhtml(""http://finviz.com/quote.ashx?t=""&amp;A5730,""table"",10),7,2),""*"",""""),""-"",""0.00""))"),"Loading...")</f>
        <v>Loading...</v>
      </c>
      <c r="L5730" s="129">
        <v>1.04540459E8</v>
      </c>
      <c r="M5730" s="99">
        <v>0.39</v>
      </c>
    </row>
    <row r="5731">
      <c r="A5731" s="122" t="s">
        <v>11965</v>
      </c>
      <c r="B5731" s="123">
        <v>1495222.0</v>
      </c>
      <c r="C5731" s="124" t="s">
        <v>11966</v>
      </c>
      <c r="D5731" s="125"/>
      <c r="E5731" s="126">
        <v>23.15</v>
      </c>
      <c r="F5731" s="127"/>
      <c r="G5731" s="127"/>
      <c r="H5731" s="127"/>
      <c r="I5731" s="128"/>
      <c r="K5731" s="105" t="str">
        <f>IFERROR(__xludf.DUMMYFUNCTION("if(A5731="""","""",substitute(SUBSTITUTE(index(importhtml(""http://finviz.com/quote.ashx?t=""&amp;A5731,""table"",10),7,2),""*"",""""),""-"",""0.00""))"),"Loading...")</f>
        <v>Loading...</v>
      </c>
      <c r="L5731" s="129">
        <v>1.168272037E9</v>
      </c>
      <c r="M5731" s="99">
        <f>IFERROR(__xludf.DUMMYFUNCTION("GOOGLEFINANCE(A5731,""beta"")"),0.11)</f>
        <v>0.11</v>
      </c>
    </row>
    <row r="5732">
      <c r="A5732" s="122" t="s">
        <v>11967</v>
      </c>
      <c r="B5732" s="123">
        <v>1275168.0</v>
      </c>
      <c r="C5732" s="124" t="s">
        <v>11968</v>
      </c>
      <c r="D5732" s="125"/>
      <c r="E5732" s="126">
        <v>23.19</v>
      </c>
      <c r="F5732" s="127"/>
      <c r="G5732" s="127"/>
      <c r="H5732" s="127"/>
      <c r="I5732" s="128"/>
      <c r="K5732" s="105" t="str">
        <f>IFERROR(__xludf.DUMMYFUNCTION("if(A5732="""","""",substitute(SUBSTITUTE(index(importhtml(""http://finviz.com/quote.ashx?t=""&amp;A5732,""table"",10),7,2),""*"",""""),""-"",""0.00""))"),"Loading...")</f>
        <v>Loading...</v>
      </c>
      <c r="L5732" s="129">
        <v>4.00189607E8</v>
      </c>
      <c r="M5732" s="99">
        <f>IFERROR(__xludf.DUMMYFUNCTION("GOOGLEFINANCE(A5732,""beta"")"),0.51)</f>
        <v>0.51</v>
      </c>
    </row>
    <row r="5733">
      <c r="A5733" s="122" t="s">
        <v>11969</v>
      </c>
      <c r="B5733" s="123">
        <v>1705338.0</v>
      </c>
      <c r="C5733" s="124" t="s">
        <v>11970</v>
      </c>
      <c r="D5733" s="125"/>
      <c r="E5733" s="126">
        <v>23.2</v>
      </c>
      <c r="F5733" s="127"/>
      <c r="G5733" s="127"/>
      <c r="H5733" s="127"/>
      <c r="I5733" s="128"/>
      <c r="K5733" s="105" t="str">
        <f>IFERROR(__xludf.DUMMYFUNCTION("if(A5733="""","""",substitute(SUBSTITUTE(index(importhtml(""http://finviz.com/quote.ashx?t=""&amp;A5733,""table"",10),7,2),""*"",""""),""-"",""0.00""))"),"Loading...")</f>
        <v>Loading...</v>
      </c>
      <c r="L5733" s="129">
        <v>2.544868403E9</v>
      </c>
      <c r="M5733" s="99" t="str">
        <f>IFERROR(__xludf.DUMMYFUNCTION("GOOGLEFINANCE(A5733,""beta"")"),"#N/A")</f>
        <v>#N/A</v>
      </c>
    </row>
    <row r="5734">
      <c r="A5734" s="122" t="s">
        <v>11971</v>
      </c>
      <c r="B5734" s="123">
        <v>1438133.0</v>
      </c>
      <c r="C5734" s="124" t="s">
        <v>11972</v>
      </c>
      <c r="D5734" s="125"/>
      <c r="E5734" s="126">
        <v>23.22</v>
      </c>
      <c r="F5734" s="127"/>
      <c r="G5734" s="127"/>
      <c r="H5734" s="127"/>
      <c r="I5734" s="128"/>
      <c r="K5734" s="105" t="str">
        <f>IFERROR(__xludf.DUMMYFUNCTION("if(A5734="""","""",substitute(SUBSTITUTE(index(importhtml(""http://finviz.com/quote.ashx?t=""&amp;A5734,""table"",10),7,2),""*"",""""),""-"",""0.00""))"),"Loading...")</f>
        <v>Loading...</v>
      </c>
      <c r="L5734" s="129">
        <v>1.514169421E9</v>
      </c>
      <c r="M5734" s="99">
        <v>1.11</v>
      </c>
    </row>
    <row r="5735">
      <c r="A5735" s="122" t="s">
        <v>11973</v>
      </c>
      <c r="B5735" s="123">
        <v>58492.0</v>
      </c>
      <c r="C5735" s="124" t="s">
        <v>11974</v>
      </c>
      <c r="D5735" s="125"/>
      <c r="E5735" s="126">
        <v>23.22</v>
      </c>
      <c r="F5735" s="127"/>
      <c r="G5735" s="127"/>
      <c r="H5735" s="127"/>
      <c r="I5735" s="128"/>
      <c r="K5735" s="105" t="str">
        <f>IFERROR(__xludf.DUMMYFUNCTION("if(A5735="""","""",substitute(SUBSTITUTE(index(importhtml(""http://finviz.com/quote.ashx?t=""&amp;A5735,""table"",10),7,2),""*"",""""),""-"",""0.00""))"),"Loading...")</f>
        <v>Loading...</v>
      </c>
      <c r="L5735" s="129">
        <v>3.095676376E9</v>
      </c>
      <c r="M5735" s="99">
        <v>1.23</v>
      </c>
    </row>
    <row r="5736">
      <c r="A5736" s="122" t="s">
        <v>11975</v>
      </c>
      <c r="B5736" s="123">
        <v>352825.0</v>
      </c>
      <c r="C5736" s="124" t="s">
        <v>11976</v>
      </c>
      <c r="D5736" s="125"/>
      <c r="E5736" s="126">
        <v>23.23</v>
      </c>
      <c r="F5736" s="127"/>
      <c r="G5736" s="127"/>
      <c r="H5736" s="127"/>
      <c r="I5736" s="128"/>
      <c r="K5736" s="105" t="str">
        <f>IFERROR(__xludf.DUMMYFUNCTION("if(A5736="""","""",substitute(SUBSTITUTE(index(importhtml(""http://finviz.com/quote.ashx?t=""&amp;A5736,""table"",10),7,2),""*"",""""),""-"",""0.00""))"),"Loading...")</f>
        <v>Loading...</v>
      </c>
      <c r="L5736" s="129">
        <v>2.57299424E8</v>
      </c>
      <c r="M5736" s="99">
        <v>0.77</v>
      </c>
    </row>
    <row r="5737">
      <c r="A5737" s="122" t="s">
        <v>11977</v>
      </c>
      <c r="B5737" s="123">
        <v>1720671.0</v>
      </c>
      <c r="C5737" s="124" t="s">
        <v>11978</v>
      </c>
      <c r="D5737" s="125"/>
      <c r="E5737" s="126">
        <v>23.23</v>
      </c>
      <c r="F5737" s="127"/>
      <c r="G5737" s="127"/>
      <c r="H5737" s="127"/>
      <c r="I5737" s="128"/>
      <c r="K5737" s="105" t="str">
        <f>IFERROR(__xludf.DUMMYFUNCTION("if(A5737="""","""",substitute(SUBSTITUTE(index(importhtml(""http://finviz.com/quote.ashx?t=""&amp;A5737,""table"",10),7,2),""*"",""""),""-"",""0.00""))"),"Loading...")</f>
        <v>Loading...</v>
      </c>
      <c r="L5737" s="129">
        <v>4.549922953E9</v>
      </c>
      <c r="M5737" s="99" t="str">
        <f>IFERROR(__xludf.DUMMYFUNCTION("GOOGLEFINANCE(A5737,""beta"")"),"#N/A")</f>
        <v>#N/A</v>
      </c>
    </row>
    <row r="5738">
      <c r="A5738" s="122" t="s">
        <v>11979</v>
      </c>
      <c r="B5738" s="123">
        <v>1042046.0</v>
      </c>
      <c r="C5738" s="124" t="s">
        <v>11980</v>
      </c>
      <c r="D5738" s="125"/>
      <c r="E5738" s="126">
        <v>23.23</v>
      </c>
      <c r="F5738" s="127"/>
      <c r="G5738" s="127"/>
      <c r="H5738" s="127"/>
      <c r="I5738" s="128"/>
      <c r="K5738" s="105" t="str">
        <f>IFERROR(__xludf.DUMMYFUNCTION("if(A5738="""","""",substitute(SUBSTITUTE(index(importhtml(""http://finviz.com/quote.ashx?t=""&amp;A5738,""table"",10),7,2),""*"",""""),""-"",""0.00""))"),"Loading...")</f>
        <v>Loading...</v>
      </c>
      <c r="L5738" s="129">
        <v>9.91845369E9</v>
      </c>
      <c r="M5738" s="99">
        <v>0.42</v>
      </c>
    </row>
    <row r="5739">
      <c r="A5739" s="122" t="s">
        <v>11981</v>
      </c>
      <c r="B5739" s="123">
        <v>1423689.0</v>
      </c>
      <c r="C5739" s="124" t="s">
        <v>11982</v>
      </c>
      <c r="D5739" s="125"/>
      <c r="E5739" s="126">
        <v>23.25</v>
      </c>
      <c r="F5739" s="127"/>
      <c r="G5739" s="127"/>
      <c r="H5739" s="127"/>
      <c r="I5739" s="128"/>
      <c r="K5739" s="105" t="str">
        <f>IFERROR(__xludf.DUMMYFUNCTION("if(A5739="""","""",substitute(SUBSTITUTE(index(importhtml(""http://finviz.com/quote.ashx?t=""&amp;A5739,""table"",10),7,2),""*"",""""),""-"",""0.00""))"),"Loading...")</f>
        <v>Loading...</v>
      </c>
      <c r="L5739" s="129">
        <v>6.409060518E9</v>
      </c>
      <c r="M5739" s="99">
        <v>0.88</v>
      </c>
    </row>
    <row r="5740">
      <c r="A5740" s="122" t="s">
        <v>11983</v>
      </c>
      <c r="B5740" s="123">
        <v>314489.0</v>
      </c>
      <c r="C5740" s="124" t="s">
        <v>11984</v>
      </c>
      <c r="D5740" s="125"/>
      <c r="E5740" s="126">
        <v>23.28</v>
      </c>
      <c r="F5740" s="127"/>
      <c r="G5740" s="127"/>
      <c r="H5740" s="127"/>
      <c r="I5740" s="128"/>
      <c r="K5740" s="105" t="str">
        <f>IFERROR(__xludf.DUMMYFUNCTION("if(A5740="""","""",substitute(SUBSTITUTE(index(importhtml(""http://finviz.com/quote.ashx?t=""&amp;A5740,""table"",10),7,2),""*"",""""),""-"",""0.00""))"),"Loading...")</f>
        <v>Loading...</v>
      </c>
      <c r="L5740" s="129">
        <v>1.286082918E9</v>
      </c>
      <c r="M5740" s="99">
        <v>0.87</v>
      </c>
    </row>
    <row r="5741">
      <c r="A5741" s="122" t="s">
        <v>11985</v>
      </c>
      <c r="B5741" s="123">
        <v>909494.0</v>
      </c>
      <c r="C5741" s="124" t="s">
        <v>11986</v>
      </c>
      <c r="D5741" s="125"/>
      <c r="E5741" s="126">
        <v>23.3</v>
      </c>
      <c r="F5741" s="127"/>
      <c r="G5741" s="127"/>
      <c r="H5741" s="127"/>
      <c r="I5741" s="128"/>
      <c r="K5741" s="105" t="str">
        <f>IFERROR(__xludf.DUMMYFUNCTION("if(A5741="""","""",substitute(SUBSTITUTE(index(importhtml(""http://finviz.com/quote.ashx?t=""&amp;A5741,""table"",10),7,2),""*"",""""),""-"",""0.00""))"),"Loading...")</f>
        <v>Loading...</v>
      </c>
      <c r="L5741" s="129">
        <v>2.53102765E8</v>
      </c>
      <c r="M5741" s="99">
        <v>1.0</v>
      </c>
    </row>
    <row r="5742">
      <c r="A5742" s="122" t="s">
        <v>11987</v>
      </c>
      <c r="B5742" s="123">
        <v>1747068.0</v>
      </c>
      <c r="C5742" s="124" t="s">
        <v>11988</v>
      </c>
      <c r="D5742" s="125"/>
      <c r="E5742" s="126">
        <v>23.31</v>
      </c>
      <c r="F5742" s="127"/>
      <c r="G5742" s="127"/>
      <c r="H5742" s="127"/>
      <c r="I5742" s="128"/>
      <c r="K5742" s="105" t="str">
        <f>IFERROR(__xludf.DUMMYFUNCTION("if(A5742="""","""",substitute(SUBSTITUTE(index(importhtml(""http://finviz.com/quote.ashx?t=""&amp;A5742,""table"",10),7,2),""*"",""""),""-"",""0.00""))"),"Loading...")</f>
        <v>Loading...</v>
      </c>
      <c r="L5742" s="129">
        <v>5.874318E8</v>
      </c>
      <c r="M5742" s="99">
        <v>0.54</v>
      </c>
    </row>
    <row r="5743">
      <c r="A5743" s="122" t="s">
        <v>11989</v>
      </c>
      <c r="B5743" s="123">
        <v>1561894.0</v>
      </c>
      <c r="C5743" s="124" t="s">
        <v>11990</v>
      </c>
      <c r="D5743" s="125"/>
      <c r="E5743" s="126">
        <v>23.33</v>
      </c>
      <c r="F5743" s="127"/>
      <c r="G5743" s="127"/>
      <c r="H5743" s="127"/>
      <c r="I5743" s="128"/>
      <c r="K5743" s="105" t="str">
        <f>IFERROR(__xludf.DUMMYFUNCTION("if(A5743="""","""",substitute(SUBSTITUTE(index(importhtml(""http://finviz.com/quote.ashx?t=""&amp;A5743,""table"",10),7,2),""*"",""""),""-"",""0.00""))"),"Loading...")</f>
        <v>Loading...</v>
      </c>
      <c r="L5743" s="129">
        <v>2.596517007E9</v>
      </c>
      <c r="M5743" s="99">
        <v>1.9</v>
      </c>
    </row>
    <row r="5744">
      <c r="A5744" s="122" t="s">
        <v>11991</v>
      </c>
      <c r="B5744" s="123">
        <v>1754836.0</v>
      </c>
      <c r="C5744" s="124" t="s">
        <v>11992</v>
      </c>
      <c r="D5744" s="125"/>
      <c r="E5744" s="126">
        <v>23.34</v>
      </c>
      <c r="F5744" s="127"/>
      <c r="G5744" s="127"/>
      <c r="H5744" s="127"/>
      <c r="I5744" s="128"/>
      <c r="K5744" s="105" t="str">
        <f>IFERROR(__xludf.DUMMYFUNCTION("if(A5744="""","""",substitute(SUBSTITUTE(index(importhtml(""http://finviz.com/quote.ashx?t=""&amp;A5744,""table"",10),7,2),""*"",""""),""-"",""0.00""))"),"Loading...")</f>
        <v>Loading...</v>
      </c>
      <c r="L5744" s="129">
        <v>1.39035798E8</v>
      </c>
      <c r="M5744" s="99">
        <f>IFERROR(__xludf.DUMMYFUNCTION("GOOGLEFINANCE(A5744,""beta"")"),0.1)</f>
        <v>0.1</v>
      </c>
    </row>
    <row r="5745">
      <c r="A5745" s="122" t="s">
        <v>11993</v>
      </c>
      <c r="B5745" s="123">
        <v>1577134.0</v>
      </c>
      <c r="C5745" s="124" t="s">
        <v>11994</v>
      </c>
      <c r="D5745" s="125"/>
      <c r="E5745" s="126">
        <v>23.37</v>
      </c>
      <c r="F5745" s="127"/>
      <c r="G5745" s="127"/>
      <c r="H5745" s="127"/>
      <c r="I5745" s="128"/>
      <c r="K5745" s="105" t="str">
        <f>IFERROR(__xludf.DUMMYFUNCTION("if(A5745="""","""",substitute(SUBSTITUTE(index(importhtml(""http://finviz.com/quote.ashx?t=""&amp;A5745,""table"",10),7,2),""*"",""""),""-"",""0.00""))"),"Loading...")</f>
        <v>Loading...</v>
      </c>
      <c r="L5745" s="129">
        <v>3.80900379E8</v>
      </c>
      <c r="M5745" s="99">
        <f>IFERROR(__xludf.DUMMYFUNCTION("GOOGLEFINANCE(A5745,""beta"")"),0.23)</f>
        <v>0.23</v>
      </c>
    </row>
    <row r="5746">
      <c r="A5746" s="122" t="s">
        <v>11995</v>
      </c>
      <c r="B5746" s="123">
        <v>1185348.0</v>
      </c>
      <c r="C5746" s="124" t="s">
        <v>11996</v>
      </c>
      <c r="D5746" s="125"/>
      <c r="E5746" s="126">
        <v>23.37</v>
      </c>
      <c r="F5746" s="127"/>
      <c r="G5746" s="127"/>
      <c r="H5746" s="127"/>
      <c r="I5746" s="128"/>
      <c r="K5746" s="105" t="str">
        <f>IFERROR(__xludf.DUMMYFUNCTION("if(A5746="""","""",substitute(SUBSTITUTE(index(importhtml(""http://finviz.com/quote.ashx?t=""&amp;A5746,""table"",10),7,2),""*"",""""),""-"",""0.00""))"),"Loading...")</f>
        <v>Loading...</v>
      </c>
      <c r="L5746" s="129">
        <v>9.17135584E8</v>
      </c>
      <c r="M5746" s="99">
        <v>1.45</v>
      </c>
    </row>
    <row r="5747">
      <c r="A5747" s="122" t="s">
        <v>11997</v>
      </c>
      <c r="B5747" s="123">
        <v>1682745.0</v>
      </c>
      <c r="C5747" s="124" t="s">
        <v>11998</v>
      </c>
      <c r="D5747" s="125"/>
      <c r="E5747" s="126">
        <v>23.4</v>
      </c>
      <c r="F5747" s="127"/>
      <c r="G5747" s="127"/>
      <c r="H5747" s="127"/>
      <c r="I5747" s="128"/>
      <c r="K5747" s="105" t="str">
        <f>IFERROR(__xludf.DUMMYFUNCTION("if(A5747="""","""",substitute(SUBSTITUTE(index(importhtml(""http://finviz.com/quote.ashx?t=""&amp;A5747,""table"",10),7,2),""*"",""""),""-"",""0.00""))"),"Loading...")</f>
        <v>Loading...</v>
      </c>
      <c r="L5747" s="129">
        <v>3.891738176E9</v>
      </c>
      <c r="M5747" s="99">
        <v>1.19</v>
      </c>
    </row>
    <row r="5748">
      <c r="A5748" s="122" t="s">
        <v>11999</v>
      </c>
      <c r="B5748" s="123">
        <v>1447362.0</v>
      </c>
      <c r="C5748" s="124" t="s">
        <v>12000</v>
      </c>
      <c r="D5748" s="125"/>
      <c r="E5748" s="126">
        <v>23.41</v>
      </c>
      <c r="F5748" s="127"/>
      <c r="G5748" s="127"/>
      <c r="H5748" s="127"/>
      <c r="I5748" s="128"/>
      <c r="K5748" s="105" t="str">
        <f>IFERROR(__xludf.DUMMYFUNCTION("if(A5748="""","""",substitute(SUBSTITUTE(index(importhtml(""http://finviz.com/quote.ashx?t=""&amp;A5748,""table"",10),7,2),""*"",""""),""-"",""0.00""))"),"Loading...")</f>
        <v>Loading...</v>
      </c>
      <c r="L5748" s="129">
        <v>6.29975737E8</v>
      </c>
      <c r="M5748" s="99">
        <v>0.98</v>
      </c>
    </row>
    <row r="5749">
      <c r="A5749" s="122" t="s">
        <v>12001</v>
      </c>
      <c r="B5749" s="123">
        <v>1722482.0</v>
      </c>
      <c r="C5749" s="124" t="s">
        <v>12002</v>
      </c>
      <c r="D5749" s="125"/>
      <c r="E5749" s="126">
        <v>23.42</v>
      </c>
      <c r="F5749" s="127"/>
      <c r="G5749" s="127"/>
      <c r="H5749" s="127"/>
      <c r="I5749" s="128"/>
      <c r="K5749" s="105" t="str">
        <f>IFERROR(__xludf.DUMMYFUNCTION("if(A5749="""","""",substitute(SUBSTITUTE(index(importhtml(""http://finviz.com/quote.ashx?t=""&amp;A5749,""table"",10),7,2),""*"",""""),""-"",""0.00""))"),"Loading...")</f>
        <v>Loading...</v>
      </c>
      <c r="L5749" s="129">
        <v>1.5840964855E10</v>
      </c>
      <c r="M5749" s="99">
        <v>1.36</v>
      </c>
    </row>
    <row r="5750">
      <c r="A5750" s="122" t="s">
        <v>12003</v>
      </c>
      <c r="B5750" s="123">
        <v>35527.0</v>
      </c>
      <c r="C5750" s="124" t="s">
        <v>12004</v>
      </c>
      <c r="D5750" s="125"/>
      <c r="E5750" s="126">
        <v>23.42</v>
      </c>
      <c r="F5750" s="127"/>
      <c r="G5750" s="127"/>
      <c r="H5750" s="127"/>
      <c r="I5750" s="128"/>
      <c r="K5750" s="105" t="str">
        <f>IFERROR(__xludf.DUMMYFUNCTION("if(A5750="""","""",substitute(SUBSTITUTE(index(importhtml(""http://finviz.com/quote.ashx?t=""&amp;A5750,""table"",10),7,2),""*"",""""),""-"",""0.00""))"),"Loading...")</f>
        <v>Loading...</v>
      </c>
      <c r="L5750" s="129">
        <v>2.3056076825E10</v>
      </c>
      <c r="M5750" s="99">
        <v>0.8</v>
      </c>
    </row>
    <row r="5751">
      <c r="A5751" s="122" t="s">
        <v>12005</v>
      </c>
      <c r="B5751" s="123">
        <v>1562463.0</v>
      </c>
      <c r="C5751" s="124" t="s">
        <v>12006</v>
      </c>
      <c r="D5751" s="125"/>
      <c r="E5751" s="126">
        <v>23.43</v>
      </c>
      <c r="F5751" s="127"/>
      <c r="G5751" s="127"/>
      <c r="H5751" s="127"/>
      <c r="I5751" s="128"/>
      <c r="K5751" s="105" t="str">
        <f>IFERROR(__xludf.DUMMYFUNCTION("if(A5751="""","""",substitute(SUBSTITUTE(index(importhtml(""http://finviz.com/quote.ashx?t=""&amp;A5751,""table"",10),7,2),""*"",""""),""-"",""0.00""))"),"Loading...")</f>
        <v>Loading...</v>
      </c>
      <c r="L5751" s="129">
        <v>2.60803117E8</v>
      </c>
      <c r="M5751" s="99">
        <v>0.64</v>
      </c>
    </row>
    <row r="5752">
      <c r="A5752" s="122" t="s">
        <v>12007</v>
      </c>
      <c r="B5752" s="123">
        <v>1734722.0</v>
      </c>
      <c r="C5752" s="124" t="s">
        <v>12008</v>
      </c>
      <c r="D5752" s="125"/>
      <c r="E5752" s="126">
        <v>23.44</v>
      </c>
      <c r="F5752" s="127"/>
      <c r="G5752" s="127"/>
      <c r="H5752" s="127"/>
      <c r="I5752" s="128"/>
      <c r="K5752" s="105" t="str">
        <f>IFERROR(__xludf.DUMMYFUNCTION("if(A5752="""","""",substitute(SUBSTITUTE(index(importhtml(""http://finviz.com/quote.ashx?t=""&amp;A5752,""table"",10),7,2),""*"",""""),""-"",""0.00""))"),"Loading...")</f>
        <v>Loading...</v>
      </c>
      <c r="L5752" s="129">
        <v>1.3268875654E10</v>
      </c>
      <c r="M5752" s="99">
        <f>IFERROR(__xludf.DUMMYFUNCTION("GOOGLEFINANCE(A5752,""beta"")"),1.09)</f>
        <v>1.09</v>
      </c>
    </row>
    <row r="5753">
      <c r="A5753" s="122" t="s">
        <v>12009</v>
      </c>
      <c r="B5753" s="123">
        <v>1607678.0</v>
      </c>
      <c r="C5753" s="124" t="s">
        <v>12010</v>
      </c>
      <c r="D5753" s="125"/>
      <c r="E5753" s="126">
        <v>23.45</v>
      </c>
      <c r="F5753" s="127"/>
      <c r="G5753" s="127"/>
      <c r="H5753" s="127"/>
      <c r="I5753" s="128"/>
      <c r="K5753" s="105" t="str">
        <f>IFERROR(__xludf.DUMMYFUNCTION("if(A5753="""","""",substitute(SUBSTITUTE(index(importhtml(""http://finviz.com/quote.ashx?t=""&amp;A5753,""table"",10),7,2),""*"",""""),""-"",""0.00""))"),"Loading...")</f>
        <v>Loading...</v>
      </c>
      <c r="L5753" s="129">
        <v>2.345677781E9</v>
      </c>
      <c r="M5753" s="99">
        <v>0.54</v>
      </c>
    </row>
    <row r="5754">
      <c r="A5754" s="122" t="s">
        <v>12011</v>
      </c>
      <c r="B5754" s="123">
        <v>1437775.0</v>
      </c>
      <c r="C5754" s="124" t="s">
        <v>12012</v>
      </c>
      <c r="D5754" s="125"/>
      <c r="E5754" s="126">
        <v>23.45</v>
      </c>
      <c r="F5754" s="127"/>
      <c r="G5754" s="127"/>
      <c r="H5754" s="127"/>
      <c r="I5754" s="128"/>
      <c r="K5754" s="105" t="str">
        <f>IFERROR(__xludf.DUMMYFUNCTION("if(A5754="""","""",substitute(SUBSTITUTE(index(importhtml(""http://finviz.com/quote.ashx?t=""&amp;A5754,""table"",10),7,2),""*"",""""),""-"",""0.00""))"),"Loading...")</f>
        <v>Loading...</v>
      </c>
      <c r="L5754" s="129">
        <v>1.83156E10</v>
      </c>
      <c r="M5754" s="99" t="str">
        <f>IFERROR(__xludf.DUMMYFUNCTION("GOOGLEFINANCE(A5754,""beta"")"),"#N/A")</f>
        <v>#N/A</v>
      </c>
    </row>
    <row r="5755">
      <c r="A5755" s="122" t="s">
        <v>12013</v>
      </c>
      <c r="B5755" s="123">
        <v>1650132.0</v>
      </c>
      <c r="C5755" s="124" t="s">
        <v>12014</v>
      </c>
      <c r="D5755" s="125"/>
      <c r="E5755" s="126">
        <v>23.48</v>
      </c>
      <c r="F5755" s="127"/>
      <c r="G5755" s="127"/>
      <c r="H5755" s="127"/>
      <c r="I5755" s="128"/>
      <c r="K5755" s="105" t="str">
        <f>IFERROR(__xludf.DUMMYFUNCTION("if(A5755="""","""",substitute(SUBSTITUTE(index(importhtml(""http://finviz.com/quote.ashx?t=""&amp;A5755,""table"",10),7,2),""*"",""""),""-"",""0.00""))"),"Loading...")</f>
        <v>Loading...</v>
      </c>
      <c r="L5755" s="129">
        <v>2.126470619E9</v>
      </c>
      <c r="M5755" s="99">
        <v>0.99</v>
      </c>
    </row>
    <row r="5756">
      <c r="A5756" s="122" t="s">
        <v>12015</v>
      </c>
      <c r="B5756" s="123">
        <v>947484.0</v>
      </c>
      <c r="C5756" s="124" t="s">
        <v>12016</v>
      </c>
      <c r="D5756" s="125"/>
      <c r="E5756" s="126">
        <v>23.48</v>
      </c>
      <c r="F5756" s="127"/>
      <c r="G5756" s="127"/>
      <c r="H5756" s="127"/>
      <c r="I5756" s="128"/>
      <c r="K5756" s="105" t="str">
        <f>IFERROR(__xludf.DUMMYFUNCTION("if(A5756="""","""",substitute(SUBSTITUTE(index(importhtml(""http://finviz.com/quote.ashx?t=""&amp;A5756,""table"",10),7,2),""*"",""""),""-"",""0.00""))"),"Loading...")</f>
        <v>Loading...</v>
      </c>
      <c r="L5756" s="129">
        <v>3.1085212078E10</v>
      </c>
      <c r="M5756" s="99">
        <v>0.54</v>
      </c>
    </row>
    <row r="5757">
      <c r="A5757" s="122" t="s">
        <v>12017</v>
      </c>
      <c r="B5757" s="123">
        <v>92122.0</v>
      </c>
      <c r="C5757" s="124" t="s">
        <v>12018</v>
      </c>
      <c r="D5757" s="125"/>
      <c r="E5757" s="126">
        <v>23.49</v>
      </c>
      <c r="F5757" s="127"/>
      <c r="G5757" s="127"/>
      <c r="H5757" s="127"/>
      <c r="I5757" s="128"/>
      <c r="K5757" s="105" t="str">
        <f>IFERROR(__xludf.DUMMYFUNCTION("if(A5757="""","""",substitute(SUBSTITUTE(index(importhtml(""http://finviz.com/quote.ashx?t=""&amp;A5757,""table"",10),7,2),""*"",""""),""-"",""0.00""))"),"Loading...")</f>
        <v>Loading...</v>
      </c>
      <c r="L5757" s="129">
        <v>7.4870996014E10</v>
      </c>
      <c r="M5757" s="99">
        <v>0.62</v>
      </c>
    </row>
    <row r="5758">
      <c r="A5758" s="122" t="s">
        <v>12019</v>
      </c>
      <c r="B5758" s="123">
        <v>1128928.0</v>
      </c>
      <c r="C5758" s="124" t="s">
        <v>12020</v>
      </c>
      <c r="D5758" s="125"/>
      <c r="E5758" s="126">
        <v>23.51</v>
      </c>
      <c r="F5758" s="127"/>
      <c r="G5758" s="127"/>
      <c r="H5758" s="127"/>
      <c r="I5758" s="128"/>
      <c r="K5758" s="55" t="s">
        <v>12021</v>
      </c>
      <c r="L5758" s="129">
        <v>4.96343595E9</v>
      </c>
      <c r="M5758" s="99">
        <v>0.4</v>
      </c>
    </row>
    <row r="5759">
      <c r="A5759" s="122" t="s">
        <v>12022</v>
      </c>
      <c r="B5759" s="123">
        <v>1495222.0</v>
      </c>
      <c r="C5759" s="124" t="s">
        <v>12023</v>
      </c>
      <c r="D5759" s="125"/>
      <c r="E5759" s="126">
        <v>23.54</v>
      </c>
      <c r="F5759" s="127"/>
      <c r="G5759" s="127"/>
      <c r="H5759" s="127"/>
      <c r="I5759" s="128"/>
      <c r="K5759" s="105" t="str">
        <f>IFERROR(__xludf.DUMMYFUNCTION("if(A5759="""","""",substitute(SUBSTITUTE(index(importhtml(""http://finviz.com/quote.ashx?t=""&amp;A5759,""table"",10),7,2),""*"",""""),""-"",""0.00""))"),"Loading...")</f>
        <v>Loading...</v>
      </c>
      <c r="L5759" s="129">
        <v>1.168272037E9</v>
      </c>
      <c r="M5759" s="99">
        <v>0.44</v>
      </c>
    </row>
    <row r="5760">
      <c r="A5760" s="122" t="s">
        <v>12024</v>
      </c>
      <c r="B5760" s="123">
        <v>1682220.0</v>
      </c>
      <c r="C5760" s="124" t="s">
        <v>12025</v>
      </c>
      <c r="D5760" s="125"/>
      <c r="E5760" s="126">
        <v>23.55</v>
      </c>
      <c r="F5760" s="127"/>
      <c r="G5760" s="127"/>
      <c r="H5760" s="127"/>
      <c r="I5760" s="128"/>
      <c r="K5760" s="105" t="str">
        <f>IFERROR(__xludf.DUMMYFUNCTION("if(A5760="""","""",substitute(SUBSTITUTE(index(importhtml(""http://finviz.com/quote.ashx?t=""&amp;A5760,""table"",10),7,2),""*"",""""),""-"",""0.00""))"),"Loading...")</f>
        <v>Loading...</v>
      </c>
      <c r="L5760" s="129">
        <v>1.60561725E8</v>
      </c>
      <c r="M5760" s="99">
        <f>IFERROR(__xludf.DUMMYFUNCTION("GOOGLEFINANCE(A5760,""beta"")"),-0.01)</f>
        <v>-0.01</v>
      </c>
    </row>
    <row r="5761">
      <c r="A5761" s="122" t="s">
        <v>12026</v>
      </c>
      <c r="B5761" s="123">
        <v>1255474.0</v>
      </c>
      <c r="C5761" s="124" t="s">
        <v>10377</v>
      </c>
      <c r="D5761" s="125"/>
      <c r="E5761" s="126">
        <v>23.56</v>
      </c>
      <c r="F5761" s="127"/>
      <c r="G5761" s="127"/>
      <c r="H5761" s="127"/>
      <c r="I5761" s="128"/>
      <c r="K5761" s="105" t="str">
        <f>IFERROR(__xludf.DUMMYFUNCTION("if(A5761="""","""",substitute(SUBSTITUTE(index(importhtml(""http://finviz.com/quote.ashx?t=""&amp;A5761,""table"",10),7,2),""*"",""""),""-"",""0.00""))"),"Loading...")</f>
        <v>Loading...</v>
      </c>
      <c r="L5761" s="129">
        <v>6.253682145E9</v>
      </c>
      <c r="M5761" s="99">
        <v>1.72</v>
      </c>
    </row>
    <row r="5762">
      <c r="A5762" s="122" t="s">
        <v>12027</v>
      </c>
      <c r="B5762" s="123">
        <v>1145255.0</v>
      </c>
      <c r="C5762" s="124" t="s">
        <v>12028</v>
      </c>
      <c r="D5762" s="125"/>
      <c r="E5762" s="126">
        <v>23.65</v>
      </c>
      <c r="F5762" s="127"/>
      <c r="G5762" s="127"/>
      <c r="H5762" s="127"/>
      <c r="I5762" s="128"/>
      <c r="K5762" s="105" t="str">
        <f>IFERROR(__xludf.DUMMYFUNCTION("if(A5762="""","""",substitute(SUBSTITUTE(index(importhtml(""http://finviz.com/quote.ashx?t=""&amp;A5762,""table"",10),7,2),""*"",""""),""-"",""0.00""))"),"Loading...")</f>
        <v>Loading...</v>
      </c>
      <c r="L5762" s="129">
        <v>5.3571276E7</v>
      </c>
      <c r="M5762" s="99">
        <f>IFERROR(__xludf.DUMMYFUNCTION("GOOGLEFINANCE(A5762,""beta"")"),0.08)</f>
        <v>0.08</v>
      </c>
    </row>
    <row r="5763">
      <c r="A5763" s="122" t="s">
        <v>12029</v>
      </c>
      <c r="B5763" s="123">
        <v>1889539.0</v>
      </c>
      <c r="C5763" s="124" t="s">
        <v>12030</v>
      </c>
      <c r="D5763" s="125"/>
      <c r="E5763" s="126">
        <v>23.67</v>
      </c>
      <c r="F5763" s="127"/>
      <c r="G5763" s="127"/>
      <c r="H5763" s="127"/>
      <c r="I5763" s="128"/>
      <c r="K5763" s="105" t="str">
        <f>IFERROR(__xludf.DUMMYFUNCTION("if(A5763="""","""",substitute(SUBSTITUTE(index(importhtml(""http://finviz.com/quote.ashx?t=""&amp;A5763,""table"",10),7,2),""*"",""""),""-"",""0.00""))"),"Loading...")</f>
        <v>Loading...</v>
      </c>
      <c r="L5763" s="129">
        <v>1.4902530267E10</v>
      </c>
      <c r="M5763" s="99">
        <f>IFERROR(__xludf.DUMMYFUNCTION("GOOGLEFINANCE(A5763,""beta"")"),1.02)</f>
        <v>1.02</v>
      </c>
    </row>
    <row r="5764">
      <c r="A5764" s="122" t="s">
        <v>12031</v>
      </c>
      <c r="B5764" s="123">
        <v>910612.0</v>
      </c>
      <c r="C5764" s="124" t="s">
        <v>12032</v>
      </c>
      <c r="D5764" s="125"/>
      <c r="E5764" s="126">
        <v>23.7</v>
      </c>
      <c r="F5764" s="127"/>
      <c r="G5764" s="127"/>
      <c r="H5764" s="127"/>
      <c r="I5764" s="128"/>
      <c r="K5764" s="55" t="s">
        <v>10110</v>
      </c>
      <c r="L5764" s="129">
        <v>7.58429175E8</v>
      </c>
      <c r="M5764" s="99">
        <f>IFERROR(__xludf.DUMMYFUNCTION("GOOGLEFINANCE(A5764,""beta"")"),1.47)</f>
        <v>1.47</v>
      </c>
    </row>
    <row r="5765">
      <c r="A5765" s="122" t="s">
        <v>12033</v>
      </c>
      <c r="B5765" s="123">
        <v>1487739.0</v>
      </c>
      <c r="C5765" s="124" t="s">
        <v>12034</v>
      </c>
      <c r="D5765" s="125"/>
      <c r="E5765" s="126">
        <v>23.7</v>
      </c>
      <c r="F5765" s="127"/>
      <c r="G5765" s="127"/>
      <c r="H5765" s="127"/>
      <c r="I5765" s="128"/>
      <c r="K5765" s="105" t="str">
        <f>IFERROR(__xludf.DUMMYFUNCTION("if(A5765="""","""",substitute(SUBSTITUTE(index(importhtml(""http://finviz.com/quote.ashx?t=""&amp;A5765,""table"",10),7,2),""*"",""""),""-"",""0.00""))"),"Loading...")</f>
        <v>Loading...</v>
      </c>
      <c r="L5765" s="129">
        <v>2.132021417E9</v>
      </c>
      <c r="M5765" s="99">
        <v>1.09</v>
      </c>
    </row>
    <row r="5766">
      <c r="A5766" s="122" t="s">
        <v>12035</v>
      </c>
      <c r="B5766" s="123">
        <v>890541.0</v>
      </c>
      <c r="C5766" s="124" t="s">
        <v>12036</v>
      </c>
      <c r="D5766" s="125"/>
      <c r="E5766" s="126">
        <v>23.72</v>
      </c>
      <c r="F5766" s="127"/>
      <c r="G5766" s="127"/>
      <c r="H5766" s="127"/>
      <c r="I5766" s="128"/>
      <c r="K5766" s="55" t="s">
        <v>9675</v>
      </c>
      <c r="L5766" s="129">
        <v>8.66725216E8</v>
      </c>
      <c r="M5766" s="99">
        <v>1.21</v>
      </c>
    </row>
    <row r="5767">
      <c r="A5767" s="122" t="s">
        <v>12037</v>
      </c>
      <c r="B5767" s="123">
        <v>1077688.0</v>
      </c>
      <c r="C5767" s="124" t="s">
        <v>12038</v>
      </c>
      <c r="D5767" s="125"/>
      <c r="E5767" s="126">
        <v>23.74</v>
      </c>
      <c r="F5767" s="127"/>
      <c r="G5767" s="127"/>
      <c r="H5767" s="127"/>
      <c r="I5767" s="128"/>
      <c r="K5767" s="105" t="str">
        <f>IFERROR(__xludf.DUMMYFUNCTION("if(A5767="""","""",substitute(SUBSTITUTE(index(importhtml(""http://finviz.com/quote.ashx?t=""&amp;A5767,""table"",10),7,2),""*"",""""),""-"",""0.00""))"),"Loading...")</f>
        <v>Loading...</v>
      </c>
      <c r="L5767" s="129">
        <v>2.53348766E8</v>
      </c>
      <c r="M5767" s="99">
        <v>1.06</v>
      </c>
    </row>
    <row r="5768">
      <c r="A5768" s="122" t="s">
        <v>12039</v>
      </c>
      <c r="B5768" s="123">
        <v>1615903.0</v>
      </c>
      <c r="C5768" s="124" t="s">
        <v>12040</v>
      </c>
      <c r="D5768" s="125"/>
      <c r="E5768" s="126">
        <v>23.75</v>
      </c>
      <c r="F5768" s="127"/>
      <c r="G5768" s="127"/>
      <c r="H5768" s="127"/>
      <c r="I5768" s="128"/>
      <c r="K5768" s="105" t="str">
        <f>IFERROR(__xludf.DUMMYFUNCTION("if(A5768="""","""",substitute(SUBSTITUTE(index(importhtml(""http://finviz.com/quote.ashx?t=""&amp;A5768,""table"",10),7,2),""*"",""""),""-"",""0.00""))"),"Loading...")</f>
        <v>Loading...</v>
      </c>
      <c r="L5768" s="129">
        <v>2.741168E9</v>
      </c>
      <c r="M5768" s="99">
        <v>1.2</v>
      </c>
    </row>
    <row r="5769">
      <c r="A5769" s="122" t="s">
        <v>12041</v>
      </c>
      <c r="B5769" s="123">
        <v>1757073.0</v>
      </c>
      <c r="C5769" s="124" t="s">
        <v>12042</v>
      </c>
      <c r="D5769" s="125"/>
      <c r="E5769" s="126">
        <v>23.76</v>
      </c>
      <c r="F5769" s="127"/>
      <c r="G5769" s="127"/>
      <c r="H5769" s="127"/>
      <c r="I5769" s="128"/>
      <c r="K5769" s="105" t="str">
        <f>IFERROR(__xludf.DUMMYFUNCTION("if(A5769="""","""",substitute(SUBSTITUTE(index(importhtml(""http://finviz.com/quote.ashx?t=""&amp;A5769,""table"",10),7,2),""*"",""""),""-"",""0.00""))"),"Loading...")</f>
        <v>Loading...</v>
      </c>
      <c r="L5769" s="129">
        <v>4.072518687E9</v>
      </c>
      <c r="M5769" s="99">
        <v>1.39</v>
      </c>
    </row>
    <row r="5770">
      <c r="A5770" s="122" t="s">
        <v>12043</v>
      </c>
      <c r="B5770" s="123">
        <v>1568100.0</v>
      </c>
      <c r="C5770" s="124" t="s">
        <v>12044</v>
      </c>
      <c r="D5770" s="125"/>
      <c r="E5770" s="126">
        <v>23.77</v>
      </c>
      <c r="F5770" s="127"/>
      <c r="G5770" s="127"/>
      <c r="H5770" s="127"/>
      <c r="I5770" s="128"/>
      <c r="K5770" s="55" t="s">
        <v>1034</v>
      </c>
      <c r="L5770" s="129">
        <v>2.184279775E9</v>
      </c>
      <c r="M5770" s="99">
        <v>0.92</v>
      </c>
    </row>
    <row r="5771">
      <c r="A5771" s="122" t="s">
        <v>12045</v>
      </c>
      <c r="B5771" s="123">
        <v>1437352.0</v>
      </c>
      <c r="C5771" s="124" t="s">
        <v>12046</v>
      </c>
      <c r="D5771" s="125"/>
      <c r="E5771" s="126">
        <v>23.79</v>
      </c>
      <c r="F5771" s="127"/>
      <c r="G5771" s="127"/>
      <c r="H5771" s="127"/>
      <c r="I5771" s="128"/>
      <c r="K5771" s="105" t="str">
        <f>IFERROR(__xludf.DUMMYFUNCTION("if(A5771="""","""",substitute(SUBSTITUTE(index(importhtml(""http://finviz.com/quote.ashx?t=""&amp;A5771,""table"",10),7,2),""*"",""""),""-"",""0.00""))"),"Loading...")</f>
        <v>Loading...</v>
      </c>
      <c r="L5771" s="129">
        <v>9.77032974E8</v>
      </c>
      <c r="M5771" s="99">
        <v>0.89</v>
      </c>
    </row>
    <row r="5772">
      <c r="A5772" s="122" t="s">
        <v>12047</v>
      </c>
      <c r="B5772" s="123">
        <v>1069530.0</v>
      </c>
      <c r="C5772" s="124" t="s">
        <v>12048</v>
      </c>
      <c r="D5772" s="125"/>
      <c r="E5772" s="126">
        <v>23.79</v>
      </c>
      <c r="F5772" s="127"/>
      <c r="G5772" s="127"/>
      <c r="H5772" s="127"/>
      <c r="I5772" s="128"/>
      <c r="K5772" s="105" t="str">
        <f>IFERROR(__xludf.DUMMYFUNCTION("if(A5772="""","""",substitute(SUBSTITUTE(index(importhtml(""http://finviz.com/quote.ashx?t=""&amp;A5772,""table"",10),7,2),""*"",""""),""-"",""0.00""))"),"Loading...")</f>
        <v>Loading...</v>
      </c>
      <c r="L5772" s="129">
        <v>1.004816127E9</v>
      </c>
      <c r="M5772" s="99">
        <v>-0.38</v>
      </c>
    </row>
    <row r="5773">
      <c r="A5773" s="122" t="s">
        <v>12049</v>
      </c>
      <c r="B5773" s="123">
        <v>1495222.0</v>
      </c>
      <c r="C5773" s="124" t="s">
        <v>12050</v>
      </c>
      <c r="D5773" s="125"/>
      <c r="E5773" s="126">
        <v>23.79</v>
      </c>
      <c r="F5773" s="127"/>
      <c r="G5773" s="127"/>
      <c r="H5773" s="127"/>
      <c r="I5773" s="128"/>
      <c r="K5773" s="105" t="str">
        <f>IFERROR(__xludf.DUMMYFUNCTION("if(A5773="""","""",substitute(SUBSTITUTE(index(importhtml(""http://finviz.com/quote.ashx?t=""&amp;A5773,""table"",10),7,2),""*"",""""),""-"",""0.00""))"),"Loading...")</f>
        <v>Loading...</v>
      </c>
      <c r="L5773" s="129">
        <v>1.168272037E9</v>
      </c>
      <c r="M5773" s="99">
        <f>IFERROR(__xludf.DUMMYFUNCTION("GOOGLEFINANCE(A5773,""beta"")"),0.19)</f>
        <v>0.19</v>
      </c>
    </row>
    <row r="5774">
      <c r="A5774" s="122" t="s">
        <v>12051</v>
      </c>
      <c r="B5774" s="123">
        <v>1479247.0</v>
      </c>
      <c r="C5774" s="124" t="s">
        <v>12052</v>
      </c>
      <c r="D5774" s="125"/>
      <c r="E5774" s="126">
        <v>23.79</v>
      </c>
      <c r="F5774" s="127"/>
      <c r="G5774" s="127"/>
      <c r="H5774" s="127"/>
      <c r="I5774" s="128"/>
      <c r="K5774" s="105" t="str">
        <f>IFERROR(__xludf.DUMMYFUNCTION("if(A5774="""","""",substitute(SUBSTITUTE(index(importhtml(""http://finviz.com/quote.ashx?t=""&amp;A5774,""table"",10),7,2),""*"",""""),""-"",""0.00""))"),"Loading...")</f>
        <v>Loading...</v>
      </c>
      <c r="L5774" s="129" t="e">
        <v>#N/A</v>
      </c>
      <c r="M5774" s="99" t="str">
        <f>IFERROR(__xludf.DUMMYFUNCTION("GOOGLEFINANCE(A5774,""beta"")"),"#N/A")</f>
        <v>#N/A</v>
      </c>
    </row>
    <row r="5775">
      <c r="A5775" s="122" t="s">
        <v>12053</v>
      </c>
      <c r="B5775" s="123">
        <v>1509470.0</v>
      </c>
      <c r="C5775" s="124" t="s">
        <v>12054</v>
      </c>
      <c r="D5775" s="125"/>
      <c r="E5775" s="126">
        <v>23.8</v>
      </c>
      <c r="F5775" s="127"/>
      <c r="G5775" s="127"/>
      <c r="H5775" s="127"/>
      <c r="I5775" s="128"/>
      <c r="K5775" s="105" t="str">
        <f>IFERROR(__xludf.DUMMYFUNCTION("if(A5775="""","""",substitute(SUBSTITUTE(index(importhtml(""http://finviz.com/quote.ashx?t=""&amp;A5775,""table"",10),7,2),""*"",""""),""-"",""0.00""))"),"Loading...")</f>
        <v>Loading...</v>
      </c>
      <c r="L5775" s="129">
        <v>9.2877172E7</v>
      </c>
      <c r="M5775" s="99">
        <f>IFERROR(__xludf.DUMMYFUNCTION("GOOGLEFINANCE(A5775,""beta"")"),-0.03)</f>
        <v>-0.03</v>
      </c>
    </row>
    <row r="5776">
      <c r="A5776" s="122" t="s">
        <v>12055</v>
      </c>
      <c r="B5776" s="123">
        <v>1042074.0</v>
      </c>
      <c r="C5776" s="124" t="s">
        <v>12056</v>
      </c>
      <c r="D5776" s="125"/>
      <c r="E5776" s="126">
        <v>23.82</v>
      </c>
      <c r="F5776" s="127"/>
      <c r="G5776" s="127"/>
      <c r="H5776" s="127"/>
      <c r="I5776" s="128"/>
      <c r="K5776" s="105" t="str">
        <f>IFERROR(__xludf.DUMMYFUNCTION("if(A5776="""","""",substitute(SUBSTITUTE(index(importhtml(""http://finviz.com/quote.ashx?t=""&amp;A5776,""table"",10),7,2),""*"",""""),""-"",""0.00""))"),"Loading...")</f>
        <v>Loading...</v>
      </c>
      <c r="L5776" s="129">
        <v>2.701266571E9</v>
      </c>
      <c r="M5776" s="99">
        <v>0.28</v>
      </c>
    </row>
    <row r="5777">
      <c r="A5777" s="122" t="s">
        <v>12057</v>
      </c>
      <c r="B5777" s="123">
        <v>1687932.0</v>
      </c>
      <c r="C5777" s="124" t="s">
        <v>12058</v>
      </c>
      <c r="D5777" s="125"/>
      <c r="E5777" s="126">
        <v>23.83</v>
      </c>
      <c r="F5777" s="127"/>
      <c r="G5777" s="127"/>
      <c r="H5777" s="127"/>
      <c r="I5777" s="128"/>
      <c r="K5777" s="105" t="str">
        <f>IFERROR(__xludf.DUMMYFUNCTION("if(A5777="""","""",substitute(SUBSTITUTE(index(importhtml(""http://finviz.com/quote.ashx?t=""&amp;A5777,""table"",10),7,2),""*"",""""),""-"",""0.00""))"),"Loading...")</f>
        <v>Loading...</v>
      </c>
      <c r="L5777" s="129">
        <v>2.5266234E8</v>
      </c>
      <c r="M5777" s="99">
        <v>0.94</v>
      </c>
    </row>
    <row r="5778">
      <c r="A5778" s="122" t="s">
        <v>12059</v>
      </c>
      <c r="B5778" s="123">
        <v>1527590.0</v>
      </c>
      <c r="C5778" s="124" t="s">
        <v>12060</v>
      </c>
      <c r="D5778" s="125"/>
      <c r="E5778" s="126">
        <v>23.83</v>
      </c>
      <c r="F5778" s="127"/>
      <c r="G5778" s="127"/>
      <c r="H5778" s="127"/>
      <c r="I5778" s="128"/>
      <c r="K5778" s="105" t="str">
        <f>IFERROR(__xludf.DUMMYFUNCTION("if(A5778="""","""",substitute(SUBSTITUTE(index(importhtml(""http://finviz.com/quote.ashx?t=""&amp;A5778,""table"",10),7,2),""*"",""""),""-"",""0.00""))"),"Loading...")</f>
        <v>Loading...</v>
      </c>
      <c r="L5778" s="129">
        <v>1.578382595E9</v>
      </c>
      <c r="M5778" s="99">
        <v>0.77</v>
      </c>
    </row>
    <row r="5779">
      <c r="A5779" s="122" t="s">
        <v>12061</v>
      </c>
      <c r="B5779" s="123">
        <v>1605301.0</v>
      </c>
      <c r="C5779" s="124" t="s">
        <v>12062</v>
      </c>
      <c r="D5779" s="125"/>
      <c r="E5779" s="126">
        <v>23.86</v>
      </c>
      <c r="F5779" s="127"/>
      <c r="G5779" s="127"/>
      <c r="H5779" s="127"/>
      <c r="I5779" s="128"/>
      <c r="K5779" s="105" t="str">
        <f>IFERROR(__xludf.DUMMYFUNCTION("if(A5779="""","""",substitute(SUBSTITUTE(index(importhtml(""http://finviz.com/quote.ashx?t=""&amp;A5779,""table"",10),7,2),""*"",""""),""-"",""0.00""))"),"Loading...")</f>
        <v>Loading...</v>
      </c>
      <c r="L5779" s="129">
        <v>1.22179356E8</v>
      </c>
      <c r="M5779" s="99">
        <v>0.58</v>
      </c>
    </row>
    <row r="5780">
      <c r="A5780" s="122" t="s">
        <v>12063</v>
      </c>
      <c r="B5780" s="123">
        <v>824410.0</v>
      </c>
      <c r="C5780" s="124" t="s">
        <v>12064</v>
      </c>
      <c r="D5780" s="125"/>
      <c r="E5780" s="126">
        <v>23.87</v>
      </c>
      <c r="F5780" s="127"/>
      <c r="G5780" s="127"/>
      <c r="H5780" s="127"/>
      <c r="I5780" s="128"/>
      <c r="K5780" s="105" t="str">
        <f>IFERROR(__xludf.DUMMYFUNCTION("if(A5780="""","""",substitute(SUBSTITUTE(index(importhtml(""http://finviz.com/quote.ashx?t=""&amp;A5780,""table"",10),7,2),""*"",""""),""-"",""0.00""))"),"Loading...")</f>
        <v>Loading...</v>
      </c>
      <c r="L5780" s="129">
        <v>1.072086237E9</v>
      </c>
      <c r="M5780" s="99">
        <v>0.97</v>
      </c>
    </row>
    <row r="5781">
      <c r="A5781" s="122" t="s">
        <v>12065</v>
      </c>
      <c r="B5781" s="123">
        <v>1321741.0</v>
      </c>
      <c r="C5781" s="124" t="s">
        <v>12066</v>
      </c>
      <c r="D5781" s="125"/>
      <c r="E5781" s="126">
        <v>23.88</v>
      </c>
      <c r="F5781" s="127"/>
      <c r="G5781" s="127"/>
      <c r="H5781" s="127"/>
      <c r="I5781" s="128"/>
      <c r="K5781" s="105" t="str">
        <f>IFERROR(__xludf.DUMMYFUNCTION("if(A5781="""","""",substitute(SUBSTITUTE(index(importhtml(""http://finviz.com/quote.ashx?t=""&amp;A5781,""table"",10),7,2),""*"",""""),""-"",""0.00""))"),"Loading...")</f>
        <v>Loading...</v>
      </c>
      <c r="L5781" s="129">
        <v>4.77251031E8</v>
      </c>
      <c r="M5781" s="99">
        <f>IFERROR(__xludf.DUMMYFUNCTION("GOOGLEFINANCE(A5781,""beta"")"),0.11)</f>
        <v>0.11</v>
      </c>
    </row>
    <row r="5782">
      <c r="A5782" s="122" t="s">
        <v>12067</v>
      </c>
      <c r="B5782" s="123">
        <v>1519401.0</v>
      </c>
      <c r="C5782" s="124" t="s">
        <v>12068</v>
      </c>
      <c r="D5782" s="125"/>
      <c r="E5782" s="126">
        <v>23.89</v>
      </c>
      <c r="F5782" s="127"/>
      <c r="G5782" s="127"/>
      <c r="H5782" s="127"/>
      <c r="I5782" s="128"/>
      <c r="K5782" s="55" t="s">
        <v>7272</v>
      </c>
      <c r="L5782" s="129">
        <v>2.34951932E8</v>
      </c>
      <c r="M5782" s="99">
        <v>1.49</v>
      </c>
    </row>
    <row r="5783">
      <c r="A5783" s="122" t="s">
        <v>12069</v>
      </c>
      <c r="B5783" s="123">
        <v>1606757.0</v>
      </c>
      <c r="C5783" s="124" t="s">
        <v>12070</v>
      </c>
      <c r="D5783" s="125"/>
      <c r="E5783" s="126">
        <v>23.9</v>
      </c>
      <c r="F5783" s="127"/>
      <c r="G5783" s="127"/>
      <c r="H5783" s="127"/>
      <c r="I5783" s="128"/>
      <c r="K5783" s="55" t="s">
        <v>1034</v>
      </c>
      <c r="L5783" s="129">
        <v>5.93798836E8</v>
      </c>
      <c r="M5783" s="99">
        <v>1.34</v>
      </c>
    </row>
    <row r="5784">
      <c r="A5784" s="122" t="s">
        <v>12071</v>
      </c>
      <c r="B5784" s="123">
        <v>1045742.0</v>
      </c>
      <c r="C5784" s="124" t="s">
        <v>12072</v>
      </c>
      <c r="D5784" s="125"/>
      <c r="E5784" s="126">
        <v>23.93</v>
      </c>
      <c r="F5784" s="127"/>
      <c r="G5784" s="127"/>
      <c r="H5784" s="127"/>
      <c r="I5784" s="128"/>
      <c r="K5784" s="105" t="str">
        <f>IFERROR(__xludf.DUMMYFUNCTION("if(A5784="""","""",substitute(SUBSTITUTE(index(importhtml(""http://finviz.com/quote.ashx?t=""&amp;A5784,""table"",10),7,2),""*"",""""),""-"",""0.00""))"),"Loading...")</f>
        <v>Loading...</v>
      </c>
      <c r="L5784" s="129">
        <v>7.5676591E7</v>
      </c>
      <c r="M5784" s="99">
        <v>0.85</v>
      </c>
    </row>
    <row r="5785">
      <c r="A5785" s="122" t="s">
        <v>12073</v>
      </c>
      <c r="B5785" s="123">
        <v>1587987.0</v>
      </c>
      <c r="C5785" s="124" t="s">
        <v>12074</v>
      </c>
      <c r="D5785" s="125"/>
      <c r="E5785" s="126">
        <v>23.95</v>
      </c>
      <c r="F5785" s="127"/>
      <c r="G5785" s="127"/>
      <c r="H5785" s="127"/>
      <c r="I5785" s="128"/>
      <c r="K5785" s="105" t="str">
        <f>IFERROR(__xludf.DUMMYFUNCTION("if(A5785="""","""",substitute(SUBSTITUTE(index(importhtml(""http://finviz.com/quote.ashx?t=""&amp;A5785,""table"",10),7,2),""*"",""""),""-"",""0.00""))"),"Loading...")</f>
        <v>Loading...</v>
      </c>
      <c r="L5785" s="129">
        <v>2.87151287E8</v>
      </c>
      <c r="M5785" s="99">
        <v>0.1</v>
      </c>
    </row>
    <row r="5786">
      <c r="A5786" s="122" t="s">
        <v>12075</v>
      </c>
      <c r="B5786" s="123">
        <v>1782999.0</v>
      </c>
      <c r="C5786" s="124" t="s">
        <v>12076</v>
      </c>
      <c r="D5786" s="125"/>
      <c r="E5786" s="126">
        <v>23.95</v>
      </c>
      <c r="F5786" s="127"/>
      <c r="G5786" s="127"/>
      <c r="H5786" s="127"/>
      <c r="I5786" s="128"/>
      <c r="K5786" s="105" t="str">
        <f>IFERROR(__xludf.DUMMYFUNCTION("if(A5786="""","""",substitute(SUBSTITUTE(index(importhtml(""http://finviz.com/quote.ashx?t=""&amp;A5786,""table"",10),7,2),""*"",""""),""-"",""0.00""))"),"Loading...")</f>
        <v>Loading...</v>
      </c>
      <c r="L5786" s="129">
        <v>6.41268215E8</v>
      </c>
      <c r="M5786" s="99">
        <v>1.4</v>
      </c>
    </row>
    <row r="5787">
      <c r="A5787" s="122" t="s">
        <v>12077</v>
      </c>
      <c r="B5787" s="123">
        <v>1494259.0</v>
      </c>
      <c r="C5787" s="124" t="s">
        <v>12078</v>
      </c>
      <c r="D5787" s="125"/>
      <c r="E5787" s="126">
        <v>23.96</v>
      </c>
      <c r="F5787" s="127"/>
      <c r="G5787" s="127"/>
      <c r="H5787" s="127"/>
      <c r="I5787" s="128"/>
      <c r="K5787" s="105" t="str">
        <f>IFERROR(__xludf.DUMMYFUNCTION("if(A5787="""","""",substitute(SUBSTITUTE(index(importhtml(""http://finviz.com/quote.ashx?t=""&amp;A5787,""table"",10),7,2),""*"",""""),""-"",""0.00""))"),"Loading...")</f>
        <v>Loading...</v>
      </c>
      <c r="L5787" s="129">
        <v>2.689972325E9</v>
      </c>
      <c r="M5787" s="99">
        <v>1.6</v>
      </c>
    </row>
    <row r="5788">
      <c r="A5788" s="122" t="s">
        <v>12079</v>
      </c>
      <c r="B5788" s="123">
        <v>1716951.0</v>
      </c>
      <c r="C5788" s="124" t="s">
        <v>12080</v>
      </c>
      <c r="D5788" s="125"/>
      <c r="E5788" s="126">
        <v>23.97</v>
      </c>
      <c r="F5788" s="127"/>
      <c r="G5788" s="127"/>
      <c r="H5788" s="127"/>
      <c r="I5788" s="128"/>
      <c r="K5788" s="105" t="str">
        <f>IFERROR(__xludf.DUMMYFUNCTION("if(A5788="""","""",substitute(SUBSTITUTE(index(importhtml(""http://finviz.com/quote.ashx?t=""&amp;A5788,""table"",10),7,2),""*"",""""),""-"",""0.00""))"),"Loading...")</f>
        <v>Loading...</v>
      </c>
      <c r="L5788" s="129">
        <v>1.1046405E8</v>
      </c>
      <c r="M5788" s="99">
        <f>IFERROR(__xludf.DUMMYFUNCTION("GOOGLEFINANCE(A5788,""beta"")"),0.13)</f>
        <v>0.13</v>
      </c>
    </row>
    <row r="5789">
      <c r="A5789" s="122" t="s">
        <v>12081</v>
      </c>
      <c r="B5789" s="123">
        <v>1567683.0</v>
      </c>
      <c r="C5789" s="124" t="s">
        <v>12082</v>
      </c>
      <c r="D5789" s="125"/>
      <c r="E5789" s="126">
        <v>23.98</v>
      </c>
      <c r="F5789" s="127"/>
      <c r="G5789" s="127"/>
      <c r="H5789" s="127"/>
      <c r="I5789" s="128"/>
      <c r="K5789" s="105" t="str">
        <f>IFERROR(__xludf.DUMMYFUNCTION("if(A5789="""","""",substitute(SUBSTITUTE(index(importhtml(""http://finviz.com/quote.ashx?t=""&amp;A5789,""table"",10),7,2),""*"",""""),""-"",""0.00""))"),"Loading...")</f>
        <v>Loading...</v>
      </c>
      <c r="L5789" s="129">
        <v>4.732613493E9</v>
      </c>
      <c r="M5789" s="99">
        <v>0.9</v>
      </c>
    </row>
    <row r="5790">
      <c r="A5790" s="122" t="s">
        <v>12083</v>
      </c>
      <c r="B5790" s="123">
        <v>1604174.0</v>
      </c>
      <c r="C5790" s="124" t="s">
        <v>12084</v>
      </c>
      <c r="D5790" s="125"/>
      <c r="E5790" s="126">
        <v>23.99</v>
      </c>
      <c r="F5790" s="127"/>
      <c r="G5790" s="127"/>
      <c r="H5790" s="127"/>
      <c r="I5790" s="128"/>
      <c r="K5790" s="105" t="str">
        <f>IFERROR(__xludf.DUMMYFUNCTION("if(A5790="""","""",substitute(SUBSTITUTE(index(importhtml(""http://finviz.com/quote.ashx?t=""&amp;A5790,""table"",10),7,2),""*"",""""),""-"",""0.00""))"),"Loading...")</f>
        <v>Loading...</v>
      </c>
      <c r="L5790" s="129">
        <v>7.25665242E8</v>
      </c>
      <c r="M5790" s="99">
        <f>IFERROR(__xludf.DUMMYFUNCTION("GOOGLEFINANCE(A5790,""beta"")"),0.25)</f>
        <v>0.25</v>
      </c>
    </row>
    <row r="5791">
      <c r="A5791" s="122" t="s">
        <v>12085</v>
      </c>
      <c r="B5791" s="123">
        <v>886136.0</v>
      </c>
      <c r="C5791" s="124" t="s">
        <v>12086</v>
      </c>
      <c r="D5791" s="125"/>
      <c r="E5791" s="126">
        <v>24.0</v>
      </c>
      <c r="F5791" s="127"/>
      <c r="G5791" s="127"/>
      <c r="H5791" s="127"/>
      <c r="I5791" s="128"/>
      <c r="K5791" s="105" t="str">
        <f>IFERROR(__xludf.DUMMYFUNCTION("if(A5791="""","""",substitute(SUBSTITUTE(index(importhtml(""http://finviz.com/quote.ashx?t=""&amp;A5791,""table"",10),7,2),""*"",""""),""-"",""0.00""))"),"Loading...")</f>
        <v>Loading...</v>
      </c>
      <c r="L5791" s="129">
        <v>1.46964696E8</v>
      </c>
      <c r="M5791" s="99">
        <v>0.33</v>
      </c>
    </row>
    <row r="5792">
      <c r="A5792" s="122" t="s">
        <v>12087</v>
      </c>
      <c r="B5792" s="123">
        <v>1487428.0</v>
      </c>
      <c r="C5792" s="124" t="s">
        <v>12088</v>
      </c>
      <c r="D5792" s="125"/>
      <c r="E5792" s="126">
        <v>24.0</v>
      </c>
      <c r="F5792" s="127"/>
      <c r="G5792" s="127"/>
      <c r="H5792" s="127"/>
      <c r="I5792" s="128"/>
      <c r="K5792" s="105" t="str">
        <f>IFERROR(__xludf.DUMMYFUNCTION("if(A5792="""","""",substitute(SUBSTITUTE(index(importhtml(""http://finviz.com/quote.ashx?t=""&amp;A5792,""table"",10),7,2),""*"",""""),""-"",""0.00""))"),"Loading...")</f>
        <v>Loading...</v>
      </c>
      <c r="L5792" s="129">
        <v>4.45962495E8</v>
      </c>
      <c r="M5792" s="99">
        <f>IFERROR(__xludf.DUMMYFUNCTION("GOOGLEFINANCE(A5792,""beta"")"),0.08)</f>
        <v>0.08</v>
      </c>
    </row>
    <row r="5793">
      <c r="A5793" s="122" t="s">
        <v>12089</v>
      </c>
      <c r="B5793" s="123">
        <v>1464963.0</v>
      </c>
      <c r="C5793" s="124" t="s">
        <v>12090</v>
      </c>
      <c r="D5793" s="125"/>
      <c r="E5793" s="126">
        <v>24.0</v>
      </c>
      <c r="F5793" s="127"/>
      <c r="G5793" s="127"/>
      <c r="H5793" s="127"/>
      <c r="I5793" s="128"/>
      <c r="K5793" s="105" t="str">
        <f>IFERROR(__xludf.DUMMYFUNCTION("if(A5793="""","""",substitute(SUBSTITUTE(index(importhtml(""http://finviz.com/quote.ashx?t=""&amp;A5793,""table"",10),7,2),""*"",""""),""-"",""0.00""))"),"Loading...")</f>
        <v>Loading...</v>
      </c>
      <c r="L5793" s="129">
        <v>6.05214945E8</v>
      </c>
      <c r="M5793" s="99">
        <f>IFERROR(__xludf.DUMMYFUNCTION("GOOGLEFINANCE(A5793,""beta"")"),0.24)</f>
        <v>0.24</v>
      </c>
    </row>
    <row r="5794">
      <c r="A5794" s="122" t="s">
        <v>12091</v>
      </c>
      <c r="B5794" s="123">
        <v>1742692.0</v>
      </c>
      <c r="C5794" s="124" t="s">
        <v>12092</v>
      </c>
      <c r="D5794" s="125"/>
      <c r="E5794" s="126">
        <v>24.0</v>
      </c>
      <c r="F5794" s="127"/>
      <c r="G5794" s="127"/>
      <c r="H5794" s="127"/>
      <c r="I5794" s="128"/>
      <c r="K5794" s="105" t="str">
        <f>IFERROR(__xludf.DUMMYFUNCTION("if(A5794="""","""",substitute(SUBSTITUTE(index(importhtml(""http://finviz.com/quote.ashx?t=""&amp;A5794,""table"",10),7,2),""*"",""""),""-"",""0.00""))"),"Loading...")</f>
        <v>Loading...</v>
      </c>
      <c r="L5794" s="129">
        <v>1.99370232E9</v>
      </c>
      <c r="M5794" s="99">
        <v>2.22</v>
      </c>
    </row>
    <row r="5795">
      <c r="A5795" s="122" t="s">
        <v>12093</v>
      </c>
      <c r="B5795" s="123">
        <v>1115055.0</v>
      </c>
      <c r="C5795" s="124" t="s">
        <v>12094</v>
      </c>
      <c r="D5795" s="125"/>
      <c r="E5795" s="126">
        <v>24.0</v>
      </c>
      <c r="F5795" s="127"/>
      <c r="G5795" s="127"/>
      <c r="H5795" s="127"/>
      <c r="I5795" s="128"/>
      <c r="K5795" s="105" t="str">
        <f>IFERROR(__xludf.DUMMYFUNCTION("if(A5795="""","""",substitute(SUBSTITUTE(index(importhtml(""http://finviz.com/quote.ashx?t=""&amp;A5795,""table"",10),7,2),""*"",""""),""-"",""0.00""))"),"Loading...")</f>
        <v>Loading...</v>
      </c>
      <c r="L5795" s="129">
        <v>6.371327929E9</v>
      </c>
      <c r="M5795" s="99">
        <v>0.25</v>
      </c>
    </row>
    <row r="5796">
      <c r="A5796" s="122" t="s">
        <v>12095</v>
      </c>
      <c r="B5796" s="123">
        <v>1370053.0</v>
      </c>
      <c r="C5796" s="124" t="s">
        <v>12096</v>
      </c>
      <c r="D5796" s="125"/>
      <c r="E5796" s="126">
        <v>24.01</v>
      </c>
      <c r="F5796" s="127"/>
      <c r="G5796" s="127"/>
      <c r="H5796" s="127"/>
      <c r="I5796" s="128"/>
      <c r="K5796" s="105" t="str">
        <f>IFERROR(__xludf.DUMMYFUNCTION("if(A5796="""","""",substitute(SUBSTITUTE(index(importhtml(""http://finviz.com/quote.ashx?t=""&amp;A5796,""table"",10),7,2),""*"",""""),""-"",""0.00""))"),"Loading...")</f>
        <v>Loading...</v>
      </c>
      <c r="L5796" s="129">
        <v>6.38069837E8</v>
      </c>
      <c r="M5796" s="99">
        <v>-0.3</v>
      </c>
    </row>
    <row r="5797">
      <c r="A5797" s="122" t="s">
        <v>12097</v>
      </c>
      <c r="B5797" s="123">
        <v>750577.0</v>
      </c>
      <c r="C5797" s="124" t="s">
        <v>12098</v>
      </c>
      <c r="D5797" s="125"/>
      <c r="E5797" s="126">
        <v>24.02</v>
      </c>
      <c r="F5797" s="127"/>
      <c r="G5797" s="127"/>
      <c r="H5797" s="127"/>
      <c r="I5797" s="128"/>
      <c r="K5797" s="105" t="str">
        <f>IFERROR(__xludf.DUMMYFUNCTION("if(A5797="""","""",substitute(SUBSTITUTE(index(importhtml(""http://finviz.com/quote.ashx?t=""&amp;A5797,""table"",10),7,2),""*"",""""),""-"",""0.00""))"),"Loading...")</f>
        <v>Loading...</v>
      </c>
      <c r="L5797" s="129">
        <v>3.714837927E9</v>
      </c>
      <c r="M5797" s="99">
        <v>0.3</v>
      </c>
    </row>
    <row r="5798">
      <c r="A5798" s="122" t="s">
        <v>12099</v>
      </c>
      <c r="B5798" s="123">
        <v>1527636.0</v>
      </c>
      <c r="C5798" s="124" t="s">
        <v>12100</v>
      </c>
      <c r="D5798" s="125"/>
      <c r="E5798" s="126">
        <v>24.04</v>
      </c>
      <c r="F5798" s="127"/>
      <c r="G5798" s="127"/>
      <c r="H5798" s="127"/>
      <c r="I5798" s="128"/>
      <c r="K5798" s="105" t="str">
        <f>IFERROR(__xludf.DUMMYFUNCTION("if(A5798="""","""",substitute(SUBSTITUTE(index(importhtml(""http://finviz.com/quote.ashx?t=""&amp;A5798,""table"",10),7,2),""*"",""""),""-"",""0.00""))"),"Loading...")</f>
        <v>Loading...</v>
      </c>
      <c r="L5798" s="129">
        <v>3.102419814E9</v>
      </c>
      <c r="M5798" s="99">
        <v>0.27</v>
      </c>
    </row>
    <row r="5799">
      <c r="A5799" s="122" t="s">
        <v>12101</v>
      </c>
      <c r="B5799" s="123">
        <v>1765159.0</v>
      </c>
      <c r="C5799" s="124" t="s">
        <v>12102</v>
      </c>
      <c r="D5799" s="125"/>
      <c r="E5799" s="126">
        <v>24.04</v>
      </c>
      <c r="F5799" s="127"/>
      <c r="G5799" s="127"/>
      <c r="H5799" s="127"/>
      <c r="I5799" s="128"/>
      <c r="K5799" s="105" t="str">
        <f>IFERROR(__xludf.DUMMYFUNCTION("if(A5799="""","""",substitute(SUBSTITUTE(index(importhtml(""http://finviz.com/quote.ashx?t=""&amp;A5799,""table"",10),7,2),""*"",""""),""-"",""0.00""))"),"Loading...")</f>
        <v>Loading...</v>
      </c>
      <c r="L5799" s="129">
        <v>4.503630357E9</v>
      </c>
      <c r="M5799" s="99">
        <v>2.81</v>
      </c>
    </row>
    <row r="5800">
      <c r="A5800" s="122" t="s">
        <v>12103</v>
      </c>
      <c r="B5800" s="123">
        <v>31107.0</v>
      </c>
      <c r="C5800" s="124" t="s">
        <v>12104</v>
      </c>
      <c r="D5800" s="125"/>
      <c r="E5800" s="126">
        <v>24.05</v>
      </c>
      <c r="F5800" s="127"/>
      <c r="G5800" s="127"/>
      <c r="H5800" s="127"/>
      <c r="I5800" s="128"/>
      <c r="K5800" s="55" t="s">
        <v>9116</v>
      </c>
      <c r="L5800" s="129">
        <v>1.50046285E8</v>
      </c>
      <c r="M5800" s="99">
        <v>1.12</v>
      </c>
    </row>
    <row r="5801">
      <c r="A5801" s="122" t="s">
        <v>12105</v>
      </c>
      <c r="B5801" s="123">
        <v>894671.0</v>
      </c>
      <c r="C5801" s="124" t="s">
        <v>12106</v>
      </c>
      <c r="D5801" s="125"/>
      <c r="E5801" s="126">
        <v>24.05</v>
      </c>
      <c r="F5801" s="127"/>
      <c r="G5801" s="127"/>
      <c r="H5801" s="127"/>
      <c r="I5801" s="128"/>
      <c r="K5801" s="105" t="str">
        <f>IFERROR(__xludf.DUMMYFUNCTION("if(A5801="""","""",substitute(SUBSTITUTE(index(importhtml(""http://finviz.com/quote.ashx?t=""&amp;A5801,""table"",10),7,2),""*"",""""),""-"",""0.00""))"),"Loading...")</f>
        <v>Loading...</v>
      </c>
      <c r="L5801" s="129">
        <v>1.14793772E8</v>
      </c>
      <c r="M5801" s="99">
        <v>0.1</v>
      </c>
    </row>
    <row r="5802">
      <c r="A5802" s="122" t="s">
        <v>12107</v>
      </c>
      <c r="B5802" s="123">
        <v>1281926.0</v>
      </c>
      <c r="C5802" s="124" t="s">
        <v>12108</v>
      </c>
      <c r="D5802" s="125"/>
      <c r="E5802" s="126">
        <v>24.08</v>
      </c>
      <c r="F5802" s="127"/>
      <c r="G5802" s="127"/>
      <c r="H5802" s="127"/>
      <c r="I5802" s="128"/>
      <c r="K5802" s="55" t="s">
        <v>12109</v>
      </c>
      <c r="L5802" s="129">
        <v>3.94626169E8</v>
      </c>
      <c r="M5802" s="99">
        <v>1.46</v>
      </c>
    </row>
    <row r="5803">
      <c r="A5803" s="122" t="s">
        <v>12110</v>
      </c>
      <c r="B5803" s="123">
        <v>730708.0</v>
      </c>
      <c r="C5803" s="124" t="s">
        <v>12111</v>
      </c>
      <c r="D5803" s="125"/>
      <c r="E5803" s="126">
        <v>24.1</v>
      </c>
      <c r="F5803" s="127"/>
      <c r="G5803" s="127"/>
      <c r="H5803" s="127"/>
      <c r="I5803" s="128"/>
      <c r="K5803" s="105" t="str">
        <f>IFERROR(__xludf.DUMMYFUNCTION("if(A5803="""","""",substitute(SUBSTITUTE(index(importhtml(""http://finviz.com/quote.ashx?t=""&amp;A5803,""table"",10),7,2),""*"",""""),""-"",""0.00""))"),"Loading...")</f>
        <v>Loading...</v>
      </c>
      <c r="L5803" s="129">
        <v>2.045150132E9</v>
      </c>
      <c r="M5803" s="99">
        <v>1.17</v>
      </c>
    </row>
    <row r="5804">
      <c r="A5804" s="122" t="s">
        <v>12112</v>
      </c>
      <c r="B5804" s="123">
        <v>857855.0</v>
      </c>
      <c r="C5804" s="124" t="s">
        <v>12113</v>
      </c>
      <c r="D5804" s="125"/>
      <c r="E5804" s="126">
        <v>24.1</v>
      </c>
      <c r="F5804" s="127"/>
      <c r="G5804" s="127"/>
      <c r="H5804" s="127"/>
      <c r="I5804" s="128"/>
      <c r="K5804" s="105" t="str">
        <f>IFERROR(__xludf.DUMMYFUNCTION("if(A5804="""","""",substitute(SUBSTITUTE(index(importhtml(""http://finviz.com/quote.ashx?t=""&amp;A5804,""table"",10),7,2),""*"",""""),""-"",""0.00""))"),"Loading...")</f>
        <v>Loading...</v>
      </c>
      <c r="L5804" s="129">
        <v>3.251717924E9</v>
      </c>
      <c r="M5804" s="99">
        <v>0.23</v>
      </c>
    </row>
    <row r="5805">
      <c r="A5805" s="122" t="s">
        <v>12114</v>
      </c>
      <c r="B5805" s="123">
        <v>1794846.0</v>
      </c>
      <c r="C5805" s="124" t="s">
        <v>12115</v>
      </c>
      <c r="D5805" s="125"/>
      <c r="E5805" s="126">
        <v>24.11</v>
      </c>
      <c r="F5805" s="127"/>
      <c r="G5805" s="127"/>
      <c r="H5805" s="127"/>
      <c r="I5805" s="128"/>
      <c r="K5805" s="105" t="str">
        <f>IFERROR(__xludf.DUMMYFUNCTION("if(A5805="""","""",substitute(SUBSTITUTE(index(importhtml(""http://finviz.com/quote.ashx?t=""&amp;A5805,""table"",10),7,2),""*"",""""),""-"",""0.00""))"),"Loading...")</f>
        <v>Loading...</v>
      </c>
      <c r="L5805" s="129">
        <v>3.39568242E8</v>
      </c>
      <c r="M5805" s="99" t="str">
        <f>IFERROR(__xludf.DUMMYFUNCTION("GOOGLEFINANCE(A5805,""beta"")"),"#N/A")</f>
        <v>#N/A</v>
      </c>
    </row>
    <row r="5806">
      <c r="A5806" s="122" t="s">
        <v>12116</v>
      </c>
      <c r="B5806" s="123">
        <v>20520.0</v>
      </c>
      <c r="C5806" s="124" t="s">
        <v>12117</v>
      </c>
      <c r="D5806" s="125"/>
      <c r="E5806" s="126">
        <v>24.11</v>
      </c>
      <c r="F5806" s="127"/>
      <c r="G5806" s="127"/>
      <c r="H5806" s="127"/>
      <c r="I5806" s="128"/>
      <c r="K5806" s="105" t="str">
        <f>IFERROR(__xludf.DUMMYFUNCTION("if(A5806="""","""",substitute(SUBSTITUTE(index(importhtml(""http://finviz.com/quote.ashx?t=""&amp;A5806,""table"",10),7,2),""*"",""""),""-"",""0.00""))"),"Loading...")</f>
        <v>Loading...</v>
      </c>
      <c r="L5806" s="129">
        <v>5.798870247E9</v>
      </c>
      <c r="M5806" s="99">
        <f>IFERROR(__xludf.DUMMYFUNCTION("GOOGLEFINANCE(A5806,""beta"")"),0.94)</f>
        <v>0.94</v>
      </c>
    </row>
    <row r="5807">
      <c r="A5807" s="122" t="s">
        <v>12118</v>
      </c>
      <c r="B5807" s="123">
        <v>1140471.0</v>
      </c>
      <c r="C5807" s="124" t="s">
        <v>12119</v>
      </c>
      <c r="D5807" s="125"/>
      <c r="E5807" s="126">
        <v>24.11</v>
      </c>
      <c r="F5807" s="127"/>
      <c r="G5807" s="127"/>
      <c r="H5807" s="127"/>
      <c r="I5807" s="128"/>
      <c r="K5807" s="105" t="str">
        <f>IFERROR(__xludf.DUMMYFUNCTION("if(A5807="""","""",substitute(SUBSTITUTE(index(importhtml(""http://finviz.com/quote.ashx?t=""&amp;A5807,""table"",10),7,2),""*"",""""),""-"",""0.00""))"),"Loading...")</f>
        <v>Loading...</v>
      </c>
      <c r="L5807" s="129">
        <v>2.3370530663E10</v>
      </c>
      <c r="M5807" s="99">
        <v>1.11</v>
      </c>
    </row>
    <row r="5808">
      <c r="A5808" s="122" t="s">
        <v>12120</v>
      </c>
      <c r="B5808" s="123">
        <v>1699838.0</v>
      </c>
      <c r="C5808" s="124" t="s">
        <v>12121</v>
      </c>
      <c r="D5808" s="125"/>
      <c r="E5808" s="126">
        <v>24.13</v>
      </c>
      <c r="F5808" s="127"/>
      <c r="G5808" s="127"/>
      <c r="H5808" s="127"/>
      <c r="I5808" s="128"/>
      <c r="K5808" s="105" t="str">
        <f>IFERROR(__xludf.DUMMYFUNCTION("if(A5808="""","""",substitute(SUBSTITUTE(index(importhtml(""http://finviz.com/quote.ashx?t=""&amp;A5808,""table"",10),7,2),""*"",""""),""-"",""0.00""))"),"Loading...")</f>
        <v>Loading...</v>
      </c>
      <c r="L5808" s="129">
        <v>7.429023491E9</v>
      </c>
      <c r="M5808" s="99">
        <f>IFERROR(__xludf.DUMMYFUNCTION("GOOGLEFINANCE(A5808,""beta"")"),0.98)</f>
        <v>0.98</v>
      </c>
    </row>
    <row r="5809">
      <c r="A5809" s="122" t="s">
        <v>12122</v>
      </c>
      <c r="B5809" s="123">
        <v>1527590.0</v>
      </c>
      <c r="C5809" s="124" t="s">
        <v>12123</v>
      </c>
      <c r="D5809" s="125"/>
      <c r="E5809" s="126">
        <v>24.14</v>
      </c>
      <c r="F5809" s="127"/>
      <c r="G5809" s="127"/>
      <c r="H5809" s="127"/>
      <c r="I5809" s="128"/>
      <c r="K5809" s="105" t="str">
        <f>IFERROR(__xludf.DUMMYFUNCTION("if(A5809="""","""",substitute(SUBSTITUTE(index(importhtml(""http://finviz.com/quote.ashx?t=""&amp;A5809,""table"",10),7,2),""*"",""""),""-"",""0.00""))"),"Loading...")</f>
        <v>Loading...</v>
      </c>
      <c r="L5809" s="129">
        <v>1.578382595E9</v>
      </c>
      <c r="M5809" s="99">
        <f>IFERROR(__xludf.DUMMYFUNCTION("GOOGLEFINANCE(A5809,""beta"")"),-0.03)</f>
        <v>-0.03</v>
      </c>
    </row>
    <row r="5810">
      <c r="A5810" s="122" t="s">
        <v>12124</v>
      </c>
      <c r="B5810" s="123">
        <v>1307954.0</v>
      </c>
      <c r="C5810" s="124" t="s">
        <v>12125</v>
      </c>
      <c r="D5810" s="125"/>
      <c r="E5810" s="126">
        <v>24.15</v>
      </c>
      <c r="F5810" s="127"/>
      <c r="G5810" s="127"/>
      <c r="H5810" s="127"/>
      <c r="I5810" s="128"/>
      <c r="K5810" s="105" t="str">
        <f>IFERROR(__xludf.DUMMYFUNCTION("if(A5810="""","""",substitute(SUBSTITUTE(index(importhtml(""http://finviz.com/quote.ashx?t=""&amp;A5810,""table"",10),7,2),""*"",""""),""-"",""0.00""))"),"Loading...")</f>
        <v>Loading...</v>
      </c>
      <c r="L5810" s="129">
        <v>4.209040643E9</v>
      </c>
      <c r="M5810" s="99">
        <v>1.13</v>
      </c>
    </row>
    <row r="5811">
      <c r="A5811" s="122" t="s">
        <v>12126</v>
      </c>
      <c r="B5811" s="123">
        <v>732717.0</v>
      </c>
      <c r="C5811" s="124" t="s">
        <v>12127</v>
      </c>
      <c r="D5811" s="125"/>
      <c r="E5811" s="126">
        <v>24.15</v>
      </c>
      <c r="F5811" s="127"/>
      <c r="G5811" s="127"/>
      <c r="H5811" s="127"/>
      <c r="I5811" s="128"/>
      <c r="K5811" s="105" t="str">
        <f>IFERROR(__xludf.DUMMYFUNCTION("if(A5811="""","""",substitute(SUBSTITUTE(index(importhtml(""http://finviz.com/quote.ashx?t=""&amp;A5811,""table"",10),7,2),""*"",""""),""-"",""0.00""))"),"Loading...")</f>
        <v>Loading...</v>
      </c>
      <c r="L5811" s="129">
        <v>1.27484499454E11</v>
      </c>
      <c r="M5811" s="99">
        <v>0.3</v>
      </c>
    </row>
    <row r="5812">
      <c r="A5812" s="122" t="s">
        <v>12128</v>
      </c>
      <c r="B5812" s="123">
        <v>1166663.0</v>
      </c>
      <c r="C5812" s="124" t="s">
        <v>12129</v>
      </c>
      <c r="D5812" s="125"/>
      <c r="E5812" s="126">
        <v>24.17</v>
      </c>
      <c r="F5812" s="127"/>
      <c r="G5812" s="127"/>
      <c r="H5812" s="127"/>
      <c r="I5812" s="128"/>
      <c r="K5812" s="105" t="str">
        <f>IFERROR(__xludf.DUMMYFUNCTION("if(A5812="""","""",substitute(SUBSTITUTE(index(importhtml(""http://finviz.com/quote.ashx?t=""&amp;A5812,""table"",10),7,2),""*"",""""),""-"",""0.00""))"),"Loading...")</f>
        <v>Loading...</v>
      </c>
      <c r="L5812" s="129">
        <v>7.13150354E8</v>
      </c>
      <c r="M5812" s="99">
        <v>-0.12</v>
      </c>
    </row>
    <row r="5813">
      <c r="A5813" s="122" t="s">
        <v>12130</v>
      </c>
      <c r="B5813" s="123">
        <v>717538.0</v>
      </c>
      <c r="C5813" s="124" t="s">
        <v>12131</v>
      </c>
      <c r="D5813" s="125"/>
      <c r="E5813" s="126">
        <v>24.18</v>
      </c>
      <c r="F5813" s="127"/>
      <c r="G5813" s="127"/>
      <c r="H5813" s="127"/>
      <c r="I5813" s="128"/>
      <c r="K5813" s="105" t="str">
        <f>IFERROR(__xludf.DUMMYFUNCTION("if(A5813="""","""",substitute(SUBSTITUTE(index(importhtml(""http://finviz.com/quote.ashx?t=""&amp;A5813,""table"",10),7,2),""*"",""""),""-"",""0.00""))"),"Loading...")</f>
        <v>Loading...</v>
      </c>
      <c r="L5813" s="129">
        <v>4.12396192E8</v>
      </c>
      <c r="M5813" s="99">
        <v>0.76</v>
      </c>
    </row>
    <row r="5814">
      <c r="A5814" s="122" t="s">
        <v>12132</v>
      </c>
      <c r="B5814" s="123">
        <v>945764.0</v>
      </c>
      <c r="C5814" s="124" t="s">
        <v>12133</v>
      </c>
      <c r="D5814" s="125"/>
      <c r="E5814" s="126">
        <v>24.2</v>
      </c>
      <c r="F5814" s="127"/>
      <c r="G5814" s="127"/>
      <c r="H5814" s="127"/>
      <c r="I5814" s="128"/>
      <c r="K5814" s="105" t="str">
        <f>IFERROR(__xludf.DUMMYFUNCTION("if(A5814="""","""",substitute(SUBSTITUTE(index(importhtml(""http://finviz.com/quote.ashx?t=""&amp;A5814,""table"",10),7,2),""*"",""""),""-"",""0.00""))"),"Loading...")</f>
        <v>Loading...</v>
      </c>
      <c r="L5814" s="129" t="e">
        <v>#N/A</v>
      </c>
      <c r="M5814" s="99" t="e">
        <v>#N/A</v>
      </c>
    </row>
    <row r="5815">
      <c r="A5815" s="122" t="s">
        <v>12134</v>
      </c>
      <c r="B5815" s="123">
        <v>203596.0</v>
      </c>
      <c r="C5815" s="124" t="s">
        <v>12135</v>
      </c>
      <c r="D5815" s="125"/>
      <c r="E5815" s="126">
        <v>24.21</v>
      </c>
      <c r="F5815" s="127"/>
      <c r="G5815" s="127"/>
      <c r="H5815" s="127"/>
      <c r="I5815" s="128"/>
      <c r="K5815" s="105" t="str">
        <f>IFERROR(__xludf.DUMMYFUNCTION("if(A5815="""","""",substitute(SUBSTITUTE(index(importhtml(""http://finviz.com/quote.ashx?t=""&amp;A5815,""table"",10),7,2),""*"",""""),""-"",""0.00""))"),"Loading...")</f>
        <v>Loading...</v>
      </c>
      <c r="L5815" s="129">
        <v>1.710992946E9</v>
      </c>
      <c r="M5815" s="99">
        <v>0.23</v>
      </c>
    </row>
    <row r="5816">
      <c r="A5816" s="122" t="s">
        <v>12136</v>
      </c>
      <c r="B5816" s="123">
        <v>1377936.0</v>
      </c>
      <c r="C5816" s="124" t="s">
        <v>12137</v>
      </c>
      <c r="D5816" s="125"/>
      <c r="E5816" s="126">
        <v>24.24</v>
      </c>
      <c r="F5816" s="127"/>
      <c r="G5816" s="127"/>
      <c r="H5816" s="127"/>
      <c r="I5816" s="128"/>
      <c r="K5816" s="105" t="str">
        <f>IFERROR(__xludf.DUMMYFUNCTION("if(A5816="""","""",substitute(SUBSTITUTE(index(importhtml(""http://finviz.com/quote.ashx?t=""&amp;A5816,""table"",10),7,2),""*"",""""),""-"",""0.00""))"),"Loading...")</f>
        <v>Loading...</v>
      </c>
      <c r="L5816" s="129">
        <v>3.14712473E8</v>
      </c>
      <c r="M5816" s="99">
        <f>IFERROR(__xludf.DUMMYFUNCTION("GOOGLEFINANCE(A5816,""beta"")"),0.12)</f>
        <v>0.12</v>
      </c>
    </row>
    <row r="5817">
      <c r="A5817" s="122" t="s">
        <v>12138</v>
      </c>
      <c r="B5817" s="123">
        <v>1586454.0</v>
      </c>
      <c r="C5817" s="124" t="s">
        <v>12139</v>
      </c>
      <c r="D5817" s="125"/>
      <c r="E5817" s="126">
        <v>24.25</v>
      </c>
      <c r="F5817" s="127"/>
      <c r="G5817" s="127"/>
      <c r="H5817" s="127"/>
      <c r="I5817" s="128"/>
      <c r="K5817" s="105" t="str">
        <f>IFERROR(__xludf.DUMMYFUNCTION("if(A5817="""","""",substitute(SUBSTITUTE(index(importhtml(""http://finviz.com/quote.ashx?t=""&amp;A5817,""table"",10),7,2),""*"",""""),""-"",""0.00""))"),"Loading...")</f>
        <v>Loading...</v>
      </c>
      <c r="L5817" s="129">
        <v>7.905211E7</v>
      </c>
      <c r="M5817" s="99">
        <v>0.53</v>
      </c>
    </row>
    <row r="5818">
      <c r="A5818" s="122" t="s">
        <v>12140</v>
      </c>
      <c r="B5818" s="123">
        <v>1423689.0</v>
      </c>
      <c r="C5818" s="124" t="s">
        <v>12141</v>
      </c>
      <c r="D5818" s="125"/>
      <c r="E5818" s="126">
        <v>24.29</v>
      </c>
      <c r="F5818" s="127"/>
      <c r="G5818" s="127"/>
      <c r="H5818" s="127"/>
      <c r="I5818" s="128"/>
      <c r="K5818" s="105" t="str">
        <f>IFERROR(__xludf.DUMMYFUNCTION("if(A5818="""","""",substitute(SUBSTITUTE(index(importhtml(""http://finviz.com/quote.ashx?t=""&amp;A5818,""table"",10),7,2),""*"",""""),""-"",""0.00""))"),"Loading...")</f>
        <v>Loading...</v>
      </c>
      <c r="L5818" s="129">
        <v>6.409060518E9</v>
      </c>
      <c r="M5818" s="99">
        <v>0.8</v>
      </c>
    </row>
    <row r="5819">
      <c r="A5819" s="122" t="s">
        <v>12142</v>
      </c>
      <c r="B5819" s="123">
        <v>919864.0</v>
      </c>
      <c r="C5819" s="124" t="s">
        <v>12143</v>
      </c>
      <c r="D5819" s="125"/>
      <c r="E5819" s="126">
        <v>24.3</v>
      </c>
      <c r="F5819" s="127"/>
      <c r="G5819" s="127"/>
      <c r="H5819" s="127"/>
      <c r="I5819" s="128"/>
      <c r="K5819" s="105" t="str">
        <f>IFERROR(__xludf.DUMMYFUNCTION("if(A5819="""","""",substitute(SUBSTITUTE(index(importhtml(""http://finviz.com/quote.ashx?t=""&amp;A5819,""table"",10),7,2),""*"",""""),""-"",""0.00""))"),"Loading...")</f>
        <v>Loading...</v>
      </c>
      <c r="L5819" s="129">
        <v>1.04502511E8</v>
      </c>
      <c r="M5819" s="99">
        <v>0.54</v>
      </c>
    </row>
    <row r="5820">
      <c r="A5820" s="122" t="s">
        <v>12144</v>
      </c>
      <c r="B5820" s="123">
        <v>1611005.0</v>
      </c>
      <c r="C5820" s="124" t="s">
        <v>12145</v>
      </c>
      <c r="D5820" s="125"/>
      <c r="E5820" s="126">
        <v>24.3</v>
      </c>
      <c r="F5820" s="127"/>
      <c r="G5820" s="127"/>
      <c r="H5820" s="127"/>
      <c r="I5820" s="128"/>
      <c r="K5820" s="105" t="str">
        <f>IFERROR(__xludf.DUMMYFUNCTION("if(A5820="""","""",substitute(SUBSTITUTE(index(importhtml(""http://finviz.com/quote.ashx?t=""&amp;A5820,""table"",10),7,2),""*"",""""),""-"",""0.00""))"),"Loading...")</f>
        <v>Loading...</v>
      </c>
      <c r="L5820" s="129">
        <v>1.289674345E9</v>
      </c>
      <c r="M5820" s="99">
        <v>1.28</v>
      </c>
    </row>
    <row r="5821">
      <c r="A5821" s="122" t="s">
        <v>12146</v>
      </c>
      <c r="B5821" s="123">
        <v>1000209.0</v>
      </c>
      <c r="C5821" s="124" t="s">
        <v>12147</v>
      </c>
      <c r="D5821" s="125"/>
      <c r="E5821" s="126">
        <v>24.3</v>
      </c>
      <c r="F5821" s="127"/>
      <c r="G5821" s="127"/>
      <c r="H5821" s="127"/>
      <c r="I5821" s="128"/>
      <c r="K5821" s="105" t="str">
        <f>IFERROR(__xludf.DUMMYFUNCTION("if(A5821="""","""",substitute(SUBSTITUTE(index(importhtml(""http://finviz.com/quote.ashx?t=""&amp;A5821,""table"",10),7,2),""*"",""""),""-"",""0.00""))"),"Loading...")</f>
        <v>Loading...</v>
      </c>
      <c r="L5821" s="129" t="e">
        <v>#N/A</v>
      </c>
      <c r="M5821" s="99">
        <v>0.88</v>
      </c>
    </row>
    <row r="5822">
      <c r="A5822" s="122" t="s">
        <v>12148</v>
      </c>
      <c r="B5822" s="123">
        <v>1415311.0</v>
      </c>
      <c r="C5822" s="124" t="s">
        <v>12149</v>
      </c>
      <c r="D5822" s="125"/>
      <c r="E5822" s="126">
        <v>24.31</v>
      </c>
      <c r="F5822" s="127"/>
      <c r="G5822" s="127"/>
      <c r="H5822" s="127"/>
      <c r="I5822" s="128"/>
      <c r="K5822" s="55" t="s">
        <v>1034</v>
      </c>
      <c r="L5822" s="129" t="e">
        <v>#N/A</v>
      </c>
      <c r="M5822" s="99" t="str">
        <f>IFERROR(__xludf.DUMMYFUNCTION("GOOGLEFINANCE(A5822,""beta"")"),"#N/A")</f>
        <v>#N/A</v>
      </c>
    </row>
    <row r="5823">
      <c r="A5823" s="122" t="s">
        <v>12150</v>
      </c>
      <c r="B5823" s="123">
        <v>1604174.0</v>
      </c>
      <c r="C5823" s="124" t="s">
        <v>12151</v>
      </c>
      <c r="D5823" s="125"/>
      <c r="E5823" s="126">
        <v>24.35</v>
      </c>
      <c r="F5823" s="127"/>
      <c r="G5823" s="127"/>
      <c r="H5823" s="127"/>
      <c r="I5823" s="128"/>
      <c r="K5823" s="105" t="str">
        <f>IFERROR(__xludf.DUMMYFUNCTION("if(A5823="""","""",substitute(SUBSTITUTE(index(importhtml(""http://finviz.com/quote.ashx?t=""&amp;A5823,""table"",10),7,2),""*"",""""),""-"",""0.00""))"),"Loading...")</f>
        <v>Loading...</v>
      </c>
      <c r="L5823" s="129">
        <v>7.25665242E8</v>
      </c>
      <c r="M5823" s="99">
        <v>0.22</v>
      </c>
    </row>
    <row r="5824">
      <c r="A5824" s="122" t="s">
        <v>12152</v>
      </c>
      <c r="B5824" s="123">
        <v>1259429.0</v>
      </c>
      <c r="C5824" s="124" t="s">
        <v>12153</v>
      </c>
      <c r="D5824" s="125"/>
      <c r="E5824" s="126">
        <v>24.37</v>
      </c>
      <c r="F5824" s="127"/>
      <c r="G5824" s="127"/>
      <c r="H5824" s="127"/>
      <c r="I5824" s="128"/>
      <c r="K5824" s="105" t="str">
        <f>IFERROR(__xludf.DUMMYFUNCTION("if(A5824="""","""",substitute(SUBSTITUTE(index(importhtml(""http://finviz.com/quote.ashx?t=""&amp;A5824,""table"",10),7,2),""*"",""""),""-"",""0.00""))"),"Loading...")</f>
        <v>Loading...</v>
      </c>
      <c r="L5824" s="129">
        <v>1.7729549E8</v>
      </c>
      <c r="M5824" s="99">
        <v>0.41</v>
      </c>
    </row>
    <row r="5825">
      <c r="A5825" s="122" t="s">
        <v>12154</v>
      </c>
      <c r="B5825" s="123">
        <v>1050441.0</v>
      </c>
      <c r="C5825" s="124" t="s">
        <v>12155</v>
      </c>
      <c r="D5825" s="125"/>
      <c r="E5825" s="126">
        <v>24.39</v>
      </c>
      <c r="F5825" s="127"/>
      <c r="G5825" s="127"/>
      <c r="H5825" s="127"/>
      <c r="I5825" s="128"/>
      <c r="K5825" s="105" t="str">
        <f>IFERROR(__xludf.DUMMYFUNCTION("if(A5825="""","""",substitute(SUBSTITUTE(index(importhtml(""http://finviz.com/quote.ashx?t=""&amp;A5825,""table"",10),7,2),""*"",""""),""-"",""0.00""))"),"Loading...")</f>
        <v>Loading...</v>
      </c>
      <c r="L5825" s="129">
        <v>7.29885609E8</v>
      </c>
      <c r="M5825" s="99">
        <v>1.05</v>
      </c>
    </row>
    <row r="5826">
      <c r="A5826" s="122" t="s">
        <v>12156</v>
      </c>
      <c r="B5826" s="123">
        <v>1629019.0</v>
      </c>
      <c r="C5826" s="124" t="s">
        <v>12157</v>
      </c>
      <c r="D5826" s="125"/>
      <c r="E5826" s="126">
        <v>24.39</v>
      </c>
      <c r="F5826" s="127"/>
      <c r="G5826" s="127"/>
      <c r="H5826" s="127"/>
      <c r="I5826" s="128"/>
      <c r="K5826" s="105" t="str">
        <f>IFERROR(__xludf.DUMMYFUNCTION("if(A5826="""","""",substitute(SUBSTITUTE(index(importhtml(""http://finviz.com/quote.ashx?t=""&amp;A5826,""table"",10),7,2),""*"",""""),""-"",""0.00""))"),"Loading...")</f>
        <v>Loading...</v>
      </c>
      <c r="L5826" s="129">
        <v>1.77987858E9</v>
      </c>
      <c r="M5826" s="99">
        <v>0.66</v>
      </c>
    </row>
    <row r="5827">
      <c r="A5827" s="122" t="s">
        <v>12158</v>
      </c>
      <c r="B5827" s="123">
        <v>763901.0</v>
      </c>
      <c r="C5827" s="124" t="s">
        <v>12159</v>
      </c>
      <c r="D5827" s="125"/>
      <c r="E5827" s="126">
        <v>24.4</v>
      </c>
      <c r="F5827" s="127"/>
      <c r="G5827" s="127"/>
      <c r="H5827" s="127"/>
      <c r="I5827" s="128"/>
      <c r="K5827" s="105" t="str">
        <f>IFERROR(__xludf.DUMMYFUNCTION("if(A5827="""","""",substitute(SUBSTITUTE(index(importhtml(""http://finviz.com/quote.ashx?t=""&amp;A5827,""table"",10),7,2),""*"",""""),""-"",""0.00""))"),"Loading...")</f>
        <v>Loading...</v>
      </c>
      <c r="L5827" s="129">
        <v>6.219703887E9</v>
      </c>
      <c r="M5827" s="99">
        <v>0.07</v>
      </c>
    </row>
    <row r="5828">
      <c r="A5828" s="122" t="s">
        <v>12160</v>
      </c>
      <c r="B5828" s="123">
        <v>1682220.0</v>
      </c>
      <c r="C5828" s="124" t="s">
        <v>12161</v>
      </c>
      <c r="D5828" s="125"/>
      <c r="E5828" s="126">
        <v>24.42</v>
      </c>
      <c r="F5828" s="127"/>
      <c r="G5828" s="127"/>
      <c r="H5828" s="127"/>
      <c r="I5828" s="128"/>
      <c r="K5828" s="105" t="str">
        <f>IFERROR(__xludf.DUMMYFUNCTION("if(A5828="""","""",substitute(SUBSTITUTE(index(importhtml(""http://finviz.com/quote.ashx?t=""&amp;A5828,""table"",10),7,2),""*"",""""),""-"",""0.00""))"),"Loading...")</f>
        <v>Loading...</v>
      </c>
      <c r="L5828" s="129">
        <v>1.60561725E8</v>
      </c>
      <c r="M5828" s="99">
        <v>0.62</v>
      </c>
    </row>
    <row r="5829">
      <c r="A5829" s="122" t="s">
        <v>12162</v>
      </c>
      <c r="B5829" s="123">
        <v>1235912.0</v>
      </c>
      <c r="C5829" s="124" t="s">
        <v>12163</v>
      </c>
      <c r="D5829" s="125"/>
      <c r="E5829" s="126">
        <v>24.42</v>
      </c>
      <c r="F5829" s="127"/>
      <c r="G5829" s="127"/>
      <c r="H5829" s="127"/>
      <c r="I5829" s="128"/>
      <c r="K5829" s="105" t="str">
        <f>IFERROR(__xludf.DUMMYFUNCTION("if(A5829="""","""",substitute(SUBSTITUTE(index(importhtml(""http://finviz.com/quote.ashx?t=""&amp;A5829,""table"",10),7,2),""*"",""""),""-"",""0.00""))"),"Loading...")</f>
        <v>Loading...</v>
      </c>
      <c r="L5829" s="129">
        <v>5.09870065E8</v>
      </c>
      <c r="M5829" s="99">
        <f>IFERROR(__xludf.DUMMYFUNCTION("GOOGLEFINANCE(A5829,""beta"")"),1.25)</f>
        <v>1.25</v>
      </c>
    </row>
    <row r="5830">
      <c r="A5830" s="122" t="s">
        <v>12164</v>
      </c>
      <c r="B5830" s="123">
        <v>1672909.0</v>
      </c>
      <c r="C5830" s="124" t="s">
        <v>12165</v>
      </c>
      <c r="D5830" s="125"/>
      <c r="E5830" s="126">
        <v>24.43</v>
      </c>
      <c r="F5830" s="127"/>
      <c r="G5830" s="127"/>
      <c r="H5830" s="127"/>
      <c r="I5830" s="128"/>
      <c r="K5830" s="105" t="str">
        <f>IFERROR(__xludf.DUMMYFUNCTION("if(A5830="""","""",substitute(SUBSTITUTE(index(importhtml(""http://finviz.com/quote.ashx?t=""&amp;A5830,""table"",10),7,2),""*"",""""),""-"",""0.00""))"),"Loading...")</f>
        <v>Loading...</v>
      </c>
      <c r="L5830" s="129">
        <v>1.20797629E8</v>
      </c>
      <c r="M5830" s="99">
        <v>-0.24</v>
      </c>
    </row>
    <row r="5831">
      <c r="A5831" s="122" t="s">
        <v>12166</v>
      </c>
      <c r="B5831" s="123">
        <v>1487428.0</v>
      </c>
      <c r="C5831" s="124" t="s">
        <v>12167</v>
      </c>
      <c r="D5831" s="125"/>
      <c r="E5831" s="126">
        <v>24.43</v>
      </c>
      <c r="F5831" s="127"/>
      <c r="G5831" s="127"/>
      <c r="H5831" s="127"/>
      <c r="I5831" s="128"/>
      <c r="K5831" s="105" t="str">
        <f>IFERROR(__xludf.DUMMYFUNCTION("if(A5831="""","""",substitute(SUBSTITUTE(index(importhtml(""http://finviz.com/quote.ashx?t=""&amp;A5831,""table"",10),7,2),""*"",""""),""-"",""0.00""))"),"Loading...")</f>
        <v>Loading...</v>
      </c>
      <c r="L5831" s="129">
        <v>4.45962495E8</v>
      </c>
      <c r="M5831" s="99">
        <f>IFERROR(__xludf.DUMMYFUNCTION("GOOGLEFINANCE(A5831,""beta"")"),-0.02)</f>
        <v>-0.02</v>
      </c>
    </row>
    <row r="5832">
      <c r="A5832" s="122" t="s">
        <v>12168</v>
      </c>
      <c r="B5832" s="123">
        <v>1871130.0</v>
      </c>
      <c r="C5832" s="124" t="s">
        <v>12169</v>
      </c>
      <c r="D5832" s="125"/>
      <c r="E5832" s="126">
        <v>24.43</v>
      </c>
      <c r="F5832" s="127"/>
      <c r="G5832" s="127"/>
      <c r="H5832" s="127"/>
      <c r="I5832" s="128"/>
      <c r="K5832" s="105" t="str">
        <f>IFERROR(__xludf.DUMMYFUNCTION("if(A5832="""","""",substitute(SUBSTITUTE(index(importhtml(""http://finviz.com/quote.ashx?t=""&amp;A5832,""table"",10),7,2),""*"",""""),""-"",""0.00""))"),"Loading...")</f>
        <v>Loading...</v>
      </c>
      <c r="L5832" s="129">
        <v>2.397282614E9</v>
      </c>
      <c r="M5832" s="99">
        <f>IFERROR(__xludf.DUMMYFUNCTION("GOOGLEFINANCE(A5832,""beta"")"),1.46)</f>
        <v>1.46</v>
      </c>
    </row>
    <row r="5833">
      <c r="A5833" s="122" t="s">
        <v>12170</v>
      </c>
      <c r="B5833" s="123">
        <v>1343491.0</v>
      </c>
      <c r="C5833" s="124" t="s">
        <v>12171</v>
      </c>
      <c r="D5833" s="125"/>
      <c r="E5833" s="126">
        <v>24.46</v>
      </c>
      <c r="F5833" s="127"/>
      <c r="G5833" s="127"/>
      <c r="H5833" s="127"/>
      <c r="I5833" s="128"/>
      <c r="K5833" s="105" t="str">
        <f>IFERROR(__xludf.DUMMYFUNCTION("if(A5833="""","""",substitute(SUBSTITUTE(index(importhtml(""http://finviz.com/quote.ashx?t=""&amp;A5833,""table"",10),7,2),""*"",""""),""-"",""0.00""))"),"Loading...")</f>
        <v>Loading...</v>
      </c>
      <c r="L5833" s="129" t="e">
        <v>#N/A</v>
      </c>
      <c r="M5833" s="99">
        <v>0.11</v>
      </c>
    </row>
    <row r="5834">
      <c r="A5834" s="122" t="s">
        <v>12172</v>
      </c>
      <c r="B5834" s="123">
        <v>1835539.0</v>
      </c>
      <c r="C5834" s="124" t="s">
        <v>12173</v>
      </c>
      <c r="D5834" s="125"/>
      <c r="E5834" s="126">
        <v>24.47</v>
      </c>
      <c r="F5834" s="127"/>
      <c r="G5834" s="127"/>
      <c r="H5834" s="127"/>
      <c r="I5834" s="128"/>
      <c r="K5834" s="105" t="str">
        <f>IFERROR(__xludf.DUMMYFUNCTION("if(A5834="""","""",substitute(SUBSTITUTE(index(importhtml(""http://finviz.com/quote.ashx?t=""&amp;A5834,""table"",10),7,2),""*"",""""),""-"",""0.00""))"),"Loading...")</f>
        <v>Loading...</v>
      </c>
      <c r="L5834" s="129">
        <v>3.042665783E9</v>
      </c>
      <c r="M5834" s="99" t="str">
        <f>IFERROR(__xludf.DUMMYFUNCTION("GOOGLEFINANCE(A5834,""beta"")"),"#N/A")</f>
        <v>#N/A</v>
      </c>
    </row>
    <row r="5835">
      <c r="A5835" s="122" t="s">
        <v>12174</v>
      </c>
      <c r="B5835" s="123">
        <v>17313.0</v>
      </c>
      <c r="C5835" s="124" t="s">
        <v>12175</v>
      </c>
      <c r="D5835" s="125"/>
      <c r="E5835" s="126">
        <v>24.49</v>
      </c>
      <c r="F5835" s="127"/>
      <c r="G5835" s="127"/>
      <c r="H5835" s="127"/>
      <c r="I5835" s="128"/>
      <c r="K5835" s="105" t="str">
        <f>IFERROR(__xludf.DUMMYFUNCTION("if(A5835="""","""",substitute(SUBSTITUTE(index(importhtml(""http://finviz.com/quote.ashx?t=""&amp;A5835,""table"",10),7,2),""*"",""""),""-"",""0.00""))"),"Loading...")</f>
        <v>Loading...</v>
      </c>
      <c r="L5835" s="129">
        <v>1.052607374E9</v>
      </c>
      <c r="M5835" s="99">
        <v>1.16</v>
      </c>
    </row>
    <row r="5836">
      <c r="A5836" s="122" t="s">
        <v>12176</v>
      </c>
      <c r="B5836" s="123">
        <v>1835681.0</v>
      </c>
      <c r="C5836" s="124" t="s">
        <v>12177</v>
      </c>
      <c r="D5836" s="125"/>
      <c r="E5836" s="126">
        <v>24.49</v>
      </c>
      <c r="F5836" s="127"/>
      <c r="G5836" s="127"/>
      <c r="H5836" s="127"/>
      <c r="I5836" s="128"/>
      <c r="K5836" s="105" t="str">
        <f>IFERROR(__xludf.DUMMYFUNCTION("if(A5836="""","""",substitute(SUBSTITUTE(index(importhtml(""http://finviz.com/quote.ashx?t=""&amp;A5836,""table"",10),7,2),""*"",""""),""-"",""0.00""))"),"Loading...")</f>
        <v>Loading...</v>
      </c>
      <c r="L5836" s="129">
        <v>4.945522798E9</v>
      </c>
      <c r="M5836" s="99" t="str">
        <f>IFERROR(__xludf.DUMMYFUNCTION("GOOGLEFINANCE(A5836,""beta"")"),"#N/A")</f>
        <v>#N/A</v>
      </c>
    </row>
    <row r="5837">
      <c r="A5837" s="122" t="s">
        <v>12178</v>
      </c>
      <c r="B5837" s="123">
        <v>818677.0</v>
      </c>
      <c r="C5837" s="124" t="s">
        <v>12179</v>
      </c>
      <c r="D5837" s="125"/>
      <c r="E5837" s="126">
        <v>24.5</v>
      </c>
      <c r="F5837" s="127"/>
      <c r="G5837" s="127"/>
      <c r="H5837" s="127"/>
      <c r="I5837" s="128"/>
      <c r="K5837" s="105" t="str">
        <f>IFERROR(__xludf.DUMMYFUNCTION("if(A5837="""","""",substitute(SUBSTITUTE(index(importhtml(""http://finviz.com/quote.ashx?t=""&amp;A5837,""table"",10),7,2),""*"",""""),""-"",""0.00""))"),"Loading...")</f>
        <v>Loading...</v>
      </c>
      <c r="L5837" s="129">
        <v>7.940007E7</v>
      </c>
      <c r="M5837" s="99">
        <v>0.69</v>
      </c>
    </row>
    <row r="5838">
      <c r="A5838" s="122" t="s">
        <v>12180</v>
      </c>
      <c r="B5838" s="123">
        <v>1049606.0</v>
      </c>
      <c r="C5838" s="124" t="s">
        <v>12181</v>
      </c>
      <c r="D5838" s="125"/>
      <c r="E5838" s="126">
        <v>24.51</v>
      </c>
      <c r="F5838" s="127"/>
      <c r="G5838" s="127"/>
      <c r="H5838" s="127"/>
      <c r="I5838" s="128"/>
      <c r="K5838" s="55" t="s">
        <v>9675</v>
      </c>
      <c r="L5838" s="129">
        <v>2.92944123E8</v>
      </c>
      <c r="M5838" s="99">
        <v>0.77</v>
      </c>
    </row>
    <row r="5839">
      <c r="A5839" s="122" t="s">
        <v>12182</v>
      </c>
      <c r="B5839" s="123">
        <v>1015328.0</v>
      </c>
      <c r="C5839" s="124" t="s">
        <v>12183</v>
      </c>
      <c r="D5839" s="125"/>
      <c r="E5839" s="126">
        <v>24.51</v>
      </c>
      <c r="F5839" s="127"/>
      <c r="G5839" s="127"/>
      <c r="H5839" s="127"/>
      <c r="I5839" s="128"/>
      <c r="K5839" s="105" t="str">
        <f>IFERROR(__xludf.DUMMYFUNCTION("if(A5839="""","""",substitute(SUBSTITUTE(index(importhtml(""http://finviz.com/quote.ashx?t=""&amp;A5839,""table"",10),7,2),""*"",""""),""-"",""0.00""))"),"Loading...")</f>
        <v>Loading...</v>
      </c>
      <c r="L5839" s="129">
        <v>5.724995579E9</v>
      </c>
      <c r="M5839" s="99">
        <v>0.46</v>
      </c>
    </row>
    <row r="5840">
      <c r="A5840" s="122" t="s">
        <v>12184</v>
      </c>
      <c r="B5840" s="123">
        <v>312070.0</v>
      </c>
      <c r="C5840" s="124" t="s">
        <v>12185</v>
      </c>
      <c r="D5840" s="125"/>
      <c r="E5840" s="126">
        <v>24.51</v>
      </c>
      <c r="F5840" s="127"/>
      <c r="G5840" s="127"/>
      <c r="H5840" s="127"/>
      <c r="I5840" s="128"/>
      <c r="K5840" s="105" t="str">
        <f>IFERROR(__xludf.DUMMYFUNCTION("if(A5840="""","""",substitute(SUBSTITUTE(index(importhtml(""http://finviz.com/quote.ashx?t=""&amp;A5840,""table"",10),7,2),""*"",""""),""-"",""0.00""))"),"Loading...")</f>
        <v>Loading...</v>
      </c>
      <c r="L5840" s="129">
        <v>2.8384401496E10</v>
      </c>
      <c r="M5840" s="99" t="str">
        <f>IFERROR(__xludf.DUMMYFUNCTION("GOOGLEFINANCE(A5840,""beta"")"),"#N/A")</f>
        <v>#N/A</v>
      </c>
    </row>
    <row r="5841">
      <c r="A5841" s="122" t="s">
        <v>12186</v>
      </c>
      <c r="B5841" s="123">
        <v>1047340.0</v>
      </c>
      <c r="C5841" s="124" t="s">
        <v>12187</v>
      </c>
      <c r="D5841" s="125"/>
      <c r="E5841" s="126">
        <v>24.53</v>
      </c>
      <c r="F5841" s="127"/>
      <c r="G5841" s="127"/>
      <c r="H5841" s="127"/>
      <c r="I5841" s="128"/>
      <c r="K5841" s="55" t="s">
        <v>10245</v>
      </c>
      <c r="L5841" s="129">
        <v>1.180568834E9</v>
      </c>
      <c r="M5841" s="99">
        <v>0.54</v>
      </c>
    </row>
    <row r="5842">
      <c r="A5842" s="122" t="s">
        <v>12188</v>
      </c>
      <c r="B5842" s="123">
        <v>1004702.0</v>
      </c>
      <c r="C5842" s="124" t="s">
        <v>12189</v>
      </c>
      <c r="D5842" s="125"/>
      <c r="E5842" s="126">
        <v>24.53</v>
      </c>
      <c r="F5842" s="127"/>
      <c r="G5842" s="127"/>
      <c r="H5842" s="127"/>
      <c r="I5842" s="128"/>
      <c r="K5842" s="105" t="str">
        <f>IFERROR(__xludf.DUMMYFUNCTION("if(A5842="""","""",substitute(SUBSTITUTE(index(importhtml(""http://finviz.com/quote.ashx?t=""&amp;A5842,""table"",10),7,2),""*"",""""),""-"",""0.00""))"),"Loading...")</f>
        <v>Loading...</v>
      </c>
      <c r="L5842" s="129">
        <v>9.713751E8</v>
      </c>
      <c r="M5842" s="99">
        <v>0.21</v>
      </c>
    </row>
    <row r="5843">
      <c r="A5843" s="122" t="s">
        <v>12190</v>
      </c>
      <c r="B5843" s="123">
        <v>1360214.0</v>
      </c>
      <c r="C5843" s="124" t="s">
        <v>12191</v>
      </c>
      <c r="D5843" s="125"/>
      <c r="E5843" s="126">
        <v>24.54</v>
      </c>
      <c r="F5843" s="127"/>
      <c r="G5843" s="127"/>
      <c r="H5843" s="127"/>
      <c r="I5843" s="128"/>
      <c r="K5843" s="105" t="str">
        <f>IFERROR(__xludf.DUMMYFUNCTION("if(A5843="""","""",substitute(SUBSTITUTE(index(importhtml(""http://finviz.com/quote.ashx?t=""&amp;A5843,""table"",10),7,2),""*"",""""),""-"",""0.00""))"),"#N/A")</f>
        <v>#N/A</v>
      </c>
      <c r="L5843" s="129">
        <v>3.32565007E8</v>
      </c>
      <c r="M5843" s="99" t="str">
        <f>IFERROR(__xludf.DUMMYFUNCTION("GOOGLEFINANCE(A5843,""beta"")"),"#N/A")</f>
        <v>#N/A</v>
      </c>
    </row>
    <row r="5844">
      <c r="A5844" s="122" t="s">
        <v>12192</v>
      </c>
      <c r="B5844" s="123">
        <v>884614.0</v>
      </c>
      <c r="C5844" s="124" t="s">
        <v>12193</v>
      </c>
      <c r="D5844" s="125"/>
      <c r="E5844" s="126">
        <v>24.54</v>
      </c>
      <c r="F5844" s="127"/>
      <c r="G5844" s="127"/>
      <c r="H5844" s="127"/>
      <c r="I5844" s="128"/>
      <c r="K5844" s="105" t="str">
        <f>IFERROR(__xludf.DUMMYFUNCTION("if(A5844="""","""",substitute(SUBSTITUTE(index(importhtml(""http://finviz.com/quote.ashx?t=""&amp;A5844,""table"",10),7,2),""*"",""""),""-"",""0.00""))"),"Loading...")</f>
        <v>Loading...</v>
      </c>
      <c r="L5844" s="129">
        <v>4.97684575E9</v>
      </c>
      <c r="M5844" s="99">
        <v>1.13</v>
      </c>
    </row>
    <row r="5845">
      <c r="A5845" s="122" t="s">
        <v>12194</v>
      </c>
      <c r="B5845" s="123">
        <v>858470.0</v>
      </c>
      <c r="C5845" s="124" t="s">
        <v>12195</v>
      </c>
      <c r="D5845" s="125"/>
      <c r="E5845" s="126">
        <v>24.55</v>
      </c>
      <c r="F5845" s="127"/>
      <c r="G5845" s="127"/>
      <c r="H5845" s="127"/>
      <c r="I5845" s="128"/>
      <c r="K5845" s="105" t="str">
        <f>IFERROR(__xludf.DUMMYFUNCTION("if(A5845="""","""",substitute(SUBSTITUTE(index(importhtml(""http://finviz.com/quote.ashx?t=""&amp;A5845,""table"",10),7,2),""*"",""""),""-"",""0.00""))"),"Loading...")</f>
        <v>Loading...</v>
      </c>
      <c r="L5845" s="129">
        <v>4.47155895E8</v>
      </c>
      <c r="M5845" s="99">
        <v>-0.04</v>
      </c>
    </row>
    <row r="5846">
      <c r="A5846" s="122" t="s">
        <v>12196</v>
      </c>
      <c r="B5846" s="123">
        <v>1290677.0</v>
      </c>
      <c r="C5846" s="124" t="s">
        <v>12197</v>
      </c>
      <c r="D5846" s="125"/>
      <c r="E5846" s="126">
        <v>24.56</v>
      </c>
      <c r="F5846" s="127"/>
      <c r="G5846" s="127"/>
      <c r="H5846" s="127"/>
      <c r="I5846" s="128"/>
      <c r="K5846" s="105" t="str">
        <f>IFERROR(__xludf.DUMMYFUNCTION("if(A5846="""","""",substitute(SUBSTITUTE(index(importhtml(""http://finviz.com/quote.ashx?t=""&amp;A5846,""table"",10),7,2),""*"",""""),""-"",""0.00""))"),"Loading...")</f>
        <v>Loading...</v>
      </c>
      <c r="L5846" s="129">
        <v>4.32367001E8</v>
      </c>
      <c r="M5846" s="99">
        <v>0.48</v>
      </c>
    </row>
    <row r="5847">
      <c r="A5847" s="122" t="s">
        <v>12198</v>
      </c>
      <c r="B5847" s="123">
        <v>1156831.0</v>
      </c>
      <c r="C5847" s="124" t="s">
        <v>12199</v>
      </c>
      <c r="D5847" s="125"/>
      <c r="E5847" s="126">
        <v>24.57</v>
      </c>
      <c r="F5847" s="127"/>
      <c r="G5847" s="127"/>
      <c r="H5847" s="127"/>
      <c r="I5847" s="128"/>
      <c r="K5847" s="105" t="str">
        <f>IFERROR(__xludf.DUMMYFUNCTION("if(A5847="""","""",substitute(SUBSTITUTE(index(importhtml(""http://finviz.com/quote.ashx?t=""&amp;A5847,""table"",10),7,2),""*"",""""),""-"",""0.00""))"),"Loading...")</f>
        <v>Loading...</v>
      </c>
      <c r="L5847" s="129">
        <v>7.557013605E9</v>
      </c>
      <c r="M5847" s="99">
        <v>0.63</v>
      </c>
    </row>
    <row r="5848">
      <c r="A5848" s="122" t="s">
        <v>12200</v>
      </c>
      <c r="B5848" s="123">
        <v>1529274.0</v>
      </c>
      <c r="C5848" s="124" t="s">
        <v>12201</v>
      </c>
      <c r="D5848" s="125"/>
      <c r="E5848" s="126">
        <v>24.58</v>
      </c>
      <c r="F5848" s="127"/>
      <c r="G5848" s="127"/>
      <c r="H5848" s="127"/>
      <c r="I5848" s="128"/>
      <c r="K5848" s="105" t="str">
        <f>IFERROR(__xludf.DUMMYFUNCTION("if(A5848="""","""",substitute(SUBSTITUTE(index(importhtml(""http://finviz.com/quote.ashx?t=""&amp;A5848,""table"",10),7,2),""*"",""""),""-"",""0.00""))"),"Loading...")</f>
        <v>Loading...</v>
      </c>
      <c r="L5848" s="129">
        <v>2.343993036E9</v>
      </c>
      <c r="M5848" s="99">
        <f>IFERROR(__xludf.DUMMYFUNCTION("GOOGLEFINANCE(A5848,""beta"")"),0.55)</f>
        <v>0.55</v>
      </c>
    </row>
    <row r="5849">
      <c r="A5849" s="122" t="s">
        <v>12202</v>
      </c>
      <c r="B5849" s="123">
        <v>1436208.0</v>
      </c>
      <c r="C5849" s="124" t="s">
        <v>12203</v>
      </c>
      <c r="D5849" s="125"/>
      <c r="E5849" s="126">
        <v>24.59</v>
      </c>
      <c r="F5849" s="127"/>
      <c r="G5849" s="127"/>
      <c r="H5849" s="127"/>
      <c r="I5849" s="128"/>
      <c r="K5849" s="105" t="str">
        <f>IFERROR(__xludf.DUMMYFUNCTION("if(A5849="""","""",substitute(SUBSTITUTE(index(importhtml(""http://finviz.com/quote.ashx?t=""&amp;A5849,""table"",10),7,2),""*"",""""),""-"",""0.00""))"),"Loading...")</f>
        <v>Loading...</v>
      </c>
      <c r="L5849" s="129">
        <v>5.99789201E8</v>
      </c>
      <c r="M5849" s="99">
        <v>0.94</v>
      </c>
    </row>
    <row r="5850">
      <c r="A5850" s="122" t="s">
        <v>12204</v>
      </c>
      <c r="B5850" s="123">
        <v>1423689.0</v>
      </c>
      <c r="C5850" s="124" t="s">
        <v>12205</v>
      </c>
      <c r="D5850" s="125"/>
      <c r="E5850" s="126">
        <v>24.6</v>
      </c>
      <c r="F5850" s="127"/>
      <c r="G5850" s="127"/>
      <c r="H5850" s="127"/>
      <c r="I5850" s="128"/>
      <c r="K5850" s="105" t="str">
        <f>IFERROR(__xludf.DUMMYFUNCTION("if(A5850="""","""",substitute(SUBSTITUTE(index(importhtml(""http://finviz.com/quote.ashx?t=""&amp;A5850,""table"",10),7,2),""*"",""""),""-"",""0.00""))"),"Loading...")</f>
        <v>Loading...</v>
      </c>
      <c r="L5850" s="129">
        <v>6.409060518E9</v>
      </c>
      <c r="M5850" s="99">
        <v>0.8</v>
      </c>
    </row>
    <row r="5851">
      <c r="A5851" s="122" t="s">
        <v>12206</v>
      </c>
      <c r="B5851" s="123">
        <v>1103838.0</v>
      </c>
      <c r="C5851" s="124" t="s">
        <v>12207</v>
      </c>
      <c r="D5851" s="125"/>
      <c r="E5851" s="126">
        <v>24.6</v>
      </c>
      <c r="F5851" s="127"/>
      <c r="G5851" s="127"/>
      <c r="H5851" s="127"/>
      <c r="I5851" s="128"/>
      <c r="K5851" s="105" t="str">
        <f>IFERROR(__xludf.DUMMYFUNCTION("if(A5851="""","""",substitute(SUBSTITUTE(index(importhtml(""http://finviz.com/quote.ashx?t=""&amp;A5851,""table"",10),7,2),""*"",""""),""-"",""0.00""))"),"Loading...")</f>
        <v>Loading...</v>
      </c>
      <c r="L5851" s="129">
        <v>8.4874724516E10</v>
      </c>
      <c r="M5851" s="99">
        <v>1.01</v>
      </c>
    </row>
    <row r="5852">
      <c r="A5852" s="122" t="s">
        <v>12208</v>
      </c>
      <c r="B5852" s="123">
        <v>1489096.0</v>
      </c>
      <c r="C5852" s="124" t="s">
        <v>12209</v>
      </c>
      <c r="D5852" s="125"/>
      <c r="E5852" s="126">
        <v>24.61</v>
      </c>
      <c r="F5852" s="127"/>
      <c r="G5852" s="127"/>
      <c r="H5852" s="127"/>
      <c r="I5852" s="128"/>
      <c r="K5852" s="105" t="str">
        <f>IFERROR(__xludf.DUMMYFUNCTION("if(A5852="""","""",substitute(SUBSTITUTE(index(importhtml(""http://finviz.com/quote.ashx?t=""&amp;A5852,""table"",10),7,2),""*"",""""),""-"",""0.00""))"),"Loading...")</f>
        <v>Loading...</v>
      </c>
      <c r="L5852" s="129">
        <v>8.29277284E8</v>
      </c>
      <c r="M5852" s="99">
        <v>1.22</v>
      </c>
    </row>
    <row r="5853">
      <c r="A5853" s="122" t="s">
        <v>12210</v>
      </c>
      <c r="B5853" s="123">
        <v>1674930.0</v>
      </c>
      <c r="C5853" s="124" t="s">
        <v>12211</v>
      </c>
      <c r="D5853" s="125"/>
      <c r="E5853" s="126">
        <v>24.65</v>
      </c>
      <c r="F5853" s="127"/>
      <c r="G5853" s="127"/>
      <c r="H5853" s="127"/>
      <c r="I5853" s="128"/>
      <c r="K5853" s="105" t="str">
        <f>IFERROR(__xludf.DUMMYFUNCTION("if(A5853="""","""",substitute(SUBSTITUTE(index(importhtml(""http://finviz.com/quote.ashx?t=""&amp;A5853,""table"",10),7,2),""*"",""""),""-"",""0.00""))"),"Loading...")</f>
        <v>Loading...</v>
      </c>
      <c r="L5853" s="129">
        <v>7.30454671E8</v>
      </c>
      <c r="M5853" s="99">
        <v>1.5</v>
      </c>
    </row>
    <row r="5854">
      <c r="A5854" s="122" t="s">
        <v>12212</v>
      </c>
      <c r="B5854" s="123">
        <v>1042046.0</v>
      </c>
      <c r="C5854" s="124" t="s">
        <v>12213</v>
      </c>
      <c r="D5854" s="125"/>
      <c r="E5854" s="126">
        <v>24.65</v>
      </c>
      <c r="F5854" s="127"/>
      <c r="G5854" s="127"/>
      <c r="H5854" s="127"/>
      <c r="I5854" s="128"/>
      <c r="K5854" s="105" t="str">
        <f>IFERROR(__xludf.DUMMYFUNCTION("if(A5854="""","""",substitute(SUBSTITUTE(index(importhtml(""http://finviz.com/quote.ashx?t=""&amp;A5854,""table"",10),7,2),""*"",""""),""-"",""0.00""))"),"Loading...")</f>
        <v>Loading...</v>
      </c>
      <c r="L5854" s="129">
        <v>9.91845369E9</v>
      </c>
      <c r="M5854" s="99">
        <v>0.36</v>
      </c>
    </row>
    <row r="5855">
      <c r="A5855" s="122" t="s">
        <v>12214</v>
      </c>
      <c r="B5855" s="123">
        <v>1841804.0</v>
      </c>
      <c r="C5855" s="124" t="s">
        <v>12215</v>
      </c>
      <c r="D5855" s="125"/>
      <c r="E5855" s="126">
        <v>24.66</v>
      </c>
      <c r="F5855" s="127"/>
      <c r="G5855" s="127"/>
      <c r="H5855" s="127"/>
      <c r="I5855" s="128"/>
      <c r="K5855" s="105" t="str">
        <f>IFERROR(__xludf.DUMMYFUNCTION("if(A5855="""","""",substitute(SUBSTITUTE(index(importhtml(""http://finviz.com/quote.ashx?t=""&amp;A5855,""table"",10),7,2),""*"",""""),""-"",""0.00""))"),"Loading...")</f>
        <v>Loading...</v>
      </c>
      <c r="L5855" s="129">
        <v>3.568205803E9</v>
      </c>
      <c r="M5855" s="99" t="str">
        <f>IFERROR(__xludf.DUMMYFUNCTION("GOOGLEFINANCE(A5855,""beta"")"),"#N/A")</f>
        <v>#N/A</v>
      </c>
    </row>
    <row r="5856">
      <c r="A5856" s="122" t="s">
        <v>12216</v>
      </c>
      <c r="B5856" s="123">
        <v>315374.0</v>
      </c>
      <c r="C5856" s="124" t="s">
        <v>12217</v>
      </c>
      <c r="D5856" s="125"/>
      <c r="E5856" s="126">
        <v>24.67</v>
      </c>
      <c r="F5856" s="127"/>
      <c r="G5856" s="127"/>
      <c r="H5856" s="127"/>
      <c r="I5856" s="128"/>
      <c r="K5856" s="105" t="str">
        <f>IFERROR(__xludf.DUMMYFUNCTION("if(A5856="""","""",substitute(SUBSTITUTE(index(importhtml(""http://finviz.com/quote.ashx?t=""&amp;A5856,""table"",10),7,2),""*"",""""),""-"",""0.00""))"),"Loading...")</f>
        <v>Loading...</v>
      </c>
      <c r="L5856" s="129">
        <v>1.63188127E8</v>
      </c>
      <c r="M5856" s="99">
        <v>0.42</v>
      </c>
    </row>
    <row r="5857">
      <c r="A5857" s="122" t="s">
        <v>12218</v>
      </c>
      <c r="B5857" s="123">
        <v>1415311.0</v>
      </c>
      <c r="C5857" s="124" t="s">
        <v>12219</v>
      </c>
      <c r="D5857" s="125"/>
      <c r="E5857" s="126">
        <v>24.68</v>
      </c>
      <c r="F5857" s="127"/>
      <c r="G5857" s="127"/>
      <c r="H5857" s="127"/>
      <c r="I5857" s="128"/>
      <c r="K5857" s="105" t="str">
        <f>IFERROR(__xludf.DUMMYFUNCTION("if(A5857="""","""",substitute(SUBSTITUTE(index(importhtml(""http://finviz.com/quote.ashx?t=""&amp;A5857,""table"",10),7,2),""*"",""""),""-"",""0.00""))"),"Loading...")</f>
        <v>Loading...</v>
      </c>
      <c r="L5857" s="129" t="e">
        <v>#N/A</v>
      </c>
      <c r="M5857" s="99" t="str">
        <f>IFERROR(__xludf.DUMMYFUNCTION("GOOGLEFINANCE(A5857,""beta"")"),"#N/A")</f>
        <v>#N/A</v>
      </c>
    </row>
    <row r="5858">
      <c r="A5858" s="122" t="s">
        <v>12220</v>
      </c>
      <c r="B5858" s="123">
        <v>1771515.0</v>
      </c>
      <c r="C5858" s="124" t="s">
        <v>12221</v>
      </c>
      <c r="D5858" s="125"/>
      <c r="E5858" s="126">
        <v>24.69</v>
      </c>
      <c r="F5858" s="127"/>
      <c r="G5858" s="127"/>
      <c r="H5858" s="127"/>
      <c r="I5858" s="128"/>
      <c r="K5858" s="55" t="s">
        <v>1034</v>
      </c>
      <c r="L5858" s="129">
        <v>2.450957094E9</v>
      </c>
      <c r="M5858" s="99">
        <v>0.07</v>
      </c>
    </row>
    <row r="5859">
      <c r="A5859" s="122" t="s">
        <v>12222</v>
      </c>
      <c r="B5859" s="123">
        <v>765207.0</v>
      </c>
      <c r="C5859" s="124" t="s">
        <v>12223</v>
      </c>
      <c r="D5859" s="125"/>
      <c r="E5859" s="126">
        <v>24.69</v>
      </c>
      <c r="F5859" s="127"/>
      <c r="G5859" s="127"/>
      <c r="H5859" s="127"/>
      <c r="I5859" s="128"/>
      <c r="K5859" s="105" t="str">
        <f>IFERROR(__xludf.DUMMYFUNCTION("if(A5859="""","""",substitute(SUBSTITUTE(index(importhtml(""http://finviz.com/quote.ashx?t=""&amp;A5859,""table"",10),7,2),""*"",""""),""-"",""0.00""))"),"Loading...")</f>
        <v>Loading...</v>
      </c>
      <c r="L5859" s="129">
        <v>2.73909878E8</v>
      </c>
      <c r="M5859" s="99">
        <v>0.58</v>
      </c>
    </row>
    <row r="5860">
      <c r="A5860" s="122" t="s">
        <v>12224</v>
      </c>
      <c r="B5860" s="123">
        <v>1412665.0</v>
      </c>
      <c r="C5860" s="124" t="s">
        <v>12225</v>
      </c>
      <c r="D5860" s="125"/>
      <c r="E5860" s="126">
        <v>24.7</v>
      </c>
      <c r="F5860" s="127"/>
      <c r="G5860" s="127"/>
      <c r="H5860" s="127"/>
      <c r="I5860" s="128"/>
      <c r="K5860" s="105" t="str">
        <f>IFERROR(__xludf.DUMMYFUNCTION("if(A5860="""","""",substitute(SUBSTITUTE(index(importhtml(""http://finviz.com/quote.ashx?t=""&amp;A5860,""table"",10),7,2),""*"",""""),""-"",""0.00""))"),"Loading...")</f>
        <v>Loading...</v>
      </c>
      <c r="L5860" s="129">
        <v>3.87649221E8</v>
      </c>
      <c r="M5860" s="99">
        <v>0.99</v>
      </c>
    </row>
    <row r="5861">
      <c r="A5861" s="122" t="s">
        <v>12226</v>
      </c>
      <c r="B5861" s="123">
        <v>1564708.0</v>
      </c>
      <c r="C5861" s="124" t="s">
        <v>12227</v>
      </c>
      <c r="D5861" s="125"/>
      <c r="E5861" s="126">
        <v>24.7</v>
      </c>
      <c r="F5861" s="127"/>
      <c r="G5861" s="127"/>
      <c r="H5861" s="127"/>
      <c r="I5861" s="128"/>
      <c r="K5861" s="105" t="str">
        <f>IFERROR(__xludf.DUMMYFUNCTION("if(A5861="""","""",substitute(SUBSTITUTE(index(importhtml(""http://finviz.com/quote.ashx?t=""&amp;A5861,""table"",10),7,2),""*"",""""),""-"",""0.00""))"),"Loading...")</f>
        <v>Loading...</v>
      </c>
      <c r="L5861" s="129">
        <v>1.4307233381E10</v>
      </c>
      <c r="M5861" s="99">
        <v>1.33</v>
      </c>
    </row>
    <row r="5862">
      <c r="A5862" s="122" t="s">
        <v>12228</v>
      </c>
      <c r="B5862" s="123">
        <v>1685040.0</v>
      </c>
      <c r="C5862" s="124" t="s">
        <v>12229</v>
      </c>
      <c r="D5862" s="125"/>
      <c r="E5862" s="126">
        <v>24.71</v>
      </c>
      <c r="F5862" s="127"/>
      <c r="G5862" s="127"/>
      <c r="H5862" s="127"/>
      <c r="I5862" s="128"/>
      <c r="K5862" s="105" t="str">
        <f>IFERROR(__xludf.DUMMYFUNCTION("if(A5862="""","""",substitute(SUBSTITUTE(index(importhtml(""http://finviz.com/quote.ashx?t=""&amp;A5862,""table"",10),7,2),""*"",""""),""-"",""0.00""))"),"Loading...")</f>
        <v>Loading...</v>
      </c>
      <c r="L5862" s="129">
        <v>3.282790981E9</v>
      </c>
      <c r="M5862" s="99">
        <v>0.45</v>
      </c>
    </row>
    <row r="5863">
      <c r="A5863" s="122" t="s">
        <v>12230</v>
      </c>
      <c r="B5863" s="123">
        <v>1015328.0</v>
      </c>
      <c r="C5863" s="124" t="s">
        <v>12231</v>
      </c>
      <c r="D5863" s="125"/>
      <c r="E5863" s="126">
        <v>24.72</v>
      </c>
      <c r="F5863" s="127"/>
      <c r="G5863" s="127"/>
      <c r="H5863" s="127"/>
      <c r="I5863" s="128"/>
      <c r="K5863" s="105" t="str">
        <f>IFERROR(__xludf.DUMMYFUNCTION("if(A5863="""","""",substitute(SUBSTITUTE(index(importhtml(""http://finviz.com/quote.ashx?t=""&amp;A5863,""table"",10),7,2),""*"",""""),""-"",""0.00""))"),"Loading...")</f>
        <v>Loading...</v>
      </c>
      <c r="L5863" s="129">
        <v>5.724995579E9</v>
      </c>
      <c r="M5863" s="99">
        <v>0.14</v>
      </c>
    </row>
    <row r="5864">
      <c r="A5864" s="122" t="s">
        <v>12232</v>
      </c>
      <c r="B5864" s="123">
        <v>1766363.0</v>
      </c>
      <c r="C5864" s="124" t="s">
        <v>12233</v>
      </c>
      <c r="D5864" s="125"/>
      <c r="E5864" s="126">
        <v>24.74</v>
      </c>
      <c r="F5864" s="127"/>
      <c r="G5864" s="127"/>
      <c r="H5864" s="127"/>
      <c r="I5864" s="128"/>
      <c r="K5864" s="55" t="s">
        <v>10384</v>
      </c>
      <c r="L5864" s="129">
        <v>1.1571489178E10</v>
      </c>
      <c r="M5864" s="99">
        <f>IFERROR(__xludf.DUMMYFUNCTION("GOOGLEFINANCE(A5864,""beta"")"),1.03)</f>
        <v>1.03</v>
      </c>
    </row>
    <row r="5865">
      <c r="A5865" s="122" t="s">
        <v>12234</v>
      </c>
      <c r="B5865" s="123">
        <v>1590364.0</v>
      </c>
      <c r="C5865" s="124" t="s">
        <v>12235</v>
      </c>
      <c r="D5865" s="125"/>
      <c r="E5865" s="126">
        <v>24.75</v>
      </c>
      <c r="F5865" s="127"/>
      <c r="G5865" s="127"/>
      <c r="H5865" s="127"/>
      <c r="I5865" s="128"/>
      <c r="K5865" s="105" t="str">
        <f>IFERROR(__xludf.DUMMYFUNCTION("if(A5865="""","""",substitute(SUBSTITUTE(index(importhtml(""http://finviz.com/quote.ashx?t=""&amp;A5865,""table"",10),7,2),""*"",""""),""-"",""0.00""))"),"Loading...")</f>
        <v>Loading...</v>
      </c>
      <c r="L5865" s="129">
        <v>5.634377888E9</v>
      </c>
      <c r="M5865" s="99">
        <v>1.92</v>
      </c>
    </row>
    <row r="5866">
      <c r="A5866" s="122" t="s">
        <v>12236</v>
      </c>
      <c r="B5866" s="123">
        <v>1675033.0</v>
      </c>
      <c r="C5866" s="124" t="s">
        <v>12237</v>
      </c>
      <c r="D5866" s="125"/>
      <c r="E5866" s="126">
        <v>24.78</v>
      </c>
      <c r="F5866" s="127"/>
      <c r="G5866" s="127"/>
      <c r="H5866" s="127"/>
      <c r="I5866" s="128"/>
      <c r="K5866" s="105" t="str">
        <f>IFERROR(__xludf.DUMMYFUNCTION("if(A5866="""","""",substitute(SUBSTITUTE(index(importhtml(""http://finviz.com/quote.ashx?t=""&amp;A5866,""table"",10),7,2),""*"",""""),""-"",""0.00""))"),"Loading...")</f>
        <v>Loading...</v>
      </c>
      <c r="L5866" s="129">
        <v>8.2405215E7</v>
      </c>
      <c r="M5866" s="99">
        <f>IFERROR(__xludf.DUMMYFUNCTION("GOOGLEFINANCE(A5866,""beta"")"),-0.06)</f>
        <v>-0.06</v>
      </c>
    </row>
    <row r="5867">
      <c r="A5867" s="122" t="s">
        <v>12238</v>
      </c>
      <c r="B5867" s="123">
        <v>1466026.0</v>
      </c>
      <c r="C5867" s="124" t="s">
        <v>12239</v>
      </c>
      <c r="D5867" s="125"/>
      <c r="E5867" s="126">
        <v>24.79</v>
      </c>
      <c r="F5867" s="127"/>
      <c r="G5867" s="127"/>
      <c r="H5867" s="127"/>
      <c r="I5867" s="128"/>
      <c r="K5867" s="105" t="str">
        <f>IFERROR(__xludf.DUMMYFUNCTION("if(A5867="""","""",substitute(SUBSTITUTE(index(importhtml(""http://finviz.com/quote.ashx?t=""&amp;A5867,""table"",10),7,2),""*"",""""),""-"",""0.00""))"),"Loading...")</f>
        <v>Loading...</v>
      </c>
      <c r="L5867" s="129">
        <v>5.48698624E8</v>
      </c>
      <c r="M5867" s="99">
        <f>IFERROR(__xludf.DUMMYFUNCTION("GOOGLEFINANCE(A5867,""beta"")"),0.04)</f>
        <v>0.04</v>
      </c>
    </row>
    <row r="5868">
      <c r="A5868" s="122" t="s">
        <v>12240</v>
      </c>
      <c r="B5868" s="123">
        <v>1728951.0</v>
      </c>
      <c r="C5868" s="124" t="s">
        <v>12241</v>
      </c>
      <c r="D5868" s="125"/>
      <c r="E5868" s="126">
        <v>24.79</v>
      </c>
      <c r="F5868" s="127"/>
      <c r="G5868" s="127"/>
      <c r="H5868" s="127"/>
      <c r="I5868" s="128"/>
      <c r="K5868" s="105" t="str">
        <f>IFERROR(__xludf.DUMMYFUNCTION("if(A5868="""","""",substitute(SUBSTITUTE(index(importhtml(""http://finviz.com/quote.ashx?t=""&amp;A5868,""table"",10),7,2),""*"",""""),""-"",""0.00""))"),"Loading...")</f>
        <v>Loading...</v>
      </c>
      <c r="L5868" s="129">
        <v>3.86784006E9</v>
      </c>
      <c r="M5868" s="99">
        <v>1.31</v>
      </c>
    </row>
    <row r="5869">
      <c r="A5869" s="122" t="s">
        <v>12242</v>
      </c>
      <c r="B5869" s="123">
        <v>1016281.0</v>
      </c>
      <c r="C5869" s="124" t="s">
        <v>12243</v>
      </c>
      <c r="D5869" s="125"/>
      <c r="E5869" s="126">
        <v>24.8</v>
      </c>
      <c r="F5869" s="127"/>
      <c r="G5869" s="127"/>
      <c r="H5869" s="127"/>
      <c r="I5869" s="128"/>
      <c r="K5869" s="55" t="s">
        <v>7827</v>
      </c>
      <c r="L5869" s="129">
        <v>3.71539948E8</v>
      </c>
      <c r="M5869" s="99">
        <v>0.85</v>
      </c>
    </row>
    <row r="5870">
      <c r="A5870" s="122" t="s">
        <v>12244</v>
      </c>
      <c r="B5870" s="123">
        <v>1761325.0</v>
      </c>
      <c r="C5870" s="124" t="s">
        <v>12245</v>
      </c>
      <c r="D5870" s="125"/>
      <c r="E5870" s="126">
        <v>24.8</v>
      </c>
      <c r="F5870" s="127"/>
      <c r="G5870" s="127"/>
      <c r="H5870" s="127"/>
      <c r="I5870" s="128"/>
      <c r="K5870" s="105" t="str">
        <f>IFERROR(__xludf.DUMMYFUNCTION("if(A5870="""","""",substitute(SUBSTITUTE(index(importhtml(""http://finviz.com/quote.ashx?t=""&amp;A5870,""table"",10),7,2),""*"",""""),""-"",""0.00""))"),"Loading...")</f>
        <v>Loading...</v>
      </c>
      <c r="L5870" s="129">
        <v>2.0449278E7</v>
      </c>
      <c r="M5870" s="99">
        <f>IFERROR(__xludf.DUMMYFUNCTION("GOOGLEFINANCE(A5870,""beta"")"),6.34)</f>
        <v>6.34</v>
      </c>
    </row>
    <row r="5871">
      <c r="A5871" s="122" t="s">
        <v>12246</v>
      </c>
      <c r="B5871" s="123">
        <v>1133062.0</v>
      </c>
      <c r="C5871" s="124" t="s">
        <v>12247</v>
      </c>
      <c r="D5871" s="125"/>
      <c r="E5871" s="126">
        <v>24.8</v>
      </c>
      <c r="F5871" s="127"/>
      <c r="G5871" s="127"/>
      <c r="H5871" s="127"/>
      <c r="I5871" s="128"/>
      <c r="K5871" s="105" t="str">
        <f>IFERROR(__xludf.DUMMYFUNCTION("if(A5871="""","""",substitute(SUBSTITUTE(index(importhtml(""http://finviz.com/quote.ashx?t=""&amp;A5871,""table"",10),7,2),""*"",""""),""-"",""0.00""))"),"Loading...")</f>
        <v>Loading...</v>
      </c>
      <c r="L5871" s="129">
        <v>2.942158E7</v>
      </c>
      <c r="M5871" s="99">
        <v>0.11</v>
      </c>
    </row>
    <row r="5872">
      <c r="A5872" s="122" t="s">
        <v>12248</v>
      </c>
      <c r="B5872" s="123">
        <v>1640043.0</v>
      </c>
      <c r="C5872" s="124" t="s">
        <v>12249</v>
      </c>
      <c r="D5872" s="125"/>
      <c r="E5872" s="126">
        <v>24.8</v>
      </c>
      <c r="F5872" s="127"/>
      <c r="G5872" s="127"/>
      <c r="H5872" s="127"/>
      <c r="I5872" s="128"/>
      <c r="K5872" s="105" t="str">
        <f>IFERROR(__xludf.DUMMYFUNCTION("if(A5872="""","""",substitute(SUBSTITUTE(index(importhtml(""http://finviz.com/quote.ashx?t=""&amp;A5872,""table"",10),7,2),""*"",""""),""-"",""0.00""))"),"Loading...")</f>
        <v>Loading...</v>
      </c>
      <c r="L5872" s="129">
        <v>4.7186176E7</v>
      </c>
      <c r="M5872" s="99">
        <v>-0.11</v>
      </c>
    </row>
    <row r="5873">
      <c r="A5873" s="122" t="s">
        <v>12250</v>
      </c>
      <c r="B5873" s="123">
        <v>1682220.0</v>
      </c>
      <c r="C5873" s="124" t="s">
        <v>12251</v>
      </c>
      <c r="D5873" s="125"/>
      <c r="E5873" s="126">
        <v>24.8</v>
      </c>
      <c r="F5873" s="127"/>
      <c r="G5873" s="127"/>
      <c r="H5873" s="127"/>
      <c r="I5873" s="128"/>
      <c r="K5873" s="105" t="str">
        <f>IFERROR(__xludf.DUMMYFUNCTION("if(A5873="""","""",substitute(SUBSTITUTE(index(importhtml(""http://finviz.com/quote.ashx?t=""&amp;A5873,""table"",10),7,2),""*"",""""),""-"",""0.00""))"),"Loading...")</f>
        <v>Loading...</v>
      </c>
      <c r="L5873" s="129">
        <v>1.60561725E8</v>
      </c>
      <c r="M5873" s="99">
        <v>0.11</v>
      </c>
    </row>
    <row r="5874">
      <c r="A5874" s="122" t="s">
        <v>12252</v>
      </c>
      <c r="B5874" s="123">
        <v>1752036.0</v>
      </c>
      <c r="C5874" s="124" t="s">
        <v>12253</v>
      </c>
      <c r="D5874" s="125"/>
      <c r="E5874" s="126">
        <v>24.8</v>
      </c>
      <c r="F5874" s="127"/>
      <c r="G5874" s="127"/>
      <c r="H5874" s="127"/>
      <c r="I5874" s="128"/>
      <c r="K5874" s="105" t="str">
        <f>IFERROR(__xludf.DUMMYFUNCTION("if(A5874="""","""",substitute(SUBSTITUTE(index(importhtml(""http://finviz.com/quote.ashx?t=""&amp;A5874,""table"",10),7,2),""*"",""""),""-"",""0.00""))"),"Loading...")</f>
        <v>Loading...</v>
      </c>
      <c r="L5874" s="129">
        <v>2.08195026E8</v>
      </c>
      <c r="M5874" s="99">
        <v>0.96</v>
      </c>
    </row>
    <row r="5875">
      <c r="A5875" s="122" t="s">
        <v>12254</v>
      </c>
      <c r="B5875" s="123">
        <v>1758021.0</v>
      </c>
      <c r="C5875" s="124" t="s">
        <v>12255</v>
      </c>
      <c r="D5875" s="125"/>
      <c r="E5875" s="126">
        <v>24.81</v>
      </c>
      <c r="F5875" s="127"/>
      <c r="G5875" s="127"/>
      <c r="H5875" s="127"/>
      <c r="I5875" s="128"/>
      <c r="K5875" s="105" t="str">
        <f>IFERROR(__xludf.DUMMYFUNCTION("if(A5875="""","""",substitute(SUBSTITUTE(index(importhtml(""http://finviz.com/quote.ashx?t=""&amp;A5875,""table"",10),7,2),""*"",""""),""-"",""0.00""))"),"Loading...")</f>
        <v>Loading...</v>
      </c>
      <c r="L5875" s="129">
        <v>4.95317001E8</v>
      </c>
      <c r="M5875" s="99">
        <f>IFERROR(__xludf.DUMMYFUNCTION("GOOGLEFINANCE(A5875,""beta"")"),1.09)</f>
        <v>1.09</v>
      </c>
    </row>
    <row r="5876">
      <c r="A5876" s="122" t="s">
        <v>12256</v>
      </c>
      <c r="B5876" s="123">
        <v>39311.0</v>
      </c>
      <c r="C5876" s="124" t="s">
        <v>12257</v>
      </c>
      <c r="D5876" s="125"/>
      <c r="E5876" s="126">
        <v>24.82</v>
      </c>
      <c r="F5876" s="127"/>
      <c r="G5876" s="127"/>
      <c r="H5876" s="127"/>
      <c r="I5876" s="128"/>
      <c r="K5876" s="105" t="str">
        <f>IFERROR(__xludf.DUMMYFUNCTION("if(A5876="""","""",substitute(SUBSTITUTE(index(importhtml(""http://finviz.com/quote.ashx?t=""&amp;A5876,""table"",10),7,2),""*"",""""),""-"",""0.00""))"),"Loading...")</f>
        <v>Loading...</v>
      </c>
      <c r="L5876" s="129">
        <v>5.1714033E8</v>
      </c>
      <c r="M5876" s="99">
        <v>0.99</v>
      </c>
    </row>
    <row r="5877">
      <c r="A5877" s="122" t="s">
        <v>12258</v>
      </c>
      <c r="B5877" s="123">
        <v>1587987.0</v>
      </c>
      <c r="C5877" s="124" t="s">
        <v>12259</v>
      </c>
      <c r="D5877" s="125"/>
      <c r="E5877" s="126">
        <v>24.83</v>
      </c>
      <c r="F5877" s="127"/>
      <c r="G5877" s="127"/>
      <c r="H5877" s="127"/>
      <c r="I5877" s="128"/>
      <c r="K5877" s="105" t="str">
        <f>IFERROR(__xludf.DUMMYFUNCTION("if(A5877="""","""",substitute(SUBSTITUTE(index(importhtml(""http://finviz.com/quote.ashx?t=""&amp;A5877,""table"",10),7,2),""*"",""""),""-"",""0.00""))"),"Loading...")</f>
        <v>Loading...</v>
      </c>
      <c r="L5877" s="129">
        <v>2.87151287E8</v>
      </c>
      <c r="M5877" s="99">
        <v>0.27</v>
      </c>
    </row>
    <row r="5878">
      <c r="A5878" s="122" t="s">
        <v>12260</v>
      </c>
      <c r="B5878" s="123">
        <v>1464790.0</v>
      </c>
      <c r="C5878" s="124" t="s">
        <v>12261</v>
      </c>
      <c r="D5878" s="125"/>
      <c r="E5878" s="126">
        <v>24.83</v>
      </c>
      <c r="F5878" s="127"/>
      <c r="G5878" s="127"/>
      <c r="H5878" s="127"/>
      <c r="I5878" s="128"/>
      <c r="K5878" s="105" t="str">
        <f>IFERROR(__xludf.DUMMYFUNCTION("if(A5878="""","""",substitute(SUBSTITUTE(index(importhtml(""http://finviz.com/quote.ashx?t=""&amp;A5878,""table"",10),7,2),""*"",""""),""-"",""0.00""))"),"Loading...")</f>
        <v>Loading...</v>
      </c>
      <c r="L5878" s="129">
        <v>6.2052646E8</v>
      </c>
      <c r="M5878" s="99">
        <v>0.5</v>
      </c>
    </row>
    <row r="5879">
      <c r="A5879" s="122" t="s">
        <v>12262</v>
      </c>
      <c r="B5879" s="123">
        <v>1384101.0</v>
      </c>
      <c r="C5879" s="124" t="s">
        <v>12263</v>
      </c>
      <c r="D5879" s="125"/>
      <c r="E5879" s="126">
        <v>24.83</v>
      </c>
      <c r="F5879" s="127"/>
      <c r="G5879" s="127"/>
      <c r="H5879" s="127"/>
      <c r="I5879" s="128"/>
      <c r="K5879" s="105" t="str">
        <f>IFERROR(__xludf.DUMMYFUNCTION("if(A5879="""","""",substitute(SUBSTITUTE(index(importhtml(""http://finviz.com/quote.ashx?t=""&amp;A5879,""table"",10),7,2),""*"",""""),""-"",""0.00""))"),"Loading...")</f>
        <v>Loading...</v>
      </c>
      <c r="L5879" s="129">
        <v>1.813574752E9</v>
      </c>
      <c r="M5879" s="99">
        <v>1.68</v>
      </c>
    </row>
    <row r="5880">
      <c r="A5880" s="122" t="s">
        <v>12264</v>
      </c>
      <c r="B5880" s="123">
        <v>1174169.0</v>
      </c>
      <c r="C5880" s="124" t="s">
        <v>12265</v>
      </c>
      <c r="D5880" s="125"/>
      <c r="E5880" s="126">
        <v>24.83</v>
      </c>
      <c r="F5880" s="127"/>
      <c r="G5880" s="127"/>
      <c r="H5880" s="127"/>
      <c r="I5880" s="128"/>
      <c r="K5880" s="105" t="str">
        <f>IFERROR(__xludf.DUMMYFUNCTION("if(A5880="""","""",substitute(SUBSTITUTE(index(importhtml(""http://finviz.com/quote.ashx?t=""&amp;A5880,""table"",10),7,2),""*"",""""),""-"",""0.00""))"),"Loading...")</f>
        <v>Loading...</v>
      </c>
      <c r="L5880" s="129">
        <v>5.539536657E9</v>
      </c>
      <c r="M5880" s="99">
        <v>0.3</v>
      </c>
    </row>
    <row r="5881">
      <c r="A5881" s="122" t="s">
        <v>12266</v>
      </c>
      <c r="B5881" s="123">
        <v>791908.0</v>
      </c>
      <c r="C5881" s="124" t="s">
        <v>12267</v>
      </c>
      <c r="D5881" s="125"/>
      <c r="E5881" s="126">
        <v>24.84</v>
      </c>
      <c r="F5881" s="127"/>
      <c r="G5881" s="127"/>
      <c r="H5881" s="127"/>
      <c r="I5881" s="128"/>
      <c r="K5881" s="105" t="str">
        <f>IFERROR(__xludf.DUMMYFUNCTION("if(A5881="""","""",substitute(SUBSTITUTE(index(importhtml(""http://finviz.com/quote.ashx?t=""&amp;A5881,""table"",10),7,2),""*"",""""),""-"",""0.00""))"),"Loading...")</f>
        <v>Loading...</v>
      </c>
      <c r="L5881" s="129">
        <v>2.32053568E8</v>
      </c>
      <c r="M5881" s="99">
        <f>IFERROR(__xludf.DUMMYFUNCTION("GOOGLEFINANCE(A5881,""beta"")"),0.11)</f>
        <v>0.11</v>
      </c>
    </row>
    <row r="5882">
      <c r="A5882" s="122" t="s">
        <v>12268</v>
      </c>
      <c r="B5882" s="123">
        <v>842633.0</v>
      </c>
      <c r="C5882" s="124" t="s">
        <v>12269</v>
      </c>
      <c r="D5882" s="125"/>
      <c r="E5882" s="126">
        <v>24.9</v>
      </c>
      <c r="F5882" s="127"/>
      <c r="G5882" s="127"/>
      <c r="H5882" s="127"/>
      <c r="I5882" s="128"/>
      <c r="K5882" s="105" t="str">
        <f>IFERROR(__xludf.DUMMYFUNCTION("if(A5882="""","""",substitute(SUBSTITUTE(index(importhtml(""http://finviz.com/quote.ashx?t=""&amp;A5882,""table"",10),7,2),""*"",""""),""-"",""0.00""))"),"Loading...")</f>
        <v>Loading...</v>
      </c>
      <c r="L5882" s="129">
        <v>1.031218544E9</v>
      </c>
      <c r="M5882" s="99">
        <v>0.72</v>
      </c>
    </row>
    <row r="5883">
      <c r="A5883" s="122" t="s">
        <v>12270</v>
      </c>
      <c r="B5883" s="123">
        <v>70502.0</v>
      </c>
      <c r="C5883" s="124" t="s">
        <v>12271</v>
      </c>
      <c r="D5883" s="125"/>
      <c r="E5883" s="126">
        <v>24.91</v>
      </c>
      <c r="F5883" s="127"/>
      <c r="G5883" s="127"/>
      <c r="H5883" s="127"/>
      <c r="I5883" s="128"/>
      <c r="K5883" s="105" t="str">
        <f>IFERROR(__xludf.DUMMYFUNCTION("if(A5883="""","""",substitute(SUBSTITUTE(index(importhtml(""http://finviz.com/quote.ashx?t=""&amp;A5883,""table"",10),7,2),""*"",""""),""-"",""0.00""))"),"Loading...")</f>
        <v>Loading...</v>
      </c>
      <c r="L5883" s="129" t="e">
        <v>#N/A</v>
      </c>
      <c r="M5883" s="99">
        <v>0.47</v>
      </c>
    </row>
    <row r="5884">
      <c r="A5884" s="122" t="s">
        <v>12272</v>
      </c>
      <c r="B5884" s="123">
        <v>1654595.0</v>
      </c>
      <c r="C5884" s="124" t="s">
        <v>12273</v>
      </c>
      <c r="D5884" s="125"/>
      <c r="E5884" s="126">
        <v>24.92</v>
      </c>
      <c r="F5884" s="127"/>
      <c r="G5884" s="127"/>
      <c r="H5884" s="127"/>
      <c r="I5884" s="128"/>
      <c r="K5884" s="105" t="str">
        <f>IFERROR(__xludf.DUMMYFUNCTION("if(A5884="""","""",substitute(SUBSTITUTE(index(importhtml(""http://finviz.com/quote.ashx?t=""&amp;A5884,""table"",10),7,2),""*"",""""),""-"",""0.00""))"),"Loading...")</f>
        <v>Loading...</v>
      </c>
      <c r="L5884" s="129">
        <v>1.153759E7</v>
      </c>
      <c r="M5884" s="99">
        <v>0.59</v>
      </c>
    </row>
    <row r="5885">
      <c r="A5885" s="122" t="s">
        <v>12274</v>
      </c>
      <c r="B5885" s="123">
        <v>1673772.0</v>
      </c>
      <c r="C5885" s="124" t="s">
        <v>12275</v>
      </c>
      <c r="D5885" s="125"/>
      <c r="E5885" s="126">
        <v>24.92</v>
      </c>
      <c r="F5885" s="127"/>
      <c r="G5885" s="127"/>
      <c r="H5885" s="127"/>
      <c r="I5885" s="128"/>
      <c r="K5885" s="105" t="str">
        <f>IFERROR(__xludf.DUMMYFUNCTION("if(A5885="""","""",substitute(SUBSTITUTE(index(importhtml(""http://finviz.com/quote.ashx?t=""&amp;A5885,""table"",10),7,2),""*"",""""),""-"",""0.00""))"),"Loading...")</f>
        <v>Loading...</v>
      </c>
      <c r="L5885" s="129">
        <v>8.57153555E8</v>
      </c>
      <c r="M5885" s="99">
        <v>0.66</v>
      </c>
    </row>
    <row r="5886">
      <c r="A5886" s="122" t="s">
        <v>12276</v>
      </c>
      <c r="B5886" s="123">
        <v>1629019.0</v>
      </c>
      <c r="C5886" s="124" t="s">
        <v>12277</v>
      </c>
      <c r="D5886" s="125"/>
      <c r="E5886" s="126">
        <v>24.93</v>
      </c>
      <c r="F5886" s="127"/>
      <c r="G5886" s="127"/>
      <c r="H5886" s="127"/>
      <c r="I5886" s="128"/>
      <c r="K5886" s="105" t="str">
        <f>IFERROR(__xludf.DUMMYFUNCTION("if(A5886="""","""",substitute(SUBSTITUTE(index(importhtml(""http://finviz.com/quote.ashx?t=""&amp;A5886,""table"",10),7,2),""*"",""""),""-"",""0.00""))"),"Loading...")</f>
        <v>Loading...</v>
      </c>
      <c r="L5886" s="129">
        <v>1.77987858E9</v>
      </c>
      <c r="M5886" s="99">
        <v>0.4</v>
      </c>
    </row>
    <row r="5887">
      <c r="A5887" s="122" t="s">
        <v>12278</v>
      </c>
      <c r="B5887" s="123">
        <v>1032208.0</v>
      </c>
      <c r="C5887" s="124" t="s">
        <v>12279</v>
      </c>
      <c r="D5887" s="125"/>
      <c r="E5887" s="126">
        <v>24.95</v>
      </c>
      <c r="F5887" s="127"/>
      <c r="G5887" s="127"/>
      <c r="H5887" s="127"/>
      <c r="I5887" s="128"/>
      <c r="K5887" s="105" t="str">
        <f>IFERROR(__xludf.DUMMYFUNCTION("if(A5887="""","""",substitute(SUBSTITUTE(index(importhtml(""http://finviz.com/quote.ashx?t=""&amp;A5887,""table"",10),7,2),""*"",""""),""-"",""0.00""))"),"Loading...")</f>
        <v>Loading...</v>
      </c>
      <c r="L5887" s="129">
        <v>4.4896264349E10</v>
      </c>
      <c r="M5887" s="99">
        <v>0.45</v>
      </c>
    </row>
    <row r="5888">
      <c r="A5888" s="122" t="s">
        <v>12280</v>
      </c>
      <c r="B5888" s="123">
        <v>1465872.0</v>
      </c>
      <c r="C5888" s="124" t="s">
        <v>12281</v>
      </c>
      <c r="D5888" s="125"/>
      <c r="E5888" s="126">
        <v>24.96</v>
      </c>
      <c r="F5888" s="127"/>
      <c r="G5888" s="127"/>
      <c r="H5888" s="127"/>
      <c r="I5888" s="128"/>
      <c r="K5888" s="105" t="str">
        <f>IFERROR(__xludf.DUMMYFUNCTION("if(A5888="""","""",substitute(SUBSTITUTE(index(importhtml(""http://finviz.com/quote.ashx?t=""&amp;A5888,""table"",10),7,2),""*"",""""),""-"",""0.00""))"),"Loading...")</f>
        <v>Loading...</v>
      </c>
      <c r="L5888" s="129">
        <v>158.0</v>
      </c>
      <c r="M5888" s="99">
        <v>0.8</v>
      </c>
    </row>
    <row r="5889">
      <c r="A5889" s="122" t="s">
        <v>12282</v>
      </c>
      <c r="B5889" s="123">
        <v>811156.0</v>
      </c>
      <c r="C5889" s="124" t="s">
        <v>12283</v>
      </c>
      <c r="D5889" s="125"/>
      <c r="E5889" s="126">
        <v>24.97</v>
      </c>
      <c r="F5889" s="127"/>
      <c r="G5889" s="127"/>
      <c r="H5889" s="127"/>
      <c r="I5889" s="128"/>
      <c r="K5889" s="105" t="str">
        <f>IFERROR(__xludf.DUMMYFUNCTION("if(A5889="""","""",substitute(SUBSTITUTE(index(importhtml(""http://finviz.com/quote.ashx?t=""&amp;A5889,""table"",10),7,2),""*"",""""),""-"",""0.00""))"),"Loading...")</f>
        <v>Loading...</v>
      </c>
      <c r="L5889" s="129">
        <v>1.6855177528E10</v>
      </c>
      <c r="M5889" s="99">
        <v>0.42</v>
      </c>
    </row>
    <row r="5890">
      <c r="A5890" s="122" t="s">
        <v>12284</v>
      </c>
      <c r="B5890" s="123">
        <v>1682220.0</v>
      </c>
      <c r="C5890" s="124" t="s">
        <v>12285</v>
      </c>
      <c r="D5890" s="125"/>
      <c r="E5890" s="126">
        <v>24.98</v>
      </c>
      <c r="F5890" s="127"/>
      <c r="G5890" s="127"/>
      <c r="H5890" s="127"/>
      <c r="I5890" s="128"/>
      <c r="K5890" s="105" t="str">
        <f>IFERROR(__xludf.DUMMYFUNCTION("if(A5890="""","""",substitute(SUBSTITUTE(index(importhtml(""http://finviz.com/quote.ashx?t=""&amp;A5890,""table"",10),7,2),""*"",""""),""-"",""0.00""))"),"Loading...")</f>
        <v>Loading...</v>
      </c>
      <c r="L5890" s="129">
        <v>1.60561725E8</v>
      </c>
      <c r="M5890" s="99">
        <v>6.42</v>
      </c>
    </row>
    <row r="5891">
      <c r="A5891" s="122" t="s">
        <v>12286</v>
      </c>
      <c r="B5891" s="123">
        <v>947559.0</v>
      </c>
      <c r="C5891" s="124" t="s">
        <v>12287</v>
      </c>
      <c r="D5891" s="125"/>
      <c r="E5891" s="126">
        <v>24.98</v>
      </c>
      <c r="F5891" s="127"/>
      <c r="G5891" s="127"/>
      <c r="H5891" s="127"/>
      <c r="I5891" s="128"/>
      <c r="K5891" s="105" t="str">
        <f>IFERROR(__xludf.DUMMYFUNCTION("if(A5891="""","""",substitute(SUBSTITUTE(index(importhtml(""http://finviz.com/quote.ashx?t=""&amp;A5891,""table"",10),7,2),""*"",""""),""-"",""0.00""))"),"Loading...")</f>
        <v>Loading...</v>
      </c>
      <c r="L5891" s="129">
        <v>7.84366989E8</v>
      </c>
      <c r="M5891" s="99">
        <v>0.88</v>
      </c>
    </row>
    <row r="5892">
      <c r="A5892" s="122" t="s">
        <v>12288</v>
      </c>
      <c r="B5892" s="123">
        <v>1857816.0</v>
      </c>
      <c r="C5892" s="124" t="s">
        <v>12289</v>
      </c>
      <c r="D5892" s="125"/>
      <c r="E5892" s="126">
        <v>25.0</v>
      </c>
      <c r="F5892" s="127"/>
      <c r="G5892" s="127"/>
      <c r="H5892" s="127"/>
      <c r="I5892" s="128"/>
      <c r="K5892" s="55" t="s">
        <v>1034</v>
      </c>
      <c r="L5892" s="129">
        <v>1.023855972E9</v>
      </c>
      <c r="M5892" s="99">
        <f>IFERROR(__xludf.DUMMYFUNCTION("GOOGLEFINANCE(A5892,""beta"")"),2.35)</f>
        <v>2.35</v>
      </c>
    </row>
    <row r="5893">
      <c r="A5893" s="122" t="s">
        <v>12290</v>
      </c>
      <c r="B5893" s="123">
        <v>1230058.0</v>
      </c>
      <c r="C5893" s="124" t="s">
        <v>12291</v>
      </c>
      <c r="D5893" s="125"/>
      <c r="E5893" s="126">
        <v>25.0</v>
      </c>
      <c r="F5893" s="127"/>
      <c r="G5893" s="127"/>
      <c r="H5893" s="127"/>
      <c r="I5893" s="128"/>
      <c r="K5893" s="105" t="str">
        <f>IFERROR(__xludf.DUMMYFUNCTION("if(A5893="""","""",substitute(SUBSTITUTE(index(importhtml(""http://finviz.com/quote.ashx?t=""&amp;A5893,""table"",10),7,2),""*"",""""),""-"",""0.00""))"),"Loading...")</f>
        <v>Loading...</v>
      </c>
      <c r="L5893" s="129">
        <v>4.611532E7</v>
      </c>
      <c r="M5893" s="99">
        <v>0.41</v>
      </c>
    </row>
    <row r="5894">
      <c r="A5894" s="122" t="s">
        <v>12292</v>
      </c>
      <c r="B5894" s="123">
        <v>920112.0</v>
      </c>
      <c r="C5894" s="124" t="s">
        <v>12293</v>
      </c>
      <c r="D5894" s="125"/>
      <c r="E5894" s="126">
        <v>25.0</v>
      </c>
      <c r="F5894" s="127"/>
      <c r="G5894" s="127"/>
      <c r="H5894" s="127"/>
      <c r="I5894" s="128"/>
      <c r="K5894" s="105" t="str">
        <f>IFERROR(__xludf.DUMMYFUNCTION("if(A5894="""","""",substitute(SUBSTITUTE(index(importhtml(""http://finviz.com/quote.ashx?t=""&amp;A5894,""table"",10),7,2),""*"",""""),""-"",""0.00""))"),"Loading...")</f>
        <v>Loading...</v>
      </c>
      <c r="L5894" s="129">
        <v>1.461160142E9</v>
      </c>
      <c r="M5894" s="99">
        <v>0.2</v>
      </c>
    </row>
    <row r="5895">
      <c r="A5895" s="122" t="s">
        <v>12294</v>
      </c>
      <c r="B5895" s="123">
        <v>1363829.0</v>
      </c>
      <c r="C5895" s="124" t="s">
        <v>12295</v>
      </c>
      <c r="D5895" s="125"/>
      <c r="E5895" s="126">
        <v>25.0</v>
      </c>
      <c r="F5895" s="127"/>
      <c r="G5895" s="127"/>
      <c r="H5895" s="127"/>
      <c r="I5895" s="128"/>
      <c r="K5895" s="105" t="str">
        <f>IFERROR(__xludf.DUMMYFUNCTION("if(A5895="""","""",substitute(SUBSTITUTE(index(importhtml(""http://finviz.com/quote.ashx?t=""&amp;A5895,""table"",10),7,2),""*"",""""),""-"",""0.00""))"),"Loading...")</f>
        <v>Loading...</v>
      </c>
      <c r="L5895" s="129">
        <v>4.290678649E9</v>
      </c>
      <c r="M5895" s="99">
        <v>0.43</v>
      </c>
    </row>
    <row r="5896">
      <c r="A5896" s="122" t="s">
        <v>12296</v>
      </c>
      <c r="B5896" s="123">
        <v>35527.0</v>
      </c>
      <c r="C5896" s="124" t="s">
        <v>12297</v>
      </c>
      <c r="D5896" s="125"/>
      <c r="E5896" s="126">
        <v>25.0</v>
      </c>
      <c r="F5896" s="127"/>
      <c r="G5896" s="127"/>
      <c r="H5896" s="127"/>
      <c r="I5896" s="128"/>
      <c r="K5896" s="105" t="str">
        <f>IFERROR(__xludf.DUMMYFUNCTION("if(A5896="""","""",substitute(SUBSTITUTE(index(importhtml(""http://finviz.com/quote.ashx?t=""&amp;A5896,""table"",10),7,2),""*"",""""),""-"",""0.00""))"),"Loading...")</f>
        <v>Loading...</v>
      </c>
      <c r="L5896" s="129">
        <v>2.3056076825E10</v>
      </c>
      <c r="M5896" s="99">
        <v>0.38</v>
      </c>
    </row>
    <row r="5897">
      <c r="A5897" s="122" t="s">
        <v>12298</v>
      </c>
      <c r="B5897" s="123">
        <v>866643.0</v>
      </c>
      <c r="C5897" s="124" t="s">
        <v>12299</v>
      </c>
      <c r="D5897" s="125"/>
      <c r="E5897" s="126">
        <v>25.0</v>
      </c>
      <c r="F5897" s="127"/>
      <c r="G5897" s="127"/>
      <c r="H5897" s="127"/>
      <c r="I5897" s="128"/>
      <c r="K5897" s="105" t="str">
        <f>IFERROR(__xludf.DUMMYFUNCTION("if(A5897="""","""",substitute(SUBSTITUTE(index(importhtml(""http://finviz.com/quote.ashx?t=""&amp;A5897,""table"",10),7,2),""*"",""""),""-"",""0.00""))"),"Loading...")</f>
        <v>Loading...</v>
      </c>
      <c r="L5897" s="129" t="e">
        <v>#N/A</v>
      </c>
      <c r="M5897" s="99">
        <v>0.21</v>
      </c>
    </row>
    <row r="5898">
      <c r="A5898" s="122" t="s">
        <v>12300</v>
      </c>
      <c r="B5898" s="123">
        <v>1693577.0</v>
      </c>
      <c r="C5898" s="124" t="s">
        <v>12301</v>
      </c>
      <c r="D5898" s="125"/>
      <c r="E5898" s="126">
        <v>25.01</v>
      </c>
      <c r="F5898" s="127"/>
      <c r="G5898" s="127"/>
      <c r="H5898" s="127"/>
      <c r="I5898" s="128"/>
      <c r="K5898" s="105" t="str">
        <f>IFERROR(__xludf.DUMMYFUNCTION("if(A5898="""","""",substitute(SUBSTITUTE(index(importhtml(""http://finviz.com/quote.ashx?t=""&amp;A5898,""table"",10),7,2),""*"",""""),""-"",""0.00""))"),"Loading...")</f>
        <v>Loading...</v>
      </c>
      <c r="L5898" s="129">
        <v>1.43093822E8</v>
      </c>
      <c r="M5898" s="99">
        <v>0.3</v>
      </c>
    </row>
    <row r="5899">
      <c r="A5899" s="122" t="s">
        <v>12302</v>
      </c>
      <c r="B5899" s="123">
        <v>1495222.0</v>
      </c>
      <c r="C5899" s="124" t="s">
        <v>12303</v>
      </c>
      <c r="D5899" s="125"/>
      <c r="E5899" s="126">
        <v>25.02</v>
      </c>
      <c r="F5899" s="127"/>
      <c r="G5899" s="127"/>
      <c r="H5899" s="127"/>
      <c r="I5899" s="128"/>
      <c r="K5899" s="105" t="str">
        <f>IFERROR(__xludf.DUMMYFUNCTION("if(A5899="""","""",substitute(SUBSTITUTE(index(importhtml(""http://finviz.com/quote.ashx?t=""&amp;A5899,""table"",10),7,2),""*"",""""),""-"",""0.00""))"),"Loading...")</f>
        <v>Loading...</v>
      </c>
      <c r="L5899" s="129">
        <v>1.168272037E9</v>
      </c>
      <c r="M5899" s="99">
        <v>0.36</v>
      </c>
    </row>
    <row r="5900">
      <c r="A5900" s="122" t="s">
        <v>12304</v>
      </c>
      <c r="B5900" s="123">
        <v>76282.0</v>
      </c>
      <c r="C5900" s="124" t="s">
        <v>12305</v>
      </c>
      <c r="D5900" s="125"/>
      <c r="E5900" s="126">
        <v>25.04</v>
      </c>
      <c r="F5900" s="127"/>
      <c r="G5900" s="127"/>
      <c r="H5900" s="127"/>
      <c r="I5900" s="128"/>
      <c r="K5900" s="105" t="str">
        <f>IFERROR(__xludf.DUMMYFUNCTION("if(A5900="""","""",substitute(SUBSTITUTE(index(importhtml(""http://finviz.com/quote.ashx?t=""&amp;A5900,""table"",10),7,2),""*"",""""),""-"",""0.00""))"),"Loading...")</f>
        <v>Loading...</v>
      </c>
      <c r="L5900" s="129">
        <v>3.27730292E8</v>
      </c>
      <c r="M5900" s="99">
        <v>1.22</v>
      </c>
    </row>
    <row r="5901">
      <c r="A5901" s="122" t="s">
        <v>12306</v>
      </c>
      <c r="B5901" s="123">
        <v>55242.0</v>
      </c>
      <c r="C5901" s="124" t="s">
        <v>12307</v>
      </c>
      <c r="D5901" s="125"/>
      <c r="E5901" s="126">
        <v>25.04</v>
      </c>
      <c r="F5901" s="127"/>
      <c r="G5901" s="127"/>
      <c r="H5901" s="127"/>
      <c r="I5901" s="128"/>
      <c r="K5901" s="105" t="str">
        <f>IFERROR(__xludf.DUMMYFUNCTION("if(A5901="""","""",substitute(SUBSTITUTE(index(importhtml(""http://finviz.com/quote.ashx?t=""&amp;A5901,""table"",10),7,2),""*"",""""),""-"",""0.00""))"),"Loading...")</f>
        <v>Loading...</v>
      </c>
      <c r="L5901" s="129">
        <v>1.993266704E9</v>
      </c>
      <c r="M5901" s="99">
        <v>1.79</v>
      </c>
    </row>
    <row r="5902">
      <c r="A5902" s="122" t="s">
        <v>12308</v>
      </c>
      <c r="B5902" s="123">
        <v>707179.0</v>
      </c>
      <c r="C5902" s="124" t="s">
        <v>12309</v>
      </c>
      <c r="D5902" s="125"/>
      <c r="E5902" s="126">
        <v>25.05</v>
      </c>
      <c r="F5902" s="127"/>
      <c r="G5902" s="127"/>
      <c r="H5902" s="127"/>
      <c r="I5902" s="128"/>
      <c r="K5902" s="105" t="str">
        <f>IFERROR(__xludf.DUMMYFUNCTION("if(A5902="""","""",substitute(SUBSTITUTE(index(importhtml(""http://finviz.com/quote.ashx?t=""&amp;A5902,""table"",10),7,2),""*"",""""),""-"",""0.00""))"),"Loading...")</f>
        <v>Loading...</v>
      </c>
      <c r="L5902" s="129">
        <v>4.700039143E9</v>
      </c>
      <c r="M5902" s="99">
        <v>0.48</v>
      </c>
    </row>
    <row r="5903">
      <c r="A5903" s="122" t="s">
        <v>12310</v>
      </c>
      <c r="B5903" s="123">
        <v>1590364.0</v>
      </c>
      <c r="C5903" s="124" t="s">
        <v>12311</v>
      </c>
      <c r="D5903" s="125"/>
      <c r="E5903" s="126">
        <v>25.05</v>
      </c>
      <c r="F5903" s="127"/>
      <c r="G5903" s="127"/>
      <c r="H5903" s="127"/>
      <c r="I5903" s="128"/>
      <c r="K5903" s="105" t="str">
        <f>IFERROR(__xludf.DUMMYFUNCTION("if(A5903="""","""",substitute(SUBSTITUTE(index(importhtml(""http://finviz.com/quote.ashx?t=""&amp;A5903,""table"",10),7,2),""*"",""""),""-"",""0.00""))"),"Loading...")</f>
        <v>Loading...</v>
      </c>
      <c r="L5903" s="129">
        <v>5.634377888E9</v>
      </c>
      <c r="M5903" s="99">
        <f>IFERROR(__xludf.DUMMYFUNCTION("GOOGLEFINANCE(A5903,""beta"")"),0.95)</f>
        <v>0.95</v>
      </c>
    </row>
    <row r="5904">
      <c r="A5904" s="122" t="s">
        <v>12312</v>
      </c>
      <c r="B5904" s="123">
        <v>1471824.0</v>
      </c>
      <c r="C5904" s="124" t="s">
        <v>12313</v>
      </c>
      <c r="D5904" s="125"/>
      <c r="E5904" s="126">
        <v>25.06</v>
      </c>
      <c r="F5904" s="127"/>
      <c r="G5904" s="127"/>
      <c r="H5904" s="127"/>
      <c r="I5904" s="128"/>
      <c r="K5904" s="105" t="str">
        <f>IFERROR(__xludf.DUMMYFUNCTION("if(A5904="""","""",substitute(SUBSTITUTE(index(importhtml(""http://finviz.com/quote.ashx?t=""&amp;A5904,""table"",10),7,2),""*"",""""),""-"",""0.00""))"),"Loading...")</f>
        <v>Loading...</v>
      </c>
      <c r="L5904" s="129" t="e">
        <v>#N/A</v>
      </c>
      <c r="M5904" s="99" t="str">
        <f>IFERROR(__xludf.DUMMYFUNCTION("GOOGLEFINANCE(A5904,""beta"")"),"#N/A")</f>
        <v>#N/A</v>
      </c>
    </row>
    <row r="5905">
      <c r="A5905" s="122" t="s">
        <v>12314</v>
      </c>
      <c r="B5905" s="123">
        <v>823277.0</v>
      </c>
      <c r="C5905" s="124" t="s">
        <v>12315</v>
      </c>
      <c r="D5905" s="125"/>
      <c r="E5905" s="126">
        <v>25.08</v>
      </c>
      <c r="F5905" s="127"/>
      <c r="G5905" s="127"/>
      <c r="H5905" s="127"/>
      <c r="I5905" s="128"/>
      <c r="K5905" s="105" t="str">
        <f>IFERROR(__xludf.DUMMYFUNCTION("if(A5905="""","""",substitute(SUBSTITUTE(index(importhtml(""http://finviz.com/quote.ashx?t=""&amp;A5905,""table"",10),7,2),""*"",""""),""-"",""0.00""))"),"Loading...")</f>
        <v>Loading...</v>
      </c>
      <c r="L5905" s="129">
        <v>3.79757036E8</v>
      </c>
      <c r="M5905" s="99">
        <v>0.35</v>
      </c>
    </row>
    <row r="5906">
      <c r="A5906" s="122" t="s">
        <v>12316</v>
      </c>
      <c r="B5906" s="123">
        <v>707179.0</v>
      </c>
      <c r="C5906" s="124" t="s">
        <v>12317</v>
      </c>
      <c r="D5906" s="125"/>
      <c r="E5906" s="126">
        <v>25.09</v>
      </c>
      <c r="F5906" s="127"/>
      <c r="G5906" s="127"/>
      <c r="H5906" s="127"/>
      <c r="I5906" s="128"/>
      <c r="K5906" s="105" t="str">
        <f>IFERROR(__xludf.DUMMYFUNCTION("if(A5906="""","""",substitute(SUBSTITUTE(index(importhtml(""http://finviz.com/quote.ashx?t=""&amp;A5906,""table"",10),7,2),""*"",""""),""-"",""0.00""))"),"Loading...")</f>
        <v>Loading...</v>
      </c>
      <c r="L5906" s="129">
        <v>4.700039143E9</v>
      </c>
      <c r="M5906" s="99">
        <v>0.49</v>
      </c>
    </row>
    <row r="5907">
      <c r="A5907" s="122" t="s">
        <v>12318</v>
      </c>
      <c r="B5907" s="123">
        <v>732717.0</v>
      </c>
      <c r="C5907" s="124" t="s">
        <v>12319</v>
      </c>
      <c r="D5907" s="125"/>
      <c r="E5907" s="126">
        <v>25.09</v>
      </c>
      <c r="F5907" s="127"/>
      <c r="G5907" s="127"/>
      <c r="H5907" s="127"/>
      <c r="I5907" s="128"/>
      <c r="K5907" s="105" t="str">
        <f>IFERROR(__xludf.DUMMYFUNCTION("if(A5907="""","""",substitute(SUBSTITUTE(index(importhtml(""http://finviz.com/quote.ashx?t=""&amp;A5907,""table"",10),7,2),""*"",""""),""-"",""0.00""))"),"Loading...")</f>
        <v>Loading...</v>
      </c>
      <c r="L5907" s="129">
        <v>1.27484499454E11</v>
      </c>
      <c r="M5907" s="99">
        <v>0.31</v>
      </c>
    </row>
    <row r="5908">
      <c r="A5908" s="122" t="s">
        <v>12320</v>
      </c>
      <c r="B5908" s="123">
        <v>1590364.0</v>
      </c>
      <c r="C5908" s="124" t="s">
        <v>12321</v>
      </c>
      <c r="D5908" s="125"/>
      <c r="E5908" s="126">
        <v>25.1</v>
      </c>
      <c r="F5908" s="127"/>
      <c r="G5908" s="127"/>
      <c r="H5908" s="127"/>
      <c r="I5908" s="128"/>
      <c r="K5908" s="105" t="str">
        <f>IFERROR(__xludf.DUMMYFUNCTION("if(A5908="""","""",substitute(SUBSTITUTE(index(importhtml(""http://finviz.com/quote.ashx?t=""&amp;A5908,""table"",10),7,2),""*"",""""),""-"",""0.00""))"),"Loading...")</f>
        <v>Loading...</v>
      </c>
      <c r="L5908" s="129">
        <v>5.634377888E9</v>
      </c>
      <c r="M5908" s="99">
        <v>1.55</v>
      </c>
    </row>
    <row r="5909">
      <c r="A5909" s="122" t="s">
        <v>12322</v>
      </c>
      <c r="B5909" s="123">
        <v>893847.0</v>
      </c>
      <c r="C5909" s="124" t="s">
        <v>12323</v>
      </c>
      <c r="D5909" s="125"/>
      <c r="E5909" s="126">
        <v>25.14</v>
      </c>
      <c r="F5909" s="127"/>
      <c r="G5909" s="127"/>
      <c r="H5909" s="127"/>
      <c r="I5909" s="128"/>
      <c r="K5909" s="105" t="str">
        <f>IFERROR(__xludf.DUMMYFUNCTION("if(A5909="""","""",substitute(SUBSTITUTE(index(importhtml(""http://finviz.com/quote.ashx?t=""&amp;A5909,""table"",10),7,2),""*"",""""),""-"",""0.00""))"),"Loading...")</f>
        <v>Loading...</v>
      </c>
      <c r="L5909" s="129">
        <v>1.76968601E8</v>
      </c>
      <c r="M5909" s="99">
        <v>0.52</v>
      </c>
    </row>
    <row r="5910">
      <c r="A5910" s="122" t="s">
        <v>12324</v>
      </c>
      <c r="B5910" s="123">
        <v>1631569.0</v>
      </c>
      <c r="C5910" s="124" t="s">
        <v>12325</v>
      </c>
      <c r="D5910" s="125"/>
      <c r="E5910" s="126">
        <v>25.14</v>
      </c>
      <c r="F5910" s="127"/>
      <c r="G5910" s="127"/>
      <c r="H5910" s="127"/>
      <c r="I5910" s="128"/>
      <c r="K5910" s="105" t="str">
        <f>IFERROR(__xludf.DUMMYFUNCTION("if(A5910="""","""",substitute(SUBSTITUTE(index(importhtml(""http://finviz.com/quote.ashx?t=""&amp;A5910,""table"",10),7,2),""*"",""""),""-"",""0.00""))"),"Loading...")</f>
        <v>Loading...</v>
      </c>
      <c r="L5910" s="129">
        <v>6.85428004E8</v>
      </c>
      <c r="M5910" s="99">
        <v>0.65</v>
      </c>
    </row>
    <row r="5911">
      <c r="A5911" s="122" t="s">
        <v>12326</v>
      </c>
      <c r="B5911" s="123">
        <v>1685040.0</v>
      </c>
      <c r="C5911" s="124" t="s">
        <v>12327</v>
      </c>
      <c r="D5911" s="125"/>
      <c r="E5911" s="126">
        <v>25.14</v>
      </c>
      <c r="F5911" s="127"/>
      <c r="G5911" s="127"/>
      <c r="H5911" s="127"/>
      <c r="I5911" s="128"/>
      <c r="K5911" s="105" t="str">
        <f>IFERROR(__xludf.DUMMYFUNCTION("if(A5911="""","""",substitute(SUBSTITUTE(index(importhtml(""http://finviz.com/quote.ashx?t=""&amp;A5911,""table"",10),7,2),""*"",""""),""-"",""0.00""))"),"Loading...")</f>
        <v>Loading...</v>
      </c>
      <c r="L5911" s="129">
        <v>3.282790981E9</v>
      </c>
      <c r="M5911" s="99">
        <v>0.44</v>
      </c>
    </row>
    <row r="5912">
      <c r="A5912" s="122" t="s">
        <v>12328</v>
      </c>
      <c r="B5912" s="123">
        <v>1673985.0</v>
      </c>
      <c r="C5912" s="124" t="s">
        <v>12329</v>
      </c>
      <c r="D5912" s="125"/>
      <c r="E5912" s="126">
        <v>25.18</v>
      </c>
      <c r="F5912" s="127"/>
      <c r="G5912" s="127"/>
      <c r="H5912" s="127"/>
      <c r="I5912" s="128"/>
      <c r="K5912" s="105" t="str">
        <f>IFERROR(__xludf.DUMMYFUNCTION("if(A5912="""","""",substitute(SUBSTITUTE(index(importhtml(""http://finviz.com/quote.ashx?t=""&amp;A5912,""table"",10),7,2),""*"",""""),""-"",""0.00""))"),"Loading...")</f>
        <v>Loading...</v>
      </c>
      <c r="L5912" s="129">
        <v>6.81658591E8</v>
      </c>
      <c r="M5912" s="99">
        <v>1.72</v>
      </c>
    </row>
    <row r="5913">
      <c r="A5913" s="122" t="s">
        <v>12330</v>
      </c>
      <c r="B5913" s="123">
        <v>1070081.0</v>
      </c>
      <c r="C5913" s="124" t="s">
        <v>12331</v>
      </c>
      <c r="D5913" s="125"/>
      <c r="E5913" s="126">
        <v>25.18</v>
      </c>
      <c r="F5913" s="127"/>
      <c r="G5913" s="127"/>
      <c r="H5913" s="127"/>
      <c r="I5913" s="128"/>
      <c r="K5913" s="105" t="str">
        <f>IFERROR(__xludf.DUMMYFUNCTION("if(A5913="""","""",substitute(SUBSTITUTE(index(importhtml(""http://finviz.com/quote.ashx?t=""&amp;A5913,""table"",10),7,2),""*"",""""),""-"",""0.00""))"),"Loading...")</f>
        <v>Loading...</v>
      </c>
      <c r="L5913" s="129">
        <v>1.90016214E9</v>
      </c>
      <c r="M5913" s="99">
        <v>0.67</v>
      </c>
    </row>
    <row r="5914">
      <c r="A5914" s="122" t="s">
        <v>12332</v>
      </c>
      <c r="B5914" s="123">
        <v>1028918.0</v>
      </c>
      <c r="C5914" s="124" t="s">
        <v>12333</v>
      </c>
      <c r="D5914" s="125"/>
      <c r="E5914" s="126">
        <v>25.19</v>
      </c>
      <c r="F5914" s="127"/>
      <c r="G5914" s="127"/>
      <c r="H5914" s="127"/>
      <c r="I5914" s="128"/>
      <c r="K5914" s="105" t="str">
        <f>IFERROR(__xludf.DUMMYFUNCTION("if(A5914="""","""",substitute(SUBSTITUTE(index(importhtml(""http://finviz.com/quote.ashx?t=""&amp;A5914,""table"",10),7,2),""*"",""""),""-"",""0.00""))"),"Loading...")</f>
        <v>Loading...</v>
      </c>
      <c r="L5914" s="129">
        <v>2.335163819E9</v>
      </c>
      <c r="M5914" s="99">
        <v>1.24</v>
      </c>
    </row>
    <row r="5915">
      <c r="A5915" s="122" t="s">
        <v>12334</v>
      </c>
      <c r="B5915" s="123">
        <v>1340909.0</v>
      </c>
      <c r="C5915" s="124" t="s">
        <v>12335</v>
      </c>
      <c r="D5915" s="125"/>
      <c r="E5915" s="126">
        <v>25.19</v>
      </c>
      <c r="F5915" s="127"/>
      <c r="G5915" s="127"/>
      <c r="H5915" s="127"/>
      <c r="I5915" s="128"/>
      <c r="K5915" s="105" t="str">
        <f>IFERROR(__xludf.DUMMYFUNCTION("if(A5915="""","""",substitute(SUBSTITUTE(index(importhtml(""http://finviz.com/quote.ashx?t=""&amp;A5915,""table"",10),7,2),""*"",""""),""-"",""0.00""))"),"Loading...")</f>
        <v>Loading...</v>
      </c>
      <c r="L5915" s="129" t="e">
        <v>#N/A</v>
      </c>
      <c r="M5915" s="99">
        <v>0.14</v>
      </c>
    </row>
    <row r="5916">
      <c r="A5916" s="122" t="s">
        <v>12336</v>
      </c>
      <c r="B5916" s="123">
        <v>1669779.0</v>
      </c>
      <c r="C5916" s="124" t="s">
        <v>12337</v>
      </c>
      <c r="D5916" s="125"/>
      <c r="E5916" s="126">
        <v>25.2</v>
      </c>
      <c r="F5916" s="127"/>
      <c r="G5916" s="127"/>
      <c r="H5916" s="127"/>
      <c r="I5916" s="128"/>
      <c r="K5916" s="55" t="s">
        <v>7002</v>
      </c>
      <c r="L5916" s="129">
        <v>2.12302774E9</v>
      </c>
      <c r="M5916" s="99">
        <v>2.61</v>
      </c>
    </row>
    <row r="5917">
      <c r="A5917" s="122" t="s">
        <v>12338</v>
      </c>
      <c r="B5917" s="123">
        <v>1156831.0</v>
      </c>
      <c r="C5917" s="124" t="s">
        <v>12339</v>
      </c>
      <c r="D5917" s="125"/>
      <c r="E5917" s="126">
        <v>25.2</v>
      </c>
      <c r="F5917" s="127"/>
      <c r="G5917" s="127"/>
      <c r="H5917" s="127"/>
      <c r="I5917" s="128"/>
      <c r="K5917" s="105" t="str">
        <f>IFERROR(__xludf.DUMMYFUNCTION("if(A5917="""","""",substitute(SUBSTITUTE(index(importhtml(""http://finviz.com/quote.ashx?t=""&amp;A5917,""table"",10),7,2),""*"",""""),""-"",""0.00""))"),"Loading...")</f>
        <v>Loading...</v>
      </c>
      <c r="L5917" s="129">
        <v>7.62263212E9</v>
      </c>
      <c r="M5917" s="99">
        <f>IFERROR(__xludf.DUMMYFUNCTION("GOOGLEFINANCE(A5917,""beta"")"),0.56)</f>
        <v>0.56</v>
      </c>
    </row>
    <row r="5918">
      <c r="A5918" s="122" t="s">
        <v>12340</v>
      </c>
      <c r="B5918" s="123">
        <v>1483934.0</v>
      </c>
      <c r="C5918" s="124" t="s">
        <v>12341</v>
      </c>
      <c r="D5918" s="125"/>
      <c r="E5918" s="126">
        <v>25.21</v>
      </c>
      <c r="F5918" s="127"/>
      <c r="G5918" s="127"/>
      <c r="H5918" s="127"/>
      <c r="I5918" s="128"/>
      <c r="K5918" s="105" t="str">
        <f>IFERROR(__xludf.DUMMYFUNCTION("if(A5918="""","""",substitute(SUBSTITUTE(index(importhtml(""http://finviz.com/quote.ashx?t=""&amp;A5918,""table"",10),7,2),""*"",""""),""-"",""0.00""))"),"Loading...")</f>
        <v>Loading...</v>
      </c>
      <c r="L5918" s="129">
        <v>3.549191698E9</v>
      </c>
      <c r="M5918" s="99">
        <v>0.07</v>
      </c>
    </row>
    <row r="5919">
      <c r="A5919" s="122" t="s">
        <v>12342</v>
      </c>
      <c r="B5919" s="123">
        <v>791908.0</v>
      </c>
      <c r="C5919" s="124" t="s">
        <v>12343</v>
      </c>
      <c r="D5919" s="125"/>
      <c r="E5919" s="126">
        <v>25.22</v>
      </c>
      <c r="F5919" s="127"/>
      <c r="G5919" s="127"/>
      <c r="H5919" s="127"/>
      <c r="I5919" s="128"/>
      <c r="K5919" s="105" t="str">
        <f>IFERROR(__xludf.DUMMYFUNCTION("if(A5919="""","""",substitute(SUBSTITUTE(index(importhtml(""http://finviz.com/quote.ashx?t=""&amp;A5919,""table"",10),7,2),""*"",""""),""-"",""0.00""))"),"Loading...")</f>
        <v>Loading...</v>
      </c>
      <c r="L5919" s="129">
        <v>2.32053568E8</v>
      </c>
      <c r="M5919" s="99">
        <v>0.17</v>
      </c>
    </row>
    <row r="5920">
      <c r="A5920" s="122" t="s">
        <v>12344</v>
      </c>
      <c r="B5920" s="123">
        <v>1653384.0</v>
      </c>
      <c r="C5920" s="124" t="s">
        <v>12345</v>
      </c>
      <c r="D5920" s="125"/>
      <c r="E5920" s="126">
        <v>25.23</v>
      </c>
      <c r="F5920" s="127"/>
      <c r="G5920" s="127"/>
      <c r="H5920" s="127"/>
      <c r="I5920" s="128"/>
      <c r="K5920" s="105" t="str">
        <f>IFERROR(__xludf.DUMMYFUNCTION("if(A5920="""","""",substitute(SUBSTITUTE(index(importhtml(""http://finviz.com/quote.ashx?t=""&amp;A5920,""table"",10),7,2),""*"",""""),""-"",""0.00""))"),"Loading...")</f>
        <v>Loading...</v>
      </c>
      <c r="L5920" s="129">
        <v>5.47685348E8</v>
      </c>
      <c r="M5920" s="99">
        <f>IFERROR(__xludf.DUMMYFUNCTION("GOOGLEFINANCE(A5920,""beta"")"),0.03)</f>
        <v>0.03</v>
      </c>
    </row>
    <row r="5921">
      <c r="A5921" s="122" t="s">
        <v>12346</v>
      </c>
      <c r="B5921" s="123">
        <v>1387467.0</v>
      </c>
      <c r="C5921" s="124" t="s">
        <v>12347</v>
      </c>
      <c r="D5921" s="125"/>
      <c r="E5921" s="126">
        <v>25.23</v>
      </c>
      <c r="F5921" s="127"/>
      <c r="G5921" s="127"/>
      <c r="H5921" s="127"/>
      <c r="I5921" s="128"/>
      <c r="K5921" s="105" t="str">
        <f>IFERROR(__xludf.DUMMYFUNCTION("if(A5921="""","""",substitute(SUBSTITUTE(index(importhtml(""http://finviz.com/quote.ashx?t=""&amp;A5921,""table"",10),7,2),""*"",""""),""-"",""0.00""))"),"Loading...")</f>
        <v>Loading...</v>
      </c>
      <c r="L5921" s="129">
        <v>7.01003174E8</v>
      </c>
      <c r="M5921" s="99">
        <v>2.44</v>
      </c>
    </row>
    <row r="5922">
      <c r="A5922" s="122" t="s">
        <v>12348</v>
      </c>
      <c r="B5922" s="123">
        <v>1828102.0</v>
      </c>
      <c r="C5922" s="124" t="s">
        <v>12349</v>
      </c>
      <c r="D5922" s="125"/>
      <c r="E5922" s="126">
        <v>25.25</v>
      </c>
      <c r="F5922" s="127"/>
      <c r="G5922" s="127"/>
      <c r="H5922" s="127"/>
      <c r="I5922" s="128"/>
      <c r="K5922" s="105" t="str">
        <f>IFERROR(__xludf.DUMMYFUNCTION("if(A5922="""","""",substitute(SUBSTITUTE(index(importhtml(""http://finviz.com/quote.ashx?t=""&amp;A5922,""table"",10),7,2),""*"",""""),""-"",""0.00""))"),"Loading...")</f>
        <v>Loading...</v>
      </c>
      <c r="L5922" s="129">
        <v>7.85076282E8</v>
      </c>
      <c r="M5922" s="99">
        <f>IFERROR(__xludf.DUMMYFUNCTION("GOOGLEFINANCE(A5922,""beta"")"),1.06)</f>
        <v>1.06</v>
      </c>
    </row>
    <row r="5923">
      <c r="A5923" s="122" t="s">
        <v>12350</v>
      </c>
      <c r="B5923" s="123">
        <v>1070524.0</v>
      </c>
      <c r="C5923" s="124" t="s">
        <v>12351</v>
      </c>
      <c r="D5923" s="125"/>
      <c r="E5923" s="126">
        <v>25.26</v>
      </c>
      <c r="F5923" s="127"/>
      <c r="G5923" s="127"/>
      <c r="H5923" s="127"/>
      <c r="I5923" s="128"/>
      <c r="K5923" s="105" t="str">
        <f>IFERROR(__xludf.DUMMYFUNCTION("if(A5923="""","""",substitute(SUBSTITUTE(index(importhtml(""http://finviz.com/quote.ashx?t=""&amp;A5923,""table"",10),7,2),""*"",""""),""-"",""0.00""))"),"Loading...")</f>
        <v>Loading...</v>
      </c>
      <c r="L5923" s="129">
        <v>4.30097477E8</v>
      </c>
      <c r="M5923" s="99">
        <v>0.4</v>
      </c>
    </row>
    <row r="5924">
      <c r="A5924" s="122" t="s">
        <v>12352</v>
      </c>
      <c r="B5924" s="123">
        <v>1652130.0</v>
      </c>
      <c r="C5924" s="124" t="s">
        <v>12353</v>
      </c>
      <c r="D5924" s="125"/>
      <c r="E5924" s="126">
        <v>25.29</v>
      </c>
      <c r="F5924" s="127"/>
      <c r="G5924" s="127"/>
      <c r="H5924" s="127"/>
      <c r="I5924" s="128"/>
      <c r="K5924" s="105" t="str">
        <f>IFERROR(__xludf.DUMMYFUNCTION("if(A5924="""","""",substitute(SUBSTITUTE(index(importhtml(""http://finviz.com/quote.ashx?t=""&amp;A5924,""table"",10),7,2),""*"",""""),""-"",""0.00""))"),"Loading...")</f>
        <v>Loading...</v>
      </c>
      <c r="L5924" s="129">
        <v>2.264842491E9</v>
      </c>
      <c r="M5924" s="99">
        <v>1.74</v>
      </c>
    </row>
    <row r="5925">
      <c r="A5925" s="122" t="s">
        <v>12354</v>
      </c>
      <c r="B5925" s="123">
        <v>1070494.0</v>
      </c>
      <c r="C5925" s="124" t="s">
        <v>12355</v>
      </c>
      <c r="D5925" s="125"/>
      <c r="E5925" s="126">
        <v>25.29</v>
      </c>
      <c r="F5925" s="127"/>
      <c r="G5925" s="127"/>
      <c r="H5925" s="127"/>
      <c r="I5925" s="128"/>
      <c r="K5925" s="105" t="str">
        <f>IFERROR(__xludf.DUMMYFUNCTION("if(A5925="""","""",substitute(SUBSTITUTE(index(importhtml(""http://finviz.com/quote.ashx?t=""&amp;A5925,""table"",10),7,2),""*"",""""),""-"",""0.00""))"),"Loading...")</f>
        <v>Loading...</v>
      </c>
      <c r="L5925" s="129">
        <v>4.152119937E9</v>
      </c>
      <c r="M5925" s="99">
        <v>0.45</v>
      </c>
    </row>
    <row r="5926">
      <c r="A5926" s="122" t="s">
        <v>12356</v>
      </c>
      <c r="B5926" s="123">
        <v>92108.0</v>
      </c>
      <c r="C5926" s="124" t="s">
        <v>12357</v>
      </c>
      <c r="D5926" s="125"/>
      <c r="E5926" s="126">
        <v>25.3</v>
      </c>
      <c r="F5926" s="133"/>
      <c r="G5926" s="133"/>
      <c r="H5926" s="133"/>
      <c r="I5926" s="128"/>
      <c r="K5926" s="105" t="str">
        <f>IFERROR(__xludf.DUMMYFUNCTION("if(A5926="""","""",substitute(SUBSTITUTE(index(importhtml(""http://finviz.com/quote.ashx?t=""&amp;A5926,""table"",10),7,2),""*"",""""),""-"",""0.00""))"),"Loading...")</f>
        <v>Loading...</v>
      </c>
      <c r="L5926" s="129">
        <v>2.227951E7</v>
      </c>
      <c r="M5926" s="99">
        <v>-0.15</v>
      </c>
    </row>
    <row r="5927">
      <c r="A5927" s="122" t="s">
        <v>12358</v>
      </c>
      <c r="B5927" s="123">
        <v>1855555.0</v>
      </c>
      <c r="C5927" s="124" t="s">
        <v>12359</v>
      </c>
      <c r="D5927" s="125"/>
      <c r="E5927" s="126">
        <v>25.3</v>
      </c>
      <c r="F5927" s="127"/>
      <c r="G5927" s="127"/>
      <c r="H5927" s="127"/>
      <c r="I5927" s="128"/>
      <c r="K5927" s="105" t="str">
        <f>IFERROR(__xludf.DUMMYFUNCTION("if(A5927="""","""",substitute(SUBSTITUTE(index(importhtml(""http://finviz.com/quote.ashx?t=""&amp;A5927,""table"",10),7,2),""*"",""""),""-"",""0.00""))"),"Loading...")</f>
        <v>Loading...</v>
      </c>
      <c r="L5927" s="129" t="e">
        <v>#N/A</v>
      </c>
      <c r="M5927" s="99" t="str">
        <f>IFERROR(__xludf.DUMMYFUNCTION("GOOGLEFINANCE(A5927,""beta"")"),"#N/A")</f>
        <v>#N/A</v>
      </c>
    </row>
    <row r="5928">
      <c r="A5928" s="122" t="s">
        <v>12360</v>
      </c>
      <c r="B5928" s="123">
        <v>1522727.0</v>
      </c>
      <c r="C5928" s="124" t="s">
        <v>12361</v>
      </c>
      <c r="D5928" s="125"/>
      <c r="E5928" s="126">
        <v>25.33</v>
      </c>
      <c r="F5928" s="127"/>
      <c r="G5928" s="127"/>
      <c r="H5928" s="127"/>
      <c r="I5928" s="128"/>
      <c r="K5928" s="105" t="str">
        <f>IFERROR(__xludf.DUMMYFUNCTION("if(A5928="""","""",substitute(SUBSTITUTE(index(importhtml(""http://finviz.com/quote.ashx?t=""&amp;A5928,""table"",10),7,2),""*"",""""),""-"",""0.00""))"),"Loading...")</f>
        <v>Loading...</v>
      </c>
      <c r="L5928" s="129">
        <v>2.489919995E9</v>
      </c>
      <c r="M5928" s="99">
        <v>1.31</v>
      </c>
    </row>
    <row r="5929">
      <c r="A5929" s="122" t="s">
        <v>12362</v>
      </c>
      <c r="B5929" s="123">
        <v>1015383.0</v>
      </c>
      <c r="C5929" s="124" t="s">
        <v>12363</v>
      </c>
      <c r="D5929" s="125"/>
      <c r="E5929" s="126">
        <v>25.35</v>
      </c>
      <c r="F5929" s="127"/>
      <c r="G5929" s="127"/>
      <c r="H5929" s="127"/>
      <c r="I5929" s="128"/>
      <c r="K5929" s="105" t="str">
        <f>IFERROR(__xludf.DUMMYFUNCTION("if(A5929="""","""",substitute(SUBSTITUTE(index(importhtml(""http://finviz.com/quote.ashx?t=""&amp;A5929,""table"",10),7,2),""*"",""""),""-"",""0.00""))"),"Loading...")</f>
        <v>Loading...</v>
      </c>
      <c r="L5929" s="129">
        <v>2.62982757E8</v>
      </c>
      <c r="M5929" s="99">
        <f>IFERROR(__xludf.DUMMYFUNCTION("GOOGLEFINANCE(A5929,""beta"")"),0.22)</f>
        <v>0.22</v>
      </c>
    </row>
    <row r="5930">
      <c r="A5930" s="122" t="s">
        <v>12364</v>
      </c>
      <c r="B5930" s="123">
        <v>712534.0</v>
      </c>
      <c r="C5930" s="124" t="s">
        <v>12365</v>
      </c>
      <c r="D5930" s="125"/>
      <c r="E5930" s="126">
        <v>25.35</v>
      </c>
      <c r="F5930" s="127"/>
      <c r="G5930" s="127"/>
      <c r="H5930" s="127"/>
      <c r="I5930" s="128"/>
      <c r="K5930" s="105" t="str">
        <f>IFERROR(__xludf.DUMMYFUNCTION("if(A5930="""","""",substitute(SUBSTITUTE(index(importhtml(""http://finviz.com/quote.ashx?t=""&amp;A5930,""table"",10),7,2),""*"",""""),""-"",""0.00""))"),"Loading...")</f>
        <v>Loading...</v>
      </c>
      <c r="L5930" s="129">
        <v>2.004970245E9</v>
      </c>
      <c r="M5930" s="99">
        <v>0.22</v>
      </c>
    </row>
    <row r="5931">
      <c r="A5931" s="122" t="s">
        <v>12366</v>
      </c>
      <c r="B5931" s="123">
        <v>763901.0</v>
      </c>
      <c r="C5931" s="124" t="s">
        <v>12367</v>
      </c>
      <c r="D5931" s="125"/>
      <c r="E5931" s="126">
        <v>25.35</v>
      </c>
      <c r="F5931" s="127"/>
      <c r="G5931" s="127"/>
      <c r="H5931" s="127"/>
      <c r="I5931" s="128"/>
      <c r="K5931" s="105" t="str">
        <f>IFERROR(__xludf.DUMMYFUNCTION("if(A5931="""","""",substitute(SUBSTITUTE(index(importhtml(""http://finviz.com/quote.ashx?t=""&amp;A5931,""table"",10),7,2),""*"",""""),""-"",""0.00""))"),"Loading...")</f>
        <v>Loading...</v>
      </c>
      <c r="L5931" s="129" t="e">
        <v>#N/A</v>
      </c>
      <c r="M5931" s="99">
        <v>0.17</v>
      </c>
    </row>
    <row r="5932">
      <c r="A5932" s="122" t="s">
        <v>12368</v>
      </c>
      <c r="B5932" s="123">
        <v>1408075.0</v>
      </c>
      <c r="C5932" s="124" t="s">
        <v>12369</v>
      </c>
      <c r="D5932" s="125"/>
      <c r="E5932" s="126">
        <v>25.37</v>
      </c>
      <c r="F5932" s="127"/>
      <c r="G5932" s="127"/>
      <c r="H5932" s="127"/>
      <c r="I5932" s="128"/>
      <c r="K5932" s="55" t="s">
        <v>12370</v>
      </c>
      <c r="L5932" s="129">
        <v>7.764559792E9</v>
      </c>
      <c r="M5932" s="99">
        <v>0.84</v>
      </c>
    </row>
    <row r="5933">
      <c r="A5933" s="122" t="s">
        <v>12371</v>
      </c>
      <c r="B5933" s="123">
        <v>1786108.0</v>
      </c>
      <c r="C5933" s="124" t="s">
        <v>12372</v>
      </c>
      <c r="D5933" s="125"/>
      <c r="E5933" s="126">
        <v>25.38</v>
      </c>
      <c r="F5933" s="127"/>
      <c r="G5933" s="127"/>
      <c r="H5933" s="127"/>
      <c r="I5933" s="128"/>
      <c r="K5933" s="105" t="str">
        <f>IFERROR(__xludf.DUMMYFUNCTION("if(A5933="""","""",substitute(SUBSTITUTE(index(importhtml(""http://finviz.com/quote.ashx?t=""&amp;A5933,""table"",10),7,2),""*"",""""),""-"",""0.00""))"),"Loading...")</f>
        <v>Loading...</v>
      </c>
      <c r="L5933" s="129">
        <v>6.08144191E8</v>
      </c>
      <c r="M5933" s="99" t="str">
        <f>IFERROR(__xludf.DUMMYFUNCTION("GOOGLEFINANCE(A5933,""beta"")"),"#N/A")</f>
        <v>#N/A</v>
      </c>
    </row>
    <row r="5934">
      <c r="A5934" s="122" t="s">
        <v>12373</v>
      </c>
      <c r="B5934" s="123">
        <v>1533232.0</v>
      </c>
      <c r="C5934" s="124" t="s">
        <v>12374</v>
      </c>
      <c r="D5934" s="125"/>
      <c r="E5934" s="126">
        <v>25.41</v>
      </c>
      <c r="F5934" s="127"/>
      <c r="G5934" s="127"/>
      <c r="H5934" s="127"/>
      <c r="I5934" s="128"/>
      <c r="K5934" s="55" t="s">
        <v>9541</v>
      </c>
      <c r="L5934" s="129">
        <v>1.002693E10</v>
      </c>
      <c r="M5934" s="99">
        <v>0.92</v>
      </c>
    </row>
    <row r="5935">
      <c r="A5935" s="122" t="s">
        <v>12375</v>
      </c>
      <c r="B5935" s="123">
        <v>103595.0</v>
      </c>
      <c r="C5935" s="124" t="s">
        <v>12376</v>
      </c>
      <c r="D5935" s="125"/>
      <c r="E5935" s="126">
        <v>25.44</v>
      </c>
      <c r="F5935" s="127"/>
      <c r="G5935" s="127"/>
      <c r="H5935" s="127"/>
      <c r="I5935" s="128"/>
      <c r="K5935" s="105" t="str">
        <f>IFERROR(__xludf.DUMMYFUNCTION("if(A5935="""","""",substitute(SUBSTITUTE(index(importhtml(""http://finviz.com/quote.ashx?t=""&amp;A5935,""table"",10),7,2),""*"",""""),""-"",""0.00""))"),"Loading...")</f>
        <v>Loading...</v>
      </c>
      <c r="L5935" s="129">
        <v>3.76703062E8</v>
      </c>
      <c r="M5935" s="99">
        <v>0.31</v>
      </c>
    </row>
    <row r="5936">
      <c r="A5936" s="122" t="s">
        <v>12377</v>
      </c>
      <c r="B5936" s="123">
        <v>1687187.0</v>
      </c>
      <c r="C5936" s="124" t="s">
        <v>12378</v>
      </c>
      <c r="D5936" s="125"/>
      <c r="E5936" s="126">
        <v>25.45</v>
      </c>
      <c r="F5936" s="127"/>
      <c r="G5936" s="127"/>
      <c r="H5936" s="127"/>
      <c r="I5936" s="128"/>
      <c r="K5936" s="105" t="str">
        <f>IFERROR(__xludf.DUMMYFUNCTION("if(A5936="""","""",substitute(SUBSTITUTE(index(importhtml(""http://finviz.com/quote.ashx?t=""&amp;A5936,""table"",10),7,2),""*"",""""),""-"",""0.00""))"),"Loading...")</f>
        <v>Loading...</v>
      </c>
      <c r="L5936" s="129">
        <v>8.99602285E8</v>
      </c>
      <c r="M5936" s="99" t="str">
        <f>IFERROR(__xludf.DUMMYFUNCTION("GOOGLEFINANCE(A5936,""beta"")"),"#N/A")</f>
        <v>#N/A</v>
      </c>
    </row>
    <row r="5937">
      <c r="A5937" s="122" t="s">
        <v>12379</v>
      </c>
      <c r="B5937" s="123">
        <v>1466026.0</v>
      </c>
      <c r="C5937" s="124" t="s">
        <v>12380</v>
      </c>
      <c r="D5937" s="125"/>
      <c r="E5937" s="126">
        <v>25.46</v>
      </c>
      <c r="F5937" s="127"/>
      <c r="G5937" s="127"/>
      <c r="H5937" s="127"/>
      <c r="I5937" s="128"/>
      <c r="K5937" s="105" t="str">
        <f>IFERROR(__xludf.DUMMYFUNCTION("if(A5937="""","""",substitute(SUBSTITUTE(index(importhtml(""http://finviz.com/quote.ashx?t=""&amp;A5937,""table"",10),7,2),""*"",""""),""-"",""0.00""))"),"Loading...")</f>
        <v>Loading...</v>
      </c>
      <c r="L5937" s="129">
        <v>5.48698624E8</v>
      </c>
      <c r="M5937" s="99">
        <v>0.8</v>
      </c>
    </row>
    <row r="5938">
      <c r="A5938" s="122" t="s">
        <v>12381</v>
      </c>
      <c r="B5938" s="123">
        <v>933034.0</v>
      </c>
      <c r="C5938" s="124" t="s">
        <v>12382</v>
      </c>
      <c r="D5938" s="125"/>
      <c r="E5938" s="126">
        <v>25.5</v>
      </c>
      <c r="F5938" s="127"/>
      <c r="G5938" s="127"/>
      <c r="H5938" s="127"/>
      <c r="I5938" s="128"/>
      <c r="K5938" s="105" t="str">
        <f>IFERROR(__xludf.DUMMYFUNCTION("if(A5938="""","""",substitute(SUBSTITUTE(index(importhtml(""http://finviz.com/quote.ashx?t=""&amp;A5938,""table"",10),7,2),""*"",""""),""-"",""0.00""))"),"Loading...")</f>
        <v>Loading...</v>
      </c>
      <c r="L5938" s="129">
        <v>1.0375236E8</v>
      </c>
      <c r="M5938" s="99">
        <v>1.11</v>
      </c>
    </row>
    <row r="5939">
      <c r="A5939" s="122" t="s">
        <v>12383</v>
      </c>
      <c r="B5939" s="123">
        <v>1363829.0</v>
      </c>
      <c r="C5939" s="124" t="s">
        <v>12384</v>
      </c>
      <c r="D5939" s="125"/>
      <c r="E5939" s="126">
        <v>25.5</v>
      </c>
      <c r="F5939" s="127"/>
      <c r="G5939" s="127"/>
      <c r="H5939" s="127"/>
      <c r="I5939" s="128"/>
      <c r="K5939" s="105" t="str">
        <f>IFERROR(__xludf.DUMMYFUNCTION("if(A5939="""","""",substitute(SUBSTITUTE(index(importhtml(""http://finviz.com/quote.ashx?t=""&amp;A5939,""table"",10),7,2),""*"",""""),""-"",""0.00""))"),"Loading...")</f>
        <v>Loading...</v>
      </c>
      <c r="L5939" s="129">
        <v>4.290678649E9</v>
      </c>
      <c r="M5939" s="99">
        <v>0.61</v>
      </c>
    </row>
    <row r="5940">
      <c r="A5940" s="122" t="s">
        <v>12385</v>
      </c>
      <c r="B5940" s="123">
        <v>99780.0</v>
      </c>
      <c r="C5940" s="124" t="s">
        <v>12386</v>
      </c>
      <c r="D5940" s="125"/>
      <c r="E5940" s="126">
        <v>25.57</v>
      </c>
      <c r="F5940" s="127"/>
      <c r="G5940" s="127"/>
      <c r="H5940" s="127"/>
      <c r="I5940" s="128"/>
      <c r="K5940" s="105" t="str">
        <f>IFERROR(__xludf.DUMMYFUNCTION("if(A5940="""","""",substitute(SUBSTITUTE(index(importhtml(""http://finviz.com/quote.ashx?t=""&amp;A5940,""table"",10),7,2),""*"",""""),""-"",""0.00""))"),"Loading...")</f>
        <v>Loading...</v>
      </c>
      <c r="L5940" s="129">
        <v>2.093453974E9</v>
      </c>
      <c r="M5940" s="99">
        <v>1.38</v>
      </c>
    </row>
    <row r="5941">
      <c r="A5941" s="122" t="s">
        <v>12387</v>
      </c>
      <c r="B5941" s="123">
        <v>1111711.0</v>
      </c>
      <c r="C5941" s="124" t="s">
        <v>12388</v>
      </c>
      <c r="D5941" s="125"/>
      <c r="E5941" s="126">
        <v>25.6</v>
      </c>
      <c r="F5941" s="127"/>
      <c r="G5941" s="127"/>
      <c r="H5941" s="127"/>
      <c r="I5941" s="128"/>
      <c r="K5941" s="138" t="s">
        <v>9675</v>
      </c>
      <c r="L5941" s="129">
        <v>1.0583436957E10</v>
      </c>
      <c r="M5941" s="99">
        <v>0.49</v>
      </c>
    </row>
    <row r="5942">
      <c r="A5942" s="122" t="s">
        <v>12389</v>
      </c>
      <c r="B5942" s="123">
        <v>743367.0</v>
      </c>
      <c r="C5942" s="124" t="s">
        <v>12390</v>
      </c>
      <c r="D5942" s="125"/>
      <c r="E5942" s="126">
        <v>25.61</v>
      </c>
      <c r="F5942" s="127"/>
      <c r="G5942" s="127"/>
      <c r="H5942" s="127"/>
      <c r="I5942" s="128"/>
      <c r="K5942" s="55" t="s">
        <v>12391</v>
      </c>
      <c r="L5942" s="129">
        <v>3.88554929E8</v>
      </c>
      <c r="M5942" s="99">
        <v>0.76</v>
      </c>
    </row>
    <row r="5943">
      <c r="A5943" s="122" t="s">
        <v>12392</v>
      </c>
      <c r="B5943" s="123">
        <v>1423689.0</v>
      </c>
      <c r="C5943" s="124" t="s">
        <v>12393</v>
      </c>
      <c r="D5943" s="125"/>
      <c r="E5943" s="126">
        <v>25.61</v>
      </c>
      <c r="F5943" s="127"/>
      <c r="G5943" s="127"/>
      <c r="H5943" s="127"/>
      <c r="I5943" s="128"/>
      <c r="K5943" s="105" t="str">
        <f>IFERROR(__xludf.DUMMYFUNCTION("if(A5943="""","""",substitute(SUBSTITUTE(index(importhtml(""http://finviz.com/quote.ashx?t=""&amp;A5943,""table"",10),7,2),""*"",""""),""-"",""0.00""))"),"Loading...")</f>
        <v>Loading...</v>
      </c>
      <c r="L5943" s="129">
        <v>6.409060518E9</v>
      </c>
      <c r="M5943" s="99">
        <v>0.54</v>
      </c>
    </row>
    <row r="5944">
      <c r="A5944" s="122" t="s">
        <v>12394</v>
      </c>
      <c r="B5944" s="123">
        <v>823277.0</v>
      </c>
      <c r="C5944" s="124" t="s">
        <v>12395</v>
      </c>
      <c r="D5944" s="125"/>
      <c r="E5944" s="126">
        <v>25.63</v>
      </c>
      <c r="F5944" s="127"/>
      <c r="G5944" s="127"/>
      <c r="H5944" s="127"/>
      <c r="I5944" s="128"/>
      <c r="K5944" s="105" t="str">
        <f>IFERROR(__xludf.DUMMYFUNCTION("if(A5944="""","""",substitute(SUBSTITUTE(index(importhtml(""http://finviz.com/quote.ashx?t=""&amp;A5944,""table"",10),7,2),""*"",""""),""-"",""0.00""))"),"Loading...")</f>
        <v>Loading...</v>
      </c>
      <c r="L5944" s="129">
        <v>3.79757036E8</v>
      </c>
      <c r="M5944" s="99">
        <v>0.28</v>
      </c>
    </row>
    <row r="5945">
      <c r="A5945" s="122" t="s">
        <v>12396</v>
      </c>
      <c r="B5945" s="123">
        <v>1823608.0</v>
      </c>
      <c r="C5945" s="124" t="s">
        <v>12397</v>
      </c>
      <c r="D5945" s="125"/>
      <c r="E5945" s="126">
        <v>25.63</v>
      </c>
      <c r="F5945" s="127"/>
      <c r="G5945" s="127"/>
      <c r="H5945" s="127"/>
      <c r="I5945" s="128"/>
      <c r="K5945" s="105" t="str">
        <f>IFERROR(__xludf.DUMMYFUNCTION("if(A5945="""","""",substitute(SUBSTITUTE(index(importhtml(""http://finviz.com/quote.ashx?t=""&amp;A5945,""table"",10),7,2),""*"",""""),""-"",""0.00""))"),"Loading...")</f>
        <v>Loading...</v>
      </c>
      <c r="L5945" s="129">
        <v>7.84722142E8</v>
      </c>
      <c r="M5945" s="99">
        <v>0.97</v>
      </c>
    </row>
    <row r="5946">
      <c r="A5946" s="122" t="s">
        <v>12398</v>
      </c>
      <c r="B5946" s="123">
        <v>28917.0</v>
      </c>
      <c r="C5946" s="124" t="s">
        <v>12399</v>
      </c>
      <c r="D5946" s="125"/>
      <c r="E5946" s="126">
        <v>25.66</v>
      </c>
      <c r="F5946" s="127"/>
      <c r="G5946" s="127"/>
      <c r="H5946" s="127"/>
      <c r="I5946" s="128"/>
      <c r="K5946" s="105" t="str">
        <f>IFERROR(__xludf.DUMMYFUNCTION("if(A5946="""","""",substitute(SUBSTITUTE(index(importhtml(""http://finviz.com/quote.ashx?t=""&amp;A5946,""table"",10),7,2),""*"",""""),""-"",""0.00""))"),"Loading...")</f>
        <v>Loading...</v>
      </c>
      <c r="L5946" s="129" t="e">
        <v>#N/A</v>
      </c>
      <c r="M5946" s="99">
        <v>0.29</v>
      </c>
    </row>
    <row r="5947">
      <c r="A5947" s="122" t="s">
        <v>12400</v>
      </c>
      <c r="B5947" s="123">
        <v>109380.0</v>
      </c>
      <c r="C5947" s="124" t="s">
        <v>12401</v>
      </c>
      <c r="D5947" s="125"/>
      <c r="E5947" s="126">
        <v>25.69</v>
      </c>
      <c r="F5947" s="127"/>
      <c r="G5947" s="127"/>
      <c r="H5947" s="127"/>
      <c r="I5947" s="128"/>
      <c r="K5947" s="105" t="str">
        <f>IFERROR(__xludf.DUMMYFUNCTION("if(A5947="""","""",substitute(SUBSTITUTE(index(importhtml(""http://finviz.com/quote.ashx?t=""&amp;A5947,""table"",10),7,2),""*"",""""),""-"",""0.00""))"),"Loading...")</f>
        <v>Loading...</v>
      </c>
      <c r="L5947" s="129">
        <v>5.874096181E9</v>
      </c>
      <c r="M5947" s="99">
        <v>0.23</v>
      </c>
    </row>
    <row r="5948">
      <c r="A5948" s="122" t="s">
        <v>12402</v>
      </c>
      <c r="B5948" s="123">
        <v>35527.0</v>
      </c>
      <c r="C5948" s="124" t="s">
        <v>12403</v>
      </c>
      <c r="D5948" s="125"/>
      <c r="E5948" s="126">
        <v>25.69</v>
      </c>
      <c r="F5948" s="127"/>
      <c r="G5948" s="127"/>
      <c r="H5948" s="127"/>
      <c r="I5948" s="128"/>
      <c r="K5948" s="105" t="str">
        <f>IFERROR(__xludf.DUMMYFUNCTION("if(A5948="""","""",substitute(SUBSTITUTE(index(importhtml(""http://finviz.com/quote.ashx?t=""&amp;A5948,""table"",10),7,2),""*"",""""),""-"",""0.00""))"),"Loading...")</f>
        <v>Loading...</v>
      </c>
      <c r="L5948" s="129">
        <v>2.3056076825E10</v>
      </c>
      <c r="M5948" s="99">
        <v>0.3</v>
      </c>
    </row>
    <row r="5949">
      <c r="A5949" s="122" t="s">
        <v>12404</v>
      </c>
      <c r="B5949" s="123">
        <v>1110805.0</v>
      </c>
      <c r="C5949" s="124" t="s">
        <v>12405</v>
      </c>
      <c r="D5949" s="125"/>
      <c r="E5949" s="126">
        <v>25.69</v>
      </c>
      <c r="F5949" s="127"/>
      <c r="G5949" s="127"/>
      <c r="H5949" s="127"/>
      <c r="I5949" s="128"/>
      <c r="K5949" s="105" t="str">
        <f>IFERROR(__xludf.DUMMYFUNCTION("if(A5949="""","""",substitute(SUBSTITUTE(index(importhtml(""http://finviz.com/quote.ashx?t=""&amp;A5949,""table"",10),7,2),""*"",""""),""-"",""0.00""))"),"Loading...")</f>
        <v>Loading...</v>
      </c>
      <c r="L5949" s="129" t="e">
        <v>#N/A</v>
      </c>
      <c r="M5949" s="99">
        <v>0.93</v>
      </c>
    </row>
    <row r="5950">
      <c r="A5950" s="122" t="s">
        <v>12406</v>
      </c>
      <c r="B5950" s="123">
        <v>1337117.0</v>
      </c>
      <c r="C5950" s="124" t="s">
        <v>12407</v>
      </c>
      <c r="D5950" s="125"/>
      <c r="E5950" s="126">
        <v>25.7</v>
      </c>
      <c r="F5950" s="127"/>
      <c r="G5950" s="127"/>
      <c r="H5950" s="127"/>
      <c r="I5950" s="128"/>
      <c r="K5950" s="105" t="str">
        <f>IFERROR(__xludf.DUMMYFUNCTION("if(A5950="""","""",substitute(SUBSTITUTE(index(importhtml(""http://finviz.com/quote.ashx?t=""&amp;A5950,""table"",10),7,2),""*"",""""),""-"",""0.00""))"),"Loading...")</f>
        <v>Loading...</v>
      </c>
      <c r="L5950" s="129">
        <v>5.11265021E8</v>
      </c>
      <c r="M5950" s="99">
        <v>1.17</v>
      </c>
    </row>
    <row r="5951">
      <c r="A5951" s="122" t="s">
        <v>12408</v>
      </c>
      <c r="B5951" s="123">
        <v>1564708.0</v>
      </c>
      <c r="C5951" s="124" t="s">
        <v>12409</v>
      </c>
      <c r="D5951" s="125"/>
      <c r="E5951" s="126">
        <v>25.7</v>
      </c>
      <c r="F5951" s="127"/>
      <c r="G5951" s="127"/>
      <c r="H5951" s="127"/>
      <c r="I5951" s="128"/>
      <c r="K5951" s="105" t="str">
        <f>IFERROR(__xludf.DUMMYFUNCTION("if(A5951="""","""",substitute(SUBSTITUTE(index(importhtml(""http://finviz.com/quote.ashx?t=""&amp;A5951,""table"",10),7,2),""*"",""""),""-"",""0.00""))"),"Loading...")</f>
        <v>Loading...</v>
      </c>
      <c r="L5951" s="129">
        <v>1.4307233381E10</v>
      </c>
      <c r="M5951" s="99">
        <v>1.35</v>
      </c>
    </row>
    <row r="5952">
      <c r="A5952" s="122" t="s">
        <v>12410</v>
      </c>
      <c r="B5952" s="123">
        <v>1431567.0</v>
      </c>
      <c r="C5952" s="124" t="s">
        <v>12411</v>
      </c>
      <c r="D5952" s="125"/>
      <c r="E5952" s="126">
        <v>25.72</v>
      </c>
      <c r="F5952" s="127"/>
      <c r="G5952" s="127"/>
      <c r="H5952" s="127"/>
      <c r="I5952" s="128"/>
      <c r="K5952" s="105" t="str">
        <f>IFERROR(__xludf.DUMMYFUNCTION("if(A5952="""","""",substitute(SUBSTITUTE(index(importhtml(""http://finviz.com/quote.ashx?t=""&amp;A5952,""table"",10),7,2),""*"",""""),""-"",""0.00""))"),"Loading...")</f>
        <v>Loading...</v>
      </c>
      <c r="L5952" s="129">
        <v>2.13300223E8</v>
      </c>
      <c r="M5952" s="99">
        <v>0.38</v>
      </c>
    </row>
    <row r="5953">
      <c r="A5953" s="122" t="s">
        <v>12412</v>
      </c>
      <c r="B5953" s="123">
        <v>1644378.0</v>
      </c>
      <c r="C5953" s="124" t="s">
        <v>12413</v>
      </c>
      <c r="D5953" s="125"/>
      <c r="E5953" s="126">
        <v>25.72</v>
      </c>
      <c r="F5953" s="127"/>
      <c r="G5953" s="127"/>
      <c r="H5953" s="127"/>
      <c r="I5953" s="128"/>
      <c r="K5953" s="105" t="str">
        <f>IFERROR(__xludf.DUMMYFUNCTION("if(A5953="""","""",substitute(SUBSTITUTE(index(importhtml(""http://finviz.com/quote.ashx?t=""&amp;A5953,""table"",10),7,2),""*"",""""),""-"",""0.00""))"),"Loading...")</f>
        <v>Loading...</v>
      </c>
      <c r="L5953" s="129">
        <v>8.15573719E8</v>
      </c>
      <c r="M5953" s="99">
        <v>1.28</v>
      </c>
    </row>
    <row r="5954">
      <c r="A5954" s="122" t="s">
        <v>12414</v>
      </c>
      <c r="B5954" s="123">
        <v>823277.0</v>
      </c>
      <c r="C5954" s="124" t="s">
        <v>12415</v>
      </c>
      <c r="D5954" s="125"/>
      <c r="E5954" s="126">
        <v>25.73</v>
      </c>
      <c r="F5954" s="127"/>
      <c r="G5954" s="127"/>
      <c r="H5954" s="127"/>
      <c r="I5954" s="128"/>
      <c r="K5954" s="105" t="str">
        <f>IFERROR(__xludf.DUMMYFUNCTION("if(A5954="""","""",substitute(SUBSTITUTE(index(importhtml(""http://finviz.com/quote.ashx?t=""&amp;A5954,""table"",10),7,2),""*"",""""),""-"",""0.00""))"),"Loading...")</f>
        <v>Loading...</v>
      </c>
      <c r="L5954" s="129">
        <v>3.79757036E8</v>
      </c>
      <c r="M5954" s="99">
        <v>0.21</v>
      </c>
    </row>
    <row r="5955">
      <c r="A5955" s="122" t="s">
        <v>12416</v>
      </c>
      <c r="B5955" s="123">
        <v>1559053.0</v>
      </c>
      <c r="C5955" s="124" t="s">
        <v>12417</v>
      </c>
      <c r="D5955" s="125"/>
      <c r="E5955" s="126">
        <v>25.77</v>
      </c>
      <c r="F5955" s="127"/>
      <c r="G5955" s="127"/>
      <c r="H5955" s="127"/>
      <c r="I5955" s="128"/>
      <c r="K5955" s="105" t="str">
        <f>IFERROR(__xludf.DUMMYFUNCTION("if(A5955="""","""",substitute(SUBSTITUTE(index(importhtml(""http://finviz.com/quote.ashx?t=""&amp;A5955,""table"",10),7,2),""*"",""""),""-"",""0.00""))"),"Loading...")</f>
        <v>Loading...</v>
      </c>
      <c r="L5955" s="129">
        <v>1.382956351E9</v>
      </c>
      <c r="M5955" s="99">
        <v>0.25</v>
      </c>
    </row>
    <row r="5956">
      <c r="A5956" s="122" t="s">
        <v>12418</v>
      </c>
      <c r="B5956" s="123">
        <v>1669414.0</v>
      </c>
      <c r="C5956" s="124" t="s">
        <v>12419</v>
      </c>
      <c r="D5956" s="125"/>
      <c r="E5956" s="126">
        <v>25.78</v>
      </c>
      <c r="F5956" s="127"/>
      <c r="G5956" s="127"/>
      <c r="H5956" s="127"/>
      <c r="I5956" s="128"/>
      <c r="K5956" s="105" t="str">
        <f>IFERROR(__xludf.DUMMYFUNCTION("if(A5956="""","""",substitute(SUBSTITUTE(index(importhtml(""http://finviz.com/quote.ashx?t=""&amp;A5956,""table"",10),7,2),""*"",""""),""-"",""0.00""))"),"Loading...")</f>
        <v>Loading...</v>
      </c>
      <c r="L5956" s="129">
        <v>2.514172969E12</v>
      </c>
      <c r="M5956" s="99">
        <v>0.49</v>
      </c>
    </row>
    <row r="5957">
      <c r="A5957" s="122" t="s">
        <v>12420</v>
      </c>
      <c r="B5957" s="123">
        <v>1809353.0</v>
      </c>
      <c r="C5957" s="124" t="s">
        <v>12421</v>
      </c>
      <c r="D5957" s="125"/>
      <c r="E5957" s="126">
        <v>25.8</v>
      </c>
      <c r="F5957" s="139"/>
      <c r="G5957" s="127"/>
      <c r="H5957" s="127"/>
      <c r="I5957" s="128"/>
      <c r="K5957" s="105" t="str">
        <f>IFERROR(__xludf.DUMMYFUNCTION("if(A5957="""","""",substitute(SUBSTITUTE(index(importhtml(""http://finviz.com/quote.ashx?t=""&amp;A5957,""table"",10),7,2),""*"",""""),""-"",""0.00""))"),"Loading...")</f>
        <v>Loading...</v>
      </c>
      <c r="L5957" s="129">
        <v>3.589699692E11</v>
      </c>
      <c r="M5957" s="99" t="str">
        <f>IFERROR(__xludf.DUMMYFUNCTION("GOOGLEFINANCE(A5957,""beta"")"),"#N/A")</f>
        <v>#N/A</v>
      </c>
    </row>
    <row r="5958">
      <c r="A5958" s="122" t="s">
        <v>12422</v>
      </c>
      <c r="B5958" s="123">
        <v>1689731.0</v>
      </c>
      <c r="C5958" s="124" t="s">
        <v>12423</v>
      </c>
      <c r="D5958" s="125"/>
      <c r="E5958" s="126">
        <v>25.86</v>
      </c>
      <c r="F5958" s="127"/>
      <c r="G5958" s="127"/>
      <c r="H5958" s="127"/>
      <c r="I5958" s="128"/>
      <c r="K5958" s="105" t="str">
        <f>IFERROR(__xludf.DUMMYFUNCTION("if(A5958="""","""",substitute(SUBSTITUTE(index(importhtml(""http://finviz.com/quote.ashx?t=""&amp;A5958,""table"",10),7,2),""*"",""""),""-"",""0.00""))"),"Loading...")</f>
        <v>Loading...</v>
      </c>
      <c r="L5958" s="129">
        <v>2.28637316E8</v>
      </c>
      <c r="M5958" s="99" t="str">
        <f>IFERROR(__xludf.DUMMYFUNCTION("GOOGLEFINANCE(A5958,""beta"")"),"#N/A")</f>
        <v>#N/A</v>
      </c>
    </row>
    <row r="5959">
      <c r="A5959" s="122" t="s">
        <v>12424</v>
      </c>
      <c r="B5959" s="123">
        <v>701374.0</v>
      </c>
      <c r="C5959" s="124" t="s">
        <v>12425</v>
      </c>
      <c r="D5959" s="125"/>
      <c r="E5959" s="126">
        <v>25.86</v>
      </c>
      <c r="F5959" s="127"/>
      <c r="G5959" s="127"/>
      <c r="H5959" s="127"/>
      <c r="I5959" s="128"/>
      <c r="K5959" s="105" t="str">
        <f>IFERROR(__xludf.DUMMYFUNCTION("if(A5959="""","""",substitute(SUBSTITUTE(index(importhtml(""http://finviz.com/quote.ashx?t=""&amp;A5959,""table"",10),7,2),""*"",""""),""-"",""0.00""))"),"Loading...")</f>
        <v>Loading...</v>
      </c>
      <c r="L5959" s="129">
        <v>2.175484705E9</v>
      </c>
      <c r="M5959" s="99">
        <v>2.2</v>
      </c>
    </row>
    <row r="5960">
      <c r="A5960" s="122" t="s">
        <v>12426</v>
      </c>
      <c r="B5960" s="123">
        <v>1137774.0</v>
      </c>
      <c r="C5960" s="124" t="s">
        <v>12427</v>
      </c>
      <c r="D5960" s="125"/>
      <c r="E5960" s="126">
        <v>25.91</v>
      </c>
      <c r="F5960" s="127"/>
      <c r="G5960" s="127"/>
      <c r="H5960" s="127"/>
      <c r="I5960" s="128"/>
      <c r="K5960" s="105" t="str">
        <f>IFERROR(__xludf.DUMMYFUNCTION("if(A5960="""","""",substitute(SUBSTITUTE(index(importhtml(""http://finviz.com/quote.ashx?t=""&amp;A5960,""table"",10),7,2),""*"",""""),""-"",""0.00""))"),"Loading...")</f>
        <v>Loading...</v>
      </c>
      <c r="L5960" s="129">
        <v>3.7258809669E10</v>
      </c>
      <c r="M5960" s="99">
        <f>IFERROR(__xludf.DUMMYFUNCTION("GOOGLEFINANCE(A5960,""beta"")"),0.28)</f>
        <v>0.28</v>
      </c>
    </row>
    <row r="5961">
      <c r="A5961" s="122" t="s">
        <v>12428</v>
      </c>
      <c r="B5961" s="123">
        <v>1745999.0</v>
      </c>
      <c r="C5961" s="124" t="s">
        <v>12429</v>
      </c>
      <c r="D5961" s="125"/>
      <c r="E5961" s="126">
        <v>25.92</v>
      </c>
      <c r="F5961" s="127"/>
      <c r="G5961" s="127"/>
      <c r="H5961" s="127"/>
      <c r="I5961" s="128"/>
      <c r="K5961" s="105" t="str">
        <f>IFERROR(__xludf.DUMMYFUNCTION("if(A5961="""","""",substitute(SUBSTITUTE(index(importhtml(""http://finviz.com/quote.ashx?t=""&amp;A5961,""table"",10),7,2),""*"",""""),""-"",""0.00""))"),"Loading...")</f>
        <v>Loading...</v>
      </c>
      <c r="L5961" s="129">
        <v>2.112584723E9</v>
      </c>
      <c r="M5961" s="99">
        <v>1.66</v>
      </c>
    </row>
    <row r="5962">
      <c r="A5962" s="122" t="s">
        <v>12430</v>
      </c>
      <c r="B5962" s="123">
        <v>930157.0</v>
      </c>
      <c r="C5962" s="124" t="s">
        <v>6310</v>
      </c>
      <c r="D5962" s="125"/>
      <c r="E5962" s="126">
        <v>25.96</v>
      </c>
      <c r="F5962" s="127"/>
      <c r="G5962" s="127"/>
      <c r="H5962" s="127"/>
      <c r="I5962" s="128"/>
      <c r="K5962" s="105" t="str">
        <f>IFERROR(__xludf.DUMMYFUNCTION("if(A5962="""","""",substitute(SUBSTITUTE(index(importhtml(""http://finviz.com/quote.ashx?t=""&amp;A5962,""table"",10),7,2),""*"",""""),""-"",""0.00""))"),"Loading...")</f>
        <v>Loading...</v>
      </c>
      <c r="L5962" s="129">
        <v>1.2761343661E10</v>
      </c>
      <c r="M5962" s="99">
        <v>1.08</v>
      </c>
    </row>
    <row r="5963">
      <c r="A5963" s="122" t="s">
        <v>12431</v>
      </c>
      <c r="B5963" s="123">
        <v>760498.0</v>
      </c>
      <c r="C5963" s="124" t="s">
        <v>12432</v>
      </c>
      <c r="D5963" s="125"/>
      <c r="E5963" s="126">
        <v>25.98</v>
      </c>
      <c r="F5963" s="127"/>
      <c r="G5963" s="127"/>
      <c r="H5963" s="127"/>
      <c r="I5963" s="128"/>
      <c r="K5963" s="105" t="str">
        <f>IFERROR(__xludf.DUMMYFUNCTION("if(A5963="""","""",substitute(SUBSTITUTE(index(importhtml(""http://finviz.com/quote.ashx?t=""&amp;A5963,""table"",10),7,2),""*"",""""),""-"",""0.00""))"),"Loading...")</f>
        <v>Loading...</v>
      </c>
      <c r="L5963" s="129" t="e">
        <v>#N/A</v>
      </c>
      <c r="M5963" s="99">
        <v>0.03</v>
      </c>
    </row>
    <row r="5964">
      <c r="A5964" s="122" t="s">
        <v>12433</v>
      </c>
      <c r="B5964" s="123">
        <v>750558.0</v>
      </c>
      <c r="C5964" s="124" t="s">
        <v>12434</v>
      </c>
      <c r="D5964" s="125"/>
      <c r="E5964" s="126">
        <v>25.99</v>
      </c>
      <c r="F5964" s="127"/>
      <c r="G5964" s="127"/>
      <c r="H5964" s="127"/>
      <c r="I5964" s="128"/>
      <c r="K5964" s="105" t="str">
        <f>IFERROR(__xludf.DUMMYFUNCTION("if(A5964="""","""",substitute(SUBSTITUTE(index(importhtml(""http://finviz.com/quote.ashx?t=""&amp;A5964,""table"",10),7,2),""*"",""""),""-"",""0.00""))"),"Loading...")</f>
        <v>Loading...</v>
      </c>
      <c r="L5964" s="129">
        <v>9.4619141E7</v>
      </c>
      <c r="M5964" s="99">
        <v>0.57</v>
      </c>
    </row>
    <row r="5965">
      <c r="A5965" s="122" t="s">
        <v>12435</v>
      </c>
      <c r="B5965" s="123">
        <v>1872525.0</v>
      </c>
      <c r="C5965" s="124" t="s">
        <v>12436</v>
      </c>
      <c r="D5965" s="125"/>
      <c r="E5965" s="126">
        <v>26.0</v>
      </c>
      <c r="F5965" s="127"/>
      <c r="G5965" s="127"/>
      <c r="H5965" s="127"/>
      <c r="I5965" s="128"/>
      <c r="K5965" s="105" t="str">
        <f>IFERROR(__xludf.DUMMYFUNCTION("if(A5965="""","""",substitute(SUBSTITUTE(index(importhtml(""http://finviz.com/quote.ashx?t=""&amp;A5965,""table"",10),7,2),""*"",""""),""-"",""0.00""))"),"Loading...")</f>
        <v>Loading...</v>
      </c>
      <c r="L5965" s="129">
        <v>2.8722278E7</v>
      </c>
      <c r="M5965" s="99" t="str">
        <f>IFERROR(__xludf.DUMMYFUNCTION("GOOGLEFINANCE(A5965,""beta"")"),"#N/A")</f>
        <v>#N/A</v>
      </c>
    </row>
    <row r="5966">
      <c r="A5966" s="122" t="s">
        <v>12437</v>
      </c>
      <c r="B5966" s="123">
        <v>1525221.0</v>
      </c>
      <c r="C5966" s="124" t="s">
        <v>12438</v>
      </c>
      <c r="D5966" s="125"/>
      <c r="E5966" s="126">
        <v>26.05</v>
      </c>
      <c r="F5966" s="127"/>
      <c r="G5966" s="127"/>
      <c r="H5966" s="127"/>
      <c r="I5966" s="128"/>
      <c r="K5966" s="105" t="str">
        <f>IFERROR(__xludf.DUMMYFUNCTION("if(A5966="""","""",substitute(SUBSTITUTE(index(importhtml(""http://finviz.com/quote.ashx?t=""&amp;A5966,""table"",10),7,2),""*"",""""),""-"",""0.00""))"),"Loading...")</f>
        <v>Loading...</v>
      </c>
      <c r="L5966" s="129">
        <v>7.35808278E8</v>
      </c>
      <c r="M5966" s="99">
        <v>1.36</v>
      </c>
    </row>
    <row r="5967">
      <c r="A5967" s="122" t="s">
        <v>12439</v>
      </c>
      <c r="B5967" s="123">
        <v>922224.0</v>
      </c>
      <c r="C5967" s="124" t="s">
        <v>12440</v>
      </c>
      <c r="D5967" s="125"/>
      <c r="E5967" s="126">
        <v>26.05</v>
      </c>
      <c r="F5967" s="127"/>
      <c r="G5967" s="127"/>
      <c r="H5967" s="127"/>
      <c r="I5967" s="128"/>
      <c r="K5967" s="105" t="str">
        <f>IFERROR(__xludf.DUMMYFUNCTION("if(A5967="""","""",substitute(SUBSTITUTE(index(importhtml(""http://finviz.com/quote.ashx?t=""&amp;A5967,""table"",10),7,2),""*"",""""),""-"",""0.00""))"),"Loading...")</f>
        <v>Loading...</v>
      </c>
      <c r="L5967" s="129">
        <v>1.9202084847E10</v>
      </c>
      <c r="M5967" s="99">
        <v>0.82</v>
      </c>
    </row>
    <row r="5968">
      <c r="A5968" s="122" t="s">
        <v>12441</v>
      </c>
      <c r="B5968" s="123">
        <v>1619762.0</v>
      </c>
      <c r="C5968" s="124" t="s">
        <v>12442</v>
      </c>
      <c r="D5968" s="125"/>
      <c r="E5968" s="126">
        <v>26.09</v>
      </c>
      <c r="F5968" s="127"/>
      <c r="G5968" s="127"/>
      <c r="H5968" s="127"/>
      <c r="I5968" s="128"/>
      <c r="K5968" s="105" t="str">
        <f>IFERROR(__xludf.DUMMYFUNCTION("if(A5968="""","""",substitute(SUBSTITUTE(index(importhtml(""http://finviz.com/quote.ashx?t=""&amp;A5968,""table"",10),7,2),""*"",""""),""-"",""0.00""))"),"#REF!")</f>
        <v>#REF!</v>
      </c>
      <c r="L5968" s="129">
        <v>5.230572801E9</v>
      </c>
      <c r="M5968" s="99">
        <v>1.96</v>
      </c>
    </row>
    <row r="5969">
      <c r="A5969" s="122" t="s">
        <v>12443</v>
      </c>
      <c r="B5969" s="123">
        <v>1481513.0</v>
      </c>
      <c r="C5969" s="124" t="s">
        <v>12444</v>
      </c>
      <c r="D5969" s="125"/>
      <c r="E5969" s="126">
        <v>26.12</v>
      </c>
      <c r="F5969" s="127"/>
      <c r="G5969" s="127"/>
      <c r="H5969" s="127"/>
      <c r="I5969" s="128"/>
      <c r="K5969" s="105" t="str">
        <f>IFERROR(__xludf.DUMMYFUNCTION("if(A5969="""","""",substitute(SUBSTITUTE(index(importhtml(""http://finviz.com/quote.ashx?t=""&amp;A5969,""table"",10),7,2),""*"",""""),""-"",""0.00""))"),"Loading...")</f>
        <v>Loading...</v>
      </c>
      <c r="L5969" s="129">
        <v>1.347053369E9</v>
      </c>
      <c r="M5969" s="99">
        <v>0.43</v>
      </c>
    </row>
    <row r="5970">
      <c r="A5970" s="122" t="s">
        <v>12445</v>
      </c>
      <c r="B5970" s="123">
        <v>1415311.0</v>
      </c>
      <c r="C5970" s="124" t="s">
        <v>12446</v>
      </c>
      <c r="D5970" s="125"/>
      <c r="E5970" s="126">
        <v>26.15</v>
      </c>
      <c r="F5970" s="127"/>
      <c r="G5970" s="127"/>
      <c r="H5970" s="127"/>
      <c r="I5970" s="128"/>
      <c r="K5970" s="105" t="str">
        <f>IFERROR(__xludf.DUMMYFUNCTION("if(A5970="""","""",substitute(SUBSTITUTE(index(importhtml(""http://finviz.com/quote.ashx?t=""&amp;A5970,""table"",10),7,2),""*"",""""),""-"",""0.00""))"),"Loading...")</f>
        <v>Loading...</v>
      </c>
      <c r="L5970" s="129" t="e">
        <v>#N/A</v>
      </c>
      <c r="M5970" s="99" t="str">
        <f>IFERROR(__xludf.DUMMYFUNCTION("GOOGLEFINANCE(A5970,""beta"")"),"#N/A")</f>
        <v>#N/A</v>
      </c>
    </row>
    <row r="5971">
      <c r="A5971" s="122" t="s">
        <v>12447</v>
      </c>
      <c r="B5971" s="123">
        <v>899715.0</v>
      </c>
      <c r="C5971" s="124" t="s">
        <v>12448</v>
      </c>
      <c r="D5971" s="125"/>
      <c r="E5971" s="126">
        <v>26.18</v>
      </c>
      <c r="F5971" s="127"/>
      <c r="G5971" s="127"/>
      <c r="H5971" s="127"/>
      <c r="I5971" s="128"/>
      <c r="K5971" s="105" t="str">
        <f>IFERROR(__xludf.DUMMYFUNCTION("if(A5971="""","""",substitute(SUBSTITUTE(index(importhtml(""http://finviz.com/quote.ashx?t=""&amp;A5971,""table"",10),7,2),""*"",""""),""-"",""0.00""))"),"Loading...")</f>
        <v>Loading...</v>
      </c>
      <c r="L5971" s="129">
        <v>2.819133118E9</v>
      </c>
      <c r="M5971" s="99">
        <v>1.94</v>
      </c>
    </row>
    <row r="5972">
      <c r="A5972" s="122" t="s">
        <v>12449</v>
      </c>
      <c r="B5972" s="123">
        <v>351817.0</v>
      </c>
      <c r="C5972" s="124" t="s">
        <v>12450</v>
      </c>
      <c r="D5972" s="125"/>
      <c r="E5972" s="126">
        <v>26.19</v>
      </c>
      <c r="F5972" s="127"/>
      <c r="G5972" s="127"/>
      <c r="H5972" s="127"/>
      <c r="I5972" s="128"/>
      <c r="K5972" s="105" t="str">
        <f>IFERROR(__xludf.DUMMYFUNCTION("if(A5972="""","""",substitute(SUBSTITUTE(index(importhtml(""http://finviz.com/quote.ashx?t=""&amp;A5972,""table"",10),7,2),""*"",""""),""-"",""0.00""))"),"Loading...")</f>
        <v>Loading...</v>
      </c>
      <c r="L5972" s="129">
        <v>6.66001237E8</v>
      </c>
      <c r="M5972" s="99">
        <v>2.45</v>
      </c>
    </row>
    <row r="5973">
      <c r="A5973" s="122" t="s">
        <v>12451</v>
      </c>
      <c r="B5973" s="123">
        <v>836147.0</v>
      </c>
      <c r="C5973" s="124" t="s">
        <v>12452</v>
      </c>
      <c r="D5973" s="125"/>
      <c r="E5973" s="126">
        <v>26.2</v>
      </c>
      <c r="F5973" s="127"/>
      <c r="G5973" s="127"/>
      <c r="H5973" s="127"/>
      <c r="I5973" s="128"/>
      <c r="K5973" s="105" t="str">
        <f>IFERROR(__xludf.DUMMYFUNCTION("if(A5973="""","""",substitute(SUBSTITUTE(index(importhtml(""http://finviz.com/quote.ashx?t=""&amp;A5973,""table"",10),7,2),""*"",""""),""-"",""0.00""))"),"Loading...")</f>
        <v>Loading...</v>
      </c>
      <c r="L5973" s="129">
        <v>2.12095556E8</v>
      </c>
      <c r="M5973" s="99">
        <v>0.64</v>
      </c>
    </row>
    <row r="5974">
      <c r="A5974" s="122" t="s">
        <v>12453</v>
      </c>
      <c r="B5974" s="123">
        <v>1425450.0</v>
      </c>
      <c r="C5974" s="124" t="s">
        <v>12454</v>
      </c>
      <c r="D5974" s="125"/>
      <c r="E5974" s="126">
        <v>26.23</v>
      </c>
      <c r="F5974" s="127"/>
      <c r="G5974" s="127"/>
      <c r="H5974" s="127"/>
      <c r="I5974" s="128"/>
      <c r="K5974" s="105" t="str">
        <f>IFERROR(__xludf.DUMMYFUNCTION("if(A5974="""","""",substitute(SUBSTITUTE(index(importhtml(""http://finviz.com/quote.ashx?t=""&amp;A5974,""table"",10),7,2),""*"",""""),""-"",""0.00""))"),"Loading...")</f>
        <v>Loading...</v>
      </c>
      <c r="L5974" s="129">
        <v>6.12604262E8</v>
      </c>
      <c r="M5974" s="99">
        <v>1.17</v>
      </c>
    </row>
    <row r="5975">
      <c r="A5975" s="122" t="s">
        <v>12455</v>
      </c>
      <c r="B5975" s="123">
        <v>823277.0</v>
      </c>
      <c r="C5975" s="124" t="s">
        <v>12456</v>
      </c>
      <c r="D5975" s="125"/>
      <c r="E5975" s="126">
        <v>26.24</v>
      </c>
      <c r="F5975" s="127"/>
      <c r="G5975" s="127"/>
      <c r="H5975" s="127"/>
      <c r="I5975" s="128"/>
      <c r="K5975" s="105" t="str">
        <f>IFERROR(__xludf.DUMMYFUNCTION("if(A5975="""","""",substitute(SUBSTITUTE(index(importhtml(""http://finviz.com/quote.ashx?t=""&amp;A5975,""table"",10),7,2),""*"",""""),""-"",""0.00""))"),"Loading...")</f>
        <v>Loading...</v>
      </c>
      <c r="L5975" s="129">
        <v>3.79757036E8</v>
      </c>
      <c r="M5975" s="99">
        <v>0.19</v>
      </c>
    </row>
    <row r="5976">
      <c r="A5976" s="122" t="s">
        <v>12457</v>
      </c>
      <c r="B5976" s="123">
        <v>899689.0</v>
      </c>
      <c r="C5976" s="124" t="s">
        <v>12458</v>
      </c>
      <c r="D5976" s="125"/>
      <c r="E5976" s="126">
        <v>26.24</v>
      </c>
      <c r="F5976" s="127"/>
      <c r="G5976" s="127"/>
      <c r="H5976" s="127"/>
      <c r="I5976" s="128"/>
      <c r="K5976" s="105" t="str">
        <f>IFERROR(__xludf.DUMMYFUNCTION("if(A5976="""","""",substitute(SUBSTITUTE(index(importhtml(""http://finviz.com/quote.ashx?t=""&amp;A5976,""table"",10),7,2),""*"",""""),""-"",""0.00""))"),"Loading...")</f>
        <v>Loading...</v>
      </c>
      <c r="L5976" s="129">
        <v>4.994041364E9</v>
      </c>
      <c r="M5976" s="99">
        <v>1.57</v>
      </c>
    </row>
    <row r="5977">
      <c r="A5977" s="122" t="s">
        <v>12459</v>
      </c>
      <c r="B5977" s="123">
        <v>1787425.0</v>
      </c>
      <c r="C5977" s="124" t="s">
        <v>12460</v>
      </c>
      <c r="D5977" s="125"/>
      <c r="E5977" s="126">
        <v>26.26</v>
      </c>
      <c r="F5977" s="127"/>
      <c r="G5977" s="127"/>
      <c r="H5977" s="127"/>
      <c r="I5977" s="128"/>
      <c r="K5977" s="55" t="s">
        <v>8019</v>
      </c>
      <c r="L5977" s="129">
        <v>1.4364926519E10</v>
      </c>
      <c r="M5977" s="99">
        <v>1.68</v>
      </c>
    </row>
    <row r="5978">
      <c r="A5978" s="122" t="s">
        <v>12461</v>
      </c>
      <c r="B5978" s="123">
        <v>1723089.0</v>
      </c>
      <c r="C5978" s="124" t="s">
        <v>12462</v>
      </c>
      <c r="D5978" s="125"/>
      <c r="E5978" s="126">
        <v>26.27</v>
      </c>
      <c r="F5978" s="127"/>
      <c r="G5978" s="127"/>
      <c r="H5978" s="127"/>
      <c r="I5978" s="128"/>
      <c r="K5978" s="55" t="s">
        <v>5279</v>
      </c>
      <c r="L5978" s="129">
        <v>5.117396089E9</v>
      </c>
      <c r="M5978" s="99">
        <v>2.45</v>
      </c>
    </row>
    <row r="5979">
      <c r="A5979" s="122" t="s">
        <v>12463</v>
      </c>
      <c r="B5979" s="123">
        <v>895447.0</v>
      </c>
      <c r="C5979" s="124" t="s">
        <v>12464</v>
      </c>
      <c r="D5979" s="125"/>
      <c r="E5979" s="126">
        <v>26.28</v>
      </c>
      <c r="F5979" s="127"/>
      <c r="G5979" s="127"/>
      <c r="H5979" s="127"/>
      <c r="I5979" s="128"/>
      <c r="K5979" s="105" t="str">
        <f>IFERROR(__xludf.DUMMYFUNCTION("if(A5979="""","""",substitute(SUBSTITUTE(index(importhtml(""http://finviz.com/quote.ashx?t=""&amp;A5979,""table"",10),7,2),""*"",""""),""-"",""0.00""))"),"Loading...")</f>
        <v>Loading...</v>
      </c>
      <c r="L5979" s="129">
        <v>7.13017415E8</v>
      </c>
      <c r="M5979" s="99">
        <v>1.5</v>
      </c>
    </row>
    <row r="5980">
      <c r="A5980" s="122" t="s">
        <v>12465</v>
      </c>
      <c r="B5980" s="123">
        <v>1576427.0</v>
      </c>
      <c r="C5980" s="124" t="s">
        <v>12466</v>
      </c>
      <c r="D5980" s="125"/>
      <c r="E5980" s="126">
        <v>26.28</v>
      </c>
      <c r="F5980" s="127"/>
      <c r="G5980" s="127"/>
      <c r="H5980" s="127"/>
      <c r="I5980" s="128"/>
      <c r="K5980" s="105" t="str">
        <f>IFERROR(__xludf.DUMMYFUNCTION("if(A5980="""","""",substitute(SUBSTITUTE(index(importhtml(""http://finviz.com/quote.ashx?t=""&amp;A5980,""table"",10),7,2),""*"",""""),""-"",""0.00""))"),"Loading...")</f>
        <v>Loading...</v>
      </c>
      <c r="L5980" s="129">
        <v>1.482444589E9</v>
      </c>
      <c r="M5980" s="99">
        <v>0.89</v>
      </c>
    </row>
    <row r="5981">
      <c r="A5981" s="122" t="s">
        <v>12467</v>
      </c>
      <c r="B5981" s="123">
        <v>109380.0</v>
      </c>
      <c r="C5981" s="124" t="s">
        <v>12468</v>
      </c>
      <c r="D5981" s="125"/>
      <c r="E5981" s="126">
        <v>26.29</v>
      </c>
      <c r="F5981" s="127"/>
      <c r="G5981" s="127"/>
      <c r="H5981" s="127"/>
      <c r="I5981" s="128"/>
      <c r="K5981" s="105" t="str">
        <f>IFERROR(__xludf.DUMMYFUNCTION("if(A5981="""","""",substitute(SUBSTITUTE(index(importhtml(""http://finviz.com/quote.ashx?t=""&amp;A5981,""table"",10),7,2),""*"",""""),""-"",""0.00""))"),"Loading...")</f>
        <v>Loading...</v>
      </c>
      <c r="L5981" s="129">
        <v>5.874096181E9</v>
      </c>
      <c r="M5981" s="99">
        <v>0.08</v>
      </c>
    </row>
    <row r="5982">
      <c r="A5982" s="122" t="s">
        <v>12469</v>
      </c>
      <c r="B5982" s="123">
        <v>1299939.0</v>
      </c>
      <c r="C5982" s="124" t="s">
        <v>12470</v>
      </c>
      <c r="D5982" s="125"/>
      <c r="E5982" s="126">
        <v>26.3</v>
      </c>
      <c r="F5982" s="127"/>
      <c r="G5982" s="127"/>
      <c r="H5982" s="127"/>
      <c r="I5982" s="128"/>
      <c r="K5982" s="105" t="str">
        <f>IFERROR(__xludf.DUMMYFUNCTION("if(A5982="""","""",substitute(SUBSTITUTE(index(importhtml(""http://finviz.com/quote.ashx?t=""&amp;A5982,""table"",10),7,2),""*"",""""),""-"",""0.00""))"),"Loading...")</f>
        <v>Loading...</v>
      </c>
      <c r="L5982" s="129">
        <v>4.80409199E9</v>
      </c>
      <c r="M5982" s="99">
        <v>1.02</v>
      </c>
    </row>
    <row r="5983">
      <c r="A5983" s="122" t="s">
        <v>12471</v>
      </c>
      <c r="B5983" s="123">
        <v>19617.0</v>
      </c>
      <c r="C5983" s="124" t="s">
        <v>12472</v>
      </c>
      <c r="D5983" s="125"/>
      <c r="E5983" s="126">
        <v>26.39</v>
      </c>
      <c r="F5983" s="140"/>
      <c r="G5983" s="136"/>
      <c r="H5983" s="127"/>
      <c r="I5983" s="128"/>
      <c r="K5983" s="55" t="s">
        <v>8385</v>
      </c>
      <c r="L5983" s="129">
        <v>5.05145815488E11</v>
      </c>
      <c r="M5983" s="99" t="str">
        <f>IFERROR(__xludf.DUMMYFUNCTION("GOOGLEFINANCE(A5983,""beta"")"),"#N/A")</f>
        <v>#N/A</v>
      </c>
    </row>
    <row r="5984">
      <c r="A5984" s="122" t="s">
        <v>12473</v>
      </c>
      <c r="B5984" s="123">
        <v>885639.0</v>
      </c>
      <c r="C5984" s="124" t="s">
        <v>12474</v>
      </c>
      <c r="D5984" s="125"/>
      <c r="E5984" s="126">
        <v>26.4</v>
      </c>
      <c r="F5984" s="127"/>
      <c r="G5984" s="127"/>
      <c r="H5984" s="127"/>
      <c r="I5984" s="128"/>
      <c r="K5984" s="105" t="str">
        <f>IFERROR(__xludf.DUMMYFUNCTION("if(A5984="""","""",substitute(SUBSTITUTE(index(importhtml(""http://finviz.com/quote.ashx?t=""&amp;A5984,""table"",10),7,2),""*"",""""),""-"",""0.00""))"),"Loading...")</f>
        <v>Loading...</v>
      </c>
      <c r="L5984" s="129">
        <v>2.922799397E9</v>
      </c>
      <c r="M5984" s="99">
        <v>1.97</v>
      </c>
    </row>
    <row r="5985">
      <c r="A5985" s="122" t="s">
        <v>12475</v>
      </c>
      <c r="B5985" s="123">
        <v>1320414.0</v>
      </c>
      <c r="C5985" s="124" t="s">
        <v>12476</v>
      </c>
      <c r="D5985" s="125"/>
      <c r="E5985" s="126">
        <v>26.4</v>
      </c>
      <c r="F5985" s="127"/>
      <c r="G5985" s="127"/>
      <c r="H5985" s="127"/>
      <c r="I5985" s="128"/>
      <c r="K5985" s="105" t="str">
        <f>IFERROR(__xludf.DUMMYFUNCTION("if(A5985="""","""",substitute(SUBSTITUTE(index(importhtml(""http://finviz.com/quote.ashx?t=""&amp;A5985,""table"",10),7,2),""*"",""""),""-"",""0.00""))"),"Loading...")</f>
        <v>Loading...</v>
      </c>
      <c r="L5985" s="129">
        <v>3.384836351E9</v>
      </c>
      <c r="M5985" s="99">
        <v>1.35</v>
      </c>
    </row>
    <row r="5986">
      <c r="A5986" s="122" t="s">
        <v>12477</v>
      </c>
      <c r="B5986" s="123">
        <v>1283337.0</v>
      </c>
      <c r="C5986" s="124" t="s">
        <v>12478</v>
      </c>
      <c r="D5986" s="125"/>
      <c r="E5986" s="126">
        <v>26.4</v>
      </c>
      <c r="F5986" s="127"/>
      <c r="G5986" s="127"/>
      <c r="H5986" s="127"/>
      <c r="I5986" s="128"/>
      <c r="K5986" s="105" t="str">
        <f>IFERROR(__xludf.DUMMYFUNCTION("if(A5986="""","""",substitute(SUBSTITUTE(index(importhtml(""http://finviz.com/quote.ashx?t=""&amp;A5986,""table"",10),7,2),""*"",""""),""-"",""0.00""))"),"Loading...")</f>
        <v>Loading...</v>
      </c>
      <c r="L5986" s="129" t="e">
        <v>#N/A</v>
      </c>
      <c r="M5986" s="99">
        <v>0.26</v>
      </c>
    </row>
    <row r="5987">
      <c r="A5987" s="122" t="s">
        <v>12479</v>
      </c>
      <c r="B5987" s="123">
        <v>860413.0</v>
      </c>
      <c r="C5987" s="124" t="s">
        <v>12480</v>
      </c>
      <c r="D5987" s="125"/>
      <c r="E5987" s="126">
        <v>26.41</v>
      </c>
      <c r="F5987" s="127"/>
      <c r="G5987" s="127"/>
      <c r="H5987" s="127"/>
      <c r="I5987" s="128"/>
      <c r="K5987" s="105" t="str">
        <f>IFERROR(__xludf.DUMMYFUNCTION("if(A5987="""","""",substitute(SUBSTITUTE(index(importhtml(""http://finviz.com/quote.ashx?t=""&amp;A5987,""table"",10),7,2),""*"",""""),""-"",""0.00""))"),"Loading...")</f>
        <v>Loading...</v>
      </c>
      <c r="L5987" s="129">
        <v>2.745105563E9</v>
      </c>
      <c r="M5987" s="99">
        <v>0.89</v>
      </c>
    </row>
    <row r="5988">
      <c r="A5988" s="122" t="s">
        <v>12481</v>
      </c>
      <c r="B5988" s="123">
        <v>1263994.0</v>
      </c>
      <c r="C5988" s="124" t="s">
        <v>12482</v>
      </c>
      <c r="D5988" s="125"/>
      <c r="E5988" s="126">
        <v>26.42</v>
      </c>
      <c r="F5988" s="127"/>
      <c r="G5988" s="127"/>
      <c r="H5988" s="127"/>
      <c r="I5988" s="128"/>
      <c r="K5988" s="105" t="str">
        <f>IFERROR(__xludf.DUMMYFUNCTION("if(A5988="""","""",substitute(SUBSTITUTE(index(importhtml(""http://finviz.com/quote.ashx?t=""&amp;A5988,""table"",10),7,2),""*"",""""),""-"",""0.00""))"),"Loading...")</f>
        <v>Loading...</v>
      </c>
      <c r="L5988" s="129">
        <v>1.974389855E9</v>
      </c>
      <c r="M5988" s="99">
        <v>0.79</v>
      </c>
    </row>
    <row r="5989">
      <c r="A5989" s="122" t="s">
        <v>12483</v>
      </c>
      <c r="B5989" s="123">
        <v>1372612.0</v>
      </c>
      <c r="C5989" s="124" t="s">
        <v>12484</v>
      </c>
      <c r="D5989" s="125"/>
      <c r="E5989" s="126">
        <v>26.43</v>
      </c>
      <c r="F5989" s="127"/>
      <c r="G5989" s="127"/>
      <c r="H5989" s="127"/>
      <c r="I5989" s="128"/>
      <c r="K5989" s="55" t="s">
        <v>12485</v>
      </c>
      <c r="L5989" s="129">
        <v>3.795118102E9</v>
      </c>
      <c r="M5989" s="99">
        <v>0.84</v>
      </c>
    </row>
    <row r="5990">
      <c r="A5990" s="122" t="s">
        <v>12486</v>
      </c>
      <c r="B5990" s="123">
        <v>1095565.0</v>
      </c>
      <c r="C5990" s="124" t="s">
        <v>12487</v>
      </c>
      <c r="D5990" s="125"/>
      <c r="E5990" s="126">
        <v>26.43</v>
      </c>
      <c r="F5990" s="127"/>
      <c r="G5990" s="127"/>
      <c r="H5990" s="127"/>
      <c r="I5990" s="128"/>
      <c r="K5990" s="105" t="str">
        <f>IFERROR(__xludf.DUMMYFUNCTION("if(A5990="""","""",substitute(SUBSTITUTE(index(importhtml(""http://finviz.com/quote.ashx?t=""&amp;A5990,""table"",10),7,2),""*"",""""),""-"",""0.00""))"),"Loading...")</f>
        <v>Loading...</v>
      </c>
      <c r="L5990" s="129">
        <v>8.00441281E8</v>
      </c>
      <c r="M5990" s="99">
        <v>0.38</v>
      </c>
    </row>
    <row r="5991">
      <c r="A5991" s="122" t="s">
        <v>12488</v>
      </c>
      <c r="B5991" s="123">
        <v>1901279.0</v>
      </c>
      <c r="C5991" s="124" t="s">
        <v>12489</v>
      </c>
      <c r="D5991" s="125"/>
      <c r="E5991" s="126">
        <v>26.47</v>
      </c>
      <c r="F5991" s="127"/>
      <c r="G5991" s="127"/>
      <c r="H5991" s="127"/>
      <c r="I5991" s="128"/>
      <c r="K5991" s="105" t="str">
        <f>IFERROR(__xludf.DUMMYFUNCTION("if(A5991="""","""",substitute(SUBSTITUTE(index(importhtml(""http://finviz.com/quote.ashx?t=""&amp;A5991,""table"",10),7,2),""*"",""""),""-"",""0.00""))"),"Loading...")</f>
        <v>Loading...</v>
      </c>
      <c r="L5991" s="129">
        <v>3.040714229E9</v>
      </c>
      <c r="M5991" s="99">
        <f>IFERROR(__xludf.DUMMYFUNCTION("GOOGLEFINANCE(A5991,""beta"")"),0.27)</f>
        <v>0.27</v>
      </c>
    </row>
    <row r="5992">
      <c r="A5992" s="122" t="s">
        <v>12490</v>
      </c>
      <c r="B5992" s="123">
        <v>1050743.0</v>
      </c>
      <c r="C5992" s="124" t="s">
        <v>12491</v>
      </c>
      <c r="D5992" s="125"/>
      <c r="E5992" s="126">
        <v>26.48</v>
      </c>
      <c r="F5992" s="127"/>
      <c r="G5992" s="127"/>
      <c r="H5992" s="127"/>
      <c r="I5992" s="128"/>
      <c r="K5992" s="105" t="str">
        <f>IFERROR(__xludf.DUMMYFUNCTION("if(A5992="""","""",substitute(SUBSTITUTE(index(importhtml(""http://finviz.com/quote.ashx?t=""&amp;A5992,""table"",10),7,2),""*"",""""),""-"",""0.00""))"),"Loading...")</f>
        <v>Loading...</v>
      </c>
      <c r="L5992" s="129">
        <v>4.69746453E8</v>
      </c>
      <c r="M5992" s="99">
        <v>1.04</v>
      </c>
    </row>
    <row r="5993">
      <c r="A5993" s="122" t="s">
        <v>12492</v>
      </c>
      <c r="B5993" s="123">
        <v>12040.0</v>
      </c>
      <c r="C5993" s="124" t="s">
        <v>12493</v>
      </c>
      <c r="D5993" s="125"/>
      <c r="E5993" s="126">
        <v>26.49</v>
      </c>
      <c r="F5993" s="127"/>
      <c r="G5993" s="127"/>
      <c r="H5993" s="127"/>
      <c r="I5993" s="128"/>
      <c r="K5993" s="55" t="s">
        <v>8468</v>
      </c>
      <c r="L5993" s="129">
        <v>4.9235558E7</v>
      </c>
      <c r="M5993" s="99">
        <v>0.72</v>
      </c>
    </row>
    <row r="5994">
      <c r="A5994" s="122" t="s">
        <v>12494</v>
      </c>
      <c r="B5994" s="123">
        <v>1377121.0</v>
      </c>
      <c r="C5994" s="124" t="s">
        <v>12495</v>
      </c>
      <c r="D5994" s="125"/>
      <c r="E5994" s="126">
        <v>26.49</v>
      </c>
      <c r="F5994" s="127"/>
      <c r="G5994" s="127"/>
      <c r="H5994" s="127"/>
      <c r="I5994" s="128"/>
      <c r="K5994" s="105" t="str">
        <f>IFERROR(__xludf.DUMMYFUNCTION("if(A5994="""","""",substitute(SUBSTITUTE(index(importhtml(""http://finviz.com/quote.ashx?t=""&amp;A5994,""table"",10),7,2),""*"",""""),""-"",""0.00""))"),"Loading...")</f>
        <v>Loading...</v>
      </c>
      <c r="L5994" s="129">
        <v>1.527893385E9</v>
      </c>
      <c r="M5994" s="99">
        <v>2.02</v>
      </c>
    </row>
    <row r="5995">
      <c r="A5995" s="122" t="s">
        <v>12496</v>
      </c>
      <c r="B5995" s="123">
        <v>1694426.0</v>
      </c>
      <c r="C5995" s="124" t="s">
        <v>12497</v>
      </c>
      <c r="D5995" s="125"/>
      <c r="E5995" s="126">
        <v>26.5</v>
      </c>
      <c r="F5995" s="127"/>
      <c r="G5995" s="127"/>
      <c r="H5995" s="127"/>
      <c r="I5995" s="128"/>
      <c r="K5995" s="138" t="s">
        <v>9644</v>
      </c>
      <c r="L5995" s="129">
        <v>1.694238545E9</v>
      </c>
      <c r="M5995" s="99">
        <v>1.33</v>
      </c>
    </row>
    <row r="5996">
      <c r="A5996" s="122" t="s">
        <v>12498</v>
      </c>
      <c r="B5996" s="123">
        <v>1123134.0</v>
      </c>
      <c r="C5996" s="124" t="s">
        <v>12499</v>
      </c>
      <c r="D5996" s="125"/>
      <c r="E5996" s="126">
        <v>26.5</v>
      </c>
      <c r="F5996" s="127"/>
      <c r="G5996" s="127"/>
      <c r="H5996" s="127"/>
      <c r="I5996" s="128"/>
      <c r="K5996" s="105" t="str">
        <f>IFERROR(__xludf.DUMMYFUNCTION("if(A5996="""","""",substitute(SUBSTITUTE(index(importhtml(""http://finviz.com/quote.ashx?t=""&amp;A5996,""table"",10),7,2),""*"",""""),""-"",""0.00""))"),"Loading...")</f>
        <v>Loading...</v>
      </c>
      <c r="L5996" s="129">
        <v>9.6819817E8</v>
      </c>
      <c r="M5996" s="99">
        <v>0.89</v>
      </c>
    </row>
    <row r="5997">
      <c r="A5997" s="122" t="s">
        <v>12500</v>
      </c>
      <c r="B5997" s="123">
        <v>1490978.0</v>
      </c>
      <c r="C5997" s="124" t="s">
        <v>12501</v>
      </c>
      <c r="D5997" s="125"/>
      <c r="E5997" s="126">
        <v>26.5</v>
      </c>
      <c r="F5997" s="127"/>
      <c r="G5997" s="127"/>
      <c r="H5997" s="127"/>
      <c r="I5997" s="128"/>
      <c r="K5997" s="105" t="str">
        <f>IFERROR(__xludf.DUMMYFUNCTION("if(A5997="""","""",substitute(SUBSTITUTE(index(importhtml(""http://finviz.com/quote.ashx?t=""&amp;A5997,""table"",10),7,2),""*"",""""),""-"",""0.00""))"),"Loading...")</f>
        <v>Loading...</v>
      </c>
      <c r="L5997" s="129">
        <v>1.90886867E9</v>
      </c>
      <c r="M5997" s="99">
        <v>1.6</v>
      </c>
    </row>
    <row r="5998">
      <c r="A5998" s="122" t="s">
        <v>12502</v>
      </c>
      <c r="B5998" s="123">
        <v>895419.0</v>
      </c>
      <c r="C5998" s="124" t="s">
        <v>12503</v>
      </c>
      <c r="D5998" s="125"/>
      <c r="E5998" s="126">
        <v>26.51</v>
      </c>
      <c r="F5998" s="127"/>
      <c r="G5998" s="127"/>
      <c r="H5998" s="127"/>
      <c r="I5998" s="128"/>
      <c r="K5998" s="105" t="str">
        <f>IFERROR(__xludf.DUMMYFUNCTION("if(A5998="""","""",substitute(SUBSTITUTE(index(importhtml(""http://finviz.com/quote.ashx?t=""&amp;A5998,""table"",10),7,2),""*"",""""),""-"",""0.00""))"),"Loading...")</f>
        <v>Loading...</v>
      </c>
      <c r="L5998" s="129">
        <v>3.322373731E9</v>
      </c>
      <c r="M5998" s="99" t="str">
        <f>IFERROR(__xludf.DUMMYFUNCTION("GOOGLEFINANCE(A5998,""beta"")"),"#N/A")</f>
        <v>#N/A</v>
      </c>
    </row>
    <row r="5999">
      <c r="A5999" s="122" t="s">
        <v>12504</v>
      </c>
      <c r="B5999" s="123">
        <v>1442656.0</v>
      </c>
      <c r="C5999" s="124" t="s">
        <v>12505</v>
      </c>
      <c r="D5999" s="125"/>
      <c r="E5999" s="126">
        <v>26.51</v>
      </c>
      <c r="F5999" s="148"/>
      <c r="G5999" s="136"/>
      <c r="H5999" s="127"/>
      <c r="I5999" s="128"/>
      <c r="K5999" s="105" t="str">
        <f>IFERROR(__xludf.DUMMYFUNCTION("if(A5999="""","""",substitute(SUBSTITUTE(index(importhtml(""http://finviz.com/quote.ashx?t=""&amp;A5999,""table"",10),7,2),""*"",""""),""-"",""0.00""))"),"Loading...")</f>
        <v>Loading...</v>
      </c>
      <c r="L5999" s="129">
        <v>5.61499069E11</v>
      </c>
      <c r="M5999" s="99">
        <v>0.89</v>
      </c>
    </row>
    <row r="6000">
      <c r="A6000" s="122" t="s">
        <v>12506</v>
      </c>
      <c r="B6000" s="123">
        <v>1759425.0</v>
      </c>
      <c r="C6000" s="124" t="s">
        <v>12507</v>
      </c>
      <c r="D6000" s="125"/>
      <c r="E6000" s="126">
        <v>26.52</v>
      </c>
      <c r="F6000" s="127"/>
      <c r="G6000" s="127"/>
      <c r="H6000" s="127"/>
      <c r="I6000" s="128"/>
      <c r="K6000" s="105" t="str">
        <f>IFERROR(__xludf.DUMMYFUNCTION("if(A6000="""","""",substitute(SUBSTITUTE(index(importhtml(""http://finviz.com/quote.ashx?t=""&amp;A6000,""table"",10),7,2),""*"",""""),""-"",""0.00""))"),"Loading...")</f>
        <v>Loading...</v>
      </c>
      <c r="L6000" s="129">
        <v>1.236210992E9</v>
      </c>
      <c r="M6000" s="99">
        <v>1.17</v>
      </c>
    </row>
    <row r="6001">
      <c r="A6001" s="122" t="s">
        <v>12508</v>
      </c>
      <c r="B6001" s="123">
        <v>1284143.0</v>
      </c>
      <c r="C6001" s="124" t="s">
        <v>12509</v>
      </c>
      <c r="D6001" s="125"/>
      <c r="E6001" s="126">
        <v>26.54</v>
      </c>
      <c r="F6001" s="127"/>
      <c r="G6001" s="127"/>
      <c r="H6001" s="127"/>
      <c r="I6001" s="128"/>
      <c r="K6001" s="105" t="str">
        <f>IFERROR(__xludf.DUMMYFUNCTION("if(A6001="""","""",substitute(SUBSTITUTE(index(importhtml(""http://finviz.com/quote.ashx?t=""&amp;A6001,""table"",10),7,2),""*"",""""),""-"",""0.00""))"),"Loading...")</f>
        <v>Loading...</v>
      </c>
      <c r="L6001" s="129" t="e">
        <v>#N/A</v>
      </c>
      <c r="M6001" s="99">
        <v>0.35</v>
      </c>
    </row>
    <row r="6002">
      <c r="A6002" s="122" t="s">
        <v>12510</v>
      </c>
      <c r="B6002" s="123">
        <v>1504008.0</v>
      </c>
      <c r="C6002" s="124" t="s">
        <v>12511</v>
      </c>
      <c r="D6002" s="125"/>
      <c r="E6002" s="126">
        <v>26.59</v>
      </c>
      <c r="F6002" s="127"/>
      <c r="G6002" s="127"/>
      <c r="H6002" s="127"/>
      <c r="I6002" s="128"/>
      <c r="K6002" s="55" t="s">
        <v>12512</v>
      </c>
      <c r="L6002" s="129">
        <v>1.97756452E9</v>
      </c>
      <c r="M6002" s="99">
        <v>1.39</v>
      </c>
    </row>
    <row r="6003">
      <c r="A6003" s="122" t="s">
        <v>12513</v>
      </c>
      <c r="B6003" s="123">
        <v>1538263.0</v>
      </c>
      <c r="C6003" s="124" t="s">
        <v>12514</v>
      </c>
      <c r="D6003" s="125"/>
      <c r="E6003" s="126">
        <v>26.62</v>
      </c>
      <c r="F6003" s="127"/>
      <c r="G6003" s="127"/>
      <c r="H6003" s="127"/>
      <c r="I6003" s="128"/>
      <c r="K6003" s="105" t="str">
        <f>IFERROR(__xludf.DUMMYFUNCTION("if(A6003="""","""",substitute(SUBSTITUTE(index(importhtml(""http://finviz.com/quote.ashx?t=""&amp;A6003,""table"",10),7,2),""*"",""""),""-"",""0.00""))"),"Loading...")</f>
        <v>Loading...</v>
      </c>
      <c r="L6003" s="129">
        <v>4.62843817E8</v>
      </c>
      <c r="M6003" s="99">
        <v>0.78</v>
      </c>
    </row>
    <row r="6004">
      <c r="A6004" s="122" t="s">
        <v>12515</v>
      </c>
      <c r="B6004" s="123">
        <v>1224608.0</v>
      </c>
      <c r="C6004" s="124" t="s">
        <v>12516</v>
      </c>
      <c r="D6004" s="125"/>
      <c r="E6004" s="126">
        <v>26.63</v>
      </c>
      <c r="F6004" s="127"/>
      <c r="G6004" s="127"/>
      <c r="H6004" s="127"/>
      <c r="I6004" s="128"/>
      <c r="K6004" s="55" t="s">
        <v>7251</v>
      </c>
      <c r="L6004" s="129">
        <v>2.987102983E9</v>
      </c>
      <c r="M6004" s="99">
        <v>1.04</v>
      </c>
    </row>
    <row r="6005">
      <c r="A6005" s="122" t="s">
        <v>12517</v>
      </c>
      <c r="B6005" s="123">
        <v>1064728.0</v>
      </c>
      <c r="C6005" s="124" t="s">
        <v>12518</v>
      </c>
      <c r="D6005" s="125"/>
      <c r="E6005" s="126">
        <v>26.64</v>
      </c>
      <c r="F6005" s="127"/>
      <c r="G6005" s="127"/>
      <c r="H6005" s="127"/>
      <c r="I6005" s="128"/>
      <c r="K6005" s="55" t="s">
        <v>7606</v>
      </c>
      <c r="L6005" s="129">
        <v>3.492503919E9</v>
      </c>
      <c r="M6005" s="99">
        <v>1.0</v>
      </c>
    </row>
    <row r="6006">
      <c r="A6006" s="122" t="s">
        <v>12519</v>
      </c>
      <c r="B6006" s="123">
        <v>803164.0</v>
      </c>
      <c r="C6006" s="124" t="s">
        <v>12520</v>
      </c>
      <c r="D6006" s="125"/>
      <c r="E6006" s="126">
        <v>26.65</v>
      </c>
      <c r="F6006" s="127"/>
      <c r="G6006" s="127"/>
      <c r="H6006" s="127"/>
      <c r="I6006" s="128"/>
      <c r="K6006" s="105" t="str">
        <f>IFERROR(__xludf.DUMMYFUNCTION("if(A6006="""","""",substitute(SUBSTITUTE(index(importhtml(""http://finviz.com/quote.ashx?t=""&amp;A6006,""table"",10),7,2),""*"",""""),""-"",""0.00""))"),"Loading...")</f>
        <v>Loading...</v>
      </c>
      <c r="L6006" s="129">
        <v>2.0115998E8</v>
      </c>
      <c r="M6006" s="99">
        <v>0.53</v>
      </c>
    </row>
    <row r="6007">
      <c r="A6007" s="122" t="s">
        <v>12521</v>
      </c>
      <c r="B6007" s="123">
        <v>1061219.0</v>
      </c>
      <c r="C6007" s="124" t="s">
        <v>12522</v>
      </c>
      <c r="D6007" s="125"/>
      <c r="E6007" s="126">
        <v>26.66</v>
      </c>
      <c r="F6007" s="127"/>
      <c r="G6007" s="127"/>
      <c r="H6007" s="127"/>
      <c r="I6007" s="128"/>
      <c r="K6007" s="55" t="s">
        <v>12523</v>
      </c>
      <c r="L6007" s="129">
        <v>5.7902293808E10</v>
      </c>
      <c r="M6007" s="99">
        <v>1.01</v>
      </c>
    </row>
    <row r="6008">
      <c r="A6008" s="122" t="s">
        <v>12524</v>
      </c>
      <c r="B6008" s="123">
        <v>1163668.0</v>
      </c>
      <c r="C6008" s="124" t="s">
        <v>12525</v>
      </c>
      <c r="D6008" s="125"/>
      <c r="E6008" s="126">
        <v>26.67</v>
      </c>
      <c r="F6008" s="127"/>
      <c r="G6008" s="127"/>
      <c r="H6008" s="127"/>
      <c r="I6008" s="128"/>
      <c r="K6008" s="105" t="str">
        <f>IFERROR(__xludf.DUMMYFUNCTION("if(A6008="""","""",substitute(SUBSTITUTE(index(importhtml(""http://finviz.com/quote.ashx?t=""&amp;A6008,""table"",10),7,2),""*"",""""),""-"",""0.00""))"),"Loading...")</f>
        <v>Loading...</v>
      </c>
      <c r="L6008" s="129">
        <v>4.37843791E8</v>
      </c>
      <c r="M6008" s="99">
        <v>0.57</v>
      </c>
    </row>
    <row r="6009">
      <c r="A6009" s="122" t="s">
        <v>12526</v>
      </c>
      <c r="B6009" s="123">
        <v>59558.0</v>
      </c>
      <c r="C6009" s="124" t="s">
        <v>12527</v>
      </c>
      <c r="D6009" s="125"/>
      <c r="E6009" s="126">
        <v>26.69</v>
      </c>
      <c r="F6009" s="127"/>
      <c r="G6009" s="127"/>
      <c r="H6009" s="127"/>
      <c r="I6009" s="128"/>
      <c r="K6009" s="105" t="str">
        <f>IFERROR(__xludf.DUMMYFUNCTION("if(A6009="""","""",substitute(SUBSTITUTE(index(importhtml(""http://finviz.com/quote.ashx?t=""&amp;A6009,""table"",10),7,2),""*"",""""),""-"",""0.00""))"),"Loading...")</f>
        <v>Loading...</v>
      </c>
      <c r="L6009" s="129">
        <v>4.528273532E9</v>
      </c>
      <c r="M6009" s="99">
        <v>1.81</v>
      </c>
    </row>
    <row r="6010">
      <c r="A6010" s="122" t="s">
        <v>12528</v>
      </c>
      <c r="B6010" s="123">
        <v>1520262.0</v>
      </c>
      <c r="C6010" s="124" t="s">
        <v>12529</v>
      </c>
      <c r="D6010" s="125"/>
      <c r="E6010" s="126">
        <v>26.74</v>
      </c>
      <c r="F6010" s="127"/>
      <c r="G6010" s="127"/>
      <c r="H6010" s="127"/>
      <c r="I6010" s="128"/>
      <c r="K6010" s="105" t="str">
        <f>IFERROR(__xludf.DUMMYFUNCTION("if(A6010="""","""",substitute(SUBSTITUTE(index(importhtml(""http://finviz.com/quote.ashx?t=""&amp;A6010,""table"",10),7,2),""*"",""""),""-"",""0.00""))"),"Loading...")</f>
        <v>Loading...</v>
      </c>
      <c r="L6010" s="129">
        <v>4.462403249E9</v>
      </c>
      <c r="M6010" s="99">
        <v>0.53</v>
      </c>
    </row>
    <row r="6011">
      <c r="A6011" s="122" t="s">
        <v>12530</v>
      </c>
      <c r="B6011" s="123">
        <v>737468.0</v>
      </c>
      <c r="C6011" s="124" t="s">
        <v>12531</v>
      </c>
      <c r="D6011" s="125"/>
      <c r="E6011" s="126">
        <v>26.76</v>
      </c>
      <c r="F6011" s="127"/>
      <c r="G6011" s="127"/>
      <c r="H6011" s="127"/>
      <c r="I6011" s="128"/>
      <c r="K6011" s="105" t="str">
        <f>IFERROR(__xludf.DUMMYFUNCTION("if(A6011="""","""",substitute(SUBSTITUTE(index(importhtml(""http://finviz.com/quote.ashx?t=""&amp;A6011,""table"",10),7,2),""*"",""""),""-"",""0.00""))"),"Loading...")</f>
        <v>Loading...</v>
      </c>
      <c r="L6011" s="129">
        <v>4.55749563E8</v>
      </c>
      <c r="M6011" s="99">
        <v>0.82</v>
      </c>
    </row>
    <row r="6012">
      <c r="A6012" s="122" t="s">
        <v>12532</v>
      </c>
      <c r="B6012" s="123">
        <v>1866581.0</v>
      </c>
      <c r="C6012" s="124" t="s">
        <v>12533</v>
      </c>
      <c r="D6012" s="125"/>
      <c r="E6012" s="126">
        <v>26.77</v>
      </c>
      <c r="F6012" s="127"/>
      <c r="G6012" s="127"/>
      <c r="H6012" s="127"/>
      <c r="I6012" s="128"/>
      <c r="K6012" s="105" t="str">
        <f>IFERROR(__xludf.DUMMYFUNCTION("if(A6012="""","""",substitute(SUBSTITUTE(index(importhtml(""http://finviz.com/quote.ashx?t=""&amp;A6012,""table"",10),7,2),""*"",""""),""-"",""0.00""))"),"Loading...")</f>
        <v>Loading...</v>
      </c>
      <c r="L6012" s="129">
        <v>4.741376662E9</v>
      </c>
      <c r="M6012" s="99">
        <f>IFERROR(__xludf.DUMMYFUNCTION("GOOGLEFINANCE(A6012,""beta"")"),2.56)</f>
        <v>2.56</v>
      </c>
    </row>
    <row r="6013">
      <c r="A6013" s="122" t="s">
        <v>12534</v>
      </c>
      <c r="B6013" s="123">
        <v>312070.0</v>
      </c>
      <c r="C6013" s="124" t="s">
        <v>12535</v>
      </c>
      <c r="D6013" s="125"/>
      <c r="E6013" s="126">
        <v>26.79</v>
      </c>
      <c r="F6013" s="127"/>
      <c r="G6013" s="127"/>
      <c r="H6013" s="127"/>
      <c r="I6013" s="128"/>
      <c r="K6013" s="105" t="str">
        <f>IFERROR(__xludf.DUMMYFUNCTION("if(A6013="""","""",substitute(SUBSTITUTE(index(importhtml(""http://finviz.com/quote.ashx?t=""&amp;A6013,""table"",10),7,2),""*"",""""),""-"",""0.00""))"),"Loading...")</f>
        <v>Loading...</v>
      </c>
      <c r="L6013" s="129" t="e">
        <v>#N/A</v>
      </c>
      <c r="M6013" s="99" t="str">
        <f>IFERROR(__xludf.DUMMYFUNCTION("GOOGLEFINANCE(A6013,""beta"")"),"#N/A")</f>
        <v>#N/A</v>
      </c>
    </row>
    <row r="6014">
      <c r="A6014" s="122" t="s">
        <v>12536</v>
      </c>
      <c r="B6014" s="123">
        <v>1409171.0</v>
      </c>
      <c r="C6014" s="124" t="s">
        <v>12537</v>
      </c>
      <c r="D6014" s="125"/>
      <c r="E6014" s="126">
        <v>26.81</v>
      </c>
      <c r="F6014" s="127"/>
      <c r="G6014" s="127"/>
      <c r="H6014" s="127"/>
      <c r="I6014" s="128"/>
      <c r="K6014" s="105" t="str">
        <f>IFERROR(__xludf.DUMMYFUNCTION("if(A6014="""","""",substitute(SUBSTITUTE(index(importhtml(""http://finviz.com/quote.ashx?t=""&amp;A6014,""table"",10),7,2),""*"",""""),""-"",""0.00""))"),"Loading...")</f>
        <v>Loading...</v>
      </c>
      <c r="L6014" s="129">
        <v>6.12591865E8</v>
      </c>
      <c r="M6014" s="99">
        <v>1.43</v>
      </c>
    </row>
    <row r="6015">
      <c r="A6015" s="122" t="s">
        <v>12538</v>
      </c>
      <c r="B6015" s="123">
        <v>1505732.0</v>
      </c>
      <c r="C6015" s="124" t="s">
        <v>12539</v>
      </c>
      <c r="D6015" s="125"/>
      <c r="E6015" s="126">
        <v>26.9</v>
      </c>
      <c r="F6015" s="127"/>
      <c r="G6015" s="127"/>
      <c r="H6015" s="127"/>
      <c r="I6015" s="128"/>
      <c r="K6015" s="105" t="str">
        <f>IFERROR(__xludf.DUMMYFUNCTION("if(A6015="""","""",substitute(SUBSTITUTE(index(importhtml(""http://finviz.com/quote.ashx?t=""&amp;A6015,""table"",10),7,2),""*"",""""),""-"",""0.00""))"),"#REF!")</f>
        <v>#REF!</v>
      </c>
      <c r="L6015" s="129">
        <v>2.12042367E8</v>
      </c>
      <c r="M6015" s="99">
        <v>0.81</v>
      </c>
    </row>
    <row r="6016">
      <c r="A6016" s="122" t="s">
        <v>12540</v>
      </c>
      <c r="B6016" s="123">
        <v>38777.0</v>
      </c>
      <c r="C6016" s="124" t="s">
        <v>12541</v>
      </c>
      <c r="D6016" s="125"/>
      <c r="E6016" s="126">
        <v>26.91</v>
      </c>
      <c r="F6016" s="127"/>
      <c r="G6016" s="127"/>
      <c r="H6016" s="127"/>
      <c r="I6016" s="128"/>
      <c r="K6016" s="55" t="s">
        <v>10675</v>
      </c>
      <c r="L6016" s="129">
        <v>1.4169670317E10</v>
      </c>
      <c r="M6016" s="99">
        <v>1.41</v>
      </c>
    </row>
    <row r="6017">
      <c r="A6017" s="122" t="s">
        <v>12542</v>
      </c>
      <c r="B6017" s="123">
        <v>66382.0</v>
      </c>
      <c r="C6017" s="124" t="s">
        <v>12543</v>
      </c>
      <c r="D6017" s="125"/>
      <c r="E6017" s="126">
        <v>26.92</v>
      </c>
      <c r="F6017" s="127"/>
      <c r="G6017" s="127"/>
      <c r="H6017" s="127"/>
      <c r="I6017" s="128"/>
      <c r="K6017" s="105" t="str">
        <f>IFERROR(__xludf.DUMMYFUNCTION("if(A6017="""","""",substitute(SUBSTITUTE(index(importhtml(""http://finviz.com/quote.ashx?t=""&amp;A6017,""table"",10),7,2),""*"",""""),""-"",""0.00""))"),"Loading...")</f>
        <v>Loading...</v>
      </c>
      <c r="L6017" s="129">
        <v>1.985754E9</v>
      </c>
      <c r="M6017" s="99">
        <v>1.3</v>
      </c>
    </row>
    <row r="6018">
      <c r="A6018" s="122" t="s">
        <v>12544</v>
      </c>
      <c r="B6018" s="123">
        <v>78003.0</v>
      </c>
      <c r="C6018" s="124" t="s">
        <v>12545</v>
      </c>
      <c r="D6018" s="125"/>
      <c r="E6018" s="126">
        <v>26.93</v>
      </c>
      <c r="F6018" s="127"/>
      <c r="G6018" s="127"/>
      <c r="H6018" s="127"/>
      <c r="I6018" s="128"/>
      <c r="K6018" s="105" t="str">
        <f>IFERROR(__xludf.DUMMYFUNCTION("if(A6018="""","""",substitute(SUBSTITUTE(index(importhtml(""http://finviz.com/quote.ashx?t=""&amp;A6018,""table"",10),7,2),""*"",""""),""-"",""0.00""))"),"Loading...")</f>
        <v>Loading...</v>
      </c>
      <c r="L6018" s="129">
        <v>1.52057876883E11</v>
      </c>
      <c r="M6018" s="99">
        <v>0.62</v>
      </c>
    </row>
    <row r="6019">
      <c r="A6019" s="122" t="s">
        <v>12546</v>
      </c>
      <c r="B6019" s="123">
        <v>826154.0</v>
      </c>
      <c r="C6019" s="124" t="s">
        <v>12547</v>
      </c>
      <c r="D6019" s="125"/>
      <c r="E6019" s="126">
        <v>26.94</v>
      </c>
      <c r="F6019" s="127"/>
      <c r="G6019" s="127"/>
      <c r="H6019" s="127"/>
      <c r="I6019" s="128"/>
      <c r="K6019" s="105" t="str">
        <f>IFERROR(__xludf.DUMMYFUNCTION("if(A6019="""","""",substitute(SUBSTITUTE(index(importhtml(""http://finviz.com/quote.ashx?t=""&amp;A6019,""table"",10),7,2),""*"",""""),""-"",""0.00""))"),"Loading...")</f>
        <v>Loading...</v>
      </c>
      <c r="L6019" s="129">
        <v>2.85897792E8</v>
      </c>
      <c r="M6019" s="99">
        <v>0.92</v>
      </c>
    </row>
    <row r="6020">
      <c r="A6020" s="122" t="s">
        <v>12548</v>
      </c>
      <c r="B6020" s="123">
        <v>1371285.0</v>
      </c>
      <c r="C6020" s="124" t="s">
        <v>12549</v>
      </c>
      <c r="D6020" s="125"/>
      <c r="E6020" s="126">
        <v>26.95</v>
      </c>
      <c r="F6020" s="127"/>
      <c r="G6020" s="127"/>
      <c r="H6020" s="127"/>
      <c r="I6020" s="128"/>
      <c r="K6020" s="105" t="str">
        <f>IFERROR(__xludf.DUMMYFUNCTION("if(A6020="""","""",substitute(SUBSTITUTE(index(importhtml(""http://finviz.com/quote.ashx?t=""&amp;A6020,""table"",10),7,2),""*"",""""),""-"",""0.00""))"),"Loading...")</f>
        <v>Loading...</v>
      </c>
      <c r="L6020" s="129">
        <v>1.119642632E9</v>
      </c>
      <c r="M6020" s="99">
        <v>1.75</v>
      </c>
    </row>
    <row r="6021">
      <c r="A6021" s="122" t="s">
        <v>12550</v>
      </c>
      <c r="B6021" s="123">
        <v>1816901.0</v>
      </c>
      <c r="C6021" s="124" t="s">
        <v>12551</v>
      </c>
      <c r="D6021" s="125"/>
      <c r="E6021" s="126">
        <v>27.0</v>
      </c>
      <c r="F6021" s="127"/>
      <c r="G6021" s="127"/>
      <c r="H6021" s="127"/>
      <c r="I6021" s="128"/>
      <c r="K6021" s="105" t="str">
        <f>IFERROR(__xludf.DUMMYFUNCTION("if(A6021="""","""",substitute(SUBSTITUTE(index(importhtml(""http://finviz.com/quote.ashx?t=""&amp;A6021,""table"",10),7,2),""*"",""""),""-"",""0.00""))"),"Loading...")</f>
        <v>Loading...</v>
      </c>
      <c r="L6021" s="129">
        <v>2.5178154084E11</v>
      </c>
      <c r="M6021" s="99">
        <v>0.42</v>
      </c>
    </row>
    <row r="6022">
      <c r="A6022" s="122" t="s">
        <v>12552</v>
      </c>
      <c r="B6022" s="123">
        <v>1046050.0</v>
      </c>
      <c r="C6022" s="124" t="s">
        <v>12553</v>
      </c>
      <c r="D6022" s="125"/>
      <c r="E6022" s="126">
        <v>27.01</v>
      </c>
      <c r="F6022" s="127"/>
      <c r="G6022" s="127"/>
      <c r="H6022" s="127"/>
      <c r="I6022" s="128"/>
      <c r="K6022" s="105" t="str">
        <f>IFERROR(__xludf.DUMMYFUNCTION("if(A6022="""","""",substitute(SUBSTITUTE(index(importhtml(""http://finviz.com/quote.ashx?t=""&amp;A6022,""table"",10),7,2),""*"",""""),""-"",""0.00""))"),"Loading...")</f>
        <v>Loading...</v>
      </c>
      <c r="L6022" s="129">
        <v>2.19340351E8</v>
      </c>
      <c r="M6022" s="99">
        <v>0.82</v>
      </c>
    </row>
    <row r="6023">
      <c r="A6023" s="122" t="s">
        <v>12554</v>
      </c>
      <c r="B6023" s="123">
        <v>885740.0</v>
      </c>
      <c r="C6023" s="124" t="s">
        <v>12555</v>
      </c>
      <c r="D6023" s="125"/>
      <c r="E6023" s="126">
        <v>27.02</v>
      </c>
      <c r="F6023" s="127"/>
      <c r="G6023" s="127"/>
      <c r="H6023" s="127"/>
      <c r="I6023" s="128"/>
      <c r="K6023" s="105" t="str">
        <f>IFERROR(__xludf.DUMMYFUNCTION("if(A6023="""","""",substitute(SUBSTITUTE(index(importhtml(""http://finviz.com/quote.ashx?t=""&amp;A6023,""table"",10),7,2),""*"",""""),""-"",""0.00""))"),"Loading...")</f>
        <v>Loading...</v>
      </c>
      <c r="L6023" s="129">
        <v>1.490358107E9</v>
      </c>
      <c r="M6023" s="99">
        <v>1.16</v>
      </c>
    </row>
    <row r="6024">
      <c r="A6024" s="122" t="s">
        <v>12556</v>
      </c>
      <c r="B6024" s="123">
        <v>1449005.0</v>
      </c>
      <c r="C6024" s="124" t="s">
        <v>12557</v>
      </c>
      <c r="D6024" s="125"/>
      <c r="E6024" s="126">
        <v>27.02</v>
      </c>
      <c r="F6024" s="143"/>
      <c r="G6024" s="136"/>
      <c r="H6024" s="127"/>
      <c r="I6024" s="128"/>
      <c r="K6024" s="105" t="str">
        <f>IFERROR(__xludf.DUMMYFUNCTION("if(A6024="""","""",substitute(SUBSTITUTE(index(importhtml(""http://finviz.com/quote.ashx?t=""&amp;A6024,""table"",10),7,2),""*"",""""),""-"",""0.00""))"),"Loading...")</f>
        <v>Loading...</v>
      </c>
      <c r="L6024" s="129">
        <v>8.32558E11</v>
      </c>
      <c r="M6024" s="99" t="str">
        <f>IFERROR(__xludf.DUMMYFUNCTION("GOOGLEFINANCE(A6024,""beta"")"),"#N/A")</f>
        <v>#N/A</v>
      </c>
    </row>
    <row r="6025">
      <c r="A6025" s="122" t="s">
        <v>12558</v>
      </c>
      <c r="B6025" s="123">
        <v>1856437.0</v>
      </c>
      <c r="C6025" s="124" t="s">
        <v>12559</v>
      </c>
      <c r="D6025" s="125"/>
      <c r="E6025" s="126">
        <v>27.02</v>
      </c>
      <c r="F6025" s="127"/>
      <c r="G6025" s="127"/>
      <c r="H6025" s="127"/>
      <c r="I6025" s="128"/>
      <c r="K6025" s="105" t="str">
        <f>IFERROR(__xludf.DUMMYFUNCTION("if(A6025="""","""",substitute(SUBSTITUTE(index(importhtml(""http://finviz.com/quote.ashx?t=""&amp;A6025,""table"",10),7,2),""*"",""""),""-"",""0.00""))"),"Loading...")</f>
        <v>Loading...</v>
      </c>
      <c r="L6025" s="129" t="e">
        <v>#N/A</v>
      </c>
      <c r="M6025" s="99" t="e">
        <v>#N/A</v>
      </c>
    </row>
    <row r="6026">
      <c r="A6026" s="122" t="s">
        <v>12560</v>
      </c>
      <c r="B6026" s="123">
        <v>802481.0</v>
      </c>
      <c r="C6026" s="124" t="s">
        <v>12561</v>
      </c>
      <c r="D6026" s="125"/>
      <c r="E6026" s="126">
        <v>27.04</v>
      </c>
      <c r="F6026" s="127"/>
      <c r="G6026" s="127"/>
      <c r="H6026" s="127"/>
      <c r="I6026" s="128"/>
      <c r="K6026" s="105" t="str">
        <f>IFERROR(__xludf.DUMMYFUNCTION("if(A6026="""","""",substitute(SUBSTITUTE(index(importhtml(""http://finviz.com/quote.ashx?t=""&amp;A6026,""table"",10),7,2),""*"",""""),""-"",""0.00""))"),"Loading...")</f>
        <v>Loading...</v>
      </c>
      <c r="L6026" s="129">
        <v>6.402799112E9</v>
      </c>
      <c r="M6026" s="99">
        <v>0.78</v>
      </c>
    </row>
    <row r="6027">
      <c r="A6027" s="122" t="s">
        <v>12562</v>
      </c>
      <c r="B6027" s="123">
        <v>1772921.0</v>
      </c>
      <c r="C6027" s="124" t="s">
        <v>12563</v>
      </c>
      <c r="D6027" s="125"/>
      <c r="E6027" s="126">
        <v>27.06</v>
      </c>
      <c r="F6027" s="127"/>
      <c r="G6027" s="127"/>
      <c r="H6027" s="127"/>
      <c r="I6027" s="128"/>
      <c r="K6027" s="105" t="str">
        <f>IFERROR(__xludf.DUMMYFUNCTION("if(A6027="""","""",substitute(SUBSTITUTE(index(importhtml(""http://finviz.com/quote.ashx?t=""&amp;A6027,""table"",10),7,2),""*"",""""),""-"",""0.00""))"),"Loading...")</f>
        <v>Loading...</v>
      </c>
      <c r="L6027" s="129">
        <v>4.32179581E8</v>
      </c>
      <c r="M6027" s="99">
        <v>2.52</v>
      </c>
    </row>
    <row r="6028">
      <c r="A6028" s="122" t="s">
        <v>12564</v>
      </c>
      <c r="B6028" s="123">
        <v>1845022.0</v>
      </c>
      <c r="C6028" s="124" t="s">
        <v>12565</v>
      </c>
      <c r="D6028" s="125"/>
      <c r="E6028" s="126">
        <v>27.08</v>
      </c>
      <c r="F6028" s="127"/>
      <c r="G6028" s="127"/>
      <c r="H6028" s="127"/>
      <c r="I6028" s="128"/>
      <c r="K6028" s="105" t="str">
        <f>IFERROR(__xludf.DUMMYFUNCTION("if(A6028="""","""",substitute(SUBSTITUTE(index(importhtml(""http://finviz.com/quote.ashx?t=""&amp;A6028,""table"",10),7,2),""*"",""""),""-"",""0.00""))"),"Loading...")</f>
        <v>Loading...</v>
      </c>
      <c r="L6028" s="129">
        <v>1.301780278E9</v>
      </c>
      <c r="M6028" s="99">
        <f>IFERROR(__xludf.DUMMYFUNCTION("GOOGLEFINANCE(A6028,""beta"")"),0.93)</f>
        <v>0.93</v>
      </c>
    </row>
    <row r="6029">
      <c r="A6029" s="122" t="s">
        <v>12566</v>
      </c>
      <c r="B6029" s="123">
        <v>700841.0</v>
      </c>
      <c r="C6029" s="124" t="s">
        <v>12567</v>
      </c>
      <c r="D6029" s="125"/>
      <c r="E6029" s="126">
        <v>27.11</v>
      </c>
      <c r="F6029" s="127"/>
      <c r="G6029" s="127"/>
      <c r="H6029" s="127"/>
      <c r="I6029" s="128"/>
      <c r="K6029" s="105" t="str">
        <f>IFERROR(__xludf.DUMMYFUNCTION("if(A6029="""","""",substitute(SUBSTITUTE(index(importhtml(""http://finviz.com/quote.ashx?t=""&amp;A6029,""table"",10),7,2),""*"",""""),""-"",""0.00""))"),"Loading...")</f>
        <v>Loading...</v>
      </c>
      <c r="L6029" s="129">
        <v>2.12336179E8</v>
      </c>
      <c r="M6029" s="99">
        <v>0.79</v>
      </c>
    </row>
    <row r="6030">
      <c r="A6030" s="122" t="s">
        <v>12568</v>
      </c>
      <c r="B6030" s="123">
        <v>1791863.0</v>
      </c>
      <c r="C6030" s="124" t="s">
        <v>12569</v>
      </c>
      <c r="D6030" s="125"/>
      <c r="E6030" s="126">
        <v>27.14</v>
      </c>
      <c r="F6030" s="127"/>
      <c r="G6030" s="127"/>
      <c r="H6030" s="127"/>
      <c r="I6030" s="128"/>
      <c r="K6030" s="105" t="str">
        <f>IFERROR(__xludf.DUMMYFUNCTION("if(A6030="""","""",substitute(SUBSTITUTE(index(importhtml(""http://finviz.com/quote.ashx?t=""&amp;A6030,""table"",10),7,2),""*"",""""),""-"",""0.00""))"),"Loading...")</f>
        <v>Loading...</v>
      </c>
      <c r="L6030" s="129">
        <v>4.875747028E9</v>
      </c>
      <c r="M6030" s="99">
        <v>1.17</v>
      </c>
    </row>
    <row r="6031">
      <c r="A6031" s="122" t="s">
        <v>12570</v>
      </c>
      <c r="B6031" s="123">
        <v>36146.0</v>
      </c>
      <c r="C6031" s="124" t="s">
        <v>12571</v>
      </c>
      <c r="D6031" s="125"/>
      <c r="E6031" s="126">
        <v>27.15</v>
      </c>
      <c r="F6031" s="127"/>
      <c r="G6031" s="127"/>
      <c r="H6031" s="127"/>
      <c r="I6031" s="128"/>
      <c r="K6031" s="105" t="str">
        <f>IFERROR(__xludf.DUMMYFUNCTION("if(A6031="""","""",substitute(SUBSTITUTE(index(importhtml(""http://finviz.com/quote.ashx?t=""&amp;A6031,""table"",10),7,2),""*"",""""),""-"",""0.00""))"),"Loading...")</f>
        <v>Loading...</v>
      </c>
      <c r="L6031" s="129">
        <v>1.65808197E9</v>
      </c>
      <c r="M6031" s="99">
        <v>0.84</v>
      </c>
    </row>
    <row r="6032">
      <c r="A6032" s="122" t="s">
        <v>12572</v>
      </c>
      <c r="B6032" s="123">
        <v>1591588.0</v>
      </c>
      <c r="C6032" s="124" t="s">
        <v>12573</v>
      </c>
      <c r="D6032" s="125"/>
      <c r="E6032" s="126">
        <v>27.2</v>
      </c>
      <c r="F6032" s="127"/>
      <c r="G6032" s="127"/>
      <c r="H6032" s="127"/>
      <c r="I6032" s="128"/>
      <c r="K6032" s="105" t="str">
        <f>IFERROR(__xludf.DUMMYFUNCTION("if(A6032="""","""",substitute(SUBSTITUTE(index(importhtml(""http://finviz.com/quote.ashx?t=""&amp;A6032,""table"",10),7,2),""*"",""""),""-"",""0.00""))"),"Loading...")</f>
        <v>Loading...</v>
      </c>
      <c r="L6032" s="129">
        <v>6.31338673E8</v>
      </c>
      <c r="M6032" s="99">
        <f>IFERROR(__xludf.DUMMYFUNCTION("GOOGLEFINANCE(A6032,""beta"")"),0.29)</f>
        <v>0.29</v>
      </c>
    </row>
    <row r="6033">
      <c r="A6033" s="122" t="s">
        <v>12574</v>
      </c>
      <c r="B6033" s="123">
        <v>1749797.0</v>
      </c>
      <c r="C6033" s="124" t="s">
        <v>12575</v>
      </c>
      <c r="D6033" s="125"/>
      <c r="E6033" s="126">
        <v>27.2</v>
      </c>
      <c r="F6033" s="127"/>
      <c r="G6033" s="127"/>
      <c r="H6033" s="127"/>
      <c r="I6033" s="128"/>
      <c r="K6033" s="105" t="str">
        <f>IFERROR(__xludf.DUMMYFUNCTION("if(A6033="""","""",substitute(SUBSTITUTE(index(importhtml(""http://finviz.com/quote.ashx?t=""&amp;A6033,""table"",10),7,2),""*"",""""),""-"",""0.00""))"),"Loading...")</f>
        <v>Loading...</v>
      </c>
      <c r="L6033" s="129">
        <v>5.138176939E9</v>
      </c>
      <c r="M6033" s="99" t="str">
        <f>IFERROR(__xludf.DUMMYFUNCTION("GOOGLEFINANCE(A6033,""beta"")"),"#N/A")</f>
        <v>#N/A</v>
      </c>
    </row>
    <row r="6034">
      <c r="A6034" s="122" t="s">
        <v>12576</v>
      </c>
      <c r="B6034" s="123">
        <v>920427.0</v>
      </c>
      <c r="C6034" s="124" t="s">
        <v>12577</v>
      </c>
      <c r="D6034" s="125"/>
      <c r="E6034" s="126">
        <v>27.26</v>
      </c>
      <c r="F6034" s="127"/>
      <c r="G6034" s="127"/>
      <c r="H6034" s="127"/>
      <c r="I6034" s="128"/>
      <c r="K6034" s="105" t="str">
        <f>IFERROR(__xludf.DUMMYFUNCTION("if(A6034="""","""",substitute(SUBSTITUTE(index(importhtml(""http://finviz.com/quote.ashx?t=""&amp;A6034,""table"",10),7,2),""*"",""""),""-"",""0.00""))"),"Loading...")</f>
        <v>Loading...</v>
      </c>
      <c r="L6034" s="129">
        <v>2.74317109E8</v>
      </c>
      <c r="M6034" s="99">
        <v>1.09</v>
      </c>
    </row>
    <row r="6035">
      <c r="A6035" s="122" t="s">
        <v>12578</v>
      </c>
      <c r="B6035" s="123">
        <v>1546417.0</v>
      </c>
      <c r="C6035" s="124" t="s">
        <v>12579</v>
      </c>
      <c r="D6035" s="125"/>
      <c r="E6035" s="126">
        <v>27.31</v>
      </c>
      <c r="F6035" s="127"/>
      <c r="G6035" s="127"/>
      <c r="H6035" s="127"/>
      <c r="I6035" s="128"/>
      <c r="K6035" s="105" t="str">
        <f>IFERROR(__xludf.DUMMYFUNCTION("if(A6035="""","""",substitute(SUBSTITUTE(index(importhtml(""http://finviz.com/quote.ashx?t=""&amp;A6035,""table"",10),7,2),""*"",""""),""-"",""0.00""))"),"Loading...")</f>
        <v>Loading...</v>
      </c>
      <c r="L6035" s="129">
        <v>2.370891386E9</v>
      </c>
      <c r="M6035" s="99">
        <v>2.02</v>
      </c>
    </row>
    <row r="6036">
      <c r="A6036" s="122" t="s">
        <v>12580</v>
      </c>
      <c r="B6036" s="123">
        <v>1052752.0</v>
      </c>
      <c r="C6036" s="124" t="s">
        <v>12581</v>
      </c>
      <c r="D6036" s="125"/>
      <c r="E6036" s="126">
        <v>27.33</v>
      </c>
      <c r="F6036" s="127"/>
      <c r="G6036" s="127"/>
      <c r="H6036" s="127"/>
      <c r="I6036" s="128"/>
      <c r="K6036" s="105" t="str">
        <f>IFERROR(__xludf.DUMMYFUNCTION("if(A6036="""","""",substitute(SUBSTITUTE(index(importhtml(""http://finviz.com/quote.ashx?t=""&amp;A6036,""table"",10),7,2),""*"",""""),""-"",""0.00""))"),"Loading...")</f>
        <v>Loading...</v>
      </c>
      <c r="L6036" s="129">
        <v>1.440338823E9</v>
      </c>
      <c r="M6036" s="99">
        <v>0.88</v>
      </c>
    </row>
    <row r="6037">
      <c r="A6037" s="122" t="s">
        <v>12582</v>
      </c>
      <c r="B6037" s="123">
        <v>857855.0</v>
      </c>
      <c r="C6037" s="124" t="s">
        <v>12583</v>
      </c>
      <c r="D6037" s="125"/>
      <c r="E6037" s="126">
        <v>27.33</v>
      </c>
      <c r="F6037" s="127"/>
      <c r="G6037" s="127"/>
      <c r="H6037" s="127"/>
      <c r="I6037" s="128"/>
      <c r="K6037" s="105" t="str">
        <f>IFERROR(__xludf.DUMMYFUNCTION("if(A6037="""","""",substitute(SUBSTITUTE(index(importhtml(""http://finviz.com/quote.ashx?t=""&amp;A6037,""table"",10),7,2),""*"",""""),""-"",""0.00""))"),"Loading...")</f>
        <v>Loading...</v>
      </c>
      <c r="L6037" s="129">
        <v>3.251717924E9</v>
      </c>
      <c r="M6037" s="99">
        <v>0.96</v>
      </c>
    </row>
    <row r="6038">
      <c r="A6038" s="122" t="s">
        <v>12584</v>
      </c>
      <c r="B6038" s="123">
        <v>1133470.0</v>
      </c>
      <c r="C6038" s="124" t="s">
        <v>12585</v>
      </c>
      <c r="D6038" s="125"/>
      <c r="E6038" s="126">
        <v>27.37</v>
      </c>
      <c r="F6038" s="127"/>
      <c r="G6038" s="127"/>
      <c r="H6038" s="127"/>
      <c r="I6038" s="128"/>
      <c r="K6038" s="105" t="str">
        <f>IFERROR(__xludf.DUMMYFUNCTION("if(A6038="""","""",substitute(SUBSTITUTE(index(importhtml(""http://finviz.com/quote.ashx?t=""&amp;A6038,""table"",10),7,2),""*"",""""),""-"",""0.00""))"),"Loading...")</f>
        <v>Loading...</v>
      </c>
      <c r="L6038" s="129">
        <v>4.86120227E8</v>
      </c>
      <c r="M6038" s="99">
        <v>0.64</v>
      </c>
    </row>
    <row r="6039">
      <c r="A6039" s="122" t="s">
        <v>12586</v>
      </c>
      <c r="B6039" s="123">
        <v>1415311.0</v>
      </c>
      <c r="C6039" s="124" t="s">
        <v>12587</v>
      </c>
      <c r="D6039" s="125"/>
      <c r="E6039" s="126">
        <v>27.38</v>
      </c>
      <c r="F6039" s="127"/>
      <c r="G6039" s="127"/>
      <c r="H6039" s="127"/>
      <c r="I6039" s="128"/>
      <c r="K6039" s="55" t="s">
        <v>1034</v>
      </c>
      <c r="L6039" s="129" t="e">
        <v>#N/A</v>
      </c>
      <c r="M6039" s="99" t="str">
        <f>IFERROR(__xludf.DUMMYFUNCTION("GOOGLEFINANCE(A6039,""beta"")"),"#N/A")</f>
        <v>#N/A</v>
      </c>
    </row>
    <row r="6040">
      <c r="A6040" s="122" t="s">
        <v>12588</v>
      </c>
      <c r="B6040" s="123">
        <v>1093672.0</v>
      </c>
      <c r="C6040" s="124" t="s">
        <v>12589</v>
      </c>
      <c r="D6040" s="125"/>
      <c r="E6040" s="126">
        <v>27.38</v>
      </c>
      <c r="F6040" s="127"/>
      <c r="G6040" s="127"/>
      <c r="H6040" s="127"/>
      <c r="I6040" s="128"/>
      <c r="K6040" s="105" t="str">
        <f>IFERROR(__xludf.DUMMYFUNCTION("if(A6040="""","""",substitute(SUBSTITUTE(index(importhtml(""http://finviz.com/quote.ashx?t=""&amp;A6040,""table"",10),7,2),""*"",""""),""-"",""0.00""))"),"Loading...")</f>
        <v>Loading...</v>
      </c>
      <c r="L6040" s="129">
        <v>1.51534605E8</v>
      </c>
      <c r="M6040" s="99">
        <v>0.65</v>
      </c>
    </row>
    <row r="6041">
      <c r="A6041" s="122" t="s">
        <v>12590</v>
      </c>
      <c r="B6041" s="123">
        <v>1516513.0</v>
      </c>
      <c r="C6041" s="124" t="s">
        <v>12591</v>
      </c>
      <c r="D6041" s="125"/>
      <c r="E6041" s="126">
        <v>27.49</v>
      </c>
      <c r="F6041" s="127"/>
      <c r="G6041" s="127"/>
      <c r="H6041" s="127"/>
      <c r="I6041" s="128"/>
      <c r="K6041" s="105" t="str">
        <f>IFERROR(__xludf.DUMMYFUNCTION("if(A6041="""","""",substitute(SUBSTITUTE(index(importhtml(""http://finviz.com/quote.ashx?t=""&amp;A6041,""table"",10),7,2),""*"",""""),""-"",""0.00""))"),"#REF!")</f>
        <v>#REF!</v>
      </c>
      <c r="L6041" s="129">
        <v>5.11060263E9</v>
      </c>
      <c r="M6041" s="99">
        <f>IFERROR(__xludf.DUMMYFUNCTION("GOOGLEFINANCE(A6041,""beta"")"),1.36)</f>
        <v>1.36</v>
      </c>
    </row>
    <row r="6042">
      <c r="A6042" s="122" t="s">
        <v>12592</v>
      </c>
      <c r="B6042" s="123">
        <v>1746129.0</v>
      </c>
      <c r="C6042" s="124" t="s">
        <v>12593</v>
      </c>
      <c r="D6042" s="125"/>
      <c r="E6042" s="126">
        <v>27.51</v>
      </c>
      <c r="F6042" s="127"/>
      <c r="G6042" s="127"/>
      <c r="H6042" s="127"/>
      <c r="I6042" s="128"/>
      <c r="K6042" s="105" t="str">
        <f>IFERROR(__xludf.DUMMYFUNCTION("if(A6042="""","""",substitute(SUBSTITUTE(index(importhtml(""http://finviz.com/quote.ashx?t=""&amp;A6042,""table"",10),7,2),""*"",""""),""-"",""0.00""))"),"Loading...")</f>
        <v>Loading...</v>
      </c>
      <c r="L6042" s="129">
        <v>2.53028619E8</v>
      </c>
      <c r="M6042" s="99">
        <v>1.47</v>
      </c>
    </row>
    <row r="6043">
      <c r="A6043" s="122" t="s">
        <v>12594</v>
      </c>
      <c r="B6043" s="123">
        <v>1243429.0</v>
      </c>
      <c r="C6043" s="124" t="s">
        <v>12595</v>
      </c>
      <c r="D6043" s="125"/>
      <c r="E6043" s="126">
        <v>27.52</v>
      </c>
      <c r="F6043" s="127"/>
      <c r="G6043" s="127"/>
      <c r="H6043" s="127"/>
      <c r="I6043" s="128"/>
      <c r="K6043" s="105" t="str">
        <f>IFERROR(__xludf.DUMMYFUNCTION("if(A6043="""","""",substitute(SUBSTITUTE(index(importhtml(""http://finviz.com/quote.ashx?t=""&amp;A6043,""table"",10),7,2),""*"",""""),""-"",""0.00""))"),"Loading...")</f>
        <v>Loading...</v>
      </c>
      <c r="L6043" s="129">
        <v>2.354546423E10</v>
      </c>
      <c r="M6043" s="99">
        <v>2.0</v>
      </c>
    </row>
    <row r="6044">
      <c r="A6044" s="122" t="s">
        <v>12596</v>
      </c>
      <c r="B6044" s="123">
        <v>1583708.0</v>
      </c>
      <c r="C6044" s="124" t="s">
        <v>12597</v>
      </c>
      <c r="D6044" s="125"/>
      <c r="E6044" s="126">
        <v>27.55</v>
      </c>
      <c r="F6044" s="127"/>
      <c r="G6044" s="127"/>
      <c r="H6044" s="127"/>
      <c r="I6044" s="128"/>
      <c r="K6044" s="55" t="s">
        <v>1034</v>
      </c>
      <c r="L6044" s="129">
        <v>8.210569E9</v>
      </c>
      <c r="M6044" s="99">
        <f>IFERROR(__xludf.DUMMYFUNCTION("GOOGLEFINANCE(A6044,""beta"")"),0.76)</f>
        <v>0.76</v>
      </c>
    </row>
    <row r="6045">
      <c r="A6045" s="122" t="s">
        <v>12598</v>
      </c>
      <c r="B6045" s="123">
        <v>1118417.0</v>
      </c>
      <c r="C6045" s="124" t="s">
        <v>12599</v>
      </c>
      <c r="D6045" s="125"/>
      <c r="E6045" s="126">
        <v>27.58</v>
      </c>
      <c r="F6045" s="127"/>
      <c r="G6045" s="127"/>
      <c r="H6045" s="127"/>
      <c r="I6045" s="128"/>
      <c r="K6045" s="105" t="str">
        <f>IFERROR(__xludf.DUMMYFUNCTION("if(A6045="""","""",substitute(SUBSTITUTE(index(importhtml(""http://finviz.com/quote.ashx?t=""&amp;A6045,""table"",10),7,2),""*"",""""),""-"",""0.00""))"),"Loading...")</f>
        <v>Loading...</v>
      </c>
      <c r="L6045" s="129">
        <v>1.076509176E9</v>
      </c>
      <c r="M6045" s="99">
        <v>0.74</v>
      </c>
    </row>
    <row r="6046">
      <c r="A6046" s="122" t="s">
        <v>12600</v>
      </c>
      <c r="B6046" s="123">
        <v>1762301.0</v>
      </c>
      <c r="C6046" s="124" t="s">
        <v>12601</v>
      </c>
      <c r="D6046" s="125"/>
      <c r="E6046" s="126">
        <v>27.64</v>
      </c>
      <c r="F6046" s="127"/>
      <c r="G6046" s="127"/>
      <c r="H6046" s="127"/>
      <c r="I6046" s="128"/>
      <c r="K6046" s="105" t="str">
        <f>IFERROR(__xludf.DUMMYFUNCTION("if(A6046="""","""",substitute(SUBSTITUTE(index(importhtml(""http://finviz.com/quote.ashx?t=""&amp;A6046,""table"",10),7,2),""*"",""""),""-"",""0.00""))"),"#REF!")</f>
        <v>#REF!</v>
      </c>
      <c r="L6046" s="129">
        <v>1.060798024E9</v>
      </c>
      <c r="M6046" s="99">
        <v>1.79</v>
      </c>
    </row>
    <row r="6047">
      <c r="A6047" s="122" t="s">
        <v>12602</v>
      </c>
      <c r="B6047" s="123">
        <v>1243429.0</v>
      </c>
      <c r="C6047" s="124" t="s">
        <v>12595</v>
      </c>
      <c r="D6047" s="125"/>
      <c r="E6047" s="126">
        <v>27.66</v>
      </c>
      <c r="F6047" s="127"/>
      <c r="G6047" s="127"/>
      <c r="H6047" s="127"/>
      <c r="I6047" s="128"/>
      <c r="K6047" s="138" t="s">
        <v>5866</v>
      </c>
      <c r="L6047" s="129">
        <v>2.354546423E10</v>
      </c>
      <c r="M6047" s="99">
        <v>1.95</v>
      </c>
    </row>
    <row r="6048">
      <c r="A6048" s="122" t="s">
        <v>12603</v>
      </c>
      <c r="B6048" s="123">
        <v>1449005.0</v>
      </c>
      <c r="C6048" s="124" t="s">
        <v>12604</v>
      </c>
      <c r="D6048" s="125"/>
      <c r="E6048" s="126">
        <v>27.66</v>
      </c>
      <c r="F6048" s="136"/>
      <c r="G6048" s="136"/>
      <c r="H6048" s="127"/>
      <c r="I6048" s="128"/>
      <c r="K6048" s="105" t="str">
        <f>IFERROR(__xludf.DUMMYFUNCTION("if(A6048="""","""",substitute(SUBSTITUTE(index(importhtml(""http://finviz.com/quote.ashx?t=""&amp;A6048,""table"",10),7,2),""*"",""""),""-"",""0.00""))"),"Loading...")</f>
        <v>Loading...</v>
      </c>
      <c r="L6048" s="129">
        <v>8.32558E11</v>
      </c>
      <c r="M6048" s="99">
        <v>0.79</v>
      </c>
    </row>
    <row r="6049">
      <c r="A6049" s="122" t="s">
        <v>12605</v>
      </c>
      <c r="B6049" s="123">
        <v>1356576.0</v>
      </c>
      <c r="C6049" s="124" t="s">
        <v>12606</v>
      </c>
      <c r="D6049" s="125"/>
      <c r="E6049" s="126">
        <v>27.67</v>
      </c>
      <c r="F6049" s="127"/>
      <c r="G6049" s="127"/>
      <c r="H6049" s="127"/>
      <c r="I6049" s="128"/>
      <c r="K6049" s="105" t="str">
        <f>IFERROR(__xludf.DUMMYFUNCTION("if(A6049="""","""",substitute(SUBSTITUTE(index(importhtml(""http://finviz.com/quote.ashx?t=""&amp;A6049,""table"",10),7,2),""*"",""""),""-"",""0.00""))"),"Loading...")</f>
        <v>Loading...</v>
      </c>
      <c r="L6049" s="129">
        <v>1.511690686E9</v>
      </c>
      <c r="M6049" s="99">
        <v>0.97</v>
      </c>
    </row>
    <row r="6050">
      <c r="A6050" s="122" t="s">
        <v>12607</v>
      </c>
      <c r="B6050" s="123">
        <v>1472494.0</v>
      </c>
      <c r="C6050" s="124" t="s">
        <v>12608</v>
      </c>
      <c r="D6050" s="125"/>
      <c r="E6050" s="126">
        <v>27.69</v>
      </c>
      <c r="F6050" s="127"/>
      <c r="G6050" s="127"/>
      <c r="H6050" s="127"/>
      <c r="I6050" s="128"/>
      <c r="K6050" s="55" t="s">
        <v>1034</v>
      </c>
      <c r="L6050" s="129">
        <v>1.32912002E8</v>
      </c>
      <c r="M6050" s="99" t="str">
        <f>IFERROR(__xludf.DUMMYFUNCTION("GOOGLEFINANCE(A6050,""beta"")"),"#N/A")</f>
        <v>#N/A</v>
      </c>
    </row>
    <row r="6051">
      <c r="A6051" s="122" t="s">
        <v>12609</v>
      </c>
      <c r="B6051" s="123">
        <v>1626199.0</v>
      </c>
      <c r="C6051" s="124" t="s">
        <v>12610</v>
      </c>
      <c r="D6051" s="125"/>
      <c r="E6051" s="126">
        <v>27.69</v>
      </c>
      <c r="F6051" s="127"/>
      <c r="G6051" s="127"/>
      <c r="H6051" s="127"/>
      <c r="I6051" s="128"/>
      <c r="K6051" s="105" t="str">
        <f>IFERROR(__xludf.DUMMYFUNCTION("if(A6051="""","""",substitute(SUBSTITUTE(index(importhtml(""http://finviz.com/quote.ashx?t=""&amp;A6051,""table"",10),7,2),""*"",""""),""-"",""0.00""))"),"Loading...")</f>
        <v>Loading...</v>
      </c>
      <c r="L6051" s="129">
        <v>1.608732543E9</v>
      </c>
      <c r="M6051" s="99">
        <v>1.07</v>
      </c>
    </row>
    <row r="6052">
      <c r="A6052" s="122" t="s">
        <v>12611</v>
      </c>
      <c r="B6052" s="123">
        <v>1858985.0</v>
      </c>
      <c r="C6052" s="124" t="s">
        <v>12612</v>
      </c>
      <c r="D6052" s="125"/>
      <c r="E6052" s="126">
        <v>27.7</v>
      </c>
      <c r="F6052" s="127"/>
      <c r="G6052" s="127"/>
      <c r="H6052" s="127"/>
      <c r="I6052" s="128"/>
      <c r="K6052" s="105" t="str">
        <f>IFERROR(__xludf.DUMMYFUNCTION("if(A6052="""","""",substitute(SUBSTITUTE(index(importhtml(""http://finviz.com/quote.ashx?t=""&amp;A6052,""table"",10),7,2),""*"",""""),""-"",""0.00""))"),"Loading...")</f>
        <v>Loading...</v>
      </c>
      <c r="L6052" s="129" t="e">
        <v>#N/A</v>
      </c>
      <c r="M6052" s="99" t="e">
        <v>#N/A</v>
      </c>
    </row>
    <row r="6053">
      <c r="A6053" s="122" t="s">
        <v>12613</v>
      </c>
      <c r="B6053" s="123">
        <v>74260.0</v>
      </c>
      <c r="C6053" s="124" t="s">
        <v>12614</v>
      </c>
      <c r="D6053" s="125"/>
      <c r="E6053" s="126">
        <v>27.73</v>
      </c>
      <c r="F6053" s="127"/>
      <c r="G6053" s="127"/>
      <c r="H6053" s="127"/>
      <c r="I6053" s="128"/>
      <c r="K6053" s="105" t="str">
        <f>IFERROR(__xludf.DUMMYFUNCTION("if(A6053="""","""",substitute(SUBSTITUTE(index(importhtml(""http://finviz.com/quote.ashx?t=""&amp;A6053,""table"",10),7,2),""*"",""""),""-"",""0.00""))"),"Loading...")</f>
        <v>Loading...</v>
      </c>
      <c r="L6053" s="129">
        <v>7.774873492E9</v>
      </c>
      <c r="M6053" s="99">
        <v>0.77</v>
      </c>
    </row>
    <row r="6054">
      <c r="A6054" s="122" t="s">
        <v>12615</v>
      </c>
      <c r="B6054" s="123">
        <v>1786431.0</v>
      </c>
      <c r="C6054" s="124" t="s">
        <v>12616</v>
      </c>
      <c r="D6054" s="125"/>
      <c r="E6054" s="126">
        <v>27.75</v>
      </c>
      <c r="F6054" s="127"/>
      <c r="G6054" s="127"/>
      <c r="H6054" s="127"/>
      <c r="I6054" s="128"/>
      <c r="K6054" s="105" t="str">
        <f>IFERROR(__xludf.DUMMYFUNCTION("if(A6054="""","""",substitute(SUBSTITUTE(index(importhtml(""http://finviz.com/quote.ashx?t=""&amp;A6054,""table"",10),7,2),""*"",""""),""-"",""0.00""))"),"Loading...")</f>
        <v>Loading...</v>
      </c>
      <c r="L6054" s="129">
        <v>5.8277553E9</v>
      </c>
      <c r="M6054" s="99">
        <v>0.48</v>
      </c>
    </row>
    <row r="6055">
      <c r="A6055" s="122" t="s">
        <v>12617</v>
      </c>
      <c r="B6055" s="123">
        <v>1836056.0</v>
      </c>
      <c r="C6055" s="124" t="s">
        <v>12618</v>
      </c>
      <c r="D6055" s="125"/>
      <c r="E6055" s="126">
        <v>27.79</v>
      </c>
      <c r="F6055" s="127"/>
      <c r="G6055" s="127"/>
      <c r="H6055" s="127"/>
      <c r="I6055" s="128"/>
      <c r="K6055" s="105" t="str">
        <f>IFERROR(__xludf.DUMMYFUNCTION("if(A6055="""","""",substitute(SUBSTITUTE(index(importhtml(""http://finviz.com/quote.ashx?t=""&amp;A6055,""table"",10),7,2),""*"",""""),""-"",""0.00""))"),"Loading...")</f>
        <v>Loading...</v>
      </c>
      <c r="L6055" s="129">
        <v>1.760556306E9</v>
      </c>
      <c r="M6055" s="99" t="str">
        <f>IFERROR(__xludf.DUMMYFUNCTION("GOOGLEFINANCE(A6055,""beta"")"),"#N/A")</f>
        <v>#N/A</v>
      </c>
    </row>
    <row r="6056">
      <c r="A6056" s="122" t="s">
        <v>12619</v>
      </c>
      <c r="B6056" s="123">
        <v>1434265.0</v>
      </c>
      <c r="C6056" s="124" t="s">
        <v>12620</v>
      </c>
      <c r="D6056" s="125"/>
      <c r="E6056" s="126">
        <v>27.8</v>
      </c>
      <c r="F6056" s="127"/>
      <c r="G6056" s="127"/>
      <c r="H6056" s="127"/>
      <c r="I6056" s="128"/>
      <c r="K6056" s="105" t="str">
        <f>IFERROR(__xludf.DUMMYFUNCTION("if(A6056="""","""",substitute(SUBSTITUTE(index(importhtml(""http://finviz.com/quote.ashx?t=""&amp;A6056,""table"",10),7,2),""*"",""""),""-"",""0.00""))"),"Loading...")</f>
        <v>Loading...</v>
      </c>
      <c r="L6056" s="129">
        <v>1.8166593381E10</v>
      </c>
      <c r="M6056" s="99">
        <v>0.95</v>
      </c>
    </row>
    <row r="6057">
      <c r="A6057" s="122" t="s">
        <v>12621</v>
      </c>
      <c r="B6057" s="123">
        <v>357301.0</v>
      </c>
      <c r="C6057" s="124" t="s">
        <v>12622</v>
      </c>
      <c r="D6057" s="125"/>
      <c r="E6057" s="126">
        <v>27.81</v>
      </c>
      <c r="F6057" s="127"/>
      <c r="G6057" s="127"/>
      <c r="H6057" s="127"/>
      <c r="I6057" s="128"/>
      <c r="K6057" s="105" t="str">
        <f>IFERROR(__xludf.DUMMYFUNCTION("if(A6057="""","""",substitute(SUBSTITUTE(index(importhtml(""http://finviz.com/quote.ashx?t=""&amp;A6057,""table"",10),7,2),""*"",""""),""-"",""0.00""))"),"Loading...")</f>
        <v>Loading...</v>
      </c>
      <c r="L6057" s="129">
        <v>5.29057151E8</v>
      </c>
      <c r="M6057" s="99">
        <v>0.86</v>
      </c>
    </row>
    <row r="6058">
      <c r="A6058" s="122" t="s">
        <v>12623</v>
      </c>
      <c r="B6058" s="123">
        <v>718937.0</v>
      </c>
      <c r="C6058" s="124" t="s">
        <v>12624</v>
      </c>
      <c r="D6058" s="125"/>
      <c r="E6058" s="126">
        <v>27.82</v>
      </c>
      <c r="F6058" s="127"/>
      <c r="G6058" s="127"/>
      <c r="H6058" s="127"/>
      <c r="I6058" s="128"/>
      <c r="K6058" s="105" t="str">
        <f>IFERROR(__xludf.DUMMYFUNCTION("if(A6058="""","""",substitute(SUBSTITUTE(index(importhtml(""http://finviz.com/quote.ashx?t=""&amp;A6058,""table"",10),7,2),""*"",""""),""-"",""0.00""))"),"Loading...")</f>
        <v>Loading...</v>
      </c>
      <c r="L6058" s="129">
        <v>1.358102556E9</v>
      </c>
      <c r="M6058" s="99">
        <v>0.81</v>
      </c>
    </row>
    <row r="6059">
      <c r="A6059" s="122" t="s">
        <v>12625</v>
      </c>
      <c r="B6059" s="123">
        <v>845982.0</v>
      </c>
      <c r="C6059" s="124" t="s">
        <v>10046</v>
      </c>
      <c r="D6059" s="125"/>
      <c r="E6059" s="126">
        <v>27.84</v>
      </c>
      <c r="F6059" s="127"/>
      <c r="G6059" s="127"/>
      <c r="H6059" s="127"/>
      <c r="I6059" s="128"/>
      <c r="K6059" s="105" t="str">
        <f>IFERROR(__xludf.DUMMYFUNCTION("if(A6059="""","""",substitute(SUBSTITUTE(index(importhtml(""http://finviz.com/quote.ashx?t=""&amp;A6059,""table"",10),7,2),""*"",""""),""-"",""0.00""))"),"Loading...")</f>
        <v>Loading...</v>
      </c>
      <c r="L6059" s="129">
        <v>1.1953719329E10</v>
      </c>
      <c r="M6059" s="99">
        <v>0.77</v>
      </c>
    </row>
    <row r="6060">
      <c r="A6060" s="122" t="s">
        <v>12626</v>
      </c>
      <c r="B6060" s="123">
        <v>1018399.0</v>
      </c>
      <c r="C6060" s="124" t="s">
        <v>12627</v>
      </c>
      <c r="D6060" s="125"/>
      <c r="E6060" s="126">
        <v>27.93</v>
      </c>
      <c r="F6060" s="127"/>
      <c r="G6060" s="127"/>
      <c r="H6060" s="127"/>
      <c r="I6060" s="128"/>
      <c r="K6060" s="105" t="str">
        <f>IFERROR(__xludf.DUMMYFUNCTION("if(A6060="""","""",substitute(SUBSTITUTE(index(importhtml(""http://finviz.com/quote.ashx?t=""&amp;A6060,""table"",10),7,2),""*"",""""),""-"",""0.00""))"),"Loading...")</f>
        <v>Loading...</v>
      </c>
      <c r="L6060" s="129">
        <v>3.42775676E8</v>
      </c>
      <c r="M6060" s="99">
        <v>0.62</v>
      </c>
    </row>
    <row r="6061">
      <c r="A6061" s="122" t="s">
        <v>12628</v>
      </c>
      <c r="B6061" s="123">
        <v>1383151.0</v>
      </c>
      <c r="C6061" s="124" t="s">
        <v>12629</v>
      </c>
      <c r="D6061" s="125"/>
      <c r="E6061" s="126">
        <v>27.94</v>
      </c>
      <c r="F6061" s="127"/>
      <c r="G6061" s="127"/>
      <c r="H6061" s="127"/>
      <c r="I6061" s="128"/>
      <c r="K6061" s="105" t="str">
        <f>IFERROR(__xludf.DUMMYFUNCTION("if(A6061="""","""",substitute(SUBSTITUTE(index(importhtml(""http://finviz.com/quote.ashx?t=""&amp;A6061,""table"",10),7,2),""*"",""""),""-"",""0.00""))"),"Loading...")</f>
        <v>Loading...</v>
      </c>
      <c r="L6061" s="129">
        <v>1.09263295E8</v>
      </c>
      <c r="M6061" s="99" t="str">
        <f>IFERROR(__xludf.DUMMYFUNCTION("GOOGLEFINANCE(A6061,""beta"")"),"#N/A")</f>
        <v>#N/A</v>
      </c>
    </row>
    <row r="6062">
      <c r="A6062" s="122" t="s">
        <v>12630</v>
      </c>
      <c r="B6062" s="123">
        <v>1330306.0</v>
      </c>
      <c r="C6062" s="124" t="s">
        <v>12631</v>
      </c>
      <c r="D6062" s="125"/>
      <c r="E6062" s="126">
        <v>27.94</v>
      </c>
      <c r="F6062" s="127"/>
      <c r="G6062" s="127"/>
      <c r="H6062" s="127"/>
      <c r="I6062" s="128"/>
      <c r="K6062" s="105" t="str">
        <f>IFERROR(__xludf.DUMMYFUNCTION("if(A6062="""","""",substitute(SUBSTITUTE(index(importhtml(""http://finviz.com/quote.ashx?t=""&amp;A6062,""table"",10),7,2),""*"",""""),""-"",""0.00""))"),"Loading...")</f>
        <v>Loading...</v>
      </c>
      <c r="L6062" s="129">
        <v>1.970955E11</v>
      </c>
      <c r="M6062" s="99">
        <v>1.36</v>
      </c>
    </row>
    <row r="6063">
      <c r="A6063" s="122" t="s">
        <v>12632</v>
      </c>
      <c r="B6063" s="123">
        <v>1130310.0</v>
      </c>
      <c r="C6063" s="124" t="s">
        <v>12633</v>
      </c>
      <c r="D6063" s="125"/>
      <c r="E6063" s="126">
        <v>27.95</v>
      </c>
      <c r="F6063" s="127"/>
      <c r="G6063" s="127"/>
      <c r="H6063" s="127"/>
      <c r="I6063" s="128"/>
      <c r="K6063" s="55" t="s">
        <v>7975</v>
      </c>
      <c r="L6063" s="129">
        <v>1.7642702896E10</v>
      </c>
      <c r="M6063" s="99">
        <v>0.93</v>
      </c>
    </row>
    <row r="6064">
      <c r="A6064" s="122" t="s">
        <v>12634</v>
      </c>
      <c r="B6064" s="123">
        <v>1318484.0</v>
      </c>
      <c r="C6064" s="124" t="s">
        <v>12635</v>
      </c>
      <c r="D6064" s="125"/>
      <c r="E6064" s="126">
        <v>27.97</v>
      </c>
      <c r="F6064" s="127"/>
      <c r="G6064" s="127"/>
      <c r="H6064" s="127"/>
      <c r="I6064" s="128"/>
      <c r="K6064" s="105" t="str">
        <f>IFERROR(__xludf.DUMMYFUNCTION("if(A6064="""","""",substitute(SUBSTITUTE(index(importhtml(""http://finviz.com/quote.ashx?t=""&amp;A6064,""table"",10),7,2),""*"",""""),""-"",""0.00""))"),"Loading...")</f>
        <v>Loading...</v>
      </c>
      <c r="L6064" s="129">
        <v>2.38985295E8</v>
      </c>
      <c r="M6064" s="99">
        <v>2.38</v>
      </c>
    </row>
    <row r="6065">
      <c r="A6065" s="122" t="s">
        <v>12636</v>
      </c>
      <c r="B6065" s="123">
        <v>879526.0</v>
      </c>
      <c r="C6065" s="124" t="s">
        <v>12637</v>
      </c>
      <c r="D6065" s="125"/>
      <c r="E6065" s="126">
        <v>27.98</v>
      </c>
      <c r="F6065" s="127"/>
      <c r="G6065" s="127"/>
      <c r="H6065" s="127"/>
      <c r="I6065" s="128"/>
      <c r="K6065" s="105" t="str">
        <f>IFERROR(__xludf.DUMMYFUNCTION("if(A6065="""","""",substitute(SUBSTITUTE(index(importhtml(""http://finviz.com/quote.ashx?t=""&amp;A6065,""table"",10),7,2),""*"",""""),""-"",""0.00""))"),"Loading...")</f>
        <v>Loading...</v>
      </c>
      <c r="L6065" s="129">
        <v>1.289522912E9</v>
      </c>
      <c r="M6065" s="99">
        <v>1.58</v>
      </c>
    </row>
    <row r="6066">
      <c r="A6066" s="122" t="s">
        <v>12638</v>
      </c>
      <c r="B6066" s="123">
        <v>72573.0</v>
      </c>
      <c r="C6066" s="124" t="s">
        <v>12639</v>
      </c>
      <c r="D6066" s="125"/>
      <c r="E6066" s="126">
        <v>27.99</v>
      </c>
      <c r="F6066" s="127"/>
      <c r="G6066" s="127"/>
      <c r="H6066" s="127"/>
      <c r="I6066" s="128"/>
      <c r="K6066" s="105" t="str">
        <f>IFERROR(__xludf.DUMMYFUNCTION("if(A6066="""","""",substitute(SUBSTITUTE(index(importhtml(""http://finviz.com/quote.ashx?t=""&amp;A6066,""table"",10),7,2),""*"",""""),""-"",""0.00""))"),"Loading...")</f>
        <v>Loading...</v>
      </c>
      <c r="L6066" s="129">
        <v>4.36556947E8</v>
      </c>
      <c r="M6066" s="99">
        <v>1.15</v>
      </c>
    </row>
    <row r="6067">
      <c r="A6067" s="122" t="s">
        <v>12640</v>
      </c>
      <c r="B6067" s="123">
        <v>1823529.0</v>
      </c>
      <c r="C6067" s="124" t="s">
        <v>12641</v>
      </c>
      <c r="D6067" s="125"/>
      <c r="E6067" s="126">
        <v>28.0</v>
      </c>
      <c r="F6067" s="127"/>
      <c r="G6067" s="127"/>
      <c r="H6067" s="127"/>
      <c r="I6067" s="128"/>
      <c r="K6067" s="55" t="s">
        <v>12642</v>
      </c>
      <c r="L6067" s="129">
        <v>4.4716924E9</v>
      </c>
      <c r="M6067" s="99">
        <f>IFERROR(__xludf.DUMMYFUNCTION("GOOGLEFINANCE(A6067,""beta"")"),0.57)</f>
        <v>0.57</v>
      </c>
    </row>
    <row r="6068">
      <c r="A6068" s="122" t="s">
        <v>12643</v>
      </c>
      <c r="B6068" s="123">
        <v>1821349.0</v>
      </c>
      <c r="C6068" s="124" t="s">
        <v>12644</v>
      </c>
      <c r="D6068" s="125"/>
      <c r="E6068" s="126">
        <v>28.02</v>
      </c>
      <c r="F6068" s="127"/>
      <c r="G6068" s="127"/>
      <c r="H6068" s="127"/>
      <c r="I6068" s="128"/>
      <c r="K6068" s="105" t="str">
        <f>IFERROR(__xludf.DUMMYFUNCTION("if(A6068="""","""",substitute(SUBSTITUTE(index(importhtml(""http://finviz.com/quote.ashx?t=""&amp;A6068,""table"",10),7,2),""*"",""""),""-"",""0.00""))"),"Loading...")</f>
        <v>Loading...</v>
      </c>
      <c r="L6068" s="129">
        <v>9.42365573E8</v>
      </c>
      <c r="M6068" s="99">
        <v>1.18</v>
      </c>
    </row>
    <row r="6069">
      <c r="A6069" s="122" t="s">
        <v>12645</v>
      </c>
      <c r="B6069" s="123">
        <v>1364885.0</v>
      </c>
      <c r="C6069" s="124" t="s">
        <v>12646</v>
      </c>
      <c r="D6069" s="125"/>
      <c r="E6069" s="126">
        <v>28.04</v>
      </c>
      <c r="F6069" s="127"/>
      <c r="G6069" s="127"/>
      <c r="H6069" s="127"/>
      <c r="I6069" s="128"/>
      <c r="K6069" s="105" t="str">
        <f>IFERROR(__xludf.DUMMYFUNCTION("if(A6069="""","""",substitute(SUBSTITUTE(index(importhtml(""http://finviz.com/quote.ashx?t=""&amp;A6069,""table"",10),7,2),""*"",""""),""-"",""0.00""))"),"Loading...")</f>
        <v>Loading...</v>
      </c>
      <c r="L6069" s="129">
        <v>3.207644316E9</v>
      </c>
      <c r="M6069" s="99">
        <v>1.77</v>
      </c>
    </row>
    <row r="6070">
      <c r="A6070" s="122" t="s">
        <v>12647</v>
      </c>
      <c r="B6070" s="123">
        <v>930826.0</v>
      </c>
      <c r="C6070" s="124" t="s">
        <v>12648</v>
      </c>
      <c r="D6070" s="125"/>
      <c r="E6070" s="126">
        <v>28.08</v>
      </c>
      <c r="F6070" s="127"/>
      <c r="G6070" s="127"/>
      <c r="H6070" s="127"/>
      <c r="I6070" s="128"/>
      <c r="K6070" s="105" t="str">
        <f>IFERROR(__xludf.DUMMYFUNCTION("if(A6070="""","""",substitute(SUBSTITUTE(index(importhtml(""http://finviz.com/quote.ashx?t=""&amp;A6070,""table"",10),7,2),""*"",""""),""-"",""0.00""))"),"Loading...")</f>
        <v>Loading...</v>
      </c>
      <c r="L6070" s="129">
        <v>2.572333755E9</v>
      </c>
      <c r="M6070" s="99">
        <v>1.36</v>
      </c>
    </row>
    <row r="6071">
      <c r="A6071" s="122" t="s">
        <v>12649</v>
      </c>
      <c r="B6071" s="123">
        <v>1124105.0</v>
      </c>
      <c r="C6071" s="124" t="s">
        <v>12650</v>
      </c>
      <c r="D6071" s="125"/>
      <c r="E6071" s="126">
        <v>28.09</v>
      </c>
      <c r="F6071" s="127"/>
      <c r="G6071" s="127"/>
      <c r="H6071" s="127"/>
      <c r="I6071" s="128"/>
      <c r="K6071" s="105" t="str">
        <f>IFERROR(__xludf.DUMMYFUNCTION("if(A6071="""","""",substitute(SUBSTITUTE(index(importhtml(""http://finviz.com/quote.ashx?t=""&amp;A6071,""table"",10),7,2),""*"",""""),""-"",""0.00""))"),"Loading...")</f>
        <v>Loading...</v>
      </c>
      <c r="L6071" s="129" t="e">
        <v>#N/A</v>
      </c>
      <c r="M6071" s="99">
        <f>IFERROR(__xludf.DUMMYFUNCTION("GOOGLEFINANCE(A6071,""beta"")"),1.5)</f>
        <v>1.5</v>
      </c>
    </row>
    <row r="6072">
      <c r="A6072" s="122" t="s">
        <v>12651</v>
      </c>
      <c r="B6072" s="123">
        <v>1802768.0</v>
      </c>
      <c r="C6072" s="124" t="s">
        <v>12652</v>
      </c>
      <c r="D6072" s="125"/>
      <c r="E6072" s="126">
        <v>28.1</v>
      </c>
      <c r="F6072" s="127"/>
      <c r="G6072" s="127"/>
      <c r="H6072" s="127"/>
      <c r="I6072" s="128"/>
      <c r="K6072" s="105" t="str">
        <f>IFERROR(__xludf.DUMMYFUNCTION("if(A6072="""","""",substitute(SUBSTITUTE(index(importhtml(""http://finviz.com/quote.ashx?t=""&amp;A6072,""table"",10),7,2),""*"",""""),""-"",""0.00""))"),"Loading...")</f>
        <v>Loading...</v>
      </c>
      <c r="L6072" s="129">
        <v>1.6838492488E10</v>
      </c>
      <c r="M6072" s="99">
        <v>0.42</v>
      </c>
    </row>
    <row r="6073">
      <c r="A6073" s="122" t="s">
        <v>12653</v>
      </c>
      <c r="B6073" s="123">
        <v>1671750.0</v>
      </c>
      <c r="C6073" s="124" t="s">
        <v>12654</v>
      </c>
      <c r="D6073" s="125"/>
      <c r="E6073" s="126">
        <v>28.13</v>
      </c>
      <c r="F6073" s="127"/>
      <c r="G6073" s="127"/>
      <c r="H6073" s="127"/>
      <c r="I6073" s="128"/>
      <c r="K6073" s="105" t="str">
        <f>IFERROR(__xludf.DUMMYFUNCTION("if(A6073="""","""",substitute(SUBSTITUTE(index(importhtml(""http://finviz.com/quote.ashx?t=""&amp;A6073,""table"",10),7,2),""*"",""""),""-"",""0.00""))"),"Loading...")</f>
        <v>Loading...</v>
      </c>
      <c r="L6073" s="129">
        <v>4.493585525E12</v>
      </c>
      <c r="M6073" s="99">
        <v>1.08</v>
      </c>
    </row>
    <row r="6074">
      <c r="A6074" s="122" t="s">
        <v>12655</v>
      </c>
      <c r="B6074" s="123">
        <v>1455863.0</v>
      </c>
      <c r="C6074" s="124" t="s">
        <v>12656</v>
      </c>
      <c r="D6074" s="125"/>
      <c r="E6074" s="126">
        <v>28.17</v>
      </c>
      <c r="F6074" s="127"/>
      <c r="G6074" s="127"/>
      <c r="H6074" s="127"/>
      <c r="I6074" s="128"/>
      <c r="K6074" s="105" t="str">
        <f>IFERROR(__xludf.DUMMYFUNCTION("if(A6074="""","""",substitute(SUBSTITUTE(index(importhtml(""http://finviz.com/quote.ashx?t=""&amp;A6074,""table"",10),7,2),""*"",""""),""-"",""0.00""))"),"Loading...")</f>
        <v>Loading...</v>
      </c>
      <c r="L6074" s="129">
        <v>8.077482E9</v>
      </c>
      <c r="M6074" s="99">
        <v>0.55</v>
      </c>
    </row>
    <row r="6075">
      <c r="A6075" s="122" t="s">
        <v>12657</v>
      </c>
      <c r="B6075" s="123">
        <v>1104506.0</v>
      </c>
      <c r="C6075" s="124" t="s">
        <v>12658</v>
      </c>
      <c r="D6075" s="125"/>
      <c r="E6075" s="126">
        <v>28.18</v>
      </c>
      <c r="F6075" s="127"/>
      <c r="G6075" s="127"/>
      <c r="H6075" s="127"/>
      <c r="I6075" s="128"/>
      <c r="K6075" s="105" t="str">
        <f>IFERROR(__xludf.DUMMYFUNCTION("if(A6075="""","""",substitute(SUBSTITUTE(index(importhtml(""http://finviz.com/quote.ashx?t=""&amp;A6075,""table"",10),7,2),""*"",""""),""-"",""0.00""))"),"Loading...")</f>
        <v>Loading...</v>
      </c>
      <c r="L6075" s="129">
        <v>4.031487203E9</v>
      </c>
      <c r="M6075" s="99">
        <v>0.96</v>
      </c>
    </row>
    <row r="6076">
      <c r="A6076" s="122" t="s">
        <v>12659</v>
      </c>
      <c r="B6076" s="123">
        <v>1771951.0</v>
      </c>
      <c r="C6076" s="124" t="s">
        <v>12660</v>
      </c>
      <c r="D6076" s="125"/>
      <c r="E6076" s="126">
        <v>28.19</v>
      </c>
      <c r="F6076" s="127"/>
      <c r="G6076" s="127"/>
      <c r="H6076" s="127"/>
      <c r="I6076" s="128"/>
      <c r="K6076" s="105" t="str">
        <f>IFERROR(__xludf.DUMMYFUNCTION("if(A6076="""","""",substitute(SUBSTITUTE(index(importhtml(""http://finviz.com/quote.ashx?t=""&amp;A6076,""table"",10),7,2),""*"",""""),""-"",""0.00""))"),"Loading...")</f>
        <v>Loading...</v>
      </c>
      <c r="L6076" s="129" t="e">
        <v>#N/A</v>
      </c>
      <c r="M6076" s="99" t="str">
        <f>IFERROR(__xludf.DUMMYFUNCTION("GOOGLEFINANCE(A6076,""beta"")"),"#N/A")</f>
        <v>#N/A</v>
      </c>
    </row>
    <row r="6077">
      <c r="A6077" s="122" t="s">
        <v>12661</v>
      </c>
      <c r="B6077" s="123">
        <v>37472.0</v>
      </c>
      <c r="C6077" s="124" t="s">
        <v>12662</v>
      </c>
      <c r="D6077" s="125"/>
      <c r="E6077" s="126">
        <v>28.2</v>
      </c>
      <c r="F6077" s="127"/>
      <c r="G6077" s="127"/>
      <c r="H6077" s="127"/>
      <c r="I6077" s="128"/>
      <c r="K6077" s="105" t="str">
        <f>IFERROR(__xludf.DUMMYFUNCTION("if(A6077="""","""",substitute(SUBSTITUTE(index(importhtml(""http://finviz.com/quote.ashx?t=""&amp;A6077,""table"",10),7,2),""*"",""""),""-"",""0.00""))"),"Loading...")</f>
        <v>Loading...</v>
      </c>
      <c r="L6077" s="129">
        <v>1.46682557E8</v>
      </c>
      <c r="M6077" s="99">
        <v>0.47</v>
      </c>
    </row>
    <row r="6078">
      <c r="A6078" s="122" t="s">
        <v>12663</v>
      </c>
      <c r="B6078" s="123">
        <v>888491.0</v>
      </c>
      <c r="C6078" s="124" t="s">
        <v>12664</v>
      </c>
      <c r="D6078" s="125"/>
      <c r="E6078" s="126">
        <v>28.2</v>
      </c>
      <c r="F6078" s="127"/>
      <c r="G6078" s="127"/>
      <c r="H6078" s="127"/>
      <c r="I6078" s="128"/>
      <c r="K6078" s="105" t="str">
        <f>IFERROR(__xludf.DUMMYFUNCTION("if(A6078="""","""",substitute(SUBSTITUTE(index(importhtml(""http://finviz.com/quote.ashx?t=""&amp;A6078,""table"",10),7,2),""*"",""""),""-"",""0.00""))"),"#REF!")</f>
        <v>#REF!</v>
      </c>
      <c r="L6078" s="129">
        <v>6.908816886E9</v>
      </c>
      <c r="M6078" s="99">
        <v>0.93</v>
      </c>
    </row>
    <row r="6079">
      <c r="A6079" s="122" t="s">
        <v>12665</v>
      </c>
      <c r="B6079" s="123">
        <v>811808.0</v>
      </c>
      <c r="C6079" s="124" t="s">
        <v>12666</v>
      </c>
      <c r="D6079" s="125"/>
      <c r="E6079" s="126">
        <v>28.27</v>
      </c>
      <c r="F6079" s="127"/>
      <c r="G6079" s="127"/>
      <c r="H6079" s="127"/>
      <c r="I6079" s="128"/>
      <c r="K6079" s="105" t="str">
        <f>IFERROR(__xludf.DUMMYFUNCTION("if(A6079="""","""",substitute(SUBSTITUTE(index(importhtml(""http://finviz.com/quote.ashx?t=""&amp;A6079,""table"",10),7,2),""*"",""""),""-"",""0.00""))"),"Loading...")</f>
        <v>Loading...</v>
      </c>
      <c r="L6079" s="129">
        <v>4.15101138E8</v>
      </c>
      <c r="M6079" s="99">
        <v>0.4</v>
      </c>
    </row>
    <row r="6080">
      <c r="A6080" s="122" t="s">
        <v>12667</v>
      </c>
      <c r="B6080" s="123">
        <v>726601.0</v>
      </c>
      <c r="C6080" s="124" t="s">
        <v>12668</v>
      </c>
      <c r="D6080" s="125"/>
      <c r="E6080" s="126">
        <v>28.3</v>
      </c>
      <c r="F6080" s="127"/>
      <c r="G6080" s="127"/>
      <c r="H6080" s="127"/>
      <c r="I6080" s="128"/>
      <c r="K6080" s="105" t="str">
        <f>IFERROR(__xludf.DUMMYFUNCTION("if(A6080="""","""",substitute(SUBSTITUTE(index(importhtml(""http://finviz.com/quote.ashx?t=""&amp;A6080,""table"",10),7,2),""*"",""""),""-"",""0.00""))"),"Loading...")</f>
        <v>Loading...</v>
      </c>
      <c r="L6080" s="129">
        <v>4.79912802E8</v>
      </c>
      <c r="M6080" s="99">
        <v>0.54</v>
      </c>
    </row>
    <row r="6081">
      <c r="A6081" s="122" t="s">
        <v>12669</v>
      </c>
      <c r="B6081" s="123">
        <v>3545.0</v>
      </c>
      <c r="C6081" s="124" t="s">
        <v>12670</v>
      </c>
      <c r="D6081" s="125"/>
      <c r="E6081" s="126">
        <v>28.32</v>
      </c>
      <c r="F6081" s="127"/>
      <c r="G6081" s="127"/>
      <c r="H6081" s="127"/>
      <c r="I6081" s="128"/>
      <c r="K6081" s="105" t="str">
        <f>IFERROR(__xludf.DUMMYFUNCTION("if(A6081="""","""",substitute(SUBSTITUTE(index(importhtml(""http://finviz.com/quote.ashx?t=""&amp;A6081,""table"",10),7,2),""*"",""""),""-"",""0.00""))"),"Loading...")</f>
        <v>Loading...</v>
      </c>
      <c r="L6081" s="129">
        <v>2.15687411E8</v>
      </c>
      <c r="M6081" s="99">
        <v>0.88</v>
      </c>
    </row>
    <row r="6082">
      <c r="A6082" s="122" t="s">
        <v>12671</v>
      </c>
      <c r="B6082" s="123">
        <v>1915760.0</v>
      </c>
      <c r="C6082" s="124" t="s">
        <v>12672</v>
      </c>
      <c r="D6082" s="125"/>
      <c r="E6082" s="126">
        <v>28.32</v>
      </c>
      <c r="F6082" s="127"/>
      <c r="G6082" s="127"/>
      <c r="H6082" s="127"/>
      <c r="I6082" s="128"/>
      <c r="K6082" s="105" t="str">
        <f>IFERROR(__xludf.DUMMYFUNCTION("if(A6082="""","""",substitute(SUBSTITUTE(index(importhtml(""http://finviz.com/quote.ashx?t=""&amp;A6082,""table"",10),7,2),""*"",""""),""-"",""0.00""))"),"#N/A")</f>
        <v>#N/A</v>
      </c>
      <c r="L6082" s="129">
        <v>3.0469974471E10</v>
      </c>
      <c r="M6082" s="99">
        <f>IFERROR(__xludf.DUMMYFUNCTION("GOOGLEFINANCE(A6082,""beta"")"),1.2)</f>
        <v>1.2</v>
      </c>
    </row>
    <row r="6083">
      <c r="A6083" s="122" t="s">
        <v>12673</v>
      </c>
      <c r="B6083" s="123">
        <v>1791706.0</v>
      </c>
      <c r="C6083" s="124" t="s">
        <v>10954</v>
      </c>
      <c r="D6083" s="125"/>
      <c r="E6083" s="126">
        <v>28.34</v>
      </c>
      <c r="F6083" s="127"/>
      <c r="G6083" s="127"/>
      <c r="H6083" s="127"/>
      <c r="I6083" s="128"/>
      <c r="K6083" s="55" t="s">
        <v>1034</v>
      </c>
      <c r="L6083" s="129">
        <v>2.8816253855E10</v>
      </c>
      <c r="M6083" s="99">
        <v>0.9</v>
      </c>
    </row>
    <row r="6084">
      <c r="A6084" s="122" t="s">
        <v>12674</v>
      </c>
      <c r="B6084" s="123">
        <v>1140625.0</v>
      </c>
      <c r="C6084" s="124" t="s">
        <v>12675</v>
      </c>
      <c r="D6084" s="125"/>
      <c r="E6084" s="126">
        <v>28.34</v>
      </c>
      <c r="F6084" s="127"/>
      <c r="G6084" s="127"/>
      <c r="H6084" s="127"/>
      <c r="I6084" s="128"/>
      <c r="K6084" s="105" t="str">
        <f>IFERROR(__xludf.DUMMYFUNCTION("if(A6084="""","""",substitute(SUBSTITUTE(index(importhtml(""http://finviz.com/quote.ashx?t=""&amp;A6084,""table"",10),7,2),""*"",""""),""-"",""0.00""))"),"Loading...")</f>
        <v>Loading...</v>
      </c>
      <c r="L6084" s="129">
        <v>8.6128519563E10</v>
      </c>
      <c r="M6084" s="99">
        <v>0.89</v>
      </c>
    </row>
    <row r="6085">
      <c r="A6085" s="122" t="s">
        <v>12676</v>
      </c>
      <c r="B6085" s="123">
        <v>936528.0</v>
      </c>
      <c r="C6085" s="124" t="s">
        <v>12677</v>
      </c>
      <c r="D6085" s="125"/>
      <c r="E6085" s="126">
        <v>28.36</v>
      </c>
      <c r="F6085" s="127"/>
      <c r="G6085" s="127"/>
      <c r="H6085" s="127"/>
      <c r="I6085" s="128"/>
      <c r="K6085" s="105" t="str">
        <f>IFERROR(__xludf.DUMMYFUNCTION("if(A6085="""","""",substitute(SUBSTITUTE(index(importhtml(""http://finviz.com/quote.ashx?t=""&amp;A6085,""table"",10),7,2),""*"",""""),""-"",""0.00""))"),"Loading...")</f>
        <v>Loading...</v>
      </c>
      <c r="L6085" s="129">
        <v>1.83593909E9</v>
      </c>
      <c r="M6085" s="99">
        <v>0.87</v>
      </c>
    </row>
    <row r="6086">
      <c r="A6086" s="122" t="s">
        <v>12678</v>
      </c>
      <c r="B6086" s="123">
        <v>1423902.0</v>
      </c>
      <c r="C6086" s="124" t="s">
        <v>12679</v>
      </c>
      <c r="D6086" s="125"/>
      <c r="E6086" s="126">
        <v>28.41</v>
      </c>
      <c r="F6086" s="127"/>
      <c r="G6086" s="127"/>
      <c r="H6086" s="127"/>
      <c r="I6086" s="128"/>
      <c r="K6086" s="105" t="str">
        <f>IFERROR(__xludf.DUMMYFUNCTION("if(A6086="""","""",substitute(SUBSTITUTE(index(importhtml(""http://finviz.com/quote.ashx?t=""&amp;A6086,""table"",10),7,2),""*"",""""),""-"",""0.00""))"),"Loading...")</f>
        <v>Loading...</v>
      </c>
      <c r="L6086" s="129">
        <v>1.0782063707E10</v>
      </c>
      <c r="M6086" s="99">
        <v>2.83</v>
      </c>
    </row>
    <row r="6087">
      <c r="A6087" s="122" t="s">
        <v>12680</v>
      </c>
      <c r="B6087" s="123">
        <v>895456.0</v>
      </c>
      <c r="C6087" s="124" t="s">
        <v>12681</v>
      </c>
      <c r="D6087" s="125"/>
      <c r="E6087" s="126">
        <v>28.45</v>
      </c>
      <c r="F6087" s="127"/>
      <c r="G6087" s="127"/>
      <c r="H6087" s="127"/>
      <c r="I6087" s="128"/>
      <c r="K6087" s="105" t="str">
        <f>IFERROR(__xludf.DUMMYFUNCTION("if(A6087="""","""",substitute(SUBSTITUTE(index(importhtml(""http://finviz.com/quote.ashx?t=""&amp;A6087,""table"",10),7,2),""*"",""""),""-"",""0.00""))"),"Loading...")</f>
        <v>Loading...</v>
      </c>
      <c r="L6087" s="129">
        <v>2.09899269E8</v>
      </c>
      <c r="M6087" s="99">
        <v>2.02</v>
      </c>
    </row>
    <row r="6088">
      <c r="A6088" s="122" t="s">
        <v>12682</v>
      </c>
      <c r="B6088" s="123">
        <v>1628171.0</v>
      </c>
      <c r="C6088" s="124" t="s">
        <v>12683</v>
      </c>
      <c r="D6088" s="125"/>
      <c r="E6088" s="126">
        <v>28.46</v>
      </c>
      <c r="F6088" s="127"/>
      <c r="G6088" s="127"/>
      <c r="H6088" s="127"/>
      <c r="I6088" s="128"/>
      <c r="K6088" s="105" t="str">
        <f>IFERROR(__xludf.DUMMYFUNCTION("if(A6088="""","""",substitute(SUBSTITUTE(index(importhtml(""http://finviz.com/quote.ashx?t=""&amp;A6088,""table"",10),7,2),""*"",""""),""-"",""0.00""))"),"Loading...")</f>
        <v>Loading...</v>
      </c>
      <c r="L6088" s="129">
        <v>4.661645394E9</v>
      </c>
      <c r="M6088" s="99">
        <v>1.54</v>
      </c>
    </row>
    <row r="6089">
      <c r="A6089" s="122" t="s">
        <v>12684</v>
      </c>
      <c r="B6089" s="123">
        <v>1866411.0</v>
      </c>
      <c r="C6089" s="124" t="s">
        <v>12685</v>
      </c>
      <c r="D6089" s="125"/>
      <c r="E6089" s="126">
        <v>28.46</v>
      </c>
      <c r="F6089" s="127"/>
      <c r="G6089" s="127"/>
      <c r="H6089" s="127"/>
      <c r="I6089" s="128"/>
      <c r="K6089" s="105" t="str">
        <f>IFERROR(__xludf.DUMMYFUNCTION("if(A6089="""","""",substitute(SUBSTITUTE(index(importhtml(""http://finviz.com/quote.ashx?t=""&amp;A6089,""table"",10),7,2),""*"",""""),""-"",""0.00""))"),"Loading...")</f>
        <v>Loading...</v>
      </c>
      <c r="L6089" s="129" t="e">
        <v>#N/A</v>
      </c>
      <c r="M6089" s="99">
        <v>0.6</v>
      </c>
    </row>
    <row r="6090">
      <c r="A6090" s="122" t="s">
        <v>12686</v>
      </c>
      <c r="B6090" s="123">
        <v>1013272.0</v>
      </c>
      <c r="C6090" s="124" t="s">
        <v>12687</v>
      </c>
      <c r="D6090" s="125"/>
      <c r="E6090" s="126">
        <v>28.49</v>
      </c>
      <c r="F6090" s="127"/>
      <c r="G6090" s="127"/>
      <c r="H6090" s="127"/>
      <c r="I6090" s="128"/>
      <c r="K6090" s="105" t="str">
        <f>IFERROR(__xludf.DUMMYFUNCTION("if(A6090="""","""",substitute(SUBSTITUTE(index(importhtml(""http://finviz.com/quote.ashx?t=""&amp;A6090,""table"",10),7,2),""*"",""""),""-"",""0.00""))"),"Loading...")</f>
        <v>Loading...</v>
      </c>
      <c r="L6090" s="129">
        <v>2.29895722E8</v>
      </c>
      <c r="M6090" s="99">
        <v>0.64</v>
      </c>
    </row>
    <row r="6091">
      <c r="A6091" s="122" t="s">
        <v>12688</v>
      </c>
      <c r="B6091" s="123">
        <v>1395064.0</v>
      </c>
      <c r="C6091" s="124" t="s">
        <v>10259</v>
      </c>
      <c r="D6091" s="125"/>
      <c r="E6091" s="126">
        <v>28.49</v>
      </c>
      <c r="F6091" s="127"/>
      <c r="G6091" s="127"/>
      <c r="H6091" s="127"/>
      <c r="I6091" s="128"/>
      <c r="K6091" s="105" t="str">
        <f>IFERROR(__xludf.DUMMYFUNCTION("if(A6091="""","""",substitute(SUBSTITUTE(index(importhtml(""http://finviz.com/quote.ashx?t=""&amp;A6091,""table"",10),7,2),""*"",""""),""-"",""0.00""))"),"Loading...")</f>
        <v>Loading...</v>
      </c>
      <c r="L6091" s="129">
        <v>4.6067536178E10</v>
      </c>
      <c r="M6091" s="99">
        <v>0.57</v>
      </c>
    </row>
    <row r="6092">
      <c r="A6092" s="122" t="s">
        <v>12689</v>
      </c>
      <c r="B6092" s="123">
        <v>1819790.0</v>
      </c>
      <c r="C6092" s="124" t="s">
        <v>12690</v>
      </c>
      <c r="D6092" s="125"/>
      <c r="E6092" s="126">
        <v>28.54</v>
      </c>
      <c r="F6092" s="127"/>
      <c r="G6092" s="127"/>
      <c r="H6092" s="127"/>
      <c r="I6092" s="128"/>
      <c r="K6092" s="105" t="str">
        <f>IFERROR(__xludf.DUMMYFUNCTION("if(A6092="""","""",substitute(SUBSTITUTE(index(importhtml(""http://finviz.com/quote.ashx?t=""&amp;A6092,""table"",10),7,2),""*"",""""),""-"",""0.00""))"),"Loading...")</f>
        <v>Loading...</v>
      </c>
      <c r="L6092" s="129">
        <v>9.44805599E8</v>
      </c>
      <c r="M6092" s="99">
        <v>0.93</v>
      </c>
    </row>
    <row r="6093">
      <c r="A6093" s="122" t="s">
        <v>12691</v>
      </c>
      <c r="B6093" s="123">
        <v>1281895.0</v>
      </c>
      <c r="C6093" s="124" t="s">
        <v>12692</v>
      </c>
      <c r="D6093" s="125"/>
      <c r="E6093" s="126">
        <v>28.55</v>
      </c>
      <c r="F6093" s="127"/>
      <c r="G6093" s="127"/>
      <c r="H6093" s="127"/>
      <c r="I6093" s="128"/>
      <c r="K6093" s="105" t="str">
        <f>IFERROR(__xludf.DUMMYFUNCTION("if(A6093="""","""",substitute(SUBSTITUTE(index(importhtml(""http://finviz.com/quote.ashx?t=""&amp;A6093,""table"",10),7,2),""*"",""""),""-"",""0.00""))"),"Loading...")</f>
        <v>Loading...</v>
      </c>
      <c r="L6093" s="129">
        <v>2.574036811E9</v>
      </c>
      <c r="M6093" s="99">
        <v>1.11</v>
      </c>
    </row>
    <row r="6094">
      <c r="A6094" s="122" t="s">
        <v>12693</v>
      </c>
      <c r="B6094" s="123">
        <v>318300.0</v>
      </c>
      <c r="C6094" s="124" t="s">
        <v>12694</v>
      </c>
      <c r="D6094" s="125"/>
      <c r="E6094" s="126">
        <v>28.61</v>
      </c>
      <c r="F6094" s="127"/>
      <c r="G6094" s="127"/>
      <c r="H6094" s="127"/>
      <c r="I6094" s="128"/>
      <c r="K6094" s="105" t="str">
        <f>IFERROR(__xludf.DUMMYFUNCTION("if(A6094="""","""",substitute(SUBSTITUTE(index(importhtml(""http://finviz.com/quote.ashx?t=""&amp;A6094,""table"",10),7,2),""*"",""""),""-"",""0.00""))"),"Loading...")</f>
        <v>Loading...</v>
      </c>
      <c r="L6094" s="129">
        <v>1.007778402E9</v>
      </c>
      <c r="M6094" s="99">
        <v>0.77</v>
      </c>
    </row>
    <row r="6095">
      <c r="A6095" s="122" t="s">
        <v>12695</v>
      </c>
      <c r="B6095" s="123">
        <v>1736035.0</v>
      </c>
      <c r="C6095" s="124" t="s">
        <v>12696</v>
      </c>
      <c r="D6095" s="125"/>
      <c r="E6095" s="126">
        <v>28.61</v>
      </c>
      <c r="F6095" s="127"/>
      <c r="G6095" s="127"/>
      <c r="H6095" s="127"/>
      <c r="I6095" s="128"/>
      <c r="K6095" s="105" t="str">
        <f>IFERROR(__xludf.DUMMYFUNCTION("if(A6095="""","""",substitute(SUBSTITUTE(index(importhtml(""http://finviz.com/quote.ashx?t=""&amp;A6095,""table"",10),7,2),""*"",""""),""-"",""0.00""))"),"Loading...")</f>
        <v>Loading...</v>
      </c>
      <c r="L6095" s="129">
        <v>5.239973109E9</v>
      </c>
      <c r="M6095" s="99">
        <f>IFERROR(__xludf.DUMMYFUNCTION("GOOGLEFINANCE(A6095,""beta"")"),0.39)</f>
        <v>0.39</v>
      </c>
    </row>
    <row r="6096">
      <c r="A6096" s="122" t="s">
        <v>12697</v>
      </c>
      <c r="B6096" s="123">
        <v>1547158.0</v>
      </c>
      <c r="C6096" s="124" t="s">
        <v>12698</v>
      </c>
      <c r="D6096" s="125"/>
      <c r="E6096" s="126">
        <v>28.63</v>
      </c>
      <c r="F6096" s="127"/>
      <c r="G6096" s="127"/>
      <c r="H6096" s="127"/>
      <c r="I6096" s="128"/>
      <c r="K6096" s="105" t="str">
        <f>IFERROR(__xludf.DUMMYFUNCTION("if(A6096="""","""",substitute(SUBSTITUTE(index(importhtml(""http://finviz.com/quote.ashx?t=""&amp;A6096,""table"",10),7,2),""*"",""""),""-"",""0.00""))"),"Loading...")</f>
        <v>Loading...</v>
      </c>
      <c r="L6096" s="129" t="e">
        <v>#N/A</v>
      </c>
      <c r="M6096" s="99">
        <v>1.53</v>
      </c>
    </row>
    <row r="6097">
      <c r="A6097" s="122" t="s">
        <v>12699</v>
      </c>
      <c r="B6097" s="123">
        <v>866291.0</v>
      </c>
      <c r="C6097" s="124" t="s">
        <v>12700</v>
      </c>
      <c r="D6097" s="125"/>
      <c r="E6097" s="126">
        <v>28.66</v>
      </c>
      <c r="F6097" s="127"/>
      <c r="G6097" s="127"/>
      <c r="H6097" s="127"/>
      <c r="I6097" s="128"/>
      <c r="K6097" s="105" t="str">
        <f>IFERROR(__xludf.DUMMYFUNCTION("if(A6097="""","""",substitute(SUBSTITUTE(index(importhtml(""http://finviz.com/quote.ashx?t=""&amp;A6097,""table"",10),7,2),""*"",""""),""-"",""0.00""))"),"Loading...")</f>
        <v>Loading...</v>
      </c>
      <c r="L6097" s="129">
        <v>5.516299078E9</v>
      </c>
      <c r="M6097" s="99">
        <v>1.8</v>
      </c>
    </row>
    <row r="6098">
      <c r="A6098" s="122" t="s">
        <v>12701</v>
      </c>
      <c r="B6098" s="123">
        <v>928876.0</v>
      </c>
      <c r="C6098" s="124" t="s">
        <v>12702</v>
      </c>
      <c r="D6098" s="125"/>
      <c r="E6098" s="126">
        <v>28.68</v>
      </c>
      <c r="F6098" s="127"/>
      <c r="G6098" s="127"/>
      <c r="H6098" s="127"/>
      <c r="I6098" s="128"/>
      <c r="K6098" s="105" t="str">
        <f>IFERROR(__xludf.DUMMYFUNCTION("if(A6098="""","""",substitute(SUBSTITUTE(index(importhtml(""http://finviz.com/quote.ashx?t=""&amp;A6098,""table"",10),7,2),""*"",""""),""-"",""0.00""))"),"Loading...")</f>
        <v>Loading...</v>
      </c>
      <c r="L6098" s="129">
        <v>3.158327673E9</v>
      </c>
      <c r="M6098" s="99">
        <v>0.94</v>
      </c>
    </row>
    <row r="6099">
      <c r="A6099" s="122" t="s">
        <v>12703</v>
      </c>
      <c r="B6099" s="123">
        <v>47217.0</v>
      </c>
      <c r="C6099" s="124" t="s">
        <v>12704</v>
      </c>
      <c r="D6099" s="125"/>
      <c r="E6099" s="126">
        <v>28.68</v>
      </c>
      <c r="F6099" s="127"/>
      <c r="G6099" s="127"/>
      <c r="H6099" s="127"/>
      <c r="I6099" s="128"/>
      <c r="K6099" s="105" t="str">
        <f>IFERROR(__xludf.DUMMYFUNCTION("if(A6099="""","""",substitute(SUBSTITUTE(index(importhtml(""http://finviz.com/quote.ashx?t=""&amp;A6099,""table"",10),7,2),""*"",""""),""-"",""0.00""))"),"Loading...")</f>
        <v>Loading...</v>
      </c>
      <c r="L6099" s="129">
        <v>2.8419084002E10</v>
      </c>
      <c r="M6099" s="99">
        <v>1.04</v>
      </c>
    </row>
    <row r="6100">
      <c r="A6100" s="122" t="s">
        <v>12705</v>
      </c>
      <c r="B6100" s="123">
        <v>1314102.0</v>
      </c>
      <c r="C6100" s="124" t="s">
        <v>12706</v>
      </c>
      <c r="D6100" s="125"/>
      <c r="E6100" s="126">
        <v>28.7</v>
      </c>
      <c r="F6100" s="127"/>
      <c r="G6100" s="127"/>
      <c r="H6100" s="127"/>
      <c r="I6100" s="128"/>
      <c r="K6100" s="105" t="str">
        <f>IFERROR(__xludf.DUMMYFUNCTION("if(A6100="""","""",substitute(SUBSTITUTE(index(importhtml(""http://finviz.com/quote.ashx?t=""&amp;A6100,""table"",10),7,2),""*"",""""),""-"",""0.00""))"),"Loading...")</f>
        <v>Loading...</v>
      </c>
      <c r="L6100" s="129">
        <v>1.401674171E9</v>
      </c>
      <c r="M6100" s="99">
        <v>1.71</v>
      </c>
    </row>
    <row r="6101">
      <c r="A6101" s="122" t="s">
        <v>12707</v>
      </c>
      <c r="B6101" s="123">
        <v>1283464.0</v>
      </c>
      <c r="C6101" s="124" t="s">
        <v>12708</v>
      </c>
      <c r="D6101" s="125"/>
      <c r="E6101" s="126">
        <v>28.74</v>
      </c>
      <c r="F6101" s="127"/>
      <c r="G6101" s="127"/>
      <c r="H6101" s="127"/>
      <c r="I6101" s="128"/>
      <c r="K6101" s="105" t="str">
        <f>IFERROR(__xludf.DUMMYFUNCTION("if(A6101="""","""",substitute(SUBSTITUTE(index(importhtml(""http://finviz.com/quote.ashx?t=""&amp;A6101,""table"",10),7,2),""*"",""""),""-"",""0.00""))"),"Loading...")</f>
        <v>Loading...</v>
      </c>
      <c r="L6101" s="129" t="e">
        <v>#N/A</v>
      </c>
      <c r="M6101" s="99">
        <v>0.21</v>
      </c>
    </row>
    <row r="6102">
      <c r="A6102" s="122" t="s">
        <v>12709</v>
      </c>
      <c r="B6102" s="123">
        <v>315852.0</v>
      </c>
      <c r="C6102" s="124" t="s">
        <v>12710</v>
      </c>
      <c r="D6102" s="125"/>
      <c r="E6102" s="126">
        <v>28.8</v>
      </c>
      <c r="F6102" s="127"/>
      <c r="G6102" s="127"/>
      <c r="H6102" s="127"/>
      <c r="I6102" s="128"/>
      <c r="K6102" s="105" t="str">
        <f>IFERROR(__xludf.DUMMYFUNCTION("if(A6102="""","""",substitute(SUBSTITUTE(index(importhtml(""http://finviz.com/quote.ashx?t=""&amp;A6102,""table"",10),7,2),""*"",""""),""-"",""0.00""))"),"Loading...")</f>
        <v>Loading...</v>
      </c>
      <c r="L6102" s="129">
        <v>6.949578055E9</v>
      </c>
      <c r="M6102" s="99">
        <v>1.82</v>
      </c>
    </row>
    <row r="6103">
      <c r="A6103" s="122" t="s">
        <v>12711</v>
      </c>
      <c r="B6103" s="123">
        <v>18498.0</v>
      </c>
      <c r="C6103" s="124" t="s">
        <v>12712</v>
      </c>
      <c r="D6103" s="125"/>
      <c r="E6103" s="126">
        <v>28.81</v>
      </c>
      <c r="F6103" s="127"/>
      <c r="G6103" s="127"/>
      <c r="H6103" s="127"/>
      <c r="I6103" s="128"/>
      <c r="K6103" s="55" t="s">
        <v>1034</v>
      </c>
      <c r="L6103" s="129">
        <v>3.30998371E8</v>
      </c>
      <c r="M6103" s="99">
        <v>2.28</v>
      </c>
    </row>
    <row r="6104">
      <c r="A6104" s="122" t="s">
        <v>12713</v>
      </c>
      <c r="B6104" s="123">
        <v>1377789.0</v>
      </c>
      <c r="C6104" s="124" t="s">
        <v>12714</v>
      </c>
      <c r="D6104" s="125"/>
      <c r="E6104" s="126">
        <v>28.81</v>
      </c>
      <c r="F6104" s="127"/>
      <c r="G6104" s="127"/>
      <c r="H6104" s="127"/>
      <c r="I6104" s="128"/>
      <c r="K6104" s="105" t="str">
        <f>IFERROR(__xludf.DUMMYFUNCTION("if(A6104="""","""",substitute(SUBSTITUTE(index(importhtml(""http://finviz.com/quote.ashx?t=""&amp;A6104,""table"",10),7,2),""*"",""""),""-"",""0.00""))"),"Loading...")</f>
        <v>Loading...</v>
      </c>
      <c r="L6104" s="129">
        <v>3.37654346E8</v>
      </c>
      <c r="M6104" s="99">
        <v>1.7</v>
      </c>
    </row>
    <row r="6105">
      <c r="A6105" s="122" t="s">
        <v>12715</v>
      </c>
      <c r="B6105" s="123">
        <v>1772253.0</v>
      </c>
      <c r="C6105" s="124" t="s">
        <v>12716</v>
      </c>
      <c r="D6105" s="125"/>
      <c r="E6105" s="126">
        <v>28.81</v>
      </c>
      <c r="F6105" s="127"/>
      <c r="G6105" s="127"/>
      <c r="H6105" s="127"/>
      <c r="I6105" s="128"/>
      <c r="K6105" s="105" t="str">
        <f>IFERROR(__xludf.DUMMYFUNCTION("if(A6105="""","""",substitute(SUBSTITUTE(index(importhtml(""http://finviz.com/quote.ashx?t=""&amp;A6105,""table"",10),7,2),""*"",""""),""-"",""0.00""))"),"Loading...")</f>
        <v>Loading...</v>
      </c>
      <c r="L6105" s="129" t="e">
        <v>#N/A</v>
      </c>
      <c r="M6105" s="99">
        <v>1.16</v>
      </c>
    </row>
    <row r="6106">
      <c r="A6106" s="122" t="s">
        <v>12717</v>
      </c>
      <c r="B6106" s="123">
        <v>873860.0</v>
      </c>
      <c r="C6106" s="124" t="s">
        <v>12718</v>
      </c>
      <c r="D6106" s="125"/>
      <c r="E6106" s="126">
        <v>28.82</v>
      </c>
      <c r="F6106" s="127"/>
      <c r="G6106" s="127"/>
      <c r="H6106" s="127"/>
      <c r="I6106" s="128"/>
      <c r="K6106" s="105" t="str">
        <f>IFERROR(__xludf.DUMMYFUNCTION("if(A6106="""","""",substitute(SUBSTITUTE(index(importhtml(""http://finviz.com/quote.ashx?t=""&amp;A6106,""table"",10),7,2),""*"",""""),""-"",""0.00""))"),"Loading...")</f>
        <v>Loading...</v>
      </c>
      <c r="L6106" s="129">
        <v>2.21251339E8</v>
      </c>
      <c r="M6106" s="99">
        <v>1.95</v>
      </c>
    </row>
    <row r="6107">
      <c r="A6107" s="122" t="s">
        <v>12719</v>
      </c>
      <c r="B6107" s="123">
        <v>203596.0</v>
      </c>
      <c r="C6107" s="124" t="s">
        <v>12720</v>
      </c>
      <c r="D6107" s="125"/>
      <c r="E6107" s="126">
        <v>28.82</v>
      </c>
      <c r="F6107" s="127"/>
      <c r="G6107" s="127"/>
      <c r="H6107" s="127"/>
      <c r="I6107" s="128"/>
      <c r="K6107" s="105" t="str">
        <f>IFERROR(__xludf.DUMMYFUNCTION("if(A6107="""","""",substitute(SUBSTITUTE(index(importhtml(""http://finviz.com/quote.ashx?t=""&amp;A6107,""table"",10),7,2),""*"",""""),""-"",""0.00""))"),"Loading...")</f>
        <v>Loading...</v>
      </c>
      <c r="L6107" s="129">
        <v>1.710992946E9</v>
      </c>
      <c r="M6107" s="99">
        <v>0.87</v>
      </c>
    </row>
    <row r="6108">
      <c r="A6108" s="122" t="s">
        <v>12721</v>
      </c>
      <c r="B6108" s="123">
        <v>854775.0</v>
      </c>
      <c r="C6108" s="124" t="s">
        <v>12722</v>
      </c>
      <c r="D6108" s="125"/>
      <c r="E6108" s="126">
        <v>28.85</v>
      </c>
      <c r="F6108" s="127"/>
      <c r="G6108" s="127"/>
      <c r="H6108" s="127"/>
      <c r="I6108" s="128"/>
      <c r="K6108" s="105" t="str">
        <f>IFERROR(__xludf.DUMMYFUNCTION("if(A6108="""","""",substitute(SUBSTITUTE(index(importhtml(""http://finviz.com/quote.ashx?t=""&amp;A6108,""table"",10),7,2),""*"",""""),""-"",""0.00""))"),"Loading...")</f>
        <v>Loading...</v>
      </c>
      <c r="L6108" s="129">
        <v>1.044325007E9</v>
      </c>
      <c r="M6108" s="99">
        <v>1.18</v>
      </c>
    </row>
    <row r="6109">
      <c r="A6109" s="122" t="s">
        <v>12723</v>
      </c>
      <c r="B6109" s="123">
        <v>939383.0</v>
      </c>
      <c r="C6109" s="124" t="s">
        <v>12724</v>
      </c>
      <c r="D6109" s="125"/>
      <c r="E6109" s="126">
        <v>28.9</v>
      </c>
      <c r="F6109" s="127"/>
      <c r="G6109" s="127"/>
      <c r="H6109" s="127"/>
      <c r="I6109" s="128"/>
      <c r="K6109" s="105" t="str">
        <f>IFERROR(__xludf.DUMMYFUNCTION("if(A6109="""","""",substitute(SUBSTITUTE(index(importhtml(""http://finviz.com/quote.ashx?t=""&amp;A6109,""table"",10),7,2),""*"",""""),""-"",""0.00""))"),"Loading...")</f>
        <v>Loading...</v>
      </c>
      <c r="L6109" s="129">
        <v>8.4345625E10</v>
      </c>
      <c r="M6109" s="99">
        <v>0.4</v>
      </c>
    </row>
    <row r="6110">
      <c r="A6110" s="122" t="s">
        <v>12725</v>
      </c>
      <c r="B6110" s="123">
        <v>1828735.0</v>
      </c>
      <c r="C6110" s="124" t="s">
        <v>12726</v>
      </c>
      <c r="D6110" s="125"/>
      <c r="E6110" s="126">
        <v>28.92</v>
      </c>
      <c r="F6110" s="127"/>
      <c r="G6110" s="127"/>
      <c r="H6110" s="127"/>
      <c r="I6110" s="128"/>
      <c r="K6110" s="105" t="str">
        <f>IFERROR(__xludf.DUMMYFUNCTION("if(A6110="""","""",substitute(SUBSTITUTE(index(importhtml(""http://finviz.com/quote.ashx?t=""&amp;A6110,""table"",10),7,2),""*"",""""),""-"",""0.00""))"),"Loading...")</f>
        <v>Loading...</v>
      </c>
      <c r="L6110" s="129" t="e">
        <v>#N/A</v>
      </c>
      <c r="M6110" s="99" t="str">
        <f>IFERROR(__xludf.DUMMYFUNCTION("GOOGLEFINANCE(A6110,""beta"")"),"#N/A")</f>
        <v>#N/A</v>
      </c>
    </row>
    <row r="6111">
      <c r="A6111" s="122" t="s">
        <v>12727</v>
      </c>
      <c r="B6111" s="123">
        <v>1471824.0</v>
      </c>
      <c r="C6111" s="124" t="s">
        <v>12728</v>
      </c>
      <c r="D6111" s="125"/>
      <c r="E6111" s="126">
        <v>28.95</v>
      </c>
      <c r="F6111" s="127"/>
      <c r="G6111" s="127"/>
      <c r="H6111" s="127"/>
      <c r="I6111" s="128"/>
      <c r="K6111" s="105" t="str">
        <f>IFERROR(__xludf.DUMMYFUNCTION("if(A6111="""","""",substitute(SUBSTITUTE(index(importhtml(""http://finviz.com/quote.ashx?t=""&amp;A6111,""table"",10),7,2),""*"",""""),""-"",""0.00""))"),"Loading...")</f>
        <v>Loading...</v>
      </c>
      <c r="L6111" s="129" t="e">
        <v>#N/A</v>
      </c>
      <c r="M6111" s="99" t="str">
        <f>IFERROR(__xludf.DUMMYFUNCTION("GOOGLEFINANCE(A6111,""beta"")"),"#N/A")</f>
        <v>#N/A</v>
      </c>
    </row>
    <row r="6112">
      <c r="A6112" s="122" t="s">
        <v>12729</v>
      </c>
      <c r="B6112" s="123">
        <v>1701605.0</v>
      </c>
      <c r="C6112" s="124" t="s">
        <v>12730</v>
      </c>
      <c r="D6112" s="125"/>
      <c r="E6112" s="126">
        <v>28.99</v>
      </c>
      <c r="F6112" s="127"/>
      <c r="G6112" s="127"/>
      <c r="H6112" s="127"/>
      <c r="I6112" s="128"/>
      <c r="K6112" s="55" t="s">
        <v>12731</v>
      </c>
      <c r="L6112" s="129">
        <v>2.8932019771E10</v>
      </c>
      <c r="M6112" s="99">
        <v>1.43</v>
      </c>
    </row>
    <row r="6113">
      <c r="A6113" s="122" t="s">
        <v>12732</v>
      </c>
      <c r="B6113" s="123">
        <v>1494904.0</v>
      </c>
      <c r="C6113" s="124" t="s">
        <v>12733</v>
      </c>
      <c r="D6113" s="125"/>
      <c r="E6113" s="126">
        <v>29.0</v>
      </c>
      <c r="F6113" s="127"/>
      <c r="G6113" s="127"/>
      <c r="H6113" s="127"/>
      <c r="I6113" s="128"/>
      <c r="K6113" s="105" t="str">
        <f>IFERROR(__xludf.DUMMYFUNCTION("if(A6113="""","""",substitute(SUBSTITUTE(index(importhtml(""http://finviz.com/quote.ashx?t=""&amp;A6113,""table"",10),7,2),""*"",""""),""-"",""0.00""))"),"Loading...")</f>
        <v>Loading...</v>
      </c>
      <c r="L6113" s="129">
        <v>3.9276846E8</v>
      </c>
      <c r="M6113" s="99">
        <v>0.28</v>
      </c>
    </row>
    <row r="6114">
      <c r="A6114" s="122" t="s">
        <v>12734</v>
      </c>
      <c r="B6114" s="123">
        <v>1526329.0</v>
      </c>
      <c r="C6114" s="124" t="s">
        <v>12735</v>
      </c>
      <c r="D6114" s="125"/>
      <c r="E6114" s="126">
        <v>29.0</v>
      </c>
      <c r="F6114" s="127"/>
      <c r="G6114" s="127"/>
      <c r="H6114" s="127"/>
      <c r="I6114" s="128"/>
      <c r="K6114" s="105" t="str">
        <f>IFERROR(__xludf.DUMMYFUNCTION("if(A6114="""","""",substitute(SUBSTITUTE(index(importhtml(""http://finviz.com/quote.ashx?t=""&amp;A6114,""table"",10),7,2),""*"",""""),""-"",""0.00""))"),"Loading...")</f>
        <v>Loading...</v>
      </c>
      <c r="L6114" s="129" t="e">
        <v>#N/A</v>
      </c>
      <c r="M6114" s="99">
        <v>1.87</v>
      </c>
    </row>
    <row r="6115">
      <c r="A6115" s="122" t="s">
        <v>12736</v>
      </c>
      <c r="B6115" s="123">
        <v>1166388.0</v>
      </c>
      <c r="C6115" s="124" t="s">
        <v>12737</v>
      </c>
      <c r="D6115" s="125"/>
      <c r="E6115" s="126">
        <v>29.06</v>
      </c>
      <c r="F6115" s="127"/>
      <c r="G6115" s="127"/>
      <c r="H6115" s="127"/>
      <c r="I6115" s="128"/>
      <c r="K6115" s="105" t="str">
        <f>IFERROR(__xludf.DUMMYFUNCTION("if(A6115="""","""",substitute(SUBSTITUTE(index(importhtml(""http://finviz.com/quote.ashx?t=""&amp;A6115,""table"",10),7,2),""*"",""""),""-"",""0.00""))"),"Loading...")</f>
        <v>Loading...</v>
      </c>
      <c r="L6115" s="129">
        <v>1.831229815E9</v>
      </c>
      <c r="M6115" s="99">
        <v>1.19</v>
      </c>
    </row>
    <row r="6116">
      <c r="A6116" s="122" t="s">
        <v>12738</v>
      </c>
      <c r="B6116" s="123">
        <v>1268533.0</v>
      </c>
      <c r="C6116" s="124" t="s">
        <v>12739</v>
      </c>
      <c r="D6116" s="125"/>
      <c r="E6116" s="126">
        <v>29.07</v>
      </c>
      <c r="F6116" s="127"/>
      <c r="G6116" s="127"/>
      <c r="H6116" s="127"/>
      <c r="I6116" s="128"/>
      <c r="K6116" s="105" t="str">
        <f>IFERROR(__xludf.DUMMYFUNCTION("if(A6116="""","""",substitute(SUBSTITUTE(index(importhtml(""http://finviz.com/quote.ashx?t=""&amp;A6116,""table"",10),7,2),""*"",""""),""-"",""0.00""))"),"Loading...")</f>
        <v>Loading...</v>
      </c>
      <c r="L6116" s="129">
        <v>3.29406701E8</v>
      </c>
      <c r="M6116" s="99">
        <v>2.09</v>
      </c>
    </row>
    <row r="6117">
      <c r="A6117" s="122" t="s">
        <v>12740</v>
      </c>
      <c r="B6117" s="123">
        <v>890926.0</v>
      </c>
      <c r="C6117" s="124" t="s">
        <v>12741</v>
      </c>
      <c r="D6117" s="125"/>
      <c r="E6117" s="126">
        <v>29.11</v>
      </c>
      <c r="F6117" s="127"/>
      <c r="G6117" s="127"/>
      <c r="H6117" s="127"/>
      <c r="I6117" s="128"/>
      <c r="K6117" s="105" t="str">
        <f>IFERROR(__xludf.DUMMYFUNCTION("if(A6117="""","""",substitute(SUBSTITUTE(index(importhtml(""http://finviz.com/quote.ashx?t=""&amp;A6117,""table"",10),7,2),""*"",""""),""-"",""0.00""))"),"Loading...")</f>
        <v>Loading...</v>
      </c>
      <c r="L6117" s="129">
        <v>4.458496426E9</v>
      </c>
      <c r="M6117" s="99">
        <v>1.02</v>
      </c>
    </row>
    <row r="6118">
      <c r="A6118" s="122" t="s">
        <v>12742</v>
      </c>
      <c r="B6118" s="123">
        <v>1338940.0</v>
      </c>
      <c r="C6118" s="124" t="s">
        <v>12743</v>
      </c>
      <c r="D6118" s="125"/>
      <c r="E6118" s="126">
        <v>29.12</v>
      </c>
      <c r="F6118" s="127"/>
      <c r="G6118" s="127"/>
      <c r="H6118" s="127"/>
      <c r="I6118" s="128"/>
      <c r="K6118" s="105" t="str">
        <f>IFERROR(__xludf.DUMMYFUNCTION("if(A6118="""","""",substitute(SUBSTITUTE(index(importhtml(""http://finviz.com/quote.ashx?t=""&amp;A6118,""table"",10),7,2),""*"",""""),""-"",""0.00""))"),"Loading...")</f>
        <v>Loading...</v>
      </c>
      <c r="L6118" s="129">
        <v>1.369789405E9</v>
      </c>
      <c r="M6118" s="99">
        <v>1.3</v>
      </c>
    </row>
    <row r="6119">
      <c r="A6119" s="122" t="s">
        <v>12744</v>
      </c>
      <c r="B6119" s="123">
        <v>1533475.0</v>
      </c>
      <c r="C6119" s="124" t="s">
        <v>12745</v>
      </c>
      <c r="D6119" s="125"/>
      <c r="E6119" s="126">
        <v>29.15</v>
      </c>
      <c r="F6119" s="127"/>
      <c r="G6119" s="127"/>
      <c r="H6119" s="127"/>
      <c r="I6119" s="128"/>
      <c r="K6119" s="105" t="str">
        <f>IFERROR(__xludf.DUMMYFUNCTION("if(A6119="""","""",substitute(SUBSTITUTE(index(importhtml(""http://finviz.com/quote.ashx?t=""&amp;A6119,""table"",10),7,2),""*"",""""),""-"",""0.00""))"),"Loading...")</f>
        <v>Loading...</v>
      </c>
      <c r="L6119" s="129">
        <v>3.745187086E9</v>
      </c>
      <c r="M6119" s="99">
        <v>1.31</v>
      </c>
    </row>
    <row r="6120">
      <c r="A6120" s="122" t="s">
        <v>12746</v>
      </c>
      <c r="B6120" s="123">
        <v>99614.0</v>
      </c>
      <c r="C6120" s="124" t="s">
        <v>12747</v>
      </c>
      <c r="D6120" s="125"/>
      <c r="E6120" s="126">
        <v>29.19</v>
      </c>
      <c r="F6120" s="127"/>
      <c r="G6120" s="127"/>
      <c r="H6120" s="127"/>
      <c r="I6120" s="128"/>
      <c r="K6120" s="55" t="s">
        <v>789</v>
      </c>
      <c r="L6120" s="129">
        <v>1.558992975E9</v>
      </c>
      <c r="M6120" s="99">
        <v>0.94</v>
      </c>
    </row>
    <row r="6121">
      <c r="A6121" s="122" t="s">
        <v>12748</v>
      </c>
      <c r="B6121" s="123">
        <v>855654.0</v>
      </c>
      <c r="C6121" s="124" t="s">
        <v>12749</v>
      </c>
      <c r="D6121" s="125"/>
      <c r="E6121" s="126">
        <v>29.26</v>
      </c>
      <c r="F6121" s="127"/>
      <c r="G6121" s="127"/>
      <c r="H6121" s="127"/>
      <c r="I6121" s="128"/>
      <c r="K6121" s="105" t="str">
        <f>IFERROR(__xludf.DUMMYFUNCTION("if(A6121="""","""",substitute(SUBSTITUTE(index(importhtml(""http://finviz.com/quote.ashx?t=""&amp;A6121,""table"",10),7,2),""*"",""""),""-"",""0.00""))"),"Loading...")</f>
        <v>Loading...</v>
      </c>
      <c r="L6121" s="129">
        <v>8.173898103E9</v>
      </c>
      <c r="M6121" s="99">
        <v>1.18</v>
      </c>
    </row>
    <row r="6122">
      <c r="A6122" s="122" t="s">
        <v>12750</v>
      </c>
      <c r="B6122" s="123">
        <v>1140625.0</v>
      </c>
      <c r="C6122" s="124" t="s">
        <v>12675</v>
      </c>
      <c r="D6122" s="125"/>
      <c r="E6122" s="126">
        <v>29.35</v>
      </c>
      <c r="F6122" s="127"/>
      <c r="G6122" s="127"/>
      <c r="H6122" s="127"/>
      <c r="I6122" s="128"/>
      <c r="K6122" s="105" t="str">
        <f>IFERROR(__xludf.DUMMYFUNCTION("if(A6122="""","""",substitute(SUBSTITUTE(index(importhtml(""http://finviz.com/quote.ashx?t=""&amp;A6122,""table"",10),7,2),""*"",""""),""-"",""0.00""))"),"Loading...")</f>
        <v>Loading...</v>
      </c>
      <c r="L6122" s="129">
        <v>8.6128519563E10</v>
      </c>
      <c r="M6122" s="99">
        <v>1.03</v>
      </c>
    </row>
    <row r="6123">
      <c r="A6123" s="122" t="s">
        <v>12751</v>
      </c>
      <c r="B6123" s="123">
        <v>796505.0</v>
      </c>
      <c r="C6123" s="124" t="s">
        <v>12752</v>
      </c>
      <c r="D6123" s="125"/>
      <c r="E6123" s="126">
        <v>29.44</v>
      </c>
      <c r="F6123" s="127"/>
      <c r="G6123" s="127"/>
      <c r="H6123" s="127"/>
      <c r="I6123" s="128"/>
      <c r="K6123" s="105" t="str">
        <f>IFERROR(__xludf.DUMMYFUNCTION("if(A6123="""","""",substitute(SUBSTITUTE(index(importhtml(""http://finviz.com/quote.ashx?t=""&amp;A6123,""table"",10),7,2),""*"",""""),""-"",""0.00""))"),"Loading...")</f>
        <v>Loading...</v>
      </c>
      <c r="L6123" s="129">
        <v>4.41292654E8</v>
      </c>
      <c r="M6123" s="99">
        <v>1.32</v>
      </c>
    </row>
    <row r="6124">
      <c r="A6124" s="122" t="s">
        <v>12753</v>
      </c>
      <c r="B6124" s="123">
        <v>23217.0</v>
      </c>
      <c r="C6124" s="124" t="s">
        <v>12754</v>
      </c>
      <c r="D6124" s="125"/>
      <c r="E6124" s="126">
        <v>29.46</v>
      </c>
      <c r="F6124" s="127"/>
      <c r="G6124" s="127"/>
      <c r="H6124" s="127"/>
      <c r="I6124" s="128"/>
      <c r="K6124" s="55" t="s">
        <v>7401</v>
      </c>
      <c r="L6124" s="129">
        <v>1.4082026862E10</v>
      </c>
      <c r="M6124" s="99">
        <v>0.44</v>
      </c>
    </row>
    <row r="6125">
      <c r="A6125" s="122" t="s">
        <v>12755</v>
      </c>
      <c r="B6125" s="123">
        <v>706863.0</v>
      </c>
      <c r="C6125" s="124" t="s">
        <v>12756</v>
      </c>
      <c r="D6125" s="125"/>
      <c r="E6125" s="126">
        <v>29.48</v>
      </c>
      <c r="F6125" s="127"/>
      <c r="G6125" s="127"/>
      <c r="H6125" s="127"/>
      <c r="I6125" s="128"/>
      <c r="K6125" s="105" t="str">
        <f>IFERROR(__xludf.DUMMYFUNCTION("if(A6125="""","""",substitute(SUBSTITUTE(index(importhtml(""http://finviz.com/quote.ashx?t=""&amp;A6125,""table"",10),7,2),""*"",""""),""-"",""0.00""))"),"Loading...")</f>
        <v>Loading...</v>
      </c>
      <c r="L6125" s="129">
        <v>1.32872814E8</v>
      </c>
      <c r="M6125" s="99">
        <v>0.86</v>
      </c>
    </row>
    <row r="6126">
      <c r="A6126" s="122" t="s">
        <v>12757</v>
      </c>
      <c r="B6126" s="123">
        <v>935036.0</v>
      </c>
      <c r="C6126" s="124" t="s">
        <v>12758</v>
      </c>
      <c r="D6126" s="125"/>
      <c r="E6126" s="126">
        <v>29.48</v>
      </c>
      <c r="F6126" s="127"/>
      <c r="G6126" s="127"/>
      <c r="H6126" s="127"/>
      <c r="I6126" s="128"/>
      <c r="K6126" s="105" t="str">
        <f>IFERROR(__xludf.DUMMYFUNCTION("if(A6126="""","""",substitute(SUBSTITUTE(index(importhtml(""http://finviz.com/quote.ashx?t=""&amp;A6126,""table"",10),7,2),""*"",""""),""-"",""0.00""))"),"Loading...")</f>
        <v>Loading...</v>
      </c>
      <c r="L6126" s="129">
        <v>3.20513925E9</v>
      </c>
      <c r="M6126" s="99">
        <v>1.24</v>
      </c>
    </row>
    <row r="6127">
      <c r="A6127" s="122" t="s">
        <v>12759</v>
      </c>
      <c r="B6127" s="123">
        <v>1675149.0</v>
      </c>
      <c r="C6127" s="124" t="s">
        <v>12760</v>
      </c>
      <c r="D6127" s="125"/>
      <c r="E6127" s="126">
        <v>29.49</v>
      </c>
      <c r="F6127" s="127"/>
      <c r="G6127" s="127"/>
      <c r="H6127" s="127"/>
      <c r="I6127" s="128"/>
      <c r="K6127" s="138" t="s">
        <v>8873</v>
      </c>
      <c r="L6127" s="129" t="e">
        <v>#N/A</v>
      </c>
      <c r="M6127" s="99">
        <f>IFERROR(__xludf.DUMMYFUNCTION("GOOGLEFINANCE(A6127,""beta"")"),2.26)</f>
        <v>2.26</v>
      </c>
    </row>
    <row r="6128">
      <c r="A6128" s="122" t="s">
        <v>12761</v>
      </c>
      <c r="B6128" s="123">
        <v>850209.0</v>
      </c>
      <c r="C6128" s="124" t="s">
        <v>12762</v>
      </c>
      <c r="D6128" s="125"/>
      <c r="E6128" s="126">
        <v>29.51</v>
      </c>
      <c r="F6128" s="127"/>
      <c r="G6128" s="127"/>
      <c r="H6128" s="127"/>
      <c r="I6128" s="128"/>
      <c r="K6128" s="138" t="s">
        <v>9486</v>
      </c>
      <c r="L6128" s="129">
        <v>2.778714739E9</v>
      </c>
      <c r="M6128" s="99">
        <v>1.41</v>
      </c>
    </row>
    <row r="6129">
      <c r="A6129" s="122" t="s">
        <v>12763</v>
      </c>
      <c r="B6129" s="123">
        <v>1754301.0</v>
      </c>
      <c r="C6129" s="124" t="s">
        <v>12764</v>
      </c>
      <c r="D6129" s="125"/>
      <c r="E6129" s="126">
        <v>29.56</v>
      </c>
      <c r="F6129" s="127"/>
      <c r="G6129" s="127"/>
      <c r="H6129" s="127"/>
      <c r="I6129" s="128"/>
      <c r="K6129" s="55" t="s">
        <v>10055</v>
      </c>
      <c r="L6129" s="129">
        <v>1.4823948064E10</v>
      </c>
      <c r="M6129" s="99">
        <v>0.88</v>
      </c>
    </row>
    <row r="6130">
      <c r="A6130" s="122" t="s">
        <v>12765</v>
      </c>
      <c r="B6130" s="123">
        <v>1712356.0</v>
      </c>
      <c r="C6130" s="124" t="s">
        <v>12766</v>
      </c>
      <c r="D6130" s="125"/>
      <c r="E6130" s="126">
        <v>29.56</v>
      </c>
      <c r="F6130" s="127"/>
      <c r="G6130" s="127"/>
      <c r="H6130" s="127"/>
      <c r="I6130" s="128"/>
      <c r="K6130" s="105" t="str">
        <f>IFERROR(__xludf.DUMMYFUNCTION("if(A6130="""","""",substitute(SUBSTITUTE(index(importhtml(""http://finviz.com/quote.ashx?t=""&amp;A6130,""table"",10),7,2),""*"",""""),""-"",""0.00""))"),"Loading...")</f>
        <v>Loading...</v>
      </c>
      <c r="L6130" s="129">
        <v>2.4106855461E10</v>
      </c>
      <c r="M6130" s="99">
        <v>0.57</v>
      </c>
    </row>
    <row r="6131">
      <c r="A6131" s="122" t="s">
        <v>12767</v>
      </c>
      <c r="B6131" s="123">
        <v>925683.0</v>
      </c>
      <c r="C6131" s="124" t="s">
        <v>12768</v>
      </c>
      <c r="D6131" s="125"/>
      <c r="E6131" s="126">
        <v>29.62</v>
      </c>
      <c r="F6131" s="127"/>
      <c r="G6131" s="127"/>
      <c r="H6131" s="127"/>
      <c r="I6131" s="128"/>
      <c r="K6131" s="55" t="s">
        <v>9964</v>
      </c>
      <c r="L6131" s="129">
        <v>5.83117404E8</v>
      </c>
      <c r="M6131" s="99">
        <v>1.44</v>
      </c>
    </row>
    <row r="6132">
      <c r="A6132" s="122" t="s">
        <v>12769</v>
      </c>
      <c r="B6132" s="123">
        <v>1584509.0</v>
      </c>
      <c r="C6132" s="124" t="s">
        <v>12770</v>
      </c>
      <c r="D6132" s="125"/>
      <c r="E6132" s="126">
        <v>29.67</v>
      </c>
      <c r="F6132" s="127"/>
      <c r="G6132" s="127"/>
      <c r="H6132" s="127"/>
      <c r="I6132" s="128"/>
      <c r="K6132" s="105" t="str">
        <f>IFERROR(__xludf.DUMMYFUNCTION("if(A6132="""","""",substitute(SUBSTITUTE(index(importhtml(""http://finviz.com/quote.ashx?t=""&amp;A6132,""table"",10),7,2),""*"",""""),""-"",""0.00""))"),"Loading...")</f>
        <v>Loading...</v>
      </c>
      <c r="L6132" s="129">
        <v>7.782212561E9</v>
      </c>
      <c r="M6132" s="99">
        <v>1.47</v>
      </c>
    </row>
    <row r="6133">
      <c r="A6133" s="122" t="s">
        <v>12771</v>
      </c>
      <c r="B6133" s="123">
        <v>842518.0</v>
      </c>
      <c r="C6133" s="124" t="s">
        <v>12772</v>
      </c>
      <c r="D6133" s="125"/>
      <c r="E6133" s="126">
        <v>29.7</v>
      </c>
      <c r="F6133" s="127"/>
      <c r="G6133" s="127"/>
      <c r="H6133" s="127"/>
      <c r="I6133" s="128"/>
      <c r="K6133" s="105" t="str">
        <f>IFERROR(__xludf.DUMMYFUNCTION("if(A6133="""","""",substitute(SUBSTITUTE(index(importhtml(""http://finviz.com/quote.ashx?t=""&amp;A6133,""table"",10),7,2),""*"",""""),""-"",""0.00""))"),"Loading...")</f>
        <v>Loading...</v>
      </c>
      <c r="L6133" s="129">
        <v>1.62862656E8</v>
      </c>
      <c r="M6133" s="99">
        <v>0.89</v>
      </c>
    </row>
    <row r="6134">
      <c r="A6134" s="122" t="s">
        <v>12773</v>
      </c>
      <c r="B6134" s="123">
        <v>1653242.0</v>
      </c>
      <c r="C6134" s="124" t="s">
        <v>12774</v>
      </c>
      <c r="D6134" s="125"/>
      <c r="E6134" s="126">
        <v>29.76</v>
      </c>
      <c r="F6134" s="127"/>
      <c r="G6134" s="127"/>
      <c r="H6134" s="127"/>
      <c r="I6134" s="128"/>
      <c r="K6134" s="105" t="str">
        <f>IFERROR(__xludf.DUMMYFUNCTION("if(A6134="""","""",substitute(SUBSTITUTE(index(importhtml(""http://finviz.com/quote.ashx?t=""&amp;A6134,""table"",10),7,2),""*"",""""),""-"",""0.00""))"),"Loading...")</f>
        <v>Loading...</v>
      </c>
      <c r="L6134" s="129">
        <v>1.449012923E9</v>
      </c>
      <c r="M6134" s="99">
        <v>1.31</v>
      </c>
    </row>
    <row r="6135">
      <c r="A6135" s="122" t="s">
        <v>12775</v>
      </c>
      <c r="B6135" s="123">
        <v>891024.0</v>
      </c>
      <c r="C6135" s="124" t="s">
        <v>12776</v>
      </c>
      <c r="D6135" s="125"/>
      <c r="E6135" s="126">
        <v>29.78</v>
      </c>
      <c r="F6135" s="127"/>
      <c r="G6135" s="127"/>
      <c r="H6135" s="127"/>
      <c r="I6135" s="128"/>
      <c r="K6135" s="105" t="str">
        <f>IFERROR(__xludf.DUMMYFUNCTION("if(A6135="""","""",substitute(SUBSTITUTE(index(importhtml(""http://finviz.com/quote.ashx?t=""&amp;A6135,""table"",10),7,2),""*"",""""),""-"",""0.00""))"),"Loading...")</f>
        <v>Loading...</v>
      </c>
      <c r="L6135" s="129">
        <v>2.759444643E9</v>
      </c>
      <c r="M6135" s="99">
        <v>1.09</v>
      </c>
    </row>
    <row r="6136">
      <c r="A6136" s="122" t="s">
        <v>12777</v>
      </c>
      <c r="B6136" s="123">
        <v>880641.0</v>
      </c>
      <c r="C6136" s="124" t="s">
        <v>12778</v>
      </c>
      <c r="D6136" s="125"/>
      <c r="E6136" s="126">
        <v>29.8</v>
      </c>
      <c r="F6136" s="127"/>
      <c r="G6136" s="127"/>
      <c r="H6136" s="127"/>
      <c r="I6136" s="128"/>
      <c r="K6136" s="105" t="str">
        <f>IFERROR(__xludf.DUMMYFUNCTION("if(A6136="""","""",substitute(SUBSTITUTE(index(importhtml(""http://finviz.com/quote.ashx?t=""&amp;A6136,""table"",10),7,2),""*"",""""),""-"",""0.00""))"),"Loading...")</f>
        <v>Loading...</v>
      </c>
      <c r="L6136" s="129">
        <v>1.04922608E8</v>
      </c>
      <c r="M6136" s="99">
        <v>0.47</v>
      </c>
    </row>
    <row r="6137">
      <c r="A6137" s="122" t="s">
        <v>12779</v>
      </c>
      <c r="B6137" s="123">
        <v>915840.0</v>
      </c>
      <c r="C6137" s="124" t="s">
        <v>12780</v>
      </c>
      <c r="D6137" s="125"/>
      <c r="E6137" s="126">
        <v>29.81</v>
      </c>
      <c r="F6137" s="127"/>
      <c r="G6137" s="127"/>
      <c r="H6137" s="127"/>
      <c r="I6137" s="128"/>
      <c r="K6137" s="55" t="s">
        <v>1034</v>
      </c>
      <c r="L6137" s="129">
        <v>9.3999603E8</v>
      </c>
      <c r="M6137" s="99">
        <v>2.26</v>
      </c>
    </row>
    <row r="6138">
      <c r="A6138" s="122" t="s">
        <v>12781</v>
      </c>
      <c r="B6138" s="123">
        <v>1378984.0</v>
      </c>
      <c r="C6138" s="124" t="s">
        <v>12782</v>
      </c>
      <c r="D6138" s="125"/>
      <c r="E6138" s="126">
        <v>29.81</v>
      </c>
      <c r="F6138" s="127"/>
      <c r="G6138" s="127"/>
      <c r="H6138" s="127"/>
      <c r="I6138" s="128"/>
      <c r="K6138" s="105" t="str">
        <f>IFERROR(__xludf.DUMMYFUNCTION("if(A6138="""","""",substitute(SUBSTITUTE(index(importhtml(""http://finviz.com/quote.ashx?t=""&amp;A6138,""table"",10),7,2),""*"",""""),""-"",""0.00""))"),"Loading...")</f>
        <v>Loading...</v>
      </c>
      <c r="L6138" s="129">
        <v>4.859874318E9</v>
      </c>
      <c r="M6138" s="99">
        <v>1.9</v>
      </c>
    </row>
    <row r="6139">
      <c r="A6139" s="122" t="s">
        <v>12783</v>
      </c>
      <c r="B6139" s="123">
        <v>1610520.0</v>
      </c>
      <c r="C6139" s="124" t="s">
        <v>12784</v>
      </c>
      <c r="D6139" s="125"/>
      <c r="E6139" s="126">
        <v>29.84</v>
      </c>
      <c r="F6139" s="127"/>
      <c r="G6139" s="127"/>
      <c r="H6139" s="127"/>
      <c r="I6139" s="128"/>
      <c r="K6139" s="105" t="str">
        <f>IFERROR(__xludf.DUMMYFUNCTION("if(A6139="""","""",substitute(SUBSTITUTE(index(importhtml(""http://finviz.com/quote.ashx?t=""&amp;A6139,""table"",10),7,2),""*"",""""),""-"",""0.00""))"),"Loading...")</f>
        <v>Loading...</v>
      </c>
      <c r="L6139" s="129" t="e">
        <v>#N/A</v>
      </c>
      <c r="M6139" s="99">
        <v>1.13</v>
      </c>
    </row>
    <row r="6140">
      <c r="A6140" s="122" t="s">
        <v>12785</v>
      </c>
      <c r="B6140" s="123">
        <v>312070.0</v>
      </c>
      <c r="C6140" s="124" t="s">
        <v>12786</v>
      </c>
      <c r="D6140" s="125"/>
      <c r="E6140" s="126">
        <v>29.87</v>
      </c>
      <c r="F6140" s="127"/>
      <c r="G6140" s="127"/>
      <c r="H6140" s="127"/>
      <c r="I6140" s="128"/>
      <c r="K6140" s="55" t="s">
        <v>1034</v>
      </c>
      <c r="L6140" s="129">
        <v>2.8384401496E10</v>
      </c>
      <c r="M6140" s="99" t="str">
        <f>IFERROR(__xludf.DUMMYFUNCTION("GOOGLEFINANCE(A6140,""beta"")"),"#N/A")</f>
        <v>#N/A</v>
      </c>
    </row>
    <row r="6141">
      <c r="A6141" s="122" t="s">
        <v>12787</v>
      </c>
      <c r="B6141" s="123">
        <v>896156.0</v>
      </c>
      <c r="C6141" s="124" t="s">
        <v>12788</v>
      </c>
      <c r="D6141" s="125"/>
      <c r="E6141" s="126">
        <v>29.88</v>
      </c>
      <c r="F6141" s="127"/>
      <c r="G6141" s="127"/>
      <c r="H6141" s="127"/>
      <c r="I6141" s="128"/>
      <c r="K6141" s="55" t="s">
        <v>9178</v>
      </c>
      <c r="L6141" s="129">
        <v>7.58939429E8</v>
      </c>
      <c r="M6141" s="99">
        <v>1.19</v>
      </c>
    </row>
    <row r="6142">
      <c r="A6142" s="122" t="s">
        <v>12789</v>
      </c>
      <c r="B6142" s="123">
        <v>55529.0</v>
      </c>
      <c r="C6142" s="124" t="s">
        <v>12790</v>
      </c>
      <c r="D6142" s="125"/>
      <c r="E6142" s="126">
        <v>29.94</v>
      </c>
      <c r="F6142" s="127"/>
      <c r="G6142" s="127"/>
      <c r="H6142" s="141" t="str">
        <f>YHFINANCE("AAPL")</f>
        <v>Deprecated. Use =FINANCE instead</v>
      </c>
      <c r="I6142" s="128"/>
      <c r="K6142" s="105" t="str">
        <f>IFERROR(__xludf.DUMMYFUNCTION("if(A6142="""","""",substitute(SUBSTITUTE(index(importhtml(""http://finviz.com/quote.ashx?t=""&amp;A6142,""table"",10),7,2),""*"",""""),""-"",""0.00""))"),"Loading...")</f>
        <v>Loading...</v>
      </c>
      <c r="L6142" s="129" t="e">
        <v>#N/A</v>
      </c>
      <c r="M6142" s="99" t="e">
        <v>#N/A</v>
      </c>
    </row>
    <row r="6143">
      <c r="A6143" s="122" t="s">
        <v>12791</v>
      </c>
      <c r="B6143" s="123">
        <v>1070296.0</v>
      </c>
      <c r="C6143" s="124" t="s">
        <v>12792</v>
      </c>
      <c r="D6143" s="125"/>
      <c r="E6143" s="126">
        <v>29.98</v>
      </c>
      <c r="F6143" s="127"/>
      <c r="G6143" s="127"/>
      <c r="H6143" s="127"/>
      <c r="I6143" s="128"/>
      <c r="K6143" s="105" t="str">
        <f>IFERROR(__xludf.DUMMYFUNCTION("if(A6143="""","""",substitute(SUBSTITUTE(index(importhtml(""http://finviz.com/quote.ashx?t=""&amp;A6143,""table"",10),7,2),""*"",""""),""-"",""0.00""))"),"Loading...")</f>
        <v>Loading...</v>
      </c>
      <c r="L6143" s="129">
        <v>1.00452785E8</v>
      </c>
      <c r="M6143" s="99">
        <v>0.65</v>
      </c>
    </row>
    <row r="6144">
      <c r="A6144" s="122" t="s">
        <v>12793</v>
      </c>
      <c r="B6144" s="123">
        <v>1641601.0</v>
      </c>
      <c r="C6144" s="124" t="s">
        <v>12794</v>
      </c>
      <c r="D6144" s="125"/>
      <c r="E6144" s="126">
        <v>30.0</v>
      </c>
      <c r="F6144" s="127"/>
      <c r="G6144" s="127"/>
      <c r="H6144" s="127"/>
      <c r="I6144" s="128"/>
      <c r="K6144" s="105" t="str">
        <f>IFERROR(__xludf.DUMMYFUNCTION("if(A6144="""","""",substitute(SUBSTITUTE(index(importhtml(""http://finviz.com/quote.ashx?t=""&amp;A6144,""table"",10),7,2),""*"",""""),""-"",""0.00""))"),"Loading...")</f>
        <v>Loading...</v>
      </c>
      <c r="L6144" s="129">
        <v>2.297593E8</v>
      </c>
      <c r="M6144" s="99">
        <v>0.21</v>
      </c>
    </row>
    <row r="6145">
      <c r="A6145" s="122" t="s">
        <v>12795</v>
      </c>
      <c r="B6145" s="123">
        <v>1308208.0</v>
      </c>
      <c r="C6145" s="124" t="s">
        <v>12796</v>
      </c>
      <c r="D6145" s="125"/>
      <c r="E6145" s="126">
        <v>30.0</v>
      </c>
      <c r="F6145" s="127"/>
      <c r="G6145" s="127"/>
      <c r="H6145" s="127"/>
      <c r="I6145" s="128"/>
      <c r="K6145" s="105" t="str">
        <f>IFERROR(__xludf.DUMMYFUNCTION("if(A6145="""","""",substitute(SUBSTITUTE(index(importhtml(""http://finviz.com/quote.ashx?t=""&amp;A6145,""table"",10),7,2),""*"",""""),""-"",""0.00""))"),"Loading...")</f>
        <v>Loading...</v>
      </c>
      <c r="L6145" s="129">
        <v>7.885266E8</v>
      </c>
      <c r="M6145" s="99">
        <v>1.07</v>
      </c>
    </row>
    <row r="6146">
      <c r="A6146" s="122" t="s">
        <v>12797</v>
      </c>
      <c r="B6146" s="123">
        <v>98677.0</v>
      </c>
      <c r="C6146" s="124" t="s">
        <v>12798</v>
      </c>
      <c r="D6146" s="125"/>
      <c r="E6146" s="126">
        <v>30.0</v>
      </c>
      <c r="F6146" s="127"/>
      <c r="G6146" s="127"/>
      <c r="H6146" s="127"/>
      <c r="I6146" s="128"/>
      <c r="K6146" s="105" t="str">
        <f>IFERROR(__xludf.DUMMYFUNCTION("if(A6146="""","""",substitute(SUBSTITUTE(index(importhtml(""http://finviz.com/quote.ashx?t=""&amp;A6146,""table"",10),7,2),""*"",""""),""-"",""0.00""))"),"Loading...")</f>
        <v>Loading...</v>
      </c>
      <c r="L6146" s="129">
        <v>2.190422229E9</v>
      </c>
      <c r="M6146" s="99">
        <v>0.24</v>
      </c>
    </row>
    <row r="6147">
      <c r="A6147" s="122" t="s">
        <v>12799</v>
      </c>
      <c r="B6147" s="123">
        <v>1762506.0</v>
      </c>
      <c r="C6147" s="124" t="s">
        <v>12800</v>
      </c>
      <c r="D6147" s="125"/>
      <c r="E6147" s="126">
        <v>30.0</v>
      </c>
      <c r="F6147" s="127"/>
      <c r="G6147" s="127"/>
      <c r="H6147" s="127"/>
      <c r="I6147" s="128"/>
      <c r="K6147" s="105" t="str">
        <f>IFERROR(__xludf.DUMMYFUNCTION("if(A6147="""","""",substitute(SUBSTITUTE(index(importhtml(""http://finviz.com/quote.ashx?t=""&amp;A6147,""table"",10),7,2),""*"",""""),""-"",""0.00""))"),"Loading...")</f>
        <v>Loading...</v>
      </c>
      <c r="L6147" s="129">
        <v>3.088241364E9</v>
      </c>
      <c r="M6147" s="99" t="str">
        <f>IFERROR(__xludf.DUMMYFUNCTION("GOOGLEFINANCE(A6147,""beta"")"),"#N/A")</f>
        <v>#N/A</v>
      </c>
    </row>
    <row r="6148">
      <c r="A6148" s="122" t="s">
        <v>12801</v>
      </c>
      <c r="B6148" s="123">
        <v>1123452.0</v>
      </c>
      <c r="C6148" s="124" t="s">
        <v>12802</v>
      </c>
      <c r="D6148" s="125"/>
      <c r="E6148" s="126">
        <v>30.0</v>
      </c>
      <c r="F6148" s="127"/>
      <c r="G6148" s="127"/>
      <c r="H6148" s="127"/>
      <c r="I6148" s="128"/>
      <c r="K6148" s="105" t="str">
        <f>IFERROR(__xludf.DUMMYFUNCTION("if(A6148="""","""",substitute(SUBSTITUTE(index(importhtml(""http://finviz.com/quote.ashx?t=""&amp;A6148,""table"",10),7,2),""*"",""""),""-"",""0.00""))"),"Loading...")</f>
        <v>Loading...</v>
      </c>
      <c r="L6148" s="129">
        <v>9.085707695E9</v>
      </c>
      <c r="M6148" s="99" t="str">
        <f>IFERROR(__xludf.DUMMYFUNCTION("GOOGLEFINANCE(A6148,""beta"")"),"#N/A")</f>
        <v>#N/A</v>
      </c>
    </row>
    <row r="6149">
      <c r="A6149" s="122" t="s">
        <v>12803</v>
      </c>
      <c r="B6149" s="123">
        <v>1303523.0</v>
      </c>
      <c r="C6149" s="124" t="s">
        <v>12804</v>
      </c>
      <c r="D6149" s="125"/>
      <c r="E6149" s="126">
        <v>30.02</v>
      </c>
      <c r="F6149" s="127"/>
      <c r="G6149" s="127"/>
      <c r="H6149" s="127"/>
      <c r="I6149" s="128"/>
      <c r="K6149" s="55" t="s">
        <v>12805</v>
      </c>
      <c r="L6149" s="129">
        <v>6.624750659E10</v>
      </c>
      <c r="M6149" s="99">
        <v>0.53</v>
      </c>
    </row>
    <row r="6150">
      <c r="A6150" s="122" t="s">
        <v>12806</v>
      </c>
      <c r="B6150" s="123">
        <v>1274173.0</v>
      </c>
      <c r="C6150" s="124" t="s">
        <v>12807</v>
      </c>
      <c r="D6150" s="125"/>
      <c r="E6150" s="126">
        <v>30.08</v>
      </c>
      <c r="F6150" s="127"/>
      <c r="G6150" s="127"/>
      <c r="H6150" s="127"/>
      <c r="I6150" s="128"/>
      <c r="K6150" s="105" t="str">
        <f>IFERROR(__xludf.DUMMYFUNCTION("if(A6150="""","""",substitute(SUBSTITUTE(index(importhtml(""http://finviz.com/quote.ashx?t=""&amp;A6150,""table"",10),7,2),""*"",""""),""-"",""0.00""))"),"Loading...")</f>
        <v>Loading...</v>
      </c>
      <c r="L6150" s="129">
        <v>4.982989619E9</v>
      </c>
      <c r="M6150" s="99">
        <v>1.55</v>
      </c>
    </row>
    <row r="6151">
      <c r="A6151" s="122" t="s">
        <v>12808</v>
      </c>
      <c r="B6151" s="123">
        <v>821002.0</v>
      </c>
      <c r="C6151" s="124" t="s">
        <v>12809</v>
      </c>
      <c r="D6151" s="125"/>
      <c r="E6151" s="126">
        <v>30.16</v>
      </c>
      <c r="F6151" s="127"/>
      <c r="G6151" s="127"/>
      <c r="H6151" s="127"/>
      <c r="I6151" s="128"/>
      <c r="K6151" s="105" t="str">
        <f>IFERROR(__xludf.DUMMYFUNCTION("if(A6151="""","""",substitute(SUBSTITUTE(index(importhtml(""http://finviz.com/quote.ashx?t=""&amp;A6151,""table"",10),7,2),""*"",""""),""-"",""0.00""))"),"Loading...")</f>
        <v>Loading...</v>
      </c>
      <c r="L6151" s="129">
        <v>1.379146218E9</v>
      </c>
      <c r="M6151" s="99">
        <v>2.43</v>
      </c>
    </row>
    <row r="6152">
      <c r="A6152" s="122" t="s">
        <v>12810</v>
      </c>
      <c r="B6152" s="123">
        <v>1830487.0</v>
      </c>
      <c r="C6152" s="124" t="s">
        <v>12811</v>
      </c>
      <c r="D6152" s="125"/>
      <c r="E6152" s="126">
        <v>30.16</v>
      </c>
      <c r="F6152" s="127"/>
      <c r="G6152" s="127"/>
      <c r="H6152" s="127"/>
      <c r="I6152" s="128"/>
      <c r="K6152" s="105" t="str">
        <f>IFERROR(__xludf.DUMMYFUNCTION("if(A6152="""","""",substitute(SUBSTITUTE(index(importhtml(""http://finviz.com/quote.ashx?t=""&amp;A6152,""table"",10),7,2),""*"",""""),""-"",""0.00""))"),"Loading...")</f>
        <v>Loading...</v>
      </c>
      <c r="L6152" s="129">
        <v>1.579747314E9</v>
      </c>
      <c r="M6152" s="99">
        <f>IFERROR(__xludf.DUMMYFUNCTION("GOOGLEFINANCE(A6152,""beta"")"),-2.78)</f>
        <v>-2.78</v>
      </c>
    </row>
    <row r="6153">
      <c r="A6153" s="122" t="s">
        <v>12812</v>
      </c>
      <c r="B6153" s="123">
        <v>1562463.0</v>
      </c>
      <c r="C6153" s="124" t="s">
        <v>12813</v>
      </c>
      <c r="D6153" s="125"/>
      <c r="E6153" s="126">
        <v>30.17</v>
      </c>
      <c r="F6153" s="127"/>
      <c r="G6153" s="127"/>
      <c r="H6153" s="127"/>
      <c r="I6153" s="128"/>
      <c r="K6153" s="105" t="str">
        <f>IFERROR(__xludf.DUMMYFUNCTION("if(A6153="""","""",substitute(SUBSTITUTE(index(importhtml(""http://finviz.com/quote.ashx?t=""&amp;A6153,""table"",10),7,2),""*"",""""),""-"",""0.00""))"),"Loading...")</f>
        <v>Loading...</v>
      </c>
      <c r="L6153" s="129">
        <v>2.60803117E8</v>
      </c>
      <c r="M6153" s="99">
        <v>0.74</v>
      </c>
    </row>
    <row r="6154">
      <c r="A6154" s="122" t="s">
        <v>12814</v>
      </c>
      <c r="B6154" s="123">
        <v>1446420.0</v>
      </c>
      <c r="C6154" s="124" t="s">
        <v>12815</v>
      </c>
      <c r="D6154" s="125"/>
      <c r="E6154" s="126">
        <v>30.19</v>
      </c>
      <c r="F6154" s="149"/>
      <c r="G6154" s="140"/>
      <c r="H6154" s="127"/>
      <c r="I6154" s="128"/>
      <c r="K6154" s="105" t="str">
        <f>IFERROR(__xludf.DUMMYFUNCTION("if(A6154="""","""",substitute(SUBSTITUTE(index(importhtml(""http://finviz.com/quote.ashx?t=""&amp;A6154,""table"",10),7,2),""*"",""""),""-"",""0.00""))"),"Loading...")</f>
        <v>Loading...</v>
      </c>
      <c r="L6154" s="129">
        <v>8.724654672E11</v>
      </c>
      <c r="M6154" s="99">
        <f>IFERROR(__xludf.DUMMYFUNCTION("GOOGLEFINANCE(A6154,""beta"")"),-1.45)</f>
        <v>-1.45</v>
      </c>
    </row>
    <row r="6155">
      <c r="A6155" s="122" t="s">
        <v>12816</v>
      </c>
      <c r="B6155" s="123">
        <v>1001385.0</v>
      </c>
      <c r="C6155" s="124" t="s">
        <v>12817</v>
      </c>
      <c r="D6155" s="125"/>
      <c r="E6155" s="126">
        <v>30.2</v>
      </c>
      <c r="F6155" s="127"/>
      <c r="G6155" s="127"/>
      <c r="H6155" s="127"/>
      <c r="I6155" s="128"/>
      <c r="K6155" s="105" t="str">
        <f>IFERROR(__xludf.DUMMYFUNCTION("if(A6155="""","""",substitute(SUBSTITUTE(index(importhtml(""http://finviz.com/quote.ashx?t=""&amp;A6155,""table"",10),7,2),""*"",""""),""-"",""0.00""))"),"Loading...")</f>
        <v>Loading...</v>
      </c>
      <c r="L6155" s="129">
        <v>3.02428545E8</v>
      </c>
      <c r="M6155" s="99">
        <v>0.95</v>
      </c>
    </row>
    <row r="6156">
      <c r="A6156" s="122" t="s">
        <v>12818</v>
      </c>
      <c r="B6156" s="123">
        <v>1841666.0</v>
      </c>
      <c r="C6156" s="124" t="s">
        <v>12819</v>
      </c>
      <c r="D6156" s="125"/>
      <c r="E6156" s="126">
        <v>30.24</v>
      </c>
      <c r="F6156" s="127"/>
      <c r="G6156" s="127"/>
      <c r="H6156" s="127"/>
      <c r="I6156" s="128"/>
      <c r="K6156" s="55" t="s">
        <v>9675</v>
      </c>
      <c r="L6156" s="129">
        <v>9.164371034E9</v>
      </c>
      <c r="M6156" s="99">
        <v>3.36</v>
      </c>
    </row>
    <row r="6157">
      <c r="A6157" s="122" t="s">
        <v>12820</v>
      </c>
      <c r="B6157" s="123">
        <v>1603145.0</v>
      </c>
      <c r="C6157" s="124" t="s">
        <v>12821</v>
      </c>
      <c r="D6157" s="125"/>
      <c r="E6157" s="126">
        <v>30.3</v>
      </c>
      <c r="F6157" s="127"/>
      <c r="G6157" s="127"/>
      <c r="H6157" s="127"/>
      <c r="I6157" s="128"/>
      <c r="K6157" s="105" t="str">
        <f>IFERROR(__xludf.DUMMYFUNCTION("if(A6157="""","""",substitute(SUBSTITUTE(index(importhtml(""http://finviz.com/quote.ashx?t=""&amp;A6157,""table"",10),7,2),""*"",""""),""-"",""0.00""))"),"Loading...")</f>
        <v>Loading...</v>
      </c>
      <c r="L6157" s="129">
        <v>2.830019928E9</v>
      </c>
      <c r="M6157" s="99">
        <v>1.03</v>
      </c>
    </row>
    <row r="6158">
      <c r="A6158" s="122" t="s">
        <v>12822</v>
      </c>
      <c r="B6158" s="123">
        <v>1303523.0</v>
      </c>
      <c r="C6158" s="124" t="s">
        <v>12823</v>
      </c>
      <c r="D6158" s="125"/>
      <c r="E6158" s="126">
        <v>30.32</v>
      </c>
      <c r="F6158" s="127"/>
      <c r="G6158" s="127"/>
      <c r="H6158" s="127"/>
      <c r="I6158" s="128"/>
      <c r="K6158" s="105" t="str">
        <f>IFERROR(__xludf.DUMMYFUNCTION("if(A6158="""","""",substitute(SUBSTITUTE(index(importhtml(""http://finviz.com/quote.ashx?t=""&amp;A6158,""table"",10),7,2),""*"",""""),""-"",""0.00""))"),"#N/A")</f>
        <v>#N/A</v>
      </c>
      <c r="L6158" s="129">
        <v>6.624750659E10</v>
      </c>
      <c r="M6158" s="99">
        <v>0.5</v>
      </c>
    </row>
    <row r="6159">
      <c r="A6159" s="122" t="s">
        <v>12824</v>
      </c>
      <c r="B6159" s="123">
        <v>863436.0</v>
      </c>
      <c r="C6159" s="124" t="s">
        <v>12825</v>
      </c>
      <c r="D6159" s="125"/>
      <c r="E6159" s="126">
        <v>30.33</v>
      </c>
      <c r="F6159" s="127"/>
      <c r="G6159" s="127"/>
      <c r="H6159" s="127"/>
      <c r="I6159" s="128"/>
      <c r="K6159" s="55" t="s">
        <v>7240</v>
      </c>
      <c r="L6159" s="129">
        <v>1.082230507E9</v>
      </c>
      <c r="M6159" s="99">
        <v>1.0</v>
      </c>
    </row>
    <row r="6160">
      <c r="A6160" s="122" t="s">
        <v>12826</v>
      </c>
      <c r="B6160" s="123">
        <v>1396814.0</v>
      </c>
      <c r="C6160" s="124" t="s">
        <v>12827</v>
      </c>
      <c r="D6160" s="125"/>
      <c r="E6160" s="126">
        <v>30.34</v>
      </c>
      <c r="F6160" s="127"/>
      <c r="G6160" s="127"/>
      <c r="H6160" s="127"/>
      <c r="I6160" s="128"/>
      <c r="K6160" s="105" t="str">
        <f>IFERROR(__xludf.DUMMYFUNCTION("if(A6160="""","""",substitute(SUBSTITUTE(index(importhtml(""http://finviz.com/quote.ashx?t=""&amp;A6160,""table"",10),7,2),""*"",""""),""-"",""0.00""))"),"Loading...")</f>
        <v>Loading...</v>
      </c>
      <c r="L6160" s="129">
        <v>1.408698039E9</v>
      </c>
      <c r="M6160" s="99">
        <v>0.79</v>
      </c>
    </row>
    <row r="6161">
      <c r="A6161" s="122" t="s">
        <v>12828</v>
      </c>
      <c r="B6161" s="123">
        <v>1616318.0</v>
      </c>
      <c r="C6161" s="124" t="s">
        <v>12829</v>
      </c>
      <c r="D6161" s="125"/>
      <c r="E6161" s="126">
        <v>30.36</v>
      </c>
      <c r="F6161" s="127"/>
      <c r="G6161" s="127"/>
      <c r="H6161" s="127"/>
      <c r="I6161" s="128"/>
      <c r="K6161" s="105" t="str">
        <f>IFERROR(__xludf.DUMMYFUNCTION("if(A6161="""","""",substitute(SUBSTITUTE(index(importhtml(""http://finviz.com/quote.ashx?t=""&amp;A6161,""table"",10),7,2),""*"",""""),""-"",""0.00""))"),"Loading...")</f>
        <v>Loading...</v>
      </c>
      <c r="L6161" s="129">
        <v>1.763057151E9</v>
      </c>
      <c r="M6161" s="99">
        <v>0.93</v>
      </c>
    </row>
    <row r="6162">
      <c r="A6162" s="122" t="s">
        <v>12830</v>
      </c>
      <c r="B6162" s="123">
        <v>705432.0</v>
      </c>
      <c r="C6162" s="124" t="s">
        <v>12831</v>
      </c>
      <c r="D6162" s="125"/>
      <c r="E6162" s="126">
        <v>30.39</v>
      </c>
      <c r="F6162" s="127"/>
      <c r="G6162" s="127"/>
      <c r="H6162" s="127"/>
      <c r="I6162" s="128"/>
      <c r="K6162" s="105" t="str">
        <f>IFERROR(__xludf.DUMMYFUNCTION("if(A6162="""","""",substitute(SUBSTITUTE(index(importhtml(""http://finviz.com/quote.ashx?t=""&amp;A6162,""table"",10),7,2),""*"",""""),""-"",""0.00""))"),"Loading...")</f>
        <v>Loading...</v>
      </c>
      <c r="L6162" s="129">
        <v>9.19266787E8</v>
      </c>
      <c r="M6162" s="99">
        <v>0.57</v>
      </c>
    </row>
    <row r="6163">
      <c r="A6163" s="122" t="s">
        <v>12832</v>
      </c>
      <c r="B6163" s="123">
        <v>1446418.0</v>
      </c>
      <c r="C6163" s="124" t="s">
        <v>12833</v>
      </c>
      <c r="D6163" s="125"/>
      <c r="E6163" s="126">
        <v>30.39</v>
      </c>
      <c r="F6163" s="127"/>
      <c r="G6163" s="127"/>
      <c r="H6163" s="127"/>
      <c r="I6163" s="128"/>
      <c r="K6163" s="105" t="str">
        <f>IFERROR(__xludf.DUMMYFUNCTION("if(A6163="""","""",substitute(SUBSTITUTE(index(importhtml(""http://finviz.com/quote.ashx?t=""&amp;A6163,""table"",10),7,2),""*"",""""),""-"",""0.00""))"),"Loading...")</f>
        <v>Loading...</v>
      </c>
      <c r="L6163" s="129">
        <v>1.341349464E12</v>
      </c>
      <c r="M6163" s="99">
        <v>0.53</v>
      </c>
    </row>
    <row r="6164">
      <c r="A6164" s="122" t="s">
        <v>12834</v>
      </c>
      <c r="B6164" s="123">
        <v>1058867.0</v>
      </c>
      <c r="C6164" s="124" t="s">
        <v>12835</v>
      </c>
      <c r="D6164" s="125"/>
      <c r="E6164" s="126">
        <v>30.51</v>
      </c>
      <c r="F6164" s="127"/>
      <c r="G6164" s="127"/>
      <c r="H6164" s="127"/>
      <c r="I6164" s="128"/>
      <c r="K6164" s="105" t="str">
        <f>IFERROR(__xludf.DUMMYFUNCTION("if(A6164="""","""",substitute(SUBSTITUTE(index(importhtml(""http://finviz.com/quote.ashx?t=""&amp;A6164,""table"",10),7,2),""*"",""""),""-"",""0.00""))"),"Loading...")</f>
        <v>Loading...</v>
      </c>
      <c r="L6164" s="129">
        <v>3.5175864E8</v>
      </c>
      <c r="M6164" s="99">
        <v>0.44</v>
      </c>
    </row>
    <row r="6165">
      <c r="A6165" s="122" t="s">
        <v>12836</v>
      </c>
      <c r="B6165" s="123">
        <v>1049521.0</v>
      </c>
      <c r="C6165" s="124" t="s">
        <v>12837</v>
      </c>
      <c r="D6165" s="125"/>
      <c r="E6165" s="126">
        <v>30.55</v>
      </c>
      <c r="F6165" s="127"/>
      <c r="G6165" s="127"/>
      <c r="H6165" s="127"/>
      <c r="I6165" s="128"/>
      <c r="K6165" s="105" t="str">
        <f>IFERROR(__xludf.DUMMYFUNCTION("if(A6165="""","""",substitute(SUBSTITUTE(index(importhtml(""http://finviz.com/quote.ashx?t=""&amp;A6165,""table"",10),7,2),""*"",""""),""-"",""0.00""))"),"Loading...")</f>
        <v>Loading...</v>
      </c>
      <c r="L6165" s="129">
        <v>1.810913221E9</v>
      </c>
      <c r="M6165" s="99">
        <v>0.71</v>
      </c>
    </row>
    <row r="6166">
      <c r="A6166" s="122" t="s">
        <v>12838</v>
      </c>
      <c r="B6166" s="123">
        <v>1705696.0</v>
      </c>
      <c r="C6166" s="124" t="s">
        <v>12839</v>
      </c>
      <c r="D6166" s="125"/>
      <c r="E6166" s="126">
        <v>30.55</v>
      </c>
      <c r="F6166" s="127"/>
      <c r="G6166" s="127"/>
      <c r="H6166" s="127"/>
      <c r="I6166" s="128"/>
      <c r="K6166" s="105" t="str">
        <f>IFERROR(__xludf.DUMMYFUNCTION("if(A6166="""","""",substitute(SUBSTITUTE(index(importhtml(""http://finviz.com/quote.ashx?t=""&amp;A6166,""table"",10),7,2),""*"",""""),""-"",""0.00""))"),"Loading...")</f>
        <v>Loading...</v>
      </c>
      <c r="L6166" s="129">
        <v>3.160495181E10</v>
      </c>
      <c r="M6166" s="99">
        <v>0.9</v>
      </c>
    </row>
    <row r="6167">
      <c r="A6167" s="122" t="s">
        <v>12840</v>
      </c>
      <c r="B6167" s="123">
        <v>28823.0</v>
      </c>
      <c r="C6167" s="124" t="s">
        <v>12841</v>
      </c>
      <c r="D6167" s="125"/>
      <c r="E6167" s="126">
        <v>30.56</v>
      </c>
      <c r="F6167" s="127"/>
      <c r="G6167" s="127"/>
      <c r="H6167" s="127"/>
      <c r="I6167" s="128"/>
      <c r="K6167" s="55" t="s">
        <v>1034</v>
      </c>
      <c r="L6167" s="129">
        <v>1.148037109E9</v>
      </c>
      <c r="M6167" s="99" t="str">
        <f>IFERROR(__xludf.DUMMYFUNCTION("GOOGLEFINANCE(A6167,""beta"")"),"#N/A")</f>
        <v>#N/A</v>
      </c>
    </row>
    <row r="6168">
      <c r="A6168" s="122" t="s">
        <v>12842</v>
      </c>
      <c r="B6168" s="123">
        <v>48465.0</v>
      </c>
      <c r="C6168" s="124" t="s">
        <v>12843</v>
      </c>
      <c r="D6168" s="125"/>
      <c r="E6168" s="126">
        <v>30.6</v>
      </c>
      <c r="F6168" s="127"/>
      <c r="G6168" s="127"/>
      <c r="H6168" s="127"/>
      <c r="I6168" s="128"/>
      <c r="K6168" s="105" t="str">
        <f>IFERROR(__xludf.DUMMYFUNCTION("if(A6168="""","""",substitute(SUBSTITUTE(index(importhtml(""http://finviz.com/quote.ashx?t=""&amp;A6168,""table"",10),7,2),""*"",""""),""-"",""0.00""))"),"Loading...")</f>
        <v>Loading...</v>
      </c>
      <c r="L6168" s="129">
        <v>1.6733301148E10</v>
      </c>
      <c r="M6168" s="99">
        <v>0.24</v>
      </c>
    </row>
    <row r="6169">
      <c r="A6169" s="122" t="s">
        <v>12844</v>
      </c>
      <c r="B6169" s="123">
        <v>810136.0</v>
      </c>
      <c r="C6169" s="124" t="s">
        <v>12845</v>
      </c>
      <c r="D6169" s="125"/>
      <c r="E6169" s="126">
        <v>30.64</v>
      </c>
      <c r="F6169" s="127"/>
      <c r="G6169" s="127"/>
      <c r="H6169" s="127"/>
      <c r="I6169" s="128"/>
      <c r="K6169" s="105" t="str">
        <f>IFERROR(__xludf.DUMMYFUNCTION("if(A6169="""","""",substitute(SUBSTITUTE(index(importhtml(""http://finviz.com/quote.ashx?t=""&amp;A6169,""table"",10),7,2),""*"",""""),""-"",""0.00""))"),"Loading...")</f>
        <v>Loading...</v>
      </c>
      <c r="L6169" s="129">
        <v>1.918216242E9</v>
      </c>
      <c r="M6169" s="99">
        <v>1.41</v>
      </c>
    </row>
    <row r="6170">
      <c r="A6170" s="122" t="s">
        <v>12846</v>
      </c>
      <c r="B6170" s="123">
        <v>1627223.0</v>
      </c>
      <c r="C6170" s="124" t="s">
        <v>12847</v>
      </c>
      <c r="D6170" s="125"/>
      <c r="E6170" s="126">
        <v>30.65</v>
      </c>
      <c r="F6170" s="127"/>
      <c r="G6170" s="127"/>
      <c r="H6170" s="127"/>
      <c r="I6170" s="128"/>
      <c r="K6170" s="138" t="s">
        <v>10882</v>
      </c>
      <c r="L6170" s="129">
        <v>4.549630773E9</v>
      </c>
      <c r="M6170" s="99">
        <v>2.08</v>
      </c>
    </row>
    <row r="6171">
      <c r="A6171" s="122" t="s">
        <v>12848</v>
      </c>
      <c r="B6171" s="123">
        <v>1415311.0</v>
      </c>
      <c r="C6171" s="124" t="s">
        <v>12849</v>
      </c>
      <c r="D6171" s="125"/>
      <c r="E6171" s="126">
        <v>30.68</v>
      </c>
      <c r="F6171" s="127"/>
      <c r="G6171" s="127"/>
      <c r="H6171" s="127"/>
      <c r="I6171" s="128"/>
      <c r="K6171" s="55" t="s">
        <v>1034</v>
      </c>
      <c r="L6171" s="129" t="e">
        <v>#N/A</v>
      </c>
      <c r="M6171" s="99" t="str">
        <f>IFERROR(__xludf.DUMMYFUNCTION("GOOGLEFINANCE(A6171,""beta"")"),"#N/A")</f>
        <v>#N/A</v>
      </c>
    </row>
    <row r="6172">
      <c r="A6172" s="122" t="s">
        <v>12850</v>
      </c>
      <c r="B6172" s="123">
        <v>1560385.0</v>
      </c>
      <c r="C6172" s="124" t="s">
        <v>12851</v>
      </c>
      <c r="D6172" s="125"/>
      <c r="E6172" s="126">
        <v>30.68</v>
      </c>
      <c r="F6172" s="127"/>
      <c r="G6172" s="127"/>
      <c r="H6172" s="127"/>
      <c r="I6172" s="128"/>
      <c r="K6172" s="105" t="str">
        <f>IFERROR(__xludf.DUMMYFUNCTION("if(A6172="""","""",substitute(SUBSTITUTE(index(importhtml(""http://finviz.com/quote.ashx?t=""&amp;A6172,""table"",10),7,2),""*"",""""),""-"",""0.00""))"),"Loading...")</f>
        <v>Loading...</v>
      </c>
      <c r="L6172" s="129">
        <v>2.924068E10</v>
      </c>
      <c r="M6172" s="99">
        <v>1.18</v>
      </c>
    </row>
    <row r="6173">
      <c r="A6173" s="122" t="s">
        <v>12852</v>
      </c>
      <c r="B6173" s="123">
        <v>928340.0</v>
      </c>
      <c r="C6173" s="124" t="s">
        <v>12853</v>
      </c>
      <c r="D6173" s="125"/>
      <c r="E6173" s="126">
        <v>30.69</v>
      </c>
      <c r="F6173" s="127"/>
      <c r="G6173" s="127"/>
      <c r="H6173" s="127"/>
      <c r="I6173" s="128"/>
      <c r="K6173" s="105" t="str">
        <f>IFERROR(__xludf.DUMMYFUNCTION("if(A6173="""","""",substitute(SUBSTITUTE(index(importhtml(""http://finviz.com/quote.ashx?t=""&amp;A6173,""table"",10),7,2),""*"",""""),""-"",""0.00""))"),"Loading...")</f>
        <v>Loading...</v>
      </c>
      <c r="L6173" s="129">
        <v>4.83289555E8</v>
      </c>
      <c r="M6173" s="99">
        <v>0.11</v>
      </c>
    </row>
    <row r="6174">
      <c r="A6174" s="122" t="s">
        <v>12854</v>
      </c>
      <c r="B6174" s="123">
        <v>63296.0</v>
      </c>
      <c r="C6174" s="124" t="s">
        <v>12855</v>
      </c>
      <c r="D6174" s="125"/>
      <c r="E6174" s="126">
        <v>30.69</v>
      </c>
      <c r="F6174" s="127"/>
      <c r="G6174" s="127"/>
      <c r="H6174" s="127"/>
      <c r="I6174" s="128"/>
      <c r="K6174" s="105" t="str">
        <f>IFERROR(__xludf.DUMMYFUNCTION("if(A6174="""","""",substitute(SUBSTITUTE(index(importhtml(""http://finviz.com/quote.ashx?t=""&amp;A6174,""table"",10),7,2),""*"",""""),""-"",""0.00""))"),"Loading...")</f>
        <v>Loading...</v>
      </c>
      <c r="L6174" s="129">
        <v>9.4163121E8</v>
      </c>
      <c r="M6174" s="99">
        <v>1.14</v>
      </c>
    </row>
    <row r="6175">
      <c r="A6175" s="122" t="s">
        <v>12856</v>
      </c>
      <c r="B6175" s="123">
        <v>1808834.0</v>
      </c>
      <c r="C6175" s="124" t="s">
        <v>12857</v>
      </c>
      <c r="D6175" s="125"/>
      <c r="E6175" s="126">
        <v>30.71</v>
      </c>
      <c r="F6175" s="127"/>
      <c r="G6175" s="127"/>
      <c r="H6175" s="127"/>
      <c r="I6175" s="128"/>
      <c r="K6175" s="105" t="str">
        <f>IFERROR(__xludf.DUMMYFUNCTION("if(A6175="""","""",substitute(SUBSTITUTE(index(importhtml(""http://finviz.com/quote.ashx?t=""&amp;A6175,""table"",10),7,2),""*"",""""),""-"",""0.00""))"),"Loading...")</f>
        <v>Loading...</v>
      </c>
      <c r="L6175" s="129">
        <v>1.373420256E9</v>
      </c>
      <c r="M6175" s="99">
        <v>2.1</v>
      </c>
    </row>
    <row r="6176">
      <c r="A6176" s="122" t="s">
        <v>12858</v>
      </c>
      <c r="B6176" s="123">
        <v>1066605.0</v>
      </c>
      <c r="C6176" s="124" t="s">
        <v>12859</v>
      </c>
      <c r="D6176" s="125"/>
      <c r="E6176" s="126">
        <v>30.73</v>
      </c>
      <c r="F6176" s="127"/>
      <c r="G6176" s="127"/>
      <c r="H6176" s="127"/>
      <c r="I6176" s="128"/>
      <c r="K6176" s="105" t="str">
        <f>IFERROR(__xludf.DUMMYFUNCTION("if(A6176="""","""",substitute(SUBSTITUTE(index(importhtml(""http://finviz.com/quote.ashx?t=""&amp;A6176,""table"",10),7,2),""*"",""""),""-"",""0.00""))"),"Loading...")</f>
        <v>Loading...</v>
      </c>
      <c r="L6176" s="129">
        <v>6.18355504E8</v>
      </c>
      <c r="M6176" s="99">
        <v>0.84</v>
      </c>
    </row>
    <row r="6177">
      <c r="A6177" s="122" t="s">
        <v>12860</v>
      </c>
      <c r="B6177" s="123">
        <v>811809.0</v>
      </c>
      <c r="C6177" s="124" t="s">
        <v>12861</v>
      </c>
      <c r="D6177" s="125"/>
      <c r="E6177" s="126">
        <v>30.76</v>
      </c>
      <c r="F6177" s="127"/>
      <c r="G6177" s="127"/>
      <c r="H6177" s="127"/>
      <c r="I6177" s="128"/>
      <c r="K6177" s="105" t="str">
        <f>IFERROR(__xludf.DUMMYFUNCTION("if(A6177="""","""",substitute(SUBSTITUTE(index(importhtml(""http://finviz.com/quote.ashx?t=""&amp;A6177,""table"",10),7,2),""*"",""""),""-"",""0.00""))"),"Loading...")</f>
        <v>Loading...</v>
      </c>
      <c r="L6177" s="129">
        <v>1.2178287561E11</v>
      </c>
      <c r="M6177" s="99">
        <v>0.99</v>
      </c>
    </row>
    <row r="6178">
      <c r="A6178" s="122" t="s">
        <v>12862</v>
      </c>
      <c r="B6178" s="123">
        <v>1560385.0</v>
      </c>
      <c r="C6178" s="124" t="s">
        <v>12863</v>
      </c>
      <c r="D6178" s="125"/>
      <c r="E6178" s="126">
        <v>30.81</v>
      </c>
      <c r="F6178" s="127"/>
      <c r="G6178" s="127"/>
      <c r="H6178" s="127"/>
      <c r="I6178" s="128"/>
      <c r="K6178" s="105" t="str">
        <f>IFERROR(__xludf.DUMMYFUNCTION("if(A6178="""","""",substitute(SUBSTITUTE(index(importhtml(""http://finviz.com/quote.ashx?t=""&amp;A6178,""table"",10),7,2),""*"",""""),""-"",""0.00""))"),"Loading...")</f>
        <v>Loading...</v>
      </c>
      <c r="L6178" s="129" t="e">
        <v>#N/A</v>
      </c>
      <c r="M6178" s="99" t="str">
        <f>IFERROR(__xludf.DUMMYFUNCTION("GOOGLEFINANCE(A6178,""beta"")"),"#N/A")</f>
        <v>#N/A</v>
      </c>
    </row>
    <row r="6179">
      <c r="A6179" s="122" t="s">
        <v>12864</v>
      </c>
      <c r="B6179" s="123">
        <v>700565.0</v>
      </c>
      <c r="C6179" s="124" t="s">
        <v>12865</v>
      </c>
      <c r="D6179" s="125"/>
      <c r="E6179" s="126">
        <v>30.83</v>
      </c>
      <c r="F6179" s="127"/>
      <c r="G6179" s="127"/>
      <c r="H6179" s="127"/>
      <c r="I6179" s="128"/>
      <c r="K6179" s="105" t="str">
        <f>IFERROR(__xludf.DUMMYFUNCTION("if(A6179="""","""",substitute(SUBSTITUTE(index(importhtml(""http://finviz.com/quote.ashx?t=""&amp;A6179,""table"",10),7,2),""*"",""""),""-"",""0.00""))"),"Loading...")</f>
        <v>Loading...</v>
      </c>
      <c r="L6179" s="129">
        <v>7.34590416E8</v>
      </c>
      <c r="M6179" s="99">
        <v>0.88</v>
      </c>
    </row>
    <row r="6180">
      <c r="A6180" s="122" t="s">
        <v>12866</v>
      </c>
      <c r="B6180" s="123">
        <v>1297989.0</v>
      </c>
      <c r="C6180" s="124" t="s">
        <v>12867</v>
      </c>
      <c r="D6180" s="125"/>
      <c r="E6180" s="126">
        <v>30.83</v>
      </c>
      <c r="F6180" s="127"/>
      <c r="G6180" s="127"/>
      <c r="H6180" s="127"/>
      <c r="I6180" s="128"/>
      <c r="K6180" s="105" t="str">
        <f>IFERROR(__xludf.DUMMYFUNCTION("if(A6180="""","""",substitute(SUBSTITUTE(index(importhtml(""http://finviz.com/quote.ashx?t=""&amp;A6180,""table"",10),7,2),""*"",""""),""-"",""0.00""))"),"Loading...")</f>
        <v>Loading...</v>
      </c>
      <c r="L6180" s="129">
        <v>5.084566828E9</v>
      </c>
      <c r="M6180" s="99">
        <v>0.99</v>
      </c>
    </row>
    <row r="6181">
      <c r="A6181" s="122" t="s">
        <v>12868</v>
      </c>
      <c r="B6181" s="123">
        <v>1439288.0</v>
      </c>
      <c r="C6181" s="124" t="s">
        <v>12869</v>
      </c>
      <c r="D6181" s="125"/>
      <c r="E6181" s="126">
        <v>30.86</v>
      </c>
      <c r="F6181" s="127"/>
      <c r="G6181" s="127"/>
      <c r="H6181" s="127"/>
      <c r="I6181" s="128"/>
      <c r="K6181" s="105" t="str">
        <f>IFERROR(__xludf.DUMMYFUNCTION("if(A6181="""","""",substitute(SUBSTITUTE(index(importhtml(""http://finviz.com/quote.ashx?t=""&amp;A6181,""table"",10),7,2),""*"",""""),""-"",""0.00""))"),"Loading...")</f>
        <v>Loading...</v>
      </c>
      <c r="L6181" s="129">
        <v>5.332932135E9</v>
      </c>
      <c r="M6181" s="99">
        <v>1.23</v>
      </c>
    </row>
    <row r="6182">
      <c r="A6182" s="122" t="s">
        <v>12870</v>
      </c>
      <c r="B6182" s="123">
        <v>1285785.0</v>
      </c>
      <c r="C6182" s="124" t="s">
        <v>12871</v>
      </c>
      <c r="D6182" s="125"/>
      <c r="E6182" s="126">
        <v>30.86</v>
      </c>
      <c r="F6182" s="127"/>
      <c r="G6182" s="127"/>
      <c r="H6182" s="127"/>
      <c r="I6182" s="128"/>
      <c r="K6182" s="105" t="str">
        <f>IFERROR(__xludf.DUMMYFUNCTION("if(A6182="""","""",substitute(SUBSTITUTE(index(importhtml(""http://finviz.com/quote.ashx?t=""&amp;A6182,""table"",10),7,2),""*"",""""),""-"",""0.00""))"),"Loading...")</f>
        <v>Loading...</v>
      </c>
      <c r="L6182" s="129">
        <v>1.0086140643E10</v>
      </c>
      <c r="M6182" s="99">
        <v>1.5</v>
      </c>
    </row>
    <row r="6183">
      <c r="A6183" s="122" t="s">
        <v>12872</v>
      </c>
      <c r="B6183" s="123">
        <v>715072.0</v>
      </c>
      <c r="C6183" s="124" t="s">
        <v>12873</v>
      </c>
      <c r="D6183" s="125"/>
      <c r="E6183" s="126">
        <v>30.9</v>
      </c>
      <c r="F6183" s="127"/>
      <c r="G6183" s="127"/>
      <c r="H6183" s="127"/>
      <c r="I6183" s="128"/>
      <c r="K6183" s="105" t="str">
        <f>IFERROR(__xludf.DUMMYFUNCTION("if(A6183="""","""",substitute(SUBSTITUTE(index(importhtml(""http://finviz.com/quote.ashx?t=""&amp;A6183,""table"",10),7,2),""*"",""""),""-"",""0.00""))"),"Loading...")</f>
        <v>Loading...</v>
      </c>
      <c r="L6183" s="129">
        <v>1.734793649E9</v>
      </c>
      <c r="M6183" s="99">
        <v>1.1</v>
      </c>
    </row>
    <row r="6184">
      <c r="A6184" s="122" t="s">
        <v>12874</v>
      </c>
      <c r="B6184" s="123">
        <v>1589526.0</v>
      </c>
      <c r="C6184" s="124" t="s">
        <v>12875</v>
      </c>
      <c r="D6184" s="125"/>
      <c r="E6184" s="126">
        <v>30.91</v>
      </c>
      <c r="F6184" s="127"/>
      <c r="G6184" s="127"/>
      <c r="H6184" s="127"/>
      <c r="I6184" s="128"/>
      <c r="K6184" s="105" t="str">
        <f>IFERROR(__xludf.DUMMYFUNCTION("if(A6184="""","""",substitute(SUBSTITUTE(index(importhtml(""http://finviz.com/quote.ashx?t=""&amp;A6184,""table"",10),7,2),""*"",""""),""-"",""0.00""))"),"Loading...")</f>
        <v>Loading...</v>
      </c>
      <c r="L6184" s="129">
        <v>9.95258411E8</v>
      </c>
      <c r="M6184" s="99">
        <v>1.31</v>
      </c>
    </row>
    <row r="6185">
      <c r="A6185" s="122" t="s">
        <v>12876</v>
      </c>
      <c r="B6185" s="123">
        <v>823277.0</v>
      </c>
      <c r="C6185" s="124" t="s">
        <v>12877</v>
      </c>
      <c r="D6185" s="125"/>
      <c r="E6185" s="126">
        <v>30.95</v>
      </c>
      <c r="F6185" s="127"/>
      <c r="G6185" s="127"/>
      <c r="H6185" s="127"/>
      <c r="I6185" s="128"/>
      <c r="K6185" s="105" t="str">
        <f>IFERROR(__xludf.DUMMYFUNCTION("if(A6185="""","""",substitute(SUBSTITUTE(index(importhtml(""http://finviz.com/quote.ashx?t=""&amp;A6185,""table"",10),7,2),""*"",""""),""-"",""0.00""))"),"Loading...")</f>
        <v>Loading...</v>
      </c>
      <c r="L6185" s="129">
        <v>3.79757036E8</v>
      </c>
      <c r="M6185" s="99">
        <v>0.26</v>
      </c>
    </row>
    <row r="6186">
      <c r="A6186" s="122" t="s">
        <v>12878</v>
      </c>
      <c r="B6186" s="123">
        <v>887905.0</v>
      </c>
      <c r="C6186" s="124" t="s">
        <v>12879</v>
      </c>
      <c r="D6186" s="125"/>
      <c r="E6186" s="126">
        <v>30.95</v>
      </c>
      <c r="F6186" s="127"/>
      <c r="G6186" s="127"/>
      <c r="H6186" s="127"/>
      <c r="I6186" s="128"/>
      <c r="K6186" s="105" t="str">
        <f>IFERROR(__xludf.DUMMYFUNCTION("if(A6186="""","""",substitute(SUBSTITUTE(index(importhtml(""http://finviz.com/quote.ashx?t=""&amp;A6186,""table"",10),7,2),""*"",""""),""-"",""0.00""))"),"Loading...")</f>
        <v>Loading...</v>
      </c>
      <c r="L6186" s="129">
        <v>1.281691837E9</v>
      </c>
      <c r="M6186" s="99">
        <v>0.88</v>
      </c>
    </row>
    <row r="6187">
      <c r="A6187" s="122" t="s">
        <v>12880</v>
      </c>
      <c r="B6187" s="123">
        <v>1265131.0</v>
      </c>
      <c r="C6187" s="124" t="s">
        <v>12881</v>
      </c>
      <c r="D6187" s="125"/>
      <c r="E6187" s="126">
        <v>30.95</v>
      </c>
      <c r="F6187" s="127"/>
      <c r="G6187" s="127"/>
      <c r="H6187" s="127"/>
      <c r="I6187" s="128"/>
      <c r="K6187" s="105" t="str">
        <f>IFERROR(__xludf.DUMMYFUNCTION("if(A6187="""","""",substitute(SUBSTITUTE(index(importhtml(""http://finviz.com/quote.ashx?t=""&amp;A6187,""table"",10),7,2),""*"",""""),""-"",""0.00""))"),"Loading...")</f>
        <v>Loading...</v>
      </c>
      <c r="L6187" s="129">
        <v>2.016485399E9</v>
      </c>
      <c r="M6187" s="99">
        <v>1.13</v>
      </c>
    </row>
    <row r="6188">
      <c r="A6188" s="122" t="s">
        <v>12882</v>
      </c>
      <c r="B6188" s="123">
        <v>1634997.0</v>
      </c>
      <c r="C6188" s="124" t="s">
        <v>12883</v>
      </c>
      <c r="D6188" s="125"/>
      <c r="E6188" s="126">
        <v>30.98</v>
      </c>
      <c r="F6188" s="127"/>
      <c r="G6188" s="127"/>
      <c r="H6188" s="127"/>
      <c r="I6188" s="128"/>
      <c r="K6188" s="55" t="s">
        <v>12884</v>
      </c>
      <c r="L6188" s="129">
        <v>1.1982162304E10</v>
      </c>
      <c r="M6188" s="99">
        <v>0.53</v>
      </c>
    </row>
    <row r="6189">
      <c r="A6189" s="122" t="s">
        <v>12885</v>
      </c>
      <c r="B6189" s="123">
        <v>1172358.0</v>
      </c>
      <c r="C6189" s="124" t="s">
        <v>12886</v>
      </c>
      <c r="D6189" s="125"/>
      <c r="E6189" s="126">
        <v>31.0</v>
      </c>
      <c r="F6189" s="127"/>
      <c r="G6189" s="127"/>
      <c r="H6189" s="127"/>
      <c r="I6189" s="128"/>
      <c r="K6189" s="105" t="str">
        <f>IFERROR(__xludf.DUMMYFUNCTION("if(A6189="""","""",substitute(SUBSTITUTE(index(importhtml(""http://finviz.com/quote.ashx?t=""&amp;A6189,""table"",10),7,2),""*"",""""),""-"",""0.00""))"),"Loading...")</f>
        <v>Loading...</v>
      </c>
      <c r="L6189" s="129">
        <v>1.22708044E9</v>
      </c>
      <c r="M6189" s="99">
        <v>1.12</v>
      </c>
    </row>
    <row r="6190">
      <c r="A6190" s="122" t="s">
        <v>12887</v>
      </c>
      <c r="B6190" s="123">
        <v>1868778.0</v>
      </c>
      <c r="C6190" s="124" t="s">
        <v>12888</v>
      </c>
      <c r="D6190" s="125"/>
      <c r="E6190" s="126">
        <v>31.0</v>
      </c>
      <c r="F6190" s="127"/>
      <c r="G6190" s="127"/>
      <c r="H6190" s="127"/>
      <c r="I6190" s="128"/>
      <c r="K6190" s="105" t="str">
        <f>IFERROR(__xludf.DUMMYFUNCTION("if(A6190="""","""",substitute(SUBSTITUTE(index(importhtml(""http://finviz.com/quote.ashx?t=""&amp;A6190,""table"",10),7,2),""*"",""""),""-"",""0.00""))"),"Loading...")</f>
        <v>Loading...</v>
      </c>
      <c r="L6190" s="129">
        <v>9.0249308E9</v>
      </c>
      <c r="M6190" s="99">
        <v>1.44</v>
      </c>
    </row>
    <row r="6191">
      <c r="A6191" s="122" t="s">
        <v>12889</v>
      </c>
      <c r="B6191" s="123">
        <v>1473086.0</v>
      </c>
      <c r="C6191" s="124" t="s">
        <v>12890</v>
      </c>
      <c r="D6191" s="125"/>
      <c r="E6191" s="126">
        <v>31.0</v>
      </c>
      <c r="F6191" s="127"/>
      <c r="G6191" s="127"/>
      <c r="H6191" s="127"/>
      <c r="I6191" s="128"/>
      <c r="K6191" s="105" t="str">
        <f>IFERROR(__xludf.DUMMYFUNCTION("if(A6191="""","""",substitute(SUBSTITUTE(index(importhtml(""http://finviz.com/quote.ashx?t=""&amp;A6191,""table"",10),7,2),""*"",""""),""-"",""0.00""))"),"Loading...")</f>
        <v>Loading...</v>
      </c>
      <c r="L6191" s="129" t="e">
        <v>#N/A</v>
      </c>
      <c r="M6191" s="99">
        <v>0.39</v>
      </c>
    </row>
    <row r="6192">
      <c r="A6192" s="122" t="s">
        <v>12891</v>
      </c>
      <c r="B6192" s="123">
        <v>796534.0</v>
      </c>
      <c r="C6192" s="124" t="s">
        <v>12892</v>
      </c>
      <c r="D6192" s="125"/>
      <c r="E6192" s="126">
        <v>31.01</v>
      </c>
      <c r="F6192" s="127"/>
      <c r="G6192" s="127"/>
      <c r="H6192" s="127"/>
      <c r="I6192" s="128"/>
      <c r="K6192" s="105" t="str">
        <f>IFERROR(__xludf.DUMMYFUNCTION("if(A6192="""","""",substitute(SUBSTITUTE(index(importhtml(""http://finviz.com/quote.ashx?t=""&amp;A6192,""table"",10),7,2),""*"",""""),""-"",""0.00""))"),"Loading...")</f>
        <v>Loading...</v>
      </c>
      <c r="L6192" s="129">
        <v>1.82766119E8</v>
      </c>
      <c r="M6192" s="99">
        <v>0.55</v>
      </c>
    </row>
    <row r="6193">
      <c r="A6193" s="122" t="s">
        <v>12893</v>
      </c>
      <c r="B6193" s="123">
        <v>1057060.0</v>
      </c>
      <c r="C6193" s="124" t="s">
        <v>12894</v>
      </c>
      <c r="D6193" s="125"/>
      <c r="E6193" s="126">
        <v>31.05</v>
      </c>
      <c r="F6193" s="127"/>
      <c r="G6193" s="127"/>
      <c r="H6193" s="127"/>
      <c r="I6193" s="128"/>
      <c r="K6193" s="105" t="str">
        <f>IFERROR(__xludf.DUMMYFUNCTION("if(A6193="""","""",substitute(SUBSTITUTE(index(importhtml(""http://finviz.com/quote.ashx?t=""&amp;A6193,""table"",10),7,2),""*"",""""),""-"",""0.00""))"),"Loading...")</f>
        <v>Loading...</v>
      </c>
      <c r="L6193" s="129">
        <v>6.92401941E8</v>
      </c>
      <c r="M6193" s="99">
        <v>1.68</v>
      </c>
    </row>
    <row r="6194">
      <c r="A6194" s="122" t="s">
        <v>12895</v>
      </c>
      <c r="B6194" s="123">
        <v>1530238.0</v>
      </c>
      <c r="C6194" s="124" t="s">
        <v>12896</v>
      </c>
      <c r="D6194" s="125"/>
      <c r="E6194" s="126">
        <v>31.07</v>
      </c>
      <c r="F6194" s="127"/>
      <c r="G6194" s="127"/>
      <c r="H6194" s="127"/>
      <c r="I6194" s="128"/>
      <c r="K6194" s="55" t="s">
        <v>12642</v>
      </c>
      <c r="L6194" s="129">
        <v>1.888916166E9</v>
      </c>
      <c r="M6194" s="99">
        <v>0.35</v>
      </c>
    </row>
    <row r="6195">
      <c r="A6195" s="122" t="s">
        <v>12897</v>
      </c>
      <c r="B6195" s="123">
        <v>1818089.0</v>
      </c>
      <c r="C6195" s="124" t="s">
        <v>12898</v>
      </c>
      <c r="D6195" s="125"/>
      <c r="E6195" s="126">
        <v>31.08</v>
      </c>
      <c r="F6195" s="127"/>
      <c r="G6195" s="127"/>
      <c r="H6195" s="127"/>
      <c r="I6195" s="128"/>
      <c r="K6195" s="105" t="str">
        <f>IFERROR(__xludf.DUMMYFUNCTION("if(A6195="""","""",substitute(SUBSTITUTE(index(importhtml(""http://finviz.com/quote.ashx?t=""&amp;A6195,""table"",10),7,2),""*"",""""),""-"",""0.00""))"),"Loading...")</f>
        <v>Loading...</v>
      </c>
      <c r="L6195" s="129">
        <v>2.6487258623E11</v>
      </c>
      <c r="M6195" s="99" t="str">
        <f>IFERROR(__xludf.DUMMYFUNCTION("GOOGLEFINANCE(A6195,""beta"")"),"#N/A")</f>
        <v>#N/A</v>
      </c>
    </row>
    <row r="6196">
      <c r="A6196" s="122" t="s">
        <v>12899</v>
      </c>
      <c r="B6196" s="123">
        <v>1591587.0</v>
      </c>
      <c r="C6196" s="124" t="s">
        <v>12900</v>
      </c>
      <c r="D6196" s="125"/>
      <c r="E6196" s="126">
        <v>31.09</v>
      </c>
      <c r="F6196" s="127"/>
      <c r="G6196" s="127"/>
      <c r="H6196" s="127"/>
      <c r="I6196" s="128"/>
      <c r="K6196" s="55" t="s">
        <v>1034</v>
      </c>
      <c r="L6196" s="129">
        <v>2.308910364E9</v>
      </c>
      <c r="M6196" s="99">
        <v>1.09</v>
      </c>
    </row>
    <row r="6197">
      <c r="A6197" s="122" t="s">
        <v>12901</v>
      </c>
      <c r="B6197" s="123">
        <v>887153.0</v>
      </c>
      <c r="C6197" s="124" t="s">
        <v>12902</v>
      </c>
      <c r="D6197" s="125"/>
      <c r="E6197" s="126">
        <v>31.09</v>
      </c>
      <c r="F6197" s="127"/>
      <c r="G6197" s="127"/>
      <c r="H6197" s="127"/>
      <c r="I6197" s="128"/>
      <c r="K6197" s="105" t="str">
        <f>IFERROR(__xludf.DUMMYFUNCTION("if(A6197="""","""",substitute(SUBSTITUTE(index(importhtml(""http://finviz.com/quote.ashx?t=""&amp;A6197,""table"",10),7,2),""*"",""""),""-"",""0.00""))"),"Loading...")</f>
        <v>Loading...</v>
      </c>
      <c r="L6197" s="129">
        <v>5.295062285E9</v>
      </c>
      <c r="M6197" s="99">
        <v>0.11</v>
      </c>
    </row>
    <row r="6198">
      <c r="A6198" s="122" t="s">
        <v>12903</v>
      </c>
      <c r="B6198" s="123">
        <v>1802665.0</v>
      </c>
      <c r="C6198" s="124" t="s">
        <v>12904</v>
      </c>
      <c r="D6198" s="125"/>
      <c r="E6198" s="126">
        <v>31.17</v>
      </c>
      <c r="F6198" s="127"/>
      <c r="G6198" s="127"/>
      <c r="H6198" s="127"/>
      <c r="I6198" s="128"/>
      <c r="K6198" s="105" t="str">
        <f>IFERROR(__xludf.DUMMYFUNCTION("if(A6198="""","""",substitute(SUBSTITUTE(index(importhtml(""http://finviz.com/quote.ashx?t=""&amp;A6198,""table"",10),7,2),""*"",""""),""-"",""0.00""))"),"Loading...")</f>
        <v>Loading...</v>
      </c>
      <c r="L6198" s="129">
        <v>1.825687062E9</v>
      </c>
      <c r="M6198" s="99">
        <v>0.73</v>
      </c>
    </row>
    <row r="6199">
      <c r="A6199" s="122" t="s">
        <v>12905</v>
      </c>
      <c r="B6199" s="123">
        <v>1483994.0</v>
      </c>
      <c r="C6199" s="124" t="s">
        <v>12906</v>
      </c>
      <c r="D6199" s="125"/>
      <c r="E6199" s="126">
        <v>31.2</v>
      </c>
      <c r="F6199" s="127"/>
      <c r="G6199" s="127"/>
      <c r="H6199" s="127"/>
      <c r="I6199" s="128"/>
      <c r="K6199" s="105" t="str">
        <f>IFERROR(__xludf.DUMMYFUNCTION("if(A6199="""","""",substitute(SUBSTITUTE(index(importhtml(""http://finviz.com/quote.ashx?t=""&amp;A6199,""table"",10),7,2),""*"",""""),""-"",""0.00""))"),"Loading...")</f>
        <v>Loading...</v>
      </c>
      <c r="L6199" s="129">
        <v>1.0183539849E10</v>
      </c>
      <c r="M6199" s="99">
        <v>0.92</v>
      </c>
    </row>
    <row r="6200">
      <c r="A6200" s="122" t="s">
        <v>12907</v>
      </c>
      <c r="B6200" s="123">
        <v>1304492.0</v>
      </c>
      <c r="C6200" s="124" t="s">
        <v>12908</v>
      </c>
      <c r="D6200" s="125"/>
      <c r="E6200" s="126">
        <v>31.21</v>
      </c>
      <c r="F6200" s="127"/>
      <c r="G6200" s="127"/>
      <c r="H6200" s="127"/>
      <c r="I6200" s="128"/>
      <c r="K6200" s="105" t="str">
        <f>IFERROR(__xludf.DUMMYFUNCTION("if(A6200="""","""",substitute(SUBSTITUTE(index(importhtml(""http://finviz.com/quote.ashx?t=""&amp;A6200,""table"",10),7,2),""*"",""""),""-"",""0.00""))"),"Loading...")</f>
        <v>Loading...</v>
      </c>
      <c r="L6200" s="129">
        <v>5.85801383E8</v>
      </c>
      <c r="M6200" s="99">
        <v>0.61</v>
      </c>
    </row>
    <row r="6201">
      <c r="A6201" s="122" t="s">
        <v>12909</v>
      </c>
      <c r="B6201" s="123">
        <v>1643615.0</v>
      </c>
      <c r="C6201" s="124" t="s">
        <v>12910</v>
      </c>
      <c r="D6201" s="125"/>
      <c r="E6201" s="126">
        <v>31.25</v>
      </c>
      <c r="F6201" s="127"/>
      <c r="G6201" s="127"/>
      <c r="H6201" s="127"/>
      <c r="I6201" s="128"/>
      <c r="K6201" s="105" t="str">
        <f>IFERROR(__xludf.DUMMYFUNCTION("if(A6201="""","""",substitute(SUBSTITUTE(index(importhtml(""http://finviz.com/quote.ashx?t=""&amp;A6201,""table"",10),7,2),""*"",""""),""-"",""0.00""))"),"Loading...")</f>
        <v>Loading...</v>
      </c>
      <c r="L6201" s="129">
        <v>9.43381562E8</v>
      </c>
      <c r="M6201" s="99">
        <v>1.9</v>
      </c>
    </row>
    <row r="6202">
      <c r="A6202" s="122" t="s">
        <v>12911</v>
      </c>
      <c r="B6202" s="123">
        <v>1602065.0</v>
      </c>
      <c r="C6202" s="124" t="s">
        <v>12912</v>
      </c>
      <c r="D6202" s="125"/>
      <c r="E6202" s="126">
        <v>31.25</v>
      </c>
      <c r="F6202" s="127"/>
      <c r="G6202" s="127"/>
      <c r="H6202" s="127"/>
      <c r="I6202" s="128"/>
      <c r="K6202" s="105" t="str">
        <f>IFERROR(__xludf.DUMMYFUNCTION("if(A6202="""","""",substitute(SUBSTITUTE(index(importhtml(""http://finviz.com/quote.ashx?t=""&amp;A6202,""table"",10),7,2),""*"",""""),""-"",""0.00""))"),"Loading...")</f>
        <v>Loading...</v>
      </c>
      <c r="L6202" s="129">
        <v>5.55794375E9</v>
      </c>
      <c r="M6202" s="99">
        <v>1.77</v>
      </c>
    </row>
    <row r="6203">
      <c r="A6203" s="122" t="s">
        <v>12913</v>
      </c>
      <c r="B6203" s="123">
        <v>1406587.0</v>
      </c>
      <c r="C6203" s="124" t="s">
        <v>12914</v>
      </c>
      <c r="D6203" s="125"/>
      <c r="E6203" s="126">
        <v>31.26</v>
      </c>
      <c r="F6203" s="127"/>
      <c r="G6203" s="127"/>
      <c r="H6203" s="127"/>
      <c r="I6203" s="128"/>
      <c r="K6203" s="55" t="s">
        <v>1034</v>
      </c>
      <c r="L6203" s="129">
        <v>1.560293833E9</v>
      </c>
      <c r="M6203" s="99">
        <v>1.7</v>
      </c>
    </row>
    <row r="6204">
      <c r="A6204" s="122" t="s">
        <v>12915</v>
      </c>
      <c r="B6204" s="123">
        <v>1547903.0</v>
      </c>
      <c r="C6204" s="124" t="s">
        <v>12916</v>
      </c>
      <c r="D6204" s="125"/>
      <c r="E6204" s="126">
        <v>31.28</v>
      </c>
      <c r="F6204" s="127"/>
      <c r="G6204" s="127"/>
      <c r="H6204" s="127"/>
      <c r="I6204" s="128"/>
      <c r="K6204" s="105" t="str">
        <f>IFERROR(__xludf.DUMMYFUNCTION("if(A6204="""","""",substitute(SUBSTITUTE(index(importhtml(""http://finviz.com/quote.ashx?t=""&amp;A6204,""table"",10),7,2),""*"",""""),""-"",""0.00""))"),"Loading...")</f>
        <v>Loading...</v>
      </c>
      <c r="L6204" s="129">
        <v>2.536204351E9</v>
      </c>
      <c r="M6204" s="99">
        <v>1.1</v>
      </c>
    </row>
    <row r="6205">
      <c r="A6205" s="122" t="s">
        <v>12917</v>
      </c>
      <c r="B6205" s="123">
        <v>1902733.0</v>
      </c>
      <c r="C6205" s="124" t="s">
        <v>12918</v>
      </c>
      <c r="D6205" s="125"/>
      <c r="E6205" s="126">
        <v>31.29</v>
      </c>
      <c r="F6205" s="127"/>
      <c r="G6205" s="127"/>
      <c r="H6205" s="127"/>
      <c r="I6205" s="128"/>
      <c r="K6205" s="105" t="str">
        <f>IFERROR(__xludf.DUMMYFUNCTION("if(A6205="""","""",substitute(SUBSTITUTE(index(importhtml(""http://finviz.com/quote.ashx?t=""&amp;A6205,""table"",10),7,2),""*"",""""),""-"",""0.00""))"),"Loading...")</f>
        <v>Loading...</v>
      </c>
      <c r="L6205" s="129">
        <v>3.539931673E9</v>
      </c>
      <c r="M6205" s="99">
        <v>0.46</v>
      </c>
    </row>
    <row r="6206">
      <c r="A6206" s="122" t="s">
        <v>12919</v>
      </c>
      <c r="B6206" s="123">
        <v>1560385.0</v>
      </c>
      <c r="C6206" s="124" t="s">
        <v>12920</v>
      </c>
      <c r="D6206" s="125"/>
      <c r="E6206" s="126">
        <v>31.3</v>
      </c>
      <c r="F6206" s="127"/>
      <c r="G6206" s="127"/>
      <c r="H6206" s="127"/>
      <c r="I6206" s="128"/>
      <c r="K6206" s="105" t="str">
        <f>IFERROR(__xludf.DUMMYFUNCTION("if(A6206="""","""",substitute(SUBSTITUTE(index(importhtml(""http://finviz.com/quote.ashx?t=""&amp;A6206,""table"",10),7,2),""*"",""""),""-"",""0.00""))"),"Loading...")</f>
        <v>Loading...</v>
      </c>
      <c r="L6206" s="129">
        <v>2.862840887E10</v>
      </c>
      <c r="M6206" s="99">
        <v>1.29</v>
      </c>
    </row>
    <row r="6207">
      <c r="A6207" s="122" t="s">
        <v>12921</v>
      </c>
      <c r="B6207" s="123">
        <v>928022.0</v>
      </c>
      <c r="C6207" s="124" t="s">
        <v>12922</v>
      </c>
      <c r="D6207" s="125"/>
      <c r="E6207" s="126">
        <v>31.32</v>
      </c>
      <c r="F6207" s="127"/>
      <c r="G6207" s="127"/>
      <c r="H6207" s="127"/>
      <c r="I6207" s="128"/>
      <c r="K6207" s="55" t="s">
        <v>1034</v>
      </c>
      <c r="L6207" s="129">
        <v>2.081982259E9</v>
      </c>
      <c r="M6207" s="99">
        <v>2.49</v>
      </c>
    </row>
    <row r="6208">
      <c r="A6208" s="122" t="s">
        <v>12923</v>
      </c>
      <c r="B6208" s="123">
        <v>1701167.0</v>
      </c>
      <c r="C6208" s="124" t="s">
        <v>12924</v>
      </c>
      <c r="D6208" s="125"/>
      <c r="E6208" s="126">
        <v>31.36</v>
      </c>
      <c r="F6208" s="127"/>
      <c r="G6208" s="127"/>
      <c r="H6208" s="127"/>
      <c r="I6208" s="128"/>
      <c r="K6208" s="105" t="str">
        <f>IFERROR(__xludf.DUMMYFUNCTION("if(A6208="""","""",substitute(SUBSTITUTE(index(importhtml(""http://finviz.com/quote.ashx?t=""&amp;A6208,""table"",10),7,2),""*"",""""),""-"",""0.00""))"),"Loading...")</f>
        <v>Loading...</v>
      </c>
      <c r="L6208" s="129">
        <v>8.436845E8</v>
      </c>
      <c r="M6208" s="99" t="str">
        <f>IFERROR(__xludf.DUMMYFUNCTION("GOOGLEFINANCE(A6208,""beta"")"),"#N/A")</f>
        <v>#N/A</v>
      </c>
    </row>
    <row r="6209">
      <c r="A6209" s="122" t="s">
        <v>12925</v>
      </c>
      <c r="B6209" s="123">
        <v>1306965.0</v>
      </c>
      <c r="C6209" s="124" t="s">
        <v>12926</v>
      </c>
      <c r="D6209" s="125"/>
      <c r="E6209" s="126">
        <v>31.38</v>
      </c>
      <c r="F6209" s="127"/>
      <c r="G6209" s="127"/>
      <c r="H6209" s="127"/>
      <c r="I6209" s="128"/>
      <c r="K6209" s="105" t="str">
        <f>IFERROR(__xludf.DUMMYFUNCTION("if(A6209="""","""",substitute(SUBSTITUTE(index(importhtml(""http://finviz.com/quote.ashx?t=""&amp;A6209,""table"",10),7,2),""*"",""""),""-"",""0.00""))"),"Loading...")</f>
        <v>Loading...</v>
      </c>
      <c r="L6209" s="129">
        <v>2.0489418503E11</v>
      </c>
      <c r="M6209" s="99">
        <v>0.69</v>
      </c>
    </row>
    <row r="6210">
      <c r="A6210" s="122" t="s">
        <v>12927</v>
      </c>
      <c r="B6210" s="123">
        <v>1406234.0</v>
      </c>
      <c r="C6210" s="124" t="s">
        <v>12928</v>
      </c>
      <c r="D6210" s="125"/>
      <c r="E6210" s="126">
        <v>31.39</v>
      </c>
      <c r="F6210" s="127"/>
      <c r="G6210" s="127"/>
      <c r="H6210" s="127"/>
      <c r="I6210" s="128"/>
      <c r="K6210" s="55" t="s">
        <v>12929</v>
      </c>
      <c r="L6210" s="129">
        <v>1.450672185E10</v>
      </c>
      <c r="M6210" s="99">
        <v>1.06</v>
      </c>
    </row>
    <row r="6211">
      <c r="A6211" s="122" t="s">
        <v>12930</v>
      </c>
      <c r="B6211" s="123">
        <v>1572334.0</v>
      </c>
      <c r="C6211" s="124" t="s">
        <v>12931</v>
      </c>
      <c r="D6211" s="125"/>
      <c r="E6211" s="126">
        <v>31.4</v>
      </c>
      <c r="F6211" s="127"/>
      <c r="G6211" s="127"/>
      <c r="H6211" s="127"/>
      <c r="I6211" s="128"/>
      <c r="K6211" s="105" t="str">
        <f>IFERROR(__xludf.DUMMYFUNCTION("if(A6211="""","""",substitute(SUBSTITUTE(index(importhtml(""http://finviz.com/quote.ashx?t=""&amp;A6211,""table"",10),7,2),""*"",""""),""-"",""0.00""))"),"Loading...")</f>
        <v>Loading...</v>
      </c>
      <c r="L6211" s="129">
        <v>1.68491832E8</v>
      </c>
      <c r="M6211" s="99">
        <v>0.65</v>
      </c>
    </row>
    <row r="6212">
      <c r="A6212" s="122" t="s">
        <v>12932</v>
      </c>
      <c r="B6212" s="123">
        <v>1030475.0</v>
      </c>
      <c r="C6212" s="124" t="s">
        <v>12933</v>
      </c>
      <c r="D6212" s="125"/>
      <c r="E6212" s="126">
        <v>31.4</v>
      </c>
      <c r="F6212" s="127"/>
      <c r="G6212" s="127"/>
      <c r="H6212" s="127"/>
      <c r="I6212" s="128"/>
      <c r="K6212" s="105" t="str">
        <f>IFERROR(__xludf.DUMMYFUNCTION("if(A6212="""","""",substitute(SUBSTITUTE(index(importhtml(""http://finviz.com/quote.ashx?t=""&amp;A6212,""table"",10),7,2),""*"",""""),""-"",""0.00""))"),"Loading...")</f>
        <v>Loading...</v>
      </c>
      <c r="L6212" s="129">
        <v>2.602171E8</v>
      </c>
      <c r="M6212" s="99" t="str">
        <f>IFERROR(__xludf.DUMMYFUNCTION("GOOGLEFINANCE(A6212,""beta"")"),"#N/A")</f>
        <v>#N/A</v>
      </c>
    </row>
    <row r="6213">
      <c r="A6213" s="122" t="s">
        <v>12934</v>
      </c>
      <c r="B6213" s="123">
        <v>1496963.0</v>
      </c>
      <c r="C6213" s="124" t="s">
        <v>12935</v>
      </c>
      <c r="D6213" s="125"/>
      <c r="E6213" s="126">
        <v>31.4</v>
      </c>
      <c r="F6213" s="127"/>
      <c r="G6213" s="127"/>
      <c r="H6213" s="127"/>
      <c r="I6213" s="128"/>
      <c r="K6213" s="105" t="str">
        <f>IFERROR(__xludf.DUMMYFUNCTION("if(A6213="""","""",substitute(SUBSTITUTE(index(importhtml(""http://finviz.com/quote.ashx?t=""&amp;A6213,""table"",10),7,2),""*"",""""),""-"",""0.00""))"),"Loading...")</f>
        <v>Loading...</v>
      </c>
      <c r="L6213" s="129">
        <v>4.269426548E9</v>
      </c>
      <c r="M6213" s="99" t="str">
        <f>IFERROR(__xludf.DUMMYFUNCTION("GOOGLEFINANCE(A6213,""beta"")"),"#N/A")</f>
        <v>#N/A</v>
      </c>
    </row>
    <row r="6214">
      <c r="A6214" s="122" t="s">
        <v>12936</v>
      </c>
      <c r="B6214" s="123">
        <v>1002242.0</v>
      </c>
      <c r="C6214" s="124" t="s">
        <v>10795</v>
      </c>
      <c r="D6214" s="125"/>
      <c r="E6214" s="126">
        <v>31.45</v>
      </c>
      <c r="F6214" s="127"/>
      <c r="G6214" s="127"/>
      <c r="H6214" s="127"/>
      <c r="I6214" s="128"/>
      <c r="K6214" s="138" t="s">
        <v>12937</v>
      </c>
      <c r="L6214" s="129">
        <v>5.3154526889E10</v>
      </c>
      <c r="M6214" s="99">
        <v>1.01</v>
      </c>
    </row>
    <row r="6215">
      <c r="A6215" s="122" t="s">
        <v>12938</v>
      </c>
      <c r="B6215" s="123">
        <v>1415921.0</v>
      </c>
      <c r="C6215" s="124" t="s">
        <v>12939</v>
      </c>
      <c r="D6215" s="125"/>
      <c r="E6215" s="126">
        <v>31.46</v>
      </c>
      <c r="F6215" s="127"/>
      <c r="G6215" s="127"/>
      <c r="H6215" s="127"/>
      <c r="I6215" s="128"/>
      <c r="K6215" s="105" t="str">
        <f>IFERROR(__xludf.DUMMYFUNCTION("if(A6215="""","""",substitute(SUBSTITUTE(index(importhtml(""http://finviz.com/quote.ashx?t=""&amp;A6215,""table"",10),7,2),""*"",""""),""-"",""0.00""))"),"Loading...")</f>
        <v>Loading...</v>
      </c>
      <c r="L6215" s="129">
        <v>3.9657215134E10</v>
      </c>
      <c r="M6215" s="99">
        <f>IFERROR(__xludf.DUMMYFUNCTION("GOOGLEFINANCE(A6215,""beta"")"),1.53)</f>
        <v>1.53</v>
      </c>
    </row>
    <row r="6216">
      <c r="A6216" s="122" t="s">
        <v>12940</v>
      </c>
      <c r="B6216" s="123">
        <v>36029.0</v>
      </c>
      <c r="C6216" s="124" t="s">
        <v>12941</v>
      </c>
      <c r="D6216" s="125"/>
      <c r="E6216" s="126">
        <v>31.47</v>
      </c>
      <c r="F6216" s="127"/>
      <c r="G6216" s="127"/>
      <c r="H6216" s="127"/>
      <c r="I6216" s="128"/>
      <c r="K6216" s="105" t="str">
        <f>IFERROR(__xludf.DUMMYFUNCTION("if(A6216="""","""",substitute(SUBSTITUTE(index(importhtml(""http://finviz.com/quote.ashx?t=""&amp;A6216,""table"",10),7,2),""*"",""""),""-"",""0.00""))"),"Loading...")</f>
        <v>Loading...</v>
      </c>
      <c r="L6216" s="129">
        <v>4.491061573E9</v>
      </c>
      <c r="M6216" s="99">
        <v>0.82</v>
      </c>
    </row>
    <row r="6217">
      <c r="A6217" s="122" t="s">
        <v>12942</v>
      </c>
      <c r="B6217" s="123">
        <v>1014739.0</v>
      </c>
      <c r="C6217" s="124" t="s">
        <v>12943</v>
      </c>
      <c r="D6217" s="125"/>
      <c r="E6217" s="126">
        <v>31.54</v>
      </c>
      <c r="F6217" s="127"/>
      <c r="G6217" s="127"/>
      <c r="H6217" s="127"/>
      <c r="I6217" s="128"/>
      <c r="K6217" s="105" t="str">
        <f>IFERROR(__xludf.DUMMYFUNCTION("if(A6217="""","""",substitute(SUBSTITUTE(index(importhtml(""http://finviz.com/quote.ashx?t=""&amp;A6217,""table"",10),7,2),""*"",""""),""-"",""0.00""))"),"Loading...")</f>
        <v>Loading...</v>
      </c>
      <c r="L6217" s="129">
        <v>5.586696132E9</v>
      </c>
      <c r="M6217" s="99">
        <v>1.19</v>
      </c>
    </row>
    <row r="6218">
      <c r="A6218" s="122" t="s">
        <v>12944</v>
      </c>
      <c r="B6218" s="123">
        <v>1449580.0</v>
      </c>
      <c r="C6218" s="124" t="s">
        <v>12945</v>
      </c>
      <c r="D6218" s="125"/>
      <c r="E6218" s="126">
        <v>31.63</v>
      </c>
      <c r="F6218" s="127"/>
      <c r="G6218" s="127"/>
      <c r="H6218" s="127"/>
      <c r="I6218" s="128"/>
      <c r="K6218" s="105" t="str">
        <f>IFERROR(__xludf.DUMMYFUNCTION("if(A6218="""","""",substitute(SUBSTITUTE(index(importhtml(""http://finviz.com/quote.ashx?t=""&amp;A6218,""table"",10),7,2),""*"",""""),""-"",""0.00""))"),"Loading...")</f>
        <v>Loading...</v>
      </c>
      <c r="L6218" s="129">
        <v>2.66476064E9</v>
      </c>
      <c r="M6218" s="99">
        <v>0.35</v>
      </c>
    </row>
    <row r="6219">
      <c r="A6219" s="122" t="s">
        <v>12946</v>
      </c>
      <c r="B6219" s="123">
        <v>23426.0</v>
      </c>
      <c r="C6219" s="124" t="s">
        <v>12947</v>
      </c>
      <c r="D6219" s="125"/>
      <c r="E6219" s="126">
        <v>31.65</v>
      </c>
      <c r="F6219" s="127"/>
      <c r="G6219" s="127"/>
      <c r="H6219" s="127"/>
      <c r="I6219" s="128"/>
      <c r="K6219" s="105" t="str">
        <f>IFERROR(__xludf.DUMMYFUNCTION("if(A6219="""","""",substitute(SUBSTITUTE(index(importhtml(""http://finviz.com/quote.ashx?t=""&amp;A6219,""table"",10),7,2),""*"",""""),""-"",""0.00""))"),"Loading...")</f>
        <v>Loading...</v>
      </c>
      <c r="L6219" s="129">
        <v>2.66609E7</v>
      </c>
      <c r="M6219" s="99">
        <v>0.05</v>
      </c>
    </row>
    <row r="6220">
      <c r="A6220" s="122" t="s">
        <v>12948</v>
      </c>
      <c r="B6220" s="123">
        <v>1009829.0</v>
      </c>
      <c r="C6220" s="124" t="s">
        <v>12949</v>
      </c>
      <c r="D6220" s="125"/>
      <c r="E6220" s="126">
        <v>31.65</v>
      </c>
      <c r="F6220" s="127"/>
      <c r="G6220" s="127"/>
      <c r="H6220" s="127"/>
      <c r="I6220" s="128"/>
      <c r="K6220" s="105" t="str">
        <f>IFERROR(__xludf.DUMMYFUNCTION("if(A6220="""","""",substitute(SUBSTITUTE(index(importhtml(""http://finviz.com/quote.ashx?t=""&amp;A6220,""table"",10),7,2),""*"",""""),""-"",""0.00""))"),"Loading...")</f>
        <v>Loading...</v>
      </c>
      <c r="L6220" s="129">
        <v>3.18818675E8</v>
      </c>
      <c r="M6220" s="99">
        <v>2.35</v>
      </c>
    </row>
    <row r="6221">
      <c r="A6221" s="122" t="s">
        <v>12950</v>
      </c>
      <c r="B6221" s="123">
        <v>1620393.0</v>
      </c>
      <c r="C6221" s="124" t="s">
        <v>12951</v>
      </c>
      <c r="D6221" s="125"/>
      <c r="E6221" s="126">
        <v>31.65</v>
      </c>
      <c r="F6221" s="127"/>
      <c r="G6221" s="127"/>
      <c r="H6221" s="127"/>
      <c r="I6221" s="128"/>
      <c r="K6221" s="105" t="str">
        <f>IFERROR(__xludf.DUMMYFUNCTION("if(A6221="""","""",substitute(SUBSTITUTE(index(importhtml(""http://finviz.com/quote.ashx?t=""&amp;A6221,""table"",10),7,2),""*"",""""),""-"",""0.00""))"),"Loading...")</f>
        <v>Loading...</v>
      </c>
      <c r="L6221" s="129">
        <v>8.12591901E8</v>
      </c>
      <c r="M6221" s="99">
        <v>1.29</v>
      </c>
    </row>
    <row r="6222">
      <c r="A6222" s="122" t="s">
        <v>12952</v>
      </c>
      <c r="B6222" s="123">
        <v>1749723.0</v>
      </c>
      <c r="C6222" s="124" t="s">
        <v>12953</v>
      </c>
      <c r="D6222" s="125"/>
      <c r="E6222" s="126">
        <v>31.65</v>
      </c>
      <c r="F6222" s="127"/>
      <c r="G6222" s="127"/>
      <c r="H6222" s="127"/>
      <c r="I6222" s="128"/>
      <c r="K6222" s="105" t="str">
        <f>IFERROR(__xludf.DUMMYFUNCTION("if(A6222="""","""",substitute(SUBSTITUTE(index(importhtml(""http://finviz.com/quote.ashx?t=""&amp;A6222,""table"",10),7,2),""*"",""""),""-"",""0.00""))"),"Loading...")</f>
        <v>Loading...</v>
      </c>
      <c r="L6222" s="129">
        <v>6.489243731E9</v>
      </c>
      <c r="M6222" s="99">
        <v>1.56</v>
      </c>
    </row>
    <row r="6223">
      <c r="A6223" s="122" t="s">
        <v>12954</v>
      </c>
      <c r="B6223" s="123">
        <v>1418135.0</v>
      </c>
      <c r="C6223" s="124" t="s">
        <v>12955</v>
      </c>
      <c r="D6223" s="125"/>
      <c r="E6223" s="126">
        <v>31.65</v>
      </c>
      <c r="F6223" s="127"/>
      <c r="G6223" s="127"/>
      <c r="H6223" s="127"/>
      <c r="I6223" s="128"/>
      <c r="K6223" s="105" t="str">
        <f>IFERROR(__xludf.DUMMYFUNCTION("if(A6223="""","""",substitute(SUBSTITUTE(index(importhtml(""http://finviz.com/quote.ashx?t=""&amp;A6223,""table"",10),7,2),""*"",""""),""-"",""0.00""))"),"Loading...")</f>
        <v>Loading...</v>
      </c>
      <c r="L6223" s="129">
        <v>4.4257333866E10</v>
      </c>
      <c r="M6223" s="99">
        <v>0.67</v>
      </c>
    </row>
    <row r="6224">
      <c r="A6224" s="122" t="s">
        <v>12956</v>
      </c>
      <c r="B6224" s="123">
        <v>1423221.0</v>
      </c>
      <c r="C6224" s="124" t="s">
        <v>12957</v>
      </c>
      <c r="D6224" s="125"/>
      <c r="E6224" s="126">
        <v>31.66</v>
      </c>
      <c r="F6224" s="127"/>
      <c r="G6224" s="127"/>
      <c r="H6224" s="127"/>
      <c r="I6224" s="128"/>
      <c r="K6224" s="138" t="s">
        <v>6234</v>
      </c>
      <c r="L6224" s="129">
        <v>1.048059337E9</v>
      </c>
      <c r="M6224" s="99">
        <v>1.34</v>
      </c>
    </row>
    <row r="6225">
      <c r="A6225" s="122" t="s">
        <v>12958</v>
      </c>
      <c r="B6225" s="123">
        <v>1434621.0</v>
      </c>
      <c r="C6225" s="124" t="s">
        <v>12959</v>
      </c>
      <c r="D6225" s="125"/>
      <c r="E6225" s="126">
        <v>31.66</v>
      </c>
      <c r="F6225" s="127"/>
      <c r="G6225" s="127"/>
      <c r="H6225" s="127"/>
      <c r="I6225" s="128"/>
      <c r="K6225" s="105" t="str">
        <f>IFERROR(__xludf.DUMMYFUNCTION("if(A6225="""","""",substitute(SUBSTITUTE(index(importhtml(""http://finviz.com/quote.ashx?t=""&amp;A6225,""table"",10),7,2),""*"",""""),""-"",""0.00""))"),"Loading...")</f>
        <v>Loading...</v>
      </c>
      <c r="L6225" s="129">
        <v>4.11668012E8</v>
      </c>
      <c r="M6225" s="99">
        <v>2.16</v>
      </c>
    </row>
    <row r="6226">
      <c r="A6226" s="122" t="s">
        <v>12960</v>
      </c>
      <c r="B6226" s="123">
        <v>6955.0</v>
      </c>
      <c r="C6226" s="124" t="s">
        <v>12961</v>
      </c>
      <c r="D6226" s="125"/>
      <c r="E6226" s="126">
        <v>31.74</v>
      </c>
      <c r="F6226" s="127"/>
      <c r="G6226" s="127"/>
      <c r="H6226" s="127"/>
      <c r="I6226" s="128"/>
      <c r="K6226" s="105" t="str">
        <f>IFERROR(__xludf.DUMMYFUNCTION("if(A6226="""","""",substitute(SUBSTITUTE(index(importhtml(""http://finviz.com/quote.ashx?t=""&amp;A6226,""table"",10),7,2),""*"",""""),""-"",""0.00""))"),"Loading...")</f>
        <v>Loading...</v>
      </c>
      <c r="L6226" s="129">
        <v>1.718066191E9</v>
      </c>
      <c r="M6226" s="99">
        <v>1.21</v>
      </c>
    </row>
    <row r="6227">
      <c r="A6227" s="122" t="s">
        <v>12962</v>
      </c>
      <c r="B6227" s="123">
        <v>924717.0</v>
      </c>
      <c r="C6227" s="124" t="s">
        <v>12963</v>
      </c>
      <c r="D6227" s="125"/>
      <c r="E6227" s="126">
        <v>31.77</v>
      </c>
      <c r="F6227" s="127"/>
      <c r="G6227" s="127"/>
      <c r="H6227" s="127"/>
      <c r="I6227" s="128"/>
      <c r="K6227" s="105" t="str">
        <f>IFERROR(__xludf.DUMMYFUNCTION("if(A6227="""","""",substitute(SUBSTITUTE(index(importhtml(""http://finviz.com/quote.ashx?t=""&amp;A6227,""table"",10),7,2),""*"",""""),""-"",""0.00""))"),"Loading...")</f>
        <v>Loading...</v>
      </c>
      <c r="L6227" s="129">
        <v>4.52206561E8</v>
      </c>
      <c r="M6227" s="99">
        <v>1.05</v>
      </c>
    </row>
    <row r="6228">
      <c r="A6228" s="122" t="s">
        <v>12964</v>
      </c>
      <c r="B6228" s="123">
        <v>1754301.0</v>
      </c>
      <c r="C6228" s="124" t="s">
        <v>12965</v>
      </c>
      <c r="D6228" s="125"/>
      <c r="E6228" s="126">
        <v>31.8</v>
      </c>
      <c r="F6228" s="127"/>
      <c r="G6228" s="127"/>
      <c r="H6228" s="127"/>
      <c r="I6228" s="128"/>
      <c r="K6228" s="105" t="str">
        <f>IFERROR(__xludf.DUMMYFUNCTION("if(A6228="""","""",substitute(SUBSTITUTE(index(importhtml(""http://finviz.com/quote.ashx?t=""&amp;A6228,""table"",10),7,2),""*"",""""),""-"",""0.00""))"),"Loading...")</f>
        <v>Loading...</v>
      </c>
      <c r="L6228" s="129">
        <v>1.4823948064E10</v>
      </c>
      <c r="M6228" s="99">
        <v>0.81</v>
      </c>
    </row>
    <row r="6229">
      <c r="A6229" s="122" t="s">
        <v>12966</v>
      </c>
      <c r="B6229" s="123">
        <v>1632790.0</v>
      </c>
      <c r="C6229" s="124" t="s">
        <v>12967</v>
      </c>
      <c r="D6229" s="125"/>
      <c r="E6229" s="126">
        <v>31.82</v>
      </c>
      <c r="F6229" s="127"/>
      <c r="G6229" s="127"/>
      <c r="H6229" s="127"/>
      <c r="I6229" s="128"/>
      <c r="K6229" s="55" t="s">
        <v>12968</v>
      </c>
      <c r="L6229" s="129">
        <v>2.283743652E9</v>
      </c>
      <c r="M6229" s="99">
        <v>1.08</v>
      </c>
    </row>
    <row r="6230">
      <c r="A6230" s="122" t="s">
        <v>12969</v>
      </c>
      <c r="B6230" s="123">
        <v>1487952.0</v>
      </c>
      <c r="C6230" s="124" t="s">
        <v>12970</v>
      </c>
      <c r="D6230" s="125"/>
      <c r="E6230" s="126">
        <v>31.86</v>
      </c>
      <c r="F6230" s="127"/>
      <c r="G6230" s="127"/>
      <c r="H6230" s="127"/>
      <c r="I6230" s="128"/>
      <c r="K6230" s="105" t="str">
        <f>IFERROR(__xludf.DUMMYFUNCTION("if(A6230="""","""",substitute(SUBSTITUTE(index(importhtml(""http://finviz.com/quote.ashx?t=""&amp;A6230,""table"",10),7,2),""*"",""""),""-"",""0.00""))"),"Loading...")</f>
        <v>Loading...</v>
      </c>
      <c r="L6230" s="129">
        <v>4.31167123E8</v>
      </c>
      <c r="M6230" s="99">
        <v>1.25</v>
      </c>
    </row>
    <row r="6231">
      <c r="A6231" s="122" t="s">
        <v>12971</v>
      </c>
      <c r="B6231" s="123">
        <v>21535.0</v>
      </c>
      <c r="C6231" s="124" t="s">
        <v>12972</v>
      </c>
      <c r="D6231" s="125"/>
      <c r="E6231" s="126">
        <v>31.92</v>
      </c>
      <c r="F6231" s="127"/>
      <c r="G6231" s="127"/>
      <c r="H6231" s="127"/>
      <c r="I6231" s="128"/>
      <c r="K6231" s="105" t="str">
        <f>IFERROR(__xludf.DUMMYFUNCTION("if(A6231="""","""",substitute(SUBSTITUTE(index(importhtml(""http://finviz.com/quote.ashx?t=""&amp;A6231,""table"",10),7,2),""*"",""""),""-"",""0.00""))"),"Loading...")</f>
        <v>Loading...</v>
      </c>
      <c r="L6231" s="129">
        <v>1.516363753E9</v>
      </c>
      <c r="M6231" s="99">
        <v>1.52</v>
      </c>
    </row>
    <row r="6232">
      <c r="A6232" s="122" t="s">
        <v>12973</v>
      </c>
      <c r="B6232" s="123">
        <v>14707.0</v>
      </c>
      <c r="C6232" s="124" t="s">
        <v>12974</v>
      </c>
      <c r="D6232" s="125"/>
      <c r="E6232" s="126">
        <v>31.94</v>
      </c>
      <c r="F6232" s="127"/>
      <c r="G6232" s="127"/>
      <c r="H6232" s="127"/>
      <c r="I6232" s="128"/>
      <c r="K6232" s="55" t="s">
        <v>6151</v>
      </c>
      <c r="L6232" s="129">
        <v>1.133940606E9</v>
      </c>
      <c r="M6232" s="99">
        <v>1.95</v>
      </c>
    </row>
    <row r="6233">
      <c r="A6233" s="122" t="s">
        <v>12975</v>
      </c>
      <c r="B6233" s="123">
        <v>879407.0</v>
      </c>
      <c r="C6233" s="124" t="s">
        <v>12976</v>
      </c>
      <c r="D6233" s="125"/>
      <c r="E6233" s="126">
        <v>31.96</v>
      </c>
      <c r="F6233" s="127"/>
      <c r="G6233" s="127"/>
      <c r="H6233" s="127"/>
      <c r="I6233" s="128"/>
      <c r="K6233" s="105" t="str">
        <f>IFERROR(__xludf.DUMMYFUNCTION("if(A6233="""","""",substitute(SUBSTITUTE(index(importhtml(""http://finviz.com/quote.ashx?t=""&amp;A6233,""table"",10),7,2),""*"",""""),""-"",""0.00""))"),"Loading...")</f>
        <v>Loading...</v>
      </c>
      <c r="L6233" s="129">
        <v>3.957865562E9</v>
      </c>
      <c r="M6233" s="99">
        <v>0.78</v>
      </c>
    </row>
    <row r="6234">
      <c r="A6234" s="122" t="s">
        <v>12977</v>
      </c>
      <c r="B6234" s="123">
        <v>1047127.0</v>
      </c>
      <c r="C6234" s="124" t="s">
        <v>12978</v>
      </c>
      <c r="D6234" s="125"/>
      <c r="E6234" s="126">
        <v>31.96</v>
      </c>
      <c r="F6234" s="127"/>
      <c r="G6234" s="127"/>
      <c r="H6234" s="127"/>
      <c r="I6234" s="128"/>
      <c r="K6234" s="105" t="str">
        <f>IFERROR(__xludf.DUMMYFUNCTION("if(A6234="""","""",substitute(SUBSTITUTE(index(importhtml(""http://finviz.com/quote.ashx?t=""&amp;A6234,""table"",10),7,2),""*"",""""),""-"",""0.00""))"),"Loading...")</f>
        <v>Loading...</v>
      </c>
      <c r="L6234" s="129">
        <v>7.85474825E9</v>
      </c>
      <c r="M6234" s="99">
        <v>2.0</v>
      </c>
    </row>
    <row r="6235">
      <c r="A6235" s="122" t="s">
        <v>12979</v>
      </c>
      <c r="B6235" s="123">
        <v>1071371.0</v>
      </c>
      <c r="C6235" s="124" t="s">
        <v>12980</v>
      </c>
      <c r="D6235" s="125"/>
      <c r="E6235" s="126">
        <v>31.99</v>
      </c>
      <c r="F6235" s="127"/>
      <c r="G6235" s="127"/>
      <c r="H6235" s="127"/>
      <c r="I6235" s="128"/>
      <c r="K6235" s="55" t="s">
        <v>12981</v>
      </c>
      <c r="L6235" s="129">
        <v>8.013526932E9</v>
      </c>
      <c r="M6235" s="99">
        <v>1.19</v>
      </c>
    </row>
    <row r="6236">
      <c r="A6236" s="122" t="s">
        <v>12982</v>
      </c>
      <c r="B6236" s="123">
        <v>96536.0</v>
      </c>
      <c r="C6236" s="124" t="s">
        <v>12983</v>
      </c>
      <c r="D6236" s="125"/>
      <c r="E6236" s="126">
        <v>31.99</v>
      </c>
      <c r="F6236" s="127"/>
      <c r="G6236" s="127"/>
      <c r="H6236" s="127"/>
      <c r="I6236" s="128"/>
      <c r="K6236" s="105" t="str">
        <f>IFERROR(__xludf.DUMMYFUNCTION("if(A6236="""","""",substitute(SUBSTITUTE(index(importhtml(""http://finviz.com/quote.ashx?t=""&amp;A6236,""table"",10),7,2),""*"",""""),""-"",""0.00""))"),"Loading...")</f>
        <v>Loading...</v>
      </c>
      <c r="L6236" s="129">
        <v>9.7971709E7</v>
      </c>
      <c r="M6236" s="99">
        <v>0.89</v>
      </c>
    </row>
    <row r="6237">
      <c r="A6237" s="122" t="s">
        <v>12984</v>
      </c>
      <c r="B6237" s="123">
        <v>1847590.0</v>
      </c>
      <c r="C6237" s="124" t="s">
        <v>12985</v>
      </c>
      <c r="D6237" s="125"/>
      <c r="E6237" s="126">
        <v>32.04</v>
      </c>
      <c r="F6237" s="127"/>
      <c r="G6237" s="127"/>
      <c r="H6237" s="127"/>
      <c r="I6237" s="128"/>
      <c r="K6237" s="105" t="str">
        <f>IFERROR(__xludf.DUMMYFUNCTION("if(A6237="""","""",substitute(SUBSTITUTE(index(importhtml(""http://finviz.com/quote.ashx?t=""&amp;A6237,""table"",10),7,2),""*"",""""),""-"",""0.00""))"),"Loading...")</f>
        <v>Loading...</v>
      </c>
      <c r="L6237" s="129">
        <v>4.69340837E8</v>
      </c>
      <c r="M6237" s="99">
        <f>IFERROR(__xludf.DUMMYFUNCTION("GOOGLEFINANCE(A6237,""beta"")"),1.31)</f>
        <v>1.31</v>
      </c>
    </row>
    <row r="6238">
      <c r="A6238" s="122" t="s">
        <v>12986</v>
      </c>
      <c r="B6238" s="123">
        <v>926326.0</v>
      </c>
      <c r="C6238" s="124" t="s">
        <v>12987</v>
      </c>
      <c r="D6238" s="125"/>
      <c r="E6238" s="126">
        <v>32.04</v>
      </c>
      <c r="F6238" s="127"/>
      <c r="G6238" s="127"/>
      <c r="H6238" s="127"/>
      <c r="I6238" s="128"/>
      <c r="K6238" s="105" t="str">
        <f>IFERROR(__xludf.DUMMYFUNCTION("if(A6238="""","""",substitute(SUBSTITUTE(index(importhtml(""http://finviz.com/quote.ashx?t=""&amp;A6238,""table"",10),7,2),""*"",""""),""-"",""0.00""))"),"Loading...")</f>
        <v>Loading...</v>
      </c>
      <c r="L6238" s="129">
        <v>1.456838976E9</v>
      </c>
      <c r="M6238" s="99">
        <v>0.83</v>
      </c>
    </row>
    <row r="6239">
      <c r="A6239" s="122" t="s">
        <v>12988</v>
      </c>
      <c r="B6239" s="123">
        <v>759944.0</v>
      </c>
      <c r="C6239" s="124" t="s">
        <v>12989</v>
      </c>
      <c r="D6239" s="125"/>
      <c r="E6239" s="126">
        <v>32.06</v>
      </c>
      <c r="F6239" s="127"/>
      <c r="G6239" s="127"/>
      <c r="H6239" s="127"/>
      <c r="I6239" s="128"/>
      <c r="K6239" s="55" t="s">
        <v>12990</v>
      </c>
      <c r="L6239" s="129">
        <v>1.4947103608E10</v>
      </c>
      <c r="M6239" s="99">
        <v>1.39</v>
      </c>
    </row>
    <row r="6240">
      <c r="A6240" s="122" t="s">
        <v>12991</v>
      </c>
      <c r="B6240" s="123">
        <v>1190723.0</v>
      </c>
      <c r="C6240" s="124" t="s">
        <v>10633</v>
      </c>
      <c r="D6240" s="125"/>
      <c r="E6240" s="126">
        <v>32.1</v>
      </c>
      <c r="F6240" s="127"/>
      <c r="G6240" s="127"/>
      <c r="H6240" s="127"/>
      <c r="I6240" s="128"/>
      <c r="K6240" s="55" t="s">
        <v>11122</v>
      </c>
      <c r="L6240" s="129">
        <v>1.891820151E10</v>
      </c>
      <c r="M6240" s="99">
        <v>1.45</v>
      </c>
    </row>
    <row r="6241">
      <c r="A6241" s="122" t="s">
        <v>12992</v>
      </c>
      <c r="B6241" s="123">
        <v>1120914.0</v>
      </c>
      <c r="C6241" s="124" t="s">
        <v>12993</v>
      </c>
      <c r="D6241" s="125"/>
      <c r="E6241" s="126">
        <v>32.1</v>
      </c>
      <c r="F6241" s="127"/>
      <c r="G6241" s="127"/>
      <c r="H6241" s="127"/>
      <c r="I6241" s="128"/>
      <c r="K6241" s="105" t="str">
        <f>IFERROR(__xludf.DUMMYFUNCTION("if(A6241="""","""",substitute(SUBSTITUTE(index(importhtml(""http://finviz.com/quote.ashx?t=""&amp;A6241,""table"",10),7,2),""*"",""""),""-"",""0.00""))"),"Loading...")</f>
        <v>Loading...</v>
      </c>
      <c r="L6241" s="129">
        <v>1.228190881E9</v>
      </c>
      <c r="M6241" s="99">
        <v>1.47</v>
      </c>
    </row>
    <row r="6242">
      <c r="A6242" s="122" t="s">
        <v>12994</v>
      </c>
      <c r="B6242" s="123">
        <v>311337.0</v>
      </c>
      <c r="C6242" s="124" t="s">
        <v>12995</v>
      </c>
      <c r="D6242" s="125"/>
      <c r="E6242" s="126">
        <v>32.11</v>
      </c>
      <c r="F6242" s="127"/>
      <c r="G6242" s="127"/>
      <c r="H6242" s="127"/>
      <c r="I6242" s="128"/>
      <c r="K6242" s="55" t="s">
        <v>12996</v>
      </c>
      <c r="L6242" s="129">
        <v>4.1672101912E10</v>
      </c>
      <c r="M6242" s="99">
        <v>1.11</v>
      </c>
    </row>
    <row r="6243">
      <c r="A6243" s="122" t="s">
        <v>12997</v>
      </c>
      <c r="B6243" s="123">
        <v>1227500.0</v>
      </c>
      <c r="C6243" s="124" t="s">
        <v>12998</v>
      </c>
      <c r="D6243" s="125"/>
      <c r="E6243" s="126">
        <v>32.12</v>
      </c>
      <c r="F6243" s="127"/>
      <c r="G6243" s="127"/>
      <c r="H6243" s="127"/>
      <c r="I6243" s="128"/>
      <c r="K6243" s="105" t="str">
        <f>IFERROR(__xludf.DUMMYFUNCTION("if(A6243="""","""",substitute(SUBSTITUTE(index(importhtml(""http://finviz.com/quote.ashx?t=""&amp;A6243,""table"",10),7,2),""*"",""""),""-"",""0.00""))"),"Loading...")</f>
        <v>Loading...</v>
      </c>
      <c r="L6243" s="129">
        <v>4.9506747E8</v>
      </c>
      <c r="M6243" s="99">
        <v>0.76</v>
      </c>
    </row>
    <row r="6244">
      <c r="A6244" s="122" t="s">
        <v>12999</v>
      </c>
      <c r="B6244" s="123">
        <v>1104485.0</v>
      </c>
      <c r="C6244" s="124" t="s">
        <v>13000</v>
      </c>
      <c r="D6244" s="125"/>
      <c r="E6244" s="126">
        <v>32.15</v>
      </c>
      <c r="F6244" s="127"/>
      <c r="G6244" s="127"/>
      <c r="H6244" s="127"/>
      <c r="I6244" s="128"/>
      <c r="K6244" s="105" t="str">
        <f>IFERROR(__xludf.DUMMYFUNCTION("if(A6244="""","""",substitute(SUBSTITUTE(index(importhtml(""http://finviz.com/quote.ashx?t=""&amp;A6244,""table"",10),7,2),""*"",""""),""-"",""0.00""))"),"Loading...")</f>
        <v>Loading...</v>
      </c>
      <c r="L6244" s="129">
        <v>3.231319493E9</v>
      </c>
      <c r="M6244" s="99">
        <v>1.84</v>
      </c>
    </row>
    <row r="6245">
      <c r="A6245" s="122" t="s">
        <v>13001</v>
      </c>
      <c r="B6245" s="123">
        <v>714395.0</v>
      </c>
      <c r="C6245" s="124" t="s">
        <v>13002</v>
      </c>
      <c r="D6245" s="125"/>
      <c r="E6245" s="126">
        <v>32.18</v>
      </c>
      <c r="F6245" s="127"/>
      <c r="G6245" s="127"/>
      <c r="H6245" s="127"/>
      <c r="I6245" s="128"/>
      <c r="K6245" s="105" t="str">
        <f>IFERROR(__xludf.DUMMYFUNCTION("if(A6245="""","""",substitute(SUBSTITUTE(index(importhtml(""http://finviz.com/quote.ashx?t=""&amp;A6245,""table"",10),7,2),""*"",""""),""-"",""0.00""))"),"Loading...")</f>
        <v>Loading...</v>
      </c>
      <c r="L6245" s="129">
        <v>9.52035655E8</v>
      </c>
      <c r="M6245" s="99">
        <v>0.63</v>
      </c>
    </row>
    <row r="6246">
      <c r="A6246" s="122" t="s">
        <v>13003</v>
      </c>
      <c r="B6246" s="123">
        <v>1762506.0</v>
      </c>
      <c r="C6246" s="124" t="s">
        <v>13004</v>
      </c>
      <c r="D6246" s="125"/>
      <c r="E6246" s="126">
        <v>32.22</v>
      </c>
      <c r="F6246" s="127"/>
      <c r="G6246" s="127"/>
      <c r="H6246" s="127"/>
      <c r="I6246" s="128"/>
      <c r="K6246" s="105" t="str">
        <f>IFERROR(__xludf.DUMMYFUNCTION("if(A6246="""","""",substitute(SUBSTITUTE(index(importhtml(""http://finviz.com/quote.ashx?t=""&amp;A6246,""table"",10),7,2),""*"",""""),""-"",""0.00""))"),"Loading...")</f>
        <v>Loading...</v>
      </c>
      <c r="L6246" s="129">
        <v>3.088241364E9</v>
      </c>
      <c r="M6246" s="99" t="str">
        <f>IFERROR(__xludf.DUMMYFUNCTION("GOOGLEFINANCE(A6246,""beta"")"),"#N/A")</f>
        <v>#N/A</v>
      </c>
    </row>
    <row r="6247">
      <c r="A6247" s="122" t="s">
        <v>13005</v>
      </c>
      <c r="B6247" s="123">
        <v>24741.0</v>
      </c>
      <c r="C6247" s="124" t="s">
        <v>13006</v>
      </c>
      <c r="D6247" s="125"/>
      <c r="E6247" s="126">
        <v>32.25</v>
      </c>
      <c r="F6247" s="127"/>
      <c r="G6247" s="127"/>
      <c r="H6247" s="127"/>
      <c r="I6247" s="128"/>
      <c r="K6247" s="105" t="str">
        <f>IFERROR(__xludf.DUMMYFUNCTION("if(A6247="""","""",substitute(SUBSTITUTE(index(importhtml(""http://finviz.com/quote.ashx?t=""&amp;A6247,""table"",10),7,2),""*"",""""),""-"",""0.00""))"),"Loading...")</f>
        <v>Loading...</v>
      </c>
      <c r="L6247" s="129">
        <v>2.6444996775E10</v>
      </c>
      <c r="M6247" s="99">
        <v>1.09</v>
      </c>
    </row>
    <row r="6248">
      <c r="A6248" s="122" t="s">
        <v>13007</v>
      </c>
      <c r="B6248" s="123">
        <v>1913971.0</v>
      </c>
      <c r="C6248" s="124" t="s">
        <v>13008</v>
      </c>
      <c r="D6248" s="125"/>
      <c r="E6248" s="126">
        <v>32.28</v>
      </c>
      <c r="F6248" s="127"/>
      <c r="G6248" s="127"/>
      <c r="H6248" s="127"/>
      <c r="I6248" s="128"/>
      <c r="K6248" s="105" t="str">
        <f>IFERROR(__xludf.DUMMYFUNCTION("if(A6248="""","""",substitute(SUBSTITUTE(index(importhtml(""http://finviz.com/quote.ashx?t=""&amp;A6248,""table"",10),7,2),""*"",""""),""-"",""0.00""))"),"Loading...")</f>
        <v>Loading...</v>
      </c>
      <c r="L6248" s="129">
        <v>2.03815944E8</v>
      </c>
      <c r="M6248" s="99">
        <v>0.61</v>
      </c>
    </row>
    <row r="6249">
      <c r="A6249" s="122" t="s">
        <v>13009</v>
      </c>
      <c r="B6249" s="123">
        <v>1585364.0</v>
      </c>
      <c r="C6249" s="124" t="s">
        <v>13010</v>
      </c>
      <c r="D6249" s="125"/>
      <c r="E6249" s="126">
        <v>32.28</v>
      </c>
      <c r="F6249" s="127"/>
      <c r="G6249" s="127"/>
      <c r="H6249" s="127"/>
      <c r="I6249" s="128"/>
      <c r="K6249" s="105" t="str">
        <f>IFERROR(__xludf.DUMMYFUNCTION("if(A6249="""","""",substitute(SUBSTITUTE(index(importhtml(""http://finviz.com/quote.ashx?t=""&amp;A6249,""table"",10),7,2),""*"",""""),""-"",""0.00""))"),"Loading...")</f>
        <v>Loading...</v>
      </c>
      <c r="L6249" s="129">
        <v>4.374146426E9</v>
      </c>
      <c r="M6249" s="99">
        <v>0.66</v>
      </c>
    </row>
    <row r="6250">
      <c r="A6250" s="122" t="s">
        <v>13011</v>
      </c>
      <c r="B6250" s="123">
        <v>723646.0</v>
      </c>
      <c r="C6250" s="124" t="s">
        <v>13012</v>
      </c>
      <c r="D6250" s="125"/>
      <c r="E6250" s="126">
        <v>32.29</v>
      </c>
      <c r="F6250" s="127"/>
      <c r="G6250" s="127"/>
      <c r="H6250" s="127"/>
      <c r="I6250" s="128"/>
      <c r="K6250" s="105" t="str">
        <f>IFERROR(__xludf.DUMMYFUNCTION("if(A6250="""","""",substitute(SUBSTITUTE(index(importhtml(""http://finviz.com/quote.ashx?t=""&amp;A6250,""table"",10),7,2),""*"",""""),""-"",""0.00""))"),"Loading...")</f>
        <v>Loading...</v>
      </c>
      <c r="L6250" s="129">
        <v>1.40834679E8</v>
      </c>
      <c r="M6250" s="99">
        <v>0.46</v>
      </c>
    </row>
    <row r="6251">
      <c r="A6251" s="122" t="s">
        <v>13013</v>
      </c>
      <c r="B6251" s="123">
        <v>1638833.0</v>
      </c>
      <c r="C6251" s="124" t="s">
        <v>13014</v>
      </c>
      <c r="D6251" s="125"/>
      <c r="E6251" s="126">
        <v>32.43</v>
      </c>
      <c r="F6251" s="127"/>
      <c r="G6251" s="127"/>
      <c r="H6251" s="127"/>
      <c r="I6251" s="128"/>
      <c r="K6251" s="105" t="str">
        <f>IFERROR(__xludf.DUMMYFUNCTION("if(A6251="""","""",substitute(SUBSTITUTE(index(importhtml(""http://finviz.com/quote.ashx?t=""&amp;A6251,""table"",10),7,2),""*"",""""),""-"",""0.00""))"),"Loading...")</f>
        <v>Loading...</v>
      </c>
      <c r="L6251" s="129">
        <v>4.102174514E9</v>
      </c>
      <c r="M6251" s="99">
        <v>2.74</v>
      </c>
    </row>
    <row r="6252">
      <c r="A6252" s="122" t="s">
        <v>13015</v>
      </c>
      <c r="B6252" s="123">
        <v>719220.0</v>
      </c>
      <c r="C6252" s="124" t="s">
        <v>13016</v>
      </c>
      <c r="D6252" s="125"/>
      <c r="E6252" s="126">
        <v>32.44</v>
      </c>
      <c r="F6252" s="127"/>
      <c r="G6252" s="127"/>
      <c r="H6252" s="127"/>
      <c r="I6252" s="128"/>
      <c r="K6252" s="105" t="str">
        <f>IFERROR(__xludf.DUMMYFUNCTION("if(A6252="""","""",substitute(SUBSTITUTE(index(importhtml(""http://finviz.com/quote.ashx?t=""&amp;A6252,""table"",10),7,2),""*"",""""),""-"",""0.00""))"),"Loading...")</f>
        <v>Loading...</v>
      </c>
      <c r="L6252" s="129">
        <v>1.240271655E9</v>
      </c>
      <c r="M6252" s="99">
        <v>0.8</v>
      </c>
    </row>
    <row r="6253">
      <c r="A6253" s="122" t="s">
        <v>13017</v>
      </c>
      <c r="B6253" s="123">
        <v>1020710.0</v>
      </c>
      <c r="C6253" s="124" t="s">
        <v>13018</v>
      </c>
      <c r="D6253" s="125"/>
      <c r="E6253" s="126">
        <v>32.45</v>
      </c>
      <c r="F6253" s="127"/>
      <c r="G6253" s="127"/>
      <c r="H6253" s="127"/>
      <c r="I6253" s="128"/>
      <c r="K6253" s="105" t="str">
        <f>IFERROR(__xludf.DUMMYFUNCTION("if(A6253="""","""",substitute(SUBSTITUTE(index(importhtml(""http://finviz.com/quote.ashx?t=""&amp;A6253,""table"",10),7,2),""*"",""""),""-"",""0.00""))"),"Loading...")</f>
        <v>Loading...</v>
      </c>
      <c r="L6253" s="129">
        <v>5.24924516E8</v>
      </c>
      <c r="M6253" s="99">
        <v>1.67</v>
      </c>
    </row>
    <row r="6254">
      <c r="A6254" s="122" t="s">
        <v>13019</v>
      </c>
      <c r="B6254" s="123">
        <v>1692787.0</v>
      </c>
      <c r="C6254" s="124" t="s">
        <v>13020</v>
      </c>
      <c r="D6254" s="125"/>
      <c r="E6254" s="126">
        <v>32.45</v>
      </c>
      <c r="F6254" s="127"/>
      <c r="G6254" s="127"/>
      <c r="H6254" s="127"/>
      <c r="I6254" s="128"/>
      <c r="K6254" s="105" t="str">
        <f>IFERROR(__xludf.DUMMYFUNCTION("if(A6254="""","""",substitute(SUBSTITUTE(index(importhtml(""http://finviz.com/quote.ashx?t=""&amp;A6254,""table"",10),7,2),""*"",""""),""-"",""0.00""))"),"Loading...")</f>
        <v>Loading...</v>
      </c>
      <c r="L6254" s="129">
        <v>4.90596959E9</v>
      </c>
      <c r="M6254" s="99">
        <v>2.76</v>
      </c>
    </row>
    <row r="6255">
      <c r="A6255" s="122" t="s">
        <v>13021</v>
      </c>
      <c r="B6255" s="123">
        <v>1467623.0</v>
      </c>
      <c r="C6255" s="124" t="s">
        <v>13022</v>
      </c>
      <c r="D6255" s="125"/>
      <c r="E6255" s="126">
        <v>32.47</v>
      </c>
      <c r="F6255" s="127"/>
      <c r="G6255" s="127"/>
      <c r="H6255" s="127"/>
      <c r="I6255" s="128"/>
      <c r="K6255" s="55" t="s">
        <v>1034</v>
      </c>
      <c r="L6255" s="129">
        <v>1.1226769176E10</v>
      </c>
      <c r="M6255" s="99">
        <v>0.77</v>
      </c>
    </row>
    <row r="6256">
      <c r="A6256" s="122" t="s">
        <v>13023</v>
      </c>
      <c r="B6256" s="123">
        <v>106532.0</v>
      </c>
      <c r="C6256" s="124" t="s">
        <v>13024</v>
      </c>
      <c r="D6256" s="125"/>
      <c r="E6256" s="126">
        <v>32.49</v>
      </c>
      <c r="F6256" s="127"/>
      <c r="G6256" s="127"/>
      <c r="H6256" s="127"/>
      <c r="I6256" s="128"/>
      <c r="K6256" s="105" t="str">
        <f>IFERROR(__xludf.DUMMYFUNCTION("if(A6256="""","""",substitute(SUBSTITUTE(index(importhtml(""http://finviz.com/quote.ashx?t=""&amp;A6256,""table"",10),7,2),""*"",""""),""-"",""0.00""))"),"Loading...")</f>
        <v>Loading...</v>
      </c>
      <c r="L6256" s="129">
        <v>3.08577722E8</v>
      </c>
      <c r="M6256" s="99">
        <v>0.87</v>
      </c>
    </row>
    <row r="6257">
      <c r="A6257" s="122" t="s">
        <v>13025</v>
      </c>
      <c r="B6257" s="123">
        <v>1642896.0</v>
      </c>
      <c r="C6257" s="124" t="s">
        <v>13026</v>
      </c>
      <c r="D6257" s="125"/>
      <c r="E6257" s="126">
        <v>32.51</v>
      </c>
      <c r="F6257" s="127"/>
      <c r="G6257" s="127"/>
      <c r="H6257" s="127"/>
      <c r="I6257" s="128"/>
      <c r="K6257" s="105" t="str">
        <f>IFERROR(__xludf.DUMMYFUNCTION("if(A6257="""","""",substitute(SUBSTITUTE(index(importhtml(""http://finviz.com/quote.ashx?t=""&amp;A6257,""table"",10),7,2),""*"",""""),""-"",""0.00""))"),"#REF!")</f>
        <v>#REF!</v>
      </c>
      <c r="L6257" s="129">
        <v>1.75617613E10</v>
      </c>
      <c r="M6257" s="99">
        <f>IFERROR(__xludf.DUMMYFUNCTION("GOOGLEFINANCE(A6257,""beta"")"),1.61)</f>
        <v>1.61</v>
      </c>
    </row>
    <row r="6258">
      <c r="A6258" s="122" t="s">
        <v>13027</v>
      </c>
      <c r="B6258" s="123">
        <v>103145.0</v>
      </c>
      <c r="C6258" s="124" t="s">
        <v>13028</v>
      </c>
      <c r="D6258" s="125"/>
      <c r="E6258" s="126">
        <v>32.53</v>
      </c>
      <c r="F6258" s="127"/>
      <c r="G6258" s="127"/>
      <c r="H6258" s="127"/>
      <c r="I6258" s="128"/>
      <c r="K6258" s="105" t="str">
        <f>IFERROR(__xludf.DUMMYFUNCTION("if(A6258="""","""",substitute(SUBSTITUTE(index(importhtml(""http://finviz.com/quote.ashx?t=""&amp;A6258,""table"",10),7,2),""*"",""""),""-"",""0.00""))"),"Loading...")</f>
        <v>Loading...</v>
      </c>
      <c r="L6258" s="129">
        <v>1.832796082E9</v>
      </c>
      <c r="M6258" s="99">
        <v>1.2</v>
      </c>
    </row>
    <row r="6259">
      <c r="A6259" s="122" t="s">
        <v>13029</v>
      </c>
      <c r="B6259" s="123">
        <v>52827.0</v>
      </c>
      <c r="C6259" s="124" t="s">
        <v>13030</v>
      </c>
      <c r="D6259" s="125"/>
      <c r="E6259" s="126">
        <v>32.53</v>
      </c>
      <c r="F6259" s="127"/>
      <c r="G6259" s="127"/>
      <c r="H6259" s="127"/>
      <c r="I6259" s="128"/>
      <c r="K6259" s="105" t="str">
        <f>IFERROR(__xludf.DUMMYFUNCTION("if(A6259="""","""",substitute(SUBSTITUTE(index(importhtml(""http://finviz.com/quote.ashx?t=""&amp;A6259,""table"",10),7,2),""*"",""""),""-"",""0.00""))"),"Loading...")</f>
        <v>Loading...</v>
      </c>
      <c r="L6259" s="129">
        <v>4.823961349E9</v>
      </c>
      <c r="M6259" s="99">
        <v>1.03</v>
      </c>
    </row>
    <row r="6260">
      <c r="A6260" s="122" t="s">
        <v>13031</v>
      </c>
      <c r="B6260" s="123">
        <v>1447945.0</v>
      </c>
      <c r="C6260" s="124" t="s">
        <v>13032</v>
      </c>
      <c r="D6260" s="125"/>
      <c r="E6260" s="126">
        <v>32.53</v>
      </c>
      <c r="F6260" s="127"/>
      <c r="G6260" s="127"/>
      <c r="H6260" s="127"/>
      <c r="I6260" s="128"/>
      <c r="K6260" s="105" t="str">
        <f>IFERROR(__xludf.DUMMYFUNCTION("if(A6260="""","""",substitute(SUBSTITUTE(index(importhtml(""http://finviz.com/quote.ashx?t=""&amp;A6260,""table"",10),7,2),""*"",""""),""-"",""0.00""))"),"Loading...")</f>
        <v>Loading...</v>
      </c>
      <c r="L6260" s="129">
        <v>3.533658535E10</v>
      </c>
      <c r="M6260" s="99">
        <v>1.04</v>
      </c>
    </row>
    <row r="6261">
      <c r="A6261" s="122" t="s">
        <v>13033</v>
      </c>
      <c r="B6261" s="123">
        <v>876427.0</v>
      </c>
      <c r="C6261" s="124" t="s">
        <v>13034</v>
      </c>
      <c r="D6261" s="125"/>
      <c r="E6261" s="126">
        <v>32.57</v>
      </c>
      <c r="F6261" s="127"/>
      <c r="G6261" s="127"/>
      <c r="H6261" s="127"/>
      <c r="I6261" s="128"/>
      <c r="K6261" s="105" t="str">
        <f>IFERROR(__xludf.DUMMYFUNCTION("if(A6261="""","""",substitute(SUBSTITUTE(index(importhtml(""http://finviz.com/quote.ashx?t=""&amp;A6261,""table"",10),7,2),""*"",""""),""-"",""0.00""))"),"Loading...")</f>
        <v>Loading...</v>
      </c>
      <c r="L6261" s="129">
        <v>9.7391269E8</v>
      </c>
      <c r="M6261" s="99">
        <v>1.12</v>
      </c>
    </row>
    <row r="6262">
      <c r="A6262" s="122" t="s">
        <v>13035</v>
      </c>
      <c r="B6262" s="123">
        <v>896429.0</v>
      </c>
      <c r="C6262" s="124" t="s">
        <v>13036</v>
      </c>
      <c r="D6262" s="125"/>
      <c r="E6262" s="126">
        <v>32.58</v>
      </c>
      <c r="F6262" s="127"/>
      <c r="G6262" s="127"/>
      <c r="H6262" s="127"/>
      <c r="I6262" s="128"/>
      <c r="K6262" s="105" t="str">
        <f>IFERROR(__xludf.DUMMYFUNCTION("if(A6262="""","""",substitute(SUBSTITUTE(index(importhtml(""http://finviz.com/quote.ashx?t=""&amp;A6262,""table"",10),7,2),""*"",""""),""-"",""0.00""))"),"Loading...")</f>
        <v>Loading...</v>
      </c>
      <c r="L6262" s="129">
        <v>4.96727863E8</v>
      </c>
      <c r="M6262" s="99">
        <v>0.49</v>
      </c>
    </row>
    <row r="6263">
      <c r="A6263" s="122" t="s">
        <v>13037</v>
      </c>
      <c r="B6263" s="123">
        <v>1616862.0</v>
      </c>
      <c r="C6263" s="124" t="s">
        <v>13038</v>
      </c>
      <c r="D6263" s="125"/>
      <c r="E6263" s="126">
        <v>32.62</v>
      </c>
      <c r="F6263" s="127"/>
      <c r="G6263" s="127"/>
      <c r="H6263" s="127"/>
      <c r="I6263" s="128"/>
      <c r="K6263" s="105" t="str">
        <f>IFERROR(__xludf.DUMMYFUNCTION("if(A6263="""","""",substitute(SUBSTITUTE(index(importhtml(""http://finviz.com/quote.ashx?t=""&amp;A6263,""table"",10),7,2),""*"",""""),""-"",""0.00""))"),"Loading...")</f>
        <v>Loading...</v>
      </c>
      <c r="L6263" s="129">
        <v>7.179107224E9</v>
      </c>
      <c r="M6263" s="99">
        <v>1.52</v>
      </c>
    </row>
    <row r="6264">
      <c r="A6264" s="122" t="s">
        <v>13039</v>
      </c>
      <c r="B6264" s="123">
        <v>23426.0</v>
      </c>
      <c r="C6264" s="124" t="s">
        <v>13040</v>
      </c>
      <c r="D6264" s="125"/>
      <c r="E6264" s="126">
        <v>32.65</v>
      </c>
      <c r="F6264" s="127"/>
      <c r="G6264" s="127"/>
      <c r="H6264" s="127"/>
      <c r="I6264" s="128"/>
      <c r="K6264" s="105" t="str">
        <f>IFERROR(__xludf.DUMMYFUNCTION("if(A6264="""","""",substitute(SUBSTITUTE(index(importhtml(""http://finviz.com/quote.ashx?t=""&amp;A6264,""table"",10),7,2),""*"",""""),""-"",""0.00""))"),"Loading...")</f>
        <v>Loading...</v>
      </c>
      <c r="L6264" s="129">
        <v>2.66609E7</v>
      </c>
      <c r="M6264" s="99">
        <v>0.1</v>
      </c>
    </row>
    <row r="6265">
      <c r="A6265" s="122" t="s">
        <v>13041</v>
      </c>
      <c r="B6265" s="123">
        <v>908732.0</v>
      </c>
      <c r="C6265" s="124" t="s">
        <v>13042</v>
      </c>
      <c r="D6265" s="125"/>
      <c r="E6265" s="126">
        <v>32.65</v>
      </c>
      <c r="F6265" s="127"/>
      <c r="G6265" s="127"/>
      <c r="H6265" s="127"/>
      <c r="I6265" s="128"/>
      <c r="K6265" s="105" t="str">
        <f>IFERROR(__xludf.DUMMYFUNCTION("if(A6265="""","""",substitute(SUBSTITUTE(index(importhtml(""http://finviz.com/quote.ashx?t=""&amp;A6265,""table"",10),7,2),""*"",""""),""-"",""0.00""))"),"Loading...")</f>
        <v>Loading...</v>
      </c>
      <c r="L6265" s="129">
        <v>3.85778052E8</v>
      </c>
      <c r="M6265" s="99" t="str">
        <f>IFERROR(__xludf.DUMMYFUNCTION("GOOGLEFINANCE(A6265,""beta"")"),"#N/A")</f>
        <v>#N/A</v>
      </c>
    </row>
    <row r="6266">
      <c r="A6266" s="122" t="s">
        <v>13043</v>
      </c>
      <c r="B6266" s="123">
        <v>1647639.0</v>
      </c>
      <c r="C6266" s="124" t="s">
        <v>13044</v>
      </c>
      <c r="D6266" s="125"/>
      <c r="E6266" s="126">
        <v>32.7</v>
      </c>
      <c r="F6266" s="127"/>
      <c r="G6266" s="127"/>
      <c r="H6266" s="127"/>
      <c r="I6266" s="128"/>
      <c r="K6266" s="105" t="str">
        <f>IFERROR(__xludf.DUMMYFUNCTION("if(A6266="""","""",substitute(SUBSTITUTE(index(importhtml(""http://finviz.com/quote.ashx?t=""&amp;A6266,""table"",10),7,2),""*"",""""),""-"",""0.00""))"),"Loading...")</f>
        <v>Loading...</v>
      </c>
      <c r="L6266" s="129">
        <v>2.781373774E9</v>
      </c>
      <c r="M6266" s="99">
        <v>2.11</v>
      </c>
    </row>
    <row r="6267">
      <c r="A6267" s="122" t="s">
        <v>13045</v>
      </c>
      <c r="B6267" s="123">
        <v>1484737.0</v>
      </c>
      <c r="C6267" s="124" t="s">
        <v>13046</v>
      </c>
      <c r="D6267" s="125"/>
      <c r="E6267" s="126">
        <v>32.72</v>
      </c>
      <c r="F6267" s="127"/>
      <c r="G6267" s="127"/>
      <c r="H6267" s="127"/>
      <c r="I6267" s="128"/>
      <c r="K6267" s="105" t="str">
        <f>IFERROR(__xludf.DUMMYFUNCTION("if(A6267="""","""",substitute(SUBSTITUTE(index(importhtml(""http://finviz.com/quote.ashx?t=""&amp;A6267,""table"",10),7,2),""*"",""""),""-"",""0.00""))"),"Loading...")</f>
        <v>Loading...</v>
      </c>
      <c r="L6267" s="129">
        <v>4.8330877E7</v>
      </c>
      <c r="M6267" s="99">
        <v>0.11</v>
      </c>
    </row>
    <row r="6268">
      <c r="A6268" s="122" t="s">
        <v>13047</v>
      </c>
      <c r="B6268" s="123">
        <v>1441683.0</v>
      </c>
      <c r="C6268" s="124" t="s">
        <v>13048</v>
      </c>
      <c r="D6268" s="125"/>
      <c r="E6268" s="126">
        <v>32.78</v>
      </c>
      <c r="F6268" s="127"/>
      <c r="G6268" s="127"/>
      <c r="H6268" s="127"/>
      <c r="I6268" s="128"/>
      <c r="K6268" s="105" t="str">
        <f>IFERROR(__xludf.DUMMYFUNCTION("if(A6268="""","""",substitute(SUBSTITUTE(index(importhtml(""http://finviz.com/quote.ashx?t=""&amp;A6268,""table"",10),7,2),""*"",""""),""-"",""0.00""))"),"Loading...")</f>
        <v>Loading...</v>
      </c>
      <c r="L6268" s="129">
        <v>2.400417356E9</v>
      </c>
      <c r="M6268" s="99">
        <v>1.46</v>
      </c>
    </row>
    <row r="6269">
      <c r="A6269" s="122" t="s">
        <v>13049</v>
      </c>
      <c r="B6269" s="123">
        <v>98677.0</v>
      </c>
      <c r="C6269" s="124" t="s">
        <v>13050</v>
      </c>
      <c r="D6269" s="125"/>
      <c r="E6269" s="126">
        <v>32.79</v>
      </c>
      <c r="F6269" s="127"/>
      <c r="G6269" s="127"/>
      <c r="H6269" s="127"/>
      <c r="I6269" s="128"/>
      <c r="K6269" s="55" t="s">
        <v>5927</v>
      </c>
      <c r="L6269" s="129">
        <v>2.190422229E9</v>
      </c>
      <c r="M6269" s="99">
        <v>0.15</v>
      </c>
    </row>
    <row r="6270">
      <c r="A6270" s="122" t="s">
        <v>13051</v>
      </c>
      <c r="B6270" s="123">
        <v>886982.0</v>
      </c>
      <c r="C6270" s="124" t="s">
        <v>13052</v>
      </c>
      <c r="D6270" s="125"/>
      <c r="E6270" s="126">
        <v>32.8</v>
      </c>
      <c r="F6270" s="127"/>
      <c r="G6270" s="127"/>
      <c r="H6270" s="127"/>
      <c r="I6270" s="128"/>
      <c r="K6270" s="105" t="str">
        <f>IFERROR(__xludf.DUMMYFUNCTION("if(A6270="""","""",substitute(SUBSTITUTE(index(importhtml(""http://finviz.com/quote.ashx?t=""&amp;A6270,""table"",10),7,2),""*"",""""),""-"",""0.00""))"),"Loading...")</f>
        <v>Loading...</v>
      </c>
      <c r="L6270" s="129">
        <v>1.26485989472E11</v>
      </c>
      <c r="M6270" s="99">
        <v>0.57</v>
      </c>
    </row>
    <row r="6271">
      <c r="A6271" s="122" t="s">
        <v>13053</v>
      </c>
      <c r="B6271" s="123">
        <v>1471420.0</v>
      </c>
      <c r="C6271" s="124" t="s">
        <v>13054</v>
      </c>
      <c r="D6271" s="125"/>
      <c r="E6271" s="126">
        <v>32.81</v>
      </c>
      <c r="F6271" s="127"/>
      <c r="G6271" s="127"/>
      <c r="H6271" s="127"/>
      <c r="I6271" s="128"/>
      <c r="K6271" s="105" t="str">
        <f>IFERROR(__xludf.DUMMYFUNCTION("if(A6271="""","""",substitute(SUBSTITUTE(index(importhtml(""http://finviz.com/quote.ashx?t=""&amp;A6271,""table"",10),7,2),""*"",""""),""-"",""0.00""))"),"Loading...")</f>
        <v>Loading...</v>
      </c>
      <c r="L6271" s="129">
        <v>5.40605799E8</v>
      </c>
      <c r="M6271" s="99">
        <v>1.46</v>
      </c>
    </row>
    <row r="6272">
      <c r="A6272" s="122" t="s">
        <v>13055</v>
      </c>
      <c r="B6272" s="123">
        <v>1810806.0</v>
      </c>
      <c r="C6272" s="124" t="s">
        <v>13056</v>
      </c>
      <c r="D6272" s="125"/>
      <c r="E6272" s="126">
        <v>32.84</v>
      </c>
      <c r="F6272" s="127"/>
      <c r="G6272" s="127"/>
      <c r="H6272" s="127"/>
      <c r="I6272" s="128"/>
      <c r="K6272" s="55" t="s">
        <v>1034</v>
      </c>
      <c r="L6272" s="129">
        <v>1.2479824017E10</v>
      </c>
      <c r="M6272" s="99">
        <v>2.52</v>
      </c>
    </row>
    <row r="6273">
      <c r="A6273" s="122" t="s">
        <v>13057</v>
      </c>
      <c r="B6273" s="123">
        <v>1333986.0</v>
      </c>
      <c r="C6273" s="124" t="s">
        <v>13058</v>
      </c>
      <c r="D6273" s="125"/>
      <c r="E6273" s="126">
        <v>32.84</v>
      </c>
      <c r="F6273" s="127"/>
      <c r="G6273" s="127"/>
      <c r="H6273" s="127"/>
      <c r="I6273" s="128"/>
      <c r="K6273" s="55" t="s">
        <v>8509</v>
      </c>
      <c r="L6273" s="129">
        <v>1.1082068222E10</v>
      </c>
      <c r="M6273" s="99">
        <v>1.41</v>
      </c>
    </row>
    <row r="6274">
      <c r="A6274" s="122" t="s">
        <v>13059</v>
      </c>
      <c r="B6274" s="123">
        <v>1267565.0</v>
      </c>
      <c r="C6274" s="124" t="s">
        <v>13060</v>
      </c>
      <c r="D6274" s="125"/>
      <c r="E6274" s="126">
        <v>32.84</v>
      </c>
      <c r="F6274" s="127"/>
      <c r="G6274" s="127"/>
      <c r="H6274" s="127"/>
      <c r="I6274" s="128"/>
      <c r="K6274" s="105" t="str">
        <f>IFERROR(__xludf.DUMMYFUNCTION("if(A6274="""","""",substitute(SUBSTITUTE(index(importhtml(""http://finviz.com/quote.ashx?t=""&amp;A6274,""table"",10),7,2),""*"",""""),""-"",""0.00""))"),"Loading...")</f>
        <v>Loading...</v>
      </c>
      <c r="L6274" s="129">
        <v>1.070940975E9</v>
      </c>
      <c r="M6274" s="99">
        <v>1.01</v>
      </c>
    </row>
    <row r="6275">
      <c r="A6275" s="122" t="s">
        <v>13061</v>
      </c>
      <c r="B6275" s="123">
        <v>1441236.0</v>
      </c>
      <c r="C6275" s="124" t="s">
        <v>13062</v>
      </c>
      <c r="D6275" s="125"/>
      <c r="E6275" s="126">
        <v>32.86</v>
      </c>
      <c r="F6275" s="127"/>
      <c r="G6275" s="127"/>
      <c r="H6275" s="127"/>
      <c r="I6275" s="128"/>
      <c r="K6275" s="55" t="s">
        <v>1034</v>
      </c>
      <c r="L6275" s="129">
        <v>5.44271362E8</v>
      </c>
      <c r="M6275" s="99">
        <v>0.44</v>
      </c>
    </row>
    <row r="6276">
      <c r="A6276" s="122" t="s">
        <v>13063</v>
      </c>
      <c r="B6276" s="123">
        <v>106535.0</v>
      </c>
      <c r="C6276" s="124" t="s">
        <v>13064</v>
      </c>
      <c r="D6276" s="125"/>
      <c r="E6276" s="126">
        <v>32.9</v>
      </c>
      <c r="F6276" s="127"/>
      <c r="G6276" s="127"/>
      <c r="H6276" s="127"/>
      <c r="I6276" s="128"/>
      <c r="K6276" s="55" t="s">
        <v>6789</v>
      </c>
      <c r="L6276" s="129">
        <v>2.4008874813E10</v>
      </c>
      <c r="M6276" s="99">
        <v>1.39</v>
      </c>
    </row>
    <row r="6277">
      <c r="A6277" s="122" t="s">
        <v>13065</v>
      </c>
      <c r="B6277" s="123">
        <v>1264136.0</v>
      </c>
      <c r="C6277" s="124" t="s">
        <v>13066</v>
      </c>
      <c r="D6277" s="125"/>
      <c r="E6277" s="126">
        <v>32.97</v>
      </c>
      <c r="F6277" s="127"/>
      <c r="G6277" s="127"/>
      <c r="H6277" s="127"/>
      <c r="I6277" s="128"/>
      <c r="K6277" s="55" t="s">
        <v>13067</v>
      </c>
      <c r="L6277" s="129">
        <v>8.217347491E9</v>
      </c>
      <c r="M6277" s="99">
        <v>1.02</v>
      </c>
    </row>
    <row r="6278">
      <c r="A6278" s="122" t="s">
        <v>13068</v>
      </c>
      <c r="B6278" s="123">
        <v>1815442.0</v>
      </c>
      <c r="C6278" s="124" t="s">
        <v>13069</v>
      </c>
      <c r="D6278" s="125"/>
      <c r="E6278" s="126">
        <v>32.97</v>
      </c>
      <c r="F6278" s="127"/>
      <c r="G6278" s="127"/>
      <c r="H6278" s="127"/>
      <c r="I6278" s="128"/>
      <c r="K6278" s="105" t="str">
        <f>IFERROR(__xludf.DUMMYFUNCTION("if(A6278="""","""",substitute(SUBSTITUTE(index(importhtml(""http://finviz.com/quote.ashx?t=""&amp;A6278,""table"",10),7,2),""*"",""""),""-"",""0.00""))"),"Loading...")</f>
        <v>Loading...</v>
      </c>
      <c r="L6278" s="129">
        <v>1.95625491E9</v>
      </c>
      <c r="M6278" s="99">
        <v>2.23</v>
      </c>
    </row>
    <row r="6279">
      <c r="A6279" s="122" t="s">
        <v>13070</v>
      </c>
      <c r="B6279" s="123">
        <v>23426.0</v>
      </c>
      <c r="C6279" s="124" t="s">
        <v>13071</v>
      </c>
      <c r="D6279" s="125"/>
      <c r="E6279" s="126">
        <v>33.0</v>
      </c>
      <c r="F6279" s="127"/>
      <c r="G6279" s="127"/>
      <c r="H6279" s="127"/>
      <c r="I6279" s="128"/>
      <c r="K6279" s="105" t="str">
        <f>IFERROR(__xludf.DUMMYFUNCTION("if(A6279="""","""",substitute(SUBSTITUTE(index(importhtml(""http://finviz.com/quote.ashx?t=""&amp;A6279,""table"",10),7,2),""*"",""""),""-"",""0.00""))"),"Loading...")</f>
        <v>Loading...</v>
      </c>
      <c r="L6279" s="129">
        <v>2.66609E7</v>
      </c>
      <c r="M6279" s="99">
        <v>0.0</v>
      </c>
    </row>
    <row r="6280">
      <c r="A6280" s="122" t="s">
        <v>13072</v>
      </c>
      <c r="B6280" s="123">
        <v>312070.0</v>
      </c>
      <c r="C6280" s="124" t="s">
        <v>13073</v>
      </c>
      <c r="D6280" s="125"/>
      <c r="E6280" s="126">
        <v>33.0</v>
      </c>
      <c r="F6280" s="127"/>
      <c r="G6280" s="127"/>
      <c r="H6280" s="127"/>
      <c r="I6280" s="128"/>
      <c r="K6280" s="105" t="str">
        <f>IFERROR(__xludf.DUMMYFUNCTION("if(A6280="""","""",substitute(SUBSTITUTE(index(importhtml(""http://finviz.com/quote.ashx?t=""&amp;A6280,""table"",10),7,2),""*"",""""),""-"",""0.00""))"),"Loading...")</f>
        <v>Loading...</v>
      </c>
      <c r="L6280" s="129">
        <v>2.8384401496E10</v>
      </c>
      <c r="M6280" s="99">
        <v>-0.19</v>
      </c>
    </row>
    <row r="6281">
      <c r="A6281" s="122" t="s">
        <v>13074</v>
      </c>
      <c r="B6281" s="123">
        <v>1687229.0</v>
      </c>
      <c r="C6281" s="124" t="s">
        <v>13075</v>
      </c>
      <c r="D6281" s="125"/>
      <c r="E6281" s="126">
        <v>33.02</v>
      </c>
      <c r="F6281" s="127"/>
      <c r="G6281" s="127"/>
      <c r="H6281" s="127"/>
      <c r="I6281" s="128"/>
      <c r="K6281" s="105" t="str">
        <f>IFERROR(__xludf.DUMMYFUNCTION("if(A6281="""","""",substitute(SUBSTITUTE(index(importhtml(""http://finviz.com/quote.ashx?t=""&amp;A6281,""table"",10),7,2),""*"",""""),""-"",""0.00""))"),"Loading...")</f>
        <v>Loading...</v>
      </c>
      <c r="L6281" s="129">
        <v>2.0206856742E10</v>
      </c>
      <c r="M6281" s="99">
        <v>0.95</v>
      </c>
    </row>
    <row r="6282">
      <c r="A6282" s="122" t="s">
        <v>13076</v>
      </c>
      <c r="B6282" s="123">
        <v>1517175.0</v>
      </c>
      <c r="C6282" s="124" t="s">
        <v>13077</v>
      </c>
      <c r="D6282" s="125"/>
      <c r="E6282" s="126">
        <v>33.05</v>
      </c>
      <c r="F6282" s="127"/>
      <c r="G6282" s="127"/>
      <c r="H6282" s="127"/>
      <c r="I6282" s="128"/>
      <c r="K6282" s="105" t="str">
        <f>IFERROR(__xludf.DUMMYFUNCTION("if(A6282="""","""",substitute(SUBSTITUTE(index(importhtml(""http://finviz.com/quote.ashx?t=""&amp;A6282,""table"",10),7,2),""*"",""""),""-"",""0.00""))"),"Loading...")</f>
        <v>Loading...</v>
      </c>
      <c r="L6282" s="129">
        <v>1.31093549E9</v>
      </c>
      <c r="M6282" s="99">
        <v>2.19</v>
      </c>
    </row>
    <row r="6283">
      <c r="A6283" s="122" t="s">
        <v>13078</v>
      </c>
      <c r="B6283" s="123">
        <v>1727263.0</v>
      </c>
      <c r="C6283" s="124" t="s">
        <v>13079</v>
      </c>
      <c r="D6283" s="125"/>
      <c r="E6283" s="126">
        <v>33.05</v>
      </c>
      <c r="F6283" s="127"/>
      <c r="G6283" s="127"/>
      <c r="H6283" s="127"/>
      <c r="I6283" s="128"/>
      <c r="K6283" s="105" t="str">
        <f>IFERROR(__xludf.DUMMYFUNCTION("if(A6283="""","""",substitute(SUBSTITUTE(index(importhtml(""http://finviz.com/quote.ashx?t=""&amp;A6283,""table"",10),7,2),""*"",""""),""-"",""0.00""))"),"Loading...")</f>
        <v>Loading...</v>
      </c>
      <c r="L6283" s="129">
        <v>2.631498115E9</v>
      </c>
      <c r="M6283" s="99">
        <v>0.91</v>
      </c>
    </row>
    <row r="6284">
      <c r="A6284" s="122" t="s">
        <v>13080</v>
      </c>
      <c r="B6284" s="123">
        <v>1849853.0</v>
      </c>
      <c r="C6284" s="124" t="s">
        <v>13081</v>
      </c>
      <c r="D6284" s="125"/>
      <c r="E6284" s="126">
        <v>33.06</v>
      </c>
      <c r="F6284" s="127"/>
      <c r="G6284" s="127"/>
      <c r="H6284" s="127"/>
      <c r="I6284" s="128"/>
      <c r="K6284" s="105" t="str">
        <f>IFERROR(__xludf.DUMMYFUNCTION("if(A6284="""","""",substitute(SUBSTITUTE(index(importhtml(""http://finviz.com/quote.ashx?t=""&amp;A6284,""table"",10),7,2),""*"",""""),""-"",""0.00""))"),"Loading...")</f>
        <v>Loading...</v>
      </c>
      <c r="L6284" s="129">
        <v>9.770552805E9</v>
      </c>
      <c r="M6284" s="99">
        <f>IFERROR(__xludf.DUMMYFUNCTION("GOOGLEFINANCE(A6284,""beta"")"),0.56)</f>
        <v>0.56</v>
      </c>
    </row>
    <row r="6285">
      <c r="A6285" s="122" t="s">
        <v>13082</v>
      </c>
      <c r="B6285" s="123">
        <v>51644.0</v>
      </c>
      <c r="C6285" s="124" t="s">
        <v>13083</v>
      </c>
      <c r="D6285" s="125"/>
      <c r="E6285" s="126">
        <v>33.08</v>
      </c>
      <c r="F6285" s="127"/>
      <c r="G6285" s="127"/>
      <c r="H6285" s="127"/>
      <c r="I6285" s="128"/>
      <c r="K6285" s="105" t="str">
        <f>IFERROR(__xludf.DUMMYFUNCTION("if(A6285="""","""",substitute(SUBSTITUTE(index(importhtml(""http://finviz.com/quote.ashx?t=""&amp;A6285,""table"",10),7,2),""*"",""""),""-"",""0.00""))"),"Loading...")</f>
        <v>Loading...</v>
      </c>
      <c r="L6285" s="129">
        <v>1.2669779637E10</v>
      </c>
      <c r="M6285" s="99">
        <v>1.15</v>
      </c>
    </row>
    <row r="6286">
      <c r="A6286" s="122" t="s">
        <v>13084</v>
      </c>
      <c r="B6286" s="123">
        <v>896076.0</v>
      </c>
      <c r="C6286" s="124" t="s">
        <v>13085</v>
      </c>
      <c r="D6286" s="125"/>
      <c r="E6286" s="126">
        <v>33.11</v>
      </c>
      <c r="F6286" s="127"/>
      <c r="G6286" s="127"/>
      <c r="H6286" s="127"/>
      <c r="I6286" s="128"/>
      <c r="K6286" s="105" t="str">
        <f>IFERROR(__xludf.DUMMYFUNCTION("if(A6286="""","""",substitute(SUBSTITUTE(index(importhtml(""http://finviz.com/quote.ashx?t=""&amp;A6286,""table"",10),7,2),""*"",""""),""-"",""0.00""))"),"Loading...")</f>
        <v>Loading...</v>
      </c>
      <c r="L6286" s="129">
        <v>2.1663229884E10</v>
      </c>
      <c r="M6286" s="99">
        <v>1.17</v>
      </c>
    </row>
    <row r="6287">
      <c r="A6287" s="122" t="s">
        <v>13086</v>
      </c>
      <c r="B6287" s="123">
        <v>899108.0</v>
      </c>
      <c r="C6287" s="124" t="s">
        <v>13087</v>
      </c>
      <c r="D6287" s="125"/>
      <c r="E6287" s="126">
        <v>33.22</v>
      </c>
      <c r="F6287" s="127"/>
      <c r="G6287" s="127"/>
      <c r="H6287" s="127"/>
      <c r="I6287" s="128"/>
      <c r="K6287" s="105" t="str">
        <f>IFERROR(__xludf.DUMMYFUNCTION("if(A6287="""","""",substitute(SUBSTITUTE(index(importhtml(""http://finviz.com/quote.ashx?t=""&amp;A6287,""table"",10),7,2),""*"",""""),""-"",""0.00""))"),"Loading...")</f>
        <v>Loading...</v>
      </c>
      <c r="L6287" s="129">
        <v>3.8984925709E10</v>
      </c>
      <c r="M6287" s="99">
        <v>0.67</v>
      </c>
    </row>
    <row r="6288">
      <c r="A6288" s="122" t="s">
        <v>13088</v>
      </c>
      <c r="B6288" s="123">
        <v>1323885.0</v>
      </c>
      <c r="C6288" s="124" t="s">
        <v>13089</v>
      </c>
      <c r="D6288" s="125"/>
      <c r="E6288" s="126">
        <v>33.3</v>
      </c>
      <c r="F6288" s="127"/>
      <c r="G6288" s="127"/>
      <c r="H6288" s="127"/>
      <c r="I6288" s="128"/>
      <c r="K6288" s="105" t="str">
        <f>IFERROR(__xludf.DUMMYFUNCTION("if(A6288="""","""",substitute(SUBSTITUTE(index(importhtml(""http://finviz.com/quote.ashx?t=""&amp;A6288,""table"",10),7,2),""*"",""""),""-"",""0.00""))"),"Loading...")</f>
        <v>Loading...</v>
      </c>
      <c r="L6288" s="129">
        <v>1.578255794E9</v>
      </c>
      <c r="M6288" s="99">
        <v>1.4</v>
      </c>
    </row>
    <row r="6289">
      <c r="A6289" s="122" t="s">
        <v>13090</v>
      </c>
      <c r="B6289" s="123">
        <v>1021635.0</v>
      </c>
      <c r="C6289" s="124" t="s">
        <v>13091</v>
      </c>
      <c r="D6289" s="125"/>
      <c r="E6289" s="126">
        <v>33.3</v>
      </c>
      <c r="F6289" s="127"/>
      <c r="G6289" s="127"/>
      <c r="H6289" s="127"/>
      <c r="I6289" s="128"/>
      <c r="K6289" s="105" t="str">
        <f>IFERROR(__xludf.DUMMYFUNCTION("if(A6289="""","""",substitute(SUBSTITUTE(index(importhtml(""http://finviz.com/quote.ashx?t=""&amp;A6289,""table"",10),7,2),""*"",""""),""-"",""0.00""))"),"Loading...")</f>
        <v>Loading...</v>
      </c>
      <c r="L6289" s="129">
        <v>6.669566937E9</v>
      </c>
      <c r="M6289" s="99">
        <v>0.74</v>
      </c>
    </row>
    <row r="6290">
      <c r="A6290" s="122" t="s">
        <v>13092</v>
      </c>
      <c r="B6290" s="123">
        <v>703604.0</v>
      </c>
      <c r="C6290" s="124" t="s">
        <v>13093</v>
      </c>
      <c r="D6290" s="125"/>
      <c r="E6290" s="126">
        <v>33.31</v>
      </c>
      <c r="F6290" s="127"/>
      <c r="G6290" s="127"/>
      <c r="H6290" s="127"/>
      <c r="I6290" s="128"/>
      <c r="K6290" s="105" t="str">
        <f>IFERROR(__xludf.DUMMYFUNCTION("if(A6290="""","""",substitute(SUBSTITUTE(index(importhtml(""http://finviz.com/quote.ashx?t=""&amp;A6290,""table"",10),7,2),""*"",""""),""-"",""0.00""))"),"Loading...")</f>
        <v>Loading...</v>
      </c>
      <c r="L6290" s="129">
        <v>1.560438658E9</v>
      </c>
      <c r="M6290" s="99">
        <v>0.91</v>
      </c>
    </row>
    <row r="6291">
      <c r="A6291" s="122" t="s">
        <v>13094</v>
      </c>
      <c r="B6291" s="123">
        <v>850918.0</v>
      </c>
      <c r="C6291" s="124" t="s">
        <v>13095</v>
      </c>
      <c r="D6291" s="125"/>
      <c r="E6291" s="126">
        <v>33.31</v>
      </c>
      <c r="F6291" s="127"/>
      <c r="G6291" s="127"/>
      <c r="H6291" s="127"/>
      <c r="I6291" s="128"/>
      <c r="K6291" s="105" t="str">
        <f>IFERROR(__xludf.DUMMYFUNCTION("if(A6291="""","""",substitute(SUBSTITUTE(index(importhtml(""http://finviz.com/quote.ashx?t=""&amp;A6291,""table"",10),7,2),""*"",""""),""-"",""0.00""))"),"Loading...")</f>
        <v>Loading...</v>
      </c>
      <c r="L6291" s="129">
        <v>4.162983495E10</v>
      </c>
      <c r="M6291" s="99">
        <v>0.75</v>
      </c>
    </row>
    <row r="6292">
      <c r="A6292" s="122" t="s">
        <v>13096</v>
      </c>
      <c r="B6292" s="123">
        <v>884219.0</v>
      </c>
      <c r="C6292" s="124" t="s">
        <v>13097</v>
      </c>
      <c r="D6292" s="125"/>
      <c r="E6292" s="126">
        <v>33.39</v>
      </c>
      <c r="F6292" s="127"/>
      <c r="G6292" s="127"/>
      <c r="H6292" s="127"/>
      <c r="I6292" s="128"/>
      <c r="K6292" s="105" t="str">
        <f>IFERROR(__xludf.DUMMYFUNCTION("if(A6292="""","""",substitute(SUBSTITUTE(index(importhtml(""http://finviz.com/quote.ashx?t=""&amp;A6292,""table"",10),7,2),""*"",""""),""-"",""0.00""))"),"Loading...")</f>
        <v>Loading...</v>
      </c>
      <c r="L6292" s="129">
        <v>6.98497417E8</v>
      </c>
      <c r="M6292" s="99">
        <v>1.96</v>
      </c>
    </row>
    <row r="6293">
      <c r="A6293" s="122" t="s">
        <v>13098</v>
      </c>
      <c r="B6293" s="123">
        <v>51434.0</v>
      </c>
      <c r="C6293" s="124" t="s">
        <v>13099</v>
      </c>
      <c r="D6293" s="125"/>
      <c r="E6293" s="126">
        <v>33.46</v>
      </c>
      <c r="F6293" s="127"/>
      <c r="G6293" s="127"/>
      <c r="H6293" s="127"/>
      <c r="I6293" s="128"/>
      <c r="K6293" s="138" t="s">
        <v>13100</v>
      </c>
      <c r="L6293" s="129">
        <v>1.1577741887E10</v>
      </c>
      <c r="M6293" s="99">
        <v>0.99</v>
      </c>
    </row>
    <row r="6294">
      <c r="A6294" s="122" t="s">
        <v>13101</v>
      </c>
      <c r="B6294" s="123">
        <v>70858.0</v>
      </c>
      <c r="C6294" s="124" t="s">
        <v>12898</v>
      </c>
      <c r="D6294" s="125"/>
      <c r="E6294" s="126">
        <v>33.47</v>
      </c>
      <c r="F6294" s="127"/>
      <c r="G6294" s="127"/>
      <c r="H6294" s="127"/>
      <c r="I6294" s="128"/>
      <c r="K6294" s="55" t="s">
        <v>9675</v>
      </c>
      <c r="L6294" s="129">
        <v>2.6487258623E11</v>
      </c>
      <c r="M6294" s="99">
        <v>1.39</v>
      </c>
    </row>
    <row r="6295">
      <c r="A6295" s="122" t="s">
        <v>13102</v>
      </c>
      <c r="B6295" s="123">
        <v>1376139.0</v>
      </c>
      <c r="C6295" s="124" t="s">
        <v>13103</v>
      </c>
      <c r="D6295" s="125"/>
      <c r="E6295" s="126">
        <v>33.53</v>
      </c>
      <c r="F6295" s="127"/>
      <c r="G6295" s="127"/>
      <c r="H6295" s="127"/>
      <c r="I6295" s="128"/>
      <c r="K6295" s="55" t="s">
        <v>13104</v>
      </c>
      <c r="L6295" s="129">
        <v>3.370787542E9</v>
      </c>
      <c r="M6295" s="99">
        <v>1.57</v>
      </c>
    </row>
    <row r="6296">
      <c r="A6296" s="122" t="s">
        <v>13105</v>
      </c>
      <c r="B6296" s="123">
        <v>715153.0</v>
      </c>
      <c r="C6296" s="124" t="s">
        <v>9029</v>
      </c>
      <c r="D6296" s="125"/>
      <c r="E6296" s="126">
        <v>33.53</v>
      </c>
      <c r="F6296" s="127"/>
      <c r="G6296" s="127"/>
      <c r="H6296" s="127"/>
      <c r="I6296" s="128"/>
      <c r="K6296" s="105" t="str">
        <f>IFERROR(__xludf.DUMMYFUNCTION("if(A6296="""","""",substitute(SUBSTITUTE(index(importhtml(""http://finviz.com/quote.ashx?t=""&amp;A6296,""table"",10),7,2),""*"",""""),""-"",""0.00""))"),"Loading...")</f>
        <v>Loading...</v>
      </c>
      <c r="L6296" s="129">
        <v>9.3007787775E12</v>
      </c>
      <c r="M6296" s="99">
        <v>0.7</v>
      </c>
    </row>
    <row r="6297">
      <c r="A6297" s="122" t="s">
        <v>13106</v>
      </c>
      <c r="B6297" s="123">
        <v>1796209.0</v>
      </c>
      <c r="C6297" s="124" t="s">
        <v>13107</v>
      </c>
      <c r="D6297" s="125"/>
      <c r="E6297" s="126">
        <v>33.61</v>
      </c>
      <c r="F6297" s="127"/>
      <c r="G6297" s="127"/>
      <c r="H6297" s="127"/>
      <c r="I6297" s="128"/>
      <c r="K6297" s="55" t="s">
        <v>1034</v>
      </c>
      <c r="L6297" s="129">
        <v>8.196013752E9</v>
      </c>
      <c r="M6297" s="99">
        <v>1.89</v>
      </c>
    </row>
    <row r="6298">
      <c r="A6298" s="122" t="s">
        <v>13108</v>
      </c>
      <c r="B6298" s="123">
        <v>1384905.0</v>
      </c>
      <c r="C6298" s="124" t="s">
        <v>13109</v>
      </c>
      <c r="D6298" s="125"/>
      <c r="E6298" s="126">
        <v>33.66</v>
      </c>
      <c r="F6298" s="127"/>
      <c r="G6298" s="127"/>
      <c r="H6298" s="127"/>
      <c r="I6298" s="128"/>
      <c r="K6298" s="105" t="str">
        <f>IFERROR(__xludf.DUMMYFUNCTION("if(A6298="""","""",substitute(SUBSTITUTE(index(importhtml(""http://finviz.com/quote.ashx?t=""&amp;A6298,""table"",10),7,2),""*"",""""),""-"",""0.00""))"),"Loading...")</f>
        <v>Loading...</v>
      </c>
      <c r="L6298" s="129">
        <v>3.155526025E9</v>
      </c>
      <c r="M6298" s="99">
        <v>0.95</v>
      </c>
    </row>
    <row r="6299">
      <c r="A6299" s="122" t="s">
        <v>13110</v>
      </c>
      <c r="B6299" s="123">
        <v>1159036.0</v>
      </c>
      <c r="C6299" s="124" t="s">
        <v>13111</v>
      </c>
      <c r="D6299" s="125"/>
      <c r="E6299" s="126">
        <v>33.68</v>
      </c>
      <c r="F6299" s="127"/>
      <c r="G6299" s="127"/>
      <c r="H6299" s="127"/>
      <c r="I6299" s="128"/>
      <c r="K6299" s="105" t="str">
        <f>IFERROR(__xludf.DUMMYFUNCTION("if(A6299="""","""",substitute(SUBSTITUTE(index(importhtml(""http://finviz.com/quote.ashx?t=""&amp;A6299,""table"",10),7,2),""*"",""""),""-"",""0.00""))"),"Loading...")</f>
        <v>Loading...</v>
      </c>
      <c r="L6299" s="129">
        <v>4.449064048E9</v>
      </c>
      <c r="M6299" s="99">
        <v>1.22</v>
      </c>
    </row>
    <row r="6300">
      <c r="A6300" s="122" t="s">
        <v>13112</v>
      </c>
      <c r="B6300" s="123">
        <v>1061894.0</v>
      </c>
      <c r="C6300" s="124" t="s">
        <v>13113</v>
      </c>
      <c r="D6300" s="125"/>
      <c r="E6300" s="126">
        <v>33.69</v>
      </c>
      <c r="F6300" s="127"/>
      <c r="G6300" s="127"/>
      <c r="H6300" s="127"/>
      <c r="I6300" s="128"/>
      <c r="K6300" s="55" t="s">
        <v>9289</v>
      </c>
      <c r="L6300" s="129">
        <v>5.805888426E9</v>
      </c>
      <c r="M6300" s="99">
        <v>1.38</v>
      </c>
    </row>
    <row r="6301">
      <c r="A6301" s="122" t="s">
        <v>13114</v>
      </c>
      <c r="B6301" s="123">
        <v>9984.0</v>
      </c>
      <c r="C6301" s="124" t="s">
        <v>13115</v>
      </c>
      <c r="D6301" s="125"/>
      <c r="E6301" s="126">
        <v>33.7</v>
      </c>
      <c r="F6301" s="127"/>
      <c r="G6301" s="127"/>
      <c r="H6301" s="127"/>
      <c r="I6301" s="128"/>
      <c r="K6301" s="138" t="s">
        <v>9445</v>
      </c>
      <c r="L6301" s="129">
        <v>1.707743494E9</v>
      </c>
      <c r="M6301" s="99">
        <v>1.37</v>
      </c>
    </row>
    <row r="6302">
      <c r="A6302" s="122" t="s">
        <v>13116</v>
      </c>
      <c r="B6302" s="123">
        <v>1269238.0</v>
      </c>
      <c r="C6302" s="124" t="s">
        <v>13117</v>
      </c>
      <c r="D6302" s="125"/>
      <c r="E6302" s="126">
        <v>33.73</v>
      </c>
      <c r="F6302" s="127"/>
      <c r="G6302" s="127"/>
      <c r="H6302" s="127"/>
      <c r="I6302" s="128"/>
      <c r="K6302" s="105" t="str">
        <f>IFERROR(__xludf.DUMMYFUNCTION("if(A6302="""","""",substitute(SUBSTITUTE(index(importhtml(""http://finviz.com/quote.ashx?t=""&amp;A6302,""table"",10),7,2),""*"",""""),""-"",""0.00""))"),"Loading...")</f>
        <v>Loading...</v>
      </c>
      <c r="L6302" s="129">
        <v>2.50143347E10</v>
      </c>
      <c r="M6302" s="99" t="str">
        <f>IFERROR(__xludf.DUMMYFUNCTION("GOOGLEFINANCE(A6302,""beta"")"),"#N/A")</f>
        <v>#N/A</v>
      </c>
    </row>
    <row r="6303">
      <c r="A6303" s="122" t="s">
        <v>13118</v>
      </c>
      <c r="B6303" s="123">
        <v>712534.0</v>
      </c>
      <c r="C6303" s="124" t="s">
        <v>13119</v>
      </c>
      <c r="D6303" s="125"/>
      <c r="E6303" s="126">
        <v>33.74</v>
      </c>
      <c r="F6303" s="127"/>
      <c r="G6303" s="127"/>
      <c r="H6303" s="127"/>
      <c r="I6303" s="128"/>
      <c r="K6303" s="105" t="str">
        <f>IFERROR(__xludf.DUMMYFUNCTION("if(A6303="""","""",substitute(SUBSTITUTE(index(importhtml(""http://finviz.com/quote.ashx?t=""&amp;A6303,""table"",10),7,2),""*"",""""),""-"",""0.00""))"),"Loading...")</f>
        <v>Loading...</v>
      </c>
      <c r="L6303" s="129">
        <v>2.004970245E9</v>
      </c>
      <c r="M6303" s="99">
        <v>1.09</v>
      </c>
    </row>
    <row r="6304">
      <c r="A6304" s="122" t="s">
        <v>13120</v>
      </c>
      <c r="B6304" s="123">
        <v>312070.0</v>
      </c>
      <c r="C6304" s="124" t="s">
        <v>13121</v>
      </c>
      <c r="D6304" s="125"/>
      <c r="E6304" s="126">
        <v>33.74</v>
      </c>
      <c r="F6304" s="127"/>
      <c r="G6304" s="127"/>
      <c r="H6304" s="127"/>
      <c r="I6304" s="128"/>
      <c r="K6304" s="105" t="str">
        <f>IFERROR(__xludf.DUMMYFUNCTION("if(A6304="""","""",substitute(SUBSTITUTE(index(importhtml(""http://finviz.com/quote.ashx?t=""&amp;A6304,""table"",10),7,2),""*"",""""),""-"",""0.00""))"),"Loading...")</f>
        <v>Loading...</v>
      </c>
      <c r="L6304" s="129">
        <v>2.1782106401E10</v>
      </c>
      <c r="M6304" s="99" t="str">
        <f>IFERROR(__xludf.DUMMYFUNCTION("GOOGLEFINANCE(A6304,""beta"")"),"#N/A")</f>
        <v>#N/A</v>
      </c>
    </row>
    <row r="6305">
      <c r="A6305" s="122" t="s">
        <v>13122</v>
      </c>
      <c r="B6305" s="123">
        <v>23426.0</v>
      </c>
      <c r="C6305" s="124" t="s">
        <v>13123</v>
      </c>
      <c r="D6305" s="125"/>
      <c r="E6305" s="126">
        <v>33.75</v>
      </c>
      <c r="F6305" s="127"/>
      <c r="G6305" s="127"/>
      <c r="H6305" s="127"/>
      <c r="I6305" s="128"/>
      <c r="K6305" s="105" t="str">
        <f>IFERROR(__xludf.DUMMYFUNCTION("if(A6305="""","""",substitute(SUBSTITUTE(index(importhtml(""http://finviz.com/quote.ashx?t=""&amp;A6305,""table"",10),7,2),""*"",""""),""-"",""0.00""))"),"Loading...")</f>
        <v>Loading...</v>
      </c>
      <c r="L6305" s="129">
        <v>2.66609E7</v>
      </c>
      <c r="M6305" s="99">
        <v>0.01</v>
      </c>
    </row>
    <row r="6306">
      <c r="A6306" s="122" t="s">
        <v>13124</v>
      </c>
      <c r="B6306" s="123">
        <v>1795250.0</v>
      </c>
      <c r="C6306" s="124" t="s">
        <v>13125</v>
      </c>
      <c r="D6306" s="125"/>
      <c r="E6306" s="126">
        <v>33.76</v>
      </c>
      <c r="F6306" s="127"/>
      <c r="G6306" s="127"/>
      <c r="H6306" s="127"/>
      <c r="I6306" s="128"/>
      <c r="K6306" s="105" t="str">
        <f>IFERROR(__xludf.DUMMYFUNCTION("if(A6306="""","""",substitute(SUBSTITUTE(index(importhtml(""http://finviz.com/quote.ashx?t=""&amp;A6306,""table"",10),7,2),""*"",""""),""-"",""0.00""))"),"Loading...")</f>
        <v>Loading...</v>
      </c>
      <c r="L6306" s="129">
        <v>1.619463405E9</v>
      </c>
      <c r="M6306" s="99" t="str">
        <f>IFERROR(__xludf.DUMMYFUNCTION("GOOGLEFINANCE(A6306,""beta"")"),"#N/A")</f>
        <v>#N/A</v>
      </c>
    </row>
    <row r="6307">
      <c r="A6307" s="122" t="s">
        <v>13126</v>
      </c>
      <c r="B6307" s="123">
        <v>1421876.0</v>
      </c>
      <c r="C6307" s="124" t="s">
        <v>13127</v>
      </c>
      <c r="D6307" s="125"/>
      <c r="E6307" s="126">
        <v>33.82</v>
      </c>
      <c r="F6307" s="127"/>
      <c r="G6307" s="127"/>
      <c r="H6307" s="127"/>
      <c r="I6307" s="128"/>
      <c r="K6307" s="105" t="str">
        <f>IFERROR(__xludf.DUMMYFUNCTION("if(A6307="""","""",substitute(SUBSTITUTE(index(importhtml(""http://finviz.com/quote.ashx?t=""&amp;A6307,""table"",10),7,2),""*"",""""),""-"",""0.00""))"),"Loading...")</f>
        <v>Loading...</v>
      </c>
      <c r="L6307" s="129">
        <v>2.4310755E9</v>
      </c>
      <c r="M6307" s="99" t="str">
        <f>IFERROR(__xludf.DUMMYFUNCTION("GOOGLEFINANCE(A6307,""beta"")"),"#N/A")</f>
        <v>#N/A</v>
      </c>
    </row>
    <row r="6308">
      <c r="A6308" s="122" t="s">
        <v>13128</v>
      </c>
      <c r="B6308" s="123">
        <v>35527.0</v>
      </c>
      <c r="C6308" s="124" t="s">
        <v>13129</v>
      </c>
      <c r="D6308" s="125"/>
      <c r="E6308" s="126">
        <v>33.85</v>
      </c>
      <c r="F6308" s="127"/>
      <c r="G6308" s="127"/>
      <c r="H6308" s="127"/>
      <c r="I6308" s="128"/>
      <c r="K6308" s="105" t="str">
        <f>IFERROR(__xludf.DUMMYFUNCTION("if(A6308="""","""",substitute(SUBSTITUTE(index(importhtml(""http://finviz.com/quote.ashx?t=""&amp;A6308,""table"",10),7,2),""*"",""""),""-"",""0.00""))"),"Loading...")</f>
        <v>Loading...</v>
      </c>
      <c r="L6308" s="129">
        <v>2.3056076825E10</v>
      </c>
      <c r="M6308" s="99">
        <v>1.27</v>
      </c>
    </row>
    <row r="6309">
      <c r="A6309" s="122" t="s">
        <v>13130</v>
      </c>
      <c r="B6309" s="123">
        <v>1743881.0</v>
      </c>
      <c r="C6309" s="124" t="s">
        <v>13131</v>
      </c>
      <c r="D6309" s="125"/>
      <c r="E6309" s="126">
        <v>33.91</v>
      </c>
      <c r="F6309" s="127"/>
      <c r="G6309" s="127"/>
      <c r="H6309" s="127"/>
      <c r="I6309" s="128"/>
      <c r="K6309" s="105" t="str">
        <f>IFERROR(__xludf.DUMMYFUNCTION("if(A6309="""","""",substitute(SUBSTITUTE(index(importhtml(""http://finviz.com/quote.ashx?t=""&amp;A6309,""table"",10),7,2),""*"",""""),""-"",""0.00""))"),"Loading...")</f>
        <v>Loading...</v>
      </c>
      <c r="L6309" s="129">
        <v>5.899220943E9</v>
      </c>
      <c r="M6309" s="99">
        <v>1.07</v>
      </c>
    </row>
    <row r="6310">
      <c r="A6310" s="122" t="s">
        <v>13132</v>
      </c>
      <c r="B6310" s="123">
        <v>859070.0</v>
      </c>
      <c r="C6310" s="124" t="s">
        <v>13133</v>
      </c>
      <c r="D6310" s="125"/>
      <c r="E6310" s="126">
        <v>33.96</v>
      </c>
      <c r="F6310" s="127"/>
      <c r="G6310" s="127"/>
      <c r="H6310" s="127"/>
      <c r="I6310" s="128"/>
      <c r="K6310" s="105" t="str">
        <f>IFERROR(__xludf.DUMMYFUNCTION("if(A6310="""","""",substitute(SUBSTITUTE(index(importhtml(""http://finviz.com/quote.ashx?t=""&amp;A6310,""table"",10),7,2),""*"",""""),""-"",""0.00""))"),"Loading...")</f>
        <v>Loading...</v>
      </c>
      <c r="L6310" s="129">
        <v>6.28341147E8</v>
      </c>
      <c r="M6310" s="99">
        <v>0.53</v>
      </c>
    </row>
    <row r="6311">
      <c r="A6311" s="122" t="s">
        <v>13134</v>
      </c>
      <c r="B6311" s="123">
        <v>1796022.0</v>
      </c>
      <c r="C6311" s="124" t="s">
        <v>13135</v>
      </c>
      <c r="D6311" s="125"/>
      <c r="E6311" s="126">
        <v>33.99</v>
      </c>
      <c r="F6311" s="127"/>
      <c r="G6311" s="127"/>
      <c r="H6311" s="127"/>
      <c r="I6311" s="128"/>
      <c r="K6311" s="105" t="str">
        <f>IFERROR(__xludf.DUMMYFUNCTION("if(A6311="""","""",substitute(SUBSTITUTE(index(importhtml(""http://finviz.com/quote.ashx?t=""&amp;A6311,""table"",10),7,2),""*"",""""),""-"",""0.00""))"),"Loading...")</f>
        <v>Loading...</v>
      </c>
      <c r="L6311" s="129">
        <v>3.75193535E9</v>
      </c>
      <c r="M6311" s="99">
        <v>1.28</v>
      </c>
    </row>
    <row r="6312">
      <c r="A6312" s="122" t="s">
        <v>13136</v>
      </c>
      <c r="B6312" s="123">
        <v>784539.0</v>
      </c>
      <c r="C6312" s="124" t="s">
        <v>13137</v>
      </c>
      <c r="D6312" s="125"/>
      <c r="E6312" s="126">
        <v>34.0</v>
      </c>
      <c r="F6312" s="127"/>
      <c r="G6312" s="127"/>
      <c r="H6312" s="127"/>
      <c r="I6312" s="128"/>
      <c r="K6312" s="105" t="str">
        <f>IFERROR(__xludf.DUMMYFUNCTION("if(A6312="""","""",substitute(SUBSTITUTE(index(importhtml(""http://finviz.com/quote.ashx?t=""&amp;A6312,""table"",10),7,2),""*"",""""),""-"",""0.00""))"),"Loading...")</f>
        <v>Loading...</v>
      </c>
      <c r="L6312" s="129">
        <v>1.6529406E8</v>
      </c>
      <c r="M6312" s="99">
        <v>0.16</v>
      </c>
    </row>
    <row r="6313">
      <c r="A6313" s="122" t="s">
        <v>13138</v>
      </c>
      <c r="B6313" s="123">
        <v>355811.0</v>
      </c>
      <c r="C6313" s="124" t="s">
        <v>13139</v>
      </c>
      <c r="D6313" s="125"/>
      <c r="E6313" s="126">
        <v>34.04</v>
      </c>
      <c r="F6313" s="127"/>
      <c r="G6313" s="127"/>
      <c r="H6313" s="127"/>
      <c r="I6313" s="128"/>
      <c r="K6313" s="105" t="str">
        <f>IFERROR(__xludf.DUMMYFUNCTION("if(A6313="""","""",substitute(SUBSTITUTE(index(importhtml(""http://finviz.com/quote.ashx?t=""&amp;A6313,""table"",10),7,2),""*"",""""),""-"",""0.00""))"),"Loading...")</f>
        <v>Loading...</v>
      </c>
      <c r="L6313" s="129">
        <v>7.939918717E9</v>
      </c>
      <c r="M6313" s="99">
        <v>0.97</v>
      </c>
    </row>
    <row r="6314">
      <c r="A6314" s="122" t="s">
        <v>13140</v>
      </c>
      <c r="B6314" s="123">
        <v>107140.0</v>
      </c>
      <c r="C6314" s="124" t="s">
        <v>13141</v>
      </c>
      <c r="D6314" s="125"/>
      <c r="E6314" s="126">
        <v>34.05</v>
      </c>
      <c r="F6314" s="127"/>
      <c r="G6314" s="127"/>
      <c r="H6314" s="127"/>
      <c r="I6314" s="128"/>
      <c r="K6314" s="105" t="str">
        <f>IFERROR(__xludf.DUMMYFUNCTION("if(A6314="""","""",substitute(SUBSTITUTE(index(importhtml(""http://finviz.com/quote.ashx?t=""&amp;A6314,""table"",10),7,2),""*"",""""),""-"",""0.00""))"),"Loading...")</f>
        <v>Loading...</v>
      </c>
      <c r="L6314" s="129">
        <v>1.89072E9</v>
      </c>
      <c r="M6314" s="99">
        <v>0.9</v>
      </c>
    </row>
    <row r="6315">
      <c r="A6315" s="122" t="s">
        <v>13142</v>
      </c>
      <c r="B6315" s="123">
        <v>1293282.0</v>
      </c>
      <c r="C6315" s="124" t="s">
        <v>13143</v>
      </c>
      <c r="D6315" s="125"/>
      <c r="E6315" s="126">
        <v>34.07</v>
      </c>
      <c r="F6315" s="127"/>
      <c r="G6315" s="127"/>
      <c r="H6315" s="127"/>
      <c r="I6315" s="128"/>
      <c r="K6315" s="105" t="str">
        <f>IFERROR(__xludf.DUMMYFUNCTION("if(A6315="""","""",substitute(SUBSTITUTE(index(importhtml(""http://finviz.com/quote.ashx?t=""&amp;A6315,""table"",10),7,2),""*"",""""),""-"",""0.00""))"),"Loading...")</f>
        <v>Loading...</v>
      </c>
      <c r="L6315" s="129">
        <v>9.68103811E8</v>
      </c>
      <c r="M6315" s="99">
        <v>0.98</v>
      </c>
    </row>
    <row r="6316">
      <c r="A6316" s="122" t="s">
        <v>13144</v>
      </c>
      <c r="B6316" s="123">
        <v>908255.0</v>
      </c>
      <c r="C6316" s="124" t="s">
        <v>13145</v>
      </c>
      <c r="D6316" s="125"/>
      <c r="E6316" s="126">
        <v>34.09</v>
      </c>
      <c r="F6316" s="127"/>
      <c r="G6316" s="127"/>
      <c r="H6316" s="127"/>
      <c r="I6316" s="128"/>
      <c r="K6316" s="55" t="s">
        <v>10827</v>
      </c>
      <c r="L6316" s="129">
        <v>8.013038621E9</v>
      </c>
      <c r="M6316" s="99">
        <v>1.32</v>
      </c>
    </row>
    <row r="6317">
      <c r="A6317" s="122" t="s">
        <v>13146</v>
      </c>
      <c r="B6317" s="123">
        <v>1655891.0</v>
      </c>
      <c r="C6317" s="124" t="s">
        <v>13147</v>
      </c>
      <c r="D6317" s="125"/>
      <c r="E6317" s="126">
        <v>34.09</v>
      </c>
      <c r="F6317" s="127"/>
      <c r="G6317" s="127"/>
      <c r="H6317" s="127"/>
      <c r="I6317" s="128"/>
      <c r="K6317" s="105" t="str">
        <f>IFERROR(__xludf.DUMMYFUNCTION("if(A6317="""","""",substitute(SUBSTITUTE(index(importhtml(""http://finviz.com/quote.ashx?t=""&amp;A6317,""table"",10),7,2),""*"",""""),""-"",""0.00""))"),"Loading...")</f>
        <v>Loading...</v>
      </c>
      <c r="L6317" s="129">
        <v>2.252746E10</v>
      </c>
      <c r="M6317" s="99">
        <v>0.09</v>
      </c>
    </row>
    <row r="6318">
      <c r="A6318" s="122" t="s">
        <v>13148</v>
      </c>
      <c r="B6318" s="123">
        <v>104918.0</v>
      </c>
      <c r="C6318" s="124" t="s">
        <v>13149</v>
      </c>
      <c r="D6318" s="125"/>
      <c r="E6318" s="126">
        <v>34.11</v>
      </c>
      <c r="F6318" s="127"/>
      <c r="G6318" s="127"/>
      <c r="H6318" s="127"/>
      <c r="I6318" s="128"/>
      <c r="K6318" s="55" t="s">
        <v>13150</v>
      </c>
      <c r="L6318" s="129">
        <v>2.639009565E9</v>
      </c>
      <c r="M6318" s="99">
        <v>0.5</v>
      </c>
    </row>
    <row r="6319">
      <c r="A6319" s="122" t="s">
        <v>13151</v>
      </c>
      <c r="B6319" s="123">
        <v>216085.0</v>
      </c>
      <c r="C6319" s="124" t="s">
        <v>13152</v>
      </c>
      <c r="D6319" s="125"/>
      <c r="E6319" s="126">
        <v>34.13</v>
      </c>
      <c r="F6319" s="127"/>
      <c r="G6319" s="127"/>
      <c r="H6319" s="127"/>
      <c r="I6319" s="128"/>
      <c r="K6319" s="105" t="str">
        <f>IFERROR(__xludf.DUMMYFUNCTION("if(A6319="""","""",substitute(SUBSTITUTE(index(importhtml(""http://finviz.com/quote.ashx?t=""&amp;A6319,""table"",10),7,2),""*"",""""),""-"",""0.00""))"),"#REF!")</f>
        <v>#REF!</v>
      </c>
      <c r="L6319" s="129">
        <v>5.55878399E8</v>
      </c>
      <c r="M6319" s="99">
        <v>1.57</v>
      </c>
    </row>
    <row r="6320">
      <c r="A6320" s="122" t="s">
        <v>13153</v>
      </c>
      <c r="B6320" s="123">
        <v>1546066.0</v>
      </c>
      <c r="C6320" s="124" t="s">
        <v>13154</v>
      </c>
      <c r="D6320" s="125"/>
      <c r="E6320" s="126">
        <v>34.14</v>
      </c>
      <c r="F6320" s="127"/>
      <c r="G6320" s="127"/>
      <c r="H6320" s="127"/>
      <c r="I6320" s="128"/>
      <c r="K6320" s="105" t="str">
        <f>IFERROR(__xludf.DUMMYFUNCTION("if(A6320="""","""",substitute(SUBSTITUTE(index(importhtml(""http://finviz.com/quote.ashx?t=""&amp;A6320,""table"",10),7,2),""*"",""""),""-"",""0.00""))"),"Loading...")</f>
        <v>Loading...</v>
      </c>
      <c r="L6320" s="129">
        <v>2.5244778784E10</v>
      </c>
      <c r="M6320" s="99">
        <v>1.22</v>
      </c>
    </row>
    <row r="6321">
      <c r="A6321" s="122" t="s">
        <v>13155</v>
      </c>
      <c r="B6321" s="123">
        <v>883948.0</v>
      </c>
      <c r="C6321" s="124" t="s">
        <v>13156</v>
      </c>
      <c r="D6321" s="125"/>
      <c r="E6321" s="126">
        <v>34.18</v>
      </c>
      <c r="F6321" s="127"/>
      <c r="G6321" s="127"/>
      <c r="H6321" s="127"/>
      <c r="I6321" s="128"/>
      <c r="K6321" s="55" t="s">
        <v>10675</v>
      </c>
      <c r="L6321" s="129">
        <v>2.564297442E9</v>
      </c>
      <c r="M6321" s="99">
        <v>0.96</v>
      </c>
    </row>
    <row r="6322">
      <c r="A6322" s="122" t="s">
        <v>13157</v>
      </c>
      <c r="B6322" s="123">
        <v>793952.0</v>
      </c>
      <c r="C6322" s="124" t="s">
        <v>13158</v>
      </c>
      <c r="D6322" s="125"/>
      <c r="E6322" s="126">
        <v>34.19</v>
      </c>
      <c r="F6322" s="127"/>
      <c r="G6322" s="127"/>
      <c r="H6322" s="127"/>
      <c r="I6322" s="128"/>
      <c r="K6322" s="105" t="str">
        <f>IFERROR(__xludf.DUMMYFUNCTION("if(A6322="""","""",substitute(SUBSTITUTE(index(importhtml(""http://finviz.com/quote.ashx?t=""&amp;A6322,""table"",10),7,2),""*"",""""),""-"",""0.00""))"),"Loading...")</f>
        <v>Loading...</v>
      </c>
      <c r="L6322" s="129">
        <v>4.761624013E9</v>
      </c>
      <c r="M6322" s="99">
        <v>1.4</v>
      </c>
    </row>
    <row r="6323">
      <c r="A6323" s="122" t="s">
        <v>13159</v>
      </c>
      <c r="B6323" s="123">
        <v>818479.0</v>
      </c>
      <c r="C6323" s="124" t="s">
        <v>13160</v>
      </c>
      <c r="D6323" s="125"/>
      <c r="E6323" s="126">
        <v>34.19</v>
      </c>
      <c r="F6323" s="127"/>
      <c r="G6323" s="127"/>
      <c r="H6323" s="127"/>
      <c r="I6323" s="128"/>
      <c r="K6323" s="105" t="str">
        <f>IFERROR(__xludf.DUMMYFUNCTION("if(A6323="""","""",substitute(SUBSTITUTE(index(importhtml(""http://finviz.com/quote.ashx?t=""&amp;A6323,""table"",10),7,2),""*"",""""),""-"",""0.00""))"),"Loading...")</f>
        <v>Loading...</v>
      </c>
      <c r="L6323" s="129">
        <v>7.243506785E9</v>
      </c>
      <c r="M6323" s="99">
        <v>1.01</v>
      </c>
    </row>
    <row r="6324">
      <c r="A6324" s="122" t="s">
        <v>13161</v>
      </c>
      <c r="B6324" s="123">
        <v>1481582.0</v>
      </c>
      <c r="C6324" s="124" t="s">
        <v>13162</v>
      </c>
      <c r="D6324" s="125"/>
      <c r="E6324" s="126">
        <v>34.22</v>
      </c>
      <c r="F6324" s="127"/>
      <c r="G6324" s="127"/>
      <c r="H6324" s="127"/>
      <c r="I6324" s="128"/>
      <c r="K6324" s="105" t="str">
        <f>IFERROR(__xludf.DUMMYFUNCTION("if(A6324="""","""",substitute(SUBSTITUTE(index(importhtml(""http://finviz.com/quote.ashx?t=""&amp;A6324,""table"",10),7,2),""*"",""""),""-"",""0.00""))"),"Loading...")</f>
        <v>Loading...</v>
      </c>
      <c r="L6324" s="129">
        <v>1.169342954E9</v>
      </c>
      <c r="M6324" s="99">
        <v>1.71</v>
      </c>
    </row>
    <row r="6325">
      <c r="A6325" s="122" t="s">
        <v>13163</v>
      </c>
      <c r="B6325" s="123">
        <v>1464343.0</v>
      </c>
      <c r="C6325" s="124" t="s">
        <v>13164</v>
      </c>
      <c r="D6325" s="125"/>
      <c r="E6325" s="126">
        <v>34.23</v>
      </c>
      <c r="F6325" s="127"/>
      <c r="G6325" s="127"/>
      <c r="H6325" s="127"/>
      <c r="I6325" s="128"/>
      <c r="K6325" s="105" t="str">
        <f>IFERROR(__xludf.DUMMYFUNCTION("if(A6325="""","""",substitute(SUBSTITUTE(index(importhtml(""http://finviz.com/quote.ashx?t=""&amp;A6325,""table"",10),7,2),""*"",""""),""-"",""0.00""))"),"Loading...")</f>
        <v>Loading...</v>
      </c>
      <c r="L6325" s="129">
        <v>4.99331145E8</v>
      </c>
      <c r="M6325" s="99">
        <v>1.89</v>
      </c>
    </row>
    <row r="6326">
      <c r="A6326" s="122" t="s">
        <v>13165</v>
      </c>
      <c r="B6326" s="123">
        <v>1789832.0</v>
      </c>
      <c r="C6326" s="124" t="s">
        <v>13166</v>
      </c>
      <c r="D6326" s="125"/>
      <c r="E6326" s="126">
        <v>34.23</v>
      </c>
      <c r="F6326" s="127"/>
      <c r="G6326" s="127"/>
      <c r="H6326" s="127"/>
      <c r="I6326" s="128"/>
      <c r="K6326" s="105" t="str">
        <f>IFERROR(__xludf.DUMMYFUNCTION("if(A6326="""","""",substitute(SUBSTITUTE(index(importhtml(""http://finviz.com/quote.ashx?t=""&amp;A6326,""table"",10),7,2),""*"",""""),""-"",""0.00""))"),"Loading...")</f>
        <v>Loading...</v>
      </c>
      <c r="L6326" s="129">
        <v>8.3221257E9</v>
      </c>
      <c r="M6326" s="99">
        <f>IFERROR(__xludf.DUMMYFUNCTION("GOOGLEFINANCE(A6326,""beta"")"),0.63)</f>
        <v>0.63</v>
      </c>
    </row>
    <row r="6327">
      <c r="A6327" s="122" t="s">
        <v>13167</v>
      </c>
      <c r="B6327" s="123">
        <v>920112.0</v>
      </c>
      <c r="C6327" s="124" t="s">
        <v>13168</v>
      </c>
      <c r="D6327" s="125"/>
      <c r="E6327" s="126">
        <v>34.25</v>
      </c>
      <c r="F6327" s="127"/>
      <c r="G6327" s="127"/>
      <c r="H6327" s="127"/>
      <c r="I6327" s="128"/>
      <c r="K6327" s="105" t="str">
        <f>IFERROR(__xludf.DUMMYFUNCTION("if(A6327="""","""",substitute(SUBSTITUTE(index(importhtml(""http://finviz.com/quote.ashx?t=""&amp;A6327,""table"",10),7,2),""*"",""""),""-"",""0.00""))"),"Loading...")</f>
        <v>Loading...</v>
      </c>
      <c r="L6327" s="129">
        <v>1.461160142E9</v>
      </c>
      <c r="M6327" s="99">
        <v>1.08</v>
      </c>
    </row>
    <row r="6328">
      <c r="A6328" s="122" t="s">
        <v>13169</v>
      </c>
      <c r="B6328" s="123">
        <v>714256.0</v>
      </c>
      <c r="C6328" s="124" t="s">
        <v>13170</v>
      </c>
      <c r="D6328" s="125"/>
      <c r="E6328" s="126">
        <v>34.3</v>
      </c>
      <c r="F6328" s="127"/>
      <c r="G6328" s="127"/>
      <c r="H6328" s="127"/>
      <c r="I6328" s="128"/>
      <c r="K6328" s="105" t="str">
        <f>IFERROR(__xludf.DUMMYFUNCTION("if(A6328="""","""",substitute(SUBSTITUTE(index(importhtml(""http://finviz.com/quote.ashx?t=""&amp;A6328,""table"",10),7,2),""*"",""""),""-"",""0.00""))"),"Loading...")</f>
        <v>Loading...</v>
      </c>
      <c r="L6328" s="129">
        <v>2.92870097E8</v>
      </c>
      <c r="M6328" s="99">
        <v>1.93</v>
      </c>
    </row>
    <row r="6329">
      <c r="A6329" s="122" t="s">
        <v>13171</v>
      </c>
      <c r="B6329" s="123">
        <v>1570827.0</v>
      </c>
      <c r="C6329" s="124" t="s">
        <v>13172</v>
      </c>
      <c r="D6329" s="125"/>
      <c r="E6329" s="126">
        <v>34.33</v>
      </c>
      <c r="F6329" s="127"/>
      <c r="G6329" s="127"/>
      <c r="H6329" s="127"/>
      <c r="I6329" s="128"/>
      <c r="K6329" s="105" t="str">
        <f>IFERROR(__xludf.DUMMYFUNCTION("if(A6329="""","""",substitute(SUBSTITUTE(index(importhtml(""http://finviz.com/quote.ashx?t=""&amp;A6329,""table"",10),7,2),""*"",""""),""-"",""0.00""))"),"Loading...")</f>
        <v>Loading...</v>
      </c>
      <c r="L6329" s="129">
        <v>2.265416909E9</v>
      </c>
      <c r="M6329" s="99">
        <v>0.99</v>
      </c>
    </row>
    <row r="6330">
      <c r="A6330" s="122" t="s">
        <v>13173</v>
      </c>
      <c r="B6330" s="123">
        <v>1109357.0</v>
      </c>
      <c r="C6330" s="124" t="s">
        <v>13174</v>
      </c>
      <c r="D6330" s="125"/>
      <c r="E6330" s="126">
        <v>34.35</v>
      </c>
      <c r="F6330" s="127"/>
      <c r="G6330" s="127"/>
      <c r="H6330" s="127"/>
      <c r="I6330" s="128"/>
      <c r="K6330" s="55" t="s">
        <v>7426</v>
      </c>
      <c r="L6330" s="129">
        <v>3.4193273171E10</v>
      </c>
      <c r="M6330" s="99">
        <v>0.53</v>
      </c>
    </row>
    <row r="6331">
      <c r="A6331" s="122" t="s">
        <v>13175</v>
      </c>
      <c r="B6331" s="123">
        <v>42682.0</v>
      </c>
      <c r="C6331" s="124" t="s">
        <v>13176</v>
      </c>
      <c r="D6331" s="125"/>
      <c r="E6331" s="126">
        <v>34.35</v>
      </c>
      <c r="F6331" s="127"/>
      <c r="G6331" s="127"/>
      <c r="H6331" s="127"/>
      <c r="I6331" s="128"/>
      <c r="K6331" s="105" t="str">
        <f>IFERROR(__xludf.DUMMYFUNCTION("if(A6331="""","""",substitute(SUBSTITUTE(index(importhtml(""http://finviz.com/quote.ashx?t=""&amp;A6331,""table"",10),7,2),""*"",""""),""-"",""0.00""))"),"#REF!")</f>
        <v>#REF!</v>
      </c>
      <c r="L6331" s="129">
        <v>8.99763516E8</v>
      </c>
      <c r="M6331" s="99">
        <v>0.89</v>
      </c>
    </row>
    <row r="6332">
      <c r="A6332" s="122" t="s">
        <v>13177</v>
      </c>
      <c r="B6332" s="123">
        <v>1361538.0</v>
      </c>
      <c r="C6332" s="124" t="s">
        <v>13178</v>
      </c>
      <c r="D6332" s="125"/>
      <c r="E6332" s="126">
        <v>34.4</v>
      </c>
      <c r="F6332" s="127"/>
      <c r="G6332" s="127"/>
      <c r="H6332" s="127"/>
      <c r="I6332" s="128"/>
      <c r="K6332" s="105" t="str">
        <f>IFERROR(__xludf.DUMMYFUNCTION("if(A6332="""","""",substitute(SUBSTITUTE(index(importhtml(""http://finviz.com/quote.ashx?t=""&amp;A6332,""table"",10),7,2),""*"",""""),""-"",""0.00""))"),"Loading...")</f>
        <v>Loading...</v>
      </c>
      <c r="L6332" s="129">
        <v>1.835597841E9</v>
      </c>
      <c r="M6332" s="99">
        <v>1.25</v>
      </c>
    </row>
    <row r="6333">
      <c r="A6333" s="122" t="s">
        <v>13179</v>
      </c>
      <c r="B6333" s="123">
        <v>107140.0</v>
      </c>
      <c r="C6333" s="124" t="s">
        <v>13180</v>
      </c>
      <c r="D6333" s="125"/>
      <c r="E6333" s="126">
        <v>34.41</v>
      </c>
      <c r="F6333" s="127"/>
      <c r="G6333" s="127"/>
      <c r="H6333" s="127"/>
      <c r="I6333" s="128"/>
      <c r="K6333" s="105" t="str">
        <f>IFERROR(__xludf.DUMMYFUNCTION("if(A6333="""","""",substitute(SUBSTITUTE(index(importhtml(""http://finviz.com/quote.ashx?t=""&amp;A6333,""table"",10),7,2),""*"",""""),""-"",""0.00""))"),"Loading...")</f>
        <v>Loading...</v>
      </c>
      <c r="L6333" s="129">
        <v>1.89072E9</v>
      </c>
      <c r="M6333" s="99">
        <v>0.81</v>
      </c>
    </row>
    <row r="6334">
      <c r="A6334" s="122" t="s">
        <v>13181</v>
      </c>
      <c r="B6334" s="123">
        <v>1164727.0</v>
      </c>
      <c r="C6334" s="124" t="s">
        <v>12939</v>
      </c>
      <c r="D6334" s="125"/>
      <c r="E6334" s="126">
        <v>34.41</v>
      </c>
      <c r="F6334" s="127"/>
      <c r="G6334" s="127"/>
      <c r="H6334" s="127"/>
      <c r="I6334" s="128"/>
      <c r="K6334" s="105" t="str">
        <f>IFERROR(__xludf.DUMMYFUNCTION("if(A6334="""","""",substitute(SUBSTITUTE(index(importhtml(""http://finviz.com/quote.ashx?t=""&amp;A6334,""table"",10),7,2),""*"",""""),""-"",""0.00""))"),"Loading...")</f>
        <v>Loading...</v>
      </c>
      <c r="L6334" s="129">
        <v>3.9657215134E10</v>
      </c>
      <c r="M6334" s="99">
        <v>0.52</v>
      </c>
    </row>
    <row r="6335">
      <c r="A6335" s="122" t="s">
        <v>13182</v>
      </c>
      <c r="B6335" s="123">
        <v>1400897.0</v>
      </c>
      <c r="C6335" s="124" t="s">
        <v>13183</v>
      </c>
      <c r="D6335" s="125"/>
      <c r="E6335" s="126">
        <v>34.46</v>
      </c>
      <c r="F6335" s="127"/>
      <c r="G6335" s="127"/>
      <c r="H6335" s="127"/>
      <c r="I6335" s="128"/>
      <c r="K6335" s="105" t="str">
        <f>IFERROR(__xludf.DUMMYFUNCTION("if(A6335="""","""",substitute(SUBSTITUTE(index(importhtml(""http://finviz.com/quote.ashx?t=""&amp;A6335,""table"",10),7,2),""*"",""""),""-"",""0.00""))"),"Loading...")</f>
        <v>Loading...</v>
      </c>
      <c r="L6335" s="129">
        <v>7.5267633E7</v>
      </c>
      <c r="M6335" s="99">
        <v>1.35</v>
      </c>
    </row>
    <row r="6336">
      <c r="A6336" s="122" t="s">
        <v>13184</v>
      </c>
      <c r="B6336" s="123">
        <v>790359.0</v>
      </c>
      <c r="C6336" s="124" t="s">
        <v>13185</v>
      </c>
      <c r="D6336" s="125"/>
      <c r="E6336" s="126">
        <v>34.48</v>
      </c>
      <c r="F6336" s="127"/>
      <c r="G6336" s="127"/>
      <c r="H6336" s="127"/>
      <c r="I6336" s="128"/>
      <c r="K6336" s="105" t="str">
        <f>IFERROR(__xludf.DUMMYFUNCTION("if(A6336="""","""",substitute(SUBSTITUTE(index(importhtml(""http://finviz.com/quote.ashx?t=""&amp;A6336,""table"",10),7,2),""*"",""""),""-"",""0.00""))"),"Loading...")</f>
        <v>Loading...</v>
      </c>
      <c r="L6336" s="129">
        <v>1.623589046E9</v>
      </c>
      <c r="M6336" s="99">
        <v>0.53</v>
      </c>
    </row>
    <row r="6337">
      <c r="A6337" s="122" t="s">
        <v>13186</v>
      </c>
      <c r="B6337" s="123">
        <v>72205.0</v>
      </c>
      <c r="C6337" s="124" t="s">
        <v>13187</v>
      </c>
      <c r="D6337" s="125"/>
      <c r="E6337" s="126">
        <v>34.5</v>
      </c>
      <c r="F6337" s="127"/>
      <c r="G6337" s="127"/>
      <c r="H6337" s="127"/>
      <c r="I6337" s="128"/>
      <c r="K6337" s="105" t="str">
        <f>IFERROR(__xludf.DUMMYFUNCTION("if(A6337="""","""",substitute(SUBSTITUTE(index(importhtml(""http://finviz.com/quote.ashx?t=""&amp;A6337,""table"",10),7,2),""*"",""""),""-"",""0.00""))"),"Loading...")</f>
        <v>Loading...</v>
      </c>
      <c r="L6337" s="129">
        <v>1.12783087E8</v>
      </c>
      <c r="M6337" s="99">
        <v>0.29</v>
      </c>
    </row>
    <row r="6338">
      <c r="A6338" s="122" t="s">
        <v>13188</v>
      </c>
      <c r="B6338" s="123">
        <v>1490286.0</v>
      </c>
      <c r="C6338" s="124" t="s">
        <v>13189</v>
      </c>
      <c r="D6338" s="125"/>
      <c r="E6338" s="126">
        <v>34.51</v>
      </c>
      <c r="F6338" s="127"/>
      <c r="G6338" s="127"/>
      <c r="H6338" s="127"/>
      <c r="I6338" s="128"/>
      <c r="K6338" s="105" t="str">
        <f>IFERROR(__xludf.DUMMYFUNCTION("if(A6338="""","""",substitute(SUBSTITUTE(index(importhtml(""http://finviz.com/quote.ashx?t=""&amp;A6338,""table"",10),7,2),""*"",""""),""-"",""0.00""))"),"Loading...")</f>
        <v>Loading...</v>
      </c>
      <c r="L6338" s="129">
        <v>1.85002648E8</v>
      </c>
      <c r="M6338" s="99">
        <v>2.69</v>
      </c>
    </row>
    <row r="6339">
      <c r="A6339" s="122" t="s">
        <v>13190</v>
      </c>
      <c r="B6339" s="123">
        <v>1530249.0</v>
      </c>
      <c r="C6339" s="124" t="s">
        <v>13191</v>
      </c>
      <c r="D6339" s="125"/>
      <c r="E6339" s="126">
        <v>34.52</v>
      </c>
      <c r="F6339" s="127"/>
      <c r="G6339" s="127"/>
      <c r="H6339" s="127"/>
      <c r="I6339" s="128"/>
      <c r="K6339" s="105" t="str">
        <f>IFERROR(__xludf.DUMMYFUNCTION("if(A6339="""","""",substitute(SUBSTITUTE(index(importhtml(""http://finviz.com/quote.ashx?t=""&amp;A6339,""table"",10),7,2),""*"",""""),""-"",""0.00""))"),"Loading...")</f>
        <v>Loading...</v>
      </c>
      <c r="L6339" s="129">
        <v>2.69274816E8</v>
      </c>
      <c r="M6339" s="99">
        <v>0.96</v>
      </c>
    </row>
    <row r="6340">
      <c r="A6340" s="122" t="s">
        <v>13192</v>
      </c>
      <c r="B6340" s="123">
        <v>1561680.0</v>
      </c>
      <c r="C6340" s="124" t="s">
        <v>13193</v>
      </c>
      <c r="D6340" s="125"/>
      <c r="E6340" s="126">
        <v>34.55</v>
      </c>
      <c r="F6340" s="127"/>
      <c r="G6340" s="127"/>
      <c r="H6340" s="127"/>
      <c r="I6340" s="128"/>
      <c r="K6340" s="105" t="str">
        <f>IFERROR(__xludf.DUMMYFUNCTION("if(A6340="""","""",substitute(SUBSTITUTE(index(importhtml(""http://finviz.com/quote.ashx?t=""&amp;A6340,""table"",10),7,2),""*"",""""),""-"",""0.00""))"),"Loading...")</f>
        <v>Loading...</v>
      </c>
      <c r="L6340" s="129">
        <v>3.353151708E9</v>
      </c>
      <c r="M6340" s="99">
        <v>1.53</v>
      </c>
    </row>
    <row r="6341">
      <c r="A6341" s="122" t="s">
        <v>13194</v>
      </c>
      <c r="B6341" s="123">
        <v>1475841.0</v>
      </c>
      <c r="C6341" s="124" t="s">
        <v>13195</v>
      </c>
      <c r="D6341" s="125"/>
      <c r="E6341" s="126">
        <v>34.57</v>
      </c>
      <c r="F6341" s="127"/>
      <c r="G6341" s="127"/>
      <c r="H6341" s="127"/>
      <c r="I6341" s="128"/>
      <c r="K6341" s="105" t="str">
        <f>IFERROR(__xludf.DUMMYFUNCTION("if(A6341="""","""",substitute(SUBSTITUTE(index(importhtml(""http://finviz.com/quote.ashx?t=""&amp;A6341,""table"",10),7,2),""*"",""""),""-"",""0.00""))"),"Loading...")</f>
        <v>Loading...</v>
      </c>
      <c r="L6341" s="129">
        <v>1.306221907E9</v>
      </c>
      <c r="M6341" s="99">
        <v>0.86</v>
      </c>
    </row>
    <row r="6342">
      <c r="A6342" s="122" t="s">
        <v>13196</v>
      </c>
      <c r="B6342" s="123">
        <v>1450206.0</v>
      </c>
      <c r="C6342" s="124" t="s">
        <v>13197</v>
      </c>
      <c r="D6342" s="125"/>
      <c r="E6342" s="126">
        <v>34.58</v>
      </c>
      <c r="F6342" s="127"/>
      <c r="G6342" s="127"/>
      <c r="H6342" s="127"/>
      <c r="I6342" s="128"/>
      <c r="K6342" s="105" t="str">
        <f>IFERROR(__xludf.DUMMYFUNCTION("if(A6342="""","""",substitute(SUBSTITUTE(index(importhtml(""http://finviz.com/quote.ashx?t=""&amp;A6342,""table"",10),7,2),""*"",""""),""-"",""0.00""))"),"Loading...")</f>
        <v>Loading...</v>
      </c>
      <c r="L6342" s="129">
        <v>1.550577219E12</v>
      </c>
      <c r="M6342" s="99">
        <f>IFERROR(__xludf.DUMMYFUNCTION("GOOGLEFINANCE(A6342,""beta"")"),-4.53)</f>
        <v>-4.53</v>
      </c>
    </row>
    <row r="6343">
      <c r="A6343" s="122" t="s">
        <v>13198</v>
      </c>
      <c r="B6343" s="123">
        <v>750686.0</v>
      </c>
      <c r="C6343" s="124" t="s">
        <v>13199</v>
      </c>
      <c r="D6343" s="125"/>
      <c r="E6343" s="126">
        <v>34.61</v>
      </c>
      <c r="F6343" s="127"/>
      <c r="G6343" s="127"/>
      <c r="H6343" s="127"/>
      <c r="I6343" s="128"/>
      <c r="K6343" s="55" t="s">
        <v>13200</v>
      </c>
      <c r="L6343" s="129">
        <v>5.04127538E8</v>
      </c>
      <c r="M6343" s="99">
        <v>0.78</v>
      </c>
    </row>
    <row r="6344">
      <c r="A6344" s="122" t="s">
        <v>13201</v>
      </c>
      <c r="B6344" s="123">
        <v>1347426.0</v>
      </c>
      <c r="C6344" s="124" t="s">
        <v>13202</v>
      </c>
      <c r="D6344" s="125"/>
      <c r="E6344" s="126">
        <v>34.62</v>
      </c>
      <c r="F6344" s="127"/>
      <c r="G6344" s="127"/>
      <c r="H6344" s="127"/>
      <c r="I6344" s="128"/>
      <c r="K6344" s="55" t="s">
        <v>11122</v>
      </c>
      <c r="L6344" s="129">
        <v>3.48723441E9</v>
      </c>
      <c r="M6344" s="99">
        <v>1.69</v>
      </c>
    </row>
    <row r="6345">
      <c r="A6345" s="122" t="s">
        <v>13203</v>
      </c>
      <c r="B6345" s="123">
        <v>313807.0</v>
      </c>
      <c r="C6345" s="124" t="s">
        <v>6924</v>
      </c>
      <c r="D6345" s="125"/>
      <c r="E6345" s="126">
        <v>34.64</v>
      </c>
      <c r="F6345" s="127"/>
      <c r="G6345" s="127"/>
      <c r="H6345" s="127"/>
      <c r="I6345" s="128"/>
      <c r="K6345" s="138" t="s">
        <v>13204</v>
      </c>
      <c r="L6345" s="129">
        <v>9.98589432E10</v>
      </c>
      <c r="M6345" s="99">
        <v>0.68</v>
      </c>
    </row>
    <row r="6346">
      <c r="A6346" s="122" t="s">
        <v>13205</v>
      </c>
      <c r="B6346" s="123">
        <v>1524931.0</v>
      </c>
      <c r="C6346" s="124" t="s">
        <v>13206</v>
      </c>
      <c r="D6346" s="125"/>
      <c r="E6346" s="126">
        <v>34.72</v>
      </c>
      <c r="F6346" s="127"/>
      <c r="G6346" s="127"/>
      <c r="H6346" s="127"/>
      <c r="I6346" s="128"/>
      <c r="K6346" s="105" t="str">
        <f>IFERROR(__xludf.DUMMYFUNCTION("if(A6346="""","""",substitute(SUBSTITUTE(index(importhtml(""http://finviz.com/quote.ashx?t=""&amp;A6346,""table"",10),7,2),""*"",""""),""-"",""0.00""))"),"Loading...")</f>
        <v>Loading...</v>
      </c>
      <c r="L6346" s="129">
        <v>6.02481251E8</v>
      </c>
      <c r="M6346" s="99">
        <v>1.65</v>
      </c>
    </row>
    <row r="6347">
      <c r="A6347" s="122" t="s">
        <v>13207</v>
      </c>
      <c r="B6347" s="123">
        <v>1768224.0</v>
      </c>
      <c r="C6347" s="124" t="s">
        <v>13208</v>
      </c>
      <c r="D6347" s="125"/>
      <c r="E6347" s="126">
        <v>34.72</v>
      </c>
      <c r="F6347" s="127"/>
      <c r="G6347" s="127"/>
      <c r="H6347" s="127"/>
      <c r="I6347" s="128"/>
      <c r="K6347" s="105" t="str">
        <f>IFERROR(__xludf.DUMMYFUNCTION("if(A6347="""","""",substitute(SUBSTITUTE(index(importhtml(""http://finviz.com/quote.ashx?t=""&amp;A6347,""table"",10),7,2),""*"",""""),""-"",""0.00""))"),"Loading...")</f>
        <v>Loading...</v>
      </c>
      <c r="L6347" s="129">
        <v>9.2783405E8</v>
      </c>
      <c r="M6347" s="99">
        <v>2.62</v>
      </c>
    </row>
    <row r="6348">
      <c r="A6348" s="122" t="s">
        <v>13209</v>
      </c>
      <c r="B6348" s="123">
        <v>1679363.0</v>
      </c>
      <c r="C6348" s="124" t="s">
        <v>13210</v>
      </c>
      <c r="D6348" s="125"/>
      <c r="E6348" s="126">
        <v>34.75</v>
      </c>
      <c r="F6348" s="127"/>
      <c r="G6348" s="127"/>
      <c r="H6348" s="127"/>
      <c r="I6348" s="128"/>
      <c r="K6348" s="105" t="str">
        <f>IFERROR(__xludf.DUMMYFUNCTION("if(A6348="""","""",substitute(SUBSTITUTE(index(importhtml(""http://finviz.com/quote.ashx?t=""&amp;A6348,""table"",10),7,2),""*"",""""),""-"",""0.00""))"),"Loading...")</f>
        <v>Loading...</v>
      </c>
      <c r="L6348" s="129">
        <v>1.72856786E9</v>
      </c>
      <c r="M6348" s="99">
        <v>1.41</v>
      </c>
    </row>
    <row r="6349">
      <c r="A6349" s="122" t="s">
        <v>13211</v>
      </c>
      <c r="B6349" s="123">
        <v>1406666.0</v>
      </c>
      <c r="C6349" s="124" t="s">
        <v>13212</v>
      </c>
      <c r="D6349" s="125"/>
      <c r="E6349" s="126">
        <v>34.77</v>
      </c>
      <c r="F6349" s="127"/>
      <c r="G6349" s="127"/>
      <c r="H6349" s="127"/>
      <c r="I6349" s="128"/>
      <c r="K6349" s="105" t="str">
        <f>IFERROR(__xludf.DUMMYFUNCTION("if(A6349="""","""",substitute(SUBSTITUTE(index(importhtml(""http://finviz.com/quote.ashx?t=""&amp;A6349,""table"",10),7,2),""*"",""""),""-"",""0.00""))"),"Loading...")</f>
        <v>Loading...</v>
      </c>
      <c r="L6349" s="129">
        <v>2.290196663E9</v>
      </c>
      <c r="M6349" s="99">
        <v>1.64</v>
      </c>
    </row>
    <row r="6350">
      <c r="A6350" s="122" t="s">
        <v>13213</v>
      </c>
      <c r="B6350" s="123">
        <v>45012.0</v>
      </c>
      <c r="C6350" s="124" t="s">
        <v>13214</v>
      </c>
      <c r="D6350" s="125"/>
      <c r="E6350" s="126">
        <v>34.77</v>
      </c>
      <c r="F6350" s="127"/>
      <c r="G6350" s="127"/>
      <c r="H6350" s="127"/>
      <c r="I6350" s="128"/>
      <c r="K6350" s="105" t="str">
        <f>IFERROR(__xludf.DUMMYFUNCTION("if(A6350="""","""",substitute(SUBSTITUTE(index(importhtml(""http://finviz.com/quote.ashx?t=""&amp;A6350,""table"",10),7,2),""*"",""""),""-"",""0.00""))"),"Loading...")</f>
        <v>Loading...</v>
      </c>
      <c r="L6350" s="129">
        <v>3.1120944541E10</v>
      </c>
      <c r="M6350" s="99">
        <v>2.01</v>
      </c>
    </row>
    <row r="6351">
      <c r="A6351" s="122" t="s">
        <v>13215</v>
      </c>
      <c r="B6351" s="123">
        <v>1860543.0</v>
      </c>
      <c r="C6351" s="124" t="s">
        <v>13216</v>
      </c>
      <c r="D6351" s="125"/>
      <c r="E6351" s="126">
        <v>34.78</v>
      </c>
      <c r="F6351" s="127"/>
      <c r="G6351" s="127"/>
      <c r="H6351" s="127"/>
      <c r="I6351" s="128"/>
      <c r="K6351" s="105" t="str">
        <f>IFERROR(__xludf.DUMMYFUNCTION("if(A6351="""","""",substitute(SUBSTITUTE(index(importhtml(""http://finviz.com/quote.ashx?t=""&amp;A6351,""table"",10),7,2),""*"",""""),""-"",""0.00""))"),"Loading...")</f>
        <v>Loading...</v>
      </c>
      <c r="L6351" s="129">
        <v>1.307242425E9</v>
      </c>
      <c r="M6351" s="99">
        <f>IFERROR(__xludf.DUMMYFUNCTION("GOOGLEFINANCE(A6351,""beta"")"),1.35)</f>
        <v>1.35</v>
      </c>
    </row>
    <row r="6352">
      <c r="A6352" s="122" t="s">
        <v>13217</v>
      </c>
      <c r="B6352" s="123">
        <v>1476204.0</v>
      </c>
      <c r="C6352" s="124" t="s">
        <v>13218</v>
      </c>
      <c r="D6352" s="125"/>
      <c r="E6352" s="126">
        <v>34.79</v>
      </c>
      <c r="F6352" s="127"/>
      <c r="G6352" s="127"/>
      <c r="H6352" s="127"/>
      <c r="I6352" s="128"/>
      <c r="K6352" s="105" t="str">
        <f>IFERROR(__xludf.DUMMYFUNCTION("if(A6352="""","""",substitute(SUBSTITUTE(index(importhtml(""http://finviz.com/quote.ashx?t=""&amp;A6352,""table"",10),7,2),""*"",""""),""-"",""0.00""))"),"#REF!")</f>
        <v>#REF!</v>
      </c>
      <c r="L6352" s="129">
        <v>4.160884109E9</v>
      </c>
      <c r="M6352" s="99">
        <f>IFERROR(__xludf.DUMMYFUNCTION("GOOGLEFINANCE(A6352,""beta"")"),0.53)</f>
        <v>0.53</v>
      </c>
    </row>
    <row r="6353">
      <c r="A6353" s="122" t="s">
        <v>13219</v>
      </c>
      <c r="B6353" s="123">
        <v>107263.0</v>
      </c>
      <c r="C6353" s="124" t="s">
        <v>13220</v>
      </c>
      <c r="D6353" s="125"/>
      <c r="E6353" s="126">
        <v>34.8</v>
      </c>
      <c r="F6353" s="127"/>
      <c r="G6353" s="127"/>
      <c r="H6353" s="127"/>
      <c r="I6353" s="128"/>
      <c r="K6353" s="105" t="str">
        <f>IFERROR(__xludf.DUMMYFUNCTION("if(A6353="""","""",substitute(SUBSTITUTE(index(importhtml(""http://finviz.com/quote.ashx?t=""&amp;A6353,""table"",10),7,2),""*"",""""),""-"",""0.00""))"),"Loading...")</f>
        <v>Loading...</v>
      </c>
      <c r="L6353" s="129">
        <v>4.2334129471E10</v>
      </c>
      <c r="M6353" s="99">
        <v>1.04</v>
      </c>
    </row>
    <row r="6354">
      <c r="A6354" s="122" t="s">
        <v>13221</v>
      </c>
      <c r="B6354" s="123">
        <v>764401.0</v>
      </c>
      <c r="C6354" s="124" t="s">
        <v>13222</v>
      </c>
      <c r="D6354" s="125"/>
      <c r="E6354" s="126">
        <v>34.88</v>
      </c>
      <c r="F6354" s="127"/>
      <c r="G6354" s="127"/>
      <c r="H6354" s="127"/>
      <c r="I6354" s="128"/>
      <c r="K6354" s="105" t="str">
        <f>IFERROR(__xludf.DUMMYFUNCTION("if(A6354="""","""",substitute(SUBSTITUTE(index(importhtml(""http://finviz.com/quote.ashx?t=""&amp;A6354,""table"",10),7,2),""*"",""""),""-"",""0.00""))"),"Loading...")</f>
        <v>Loading...</v>
      </c>
      <c r="L6354" s="129">
        <v>6.78357073E8</v>
      </c>
      <c r="M6354" s="99">
        <v>1.75</v>
      </c>
    </row>
    <row r="6355">
      <c r="A6355" s="122" t="s">
        <v>13223</v>
      </c>
      <c r="B6355" s="123">
        <v>1025996.0</v>
      </c>
      <c r="C6355" s="124" t="s">
        <v>13224</v>
      </c>
      <c r="D6355" s="125"/>
      <c r="E6355" s="126">
        <v>34.88</v>
      </c>
      <c r="F6355" s="127"/>
      <c r="G6355" s="127"/>
      <c r="H6355" s="127"/>
      <c r="I6355" s="128"/>
      <c r="K6355" s="105" t="str">
        <f>IFERROR(__xludf.DUMMYFUNCTION("if(A6355="""","""",substitute(SUBSTITUTE(index(importhtml(""http://finviz.com/quote.ashx?t=""&amp;A6355,""table"",10),7,2),""*"",""""),""-"",""0.00""))"),"Loading...")</f>
        <v>Loading...</v>
      </c>
      <c r="L6355" s="129">
        <v>4.089313885E9</v>
      </c>
      <c r="M6355" s="99">
        <v>1.01</v>
      </c>
    </row>
    <row r="6356">
      <c r="A6356" s="122" t="s">
        <v>13225</v>
      </c>
      <c r="B6356" s="123">
        <v>23426.0</v>
      </c>
      <c r="C6356" s="124" t="s">
        <v>13226</v>
      </c>
      <c r="D6356" s="125"/>
      <c r="E6356" s="126">
        <v>34.91</v>
      </c>
      <c r="F6356" s="127"/>
      <c r="G6356" s="127"/>
      <c r="H6356" s="127"/>
      <c r="I6356" s="128"/>
      <c r="K6356" s="105" t="str">
        <f>IFERROR(__xludf.DUMMYFUNCTION("if(A6356="""","""",substitute(SUBSTITUTE(index(importhtml(""http://finviz.com/quote.ashx?t=""&amp;A6356,""table"",10),7,2),""*"",""""),""-"",""0.00""))"),"Loading...")</f>
        <v>Loading...</v>
      </c>
      <c r="L6356" s="129">
        <v>2.66609E7</v>
      </c>
      <c r="M6356" s="99">
        <v>0.16</v>
      </c>
    </row>
    <row r="6357">
      <c r="A6357" s="122" t="s">
        <v>13227</v>
      </c>
      <c r="B6357" s="123">
        <v>1764013.0</v>
      </c>
      <c r="C6357" s="124" t="s">
        <v>13228</v>
      </c>
      <c r="D6357" s="125"/>
      <c r="E6357" s="126">
        <v>34.93</v>
      </c>
      <c r="F6357" s="127"/>
      <c r="G6357" s="127"/>
      <c r="H6357" s="127"/>
      <c r="I6357" s="128"/>
      <c r="K6357" s="105" t="str">
        <f>IFERROR(__xludf.DUMMYFUNCTION("if(A6357="""","""",substitute(SUBSTITUTE(index(importhtml(""http://finviz.com/quote.ashx?t=""&amp;A6357,""table"",10),7,2),""*"",""""),""-"",""0.00""))"),"Loading...")</f>
        <v>Loading...</v>
      </c>
      <c r="L6357" s="129">
        <v>5.053040211E9</v>
      </c>
      <c r="M6357" s="99">
        <v>0.75</v>
      </c>
    </row>
    <row r="6358">
      <c r="A6358" s="122" t="s">
        <v>13229</v>
      </c>
      <c r="B6358" s="123">
        <v>1800667.0</v>
      </c>
      <c r="C6358" s="124" t="s">
        <v>13230</v>
      </c>
      <c r="D6358" s="125"/>
      <c r="E6358" s="126">
        <v>34.94</v>
      </c>
      <c r="F6358" s="127"/>
      <c r="G6358" s="127"/>
      <c r="H6358" s="127"/>
      <c r="I6358" s="128"/>
      <c r="K6358" s="105" t="str">
        <f>IFERROR(__xludf.DUMMYFUNCTION("if(A6358="""","""",substitute(SUBSTITUTE(index(importhtml(""http://finviz.com/quote.ashx?t=""&amp;A6358,""table"",10),7,2),""*"",""""),""-"",""0.00""))"),"Loading...")</f>
        <v>Loading...</v>
      </c>
      <c r="L6358" s="129">
        <v>3.664751635E9</v>
      </c>
      <c r="M6358" s="99">
        <v>0.85</v>
      </c>
    </row>
    <row r="6359">
      <c r="A6359" s="122" t="s">
        <v>13231</v>
      </c>
      <c r="B6359" s="123">
        <v>811589.0</v>
      </c>
      <c r="C6359" s="124" t="s">
        <v>13232</v>
      </c>
      <c r="D6359" s="125"/>
      <c r="E6359" s="126">
        <v>34.95</v>
      </c>
      <c r="F6359" s="127"/>
      <c r="G6359" s="127"/>
      <c r="H6359" s="127"/>
      <c r="I6359" s="128"/>
      <c r="K6359" s="105" t="str">
        <f>IFERROR(__xludf.DUMMYFUNCTION("if(A6359="""","""",substitute(SUBSTITUTE(index(importhtml(""http://finviz.com/quote.ashx?t=""&amp;A6359,""table"",10),7,2),""*"",""""),""-"",""0.00""))"),"Loading...")</f>
        <v>Loading...</v>
      </c>
      <c r="L6359" s="129">
        <v>1.436794181E9</v>
      </c>
      <c r="M6359" s="99">
        <v>1.01</v>
      </c>
    </row>
    <row r="6360">
      <c r="A6360" s="122" t="s">
        <v>13233</v>
      </c>
      <c r="B6360" s="123">
        <v>1056288.0</v>
      </c>
      <c r="C6360" s="124" t="s">
        <v>13234</v>
      </c>
      <c r="D6360" s="125"/>
      <c r="E6360" s="126">
        <v>35.0</v>
      </c>
      <c r="F6360" s="127"/>
      <c r="G6360" s="127"/>
      <c r="H6360" s="127"/>
      <c r="I6360" s="128"/>
      <c r="K6360" s="55" t="s">
        <v>13235</v>
      </c>
      <c r="L6360" s="129">
        <v>3.01891905E9</v>
      </c>
      <c r="M6360" s="99">
        <v>1.15</v>
      </c>
    </row>
    <row r="6361">
      <c r="A6361" s="122" t="s">
        <v>13236</v>
      </c>
      <c r="B6361" s="123">
        <v>885275.0</v>
      </c>
      <c r="C6361" s="124" t="s">
        <v>13237</v>
      </c>
      <c r="D6361" s="125"/>
      <c r="E6361" s="126">
        <v>35.0</v>
      </c>
      <c r="F6361" s="127"/>
      <c r="G6361" s="127"/>
      <c r="H6361" s="127"/>
      <c r="I6361" s="128"/>
      <c r="K6361" s="105" t="str">
        <f>IFERROR(__xludf.DUMMYFUNCTION("if(A6361="""","""",substitute(SUBSTITUTE(index(importhtml(""http://finviz.com/quote.ashx?t=""&amp;A6361,""table"",10),7,2),""*"",""""),""-"",""0.00""))"),"Loading...")</f>
        <v>Loading...</v>
      </c>
      <c r="L6361" s="129" t="e">
        <v>#N/A</v>
      </c>
      <c r="M6361" s="99">
        <v>-0.03</v>
      </c>
    </row>
    <row r="6362">
      <c r="A6362" s="122" t="s">
        <v>13238</v>
      </c>
      <c r="B6362" s="123">
        <v>66496.0</v>
      </c>
      <c r="C6362" s="124" t="s">
        <v>13239</v>
      </c>
      <c r="D6362" s="125"/>
      <c r="E6362" s="126">
        <v>35.0</v>
      </c>
      <c r="F6362" s="127"/>
      <c r="G6362" s="127"/>
      <c r="H6362" s="127"/>
      <c r="I6362" s="128"/>
      <c r="K6362" s="105" t="str">
        <f>IFERROR(__xludf.DUMMYFUNCTION("if(A6362="""","""",substitute(SUBSTITUTE(index(importhtml(""http://finviz.com/quote.ashx?t=""&amp;A6362,""table"",10),7,2),""*"",""""),""-"",""0.00""))"),"Loading...")</f>
        <v>Loading...</v>
      </c>
      <c r="L6362" s="129" t="e">
        <v>#N/A</v>
      </c>
      <c r="M6362" s="99">
        <v>0.2</v>
      </c>
    </row>
    <row r="6363">
      <c r="A6363" s="122" t="s">
        <v>13240</v>
      </c>
      <c r="B6363" s="123">
        <v>1768126.0</v>
      </c>
      <c r="C6363" s="124" t="s">
        <v>13241</v>
      </c>
      <c r="D6363" s="125"/>
      <c r="E6363" s="126">
        <v>35.0</v>
      </c>
      <c r="F6363" s="127"/>
      <c r="G6363" s="127"/>
      <c r="H6363" s="127"/>
      <c r="I6363" s="128"/>
      <c r="K6363" s="105" t="str">
        <f>IFERROR(__xludf.DUMMYFUNCTION("if(A6363="""","""",substitute(SUBSTITUTE(index(importhtml(""http://finviz.com/quote.ashx?t=""&amp;A6363,""table"",10),7,2),""*"",""""),""-"",""0.00""))"),"Loading...")</f>
        <v>Loading...</v>
      </c>
      <c r="L6363" s="129" t="e">
        <v>#N/A</v>
      </c>
      <c r="M6363" s="99" t="str">
        <f>IFERROR(__xludf.DUMMYFUNCTION("GOOGLEFINANCE(A6363,""beta"")"),"#N/A")</f>
        <v>#N/A</v>
      </c>
    </row>
    <row r="6364">
      <c r="A6364" s="122" t="s">
        <v>13242</v>
      </c>
      <c r="B6364" s="123">
        <v>1012100.0</v>
      </c>
      <c r="C6364" s="124" t="s">
        <v>13243</v>
      </c>
      <c r="D6364" s="125"/>
      <c r="E6364" s="126">
        <v>35.01</v>
      </c>
      <c r="F6364" s="127"/>
      <c r="G6364" s="127"/>
      <c r="H6364" s="127"/>
      <c r="I6364" s="128"/>
      <c r="K6364" s="105" t="str">
        <f>IFERROR(__xludf.DUMMYFUNCTION("if(A6364="""","""",substitute(SUBSTITUTE(index(importhtml(""http://finviz.com/quote.ashx?t=""&amp;A6364,""table"",10),7,2),""*"",""""),""-"",""0.00""))"),"Loading...")</f>
        <v>Loading...</v>
      </c>
      <c r="L6364" s="129">
        <v>5.056690113E9</v>
      </c>
      <c r="M6364" s="99">
        <v>1.29</v>
      </c>
    </row>
    <row r="6365">
      <c r="A6365" s="122" t="s">
        <v>13244</v>
      </c>
      <c r="B6365" s="123">
        <v>33213.0</v>
      </c>
      <c r="C6365" s="124" t="s">
        <v>13245</v>
      </c>
      <c r="D6365" s="125"/>
      <c r="E6365" s="126">
        <v>35.04</v>
      </c>
      <c r="F6365" s="127"/>
      <c r="G6365" s="127"/>
      <c r="H6365" s="127"/>
      <c r="I6365" s="128"/>
      <c r="K6365" s="55" t="s">
        <v>7251</v>
      </c>
      <c r="L6365" s="129">
        <v>1.4413073656E10</v>
      </c>
      <c r="M6365" s="99">
        <v>1.12</v>
      </c>
    </row>
    <row r="6366">
      <c r="A6366" s="122" t="s">
        <v>13246</v>
      </c>
      <c r="B6366" s="123">
        <v>1398659.0</v>
      </c>
      <c r="C6366" s="124" t="s">
        <v>13247</v>
      </c>
      <c r="D6366" s="125"/>
      <c r="E6366" s="126">
        <v>35.08</v>
      </c>
      <c r="F6366" s="127"/>
      <c r="G6366" s="127"/>
      <c r="H6366" s="127"/>
      <c r="I6366" s="128"/>
      <c r="K6366" s="138" t="s">
        <v>13248</v>
      </c>
      <c r="L6366" s="129">
        <v>6.363943816E9</v>
      </c>
      <c r="M6366" s="99">
        <v>1.11</v>
      </c>
    </row>
    <row r="6367">
      <c r="A6367" s="122" t="s">
        <v>13249</v>
      </c>
      <c r="B6367" s="123">
        <v>356171.0</v>
      </c>
      <c r="C6367" s="124" t="s">
        <v>13250</v>
      </c>
      <c r="D6367" s="125"/>
      <c r="E6367" s="126">
        <v>35.15</v>
      </c>
      <c r="F6367" s="127"/>
      <c r="G6367" s="127"/>
      <c r="H6367" s="127"/>
      <c r="I6367" s="128"/>
      <c r="K6367" s="105" t="str">
        <f>IFERROR(__xludf.DUMMYFUNCTION("if(A6367="""","""",substitute(SUBSTITUTE(index(importhtml(""http://finviz.com/quote.ashx?t=""&amp;A6367,""table"",10),7,2),""*"",""""),""-"",""0.00""))"),"Loading...")</f>
        <v>Loading...</v>
      </c>
      <c r="L6367" s="129">
        <v>1.169373765E9</v>
      </c>
      <c r="M6367" s="99">
        <v>0.55</v>
      </c>
    </row>
    <row r="6368">
      <c r="A6368" s="122" t="s">
        <v>13251</v>
      </c>
      <c r="B6368" s="123">
        <v>1521951.0</v>
      </c>
      <c r="C6368" s="124" t="s">
        <v>13252</v>
      </c>
      <c r="D6368" s="125"/>
      <c r="E6368" s="126">
        <v>35.21</v>
      </c>
      <c r="F6368" s="127"/>
      <c r="G6368" s="127"/>
      <c r="H6368" s="127"/>
      <c r="I6368" s="128"/>
      <c r="K6368" s="105" t="str">
        <f>IFERROR(__xludf.DUMMYFUNCTION("if(A6368="""","""",substitute(SUBSTITUTE(index(importhtml(""http://finviz.com/quote.ashx?t=""&amp;A6368,""table"",10),7,2),""*"",""""),""-"",""0.00""))"),"Loading...")</f>
        <v>Loading...</v>
      </c>
      <c r="L6368" s="129">
        <v>2.9276329E8</v>
      </c>
      <c r="M6368" s="99">
        <v>0.8</v>
      </c>
    </row>
    <row r="6369">
      <c r="A6369" s="122" t="s">
        <v>13253</v>
      </c>
      <c r="B6369" s="123">
        <v>1673358.0</v>
      </c>
      <c r="C6369" s="124" t="s">
        <v>13254</v>
      </c>
      <c r="D6369" s="125"/>
      <c r="E6369" s="126">
        <v>35.24</v>
      </c>
      <c r="F6369" s="127"/>
      <c r="G6369" s="127"/>
      <c r="H6369" s="127"/>
      <c r="I6369" s="128"/>
      <c r="K6369" s="105" t="str">
        <f>IFERROR(__xludf.DUMMYFUNCTION("if(A6369="""","""",substitute(SUBSTITUTE(index(importhtml(""http://finviz.com/quote.ashx?t=""&amp;A6369,""table"",10),7,2),""*"",""""),""-"",""0.00""))"),"Loading...")</f>
        <v>Loading...</v>
      </c>
      <c r="L6369" s="129">
        <v>1.4577178226E10</v>
      </c>
      <c r="M6369" s="99">
        <v>0.42</v>
      </c>
    </row>
    <row r="6370">
      <c r="A6370" s="122" t="s">
        <v>13255</v>
      </c>
      <c r="B6370" s="123">
        <v>1709442.0</v>
      </c>
      <c r="C6370" s="124" t="s">
        <v>13256</v>
      </c>
      <c r="D6370" s="125"/>
      <c r="E6370" s="126">
        <v>35.25</v>
      </c>
      <c r="F6370" s="127"/>
      <c r="G6370" s="127"/>
      <c r="H6370" s="127"/>
      <c r="I6370" s="128"/>
      <c r="K6370" s="105" t="str">
        <f>IFERROR(__xludf.DUMMYFUNCTION("if(A6370="""","""",substitute(SUBSTITUTE(index(importhtml(""http://finviz.com/quote.ashx?t=""&amp;A6370,""table"",10),7,2),""*"",""""),""-"",""0.00""))"),"Loading...")</f>
        <v>Loading...</v>
      </c>
      <c r="L6370" s="129" t="e">
        <v>#N/A</v>
      </c>
      <c r="M6370" s="99">
        <f>IFERROR(__xludf.DUMMYFUNCTION("GOOGLEFINANCE(A6370,""beta"")"),0.28)</f>
        <v>0.28</v>
      </c>
    </row>
    <row r="6371">
      <c r="A6371" s="122" t="s">
        <v>13257</v>
      </c>
      <c r="B6371" s="123">
        <v>895728.0</v>
      </c>
      <c r="C6371" s="124" t="s">
        <v>13258</v>
      </c>
      <c r="D6371" s="125"/>
      <c r="E6371" s="126">
        <v>35.3</v>
      </c>
      <c r="F6371" s="127"/>
      <c r="G6371" s="127"/>
      <c r="H6371" s="127"/>
      <c r="I6371" s="128"/>
      <c r="K6371" s="55" t="s">
        <v>13259</v>
      </c>
      <c r="L6371" s="129">
        <v>7.4962372379E10</v>
      </c>
      <c r="M6371" s="99">
        <v>0.86</v>
      </c>
    </row>
    <row r="6372">
      <c r="A6372" s="122" t="s">
        <v>13260</v>
      </c>
      <c r="B6372" s="123">
        <v>1405528.0</v>
      </c>
      <c r="C6372" s="124" t="s">
        <v>13261</v>
      </c>
      <c r="D6372" s="125"/>
      <c r="E6372" s="126">
        <v>35.3</v>
      </c>
      <c r="F6372" s="127"/>
      <c r="G6372" s="127"/>
      <c r="H6372" s="127"/>
      <c r="I6372" s="128"/>
      <c r="K6372" s="105" t="str">
        <f>IFERROR(__xludf.DUMMYFUNCTION("if(A6372="""","""",substitute(SUBSTITUTE(index(importhtml(""http://finviz.com/quote.ashx?t=""&amp;A6372,""table"",10),7,2),""*"",""""),""-"",""0.00""))"),"Loading...")</f>
        <v>Loading...</v>
      </c>
      <c r="L6372" s="129">
        <v>6.3539433E7</v>
      </c>
      <c r="M6372" s="99" t="str">
        <f>IFERROR(__xludf.DUMMYFUNCTION("GOOGLEFINANCE(A6372,""beta"")"),"#N/A")</f>
        <v>#N/A</v>
      </c>
    </row>
    <row r="6373">
      <c r="A6373" s="122" t="s">
        <v>13262</v>
      </c>
      <c r="B6373" s="123">
        <v>1418819.0</v>
      </c>
      <c r="C6373" s="124" t="s">
        <v>13263</v>
      </c>
      <c r="D6373" s="125"/>
      <c r="E6373" s="126">
        <v>35.3</v>
      </c>
      <c r="F6373" s="127"/>
      <c r="G6373" s="127"/>
      <c r="H6373" s="127"/>
      <c r="I6373" s="128"/>
      <c r="K6373" s="105" t="str">
        <f>IFERROR(__xludf.DUMMYFUNCTION("if(A6373="""","""",substitute(SUBSTITUTE(index(importhtml(""http://finviz.com/quote.ashx?t=""&amp;A6373,""table"",10),7,2),""*"",""""),""-"",""0.00""))"),"Loading...")</f>
        <v>Loading...</v>
      </c>
      <c r="L6373" s="129">
        <v>4.371922555E9</v>
      </c>
      <c r="M6373" s="99">
        <v>0.94</v>
      </c>
    </row>
    <row r="6374">
      <c r="A6374" s="122" t="s">
        <v>13264</v>
      </c>
      <c r="B6374" s="123">
        <v>1902314.0</v>
      </c>
      <c r="C6374" s="124" t="s">
        <v>13265</v>
      </c>
      <c r="D6374" s="125"/>
      <c r="E6374" s="126">
        <v>35.34</v>
      </c>
      <c r="F6374" s="127"/>
      <c r="G6374" s="127"/>
      <c r="H6374" s="127"/>
      <c r="I6374" s="128"/>
      <c r="K6374" s="105" t="str">
        <f>IFERROR(__xludf.DUMMYFUNCTION("if(A6374="""","""",substitute(SUBSTITUTE(index(importhtml(""http://finviz.com/quote.ashx?t=""&amp;A6374,""table"",10),7,2),""*"",""""),""-"",""0.00""))"),"Loading...")</f>
        <v>Loading...</v>
      </c>
      <c r="L6374" s="129">
        <v>9.8522972E7</v>
      </c>
      <c r="M6374" s="99">
        <f>IFERROR(__xludf.DUMMYFUNCTION("GOOGLEFINANCE(A6374,""beta"")"),1.29)</f>
        <v>1.29</v>
      </c>
    </row>
    <row r="6375">
      <c r="A6375" s="122" t="s">
        <v>13266</v>
      </c>
      <c r="B6375" s="123">
        <v>1562401.0</v>
      </c>
      <c r="C6375" s="124" t="s">
        <v>13267</v>
      </c>
      <c r="D6375" s="125"/>
      <c r="E6375" s="126">
        <v>35.42</v>
      </c>
      <c r="F6375" s="127"/>
      <c r="G6375" s="127"/>
      <c r="H6375" s="127"/>
      <c r="I6375" s="128"/>
      <c r="K6375" s="55" t="s">
        <v>8965</v>
      </c>
      <c r="L6375" s="129">
        <v>1.2824019315E10</v>
      </c>
      <c r="M6375" s="99">
        <v>0.69</v>
      </c>
    </row>
    <row r="6376">
      <c r="A6376" s="122" t="s">
        <v>13268</v>
      </c>
      <c r="B6376" s="123">
        <v>887596.0</v>
      </c>
      <c r="C6376" s="124" t="s">
        <v>13269</v>
      </c>
      <c r="D6376" s="125"/>
      <c r="E6376" s="126">
        <v>35.42</v>
      </c>
      <c r="F6376" s="127"/>
      <c r="G6376" s="127"/>
      <c r="H6376" s="127"/>
      <c r="I6376" s="128"/>
      <c r="K6376" s="105" t="str">
        <f>IFERROR(__xludf.DUMMYFUNCTION("if(A6376="""","""",substitute(SUBSTITUTE(index(importhtml(""http://finviz.com/quote.ashx?t=""&amp;A6376,""table"",10),7,2),""*"",""""),""-"",""0.00""))"),"Loading...")</f>
        <v>Loading...</v>
      </c>
      <c r="L6376" s="129">
        <v>1.798383463E9</v>
      </c>
      <c r="M6376" s="99">
        <v>1.49</v>
      </c>
    </row>
    <row r="6377">
      <c r="A6377" s="122" t="s">
        <v>13270</v>
      </c>
      <c r="B6377" s="123">
        <v>1517518.0</v>
      </c>
      <c r="C6377" s="124" t="s">
        <v>13271</v>
      </c>
      <c r="D6377" s="125"/>
      <c r="E6377" s="126">
        <v>35.43</v>
      </c>
      <c r="F6377" s="127"/>
      <c r="G6377" s="127"/>
      <c r="H6377" s="127"/>
      <c r="I6377" s="128"/>
      <c r="K6377" s="55" t="s">
        <v>13272</v>
      </c>
      <c r="L6377" s="129">
        <v>4.53053688E8</v>
      </c>
      <c r="M6377" s="99">
        <v>2.33</v>
      </c>
    </row>
    <row r="6378">
      <c r="A6378" s="122" t="s">
        <v>13273</v>
      </c>
      <c r="B6378" s="123">
        <v>1651311.0</v>
      </c>
      <c r="C6378" s="124" t="s">
        <v>13274</v>
      </c>
      <c r="D6378" s="125"/>
      <c r="E6378" s="126">
        <v>35.46</v>
      </c>
      <c r="F6378" s="127"/>
      <c r="G6378" s="127"/>
      <c r="H6378" s="127"/>
      <c r="I6378" s="128"/>
      <c r="K6378" s="105" t="str">
        <f>IFERROR(__xludf.DUMMYFUNCTION("if(A6378="""","""",substitute(SUBSTITUTE(index(importhtml(""http://finviz.com/quote.ashx?t=""&amp;A6378,""table"",10),7,2),""*"",""""),""-"",""0.00""))"),"Loading...")</f>
        <v>Loading...</v>
      </c>
      <c r="L6378" s="129">
        <v>2.047205035E9</v>
      </c>
      <c r="M6378" s="99">
        <v>1.04</v>
      </c>
    </row>
    <row r="6379">
      <c r="A6379" s="122" t="s">
        <v>13275</v>
      </c>
      <c r="B6379" s="123">
        <v>1101215.0</v>
      </c>
      <c r="C6379" s="124" t="s">
        <v>13276</v>
      </c>
      <c r="D6379" s="125"/>
      <c r="E6379" s="126">
        <v>35.5</v>
      </c>
      <c r="F6379" s="127"/>
      <c r="G6379" s="127"/>
      <c r="H6379" s="127"/>
      <c r="I6379" s="128"/>
      <c r="K6379" s="55" t="s">
        <v>8509</v>
      </c>
      <c r="L6379" s="129">
        <v>1.792182E9</v>
      </c>
      <c r="M6379" s="99">
        <v>2.12</v>
      </c>
    </row>
    <row r="6380">
      <c r="A6380" s="122" t="s">
        <v>13277</v>
      </c>
      <c r="B6380" s="123">
        <v>1670541.0</v>
      </c>
      <c r="C6380" s="124" t="s">
        <v>13278</v>
      </c>
      <c r="D6380" s="125"/>
      <c r="E6380" s="126">
        <v>35.52</v>
      </c>
      <c r="F6380" s="127"/>
      <c r="G6380" s="127"/>
      <c r="H6380" s="127"/>
      <c r="I6380" s="128"/>
      <c r="K6380" s="105" t="str">
        <f>IFERROR(__xludf.DUMMYFUNCTION("if(A6380="""","""",substitute(SUBSTITUTE(index(importhtml(""http://finviz.com/quote.ashx?t=""&amp;A6380,""table"",10),7,2),""*"",""""),""-"",""0.00""))"),"Loading...")</f>
        <v>Loading...</v>
      </c>
      <c r="L6380" s="129">
        <v>3.241052988E9</v>
      </c>
      <c r="M6380" s="99">
        <v>2.53</v>
      </c>
    </row>
    <row r="6381">
      <c r="A6381" s="122" t="s">
        <v>13279</v>
      </c>
      <c r="B6381" s="123">
        <v>744218.0</v>
      </c>
      <c r="C6381" s="124" t="s">
        <v>13280</v>
      </c>
      <c r="D6381" s="125"/>
      <c r="E6381" s="126">
        <v>35.54</v>
      </c>
      <c r="F6381" s="127"/>
      <c r="G6381" s="127"/>
      <c r="H6381" s="127"/>
      <c r="I6381" s="128"/>
      <c r="K6381" s="105" t="str">
        <f>IFERROR(__xludf.DUMMYFUNCTION("if(A6381="""","""",substitute(SUBSTITUTE(index(importhtml(""http://finviz.com/quote.ashx?t=""&amp;A6381,""table"",10),7,2),""*"",""""),""-"",""0.00""))"),"Loading...")</f>
        <v>Loading...</v>
      </c>
      <c r="L6381" s="129">
        <v>1.943653507E9</v>
      </c>
      <c r="M6381" s="99">
        <v>1.41</v>
      </c>
    </row>
    <row r="6382">
      <c r="A6382" s="122" t="s">
        <v>13281</v>
      </c>
      <c r="B6382" s="123">
        <v>1090009.0</v>
      </c>
      <c r="C6382" s="124" t="s">
        <v>13282</v>
      </c>
      <c r="D6382" s="125"/>
      <c r="E6382" s="126">
        <v>35.56</v>
      </c>
      <c r="F6382" s="127"/>
      <c r="G6382" s="127"/>
      <c r="H6382" s="127"/>
      <c r="I6382" s="128"/>
      <c r="K6382" s="105" t="str">
        <f>IFERROR(__xludf.DUMMYFUNCTION("if(A6382="""","""",substitute(SUBSTITUTE(index(importhtml(""http://finviz.com/quote.ashx?t=""&amp;A6382,""table"",10),7,2),""*"",""""),""-"",""0.00""))"),"Loading...")</f>
        <v>Loading...</v>
      </c>
      <c r="L6382" s="129">
        <v>2.87632013E8</v>
      </c>
      <c r="M6382" s="99">
        <v>0.83</v>
      </c>
    </row>
    <row r="6383">
      <c r="A6383" s="122" t="s">
        <v>13283</v>
      </c>
      <c r="B6383" s="123">
        <v>1596993.0</v>
      </c>
      <c r="C6383" s="124" t="s">
        <v>13284</v>
      </c>
      <c r="D6383" s="125"/>
      <c r="E6383" s="126">
        <v>35.56</v>
      </c>
      <c r="F6383" s="127"/>
      <c r="G6383" s="127"/>
      <c r="H6383" s="127"/>
      <c r="I6383" s="128"/>
      <c r="K6383" s="105" t="str">
        <f>IFERROR(__xludf.DUMMYFUNCTION("if(A6383="""","""",substitute(SUBSTITUTE(index(importhtml(""http://finviz.com/quote.ashx?t=""&amp;A6383,""table"",10),7,2),""*"",""""),""-"",""0.00""))"),"Loading...")</f>
        <v>Loading...</v>
      </c>
      <c r="L6383" s="129">
        <v>1.444016624E9</v>
      </c>
      <c r="M6383" s="99">
        <v>1.13</v>
      </c>
    </row>
    <row r="6384">
      <c r="A6384" s="122" t="s">
        <v>13285</v>
      </c>
      <c r="B6384" s="123">
        <v>1657573.0</v>
      </c>
      <c r="C6384" s="124" t="s">
        <v>13286</v>
      </c>
      <c r="D6384" s="125"/>
      <c r="E6384" s="126">
        <v>35.58</v>
      </c>
      <c r="F6384" s="127"/>
      <c r="G6384" s="127"/>
      <c r="H6384" s="127"/>
      <c r="I6384" s="128"/>
      <c r="K6384" s="105" t="str">
        <f>IFERROR(__xludf.DUMMYFUNCTION("if(A6384="""","""",substitute(SUBSTITUTE(index(importhtml(""http://finviz.com/quote.ashx?t=""&amp;A6384,""table"",10),7,2),""*"",""""),""-"",""0.00""))"),"Loading...")</f>
        <v>Loading...</v>
      </c>
      <c r="L6384" s="129">
        <v>1.615146711E9</v>
      </c>
      <c r="M6384" s="99">
        <f>IFERROR(__xludf.DUMMYFUNCTION("GOOGLEFINANCE(A6384,""beta"")"),0.87)</f>
        <v>0.87</v>
      </c>
    </row>
    <row r="6385">
      <c r="A6385" s="122" t="s">
        <v>13287</v>
      </c>
      <c r="B6385" s="123">
        <v>1780232.0</v>
      </c>
      <c r="C6385" s="124" t="s">
        <v>13288</v>
      </c>
      <c r="D6385" s="125"/>
      <c r="E6385" s="126">
        <v>35.62</v>
      </c>
      <c r="F6385" s="127"/>
      <c r="G6385" s="127"/>
      <c r="H6385" s="127"/>
      <c r="I6385" s="128"/>
      <c r="K6385" s="55" t="s">
        <v>12485</v>
      </c>
      <c r="L6385" s="129">
        <v>1.778983791E10</v>
      </c>
      <c r="M6385" s="99">
        <v>1.14</v>
      </c>
    </row>
    <row r="6386">
      <c r="A6386" s="122" t="s">
        <v>13289</v>
      </c>
      <c r="B6386" s="123">
        <v>1005731.0</v>
      </c>
      <c r="C6386" s="124" t="s">
        <v>13290</v>
      </c>
      <c r="D6386" s="125"/>
      <c r="E6386" s="126">
        <v>35.62</v>
      </c>
      <c r="F6386" s="127"/>
      <c r="G6386" s="127"/>
      <c r="H6386" s="127"/>
      <c r="I6386" s="128"/>
      <c r="K6386" s="105" t="str">
        <f>IFERROR(__xludf.DUMMYFUNCTION("if(A6386="""","""",substitute(SUBSTITUTE(index(importhtml(""http://finviz.com/quote.ashx?t=""&amp;A6386,""table"",10),7,2),""*"",""""),""-"",""0.00""))"),"Loading...")</f>
        <v>Loading...</v>
      </c>
      <c r="L6386" s="129">
        <v>8.96221613E8</v>
      </c>
      <c r="M6386" s="99">
        <v>0.96</v>
      </c>
    </row>
    <row r="6387">
      <c r="A6387" s="122" t="s">
        <v>13291</v>
      </c>
      <c r="B6387" s="123">
        <v>1108426.0</v>
      </c>
      <c r="C6387" s="124" t="s">
        <v>13292</v>
      </c>
      <c r="D6387" s="125"/>
      <c r="E6387" s="126">
        <v>35.64</v>
      </c>
      <c r="F6387" s="127"/>
      <c r="G6387" s="127"/>
      <c r="H6387" s="127"/>
      <c r="I6387" s="128"/>
      <c r="K6387" s="105" t="str">
        <f>IFERROR(__xludf.DUMMYFUNCTION("if(A6387="""","""",substitute(SUBSTITUTE(index(importhtml(""http://finviz.com/quote.ashx?t=""&amp;A6387,""table"",10),7,2),""*"",""""),""-"",""0.00""))"),"Loading...")</f>
        <v>Loading...</v>
      </c>
      <c r="L6387" s="129">
        <v>3.059154358E9</v>
      </c>
      <c r="M6387" s="99">
        <v>0.36</v>
      </c>
    </row>
    <row r="6388">
      <c r="A6388" s="122" t="s">
        <v>13293</v>
      </c>
      <c r="B6388" s="123">
        <v>729986.0</v>
      </c>
      <c r="C6388" s="124" t="s">
        <v>13294</v>
      </c>
      <c r="D6388" s="125"/>
      <c r="E6388" s="126">
        <v>35.64</v>
      </c>
      <c r="F6388" s="127"/>
      <c r="G6388" s="127"/>
      <c r="H6388" s="127"/>
      <c r="I6388" s="128"/>
      <c r="K6388" s="105" t="str">
        <f>IFERROR(__xludf.DUMMYFUNCTION("if(A6388="""","""",substitute(SUBSTITUTE(index(importhtml(""http://finviz.com/quote.ashx?t=""&amp;A6388,""table"",10),7,2),""*"",""""),""-"",""0.00""))"),"Loading...")</f>
        <v>Loading...</v>
      </c>
      <c r="L6388" s="129">
        <v>4.809582277E9</v>
      </c>
      <c r="M6388" s="99">
        <v>1.03</v>
      </c>
    </row>
    <row r="6389">
      <c r="A6389" s="122" t="s">
        <v>13295</v>
      </c>
      <c r="B6389" s="123">
        <v>57131.0</v>
      </c>
      <c r="C6389" s="124" t="s">
        <v>13296</v>
      </c>
      <c r="D6389" s="125"/>
      <c r="E6389" s="126">
        <v>35.65</v>
      </c>
      <c r="F6389" s="127"/>
      <c r="G6389" s="127"/>
      <c r="H6389" s="127"/>
      <c r="I6389" s="128"/>
      <c r="K6389" s="105" t="str">
        <f>IFERROR(__xludf.DUMMYFUNCTION("if(A6389="""","""",substitute(SUBSTITUTE(index(importhtml(""http://finviz.com/quote.ashx?t=""&amp;A6389,""table"",10),7,2),""*"",""""),""-"",""0.00""))"),"Loading...")</f>
        <v>Loading...</v>
      </c>
      <c r="L6389" s="129">
        <v>1.52508924E9</v>
      </c>
      <c r="M6389" s="99">
        <v>1.17</v>
      </c>
    </row>
    <row r="6390">
      <c r="A6390" s="122" t="s">
        <v>13297</v>
      </c>
      <c r="B6390" s="123">
        <v>1582961.0</v>
      </c>
      <c r="C6390" s="124" t="s">
        <v>13298</v>
      </c>
      <c r="D6390" s="125"/>
      <c r="E6390" s="126">
        <v>35.74</v>
      </c>
      <c r="F6390" s="127"/>
      <c r="G6390" s="127"/>
      <c r="H6390" s="127"/>
      <c r="I6390" s="128"/>
      <c r="K6390" s="105" t="str">
        <f>IFERROR(__xludf.DUMMYFUNCTION("if(A6390="""","""",substitute(SUBSTITUTE(index(importhtml(""http://finviz.com/quote.ashx?t=""&amp;A6390,""table"",10),7,2),""*"",""""),""-"",""0.00""))"),"Loading...")</f>
        <v>Loading...</v>
      </c>
      <c r="L6390" s="129">
        <v>3.073959659E9</v>
      </c>
      <c r="M6390" s="99">
        <f>IFERROR(__xludf.DUMMYFUNCTION("GOOGLEFINANCE(A6390,""beta"")"),1.78)</f>
        <v>1.78</v>
      </c>
    </row>
    <row r="6391">
      <c r="A6391" s="122" t="s">
        <v>13299</v>
      </c>
      <c r="B6391" s="123">
        <v>893538.0</v>
      </c>
      <c r="C6391" s="124" t="s">
        <v>13300</v>
      </c>
      <c r="D6391" s="125"/>
      <c r="E6391" s="126">
        <v>35.76</v>
      </c>
      <c r="F6391" s="127"/>
      <c r="G6391" s="127"/>
      <c r="H6391" s="127"/>
      <c r="I6391" s="128"/>
      <c r="K6391" s="55" t="s">
        <v>10827</v>
      </c>
      <c r="L6391" s="129">
        <v>4.159381292E9</v>
      </c>
      <c r="M6391" s="99">
        <v>4.18</v>
      </c>
    </row>
    <row r="6392">
      <c r="A6392" s="122" t="s">
        <v>13301</v>
      </c>
      <c r="B6392" s="123">
        <v>1013488.0</v>
      </c>
      <c r="C6392" s="124" t="s">
        <v>13302</v>
      </c>
      <c r="D6392" s="125"/>
      <c r="E6392" s="126">
        <v>35.76</v>
      </c>
      <c r="F6392" s="127"/>
      <c r="G6392" s="127"/>
      <c r="H6392" s="127"/>
      <c r="I6392" s="128"/>
      <c r="K6392" s="105" t="str">
        <f>IFERROR(__xludf.DUMMYFUNCTION("if(A6392="""","""",substitute(SUBSTITUTE(index(importhtml(""http://finviz.com/quote.ashx?t=""&amp;A6392,""table"",10),7,2),""*"",""""),""-"",""0.00""))"),"Loading...")</f>
        <v>Loading...</v>
      </c>
      <c r="L6392" s="129">
        <v>8.3095508E8</v>
      </c>
      <c r="M6392" s="99">
        <v>2.12</v>
      </c>
    </row>
    <row r="6393">
      <c r="A6393" s="122" t="s">
        <v>13303</v>
      </c>
      <c r="B6393" s="123">
        <v>69633.0</v>
      </c>
      <c r="C6393" s="124" t="s">
        <v>13304</v>
      </c>
      <c r="D6393" s="125"/>
      <c r="E6393" s="126">
        <v>35.81</v>
      </c>
      <c r="F6393" s="127"/>
      <c r="G6393" s="127"/>
      <c r="H6393" s="127"/>
      <c r="I6393" s="128"/>
      <c r="K6393" s="105" t="str">
        <f>IFERROR(__xludf.DUMMYFUNCTION("if(A6393="""","""",substitute(SUBSTITUTE(index(importhtml(""http://finviz.com/quote.ashx?t=""&amp;A6393,""table"",10),7,2),""*"",""""),""-"",""0.00""))"),"Loading...")</f>
        <v>Loading...</v>
      </c>
      <c r="L6393" s="129">
        <v>1.316736615E9</v>
      </c>
      <c r="M6393" s="99">
        <v>1.55</v>
      </c>
    </row>
    <row r="6394">
      <c r="A6394" s="122" t="s">
        <v>13305</v>
      </c>
      <c r="B6394" s="123">
        <v>1616678.0</v>
      </c>
      <c r="C6394" s="124" t="s">
        <v>13306</v>
      </c>
      <c r="D6394" s="125"/>
      <c r="E6394" s="126">
        <v>35.82</v>
      </c>
      <c r="F6394" s="127"/>
      <c r="G6394" s="127"/>
      <c r="H6394" s="127"/>
      <c r="I6394" s="128"/>
      <c r="K6394" s="55" t="s">
        <v>13307</v>
      </c>
      <c r="L6394" s="129">
        <v>1.217997837E9</v>
      </c>
      <c r="M6394" s="99">
        <v>1.22</v>
      </c>
    </row>
    <row r="6395">
      <c r="A6395" s="122" t="s">
        <v>13308</v>
      </c>
      <c r="B6395" s="123">
        <v>1083446.0</v>
      </c>
      <c r="C6395" s="124" t="s">
        <v>13309</v>
      </c>
      <c r="D6395" s="125"/>
      <c r="E6395" s="126">
        <v>35.86</v>
      </c>
      <c r="F6395" s="127"/>
      <c r="G6395" s="127"/>
      <c r="H6395" s="127"/>
      <c r="I6395" s="128"/>
      <c r="K6395" s="105" t="str">
        <f>IFERROR(__xludf.DUMMYFUNCTION("if(A6395="""","""",substitute(SUBSTITUTE(index(importhtml(""http://finviz.com/quote.ashx?t=""&amp;A6395,""table"",10),7,2),""*"",""""),""-"",""0.00""))"),"Loading...")</f>
        <v>Loading...</v>
      </c>
      <c r="L6395" s="129">
        <v>1.720717744E9</v>
      </c>
      <c r="M6395" s="99">
        <v>1.04</v>
      </c>
    </row>
    <row r="6396">
      <c r="A6396" s="122" t="s">
        <v>13310</v>
      </c>
      <c r="B6396" s="123">
        <v>1392972.0</v>
      </c>
      <c r="C6396" s="124" t="s">
        <v>13311</v>
      </c>
      <c r="D6396" s="125"/>
      <c r="E6396" s="126">
        <v>35.87</v>
      </c>
      <c r="F6396" s="127"/>
      <c r="G6396" s="127"/>
      <c r="H6396" s="127"/>
      <c r="I6396" s="128"/>
      <c r="K6396" s="105" t="str">
        <f>IFERROR(__xludf.DUMMYFUNCTION("if(A6396="""","""",substitute(SUBSTITUTE(index(importhtml(""http://finviz.com/quote.ashx?t=""&amp;A6396,""table"",10),7,2),""*"",""""),""-"",""0.00""))"),"Loading...")</f>
        <v>Loading...</v>
      </c>
      <c r="L6396" s="129">
        <v>1.659397803E9</v>
      </c>
      <c r="M6396" s="99">
        <v>1.22</v>
      </c>
    </row>
    <row r="6397">
      <c r="A6397" s="122" t="s">
        <v>13312</v>
      </c>
      <c r="B6397" s="123">
        <v>1127248.0</v>
      </c>
      <c r="C6397" s="124" t="s">
        <v>13313</v>
      </c>
      <c r="D6397" s="125"/>
      <c r="E6397" s="126">
        <v>35.99</v>
      </c>
      <c r="F6397" s="127"/>
      <c r="G6397" s="127"/>
      <c r="H6397" s="127"/>
      <c r="I6397" s="128"/>
      <c r="K6397" s="105" t="str">
        <f>IFERROR(__xludf.DUMMYFUNCTION("if(A6397="""","""",substitute(SUBSTITUTE(index(importhtml(""http://finviz.com/quote.ashx?t=""&amp;A6397,""table"",10),7,2),""*"",""""),""-"",""0.00""))"),"Loading...")</f>
        <v>Loading...</v>
      </c>
      <c r="L6397" s="129">
        <v>1.3756968829E10</v>
      </c>
      <c r="M6397" s="99">
        <v>0.5</v>
      </c>
    </row>
    <row r="6398">
      <c r="A6398" s="122" t="s">
        <v>13314</v>
      </c>
      <c r="B6398" s="123">
        <v>47307.0</v>
      </c>
      <c r="C6398" s="124" t="s">
        <v>13315</v>
      </c>
      <c r="D6398" s="125"/>
      <c r="E6398" s="126">
        <v>36.0</v>
      </c>
      <c r="F6398" s="127"/>
      <c r="G6398" s="127"/>
      <c r="H6398" s="127"/>
      <c r="I6398" s="128"/>
      <c r="K6398" s="105" t="str">
        <f>IFERROR(__xludf.DUMMYFUNCTION("if(A6398="""","""",substitute(SUBSTITUTE(index(importhtml(""http://finviz.com/quote.ashx?t=""&amp;A6398,""table"",10),7,2),""*"",""""),""-"",""0.00""))"),"Loading...")</f>
        <v>Loading...</v>
      </c>
      <c r="L6398" s="129" t="e">
        <v>#N/A</v>
      </c>
      <c r="M6398" s="99">
        <f>IFERROR(__xludf.DUMMYFUNCTION("GOOGLEFINANCE(A6398,""beta"")"),0.78)</f>
        <v>0.78</v>
      </c>
    </row>
    <row r="6399">
      <c r="A6399" s="122" t="s">
        <v>13316</v>
      </c>
      <c r="B6399" s="123">
        <v>1786842.0</v>
      </c>
      <c r="C6399" s="124" t="s">
        <v>13317</v>
      </c>
      <c r="D6399" s="125"/>
      <c r="E6399" s="126">
        <v>36.03</v>
      </c>
      <c r="F6399" s="127"/>
      <c r="G6399" s="127"/>
      <c r="H6399" s="127"/>
      <c r="I6399" s="128"/>
      <c r="K6399" s="105" t="str">
        <f>IFERROR(__xludf.DUMMYFUNCTION("if(A6399="""","""",substitute(SUBSTITUTE(index(importhtml(""http://finviz.com/quote.ashx?t=""&amp;A6399,""table"",10),7,2),""*"",""""),""-"",""0.00""))"),"Loading...")</f>
        <v>Loading...</v>
      </c>
      <c r="L6399" s="129">
        <v>5.560426842E9</v>
      </c>
      <c r="M6399" s="99">
        <v>1.25</v>
      </c>
    </row>
    <row r="6400">
      <c r="A6400" s="122" t="s">
        <v>13318</v>
      </c>
      <c r="B6400" s="123">
        <v>1788348.0</v>
      </c>
      <c r="C6400" s="124" t="s">
        <v>13319</v>
      </c>
      <c r="D6400" s="125"/>
      <c r="E6400" s="126">
        <v>36.04</v>
      </c>
      <c r="F6400" s="127"/>
      <c r="G6400" s="127"/>
      <c r="H6400" s="127"/>
      <c r="I6400" s="128"/>
      <c r="K6400" s="105" t="str">
        <f>IFERROR(__xludf.DUMMYFUNCTION("if(A6400="""","""",substitute(SUBSTITUTE(index(importhtml(""http://finviz.com/quote.ashx?t=""&amp;A6400,""table"",10),7,2),""*"",""""),""-"",""0.00""))"),"Loading...")</f>
        <v>Loading...</v>
      </c>
      <c r="L6400" s="129">
        <v>4.75151372E9</v>
      </c>
      <c r="M6400" s="99">
        <v>1.41</v>
      </c>
    </row>
    <row r="6401">
      <c r="A6401" s="122" t="s">
        <v>13320</v>
      </c>
      <c r="B6401" s="123">
        <v>792987.0</v>
      </c>
      <c r="C6401" s="124" t="s">
        <v>13321</v>
      </c>
      <c r="D6401" s="125"/>
      <c r="E6401" s="126">
        <v>36.05</v>
      </c>
      <c r="F6401" s="127"/>
      <c r="G6401" s="127"/>
      <c r="H6401" s="127"/>
      <c r="I6401" s="128"/>
      <c r="K6401" s="105" t="str">
        <f>IFERROR(__xludf.DUMMYFUNCTION("if(A6401="""","""",substitute(SUBSTITUTE(index(importhtml(""http://finviz.com/quote.ashx?t=""&amp;A6401,""table"",10),7,2),""*"",""""),""-"",""0.00""))"),"Loading...")</f>
        <v>Loading...</v>
      </c>
      <c r="L6401" s="129">
        <v>8.19751387E8</v>
      </c>
      <c r="M6401" s="99">
        <v>1.36</v>
      </c>
    </row>
    <row r="6402">
      <c r="A6402" s="122" t="s">
        <v>13322</v>
      </c>
      <c r="B6402" s="123">
        <v>1030894.0</v>
      </c>
      <c r="C6402" s="124" t="s">
        <v>13323</v>
      </c>
      <c r="D6402" s="125"/>
      <c r="E6402" s="126">
        <v>36.07</v>
      </c>
      <c r="F6402" s="127"/>
      <c r="G6402" s="127"/>
      <c r="H6402" s="127"/>
      <c r="I6402" s="128"/>
      <c r="K6402" s="55" t="s">
        <v>1034</v>
      </c>
      <c r="L6402" s="129">
        <v>4.294436451E9</v>
      </c>
      <c r="M6402" s="99">
        <v>2.17</v>
      </c>
    </row>
    <row r="6403">
      <c r="A6403" s="122" t="s">
        <v>13324</v>
      </c>
      <c r="B6403" s="123">
        <v>715579.0</v>
      </c>
      <c r="C6403" s="124" t="s">
        <v>13325</v>
      </c>
      <c r="D6403" s="125"/>
      <c r="E6403" s="126">
        <v>36.08</v>
      </c>
      <c r="F6403" s="127"/>
      <c r="G6403" s="127"/>
      <c r="H6403" s="127"/>
      <c r="I6403" s="128"/>
      <c r="K6403" s="105" t="str">
        <f>IFERROR(__xludf.DUMMYFUNCTION("if(A6403="""","""",substitute(SUBSTITUTE(index(importhtml(""http://finviz.com/quote.ashx?t=""&amp;A6403,""table"",10),7,2),""*"",""""),""-"",""0.00""))"),"#REF!")</f>
        <v>#REF!</v>
      </c>
      <c r="L6403" s="129">
        <v>3.07093239E8</v>
      </c>
      <c r="M6403" s="99">
        <v>0.63</v>
      </c>
    </row>
    <row r="6404">
      <c r="A6404" s="122" t="s">
        <v>13326</v>
      </c>
      <c r="B6404" s="123">
        <v>863110.0</v>
      </c>
      <c r="C6404" s="124" t="s">
        <v>13327</v>
      </c>
      <c r="D6404" s="125"/>
      <c r="E6404" s="126">
        <v>36.1</v>
      </c>
      <c r="F6404" s="127"/>
      <c r="G6404" s="127"/>
      <c r="H6404" s="127"/>
      <c r="I6404" s="128"/>
      <c r="K6404" s="105" t="str">
        <f>IFERROR(__xludf.DUMMYFUNCTION("if(A6404="""","""",substitute(SUBSTITUTE(index(importhtml(""http://finviz.com/quote.ashx?t=""&amp;A6404,""table"",10),7,2),""*"",""""),""-"",""0.00""))"),"Loading...")</f>
        <v>Loading...</v>
      </c>
      <c r="L6404" s="129">
        <v>3.73598162E8</v>
      </c>
      <c r="M6404" s="99">
        <v>0.2</v>
      </c>
    </row>
    <row r="6405">
      <c r="A6405" s="122" t="s">
        <v>13328</v>
      </c>
      <c r="B6405" s="123">
        <v>766421.0</v>
      </c>
      <c r="C6405" s="124" t="s">
        <v>13329</v>
      </c>
      <c r="D6405" s="125"/>
      <c r="E6405" s="126">
        <v>36.13</v>
      </c>
      <c r="F6405" s="127"/>
      <c r="G6405" s="127"/>
      <c r="H6405" s="127"/>
      <c r="I6405" s="128"/>
      <c r="K6405" s="55" t="s">
        <v>5721</v>
      </c>
      <c r="L6405" s="129">
        <v>4.555642673E9</v>
      </c>
      <c r="M6405" s="99">
        <v>1.61</v>
      </c>
    </row>
    <row r="6406">
      <c r="A6406" s="122" t="s">
        <v>13330</v>
      </c>
      <c r="B6406" s="123">
        <v>78128.0</v>
      </c>
      <c r="C6406" s="124" t="s">
        <v>13331</v>
      </c>
      <c r="D6406" s="125"/>
      <c r="E6406" s="126">
        <v>36.17</v>
      </c>
      <c r="F6406" s="127"/>
      <c r="G6406" s="127"/>
      <c r="H6406" s="127"/>
      <c r="I6406" s="128"/>
      <c r="K6406" s="105" t="str">
        <f>IFERROR(__xludf.DUMMYFUNCTION("if(A6406="""","""",substitute(SUBSTITUTE(index(importhtml(""http://finviz.com/quote.ashx?t=""&amp;A6406,""table"",10),7,2),""*"",""""),""-"",""0.00""))"),"Loading...")</f>
        <v>Loading...</v>
      </c>
      <c r="L6406" s="129">
        <v>9.885256882E9</v>
      </c>
      <c r="M6406" s="99">
        <v>0.82</v>
      </c>
    </row>
    <row r="6407">
      <c r="A6407" s="122" t="s">
        <v>13332</v>
      </c>
      <c r="B6407" s="123">
        <v>789933.0</v>
      </c>
      <c r="C6407" s="124" t="s">
        <v>13333</v>
      </c>
      <c r="D6407" s="125"/>
      <c r="E6407" s="126">
        <v>36.18</v>
      </c>
      <c r="F6407" s="127"/>
      <c r="G6407" s="127"/>
      <c r="H6407" s="127"/>
      <c r="I6407" s="128"/>
      <c r="K6407" s="138" t="s">
        <v>8019</v>
      </c>
      <c r="L6407" s="129">
        <v>2.71547617E8</v>
      </c>
      <c r="M6407" s="99">
        <v>0.87</v>
      </c>
    </row>
    <row r="6408">
      <c r="A6408" s="122" t="s">
        <v>13334</v>
      </c>
      <c r="B6408" s="123">
        <v>850141.0</v>
      </c>
      <c r="C6408" s="124" t="s">
        <v>13335</v>
      </c>
      <c r="D6408" s="125"/>
      <c r="E6408" s="126">
        <v>36.19</v>
      </c>
      <c r="F6408" s="127"/>
      <c r="G6408" s="127"/>
      <c r="H6408" s="127"/>
      <c r="I6408" s="128"/>
      <c r="K6408" s="105" t="str">
        <f>IFERROR(__xludf.DUMMYFUNCTION("if(A6408="""","""",substitute(SUBSTITUTE(index(importhtml(""http://finviz.com/quote.ashx?t=""&amp;A6408,""table"",10),7,2),""*"",""""),""-"",""0.00""))"),"Loading...")</f>
        <v>Loading...</v>
      </c>
      <c r="L6408" s="129">
        <v>1.477827641E9</v>
      </c>
      <c r="M6408" s="99">
        <v>0.27</v>
      </c>
    </row>
    <row r="6409">
      <c r="A6409" s="122" t="s">
        <v>13336</v>
      </c>
      <c r="B6409" s="123">
        <v>939380.0</v>
      </c>
      <c r="C6409" s="124" t="s">
        <v>13337</v>
      </c>
      <c r="D6409" s="125"/>
      <c r="E6409" s="126">
        <v>36.28</v>
      </c>
      <c r="F6409" s="127"/>
      <c r="G6409" s="127"/>
      <c r="H6409" s="127"/>
      <c r="I6409" s="128"/>
      <c r="K6409" s="105" t="str">
        <f>IFERROR(__xludf.DUMMYFUNCTION("if(A6409="""","""",substitute(SUBSTITUTE(index(importhtml(""http://finviz.com/quote.ashx?t=""&amp;A6409,""table"",10),7,2),""*"",""""),""-"",""0.00""))"),"Loading...")</f>
        <v>Loading...</v>
      </c>
      <c r="L6409" s="129">
        <v>2.6797477481E10</v>
      </c>
      <c r="M6409" s="99">
        <v>0.8</v>
      </c>
    </row>
    <row r="6410">
      <c r="A6410" s="122" t="s">
        <v>13338</v>
      </c>
      <c r="B6410" s="123">
        <v>18349.0</v>
      </c>
      <c r="C6410" s="124" t="s">
        <v>13339</v>
      </c>
      <c r="D6410" s="125"/>
      <c r="E6410" s="126">
        <v>36.3</v>
      </c>
      <c r="F6410" s="127"/>
      <c r="G6410" s="127"/>
      <c r="H6410" s="127"/>
      <c r="I6410" s="128"/>
      <c r="K6410" s="105" t="str">
        <f>IFERROR(__xludf.DUMMYFUNCTION("if(A6410="""","""",substitute(SUBSTITUTE(index(importhtml(""http://finviz.com/quote.ashx?t=""&amp;A6410,""table"",10),7,2),""*"",""""),""-"",""0.00""))"),"Loading...")</f>
        <v>Loading...</v>
      </c>
      <c r="L6410" s="129">
        <v>5.308577228E9</v>
      </c>
      <c r="M6410" s="99">
        <v>1.42</v>
      </c>
    </row>
    <row r="6411">
      <c r="A6411" s="122" t="s">
        <v>13340</v>
      </c>
      <c r="B6411" s="123">
        <v>74208.0</v>
      </c>
      <c r="C6411" s="124" t="s">
        <v>13341</v>
      </c>
      <c r="D6411" s="125"/>
      <c r="E6411" s="126">
        <v>36.31</v>
      </c>
      <c r="F6411" s="127"/>
      <c r="G6411" s="127"/>
      <c r="H6411" s="127"/>
      <c r="I6411" s="128"/>
      <c r="K6411" s="105" t="str">
        <f>IFERROR(__xludf.DUMMYFUNCTION("if(A6411="""","""",substitute(SUBSTITUTE(index(importhtml(""http://finviz.com/quote.ashx?t=""&amp;A6411,""table"",10),7,2),""*"",""""),""-"",""0.00""))"),"Loading...")</f>
        <v>Loading...</v>
      </c>
      <c r="L6411" s="129">
        <v>1.1943383393E10</v>
      </c>
      <c r="M6411" s="99">
        <v>0.83</v>
      </c>
    </row>
    <row r="6412">
      <c r="A6412" s="122" t="s">
        <v>13342</v>
      </c>
      <c r="B6412" s="123">
        <v>1674910.0</v>
      </c>
      <c r="C6412" s="124" t="s">
        <v>13343</v>
      </c>
      <c r="D6412" s="125"/>
      <c r="E6412" s="126">
        <v>36.38</v>
      </c>
      <c r="F6412" s="127"/>
      <c r="G6412" s="127"/>
      <c r="H6412" s="127"/>
      <c r="I6412" s="128"/>
      <c r="K6412" s="105" t="str">
        <f>IFERROR(__xludf.DUMMYFUNCTION("if(A6412="""","""",substitute(SUBSTITUTE(index(importhtml(""http://finviz.com/quote.ashx?t=""&amp;A6412,""table"",10),7,2),""*"",""""),""-"",""0.00""))"),"Loading...")</f>
        <v>Loading...</v>
      </c>
      <c r="L6412" s="129">
        <v>4.728927198E9</v>
      </c>
      <c r="M6412" s="99">
        <v>1.39</v>
      </c>
    </row>
    <row r="6413">
      <c r="A6413" s="122" t="s">
        <v>13344</v>
      </c>
      <c r="B6413" s="123">
        <v>40729.0</v>
      </c>
      <c r="C6413" s="124" t="s">
        <v>13345</v>
      </c>
      <c r="D6413" s="125"/>
      <c r="E6413" s="126">
        <v>36.4</v>
      </c>
      <c r="F6413" s="127"/>
      <c r="G6413" s="127"/>
      <c r="H6413" s="127"/>
      <c r="I6413" s="128"/>
      <c r="K6413" s="105" t="str">
        <f>IFERROR(__xludf.DUMMYFUNCTION("if(A6413="""","""",substitute(SUBSTITUTE(index(importhtml(""http://finviz.com/quote.ashx?t=""&amp;A6413,""table"",10),7,2),""*"",""""),""-"",""0.00""))"),"Loading...")</f>
        <v>Loading...</v>
      </c>
      <c r="L6413" s="129">
        <v>1.097934338E10</v>
      </c>
      <c r="M6413" s="99">
        <v>1.41</v>
      </c>
    </row>
    <row r="6414">
      <c r="A6414" s="122" t="s">
        <v>13346</v>
      </c>
      <c r="B6414" s="123">
        <v>1107457.0</v>
      </c>
      <c r="C6414" s="124" t="s">
        <v>13347</v>
      </c>
      <c r="D6414" s="125"/>
      <c r="E6414" s="126">
        <v>36.41</v>
      </c>
      <c r="F6414" s="127"/>
      <c r="G6414" s="127"/>
      <c r="H6414" s="127"/>
      <c r="I6414" s="128"/>
      <c r="K6414" s="105" t="str">
        <f>IFERROR(__xludf.DUMMYFUNCTION("if(A6414="""","""",substitute(SUBSTITUTE(index(importhtml(""http://finviz.com/quote.ashx?t=""&amp;A6414,""table"",10),7,2),""*"",""""),""-"",""0.00""))"),"Loading...")</f>
        <v>Loading...</v>
      </c>
      <c r="L6414" s="129">
        <v>4.7367726286E10</v>
      </c>
      <c r="M6414" s="99">
        <v>2.01</v>
      </c>
    </row>
    <row r="6415">
      <c r="A6415" s="122" t="s">
        <v>13348</v>
      </c>
      <c r="B6415" s="123">
        <v>1462120.0</v>
      </c>
      <c r="C6415" s="124" t="s">
        <v>13349</v>
      </c>
      <c r="D6415" s="125"/>
      <c r="E6415" s="126">
        <v>36.51</v>
      </c>
      <c r="F6415" s="127"/>
      <c r="G6415" s="127"/>
      <c r="H6415" s="127"/>
      <c r="I6415" s="128"/>
      <c r="K6415" s="105" t="str">
        <f>IFERROR(__xludf.DUMMYFUNCTION("if(A6415="""","""",substitute(SUBSTITUTE(index(importhtml(""http://finviz.com/quote.ashx?t=""&amp;A6415,""table"",10),7,2),""*"",""""),""-"",""0.00""))"),"Loading...")</f>
        <v>Loading...</v>
      </c>
      <c r="L6415" s="129">
        <v>1.624026062E9</v>
      </c>
      <c r="M6415" s="99">
        <v>1.49</v>
      </c>
    </row>
    <row r="6416">
      <c r="A6416" s="122" t="s">
        <v>13350</v>
      </c>
      <c r="B6416" s="123">
        <v>277948.0</v>
      </c>
      <c r="C6416" s="124" t="s">
        <v>13351</v>
      </c>
      <c r="D6416" s="125"/>
      <c r="E6416" s="126">
        <v>36.53</v>
      </c>
      <c r="F6416" s="127"/>
      <c r="G6416" s="127"/>
      <c r="H6416" s="127"/>
      <c r="I6416" s="128"/>
      <c r="K6416" s="55" t="s">
        <v>13352</v>
      </c>
      <c r="L6416" s="129">
        <v>7.2188026487E10</v>
      </c>
      <c r="M6416" s="99">
        <v>1.2</v>
      </c>
    </row>
    <row r="6417">
      <c r="A6417" s="122" t="s">
        <v>13353</v>
      </c>
      <c r="B6417" s="123">
        <v>1107457.0</v>
      </c>
      <c r="C6417" s="124" t="s">
        <v>13347</v>
      </c>
      <c r="D6417" s="125"/>
      <c r="E6417" s="126">
        <v>36.55</v>
      </c>
      <c r="F6417" s="127"/>
      <c r="G6417" s="127"/>
      <c r="H6417" s="127"/>
      <c r="I6417" s="128"/>
      <c r="K6417" s="105" t="str">
        <f>IFERROR(__xludf.DUMMYFUNCTION("if(A6417="""","""",substitute(SUBSTITUTE(index(importhtml(""http://finviz.com/quote.ashx?t=""&amp;A6417,""table"",10),7,2),""*"",""""),""-"",""0.00""))"),"Loading...")</f>
        <v>Loading...</v>
      </c>
      <c r="L6417" s="129">
        <v>4.7367726286E10</v>
      </c>
      <c r="M6417" s="99">
        <v>1.92</v>
      </c>
    </row>
    <row r="6418">
      <c r="A6418" s="122" t="s">
        <v>13354</v>
      </c>
      <c r="B6418" s="123">
        <v>1477294.0</v>
      </c>
      <c r="C6418" s="124" t="s">
        <v>13355</v>
      </c>
      <c r="D6418" s="125"/>
      <c r="E6418" s="126">
        <v>36.56</v>
      </c>
      <c r="F6418" s="127"/>
      <c r="G6418" s="127"/>
      <c r="H6418" s="127"/>
      <c r="I6418" s="128"/>
      <c r="K6418" s="55" t="s">
        <v>8468</v>
      </c>
      <c r="L6418" s="129">
        <v>5.533539007E9</v>
      </c>
      <c r="M6418" s="99">
        <v>1.39</v>
      </c>
    </row>
    <row r="6419">
      <c r="A6419" s="122" t="s">
        <v>13356</v>
      </c>
      <c r="B6419" s="123">
        <v>1168455.0</v>
      </c>
      <c r="C6419" s="124" t="s">
        <v>13357</v>
      </c>
      <c r="D6419" s="125"/>
      <c r="E6419" s="126">
        <v>36.56</v>
      </c>
      <c r="F6419" s="127"/>
      <c r="G6419" s="127"/>
      <c r="H6419" s="127"/>
      <c r="I6419" s="128"/>
      <c r="K6419" s="105" t="str">
        <f>IFERROR(__xludf.DUMMYFUNCTION("if(A6419="""","""",substitute(SUBSTITUTE(index(importhtml(""http://finviz.com/quote.ashx?t=""&amp;A6419,""table"",10),7,2),""*"",""""),""-"",""0.00""))"),"Loading...")</f>
        <v>Loading...</v>
      </c>
      <c r="L6419" s="129" t="e">
        <v>#N/A</v>
      </c>
      <c r="M6419" s="99">
        <v>0.74</v>
      </c>
    </row>
    <row r="6420">
      <c r="A6420" s="122" t="s">
        <v>13358</v>
      </c>
      <c r="B6420" s="123">
        <v>1581280.0</v>
      </c>
      <c r="C6420" s="124" t="s">
        <v>13359</v>
      </c>
      <c r="D6420" s="125"/>
      <c r="E6420" s="126">
        <v>36.59</v>
      </c>
      <c r="F6420" s="127"/>
      <c r="G6420" s="127"/>
      <c r="H6420" s="127"/>
      <c r="I6420" s="128"/>
      <c r="K6420" s="105" t="str">
        <f>IFERROR(__xludf.DUMMYFUNCTION("if(A6420="""","""",substitute(SUBSTITUTE(index(importhtml(""http://finviz.com/quote.ashx?t=""&amp;A6420,""table"",10),7,2),""*"",""""),""-"",""0.00""))"),"Loading...")</f>
        <v>Loading...</v>
      </c>
      <c r="L6420" s="129">
        <v>2.114135082E9</v>
      </c>
      <c r="M6420" s="99">
        <v>1.6</v>
      </c>
    </row>
    <row r="6421">
      <c r="A6421" s="122" t="s">
        <v>13360</v>
      </c>
      <c r="B6421" s="123">
        <v>1122976.0</v>
      </c>
      <c r="C6421" s="124" t="s">
        <v>13361</v>
      </c>
      <c r="D6421" s="125"/>
      <c r="E6421" s="126">
        <v>36.65</v>
      </c>
      <c r="F6421" s="127"/>
      <c r="G6421" s="127"/>
      <c r="H6421" s="127"/>
      <c r="I6421" s="128"/>
      <c r="K6421" s="105" t="str">
        <f>IFERROR(__xludf.DUMMYFUNCTION("if(A6421="""","""",substitute(SUBSTITUTE(index(importhtml(""http://finviz.com/quote.ashx?t=""&amp;A6421,""table"",10),7,2),""*"",""""),""-"",""0.00""))"),"Loading...")</f>
        <v>Loading...</v>
      </c>
      <c r="L6421" s="129">
        <v>3.341066182E9</v>
      </c>
      <c r="M6421" s="99">
        <v>1.5</v>
      </c>
    </row>
    <row r="6422">
      <c r="A6422" s="122" t="s">
        <v>13362</v>
      </c>
      <c r="B6422" s="123">
        <v>1319161.0</v>
      </c>
      <c r="C6422" s="124" t="s">
        <v>13363</v>
      </c>
      <c r="D6422" s="125"/>
      <c r="E6422" s="126">
        <v>36.66</v>
      </c>
      <c r="F6422" s="127"/>
      <c r="G6422" s="127"/>
      <c r="H6422" s="127"/>
      <c r="I6422" s="128"/>
      <c r="K6422" s="105" t="str">
        <f>IFERROR(__xludf.DUMMYFUNCTION("if(A6422="""","""",substitute(SUBSTITUTE(index(importhtml(""http://finviz.com/quote.ashx?t=""&amp;A6422,""table"",10),7,2),""*"",""""),""-"",""0.00""))"),"Loading...")</f>
        <v>Loading...</v>
      </c>
      <c r="L6422" s="129">
        <v>1.8984773182E10</v>
      </c>
      <c r="M6422" s="99">
        <v>1.51</v>
      </c>
    </row>
    <row r="6423">
      <c r="A6423" s="122" t="s">
        <v>13364</v>
      </c>
      <c r="B6423" s="123">
        <v>939380.0</v>
      </c>
      <c r="C6423" s="124" t="s">
        <v>13365</v>
      </c>
      <c r="D6423" s="125"/>
      <c r="E6423" s="126">
        <v>36.67</v>
      </c>
      <c r="F6423" s="127"/>
      <c r="G6423" s="127"/>
      <c r="H6423" s="127"/>
      <c r="I6423" s="128"/>
      <c r="K6423" s="105" t="str">
        <f>IFERROR(__xludf.DUMMYFUNCTION("if(A6423="""","""",substitute(SUBSTITUTE(index(importhtml(""http://finviz.com/quote.ashx?t=""&amp;A6423,""table"",10),7,2),""*"",""""),""-"",""0.00""))"),"Loading...")</f>
        <v>Loading...</v>
      </c>
      <c r="L6423" s="129">
        <v>2.6797477481E10</v>
      </c>
      <c r="M6423" s="99">
        <f>IFERROR(__xludf.DUMMYFUNCTION("GOOGLEFINANCE(A6423,""beta"")"),0.6)</f>
        <v>0.6</v>
      </c>
    </row>
    <row r="6424">
      <c r="A6424" s="122" t="s">
        <v>13366</v>
      </c>
      <c r="B6424" s="123">
        <v>1030469.0</v>
      </c>
      <c r="C6424" s="124" t="s">
        <v>13367</v>
      </c>
      <c r="D6424" s="125"/>
      <c r="E6424" s="126">
        <v>36.69</v>
      </c>
      <c r="F6424" s="127"/>
      <c r="G6424" s="127"/>
      <c r="H6424" s="127"/>
      <c r="I6424" s="128"/>
      <c r="K6424" s="105" t="str">
        <f>IFERROR(__xludf.DUMMYFUNCTION("if(A6424="""","""",substitute(SUBSTITUTE(index(importhtml(""http://finviz.com/quote.ashx?t=""&amp;A6424,""table"",10),7,2),""*"",""""),""-"",""0.00""))"),"Loading...")</f>
        <v>Loading...</v>
      </c>
      <c r="L6424" s="129">
        <v>1.726814418E9</v>
      </c>
      <c r="M6424" s="99">
        <v>1.11</v>
      </c>
    </row>
    <row r="6425">
      <c r="A6425" s="122" t="s">
        <v>13368</v>
      </c>
      <c r="B6425" s="123">
        <v>879585.0</v>
      </c>
      <c r="C6425" s="124" t="s">
        <v>13369</v>
      </c>
      <c r="D6425" s="125"/>
      <c r="E6425" s="126">
        <v>36.74</v>
      </c>
      <c r="F6425" s="127"/>
      <c r="G6425" s="127"/>
      <c r="H6425" s="127"/>
      <c r="I6425" s="128"/>
      <c r="K6425" s="105" t="str">
        <f>IFERROR(__xludf.DUMMYFUNCTION("if(A6425="""","""",substitute(SUBSTITUTE(index(importhtml(""http://finviz.com/quote.ashx?t=""&amp;A6425,""table"",10),7,2),""*"",""""),""-"",""0.00""))"),"Loading...")</f>
        <v>Loading...</v>
      </c>
      <c r="L6425" s="129">
        <v>5.66585201E8</v>
      </c>
      <c r="M6425" s="99">
        <v>0.39</v>
      </c>
    </row>
    <row r="6426">
      <c r="A6426" s="122" t="s">
        <v>13370</v>
      </c>
      <c r="B6426" s="123">
        <v>23426.0</v>
      </c>
      <c r="C6426" s="124" t="s">
        <v>13371</v>
      </c>
      <c r="D6426" s="125"/>
      <c r="E6426" s="126">
        <v>36.75</v>
      </c>
      <c r="F6426" s="127"/>
      <c r="G6426" s="127"/>
      <c r="H6426" s="127"/>
      <c r="I6426" s="128"/>
      <c r="K6426" s="105" t="str">
        <f>IFERROR(__xludf.DUMMYFUNCTION("if(A6426="""","""",substitute(SUBSTITUTE(index(importhtml(""http://finviz.com/quote.ashx?t=""&amp;A6426,""table"",10),7,2),""*"",""""),""-"",""0.00""))"),"Loading...")</f>
        <v>Loading...</v>
      </c>
      <c r="L6426" s="129">
        <v>2.66609E7</v>
      </c>
      <c r="M6426" s="99">
        <v>0.13</v>
      </c>
    </row>
    <row r="6427">
      <c r="A6427" s="122" t="s">
        <v>13372</v>
      </c>
      <c r="B6427" s="123">
        <v>821483.0</v>
      </c>
      <c r="C6427" s="124" t="s">
        <v>13373</v>
      </c>
      <c r="D6427" s="125"/>
      <c r="E6427" s="126">
        <v>36.77</v>
      </c>
      <c r="F6427" s="127"/>
      <c r="G6427" s="127"/>
      <c r="H6427" s="127"/>
      <c r="I6427" s="128"/>
      <c r="K6427" s="105" t="str">
        <f>IFERROR(__xludf.DUMMYFUNCTION("if(A6427="""","""",substitute(SUBSTITUTE(index(importhtml(""http://finviz.com/quote.ashx?t=""&amp;A6427,""table"",10),7,2),""*"",""""),""-"",""0.00""))"),"Loading...")</f>
        <v>Loading...</v>
      </c>
      <c r="L6427" s="129">
        <v>2.224572893E9</v>
      </c>
      <c r="M6427" s="99">
        <v>1.99</v>
      </c>
    </row>
    <row r="6428">
      <c r="A6428" s="122" t="s">
        <v>13374</v>
      </c>
      <c r="B6428" s="123">
        <v>1592651.0</v>
      </c>
      <c r="C6428" s="124" t="s">
        <v>13375</v>
      </c>
      <c r="D6428" s="125"/>
      <c r="E6428" s="126">
        <v>36.78</v>
      </c>
      <c r="F6428" s="127"/>
      <c r="G6428" s="127"/>
      <c r="H6428" s="127"/>
      <c r="I6428" s="128"/>
      <c r="K6428" s="105" t="str">
        <f>IFERROR(__xludf.DUMMYFUNCTION("if(A6428="""","""",substitute(SUBSTITUTE(index(importhtml(""http://finviz.com/quote.ashx?t=""&amp;A6428,""table"",10),7,2),""*"",""""),""-"",""0.00""))"),"Loading...")</f>
        <v>Loading...</v>
      </c>
      <c r="L6428" s="129">
        <v>1.14537459E9</v>
      </c>
      <c r="M6428" s="99">
        <f>IFERROR(__xludf.DUMMYFUNCTION("GOOGLEFINANCE(A6428,""beta"")"),1.03)</f>
        <v>1.03</v>
      </c>
    </row>
    <row r="6429">
      <c r="A6429" s="122" t="s">
        <v>13376</v>
      </c>
      <c r="B6429" s="123">
        <v>1031296.0</v>
      </c>
      <c r="C6429" s="124" t="s">
        <v>13377</v>
      </c>
      <c r="D6429" s="125"/>
      <c r="E6429" s="126">
        <v>36.79</v>
      </c>
      <c r="F6429" s="127"/>
      <c r="G6429" s="127"/>
      <c r="H6429" s="127"/>
      <c r="I6429" s="128"/>
      <c r="K6429" s="138" t="s">
        <v>13378</v>
      </c>
      <c r="L6429" s="129">
        <v>2.1110647017E10</v>
      </c>
      <c r="M6429" s="99">
        <v>0.49</v>
      </c>
    </row>
    <row r="6430">
      <c r="A6430" s="122" t="s">
        <v>13379</v>
      </c>
      <c r="B6430" s="123">
        <v>1452857.0</v>
      </c>
      <c r="C6430" s="124" t="s">
        <v>13380</v>
      </c>
      <c r="D6430" s="125"/>
      <c r="E6430" s="126">
        <v>36.79</v>
      </c>
      <c r="F6430" s="127"/>
      <c r="G6430" s="127"/>
      <c r="H6430" s="127"/>
      <c r="I6430" s="128"/>
      <c r="K6430" s="105" t="str">
        <f>IFERROR(__xludf.DUMMYFUNCTION("if(A6430="""","""",substitute(SUBSTITUTE(index(importhtml(""http://finviz.com/quote.ashx?t=""&amp;A6430,""table"",10),7,2),""*"",""""),""-"",""0.00""))"),"Loading...")</f>
        <v>Loading...</v>
      </c>
      <c r="L6430" s="129">
        <v>7.83903006E8</v>
      </c>
      <c r="M6430" s="99">
        <v>1.25</v>
      </c>
    </row>
    <row r="6431">
      <c r="A6431" s="122" t="s">
        <v>13381</v>
      </c>
      <c r="B6431" s="123">
        <v>851205.0</v>
      </c>
      <c r="C6431" s="124" t="s">
        <v>13382</v>
      </c>
      <c r="D6431" s="125"/>
      <c r="E6431" s="126">
        <v>36.79</v>
      </c>
      <c r="F6431" s="127"/>
      <c r="G6431" s="127"/>
      <c r="H6431" s="127"/>
      <c r="I6431" s="128"/>
      <c r="K6431" s="105" t="str">
        <f>IFERROR(__xludf.DUMMYFUNCTION("if(A6431="""","""",substitute(SUBSTITUTE(index(importhtml(""http://finviz.com/quote.ashx?t=""&amp;A6431,""table"",10),7,2),""*"",""""),""-"",""0.00""))"),"Loading...")</f>
        <v>Loading...</v>
      </c>
      <c r="L6431" s="129">
        <v>6.333104337E9</v>
      </c>
      <c r="M6431" s="99">
        <v>1.49</v>
      </c>
    </row>
    <row r="6432">
      <c r="A6432" s="122" t="s">
        <v>13383</v>
      </c>
      <c r="B6432" s="123">
        <v>92230.0</v>
      </c>
      <c r="C6432" s="124" t="s">
        <v>13384</v>
      </c>
      <c r="D6432" s="125"/>
      <c r="E6432" s="126">
        <v>36.79</v>
      </c>
      <c r="F6432" s="127"/>
      <c r="G6432" s="127"/>
      <c r="H6432" s="127"/>
      <c r="I6432" s="128"/>
      <c r="K6432" s="105" t="str">
        <f>IFERROR(__xludf.DUMMYFUNCTION("if(A6432="""","""",substitute(SUBSTITUTE(index(importhtml(""http://finviz.com/quote.ashx?t=""&amp;A6432,""table"",10),7,2),""*"",""""),""-"",""0.00""))"),"Loading...")</f>
        <v>Loading...</v>
      </c>
      <c r="L6432" s="129">
        <v>4.9068406191E10</v>
      </c>
      <c r="M6432" s="99">
        <v>1.09</v>
      </c>
    </row>
    <row r="6433">
      <c r="A6433" s="122" t="s">
        <v>13385</v>
      </c>
      <c r="B6433" s="123">
        <v>1649749.0</v>
      </c>
      <c r="C6433" s="124" t="s">
        <v>13386</v>
      </c>
      <c r="D6433" s="125"/>
      <c r="E6433" s="126">
        <v>36.8</v>
      </c>
      <c r="F6433" s="127"/>
      <c r="G6433" s="127"/>
      <c r="H6433" s="127"/>
      <c r="I6433" s="128"/>
      <c r="K6433" s="55" t="s">
        <v>10827</v>
      </c>
      <c r="L6433" s="129">
        <v>1.723836716E9</v>
      </c>
      <c r="M6433" s="99">
        <v>1.17</v>
      </c>
    </row>
    <row r="6434">
      <c r="A6434" s="122" t="s">
        <v>13387</v>
      </c>
      <c r="B6434" s="123">
        <v>804123.0</v>
      </c>
      <c r="C6434" s="124" t="s">
        <v>13388</v>
      </c>
      <c r="D6434" s="125"/>
      <c r="E6434" s="126">
        <v>36.85</v>
      </c>
      <c r="F6434" s="127"/>
      <c r="G6434" s="127"/>
      <c r="H6434" s="127"/>
      <c r="I6434" s="128"/>
      <c r="K6434" s="105" t="str">
        <f>IFERROR(__xludf.DUMMYFUNCTION("if(A6434="""","""",substitute(SUBSTITUTE(index(importhtml(""http://finviz.com/quote.ashx?t=""&amp;A6434,""table"",10),7,2),""*"",""""),""-"",""0.00""))"),"Loading...")</f>
        <v>Loading...</v>
      </c>
      <c r="L6434" s="129" t="e">
        <v>#N/A</v>
      </c>
      <c r="M6434" s="99">
        <v>1.12</v>
      </c>
    </row>
    <row r="6435">
      <c r="A6435" s="122" t="s">
        <v>13389</v>
      </c>
      <c r="B6435" s="123">
        <v>1443669.0</v>
      </c>
      <c r="C6435" s="124" t="s">
        <v>13390</v>
      </c>
      <c r="D6435" s="125"/>
      <c r="E6435" s="126">
        <v>36.86</v>
      </c>
      <c r="F6435" s="127"/>
      <c r="G6435" s="127"/>
      <c r="H6435" s="127"/>
      <c r="I6435" s="128"/>
      <c r="K6435" s="105" t="str">
        <f>IFERROR(__xludf.DUMMYFUNCTION("if(A6435="""","""",substitute(SUBSTITUTE(index(importhtml(""http://finviz.com/quote.ashx?t=""&amp;A6435,""table"",10),7,2),""*"",""""),""-"",""0.00""))"),"Loading...")</f>
        <v>Loading...</v>
      </c>
      <c r="L6435" s="129">
        <v>9.50468289E8</v>
      </c>
      <c r="M6435" s="99">
        <v>1.34</v>
      </c>
    </row>
    <row r="6436">
      <c r="A6436" s="122" t="s">
        <v>13391</v>
      </c>
      <c r="B6436" s="123">
        <v>1733998.0</v>
      </c>
      <c r="C6436" s="124" t="s">
        <v>13392</v>
      </c>
      <c r="D6436" s="125"/>
      <c r="E6436" s="126">
        <v>36.94</v>
      </c>
      <c r="F6436" s="127"/>
      <c r="G6436" s="127"/>
      <c r="H6436" s="127"/>
      <c r="I6436" s="128"/>
      <c r="K6436" s="105" t="str">
        <f>IFERROR(__xludf.DUMMYFUNCTION("if(A6436="""","""",substitute(SUBSTITUTE(index(importhtml(""http://finviz.com/quote.ashx?t=""&amp;A6436,""table"",10),7,2),""*"",""""),""-"",""0.00""))"),"Loading...")</f>
        <v>Loading...</v>
      </c>
      <c r="L6436" s="129">
        <v>1.358588873E9</v>
      </c>
      <c r="M6436" s="99">
        <v>0.58</v>
      </c>
    </row>
    <row r="6437">
      <c r="A6437" s="122" t="s">
        <v>13393</v>
      </c>
      <c r="B6437" s="123">
        <v>1043604.0</v>
      </c>
      <c r="C6437" s="124" t="s">
        <v>13394</v>
      </c>
      <c r="D6437" s="125"/>
      <c r="E6437" s="126">
        <v>36.94</v>
      </c>
      <c r="F6437" s="127"/>
      <c r="G6437" s="127"/>
      <c r="H6437" s="127"/>
      <c r="I6437" s="128"/>
      <c r="K6437" s="105" t="str">
        <f>IFERROR(__xludf.DUMMYFUNCTION("if(A6437="""","""",substitute(SUBSTITUTE(index(importhtml(""http://finviz.com/quote.ashx?t=""&amp;A6437,""table"",10),7,2),""*"",""""),""-"",""0.00""))"),"Loading...")</f>
        <v>Loading...</v>
      </c>
      <c r="L6437" s="129">
        <v>1.2183769585E10</v>
      </c>
      <c r="M6437" s="99" t="str">
        <f>IFERROR(__xludf.DUMMYFUNCTION("GOOGLEFINANCE(A6437,""beta"")"),"#N/A")</f>
        <v>#N/A</v>
      </c>
    </row>
    <row r="6438">
      <c r="A6438" s="122" t="s">
        <v>13395</v>
      </c>
      <c r="B6438" s="123">
        <v>1269238.0</v>
      </c>
      <c r="C6438" s="124" t="s">
        <v>13117</v>
      </c>
      <c r="D6438" s="125"/>
      <c r="E6438" s="126">
        <v>37.0</v>
      </c>
      <c r="F6438" s="127"/>
      <c r="G6438" s="127"/>
      <c r="H6438" s="127"/>
      <c r="I6438" s="128"/>
      <c r="K6438" s="105" t="str">
        <f>IFERROR(__xludf.DUMMYFUNCTION("if(A6438="""","""",substitute(SUBSTITUTE(index(importhtml(""http://finviz.com/quote.ashx?t=""&amp;A6438,""table"",10),7,2),""*"",""""),""-"",""0.00""))"),"Loading...")</f>
        <v>Loading...</v>
      </c>
      <c r="L6438" s="129">
        <v>2.50143347E10</v>
      </c>
      <c r="M6438" s="99">
        <v>0.53</v>
      </c>
    </row>
    <row r="6439">
      <c r="A6439" s="122" t="s">
        <v>13396</v>
      </c>
      <c r="B6439" s="123">
        <v>70487.0</v>
      </c>
      <c r="C6439" s="124" t="s">
        <v>13397</v>
      </c>
      <c r="D6439" s="125"/>
      <c r="E6439" s="126">
        <v>37.01</v>
      </c>
      <c r="F6439" s="127"/>
      <c r="G6439" s="127"/>
      <c r="H6439" s="127"/>
      <c r="I6439" s="128"/>
      <c r="K6439" s="105" t="str">
        <f>IFERROR(__xludf.DUMMYFUNCTION("if(A6439="""","""",substitute(SUBSTITUTE(index(importhtml(""http://finviz.com/quote.ashx?t=""&amp;A6439,""table"",10),7,2),""*"",""""),""-"",""0.00""))"),"Loading...")</f>
        <v>Loading...</v>
      </c>
      <c r="L6439" s="129">
        <v>9.08903752E8</v>
      </c>
      <c r="M6439" s="99">
        <v>0.42</v>
      </c>
    </row>
    <row r="6440">
      <c r="A6440" s="122" t="s">
        <v>13398</v>
      </c>
      <c r="B6440" s="123">
        <v>1547341.0</v>
      </c>
      <c r="C6440" s="124" t="s">
        <v>13399</v>
      </c>
      <c r="D6440" s="125"/>
      <c r="E6440" s="126">
        <v>37.05</v>
      </c>
      <c r="F6440" s="127"/>
      <c r="G6440" s="127"/>
      <c r="H6440" s="127"/>
      <c r="I6440" s="128"/>
      <c r="K6440" s="55" t="s">
        <v>13400</v>
      </c>
      <c r="L6440" s="129" t="e">
        <v>#N/A</v>
      </c>
      <c r="M6440" s="99">
        <v>2.38</v>
      </c>
    </row>
    <row r="6441">
      <c r="A6441" s="122" t="s">
        <v>13401</v>
      </c>
      <c r="B6441" s="123">
        <v>1658247.0</v>
      </c>
      <c r="C6441" s="124" t="s">
        <v>13402</v>
      </c>
      <c r="D6441" s="125"/>
      <c r="E6441" s="126">
        <v>37.08</v>
      </c>
      <c r="F6441" s="127"/>
      <c r="G6441" s="127"/>
      <c r="H6441" s="127"/>
      <c r="I6441" s="128"/>
      <c r="K6441" s="105" t="str">
        <f>IFERROR(__xludf.DUMMYFUNCTION("if(A6441="""","""",substitute(SUBSTITUTE(index(importhtml(""http://finviz.com/quote.ashx?t=""&amp;A6441,""table"",10),7,2),""*"",""""),""-"",""0.00""))"),"Loading...")</f>
        <v>Loading...</v>
      </c>
      <c r="L6441" s="129">
        <v>2.476915941E9</v>
      </c>
      <c r="M6441" s="99">
        <v>0.58</v>
      </c>
    </row>
    <row r="6442">
      <c r="A6442" s="122" t="s">
        <v>13403</v>
      </c>
      <c r="B6442" s="123">
        <v>1438231.0</v>
      </c>
      <c r="C6442" s="124" t="s">
        <v>13404</v>
      </c>
      <c r="D6442" s="125"/>
      <c r="E6442" s="126">
        <v>37.18</v>
      </c>
      <c r="F6442" s="127"/>
      <c r="G6442" s="127"/>
      <c r="H6442" s="127"/>
      <c r="I6442" s="128"/>
      <c r="K6442" s="105" t="str">
        <f>IFERROR(__xludf.DUMMYFUNCTION("if(A6442="""","""",substitute(SUBSTITUTE(index(importhtml(""http://finviz.com/quote.ashx?t=""&amp;A6442,""table"",10),7,2),""*"",""""),""-"",""0.00""))"),"Loading...")</f>
        <v>Loading...</v>
      </c>
      <c r="L6442" s="129">
        <v>7.56905241E8</v>
      </c>
      <c r="M6442" s="99">
        <v>1.22</v>
      </c>
    </row>
    <row r="6443">
      <c r="A6443" s="122" t="s">
        <v>13405</v>
      </c>
      <c r="B6443" s="123">
        <v>1512920.0</v>
      </c>
      <c r="C6443" s="124" t="s">
        <v>13406</v>
      </c>
      <c r="D6443" s="125"/>
      <c r="E6443" s="126">
        <v>37.22</v>
      </c>
      <c r="F6443" s="127"/>
      <c r="G6443" s="127"/>
      <c r="H6443" s="127"/>
      <c r="I6443" s="128"/>
      <c r="K6443" s="105" t="str">
        <f>IFERROR(__xludf.DUMMYFUNCTION("if(A6443="""","""",substitute(SUBSTITUTE(index(importhtml(""http://finviz.com/quote.ashx?t=""&amp;A6443,""table"",10),7,2),""*"",""""),""-"",""0.00""))"),"Loading...")</f>
        <v>Loading...</v>
      </c>
      <c r="L6443" s="129">
        <v>1.29599695E9</v>
      </c>
      <c r="M6443" s="99">
        <v>1.47</v>
      </c>
    </row>
    <row r="6444">
      <c r="A6444" s="122" t="s">
        <v>13407</v>
      </c>
      <c r="B6444" s="123">
        <v>1739614.0</v>
      </c>
      <c r="C6444" s="124" t="s">
        <v>13408</v>
      </c>
      <c r="D6444" s="125"/>
      <c r="E6444" s="126">
        <v>37.27</v>
      </c>
      <c r="F6444" s="127"/>
      <c r="G6444" s="127"/>
      <c r="H6444" s="127"/>
      <c r="I6444" s="128"/>
      <c r="K6444" s="105" t="str">
        <f>IFERROR(__xludf.DUMMYFUNCTION("if(A6444="""","""",substitute(SUBSTITUTE(index(importhtml(""http://finviz.com/quote.ashx?t=""&amp;A6444,""table"",10),7,2),""*"",""""),""-"",""0.00""))"),"Loading...")</f>
        <v>Loading...</v>
      </c>
      <c r="L6444" s="129">
        <v>1.765780317E9</v>
      </c>
      <c r="M6444" s="99">
        <v>3.03</v>
      </c>
    </row>
    <row r="6445">
      <c r="A6445" s="122" t="s">
        <v>13409</v>
      </c>
      <c r="B6445" s="123">
        <v>1096752.0</v>
      </c>
      <c r="C6445" s="124" t="s">
        <v>13410</v>
      </c>
      <c r="D6445" s="125"/>
      <c r="E6445" s="126">
        <v>37.31</v>
      </c>
      <c r="F6445" s="127"/>
      <c r="G6445" s="127"/>
      <c r="H6445" s="127"/>
      <c r="I6445" s="128"/>
      <c r="K6445" s="55" t="s">
        <v>10827</v>
      </c>
      <c r="L6445" s="129">
        <v>1.878157997E9</v>
      </c>
      <c r="M6445" s="99">
        <v>0.96</v>
      </c>
    </row>
    <row r="6446">
      <c r="A6446" s="122" t="s">
        <v>13411</v>
      </c>
      <c r="B6446" s="123">
        <v>1578732.0</v>
      </c>
      <c r="C6446" s="124" t="s">
        <v>13412</v>
      </c>
      <c r="D6446" s="125"/>
      <c r="E6446" s="126">
        <v>37.32</v>
      </c>
      <c r="F6446" s="127"/>
      <c r="G6446" s="127"/>
      <c r="H6446" s="127"/>
      <c r="I6446" s="128"/>
      <c r="K6446" s="105" t="str">
        <f>IFERROR(__xludf.DUMMYFUNCTION("if(A6446="""","""",substitute(SUBSTITUTE(index(importhtml(""http://finviz.com/quote.ashx?t=""&amp;A6446,""table"",10),7,2),""*"",""""),""-"",""0.00""))"),"Loading...")</f>
        <v>Loading...</v>
      </c>
      <c r="L6446" s="129">
        <v>1.432511394E9</v>
      </c>
      <c r="M6446" s="99">
        <v>1.24</v>
      </c>
    </row>
    <row r="6447">
      <c r="A6447" s="122" t="s">
        <v>13413</v>
      </c>
      <c r="B6447" s="123">
        <v>1621563.0</v>
      </c>
      <c r="C6447" s="124" t="s">
        <v>13414</v>
      </c>
      <c r="D6447" s="125"/>
      <c r="E6447" s="126">
        <v>37.34</v>
      </c>
      <c r="F6447" s="127"/>
      <c r="G6447" s="127"/>
      <c r="H6447" s="127"/>
      <c r="I6447" s="128"/>
      <c r="K6447" s="105" t="str">
        <f>IFERROR(__xludf.DUMMYFUNCTION("if(A6447="""","""",substitute(SUBSTITUTE(index(importhtml(""http://finviz.com/quote.ashx?t=""&amp;A6447,""table"",10),7,2),""*"",""""),""-"",""0.00""))"),"Loading...")</f>
        <v>Loading...</v>
      </c>
      <c r="L6447" s="129">
        <v>6.5054159E9</v>
      </c>
      <c r="M6447" s="99">
        <v>1.31</v>
      </c>
    </row>
    <row r="6448">
      <c r="A6448" s="122" t="s">
        <v>13415</v>
      </c>
      <c r="B6448" s="123">
        <v>1384437.0</v>
      </c>
      <c r="C6448" s="124" t="s">
        <v>13416</v>
      </c>
      <c r="D6448" s="125"/>
      <c r="E6448" s="126">
        <v>37.4</v>
      </c>
      <c r="F6448" s="127"/>
      <c r="G6448" s="127"/>
      <c r="H6448" s="127"/>
      <c r="I6448" s="128"/>
      <c r="K6448" s="105" t="str">
        <f>IFERROR(__xludf.DUMMYFUNCTION("if(A6448="""","""",substitute(SUBSTITUTE(index(importhtml(""http://finviz.com/quote.ashx?t=""&amp;A6448,""table"",10),7,2),""*"",""""),""-"",""0.00""))"),"Loading...")</f>
        <v>Loading...</v>
      </c>
      <c r="L6448" s="129" t="e">
        <v>#N/A</v>
      </c>
      <c r="M6448" s="99">
        <v>-0.05</v>
      </c>
    </row>
    <row r="6449">
      <c r="A6449" s="122" t="s">
        <v>13417</v>
      </c>
      <c r="B6449" s="123">
        <v>891103.0</v>
      </c>
      <c r="C6449" s="124" t="s">
        <v>13418</v>
      </c>
      <c r="D6449" s="125"/>
      <c r="E6449" s="126">
        <v>37.42</v>
      </c>
      <c r="F6449" s="127"/>
      <c r="G6449" s="127"/>
      <c r="H6449" s="127"/>
      <c r="I6449" s="128"/>
      <c r="K6449" s="105" t="str">
        <f>IFERROR(__xludf.DUMMYFUNCTION("if(A6449="""","""",substitute(SUBSTITUTE(index(importhtml(""http://finviz.com/quote.ashx?t=""&amp;A6449,""table"",10),7,2),""*"",""""),""-"",""0.00""))"),"Loading...")</f>
        <v>Loading...</v>
      </c>
      <c r="L6449" s="129">
        <v>1.0171185832E10</v>
      </c>
      <c r="M6449" s="99">
        <v>1.52</v>
      </c>
    </row>
    <row r="6450">
      <c r="A6450" s="122" t="s">
        <v>13419</v>
      </c>
      <c r="B6450" s="123">
        <v>1552000.0</v>
      </c>
      <c r="C6450" s="124" t="s">
        <v>13420</v>
      </c>
      <c r="D6450" s="125"/>
      <c r="E6450" s="126">
        <v>37.43</v>
      </c>
      <c r="F6450" s="127"/>
      <c r="G6450" s="127"/>
      <c r="H6450" s="127"/>
      <c r="I6450" s="128"/>
      <c r="K6450" s="105" t="str">
        <f>IFERROR(__xludf.DUMMYFUNCTION("if(A6450="""","""",substitute(SUBSTITUTE(index(importhtml(""http://finviz.com/quote.ashx?t=""&amp;A6450,""table"",10),7,2),""*"",""""),""-"",""0.00""))"),"Loading...")</f>
        <v>Loading...</v>
      </c>
      <c r="L6450" s="129">
        <v>3.7475515185E10</v>
      </c>
      <c r="M6450" s="99">
        <v>1.34</v>
      </c>
    </row>
    <row r="6451">
      <c r="A6451" s="122" t="s">
        <v>13421</v>
      </c>
      <c r="B6451" s="123">
        <v>1547873.0</v>
      </c>
      <c r="C6451" s="124" t="s">
        <v>13422</v>
      </c>
      <c r="D6451" s="125"/>
      <c r="E6451" s="126">
        <v>37.45</v>
      </c>
      <c r="F6451" s="127"/>
      <c r="G6451" s="127"/>
      <c r="H6451" s="127"/>
      <c r="I6451" s="128"/>
      <c r="K6451" s="105" t="str">
        <f>IFERROR(__xludf.DUMMYFUNCTION("if(A6451="""","""",substitute(SUBSTITUTE(index(importhtml(""http://finviz.com/quote.ashx?t=""&amp;A6451,""table"",10),7,2),""*"",""""),""-"",""0.00""))"),"Loading...")</f>
        <v>Loading...</v>
      </c>
      <c r="L6451" s="129">
        <v>4.736506815E14</v>
      </c>
      <c r="M6451" s="99">
        <v>1.05</v>
      </c>
    </row>
    <row r="6452">
      <c r="A6452" s="122" t="s">
        <v>13423</v>
      </c>
      <c r="B6452" s="123">
        <v>868671.0</v>
      </c>
      <c r="C6452" s="124" t="s">
        <v>13424</v>
      </c>
      <c r="D6452" s="125"/>
      <c r="E6452" s="126">
        <v>37.48</v>
      </c>
      <c r="F6452" s="127"/>
      <c r="G6452" s="127"/>
      <c r="H6452" s="127"/>
      <c r="I6452" s="128"/>
      <c r="K6452" s="105" t="str">
        <f>IFERROR(__xludf.DUMMYFUNCTION("if(A6452="""","""",substitute(SUBSTITUTE(index(importhtml(""http://finviz.com/quote.ashx?t=""&amp;A6452,""table"",10),7,2),""*"",""""),""-"",""0.00""))"),"Loading...")</f>
        <v>Loading...</v>
      </c>
      <c r="L6452" s="129">
        <v>4.155872301E9</v>
      </c>
      <c r="M6452" s="99">
        <v>0.91</v>
      </c>
    </row>
    <row r="6453">
      <c r="A6453" s="122" t="s">
        <v>13425</v>
      </c>
      <c r="B6453" s="123">
        <v>1031029.0</v>
      </c>
      <c r="C6453" s="124" t="s">
        <v>13426</v>
      </c>
      <c r="D6453" s="125"/>
      <c r="E6453" s="126">
        <v>37.5</v>
      </c>
      <c r="F6453" s="127"/>
      <c r="G6453" s="127"/>
      <c r="H6453" s="127"/>
      <c r="I6453" s="128"/>
      <c r="K6453" s="105" t="str">
        <f>IFERROR(__xludf.DUMMYFUNCTION("if(A6453="""","""",substitute(SUBSTITUTE(index(importhtml(""http://finviz.com/quote.ashx?t=""&amp;A6453,""table"",10),7,2),""*"",""""),""-"",""0.00""))"),"Loading...")</f>
        <v>Loading...</v>
      </c>
      <c r="L6453" s="129">
        <v>8.348775E7</v>
      </c>
      <c r="M6453" s="99" t="str">
        <f>IFERROR(__xludf.DUMMYFUNCTION("GOOGLEFINANCE(A6453,""beta"")"),"#N/A")</f>
        <v>#N/A</v>
      </c>
    </row>
    <row r="6454">
      <c r="A6454" s="122" t="s">
        <v>13427</v>
      </c>
      <c r="B6454" s="123">
        <v>1159152.0</v>
      </c>
      <c r="C6454" s="124" t="s">
        <v>13428</v>
      </c>
      <c r="D6454" s="125"/>
      <c r="E6454" s="126">
        <v>37.6</v>
      </c>
      <c r="F6454" s="127"/>
      <c r="G6454" s="127"/>
      <c r="H6454" s="127"/>
      <c r="I6454" s="128"/>
      <c r="K6454" s="105" t="str">
        <f>IFERROR(__xludf.DUMMYFUNCTION("if(A6454="""","""",substitute(SUBSTITUTE(index(importhtml(""http://finviz.com/quote.ashx?t=""&amp;A6454,""table"",10),7,2),""*"",""""),""-"",""0.00""))"),"Loading...")</f>
        <v>Loading...</v>
      </c>
      <c r="L6454" s="129">
        <v>1.6831905604E10</v>
      </c>
      <c r="M6454" s="99" t="str">
        <f>IFERROR(__xludf.DUMMYFUNCTION("GOOGLEFINANCE(A6454,""beta"")"),"#N/A")</f>
        <v>#N/A</v>
      </c>
    </row>
    <row r="6455">
      <c r="A6455" s="122" t="s">
        <v>13429</v>
      </c>
      <c r="B6455" s="123">
        <v>1479094.0</v>
      </c>
      <c r="C6455" s="124" t="s">
        <v>13430</v>
      </c>
      <c r="D6455" s="125"/>
      <c r="E6455" s="126">
        <v>37.61</v>
      </c>
      <c r="F6455" s="127"/>
      <c r="G6455" s="127"/>
      <c r="H6455" s="127"/>
      <c r="I6455" s="128"/>
      <c r="K6455" s="105" t="str">
        <f>IFERROR(__xludf.DUMMYFUNCTION("if(A6455="""","""",substitute(SUBSTITUTE(index(importhtml(""http://finviz.com/quote.ashx?t=""&amp;A6455,""table"",10),7,2),""*"",""""),""-"",""0.00""))"),"Loading...")</f>
        <v>Loading...</v>
      </c>
      <c r="L6455" s="129">
        <v>6.828877898E9</v>
      </c>
      <c r="M6455" s="99">
        <v>1.03</v>
      </c>
    </row>
    <row r="6456">
      <c r="A6456" s="122" t="s">
        <v>13431</v>
      </c>
      <c r="B6456" s="123">
        <v>1637459.0</v>
      </c>
      <c r="C6456" s="124" t="s">
        <v>13432</v>
      </c>
      <c r="D6456" s="125"/>
      <c r="E6456" s="126">
        <v>37.65</v>
      </c>
      <c r="F6456" s="127"/>
      <c r="G6456" s="127"/>
      <c r="H6456" s="127"/>
      <c r="I6456" s="128"/>
      <c r="K6456" s="105" t="str">
        <f>IFERROR(__xludf.DUMMYFUNCTION("if(A6456="""","""",substitute(SUBSTITUTE(index(importhtml(""http://finviz.com/quote.ashx?t=""&amp;A6456,""table"",10),7,2),""*"",""""),""-"",""0.00""))"),"Loading...")</f>
        <v>Loading...</v>
      </c>
      <c r="L6456" s="129">
        <v>4.6179157571E10</v>
      </c>
      <c r="M6456" s="99">
        <v>0.65</v>
      </c>
    </row>
    <row r="6457">
      <c r="A6457" s="122" t="s">
        <v>13433</v>
      </c>
      <c r="B6457" s="123">
        <v>790526.0</v>
      </c>
      <c r="C6457" s="124" t="s">
        <v>13434</v>
      </c>
      <c r="D6457" s="125"/>
      <c r="E6457" s="126">
        <v>37.66</v>
      </c>
      <c r="F6457" s="127"/>
      <c r="G6457" s="127"/>
      <c r="H6457" s="127"/>
      <c r="I6457" s="128"/>
      <c r="K6457" s="105" t="str">
        <f>IFERROR(__xludf.DUMMYFUNCTION("if(A6457="""","""",substitute(SUBSTITUTE(index(importhtml(""http://finviz.com/quote.ashx?t=""&amp;A6457,""table"",10),7,2),""*"",""""),""-"",""0.00""))"),"Loading...")</f>
        <v>Loading...</v>
      </c>
      <c r="L6457" s="129">
        <v>2.556914768E9</v>
      </c>
      <c r="M6457" s="99">
        <v>1.67</v>
      </c>
    </row>
    <row r="6458">
      <c r="A6458" s="122" t="s">
        <v>13435</v>
      </c>
      <c r="B6458" s="123">
        <v>866729.0</v>
      </c>
      <c r="C6458" s="124" t="s">
        <v>13436</v>
      </c>
      <c r="D6458" s="125"/>
      <c r="E6458" s="126">
        <v>37.68</v>
      </c>
      <c r="F6458" s="127"/>
      <c r="G6458" s="127"/>
      <c r="H6458" s="127"/>
      <c r="I6458" s="128"/>
      <c r="K6458" s="105" t="str">
        <f>IFERROR(__xludf.DUMMYFUNCTION("if(A6458="""","""",substitute(SUBSTITUTE(index(importhtml(""http://finviz.com/quote.ashx?t=""&amp;A6458,""table"",10),7,2),""*"",""""),""-"",""0.00""))"),"#REF!")</f>
        <v>#REF!</v>
      </c>
      <c r="L6458" s="129">
        <v>1.125811715E9</v>
      </c>
      <c r="M6458" s="99">
        <v>1.06</v>
      </c>
    </row>
    <row r="6459">
      <c r="A6459" s="122" t="s">
        <v>13437</v>
      </c>
      <c r="B6459" s="123">
        <v>1618563.0</v>
      </c>
      <c r="C6459" s="124" t="s">
        <v>13438</v>
      </c>
      <c r="D6459" s="125"/>
      <c r="E6459" s="126">
        <v>37.68</v>
      </c>
      <c r="F6459" s="127"/>
      <c r="G6459" s="127"/>
      <c r="H6459" s="127"/>
      <c r="I6459" s="128"/>
      <c r="K6459" s="105" t="str">
        <f>IFERROR(__xludf.DUMMYFUNCTION("if(A6459="""","""",substitute(SUBSTITUTE(index(importhtml(""http://finviz.com/quote.ashx?t=""&amp;A6459,""table"",10),7,2),""*"",""""),""-"",""0.00""))"),"Loading...")</f>
        <v>Loading...</v>
      </c>
      <c r="L6459" s="129">
        <v>3.130470627E9</v>
      </c>
      <c r="M6459" s="99">
        <v>0.85</v>
      </c>
    </row>
    <row r="6460">
      <c r="A6460" s="122" t="s">
        <v>13439</v>
      </c>
      <c r="B6460" s="123">
        <v>907254.0</v>
      </c>
      <c r="C6460" s="124" t="s">
        <v>13440</v>
      </c>
      <c r="D6460" s="125"/>
      <c r="E6460" s="126">
        <v>37.71</v>
      </c>
      <c r="F6460" s="127"/>
      <c r="G6460" s="127"/>
      <c r="H6460" s="127"/>
      <c r="I6460" s="128"/>
      <c r="K6460" s="55" t="s">
        <v>13441</v>
      </c>
      <c r="L6460" s="129">
        <v>9.02921053E8</v>
      </c>
      <c r="M6460" s="99">
        <v>1.14</v>
      </c>
    </row>
    <row r="6461">
      <c r="A6461" s="122" t="s">
        <v>13442</v>
      </c>
      <c r="B6461" s="123">
        <v>1652535.0</v>
      </c>
      <c r="C6461" s="124" t="s">
        <v>13443</v>
      </c>
      <c r="D6461" s="125"/>
      <c r="E6461" s="126">
        <v>37.72</v>
      </c>
      <c r="F6461" s="127"/>
      <c r="G6461" s="127"/>
      <c r="H6461" s="127"/>
      <c r="I6461" s="128"/>
      <c r="K6461" s="105" t="str">
        <f>IFERROR(__xludf.DUMMYFUNCTION("if(A6461="""","""",substitute(SUBSTITUTE(index(importhtml(""http://finviz.com/quote.ashx?t=""&amp;A6461,""table"",10),7,2),""*"",""""),""-"",""0.00""))"),"Loading...")</f>
        <v>Loading...</v>
      </c>
      <c r="L6461" s="129">
        <v>1.108214767E9</v>
      </c>
      <c r="M6461" s="99">
        <v>2.01</v>
      </c>
    </row>
    <row r="6462">
      <c r="A6462" s="122" t="s">
        <v>13444</v>
      </c>
      <c r="B6462" s="123">
        <v>835403.0</v>
      </c>
      <c r="C6462" s="124" t="s">
        <v>13445</v>
      </c>
      <c r="D6462" s="125"/>
      <c r="E6462" s="126">
        <v>37.79</v>
      </c>
      <c r="F6462" s="127"/>
      <c r="G6462" s="127"/>
      <c r="H6462" s="127"/>
      <c r="I6462" s="128"/>
      <c r="K6462" s="105" t="str">
        <f>IFERROR(__xludf.DUMMYFUNCTION("if(A6462="""","""",substitute(SUBSTITUTE(index(importhtml(""http://finviz.com/quote.ashx?t=""&amp;A6462,""table"",10),7,2),""*"",""""),""-"",""0.00""))"),"Loading...")</f>
        <v>Loading...</v>
      </c>
      <c r="L6462" s="129">
        <v>8.2745425055E10</v>
      </c>
      <c r="M6462" s="99">
        <v>0.65</v>
      </c>
    </row>
    <row r="6463">
      <c r="A6463" s="122" t="s">
        <v>13446</v>
      </c>
      <c r="B6463" s="123">
        <v>717423.0</v>
      </c>
      <c r="C6463" s="124" t="s">
        <v>13447</v>
      </c>
      <c r="D6463" s="125"/>
      <c r="E6463" s="126">
        <v>37.82</v>
      </c>
      <c r="F6463" s="127"/>
      <c r="G6463" s="127"/>
      <c r="H6463" s="127"/>
      <c r="I6463" s="128"/>
      <c r="K6463" s="105" t="str">
        <f>IFERROR(__xludf.DUMMYFUNCTION("if(A6463="""","""",substitute(SUBSTITUTE(index(importhtml(""http://finviz.com/quote.ashx?t=""&amp;A6463,""table"",10),7,2),""*"",""""),""-"",""0.00""))"),"Loading...")</f>
        <v>Loading...</v>
      </c>
      <c r="L6463" s="129">
        <v>5.842172594E9</v>
      </c>
      <c r="M6463" s="99">
        <v>2.22</v>
      </c>
    </row>
    <row r="6464">
      <c r="A6464" s="122" t="s">
        <v>13448</v>
      </c>
      <c r="B6464" s="123">
        <v>46765.0</v>
      </c>
      <c r="C6464" s="124" t="s">
        <v>13449</v>
      </c>
      <c r="D6464" s="125"/>
      <c r="E6464" s="126">
        <v>37.83</v>
      </c>
      <c r="F6464" s="127"/>
      <c r="G6464" s="127"/>
      <c r="H6464" s="127"/>
      <c r="I6464" s="128"/>
      <c r="K6464" s="138" t="s">
        <v>13450</v>
      </c>
      <c r="L6464" s="129">
        <v>3.738608945E9</v>
      </c>
      <c r="M6464" s="99">
        <v>1.53</v>
      </c>
    </row>
    <row r="6465">
      <c r="A6465" s="122" t="s">
        <v>13451</v>
      </c>
      <c r="B6465" s="123">
        <v>1023459.0</v>
      </c>
      <c r="C6465" s="124" t="s">
        <v>13452</v>
      </c>
      <c r="D6465" s="125"/>
      <c r="E6465" s="126">
        <v>37.86</v>
      </c>
      <c r="F6465" s="127"/>
      <c r="G6465" s="127"/>
      <c r="H6465" s="127"/>
      <c r="I6465" s="128"/>
      <c r="K6465" s="105" t="str">
        <f>IFERROR(__xludf.DUMMYFUNCTION("if(A6465="""","""",substitute(SUBSTITUTE(index(importhtml(""http://finviz.com/quote.ashx?t=""&amp;A6465,""table"",10),7,2),""*"",""""),""-"",""0.00""))"),"Loading...")</f>
        <v>Loading...</v>
      </c>
      <c r="L6465" s="129">
        <v>7.55953282E8</v>
      </c>
      <c r="M6465" s="99">
        <v>0.72</v>
      </c>
    </row>
    <row r="6466">
      <c r="A6466" s="122" t="s">
        <v>13453</v>
      </c>
      <c r="B6466" s="123">
        <v>1702744.0</v>
      </c>
      <c r="C6466" s="124" t="s">
        <v>13454</v>
      </c>
      <c r="D6466" s="125"/>
      <c r="E6466" s="126">
        <v>37.88</v>
      </c>
      <c r="F6466" s="127"/>
      <c r="G6466" s="127"/>
      <c r="H6466" s="127"/>
      <c r="I6466" s="128"/>
      <c r="K6466" s="105" t="str">
        <f>IFERROR(__xludf.DUMMYFUNCTION("if(A6466="""","""",substitute(SUBSTITUTE(index(importhtml(""http://finviz.com/quote.ashx?t=""&amp;A6466,""table"",10),7,2),""*"",""""),""-"",""0.00""))"),"Loading...")</f>
        <v>Loading...</v>
      </c>
      <c r="L6466" s="129">
        <v>3.780897606E9</v>
      </c>
      <c r="M6466" s="99">
        <v>0.72</v>
      </c>
    </row>
    <row r="6467">
      <c r="A6467" s="122" t="s">
        <v>13455</v>
      </c>
      <c r="B6467" s="123">
        <v>1688757.0</v>
      </c>
      <c r="C6467" s="124" t="s">
        <v>13456</v>
      </c>
      <c r="D6467" s="125"/>
      <c r="E6467" s="126">
        <v>37.94</v>
      </c>
      <c r="F6467" s="127"/>
      <c r="G6467" s="127"/>
      <c r="H6467" s="127"/>
      <c r="I6467" s="128"/>
      <c r="K6467" s="105" t="str">
        <f>IFERROR(__xludf.DUMMYFUNCTION("if(A6467="""","""",substitute(SUBSTITUTE(index(importhtml(""http://finviz.com/quote.ashx?t=""&amp;A6467,""table"",10),7,2),""*"",""""),""-"",""0.00""))"),"Loading...")</f>
        <v>Loading...</v>
      </c>
      <c r="L6467" s="129">
        <v>1.03165951E9</v>
      </c>
      <c r="M6467" s="99">
        <v>1.19</v>
      </c>
    </row>
    <row r="6468">
      <c r="A6468" s="122" t="s">
        <v>13457</v>
      </c>
      <c r="B6468" s="123">
        <v>885245.0</v>
      </c>
      <c r="C6468" s="124" t="s">
        <v>13458</v>
      </c>
      <c r="D6468" s="125"/>
      <c r="E6468" s="126">
        <v>37.98</v>
      </c>
      <c r="F6468" s="127"/>
      <c r="G6468" s="127"/>
      <c r="H6468" s="127"/>
      <c r="I6468" s="128"/>
      <c r="K6468" s="55" t="s">
        <v>13459</v>
      </c>
      <c r="L6468" s="129">
        <v>1.915915509E9</v>
      </c>
      <c r="M6468" s="99">
        <v>1.28</v>
      </c>
    </row>
    <row r="6469">
      <c r="A6469" s="122" t="s">
        <v>13460</v>
      </c>
      <c r="B6469" s="123">
        <v>1333141.0</v>
      </c>
      <c r="C6469" s="124" t="s">
        <v>11286</v>
      </c>
      <c r="D6469" s="125"/>
      <c r="E6469" s="126">
        <v>38.0</v>
      </c>
      <c r="F6469" s="127"/>
      <c r="G6469" s="127"/>
      <c r="H6469" s="127"/>
      <c r="I6469" s="128"/>
      <c r="K6469" s="105" t="str">
        <f>IFERROR(__xludf.DUMMYFUNCTION("if(A6469="""","""",substitute(SUBSTITUTE(index(importhtml(""http://finviz.com/quote.ashx?t=""&amp;A6469,""table"",10),7,2),""*"",""""),""-"",""0.00""))"),"Loading...")</f>
        <v>Loading...</v>
      </c>
      <c r="L6469" s="129">
        <v>1.1204479263E10</v>
      </c>
      <c r="M6469" s="99">
        <v>1.06</v>
      </c>
    </row>
    <row r="6470">
      <c r="A6470" s="122" t="s">
        <v>13461</v>
      </c>
      <c r="B6470" s="123">
        <v>1071255.0</v>
      </c>
      <c r="C6470" s="124" t="s">
        <v>13462</v>
      </c>
      <c r="D6470" s="125"/>
      <c r="E6470" s="126">
        <v>38.05</v>
      </c>
      <c r="F6470" s="127"/>
      <c r="G6470" s="127"/>
      <c r="H6470" s="127"/>
      <c r="I6470" s="128"/>
      <c r="K6470" s="105" t="str">
        <f>IFERROR(__xludf.DUMMYFUNCTION("if(A6470="""","""",substitute(SUBSTITUTE(index(importhtml(""http://finviz.com/quote.ashx?t=""&amp;A6470,""table"",10),7,2),""*"",""""),""-"",""0.00""))"),"Loading...")</f>
        <v>Loading...</v>
      </c>
      <c r="L6470" s="129">
        <v>1.088860847E9</v>
      </c>
      <c r="M6470" s="99">
        <v>2.27</v>
      </c>
    </row>
    <row r="6471">
      <c r="A6471" s="122" t="s">
        <v>13463</v>
      </c>
      <c r="B6471" s="123">
        <v>18748.0</v>
      </c>
      <c r="C6471" s="124" t="s">
        <v>13464</v>
      </c>
      <c r="D6471" s="125"/>
      <c r="E6471" s="126">
        <v>38.14</v>
      </c>
      <c r="F6471" s="127"/>
      <c r="G6471" s="127"/>
      <c r="H6471" s="127"/>
      <c r="I6471" s="128"/>
      <c r="K6471" s="55" t="s">
        <v>9846</v>
      </c>
      <c r="L6471" s="129">
        <v>1.067018734E9</v>
      </c>
      <c r="M6471" s="99">
        <v>0.89</v>
      </c>
    </row>
    <row r="6472">
      <c r="A6472" s="122" t="s">
        <v>13465</v>
      </c>
      <c r="B6472" s="123">
        <v>1132924.0</v>
      </c>
      <c r="C6472" s="124" t="s">
        <v>13466</v>
      </c>
      <c r="D6472" s="125"/>
      <c r="E6472" s="126">
        <v>38.18</v>
      </c>
      <c r="F6472" s="127"/>
      <c r="G6472" s="127"/>
      <c r="H6472" s="127"/>
      <c r="I6472" s="128"/>
      <c r="K6472" s="55" t="s">
        <v>13378</v>
      </c>
      <c r="L6472" s="129">
        <v>2.982502884E10</v>
      </c>
      <c r="M6472" s="99">
        <v>0.18</v>
      </c>
    </row>
    <row r="6473">
      <c r="A6473" s="122" t="s">
        <v>13467</v>
      </c>
      <c r="B6473" s="123">
        <v>714562.0</v>
      </c>
      <c r="C6473" s="124" t="s">
        <v>13468</v>
      </c>
      <c r="D6473" s="125"/>
      <c r="E6473" s="126">
        <v>38.26</v>
      </c>
      <c r="F6473" s="127"/>
      <c r="G6473" s="127"/>
      <c r="H6473" s="127"/>
      <c r="I6473" s="128"/>
      <c r="K6473" s="105" t="str">
        <f>IFERROR(__xludf.DUMMYFUNCTION("if(A6473="""","""",substitute(SUBSTITUTE(index(importhtml(""http://finviz.com/quote.ashx?t=""&amp;A6473,""table"",10),7,2),""*"",""""),""-"",""0.00""))"),"Loading...")</f>
        <v>Loading...</v>
      </c>
      <c r="L6473" s="129">
        <v>4.49727915E8</v>
      </c>
      <c r="M6473" s="99">
        <v>0.53</v>
      </c>
    </row>
    <row r="6474">
      <c r="A6474" s="122" t="s">
        <v>13469</v>
      </c>
      <c r="B6474" s="123">
        <v>751978.0</v>
      </c>
      <c r="C6474" s="124" t="s">
        <v>13470</v>
      </c>
      <c r="D6474" s="125"/>
      <c r="E6474" s="126">
        <v>38.29</v>
      </c>
      <c r="F6474" s="127"/>
      <c r="G6474" s="127"/>
      <c r="H6474" s="127"/>
      <c r="I6474" s="128"/>
      <c r="K6474" s="105" t="str">
        <f>IFERROR(__xludf.DUMMYFUNCTION("if(A6474="""","""",substitute(SUBSTITUTE(index(importhtml(""http://finviz.com/quote.ashx?t=""&amp;A6474,""table"",10),7,2),""*"",""""),""-"",""0.00""))"),"Loading...")</f>
        <v>Loading...</v>
      </c>
      <c r="L6474" s="129">
        <v>1.702001261E9</v>
      </c>
      <c r="M6474" s="99">
        <v>1.52</v>
      </c>
    </row>
    <row r="6475">
      <c r="A6475" s="122" t="s">
        <v>13471</v>
      </c>
      <c r="B6475" s="123">
        <v>1124198.0</v>
      </c>
      <c r="C6475" s="124" t="s">
        <v>13472</v>
      </c>
      <c r="D6475" s="125"/>
      <c r="E6475" s="126">
        <v>38.3</v>
      </c>
      <c r="F6475" s="127"/>
      <c r="G6475" s="127"/>
      <c r="H6475" s="127"/>
      <c r="I6475" s="128"/>
      <c r="K6475" s="55" t="s">
        <v>10384</v>
      </c>
      <c r="L6475" s="129">
        <v>6.52536237E9</v>
      </c>
      <c r="M6475" s="99">
        <v>2.14</v>
      </c>
    </row>
    <row r="6476">
      <c r="A6476" s="122" t="s">
        <v>13473</v>
      </c>
      <c r="B6476" s="123">
        <v>1601548.0</v>
      </c>
      <c r="C6476" s="124" t="s">
        <v>13474</v>
      </c>
      <c r="D6476" s="125"/>
      <c r="E6476" s="126">
        <v>38.33</v>
      </c>
      <c r="F6476" s="127"/>
      <c r="G6476" s="127"/>
      <c r="H6476" s="127"/>
      <c r="I6476" s="128"/>
      <c r="K6476" s="105" t="str">
        <f>IFERROR(__xludf.DUMMYFUNCTION("if(A6476="""","""",substitute(SUBSTITUTE(index(importhtml(""http://finviz.com/quote.ashx?t=""&amp;A6476,""table"",10),7,2),""*"",""""),""-"",""0.00""))"),"Loading...")</f>
        <v>Loading...</v>
      </c>
      <c r="L6476" s="129">
        <v>1.222393E9</v>
      </c>
      <c r="M6476" s="99">
        <v>1.1</v>
      </c>
    </row>
    <row r="6477">
      <c r="A6477" s="122" t="s">
        <v>13475</v>
      </c>
      <c r="B6477" s="123">
        <v>1793497.0</v>
      </c>
      <c r="C6477" s="124" t="s">
        <v>13476</v>
      </c>
      <c r="D6477" s="125"/>
      <c r="E6477" s="126">
        <v>38.33</v>
      </c>
      <c r="F6477" s="127"/>
      <c r="G6477" s="127"/>
      <c r="H6477" s="127"/>
      <c r="I6477" s="128"/>
      <c r="K6477" s="105" t="str">
        <f>IFERROR(__xludf.DUMMYFUNCTION("if(A6477="""","""",substitute(SUBSTITUTE(index(importhtml(""http://finviz.com/quote.ashx?t=""&amp;A6477,""table"",10),7,2),""*"",""""),""-"",""0.00""))"),"Loading...")</f>
        <v>Loading...</v>
      </c>
      <c r="L6477" s="129" t="e">
        <v>#N/A</v>
      </c>
      <c r="M6477" s="99" t="str">
        <f>IFERROR(__xludf.DUMMYFUNCTION("GOOGLEFINANCE(A6477,""beta"")"),"#N/A")</f>
        <v>#N/A</v>
      </c>
    </row>
    <row r="6478">
      <c r="A6478" s="122" t="s">
        <v>13477</v>
      </c>
      <c r="B6478" s="123">
        <v>1588489.0</v>
      </c>
      <c r="C6478" s="124" t="s">
        <v>13478</v>
      </c>
      <c r="D6478" s="125"/>
      <c r="E6478" s="126">
        <v>38.34</v>
      </c>
      <c r="F6478" s="127"/>
      <c r="G6478" s="127"/>
      <c r="H6478" s="127"/>
      <c r="I6478" s="128"/>
      <c r="K6478" s="105" t="str">
        <f>IFERROR(__xludf.DUMMYFUNCTION("if(A6478="""","""",substitute(SUBSTITUTE(index(importhtml(""http://finviz.com/quote.ashx?t=""&amp;A6478,""table"",10),7,2),""*"",""""),""-"",""0.00""))"),"Loading...")</f>
        <v>Loading...</v>
      </c>
      <c r="L6478" s="129">
        <v>2.1114988284E10</v>
      </c>
      <c r="M6478" s="99" t="str">
        <f>IFERROR(__xludf.DUMMYFUNCTION("GOOGLEFINANCE(A6478,""beta"")"),"#N/A")</f>
        <v>#N/A</v>
      </c>
    </row>
    <row r="6479">
      <c r="A6479" s="122" t="s">
        <v>13479</v>
      </c>
      <c r="B6479" s="123">
        <v>1436425.0</v>
      </c>
      <c r="C6479" s="124" t="s">
        <v>13480</v>
      </c>
      <c r="D6479" s="125"/>
      <c r="E6479" s="126">
        <v>38.39</v>
      </c>
      <c r="F6479" s="127"/>
      <c r="G6479" s="127"/>
      <c r="H6479" s="127"/>
      <c r="I6479" s="128"/>
      <c r="K6479" s="105" t="str">
        <f>IFERROR(__xludf.DUMMYFUNCTION("if(A6479="""","""",substitute(SUBSTITUTE(index(importhtml(""http://finviz.com/quote.ashx?t=""&amp;A6479,""table"",10),7,2),""*"",""""),""-"",""0.00""))"),"Loading...")</f>
        <v>Loading...</v>
      </c>
      <c r="L6479" s="129">
        <v>3.13196402E8</v>
      </c>
      <c r="M6479" s="99">
        <v>0.69</v>
      </c>
    </row>
    <row r="6480">
      <c r="A6480" s="122" t="s">
        <v>13481</v>
      </c>
      <c r="B6480" s="123">
        <v>1278680.0</v>
      </c>
      <c r="C6480" s="124" t="s">
        <v>13482</v>
      </c>
      <c r="D6480" s="125"/>
      <c r="E6480" s="126">
        <v>38.51</v>
      </c>
      <c r="F6480" s="127"/>
      <c r="G6480" s="127"/>
      <c r="H6480" s="127"/>
      <c r="I6480" s="128"/>
      <c r="K6480" s="105" t="str">
        <f>IFERROR(__xludf.DUMMYFUNCTION("if(A6480="""","""",substitute(SUBSTITUTE(index(importhtml(""http://finviz.com/quote.ashx?t=""&amp;A6480,""table"",10),7,2),""*"",""""),""-"",""0.00""))"),"Loading...")</f>
        <v>Loading...</v>
      </c>
      <c r="L6480" s="129">
        <v>6.77034019E8</v>
      </c>
      <c r="M6480" s="99" t="str">
        <f>IFERROR(__xludf.DUMMYFUNCTION("GOOGLEFINANCE(A6480,""beta"")"),"#N/A")</f>
        <v>#N/A</v>
      </c>
    </row>
    <row r="6481">
      <c r="A6481" s="122" t="s">
        <v>13483</v>
      </c>
      <c r="B6481" s="123">
        <v>1546354.0</v>
      </c>
      <c r="C6481" s="124" t="s">
        <v>13484</v>
      </c>
      <c r="D6481" s="125"/>
      <c r="E6481" s="126">
        <v>38.57</v>
      </c>
      <c r="F6481" s="127"/>
      <c r="G6481" s="127"/>
      <c r="H6481" s="127"/>
      <c r="I6481" s="128"/>
      <c r="K6481" s="105" t="str">
        <f>IFERROR(__xludf.DUMMYFUNCTION("if(A6481="""","""",substitute(SUBSTITUTE(index(importhtml(""http://finviz.com/quote.ashx?t=""&amp;A6481,""table"",10),7,2),""*"",""""),""-"",""0.00""))"),"Loading...")</f>
        <v>Loading...</v>
      </c>
      <c r="L6481" s="129">
        <v>5.124785115E9</v>
      </c>
      <c r="M6481" s="99">
        <v>1.65</v>
      </c>
    </row>
    <row r="6482">
      <c r="A6482" s="122" t="s">
        <v>13485</v>
      </c>
      <c r="B6482" s="123">
        <v>880417.0</v>
      </c>
      <c r="C6482" s="124" t="s">
        <v>13486</v>
      </c>
      <c r="D6482" s="125"/>
      <c r="E6482" s="126">
        <v>38.6</v>
      </c>
      <c r="F6482" s="127"/>
      <c r="G6482" s="127"/>
      <c r="H6482" s="127"/>
      <c r="I6482" s="128"/>
      <c r="K6482" s="105" t="str">
        <f>IFERROR(__xludf.DUMMYFUNCTION("if(A6482="""","""",substitute(SUBSTITUTE(index(importhtml(""http://finviz.com/quote.ashx?t=""&amp;A6482,""table"",10),7,2),""*"",""""),""-"",""0.00""))"),"Loading...")</f>
        <v>Loading...</v>
      </c>
      <c r="L6482" s="129">
        <v>1.03059564E8</v>
      </c>
      <c r="M6482" s="99">
        <v>0.04</v>
      </c>
    </row>
    <row r="6483">
      <c r="A6483" s="122" t="s">
        <v>13487</v>
      </c>
      <c r="B6483" s="123">
        <v>1445475.0</v>
      </c>
      <c r="C6483" s="124" t="s">
        <v>13488</v>
      </c>
      <c r="D6483" s="125"/>
      <c r="E6483" s="126">
        <v>38.6</v>
      </c>
      <c r="F6483" s="127"/>
      <c r="G6483" s="127"/>
      <c r="H6483" s="127"/>
      <c r="I6483" s="128"/>
      <c r="K6483" s="105" t="str">
        <f>IFERROR(__xludf.DUMMYFUNCTION("if(A6483="""","""",substitute(SUBSTITUTE(index(importhtml(""http://finviz.com/quote.ashx?t=""&amp;A6483,""table"",10),7,2),""*"",""""),""-"",""0.00""))"),"Loading...")</f>
        <v>Loading...</v>
      </c>
      <c r="L6483" s="129">
        <v>1.2947693106E10</v>
      </c>
      <c r="M6483" s="99">
        <v>0.89</v>
      </c>
    </row>
    <row r="6484">
      <c r="A6484" s="122" t="s">
        <v>13489</v>
      </c>
      <c r="B6484" s="123">
        <v>1159152.0</v>
      </c>
      <c r="C6484" s="124" t="s">
        <v>13428</v>
      </c>
      <c r="D6484" s="125"/>
      <c r="E6484" s="126">
        <v>38.65</v>
      </c>
      <c r="F6484" s="127"/>
      <c r="G6484" s="127"/>
      <c r="H6484" s="127"/>
      <c r="I6484" s="128"/>
      <c r="K6484" s="105" t="str">
        <f>IFERROR(__xludf.DUMMYFUNCTION("if(A6484="""","""",substitute(SUBSTITUTE(index(importhtml(""http://finviz.com/quote.ashx?t=""&amp;A6484,""table"",10),7,2),""*"",""""),""-"",""0.00""))"),"Loading...")</f>
        <v>Loading...</v>
      </c>
      <c r="L6484" s="129">
        <v>1.6831905604E10</v>
      </c>
      <c r="M6484" s="99">
        <v>1.71</v>
      </c>
    </row>
    <row r="6485">
      <c r="A6485" s="122" t="s">
        <v>13490</v>
      </c>
      <c r="B6485" s="123">
        <v>1551467.0</v>
      </c>
      <c r="C6485" s="124" t="s">
        <v>13491</v>
      </c>
      <c r="D6485" s="125"/>
      <c r="E6485" s="126">
        <v>38.7</v>
      </c>
      <c r="F6485" s="127"/>
      <c r="G6485" s="127"/>
      <c r="H6485" s="127"/>
      <c r="I6485" s="128"/>
      <c r="K6485" s="105" t="str">
        <f>IFERROR(__xludf.DUMMYFUNCTION("if(A6485="""","""",substitute(SUBSTITUTE(index(importhtml(""http://finviz.com/quote.ashx?t=""&amp;A6485,""table"",10),7,2),""*"",""""),""-"",""0.00""))"),"Loading...")</f>
        <v>Loading...</v>
      </c>
      <c r="L6485" s="129">
        <v>1.5340062336E12</v>
      </c>
      <c r="M6485" s="99">
        <v>0.84</v>
      </c>
    </row>
    <row r="6486">
      <c r="A6486" s="122" t="s">
        <v>13492</v>
      </c>
      <c r="B6486" s="123">
        <v>1342874.0</v>
      </c>
      <c r="C6486" s="124" t="s">
        <v>13493</v>
      </c>
      <c r="D6486" s="125"/>
      <c r="E6486" s="126">
        <v>38.74</v>
      </c>
      <c r="F6486" s="127"/>
      <c r="G6486" s="127"/>
      <c r="H6486" s="127"/>
      <c r="I6486" s="128"/>
      <c r="K6486" s="55" t="s">
        <v>13494</v>
      </c>
      <c r="L6486" s="129">
        <v>7.604956753E9</v>
      </c>
      <c r="M6486" s="99">
        <v>1.61</v>
      </c>
    </row>
    <row r="6487">
      <c r="A6487" s="122" t="s">
        <v>13495</v>
      </c>
      <c r="B6487" s="123">
        <v>64996.0</v>
      </c>
      <c r="C6487" s="124" t="s">
        <v>13496</v>
      </c>
      <c r="D6487" s="125"/>
      <c r="E6487" s="126">
        <v>38.78</v>
      </c>
      <c r="F6487" s="127"/>
      <c r="G6487" s="127"/>
      <c r="H6487" s="127"/>
      <c r="I6487" s="128"/>
      <c r="K6487" s="105" t="str">
        <f>IFERROR(__xludf.DUMMYFUNCTION("if(A6487="""","""",substitute(SUBSTITUTE(index(importhtml(""http://finviz.com/quote.ashx?t=""&amp;A6487,""table"",10),7,2),""*"",""""),""-"",""0.00""))"),"Loading...")</f>
        <v>Loading...</v>
      </c>
      <c r="L6487" s="129">
        <v>2.147292353E9</v>
      </c>
      <c r="M6487" s="99">
        <v>0.75</v>
      </c>
    </row>
    <row r="6488">
      <c r="A6488" s="122" t="s">
        <v>13497</v>
      </c>
      <c r="B6488" s="123">
        <v>791963.0</v>
      </c>
      <c r="C6488" s="124" t="s">
        <v>13498</v>
      </c>
      <c r="D6488" s="125"/>
      <c r="E6488" s="126">
        <v>38.79</v>
      </c>
      <c r="F6488" s="127"/>
      <c r="G6488" s="127"/>
      <c r="H6488" s="127"/>
      <c r="I6488" s="128"/>
      <c r="K6488" s="105" t="str">
        <f>IFERROR(__xludf.DUMMYFUNCTION("if(A6488="""","""",substitute(SUBSTITUTE(index(importhtml(""http://finviz.com/quote.ashx?t=""&amp;A6488,""table"",10),7,2),""*"",""""),""-"",""0.00""))"),"Loading...")</f>
        <v>Loading...</v>
      </c>
      <c r="L6488" s="129">
        <v>3.94999311E8</v>
      </c>
      <c r="M6488" s="99">
        <v>1.16</v>
      </c>
    </row>
    <row r="6489">
      <c r="A6489" s="122" t="s">
        <v>13499</v>
      </c>
      <c r="B6489" s="123">
        <v>1732845.0</v>
      </c>
      <c r="C6489" s="124" t="s">
        <v>13500</v>
      </c>
      <c r="D6489" s="125"/>
      <c r="E6489" s="126">
        <v>38.83</v>
      </c>
      <c r="F6489" s="127"/>
      <c r="G6489" s="127"/>
      <c r="H6489" s="127"/>
      <c r="I6489" s="128"/>
      <c r="K6489" s="105" t="str">
        <f>IFERROR(__xludf.DUMMYFUNCTION("if(A6489="""","""",substitute(SUBSTITUTE(index(importhtml(""http://finviz.com/quote.ashx?t=""&amp;A6489,""table"",10),7,2),""*"",""""),""-"",""0.00""))"),"Loading...")</f>
        <v>Loading...</v>
      </c>
      <c r="L6489" s="129">
        <v>9.96019446E9</v>
      </c>
      <c r="M6489" s="99">
        <v>1.06</v>
      </c>
    </row>
    <row r="6490">
      <c r="A6490" s="122" t="s">
        <v>13501</v>
      </c>
      <c r="B6490" s="123">
        <v>1467858.0</v>
      </c>
      <c r="C6490" s="124" t="s">
        <v>13502</v>
      </c>
      <c r="D6490" s="125"/>
      <c r="E6490" s="126">
        <v>38.91</v>
      </c>
      <c r="F6490" s="127"/>
      <c r="G6490" s="127"/>
      <c r="H6490" s="127"/>
      <c r="I6490" s="128"/>
      <c r="K6490" s="138" t="s">
        <v>13503</v>
      </c>
      <c r="L6490" s="129">
        <v>4.4918987853E10</v>
      </c>
      <c r="M6490" s="99">
        <v>1.49</v>
      </c>
    </row>
    <row r="6491">
      <c r="A6491" s="122" t="s">
        <v>13504</v>
      </c>
      <c r="B6491" s="123">
        <v>1601712.0</v>
      </c>
      <c r="C6491" s="124" t="s">
        <v>13505</v>
      </c>
      <c r="D6491" s="125"/>
      <c r="E6491" s="126">
        <v>38.95</v>
      </c>
      <c r="F6491" s="127"/>
      <c r="G6491" s="127"/>
      <c r="H6491" s="127"/>
      <c r="I6491" s="128"/>
      <c r="K6491" s="105" t="str">
        <f>IFERROR(__xludf.DUMMYFUNCTION("if(A6491="""","""",substitute(SUBSTITUTE(index(importhtml(""http://finviz.com/quote.ashx?t=""&amp;A6491,""table"",10),7,2),""*"",""""),""-"",""0.00""))"),"Loading...")</f>
        <v>Loading...</v>
      </c>
      <c r="L6491" s="129">
        <v>1.584875531E10</v>
      </c>
      <c r="M6491" s="99">
        <v>1.62</v>
      </c>
    </row>
    <row r="6492">
      <c r="A6492" s="122" t="s">
        <v>13506</v>
      </c>
      <c r="B6492" s="123">
        <v>1450206.0</v>
      </c>
      <c r="C6492" s="124" t="s">
        <v>13197</v>
      </c>
      <c r="D6492" s="125"/>
      <c r="E6492" s="126">
        <v>38.96</v>
      </c>
      <c r="F6492" s="127"/>
      <c r="G6492" s="127"/>
      <c r="H6492" s="127"/>
      <c r="I6492" s="128"/>
      <c r="K6492" s="105" t="str">
        <f>IFERROR(__xludf.DUMMYFUNCTION("if(A6492="""","""",substitute(SUBSTITUTE(index(importhtml(""http://finviz.com/quote.ashx?t=""&amp;A6492,""table"",10),7,2),""*"",""""),""-"",""0.00""))"),"Loading...")</f>
        <v>Loading...</v>
      </c>
      <c r="L6492" s="129">
        <v>1.550577219E12</v>
      </c>
      <c r="M6492" s="99">
        <v>0.9</v>
      </c>
    </row>
    <row r="6493">
      <c r="A6493" s="122" t="s">
        <v>13507</v>
      </c>
      <c r="B6493" s="123">
        <v>1437958.0</v>
      </c>
      <c r="C6493" s="124" t="s">
        <v>13508</v>
      </c>
      <c r="D6493" s="125"/>
      <c r="E6493" s="126">
        <v>38.98</v>
      </c>
      <c r="F6493" s="127"/>
      <c r="G6493" s="127"/>
      <c r="H6493" s="127"/>
      <c r="I6493" s="128"/>
      <c r="K6493" s="55" t="s">
        <v>1034</v>
      </c>
      <c r="L6493" s="129">
        <v>5.18602777E8</v>
      </c>
      <c r="M6493" s="99">
        <v>1.19</v>
      </c>
    </row>
    <row r="6494">
      <c r="A6494" s="122" t="s">
        <v>13509</v>
      </c>
      <c r="B6494" s="123">
        <v>10456.0</v>
      </c>
      <c r="C6494" s="124" t="s">
        <v>13510</v>
      </c>
      <c r="D6494" s="125"/>
      <c r="E6494" s="126">
        <v>38.98</v>
      </c>
      <c r="F6494" s="127"/>
      <c r="G6494" s="127"/>
      <c r="H6494" s="127"/>
      <c r="I6494" s="128"/>
      <c r="K6494" s="55" t="s">
        <v>11122</v>
      </c>
      <c r="L6494" s="129">
        <v>1.9775469797E10</v>
      </c>
      <c r="M6494" s="99">
        <v>0.61</v>
      </c>
    </row>
    <row r="6495">
      <c r="A6495" s="122" t="s">
        <v>13511</v>
      </c>
      <c r="B6495" s="123">
        <v>1341170.0</v>
      </c>
      <c r="C6495" s="124" t="s">
        <v>13512</v>
      </c>
      <c r="D6495" s="125"/>
      <c r="E6495" s="126">
        <v>38.99</v>
      </c>
      <c r="F6495" s="127"/>
      <c r="G6495" s="127"/>
      <c r="H6495" s="127"/>
      <c r="I6495" s="128"/>
      <c r="K6495" s="105" t="str">
        <f>IFERROR(__xludf.DUMMYFUNCTION("if(A6495="""","""",substitute(SUBSTITUTE(index(importhtml(""http://finviz.com/quote.ashx?t=""&amp;A6495,""table"",10),7,2),""*"",""""),""-"",""0.00""))"),"Loading...")</f>
        <v>Loading...</v>
      </c>
      <c r="L6495" s="129">
        <v>2.71129882E8</v>
      </c>
      <c r="M6495" s="99">
        <v>0.88</v>
      </c>
    </row>
    <row r="6496">
      <c r="A6496" s="122" t="s">
        <v>13513</v>
      </c>
      <c r="B6496" s="123">
        <v>1541119.0</v>
      </c>
      <c r="C6496" s="124" t="s">
        <v>13514</v>
      </c>
      <c r="D6496" s="125"/>
      <c r="E6496" s="126">
        <v>39.0</v>
      </c>
      <c r="F6496" s="127"/>
      <c r="G6496" s="127"/>
      <c r="H6496" s="127"/>
      <c r="I6496" s="128"/>
      <c r="K6496" s="105" t="str">
        <f>IFERROR(__xludf.DUMMYFUNCTION("if(A6496="""","""",substitute(SUBSTITUTE(index(importhtml(""http://finviz.com/quote.ashx?t=""&amp;A6496,""table"",10),7,2),""*"",""""),""-"",""0.00""))"),"Loading...")</f>
        <v>Loading...</v>
      </c>
      <c r="L6496" s="129">
        <v>9.942791E7</v>
      </c>
      <c r="M6496" s="99">
        <v>0.64</v>
      </c>
    </row>
    <row r="6497">
      <c r="A6497" s="122" t="s">
        <v>13515</v>
      </c>
      <c r="B6497" s="123">
        <v>1835963.0</v>
      </c>
      <c r="C6497" s="124" t="s">
        <v>13516</v>
      </c>
      <c r="D6497" s="125"/>
      <c r="E6497" s="126">
        <v>39.07</v>
      </c>
      <c r="F6497" s="127"/>
      <c r="G6497" s="127"/>
      <c r="H6497" s="127"/>
      <c r="I6497" s="128"/>
      <c r="K6497" s="105" t="str">
        <f>IFERROR(__xludf.DUMMYFUNCTION("if(A6497="""","""",substitute(SUBSTITUTE(index(importhtml(""http://finviz.com/quote.ashx?t=""&amp;A6497,""table"",10),7,2),""*"",""""),""-"",""0.00""))"),"Loading...")</f>
        <v>Loading...</v>
      </c>
      <c r="L6497" s="129">
        <v>6.417384194E9</v>
      </c>
      <c r="M6497" s="99">
        <f>IFERROR(__xludf.DUMMYFUNCTION("GOOGLEFINANCE(A6497,""beta"")"),1.25)</f>
        <v>1.25</v>
      </c>
    </row>
    <row r="6498">
      <c r="A6498" s="122" t="s">
        <v>13517</v>
      </c>
      <c r="B6498" s="123">
        <v>1232384.0</v>
      </c>
      <c r="C6498" s="124" t="s">
        <v>13518</v>
      </c>
      <c r="D6498" s="125"/>
      <c r="E6498" s="126">
        <v>39.07</v>
      </c>
      <c r="F6498" s="127"/>
      <c r="G6498" s="127"/>
      <c r="H6498" s="127"/>
      <c r="I6498" s="128"/>
      <c r="K6498" s="105" t="str">
        <f>IFERROR(__xludf.DUMMYFUNCTION("if(A6498="""","""",substitute(SUBSTITUTE(index(importhtml(""http://finviz.com/quote.ashx?t=""&amp;A6498,""table"",10),7,2),""*"",""""),""-"",""0.00""))"),"Loading...")</f>
        <v>Loading...</v>
      </c>
      <c r="L6498" s="129">
        <v>4.0556027133E10</v>
      </c>
      <c r="M6498" s="99">
        <v>0.7</v>
      </c>
    </row>
    <row r="6499">
      <c r="A6499" s="122" t="s">
        <v>13519</v>
      </c>
      <c r="B6499" s="123">
        <v>1551306.0</v>
      </c>
      <c r="C6499" s="124" t="s">
        <v>13520</v>
      </c>
      <c r="D6499" s="125"/>
      <c r="E6499" s="126">
        <v>39.09</v>
      </c>
      <c r="F6499" s="127"/>
      <c r="G6499" s="127"/>
      <c r="H6499" s="127"/>
      <c r="I6499" s="128"/>
      <c r="K6499" s="105" t="str">
        <f>IFERROR(__xludf.DUMMYFUNCTION("if(A6499="""","""",substitute(SUBSTITUTE(index(importhtml(""http://finviz.com/quote.ashx?t=""&amp;A6499,""table"",10),7,2),""*"",""""),""-"",""0.00""))"),"Loading...")</f>
        <v>Loading...</v>
      </c>
      <c r="L6499" s="129">
        <v>3.746237854E9</v>
      </c>
      <c r="M6499" s="99">
        <v>1.51</v>
      </c>
    </row>
    <row r="6500">
      <c r="A6500" s="122" t="s">
        <v>13521</v>
      </c>
      <c r="B6500" s="123">
        <v>1220754.0</v>
      </c>
      <c r="C6500" s="124" t="s">
        <v>13522</v>
      </c>
      <c r="D6500" s="125"/>
      <c r="E6500" s="126">
        <v>39.13</v>
      </c>
      <c r="F6500" s="127"/>
      <c r="G6500" s="127"/>
      <c r="H6500" s="127"/>
      <c r="I6500" s="128"/>
      <c r="K6500" s="105" t="str">
        <f>IFERROR(__xludf.DUMMYFUNCTION("if(A6500="""","""",substitute(SUBSTITUTE(index(importhtml(""http://finviz.com/quote.ashx?t=""&amp;A6500,""table"",10),7,2),""*"",""""),""-"",""0.00""))"),"Loading...")</f>
        <v>Loading...</v>
      </c>
      <c r="L6500" s="129">
        <v>5.55123629E8</v>
      </c>
      <c r="M6500" s="99">
        <v>0.54</v>
      </c>
    </row>
    <row r="6501">
      <c r="A6501" s="122" t="s">
        <v>13523</v>
      </c>
      <c r="B6501" s="123">
        <v>1018963.0</v>
      </c>
      <c r="C6501" s="124" t="s">
        <v>13524</v>
      </c>
      <c r="D6501" s="125"/>
      <c r="E6501" s="126">
        <v>39.15</v>
      </c>
      <c r="F6501" s="127"/>
      <c r="G6501" s="127"/>
      <c r="H6501" s="127"/>
      <c r="I6501" s="128"/>
      <c r="K6501" s="55" t="s">
        <v>1034</v>
      </c>
      <c r="L6501" s="129">
        <v>4.994647574E9</v>
      </c>
      <c r="M6501" s="99">
        <v>1.18</v>
      </c>
    </row>
    <row r="6502">
      <c r="A6502" s="122" t="s">
        <v>13525</v>
      </c>
      <c r="B6502" s="123">
        <v>1831828.0</v>
      </c>
      <c r="C6502" s="124" t="s">
        <v>13526</v>
      </c>
      <c r="D6502" s="125"/>
      <c r="E6502" s="126">
        <v>39.15</v>
      </c>
      <c r="F6502" s="127"/>
      <c r="G6502" s="127"/>
      <c r="H6502" s="127"/>
      <c r="I6502" s="128"/>
      <c r="K6502" s="105" t="str">
        <f>IFERROR(__xludf.DUMMYFUNCTION("if(A6502="""","""",substitute(SUBSTITUTE(index(importhtml(""http://finviz.com/quote.ashx?t=""&amp;A6502,""table"",10),7,2),""*"",""""),""-"",""0.00""))"),"Loading...")</f>
        <v>Loading...</v>
      </c>
      <c r="L6502" s="129">
        <v>2.320387772E9</v>
      </c>
      <c r="M6502" s="99">
        <f>IFERROR(__xludf.DUMMYFUNCTION("GOOGLEFINANCE(A6502,""beta"")"),1.22)</f>
        <v>1.22</v>
      </c>
    </row>
    <row r="6503">
      <c r="A6503" s="122" t="s">
        <v>13527</v>
      </c>
      <c r="B6503" s="123">
        <v>918965.0</v>
      </c>
      <c r="C6503" s="124" t="s">
        <v>13528</v>
      </c>
      <c r="D6503" s="125"/>
      <c r="E6503" s="126">
        <v>39.21</v>
      </c>
      <c r="F6503" s="127"/>
      <c r="G6503" s="127"/>
      <c r="H6503" s="127"/>
      <c r="I6503" s="128"/>
      <c r="K6503" s="105" t="str">
        <f>IFERROR(__xludf.DUMMYFUNCTION("if(A6503="""","""",substitute(SUBSTITUTE(index(importhtml(""http://finviz.com/quote.ashx?t=""&amp;A6503,""table"",10),7,2),""*"",""""),""-"",""0.00""))"),"Loading...")</f>
        <v>Loading...</v>
      </c>
      <c r="L6503" s="129">
        <v>9.85132014E8</v>
      </c>
      <c r="M6503" s="99">
        <v>1.5</v>
      </c>
    </row>
    <row r="6504">
      <c r="A6504" s="122" t="s">
        <v>13529</v>
      </c>
      <c r="B6504" s="123">
        <v>1042729.0</v>
      </c>
      <c r="C6504" s="124" t="s">
        <v>13530</v>
      </c>
      <c r="D6504" s="125"/>
      <c r="E6504" s="126">
        <v>39.35</v>
      </c>
      <c r="F6504" s="127"/>
      <c r="G6504" s="127"/>
      <c r="H6504" s="127"/>
      <c r="I6504" s="128"/>
      <c r="K6504" s="105" t="str">
        <f>IFERROR(__xludf.DUMMYFUNCTION("if(A6504="""","""",substitute(SUBSTITUTE(index(importhtml(""http://finviz.com/quote.ashx?t=""&amp;A6504,""table"",10),7,2),""*"",""""),""-"",""0.00""))"),"Loading...")</f>
        <v>Loading...</v>
      </c>
      <c r="L6504" s="129">
        <v>6.30566018E8</v>
      </c>
      <c r="M6504" s="99">
        <v>1.0</v>
      </c>
    </row>
    <row r="6505">
      <c r="A6505" s="122" t="s">
        <v>13531</v>
      </c>
      <c r="B6505" s="123">
        <v>1089113.0</v>
      </c>
      <c r="C6505" s="124" t="s">
        <v>7517</v>
      </c>
      <c r="D6505" s="125"/>
      <c r="E6505" s="126">
        <v>39.35</v>
      </c>
      <c r="F6505" s="127"/>
      <c r="G6505" s="127"/>
      <c r="H6505" s="127"/>
      <c r="I6505" s="128"/>
      <c r="K6505" s="105" t="str">
        <f>IFERROR(__xludf.DUMMYFUNCTION("if(A6505="""","""",substitute(SUBSTITUTE(index(importhtml(""http://finviz.com/quote.ashx?t=""&amp;A6505,""table"",10),7,2),""*"",""""),""-"",""0.00""))"),"Loading...")</f>
        <v>Loading...</v>
      </c>
      <c r="L6505" s="129">
        <v>1.48228729102E11</v>
      </c>
      <c r="M6505" s="99">
        <v>0.6</v>
      </c>
    </row>
    <row r="6506">
      <c r="A6506" s="122" t="s">
        <v>13532</v>
      </c>
      <c r="B6506" s="123">
        <v>718940.0</v>
      </c>
      <c r="C6506" s="124" t="s">
        <v>13533</v>
      </c>
      <c r="D6506" s="125"/>
      <c r="E6506" s="126">
        <v>39.55</v>
      </c>
      <c r="F6506" s="127"/>
      <c r="G6506" s="127"/>
      <c r="H6506" s="127"/>
      <c r="I6506" s="128"/>
      <c r="K6506" s="55" t="s">
        <v>13534</v>
      </c>
      <c r="L6506" s="129">
        <v>3.6084553158E10</v>
      </c>
      <c r="M6506" s="99">
        <v>0.58</v>
      </c>
    </row>
    <row r="6507">
      <c r="A6507" s="122" t="s">
        <v>13535</v>
      </c>
      <c r="B6507" s="123">
        <v>109380.0</v>
      </c>
      <c r="C6507" s="124" t="s">
        <v>13536</v>
      </c>
      <c r="D6507" s="125"/>
      <c r="E6507" s="126">
        <v>39.65</v>
      </c>
      <c r="F6507" s="127"/>
      <c r="G6507" s="127"/>
      <c r="H6507" s="127"/>
      <c r="I6507" s="128"/>
      <c r="K6507" s="105" t="str">
        <f>IFERROR(__xludf.DUMMYFUNCTION("if(A6507="""","""",substitute(SUBSTITUTE(index(importhtml(""http://finviz.com/quote.ashx?t=""&amp;A6507,""table"",10),7,2),""*"",""""),""-"",""0.00""))"),"Loading...")</f>
        <v>Loading...</v>
      </c>
      <c r="L6507" s="129">
        <v>5.874096181E9</v>
      </c>
      <c r="M6507" s="99">
        <v>1.15</v>
      </c>
    </row>
    <row r="6508">
      <c r="A6508" s="122" t="s">
        <v>13537</v>
      </c>
      <c r="B6508" s="123">
        <v>886986.0</v>
      </c>
      <c r="C6508" s="124" t="s">
        <v>13538</v>
      </c>
      <c r="D6508" s="125"/>
      <c r="E6508" s="126">
        <v>39.71</v>
      </c>
      <c r="F6508" s="127"/>
      <c r="G6508" s="127"/>
      <c r="H6508" s="127"/>
      <c r="I6508" s="128"/>
      <c r="K6508" s="105" t="str">
        <f>IFERROR(__xludf.DUMMYFUNCTION("if(A6508="""","""",substitute(SUBSTITUTE(index(importhtml(""http://finviz.com/quote.ashx?t=""&amp;A6508,""table"",10),7,2),""*"",""""),""-"",""0.00""))"),"Loading...")</f>
        <v>Loading...</v>
      </c>
      <c r="L6508" s="129">
        <v>2.0648941408E10</v>
      </c>
      <c r="M6508" s="99">
        <v>1.15</v>
      </c>
    </row>
    <row r="6509">
      <c r="A6509" s="122" t="s">
        <v>13539</v>
      </c>
      <c r="B6509" s="123">
        <v>1506293.0</v>
      </c>
      <c r="C6509" s="124" t="s">
        <v>13540</v>
      </c>
      <c r="D6509" s="125"/>
      <c r="E6509" s="126">
        <v>39.75</v>
      </c>
      <c r="F6509" s="127"/>
      <c r="G6509" s="127"/>
      <c r="H6509" s="127"/>
      <c r="I6509" s="128"/>
      <c r="K6509" s="105" t="str">
        <f>IFERROR(__xludf.DUMMYFUNCTION("if(A6509="""","""",substitute(SUBSTITUTE(index(importhtml(""http://finviz.com/quote.ashx?t=""&amp;A6509,""table"",10),7,2),""*"",""""),""-"",""0.00""))"),"Loading...")</f>
        <v>Loading...</v>
      </c>
      <c r="L6509" s="129">
        <v>2.68057464E10</v>
      </c>
      <c r="M6509" s="99">
        <v>1.02</v>
      </c>
    </row>
    <row r="6510">
      <c r="A6510" s="122" t="s">
        <v>13541</v>
      </c>
      <c r="B6510" s="123">
        <v>1090633.0</v>
      </c>
      <c r="C6510" s="124" t="s">
        <v>11468</v>
      </c>
      <c r="D6510" s="125"/>
      <c r="E6510" s="126">
        <v>39.78</v>
      </c>
      <c r="F6510" s="127"/>
      <c r="G6510" s="127"/>
      <c r="H6510" s="127"/>
      <c r="I6510" s="128"/>
      <c r="K6510" s="105" t="str">
        <f>IFERROR(__xludf.DUMMYFUNCTION("if(A6510="""","""",substitute(SUBSTITUTE(index(importhtml(""http://finviz.com/quote.ashx?t=""&amp;A6510,""table"",10),7,2),""*"",""""),""-"",""0.00""))"),"Loading...")</f>
        <v>Loading...</v>
      </c>
      <c r="L6510" s="129">
        <v>3.645414026E9</v>
      </c>
      <c r="M6510" s="99" t="str">
        <f>IFERROR(__xludf.DUMMYFUNCTION("GOOGLEFINANCE(A6510,""beta"")"),"#N/A")</f>
        <v>#N/A</v>
      </c>
    </row>
    <row r="6511">
      <c r="A6511" s="122" t="s">
        <v>13542</v>
      </c>
      <c r="B6511" s="123">
        <v>1471302.0</v>
      </c>
      <c r="C6511" s="124" t="s">
        <v>13543</v>
      </c>
      <c r="D6511" s="125"/>
      <c r="E6511" s="126">
        <v>39.87</v>
      </c>
      <c r="F6511" s="127"/>
      <c r="G6511" s="127"/>
      <c r="H6511" s="127"/>
      <c r="I6511" s="128"/>
      <c r="K6511" s="105" t="str">
        <f>IFERROR(__xludf.DUMMYFUNCTION("if(A6511="""","""",substitute(SUBSTITUTE(index(importhtml(""http://finviz.com/quote.ashx?t=""&amp;A6511,""table"",10),7,2),""*"",""""),""-"",""0.00""))"),"Loading...")</f>
        <v>Loading...</v>
      </c>
      <c r="L6511" s="129">
        <v>2.066179944E9</v>
      </c>
      <c r="M6511" s="99" t="str">
        <f>IFERROR(__xludf.DUMMYFUNCTION("GOOGLEFINANCE(A6511,""beta"")"),"#N/A")</f>
        <v>#N/A</v>
      </c>
    </row>
    <row r="6512">
      <c r="A6512" s="122" t="s">
        <v>13544</v>
      </c>
      <c r="B6512" s="123">
        <v>733590.0</v>
      </c>
      <c r="C6512" s="124" t="s">
        <v>13545</v>
      </c>
      <c r="D6512" s="125"/>
      <c r="E6512" s="126">
        <v>39.89</v>
      </c>
      <c r="F6512" s="127"/>
      <c r="G6512" s="127"/>
      <c r="H6512" s="127"/>
      <c r="I6512" s="128"/>
      <c r="K6512" s="105" t="str">
        <f>IFERROR(__xludf.DUMMYFUNCTION("if(A6512="""","""",substitute(SUBSTITUTE(index(importhtml(""http://finviz.com/quote.ashx?t=""&amp;A6512,""table"",10),7,2),""*"",""""),""-"",""0.00""))"),"Loading...")</f>
        <v>Loading...</v>
      </c>
      <c r="L6512" s="129">
        <v>3.4462227E8</v>
      </c>
      <c r="M6512" s="99">
        <v>0.55</v>
      </c>
    </row>
    <row r="6513">
      <c r="A6513" s="122" t="s">
        <v>13546</v>
      </c>
      <c r="B6513" s="123">
        <v>1005229.0</v>
      </c>
      <c r="C6513" s="124" t="s">
        <v>13547</v>
      </c>
      <c r="D6513" s="125"/>
      <c r="E6513" s="126">
        <v>39.93</v>
      </c>
      <c r="F6513" s="127"/>
      <c r="G6513" s="127"/>
      <c r="H6513" s="127"/>
      <c r="I6513" s="128"/>
      <c r="K6513" s="105" t="str">
        <f>IFERROR(__xludf.DUMMYFUNCTION("if(A6513="""","""",substitute(SUBSTITUTE(index(importhtml(""http://finviz.com/quote.ashx?t=""&amp;A6513,""table"",10),7,2),""*"",""""),""-"",""0.00""))"),"Loading...")</f>
        <v>Loading...</v>
      </c>
      <c r="L6513" s="129">
        <v>1.14822589E9</v>
      </c>
      <c r="M6513" s="99">
        <v>1.28</v>
      </c>
    </row>
    <row r="6514">
      <c r="A6514" s="122" t="s">
        <v>13548</v>
      </c>
      <c r="B6514" s="123">
        <v>793074.0</v>
      </c>
      <c r="C6514" s="124" t="s">
        <v>13549</v>
      </c>
      <c r="D6514" s="125"/>
      <c r="E6514" s="126">
        <v>39.95</v>
      </c>
      <c r="F6514" s="127"/>
      <c r="G6514" s="127"/>
      <c r="H6514" s="127"/>
      <c r="I6514" s="128"/>
      <c r="K6514" s="105" t="str">
        <f>IFERROR(__xludf.DUMMYFUNCTION("if(A6514="""","""",substitute(SUBSTITUTE(index(importhtml(""http://finviz.com/quote.ashx?t=""&amp;A6514,""table"",10),7,2),""*"",""""),""-"",""0.00""))"),"Loading...")</f>
        <v>Loading...</v>
      </c>
      <c r="L6514" s="129">
        <v>2.532627501E9</v>
      </c>
      <c r="M6514" s="99">
        <v>0.8</v>
      </c>
    </row>
    <row r="6515">
      <c r="A6515" s="122" t="s">
        <v>13550</v>
      </c>
      <c r="B6515" s="123">
        <v>27904.0</v>
      </c>
      <c r="C6515" s="124" t="s">
        <v>13551</v>
      </c>
      <c r="D6515" s="125"/>
      <c r="E6515" s="126">
        <v>39.98</v>
      </c>
      <c r="F6515" s="127"/>
      <c r="G6515" s="127"/>
      <c r="H6515" s="127"/>
      <c r="I6515" s="128"/>
      <c r="K6515" s="55" t="s">
        <v>5279</v>
      </c>
      <c r="L6515" s="129">
        <v>2.5725670435E10</v>
      </c>
      <c r="M6515" s="99">
        <v>1.42</v>
      </c>
    </row>
    <row r="6516">
      <c r="A6516" s="122" t="s">
        <v>13552</v>
      </c>
      <c r="B6516" s="123">
        <v>1666175.0</v>
      </c>
      <c r="C6516" s="124" t="s">
        <v>13553</v>
      </c>
      <c r="D6516" s="125"/>
      <c r="E6516" s="126">
        <v>40.0</v>
      </c>
      <c r="F6516" s="127"/>
      <c r="G6516" s="127"/>
      <c r="H6516" s="127"/>
      <c r="I6516" s="128"/>
      <c r="K6516" s="55" t="s">
        <v>13204</v>
      </c>
      <c r="L6516" s="129">
        <v>2.6314271629E10</v>
      </c>
      <c r="M6516" s="99">
        <v>0.44</v>
      </c>
    </row>
    <row r="6517">
      <c r="A6517" s="122" t="s">
        <v>13554</v>
      </c>
      <c r="B6517" s="123">
        <v>863110.0</v>
      </c>
      <c r="C6517" s="124" t="s">
        <v>13555</v>
      </c>
      <c r="D6517" s="125"/>
      <c r="E6517" s="126">
        <v>40.0</v>
      </c>
      <c r="F6517" s="127"/>
      <c r="G6517" s="127"/>
      <c r="H6517" s="127"/>
      <c r="I6517" s="128"/>
      <c r="K6517" s="105" t="str">
        <f>IFERROR(__xludf.DUMMYFUNCTION("if(A6517="""","""",substitute(SUBSTITUTE(index(importhtml(""http://finviz.com/quote.ashx?t=""&amp;A6517,""table"",10),7,2),""*"",""""),""-"",""0.00""))"),"Loading...")</f>
        <v>Loading...</v>
      </c>
      <c r="L6517" s="129">
        <v>3.73598162E8</v>
      </c>
      <c r="M6517" s="99">
        <v>0.1</v>
      </c>
    </row>
    <row r="6518">
      <c r="A6518" s="122" t="s">
        <v>13556</v>
      </c>
      <c r="B6518" s="123">
        <v>1116132.0</v>
      </c>
      <c r="C6518" s="124" t="s">
        <v>13557</v>
      </c>
      <c r="D6518" s="125"/>
      <c r="E6518" s="126">
        <v>40.01</v>
      </c>
      <c r="F6518" s="127"/>
      <c r="G6518" s="127"/>
      <c r="H6518" s="127"/>
      <c r="I6518" s="128"/>
      <c r="K6518" s="105" t="str">
        <f>IFERROR(__xludf.DUMMYFUNCTION("if(A6518="""","""",substitute(SUBSTITUTE(index(importhtml(""http://finviz.com/quote.ashx?t=""&amp;A6518,""table"",10),7,2),""*"",""""),""-"",""0.00""))"),"Loading...")</f>
        <v>Loading...</v>
      </c>
      <c r="L6518" s="129">
        <v>9.169747479E9</v>
      </c>
      <c r="M6518" s="99">
        <v>1.51</v>
      </c>
    </row>
    <row r="6519">
      <c r="A6519" s="122" t="s">
        <v>13558</v>
      </c>
      <c r="B6519" s="123">
        <v>861842.0</v>
      </c>
      <c r="C6519" s="124" t="s">
        <v>13559</v>
      </c>
      <c r="D6519" s="125"/>
      <c r="E6519" s="126">
        <v>40.09</v>
      </c>
      <c r="F6519" s="127"/>
      <c r="G6519" s="127"/>
      <c r="H6519" s="127"/>
      <c r="I6519" s="128"/>
      <c r="K6519" s="105" t="str">
        <f>IFERROR(__xludf.DUMMYFUNCTION("if(A6519="""","""",substitute(SUBSTITUTE(index(importhtml(""http://finviz.com/quote.ashx?t=""&amp;A6519,""table"",10),7,2),""*"",""""),""-"",""0.00""))"),"Loading...")</f>
        <v>Loading...</v>
      </c>
      <c r="L6519" s="129">
        <v>2.912492407E9</v>
      </c>
      <c r="M6519" s="99">
        <v>1.15</v>
      </c>
    </row>
    <row r="6520">
      <c r="A6520" s="122" t="s">
        <v>13560</v>
      </c>
      <c r="B6520" s="123">
        <v>831259.0</v>
      </c>
      <c r="C6520" s="124" t="s">
        <v>13561</v>
      </c>
      <c r="D6520" s="125"/>
      <c r="E6520" s="126">
        <v>40.1</v>
      </c>
      <c r="F6520" s="127"/>
      <c r="G6520" s="127"/>
      <c r="H6520" s="127"/>
      <c r="I6520" s="128"/>
      <c r="K6520" s="55" t="s">
        <v>7827</v>
      </c>
      <c r="L6520" s="129">
        <v>5.7502475511E10</v>
      </c>
      <c r="M6520" s="99">
        <v>2.06</v>
      </c>
    </row>
    <row r="6521">
      <c r="A6521" s="122" t="s">
        <v>13562</v>
      </c>
      <c r="B6521" s="123">
        <v>1049183.0</v>
      </c>
      <c r="C6521" s="124" t="s">
        <v>13563</v>
      </c>
      <c r="D6521" s="125"/>
      <c r="E6521" s="126">
        <v>40.1</v>
      </c>
      <c r="F6521" s="127"/>
      <c r="G6521" s="127"/>
      <c r="H6521" s="127"/>
      <c r="I6521" s="128"/>
      <c r="K6521" s="105" t="str">
        <f>IFERROR(__xludf.DUMMYFUNCTION("if(A6521="""","""",substitute(SUBSTITUTE(index(importhtml(""http://finviz.com/quote.ashx?t=""&amp;A6521,""table"",10),7,2),""*"",""""),""-"",""0.00""))"),"Loading...")</f>
        <v>Loading...</v>
      </c>
      <c r="L6521" s="129">
        <v>9.097908011E9</v>
      </c>
      <c r="M6521" s="99">
        <v>1.29</v>
      </c>
    </row>
    <row r="6522">
      <c r="A6522" s="122" t="s">
        <v>13564</v>
      </c>
      <c r="B6522" s="123">
        <v>1355096.0</v>
      </c>
      <c r="C6522" s="124" t="s">
        <v>13565</v>
      </c>
      <c r="D6522" s="125"/>
      <c r="E6522" s="126">
        <v>40.15</v>
      </c>
      <c r="F6522" s="127"/>
      <c r="G6522" s="127"/>
      <c r="H6522" s="127"/>
      <c r="I6522" s="128"/>
      <c r="K6522" s="105" t="str">
        <f>IFERROR(__xludf.DUMMYFUNCTION("if(A6522="""","""",substitute(SUBSTITUTE(index(importhtml(""http://finviz.com/quote.ashx?t=""&amp;A6522,""table"",10),7,2),""*"",""""),""-"",""0.00""))"),"Loading...")</f>
        <v>Loading...</v>
      </c>
      <c r="L6522" s="129">
        <v>3.70935515E8</v>
      </c>
      <c r="M6522" s="99">
        <v>1.2</v>
      </c>
    </row>
    <row r="6523">
      <c r="A6523" s="122" t="s">
        <v>13566</v>
      </c>
      <c r="B6523" s="123">
        <v>1560385.0</v>
      </c>
      <c r="C6523" s="124" t="s">
        <v>13567</v>
      </c>
      <c r="D6523" s="125"/>
      <c r="E6523" s="126">
        <v>40.17</v>
      </c>
      <c r="F6523" s="127"/>
      <c r="G6523" s="127"/>
      <c r="H6523" s="127"/>
      <c r="I6523" s="128"/>
      <c r="K6523" s="105" t="str">
        <f>IFERROR(__xludf.DUMMYFUNCTION("if(A6523="""","""",substitute(SUBSTITUTE(index(importhtml(""http://finviz.com/quote.ashx?t=""&amp;A6523,""table"",10),7,2),""*"",""""),""-"",""0.00""))"),"Loading...")</f>
        <v>Loading...</v>
      </c>
      <c r="L6523" s="129">
        <v>2.509563272E9</v>
      </c>
      <c r="M6523" s="99">
        <v>0.96</v>
      </c>
    </row>
    <row r="6524">
      <c r="A6524" s="122" t="s">
        <v>13568</v>
      </c>
      <c r="B6524" s="123">
        <v>917520.0</v>
      </c>
      <c r="C6524" s="124" t="s">
        <v>13569</v>
      </c>
      <c r="D6524" s="125"/>
      <c r="E6524" s="126">
        <v>40.17</v>
      </c>
      <c r="F6524" s="127"/>
      <c r="G6524" s="127"/>
      <c r="H6524" s="127"/>
      <c r="I6524" s="128"/>
      <c r="K6524" s="105" t="str">
        <f>IFERROR(__xludf.DUMMYFUNCTION("if(A6524="""","""",substitute(SUBSTITUTE(index(importhtml(""http://finviz.com/quote.ashx?t=""&amp;A6524,""table"",10),7,2),""*"",""""),""-"",""0.00""))"),"Loading...")</f>
        <v>Loading...</v>
      </c>
      <c r="L6524" s="129">
        <v>3.140321742E9</v>
      </c>
      <c r="M6524" s="99">
        <v>1.18</v>
      </c>
    </row>
    <row r="6525">
      <c r="A6525" s="122" t="s">
        <v>13570</v>
      </c>
      <c r="B6525" s="123">
        <v>1835713.0</v>
      </c>
      <c r="C6525" s="124" t="s">
        <v>13571</v>
      </c>
      <c r="D6525" s="125"/>
      <c r="E6525" s="126">
        <v>40.24</v>
      </c>
      <c r="F6525" s="127"/>
      <c r="G6525" s="127"/>
      <c r="H6525" s="127"/>
      <c r="I6525" s="128"/>
      <c r="K6525" s="105" t="str">
        <f>IFERROR(__xludf.DUMMYFUNCTION("if(A6525="""","""",substitute(SUBSTITUTE(index(importhtml(""http://finviz.com/quote.ashx?t=""&amp;A6525,""table"",10),7,2),""*"",""""),""-"",""0.00""))"),"Loading...")</f>
        <v>Loading...</v>
      </c>
      <c r="L6525" s="129" t="e">
        <v>#N/A</v>
      </c>
      <c r="M6525" s="99" t="str">
        <f>IFERROR(__xludf.DUMMYFUNCTION("GOOGLEFINANCE(A6525,""beta"")"),"#N/A")</f>
        <v>#N/A</v>
      </c>
    </row>
    <row r="6526">
      <c r="A6526" s="122" t="s">
        <v>13572</v>
      </c>
      <c r="B6526" s="123">
        <v>1001085.0</v>
      </c>
      <c r="C6526" s="124" t="s">
        <v>13573</v>
      </c>
      <c r="D6526" s="125"/>
      <c r="E6526" s="126">
        <v>40.27</v>
      </c>
      <c r="F6526" s="127"/>
      <c r="G6526" s="127"/>
      <c r="H6526" s="127"/>
      <c r="I6526" s="128"/>
      <c r="K6526" s="55" t="s">
        <v>9395</v>
      </c>
      <c r="L6526" s="129">
        <v>1.663256929E10</v>
      </c>
      <c r="M6526" s="99" t="str">
        <f>IFERROR(__xludf.DUMMYFUNCTION("GOOGLEFINANCE(A6526,""beta"")"),"#N/A")</f>
        <v>#N/A</v>
      </c>
    </row>
    <row r="6527">
      <c r="A6527" s="122" t="s">
        <v>13574</v>
      </c>
      <c r="B6527" s="123">
        <v>1378580.0</v>
      </c>
      <c r="C6527" s="124" t="s">
        <v>13575</v>
      </c>
      <c r="D6527" s="125"/>
      <c r="E6527" s="126">
        <v>40.3</v>
      </c>
      <c r="F6527" s="127"/>
      <c r="G6527" s="127"/>
      <c r="H6527" s="127"/>
      <c r="I6527" s="128"/>
      <c r="K6527" s="105" t="str">
        <f>IFERROR(__xludf.DUMMYFUNCTION("if(A6527="""","""",substitute(SUBSTITUTE(index(importhtml(""http://finviz.com/quote.ashx?t=""&amp;A6527,""table"",10),7,2),""*"",""""),""-"",""0.00""))"),"Loading...")</f>
        <v>Loading...</v>
      </c>
      <c r="L6527" s="129">
        <v>1.1793362815E11</v>
      </c>
      <c r="M6527" s="99">
        <v>1.57</v>
      </c>
    </row>
    <row r="6528">
      <c r="A6528" s="122" t="s">
        <v>13576</v>
      </c>
      <c r="B6528" s="123">
        <v>733269.0</v>
      </c>
      <c r="C6528" s="124" t="s">
        <v>13577</v>
      </c>
      <c r="D6528" s="125"/>
      <c r="E6528" s="126">
        <v>40.36</v>
      </c>
      <c r="F6528" s="127"/>
      <c r="G6528" s="127"/>
      <c r="H6528" s="127"/>
      <c r="I6528" s="128"/>
      <c r="K6528" s="105" t="str">
        <f>IFERROR(__xludf.DUMMYFUNCTION("if(A6528="""","""",substitute(SUBSTITUTE(index(importhtml(""http://finviz.com/quote.ashx?t=""&amp;A6528,""table"",10),7,2),""*"",""""),""-"",""0.00""))"),"Loading...")</f>
        <v>Loading...</v>
      </c>
      <c r="L6528" s="129">
        <v>2.631048E9</v>
      </c>
      <c r="M6528" s="99">
        <v>1.07</v>
      </c>
    </row>
    <row r="6529">
      <c r="A6529" s="122" t="s">
        <v>13578</v>
      </c>
      <c r="B6529" s="123">
        <v>1618181.0</v>
      </c>
      <c r="C6529" s="124" t="s">
        <v>13579</v>
      </c>
      <c r="D6529" s="125"/>
      <c r="E6529" s="126">
        <v>40.37</v>
      </c>
      <c r="F6529" s="127"/>
      <c r="G6529" s="127"/>
      <c r="H6529" s="127"/>
      <c r="I6529" s="128"/>
      <c r="K6529" s="105" t="str">
        <f>IFERROR(__xludf.DUMMYFUNCTION("if(A6529="""","""",substitute(SUBSTITUTE(index(importhtml(""http://finviz.com/quote.ashx?t=""&amp;A6529,""table"",10),7,2),""*"",""""),""-"",""0.00""))"),"Loading...")</f>
        <v>Loading...</v>
      </c>
      <c r="L6529" s="129" t="e">
        <v>#N/A</v>
      </c>
      <c r="M6529" s="99" t="str">
        <f>IFERROR(__xludf.DUMMYFUNCTION("GOOGLEFINANCE(A6529,""beta"")"),"#N/A")</f>
        <v>#N/A</v>
      </c>
    </row>
    <row r="6530">
      <c r="A6530" s="122" t="s">
        <v>13580</v>
      </c>
      <c r="B6530" s="123">
        <v>1025835.0</v>
      </c>
      <c r="C6530" s="124" t="s">
        <v>13581</v>
      </c>
      <c r="D6530" s="125"/>
      <c r="E6530" s="126">
        <v>40.42</v>
      </c>
      <c r="F6530" s="127"/>
      <c r="G6530" s="127"/>
      <c r="H6530" s="127"/>
      <c r="I6530" s="128"/>
      <c r="K6530" s="105" t="str">
        <f>IFERROR(__xludf.DUMMYFUNCTION("if(A6530="""","""",substitute(SUBSTITUTE(index(importhtml(""http://finviz.com/quote.ashx?t=""&amp;A6530,""table"",10),7,2),""*"",""""),""-"",""0.00""))"),"Loading...")</f>
        <v>Loading...</v>
      </c>
      <c r="L6530" s="129">
        <v>1.512354247E9</v>
      </c>
      <c r="M6530" s="99">
        <v>1.0</v>
      </c>
    </row>
    <row r="6531">
      <c r="A6531" s="122" t="s">
        <v>13582</v>
      </c>
      <c r="B6531" s="123">
        <v>886986.0</v>
      </c>
      <c r="C6531" s="124" t="s">
        <v>13583</v>
      </c>
      <c r="D6531" s="125"/>
      <c r="E6531" s="126">
        <v>40.49</v>
      </c>
      <c r="F6531" s="127"/>
      <c r="G6531" s="127"/>
      <c r="H6531" s="127"/>
      <c r="I6531" s="128"/>
      <c r="K6531" s="105" t="str">
        <f>IFERROR(__xludf.DUMMYFUNCTION("if(A6531="""","""",substitute(SUBSTITUTE(index(importhtml(""http://finviz.com/quote.ashx?t=""&amp;A6531,""table"",10),7,2),""*"",""""),""-"",""0.00""))"),"Loading...")</f>
        <v>Loading...</v>
      </c>
      <c r="L6531" s="129">
        <v>2.0648941408E10</v>
      </c>
      <c r="M6531" s="99" t="str">
        <f>IFERROR(__xludf.DUMMYFUNCTION("GOOGLEFINANCE(A6531,""beta"")"),"#N/A")</f>
        <v>#N/A</v>
      </c>
    </row>
    <row r="6532">
      <c r="A6532" s="122" t="s">
        <v>13584</v>
      </c>
      <c r="B6532" s="123">
        <v>1275014.0</v>
      </c>
      <c r="C6532" s="124" t="s">
        <v>13585</v>
      </c>
      <c r="D6532" s="125"/>
      <c r="E6532" s="126">
        <v>40.5</v>
      </c>
      <c r="F6532" s="127"/>
      <c r="G6532" s="127"/>
      <c r="H6532" s="127"/>
      <c r="I6532" s="128"/>
      <c r="K6532" s="105" t="str">
        <f>IFERROR(__xludf.DUMMYFUNCTION("if(A6532="""","""",substitute(SUBSTITUTE(index(importhtml(""http://finviz.com/quote.ashx?t=""&amp;A6532,""table"",10),7,2),""*"",""""),""-"",""0.00""))"),"Loading...")</f>
        <v>Loading...</v>
      </c>
      <c r="L6532" s="129">
        <v>1.815646185E9</v>
      </c>
      <c r="M6532" s="99">
        <v>2.0</v>
      </c>
    </row>
    <row r="6533">
      <c r="A6533" s="122" t="s">
        <v>13586</v>
      </c>
      <c r="B6533" s="123">
        <v>91847.0</v>
      </c>
      <c r="C6533" s="124" t="s">
        <v>13587</v>
      </c>
      <c r="D6533" s="125"/>
      <c r="E6533" s="126">
        <v>40.53</v>
      </c>
      <c r="F6533" s="127"/>
      <c r="G6533" s="127"/>
      <c r="H6533" s="127"/>
      <c r="I6533" s="128"/>
      <c r="K6533" s="105" t="str">
        <f>IFERROR(__xludf.DUMMYFUNCTION("if(A6533="""","""",substitute(SUBSTITUTE(index(importhtml(""http://finviz.com/quote.ashx?t=""&amp;A6533,""table"",10),7,2),""*"",""""),""-"",""0.00""))"),"Loading...")</f>
        <v>Loading...</v>
      </c>
      <c r="L6533" s="129">
        <v>3.34375137E8</v>
      </c>
      <c r="M6533" s="99">
        <v>0.69</v>
      </c>
    </row>
    <row r="6534">
      <c r="A6534" s="122" t="s">
        <v>13588</v>
      </c>
      <c r="B6534" s="123">
        <v>816332.0</v>
      </c>
      <c r="C6534" s="124" t="s">
        <v>13589</v>
      </c>
      <c r="D6534" s="125"/>
      <c r="E6534" s="126">
        <v>40.55</v>
      </c>
      <c r="F6534" s="127"/>
      <c r="G6534" s="127"/>
      <c r="H6534" s="127"/>
      <c r="I6534" s="128"/>
      <c r="K6534" s="105" t="str">
        <f>IFERROR(__xludf.DUMMYFUNCTION("if(A6534="""","""",substitute(SUBSTITUTE(index(importhtml(""http://finviz.com/quote.ashx?t=""&amp;A6534,""table"",10),7,2),""*"",""""),""-"",""0.00""))"),"Loading...")</f>
        <v>Loading...</v>
      </c>
      <c r="L6534" s="129" t="e">
        <v>#N/A</v>
      </c>
      <c r="M6534" s="99">
        <v>0.17</v>
      </c>
    </row>
    <row r="6535">
      <c r="A6535" s="122" t="s">
        <v>13590</v>
      </c>
      <c r="B6535" s="123">
        <v>798949.0</v>
      </c>
      <c r="C6535" s="124" t="s">
        <v>13591</v>
      </c>
      <c r="D6535" s="125"/>
      <c r="E6535" s="126">
        <v>40.6</v>
      </c>
      <c r="F6535" s="127"/>
      <c r="G6535" s="127"/>
      <c r="H6535" s="127"/>
      <c r="I6535" s="128"/>
      <c r="K6535" s="105" t="str">
        <f>IFERROR(__xludf.DUMMYFUNCTION("if(A6535="""","""",substitute(SUBSTITUTE(index(importhtml(""http://finviz.com/quote.ashx?t=""&amp;A6535,""table"",10),7,2),""*"",""""),""-"",""0.00""))"),"Loading...")</f>
        <v>Loading...</v>
      </c>
      <c r="L6535" s="129">
        <v>3.91269452E8</v>
      </c>
      <c r="M6535" s="99">
        <v>0.44</v>
      </c>
    </row>
    <row r="6536">
      <c r="A6536" s="122" t="s">
        <v>13592</v>
      </c>
      <c r="B6536" s="123">
        <v>912615.0</v>
      </c>
      <c r="C6536" s="124" t="s">
        <v>13593</v>
      </c>
      <c r="D6536" s="125"/>
      <c r="E6536" s="126">
        <v>40.61</v>
      </c>
      <c r="F6536" s="127"/>
      <c r="G6536" s="127"/>
      <c r="H6536" s="127"/>
      <c r="I6536" s="128"/>
      <c r="K6536" s="105" t="str">
        <f>IFERROR(__xludf.DUMMYFUNCTION("if(A6536="""","""",substitute(SUBSTITUTE(index(importhtml(""http://finviz.com/quote.ashx?t=""&amp;A6536,""table"",10),7,2),""*"",""""),""-"",""0.00""))"),"Loading...")</f>
        <v>Loading...</v>
      </c>
      <c r="L6536" s="129">
        <v>3.767971697E9</v>
      </c>
      <c r="M6536" s="99">
        <v>1.52</v>
      </c>
    </row>
    <row r="6537">
      <c r="A6537" s="122" t="s">
        <v>13594</v>
      </c>
      <c r="B6537" s="123">
        <v>96223.0</v>
      </c>
      <c r="C6537" s="124" t="s">
        <v>13595</v>
      </c>
      <c r="D6537" s="125"/>
      <c r="E6537" s="126">
        <v>40.62</v>
      </c>
      <c r="F6537" s="127"/>
      <c r="G6537" s="127"/>
      <c r="H6537" s="127"/>
      <c r="I6537" s="128"/>
      <c r="K6537" s="105" t="str">
        <f>IFERROR(__xludf.DUMMYFUNCTION("if(A6537="""","""",substitute(SUBSTITUTE(index(importhtml(""http://finviz.com/quote.ashx?t=""&amp;A6537,""table"",10),7,2),""*"",""""),""-"",""0.00""))"),"Loading...")</f>
        <v>Loading...</v>
      </c>
      <c r="L6537" s="129">
        <v>8.608864465E9</v>
      </c>
      <c r="M6537" s="99">
        <v>1.37</v>
      </c>
    </row>
    <row r="6538">
      <c r="A6538" s="122" t="s">
        <v>13596</v>
      </c>
      <c r="B6538" s="123">
        <v>1158838.0</v>
      </c>
      <c r="C6538" s="124" t="s">
        <v>13597</v>
      </c>
      <c r="D6538" s="125"/>
      <c r="E6538" s="126">
        <v>40.62</v>
      </c>
      <c r="F6538" s="127"/>
      <c r="G6538" s="127"/>
      <c r="H6538" s="127"/>
      <c r="I6538" s="128"/>
      <c r="K6538" s="105" t="str">
        <f>IFERROR(__xludf.DUMMYFUNCTION("if(A6538="""","""",substitute(SUBSTITUTE(index(importhtml(""http://finviz.com/quote.ashx?t=""&amp;A6538,""table"",10),7,2),""*"",""""),""-"",""0.00""))"),"Loading...")</f>
        <v>Loading...</v>
      </c>
      <c r="L6538" s="129">
        <v>3.2089805428E10</v>
      </c>
      <c r="M6538" s="99">
        <f>IFERROR(__xludf.DUMMYFUNCTION("GOOGLEFINANCE(A6538,""beta"")"),1.84)</f>
        <v>1.84</v>
      </c>
    </row>
    <row r="6539">
      <c r="A6539" s="122" t="s">
        <v>13598</v>
      </c>
      <c r="B6539" s="123">
        <v>909037.0</v>
      </c>
      <c r="C6539" s="124" t="s">
        <v>13599</v>
      </c>
      <c r="D6539" s="125"/>
      <c r="E6539" s="126">
        <v>40.64</v>
      </c>
      <c r="F6539" s="127"/>
      <c r="G6539" s="127"/>
      <c r="H6539" s="127"/>
      <c r="I6539" s="128"/>
      <c r="K6539" s="105" t="str">
        <f>IFERROR(__xludf.DUMMYFUNCTION("if(A6539="""","""",substitute(SUBSTITUTE(index(importhtml(""http://finviz.com/quote.ashx?t=""&amp;A6539,""table"",10),7,2),""*"",""""),""-"",""0.00""))"),"Loading...")</f>
        <v>Loading...</v>
      </c>
      <c r="L6539" s="129">
        <v>1.182511003E10</v>
      </c>
      <c r="M6539" s="99">
        <v>0.98</v>
      </c>
    </row>
    <row r="6540">
      <c r="A6540" s="122" t="s">
        <v>13600</v>
      </c>
      <c r="B6540" s="123">
        <v>1782754.0</v>
      </c>
      <c r="C6540" s="124" t="s">
        <v>13601</v>
      </c>
      <c r="D6540" s="125"/>
      <c r="E6540" s="126">
        <v>40.65</v>
      </c>
      <c r="F6540" s="127"/>
      <c r="G6540" s="127"/>
      <c r="H6540" s="127"/>
      <c r="I6540" s="128"/>
      <c r="K6540" s="105" t="str">
        <f>IFERROR(__xludf.DUMMYFUNCTION("if(A6540="""","""",substitute(SUBSTITUTE(index(importhtml(""http://finviz.com/quote.ashx?t=""&amp;A6540,""table"",10),7,2),""*"",""""),""-"",""0.00""))"),"Loading...")</f>
        <v>Loading...</v>
      </c>
      <c r="L6540" s="129">
        <v>5.927827122E9</v>
      </c>
      <c r="M6540" s="99">
        <v>1.87</v>
      </c>
    </row>
    <row r="6541">
      <c r="A6541" s="122" t="s">
        <v>13602</v>
      </c>
      <c r="B6541" s="123">
        <v>1488775.0</v>
      </c>
      <c r="C6541" s="124" t="s">
        <v>13603</v>
      </c>
      <c r="D6541" s="125"/>
      <c r="E6541" s="126">
        <v>40.67</v>
      </c>
      <c r="F6541" s="127"/>
      <c r="G6541" s="127"/>
      <c r="H6541" s="127"/>
      <c r="I6541" s="128"/>
      <c r="K6541" s="55" t="s">
        <v>13604</v>
      </c>
      <c r="L6541" s="129">
        <v>5.40674682E8</v>
      </c>
      <c r="M6541" s="99">
        <v>2.25</v>
      </c>
    </row>
    <row r="6542">
      <c r="A6542" s="122" t="s">
        <v>13605</v>
      </c>
      <c r="B6542" s="123">
        <v>1315098.0</v>
      </c>
      <c r="C6542" s="124" t="s">
        <v>13606</v>
      </c>
      <c r="D6542" s="125"/>
      <c r="E6542" s="126">
        <v>40.67</v>
      </c>
      <c r="F6542" s="127"/>
      <c r="G6542" s="127"/>
      <c r="H6542" s="127"/>
      <c r="I6542" s="128"/>
      <c r="K6542" s="105" t="str">
        <f>IFERROR(__xludf.DUMMYFUNCTION("if(A6542="""","""",substitute(SUBSTITUTE(index(importhtml(""http://finviz.com/quote.ashx?t=""&amp;A6542,""table"",10),7,2),""*"",""""),""-"",""0.00""))"),"Loading...")</f>
        <v>Loading...</v>
      </c>
      <c r="L6542" s="129">
        <v>2.5367382647E10</v>
      </c>
      <c r="M6542" s="99">
        <f>IFERROR(__xludf.DUMMYFUNCTION("GOOGLEFINANCE(A6542,""beta"")"),1.61)</f>
        <v>1.61</v>
      </c>
    </row>
    <row r="6543">
      <c r="A6543" s="122" t="s">
        <v>13607</v>
      </c>
      <c r="B6543" s="123">
        <v>886206.0</v>
      </c>
      <c r="C6543" s="124" t="s">
        <v>13608</v>
      </c>
      <c r="D6543" s="125"/>
      <c r="E6543" s="126">
        <v>40.68</v>
      </c>
      <c r="F6543" s="127"/>
      <c r="G6543" s="127"/>
      <c r="H6543" s="127"/>
      <c r="I6543" s="128"/>
      <c r="K6543" s="55" t="s">
        <v>1034</v>
      </c>
      <c r="L6543" s="129">
        <v>5.40481399E8</v>
      </c>
      <c r="M6543" s="99">
        <v>1.25</v>
      </c>
    </row>
    <row r="6544">
      <c r="A6544" s="122" t="s">
        <v>13609</v>
      </c>
      <c r="B6544" s="123">
        <v>1361658.0</v>
      </c>
      <c r="C6544" s="124" t="s">
        <v>13610</v>
      </c>
      <c r="D6544" s="125"/>
      <c r="E6544" s="126">
        <v>40.71</v>
      </c>
      <c r="F6544" s="127"/>
      <c r="G6544" s="127"/>
      <c r="H6544" s="127"/>
      <c r="I6544" s="128"/>
      <c r="K6544" s="105" t="str">
        <f>IFERROR(__xludf.DUMMYFUNCTION("if(A6544="""","""",substitute(SUBSTITUTE(index(importhtml(""http://finviz.com/quote.ashx?t=""&amp;A6544,""table"",10),7,2),""*"",""""),""-"",""0.00""))"),"Loading...")</f>
        <v>Loading...</v>
      </c>
      <c r="L6544" s="129">
        <v>2.94822139E9</v>
      </c>
      <c r="M6544" s="99">
        <v>1.61</v>
      </c>
    </row>
    <row r="6545">
      <c r="A6545" s="122" t="s">
        <v>13611</v>
      </c>
      <c r="B6545" s="123">
        <v>1131399.0</v>
      </c>
      <c r="C6545" s="124" t="s">
        <v>11397</v>
      </c>
      <c r="D6545" s="125"/>
      <c r="E6545" s="126">
        <v>40.72</v>
      </c>
      <c r="F6545" s="127"/>
      <c r="G6545" s="127"/>
      <c r="H6545" s="127"/>
      <c r="I6545" s="128"/>
      <c r="K6545" s="105" t="str">
        <f>IFERROR(__xludf.DUMMYFUNCTION("if(A6545="""","""",substitute(SUBSTITUTE(index(importhtml(""http://finviz.com/quote.ashx?t=""&amp;A6545,""table"",10),7,2),""*"",""""),""-"",""0.00""))"),"Loading...")</f>
        <v>Loading...</v>
      </c>
      <c r="L6545" s="129">
        <v>8.3355104818E10</v>
      </c>
      <c r="M6545" s="99">
        <v>0.57</v>
      </c>
    </row>
    <row r="6546">
      <c r="A6546" s="122" t="s">
        <v>13612</v>
      </c>
      <c r="B6546" s="123">
        <v>924822.0</v>
      </c>
      <c r="C6546" s="124" t="s">
        <v>13613</v>
      </c>
      <c r="D6546" s="125"/>
      <c r="E6546" s="126">
        <v>40.76</v>
      </c>
      <c r="F6546" s="127"/>
      <c r="G6546" s="127"/>
      <c r="H6546" s="127"/>
      <c r="I6546" s="128"/>
      <c r="K6546" s="105" t="str">
        <f>IFERROR(__xludf.DUMMYFUNCTION("if(A6546="""","""",substitute(SUBSTITUTE(index(importhtml(""http://finviz.com/quote.ashx?t=""&amp;A6546,""table"",10),7,2),""*"",""""),""-"",""0.00""))"),"Loading...")</f>
        <v>Loading...</v>
      </c>
      <c r="L6546" s="129">
        <v>4.66523859E8</v>
      </c>
      <c r="M6546" s="99">
        <v>1.03</v>
      </c>
    </row>
    <row r="6547">
      <c r="A6547" s="122" t="s">
        <v>13614</v>
      </c>
      <c r="B6547" s="123">
        <v>1379041.0</v>
      </c>
      <c r="C6547" s="124" t="s">
        <v>13615</v>
      </c>
      <c r="D6547" s="125"/>
      <c r="E6547" s="126">
        <v>40.77</v>
      </c>
      <c r="F6547" s="127"/>
      <c r="G6547" s="127"/>
      <c r="H6547" s="127"/>
      <c r="I6547" s="128"/>
      <c r="K6547" s="55" t="s">
        <v>13616</v>
      </c>
      <c r="L6547" s="129">
        <v>1.048631727E9</v>
      </c>
      <c r="M6547" s="99">
        <v>0.21</v>
      </c>
    </row>
    <row r="6548">
      <c r="A6548" s="122" t="s">
        <v>13617</v>
      </c>
      <c r="B6548" s="123">
        <v>356309.0</v>
      </c>
      <c r="C6548" s="124" t="s">
        <v>13618</v>
      </c>
      <c r="D6548" s="125"/>
      <c r="E6548" s="126">
        <v>40.8</v>
      </c>
      <c r="F6548" s="127"/>
      <c r="G6548" s="127"/>
      <c r="H6548" s="127"/>
      <c r="I6548" s="128"/>
      <c r="K6548" s="105" t="str">
        <f>IFERROR(__xludf.DUMMYFUNCTION("if(A6548="""","""",substitute(SUBSTITUTE(index(importhtml(""http://finviz.com/quote.ashx?t=""&amp;A6548,""table"",10),7,2),""*"",""""),""-"",""0.00""))"),"Loading...")</f>
        <v>Loading...</v>
      </c>
      <c r="L6548" s="129">
        <v>3.989698509E9</v>
      </c>
      <c r="M6548" s="99">
        <v>0.62</v>
      </c>
    </row>
    <row r="6549">
      <c r="A6549" s="122" t="s">
        <v>13619</v>
      </c>
      <c r="B6549" s="123">
        <v>751364.0</v>
      </c>
      <c r="C6549" s="124" t="s">
        <v>13620</v>
      </c>
      <c r="D6549" s="125"/>
      <c r="E6549" s="126">
        <v>40.8</v>
      </c>
      <c r="F6549" s="127"/>
      <c r="G6549" s="127"/>
      <c r="H6549" s="127"/>
      <c r="I6549" s="128"/>
      <c r="K6549" s="105" t="str">
        <f>IFERROR(__xludf.DUMMYFUNCTION("if(A6549="""","""",substitute(SUBSTITUTE(index(importhtml(""http://finviz.com/quote.ashx?t=""&amp;A6549,""table"",10),7,2),""*"",""""),""-"",""0.00""))"),"Loading...")</f>
        <v>Loading...</v>
      </c>
      <c r="L6549" s="129">
        <v>7.44356818E9</v>
      </c>
      <c r="M6549" s="99">
        <v>1.02</v>
      </c>
    </row>
    <row r="6550">
      <c r="A6550" s="122" t="s">
        <v>13621</v>
      </c>
      <c r="B6550" s="123">
        <v>1559865.0</v>
      </c>
      <c r="C6550" s="124" t="s">
        <v>13622</v>
      </c>
      <c r="D6550" s="125"/>
      <c r="E6550" s="126">
        <v>40.82</v>
      </c>
      <c r="F6550" s="127"/>
      <c r="G6550" s="127"/>
      <c r="H6550" s="127"/>
      <c r="I6550" s="128"/>
      <c r="K6550" s="105" t="str">
        <f>IFERROR(__xludf.DUMMYFUNCTION("if(A6550="""","""",substitute(SUBSTITUTE(index(importhtml(""http://finviz.com/quote.ashx?t=""&amp;A6550,""table"",10),7,2),""*"",""""),""-"",""0.00""))"),"Loading...")</f>
        <v>Loading...</v>
      </c>
      <c r="L6550" s="129">
        <v>2.638234542E9</v>
      </c>
      <c r="M6550" s="99">
        <v>1.23</v>
      </c>
    </row>
    <row r="6551">
      <c r="A6551" s="122" t="s">
        <v>13623</v>
      </c>
      <c r="B6551" s="123">
        <v>36104.0</v>
      </c>
      <c r="C6551" s="124" t="s">
        <v>13624</v>
      </c>
      <c r="D6551" s="125"/>
      <c r="E6551" s="126">
        <v>40.84</v>
      </c>
      <c r="F6551" s="127"/>
      <c r="G6551" s="127"/>
      <c r="H6551" s="127"/>
      <c r="I6551" s="128"/>
      <c r="K6551" s="105" t="str">
        <f>IFERROR(__xludf.DUMMYFUNCTION("if(A6551="""","""",substitute(SUBSTITUTE(index(importhtml(""http://finviz.com/quote.ashx?t=""&amp;A6551,""table"",10),7,2),""*"",""""),""-"",""0.00""))"),"Loading...")</f>
        <v>Loading...</v>
      </c>
      <c r="L6551" s="129">
        <v>6.3588370317E10</v>
      </c>
      <c r="M6551" s="99">
        <v>1.04</v>
      </c>
    </row>
    <row r="6552">
      <c r="A6552" s="122" t="s">
        <v>13625</v>
      </c>
      <c r="B6552" s="123">
        <v>811532.0</v>
      </c>
      <c r="C6552" s="124" t="s">
        <v>13626</v>
      </c>
      <c r="D6552" s="125"/>
      <c r="E6552" s="126">
        <v>40.94</v>
      </c>
      <c r="F6552" s="127"/>
      <c r="G6552" s="127"/>
      <c r="H6552" s="127"/>
      <c r="I6552" s="128"/>
      <c r="K6552" s="55" t="s">
        <v>7272</v>
      </c>
      <c r="L6552" s="129">
        <v>2.088563446E9</v>
      </c>
      <c r="M6552" s="99">
        <v>1.42</v>
      </c>
    </row>
    <row r="6553">
      <c r="A6553" s="122" t="s">
        <v>13627</v>
      </c>
      <c r="B6553" s="123">
        <v>1527166.0</v>
      </c>
      <c r="C6553" s="124" t="s">
        <v>13628</v>
      </c>
      <c r="D6553" s="125"/>
      <c r="E6553" s="126">
        <v>40.95</v>
      </c>
      <c r="F6553" s="127"/>
      <c r="G6553" s="127"/>
      <c r="H6553" s="127"/>
      <c r="I6553" s="128"/>
      <c r="K6553" s="138" t="s">
        <v>9178</v>
      </c>
      <c r="L6553" s="129">
        <v>1.477458419E10</v>
      </c>
      <c r="M6553" s="99">
        <v>1.78</v>
      </c>
    </row>
    <row r="6554">
      <c r="A6554" s="122" t="s">
        <v>13629</v>
      </c>
      <c r="B6554" s="123">
        <v>48287.0</v>
      </c>
      <c r="C6554" s="124" t="s">
        <v>13630</v>
      </c>
      <c r="D6554" s="125"/>
      <c r="E6554" s="126">
        <v>40.97</v>
      </c>
      <c r="F6554" s="127"/>
      <c r="G6554" s="127"/>
      <c r="H6554" s="127"/>
      <c r="I6554" s="128"/>
      <c r="K6554" s="105" t="str">
        <f>IFERROR(__xludf.DUMMYFUNCTION("if(A6554="""","""",substitute(SUBSTITUTE(index(importhtml(""http://finviz.com/quote.ashx?t=""&amp;A6554,""table"",10),7,2),""*"",""""),""-"",""0.00""))"),"Loading...")</f>
        <v>Loading...</v>
      </c>
      <c r="L6554" s="129">
        <v>1.908359303E9</v>
      </c>
      <c r="M6554" s="99">
        <v>0.84</v>
      </c>
    </row>
    <row r="6555">
      <c r="A6555" s="122" t="s">
        <v>13631</v>
      </c>
      <c r="B6555" s="123">
        <v>30625.0</v>
      </c>
      <c r="C6555" s="124" t="s">
        <v>13632</v>
      </c>
      <c r="D6555" s="125"/>
      <c r="E6555" s="126">
        <v>40.98</v>
      </c>
      <c r="F6555" s="127"/>
      <c r="G6555" s="127"/>
      <c r="H6555" s="127"/>
      <c r="I6555" s="128"/>
      <c r="K6555" s="55" t="s">
        <v>13633</v>
      </c>
      <c r="L6555" s="129">
        <v>5.376928367E9</v>
      </c>
      <c r="M6555" s="99">
        <v>1.45</v>
      </c>
    </row>
    <row r="6556">
      <c r="A6556" s="122" t="s">
        <v>13634</v>
      </c>
      <c r="B6556" s="123">
        <v>1311370.0</v>
      </c>
      <c r="C6556" s="124" t="s">
        <v>13635</v>
      </c>
      <c r="D6556" s="125"/>
      <c r="E6556" s="126">
        <v>40.99</v>
      </c>
      <c r="F6556" s="127"/>
      <c r="G6556" s="127"/>
      <c r="H6556" s="127"/>
      <c r="I6556" s="128"/>
      <c r="K6556" s="105" t="str">
        <f>IFERROR(__xludf.DUMMYFUNCTION("if(A6556="""","""",substitute(SUBSTITUTE(index(importhtml(""http://finviz.com/quote.ashx?t=""&amp;A6556,""table"",10),7,2),""*"",""""),""-"",""0.00""))"),"Loading...")</f>
        <v>Loading...</v>
      </c>
      <c r="L6556" s="129">
        <v>4.622278529E9</v>
      </c>
      <c r="M6556" s="99">
        <v>1.47</v>
      </c>
    </row>
    <row r="6557">
      <c r="A6557" s="122" t="s">
        <v>13636</v>
      </c>
      <c r="B6557" s="123">
        <v>93389.0</v>
      </c>
      <c r="C6557" s="124" t="s">
        <v>13637</v>
      </c>
      <c r="D6557" s="125"/>
      <c r="E6557" s="126">
        <v>41.0</v>
      </c>
      <c r="F6557" s="127"/>
      <c r="G6557" s="127"/>
      <c r="H6557" s="127"/>
      <c r="I6557" s="128"/>
      <c r="K6557" s="105" t="str">
        <f>IFERROR(__xludf.DUMMYFUNCTION("if(A6557="""","""",substitute(SUBSTITUTE(index(importhtml(""http://finviz.com/quote.ashx?t=""&amp;A6557,""table"",10),7,2),""*"",""""),""-"",""0.00""))"),"Loading...")</f>
        <v>Loading...</v>
      </c>
      <c r="L6557" s="129">
        <v>8.9090089E8</v>
      </c>
      <c r="M6557" s="99">
        <v>0.66</v>
      </c>
    </row>
    <row r="6558">
      <c r="A6558" s="122" t="s">
        <v>13638</v>
      </c>
      <c r="B6558" s="123">
        <v>1820953.0</v>
      </c>
      <c r="C6558" s="124" t="s">
        <v>13639</v>
      </c>
      <c r="D6558" s="125"/>
      <c r="E6558" s="126">
        <v>41.01</v>
      </c>
      <c r="F6558" s="127"/>
      <c r="G6558" s="127"/>
      <c r="H6558" s="127"/>
      <c r="I6558" s="128"/>
      <c r="K6558" s="105" t="str">
        <f>IFERROR(__xludf.DUMMYFUNCTION("if(A6558="""","""",substitute(SUBSTITUTE(index(importhtml(""http://finviz.com/quote.ashx?t=""&amp;A6558,""table"",10),7,2),""*"",""""),""-"",""0.00""))"),"Loading...")</f>
        <v>Loading...</v>
      </c>
      <c r="L6558" s="129">
        <v>1.2374090328E10</v>
      </c>
      <c r="M6558" s="99">
        <v>3.72</v>
      </c>
    </row>
    <row r="6559">
      <c r="A6559" s="122" t="s">
        <v>13640</v>
      </c>
      <c r="B6559" s="123">
        <v>350852.0</v>
      </c>
      <c r="C6559" s="124" t="s">
        <v>13641</v>
      </c>
      <c r="D6559" s="125"/>
      <c r="E6559" s="126">
        <v>41.07</v>
      </c>
      <c r="F6559" s="127"/>
      <c r="G6559" s="127"/>
      <c r="H6559" s="127"/>
      <c r="I6559" s="128"/>
      <c r="K6559" s="105" t="str">
        <f>IFERROR(__xludf.DUMMYFUNCTION("if(A6559="""","""",substitute(SUBSTITUTE(index(importhtml(""http://finviz.com/quote.ashx?t=""&amp;A6559,""table"",10),7,2),""*"",""""),""-"",""0.00""))"),"Loading...")</f>
        <v>Loading...</v>
      </c>
      <c r="L6559" s="129">
        <v>7.39253423E8</v>
      </c>
      <c r="M6559" s="99">
        <v>0.69</v>
      </c>
    </row>
    <row r="6560">
      <c r="A6560" s="122" t="s">
        <v>13642</v>
      </c>
      <c r="B6560" s="123">
        <v>784977.0</v>
      </c>
      <c r="C6560" s="124" t="s">
        <v>13643</v>
      </c>
      <c r="D6560" s="125"/>
      <c r="E6560" s="126">
        <v>41.07</v>
      </c>
      <c r="F6560" s="127"/>
      <c r="G6560" s="127"/>
      <c r="H6560" s="127"/>
      <c r="I6560" s="128"/>
      <c r="K6560" s="105" t="str">
        <f>IFERROR(__xludf.DUMMYFUNCTION("if(A6560="""","""",substitute(SUBSTITUTE(index(importhtml(""http://finviz.com/quote.ashx?t=""&amp;A6560,""table"",10),7,2),""*"",""""),""-"",""0.00""))"),"Loading...")</f>
        <v>Loading...</v>
      </c>
      <c r="L6560" s="129">
        <v>4.153158542E9</v>
      </c>
      <c r="M6560" s="99">
        <v>0.58</v>
      </c>
    </row>
    <row r="6561">
      <c r="A6561" s="122" t="s">
        <v>13644</v>
      </c>
      <c r="B6561" s="123">
        <v>1629019.0</v>
      </c>
      <c r="C6561" s="124" t="s">
        <v>13645</v>
      </c>
      <c r="D6561" s="125"/>
      <c r="E6561" s="126">
        <v>41.16</v>
      </c>
      <c r="F6561" s="127"/>
      <c r="G6561" s="127"/>
      <c r="H6561" s="127"/>
      <c r="I6561" s="128"/>
      <c r="K6561" s="105" t="str">
        <f>IFERROR(__xludf.DUMMYFUNCTION("if(A6561="""","""",substitute(SUBSTITUTE(index(importhtml(""http://finviz.com/quote.ashx?t=""&amp;A6561,""table"",10),7,2),""*"",""""),""-"",""0.00""))"),"Loading...")</f>
        <v>Loading...</v>
      </c>
      <c r="L6561" s="129">
        <v>1.77987858E9</v>
      </c>
      <c r="M6561" s="99">
        <v>1.21</v>
      </c>
    </row>
    <row r="6562">
      <c r="A6562" s="122" t="s">
        <v>13646</v>
      </c>
      <c r="B6562" s="123">
        <v>924719.0</v>
      </c>
      <c r="C6562" s="124" t="s">
        <v>13647</v>
      </c>
      <c r="D6562" s="125"/>
      <c r="E6562" s="126">
        <v>41.18</v>
      </c>
      <c r="F6562" s="127"/>
      <c r="G6562" s="127"/>
      <c r="H6562" s="127"/>
      <c r="I6562" s="128"/>
      <c r="K6562" s="105" t="str">
        <f>IFERROR(__xludf.DUMMYFUNCTION("if(A6562="""","""",substitute(SUBSTITUTE(index(importhtml(""http://finviz.com/quote.ashx?t=""&amp;A6562,""table"",10),7,2),""*"",""""),""-"",""0.00""))"),"Loading...")</f>
        <v>Loading...</v>
      </c>
      <c r="L6562" s="129">
        <v>2.36951602E8</v>
      </c>
      <c r="M6562" s="99">
        <v>1.18</v>
      </c>
    </row>
    <row r="6563">
      <c r="A6563" s="122" t="s">
        <v>13648</v>
      </c>
      <c r="B6563" s="123">
        <v>887733.0</v>
      </c>
      <c r="C6563" s="124" t="s">
        <v>13649</v>
      </c>
      <c r="D6563" s="125"/>
      <c r="E6563" s="126">
        <v>41.21</v>
      </c>
      <c r="F6563" s="127"/>
      <c r="G6563" s="127"/>
      <c r="H6563" s="127"/>
      <c r="I6563" s="128"/>
      <c r="K6563" s="105" t="str">
        <f>IFERROR(__xludf.DUMMYFUNCTION("if(A6563="""","""",substitute(SUBSTITUTE(index(importhtml(""http://finviz.com/quote.ashx?t=""&amp;A6563,""table"",10),7,2),""*"",""""),""-"",""0.00""))"),"Loading...")</f>
        <v>Loading...</v>
      </c>
      <c r="L6563" s="129">
        <v>2.279364034E9</v>
      </c>
      <c r="M6563" s="99">
        <v>0.64</v>
      </c>
    </row>
    <row r="6564">
      <c r="A6564" s="122" t="s">
        <v>13650</v>
      </c>
      <c r="B6564" s="123">
        <v>1354327.0</v>
      </c>
      <c r="C6564" s="124" t="s">
        <v>13651</v>
      </c>
      <c r="D6564" s="125"/>
      <c r="E6564" s="126">
        <v>41.22</v>
      </c>
      <c r="F6564" s="127"/>
      <c r="G6564" s="127"/>
      <c r="H6564" s="127"/>
      <c r="I6564" s="128"/>
      <c r="K6564" s="105" t="str">
        <f>IFERROR(__xludf.DUMMYFUNCTION("if(A6564="""","""",substitute(SUBSTITUTE(index(importhtml(""http://finviz.com/quote.ashx?t=""&amp;A6564,""table"",10),7,2),""*"",""""),""-"",""0.00""))"),"Loading...")</f>
        <v>Loading...</v>
      </c>
      <c r="L6564" s="129">
        <v>2.408646517E9</v>
      </c>
      <c r="M6564" s="99">
        <v>1.44</v>
      </c>
    </row>
    <row r="6565">
      <c r="A6565" s="122" t="s">
        <v>13652</v>
      </c>
      <c r="B6565" s="123">
        <v>744187.0</v>
      </c>
      <c r="C6565" s="124" t="s">
        <v>13653</v>
      </c>
      <c r="D6565" s="125"/>
      <c r="E6565" s="126">
        <v>41.28</v>
      </c>
      <c r="F6565" s="127"/>
      <c r="G6565" s="127"/>
      <c r="H6565" s="127"/>
      <c r="I6565" s="128"/>
      <c r="K6565" s="105" t="str">
        <f>IFERROR(__xludf.DUMMYFUNCTION("if(A6565="""","""",substitute(SUBSTITUTE(index(importhtml(""http://finviz.com/quote.ashx?t=""&amp;A6565,""table"",10),7,2),""*"",""""),""-"",""0.00""))"),"Loading...")</f>
        <v>Loading...</v>
      </c>
      <c r="L6565" s="129">
        <v>7.22554365E8</v>
      </c>
      <c r="M6565" s="99">
        <v>1.04</v>
      </c>
    </row>
    <row r="6566">
      <c r="A6566" s="122" t="s">
        <v>13654</v>
      </c>
      <c r="B6566" s="123">
        <v>771497.0</v>
      </c>
      <c r="C6566" s="124" t="s">
        <v>13655</v>
      </c>
      <c r="D6566" s="125"/>
      <c r="E6566" s="126">
        <v>41.3</v>
      </c>
      <c r="F6566" s="127"/>
      <c r="G6566" s="127"/>
      <c r="H6566" s="127"/>
      <c r="I6566" s="128"/>
      <c r="K6566" s="55" t="s">
        <v>9644</v>
      </c>
      <c r="L6566" s="129">
        <v>2.596164621E9</v>
      </c>
      <c r="M6566" s="99">
        <v>1.16</v>
      </c>
    </row>
    <row r="6567">
      <c r="A6567" s="122" t="s">
        <v>13656</v>
      </c>
      <c r="B6567" s="123">
        <v>1090012.0</v>
      </c>
      <c r="C6567" s="124" t="s">
        <v>13657</v>
      </c>
      <c r="D6567" s="125"/>
      <c r="E6567" s="126">
        <v>41.3</v>
      </c>
      <c r="F6567" s="127"/>
      <c r="G6567" s="127"/>
      <c r="H6567" s="127"/>
      <c r="I6567" s="128"/>
      <c r="K6567" s="55" t="s">
        <v>13658</v>
      </c>
      <c r="L6567" s="129">
        <v>2.6460905381E10</v>
      </c>
      <c r="M6567" s="99">
        <v>2.19</v>
      </c>
    </row>
    <row r="6568">
      <c r="A6568" s="122" t="s">
        <v>13659</v>
      </c>
      <c r="B6568" s="123">
        <v>1024795.0</v>
      </c>
      <c r="C6568" s="124" t="s">
        <v>13660</v>
      </c>
      <c r="D6568" s="125"/>
      <c r="E6568" s="126">
        <v>41.32</v>
      </c>
      <c r="F6568" s="127"/>
      <c r="G6568" s="127"/>
      <c r="H6568" s="127"/>
      <c r="I6568" s="128"/>
      <c r="K6568" s="105" t="str">
        <f>IFERROR(__xludf.DUMMYFUNCTION("if(A6568="""","""",substitute(SUBSTITUTE(index(importhtml(""http://finviz.com/quote.ashx?t=""&amp;A6568,""table"",10),7,2),""*"",""""),""-"",""0.00""))"),"Loading...")</f>
        <v>Loading...</v>
      </c>
      <c r="L6568" s="129">
        <v>1.365749123E9</v>
      </c>
      <c r="M6568" s="99">
        <v>1.0</v>
      </c>
    </row>
    <row r="6569">
      <c r="A6569" s="122" t="s">
        <v>13661</v>
      </c>
      <c r="B6569" s="123">
        <v>1699136.0</v>
      </c>
      <c r="C6569" s="124" t="s">
        <v>13662</v>
      </c>
      <c r="D6569" s="125"/>
      <c r="E6569" s="126">
        <v>41.34</v>
      </c>
      <c r="F6569" s="127"/>
      <c r="G6569" s="127"/>
      <c r="H6569" s="127"/>
      <c r="I6569" s="128"/>
      <c r="K6569" s="105" t="str">
        <f>IFERROR(__xludf.DUMMYFUNCTION("if(A6569="""","""",substitute(SUBSTITUTE(index(importhtml(""http://finviz.com/quote.ashx?t=""&amp;A6569,""table"",10),7,2),""*"",""""),""-"",""0.00""))"),"Loading...")</f>
        <v>Loading...</v>
      </c>
      <c r="L6569" s="129">
        <v>3.283619676E9</v>
      </c>
      <c r="M6569" s="99">
        <v>1.96</v>
      </c>
    </row>
    <row r="6570">
      <c r="A6570" s="122" t="s">
        <v>13663</v>
      </c>
      <c r="B6570" s="123">
        <v>764180.0</v>
      </c>
      <c r="C6570" s="124" t="s">
        <v>13664</v>
      </c>
      <c r="D6570" s="125"/>
      <c r="E6570" s="126">
        <v>41.36</v>
      </c>
      <c r="F6570" s="127"/>
      <c r="G6570" s="127"/>
      <c r="H6570" s="127"/>
      <c r="I6570" s="128"/>
      <c r="K6570" s="138" t="s">
        <v>13665</v>
      </c>
      <c r="L6570" s="129">
        <v>7.3151199639E10</v>
      </c>
      <c r="M6570" s="99">
        <v>0.66</v>
      </c>
    </row>
    <row r="6571">
      <c r="A6571" s="122" t="s">
        <v>13666</v>
      </c>
      <c r="B6571" s="123">
        <v>100517.0</v>
      </c>
      <c r="C6571" s="124" t="s">
        <v>13667</v>
      </c>
      <c r="D6571" s="125"/>
      <c r="E6571" s="126">
        <v>41.37</v>
      </c>
      <c r="F6571" s="127"/>
      <c r="G6571" s="127"/>
      <c r="H6571" s="127"/>
      <c r="I6571" s="128"/>
      <c r="K6571" s="105" t="str">
        <f>IFERROR(__xludf.DUMMYFUNCTION("if(A6571="""","""",substitute(SUBSTITUTE(index(importhtml(""http://finviz.com/quote.ashx?t=""&amp;A6571,""table"",10),7,2),""*"",""""),""-"",""0.00""))"),"Loading...")</f>
        <v>Loading...</v>
      </c>
      <c r="L6571" s="129">
        <v>1.3570054665E10</v>
      </c>
      <c r="M6571" s="99">
        <v>1.53</v>
      </c>
    </row>
    <row r="6572">
      <c r="A6572" s="122" t="s">
        <v>13668</v>
      </c>
      <c r="B6572" s="123">
        <v>1376891.0</v>
      </c>
      <c r="C6572" s="124" t="s">
        <v>13669</v>
      </c>
      <c r="D6572" s="125"/>
      <c r="E6572" s="126">
        <v>41.5</v>
      </c>
      <c r="F6572" s="127"/>
      <c r="G6572" s="127"/>
      <c r="H6572" s="127"/>
      <c r="I6572" s="128"/>
      <c r="K6572" s="105" t="str">
        <f>IFERROR(__xludf.DUMMYFUNCTION("if(A6572="""","""",substitute(SUBSTITUTE(index(importhtml(""http://finviz.com/quote.ashx?t=""&amp;A6572,""table"",10),7,2),""*"",""""),""-"",""0.00""))"),"Loading...")</f>
        <v>Loading...</v>
      </c>
      <c r="L6572" s="129">
        <v>3.8325010316E10</v>
      </c>
      <c r="M6572" s="99">
        <v>1.03</v>
      </c>
    </row>
    <row r="6573">
      <c r="A6573" s="122" t="s">
        <v>13670</v>
      </c>
      <c r="B6573" s="123">
        <v>1792580.0</v>
      </c>
      <c r="C6573" s="124" t="s">
        <v>13671</v>
      </c>
      <c r="D6573" s="125"/>
      <c r="E6573" s="126">
        <v>41.52</v>
      </c>
      <c r="F6573" s="127"/>
      <c r="G6573" s="127"/>
      <c r="H6573" s="127"/>
      <c r="I6573" s="128"/>
      <c r="K6573" s="105" t="str">
        <f>IFERROR(__xludf.DUMMYFUNCTION("if(A6573="""","""",substitute(SUBSTITUTE(index(importhtml(""http://finviz.com/quote.ashx?t=""&amp;A6573,""table"",10),7,2),""*"",""""),""-"",""0.00""))"),"Loading...")</f>
        <v>Loading...</v>
      </c>
      <c r="L6573" s="129">
        <v>1.1280137116E10</v>
      </c>
      <c r="M6573" s="99">
        <v>2.64</v>
      </c>
    </row>
    <row r="6574">
      <c r="A6574" s="122" t="s">
        <v>13672</v>
      </c>
      <c r="B6574" s="123">
        <v>1314966.0</v>
      </c>
      <c r="C6574" s="124" t="s">
        <v>13673</v>
      </c>
      <c r="D6574" s="125"/>
      <c r="E6574" s="126">
        <v>41.58</v>
      </c>
      <c r="F6574" s="127"/>
      <c r="G6574" s="127"/>
      <c r="H6574" s="127"/>
      <c r="I6574" s="128"/>
      <c r="K6574" s="55" t="s">
        <v>13674</v>
      </c>
      <c r="L6574" s="129">
        <v>5.79790298E8</v>
      </c>
      <c r="M6574" s="99">
        <v>0.66</v>
      </c>
    </row>
    <row r="6575">
      <c r="A6575" s="122" t="s">
        <v>13675</v>
      </c>
      <c r="B6575" s="123">
        <v>1883685.0</v>
      </c>
      <c r="C6575" s="124" t="s">
        <v>13676</v>
      </c>
      <c r="D6575" s="125"/>
      <c r="E6575" s="126">
        <v>41.59</v>
      </c>
      <c r="F6575" s="127"/>
      <c r="G6575" s="127"/>
      <c r="H6575" s="127"/>
      <c r="I6575" s="128"/>
      <c r="K6575" s="105" t="str">
        <f>IFERROR(__xludf.DUMMYFUNCTION("if(A6575="""","""",substitute(SUBSTITUTE(index(importhtml(""http://finviz.com/quote.ashx?t=""&amp;A6575,""table"",10),7,2),""*"",""""),""-"",""0.00""))"),"Loading...")</f>
        <v>Loading...</v>
      </c>
      <c r="L6575" s="129">
        <v>1.9390996533E10</v>
      </c>
      <c r="M6575" s="99">
        <v>1.87</v>
      </c>
    </row>
    <row r="6576">
      <c r="A6576" s="122" t="s">
        <v>13677</v>
      </c>
      <c r="B6576" s="123">
        <v>1819928.0</v>
      </c>
      <c r="C6576" s="124" t="s">
        <v>13678</v>
      </c>
      <c r="D6576" s="125"/>
      <c r="E6576" s="126">
        <v>41.63</v>
      </c>
      <c r="F6576" s="127"/>
      <c r="G6576" s="127"/>
      <c r="H6576" s="127"/>
      <c r="I6576" s="128"/>
      <c r="K6576" s="55" t="s">
        <v>1034</v>
      </c>
      <c r="L6576" s="129">
        <v>7.076517361E9</v>
      </c>
      <c r="M6576" s="99">
        <f>IFERROR(__xludf.DUMMYFUNCTION("GOOGLEFINANCE(A6576,""beta"")"),0.98)</f>
        <v>0.98</v>
      </c>
    </row>
    <row r="6577">
      <c r="A6577" s="122" t="s">
        <v>13679</v>
      </c>
      <c r="B6577" s="123">
        <v>1689548.0</v>
      </c>
      <c r="C6577" s="124" t="s">
        <v>13680</v>
      </c>
      <c r="D6577" s="125"/>
      <c r="E6577" s="126">
        <v>41.77</v>
      </c>
      <c r="F6577" s="127"/>
      <c r="G6577" s="127"/>
      <c r="H6577" s="127"/>
      <c r="I6577" s="128"/>
      <c r="K6577" s="105" t="str">
        <f>IFERROR(__xludf.DUMMYFUNCTION("if(A6577="""","""",substitute(SUBSTITUTE(index(importhtml(""http://finviz.com/quote.ashx?t=""&amp;A6577,""table"",10),7,2),""*"",""""),""-"",""0.00""))"),"Loading...")</f>
        <v>Loading...</v>
      </c>
      <c r="L6577" s="129">
        <v>4.9957547E8</v>
      </c>
      <c r="M6577" s="99">
        <v>2.87</v>
      </c>
    </row>
    <row r="6578">
      <c r="A6578" s="122" t="s">
        <v>13681</v>
      </c>
      <c r="B6578" s="123">
        <v>1449003.0</v>
      </c>
      <c r="C6578" s="124" t="s">
        <v>13682</v>
      </c>
      <c r="D6578" s="125"/>
      <c r="E6578" s="126">
        <v>41.78</v>
      </c>
      <c r="F6578" s="127"/>
      <c r="G6578" s="127"/>
      <c r="H6578" s="127"/>
      <c r="I6578" s="128"/>
      <c r="K6578" s="105" t="str">
        <f>IFERROR(__xludf.DUMMYFUNCTION("if(A6578="""","""",substitute(SUBSTITUTE(index(importhtml(""http://finviz.com/quote.ashx?t=""&amp;A6578,""table"",10),7,2),""*"",""""),""-"",""0.00""))"),"Loading...")</f>
        <v>Loading...</v>
      </c>
      <c r="L6578" s="129">
        <v>1.2725006572E10</v>
      </c>
      <c r="M6578" s="99">
        <v>0.75</v>
      </c>
    </row>
    <row r="6579">
      <c r="A6579" s="122" t="s">
        <v>13683</v>
      </c>
      <c r="B6579" s="123">
        <v>1376891.0</v>
      </c>
      <c r="C6579" s="124" t="s">
        <v>13684</v>
      </c>
      <c r="D6579" s="125"/>
      <c r="E6579" s="126">
        <v>41.82</v>
      </c>
      <c r="F6579" s="127"/>
      <c r="G6579" s="127"/>
      <c r="H6579" s="127"/>
      <c r="I6579" s="128"/>
      <c r="K6579" s="105" t="str">
        <f>IFERROR(__xludf.DUMMYFUNCTION("if(A6579="""","""",substitute(SUBSTITUTE(index(importhtml(""http://finviz.com/quote.ashx?t=""&amp;A6579,""table"",10),7,2),""*"",""""),""-"",""0.00""))"),"Loading...")</f>
        <v>Loading...</v>
      </c>
      <c r="L6579" s="129">
        <v>3.8325010316E10</v>
      </c>
      <c r="M6579" s="99">
        <v>1.07</v>
      </c>
    </row>
    <row r="6580">
      <c r="A6580" s="122" t="s">
        <v>13685</v>
      </c>
      <c r="B6580" s="123">
        <v>1805387.0</v>
      </c>
      <c r="C6580" s="124" t="s">
        <v>13686</v>
      </c>
      <c r="D6580" s="125"/>
      <c r="E6580" s="126">
        <v>41.85</v>
      </c>
      <c r="F6580" s="127"/>
      <c r="G6580" s="127"/>
      <c r="H6580" s="127"/>
      <c r="I6580" s="128"/>
      <c r="K6580" s="105" t="str">
        <f>IFERROR(__xludf.DUMMYFUNCTION("if(A6580="""","""",substitute(SUBSTITUTE(index(importhtml(""http://finviz.com/quote.ashx?t=""&amp;A6580,""table"",10),7,2),""*"",""""),""-"",""0.00""))"),"Loading...")</f>
        <v>Loading...</v>
      </c>
      <c r="L6580" s="129">
        <v>7.592740598E9</v>
      </c>
      <c r="M6580" s="99">
        <v>1.54</v>
      </c>
    </row>
    <row r="6581">
      <c r="A6581" s="122" t="s">
        <v>13687</v>
      </c>
      <c r="B6581" s="123">
        <v>929869.0</v>
      </c>
      <c r="C6581" s="124" t="s">
        <v>13688</v>
      </c>
      <c r="D6581" s="125"/>
      <c r="E6581" s="126">
        <v>41.87</v>
      </c>
      <c r="F6581" s="127"/>
      <c r="G6581" s="127"/>
      <c r="H6581" s="127"/>
      <c r="I6581" s="128"/>
      <c r="K6581" s="105" t="str">
        <f>IFERROR(__xludf.DUMMYFUNCTION("if(A6581="""","""",substitute(SUBSTITUTE(index(importhtml(""http://finviz.com/quote.ashx?t=""&amp;A6581,""table"",10),7,2),""*"",""""),""-"",""0.00""))"),"Loading...")</f>
        <v>Loading...</v>
      </c>
      <c r="L6581" s="129">
        <v>7.894763E10</v>
      </c>
      <c r="M6581" s="99">
        <v>0.83</v>
      </c>
    </row>
    <row r="6582">
      <c r="A6582" s="122" t="s">
        <v>13689</v>
      </c>
      <c r="B6582" s="123">
        <v>1065088.0</v>
      </c>
      <c r="C6582" s="124" t="s">
        <v>13690</v>
      </c>
      <c r="D6582" s="125"/>
      <c r="E6582" s="126">
        <v>41.94</v>
      </c>
      <c r="F6582" s="127"/>
      <c r="G6582" s="127"/>
      <c r="H6582" s="127"/>
      <c r="I6582" s="128"/>
      <c r="K6582" s="105" t="str">
        <f>IFERROR(__xludf.DUMMYFUNCTION("if(A6582="""","""",substitute(SUBSTITUTE(index(importhtml(""http://finviz.com/quote.ashx?t=""&amp;A6582,""table"",10),7,2),""*"",""""),""-"",""0.00""))"),"Loading...")</f>
        <v>Loading...</v>
      </c>
      <c r="L6582" s="129">
        <v>2.1766855093E10</v>
      </c>
      <c r="M6582" s="99">
        <v>1.3</v>
      </c>
    </row>
    <row r="6583">
      <c r="A6583" s="122" t="s">
        <v>13691</v>
      </c>
      <c r="B6583" s="123">
        <v>916907.0</v>
      </c>
      <c r="C6583" s="124" t="s">
        <v>13692</v>
      </c>
      <c r="D6583" s="125"/>
      <c r="E6583" s="126">
        <v>42.01</v>
      </c>
      <c r="F6583" s="127"/>
      <c r="G6583" s="127"/>
      <c r="H6583" s="127"/>
      <c r="I6583" s="128"/>
      <c r="K6583" s="105" t="str">
        <f>IFERROR(__xludf.DUMMYFUNCTION("if(A6583="""","""",substitute(SUBSTITUTE(index(importhtml(""http://finviz.com/quote.ashx?t=""&amp;A6583,""table"",10),7,2),""*"",""""),""-"",""0.00""))"),"Loading...")</f>
        <v>Loading...</v>
      </c>
      <c r="L6583" s="129">
        <v>4.76244665E8</v>
      </c>
      <c r="M6583" s="99">
        <v>0.95</v>
      </c>
    </row>
    <row r="6584">
      <c r="A6584" s="122" t="s">
        <v>13693</v>
      </c>
      <c r="B6584" s="123">
        <v>1674168.0</v>
      </c>
      <c r="C6584" s="124" t="s">
        <v>13694</v>
      </c>
      <c r="D6584" s="125"/>
      <c r="E6584" s="126">
        <v>42.01</v>
      </c>
      <c r="F6584" s="127"/>
      <c r="G6584" s="127"/>
      <c r="H6584" s="127"/>
      <c r="I6584" s="128"/>
      <c r="K6584" s="105" t="str">
        <f>IFERROR(__xludf.DUMMYFUNCTION("if(A6584="""","""",substitute(SUBSTITUTE(index(importhtml(""http://finviz.com/quote.ashx?t=""&amp;A6584,""table"",10),7,2),""*"",""""),""-"",""0.00""))"),"Loading...")</f>
        <v>Loading...</v>
      </c>
      <c r="L6584" s="129">
        <v>4.536407658E9</v>
      </c>
      <c r="M6584" s="99">
        <v>1.93</v>
      </c>
    </row>
    <row r="6585">
      <c r="A6585" s="122" t="s">
        <v>13695</v>
      </c>
      <c r="B6585" s="123">
        <v>1703399.0</v>
      </c>
      <c r="C6585" s="124" t="s">
        <v>13696</v>
      </c>
      <c r="D6585" s="125"/>
      <c r="E6585" s="126">
        <v>42.02</v>
      </c>
      <c r="F6585" s="127"/>
      <c r="G6585" s="127"/>
      <c r="H6585" s="127"/>
      <c r="I6585" s="128"/>
      <c r="K6585" s="55" t="s">
        <v>1034</v>
      </c>
      <c r="L6585" s="129">
        <v>2.5728283212E10</v>
      </c>
      <c r="M6585" s="99">
        <v>1.51</v>
      </c>
    </row>
    <row r="6586">
      <c r="A6586" s="122" t="s">
        <v>13697</v>
      </c>
      <c r="B6586" s="123">
        <v>1158838.0</v>
      </c>
      <c r="C6586" s="124" t="s">
        <v>13597</v>
      </c>
      <c r="D6586" s="125"/>
      <c r="E6586" s="126">
        <v>42.08</v>
      </c>
      <c r="F6586" s="127"/>
      <c r="G6586" s="127"/>
      <c r="H6586" s="127"/>
      <c r="I6586" s="128"/>
      <c r="K6586" s="105" t="str">
        <f>IFERROR(__xludf.DUMMYFUNCTION("if(A6586="""","""",substitute(SUBSTITUTE(index(importhtml(""http://finviz.com/quote.ashx?t=""&amp;A6586,""table"",10),7,2),""*"",""""),""-"",""0.00""))"),"Loading...")</f>
        <v>Loading...</v>
      </c>
      <c r="L6586" s="129">
        <v>3.2089805428E10</v>
      </c>
      <c r="M6586" s="99">
        <v>1.39</v>
      </c>
    </row>
    <row r="6587">
      <c r="A6587" s="122" t="s">
        <v>13698</v>
      </c>
      <c r="B6587" s="123">
        <v>708781.0</v>
      </c>
      <c r="C6587" s="124" t="s">
        <v>13699</v>
      </c>
      <c r="D6587" s="125"/>
      <c r="E6587" s="126">
        <v>42.1</v>
      </c>
      <c r="F6587" s="127"/>
      <c r="G6587" s="127"/>
      <c r="H6587" s="127"/>
      <c r="I6587" s="128"/>
      <c r="K6587" s="105" t="str">
        <f>IFERROR(__xludf.DUMMYFUNCTION("if(A6587="""","""",substitute(SUBSTITUTE(index(importhtml(""http://finviz.com/quote.ashx?t=""&amp;A6587,""table"",10),7,2),""*"",""""),""-"",""0.00""))"),"Loading...")</f>
        <v>Loading...</v>
      </c>
      <c r="L6587" s="129">
        <v>5.72411787E8</v>
      </c>
      <c r="M6587" s="99">
        <v>0.72</v>
      </c>
    </row>
    <row r="6588">
      <c r="A6588" s="122" t="s">
        <v>13700</v>
      </c>
      <c r="B6588" s="123">
        <v>1880661.0</v>
      </c>
      <c r="C6588" s="124" t="s">
        <v>13701</v>
      </c>
      <c r="D6588" s="125"/>
      <c r="E6588" s="126">
        <v>42.12</v>
      </c>
      <c r="F6588" s="127"/>
      <c r="G6588" s="127"/>
      <c r="H6588" s="127"/>
      <c r="I6588" s="128"/>
      <c r="K6588" s="105" t="str">
        <f>IFERROR(__xludf.DUMMYFUNCTION("if(A6588="""","""",substitute(SUBSTITUTE(index(importhtml(""http://finviz.com/quote.ashx?t=""&amp;A6588,""table"",10),7,2),""*"",""""),""-"",""0.00""))"),"Loading...")</f>
        <v>Loading...</v>
      </c>
      <c r="L6588" s="129">
        <v>1.4909894153E10</v>
      </c>
      <c r="M6588" s="99">
        <f>IFERROR(__xludf.DUMMYFUNCTION("GOOGLEFINANCE(A6588,""beta"")"),1.52)</f>
        <v>1.52</v>
      </c>
    </row>
    <row r="6589">
      <c r="A6589" s="122" t="s">
        <v>13702</v>
      </c>
      <c r="B6589" s="123">
        <v>26058.0</v>
      </c>
      <c r="C6589" s="124" t="s">
        <v>13703</v>
      </c>
      <c r="D6589" s="125"/>
      <c r="E6589" s="126">
        <v>42.13</v>
      </c>
      <c r="F6589" s="127"/>
      <c r="G6589" s="127"/>
      <c r="H6589" s="127"/>
      <c r="I6589" s="128"/>
      <c r="K6589" s="55" t="s">
        <v>5842</v>
      </c>
      <c r="L6589" s="129">
        <v>1.312687415E9</v>
      </c>
      <c r="M6589" s="99">
        <v>0.61</v>
      </c>
    </row>
    <row r="6590">
      <c r="A6590" s="122" t="s">
        <v>13704</v>
      </c>
      <c r="B6590" s="123">
        <v>732712.0</v>
      </c>
      <c r="C6590" s="124" t="s">
        <v>13705</v>
      </c>
      <c r="D6590" s="125"/>
      <c r="E6590" s="126">
        <v>42.13</v>
      </c>
      <c r="F6590" s="127"/>
      <c r="G6590" s="127"/>
      <c r="H6590" s="127"/>
      <c r="I6590" s="128"/>
      <c r="K6590" s="55" t="s">
        <v>13706</v>
      </c>
      <c r="L6590" s="129">
        <v>1.7711452449E11</v>
      </c>
      <c r="M6590" s="99">
        <v>0.43</v>
      </c>
    </row>
    <row r="6591">
      <c r="A6591" s="122" t="s">
        <v>13707</v>
      </c>
      <c r="B6591" s="123">
        <v>1856525.0</v>
      </c>
      <c r="C6591" s="124" t="s">
        <v>13708</v>
      </c>
      <c r="D6591" s="125"/>
      <c r="E6591" s="126">
        <v>42.15</v>
      </c>
      <c r="F6591" s="127"/>
      <c r="G6591" s="127"/>
      <c r="H6591" s="127"/>
      <c r="I6591" s="128"/>
      <c r="K6591" s="55" t="s">
        <v>1034</v>
      </c>
      <c r="L6591" s="129">
        <v>8.695262909E9</v>
      </c>
      <c r="M6591" s="99">
        <f>IFERROR(__xludf.DUMMYFUNCTION("GOOGLEFINANCE(A6591,""beta"")"),0.98)</f>
        <v>0.98</v>
      </c>
    </row>
    <row r="6592">
      <c r="A6592" s="122" t="s">
        <v>13709</v>
      </c>
      <c r="B6592" s="123">
        <v>1410384.0</v>
      </c>
      <c r="C6592" s="124" t="s">
        <v>13710</v>
      </c>
      <c r="D6592" s="125"/>
      <c r="E6592" s="126">
        <v>42.15</v>
      </c>
      <c r="F6592" s="127"/>
      <c r="G6592" s="127"/>
      <c r="H6592" s="127"/>
      <c r="I6592" s="128"/>
      <c r="K6592" s="105" t="str">
        <f>IFERROR(__xludf.DUMMYFUNCTION("if(A6592="""","""",substitute(SUBSTITUTE(index(importhtml(""http://finviz.com/quote.ashx?t=""&amp;A6592,""table"",10),7,2),""*"",""""),""-"",""0.00""))"),"Loading...")</f>
        <v>Loading...</v>
      </c>
      <c r="L6592" s="129">
        <v>2.47146576E9</v>
      </c>
      <c r="M6592" s="99">
        <v>1.49</v>
      </c>
    </row>
    <row r="6593">
      <c r="A6593" s="122" t="s">
        <v>13711</v>
      </c>
      <c r="B6593" s="123">
        <v>1474432.0</v>
      </c>
      <c r="C6593" s="124" t="s">
        <v>13712</v>
      </c>
      <c r="D6593" s="125"/>
      <c r="E6593" s="126">
        <v>42.25</v>
      </c>
      <c r="F6593" s="127"/>
      <c r="G6593" s="127"/>
      <c r="H6593" s="127"/>
      <c r="I6593" s="128"/>
      <c r="K6593" s="105" t="str">
        <f>IFERROR(__xludf.DUMMYFUNCTION("if(A6593="""","""",substitute(SUBSTITUTE(index(importhtml(""http://finviz.com/quote.ashx?t=""&amp;A6593,""table"",10),7,2),""*"",""""),""-"",""0.00""))"),"Loading...")</f>
        <v>Loading...</v>
      </c>
      <c r="L6593" s="129">
        <v>1.334984235E10</v>
      </c>
      <c r="M6593" s="99">
        <v>1.11</v>
      </c>
    </row>
    <row r="6594">
      <c r="A6594" s="122" t="s">
        <v>13713</v>
      </c>
      <c r="B6594" s="123">
        <v>1056943.0</v>
      </c>
      <c r="C6594" s="124" t="s">
        <v>13714</v>
      </c>
      <c r="D6594" s="125"/>
      <c r="E6594" s="126">
        <v>42.26</v>
      </c>
      <c r="F6594" s="127"/>
      <c r="G6594" s="127"/>
      <c r="H6594" s="127"/>
      <c r="I6594" s="128"/>
      <c r="K6594" s="105" t="str">
        <f>IFERROR(__xludf.DUMMYFUNCTION("if(A6594="""","""",substitute(SUBSTITUTE(index(importhtml(""http://finviz.com/quote.ashx?t=""&amp;A6594,""table"",10),7,2),""*"",""""),""-"",""0.00""))"),"Loading...")</f>
        <v>Loading...</v>
      </c>
      <c r="L6594" s="129">
        <v>2.97641605E8</v>
      </c>
      <c r="M6594" s="99">
        <v>0.46</v>
      </c>
    </row>
    <row r="6595">
      <c r="A6595" s="122" t="s">
        <v>13715</v>
      </c>
      <c r="B6595" s="123">
        <v>1308606.0</v>
      </c>
      <c r="C6595" s="124" t="s">
        <v>13716</v>
      </c>
      <c r="D6595" s="125"/>
      <c r="E6595" s="126">
        <v>42.31</v>
      </c>
      <c r="F6595" s="127"/>
      <c r="G6595" s="127"/>
      <c r="H6595" s="127"/>
      <c r="I6595" s="128"/>
      <c r="K6595" s="105" t="str">
        <f>IFERROR(__xludf.DUMMYFUNCTION("if(A6595="""","""",substitute(SUBSTITUTE(index(importhtml(""http://finviz.com/quote.ashx?t=""&amp;A6595,""table"",10),7,2),""*"",""""),""-"",""0.00""))"),"Loading...")</f>
        <v>Loading...</v>
      </c>
      <c r="L6595" s="129">
        <v>5.9890907E9</v>
      </c>
      <c r="M6595" s="99">
        <v>1.34</v>
      </c>
    </row>
    <row r="6596">
      <c r="A6596" s="122" t="s">
        <v>13717</v>
      </c>
      <c r="B6596" s="123">
        <v>913241.0</v>
      </c>
      <c r="C6596" s="124" t="s">
        <v>13718</v>
      </c>
      <c r="D6596" s="125"/>
      <c r="E6596" s="126">
        <v>42.39</v>
      </c>
      <c r="F6596" s="127"/>
      <c r="G6596" s="127"/>
      <c r="H6596" s="127"/>
      <c r="I6596" s="128"/>
      <c r="K6596" s="105" t="str">
        <f>IFERROR(__xludf.DUMMYFUNCTION("if(A6596="""","""",substitute(SUBSTITUTE(index(importhtml(""http://finviz.com/quote.ashx?t=""&amp;A6596,""table"",10),7,2),""*"",""""),""-"",""0.00""))"),"Loading...")</f>
        <v>Loading...</v>
      </c>
      <c r="L6596" s="129">
        <v>3.162641976E9</v>
      </c>
      <c r="M6596" s="99">
        <v>1.16</v>
      </c>
    </row>
    <row r="6597">
      <c r="A6597" s="122" t="s">
        <v>13719</v>
      </c>
      <c r="B6597" s="123">
        <v>50863.0</v>
      </c>
      <c r="C6597" s="124" t="s">
        <v>13720</v>
      </c>
      <c r="D6597" s="125"/>
      <c r="E6597" s="126">
        <v>42.6</v>
      </c>
      <c r="F6597" s="127"/>
      <c r="G6597" s="127"/>
      <c r="H6597" s="127"/>
      <c r="I6597" s="128"/>
      <c r="K6597" s="105" t="str">
        <f>IFERROR(__xludf.DUMMYFUNCTION("if(A6597="""","""",substitute(SUBSTITUTE(index(importhtml(""http://finviz.com/quote.ashx?t=""&amp;A6597,""table"",10),7,2),""*"",""""),""-"",""0.00""))"),"Loading...")</f>
        <v>Loading...</v>
      </c>
      <c r="L6597" s="129">
        <v>1.80112793548E11</v>
      </c>
      <c r="M6597" s="99">
        <v>1.01</v>
      </c>
    </row>
    <row r="6598">
      <c r="A6598" s="122" t="s">
        <v>13721</v>
      </c>
      <c r="B6598" s="123">
        <v>1290476.0</v>
      </c>
      <c r="C6598" s="124" t="s">
        <v>13722</v>
      </c>
      <c r="D6598" s="125"/>
      <c r="E6598" s="126">
        <v>42.61</v>
      </c>
      <c r="F6598" s="127"/>
      <c r="G6598" s="127"/>
      <c r="H6598" s="127"/>
      <c r="I6598" s="128"/>
      <c r="K6598" s="105" t="str">
        <f>IFERROR(__xludf.DUMMYFUNCTION("if(A6598="""","""",substitute(SUBSTITUTE(index(importhtml(""http://finviz.com/quote.ashx?t=""&amp;A6598,""table"",10),7,2),""*"",""""),""-"",""0.00""))"),"Loading...")</f>
        <v>Loading...</v>
      </c>
      <c r="L6598" s="129">
        <v>6.361157E7</v>
      </c>
      <c r="M6598" s="99">
        <v>0.78</v>
      </c>
    </row>
    <row r="6599">
      <c r="A6599" s="122" t="s">
        <v>13723</v>
      </c>
      <c r="B6599" s="123">
        <v>1449003.0</v>
      </c>
      <c r="C6599" s="124" t="s">
        <v>13724</v>
      </c>
      <c r="D6599" s="125"/>
      <c r="E6599" s="126">
        <v>42.65</v>
      </c>
      <c r="F6599" s="127"/>
      <c r="G6599" s="127"/>
      <c r="H6599" s="127"/>
      <c r="I6599" s="128"/>
      <c r="K6599" s="105" t="str">
        <f>IFERROR(__xludf.DUMMYFUNCTION("if(A6599="""","""",substitute(SUBSTITUTE(index(importhtml(""http://finviz.com/quote.ashx?t=""&amp;A6599,""table"",10),7,2),""*"",""""),""-"",""0.00""))"),"Loading...")</f>
        <v>Loading...</v>
      </c>
      <c r="L6599" s="129">
        <v>1.2725006572E10</v>
      </c>
      <c r="M6599" s="99">
        <v>0.74</v>
      </c>
    </row>
    <row r="6600">
      <c r="A6600" s="122" t="s">
        <v>13725</v>
      </c>
      <c r="B6600" s="123">
        <v>1295401.0</v>
      </c>
      <c r="C6600" s="124" t="s">
        <v>13726</v>
      </c>
      <c r="D6600" s="125"/>
      <c r="E6600" s="126">
        <v>42.66</v>
      </c>
      <c r="F6600" s="127"/>
      <c r="G6600" s="127"/>
      <c r="H6600" s="127"/>
      <c r="I6600" s="128"/>
      <c r="K6600" s="105" t="str">
        <f>IFERROR(__xludf.DUMMYFUNCTION("if(A6600="""","""",substitute(SUBSTITUTE(index(importhtml(""http://finviz.com/quote.ashx?t=""&amp;A6600,""table"",10),7,2),""*"",""""),""-"",""0.00""))"),"Loading...")</f>
        <v>Loading...</v>
      </c>
      <c r="L6600" s="129">
        <v>2.288953433E9</v>
      </c>
      <c r="M6600" s="99">
        <v>1.5</v>
      </c>
    </row>
    <row r="6601">
      <c r="A6601" s="122" t="s">
        <v>13727</v>
      </c>
      <c r="B6601" s="123">
        <v>906338.0</v>
      </c>
      <c r="C6601" s="124" t="s">
        <v>13728</v>
      </c>
      <c r="D6601" s="125"/>
      <c r="E6601" s="126">
        <v>42.68</v>
      </c>
      <c r="F6601" s="127"/>
      <c r="G6601" s="127"/>
      <c r="H6601" s="127"/>
      <c r="I6601" s="128"/>
      <c r="K6601" s="105" t="str">
        <f>IFERROR(__xludf.DUMMYFUNCTION("if(A6601="""","""",substitute(SUBSTITUTE(index(importhtml(""http://finviz.com/quote.ashx?t=""&amp;A6601,""table"",10),7,2),""*"",""""),""-"",""0.00""))"),"Loading...")</f>
        <v>Loading...</v>
      </c>
      <c r="L6601" s="129">
        <v>1.604111593E9</v>
      </c>
      <c r="M6601" s="99">
        <v>0.63</v>
      </c>
    </row>
    <row r="6602">
      <c r="A6602" s="122" t="s">
        <v>13729</v>
      </c>
      <c r="B6602" s="123">
        <v>1438656.0</v>
      </c>
      <c r="C6602" s="124" t="s">
        <v>13730</v>
      </c>
      <c r="D6602" s="125"/>
      <c r="E6602" s="126">
        <v>42.8</v>
      </c>
      <c r="F6602" s="127"/>
      <c r="G6602" s="127"/>
      <c r="H6602" s="127"/>
      <c r="I6602" s="128"/>
      <c r="K6602" s="105" t="str">
        <f>IFERROR(__xludf.DUMMYFUNCTION("if(A6602="""","""",substitute(SUBSTITUTE(index(importhtml(""http://finviz.com/quote.ashx?t=""&amp;A6602,""table"",10),7,2),""*"",""""),""-"",""0.00""))"),"Loading...")</f>
        <v>Loading...</v>
      </c>
      <c r="L6602" s="129">
        <v>1.24295201872E11</v>
      </c>
      <c r="M6602" s="99">
        <v>1.07</v>
      </c>
    </row>
    <row r="6603">
      <c r="A6603" s="122" t="s">
        <v>13731</v>
      </c>
      <c r="B6603" s="123">
        <v>1517302.0</v>
      </c>
      <c r="C6603" s="124" t="s">
        <v>13732</v>
      </c>
      <c r="D6603" s="125"/>
      <c r="E6603" s="126">
        <v>42.82</v>
      </c>
      <c r="F6603" s="127"/>
      <c r="G6603" s="127"/>
      <c r="H6603" s="127"/>
      <c r="I6603" s="128"/>
      <c r="K6603" s="105" t="str">
        <f>IFERROR(__xludf.DUMMYFUNCTION("if(A6603="""","""",substitute(SUBSTITUTE(index(importhtml(""http://finviz.com/quote.ashx?t=""&amp;A6603,""table"",10),7,2),""*"",""""),""-"",""0.00""))"),"Loading...")</f>
        <v>Loading...</v>
      </c>
      <c r="L6603" s="129">
        <v>3.429089377E9</v>
      </c>
      <c r="M6603" s="99">
        <v>1.86</v>
      </c>
    </row>
    <row r="6604">
      <c r="A6604" s="122" t="s">
        <v>13733</v>
      </c>
      <c r="B6604" s="123">
        <v>887359.0</v>
      </c>
      <c r="C6604" s="124" t="s">
        <v>13734</v>
      </c>
      <c r="D6604" s="125"/>
      <c r="E6604" s="126">
        <v>42.89</v>
      </c>
      <c r="F6604" s="127"/>
      <c r="G6604" s="127"/>
      <c r="H6604" s="127"/>
      <c r="I6604" s="128"/>
      <c r="K6604" s="105" t="str">
        <f>IFERROR(__xludf.DUMMYFUNCTION("if(A6604="""","""",substitute(SUBSTITUTE(index(importhtml(""http://finviz.com/quote.ashx?t=""&amp;A6604,""table"",10),7,2),""*"",""""),""-"",""0.00""))"),"Loading...")</f>
        <v>Loading...</v>
      </c>
      <c r="L6604" s="129">
        <v>2.046905062E9</v>
      </c>
      <c r="M6604" s="99">
        <v>1.7</v>
      </c>
    </row>
    <row r="6605">
      <c r="A6605" s="122" t="s">
        <v>13735</v>
      </c>
      <c r="B6605" s="123">
        <v>1569650.0</v>
      </c>
      <c r="C6605" s="124" t="s">
        <v>13736</v>
      </c>
      <c r="D6605" s="125"/>
      <c r="E6605" s="126">
        <v>42.89</v>
      </c>
      <c r="F6605" s="127"/>
      <c r="G6605" s="127"/>
      <c r="H6605" s="127"/>
      <c r="I6605" s="128"/>
      <c r="K6605" s="105" t="str">
        <f>IFERROR(__xludf.DUMMYFUNCTION("if(A6605="""","""",substitute(SUBSTITUTE(index(importhtml(""http://finviz.com/quote.ashx?t=""&amp;A6605,""table"",10),7,2),""*"",""""),""-"",""0.00""))"),"Loading...")</f>
        <v>Loading...</v>
      </c>
      <c r="L6605" s="129">
        <v>4.852407259E9</v>
      </c>
      <c r="M6605" s="99">
        <v>1.29</v>
      </c>
    </row>
    <row r="6606">
      <c r="A6606" s="122" t="s">
        <v>13737</v>
      </c>
      <c r="B6606" s="123">
        <v>1849253.0</v>
      </c>
      <c r="C6606" s="124" t="s">
        <v>13738</v>
      </c>
      <c r="D6606" s="125"/>
      <c r="E6606" s="126">
        <v>42.94</v>
      </c>
      <c r="F6606" s="127"/>
      <c r="G6606" s="127"/>
      <c r="H6606" s="127"/>
      <c r="I6606" s="128"/>
      <c r="K6606" s="105" t="str">
        <f>IFERROR(__xludf.DUMMYFUNCTION("if(A6606="""","""",substitute(SUBSTITUTE(index(importhtml(""http://finviz.com/quote.ashx?t=""&amp;A6606,""table"",10),7,2),""*"",""""),""-"",""0.00""))"),"Loading...")</f>
        <v>Loading...</v>
      </c>
      <c r="L6606" s="129">
        <v>1.1175156112E10</v>
      </c>
      <c r="M6606" s="99">
        <f>IFERROR(__xludf.DUMMYFUNCTION("GOOGLEFINANCE(A6606,""beta"")"),0.62)</f>
        <v>0.62</v>
      </c>
    </row>
    <row r="6607">
      <c r="A6607" s="122" t="s">
        <v>13739</v>
      </c>
      <c r="B6607" s="123">
        <v>1045450.0</v>
      </c>
      <c r="C6607" s="124" t="s">
        <v>13740</v>
      </c>
      <c r="D6607" s="125"/>
      <c r="E6607" s="126">
        <v>42.99</v>
      </c>
      <c r="F6607" s="127"/>
      <c r="G6607" s="127"/>
      <c r="H6607" s="127"/>
      <c r="I6607" s="128"/>
      <c r="K6607" s="55" t="s">
        <v>13741</v>
      </c>
      <c r="L6607" s="129">
        <v>3.233892023E9</v>
      </c>
      <c r="M6607" s="99">
        <v>1.7</v>
      </c>
    </row>
    <row r="6608">
      <c r="A6608" s="122" t="s">
        <v>13742</v>
      </c>
      <c r="B6608" s="123">
        <v>1560385.0</v>
      </c>
      <c r="C6608" s="124" t="s">
        <v>13743</v>
      </c>
      <c r="D6608" s="125"/>
      <c r="E6608" s="126">
        <v>42.99</v>
      </c>
      <c r="F6608" s="127"/>
      <c r="G6608" s="127"/>
      <c r="H6608" s="127"/>
      <c r="I6608" s="128"/>
      <c r="K6608" s="105" t="str">
        <f>IFERROR(__xludf.DUMMYFUNCTION("if(A6608="""","""",substitute(SUBSTITUTE(index(importhtml(""http://finviz.com/quote.ashx?t=""&amp;A6608,""table"",10),7,2),""*"",""""),""-"",""0.00""))"),"Loading...")</f>
        <v>Loading...</v>
      </c>
      <c r="L6608" s="129">
        <v>2.509563272E9</v>
      </c>
      <c r="M6608" s="99">
        <v>0.97</v>
      </c>
    </row>
    <row r="6609">
      <c r="A6609" s="122" t="s">
        <v>13744</v>
      </c>
      <c r="B6609" s="123">
        <v>23426.0</v>
      </c>
      <c r="C6609" s="124" t="s">
        <v>13745</v>
      </c>
      <c r="D6609" s="125"/>
      <c r="E6609" s="126">
        <v>43.0</v>
      </c>
      <c r="F6609" s="127"/>
      <c r="G6609" s="127"/>
      <c r="H6609" s="127"/>
      <c r="I6609" s="128"/>
      <c r="K6609" s="105" t="str">
        <f>IFERROR(__xludf.DUMMYFUNCTION("if(A6609="""","""",substitute(SUBSTITUTE(index(importhtml(""http://finviz.com/quote.ashx?t=""&amp;A6609,""table"",10),7,2),""*"",""""),""-"",""0.00""))"),"Loading...")</f>
        <v>Loading...</v>
      </c>
      <c r="L6609" s="129">
        <v>2.66609E7</v>
      </c>
      <c r="M6609" s="99">
        <v>0.21</v>
      </c>
    </row>
    <row r="6610">
      <c r="A6610" s="122" t="s">
        <v>13746</v>
      </c>
      <c r="B6610" s="123">
        <v>1515673.0</v>
      </c>
      <c r="C6610" s="124" t="s">
        <v>13747</v>
      </c>
      <c r="D6610" s="125"/>
      <c r="E6610" s="126">
        <v>43.02</v>
      </c>
      <c r="F6610" s="127"/>
      <c r="G6610" s="127"/>
      <c r="H6610" s="127"/>
      <c r="I6610" s="128"/>
      <c r="K6610" s="105" t="str">
        <f>IFERROR(__xludf.DUMMYFUNCTION("if(A6610="""","""",substitute(SUBSTITUTE(index(importhtml(""http://finviz.com/quote.ashx?t=""&amp;A6610,""table"",10),7,2),""*"",""""),""-"",""0.00""))"),"Loading...")</f>
        <v>Loading...</v>
      </c>
      <c r="L6610" s="129">
        <v>3.532559374E9</v>
      </c>
      <c r="M6610" s="99">
        <v>0.66</v>
      </c>
    </row>
    <row r="6611">
      <c r="A6611" s="122" t="s">
        <v>13748</v>
      </c>
      <c r="B6611" s="123">
        <v>929869.0</v>
      </c>
      <c r="C6611" s="124" t="s">
        <v>13688</v>
      </c>
      <c r="D6611" s="125"/>
      <c r="E6611" s="126">
        <v>43.06</v>
      </c>
      <c r="F6611" s="127"/>
      <c r="G6611" s="127"/>
      <c r="H6611" s="127"/>
      <c r="I6611" s="128"/>
      <c r="K6611" s="105" t="str">
        <f>IFERROR(__xludf.DUMMYFUNCTION("if(A6611="""","""",substitute(SUBSTITUTE(index(importhtml(""http://finviz.com/quote.ashx?t=""&amp;A6611,""table"",10),7,2),""*"",""""),""-"",""0.00""))"),"Loading...")</f>
        <v>Loading...</v>
      </c>
      <c r="L6611" s="129">
        <v>7.894763E10</v>
      </c>
      <c r="M6611" s="99">
        <v>0.91</v>
      </c>
    </row>
    <row r="6612">
      <c r="A6612" s="122" t="s">
        <v>13749</v>
      </c>
      <c r="B6612" s="123">
        <v>1002638.0</v>
      </c>
      <c r="C6612" s="124" t="s">
        <v>13750</v>
      </c>
      <c r="D6612" s="125"/>
      <c r="E6612" s="126">
        <v>43.07</v>
      </c>
      <c r="F6612" s="127"/>
      <c r="G6612" s="127"/>
      <c r="H6612" s="127"/>
      <c r="I6612" s="128"/>
      <c r="K6612" s="105" t="str">
        <f>IFERROR(__xludf.DUMMYFUNCTION("if(A6612="""","""",substitute(SUBSTITUTE(index(importhtml(""http://finviz.com/quote.ashx?t=""&amp;A6612,""table"",10),7,2),""*"",""""),""-"",""0.00""))"),"Loading...")</f>
        <v>Loading...</v>
      </c>
      <c r="L6612" s="129">
        <v>1.1700073092E10</v>
      </c>
      <c r="M6612" s="99">
        <v>1.13</v>
      </c>
    </row>
    <row r="6613">
      <c r="A6613" s="122" t="s">
        <v>13751</v>
      </c>
      <c r="B6613" s="123">
        <v>750577.0</v>
      </c>
      <c r="C6613" s="124" t="s">
        <v>13752</v>
      </c>
      <c r="D6613" s="125"/>
      <c r="E6613" s="126">
        <v>43.12</v>
      </c>
      <c r="F6613" s="127"/>
      <c r="G6613" s="127"/>
      <c r="H6613" s="127"/>
      <c r="I6613" s="128"/>
      <c r="K6613" s="105" t="str">
        <f>IFERROR(__xludf.DUMMYFUNCTION("if(A6613="""","""",substitute(SUBSTITUTE(index(importhtml(""http://finviz.com/quote.ashx?t=""&amp;A6613,""table"",10),7,2),""*"",""""),""-"",""0.00""))"),"Loading...")</f>
        <v>Loading...</v>
      </c>
      <c r="L6613" s="129">
        <v>3.714837927E9</v>
      </c>
      <c r="M6613" s="99">
        <v>1.35</v>
      </c>
    </row>
    <row r="6614">
      <c r="A6614" s="122" t="s">
        <v>13753</v>
      </c>
      <c r="B6614" s="123">
        <v>932787.0</v>
      </c>
      <c r="C6614" s="124" t="s">
        <v>13754</v>
      </c>
      <c r="D6614" s="125"/>
      <c r="E6614" s="126">
        <v>43.13</v>
      </c>
      <c r="F6614" s="127"/>
      <c r="G6614" s="127"/>
      <c r="H6614" s="127"/>
      <c r="I6614" s="128"/>
      <c r="K6614" s="105" t="str">
        <f>IFERROR(__xludf.DUMMYFUNCTION("if(A6614="""","""",substitute(SUBSTITUTE(index(importhtml(""http://finviz.com/quote.ashx?t=""&amp;A6614,""table"",10),7,2),""*"",""""),""-"",""0.00""))"),"Loading...")</f>
        <v>Loading...</v>
      </c>
      <c r="L6614" s="129">
        <v>3.9555317102E10</v>
      </c>
      <c r="M6614" s="99">
        <v>1.82</v>
      </c>
    </row>
    <row r="6615">
      <c r="A6615" s="122" t="s">
        <v>13755</v>
      </c>
      <c r="B6615" s="123">
        <v>828944.0</v>
      </c>
      <c r="C6615" s="124" t="s">
        <v>13756</v>
      </c>
      <c r="D6615" s="125"/>
      <c r="E6615" s="126">
        <v>43.15</v>
      </c>
      <c r="F6615" s="127"/>
      <c r="G6615" s="127"/>
      <c r="H6615" s="127"/>
      <c r="I6615" s="128"/>
      <c r="K6615" s="105" t="str">
        <f>IFERROR(__xludf.DUMMYFUNCTION("if(A6615="""","""",substitute(SUBSTITUTE(index(importhtml(""http://finviz.com/quote.ashx?t=""&amp;A6615,""table"",10),7,2),""*"",""""),""-"",""0.00""))"),"Loading...")</f>
        <v>Loading...</v>
      </c>
      <c r="L6615" s="129">
        <v>2.61221436E9</v>
      </c>
      <c r="M6615" s="99">
        <v>1.04</v>
      </c>
    </row>
    <row r="6616">
      <c r="A6616" s="122" t="s">
        <v>13757</v>
      </c>
      <c r="B6616" s="123">
        <v>1065521.0</v>
      </c>
      <c r="C6616" s="124" t="s">
        <v>13758</v>
      </c>
      <c r="D6616" s="125"/>
      <c r="E6616" s="126">
        <v>43.2</v>
      </c>
      <c r="F6616" s="127"/>
      <c r="G6616" s="127"/>
      <c r="H6616" s="127"/>
      <c r="I6616" s="128"/>
      <c r="K6616" s="105" t="str">
        <f>IFERROR(__xludf.DUMMYFUNCTION("if(A6616="""","""",substitute(SUBSTITUTE(index(importhtml(""http://finviz.com/quote.ashx?t=""&amp;A6616,""table"",10),7,2),""*"",""""),""-"",""0.00""))"),"Loading...")</f>
        <v>Loading...</v>
      </c>
      <c r="L6616" s="129">
        <v>6.3968012329E10</v>
      </c>
      <c r="M6616" s="99">
        <v>0.91</v>
      </c>
    </row>
    <row r="6617">
      <c r="A6617" s="122" t="s">
        <v>13759</v>
      </c>
      <c r="B6617" s="123">
        <v>916540.0</v>
      </c>
      <c r="C6617" s="124" t="s">
        <v>13760</v>
      </c>
      <c r="D6617" s="125"/>
      <c r="E6617" s="126">
        <v>43.26</v>
      </c>
      <c r="F6617" s="127"/>
      <c r="G6617" s="127"/>
      <c r="H6617" s="127"/>
      <c r="I6617" s="128"/>
      <c r="K6617" s="55" t="s">
        <v>1034</v>
      </c>
      <c r="L6617" s="129">
        <v>6.901362704E9</v>
      </c>
      <c r="M6617" s="99">
        <v>1.3</v>
      </c>
    </row>
    <row r="6618">
      <c r="A6618" s="122" t="s">
        <v>13761</v>
      </c>
      <c r="B6618" s="123">
        <v>1320695.0</v>
      </c>
      <c r="C6618" s="124" t="s">
        <v>13762</v>
      </c>
      <c r="D6618" s="125"/>
      <c r="E6618" s="126">
        <v>43.3</v>
      </c>
      <c r="F6618" s="127"/>
      <c r="G6618" s="127"/>
      <c r="H6618" s="127"/>
      <c r="I6618" s="128"/>
      <c r="K6618" s="105" t="str">
        <f>IFERROR(__xludf.DUMMYFUNCTION("if(A6618="""","""",substitute(SUBSTITUTE(index(importhtml(""http://finviz.com/quote.ashx?t=""&amp;A6618,""table"",10),7,2),""*"",""""),""-"",""0.00""))"),"Loading...")</f>
        <v>Loading...</v>
      </c>
      <c r="L6618" s="129">
        <v>2.394489957E9</v>
      </c>
      <c r="M6618" s="99">
        <v>0.39</v>
      </c>
    </row>
    <row r="6619">
      <c r="A6619" s="122" t="s">
        <v>13763</v>
      </c>
      <c r="B6619" s="123">
        <v>21175.0</v>
      </c>
      <c r="C6619" s="124" t="s">
        <v>13764</v>
      </c>
      <c r="D6619" s="125"/>
      <c r="E6619" s="126">
        <v>43.32</v>
      </c>
      <c r="F6619" s="127"/>
      <c r="G6619" s="127"/>
      <c r="H6619" s="127"/>
      <c r="I6619" s="128"/>
      <c r="K6619" s="55" t="s">
        <v>13765</v>
      </c>
      <c r="L6619" s="129">
        <v>1.1734105645E10</v>
      </c>
      <c r="M6619" s="99">
        <v>0.61</v>
      </c>
    </row>
    <row r="6620">
      <c r="A6620" s="122" t="s">
        <v>13766</v>
      </c>
      <c r="B6620" s="123">
        <v>1458891.0</v>
      </c>
      <c r="C6620" s="124" t="s">
        <v>13767</v>
      </c>
      <c r="D6620" s="125"/>
      <c r="E6620" s="126">
        <v>43.37</v>
      </c>
      <c r="F6620" s="127"/>
      <c r="G6620" s="127"/>
      <c r="H6620" s="127"/>
      <c r="I6620" s="128"/>
      <c r="K6620" s="138" t="s">
        <v>9445</v>
      </c>
      <c r="L6620" s="129">
        <v>6.105355218E9</v>
      </c>
      <c r="M6620" s="99">
        <f>IFERROR(__xludf.DUMMYFUNCTION("GOOGLEFINANCE(A6620,""beta"")"),1.11)</f>
        <v>1.11</v>
      </c>
    </row>
    <row r="6621">
      <c r="A6621" s="122" t="s">
        <v>13768</v>
      </c>
      <c r="B6621" s="123">
        <v>1606163.0</v>
      </c>
      <c r="C6621" s="124" t="s">
        <v>13769</v>
      </c>
      <c r="D6621" s="125"/>
      <c r="E6621" s="126">
        <v>43.38</v>
      </c>
      <c r="F6621" s="127"/>
      <c r="G6621" s="127"/>
      <c r="H6621" s="127"/>
      <c r="I6621" s="128"/>
      <c r="K6621" s="105" t="str">
        <f>IFERROR(__xludf.DUMMYFUNCTION("if(A6621="""","""",substitute(SUBSTITUTE(index(importhtml(""http://finviz.com/quote.ashx?t=""&amp;A6621,""table"",10),7,2),""*"",""""),""-"",""0.00""))"),"Loading...")</f>
        <v>Loading...</v>
      </c>
      <c r="L6621" s="129">
        <v>4.77328371E8</v>
      </c>
      <c r="M6621" s="99">
        <v>1.04</v>
      </c>
    </row>
    <row r="6622">
      <c r="A6622" s="122" t="s">
        <v>13770</v>
      </c>
      <c r="B6622" s="123">
        <v>1590895.0</v>
      </c>
      <c r="C6622" s="124" t="s">
        <v>13771</v>
      </c>
      <c r="D6622" s="125"/>
      <c r="E6622" s="126">
        <v>43.41</v>
      </c>
      <c r="F6622" s="127"/>
      <c r="G6622" s="127"/>
      <c r="H6622" s="127"/>
      <c r="I6622" s="128"/>
      <c r="K6622" s="55" t="s">
        <v>1034</v>
      </c>
      <c r="L6622" s="129">
        <v>9.364001454E9</v>
      </c>
      <c r="M6622" s="99">
        <v>2.85</v>
      </c>
    </row>
    <row r="6623">
      <c r="A6623" s="122" t="s">
        <v>13772</v>
      </c>
      <c r="B6623" s="123">
        <v>1298675.0</v>
      </c>
      <c r="C6623" s="124" t="s">
        <v>13773</v>
      </c>
      <c r="D6623" s="125"/>
      <c r="E6623" s="126">
        <v>43.43</v>
      </c>
      <c r="F6623" s="127"/>
      <c r="G6623" s="127"/>
      <c r="H6623" s="127"/>
      <c r="I6623" s="128"/>
      <c r="K6623" s="105" t="str">
        <f>IFERROR(__xludf.DUMMYFUNCTION("if(A6623="""","""",substitute(SUBSTITUTE(index(importhtml(""http://finviz.com/quote.ashx?t=""&amp;A6623,""table"",10),7,2),""*"",""""),""-"",""0.00""))"),"Loading...")</f>
        <v>Loading...</v>
      </c>
      <c r="L6623" s="129">
        <v>9.765708955E9</v>
      </c>
      <c r="M6623" s="99">
        <v>0.68</v>
      </c>
    </row>
    <row r="6624">
      <c r="A6624" s="122" t="s">
        <v>13774</v>
      </c>
      <c r="B6624" s="123">
        <v>1690820.0</v>
      </c>
      <c r="C6624" s="124" t="s">
        <v>13775</v>
      </c>
      <c r="D6624" s="125"/>
      <c r="E6624" s="126">
        <v>43.45</v>
      </c>
      <c r="F6624" s="127"/>
      <c r="G6624" s="127"/>
      <c r="H6624" s="127"/>
      <c r="I6624" s="128"/>
      <c r="K6624" s="105" t="str">
        <f>IFERROR(__xludf.DUMMYFUNCTION("if(A6624="""","""",substitute(SUBSTITUTE(index(importhtml(""http://finviz.com/quote.ashx?t=""&amp;A6624,""table"",10),7,2),""*"",""""),""-"",""0.00""))"),"Loading...")</f>
        <v>Loading...</v>
      </c>
      <c r="L6624" s="129">
        <v>8.674783962E9</v>
      </c>
      <c r="M6624" s="99">
        <v>3.19</v>
      </c>
    </row>
    <row r="6625">
      <c r="A6625" s="122" t="s">
        <v>13776</v>
      </c>
      <c r="B6625" s="123">
        <v>701985.0</v>
      </c>
      <c r="C6625" s="124" t="s">
        <v>13777</v>
      </c>
      <c r="D6625" s="125"/>
      <c r="E6625" s="126">
        <v>43.45</v>
      </c>
      <c r="F6625" s="127"/>
      <c r="G6625" s="127"/>
      <c r="H6625" s="127"/>
      <c r="I6625" s="128"/>
      <c r="K6625" s="105" t="str">
        <f>IFERROR(__xludf.DUMMYFUNCTION("if(A6625="""","""",substitute(SUBSTITUTE(index(importhtml(""http://finviz.com/quote.ashx?t=""&amp;A6625,""table"",10),7,2),""*"",""""),""-"",""0.00""))"),"Loading...")</f>
        <v>Loading...</v>
      </c>
      <c r="L6625" s="129">
        <v>9.817114897E9</v>
      </c>
      <c r="M6625" s="99">
        <v>1.85</v>
      </c>
    </row>
    <row r="6626">
      <c r="A6626" s="122" t="s">
        <v>13778</v>
      </c>
      <c r="B6626" s="123">
        <v>945114.0</v>
      </c>
      <c r="C6626" s="124" t="s">
        <v>13779</v>
      </c>
      <c r="D6626" s="125"/>
      <c r="E6626" s="126">
        <v>43.6</v>
      </c>
      <c r="F6626" s="127"/>
      <c r="G6626" s="127"/>
      <c r="H6626" s="127"/>
      <c r="I6626" s="128"/>
      <c r="K6626" s="55" t="s">
        <v>13780</v>
      </c>
      <c r="L6626" s="129">
        <v>1.659574645E9</v>
      </c>
      <c r="M6626" s="99">
        <v>0.87</v>
      </c>
    </row>
    <row r="6627">
      <c r="A6627" s="122" t="s">
        <v>13781</v>
      </c>
      <c r="B6627" s="123">
        <v>1770787.0</v>
      </c>
      <c r="C6627" s="124" t="s">
        <v>13782</v>
      </c>
      <c r="D6627" s="125"/>
      <c r="E6627" s="126">
        <v>43.6</v>
      </c>
      <c r="F6627" s="127"/>
      <c r="G6627" s="127"/>
      <c r="H6627" s="127"/>
      <c r="I6627" s="128"/>
      <c r="K6627" s="105" t="str">
        <f>IFERROR(__xludf.DUMMYFUNCTION("if(A6627="""","""",substitute(SUBSTITUTE(index(importhtml(""http://finviz.com/quote.ashx?t=""&amp;A6627,""table"",10),7,2),""*"",""""),""-"",""0.00""))"),"Loading...")</f>
        <v>Loading...</v>
      </c>
      <c r="L6627" s="129">
        <v>5.153894779E9</v>
      </c>
      <c r="M6627" s="99">
        <v>1.92</v>
      </c>
    </row>
    <row r="6628">
      <c r="A6628" s="122" t="s">
        <v>13783</v>
      </c>
      <c r="B6628" s="123">
        <v>95029.0</v>
      </c>
      <c r="C6628" s="124" t="s">
        <v>13784</v>
      </c>
      <c r="D6628" s="125"/>
      <c r="E6628" s="126">
        <v>43.63</v>
      </c>
      <c r="F6628" s="127"/>
      <c r="G6628" s="127"/>
      <c r="H6628" s="127"/>
      <c r="I6628" s="128"/>
      <c r="K6628" s="105" t="str">
        <f>IFERROR(__xludf.DUMMYFUNCTION("if(A6628="""","""",substitute(SUBSTITUTE(index(importhtml(""http://finviz.com/quote.ashx?t=""&amp;A6628,""table"",10),7,2),""*"",""""),""-"",""0.00""))"),"Loading...")</f>
        <v>Loading...</v>
      </c>
      <c r="L6628" s="129">
        <v>7.73240547E8</v>
      </c>
      <c r="M6628" s="99">
        <v>0.29</v>
      </c>
    </row>
    <row r="6629">
      <c r="A6629" s="122" t="s">
        <v>13785</v>
      </c>
      <c r="B6629" s="123">
        <v>932787.0</v>
      </c>
      <c r="C6629" s="124" t="s">
        <v>13754</v>
      </c>
      <c r="D6629" s="125"/>
      <c r="E6629" s="126">
        <v>43.65</v>
      </c>
      <c r="F6629" s="127"/>
      <c r="G6629" s="127"/>
      <c r="H6629" s="127"/>
      <c r="I6629" s="128"/>
      <c r="K6629" s="105" t="str">
        <f>IFERROR(__xludf.DUMMYFUNCTION("if(A6629="""","""",substitute(SUBSTITUTE(index(importhtml(""http://finviz.com/quote.ashx?t=""&amp;A6629,""table"",10),7,2),""*"",""""),""-"",""0.00""))"),"Loading...")</f>
        <v>Loading...</v>
      </c>
      <c r="L6629" s="129">
        <v>3.9555317102E10</v>
      </c>
      <c r="M6629" s="99">
        <v>1.71</v>
      </c>
    </row>
    <row r="6630">
      <c r="A6630" s="122" t="s">
        <v>13786</v>
      </c>
      <c r="B6630" s="123">
        <v>912728.0</v>
      </c>
      <c r="C6630" s="124" t="s">
        <v>13787</v>
      </c>
      <c r="D6630" s="125"/>
      <c r="E6630" s="126">
        <v>43.69</v>
      </c>
      <c r="F6630" s="127"/>
      <c r="G6630" s="127"/>
      <c r="H6630" s="127"/>
      <c r="I6630" s="128"/>
      <c r="K6630" s="105" t="str">
        <f>IFERROR(__xludf.DUMMYFUNCTION("if(A6630="""","""",substitute(SUBSTITUTE(index(importhtml(""http://finviz.com/quote.ashx?t=""&amp;A6630,""table"",10),7,2),""*"",""""),""-"",""0.00""))"),"Loading...")</f>
        <v>Loading...</v>
      </c>
      <c r="L6630" s="129">
        <v>1.345523946E9</v>
      </c>
      <c r="M6630" s="99">
        <v>1.06</v>
      </c>
    </row>
    <row r="6631">
      <c r="A6631" s="122" t="s">
        <v>13788</v>
      </c>
      <c r="B6631" s="123">
        <v>1653477.0</v>
      </c>
      <c r="C6631" s="124" t="s">
        <v>13789</v>
      </c>
      <c r="D6631" s="125"/>
      <c r="E6631" s="126">
        <v>43.8</v>
      </c>
      <c r="F6631" s="127"/>
      <c r="G6631" s="127"/>
      <c r="H6631" s="127"/>
      <c r="I6631" s="128"/>
      <c r="K6631" s="105" t="str">
        <f>IFERROR(__xludf.DUMMYFUNCTION("if(A6631="""","""",substitute(SUBSTITUTE(index(importhtml(""http://finviz.com/quote.ashx?t=""&amp;A6631,""table"",10),7,2),""*"",""""),""-"",""0.00""))"),"Loading...")</f>
        <v>Loading...</v>
      </c>
      <c r="L6631" s="129">
        <v>1.58692916E9</v>
      </c>
      <c r="M6631" s="99">
        <v>1.88</v>
      </c>
    </row>
    <row r="6632">
      <c r="A6632" s="122" t="s">
        <v>13790</v>
      </c>
      <c r="B6632" s="123">
        <v>821130.0</v>
      </c>
      <c r="C6632" s="124" t="s">
        <v>13791</v>
      </c>
      <c r="D6632" s="125"/>
      <c r="E6632" s="126">
        <v>43.86</v>
      </c>
      <c r="F6632" s="127"/>
      <c r="G6632" s="127"/>
      <c r="H6632" s="127"/>
      <c r="I6632" s="128"/>
      <c r="K6632" s="105" t="str">
        <f>IFERROR(__xludf.DUMMYFUNCTION("if(A6632="""","""",substitute(SUBSTITUTE(index(importhtml(""http://finviz.com/quote.ashx?t=""&amp;A6632,""table"",10),7,2),""*"",""""),""-"",""0.00""))"),"Loading...")</f>
        <v>Loading...</v>
      </c>
      <c r="L6632" s="129">
        <v>3.728100051E9</v>
      </c>
      <c r="M6632" s="99">
        <v>0.49</v>
      </c>
    </row>
    <row r="6633">
      <c r="A6633" s="122" t="s">
        <v>13792</v>
      </c>
      <c r="B6633" s="123">
        <v>54187.0</v>
      </c>
      <c r="C6633" s="124" t="s">
        <v>13793</v>
      </c>
      <c r="D6633" s="125"/>
      <c r="E6633" s="126">
        <v>43.88</v>
      </c>
      <c r="F6633" s="127"/>
      <c r="G6633" s="127"/>
      <c r="H6633" s="127"/>
      <c r="I6633" s="128"/>
      <c r="K6633" s="105" t="str">
        <f>IFERROR(__xludf.DUMMYFUNCTION("if(A6633="""","""",substitute(SUBSTITUTE(index(importhtml(""http://finviz.com/quote.ashx?t=""&amp;A6633,""table"",10),7,2),""*"",""""),""-"",""0.00""))"),"Loading...")</f>
        <v>Loading...</v>
      </c>
      <c r="L6633" s="129">
        <v>8.845243E7</v>
      </c>
      <c r="M6633" s="99">
        <v>0.08</v>
      </c>
    </row>
    <row r="6634">
      <c r="A6634" s="122" t="s">
        <v>13794</v>
      </c>
      <c r="B6634" s="123">
        <v>84839.0</v>
      </c>
      <c r="C6634" s="124" t="s">
        <v>13795</v>
      </c>
      <c r="D6634" s="125"/>
      <c r="E6634" s="126">
        <v>44.02</v>
      </c>
      <c r="F6634" s="127"/>
      <c r="G6634" s="127"/>
      <c r="H6634" s="127"/>
      <c r="I6634" s="128"/>
      <c r="K6634" s="105" t="str">
        <f>IFERROR(__xludf.DUMMYFUNCTION("if(A6634="""","""",substitute(SUBSTITUTE(index(importhtml(""http://finviz.com/quote.ashx?t=""&amp;A6634,""table"",10),7,2),""*"",""""),""-"",""0.00""))"),"Loading...")</f>
        <v>Loading...</v>
      </c>
      <c r="L6634" s="129">
        <v>2.1307339775E10</v>
      </c>
      <c r="M6634" s="99">
        <v>0.64</v>
      </c>
    </row>
    <row r="6635">
      <c r="A6635" s="122" t="s">
        <v>13796</v>
      </c>
      <c r="B6635" s="123">
        <v>1091587.0</v>
      </c>
      <c r="C6635" s="124" t="s">
        <v>13797</v>
      </c>
      <c r="D6635" s="125"/>
      <c r="E6635" s="126">
        <v>44.09</v>
      </c>
      <c r="F6635" s="127"/>
      <c r="G6635" s="127"/>
      <c r="H6635" s="127"/>
      <c r="I6635" s="128"/>
      <c r="K6635" s="105" t="str">
        <f>IFERROR(__xludf.DUMMYFUNCTION("if(A6635="""","""",substitute(SUBSTITUTE(index(importhtml(""http://finviz.com/quote.ashx?t=""&amp;A6635,""table"",10),7,2),""*"",""""),""-"",""0.00""))"),"Loading...")</f>
        <v>Loading...</v>
      </c>
      <c r="L6635" s="129">
        <v>8.1817707451E10</v>
      </c>
      <c r="M6635" s="99">
        <v>1.09</v>
      </c>
    </row>
    <row r="6636">
      <c r="A6636" s="122" t="s">
        <v>13798</v>
      </c>
      <c r="B6636" s="123">
        <v>1670592.0</v>
      </c>
      <c r="C6636" s="124" t="s">
        <v>13799</v>
      </c>
      <c r="D6636" s="125"/>
      <c r="E6636" s="126">
        <v>44.17</v>
      </c>
      <c r="F6636" s="127"/>
      <c r="G6636" s="127"/>
      <c r="H6636" s="127"/>
      <c r="I6636" s="128"/>
      <c r="K6636" s="105" t="str">
        <f>IFERROR(__xludf.DUMMYFUNCTION("if(A6636="""","""",substitute(SUBSTITUTE(index(importhtml(""http://finviz.com/quote.ashx?t=""&amp;A6636,""table"",10),7,2),""*"",""""),""-"",""0.00""))"),"Loading...")</f>
        <v>Loading...</v>
      </c>
      <c r="L6636" s="129">
        <v>3.83629155E9</v>
      </c>
      <c r="M6636" s="99">
        <v>2.4</v>
      </c>
    </row>
    <row r="6637">
      <c r="A6637" s="122" t="s">
        <v>13800</v>
      </c>
      <c r="B6637" s="123">
        <v>1676725.0</v>
      </c>
      <c r="C6637" s="124" t="s">
        <v>13801</v>
      </c>
      <c r="D6637" s="125"/>
      <c r="E6637" s="126">
        <v>44.33</v>
      </c>
      <c r="F6637" s="127"/>
      <c r="G6637" s="127"/>
      <c r="H6637" s="127"/>
      <c r="I6637" s="128"/>
      <c r="K6637" s="105" t="str">
        <f>IFERROR(__xludf.DUMMYFUNCTION("if(A6637="""","""",substitute(SUBSTITUTE(index(importhtml(""http://finviz.com/quote.ashx?t=""&amp;A6637,""table"",10),7,2),""*"",""""),""-"",""0.00""))"),"Loading...")</f>
        <v>Loading...</v>
      </c>
      <c r="L6637" s="129">
        <v>3.266892835E9</v>
      </c>
      <c r="M6637" s="99">
        <v>0.83</v>
      </c>
    </row>
    <row r="6638">
      <c r="A6638" s="122" t="s">
        <v>13802</v>
      </c>
      <c r="B6638" s="123">
        <v>940942.0</v>
      </c>
      <c r="C6638" s="124" t="s">
        <v>13803</v>
      </c>
      <c r="D6638" s="125"/>
      <c r="E6638" s="126">
        <v>44.34</v>
      </c>
      <c r="F6638" s="127"/>
      <c r="G6638" s="127"/>
      <c r="H6638" s="127"/>
      <c r="I6638" s="128"/>
      <c r="K6638" s="105" t="str">
        <f>IFERROR(__xludf.DUMMYFUNCTION("if(A6638="""","""",substitute(SUBSTITUTE(index(importhtml(""http://finviz.com/quote.ashx?t=""&amp;A6638,""table"",10),7,2),""*"",""""),""-"",""0.00""))"),"Loading...")</f>
        <v>Loading...</v>
      </c>
      <c r="L6638" s="129">
        <v>2.817086041E9</v>
      </c>
      <c r="M6638" s="99">
        <v>0.91</v>
      </c>
    </row>
    <row r="6639">
      <c r="A6639" s="122" t="s">
        <v>13804</v>
      </c>
      <c r="B6639" s="123">
        <v>1340243.0</v>
      </c>
      <c r="C6639" s="124" t="s">
        <v>13805</v>
      </c>
      <c r="D6639" s="125"/>
      <c r="E6639" s="126">
        <v>44.4</v>
      </c>
      <c r="F6639" s="127"/>
      <c r="G6639" s="127"/>
      <c r="H6639" s="127"/>
      <c r="I6639" s="128"/>
      <c r="K6639" s="105" t="str">
        <f>IFERROR(__xludf.DUMMYFUNCTION("if(A6639="""","""",substitute(SUBSTITUTE(index(importhtml(""http://finviz.com/quote.ashx?t=""&amp;A6639,""table"",10),7,2),""*"",""""),""-"",""0.00""))"),"Loading...")</f>
        <v>Loading...</v>
      </c>
      <c r="L6639" s="129">
        <v>1.599364773E9</v>
      </c>
      <c r="M6639" s="99">
        <v>0.96</v>
      </c>
    </row>
    <row r="6640">
      <c r="A6640" s="122" t="s">
        <v>13806</v>
      </c>
      <c r="B6640" s="123">
        <v>1364128.0</v>
      </c>
      <c r="C6640" s="124" t="s">
        <v>13807</v>
      </c>
      <c r="D6640" s="125"/>
      <c r="E6640" s="126">
        <v>44.4</v>
      </c>
      <c r="F6640" s="127"/>
      <c r="G6640" s="127"/>
      <c r="H6640" s="127"/>
      <c r="I6640" s="128"/>
      <c r="K6640" s="105" t="str">
        <f>IFERROR(__xludf.DUMMYFUNCTION("if(A6640="""","""",substitute(SUBSTITUTE(index(importhtml(""http://finviz.com/quote.ashx?t=""&amp;A6640,""table"",10),7,2),""*"",""""),""-"",""0.00""))"),"Loading...")</f>
        <v>Loading...</v>
      </c>
      <c r="L6640" s="129">
        <v>3.398741985E9</v>
      </c>
      <c r="M6640" s="99" t="str">
        <f>IFERROR(__xludf.DUMMYFUNCTION("GOOGLEFINANCE(A6640,""beta"")"),"#N/A")</f>
        <v>#N/A</v>
      </c>
    </row>
    <row r="6641">
      <c r="A6641" s="122" t="s">
        <v>13808</v>
      </c>
      <c r="B6641" s="123">
        <v>788329.0</v>
      </c>
      <c r="C6641" s="124" t="s">
        <v>13809</v>
      </c>
      <c r="D6641" s="125"/>
      <c r="E6641" s="126">
        <v>44.41</v>
      </c>
      <c r="F6641" s="127"/>
      <c r="G6641" s="127"/>
      <c r="H6641" s="127"/>
      <c r="I6641" s="128"/>
      <c r="K6641" s="105" t="str">
        <f>IFERROR(__xludf.DUMMYFUNCTION("if(A6641="""","""",substitute(SUBSTITUTE(index(importhtml(""http://finviz.com/quote.ashx?t=""&amp;A6641,""table"",10),7,2),""*"",""""),""-"",""0.00""))"),"Loading...")</f>
        <v>Loading...</v>
      </c>
      <c r="L6641" s="129">
        <v>4.55234917E8</v>
      </c>
      <c r="M6641" s="99">
        <v>0.76</v>
      </c>
    </row>
    <row r="6642">
      <c r="A6642" s="122" t="s">
        <v>13810</v>
      </c>
      <c r="B6642" s="123">
        <v>312070.0</v>
      </c>
      <c r="C6642" s="124" t="s">
        <v>13811</v>
      </c>
      <c r="D6642" s="125"/>
      <c r="E6642" s="126">
        <v>44.54</v>
      </c>
      <c r="F6642" s="127"/>
      <c r="G6642" s="127"/>
      <c r="H6642" s="127"/>
      <c r="I6642" s="128"/>
      <c r="K6642" s="105" t="str">
        <f>IFERROR(__xludf.DUMMYFUNCTION("if(A6642="""","""",substitute(SUBSTITUTE(index(importhtml(""http://finviz.com/quote.ashx?t=""&amp;A6642,""table"",10),7,2),""*"",""""),""-"",""0.00""))"),"Loading...")</f>
        <v>Loading...</v>
      </c>
      <c r="L6642" s="129">
        <v>2.8384401496E10</v>
      </c>
      <c r="M6642" s="99">
        <v>0.83</v>
      </c>
    </row>
    <row r="6643">
      <c r="A6643" s="122" t="s">
        <v>13812</v>
      </c>
      <c r="B6643" s="123">
        <v>1692819.0</v>
      </c>
      <c r="C6643" s="124" t="s">
        <v>13813</v>
      </c>
      <c r="D6643" s="125"/>
      <c r="E6643" s="126">
        <v>44.55</v>
      </c>
      <c r="F6643" s="127"/>
      <c r="G6643" s="127"/>
      <c r="H6643" s="127"/>
      <c r="I6643" s="128"/>
      <c r="K6643" s="105" t="str">
        <f>IFERROR(__xludf.DUMMYFUNCTION("if(A6643="""","""",substitute(SUBSTITUTE(index(importhtml(""http://finviz.com/quote.ashx?t=""&amp;A6643,""table"",10),7,2),""*"",""""),""-"",""0.00""))"),"Loading...")</f>
        <v>Loading...</v>
      </c>
      <c r="L6643" s="129">
        <v>1.5928950237E10</v>
      </c>
      <c r="M6643" s="99">
        <v>0.96</v>
      </c>
    </row>
    <row r="6644">
      <c r="A6644" s="122" t="s">
        <v>13814</v>
      </c>
      <c r="B6644" s="123">
        <v>1476034.0</v>
      </c>
      <c r="C6644" s="124" t="s">
        <v>13815</v>
      </c>
      <c r="D6644" s="125"/>
      <c r="E6644" s="126">
        <v>44.56</v>
      </c>
      <c r="F6644" s="127"/>
      <c r="G6644" s="127"/>
      <c r="H6644" s="127"/>
      <c r="I6644" s="128"/>
      <c r="K6644" s="105" t="str">
        <f>IFERROR(__xludf.DUMMYFUNCTION("if(A6644="""","""",substitute(SUBSTITUTE(index(importhtml(""http://finviz.com/quote.ashx?t=""&amp;A6644,""table"",10),7,2),""*"",""""),""-"",""0.00""))"),"Loading...")</f>
        <v>Loading...</v>
      </c>
      <c r="L6644" s="129">
        <v>4.92954818E8</v>
      </c>
      <c r="M6644" s="99">
        <v>1.25</v>
      </c>
    </row>
    <row r="6645">
      <c r="A6645" s="122" t="s">
        <v>13816</v>
      </c>
      <c r="B6645" s="123">
        <v>1345016.0</v>
      </c>
      <c r="C6645" s="124" t="s">
        <v>13817</v>
      </c>
      <c r="D6645" s="125"/>
      <c r="E6645" s="126">
        <v>44.61</v>
      </c>
      <c r="F6645" s="127"/>
      <c r="G6645" s="127"/>
      <c r="H6645" s="127"/>
      <c r="I6645" s="128"/>
      <c r="K6645" s="105" t="str">
        <f>IFERROR(__xludf.DUMMYFUNCTION("if(A6645="""","""",substitute(SUBSTITUTE(index(importhtml(""http://finviz.com/quote.ashx?t=""&amp;A6645,""table"",10),7,2),""*"",""""),""-"",""0.00""))"),"Loading...")</f>
        <v>Loading...</v>
      </c>
      <c r="L6645" s="129">
        <v>3.054569865E9</v>
      </c>
      <c r="M6645" s="99">
        <v>1.53</v>
      </c>
    </row>
    <row r="6646">
      <c r="A6646" s="122" t="s">
        <v>13818</v>
      </c>
      <c r="B6646" s="123">
        <v>1325618.0</v>
      </c>
      <c r="C6646" s="124" t="s">
        <v>13819</v>
      </c>
      <c r="D6646" s="125"/>
      <c r="E6646" s="126">
        <v>44.66</v>
      </c>
      <c r="F6646" s="127"/>
      <c r="G6646" s="127"/>
      <c r="H6646" s="127"/>
      <c r="I6646" s="128"/>
      <c r="K6646" s="105" t="str">
        <f>IFERROR(__xludf.DUMMYFUNCTION("if(A6646="""","""",substitute(SUBSTITUTE(index(importhtml(""http://finviz.com/quote.ashx?t=""&amp;A6646,""table"",10),7,2),""*"",""""),""-"",""0.00""))"),"Loading...")</f>
        <v>Loading...</v>
      </c>
      <c r="L6646" s="129">
        <v>5.62964754E8</v>
      </c>
      <c r="M6646" s="99">
        <v>0.79</v>
      </c>
    </row>
    <row r="6647">
      <c r="A6647" s="122" t="s">
        <v>13820</v>
      </c>
      <c r="B6647" s="123">
        <v>1578955.0</v>
      </c>
      <c r="C6647" s="124" t="s">
        <v>13821</v>
      </c>
      <c r="D6647" s="125"/>
      <c r="E6647" s="126">
        <v>44.7</v>
      </c>
      <c r="F6647" s="127"/>
      <c r="G6647" s="127"/>
      <c r="H6647" s="127"/>
      <c r="I6647" s="128"/>
      <c r="K6647" s="105" t="str">
        <f>IFERROR(__xludf.DUMMYFUNCTION("if(A6647="""","""",substitute(SUBSTITUTE(index(importhtml(""http://finviz.com/quote.ashx?t=""&amp;A6647,""table"",10),7,2),""*"",""""),""-"",""0.00""))"),"Loading...")</f>
        <v>Loading...</v>
      </c>
      <c r="L6647" s="129">
        <v>6.98388699E8</v>
      </c>
      <c r="M6647" s="99">
        <v>1.11</v>
      </c>
    </row>
    <row r="6648">
      <c r="A6648" s="122" t="s">
        <v>13822</v>
      </c>
      <c r="B6648" s="123">
        <v>1934850.0</v>
      </c>
      <c r="C6648" s="124" t="s">
        <v>13823</v>
      </c>
      <c r="D6648" s="125"/>
      <c r="E6648" s="126">
        <v>44.74</v>
      </c>
      <c r="F6648" s="127"/>
      <c r="G6648" s="127"/>
      <c r="H6648" s="127"/>
      <c r="I6648" s="128"/>
      <c r="K6648" s="138" t="s">
        <v>8617</v>
      </c>
      <c r="L6648" s="129">
        <v>5.614722568E9</v>
      </c>
      <c r="M6648" s="99" t="str">
        <f>IFERROR(__xludf.DUMMYFUNCTION("GOOGLEFINANCE(A6648,""beta"")"),"#N/A")</f>
        <v>#N/A</v>
      </c>
    </row>
    <row r="6649">
      <c r="A6649" s="122" t="s">
        <v>13824</v>
      </c>
      <c r="B6649" s="123">
        <v>1689813.0</v>
      </c>
      <c r="C6649" s="124" t="s">
        <v>13825</v>
      </c>
      <c r="D6649" s="125"/>
      <c r="E6649" s="126">
        <v>44.79</v>
      </c>
      <c r="F6649" s="127"/>
      <c r="G6649" s="127"/>
      <c r="H6649" s="127"/>
      <c r="I6649" s="128"/>
      <c r="K6649" s="105" t="str">
        <f>IFERROR(__xludf.DUMMYFUNCTION("if(A6649="""","""",substitute(SUBSTITUTE(index(importhtml(""http://finviz.com/quote.ashx?t=""&amp;A6649,""table"",10),7,2),""*"",""""),""-"",""0.00""))"),"Loading...")</f>
        <v>Loading...</v>
      </c>
      <c r="L6649" s="129">
        <v>3.593664809E9</v>
      </c>
      <c r="M6649" s="99">
        <f>IFERROR(__xludf.DUMMYFUNCTION("GOOGLEFINANCE(A6649,""beta"")"),3.43)</f>
        <v>3.43</v>
      </c>
    </row>
    <row r="6650">
      <c r="A6650" s="122" t="s">
        <v>13826</v>
      </c>
      <c r="B6650" s="123">
        <v>16732.0</v>
      </c>
      <c r="C6650" s="124" t="s">
        <v>13827</v>
      </c>
      <c r="D6650" s="125"/>
      <c r="E6650" s="126">
        <v>44.82</v>
      </c>
      <c r="F6650" s="127"/>
      <c r="G6650" s="127"/>
      <c r="H6650" s="127"/>
      <c r="I6650" s="128"/>
      <c r="K6650" s="55" t="s">
        <v>10110</v>
      </c>
      <c r="L6650" s="129">
        <v>1.3360828463E10</v>
      </c>
      <c r="M6650" s="99">
        <v>0.26</v>
      </c>
    </row>
    <row r="6651">
      <c r="A6651" s="122" t="s">
        <v>13828</v>
      </c>
      <c r="B6651" s="123">
        <v>1338749.0</v>
      </c>
      <c r="C6651" s="124" t="s">
        <v>13829</v>
      </c>
      <c r="D6651" s="125"/>
      <c r="E6651" s="126">
        <v>44.84</v>
      </c>
      <c r="F6651" s="127"/>
      <c r="G6651" s="127"/>
      <c r="H6651" s="127"/>
      <c r="I6651" s="128"/>
      <c r="K6651" s="105" t="str">
        <f>IFERROR(__xludf.DUMMYFUNCTION("if(A6651="""","""",substitute(SUBSTITUTE(index(importhtml(""http://finviz.com/quote.ashx?t=""&amp;A6651,""table"",10),7,2),""*"",""""),""-"",""0.00""))"),"Loading...")</f>
        <v>Loading...</v>
      </c>
      <c r="L6651" s="129">
        <v>3.558726612E9</v>
      </c>
      <c r="M6651" s="99">
        <v>1.13</v>
      </c>
    </row>
    <row r="6652">
      <c r="A6652" s="122" t="s">
        <v>13830</v>
      </c>
      <c r="B6652" s="123">
        <v>1649904.0</v>
      </c>
      <c r="C6652" s="124" t="s">
        <v>13831</v>
      </c>
      <c r="D6652" s="125"/>
      <c r="E6652" s="126">
        <v>44.88</v>
      </c>
      <c r="F6652" s="127"/>
      <c r="G6652" s="127"/>
      <c r="H6652" s="127"/>
      <c r="I6652" s="128"/>
      <c r="K6652" s="105" t="str">
        <f>IFERROR(__xludf.DUMMYFUNCTION("if(A6652="""","""",substitute(SUBSTITUTE(index(importhtml(""http://finviz.com/quote.ashx?t=""&amp;A6652,""table"",10),7,2),""*"",""""),""-"",""0.00""))"),"Loading...")</f>
        <v>Loading...</v>
      </c>
      <c r="L6652" s="129">
        <v>2.652249187E9</v>
      </c>
      <c r="M6652" s="99">
        <v>1.94</v>
      </c>
    </row>
    <row r="6653">
      <c r="A6653" s="122" t="s">
        <v>13832</v>
      </c>
      <c r="B6653" s="123">
        <v>789570.0</v>
      </c>
      <c r="C6653" s="124" t="s">
        <v>13833</v>
      </c>
      <c r="D6653" s="125"/>
      <c r="E6653" s="126">
        <v>44.88</v>
      </c>
      <c r="F6653" s="127"/>
      <c r="G6653" s="127"/>
      <c r="H6653" s="127"/>
      <c r="I6653" s="128"/>
      <c r="K6653" s="105" t="str">
        <f>IFERROR(__xludf.DUMMYFUNCTION("if(A6653="""","""",substitute(SUBSTITUTE(index(importhtml(""http://finviz.com/quote.ashx?t=""&amp;A6653,""table"",10),7,2),""*"",""""),""-"",""0.00""))"),"Loading...")</f>
        <v>Loading...</v>
      </c>
      <c r="L6653" s="129">
        <v>1.5330258868E10</v>
      </c>
      <c r="M6653" s="99">
        <v>2.2</v>
      </c>
    </row>
    <row r="6654">
      <c r="A6654" s="122" t="s">
        <v>13834</v>
      </c>
      <c r="B6654" s="123">
        <v>1224306.0</v>
      </c>
      <c r="C6654" s="124" t="s">
        <v>13835</v>
      </c>
      <c r="D6654" s="125"/>
      <c r="E6654" s="126">
        <v>45.0</v>
      </c>
      <c r="F6654" s="127"/>
      <c r="G6654" s="127"/>
      <c r="H6654" s="127"/>
      <c r="I6654" s="128"/>
      <c r="K6654" s="105" t="str">
        <f>IFERROR(__xludf.DUMMYFUNCTION("if(A6654="""","""",substitute(SUBSTITUTE(index(importhtml(""http://finviz.com/quote.ashx?t=""&amp;A6654,""table"",10),7,2),""*"",""""),""-"",""0.00""))"),"Loading...")</f>
        <v>Loading...</v>
      </c>
      <c r="L6654" s="129">
        <v>2.16476925E10</v>
      </c>
      <c r="M6654" s="99">
        <v>1.08</v>
      </c>
    </row>
    <row r="6655">
      <c r="A6655" s="122" t="s">
        <v>13836</v>
      </c>
      <c r="B6655" s="123">
        <v>54381.0</v>
      </c>
      <c r="C6655" s="124" t="s">
        <v>13837</v>
      </c>
      <c r="D6655" s="125"/>
      <c r="E6655" s="126">
        <v>45.03</v>
      </c>
      <c r="F6655" s="127"/>
      <c r="G6655" s="127"/>
      <c r="H6655" s="127"/>
      <c r="I6655" s="128"/>
      <c r="K6655" s="105" t="str">
        <f>IFERROR(__xludf.DUMMYFUNCTION("if(A6655="""","""",substitute(SUBSTITUTE(index(importhtml(""http://finviz.com/quote.ashx?t=""&amp;A6655,""table"",10),7,2),""*"",""""),""-"",""0.00""))"),"Loading...")</f>
        <v>Loading...</v>
      </c>
      <c r="L6655" s="129">
        <v>1.27468624E9</v>
      </c>
      <c r="M6655" s="99">
        <v>1.19</v>
      </c>
    </row>
    <row r="6656">
      <c r="A6656" s="122" t="s">
        <v>13838</v>
      </c>
      <c r="B6656" s="123">
        <v>312070.0</v>
      </c>
      <c r="C6656" s="124" t="s">
        <v>13839</v>
      </c>
      <c r="D6656" s="125"/>
      <c r="E6656" s="126">
        <v>45.05</v>
      </c>
      <c r="F6656" s="127"/>
      <c r="G6656" s="127"/>
      <c r="H6656" s="127"/>
      <c r="I6656" s="128"/>
      <c r="K6656" s="105" t="str">
        <f>IFERROR(__xludf.DUMMYFUNCTION("if(A6656="""","""",substitute(SUBSTITUTE(index(importhtml(""http://finviz.com/quote.ashx?t=""&amp;A6656,""table"",10),7,2),""*"",""""),""-"",""0.00""))"),"Loading...")</f>
        <v>Loading...</v>
      </c>
      <c r="L6656" s="129">
        <v>2.8384401496E10</v>
      </c>
      <c r="M6656" s="99">
        <v>0.37</v>
      </c>
    </row>
    <row r="6657">
      <c r="A6657" s="122" t="s">
        <v>13840</v>
      </c>
      <c r="B6657" s="123">
        <v>861459.0</v>
      </c>
      <c r="C6657" s="124" t="s">
        <v>13841</v>
      </c>
      <c r="D6657" s="125"/>
      <c r="E6657" s="126">
        <v>45.06</v>
      </c>
      <c r="F6657" s="127"/>
      <c r="G6657" s="127"/>
      <c r="H6657" s="127"/>
      <c r="I6657" s="128"/>
      <c r="K6657" s="105" t="str">
        <f>IFERROR(__xludf.DUMMYFUNCTION("if(A6657="""","""",substitute(SUBSTITUTE(index(importhtml(""http://finviz.com/quote.ashx?t=""&amp;A6657,""table"",10),7,2),""*"",""""),""-"",""0.00""))"),"Loading...")</f>
        <v>Loading...</v>
      </c>
      <c r="L6657" s="129">
        <v>1.979635008E9</v>
      </c>
      <c r="M6657" s="99">
        <v>1.43</v>
      </c>
    </row>
    <row r="6658">
      <c r="A6658" s="122" t="s">
        <v>13842</v>
      </c>
      <c r="B6658" s="123">
        <v>723188.0</v>
      </c>
      <c r="C6658" s="124" t="s">
        <v>13843</v>
      </c>
      <c r="D6658" s="125"/>
      <c r="E6658" s="126">
        <v>45.09</v>
      </c>
      <c r="F6658" s="127"/>
      <c r="G6658" s="127"/>
      <c r="H6658" s="127"/>
      <c r="I6658" s="128"/>
      <c r="K6658" s="55" t="s">
        <v>13844</v>
      </c>
      <c r="L6658" s="129">
        <v>2.404513987E9</v>
      </c>
      <c r="M6658" s="99">
        <v>0.67</v>
      </c>
    </row>
    <row r="6659">
      <c r="A6659" s="122" t="s">
        <v>13845</v>
      </c>
      <c r="B6659" s="123">
        <v>1565687.0</v>
      </c>
      <c r="C6659" s="124" t="s">
        <v>13846</v>
      </c>
      <c r="D6659" s="125"/>
      <c r="E6659" s="126">
        <v>45.09</v>
      </c>
      <c r="F6659" s="127"/>
      <c r="G6659" s="127"/>
      <c r="H6659" s="127"/>
      <c r="I6659" s="128"/>
      <c r="K6659" s="105" t="str">
        <f>IFERROR(__xludf.DUMMYFUNCTION("if(A6659="""","""",substitute(SUBSTITUTE(index(importhtml(""http://finviz.com/quote.ashx?t=""&amp;A6659,""table"",10),7,2),""*"",""""),""-"",""0.00""))"),"Loading...")</f>
        <v>Loading...</v>
      </c>
      <c r="L6659" s="129">
        <v>3.140781836E9</v>
      </c>
      <c r="M6659" s="99">
        <f>IFERROR(__xludf.DUMMYFUNCTION("GOOGLEFINANCE(A6659,""beta"")"),0.7)</f>
        <v>0.7</v>
      </c>
    </row>
    <row r="6660">
      <c r="A6660" s="122" t="s">
        <v>13847</v>
      </c>
      <c r="B6660" s="123">
        <v>1366561.0</v>
      </c>
      <c r="C6660" s="124" t="s">
        <v>13848</v>
      </c>
      <c r="D6660" s="125"/>
      <c r="E6660" s="126">
        <v>45.09</v>
      </c>
      <c r="F6660" s="127"/>
      <c r="G6660" s="127"/>
      <c r="H6660" s="127"/>
      <c r="I6660" s="128"/>
      <c r="K6660" s="105" t="str">
        <f>IFERROR(__xludf.DUMMYFUNCTION("if(A6660="""","""",substitute(SUBSTITUTE(index(importhtml(""http://finviz.com/quote.ashx?t=""&amp;A6660,""table"",10),7,2),""*"",""""),""-"",""0.00""))"),"Loading...")</f>
        <v>Loading...</v>
      </c>
      <c r="L6660" s="129">
        <v>6.143814623E9</v>
      </c>
      <c r="M6660" s="99">
        <v>0.8</v>
      </c>
    </row>
    <row r="6661">
      <c r="A6661" s="122" t="s">
        <v>13849</v>
      </c>
      <c r="B6661" s="123">
        <v>1166691.0</v>
      </c>
      <c r="C6661" s="124" t="s">
        <v>13850</v>
      </c>
      <c r="D6661" s="125"/>
      <c r="E6661" s="126">
        <v>45.09</v>
      </c>
      <c r="F6661" s="127"/>
      <c r="G6661" s="127"/>
      <c r="H6661" s="127"/>
      <c r="I6661" s="128"/>
      <c r="K6661" s="105" t="str">
        <f>IFERROR(__xludf.DUMMYFUNCTION("if(A6661="""","""",substitute(SUBSTITUTE(index(importhtml(""http://finviz.com/quote.ashx?t=""&amp;A6661,""table"",10),7,2),""*"",""""),""-"",""0.00""))"),"Loading...")</f>
        <v>Loading...</v>
      </c>
      <c r="L6661" s="129">
        <v>1.79091032736E11</v>
      </c>
      <c r="M6661" s="99">
        <v>1.01</v>
      </c>
    </row>
    <row r="6662">
      <c r="A6662" s="122" t="s">
        <v>13851</v>
      </c>
      <c r="B6662" s="123">
        <v>717720.0</v>
      </c>
      <c r="C6662" s="124" t="s">
        <v>13852</v>
      </c>
      <c r="D6662" s="125"/>
      <c r="E6662" s="126">
        <v>45.11</v>
      </c>
      <c r="F6662" s="127"/>
      <c r="G6662" s="127"/>
      <c r="H6662" s="127"/>
      <c r="I6662" s="128"/>
      <c r="K6662" s="105" t="str">
        <f>IFERROR(__xludf.DUMMYFUNCTION("if(A6662="""","""",substitute(SUBSTITUTE(index(importhtml(""http://finviz.com/quote.ashx?t=""&amp;A6662,""table"",10),7,2),""*"",""""),""-"",""0.00""))"),"Loading...")</f>
        <v>Loading...</v>
      </c>
      <c r="L6662" s="129">
        <v>4.25251208E8</v>
      </c>
      <c r="M6662" s="99">
        <v>0.79</v>
      </c>
    </row>
    <row r="6663">
      <c r="A6663" s="122" t="s">
        <v>13853</v>
      </c>
      <c r="B6663" s="123">
        <v>100591.0</v>
      </c>
      <c r="C6663" s="124" t="s">
        <v>13854</v>
      </c>
      <c r="D6663" s="125"/>
      <c r="E6663" s="126">
        <v>45.15</v>
      </c>
      <c r="F6663" s="127"/>
      <c r="G6663" s="127"/>
      <c r="H6663" s="127"/>
      <c r="I6663" s="128"/>
      <c r="K6663" s="55" t="s">
        <v>13616</v>
      </c>
      <c r="L6663" s="129">
        <v>6.01752899E8</v>
      </c>
      <c r="M6663" s="99">
        <v>0.49</v>
      </c>
    </row>
    <row r="6664">
      <c r="A6664" s="122" t="s">
        <v>13855</v>
      </c>
      <c r="B6664" s="123">
        <v>1490349.0</v>
      </c>
      <c r="C6664" s="124" t="s">
        <v>13856</v>
      </c>
      <c r="D6664" s="125"/>
      <c r="E6664" s="126">
        <v>45.19</v>
      </c>
      <c r="F6664" s="127"/>
      <c r="G6664" s="127"/>
      <c r="H6664" s="127"/>
      <c r="I6664" s="128"/>
      <c r="K6664" s="105" t="str">
        <f>IFERROR(__xludf.DUMMYFUNCTION("if(A6664="""","""",substitute(SUBSTITUTE(index(importhtml(""http://finviz.com/quote.ashx?t=""&amp;A6664,""table"",10),7,2),""*"",""""),""-"",""0.00""))"),"Loading...")</f>
        <v>Loading...</v>
      </c>
      <c r="L6664" s="129">
        <v>9.3113495E7</v>
      </c>
      <c r="M6664" s="99">
        <v>1.05</v>
      </c>
    </row>
    <row r="6665">
      <c r="A6665" s="122" t="s">
        <v>13857</v>
      </c>
      <c r="B6665" s="123">
        <v>741516.0</v>
      </c>
      <c r="C6665" s="124" t="s">
        <v>13858</v>
      </c>
      <c r="D6665" s="125"/>
      <c r="E6665" s="126">
        <v>45.19</v>
      </c>
      <c r="F6665" s="127"/>
      <c r="G6665" s="127"/>
      <c r="H6665" s="127"/>
      <c r="I6665" s="128"/>
      <c r="K6665" s="105" t="str">
        <f>IFERROR(__xludf.DUMMYFUNCTION("if(A6665="""","""",substitute(SUBSTITUTE(index(importhtml(""http://finviz.com/quote.ashx?t=""&amp;A6665,""table"",10),7,2),""*"",""""),""-"",""0.00""))"),"Loading...")</f>
        <v>Loading...</v>
      </c>
      <c r="L6665" s="129">
        <v>4.80523331E8</v>
      </c>
      <c r="M6665" s="99">
        <v>0.92</v>
      </c>
    </row>
    <row r="6666">
      <c r="A6666" s="122" t="s">
        <v>13859</v>
      </c>
      <c r="B6666" s="123">
        <v>1554859.0</v>
      </c>
      <c r="C6666" s="124" t="s">
        <v>13860</v>
      </c>
      <c r="D6666" s="125"/>
      <c r="E6666" s="126">
        <v>45.25</v>
      </c>
      <c r="F6666" s="127"/>
      <c r="G6666" s="127"/>
      <c r="H6666" s="127"/>
      <c r="I6666" s="128"/>
      <c r="K6666" s="105" t="str">
        <f>IFERROR(__xludf.DUMMYFUNCTION("if(A6666="""","""",substitute(SUBSTITUTE(index(importhtml(""http://finviz.com/quote.ashx?t=""&amp;A6666,""table"",10),7,2),""*"",""""),""-"",""0.00""))"),"Loading...")</f>
        <v>Loading...</v>
      </c>
      <c r="L6666" s="129">
        <v>3.11012164E8</v>
      </c>
      <c r="M6666" s="99">
        <v>0.94</v>
      </c>
    </row>
    <row r="6667">
      <c r="A6667" s="122" t="s">
        <v>13861</v>
      </c>
      <c r="B6667" s="123">
        <v>849869.0</v>
      </c>
      <c r="C6667" s="124" t="s">
        <v>13862</v>
      </c>
      <c r="D6667" s="125"/>
      <c r="E6667" s="126">
        <v>45.25</v>
      </c>
      <c r="F6667" s="127"/>
      <c r="G6667" s="127"/>
      <c r="H6667" s="127"/>
      <c r="I6667" s="128"/>
      <c r="K6667" s="105" t="str">
        <f>IFERROR(__xludf.DUMMYFUNCTION("if(A6667="""","""",substitute(SUBSTITUTE(index(importhtml(""http://finviz.com/quote.ashx?t=""&amp;A6667,""table"",10),7,2),""*"",""""),""-"",""0.00""))"),"Loading...")</f>
        <v>Loading...</v>
      </c>
      <c r="L6667" s="129">
        <v>4.8190526E9</v>
      </c>
      <c r="M6667" s="99">
        <v>0.76</v>
      </c>
    </row>
    <row r="6668">
      <c r="A6668" s="122" t="s">
        <v>13863</v>
      </c>
      <c r="B6668" s="123">
        <v>703351.0</v>
      </c>
      <c r="C6668" s="124" t="s">
        <v>13864</v>
      </c>
      <c r="D6668" s="125"/>
      <c r="E6668" s="126">
        <v>45.27</v>
      </c>
      <c r="F6668" s="127"/>
      <c r="G6668" s="127"/>
      <c r="H6668" s="127"/>
      <c r="I6668" s="128"/>
      <c r="K6668" s="55" t="s">
        <v>1034</v>
      </c>
      <c r="L6668" s="129">
        <v>2.002162195E9</v>
      </c>
      <c r="M6668" s="99">
        <v>2.47</v>
      </c>
    </row>
    <row r="6669">
      <c r="A6669" s="122" t="s">
        <v>13865</v>
      </c>
      <c r="B6669" s="123">
        <v>1552797.0</v>
      </c>
      <c r="C6669" s="124" t="s">
        <v>13866</v>
      </c>
      <c r="D6669" s="125"/>
      <c r="E6669" s="126">
        <v>45.29</v>
      </c>
      <c r="F6669" s="127"/>
      <c r="G6669" s="127"/>
      <c r="H6669" s="127"/>
      <c r="I6669" s="128"/>
      <c r="K6669" s="55" t="s">
        <v>13867</v>
      </c>
      <c r="L6669" s="129">
        <v>1.97448326E9</v>
      </c>
      <c r="M6669" s="99">
        <v>2.12</v>
      </c>
    </row>
    <row r="6670">
      <c r="A6670" s="122" t="s">
        <v>13868</v>
      </c>
      <c r="B6670" s="123">
        <v>1396440.0</v>
      </c>
      <c r="C6670" s="124" t="s">
        <v>13869</v>
      </c>
      <c r="D6670" s="125"/>
      <c r="E6670" s="126">
        <v>45.34</v>
      </c>
      <c r="F6670" s="127"/>
      <c r="G6670" s="127"/>
      <c r="H6670" s="127"/>
      <c r="I6670" s="128"/>
      <c r="K6670" s="105" t="str">
        <f>IFERROR(__xludf.DUMMYFUNCTION("if(A6670="""","""",substitute(SUBSTITUTE(index(importhtml(""http://finviz.com/quote.ashx?t=""&amp;A6670,""table"",10),7,2),""*"",""""),""-"",""0.00""))"),"Loading...")</f>
        <v>Loading...</v>
      </c>
      <c r="L6670" s="129">
        <v>3.79700602E9</v>
      </c>
      <c r="M6670" s="99">
        <v>1.29</v>
      </c>
    </row>
    <row r="6671">
      <c r="A6671" s="122" t="s">
        <v>13870</v>
      </c>
      <c r="B6671" s="123">
        <v>1045520.0</v>
      </c>
      <c r="C6671" s="124" t="s">
        <v>13871</v>
      </c>
      <c r="D6671" s="125"/>
      <c r="E6671" s="126">
        <v>45.4</v>
      </c>
      <c r="F6671" s="127"/>
      <c r="G6671" s="127"/>
      <c r="H6671" s="127"/>
      <c r="I6671" s="128"/>
      <c r="K6671" s="138" t="s">
        <v>13872</v>
      </c>
      <c r="L6671" s="129">
        <v>4.2284562621E10</v>
      </c>
      <c r="M6671" s="99">
        <v>0.99</v>
      </c>
    </row>
    <row r="6672">
      <c r="A6672" s="122" t="s">
        <v>13873</v>
      </c>
      <c r="B6672" s="123">
        <v>1040971.0</v>
      </c>
      <c r="C6672" s="124" t="s">
        <v>13874</v>
      </c>
      <c r="D6672" s="125"/>
      <c r="E6672" s="126">
        <v>45.4</v>
      </c>
      <c r="F6672" s="127"/>
      <c r="G6672" s="127"/>
      <c r="H6672" s="127"/>
      <c r="I6672" s="128"/>
      <c r="K6672" s="105" t="str">
        <f>IFERROR(__xludf.DUMMYFUNCTION("if(A6672="""","""",substitute(SUBSTITUTE(index(importhtml(""http://finviz.com/quote.ashx?t=""&amp;A6672,""table"",10),7,2),""*"",""""),""-"",""0.00""))"),"Loading...")</f>
        <v>Loading...</v>
      </c>
      <c r="L6672" s="129">
        <v>2.938560498E9</v>
      </c>
      <c r="M6672" s="99">
        <v>1.7</v>
      </c>
    </row>
    <row r="6673">
      <c r="A6673" s="122" t="s">
        <v>13875</v>
      </c>
      <c r="B6673" s="123">
        <v>1361113.0</v>
      </c>
      <c r="C6673" s="124" t="s">
        <v>13876</v>
      </c>
      <c r="D6673" s="125"/>
      <c r="E6673" s="126">
        <v>45.41</v>
      </c>
      <c r="F6673" s="127"/>
      <c r="G6673" s="127"/>
      <c r="H6673" s="127"/>
      <c r="I6673" s="128"/>
      <c r="K6673" s="105" t="str">
        <f>IFERROR(__xludf.DUMMYFUNCTION("if(A6673="""","""",substitute(SUBSTITUTE(index(importhtml(""http://finviz.com/quote.ashx?t=""&amp;A6673,""table"",10),7,2),""*"",""""),""-"",""0.00""))"),"Loading...")</f>
        <v>Loading...</v>
      </c>
      <c r="L6673" s="129">
        <v>4.947555713E9</v>
      </c>
      <c r="M6673" s="99">
        <v>0.83</v>
      </c>
    </row>
    <row r="6674">
      <c r="A6674" s="122" t="s">
        <v>13877</v>
      </c>
      <c r="B6674" s="123">
        <v>1575965.0</v>
      </c>
      <c r="C6674" s="124" t="s">
        <v>13878</v>
      </c>
      <c r="D6674" s="125"/>
      <c r="E6674" s="126">
        <v>45.51</v>
      </c>
      <c r="F6674" s="127"/>
      <c r="G6674" s="127"/>
      <c r="H6674" s="127"/>
      <c r="I6674" s="128"/>
      <c r="K6674" s="105" t="str">
        <f>IFERROR(__xludf.DUMMYFUNCTION("if(A6674="""","""",substitute(SUBSTITUTE(index(importhtml(""http://finviz.com/quote.ashx?t=""&amp;A6674,""table"",10),7,2),""*"",""""),""-"",""0.00""))"),"Loading...")</f>
        <v>Loading...</v>
      </c>
      <c r="L6674" s="129">
        <v>1.2151884058E10</v>
      </c>
      <c r="M6674" s="99">
        <v>1.08</v>
      </c>
    </row>
    <row r="6675">
      <c r="A6675" s="122" t="s">
        <v>13879</v>
      </c>
      <c r="B6675" s="123">
        <v>1035201.0</v>
      </c>
      <c r="C6675" s="124" t="s">
        <v>13880</v>
      </c>
      <c r="D6675" s="125"/>
      <c r="E6675" s="126">
        <v>45.54</v>
      </c>
      <c r="F6675" s="127"/>
      <c r="G6675" s="127"/>
      <c r="H6675" s="127"/>
      <c r="I6675" s="128"/>
      <c r="K6675" s="55" t="s">
        <v>10278</v>
      </c>
      <c r="L6675" s="129">
        <v>2.628158537E9</v>
      </c>
      <c r="M6675" s="99">
        <v>0.49</v>
      </c>
    </row>
    <row r="6676">
      <c r="A6676" s="122" t="s">
        <v>13881</v>
      </c>
      <c r="B6676" s="123">
        <v>1807846.0</v>
      </c>
      <c r="C6676" s="124" t="s">
        <v>13882</v>
      </c>
      <c r="D6676" s="125"/>
      <c r="E6676" s="126">
        <v>45.55</v>
      </c>
      <c r="F6676" s="127"/>
      <c r="G6676" s="127"/>
      <c r="H6676" s="127"/>
      <c r="I6676" s="128"/>
      <c r="K6676" s="55" t="s">
        <v>1034</v>
      </c>
      <c r="L6676" s="129">
        <v>4.68340537E8</v>
      </c>
      <c r="M6676" s="99">
        <v>2.65</v>
      </c>
    </row>
    <row r="6677">
      <c r="A6677" s="122" t="s">
        <v>13883</v>
      </c>
      <c r="B6677" s="123">
        <v>1564618.0</v>
      </c>
      <c r="C6677" s="124" t="s">
        <v>13884</v>
      </c>
      <c r="D6677" s="125"/>
      <c r="E6677" s="126">
        <v>45.55</v>
      </c>
      <c r="F6677" s="127"/>
      <c r="G6677" s="127"/>
      <c r="H6677" s="127"/>
      <c r="I6677" s="128"/>
      <c r="K6677" s="105" t="str">
        <f>IFERROR(__xludf.DUMMYFUNCTION("if(A6677="""","""",substitute(SUBSTITUTE(index(importhtml(""http://finviz.com/quote.ashx?t=""&amp;A6677,""table"",10),7,2),""*"",""""),""-"",""0.00""))"),"Loading...")</f>
        <v>Loading...</v>
      </c>
      <c r="L6677" s="129">
        <v>1.880391424E9</v>
      </c>
      <c r="M6677" s="99">
        <v>1.37</v>
      </c>
    </row>
    <row r="6678">
      <c r="A6678" s="122" t="s">
        <v>13885</v>
      </c>
      <c r="B6678" s="123">
        <v>8858.0</v>
      </c>
      <c r="C6678" s="124" t="s">
        <v>13886</v>
      </c>
      <c r="D6678" s="125"/>
      <c r="E6678" s="126">
        <v>45.64</v>
      </c>
      <c r="F6678" s="127"/>
      <c r="G6678" s="127"/>
      <c r="H6678" s="127"/>
      <c r="I6678" s="128"/>
      <c r="K6678" s="55" t="s">
        <v>10675</v>
      </c>
      <c r="L6678" s="129">
        <v>4.129751775E9</v>
      </c>
      <c r="M6678" s="99">
        <v>1.23</v>
      </c>
    </row>
    <row r="6679">
      <c r="A6679" s="122" t="s">
        <v>13887</v>
      </c>
      <c r="B6679" s="123">
        <v>715957.0</v>
      </c>
      <c r="C6679" s="124" t="s">
        <v>13888</v>
      </c>
      <c r="D6679" s="125"/>
      <c r="E6679" s="126">
        <v>45.64</v>
      </c>
      <c r="F6679" s="127"/>
      <c r="G6679" s="127"/>
      <c r="H6679" s="127"/>
      <c r="I6679" s="128"/>
      <c r="K6679" s="138" t="s">
        <v>13889</v>
      </c>
      <c r="L6679" s="129">
        <v>3.8191400877E10</v>
      </c>
      <c r="M6679" s="99">
        <v>0.61</v>
      </c>
    </row>
    <row r="6680">
      <c r="A6680" s="122" t="s">
        <v>13890</v>
      </c>
      <c r="B6680" s="123">
        <v>1437672.0</v>
      </c>
      <c r="C6680" s="124" t="s">
        <v>13891</v>
      </c>
      <c r="D6680" s="125"/>
      <c r="E6680" s="126">
        <v>45.73</v>
      </c>
      <c r="F6680" s="127"/>
      <c r="G6680" s="127"/>
      <c r="H6680" s="127"/>
      <c r="I6680" s="128"/>
      <c r="K6680" s="105" t="str">
        <f>IFERROR(__xludf.DUMMYFUNCTION("if(A6680="""","""",substitute(SUBSTITUTE(index(importhtml(""http://finviz.com/quote.ashx?t=""&amp;A6680,""table"",10),7,2),""*"",""""),""-"",""0.00""))"),"Loading...")</f>
        <v>Loading...</v>
      </c>
      <c r="L6680" s="129">
        <v>1.1368328639E10</v>
      </c>
      <c r="M6680" s="99">
        <v>0.71</v>
      </c>
    </row>
    <row r="6681">
      <c r="A6681" s="122" t="s">
        <v>13892</v>
      </c>
      <c r="B6681" s="123">
        <v>1889109.0</v>
      </c>
      <c r="C6681" s="124" t="s">
        <v>13893</v>
      </c>
      <c r="D6681" s="125"/>
      <c r="E6681" s="126">
        <v>45.76</v>
      </c>
      <c r="F6681" s="127"/>
      <c r="G6681" s="127"/>
      <c r="H6681" s="127"/>
      <c r="I6681" s="128"/>
      <c r="K6681" s="105" t="str">
        <f>IFERROR(__xludf.DUMMYFUNCTION("if(A6681="""","""",substitute(SUBSTITUTE(index(importhtml(""http://finviz.com/quote.ashx?t=""&amp;A6681,""table"",10),7,2),""*"",""""),""-"",""0.00""))"),"Loading...")</f>
        <v>Loading...</v>
      </c>
      <c r="L6681" s="129" t="e">
        <v>#N/A</v>
      </c>
      <c r="M6681" s="99">
        <f>IFERROR(__xludf.DUMMYFUNCTION("GOOGLEFINANCE(A6681,""beta"")"),-1.42)</f>
        <v>-1.42</v>
      </c>
    </row>
    <row r="6682">
      <c r="A6682" s="122" t="s">
        <v>13894</v>
      </c>
      <c r="B6682" s="123">
        <v>946673.0</v>
      </c>
      <c r="C6682" s="124" t="s">
        <v>13895</v>
      </c>
      <c r="D6682" s="125"/>
      <c r="E6682" s="126">
        <v>45.78</v>
      </c>
      <c r="F6682" s="127"/>
      <c r="G6682" s="127"/>
      <c r="H6682" s="127"/>
      <c r="I6682" s="128"/>
      <c r="K6682" s="105" t="str">
        <f>IFERROR(__xludf.DUMMYFUNCTION("if(A6682="""","""",substitute(SUBSTITUTE(index(importhtml(""http://finviz.com/quote.ashx?t=""&amp;A6682,""table"",10),7,2),""*"",""""),""-"",""0.00""))"),"Loading...")</f>
        <v>Loading...</v>
      </c>
      <c r="L6682" s="129">
        <v>1.572468336E9</v>
      </c>
      <c r="M6682" s="99">
        <v>1.06</v>
      </c>
    </row>
    <row r="6683">
      <c r="A6683" s="122" t="s">
        <v>13896</v>
      </c>
      <c r="B6683" s="123">
        <v>1163302.0</v>
      </c>
      <c r="C6683" s="124" t="s">
        <v>13897</v>
      </c>
      <c r="D6683" s="125"/>
      <c r="E6683" s="126">
        <v>45.85</v>
      </c>
      <c r="F6683" s="127"/>
      <c r="G6683" s="127"/>
      <c r="H6683" s="127"/>
      <c r="I6683" s="128"/>
      <c r="K6683" s="138" t="s">
        <v>5049</v>
      </c>
      <c r="L6683" s="129">
        <v>1.0230743994E10</v>
      </c>
      <c r="M6683" s="99">
        <v>2.04</v>
      </c>
    </row>
    <row r="6684">
      <c r="A6684" s="122" t="s">
        <v>13898</v>
      </c>
      <c r="B6684" s="123">
        <v>1751008.0</v>
      </c>
      <c r="C6684" s="124" t="s">
        <v>13899</v>
      </c>
      <c r="D6684" s="125"/>
      <c r="E6684" s="126">
        <v>45.86</v>
      </c>
      <c r="F6684" s="127"/>
      <c r="G6684" s="127"/>
      <c r="H6684" s="127"/>
      <c r="I6684" s="128"/>
      <c r="K6684" s="55" t="s">
        <v>1034</v>
      </c>
      <c r="L6684" s="129">
        <v>1.5399856994E10</v>
      </c>
      <c r="M6684" s="99">
        <f>IFERROR(__xludf.DUMMYFUNCTION("GOOGLEFINANCE(A6684,""beta"")"),2.5)</f>
        <v>2.5</v>
      </c>
    </row>
    <row r="6685">
      <c r="A6685" s="122" t="s">
        <v>13900</v>
      </c>
      <c r="B6685" s="123">
        <v>1582313.0</v>
      </c>
      <c r="C6685" s="124" t="s">
        <v>13901</v>
      </c>
      <c r="D6685" s="125"/>
      <c r="E6685" s="126">
        <v>45.92</v>
      </c>
      <c r="F6685" s="127"/>
      <c r="G6685" s="127"/>
      <c r="H6685" s="127"/>
      <c r="I6685" s="128"/>
      <c r="K6685" s="105" t="str">
        <f>IFERROR(__xludf.DUMMYFUNCTION("if(A6685="""","""",substitute(SUBSTITUTE(index(importhtml(""http://finviz.com/quote.ashx?t=""&amp;A6685,""table"",10),7,2),""*"",""""),""-"",""0.00""))"),"Loading...")</f>
        <v>Loading...</v>
      </c>
      <c r="L6685" s="129">
        <v>3.373457102E9</v>
      </c>
      <c r="M6685" s="99">
        <v>1.19</v>
      </c>
    </row>
    <row r="6686">
      <c r="A6686" s="122" t="s">
        <v>13902</v>
      </c>
      <c r="B6686" s="123">
        <v>1655759.0</v>
      </c>
      <c r="C6686" s="124" t="s">
        <v>13903</v>
      </c>
      <c r="D6686" s="125"/>
      <c r="E6686" s="126">
        <v>45.97</v>
      </c>
      <c r="F6686" s="127"/>
      <c r="G6686" s="127"/>
      <c r="H6686" s="127"/>
      <c r="I6686" s="128"/>
      <c r="K6686" s="105" t="str">
        <f>IFERROR(__xludf.DUMMYFUNCTION("if(A6686="""","""",substitute(SUBSTITUTE(index(importhtml(""http://finviz.com/quote.ashx?t=""&amp;A6686,""table"",10),7,2),""*"",""""),""-"",""0.00""))"),"Loading...")</f>
        <v>Loading...</v>
      </c>
      <c r="L6686" s="129">
        <v>3.125914572E9</v>
      </c>
      <c r="M6686" s="99">
        <v>1.96</v>
      </c>
    </row>
    <row r="6687">
      <c r="A6687" s="122" t="s">
        <v>13904</v>
      </c>
      <c r="B6687" s="123">
        <v>763563.0</v>
      </c>
      <c r="C6687" s="124" t="s">
        <v>13905</v>
      </c>
      <c r="D6687" s="125"/>
      <c r="E6687" s="126">
        <v>46.04</v>
      </c>
      <c r="F6687" s="127"/>
      <c r="G6687" s="127"/>
      <c r="H6687" s="127"/>
      <c r="I6687" s="128"/>
      <c r="K6687" s="105" t="str">
        <f>IFERROR(__xludf.DUMMYFUNCTION("if(A6687="""","""",substitute(SUBSTITUTE(index(importhtml(""http://finviz.com/quote.ashx?t=""&amp;A6687,""table"",10),7,2),""*"",""""),""-"",""0.00""))"),"Loading...")</f>
        <v>Loading...</v>
      </c>
      <c r="L6687" s="129">
        <v>2.18874164E8</v>
      </c>
      <c r="M6687" s="99">
        <v>0.23</v>
      </c>
    </row>
    <row r="6688">
      <c r="A6688" s="122" t="s">
        <v>13906</v>
      </c>
      <c r="B6688" s="123">
        <v>56978.0</v>
      </c>
      <c r="C6688" s="124" t="s">
        <v>13907</v>
      </c>
      <c r="D6688" s="125"/>
      <c r="E6688" s="126">
        <v>46.06</v>
      </c>
      <c r="F6688" s="127"/>
      <c r="G6688" s="127"/>
      <c r="H6688" s="127"/>
      <c r="I6688" s="128"/>
      <c r="K6688" s="105" t="str">
        <f>IFERROR(__xludf.DUMMYFUNCTION("if(A6688="""","""",substitute(SUBSTITUTE(index(importhtml(""http://finviz.com/quote.ashx?t=""&amp;A6688,""table"",10),7,2),""*"",""""),""-"",""0.00""))"),"Loading...")</f>
        <v>Loading...</v>
      </c>
      <c r="L6688" s="129">
        <v>2.61252558E9</v>
      </c>
      <c r="M6688" s="99">
        <v>1.49</v>
      </c>
    </row>
    <row r="6689">
      <c r="A6689" s="122" t="s">
        <v>13908</v>
      </c>
      <c r="B6689" s="123">
        <v>708821.0</v>
      </c>
      <c r="C6689" s="124" t="s">
        <v>13909</v>
      </c>
      <c r="D6689" s="125"/>
      <c r="E6689" s="126">
        <v>46.08</v>
      </c>
      <c r="F6689" s="127"/>
      <c r="G6689" s="127"/>
      <c r="H6689" s="127"/>
      <c r="I6689" s="128"/>
      <c r="K6689" s="105" t="str">
        <f>IFERROR(__xludf.DUMMYFUNCTION("if(A6689="""","""",substitute(SUBSTITUTE(index(importhtml(""http://finviz.com/quote.ashx?t=""&amp;A6689,""table"",10),7,2),""*"",""""),""-"",""0.00""))"),"Loading...")</f>
        <v>Loading...</v>
      </c>
      <c r="L6689" s="129">
        <v>1.291228928E9</v>
      </c>
      <c r="M6689" s="99">
        <v>2.02</v>
      </c>
    </row>
    <row r="6690">
      <c r="A6690" s="122" t="s">
        <v>13910</v>
      </c>
      <c r="B6690" s="123">
        <v>56873.0</v>
      </c>
      <c r="C6690" s="124" t="s">
        <v>13911</v>
      </c>
      <c r="D6690" s="125"/>
      <c r="E6690" s="126">
        <v>46.14</v>
      </c>
      <c r="F6690" s="127"/>
      <c r="G6690" s="127"/>
      <c r="H6690" s="127"/>
      <c r="I6690" s="128"/>
      <c r="K6690" s="138" t="s">
        <v>11720</v>
      </c>
      <c r="L6690" s="129">
        <v>3.3194195236E10</v>
      </c>
      <c r="M6690" s="99">
        <v>0.45</v>
      </c>
    </row>
    <row r="6691">
      <c r="A6691" s="122" t="s">
        <v>13912</v>
      </c>
      <c r="B6691" s="123">
        <v>886977.0</v>
      </c>
      <c r="C6691" s="124" t="s">
        <v>13913</v>
      </c>
      <c r="D6691" s="125"/>
      <c r="E6691" s="126">
        <v>46.14</v>
      </c>
      <c r="F6691" s="127"/>
      <c r="G6691" s="127"/>
      <c r="H6691" s="127"/>
      <c r="I6691" s="128"/>
      <c r="K6691" s="105" t="str">
        <f>IFERROR(__xludf.DUMMYFUNCTION("if(A6691="""","""",substitute(SUBSTITUTE(index(importhtml(""http://finviz.com/quote.ashx?t=""&amp;A6691,""table"",10),7,2),""*"",""""),""-"",""0.00""))"),"Loading...")</f>
        <v>Loading...</v>
      </c>
      <c r="L6691" s="129">
        <v>3.109276742E9</v>
      </c>
      <c r="M6691" s="99">
        <v>1.52</v>
      </c>
    </row>
    <row r="6692">
      <c r="A6692" s="122" t="s">
        <v>13914</v>
      </c>
      <c r="B6692" s="123">
        <v>1773427.0</v>
      </c>
      <c r="C6692" s="124" t="s">
        <v>13915</v>
      </c>
      <c r="D6692" s="125"/>
      <c r="E6692" s="126">
        <v>46.16</v>
      </c>
      <c r="F6692" s="127"/>
      <c r="G6692" s="127"/>
      <c r="H6692" s="127"/>
      <c r="I6692" s="128"/>
      <c r="K6692" s="105" t="str">
        <f>IFERROR(__xludf.DUMMYFUNCTION("if(A6692="""","""",substitute(SUBSTITUTE(index(importhtml(""http://finviz.com/quote.ashx?t=""&amp;A6692,""table"",10),7,2),""*"",""""),""-"",""0.00""))"),"Loading...")</f>
        <v>Loading...</v>
      </c>
      <c r="L6692" s="129">
        <v>3.325828594E9</v>
      </c>
      <c r="M6692" s="99">
        <v>0.82</v>
      </c>
    </row>
    <row r="6693">
      <c r="A6693" s="122" t="s">
        <v>13916</v>
      </c>
      <c r="B6693" s="123">
        <v>1754581.0</v>
      </c>
      <c r="C6693" s="124" t="s">
        <v>13917</v>
      </c>
      <c r="D6693" s="125"/>
      <c r="E6693" s="126">
        <v>46.2</v>
      </c>
      <c r="F6693" s="127"/>
      <c r="G6693" s="127"/>
      <c r="H6693" s="127"/>
      <c r="I6693" s="128"/>
      <c r="K6693" s="105" t="str">
        <f>IFERROR(__xludf.DUMMYFUNCTION("if(A6693="""","""",substitute(SUBSTITUTE(index(importhtml(""http://finviz.com/quote.ashx?t=""&amp;A6693,""table"",10),7,2),""*"",""""),""-"",""0.00""))"),"Loading...")</f>
        <v>Loading...</v>
      </c>
      <c r="L6693" s="129">
        <v>6.450933826E9</v>
      </c>
      <c r="M6693" s="99">
        <v>0.79</v>
      </c>
    </row>
    <row r="6694">
      <c r="A6694" s="122" t="s">
        <v>13918</v>
      </c>
      <c r="B6694" s="123">
        <v>1590976.0</v>
      </c>
      <c r="C6694" s="124" t="s">
        <v>13919</v>
      </c>
      <c r="D6694" s="125"/>
      <c r="E6694" s="126">
        <v>46.31</v>
      </c>
      <c r="F6694" s="127"/>
      <c r="G6694" s="127"/>
      <c r="H6694" s="127"/>
      <c r="I6694" s="128"/>
      <c r="K6694" s="105" t="str">
        <f>IFERROR(__xludf.DUMMYFUNCTION("if(A6694="""","""",substitute(SUBSTITUTE(index(importhtml(""http://finviz.com/quote.ashx?t=""&amp;A6694,""table"",10),7,2),""*"",""""),""-"",""0.00""))"),"Loading...")</f>
        <v>Loading...</v>
      </c>
      <c r="L6694" s="129">
        <v>9.46148986E8</v>
      </c>
      <c r="M6694" s="99">
        <v>1.38</v>
      </c>
    </row>
    <row r="6695">
      <c r="A6695" s="122" t="s">
        <v>13920</v>
      </c>
      <c r="B6695" s="123">
        <v>1012019.0</v>
      </c>
      <c r="C6695" s="124" t="s">
        <v>13921</v>
      </c>
      <c r="D6695" s="125"/>
      <c r="E6695" s="126">
        <v>46.31</v>
      </c>
      <c r="F6695" s="127"/>
      <c r="G6695" s="127"/>
      <c r="H6695" s="127"/>
      <c r="I6695" s="128"/>
      <c r="K6695" s="105" t="str">
        <f>IFERROR(__xludf.DUMMYFUNCTION("if(A6695="""","""",substitute(SUBSTITUTE(index(importhtml(""http://finviz.com/quote.ashx?t=""&amp;A6695,""table"",10),7,2),""*"",""""),""-"",""0.00""))"),"Loading...")</f>
        <v>Loading...</v>
      </c>
      <c r="L6695" s="129">
        <v>3.655901379E9</v>
      </c>
      <c r="M6695" s="99">
        <v>1.01</v>
      </c>
    </row>
    <row r="6696">
      <c r="A6696" s="122" t="s">
        <v>13922</v>
      </c>
      <c r="B6696" s="123">
        <v>311094.0</v>
      </c>
      <c r="C6696" s="124" t="s">
        <v>13923</v>
      </c>
      <c r="D6696" s="125"/>
      <c r="E6696" s="126">
        <v>46.32</v>
      </c>
      <c r="F6696" s="127"/>
      <c r="G6696" s="127"/>
      <c r="H6696" s="127"/>
      <c r="I6696" s="128"/>
      <c r="K6696" s="105" t="str">
        <f>IFERROR(__xludf.DUMMYFUNCTION("if(A6696="""","""",substitute(SUBSTITUTE(index(importhtml(""http://finviz.com/quote.ashx?t=""&amp;A6696,""table"",10),7,2),""*"",""""),""-"",""0.00""))"),"Loading...")</f>
        <v>Loading...</v>
      </c>
      <c r="L6696" s="129">
        <v>1.235400248E9</v>
      </c>
      <c r="M6696" s="99">
        <v>0.56</v>
      </c>
    </row>
    <row r="6697">
      <c r="A6697" s="122" t="s">
        <v>13924</v>
      </c>
      <c r="B6697" s="123">
        <v>740260.0</v>
      </c>
      <c r="C6697" s="124" t="s">
        <v>13925</v>
      </c>
      <c r="D6697" s="125"/>
      <c r="E6697" s="126">
        <v>46.36</v>
      </c>
      <c r="F6697" s="127"/>
      <c r="G6697" s="127"/>
      <c r="H6697" s="127"/>
      <c r="I6697" s="128"/>
      <c r="K6697" s="105" t="str">
        <f>IFERROR(__xludf.DUMMYFUNCTION("if(A6697="""","""",substitute(SUBSTITUTE(index(importhtml(""http://finviz.com/quote.ashx?t=""&amp;A6697,""table"",10),7,2),""*"",""""),""-"",""0.00""))"),"Loading...")</f>
        <v>Loading...</v>
      </c>
      <c r="L6697" s="129">
        <v>1.8654364861E10</v>
      </c>
      <c r="M6697" s="99">
        <v>1.26</v>
      </c>
    </row>
    <row r="6698">
      <c r="A6698" s="122" t="s">
        <v>13926</v>
      </c>
      <c r="B6698" s="123">
        <v>1669414.0</v>
      </c>
      <c r="C6698" s="124" t="s">
        <v>13927</v>
      </c>
      <c r="D6698" s="125"/>
      <c r="E6698" s="126">
        <v>46.38</v>
      </c>
      <c r="F6698" s="127"/>
      <c r="G6698" s="127"/>
      <c r="H6698" s="127"/>
      <c r="I6698" s="128"/>
      <c r="K6698" s="105" t="str">
        <f>IFERROR(__xludf.DUMMYFUNCTION("if(A6698="""","""",substitute(SUBSTITUTE(index(importhtml(""http://finviz.com/quote.ashx?t=""&amp;A6698,""table"",10),7,2),""*"",""""),""-"",""0.00""))"),"Loading...")</f>
        <v>Loading...</v>
      </c>
      <c r="L6698" s="129">
        <v>2.9886137512E12</v>
      </c>
      <c r="M6698" s="99">
        <f>IFERROR(__xludf.DUMMYFUNCTION("GOOGLEFINANCE(A6698,""beta"")"),-4.6)</f>
        <v>-4.6</v>
      </c>
    </row>
    <row r="6699">
      <c r="A6699" s="122" t="s">
        <v>13928</v>
      </c>
      <c r="B6699" s="123">
        <v>1323468.0</v>
      </c>
      <c r="C6699" s="124" t="s">
        <v>13929</v>
      </c>
      <c r="D6699" s="125"/>
      <c r="E6699" s="126">
        <v>46.4</v>
      </c>
      <c r="F6699" s="127"/>
      <c r="G6699" s="127"/>
      <c r="H6699" s="127"/>
      <c r="I6699" s="128"/>
      <c r="K6699" s="55" t="s">
        <v>13930</v>
      </c>
      <c r="L6699" s="129">
        <v>1.577393571E9</v>
      </c>
      <c r="M6699" s="99">
        <v>1.38</v>
      </c>
    </row>
    <row r="6700">
      <c r="A6700" s="122" t="s">
        <v>13931</v>
      </c>
      <c r="B6700" s="123">
        <v>1754226.0</v>
      </c>
      <c r="C6700" s="124" t="s">
        <v>13932</v>
      </c>
      <c r="D6700" s="125"/>
      <c r="E6700" s="126">
        <v>46.51</v>
      </c>
      <c r="F6700" s="127"/>
      <c r="G6700" s="127"/>
      <c r="H6700" s="127"/>
      <c r="I6700" s="128"/>
      <c r="K6700" s="105" t="str">
        <f>IFERROR(__xludf.DUMMYFUNCTION("if(A6700="""","""",substitute(SUBSTITUTE(index(importhtml(""http://finviz.com/quote.ashx?t=""&amp;A6700,""table"",10),7,2),""*"",""""),""-"",""0.00""))"),"Loading...")</f>
        <v>Loading...</v>
      </c>
      <c r="L6700" s="129">
        <v>2.62802745E8</v>
      </c>
      <c r="M6700" s="99">
        <v>0.39</v>
      </c>
    </row>
    <row r="6701">
      <c r="A6701" s="122" t="s">
        <v>13933</v>
      </c>
      <c r="B6701" s="123">
        <v>69891.0</v>
      </c>
      <c r="C6701" s="124" t="s">
        <v>13934</v>
      </c>
      <c r="D6701" s="125"/>
      <c r="E6701" s="126">
        <v>46.58</v>
      </c>
      <c r="F6701" s="127"/>
      <c r="G6701" s="127"/>
      <c r="H6701" s="127"/>
      <c r="I6701" s="128"/>
      <c r="K6701" s="105" t="str">
        <f>IFERROR(__xludf.DUMMYFUNCTION("if(A6701="""","""",substitute(SUBSTITUTE(index(importhtml(""http://finviz.com/quote.ashx?t=""&amp;A6701,""table"",10),7,2),""*"",""""),""-"",""0.00""))"),"Loading...")</f>
        <v>Loading...</v>
      </c>
      <c r="L6701" s="129">
        <v>4.350233534E9</v>
      </c>
      <c r="M6701" s="99">
        <v>0.86</v>
      </c>
    </row>
    <row r="6702">
      <c r="A6702" s="122" t="s">
        <v>13935</v>
      </c>
      <c r="B6702" s="123">
        <v>12659.0</v>
      </c>
      <c r="C6702" s="124" t="s">
        <v>13936</v>
      </c>
      <c r="D6702" s="125"/>
      <c r="E6702" s="126">
        <v>46.58</v>
      </c>
      <c r="F6702" s="127"/>
      <c r="G6702" s="127"/>
      <c r="H6702" s="127"/>
      <c r="I6702" s="128"/>
      <c r="K6702" s="105" t="str">
        <f>IFERROR(__xludf.DUMMYFUNCTION("if(A6702="""","""",substitute(SUBSTITUTE(index(importhtml(""http://finviz.com/quote.ashx?t=""&amp;A6702,""table"",10),7,2),""*"",""""),""-"",""0.00""))"),"Loading...")</f>
        <v>Loading...</v>
      </c>
      <c r="L6702" s="129">
        <v>6.704306243E9</v>
      </c>
      <c r="M6702" s="99">
        <v>0.7</v>
      </c>
    </row>
    <row r="6703">
      <c r="A6703" s="122" t="s">
        <v>13937</v>
      </c>
      <c r="B6703" s="123">
        <v>1856485.0</v>
      </c>
      <c r="C6703" s="124" t="s">
        <v>13938</v>
      </c>
      <c r="D6703" s="125"/>
      <c r="E6703" s="126">
        <v>46.73</v>
      </c>
      <c r="F6703" s="127"/>
      <c r="G6703" s="127"/>
      <c r="H6703" s="127"/>
      <c r="I6703" s="128"/>
      <c r="K6703" s="105" t="str">
        <f>IFERROR(__xludf.DUMMYFUNCTION("if(A6703="""","""",substitute(SUBSTITUTE(index(importhtml(""http://finviz.com/quote.ashx?t=""&amp;A6703,""table"",10),7,2),""*"",""""),""-"",""0.00""))"),"Loading...")</f>
        <v>Loading...</v>
      </c>
      <c r="L6703" s="129">
        <v>1.941803447E9</v>
      </c>
      <c r="M6703" s="99">
        <f>IFERROR(__xludf.DUMMYFUNCTION("GOOGLEFINANCE(A6703,""beta"")"),0.84)</f>
        <v>0.84</v>
      </c>
    </row>
    <row r="6704">
      <c r="A6704" s="122" t="s">
        <v>13939</v>
      </c>
      <c r="B6704" s="123">
        <v>1484565.0</v>
      </c>
      <c r="C6704" s="124" t="s">
        <v>13940</v>
      </c>
      <c r="D6704" s="125"/>
      <c r="E6704" s="126">
        <v>46.74</v>
      </c>
      <c r="F6704" s="127"/>
      <c r="G6704" s="127"/>
      <c r="H6704" s="127"/>
      <c r="I6704" s="128"/>
      <c r="K6704" s="105" t="str">
        <f>IFERROR(__xludf.DUMMYFUNCTION("if(A6704="""","""",substitute(SUBSTITUTE(index(importhtml(""http://finviz.com/quote.ashx?t=""&amp;A6704,""table"",10),7,2),""*"",""""),""-"",""0.00""))"),"Loading...")</f>
        <v>Loading...</v>
      </c>
      <c r="L6704" s="129">
        <v>1.425540137E9</v>
      </c>
      <c r="M6704" s="99">
        <v>-1.55</v>
      </c>
    </row>
    <row r="6705">
      <c r="A6705" s="122" t="s">
        <v>13941</v>
      </c>
      <c r="B6705" s="123">
        <v>887733.0</v>
      </c>
      <c r="C6705" s="124" t="s">
        <v>13942</v>
      </c>
      <c r="D6705" s="125"/>
      <c r="E6705" s="126">
        <v>46.77</v>
      </c>
      <c r="F6705" s="127"/>
      <c r="G6705" s="127"/>
      <c r="H6705" s="127"/>
      <c r="I6705" s="128"/>
      <c r="K6705" s="105" t="str">
        <f>IFERROR(__xludf.DUMMYFUNCTION("if(A6705="""","""",substitute(SUBSTITUTE(index(importhtml(""http://finviz.com/quote.ashx?t=""&amp;A6705,""table"",10),7,2),""*"",""""),""-"",""0.00""))"),"Loading...")</f>
        <v>Loading...</v>
      </c>
      <c r="L6705" s="129">
        <v>2.279364034E9</v>
      </c>
      <c r="M6705" s="99">
        <v>0.66</v>
      </c>
    </row>
    <row r="6706">
      <c r="A6706" s="122" t="s">
        <v>13943</v>
      </c>
      <c r="B6706" s="123">
        <v>70145.0</v>
      </c>
      <c r="C6706" s="124" t="s">
        <v>13944</v>
      </c>
      <c r="D6706" s="125"/>
      <c r="E6706" s="126">
        <v>46.8</v>
      </c>
      <c r="F6706" s="127"/>
      <c r="G6706" s="127"/>
      <c r="H6706" s="127"/>
      <c r="I6706" s="128"/>
      <c r="K6706" s="105" t="str">
        <f>IFERROR(__xludf.DUMMYFUNCTION("if(A6706="""","""",substitute(SUBSTITUTE(index(importhtml(""http://finviz.com/quote.ashx?t=""&amp;A6706,""table"",10),7,2),""*"",""""),""-"",""0.00""))"),"Loading...")</f>
        <v>Loading...</v>
      </c>
      <c r="L6706" s="129">
        <v>4.311413893E9</v>
      </c>
      <c r="M6706" s="99">
        <v>0.62</v>
      </c>
    </row>
    <row r="6707">
      <c r="A6707" s="122" t="s">
        <v>13945</v>
      </c>
      <c r="B6707" s="123">
        <v>1609253.0</v>
      </c>
      <c r="C6707" s="124" t="s">
        <v>13946</v>
      </c>
      <c r="D6707" s="125"/>
      <c r="E6707" s="126">
        <v>46.81</v>
      </c>
      <c r="F6707" s="127"/>
      <c r="G6707" s="127"/>
      <c r="H6707" s="127"/>
      <c r="I6707" s="128"/>
      <c r="K6707" s="55" t="s">
        <v>10948</v>
      </c>
      <c r="L6707" s="129">
        <v>3.212095272E9</v>
      </c>
      <c r="M6707" s="99">
        <v>1.49</v>
      </c>
    </row>
    <row r="6708">
      <c r="A6708" s="122" t="s">
        <v>13947</v>
      </c>
      <c r="B6708" s="123">
        <v>923120.0</v>
      </c>
      <c r="C6708" s="124" t="s">
        <v>13948</v>
      </c>
      <c r="D6708" s="125"/>
      <c r="E6708" s="126">
        <v>46.89</v>
      </c>
      <c r="F6708" s="127"/>
      <c r="G6708" s="127"/>
      <c r="H6708" s="127"/>
      <c r="I6708" s="128"/>
      <c r="K6708" s="55" t="s">
        <v>12968</v>
      </c>
      <c r="L6708" s="129">
        <v>1.457847124E9</v>
      </c>
      <c r="M6708" s="99">
        <v>1.64</v>
      </c>
    </row>
    <row r="6709">
      <c r="A6709" s="122" t="s">
        <v>13949</v>
      </c>
      <c r="B6709" s="123">
        <v>9631.0</v>
      </c>
      <c r="C6709" s="124" t="s">
        <v>13950</v>
      </c>
      <c r="D6709" s="125"/>
      <c r="E6709" s="126">
        <v>46.89</v>
      </c>
      <c r="F6709" s="127"/>
      <c r="G6709" s="127"/>
      <c r="H6709" s="127"/>
      <c r="I6709" s="128"/>
      <c r="K6709" s="55" t="s">
        <v>13951</v>
      </c>
      <c r="L6709" s="129">
        <v>5.6929429598E10</v>
      </c>
      <c r="M6709" s="99">
        <v>1.06</v>
      </c>
    </row>
    <row r="6710">
      <c r="A6710" s="122" t="s">
        <v>13952</v>
      </c>
      <c r="B6710" s="123">
        <v>1126956.0</v>
      </c>
      <c r="C6710" s="124" t="s">
        <v>13953</v>
      </c>
      <c r="D6710" s="125"/>
      <c r="E6710" s="126">
        <v>46.91</v>
      </c>
      <c r="F6710" s="127"/>
      <c r="G6710" s="127"/>
      <c r="H6710" s="127"/>
      <c r="I6710" s="128"/>
      <c r="K6710" s="105" t="str">
        <f>IFERROR(__xludf.DUMMYFUNCTION("if(A6710="""","""",substitute(SUBSTITUTE(index(importhtml(""http://finviz.com/quote.ashx?t=""&amp;A6710,""table"",10),7,2),""*"",""""),""-"",""0.00""))"),"Loading...")</f>
        <v>Loading...</v>
      </c>
      <c r="L6710" s="129">
        <v>3.14052162E9</v>
      </c>
      <c r="M6710" s="99" t="str">
        <f>IFERROR(__xludf.DUMMYFUNCTION("GOOGLEFINANCE(A6710,""beta"")"),"#N/A")</f>
        <v>#N/A</v>
      </c>
    </row>
    <row r="6711">
      <c r="A6711" s="122" t="s">
        <v>13954</v>
      </c>
      <c r="B6711" s="123">
        <v>1281721.0</v>
      </c>
      <c r="C6711" s="124" t="s">
        <v>13955</v>
      </c>
      <c r="D6711" s="125"/>
      <c r="E6711" s="126">
        <v>46.96</v>
      </c>
      <c r="F6711" s="127"/>
      <c r="G6711" s="127"/>
      <c r="H6711" s="127"/>
      <c r="I6711" s="128"/>
      <c r="K6711" s="105" t="str">
        <f>IFERROR(__xludf.DUMMYFUNCTION("if(A6711="""","""",substitute(SUBSTITUTE(index(importhtml(""http://finviz.com/quote.ashx?t=""&amp;A6711,""table"",10),7,2),""*"",""""),""-"",""0.00""))"),"Loading...")</f>
        <v>Loading...</v>
      </c>
      <c r="L6711" s="129">
        <v>2.1427892002E12</v>
      </c>
      <c r="M6711" s="99">
        <v>0.49</v>
      </c>
    </row>
    <row r="6712">
      <c r="A6712" s="122" t="s">
        <v>13956</v>
      </c>
      <c r="B6712" s="123">
        <v>49754.0</v>
      </c>
      <c r="C6712" s="124" t="s">
        <v>13957</v>
      </c>
      <c r="D6712" s="125"/>
      <c r="E6712" s="126">
        <v>46.97</v>
      </c>
      <c r="F6712" s="127"/>
      <c r="G6712" s="127"/>
      <c r="H6712" s="127"/>
      <c r="I6712" s="128"/>
      <c r="K6712" s="55" t="s">
        <v>13958</v>
      </c>
      <c r="L6712" s="129">
        <v>7.25357728E8</v>
      </c>
      <c r="M6712" s="99">
        <v>1.72</v>
      </c>
    </row>
    <row r="6713">
      <c r="A6713" s="122" t="s">
        <v>13959</v>
      </c>
      <c r="B6713" s="123">
        <v>733099.0</v>
      </c>
      <c r="C6713" s="124" t="s">
        <v>13960</v>
      </c>
      <c r="D6713" s="125"/>
      <c r="E6713" s="126">
        <v>47.18</v>
      </c>
      <c r="F6713" s="127"/>
      <c r="G6713" s="127"/>
      <c r="H6713" s="127"/>
      <c r="I6713" s="128"/>
      <c r="K6713" s="105" t="str">
        <f>IFERROR(__xludf.DUMMYFUNCTION("if(A6713="""","""",substitute(SUBSTITUTE(index(importhtml(""http://finviz.com/quote.ashx?t=""&amp;A6713,""table"",10),7,2),""*"",""""),""-"",""0.00""))"),"Loading...")</f>
        <v>Loading...</v>
      </c>
      <c r="L6713" s="129">
        <v>2.5150744228E10</v>
      </c>
      <c r="M6713" s="99">
        <v>0.55</v>
      </c>
    </row>
    <row r="6714">
      <c r="A6714" s="122" t="s">
        <v>13961</v>
      </c>
      <c r="B6714" s="123">
        <v>1665918.0</v>
      </c>
      <c r="C6714" s="124" t="s">
        <v>13962</v>
      </c>
      <c r="D6714" s="125"/>
      <c r="E6714" s="126">
        <v>47.2</v>
      </c>
      <c r="F6714" s="127"/>
      <c r="G6714" s="127"/>
      <c r="H6714" s="127"/>
      <c r="I6714" s="128"/>
      <c r="K6714" s="105" t="str">
        <f>IFERROR(__xludf.DUMMYFUNCTION("if(A6714="""","""",substitute(SUBSTITUTE(index(importhtml(""http://finviz.com/quote.ashx?t=""&amp;A6714,""table"",10),7,2),""*"",""""),""-"",""0.00""))"),"Loading...")</f>
        <v>Loading...</v>
      </c>
      <c r="L6714" s="129">
        <v>1.1604186267E10</v>
      </c>
      <c r="M6714" s="99">
        <v>1.57</v>
      </c>
    </row>
    <row r="6715">
      <c r="A6715" s="122" t="s">
        <v>13963</v>
      </c>
      <c r="B6715" s="123">
        <v>1323404.0</v>
      </c>
      <c r="C6715" s="124" t="s">
        <v>13964</v>
      </c>
      <c r="D6715" s="125"/>
      <c r="E6715" s="126">
        <v>47.2</v>
      </c>
      <c r="F6715" s="127"/>
      <c r="G6715" s="127"/>
      <c r="H6715" s="127"/>
      <c r="I6715" s="128"/>
      <c r="K6715" s="105" t="str">
        <f>IFERROR(__xludf.DUMMYFUNCTION("if(A6715="""","""",substitute(SUBSTITUTE(index(importhtml(""http://finviz.com/quote.ashx?t=""&amp;A6715,""table"",10),7,2),""*"",""""),""-"",""0.00""))"),"Loading...")</f>
        <v>Loading...</v>
      </c>
      <c r="L6715" s="129">
        <v>2.1395802825E10</v>
      </c>
      <c r="M6715" s="99">
        <v>0.8</v>
      </c>
    </row>
    <row r="6716">
      <c r="A6716" s="122" t="s">
        <v>13965</v>
      </c>
      <c r="B6716" s="123">
        <v>1121404.0</v>
      </c>
      <c r="C6716" s="124" t="s">
        <v>13966</v>
      </c>
      <c r="D6716" s="125"/>
      <c r="E6716" s="126">
        <v>47.23</v>
      </c>
      <c r="F6716" s="127"/>
      <c r="G6716" s="127"/>
      <c r="H6716" s="127"/>
      <c r="I6716" s="128"/>
      <c r="K6716" s="105" t="str">
        <f>IFERROR(__xludf.DUMMYFUNCTION("if(A6716="""","""",substitute(SUBSTITUTE(index(importhtml(""http://finviz.com/quote.ashx?t=""&amp;A6716,""table"",10),7,2),""*"",""""),""-"",""0.00""))"),"Loading...")</f>
        <v>Loading...</v>
      </c>
      <c r="L6716" s="129">
        <v>1.20111178595E11</v>
      </c>
      <c r="M6716" s="99">
        <v>0.61</v>
      </c>
    </row>
    <row r="6717">
      <c r="A6717" s="122" t="s">
        <v>13967</v>
      </c>
      <c r="B6717" s="123">
        <v>1111485.0</v>
      </c>
      <c r="C6717" s="124" t="s">
        <v>13968</v>
      </c>
      <c r="D6717" s="125"/>
      <c r="E6717" s="126">
        <v>47.24</v>
      </c>
      <c r="F6717" s="127"/>
      <c r="G6717" s="127"/>
      <c r="H6717" s="127"/>
      <c r="I6717" s="128"/>
      <c r="K6717" s="105" t="str">
        <f>IFERROR(__xludf.DUMMYFUNCTION("if(A6717="""","""",substitute(SUBSTITUTE(index(importhtml(""http://finviz.com/quote.ashx?t=""&amp;A6717,""table"",10),7,2),""*"",""""),""-"",""0.00""))"),"Loading...")</f>
        <v>Loading...</v>
      </c>
      <c r="L6717" s="129">
        <v>1.694102044E9</v>
      </c>
      <c r="M6717" s="99">
        <f>IFERROR(__xludf.DUMMYFUNCTION("GOOGLEFINANCE(A6717,""beta"")"),1.16)</f>
        <v>1.16</v>
      </c>
    </row>
    <row r="6718">
      <c r="A6718" s="122" t="s">
        <v>13969</v>
      </c>
      <c r="B6718" s="123">
        <v>1065696.0</v>
      </c>
      <c r="C6718" s="124" t="s">
        <v>13970</v>
      </c>
      <c r="D6718" s="125"/>
      <c r="E6718" s="126">
        <v>47.3</v>
      </c>
      <c r="F6718" s="127"/>
      <c r="G6718" s="127"/>
      <c r="H6718" s="127"/>
      <c r="I6718" s="128"/>
      <c r="K6718" s="105" t="str">
        <f>IFERROR(__xludf.DUMMYFUNCTION("if(A6718="""","""",substitute(SUBSTITUTE(index(importhtml(""http://finviz.com/quote.ashx?t=""&amp;A6718,""table"",10),7,2),""*"",""""),""-"",""0.00""))"),"Loading...")</f>
        <v>Loading...</v>
      </c>
      <c r="L6718" s="129">
        <v>1.2657394655E10</v>
      </c>
      <c r="M6718" s="99">
        <v>1.27</v>
      </c>
    </row>
    <row r="6719">
      <c r="A6719" s="122" t="s">
        <v>13971</v>
      </c>
      <c r="B6719" s="123">
        <v>733099.0</v>
      </c>
      <c r="C6719" s="124" t="s">
        <v>13972</v>
      </c>
      <c r="D6719" s="125"/>
      <c r="E6719" s="126">
        <v>47.31</v>
      </c>
      <c r="F6719" s="127"/>
      <c r="G6719" s="127"/>
      <c r="H6719" s="127"/>
      <c r="I6719" s="128"/>
      <c r="K6719" s="105" t="str">
        <f>IFERROR(__xludf.DUMMYFUNCTION("if(A6719="""","""",substitute(SUBSTITUTE(index(importhtml(""http://finviz.com/quote.ashx?t=""&amp;A6719,""table"",10),7,2),""*"",""""),""-"",""0.00""))"),"#REF!")</f>
        <v>#REF!</v>
      </c>
      <c r="L6719" s="129">
        <v>2.5150744228E10</v>
      </c>
      <c r="M6719" s="99">
        <v>0.6</v>
      </c>
    </row>
    <row r="6720">
      <c r="A6720" s="122" t="s">
        <v>13973</v>
      </c>
      <c r="B6720" s="123">
        <v>5513.0</v>
      </c>
      <c r="C6720" s="124" t="s">
        <v>13974</v>
      </c>
      <c r="D6720" s="125"/>
      <c r="E6720" s="126">
        <v>47.34</v>
      </c>
      <c r="F6720" s="127"/>
      <c r="G6720" s="127"/>
      <c r="H6720" s="127"/>
      <c r="I6720" s="128"/>
      <c r="K6720" s="105" t="str">
        <f>IFERROR(__xludf.DUMMYFUNCTION("if(A6720="""","""",substitute(SUBSTITUTE(index(importhtml(""http://finviz.com/quote.ashx?t=""&amp;A6720,""table"",10),7,2),""*"",""""),""-"",""0.00""))"),"Loading...")</f>
        <v>Loading...</v>
      </c>
      <c r="L6720" s="129">
        <v>9.155556029E9</v>
      </c>
      <c r="M6720" s="99">
        <v>0.87</v>
      </c>
    </row>
    <row r="6721">
      <c r="A6721" s="122" t="s">
        <v>13975</v>
      </c>
      <c r="B6721" s="123">
        <v>31791.0</v>
      </c>
      <c r="C6721" s="124" t="s">
        <v>13976</v>
      </c>
      <c r="D6721" s="125"/>
      <c r="E6721" s="126">
        <v>47.35</v>
      </c>
      <c r="F6721" s="127"/>
      <c r="G6721" s="127"/>
      <c r="H6721" s="127"/>
      <c r="I6721" s="128"/>
      <c r="K6721" s="105" t="str">
        <f>IFERROR(__xludf.DUMMYFUNCTION("if(A6721="""","""",substitute(SUBSTITUTE(index(importhtml(""http://finviz.com/quote.ashx?t=""&amp;A6721,""table"",10),7,2),""*"",""""),""-"",""0.00""))"),"Loading...")</f>
        <v>Loading...</v>
      </c>
      <c r="L6721" s="129">
        <v>8.323263226E9</v>
      </c>
      <c r="M6721" s="99">
        <v>1.07</v>
      </c>
    </row>
    <row r="6722">
      <c r="A6722" s="122" t="s">
        <v>13977</v>
      </c>
      <c r="B6722" s="123">
        <v>1534675.0</v>
      </c>
      <c r="C6722" s="124" t="s">
        <v>13978</v>
      </c>
      <c r="D6722" s="125"/>
      <c r="E6722" s="126">
        <v>47.4</v>
      </c>
      <c r="F6722" s="127"/>
      <c r="G6722" s="127"/>
      <c r="H6722" s="127"/>
      <c r="I6722" s="128"/>
      <c r="K6722" s="105" t="str">
        <f>IFERROR(__xludf.DUMMYFUNCTION("if(A6722="""","""",substitute(SUBSTITUTE(index(importhtml(""http://finviz.com/quote.ashx?t=""&amp;A6722,""table"",10),7,2),""*"",""""),""-"",""0.00""))"),"Loading...")</f>
        <v>Loading...</v>
      </c>
      <c r="L6722" s="129">
        <v>2.259783696E9</v>
      </c>
      <c r="M6722" s="99">
        <v>1.78</v>
      </c>
    </row>
    <row r="6723">
      <c r="A6723" s="122" t="s">
        <v>13979</v>
      </c>
      <c r="B6723" s="123">
        <v>1417398.0</v>
      </c>
      <c r="C6723" s="124" t="s">
        <v>13980</v>
      </c>
      <c r="D6723" s="125"/>
      <c r="E6723" s="126">
        <v>47.49</v>
      </c>
      <c r="F6723" s="127"/>
      <c r="G6723" s="127"/>
      <c r="H6723" s="127"/>
      <c r="I6723" s="128"/>
      <c r="K6723" s="138" t="s">
        <v>6789</v>
      </c>
      <c r="L6723" s="129">
        <v>3.330146611E9</v>
      </c>
      <c r="M6723" s="99">
        <v>1.5</v>
      </c>
    </row>
    <row r="6724">
      <c r="A6724" s="122" t="s">
        <v>13981</v>
      </c>
      <c r="B6724" s="123">
        <v>1584207.0</v>
      </c>
      <c r="C6724" s="124" t="s">
        <v>13982</v>
      </c>
      <c r="D6724" s="125"/>
      <c r="E6724" s="126">
        <v>47.53</v>
      </c>
      <c r="F6724" s="127"/>
      <c r="G6724" s="127"/>
      <c r="H6724" s="127"/>
      <c r="I6724" s="128"/>
      <c r="K6724" s="105" t="str">
        <f>IFERROR(__xludf.DUMMYFUNCTION("if(A6724="""","""",substitute(SUBSTITUTE(index(importhtml(""http://finviz.com/quote.ashx?t=""&amp;A6724,""table"",10),7,2),""*"",""""),""-"",""0.00""))"),"Loading...")</f>
        <v>Loading...</v>
      </c>
      <c r="L6724" s="129">
        <v>5.699041726E9</v>
      </c>
      <c r="M6724" s="99">
        <v>1.73</v>
      </c>
    </row>
    <row r="6725">
      <c r="A6725" s="122" t="s">
        <v>13983</v>
      </c>
      <c r="B6725" s="123">
        <v>1530721.0</v>
      </c>
      <c r="C6725" s="124" t="s">
        <v>13984</v>
      </c>
      <c r="D6725" s="125"/>
      <c r="E6725" s="126">
        <v>47.57</v>
      </c>
      <c r="F6725" s="127"/>
      <c r="G6725" s="127"/>
      <c r="H6725" s="127"/>
      <c r="I6725" s="128"/>
      <c r="K6725" s="105" t="str">
        <f>IFERROR(__xludf.DUMMYFUNCTION("if(A6725="""","""",substitute(SUBSTITUTE(index(importhtml(""http://finviz.com/quote.ashx?t=""&amp;A6725,""table"",10),7,2),""*"",""""),""-"",""0.00""))"),"Loading...")</f>
        <v>Loading...</v>
      </c>
      <c r="L6725" s="129">
        <v>5.528613906E9</v>
      </c>
      <c r="M6725" s="99">
        <v>2.07</v>
      </c>
    </row>
    <row r="6726">
      <c r="A6726" s="122" t="s">
        <v>13985</v>
      </c>
      <c r="B6726" s="123">
        <v>1689923.0</v>
      </c>
      <c r="C6726" s="124" t="s">
        <v>13986</v>
      </c>
      <c r="D6726" s="125"/>
      <c r="E6726" s="126">
        <v>47.6</v>
      </c>
      <c r="F6726" s="127"/>
      <c r="G6726" s="127"/>
      <c r="H6726" s="127"/>
      <c r="I6726" s="128"/>
      <c r="K6726" s="55" t="s">
        <v>1034</v>
      </c>
      <c r="L6726" s="129">
        <v>3.439760101E9</v>
      </c>
      <c r="M6726" s="99">
        <v>0.5</v>
      </c>
    </row>
    <row r="6727">
      <c r="A6727" s="122" t="s">
        <v>13987</v>
      </c>
      <c r="B6727" s="123">
        <v>801337.0</v>
      </c>
      <c r="C6727" s="124" t="s">
        <v>13988</v>
      </c>
      <c r="D6727" s="125"/>
      <c r="E6727" s="126">
        <v>47.62</v>
      </c>
      <c r="F6727" s="127"/>
      <c r="G6727" s="127"/>
      <c r="H6727" s="127"/>
      <c r="I6727" s="128"/>
      <c r="K6727" s="105" t="str">
        <f>IFERROR(__xludf.DUMMYFUNCTION("if(A6727="""","""",substitute(SUBSTITUTE(index(importhtml(""http://finviz.com/quote.ashx?t=""&amp;A6727,""table"",10),7,2),""*"",""""),""-"",""0.00""))"),"Loading...")</f>
        <v>Loading...</v>
      </c>
      <c r="L6727" s="129">
        <v>8.191687456E9</v>
      </c>
      <c r="M6727" s="99">
        <v>1.34</v>
      </c>
    </row>
    <row r="6728">
      <c r="A6728" s="122" t="s">
        <v>13989</v>
      </c>
      <c r="B6728" s="123">
        <v>925661.0</v>
      </c>
      <c r="C6728" s="124" t="s">
        <v>13990</v>
      </c>
      <c r="D6728" s="125"/>
      <c r="E6728" s="126">
        <v>47.64</v>
      </c>
      <c r="F6728" s="127"/>
      <c r="G6728" s="127"/>
      <c r="H6728" s="127"/>
      <c r="I6728" s="128"/>
      <c r="K6728" s="105" t="str">
        <f>IFERROR(__xludf.DUMMYFUNCTION("if(A6728="""","""",substitute(SUBSTITUTE(index(importhtml(""http://finviz.com/quote.ashx?t=""&amp;A6728,""table"",10),7,2),""*"",""""),""-"",""0.00""))"),"Loading...")</f>
        <v>Loading...</v>
      </c>
      <c r="L6728" s="129" t="e">
        <v>#N/A</v>
      </c>
      <c r="M6728" s="99" t="str">
        <f>IFERROR(__xludf.DUMMYFUNCTION("GOOGLEFINANCE(A6728,""beta"")"),"#N/A")</f>
        <v>#N/A</v>
      </c>
    </row>
    <row r="6729">
      <c r="A6729" s="122" t="s">
        <v>13991</v>
      </c>
      <c r="B6729" s="123">
        <v>1549346.0</v>
      </c>
      <c r="C6729" s="124" t="s">
        <v>13992</v>
      </c>
      <c r="D6729" s="125"/>
      <c r="E6729" s="126">
        <v>47.67</v>
      </c>
      <c r="F6729" s="127"/>
      <c r="G6729" s="127"/>
      <c r="H6729" s="127"/>
      <c r="I6729" s="128"/>
      <c r="K6729" s="105" t="str">
        <f>IFERROR(__xludf.DUMMYFUNCTION("if(A6729="""","""",substitute(SUBSTITUTE(index(importhtml(""http://finviz.com/quote.ashx?t=""&amp;A6729,""table"",10),7,2),""*"",""""),""-"",""0.00""))"),"Loading...")</f>
        <v>Loading...</v>
      </c>
      <c r="L6729" s="129">
        <v>1.702419576E9</v>
      </c>
      <c r="M6729" s="99">
        <v>1.12</v>
      </c>
    </row>
    <row r="6730">
      <c r="A6730" s="122" t="s">
        <v>13993</v>
      </c>
      <c r="B6730" s="123">
        <v>1018164.0</v>
      </c>
      <c r="C6730" s="124" t="s">
        <v>13994</v>
      </c>
      <c r="D6730" s="125"/>
      <c r="E6730" s="126">
        <v>47.73</v>
      </c>
      <c r="F6730" s="127"/>
      <c r="G6730" s="127"/>
      <c r="H6730" s="127"/>
      <c r="I6730" s="128"/>
      <c r="K6730" s="105" t="str">
        <f>IFERROR(__xludf.DUMMYFUNCTION("if(A6730="""","""",substitute(SUBSTITUTE(index(importhtml(""http://finviz.com/quote.ashx?t=""&amp;A6730,""table"",10),7,2),""*"",""""),""-"",""0.00""))"),"Loading...")</f>
        <v>Loading...</v>
      </c>
      <c r="L6730" s="129">
        <v>3.03940436E8</v>
      </c>
      <c r="M6730" s="99">
        <v>1.04</v>
      </c>
    </row>
    <row r="6731">
      <c r="A6731" s="122" t="s">
        <v>13995</v>
      </c>
      <c r="B6731" s="123">
        <v>1660280.0</v>
      </c>
      <c r="C6731" s="124" t="s">
        <v>13996</v>
      </c>
      <c r="D6731" s="125"/>
      <c r="E6731" s="126">
        <v>47.79</v>
      </c>
      <c r="F6731" s="127"/>
      <c r="G6731" s="127"/>
      <c r="H6731" s="127"/>
      <c r="I6731" s="128"/>
      <c r="K6731" s="105" t="str">
        <f>IFERROR(__xludf.DUMMYFUNCTION("if(A6731="""","""",substitute(SUBSTITUTE(index(importhtml(""http://finviz.com/quote.ashx?t=""&amp;A6731,""table"",10),7,2),""*"",""""),""-"",""0.00""))"),"Loading...")</f>
        <v>Loading...</v>
      </c>
      <c r="L6731" s="129">
        <v>5.588318978E9</v>
      </c>
      <c r="M6731" s="99">
        <v>0.96</v>
      </c>
    </row>
    <row r="6732">
      <c r="A6732" s="122" t="s">
        <v>13997</v>
      </c>
      <c r="B6732" s="123">
        <v>1588978.0</v>
      </c>
      <c r="C6732" s="124" t="s">
        <v>13998</v>
      </c>
      <c r="D6732" s="125"/>
      <c r="E6732" s="126">
        <v>47.91</v>
      </c>
      <c r="F6732" s="127"/>
      <c r="G6732" s="127"/>
      <c r="H6732" s="127"/>
      <c r="I6732" s="128"/>
      <c r="K6732" s="105" t="str">
        <f>IFERROR(__xludf.DUMMYFUNCTION("if(A6732="""","""",substitute(SUBSTITUTE(index(importhtml(""http://finviz.com/quote.ashx?t=""&amp;A6732,""table"",10),7,2),""*"",""""),""-"",""0.00""))"),"Loading...")</f>
        <v>Loading...</v>
      </c>
      <c r="L6732" s="129">
        <v>2.419388876E9</v>
      </c>
      <c r="M6732" s="99">
        <f>IFERROR(__xludf.DUMMYFUNCTION("GOOGLEFINANCE(A6732,""beta"")"),0.99)</f>
        <v>0.99</v>
      </c>
    </row>
    <row r="6733">
      <c r="A6733" s="122" t="s">
        <v>13999</v>
      </c>
      <c r="B6733" s="123">
        <v>816761.0</v>
      </c>
      <c r="C6733" s="124" t="s">
        <v>14000</v>
      </c>
      <c r="D6733" s="125"/>
      <c r="E6733" s="126">
        <v>47.93</v>
      </c>
      <c r="F6733" s="127"/>
      <c r="G6733" s="127"/>
      <c r="H6733" s="127"/>
      <c r="I6733" s="128"/>
      <c r="K6733" s="105" t="str">
        <f>IFERROR(__xludf.DUMMYFUNCTION("if(A6733="""","""",substitute(SUBSTITUTE(index(importhtml(""http://finviz.com/quote.ashx?t=""&amp;A6733,""table"",10),7,2),""*"",""""),""-"",""0.00""))"),"Loading...")</f>
        <v>Loading...</v>
      </c>
      <c r="L6733" s="129">
        <v>4.687554029E9</v>
      </c>
      <c r="M6733" s="99">
        <v>1.01</v>
      </c>
    </row>
    <row r="6734">
      <c r="A6734" s="122" t="s">
        <v>14001</v>
      </c>
      <c r="B6734" s="123">
        <v>73088.0</v>
      </c>
      <c r="C6734" s="124" t="s">
        <v>14002</v>
      </c>
      <c r="D6734" s="125"/>
      <c r="E6734" s="126">
        <v>47.99</v>
      </c>
      <c r="F6734" s="127"/>
      <c r="G6734" s="127"/>
      <c r="H6734" s="127"/>
      <c r="I6734" s="128"/>
      <c r="K6734" s="105" t="str">
        <f>IFERROR(__xludf.DUMMYFUNCTION("if(A6734="""","""",substitute(SUBSTITUTE(index(importhtml(""http://finviz.com/quote.ashx?t=""&amp;A6734,""table"",10),7,2),""*"",""""),""-"",""0.00""))"),"Loading...")</f>
        <v>Loading...</v>
      </c>
      <c r="L6734" s="129">
        <v>2.93901424E9</v>
      </c>
      <c r="M6734" s="99">
        <v>0.44</v>
      </c>
    </row>
    <row r="6735">
      <c r="A6735" s="122" t="s">
        <v>14003</v>
      </c>
      <c r="B6735" s="123">
        <v>1438077.0</v>
      </c>
      <c r="C6735" s="124" t="s">
        <v>14004</v>
      </c>
      <c r="D6735" s="125"/>
      <c r="E6735" s="126">
        <v>48.04</v>
      </c>
      <c r="F6735" s="127"/>
      <c r="G6735" s="127"/>
      <c r="H6735" s="127"/>
      <c r="I6735" s="128"/>
      <c r="K6735" s="105" t="str">
        <f>IFERROR(__xludf.DUMMYFUNCTION("if(A6735="""","""",substitute(SUBSTITUTE(index(importhtml(""http://finviz.com/quote.ashx?t=""&amp;A6735,""table"",10),7,2),""*"",""""),""-"",""0.00""))"),"Loading...")</f>
        <v>Loading...</v>
      </c>
      <c r="L6735" s="129">
        <v>1.4189241E10</v>
      </c>
      <c r="M6735" s="99">
        <v>0.59</v>
      </c>
    </row>
    <row r="6736">
      <c r="A6736" s="122" t="s">
        <v>14005</v>
      </c>
      <c r="B6736" s="123">
        <v>1005757.0</v>
      </c>
      <c r="C6736" s="124" t="s">
        <v>14006</v>
      </c>
      <c r="D6736" s="125"/>
      <c r="E6736" s="126">
        <v>48.06</v>
      </c>
      <c r="F6736" s="127"/>
      <c r="G6736" s="127"/>
      <c r="H6736" s="127"/>
      <c r="I6736" s="128"/>
      <c r="K6736" s="105" t="str">
        <f>IFERROR(__xludf.DUMMYFUNCTION("if(A6736="""","""",substitute(SUBSTITUTE(index(importhtml(""http://finviz.com/quote.ashx?t=""&amp;A6736,""table"",10),7,2),""*"",""""),""-"",""0.00""))"),"Loading...")</f>
        <v>Loading...</v>
      </c>
      <c r="L6736" s="129">
        <v>1.425993106E9</v>
      </c>
      <c r="M6736" s="99">
        <v>0.83</v>
      </c>
    </row>
    <row r="6737">
      <c r="A6737" s="122" t="s">
        <v>14007</v>
      </c>
      <c r="B6737" s="123">
        <v>1004434.0</v>
      </c>
      <c r="C6737" s="124" t="s">
        <v>14008</v>
      </c>
      <c r="D6737" s="125"/>
      <c r="E6737" s="126">
        <v>48.25</v>
      </c>
      <c r="F6737" s="127"/>
      <c r="G6737" s="127"/>
      <c r="H6737" s="127"/>
      <c r="I6737" s="128"/>
      <c r="K6737" s="105" t="str">
        <f>IFERROR(__xludf.DUMMYFUNCTION("if(A6737="""","""",substitute(SUBSTITUTE(index(importhtml(""http://finviz.com/quote.ashx?t=""&amp;A6737,""table"",10),7,2),""*"",""""),""-"",""0.00""))"),"Loading...")</f>
        <v>Loading...</v>
      </c>
      <c r="L6737" s="129" t="e">
        <v>#N/A</v>
      </c>
      <c r="M6737" s="99">
        <v>0.78</v>
      </c>
    </row>
    <row r="6738">
      <c r="A6738" s="122" t="s">
        <v>14009</v>
      </c>
      <c r="B6738" s="123">
        <v>1564902.0</v>
      </c>
      <c r="C6738" s="124" t="s">
        <v>14010</v>
      </c>
      <c r="D6738" s="125"/>
      <c r="E6738" s="126">
        <v>48.26</v>
      </c>
      <c r="F6738" s="127"/>
      <c r="G6738" s="127"/>
      <c r="H6738" s="127"/>
      <c r="I6738" s="128"/>
      <c r="K6738" s="105" t="str">
        <f>IFERROR(__xludf.DUMMYFUNCTION("if(A6738="""","""",substitute(SUBSTITUTE(index(importhtml(""http://finviz.com/quote.ashx?t=""&amp;A6738,""table"",10),7,2),""*"",""""),""-"",""0.00""))"),"Loading...")</f>
        <v>Loading...</v>
      </c>
      <c r="L6738" s="129">
        <v>3.085938297E9</v>
      </c>
      <c r="M6738" s="99">
        <v>1.82</v>
      </c>
    </row>
    <row r="6739">
      <c r="A6739" s="122" t="s">
        <v>14011</v>
      </c>
      <c r="B6739" s="123">
        <v>2098.0</v>
      </c>
      <c r="C6739" s="124" t="s">
        <v>14012</v>
      </c>
      <c r="D6739" s="125"/>
      <c r="E6739" s="126">
        <v>48.38</v>
      </c>
      <c r="F6739" s="127"/>
      <c r="G6739" s="127"/>
      <c r="H6739" s="127"/>
      <c r="I6739" s="128"/>
      <c r="K6739" s="55" t="s">
        <v>5447</v>
      </c>
      <c r="L6739" s="129">
        <v>1.7344569E8</v>
      </c>
      <c r="M6739" s="99">
        <v>0.76</v>
      </c>
    </row>
    <row r="6740">
      <c r="A6740" s="122" t="s">
        <v>14013</v>
      </c>
      <c r="B6740" s="123">
        <v>730464.0</v>
      </c>
      <c r="C6740" s="124" t="s">
        <v>14014</v>
      </c>
      <c r="D6740" s="125"/>
      <c r="E6740" s="126">
        <v>48.39</v>
      </c>
      <c r="F6740" s="127"/>
      <c r="G6740" s="127"/>
      <c r="H6740" s="127"/>
      <c r="I6740" s="128"/>
      <c r="K6740" s="105" t="str">
        <f>IFERROR(__xludf.DUMMYFUNCTION("if(A6740="""","""",substitute(SUBSTITUTE(index(importhtml(""http://finviz.com/quote.ashx?t=""&amp;A6740,""table"",10),7,2),""*"",""""),""-"",""0.00""))"),"Loading...")</f>
        <v>Loading...</v>
      </c>
      <c r="L6740" s="129">
        <v>1.896310683E9</v>
      </c>
      <c r="M6740" s="99">
        <v>0.93</v>
      </c>
    </row>
    <row r="6741">
      <c r="A6741" s="122" t="s">
        <v>14015</v>
      </c>
      <c r="B6741" s="123">
        <v>1098151.0</v>
      </c>
      <c r="C6741" s="124" t="s">
        <v>14016</v>
      </c>
      <c r="D6741" s="125"/>
      <c r="E6741" s="126">
        <v>48.51</v>
      </c>
      <c r="F6741" s="127"/>
      <c r="G6741" s="127"/>
      <c r="H6741" s="127"/>
      <c r="I6741" s="128"/>
      <c r="K6741" s="105" t="str">
        <f>IFERROR(__xludf.DUMMYFUNCTION("if(A6741="""","""",substitute(SUBSTITUTE(index(importhtml(""http://finviz.com/quote.ashx?t=""&amp;A6741,""table"",10),7,2),""*"",""""),""-"",""0.00""))"),"Loading...")</f>
        <v>Loading...</v>
      </c>
      <c r="L6741" s="129">
        <v>2.76683324E8</v>
      </c>
      <c r="M6741" s="99">
        <v>0.64</v>
      </c>
    </row>
    <row r="6742">
      <c r="A6742" s="122" t="s">
        <v>14017</v>
      </c>
      <c r="B6742" s="123">
        <v>1469395.0</v>
      </c>
      <c r="C6742" s="124" t="s">
        <v>14018</v>
      </c>
      <c r="D6742" s="125"/>
      <c r="E6742" s="126">
        <v>48.59</v>
      </c>
      <c r="F6742" s="127"/>
      <c r="G6742" s="127"/>
      <c r="H6742" s="127"/>
      <c r="I6742" s="128"/>
      <c r="K6742" s="105" t="str">
        <f>IFERROR(__xludf.DUMMYFUNCTION("if(A6742="""","""",substitute(SUBSTITUTE(index(importhtml(""http://finviz.com/quote.ashx?t=""&amp;A6742,""table"",10),7,2),""*"",""""),""-"",""0.00""))"),"Loading...")</f>
        <v>Loading...</v>
      </c>
      <c r="L6742" s="129">
        <v>4.232272588E9</v>
      </c>
      <c r="M6742" s="99">
        <v>0.98</v>
      </c>
    </row>
    <row r="6743">
      <c r="A6743" s="122" t="s">
        <v>14019</v>
      </c>
      <c r="B6743" s="123">
        <v>2809.0</v>
      </c>
      <c r="C6743" s="124" t="s">
        <v>14020</v>
      </c>
      <c r="D6743" s="125"/>
      <c r="E6743" s="126">
        <v>48.62</v>
      </c>
      <c r="F6743" s="127"/>
      <c r="G6743" s="127"/>
      <c r="H6743" s="127"/>
      <c r="I6743" s="128"/>
      <c r="K6743" s="55" t="s">
        <v>11894</v>
      </c>
      <c r="L6743" s="129">
        <v>2.4150253597E10</v>
      </c>
      <c r="M6743" s="99">
        <v>1.05</v>
      </c>
    </row>
    <row r="6744">
      <c r="A6744" s="122" t="s">
        <v>14021</v>
      </c>
      <c r="B6744" s="123">
        <v>71691.0</v>
      </c>
      <c r="C6744" s="124" t="s">
        <v>14022</v>
      </c>
      <c r="D6744" s="125"/>
      <c r="E6744" s="126">
        <v>48.63</v>
      </c>
      <c r="F6744" s="127"/>
      <c r="G6744" s="127"/>
      <c r="H6744" s="127"/>
      <c r="I6744" s="128"/>
      <c r="K6744" s="105" t="str">
        <f>IFERROR(__xludf.DUMMYFUNCTION("if(A6744="""","""",substitute(SUBSTITUTE(index(importhtml(""http://finviz.com/quote.ashx?t=""&amp;A6744,""table"",10),7,2),""*"",""""),""-"",""0.00""))"),"Loading...")</f>
        <v>Loading...</v>
      </c>
      <c r="L6744" s="129">
        <v>7.995117448E9</v>
      </c>
      <c r="M6744" s="99">
        <v>1.08</v>
      </c>
    </row>
    <row r="6745">
      <c r="A6745" s="122" t="s">
        <v>14023</v>
      </c>
      <c r="B6745" s="123">
        <v>861878.0</v>
      </c>
      <c r="C6745" s="124" t="s">
        <v>14024</v>
      </c>
      <c r="D6745" s="125"/>
      <c r="E6745" s="126">
        <v>48.67</v>
      </c>
      <c r="F6745" s="127"/>
      <c r="G6745" s="127"/>
      <c r="H6745" s="127"/>
      <c r="I6745" s="128"/>
      <c r="K6745" s="105" t="str">
        <f>IFERROR(__xludf.DUMMYFUNCTION("if(A6745="""","""",substitute(SUBSTITUTE(index(importhtml(""http://finviz.com/quote.ashx?t=""&amp;A6745,""table"",10),7,2),""*"",""""),""-"",""0.00""))"),"Loading...")</f>
        <v>Loading...</v>
      </c>
      <c r="L6745" s="129">
        <v>4.503112248E9</v>
      </c>
      <c r="M6745" s="99">
        <v>1.08</v>
      </c>
    </row>
    <row r="6746">
      <c r="A6746" s="122" t="s">
        <v>14025</v>
      </c>
      <c r="B6746" s="123">
        <v>14272.0</v>
      </c>
      <c r="C6746" s="124" t="s">
        <v>14026</v>
      </c>
      <c r="D6746" s="125"/>
      <c r="E6746" s="126">
        <v>48.71</v>
      </c>
      <c r="F6746" s="127"/>
      <c r="G6746" s="127"/>
      <c r="H6746" s="127"/>
      <c r="I6746" s="128"/>
      <c r="K6746" s="55" t="s">
        <v>13674</v>
      </c>
      <c r="L6746" s="129">
        <v>9.9113011607E10</v>
      </c>
      <c r="M6746" s="99">
        <v>0.38</v>
      </c>
    </row>
    <row r="6747">
      <c r="A6747" s="122" t="s">
        <v>14027</v>
      </c>
      <c r="B6747" s="123">
        <v>1718227.0</v>
      </c>
      <c r="C6747" s="124" t="s">
        <v>14028</v>
      </c>
      <c r="D6747" s="125"/>
      <c r="E6747" s="126">
        <v>48.76</v>
      </c>
      <c r="F6747" s="127"/>
      <c r="G6747" s="127"/>
      <c r="H6747" s="127"/>
      <c r="I6747" s="128"/>
      <c r="K6747" s="105" t="str">
        <f>IFERROR(__xludf.DUMMYFUNCTION("if(A6747="""","""",substitute(SUBSTITUTE(index(importhtml(""http://finviz.com/quote.ashx?t=""&amp;A6747,""table"",10),7,2),""*"",""""),""-"",""0.00""))"),"Loading...")</f>
        <v>Loading...</v>
      </c>
      <c r="L6747" s="129">
        <v>2.575862472E9</v>
      </c>
      <c r="M6747" s="99">
        <v>0.64</v>
      </c>
    </row>
    <row r="6748">
      <c r="A6748" s="122" t="s">
        <v>14029</v>
      </c>
      <c r="B6748" s="123">
        <v>1012019.0</v>
      </c>
      <c r="C6748" s="124" t="s">
        <v>14030</v>
      </c>
      <c r="D6748" s="125"/>
      <c r="E6748" s="126">
        <v>48.76</v>
      </c>
      <c r="F6748" s="127"/>
      <c r="G6748" s="127"/>
      <c r="H6748" s="127"/>
      <c r="I6748" s="128"/>
      <c r="K6748" s="105" t="str">
        <f>IFERROR(__xludf.DUMMYFUNCTION("if(A6748="""","""",substitute(SUBSTITUTE(index(importhtml(""http://finviz.com/quote.ashx?t=""&amp;A6748,""table"",10),7,2),""*"",""""),""-"",""0.00""))"),"Loading...")</f>
        <v>Loading...</v>
      </c>
      <c r="L6748" s="129">
        <v>3.655901379E9</v>
      </c>
      <c r="M6748" s="99">
        <v>0.95</v>
      </c>
    </row>
    <row r="6749">
      <c r="A6749" s="122" t="s">
        <v>14031</v>
      </c>
      <c r="B6749" s="123">
        <v>835324.0</v>
      </c>
      <c r="C6749" s="124" t="s">
        <v>14032</v>
      </c>
      <c r="D6749" s="125"/>
      <c r="E6749" s="126">
        <v>48.78</v>
      </c>
      <c r="F6749" s="127"/>
      <c r="G6749" s="127"/>
      <c r="H6749" s="127"/>
      <c r="I6749" s="128"/>
      <c r="K6749" s="105" t="str">
        <f>IFERROR(__xludf.DUMMYFUNCTION("if(A6749="""","""",substitute(SUBSTITUTE(index(importhtml(""http://finviz.com/quote.ashx?t=""&amp;A6749,""table"",10),7,2),""*"",""""),""-"",""0.00""))"),"Loading...")</f>
        <v>Loading...</v>
      </c>
      <c r="L6749" s="129">
        <v>1.430668584E9</v>
      </c>
      <c r="M6749" s="99">
        <v>0.82</v>
      </c>
    </row>
    <row r="6750">
      <c r="A6750" s="122" t="s">
        <v>14033</v>
      </c>
      <c r="B6750" s="123">
        <v>352541.0</v>
      </c>
      <c r="C6750" s="124" t="s">
        <v>14034</v>
      </c>
      <c r="D6750" s="125"/>
      <c r="E6750" s="126">
        <v>48.8</v>
      </c>
      <c r="F6750" s="127"/>
      <c r="G6750" s="127"/>
      <c r="H6750" s="127"/>
      <c r="I6750" s="128"/>
      <c r="K6750" s="105" t="str">
        <f>IFERROR(__xludf.DUMMYFUNCTION("if(A6750="""","""",substitute(SUBSTITUTE(index(importhtml(""http://finviz.com/quote.ashx?t=""&amp;A6750,""table"",10),7,2),""*"",""""),""-"",""0.00""))"),"Loading...")</f>
        <v>Loading...</v>
      </c>
      <c r="L6750" s="129">
        <v>1.2452739885E10</v>
      </c>
      <c r="M6750" s="99">
        <v>0.56</v>
      </c>
    </row>
    <row r="6751">
      <c r="A6751" s="122" t="s">
        <v>14035</v>
      </c>
      <c r="B6751" s="123">
        <v>1163370.0</v>
      </c>
      <c r="C6751" s="124" t="s">
        <v>14036</v>
      </c>
      <c r="D6751" s="125"/>
      <c r="E6751" s="126">
        <v>48.82</v>
      </c>
      <c r="F6751" s="127"/>
      <c r="G6751" s="127"/>
      <c r="H6751" s="127"/>
      <c r="I6751" s="128"/>
      <c r="K6751" s="105" t="str">
        <f>IFERROR(__xludf.DUMMYFUNCTION("if(A6751="""","""",substitute(SUBSTITUTE(index(importhtml(""http://finviz.com/quote.ashx?t=""&amp;A6751,""table"",10),7,2),""*"",""""),""-"",""0.00""))"),"Loading...")</f>
        <v>Loading...</v>
      </c>
      <c r="L6751" s="129">
        <v>2.68509998E8</v>
      </c>
      <c r="M6751" s="99">
        <v>0.71</v>
      </c>
    </row>
    <row r="6752">
      <c r="A6752" s="122" t="s">
        <v>14037</v>
      </c>
      <c r="B6752" s="123">
        <v>1639691.0</v>
      </c>
      <c r="C6752" s="124" t="s">
        <v>14038</v>
      </c>
      <c r="D6752" s="125"/>
      <c r="E6752" s="126">
        <v>48.96</v>
      </c>
      <c r="F6752" s="127"/>
      <c r="G6752" s="127"/>
      <c r="H6752" s="127"/>
      <c r="I6752" s="128"/>
      <c r="K6752" s="105" t="str">
        <f>IFERROR(__xludf.DUMMYFUNCTION("if(A6752="""","""",substitute(SUBSTITUTE(index(importhtml(""http://finviz.com/quote.ashx?t=""&amp;A6752,""table"",10),7,2),""*"",""""),""-"",""0.00""))"),"Loading...")</f>
        <v>Loading...</v>
      </c>
      <c r="L6752" s="129">
        <v>2.637515787E9</v>
      </c>
      <c r="M6752" s="99">
        <v>0.86</v>
      </c>
    </row>
    <row r="6753">
      <c r="A6753" s="122" t="s">
        <v>14039</v>
      </c>
      <c r="B6753" s="123">
        <v>1383057.0</v>
      </c>
      <c r="C6753" s="124" t="s">
        <v>14040</v>
      </c>
      <c r="D6753" s="125"/>
      <c r="E6753" s="126">
        <v>48.98</v>
      </c>
      <c r="F6753" s="127"/>
      <c r="G6753" s="127"/>
      <c r="H6753" s="127"/>
      <c r="I6753" s="128"/>
      <c r="K6753" s="55" t="s">
        <v>14041</v>
      </c>
      <c r="L6753" s="129" t="e">
        <v>#N/A</v>
      </c>
      <c r="M6753" s="99" t="str">
        <f>IFERROR(__xludf.DUMMYFUNCTION("GOOGLEFINANCE(A6753,""beta"")"),"#N/A")</f>
        <v>#N/A</v>
      </c>
    </row>
    <row r="6754">
      <c r="A6754" s="122" t="s">
        <v>14042</v>
      </c>
      <c r="B6754" s="123">
        <v>755001.0</v>
      </c>
      <c r="C6754" s="124" t="s">
        <v>14043</v>
      </c>
      <c r="D6754" s="125"/>
      <c r="E6754" s="126">
        <v>49.0</v>
      </c>
      <c r="F6754" s="127"/>
      <c r="G6754" s="127"/>
      <c r="H6754" s="127"/>
      <c r="I6754" s="128"/>
      <c r="K6754" s="105" t="str">
        <f>IFERROR(__xludf.DUMMYFUNCTION("if(A6754="""","""",substitute(SUBSTITUTE(index(importhtml(""http://finviz.com/quote.ashx?t=""&amp;A6754,""table"",10),7,2),""*"",""""),""-"",""0.00""))"),"Loading...")</f>
        <v>Loading...</v>
      </c>
      <c r="L6754" s="129">
        <v>7.8881376E8</v>
      </c>
      <c r="M6754" s="99">
        <v>0.57</v>
      </c>
    </row>
    <row r="6755">
      <c r="A6755" s="122" t="s">
        <v>14044</v>
      </c>
      <c r="B6755" s="123">
        <v>87347.0</v>
      </c>
      <c r="C6755" s="124" t="s">
        <v>14045</v>
      </c>
      <c r="D6755" s="125"/>
      <c r="E6755" s="126">
        <v>49.0</v>
      </c>
      <c r="F6755" s="127"/>
      <c r="G6755" s="127"/>
      <c r="H6755" s="127"/>
      <c r="I6755" s="128"/>
      <c r="K6755" s="105" t="str">
        <f>IFERROR(__xludf.DUMMYFUNCTION("if(A6755="""","""",substitute(SUBSTITUTE(index(importhtml(""http://finviz.com/quote.ashx?t=""&amp;A6755,""table"",10),7,2),""*"",""""),""-"",""0.00""))"),"Loading...")</f>
        <v>Loading...</v>
      </c>
      <c r="L6755" s="129">
        <v>6.9942306E10</v>
      </c>
      <c r="M6755" s="99">
        <v>1.6</v>
      </c>
    </row>
    <row r="6756">
      <c r="A6756" s="122" t="s">
        <v>14046</v>
      </c>
      <c r="B6756" s="123">
        <v>1009001.0</v>
      </c>
      <c r="C6756" s="124" t="s">
        <v>14047</v>
      </c>
      <c r="D6756" s="125"/>
      <c r="E6756" s="126">
        <v>49.01</v>
      </c>
      <c r="F6756" s="127"/>
      <c r="G6756" s="127"/>
      <c r="H6756" s="127"/>
      <c r="I6756" s="128"/>
      <c r="K6756" s="55" t="s">
        <v>5611</v>
      </c>
      <c r="L6756" s="129">
        <v>2.1263747426E10</v>
      </c>
      <c r="M6756" s="99">
        <v>0.97</v>
      </c>
    </row>
    <row r="6757">
      <c r="A6757" s="122" t="s">
        <v>14048</v>
      </c>
      <c r="B6757" s="123">
        <v>1018979.0</v>
      </c>
      <c r="C6757" s="124" t="s">
        <v>14049</v>
      </c>
      <c r="D6757" s="125"/>
      <c r="E6757" s="126">
        <v>49.06</v>
      </c>
      <c r="F6757" s="127"/>
      <c r="G6757" s="127"/>
      <c r="H6757" s="127"/>
      <c r="I6757" s="128"/>
      <c r="K6757" s="105" t="str">
        <f>IFERROR(__xludf.DUMMYFUNCTION("if(A6757="""","""",substitute(SUBSTITUTE(index(importhtml(""http://finviz.com/quote.ashx?t=""&amp;A6757,""table"",10),7,2),""*"",""""),""-"",""0.00""))"),"Loading...")</f>
        <v>Loading...</v>
      </c>
      <c r="L6757" s="129">
        <v>9.4105619E8</v>
      </c>
      <c r="M6757" s="99">
        <v>0.28</v>
      </c>
    </row>
    <row r="6758">
      <c r="A6758" s="122" t="s">
        <v>14050</v>
      </c>
      <c r="B6758" s="123">
        <v>903129.0</v>
      </c>
      <c r="C6758" s="124" t="s">
        <v>14051</v>
      </c>
      <c r="D6758" s="125"/>
      <c r="E6758" s="126">
        <v>49.08</v>
      </c>
      <c r="F6758" s="127"/>
      <c r="G6758" s="127"/>
      <c r="H6758" s="127"/>
      <c r="I6758" s="128"/>
      <c r="K6758" s="105" t="str">
        <f>IFERROR(__xludf.DUMMYFUNCTION("if(A6758="""","""",substitute(SUBSTITUTE(index(importhtml(""http://finviz.com/quote.ashx?t=""&amp;A6758,""table"",10),7,2),""*"",""""),""-"",""0.00""))"),"Loading...")</f>
        <v>Loading...</v>
      </c>
      <c r="L6758" s="129">
        <v>1.609641482E9</v>
      </c>
      <c r="M6758" s="99">
        <v>1.45</v>
      </c>
    </row>
    <row r="6759">
      <c r="A6759" s="122" t="s">
        <v>14052</v>
      </c>
      <c r="B6759" s="123">
        <v>217410.0</v>
      </c>
      <c r="C6759" s="124" t="s">
        <v>14053</v>
      </c>
      <c r="D6759" s="125"/>
      <c r="E6759" s="126">
        <v>49.09</v>
      </c>
      <c r="F6759" s="127"/>
      <c r="G6759" s="127"/>
      <c r="H6759" s="127"/>
      <c r="I6759" s="128"/>
      <c r="K6759" s="55" t="s">
        <v>14054</v>
      </c>
      <c r="L6759" s="129">
        <v>1.21726607958E11</v>
      </c>
      <c r="M6759" s="99">
        <v>0.45</v>
      </c>
    </row>
    <row r="6760">
      <c r="A6760" s="122" t="s">
        <v>14055</v>
      </c>
      <c r="B6760" s="123">
        <v>806968.0</v>
      </c>
      <c r="C6760" s="124" t="s">
        <v>8366</v>
      </c>
      <c r="D6760" s="125"/>
      <c r="E6760" s="126">
        <v>49.09</v>
      </c>
      <c r="F6760" s="127"/>
      <c r="G6760" s="127"/>
      <c r="H6760" s="127"/>
      <c r="I6760" s="128"/>
      <c r="K6760" s="105" t="str">
        <f>IFERROR(__xludf.DUMMYFUNCTION("if(A6760="""","""",substitute(SUBSTITUTE(index(importhtml(""http://finviz.com/quote.ashx?t=""&amp;A6760,""table"",10),7,2),""*"",""""),""-"",""0.00""))"),"Loading...")</f>
        <v>Loading...</v>
      </c>
      <c r="L6760" s="129">
        <v>1.0484858228E10</v>
      </c>
      <c r="M6760" s="99">
        <v>1.4</v>
      </c>
    </row>
    <row r="6761">
      <c r="A6761" s="122" t="s">
        <v>14056</v>
      </c>
      <c r="B6761" s="123">
        <v>820318.0</v>
      </c>
      <c r="C6761" s="124" t="s">
        <v>14057</v>
      </c>
      <c r="D6761" s="125"/>
      <c r="E6761" s="126">
        <v>49.13</v>
      </c>
      <c r="F6761" s="127"/>
      <c r="G6761" s="127"/>
      <c r="H6761" s="127"/>
      <c r="I6761" s="128"/>
      <c r="K6761" s="105" t="str">
        <f>IFERROR(__xludf.DUMMYFUNCTION("if(A6761="""","""",substitute(SUBSTITUTE(index(importhtml(""http://finviz.com/quote.ashx?t=""&amp;A6761,""table"",10),7,2),""*"",""""),""-"",""0.00""))"),"Loading...")</f>
        <v>Loading...</v>
      </c>
      <c r="L6761" s="129">
        <v>7.44232556E9</v>
      </c>
      <c r="M6761" s="99">
        <v>1.54</v>
      </c>
    </row>
    <row r="6762">
      <c r="A6762" s="122" t="s">
        <v>14058</v>
      </c>
      <c r="B6762" s="123">
        <v>72971.0</v>
      </c>
      <c r="C6762" s="124" t="s">
        <v>14059</v>
      </c>
      <c r="D6762" s="125"/>
      <c r="E6762" s="126">
        <v>49.16</v>
      </c>
      <c r="F6762" s="127"/>
      <c r="G6762" s="127"/>
      <c r="H6762" s="127"/>
      <c r="I6762" s="128"/>
      <c r="K6762" s="105" t="str">
        <f>IFERROR(__xludf.DUMMYFUNCTION("if(A6762="""","""",substitute(SUBSTITUTE(index(importhtml(""http://finviz.com/quote.ashx?t=""&amp;A6762,""table"",10),7,2),""*"",""""),""-"",""0.00""))"),"Loading...")</f>
        <v>Loading...</v>
      </c>
      <c r="L6762" s="129">
        <v>1.78531372685E11</v>
      </c>
      <c r="M6762" s="99">
        <v>1.18</v>
      </c>
    </row>
    <row r="6763">
      <c r="A6763" s="122" t="s">
        <v>14060</v>
      </c>
      <c r="B6763" s="123">
        <v>1822993.0</v>
      </c>
      <c r="C6763" s="124" t="s">
        <v>14061</v>
      </c>
      <c r="D6763" s="125"/>
      <c r="E6763" s="126">
        <v>49.19</v>
      </c>
      <c r="F6763" s="127"/>
      <c r="G6763" s="127"/>
      <c r="H6763" s="127"/>
      <c r="I6763" s="128"/>
      <c r="K6763" s="105" t="str">
        <f>IFERROR(__xludf.DUMMYFUNCTION("if(A6763="""","""",substitute(SUBSTITUTE(index(importhtml(""http://finviz.com/quote.ashx?t=""&amp;A6763,""table"",10),7,2),""*"",""""),""-"",""0.00""))"),"Loading...")</f>
        <v>Loading...</v>
      </c>
      <c r="L6763" s="129">
        <v>3.910607842E9</v>
      </c>
      <c r="M6763" s="99">
        <f>IFERROR(__xludf.DUMMYFUNCTION("GOOGLEFINANCE(A6763,""beta"")"),1.45)</f>
        <v>1.45</v>
      </c>
    </row>
    <row r="6764">
      <c r="A6764" s="122" t="s">
        <v>14062</v>
      </c>
      <c r="B6764" s="123">
        <v>351569.0</v>
      </c>
      <c r="C6764" s="124" t="s">
        <v>13807</v>
      </c>
      <c r="D6764" s="125"/>
      <c r="E6764" s="126">
        <v>49.22</v>
      </c>
      <c r="F6764" s="127"/>
      <c r="G6764" s="127"/>
      <c r="H6764" s="127"/>
      <c r="I6764" s="128"/>
      <c r="K6764" s="105" t="str">
        <f>IFERROR(__xludf.DUMMYFUNCTION("if(A6764="""","""",substitute(SUBSTITUTE(index(importhtml(""http://finviz.com/quote.ashx?t=""&amp;A6764,""table"",10),7,2),""*"",""""),""-"",""0.00""))"),"Loading...")</f>
        <v>Loading...</v>
      </c>
      <c r="L6764" s="129">
        <v>3.398741985E9</v>
      </c>
      <c r="M6764" s="99">
        <v>1.08</v>
      </c>
    </row>
    <row r="6765">
      <c r="A6765" s="122" t="s">
        <v>14063</v>
      </c>
      <c r="B6765" s="123">
        <v>89439.0</v>
      </c>
      <c r="C6765" s="124" t="s">
        <v>14064</v>
      </c>
      <c r="D6765" s="125"/>
      <c r="E6765" s="126">
        <v>49.31</v>
      </c>
      <c r="F6765" s="127"/>
      <c r="G6765" s="127"/>
      <c r="H6765" s="127"/>
      <c r="I6765" s="128"/>
      <c r="K6765" s="105" t="str">
        <f>IFERROR(__xludf.DUMMYFUNCTION("if(A6765="""","""",substitute(SUBSTITUTE(index(importhtml(""http://finviz.com/quote.ashx?t=""&amp;A6765,""table"",10),7,2),""*"",""""),""-"",""0.00""))"),"Loading...")</f>
        <v>Loading...</v>
      </c>
      <c r="L6765" s="129">
        <v>5.598129938E9</v>
      </c>
      <c r="M6765" s="99">
        <v>1.1</v>
      </c>
    </row>
    <row r="6766">
      <c r="A6766" s="122" t="s">
        <v>14065</v>
      </c>
      <c r="B6766" s="123">
        <v>1534504.0</v>
      </c>
      <c r="C6766" s="124" t="s">
        <v>14066</v>
      </c>
      <c r="D6766" s="125"/>
      <c r="E6766" s="126">
        <v>49.31</v>
      </c>
      <c r="F6766" s="127"/>
      <c r="G6766" s="127"/>
      <c r="H6766" s="127"/>
      <c r="I6766" s="128"/>
      <c r="K6766" s="105" t="str">
        <f>IFERROR(__xludf.DUMMYFUNCTION("if(A6766="""","""",substitute(SUBSTITUTE(index(importhtml(""http://finviz.com/quote.ashx?t=""&amp;A6766,""table"",10),7,2),""*"",""""),""-"",""0.00""))"),"Loading...")</f>
        <v>Loading...</v>
      </c>
      <c r="L6766" s="129">
        <v>6.025736408E9</v>
      </c>
      <c r="M6766" s="99">
        <v>1.72</v>
      </c>
    </row>
    <row r="6767">
      <c r="A6767" s="122" t="s">
        <v>14067</v>
      </c>
      <c r="B6767" s="123">
        <v>217410.0</v>
      </c>
      <c r="C6767" s="124" t="s">
        <v>14053</v>
      </c>
      <c r="D6767" s="125"/>
      <c r="E6767" s="126">
        <v>49.37</v>
      </c>
      <c r="F6767" s="127"/>
      <c r="G6767" s="127"/>
      <c r="H6767" s="127"/>
      <c r="I6767" s="128"/>
      <c r="K6767" s="105" t="str">
        <f>IFERROR(__xludf.DUMMYFUNCTION("if(A6767="""","""",substitute(SUBSTITUTE(index(importhtml(""http://finviz.com/quote.ashx?t=""&amp;A6767,""table"",10),7,2),""*"",""""),""-"",""0.00""))"),"Loading...")</f>
        <v>Loading...</v>
      </c>
      <c r="L6767" s="129">
        <v>1.21726607958E11</v>
      </c>
      <c r="M6767" s="99">
        <v>0.37</v>
      </c>
    </row>
    <row r="6768">
      <c r="A6768" s="122" t="s">
        <v>14068</v>
      </c>
      <c r="B6768" s="123">
        <v>1013857.0</v>
      </c>
      <c r="C6768" s="124" t="s">
        <v>14069</v>
      </c>
      <c r="D6768" s="125"/>
      <c r="E6768" s="126">
        <v>49.64</v>
      </c>
      <c r="F6768" s="127"/>
      <c r="G6768" s="127"/>
      <c r="H6768" s="127"/>
      <c r="I6768" s="128"/>
      <c r="K6768" s="105" t="str">
        <f>IFERROR(__xludf.DUMMYFUNCTION("if(A6768="""","""",substitute(SUBSTITUTE(index(importhtml(""http://finviz.com/quote.ashx?t=""&amp;A6768,""table"",10),7,2),""*"",""""),""-"",""0.00""))"),"#REF!")</f>
        <v>#REF!</v>
      </c>
      <c r="L6768" s="129">
        <v>4.147715817E9</v>
      </c>
      <c r="M6768" s="99">
        <v>1.01</v>
      </c>
    </row>
    <row r="6769">
      <c r="A6769" s="122" t="s">
        <v>14070</v>
      </c>
      <c r="B6769" s="123">
        <v>1413159.0</v>
      </c>
      <c r="C6769" s="124" t="s">
        <v>14071</v>
      </c>
      <c r="D6769" s="125"/>
      <c r="E6769" s="126">
        <v>49.65</v>
      </c>
      <c r="F6769" s="127"/>
      <c r="G6769" s="127"/>
      <c r="H6769" s="127"/>
      <c r="I6769" s="128"/>
      <c r="K6769" s="105" t="str">
        <f>IFERROR(__xludf.DUMMYFUNCTION("if(A6769="""","""",substitute(SUBSTITUTE(index(importhtml(""http://finviz.com/quote.ashx?t=""&amp;A6769,""table"",10),7,2),""*"",""""),""-"",""0.00""))"),"Loading...")</f>
        <v>Loading...</v>
      </c>
      <c r="L6769" s="129">
        <v>2.054308036E9</v>
      </c>
      <c r="M6769" s="99">
        <v>0.99</v>
      </c>
    </row>
    <row r="6770">
      <c r="A6770" s="122" t="s">
        <v>14072</v>
      </c>
      <c r="B6770" s="123">
        <v>1561627.0</v>
      </c>
      <c r="C6770" s="124" t="s">
        <v>14073</v>
      </c>
      <c r="D6770" s="125"/>
      <c r="E6770" s="126">
        <v>49.65</v>
      </c>
      <c r="F6770" s="127"/>
      <c r="G6770" s="127"/>
      <c r="H6770" s="127"/>
      <c r="I6770" s="128"/>
      <c r="K6770" s="105" t="str">
        <f>IFERROR(__xludf.DUMMYFUNCTION("if(A6770="""","""",substitute(SUBSTITUTE(index(importhtml(""http://finviz.com/quote.ashx?t=""&amp;A6770,""table"",10),7,2),""*"",""""),""-"",""0.00""))"),"Loading...")</f>
        <v>Loading...</v>
      </c>
      <c r="L6770" s="129" t="e">
        <v>#N/A</v>
      </c>
      <c r="M6770" s="99">
        <v>1.28</v>
      </c>
    </row>
    <row r="6771">
      <c r="A6771" s="122" t="s">
        <v>14074</v>
      </c>
      <c r="B6771" s="123">
        <v>874015.0</v>
      </c>
      <c r="C6771" s="124" t="s">
        <v>14075</v>
      </c>
      <c r="D6771" s="125"/>
      <c r="E6771" s="126">
        <v>49.75</v>
      </c>
      <c r="F6771" s="127"/>
      <c r="G6771" s="127"/>
      <c r="H6771" s="127"/>
      <c r="I6771" s="128"/>
      <c r="K6771" s="105" t="str">
        <f>IFERROR(__xludf.DUMMYFUNCTION("if(A6771="""","""",substitute(SUBSTITUTE(index(importhtml(""http://finviz.com/quote.ashx?t=""&amp;A6771,""table"",10),7,2),""*"",""""),""-"",""0.00""))"),"Loading...")</f>
        <v>Loading...</v>
      </c>
      <c r="L6771" s="129">
        <v>7.137736975E9</v>
      </c>
      <c r="M6771" s="99">
        <v>0.46</v>
      </c>
    </row>
    <row r="6772">
      <c r="A6772" s="122" t="s">
        <v>14076</v>
      </c>
      <c r="B6772" s="123">
        <v>1450346.0</v>
      </c>
      <c r="C6772" s="124" t="s">
        <v>14077</v>
      </c>
      <c r="D6772" s="125"/>
      <c r="E6772" s="126">
        <v>49.84</v>
      </c>
      <c r="F6772" s="127"/>
      <c r="G6772" s="127"/>
      <c r="H6772" s="127"/>
      <c r="I6772" s="128"/>
      <c r="K6772" s="105" t="str">
        <f>IFERROR(__xludf.DUMMYFUNCTION("if(A6772="""","""",substitute(SUBSTITUTE(index(importhtml(""http://finviz.com/quote.ashx?t=""&amp;A6772,""table"",10),7,2),""*"",""""),""-"",""0.00""))"),"Loading...")</f>
        <v>Loading...</v>
      </c>
      <c r="L6772" s="129">
        <v>7.113722972E9</v>
      </c>
      <c r="M6772" s="99">
        <v>1.45</v>
      </c>
    </row>
    <row r="6773">
      <c r="A6773" s="122" t="s">
        <v>14078</v>
      </c>
      <c r="B6773" s="123">
        <v>907471.0</v>
      </c>
      <c r="C6773" s="124" t="s">
        <v>14079</v>
      </c>
      <c r="D6773" s="125"/>
      <c r="E6773" s="126">
        <v>49.93</v>
      </c>
      <c r="F6773" s="127"/>
      <c r="G6773" s="127"/>
      <c r="H6773" s="127"/>
      <c r="I6773" s="128"/>
      <c r="K6773" s="105" t="str">
        <f>IFERROR(__xludf.DUMMYFUNCTION("if(A6773="""","""",substitute(SUBSTITUTE(index(importhtml(""http://finviz.com/quote.ashx?t=""&amp;A6773,""table"",10),7,2),""*"",""""),""-"",""0.00""))"),"Loading...")</f>
        <v>Loading...</v>
      </c>
      <c r="L6773" s="129">
        <v>1.297591832E9</v>
      </c>
      <c r="M6773" s="99">
        <v>0.72</v>
      </c>
    </row>
    <row r="6774">
      <c r="A6774" s="122" t="s">
        <v>14080</v>
      </c>
      <c r="B6774" s="123">
        <v>1555039.0</v>
      </c>
      <c r="C6774" s="124" t="s">
        <v>14081</v>
      </c>
      <c r="D6774" s="125"/>
      <c r="E6774" s="126">
        <v>50.0</v>
      </c>
      <c r="F6774" s="127"/>
      <c r="G6774" s="127"/>
      <c r="H6774" s="127"/>
      <c r="I6774" s="128"/>
      <c r="K6774" s="105" t="str">
        <f>IFERROR(__xludf.DUMMYFUNCTION("if(A6774="""","""",substitute(SUBSTITUTE(index(importhtml(""http://finviz.com/quote.ashx?t=""&amp;A6774,""table"",10),7,2),""*"",""""),""-"",""0.00""))"),"Loading...")</f>
        <v>Loading...</v>
      </c>
      <c r="L6774" s="129">
        <v>9.25816E7</v>
      </c>
      <c r="M6774" s="99" t="str">
        <f>IFERROR(__xludf.DUMMYFUNCTION("GOOGLEFINANCE(A6774,""beta"")"),"#N/A")</f>
        <v>#N/A</v>
      </c>
    </row>
    <row r="6775">
      <c r="A6775" s="122" t="s">
        <v>14082</v>
      </c>
      <c r="B6775" s="123">
        <v>1560385.0</v>
      </c>
      <c r="C6775" s="124" t="s">
        <v>14083</v>
      </c>
      <c r="D6775" s="125"/>
      <c r="E6775" s="126">
        <v>50.0</v>
      </c>
      <c r="F6775" s="127"/>
      <c r="G6775" s="127"/>
      <c r="H6775" s="127"/>
      <c r="I6775" s="128"/>
      <c r="K6775" s="105" t="str">
        <f>IFERROR(__xludf.DUMMYFUNCTION("if(A6775="""","""",substitute(SUBSTITUTE(index(importhtml(""http://finviz.com/quote.ashx?t=""&amp;A6775,""table"",10),7,2),""*"",""""),""-"",""0.00""))"),"Loading...")</f>
        <v>Loading...</v>
      </c>
      <c r="L6775" s="129">
        <v>2.509563272E9</v>
      </c>
      <c r="M6775" s="99">
        <v>0.83</v>
      </c>
    </row>
    <row r="6776">
      <c r="A6776" s="122" t="s">
        <v>14084</v>
      </c>
      <c r="B6776" s="123">
        <v>900075.0</v>
      </c>
      <c r="C6776" s="124" t="s">
        <v>14085</v>
      </c>
      <c r="D6776" s="125"/>
      <c r="E6776" s="126">
        <v>50.03</v>
      </c>
      <c r="F6776" s="127"/>
      <c r="G6776" s="127"/>
      <c r="H6776" s="127"/>
      <c r="I6776" s="128"/>
      <c r="K6776" s="105" t="str">
        <f>IFERROR(__xludf.DUMMYFUNCTION("if(A6776="""","""",substitute(SUBSTITUTE(index(importhtml(""http://finviz.com/quote.ashx?t=""&amp;A6776,""table"",10),7,2),""*"",""""),""-"",""0.00""))"),"Loading...")</f>
        <v>Loading...</v>
      </c>
      <c r="L6776" s="129">
        <v>4.8040380772E10</v>
      </c>
      <c r="M6776" s="99">
        <v>1.22</v>
      </c>
    </row>
    <row r="6777">
      <c r="A6777" s="122" t="s">
        <v>14086</v>
      </c>
      <c r="B6777" s="123">
        <v>46080.0</v>
      </c>
      <c r="C6777" s="124" t="s">
        <v>14087</v>
      </c>
      <c r="D6777" s="125"/>
      <c r="E6777" s="126">
        <v>50.07</v>
      </c>
      <c r="F6777" s="127"/>
      <c r="G6777" s="127"/>
      <c r="H6777" s="127"/>
      <c r="I6777" s="128"/>
      <c r="K6777" s="105" t="str">
        <f>IFERROR(__xludf.DUMMYFUNCTION("if(A6777="""","""",substitute(SUBSTITUTE(index(importhtml(""http://finviz.com/quote.ashx?t=""&amp;A6777,""table"",10),7,2),""*"",""""),""-"",""0.00""))"),"Loading...")</f>
        <v>Loading...</v>
      </c>
      <c r="L6777" s="129">
        <v>6.947918444E9</v>
      </c>
      <c r="M6777" s="99">
        <v>0.72</v>
      </c>
    </row>
    <row r="6778">
      <c r="A6778" s="122" t="s">
        <v>14088</v>
      </c>
      <c r="B6778" s="123">
        <v>1852025.0</v>
      </c>
      <c r="C6778" s="124" t="s">
        <v>14089</v>
      </c>
      <c r="D6778" s="125"/>
      <c r="E6778" s="126">
        <v>50.1</v>
      </c>
      <c r="F6778" s="127"/>
      <c r="G6778" s="127"/>
      <c r="H6778" s="127"/>
      <c r="I6778" s="128"/>
      <c r="K6778" s="105" t="str">
        <f>IFERROR(__xludf.DUMMYFUNCTION("if(A6778="""","""",substitute(SUBSTITUTE(index(importhtml(""http://finviz.com/quote.ashx?t=""&amp;A6778,""table"",10),7,2),""*"",""""),""-"",""0.00""))"),"Loading...")</f>
        <v>Loading...</v>
      </c>
      <c r="L6778" s="129" t="e">
        <v>#N/A</v>
      </c>
      <c r="M6778" s="99">
        <f>IFERROR(__xludf.DUMMYFUNCTION("GOOGLEFINANCE(A6778,""beta"")"),4.61)</f>
        <v>4.61</v>
      </c>
    </row>
    <row r="6779">
      <c r="A6779" s="122" t="s">
        <v>14090</v>
      </c>
      <c r="B6779" s="123">
        <v>1531031.0</v>
      </c>
      <c r="C6779" s="124" t="s">
        <v>14091</v>
      </c>
      <c r="D6779" s="125"/>
      <c r="E6779" s="126">
        <v>50.18</v>
      </c>
      <c r="F6779" s="127"/>
      <c r="G6779" s="127"/>
      <c r="H6779" s="127"/>
      <c r="I6779" s="128"/>
      <c r="K6779" s="55" t="s">
        <v>7606</v>
      </c>
      <c r="L6779" s="129">
        <v>4.15884164E8</v>
      </c>
      <c r="M6779" s="99">
        <v>0.81</v>
      </c>
    </row>
    <row r="6780">
      <c r="A6780" s="122" t="s">
        <v>14092</v>
      </c>
      <c r="B6780" s="123">
        <v>858877.0</v>
      </c>
      <c r="C6780" s="124" t="s">
        <v>14093</v>
      </c>
      <c r="D6780" s="125"/>
      <c r="E6780" s="126">
        <v>50.18</v>
      </c>
      <c r="F6780" s="127"/>
      <c r="G6780" s="127"/>
      <c r="H6780" s="127"/>
      <c r="I6780" s="128"/>
      <c r="K6780" s="105" t="str">
        <f>IFERROR(__xludf.DUMMYFUNCTION("if(A6780="""","""",substitute(SUBSTITUTE(index(importhtml(""http://finviz.com/quote.ashx?t=""&amp;A6780,""table"",10),7,2),""*"",""""),""-"",""0.00""))"),"Loading...")</f>
        <v>Loading...</v>
      </c>
      <c r="L6780" s="129">
        <v>2.0390517674E11</v>
      </c>
      <c r="M6780" s="99">
        <v>0.9</v>
      </c>
    </row>
    <row r="6781">
      <c r="A6781" s="122" t="s">
        <v>14094</v>
      </c>
      <c r="B6781" s="123">
        <v>1022837.0</v>
      </c>
      <c r="C6781" s="124" t="s">
        <v>8545</v>
      </c>
      <c r="D6781" s="125"/>
      <c r="E6781" s="126">
        <v>50.2</v>
      </c>
      <c r="F6781" s="127"/>
      <c r="G6781" s="127"/>
      <c r="H6781" s="127"/>
      <c r="I6781" s="128"/>
      <c r="K6781" s="105" t="str">
        <f>IFERROR(__xludf.DUMMYFUNCTION("if(A6781="""","""",substitute(SUBSTITUTE(index(importhtml(""http://finviz.com/quote.ashx?t=""&amp;A6781,""table"",10),7,2),""*"",""""),""-"",""0.00""))"),"Loading...")</f>
        <v>Loading...</v>
      </c>
      <c r="L6781" s="129">
        <v>6.9562795149E10</v>
      </c>
      <c r="M6781" s="99">
        <v>0.86</v>
      </c>
    </row>
    <row r="6782">
      <c r="A6782" s="122" t="s">
        <v>14095</v>
      </c>
      <c r="B6782" s="123">
        <v>928658.0</v>
      </c>
      <c r="C6782" s="124" t="s">
        <v>14096</v>
      </c>
      <c r="D6782" s="125"/>
      <c r="E6782" s="126">
        <v>50.23</v>
      </c>
      <c r="F6782" s="127"/>
      <c r="G6782" s="127"/>
      <c r="H6782" s="127"/>
      <c r="I6782" s="128"/>
      <c r="K6782" s="105" t="str">
        <f>IFERROR(__xludf.DUMMYFUNCTION("if(A6782="""","""",substitute(SUBSTITUTE(index(importhtml(""http://finviz.com/quote.ashx?t=""&amp;A6782,""table"",10),7,2),""*"",""""),""-"",""0.00""))"),"Loading...")</f>
        <v>Loading...</v>
      </c>
      <c r="L6782" s="129">
        <v>6.50314241E8</v>
      </c>
      <c r="M6782" s="99">
        <v>1.42</v>
      </c>
    </row>
    <row r="6783">
      <c r="A6783" s="122" t="s">
        <v>14097</v>
      </c>
      <c r="B6783" s="123">
        <v>1065059.0</v>
      </c>
      <c r="C6783" s="124" t="s">
        <v>14098</v>
      </c>
      <c r="D6783" s="125"/>
      <c r="E6783" s="126">
        <v>50.24</v>
      </c>
      <c r="F6783" s="127"/>
      <c r="G6783" s="127"/>
      <c r="H6783" s="127"/>
      <c r="I6783" s="128"/>
      <c r="K6783" s="105" t="str">
        <f>IFERROR(__xludf.DUMMYFUNCTION("if(A6783="""","""",substitute(SUBSTITUTE(index(importhtml(""http://finviz.com/quote.ashx?t=""&amp;A6783,""table"",10),7,2),""*"",""""),""-"",""0.00""))"),"Loading...")</f>
        <v>Loading...</v>
      </c>
      <c r="L6783" s="129">
        <v>7.80048874E8</v>
      </c>
      <c r="M6783" s="99">
        <v>1.48</v>
      </c>
    </row>
    <row r="6784">
      <c r="A6784" s="122" t="s">
        <v>14099</v>
      </c>
      <c r="B6784" s="123">
        <v>1084961.0</v>
      </c>
      <c r="C6784" s="124" t="s">
        <v>14100</v>
      </c>
      <c r="D6784" s="125"/>
      <c r="E6784" s="126">
        <v>50.25</v>
      </c>
      <c r="F6784" s="127"/>
      <c r="G6784" s="127"/>
      <c r="H6784" s="127"/>
      <c r="I6784" s="128"/>
      <c r="K6784" s="105" t="str">
        <f>IFERROR(__xludf.DUMMYFUNCTION("if(A6784="""","""",substitute(SUBSTITUTE(index(importhtml(""http://finviz.com/quote.ashx?t=""&amp;A6784,""table"",10),7,2),""*"",""""),""-"",""0.00""))"),"Loading...")</f>
        <v>Loading...</v>
      </c>
      <c r="L6784" s="129">
        <v>1.182311647E9</v>
      </c>
      <c r="M6784" s="99">
        <v>1.4</v>
      </c>
    </row>
    <row r="6785">
      <c r="A6785" s="122" t="s">
        <v>14101</v>
      </c>
      <c r="B6785" s="123">
        <v>1206264.0</v>
      </c>
      <c r="C6785" s="124" t="s">
        <v>14102</v>
      </c>
      <c r="D6785" s="125"/>
      <c r="E6785" s="126">
        <v>50.29</v>
      </c>
      <c r="F6785" s="127"/>
      <c r="G6785" s="127"/>
      <c r="H6785" s="127"/>
      <c r="I6785" s="128"/>
      <c r="K6785" s="105" t="str">
        <f>IFERROR(__xludf.DUMMYFUNCTION("if(A6785="""","""",substitute(SUBSTITUTE(index(importhtml(""http://finviz.com/quote.ashx?t=""&amp;A6785,""table"",10),7,2),""*"",""""),""-"",""0.00""))"),"Loading...")</f>
        <v>Loading...</v>
      </c>
      <c r="L6785" s="129">
        <v>8.663674704E9</v>
      </c>
      <c r="M6785" s="99">
        <v>1.56</v>
      </c>
    </row>
    <row r="6786">
      <c r="A6786" s="122" t="s">
        <v>14103</v>
      </c>
      <c r="B6786" s="123">
        <v>30305.0</v>
      </c>
      <c r="C6786" s="124" t="s">
        <v>14104</v>
      </c>
      <c r="D6786" s="125"/>
      <c r="E6786" s="126">
        <v>50.33</v>
      </c>
      <c r="F6786" s="127"/>
      <c r="G6786" s="127"/>
      <c r="H6786" s="127"/>
      <c r="I6786" s="128"/>
      <c r="K6786" s="55" t="s">
        <v>1034</v>
      </c>
      <c r="L6786" s="129">
        <v>7.34635328E8</v>
      </c>
      <c r="M6786" s="99">
        <v>1.3</v>
      </c>
    </row>
    <row r="6787">
      <c r="A6787" s="122" t="s">
        <v>14105</v>
      </c>
      <c r="B6787" s="123">
        <v>1837240.0</v>
      </c>
      <c r="C6787" s="124" t="s">
        <v>14106</v>
      </c>
      <c r="D6787" s="125"/>
      <c r="E6787" s="126">
        <v>50.45</v>
      </c>
      <c r="F6787" s="127"/>
      <c r="G6787" s="127"/>
      <c r="H6787" s="127"/>
      <c r="I6787" s="128"/>
      <c r="K6787" s="105" t="str">
        <f>IFERROR(__xludf.DUMMYFUNCTION("if(A6787="""","""",substitute(SUBSTITUTE(index(importhtml(""http://finviz.com/quote.ashx?t=""&amp;A6787,""table"",10),7,2),""*"",""""),""-"",""0.00""))"),"Loading...")</f>
        <v>Loading...</v>
      </c>
      <c r="L6787" s="129">
        <v>2.8922773547E10</v>
      </c>
      <c r="M6787" s="99">
        <f>IFERROR(__xludf.DUMMYFUNCTION("GOOGLEFINANCE(A6787,""beta"")"),2.1)</f>
        <v>2.1</v>
      </c>
    </row>
    <row r="6788">
      <c r="A6788" s="122" t="s">
        <v>14107</v>
      </c>
      <c r="B6788" s="123">
        <v>1647088.0</v>
      </c>
      <c r="C6788" s="124" t="s">
        <v>14108</v>
      </c>
      <c r="D6788" s="125"/>
      <c r="E6788" s="126">
        <v>50.46</v>
      </c>
      <c r="F6788" s="127"/>
      <c r="G6788" s="127"/>
      <c r="H6788" s="127"/>
      <c r="I6788" s="128"/>
      <c r="K6788" s="105" t="str">
        <f>IFERROR(__xludf.DUMMYFUNCTION("if(A6788="""","""",substitute(SUBSTITUTE(index(importhtml(""http://finviz.com/quote.ashx?t=""&amp;A6788,""table"",10),7,2),""*"",""""),""-"",""0.00""))"),"Loading...")</f>
        <v>Loading...</v>
      </c>
      <c r="L6788" s="129">
        <v>9.669659716E9</v>
      </c>
      <c r="M6788" s="99">
        <v>1.36</v>
      </c>
    </row>
    <row r="6789">
      <c r="A6789" s="122" t="s">
        <v>14109</v>
      </c>
      <c r="B6789" s="123">
        <v>921557.0</v>
      </c>
      <c r="C6789" s="124" t="s">
        <v>14110</v>
      </c>
      <c r="D6789" s="125"/>
      <c r="E6789" s="126">
        <v>50.55</v>
      </c>
      <c r="F6789" s="127"/>
      <c r="G6789" s="127"/>
      <c r="H6789" s="127"/>
      <c r="I6789" s="128"/>
      <c r="K6789" s="105" t="str">
        <f>IFERROR(__xludf.DUMMYFUNCTION("if(A6789="""","""",substitute(SUBSTITUTE(index(importhtml(""http://finviz.com/quote.ashx?t=""&amp;A6789,""table"",10),7,2),""*"",""""),""-"",""0.00""))"),"Loading...")</f>
        <v>Loading...</v>
      </c>
      <c r="L6789" s="129">
        <v>9.80403081E8</v>
      </c>
      <c r="M6789" s="99">
        <v>0.59</v>
      </c>
    </row>
    <row r="6790">
      <c r="A6790" s="122" t="s">
        <v>14111</v>
      </c>
      <c r="B6790" s="123">
        <v>1331875.0</v>
      </c>
      <c r="C6790" s="124" t="s">
        <v>14112</v>
      </c>
      <c r="D6790" s="125"/>
      <c r="E6790" s="126">
        <v>50.7</v>
      </c>
      <c r="F6790" s="127"/>
      <c r="G6790" s="127"/>
      <c r="H6790" s="127"/>
      <c r="I6790" s="128"/>
      <c r="K6790" s="55" t="s">
        <v>14113</v>
      </c>
      <c r="L6790" s="129">
        <v>1.3798415877E10</v>
      </c>
      <c r="M6790" s="99">
        <v>1.36</v>
      </c>
    </row>
    <row r="6791">
      <c r="A6791" s="122" t="s">
        <v>14114</v>
      </c>
      <c r="B6791" s="123">
        <v>1711269.0</v>
      </c>
      <c r="C6791" s="124" t="s">
        <v>14115</v>
      </c>
      <c r="D6791" s="125"/>
      <c r="E6791" s="126">
        <v>50.7</v>
      </c>
      <c r="F6791" s="127"/>
      <c r="G6791" s="127"/>
      <c r="H6791" s="127"/>
      <c r="I6791" s="128"/>
      <c r="K6791" s="105" t="str">
        <f>IFERROR(__xludf.DUMMYFUNCTION("if(A6791="""","""",substitute(SUBSTITUTE(index(importhtml(""http://finviz.com/quote.ashx?t=""&amp;A6791,""table"",10),7,2),""*"",""""),""-"",""0.00""))"),"Loading...")</f>
        <v>Loading...</v>
      </c>
      <c r="L6791" s="129">
        <v>1.1646839665E10</v>
      </c>
      <c r="M6791" s="99">
        <v>0.57</v>
      </c>
    </row>
    <row r="6792">
      <c r="A6792" s="122" t="s">
        <v>14116</v>
      </c>
      <c r="B6792" s="123">
        <v>1581285.0</v>
      </c>
      <c r="C6792" s="124" t="s">
        <v>14117</v>
      </c>
      <c r="D6792" s="125"/>
      <c r="E6792" s="126">
        <v>50.71</v>
      </c>
      <c r="F6792" s="127"/>
      <c r="G6792" s="127"/>
      <c r="H6792" s="127"/>
      <c r="I6792" s="128"/>
      <c r="K6792" s="105" t="str">
        <f>IFERROR(__xludf.DUMMYFUNCTION("if(A6792="""","""",substitute(SUBSTITUTE(index(importhtml(""http://finviz.com/quote.ashx?t=""&amp;A6792,""table"",10),7,2),""*"",""""),""-"",""0.00""))"),"Loading...")</f>
        <v>Loading...</v>
      </c>
      <c r="L6792" s="129">
        <v>6.365064899E9</v>
      </c>
      <c r="M6792" s="99">
        <v>1.26</v>
      </c>
    </row>
    <row r="6793">
      <c r="A6793" s="122" t="s">
        <v>14118</v>
      </c>
      <c r="B6793" s="123">
        <v>1725964.0</v>
      </c>
      <c r="C6793" s="124" t="s">
        <v>14119</v>
      </c>
      <c r="D6793" s="125"/>
      <c r="E6793" s="126">
        <v>50.99</v>
      </c>
      <c r="F6793" s="127"/>
      <c r="G6793" s="127"/>
      <c r="H6793" s="127"/>
      <c r="I6793" s="128"/>
      <c r="K6793" s="105" t="str">
        <f>IFERROR(__xludf.DUMMYFUNCTION("if(A6793="""","""",substitute(SUBSTITUTE(index(importhtml(""http://finviz.com/quote.ashx?t=""&amp;A6793,""table"",10),7,2),""*"",""""),""-"",""0.00""))"),"Loading...")</f>
        <v>Loading...</v>
      </c>
      <c r="L6793" s="129">
        <v>3.394572637E10</v>
      </c>
      <c r="M6793" s="99">
        <v>0.89</v>
      </c>
    </row>
    <row r="6794">
      <c r="A6794" s="122" t="s">
        <v>14120</v>
      </c>
      <c r="B6794" s="123">
        <v>34782.0</v>
      </c>
      <c r="C6794" s="124" t="s">
        <v>14121</v>
      </c>
      <c r="D6794" s="125"/>
      <c r="E6794" s="126">
        <v>51.01</v>
      </c>
      <c r="F6794" s="127"/>
      <c r="G6794" s="127"/>
      <c r="H6794" s="127"/>
      <c r="I6794" s="128"/>
      <c r="K6794" s="105" t="str">
        <f>IFERROR(__xludf.DUMMYFUNCTION("if(A6794="""","""",substitute(SUBSTITUTE(index(importhtml(""http://finviz.com/quote.ashx?t=""&amp;A6794,""table"",10),7,2),""*"",""""),""-"",""0.00""))"),"Loading...")</f>
        <v>Loading...</v>
      </c>
      <c r="L6794" s="129">
        <v>1.246408904E9</v>
      </c>
      <c r="M6794" s="99">
        <v>0.81</v>
      </c>
    </row>
    <row r="6795">
      <c r="A6795" s="122" t="s">
        <v>14122</v>
      </c>
      <c r="B6795" s="123">
        <v>22444.0</v>
      </c>
      <c r="C6795" s="124" t="s">
        <v>14123</v>
      </c>
      <c r="D6795" s="125"/>
      <c r="E6795" s="126">
        <v>51.06</v>
      </c>
      <c r="F6795" s="127"/>
      <c r="G6795" s="127"/>
      <c r="H6795" s="127"/>
      <c r="I6795" s="128"/>
      <c r="K6795" s="55" t="s">
        <v>14124</v>
      </c>
      <c r="L6795" s="129">
        <v>5.942761227E9</v>
      </c>
      <c r="M6795" s="99">
        <v>1.32</v>
      </c>
    </row>
    <row r="6796">
      <c r="A6796" s="122" t="s">
        <v>14125</v>
      </c>
      <c r="B6796" s="123">
        <v>1854149.0</v>
      </c>
      <c r="C6796" s="124" t="s">
        <v>14126</v>
      </c>
      <c r="D6796" s="125"/>
      <c r="E6796" s="126">
        <v>51.07</v>
      </c>
      <c r="F6796" s="127"/>
      <c r="G6796" s="127"/>
      <c r="H6796" s="127"/>
      <c r="I6796" s="128"/>
      <c r="K6796" s="105" t="str">
        <f>IFERROR(__xludf.DUMMYFUNCTION("if(A6796="""","""",substitute(SUBSTITUTE(index(importhtml(""http://finviz.com/quote.ashx?t=""&amp;A6796,""table"",10),7,2),""*"",""""),""-"",""0.00""))"),"Loading...")</f>
        <v>Loading...</v>
      </c>
      <c r="L6796" s="129" t="e">
        <v>#N/A</v>
      </c>
      <c r="M6796" s="99" t="str">
        <f>IFERROR(__xludf.DUMMYFUNCTION("GOOGLEFINANCE(A6796,""beta"")"),"#N/A")</f>
        <v>#N/A</v>
      </c>
    </row>
    <row r="6797">
      <c r="A6797" s="122" t="s">
        <v>14127</v>
      </c>
      <c r="B6797" s="123">
        <v>1685040.0</v>
      </c>
      <c r="C6797" s="124" t="s">
        <v>14128</v>
      </c>
      <c r="D6797" s="125"/>
      <c r="E6797" s="126">
        <v>51.13</v>
      </c>
      <c r="F6797" s="127"/>
      <c r="G6797" s="127"/>
      <c r="H6797" s="127"/>
      <c r="I6797" s="128"/>
      <c r="K6797" s="55" t="s">
        <v>1034</v>
      </c>
      <c r="L6797" s="129">
        <v>3.282790981E9</v>
      </c>
      <c r="M6797" s="99">
        <v>1.19</v>
      </c>
    </row>
    <row r="6798">
      <c r="A6798" s="122" t="s">
        <v>14129</v>
      </c>
      <c r="B6798" s="123">
        <v>1130464.0</v>
      </c>
      <c r="C6798" s="124" t="s">
        <v>14130</v>
      </c>
      <c r="D6798" s="125"/>
      <c r="E6798" s="126">
        <v>51.18</v>
      </c>
      <c r="F6798" s="127"/>
      <c r="G6798" s="127"/>
      <c r="H6798" s="127"/>
      <c r="I6798" s="128"/>
      <c r="K6798" s="55" t="s">
        <v>14131</v>
      </c>
      <c r="L6798" s="129">
        <v>3.479812155E9</v>
      </c>
      <c r="M6798" s="99">
        <v>0.65</v>
      </c>
    </row>
    <row r="6799">
      <c r="A6799" s="122" t="s">
        <v>14132</v>
      </c>
      <c r="B6799" s="123">
        <v>1043509.0</v>
      </c>
      <c r="C6799" s="124" t="s">
        <v>14133</v>
      </c>
      <c r="D6799" s="125"/>
      <c r="E6799" s="126">
        <v>51.23</v>
      </c>
      <c r="F6799" s="127"/>
      <c r="G6799" s="127"/>
      <c r="H6799" s="127"/>
      <c r="I6799" s="128"/>
      <c r="K6799" s="105" t="str">
        <f>IFERROR(__xludf.DUMMYFUNCTION("if(A6799="""","""",substitute(SUBSTITUTE(index(importhtml(""http://finviz.com/quote.ashx?t=""&amp;A6799,""table"",10),7,2),""*"",""""),""-"",""0.00""))"),"Loading...")</f>
        <v>Loading...</v>
      </c>
      <c r="L6799" s="129">
        <v>1.736012551E9</v>
      </c>
      <c r="M6799" s="99">
        <v>1.83</v>
      </c>
    </row>
    <row r="6800">
      <c r="A6800" s="122" t="s">
        <v>14134</v>
      </c>
      <c r="B6800" s="123">
        <v>1800227.0</v>
      </c>
      <c r="C6800" s="124" t="s">
        <v>14135</v>
      </c>
      <c r="D6800" s="125"/>
      <c r="E6800" s="126">
        <v>51.29</v>
      </c>
      <c r="F6800" s="127"/>
      <c r="G6800" s="127"/>
      <c r="H6800" s="127"/>
      <c r="I6800" s="128"/>
      <c r="K6800" s="105" t="str">
        <f>IFERROR(__xludf.DUMMYFUNCTION("if(A6800="""","""",substitute(SUBSTITUTE(index(importhtml(""http://finviz.com/quote.ashx?t=""&amp;A6800,""table"",10),7,2),""*"",""""),""-"",""0.00""))"),"Loading...")</f>
        <v>Loading...</v>
      </c>
      <c r="L6800" s="129">
        <v>4.403314281E9</v>
      </c>
      <c r="M6800" s="99">
        <v>1.31</v>
      </c>
    </row>
    <row r="6801">
      <c r="A6801" s="122" t="s">
        <v>14136</v>
      </c>
      <c r="B6801" s="123">
        <v>74303.0</v>
      </c>
      <c r="C6801" s="124" t="s">
        <v>14137</v>
      </c>
      <c r="D6801" s="125"/>
      <c r="E6801" s="126">
        <v>51.35</v>
      </c>
      <c r="F6801" s="127"/>
      <c r="G6801" s="127"/>
      <c r="H6801" s="127"/>
      <c r="I6801" s="128"/>
      <c r="K6801" s="105" t="str">
        <f>IFERROR(__xludf.DUMMYFUNCTION("if(A6801="""","""",substitute(SUBSTITUTE(index(importhtml(""http://finviz.com/quote.ashx?t=""&amp;A6801,""table"",10),7,2),""*"",""""),""-"",""0.00""))"),"Loading...")</f>
        <v>Loading...</v>
      </c>
      <c r="L6801" s="129">
        <v>6.172269816E9</v>
      </c>
      <c r="M6801" s="99">
        <v>1.44</v>
      </c>
    </row>
    <row r="6802">
      <c r="A6802" s="122" t="s">
        <v>14138</v>
      </c>
      <c r="B6802" s="123">
        <v>1575515.0</v>
      </c>
      <c r="C6802" s="124" t="s">
        <v>14139</v>
      </c>
      <c r="D6802" s="125"/>
      <c r="E6802" s="126">
        <v>51.46</v>
      </c>
      <c r="F6802" s="127"/>
      <c r="G6802" s="127"/>
      <c r="H6802" s="127"/>
      <c r="I6802" s="128"/>
      <c r="K6802" s="105" t="str">
        <f>IFERROR(__xludf.DUMMYFUNCTION("if(A6802="""","""",substitute(SUBSTITUTE(index(importhtml(""http://finviz.com/quote.ashx?t=""&amp;A6802,""table"",10),7,2),""*"",""""),""-"",""0.00""))"),"Loading...")</f>
        <v>Loading...</v>
      </c>
      <c r="L6802" s="129">
        <v>5.226318675E9</v>
      </c>
      <c r="M6802" s="99">
        <v>0.44</v>
      </c>
    </row>
    <row r="6803">
      <c r="A6803" s="122" t="s">
        <v>14140</v>
      </c>
      <c r="B6803" s="123">
        <v>1315257.0</v>
      </c>
      <c r="C6803" s="124" t="s">
        <v>14141</v>
      </c>
      <c r="D6803" s="125"/>
      <c r="E6803" s="126">
        <v>51.47</v>
      </c>
      <c r="F6803" s="127"/>
      <c r="G6803" s="127"/>
      <c r="H6803" s="127"/>
      <c r="I6803" s="128"/>
      <c r="K6803" s="105" t="str">
        <f>IFERROR(__xludf.DUMMYFUNCTION("if(A6803="""","""",substitute(SUBSTITUTE(index(importhtml(""http://finviz.com/quote.ashx?t=""&amp;A6803,""table"",10),7,2),""*"",""""),""-"",""0.00""))"),"Loading...")</f>
        <v>Loading...</v>
      </c>
      <c r="L6803" s="129">
        <v>1.071763438E9</v>
      </c>
      <c r="M6803" s="99">
        <v>1.87</v>
      </c>
    </row>
    <row r="6804">
      <c r="A6804" s="122" t="s">
        <v>14142</v>
      </c>
      <c r="B6804" s="123">
        <v>28412.0</v>
      </c>
      <c r="C6804" s="124" t="s">
        <v>14143</v>
      </c>
      <c r="D6804" s="125"/>
      <c r="E6804" s="126">
        <v>51.48</v>
      </c>
      <c r="F6804" s="127"/>
      <c r="G6804" s="127"/>
      <c r="H6804" s="127"/>
      <c r="I6804" s="128"/>
      <c r="K6804" s="55" t="s">
        <v>13534</v>
      </c>
      <c r="L6804" s="129">
        <v>6.790119275E9</v>
      </c>
      <c r="M6804" s="99">
        <v>1.29</v>
      </c>
    </row>
    <row r="6805">
      <c r="A6805" s="122" t="s">
        <v>14144</v>
      </c>
      <c r="B6805" s="123">
        <v>800240.0</v>
      </c>
      <c r="C6805" s="124" t="s">
        <v>14145</v>
      </c>
      <c r="D6805" s="125"/>
      <c r="E6805" s="126">
        <v>51.49</v>
      </c>
      <c r="F6805" s="127"/>
      <c r="G6805" s="127"/>
      <c r="H6805" s="127"/>
      <c r="I6805" s="128"/>
      <c r="K6805" s="105" t="str">
        <f>IFERROR(__xludf.DUMMYFUNCTION("if(A6805="""","""",substitute(SUBSTITUTE(index(importhtml(""http://finviz.com/quote.ashx?t=""&amp;A6805,""table"",10),7,2),""*"",""""),""-"",""0.00""))"),"Loading...")</f>
        <v>Loading...</v>
      </c>
      <c r="L6805" s="129">
        <v>1.924596887E9</v>
      </c>
      <c r="M6805" s="99">
        <v>1.66</v>
      </c>
    </row>
    <row r="6806">
      <c r="A6806" s="122" t="s">
        <v>14146</v>
      </c>
      <c r="B6806" s="123">
        <v>1031308.0</v>
      </c>
      <c r="C6806" s="124" t="s">
        <v>14147</v>
      </c>
      <c r="D6806" s="125"/>
      <c r="E6806" s="126">
        <v>51.5</v>
      </c>
      <c r="F6806" s="127"/>
      <c r="G6806" s="127"/>
      <c r="H6806" s="127"/>
      <c r="I6806" s="128"/>
      <c r="K6806" s="55" t="s">
        <v>5721</v>
      </c>
      <c r="L6806" s="129">
        <v>1.523998815E10</v>
      </c>
      <c r="M6806" s="99">
        <v>1.12</v>
      </c>
    </row>
    <row r="6807">
      <c r="A6807" s="122" t="s">
        <v>14148</v>
      </c>
      <c r="B6807" s="123">
        <v>22356.0</v>
      </c>
      <c r="C6807" s="124" t="s">
        <v>14149</v>
      </c>
      <c r="D6807" s="125"/>
      <c r="E6807" s="126">
        <v>51.53</v>
      </c>
      <c r="F6807" s="127"/>
      <c r="G6807" s="127"/>
      <c r="H6807" s="127"/>
      <c r="I6807" s="128"/>
      <c r="K6807" s="105" t="str">
        <f>IFERROR(__xludf.DUMMYFUNCTION("if(A6807="""","""",substitute(SUBSTITUTE(index(importhtml(""http://finviz.com/quote.ashx?t=""&amp;A6807,""table"",10),7,2),""*"",""""),""-"",""0.00""))"),"Loading...")</f>
        <v>Loading...</v>
      </c>
      <c r="L6807" s="129">
        <v>6.707969121E9</v>
      </c>
      <c r="M6807" s="99">
        <v>0.8</v>
      </c>
    </row>
    <row r="6808">
      <c r="A6808" s="122" t="s">
        <v>14150</v>
      </c>
      <c r="B6808" s="123">
        <v>1616707.0</v>
      </c>
      <c r="C6808" s="124" t="s">
        <v>14151</v>
      </c>
      <c r="D6808" s="125"/>
      <c r="E6808" s="126">
        <v>51.55</v>
      </c>
      <c r="F6808" s="127"/>
      <c r="G6808" s="127"/>
      <c r="H6808" s="127"/>
      <c r="I6808" s="128"/>
      <c r="K6808" s="55" t="s">
        <v>1034</v>
      </c>
      <c r="L6808" s="129">
        <v>6.08017807E9</v>
      </c>
      <c r="M6808" s="99">
        <v>3.32</v>
      </c>
    </row>
    <row r="6809">
      <c r="A6809" s="122" t="s">
        <v>14152</v>
      </c>
      <c r="B6809" s="123">
        <v>854560.0</v>
      </c>
      <c r="C6809" s="124" t="s">
        <v>14153</v>
      </c>
      <c r="D6809" s="125"/>
      <c r="E6809" s="126">
        <v>51.65</v>
      </c>
      <c r="F6809" s="127"/>
      <c r="G6809" s="127"/>
      <c r="H6809" s="127"/>
      <c r="I6809" s="128"/>
      <c r="K6809" s="105" t="str">
        <f>IFERROR(__xludf.DUMMYFUNCTION("if(A6809="""","""",substitute(SUBSTITUTE(index(importhtml(""http://finviz.com/quote.ashx?t=""&amp;A6809,""table"",10),7,2),""*"",""""),""-"",""0.00""))"),"Loading...")</f>
        <v>Loading...</v>
      </c>
      <c r="L6809" s="129">
        <v>6.09698311E8</v>
      </c>
      <c r="M6809" s="99">
        <v>0.66</v>
      </c>
    </row>
    <row r="6810">
      <c r="A6810" s="122" t="s">
        <v>14154</v>
      </c>
      <c r="B6810" s="123">
        <v>1097362.0</v>
      </c>
      <c r="C6810" s="124" t="s">
        <v>14155</v>
      </c>
      <c r="D6810" s="125"/>
      <c r="E6810" s="126">
        <v>51.65</v>
      </c>
      <c r="F6810" s="127"/>
      <c r="G6810" s="127"/>
      <c r="H6810" s="127"/>
      <c r="I6810" s="128"/>
      <c r="K6810" s="105" t="str">
        <f>IFERROR(__xludf.DUMMYFUNCTION("if(A6810="""","""",substitute(SUBSTITUTE(index(importhtml(""http://finviz.com/quote.ashx?t=""&amp;A6810,""table"",10),7,2),""*"",""""),""-"",""0.00""))"),"Loading...")</f>
        <v>Loading...</v>
      </c>
      <c r="L6810" s="129">
        <v>3.0185774236E10</v>
      </c>
      <c r="M6810" s="99">
        <v>1.03</v>
      </c>
    </row>
    <row r="6811">
      <c r="A6811" s="122" t="s">
        <v>14156</v>
      </c>
      <c r="B6811" s="123">
        <v>1446457.0</v>
      </c>
      <c r="C6811" s="124" t="s">
        <v>14157</v>
      </c>
      <c r="D6811" s="125"/>
      <c r="E6811" s="126">
        <v>51.72</v>
      </c>
      <c r="F6811" s="127"/>
      <c r="G6811" s="127"/>
      <c r="H6811" s="127"/>
      <c r="I6811" s="128"/>
      <c r="K6811" s="105" t="str">
        <f>IFERROR(__xludf.DUMMYFUNCTION("if(A6811="""","""",substitute(SUBSTITUTE(index(importhtml(""http://finviz.com/quote.ashx?t=""&amp;A6811,""table"",10),7,2),""*"",""""),""-"",""0.00""))"),"Loading...")</f>
        <v>Loading...</v>
      </c>
      <c r="L6811" s="129">
        <v>7.306851E10</v>
      </c>
      <c r="M6811" s="99">
        <v>1.21</v>
      </c>
    </row>
    <row r="6812">
      <c r="A6812" s="122" t="s">
        <v>14158</v>
      </c>
      <c r="B6812" s="123">
        <v>1679049.0</v>
      </c>
      <c r="C6812" s="124" t="s">
        <v>14159</v>
      </c>
      <c r="D6812" s="125"/>
      <c r="E6812" s="126">
        <v>51.74</v>
      </c>
      <c r="F6812" s="127"/>
      <c r="G6812" s="127"/>
      <c r="H6812" s="127"/>
      <c r="I6812" s="128"/>
      <c r="K6812" s="105" t="str">
        <f>IFERROR(__xludf.DUMMYFUNCTION("if(A6812="""","""",substitute(SUBSTITUTE(index(importhtml(""http://finviz.com/quote.ashx?t=""&amp;A6812,""table"",10),7,2),""*"",""""),""-"",""0.00""))"),"Loading...")</f>
        <v>Loading...</v>
      </c>
      <c r="L6812" s="129">
        <v>2.530551742E9</v>
      </c>
      <c r="M6812" s="99">
        <v>-0.06</v>
      </c>
    </row>
    <row r="6813">
      <c r="A6813" s="122" t="s">
        <v>14160</v>
      </c>
      <c r="B6813" s="123">
        <v>1237831.0</v>
      </c>
      <c r="C6813" s="124" t="s">
        <v>14161</v>
      </c>
      <c r="D6813" s="125"/>
      <c r="E6813" s="126">
        <v>51.83</v>
      </c>
      <c r="F6813" s="127"/>
      <c r="G6813" s="127"/>
      <c r="H6813" s="127"/>
      <c r="I6813" s="128"/>
      <c r="K6813" s="105" t="str">
        <f>IFERROR(__xludf.DUMMYFUNCTION("if(A6813="""","""",substitute(SUBSTITUTE(index(importhtml(""http://finviz.com/quote.ashx?t=""&amp;A6813,""table"",10),7,2),""*"",""""),""-"",""0.00""))"),"Loading...")</f>
        <v>Loading...</v>
      </c>
      <c r="L6813" s="129">
        <v>7.141816625E9</v>
      </c>
      <c r="M6813" s="99">
        <v>1.1</v>
      </c>
    </row>
    <row r="6814">
      <c r="A6814" s="122" t="s">
        <v>14162</v>
      </c>
      <c r="B6814" s="123">
        <v>1059262.0</v>
      </c>
      <c r="C6814" s="124" t="s">
        <v>14163</v>
      </c>
      <c r="D6814" s="125"/>
      <c r="E6814" s="126">
        <v>51.86</v>
      </c>
      <c r="F6814" s="127"/>
      <c r="G6814" s="127"/>
      <c r="H6814" s="127"/>
      <c r="I6814" s="128"/>
      <c r="K6814" s="55" t="s">
        <v>1034</v>
      </c>
      <c r="L6814" s="129">
        <v>1.026769928E9</v>
      </c>
      <c r="M6814" s="99">
        <v>1.24</v>
      </c>
    </row>
    <row r="6815">
      <c r="A6815" s="122" t="s">
        <v>14164</v>
      </c>
      <c r="B6815" s="123">
        <v>1383650.0</v>
      </c>
      <c r="C6815" s="124" t="s">
        <v>14165</v>
      </c>
      <c r="D6815" s="125"/>
      <c r="E6815" s="126">
        <v>51.88</v>
      </c>
      <c r="F6815" s="127"/>
      <c r="G6815" s="127"/>
      <c r="H6815" s="127"/>
      <c r="I6815" s="128"/>
      <c r="K6815" s="105" t="str">
        <f>IFERROR(__xludf.DUMMYFUNCTION("if(A6815="""","""",substitute(SUBSTITUTE(index(importhtml(""http://finviz.com/quote.ashx?t=""&amp;A6815,""table"",10),7,2),""*"",""""),""-"",""0.00""))"),"Loading...")</f>
        <v>Loading...</v>
      </c>
      <c r="L6815" s="129">
        <v>2.5111943837E10</v>
      </c>
      <c r="M6815" s="99">
        <v>0.72</v>
      </c>
    </row>
    <row r="6816">
      <c r="A6816" s="122" t="s">
        <v>14166</v>
      </c>
      <c r="B6816" s="123">
        <v>23426.0</v>
      </c>
      <c r="C6816" s="124" t="s">
        <v>14167</v>
      </c>
      <c r="D6816" s="125"/>
      <c r="E6816" s="126">
        <v>51.9</v>
      </c>
      <c r="F6816" s="127"/>
      <c r="G6816" s="127"/>
      <c r="H6816" s="127"/>
      <c r="I6816" s="128"/>
      <c r="K6816" s="105" t="str">
        <f>IFERROR(__xludf.DUMMYFUNCTION("if(A6816="""","""",substitute(SUBSTITUTE(index(importhtml(""http://finviz.com/quote.ashx?t=""&amp;A6816,""table"",10),7,2),""*"",""""),""-"",""0.00""))"),"Loading...")</f>
        <v>Loading...</v>
      </c>
      <c r="L6816" s="129">
        <v>2.66609E7</v>
      </c>
      <c r="M6816" s="99">
        <v>0.1</v>
      </c>
    </row>
    <row r="6817">
      <c r="A6817" s="122" t="s">
        <v>14168</v>
      </c>
      <c r="B6817" s="123">
        <v>1280263.0</v>
      </c>
      <c r="C6817" s="124" t="s">
        <v>14169</v>
      </c>
      <c r="D6817" s="125"/>
      <c r="E6817" s="126">
        <v>51.99</v>
      </c>
      <c r="F6817" s="127"/>
      <c r="G6817" s="127"/>
      <c r="H6817" s="127"/>
      <c r="I6817" s="128"/>
      <c r="K6817" s="105" t="str">
        <f>IFERROR(__xludf.DUMMYFUNCTION("if(A6817="""","""",substitute(SUBSTITUTE(index(importhtml(""http://finviz.com/quote.ashx?t=""&amp;A6817,""table"",10),7,2),""*"",""""),""-"",""0.00""))"),"Loading...")</f>
        <v>Loading...</v>
      </c>
      <c r="L6817" s="129">
        <v>2.092497226E9</v>
      </c>
      <c r="M6817" s="99">
        <v>1.69</v>
      </c>
    </row>
    <row r="6818">
      <c r="A6818" s="122" t="s">
        <v>14170</v>
      </c>
      <c r="B6818" s="123">
        <v>312070.0</v>
      </c>
      <c r="C6818" s="124" t="s">
        <v>14171</v>
      </c>
      <c r="D6818" s="125"/>
      <c r="E6818" s="126">
        <v>52.0</v>
      </c>
      <c r="F6818" s="127"/>
      <c r="G6818" s="127"/>
      <c r="H6818" s="127"/>
      <c r="I6818" s="128"/>
      <c r="K6818" s="105" t="str">
        <f>IFERROR(__xludf.DUMMYFUNCTION("if(A6818="""","""",substitute(SUBSTITUTE(index(importhtml(""http://finviz.com/quote.ashx?t=""&amp;A6818,""table"",10),7,2),""*"",""""),""-"",""0.00""))"),"Loading...")</f>
        <v>Loading...</v>
      </c>
      <c r="L6818" s="129">
        <v>2.8384401496E10</v>
      </c>
      <c r="M6818" s="99">
        <v>0.15</v>
      </c>
    </row>
    <row r="6819">
      <c r="A6819" s="122" t="s">
        <v>14172</v>
      </c>
      <c r="B6819" s="123">
        <v>1488813.0</v>
      </c>
      <c r="C6819" s="124" t="s">
        <v>14173</v>
      </c>
      <c r="D6819" s="125"/>
      <c r="E6819" s="126">
        <v>52.03</v>
      </c>
      <c r="F6819" s="127"/>
      <c r="G6819" s="127"/>
      <c r="H6819" s="127"/>
      <c r="I6819" s="128"/>
      <c r="K6819" s="105" t="str">
        <f>IFERROR(__xludf.DUMMYFUNCTION("if(A6819="""","""",substitute(SUBSTITUTE(index(importhtml(""http://finviz.com/quote.ashx?t=""&amp;A6819,""table"",10),7,2),""*"",""""),""-"",""0.00""))"),"Loading...")</f>
        <v>Loading...</v>
      </c>
      <c r="L6819" s="129">
        <v>1.635870508E9</v>
      </c>
      <c r="M6819" s="99">
        <v>1.69</v>
      </c>
    </row>
    <row r="6820">
      <c r="A6820" s="122" t="s">
        <v>14174</v>
      </c>
      <c r="B6820" s="123">
        <v>1071236.0</v>
      </c>
      <c r="C6820" s="124" t="s">
        <v>14175</v>
      </c>
      <c r="D6820" s="125"/>
      <c r="E6820" s="126">
        <v>52.05</v>
      </c>
      <c r="F6820" s="127"/>
      <c r="G6820" s="127"/>
      <c r="H6820" s="127"/>
      <c r="I6820" s="128"/>
      <c r="K6820" s="105" t="str">
        <f>IFERROR(__xludf.DUMMYFUNCTION("if(A6820="""","""",substitute(SUBSTITUTE(index(importhtml(""http://finviz.com/quote.ashx?t=""&amp;A6820,""table"",10),7,2),""*"",""""),""-"",""0.00""))"),"Loading...")</f>
        <v>Loading...</v>
      </c>
      <c r="L6820" s="129">
        <v>3.71208362E8</v>
      </c>
      <c r="M6820" s="99">
        <v>0.61</v>
      </c>
    </row>
    <row r="6821">
      <c r="A6821" s="122" t="s">
        <v>14176</v>
      </c>
      <c r="B6821" s="123">
        <v>51548.0</v>
      </c>
      <c r="C6821" s="124" t="s">
        <v>14177</v>
      </c>
      <c r="D6821" s="125"/>
      <c r="E6821" s="126">
        <v>52.05</v>
      </c>
      <c r="F6821" s="127"/>
      <c r="G6821" s="127"/>
      <c r="H6821" s="127"/>
      <c r="I6821" s="128"/>
      <c r="K6821" s="105" t="str">
        <f>IFERROR(__xludf.DUMMYFUNCTION("if(A6821="""","""",substitute(SUBSTITUTE(index(importhtml(""http://finviz.com/quote.ashx?t=""&amp;A6821,""table"",10),7,2),""*"",""""),""-"",""0.00""))"),"Loading...")</f>
        <v>Loading...</v>
      </c>
      <c r="L6821" s="129" t="e">
        <v>#N/A</v>
      </c>
      <c r="M6821" s="99" t="str">
        <f>IFERROR(__xludf.DUMMYFUNCTION("GOOGLEFINANCE(A6821,""beta"")"),"#N/A")</f>
        <v>#N/A</v>
      </c>
    </row>
    <row r="6822">
      <c r="A6822" s="122" t="s">
        <v>14178</v>
      </c>
      <c r="B6822" s="123">
        <v>821026.0</v>
      </c>
      <c r="C6822" s="124" t="s">
        <v>14179</v>
      </c>
      <c r="D6822" s="125"/>
      <c r="E6822" s="126">
        <v>52.29</v>
      </c>
      <c r="F6822" s="127"/>
      <c r="G6822" s="127"/>
      <c r="H6822" s="127"/>
      <c r="I6822" s="128"/>
      <c r="K6822" s="105" t="str">
        <f>IFERROR(__xludf.DUMMYFUNCTION("if(A6822="""","""",substitute(SUBSTITUTE(index(importhtml(""http://finviz.com/quote.ashx?t=""&amp;A6822,""table"",10),7,2),""*"",""""),""-"",""0.00""))"),"Loading...")</f>
        <v>Loading...</v>
      </c>
      <c r="L6822" s="129">
        <v>1.764909366E9</v>
      </c>
      <c r="M6822" s="99">
        <v>0.67</v>
      </c>
    </row>
    <row r="6823">
      <c r="A6823" s="122" t="s">
        <v>14180</v>
      </c>
      <c r="B6823" s="123">
        <v>1337619.0</v>
      </c>
      <c r="C6823" s="124" t="s">
        <v>14181</v>
      </c>
      <c r="D6823" s="125"/>
      <c r="E6823" s="126">
        <v>52.34</v>
      </c>
      <c r="F6823" s="127"/>
      <c r="G6823" s="127"/>
      <c r="H6823" s="127"/>
      <c r="I6823" s="128"/>
      <c r="K6823" s="55" t="s">
        <v>1034</v>
      </c>
      <c r="L6823" s="129">
        <v>2.86071232E9</v>
      </c>
      <c r="M6823" s="99">
        <v>1.32</v>
      </c>
    </row>
    <row r="6824">
      <c r="A6824" s="122" t="s">
        <v>14182</v>
      </c>
      <c r="B6824" s="123">
        <v>23426.0</v>
      </c>
      <c r="C6824" s="124" t="s">
        <v>14183</v>
      </c>
      <c r="D6824" s="125"/>
      <c r="E6824" s="126">
        <v>52.39</v>
      </c>
      <c r="F6824" s="127"/>
      <c r="G6824" s="127"/>
      <c r="H6824" s="127"/>
      <c r="I6824" s="128"/>
      <c r="K6824" s="105" t="str">
        <f>IFERROR(__xludf.DUMMYFUNCTION("if(A6824="""","""",substitute(SUBSTITUTE(index(importhtml(""http://finviz.com/quote.ashx?t=""&amp;A6824,""table"",10),7,2),""*"",""""),""-"",""0.00""))"),"Loading...")</f>
        <v>Loading...</v>
      </c>
      <c r="L6824" s="129">
        <v>2.66609E7</v>
      </c>
      <c r="M6824" s="99">
        <v>0.12</v>
      </c>
    </row>
    <row r="6825">
      <c r="A6825" s="122" t="s">
        <v>14184</v>
      </c>
      <c r="B6825" s="123">
        <v>1562476.0</v>
      </c>
      <c r="C6825" s="124" t="s">
        <v>14185</v>
      </c>
      <c r="D6825" s="125"/>
      <c r="E6825" s="126">
        <v>52.39</v>
      </c>
      <c r="F6825" s="127"/>
      <c r="G6825" s="127"/>
      <c r="H6825" s="127"/>
      <c r="I6825" s="128"/>
      <c r="K6825" s="105" t="str">
        <f>IFERROR(__xludf.DUMMYFUNCTION("if(A6825="""","""",substitute(SUBSTITUTE(index(importhtml(""http://finviz.com/quote.ashx?t=""&amp;A6825,""table"",10),7,2),""*"",""""),""-"",""0.00""))"),"Loading...")</f>
        <v>Loading...</v>
      </c>
      <c r="L6825" s="129">
        <v>5.629226849E9</v>
      </c>
      <c r="M6825" s="99">
        <v>1.85</v>
      </c>
    </row>
    <row r="6826">
      <c r="A6826" s="122" t="s">
        <v>14186</v>
      </c>
      <c r="B6826" s="123">
        <v>921825.0</v>
      </c>
      <c r="C6826" s="124" t="s">
        <v>14187</v>
      </c>
      <c r="D6826" s="125"/>
      <c r="E6826" s="126">
        <v>52.41</v>
      </c>
      <c r="F6826" s="127"/>
      <c r="G6826" s="127"/>
      <c r="H6826" s="127"/>
      <c r="I6826" s="128"/>
      <c r="K6826" s="138" t="s">
        <v>10505</v>
      </c>
      <c r="L6826" s="129">
        <v>6.932527488E9</v>
      </c>
      <c r="M6826" s="99">
        <v>1.01</v>
      </c>
    </row>
    <row r="6827">
      <c r="A6827" s="122" t="s">
        <v>14188</v>
      </c>
      <c r="B6827" s="123">
        <v>864749.0</v>
      </c>
      <c r="C6827" s="124" t="s">
        <v>14189</v>
      </c>
      <c r="D6827" s="125"/>
      <c r="E6827" s="126">
        <v>52.59</v>
      </c>
      <c r="F6827" s="127"/>
      <c r="G6827" s="127"/>
      <c r="H6827" s="127"/>
      <c r="I6827" s="128"/>
      <c r="K6827" s="105" t="str">
        <f>IFERROR(__xludf.DUMMYFUNCTION("if(A6827="""","""",substitute(SUBSTITUTE(index(importhtml(""http://finviz.com/quote.ashx?t=""&amp;A6827,""table"",10),7,2),""*"",""""),""-"",""0.00""))"),"Loading...")</f>
        <v>Loading...</v>
      </c>
      <c r="L6827" s="129">
        <v>1.3082682862E10</v>
      </c>
      <c r="M6827" s="99">
        <v>1.47</v>
      </c>
    </row>
    <row r="6828">
      <c r="A6828" s="122" t="s">
        <v>14190</v>
      </c>
      <c r="B6828" s="123">
        <v>899689.0</v>
      </c>
      <c r="C6828" s="124" t="s">
        <v>14191</v>
      </c>
      <c r="D6828" s="125"/>
      <c r="E6828" s="126">
        <v>52.77</v>
      </c>
      <c r="F6828" s="127"/>
      <c r="G6828" s="127"/>
      <c r="H6828" s="127"/>
      <c r="I6828" s="128"/>
      <c r="K6828" s="105" t="str">
        <f>IFERROR(__xludf.DUMMYFUNCTION("if(A6828="""","""",substitute(SUBSTITUTE(index(importhtml(""http://finviz.com/quote.ashx?t=""&amp;A6828,""table"",10),7,2),""*"",""""),""-"",""0.00""))"),"Loading...")</f>
        <v>Loading...</v>
      </c>
      <c r="L6828" s="129">
        <v>4.994041364E9</v>
      </c>
      <c r="M6828" s="99">
        <v>1.17</v>
      </c>
    </row>
    <row r="6829">
      <c r="A6829" s="122" t="s">
        <v>14192</v>
      </c>
      <c r="B6829" s="123">
        <v>1297184.0</v>
      </c>
      <c r="C6829" s="124" t="s">
        <v>14193</v>
      </c>
      <c r="D6829" s="125"/>
      <c r="E6829" s="126">
        <v>52.8</v>
      </c>
      <c r="F6829" s="127"/>
      <c r="G6829" s="127"/>
      <c r="H6829" s="127"/>
      <c r="I6829" s="128"/>
      <c r="K6829" s="105" t="str">
        <f>IFERROR(__xludf.DUMMYFUNCTION("if(A6829="""","""",substitute(SUBSTITUTE(index(importhtml(""http://finviz.com/quote.ashx?t=""&amp;A6829,""table"",10),7,2),""*"",""""),""-"",""0.00""))"),"Loading...")</f>
        <v>Loading...</v>
      </c>
      <c r="L6829" s="129">
        <v>2.529510683E9</v>
      </c>
      <c r="M6829" s="99">
        <v>0.9</v>
      </c>
    </row>
    <row r="6830">
      <c r="A6830" s="122" t="s">
        <v>14194</v>
      </c>
      <c r="B6830" s="123">
        <v>1373670.0</v>
      </c>
      <c r="C6830" s="124" t="s">
        <v>14195</v>
      </c>
      <c r="D6830" s="125"/>
      <c r="E6830" s="126">
        <v>52.88</v>
      </c>
      <c r="F6830" s="127"/>
      <c r="G6830" s="127"/>
      <c r="H6830" s="127"/>
      <c r="I6830" s="128"/>
      <c r="K6830" s="105" t="str">
        <f>IFERROR(__xludf.DUMMYFUNCTION("if(A6830="""","""",substitute(SUBSTITUTE(index(importhtml(""http://finviz.com/quote.ashx?t=""&amp;A6830,""table"",10),7,2),""*"",""""),""-"",""0.00""))"),"Loading...")</f>
        <v>Loading...</v>
      </c>
      <c r="L6830" s="129">
        <v>2.399607196E9</v>
      </c>
      <c r="M6830" s="99">
        <v>1.43</v>
      </c>
    </row>
    <row r="6831">
      <c r="A6831" s="122" t="s">
        <v>14196</v>
      </c>
      <c r="B6831" s="123">
        <v>1767258.0</v>
      </c>
      <c r="C6831" s="124" t="s">
        <v>14197</v>
      </c>
      <c r="D6831" s="125"/>
      <c r="E6831" s="126">
        <v>52.98</v>
      </c>
      <c r="F6831" s="127"/>
      <c r="G6831" s="127"/>
      <c r="H6831" s="127"/>
      <c r="I6831" s="128"/>
      <c r="K6831" s="105" t="str">
        <f>IFERROR(__xludf.DUMMYFUNCTION("if(A6831="""","""",substitute(SUBSTITUTE(index(importhtml(""http://finviz.com/quote.ashx?t=""&amp;A6831,""table"",10),7,2),""*"",""""),""-"",""0.00""))"),"Loading...")</f>
        <v>Loading...</v>
      </c>
      <c r="L6831" s="129">
        <v>1.463781758E9</v>
      </c>
      <c r="M6831" s="99">
        <v>1.78</v>
      </c>
    </row>
    <row r="6832">
      <c r="A6832" s="122" t="s">
        <v>14198</v>
      </c>
      <c r="B6832" s="123">
        <v>1357615.0</v>
      </c>
      <c r="C6832" s="124" t="s">
        <v>14199</v>
      </c>
      <c r="D6832" s="125"/>
      <c r="E6832" s="126">
        <v>52.99</v>
      </c>
      <c r="F6832" s="127"/>
      <c r="G6832" s="127"/>
      <c r="H6832" s="127"/>
      <c r="I6832" s="128"/>
      <c r="K6832" s="105" t="str">
        <f>IFERROR(__xludf.DUMMYFUNCTION("if(A6832="""","""",substitute(SUBSTITUTE(index(importhtml(""http://finviz.com/quote.ashx?t=""&amp;A6832,""table"",10),7,2),""*"",""""),""-"",""0.00""))"),"Loading...")</f>
        <v>Loading...</v>
      </c>
      <c r="L6832" s="129">
        <v>7.153878083E9</v>
      </c>
      <c r="M6832" s="99">
        <v>0.94</v>
      </c>
    </row>
    <row r="6833">
      <c r="A6833" s="122" t="s">
        <v>14200</v>
      </c>
      <c r="B6833" s="123">
        <v>1664710.0</v>
      </c>
      <c r="C6833" s="124" t="s">
        <v>14201</v>
      </c>
      <c r="D6833" s="125"/>
      <c r="E6833" s="126">
        <v>53.02</v>
      </c>
      <c r="F6833" s="127"/>
      <c r="G6833" s="127"/>
      <c r="H6833" s="127"/>
      <c r="I6833" s="128"/>
      <c r="K6833" s="105" t="str">
        <f>IFERROR(__xludf.DUMMYFUNCTION("if(A6833="""","""",substitute(SUBSTITUTE(index(importhtml(""http://finviz.com/quote.ashx?t=""&amp;A6833,""table"",10),7,2),""*"",""""),""-"",""0.00""))"),"Loading...")</f>
        <v>Loading...</v>
      </c>
      <c r="L6833" s="129">
        <v>1.759158548E9</v>
      </c>
      <c r="M6833" s="99">
        <v>1.23</v>
      </c>
    </row>
    <row r="6834">
      <c r="A6834" s="122" t="s">
        <v>14202</v>
      </c>
      <c r="B6834" s="123">
        <v>910329.0</v>
      </c>
      <c r="C6834" s="124" t="s">
        <v>14203</v>
      </c>
      <c r="D6834" s="125"/>
      <c r="E6834" s="126">
        <v>53.04</v>
      </c>
      <c r="F6834" s="127"/>
      <c r="G6834" s="127"/>
      <c r="H6834" s="127"/>
      <c r="I6834" s="128"/>
      <c r="K6834" s="105" t="str">
        <f>IFERROR(__xludf.DUMMYFUNCTION("if(A6834="""","""",substitute(SUBSTITUTE(index(importhtml(""http://finviz.com/quote.ashx?t=""&amp;A6834,""table"",10),7,2),""*"",""""),""-"",""0.00""))"),"Loading...")</f>
        <v>Loading...</v>
      </c>
      <c r="L6834" s="129">
        <v>5.77743513E8</v>
      </c>
      <c r="M6834" s="99">
        <v>1.22</v>
      </c>
    </row>
    <row r="6835">
      <c r="A6835" s="122" t="s">
        <v>14204</v>
      </c>
      <c r="B6835" s="123">
        <v>1755672.0</v>
      </c>
      <c r="C6835" s="124" t="s">
        <v>14205</v>
      </c>
      <c r="D6835" s="125"/>
      <c r="E6835" s="126">
        <v>53.04</v>
      </c>
      <c r="F6835" s="127"/>
      <c r="G6835" s="127"/>
      <c r="H6835" s="127"/>
      <c r="I6835" s="128"/>
      <c r="K6835" s="105" t="str">
        <f>IFERROR(__xludf.DUMMYFUNCTION("if(A6835="""","""",substitute(SUBSTITUTE(index(importhtml(""http://finviz.com/quote.ashx?t=""&amp;A6835,""table"",10),7,2),""*"",""""),""-"",""0.00""))"),"Loading...")</f>
        <v>Loading...</v>
      </c>
      <c r="L6835" s="129">
        <v>3.809765E10</v>
      </c>
      <c r="M6835" s="99">
        <v>0.75</v>
      </c>
    </row>
    <row r="6836">
      <c r="A6836" s="122" t="s">
        <v>14206</v>
      </c>
      <c r="B6836" s="123">
        <v>877860.0</v>
      </c>
      <c r="C6836" s="124" t="s">
        <v>14207</v>
      </c>
      <c r="D6836" s="125"/>
      <c r="E6836" s="126">
        <v>53.11</v>
      </c>
      <c r="F6836" s="127"/>
      <c r="G6836" s="127"/>
      <c r="H6836" s="127"/>
      <c r="I6836" s="128"/>
      <c r="K6836" s="105" t="str">
        <f>IFERROR(__xludf.DUMMYFUNCTION("if(A6836="""","""",substitute(SUBSTITUTE(index(importhtml(""http://finviz.com/quote.ashx?t=""&amp;A6836,""table"",10),7,2),""*"",""""),""-"",""0.00""))"),"Loading...")</f>
        <v>Loading...</v>
      </c>
      <c r="L6836" s="129">
        <v>2.305496097E9</v>
      </c>
      <c r="M6836" s="99">
        <v>0.92</v>
      </c>
    </row>
    <row r="6837">
      <c r="A6837" s="122" t="s">
        <v>14208</v>
      </c>
      <c r="B6837" s="123">
        <v>88948.0</v>
      </c>
      <c r="C6837" s="124" t="s">
        <v>14209</v>
      </c>
      <c r="D6837" s="125"/>
      <c r="E6837" s="126">
        <v>53.2</v>
      </c>
      <c r="F6837" s="127"/>
      <c r="G6837" s="127"/>
      <c r="H6837" s="127"/>
      <c r="I6837" s="128"/>
      <c r="K6837" s="105" t="str">
        <f>IFERROR(__xludf.DUMMYFUNCTION("if(A6837="""","""",substitute(SUBSTITUTE(index(importhtml(""http://finviz.com/quote.ashx?t=""&amp;A6837,""table"",10),7,2),""*"",""""),""-"",""0.00""))"),"Loading...")</f>
        <v>Loading...</v>
      </c>
      <c r="L6837" s="129">
        <v>3.86111645E8</v>
      </c>
      <c r="M6837" s="99">
        <v>0.39</v>
      </c>
    </row>
    <row r="6838">
      <c r="A6838" s="122" t="s">
        <v>14210</v>
      </c>
      <c r="B6838" s="123">
        <v>1520006.0</v>
      </c>
      <c r="C6838" s="124" t="s">
        <v>14211</v>
      </c>
      <c r="D6838" s="125"/>
      <c r="E6838" s="126">
        <v>53.23</v>
      </c>
      <c r="F6838" s="127"/>
      <c r="G6838" s="127"/>
      <c r="H6838" s="127"/>
      <c r="I6838" s="128"/>
      <c r="K6838" s="105" t="str">
        <f>IFERROR(__xludf.DUMMYFUNCTION("if(A6838="""","""",substitute(SUBSTITUTE(index(importhtml(""http://finviz.com/quote.ashx?t=""&amp;A6838,""table"",10),7,2),""*"",""""),""-"",""0.00""))"),"Loading...")</f>
        <v>Loading...</v>
      </c>
      <c r="L6838" s="129">
        <v>6.341550672E9</v>
      </c>
      <c r="M6838" s="99">
        <v>3.32</v>
      </c>
    </row>
    <row r="6839">
      <c r="A6839" s="122" t="s">
        <v>14212</v>
      </c>
      <c r="B6839" s="123">
        <v>1299709.0</v>
      </c>
      <c r="C6839" s="124" t="s">
        <v>14213</v>
      </c>
      <c r="D6839" s="125"/>
      <c r="E6839" s="126">
        <v>53.3</v>
      </c>
      <c r="F6839" s="127"/>
      <c r="G6839" s="127"/>
      <c r="H6839" s="127"/>
      <c r="I6839" s="128"/>
      <c r="K6839" s="55" t="s">
        <v>1034</v>
      </c>
      <c r="L6839" s="129">
        <v>2.867120419E9</v>
      </c>
      <c r="M6839" s="99">
        <f>IFERROR(__xludf.DUMMYFUNCTION("GOOGLEFINANCE(A6839,""beta"")"),1.35)</f>
        <v>1.35</v>
      </c>
    </row>
    <row r="6840">
      <c r="A6840" s="122" t="s">
        <v>14214</v>
      </c>
      <c r="B6840" s="123">
        <v>1341766.0</v>
      </c>
      <c r="C6840" s="124" t="s">
        <v>14215</v>
      </c>
      <c r="D6840" s="125"/>
      <c r="E6840" s="126">
        <v>53.35</v>
      </c>
      <c r="F6840" s="127"/>
      <c r="G6840" s="127"/>
      <c r="H6840" s="127"/>
      <c r="I6840" s="128"/>
      <c r="K6840" s="105" t="str">
        <f>IFERROR(__xludf.DUMMYFUNCTION("if(A6840="""","""",substitute(SUBSTITUTE(index(importhtml(""http://finviz.com/quote.ashx?t=""&amp;A6840,""table"",10),7,2),""*"",""""),""-"",""0.00""))"),"Loading...")</f>
        <v>Loading...</v>
      </c>
      <c r="L6840" s="129">
        <v>1.2359855561E10</v>
      </c>
      <c r="M6840" s="99">
        <v>1.73</v>
      </c>
    </row>
    <row r="6841">
      <c r="A6841" s="122" t="s">
        <v>14216</v>
      </c>
      <c r="B6841" s="123">
        <v>315709.0</v>
      </c>
      <c r="C6841" s="124" t="s">
        <v>14217</v>
      </c>
      <c r="D6841" s="125"/>
      <c r="E6841" s="126">
        <v>53.38</v>
      </c>
      <c r="F6841" s="127"/>
      <c r="G6841" s="127"/>
      <c r="H6841" s="127"/>
      <c r="I6841" s="128"/>
      <c r="K6841" s="105" t="str">
        <f>IFERROR(__xludf.DUMMYFUNCTION("if(A6841="""","""",substitute(SUBSTITUTE(index(importhtml(""http://finviz.com/quote.ashx?t=""&amp;A6841,""table"",10),7,2),""*"",""""),""-"",""0.00""))"),"Loading...")</f>
        <v>Loading...</v>
      </c>
      <c r="L6841" s="129">
        <v>3.312680127E9</v>
      </c>
      <c r="M6841" s="99">
        <v>0.93</v>
      </c>
    </row>
    <row r="6842">
      <c r="A6842" s="122" t="s">
        <v>14218</v>
      </c>
      <c r="B6842" s="123">
        <v>1751788.0</v>
      </c>
      <c r="C6842" s="124" t="s">
        <v>14219</v>
      </c>
      <c r="D6842" s="125"/>
      <c r="E6842" s="126">
        <v>53.42</v>
      </c>
      <c r="F6842" s="127"/>
      <c r="G6842" s="127"/>
      <c r="H6842" s="127"/>
      <c r="I6842" s="128"/>
      <c r="K6842" s="55" t="s">
        <v>14220</v>
      </c>
      <c r="L6842" s="129">
        <v>3.7516512142E10</v>
      </c>
      <c r="M6842" s="99">
        <v>1.32</v>
      </c>
    </row>
    <row r="6843">
      <c r="A6843" s="122" t="s">
        <v>14221</v>
      </c>
      <c r="B6843" s="123">
        <v>1842022.0</v>
      </c>
      <c r="C6843" s="124" t="s">
        <v>14222</v>
      </c>
      <c r="D6843" s="125"/>
      <c r="E6843" s="126">
        <v>53.48</v>
      </c>
      <c r="F6843" s="127"/>
      <c r="G6843" s="127"/>
      <c r="H6843" s="127"/>
      <c r="I6843" s="128"/>
      <c r="K6843" s="55" t="s">
        <v>14223</v>
      </c>
      <c r="L6843" s="129">
        <v>5.186010105E9</v>
      </c>
      <c r="M6843" s="99">
        <f>IFERROR(__xludf.DUMMYFUNCTION("GOOGLEFINANCE(A6843,""beta"")"),0.78)</f>
        <v>0.78</v>
      </c>
    </row>
    <row r="6844">
      <c r="A6844" s="122" t="s">
        <v>14224</v>
      </c>
      <c r="B6844" s="123">
        <v>1293310.0</v>
      </c>
      <c r="C6844" s="124" t="s">
        <v>14225</v>
      </c>
      <c r="D6844" s="125"/>
      <c r="E6844" s="126">
        <v>53.8</v>
      </c>
      <c r="F6844" s="127"/>
      <c r="G6844" s="127"/>
      <c r="H6844" s="127"/>
      <c r="I6844" s="128"/>
      <c r="K6844" s="105" t="str">
        <f>IFERROR(__xludf.DUMMYFUNCTION("if(A6844="""","""",substitute(SUBSTITUTE(index(importhtml(""http://finviz.com/quote.ashx?t=""&amp;A6844,""table"",10),7,2),""*"",""""),""-"",""0.00""))"),"Loading...")</f>
        <v>Loading...</v>
      </c>
      <c r="L6844" s="129">
        <v>6.9305159E7</v>
      </c>
      <c r="M6844" s="99" t="str">
        <f>IFERROR(__xludf.DUMMYFUNCTION("GOOGLEFINANCE(A6844,""beta"")"),"#N/A")</f>
        <v>#N/A</v>
      </c>
    </row>
    <row r="6845">
      <c r="A6845" s="122" t="s">
        <v>14226</v>
      </c>
      <c r="B6845" s="123">
        <v>6845.0</v>
      </c>
      <c r="C6845" s="124" t="s">
        <v>14227</v>
      </c>
      <c r="D6845" s="125"/>
      <c r="E6845" s="126">
        <v>53.82</v>
      </c>
      <c r="F6845" s="127"/>
      <c r="G6845" s="127"/>
      <c r="H6845" s="127"/>
      <c r="I6845" s="128"/>
      <c r="K6845" s="105" t="str">
        <f>IFERROR(__xludf.DUMMYFUNCTION("if(A6845="""","""",substitute(SUBSTITUTE(index(importhtml(""http://finviz.com/quote.ashx?t=""&amp;A6845,""table"",10),7,2),""*"",""""),""-"",""0.00""))"),"Loading...")</f>
        <v>Loading...</v>
      </c>
      <c r="L6845" s="129">
        <v>1.188619537E9</v>
      </c>
      <c r="M6845" s="99">
        <v>1.1</v>
      </c>
    </row>
    <row r="6846">
      <c r="A6846" s="122" t="s">
        <v>14228</v>
      </c>
      <c r="B6846" s="123">
        <v>1529864.0</v>
      </c>
      <c r="C6846" s="124" t="s">
        <v>14229</v>
      </c>
      <c r="D6846" s="125"/>
      <c r="E6846" s="126">
        <v>53.98</v>
      </c>
      <c r="F6846" s="127"/>
      <c r="G6846" s="127"/>
      <c r="H6846" s="127"/>
      <c r="I6846" s="128"/>
      <c r="K6846" s="105" t="str">
        <f>IFERROR(__xludf.DUMMYFUNCTION("if(A6846="""","""",substitute(SUBSTITUTE(index(importhtml(""http://finviz.com/quote.ashx?t=""&amp;A6846,""table"",10),7,2),""*"",""""),""-"",""0.00""))"),"Loading...")</f>
        <v>Loading...</v>
      </c>
      <c r="L6846" s="129">
        <v>1.612315651E9</v>
      </c>
      <c r="M6846" s="99">
        <v>1.54</v>
      </c>
    </row>
    <row r="6847">
      <c r="A6847" s="122" t="s">
        <v>14230</v>
      </c>
      <c r="B6847" s="123">
        <v>1322439.0</v>
      </c>
      <c r="C6847" s="124" t="s">
        <v>14231</v>
      </c>
      <c r="D6847" s="125"/>
      <c r="E6847" s="126">
        <v>54.0</v>
      </c>
      <c r="F6847" s="127"/>
      <c r="G6847" s="127"/>
      <c r="H6847" s="127"/>
      <c r="I6847" s="128"/>
      <c r="K6847" s="105" t="str">
        <f>IFERROR(__xludf.DUMMYFUNCTION("if(A6847="""","""",substitute(SUBSTITUTE(index(importhtml(""http://finviz.com/quote.ashx?t=""&amp;A6847,""table"",10),7,2),""*"",""""),""-"",""0.00""))"),"Loading...")</f>
        <v>Loading...</v>
      </c>
      <c r="L6847" s="129">
        <v>5.36333022E8</v>
      </c>
      <c r="M6847" s="99">
        <v>1.33</v>
      </c>
    </row>
    <row r="6848">
      <c r="A6848" s="122" t="s">
        <v>14232</v>
      </c>
      <c r="B6848" s="123">
        <v>1521036.0</v>
      </c>
      <c r="C6848" s="124" t="s">
        <v>14233</v>
      </c>
      <c r="D6848" s="125"/>
      <c r="E6848" s="126">
        <v>54.0</v>
      </c>
      <c r="F6848" s="127"/>
      <c r="G6848" s="127"/>
      <c r="H6848" s="127"/>
      <c r="I6848" s="128"/>
      <c r="K6848" s="105" t="str">
        <f>IFERROR(__xludf.DUMMYFUNCTION("if(A6848="""","""",substitute(SUBSTITUTE(index(importhtml(""http://finviz.com/quote.ashx?t=""&amp;A6848,""table"",10),7,2),""*"",""""),""-"",""0.00""))"),"Loading...")</f>
        <v>Loading...</v>
      </c>
      <c r="L6848" s="129">
        <v>3.6984141E9</v>
      </c>
      <c r="M6848" s="99">
        <v>0.53</v>
      </c>
    </row>
    <row r="6849">
      <c r="A6849" s="122" t="s">
        <v>14234</v>
      </c>
      <c r="B6849" s="123">
        <v>88948.0</v>
      </c>
      <c r="C6849" s="124" t="s">
        <v>14235</v>
      </c>
      <c r="D6849" s="125"/>
      <c r="E6849" s="126">
        <v>54.04</v>
      </c>
      <c r="F6849" s="127"/>
      <c r="G6849" s="127"/>
      <c r="H6849" s="127"/>
      <c r="I6849" s="128"/>
      <c r="K6849" s="105" t="str">
        <f>IFERROR(__xludf.DUMMYFUNCTION("if(A6849="""","""",substitute(SUBSTITUTE(index(importhtml(""http://finviz.com/quote.ashx?t=""&amp;A6849,""table"",10),7,2),""*"",""""),""-"",""0.00""))"),"Loading...")</f>
        <v>Loading...</v>
      </c>
      <c r="L6849" s="129">
        <v>3.86111645E8</v>
      </c>
      <c r="M6849" s="99">
        <v>0.34</v>
      </c>
    </row>
    <row r="6850">
      <c r="A6850" s="122" t="s">
        <v>14236</v>
      </c>
      <c r="B6850" s="123">
        <v>1571283.0</v>
      </c>
      <c r="C6850" s="124" t="s">
        <v>14237</v>
      </c>
      <c r="D6850" s="125"/>
      <c r="E6850" s="126">
        <v>54.09</v>
      </c>
      <c r="F6850" s="127"/>
      <c r="G6850" s="127"/>
      <c r="H6850" s="127"/>
      <c r="I6850" s="128"/>
      <c r="K6850" s="105" t="str">
        <f>IFERROR(__xludf.DUMMYFUNCTION("if(A6850="""","""",substitute(SUBSTITUTE(index(importhtml(""http://finviz.com/quote.ashx?t=""&amp;A6850,""table"",10),7,2),""*"",""""),""-"",""0.00""))"),"Loading...")</f>
        <v>Loading...</v>
      </c>
      <c r="L6850" s="129">
        <v>1.1418252989E10</v>
      </c>
      <c r="M6850" s="99">
        <v>0.88</v>
      </c>
    </row>
    <row r="6851">
      <c r="A6851" s="122" t="s">
        <v>14238</v>
      </c>
      <c r="B6851" s="123">
        <v>726728.0</v>
      </c>
      <c r="C6851" s="124" t="s">
        <v>14239</v>
      </c>
      <c r="D6851" s="125"/>
      <c r="E6851" s="126">
        <v>54.19</v>
      </c>
      <c r="F6851" s="127"/>
      <c r="G6851" s="127"/>
      <c r="H6851" s="127"/>
      <c r="I6851" s="128"/>
      <c r="K6851" s="138" t="s">
        <v>14240</v>
      </c>
      <c r="L6851" s="129">
        <v>4.5075912813E10</v>
      </c>
      <c r="M6851" s="99">
        <v>0.95</v>
      </c>
    </row>
    <row r="6852">
      <c r="A6852" s="122" t="s">
        <v>14241</v>
      </c>
      <c r="B6852" s="123">
        <v>798359.0</v>
      </c>
      <c r="C6852" s="124" t="s">
        <v>14242</v>
      </c>
      <c r="D6852" s="125"/>
      <c r="E6852" s="126">
        <v>54.34</v>
      </c>
      <c r="F6852" s="127"/>
      <c r="G6852" s="127"/>
      <c r="H6852" s="127"/>
      <c r="I6852" s="128"/>
      <c r="K6852" s="55" t="s">
        <v>14243</v>
      </c>
      <c r="L6852" s="129">
        <v>8.17955025E8</v>
      </c>
      <c r="M6852" s="99">
        <v>0.92</v>
      </c>
    </row>
    <row r="6853">
      <c r="A6853" s="122" t="s">
        <v>14244</v>
      </c>
      <c r="B6853" s="123">
        <v>927971.0</v>
      </c>
      <c r="C6853" s="124" t="s">
        <v>14245</v>
      </c>
      <c r="D6853" s="125"/>
      <c r="E6853" s="126">
        <v>54.38</v>
      </c>
      <c r="F6853" s="127"/>
      <c r="G6853" s="127"/>
      <c r="H6853" s="127"/>
      <c r="I6853" s="128"/>
      <c r="K6853" s="105" t="str">
        <f>IFERROR(__xludf.DUMMYFUNCTION("if(A6853="""","""",substitute(SUBSTITUTE(index(importhtml(""http://finviz.com/quote.ashx?t=""&amp;A6853,""table"",10),7,2),""*"",""""),""-"",""0.00""))"),"Loading...")</f>
        <v>Loading...</v>
      </c>
      <c r="L6853" s="129">
        <v>6.7808877943E10</v>
      </c>
      <c r="M6853" s="99" t="str">
        <f>IFERROR(__xludf.DUMMYFUNCTION("GOOGLEFINANCE(A6853,""beta"")"),"#N/A")</f>
        <v>#N/A</v>
      </c>
    </row>
    <row r="6854">
      <c r="A6854" s="122" t="s">
        <v>14246</v>
      </c>
      <c r="B6854" s="123">
        <v>833444.0</v>
      </c>
      <c r="C6854" s="124" t="s">
        <v>14247</v>
      </c>
      <c r="D6854" s="125"/>
      <c r="E6854" s="126">
        <v>54.45</v>
      </c>
      <c r="F6854" s="127"/>
      <c r="G6854" s="127"/>
      <c r="H6854" s="127"/>
      <c r="I6854" s="128"/>
      <c r="K6854" s="105" t="str">
        <f>IFERROR(__xludf.DUMMYFUNCTION("if(A6854="""","""",substitute(SUBSTITUTE(index(importhtml(""http://finviz.com/quote.ashx?t=""&amp;A6854,""table"",10),7,2),""*"",""""),""-"",""0.00""))"),"Loading...")</f>
        <v>Loading...</v>
      </c>
      <c r="L6854" s="129">
        <v>3.7107528504E10</v>
      </c>
      <c r="M6854" s="99">
        <v>1.22</v>
      </c>
    </row>
    <row r="6855">
      <c r="A6855" s="122" t="s">
        <v>14248</v>
      </c>
      <c r="B6855" s="123">
        <v>1596783.0</v>
      </c>
      <c r="C6855" s="124" t="s">
        <v>14249</v>
      </c>
      <c r="D6855" s="125"/>
      <c r="E6855" s="126">
        <v>54.51</v>
      </c>
      <c r="F6855" s="127"/>
      <c r="G6855" s="127"/>
      <c r="H6855" s="127"/>
      <c r="I6855" s="128"/>
      <c r="K6855" s="105" t="str">
        <f>IFERROR(__xludf.DUMMYFUNCTION("if(A6855="""","""",substitute(SUBSTITUTE(index(importhtml(""http://finviz.com/quote.ashx?t=""&amp;A6855,""table"",10),7,2),""*"",""""),""-"",""0.00""))"),"Loading...")</f>
        <v>Loading...</v>
      </c>
      <c r="L6855" s="129">
        <v>9.846751508E9</v>
      </c>
      <c r="M6855" s="99">
        <v>1.2</v>
      </c>
    </row>
    <row r="6856">
      <c r="A6856" s="122" t="s">
        <v>14250</v>
      </c>
      <c r="B6856" s="123">
        <v>936395.0</v>
      </c>
      <c r="C6856" s="124" t="s">
        <v>14251</v>
      </c>
      <c r="D6856" s="125"/>
      <c r="E6856" s="126">
        <v>54.62</v>
      </c>
      <c r="F6856" s="127"/>
      <c r="G6856" s="127"/>
      <c r="H6856" s="127"/>
      <c r="I6856" s="128"/>
      <c r="K6856" s="105" t="str">
        <f>IFERROR(__xludf.DUMMYFUNCTION("if(A6856="""","""",substitute(SUBSTITUTE(index(importhtml(""http://finviz.com/quote.ashx?t=""&amp;A6856,""table"",10),7,2),""*"",""""),""-"",""0.00""))"),"Loading...")</f>
        <v>Loading...</v>
      </c>
      <c r="L6856" s="129">
        <v>7.910630831E9</v>
      </c>
      <c r="M6856" s="99">
        <v>1.01</v>
      </c>
    </row>
    <row r="6857">
      <c r="A6857" s="122" t="s">
        <v>14252</v>
      </c>
      <c r="B6857" s="123">
        <v>1448893.0</v>
      </c>
      <c r="C6857" s="124" t="s">
        <v>14253</v>
      </c>
      <c r="D6857" s="125"/>
      <c r="E6857" s="126">
        <v>54.71</v>
      </c>
      <c r="F6857" s="127"/>
      <c r="G6857" s="127"/>
      <c r="H6857" s="127"/>
      <c r="I6857" s="128"/>
      <c r="K6857" s="105" t="str">
        <f>IFERROR(__xludf.DUMMYFUNCTION("if(A6857="""","""",substitute(SUBSTITUTE(index(importhtml(""http://finviz.com/quote.ashx?t=""&amp;A6857,""table"",10),7,2),""*"",""""),""-"",""0.00""))"),"Loading...")</f>
        <v>Loading...</v>
      </c>
      <c r="L6857" s="129">
        <v>5.840834031E9</v>
      </c>
      <c r="M6857" s="99">
        <v>1.06</v>
      </c>
    </row>
    <row r="6858">
      <c r="A6858" s="122" t="s">
        <v>14254</v>
      </c>
      <c r="B6858" s="123">
        <v>1013871.0</v>
      </c>
      <c r="C6858" s="124" t="s">
        <v>14255</v>
      </c>
      <c r="D6858" s="125"/>
      <c r="E6858" s="126">
        <v>54.73</v>
      </c>
      <c r="F6858" s="127"/>
      <c r="G6858" s="127"/>
      <c r="H6858" s="127"/>
      <c r="I6858" s="128"/>
      <c r="K6858" s="105" t="str">
        <f>IFERROR(__xludf.DUMMYFUNCTION("if(A6858="""","""",substitute(SUBSTITUTE(index(importhtml(""http://finviz.com/quote.ashx?t=""&amp;A6858,""table"",10),7,2),""*"",""""),""-"",""0.00""))"),"Loading...")</f>
        <v>Loading...</v>
      </c>
      <c r="L6858" s="129">
        <v>1.2356085508E10</v>
      </c>
      <c r="M6858" s="99">
        <v>1.11</v>
      </c>
    </row>
    <row r="6859">
      <c r="A6859" s="122" t="s">
        <v>14256</v>
      </c>
      <c r="B6859" s="123">
        <v>1144967.0</v>
      </c>
      <c r="C6859" s="124" t="s">
        <v>14257</v>
      </c>
      <c r="D6859" s="125"/>
      <c r="E6859" s="126">
        <v>54.8</v>
      </c>
      <c r="F6859" s="127"/>
      <c r="G6859" s="127"/>
      <c r="H6859" s="127"/>
      <c r="I6859" s="128"/>
      <c r="K6859" s="105" t="str">
        <f>IFERROR(__xludf.DUMMYFUNCTION("if(A6859="""","""",substitute(SUBSTITUTE(index(importhtml(""http://finviz.com/quote.ashx?t=""&amp;A6859,""table"",10),7,2),""*"",""""),""-"",""0.00""))"),"Loading...")</f>
        <v>Loading...</v>
      </c>
      <c r="L6859" s="129">
        <v>1.29636028995E11</v>
      </c>
      <c r="M6859" s="99">
        <v>0.9</v>
      </c>
    </row>
    <row r="6860">
      <c r="A6860" s="122" t="s">
        <v>14258</v>
      </c>
      <c r="B6860" s="123">
        <v>1339605.0</v>
      </c>
      <c r="C6860" s="124" t="s">
        <v>14259</v>
      </c>
      <c r="D6860" s="125"/>
      <c r="E6860" s="126">
        <v>54.84</v>
      </c>
      <c r="F6860" s="127"/>
      <c r="G6860" s="127"/>
      <c r="H6860" s="127"/>
      <c r="I6860" s="128"/>
      <c r="K6860" s="105" t="str">
        <f>IFERROR(__xludf.DUMMYFUNCTION("if(A6860="""","""",substitute(SUBSTITUTE(index(importhtml(""http://finviz.com/quote.ashx?t=""&amp;A6860,""table"",10),7,2),""*"",""""),""-"",""0.00""))"),"Loading...")</f>
        <v>Loading...</v>
      </c>
      <c r="L6860" s="129">
        <v>1.998913069E9</v>
      </c>
      <c r="M6860" s="99">
        <v>1.95</v>
      </c>
    </row>
    <row r="6861">
      <c r="A6861" s="122" t="s">
        <v>14260</v>
      </c>
      <c r="B6861" s="123">
        <v>1852244.0</v>
      </c>
      <c r="C6861" s="124" t="s">
        <v>14261</v>
      </c>
      <c r="D6861" s="125"/>
      <c r="E6861" s="126">
        <v>54.88</v>
      </c>
      <c r="F6861" s="127"/>
      <c r="G6861" s="127"/>
      <c r="H6861" s="127"/>
      <c r="I6861" s="128"/>
      <c r="K6861" s="105" t="str">
        <f>IFERROR(__xludf.DUMMYFUNCTION("if(A6861="""","""",substitute(SUBSTITUTE(index(importhtml(""http://finviz.com/quote.ashx?t=""&amp;A6861,""table"",10),7,2),""*"",""""),""-"",""0.00""))"),"Loading...")</f>
        <v>Loading...</v>
      </c>
      <c r="L6861" s="129">
        <v>6.528245039E9</v>
      </c>
      <c r="M6861" s="99">
        <f>IFERROR(__xludf.DUMMYFUNCTION("GOOGLEFINANCE(A6861,""beta"")"),1.71)</f>
        <v>1.71</v>
      </c>
    </row>
    <row r="6862">
      <c r="A6862" s="122" t="s">
        <v>14262</v>
      </c>
      <c r="B6862" s="123">
        <v>1045609.0</v>
      </c>
      <c r="C6862" s="124" t="s">
        <v>14263</v>
      </c>
      <c r="D6862" s="125"/>
      <c r="E6862" s="126">
        <v>55.0</v>
      </c>
      <c r="F6862" s="127"/>
      <c r="G6862" s="127"/>
      <c r="H6862" s="127"/>
      <c r="I6862" s="128"/>
      <c r="K6862" s="105" t="str">
        <f>IFERROR(__xludf.DUMMYFUNCTION("if(A6862="""","""",substitute(SUBSTITUTE(index(importhtml(""http://finviz.com/quote.ashx?t=""&amp;A6862,""table"",10),7,2),""*"",""""),""-"",""0.00""))"),"Loading...")</f>
        <v>Loading...</v>
      </c>
      <c r="L6862" s="129">
        <v>1.19423264675E11</v>
      </c>
      <c r="M6862" s="99">
        <v>0.01</v>
      </c>
    </row>
    <row r="6863">
      <c r="A6863" s="122" t="s">
        <v>14264</v>
      </c>
      <c r="B6863" s="123">
        <v>55067.0</v>
      </c>
      <c r="C6863" s="124" t="s">
        <v>14265</v>
      </c>
      <c r="D6863" s="125"/>
      <c r="E6863" s="126">
        <v>55.06</v>
      </c>
      <c r="F6863" s="127"/>
      <c r="G6863" s="127"/>
      <c r="H6863" s="127"/>
      <c r="I6863" s="128"/>
      <c r="K6863" s="138" t="s">
        <v>14266</v>
      </c>
      <c r="L6863" s="129">
        <v>1.8859135152E10</v>
      </c>
      <c r="M6863" s="99">
        <v>0.4</v>
      </c>
    </row>
    <row r="6864">
      <c r="A6864" s="122" t="s">
        <v>14267</v>
      </c>
      <c r="B6864" s="123">
        <v>1525769.0</v>
      </c>
      <c r="C6864" s="124" t="s">
        <v>14268</v>
      </c>
      <c r="D6864" s="125"/>
      <c r="E6864" s="126">
        <v>55.19</v>
      </c>
      <c r="F6864" s="127"/>
      <c r="G6864" s="127"/>
      <c r="H6864" s="127"/>
      <c r="I6864" s="128"/>
      <c r="K6864" s="105" t="str">
        <f>IFERROR(__xludf.DUMMYFUNCTION("if(A6864="""","""",substitute(SUBSTITUTE(index(importhtml(""http://finviz.com/quote.ashx?t=""&amp;A6864,""table"",10),7,2),""*"",""""),""-"",""0.00""))"),"Loading...")</f>
        <v>Loading...</v>
      </c>
      <c r="L6864" s="129">
        <v>2.218038029E9</v>
      </c>
      <c r="M6864" s="99">
        <v>2.06</v>
      </c>
    </row>
    <row r="6865">
      <c r="A6865" s="122" t="s">
        <v>14269</v>
      </c>
      <c r="B6865" s="123">
        <v>72741.0</v>
      </c>
      <c r="C6865" s="124" t="s">
        <v>14270</v>
      </c>
      <c r="D6865" s="125"/>
      <c r="E6865" s="126">
        <v>55.2</v>
      </c>
      <c r="F6865" s="127"/>
      <c r="G6865" s="127"/>
      <c r="H6865" s="127"/>
      <c r="I6865" s="128"/>
      <c r="K6865" s="138" t="s">
        <v>14271</v>
      </c>
      <c r="L6865" s="129">
        <v>1.9282800986E10</v>
      </c>
      <c r="M6865" s="99">
        <v>0.57</v>
      </c>
    </row>
    <row r="6866">
      <c r="A6866" s="122" t="s">
        <v>14272</v>
      </c>
      <c r="B6866" s="123">
        <v>1166691.0</v>
      </c>
      <c r="C6866" s="124" t="s">
        <v>14273</v>
      </c>
      <c r="D6866" s="125"/>
      <c r="E6866" s="126">
        <v>55.24</v>
      </c>
      <c r="F6866" s="127"/>
      <c r="G6866" s="127"/>
      <c r="H6866" s="127"/>
      <c r="I6866" s="128"/>
      <c r="K6866" s="105" t="str">
        <f>IFERROR(__xludf.DUMMYFUNCTION("if(A6866="""","""",substitute(SUBSTITUTE(index(importhtml(""http://finviz.com/quote.ashx?t=""&amp;A6866,""table"",10),7,2),""*"",""""),""-"",""0.00""))"),"Loading...")</f>
        <v>Loading...</v>
      </c>
      <c r="L6866" s="129" t="e">
        <v>#N/A</v>
      </c>
      <c r="M6866" s="99">
        <v>-0.16</v>
      </c>
    </row>
    <row r="6867">
      <c r="A6867" s="122" t="s">
        <v>14274</v>
      </c>
      <c r="B6867" s="123">
        <v>1821586.0</v>
      </c>
      <c r="C6867" s="124" t="s">
        <v>14275</v>
      </c>
      <c r="D6867" s="125"/>
      <c r="E6867" s="126">
        <v>55.25</v>
      </c>
      <c r="F6867" s="127"/>
      <c r="G6867" s="127"/>
      <c r="H6867" s="127"/>
      <c r="I6867" s="128"/>
      <c r="K6867" s="105" t="str">
        <f>IFERROR(__xludf.DUMMYFUNCTION("if(A6867="""","""",substitute(SUBSTITUTE(index(importhtml(""http://finviz.com/quote.ashx?t=""&amp;A6867,""table"",10),7,2),""*"",""""),""-"",""0.00""))"),"Loading...")</f>
        <v>Loading...</v>
      </c>
      <c r="L6867" s="129">
        <v>3.31171373E9</v>
      </c>
      <c r="M6867" s="99">
        <v>1.31</v>
      </c>
    </row>
    <row r="6868">
      <c r="A6868" s="122" t="s">
        <v>14276</v>
      </c>
      <c r="B6868" s="123">
        <v>1709048.0</v>
      </c>
      <c r="C6868" s="124" t="s">
        <v>14277</v>
      </c>
      <c r="D6868" s="125"/>
      <c r="E6868" s="126">
        <v>55.27</v>
      </c>
      <c r="F6868" s="127"/>
      <c r="G6868" s="127"/>
      <c r="H6868" s="127"/>
      <c r="I6868" s="128"/>
      <c r="K6868" s="55" t="s">
        <v>1034</v>
      </c>
      <c r="L6868" s="129">
        <v>3.0575308983E10</v>
      </c>
      <c r="M6868" s="99">
        <f>IFERROR(__xludf.DUMMYFUNCTION("GOOGLEFINANCE(A6868,""beta"")"),1.49)</f>
        <v>1.49</v>
      </c>
    </row>
    <row r="6869">
      <c r="A6869" s="122" t="s">
        <v>14278</v>
      </c>
      <c r="B6869" s="123">
        <v>739421.0</v>
      </c>
      <c r="C6869" s="124" t="s">
        <v>14279</v>
      </c>
      <c r="D6869" s="125"/>
      <c r="E6869" s="126">
        <v>55.31</v>
      </c>
      <c r="F6869" s="127"/>
      <c r="G6869" s="127"/>
      <c r="H6869" s="127"/>
      <c r="I6869" s="128"/>
      <c r="K6869" s="105" t="str">
        <f>IFERROR(__xludf.DUMMYFUNCTION("if(A6869="""","""",substitute(SUBSTITUTE(index(importhtml(""http://finviz.com/quote.ashx?t=""&amp;A6869,""table"",10),7,2),""*"",""""),""-"",""0.00""))"),"Loading...")</f>
        <v>Loading...</v>
      </c>
      <c r="L6869" s="129">
        <v>2.60343789E8</v>
      </c>
      <c r="M6869" s="99">
        <v>0.37</v>
      </c>
    </row>
    <row r="6870">
      <c r="A6870" s="122" t="s">
        <v>14280</v>
      </c>
      <c r="B6870" s="123">
        <v>865752.0</v>
      </c>
      <c r="C6870" s="124" t="s">
        <v>14281</v>
      </c>
      <c r="D6870" s="125"/>
      <c r="E6870" s="126">
        <v>55.35</v>
      </c>
      <c r="F6870" s="127"/>
      <c r="G6870" s="127"/>
      <c r="H6870" s="127"/>
      <c r="I6870" s="128"/>
      <c r="K6870" s="105" t="str">
        <f>IFERROR(__xludf.DUMMYFUNCTION("if(A6870="""","""",substitute(SUBSTITUTE(index(importhtml(""http://finviz.com/quote.ashx?t=""&amp;A6870,""table"",10),7,2),""*"",""""),""-"",""0.00""))"),"Loading...")</f>
        <v>Loading...</v>
      </c>
      <c r="L6870" s="129">
        <v>5.7588407762E10</v>
      </c>
      <c r="M6870" s="99">
        <v>0.72</v>
      </c>
    </row>
    <row r="6871">
      <c r="A6871" s="122" t="s">
        <v>14282</v>
      </c>
      <c r="B6871" s="123">
        <v>1023024.0</v>
      </c>
      <c r="C6871" s="124" t="s">
        <v>14283</v>
      </c>
      <c r="D6871" s="125"/>
      <c r="E6871" s="126">
        <v>55.42</v>
      </c>
      <c r="F6871" s="127"/>
      <c r="G6871" s="127"/>
      <c r="H6871" s="127"/>
      <c r="I6871" s="128"/>
      <c r="K6871" s="105" t="str">
        <f>IFERROR(__xludf.DUMMYFUNCTION("if(A6871="""","""",substitute(SUBSTITUTE(index(importhtml(""http://finviz.com/quote.ashx?t=""&amp;A6871,""table"",10),7,2),""*"",""""),""-"",""0.00""))"),"Loading...")</f>
        <v>Loading...</v>
      </c>
      <c r="L6871" s="129">
        <v>1.132648983E9</v>
      </c>
      <c r="M6871" s="99">
        <v>0.78</v>
      </c>
    </row>
    <row r="6872">
      <c r="A6872" s="122" t="s">
        <v>14284</v>
      </c>
      <c r="B6872" s="123">
        <v>1039828.0</v>
      </c>
      <c r="C6872" s="124" t="s">
        <v>14285</v>
      </c>
      <c r="D6872" s="125"/>
      <c r="E6872" s="126">
        <v>55.45</v>
      </c>
      <c r="F6872" s="127"/>
      <c r="G6872" s="127"/>
      <c r="H6872" s="127"/>
      <c r="I6872" s="128"/>
      <c r="K6872" s="55" t="s">
        <v>1034</v>
      </c>
      <c r="L6872" s="129">
        <v>4.381926329E9</v>
      </c>
      <c r="M6872" s="99">
        <v>0.8</v>
      </c>
    </row>
    <row r="6873">
      <c r="A6873" s="122" t="s">
        <v>14286</v>
      </c>
      <c r="B6873" s="123">
        <v>831001.0</v>
      </c>
      <c r="C6873" s="124" t="s">
        <v>14287</v>
      </c>
      <c r="D6873" s="125"/>
      <c r="E6873" s="126">
        <v>55.54</v>
      </c>
      <c r="F6873" s="127"/>
      <c r="G6873" s="127"/>
      <c r="H6873" s="127"/>
      <c r="I6873" s="128"/>
      <c r="K6873" s="138" t="s">
        <v>14288</v>
      </c>
      <c r="L6873" s="129">
        <v>1.05698175742E11</v>
      </c>
      <c r="M6873" s="99">
        <v>1.51</v>
      </c>
    </row>
    <row r="6874">
      <c r="A6874" s="122" t="s">
        <v>14289</v>
      </c>
      <c r="B6874" s="123">
        <v>1390777.0</v>
      </c>
      <c r="C6874" s="124" t="s">
        <v>14290</v>
      </c>
      <c r="D6874" s="125"/>
      <c r="E6874" s="126">
        <v>55.63</v>
      </c>
      <c r="F6874" s="127"/>
      <c r="G6874" s="127"/>
      <c r="H6874" s="127"/>
      <c r="I6874" s="128"/>
      <c r="K6874" s="55" t="s">
        <v>14291</v>
      </c>
      <c r="L6874" s="129">
        <v>4.2242301968E10</v>
      </c>
      <c r="M6874" s="99">
        <v>1.12</v>
      </c>
    </row>
    <row r="6875">
      <c r="A6875" s="122" t="s">
        <v>14292</v>
      </c>
      <c r="B6875" s="123">
        <v>1447629.0</v>
      </c>
      <c r="C6875" s="124" t="s">
        <v>14293</v>
      </c>
      <c r="D6875" s="125"/>
      <c r="E6875" s="126">
        <v>55.66</v>
      </c>
      <c r="F6875" s="127"/>
      <c r="G6875" s="127"/>
      <c r="H6875" s="127"/>
      <c r="I6875" s="128"/>
      <c r="K6875" s="105" t="str">
        <f>IFERROR(__xludf.DUMMYFUNCTION("if(A6875="""","""",substitute(SUBSTITUTE(index(importhtml(""http://finviz.com/quote.ashx?t=""&amp;A6875,""table"",10),7,2),""*"",""""),""-"",""0.00""))"),"Loading...")</f>
        <v>Loading...</v>
      </c>
      <c r="L6875" s="129">
        <v>4.5796966105E10</v>
      </c>
      <c r="M6875" s="99">
        <v>0.61</v>
      </c>
    </row>
    <row r="6876">
      <c r="A6876" s="122" t="s">
        <v>14294</v>
      </c>
      <c r="B6876" s="123">
        <v>7084.0</v>
      </c>
      <c r="C6876" s="124" t="s">
        <v>14295</v>
      </c>
      <c r="D6876" s="125"/>
      <c r="E6876" s="126">
        <v>55.69</v>
      </c>
      <c r="F6876" s="127"/>
      <c r="G6876" s="127"/>
      <c r="H6876" s="127"/>
      <c r="I6876" s="128"/>
      <c r="K6876" s="55" t="s">
        <v>14296</v>
      </c>
      <c r="L6876" s="129">
        <v>2.9703998295E10</v>
      </c>
      <c r="M6876" s="99">
        <v>0.76</v>
      </c>
    </row>
    <row r="6877">
      <c r="A6877" s="122" t="s">
        <v>14297</v>
      </c>
      <c r="B6877" s="123">
        <v>913341.0</v>
      </c>
      <c r="C6877" s="124" t="s">
        <v>14298</v>
      </c>
      <c r="D6877" s="125"/>
      <c r="E6877" s="126">
        <v>55.7</v>
      </c>
      <c r="F6877" s="127"/>
      <c r="G6877" s="127"/>
      <c r="H6877" s="127"/>
      <c r="I6877" s="128"/>
      <c r="K6877" s="105" t="str">
        <f>IFERROR(__xludf.DUMMYFUNCTION("if(A6877="""","""",substitute(SUBSTITUTE(index(importhtml(""http://finviz.com/quote.ashx?t=""&amp;A6877,""table"",10),7,2),""*"",""""),""-"",""0.00""))"),"Loading...")</f>
        <v>Loading...</v>
      </c>
      <c r="L6877" s="129">
        <v>1.87937205E8</v>
      </c>
      <c r="M6877" s="99">
        <v>0.34</v>
      </c>
    </row>
    <row r="6878">
      <c r="A6878" s="122" t="s">
        <v>14299</v>
      </c>
      <c r="B6878" s="123">
        <v>776901.0</v>
      </c>
      <c r="C6878" s="124" t="s">
        <v>14300</v>
      </c>
      <c r="D6878" s="125"/>
      <c r="E6878" s="126">
        <v>55.75</v>
      </c>
      <c r="F6878" s="127"/>
      <c r="G6878" s="127"/>
      <c r="H6878" s="127"/>
      <c r="I6878" s="128"/>
      <c r="K6878" s="105" t="str">
        <f>IFERROR(__xludf.DUMMYFUNCTION("if(A6878="""","""",substitute(SUBSTITUTE(index(importhtml(""http://finviz.com/quote.ashx?t=""&amp;A6878,""table"",10),7,2),""*"",""""),""-"",""0.00""))"),"Loading...")</f>
        <v>Loading...</v>
      </c>
      <c r="L6878" s="129">
        <v>2.444822032E9</v>
      </c>
      <c r="M6878" s="99">
        <v>0.87</v>
      </c>
    </row>
    <row r="6879">
      <c r="A6879" s="122" t="s">
        <v>14301</v>
      </c>
      <c r="B6879" s="123">
        <v>1801198.0</v>
      </c>
      <c r="C6879" s="124" t="s">
        <v>14302</v>
      </c>
      <c r="D6879" s="125"/>
      <c r="E6879" s="126">
        <v>55.76</v>
      </c>
      <c r="F6879" s="127"/>
      <c r="G6879" s="127"/>
      <c r="H6879" s="127"/>
      <c r="I6879" s="128"/>
      <c r="K6879" s="105" t="str">
        <f>IFERROR(__xludf.DUMMYFUNCTION("if(A6879="""","""",substitute(SUBSTITUTE(index(importhtml(""http://finviz.com/quote.ashx?t=""&amp;A6879,""table"",10),7,2),""*"",""""),""-"",""0.00""))"),"#REF!")</f>
        <v>#REF!</v>
      </c>
      <c r="L6879" s="129">
        <v>1.0136543182E10</v>
      </c>
      <c r="M6879" s="99">
        <v>-0.02</v>
      </c>
    </row>
    <row r="6880">
      <c r="A6880" s="122" t="s">
        <v>14303</v>
      </c>
      <c r="B6880" s="123">
        <v>1617640.0</v>
      </c>
      <c r="C6880" s="124" t="s">
        <v>14304</v>
      </c>
      <c r="D6880" s="125"/>
      <c r="E6880" s="126">
        <v>55.91</v>
      </c>
      <c r="F6880" s="127"/>
      <c r="G6880" s="127"/>
      <c r="H6880" s="127"/>
      <c r="I6880" s="128"/>
      <c r="K6880" s="55" t="s">
        <v>1034</v>
      </c>
      <c r="L6880" s="129">
        <v>1.3353958097E10</v>
      </c>
      <c r="M6880" s="99">
        <v>1.89</v>
      </c>
    </row>
    <row r="6881">
      <c r="A6881" s="122" t="s">
        <v>14305</v>
      </c>
      <c r="B6881" s="123">
        <v>66004.0</v>
      </c>
      <c r="C6881" s="124" t="s">
        <v>14306</v>
      </c>
      <c r="D6881" s="125"/>
      <c r="E6881" s="126">
        <v>56.07</v>
      </c>
      <c r="F6881" s="127"/>
      <c r="G6881" s="127"/>
      <c r="H6881" s="127"/>
      <c r="I6881" s="128"/>
      <c r="K6881" s="105" t="str">
        <f>IFERROR(__xludf.DUMMYFUNCTION("if(A6881="""","""",substitute(SUBSTITUTE(index(importhtml(""http://finviz.com/quote.ashx?t=""&amp;A6881,""table"",10),7,2),""*"",""""),""-"",""0.00""))"),"Loading...")</f>
        <v>Loading...</v>
      </c>
      <c r="L6881" s="129">
        <v>9.98421102E8</v>
      </c>
      <c r="M6881" s="99">
        <v>0.78</v>
      </c>
    </row>
    <row r="6882">
      <c r="A6882" s="122" t="s">
        <v>14307</v>
      </c>
      <c r="B6882" s="123">
        <v>858655.0</v>
      </c>
      <c r="C6882" s="124" t="s">
        <v>14308</v>
      </c>
      <c r="D6882" s="125"/>
      <c r="E6882" s="126">
        <v>56.11</v>
      </c>
      <c r="F6882" s="127"/>
      <c r="G6882" s="127"/>
      <c r="H6882" s="127"/>
      <c r="I6882" s="128"/>
      <c r="K6882" s="105" t="str">
        <f>IFERROR(__xludf.DUMMYFUNCTION("if(A6882="""","""",substitute(SUBSTITUTE(index(importhtml(""http://finviz.com/quote.ashx?t=""&amp;A6882,""table"",10),7,2),""*"",""""),""-"",""0.00""))"),"Loading...")</f>
        <v>Loading...</v>
      </c>
      <c r="L6882" s="129">
        <v>7.17253576E8</v>
      </c>
      <c r="M6882" s="99">
        <v>1.44</v>
      </c>
    </row>
    <row r="6883">
      <c r="A6883" s="122" t="s">
        <v>14309</v>
      </c>
      <c r="B6883" s="123">
        <v>1676238.0</v>
      </c>
      <c r="C6883" s="124" t="s">
        <v>14310</v>
      </c>
      <c r="D6883" s="125"/>
      <c r="E6883" s="126">
        <v>56.19</v>
      </c>
      <c r="F6883" s="127"/>
      <c r="G6883" s="127"/>
      <c r="H6883" s="127"/>
      <c r="I6883" s="128"/>
      <c r="K6883" s="105" t="str">
        <f>IFERROR(__xludf.DUMMYFUNCTION("if(A6883="""","""",substitute(SUBSTITUTE(index(importhtml(""http://finviz.com/quote.ashx?t=""&amp;A6883,""table"",10),7,2),""*"",""""),""-"",""0.00""))"),"Loading...")</f>
        <v>Loading...</v>
      </c>
      <c r="L6883" s="129">
        <v>5.610146004E9</v>
      </c>
      <c r="M6883" s="99">
        <f>IFERROR(__xludf.DUMMYFUNCTION("GOOGLEFINANCE(A6883,""beta"")"),1.1)</f>
        <v>1.1</v>
      </c>
    </row>
    <row r="6884">
      <c r="A6884" s="122" t="s">
        <v>14311</v>
      </c>
      <c r="B6884" s="123">
        <v>1590364.0</v>
      </c>
      <c r="C6884" s="124" t="s">
        <v>14312</v>
      </c>
      <c r="D6884" s="125"/>
      <c r="E6884" s="126">
        <v>56.21</v>
      </c>
      <c r="F6884" s="127"/>
      <c r="G6884" s="127"/>
      <c r="H6884" s="127"/>
      <c r="I6884" s="128"/>
      <c r="K6884" s="105" t="str">
        <f>IFERROR(__xludf.DUMMYFUNCTION("if(A6884="""","""",substitute(SUBSTITUTE(index(importhtml(""http://finviz.com/quote.ashx?t=""&amp;A6884,""table"",10),7,2),""*"",""""),""-"",""0.00""))"),"Loading...")</f>
        <v>Loading...</v>
      </c>
      <c r="L6884" s="129">
        <v>5.634377888E9</v>
      </c>
      <c r="M6884" s="99">
        <v>1.9</v>
      </c>
    </row>
    <row r="6885">
      <c r="A6885" s="122" t="s">
        <v>14313</v>
      </c>
      <c r="B6885" s="123">
        <v>726516.0</v>
      </c>
      <c r="C6885" s="124" t="s">
        <v>14314</v>
      </c>
      <c r="D6885" s="125"/>
      <c r="E6885" s="126">
        <v>56.32</v>
      </c>
      <c r="F6885" s="127"/>
      <c r="G6885" s="127"/>
      <c r="H6885" s="127"/>
      <c r="I6885" s="128"/>
      <c r="K6885" s="105" t="str">
        <f>IFERROR(__xludf.DUMMYFUNCTION("if(A6885="""","""",substitute(SUBSTITUTE(index(importhtml(""http://finviz.com/quote.ashx?t=""&amp;A6885,""table"",10),7,2),""*"",""""),""-"",""0.00""))"),"Loading...")</f>
        <v>Loading...</v>
      </c>
      <c r="L6885" s="129" t="e">
        <v>#N/A</v>
      </c>
      <c r="M6885" s="99" t="str">
        <f>IFERROR(__xludf.DUMMYFUNCTION("GOOGLEFINANCE(A6885,""beta"")"),"#N/A")</f>
        <v>#N/A</v>
      </c>
    </row>
    <row r="6886">
      <c r="A6886" s="122" t="s">
        <v>14315</v>
      </c>
      <c r="B6886" s="123">
        <v>745308.0</v>
      </c>
      <c r="C6886" s="124" t="s">
        <v>14316</v>
      </c>
      <c r="D6886" s="125"/>
      <c r="E6886" s="126">
        <v>56.36</v>
      </c>
      <c r="F6886" s="127"/>
      <c r="G6886" s="127"/>
      <c r="H6886" s="127"/>
      <c r="I6886" s="128"/>
      <c r="K6886" s="105" t="str">
        <f>IFERROR(__xludf.DUMMYFUNCTION("if(A6886="""","""",substitute(SUBSTITUTE(index(importhtml(""http://finviz.com/quote.ashx?t=""&amp;A6886,""table"",10),7,2),""*"",""""),""-"",""0.00""))"),"Loading...")</f>
        <v>Loading...</v>
      </c>
      <c r="L6886" s="129">
        <v>3.289847646E9</v>
      </c>
      <c r="M6886" s="99">
        <v>1.32</v>
      </c>
    </row>
    <row r="6887">
      <c r="A6887" s="122" t="s">
        <v>14317</v>
      </c>
      <c r="B6887" s="123">
        <v>100493.0</v>
      </c>
      <c r="C6887" s="124" t="s">
        <v>14318</v>
      </c>
      <c r="D6887" s="125"/>
      <c r="E6887" s="126">
        <v>56.36</v>
      </c>
      <c r="F6887" s="127"/>
      <c r="G6887" s="127"/>
      <c r="H6887" s="127"/>
      <c r="I6887" s="128"/>
      <c r="K6887" s="105" t="str">
        <f>IFERROR(__xludf.DUMMYFUNCTION("if(A6887="""","""",substitute(SUBSTITUTE(index(importhtml(""http://finviz.com/quote.ashx?t=""&amp;A6887,""table"",10),7,2),""*"",""""),""-"",""0.00""))"),"Loading...")</f>
        <v>Loading...</v>
      </c>
      <c r="L6887" s="129">
        <v>2.0084432909E10</v>
      </c>
      <c r="M6887" s="99">
        <v>0.78</v>
      </c>
    </row>
    <row r="6888">
      <c r="A6888" s="122" t="s">
        <v>14319</v>
      </c>
      <c r="B6888" s="123">
        <v>49938.0</v>
      </c>
      <c r="C6888" s="124" t="s">
        <v>14320</v>
      </c>
      <c r="D6888" s="125"/>
      <c r="E6888" s="126">
        <v>56.45</v>
      </c>
      <c r="F6888" s="127"/>
      <c r="G6888" s="127"/>
      <c r="H6888" s="127"/>
      <c r="I6888" s="128"/>
      <c r="K6888" s="105" t="str">
        <f>IFERROR(__xludf.DUMMYFUNCTION("if(A6888="""","""",substitute(SUBSTITUTE(index(importhtml(""http://finviz.com/quote.ashx?t=""&amp;A6888,""table"",10),7,2),""*"",""""),""-"",""0.00""))"),"Loading...")</f>
        <v>Loading...</v>
      </c>
      <c r="L6888" s="129">
        <v>4.0686088387E10</v>
      </c>
      <c r="M6888" s="99">
        <v>1.45</v>
      </c>
    </row>
    <row r="6889">
      <c r="A6889" s="122" t="s">
        <v>14321</v>
      </c>
      <c r="B6889" s="123">
        <v>1633978.0</v>
      </c>
      <c r="C6889" s="124" t="s">
        <v>14322</v>
      </c>
      <c r="D6889" s="125"/>
      <c r="E6889" s="126">
        <v>56.48</v>
      </c>
      <c r="F6889" s="127"/>
      <c r="G6889" s="127"/>
      <c r="H6889" s="127"/>
      <c r="I6889" s="128"/>
      <c r="K6889" s="105" t="str">
        <f>IFERROR(__xludf.DUMMYFUNCTION("if(A6889="""","""",substitute(SUBSTITUTE(index(importhtml(""http://finviz.com/quote.ashx?t=""&amp;A6889,""table"",10),7,2),""*"",""""),""-"",""0.00""))"),"Loading...")</f>
        <v>Loading...</v>
      </c>
      <c r="L6889" s="129">
        <v>3.784159969E9</v>
      </c>
      <c r="M6889" s="99">
        <v>1.14</v>
      </c>
    </row>
    <row r="6890">
      <c r="A6890" s="122" t="s">
        <v>14323</v>
      </c>
      <c r="B6890" s="123">
        <v>1915657.0</v>
      </c>
      <c r="C6890" s="124" t="s">
        <v>14324</v>
      </c>
      <c r="D6890" s="125"/>
      <c r="E6890" s="126">
        <v>56.52</v>
      </c>
      <c r="F6890" s="127"/>
      <c r="G6890" s="127"/>
      <c r="H6890" s="127"/>
      <c r="I6890" s="128"/>
      <c r="K6890" s="105" t="str">
        <f>IFERROR(__xludf.DUMMYFUNCTION("if(A6890="""","""",substitute(SUBSTITUTE(index(importhtml(""http://finviz.com/quote.ashx?t=""&amp;A6890,""table"",10),7,2),""*"",""""),""-"",""0.00""))"),"Loading...")</f>
        <v>Loading...</v>
      </c>
      <c r="L6890" s="129">
        <v>1.0154722402E10</v>
      </c>
      <c r="M6890" s="99">
        <v>1.28</v>
      </c>
    </row>
    <row r="6891">
      <c r="A6891" s="122" t="s">
        <v>14325</v>
      </c>
      <c r="B6891" s="123">
        <v>1120193.0</v>
      </c>
      <c r="C6891" s="124" t="s">
        <v>14326</v>
      </c>
      <c r="D6891" s="125"/>
      <c r="E6891" s="126">
        <v>56.65</v>
      </c>
      <c r="F6891" s="127"/>
      <c r="G6891" s="127"/>
      <c r="H6891" s="127"/>
      <c r="I6891" s="128"/>
      <c r="K6891" s="105" t="str">
        <f>IFERROR(__xludf.DUMMYFUNCTION("if(A6891="""","""",substitute(SUBSTITUTE(index(importhtml(""http://finviz.com/quote.ashx?t=""&amp;A6891,""table"",10),7,2),""*"",""""),""-"",""0.00""))"),"Loading...")</f>
        <v>Loading...</v>
      </c>
      <c r="L6891" s="129">
        <v>3.268504547E10</v>
      </c>
      <c r="M6891" s="99">
        <v>0.94</v>
      </c>
    </row>
    <row r="6892">
      <c r="A6892" s="122" t="s">
        <v>14327</v>
      </c>
      <c r="B6892" s="123">
        <v>906465.0</v>
      </c>
      <c r="C6892" s="124" t="s">
        <v>14328</v>
      </c>
      <c r="D6892" s="125"/>
      <c r="E6892" s="126">
        <v>56.66</v>
      </c>
      <c r="F6892" s="127"/>
      <c r="G6892" s="127"/>
      <c r="H6892" s="127"/>
      <c r="I6892" s="128"/>
      <c r="K6892" s="105" t="str">
        <f>IFERROR(__xludf.DUMMYFUNCTION("if(A6892="""","""",substitute(SUBSTITUTE(index(importhtml(""http://finviz.com/quote.ashx?t=""&amp;A6892,""table"",10),7,2),""*"",""""),""-"",""0.00""))"),"Loading...")</f>
        <v>Loading...</v>
      </c>
      <c r="L6892" s="129">
        <v>9.49012502E8</v>
      </c>
      <c r="M6892" s="99">
        <v>0.96</v>
      </c>
    </row>
    <row r="6893">
      <c r="A6893" s="122" t="s">
        <v>14329</v>
      </c>
      <c r="B6893" s="123">
        <v>1783180.0</v>
      </c>
      <c r="C6893" s="124" t="s">
        <v>14330</v>
      </c>
      <c r="D6893" s="125"/>
      <c r="E6893" s="126">
        <v>56.78</v>
      </c>
      <c r="F6893" s="127"/>
      <c r="G6893" s="127"/>
      <c r="H6893" s="127"/>
      <c r="I6893" s="128"/>
      <c r="K6893" s="105" t="str">
        <f>IFERROR(__xludf.DUMMYFUNCTION("if(A6893="""","""",substitute(SUBSTITUTE(index(importhtml(""http://finviz.com/quote.ashx?t=""&amp;A6893,""table"",10),7,2),""*"",""""),""-"",""0.00""))"),"Loading...")</f>
        <v>Loading...</v>
      </c>
      <c r="L6893" s="129">
        <v>5.0968878194E10</v>
      </c>
      <c r="M6893" s="99">
        <v>1.27</v>
      </c>
    </row>
    <row r="6894">
      <c r="A6894" s="122" t="s">
        <v>14331</v>
      </c>
      <c r="B6894" s="123">
        <v>1560327.0</v>
      </c>
      <c r="C6894" s="124" t="s">
        <v>14332</v>
      </c>
      <c r="D6894" s="125"/>
      <c r="E6894" s="126">
        <v>56.79</v>
      </c>
      <c r="F6894" s="127"/>
      <c r="G6894" s="127"/>
      <c r="H6894" s="127"/>
      <c r="I6894" s="128"/>
      <c r="K6894" s="105" t="str">
        <f>IFERROR(__xludf.DUMMYFUNCTION("if(A6894="""","""",substitute(SUBSTITUTE(index(importhtml(""http://finviz.com/quote.ashx?t=""&amp;A6894,""table"",10),7,2),""*"",""""),""-"",""0.00""))"),"Loading...")</f>
        <v>Loading...</v>
      </c>
      <c r="L6894" s="129">
        <v>3.489572914E9</v>
      </c>
      <c r="M6894" s="99">
        <v>1.04</v>
      </c>
    </row>
    <row r="6895">
      <c r="A6895" s="122" t="s">
        <v>14333</v>
      </c>
      <c r="B6895" s="123">
        <v>1772016.0</v>
      </c>
      <c r="C6895" s="124" t="s">
        <v>14334</v>
      </c>
      <c r="D6895" s="125"/>
      <c r="E6895" s="126">
        <v>56.82</v>
      </c>
      <c r="F6895" s="127"/>
      <c r="G6895" s="127"/>
      <c r="H6895" s="127"/>
      <c r="I6895" s="128"/>
      <c r="K6895" s="105" t="str">
        <f>IFERROR(__xludf.DUMMYFUNCTION("if(A6895="""","""",substitute(SUBSTITUTE(index(importhtml(""http://finviz.com/quote.ashx?t=""&amp;A6895,""table"",10),7,2),""*"",""""),""-"",""0.00""))"),"Loading...")</f>
        <v>Loading...</v>
      </c>
      <c r="L6895" s="129">
        <v>7.453011175E9</v>
      </c>
      <c r="M6895" s="99">
        <f>IFERROR(__xludf.DUMMYFUNCTION("GOOGLEFINANCE(A6895,""beta"")"),0.51)</f>
        <v>0.51</v>
      </c>
    </row>
    <row r="6896">
      <c r="A6896" s="122" t="s">
        <v>14335</v>
      </c>
      <c r="B6896" s="123">
        <v>1596967.0</v>
      </c>
      <c r="C6896" s="124" t="s">
        <v>14336</v>
      </c>
      <c r="D6896" s="125"/>
      <c r="E6896" s="126">
        <v>56.86</v>
      </c>
      <c r="F6896" s="127"/>
      <c r="G6896" s="127"/>
      <c r="H6896" s="127"/>
      <c r="I6896" s="128"/>
      <c r="K6896" s="138" t="s">
        <v>14337</v>
      </c>
      <c r="L6896" s="129">
        <v>4.04584605E9</v>
      </c>
      <c r="M6896" s="99">
        <v>1.36</v>
      </c>
    </row>
    <row r="6897">
      <c r="A6897" s="122" t="s">
        <v>14338</v>
      </c>
      <c r="B6897" s="123">
        <v>16160.0</v>
      </c>
      <c r="C6897" s="124" t="s">
        <v>14339</v>
      </c>
      <c r="D6897" s="125"/>
      <c r="E6897" s="126">
        <v>56.94</v>
      </c>
      <c r="F6897" s="127"/>
      <c r="G6897" s="127"/>
      <c r="H6897" s="127"/>
      <c r="I6897" s="128"/>
      <c r="K6897" s="105" t="str">
        <f>IFERROR(__xludf.DUMMYFUNCTION("if(A6897="""","""",substitute(SUBSTITUTE(index(importhtml(""http://finviz.com/quote.ashx?t=""&amp;A6897,""table"",10),7,2),""*"",""""),""-"",""0.00""))"),"Loading...")</f>
        <v>Loading...</v>
      </c>
      <c r="L6897" s="129">
        <v>2.789070315E9</v>
      </c>
      <c r="M6897" s="99">
        <v>-0.05</v>
      </c>
    </row>
    <row r="6898">
      <c r="A6898" s="122" t="s">
        <v>14340</v>
      </c>
      <c r="B6898" s="123">
        <v>91767.0</v>
      </c>
      <c r="C6898" s="124" t="s">
        <v>14341</v>
      </c>
      <c r="D6898" s="125"/>
      <c r="E6898" s="126">
        <v>56.95</v>
      </c>
      <c r="F6898" s="127"/>
      <c r="G6898" s="127"/>
      <c r="H6898" s="127"/>
      <c r="I6898" s="128"/>
      <c r="K6898" s="105" t="str">
        <f>IFERROR(__xludf.DUMMYFUNCTION("if(A6898="""","""",substitute(SUBSTITUTE(index(importhtml(""http://finviz.com/quote.ashx?t=""&amp;A6898,""table"",10),7,2),""*"",""""),""-"",""0.00""))"),"Loading...")</f>
        <v>Loading...</v>
      </c>
      <c r="L6898" s="129">
        <v>5.578614207E9</v>
      </c>
      <c r="M6898" s="99">
        <v>0.69</v>
      </c>
    </row>
    <row r="6899">
      <c r="A6899" s="122" t="s">
        <v>14342</v>
      </c>
      <c r="B6899" s="123">
        <v>749098.0</v>
      </c>
      <c r="C6899" s="124" t="s">
        <v>14343</v>
      </c>
      <c r="D6899" s="125"/>
      <c r="E6899" s="126">
        <v>57.02</v>
      </c>
      <c r="F6899" s="127"/>
      <c r="G6899" s="127"/>
      <c r="H6899" s="127"/>
      <c r="I6899" s="128"/>
      <c r="K6899" s="105" t="str">
        <f>IFERROR(__xludf.DUMMYFUNCTION("if(A6899="""","""",substitute(SUBSTITUTE(index(importhtml(""http://finviz.com/quote.ashx?t=""&amp;A6899,""table"",10),7,2),""*"",""""),""-"",""0.00""))"),"Loading...")</f>
        <v>Loading...</v>
      </c>
      <c r="L6899" s="129">
        <v>1.6333812483E10</v>
      </c>
      <c r="M6899" s="99">
        <v>1.71</v>
      </c>
    </row>
    <row r="6900">
      <c r="A6900" s="122" t="s">
        <v>14344</v>
      </c>
      <c r="B6900" s="123">
        <v>1479247.0</v>
      </c>
      <c r="C6900" s="124" t="s">
        <v>14345</v>
      </c>
      <c r="D6900" s="125"/>
      <c r="E6900" s="126">
        <v>57.03</v>
      </c>
      <c r="F6900" s="127"/>
      <c r="G6900" s="127"/>
      <c r="H6900" s="127"/>
      <c r="I6900" s="128"/>
      <c r="K6900" s="105" t="str">
        <f>IFERROR(__xludf.DUMMYFUNCTION("if(A6900="""","""",substitute(SUBSTITUTE(index(importhtml(""http://finviz.com/quote.ashx?t=""&amp;A6900,""table"",10),7,2),""*"",""""),""-"",""0.00""))"),"Loading...")</f>
        <v>Loading...</v>
      </c>
      <c r="L6900" s="129" t="e">
        <v>#N/A</v>
      </c>
      <c r="M6900" s="99" t="str">
        <f>IFERROR(__xludf.DUMMYFUNCTION("GOOGLEFINANCE(A6900,""beta"")"),"#N/A")</f>
        <v>#N/A</v>
      </c>
    </row>
    <row r="6901">
      <c r="A6901" s="122" t="s">
        <v>14346</v>
      </c>
      <c r="B6901" s="123">
        <v>1065837.0</v>
      </c>
      <c r="C6901" s="124" t="s">
        <v>14347</v>
      </c>
      <c r="D6901" s="125"/>
      <c r="E6901" s="126">
        <v>57.04</v>
      </c>
      <c r="F6901" s="127"/>
      <c r="G6901" s="127"/>
      <c r="H6901" s="127"/>
      <c r="I6901" s="128"/>
      <c r="K6901" s="105" t="str">
        <f>IFERROR(__xludf.DUMMYFUNCTION("if(A6901="""","""",substitute(SUBSTITUTE(index(importhtml(""http://finviz.com/quote.ashx?t=""&amp;A6901,""table"",10),7,2),""*"",""""),""-"",""0.00""))"),"Loading...")</f>
        <v>Loading...</v>
      </c>
      <c r="L6901" s="129">
        <v>8.783087788E9</v>
      </c>
      <c r="M6901" s="99">
        <v>1.36</v>
      </c>
    </row>
    <row r="6902">
      <c r="A6902" s="122" t="s">
        <v>14348</v>
      </c>
      <c r="B6902" s="123">
        <v>797468.0</v>
      </c>
      <c r="C6902" s="124" t="s">
        <v>14349</v>
      </c>
      <c r="D6902" s="125"/>
      <c r="E6902" s="126">
        <v>57.04</v>
      </c>
      <c r="F6902" s="127"/>
      <c r="G6902" s="127"/>
      <c r="H6902" s="127"/>
      <c r="I6902" s="128"/>
      <c r="K6902" s="105" t="str">
        <f>IFERROR(__xludf.DUMMYFUNCTION("if(A6902="""","""",substitute(SUBSTITUTE(index(importhtml(""http://finviz.com/quote.ashx?t=""&amp;A6902,""table"",10),7,2),""*"",""""),""-"",""0.00""))"),"Loading...")</f>
        <v>Loading...</v>
      </c>
      <c r="L6902" s="129">
        <v>5.0057226747E10</v>
      </c>
      <c r="M6902" s="99">
        <v>1.64</v>
      </c>
    </row>
    <row r="6903">
      <c r="A6903" s="122" t="s">
        <v>14350</v>
      </c>
      <c r="B6903" s="123">
        <v>1214816.0</v>
      </c>
      <c r="C6903" s="124" t="s">
        <v>14351</v>
      </c>
      <c r="D6903" s="125"/>
      <c r="E6903" s="126">
        <v>57.14</v>
      </c>
      <c r="F6903" s="127"/>
      <c r="G6903" s="127"/>
      <c r="H6903" s="127"/>
      <c r="I6903" s="128"/>
      <c r="K6903" s="55" t="s">
        <v>13272</v>
      </c>
      <c r="L6903" s="129">
        <v>4.870708971E9</v>
      </c>
      <c r="M6903" s="99">
        <v>0.77</v>
      </c>
    </row>
    <row r="6904">
      <c r="A6904" s="122" t="s">
        <v>14352</v>
      </c>
      <c r="B6904" s="123">
        <v>1060219.0</v>
      </c>
      <c r="C6904" s="124" t="s">
        <v>14353</v>
      </c>
      <c r="D6904" s="125"/>
      <c r="E6904" s="126">
        <v>57.15</v>
      </c>
      <c r="F6904" s="127"/>
      <c r="G6904" s="127"/>
      <c r="H6904" s="127"/>
      <c r="I6904" s="128"/>
      <c r="K6904" s="105" t="str">
        <f>IFERROR(__xludf.DUMMYFUNCTION("if(A6904="""","""",substitute(SUBSTITUTE(index(importhtml(""http://finviz.com/quote.ashx?t=""&amp;A6904,""table"",10),7,2),""*"",""""),""-"",""0.00""))"),"Loading...")</f>
        <v>Loading...</v>
      </c>
      <c r="L6904" s="129">
        <v>1141890.0</v>
      </c>
      <c r="M6904" s="99" t="str">
        <f>IFERROR(__xludf.DUMMYFUNCTION("GOOGLEFINANCE(A6904,""beta"")"),"#N/A")</f>
        <v>#N/A</v>
      </c>
    </row>
    <row r="6905">
      <c r="A6905" s="122" t="s">
        <v>14354</v>
      </c>
      <c r="B6905" s="123">
        <v>876167.0</v>
      </c>
      <c r="C6905" s="124" t="s">
        <v>14355</v>
      </c>
      <c r="D6905" s="125"/>
      <c r="E6905" s="126">
        <v>57.22</v>
      </c>
      <c r="F6905" s="127"/>
      <c r="G6905" s="127"/>
      <c r="H6905" s="127"/>
      <c r="I6905" s="128"/>
      <c r="K6905" s="105" t="str">
        <f>IFERROR(__xludf.DUMMYFUNCTION("if(A6905="""","""",substitute(SUBSTITUTE(index(importhtml(""http://finviz.com/quote.ashx?t=""&amp;A6905,""table"",10),7,2),""*"",""""),""-"",""0.00""))"),"Loading...")</f>
        <v>Loading...</v>
      </c>
      <c r="L6905" s="129">
        <v>2.510825097E9</v>
      </c>
      <c r="M6905" s="99">
        <v>0.97</v>
      </c>
    </row>
    <row r="6906">
      <c r="A6906" s="122" t="s">
        <v>14356</v>
      </c>
      <c r="B6906" s="123">
        <v>860748.0</v>
      </c>
      <c r="C6906" s="124" t="s">
        <v>14357</v>
      </c>
      <c r="D6906" s="125"/>
      <c r="E6906" s="126">
        <v>57.33</v>
      </c>
      <c r="F6906" s="127"/>
      <c r="G6906" s="127"/>
      <c r="H6906" s="127"/>
      <c r="I6906" s="128"/>
      <c r="K6906" s="105" t="str">
        <f>IFERROR(__xludf.DUMMYFUNCTION("if(A6906="""","""",substitute(SUBSTITUTE(index(importhtml(""http://finviz.com/quote.ashx?t=""&amp;A6906,""table"",10),7,2),""*"",""""),""-"",""0.00""))"),"Loading...")</f>
        <v>Loading...</v>
      </c>
      <c r="L6906" s="129">
        <v>3.674116426E9</v>
      </c>
      <c r="M6906" s="99">
        <v>0.93</v>
      </c>
    </row>
    <row r="6907">
      <c r="A6907" s="122" t="s">
        <v>14358</v>
      </c>
      <c r="B6907" s="123">
        <v>825542.0</v>
      </c>
      <c r="C6907" s="124" t="s">
        <v>14359</v>
      </c>
      <c r="D6907" s="125"/>
      <c r="E6907" s="126">
        <v>57.44</v>
      </c>
      <c r="F6907" s="127"/>
      <c r="G6907" s="127"/>
      <c r="H6907" s="127"/>
      <c r="I6907" s="128"/>
      <c r="K6907" s="105" t="str">
        <f>IFERROR(__xludf.DUMMYFUNCTION("if(A6907="""","""",substitute(SUBSTITUTE(index(importhtml(""http://finviz.com/quote.ashx?t=""&amp;A6907,""table"",10),7,2),""*"",""""),""-"",""0.00""))"),"Loading...")</f>
        <v>Loading...</v>
      </c>
      <c r="L6907" s="129">
        <v>3.255646277E9</v>
      </c>
      <c r="M6907" s="99">
        <v>1.67</v>
      </c>
    </row>
    <row r="6908">
      <c r="A6908" s="122" t="s">
        <v>14360</v>
      </c>
      <c r="B6908" s="123">
        <v>1823143.0</v>
      </c>
      <c r="C6908" s="124" t="s">
        <v>14361</v>
      </c>
      <c r="D6908" s="125"/>
      <c r="E6908" s="126">
        <v>57.5</v>
      </c>
      <c r="F6908" s="127"/>
      <c r="G6908" s="127"/>
      <c r="H6908" s="127"/>
      <c r="I6908" s="128"/>
      <c r="K6908" s="105" t="str">
        <f>IFERROR(__xludf.DUMMYFUNCTION("if(A6908="""","""",substitute(SUBSTITUTE(index(importhtml(""http://finviz.com/quote.ashx?t=""&amp;A6908,""table"",10),7,2),""*"",""""),""-"",""0.00""))"),"Loading...")</f>
        <v>Loading...</v>
      </c>
      <c r="L6908" s="129">
        <v>4.684249459E9</v>
      </c>
      <c r="M6908" s="99" t="str">
        <f>IFERROR(__xludf.DUMMYFUNCTION("GOOGLEFINANCE(A6908,""beta"")"),"#N/A")</f>
        <v>#N/A</v>
      </c>
    </row>
    <row r="6909">
      <c r="A6909" s="122" t="s">
        <v>14362</v>
      </c>
      <c r="B6909" s="123">
        <v>1617640.0</v>
      </c>
      <c r="C6909" s="124" t="s">
        <v>14363</v>
      </c>
      <c r="D6909" s="125"/>
      <c r="E6909" s="126">
        <v>57.65</v>
      </c>
      <c r="F6909" s="127"/>
      <c r="G6909" s="127"/>
      <c r="H6909" s="127"/>
      <c r="I6909" s="128"/>
      <c r="K6909" s="55" t="s">
        <v>1034</v>
      </c>
      <c r="L6909" s="129">
        <v>1.3353958097E10</v>
      </c>
      <c r="M6909" s="99">
        <v>1.81</v>
      </c>
    </row>
    <row r="6910">
      <c r="A6910" s="122" t="s">
        <v>14364</v>
      </c>
      <c r="B6910" s="123">
        <v>4281.0</v>
      </c>
      <c r="C6910" s="124" t="s">
        <v>14365</v>
      </c>
      <c r="D6910" s="125"/>
      <c r="E6910" s="126">
        <v>57.72</v>
      </c>
      <c r="F6910" s="127"/>
      <c r="G6910" s="127"/>
      <c r="H6910" s="127"/>
      <c r="I6910" s="128"/>
      <c r="K6910" s="105" t="str">
        <f>IFERROR(__xludf.DUMMYFUNCTION("if(A6910="""","""",substitute(SUBSTITUTE(index(importhtml(""http://finviz.com/quote.ashx?t=""&amp;A6910,""table"",10),7,2),""*"",""""),""-"",""0.00""))"),"Loading...")</f>
        <v>Loading...</v>
      </c>
      <c r="L6910" s="129">
        <v>2.3765881498E10</v>
      </c>
      <c r="M6910" s="99">
        <v>1.23</v>
      </c>
    </row>
    <row r="6911">
      <c r="A6911" s="122" t="s">
        <v>14366</v>
      </c>
      <c r="B6911" s="123">
        <v>811156.0</v>
      </c>
      <c r="C6911" s="124" t="s">
        <v>14367</v>
      </c>
      <c r="D6911" s="125"/>
      <c r="E6911" s="126">
        <v>57.77</v>
      </c>
      <c r="F6911" s="127"/>
      <c r="G6911" s="127"/>
      <c r="H6911" s="127"/>
      <c r="I6911" s="128"/>
      <c r="K6911" s="55" t="s">
        <v>14368</v>
      </c>
      <c r="L6911" s="129">
        <v>1.6855177528E10</v>
      </c>
      <c r="M6911" s="99">
        <v>0.38</v>
      </c>
    </row>
    <row r="6912">
      <c r="A6912" s="122" t="s">
        <v>14369</v>
      </c>
      <c r="B6912" s="123">
        <v>1618732.0</v>
      </c>
      <c r="C6912" s="124" t="s">
        <v>14370</v>
      </c>
      <c r="D6912" s="125"/>
      <c r="E6912" s="126">
        <v>57.86</v>
      </c>
      <c r="F6912" s="127"/>
      <c r="G6912" s="127"/>
      <c r="H6912" s="127"/>
      <c r="I6912" s="128"/>
      <c r="K6912" s="105" t="str">
        <f>IFERROR(__xludf.DUMMYFUNCTION("if(A6912="""","""",substitute(SUBSTITUTE(index(importhtml(""http://finviz.com/quote.ashx?t=""&amp;A6912,""table"",10),7,2),""*"",""""),""-"",""0.00""))"),"Loading...")</f>
        <v>Loading...</v>
      </c>
      <c r="L6912" s="129">
        <v>1.404202619E10</v>
      </c>
      <c r="M6912" s="99">
        <v>1.27</v>
      </c>
    </row>
    <row r="6913">
      <c r="A6913" s="122" t="s">
        <v>14371</v>
      </c>
      <c r="B6913" s="123">
        <v>1531048.0</v>
      </c>
      <c r="C6913" s="124" t="s">
        <v>14372</v>
      </c>
      <c r="D6913" s="125"/>
      <c r="E6913" s="126">
        <v>57.9</v>
      </c>
      <c r="F6913" s="127"/>
      <c r="G6913" s="127"/>
      <c r="H6913" s="127"/>
      <c r="I6913" s="128"/>
      <c r="K6913" s="105" t="str">
        <f>IFERROR(__xludf.DUMMYFUNCTION("if(A6913="""","""",substitute(SUBSTITUTE(index(importhtml(""http://finviz.com/quote.ashx?t=""&amp;A6913,""table"",10),7,2),""*"",""""),""-"",""0.00""))"),"Loading...")</f>
        <v>Loading...</v>
      </c>
      <c r="L6913" s="129">
        <v>3.3344883E9</v>
      </c>
      <c r="M6913" s="99">
        <v>0.93</v>
      </c>
    </row>
    <row r="6914">
      <c r="A6914" s="122" t="s">
        <v>14373</v>
      </c>
      <c r="B6914" s="123">
        <v>1562528.0</v>
      </c>
      <c r="C6914" s="124" t="s">
        <v>14374</v>
      </c>
      <c r="D6914" s="125"/>
      <c r="E6914" s="126">
        <v>57.99</v>
      </c>
      <c r="F6914" s="127"/>
      <c r="G6914" s="127"/>
      <c r="H6914" s="127"/>
      <c r="I6914" s="128"/>
      <c r="K6914" s="105" t="str">
        <f>IFERROR(__xludf.DUMMYFUNCTION("if(A6914="""","""",substitute(SUBSTITUTE(index(importhtml(""http://finviz.com/quote.ashx?t=""&amp;A6914,""table"",10),7,2),""*"",""""),""-"",""0.00""))"),"Loading...")</f>
        <v>Loading...</v>
      </c>
      <c r="L6914" s="129">
        <v>2.612981E9</v>
      </c>
      <c r="M6914" s="99">
        <f>IFERROR(__xludf.DUMMYFUNCTION("GOOGLEFINANCE(A6914,""beta"")"),1.11)</f>
        <v>1.11</v>
      </c>
    </row>
    <row r="6915">
      <c r="A6915" s="122" t="s">
        <v>14375</v>
      </c>
      <c r="B6915" s="123">
        <v>1261333.0</v>
      </c>
      <c r="C6915" s="124" t="s">
        <v>14376</v>
      </c>
      <c r="D6915" s="125"/>
      <c r="E6915" s="126">
        <v>58.12</v>
      </c>
      <c r="F6915" s="127"/>
      <c r="G6915" s="127"/>
      <c r="H6915" s="127"/>
      <c r="I6915" s="128"/>
      <c r="K6915" s="105" t="str">
        <f>IFERROR(__xludf.DUMMYFUNCTION("if(A6915="""","""",substitute(SUBSTITUTE(index(importhtml(""http://finviz.com/quote.ashx?t=""&amp;A6915,""table"",10),7,2),""*"",""""),""-"",""0.00""))"),"Loading...")</f>
        <v>Loading...</v>
      </c>
      <c r="L6915" s="129">
        <v>1.1852632238E10</v>
      </c>
      <c r="M6915" s="99">
        <v>0.93</v>
      </c>
    </row>
    <row r="6916">
      <c r="A6916" s="122" t="s">
        <v>14377</v>
      </c>
      <c r="B6916" s="123">
        <v>753308.0</v>
      </c>
      <c r="C6916" s="124" t="s">
        <v>14378</v>
      </c>
      <c r="D6916" s="125"/>
      <c r="E6916" s="126">
        <v>58.15</v>
      </c>
      <c r="F6916" s="127"/>
      <c r="G6916" s="127"/>
      <c r="H6916" s="127"/>
      <c r="I6916" s="128"/>
      <c r="K6916" s="105" t="str">
        <f>IFERROR(__xludf.DUMMYFUNCTION("if(A6916="""","""",substitute(SUBSTITUTE(index(importhtml(""http://finviz.com/quote.ashx?t=""&amp;A6916,""table"",10),7,2),""*"",""""),""-"",""0.00""))"),"Loading...")</f>
        <v>Loading...</v>
      </c>
      <c r="L6916" s="129">
        <v>1.1930676518E11</v>
      </c>
      <c r="M6916" s="99">
        <v>0.51</v>
      </c>
    </row>
    <row r="6917">
      <c r="A6917" s="122" t="s">
        <v>14379</v>
      </c>
      <c r="B6917" s="123">
        <v>106040.0</v>
      </c>
      <c r="C6917" s="124" t="s">
        <v>14380</v>
      </c>
      <c r="D6917" s="125"/>
      <c r="E6917" s="126">
        <v>58.16</v>
      </c>
      <c r="F6917" s="127"/>
      <c r="G6917" s="127"/>
      <c r="H6917" s="127"/>
      <c r="I6917" s="128"/>
      <c r="K6917" s="105" t="str">
        <f>IFERROR(__xludf.DUMMYFUNCTION("if(A6917="""","""",substitute(SUBSTITUTE(index(importhtml(""http://finviz.com/quote.ashx?t=""&amp;A6917,""table"",10),7,2),""*"",""""),""-"",""0.00""))"),"Loading...")</f>
        <v>Loading...</v>
      </c>
      <c r="L6917" s="129">
        <v>1.8857984462E10</v>
      </c>
      <c r="M6917" s="99">
        <v>1.57</v>
      </c>
    </row>
    <row r="6918">
      <c r="A6918" s="122" t="s">
        <v>14381</v>
      </c>
      <c r="B6918" s="123">
        <v>788784.0</v>
      </c>
      <c r="C6918" s="124" t="s">
        <v>14382</v>
      </c>
      <c r="D6918" s="125"/>
      <c r="E6918" s="126">
        <v>58.2</v>
      </c>
      <c r="F6918" s="127"/>
      <c r="G6918" s="127"/>
      <c r="H6918" s="127"/>
      <c r="I6918" s="128"/>
      <c r="K6918" s="105" t="str">
        <f>IFERROR(__xludf.DUMMYFUNCTION("if(A6918="""","""",substitute(SUBSTITUTE(index(importhtml(""http://finviz.com/quote.ashx?t=""&amp;A6918,""table"",10),7,2),""*"",""""),""-"",""0.00""))"),"Loading...")</f>
        <v>Loading...</v>
      </c>
      <c r="L6918" s="129">
        <v>2.900188682E10</v>
      </c>
      <c r="M6918" s="99">
        <v>0.57</v>
      </c>
    </row>
    <row r="6919">
      <c r="A6919" s="122" t="s">
        <v>14383</v>
      </c>
      <c r="B6919" s="123">
        <v>1495153.0</v>
      </c>
      <c r="C6919" s="124" t="s">
        <v>14384</v>
      </c>
      <c r="D6919" s="125"/>
      <c r="E6919" s="126">
        <v>58.23</v>
      </c>
      <c r="F6919" s="127"/>
      <c r="G6919" s="127"/>
      <c r="H6919" s="127"/>
      <c r="I6919" s="128"/>
      <c r="K6919" s="105" t="str">
        <f>IFERROR(__xludf.DUMMYFUNCTION("if(A6919="""","""",substitute(SUBSTITUTE(index(importhtml(""http://finviz.com/quote.ashx?t=""&amp;A6919,""table"",10),7,2),""*"",""""),""-"",""0.00""))"),"Loading...")</f>
        <v>Loading...</v>
      </c>
      <c r="L6919" s="129">
        <v>6.179973143E9</v>
      </c>
      <c r="M6919" s="99">
        <v>1.21</v>
      </c>
    </row>
    <row r="6920">
      <c r="A6920" s="122" t="s">
        <v>14385</v>
      </c>
      <c r="B6920" s="123">
        <v>1760965.0</v>
      </c>
      <c r="C6920" s="124" t="s">
        <v>14386</v>
      </c>
      <c r="D6920" s="125"/>
      <c r="E6920" s="126">
        <v>58.34</v>
      </c>
      <c r="F6920" s="127"/>
      <c r="G6920" s="127"/>
      <c r="H6920" s="127"/>
      <c r="I6920" s="128"/>
      <c r="K6920" s="105" t="str">
        <f>IFERROR(__xludf.DUMMYFUNCTION("if(A6920="""","""",substitute(SUBSTITUTE(index(importhtml(""http://finviz.com/quote.ashx?t=""&amp;A6920,""table"",10),7,2),""*"",""""),""-"",""0.00""))"),"Loading...")</f>
        <v>Loading...</v>
      </c>
      <c r="L6920" s="129">
        <v>3.277549959E9</v>
      </c>
      <c r="M6920" s="99">
        <v>1.13</v>
      </c>
    </row>
    <row r="6921">
      <c r="A6921" s="122" t="s">
        <v>14387</v>
      </c>
      <c r="B6921" s="123">
        <v>879169.0</v>
      </c>
      <c r="C6921" s="124" t="s">
        <v>14388</v>
      </c>
      <c r="D6921" s="125"/>
      <c r="E6921" s="126">
        <v>58.35</v>
      </c>
      <c r="F6921" s="127"/>
      <c r="G6921" s="127"/>
      <c r="H6921" s="127"/>
      <c r="I6921" s="128"/>
      <c r="K6921" s="105" t="str">
        <f>IFERROR(__xludf.DUMMYFUNCTION("if(A6921="""","""",substitute(SUBSTITUTE(index(importhtml(""http://finviz.com/quote.ashx?t=""&amp;A6921,""table"",10),7,2),""*"",""""),""-"",""0.00""))"),"Loading...")</f>
        <v>Loading...</v>
      </c>
      <c r="L6921" s="129">
        <v>1.3076765643E10</v>
      </c>
      <c r="M6921" s="99">
        <v>0.67</v>
      </c>
    </row>
    <row r="6922">
      <c r="A6922" s="122" t="s">
        <v>14389</v>
      </c>
      <c r="B6922" s="123">
        <v>793733.0</v>
      </c>
      <c r="C6922" s="124" t="s">
        <v>14390</v>
      </c>
      <c r="D6922" s="125"/>
      <c r="E6922" s="126">
        <v>58.51</v>
      </c>
      <c r="F6922" s="127"/>
      <c r="G6922" s="127"/>
      <c r="H6922" s="127"/>
      <c r="I6922" s="128"/>
      <c r="K6922" s="105" t="str">
        <f>IFERROR(__xludf.DUMMYFUNCTION("if(A6922="""","""",substitute(SUBSTITUTE(index(importhtml(""http://finviz.com/quote.ashx?t=""&amp;A6922,""table"",10),7,2),""*"",""""),""-"",""0.00""))"),"Loading...")</f>
        <v>Loading...</v>
      </c>
      <c r="L6922" s="129">
        <v>2.395614648E9</v>
      </c>
      <c r="M6922" s="99">
        <v>1.92</v>
      </c>
    </row>
    <row r="6923">
      <c r="A6923" s="122" t="s">
        <v>14391</v>
      </c>
      <c r="B6923" s="123">
        <v>1761312.0</v>
      </c>
      <c r="C6923" s="124" t="s">
        <v>14392</v>
      </c>
      <c r="D6923" s="125"/>
      <c r="E6923" s="126">
        <v>58.59</v>
      </c>
      <c r="F6923" s="127"/>
      <c r="G6923" s="127"/>
      <c r="H6923" s="127"/>
      <c r="I6923" s="128"/>
      <c r="K6923" s="105" t="str">
        <f>IFERROR(__xludf.DUMMYFUNCTION("if(A6923="""","""",substitute(SUBSTITUTE(index(importhtml(""http://finviz.com/quote.ashx?t=""&amp;A6923,""table"",10),7,2),""*"",""""),""-"",""0.00""))"),"Loading...")</f>
        <v>Loading...</v>
      </c>
      <c r="L6923" s="129">
        <v>1.449006284E9</v>
      </c>
      <c r="M6923" s="99">
        <v>0.15</v>
      </c>
    </row>
    <row r="6924">
      <c r="A6924" s="122" t="s">
        <v>14393</v>
      </c>
      <c r="B6924" s="123">
        <v>1158895.0</v>
      </c>
      <c r="C6924" s="124" t="s">
        <v>14394</v>
      </c>
      <c r="D6924" s="125"/>
      <c r="E6924" s="126">
        <v>58.7</v>
      </c>
      <c r="F6924" s="127"/>
      <c r="G6924" s="127"/>
      <c r="H6924" s="127"/>
      <c r="I6924" s="128"/>
      <c r="K6924" s="105" t="str">
        <f>IFERROR(__xludf.DUMMYFUNCTION("if(A6924="""","""",substitute(SUBSTITUTE(index(importhtml(""http://finviz.com/quote.ashx?t=""&amp;A6924,""table"",10),7,2),""*"",""""),""-"",""0.00""))"),"Loading...")</f>
        <v>Loading...</v>
      </c>
      <c r="L6924" s="129">
        <v>1.306852204E9</v>
      </c>
      <c r="M6924" s="99">
        <v>0.87</v>
      </c>
    </row>
    <row r="6925">
      <c r="A6925" s="122" t="s">
        <v>14395</v>
      </c>
      <c r="B6925" s="123">
        <v>108516.0</v>
      </c>
      <c r="C6925" s="124" t="s">
        <v>14396</v>
      </c>
      <c r="D6925" s="125"/>
      <c r="E6925" s="126">
        <v>58.76</v>
      </c>
      <c r="F6925" s="127"/>
      <c r="G6925" s="127"/>
      <c r="H6925" s="127"/>
      <c r="I6925" s="128"/>
      <c r="K6925" s="105" t="str">
        <f>IFERROR(__xludf.DUMMYFUNCTION("if(A6925="""","""",substitute(SUBSTITUTE(index(importhtml(""http://finviz.com/quote.ashx?t=""&amp;A6925,""table"",10),7,2),""*"",""""),""-"",""0.00""))"),"Loading...")</f>
        <v>Loading...</v>
      </c>
      <c r="L6925" s="129">
        <v>2.937669684E9</v>
      </c>
      <c r="M6925" s="99">
        <v>1.39</v>
      </c>
    </row>
    <row r="6926">
      <c r="A6926" s="122" t="s">
        <v>14397</v>
      </c>
      <c r="B6926" s="123">
        <v>1436467.0</v>
      </c>
      <c r="C6926" s="124" t="s">
        <v>14398</v>
      </c>
      <c r="D6926" s="125"/>
      <c r="E6926" s="126">
        <v>58.8</v>
      </c>
      <c r="F6926" s="127"/>
      <c r="G6926" s="127"/>
      <c r="H6926" s="127"/>
      <c r="I6926" s="128"/>
      <c r="K6926" s="105" t="str">
        <f>IFERROR(__xludf.DUMMYFUNCTION("if(A6926="""","""",substitute(SUBSTITUTE(index(importhtml(""http://finviz.com/quote.ashx?t=""&amp;A6926,""table"",10),7,2),""*"",""""),""-"",""0.00""))"),"Loading...")</f>
        <v>Loading...</v>
      </c>
      <c r="L6926" s="129">
        <v>5.855039719E9</v>
      </c>
      <c r="M6926" s="99">
        <f>IFERROR(__xludf.DUMMYFUNCTION("GOOGLEFINANCE(A6926,""beta"")"),0.93)</f>
        <v>0.93</v>
      </c>
    </row>
    <row r="6927">
      <c r="A6927" s="122" t="s">
        <v>14399</v>
      </c>
      <c r="B6927" s="123">
        <v>1114446.0</v>
      </c>
      <c r="C6927" s="124" t="s">
        <v>14400</v>
      </c>
      <c r="D6927" s="125"/>
      <c r="E6927" s="126">
        <v>58.85</v>
      </c>
      <c r="F6927" s="127"/>
      <c r="G6927" s="127"/>
      <c r="H6927" s="127"/>
      <c r="I6927" s="128"/>
      <c r="K6927" s="105" t="str">
        <f>IFERROR(__xludf.DUMMYFUNCTION("if(A6927="""","""",substitute(SUBSTITUTE(index(importhtml(""http://finviz.com/quote.ashx?t=""&amp;A6927,""table"",10),7,2),""*"",""""),""-"",""0.00""))"),"Loading...")</f>
        <v>Loading...</v>
      </c>
      <c r="L6927" s="129" t="e">
        <v>#N/A</v>
      </c>
      <c r="M6927" s="99" t="str">
        <f>IFERROR(__xludf.DUMMYFUNCTION("GOOGLEFINANCE(A6927,""beta"")"),"#N/A")</f>
        <v>#N/A</v>
      </c>
    </row>
    <row r="6928">
      <c r="A6928" s="122" t="s">
        <v>14401</v>
      </c>
      <c r="B6928" s="123">
        <v>1126956.0</v>
      </c>
      <c r="C6928" s="124" t="s">
        <v>14402</v>
      </c>
      <c r="D6928" s="125"/>
      <c r="E6928" s="126">
        <v>59.0</v>
      </c>
      <c r="F6928" s="127"/>
      <c r="G6928" s="127"/>
      <c r="H6928" s="127"/>
      <c r="I6928" s="128"/>
      <c r="K6928" s="55" t="s">
        <v>14403</v>
      </c>
      <c r="L6928" s="129">
        <v>3.14052162E9</v>
      </c>
      <c r="M6928" s="99">
        <v>0.5</v>
      </c>
    </row>
    <row r="6929">
      <c r="A6929" s="122" t="s">
        <v>14404</v>
      </c>
      <c r="B6929" s="123">
        <v>710752.0</v>
      </c>
      <c r="C6929" s="124" t="s">
        <v>14405</v>
      </c>
      <c r="D6929" s="125"/>
      <c r="E6929" s="126">
        <v>59.0</v>
      </c>
      <c r="F6929" s="127"/>
      <c r="G6929" s="127"/>
      <c r="H6929" s="127"/>
      <c r="I6929" s="128"/>
      <c r="K6929" s="105" t="str">
        <f>IFERROR(__xludf.DUMMYFUNCTION("if(A6929="""","""",substitute(SUBSTITUTE(index(importhtml(""http://finviz.com/quote.ashx?t=""&amp;A6929,""table"",10),7,2),""*"",""""),""-"",""0.00""))"),"Loading...")</f>
        <v>Loading...</v>
      </c>
      <c r="L6929" s="129">
        <v>8.6018106E8</v>
      </c>
      <c r="M6929" s="99">
        <v>0.52</v>
      </c>
    </row>
    <row r="6930">
      <c r="A6930" s="122" t="s">
        <v>14406</v>
      </c>
      <c r="B6930" s="123">
        <v>1419945.0</v>
      </c>
      <c r="C6930" s="124" t="s">
        <v>14407</v>
      </c>
      <c r="D6930" s="125"/>
      <c r="E6930" s="126">
        <v>59.0</v>
      </c>
      <c r="F6930" s="127"/>
      <c r="G6930" s="127"/>
      <c r="H6930" s="127"/>
      <c r="I6930" s="128"/>
      <c r="K6930" s="105" t="str">
        <f>IFERROR(__xludf.DUMMYFUNCTION("if(A6930="""","""",substitute(SUBSTITUTE(index(importhtml(""http://finviz.com/quote.ashx?t=""&amp;A6930,""table"",10),7,2),""*"",""""),""-"",""0.00""))"),"Loading...")</f>
        <v>Loading...</v>
      </c>
      <c r="L6930" s="129">
        <v>2.0119E9</v>
      </c>
      <c r="M6930" s="99">
        <v>-0.24</v>
      </c>
    </row>
    <row r="6931">
      <c r="A6931" s="122" t="s">
        <v>14408</v>
      </c>
      <c r="B6931" s="123">
        <v>102037.0</v>
      </c>
      <c r="C6931" s="124" t="s">
        <v>14409</v>
      </c>
      <c r="D6931" s="125"/>
      <c r="E6931" s="126">
        <v>59.05</v>
      </c>
      <c r="F6931" s="127"/>
      <c r="G6931" s="127"/>
      <c r="H6931" s="127"/>
      <c r="I6931" s="128"/>
      <c r="K6931" s="105" t="str">
        <f>IFERROR(__xludf.DUMMYFUNCTION("if(A6931="""","""",substitute(SUBSTITUTE(index(importhtml(""http://finviz.com/quote.ashx?t=""&amp;A6931,""table"",10),7,2),""*"",""""),""-"",""0.00""))"),"Loading...")</f>
        <v>Loading...</v>
      </c>
      <c r="L6931" s="129">
        <v>1.45021956E9</v>
      </c>
      <c r="M6931" s="99">
        <v>0.83</v>
      </c>
    </row>
    <row r="6932">
      <c r="A6932" s="122" t="s">
        <v>14410</v>
      </c>
      <c r="B6932" s="123">
        <v>66756.0</v>
      </c>
      <c r="C6932" s="124" t="s">
        <v>14411</v>
      </c>
      <c r="D6932" s="125"/>
      <c r="E6932" s="126">
        <v>59.08</v>
      </c>
      <c r="F6932" s="127"/>
      <c r="G6932" s="127"/>
      <c r="H6932" s="127"/>
      <c r="I6932" s="128"/>
      <c r="K6932" s="55" t="s">
        <v>13930</v>
      </c>
      <c r="L6932" s="129">
        <v>3.395764306E9</v>
      </c>
      <c r="M6932" s="99">
        <v>0.77</v>
      </c>
    </row>
    <row r="6933">
      <c r="A6933" s="122" t="s">
        <v>14412</v>
      </c>
      <c r="B6933" s="123">
        <v>844059.0</v>
      </c>
      <c r="C6933" s="124" t="s">
        <v>14413</v>
      </c>
      <c r="D6933" s="125"/>
      <c r="E6933" s="126">
        <v>59.1</v>
      </c>
      <c r="F6933" s="127"/>
      <c r="G6933" s="127"/>
      <c r="H6933" s="127"/>
      <c r="I6933" s="128"/>
      <c r="K6933" s="105" t="str">
        <f>IFERROR(__xludf.DUMMYFUNCTION("if(A6933="""","""",substitute(SUBSTITUTE(index(importhtml(""http://finviz.com/quote.ashx?t=""&amp;A6933,""table"",10),7,2),""*"",""""),""-"",""0.00""))"),"Loading...")</f>
        <v>Loading...</v>
      </c>
      <c r="L6933" s="129">
        <v>5.60096831E8</v>
      </c>
      <c r="M6933" s="99">
        <v>0.57</v>
      </c>
    </row>
    <row r="6934">
      <c r="A6934" s="122" t="s">
        <v>14414</v>
      </c>
      <c r="B6934" s="123">
        <v>50725.0</v>
      </c>
      <c r="C6934" s="124" t="s">
        <v>14415</v>
      </c>
      <c r="D6934" s="125"/>
      <c r="E6934" s="126">
        <v>59.16</v>
      </c>
      <c r="F6934" s="127"/>
      <c r="G6934" s="127"/>
      <c r="H6934" s="127"/>
      <c r="I6934" s="128"/>
      <c r="K6934" s="55" t="s">
        <v>7251</v>
      </c>
      <c r="L6934" s="129">
        <v>3.035444573E9</v>
      </c>
      <c r="M6934" s="99">
        <v>1.42</v>
      </c>
    </row>
    <row r="6935">
      <c r="A6935" s="122" t="s">
        <v>14416</v>
      </c>
      <c r="B6935" s="123">
        <v>884614.0</v>
      </c>
      <c r="C6935" s="124" t="s">
        <v>14417</v>
      </c>
      <c r="D6935" s="125"/>
      <c r="E6935" s="126">
        <v>59.27</v>
      </c>
      <c r="F6935" s="127"/>
      <c r="G6935" s="127"/>
      <c r="H6935" s="127"/>
      <c r="I6935" s="128"/>
      <c r="K6935" s="105" t="str">
        <f>IFERROR(__xludf.DUMMYFUNCTION("if(A6935="""","""",substitute(SUBSTITUTE(index(importhtml(""http://finviz.com/quote.ashx?t=""&amp;A6935,""table"",10),7,2),""*"",""""),""-"",""0.00""))"),"Loading...")</f>
        <v>Loading...</v>
      </c>
      <c r="L6935" s="129">
        <v>5.141032031E9</v>
      </c>
      <c r="M6935" s="99" t="str">
        <f>IFERROR(__xludf.DUMMYFUNCTION("GOOGLEFINANCE(A6935,""beta"")"),"#N/A")</f>
        <v>#N/A</v>
      </c>
    </row>
    <row r="6936">
      <c r="A6936" s="122" t="s">
        <v>14418</v>
      </c>
      <c r="B6936" s="123">
        <v>1492691.0</v>
      </c>
      <c r="C6936" s="124" t="s">
        <v>14419</v>
      </c>
      <c r="D6936" s="125"/>
      <c r="E6936" s="126">
        <v>59.37</v>
      </c>
      <c r="F6936" s="127"/>
      <c r="G6936" s="127"/>
      <c r="H6936" s="127"/>
      <c r="I6936" s="128"/>
      <c r="K6936" s="105" t="str">
        <f>IFERROR(__xludf.DUMMYFUNCTION("if(A6936="""","""",substitute(SUBSTITUTE(index(importhtml(""http://finviz.com/quote.ashx?t=""&amp;A6936,""table"",10),7,2),""*"",""""),""-"",""0.00""))"),"Loading...")</f>
        <v>Loading...</v>
      </c>
      <c r="L6936" s="129">
        <v>9.580477357E9</v>
      </c>
      <c r="M6936" s="99">
        <v>1.01</v>
      </c>
    </row>
    <row r="6937">
      <c r="A6937" s="122" t="s">
        <v>14420</v>
      </c>
      <c r="B6937" s="123">
        <v>917251.0</v>
      </c>
      <c r="C6937" s="124" t="s">
        <v>14421</v>
      </c>
      <c r="D6937" s="125"/>
      <c r="E6937" s="126">
        <v>59.38</v>
      </c>
      <c r="F6937" s="127"/>
      <c r="G6937" s="127"/>
      <c r="H6937" s="127"/>
      <c r="I6937" s="128"/>
      <c r="K6937" s="55" t="s">
        <v>14243</v>
      </c>
      <c r="L6937" s="129">
        <v>5.968859893E9</v>
      </c>
      <c r="M6937" s="99">
        <v>0.53</v>
      </c>
    </row>
    <row r="6938">
      <c r="A6938" s="122" t="s">
        <v>14422</v>
      </c>
      <c r="B6938" s="123">
        <v>9389.0</v>
      </c>
      <c r="C6938" s="124" t="s">
        <v>14423</v>
      </c>
      <c r="D6938" s="125"/>
      <c r="E6938" s="126">
        <v>59.48</v>
      </c>
      <c r="F6938" s="127"/>
      <c r="G6938" s="127"/>
      <c r="H6938" s="127"/>
      <c r="I6938" s="128"/>
      <c r="K6938" s="105" t="str">
        <f>IFERROR(__xludf.DUMMYFUNCTION("if(A6938="""","""",substitute(SUBSTITUTE(index(importhtml(""http://finviz.com/quote.ashx?t=""&amp;A6938,""table"",10),7,2),""*"",""""),""-"",""0.00""))"),"Loading...")</f>
        <v>Loading...</v>
      </c>
      <c r="L6938" s="129">
        <v>1.8754109283E10</v>
      </c>
      <c r="M6938" s="99">
        <v>0.54</v>
      </c>
    </row>
    <row r="6939">
      <c r="A6939" s="122" t="s">
        <v>14424</v>
      </c>
      <c r="B6939" s="123">
        <v>56679.0</v>
      </c>
      <c r="C6939" s="124" t="s">
        <v>14425</v>
      </c>
      <c r="D6939" s="125"/>
      <c r="E6939" s="126">
        <v>59.52</v>
      </c>
      <c r="F6939" s="127"/>
      <c r="G6939" s="127"/>
      <c r="H6939" s="127"/>
      <c r="I6939" s="128"/>
      <c r="K6939" s="105" t="str">
        <f>IFERROR(__xludf.DUMMYFUNCTION("if(A6939="""","""",substitute(SUBSTITUTE(index(importhtml(""http://finviz.com/quote.ashx?t=""&amp;A6939,""table"",10),7,2),""*"",""""),""-"",""0.00""))"),"Loading...")</f>
        <v>Loading...</v>
      </c>
      <c r="L6939" s="129">
        <v>3.127247486E9</v>
      </c>
      <c r="M6939" s="99">
        <v>1.47</v>
      </c>
    </row>
    <row r="6940">
      <c r="A6940" s="122" t="s">
        <v>14426</v>
      </c>
      <c r="B6940" s="123">
        <v>766829.0</v>
      </c>
      <c r="C6940" s="124" t="s">
        <v>14427</v>
      </c>
      <c r="D6940" s="125"/>
      <c r="E6940" s="126">
        <v>59.53</v>
      </c>
      <c r="F6940" s="127"/>
      <c r="G6940" s="127"/>
      <c r="H6940" s="127"/>
      <c r="I6940" s="128"/>
      <c r="K6940" s="105" t="str">
        <f>IFERROR(__xludf.DUMMYFUNCTION("if(A6940="""","""",substitute(SUBSTITUTE(index(importhtml(""http://finviz.com/quote.ashx?t=""&amp;A6940,""table"",10),7,2),""*"",""""),""-"",""0.00""))"),"Loading...")</f>
        <v>Loading...</v>
      </c>
      <c r="L6940" s="129">
        <v>1.900971451E9</v>
      </c>
      <c r="M6940" s="99">
        <v>0.6</v>
      </c>
    </row>
    <row r="6941">
      <c r="A6941" s="122" t="s">
        <v>14428</v>
      </c>
      <c r="B6941" s="123">
        <v>1013605.0</v>
      </c>
      <c r="C6941" s="124" t="s">
        <v>14429</v>
      </c>
      <c r="D6941" s="125"/>
      <c r="E6941" s="126">
        <v>59.56</v>
      </c>
      <c r="F6941" s="127"/>
      <c r="G6941" s="127"/>
      <c r="H6941" s="127"/>
      <c r="I6941" s="128"/>
      <c r="K6941" s="105" t="str">
        <f>IFERROR(__xludf.DUMMYFUNCTION("if(A6941="""","""",substitute(SUBSTITUTE(index(importhtml(""http://finviz.com/quote.ashx?t=""&amp;A6941,""table"",10),7,2),""*"",""""),""-"",""0.00""))"),"Loading...")</f>
        <v>Loading...</v>
      </c>
      <c r="L6941" s="129">
        <v>8.66349059E8</v>
      </c>
      <c r="M6941" s="99">
        <v>2.15</v>
      </c>
    </row>
    <row r="6942">
      <c r="A6942" s="122" t="s">
        <v>14430</v>
      </c>
      <c r="B6942" s="123">
        <v>1420800.0</v>
      </c>
      <c r="C6942" s="124" t="s">
        <v>14431</v>
      </c>
      <c r="D6942" s="125"/>
      <c r="E6942" s="126">
        <v>59.7</v>
      </c>
      <c r="F6942" s="127"/>
      <c r="G6942" s="127"/>
      <c r="H6942" s="127"/>
      <c r="I6942" s="128"/>
      <c r="K6942" s="105" t="str">
        <f>IFERROR(__xludf.DUMMYFUNCTION("if(A6942="""","""",substitute(SUBSTITUTE(index(importhtml(""http://finviz.com/quote.ashx?t=""&amp;A6942,""table"",10),7,2),""*"",""""),""-"",""0.00""))"),"Loading...")</f>
        <v>Loading...</v>
      </c>
      <c r="L6942" s="129">
        <v>3.259270199E9</v>
      </c>
      <c r="M6942" s="99">
        <v>1.83</v>
      </c>
    </row>
    <row r="6943">
      <c r="A6943" s="122" t="s">
        <v>14432</v>
      </c>
      <c r="B6943" s="123">
        <v>72903.0</v>
      </c>
      <c r="C6943" s="124" t="s">
        <v>14433</v>
      </c>
      <c r="D6943" s="125"/>
      <c r="E6943" s="126">
        <v>59.82</v>
      </c>
      <c r="F6943" s="127"/>
      <c r="G6943" s="127"/>
      <c r="H6943" s="127"/>
      <c r="I6943" s="128"/>
      <c r="K6943" s="105" t="str">
        <f>IFERROR(__xludf.DUMMYFUNCTION("if(A6943="""","""",substitute(SUBSTITUTE(index(importhtml(""http://finviz.com/quote.ashx?t=""&amp;A6943,""table"",10),7,2),""*"",""""),""-"",""0.00""))"),"Loading...")</f>
        <v>Loading...</v>
      </c>
      <c r="L6943" s="129">
        <v>3.3009650897E10</v>
      </c>
      <c r="M6943" s="99">
        <v>0.4</v>
      </c>
    </row>
    <row r="6944">
      <c r="A6944" s="122" t="s">
        <v>14434</v>
      </c>
      <c r="B6944" s="123">
        <v>1560385.0</v>
      </c>
      <c r="C6944" s="124" t="s">
        <v>12863</v>
      </c>
      <c r="D6944" s="125"/>
      <c r="E6944" s="126">
        <v>59.85</v>
      </c>
      <c r="F6944" s="127"/>
      <c r="G6944" s="127"/>
      <c r="H6944" s="127"/>
      <c r="I6944" s="128"/>
      <c r="K6944" s="105" t="str">
        <f>IFERROR(__xludf.DUMMYFUNCTION("if(A6944="""","""",substitute(SUBSTITUTE(index(importhtml(""http://finviz.com/quote.ashx?t=""&amp;A6944,""table"",10),7,2),""*"",""""),""-"",""0.00""))"),"Loading...")</f>
        <v>Loading...</v>
      </c>
      <c r="L6944" s="129">
        <v>2.862840887E10</v>
      </c>
      <c r="M6944" s="99">
        <f>IFERROR(__xludf.DUMMYFUNCTION("GOOGLEFINANCE(A6944,""beta"")"),0.8)</f>
        <v>0.8</v>
      </c>
    </row>
    <row r="6945">
      <c r="A6945" s="122" t="s">
        <v>14435</v>
      </c>
      <c r="B6945" s="123">
        <v>795266.0</v>
      </c>
      <c r="C6945" s="124" t="s">
        <v>14436</v>
      </c>
      <c r="D6945" s="125"/>
      <c r="E6945" s="126">
        <v>59.92</v>
      </c>
      <c r="F6945" s="127"/>
      <c r="G6945" s="127"/>
      <c r="H6945" s="127"/>
      <c r="I6945" s="128"/>
      <c r="K6945" s="105" t="str">
        <f>IFERROR(__xludf.DUMMYFUNCTION("if(A6945="""","""",substitute(SUBSTITUTE(index(importhtml(""http://finviz.com/quote.ashx?t=""&amp;A6945,""table"",10),7,2),""*"",""""),""-"",""0.00""))"),"Loading...")</f>
        <v>Loading...</v>
      </c>
      <c r="L6945" s="129">
        <v>4.5459511E9</v>
      </c>
      <c r="M6945" s="99">
        <v>1.73</v>
      </c>
    </row>
    <row r="6946">
      <c r="A6946" s="122" t="s">
        <v>14437</v>
      </c>
      <c r="B6946" s="123">
        <v>1851893.0</v>
      </c>
      <c r="C6946" s="124" t="s">
        <v>14438</v>
      </c>
      <c r="D6946" s="125"/>
      <c r="E6946" s="126">
        <v>59.98</v>
      </c>
      <c r="F6946" s="127"/>
      <c r="G6946" s="127"/>
      <c r="H6946" s="127"/>
      <c r="I6946" s="128"/>
      <c r="K6946" s="105" t="str">
        <f>IFERROR(__xludf.DUMMYFUNCTION("if(A6946="""","""",substitute(SUBSTITUTE(index(importhtml(""http://finviz.com/quote.ashx?t=""&amp;A6946,""table"",10),7,2),""*"",""""),""-"",""0.00""))"),"Loading...")</f>
        <v>Loading...</v>
      </c>
      <c r="L6946" s="129" t="e">
        <v>#N/A</v>
      </c>
      <c r="M6946" s="99" t="str">
        <f>IFERROR(__xludf.DUMMYFUNCTION("GOOGLEFINANCE(A6946,""beta"")"),"#N/A")</f>
        <v>#N/A</v>
      </c>
    </row>
    <row r="6947">
      <c r="A6947" s="122" t="s">
        <v>14439</v>
      </c>
      <c r="B6947" s="123">
        <v>105418.0</v>
      </c>
      <c r="C6947" s="124" t="s">
        <v>14440</v>
      </c>
      <c r="D6947" s="125"/>
      <c r="E6947" s="126">
        <v>60.03</v>
      </c>
      <c r="F6947" s="127"/>
      <c r="G6947" s="127"/>
      <c r="H6947" s="127"/>
      <c r="I6947" s="128"/>
      <c r="K6947" s="105" t="str">
        <f>IFERROR(__xludf.DUMMYFUNCTION("if(A6947="""","""",substitute(SUBSTITUTE(index(importhtml(""http://finviz.com/quote.ashx?t=""&amp;A6947,""table"",10),7,2),""*"",""""),""-"",""0.00""))"),"Loading...")</f>
        <v>Loading...</v>
      </c>
      <c r="L6947" s="129">
        <v>1.61471332E9</v>
      </c>
      <c r="M6947" s="99">
        <v>0.46</v>
      </c>
    </row>
    <row r="6948">
      <c r="A6948" s="122" t="s">
        <v>14441</v>
      </c>
      <c r="B6948" s="123">
        <v>1692115.0</v>
      </c>
      <c r="C6948" s="124" t="s">
        <v>14442</v>
      </c>
      <c r="D6948" s="125"/>
      <c r="E6948" s="126">
        <v>60.03</v>
      </c>
      <c r="F6948" s="127"/>
      <c r="G6948" s="127"/>
      <c r="H6948" s="127"/>
      <c r="I6948" s="128"/>
      <c r="K6948" s="105" t="str">
        <f>IFERROR(__xludf.DUMMYFUNCTION("if(A6948="""","""",substitute(SUBSTITUTE(index(importhtml(""http://finviz.com/quote.ashx?t=""&amp;A6948,""table"",10),7,2),""*"",""""),""-"",""0.00""))"),"Loading...")</f>
        <v>Loading...</v>
      </c>
      <c r="L6948" s="129">
        <v>4.293412746E9</v>
      </c>
      <c r="M6948" s="99">
        <v>0.32</v>
      </c>
    </row>
    <row r="6949">
      <c r="A6949" s="122" t="s">
        <v>14443</v>
      </c>
      <c r="B6949" s="123">
        <v>100826.0</v>
      </c>
      <c r="C6949" s="124" t="s">
        <v>14444</v>
      </c>
      <c r="D6949" s="125"/>
      <c r="E6949" s="126">
        <v>60.05</v>
      </c>
      <c r="F6949" s="127"/>
      <c r="G6949" s="127"/>
      <c r="H6949" s="127"/>
      <c r="I6949" s="128"/>
      <c r="K6949" s="105" t="str">
        <f>IFERROR(__xludf.DUMMYFUNCTION("if(A6949="""","""",substitute(SUBSTITUTE(index(importhtml(""http://finviz.com/quote.ashx?t=""&amp;A6949,""table"",10),7,2),""*"",""""),""-"",""0.00""))"),"Loading...")</f>
        <v>Loading...</v>
      </c>
      <c r="L6949" s="129">
        <v>5246800.0</v>
      </c>
      <c r="M6949" s="99">
        <v>0.1</v>
      </c>
    </row>
    <row r="6950">
      <c r="A6950" s="122" t="s">
        <v>14445</v>
      </c>
      <c r="B6950" s="123">
        <v>906107.0</v>
      </c>
      <c r="C6950" s="124" t="s">
        <v>14446</v>
      </c>
      <c r="D6950" s="125"/>
      <c r="E6950" s="126">
        <v>60.17</v>
      </c>
      <c r="F6950" s="127"/>
      <c r="G6950" s="127"/>
      <c r="H6950" s="127"/>
      <c r="I6950" s="128"/>
      <c r="K6950" s="55" t="s">
        <v>13930</v>
      </c>
      <c r="L6950" s="129">
        <v>2.2446465167E10</v>
      </c>
      <c r="M6950" s="99">
        <v>0.84</v>
      </c>
    </row>
    <row r="6951">
      <c r="A6951" s="122" t="s">
        <v>14447</v>
      </c>
      <c r="B6951" s="123">
        <v>1212545.0</v>
      </c>
      <c r="C6951" s="124" t="s">
        <v>14448</v>
      </c>
      <c r="D6951" s="125"/>
      <c r="E6951" s="126">
        <v>60.21</v>
      </c>
      <c r="F6951" s="127"/>
      <c r="G6951" s="127"/>
      <c r="H6951" s="127"/>
      <c r="I6951" s="128"/>
      <c r="K6951" s="105" t="str">
        <f>IFERROR(__xludf.DUMMYFUNCTION("if(A6951="""","""",substitute(SUBSTITUTE(index(importhtml(""http://finviz.com/quote.ashx?t=""&amp;A6951,""table"",10),7,2),""*"",""""),""-"",""0.00""))"),"Loading...")</f>
        <v>Loading...</v>
      </c>
      <c r="L6951" s="129">
        <v>6.591405355E9</v>
      </c>
      <c r="M6951" s="99">
        <v>1.5</v>
      </c>
    </row>
    <row r="6952">
      <c r="A6952" s="122" t="s">
        <v>14449</v>
      </c>
      <c r="B6952" s="123">
        <v>895564.0</v>
      </c>
      <c r="C6952" s="124" t="s">
        <v>14450</v>
      </c>
      <c r="D6952" s="125"/>
      <c r="E6952" s="126">
        <v>60.24</v>
      </c>
      <c r="F6952" s="127"/>
      <c r="G6952" s="127"/>
      <c r="H6952" s="127"/>
      <c r="I6952" s="128"/>
      <c r="K6952" s="105" t="str">
        <f>IFERROR(__xludf.DUMMYFUNCTION("if(A6952="""","""",substitute(SUBSTITUTE(index(importhtml(""http://finviz.com/quote.ashx?t=""&amp;A6952,""table"",10),7,2),""*"",""""),""-"",""0.00""))"),"Loading...")</f>
        <v>Loading...</v>
      </c>
      <c r="L6952" s="129">
        <v>4.4969184223E10</v>
      </c>
      <c r="M6952" s="99">
        <v>0.61</v>
      </c>
    </row>
    <row r="6953">
      <c r="A6953" s="122" t="s">
        <v>14451</v>
      </c>
      <c r="B6953" s="123">
        <v>1157408.0</v>
      </c>
      <c r="C6953" s="124" t="s">
        <v>14452</v>
      </c>
      <c r="D6953" s="125"/>
      <c r="E6953" s="126">
        <v>60.25</v>
      </c>
      <c r="F6953" s="127"/>
      <c r="G6953" s="127"/>
      <c r="H6953" s="127"/>
      <c r="I6953" s="128"/>
      <c r="K6953" s="105" t="str">
        <f>IFERROR(__xludf.DUMMYFUNCTION("if(A6953="""","""",substitute(SUBSTITUTE(index(importhtml(""http://finviz.com/quote.ashx?t=""&amp;A6953,""table"",10),7,2),""*"",""""),""-"",""0.00""))"),"Loading...")</f>
        <v>Loading...</v>
      </c>
      <c r="L6953" s="129">
        <v>2.6132353E9</v>
      </c>
      <c r="M6953" s="99">
        <v>0.26</v>
      </c>
    </row>
    <row r="6954">
      <c r="A6954" s="122" t="s">
        <v>14453</v>
      </c>
      <c r="B6954" s="123">
        <v>1552275.0</v>
      </c>
      <c r="C6954" s="124" t="s">
        <v>14454</v>
      </c>
      <c r="D6954" s="125"/>
      <c r="E6954" s="126">
        <v>60.25</v>
      </c>
      <c r="F6954" s="127"/>
      <c r="G6954" s="127"/>
      <c r="H6954" s="127"/>
      <c r="I6954" s="128"/>
      <c r="K6954" s="105" t="str">
        <f>IFERROR(__xludf.DUMMYFUNCTION("if(A6954="""","""",substitute(SUBSTITUTE(index(importhtml(""http://finviz.com/quote.ashx?t=""&amp;A6954,""table"",10),7,2),""*"",""""),""-"",""0.00""))"),"Loading...")</f>
        <v>Loading...</v>
      </c>
      <c r="L6954" s="129">
        <v>5.064921672E9</v>
      </c>
      <c r="M6954" s="99">
        <v>1.28</v>
      </c>
    </row>
    <row r="6955">
      <c r="A6955" s="122" t="s">
        <v>14455</v>
      </c>
      <c r="B6955" s="123">
        <v>947263.0</v>
      </c>
      <c r="C6955" s="124" t="s">
        <v>14456</v>
      </c>
      <c r="D6955" s="125"/>
      <c r="E6955" s="126">
        <v>60.26</v>
      </c>
      <c r="F6955" s="127"/>
      <c r="G6955" s="127"/>
      <c r="H6955" s="127"/>
      <c r="I6955" s="128"/>
      <c r="K6955" s="55" t="s">
        <v>14457</v>
      </c>
      <c r="L6955" s="129">
        <v>1.08635580034E11</v>
      </c>
      <c r="M6955" s="99">
        <v>0.89</v>
      </c>
    </row>
    <row r="6956">
      <c r="A6956" s="122" t="s">
        <v>14458</v>
      </c>
      <c r="B6956" s="123">
        <v>1077428.0</v>
      </c>
      <c r="C6956" s="124" t="s">
        <v>14459</v>
      </c>
      <c r="D6956" s="125"/>
      <c r="E6956" s="126">
        <v>60.26</v>
      </c>
      <c r="F6956" s="127"/>
      <c r="G6956" s="127"/>
      <c r="H6956" s="127"/>
      <c r="I6956" s="128"/>
      <c r="K6956" s="105" t="str">
        <f>IFERROR(__xludf.DUMMYFUNCTION("if(A6956="""","""",substitute(SUBSTITUTE(index(importhtml(""http://finviz.com/quote.ashx?t=""&amp;A6956,""table"",10),7,2),""*"",""""),""-"",""0.00""))"),"Loading...")</f>
        <v>Loading...</v>
      </c>
      <c r="L6956" s="129">
        <v>2.846555774E9</v>
      </c>
      <c r="M6956" s="99">
        <v>1.21</v>
      </c>
    </row>
    <row r="6957">
      <c r="A6957" s="122" t="s">
        <v>14460</v>
      </c>
      <c r="B6957" s="123">
        <v>102752.0</v>
      </c>
      <c r="C6957" s="124" t="s">
        <v>14461</v>
      </c>
      <c r="D6957" s="125"/>
      <c r="E6957" s="126">
        <v>60.27</v>
      </c>
      <c r="F6957" s="127"/>
      <c r="G6957" s="127"/>
      <c r="H6957" s="127"/>
      <c r="I6957" s="128"/>
      <c r="K6957" s="105" t="str">
        <f>IFERROR(__xludf.DUMMYFUNCTION("if(A6957="""","""",substitute(SUBSTITUTE(index(importhtml(""http://finviz.com/quote.ashx?t=""&amp;A6957,""table"",10),7,2),""*"",""""),""-"",""0.00""))"),"Loading...")</f>
        <v>Loading...</v>
      </c>
      <c r="L6957" s="129">
        <v>9.49088572E8</v>
      </c>
      <c r="M6957" s="99">
        <v>1.64</v>
      </c>
    </row>
    <row r="6958">
      <c r="A6958" s="122" t="s">
        <v>14462</v>
      </c>
      <c r="B6958" s="123">
        <v>1666134.0</v>
      </c>
      <c r="C6958" s="124" t="s">
        <v>14463</v>
      </c>
      <c r="D6958" s="125"/>
      <c r="E6958" s="126">
        <v>60.3</v>
      </c>
      <c r="F6958" s="127"/>
      <c r="G6958" s="127"/>
      <c r="H6958" s="127"/>
      <c r="I6958" s="128"/>
      <c r="K6958" s="55" t="s">
        <v>1034</v>
      </c>
      <c r="L6958" s="129">
        <v>3.694569496E9</v>
      </c>
      <c r="M6958" s="99">
        <v>0.87</v>
      </c>
    </row>
    <row r="6959">
      <c r="A6959" s="122" t="s">
        <v>14464</v>
      </c>
      <c r="B6959" s="123">
        <v>1871667.0</v>
      </c>
      <c r="C6959" s="124" t="s">
        <v>14465</v>
      </c>
      <c r="D6959" s="125"/>
      <c r="E6959" s="126">
        <v>60.4</v>
      </c>
      <c r="F6959" s="127"/>
      <c r="G6959" s="127"/>
      <c r="H6959" s="127"/>
      <c r="I6959" s="128"/>
      <c r="K6959" s="105" t="str">
        <f>IFERROR(__xludf.DUMMYFUNCTION("if(A6959="""","""",substitute(SUBSTITUTE(index(importhtml(""http://finviz.com/quote.ashx?t=""&amp;A6959,""table"",10),7,2),""*"",""""),""-"",""0.00""))"),"Loading...")</f>
        <v>Loading...</v>
      </c>
      <c r="L6959" s="129">
        <v>1633310.0</v>
      </c>
      <c r="M6959" s="99" t="str">
        <f>IFERROR(__xludf.DUMMYFUNCTION("GOOGLEFINANCE(A6959,""beta"")"),"#N/A")</f>
        <v>#N/A</v>
      </c>
    </row>
    <row r="6960">
      <c r="A6960" s="122" t="s">
        <v>14466</v>
      </c>
      <c r="B6960" s="123">
        <v>21344.0</v>
      </c>
      <c r="C6960" s="124" t="s">
        <v>14467</v>
      </c>
      <c r="D6960" s="125"/>
      <c r="E6960" s="126">
        <v>60.54</v>
      </c>
      <c r="F6960" s="127"/>
      <c r="G6960" s="127"/>
      <c r="H6960" s="127"/>
      <c r="I6960" s="128"/>
      <c r="K6960" s="138" t="s">
        <v>13844</v>
      </c>
      <c r="L6960" s="129">
        <v>2.61739487518E11</v>
      </c>
      <c r="M6960" s="99">
        <v>0.59</v>
      </c>
    </row>
    <row r="6961">
      <c r="A6961" s="122" t="s">
        <v>14468</v>
      </c>
      <c r="B6961" s="123">
        <v>1472787.0</v>
      </c>
      <c r="C6961" s="124" t="s">
        <v>14469</v>
      </c>
      <c r="D6961" s="125"/>
      <c r="E6961" s="126">
        <v>60.57</v>
      </c>
      <c r="F6961" s="127"/>
      <c r="G6961" s="127"/>
      <c r="H6961" s="127"/>
      <c r="I6961" s="128"/>
      <c r="K6961" s="55" t="s">
        <v>14470</v>
      </c>
      <c r="L6961" s="129">
        <v>6.249685252E9</v>
      </c>
      <c r="M6961" s="99">
        <v>1.29</v>
      </c>
    </row>
    <row r="6962">
      <c r="A6962" s="122" t="s">
        <v>14471</v>
      </c>
      <c r="B6962" s="123">
        <v>1017413.0</v>
      </c>
      <c r="C6962" s="124" t="s">
        <v>14472</v>
      </c>
      <c r="D6962" s="125"/>
      <c r="E6962" s="126">
        <v>60.65</v>
      </c>
      <c r="F6962" s="127"/>
      <c r="G6962" s="127"/>
      <c r="H6962" s="127"/>
      <c r="I6962" s="128"/>
      <c r="K6962" s="55" t="s">
        <v>13930</v>
      </c>
      <c r="L6962" s="129">
        <v>6.5709242703E10</v>
      </c>
      <c r="M6962" s="99">
        <v>1.48</v>
      </c>
    </row>
    <row r="6963">
      <c r="A6963" s="122" t="s">
        <v>14473</v>
      </c>
      <c r="B6963" s="123">
        <v>746598.0</v>
      </c>
      <c r="C6963" s="124" t="s">
        <v>14474</v>
      </c>
      <c r="D6963" s="125"/>
      <c r="E6963" s="126">
        <v>60.69</v>
      </c>
      <c r="F6963" s="127"/>
      <c r="G6963" s="127"/>
      <c r="H6963" s="127"/>
      <c r="I6963" s="128"/>
      <c r="K6963" s="55" t="s">
        <v>8833</v>
      </c>
      <c r="L6963" s="129">
        <v>2.93321682E9</v>
      </c>
      <c r="M6963" s="99">
        <v>0.8</v>
      </c>
    </row>
    <row r="6964">
      <c r="A6964" s="122" t="s">
        <v>14475</v>
      </c>
      <c r="B6964" s="123">
        <v>1773383.0</v>
      </c>
      <c r="C6964" s="124" t="s">
        <v>14476</v>
      </c>
      <c r="D6964" s="125"/>
      <c r="E6964" s="126">
        <v>60.7</v>
      </c>
      <c r="F6964" s="127"/>
      <c r="G6964" s="127"/>
      <c r="H6964" s="127"/>
      <c r="I6964" s="128"/>
      <c r="K6964" s="55" t="s">
        <v>1034</v>
      </c>
      <c r="L6964" s="129">
        <v>1.7869746374E10</v>
      </c>
      <c r="M6964" s="99">
        <v>1.13</v>
      </c>
    </row>
    <row r="6965">
      <c r="A6965" s="122" t="s">
        <v>14477</v>
      </c>
      <c r="B6965" s="123">
        <v>895126.0</v>
      </c>
      <c r="C6965" s="124" t="s">
        <v>14478</v>
      </c>
      <c r="D6965" s="125"/>
      <c r="E6965" s="126">
        <v>60.87</v>
      </c>
      <c r="F6965" s="127"/>
      <c r="G6965" s="127"/>
      <c r="H6965" s="127"/>
      <c r="I6965" s="128"/>
      <c r="K6965" s="105" t="str">
        <f>IFERROR(__xludf.DUMMYFUNCTION("if(A6965="""","""",substitute(SUBSTITUTE(index(importhtml(""http://finviz.com/quote.ashx?t=""&amp;A6965,""table"",10),7,2),""*"",""""),""-"",""0.00""))"),"Loading...")</f>
        <v>Loading...</v>
      </c>
      <c r="L6965" s="129">
        <v>1.0038819317E10</v>
      </c>
      <c r="M6965" s="99" t="str">
        <f>IFERROR(__xludf.DUMMYFUNCTION("GOOGLEFINANCE(A6965,""beta"")"),"#N/A")</f>
        <v>#N/A</v>
      </c>
    </row>
    <row r="6966">
      <c r="A6966" s="122" t="s">
        <v>14479</v>
      </c>
      <c r="B6966" s="123">
        <v>312070.0</v>
      </c>
      <c r="C6966" s="124" t="s">
        <v>14480</v>
      </c>
      <c r="D6966" s="125"/>
      <c r="E6966" s="126">
        <v>60.97</v>
      </c>
      <c r="F6966" s="127"/>
      <c r="G6966" s="127"/>
      <c r="H6966" s="127"/>
      <c r="I6966" s="128"/>
      <c r="K6966" s="105" t="str">
        <f>IFERROR(__xludf.DUMMYFUNCTION("if(A6966="""","""",substitute(SUBSTITUTE(index(importhtml(""http://finviz.com/quote.ashx?t=""&amp;A6966,""table"",10),7,2),""*"",""""),""-"",""0.00""))"),"Loading...")</f>
        <v>Loading...</v>
      </c>
      <c r="L6966" s="129" t="e">
        <v>#N/A</v>
      </c>
      <c r="M6966" s="99">
        <v>0.79</v>
      </c>
    </row>
    <row r="6967">
      <c r="A6967" s="122" t="s">
        <v>14481</v>
      </c>
      <c r="B6967" s="123">
        <v>17843.0</v>
      </c>
      <c r="C6967" s="124" t="s">
        <v>14482</v>
      </c>
      <c r="D6967" s="125"/>
      <c r="E6967" s="126">
        <v>60.98</v>
      </c>
      <c r="F6967" s="127"/>
      <c r="G6967" s="127"/>
      <c r="H6967" s="127"/>
      <c r="I6967" s="128"/>
      <c r="K6967" s="55" t="s">
        <v>13780</v>
      </c>
      <c r="L6967" s="129">
        <v>3.013167519E9</v>
      </c>
      <c r="M6967" s="99">
        <v>1.55</v>
      </c>
    </row>
    <row r="6968">
      <c r="A6968" s="122" t="s">
        <v>14483</v>
      </c>
      <c r="B6968" s="123">
        <v>100826.0</v>
      </c>
      <c r="C6968" s="124" t="s">
        <v>14484</v>
      </c>
      <c r="D6968" s="125"/>
      <c r="E6968" s="126">
        <v>61.0</v>
      </c>
      <c r="F6968" s="127"/>
      <c r="G6968" s="127"/>
      <c r="H6968" s="127"/>
      <c r="I6968" s="128"/>
      <c r="K6968" s="105" t="str">
        <f>IFERROR(__xludf.DUMMYFUNCTION("if(A6968="""","""",substitute(SUBSTITUTE(index(importhtml(""http://finviz.com/quote.ashx?t=""&amp;A6968,""table"",10),7,2),""*"",""""),""-"",""0.00""))"),"Loading...")</f>
        <v>Loading...</v>
      </c>
      <c r="L6968" s="129">
        <v>5278000.0</v>
      </c>
      <c r="M6968" s="99">
        <v>0.13</v>
      </c>
    </row>
    <row r="6969">
      <c r="A6969" s="122" t="s">
        <v>14485</v>
      </c>
      <c r="B6969" s="123">
        <v>1356570.0</v>
      </c>
      <c r="C6969" s="124" t="s">
        <v>14486</v>
      </c>
      <c r="D6969" s="125"/>
      <c r="E6969" s="126">
        <v>61.0</v>
      </c>
      <c r="F6969" s="127"/>
      <c r="G6969" s="127"/>
      <c r="H6969" s="127"/>
      <c r="I6969" s="128"/>
      <c r="K6969" s="105" t="str">
        <f>IFERROR(__xludf.DUMMYFUNCTION("if(A6969="""","""",substitute(SUBSTITUTE(index(importhtml(""http://finviz.com/quote.ashx?t=""&amp;A6969,""table"",10),7,2),""*"",""""),""-"",""0.00""))"),"Loading...")</f>
        <v>Loading...</v>
      </c>
      <c r="L6969" s="129">
        <v>2.85540451E9</v>
      </c>
      <c r="M6969" s="99">
        <v>1.11</v>
      </c>
    </row>
    <row r="6970">
      <c r="A6970" s="122" t="s">
        <v>14487</v>
      </c>
      <c r="B6970" s="123">
        <v>1830374.0</v>
      </c>
      <c r="C6970" s="124" t="s">
        <v>14488</v>
      </c>
      <c r="D6970" s="125"/>
      <c r="E6970" s="126">
        <v>61.0</v>
      </c>
      <c r="F6970" s="127"/>
      <c r="G6970" s="127"/>
      <c r="H6970" s="127"/>
      <c r="I6970" s="128"/>
      <c r="K6970" s="105" t="str">
        <f>IFERROR(__xludf.DUMMYFUNCTION("if(A6970="""","""",substitute(SUBSTITUTE(index(importhtml(""http://finviz.com/quote.ashx?t=""&amp;A6970,""table"",10),7,2),""*"",""""),""-"",""0.00""))"),"Loading...")</f>
        <v>Loading...</v>
      </c>
      <c r="L6970" s="129">
        <v>8.098347976E9</v>
      </c>
      <c r="M6970" s="99" t="str">
        <f>IFERROR(__xludf.DUMMYFUNCTION("GOOGLEFINANCE(A6970,""beta"")"),"#N/A")</f>
        <v>#N/A</v>
      </c>
    </row>
    <row r="6971">
      <c r="A6971" s="122" t="s">
        <v>14489</v>
      </c>
      <c r="B6971" s="123">
        <v>1560385.0</v>
      </c>
      <c r="C6971" s="124" t="s">
        <v>12920</v>
      </c>
      <c r="D6971" s="125"/>
      <c r="E6971" s="126">
        <v>61.0</v>
      </c>
      <c r="F6971" s="127"/>
      <c r="G6971" s="127"/>
      <c r="H6971" s="127"/>
      <c r="I6971" s="128"/>
      <c r="K6971" s="105" t="str">
        <f>IFERROR(__xludf.DUMMYFUNCTION("if(A6971="""","""",substitute(SUBSTITUTE(index(importhtml(""http://finviz.com/quote.ashx?t=""&amp;A6971,""table"",10),7,2),""*"",""""),""-"",""0.00""))"),"Loading...")</f>
        <v>Loading...</v>
      </c>
      <c r="L6971" s="129">
        <v>2.862840887E10</v>
      </c>
      <c r="M6971" s="99">
        <v>1.33</v>
      </c>
    </row>
    <row r="6972">
      <c r="A6972" s="122" t="s">
        <v>354</v>
      </c>
      <c r="B6972" s="123">
        <v>314808.0</v>
      </c>
      <c r="C6972" s="124" t="s">
        <v>14490</v>
      </c>
      <c r="D6972" s="125"/>
      <c r="E6972" s="126">
        <v>61.04</v>
      </c>
      <c r="F6972" s="127"/>
      <c r="G6972" s="127"/>
      <c r="H6972" s="127"/>
      <c r="I6972" s="128"/>
      <c r="K6972" s="105" t="str">
        <f>IFERROR(__xludf.DUMMYFUNCTION("if(A6972="""","""",substitute(SUBSTITUTE(index(importhtml(""http://finviz.com/quote.ashx?t=""&amp;A6972,""table"",10),7,2),""*"",""""),""-"",""0.00""))"),"Loading...")</f>
        <v>Loading...</v>
      </c>
      <c r="L6972" s="129">
        <v>4.449520633E9</v>
      </c>
      <c r="M6972" s="99">
        <f>IFERROR(__xludf.DUMMYFUNCTION("GOOGLEFINANCE(A6972,""beta"")"),1.16)</f>
        <v>1.16</v>
      </c>
    </row>
    <row r="6973">
      <c r="A6973" s="122" t="s">
        <v>14491</v>
      </c>
      <c r="B6973" s="123">
        <v>1447137.0</v>
      </c>
      <c r="C6973" s="124" t="s">
        <v>14492</v>
      </c>
      <c r="D6973" s="125"/>
      <c r="E6973" s="126">
        <v>61.07</v>
      </c>
      <c r="F6973" s="127"/>
      <c r="G6973" s="127"/>
      <c r="H6973" s="127"/>
      <c r="I6973" s="128"/>
      <c r="K6973" s="105" t="str">
        <f>IFERROR(__xludf.DUMMYFUNCTION("if(A6973="""","""",substitute(SUBSTITUTE(index(importhtml(""http://finviz.com/quote.ashx?t=""&amp;A6973,""table"",10),7,2),""*"",""""),""-"",""0.00""))"),"Loading...")</f>
        <v>Loading...</v>
      </c>
      <c r="L6973" s="129">
        <v>5.056659276E9</v>
      </c>
      <c r="M6973" s="99">
        <f>IFERROR(__xludf.DUMMYFUNCTION("GOOGLEFINANCE(A6973,""beta"")"),1.0)</f>
        <v>1</v>
      </c>
    </row>
    <row r="6974">
      <c r="A6974" s="122" t="s">
        <v>14493</v>
      </c>
      <c r="B6974" s="123">
        <v>1402436.0</v>
      </c>
      <c r="C6974" s="124" t="s">
        <v>14494</v>
      </c>
      <c r="D6974" s="125"/>
      <c r="E6974" s="126">
        <v>61.07</v>
      </c>
      <c r="F6974" s="127"/>
      <c r="G6974" s="127"/>
      <c r="H6974" s="127"/>
      <c r="I6974" s="128"/>
      <c r="K6974" s="105" t="str">
        <f>IFERROR(__xludf.DUMMYFUNCTION("if(A6974="""","""",substitute(SUBSTITUTE(index(importhtml(""http://finviz.com/quote.ashx?t=""&amp;A6974,""table"",10),7,2),""*"",""""),""-"",""0.00""))"),"Loading...")</f>
        <v>Loading...</v>
      </c>
      <c r="L6974" s="129">
        <v>1.5115783723E10</v>
      </c>
      <c r="M6974" s="99">
        <v>1.46</v>
      </c>
    </row>
    <row r="6975">
      <c r="A6975" s="122" t="s">
        <v>14495</v>
      </c>
      <c r="B6975" s="123">
        <v>1476150.0</v>
      </c>
      <c r="C6975" s="124" t="s">
        <v>14496</v>
      </c>
      <c r="D6975" s="125"/>
      <c r="E6975" s="126">
        <v>61.08</v>
      </c>
      <c r="F6975" s="127"/>
      <c r="G6975" s="127"/>
      <c r="H6975" s="127"/>
      <c r="I6975" s="128"/>
      <c r="K6975" s="105" t="str">
        <f>IFERROR(__xludf.DUMMYFUNCTION("if(A6975="""","""",substitute(SUBSTITUTE(index(importhtml(""http://finviz.com/quote.ashx?t=""&amp;A6975,""table"",10),7,2),""*"",""""),""-"",""0.00""))"),"Loading...")</f>
        <v>Loading...</v>
      </c>
      <c r="L6975" s="129">
        <v>5.215370317E9</v>
      </c>
      <c r="M6975" s="99">
        <v>0.79</v>
      </c>
    </row>
    <row r="6976">
      <c r="A6976" s="122" t="s">
        <v>14497</v>
      </c>
      <c r="B6976" s="123">
        <v>811809.0</v>
      </c>
      <c r="C6976" s="124" t="s">
        <v>12861</v>
      </c>
      <c r="D6976" s="125"/>
      <c r="E6976" s="126">
        <v>61.09</v>
      </c>
      <c r="F6976" s="127"/>
      <c r="G6976" s="127"/>
      <c r="H6976" s="127"/>
      <c r="I6976" s="128"/>
      <c r="K6976" s="55" t="s">
        <v>13765</v>
      </c>
      <c r="L6976" s="129">
        <v>1.2178287561E11</v>
      </c>
      <c r="M6976" s="99">
        <v>0.95</v>
      </c>
    </row>
    <row r="6977">
      <c r="A6977" s="122" t="s">
        <v>14498</v>
      </c>
      <c r="B6977" s="123">
        <v>1396878.0</v>
      </c>
      <c r="C6977" s="124" t="s">
        <v>14499</v>
      </c>
      <c r="D6977" s="125"/>
      <c r="E6977" s="126">
        <v>61.1</v>
      </c>
      <c r="F6977" s="127"/>
      <c r="G6977" s="127"/>
      <c r="H6977" s="127"/>
      <c r="I6977" s="128"/>
      <c r="K6977" s="105" t="str">
        <f>IFERROR(__xludf.DUMMYFUNCTION("if(A6977="""","""",substitute(SUBSTITUTE(index(importhtml(""http://finviz.com/quote.ashx?t=""&amp;A6977,""table"",10),7,2),""*"",""""),""-"",""0.00""))"),"Loading...")</f>
        <v>Loading...</v>
      </c>
      <c r="L6977" s="129" t="e">
        <v>#N/A</v>
      </c>
      <c r="M6977" s="99" t="str">
        <f>IFERROR(__xludf.DUMMYFUNCTION("GOOGLEFINANCE(A6977,""beta"")"),"#N/A")</f>
        <v>#N/A</v>
      </c>
    </row>
    <row r="6978">
      <c r="A6978" s="122" t="s">
        <v>14500</v>
      </c>
      <c r="B6978" s="123">
        <v>897723.0</v>
      </c>
      <c r="C6978" s="124" t="s">
        <v>14501</v>
      </c>
      <c r="D6978" s="125"/>
      <c r="E6978" s="126">
        <v>61.14</v>
      </c>
      <c r="F6978" s="127"/>
      <c r="G6978" s="127"/>
      <c r="H6978" s="127"/>
      <c r="I6978" s="128"/>
      <c r="K6978" s="105" t="str">
        <f>IFERROR(__xludf.DUMMYFUNCTION("if(A6978="""","""",substitute(SUBSTITUTE(index(importhtml(""http://finviz.com/quote.ashx?t=""&amp;A6978,""table"",10),7,2),""*"",""""),""-"",""0.00""))"),"Loading...")</f>
        <v>Loading...</v>
      </c>
      <c r="L6978" s="129">
        <v>3.410148885E9</v>
      </c>
      <c r="M6978" s="99">
        <v>1.04</v>
      </c>
    </row>
    <row r="6979">
      <c r="A6979" s="122" t="s">
        <v>14502</v>
      </c>
      <c r="B6979" s="123">
        <v>46250.0</v>
      </c>
      <c r="C6979" s="124" t="s">
        <v>14503</v>
      </c>
      <c r="D6979" s="125"/>
      <c r="E6979" s="126">
        <v>61.17</v>
      </c>
      <c r="F6979" s="127"/>
      <c r="G6979" s="127"/>
      <c r="H6979" s="127"/>
      <c r="I6979" s="128"/>
      <c r="K6979" s="105" t="str">
        <f>IFERROR(__xludf.DUMMYFUNCTION("if(A6979="""","""",substitute(SUBSTITUTE(index(importhtml(""http://finviz.com/quote.ashx?t=""&amp;A6979,""table"",10),7,2),""*"",""""),""-"",""0.00""))"),"Loading...")</f>
        <v>Loading...</v>
      </c>
      <c r="L6979" s="129">
        <v>1.281290637E9</v>
      </c>
      <c r="M6979" s="99">
        <v>0.74</v>
      </c>
    </row>
    <row r="6980">
      <c r="A6980" s="122" t="s">
        <v>14504</v>
      </c>
      <c r="B6980" s="123">
        <v>1587732.0</v>
      </c>
      <c r="C6980" s="124" t="s">
        <v>14505</v>
      </c>
      <c r="D6980" s="125"/>
      <c r="E6980" s="126">
        <v>61.27</v>
      </c>
      <c r="F6980" s="127"/>
      <c r="G6980" s="127"/>
      <c r="H6980" s="127"/>
      <c r="I6980" s="128"/>
      <c r="K6980" s="105" t="str">
        <f>IFERROR(__xludf.DUMMYFUNCTION("if(A6980="""","""",substitute(SUBSTITUTE(index(importhtml(""http://finviz.com/quote.ashx?t=""&amp;A6980,""table"",10),7,2),""*"",""""),""-"",""0.00""))"),"Loading...")</f>
        <v>Loading...</v>
      </c>
      <c r="L6980" s="129">
        <v>3.397669668E9</v>
      </c>
      <c r="M6980" s="99">
        <v>0.66</v>
      </c>
    </row>
    <row r="6981">
      <c r="A6981" s="122" t="s">
        <v>14506</v>
      </c>
      <c r="B6981" s="123">
        <v>37785.0</v>
      </c>
      <c r="C6981" s="124" t="s">
        <v>14507</v>
      </c>
      <c r="D6981" s="125"/>
      <c r="E6981" s="126">
        <v>61.43</v>
      </c>
      <c r="F6981" s="127"/>
      <c r="G6981" s="127"/>
      <c r="H6981" s="127"/>
      <c r="I6981" s="128"/>
      <c r="K6981" s="55" t="s">
        <v>11658</v>
      </c>
      <c r="L6981" s="129">
        <v>7.663933122E9</v>
      </c>
      <c r="M6981" s="99">
        <v>0.88</v>
      </c>
    </row>
    <row r="6982">
      <c r="A6982" s="122" t="s">
        <v>14508</v>
      </c>
      <c r="B6982" s="123">
        <v>1674101.0</v>
      </c>
      <c r="C6982" s="124" t="s">
        <v>14509</v>
      </c>
      <c r="D6982" s="125"/>
      <c r="E6982" s="126">
        <v>61.47</v>
      </c>
      <c r="F6982" s="127"/>
      <c r="G6982" s="127"/>
      <c r="H6982" s="127"/>
      <c r="I6982" s="128"/>
      <c r="K6982" s="105" t="str">
        <f>IFERROR(__xludf.DUMMYFUNCTION("if(A6982="""","""",substitute(SUBSTITUTE(index(importhtml(""http://finviz.com/quote.ashx?t=""&amp;A6982,""table"",10),7,2),""*"",""""),""-"",""0.00""))"),"Loading...")</f>
        <v>Loading...</v>
      </c>
      <c r="L6982" s="129">
        <v>2.2550821072E10</v>
      </c>
      <c r="M6982" s="99">
        <v>1.54</v>
      </c>
    </row>
    <row r="6983">
      <c r="A6983" s="122" t="s">
        <v>14510</v>
      </c>
      <c r="B6983" s="123">
        <v>1411207.0</v>
      </c>
      <c r="C6983" s="124" t="s">
        <v>14511</v>
      </c>
      <c r="D6983" s="125"/>
      <c r="E6983" s="126">
        <v>61.52</v>
      </c>
      <c r="F6983" s="127"/>
      <c r="G6983" s="127"/>
      <c r="H6983" s="127"/>
      <c r="I6983" s="128"/>
      <c r="K6983" s="105" t="str">
        <f>IFERROR(__xludf.DUMMYFUNCTION("if(A6983="""","""",substitute(SUBSTITUTE(index(importhtml(""http://finviz.com/quote.ashx?t=""&amp;A6983,""table"",10),7,2),""*"",""""),""-"",""0.00""))"),"Loading...")</f>
        <v>Loading...</v>
      </c>
      <c r="L6983" s="129">
        <v>5.505098784E9</v>
      </c>
      <c r="M6983" s="99">
        <v>0.97</v>
      </c>
    </row>
    <row r="6984">
      <c r="A6984" s="122" t="s">
        <v>14512</v>
      </c>
      <c r="B6984" s="123">
        <v>1415311.0</v>
      </c>
      <c r="C6984" s="124" t="s">
        <v>14513</v>
      </c>
      <c r="D6984" s="125"/>
      <c r="E6984" s="126">
        <v>61.59</v>
      </c>
      <c r="F6984" s="127"/>
      <c r="G6984" s="127"/>
      <c r="H6984" s="127"/>
      <c r="I6984" s="128"/>
      <c r="K6984" s="105" t="str">
        <f>IFERROR(__xludf.DUMMYFUNCTION("if(A6984="""","""",substitute(SUBSTITUTE(index(importhtml(""http://finviz.com/quote.ashx?t=""&amp;A6984,""table"",10),7,2),""*"",""""),""-"",""0.00""))"),"Loading...")</f>
        <v>Loading...</v>
      </c>
      <c r="L6984" s="129" t="e">
        <v>#N/A</v>
      </c>
      <c r="M6984" s="99" t="str">
        <f>IFERROR(__xludf.DUMMYFUNCTION("GOOGLEFINANCE(A6984,""beta"")"),"#N/A")</f>
        <v>#N/A</v>
      </c>
    </row>
    <row r="6985">
      <c r="A6985" s="122" t="s">
        <v>14514</v>
      </c>
      <c r="B6985" s="123">
        <v>1025378.0</v>
      </c>
      <c r="C6985" s="124" t="s">
        <v>14515</v>
      </c>
      <c r="D6985" s="125"/>
      <c r="E6985" s="126">
        <v>61.61</v>
      </c>
      <c r="F6985" s="127"/>
      <c r="G6985" s="127"/>
      <c r="H6985" s="127"/>
      <c r="I6985" s="128"/>
      <c r="K6985" s="105" t="str">
        <f>IFERROR(__xludf.DUMMYFUNCTION("if(A6985="""","""",substitute(SUBSTITUTE(index(importhtml(""http://finviz.com/quote.ashx?t=""&amp;A6985,""table"",10),7,2),""*"",""""),""-"",""0.00""))"),"Loading...")</f>
        <v>Loading...</v>
      </c>
      <c r="L6985" s="129">
        <v>1.3472369731E10</v>
      </c>
      <c r="M6985" s="99">
        <v>0.86</v>
      </c>
    </row>
    <row r="6986">
      <c r="A6986" s="122" t="s">
        <v>14516</v>
      </c>
      <c r="B6986" s="123">
        <v>855658.0</v>
      </c>
      <c r="C6986" s="124" t="s">
        <v>14517</v>
      </c>
      <c r="D6986" s="125"/>
      <c r="E6986" s="126">
        <v>61.68</v>
      </c>
      <c r="F6986" s="127"/>
      <c r="G6986" s="127"/>
      <c r="H6986" s="127"/>
      <c r="I6986" s="128"/>
      <c r="K6986" s="105" t="str">
        <f>IFERROR(__xludf.DUMMYFUNCTION("if(A6986="""","""",substitute(SUBSTITUTE(index(importhtml(""http://finviz.com/quote.ashx?t=""&amp;A6986,""table"",10),7,2),""*"",""""),""-"",""0.00""))"),"Loading...")</f>
        <v>Loading...</v>
      </c>
      <c r="L6986" s="129">
        <v>8.513585586E9</v>
      </c>
      <c r="M6986" s="99">
        <v>1.4</v>
      </c>
    </row>
    <row r="6987">
      <c r="A6987" s="122" t="s">
        <v>14518</v>
      </c>
      <c r="B6987" s="123">
        <v>1517375.0</v>
      </c>
      <c r="C6987" s="124" t="s">
        <v>14519</v>
      </c>
      <c r="D6987" s="125"/>
      <c r="E6987" s="126">
        <v>61.84</v>
      </c>
      <c r="F6987" s="127"/>
      <c r="G6987" s="127"/>
      <c r="H6987" s="127"/>
      <c r="I6987" s="128"/>
      <c r="K6987" s="105" t="str">
        <f>IFERROR(__xludf.DUMMYFUNCTION("if(A6987="""","""",substitute(SUBSTITUTE(index(importhtml(""http://finviz.com/quote.ashx?t=""&amp;A6987,""table"",10),7,2),""*"",""""),""-"",""0.00""))"),"Loading...")</f>
        <v>Loading...</v>
      </c>
      <c r="L6987" s="129">
        <v>3.462669586E9</v>
      </c>
      <c r="M6987" s="99">
        <v>1.08</v>
      </c>
    </row>
    <row r="6988">
      <c r="A6988" s="122" t="s">
        <v>14520</v>
      </c>
      <c r="B6988" s="123">
        <v>1295947.0</v>
      </c>
      <c r="C6988" s="124" t="s">
        <v>14521</v>
      </c>
      <c r="D6988" s="125"/>
      <c r="E6988" s="126">
        <v>61.88</v>
      </c>
      <c r="F6988" s="127"/>
      <c r="G6988" s="127"/>
      <c r="H6988" s="127"/>
      <c r="I6988" s="128"/>
      <c r="K6988" s="105" t="str">
        <f>IFERROR(__xludf.DUMMYFUNCTION("if(A6988="""","""",substitute(SUBSTITUTE(index(importhtml(""http://finviz.com/quote.ashx?t=""&amp;A6988,""table"",10),7,2),""*"",""""),""-"",""0.00""))"),"Loading...")</f>
        <v>Loading...</v>
      </c>
      <c r="L6988" s="129">
        <v>3.070397783E9</v>
      </c>
      <c r="M6988" s="99">
        <v>0.5</v>
      </c>
    </row>
    <row r="6989">
      <c r="A6989" s="122" t="s">
        <v>14522</v>
      </c>
      <c r="B6989" s="123">
        <v>46195.0</v>
      </c>
      <c r="C6989" s="124" t="s">
        <v>14523</v>
      </c>
      <c r="D6989" s="125"/>
      <c r="E6989" s="126">
        <v>61.91</v>
      </c>
      <c r="F6989" s="127"/>
      <c r="G6989" s="127"/>
      <c r="H6989" s="127"/>
      <c r="I6989" s="128"/>
      <c r="K6989" s="55" t="s">
        <v>13494</v>
      </c>
      <c r="L6989" s="129">
        <v>2.460957782E9</v>
      </c>
      <c r="M6989" s="99">
        <v>1.09</v>
      </c>
    </row>
    <row r="6990">
      <c r="A6990" s="122" t="s">
        <v>14524</v>
      </c>
      <c r="B6990" s="123">
        <v>1509589.0</v>
      </c>
      <c r="C6990" s="124" t="s">
        <v>14525</v>
      </c>
      <c r="D6990" s="125"/>
      <c r="E6990" s="126">
        <v>61.95</v>
      </c>
      <c r="F6990" s="127"/>
      <c r="G6990" s="127"/>
      <c r="H6990" s="127"/>
      <c r="I6990" s="128"/>
      <c r="K6990" s="105" t="str">
        <f>IFERROR(__xludf.DUMMYFUNCTION("if(A6990="""","""",substitute(SUBSTITUTE(index(importhtml(""http://finviz.com/quote.ashx?t=""&amp;A6990,""table"",10),7,2),""*"",""""),""-"",""0.00""))"),"Loading...")</f>
        <v>Loading...</v>
      </c>
      <c r="L6990" s="129">
        <v>6.254180912E9</v>
      </c>
      <c r="M6990" s="99">
        <v>1.74</v>
      </c>
    </row>
    <row r="6991">
      <c r="A6991" s="122" t="s">
        <v>14526</v>
      </c>
      <c r="B6991" s="123">
        <v>1750.0</v>
      </c>
      <c r="C6991" s="124" t="s">
        <v>14527</v>
      </c>
      <c r="D6991" s="125"/>
      <c r="E6991" s="126">
        <v>62.05</v>
      </c>
      <c r="F6991" s="127"/>
      <c r="G6991" s="127"/>
      <c r="H6991" s="127"/>
      <c r="I6991" s="128"/>
      <c r="K6991" s="55" t="s">
        <v>1034</v>
      </c>
      <c r="L6991" s="129">
        <v>2.202936302E9</v>
      </c>
      <c r="M6991" s="99">
        <v>1.67</v>
      </c>
    </row>
    <row r="6992">
      <c r="A6992" s="122" t="s">
        <v>14528</v>
      </c>
      <c r="B6992" s="123">
        <v>24545.0</v>
      </c>
      <c r="C6992" s="124" t="s">
        <v>14529</v>
      </c>
      <c r="D6992" s="125"/>
      <c r="E6992" s="126">
        <v>62.07</v>
      </c>
      <c r="F6992" s="127"/>
      <c r="G6992" s="127"/>
      <c r="H6992" s="127"/>
      <c r="I6992" s="128"/>
      <c r="K6992" s="105" t="str">
        <f>IFERROR(__xludf.DUMMYFUNCTION("if(A6992="""","""",substitute(SUBSTITUTE(index(importhtml(""http://finviz.com/quote.ashx?t=""&amp;A6992,""table"",10),7,2),""*"",""""),""-"",""0.00""))"),"Loading...")</f>
        <v>Loading...</v>
      </c>
      <c r="L6992" s="129">
        <v>1.2639525075E10</v>
      </c>
      <c r="M6992" s="99">
        <v>0.82</v>
      </c>
    </row>
    <row r="6993">
      <c r="A6993" s="122" t="s">
        <v>14530</v>
      </c>
      <c r="B6993" s="123">
        <v>1668717.0</v>
      </c>
      <c r="C6993" s="124" t="s">
        <v>14531</v>
      </c>
      <c r="D6993" s="125"/>
      <c r="E6993" s="126">
        <v>62.11</v>
      </c>
      <c r="F6993" s="127"/>
      <c r="G6993" s="127"/>
      <c r="H6993" s="127"/>
      <c r="I6993" s="128"/>
      <c r="K6993" s="55" t="s">
        <v>7515</v>
      </c>
      <c r="L6993" s="129">
        <v>1.07532472586E11</v>
      </c>
      <c r="M6993" s="99">
        <v>1.15</v>
      </c>
    </row>
    <row r="6994">
      <c r="A6994" s="122" t="s">
        <v>14532</v>
      </c>
      <c r="B6994" s="123">
        <v>1668717.0</v>
      </c>
      <c r="C6994" s="124" t="s">
        <v>14531</v>
      </c>
      <c r="D6994" s="125"/>
      <c r="E6994" s="126">
        <v>62.23</v>
      </c>
      <c r="F6994" s="127"/>
      <c r="G6994" s="127"/>
      <c r="H6994" s="127"/>
      <c r="I6994" s="128"/>
      <c r="K6994" s="105" t="str">
        <f>IFERROR(__xludf.DUMMYFUNCTION("if(A6994="""","""",substitute(SUBSTITUTE(index(importhtml(""http://finviz.com/quote.ashx?t=""&amp;A6994,""table"",10),7,2),""*"",""""),""-"",""0.00""))"),"Loading...")</f>
        <v>Loading...</v>
      </c>
      <c r="L6994" s="129">
        <v>1.07532472586E11</v>
      </c>
      <c r="M6994" s="99">
        <v>1.09</v>
      </c>
    </row>
    <row r="6995">
      <c r="A6995" s="122" t="s">
        <v>14533</v>
      </c>
      <c r="B6995" s="123">
        <v>799850.0</v>
      </c>
      <c r="C6995" s="124" t="s">
        <v>14534</v>
      </c>
      <c r="D6995" s="125"/>
      <c r="E6995" s="126">
        <v>62.25</v>
      </c>
      <c r="F6995" s="127"/>
      <c r="G6995" s="127"/>
      <c r="H6995" s="127"/>
      <c r="I6995" s="128"/>
      <c r="K6995" s="105" t="str">
        <f>IFERROR(__xludf.DUMMYFUNCTION("if(A6995="""","""",substitute(SUBSTITUTE(index(importhtml(""http://finviz.com/quote.ashx?t=""&amp;A6995,""table"",10),7,2),""*"",""""),""-"",""0.00""))"),"Loading...")</f>
        <v>Loading...</v>
      </c>
      <c r="L6995" s="129">
        <v>3.97954227E8</v>
      </c>
      <c r="M6995" s="99">
        <v>1.69</v>
      </c>
    </row>
    <row r="6996">
      <c r="A6996" s="122" t="s">
        <v>14535</v>
      </c>
      <c r="B6996" s="123">
        <v>1136893.0</v>
      </c>
      <c r="C6996" s="124" t="s">
        <v>14536</v>
      </c>
      <c r="D6996" s="125"/>
      <c r="E6996" s="126">
        <v>62.29</v>
      </c>
      <c r="F6996" s="127"/>
      <c r="G6996" s="127"/>
      <c r="H6996" s="127"/>
      <c r="I6996" s="128"/>
      <c r="K6996" s="55" t="s">
        <v>14368</v>
      </c>
      <c r="L6996" s="129">
        <v>3.6905803986E10</v>
      </c>
      <c r="M6996" s="99">
        <v>0.95</v>
      </c>
    </row>
    <row r="6997">
      <c r="A6997" s="122" t="s">
        <v>14537</v>
      </c>
      <c r="B6997" s="123">
        <v>94344.0</v>
      </c>
      <c r="C6997" s="124" t="s">
        <v>14538</v>
      </c>
      <c r="D6997" s="125"/>
      <c r="E6997" s="126">
        <v>62.32</v>
      </c>
      <c r="F6997" s="127"/>
      <c r="G6997" s="127"/>
      <c r="H6997" s="127"/>
      <c r="I6997" s="128"/>
      <c r="K6997" s="105" t="str">
        <f>IFERROR(__xludf.DUMMYFUNCTION("if(A6997="""","""",substitute(SUBSTITUTE(index(importhtml(""http://finviz.com/quote.ashx?t=""&amp;A6997,""table"",10),7,2),""*"",""""),""-"",""0.00""))"),"Loading...")</f>
        <v>Loading...</v>
      </c>
      <c r="L6997" s="129">
        <v>1.705215411E9</v>
      </c>
      <c r="M6997" s="99">
        <v>1.16</v>
      </c>
    </row>
    <row r="6998">
      <c r="A6998" s="122" t="s">
        <v>14539</v>
      </c>
      <c r="B6998" s="123">
        <v>1459200.0</v>
      </c>
      <c r="C6998" s="124" t="s">
        <v>14540</v>
      </c>
      <c r="D6998" s="125"/>
      <c r="E6998" s="126">
        <v>62.35</v>
      </c>
      <c r="F6998" s="127"/>
      <c r="G6998" s="127"/>
      <c r="H6998" s="127"/>
      <c r="I6998" s="128"/>
      <c r="K6998" s="105" t="str">
        <f>IFERROR(__xludf.DUMMYFUNCTION("if(A6998="""","""",substitute(SUBSTITUTE(index(importhtml(""http://finviz.com/quote.ashx?t=""&amp;A6998,""table"",10),7,2),""*"",""""),""-"",""0.00""))"),"Loading...")</f>
        <v>Loading...</v>
      </c>
      <c r="L6998" s="129">
        <v>3.116738006E9</v>
      </c>
      <c r="M6998" s="99">
        <v>0.9</v>
      </c>
    </row>
    <row r="6999">
      <c r="A6999" s="122" t="s">
        <v>14541</v>
      </c>
      <c r="B6999" s="123">
        <v>1666700.0</v>
      </c>
      <c r="C6999" s="124" t="s">
        <v>14542</v>
      </c>
      <c r="D6999" s="125"/>
      <c r="E6999" s="126">
        <v>62.36</v>
      </c>
      <c r="F6999" s="127"/>
      <c r="G6999" s="127"/>
      <c r="H6999" s="127"/>
      <c r="I6999" s="128"/>
      <c r="K6999" s="138" t="s">
        <v>11816</v>
      </c>
      <c r="L6999" s="129">
        <v>2.6817444326E10</v>
      </c>
      <c r="M6999" s="99">
        <v>1.29</v>
      </c>
    </row>
    <row r="7000">
      <c r="A7000" s="122" t="s">
        <v>14543</v>
      </c>
      <c r="B7000" s="123">
        <v>935419.0</v>
      </c>
      <c r="C7000" s="124" t="s">
        <v>14544</v>
      </c>
      <c r="D7000" s="125"/>
      <c r="E7000" s="126">
        <v>62.37</v>
      </c>
      <c r="F7000" s="127"/>
      <c r="G7000" s="127"/>
      <c r="H7000" s="127"/>
      <c r="I7000" s="128"/>
      <c r="K7000" s="105" t="str">
        <f>IFERROR(__xludf.DUMMYFUNCTION("if(A7000="""","""",substitute(SUBSTITUTE(index(importhtml(""http://finviz.com/quote.ashx?t=""&amp;A7000,""table"",10),7,2),""*"",""""),""-"",""0.00""))"),"Loading...")</f>
        <v>Loading...</v>
      </c>
      <c r="L7000" s="129">
        <v>5.83763543E8</v>
      </c>
      <c r="M7000" s="99">
        <v>1.7</v>
      </c>
    </row>
    <row r="7001">
      <c r="A7001" s="122" t="s">
        <v>14545</v>
      </c>
      <c r="B7001" s="123">
        <v>1633917.0</v>
      </c>
      <c r="C7001" s="124" t="s">
        <v>14546</v>
      </c>
      <c r="D7001" s="125"/>
      <c r="E7001" s="126">
        <v>62.42</v>
      </c>
      <c r="F7001" s="127"/>
      <c r="G7001" s="127"/>
      <c r="H7001" s="127"/>
      <c r="I7001" s="128"/>
      <c r="K7001" s="105" t="str">
        <f>IFERROR(__xludf.DUMMYFUNCTION("if(A7001="""","""",substitute(SUBSTITUTE(index(importhtml(""http://finviz.com/quote.ashx?t=""&amp;A7001,""table"",10),7,2),""*"",""""),""-"",""0.00""))"),"Loading...")</f>
        <v>Loading...</v>
      </c>
      <c r="L7001" s="129">
        <v>6.7297496825E10</v>
      </c>
      <c r="M7001" s="99">
        <v>1.47</v>
      </c>
    </row>
    <row r="7002">
      <c r="A7002" s="122" t="s">
        <v>14547</v>
      </c>
      <c r="B7002" s="123">
        <v>43920.0</v>
      </c>
      <c r="C7002" s="124" t="s">
        <v>14548</v>
      </c>
      <c r="D7002" s="125"/>
      <c r="E7002" s="126">
        <v>62.48</v>
      </c>
      <c r="F7002" s="127"/>
      <c r="G7002" s="127"/>
      <c r="H7002" s="127"/>
      <c r="I7002" s="128"/>
      <c r="K7002" s="55" t="s">
        <v>14368</v>
      </c>
      <c r="L7002" s="129">
        <v>2.930356339E9</v>
      </c>
      <c r="M7002" s="99">
        <v>0.87</v>
      </c>
    </row>
    <row r="7003">
      <c r="A7003" s="122" t="s">
        <v>14549</v>
      </c>
      <c r="B7003" s="123">
        <v>1353613.0</v>
      </c>
      <c r="C7003" s="124" t="s">
        <v>14550</v>
      </c>
      <c r="D7003" s="125"/>
      <c r="E7003" s="126">
        <v>62.51</v>
      </c>
      <c r="F7003" s="127"/>
      <c r="G7003" s="127"/>
      <c r="H7003" s="127"/>
      <c r="I7003" s="128"/>
      <c r="K7003" s="55" t="s">
        <v>1034</v>
      </c>
      <c r="L7003" s="129" t="e">
        <v>#N/A</v>
      </c>
      <c r="M7003" s="99" t="str">
        <f>IFERROR(__xludf.DUMMYFUNCTION("GOOGLEFINANCE(A7003,""beta"")"),"#N/A")</f>
        <v>#N/A</v>
      </c>
    </row>
    <row r="7004">
      <c r="A7004" s="122" t="s">
        <v>14551</v>
      </c>
      <c r="B7004" s="123">
        <v>1492422.0</v>
      </c>
      <c r="C7004" s="124" t="s">
        <v>14552</v>
      </c>
      <c r="D7004" s="125"/>
      <c r="E7004" s="126">
        <v>62.56</v>
      </c>
      <c r="F7004" s="127"/>
      <c r="G7004" s="127"/>
      <c r="H7004" s="127"/>
      <c r="I7004" s="128"/>
      <c r="K7004" s="105" t="str">
        <f>IFERROR(__xludf.DUMMYFUNCTION("if(A7004="""","""",substitute(SUBSTITUTE(index(importhtml(""http://finviz.com/quote.ashx?t=""&amp;A7004,""table"",10),7,2),""*"",""""),""-"",""0.00""))"),"Loading...")</f>
        <v>Loading...</v>
      </c>
      <c r="L7004" s="129">
        <v>7.413353906E9</v>
      </c>
      <c r="M7004" s="99">
        <v>0.93</v>
      </c>
    </row>
    <row r="7005">
      <c r="A7005" s="122" t="s">
        <v>14553</v>
      </c>
      <c r="B7005" s="123">
        <v>910606.0</v>
      </c>
      <c r="C7005" s="124" t="s">
        <v>14554</v>
      </c>
      <c r="D7005" s="125"/>
      <c r="E7005" s="126">
        <v>62.6</v>
      </c>
      <c r="F7005" s="127"/>
      <c r="G7005" s="127"/>
      <c r="H7005" s="127"/>
      <c r="I7005" s="128"/>
      <c r="K7005" s="105" t="str">
        <f>IFERROR(__xludf.DUMMYFUNCTION("if(A7005="""","""",substitute(SUBSTITUTE(index(importhtml(""http://finviz.com/quote.ashx?t=""&amp;A7005,""table"",10),7,2),""*"",""""),""-"",""0.00""))"),"Loading...")</f>
        <v>Loading...</v>
      </c>
      <c r="L7005" s="129">
        <v>1.1554764058E10</v>
      </c>
      <c r="M7005" s="99">
        <v>1.18</v>
      </c>
    </row>
    <row r="7006">
      <c r="A7006" s="122" t="s">
        <v>14555</v>
      </c>
      <c r="B7006" s="123">
        <v>1068851.0</v>
      </c>
      <c r="C7006" s="124" t="s">
        <v>14556</v>
      </c>
      <c r="D7006" s="125"/>
      <c r="E7006" s="126">
        <v>62.73</v>
      </c>
      <c r="F7006" s="127"/>
      <c r="G7006" s="127"/>
      <c r="H7006" s="127"/>
      <c r="I7006" s="128"/>
      <c r="K7006" s="138" t="s">
        <v>14557</v>
      </c>
      <c r="L7006" s="129">
        <v>5.879180389E9</v>
      </c>
      <c r="M7006" s="99">
        <v>0.95</v>
      </c>
    </row>
    <row r="7007">
      <c r="A7007" s="122" t="s">
        <v>14558</v>
      </c>
      <c r="B7007" s="123">
        <v>773141.0</v>
      </c>
      <c r="C7007" s="124" t="s">
        <v>14361</v>
      </c>
      <c r="D7007" s="125"/>
      <c r="E7007" s="126">
        <v>62.74</v>
      </c>
      <c r="F7007" s="127"/>
      <c r="G7007" s="127"/>
      <c r="H7007" s="127"/>
      <c r="I7007" s="128"/>
      <c r="K7007" s="105" t="str">
        <f>IFERROR(__xludf.DUMMYFUNCTION("if(A7007="""","""",substitute(SUBSTITUTE(index(importhtml(""http://finviz.com/quote.ashx?t=""&amp;A7007,""table"",10),7,2),""*"",""""),""-"",""0.00""))"),"Loading...")</f>
        <v>Loading...</v>
      </c>
      <c r="L7007" s="129">
        <v>4.684249459E9</v>
      </c>
      <c r="M7007" s="99">
        <v>1.56</v>
      </c>
    </row>
    <row r="7008">
      <c r="A7008" s="122" t="s">
        <v>14559</v>
      </c>
      <c r="B7008" s="123">
        <v>1748797.0</v>
      </c>
      <c r="C7008" s="124" t="s">
        <v>14560</v>
      </c>
      <c r="D7008" s="125"/>
      <c r="E7008" s="126">
        <v>62.89</v>
      </c>
      <c r="F7008" s="127"/>
      <c r="G7008" s="127"/>
      <c r="H7008" s="127"/>
      <c r="I7008" s="128"/>
      <c r="K7008" s="105" t="str">
        <f>IFERROR(__xludf.DUMMYFUNCTION("if(A7008="""","""",substitute(SUBSTITUTE(index(importhtml(""http://finviz.com/quote.ashx?t=""&amp;A7008,""table"",10),7,2),""*"",""""),""-"",""0.00""))"),"Loading...")</f>
        <v>Loading...</v>
      </c>
      <c r="L7008" s="129">
        <v>3.839227977E9</v>
      </c>
      <c r="M7008" s="99">
        <v>2.13</v>
      </c>
    </row>
    <row r="7009">
      <c r="A7009" s="122" t="s">
        <v>14561</v>
      </c>
      <c r="B7009" s="123">
        <v>316709.0</v>
      </c>
      <c r="C7009" s="124" t="s">
        <v>14562</v>
      </c>
      <c r="D7009" s="125"/>
      <c r="E7009" s="126">
        <v>62.94</v>
      </c>
      <c r="F7009" s="127"/>
      <c r="G7009" s="127"/>
      <c r="H7009" s="127"/>
      <c r="I7009" s="128"/>
      <c r="K7009" s="105" t="str">
        <f>IFERROR(__xludf.DUMMYFUNCTION("if(A7009="""","""",substitute(SUBSTITUTE(index(importhtml(""http://finviz.com/quote.ashx?t=""&amp;A7009,""table"",10),7,2),""*"",""""),""-"",""0.00""))"),"Loading...")</f>
        <v>Loading...</v>
      </c>
      <c r="L7009" s="129">
        <v>1.14712867997E11</v>
      </c>
      <c r="M7009" s="99">
        <v>0.99</v>
      </c>
    </row>
    <row r="7010">
      <c r="A7010" s="122" t="s">
        <v>14563</v>
      </c>
      <c r="B7010" s="123">
        <v>310142.0</v>
      </c>
      <c r="C7010" s="124" t="s">
        <v>14564</v>
      </c>
      <c r="D7010" s="125"/>
      <c r="E7010" s="126">
        <v>62.96</v>
      </c>
      <c r="F7010" s="127"/>
      <c r="G7010" s="127"/>
      <c r="H7010" s="127"/>
      <c r="I7010" s="128"/>
      <c r="K7010" s="105" t="str">
        <f>IFERROR(__xludf.DUMMYFUNCTION("if(A7010="""","""",substitute(SUBSTITUTE(index(importhtml(""http://finviz.com/quote.ashx?t=""&amp;A7010,""table"",10),7,2),""*"",""""),""-"",""0.00""))"),"Loading...")</f>
        <v>Loading...</v>
      </c>
      <c r="L7010" s="129">
        <v>2.66002911E9</v>
      </c>
      <c r="M7010" s="99">
        <v>0.78</v>
      </c>
    </row>
    <row r="7011">
      <c r="A7011" s="122" t="s">
        <v>14565</v>
      </c>
      <c r="B7011" s="123">
        <v>1480170.0</v>
      </c>
      <c r="C7011" s="124" t="s">
        <v>14566</v>
      </c>
      <c r="D7011" s="125"/>
      <c r="E7011" s="126">
        <v>62.99</v>
      </c>
      <c r="F7011" s="127"/>
      <c r="G7011" s="127"/>
      <c r="H7011" s="127"/>
      <c r="I7011" s="128"/>
      <c r="K7011" s="105" t="str">
        <f>IFERROR(__xludf.DUMMYFUNCTION("if(A7011="""","""",substitute(SUBSTITUTE(index(importhtml(""http://finviz.com/quote.ashx?t=""&amp;A7011,""table"",10),7,2),""*"",""""),""-"",""0.00""))"),"Loading...")</f>
        <v>Loading...</v>
      </c>
      <c r="L7011" s="129" t="e">
        <v>#N/A</v>
      </c>
      <c r="M7011" s="99">
        <v>0.15</v>
      </c>
    </row>
    <row r="7012">
      <c r="A7012" s="122" t="s">
        <v>14567</v>
      </c>
      <c r="B7012" s="123">
        <v>1852039.0</v>
      </c>
      <c r="C7012" s="124" t="s">
        <v>14568</v>
      </c>
      <c r="D7012" s="125"/>
      <c r="E7012" s="126">
        <v>63.25</v>
      </c>
      <c r="F7012" s="127"/>
      <c r="G7012" s="127"/>
      <c r="H7012" s="127"/>
      <c r="I7012" s="128"/>
      <c r="K7012" s="105" t="str">
        <f>IFERROR(__xludf.DUMMYFUNCTION("if(A7012="""","""",substitute(SUBSTITUTE(index(importhtml(""http://finviz.com/quote.ashx?t=""&amp;A7012,""table"",10),7,2),""*"",""""),""-"",""0.00""))"),"Loading...")</f>
        <v>Loading...</v>
      </c>
      <c r="L7012" s="129" t="e">
        <v>#N/A</v>
      </c>
      <c r="M7012" s="99">
        <f>IFERROR(__xludf.DUMMYFUNCTION("GOOGLEFINANCE(A7012,""beta"")"),5.69)</f>
        <v>5.69</v>
      </c>
    </row>
    <row r="7013">
      <c r="A7013" s="122" t="s">
        <v>14569</v>
      </c>
      <c r="B7013" s="123">
        <v>1306965.0</v>
      </c>
      <c r="C7013" s="124" t="s">
        <v>12926</v>
      </c>
      <c r="D7013" s="125"/>
      <c r="E7013" s="126">
        <v>63.3</v>
      </c>
      <c r="F7013" s="127"/>
      <c r="G7013" s="127"/>
      <c r="H7013" s="127"/>
      <c r="I7013" s="128"/>
      <c r="K7013" s="105" t="str">
        <f>IFERROR(__xludf.DUMMYFUNCTION("if(A7013="""","""",substitute(SUBSTITUTE(index(importhtml(""http://finviz.com/quote.ashx?t=""&amp;A7013,""table"",10),7,2),""*"",""""),""-"",""0.00""))"),"Loading...")</f>
        <v>Loading...</v>
      </c>
      <c r="L7013" s="129">
        <v>2.0489418503E11</v>
      </c>
      <c r="M7013" s="99">
        <v>0.61</v>
      </c>
    </row>
    <row r="7014">
      <c r="A7014" s="122" t="s">
        <v>14570</v>
      </c>
      <c r="B7014" s="123">
        <v>1424929.0</v>
      </c>
      <c r="C7014" s="124" t="s">
        <v>14571</v>
      </c>
      <c r="D7014" s="125"/>
      <c r="E7014" s="126">
        <v>63.36</v>
      </c>
      <c r="F7014" s="127"/>
      <c r="G7014" s="127"/>
      <c r="H7014" s="127"/>
      <c r="I7014" s="128"/>
      <c r="K7014" s="105" t="str">
        <f>IFERROR(__xludf.DUMMYFUNCTION("if(A7014="""","""",substitute(SUBSTITUTE(index(importhtml(""http://finviz.com/quote.ashx?t=""&amp;A7014,""table"",10),7,2),""*"",""""),""-"",""0.00""))"),"Loading...")</f>
        <v>Loading...</v>
      </c>
      <c r="L7014" s="129">
        <v>2.68525575E9</v>
      </c>
      <c r="M7014" s="99">
        <v>1.71</v>
      </c>
    </row>
    <row r="7015">
      <c r="A7015" s="122" t="s">
        <v>14572</v>
      </c>
      <c r="B7015" s="123">
        <v>97216.0</v>
      </c>
      <c r="C7015" s="124" t="s">
        <v>14573</v>
      </c>
      <c r="D7015" s="125"/>
      <c r="E7015" s="126">
        <v>63.36</v>
      </c>
      <c r="F7015" s="127"/>
      <c r="G7015" s="127"/>
      <c r="H7015" s="127"/>
      <c r="I7015" s="128"/>
      <c r="K7015" s="105" t="str">
        <f>IFERROR(__xludf.DUMMYFUNCTION("if(A7015="""","""",substitute(SUBSTITUTE(index(importhtml(""http://finviz.com/quote.ashx?t=""&amp;A7015,""table"",10),7,2),""*"",""""),""-"",""0.00""))"),"Loading...")</f>
        <v>Loading...</v>
      </c>
      <c r="L7015" s="129">
        <v>3.062332023E9</v>
      </c>
      <c r="M7015" s="99">
        <v>1.67</v>
      </c>
    </row>
    <row r="7016">
      <c r="A7016" s="122" t="s">
        <v>14574</v>
      </c>
      <c r="B7016" s="123">
        <v>1720635.0</v>
      </c>
      <c r="C7016" s="124" t="s">
        <v>14575</v>
      </c>
      <c r="D7016" s="125"/>
      <c r="E7016" s="126">
        <v>63.43</v>
      </c>
      <c r="F7016" s="127"/>
      <c r="G7016" s="127"/>
      <c r="H7016" s="127"/>
      <c r="I7016" s="128"/>
      <c r="K7016" s="105" t="str">
        <f>IFERROR(__xludf.DUMMYFUNCTION("if(A7016="""","""",substitute(SUBSTITUTE(index(importhtml(""http://finviz.com/quote.ashx?t=""&amp;A7016,""table"",10),7,2),""*"",""""),""-"",""0.00""))"),"Loading...")</f>
        <v>Loading...</v>
      </c>
      <c r="L7016" s="129">
        <v>1.0523785524E10</v>
      </c>
      <c r="M7016" s="99">
        <v>1.33</v>
      </c>
    </row>
    <row r="7017">
      <c r="A7017" s="122" t="s">
        <v>14576</v>
      </c>
      <c r="B7017" s="123">
        <v>1786205.0</v>
      </c>
      <c r="C7017" s="124" t="s">
        <v>14577</v>
      </c>
      <c r="D7017" s="125"/>
      <c r="E7017" s="126">
        <v>63.54</v>
      </c>
      <c r="F7017" s="127"/>
      <c r="G7017" s="127"/>
      <c r="H7017" s="127"/>
      <c r="I7017" s="128"/>
      <c r="K7017" s="105" t="str">
        <f>IFERROR(__xludf.DUMMYFUNCTION("if(A7017="""","""",substitute(SUBSTITUTE(index(importhtml(""http://finviz.com/quote.ashx?t=""&amp;A7017,""table"",10),7,2),""*"",""""),""-"",""0.00""))"),"Loading...")</f>
        <v>Loading...</v>
      </c>
      <c r="L7017" s="129">
        <v>3.093519286E9</v>
      </c>
      <c r="M7017" s="99">
        <f>IFERROR(__xludf.DUMMYFUNCTION("GOOGLEFINANCE(A7017,""beta"")"),0.32)</f>
        <v>0.32</v>
      </c>
    </row>
    <row r="7018">
      <c r="A7018" s="122" t="s">
        <v>14578</v>
      </c>
      <c r="B7018" s="123">
        <v>1669811.0</v>
      </c>
      <c r="C7018" s="124" t="s">
        <v>14579</v>
      </c>
      <c r="D7018" s="125"/>
      <c r="E7018" s="126">
        <v>63.55</v>
      </c>
      <c r="F7018" s="127"/>
      <c r="G7018" s="127"/>
      <c r="H7018" s="127"/>
      <c r="I7018" s="128"/>
      <c r="K7018" s="105" t="str">
        <f>IFERROR(__xludf.DUMMYFUNCTION("if(A7018="""","""",substitute(SUBSTITUTE(index(importhtml(""http://finviz.com/quote.ashx?t=""&amp;A7018,""table"",10),7,2),""*"",""""),""-"",""0.00""))"),"Loading...")</f>
        <v>Loading...</v>
      </c>
      <c r="L7018" s="129">
        <v>1.849790499E9</v>
      </c>
      <c r="M7018" s="99">
        <v>1.51</v>
      </c>
    </row>
    <row r="7019">
      <c r="A7019" s="122" t="s">
        <v>14580</v>
      </c>
      <c r="B7019" s="123">
        <v>1037540.0</v>
      </c>
      <c r="C7019" s="124" t="s">
        <v>14581</v>
      </c>
      <c r="D7019" s="125"/>
      <c r="E7019" s="126">
        <v>63.69</v>
      </c>
      <c r="F7019" s="127"/>
      <c r="G7019" s="127"/>
      <c r="H7019" s="127"/>
      <c r="I7019" s="128"/>
      <c r="K7019" s="55" t="s">
        <v>14582</v>
      </c>
      <c r="L7019" s="129">
        <v>9.995514753E9</v>
      </c>
      <c r="M7019" s="99">
        <v>1.15</v>
      </c>
    </row>
    <row r="7020">
      <c r="A7020" s="122" t="s">
        <v>14583</v>
      </c>
      <c r="B7020" s="123">
        <v>1691303.0</v>
      </c>
      <c r="C7020" s="124" t="s">
        <v>14584</v>
      </c>
      <c r="D7020" s="125"/>
      <c r="E7020" s="126">
        <v>63.76</v>
      </c>
      <c r="F7020" s="127"/>
      <c r="G7020" s="127"/>
      <c r="H7020" s="127"/>
      <c r="I7020" s="128"/>
      <c r="K7020" s="105" t="str">
        <f>IFERROR(__xludf.DUMMYFUNCTION("if(A7020="""","""",substitute(SUBSTITUTE(index(importhtml(""http://finviz.com/quote.ashx?t=""&amp;A7020,""table"",10),7,2),""*"",""""),""-"",""0.00""))"),"#REF!")</f>
        <v>#REF!</v>
      </c>
      <c r="L7020" s="129">
        <v>3.316725614E9</v>
      </c>
      <c r="M7020" s="99">
        <v>0.98</v>
      </c>
    </row>
    <row r="7021">
      <c r="A7021" s="122" t="s">
        <v>14585</v>
      </c>
      <c r="B7021" s="123">
        <v>1329394.0</v>
      </c>
      <c r="C7021" s="124" t="s">
        <v>14586</v>
      </c>
      <c r="D7021" s="125"/>
      <c r="E7021" s="126">
        <v>63.89</v>
      </c>
      <c r="F7021" s="127"/>
      <c r="G7021" s="127"/>
      <c r="H7021" s="127"/>
      <c r="I7021" s="128"/>
      <c r="K7021" s="105" t="str">
        <f>IFERROR(__xludf.DUMMYFUNCTION("if(A7021="""","""",substitute(SUBSTITUTE(index(importhtml(""http://finviz.com/quote.ashx?t=""&amp;A7021,""table"",10),7,2),""*"",""""),""-"",""0.00""))"),"#REF!")</f>
        <v>#REF!</v>
      </c>
      <c r="L7021" s="129">
        <v>2.134390459E9</v>
      </c>
      <c r="M7021" s="99">
        <v>0.82</v>
      </c>
    </row>
    <row r="7022">
      <c r="A7022" s="122" t="s">
        <v>14587</v>
      </c>
      <c r="B7022" s="123">
        <v>1578019.0</v>
      </c>
      <c r="C7022" s="124" t="s">
        <v>14588</v>
      </c>
      <c r="D7022" s="125"/>
      <c r="E7022" s="126">
        <v>63.99</v>
      </c>
      <c r="F7022" s="127"/>
      <c r="G7022" s="127"/>
      <c r="H7022" s="127"/>
      <c r="I7022" s="128"/>
      <c r="K7022" s="105" t="str">
        <f>IFERROR(__xludf.DUMMYFUNCTION("if(A7022="""","""",substitute(SUBSTITUTE(index(importhtml(""http://finviz.com/quote.ashx?t=""&amp;A7022,""table"",10),7,2),""*"",""""),""-"",""0.00""))"),"Loading...")</f>
        <v>Loading...</v>
      </c>
      <c r="L7022" s="129" t="e">
        <v>#N/A</v>
      </c>
      <c r="M7022" s="99">
        <v>0.63</v>
      </c>
    </row>
    <row r="7023">
      <c r="A7023" s="122" t="s">
        <v>14589</v>
      </c>
      <c r="B7023" s="123">
        <v>1124140.0</v>
      </c>
      <c r="C7023" s="124" t="s">
        <v>14590</v>
      </c>
      <c r="D7023" s="125"/>
      <c r="E7023" s="126">
        <v>64.05</v>
      </c>
      <c r="F7023" s="127"/>
      <c r="G7023" s="127"/>
      <c r="H7023" s="127"/>
      <c r="I7023" s="128"/>
      <c r="K7023" s="105" t="str">
        <f>IFERROR(__xludf.DUMMYFUNCTION("if(A7023="""","""",substitute(SUBSTITUTE(index(importhtml(""http://finviz.com/quote.ashx?t=""&amp;A7023,""table"",10),7,2),""*"",""""),""-"",""0.00""))"),"Loading...")</f>
        <v>Loading...</v>
      </c>
      <c r="L7023" s="129">
        <v>1.1583436646E10</v>
      </c>
      <c r="M7023" s="99">
        <v>1.27</v>
      </c>
    </row>
    <row r="7024">
      <c r="A7024" s="122" t="s">
        <v>14591</v>
      </c>
      <c r="B7024" s="123">
        <v>100826.0</v>
      </c>
      <c r="C7024" s="124" t="s">
        <v>14444</v>
      </c>
      <c r="D7024" s="125"/>
      <c r="E7024" s="126">
        <v>64.07</v>
      </c>
      <c r="F7024" s="127"/>
      <c r="G7024" s="127"/>
      <c r="H7024" s="127"/>
      <c r="I7024" s="128"/>
      <c r="K7024" s="105" t="str">
        <f>IFERROR(__xludf.DUMMYFUNCTION("if(A7024="""","""",substitute(SUBSTITUTE(index(importhtml(""http://finviz.com/quote.ashx?t=""&amp;A7024,""table"",10),7,2),""*"",""""),""-"",""0.00""))"),"Loading...")</f>
        <v>Loading...</v>
      </c>
      <c r="L7024" s="129">
        <v>5246800.0</v>
      </c>
      <c r="M7024" s="99">
        <v>0.3</v>
      </c>
    </row>
    <row r="7025">
      <c r="A7025" s="122" t="s">
        <v>14592</v>
      </c>
      <c r="B7025" s="123">
        <v>944148.0</v>
      </c>
      <c r="C7025" s="124" t="s">
        <v>14593</v>
      </c>
      <c r="D7025" s="125"/>
      <c r="E7025" s="126">
        <v>64.11</v>
      </c>
      <c r="F7025" s="127"/>
      <c r="G7025" s="127"/>
      <c r="H7025" s="127"/>
      <c r="I7025" s="128"/>
      <c r="K7025" s="55" t="s">
        <v>1034</v>
      </c>
      <c r="L7025" s="129">
        <v>3.195359751E9</v>
      </c>
      <c r="M7025" s="99">
        <v>0.8</v>
      </c>
    </row>
    <row r="7026">
      <c r="A7026" s="122" t="s">
        <v>14594</v>
      </c>
      <c r="B7026" s="123">
        <v>906553.0</v>
      </c>
      <c r="C7026" s="124" t="s">
        <v>14595</v>
      </c>
      <c r="D7026" s="125"/>
      <c r="E7026" s="126">
        <v>64.12</v>
      </c>
      <c r="F7026" s="127"/>
      <c r="G7026" s="127"/>
      <c r="H7026" s="127"/>
      <c r="I7026" s="128"/>
      <c r="K7026" s="55" t="s">
        <v>6916</v>
      </c>
      <c r="L7026" s="129">
        <v>6.274918761E9</v>
      </c>
      <c r="M7026" s="99">
        <v>1.61</v>
      </c>
    </row>
    <row r="7027">
      <c r="A7027" s="122" t="s">
        <v>14596</v>
      </c>
      <c r="B7027" s="123">
        <v>895126.0</v>
      </c>
      <c r="C7027" s="124" t="s">
        <v>14478</v>
      </c>
      <c r="D7027" s="125"/>
      <c r="E7027" s="126">
        <v>64.15</v>
      </c>
      <c r="F7027" s="127"/>
      <c r="G7027" s="127"/>
      <c r="H7027" s="127"/>
      <c r="I7027" s="128"/>
      <c r="K7027" s="105" t="str">
        <f>IFERROR(__xludf.DUMMYFUNCTION("if(A7027="""","""",substitute(SUBSTITUTE(index(importhtml(""http://finviz.com/quote.ashx?t=""&amp;A7027,""table"",10),7,2),""*"",""""),""-"",""0.00""))"),"Loading...")</f>
        <v>Loading...</v>
      </c>
      <c r="L7027" s="129">
        <v>1.0038819317E10</v>
      </c>
      <c r="M7027" s="99" t="str">
        <f>IFERROR(__xludf.DUMMYFUNCTION("GOOGLEFINANCE(A7027,""beta"")"),"#N/A")</f>
        <v>#N/A</v>
      </c>
    </row>
    <row r="7028">
      <c r="A7028" s="122" t="s">
        <v>14597</v>
      </c>
      <c r="B7028" s="123">
        <v>1585521.0</v>
      </c>
      <c r="C7028" s="124" t="s">
        <v>14598</v>
      </c>
      <c r="D7028" s="125"/>
      <c r="E7028" s="126">
        <v>64.27</v>
      </c>
      <c r="F7028" s="127"/>
      <c r="G7028" s="127"/>
      <c r="H7028" s="127"/>
      <c r="I7028" s="128"/>
      <c r="K7028" s="55" t="s">
        <v>1034</v>
      </c>
      <c r="L7028" s="129">
        <v>1.9565290896E10</v>
      </c>
      <c r="M7028" s="99">
        <v>-0.08</v>
      </c>
    </row>
    <row r="7029">
      <c r="A7029" s="122" t="s">
        <v>14599</v>
      </c>
      <c r="B7029" s="123">
        <v>1046102.0</v>
      </c>
      <c r="C7029" s="124" t="s">
        <v>14600</v>
      </c>
      <c r="D7029" s="125"/>
      <c r="E7029" s="126">
        <v>64.29</v>
      </c>
      <c r="F7029" s="127"/>
      <c r="G7029" s="127"/>
      <c r="H7029" s="127"/>
      <c r="I7029" s="128"/>
      <c r="K7029" s="105" t="str">
        <f>IFERROR(__xludf.DUMMYFUNCTION("if(A7029="""","""",substitute(SUBSTITUTE(index(importhtml(""http://finviz.com/quote.ashx?t=""&amp;A7029,""table"",10),7,2),""*"",""""),""-"",""0.00""))"),"Loading...")</f>
        <v>Loading...</v>
      </c>
      <c r="L7029" s="129">
        <v>1.1753427248E10</v>
      </c>
      <c r="M7029" s="99">
        <v>0.83</v>
      </c>
    </row>
    <row r="7030">
      <c r="A7030" s="122" t="s">
        <v>14601</v>
      </c>
      <c r="B7030" s="123">
        <v>1161728.0</v>
      </c>
      <c r="C7030" s="124" t="s">
        <v>14602</v>
      </c>
      <c r="D7030" s="125"/>
      <c r="E7030" s="126">
        <v>64.3</v>
      </c>
      <c r="F7030" s="127"/>
      <c r="G7030" s="127"/>
      <c r="H7030" s="127"/>
      <c r="I7030" s="128"/>
      <c r="K7030" s="105" t="str">
        <f>IFERROR(__xludf.DUMMYFUNCTION("if(A7030="""","""",substitute(SUBSTITUTE(index(importhtml(""http://finviz.com/quote.ashx?t=""&amp;A7030,""table"",10),7,2),""*"",""""),""-"",""0.00""))"),"Loading...")</f>
        <v>Loading...</v>
      </c>
      <c r="L7030" s="129">
        <v>2.325304801E9</v>
      </c>
      <c r="M7030" s="99">
        <v>0.71</v>
      </c>
    </row>
    <row r="7031">
      <c r="A7031" s="122" t="s">
        <v>14603</v>
      </c>
      <c r="B7031" s="123">
        <v>885725.0</v>
      </c>
      <c r="C7031" s="124" t="s">
        <v>14604</v>
      </c>
      <c r="D7031" s="125"/>
      <c r="E7031" s="126">
        <v>64.37</v>
      </c>
      <c r="F7031" s="127"/>
      <c r="G7031" s="127"/>
      <c r="H7031" s="127"/>
      <c r="I7031" s="128"/>
      <c r="K7031" s="55" t="s">
        <v>1034</v>
      </c>
      <c r="L7031" s="129">
        <v>9.4300895363E10</v>
      </c>
      <c r="M7031" s="99">
        <v>0.78</v>
      </c>
    </row>
    <row r="7032">
      <c r="A7032" s="122" t="s">
        <v>14605</v>
      </c>
      <c r="B7032" s="123">
        <v>879764.0</v>
      </c>
      <c r="C7032" s="124" t="s">
        <v>14606</v>
      </c>
      <c r="D7032" s="125"/>
      <c r="E7032" s="126">
        <v>64.37</v>
      </c>
      <c r="F7032" s="127"/>
      <c r="G7032" s="127"/>
      <c r="H7032" s="127"/>
      <c r="I7032" s="128"/>
      <c r="K7032" s="105" t="str">
        <f>IFERROR(__xludf.DUMMYFUNCTION("if(A7032="""","""",substitute(SUBSTITUTE(index(importhtml(""http://finviz.com/quote.ashx?t=""&amp;A7032,""table"",10),7,2),""*"",""""),""-"",""0.00""))"),"Loading...")</f>
        <v>Loading...</v>
      </c>
      <c r="L7032" s="129">
        <v>1.4562281942E11</v>
      </c>
      <c r="M7032" s="99">
        <v>0.94</v>
      </c>
    </row>
    <row r="7033">
      <c r="A7033" s="122" t="s">
        <v>14607</v>
      </c>
      <c r="B7033" s="123">
        <v>1817358.0</v>
      </c>
      <c r="C7033" s="124" t="s">
        <v>14608</v>
      </c>
      <c r="D7033" s="125"/>
      <c r="E7033" s="126">
        <v>64.48</v>
      </c>
      <c r="F7033" s="127"/>
      <c r="G7033" s="127"/>
      <c r="H7033" s="127"/>
      <c r="I7033" s="128"/>
      <c r="K7033" s="55" t="s">
        <v>5927</v>
      </c>
      <c r="L7033" s="129">
        <v>4.781281231E9</v>
      </c>
      <c r="M7033" s="99">
        <v>1.34</v>
      </c>
    </row>
    <row r="7034">
      <c r="A7034" s="122" t="s">
        <v>14609</v>
      </c>
      <c r="B7034" s="123">
        <v>74046.0</v>
      </c>
      <c r="C7034" s="124" t="s">
        <v>14610</v>
      </c>
      <c r="D7034" s="125"/>
      <c r="E7034" s="126">
        <v>64.48</v>
      </c>
      <c r="F7034" s="127"/>
      <c r="G7034" s="127"/>
      <c r="H7034" s="127"/>
      <c r="I7034" s="128"/>
      <c r="K7034" s="105" t="str">
        <f>IFERROR(__xludf.DUMMYFUNCTION("if(A7034="""","""",substitute(SUBSTITUTE(index(importhtml(""http://finviz.com/quote.ashx?t=""&amp;A7034,""table"",10),7,2),""*"",""""),""-"",""0.00""))"),"Loading...")</f>
        <v>Loading...</v>
      </c>
      <c r="L7034" s="129">
        <v>4.70885858E8</v>
      </c>
      <c r="M7034" s="99">
        <v>0.64</v>
      </c>
    </row>
    <row r="7035">
      <c r="A7035" s="122" t="s">
        <v>14611</v>
      </c>
      <c r="B7035" s="123">
        <v>1531152.0</v>
      </c>
      <c r="C7035" s="124" t="s">
        <v>14612</v>
      </c>
      <c r="D7035" s="125"/>
      <c r="E7035" s="126">
        <v>64.51</v>
      </c>
      <c r="F7035" s="127"/>
      <c r="G7035" s="127"/>
      <c r="H7035" s="127"/>
      <c r="I7035" s="128"/>
      <c r="K7035" s="55" t="s">
        <v>1034</v>
      </c>
      <c r="L7035" s="129">
        <v>8.604408594E9</v>
      </c>
      <c r="M7035" s="99">
        <v>0.23</v>
      </c>
    </row>
    <row r="7036">
      <c r="A7036" s="122" t="s">
        <v>14613</v>
      </c>
      <c r="B7036" s="123">
        <v>1353614.0</v>
      </c>
      <c r="C7036" s="124" t="s">
        <v>14614</v>
      </c>
      <c r="D7036" s="125"/>
      <c r="E7036" s="126">
        <v>64.52</v>
      </c>
      <c r="F7036" s="127"/>
      <c r="G7036" s="127"/>
      <c r="H7036" s="127"/>
      <c r="I7036" s="128"/>
      <c r="K7036" s="55" t="s">
        <v>8842</v>
      </c>
      <c r="L7036" s="129" t="e">
        <v>#N/A</v>
      </c>
      <c r="M7036" s="99" t="str">
        <f>IFERROR(__xludf.DUMMYFUNCTION("GOOGLEFINANCE(A7036,""beta"")"),"#N/A")</f>
        <v>#N/A</v>
      </c>
    </row>
    <row r="7037">
      <c r="A7037" s="122" t="s">
        <v>14615</v>
      </c>
      <c r="B7037" s="123">
        <v>1430723.0</v>
      </c>
      <c r="C7037" s="124" t="s">
        <v>14616</v>
      </c>
      <c r="D7037" s="125"/>
      <c r="E7037" s="126">
        <v>64.53</v>
      </c>
      <c r="F7037" s="127"/>
      <c r="G7037" s="127"/>
      <c r="H7037" s="127"/>
      <c r="I7037" s="128"/>
      <c r="K7037" s="105" t="str">
        <f>IFERROR(__xludf.DUMMYFUNCTION("if(A7037="""","""",substitute(SUBSTITUTE(index(importhtml(""http://finviz.com/quote.ashx?t=""&amp;A7037,""table"",10),7,2),""*"",""""),""-"",""0.00""))"),"Loading...")</f>
        <v>Loading...</v>
      </c>
      <c r="L7037" s="129">
        <v>3.512700808E9</v>
      </c>
      <c r="M7037" s="99">
        <v>1.18</v>
      </c>
    </row>
    <row r="7038">
      <c r="A7038" s="122" t="s">
        <v>14617</v>
      </c>
      <c r="B7038" s="123">
        <v>1672013.0</v>
      </c>
      <c r="C7038" s="124" t="s">
        <v>14618</v>
      </c>
      <c r="D7038" s="125"/>
      <c r="E7038" s="126">
        <v>64.68</v>
      </c>
      <c r="F7038" s="127"/>
      <c r="G7038" s="127"/>
      <c r="H7038" s="127"/>
      <c r="I7038" s="128"/>
      <c r="K7038" s="105" t="str">
        <f>IFERROR(__xludf.DUMMYFUNCTION("if(A7038="""","""",substitute(SUBSTITUTE(index(importhtml(""http://finviz.com/quote.ashx?t=""&amp;A7038,""table"",10),7,2),""*"",""""),""-"",""0.00""))"),"Loading...")</f>
        <v>Loading...</v>
      </c>
      <c r="L7038" s="129">
        <v>4.228631596E9</v>
      </c>
      <c r="M7038" s="99" t="str">
        <f>IFERROR(__xludf.DUMMYFUNCTION("GOOGLEFINANCE(A7038,""beta"")"),"#N/A")</f>
        <v>#N/A</v>
      </c>
    </row>
    <row r="7039">
      <c r="A7039" s="122" t="s">
        <v>14619</v>
      </c>
      <c r="B7039" s="123">
        <v>18654.0</v>
      </c>
      <c r="C7039" s="124" t="s">
        <v>14620</v>
      </c>
      <c r="D7039" s="125"/>
      <c r="E7039" s="126">
        <v>64.75</v>
      </c>
      <c r="F7039" s="127"/>
      <c r="G7039" s="127"/>
      <c r="H7039" s="127"/>
      <c r="I7039" s="128"/>
      <c r="K7039" s="105" t="str">
        <f>IFERROR(__xludf.DUMMYFUNCTION("if(A7039="""","""",substitute(SUBSTITUTE(index(importhtml(""http://finviz.com/quote.ashx?t=""&amp;A7039,""table"",10),7,2),""*"",""""),""-"",""0.00""))"),"Loading...")</f>
        <v>Loading...</v>
      </c>
      <c r="L7039" s="129">
        <v>4.1290715E7</v>
      </c>
      <c r="M7039" s="99">
        <v>0.2</v>
      </c>
    </row>
    <row r="7040">
      <c r="A7040" s="122" t="s">
        <v>14621</v>
      </c>
      <c r="B7040" s="123">
        <v>1674416.0</v>
      </c>
      <c r="C7040" s="124" t="s">
        <v>14622</v>
      </c>
      <c r="D7040" s="125"/>
      <c r="E7040" s="126">
        <v>64.75</v>
      </c>
      <c r="F7040" s="127"/>
      <c r="G7040" s="127"/>
      <c r="H7040" s="127"/>
      <c r="I7040" s="128"/>
      <c r="K7040" s="105" t="str">
        <f>IFERROR(__xludf.DUMMYFUNCTION("if(A7040="""","""",substitute(SUBSTITUTE(index(importhtml(""http://finviz.com/quote.ashx?t=""&amp;A7040,""table"",10),7,2),""*"",""""),""-"",""0.00""))"),"Loading...")</f>
        <v>Loading...</v>
      </c>
      <c r="L7040" s="129">
        <v>5.14325049E9</v>
      </c>
      <c r="M7040" s="99">
        <v>1.43</v>
      </c>
    </row>
    <row r="7041">
      <c r="A7041" s="122" t="s">
        <v>14623</v>
      </c>
      <c r="B7041" s="123">
        <v>40704.0</v>
      </c>
      <c r="C7041" s="124" t="s">
        <v>14624</v>
      </c>
      <c r="D7041" s="125"/>
      <c r="E7041" s="126">
        <v>64.8</v>
      </c>
      <c r="F7041" s="127"/>
      <c r="G7041" s="127"/>
      <c r="H7041" s="127"/>
      <c r="I7041" s="128"/>
      <c r="K7041" s="55" t="s">
        <v>13441</v>
      </c>
      <c r="L7041" s="129">
        <v>3.6799280213E10</v>
      </c>
      <c r="M7041" s="99">
        <v>0.16</v>
      </c>
    </row>
    <row r="7042">
      <c r="A7042" s="122" t="s">
        <v>14625</v>
      </c>
      <c r="B7042" s="123">
        <v>8947.0</v>
      </c>
      <c r="C7042" s="124" t="s">
        <v>14626</v>
      </c>
      <c r="D7042" s="125"/>
      <c r="E7042" s="126">
        <v>64.9</v>
      </c>
      <c r="F7042" s="127"/>
      <c r="G7042" s="127"/>
      <c r="H7042" s="127"/>
      <c r="I7042" s="128"/>
      <c r="K7042" s="55" t="s">
        <v>7972</v>
      </c>
      <c r="L7042" s="129">
        <v>1.627488252E9</v>
      </c>
      <c r="M7042" s="99">
        <v>1.24</v>
      </c>
    </row>
    <row r="7043">
      <c r="A7043" s="122" t="s">
        <v>14627</v>
      </c>
      <c r="B7043" s="123">
        <v>879764.0</v>
      </c>
      <c r="C7043" s="124" t="s">
        <v>14606</v>
      </c>
      <c r="D7043" s="125"/>
      <c r="E7043" s="126">
        <v>65.27</v>
      </c>
      <c r="F7043" s="127"/>
      <c r="G7043" s="127"/>
      <c r="H7043" s="127"/>
      <c r="I7043" s="128"/>
      <c r="K7043" s="105" t="str">
        <f>IFERROR(__xludf.DUMMYFUNCTION("if(A7043="""","""",substitute(SUBSTITUTE(index(importhtml(""http://finviz.com/quote.ashx?t=""&amp;A7043,""table"",10),7,2),""*"",""""),""-"",""0.00""))"),"Loading...")</f>
        <v>Loading...</v>
      </c>
      <c r="L7043" s="129">
        <v>1.4562281942E11</v>
      </c>
      <c r="M7043" s="99">
        <v>0.77</v>
      </c>
    </row>
    <row r="7044">
      <c r="A7044" s="122" t="s">
        <v>14628</v>
      </c>
      <c r="B7044" s="123">
        <v>732417.0</v>
      </c>
      <c r="C7044" s="124" t="s">
        <v>14629</v>
      </c>
      <c r="D7044" s="125"/>
      <c r="E7044" s="126">
        <v>65.28</v>
      </c>
      <c r="F7044" s="127"/>
      <c r="G7044" s="127"/>
      <c r="H7044" s="127"/>
      <c r="I7044" s="128"/>
      <c r="K7044" s="105" t="str">
        <f>IFERROR(__xludf.DUMMYFUNCTION("if(A7044="""","""",substitute(SUBSTITUTE(index(importhtml(""http://finviz.com/quote.ashx?t=""&amp;A7044,""table"",10),7,2),""*"",""""),""-"",""0.00""))"),"Loading...")</f>
        <v>Loading...</v>
      </c>
      <c r="L7044" s="129">
        <v>5.9697893E8</v>
      </c>
      <c r="M7044" s="99">
        <v>0.13</v>
      </c>
    </row>
    <row r="7045">
      <c r="A7045" s="122" t="s">
        <v>14630</v>
      </c>
      <c r="B7045" s="123">
        <v>721994.0</v>
      </c>
      <c r="C7045" s="124" t="s">
        <v>14631</v>
      </c>
      <c r="D7045" s="125"/>
      <c r="E7045" s="126">
        <v>65.39</v>
      </c>
      <c r="F7045" s="127"/>
      <c r="G7045" s="127"/>
      <c r="H7045" s="127"/>
      <c r="I7045" s="128"/>
      <c r="K7045" s="105" t="str">
        <f>IFERROR(__xludf.DUMMYFUNCTION("if(A7045="""","""",substitute(SUBSTITUTE(index(importhtml(""http://finviz.com/quote.ashx?t=""&amp;A7045,""table"",10),7,2),""*"",""""),""-"",""0.00""))"),"Loading...")</f>
        <v>Loading...</v>
      </c>
      <c r="L7045" s="129">
        <v>1.662904302E9</v>
      </c>
      <c r="M7045" s="99">
        <v>0.7</v>
      </c>
    </row>
    <row r="7046">
      <c r="A7046" s="122" t="s">
        <v>14632</v>
      </c>
      <c r="B7046" s="123">
        <v>1378992.0</v>
      </c>
      <c r="C7046" s="124" t="s">
        <v>14633</v>
      </c>
      <c r="D7046" s="125"/>
      <c r="E7046" s="126">
        <v>65.54</v>
      </c>
      <c r="F7046" s="127"/>
      <c r="G7046" s="127"/>
      <c r="H7046" s="127"/>
      <c r="I7046" s="128"/>
      <c r="K7046" s="105" t="str">
        <f>IFERROR(__xludf.DUMMYFUNCTION("if(A7046="""","""",substitute(SUBSTITUTE(index(importhtml(""http://finviz.com/quote.ashx?t=""&amp;A7046,""table"",10),7,2),""*"",""""),""-"",""0.00""))"),"Loading...")</f>
        <v>Loading...</v>
      </c>
      <c r="L7046" s="129">
        <v>7.59782947E9</v>
      </c>
      <c r="M7046" s="99">
        <v>1.29</v>
      </c>
    </row>
    <row r="7047">
      <c r="A7047" s="122" t="s">
        <v>14634</v>
      </c>
      <c r="B7047" s="123">
        <v>1296445.0</v>
      </c>
      <c r="C7047" s="124" t="s">
        <v>14635</v>
      </c>
      <c r="D7047" s="125"/>
      <c r="E7047" s="126">
        <v>65.55</v>
      </c>
      <c r="F7047" s="127"/>
      <c r="G7047" s="127"/>
      <c r="H7047" s="127"/>
      <c r="I7047" s="128"/>
      <c r="K7047" s="105" t="str">
        <f>IFERROR(__xludf.DUMMYFUNCTION("if(A7047="""","""",substitute(SUBSTITUTE(index(importhtml(""http://finviz.com/quote.ashx?t=""&amp;A7047,""table"",10),7,2),""*"",""""),""-"",""0.00""))"),"Loading...")</f>
        <v>Loading...</v>
      </c>
      <c r="L7047" s="129">
        <v>3.956209472E9</v>
      </c>
      <c r="M7047" s="99">
        <v>0.48</v>
      </c>
    </row>
    <row r="7048">
      <c r="A7048" s="122" t="s">
        <v>14636</v>
      </c>
      <c r="B7048" s="123">
        <v>98222.0</v>
      </c>
      <c r="C7048" s="124" t="s">
        <v>14637</v>
      </c>
      <c r="D7048" s="125"/>
      <c r="E7048" s="126">
        <v>65.57</v>
      </c>
      <c r="F7048" s="127"/>
      <c r="G7048" s="127"/>
      <c r="H7048" s="127"/>
      <c r="I7048" s="128"/>
      <c r="K7048" s="105" t="str">
        <f>IFERROR(__xludf.DUMMYFUNCTION("if(A7048="""","""",substitute(SUBSTITUTE(index(importhtml(""http://finviz.com/quote.ashx?t=""&amp;A7048,""table"",10),7,2),""*"",""""),""-"",""0.00""))"),"Loading...")</f>
        <v>Loading...</v>
      </c>
      <c r="L7048" s="129">
        <v>3.464839432E9</v>
      </c>
      <c r="M7048" s="99">
        <v>1.18</v>
      </c>
    </row>
    <row r="7049">
      <c r="A7049" s="122" t="s">
        <v>14638</v>
      </c>
      <c r="B7049" s="123">
        <v>913760.0</v>
      </c>
      <c r="C7049" s="124" t="s">
        <v>14639</v>
      </c>
      <c r="D7049" s="125"/>
      <c r="E7049" s="126">
        <v>65.61</v>
      </c>
      <c r="F7049" s="127"/>
      <c r="G7049" s="127"/>
      <c r="H7049" s="127"/>
      <c r="I7049" s="128"/>
      <c r="K7049" s="105" t="str">
        <f>IFERROR(__xludf.DUMMYFUNCTION("if(A7049="""","""",substitute(SUBSTITUTE(index(importhtml(""http://finviz.com/quote.ashx?t=""&amp;A7049,""table"",10),7,2),""*"",""""),""-"",""0.00""))"),"Loading...")</f>
        <v>Loading...</v>
      </c>
      <c r="L7049" s="129">
        <v>2.055470777E9</v>
      </c>
      <c r="M7049" s="99">
        <v>0.88</v>
      </c>
    </row>
    <row r="7050">
      <c r="A7050" s="122" t="s">
        <v>14640</v>
      </c>
      <c r="B7050" s="123">
        <v>275880.0</v>
      </c>
      <c r="C7050" s="124" t="s">
        <v>14641</v>
      </c>
      <c r="D7050" s="125"/>
      <c r="E7050" s="126">
        <v>65.61</v>
      </c>
      <c r="F7050" s="127"/>
      <c r="G7050" s="127"/>
      <c r="H7050" s="127"/>
      <c r="I7050" s="128"/>
      <c r="K7050" s="105" t="str">
        <f>IFERROR(__xludf.DUMMYFUNCTION("if(A7050="""","""",substitute(SUBSTITUTE(index(importhtml(""http://finviz.com/quote.ashx?t=""&amp;A7050,""table"",10),7,2),""*"",""""),""-"",""0.00""))"),"Loading...")</f>
        <v>Loading...</v>
      </c>
      <c r="L7050" s="129">
        <v>6.881760793E9</v>
      </c>
      <c r="M7050" s="99">
        <v>0.8</v>
      </c>
    </row>
    <row r="7051">
      <c r="A7051" s="122" t="s">
        <v>14642</v>
      </c>
      <c r="B7051" s="123">
        <v>901832.0</v>
      </c>
      <c r="C7051" s="124" t="s">
        <v>14643</v>
      </c>
      <c r="D7051" s="125"/>
      <c r="E7051" s="126">
        <v>65.64</v>
      </c>
      <c r="F7051" s="127"/>
      <c r="G7051" s="127"/>
      <c r="H7051" s="127"/>
      <c r="I7051" s="128"/>
      <c r="K7051" s="55" t="s">
        <v>14644</v>
      </c>
      <c r="L7051" s="129">
        <v>2.02285149159E11</v>
      </c>
      <c r="M7051" s="99">
        <v>0.52</v>
      </c>
    </row>
    <row r="7052">
      <c r="A7052" s="122" t="s">
        <v>14645</v>
      </c>
      <c r="B7052" s="123">
        <v>811596.0</v>
      </c>
      <c r="C7052" s="124" t="s">
        <v>14646</v>
      </c>
      <c r="D7052" s="125"/>
      <c r="E7052" s="126">
        <v>65.66</v>
      </c>
      <c r="F7052" s="127"/>
      <c r="G7052" s="127"/>
      <c r="H7052" s="127"/>
      <c r="I7052" s="128"/>
      <c r="K7052" s="105" t="str">
        <f>IFERROR(__xludf.DUMMYFUNCTION("if(A7052="""","""",substitute(SUBSTITUTE(index(importhtml(""http://finviz.com/quote.ashx?t=""&amp;A7052,""table"",10),7,2),""*"",""""),""-"",""0.00""))"),"Loading...")</f>
        <v>Loading...</v>
      </c>
      <c r="L7052" s="129">
        <v>1.051509502E9</v>
      </c>
      <c r="M7052" s="99">
        <v>1.35</v>
      </c>
    </row>
    <row r="7053">
      <c r="A7053" s="122" t="s">
        <v>14647</v>
      </c>
      <c r="B7053" s="123">
        <v>1099219.0</v>
      </c>
      <c r="C7053" s="124" t="s">
        <v>14648</v>
      </c>
      <c r="D7053" s="125"/>
      <c r="E7053" s="126">
        <v>65.95</v>
      </c>
      <c r="F7053" s="127"/>
      <c r="G7053" s="127"/>
      <c r="H7053" s="127"/>
      <c r="I7053" s="128"/>
      <c r="K7053" s="105" t="str">
        <f>IFERROR(__xludf.DUMMYFUNCTION("if(A7053="""","""",substitute(SUBSTITUTE(index(importhtml(""http://finviz.com/quote.ashx?t=""&amp;A7053,""table"",10),7,2),""*"",""""),""-"",""0.00""))"),"Loading...")</f>
        <v>Loading...</v>
      </c>
      <c r="L7053" s="129">
        <v>4.8815541431E10</v>
      </c>
      <c r="M7053" s="99">
        <v>1.04</v>
      </c>
    </row>
    <row r="7054">
      <c r="A7054" s="122" t="s">
        <v>14649</v>
      </c>
      <c r="B7054" s="123">
        <v>842023.0</v>
      </c>
      <c r="C7054" s="124" t="s">
        <v>14650</v>
      </c>
      <c r="D7054" s="125"/>
      <c r="E7054" s="126">
        <v>65.98</v>
      </c>
      <c r="F7054" s="127"/>
      <c r="G7054" s="127"/>
      <c r="H7054" s="127"/>
      <c r="I7054" s="128"/>
      <c r="K7054" s="105" t="str">
        <f>IFERROR(__xludf.DUMMYFUNCTION("if(A7054="""","""",substitute(SUBSTITUTE(index(importhtml(""http://finviz.com/quote.ashx?t=""&amp;A7054,""table"",10),7,2),""*"",""""),""-"",""0.00""))"),"Loading...")</f>
        <v>Loading...</v>
      </c>
      <c r="L7054" s="129">
        <v>1.0434763922E10</v>
      </c>
      <c r="M7054" s="99">
        <v>1.24</v>
      </c>
    </row>
    <row r="7055">
      <c r="A7055" s="122" t="s">
        <v>14651</v>
      </c>
      <c r="B7055" s="123">
        <v>60519.0</v>
      </c>
      <c r="C7055" s="124" t="s">
        <v>14652</v>
      </c>
      <c r="D7055" s="125"/>
      <c r="E7055" s="126">
        <v>66.0</v>
      </c>
      <c r="F7055" s="127"/>
      <c r="G7055" s="127"/>
      <c r="H7055" s="127"/>
      <c r="I7055" s="128"/>
      <c r="K7055" s="105" t="str">
        <f>IFERROR(__xludf.DUMMYFUNCTION("if(A7055="""","""",substitute(SUBSTITUTE(index(importhtml(""http://finviz.com/quote.ashx?t=""&amp;A7055,""table"",10),7,2),""*"",""""),""-"",""0.00""))"),"Loading...")</f>
        <v>Loading...</v>
      </c>
      <c r="L7055" s="129">
        <v>4.7595702E9</v>
      </c>
      <c r="M7055" s="99">
        <v>1.83</v>
      </c>
    </row>
    <row r="7056">
      <c r="A7056" s="122" t="s">
        <v>14653</v>
      </c>
      <c r="B7056" s="123">
        <v>72127.0</v>
      </c>
      <c r="C7056" s="124" t="s">
        <v>14654</v>
      </c>
      <c r="D7056" s="125"/>
      <c r="E7056" s="126">
        <v>66.0</v>
      </c>
      <c r="F7056" s="127"/>
      <c r="G7056" s="127"/>
      <c r="H7056" s="127"/>
      <c r="I7056" s="128"/>
      <c r="K7056" s="105" t="str">
        <f>IFERROR(__xludf.DUMMYFUNCTION("if(A7056="""","""",substitute(SUBSTITUTE(index(importhtml(""http://finviz.com/quote.ashx?t=""&amp;A7056,""table"",10),7,2),""*"",""""),""-"",""0.00""))"),"Loading...")</f>
        <v>Loading...</v>
      </c>
      <c r="L7056" s="129">
        <v>2.6624683484E12</v>
      </c>
      <c r="M7056" s="99">
        <v>0.58</v>
      </c>
    </row>
    <row r="7057">
      <c r="A7057" s="122" t="s">
        <v>14655</v>
      </c>
      <c r="B7057" s="123">
        <v>933974.0</v>
      </c>
      <c r="C7057" s="124" t="s">
        <v>14656</v>
      </c>
      <c r="D7057" s="125"/>
      <c r="E7057" s="126">
        <v>66.1</v>
      </c>
      <c r="F7057" s="127"/>
      <c r="G7057" s="127"/>
      <c r="H7057" s="127"/>
      <c r="I7057" s="128"/>
      <c r="K7057" s="105" t="str">
        <f>IFERROR(__xludf.DUMMYFUNCTION("if(A7057="""","""",substitute(SUBSTITUTE(index(importhtml(""http://finviz.com/quote.ashx?t=""&amp;A7057,""table"",10),7,2),""*"",""""),""-"",""0.00""))"),"Loading...")</f>
        <v>Loading...</v>
      </c>
      <c r="L7057" s="129">
        <v>3.682986815E9</v>
      </c>
      <c r="M7057" s="99">
        <v>1.56</v>
      </c>
    </row>
    <row r="7058">
      <c r="A7058" s="122" t="s">
        <v>14657</v>
      </c>
      <c r="B7058" s="123">
        <v>1050377.0</v>
      </c>
      <c r="C7058" s="124" t="s">
        <v>14658</v>
      </c>
      <c r="D7058" s="125"/>
      <c r="E7058" s="126">
        <v>66.17</v>
      </c>
      <c r="F7058" s="127"/>
      <c r="G7058" s="127"/>
      <c r="H7058" s="127"/>
      <c r="I7058" s="128"/>
      <c r="K7058" s="105" t="str">
        <f>IFERROR(__xludf.DUMMYFUNCTION("if(A7058="""","""",substitute(SUBSTITUTE(index(importhtml(""http://finviz.com/quote.ashx?t=""&amp;A7058,""table"",10),7,2),""*"",""""),""-"",""0.00""))"),"Loading...")</f>
        <v>Loading...</v>
      </c>
      <c r="L7058" s="129">
        <v>1.711588916E9</v>
      </c>
      <c r="M7058" s="99">
        <v>0.68</v>
      </c>
    </row>
    <row r="7059">
      <c r="A7059" s="122" t="s">
        <v>14659</v>
      </c>
      <c r="B7059" s="123">
        <v>1262039.0</v>
      </c>
      <c r="C7059" s="124" t="s">
        <v>14660</v>
      </c>
      <c r="D7059" s="125"/>
      <c r="E7059" s="126">
        <v>66.44</v>
      </c>
      <c r="F7059" s="127"/>
      <c r="G7059" s="127"/>
      <c r="H7059" s="127"/>
      <c r="I7059" s="128"/>
      <c r="K7059" s="105" t="str">
        <f>IFERROR(__xludf.DUMMYFUNCTION("if(A7059="""","""",substitute(SUBSTITUTE(index(importhtml(""http://finviz.com/quote.ashx?t=""&amp;A7059,""table"",10),7,2),""*"",""""),""-"",""0.00""))"),"Loading...")</f>
        <v>Loading...</v>
      </c>
      <c r="L7059" s="129">
        <v>5.1019909054E10</v>
      </c>
      <c r="M7059" s="99">
        <v>1.09</v>
      </c>
    </row>
    <row r="7060">
      <c r="A7060" s="122" t="s">
        <v>14661</v>
      </c>
      <c r="B7060" s="123">
        <v>1560385.0</v>
      </c>
      <c r="C7060" s="124" t="s">
        <v>12851</v>
      </c>
      <c r="D7060" s="125"/>
      <c r="E7060" s="126">
        <v>66.54</v>
      </c>
      <c r="F7060" s="127"/>
      <c r="G7060" s="127"/>
      <c r="H7060" s="127"/>
      <c r="I7060" s="128"/>
      <c r="K7060" s="105" t="str">
        <f>IFERROR(__xludf.DUMMYFUNCTION("if(A7060="""","""",substitute(SUBSTITUTE(index(importhtml(""http://finviz.com/quote.ashx?t=""&amp;A7060,""table"",10),7,2),""*"",""""),""-"",""0.00""))"),"Loading...")</f>
        <v>Loading...</v>
      </c>
      <c r="L7060" s="129">
        <v>2.862840887E10</v>
      </c>
      <c r="M7060" s="99">
        <f>IFERROR(__xludf.DUMMYFUNCTION("GOOGLEFINANCE(A7060,""beta"")"),0.78)</f>
        <v>0.78</v>
      </c>
    </row>
    <row r="7061">
      <c r="A7061" s="122" t="s">
        <v>14662</v>
      </c>
      <c r="B7061" s="123">
        <v>1048515.0</v>
      </c>
      <c r="C7061" s="124" t="s">
        <v>14663</v>
      </c>
      <c r="D7061" s="125"/>
      <c r="E7061" s="126">
        <v>66.6</v>
      </c>
      <c r="F7061" s="127"/>
      <c r="G7061" s="127"/>
      <c r="H7061" s="127"/>
      <c r="I7061" s="128"/>
      <c r="K7061" s="105" t="str">
        <f>IFERROR(__xludf.DUMMYFUNCTION("if(A7061="""","""",substitute(SUBSTITUTE(index(importhtml(""http://finviz.com/quote.ashx?t=""&amp;A7061,""table"",10),7,2),""*"",""""),""-"",""0.00""))"),"Loading...")</f>
        <v>Loading...</v>
      </c>
      <c r="L7061" s="129">
        <v>4.12836593E10</v>
      </c>
      <c r="M7061" s="99">
        <v>0.48</v>
      </c>
    </row>
    <row r="7062">
      <c r="A7062" s="122" t="s">
        <v>14664</v>
      </c>
      <c r="B7062" s="123">
        <v>1611983.0</v>
      </c>
      <c r="C7062" s="124" t="s">
        <v>14665</v>
      </c>
      <c r="D7062" s="125"/>
      <c r="E7062" s="126">
        <v>66.64</v>
      </c>
      <c r="F7062" s="127"/>
      <c r="G7062" s="127"/>
      <c r="H7062" s="127"/>
      <c r="I7062" s="128"/>
      <c r="K7062" s="105" t="str">
        <f>IFERROR(__xludf.DUMMYFUNCTION("if(A7062="""","""",substitute(SUBSTITUTE(index(importhtml(""http://finviz.com/quote.ashx?t=""&amp;A7062,""table"",10),7,2),""*"",""""),""-"",""0.00""))"),"Loading...")</f>
        <v>Loading...</v>
      </c>
      <c r="L7062" s="129">
        <v>9.79587999E9</v>
      </c>
      <c r="M7062" s="99">
        <v>1.06</v>
      </c>
    </row>
    <row r="7063">
      <c r="A7063" s="122" t="s">
        <v>14666</v>
      </c>
      <c r="B7063" s="123">
        <v>350894.0</v>
      </c>
      <c r="C7063" s="124" t="s">
        <v>14667</v>
      </c>
      <c r="D7063" s="125"/>
      <c r="E7063" s="126">
        <v>66.65</v>
      </c>
      <c r="F7063" s="127"/>
      <c r="G7063" s="127"/>
      <c r="H7063" s="127"/>
      <c r="I7063" s="128"/>
      <c r="K7063" s="105" t="str">
        <f>IFERROR(__xludf.DUMMYFUNCTION("if(A7063="""","""",substitute(SUBSTITUTE(index(importhtml(""http://finviz.com/quote.ashx?t=""&amp;A7063,""table"",10),7,2),""*"",""""),""-"",""0.00""))"),"Loading...")</f>
        <v>Loading...</v>
      </c>
      <c r="L7063" s="129">
        <v>8.77031374E9</v>
      </c>
      <c r="M7063" s="99">
        <v>1.02</v>
      </c>
    </row>
    <row r="7064">
      <c r="A7064" s="122" t="s">
        <v>14668</v>
      </c>
      <c r="B7064" s="123">
        <v>4457.0</v>
      </c>
      <c r="C7064" s="124" t="s">
        <v>14669</v>
      </c>
      <c r="D7064" s="125"/>
      <c r="E7064" s="126">
        <v>66.66</v>
      </c>
      <c r="F7064" s="127"/>
      <c r="G7064" s="127"/>
      <c r="H7064" s="127"/>
      <c r="I7064" s="128"/>
      <c r="K7064" s="105" t="str">
        <f>IFERROR(__xludf.DUMMYFUNCTION("if(A7064="""","""",substitute(SUBSTITUTE(index(importhtml(""http://finviz.com/quote.ashx?t=""&amp;A7064,""table"",10),7,2),""*"",""""),""-"",""0.00""))"),"#REF!")</f>
        <v>#REF!</v>
      </c>
      <c r="L7064" s="129">
        <v>1.2775056401E10</v>
      </c>
      <c r="M7064" s="99">
        <v>0.68</v>
      </c>
    </row>
    <row r="7065">
      <c r="A7065" s="122" t="s">
        <v>14670</v>
      </c>
      <c r="B7065" s="123">
        <v>1483934.0</v>
      </c>
      <c r="C7065" s="124" t="s">
        <v>14671</v>
      </c>
      <c r="D7065" s="125"/>
      <c r="E7065" s="126">
        <v>66.83</v>
      </c>
      <c r="F7065" s="127"/>
      <c r="G7065" s="127"/>
      <c r="H7065" s="127"/>
      <c r="I7065" s="128"/>
      <c r="K7065" s="105" t="str">
        <f>IFERROR(__xludf.DUMMYFUNCTION("if(A7065="""","""",substitute(SUBSTITUTE(index(importhtml(""http://finviz.com/quote.ashx?t=""&amp;A7065,""table"",10),7,2),""*"",""""),""-"",""0.00""))"),"Loading...")</f>
        <v>Loading...</v>
      </c>
      <c r="L7065" s="129">
        <v>3.549191698E9</v>
      </c>
      <c r="M7065" s="99">
        <v>0.23</v>
      </c>
    </row>
    <row r="7066">
      <c r="A7066" s="122" t="s">
        <v>14672</v>
      </c>
      <c r="B7066" s="123">
        <v>827052.0</v>
      </c>
      <c r="C7066" s="124" t="s">
        <v>14673</v>
      </c>
      <c r="D7066" s="125"/>
      <c r="E7066" s="126">
        <v>66.87</v>
      </c>
      <c r="F7066" s="127"/>
      <c r="G7066" s="127"/>
      <c r="H7066" s="127"/>
      <c r="I7066" s="128"/>
      <c r="K7066" s="55" t="s">
        <v>14674</v>
      </c>
      <c r="L7066" s="129">
        <v>2.5649240022E10</v>
      </c>
      <c r="M7066" s="99">
        <v>0.97</v>
      </c>
    </row>
    <row r="7067">
      <c r="A7067" s="122" t="s">
        <v>14675</v>
      </c>
      <c r="B7067" s="123">
        <v>1611983.0</v>
      </c>
      <c r="C7067" s="124" t="s">
        <v>14676</v>
      </c>
      <c r="D7067" s="125"/>
      <c r="E7067" s="126">
        <v>66.88</v>
      </c>
      <c r="F7067" s="127"/>
      <c r="G7067" s="127"/>
      <c r="H7067" s="127"/>
      <c r="I7067" s="128"/>
      <c r="K7067" s="105" t="str">
        <f>IFERROR(__xludf.DUMMYFUNCTION("if(A7067="""","""",substitute(SUBSTITUTE(index(importhtml(""http://finviz.com/quote.ashx?t=""&amp;A7067,""table"",10),7,2),""*"",""""),""-"",""0.00""))"),"Loading...")</f>
        <v>Loading...</v>
      </c>
      <c r="L7067" s="129">
        <v>9.79587999E9</v>
      </c>
      <c r="M7067" s="99">
        <v>1.03</v>
      </c>
    </row>
    <row r="7068">
      <c r="A7068" s="122" t="s">
        <v>14677</v>
      </c>
      <c r="B7068" s="123">
        <v>1004315.0</v>
      </c>
      <c r="C7068" s="124" t="s">
        <v>9992</v>
      </c>
      <c r="D7068" s="125"/>
      <c r="E7068" s="126">
        <v>66.88</v>
      </c>
      <c r="F7068" s="127"/>
      <c r="G7068" s="127"/>
      <c r="H7068" s="127"/>
      <c r="I7068" s="128"/>
      <c r="K7068" s="105" t="str">
        <f>IFERROR(__xludf.DUMMYFUNCTION("if(A7068="""","""",substitute(SUBSTITUTE(index(importhtml(""http://finviz.com/quote.ashx?t=""&amp;A7068,""table"",10),7,2),""*"",""""),""-"",""0.00""))"),"Loading...")</f>
        <v>Loading...</v>
      </c>
      <c r="L7068" s="129">
        <v>4.8578620405E10</v>
      </c>
      <c r="M7068" s="99">
        <v>0.67</v>
      </c>
    </row>
    <row r="7069">
      <c r="A7069" s="122" t="s">
        <v>14678</v>
      </c>
      <c r="B7069" s="123">
        <v>1567514.0</v>
      </c>
      <c r="C7069" s="124" t="s">
        <v>14679</v>
      </c>
      <c r="D7069" s="125"/>
      <c r="E7069" s="126">
        <v>67.25</v>
      </c>
      <c r="F7069" s="127"/>
      <c r="G7069" s="127"/>
      <c r="H7069" s="127"/>
      <c r="I7069" s="128"/>
      <c r="K7069" s="105" t="str">
        <f>IFERROR(__xludf.DUMMYFUNCTION("if(A7069="""","""",substitute(SUBSTITUTE(index(importhtml(""http://finviz.com/quote.ashx?t=""&amp;A7069,""table"",10),7,2),""*"",""""),""-"",""0.00""))"),"Loading...")</f>
        <v>Loading...</v>
      </c>
      <c r="L7069" s="129">
        <v>6.47201357E9</v>
      </c>
      <c r="M7069" s="99">
        <v>1.04</v>
      </c>
    </row>
    <row r="7070">
      <c r="A7070" s="122" t="s">
        <v>14680</v>
      </c>
      <c r="B7070" s="123">
        <v>29644.0</v>
      </c>
      <c r="C7070" s="124" t="s">
        <v>14488</v>
      </c>
      <c r="D7070" s="125"/>
      <c r="E7070" s="126">
        <v>67.41</v>
      </c>
      <c r="F7070" s="127"/>
      <c r="G7070" s="127"/>
      <c r="H7070" s="127"/>
      <c r="I7070" s="128"/>
      <c r="K7070" s="55" t="s">
        <v>9675</v>
      </c>
      <c r="L7070" s="129">
        <v>8.098347976E9</v>
      </c>
      <c r="M7070" s="99">
        <v>1.08</v>
      </c>
    </row>
    <row r="7071">
      <c r="A7071" s="122" t="s">
        <v>14681</v>
      </c>
      <c r="B7071" s="123">
        <v>29002.0</v>
      </c>
      <c r="C7071" s="124" t="s">
        <v>14682</v>
      </c>
      <c r="D7071" s="125"/>
      <c r="E7071" s="126">
        <v>67.42</v>
      </c>
      <c r="F7071" s="127"/>
      <c r="G7071" s="127"/>
      <c r="H7071" s="127"/>
      <c r="I7071" s="128"/>
      <c r="K7071" s="105" t="str">
        <f>IFERROR(__xludf.DUMMYFUNCTION("if(A7071="""","""",substitute(SUBSTITUTE(index(importhtml(""http://finviz.com/quote.ashx?t=""&amp;A7071,""table"",10),7,2),""*"",""""),""-"",""0.00""))"),"Loading...")</f>
        <v>Loading...</v>
      </c>
      <c r="L7071" s="129">
        <v>3.097155382E9</v>
      </c>
      <c r="M7071" s="99">
        <v>1.49</v>
      </c>
    </row>
    <row r="7072">
      <c r="A7072" s="122" t="s">
        <v>14683</v>
      </c>
      <c r="B7072" s="123">
        <v>1046995.0</v>
      </c>
      <c r="C7072" s="124" t="s">
        <v>14684</v>
      </c>
      <c r="D7072" s="125"/>
      <c r="E7072" s="126">
        <v>67.5</v>
      </c>
      <c r="F7072" s="127"/>
      <c r="G7072" s="127"/>
      <c r="H7072" s="127"/>
      <c r="I7072" s="128"/>
      <c r="K7072" s="105" t="str">
        <f>IFERROR(__xludf.DUMMYFUNCTION("if(A7072="""","""",substitute(SUBSTITUTE(index(importhtml(""http://finviz.com/quote.ashx?t=""&amp;A7072,""table"",10),7,2),""*"",""""),""-"",""0.00""))"),"Loading...")</f>
        <v>Loading...</v>
      </c>
      <c r="L7072" s="129">
        <v>6.1545123E7</v>
      </c>
      <c r="M7072" s="99" t="str">
        <f>IFERROR(__xludf.DUMMYFUNCTION("GOOGLEFINANCE(A7072,""beta"")"),"#N/A")</f>
        <v>#N/A</v>
      </c>
    </row>
    <row r="7073">
      <c r="A7073" s="122" t="s">
        <v>14685</v>
      </c>
      <c r="B7073" s="123">
        <v>1327068.0</v>
      </c>
      <c r="C7073" s="124" t="s">
        <v>14686</v>
      </c>
      <c r="D7073" s="125"/>
      <c r="E7073" s="126">
        <v>67.51</v>
      </c>
      <c r="F7073" s="127"/>
      <c r="G7073" s="127"/>
      <c r="H7073" s="127"/>
      <c r="I7073" s="128"/>
      <c r="K7073" s="105" t="str">
        <f>IFERROR(__xludf.DUMMYFUNCTION("if(A7073="""","""",substitute(SUBSTITUTE(index(importhtml(""http://finviz.com/quote.ashx?t=""&amp;A7073,""table"",10),7,2),""*"",""""),""-"",""0.00""))"),"Loading...")</f>
        <v>Loading...</v>
      </c>
      <c r="L7073" s="129">
        <v>9.00414653E8</v>
      </c>
      <c r="M7073" s="99" t="str">
        <f>IFERROR(__xludf.DUMMYFUNCTION("GOOGLEFINANCE(A7073,""beta"")"),"#N/A")</f>
        <v>#N/A</v>
      </c>
    </row>
    <row r="7074">
      <c r="A7074" s="122" t="s">
        <v>14687</v>
      </c>
      <c r="B7074" s="123">
        <v>107687.0</v>
      </c>
      <c r="C7074" s="124" t="s">
        <v>14688</v>
      </c>
      <c r="D7074" s="125"/>
      <c r="E7074" s="126">
        <v>67.53</v>
      </c>
      <c r="F7074" s="127"/>
      <c r="G7074" s="127"/>
      <c r="H7074" s="127"/>
      <c r="I7074" s="128"/>
      <c r="K7074" s="105" t="str">
        <f>IFERROR(__xludf.DUMMYFUNCTION("if(A7074="""","""",substitute(SUBSTITUTE(index(importhtml(""http://finviz.com/quote.ashx?t=""&amp;A7074,""table"",10),7,2),""*"",""""),""-"",""0.00""))"),"Loading...")</f>
        <v>Loading...</v>
      </c>
      <c r="L7074" s="129">
        <v>1.974434676E9</v>
      </c>
      <c r="M7074" s="99">
        <v>1.72</v>
      </c>
    </row>
    <row r="7075">
      <c r="A7075" s="122" t="s">
        <v>14689</v>
      </c>
      <c r="B7075" s="123">
        <v>1835632.0</v>
      </c>
      <c r="C7075" s="124" t="s">
        <v>14690</v>
      </c>
      <c r="D7075" s="125"/>
      <c r="E7075" s="126">
        <v>67.53</v>
      </c>
      <c r="F7075" s="127"/>
      <c r="G7075" s="127"/>
      <c r="H7075" s="127"/>
      <c r="I7075" s="128"/>
      <c r="K7075" s="105" t="str">
        <f>IFERROR(__xludf.DUMMYFUNCTION("if(A7075="""","""",substitute(SUBSTITUTE(index(importhtml(""http://finviz.com/quote.ashx?t=""&amp;A7075,""table"",10),7,2),""*"",""""),""-"",""0.00""))"),"Loading...")</f>
        <v>Loading...</v>
      </c>
      <c r="L7075" s="129">
        <v>5.8379677191E10</v>
      </c>
      <c r="M7075" s="99">
        <v>1.52</v>
      </c>
    </row>
    <row r="7076">
      <c r="A7076" s="122" t="s">
        <v>14691</v>
      </c>
      <c r="B7076" s="123">
        <v>933136.0</v>
      </c>
      <c r="C7076" s="124" t="s">
        <v>14692</v>
      </c>
      <c r="D7076" s="125"/>
      <c r="E7076" s="126">
        <v>67.59</v>
      </c>
      <c r="F7076" s="127"/>
      <c r="G7076" s="127"/>
      <c r="H7076" s="127"/>
      <c r="I7076" s="128"/>
      <c r="K7076" s="105" t="str">
        <f>IFERROR(__xludf.DUMMYFUNCTION("if(A7076="""","""",substitute(SUBSTITUTE(index(importhtml(""http://finviz.com/quote.ashx?t=""&amp;A7076,""table"",10),7,2),""*"",""""),""-"",""0.00""))"),"Loading...")</f>
        <v>Loading...</v>
      </c>
      <c r="L7076" s="129">
        <v>4.366313763E9</v>
      </c>
      <c r="M7076" s="99">
        <v>1.36</v>
      </c>
    </row>
    <row r="7077">
      <c r="A7077" s="122" t="s">
        <v>14693</v>
      </c>
      <c r="B7077" s="123">
        <v>1603756.0</v>
      </c>
      <c r="C7077" s="124" t="s">
        <v>14694</v>
      </c>
      <c r="D7077" s="125"/>
      <c r="E7077" s="126">
        <v>67.65</v>
      </c>
      <c r="F7077" s="127"/>
      <c r="G7077" s="127"/>
      <c r="H7077" s="127"/>
      <c r="I7077" s="128"/>
      <c r="K7077" s="105" t="str">
        <f>IFERROR(__xludf.DUMMYFUNCTION("if(A7077="""","""",substitute(SUBSTITUTE(index(importhtml(""http://finviz.com/quote.ashx?t=""&amp;A7077,""table"",10),7,2),""*"",""""),""-"",""0.00""))"),"Loading...")</f>
        <v>Loading...</v>
      </c>
      <c r="L7077" s="129">
        <v>3.434541192E9</v>
      </c>
      <c r="M7077" s="99">
        <v>0.63</v>
      </c>
    </row>
    <row r="7078">
      <c r="A7078" s="122" t="s">
        <v>14695</v>
      </c>
      <c r="B7078" s="123">
        <v>63754.0</v>
      </c>
      <c r="C7078" s="124" t="s">
        <v>14696</v>
      </c>
      <c r="D7078" s="125"/>
      <c r="E7078" s="126">
        <v>67.68</v>
      </c>
      <c r="F7078" s="127"/>
      <c r="G7078" s="127"/>
      <c r="H7078" s="127"/>
      <c r="I7078" s="128"/>
      <c r="K7078" s="105" t="str">
        <f>IFERROR(__xludf.DUMMYFUNCTION("if(A7078="""","""",substitute(SUBSTITUTE(index(importhtml(""http://finviz.com/quote.ashx?t=""&amp;A7078,""table"",10),7,2),""*"",""""),""-"",""0.00""))"),"Loading...")</f>
        <v>Loading...</v>
      </c>
      <c r="L7078" s="129">
        <v>1.8134592129E10</v>
      </c>
      <c r="M7078" s="99">
        <v>0.75</v>
      </c>
    </row>
    <row r="7079">
      <c r="A7079" s="122" t="s">
        <v>14697</v>
      </c>
      <c r="B7079" s="123">
        <v>1604821.0</v>
      </c>
      <c r="C7079" s="124" t="s">
        <v>14698</v>
      </c>
      <c r="D7079" s="125"/>
      <c r="E7079" s="126">
        <v>67.73</v>
      </c>
      <c r="F7079" s="127"/>
      <c r="G7079" s="127"/>
      <c r="H7079" s="127"/>
      <c r="I7079" s="128"/>
      <c r="K7079" s="105" t="str">
        <f>IFERROR(__xludf.DUMMYFUNCTION("if(A7079="""","""",substitute(SUBSTITUTE(index(importhtml(""http://finviz.com/quote.ashx?t=""&amp;A7079,""table"",10),7,2),""*"",""""),""-"",""0.00""))"),"Loading...")</f>
        <v>Loading...</v>
      </c>
      <c r="L7079" s="129">
        <v>8.137868271E9</v>
      </c>
      <c r="M7079" s="99">
        <v>1.34</v>
      </c>
    </row>
    <row r="7080">
      <c r="A7080" s="122" t="s">
        <v>14699</v>
      </c>
      <c r="B7080" s="123">
        <v>89089.0</v>
      </c>
      <c r="C7080" s="124" t="s">
        <v>14700</v>
      </c>
      <c r="D7080" s="125"/>
      <c r="E7080" s="126">
        <v>67.74</v>
      </c>
      <c r="F7080" s="127"/>
      <c r="G7080" s="127"/>
      <c r="H7080" s="127"/>
      <c r="I7080" s="128"/>
      <c r="K7080" s="105" t="str">
        <f>IFERROR(__xludf.DUMMYFUNCTION("if(A7080="""","""",substitute(SUBSTITUTE(index(importhtml(""http://finviz.com/quote.ashx?t=""&amp;A7080,""table"",10),7,2),""*"",""""),""-"",""0.00""))"),"Loading...")</f>
        <v>Loading...</v>
      </c>
      <c r="L7080" s="129">
        <v>1.0008218888E10</v>
      </c>
      <c r="M7080" s="99">
        <v>0.79</v>
      </c>
    </row>
    <row r="7081">
      <c r="A7081" s="122" t="s">
        <v>14701</v>
      </c>
      <c r="B7081" s="123">
        <v>711772.0</v>
      </c>
      <c r="C7081" s="124" t="s">
        <v>14702</v>
      </c>
      <c r="D7081" s="125"/>
      <c r="E7081" s="126">
        <v>67.76</v>
      </c>
      <c r="F7081" s="127"/>
      <c r="G7081" s="127"/>
      <c r="H7081" s="127"/>
      <c r="I7081" s="128"/>
      <c r="K7081" s="105" t="str">
        <f>IFERROR(__xludf.DUMMYFUNCTION("if(A7081="""","""",substitute(SUBSTITUTE(index(importhtml(""http://finviz.com/quote.ashx?t=""&amp;A7081,""table"",10),7,2),""*"",""""),""-"",""0.00""))"),"#N/A")</f>
        <v>#N/A</v>
      </c>
      <c r="L7081" s="129">
        <v>5.31607776E8</v>
      </c>
      <c r="M7081" s="99">
        <v>0.6</v>
      </c>
    </row>
    <row r="7082">
      <c r="A7082" s="122" t="s">
        <v>14703</v>
      </c>
      <c r="B7082" s="123">
        <v>1158449.0</v>
      </c>
      <c r="C7082" s="124" t="s">
        <v>14704</v>
      </c>
      <c r="D7082" s="125"/>
      <c r="E7082" s="126">
        <v>67.79</v>
      </c>
      <c r="F7082" s="127"/>
      <c r="G7082" s="127"/>
      <c r="H7082" s="127"/>
      <c r="I7082" s="128"/>
      <c r="K7082" s="55" t="s">
        <v>10971</v>
      </c>
      <c r="L7082" s="129">
        <v>4.033639956E9</v>
      </c>
      <c r="M7082" s="99">
        <v>1.15</v>
      </c>
    </row>
    <row r="7083">
      <c r="A7083" s="122" t="s">
        <v>14705</v>
      </c>
      <c r="B7083" s="123">
        <v>729580.0</v>
      </c>
      <c r="C7083" s="124" t="s">
        <v>14706</v>
      </c>
      <c r="D7083" s="125"/>
      <c r="E7083" s="126">
        <v>67.81</v>
      </c>
      <c r="F7083" s="127"/>
      <c r="G7083" s="127"/>
      <c r="H7083" s="127"/>
      <c r="I7083" s="128"/>
      <c r="K7083" s="105" t="str">
        <f>IFERROR(__xludf.DUMMYFUNCTION("if(A7083="""","""",substitute(SUBSTITUTE(index(importhtml(""http://finviz.com/quote.ashx?t=""&amp;A7083,""table"",10),7,2),""*"",""""),""-"",""0.00""))"),"Loading...")</f>
        <v>Loading...</v>
      </c>
      <c r="L7083" s="129">
        <v>8.85847263E8</v>
      </c>
      <c r="M7083" s="99">
        <v>1.51</v>
      </c>
    </row>
    <row r="7084">
      <c r="A7084" s="122" t="s">
        <v>14707</v>
      </c>
      <c r="B7084" s="123">
        <v>1512673.0</v>
      </c>
      <c r="C7084" s="124" t="s">
        <v>14708</v>
      </c>
      <c r="D7084" s="125"/>
      <c r="E7084" s="126">
        <v>67.88</v>
      </c>
      <c r="F7084" s="127"/>
      <c r="G7084" s="127"/>
      <c r="H7084" s="127"/>
      <c r="I7084" s="128"/>
      <c r="K7084" s="55" t="s">
        <v>1034</v>
      </c>
      <c r="L7084" s="129">
        <v>4.1684624365E10</v>
      </c>
      <c r="M7084" s="99">
        <v>2.53</v>
      </c>
    </row>
    <row r="7085">
      <c r="A7085" s="122" t="s">
        <v>14709</v>
      </c>
      <c r="B7085" s="123">
        <v>1419612.0</v>
      </c>
      <c r="C7085" s="124" t="s">
        <v>14710</v>
      </c>
      <c r="D7085" s="125"/>
      <c r="E7085" s="126">
        <v>68.0</v>
      </c>
      <c r="F7085" s="127"/>
      <c r="G7085" s="127"/>
      <c r="H7085" s="127"/>
      <c r="I7085" s="128"/>
      <c r="K7085" s="105" t="str">
        <f>IFERROR(__xludf.DUMMYFUNCTION("if(A7085="""","""",substitute(SUBSTITUTE(index(importhtml(""http://finviz.com/quote.ashx?t=""&amp;A7085,""table"",10),7,2),""*"",""""),""-"",""0.00""))"),"Loading...")</f>
        <v>Loading...</v>
      </c>
      <c r="L7085" s="129">
        <v>3.86316364E9</v>
      </c>
      <c r="M7085" s="99">
        <v>1.51</v>
      </c>
    </row>
    <row r="7086">
      <c r="A7086" s="122" t="s">
        <v>14711</v>
      </c>
      <c r="B7086" s="123">
        <v>1084048.0</v>
      </c>
      <c r="C7086" s="124" t="s">
        <v>14712</v>
      </c>
      <c r="D7086" s="125"/>
      <c r="E7086" s="126">
        <v>68.06</v>
      </c>
      <c r="F7086" s="127"/>
      <c r="G7086" s="127"/>
      <c r="H7086" s="127"/>
      <c r="I7086" s="128"/>
      <c r="K7086" s="55" t="s">
        <v>1034</v>
      </c>
      <c r="L7086" s="129">
        <v>3.281906169E9</v>
      </c>
      <c r="M7086" s="99">
        <v>1.24</v>
      </c>
    </row>
    <row r="7087">
      <c r="A7087" s="122" t="s">
        <v>14713</v>
      </c>
      <c r="B7087" s="123">
        <v>874761.0</v>
      </c>
      <c r="C7087" s="124" t="s">
        <v>14714</v>
      </c>
      <c r="D7087" s="125"/>
      <c r="E7087" s="126">
        <v>68.07</v>
      </c>
      <c r="F7087" s="127"/>
      <c r="G7087" s="127"/>
      <c r="H7087" s="127"/>
      <c r="I7087" s="128"/>
      <c r="K7087" s="105" t="str">
        <f>IFERROR(__xludf.DUMMYFUNCTION("if(A7087="""","""",substitute(SUBSTITUTE(index(importhtml(""http://finviz.com/quote.ashx?t=""&amp;A7087,""table"",10),7,2),""*"",""""),""-"",""0.00""))"),"Loading...")</f>
        <v>Loading...</v>
      </c>
      <c r="L7087" s="129">
        <v>1.139708078E10</v>
      </c>
      <c r="M7087" s="99" t="str">
        <f>IFERROR(__xludf.DUMMYFUNCTION("GOOGLEFINANCE(A7087,""beta"")"),"#N/A")</f>
        <v>#N/A</v>
      </c>
    </row>
    <row r="7088">
      <c r="A7088" s="122" t="s">
        <v>14715</v>
      </c>
      <c r="B7088" s="123">
        <v>1543151.0</v>
      </c>
      <c r="C7088" s="124" t="s">
        <v>14716</v>
      </c>
      <c r="D7088" s="125"/>
      <c r="E7088" s="126">
        <v>68.07</v>
      </c>
      <c r="F7088" s="127"/>
      <c r="G7088" s="127"/>
      <c r="H7088" s="127"/>
      <c r="I7088" s="128"/>
      <c r="K7088" s="105" t="str">
        <f>IFERROR(__xludf.DUMMYFUNCTION("if(A7088="""","""",substitute(SUBSTITUTE(index(importhtml(""http://finviz.com/quote.ashx?t=""&amp;A7088,""table"",10),7,2),""*"",""""),""-"",""0.00""))"),"Loading...")</f>
        <v>Loading...</v>
      </c>
      <c r="L7088" s="129">
        <v>1.40078393431E11</v>
      </c>
      <c r="M7088" s="99">
        <v>1.33</v>
      </c>
    </row>
    <row r="7089">
      <c r="A7089" s="122" t="s">
        <v>14717</v>
      </c>
      <c r="B7089" s="123">
        <v>1173514.0</v>
      </c>
      <c r="C7089" s="124" t="s">
        <v>14718</v>
      </c>
      <c r="D7089" s="125"/>
      <c r="E7089" s="126">
        <v>68.14</v>
      </c>
      <c r="F7089" s="127"/>
      <c r="G7089" s="127"/>
      <c r="H7089" s="127"/>
      <c r="I7089" s="128"/>
      <c r="K7089" s="138" t="s">
        <v>14719</v>
      </c>
      <c r="L7089" s="129">
        <v>1.171028817E9</v>
      </c>
      <c r="M7089" s="99">
        <v>1.51</v>
      </c>
    </row>
    <row r="7090">
      <c r="A7090" s="122" t="s">
        <v>14720</v>
      </c>
      <c r="B7090" s="123">
        <v>917470.0</v>
      </c>
      <c r="C7090" s="124" t="s">
        <v>14721</v>
      </c>
      <c r="D7090" s="125"/>
      <c r="E7090" s="126">
        <v>68.23</v>
      </c>
      <c r="F7090" s="127"/>
      <c r="G7090" s="127"/>
      <c r="H7090" s="127"/>
      <c r="I7090" s="128"/>
      <c r="K7090" s="105" t="str">
        <f>IFERROR(__xludf.DUMMYFUNCTION("if(A7090="""","""",substitute(SUBSTITUTE(index(importhtml(""http://finviz.com/quote.ashx?t=""&amp;A7090,""table"",10),7,2),""*"",""""),""-"",""0.00""))"),"Loading...")</f>
        <v>Loading...</v>
      </c>
      <c r="L7090" s="129">
        <v>7.59573241E8</v>
      </c>
      <c r="M7090" s="99">
        <v>1.65</v>
      </c>
    </row>
    <row r="7091">
      <c r="A7091" s="122" t="s">
        <v>14722</v>
      </c>
      <c r="B7091" s="123">
        <v>69733.0</v>
      </c>
      <c r="C7091" s="124" t="s">
        <v>14723</v>
      </c>
      <c r="D7091" s="125"/>
      <c r="E7091" s="126">
        <v>68.24</v>
      </c>
      <c r="F7091" s="127"/>
      <c r="G7091" s="127"/>
      <c r="H7091" s="127"/>
      <c r="I7091" s="128"/>
      <c r="K7091" s="105" t="str">
        <f>IFERROR(__xludf.DUMMYFUNCTION("if(A7091="""","""",substitute(SUBSTITUTE(index(importhtml(""http://finviz.com/quote.ashx?t=""&amp;A7091,""table"",10),7,2),""*"",""""),""-"",""0.00""))"),"Loading...")</f>
        <v>Loading...</v>
      </c>
      <c r="L7091" s="129">
        <v>2.78400015E8</v>
      </c>
      <c r="M7091" s="99">
        <v>0.25</v>
      </c>
    </row>
    <row r="7092">
      <c r="A7092" s="122" t="s">
        <v>14724</v>
      </c>
      <c r="B7092" s="123">
        <v>1039684.0</v>
      </c>
      <c r="C7092" s="124" t="s">
        <v>14725</v>
      </c>
      <c r="D7092" s="125"/>
      <c r="E7092" s="126">
        <v>68.29</v>
      </c>
      <c r="F7092" s="127"/>
      <c r="G7092" s="127"/>
      <c r="H7092" s="127"/>
      <c r="I7092" s="128"/>
      <c r="K7092" s="105" t="str">
        <f>IFERROR(__xludf.DUMMYFUNCTION("if(A7092="""","""",substitute(SUBSTITUTE(index(importhtml(""http://finviz.com/quote.ashx?t=""&amp;A7092,""table"",10),7,2),""*"",""""),""-"",""0.00""))"),"Loading...")</f>
        <v>Loading...</v>
      </c>
      <c r="L7092" s="129">
        <v>3.9782381007E10</v>
      </c>
      <c r="M7092" s="99">
        <v>1.64</v>
      </c>
    </row>
    <row r="7093">
      <c r="A7093" s="122" t="s">
        <v>14726</v>
      </c>
      <c r="B7093" s="123">
        <v>1906324.0</v>
      </c>
      <c r="C7093" s="124" t="s">
        <v>14727</v>
      </c>
      <c r="D7093" s="125"/>
      <c r="E7093" s="126">
        <v>68.34</v>
      </c>
      <c r="F7093" s="127"/>
      <c r="G7093" s="127"/>
      <c r="H7093" s="127"/>
      <c r="I7093" s="128"/>
      <c r="K7093" s="105" t="str">
        <f>IFERROR(__xludf.DUMMYFUNCTION("if(A7093="""","""",substitute(SUBSTITUTE(index(importhtml(""http://finviz.com/quote.ashx?t=""&amp;A7093,""table"",10),7,2),""*"",""""),""-"",""0.00""))"),"Loading...")</f>
        <v>Loading...</v>
      </c>
      <c r="L7093" s="129">
        <v>4.566390396E9</v>
      </c>
      <c r="M7093" s="99">
        <v>0.21</v>
      </c>
    </row>
    <row r="7094">
      <c r="A7094" s="122" t="s">
        <v>14728</v>
      </c>
      <c r="B7094" s="123">
        <v>930420.0</v>
      </c>
      <c r="C7094" s="124" t="s">
        <v>14729</v>
      </c>
      <c r="D7094" s="125"/>
      <c r="E7094" s="126">
        <v>68.46</v>
      </c>
      <c r="F7094" s="127"/>
      <c r="G7094" s="127"/>
      <c r="H7094" s="127"/>
      <c r="I7094" s="128"/>
      <c r="K7094" s="105" t="str">
        <f>IFERROR(__xludf.DUMMYFUNCTION("if(A7094="""","""",substitute(SUBSTITUTE(index(importhtml(""http://finviz.com/quote.ashx?t=""&amp;A7094,""table"",10),7,2),""*"",""""),""-"",""0.00""))"),"Loading...")</f>
        <v>Loading...</v>
      </c>
      <c r="L7094" s="129">
        <v>1.352701121E9</v>
      </c>
      <c r="M7094" s="99">
        <v>0.87</v>
      </c>
    </row>
    <row r="7095">
      <c r="A7095" s="122" t="s">
        <v>14730</v>
      </c>
      <c r="B7095" s="123">
        <v>891014.0</v>
      </c>
      <c r="C7095" s="124" t="s">
        <v>14731</v>
      </c>
      <c r="D7095" s="125"/>
      <c r="E7095" s="126">
        <v>68.46</v>
      </c>
      <c r="F7095" s="127"/>
      <c r="G7095" s="127"/>
      <c r="H7095" s="127"/>
      <c r="I7095" s="128"/>
      <c r="K7095" s="105" t="str">
        <f>IFERROR(__xludf.DUMMYFUNCTION("if(A7095="""","""",substitute(SUBSTITUTE(index(importhtml(""http://finviz.com/quote.ashx?t=""&amp;A7095,""table"",10),7,2),""*"",""""),""-"",""0.00""))"),"Loading...")</f>
        <v>Loading...</v>
      </c>
      <c r="L7095" s="129">
        <v>2.227951941E9</v>
      </c>
      <c r="M7095" s="99">
        <v>1.32</v>
      </c>
    </row>
    <row r="7096">
      <c r="A7096" s="122" t="s">
        <v>14732</v>
      </c>
      <c r="B7096" s="123">
        <v>895126.0</v>
      </c>
      <c r="C7096" s="124" t="s">
        <v>14478</v>
      </c>
      <c r="D7096" s="125"/>
      <c r="E7096" s="126">
        <v>68.47</v>
      </c>
      <c r="F7096" s="127"/>
      <c r="G7096" s="127"/>
      <c r="H7096" s="127"/>
      <c r="I7096" s="128"/>
      <c r="K7096" s="105" t="str">
        <f>IFERROR(__xludf.DUMMYFUNCTION("if(A7096="""","""",substitute(SUBSTITUTE(index(importhtml(""http://finviz.com/quote.ashx?t=""&amp;A7096,""table"",10),7,2),""*"",""""),""-"",""0.00""))"),"Loading...")</f>
        <v>Loading...</v>
      </c>
      <c r="L7096" s="129">
        <v>1.0038819317E10</v>
      </c>
      <c r="M7096" s="99" t="str">
        <f>IFERROR(__xludf.DUMMYFUNCTION("GOOGLEFINANCE(A7096,""beta"")"),"#N/A")</f>
        <v>#N/A</v>
      </c>
    </row>
    <row r="7097">
      <c r="A7097" s="122" t="s">
        <v>14733</v>
      </c>
      <c r="B7097" s="123">
        <v>863064.0</v>
      </c>
      <c r="C7097" s="124" t="s">
        <v>14734</v>
      </c>
      <c r="D7097" s="125"/>
      <c r="E7097" s="126">
        <v>68.48</v>
      </c>
      <c r="F7097" s="127"/>
      <c r="G7097" s="127"/>
      <c r="H7097" s="127"/>
      <c r="I7097" s="128"/>
      <c r="K7097" s="105" t="str">
        <f>IFERROR(__xludf.DUMMYFUNCTION("if(A7097="""","""",substitute(SUBSTITUTE(index(importhtml(""http://finviz.com/quote.ashx?t=""&amp;A7097,""table"",10),7,2),""*"",""""),""-"",""0.00""))"),"Loading...")</f>
        <v>Loading...</v>
      </c>
      <c r="L7097" s="129">
        <v>1.16925359971E11</v>
      </c>
      <c r="M7097" s="99">
        <v>0.74</v>
      </c>
    </row>
    <row r="7098">
      <c r="A7098" s="122" t="s">
        <v>14735</v>
      </c>
      <c r="B7098" s="123">
        <v>895417.0</v>
      </c>
      <c r="C7098" s="124" t="s">
        <v>14736</v>
      </c>
      <c r="D7098" s="125"/>
      <c r="E7098" s="126">
        <v>68.62</v>
      </c>
      <c r="F7098" s="127"/>
      <c r="G7098" s="127"/>
      <c r="H7098" s="127"/>
      <c r="I7098" s="128"/>
      <c r="K7098" s="55" t="s">
        <v>10691</v>
      </c>
      <c r="L7098" s="129">
        <v>1.2792566356E10</v>
      </c>
      <c r="M7098" s="99">
        <v>0.71</v>
      </c>
    </row>
    <row r="7099">
      <c r="A7099" s="122" t="s">
        <v>14737</v>
      </c>
      <c r="B7099" s="123">
        <v>92122.0</v>
      </c>
      <c r="C7099" s="124" t="s">
        <v>14738</v>
      </c>
      <c r="D7099" s="125"/>
      <c r="E7099" s="126">
        <v>68.65</v>
      </c>
      <c r="F7099" s="127"/>
      <c r="G7099" s="127"/>
      <c r="H7099" s="127"/>
      <c r="I7099" s="128"/>
      <c r="K7099" s="55" t="s">
        <v>14739</v>
      </c>
      <c r="L7099" s="129">
        <v>7.4870996014E10</v>
      </c>
      <c r="M7099" s="99">
        <v>0.5</v>
      </c>
    </row>
    <row r="7100">
      <c r="A7100" s="122" t="s">
        <v>14740</v>
      </c>
      <c r="B7100" s="123">
        <v>62996.0</v>
      </c>
      <c r="C7100" s="124" t="s">
        <v>14741</v>
      </c>
      <c r="D7100" s="125"/>
      <c r="E7100" s="126">
        <v>68.67</v>
      </c>
      <c r="F7100" s="127"/>
      <c r="G7100" s="127"/>
      <c r="H7100" s="127"/>
      <c r="I7100" s="128"/>
      <c r="K7100" s="105" t="str">
        <f>IFERROR(__xludf.DUMMYFUNCTION("if(A7100="""","""",substitute(SUBSTITUTE(index(importhtml(""http://finviz.com/quote.ashx?t=""&amp;A7100,""table"",10),7,2),""*"",""""),""-"",""0.00""))"),"Loading...")</f>
        <v>Loading...</v>
      </c>
      <c r="L7100" s="129">
        <v>1.5416469524E10</v>
      </c>
      <c r="M7100" s="99">
        <v>1.25</v>
      </c>
    </row>
    <row r="7101">
      <c r="A7101" s="122" t="s">
        <v>14742</v>
      </c>
      <c r="B7101" s="123">
        <v>764622.0</v>
      </c>
      <c r="C7101" s="124" t="s">
        <v>14743</v>
      </c>
      <c r="D7101" s="125"/>
      <c r="E7101" s="126">
        <v>68.7</v>
      </c>
      <c r="F7101" s="127"/>
      <c r="G7101" s="127"/>
      <c r="H7101" s="127"/>
      <c r="I7101" s="128"/>
      <c r="K7101" s="105" t="str">
        <f>IFERROR(__xludf.DUMMYFUNCTION("if(A7101="""","""",substitute(SUBSTITUTE(index(importhtml(""http://finviz.com/quote.ashx?t=""&amp;A7101,""table"",10),7,2),""*"",""""),""-"",""0.00""))"),"Loading...")</f>
        <v>Loading...</v>
      </c>
      <c r="L7101" s="129">
        <v>7.790462863E9</v>
      </c>
      <c r="M7101" s="99">
        <v>0.49</v>
      </c>
    </row>
    <row r="7102">
      <c r="A7102" s="122" t="s">
        <v>14744</v>
      </c>
      <c r="B7102" s="123">
        <v>746514.0</v>
      </c>
      <c r="C7102" s="124" t="s">
        <v>14745</v>
      </c>
      <c r="D7102" s="125"/>
      <c r="E7102" s="126">
        <v>68.76</v>
      </c>
      <c r="F7102" s="127"/>
      <c r="G7102" s="127"/>
      <c r="H7102" s="127"/>
      <c r="I7102" s="128"/>
      <c r="K7102" s="105" t="str">
        <f>IFERROR(__xludf.DUMMYFUNCTION("if(A7102="""","""",substitute(SUBSTITUTE(index(importhtml(""http://finviz.com/quote.ashx?t=""&amp;A7102,""table"",10),7,2),""*"",""""),""-"",""0.00""))"),"Loading...")</f>
        <v>Loading...</v>
      </c>
      <c r="L7102" s="129">
        <v>1.94731007E8</v>
      </c>
      <c r="M7102" s="99">
        <v>0.28</v>
      </c>
    </row>
    <row r="7103">
      <c r="A7103" s="122" t="s">
        <v>14746</v>
      </c>
      <c r="B7103" s="123">
        <v>917273.0</v>
      </c>
      <c r="C7103" s="124" t="s">
        <v>14747</v>
      </c>
      <c r="D7103" s="125"/>
      <c r="E7103" s="126">
        <v>68.85</v>
      </c>
      <c r="F7103" s="127"/>
      <c r="G7103" s="127"/>
      <c r="H7103" s="127"/>
      <c r="I7103" s="128"/>
      <c r="K7103" s="105" t="str">
        <f>IFERROR(__xludf.DUMMYFUNCTION("if(A7103="""","""",substitute(SUBSTITUTE(index(importhtml(""http://finviz.com/quote.ashx?t=""&amp;A7103,""table"",10),7,2),""*"",""""),""-"",""0.00""))"),"Loading...")</f>
        <v>Loading...</v>
      </c>
      <c r="L7103" s="129">
        <v>7.402008255E9</v>
      </c>
      <c r="M7103" s="99">
        <v>1.22</v>
      </c>
    </row>
    <row r="7104">
      <c r="A7104" s="122" t="s">
        <v>14748</v>
      </c>
      <c r="B7104" s="123">
        <v>1045986.0</v>
      </c>
      <c r="C7104" s="124" t="s">
        <v>14749</v>
      </c>
      <c r="D7104" s="125"/>
      <c r="E7104" s="126">
        <v>68.9</v>
      </c>
      <c r="F7104" s="127"/>
      <c r="G7104" s="127"/>
      <c r="H7104" s="127"/>
      <c r="I7104" s="128"/>
      <c r="K7104" s="105" t="str">
        <f>IFERROR(__xludf.DUMMYFUNCTION("if(A7104="""","""",substitute(SUBSTITUTE(index(importhtml(""http://finviz.com/quote.ashx?t=""&amp;A7104,""table"",10),7,2),""*"",""""),""-"",""0.00""))"),"Loading...")</f>
        <v>Loading...</v>
      </c>
      <c r="L7104" s="129">
        <v>1.052538471E9</v>
      </c>
      <c r="M7104" s="99">
        <v>1.05</v>
      </c>
    </row>
    <row r="7105">
      <c r="A7105" s="122" t="s">
        <v>14750</v>
      </c>
      <c r="B7105" s="123">
        <v>717605.0</v>
      </c>
      <c r="C7105" s="124" t="s">
        <v>14751</v>
      </c>
      <c r="D7105" s="125"/>
      <c r="E7105" s="126">
        <v>68.92</v>
      </c>
      <c r="F7105" s="127"/>
      <c r="G7105" s="127"/>
      <c r="H7105" s="127"/>
      <c r="I7105" s="128"/>
      <c r="K7105" s="105" t="str">
        <f>IFERROR(__xludf.DUMMYFUNCTION("if(A7105="""","""",substitute(SUBSTITUTE(index(importhtml(""http://finviz.com/quote.ashx?t=""&amp;A7105,""table"",10),7,2),""*"",""""),""-"",""0.00""))"),"Loading...")</f>
        <v>Loading...</v>
      </c>
      <c r="L7105" s="129">
        <v>5.796171846E9</v>
      </c>
      <c r="M7105" s="99">
        <v>1.22</v>
      </c>
    </row>
    <row r="7106">
      <c r="A7106" s="122" t="s">
        <v>14752</v>
      </c>
      <c r="B7106" s="123">
        <v>1552033.0</v>
      </c>
      <c r="C7106" s="124" t="s">
        <v>14753</v>
      </c>
      <c r="D7106" s="125"/>
      <c r="E7106" s="126">
        <v>69.0</v>
      </c>
      <c r="F7106" s="127"/>
      <c r="G7106" s="127"/>
      <c r="H7106" s="127"/>
      <c r="I7106" s="128"/>
      <c r="K7106" s="105" t="str">
        <f>IFERROR(__xludf.DUMMYFUNCTION("if(A7106="""","""",substitute(SUBSTITUTE(index(importhtml(""http://finviz.com/quote.ashx?t=""&amp;A7106,""table"",10),7,2),""*"",""""),""-"",""0.00""))"),"Loading...")</f>
        <v>Loading...</v>
      </c>
      <c r="L7106" s="129">
        <v>1.33653E10</v>
      </c>
      <c r="M7106" s="99">
        <v>1.6</v>
      </c>
    </row>
    <row r="7107">
      <c r="A7107" s="122" t="s">
        <v>14754</v>
      </c>
      <c r="B7107" s="123">
        <v>1020569.0</v>
      </c>
      <c r="C7107" s="124" t="s">
        <v>14755</v>
      </c>
      <c r="D7107" s="125"/>
      <c r="E7107" s="126">
        <v>69.12</v>
      </c>
      <c r="F7107" s="127"/>
      <c r="G7107" s="127"/>
      <c r="H7107" s="127"/>
      <c r="I7107" s="128"/>
      <c r="K7107" s="105" t="str">
        <f>IFERROR(__xludf.DUMMYFUNCTION("if(A7107="""","""",substitute(SUBSTITUTE(index(importhtml(""http://finviz.com/quote.ashx?t=""&amp;A7107,""table"",10),7,2),""*"",""""),""-"",""0.00""))"),"Loading...")</f>
        <v>Loading...</v>
      </c>
      <c r="L7107" s="129">
        <v>2.0182321953E10</v>
      </c>
      <c r="M7107" s="99">
        <v>0.87</v>
      </c>
    </row>
    <row r="7108">
      <c r="A7108" s="122" t="s">
        <v>14756</v>
      </c>
      <c r="B7108" s="123">
        <v>1317945.0</v>
      </c>
      <c r="C7108" s="124" t="s">
        <v>14757</v>
      </c>
      <c r="D7108" s="125"/>
      <c r="E7108" s="126">
        <v>69.24</v>
      </c>
      <c r="F7108" s="127"/>
      <c r="G7108" s="127"/>
      <c r="H7108" s="127"/>
      <c r="I7108" s="128"/>
      <c r="K7108" s="105" t="str">
        <f>IFERROR(__xludf.DUMMYFUNCTION("if(A7108="""","""",substitute(SUBSTITUTE(index(importhtml(""http://finviz.com/quote.ashx?t=""&amp;A7108,""table"",10),7,2),""*"",""""),""-"",""0.00""))"),"Loading...")</f>
        <v>Loading...</v>
      </c>
      <c r="L7108" s="129">
        <v>6.98930695E8</v>
      </c>
      <c r="M7108" s="99">
        <v>0.4</v>
      </c>
    </row>
    <row r="7109">
      <c r="A7109" s="122" t="s">
        <v>14758</v>
      </c>
      <c r="B7109" s="123">
        <v>1017480.0</v>
      </c>
      <c r="C7109" s="124" t="s">
        <v>14759</v>
      </c>
      <c r="D7109" s="125"/>
      <c r="E7109" s="126">
        <v>69.4</v>
      </c>
      <c r="F7109" s="127"/>
      <c r="G7109" s="127"/>
      <c r="H7109" s="127"/>
      <c r="I7109" s="128"/>
      <c r="K7109" s="105" t="str">
        <f>IFERROR(__xludf.DUMMYFUNCTION("if(A7109="""","""",substitute(SUBSTITUTE(index(importhtml(""http://finviz.com/quote.ashx?t=""&amp;A7109,""table"",10),7,2),""*"",""""),""-"",""0.00""))"),"Loading...")</f>
        <v>Loading...</v>
      </c>
      <c r="L7109" s="129">
        <v>8.16959467E8</v>
      </c>
      <c r="M7109" s="99">
        <v>1.75</v>
      </c>
    </row>
    <row r="7110">
      <c r="A7110" s="122" t="s">
        <v>14760</v>
      </c>
      <c r="B7110" s="123">
        <v>1002910.0</v>
      </c>
      <c r="C7110" s="124" t="s">
        <v>14761</v>
      </c>
      <c r="D7110" s="125"/>
      <c r="E7110" s="126">
        <v>69.41</v>
      </c>
      <c r="F7110" s="127"/>
      <c r="G7110" s="127"/>
      <c r="H7110" s="127"/>
      <c r="I7110" s="128"/>
      <c r="K7110" s="55" t="s">
        <v>14762</v>
      </c>
      <c r="L7110" s="129">
        <v>1.8251006471E10</v>
      </c>
      <c r="M7110" s="99">
        <v>0.43</v>
      </c>
    </row>
    <row r="7111">
      <c r="A7111" s="122" t="s">
        <v>14763</v>
      </c>
      <c r="B7111" s="123">
        <v>907242.0</v>
      </c>
      <c r="C7111" s="124" t="s">
        <v>14764</v>
      </c>
      <c r="D7111" s="125"/>
      <c r="E7111" s="126">
        <v>69.41</v>
      </c>
      <c r="F7111" s="127"/>
      <c r="G7111" s="127"/>
      <c r="H7111" s="127"/>
      <c r="I7111" s="128"/>
      <c r="K7111" s="105" t="str">
        <f>IFERROR(__xludf.DUMMYFUNCTION("if(A7111="""","""",substitute(SUBSTITUTE(index(importhtml(""http://finviz.com/quote.ashx?t=""&amp;A7111,""table"",10),7,2),""*"",""""),""-"",""0.00""))"),"Loading...")</f>
        <v>Loading...</v>
      </c>
      <c r="L7111" s="129">
        <v>1.323476633E9</v>
      </c>
      <c r="M7111" s="99">
        <v>1.62</v>
      </c>
    </row>
    <row r="7112">
      <c r="A7112" s="122" t="s">
        <v>14765</v>
      </c>
      <c r="B7112" s="123">
        <v>18654.0</v>
      </c>
      <c r="C7112" s="124" t="s">
        <v>14766</v>
      </c>
      <c r="D7112" s="125"/>
      <c r="E7112" s="126">
        <v>69.5</v>
      </c>
      <c r="F7112" s="127"/>
      <c r="G7112" s="127"/>
      <c r="H7112" s="127"/>
      <c r="I7112" s="128"/>
      <c r="K7112" s="105" t="str">
        <f>IFERROR(__xludf.DUMMYFUNCTION("if(A7112="""","""",substitute(SUBSTITUTE(index(importhtml(""http://finviz.com/quote.ashx?t=""&amp;A7112,""table"",10),7,2),""*"",""""),""-"",""0.00""))"),"Loading...")</f>
        <v>Loading...</v>
      </c>
      <c r="L7112" s="129">
        <v>4.1290715E7</v>
      </c>
      <c r="M7112" s="99">
        <v>0.15</v>
      </c>
    </row>
    <row r="7113">
      <c r="A7113" s="122" t="s">
        <v>14767</v>
      </c>
      <c r="B7113" s="123">
        <v>1650107.0</v>
      </c>
      <c r="C7113" s="124" t="s">
        <v>14768</v>
      </c>
      <c r="D7113" s="125"/>
      <c r="E7113" s="126">
        <v>69.54</v>
      </c>
      <c r="F7113" s="127"/>
      <c r="G7113" s="127"/>
      <c r="H7113" s="127"/>
      <c r="I7113" s="128"/>
      <c r="K7113" s="105" t="str">
        <f>IFERROR(__xludf.DUMMYFUNCTION("if(A7113="""","""",substitute(SUBSTITUTE(index(importhtml(""http://finviz.com/quote.ashx?t=""&amp;A7113,""table"",10),7,2),""*"",""""),""-"",""0.00""))"),"Loading...")</f>
        <v>Loading...</v>
      </c>
      <c r="L7113" s="129">
        <v>3.1932824052E10</v>
      </c>
      <c r="M7113" s="99">
        <v>0.86</v>
      </c>
    </row>
    <row r="7114">
      <c r="A7114" s="122" t="s">
        <v>14769</v>
      </c>
      <c r="B7114" s="123">
        <v>1067318.0</v>
      </c>
      <c r="C7114" s="124" t="s">
        <v>14770</v>
      </c>
      <c r="D7114" s="125"/>
      <c r="E7114" s="126">
        <v>69.61</v>
      </c>
      <c r="F7114" s="127"/>
      <c r="G7114" s="127"/>
      <c r="H7114" s="127"/>
      <c r="I7114" s="128"/>
      <c r="K7114" s="105" t="str">
        <f>IFERROR(__xludf.DUMMYFUNCTION("if(A7114="""","""",substitute(SUBSTITUTE(index(importhtml(""http://finviz.com/quote.ashx?t=""&amp;A7114,""table"",10),7,2),""*"",""""),""-"",""0.00""))"),"Loading...")</f>
        <v>Loading...</v>
      </c>
      <c r="L7114" s="129">
        <v>9.5785962E7</v>
      </c>
      <c r="M7114" s="99">
        <v>1.21</v>
      </c>
    </row>
    <row r="7115">
      <c r="A7115" s="122" t="s">
        <v>14771</v>
      </c>
      <c r="B7115" s="123">
        <v>5272.0</v>
      </c>
      <c r="C7115" s="124" t="s">
        <v>14772</v>
      </c>
      <c r="D7115" s="125"/>
      <c r="E7115" s="126">
        <v>69.63</v>
      </c>
      <c r="F7115" s="127"/>
      <c r="G7115" s="127"/>
      <c r="H7115" s="127"/>
      <c r="I7115" s="128"/>
      <c r="K7115" s="55" t="s">
        <v>10530</v>
      </c>
      <c r="L7115" s="129">
        <v>4.888306416E10</v>
      </c>
      <c r="M7115" s="99">
        <v>1.02</v>
      </c>
    </row>
    <row r="7116">
      <c r="A7116" s="122" t="s">
        <v>14773</v>
      </c>
      <c r="B7116" s="123">
        <v>863064.0</v>
      </c>
      <c r="C7116" s="124" t="s">
        <v>14774</v>
      </c>
      <c r="D7116" s="125"/>
      <c r="E7116" s="126">
        <v>69.78</v>
      </c>
      <c r="F7116" s="127"/>
      <c r="G7116" s="127"/>
      <c r="H7116" s="127"/>
      <c r="I7116" s="128"/>
      <c r="K7116" s="105" t="str">
        <f>IFERROR(__xludf.DUMMYFUNCTION("if(A7116="""","""",substitute(SUBSTITUTE(index(importhtml(""http://finviz.com/quote.ashx?t=""&amp;A7116,""table"",10),7,2),""*"",""""),""-"",""0.00""))"),"Loading...")</f>
        <v>Loading...</v>
      </c>
      <c r="L7116" s="129">
        <v>1.16925359971E11</v>
      </c>
      <c r="M7116" s="99">
        <v>0.79</v>
      </c>
    </row>
    <row r="7117">
      <c r="A7117" s="122" t="s">
        <v>14775</v>
      </c>
      <c r="B7117" s="123">
        <v>1611983.0</v>
      </c>
      <c r="C7117" s="124" t="s">
        <v>14776</v>
      </c>
      <c r="D7117" s="125"/>
      <c r="E7117" s="126">
        <v>70.0</v>
      </c>
      <c r="F7117" s="127"/>
      <c r="G7117" s="127"/>
      <c r="H7117" s="127"/>
      <c r="I7117" s="128"/>
      <c r="K7117" s="105" t="str">
        <f>IFERROR(__xludf.DUMMYFUNCTION("if(A7117="""","""",substitute(SUBSTITUTE(index(importhtml(""http://finviz.com/quote.ashx?t=""&amp;A7117,""table"",10),7,2),""*"",""""),""-"",""0.00""))"),"Loading...")</f>
        <v>Loading...</v>
      </c>
      <c r="L7117" s="129">
        <v>9.79587999E9</v>
      </c>
      <c r="M7117" s="99">
        <v>-1.77</v>
      </c>
    </row>
    <row r="7118">
      <c r="A7118" s="122" t="s">
        <v>14777</v>
      </c>
      <c r="B7118" s="123">
        <v>1671933.0</v>
      </c>
      <c r="C7118" s="124" t="s">
        <v>14778</v>
      </c>
      <c r="D7118" s="125"/>
      <c r="E7118" s="126">
        <v>70.0</v>
      </c>
      <c r="F7118" s="127"/>
      <c r="G7118" s="127"/>
      <c r="H7118" s="127"/>
      <c r="I7118" s="128"/>
      <c r="K7118" s="105" t="str">
        <f>IFERROR(__xludf.DUMMYFUNCTION("if(A7118="""","""",substitute(SUBSTITUTE(index(importhtml(""http://finviz.com/quote.ashx?t=""&amp;A7118,""table"",10),7,2),""*"",""""),""-"",""0.00""))"),"Loading...")</f>
        <v>Loading...</v>
      </c>
      <c r="L7118" s="129">
        <v>3.4320783E10</v>
      </c>
      <c r="M7118" s="99">
        <v>1.5</v>
      </c>
    </row>
    <row r="7119">
      <c r="A7119" s="122" t="s">
        <v>14779</v>
      </c>
      <c r="B7119" s="123">
        <v>1284812.0</v>
      </c>
      <c r="C7119" s="124" t="s">
        <v>14780</v>
      </c>
      <c r="D7119" s="125"/>
      <c r="E7119" s="126">
        <v>70.01</v>
      </c>
      <c r="F7119" s="127"/>
      <c r="G7119" s="127"/>
      <c r="H7119" s="127"/>
      <c r="I7119" s="128"/>
      <c r="K7119" s="55" t="s">
        <v>14781</v>
      </c>
      <c r="L7119" s="129">
        <v>3.440194891E9</v>
      </c>
      <c r="M7119" s="99">
        <v>1.47</v>
      </c>
    </row>
    <row r="7120">
      <c r="A7120" s="122" t="s">
        <v>14782</v>
      </c>
      <c r="B7120" s="123">
        <v>1069157.0</v>
      </c>
      <c r="C7120" s="124" t="s">
        <v>14783</v>
      </c>
      <c r="D7120" s="125"/>
      <c r="E7120" s="126">
        <v>70.04</v>
      </c>
      <c r="F7120" s="127"/>
      <c r="G7120" s="127"/>
      <c r="H7120" s="127"/>
      <c r="I7120" s="128"/>
      <c r="K7120" s="105" t="str">
        <f>IFERROR(__xludf.DUMMYFUNCTION("if(A7120="""","""",substitute(SUBSTITUTE(index(importhtml(""http://finviz.com/quote.ashx?t=""&amp;A7120,""table"",10),7,2),""*"",""""),""-"",""0.00""))"),"Loading...")</f>
        <v>Loading...</v>
      </c>
      <c r="L7120" s="129">
        <v>9.870744333E9</v>
      </c>
      <c r="M7120" s="99">
        <v>1.4</v>
      </c>
    </row>
    <row r="7121">
      <c r="A7121" s="122" t="s">
        <v>14784</v>
      </c>
      <c r="B7121" s="123">
        <v>1085869.0</v>
      </c>
      <c r="C7121" s="124" t="s">
        <v>14785</v>
      </c>
      <c r="D7121" s="125"/>
      <c r="E7121" s="126">
        <v>70.05</v>
      </c>
      <c r="F7121" s="127"/>
      <c r="G7121" s="127"/>
      <c r="H7121" s="127"/>
      <c r="I7121" s="128"/>
      <c r="K7121" s="105" t="str">
        <f>IFERROR(__xludf.DUMMYFUNCTION("if(A7121="""","""",substitute(SUBSTITUTE(index(importhtml(""http://finviz.com/quote.ashx?t=""&amp;A7121,""table"",10),7,2),""*"",""""),""-"",""0.00""))"),"Loading...")</f>
        <v>Loading...</v>
      </c>
      <c r="L7121" s="129">
        <v>2.435752087E9</v>
      </c>
      <c r="M7121" s="99">
        <v>1.49</v>
      </c>
    </row>
    <row r="7122">
      <c r="A7122" s="122" t="s">
        <v>14786</v>
      </c>
      <c r="B7122" s="123">
        <v>1053092.0</v>
      </c>
      <c r="C7122" s="124" t="s">
        <v>14787</v>
      </c>
      <c r="D7122" s="125"/>
      <c r="E7122" s="126">
        <v>70.44</v>
      </c>
      <c r="F7122" s="127"/>
      <c r="G7122" s="127"/>
      <c r="H7122" s="127"/>
      <c r="I7122" s="128"/>
      <c r="K7122" s="105" t="str">
        <f>IFERROR(__xludf.DUMMYFUNCTION("if(A7122="""","""",substitute(SUBSTITUTE(index(importhtml(""http://finviz.com/quote.ashx?t=""&amp;A7122,""table"",10),7,2),""*"",""""),""-"",""0.00""))"),"Loading...")</f>
        <v>Loading...</v>
      </c>
      <c r="L7122" s="129" t="e">
        <v>#N/A</v>
      </c>
      <c r="M7122" s="99">
        <v>0.65</v>
      </c>
    </row>
    <row r="7123">
      <c r="A7123" s="122" t="s">
        <v>14788</v>
      </c>
      <c r="B7123" s="123">
        <v>7323.0</v>
      </c>
      <c r="C7123" s="124" t="s">
        <v>14789</v>
      </c>
      <c r="D7123" s="125"/>
      <c r="E7123" s="126">
        <v>70.46</v>
      </c>
      <c r="F7123" s="127"/>
      <c r="G7123" s="127"/>
      <c r="H7123" s="127"/>
      <c r="I7123" s="128"/>
      <c r="K7123" s="105" t="str">
        <f>IFERROR(__xludf.DUMMYFUNCTION("if(A7123="""","""",substitute(SUBSTITUTE(index(importhtml(""http://finviz.com/quote.ashx?t=""&amp;A7123,""table"",10),7,2),""*"",""""),""-"",""0.00""))"),"Loading...")</f>
        <v>Loading...</v>
      </c>
      <c r="L7123" s="129">
        <v>1.0360114149E10</v>
      </c>
      <c r="M7123" s="99">
        <f>IFERROR(__xludf.DUMMYFUNCTION("GOOGLEFINANCE(A7123,""beta"")"),0.28)</f>
        <v>0.28</v>
      </c>
    </row>
    <row r="7124">
      <c r="A7124" s="122" t="s">
        <v>14790</v>
      </c>
      <c r="B7124" s="123">
        <v>67347.0</v>
      </c>
      <c r="C7124" s="124" t="s">
        <v>14791</v>
      </c>
      <c r="D7124" s="125"/>
      <c r="E7124" s="126">
        <v>70.54</v>
      </c>
      <c r="F7124" s="127"/>
      <c r="G7124" s="127"/>
      <c r="H7124" s="127"/>
      <c r="I7124" s="128"/>
      <c r="K7124" s="105" t="str">
        <f>IFERROR(__xludf.DUMMYFUNCTION("if(A7124="""","""",substitute(SUBSTITUTE(index(importhtml(""http://finviz.com/quote.ashx?t=""&amp;A7124,""table"",10),7,2),""*"",""""),""-"",""0.00""))"),"Loading...")</f>
        <v>Loading...</v>
      </c>
      <c r="L7124" s="129">
        <v>3.682734027E9</v>
      </c>
      <c r="M7124" s="99">
        <v>2.24</v>
      </c>
    </row>
    <row r="7125">
      <c r="A7125" s="122" t="s">
        <v>14792</v>
      </c>
      <c r="B7125" s="123">
        <v>1012037.0</v>
      </c>
      <c r="C7125" s="124" t="s">
        <v>14793</v>
      </c>
      <c r="D7125" s="125"/>
      <c r="E7125" s="126">
        <v>70.56</v>
      </c>
      <c r="F7125" s="127"/>
      <c r="G7125" s="127"/>
      <c r="H7125" s="127"/>
      <c r="I7125" s="128"/>
      <c r="K7125" s="105" t="str">
        <f>IFERROR(__xludf.DUMMYFUNCTION("if(A7125="""","""",substitute(SUBSTITUTE(index(importhtml(""http://finviz.com/quote.ashx?t=""&amp;A7125,""table"",10),7,2),""*"",""""),""-"",""0.00""))"),"Loading...")</f>
        <v>Loading...</v>
      </c>
      <c r="L7125" s="129">
        <v>3.3293138281E10</v>
      </c>
      <c r="M7125" s="99">
        <v>1.54</v>
      </c>
    </row>
    <row r="7126">
      <c r="A7126" s="122" t="s">
        <v>14794</v>
      </c>
      <c r="B7126" s="123">
        <v>815556.0</v>
      </c>
      <c r="C7126" s="124" t="s">
        <v>14795</v>
      </c>
      <c r="D7126" s="125"/>
      <c r="E7126" s="126">
        <v>70.65</v>
      </c>
      <c r="F7126" s="127"/>
      <c r="G7126" s="127"/>
      <c r="H7126" s="127"/>
      <c r="I7126" s="128"/>
      <c r="K7126" s="105" t="str">
        <f>IFERROR(__xludf.DUMMYFUNCTION("if(A7126="""","""",substitute(SUBSTITUTE(index(importhtml(""http://finviz.com/quote.ashx?t=""&amp;A7126,""table"",10),7,2),""*"",""""),""-"",""0.00""))"),"Loading...")</f>
        <v>Loading...</v>
      </c>
      <c r="L7126" s="129">
        <v>4.0410550367E10</v>
      </c>
      <c r="M7126" s="99">
        <v>1.05</v>
      </c>
    </row>
    <row r="7127">
      <c r="A7127" s="122" t="s">
        <v>14796</v>
      </c>
      <c r="B7127" s="123">
        <v>1492165.0</v>
      </c>
      <c r="C7127" s="124" t="s">
        <v>14797</v>
      </c>
      <c r="D7127" s="125"/>
      <c r="E7127" s="126">
        <v>70.68</v>
      </c>
      <c r="F7127" s="127"/>
      <c r="G7127" s="127"/>
      <c r="H7127" s="127"/>
      <c r="I7127" s="128"/>
      <c r="K7127" s="105" t="str">
        <f>IFERROR(__xludf.DUMMYFUNCTION("if(A7127="""","""",substitute(SUBSTITUTE(index(importhtml(""http://finviz.com/quote.ashx?t=""&amp;A7127,""table"",10),7,2),""*"",""""),""-"",""0.00""))"),"Loading...")</f>
        <v>Loading...</v>
      </c>
      <c r="L7127" s="129">
        <v>9.60066234E8</v>
      </c>
      <c r="M7127" s="99">
        <v>1.05</v>
      </c>
    </row>
    <row r="7128">
      <c r="A7128" s="122" t="s">
        <v>14798</v>
      </c>
      <c r="B7128" s="123">
        <v>15615.0</v>
      </c>
      <c r="C7128" s="124" t="s">
        <v>14799</v>
      </c>
      <c r="D7128" s="125"/>
      <c r="E7128" s="126">
        <v>70.71</v>
      </c>
      <c r="F7128" s="127"/>
      <c r="G7128" s="127"/>
      <c r="H7128" s="127"/>
      <c r="I7128" s="128"/>
      <c r="K7128" s="105" t="str">
        <f>IFERROR(__xludf.DUMMYFUNCTION("if(A7128="""","""",substitute(SUBSTITUTE(index(importhtml(""http://finviz.com/quote.ashx?t=""&amp;A7128,""table"",10),7,2),""*"",""""),""-"",""0.00""))"),"Loading...")</f>
        <v>Loading...</v>
      </c>
      <c r="L7128" s="129">
        <v>5.573582743E9</v>
      </c>
      <c r="M7128" s="99">
        <v>1.57</v>
      </c>
    </row>
    <row r="7129">
      <c r="A7129" s="122" t="s">
        <v>14800</v>
      </c>
      <c r="B7129" s="123">
        <v>1447669.0</v>
      </c>
      <c r="C7129" s="124" t="s">
        <v>14801</v>
      </c>
      <c r="D7129" s="125"/>
      <c r="E7129" s="126">
        <v>70.82</v>
      </c>
      <c r="F7129" s="127"/>
      <c r="G7129" s="127"/>
      <c r="H7129" s="127"/>
      <c r="I7129" s="128"/>
      <c r="K7129" s="105" t="str">
        <f>IFERROR(__xludf.DUMMYFUNCTION("if(A7129="""","""",substitute(SUBSTITUTE(index(importhtml(""http://finviz.com/quote.ashx?t=""&amp;A7129,""table"",10),7,2),""*"",""""),""-"",""0.00""))"),"Loading...")</f>
        <v>Loading...</v>
      </c>
      <c r="L7129" s="129">
        <v>1.282145104E10</v>
      </c>
      <c r="M7129" s="99">
        <v>1.41</v>
      </c>
    </row>
    <row r="7130">
      <c r="A7130" s="122" t="s">
        <v>14802</v>
      </c>
      <c r="B7130" s="123">
        <v>1097864.0</v>
      </c>
      <c r="C7130" s="124" t="s">
        <v>14803</v>
      </c>
      <c r="D7130" s="125"/>
      <c r="E7130" s="126">
        <v>70.83</v>
      </c>
      <c r="F7130" s="127"/>
      <c r="G7130" s="127"/>
      <c r="H7130" s="127"/>
      <c r="I7130" s="128"/>
      <c r="K7130" s="55" t="s">
        <v>1034</v>
      </c>
      <c r="L7130" s="129">
        <v>3.0506304713E10</v>
      </c>
      <c r="M7130" s="99">
        <v>1.81</v>
      </c>
    </row>
    <row r="7131">
      <c r="A7131" s="122" t="s">
        <v>14804</v>
      </c>
      <c r="B7131" s="123">
        <v>312070.0</v>
      </c>
      <c r="C7131" s="124" t="s">
        <v>14805</v>
      </c>
      <c r="D7131" s="125"/>
      <c r="E7131" s="126">
        <v>71.1</v>
      </c>
      <c r="F7131" s="127"/>
      <c r="G7131" s="127"/>
      <c r="H7131" s="127"/>
      <c r="I7131" s="128"/>
      <c r="K7131" s="105" t="str">
        <f>IFERROR(__xludf.DUMMYFUNCTION("if(A7131="""","""",substitute(SUBSTITUTE(index(importhtml(""http://finviz.com/quote.ashx?t=""&amp;A7131,""table"",10),7,2),""*"",""""),""-"",""0.00""))"),"Loading...")</f>
        <v>Loading...</v>
      </c>
      <c r="L7131" s="129">
        <v>8.19807867E8</v>
      </c>
      <c r="M7131" s="99" t="str">
        <f>IFERROR(__xludf.DUMMYFUNCTION("GOOGLEFINANCE(A7131,""beta"")"),"#N/A")</f>
        <v>#N/A</v>
      </c>
    </row>
    <row r="7132">
      <c r="A7132" s="122" t="s">
        <v>14806</v>
      </c>
      <c r="B7132" s="123">
        <v>1425292.0</v>
      </c>
      <c r="C7132" s="124" t="s">
        <v>14807</v>
      </c>
      <c r="D7132" s="125"/>
      <c r="E7132" s="126">
        <v>71.28</v>
      </c>
      <c r="F7132" s="127"/>
      <c r="G7132" s="127"/>
      <c r="H7132" s="127"/>
      <c r="I7132" s="128"/>
      <c r="K7132" s="105" t="str">
        <f>IFERROR(__xludf.DUMMYFUNCTION("if(A7132="""","""",substitute(SUBSTITUTE(index(importhtml(""http://finviz.com/quote.ashx?t=""&amp;A7132,""table"",10),7,2),""*"",""""),""-"",""0.00""))"),"Loading...")</f>
        <v>Loading...</v>
      </c>
      <c r="L7132" s="129">
        <v>7.53403213E8</v>
      </c>
      <c r="M7132" s="99">
        <v>1.33</v>
      </c>
    </row>
    <row r="7133">
      <c r="A7133" s="122" t="s">
        <v>14808</v>
      </c>
      <c r="B7133" s="123">
        <v>1032208.0</v>
      </c>
      <c r="C7133" s="124" t="s">
        <v>14809</v>
      </c>
      <c r="D7133" s="125"/>
      <c r="E7133" s="126">
        <v>71.34</v>
      </c>
      <c r="F7133" s="127"/>
      <c r="G7133" s="127"/>
      <c r="H7133" s="127"/>
      <c r="I7133" s="128"/>
      <c r="K7133" s="105" t="str">
        <f>IFERROR(__xludf.DUMMYFUNCTION("if(A7133="""","""",substitute(SUBSTITUTE(index(importhtml(""http://finviz.com/quote.ashx?t=""&amp;A7133,""table"",10),7,2),""*"",""""),""-"",""0.00""))"),"Loading...")</f>
        <v>Loading...</v>
      </c>
      <c r="L7133" s="129">
        <v>4.4896264349E10</v>
      </c>
      <c r="M7133" s="99">
        <v>0.71</v>
      </c>
    </row>
    <row r="7134">
      <c r="A7134" s="122" t="s">
        <v>14810</v>
      </c>
      <c r="B7134" s="123">
        <v>90896.0</v>
      </c>
      <c r="C7134" s="124" t="s">
        <v>14811</v>
      </c>
      <c r="D7134" s="125"/>
      <c r="E7134" s="126">
        <v>71.39</v>
      </c>
      <c r="F7134" s="127"/>
      <c r="G7134" s="127"/>
      <c r="H7134" s="127"/>
      <c r="I7134" s="128"/>
      <c r="K7134" s="105" t="str">
        <f>IFERROR(__xludf.DUMMYFUNCTION("if(A7134="""","""",substitute(SUBSTITUTE(index(importhtml(""http://finviz.com/quote.ashx?t=""&amp;A7134,""table"",10),7,2),""*"",""""),""-"",""0.00""))"),"Loading...")</f>
        <v>Loading...</v>
      </c>
      <c r="L7134" s="129">
        <v>4.113325426E9</v>
      </c>
      <c r="M7134" s="99">
        <v>1.5</v>
      </c>
    </row>
    <row r="7135">
      <c r="A7135" s="122" t="s">
        <v>14812</v>
      </c>
      <c r="B7135" s="123">
        <v>1535929.0</v>
      </c>
      <c r="C7135" s="124" t="s">
        <v>14813</v>
      </c>
      <c r="D7135" s="125"/>
      <c r="E7135" s="126">
        <v>71.69</v>
      </c>
      <c r="F7135" s="127"/>
      <c r="G7135" s="127"/>
      <c r="H7135" s="127"/>
      <c r="I7135" s="128"/>
      <c r="K7135" s="105" t="str">
        <f>IFERROR(__xludf.DUMMYFUNCTION("if(A7135="""","""",substitute(SUBSTITUTE(index(importhtml(""http://finviz.com/quote.ashx?t=""&amp;A7135,""table"",10),7,2),""*"",""""),""-"",""0.00""))"),"Loading...")</f>
        <v>Loading...</v>
      </c>
      <c r="L7135" s="129">
        <v>7.489311175E9</v>
      </c>
      <c r="M7135" s="99">
        <v>1.08</v>
      </c>
    </row>
    <row r="7136">
      <c r="A7136" s="122" t="s">
        <v>14814</v>
      </c>
      <c r="B7136" s="123">
        <v>1577552.0</v>
      </c>
      <c r="C7136" s="124" t="s">
        <v>14815</v>
      </c>
      <c r="D7136" s="125"/>
      <c r="E7136" s="126">
        <v>71.85</v>
      </c>
      <c r="F7136" s="127"/>
      <c r="G7136" s="127"/>
      <c r="H7136" s="127"/>
      <c r="I7136" s="128"/>
      <c r="K7136" s="105" t="str">
        <f>IFERROR(__xludf.DUMMYFUNCTION("if(A7136="""","""",substitute(SUBSTITUTE(index(importhtml(""http://finviz.com/quote.ashx?t=""&amp;A7136,""table"",10),7,2),""*"",""""),""-"",""0.00""))"),"Loading...")</f>
        <v>Loading...</v>
      </c>
      <c r="L7136" s="129">
        <v>1.82744938669E11</v>
      </c>
      <c r="M7136" s="99">
        <v>0.48</v>
      </c>
    </row>
    <row r="7137">
      <c r="A7137" s="122" t="s">
        <v>14816</v>
      </c>
      <c r="B7137" s="123">
        <v>729580.0</v>
      </c>
      <c r="C7137" s="124" t="s">
        <v>14817</v>
      </c>
      <c r="D7137" s="125"/>
      <c r="E7137" s="126">
        <v>71.89</v>
      </c>
      <c r="F7137" s="127"/>
      <c r="G7137" s="127"/>
      <c r="H7137" s="127"/>
      <c r="I7137" s="128"/>
      <c r="K7137" s="105" t="str">
        <f>IFERROR(__xludf.DUMMYFUNCTION("if(A7137="""","""",substitute(SUBSTITUTE(index(importhtml(""http://finviz.com/quote.ashx?t=""&amp;A7137,""table"",10),7,2),""*"",""""),""-"",""0.00""))"),"Loading...")</f>
        <v>Loading...</v>
      </c>
      <c r="L7137" s="129">
        <v>8.85847263E8</v>
      </c>
      <c r="M7137" s="99">
        <v>1.41</v>
      </c>
    </row>
    <row r="7138">
      <c r="A7138" s="122" t="s">
        <v>14818</v>
      </c>
      <c r="B7138" s="123">
        <v>1032033.0</v>
      </c>
      <c r="C7138" s="124" t="s">
        <v>14819</v>
      </c>
      <c r="D7138" s="125"/>
      <c r="E7138" s="126">
        <v>71.9</v>
      </c>
      <c r="F7138" s="127"/>
      <c r="G7138" s="127"/>
      <c r="H7138" s="127"/>
      <c r="I7138" s="128"/>
      <c r="K7138" s="105" t="str">
        <f>IFERROR(__xludf.DUMMYFUNCTION("if(A7138="""","""",substitute(SUBSTITUTE(index(importhtml(""http://finviz.com/quote.ashx?t=""&amp;A7138,""table"",10),7,2),""*"",""""),""-"",""0.00""))"),"Loading...")</f>
        <v>Loading...</v>
      </c>
      <c r="L7138" s="129">
        <v>4.253992882E9</v>
      </c>
      <c r="M7138" s="99">
        <v>0.49</v>
      </c>
    </row>
    <row r="7139">
      <c r="A7139" s="122" t="s">
        <v>14820</v>
      </c>
      <c r="B7139" s="123">
        <v>315858.0</v>
      </c>
      <c r="C7139" s="124" t="s">
        <v>14821</v>
      </c>
      <c r="D7139" s="125"/>
      <c r="E7139" s="126">
        <v>72.0</v>
      </c>
      <c r="F7139" s="127"/>
      <c r="G7139" s="127"/>
      <c r="H7139" s="127"/>
      <c r="I7139" s="128"/>
      <c r="K7139" s="105" t="str">
        <f>IFERROR(__xludf.DUMMYFUNCTION("if(A7139="""","""",substitute(SUBSTITUTE(index(importhtml(""http://finviz.com/quote.ashx?t=""&amp;A7139,""table"",10),7,2),""*"",""""),""-"",""0.00""))"),"Loading...")</f>
        <v>Loading...</v>
      </c>
      <c r="L7139" s="129">
        <v>1.54068225E9</v>
      </c>
      <c r="M7139" s="99" t="str">
        <f>IFERROR(__xludf.DUMMYFUNCTION("GOOGLEFINANCE(A7139,""beta"")"),"#N/A")</f>
        <v>#N/A</v>
      </c>
    </row>
    <row r="7140">
      <c r="A7140" s="122" t="s">
        <v>14822</v>
      </c>
      <c r="B7140" s="123">
        <v>1420798.0</v>
      </c>
      <c r="C7140" s="124" t="s">
        <v>14823</v>
      </c>
      <c r="D7140" s="125"/>
      <c r="E7140" s="126">
        <v>72.0</v>
      </c>
      <c r="F7140" s="127"/>
      <c r="G7140" s="127"/>
      <c r="H7140" s="127"/>
      <c r="I7140" s="128"/>
      <c r="K7140" s="105" t="str">
        <f>IFERROR(__xludf.DUMMYFUNCTION("if(A7140="""","""",substitute(SUBSTITUTE(index(importhtml(""http://finviz.com/quote.ashx?t=""&amp;A7140,""table"",10),7,2),""*"",""""),""-"",""0.00""))"),"Loading...")</f>
        <v>Loading...</v>
      </c>
      <c r="L7140" s="129">
        <v>5.1568998226E10</v>
      </c>
      <c r="M7140" s="99">
        <v>0.48</v>
      </c>
    </row>
    <row r="7141">
      <c r="A7141" s="122" t="s">
        <v>14824</v>
      </c>
      <c r="B7141" s="123">
        <v>1109354.0</v>
      </c>
      <c r="C7141" s="124" t="s">
        <v>14825</v>
      </c>
      <c r="D7141" s="125"/>
      <c r="E7141" s="126">
        <v>72.16</v>
      </c>
      <c r="F7141" s="127"/>
      <c r="G7141" s="127"/>
      <c r="H7141" s="127"/>
      <c r="I7141" s="128"/>
      <c r="K7141" s="105" t="str">
        <f>IFERROR(__xludf.DUMMYFUNCTION("if(A7141="""","""",substitute(SUBSTITUTE(index(importhtml(""http://finviz.com/quote.ashx?t=""&amp;A7141,""table"",10),7,2),""*"",""""),""-"",""0.00""))"),"Loading...")</f>
        <v>Loading...</v>
      </c>
      <c r="L7141" s="129">
        <v>9.987752698E9</v>
      </c>
      <c r="M7141" s="99">
        <v>1.14</v>
      </c>
    </row>
    <row r="7142">
      <c r="A7142" s="122" t="s">
        <v>14826</v>
      </c>
      <c r="B7142" s="123">
        <v>1135951.0</v>
      </c>
      <c r="C7142" s="124" t="s">
        <v>14827</v>
      </c>
      <c r="D7142" s="125"/>
      <c r="E7142" s="126">
        <v>72.19</v>
      </c>
      <c r="F7142" s="127"/>
      <c r="G7142" s="127"/>
      <c r="H7142" s="127"/>
      <c r="I7142" s="128"/>
      <c r="K7142" s="105" t="str">
        <f>IFERROR(__xludf.DUMMYFUNCTION("if(A7142="""","""",substitute(SUBSTITUTE(index(importhtml(""http://finviz.com/quote.ashx?t=""&amp;A7142,""table"",10),7,2),""*"",""""),""-"",""0.00""))"),"Loading...")</f>
        <v>Loading...</v>
      </c>
      <c r="L7142" s="129">
        <v>1.197809006E10</v>
      </c>
      <c r="M7142" s="99">
        <v>0.58</v>
      </c>
    </row>
    <row r="7143">
      <c r="A7143" s="122" t="s">
        <v>14828</v>
      </c>
      <c r="B7143" s="123">
        <v>785161.0</v>
      </c>
      <c r="C7143" s="124" t="s">
        <v>14829</v>
      </c>
      <c r="D7143" s="125"/>
      <c r="E7143" s="126">
        <v>72.28</v>
      </c>
      <c r="F7143" s="127"/>
      <c r="G7143" s="127"/>
      <c r="H7143" s="127"/>
      <c r="I7143" s="128"/>
      <c r="K7143" s="55" t="s">
        <v>6229</v>
      </c>
      <c r="L7143" s="129">
        <v>7.245397673E9</v>
      </c>
      <c r="M7143" s="99">
        <v>0.93</v>
      </c>
    </row>
    <row r="7144">
      <c r="A7144" s="122" t="s">
        <v>14830</v>
      </c>
      <c r="B7144" s="123">
        <v>1653482.0</v>
      </c>
      <c r="C7144" s="124" t="s">
        <v>14831</v>
      </c>
      <c r="D7144" s="125"/>
      <c r="E7144" s="126">
        <v>72.35</v>
      </c>
      <c r="F7144" s="127"/>
      <c r="G7144" s="127"/>
      <c r="H7144" s="127"/>
      <c r="I7144" s="128"/>
      <c r="K7144" s="105" t="str">
        <f>IFERROR(__xludf.DUMMYFUNCTION("if(A7144="""","""",substitute(SUBSTITUTE(index(importhtml(""http://finviz.com/quote.ashx?t=""&amp;A7144,""table"",10),7,2),""*"",""""),""-"",""0.00""))"),"Loading...")</f>
        <v>Loading...</v>
      </c>
      <c r="L7144" s="129">
        <v>1.1264887527E10</v>
      </c>
      <c r="M7144" s="99">
        <f>IFERROR(__xludf.DUMMYFUNCTION("GOOGLEFINANCE(A7144,""beta"")"),0.74)</f>
        <v>0.74</v>
      </c>
    </row>
    <row r="7145">
      <c r="A7145" s="122" t="s">
        <v>14832</v>
      </c>
      <c r="B7145" s="123">
        <v>16040.0</v>
      </c>
      <c r="C7145" s="124" t="s">
        <v>14833</v>
      </c>
      <c r="D7145" s="125"/>
      <c r="E7145" s="126">
        <v>72.55</v>
      </c>
      <c r="F7145" s="127"/>
      <c r="G7145" s="127"/>
      <c r="H7145" s="127"/>
      <c r="I7145" s="128"/>
      <c r="K7145" s="55" t="s">
        <v>14834</v>
      </c>
      <c r="L7145" s="129">
        <v>4.012671746E9</v>
      </c>
      <c r="M7145" s="99">
        <v>1.24</v>
      </c>
    </row>
    <row r="7146">
      <c r="A7146" s="122" t="s">
        <v>14835</v>
      </c>
      <c r="B7146" s="123">
        <v>1353612.0</v>
      </c>
      <c r="C7146" s="124" t="s">
        <v>14836</v>
      </c>
      <c r="D7146" s="125"/>
      <c r="E7146" s="126">
        <v>72.63</v>
      </c>
      <c r="F7146" s="127"/>
      <c r="G7146" s="127"/>
      <c r="H7146" s="127"/>
      <c r="I7146" s="128"/>
      <c r="K7146" s="55" t="s">
        <v>14837</v>
      </c>
      <c r="L7146" s="129" t="e">
        <v>#N/A</v>
      </c>
      <c r="M7146" s="99" t="str">
        <f>IFERROR(__xludf.DUMMYFUNCTION("GOOGLEFINANCE(A7146,""beta"")"),"#N/A")</f>
        <v>#N/A</v>
      </c>
    </row>
    <row r="7147">
      <c r="A7147" s="122" t="s">
        <v>14838</v>
      </c>
      <c r="B7147" s="123">
        <v>1170010.0</v>
      </c>
      <c r="C7147" s="124" t="s">
        <v>14839</v>
      </c>
      <c r="D7147" s="125"/>
      <c r="E7147" s="126">
        <v>72.79</v>
      </c>
      <c r="F7147" s="127"/>
      <c r="G7147" s="127"/>
      <c r="H7147" s="127"/>
      <c r="I7147" s="128"/>
      <c r="K7147" s="105" t="str">
        <f>IFERROR(__xludf.DUMMYFUNCTION("if(A7147="""","""",substitute(SUBSTITUTE(index(importhtml(""http://finviz.com/quote.ashx?t=""&amp;A7147,""table"",10),7,2),""*"",""""),""-"",""0.00""))"),"Loading...")</f>
        <v>Loading...</v>
      </c>
      <c r="L7147" s="129">
        <v>1.1495077013E10</v>
      </c>
      <c r="M7147" s="99">
        <v>1.6</v>
      </c>
    </row>
    <row r="7148">
      <c r="A7148" s="122" t="s">
        <v>14840</v>
      </c>
      <c r="B7148" s="123">
        <v>60086.0</v>
      </c>
      <c r="C7148" s="124" t="s">
        <v>14841</v>
      </c>
      <c r="D7148" s="125"/>
      <c r="E7148" s="126">
        <v>73.04</v>
      </c>
      <c r="F7148" s="127"/>
      <c r="G7148" s="127"/>
      <c r="H7148" s="127"/>
      <c r="I7148" s="128"/>
      <c r="K7148" s="138" t="s">
        <v>11713</v>
      </c>
      <c r="L7148" s="129">
        <v>1.6306224028E10</v>
      </c>
      <c r="M7148" s="99">
        <v>0.82</v>
      </c>
    </row>
    <row r="7149">
      <c r="A7149" s="122" t="s">
        <v>14842</v>
      </c>
      <c r="B7149" s="123">
        <v>64803.0</v>
      </c>
      <c r="C7149" s="124" t="s">
        <v>14843</v>
      </c>
      <c r="D7149" s="125"/>
      <c r="E7149" s="126">
        <v>73.09</v>
      </c>
      <c r="F7149" s="127"/>
      <c r="G7149" s="127"/>
      <c r="H7149" s="127"/>
      <c r="I7149" s="128"/>
      <c r="K7149" s="55" t="s">
        <v>14844</v>
      </c>
      <c r="L7149" s="129">
        <v>9.4059223927E10</v>
      </c>
      <c r="M7149" s="99">
        <v>0.5</v>
      </c>
    </row>
    <row r="7150">
      <c r="A7150" s="122" t="s">
        <v>14845</v>
      </c>
      <c r="B7150" s="123">
        <v>849395.0</v>
      </c>
      <c r="C7150" s="124" t="s">
        <v>14846</v>
      </c>
      <c r="D7150" s="125"/>
      <c r="E7150" s="126">
        <v>73.23</v>
      </c>
      <c r="F7150" s="127"/>
      <c r="G7150" s="127"/>
      <c r="H7150" s="127"/>
      <c r="I7150" s="128"/>
      <c r="K7150" s="55" t="s">
        <v>9957</v>
      </c>
      <c r="L7150" s="129">
        <v>5.0632828058E10</v>
      </c>
      <c r="M7150" s="99">
        <v>1.23</v>
      </c>
    </row>
    <row r="7151">
      <c r="A7151" s="122" t="s">
        <v>14847</v>
      </c>
      <c r="B7151" s="123">
        <v>824142.0</v>
      </c>
      <c r="C7151" s="124" t="s">
        <v>14848</v>
      </c>
      <c r="D7151" s="125"/>
      <c r="E7151" s="126">
        <v>73.32</v>
      </c>
      <c r="F7151" s="127"/>
      <c r="G7151" s="127"/>
      <c r="H7151" s="127"/>
      <c r="I7151" s="128"/>
      <c r="K7151" s="105" t="str">
        <f>IFERROR(__xludf.DUMMYFUNCTION("if(A7151="""","""",substitute(SUBSTITUTE(index(importhtml(""http://finviz.com/quote.ashx?t=""&amp;A7151,""table"",10),7,2),""*"",""""),""-"",""0.00""))"),"Loading...")</f>
        <v>Loading...</v>
      </c>
      <c r="L7151" s="129">
        <v>5.956872377E9</v>
      </c>
      <c r="M7151" s="99">
        <v>0.89</v>
      </c>
    </row>
    <row r="7152">
      <c r="A7152" s="122" t="s">
        <v>14849</v>
      </c>
      <c r="B7152" s="123">
        <v>100826.0</v>
      </c>
      <c r="C7152" s="124" t="s">
        <v>14444</v>
      </c>
      <c r="D7152" s="125"/>
      <c r="E7152" s="126">
        <v>73.33</v>
      </c>
      <c r="F7152" s="127"/>
      <c r="G7152" s="127"/>
      <c r="H7152" s="127"/>
      <c r="I7152" s="128"/>
      <c r="K7152" s="105" t="str">
        <f>IFERROR(__xludf.DUMMYFUNCTION("if(A7152="""","""",substitute(SUBSTITUTE(index(importhtml(""http://finviz.com/quote.ashx?t=""&amp;A7152,""table"",10),7,2),""*"",""""),""-"",""0.00""))"),"Loading...")</f>
        <v>Loading...</v>
      </c>
      <c r="L7152" s="129">
        <v>5246800.0</v>
      </c>
      <c r="M7152" s="99">
        <v>0.2</v>
      </c>
    </row>
    <row r="7153">
      <c r="A7153" s="122" t="s">
        <v>14850</v>
      </c>
      <c r="B7153" s="123">
        <v>1288847.0</v>
      </c>
      <c r="C7153" s="124" t="s">
        <v>14851</v>
      </c>
      <c r="D7153" s="125"/>
      <c r="E7153" s="126">
        <v>73.33</v>
      </c>
      <c r="F7153" s="127"/>
      <c r="G7153" s="127"/>
      <c r="H7153" s="127"/>
      <c r="I7153" s="128"/>
      <c r="K7153" s="105" t="str">
        <f>IFERROR(__xludf.DUMMYFUNCTION("if(A7153="""","""",substitute(SUBSTITUTE(index(importhtml(""http://finviz.com/quote.ashx?t=""&amp;A7153,""table"",10),7,2),""*"",""""),""-"",""0.00""))"),"Loading...")</f>
        <v>Loading...</v>
      </c>
      <c r="L7153" s="129">
        <v>5.33079268E9</v>
      </c>
      <c r="M7153" s="99">
        <v>0.9</v>
      </c>
    </row>
    <row r="7154">
      <c r="A7154" s="122" t="s">
        <v>14852</v>
      </c>
      <c r="B7154" s="123">
        <v>780571.0</v>
      </c>
      <c r="C7154" s="124" t="s">
        <v>14853</v>
      </c>
      <c r="D7154" s="125"/>
      <c r="E7154" s="126">
        <v>73.41</v>
      </c>
      <c r="F7154" s="127"/>
      <c r="G7154" s="127"/>
      <c r="H7154" s="127"/>
      <c r="I7154" s="128"/>
      <c r="K7154" s="105" t="str">
        <f>IFERROR(__xludf.DUMMYFUNCTION("if(A7154="""","""",substitute(SUBSTITUTE(index(importhtml(""http://finviz.com/quote.ashx?t=""&amp;A7154,""table"",10),7,2),""*"",""""),""-"",""0.00""))"),"Loading...")</f>
        <v>Loading...</v>
      </c>
      <c r="L7154" s="129">
        <v>3.339624412E9</v>
      </c>
      <c r="M7154" s="99">
        <v>1.35</v>
      </c>
    </row>
    <row r="7155">
      <c r="A7155" s="122" t="s">
        <v>14854</v>
      </c>
      <c r="B7155" s="123">
        <v>93751.0</v>
      </c>
      <c r="C7155" s="124" t="s">
        <v>14855</v>
      </c>
      <c r="D7155" s="125"/>
      <c r="E7155" s="126">
        <v>73.43</v>
      </c>
      <c r="F7155" s="127"/>
      <c r="G7155" s="127"/>
      <c r="H7155" s="127"/>
      <c r="I7155" s="128"/>
      <c r="K7155" s="105" t="str">
        <f>IFERROR(__xludf.DUMMYFUNCTION("if(A7155="""","""",substitute(SUBSTITUTE(index(importhtml(""http://finviz.com/quote.ashx?t=""&amp;A7155,""table"",10),7,2),""*"",""""),""-"",""0.00""))"),"Loading...")</f>
        <v>Loading...</v>
      </c>
      <c r="L7155" s="129">
        <v>2.2171748012E10</v>
      </c>
      <c r="M7155" s="99">
        <v>1.53</v>
      </c>
    </row>
    <row r="7156">
      <c r="A7156" s="122" t="s">
        <v>14856</v>
      </c>
      <c r="B7156" s="123">
        <v>1671927.0</v>
      </c>
      <c r="C7156" s="124" t="s">
        <v>14857</v>
      </c>
      <c r="D7156" s="125"/>
      <c r="E7156" s="126">
        <v>73.74</v>
      </c>
      <c r="F7156" s="127"/>
      <c r="G7156" s="127"/>
      <c r="H7156" s="127"/>
      <c r="I7156" s="128"/>
      <c r="K7156" s="105" t="str">
        <f>IFERROR(__xludf.DUMMYFUNCTION("if(A7156="""","""",substitute(SUBSTITUTE(index(importhtml(""http://finviz.com/quote.ashx?t=""&amp;A7156,""table"",10),7,2),""*"",""""),""-"",""0.00""))"),"Loading...")</f>
        <v>Loading...</v>
      </c>
      <c r="L7156" s="129">
        <v>3.661927556E9</v>
      </c>
      <c r="M7156" s="99">
        <f>IFERROR(__xludf.DUMMYFUNCTION("GOOGLEFINANCE(A7156,""beta"")"),0.78)</f>
        <v>0.78</v>
      </c>
    </row>
    <row r="7157">
      <c r="A7157" s="122" t="s">
        <v>14858</v>
      </c>
      <c r="B7157" s="123">
        <v>77360.0</v>
      </c>
      <c r="C7157" s="124" t="s">
        <v>14859</v>
      </c>
      <c r="D7157" s="125"/>
      <c r="E7157" s="126">
        <v>73.83</v>
      </c>
      <c r="F7157" s="127"/>
      <c r="G7157" s="127"/>
      <c r="H7157" s="127"/>
      <c r="I7157" s="128"/>
      <c r="K7157" s="105" t="str">
        <f>IFERROR(__xludf.DUMMYFUNCTION("if(A7157="""","""",substitute(SUBSTITUTE(index(importhtml(""http://finviz.com/quote.ashx?t=""&amp;A7157,""table"",10),7,2),""*"",""""),""-"",""0.00""))"),"Loading...")</f>
        <v>Loading...</v>
      </c>
      <c r="L7157" s="129">
        <v>1.2204010706E10</v>
      </c>
      <c r="M7157" s="99">
        <v>1.2</v>
      </c>
    </row>
    <row r="7158">
      <c r="A7158" s="122" t="s">
        <v>14860</v>
      </c>
      <c r="B7158" s="123">
        <v>871763.0</v>
      </c>
      <c r="C7158" s="124" t="s">
        <v>14861</v>
      </c>
      <c r="D7158" s="125"/>
      <c r="E7158" s="126">
        <v>74.02</v>
      </c>
      <c r="F7158" s="127"/>
      <c r="G7158" s="127"/>
      <c r="H7158" s="127"/>
      <c r="I7158" s="128"/>
      <c r="K7158" s="105" t="str">
        <f>IFERROR(__xludf.DUMMYFUNCTION("if(A7158="""","""",substitute(SUBSTITUTE(index(importhtml(""http://finviz.com/quote.ashx?t=""&amp;A7158,""table"",10),7,2),""*"",""""),""-"",""0.00""))"),"Loading...")</f>
        <v>Loading...</v>
      </c>
      <c r="L7158" s="129">
        <v>3.612827212E9</v>
      </c>
      <c r="M7158" s="99">
        <v>1.56</v>
      </c>
    </row>
    <row r="7159">
      <c r="A7159" s="122" t="s">
        <v>14862</v>
      </c>
      <c r="B7159" s="123">
        <v>901491.0</v>
      </c>
      <c r="C7159" s="124" t="s">
        <v>14863</v>
      </c>
      <c r="D7159" s="125"/>
      <c r="E7159" s="126">
        <v>74.06</v>
      </c>
      <c r="F7159" s="127"/>
      <c r="G7159" s="127"/>
      <c r="H7159" s="127"/>
      <c r="I7159" s="128"/>
      <c r="K7159" s="105" t="str">
        <f>IFERROR(__xludf.DUMMYFUNCTION("if(A7159="""","""",substitute(SUBSTITUTE(index(importhtml(""http://finviz.com/quote.ashx?t=""&amp;A7159,""table"",10),7,2),""*"",""""),""-"",""0.00""))"),"Loading...")</f>
        <v>Loading...</v>
      </c>
      <c r="L7159" s="129">
        <v>2.425898171E9</v>
      </c>
      <c r="M7159" s="99">
        <v>1.18</v>
      </c>
    </row>
    <row r="7160">
      <c r="A7160" s="122" t="s">
        <v>14864</v>
      </c>
      <c r="B7160" s="123">
        <v>1043277.0</v>
      </c>
      <c r="C7160" s="124" t="s">
        <v>14865</v>
      </c>
      <c r="D7160" s="125"/>
      <c r="E7160" s="126">
        <v>74.13</v>
      </c>
      <c r="F7160" s="127"/>
      <c r="G7160" s="127"/>
      <c r="H7160" s="127"/>
      <c r="I7160" s="128"/>
      <c r="K7160" s="105" t="str">
        <f>IFERROR(__xludf.DUMMYFUNCTION("if(A7160="""","""",substitute(SUBSTITUTE(index(importhtml(""http://finviz.com/quote.ashx?t=""&amp;A7160,""table"",10),7,2),""*"",""""),""-"",""0.00""))"),"Loading...")</f>
        <v>Loading...</v>
      </c>
      <c r="L7160" s="129">
        <v>8.647338309E9</v>
      </c>
      <c r="M7160" s="99">
        <v>0.76</v>
      </c>
    </row>
    <row r="7161">
      <c r="A7161" s="122" t="s">
        <v>14866</v>
      </c>
      <c r="B7161" s="123">
        <v>1369241.0</v>
      </c>
      <c r="C7161" s="124" t="s">
        <v>14867</v>
      </c>
      <c r="D7161" s="125"/>
      <c r="E7161" s="126">
        <v>74.3</v>
      </c>
      <c r="F7161" s="127"/>
      <c r="G7161" s="127"/>
      <c r="H7161" s="127"/>
      <c r="I7161" s="128"/>
      <c r="K7161" s="55" t="s">
        <v>14868</v>
      </c>
      <c r="L7161" s="129">
        <v>1.448627902E9</v>
      </c>
      <c r="M7161" s="99">
        <v>1.35</v>
      </c>
    </row>
    <row r="7162">
      <c r="A7162" s="122" t="s">
        <v>14869</v>
      </c>
      <c r="B7162" s="123">
        <v>1618673.0</v>
      </c>
      <c r="C7162" s="124" t="s">
        <v>14870</v>
      </c>
      <c r="D7162" s="125"/>
      <c r="E7162" s="126">
        <v>74.47</v>
      </c>
      <c r="F7162" s="127"/>
      <c r="G7162" s="127"/>
      <c r="H7162" s="127"/>
      <c r="I7162" s="128"/>
      <c r="K7162" s="105" t="str">
        <f>IFERROR(__xludf.DUMMYFUNCTION("if(A7162="""","""",substitute(SUBSTITUTE(index(importhtml(""http://finviz.com/quote.ashx?t=""&amp;A7162,""table"",10),7,2),""*"",""""),""-"",""0.00""))"),"Loading...")</f>
        <v>Loading...</v>
      </c>
      <c r="L7162" s="129">
        <v>1.1587599212E10</v>
      </c>
      <c r="M7162" s="99">
        <v>1.4</v>
      </c>
    </row>
    <row r="7163">
      <c r="A7163" s="122" t="s">
        <v>14871</v>
      </c>
      <c r="B7163" s="123">
        <v>1158324.0</v>
      </c>
      <c r="C7163" s="124" t="s">
        <v>14872</v>
      </c>
      <c r="D7163" s="125"/>
      <c r="E7163" s="126">
        <v>74.53</v>
      </c>
      <c r="F7163" s="127"/>
      <c r="G7163" s="127"/>
      <c r="H7163" s="127"/>
      <c r="I7163" s="128"/>
      <c r="K7163" s="105" t="str">
        <f>IFERROR(__xludf.DUMMYFUNCTION("if(A7163="""","""",substitute(SUBSTITUTE(index(importhtml(""http://finviz.com/quote.ashx?t=""&amp;A7163,""table"",10),7,2),""*"",""""),""-"",""0.00""))"),"Loading...")</f>
        <v>Loading...</v>
      </c>
      <c r="L7163" s="129">
        <v>3.623934735E9</v>
      </c>
      <c r="M7163" s="99">
        <v>0.41</v>
      </c>
    </row>
    <row r="7164">
      <c r="A7164" s="122" t="s">
        <v>14873</v>
      </c>
      <c r="B7164" s="123">
        <v>886163.0</v>
      </c>
      <c r="C7164" s="124" t="s">
        <v>14874</v>
      </c>
      <c r="D7164" s="125"/>
      <c r="E7164" s="126">
        <v>74.54</v>
      </c>
      <c r="F7164" s="127"/>
      <c r="G7164" s="127"/>
      <c r="H7164" s="127"/>
      <c r="I7164" s="128"/>
      <c r="K7164" s="105" t="str">
        <f>IFERROR(__xludf.DUMMYFUNCTION("if(A7164="""","""",substitute(SUBSTITUTE(index(importhtml(""http://finviz.com/quote.ashx?t=""&amp;A7164,""table"",10),7,2),""*"",""""),""-"",""0.00""))"),"Loading...")</f>
        <v>Loading...</v>
      </c>
      <c r="L7164" s="129">
        <v>1.299675728E9</v>
      </c>
      <c r="M7164" s="99">
        <v>0.96</v>
      </c>
    </row>
    <row r="7165">
      <c r="A7165" s="122" t="s">
        <v>14875</v>
      </c>
      <c r="B7165" s="123">
        <v>720672.0</v>
      </c>
      <c r="C7165" s="124" t="s">
        <v>14876</v>
      </c>
      <c r="D7165" s="125"/>
      <c r="E7165" s="126">
        <v>74.72</v>
      </c>
      <c r="F7165" s="127"/>
      <c r="G7165" s="127"/>
      <c r="H7165" s="127"/>
      <c r="I7165" s="128"/>
      <c r="K7165" s="55" t="s">
        <v>14877</v>
      </c>
      <c r="L7165" s="129">
        <v>7.621133772E9</v>
      </c>
      <c r="M7165" s="99">
        <v>1.19</v>
      </c>
    </row>
    <row r="7166">
      <c r="A7166" s="122" t="s">
        <v>14878</v>
      </c>
      <c r="B7166" s="123">
        <v>1167379.0</v>
      </c>
      <c r="C7166" s="124" t="s">
        <v>14879</v>
      </c>
      <c r="D7166" s="125"/>
      <c r="E7166" s="126">
        <v>74.98</v>
      </c>
      <c r="F7166" s="127"/>
      <c r="G7166" s="127"/>
      <c r="H7166" s="127"/>
      <c r="I7166" s="128"/>
      <c r="K7166" s="55" t="s">
        <v>6151</v>
      </c>
      <c r="L7166" s="129">
        <v>3.2181721723E10</v>
      </c>
      <c r="M7166" s="99">
        <v>0.89</v>
      </c>
    </row>
    <row r="7167">
      <c r="A7167" s="122" t="s">
        <v>14880</v>
      </c>
      <c r="B7167" s="123">
        <v>315858.0</v>
      </c>
      <c r="C7167" s="124" t="s">
        <v>14881</v>
      </c>
      <c r="D7167" s="125"/>
      <c r="E7167" s="126">
        <v>75.0</v>
      </c>
      <c r="F7167" s="127"/>
      <c r="G7167" s="127"/>
      <c r="H7167" s="127"/>
      <c r="I7167" s="128"/>
      <c r="K7167" s="105" t="str">
        <f>IFERROR(__xludf.DUMMYFUNCTION("if(A7167="""","""",substitute(SUBSTITUTE(index(importhtml(""http://finviz.com/quote.ashx?t=""&amp;A7167,""table"",10),7,2),""*"",""""),""-"",""0.00""))"),"Loading...")</f>
        <v>Loading...</v>
      </c>
      <c r="L7167" s="129">
        <v>1.54068225E9</v>
      </c>
      <c r="M7167" s="99" t="str">
        <f>IFERROR(__xludf.DUMMYFUNCTION("GOOGLEFINANCE(A7167,""beta"")"),"#N/A")</f>
        <v>#N/A</v>
      </c>
    </row>
    <row r="7168">
      <c r="A7168" s="122" t="s">
        <v>14882</v>
      </c>
      <c r="B7168" s="123">
        <v>1639300.0</v>
      </c>
      <c r="C7168" s="124" t="s">
        <v>14883</v>
      </c>
      <c r="D7168" s="125"/>
      <c r="E7168" s="126">
        <v>75.07</v>
      </c>
      <c r="F7168" s="127"/>
      <c r="G7168" s="127"/>
      <c r="H7168" s="127"/>
      <c r="I7168" s="128"/>
      <c r="K7168" s="105" t="str">
        <f>IFERROR(__xludf.DUMMYFUNCTION("if(A7168="""","""",substitute(SUBSTITUTE(index(importhtml(""http://finviz.com/quote.ashx?t=""&amp;A7168,""table"",10),7,2),""*"",""""),""-"",""0.00""))"),"Loading...")</f>
        <v>Loading...</v>
      </c>
      <c r="L7168" s="129">
        <v>4.62373169E9</v>
      </c>
      <c r="M7168" s="99">
        <v>0.75</v>
      </c>
    </row>
    <row r="7169">
      <c r="A7169" s="122" t="s">
        <v>14884</v>
      </c>
      <c r="B7169" s="123">
        <v>913142.0</v>
      </c>
      <c r="C7169" s="124" t="s">
        <v>14885</v>
      </c>
      <c r="D7169" s="125"/>
      <c r="E7169" s="126">
        <v>75.2</v>
      </c>
      <c r="F7169" s="127"/>
      <c r="G7169" s="127"/>
      <c r="H7169" s="127"/>
      <c r="I7169" s="128"/>
      <c r="K7169" s="55" t="s">
        <v>5049</v>
      </c>
      <c r="L7169" s="129">
        <v>3.134456192E9</v>
      </c>
      <c r="M7169" s="99">
        <v>1.02</v>
      </c>
    </row>
    <row r="7170">
      <c r="A7170" s="122" t="s">
        <v>14886</v>
      </c>
      <c r="B7170" s="123">
        <v>1378239.0</v>
      </c>
      <c r="C7170" s="124" t="s">
        <v>8027</v>
      </c>
      <c r="D7170" s="125"/>
      <c r="E7170" s="126">
        <v>75.22</v>
      </c>
      <c r="F7170" s="127"/>
      <c r="G7170" s="127"/>
      <c r="H7170" s="127"/>
      <c r="I7170" s="128"/>
      <c r="K7170" s="105" t="str">
        <f>IFERROR(__xludf.DUMMYFUNCTION("if(A7170="""","""",substitute(SUBSTITUTE(index(importhtml(""http://finviz.com/quote.ashx?t=""&amp;A7170,""table"",10),7,2),""*"",""""),""-"",""0.00""))"),"Loading...")</f>
        <v>Loading...</v>
      </c>
      <c r="L7170" s="129">
        <v>3.230688521E9</v>
      </c>
      <c r="M7170" s="99">
        <v>1.33</v>
      </c>
    </row>
    <row r="7171">
      <c r="A7171" s="122" t="s">
        <v>14887</v>
      </c>
      <c r="B7171" s="123">
        <v>1649094.0</v>
      </c>
      <c r="C7171" s="124" t="s">
        <v>14888</v>
      </c>
      <c r="D7171" s="125"/>
      <c r="E7171" s="126">
        <v>75.27</v>
      </c>
      <c r="F7171" s="127"/>
      <c r="G7171" s="127"/>
      <c r="H7171" s="127"/>
      <c r="I7171" s="128"/>
      <c r="K7171" s="105" t="str">
        <f>IFERROR(__xludf.DUMMYFUNCTION("if(A7171="""","""",substitute(SUBSTITUTE(index(importhtml(""http://finviz.com/quote.ashx?t=""&amp;A7171,""table"",10),7,2),""*"",""""),""-"",""0.00""))"),"Loading...")</f>
        <v>Loading...</v>
      </c>
      <c r="L7171" s="129">
        <v>7.162234486E9</v>
      </c>
      <c r="M7171" s="99">
        <v>0.93</v>
      </c>
    </row>
    <row r="7172">
      <c r="A7172" s="122" t="s">
        <v>14889</v>
      </c>
      <c r="B7172" s="123">
        <v>1056903.0</v>
      </c>
      <c r="C7172" s="124" t="s">
        <v>14890</v>
      </c>
      <c r="D7172" s="125"/>
      <c r="E7172" s="126">
        <v>75.4</v>
      </c>
      <c r="F7172" s="127"/>
      <c r="G7172" s="127"/>
      <c r="H7172" s="127"/>
      <c r="I7172" s="128"/>
      <c r="K7172" s="55" t="s">
        <v>8385</v>
      </c>
      <c r="L7172" s="129">
        <v>2.788336542E9</v>
      </c>
      <c r="M7172" s="99">
        <v>0.45</v>
      </c>
    </row>
    <row r="7173">
      <c r="A7173" s="122" t="s">
        <v>14891</v>
      </c>
      <c r="B7173" s="123">
        <v>1071739.0</v>
      </c>
      <c r="C7173" s="124" t="s">
        <v>14892</v>
      </c>
      <c r="D7173" s="125"/>
      <c r="E7173" s="126">
        <v>75.41</v>
      </c>
      <c r="F7173" s="127"/>
      <c r="G7173" s="127"/>
      <c r="H7173" s="127"/>
      <c r="I7173" s="128"/>
      <c r="K7173" s="55" t="s">
        <v>1034</v>
      </c>
      <c r="L7173" s="129">
        <v>4.0284099366E10</v>
      </c>
      <c r="M7173" s="99">
        <v>0.31</v>
      </c>
    </row>
    <row r="7174">
      <c r="A7174" s="122" t="s">
        <v>14893</v>
      </c>
      <c r="B7174" s="123">
        <v>833640.0</v>
      </c>
      <c r="C7174" s="124" t="s">
        <v>14894</v>
      </c>
      <c r="D7174" s="125"/>
      <c r="E7174" s="126">
        <v>75.42</v>
      </c>
      <c r="F7174" s="127"/>
      <c r="G7174" s="127"/>
      <c r="H7174" s="127"/>
      <c r="I7174" s="128"/>
      <c r="K7174" s="105" t="str">
        <f>IFERROR(__xludf.DUMMYFUNCTION("if(A7174="""","""",substitute(SUBSTITUTE(index(importhtml(""http://finviz.com/quote.ashx?t=""&amp;A7174,""table"",10),7,2),""*"",""""),""-"",""0.00""))"),"Loading...")</f>
        <v>Loading...</v>
      </c>
      <c r="L7174" s="129">
        <v>4.288198579E9</v>
      </c>
      <c r="M7174" s="99">
        <v>1.25</v>
      </c>
    </row>
    <row r="7175">
      <c r="A7175" s="122" t="s">
        <v>14895</v>
      </c>
      <c r="B7175" s="123">
        <v>764478.0</v>
      </c>
      <c r="C7175" s="124" t="s">
        <v>14896</v>
      </c>
      <c r="D7175" s="125"/>
      <c r="E7175" s="126">
        <v>75.69</v>
      </c>
      <c r="F7175" s="127"/>
      <c r="G7175" s="127"/>
      <c r="H7175" s="127"/>
      <c r="I7175" s="128"/>
      <c r="K7175" s="55" t="s">
        <v>14897</v>
      </c>
      <c r="L7175" s="129">
        <v>1.6303316196E10</v>
      </c>
      <c r="M7175" s="99">
        <v>1.49</v>
      </c>
    </row>
    <row r="7176">
      <c r="A7176" s="122" t="s">
        <v>14898</v>
      </c>
      <c r="B7176" s="123">
        <v>1370637.0</v>
      </c>
      <c r="C7176" s="124" t="s">
        <v>14899</v>
      </c>
      <c r="D7176" s="125"/>
      <c r="E7176" s="126">
        <v>75.7</v>
      </c>
      <c r="F7176" s="127"/>
      <c r="G7176" s="127"/>
      <c r="H7176" s="127"/>
      <c r="I7176" s="128"/>
      <c r="K7176" s="105" t="str">
        <f>IFERROR(__xludf.DUMMYFUNCTION("if(A7176="""","""",substitute(SUBSTITUTE(index(importhtml(""http://finviz.com/quote.ashx?t=""&amp;A7176,""table"",10),7,2),""*"",""""),""-"",""0.00""))"),"Loading...")</f>
        <v>Loading...</v>
      </c>
      <c r="L7176" s="129">
        <v>9.064786974E9</v>
      </c>
      <c r="M7176" s="99">
        <v>2.06</v>
      </c>
    </row>
    <row r="7177">
      <c r="A7177" s="122" t="s">
        <v>14900</v>
      </c>
      <c r="B7177" s="123">
        <v>39368.0</v>
      </c>
      <c r="C7177" s="124" t="s">
        <v>14901</v>
      </c>
      <c r="D7177" s="125"/>
      <c r="E7177" s="126">
        <v>75.92</v>
      </c>
      <c r="F7177" s="127"/>
      <c r="G7177" s="127"/>
      <c r="H7177" s="127"/>
      <c r="I7177" s="128"/>
      <c r="K7177" s="55" t="s">
        <v>8509</v>
      </c>
      <c r="L7177" s="129">
        <v>4.115468223E9</v>
      </c>
      <c r="M7177" s="99">
        <v>1.52</v>
      </c>
    </row>
    <row r="7178">
      <c r="A7178" s="122" t="s">
        <v>14902</v>
      </c>
      <c r="B7178" s="123">
        <v>1794669.0</v>
      </c>
      <c r="C7178" s="124" t="s">
        <v>14903</v>
      </c>
      <c r="D7178" s="125"/>
      <c r="E7178" s="126">
        <v>75.96</v>
      </c>
      <c r="F7178" s="127"/>
      <c r="G7178" s="127"/>
      <c r="H7178" s="127"/>
      <c r="I7178" s="128"/>
      <c r="K7178" s="105" t="str">
        <f>IFERROR(__xludf.DUMMYFUNCTION("if(A7178="""","""",substitute(SUBSTITUTE(index(importhtml(""http://finviz.com/quote.ashx?t=""&amp;A7178,""table"",10),7,2),""*"",""""),""-"",""0.00""))"),"Loading...")</f>
        <v>Loading...</v>
      </c>
      <c r="L7178" s="129">
        <v>6.261716948E9</v>
      </c>
      <c r="M7178" s="99">
        <v>1.59</v>
      </c>
    </row>
    <row r="7179">
      <c r="A7179" s="122" t="s">
        <v>14904</v>
      </c>
      <c r="B7179" s="123">
        <v>1000228.0</v>
      </c>
      <c r="C7179" s="124" t="s">
        <v>14905</v>
      </c>
      <c r="D7179" s="125"/>
      <c r="E7179" s="126">
        <v>76.14</v>
      </c>
      <c r="F7179" s="127"/>
      <c r="G7179" s="127"/>
      <c r="H7179" s="127"/>
      <c r="I7179" s="128"/>
      <c r="K7179" s="105" t="str">
        <f>IFERROR(__xludf.DUMMYFUNCTION("if(A7179="""","""",substitute(SUBSTITUTE(index(importhtml(""http://finviz.com/quote.ashx?t=""&amp;A7179,""table"",10),7,2),""*"",""""),""-"",""0.00""))"),"Loading...")</f>
        <v>Loading...</v>
      </c>
      <c r="L7179" s="129">
        <v>9.893502082E9</v>
      </c>
      <c r="M7179" s="99">
        <v>0.87</v>
      </c>
    </row>
    <row r="7180">
      <c r="A7180" s="122" t="s">
        <v>14906</v>
      </c>
      <c r="B7180" s="123">
        <v>1174850.0</v>
      </c>
      <c r="C7180" s="124" t="s">
        <v>14907</v>
      </c>
      <c r="D7180" s="125"/>
      <c r="E7180" s="126">
        <v>76.29</v>
      </c>
      <c r="F7180" s="127"/>
      <c r="G7180" s="127"/>
      <c r="H7180" s="127"/>
      <c r="I7180" s="128"/>
      <c r="K7180" s="105" t="str">
        <f>IFERROR(__xludf.DUMMYFUNCTION("if(A7180="""","""",substitute(SUBSTITUTE(index(importhtml(""http://finviz.com/quote.ashx?t=""&amp;A7180,""table"",10),7,2),""*"",""""),""-"",""0.00""))"),"Loading...")</f>
        <v>Loading...</v>
      </c>
      <c r="L7180" s="129">
        <v>1.136279294E9</v>
      </c>
      <c r="M7180" s="99">
        <v>0.74</v>
      </c>
    </row>
    <row r="7181">
      <c r="A7181" s="122" t="s">
        <v>14908</v>
      </c>
      <c r="B7181" s="123">
        <v>313143.0</v>
      </c>
      <c r="C7181" s="124" t="s">
        <v>14909</v>
      </c>
      <c r="D7181" s="125"/>
      <c r="E7181" s="126">
        <v>76.32</v>
      </c>
      <c r="F7181" s="127"/>
      <c r="G7181" s="127"/>
      <c r="H7181" s="127"/>
      <c r="I7181" s="128"/>
      <c r="K7181" s="105" t="str">
        <f>IFERROR(__xludf.DUMMYFUNCTION("if(A7181="""","""",substitute(SUBSTITUTE(index(importhtml(""http://finviz.com/quote.ashx?t=""&amp;A7181,""table"",10),7,2),""*"",""""),""-"",""0.00""))"),"Loading...")</f>
        <v>Loading...</v>
      </c>
      <c r="L7181" s="129">
        <v>3.872665294E9</v>
      </c>
      <c r="M7181" s="99">
        <v>0.34</v>
      </c>
    </row>
    <row r="7182">
      <c r="A7182" s="122" t="s">
        <v>14910</v>
      </c>
      <c r="B7182" s="123">
        <v>1060822.0</v>
      </c>
      <c r="C7182" s="124" t="s">
        <v>14911</v>
      </c>
      <c r="D7182" s="125"/>
      <c r="E7182" s="126">
        <v>76.42</v>
      </c>
      <c r="F7182" s="127"/>
      <c r="G7182" s="127"/>
      <c r="H7182" s="127"/>
      <c r="I7182" s="128"/>
      <c r="K7182" s="55" t="s">
        <v>14912</v>
      </c>
      <c r="L7182" s="129">
        <v>2.814151148E9</v>
      </c>
      <c r="M7182" s="99">
        <v>1.3</v>
      </c>
    </row>
    <row r="7183">
      <c r="A7183" s="122" t="s">
        <v>14913</v>
      </c>
      <c r="B7183" s="123">
        <v>948696.0</v>
      </c>
      <c r="C7183" s="124" t="s">
        <v>10462</v>
      </c>
      <c r="D7183" s="125"/>
      <c r="E7183" s="126">
        <v>76.45</v>
      </c>
      <c r="F7183" s="127"/>
      <c r="G7183" s="127"/>
      <c r="H7183" s="127"/>
      <c r="I7183" s="128"/>
      <c r="K7183" s="105" t="str">
        <f>IFERROR(__xludf.DUMMYFUNCTION("if(A7183="""","""",substitute(SUBSTITUTE(index(importhtml(""http://finviz.com/quote.ashx?t=""&amp;A7183,""table"",10),7,2),""*"",""""),""-"",""0.00""))"),"Loading...")</f>
        <v>Loading...</v>
      </c>
      <c r="L7183" s="129">
        <v>4.378278953E10</v>
      </c>
      <c r="M7183" s="99">
        <v>1.13</v>
      </c>
    </row>
    <row r="7184">
      <c r="A7184" s="122" t="s">
        <v>14914</v>
      </c>
      <c r="B7184" s="123">
        <v>1861560.0</v>
      </c>
      <c r="C7184" s="124" t="s">
        <v>14915</v>
      </c>
      <c r="D7184" s="125"/>
      <c r="E7184" s="126">
        <v>76.49</v>
      </c>
      <c r="F7184" s="127"/>
      <c r="G7184" s="127"/>
      <c r="H7184" s="127"/>
      <c r="I7184" s="128"/>
      <c r="K7184" s="105" t="str">
        <f>IFERROR(__xludf.DUMMYFUNCTION("if(A7184="""","""",substitute(SUBSTITUTE(index(importhtml(""http://finviz.com/quote.ashx?t=""&amp;A7184,""table"",10),7,2),""*"",""""),""-"",""0.00""))"),"Loading...")</f>
        <v>Loading...</v>
      </c>
      <c r="L7184" s="129">
        <v>4.79057545E9</v>
      </c>
      <c r="M7184" s="99">
        <f>IFERROR(__xludf.DUMMYFUNCTION("GOOGLEFINANCE(A7184,""beta"")"),1.31)</f>
        <v>1.31</v>
      </c>
    </row>
    <row r="7185">
      <c r="A7185" s="122" t="s">
        <v>14916</v>
      </c>
      <c r="B7185" s="123">
        <v>1324404.0</v>
      </c>
      <c r="C7185" s="124" t="s">
        <v>14917</v>
      </c>
      <c r="D7185" s="125"/>
      <c r="E7185" s="126">
        <v>76.52</v>
      </c>
      <c r="F7185" s="127"/>
      <c r="G7185" s="127"/>
      <c r="H7185" s="127"/>
      <c r="I7185" s="128"/>
      <c r="K7185" s="138" t="s">
        <v>11894</v>
      </c>
      <c r="L7185" s="129">
        <v>1.4619635086E10</v>
      </c>
      <c r="M7185" s="99">
        <v>1.01</v>
      </c>
    </row>
    <row r="7186">
      <c r="A7186" s="122" t="s">
        <v>14918</v>
      </c>
      <c r="B7186" s="123">
        <v>1142750.0</v>
      </c>
      <c r="C7186" s="124" t="s">
        <v>14919</v>
      </c>
      <c r="D7186" s="125"/>
      <c r="E7186" s="126">
        <v>76.59</v>
      </c>
      <c r="F7186" s="127"/>
      <c r="G7186" s="127"/>
      <c r="H7186" s="127"/>
      <c r="I7186" s="128"/>
      <c r="K7186" s="55" t="s">
        <v>1034</v>
      </c>
      <c r="L7186" s="129">
        <v>2.894270094E9</v>
      </c>
      <c r="M7186" s="99">
        <v>0.25</v>
      </c>
    </row>
    <row r="7187">
      <c r="A7187" s="122" t="s">
        <v>14920</v>
      </c>
      <c r="B7187" s="123">
        <v>895126.0</v>
      </c>
      <c r="C7187" s="124" t="s">
        <v>14921</v>
      </c>
      <c r="D7187" s="125"/>
      <c r="E7187" s="126">
        <v>76.59</v>
      </c>
      <c r="F7187" s="127"/>
      <c r="G7187" s="127"/>
      <c r="H7187" s="127"/>
      <c r="I7187" s="128"/>
      <c r="K7187" s="55" t="s">
        <v>14922</v>
      </c>
      <c r="L7187" s="129">
        <v>1.0038819317E10</v>
      </c>
      <c r="M7187" s="99" t="str">
        <f>IFERROR(__xludf.DUMMYFUNCTION("GOOGLEFINANCE(A7187,""beta"")"),"#N/A")</f>
        <v>#N/A</v>
      </c>
    </row>
    <row r="7188">
      <c r="A7188" s="122" t="s">
        <v>14923</v>
      </c>
      <c r="B7188" s="123">
        <v>772406.0</v>
      </c>
      <c r="C7188" s="124" t="s">
        <v>14924</v>
      </c>
      <c r="D7188" s="125"/>
      <c r="E7188" s="126">
        <v>76.7</v>
      </c>
      <c r="F7188" s="127"/>
      <c r="G7188" s="127"/>
      <c r="H7188" s="127"/>
      <c r="I7188" s="128"/>
      <c r="K7188" s="105" t="str">
        <f>IFERROR(__xludf.DUMMYFUNCTION("if(A7188="""","""",substitute(SUBSTITUTE(index(importhtml(""http://finviz.com/quote.ashx?t=""&amp;A7188,""table"",10),7,2),""*"",""""),""-"",""0.00""))"),"Loading...")</f>
        <v>Loading...</v>
      </c>
      <c r="L7188" s="129">
        <v>4.133951891E9</v>
      </c>
      <c r="M7188" s="99">
        <v>0.98</v>
      </c>
    </row>
    <row r="7189">
      <c r="A7189" s="122" t="s">
        <v>14925</v>
      </c>
      <c r="B7189" s="123">
        <v>4977.0</v>
      </c>
      <c r="C7189" s="124" t="s">
        <v>14926</v>
      </c>
      <c r="D7189" s="125"/>
      <c r="E7189" s="126">
        <v>76.82</v>
      </c>
      <c r="F7189" s="127"/>
      <c r="G7189" s="127"/>
      <c r="H7189" s="127"/>
      <c r="I7189" s="128"/>
      <c r="K7189" s="55" t="s">
        <v>13400</v>
      </c>
      <c r="L7189" s="129">
        <v>4.4892063739E10</v>
      </c>
      <c r="M7189" s="99">
        <v>0.93</v>
      </c>
    </row>
    <row r="7190">
      <c r="A7190" s="122" t="s">
        <v>14927</v>
      </c>
      <c r="B7190" s="123">
        <v>1041803.0</v>
      </c>
      <c r="C7190" s="124" t="s">
        <v>14928</v>
      </c>
      <c r="D7190" s="125"/>
      <c r="E7190" s="126">
        <v>76.87</v>
      </c>
      <c r="F7190" s="127"/>
      <c r="G7190" s="127"/>
      <c r="H7190" s="127"/>
      <c r="I7190" s="128"/>
      <c r="K7190" s="105" t="str">
        <f>IFERROR(__xludf.DUMMYFUNCTION("if(A7190="""","""",substitute(SUBSTITUTE(index(importhtml(""http://finviz.com/quote.ashx?t=""&amp;A7190,""table"",10),7,2),""*"",""""),""-"",""0.00""))"),"Loading...")</f>
        <v>Loading...</v>
      </c>
      <c r="L7190" s="129">
        <v>2.345747323E9</v>
      </c>
      <c r="M7190" s="99">
        <v>0.9</v>
      </c>
    </row>
    <row r="7191">
      <c r="A7191" s="122" t="s">
        <v>14929</v>
      </c>
      <c r="B7191" s="123">
        <v>1103982.0</v>
      </c>
      <c r="C7191" s="124" t="s">
        <v>14930</v>
      </c>
      <c r="D7191" s="125"/>
      <c r="E7191" s="126">
        <v>76.87</v>
      </c>
      <c r="F7191" s="127"/>
      <c r="G7191" s="127"/>
      <c r="H7191" s="127"/>
      <c r="I7191" s="128"/>
      <c r="K7191" s="105" t="str">
        <f>IFERROR(__xludf.DUMMYFUNCTION("if(A7191="""","""",substitute(SUBSTITUTE(index(importhtml(""http://finviz.com/quote.ashx?t=""&amp;A7191,""table"",10),7,2),""*"",""""),""-"",""0.00""))"),"Loading...")</f>
        <v>Loading...</v>
      </c>
      <c r="L7191" s="129">
        <v>1.04611925517E11</v>
      </c>
      <c r="M7191" s="99">
        <v>0.58</v>
      </c>
    </row>
    <row r="7192">
      <c r="A7192" s="122" t="s">
        <v>14931</v>
      </c>
      <c r="B7192" s="123">
        <v>882095.0</v>
      </c>
      <c r="C7192" s="124" t="s">
        <v>14932</v>
      </c>
      <c r="D7192" s="125"/>
      <c r="E7192" s="126">
        <v>76.96</v>
      </c>
      <c r="F7192" s="127"/>
      <c r="G7192" s="127"/>
      <c r="H7192" s="127"/>
      <c r="I7192" s="128"/>
      <c r="K7192" s="105" t="str">
        <f>IFERROR(__xludf.DUMMYFUNCTION("if(A7192="""","""",substitute(SUBSTITUTE(index(importhtml(""http://finviz.com/quote.ashx?t=""&amp;A7192,""table"",10),7,2),""*"",""""),""-"",""0.00""))"),"Loading...")</f>
        <v>Loading...</v>
      </c>
      <c r="L7192" s="129">
        <v>9.5895314219E10</v>
      </c>
      <c r="M7192" s="99">
        <v>0.2</v>
      </c>
    </row>
    <row r="7193">
      <c r="A7193" s="122" t="s">
        <v>14933</v>
      </c>
      <c r="B7193" s="123">
        <v>1415311.0</v>
      </c>
      <c r="C7193" s="124" t="s">
        <v>14934</v>
      </c>
      <c r="D7193" s="125"/>
      <c r="E7193" s="126">
        <v>76.97</v>
      </c>
      <c r="F7193" s="127"/>
      <c r="G7193" s="127"/>
      <c r="H7193" s="127"/>
      <c r="I7193" s="128"/>
      <c r="K7193" s="105" t="str">
        <f>IFERROR(__xludf.DUMMYFUNCTION("if(A7193="""","""",substitute(SUBSTITUTE(index(importhtml(""http://finviz.com/quote.ashx?t=""&amp;A7193,""table"",10),7,2),""*"",""""),""-"",""0.00""))"),"Loading...")</f>
        <v>Loading...</v>
      </c>
      <c r="L7193" s="129" t="e">
        <v>#N/A</v>
      </c>
      <c r="M7193" s="99" t="str">
        <f>IFERROR(__xludf.DUMMYFUNCTION("GOOGLEFINANCE(A7193,""beta"")"),"#N/A")</f>
        <v>#N/A</v>
      </c>
    </row>
    <row r="7194">
      <c r="A7194" s="122" t="s">
        <v>14935</v>
      </c>
      <c r="B7194" s="123">
        <v>706698.0</v>
      </c>
      <c r="C7194" s="124" t="s">
        <v>14936</v>
      </c>
      <c r="D7194" s="125"/>
      <c r="E7194" s="126">
        <v>76.98</v>
      </c>
      <c r="F7194" s="127"/>
      <c r="G7194" s="127"/>
      <c r="H7194" s="127"/>
      <c r="I7194" s="128"/>
      <c r="K7194" s="105" t="str">
        <f>IFERROR(__xludf.DUMMYFUNCTION("if(A7194="""","""",substitute(SUBSTITUTE(index(importhtml(""http://finviz.com/quote.ashx?t=""&amp;A7194,""table"",10),7,2),""*"",""""),""-"",""0.00""))"),"Loading...")</f>
        <v>Loading...</v>
      </c>
      <c r="L7194" s="129">
        <v>2.79400769E8</v>
      </c>
      <c r="M7194" s="99">
        <v>0.14</v>
      </c>
    </row>
    <row r="7195">
      <c r="A7195" s="122" t="s">
        <v>14937</v>
      </c>
      <c r="B7195" s="123">
        <v>1759528.0</v>
      </c>
      <c r="C7195" s="124" t="s">
        <v>14938</v>
      </c>
      <c r="D7195" s="125"/>
      <c r="E7195" s="126">
        <v>77.0</v>
      </c>
      <c r="F7195" s="127"/>
      <c r="G7195" s="127"/>
      <c r="H7195" s="127"/>
      <c r="I7195" s="128"/>
      <c r="K7195" s="105" t="str">
        <f>IFERROR(__xludf.DUMMYFUNCTION("if(A7195="""","""",substitute(SUBSTITUTE(index(importhtml(""http://finviz.com/quote.ashx?t=""&amp;A7195,""table"",10),7,2),""*"",""""),""-"",""0.00""))"),"Loading...")</f>
        <v>Loading...</v>
      </c>
      <c r="L7195" s="129">
        <v>2.69143259E12</v>
      </c>
      <c r="M7195" s="99" t="str">
        <f>IFERROR(__xludf.DUMMYFUNCTION("GOOGLEFINANCE(A7195,""beta"")"),"#N/A")</f>
        <v>#N/A</v>
      </c>
    </row>
    <row r="7196">
      <c r="A7196" s="122" t="s">
        <v>14939</v>
      </c>
      <c r="B7196" s="123">
        <v>80172.0</v>
      </c>
      <c r="C7196" s="124" t="s">
        <v>14940</v>
      </c>
      <c r="D7196" s="125"/>
      <c r="E7196" s="126">
        <v>77.13</v>
      </c>
      <c r="F7196" s="127"/>
      <c r="G7196" s="127"/>
      <c r="H7196" s="127"/>
      <c r="I7196" s="128"/>
      <c r="K7196" s="105" t="str">
        <f>IFERROR(__xludf.DUMMYFUNCTION("if(A7196="""","""",substitute(SUBSTITUTE(index(importhtml(""http://finviz.com/quote.ashx?t=""&amp;A7196,""table"",10),7,2),""*"",""""),""-"",""0.00""))"),"Loading...")</f>
        <v>Loading...</v>
      </c>
      <c r="L7196" s="129">
        <v>5.46266032E8</v>
      </c>
      <c r="M7196" s="99">
        <v>0.55</v>
      </c>
    </row>
    <row r="7197">
      <c r="A7197" s="122" t="s">
        <v>14941</v>
      </c>
      <c r="B7197" s="123">
        <v>1618755.0</v>
      </c>
      <c r="C7197" s="124" t="s">
        <v>14942</v>
      </c>
      <c r="D7197" s="125"/>
      <c r="E7197" s="126">
        <v>77.21</v>
      </c>
      <c r="F7197" s="127"/>
      <c r="G7197" s="127"/>
      <c r="H7197" s="127"/>
      <c r="I7197" s="128"/>
      <c r="K7197" s="105" t="str">
        <f>IFERROR(__xludf.DUMMYFUNCTION("if(A7197="""","""",substitute(SUBSTITUTE(index(importhtml(""http://finviz.com/quote.ashx?t=""&amp;A7197,""table"",10),7,2),""*"",""""),""-"",""0.00""))"),"Loading...")</f>
        <v>Loading...</v>
      </c>
      <c r="L7197" s="129" t="e">
        <v>#N/A</v>
      </c>
      <c r="M7197" s="99">
        <v>0.89</v>
      </c>
    </row>
    <row r="7198">
      <c r="A7198" s="122" t="s">
        <v>14943</v>
      </c>
      <c r="B7198" s="123">
        <v>1428336.0</v>
      </c>
      <c r="C7198" s="124" t="s">
        <v>14944</v>
      </c>
      <c r="D7198" s="125"/>
      <c r="E7198" s="126">
        <v>77.33</v>
      </c>
      <c r="F7198" s="127"/>
      <c r="G7198" s="127"/>
      <c r="H7198" s="127"/>
      <c r="I7198" s="128"/>
      <c r="K7198" s="105" t="str">
        <f>IFERROR(__xludf.DUMMYFUNCTION("if(A7198="""","""",substitute(SUBSTITUTE(index(importhtml(""http://finviz.com/quote.ashx?t=""&amp;A7198,""table"",10),7,2),""*"",""""),""-"",""0.00""))"),"Loading...")</f>
        <v>Loading...</v>
      </c>
      <c r="L7198" s="129">
        <v>6.635003086E9</v>
      </c>
      <c r="M7198" s="99">
        <v>0.55</v>
      </c>
    </row>
    <row r="7199">
      <c r="A7199" s="122" t="s">
        <v>14945</v>
      </c>
      <c r="B7199" s="123">
        <v>1022408.0</v>
      </c>
      <c r="C7199" s="124" t="s">
        <v>14946</v>
      </c>
      <c r="D7199" s="125"/>
      <c r="E7199" s="126">
        <v>77.49</v>
      </c>
      <c r="F7199" s="127"/>
      <c r="G7199" s="127"/>
      <c r="H7199" s="127"/>
      <c r="I7199" s="128"/>
      <c r="K7199" s="105" t="str">
        <f>IFERROR(__xludf.DUMMYFUNCTION("if(A7199="""","""",substitute(SUBSTITUTE(index(importhtml(""http://finviz.com/quote.ashx?t=""&amp;A7199,""table"",10),7,2),""*"",""""),""-"",""0.00""))"),"Loading...")</f>
        <v>Loading...</v>
      </c>
      <c r="L7199" s="129">
        <v>2.086964496E9</v>
      </c>
      <c r="M7199" s="99">
        <v>1.19</v>
      </c>
    </row>
    <row r="7200">
      <c r="A7200" s="122" t="s">
        <v>14947</v>
      </c>
      <c r="B7200" s="123">
        <v>1620533.0</v>
      </c>
      <c r="C7200" s="124" t="s">
        <v>14948</v>
      </c>
      <c r="D7200" s="125"/>
      <c r="E7200" s="126">
        <v>77.5</v>
      </c>
      <c r="F7200" s="127"/>
      <c r="G7200" s="127"/>
      <c r="H7200" s="127"/>
      <c r="I7200" s="128"/>
      <c r="K7200" s="105" t="str">
        <f>IFERROR(__xludf.DUMMYFUNCTION("if(A7200="""","""",substitute(SUBSTITUTE(index(importhtml(""http://finviz.com/quote.ashx?t=""&amp;A7200,""table"",10),7,2),""*"",""""),""-"",""0.00""))"),"Loading...")</f>
        <v>Loading...</v>
      </c>
      <c r="L7200" s="129">
        <v>3.278433675E9</v>
      </c>
      <c r="M7200" s="99">
        <v>1.75</v>
      </c>
    </row>
    <row r="7201">
      <c r="A7201" s="122" t="s">
        <v>14949</v>
      </c>
      <c r="B7201" s="123">
        <v>79282.0</v>
      </c>
      <c r="C7201" s="124" t="s">
        <v>14950</v>
      </c>
      <c r="D7201" s="125"/>
      <c r="E7201" s="126">
        <v>77.69</v>
      </c>
      <c r="F7201" s="127"/>
      <c r="G7201" s="127"/>
      <c r="H7201" s="127"/>
      <c r="I7201" s="128"/>
      <c r="K7201" s="55" t="s">
        <v>10055</v>
      </c>
      <c r="L7201" s="129">
        <v>2.2110566925E10</v>
      </c>
      <c r="M7201" s="99">
        <v>0.78</v>
      </c>
    </row>
    <row r="7202">
      <c r="A7202" s="122" t="s">
        <v>14951</v>
      </c>
      <c r="B7202" s="123">
        <v>1726978.0</v>
      </c>
      <c r="C7202" s="124" t="s">
        <v>14952</v>
      </c>
      <c r="D7202" s="125"/>
      <c r="E7202" s="126">
        <v>77.77</v>
      </c>
      <c r="F7202" s="127"/>
      <c r="G7202" s="127"/>
      <c r="H7202" s="127"/>
      <c r="I7202" s="128"/>
      <c r="K7202" s="105" t="str">
        <f>IFERROR(__xludf.DUMMYFUNCTION("if(A7202="""","""",substitute(SUBSTITUTE(index(importhtml(""http://finviz.com/quote.ashx?t=""&amp;A7202,""table"",10),7,2),""*"",""""),""-"",""0.00""))"),"Loading...")</f>
        <v>Loading...</v>
      </c>
      <c r="L7202" s="129">
        <v>2.944764033E9</v>
      </c>
      <c r="M7202" s="99">
        <v>1.34</v>
      </c>
    </row>
    <row r="7203">
      <c r="A7203" s="122" t="s">
        <v>14953</v>
      </c>
      <c r="B7203" s="123">
        <v>1058290.0</v>
      </c>
      <c r="C7203" s="124" t="s">
        <v>14954</v>
      </c>
      <c r="D7203" s="125"/>
      <c r="E7203" s="126">
        <v>77.89</v>
      </c>
      <c r="F7203" s="127"/>
      <c r="G7203" s="127"/>
      <c r="H7203" s="127"/>
      <c r="I7203" s="128"/>
      <c r="K7203" s="105" t="str">
        <f>IFERROR(__xludf.DUMMYFUNCTION("if(A7203="""","""",substitute(SUBSTITUTE(index(importhtml(""http://finviz.com/quote.ashx?t=""&amp;A7203,""table"",10),7,2),""*"",""""),""-"",""0.00""))"),"Loading...")</f>
        <v>Loading...</v>
      </c>
      <c r="L7203" s="129">
        <v>3.9055019318E10</v>
      </c>
      <c r="M7203" s="99">
        <v>1.07</v>
      </c>
    </row>
    <row r="7204">
      <c r="A7204" s="122" t="s">
        <v>14955</v>
      </c>
      <c r="B7204" s="123">
        <v>1126328.0</v>
      </c>
      <c r="C7204" s="124" t="s">
        <v>14956</v>
      </c>
      <c r="D7204" s="125"/>
      <c r="E7204" s="126">
        <v>78.02</v>
      </c>
      <c r="F7204" s="127"/>
      <c r="G7204" s="127"/>
      <c r="H7204" s="127"/>
      <c r="I7204" s="128"/>
      <c r="K7204" s="105" t="str">
        <f>IFERROR(__xludf.DUMMYFUNCTION("if(A7204="""","""",substitute(SUBSTITUTE(index(importhtml(""http://finviz.com/quote.ashx?t=""&amp;A7204,""table"",10),7,2),""*"",""""),""-"",""0.00""))"),"Loading...")</f>
        <v>Loading...</v>
      </c>
      <c r="L7204" s="129">
        <v>1.8600903439E10</v>
      </c>
      <c r="M7204" s="99">
        <v>1.25</v>
      </c>
    </row>
    <row r="7205">
      <c r="A7205" s="122" t="s">
        <v>14957</v>
      </c>
      <c r="B7205" s="123">
        <v>1163739.0</v>
      </c>
      <c r="C7205" s="124" t="s">
        <v>14958</v>
      </c>
      <c r="D7205" s="125"/>
      <c r="E7205" s="126">
        <v>78.07</v>
      </c>
      <c r="F7205" s="127"/>
      <c r="G7205" s="127"/>
      <c r="H7205" s="127"/>
      <c r="I7205" s="128"/>
      <c r="K7205" s="105" t="str">
        <f>IFERROR(__xludf.DUMMYFUNCTION("if(A7205="""","""",substitute(SUBSTITUTE(index(importhtml(""http://finviz.com/quote.ashx?t=""&amp;A7205,""table"",10),7,2),""*"",""""),""-"",""0.00""))"),"Loading...")</f>
        <v>Loading...</v>
      </c>
      <c r="L7205" s="129">
        <v>8.00660088E8</v>
      </c>
      <c r="M7205" s="99">
        <v>2.39</v>
      </c>
    </row>
    <row r="7206">
      <c r="A7206" s="122" t="s">
        <v>14959</v>
      </c>
      <c r="B7206" s="123">
        <v>1378789.0</v>
      </c>
      <c r="C7206" s="124" t="s">
        <v>14960</v>
      </c>
      <c r="D7206" s="125"/>
      <c r="E7206" s="126">
        <v>78.21</v>
      </c>
      <c r="F7206" s="127"/>
      <c r="G7206" s="127"/>
      <c r="H7206" s="127"/>
      <c r="I7206" s="128"/>
      <c r="K7206" s="55" t="s">
        <v>14961</v>
      </c>
      <c r="L7206" s="129">
        <v>1.6433477186E10</v>
      </c>
      <c r="M7206" s="99">
        <v>1.85</v>
      </c>
    </row>
    <row r="7207">
      <c r="A7207" s="122" t="s">
        <v>14962</v>
      </c>
      <c r="B7207" s="123">
        <v>91142.0</v>
      </c>
      <c r="C7207" s="124" t="s">
        <v>14963</v>
      </c>
      <c r="D7207" s="125"/>
      <c r="E7207" s="126">
        <v>78.33</v>
      </c>
      <c r="F7207" s="127"/>
      <c r="G7207" s="127"/>
      <c r="H7207" s="127"/>
      <c r="I7207" s="128"/>
      <c r="K7207" s="55" t="s">
        <v>10505</v>
      </c>
      <c r="L7207" s="129">
        <v>1.1649261371E10</v>
      </c>
      <c r="M7207" s="99">
        <v>1.25</v>
      </c>
    </row>
    <row r="7208">
      <c r="A7208" s="122" t="s">
        <v>14964</v>
      </c>
      <c r="B7208" s="123">
        <v>1486159.0</v>
      </c>
      <c r="C7208" s="124" t="s">
        <v>10377</v>
      </c>
      <c r="D7208" s="125"/>
      <c r="E7208" s="126">
        <v>78.35</v>
      </c>
      <c r="F7208" s="127"/>
      <c r="G7208" s="127"/>
      <c r="H7208" s="127"/>
      <c r="I7208" s="128"/>
      <c r="K7208" s="105" t="str">
        <f>IFERROR(__xludf.DUMMYFUNCTION("if(A7208="""","""",substitute(SUBSTITUTE(index(importhtml(""http://finviz.com/quote.ashx?t=""&amp;A7208,""table"",10),7,2),""*"",""""),""-"",""0.00""))"),"Loading...")</f>
        <v>Loading...</v>
      </c>
      <c r="L7208" s="129">
        <v>6.253682145E9</v>
      </c>
      <c r="M7208" s="99" t="str">
        <f>IFERROR(__xludf.DUMMYFUNCTION("GOOGLEFINANCE(A7208,""beta"")"),"#N/A")</f>
        <v>#N/A</v>
      </c>
    </row>
    <row r="7209">
      <c r="A7209" s="122" t="s">
        <v>14965</v>
      </c>
      <c r="B7209" s="123">
        <v>851520.0</v>
      </c>
      <c r="C7209" s="124" t="s">
        <v>14966</v>
      </c>
      <c r="D7209" s="125"/>
      <c r="E7209" s="126">
        <v>78.39</v>
      </c>
      <c r="F7209" s="127"/>
      <c r="G7209" s="127"/>
      <c r="H7209" s="127"/>
      <c r="I7209" s="128"/>
      <c r="K7209" s="105" t="str">
        <f>IFERROR(__xludf.DUMMYFUNCTION("if(A7209="""","""",substitute(SUBSTITUTE(index(importhtml(""http://finviz.com/quote.ashx?t=""&amp;A7209,""table"",10),7,2),""*"",""""),""-"",""0.00""))"),"Loading...")</f>
        <v>Loading...</v>
      </c>
      <c r="L7209" s="129">
        <v>3.968292256E9</v>
      </c>
      <c r="M7209" s="99">
        <v>0.72</v>
      </c>
    </row>
    <row r="7210">
      <c r="A7210" s="122" t="s">
        <v>14967</v>
      </c>
      <c r="B7210" s="123">
        <v>1159281.0</v>
      </c>
      <c r="C7210" s="124" t="s">
        <v>14968</v>
      </c>
      <c r="D7210" s="125"/>
      <c r="E7210" s="126">
        <v>78.52</v>
      </c>
      <c r="F7210" s="127"/>
      <c r="G7210" s="127"/>
      <c r="H7210" s="127"/>
      <c r="I7210" s="128"/>
      <c r="K7210" s="105" t="str">
        <f>IFERROR(__xludf.DUMMYFUNCTION("if(A7210="""","""",substitute(SUBSTITUTE(index(importhtml(""http://finviz.com/quote.ashx?t=""&amp;A7210,""table"",10),7,2),""*"",""""),""-"",""0.00""))"),"Loading...")</f>
        <v>Loading...</v>
      </c>
      <c r="L7210" s="129">
        <v>1.0251091789E10</v>
      </c>
      <c r="M7210" s="99" t="str">
        <f>IFERROR(__xludf.DUMMYFUNCTION("GOOGLEFINANCE(A7210,""beta"")"),"#N/A")</f>
        <v>#N/A</v>
      </c>
    </row>
    <row r="7211">
      <c r="A7211" s="122" t="s">
        <v>14969</v>
      </c>
      <c r="B7211" s="123">
        <v>874238.0</v>
      </c>
      <c r="C7211" s="124" t="s">
        <v>14970</v>
      </c>
      <c r="D7211" s="125"/>
      <c r="E7211" s="126">
        <v>78.53</v>
      </c>
      <c r="F7211" s="127"/>
      <c r="G7211" s="127"/>
      <c r="H7211" s="127"/>
      <c r="I7211" s="128"/>
      <c r="K7211" s="105" t="str">
        <f>IFERROR(__xludf.DUMMYFUNCTION("if(A7211="""","""",substitute(SUBSTITUTE(index(importhtml(""http://finviz.com/quote.ashx?t=""&amp;A7211,""table"",10),7,2),""*"",""""),""-"",""0.00""))"),"Loading...")</f>
        <v>Loading...</v>
      </c>
      <c r="L7211" s="129">
        <v>2.421723808E9</v>
      </c>
      <c r="M7211" s="99">
        <v>1.11</v>
      </c>
    </row>
    <row r="7212">
      <c r="A7212" s="122" t="s">
        <v>14971</v>
      </c>
      <c r="B7212" s="123">
        <v>4904.0</v>
      </c>
      <c r="C7212" s="124" t="s">
        <v>14972</v>
      </c>
      <c r="D7212" s="125"/>
      <c r="E7212" s="126">
        <v>78.63</v>
      </c>
      <c r="F7212" s="127"/>
      <c r="G7212" s="127"/>
      <c r="H7212" s="127"/>
      <c r="I7212" s="128"/>
      <c r="K7212" s="55" t="s">
        <v>14973</v>
      </c>
      <c r="L7212" s="129">
        <v>4.1349628435E10</v>
      </c>
      <c r="M7212" s="99">
        <v>0.49</v>
      </c>
    </row>
    <row r="7213">
      <c r="A7213" s="122" t="s">
        <v>14974</v>
      </c>
      <c r="B7213" s="123">
        <v>109177.0</v>
      </c>
      <c r="C7213" s="124" t="s">
        <v>14975</v>
      </c>
      <c r="D7213" s="125"/>
      <c r="E7213" s="126">
        <v>78.85</v>
      </c>
      <c r="F7213" s="127"/>
      <c r="G7213" s="127"/>
      <c r="H7213" s="127"/>
      <c r="I7213" s="128"/>
      <c r="K7213" s="105" t="str">
        <f>IFERROR(__xludf.DUMMYFUNCTION("if(A7213="""","""",substitute(SUBSTITUTE(index(importhtml(""http://finviz.com/quote.ashx?t=""&amp;A7213,""table"",10),7,2),""*"",""""),""-"",""0.00""))"),"Loading...")</f>
        <v>Loading...</v>
      </c>
      <c r="L7213" s="129">
        <v>2.431765492E9</v>
      </c>
      <c r="M7213" s="99">
        <v>1.19</v>
      </c>
    </row>
    <row r="7214">
      <c r="A7214" s="122" t="s">
        <v>14976</v>
      </c>
      <c r="B7214" s="123">
        <v>1402388.0</v>
      </c>
      <c r="C7214" s="124" t="s">
        <v>14977</v>
      </c>
      <c r="D7214" s="125"/>
      <c r="E7214" s="126">
        <v>78.87</v>
      </c>
      <c r="F7214" s="127"/>
      <c r="G7214" s="127"/>
      <c r="H7214" s="127"/>
      <c r="I7214" s="128"/>
      <c r="K7214" s="105" t="str">
        <f>IFERROR(__xludf.DUMMYFUNCTION("if(A7214="""","""",substitute(SUBSTITUTE(index(importhtml(""http://finviz.com/quote.ashx?t=""&amp;A7214,""table"",10),7,2),""*"",""""),""-"",""0.00""))"),"Loading...")</f>
        <v>Loading...</v>
      </c>
      <c r="L7214" s="129">
        <v>8.682038865E9</v>
      </c>
      <c r="M7214" s="99">
        <v>1.92</v>
      </c>
    </row>
    <row r="7215">
      <c r="A7215" s="122" t="s">
        <v>14978</v>
      </c>
      <c r="B7215" s="123">
        <v>807882.0</v>
      </c>
      <c r="C7215" s="124" t="s">
        <v>14979</v>
      </c>
      <c r="D7215" s="125"/>
      <c r="E7215" s="126">
        <v>78.94</v>
      </c>
      <c r="F7215" s="127"/>
      <c r="G7215" s="127"/>
      <c r="H7215" s="127"/>
      <c r="I7215" s="128"/>
      <c r="K7215" s="105" t="str">
        <f>IFERROR(__xludf.DUMMYFUNCTION("if(A7215="""","""",substitute(SUBSTITUTE(index(importhtml(""http://finviz.com/quote.ashx?t=""&amp;A7215,""table"",10),7,2),""*"",""""),""-"",""0.00""))"),"Loading...")</f>
        <v>Loading...</v>
      </c>
      <c r="L7215" s="129">
        <v>1.543837521E9</v>
      </c>
      <c r="M7215" s="99">
        <v>1.81</v>
      </c>
    </row>
    <row r="7216">
      <c r="A7216" s="122" t="s">
        <v>14980</v>
      </c>
      <c r="B7216" s="123">
        <v>1722684.0</v>
      </c>
      <c r="C7216" s="124" t="s">
        <v>14981</v>
      </c>
      <c r="D7216" s="125"/>
      <c r="E7216" s="126">
        <v>78.97</v>
      </c>
      <c r="F7216" s="127"/>
      <c r="G7216" s="127"/>
      <c r="H7216" s="127"/>
      <c r="I7216" s="128"/>
      <c r="K7216" s="55" t="s">
        <v>9178</v>
      </c>
      <c r="L7216" s="129">
        <v>6.551501344E9</v>
      </c>
      <c r="M7216" s="99">
        <v>1.37</v>
      </c>
    </row>
    <row r="7217">
      <c r="A7217" s="122" t="s">
        <v>14982</v>
      </c>
      <c r="B7217" s="123">
        <v>1362468.0</v>
      </c>
      <c r="C7217" s="124" t="s">
        <v>14983</v>
      </c>
      <c r="D7217" s="125"/>
      <c r="E7217" s="126">
        <v>79.11</v>
      </c>
      <c r="F7217" s="127"/>
      <c r="G7217" s="127"/>
      <c r="H7217" s="127"/>
      <c r="I7217" s="128"/>
      <c r="K7217" s="105" t="str">
        <f>IFERROR(__xludf.DUMMYFUNCTION("if(A7217="""","""",substitute(SUBSTITUTE(index(importhtml(""http://finviz.com/quote.ashx?t=""&amp;A7217,""table"",10),7,2),""*"",""""),""-"",""0.00""))"),"Loading...")</f>
        <v>Loading...</v>
      </c>
      <c r="L7217" s="129">
        <v>1.455716569E9</v>
      </c>
      <c r="M7217" s="99">
        <v>1.61</v>
      </c>
    </row>
    <row r="7218">
      <c r="A7218" s="122" t="s">
        <v>14984</v>
      </c>
      <c r="B7218" s="123">
        <v>277509.0</v>
      </c>
      <c r="C7218" s="124" t="s">
        <v>14985</v>
      </c>
      <c r="D7218" s="125"/>
      <c r="E7218" s="126">
        <v>79.29</v>
      </c>
      <c r="F7218" s="127"/>
      <c r="G7218" s="127"/>
      <c r="H7218" s="127"/>
      <c r="I7218" s="128"/>
      <c r="K7218" s="55" t="s">
        <v>6478</v>
      </c>
      <c r="L7218" s="129">
        <v>4.8310454E9</v>
      </c>
      <c r="M7218" s="99">
        <v>1.04</v>
      </c>
    </row>
    <row r="7219">
      <c r="A7219" s="122" t="s">
        <v>14986</v>
      </c>
      <c r="B7219" s="123">
        <v>856982.0</v>
      </c>
      <c r="C7219" s="124" t="s">
        <v>14987</v>
      </c>
      <c r="D7219" s="125"/>
      <c r="E7219" s="126">
        <v>79.31</v>
      </c>
      <c r="F7219" s="127"/>
      <c r="G7219" s="127"/>
      <c r="H7219" s="127"/>
      <c r="I7219" s="128"/>
      <c r="K7219" s="105" t="str">
        <f>IFERROR(__xludf.DUMMYFUNCTION("if(A7219="""","""",substitute(SUBSTITUTE(index(importhtml(""http://finviz.com/quote.ashx?t=""&amp;A7219,""table"",10),7,2),""*"",""""),""-"",""0.00""))"),"Loading...")</f>
        <v>Loading...</v>
      </c>
      <c r="L7219" s="129">
        <v>4.580188841E9</v>
      </c>
      <c r="M7219" s="99">
        <v>0.91</v>
      </c>
    </row>
    <row r="7220">
      <c r="A7220" s="122" t="s">
        <v>14988</v>
      </c>
      <c r="B7220" s="123">
        <v>1618756.0</v>
      </c>
      <c r="C7220" s="124" t="s">
        <v>14989</v>
      </c>
      <c r="D7220" s="125"/>
      <c r="E7220" s="126">
        <v>79.31</v>
      </c>
      <c r="F7220" s="127"/>
      <c r="G7220" s="127"/>
      <c r="H7220" s="127"/>
      <c r="I7220" s="128"/>
      <c r="K7220" s="105" t="str">
        <f>IFERROR(__xludf.DUMMYFUNCTION("if(A7220="""","""",substitute(SUBSTITUTE(index(importhtml(""http://finviz.com/quote.ashx?t=""&amp;A7220,""table"",10),7,2),""*"",""""),""-"",""0.00""))"),"Loading...")</f>
        <v>Loading...</v>
      </c>
      <c r="L7220" s="129">
        <v>2.5209174445E10</v>
      </c>
      <c r="M7220" s="99">
        <v>0.92</v>
      </c>
    </row>
    <row r="7221">
      <c r="A7221" s="122" t="s">
        <v>14990</v>
      </c>
      <c r="B7221" s="123">
        <v>1014111.0</v>
      </c>
      <c r="C7221" s="124" t="s">
        <v>14991</v>
      </c>
      <c r="D7221" s="125"/>
      <c r="E7221" s="126">
        <v>79.5</v>
      </c>
      <c r="F7221" s="127"/>
      <c r="G7221" s="127"/>
      <c r="H7221" s="127"/>
      <c r="I7221" s="128"/>
      <c r="K7221" s="105" t="str">
        <f>IFERROR(__xludf.DUMMYFUNCTION("if(A7221="""","""",substitute(SUBSTITUTE(index(importhtml(""http://finviz.com/quote.ashx?t=""&amp;A7221,""table"",10),7,2),""*"",""""),""-"",""0.00""))"),"Loading...")</f>
        <v>Loading...</v>
      </c>
      <c r="L7221" s="129">
        <v>2001020.0</v>
      </c>
      <c r="M7221" s="99">
        <v>1.46</v>
      </c>
    </row>
    <row r="7222">
      <c r="A7222" s="122" t="s">
        <v>14992</v>
      </c>
      <c r="B7222" s="123">
        <v>1597264.0</v>
      </c>
      <c r="C7222" s="124" t="s">
        <v>14993</v>
      </c>
      <c r="D7222" s="125"/>
      <c r="E7222" s="126">
        <v>79.58</v>
      </c>
      <c r="F7222" s="127"/>
      <c r="G7222" s="127"/>
      <c r="H7222" s="127"/>
      <c r="I7222" s="128"/>
      <c r="K7222" s="105" t="str">
        <f>IFERROR(__xludf.DUMMYFUNCTION("if(A7222="""","""",substitute(SUBSTITUTE(index(importhtml(""http://finviz.com/quote.ashx?t=""&amp;A7222,""table"",10),7,2),""*"",""""),""-"",""0.00""))"),"Loading...")</f>
        <v>Loading...</v>
      </c>
      <c r="L7222" s="129">
        <v>4.837644437E9</v>
      </c>
      <c r="M7222" s="99">
        <v>0.61</v>
      </c>
    </row>
    <row r="7223">
      <c r="A7223" s="122" t="s">
        <v>14994</v>
      </c>
      <c r="B7223" s="123">
        <v>1786352.0</v>
      </c>
      <c r="C7223" s="124" t="s">
        <v>14995</v>
      </c>
      <c r="D7223" s="125"/>
      <c r="E7223" s="126">
        <v>79.58</v>
      </c>
      <c r="F7223" s="127"/>
      <c r="G7223" s="127"/>
      <c r="H7223" s="127"/>
      <c r="I7223" s="128"/>
      <c r="K7223" s="105" t="str">
        <f>IFERROR(__xludf.DUMMYFUNCTION("if(A7223="""","""",substitute(SUBSTITUTE(index(importhtml(""http://finviz.com/quote.ashx?t=""&amp;A7223,""table"",10),7,2),""*"",""""),""-"",""0.00""))"),"Loading...")</f>
        <v>Loading...</v>
      </c>
      <c r="L7223" s="129">
        <v>8.495610843E9</v>
      </c>
      <c r="M7223" s="99">
        <v>1.74</v>
      </c>
    </row>
    <row r="7224">
      <c r="A7224" s="122" t="s">
        <v>14996</v>
      </c>
      <c r="B7224" s="123">
        <v>724910.0</v>
      </c>
      <c r="C7224" s="124" t="s">
        <v>14997</v>
      </c>
      <c r="D7224" s="125"/>
      <c r="E7224" s="126">
        <v>79.69</v>
      </c>
      <c r="F7224" s="127"/>
      <c r="G7224" s="127"/>
      <c r="H7224" s="127"/>
      <c r="I7224" s="128"/>
      <c r="K7224" s="105" t="str">
        <f>IFERROR(__xludf.DUMMYFUNCTION("if(A7224="""","""",substitute(SUBSTITUTE(index(importhtml(""http://finviz.com/quote.ashx?t=""&amp;A7224,""table"",10),7,2),""*"",""""),""-"",""0.00""))"),"Loading...")</f>
        <v>Loading...</v>
      </c>
      <c r="L7224" s="129">
        <v>3.85173737E8</v>
      </c>
      <c r="M7224" s="99">
        <v>1.19</v>
      </c>
    </row>
    <row r="7225">
      <c r="A7225" s="122" t="s">
        <v>14998</v>
      </c>
      <c r="B7225" s="123">
        <v>783325.0</v>
      </c>
      <c r="C7225" s="124" t="s">
        <v>14999</v>
      </c>
      <c r="D7225" s="125"/>
      <c r="E7225" s="126">
        <v>79.86</v>
      </c>
      <c r="F7225" s="127"/>
      <c r="G7225" s="127"/>
      <c r="H7225" s="127"/>
      <c r="I7225" s="128"/>
      <c r="K7225" s="105" t="str">
        <f>IFERROR(__xludf.DUMMYFUNCTION("if(A7225="""","""",substitute(SUBSTITUTE(index(importhtml(""http://finviz.com/quote.ashx?t=""&amp;A7225,""table"",10),7,2),""*"",""""),""-"",""0.00""))"),"Loading...")</f>
        <v>Loading...</v>
      </c>
      <c r="L7225" s="129">
        <v>2.5190599362E10</v>
      </c>
      <c r="M7225" s="99">
        <v>0.4</v>
      </c>
    </row>
    <row r="7226">
      <c r="A7226" s="122" t="s">
        <v>15000</v>
      </c>
      <c r="B7226" s="123">
        <v>1812641.0</v>
      </c>
      <c r="C7226" s="124" t="s">
        <v>15001</v>
      </c>
      <c r="D7226" s="125"/>
      <c r="E7226" s="126">
        <v>80.0</v>
      </c>
      <c r="F7226" s="127"/>
      <c r="G7226" s="127"/>
      <c r="H7226" s="127"/>
      <c r="I7226" s="128"/>
      <c r="K7226" s="105" t="str">
        <f>IFERROR(__xludf.DUMMYFUNCTION("if(A7226="""","""",substitute(SUBSTITUTE(index(importhtml(""http://finviz.com/quote.ashx?t=""&amp;A7226,""table"",10),7,2),""*"",""""),""-"",""0.00""))"),"Loading...")</f>
        <v>Loading...</v>
      </c>
      <c r="L7226" s="129" t="e">
        <v>#N/A</v>
      </c>
      <c r="M7226" s="99" t="str">
        <f>IFERROR(__xludf.DUMMYFUNCTION("GOOGLEFINANCE(A7226,""beta"")"),"#N/A")</f>
        <v>#N/A</v>
      </c>
    </row>
    <row r="7227">
      <c r="A7227" s="122" t="s">
        <v>15002</v>
      </c>
      <c r="B7227" s="123">
        <v>1308547.0</v>
      </c>
      <c r="C7227" s="124" t="s">
        <v>15003</v>
      </c>
      <c r="D7227" s="125"/>
      <c r="E7227" s="126">
        <v>80.26</v>
      </c>
      <c r="F7227" s="127"/>
      <c r="G7227" s="127"/>
      <c r="H7227" s="127"/>
      <c r="I7227" s="128"/>
      <c r="K7227" s="55" t="s">
        <v>789</v>
      </c>
      <c r="L7227" s="129">
        <v>7.629748557E9</v>
      </c>
      <c r="M7227" s="99">
        <v>0.98</v>
      </c>
    </row>
    <row r="7228">
      <c r="A7228" s="122" t="s">
        <v>15004</v>
      </c>
      <c r="B7228" s="123">
        <v>1493594.0</v>
      </c>
      <c r="C7228" s="124" t="s">
        <v>15005</v>
      </c>
      <c r="D7228" s="125"/>
      <c r="E7228" s="126">
        <v>80.26</v>
      </c>
      <c r="F7228" s="127"/>
      <c r="G7228" s="127"/>
      <c r="H7228" s="127"/>
      <c r="I7228" s="128"/>
      <c r="K7228" s="105" t="str">
        <f>IFERROR(__xludf.DUMMYFUNCTION("if(A7228="""","""",substitute(SUBSTITUTE(index(importhtml(""http://finviz.com/quote.ashx?t=""&amp;A7228,""table"",10),7,2),""*"",""""),""-"",""0.00""))"),"Loading...")</f>
        <v>Loading...</v>
      </c>
      <c r="L7228" s="129">
        <v>5.785793467E9</v>
      </c>
      <c r="M7228" s="99">
        <v>1.65</v>
      </c>
    </row>
    <row r="7229">
      <c r="A7229" s="122" t="s">
        <v>15006</v>
      </c>
      <c r="B7229" s="123">
        <v>1520697.0</v>
      </c>
      <c r="C7229" s="124" t="s">
        <v>15007</v>
      </c>
      <c r="D7229" s="125"/>
      <c r="E7229" s="126">
        <v>80.3</v>
      </c>
      <c r="F7229" s="127"/>
      <c r="G7229" s="127"/>
      <c r="H7229" s="127"/>
      <c r="I7229" s="128"/>
      <c r="K7229" s="105" t="str">
        <f>IFERROR(__xludf.DUMMYFUNCTION("if(A7229="""","""",substitute(SUBSTITUTE(index(importhtml(""http://finviz.com/quote.ashx?t=""&amp;A7229,""table"",10),7,2),""*"",""""),""-"",""0.00""))"),"Loading...")</f>
        <v>Loading...</v>
      </c>
      <c r="L7229" s="129">
        <v>7.404982822E9</v>
      </c>
      <c r="M7229" s="99">
        <v>1.33</v>
      </c>
    </row>
    <row r="7230">
      <c r="A7230" s="122" t="s">
        <v>15008</v>
      </c>
      <c r="B7230" s="123">
        <v>1280058.0</v>
      </c>
      <c r="C7230" s="124" t="s">
        <v>15009</v>
      </c>
      <c r="D7230" s="125"/>
      <c r="E7230" s="126">
        <v>80.34</v>
      </c>
      <c r="F7230" s="127"/>
      <c r="G7230" s="127"/>
      <c r="H7230" s="127"/>
      <c r="I7230" s="128"/>
      <c r="K7230" s="105" t="str">
        <f>IFERROR(__xludf.DUMMYFUNCTION("if(A7230="""","""",substitute(SUBSTITUTE(index(importhtml(""http://finviz.com/quote.ashx?t=""&amp;A7230,""table"",10),7,2),""*"",""""),""-"",""0.00""))"),"Loading...")</f>
        <v>Loading...</v>
      </c>
      <c r="L7230" s="129">
        <v>4.32651849E9</v>
      </c>
      <c r="M7230" s="99">
        <v>1.09</v>
      </c>
    </row>
    <row r="7231">
      <c r="A7231" s="122" t="s">
        <v>15010</v>
      </c>
      <c r="B7231" s="123">
        <v>73124.0</v>
      </c>
      <c r="C7231" s="124" t="s">
        <v>15011</v>
      </c>
      <c r="D7231" s="125"/>
      <c r="E7231" s="126">
        <v>80.38</v>
      </c>
      <c r="F7231" s="127"/>
      <c r="G7231" s="127"/>
      <c r="H7231" s="127"/>
      <c r="I7231" s="128"/>
      <c r="K7231" s="105" t="str">
        <f>IFERROR(__xludf.DUMMYFUNCTION("if(A7231="""","""",substitute(SUBSTITUTE(index(importhtml(""http://finviz.com/quote.ashx?t=""&amp;A7231,""table"",10),7,2),""*"",""""),""-"",""0.00""))"),"Loading...")</f>
        <v>Loading...</v>
      </c>
      <c r="L7231" s="129">
        <v>1.6488019278E10</v>
      </c>
      <c r="M7231" s="99">
        <v>1.13</v>
      </c>
    </row>
    <row r="7232">
      <c r="A7232" s="122" t="s">
        <v>15012</v>
      </c>
      <c r="B7232" s="123">
        <v>78890.0</v>
      </c>
      <c r="C7232" s="124" t="s">
        <v>15013</v>
      </c>
      <c r="D7232" s="125"/>
      <c r="E7232" s="126">
        <v>80.46</v>
      </c>
      <c r="F7232" s="127"/>
      <c r="G7232" s="127"/>
      <c r="H7232" s="127"/>
      <c r="I7232" s="128"/>
      <c r="K7232" s="55" t="s">
        <v>7515</v>
      </c>
      <c r="L7232" s="129">
        <v>3.624814683E9</v>
      </c>
      <c r="M7232" s="99">
        <v>1.4</v>
      </c>
    </row>
    <row r="7233">
      <c r="A7233" s="122" t="s">
        <v>15014</v>
      </c>
      <c r="B7233" s="123">
        <v>1032220.0</v>
      </c>
      <c r="C7233" s="124" t="s">
        <v>15015</v>
      </c>
      <c r="D7233" s="125"/>
      <c r="E7233" s="126">
        <v>80.47</v>
      </c>
      <c r="F7233" s="127"/>
      <c r="G7233" s="127"/>
      <c r="H7233" s="127"/>
      <c r="I7233" s="128"/>
      <c r="K7233" s="105" t="str">
        <f>IFERROR(__xludf.DUMMYFUNCTION("if(A7233="""","""",substitute(SUBSTITUTE(index(importhtml(""http://finviz.com/quote.ashx?t=""&amp;A7233,""table"",10),7,2),""*"",""""),""-"",""0.00""))"),"Loading...")</f>
        <v>Loading...</v>
      </c>
      <c r="L7233" s="129">
        <v>4.911200856E9</v>
      </c>
      <c r="M7233" s="99">
        <v>0.72</v>
      </c>
    </row>
    <row r="7234">
      <c r="A7234" s="122" t="s">
        <v>15016</v>
      </c>
      <c r="B7234" s="123">
        <v>1109138.0</v>
      </c>
      <c r="C7234" s="124" t="s">
        <v>15017</v>
      </c>
      <c r="D7234" s="125"/>
      <c r="E7234" s="126">
        <v>80.55</v>
      </c>
      <c r="F7234" s="127"/>
      <c r="G7234" s="127"/>
      <c r="H7234" s="127"/>
      <c r="I7234" s="128"/>
      <c r="K7234" s="105" t="str">
        <f>IFERROR(__xludf.DUMMYFUNCTION("if(A7234="""","""",substitute(SUBSTITUTE(index(importhtml(""http://finviz.com/quote.ashx?t=""&amp;A7234,""table"",10),7,2),""*"",""""),""-"",""0.00""))"),"Loading...")</f>
        <v>Loading...</v>
      </c>
      <c r="L7234" s="129">
        <v>3.495225461E9</v>
      </c>
      <c r="M7234" s="99">
        <v>1.44</v>
      </c>
    </row>
    <row r="7235">
      <c r="A7235" s="122" t="s">
        <v>15018</v>
      </c>
      <c r="B7235" s="123">
        <v>1739445.0</v>
      </c>
      <c r="C7235" s="124" t="s">
        <v>15019</v>
      </c>
      <c r="D7235" s="125"/>
      <c r="E7235" s="126">
        <v>80.74</v>
      </c>
      <c r="F7235" s="127"/>
      <c r="G7235" s="127"/>
      <c r="H7235" s="127"/>
      <c r="I7235" s="128"/>
      <c r="K7235" s="55" t="s">
        <v>5049</v>
      </c>
      <c r="L7235" s="129">
        <v>3.936879873E9</v>
      </c>
      <c r="M7235" s="99">
        <v>0.66</v>
      </c>
    </row>
    <row r="7236">
      <c r="A7236" s="122" t="s">
        <v>15020</v>
      </c>
      <c r="B7236" s="123">
        <v>764038.0</v>
      </c>
      <c r="C7236" s="124" t="s">
        <v>15021</v>
      </c>
      <c r="D7236" s="125"/>
      <c r="E7236" s="126">
        <v>80.83</v>
      </c>
      <c r="F7236" s="127"/>
      <c r="G7236" s="127"/>
      <c r="H7236" s="127"/>
      <c r="I7236" s="128"/>
      <c r="K7236" s="105" t="str">
        <f>IFERROR(__xludf.DUMMYFUNCTION("if(A7236="""","""",substitute(SUBSTITUTE(index(importhtml(""http://finviz.com/quote.ashx?t=""&amp;A7236,""table"",10),7,2),""*"",""""),""-"",""0.00""))"),"Loading...")</f>
        <v>Loading...</v>
      </c>
      <c r="L7236" s="129">
        <v>6.148355105E9</v>
      </c>
      <c r="M7236" s="99">
        <v>0.81</v>
      </c>
    </row>
    <row r="7237">
      <c r="A7237" s="122" t="s">
        <v>15022</v>
      </c>
      <c r="B7237" s="123">
        <v>315213.0</v>
      </c>
      <c r="C7237" s="124" t="s">
        <v>15023</v>
      </c>
      <c r="D7237" s="125"/>
      <c r="E7237" s="126">
        <v>80.86</v>
      </c>
      <c r="F7237" s="127"/>
      <c r="G7237" s="127"/>
      <c r="H7237" s="127"/>
      <c r="I7237" s="128"/>
      <c r="K7237" s="105" t="str">
        <f>IFERROR(__xludf.DUMMYFUNCTION("if(A7237="""","""",substitute(SUBSTITUTE(index(importhtml(""http://finviz.com/quote.ashx?t=""&amp;A7237,""table"",10),7,2),""*"",""""),""-"",""0.00""))"),"Loading...")</f>
        <v>Loading...</v>
      </c>
      <c r="L7237" s="129">
        <v>8.562661678E9</v>
      </c>
      <c r="M7237" s="99">
        <v>1.28</v>
      </c>
    </row>
    <row r="7238">
      <c r="A7238" s="122" t="s">
        <v>15024</v>
      </c>
      <c r="B7238" s="123">
        <v>11544.0</v>
      </c>
      <c r="C7238" s="124" t="s">
        <v>15025</v>
      </c>
      <c r="D7238" s="125"/>
      <c r="E7238" s="126">
        <v>80.87</v>
      </c>
      <c r="F7238" s="127"/>
      <c r="G7238" s="127"/>
      <c r="H7238" s="127"/>
      <c r="I7238" s="128"/>
      <c r="K7238" s="105" t="str">
        <f>IFERROR(__xludf.DUMMYFUNCTION("if(A7238="""","""",substitute(SUBSTITUTE(index(importhtml(""http://finviz.com/quote.ashx?t=""&amp;A7238,""table"",10),7,2),""*"",""""),""-"",""0.00""))"),"Loading...")</f>
        <v>Loading...</v>
      </c>
      <c r="L7238" s="129">
        <v>2.0746786767E10</v>
      </c>
      <c r="M7238" s="99">
        <v>0.59</v>
      </c>
    </row>
    <row r="7239">
      <c r="A7239" s="122" t="s">
        <v>15026</v>
      </c>
      <c r="B7239" s="123">
        <v>816956.0</v>
      </c>
      <c r="C7239" s="124" t="s">
        <v>15027</v>
      </c>
      <c r="D7239" s="125"/>
      <c r="E7239" s="126">
        <v>80.91</v>
      </c>
      <c r="F7239" s="127"/>
      <c r="G7239" s="127"/>
      <c r="H7239" s="127"/>
      <c r="I7239" s="128"/>
      <c r="K7239" s="105" t="str">
        <f>IFERROR(__xludf.DUMMYFUNCTION("if(A7239="""","""",substitute(SUBSTITUTE(index(importhtml(""http://finviz.com/quote.ashx?t=""&amp;A7239,""table"",10),7,2),""*"",""""),""-"",""0.00""))"),"Loading...")</f>
        <v>Loading...</v>
      </c>
      <c r="L7239" s="129">
        <v>2.488159805E9</v>
      </c>
      <c r="M7239" s="99" t="str">
        <f>IFERROR(__xludf.DUMMYFUNCTION("GOOGLEFINANCE(A7239,""beta"")"),"#N/A")</f>
        <v>#N/A</v>
      </c>
    </row>
    <row r="7240">
      <c r="A7240" s="122" t="s">
        <v>15028</v>
      </c>
      <c r="B7240" s="123">
        <v>750004.0</v>
      </c>
      <c r="C7240" s="124" t="s">
        <v>15029</v>
      </c>
      <c r="D7240" s="125"/>
      <c r="E7240" s="126">
        <v>81.16</v>
      </c>
      <c r="F7240" s="127"/>
      <c r="G7240" s="127"/>
      <c r="H7240" s="127"/>
      <c r="I7240" s="128"/>
      <c r="K7240" s="105" t="str">
        <f>IFERROR(__xludf.DUMMYFUNCTION("if(A7240="""","""",substitute(SUBSTITUTE(index(importhtml(""http://finviz.com/quote.ashx?t=""&amp;A7240,""table"",10),7,2),""*"",""""),""-"",""0.00""))"),"Loading...")</f>
        <v>Loading...</v>
      </c>
      <c r="L7240" s="129">
        <v>7.308246502E9</v>
      </c>
      <c r="M7240" s="99">
        <v>1.75</v>
      </c>
    </row>
    <row r="7241">
      <c r="A7241" s="122" t="s">
        <v>15030</v>
      </c>
      <c r="B7241" s="123">
        <v>51253.0</v>
      </c>
      <c r="C7241" s="124" t="s">
        <v>15031</v>
      </c>
      <c r="D7241" s="125"/>
      <c r="E7241" s="126">
        <v>81.27</v>
      </c>
      <c r="F7241" s="127"/>
      <c r="G7241" s="127"/>
      <c r="H7241" s="127"/>
      <c r="I7241" s="128"/>
      <c r="K7241" s="105" t="str">
        <f>IFERROR(__xludf.DUMMYFUNCTION("if(A7241="""","""",substitute(SUBSTITUTE(index(importhtml(""http://finviz.com/quote.ashx?t=""&amp;A7241,""table"",10),7,2),""*"",""""),""-"",""0.00""))"),"Loading...")</f>
        <v>Loading...</v>
      </c>
      <c r="L7241" s="129">
        <v>2.07465316E10</v>
      </c>
      <c r="M7241" s="99">
        <v>1.23</v>
      </c>
    </row>
    <row r="7242">
      <c r="A7242" s="122" t="s">
        <v>15032</v>
      </c>
      <c r="B7242" s="123">
        <v>1050797.0</v>
      </c>
      <c r="C7242" s="124" t="s">
        <v>15033</v>
      </c>
      <c r="D7242" s="125"/>
      <c r="E7242" s="126">
        <v>81.36</v>
      </c>
      <c r="F7242" s="127"/>
      <c r="G7242" s="127"/>
      <c r="H7242" s="127"/>
      <c r="I7242" s="128"/>
      <c r="K7242" s="105" t="str">
        <f>IFERROR(__xludf.DUMMYFUNCTION("if(A7242="""","""",substitute(SUBSTITUTE(index(importhtml(""http://finviz.com/quote.ashx?t=""&amp;A7242,""table"",10),7,2),""*"",""""),""-"",""0.00""))"),"Loading...")</f>
        <v>Loading...</v>
      </c>
      <c r="L7242" s="129">
        <v>4.922912204E9</v>
      </c>
      <c r="M7242" s="99">
        <v>0.96</v>
      </c>
    </row>
    <row r="7243">
      <c r="A7243" s="122" t="s">
        <v>15034</v>
      </c>
      <c r="B7243" s="123">
        <v>1372920.0</v>
      </c>
      <c r="C7243" s="124" t="s">
        <v>15035</v>
      </c>
      <c r="D7243" s="125"/>
      <c r="E7243" s="126">
        <v>81.4</v>
      </c>
      <c r="F7243" s="127"/>
      <c r="G7243" s="127"/>
      <c r="H7243" s="127"/>
      <c r="I7243" s="128"/>
      <c r="K7243" s="55" t="s">
        <v>1034</v>
      </c>
      <c r="L7243" s="129">
        <v>1.3472701472E10</v>
      </c>
      <c r="M7243" s="99">
        <v>0.46</v>
      </c>
    </row>
    <row r="7244">
      <c r="A7244" s="122" t="s">
        <v>15036</v>
      </c>
      <c r="B7244" s="123">
        <v>96021.0</v>
      </c>
      <c r="C7244" s="124" t="s">
        <v>15037</v>
      </c>
      <c r="D7244" s="125"/>
      <c r="E7244" s="126">
        <v>81.48</v>
      </c>
      <c r="F7244" s="127"/>
      <c r="G7244" s="127"/>
      <c r="H7244" s="127"/>
      <c r="I7244" s="128"/>
      <c r="K7244" s="105" t="str">
        <f>IFERROR(__xludf.DUMMYFUNCTION("if(A7244="""","""",substitute(SUBSTITUTE(index(importhtml(""http://finviz.com/quote.ashx?t=""&amp;A7244,""table"",10),7,2),""*"",""""),""-"",""0.00""))"),"Loading...")</f>
        <v>Loading...</v>
      </c>
      <c r="L7244" s="129">
        <v>4.0563165627E10</v>
      </c>
      <c r="M7244" s="99">
        <v>1.17</v>
      </c>
    </row>
    <row r="7245">
      <c r="A7245" s="122" t="s">
        <v>15038</v>
      </c>
      <c r="B7245" s="123">
        <v>1001838.0</v>
      </c>
      <c r="C7245" s="124" t="s">
        <v>15039</v>
      </c>
      <c r="D7245" s="125"/>
      <c r="E7245" s="126">
        <v>81.73</v>
      </c>
      <c r="F7245" s="127"/>
      <c r="G7245" s="127"/>
      <c r="H7245" s="127"/>
      <c r="I7245" s="128"/>
      <c r="K7245" s="105" t="str">
        <f>IFERROR(__xludf.DUMMYFUNCTION("if(A7245="""","""",substitute(SUBSTITUTE(index(importhtml(""http://finviz.com/quote.ashx?t=""&amp;A7245,""table"",10),7,2),""*"",""""),""-"",""0.00""))"),"Loading...")</f>
        <v>Loading...</v>
      </c>
      <c r="L7245" s="129">
        <v>6.318632376E10</v>
      </c>
      <c r="M7245" s="99">
        <v>1.29</v>
      </c>
    </row>
    <row r="7246">
      <c r="A7246" s="122" t="s">
        <v>15040</v>
      </c>
      <c r="B7246" s="123">
        <v>1061983.0</v>
      </c>
      <c r="C7246" s="124" t="s">
        <v>15041</v>
      </c>
      <c r="D7246" s="125"/>
      <c r="E7246" s="126">
        <v>81.87</v>
      </c>
      <c r="F7246" s="127"/>
      <c r="G7246" s="127"/>
      <c r="H7246" s="127"/>
      <c r="I7246" s="128"/>
      <c r="K7246" s="105" t="str">
        <f>IFERROR(__xludf.DUMMYFUNCTION("if(A7246="""","""",substitute(SUBSTITUTE(index(importhtml(""http://finviz.com/quote.ashx?t=""&amp;A7246,""table"",10),7,2),""*"",""""),""-"",""0.00""))"),"Loading...")</f>
        <v>Loading...</v>
      </c>
      <c r="L7246" s="129">
        <v>8.027651776E9</v>
      </c>
      <c r="M7246" s="99">
        <v>0.73</v>
      </c>
    </row>
    <row r="7247">
      <c r="A7247" s="122" t="s">
        <v>15042</v>
      </c>
      <c r="B7247" s="123">
        <v>101382.0</v>
      </c>
      <c r="C7247" s="124" t="s">
        <v>15043</v>
      </c>
      <c r="D7247" s="125"/>
      <c r="E7247" s="126">
        <v>82.22</v>
      </c>
      <c r="F7247" s="127"/>
      <c r="G7247" s="127"/>
      <c r="H7247" s="127"/>
      <c r="I7247" s="128"/>
      <c r="K7247" s="105" t="str">
        <f>IFERROR(__xludf.DUMMYFUNCTION("if(A7247="""","""",substitute(SUBSTITUTE(index(importhtml(""http://finviz.com/quote.ashx?t=""&amp;A7247,""table"",10),7,2),""*"",""""),""-"",""0.00""))"),"Loading...")</f>
        <v>Loading...</v>
      </c>
      <c r="L7247" s="129">
        <v>3.990202435E9</v>
      </c>
      <c r="M7247" s="99">
        <v>0.84</v>
      </c>
    </row>
    <row r="7248">
      <c r="A7248" s="122" t="s">
        <v>15044</v>
      </c>
      <c r="B7248" s="123">
        <v>1460235.0</v>
      </c>
      <c r="C7248" s="124" t="s">
        <v>15045</v>
      </c>
      <c r="D7248" s="125"/>
      <c r="E7248" s="126">
        <v>82.23</v>
      </c>
      <c r="F7248" s="127"/>
      <c r="G7248" s="127"/>
      <c r="H7248" s="127"/>
      <c r="I7248" s="128"/>
      <c r="K7248" s="105" t="str">
        <f>IFERROR(__xludf.DUMMYFUNCTION("if(A7248="""","""",substitute(SUBSTITUTE(index(importhtml(""http://finviz.com/quote.ashx?t=""&amp;A7248,""table"",10),7,2),""*"",""""),""-"",""0.00""))"),"Loading...")</f>
        <v>Loading...</v>
      </c>
      <c r="L7248" s="129" t="e">
        <v>#N/A</v>
      </c>
      <c r="M7248" s="99" t="str">
        <f>IFERROR(__xludf.DUMMYFUNCTION("GOOGLEFINANCE(A7248,""beta"")"),"#N/A")</f>
        <v>#N/A</v>
      </c>
    </row>
    <row r="7249">
      <c r="A7249" s="122" t="s">
        <v>15046</v>
      </c>
      <c r="B7249" s="123">
        <v>1610250.0</v>
      </c>
      <c r="C7249" s="124" t="s">
        <v>15047</v>
      </c>
      <c r="D7249" s="125"/>
      <c r="E7249" s="126">
        <v>82.25</v>
      </c>
      <c r="F7249" s="127"/>
      <c r="G7249" s="127"/>
      <c r="H7249" s="127"/>
      <c r="I7249" s="128"/>
      <c r="K7249" s="105" t="str">
        <f>IFERROR(__xludf.DUMMYFUNCTION("if(A7249="""","""",substitute(SUBSTITUTE(index(importhtml(""http://finviz.com/quote.ashx?t=""&amp;A7249,""table"",10),7,2),""*"",""""),""-"",""0.00""))"),"Loading...")</f>
        <v>Loading...</v>
      </c>
      <c r="L7249" s="129">
        <v>2.490843372E9</v>
      </c>
      <c r="M7249" s="99">
        <v>0.8</v>
      </c>
    </row>
    <row r="7250">
      <c r="A7250" s="122" t="s">
        <v>15048</v>
      </c>
      <c r="B7250" s="123">
        <v>1067294.0</v>
      </c>
      <c r="C7250" s="124" t="s">
        <v>15049</v>
      </c>
      <c r="D7250" s="125"/>
      <c r="E7250" s="126">
        <v>82.29</v>
      </c>
      <c r="F7250" s="127"/>
      <c r="G7250" s="127"/>
      <c r="H7250" s="127"/>
      <c r="I7250" s="128"/>
      <c r="K7250" s="105" t="str">
        <f>IFERROR(__xludf.DUMMYFUNCTION("if(A7250="""","""",substitute(SUBSTITUTE(index(importhtml(""http://finviz.com/quote.ashx?t=""&amp;A7250,""table"",10),7,2),""*"",""""),""-"",""0.00""))"),"Loading...")</f>
        <v>Loading...</v>
      </c>
      <c r="L7250" s="129">
        <v>1.825611899E9</v>
      </c>
      <c r="M7250" s="99">
        <v>1.53</v>
      </c>
    </row>
    <row r="7251">
      <c r="A7251" s="122" t="s">
        <v>15050</v>
      </c>
      <c r="B7251" s="123">
        <v>1131383.0</v>
      </c>
      <c r="C7251" s="124" t="s">
        <v>15051</v>
      </c>
      <c r="D7251" s="125"/>
      <c r="E7251" s="126">
        <v>82.4</v>
      </c>
      <c r="F7251" s="127"/>
      <c r="G7251" s="127"/>
      <c r="H7251" s="127"/>
      <c r="I7251" s="128"/>
      <c r="K7251" s="105" t="str">
        <f>IFERROR(__xludf.DUMMYFUNCTION("if(A7251="""","""",substitute(SUBSTITUTE(index(importhtml(""http://finviz.com/quote.ashx?t=""&amp;A7251,""table"",10),7,2),""*"",""""),""-"",""0.00""))"),"Loading...")</f>
        <v>Loading...</v>
      </c>
      <c r="L7251" s="129">
        <v>9.398610094E9</v>
      </c>
      <c r="M7251" s="99">
        <v>1.04</v>
      </c>
    </row>
    <row r="7252">
      <c r="A7252" s="122" t="s">
        <v>15052</v>
      </c>
      <c r="B7252" s="123">
        <v>1273813.0</v>
      </c>
      <c r="C7252" s="124" t="s">
        <v>15053</v>
      </c>
      <c r="D7252" s="125"/>
      <c r="E7252" s="126">
        <v>82.54</v>
      </c>
      <c r="F7252" s="127"/>
      <c r="G7252" s="127"/>
      <c r="H7252" s="127"/>
      <c r="I7252" s="128"/>
      <c r="K7252" s="55" t="s">
        <v>8310</v>
      </c>
      <c r="L7252" s="129">
        <v>4.725956514E9</v>
      </c>
      <c r="M7252" s="99">
        <v>1.12</v>
      </c>
    </row>
    <row r="7253">
      <c r="A7253" s="122" t="s">
        <v>15054</v>
      </c>
      <c r="B7253" s="123">
        <v>78749.0</v>
      </c>
      <c r="C7253" s="124" t="s">
        <v>15055</v>
      </c>
      <c r="D7253" s="125"/>
      <c r="E7253" s="126">
        <v>82.54</v>
      </c>
      <c r="F7253" s="127"/>
      <c r="G7253" s="127"/>
      <c r="H7253" s="127"/>
      <c r="I7253" s="128"/>
      <c r="K7253" s="105" t="str">
        <f>IFERROR(__xludf.DUMMYFUNCTION("if(A7253="""","""",substitute(SUBSTITUTE(index(importhtml(""http://finviz.com/quote.ashx?t=""&amp;A7253,""table"",10),7,2),""*"",""""),""-"",""0.00""))"),"Loading...")</f>
        <v>Loading...</v>
      </c>
      <c r="L7253" s="129">
        <v>2.258004709E9</v>
      </c>
      <c r="M7253" s="99">
        <v>0.7</v>
      </c>
    </row>
    <row r="7254">
      <c r="A7254" s="122" t="s">
        <v>15056</v>
      </c>
      <c r="B7254" s="123">
        <v>915389.0</v>
      </c>
      <c r="C7254" s="124" t="s">
        <v>15057</v>
      </c>
      <c r="D7254" s="125"/>
      <c r="E7254" s="126">
        <v>82.6</v>
      </c>
      <c r="F7254" s="127"/>
      <c r="G7254" s="127"/>
      <c r="H7254" s="127"/>
      <c r="I7254" s="128"/>
      <c r="K7254" s="55" t="s">
        <v>15058</v>
      </c>
      <c r="L7254" s="129">
        <v>9.793377959E9</v>
      </c>
      <c r="M7254" s="99">
        <v>1.53</v>
      </c>
    </row>
    <row r="7255">
      <c r="A7255" s="122" t="s">
        <v>15059</v>
      </c>
      <c r="B7255" s="123">
        <v>1477333.0</v>
      </c>
      <c r="C7255" s="124" t="s">
        <v>15060</v>
      </c>
      <c r="D7255" s="125"/>
      <c r="E7255" s="126">
        <v>82.65</v>
      </c>
      <c r="F7255" s="127"/>
      <c r="G7255" s="127"/>
      <c r="H7255" s="127"/>
      <c r="I7255" s="128"/>
      <c r="K7255" s="105" t="str">
        <f>IFERROR(__xludf.DUMMYFUNCTION("if(A7255="""","""",substitute(SUBSTITUTE(index(importhtml(""http://finviz.com/quote.ashx?t=""&amp;A7255,""table"",10),7,2),""*"",""""),""-"",""0.00""))"),"Loading...")</f>
        <v>Loading...</v>
      </c>
      <c r="L7255" s="129">
        <v>2.7751539782E10</v>
      </c>
      <c r="M7255" s="99">
        <v>1.1</v>
      </c>
    </row>
    <row r="7256">
      <c r="A7256" s="122" t="s">
        <v>15061</v>
      </c>
      <c r="B7256" s="123">
        <v>1660134.0</v>
      </c>
      <c r="C7256" s="124" t="s">
        <v>15062</v>
      </c>
      <c r="D7256" s="125"/>
      <c r="E7256" s="126">
        <v>82.78</v>
      </c>
      <c r="F7256" s="127"/>
      <c r="G7256" s="127"/>
      <c r="H7256" s="127"/>
      <c r="I7256" s="128"/>
      <c r="K7256" s="105" t="str">
        <f>IFERROR(__xludf.DUMMYFUNCTION("if(A7256="""","""",substitute(SUBSTITUTE(index(importhtml(""http://finviz.com/quote.ashx?t=""&amp;A7256,""table"",10),7,2),""*"",""""),""-"",""0.00""))"),"Loading...")</f>
        <v>Loading...</v>
      </c>
      <c r="L7256" s="129">
        <v>1.3687275454E10</v>
      </c>
      <c r="M7256" s="99">
        <v>0.94</v>
      </c>
    </row>
    <row r="7257">
      <c r="A7257" s="122" t="s">
        <v>15063</v>
      </c>
      <c r="B7257" s="123">
        <v>868780.0</v>
      </c>
      <c r="C7257" s="124" t="s">
        <v>15064</v>
      </c>
      <c r="D7257" s="125"/>
      <c r="E7257" s="126">
        <v>82.79</v>
      </c>
      <c r="F7257" s="127"/>
      <c r="G7257" s="127"/>
      <c r="H7257" s="127"/>
      <c r="I7257" s="128"/>
      <c r="K7257" s="105" t="str">
        <f>IFERROR(__xludf.DUMMYFUNCTION("if(A7257="""","""",substitute(SUBSTITUTE(index(importhtml(""http://finviz.com/quote.ashx?t=""&amp;A7257,""table"",10),7,2),""*"",""""),""-"",""0.00""))"),"Loading...")</f>
        <v>Loading...</v>
      </c>
      <c r="L7257" s="129">
        <v>2.606900655E9</v>
      </c>
      <c r="M7257" s="99">
        <v>0.77</v>
      </c>
    </row>
    <row r="7258">
      <c r="A7258" s="122" t="s">
        <v>15065</v>
      </c>
      <c r="B7258" s="123">
        <v>1825473.0</v>
      </c>
      <c r="C7258" s="124" t="s">
        <v>15066</v>
      </c>
      <c r="D7258" s="125"/>
      <c r="E7258" s="126">
        <v>82.9</v>
      </c>
      <c r="F7258" s="127"/>
      <c r="G7258" s="127"/>
      <c r="H7258" s="127"/>
      <c r="I7258" s="128"/>
      <c r="K7258" s="105" t="str">
        <f>IFERROR(__xludf.DUMMYFUNCTION("if(A7258="""","""",substitute(SUBSTITUTE(index(importhtml(""http://finviz.com/quote.ashx?t=""&amp;A7258,""table"",10),7,2),""*"",""""),""-"",""0.00""))"),"Loading...")</f>
        <v>Loading...</v>
      </c>
      <c r="L7258" s="129">
        <v>4.55329418E8</v>
      </c>
      <c r="M7258" s="99" t="str">
        <f>IFERROR(__xludf.DUMMYFUNCTION("GOOGLEFINANCE(A7258,""beta"")"),"#N/A")</f>
        <v>#N/A</v>
      </c>
    </row>
    <row r="7259">
      <c r="A7259" s="122" t="s">
        <v>15067</v>
      </c>
      <c r="B7259" s="123">
        <v>1880866.0</v>
      </c>
      <c r="C7259" s="124" t="s">
        <v>15068</v>
      </c>
      <c r="D7259" s="125"/>
      <c r="E7259" s="126">
        <v>82.93</v>
      </c>
      <c r="F7259" s="127"/>
      <c r="G7259" s="127"/>
      <c r="H7259" s="127"/>
      <c r="I7259" s="128"/>
      <c r="K7259" s="105" t="str">
        <f>IFERROR(__xludf.DUMMYFUNCTION("if(A7259="""","""",substitute(SUBSTITUTE(index(importhtml(""http://finviz.com/quote.ashx?t=""&amp;A7259,""table"",10),7,2),""*"",""""),""-"",""0.00""))"),"Loading...")</f>
        <v>Loading...</v>
      </c>
      <c r="L7259" s="129">
        <v>3.261791317E9</v>
      </c>
      <c r="M7259" s="99" t="str">
        <f>IFERROR(__xludf.DUMMYFUNCTION("GOOGLEFINANCE(A7259,""beta"")"),"#N/A")</f>
        <v>#N/A</v>
      </c>
    </row>
    <row r="7260">
      <c r="A7260" s="122" t="s">
        <v>15069</v>
      </c>
      <c r="B7260" s="123">
        <v>1594805.0</v>
      </c>
      <c r="C7260" s="124" t="s">
        <v>15070</v>
      </c>
      <c r="D7260" s="125"/>
      <c r="E7260" s="126">
        <v>82.93</v>
      </c>
      <c r="F7260" s="127"/>
      <c r="G7260" s="127"/>
      <c r="H7260" s="127"/>
      <c r="I7260" s="128"/>
      <c r="K7260" s="105" t="str">
        <f>IFERROR(__xludf.DUMMYFUNCTION("if(A7260="""","""",substitute(SUBSTITUTE(index(importhtml(""http://finviz.com/quote.ashx?t=""&amp;A7260,""table"",10),7,2),""*"",""""),""-"",""0.00""))"),"Loading...")</f>
        <v>Loading...</v>
      </c>
      <c r="L7260" s="129">
        <v>1.06547883882E11</v>
      </c>
      <c r="M7260" s="99">
        <v>2.27</v>
      </c>
    </row>
    <row r="7261">
      <c r="A7261" s="122" t="s">
        <v>15071</v>
      </c>
      <c r="B7261" s="123">
        <v>1115055.0</v>
      </c>
      <c r="C7261" s="124" t="s">
        <v>15072</v>
      </c>
      <c r="D7261" s="125"/>
      <c r="E7261" s="126">
        <v>82.96</v>
      </c>
      <c r="F7261" s="127"/>
      <c r="G7261" s="127"/>
      <c r="H7261" s="127"/>
      <c r="I7261" s="128"/>
      <c r="K7261" s="105" t="str">
        <f>IFERROR(__xludf.DUMMYFUNCTION("if(A7261="""","""",substitute(SUBSTITUTE(index(importhtml(""http://finviz.com/quote.ashx?t=""&amp;A7261,""table"",10),7,2),""*"",""""),""-"",""0.00""))"),"Loading...")</f>
        <v>Loading...</v>
      </c>
      <c r="L7261" s="129">
        <v>6.371327929E9</v>
      </c>
      <c r="M7261" s="99">
        <v>1.11</v>
      </c>
    </row>
    <row r="7262">
      <c r="A7262" s="122" t="s">
        <v>15073</v>
      </c>
      <c r="B7262" s="123">
        <v>1659166.0</v>
      </c>
      <c r="C7262" s="124" t="s">
        <v>15074</v>
      </c>
      <c r="D7262" s="125"/>
      <c r="E7262" s="126">
        <v>83.02</v>
      </c>
      <c r="F7262" s="127"/>
      <c r="G7262" s="127"/>
      <c r="H7262" s="127"/>
      <c r="I7262" s="128"/>
      <c r="K7262" s="105">
        <v>0.31</v>
      </c>
      <c r="L7262" s="129">
        <v>2.917600799E10</v>
      </c>
      <c r="M7262" s="99">
        <v>1.14</v>
      </c>
    </row>
    <row r="7263">
      <c r="A7263" s="122" t="s">
        <v>15075</v>
      </c>
      <c r="B7263" s="123">
        <v>50493.0</v>
      </c>
      <c r="C7263" s="124" t="s">
        <v>15076</v>
      </c>
      <c r="D7263" s="125"/>
      <c r="E7263" s="126">
        <v>83.1</v>
      </c>
      <c r="F7263" s="127"/>
      <c r="G7263" s="127"/>
      <c r="H7263" s="127"/>
      <c r="I7263" s="128"/>
      <c r="K7263" s="105" t="str">
        <f>IFERROR(__xludf.DUMMYFUNCTION("if(A7263="""","""",substitute(SUBSTITUTE(index(importhtml(""http://finviz.com/quote.ashx?t=""&amp;A7263,""table"",10),7,2),""*"",""""),""-"",""0.00""))"),"Loading...")</f>
        <v>Loading...</v>
      </c>
      <c r="L7263" s="129">
        <v>1.207631614E9</v>
      </c>
      <c r="M7263" s="99">
        <v>0.64</v>
      </c>
    </row>
    <row r="7264">
      <c r="A7264" s="122" t="s">
        <v>15077</v>
      </c>
      <c r="B7264" s="123">
        <v>1486957.0</v>
      </c>
      <c r="C7264" s="124" t="s">
        <v>15078</v>
      </c>
      <c r="D7264" s="125"/>
      <c r="E7264" s="126">
        <v>83.21</v>
      </c>
      <c r="F7264" s="127"/>
      <c r="G7264" s="127"/>
      <c r="H7264" s="127"/>
      <c r="I7264" s="128"/>
      <c r="K7264" s="105" t="str">
        <f>IFERROR(__xludf.DUMMYFUNCTION("if(A7264="""","""",substitute(SUBSTITUTE(index(importhtml(""http://finviz.com/quote.ashx?t=""&amp;A7264,""table"",10),7,2),""*"",""""),""-"",""0.00""))"),"Loading...")</f>
        <v>Loading...</v>
      </c>
      <c r="L7264" s="129">
        <v>7.61477834E9</v>
      </c>
      <c r="M7264" s="99">
        <v>0.69</v>
      </c>
    </row>
    <row r="7265">
      <c r="A7265" s="122" t="s">
        <v>15079</v>
      </c>
      <c r="B7265" s="123">
        <v>16875.0</v>
      </c>
      <c r="C7265" s="124" t="s">
        <v>15080</v>
      </c>
      <c r="D7265" s="125"/>
      <c r="E7265" s="126">
        <v>83.26</v>
      </c>
      <c r="F7265" s="127"/>
      <c r="G7265" s="127"/>
      <c r="H7265" s="127"/>
      <c r="I7265" s="128"/>
      <c r="K7265" s="138" t="s">
        <v>5447</v>
      </c>
      <c r="L7265" s="129">
        <v>1.0444508869E11</v>
      </c>
      <c r="M7265" s="99">
        <v>0.92</v>
      </c>
    </row>
    <row r="7266">
      <c r="A7266" s="122" t="s">
        <v>15081</v>
      </c>
      <c r="B7266" s="123">
        <v>947484.0</v>
      </c>
      <c r="C7266" s="124" t="s">
        <v>15082</v>
      </c>
      <c r="D7266" s="125"/>
      <c r="E7266" s="126">
        <v>83.3</v>
      </c>
      <c r="F7266" s="127"/>
      <c r="G7266" s="127"/>
      <c r="H7266" s="127"/>
      <c r="I7266" s="128"/>
      <c r="K7266" s="105" t="str">
        <f>IFERROR(__xludf.DUMMYFUNCTION("if(A7266="""","""",substitute(SUBSTITUTE(index(importhtml(""http://finviz.com/quote.ashx?t=""&amp;A7266,""table"",10),7,2),""*"",""""),""-"",""0.00""))"),"Loading...")</f>
        <v>Loading...</v>
      </c>
      <c r="L7266" s="129">
        <v>3.1085212078E10</v>
      </c>
      <c r="M7266" s="99">
        <v>0.57</v>
      </c>
    </row>
    <row r="7267">
      <c r="A7267" s="122" t="s">
        <v>15083</v>
      </c>
      <c r="B7267" s="123">
        <v>875357.0</v>
      </c>
      <c r="C7267" s="124" t="s">
        <v>15084</v>
      </c>
      <c r="D7267" s="125"/>
      <c r="E7267" s="126">
        <v>83.34</v>
      </c>
      <c r="F7267" s="127"/>
      <c r="G7267" s="127"/>
      <c r="H7267" s="127"/>
      <c r="I7267" s="128"/>
      <c r="K7267" s="105" t="str">
        <f>IFERROR(__xludf.DUMMYFUNCTION("if(A7267="""","""",substitute(SUBSTITUTE(index(importhtml(""http://finviz.com/quote.ashx?t=""&amp;A7267,""table"",10),7,2),""*"",""""),""-"",""0.00""))"),"Loading...")</f>
        <v>Loading...</v>
      </c>
      <c r="L7267" s="129">
        <v>5.275983816E9</v>
      </c>
      <c r="M7267" s="99">
        <v>1.21</v>
      </c>
    </row>
    <row r="7268">
      <c r="A7268" s="122" t="s">
        <v>15085</v>
      </c>
      <c r="B7268" s="123">
        <v>889132.0</v>
      </c>
      <c r="C7268" s="124" t="s">
        <v>15086</v>
      </c>
      <c r="D7268" s="125"/>
      <c r="E7268" s="126">
        <v>83.39</v>
      </c>
      <c r="F7268" s="127"/>
      <c r="G7268" s="127"/>
      <c r="H7268" s="127"/>
      <c r="I7268" s="128"/>
      <c r="K7268" s="105" t="str">
        <f>IFERROR(__xludf.DUMMYFUNCTION("if(A7268="""","""",substitute(SUBSTITUTE(index(importhtml(""http://finviz.com/quote.ashx?t=""&amp;A7268,""table"",10),7,2),""*"",""""),""-"",""0.00""))"),"Loading...")</f>
        <v>Loading...</v>
      </c>
      <c r="L7268" s="129">
        <v>2.8355551798E10</v>
      </c>
      <c r="M7268" s="99">
        <v>1.45</v>
      </c>
    </row>
    <row r="7269">
      <c r="A7269" s="122" t="s">
        <v>15087</v>
      </c>
      <c r="B7269" s="123">
        <v>924805.0</v>
      </c>
      <c r="C7269" s="124" t="s">
        <v>15088</v>
      </c>
      <c r="D7269" s="125"/>
      <c r="E7269" s="126">
        <v>83.49</v>
      </c>
      <c r="F7269" s="127"/>
      <c r="G7269" s="127"/>
      <c r="H7269" s="127"/>
      <c r="I7269" s="128"/>
      <c r="K7269" s="105" t="str">
        <f>IFERROR(__xludf.DUMMYFUNCTION("if(A7269="""","""",substitute(SUBSTITUTE(index(importhtml(""http://finviz.com/quote.ashx?t=""&amp;A7269,""table"",10),7,2),""*"",""""),""-"",""0.00""))"),"Loading...")</f>
        <v>Loading...</v>
      </c>
      <c r="L7269" s="129">
        <v>4.980945645E9</v>
      </c>
      <c r="M7269" s="99">
        <v>1.04</v>
      </c>
    </row>
    <row r="7270">
      <c r="A7270" s="122" t="s">
        <v>15089</v>
      </c>
      <c r="B7270" s="123">
        <v>1521332.0</v>
      </c>
      <c r="C7270" s="124" t="s">
        <v>15090</v>
      </c>
      <c r="D7270" s="125"/>
      <c r="E7270" s="126">
        <v>83.5</v>
      </c>
      <c r="F7270" s="127"/>
      <c r="G7270" s="127"/>
      <c r="H7270" s="127"/>
      <c r="I7270" s="128"/>
      <c r="K7270" s="105" t="str">
        <f>IFERROR(__xludf.DUMMYFUNCTION("if(A7270="""","""",substitute(SUBSTITUTE(index(importhtml(""http://finviz.com/quote.ashx?t=""&amp;A7270,""table"",10),7,2),""*"",""""),""-"",""0.00""))"),"Loading...")</f>
        <v>Loading...</v>
      </c>
      <c r="L7270" s="129">
        <v>2.361898535E10</v>
      </c>
      <c r="M7270" s="99">
        <v>1.93</v>
      </c>
    </row>
    <row r="7271">
      <c r="A7271" s="122" t="s">
        <v>15091</v>
      </c>
      <c r="B7271" s="123">
        <v>1745041.0</v>
      </c>
      <c r="C7271" s="124" t="s">
        <v>15092</v>
      </c>
      <c r="D7271" s="125"/>
      <c r="E7271" s="126">
        <v>83.58</v>
      </c>
      <c r="F7271" s="127"/>
      <c r="G7271" s="127"/>
      <c r="H7271" s="127"/>
      <c r="I7271" s="128"/>
      <c r="K7271" s="105" t="str">
        <f>IFERROR(__xludf.DUMMYFUNCTION("if(A7271="""","""",substitute(SUBSTITUTE(index(importhtml(""http://finviz.com/quote.ashx?t=""&amp;A7271,""table"",10),7,2),""*"",""""),""-"",""0.00""))"),"Loading...")</f>
        <v>Loading...</v>
      </c>
      <c r="L7271" s="129" t="e">
        <v>#N/A</v>
      </c>
      <c r="M7271" s="99" t="str">
        <f>IFERROR(__xludf.DUMMYFUNCTION("GOOGLEFINANCE(A7271,""beta"")"),"#N/A")</f>
        <v>#N/A</v>
      </c>
    </row>
    <row r="7272">
      <c r="A7272" s="122" t="s">
        <v>15093</v>
      </c>
      <c r="B7272" s="123">
        <v>1699150.0</v>
      </c>
      <c r="C7272" s="124" t="s">
        <v>15094</v>
      </c>
      <c r="D7272" s="125"/>
      <c r="E7272" s="126">
        <v>83.74</v>
      </c>
      <c r="F7272" s="127"/>
      <c r="G7272" s="127"/>
      <c r="H7272" s="127"/>
      <c r="I7272" s="128"/>
      <c r="K7272" s="138" t="s">
        <v>3453</v>
      </c>
      <c r="L7272" s="129">
        <v>3.3897691541E10</v>
      </c>
      <c r="M7272" s="99">
        <v>1.43</v>
      </c>
    </row>
    <row r="7273">
      <c r="A7273" s="122" t="s">
        <v>15095</v>
      </c>
      <c r="B7273" s="123">
        <v>56047.0</v>
      </c>
      <c r="C7273" s="124" t="s">
        <v>15096</v>
      </c>
      <c r="D7273" s="125"/>
      <c r="E7273" s="126">
        <v>83.76</v>
      </c>
      <c r="F7273" s="127"/>
      <c r="G7273" s="127"/>
      <c r="H7273" s="127"/>
      <c r="I7273" s="128"/>
      <c r="K7273" s="105" t="str">
        <f>IFERROR(__xludf.DUMMYFUNCTION("if(A7273="""","""",substitute(SUBSTITUTE(index(importhtml(""http://finviz.com/quote.ashx?t=""&amp;A7273,""table"",10),7,2),""*"",""""),""-"",""0.00""))"),"Loading...")</f>
        <v>Loading...</v>
      </c>
      <c r="L7273" s="129">
        <v>4.950216126E9</v>
      </c>
      <c r="M7273" s="99">
        <v>1.18</v>
      </c>
    </row>
    <row r="7274">
      <c r="A7274" s="122" t="s">
        <v>15097</v>
      </c>
      <c r="B7274" s="123">
        <v>912562.0</v>
      </c>
      <c r="C7274" s="124" t="s">
        <v>15098</v>
      </c>
      <c r="D7274" s="125"/>
      <c r="E7274" s="126">
        <v>83.93</v>
      </c>
      <c r="F7274" s="127"/>
      <c r="G7274" s="127"/>
      <c r="H7274" s="127"/>
      <c r="I7274" s="128"/>
      <c r="K7274" s="105" t="str">
        <f>IFERROR(__xludf.DUMMYFUNCTION("if(A7274="""","""",substitute(SUBSTITUTE(index(importhtml(""http://finviz.com/quote.ashx?t=""&amp;A7274,""table"",10),7,2),""*"",""""),""-"",""0.00""))"),"Loading...")</f>
        <v>Loading...</v>
      </c>
      <c r="L7274" s="129">
        <v>2.554529579E9</v>
      </c>
      <c r="M7274" s="99">
        <v>1.2</v>
      </c>
    </row>
    <row r="7275">
      <c r="A7275" s="122" t="s">
        <v>15099</v>
      </c>
      <c r="B7275" s="123">
        <v>1057352.0</v>
      </c>
      <c r="C7275" s="124" t="s">
        <v>15100</v>
      </c>
      <c r="D7275" s="125"/>
      <c r="E7275" s="126">
        <v>83.94</v>
      </c>
      <c r="F7275" s="127"/>
      <c r="G7275" s="127"/>
      <c r="H7275" s="127"/>
      <c r="I7275" s="128"/>
      <c r="K7275" s="105" t="str">
        <f>IFERROR(__xludf.DUMMYFUNCTION("if(A7275="""","""",substitute(SUBSTITUTE(index(importhtml(""http://finviz.com/quote.ashx?t=""&amp;A7275,""table"",10),7,2),""*"",""""),""-"",""0.00""))"),"Loading...")</f>
        <v>Loading...</v>
      </c>
      <c r="L7275" s="129">
        <v>3.4278016398E10</v>
      </c>
      <c r="M7275" s="99">
        <v>0.85</v>
      </c>
    </row>
    <row r="7276">
      <c r="A7276" s="122" t="s">
        <v>15101</v>
      </c>
      <c r="B7276" s="123">
        <v>1746109.0</v>
      </c>
      <c r="C7276" s="124" t="s">
        <v>15102</v>
      </c>
      <c r="D7276" s="125"/>
      <c r="E7276" s="126">
        <v>84.0</v>
      </c>
      <c r="F7276" s="127"/>
      <c r="G7276" s="127"/>
      <c r="H7276" s="127"/>
      <c r="I7276" s="128"/>
      <c r="K7276" s="55" t="s">
        <v>13450</v>
      </c>
      <c r="L7276" s="129">
        <v>8.7067092E8</v>
      </c>
      <c r="M7276" s="99">
        <v>0.29</v>
      </c>
    </row>
    <row r="7277">
      <c r="A7277" s="122" t="s">
        <v>15103</v>
      </c>
      <c r="B7277" s="123">
        <v>1524358.0</v>
      </c>
      <c r="C7277" s="124" t="s">
        <v>15104</v>
      </c>
      <c r="D7277" s="125"/>
      <c r="E7277" s="126">
        <v>84.06</v>
      </c>
      <c r="F7277" s="127"/>
      <c r="G7277" s="127"/>
      <c r="H7277" s="127"/>
      <c r="I7277" s="128"/>
      <c r="K7277" s="105" t="str">
        <f>IFERROR(__xludf.DUMMYFUNCTION("if(A7277="""","""",substitute(SUBSTITUTE(index(importhtml(""http://finviz.com/quote.ashx?t=""&amp;A7277,""table"",10),7,2),""*"",""""),""-"",""0.00""))"),"Loading...")</f>
        <v>Loading...</v>
      </c>
      <c r="L7277" s="129">
        <v>2.985575745E9</v>
      </c>
      <c r="M7277" s="99">
        <v>1.84</v>
      </c>
    </row>
    <row r="7278">
      <c r="A7278" s="122" t="s">
        <v>15105</v>
      </c>
      <c r="B7278" s="123">
        <v>835011.0</v>
      </c>
      <c r="C7278" s="124" t="s">
        <v>15106</v>
      </c>
      <c r="D7278" s="125"/>
      <c r="E7278" s="126">
        <v>84.14</v>
      </c>
      <c r="F7278" s="127"/>
      <c r="G7278" s="127"/>
      <c r="H7278" s="127"/>
      <c r="I7278" s="128"/>
      <c r="K7278" s="105" t="str">
        <f>IFERROR(__xludf.DUMMYFUNCTION("if(A7278="""","""",substitute(SUBSTITUTE(index(importhtml(""http://finviz.com/quote.ashx?t=""&amp;A7278,""table"",10),7,2),""*"",""""),""-"",""0.00""))"),"Loading...")</f>
        <v>Loading...</v>
      </c>
      <c r="L7278" s="129">
        <v>1.852435481E9</v>
      </c>
      <c r="M7278" s="99">
        <v>0.78</v>
      </c>
    </row>
    <row r="7279">
      <c r="A7279" s="122" t="s">
        <v>15107</v>
      </c>
      <c r="B7279" s="123">
        <v>827054.0</v>
      </c>
      <c r="C7279" s="124" t="s">
        <v>15108</v>
      </c>
      <c r="D7279" s="125"/>
      <c r="E7279" s="126">
        <v>84.29</v>
      </c>
      <c r="F7279" s="127"/>
      <c r="G7279" s="127"/>
      <c r="H7279" s="127"/>
      <c r="I7279" s="128"/>
      <c r="K7279" s="105" t="str">
        <f>IFERROR(__xludf.DUMMYFUNCTION("if(A7279="""","""",substitute(SUBSTITUTE(index(importhtml(""http://finviz.com/quote.ashx?t=""&amp;A7279,""table"",10),7,2),""*"",""""),""-"",""0.00""))"),"Loading...")</f>
        <v>Loading...</v>
      </c>
      <c r="L7279" s="129">
        <v>4.5604708832E10</v>
      </c>
      <c r="M7279" s="99">
        <v>1.67</v>
      </c>
    </row>
    <row r="7280">
      <c r="A7280" s="122" t="s">
        <v>15109</v>
      </c>
      <c r="B7280" s="123">
        <v>1032975.0</v>
      </c>
      <c r="C7280" s="124" t="s">
        <v>15110</v>
      </c>
      <c r="D7280" s="125"/>
      <c r="E7280" s="126">
        <v>84.33</v>
      </c>
      <c r="F7280" s="127"/>
      <c r="G7280" s="127"/>
      <c r="H7280" s="127"/>
      <c r="I7280" s="128"/>
      <c r="K7280" s="105" t="str">
        <f>IFERROR(__xludf.DUMMYFUNCTION("if(A7280="""","""",substitute(SUBSTITUTE(index(importhtml(""http://finviz.com/quote.ashx?t=""&amp;A7280,""table"",10),7,2),""*"",""""),""-"",""0.00""))"),"Loading...")</f>
        <v>Loading...</v>
      </c>
      <c r="L7280" s="129">
        <v>1.441213224E10</v>
      </c>
      <c r="M7280" s="99">
        <v>0.71</v>
      </c>
    </row>
    <row r="7281">
      <c r="A7281" s="122" t="s">
        <v>15111</v>
      </c>
      <c r="B7281" s="123">
        <v>1124941.0</v>
      </c>
      <c r="C7281" s="124" t="s">
        <v>15112</v>
      </c>
      <c r="D7281" s="125"/>
      <c r="E7281" s="126">
        <v>84.38</v>
      </c>
      <c r="F7281" s="127"/>
      <c r="G7281" s="127"/>
      <c r="H7281" s="127"/>
      <c r="I7281" s="128"/>
      <c r="K7281" s="105" t="str">
        <f>IFERROR(__xludf.DUMMYFUNCTION("if(A7281="""","""",substitute(SUBSTITUTE(index(importhtml(""http://finviz.com/quote.ashx?t=""&amp;A7281,""table"",10),7,2),""*"",""""),""-"",""0.00""))"),"Loading...")</f>
        <v>Loading...</v>
      </c>
      <c r="L7281" s="129">
        <v>5.347021198E9</v>
      </c>
      <c r="M7281" s="99">
        <v>1.62</v>
      </c>
    </row>
    <row r="7282">
      <c r="A7282" s="122" t="s">
        <v>15113</v>
      </c>
      <c r="B7282" s="123">
        <v>18654.0</v>
      </c>
      <c r="C7282" s="124" t="s">
        <v>15114</v>
      </c>
      <c r="D7282" s="125"/>
      <c r="E7282" s="126">
        <v>84.5</v>
      </c>
      <c r="F7282" s="127"/>
      <c r="G7282" s="127"/>
      <c r="H7282" s="127"/>
      <c r="I7282" s="128"/>
      <c r="K7282" s="105" t="str">
        <f>IFERROR(__xludf.DUMMYFUNCTION("if(A7282="""","""",substitute(SUBSTITUTE(index(importhtml(""http://finviz.com/quote.ashx?t=""&amp;A7282,""table"",10),7,2),""*"",""""),""-"",""0.00""))"),"Loading...")</f>
        <v>Loading...</v>
      </c>
      <c r="L7282" s="129">
        <v>4.1290715E7</v>
      </c>
      <c r="M7282" s="99">
        <v>0.01</v>
      </c>
    </row>
    <row r="7283">
      <c r="A7283" s="122" t="s">
        <v>15115</v>
      </c>
      <c r="B7283" s="123">
        <v>1851682.0</v>
      </c>
      <c r="C7283" s="124" t="s">
        <v>15116</v>
      </c>
      <c r="D7283" s="125"/>
      <c r="E7283" s="126">
        <v>84.5</v>
      </c>
      <c r="F7283" s="127"/>
      <c r="G7283" s="127"/>
      <c r="H7283" s="127"/>
      <c r="I7283" s="128"/>
      <c r="K7283" s="105" t="str">
        <f>IFERROR(__xludf.DUMMYFUNCTION("if(A7283="""","""",substitute(SUBSTITUTE(index(importhtml(""http://finviz.com/quote.ashx?t=""&amp;A7283,""table"",10),7,2),""*"",""""),""-"",""0.00""))"),"Loading...")</f>
        <v>Loading...</v>
      </c>
      <c r="L7283" s="129">
        <v>3.752226356E9</v>
      </c>
      <c r="M7283" s="99" t="str">
        <f>IFERROR(__xludf.DUMMYFUNCTION("GOOGLEFINANCE(A7283,""beta"")"),"#N/A")</f>
        <v>#N/A</v>
      </c>
    </row>
    <row r="7284">
      <c r="A7284" s="122" t="s">
        <v>15117</v>
      </c>
      <c r="B7284" s="123">
        <v>21665.0</v>
      </c>
      <c r="C7284" s="124" t="s">
        <v>15118</v>
      </c>
      <c r="D7284" s="125"/>
      <c r="E7284" s="126">
        <v>84.62</v>
      </c>
      <c r="F7284" s="127"/>
      <c r="G7284" s="127"/>
      <c r="H7284" s="127"/>
      <c r="I7284" s="128"/>
      <c r="K7284" s="138" t="s">
        <v>15119</v>
      </c>
      <c r="L7284" s="129">
        <v>6.9673757825E10</v>
      </c>
      <c r="M7284" s="99">
        <v>0.42</v>
      </c>
    </row>
    <row r="7285">
      <c r="A7285" s="122" t="s">
        <v>15120</v>
      </c>
      <c r="B7285" s="123">
        <v>1138118.0</v>
      </c>
      <c r="C7285" s="124" t="s">
        <v>15121</v>
      </c>
      <c r="D7285" s="125"/>
      <c r="E7285" s="126">
        <v>85.0</v>
      </c>
      <c r="F7285" s="127"/>
      <c r="G7285" s="127"/>
      <c r="H7285" s="127"/>
      <c r="I7285" s="128"/>
      <c r="K7285" s="105" t="str">
        <f>IFERROR(__xludf.DUMMYFUNCTION("if(A7285="""","""",substitute(SUBSTITUTE(index(importhtml(""http://finviz.com/quote.ashx?t=""&amp;A7285,""table"",10),7,2),""*"",""""),""-"",""0.00""))"),"Loading...")</f>
        <v>Loading...</v>
      </c>
      <c r="L7285" s="129">
        <v>2.59073795E10</v>
      </c>
      <c r="M7285" s="99">
        <v>1.43</v>
      </c>
    </row>
    <row r="7286">
      <c r="A7286" s="122" t="s">
        <v>15122</v>
      </c>
      <c r="B7286" s="123">
        <v>1603923.0</v>
      </c>
      <c r="C7286" s="124" t="s">
        <v>15123</v>
      </c>
      <c r="D7286" s="125"/>
      <c r="E7286" s="126">
        <v>85.46</v>
      </c>
      <c r="F7286" s="127"/>
      <c r="G7286" s="127"/>
      <c r="H7286" s="127"/>
      <c r="I7286" s="128"/>
      <c r="K7286" s="105" t="str">
        <f>IFERROR(__xludf.DUMMYFUNCTION("if(A7286="""","""",substitute(SUBSTITUTE(index(importhtml(""http://finviz.com/quote.ashx?t=""&amp;A7286,""table"",10),7,2),""*"",""""),""-"",""0.00""))"),"Loading...")</f>
        <v>Loading...</v>
      </c>
      <c r="L7286" s="129">
        <v>6.163254635E9</v>
      </c>
      <c r="M7286" s="99">
        <v>128.83</v>
      </c>
    </row>
    <row r="7287">
      <c r="A7287" s="122" t="s">
        <v>15124</v>
      </c>
      <c r="B7287" s="123">
        <v>14930.0</v>
      </c>
      <c r="C7287" s="124" t="s">
        <v>15125</v>
      </c>
      <c r="D7287" s="125"/>
      <c r="E7287" s="126">
        <v>85.6</v>
      </c>
      <c r="F7287" s="127"/>
      <c r="G7287" s="127"/>
      <c r="H7287" s="127"/>
      <c r="I7287" s="128"/>
      <c r="K7287" s="138" t="s">
        <v>14877</v>
      </c>
      <c r="L7287" s="129">
        <v>5.890361879E9</v>
      </c>
      <c r="M7287" s="99">
        <v>1.55</v>
      </c>
    </row>
    <row r="7288">
      <c r="A7288" s="122" t="s">
        <v>15126</v>
      </c>
      <c r="B7288" s="123">
        <v>98362.0</v>
      </c>
      <c r="C7288" s="124" t="s">
        <v>15127</v>
      </c>
      <c r="D7288" s="125"/>
      <c r="E7288" s="126">
        <v>85.92</v>
      </c>
      <c r="F7288" s="127"/>
      <c r="G7288" s="127"/>
      <c r="H7288" s="127"/>
      <c r="I7288" s="128"/>
      <c r="K7288" s="105" t="str">
        <f>IFERROR(__xludf.DUMMYFUNCTION("if(A7288="""","""",substitute(SUBSTITUTE(index(importhtml(""http://finviz.com/quote.ashx?t=""&amp;A7288,""table"",10),7,2),""*"",""""),""-"",""0.00""))"),"Loading...")</f>
        <v>Loading...</v>
      </c>
      <c r="L7288" s="129" t="e">
        <v>#N/A</v>
      </c>
      <c r="M7288" s="99">
        <f>IFERROR(__xludf.DUMMYFUNCTION("GOOGLEFINANCE(A7288,""beta"")"),1.31)</f>
        <v>1.31</v>
      </c>
    </row>
    <row r="7289">
      <c r="A7289" s="122" t="s">
        <v>15128</v>
      </c>
      <c r="B7289" s="123">
        <v>1389170.0</v>
      </c>
      <c r="C7289" s="124" t="s">
        <v>15129</v>
      </c>
      <c r="D7289" s="125"/>
      <c r="E7289" s="126">
        <v>85.98</v>
      </c>
      <c r="F7289" s="127"/>
      <c r="G7289" s="127"/>
      <c r="H7289" s="127"/>
      <c r="I7289" s="128"/>
      <c r="K7289" s="105" t="str">
        <f>IFERROR(__xludf.DUMMYFUNCTION("if(A7289="""","""",substitute(SUBSTITUTE(index(importhtml(""http://finviz.com/quote.ashx?t=""&amp;A7289,""table"",10),7,2),""*"",""""),""-"",""0.00""))"),"Loading...")</f>
        <v>Loading...</v>
      </c>
      <c r="L7289" s="129">
        <v>1.9171434238E10</v>
      </c>
      <c r="M7289" s="99">
        <v>2.19</v>
      </c>
    </row>
    <row r="7290">
      <c r="A7290" s="122" t="s">
        <v>15130</v>
      </c>
      <c r="B7290" s="123">
        <v>312070.0</v>
      </c>
      <c r="C7290" s="124" t="s">
        <v>15131</v>
      </c>
      <c r="D7290" s="125"/>
      <c r="E7290" s="126">
        <v>86.0</v>
      </c>
      <c r="F7290" s="127"/>
      <c r="G7290" s="127"/>
      <c r="H7290" s="127"/>
      <c r="I7290" s="128"/>
      <c r="K7290" s="105" t="str">
        <f>IFERROR(__xludf.DUMMYFUNCTION("if(A7290="""","""",substitute(SUBSTITUTE(index(importhtml(""http://finviz.com/quote.ashx?t=""&amp;A7290,""table"",10),7,2),""*"",""""),""-"",""0.00""))"),"Loading...")</f>
        <v>Loading...</v>
      </c>
      <c r="L7290" s="129">
        <v>1.6583552E8</v>
      </c>
      <c r="M7290" s="99" t="str">
        <f>IFERROR(__xludf.DUMMYFUNCTION("GOOGLEFINANCE(A7290,""beta"")"),"#N/A")</f>
        <v>#N/A</v>
      </c>
    </row>
    <row r="7291">
      <c r="A7291" s="122" t="s">
        <v>15132</v>
      </c>
      <c r="B7291" s="123">
        <v>217346.0</v>
      </c>
      <c r="C7291" s="124" t="s">
        <v>15133</v>
      </c>
      <c r="D7291" s="125"/>
      <c r="E7291" s="126">
        <v>86.0</v>
      </c>
      <c r="F7291" s="127"/>
      <c r="G7291" s="127"/>
      <c r="H7291" s="127"/>
      <c r="I7291" s="128"/>
      <c r="K7291" s="105" t="str">
        <f>IFERROR(__xludf.DUMMYFUNCTION("if(A7291="""","""",substitute(SUBSTITUTE(index(importhtml(""http://finviz.com/quote.ashx?t=""&amp;A7291,""table"",10),7,2),""*"",""""),""-"",""0.00""))"),"Loading...")</f>
        <v>Loading...</v>
      </c>
      <c r="L7291" s="129">
        <v>1.68564644E10</v>
      </c>
      <c r="M7291" s="99">
        <v>1.29</v>
      </c>
    </row>
    <row r="7292">
      <c r="A7292" s="122" t="s">
        <v>15134</v>
      </c>
      <c r="B7292" s="123">
        <v>1048268.0</v>
      </c>
      <c r="C7292" s="124" t="s">
        <v>15135</v>
      </c>
      <c r="D7292" s="125"/>
      <c r="E7292" s="126">
        <v>86.04</v>
      </c>
      <c r="F7292" s="127"/>
      <c r="G7292" s="127"/>
      <c r="H7292" s="127"/>
      <c r="I7292" s="128"/>
      <c r="K7292" s="105" t="str">
        <f>IFERROR(__xludf.DUMMYFUNCTION("if(A7292="""","""",substitute(SUBSTITUTE(index(importhtml(""http://finviz.com/quote.ashx?t=""&amp;A7292,""table"",10),7,2),""*"",""""),""-"",""0.00""))"),"Loading...")</f>
        <v>Loading...</v>
      </c>
      <c r="L7292" s="129">
        <v>1.739209997E9</v>
      </c>
      <c r="M7292" s="99">
        <v>1.28</v>
      </c>
    </row>
    <row r="7293">
      <c r="A7293" s="122" t="s">
        <v>15136</v>
      </c>
      <c r="B7293" s="123">
        <v>1099800.0</v>
      </c>
      <c r="C7293" s="124" t="s">
        <v>15137</v>
      </c>
      <c r="D7293" s="125"/>
      <c r="E7293" s="126">
        <v>86.09</v>
      </c>
      <c r="F7293" s="127"/>
      <c r="G7293" s="127"/>
      <c r="H7293" s="127"/>
      <c r="I7293" s="128"/>
      <c r="K7293" s="55" t="s">
        <v>1034</v>
      </c>
      <c r="L7293" s="129">
        <v>5.2213574169E10</v>
      </c>
      <c r="M7293" s="99">
        <v>1.04</v>
      </c>
    </row>
    <row r="7294">
      <c r="A7294" s="122" t="s">
        <v>15138</v>
      </c>
      <c r="B7294" s="123">
        <v>887028.0</v>
      </c>
      <c r="C7294" s="124" t="s">
        <v>15139</v>
      </c>
      <c r="D7294" s="125"/>
      <c r="E7294" s="126">
        <v>86.15</v>
      </c>
      <c r="F7294" s="127"/>
      <c r="G7294" s="127"/>
      <c r="H7294" s="127"/>
      <c r="I7294" s="128"/>
      <c r="K7294" s="105" t="str">
        <f>IFERROR(__xludf.DUMMYFUNCTION("if(A7294="""","""",substitute(SUBSTITUTE(index(importhtml(""http://finviz.com/quote.ashx?t=""&amp;A7294,""table"",10),7,2),""*"",""""),""-"",""0.00""))"),"Loading...")</f>
        <v>Loading...</v>
      </c>
      <c r="L7294" s="129">
        <v>1.81886892E11</v>
      </c>
      <c r="M7294" s="99">
        <v>0.88</v>
      </c>
    </row>
    <row r="7295">
      <c r="A7295" s="122" t="s">
        <v>15140</v>
      </c>
      <c r="B7295" s="123">
        <v>763901.0</v>
      </c>
      <c r="C7295" s="124" t="s">
        <v>15141</v>
      </c>
      <c r="D7295" s="125"/>
      <c r="E7295" s="126">
        <v>86.2</v>
      </c>
      <c r="F7295" s="127"/>
      <c r="G7295" s="127"/>
      <c r="H7295" s="127"/>
      <c r="I7295" s="128"/>
      <c r="K7295" s="105" t="str">
        <f>IFERROR(__xludf.DUMMYFUNCTION("if(A7295="""","""",substitute(SUBSTITUTE(index(importhtml(""http://finviz.com/quote.ashx?t=""&amp;A7295,""table"",10),7,2),""*"",""""),""-"",""0.00""))"),"Loading...")</f>
        <v>Loading...</v>
      </c>
      <c r="L7295" s="129">
        <v>6.219703887E9</v>
      </c>
      <c r="M7295" s="99">
        <v>0.83</v>
      </c>
    </row>
    <row r="7296">
      <c r="A7296" s="122" t="s">
        <v>15142</v>
      </c>
      <c r="B7296" s="123">
        <v>1571996.0</v>
      </c>
      <c r="C7296" s="124" t="s">
        <v>15143</v>
      </c>
      <c r="D7296" s="125"/>
      <c r="E7296" s="126">
        <v>86.32</v>
      </c>
      <c r="F7296" s="127"/>
      <c r="G7296" s="127"/>
      <c r="H7296" s="127"/>
      <c r="I7296" s="128"/>
      <c r="K7296" s="105" t="str">
        <f>IFERROR(__xludf.DUMMYFUNCTION("if(A7296="""","""",substitute(SUBSTITUTE(index(importhtml(""http://finviz.com/quote.ashx?t=""&amp;A7296,""table"",10),7,2),""*"",""""),""-"",""0.00""))"),"Loading...")</f>
        <v>Loading...</v>
      </c>
      <c r="L7296" s="129">
        <v>6.0970845616E10</v>
      </c>
      <c r="M7296" s="99" t="str">
        <f>IFERROR(__xludf.DUMMYFUNCTION("GOOGLEFINANCE(A7296,""beta"")"),"#N/A")</f>
        <v>#N/A</v>
      </c>
    </row>
    <row r="7297">
      <c r="A7297" s="122" t="s">
        <v>15144</v>
      </c>
      <c r="B7297" s="123">
        <v>723125.0</v>
      </c>
      <c r="C7297" s="124" t="s">
        <v>15145</v>
      </c>
      <c r="D7297" s="125"/>
      <c r="E7297" s="126">
        <v>86.48</v>
      </c>
      <c r="F7297" s="127"/>
      <c r="G7297" s="127"/>
      <c r="H7297" s="127"/>
      <c r="I7297" s="128"/>
      <c r="K7297" s="138" t="s">
        <v>6478</v>
      </c>
      <c r="L7297" s="129">
        <v>9.5465967545E10</v>
      </c>
      <c r="M7297" s="99">
        <v>1.24</v>
      </c>
    </row>
    <row r="7298">
      <c r="A7298" s="122" t="s">
        <v>15146</v>
      </c>
      <c r="B7298" s="123">
        <v>1069878.0</v>
      </c>
      <c r="C7298" s="124" t="s">
        <v>15147</v>
      </c>
      <c r="D7298" s="125"/>
      <c r="E7298" s="126">
        <v>86.57</v>
      </c>
      <c r="F7298" s="127"/>
      <c r="G7298" s="127"/>
      <c r="H7298" s="127"/>
      <c r="I7298" s="128"/>
      <c r="K7298" s="105" t="str">
        <f>IFERROR(__xludf.DUMMYFUNCTION("if(A7298="""","""",substitute(SUBSTITUTE(index(importhtml(""http://finviz.com/quote.ashx?t=""&amp;A7298,""table"",10),7,2),""*"",""""),""-"",""0.00""))"),"Loading...")</f>
        <v>Loading...</v>
      </c>
      <c r="L7298" s="129">
        <v>9.401095087E9</v>
      </c>
      <c r="M7298" s="99">
        <v>1.58</v>
      </c>
    </row>
    <row r="7299">
      <c r="A7299" s="122" t="s">
        <v>15148</v>
      </c>
      <c r="B7299" s="123">
        <v>1600438.0</v>
      </c>
      <c r="C7299" s="124" t="s">
        <v>15149</v>
      </c>
      <c r="D7299" s="125"/>
      <c r="E7299" s="126">
        <v>86.64</v>
      </c>
      <c r="F7299" s="127"/>
      <c r="G7299" s="127"/>
      <c r="H7299" s="127"/>
      <c r="I7299" s="128"/>
      <c r="K7299" s="105" t="str">
        <f>IFERROR(__xludf.DUMMYFUNCTION("if(A7299="""","""",substitute(SUBSTITUTE(index(importhtml(""http://finviz.com/quote.ashx?t=""&amp;A7299,""table"",10),7,2),""*"",""""),""-"",""0.00""))"),"Loading...")</f>
        <v>Loading...</v>
      </c>
      <c r="L7299" s="129">
        <v>3.449802038E9</v>
      </c>
      <c r="M7299" s="99">
        <v>1.72</v>
      </c>
    </row>
    <row r="7300">
      <c r="A7300" s="122" t="s">
        <v>15150</v>
      </c>
      <c r="B7300" s="123">
        <v>1846510.0</v>
      </c>
      <c r="C7300" s="124" t="s">
        <v>15151</v>
      </c>
      <c r="D7300" s="125"/>
      <c r="E7300" s="126">
        <v>86.67</v>
      </c>
      <c r="F7300" s="127"/>
      <c r="G7300" s="127"/>
      <c r="H7300" s="127"/>
      <c r="I7300" s="128"/>
      <c r="K7300" s="105" t="str">
        <f>IFERROR(__xludf.DUMMYFUNCTION("if(A7300="""","""",substitute(SUBSTITUTE(index(importhtml(""http://finviz.com/quote.ashx?t=""&amp;A7300,""table"",10),7,2),""*"",""""),""-"",""0.00""))"),"Loading...")</f>
        <v>Loading...</v>
      </c>
      <c r="L7300" s="129">
        <v>5.32249058E8</v>
      </c>
      <c r="M7300" s="99" t="str">
        <f>IFERROR(__xludf.DUMMYFUNCTION("GOOGLEFINANCE(A7300,""beta"")"),"#N/A")</f>
        <v>#N/A</v>
      </c>
    </row>
    <row r="7301">
      <c r="A7301" s="122" t="s">
        <v>15152</v>
      </c>
      <c r="B7301" s="123">
        <v>42888.0</v>
      </c>
      <c r="C7301" s="124" t="s">
        <v>15153</v>
      </c>
      <c r="D7301" s="125"/>
      <c r="E7301" s="126">
        <v>86.94</v>
      </c>
      <c r="F7301" s="127"/>
      <c r="G7301" s="127"/>
      <c r="H7301" s="127"/>
      <c r="I7301" s="128"/>
      <c r="K7301" s="55" t="s">
        <v>10882</v>
      </c>
      <c r="L7301" s="129">
        <v>1.4674429132E10</v>
      </c>
      <c r="M7301" s="99">
        <v>0.81</v>
      </c>
    </row>
    <row r="7302">
      <c r="A7302" s="122" t="s">
        <v>15154</v>
      </c>
      <c r="B7302" s="123">
        <v>1788399.0</v>
      </c>
      <c r="C7302" s="124" t="s">
        <v>15155</v>
      </c>
      <c r="D7302" s="125"/>
      <c r="E7302" s="126">
        <v>87.0</v>
      </c>
      <c r="F7302" s="127"/>
      <c r="G7302" s="127"/>
      <c r="H7302" s="127"/>
      <c r="I7302" s="128"/>
      <c r="K7302" s="55" t="s">
        <v>9178</v>
      </c>
      <c r="L7302" s="129">
        <v>3.0120236945E10</v>
      </c>
      <c r="M7302" s="99">
        <f>IFERROR(__xludf.DUMMYFUNCTION("GOOGLEFINANCE(A7302,""beta"")"),0.61)</f>
        <v>0.61</v>
      </c>
    </row>
    <row r="7303">
      <c r="A7303" s="122" t="s">
        <v>15156</v>
      </c>
      <c r="B7303" s="123">
        <v>1770141.0</v>
      </c>
      <c r="C7303" s="124" t="s">
        <v>15157</v>
      </c>
      <c r="D7303" s="125"/>
      <c r="E7303" s="126">
        <v>87.0</v>
      </c>
      <c r="F7303" s="127"/>
      <c r="G7303" s="127"/>
      <c r="H7303" s="127"/>
      <c r="I7303" s="128"/>
      <c r="K7303" s="105" t="str">
        <f>IFERROR(__xludf.DUMMYFUNCTION("if(A7303="""","""",substitute(SUBSTITUTE(index(importhtml(""http://finviz.com/quote.ashx?t=""&amp;A7303,""table"",10),7,2),""*"",""""),""-"",""0.00""))"),"Loading...")</f>
        <v>Loading...</v>
      </c>
      <c r="L7303" s="129">
        <v>1.414327005E9</v>
      </c>
      <c r="M7303" s="99" t="str">
        <f>IFERROR(__xludf.DUMMYFUNCTION("GOOGLEFINANCE(A7303,""beta"")"),"#N/A")</f>
        <v>#N/A</v>
      </c>
    </row>
    <row r="7304">
      <c r="A7304" s="122" t="s">
        <v>15158</v>
      </c>
      <c r="B7304" s="123">
        <v>1459862.0</v>
      </c>
      <c r="C7304" s="124" t="s">
        <v>15159</v>
      </c>
      <c r="D7304" s="125"/>
      <c r="E7304" s="126">
        <v>87.2</v>
      </c>
      <c r="F7304" s="127"/>
      <c r="G7304" s="127"/>
      <c r="H7304" s="127"/>
      <c r="I7304" s="128"/>
      <c r="K7304" s="105" t="str">
        <f>IFERROR(__xludf.DUMMYFUNCTION("if(A7304="""","""",substitute(SUBSTITUTE(index(importhtml(""http://finviz.com/quote.ashx?t=""&amp;A7304,""table"",10),7,2),""*"",""""),""-"",""0.00""))"),"Loading...")</f>
        <v>Loading...</v>
      </c>
      <c r="L7304" s="129" t="e">
        <v>#N/A</v>
      </c>
      <c r="M7304" s="99" t="str">
        <f>IFERROR(__xludf.DUMMYFUNCTION("GOOGLEFINANCE(A7304,""beta"")"),"#N/A")</f>
        <v>#N/A</v>
      </c>
    </row>
    <row r="7305">
      <c r="A7305" s="122" t="s">
        <v>15160</v>
      </c>
      <c r="B7305" s="123">
        <v>911177.0</v>
      </c>
      <c r="C7305" s="124" t="s">
        <v>15161</v>
      </c>
      <c r="D7305" s="125"/>
      <c r="E7305" s="126">
        <v>87.24</v>
      </c>
      <c r="F7305" s="127"/>
      <c r="G7305" s="127"/>
      <c r="H7305" s="127"/>
      <c r="I7305" s="128"/>
      <c r="K7305" s="105" t="str">
        <f>IFERROR(__xludf.DUMMYFUNCTION("if(A7305="""","""",substitute(SUBSTITUTE(index(importhtml(""http://finviz.com/quote.ashx?t=""&amp;A7305,""table"",10),7,2),""*"",""""),""-"",""0.00""))"),"Loading...")</f>
        <v>Loading...</v>
      </c>
      <c r="L7305" s="129">
        <v>5.058412368E9</v>
      </c>
      <c r="M7305" s="99">
        <v>0.91</v>
      </c>
    </row>
    <row r="7306">
      <c r="A7306" s="122" t="s">
        <v>15162</v>
      </c>
      <c r="B7306" s="123">
        <v>895421.0</v>
      </c>
      <c r="C7306" s="124" t="s">
        <v>15163</v>
      </c>
      <c r="D7306" s="125"/>
      <c r="E7306" s="126">
        <v>87.27</v>
      </c>
      <c r="F7306" s="127"/>
      <c r="G7306" s="127"/>
      <c r="H7306" s="127"/>
      <c r="I7306" s="128"/>
      <c r="K7306" s="138" t="s">
        <v>15164</v>
      </c>
      <c r="L7306" s="129">
        <v>1.4323720546E11</v>
      </c>
      <c r="M7306" s="99">
        <v>1.44</v>
      </c>
    </row>
    <row r="7307">
      <c r="A7307" s="122" t="s">
        <v>15165</v>
      </c>
      <c r="B7307" s="123">
        <v>760498.0</v>
      </c>
      <c r="C7307" s="124" t="s">
        <v>15166</v>
      </c>
      <c r="D7307" s="125"/>
      <c r="E7307" s="126">
        <v>87.46</v>
      </c>
      <c r="F7307" s="127"/>
      <c r="G7307" s="127"/>
      <c r="H7307" s="127"/>
      <c r="I7307" s="128"/>
      <c r="K7307" s="105" t="str">
        <f>IFERROR(__xludf.DUMMYFUNCTION("if(A7307="""","""",substitute(SUBSTITUTE(index(importhtml(""http://finviz.com/quote.ashx?t=""&amp;A7307,""table"",10),7,2),""*"",""""),""-"",""0.00""))"),"Loading...")</f>
        <v>Loading...</v>
      </c>
      <c r="L7307" s="129">
        <v>2.880321024E9</v>
      </c>
      <c r="M7307" s="99">
        <v>1.11</v>
      </c>
    </row>
    <row r="7308">
      <c r="A7308" s="122" t="s">
        <v>15167</v>
      </c>
      <c r="B7308" s="123">
        <v>1803599.0</v>
      </c>
      <c r="C7308" s="124" t="s">
        <v>15168</v>
      </c>
      <c r="D7308" s="125"/>
      <c r="E7308" s="126">
        <v>87.47</v>
      </c>
      <c r="F7308" s="127"/>
      <c r="G7308" s="127"/>
      <c r="H7308" s="127"/>
      <c r="I7308" s="128"/>
      <c r="K7308" s="105" t="str">
        <f>IFERROR(__xludf.DUMMYFUNCTION("if(A7308="""","""",substitute(SUBSTITUTE(index(importhtml(""http://finviz.com/quote.ashx?t=""&amp;A7308,""table"",10),7,2),""*"",""""),""-"",""0.00""))"),"Loading...")</f>
        <v>Loading...</v>
      </c>
      <c r="L7308" s="129">
        <v>5.802033005E9</v>
      </c>
      <c r="M7308" s="99">
        <v>0.66</v>
      </c>
    </row>
    <row r="7309">
      <c r="A7309" s="122" t="s">
        <v>15169</v>
      </c>
      <c r="B7309" s="123">
        <v>1137789.0</v>
      </c>
      <c r="C7309" s="124" t="s">
        <v>15170</v>
      </c>
      <c r="D7309" s="125"/>
      <c r="E7309" s="126">
        <v>87.52</v>
      </c>
      <c r="F7309" s="127"/>
      <c r="G7309" s="127"/>
      <c r="H7309" s="127"/>
      <c r="I7309" s="128"/>
      <c r="K7309" s="105" t="str">
        <f>IFERROR(__xludf.DUMMYFUNCTION("if(A7309="""","""",substitute(SUBSTITUTE(index(importhtml(""http://finviz.com/quote.ashx?t=""&amp;A7309,""table"",10),7,2),""*"",""""),""-"",""0.00""))"),"Loading...")</f>
        <v>Loading...</v>
      </c>
      <c r="L7309" s="129">
        <v>1.833637576E10</v>
      </c>
      <c r="M7309" s="99">
        <v>1.04</v>
      </c>
    </row>
    <row r="7310">
      <c r="A7310" s="122" t="s">
        <v>15171</v>
      </c>
      <c r="B7310" s="123">
        <v>1613103.0</v>
      </c>
      <c r="C7310" s="124" t="s">
        <v>15172</v>
      </c>
      <c r="D7310" s="125"/>
      <c r="E7310" s="126">
        <v>87.63</v>
      </c>
      <c r="F7310" s="127"/>
      <c r="G7310" s="127"/>
      <c r="H7310" s="127"/>
      <c r="I7310" s="128"/>
      <c r="K7310" s="105" t="str">
        <f>IFERROR(__xludf.DUMMYFUNCTION("if(A7310="""","""",substitute(SUBSTITUTE(index(importhtml(""http://finviz.com/quote.ashx?t=""&amp;A7310,""table"",10),7,2),""*"",""""),""-"",""0.00""))"),"Loading...")</f>
        <v>Loading...</v>
      </c>
      <c r="L7310" s="129">
        <v>1.16517576367E11</v>
      </c>
      <c r="M7310" s="99">
        <v>0.78</v>
      </c>
    </row>
    <row r="7311">
      <c r="A7311" s="122" t="s">
        <v>15173</v>
      </c>
      <c r="B7311" s="123">
        <v>1701732.0</v>
      </c>
      <c r="C7311" s="124" t="s">
        <v>15174</v>
      </c>
      <c r="D7311" s="125"/>
      <c r="E7311" s="126">
        <v>87.66</v>
      </c>
      <c r="F7311" s="127"/>
      <c r="G7311" s="127"/>
      <c r="H7311" s="127"/>
      <c r="I7311" s="128"/>
      <c r="K7311" s="105" t="str">
        <f>IFERROR(__xludf.DUMMYFUNCTION("if(A7311="""","""",substitute(SUBSTITUTE(index(importhtml(""http://finviz.com/quote.ashx?t=""&amp;A7311,""table"",10),7,2),""*"",""""),""-"",""0.00""))"),"Loading...")</f>
        <v>Loading...</v>
      </c>
      <c r="L7311" s="129">
        <v>7.15847018E9</v>
      </c>
      <c r="M7311" s="99">
        <v>1.45</v>
      </c>
    </row>
    <row r="7312">
      <c r="A7312" s="122" t="s">
        <v>15175</v>
      </c>
      <c r="B7312" s="123">
        <v>1002047.0</v>
      </c>
      <c r="C7312" s="124" t="s">
        <v>15176</v>
      </c>
      <c r="D7312" s="125"/>
      <c r="E7312" s="126">
        <v>87.84</v>
      </c>
      <c r="F7312" s="127"/>
      <c r="G7312" s="127"/>
      <c r="H7312" s="127"/>
      <c r="I7312" s="128"/>
      <c r="K7312" s="105" t="str">
        <f>IFERROR(__xludf.DUMMYFUNCTION("if(A7312="""","""",substitute(SUBSTITUTE(index(importhtml(""http://finviz.com/quote.ashx?t=""&amp;A7312,""table"",10),7,2),""*"",""""),""-"",""0.00""))"),"Loading...")</f>
        <v>Loading...</v>
      </c>
      <c r="L7312" s="129">
        <v>1.8097771069E10</v>
      </c>
      <c r="M7312" s="99">
        <v>1.28</v>
      </c>
    </row>
    <row r="7313">
      <c r="A7313" s="122" t="s">
        <v>15177</v>
      </c>
      <c r="B7313" s="123">
        <v>1483386.0</v>
      </c>
      <c r="C7313" s="124" t="s">
        <v>15178</v>
      </c>
      <c r="D7313" s="125"/>
      <c r="E7313" s="126">
        <v>87.9</v>
      </c>
      <c r="F7313" s="127"/>
      <c r="G7313" s="127"/>
      <c r="H7313" s="127"/>
      <c r="I7313" s="128"/>
      <c r="K7313" s="105" t="str">
        <f>IFERROR(__xludf.DUMMYFUNCTION("if(A7313="""","""",substitute(SUBSTITUTE(index(importhtml(""http://finviz.com/quote.ashx?t=""&amp;A7313,""table"",10),7,2),""*"",""""),""-"",""0.00""))"),"Loading...")</f>
        <v>Loading...</v>
      </c>
      <c r="L7313" s="129" t="e">
        <v>#N/A</v>
      </c>
      <c r="M7313" s="99" t="str">
        <f>IFERROR(__xludf.DUMMYFUNCTION("GOOGLEFINANCE(A7313,""beta"")"),"#N/A")</f>
        <v>#N/A</v>
      </c>
    </row>
    <row r="7314">
      <c r="A7314" s="122" t="s">
        <v>15179</v>
      </c>
      <c r="B7314" s="123">
        <v>766704.0</v>
      </c>
      <c r="C7314" s="124" t="s">
        <v>15180</v>
      </c>
      <c r="D7314" s="125"/>
      <c r="E7314" s="126">
        <v>87.93</v>
      </c>
      <c r="F7314" s="127"/>
      <c r="G7314" s="127"/>
      <c r="H7314" s="127"/>
      <c r="I7314" s="128"/>
      <c r="K7314" s="105" t="str">
        <f>IFERROR(__xludf.DUMMYFUNCTION("if(A7314="""","""",substitute(SUBSTITUTE(index(importhtml(""http://finviz.com/quote.ashx?t=""&amp;A7314,""table"",10),7,2),""*"",""""),""-"",""0.00""))"),"Loading...")</f>
        <v>Loading...</v>
      </c>
      <c r="L7314" s="129">
        <v>4.8666538131E10</v>
      </c>
      <c r="M7314" s="99">
        <v>1.06</v>
      </c>
    </row>
    <row r="7315">
      <c r="A7315" s="122" t="s">
        <v>15181</v>
      </c>
      <c r="B7315" s="123">
        <v>1048477.0</v>
      </c>
      <c r="C7315" s="124" t="s">
        <v>15182</v>
      </c>
      <c r="D7315" s="125"/>
      <c r="E7315" s="126">
        <v>88.11</v>
      </c>
      <c r="F7315" s="127"/>
      <c r="G7315" s="127"/>
      <c r="H7315" s="127"/>
      <c r="I7315" s="128"/>
      <c r="K7315" s="105" t="str">
        <f>IFERROR(__xludf.DUMMYFUNCTION("if(A7315="""","""",substitute(SUBSTITUTE(index(importhtml(""http://finviz.com/quote.ashx?t=""&amp;A7315,""table"",10),7,2),""*"",""""),""-"",""0.00""))"),"Loading...")</f>
        <v>Loading...</v>
      </c>
      <c r="L7315" s="129">
        <v>1.6597113405E10</v>
      </c>
      <c r="M7315" s="99">
        <v>0.31</v>
      </c>
    </row>
    <row r="7316">
      <c r="A7316" s="122" t="s">
        <v>15183</v>
      </c>
      <c r="B7316" s="123">
        <v>1258602.0</v>
      </c>
      <c r="C7316" s="124" t="s">
        <v>15184</v>
      </c>
      <c r="D7316" s="125"/>
      <c r="E7316" s="126">
        <v>88.12</v>
      </c>
      <c r="F7316" s="127"/>
      <c r="G7316" s="127"/>
      <c r="H7316" s="127"/>
      <c r="I7316" s="128"/>
      <c r="K7316" s="105" t="str">
        <f>IFERROR(__xludf.DUMMYFUNCTION("if(A7316="""","""",substitute(SUBSTITUTE(index(importhtml(""http://finviz.com/quote.ashx?t=""&amp;A7316,""table"",10),7,2),""*"",""""),""-"",""0.00""))"),"Loading...")</f>
        <v>Loading...</v>
      </c>
      <c r="L7316" s="129">
        <v>3.288954853E9</v>
      </c>
      <c r="M7316" s="99">
        <v>0.86</v>
      </c>
    </row>
    <row r="7317">
      <c r="A7317" s="122" t="s">
        <v>15185</v>
      </c>
      <c r="B7317" s="123">
        <v>1756262.0</v>
      </c>
      <c r="C7317" s="124" t="s">
        <v>15186</v>
      </c>
      <c r="D7317" s="125"/>
      <c r="E7317" s="126">
        <v>88.2</v>
      </c>
      <c r="F7317" s="127"/>
      <c r="G7317" s="127"/>
      <c r="H7317" s="127"/>
      <c r="I7317" s="128"/>
      <c r="K7317" s="105" t="str">
        <f>IFERROR(__xludf.DUMMYFUNCTION("if(A7317="""","""",substitute(SUBSTITUTE(index(importhtml(""http://finviz.com/quote.ashx?t=""&amp;A7317,""table"",10),7,2),""*"",""""),""-"",""0.00""))"),"Loading...")</f>
        <v>Loading...</v>
      </c>
      <c r="L7317" s="129">
        <v>2.879526158E9</v>
      </c>
      <c r="M7317" s="99">
        <v>2.05</v>
      </c>
    </row>
    <row r="7318">
      <c r="A7318" s="122" t="s">
        <v>15187</v>
      </c>
      <c r="B7318" s="123">
        <v>1335258.0</v>
      </c>
      <c r="C7318" s="124" t="s">
        <v>15188</v>
      </c>
      <c r="D7318" s="125"/>
      <c r="E7318" s="126">
        <v>88.2</v>
      </c>
      <c r="F7318" s="127"/>
      <c r="G7318" s="127"/>
      <c r="H7318" s="127"/>
      <c r="I7318" s="128"/>
      <c r="K7318" s="105" t="str">
        <f>IFERROR(__xludf.DUMMYFUNCTION("if(A7318="""","""",substitute(SUBSTITUTE(index(importhtml(""http://finviz.com/quote.ashx?t=""&amp;A7318,""table"",10),7,2),""*"",""""),""-"",""0.00""))"),"Loading...")</f>
        <v>Loading...</v>
      </c>
      <c r="L7318" s="129">
        <v>2.0314690757E10</v>
      </c>
      <c r="M7318" s="99">
        <v>1.3</v>
      </c>
    </row>
    <row r="7319">
      <c r="A7319" s="122" t="s">
        <v>15189</v>
      </c>
      <c r="B7319" s="123">
        <v>1428875.0</v>
      </c>
      <c r="C7319" s="124" t="s">
        <v>15190</v>
      </c>
      <c r="D7319" s="125"/>
      <c r="E7319" s="126">
        <v>88.29</v>
      </c>
      <c r="F7319" s="127"/>
      <c r="G7319" s="127"/>
      <c r="H7319" s="127"/>
      <c r="I7319" s="128"/>
      <c r="K7319" s="105" t="str">
        <f>IFERROR(__xludf.DUMMYFUNCTION("if(A7319="""","""",substitute(SUBSTITUTE(index(importhtml(""http://finviz.com/quote.ashx?t=""&amp;A7319,""table"",10),7,2),""*"",""""),""-"",""0.00""))"),"Loading...")</f>
        <v>Loading...</v>
      </c>
      <c r="L7319" s="129" t="e">
        <v>#N/A</v>
      </c>
      <c r="M7319" s="99" t="str">
        <f>IFERROR(__xludf.DUMMYFUNCTION("GOOGLEFINANCE(A7319,""beta"")"),"#N/A")</f>
        <v>#N/A</v>
      </c>
    </row>
    <row r="7320">
      <c r="A7320" s="122" t="s">
        <v>15191</v>
      </c>
      <c r="B7320" s="123">
        <v>1877322.0</v>
      </c>
      <c r="C7320" s="124" t="s">
        <v>15192</v>
      </c>
      <c r="D7320" s="125"/>
      <c r="E7320" s="126">
        <v>88.42</v>
      </c>
      <c r="F7320" s="127"/>
      <c r="G7320" s="127"/>
      <c r="H7320" s="127"/>
      <c r="I7320" s="128"/>
      <c r="K7320" s="105" t="str">
        <f>IFERROR(__xludf.DUMMYFUNCTION("if(A7320="""","""",substitute(SUBSTITUTE(index(importhtml(""http://finviz.com/quote.ashx?t=""&amp;A7320,""table"",10),7,2),""*"",""""),""-"",""0.00""))"),"Loading...")</f>
        <v>Loading...</v>
      </c>
      <c r="L7320" s="129">
        <v>5.329167014E9</v>
      </c>
      <c r="M7320" s="99">
        <f>IFERROR(__xludf.DUMMYFUNCTION("GOOGLEFINANCE(A7320,""beta"")"),1.11)</f>
        <v>1.11</v>
      </c>
    </row>
    <row r="7321">
      <c r="A7321" s="122" t="s">
        <v>15193</v>
      </c>
      <c r="B7321" s="123">
        <v>1611647.0</v>
      </c>
      <c r="C7321" s="124" t="s">
        <v>15194</v>
      </c>
      <c r="D7321" s="125"/>
      <c r="E7321" s="126">
        <v>88.5</v>
      </c>
      <c r="F7321" s="127"/>
      <c r="G7321" s="127"/>
      <c r="H7321" s="127"/>
      <c r="I7321" s="128"/>
      <c r="K7321" s="105" t="str">
        <f>IFERROR(__xludf.DUMMYFUNCTION("if(A7321="""","""",substitute(SUBSTITUTE(index(importhtml(""http://finviz.com/quote.ashx?t=""&amp;A7321,""table"",10),7,2),""*"",""""),""-"",""0.00""))"),"Loading...")</f>
        <v>Loading...</v>
      </c>
      <c r="L7321" s="129">
        <v>4.26940815E9</v>
      </c>
      <c r="M7321" s="99">
        <v>1.18</v>
      </c>
    </row>
    <row r="7322">
      <c r="A7322" s="122" t="s">
        <v>15195</v>
      </c>
      <c r="B7322" s="123">
        <v>1050140.0</v>
      </c>
      <c r="C7322" s="124" t="s">
        <v>15196</v>
      </c>
      <c r="D7322" s="125"/>
      <c r="E7322" s="126">
        <v>88.81</v>
      </c>
      <c r="F7322" s="127"/>
      <c r="G7322" s="127"/>
      <c r="H7322" s="127"/>
      <c r="I7322" s="128"/>
      <c r="K7322" s="105" t="str">
        <f>IFERROR(__xludf.DUMMYFUNCTION("if(A7322="""","""",substitute(SUBSTITUTE(index(importhtml(""http://finviz.com/quote.ashx?t=""&amp;A7322,""table"",10),7,2),""*"",""""),""-"",""0.00""))"),"Loading...")</f>
        <v>Loading...</v>
      </c>
      <c r="L7322" s="129">
        <v>7.560114452E9</v>
      </c>
      <c r="M7322" s="99">
        <v>0.96</v>
      </c>
    </row>
    <row r="7323">
      <c r="A7323" s="122" t="s">
        <v>15197</v>
      </c>
      <c r="B7323" s="123">
        <v>1468328.0</v>
      </c>
      <c r="C7323" s="124" t="s">
        <v>15198</v>
      </c>
      <c r="D7323" s="125"/>
      <c r="E7323" s="126">
        <v>88.88</v>
      </c>
      <c r="F7323" s="127"/>
      <c r="G7323" s="127"/>
      <c r="H7323" s="127"/>
      <c r="I7323" s="128"/>
      <c r="K7323" s="105" t="str">
        <f>IFERROR(__xludf.DUMMYFUNCTION("if(A7323="""","""",substitute(SUBSTITUTE(index(importhtml(""http://finviz.com/quote.ashx?t=""&amp;A7323,""table"",10),7,2),""*"",""""),""-"",""0.00""))"),"Loading...")</f>
        <v>Loading...</v>
      </c>
      <c r="L7323" s="129">
        <v>1.441158047E9</v>
      </c>
      <c r="M7323" s="99">
        <v>0.95</v>
      </c>
    </row>
    <row r="7324">
      <c r="A7324" s="122" t="s">
        <v>15199</v>
      </c>
      <c r="B7324" s="123">
        <v>1219601.0</v>
      </c>
      <c r="C7324" s="124" t="s">
        <v>15200</v>
      </c>
      <c r="D7324" s="125"/>
      <c r="E7324" s="126">
        <v>89.04</v>
      </c>
      <c r="F7324" s="127"/>
      <c r="G7324" s="127"/>
      <c r="H7324" s="127"/>
      <c r="I7324" s="128"/>
      <c r="K7324" s="55" t="s">
        <v>15201</v>
      </c>
      <c r="L7324" s="129">
        <v>1.0742355566E10</v>
      </c>
      <c r="M7324" s="99">
        <v>0.96</v>
      </c>
    </row>
    <row r="7325">
      <c r="A7325" s="122" t="s">
        <v>15202</v>
      </c>
      <c r="B7325" s="123">
        <v>70318.0</v>
      </c>
      <c r="C7325" s="124" t="s">
        <v>15203</v>
      </c>
      <c r="D7325" s="125"/>
      <c r="E7325" s="126">
        <v>89.33</v>
      </c>
      <c r="F7325" s="127"/>
      <c r="G7325" s="127"/>
      <c r="H7325" s="127"/>
      <c r="I7325" s="128"/>
      <c r="K7325" s="105" t="str">
        <f>IFERROR(__xludf.DUMMYFUNCTION("if(A7325="""","""",substitute(SUBSTITUTE(index(importhtml(""http://finviz.com/quote.ashx?t=""&amp;A7325,""table"",10),7,2),""*"",""""),""-"",""0.00""))"),"Loading...")</f>
        <v>Loading...</v>
      </c>
      <c r="L7325" s="129">
        <v>9.071640345E9</v>
      </c>
      <c r="M7325" s="99">
        <v>2.1</v>
      </c>
    </row>
    <row r="7326">
      <c r="A7326" s="122" t="s">
        <v>15204</v>
      </c>
      <c r="B7326" s="123">
        <v>1404912.0</v>
      </c>
      <c r="C7326" s="124" t="s">
        <v>15205</v>
      </c>
      <c r="D7326" s="125"/>
      <c r="E7326" s="126">
        <v>89.52</v>
      </c>
      <c r="F7326" s="127"/>
      <c r="G7326" s="127"/>
      <c r="H7326" s="127"/>
      <c r="I7326" s="128"/>
      <c r="K7326" s="105" t="str">
        <f>IFERROR(__xludf.DUMMYFUNCTION("if(A7326="""","""",substitute(SUBSTITUTE(index(importhtml(""http://finviz.com/quote.ashx?t=""&amp;A7326,""table"",10),7,2),""*"",""""),""-"",""0.00""))"),"Loading...")</f>
        <v>Loading...</v>
      </c>
      <c r="L7326" s="129">
        <v>7.9225975853E10</v>
      </c>
      <c r="M7326" s="99">
        <v>1.6</v>
      </c>
    </row>
    <row r="7327">
      <c r="A7327" s="122" t="s">
        <v>15206</v>
      </c>
      <c r="B7327" s="123">
        <v>1560258.0</v>
      </c>
      <c r="C7327" s="124" t="s">
        <v>15207</v>
      </c>
      <c r="D7327" s="125"/>
      <c r="E7327" s="126">
        <v>89.7</v>
      </c>
      <c r="F7327" s="127"/>
      <c r="G7327" s="127"/>
      <c r="H7327" s="127"/>
      <c r="I7327" s="128"/>
      <c r="K7327" s="105" t="str">
        <f>IFERROR(__xludf.DUMMYFUNCTION("if(A7327="""","""",substitute(SUBSTITUTE(index(importhtml(""http://finviz.com/quote.ashx?t=""&amp;A7327,""table"",10),7,2),""*"",""""),""-"",""0.00""))"),"Loading...")</f>
        <v>Loading...</v>
      </c>
      <c r="L7327" s="129">
        <v>2.318469E8</v>
      </c>
      <c r="M7327" s="99">
        <f>IFERROR(__xludf.DUMMYFUNCTION("GOOGLEFINANCE(A7327,""beta"")"),0.3)</f>
        <v>0.3</v>
      </c>
    </row>
    <row r="7328">
      <c r="A7328" s="122" t="s">
        <v>15208</v>
      </c>
      <c r="B7328" s="123">
        <v>1467154.0</v>
      </c>
      <c r="C7328" s="124" t="s">
        <v>15209</v>
      </c>
      <c r="D7328" s="125"/>
      <c r="E7328" s="126">
        <v>89.8</v>
      </c>
      <c r="F7328" s="127"/>
      <c r="G7328" s="127"/>
      <c r="H7328" s="127"/>
      <c r="I7328" s="128"/>
      <c r="K7328" s="105" t="str">
        <f>IFERROR(__xludf.DUMMYFUNCTION("if(A7328="""","""",substitute(SUBSTITUTE(index(importhtml(""http://finviz.com/quote.ashx?t=""&amp;A7328,""table"",10),7,2),""*"",""""),""-"",""0.00""))"),"Loading...")</f>
        <v>Loading...</v>
      </c>
      <c r="L7328" s="129" t="e">
        <v>#N/A</v>
      </c>
      <c r="M7328" s="99" t="str">
        <f>IFERROR(__xludf.DUMMYFUNCTION("GOOGLEFINANCE(A7328,""beta"")"),"#N/A")</f>
        <v>#N/A</v>
      </c>
    </row>
    <row r="7329">
      <c r="A7329" s="122" t="s">
        <v>15210</v>
      </c>
      <c r="B7329" s="123">
        <v>819793.0</v>
      </c>
      <c r="C7329" s="124" t="s">
        <v>15211</v>
      </c>
      <c r="D7329" s="125"/>
      <c r="E7329" s="126">
        <v>89.85</v>
      </c>
      <c r="F7329" s="127"/>
      <c r="G7329" s="127"/>
      <c r="H7329" s="127"/>
      <c r="I7329" s="128"/>
      <c r="K7329" s="55" t="s">
        <v>12021</v>
      </c>
      <c r="L7329" s="129">
        <v>2.803319952E9</v>
      </c>
      <c r="M7329" s="99">
        <v>1.27</v>
      </c>
    </row>
    <row r="7330">
      <c r="A7330" s="122" t="s">
        <v>15212</v>
      </c>
      <c r="B7330" s="123">
        <v>29989.0</v>
      </c>
      <c r="C7330" s="124" t="s">
        <v>15213</v>
      </c>
      <c r="D7330" s="125"/>
      <c r="E7330" s="126">
        <v>89.96</v>
      </c>
      <c r="F7330" s="127"/>
      <c r="G7330" s="127"/>
      <c r="H7330" s="127"/>
      <c r="I7330" s="128"/>
      <c r="K7330" s="105" t="str">
        <f>IFERROR(__xludf.DUMMYFUNCTION("if(A7330="""","""",substitute(SUBSTITUTE(index(importhtml(""http://finviz.com/quote.ashx?t=""&amp;A7330,""table"",10),7,2),""*"",""""),""-"",""0.00""))"),"Loading...")</f>
        <v>Loading...</v>
      </c>
      <c r="L7330" s="129">
        <v>1.7806151454E10</v>
      </c>
      <c r="M7330" s="99">
        <v>0.97</v>
      </c>
    </row>
    <row r="7331">
      <c r="A7331" s="122" t="s">
        <v>15214</v>
      </c>
      <c r="B7331" s="123">
        <v>1533945.0</v>
      </c>
      <c r="C7331" s="124" t="s">
        <v>15215</v>
      </c>
      <c r="D7331" s="125"/>
      <c r="E7331" s="126">
        <v>90.0</v>
      </c>
      <c r="F7331" s="127"/>
      <c r="G7331" s="127"/>
      <c r="H7331" s="127"/>
      <c r="I7331" s="128"/>
      <c r="K7331" s="105" t="str">
        <f>IFERROR(__xludf.DUMMYFUNCTION("if(A7331="""","""",substitute(SUBSTITUTE(index(importhtml(""http://finviz.com/quote.ashx?t=""&amp;A7331,""table"",10),7,2),""*"",""""),""-"",""0.00""))"),"Loading...")</f>
        <v>Loading...</v>
      </c>
      <c r="L7331" s="129">
        <v>1.188537761E10</v>
      </c>
      <c r="M7331" s="99">
        <v>1.23</v>
      </c>
    </row>
    <row r="7332">
      <c r="A7332" s="122" t="s">
        <v>15216</v>
      </c>
      <c r="B7332" s="123">
        <v>868857.0</v>
      </c>
      <c r="C7332" s="124" t="s">
        <v>15217</v>
      </c>
      <c r="D7332" s="125"/>
      <c r="E7332" s="126">
        <v>90.24</v>
      </c>
      <c r="F7332" s="127"/>
      <c r="G7332" s="127"/>
      <c r="H7332" s="127"/>
      <c r="I7332" s="128"/>
      <c r="K7332" s="55" t="s">
        <v>6234</v>
      </c>
      <c r="L7332" s="129">
        <v>1.2274751325E10</v>
      </c>
      <c r="M7332" s="99">
        <v>1.24</v>
      </c>
    </row>
    <row r="7333">
      <c r="A7333" s="122" t="s">
        <v>15218</v>
      </c>
      <c r="B7333" s="123">
        <v>874766.0</v>
      </c>
      <c r="C7333" s="124" t="s">
        <v>15219</v>
      </c>
      <c r="D7333" s="125"/>
      <c r="E7333" s="126">
        <v>90.32</v>
      </c>
      <c r="F7333" s="127"/>
      <c r="G7333" s="127"/>
      <c r="H7333" s="127"/>
      <c r="I7333" s="128"/>
      <c r="K7333" s="105" t="str">
        <f>IFERROR(__xludf.DUMMYFUNCTION("if(A7333="""","""",substitute(SUBSTITUTE(index(importhtml(""http://finviz.com/quote.ashx?t=""&amp;A7333,""table"",10),7,2),""*"",""""),""-"",""0.00""))"),"Loading...")</f>
        <v>Loading...</v>
      </c>
      <c r="L7333" s="129">
        <v>2.7165528244E10</v>
      </c>
      <c r="M7333" s="99">
        <v>0.87</v>
      </c>
    </row>
    <row r="7334">
      <c r="A7334" s="122" t="s">
        <v>15220</v>
      </c>
      <c r="B7334" s="123">
        <v>931015.0</v>
      </c>
      <c r="C7334" s="124" t="s">
        <v>15221</v>
      </c>
      <c r="D7334" s="125"/>
      <c r="E7334" s="126">
        <v>90.44</v>
      </c>
      <c r="F7334" s="127"/>
      <c r="G7334" s="127"/>
      <c r="H7334" s="127"/>
      <c r="I7334" s="128"/>
      <c r="K7334" s="105" t="str">
        <f>IFERROR(__xludf.DUMMYFUNCTION("if(A7334="""","""",substitute(SUBSTITUTE(index(importhtml(""http://finviz.com/quote.ashx?t=""&amp;A7334,""table"",10),7,2),""*"",""""),""-"",""0.00""))"),"Loading...")</f>
        <v>Loading...</v>
      </c>
      <c r="L7334" s="129">
        <v>5.107391125E9</v>
      </c>
      <c r="M7334" s="99">
        <v>1.6</v>
      </c>
    </row>
    <row r="7335">
      <c r="A7335" s="122" t="s">
        <v>15222</v>
      </c>
      <c r="B7335" s="123">
        <v>1144519.0</v>
      </c>
      <c r="C7335" s="124" t="s">
        <v>15223</v>
      </c>
      <c r="D7335" s="125"/>
      <c r="E7335" s="126">
        <v>90.47</v>
      </c>
      <c r="F7335" s="127"/>
      <c r="G7335" s="127"/>
      <c r="H7335" s="127"/>
      <c r="I7335" s="128"/>
      <c r="K7335" s="138" t="s">
        <v>13259</v>
      </c>
      <c r="L7335" s="129">
        <v>1.314419649E10</v>
      </c>
      <c r="M7335" s="99">
        <v>0.63</v>
      </c>
    </row>
    <row r="7336">
      <c r="A7336" s="122" t="s">
        <v>15224</v>
      </c>
      <c r="B7336" s="123">
        <v>93556.0</v>
      </c>
      <c r="C7336" s="124" t="s">
        <v>15225</v>
      </c>
      <c r="D7336" s="125"/>
      <c r="E7336" s="126">
        <v>90.63</v>
      </c>
      <c r="F7336" s="127"/>
      <c r="G7336" s="127"/>
      <c r="H7336" s="127"/>
      <c r="I7336" s="128"/>
      <c r="K7336" s="105" t="str">
        <f>IFERROR(__xludf.DUMMYFUNCTION("if(A7336="""","""",substitute(SUBSTITUTE(index(importhtml(""http://finviz.com/quote.ashx?t=""&amp;A7336,""table"",10),7,2),""*"",""""),""-"",""0.00""))"),"Loading...")</f>
        <v>Loading...</v>
      </c>
      <c r="L7336" s="129">
        <v>1.389461176E10</v>
      </c>
      <c r="M7336" s="99">
        <v>1.35</v>
      </c>
    </row>
    <row r="7337">
      <c r="A7337" s="122" t="s">
        <v>15226</v>
      </c>
      <c r="B7337" s="123">
        <v>1400810.0</v>
      </c>
      <c r="C7337" s="124" t="s">
        <v>15227</v>
      </c>
      <c r="D7337" s="125"/>
      <c r="E7337" s="126">
        <v>90.87</v>
      </c>
      <c r="F7337" s="127"/>
      <c r="G7337" s="127"/>
      <c r="H7337" s="127"/>
      <c r="I7337" s="128"/>
      <c r="K7337" s="105" t="str">
        <f>IFERROR(__xludf.DUMMYFUNCTION("if(A7337="""","""",substitute(SUBSTITUTE(index(importhtml(""http://finviz.com/quote.ashx?t=""&amp;A7337,""table"",10),7,2),""*"",""""),""-"",""0.00""))"),"Loading...")</f>
        <v>Loading...</v>
      </c>
      <c r="L7337" s="129">
        <v>8.71278124E8</v>
      </c>
      <c r="M7337" s="99">
        <v>1.11</v>
      </c>
    </row>
    <row r="7338">
      <c r="A7338" s="122" t="s">
        <v>15228</v>
      </c>
      <c r="B7338" s="123">
        <v>1781335.0</v>
      </c>
      <c r="C7338" s="124" t="s">
        <v>15229</v>
      </c>
      <c r="D7338" s="125"/>
      <c r="E7338" s="126">
        <v>90.97</v>
      </c>
      <c r="F7338" s="127"/>
      <c r="G7338" s="127"/>
      <c r="H7338" s="127"/>
      <c r="I7338" s="128"/>
      <c r="K7338" s="105" t="str">
        <f>IFERROR(__xludf.DUMMYFUNCTION("if(A7338="""","""",substitute(SUBSTITUTE(index(importhtml(""http://finviz.com/quote.ashx?t=""&amp;A7338,""table"",10),7,2),""*"",""""),""-"",""0.00""))"),"Loading...")</f>
        <v>Loading...</v>
      </c>
      <c r="L7338" s="129">
        <v>3.7230273535E10</v>
      </c>
      <c r="M7338" s="99">
        <v>0.9</v>
      </c>
    </row>
    <row r="7339">
      <c r="A7339" s="122" t="s">
        <v>15230</v>
      </c>
      <c r="B7339" s="123">
        <v>75594.0</v>
      </c>
      <c r="C7339" s="124" t="s">
        <v>15231</v>
      </c>
      <c r="D7339" s="125"/>
      <c r="E7339" s="126">
        <v>91.0</v>
      </c>
      <c r="F7339" s="127"/>
      <c r="G7339" s="127"/>
      <c r="H7339" s="127"/>
      <c r="I7339" s="128"/>
      <c r="K7339" s="105" t="str">
        <f>IFERROR(__xludf.DUMMYFUNCTION("if(A7339="""","""",substitute(SUBSTITUTE(index(importhtml(""http://finviz.com/quote.ashx?t=""&amp;A7339,""table"",10),7,2),""*"",""""),""-"",""0.00""))"),"Loading...")</f>
        <v>Loading...</v>
      </c>
      <c r="L7339" s="129">
        <v>2330920.0</v>
      </c>
      <c r="M7339" s="99">
        <v>0.37</v>
      </c>
    </row>
    <row r="7340">
      <c r="A7340" s="122" t="s">
        <v>15232</v>
      </c>
      <c r="B7340" s="123">
        <v>1428439.0</v>
      </c>
      <c r="C7340" s="124" t="s">
        <v>15233</v>
      </c>
      <c r="D7340" s="125"/>
      <c r="E7340" s="126">
        <v>91.03</v>
      </c>
      <c r="F7340" s="127"/>
      <c r="G7340" s="127"/>
      <c r="H7340" s="127"/>
      <c r="I7340" s="128"/>
      <c r="K7340" s="105" t="str">
        <f>IFERROR(__xludf.DUMMYFUNCTION("if(A7340="""","""",substitute(SUBSTITUTE(index(importhtml(""http://finviz.com/quote.ashx?t=""&amp;A7340,""table"",10),7,2),""*"",""""),""-"",""0.00""))"),"Loading...")</f>
        <v>Loading...</v>
      </c>
      <c r="L7340" s="129">
        <v>1.29713925E10</v>
      </c>
      <c r="M7340" s="99">
        <v>1.8</v>
      </c>
    </row>
    <row r="7341">
      <c r="A7341" s="122" t="s">
        <v>15234</v>
      </c>
      <c r="B7341" s="123">
        <v>883984.0</v>
      </c>
      <c r="C7341" s="124" t="s">
        <v>15235</v>
      </c>
      <c r="D7341" s="125"/>
      <c r="E7341" s="126">
        <v>91.04</v>
      </c>
      <c r="F7341" s="127"/>
      <c r="G7341" s="127"/>
      <c r="H7341" s="127"/>
      <c r="I7341" s="128"/>
      <c r="K7341" s="105" t="str">
        <f>IFERROR(__xludf.DUMMYFUNCTION("if(A7341="""","""",substitute(SUBSTITUTE(index(importhtml(""http://finviz.com/quote.ashx?t=""&amp;A7341,""table"",10),7,2),""*"",""""),""-"",""0.00""))"),"Loading...")</f>
        <v>Loading...</v>
      </c>
      <c r="L7341" s="129">
        <v>2.197711994E9</v>
      </c>
      <c r="M7341" s="99">
        <v>0.65</v>
      </c>
    </row>
    <row r="7342">
      <c r="A7342" s="122" t="s">
        <v>15236</v>
      </c>
      <c r="B7342" s="123">
        <v>94049.0</v>
      </c>
      <c r="C7342" s="124" t="s">
        <v>15237</v>
      </c>
      <c r="D7342" s="125"/>
      <c r="E7342" s="126">
        <v>91.05</v>
      </c>
      <c r="F7342" s="127"/>
      <c r="G7342" s="127"/>
      <c r="H7342" s="127"/>
      <c r="I7342" s="128"/>
      <c r="K7342" s="105" t="str">
        <f>IFERROR(__xludf.DUMMYFUNCTION("if(A7342="""","""",substitute(SUBSTITUTE(index(importhtml(""http://finviz.com/quote.ashx?t=""&amp;A7342,""table"",10),7,2),""*"",""""),""-"",""0.00""))"),"Loading...")</f>
        <v>Loading...</v>
      </c>
      <c r="L7342" s="129">
        <v>2.036549106E9</v>
      </c>
      <c r="M7342" s="99">
        <v>0.84</v>
      </c>
    </row>
    <row r="7343">
      <c r="A7343" s="122" t="s">
        <v>15238</v>
      </c>
      <c r="B7343" s="123">
        <v>1047862.0</v>
      </c>
      <c r="C7343" s="124" t="s">
        <v>15239</v>
      </c>
      <c r="D7343" s="125"/>
      <c r="E7343" s="126">
        <v>91.1</v>
      </c>
      <c r="F7343" s="127"/>
      <c r="G7343" s="127"/>
      <c r="H7343" s="127"/>
      <c r="I7343" s="128"/>
      <c r="K7343" s="138" t="s">
        <v>15058</v>
      </c>
      <c r="L7343" s="129">
        <v>3.1449514143E10</v>
      </c>
      <c r="M7343" s="99">
        <v>0.37</v>
      </c>
    </row>
    <row r="7344">
      <c r="A7344" s="122" t="s">
        <v>15240</v>
      </c>
      <c r="B7344" s="123">
        <v>1262976.0</v>
      </c>
      <c r="C7344" s="124" t="s">
        <v>15241</v>
      </c>
      <c r="D7344" s="125"/>
      <c r="E7344" s="126">
        <v>91.36</v>
      </c>
      <c r="F7344" s="127"/>
      <c r="G7344" s="127"/>
      <c r="H7344" s="127"/>
      <c r="I7344" s="128"/>
      <c r="K7344" s="105" t="str">
        <f>IFERROR(__xludf.DUMMYFUNCTION("if(A7344="""","""",substitute(SUBSTITUTE(index(importhtml(""http://finviz.com/quote.ashx?t=""&amp;A7344,""table"",10),7,2),""*"",""""),""-"",""0.00""))"),"Loading...")</f>
        <v>Loading...</v>
      </c>
      <c r="L7344" s="129">
        <v>2.429265157E9</v>
      </c>
      <c r="M7344" s="99">
        <v>1.93</v>
      </c>
    </row>
    <row r="7345">
      <c r="A7345" s="122" t="s">
        <v>15242</v>
      </c>
      <c r="B7345" s="123">
        <v>1674862.0</v>
      </c>
      <c r="C7345" s="124" t="s">
        <v>15243</v>
      </c>
      <c r="D7345" s="125"/>
      <c r="E7345" s="126">
        <v>91.56</v>
      </c>
      <c r="F7345" s="127"/>
      <c r="G7345" s="127"/>
      <c r="H7345" s="127"/>
      <c r="I7345" s="128"/>
      <c r="K7345" s="55" t="s">
        <v>12929</v>
      </c>
      <c r="L7345" s="129">
        <v>4.586696246E9</v>
      </c>
      <c r="M7345" s="99">
        <v>0.93</v>
      </c>
    </row>
    <row r="7346">
      <c r="A7346" s="122" t="s">
        <v>15244</v>
      </c>
      <c r="B7346" s="123">
        <v>1581285.0</v>
      </c>
      <c r="C7346" s="124" t="s">
        <v>15245</v>
      </c>
      <c r="D7346" s="125"/>
      <c r="E7346" s="126">
        <v>91.75</v>
      </c>
      <c r="F7346" s="127"/>
      <c r="G7346" s="127"/>
      <c r="H7346" s="127"/>
      <c r="I7346" s="128"/>
      <c r="K7346" s="105" t="str">
        <f>IFERROR(__xludf.DUMMYFUNCTION("if(A7346="""","""",substitute(SUBSTITUTE(index(importhtml(""http://finviz.com/quote.ashx?t=""&amp;A7346,""table"",10),7,2),""*"",""""),""-"",""0.00""))"),"Loading...")</f>
        <v>Loading...</v>
      </c>
      <c r="L7346" s="129">
        <v>6.365064899E9</v>
      </c>
      <c r="M7346" s="99">
        <f>IFERROR(__xludf.DUMMYFUNCTION("GOOGLEFINANCE(A7346,""beta"")"),1.24)</f>
        <v>1.24</v>
      </c>
    </row>
    <row r="7347">
      <c r="A7347" s="122" t="s">
        <v>15246</v>
      </c>
      <c r="B7347" s="123">
        <v>1192448.0</v>
      </c>
      <c r="C7347" s="124" t="s">
        <v>15247</v>
      </c>
      <c r="D7347" s="125"/>
      <c r="E7347" s="126">
        <v>91.94</v>
      </c>
      <c r="F7347" s="127"/>
      <c r="G7347" s="127"/>
      <c r="H7347" s="127"/>
      <c r="I7347" s="128"/>
      <c r="K7347" s="105" t="str">
        <f>IFERROR(__xludf.DUMMYFUNCTION("if(A7347="""","""",substitute(SUBSTITUTE(index(importhtml(""http://finviz.com/quote.ashx?t=""&amp;A7347,""table"",10),7,2),""*"",""""),""-"",""0.00""))"),"Loading...")</f>
        <v>Loading...</v>
      </c>
      <c r="L7347" s="129">
        <v>4.486632584E9</v>
      </c>
      <c r="M7347" s="99">
        <v>1.11</v>
      </c>
    </row>
    <row r="7348">
      <c r="A7348" s="122" t="s">
        <v>15248</v>
      </c>
      <c r="B7348" s="123">
        <v>101829.0</v>
      </c>
      <c r="C7348" s="124" t="s">
        <v>15249</v>
      </c>
      <c r="D7348" s="125"/>
      <c r="E7348" s="126">
        <v>91.98</v>
      </c>
      <c r="F7348" s="127"/>
      <c r="G7348" s="127"/>
      <c r="H7348" s="127"/>
      <c r="I7348" s="128"/>
      <c r="K7348" s="105" t="str">
        <f>IFERROR(__xludf.DUMMYFUNCTION("if(A7348="""","""",substitute(SUBSTITUTE(index(importhtml(""http://finviz.com/quote.ashx?t=""&amp;A7348,""table"",10),7,2),""*"",""""),""-"",""0.00""))"),"Loading...")</f>
        <v>Loading...</v>
      </c>
      <c r="L7348" s="129">
        <v>1.32258138806E11</v>
      </c>
      <c r="M7348" s="99">
        <v>1.02</v>
      </c>
    </row>
    <row r="7349">
      <c r="A7349" s="122" t="s">
        <v>15250</v>
      </c>
      <c r="B7349" s="123">
        <v>1057877.0</v>
      </c>
      <c r="C7349" s="124" t="s">
        <v>15251</v>
      </c>
      <c r="D7349" s="125"/>
      <c r="E7349" s="126">
        <v>92.17</v>
      </c>
      <c r="F7349" s="127"/>
      <c r="G7349" s="127"/>
      <c r="H7349" s="127"/>
      <c r="I7349" s="128"/>
      <c r="K7349" s="105" t="str">
        <f>IFERROR(__xludf.DUMMYFUNCTION("if(A7349="""","""",substitute(SUBSTITUTE(index(importhtml(""http://finviz.com/quote.ashx?t=""&amp;A7349,""table"",10),7,2),""*"",""""),""-"",""0.00""))"),"Loading...")</f>
        <v>Loading...</v>
      </c>
      <c r="L7349" s="129">
        <v>4.665205656E9</v>
      </c>
      <c r="M7349" s="99">
        <v>0.57</v>
      </c>
    </row>
    <row r="7350">
      <c r="A7350" s="122" t="s">
        <v>15252</v>
      </c>
      <c r="B7350" s="123">
        <v>1047335.0</v>
      </c>
      <c r="C7350" s="124" t="s">
        <v>15253</v>
      </c>
      <c r="D7350" s="125"/>
      <c r="E7350" s="126">
        <v>92.38</v>
      </c>
      <c r="F7350" s="127"/>
      <c r="G7350" s="127"/>
      <c r="H7350" s="127"/>
      <c r="I7350" s="128"/>
      <c r="K7350" s="105" t="str">
        <f>IFERROR(__xludf.DUMMYFUNCTION("if(A7350="""","""",substitute(SUBSTITUTE(index(importhtml(""http://finviz.com/quote.ashx?t=""&amp;A7350,""table"",10),7,2),""*"",""""),""-"",""0.00""))"),"Loading...")</f>
        <v>Loading...</v>
      </c>
      <c r="L7350" s="129">
        <v>1.415681886E9</v>
      </c>
      <c r="M7350" s="99">
        <v>0.35</v>
      </c>
    </row>
    <row r="7351">
      <c r="A7351" s="122" t="s">
        <v>15254</v>
      </c>
      <c r="B7351" s="123">
        <v>1062579.0</v>
      </c>
      <c r="C7351" s="124" t="s">
        <v>15255</v>
      </c>
      <c r="D7351" s="125"/>
      <c r="E7351" s="126">
        <v>92.44</v>
      </c>
      <c r="F7351" s="127"/>
      <c r="G7351" s="127"/>
      <c r="H7351" s="127"/>
      <c r="I7351" s="128"/>
      <c r="K7351" s="55" t="s">
        <v>14291</v>
      </c>
      <c r="L7351" s="129">
        <v>1.0807169929E10</v>
      </c>
      <c r="M7351" s="99">
        <v>0.69</v>
      </c>
    </row>
    <row r="7352">
      <c r="A7352" s="122" t="s">
        <v>15256</v>
      </c>
      <c r="B7352" s="123">
        <v>1776985.0</v>
      </c>
      <c r="C7352" s="124" t="s">
        <v>15257</v>
      </c>
      <c r="D7352" s="125"/>
      <c r="E7352" s="126">
        <v>92.65</v>
      </c>
      <c r="F7352" s="127"/>
      <c r="G7352" s="127"/>
      <c r="H7352" s="127"/>
      <c r="I7352" s="128"/>
      <c r="K7352" s="105" t="str">
        <f>IFERROR(__xludf.DUMMYFUNCTION("if(A7352="""","""",substitute(SUBSTITUTE(index(importhtml(""http://finviz.com/quote.ashx?t=""&amp;A7352,""table"",10),7,2),""*"",""""),""-"",""0.00""))"),"Loading...")</f>
        <v>Loading...</v>
      </c>
      <c r="L7352" s="129">
        <v>2.2024332172E10</v>
      </c>
      <c r="M7352" s="99">
        <v>0.25</v>
      </c>
    </row>
    <row r="7353">
      <c r="A7353" s="122" t="s">
        <v>15258</v>
      </c>
      <c r="B7353" s="123">
        <v>1579428.0</v>
      </c>
      <c r="C7353" s="124" t="s">
        <v>15259</v>
      </c>
      <c r="D7353" s="125"/>
      <c r="E7353" s="126">
        <v>92.82</v>
      </c>
      <c r="F7353" s="127"/>
      <c r="G7353" s="127"/>
      <c r="H7353" s="127"/>
      <c r="I7353" s="128"/>
      <c r="K7353" s="105" t="str">
        <f>IFERROR(__xludf.DUMMYFUNCTION("if(A7353="""","""",substitute(SUBSTITUTE(index(importhtml(""http://finviz.com/quote.ashx?t=""&amp;A7353,""table"",10),7,2),""*"",""""),""-"",""0.00""))"),"Loading...")</f>
        <v>Loading...</v>
      </c>
      <c r="L7353" s="129">
        <v>4.392200616E9</v>
      </c>
      <c r="M7353" s="99">
        <v>1.21</v>
      </c>
    </row>
    <row r="7354">
      <c r="A7354" s="122" t="s">
        <v>15260</v>
      </c>
      <c r="B7354" s="123">
        <v>1489393.0</v>
      </c>
      <c r="C7354" s="124" t="s">
        <v>15155</v>
      </c>
      <c r="D7354" s="125"/>
      <c r="E7354" s="126">
        <v>92.86</v>
      </c>
      <c r="F7354" s="127"/>
      <c r="G7354" s="127"/>
      <c r="H7354" s="127"/>
      <c r="I7354" s="128"/>
      <c r="K7354" s="105" t="str">
        <f>IFERROR(__xludf.DUMMYFUNCTION("if(A7354="""","""",substitute(SUBSTITUTE(index(importhtml(""http://finviz.com/quote.ashx?t=""&amp;A7354,""table"",10),7,2),""*"",""""),""-"",""0.00""))"),"Loading...")</f>
        <v>Loading...</v>
      </c>
      <c r="L7354" s="129">
        <v>3.0120236945E10</v>
      </c>
      <c r="M7354" s="99">
        <v>1.15</v>
      </c>
    </row>
    <row r="7355">
      <c r="A7355" s="122" t="s">
        <v>15261</v>
      </c>
      <c r="B7355" s="123">
        <v>1466593.0</v>
      </c>
      <c r="C7355" s="124" t="s">
        <v>15262</v>
      </c>
      <c r="D7355" s="125"/>
      <c r="E7355" s="126">
        <v>92.88</v>
      </c>
      <c r="F7355" s="127"/>
      <c r="G7355" s="127"/>
      <c r="H7355" s="127"/>
      <c r="I7355" s="128"/>
      <c r="K7355" s="105" t="str">
        <f>IFERROR(__xludf.DUMMYFUNCTION("if(A7355="""","""",substitute(SUBSTITUTE(index(importhtml(""http://finviz.com/quote.ashx?t=""&amp;A7355,""table"",10),7,2),""*"",""""),""-"",""0.00""))"),"Loading...")</f>
        <v>Loading...</v>
      </c>
      <c r="L7355" s="129">
        <v>3.874072054E9</v>
      </c>
      <c r="M7355" s="99">
        <v>0.58</v>
      </c>
    </row>
    <row r="7356">
      <c r="A7356" s="122" t="s">
        <v>15263</v>
      </c>
      <c r="B7356" s="123">
        <v>1413329.0</v>
      </c>
      <c r="C7356" s="124" t="s">
        <v>15264</v>
      </c>
      <c r="D7356" s="125"/>
      <c r="E7356" s="126">
        <v>92.99</v>
      </c>
      <c r="F7356" s="127"/>
      <c r="G7356" s="127"/>
      <c r="H7356" s="127"/>
      <c r="I7356" s="128"/>
      <c r="K7356" s="138" t="s">
        <v>15265</v>
      </c>
      <c r="L7356" s="129">
        <v>1.44358230623E11</v>
      </c>
      <c r="M7356" s="99">
        <v>0.63</v>
      </c>
    </row>
    <row r="7357">
      <c r="A7357" s="122" t="s">
        <v>15266</v>
      </c>
      <c r="B7357" s="123">
        <v>829224.0</v>
      </c>
      <c r="C7357" s="124" t="s">
        <v>15267</v>
      </c>
      <c r="D7357" s="125"/>
      <c r="E7357" s="126">
        <v>92.99</v>
      </c>
      <c r="F7357" s="127"/>
      <c r="G7357" s="127"/>
      <c r="H7357" s="127"/>
      <c r="I7357" s="128"/>
      <c r="K7357" s="105" t="str">
        <f>IFERROR(__xludf.DUMMYFUNCTION("if(A7357="""","""",substitute(SUBSTITUTE(index(importhtml(""http://finviz.com/quote.ashx?t=""&amp;A7357,""table"",10),7,2),""*"",""""),""-"",""0.00""))"),"Loading...")</f>
        <v>Loading...</v>
      </c>
      <c r="L7357" s="129">
        <v>1.05283182591E11</v>
      </c>
      <c r="M7357" s="99">
        <v>0.99</v>
      </c>
    </row>
    <row r="7358">
      <c r="A7358" s="122" t="s">
        <v>15268</v>
      </c>
      <c r="B7358" s="123">
        <v>893691.0</v>
      </c>
      <c r="C7358" s="124" t="s">
        <v>15269</v>
      </c>
      <c r="D7358" s="125"/>
      <c r="E7358" s="126">
        <v>93.06</v>
      </c>
      <c r="F7358" s="127"/>
      <c r="G7358" s="127"/>
      <c r="H7358" s="127"/>
      <c r="I7358" s="128"/>
      <c r="K7358" s="105" t="str">
        <f>IFERROR(__xludf.DUMMYFUNCTION("if(A7358="""","""",substitute(SUBSTITUTE(index(importhtml(""http://finviz.com/quote.ashx?t=""&amp;A7358,""table"",10),7,2),""*"",""""),""-"",""0.00""))"),"Loading...")</f>
        <v>Loading...</v>
      </c>
      <c r="L7358" s="129">
        <v>2.038556486E9</v>
      </c>
      <c r="M7358" s="99">
        <v>1.55</v>
      </c>
    </row>
    <row r="7359">
      <c r="A7359" s="122" t="s">
        <v>15270</v>
      </c>
      <c r="B7359" s="123">
        <v>1576940.0</v>
      </c>
      <c r="C7359" s="124" t="s">
        <v>15271</v>
      </c>
      <c r="D7359" s="125"/>
      <c r="E7359" s="126">
        <v>93.15</v>
      </c>
      <c r="F7359" s="127"/>
      <c r="G7359" s="127"/>
      <c r="H7359" s="127"/>
      <c r="I7359" s="128"/>
      <c r="K7359" s="55" t="s">
        <v>9644</v>
      </c>
      <c r="L7359" s="129">
        <v>2.959804969E9</v>
      </c>
      <c r="M7359" s="99">
        <v>1.72</v>
      </c>
    </row>
    <row r="7360">
      <c r="A7360" s="122" t="s">
        <v>15272</v>
      </c>
      <c r="B7360" s="123">
        <v>1745916.0</v>
      </c>
      <c r="C7360" s="124" t="s">
        <v>15273</v>
      </c>
      <c r="D7360" s="125"/>
      <c r="E7360" s="126">
        <v>93.24</v>
      </c>
      <c r="F7360" s="127"/>
      <c r="G7360" s="127"/>
      <c r="H7360" s="127"/>
      <c r="I7360" s="128"/>
      <c r="K7360" s="105" t="str">
        <f>IFERROR(__xludf.DUMMYFUNCTION("if(A7360="""","""",substitute(SUBSTITUTE(index(importhtml(""http://finviz.com/quote.ashx?t=""&amp;A7360,""table"",10),7,2),""*"",""""),""-"",""0.00""))"),"Loading...")</f>
        <v>Loading...</v>
      </c>
      <c r="L7360" s="129">
        <v>4.655076823E9</v>
      </c>
      <c r="M7360" s="99">
        <v>1.7</v>
      </c>
    </row>
    <row r="7361">
      <c r="A7361" s="122" t="s">
        <v>15274</v>
      </c>
      <c r="B7361" s="123">
        <v>927971.0</v>
      </c>
      <c r="C7361" s="124" t="s">
        <v>15275</v>
      </c>
      <c r="D7361" s="125"/>
      <c r="E7361" s="126">
        <v>93.47</v>
      </c>
      <c r="F7361" s="127"/>
      <c r="G7361" s="127"/>
      <c r="H7361" s="127"/>
      <c r="I7361" s="128"/>
      <c r="K7361" s="55" t="s">
        <v>15276</v>
      </c>
      <c r="L7361" s="129">
        <v>6.7808877943E10</v>
      </c>
      <c r="M7361" s="99">
        <v>1.15</v>
      </c>
    </row>
    <row r="7362">
      <c r="A7362" s="122" t="s">
        <v>15277</v>
      </c>
      <c r="B7362" s="123">
        <v>1015328.0</v>
      </c>
      <c r="C7362" s="124" t="s">
        <v>15278</v>
      </c>
      <c r="D7362" s="125"/>
      <c r="E7362" s="126">
        <v>93.49</v>
      </c>
      <c r="F7362" s="127"/>
      <c r="G7362" s="127"/>
      <c r="H7362" s="127"/>
      <c r="I7362" s="128"/>
      <c r="K7362" s="105" t="str">
        <f>IFERROR(__xludf.DUMMYFUNCTION("if(A7362="""","""",substitute(SUBSTITUTE(index(importhtml(""http://finviz.com/quote.ashx?t=""&amp;A7362,""table"",10),7,2),""*"",""""),""-"",""0.00""))"),"Loading...")</f>
        <v>Loading...</v>
      </c>
      <c r="L7362" s="129">
        <v>5.724995579E9</v>
      </c>
      <c r="M7362" s="99">
        <v>1.22</v>
      </c>
    </row>
    <row r="7363">
      <c r="A7363" s="122" t="s">
        <v>15279</v>
      </c>
      <c r="B7363" s="123">
        <v>890564.0</v>
      </c>
      <c r="C7363" s="124" t="s">
        <v>15280</v>
      </c>
      <c r="D7363" s="125"/>
      <c r="E7363" s="126">
        <v>93.62</v>
      </c>
      <c r="F7363" s="127"/>
      <c r="G7363" s="127"/>
      <c r="H7363" s="127"/>
      <c r="I7363" s="128"/>
      <c r="K7363" s="105" t="str">
        <f>IFERROR(__xludf.DUMMYFUNCTION("if(A7363="""","""",substitute(SUBSTITUTE(index(importhtml(""http://finviz.com/quote.ashx?t=""&amp;A7363,""table"",10),7,2),""*"",""""),""-"",""0.00""))"),"Loading...")</f>
        <v>Loading...</v>
      </c>
      <c r="L7363" s="129">
        <v>4.418864129E9</v>
      </c>
      <c r="M7363" s="99">
        <v>1.5</v>
      </c>
    </row>
    <row r="7364">
      <c r="A7364" s="122" t="s">
        <v>15281</v>
      </c>
      <c r="B7364" s="123">
        <v>737758.0</v>
      </c>
      <c r="C7364" s="124" t="s">
        <v>15282</v>
      </c>
      <c r="D7364" s="125"/>
      <c r="E7364" s="126">
        <v>93.94</v>
      </c>
      <c r="F7364" s="127"/>
      <c r="G7364" s="127"/>
      <c r="H7364" s="127"/>
      <c r="I7364" s="128"/>
      <c r="K7364" s="105" t="str">
        <f>IFERROR(__xludf.DUMMYFUNCTION("if(A7364="""","""",substitute(SUBSTITUTE(index(importhtml(""http://finviz.com/quote.ashx?t=""&amp;A7364,""table"",10),7,2),""*"",""""),""-"",""0.00""))"),"Loading...")</f>
        <v>Loading...</v>
      </c>
      <c r="L7364" s="129">
        <v>9.757942601E9</v>
      </c>
      <c r="M7364" s="99">
        <v>0.75</v>
      </c>
    </row>
    <row r="7365">
      <c r="A7365" s="122" t="s">
        <v>15283</v>
      </c>
      <c r="B7365" s="123">
        <v>32604.0</v>
      </c>
      <c r="C7365" s="124" t="s">
        <v>15284</v>
      </c>
      <c r="D7365" s="125"/>
      <c r="E7365" s="126">
        <v>93.98</v>
      </c>
      <c r="F7365" s="127"/>
      <c r="G7365" s="127"/>
      <c r="H7365" s="127"/>
      <c r="I7365" s="128"/>
      <c r="K7365" s="55" t="s">
        <v>11553</v>
      </c>
      <c r="L7365" s="129">
        <v>5.3711789846E10</v>
      </c>
      <c r="M7365" s="99">
        <v>1.34</v>
      </c>
    </row>
    <row r="7366">
      <c r="A7366" s="122" t="s">
        <v>15285</v>
      </c>
      <c r="B7366" s="123">
        <v>1445305.0</v>
      </c>
      <c r="C7366" s="124" t="s">
        <v>15286</v>
      </c>
      <c r="D7366" s="125"/>
      <c r="E7366" s="126">
        <v>94.0</v>
      </c>
      <c r="F7366" s="127"/>
      <c r="G7366" s="127"/>
      <c r="H7366" s="127"/>
      <c r="I7366" s="128"/>
      <c r="K7366" s="55" t="s">
        <v>1034</v>
      </c>
      <c r="L7366" s="129">
        <v>5.08051576E9</v>
      </c>
      <c r="M7366" s="99">
        <v>1.08</v>
      </c>
    </row>
    <row r="7367">
      <c r="A7367" s="122" t="s">
        <v>15287</v>
      </c>
      <c r="B7367" s="123">
        <v>724004.0</v>
      </c>
      <c r="C7367" s="124" t="s">
        <v>15288</v>
      </c>
      <c r="D7367" s="125"/>
      <c r="E7367" s="126">
        <v>94.0</v>
      </c>
      <c r="F7367" s="127"/>
      <c r="G7367" s="127"/>
      <c r="H7367" s="127"/>
      <c r="I7367" s="128"/>
      <c r="K7367" s="105" t="str">
        <f>IFERROR(__xludf.DUMMYFUNCTION("if(A7367="""","""",substitute(SUBSTITUTE(index(importhtml(""http://finviz.com/quote.ashx?t=""&amp;A7367,""table"",10),7,2),""*"",""""),""-"",""0.00""))"),"Loading...")</f>
        <v>Loading...</v>
      </c>
      <c r="L7367" s="129">
        <v>5.0682215E8</v>
      </c>
      <c r="M7367" s="99">
        <v>0.79</v>
      </c>
    </row>
    <row r="7368">
      <c r="A7368" s="122" t="s">
        <v>15289</v>
      </c>
      <c r="B7368" s="123">
        <v>1169483.0</v>
      </c>
      <c r="C7368" s="124" t="s">
        <v>15290</v>
      </c>
      <c r="D7368" s="125"/>
      <c r="E7368" s="126">
        <v>94.0</v>
      </c>
      <c r="F7368" s="127"/>
      <c r="G7368" s="127"/>
      <c r="H7368" s="127"/>
      <c r="I7368" s="128"/>
      <c r="K7368" s="105" t="str">
        <f>IFERROR(__xludf.DUMMYFUNCTION("if(A7368="""","""",substitute(SUBSTITUTE(index(importhtml(""http://finviz.com/quote.ashx?t=""&amp;A7368,""table"",10),7,2),""*"",""""),""-"",""0.00""))"),"Loading...")</f>
        <v>Loading...</v>
      </c>
      <c r="L7368" s="129" t="e">
        <v>#N/A</v>
      </c>
      <c r="M7368" s="99">
        <v>0.28</v>
      </c>
    </row>
    <row r="7369">
      <c r="A7369" s="122" t="s">
        <v>15291</v>
      </c>
      <c r="B7369" s="123">
        <v>1677576.0</v>
      </c>
      <c r="C7369" s="124" t="s">
        <v>15292</v>
      </c>
      <c r="D7369" s="125"/>
      <c r="E7369" s="126">
        <v>94.35</v>
      </c>
      <c r="F7369" s="127"/>
      <c r="G7369" s="127"/>
      <c r="H7369" s="127"/>
      <c r="I7369" s="128"/>
      <c r="K7369" s="105" t="str">
        <f>IFERROR(__xludf.DUMMYFUNCTION("if(A7369="""","""",substitute(SUBSTITUTE(index(importhtml(""http://finviz.com/quote.ashx?t=""&amp;A7369,""table"",10),7,2),""*"",""""),""-"",""0.00""))"),"Loading...")</f>
        <v>Loading...</v>
      </c>
      <c r="L7369" s="129">
        <v>2.645557917E9</v>
      </c>
      <c r="M7369" s="99">
        <v>1.5</v>
      </c>
    </row>
    <row r="7370">
      <c r="A7370" s="122" t="s">
        <v>15293</v>
      </c>
      <c r="B7370" s="123">
        <v>1710366.0</v>
      </c>
      <c r="C7370" s="124" t="s">
        <v>15294</v>
      </c>
      <c r="D7370" s="125"/>
      <c r="E7370" s="126">
        <v>94.41</v>
      </c>
      <c r="F7370" s="127"/>
      <c r="G7370" s="127"/>
      <c r="H7370" s="127"/>
      <c r="I7370" s="128"/>
      <c r="K7370" s="105" t="str">
        <f>IFERROR(__xludf.DUMMYFUNCTION("if(A7370="""","""",substitute(SUBSTITUTE(index(importhtml(""http://finviz.com/quote.ashx?t=""&amp;A7370,""table"",10),7,2),""*"",""""),""-"",""0.00""))"),"Loading...")</f>
        <v>Loading...</v>
      </c>
      <c r="L7370" s="129">
        <v>2.927640996E9</v>
      </c>
      <c r="M7370" s="99">
        <v>1.81</v>
      </c>
    </row>
    <row r="7371">
      <c r="A7371" s="122" t="s">
        <v>15295</v>
      </c>
      <c r="B7371" s="123">
        <v>896262.0</v>
      </c>
      <c r="C7371" s="124" t="s">
        <v>15296</v>
      </c>
      <c r="D7371" s="125"/>
      <c r="E7371" s="126">
        <v>94.67</v>
      </c>
      <c r="F7371" s="127"/>
      <c r="G7371" s="127"/>
      <c r="H7371" s="127"/>
      <c r="I7371" s="128"/>
      <c r="K7371" s="105" t="str">
        <f>IFERROR(__xludf.DUMMYFUNCTION("if(A7371="""","""",substitute(SUBSTITUTE(index(importhtml(""http://finviz.com/quote.ashx?t=""&amp;A7371,""table"",10),7,2),""*"",""""),""-"",""0.00""))"),"Loading...")</f>
        <v>Loading...</v>
      </c>
      <c r="L7371" s="129">
        <v>3.089399184E9</v>
      </c>
      <c r="M7371" s="99">
        <v>0.86</v>
      </c>
    </row>
    <row r="7372">
      <c r="A7372" s="122" t="s">
        <v>15297</v>
      </c>
      <c r="B7372" s="123">
        <v>1497770.0</v>
      </c>
      <c r="C7372" s="124" t="s">
        <v>15298</v>
      </c>
      <c r="D7372" s="125"/>
      <c r="E7372" s="126">
        <v>94.75</v>
      </c>
      <c r="F7372" s="127"/>
      <c r="G7372" s="127"/>
      <c r="H7372" s="127"/>
      <c r="I7372" s="128"/>
      <c r="K7372" s="55" t="s">
        <v>14762</v>
      </c>
      <c r="L7372" s="129">
        <v>3.169404555E9</v>
      </c>
      <c r="M7372" s="99">
        <v>1.56</v>
      </c>
    </row>
    <row r="7373">
      <c r="A7373" s="122" t="s">
        <v>15299</v>
      </c>
      <c r="B7373" s="123">
        <v>66740.0</v>
      </c>
      <c r="C7373" s="124" t="s">
        <v>15300</v>
      </c>
      <c r="D7373" s="125"/>
      <c r="E7373" s="126">
        <v>94.87</v>
      </c>
      <c r="F7373" s="127"/>
      <c r="G7373" s="127"/>
      <c r="H7373" s="127"/>
      <c r="I7373" s="128"/>
      <c r="K7373" s="105" t="str">
        <f>IFERROR(__xludf.DUMMYFUNCTION("if(A7373="""","""",substitute(SUBSTITUTE(index(importhtml(""http://finviz.com/quote.ashx?t=""&amp;A7373,""table"",10),7,2),""*"",""""),""-"",""0.00""))"),"Loading...")</f>
        <v>Loading...</v>
      </c>
      <c r="L7373" s="129">
        <v>5.2423370474E10</v>
      </c>
      <c r="M7373" s="99">
        <v>1.01</v>
      </c>
    </row>
    <row r="7374">
      <c r="A7374" s="122" t="s">
        <v>15301</v>
      </c>
      <c r="B7374" s="123">
        <v>910492.0</v>
      </c>
      <c r="C7374" s="124" t="s">
        <v>15302</v>
      </c>
      <c r="D7374" s="125"/>
      <c r="E7374" s="126">
        <v>95.0</v>
      </c>
      <c r="F7374" s="127"/>
      <c r="G7374" s="127"/>
      <c r="H7374" s="127"/>
      <c r="I7374" s="128"/>
      <c r="K7374" s="105" t="str">
        <f>IFERROR(__xludf.DUMMYFUNCTION("if(A7374="""","""",substitute(SUBSTITUTE(index(importhtml(""http://finviz.com/quote.ashx?t=""&amp;A7374,""table"",10),7,2),""*"",""""),""-"",""0.00""))"),"Loading...")</f>
        <v>Loading...</v>
      </c>
      <c r="L7374" s="129" t="e">
        <v>#N/A</v>
      </c>
      <c r="M7374" s="99" t="str">
        <f>IFERROR(__xludf.DUMMYFUNCTION("GOOGLEFINANCE(A7374,""beta"")"),"#N/A")</f>
        <v>#N/A</v>
      </c>
    </row>
    <row r="7375">
      <c r="A7375" s="122" t="s">
        <v>15303</v>
      </c>
      <c r="B7375" s="123">
        <v>56868.0</v>
      </c>
      <c r="C7375" s="124" t="s">
        <v>15304</v>
      </c>
      <c r="D7375" s="125"/>
      <c r="E7375" s="126">
        <v>95.04</v>
      </c>
      <c r="F7375" s="127"/>
      <c r="G7375" s="127"/>
      <c r="H7375" s="127"/>
      <c r="I7375" s="128"/>
      <c r="K7375" s="105" t="str">
        <f>IFERROR(__xludf.DUMMYFUNCTION("if(A7375="""","""",substitute(SUBSTITUTE(index(importhtml(""http://finviz.com/quote.ashx?t=""&amp;A7375,""table"",10),7,2),""*"",""""),""-"",""0.00""))"),"Loading...")</f>
        <v>Loading...</v>
      </c>
      <c r="L7375" s="129">
        <v>1.73027544E8</v>
      </c>
      <c r="M7375" s="99">
        <v>0.52</v>
      </c>
    </row>
    <row r="7376">
      <c r="A7376" s="122" t="s">
        <v>15305</v>
      </c>
      <c r="B7376" s="123">
        <v>1169561.0</v>
      </c>
      <c r="C7376" s="124" t="s">
        <v>15306</v>
      </c>
      <c r="D7376" s="125"/>
      <c r="E7376" s="126">
        <v>95.29</v>
      </c>
      <c r="F7376" s="127"/>
      <c r="G7376" s="127"/>
      <c r="H7376" s="127"/>
      <c r="I7376" s="128"/>
      <c r="K7376" s="105" t="str">
        <f>IFERROR(__xludf.DUMMYFUNCTION("if(A7376="""","""",substitute(SUBSTITUTE(index(importhtml(""http://finviz.com/quote.ashx?t=""&amp;A7376,""table"",10),7,2),""*"",""""),""-"",""0.00""))"),"Loading...")</f>
        <v>Loading...</v>
      </c>
      <c r="L7376" s="129">
        <v>4.160515809E9</v>
      </c>
      <c r="M7376" s="99">
        <v>0.61</v>
      </c>
    </row>
    <row r="7377">
      <c r="A7377" s="122" t="s">
        <v>15307</v>
      </c>
      <c r="B7377" s="123">
        <v>1166003.0</v>
      </c>
      <c r="C7377" s="124" t="s">
        <v>15308</v>
      </c>
      <c r="D7377" s="125"/>
      <c r="E7377" s="126">
        <v>95.34</v>
      </c>
      <c r="F7377" s="127"/>
      <c r="G7377" s="127"/>
      <c r="H7377" s="127"/>
      <c r="I7377" s="128"/>
      <c r="K7377" s="105" t="str">
        <f>IFERROR(__xludf.DUMMYFUNCTION("if(A7377="""","""",substitute(SUBSTITUTE(index(importhtml(""http://finviz.com/quote.ashx?t=""&amp;A7377,""table"",10),7,2),""*"",""""),""-"",""0.00""))"),"Loading...")</f>
        <v>Loading...</v>
      </c>
      <c r="L7377" s="129">
        <v>1.1056874929E10</v>
      </c>
      <c r="M7377" s="99">
        <v>1.99</v>
      </c>
    </row>
    <row r="7378">
      <c r="A7378" s="122" t="s">
        <v>15309</v>
      </c>
      <c r="B7378" s="123">
        <v>858446.0</v>
      </c>
      <c r="C7378" s="124" t="s">
        <v>15310</v>
      </c>
      <c r="D7378" s="125"/>
      <c r="E7378" s="126">
        <v>95.58</v>
      </c>
      <c r="F7378" s="127"/>
      <c r="G7378" s="127"/>
      <c r="H7378" s="127"/>
      <c r="I7378" s="128"/>
      <c r="K7378" s="105" t="str">
        <f>IFERROR(__xludf.DUMMYFUNCTION("if(A7378="""","""",substitute(SUBSTITUTE(index(importhtml(""http://finviz.com/quote.ashx?t=""&amp;A7378,""table"",10),7,2),""*"",""""),""-"",""0.00""))"),"Loading...")</f>
        <v>Loading...</v>
      </c>
      <c r="L7378" s="129">
        <v>1.5603416182E10</v>
      </c>
      <c r="M7378" s="99">
        <v>1.29</v>
      </c>
    </row>
    <row r="7379">
      <c r="A7379" s="122" t="s">
        <v>15311</v>
      </c>
      <c r="B7379" s="123">
        <v>107815.0</v>
      </c>
      <c r="C7379" s="124" t="s">
        <v>15312</v>
      </c>
      <c r="D7379" s="125"/>
      <c r="E7379" s="126">
        <v>96.0</v>
      </c>
      <c r="F7379" s="127"/>
      <c r="G7379" s="127"/>
      <c r="H7379" s="127"/>
      <c r="I7379" s="128"/>
      <c r="K7379" s="105" t="str">
        <f>IFERROR(__xludf.DUMMYFUNCTION("if(A7379="""","""",substitute(SUBSTITUTE(index(importhtml(""http://finviz.com/quote.ashx?t=""&amp;A7379,""table"",10),7,2),""*"",""""),""-"",""0.00""))"),"Loading...")</f>
        <v>Loading...</v>
      </c>
      <c r="L7379" s="129">
        <v>2.076531765E9</v>
      </c>
      <c r="M7379" s="99">
        <v>0.46</v>
      </c>
    </row>
    <row r="7380">
      <c r="A7380" s="122" t="s">
        <v>15313</v>
      </c>
      <c r="B7380" s="123">
        <v>1877934.0</v>
      </c>
      <c r="C7380" s="124" t="s">
        <v>15314</v>
      </c>
      <c r="D7380" s="125"/>
      <c r="E7380" s="126">
        <v>96.05</v>
      </c>
      <c r="F7380" s="127"/>
      <c r="G7380" s="127"/>
      <c r="H7380" s="127"/>
      <c r="I7380" s="128"/>
      <c r="K7380" s="105" t="str">
        <f>IFERROR(__xludf.DUMMYFUNCTION("if(A7380="""","""",substitute(SUBSTITUTE(index(importhtml(""http://finviz.com/quote.ashx?t=""&amp;A7380,""table"",10),7,2),""*"",""""),""-"",""0.00""))"),"Loading...")</f>
        <v>Loading...</v>
      </c>
      <c r="L7380" s="129" t="e">
        <v>#N/A</v>
      </c>
      <c r="M7380" s="99" t="str">
        <f>IFERROR(__xludf.DUMMYFUNCTION("GOOGLEFINANCE(A7380,""beta"")"),"#N/A")</f>
        <v>#N/A</v>
      </c>
    </row>
    <row r="7381">
      <c r="A7381" s="122" t="s">
        <v>15315</v>
      </c>
      <c r="B7381" s="123">
        <v>1013934.0</v>
      </c>
      <c r="C7381" s="124" t="s">
        <v>15316</v>
      </c>
      <c r="D7381" s="125"/>
      <c r="E7381" s="126">
        <v>96.08</v>
      </c>
      <c r="F7381" s="127"/>
      <c r="G7381" s="127"/>
      <c r="H7381" s="127"/>
      <c r="I7381" s="128"/>
      <c r="K7381" s="105" t="str">
        <f>IFERROR(__xludf.DUMMYFUNCTION("if(A7381="""","""",substitute(SUBSTITUTE(index(importhtml(""http://finviz.com/quote.ashx?t=""&amp;A7381,""table"",10),7,2),""*"",""""),""-"",""0.00""))"),"Loading...")</f>
        <v>Loading...</v>
      </c>
      <c r="L7381" s="129">
        <v>2.345873951E9</v>
      </c>
      <c r="M7381" s="99">
        <v>0.49</v>
      </c>
    </row>
    <row r="7382">
      <c r="A7382" s="122" t="s">
        <v>15317</v>
      </c>
      <c r="B7382" s="123">
        <v>1381197.0</v>
      </c>
      <c r="C7382" s="124" t="s">
        <v>15318</v>
      </c>
      <c r="D7382" s="125"/>
      <c r="E7382" s="126">
        <v>96.13</v>
      </c>
      <c r="F7382" s="127"/>
      <c r="G7382" s="127"/>
      <c r="H7382" s="127"/>
      <c r="I7382" s="128"/>
      <c r="K7382" s="105" t="str">
        <f>IFERROR(__xludf.DUMMYFUNCTION("if(A7382="""","""",substitute(SUBSTITUTE(index(importhtml(""http://finviz.com/quote.ashx?t=""&amp;A7382,""table"",10),7,2),""*"",""""),""-"",""0.00""))"),"Loading...")</f>
        <v>Loading...</v>
      </c>
      <c r="L7382" s="129">
        <v>4.1037482468E10</v>
      </c>
      <c r="M7382" s="99">
        <v>0.8</v>
      </c>
    </row>
    <row r="7383">
      <c r="A7383" s="122" t="s">
        <v>15319</v>
      </c>
      <c r="B7383" s="123">
        <v>1070304.0</v>
      </c>
      <c r="C7383" s="124" t="s">
        <v>15320</v>
      </c>
      <c r="D7383" s="125"/>
      <c r="E7383" s="126">
        <v>96.15</v>
      </c>
      <c r="F7383" s="127"/>
      <c r="G7383" s="127"/>
      <c r="H7383" s="127"/>
      <c r="I7383" s="128"/>
      <c r="K7383" s="138" t="s">
        <v>13951</v>
      </c>
      <c r="L7383" s="129">
        <v>2.3150631997E10</v>
      </c>
      <c r="M7383" s="99">
        <v>0.85</v>
      </c>
    </row>
    <row r="7384">
      <c r="A7384" s="122" t="s">
        <v>15321</v>
      </c>
      <c r="B7384" s="123">
        <v>75288.0</v>
      </c>
      <c r="C7384" s="124" t="s">
        <v>15322</v>
      </c>
      <c r="D7384" s="125"/>
      <c r="E7384" s="126">
        <v>96.16</v>
      </c>
      <c r="F7384" s="127"/>
      <c r="G7384" s="127"/>
      <c r="H7384" s="127"/>
      <c r="I7384" s="128"/>
      <c r="K7384" s="105" t="str">
        <f>IFERROR(__xludf.DUMMYFUNCTION("if(A7384="""","""",substitute(SUBSTITUTE(index(importhtml(""http://finviz.com/quote.ashx?t=""&amp;A7384,""table"",10),7,2),""*"",""""),""-"",""0.00""))"),"Loading...")</f>
        <v>Loading...</v>
      </c>
      <c r="L7384" s="129">
        <v>1.502508711E9</v>
      </c>
      <c r="M7384" s="99">
        <v>1.59</v>
      </c>
    </row>
    <row r="7385">
      <c r="A7385" s="122" t="s">
        <v>15323</v>
      </c>
      <c r="B7385" s="123">
        <v>1326160.0</v>
      </c>
      <c r="C7385" s="124" t="s">
        <v>15324</v>
      </c>
      <c r="D7385" s="125"/>
      <c r="E7385" s="126">
        <v>96.22</v>
      </c>
      <c r="F7385" s="127"/>
      <c r="G7385" s="127"/>
      <c r="H7385" s="127"/>
      <c r="I7385" s="128"/>
      <c r="K7385" s="55" t="s">
        <v>15325</v>
      </c>
      <c r="L7385" s="129">
        <v>7.4157880714E10</v>
      </c>
      <c r="M7385" s="99">
        <v>0.48</v>
      </c>
    </row>
    <row r="7386">
      <c r="A7386" s="122" t="s">
        <v>15326</v>
      </c>
      <c r="B7386" s="123">
        <v>97210.0</v>
      </c>
      <c r="C7386" s="124" t="s">
        <v>15327</v>
      </c>
      <c r="D7386" s="125"/>
      <c r="E7386" s="126">
        <v>96.37</v>
      </c>
      <c r="F7386" s="127"/>
      <c r="G7386" s="127"/>
      <c r="H7386" s="127"/>
      <c r="I7386" s="128"/>
      <c r="K7386" s="105" t="str">
        <f>IFERROR(__xludf.DUMMYFUNCTION("if(A7386="""","""",substitute(SUBSTITUTE(index(importhtml(""http://finviz.com/quote.ashx?t=""&amp;A7386,""table"",10),7,2),""*"",""""),""-"",""0.00""))"),"Loading...")</f>
        <v>Loading...</v>
      </c>
      <c r="L7386" s="129">
        <v>1.4732920738E10</v>
      </c>
      <c r="M7386" s="99">
        <v>1.56</v>
      </c>
    </row>
    <row r="7387">
      <c r="A7387" s="122" t="s">
        <v>15328</v>
      </c>
      <c r="B7387" s="123">
        <v>38725.0</v>
      </c>
      <c r="C7387" s="124" t="s">
        <v>15329</v>
      </c>
      <c r="D7387" s="125"/>
      <c r="E7387" s="126">
        <v>96.51</v>
      </c>
      <c r="F7387" s="127"/>
      <c r="G7387" s="127"/>
      <c r="H7387" s="127"/>
      <c r="I7387" s="128"/>
      <c r="K7387" s="105" t="str">
        <f>IFERROR(__xludf.DUMMYFUNCTION("if(A7387="""","""",substitute(SUBSTITUTE(index(importhtml(""http://finviz.com/quote.ashx?t=""&amp;A7387,""table"",10),7,2),""*"",""""),""-"",""0.00""))"),"Loading...")</f>
        <v>Loading...</v>
      </c>
      <c r="L7387" s="129">
        <v>4.451823994E9</v>
      </c>
      <c r="M7387" s="99">
        <v>0.95</v>
      </c>
    </row>
    <row r="7388">
      <c r="A7388" s="122" t="s">
        <v>15330</v>
      </c>
      <c r="B7388" s="123">
        <v>906345.0</v>
      </c>
      <c r="C7388" s="124" t="s">
        <v>15331</v>
      </c>
      <c r="D7388" s="125"/>
      <c r="E7388" s="126">
        <v>96.57</v>
      </c>
      <c r="F7388" s="127"/>
      <c r="G7388" s="127"/>
      <c r="H7388" s="127"/>
      <c r="I7388" s="128"/>
      <c r="K7388" s="55" t="s">
        <v>15332</v>
      </c>
      <c r="L7388" s="129">
        <v>1.0310894751E10</v>
      </c>
      <c r="M7388" s="99">
        <v>0.83</v>
      </c>
    </row>
    <row r="7389">
      <c r="A7389" s="122" t="s">
        <v>15333</v>
      </c>
      <c r="B7389" s="123">
        <v>1121404.0</v>
      </c>
      <c r="C7389" s="124" t="s">
        <v>13966</v>
      </c>
      <c r="D7389" s="125"/>
      <c r="E7389" s="126">
        <v>96.59</v>
      </c>
      <c r="F7389" s="127"/>
      <c r="G7389" s="127"/>
      <c r="H7389" s="127"/>
      <c r="I7389" s="128"/>
      <c r="K7389" s="105" t="str">
        <f>IFERROR(__xludf.DUMMYFUNCTION("if(A7389="""","""",substitute(SUBSTITUTE(index(importhtml(""http://finviz.com/quote.ashx?t=""&amp;A7389,""table"",10),7,2),""*"",""""),""-"",""0.00""))"),"Loading...")</f>
        <v>Loading...</v>
      </c>
      <c r="L7389" s="129">
        <v>1.20111178595E11</v>
      </c>
      <c r="M7389" s="99">
        <v>0.57</v>
      </c>
    </row>
    <row r="7390">
      <c r="A7390" s="122" t="s">
        <v>15334</v>
      </c>
      <c r="B7390" s="123">
        <v>1758730.0</v>
      </c>
      <c r="C7390" s="124" t="s">
        <v>15335</v>
      </c>
      <c r="D7390" s="125"/>
      <c r="E7390" s="126">
        <v>96.83</v>
      </c>
      <c r="F7390" s="127"/>
      <c r="G7390" s="127"/>
      <c r="H7390" s="127"/>
      <c r="I7390" s="128"/>
      <c r="K7390" s="55" t="s">
        <v>5927</v>
      </c>
      <c r="L7390" s="129">
        <v>2.0494931674E10</v>
      </c>
      <c r="M7390" s="99">
        <v>0.91</v>
      </c>
    </row>
    <row r="7391">
      <c r="A7391" s="122" t="s">
        <v>15336</v>
      </c>
      <c r="B7391" s="123">
        <v>1174922.0</v>
      </c>
      <c r="C7391" s="124" t="s">
        <v>15337</v>
      </c>
      <c r="D7391" s="125"/>
      <c r="E7391" s="126">
        <v>96.97</v>
      </c>
      <c r="F7391" s="127"/>
      <c r="G7391" s="127"/>
      <c r="H7391" s="127"/>
      <c r="I7391" s="128"/>
      <c r="K7391" s="105" t="str">
        <f>IFERROR(__xludf.DUMMYFUNCTION("if(A7391="""","""",substitute(SUBSTITUTE(index(importhtml(""http://finviz.com/quote.ashx?t=""&amp;A7391,""table"",10),7,2),""*"",""""),""-"",""0.00""))"),"Loading...")</f>
        <v>Loading...</v>
      </c>
      <c r="L7391" s="129">
        <v>1.0952373757E10</v>
      </c>
      <c r="M7391" s="99">
        <v>1.93</v>
      </c>
    </row>
    <row r="7392">
      <c r="A7392" s="122" t="s">
        <v>15338</v>
      </c>
      <c r="B7392" s="123">
        <v>1274152.0</v>
      </c>
      <c r="C7392" s="124" t="s">
        <v>15339</v>
      </c>
      <c r="D7392" s="125"/>
      <c r="E7392" s="126">
        <v>97.0</v>
      </c>
      <c r="F7392" s="127"/>
      <c r="G7392" s="127"/>
      <c r="H7392" s="127"/>
      <c r="I7392" s="128"/>
      <c r="K7392" s="105" t="str">
        <f>IFERROR(__xludf.DUMMYFUNCTION("if(A7392="""","""",substitute(SUBSTITUTE(index(importhtml(""http://finviz.com/quote.ashx?t=""&amp;A7392,""table"",10),7,2),""*"",""""),""-"",""0.00""))"),"Loading...")</f>
        <v>Loading...</v>
      </c>
      <c r="L7392" s="129">
        <v>1.44826574513E11</v>
      </c>
      <c r="M7392" s="99">
        <v>0.73</v>
      </c>
    </row>
    <row r="7393">
      <c r="A7393" s="122" t="s">
        <v>15340</v>
      </c>
      <c r="B7393" s="123">
        <v>1744489.0</v>
      </c>
      <c r="C7393" s="124" t="s">
        <v>15341</v>
      </c>
      <c r="D7393" s="125"/>
      <c r="E7393" s="126">
        <v>97.13</v>
      </c>
      <c r="F7393" s="127"/>
      <c r="G7393" s="127"/>
      <c r="H7393" s="127"/>
      <c r="I7393" s="128"/>
      <c r="K7393" s="55" t="s">
        <v>7163</v>
      </c>
      <c r="L7393" s="129">
        <v>1.78164194141E11</v>
      </c>
      <c r="M7393" s="99">
        <v>1.39</v>
      </c>
    </row>
    <row r="7394">
      <c r="A7394" s="122" t="s">
        <v>15342</v>
      </c>
      <c r="B7394" s="123">
        <v>97134.0</v>
      </c>
      <c r="C7394" s="124" t="s">
        <v>15343</v>
      </c>
      <c r="D7394" s="125"/>
      <c r="E7394" s="126">
        <v>97.25</v>
      </c>
      <c r="F7394" s="127"/>
      <c r="G7394" s="127"/>
      <c r="H7394" s="127"/>
      <c r="I7394" s="128"/>
      <c r="K7394" s="105" t="str">
        <f>IFERROR(__xludf.DUMMYFUNCTION("if(A7394="""","""",substitute(SUBSTITUTE(index(importhtml(""http://finviz.com/quote.ashx?t=""&amp;A7394,""table"",10),7,2),""*"",""""),""-"",""0.00""))"),"Loading...")</f>
        <v>Loading...</v>
      </c>
      <c r="L7394" s="129">
        <v>1.816650422E9</v>
      </c>
      <c r="M7394" s="99">
        <v>1.06</v>
      </c>
    </row>
    <row r="7395">
      <c r="A7395" s="122" t="s">
        <v>15344</v>
      </c>
      <c r="B7395" s="123">
        <v>1000275.0</v>
      </c>
      <c r="C7395" s="124" t="s">
        <v>15345</v>
      </c>
      <c r="D7395" s="125"/>
      <c r="E7395" s="126">
        <v>97.44</v>
      </c>
      <c r="F7395" s="127"/>
      <c r="G7395" s="127"/>
      <c r="H7395" s="127"/>
      <c r="I7395" s="128"/>
      <c r="K7395" s="55" t="s">
        <v>15346</v>
      </c>
      <c r="L7395" s="129">
        <v>1.36707641345E11</v>
      </c>
      <c r="M7395" s="99">
        <v>0.89</v>
      </c>
    </row>
    <row r="7396">
      <c r="A7396" s="122" t="s">
        <v>15347</v>
      </c>
      <c r="B7396" s="123">
        <v>1682852.0</v>
      </c>
      <c r="C7396" s="124" t="s">
        <v>15348</v>
      </c>
      <c r="D7396" s="125"/>
      <c r="E7396" s="126">
        <v>97.5</v>
      </c>
      <c r="F7396" s="127"/>
      <c r="G7396" s="127"/>
      <c r="H7396" s="127"/>
      <c r="I7396" s="128"/>
      <c r="K7396" s="105" t="str">
        <f>IFERROR(__xludf.DUMMYFUNCTION("if(A7396="""","""",substitute(SUBSTITUTE(index(importhtml(""http://finviz.com/quote.ashx?t=""&amp;A7396,""table"",10),7,2),""*"",""""),""-"",""0.00""))"),"Loading...")</f>
        <v>Loading...</v>
      </c>
      <c r="L7396" s="129">
        <v>3.717518025E10</v>
      </c>
      <c r="M7396" s="99">
        <v>1.69</v>
      </c>
    </row>
    <row r="7397">
      <c r="A7397" s="122" t="s">
        <v>15349</v>
      </c>
      <c r="B7397" s="123">
        <v>109198.0</v>
      </c>
      <c r="C7397" s="124" t="s">
        <v>15350</v>
      </c>
      <c r="D7397" s="125"/>
      <c r="E7397" s="126">
        <v>97.51</v>
      </c>
      <c r="F7397" s="127"/>
      <c r="G7397" s="127"/>
      <c r="H7397" s="127"/>
      <c r="I7397" s="128"/>
      <c r="K7397" s="105" t="str">
        <f>IFERROR(__xludf.DUMMYFUNCTION("if(A7397="""","""",substitute(SUBSTITUTE(index(importhtml(""http://finviz.com/quote.ashx?t=""&amp;A7397,""table"",10),7,2),""*"",""""),""-"",""0.00""))"),"Loading...")</f>
        <v>Loading...</v>
      </c>
      <c r="L7397" s="129">
        <v>1.1066263496E11</v>
      </c>
      <c r="M7397" s="99">
        <v>0.86</v>
      </c>
    </row>
    <row r="7398">
      <c r="A7398" s="122" t="s">
        <v>15351</v>
      </c>
      <c r="B7398" s="123">
        <v>785786.0</v>
      </c>
      <c r="C7398" s="124" t="s">
        <v>15352</v>
      </c>
      <c r="D7398" s="125"/>
      <c r="E7398" s="126">
        <v>97.52</v>
      </c>
      <c r="F7398" s="127"/>
      <c r="G7398" s="127"/>
      <c r="H7398" s="127"/>
      <c r="I7398" s="128"/>
      <c r="K7398" s="105" t="str">
        <f>IFERROR(__xludf.DUMMYFUNCTION("if(A7398="""","""",substitute(SUBSTITUTE(index(importhtml(""http://finviz.com/quote.ashx?t=""&amp;A7398,""table"",10),7,2),""*"",""""),""-"",""0.00""))"),"Loading...")</f>
        <v>Loading...</v>
      </c>
      <c r="L7398" s="129">
        <v>2.682207541E9</v>
      </c>
      <c r="M7398" s="99">
        <v>1.05</v>
      </c>
    </row>
    <row r="7399">
      <c r="A7399" s="122" t="s">
        <v>15353</v>
      </c>
      <c r="B7399" s="123">
        <v>1289308.0</v>
      </c>
      <c r="C7399" s="124" t="s">
        <v>15354</v>
      </c>
      <c r="D7399" s="125"/>
      <c r="E7399" s="126">
        <v>97.64</v>
      </c>
      <c r="F7399" s="127"/>
      <c r="G7399" s="127"/>
      <c r="H7399" s="127"/>
      <c r="I7399" s="128"/>
      <c r="K7399" s="55" t="s">
        <v>8509</v>
      </c>
      <c r="L7399" s="129">
        <v>3.944570052E9</v>
      </c>
      <c r="M7399" s="99">
        <v>1.36</v>
      </c>
    </row>
    <row r="7400">
      <c r="A7400" s="122" t="s">
        <v>15355</v>
      </c>
      <c r="B7400" s="123">
        <v>1772177.0</v>
      </c>
      <c r="C7400" s="124" t="s">
        <v>15356</v>
      </c>
      <c r="D7400" s="125"/>
      <c r="E7400" s="126">
        <v>97.8</v>
      </c>
      <c r="F7400" s="127"/>
      <c r="G7400" s="127"/>
      <c r="H7400" s="127"/>
      <c r="I7400" s="128"/>
      <c r="K7400" s="105" t="str">
        <f>IFERROR(__xludf.DUMMYFUNCTION("if(A7400="""","""",substitute(SUBSTITUTE(index(importhtml(""http://finviz.com/quote.ashx?t=""&amp;A7400,""table"",10),7,2),""*"",""""),""-"",""0.00""))"),"Loading...")</f>
        <v>Loading...</v>
      </c>
      <c r="L7400" s="129">
        <v>1.091756104E9</v>
      </c>
      <c r="M7400" s="99">
        <v>2.01</v>
      </c>
    </row>
    <row r="7401">
      <c r="A7401" s="122" t="s">
        <v>15357</v>
      </c>
      <c r="B7401" s="123">
        <v>1345105.0</v>
      </c>
      <c r="C7401" s="124" t="s">
        <v>15358</v>
      </c>
      <c r="D7401" s="125"/>
      <c r="E7401" s="126">
        <v>98.0</v>
      </c>
      <c r="F7401" s="127"/>
      <c r="G7401" s="127"/>
      <c r="H7401" s="127"/>
      <c r="I7401" s="128"/>
      <c r="K7401" s="55" t="s">
        <v>15359</v>
      </c>
      <c r="L7401" s="129">
        <v>4.12424474E9</v>
      </c>
      <c r="M7401" s="99">
        <v>1.38</v>
      </c>
    </row>
    <row r="7402">
      <c r="A7402" s="122" t="s">
        <v>15360</v>
      </c>
      <c r="B7402" s="123">
        <v>1847891.0</v>
      </c>
      <c r="C7402" s="124" t="s">
        <v>15361</v>
      </c>
      <c r="D7402" s="125"/>
      <c r="E7402" s="126">
        <v>98.0</v>
      </c>
      <c r="F7402" s="127"/>
      <c r="G7402" s="127"/>
      <c r="H7402" s="127"/>
      <c r="I7402" s="128"/>
      <c r="K7402" s="105" t="str">
        <f>IFERROR(__xludf.DUMMYFUNCTION("if(A7402="""","""",substitute(SUBSTITUTE(index(importhtml(""http://finviz.com/quote.ashx?t=""&amp;A7402,""table"",10),7,2),""*"",""""),""-"",""0.00""))"),"Loading...")</f>
        <v>Loading...</v>
      </c>
      <c r="L7402" s="129">
        <v>3.39975524E11</v>
      </c>
      <c r="M7402" s="99" t="str">
        <f>IFERROR(__xludf.DUMMYFUNCTION("GOOGLEFINANCE(A7402,""beta"")"),"#N/A")</f>
        <v>#N/A</v>
      </c>
    </row>
    <row r="7403">
      <c r="A7403" s="122" t="s">
        <v>15362</v>
      </c>
      <c r="B7403" s="123">
        <v>1171486.0</v>
      </c>
      <c r="C7403" s="124" t="s">
        <v>15363</v>
      </c>
      <c r="D7403" s="125"/>
      <c r="E7403" s="126">
        <v>98.05</v>
      </c>
      <c r="F7403" s="127"/>
      <c r="G7403" s="127"/>
      <c r="H7403" s="127"/>
      <c r="I7403" s="128"/>
      <c r="K7403" s="105" t="str">
        <f>IFERROR(__xludf.DUMMYFUNCTION("if(A7403="""","""",substitute(SUBSTITUTE(index(importhtml(""http://finviz.com/quote.ashx?t=""&amp;A7403,""table"",10),7,2),""*"",""""),""-"",""0.00""))"),"Loading...")</f>
        <v>Loading...</v>
      </c>
      <c r="L7403" s="129">
        <v>1.23882649E9</v>
      </c>
      <c r="M7403" s="99">
        <v>0.49</v>
      </c>
    </row>
    <row r="7404">
      <c r="A7404" s="122" t="s">
        <v>15364</v>
      </c>
      <c r="B7404" s="123">
        <v>1334036.0</v>
      </c>
      <c r="C7404" s="124" t="s">
        <v>15365</v>
      </c>
      <c r="D7404" s="125"/>
      <c r="E7404" s="126">
        <v>98.18</v>
      </c>
      <c r="F7404" s="127"/>
      <c r="G7404" s="127"/>
      <c r="H7404" s="127"/>
      <c r="I7404" s="128"/>
      <c r="K7404" s="105" t="str">
        <f>IFERROR(__xludf.DUMMYFUNCTION("if(A7404="""","""",substitute(SUBSTITUTE(index(importhtml(""http://finviz.com/quote.ashx?t=""&amp;A7404,""table"",10),7,2),""*"",""""),""-"",""0.00""))"),"Loading...")</f>
        <v>Loading...</v>
      </c>
      <c r="L7404" s="129">
        <v>5.99609538E9</v>
      </c>
      <c r="M7404" s="99">
        <v>1.95</v>
      </c>
    </row>
    <row r="7405">
      <c r="A7405" s="122" t="s">
        <v>15366</v>
      </c>
      <c r="B7405" s="123">
        <v>313838.0</v>
      </c>
      <c r="C7405" s="124" t="s">
        <v>15367</v>
      </c>
      <c r="D7405" s="125"/>
      <c r="E7405" s="126">
        <v>98.23</v>
      </c>
      <c r="F7405" s="127"/>
      <c r="G7405" s="127"/>
      <c r="H7405" s="127"/>
      <c r="I7405" s="128"/>
      <c r="K7405" s="105" t="str">
        <f>IFERROR(__xludf.DUMMYFUNCTION("if(A7405="""","""",substitute(SUBSTITUTE(index(importhtml(""http://finviz.com/quote.ashx?t=""&amp;A7405,""table"",10),7,2),""*"",""""),""-"",""0.00""))"),"Loading...")</f>
        <v>Loading...</v>
      </c>
      <c r="L7405" s="129">
        <v>1.7978847905E13</v>
      </c>
      <c r="M7405" s="99">
        <v>1.03</v>
      </c>
    </row>
    <row r="7406">
      <c r="A7406" s="122" t="s">
        <v>15368</v>
      </c>
      <c r="B7406" s="123">
        <v>1111928.0</v>
      </c>
      <c r="C7406" s="124" t="s">
        <v>15369</v>
      </c>
      <c r="D7406" s="125"/>
      <c r="E7406" s="126">
        <v>98.8</v>
      </c>
      <c r="F7406" s="127"/>
      <c r="G7406" s="127"/>
      <c r="H7406" s="127"/>
      <c r="I7406" s="128"/>
      <c r="K7406" s="105" t="str">
        <f>IFERROR(__xludf.DUMMYFUNCTION("if(A7406="""","""",substitute(SUBSTITUTE(index(importhtml(""http://finviz.com/quote.ashx?t=""&amp;A7406,""table"",10),7,2),""*"",""""),""-"",""0.00""))"),"Loading...")</f>
        <v>Loading...</v>
      </c>
      <c r="L7406" s="129">
        <v>4.635938203E9</v>
      </c>
      <c r="M7406" s="99">
        <v>1.24</v>
      </c>
    </row>
    <row r="7407">
      <c r="A7407" s="122" t="s">
        <v>15370</v>
      </c>
      <c r="B7407" s="123">
        <v>1110646.0</v>
      </c>
      <c r="C7407" s="124" t="s">
        <v>15371</v>
      </c>
      <c r="D7407" s="125"/>
      <c r="E7407" s="126">
        <v>98.83</v>
      </c>
      <c r="F7407" s="127"/>
      <c r="G7407" s="127"/>
      <c r="H7407" s="127"/>
      <c r="I7407" s="128"/>
      <c r="K7407" s="105" t="str">
        <f>IFERROR(__xludf.DUMMYFUNCTION("if(A7407="""","""",substitute(SUBSTITUTE(index(importhtml(""http://finviz.com/quote.ashx?t=""&amp;A7407,""table"",10),7,2),""*"",""""),""-"",""0.00""))"),"Loading...")</f>
        <v>Loading...</v>
      </c>
      <c r="L7407" s="129">
        <v>6.374060734E10</v>
      </c>
      <c r="M7407" s="99">
        <v>0.57</v>
      </c>
    </row>
    <row r="7408">
      <c r="A7408" s="122" t="s">
        <v>15372</v>
      </c>
      <c r="B7408" s="123">
        <v>313927.0</v>
      </c>
      <c r="C7408" s="124" t="s">
        <v>15373</v>
      </c>
      <c r="D7408" s="125"/>
      <c r="E7408" s="126">
        <v>99.37</v>
      </c>
      <c r="F7408" s="127"/>
      <c r="G7408" s="127"/>
      <c r="H7408" s="127"/>
      <c r="I7408" s="128"/>
      <c r="K7408" s="55" t="s">
        <v>10948</v>
      </c>
      <c r="L7408" s="129">
        <v>2.4482950205E10</v>
      </c>
      <c r="M7408" s="99">
        <v>0.54</v>
      </c>
    </row>
    <row r="7409">
      <c r="A7409" s="122" t="s">
        <v>15374</v>
      </c>
      <c r="B7409" s="123">
        <v>230557.0</v>
      </c>
      <c r="C7409" s="124" t="s">
        <v>15375</v>
      </c>
      <c r="D7409" s="125"/>
      <c r="E7409" s="126">
        <v>99.39</v>
      </c>
      <c r="F7409" s="127"/>
      <c r="G7409" s="127"/>
      <c r="H7409" s="127"/>
      <c r="I7409" s="128"/>
      <c r="K7409" s="105" t="str">
        <f>IFERROR(__xludf.DUMMYFUNCTION("if(A7409="""","""",substitute(SUBSTITUTE(index(importhtml(""http://finviz.com/quote.ashx?t=""&amp;A7409,""table"",10),7,2),""*"",""""),""-"",""0.00""))"),"Loading...")</f>
        <v>Loading...</v>
      </c>
      <c r="L7409" s="129">
        <v>6.021889984E9</v>
      </c>
      <c r="M7409" s="99">
        <v>0.56</v>
      </c>
    </row>
    <row r="7410">
      <c r="A7410" s="122" t="s">
        <v>15376</v>
      </c>
      <c r="B7410" s="123">
        <v>1328598.0</v>
      </c>
      <c r="C7410" s="124" t="s">
        <v>15377</v>
      </c>
      <c r="D7410" s="125"/>
      <c r="E7410" s="126">
        <v>99.58</v>
      </c>
      <c r="F7410" s="127"/>
      <c r="G7410" s="127"/>
      <c r="H7410" s="127"/>
      <c r="I7410" s="128"/>
      <c r="K7410" s="55" t="s">
        <v>15378</v>
      </c>
      <c r="L7410" s="129" t="e">
        <v>#N/A</v>
      </c>
      <c r="M7410" s="99" t="str">
        <f>IFERROR(__xludf.DUMMYFUNCTION("GOOGLEFINANCE(A7410,""beta"")"),"#N/A")</f>
        <v>#N/A</v>
      </c>
    </row>
    <row r="7411">
      <c r="A7411" s="122" t="s">
        <v>15379</v>
      </c>
      <c r="B7411" s="123">
        <v>1433660.0</v>
      </c>
      <c r="C7411" s="124" t="s">
        <v>15380</v>
      </c>
      <c r="D7411" s="125"/>
      <c r="E7411" s="126">
        <v>99.94</v>
      </c>
      <c r="F7411" s="127"/>
      <c r="G7411" s="127"/>
      <c r="H7411" s="127"/>
      <c r="I7411" s="128"/>
      <c r="K7411" s="105" t="str">
        <f>IFERROR(__xludf.DUMMYFUNCTION("if(A7411="""","""",substitute(SUBSTITUTE(index(importhtml(""http://finviz.com/quote.ashx?t=""&amp;A7411,""table"",10),7,2),""*"",""""),""-"",""0.00""))"),"Loading...")</f>
        <v>Loading...</v>
      </c>
      <c r="L7411" s="129">
        <v>3.181963753E9</v>
      </c>
      <c r="M7411" s="99">
        <v>1.31</v>
      </c>
    </row>
    <row r="7412">
      <c r="A7412" s="122" t="s">
        <v>15381</v>
      </c>
      <c r="B7412" s="123">
        <v>1626115.0</v>
      </c>
      <c r="C7412" s="124" t="s">
        <v>15382</v>
      </c>
      <c r="D7412" s="125"/>
      <c r="E7412" s="126">
        <v>100.02</v>
      </c>
      <c r="F7412" s="127"/>
      <c r="G7412" s="127"/>
      <c r="H7412" s="127"/>
      <c r="I7412" s="128"/>
      <c r="K7412" s="105" t="str">
        <f>IFERROR(__xludf.DUMMYFUNCTION("if(A7412="""","""",substitute(SUBSTITUTE(index(importhtml(""http://finviz.com/quote.ashx?t=""&amp;A7412,""table"",10),7,2),""*"",""""),""-"",""0.00""))"),"Loading...")</f>
        <v>Loading...</v>
      </c>
      <c r="L7412" s="129">
        <v>2.42454173E9</v>
      </c>
      <c r="M7412" s="99">
        <v>0.69</v>
      </c>
    </row>
    <row r="7413">
      <c r="A7413" s="122" t="s">
        <v>15383</v>
      </c>
      <c r="B7413" s="123">
        <v>794170.0</v>
      </c>
      <c r="C7413" s="124" t="s">
        <v>15384</v>
      </c>
      <c r="D7413" s="125"/>
      <c r="E7413" s="126">
        <v>100.17</v>
      </c>
      <c r="F7413" s="127"/>
      <c r="G7413" s="127"/>
      <c r="H7413" s="127"/>
      <c r="I7413" s="128"/>
      <c r="K7413" s="105" t="str">
        <f>IFERROR(__xludf.DUMMYFUNCTION("if(A7413="""","""",substitute(SUBSTITUTE(index(importhtml(""http://finviz.com/quote.ashx?t=""&amp;A7413,""table"",10),7,2),""*"",""""),""-"",""0.00""))"),"Loading...")</f>
        <v>Loading...</v>
      </c>
      <c r="L7413" s="129">
        <v>1.0446608905E10</v>
      </c>
      <c r="M7413" s="99">
        <v>1.63</v>
      </c>
    </row>
    <row r="7414">
      <c r="A7414" s="122" t="s">
        <v>15385</v>
      </c>
      <c r="B7414" s="123">
        <v>832988.0</v>
      </c>
      <c r="C7414" s="124" t="s">
        <v>15386</v>
      </c>
      <c r="D7414" s="125"/>
      <c r="E7414" s="126">
        <v>100.27</v>
      </c>
      <c r="F7414" s="127"/>
      <c r="G7414" s="127"/>
      <c r="H7414" s="127"/>
      <c r="I7414" s="128"/>
      <c r="K7414" s="105" t="str">
        <f>IFERROR(__xludf.DUMMYFUNCTION("if(A7414="""","""",substitute(SUBSTITUTE(index(importhtml(""http://finviz.com/quote.ashx?t=""&amp;A7414,""table"",10),7,2),""*"",""""),""-"",""0.00""))"),"Loading...")</f>
        <v>Loading...</v>
      </c>
      <c r="L7414" s="129">
        <v>4.443691511E9</v>
      </c>
      <c r="M7414" s="99">
        <v>2.17</v>
      </c>
    </row>
    <row r="7415">
      <c r="A7415" s="122" t="s">
        <v>15387</v>
      </c>
      <c r="B7415" s="123">
        <v>1437578.0</v>
      </c>
      <c r="C7415" s="124" t="s">
        <v>15388</v>
      </c>
      <c r="D7415" s="125"/>
      <c r="E7415" s="126">
        <v>100.38</v>
      </c>
      <c r="F7415" s="127"/>
      <c r="G7415" s="127"/>
      <c r="H7415" s="127"/>
      <c r="I7415" s="128"/>
      <c r="K7415" s="105" t="str">
        <f>IFERROR(__xludf.DUMMYFUNCTION("if(A7415="""","""",substitute(SUBSTITUTE(index(importhtml(""http://finviz.com/quote.ashx?t=""&amp;A7415,""table"",10),7,2),""*"",""""),""-"",""0.00""))"),"Loading...")</f>
        <v>Loading...</v>
      </c>
      <c r="L7415" s="129">
        <v>5.812493702E9</v>
      </c>
      <c r="M7415" s="99">
        <v>1.36</v>
      </c>
    </row>
    <row r="7416">
      <c r="A7416" s="122" t="s">
        <v>15389</v>
      </c>
      <c r="B7416" s="123">
        <v>65984.0</v>
      </c>
      <c r="C7416" s="124" t="s">
        <v>15390</v>
      </c>
      <c r="D7416" s="125"/>
      <c r="E7416" s="126">
        <v>100.59</v>
      </c>
      <c r="F7416" s="127"/>
      <c r="G7416" s="127"/>
      <c r="H7416" s="127"/>
      <c r="I7416" s="128"/>
      <c r="K7416" s="105" t="str">
        <f>IFERROR(__xludf.DUMMYFUNCTION("if(A7416="""","""",substitute(SUBSTITUTE(index(importhtml(""http://finviz.com/quote.ashx?t=""&amp;A7416,""table"",10),7,2),""*"",""""),""-"",""0.00""))"),"Loading...")</f>
        <v>Loading...</v>
      </c>
      <c r="L7416" s="129">
        <v>2.1272068295E10</v>
      </c>
      <c r="M7416" s="99">
        <v>0.71</v>
      </c>
    </row>
    <row r="7417">
      <c r="A7417" s="122" t="s">
        <v>15391</v>
      </c>
      <c r="B7417" s="123">
        <v>320187.0</v>
      </c>
      <c r="C7417" s="124" t="s">
        <v>15392</v>
      </c>
      <c r="D7417" s="125"/>
      <c r="E7417" s="126">
        <v>100.71</v>
      </c>
      <c r="F7417" s="127"/>
      <c r="G7417" s="127"/>
      <c r="H7417" s="127"/>
      <c r="I7417" s="128"/>
      <c r="K7417" s="105" t="str">
        <f>IFERROR(__xludf.DUMMYFUNCTION("if(A7417="""","""",substitute(SUBSTITUTE(index(importhtml(""http://finviz.com/quote.ashx?t=""&amp;A7417,""table"",10),7,2),""*"",""""),""-"",""0.00""))"),"Loading...")</f>
        <v>Loading...</v>
      </c>
      <c r="L7417" s="129">
        <v>1.52587834522E11</v>
      </c>
      <c r="M7417" s="99">
        <v>1.11</v>
      </c>
    </row>
    <row r="7418">
      <c r="A7418" s="122" t="s">
        <v>15393</v>
      </c>
      <c r="B7418" s="123">
        <v>835271.0</v>
      </c>
      <c r="C7418" s="124" t="s">
        <v>15394</v>
      </c>
      <c r="D7418" s="125"/>
      <c r="E7418" s="126">
        <v>100.8</v>
      </c>
      <c r="F7418" s="127"/>
      <c r="G7418" s="127"/>
      <c r="H7418" s="127"/>
      <c r="I7418" s="128"/>
      <c r="K7418" s="105" t="str">
        <f>IFERROR(__xludf.DUMMYFUNCTION("if(A7418="""","""",substitute(SUBSTITUTE(index(importhtml(""http://finviz.com/quote.ashx?t=""&amp;A7418,""table"",10),7,2),""*"",""""),""-"",""0.00""))"),"Loading...")</f>
        <v>Loading...</v>
      </c>
      <c r="L7418" s="129" t="e">
        <v>#N/A</v>
      </c>
      <c r="M7418" s="99" t="str">
        <f>IFERROR(__xludf.DUMMYFUNCTION("GOOGLEFINANCE(A7418,""beta"")"),"#N/A")</f>
        <v>#N/A</v>
      </c>
    </row>
    <row r="7419">
      <c r="A7419" s="122" t="s">
        <v>15395</v>
      </c>
      <c r="B7419" s="123">
        <v>1003078.0</v>
      </c>
      <c r="C7419" s="124" t="s">
        <v>15396</v>
      </c>
      <c r="D7419" s="125"/>
      <c r="E7419" s="126">
        <v>100.88</v>
      </c>
      <c r="F7419" s="127"/>
      <c r="G7419" s="127"/>
      <c r="H7419" s="127"/>
      <c r="I7419" s="128"/>
      <c r="K7419" s="105" t="str">
        <f>IFERROR(__xludf.DUMMYFUNCTION("if(A7419="""","""",substitute(SUBSTITUTE(index(importhtml(""http://finviz.com/quote.ashx?t=""&amp;A7419,""table"",10),7,2),""*"",""""),""-"",""0.00""))"),"Loading...")</f>
        <v>Loading...</v>
      </c>
      <c r="L7419" s="129">
        <v>5.689670179E9</v>
      </c>
      <c r="M7419" s="99">
        <v>0.96</v>
      </c>
    </row>
    <row r="7420">
      <c r="A7420" s="122" t="s">
        <v>15397</v>
      </c>
      <c r="B7420" s="123">
        <v>1004315.0</v>
      </c>
      <c r="C7420" s="124" t="s">
        <v>15398</v>
      </c>
      <c r="D7420" s="125"/>
      <c r="E7420" s="126">
        <v>101.0</v>
      </c>
      <c r="F7420" s="127"/>
      <c r="G7420" s="127"/>
      <c r="H7420" s="127"/>
      <c r="I7420" s="128"/>
      <c r="K7420" s="105" t="str">
        <f>IFERROR(__xludf.DUMMYFUNCTION("if(A7420="""","""",substitute(SUBSTITUTE(index(importhtml(""http://finviz.com/quote.ashx?t=""&amp;A7420,""table"",10),7,2),""*"",""""),""-"",""0.00""))"),"Loading...")</f>
        <v>Loading...</v>
      </c>
      <c r="L7420" s="129" t="e">
        <v>#N/A</v>
      </c>
      <c r="M7420" s="99">
        <v>0.51</v>
      </c>
    </row>
    <row r="7421">
      <c r="A7421" s="122" t="s">
        <v>15399</v>
      </c>
      <c r="B7421" s="123">
        <v>1530950.0</v>
      </c>
      <c r="C7421" s="124" t="s">
        <v>15400</v>
      </c>
      <c r="D7421" s="125"/>
      <c r="E7421" s="126">
        <v>101.01</v>
      </c>
      <c r="F7421" s="127"/>
      <c r="G7421" s="127"/>
      <c r="H7421" s="127"/>
      <c r="I7421" s="128"/>
      <c r="K7421" s="105" t="str">
        <f>IFERROR(__xludf.DUMMYFUNCTION("if(A7421="""","""",substitute(SUBSTITUTE(index(importhtml(""http://finviz.com/quote.ashx?t=""&amp;A7421,""table"",10),7,2),""*"",""""),""-"",""0.00""))"),"Loading...")</f>
        <v>Loading...</v>
      </c>
      <c r="L7421" s="129">
        <v>6.113995025E9</v>
      </c>
      <c r="M7421" s="99">
        <v>0.65</v>
      </c>
    </row>
    <row r="7422">
      <c r="A7422" s="122" t="s">
        <v>15401</v>
      </c>
      <c r="B7422" s="123">
        <v>1114995.0</v>
      </c>
      <c r="C7422" s="124" t="s">
        <v>15402</v>
      </c>
      <c r="D7422" s="125"/>
      <c r="E7422" s="126">
        <v>101.05</v>
      </c>
      <c r="F7422" s="127"/>
      <c r="G7422" s="127"/>
      <c r="H7422" s="127"/>
      <c r="I7422" s="128"/>
      <c r="K7422" s="55" t="s">
        <v>1034</v>
      </c>
      <c r="L7422" s="129">
        <v>2.733994735E9</v>
      </c>
      <c r="M7422" s="99">
        <v>2.04</v>
      </c>
    </row>
    <row r="7423">
      <c r="A7423" s="122" t="s">
        <v>15403</v>
      </c>
      <c r="B7423" s="123">
        <v>4127.0</v>
      </c>
      <c r="C7423" s="124" t="s">
        <v>15404</v>
      </c>
      <c r="D7423" s="125"/>
      <c r="E7423" s="126">
        <v>101.16</v>
      </c>
      <c r="F7423" s="127"/>
      <c r="G7423" s="127"/>
      <c r="H7423" s="127"/>
      <c r="I7423" s="128"/>
      <c r="K7423" s="105" t="str">
        <f>IFERROR(__xludf.DUMMYFUNCTION("if(A7423="""","""",substitute(SUBSTITUTE(index(importhtml(""http://finviz.com/quote.ashx?t=""&amp;A7423,""table"",10),7,2),""*"",""""),""-"",""0.00""))"),"Loading...")</f>
        <v>Loading...</v>
      </c>
      <c r="L7423" s="129">
        <v>1.620845263E10</v>
      </c>
      <c r="M7423" s="99">
        <v>1.4</v>
      </c>
    </row>
    <row r="7424">
      <c r="A7424" s="122" t="s">
        <v>15405</v>
      </c>
      <c r="B7424" s="123">
        <v>726854.0</v>
      </c>
      <c r="C7424" s="124" t="s">
        <v>15406</v>
      </c>
      <c r="D7424" s="125"/>
      <c r="E7424" s="126">
        <v>101.56</v>
      </c>
      <c r="F7424" s="127"/>
      <c r="G7424" s="127"/>
      <c r="H7424" s="127"/>
      <c r="I7424" s="128"/>
      <c r="K7424" s="105" t="str">
        <f>IFERROR(__xludf.DUMMYFUNCTION("if(A7424="""","""",substitute(SUBSTITUTE(index(importhtml(""http://finviz.com/quote.ashx?t=""&amp;A7424,""table"",10),7,2),""*"",""""),""-"",""0.00""))"),"Loading...")</f>
        <v>Loading...</v>
      </c>
      <c r="L7424" s="129">
        <v>1.506318587E9</v>
      </c>
      <c r="M7424" s="99">
        <v>0.53</v>
      </c>
    </row>
    <row r="7425">
      <c r="A7425" s="122" t="s">
        <v>15407</v>
      </c>
      <c r="B7425" s="123">
        <v>1177394.0</v>
      </c>
      <c r="C7425" s="124" t="s">
        <v>15408</v>
      </c>
      <c r="D7425" s="125"/>
      <c r="E7425" s="126">
        <v>101.71</v>
      </c>
      <c r="F7425" s="127"/>
      <c r="G7425" s="127"/>
      <c r="H7425" s="127"/>
      <c r="I7425" s="128"/>
      <c r="K7425" s="105" t="str">
        <f>IFERROR(__xludf.DUMMYFUNCTION("if(A7425="""","""",substitute(SUBSTITUTE(index(importhtml(""http://finviz.com/quote.ashx?t=""&amp;A7425,""table"",10),7,2),""*"",""""),""-"",""0.00""))"),"Loading...")</f>
        <v>Loading...</v>
      </c>
      <c r="L7425" s="129">
        <v>9.061759812E9</v>
      </c>
      <c r="M7425" s="99">
        <v>1.66</v>
      </c>
    </row>
    <row r="7426">
      <c r="A7426" s="122" t="s">
        <v>15409</v>
      </c>
      <c r="B7426" s="123">
        <v>1463101.0</v>
      </c>
      <c r="C7426" s="124" t="s">
        <v>15410</v>
      </c>
      <c r="D7426" s="125"/>
      <c r="E7426" s="126">
        <v>101.76</v>
      </c>
      <c r="F7426" s="127"/>
      <c r="G7426" s="127"/>
      <c r="H7426" s="127"/>
      <c r="I7426" s="128"/>
      <c r="K7426" s="105" t="str">
        <f>IFERROR(__xludf.DUMMYFUNCTION("if(A7426="""","""",substitute(SUBSTITUTE(index(importhtml(""http://finviz.com/quote.ashx?t=""&amp;A7426,""table"",10),7,2),""*"",""""),""-"",""0.00""))"),"Loading...")</f>
        <v>Loading...</v>
      </c>
      <c r="L7426" s="129">
        <v>1.3895450403E10</v>
      </c>
      <c r="M7426" s="99">
        <v>1.48</v>
      </c>
    </row>
    <row r="7427">
      <c r="A7427" s="122" t="s">
        <v>15411</v>
      </c>
      <c r="B7427" s="123">
        <v>34903.0</v>
      </c>
      <c r="C7427" s="124" t="s">
        <v>15412</v>
      </c>
      <c r="D7427" s="125"/>
      <c r="E7427" s="126">
        <v>101.97</v>
      </c>
      <c r="F7427" s="127"/>
      <c r="G7427" s="127"/>
      <c r="H7427" s="127"/>
      <c r="I7427" s="128"/>
      <c r="K7427" s="55" t="s">
        <v>15413</v>
      </c>
      <c r="L7427" s="129">
        <v>8.323112705E9</v>
      </c>
      <c r="M7427" s="99">
        <v>1.21</v>
      </c>
    </row>
    <row r="7428">
      <c r="A7428" s="122" t="s">
        <v>15414</v>
      </c>
      <c r="B7428" s="123">
        <v>34088.0</v>
      </c>
      <c r="C7428" s="124" t="s">
        <v>15415</v>
      </c>
      <c r="D7428" s="125"/>
      <c r="E7428" s="126">
        <v>101.97</v>
      </c>
      <c r="F7428" s="150"/>
      <c r="G7428" s="150"/>
      <c r="H7428" s="127"/>
      <c r="I7428" s="128"/>
      <c r="K7428" s="105" t="str">
        <f>IFERROR(__xludf.DUMMYFUNCTION("if(A7428="""","""",substitute(SUBSTITUTE(index(importhtml(""http://finviz.com/quote.ashx?t=""&amp;A7428,""table"",10),7,2),""*"",""""),""-"",""0.00""))"),"Loading...")</f>
        <v>Loading...</v>
      </c>
      <c r="L7428" s="129">
        <v>4.07551151628E11</v>
      </c>
      <c r="M7428" s="99">
        <v>0.97</v>
      </c>
    </row>
    <row r="7429">
      <c r="A7429" s="122" t="s">
        <v>15416</v>
      </c>
      <c r="B7429" s="123">
        <v>7431.0</v>
      </c>
      <c r="C7429" s="124" t="s">
        <v>15417</v>
      </c>
      <c r="D7429" s="125"/>
      <c r="E7429" s="126">
        <v>102.27</v>
      </c>
      <c r="F7429" s="127"/>
      <c r="G7429" s="127"/>
      <c r="H7429" s="127"/>
      <c r="I7429" s="128"/>
      <c r="K7429" s="55" t="s">
        <v>11302</v>
      </c>
      <c r="L7429" s="129">
        <v>4.518317087E9</v>
      </c>
      <c r="M7429" s="99">
        <v>1.09</v>
      </c>
    </row>
    <row r="7430">
      <c r="A7430" s="122" t="s">
        <v>15418</v>
      </c>
      <c r="B7430" s="123">
        <v>910631.0</v>
      </c>
      <c r="C7430" s="124" t="s">
        <v>15419</v>
      </c>
      <c r="D7430" s="125"/>
      <c r="E7430" s="126">
        <v>102.39</v>
      </c>
      <c r="F7430" s="127"/>
      <c r="G7430" s="127"/>
      <c r="H7430" s="127"/>
      <c r="I7430" s="128"/>
      <c r="K7430" s="105" t="str">
        <f>IFERROR(__xludf.DUMMYFUNCTION("if(A7430="""","""",substitute(SUBSTITUTE(index(importhtml(""http://finviz.com/quote.ashx?t=""&amp;A7430,""table"",10),7,2),""*"",""""),""-"",""0.00""))"),"Loading...")</f>
        <v>Loading...</v>
      </c>
      <c r="L7430" s="129">
        <v>2.1492520947E10</v>
      </c>
      <c r="M7430" s="99">
        <v>0.88</v>
      </c>
    </row>
    <row r="7431">
      <c r="A7431" s="122" t="s">
        <v>15420</v>
      </c>
      <c r="B7431" s="123">
        <v>19745.0</v>
      </c>
      <c r="C7431" s="124" t="s">
        <v>15421</v>
      </c>
      <c r="D7431" s="125"/>
      <c r="E7431" s="126">
        <v>102.61</v>
      </c>
      <c r="F7431" s="127"/>
      <c r="G7431" s="127"/>
      <c r="H7431" s="127"/>
      <c r="I7431" s="128"/>
      <c r="K7431" s="55" t="s">
        <v>15422</v>
      </c>
      <c r="L7431" s="129">
        <v>2.28156825E9</v>
      </c>
      <c r="M7431" s="99">
        <v>0.6</v>
      </c>
    </row>
    <row r="7432">
      <c r="A7432" s="122" t="s">
        <v>15423</v>
      </c>
      <c r="B7432" s="123">
        <v>76605.0</v>
      </c>
      <c r="C7432" s="124" t="s">
        <v>15424</v>
      </c>
      <c r="D7432" s="125"/>
      <c r="E7432" s="126">
        <v>102.66</v>
      </c>
      <c r="F7432" s="127"/>
      <c r="G7432" s="127"/>
      <c r="H7432" s="127"/>
      <c r="I7432" s="128"/>
      <c r="K7432" s="105" t="str">
        <f>IFERROR(__xludf.DUMMYFUNCTION("if(A7432="""","""",substitute(SUBSTITUTE(index(importhtml(""http://finviz.com/quote.ashx?t=""&amp;A7432,""table"",10),7,2),""*"",""""),""-"",""0.00""))"),"Loading...")</f>
        <v>Loading...</v>
      </c>
      <c r="L7432" s="129">
        <v>2.272311425E9</v>
      </c>
      <c r="M7432" s="99">
        <v>1.71</v>
      </c>
    </row>
    <row r="7433">
      <c r="A7433" s="122" t="s">
        <v>15425</v>
      </c>
      <c r="B7433" s="123">
        <v>1353615.0</v>
      </c>
      <c r="C7433" s="124" t="s">
        <v>15426</v>
      </c>
      <c r="D7433" s="125"/>
      <c r="E7433" s="126">
        <v>102.7</v>
      </c>
      <c r="F7433" s="127"/>
      <c r="G7433" s="127"/>
      <c r="H7433" s="127"/>
      <c r="I7433" s="128"/>
      <c r="K7433" s="55" t="s">
        <v>3453</v>
      </c>
      <c r="L7433" s="129" t="e">
        <v>#N/A</v>
      </c>
      <c r="M7433" s="99" t="str">
        <f>IFERROR(__xludf.DUMMYFUNCTION("GOOGLEFINANCE(A7433,""beta"")"),"#N/A")</f>
        <v>#N/A</v>
      </c>
    </row>
    <row r="7434">
      <c r="A7434" s="122" t="s">
        <v>15427</v>
      </c>
      <c r="B7434" s="123">
        <v>1329099.0</v>
      </c>
      <c r="C7434" s="124" t="s">
        <v>15428</v>
      </c>
      <c r="D7434" s="125"/>
      <c r="E7434" s="126">
        <v>102.79</v>
      </c>
      <c r="F7434" s="127"/>
      <c r="G7434" s="127"/>
      <c r="H7434" s="127"/>
      <c r="I7434" s="128"/>
      <c r="K7434" s="105" t="str">
        <f>IFERROR(__xludf.DUMMYFUNCTION("if(A7434="""","""",substitute(SUBSTITUTE(index(importhtml(""http://finviz.com/quote.ashx?t=""&amp;A7434,""table"",10),7,2),""*"",""""),""-"",""0.00""))"),"Loading...")</f>
        <v>Loading...</v>
      </c>
      <c r="L7434" s="129">
        <v>3.5935086229E10</v>
      </c>
      <c r="M7434" s="99">
        <v>0.69</v>
      </c>
    </row>
    <row r="7435">
      <c r="A7435" s="122" t="s">
        <v>15429</v>
      </c>
      <c r="B7435" s="123">
        <v>1552653.0</v>
      </c>
      <c r="C7435" s="124" t="s">
        <v>15430</v>
      </c>
      <c r="D7435" s="125"/>
      <c r="E7435" s="126">
        <v>103.0</v>
      </c>
      <c r="F7435" s="127"/>
      <c r="G7435" s="127"/>
      <c r="H7435" s="127"/>
      <c r="I7435" s="128"/>
      <c r="K7435" s="105" t="str">
        <f>IFERROR(__xludf.DUMMYFUNCTION("if(A7435="""","""",substitute(SUBSTITUTE(index(importhtml(""http://finviz.com/quote.ashx?t=""&amp;A7435,""table"",10),7,2),""*"",""""),""-"",""0.00""))"),"Loading...")</f>
        <v>Loading...</v>
      </c>
      <c r="L7435" s="129">
        <v>4.9440831E9</v>
      </c>
      <c r="M7435" s="99">
        <v>0.78</v>
      </c>
    </row>
    <row r="7436">
      <c r="A7436" s="122" t="s">
        <v>15431</v>
      </c>
      <c r="B7436" s="123">
        <v>1855467.0</v>
      </c>
      <c r="C7436" s="124" t="s">
        <v>15432</v>
      </c>
      <c r="D7436" s="125"/>
      <c r="E7436" s="126">
        <v>103.0</v>
      </c>
      <c r="F7436" s="127"/>
      <c r="G7436" s="127"/>
      <c r="H7436" s="127"/>
      <c r="I7436" s="128"/>
      <c r="K7436" s="105" t="str">
        <f>IFERROR(__xludf.DUMMYFUNCTION("if(A7436="""","""",substitute(SUBSTITUTE(index(importhtml(""http://finviz.com/quote.ashx?t=""&amp;A7436,""table"",10),7,2),""*"",""""),""-"",""0.00""))"),"Loading...")</f>
        <v>Loading...</v>
      </c>
      <c r="L7436" s="129">
        <v>2.6471E11</v>
      </c>
      <c r="M7436" s="99" t="str">
        <f>IFERROR(__xludf.DUMMYFUNCTION("GOOGLEFINANCE(A7436,""beta"")"),"#N/A")</f>
        <v>#N/A</v>
      </c>
    </row>
    <row r="7437">
      <c r="A7437" s="122" t="s">
        <v>15433</v>
      </c>
      <c r="B7437" s="123">
        <v>1029199.0</v>
      </c>
      <c r="C7437" s="124" t="s">
        <v>15434</v>
      </c>
      <c r="D7437" s="125"/>
      <c r="E7437" s="126">
        <v>103.02</v>
      </c>
      <c r="F7437" s="127"/>
      <c r="G7437" s="127"/>
      <c r="H7437" s="127"/>
      <c r="I7437" s="128"/>
      <c r="K7437" s="105" t="str">
        <f>IFERROR(__xludf.DUMMYFUNCTION("if(A7437="""","""",substitute(SUBSTITUTE(index(importhtml(""http://finviz.com/quote.ashx?t=""&amp;A7437,""table"",10),7,2),""*"",""""),""-"",""0.00""))"),"Loading...")</f>
        <v>Loading...</v>
      </c>
      <c r="L7437" s="129">
        <v>4.751429563E9</v>
      </c>
      <c r="M7437" s="99">
        <v>1.4</v>
      </c>
    </row>
    <row r="7438">
      <c r="A7438" s="122" t="s">
        <v>15435</v>
      </c>
      <c r="B7438" s="123">
        <v>1289848.0</v>
      </c>
      <c r="C7438" s="124" t="s">
        <v>15436</v>
      </c>
      <c r="D7438" s="125"/>
      <c r="E7438" s="126">
        <v>103.1</v>
      </c>
      <c r="F7438" s="127"/>
      <c r="G7438" s="127"/>
      <c r="H7438" s="127"/>
      <c r="I7438" s="128"/>
      <c r="K7438" s="105" t="str">
        <f>IFERROR(__xludf.DUMMYFUNCTION("if(A7438="""","""",substitute(SUBSTITUTE(index(importhtml(""http://finviz.com/quote.ashx?t=""&amp;A7438,""table"",10),7,2),""*"",""""),""-"",""0.00""))"),"Loading...")</f>
        <v>Loading...</v>
      </c>
      <c r="L7438" s="129">
        <v>1.932904337E9</v>
      </c>
      <c r="M7438" s="99">
        <v>0.6</v>
      </c>
    </row>
    <row r="7439">
      <c r="A7439" s="122" t="s">
        <v>15437</v>
      </c>
      <c r="B7439" s="123">
        <v>75362.0</v>
      </c>
      <c r="C7439" s="124" t="s">
        <v>15438</v>
      </c>
      <c r="D7439" s="125"/>
      <c r="E7439" s="126">
        <v>103.12</v>
      </c>
      <c r="F7439" s="127"/>
      <c r="G7439" s="127"/>
      <c r="H7439" s="127"/>
      <c r="I7439" s="128"/>
      <c r="K7439" s="105" t="str">
        <f>IFERROR(__xludf.DUMMYFUNCTION("if(A7439="""","""",substitute(SUBSTITUTE(index(importhtml(""http://finviz.com/quote.ashx?t=""&amp;A7439,""table"",10),7,2),""*"",""""),""-"",""0.00""))"),"Loading...")</f>
        <v>Loading...</v>
      </c>
      <c r="L7439" s="129">
        <v>5.3939577932E10</v>
      </c>
      <c r="M7439" s="99">
        <v>0.89</v>
      </c>
    </row>
    <row r="7440">
      <c r="A7440" s="122" t="s">
        <v>15439</v>
      </c>
      <c r="B7440" s="123">
        <v>1858681.0</v>
      </c>
      <c r="C7440" s="124" t="s">
        <v>15440</v>
      </c>
      <c r="D7440" s="125"/>
      <c r="E7440" s="126">
        <v>103.13</v>
      </c>
      <c r="F7440" s="127"/>
      <c r="G7440" s="127"/>
      <c r="H7440" s="127"/>
      <c r="I7440" s="128"/>
      <c r="K7440" s="55" t="s">
        <v>12990</v>
      </c>
      <c r="L7440" s="129">
        <v>6.1877998352E10</v>
      </c>
      <c r="M7440" s="99">
        <v>1.62</v>
      </c>
    </row>
    <row r="7441">
      <c r="A7441" s="122" t="s">
        <v>15441</v>
      </c>
      <c r="B7441" s="123">
        <v>1842939.0</v>
      </c>
      <c r="C7441" s="124" t="s">
        <v>15442</v>
      </c>
      <c r="D7441" s="125"/>
      <c r="E7441" s="126">
        <v>103.2</v>
      </c>
      <c r="F7441" s="127"/>
      <c r="G7441" s="127"/>
      <c r="H7441" s="127"/>
      <c r="I7441" s="128"/>
      <c r="K7441" s="105" t="str">
        <f>IFERROR(__xludf.DUMMYFUNCTION("if(A7441="""","""",substitute(SUBSTITUTE(index(importhtml(""http://finviz.com/quote.ashx?t=""&amp;A7441,""table"",10),7,2),""*"",""""),""-"",""0.00""))"),"Loading...")</f>
        <v>Loading...</v>
      </c>
      <c r="L7441" s="129">
        <v>2.174828032E9</v>
      </c>
      <c r="M7441" s="99" t="str">
        <f>IFERROR(__xludf.DUMMYFUNCTION("GOOGLEFINANCE(A7441,""beta"")"),"#N/A")</f>
        <v>#N/A</v>
      </c>
    </row>
    <row r="7442">
      <c r="A7442" s="122" t="s">
        <v>15443</v>
      </c>
      <c r="B7442" s="123">
        <v>1137774.0</v>
      </c>
      <c r="C7442" s="124" t="s">
        <v>15444</v>
      </c>
      <c r="D7442" s="125"/>
      <c r="E7442" s="126">
        <v>103.21</v>
      </c>
      <c r="F7442" s="127"/>
      <c r="G7442" s="127"/>
      <c r="H7442" s="127"/>
      <c r="I7442" s="128"/>
      <c r="K7442" s="105" t="str">
        <f>IFERROR(__xludf.DUMMYFUNCTION("if(A7442="""","""",substitute(SUBSTITUTE(index(importhtml(""http://finviz.com/quote.ashx?t=""&amp;A7442,""table"",10),7,2),""*"",""""),""-"",""0.00""))"),"Loading...")</f>
        <v>Loading...</v>
      </c>
      <c r="L7442" s="129">
        <v>3.7258809669E10</v>
      </c>
      <c r="M7442" s="99">
        <v>1.37</v>
      </c>
    </row>
    <row r="7443">
      <c r="A7443" s="122" t="s">
        <v>15445</v>
      </c>
      <c r="B7443" s="123">
        <v>820313.0</v>
      </c>
      <c r="C7443" s="124" t="s">
        <v>15446</v>
      </c>
      <c r="D7443" s="125"/>
      <c r="E7443" s="126">
        <v>103.46</v>
      </c>
      <c r="F7443" s="127"/>
      <c r="G7443" s="127"/>
      <c r="H7443" s="127"/>
      <c r="I7443" s="128"/>
      <c r="K7443" s="55" t="s">
        <v>7812</v>
      </c>
      <c r="L7443" s="129">
        <v>6.1901162398E10</v>
      </c>
      <c r="M7443" s="99">
        <v>1.3</v>
      </c>
    </row>
    <row r="7444">
      <c r="A7444" s="122" t="s">
        <v>15447</v>
      </c>
      <c r="B7444" s="123">
        <v>721371.0</v>
      </c>
      <c r="C7444" s="124" t="s">
        <v>15448</v>
      </c>
      <c r="D7444" s="125"/>
      <c r="E7444" s="126">
        <v>103.46</v>
      </c>
      <c r="F7444" s="127"/>
      <c r="G7444" s="127"/>
      <c r="H7444" s="127"/>
      <c r="I7444" s="128"/>
      <c r="K7444" s="55" t="s">
        <v>15119</v>
      </c>
      <c r="L7444" s="129">
        <v>2.54995894E10</v>
      </c>
      <c r="M7444" s="99">
        <v>0.69</v>
      </c>
    </row>
    <row r="7445">
      <c r="A7445" s="122" t="s">
        <v>15449</v>
      </c>
      <c r="B7445" s="123">
        <v>1604778.0</v>
      </c>
      <c r="C7445" s="124" t="s">
        <v>15450</v>
      </c>
      <c r="D7445" s="125"/>
      <c r="E7445" s="126">
        <v>103.59</v>
      </c>
      <c r="F7445" s="127"/>
      <c r="G7445" s="127"/>
      <c r="H7445" s="127"/>
      <c r="I7445" s="128"/>
      <c r="K7445" s="105" t="str">
        <f>IFERROR(__xludf.DUMMYFUNCTION("if(A7445="""","""",substitute(SUBSTITUTE(index(importhtml(""http://finviz.com/quote.ashx?t=""&amp;A7445,""table"",10),7,2),""*"",""""),""-"",""0.00""))"),"Loading...")</f>
        <v>Loading...</v>
      </c>
      <c r="L7445" s="129">
        <v>1.0084042778E10</v>
      </c>
      <c r="M7445" s="99">
        <v>1.55</v>
      </c>
    </row>
    <row r="7446">
      <c r="A7446" s="122" t="s">
        <v>15451</v>
      </c>
      <c r="B7446" s="123">
        <v>1114448.0</v>
      </c>
      <c r="C7446" s="124" t="s">
        <v>15209</v>
      </c>
      <c r="D7446" s="125"/>
      <c r="E7446" s="126">
        <v>103.72</v>
      </c>
      <c r="F7446" s="127"/>
      <c r="G7446" s="127"/>
      <c r="H7446" s="127"/>
      <c r="I7446" s="128"/>
      <c r="K7446" s="105" t="str">
        <f>IFERROR(__xludf.DUMMYFUNCTION("if(A7446="""","""",substitute(SUBSTITUTE(index(importhtml(""http://finviz.com/quote.ashx?t=""&amp;A7446,""table"",10),7,2),""*"",""""),""-"",""0.00""))"),"Loading...")</f>
        <v>Loading...</v>
      </c>
      <c r="L7446" s="129">
        <v>2.36821700667E11</v>
      </c>
      <c r="M7446" s="99">
        <v>0.53</v>
      </c>
    </row>
    <row r="7447">
      <c r="A7447" s="122" t="s">
        <v>15452</v>
      </c>
      <c r="B7447" s="123">
        <v>1114483.0</v>
      </c>
      <c r="C7447" s="124" t="s">
        <v>15453</v>
      </c>
      <c r="D7447" s="125"/>
      <c r="E7447" s="126">
        <v>103.91</v>
      </c>
      <c r="F7447" s="127"/>
      <c r="G7447" s="127"/>
      <c r="H7447" s="127"/>
      <c r="I7447" s="128"/>
      <c r="K7447" s="105" t="str">
        <f>IFERROR(__xludf.DUMMYFUNCTION("if(A7447="""","""",substitute(SUBSTITUTE(index(importhtml(""http://finviz.com/quote.ashx?t=""&amp;A7447,""table"",10),7,2),""*"",""""),""-"",""0.00""))"),"Loading...")</f>
        <v>Loading...</v>
      </c>
      <c r="L7447" s="129">
        <v>3.462971284E9</v>
      </c>
      <c r="M7447" s="99">
        <v>1.09</v>
      </c>
    </row>
    <row r="7448">
      <c r="A7448" s="122" t="s">
        <v>15454</v>
      </c>
      <c r="B7448" s="123">
        <v>39263.0</v>
      </c>
      <c r="C7448" s="124" t="s">
        <v>15455</v>
      </c>
      <c r="D7448" s="125"/>
      <c r="E7448" s="126">
        <v>104.19</v>
      </c>
      <c r="F7448" s="127"/>
      <c r="G7448" s="127"/>
      <c r="H7448" s="127"/>
      <c r="I7448" s="128"/>
      <c r="K7448" s="55" t="s">
        <v>15456</v>
      </c>
      <c r="L7448" s="129">
        <v>6.687434264E9</v>
      </c>
      <c r="M7448" s="99">
        <v>1.04</v>
      </c>
    </row>
    <row r="7449">
      <c r="A7449" s="122" t="s">
        <v>15457</v>
      </c>
      <c r="B7449" s="123">
        <v>1507079.0</v>
      </c>
      <c r="C7449" s="124" t="s">
        <v>15458</v>
      </c>
      <c r="D7449" s="125"/>
      <c r="E7449" s="126">
        <v>104.66</v>
      </c>
      <c r="F7449" s="127"/>
      <c r="G7449" s="127"/>
      <c r="H7449" s="127"/>
      <c r="I7449" s="128"/>
      <c r="K7449" s="55" t="s">
        <v>1034</v>
      </c>
      <c r="L7449" s="129">
        <v>1.1153595658E10</v>
      </c>
      <c r="M7449" s="99">
        <v>1.83</v>
      </c>
    </row>
    <row r="7450">
      <c r="A7450" s="122" t="s">
        <v>15459</v>
      </c>
      <c r="B7450" s="123">
        <v>1405495.0</v>
      </c>
      <c r="C7450" s="124" t="s">
        <v>15460</v>
      </c>
      <c r="D7450" s="125"/>
      <c r="E7450" s="126">
        <v>104.69</v>
      </c>
      <c r="F7450" s="127"/>
      <c r="G7450" s="127"/>
      <c r="H7450" s="127"/>
      <c r="I7450" s="128"/>
      <c r="K7450" s="105" t="str">
        <f>IFERROR(__xludf.DUMMYFUNCTION("if(A7450="""","""",substitute(SUBSTITUTE(index(importhtml(""http://finviz.com/quote.ashx?t=""&amp;A7450,""table"",10),7,2),""*"",""""),""-"",""0.00""))"),"Loading...")</f>
        <v>Loading...</v>
      </c>
      <c r="L7450" s="129">
        <v>2.690862836E9</v>
      </c>
      <c r="M7450" s="99">
        <v>1.34</v>
      </c>
    </row>
    <row r="7451">
      <c r="A7451" s="122" t="s">
        <v>15461</v>
      </c>
      <c r="B7451" s="123">
        <v>866706.0</v>
      </c>
      <c r="C7451" s="124" t="s">
        <v>15462</v>
      </c>
      <c r="D7451" s="125"/>
      <c r="E7451" s="126">
        <v>104.92</v>
      </c>
      <c r="F7451" s="127"/>
      <c r="G7451" s="127"/>
      <c r="H7451" s="127"/>
      <c r="I7451" s="128"/>
      <c r="K7451" s="55" t="s">
        <v>6234</v>
      </c>
      <c r="L7451" s="129">
        <v>2.707477339E9</v>
      </c>
      <c r="M7451" s="99">
        <v>1.16</v>
      </c>
    </row>
    <row r="7452">
      <c r="A7452" s="122" t="s">
        <v>15463</v>
      </c>
      <c r="B7452" s="123">
        <v>1114448.0</v>
      </c>
      <c r="C7452" s="124" t="s">
        <v>15209</v>
      </c>
      <c r="D7452" s="125"/>
      <c r="E7452" s="126">
        <v>105.0</v>
      </c>
      <c r="F7452" s="127"/>
      <c r="G7452" s="127"/>
      <c r="H7452" s="127"/>
      <c r="I7452" s="128"/>
      <c r="K7452" s="105" t="str">
        <f>IFERROR(__xludf.DUMMYFUNCTION("if(A7452="""","""",substitute(SUBSTITUTE(index(importhtml(""http://finviz.com/quote.ashx?t=""&amp;A7452,""table"",10),7,2),""*"",""""),""-"",""0.00""))"),"Loading...")</f>
        <v>Loading...</v>
      </c>
      <c r="L7452" s="129">
        <v>2.36821700667E11</v>
      </c>
      <c r="M7452" s="99">
        <v>0.58</v>
      </c>
    </row>
    <row r="7453">
      <c r="A7453" s="122" t="s">
        <v>15464</v>
      </c>
      <c r="B7453" s="123">
        <v>880117.0</v>
      </c>
      <c r="C7453" s="124" t="s">
        <v>15465</v>
      </c>
      <c r="D7453" s="125"/>
      <c r="E7453" s="126">
        <v>105.04</v>
      </c>
      <c r="F7453" s="127"/>
      <c r="G7453" s="127"/>
      <c r="H7453" s="127"/>
      <c r="I7453" s="128"/>
      <c r="K7453" s="105" t="str">
        <f>IFERROR(__xludf.DUMMYFUNCTION("if(A7453="""","""",substitute(SUBSTITUTE(index(importhtml(""http://finviz.com/quote.ashx?t=""&amp;A7453,""table"",10),7,2),""*"",""""),""-"",""0.00""))"),"Loading...")</f>
        <v>Loading...</v>
      </c>
      <c r="L7453" s="129">
        <v>1.215361128E9</v>
      </c>
      <c r="M7453" s="99">
        <v>0.05</v>
      </c>
    </row>
    <row r="7454">
      <c r="A7454" s="122" t="s">
        <v>15466</v>
      </c>
      <c r="B7454" s="123">
        <v>936340.0</v>
      </c>
      <c r="C7454" s="124" t="s">
        <v>15467</v>
      </c>
      <c r="D7454" s="125"/>
      <c r="E7454" s="126">
        <v>105.08</v>
      </c>
      <c r="F7454" s="127"/>
      <c r="G7454" s="127"/>
      <c r="H7454" s="127"/>
      <c r="I7454" s="128"/>
      <c r="K7454" s="55" t="s">
        <v>15468</v>
      </c>
      <c r="L7454" s="129">
        <v>2.1673664573E10</v>
      </c>
      <c r="M7454" s="99">
        <v>0.65</v>
      </c>
    </row>
    <row r="7455">
      <c r="A7455" s="122" t="s">
        <v>15469</v>
      </c>
      <c r="B7455" s="123">
        <v>817720.0</v>
      </c>
      <c r="C7455" s="124" t="s">
        <v>15470</v>
      </c>
      <c r="D7455" s="125"/>
      <c r="E7455" s="126">
        <v>105.2</v>
      </c>
      <c r="F7455" s="127"/>
      <c r="G7455" s="127"/>
      <c r="H7455" s="127"/>
      <c r="I7455" s="128"/>
      <c r="K7455" s="105" t="str">
        <f>IFERROR(__xludf.DUMMYFUNCTION("if(A7455="""","""",substitute(SUBSTITUTE(index(importhtml(""http://finviz.com/quote.ashx?t=""&amp;A7455,""table"",10),7,2),""*"",""""),""-"",""0.00""))"),"Loading...")</f>
        <v>Loading...</v>
      </c>
      <c r="L7455" s="129">
        <v>4.123833568E9</v>
      </c>
      <c r="M7455" s="99">
        <v>1.61</v>
      </c>
    </row>
    <row r="7456">
      <c r="A7456" s="122" t="s">
        <v>15471</v>
      </c>
      <c r="B7456" s="123">
        <v>1415311.0</v>
      </c>
      <c r="C7456" s="124" t="s">
        <v>15472</v>
      </c>
      <c r="D7456" s="125"/>
      <c r="E7456" s="126">
        <v>105.21</v>
      </c>
      <c r="F7456" s="127"/>
      <c r="G7456" s="127"/>
      <c r="H7456" s="127"/>
      <c r="I7456" s="128"/>
      <c r="K7456" s="105" t="str">
        <f>IFERROR(__xludf.DUMMYFUNCTION("if(A7456="""","""",substitute(SUBSTITUTE(index(importhtml(""http://finviz.com/quote.ashx?t=""&amp;A7456,""table"",10),7,2),""*"",""""),""-"",""0.00""))"),"Loading...")</f>
        <v>Loading...</v>
      </c>
      <c r="L7456" s="129" t="e">
        <v>#N/A</v>
      </c>
      <c r="M7456" s="99" t="str">
        <f>IFERROR(__xludf.DUMMYFUNCTION("GOOGLEFINANCE(A7456,""beta"")"),"#N/A")</f>
        <v>#N/A</v>
      </c>
    </row>
    <row r="7457">
      <c r="A7457" s="122" t="s">
        <v>15473</v>
      </c>
      <c r="B7457" s="123">
        <v>88205.0</v>
      </c>
      <c r="C7457" s="124" t="s">
        <v>15474</v>
      </c>
      <c r="D7457" s="125"/>
      <c r="E7457" s="126">
        <v>105.57</v>
      </c>
      <c r="F7457" s="127"/>
      <c r="G7457" s="127"/>
      <c r="H7457" s="127"/>
      <c r="I7457" s="128"/>
      <c r="K7457" s="105" t="str">
        <f>IFERROR(__xludf.DUMMYFUNCTION("if(A7457="""","""",substitute(SUBSTITUTE(index(importhtml(""http://finviz.com/quote.ashx?t=""&amp;A7457,""table"",10),7,2),""*"",""""),""-"",""0.00""))"),"Loading...")</f>
        <v>Loading...</v>
      </c>
      <c r="L7457" s="129">
        <v>4.819072014E9</v>
      </c>
      <c r="M7457" s="99">
        <v>1.25</v>
      </c>
    </row>
    <row r="7458">
      <c r="A7458" s="122" t="s">
        <v>15475</v>
      </c>
      <c r="B7458" s="123">
        <v>1090425.0</v>
      </c>
      <c r="C7458" s="124" t="s">
        <v>15476</v>
      </c>
      <c r="D7458" s="125"/>
      <c r="E7458" s="126">
        <v>105.67</v>
      </c>
      <c r="F7458" s="127"/>
      <c r="G7458" s="127"/>
      <c r="H7458" s="127"/>
      <c r="I7458" s="128"/>
      <c r="K7458" s="105" t="str">
        <f>IFERROR(__xludf.DUMMYFUNCTION("if(A7458="""","""",substitute(SUBSTITUTE(index(importhtml(""http://finviz.com/quote.ashx?t=""&amp;A7458,""table"",10),7,2),""*"",""""),""-"",""0.00""))"),"Loading...")</f>
        <v>Loading...</v>
      </c>
      <c r="L7458" s="129">
        <v>1.077813904E10</v>
      </c>
      <c r="M7458" s="99">
        <v>1.48</v>
      </c>
    </row>
    <row r="7459">
      <c r="A7459" s="122" t="s">
        <v>15477</v>
      </c>
      <c r="B7459" s="123">
        <v>1451809.0</v>
      </c>
      <c r="C7459" s="124" t="s">
        <v>15478</v>
      </c>
      <c r="D7459" s="125"/>
      <c r="E7459" s="126">
        <v>105.81</v>
      </c>
      <c r="F7459" s="127"/>
      <c r="G7459" s="127"/>
      <c r="H7459" s="127"/>
      <c r="I7459" s="128"/>
      <c r="K7459" s="105" t="str">
        <f>IFERROR(__xludf.DUMMYFUNCTION("if(A7459="""","""",substitute(SUBSTITUTE(index(importhtml(""http://finviz.com/quote.ashx?t=""&amp;A7459,""table"",10),7,2),""*"",""""),""-"",""0.00""))"),"Loading...")</f>
        <v>Loading...</v>
      </c>
      <c r="L7459" s="129">
        <v>2.401057394E9</v>
      </c>
      <c r="M7459" s="99">
        <v>1.86</v>
      </c>
    </row>
    <row r="7460">
      <c r="A7460" s="122" t="s">
        <v>15479</v>
      </c>
      <c r="B7460" s="123">
        <v>822416.0</v>
      </c>
      <c r="C7460" s="124" t="s">
        <v>15480</v>
      </c>
      <c r="D7460" s="125"/>
      <c r="E7460" s="126">
        <v>105.97</v>
      </c>
      <c r="F7460" s="127"/>
      <c r="G7460" s="127"/>
      <c r="H7460" s="127"/>
      <c r="I7460" s="128"/>
      <c r="K7460" s="105" t="str">
        <f>IFERROR(__xludf.DUMMYFUNCTION("if(A7460="""","""",substitute(SUBSTITUTE(index(importhtml(""http://finviz.com/quote.ashx?t=""&amp;A7460,""table"",10),7,2),""*"",""""),""-"",""0.00""))"),"Loading...")</f>
        <v>Loading...</v>
      </c>
      <c r="L7460" s="129">
        <v>2.2846591816E10</v>
      </c>
      <c r="M7460" s="99">
        <v>1.56</v>
      </c>
    </row>
    <row r="7461">
      <c r="A7461" s="122" t="s">
        <v>15481</v>
      </c>
      <c r="B7461" s="123">
        <v>927003.0</v>
      </c>
      <c r="C7461" s="124" t="s">
        <v>15482</v>
      </c>
      <c r="D7461" s="125"/>
      <c r="E7461" s="126">
        <v>106.04</v>
      </c>
      <c r="F7461" s="127"/>
      <c r="G7461" s="127"/>
      <c r="H7461" s="127"/>
      <c r="I7461" s="128"/>
      <c r="K7461" s="105" t="str">
        <f>IFERROR(__xludf.DUMMYFUNCTION("if(A7461="""","""",substitute(SUBSTITUTE(index(importhtml(""http://finviz.com/quote.ashx?t=""&amp;A7461,""table"",10),7,2),""*"",""""),""-"",""0.00""))"),"Loading...")</f>
        <v>Loading...</v>
      </c>
      <c r="L7461" s="129">
        <v>3.95324016E9</v>
      </c>
      <c r="M7461" s="99">
        <v>1.58</v>
      </c>
    </row>
    <row r="7462">
      <c r="A7462" s="122" t="s">
        <v>15483</v>
      </c>
      <c r="B7462" s="123">
        <v>1679273.0</v>
      </c>
      <c r="C7462" s="124" t="s">
        <v>15484</v>
      </c>
      <c r="D7462" s="125"/>
      <c r="E7462" s="126">
        <v>106.1</v>
      </c>
      <c r="F7462" s="127"/>
      <c r="G7462" s="127"/>
      <c r="H7462" s="127"/>
      <c r="I7462" s="128"/>
      <c r="K7462" s="138" t="s">
        <v>9402</v>
      </c>
      <c r="L7462" s="129">
        <v>1.5317922029E10</v>
      </c>
      <c r="M7462" s="99">
        <v>0.72</v>
      </c>
    </row>
    <row r="7463">
      <c r="A7463" s="122" t="s">
        <v>15485</v>
      </c>
      <c r="B7463" s="123">
        <v>1053706.0</v>
      </c>
      <c r="C7463" s="124" t="s">
        <v>15486</v>
      </c>
      <c r="D7463" s="125"/>
      <c r="E7463" s="126">
        <v>106.44</v>
      </c>
      <c r="F7463" s="127"/>
      <c r="G7463" s="127"/>
      <c r="H7463" s="127"/>
      <c r="I7463" s="128"/>
      <c r="K7463" s="105" t="str">
        <f>IFERROR(__xludf.DUMMYFUNCTION("if(A7463="""","""",substitute(SUBSTITUTE(index(importhtml(""http://finviz.com/quote.ashx?t=""&amp;A7463,""table"",10),7,2),""*"",""""),""-"",""0.00""))"),"Loading...")</f>
        <v>Loading...</v>
      </c>
      <c r="L7463" s="129">
        <v>7.45262561E8</v>
      </c>
      <c r="M7463" s="99">
        <v>1.19</v>
      </c>
    </row>
    <row r="7464">
      <c r="A7464" s="122" t="s">
        <v>15487</v>
      </c>
      <c r="B7464" s="123">
        <v>110621.0</v>
      </c>
      <c r="C7464" s="124" t="s">
        <v>15488</v>
      </c>
      <c r="D7464" s="125"/>
      <c r="E7464" s="126">
        <v>106.45</v>
      </c>
      <c r="F7464" s="127"/>
      <c r="G7464" s="127"/>
      <c r="H7464" s="127"/>
      <c r="I7464" s="128"/>
      <c r="K7464" s="105" t="str">
        <f>IFERROR(__xludf.DUMMYFUNCTION("if(A7464="""","""",substitute(SUBSTITUTE(index(importhtml(""http://finviz.com/quote.ashx?t=""&amp;A7464,""table"",10),7,2),""*"",""""),""-"",""0.00""))"),"Loading...")</f>
        <v>Loading...</v>
      </c>
      <c r="L7464" s="129">
        <v>1.3718434651E10</v>
      </c>
      <c r="M7464" s="99">
        <v>1.03</v>
      </c>
    </row>
    <row r="7465">
      <c r="A7465" s="122" t="s">
        <v>15489</v>
      </c>
      <c r="B7465" s="123">
        <v>1456346.0</v>
      </c>
      <c r="C7465" s="124" t="s">
        <v>15490</v>
      </c>
      <c r="D7465" s="125"/>
      <c r="E7465" s="126">
        <v>107.25</v>
      </c>
      <c r="F7465" s="127"/>
      <c r="G7465" s="127"/>
      <c r="H7465" s="127"/>
      <c r="I7465" s="128"/>
      <c r="K7465" s="55" t="s">
        <v>9764</v>
      </c>
      <c r="L7465" s="129">
        <v>2.7728593353E10</v>
      </c>
      <c r="M7465" s="99">
        <v>0.71</v>
      </c>
    </row>
    <row r="7466">
      <c r="A7466" s="122" t="s">
        <v>15491</v>
      </c>
      <c r="B7466" s="123">
        <v>1609711.0</v>
      </c>
      <c r="C7466" s="124" t="s">
        <v>15492</v>
      </c>
      <c r="D7466" s="125"/>
      <c r="E7466" s="126">
        <v>107.67</v>
      </c>
      <c r="F7466" s="127"/>
      <c r="G7466" s="127"/>
      <c r="H7466" s="127"/>
      <c r="I7466" s="128"/>
      <c r="K7466" s="105" t="str">
        <f>IFERROR(__xludf.DUMMYFUNCTION("if(A7466="""","""",substitute(SUBSTITUTE(index(importhtml(""http://finviz.com/quote.ashx?t=""&amp;A7466,""table"",10),7,2),""*"",""""),""-"",""0.00""))"),"Loading...")</f>
        <v>Loading...</v>
      </c>
      <c r="L7466" s="129">
        <v>1.5195509909E10</v>
      </c>
      <c r="M7466" s="99">
        <v>1.12</v>
      </c>
    </row>
    <row r="7467">
      <c r="A7467" s="122" t="s">
        <v>15493</v>
      </c>
      <c r="B7467" s="123">
        <v>1532961.0</v>
      </c>
      <c r="C7467" s="124" t="s">
        <v>15494</v>
      </c>
      <c r="D7467" s="125"/>
      <c r="E7467" s="126">
        <v>107.86</v>
      </c>
      <c r="F7467" s="127"/>
      <c r="G7467" s="127"/>
      <c r="H7467" s="127"/>
      <c r="I7467" s="128"/>
      <c r="K7467" s="105" t="str">
        <f>IFERROR(__xludf.DUMMYFUNCTION("if(A7467="""","""",substitute(SUBSTITUTE(index(importhtml(""http://finviz.com/quote.ashx?t=""&amp;A7467,""table"",10),7,2),""*"",""""),""-"",""0.00""))"),"Loading...")</f>
        <v>Loading...</v>
      </c>
      <c r="L7467" s="129">
        <v>1.714536098E9</v>
      </c>
      <c r="M7467" s="99">
        <v>1.12</v>
      </c>
    </row>
    <row r="7468">
      <c r="A7468" s="122" t="s">
        <v>15495</v>
      </c>
      <c r="B7468" s="123">
        <v>1051470.0</v>
      </c>
      <c r="C7468" s="124" t="s">
        <v>15496</v>
      </c>
      <c r="D7468" s="125"/>
      <c r="E7468" s="126">
        <v>108.32</v>
      </c>
      <c r="F7468" s="127"/>
      <c r="G7468" s="127"/>
      <c r="H7468" s="127"/>
      <c r="I7468" s="128"/>
      <c r="K7468" s="55" t="s">
        <v>15497</v>
      </c>
      <c r="L7468" s="129">
        <v>4.7010879867E10</v>
      </c>
      <c r="M7468" s="99">
        <v>0.73</v>
      </c>
    </row>
    <row r="7469">
      <c r="A7469" s="122" t="s">
        <v>15498</v>
      </c>
      <c r="B7469" s="123">
        <v>1704760.0</v>
      </c>
      <c r="C7469" s="124" t="s">
        <v>15499</v>
      </c>
      <c r="D7469" s="125"/>
      <c r="E7469" s="126">
        <v>108.5</v>
      </c>
      <c r="F7469" s="127"/>
      <c r="G7469" s="127"/>
      <c r="H7469" s="127"/>
      <c r="I7469" s="128"/>
      <c r="K7469" s="105" t="str">
        <f>IFERROR(__xludf.DUMMYFUNCTION("if(A7469="""","""",substitute(SUBSTITUTE(index(importhtml(""http://finviz.com/quote.ashx?t=""&amp;A7469,""table"",10),7,2),""*"",""""),""-"",""0.00""))"),"Loading...")</f>
        <v>Loading...</v>
      </c>
      <c r="L7469" s="129">
        <v>3.12790418E8</v>
      </c>
      <c r="M7469" s="99" t="str">
        <f>IFERROR(__xludf.DUMMYFUNCTION("GOOGLEFINANCE(A7469,""beta"")"),"#N/A")</f>
        <v>#N/A</v>
      </c>
    </row>
    <row r="7470">
      <c r="A7470" s="122" t="s">
        <v>15500</v>
      </c>
      <c r="B7470" s="123">
        <v>851968.0</v>
      </c>
      <c r="C7470" s="124" t="s">
        <v>15501</v>
      </c>
      <c r="D7470" s="125"/>
      <c r="E7470" s="126">
        <v>108.93</v>
      </c>
      <c r="F7470" s="127"/>
      <c r="G7470" s="127"/>
      <c r="H7470" s="127"/>
      <c r="I7470" s="128"/>
      <c r="K7470" s="105" t="str">
        <f>IFERROR(__xludf.DUMMYFUNCTION("if(A7470="""","""",substitute(SUBSTITUTE(index(importhtml(""http://finviz.com/quote.ashx?t=""&amp;A7470,""table"",10),7,2),""*"",""""),""-"",""0.00""))"),"Loading...")</f>
        <v>Loading...</v>
      </c>
      <c r="L7470" s="129">
        <v>6.936896618E9</v>
      </c>
      <c r="M7470" s="99">
        <v>1.31</v>
      </c>
    </row>
    <row r="7471">
      <c r="A7471" s="122" t="s">
        <v>15502</v>
      </c>
      <c r="B7471" s="123">
        <v>1049502.0</v>
      </c>
      <c r="C7471" s="124" t="s">
        <v>15503</v>
      </c>
      <c r="D7471" s="125"/>
      <c r="E7471" s="126">
        <v>109.35</v>
      </c>
      <c r="F7471" s="127"/>
      <c r="G7471" s="127"/>
      <c r="H7471" s="127"/>
      <c r="I7471" s="128"/>
      <c r="K7471" s="105" t="str">
        <f>IFERROR(__xludf.DUMMYFUNCTION("if(A7471="""","""",substitute(SUBSTITUTE(index(importhtml(""http://finviz.com/quote.ashx?t=""&amp;A7471,""table"",10),7,2),""*"",""""),""-"",""0.00""))"),"Loading...")</f>
        <v>Loading...</v>
      </c>
      <c r="L7471" s="129">
        <v>7.313162779E9</v>
      </c>
      <c r="M7471" s="99">
        <v>1.65</v>
      </c>
    </row>
    <row r="7472">
      <c r="A7472" s="122" t="s">
        <v>15504</v>
      </c>
      <c r="B7472" s="123">
        <v>1018840.0</v>
      </c>
      <c r="C7472" s="124" t="s">
        <v>15505</v>
      </c>
      <c r="D7472" s="125"/>
      <c r="E7472" s="126">
        <v>109.47</v>
      </c>
      <c r="F7472" s="127"/>
      <c r="G7472" s="127"/>
      <c r="H7472" s="127"/>
      <c r="I7472" s="128"/>
      <c r="K7472" s="55" t="s">
        <v>1034</v>
      </c>
      <c r="L7472" s="129">
        <v>5.517891241E9</v>
      </c>
      <c r="M7472" s="99">
        <v>1.55</v>
      </c>
    </row>
    <row r="7473">
      <c r="A7473" s="122" t="s">
        <v>15506</v>
      </c>
      <c r="B7473" s="123">
        <v>1792789.0</v>
      </c>
      <c r="C7473" s="124" t="s">
        <v>15507</v>
      </c>
      <c r="D7473" s="125"/>
      <c r="E7473" s="126">
        <v>109.5</v>
      </c>
      <c r="F7473" s="127"/>
      <c r="G7473" s="127"/>
      <c r="H7473" s="127"/>
      <c r="I7473" s="128"/>
      <c r="K7473" s="105" t="str">
        <f>IFERROR(__xludf.DUMMYFUNCTION("if(A7473="""","""",substitute(SUBSTITUTE(index(importhtml(""http://finviz.com/quote.ashx?t=""&amp;A7473,""table"",10),7,2),""*"",""""),""-"",""0.00""))"),"Loading...")</f>
        <v>Loading...</v>
      </c>
      <c r="L7473" s="129">
        <v>4.36038417E10</v>
      </c>
      <c r="M7473" s="99">
        <v>1.72</v>
      </c>
    </row>
    <row r="7474">
      <c r="A7474" s="122" t="s">
        <v>15508</v>
      </c>
      <c r="B7474" s="123">
        <v>1415311.0</v>
      </c>
      <c r="C7474" s="124" t="s">
        <v>15509</v>
      </c>
      <c r="D7474" s="125"/>
      <c r="E7474" s="126">
        <v>109.63</v>
      </c>
      <c r="F7474" s="127"/>
      <c r="G7474" s="127"/>
      <c r="H7474" s="127"/>
      <c r="I7474" s="128"/>
      <c r="K7474" s="105" t="str">
        <f>IFERROR(__xludf.DUMMYFUNCTION("if(A7474="""","""",substitute(SUBSTITUTE(index(importhtml(""http://finviz.com/quote.ashx?t=""&amp;A7474,""table"",10),7,2),""*"",""""),""-"",""0.00""))"),"Loading...")</f>
        <v>Loading...</v>
      </c>
      <c r="L7474" s="129" t="e">
        <v>#N/A</v>
      </c>
      <c r="M7474" s="99" t="str">
        <f>IFERROR(__xludf.DUMMYFUNCTION("GOOGLEFINANCE(A7474,""beta"")"),"#N/A")</f>
        <v>#N/A</v>
      </c>
    </row>
    <row r="7475">
      <c r="A7475" s="122" t="s">
        <v>15510</v>
      </c>
      <c r="B7475" s="123">
        <v>1113169.0</v>
      </c>
      <c r="C7475" s="124" t="s">
        <v>15511</v>
      </c>
      <c r="D7475" s="125"/>
      <c r="E7475" s="126">
        <v>109.74</v>
      </c>
      <c r="F7475" s="127"/>
      <c r="G7475" s="127"/>
      <c r="H7475" s="127"/>
      <c r="I7475" s="128"/>
      <c r="K7475" s="105" t="str">
        <f>IFERROR(__xludf.DUMMYFUNCTION("if(A7475="""","""",substitute(SUBSTITUTE(index(importhtml(""http://finviz.com/quote.ashx?t=""&amp;A7475,""table"",10),7,2),""*"",""""),""-"",""0.00""))"),"Loading...")</f>
        <v>Loading...</v>
      </c>
      <c r="L7475" s="129">
        <v>2.452361927E10</v>
      </c>
      <c r="M7475" s="99">
        <v>1.4</v>
      </c>
    </row>
    <row r="7476">
      <c r="A7476" s="122" t="s">
        <v>15512</v>
      </c>
      <c r="B7476" s="123">
        <v>106640.0</v>
      </c>
      <c r="C7476" s="124" t="s">
        <v>15513</v>
      </c>
      <c r="D7476" s="125"/>
      <c r="E7476" s="126">
        <v>110.44</v>
      </c>
      <c r="F7476" s="127"/>
      <c r="G7476" s="127"/>
      <c r="H7476" s="127"/>
      <c r="I7476" s="128"/>
      <c r="K7476" s="105" t="str">
        <f>IFERROR(__xludf.DUMMYFUNCTION("if(A7476="""","""",substitute(SUBSTITUTE(index(importhtml(""http://finviz.com/quote.ashx?t=""&amp;A7476,""table"",10),7,2),""*"",""""),""-"",""0.00""))"),"Loading...")</f>
        <v>Loading...</v>
      </c>
      <c r="L7476" s="129">
        <v>6.074200134E9</v>
      </c>
      <c r="M7476" s="99">
        <v>1.49</v>
      </c>
    </row>
    <row r="7477">
      <c r="A7477" s="122" t="s">
        <v>15514</v>
      </c>
      <c r="B7477" s="123">
        <v>1870129.0</v>
      </c>
      <c r="C7477" s="124" t="s">
        <v>15515</v>
      </c>
      <c r="D7477" s="125"/>
      <c r="E7477" s="126">
        <v>110.5</v>
      </c>
      <c r="F7477" s="127"/>
      <c r="G7477" s="127"/>
      <c r="H7477" s="127"/>
      <c r="I7477" s="128"/>
      <c r="K7477" s="105" t="str">
        <f>IFERROR(__xludf.DUMMYFUNCTION("if(A7477="""","""",substitute(SUBSTITUTE(index(importhtml(""http://finviz.com/quote.ashx?t=""&amp;A7477,""table"",10),7,2),""*"",""""),""-"",""0.00""))"),"Loading...")</f>
        <v>Loading...</v>
      </c>
      <c r="L7477" s="129">
        <v>4.70613533E9</v>
      </c>
      <c r="M7477" s="99" t="str">
        <f>IFERROR(__xludf.DUMMYFUNCTION("GOOGLEFINANCE(A7477,""beta"")"),"#N/A")</f>
        <v>#N/A</v>
      </c>
    </row>
    <row r="7478">
      <c r="A7478" s="122" t="s">
        <v>15516</v>
      </c>
      <c r="B7478" s="123">
        <v>1163165.0</v>
      </c>
      <c r="C7478" s="124" t="s">
        <v>15517</v>
      </c>
      <c r="D7478" s="125"/>
      <c r="E7478" s="126">
        <v>110.63</v>
      </c>
      <c r="F7478" s="127"/>
      <c r="G7478" s="127"/>
      <c r="H7478" s="127"/>
      <c r="I7478" s="128"/>
      <c r="K7478" s="55" t="s">
        <v>15518</v>
      </c>
      <c r="L7478" s="129">
        <v>1.31362833148E11</v>
      </c>
      <c r="M7478" s="99">
        <v>1.23</v>
      </c>
    </row>
    <row r="7479">
      <c r="A7479" s="122" t="s">
        <v>15519</v>
      </c>
      <c r="B7479" s="123">
        <v>1034670.0</v>
      </c>
      <c r="C7479" s="124" t="s">
        <v>15520</v>
      </c>
      <c r="D7479" s="125"/>
      <c r="E7479" s="126">
        <v>110.84</v>
      </c>
      <c r="F7479" s="127"/>
      <c r="G7479" s="127"/>
      <c r="H7479" s="127"/>
      <c r="I7479" s="128"/>
      <c r="K7479" s="55" t="s">
        <v>13658</v>
      </c>
      <c r="L7479" s="129">
        <v>9.160096614E9</v>
      </c>
      <c r="M7479" s="99">
        <v>1.71</v>
      </c>
    </row>
    <row r="7480">
      <c r="A7480" s="122" t="s">
        <v>15521</v>
      </c>
      <c r="B7480" s="123">
        <v>821189.0</v>
      </c>
      <c r="C7480" s="124" t="s">
        <v>15522</v>
      </c>
      <c r="D7480" s="125"/>
      <c r="E7480" s="126">
        <v>110.85</v>
      </c>
      <c r="F7480" s="127"/>
      <c r="G7480" s="127"/>
      <c r="H7480" s="127"/>
      <c r="I7480" s="128"/>
      <c r="K7480" s="55" t="s">
        <v>15523</v>
      </c>
      <c r="L7480" s="129">
        <v>6.464213227E10</v>
      </c>
      <c r="M7480" s="99">
        <v>1.39</v>
      </c>
    </row>
    <row r="7481">
      <c r="A7481" s="122" t="s">
        <v>15524</v>
      </c>
      <c r="B7481" s="123">
        <v>1336920.0</v>
      </c>
      <c r="C7481" s="124" t="s">
        <v>15525</v>
      </c>
      <c r="D7481" s="125"/>
      <c r="E7481" s="126">
        <v>110.93</v>
      </c>
      <c r="F7481" s="127"/>
      <c r="G7481" s="127"/>
      <c r="H7481" s="127"/>
      <c r="I7481" s="128"/>
      <c r="K7481" s="105" t="str">
        <f>IFERROR(__xludf.DUMMYFUNCTION("if(A7481="""","""",substitute(SUBSTITUTE(index(importhtml(""http://finviz.com/quote.ashx?t=""&amp;A7481,""table"",10),7,2),""*"",""""),""-"",""0.00""))"),"Loading...")</f>
        <v>Loading...</v>
      </c>
      <c r="L7481" s="129">
        <v>1.5253584993E10</v>
      </c>
      <c r="M7481" s="99">
        <v>0.68</v>
      </c>
    </row>
    <row r="7482">
      <c r="A7482" s="122" t="s">
        <v>15526</v>
      </c>
      <c r="B7482" s="123">
        <v>927066.0</v>
      </c>
      <c r="C7482" s="124" t="s">
        <v>15527</v>
      </c>
      <c r="D7482" s="125"/>
      <c r="E7482" s="126">
        <v>111.21</v>
      </c>
      <c r="F7482" s="127"/>
      <c r="G7482" s="127"/>
      <c r="H7482" s="127"/>
      <c r="I7482" s="128"/>
      <c r="K7482" s="55" t="s">
        <v>1034</v>
      </c>
      <c r="L7482" s="129">
        <v>1.0153472916E10</v>
      </c>
      <c r="M7482" s="99">
        <v>1.0</v>
      </c>
    </row>
    <row r="7483">
      <c r="A7483" s="122" t="s">
        <v>15528</v>
      </c>
      <c r="B7483" s="123">
        <v>1046257.0</v>
      </c>
      <c r="C7483" s="124" t="s">
        <v>15529</v>
      </c>
      <c r="D7483" s="125"/>
      <c r="E7483" s="126">
        <v>111.22</v>
      </c>
      <c r="F7483" s="127"/>
      <c r="G7483" s="127"/>
      <c r="H7483" s="127"/>
      <c r="I7483" s="128"/>
      <c r="K7483" s="105" t="str">
        <f>IFERROR(__xludf.DUMMYFUNCTION("if(A7483="""","""",substitute(SUBSTITUTE(index(importhtml(""http://finviz.com/quote.ashx?t=""&amp;A7483,""table"",10),7,2),""*"",""""),""-"",""0.00""))"),"Loading...")</f>
        <v>Loading...</v>
      </c>
      <c r="L7483" s="129">
        <v>7.250706592E9</v>
      </c>
      <c r="M7483" s="99">
        <v>0.79</v>
      </c>
    </row>
    <row r="7484">
      <c r="A7484" s="122" t="s">
        <v>15530</v>
      </c>
      <c r="B7484" s="123">
        <v>7536.0</v>
      </c>
      <c r="C7484" s="124" t="s">
        <v>15531</v>
      </c>
      <c r="D7484" s="125"/>
      <c r="E7484" s="126">
        <v>111.31</v>
      </c>
      <c r="F7484" s="127"/>
      <c r="G7484" s="127"/>
      <c r="H7484" s="127"/>
      <c r="I7484" s="128"/>
      <c r="K7484" s="55" t="s">
        <v>1034</v>
      </c>
      <c r="L7484" s="129">
        <v>6.028481568E9</v>
      </c>
      <c r="M7484" s="99">
        <v>1.4</v>
      </c>
    </row>
    <row r="7485">
      <c r="A7485" s="122" t="s">
        <v>15532</v>
      </c>
      <c r="B7485" s="123">
        <v>835271.0</v>
      </c>
      <c r="C7485" s="124" t="s">
        <v>15533</v>
      </c>
      <c r="D7485" s="125"/>
      <c r="E7485" s="126">
        <v>111.49</v>
      </c>
      <c r="F7485" s="127"/>
      <c r="G7485" s="127"/>
      <c r="H7485" s="127"/>
      <c r="I7485" s="128"/>
      <c r="K7485" s="105" t="str">
        <f>IFERROR(__xludf.DUMMYFUNCTION("if(A7485="""","""",substitute(SUBSTITUTE(index(importhtml(""http://finviz.com/quote.ashx?t=""&amp;A7485,""table"",10),7,2),""*"",""""),""-"",""0.00""))"),"Loading...")</f>
        <v>Loading...</v>
      </c>
      <c r="L7485" s="129" t="e">
        <v>#N/A</v>
      </c>
      <c r="M7485" s="99" t="str">
        <f>IFERROR(__xludf.DUMMYFUNCTION("GOOGLEFINANCE(A7485,""beta"")"),"#N/A")</f>
        <v>#N/A</v>
      </c>
    </row>
    <row r="7486">
      <c r="A7486" s="122" t="s">
        <v>15534</v>
      </c>
      <c r="B7486" s="123">
        <v>1711279.0</v>
      </c>
      <c r="C7486" s="124" t="s">
        <v>15535</v>
      </c>
      <c r="D7486" s="125"/>
      <c r="E7486" s="126">
        <v>111.8</v>
      </c>
      <c r="F7486" s="127"/>
      <c r="G7486" s="127"/>
      <c r="H7486" s="127"/>
      <c r="I7486" s="128"/>
      <c r="K7486" s="105" t="str">
        <f>IFERROR(__xludf.DUMMYFUNCTION("if(A7486="""","""",substitute(SUBSTITUTE(index(importhtml(""http://finviz.com/quote.ashx?t=""&amp;A7486,""table"",10),7,2),""*"",""""),""-"",""0.00""))"),"Loading...")</f>
        <v>Loading...</v>
      </c>
      <c r="L7486" s="129">
        <v>3.153466662E9</v>
      </c>
      <c r="M7486" s="99">
        <v>0.76</v>
      </c>
    </row>
    <row r="7487">
      <c r="A7487" s="122" t="s">
        <v>15536</v>
      </c>
      <c r="B7487" s="123">
        <v>1855751.0</v>
      </c>
      <c r="C7487" s="124" t="s">
        <v>15537</v>
      </c>
      <c r="D7487" s="125"/>
      <c r="E7487" s="126">
        <v>112.0</v>
      </c>
      <c r="F7487" s="127"/>
      <c r="G7487" s="127"/>
      <c r="H7487" s="127"/>
      <c r="I7487" s="128"/>
      <c r="K7487" s="105" t="str">
        <f>IFERROR(__xludf.DUMMYFUNCTION("if(A7487="""","""",substitute(SUBSTITUTE(index(importhtml(""http://finviz.com/quote.ashx?t=""&amp;A7487,""table"",10),7,2),""*"",""""),""-"",""0.00""))"),"Loading...")</f>
        <v>Loading...</v>
      </c>
      <c r="L7487" s="129">
        <v>4.3815499378E10</v>
      </c>
      <c r="M7487" s="99" t="str">
        <f>IFERROR(__xludf.DUMMYFUNCTION("GOOGLEFINANCE(A7487,""beta"")"),"#N/A")</f>
        <v>#N/A</v>
      </c>
    </row>
    <row r="7488">
      <c r="A7488" s="122" t="s">
        <v>15538</v>
      </c>
      <c r="B7488" s="123">
        <v>902791.0</v>
      </c>
      <c r="C7488" s="124" t="s">
        <v>15539</v>
      </c>
      <c r="D7488" s="125"/>
      <c r="E7488" s="126">
        <v>112.08</v>
      </c>
      <c r="F7488" s="127"/>
      <c r="G7488" s="127"/>
      <c r="H7488" s="127"/>
      <c r="I7488" s="128"/>
      <c r="K7488" s="105" t="str">
        <f>IFERROR(__xludf.DUMMYFUNCTION("if(A7488="""","""",substitute(SUBSTITUTE(index(importhtml(""http://finviz.com/quote.ashx?t=""&amp;A7488,""table"",10),7,2),""*"",""""),""-"",""0.00""))"),"Loading...")</f>
        <v>Loading...</v>
      </c>
      <c r="L7488" s="129">
        <v>7.4159448E8</v>
      </c>
      <c r="M7488" s="99">
        <v>1.38</v>
      </c>
    </row>
    <row r="7489">
      <c r="A7489" s="122" t="s">
        <v>15540</v>
      </c>
      <c r="B7489" s="123">
        <v>1800.0</v>
      </c>
      <c r="C7489" s="124" t="s">
        <v>15541</v>
      </c>
      <c r="D7489" s="125"/>
      <c r="E7489" s="126">
        <v>112.11</v>
      </c>
      <c r="F7489" s="127"/>
      <c r="G7489" s="127"/>
      <c r="H7489" s="127"/>
      <c r="I7489" s="128"/>
      <c r="K7489" s="55" t="s">
        <v>15542</v>
      </c>
      <c r="L7489" s="129">
        <v>1.94629463439E11</v>
      </c>
      <c r="M7489" s="99">
        <v>0.75</v>
      </c>
    </row>
    <row r="7490">
      <c r="A7490" s="122" t="s">
        <v>15543</v>
      </c>
      <c r="B7490" s="123">
        <v>353278.0</v>
      </c>
      <c r="C7490" s="124" t="s">
        <v>15544</v>
      </c>
      <c r="D7490" s="125"/>
      <c r="E7490" s="126">
        <v>112.2</v>
      </c>
      <c r="F7490" s="151"/>
      <c r="G7490" s="127"/>
      <c r="H7490" s="127"/>
      <c r="I7490" s="151" t="s">
        <v>15545</v>
      </c>
      <c r="K7490" s="105" t="str">
        <f>IFERROR(__xludf.DUMMYFUNCTION("if(A7490="""","""",substitute(SUBSTITUTE(index(importhtml(""http://finviz.com/quote.ashx?t=""&amp;A7490,""table"",10),7,2),""*"",""""),""-"",""0.00""))"),"Loading...")</f>
        <v>Loading...</v>
      </c>
      <c r="L7490" s="129">
        <v>3.86922454014E11</v>
      </c>
      <c r="M7490" s="99">
        <v>0.47</v>
      </c>
    </row>
    <row r="7491">
      <c r="A7491" s="122" t="s">
        <v>15546</v>
      </c>
      <c r="B7491" s="123">
        <v>20286.0</v>
      </c>
      <c r="C7491" s="124" t="s">
        <v>15547</v>
      </c>
      <c r="D7491" s="125"/>
      <c r="E7491" s="126">
        <v>112.22</v>
      </c>
      <c r="F7491" s="127"/>
      <c r="G7491" s="127"/>
      <c r="H7491" s="127"/>
      <c r="I7491" s="128"/>
      <c r="K7491" s="105" t="str">
        <f>IFERROR(__xludf.DUMMYFUNCTION("if(A7491="""","""",substitute(SUBSTITUTE(index(importhtml(""http://finviz.com/quote.ashx?t=""&amp;A7491,""table"",10),7,2),""*"",""""),""-"",""0.00""))"),"Loading...")</f>
        <v>Loading...</v>
      </c>
      <c r="L7491" s="129">
        <v>1.7608182285E10</v>
      </c>
      <c r="M7491" s="99">
        <v>0.63</v>
      </c>
    </row>
    <row r="7492">
      <c r="A7492" s="122" t="s">
        <v>15548</v>
      </c>
      <c r="B7492" s="123">
        <v>720005.0</v>
      </c>
      <c r="C7492" s="124" t="s">
        <v>15549</v>
      </c>
      <c r="D7492" s="125"/>
      <c r="E7492" s="126">
        <v>112.43</v>
      </c>
      <c r="F7492" s="127"/>
      <c r="G7492" s="127"/>
      <c r="H7492" s="127"/>
      <c r="I7492" s="128"/>
      <c r="K7492" s="105" t="str">
        <f>IFERROR(__xludf.DUMMYFUNCTION("if(A7492="""","""",substitute(SUBSTITUTE(index(importhtml(""http://finviz.com/quote.ashx?t=""&amp;A7492,""table"",10),7,2),""*"",""""),""-"",""0.00""))"),"Loading...")</f>
        <v>Loading...</v>
      </c>
      <c r="L7492" s="129">
        <v>2.3453651344E10</v>
      </c>
      <c r="M7492" s="99">
        <v>1.03</v>
      </c>
    </row>
    <row r="7493">
      <c r="A7493" s="122" t="s">
        <v>15550</v>
      </c>
      <c r="B7493" s="123">
        <v>3453.0</v>
      </c>
      <c r="C7493" s="124" t="s">
        <v>15551</v>
      </c>
      <c r="D7493" s="125"/>
      <c r="E7493" s="126">
        <v>113.14</v>
      </c>
      <c r="F7493" s="127"/>
      <c r="G7493" s="127"/>
      <c r="H7493" s="127"/>
      <c r="I7493" s="128"/>
      <c r="K7493" s="105" t="str">
        <f>IFERROR(__xludf.DUMMYFUNCTION("if(A7493="""","""",substitute(SUBSTITUTE(index(importhtml(""http://finviz.com/quote.ashx?t=""&amp;A7493,""table"",10),7,2),""*"",""""),""-"",""0.00""))"),"Loading...")</f>
        <v>Loading...</v>
      </c>
      <c r="L7493" s="129">
        <v>3.95253117E9</v>
      </c>
      <c r="M7493" s="99">
        <v>1.15</v>
      </c>
    </row>
    <row r="7494">
      <c r="A7494" s="122" t="s">
        <v>15552</v>
      </c>
      <c r="B7494" s="123">
        <v>1528396.0</v>
      </c>
      <c r="C7494" s="124" t="s">
        <v>15553</v>
      </c>
      <c r="D7494" s="125"/>
      <c r="E7494" s="126">
        <v>113.31</v>
      </c>
      <c r="F7494" s="127"/>
      <c r="G7494" s="127"/>
      <c r="H7494" s="127"/>
      <c r="I7494" s="128"/>
      <c r="K7494" s="105" t="str">
        <f>IFERROR(__xludf.DUMMYFUNCTION("if(A7494="""","""",substitute(SUBSTITUTE(index(importhtml(""http://finviz.com/quote.ashx?t=""&amp;A7494,""table"",10),7,2),""*"",""""),""-"",""0.00""))"),"Loading...")</f>
        <v>Loading...</v>
      </c>
      <c r="L7494" s="129">
        <v>9.28355042E9</v>
      </c>
      <c r="M7494" s="99">
        <v>1.15</v>
      </c>
    </row>
    <row r="7495">
      <c r="A7495" s="122" t="s">
        <v>15554</v>
      </c>
      <c r="B7495" s="123">
        <v>775158.0</v>
      </c>
      <c r="C7495" s="124" t="s">
        <v>15555</v>
      </c>
      <c r="D7495" s="125"/>
      <c r="E7495" s="126">
        <v>113.43</v>
      </c>
      <c r="F7495" s="127"/>
      <c r="G7495" s="127"/>
      <c r="H7495" s="127"/>
      <c r="I7495" s="128"/>
      <c r="K7495" s="105" t="str">
        <f>IFERROR(__xludf.DUMMYFUNCTION("if(A7495="""","""",substitute(SUBSTITUTE(index(importhtml(""http://finviz.com/quote.ashx?t=""&amp;A7495,""table"",10),7,2),""*"",""""),""-"",""0.00""))"),"Loading...")</f>
        <v>Loading...</v>
      </c>
      <c r="L7495" s="129">
        <v>7.419853324E9</v>
      </c>
      <c r="M7495" s="99">
        <v>1.29</v>
      </c>
    </row>
    <row r="7496">
      <c r="A7496" s="122" t="s">
        <v>15556</v>
      </c>
      <c r="B7496" s="123">
        <v>353278.0</v>
      </c>
      <c r="C7496" s="124" t="s">
        <v>15544</v>
      </c>
      <c r="D7496" s="125"/>
      <c r="E7496" s="126">
        <v>113.7</v>
      </c>
      <c r="F7496" s="151"/>
      <c r="G7496" s="152"/>
      <c r="H7496" s="127"/>
      <c r="I7496" s="128"/>
      <c r="K7496" s="55" t="s">
        <v>11894</v>
      </c>
      <c r="L7496" s="129">
        <v>3.86922454014E11</v>
      </c>
      <c r="M7496" s="99">
        <v>0.39</v>
      </c>
    </row>
    <row r="7497">
      <c r="A7497" s="122" t="s">
        <v>15557</v>
      </c>
      <c r="B7497" s="123">
        <v>1040829.0</v>
      </c>
      <c r="C7497" s="124" t="s">
        <v>15558</v>
      </c>
      <c r="D7497" s="125"/>
      <c r="E7497" s="126">
        <v>113.7</v>
      </c>
      <c r="F7497" s="127"/>
      <c r="G7497" s="127"/>
      <c r="H7497" s="127"/>
      <c r="I7497" s="128"/>
      <c r="K7497" s="105" t="str">
        <f>IFERROR(__xludf.DUMMYFUNCTION("if(A7497="""","""",substitute(SUBSTITUTE(index(importhtml(""http://finviz.com/quote.ashx?t=""&amp;A7497,""table"",10),7,2),""*"",""""),""-"",""0.00""))"),"Loading...")</f>
        <v>Loading...</v>
      </c>
      <c r="L7497" s="129">
        <v>6.788856267E9</v>
      </c>
      <c r="M7497" s="99">
        <v>1.56</v>
      </c>
    </row>
    <row r="7498">
      <c r="A7498" s="122" t="s">
        <v>15559</v>
      </c>
      <c r="B7498" s="123">
        <v>731802.0</v>
      </c>
      <c r="C7498" s="124" t="s">
        <v>15560</v>
      </c>
      <c r="D7498" s="125"/>
      <c r="E7498" s="126">
        <v>113.77</v>
      </c>
      <c r="F7498" s="127"/>
      <c r="G7498" s="127"/>
      <c r="H7498" s="127"/>
      <c r="I7498" s="128"/>
      <c r="K7498" s="55" t="s">
        <v>15561</v>
      </c>
      <c r="L7498" s="129">
        <v>1.7160326788E10</v>
      </c>
      <c r="M7498" s="99">
        <v>0.67</v>
      </c>
    </row>
    <row r="7499">
      <c r="A7499" s="122" t="s">
        <v>15562</v>
      </c>
      <c r="B7499" s="123">
        <v>1000753.0</v>
      </c>
      <c r="C7499" s="124" t="s">
        <v>15563</v>
      </c>
      <c r="D7499" s="125"/>
      <c r="E7499" s="126">
        <v>113.79</v>
      </c>
      <c r="F7499" s="127"/>
      <c r="G7499" s="127"/>
      <c r="H7499" s="127"/>
      <c r="I7499" s="128"/>
      <c r="K7499" s="105" t="str">
        <f>IFERROR(__xludf.DUMMYFUNCTION("if(A7499="""","""",substitute(SUBSTITUTE(index(importhtml(""http://finviz.com/quote.ashx?t=""&amp;A7499,""table"",10),7,2),""*"",""""),""-"",""0.00""))"),"Loading...")</f>
        <v>Loading...</v>
      </c>
      <c r="L7499" s="129">
        <v>4.242162921E9</v>
      </c>
      <c r="M7499" s="99">
        <v>1.19</v>
      </c>
    </row>
    <row r="7500">
      <c r="A7500" s="122" t="s">
        <v>15564</v>
      </c>
      <c r="B7500" s="123">
        <v>85535.0</v>
      </c>
      <c r="C7500" s="124" t="s">
        <v>15565</v>
      </c>
      <c r="D7500" s="125"/>
      <c r="E7500" s="126">
        <v>113.99</v>
      </c>
      <c r="F7500" s="127"/>
      <c r="G7500" s="127"/>
      <c r="H7500" s="127"/>
      <c r="I7500" s="128"/>
      <c r="K7500" s="105" t="str">
        <f>IFERROR(__xludf.DUMMYFUNCTION("if(A7500="""","""",substitute(SUBSTITUTE(index(importhtml(""http://finviz.com/quote.ashx?t=""&amp;A7500,""table"",10),7,2),""*"",""""),""-"",""0.00""))"),"Loading...")</f>
        <v>Loading...</v>
      </c>
      <c r="L7500" s="129">
        <v>7.488232079E9</v>
      </c>
      <c r="M7500" s="99">
        <v>0.89</v>
      </c>
    </row>
    <row r="7501">
      <c r="A7501" s="122" t="s">
        <v>15566</v>
      </c>
      <c r="B7501" s="123">
        <v>915913.0</v>
      </c>
      <c r="C7501" s="124" t="s">
        <v>15567</v>
      </c>
      <c r="D7501" s="125"/>
      <c r="E7501" s="126">
        <v>114.25</v>
      </c>
      <c r="F7501" s="127"/>
      <c r="G7501" s="127"/>
      <c r="H7501" s="127"/>
      <c r="I7501" s="128"/>
      <c r="K7501" s="55" t="s">
        <v>12929</v>
      </c>
      <c r="L7501" s="129">
        <v>1.34076031E10</v>
      </c>
      <c r="M7501" s="99">
        <v>1.61</v>
      </c>
    </row>
    <row r="7502">
      <c r="A7502" s="122" t="s">
        <v>15568</v>
      </c>
      <c r="B7502" s="123">
        <v>763744.0</v>
      </c>
      <c r="C7502" s="124" t="s">
        <v>15569</v>
      </c>
      <c r="D7502" s="125"/>
      <c r="E7502" s="126">
        <v>114.26</v>
      </c>
      <c r="F7502" s="127"/>
      <c r="G7502" s="127"/>
      <c r="H7502" s="127"/>
      <c r="I7502" s="128"/>
      <c r="K7502" s="105" t="str">
        <f>IFERROR(__xludf.DUMMYFUNCTION("if(A7502="""","""",substitute(SUBSTITUTE(index(importhtml(""http://finviz.com/quote.ashx?t=""&amp;A7502,""table"",10),7,2),""*"",""""),""-"",""0.00""))"),"Loading...")</f>
        <v>Loading...</v>
      </c>
      <c r="L7502" s="129">
        <v>2.893586564E9</v>
      </c>
      <c r="M7502" s="99">
        <v>1.38</v>
      </c>
    </row>
    <row r="7503">
      <c r="A7503" s="122" t="s">
        <v>15570</v>
      </c>
      <c r="B7503" s="123">
        <v>937098.0</v>
      </c>
      <c r="C7503" s="124" t="s">
        <v>15571</v>
      </c>
      <c r="D7503" s="125"/>
      <c r="E7503" s="126">
        <v>114.92</v>
      </c>
      <c r="F7503" s="127"/>
      <c r="G7503" s="127"/>
      <c r="H7503" s="127"/>
      <c r="I7503" s="128"/>
      <c r="K7503" s="105" t="str">
        <f>IFERROR(__xludf.DUMMYFUNCTION("if(A7503="""","""",substitute(SUBSTITUTE(index(importhtml(""http://finviz.com/quote.ashx?t=""&amp;A7503,""table"",10),7,2),""*"",""""),""-"",""0.00""))"),"Loading...")</f>
        <v>Loading...</v>
      </c>
      <c r="L7503" s="129">
        <v>5.804411445E9</v>
      </c>
      <c r="M7503" s="99">
        <v>1.11</v>
      </c>
    </row>
    <row r="7504">
      <c r="A7504" s="122" t="s">
        <v>15572</v>
      </c>
      <c r="B7504" s="123">
        <v>912767.0</v>
      </c>
      <c r="C7504" s="124" t="s">
        <v>15573</v>
      </c>
      <c r="D7504" s="125"/>
      <c r="E7504" s="126">
        <v>115.18</v>
      </c>
      <c r="F7504" s="127"/>
      <c r="G7504" s="127"/>
      <c r="H7504" s="127"/>
      <c r="I7504" s="128"/>
      <c r="K7504" s="105" t="str">
        <f>IFERROR(__xludf.DUMMYFUNCTION("if(A7504="""","""",substitute(SUBSTITUTE(index(importhtml(""http://finviz.com/quote.ashx?t=""&amp;A7504,""table"",10),7,2),""*"",""""),""-"",""0.00""))"),"Loading...")</f>
        <v>Loading...</v>
      </c>
      <c r="L7504" s="129">
        <v>7.119567224E9</v>
      </c>
      <c r="M7504" s="99">
        <v>1.49</v>
      </c>
    </row>
    <row r="7505">
      <c r="A7505" s="122" t="s">
        <v>15574</v>
      </c>
      <c r="B7505" s="123">
        <v>67215.0</v>
      </c>
      <c r="C7505" s="124" t="s">
        <v>15575</v>
      </c>
      <c r="D7505" s="125"/>
      <c r="E7505" s="126">
        <v>115.41</v>
      </c>
      <c r="F7505" s="127"/>
      <c r="G7505" s="127"/>
      <c r="H7505" s="127"/>
      <c r="I7505" s="128"/>
      <c r="K7505" s="55" t="s">
        <v>1034</v>
      </c>
      <c r="L7505" s="129">
        <v>3.385936772E9</v>
      </c>
      <c r="M7505" s="99">
        <v>1.32</v>
      </c>
    </row>
    <row r="7506">
      <c r="A7506" s="122" t="s">
        <v>15576</v>
      </c>
      <c r="B7506" s="123">
        <v>1524472.0</v>
      </c>
      <c r="C7506" s="124" t="s">
        <v>15577</v>
      </c>
      <c r="D7506" s="125"/>
      <c r="E7506" s="126">
        <v>115.42</v>
      </c>
      <c r="F7506" s="127"/>
      <c r="G7506" s="127"/>
      <c r="H7506" s="127"/>
      <c r="I7506" s="128"/>
      <c r="K7506" s="105" t="str">
        <f>IFERROR(__xludf.DUMMYFUNCTION("if(A7506="""","""",substitute(SUBSTITUTE(index(importhtml(""http://finviz.com/quote.ashx?t=""&amp;A7506,""table"",10),7,2),""*"",""""),""-"",""0.00""))"),"Loading...")</f>
        <v>Loading...</v>
      </c>
      <c r="L7506" s="129">
        <v>2.7825187692E10</v>
      </c>
      <c r="M7506" s="99">
        <v>1.09</v>
      </c>
    </row>
    <row r="7507">
      <c r="A7507" s="122" t="s">
        <v>15578</v>
      </c>
      <c r="B7507" s="123">
        <v>1046179.0</v>
      </c>
      <c r="C7507" s="124" t="s">
        <v>15579</v>
      </c>
      <c r="D7507" s="125"/>
      <c r="E7507" s="126">
        <v>115.75</v>
      </c>
      <c r="F7507" s="140"/>
      <c r="G7507" s="136"/>
      <c r="H7507" s="127"/>
      <c r="I7507" s="128"/>
      <c r="K7507" s="105" t="str">
        <f>IFERROR(__xludf.DUMMYFUNCTION("if(A7507="""","""",substitute(SUBSTITUTE(index(importhtml(""http://finviz.com/quote.ashx?t=""&amp;A7507,""table"",10),7,2),""*"",""""),""-"",""0.00""))"),"Loading...")</f>
        <v>Loading...</v>
      </c>
      <c r="L7507" s="129">
        <v>5.32488429E11</v>
      </c>
      <c r="M7507" s="99">
        <v>1.11</v>
      </c>
    </row>
    <row r="7508">
      <c r="A7508" s="122" t="s">
        <v>15580</v>
      </c>
      <c r="B7508" s="123">
        <v>1341439.0</v>
      </c>
      <c r="C7508" s="124" t="s">
        <v>15581</v>
      </c>
      <c r="D7508" s="125"/>
      <c r="E7508" s="126">
        <v>115.79</v>
      </c>
      <c r="F7508" s="127"/>
      <c r="G7508" s="127"/>
      <c r="H7508" s="127"/>
      <c r="I7508" s="128" t="str">
        <f>IF(ISBLANK(I7509), YHFINANCE(A7509, "industry"), "")</f>
        <v>Deprecated. Use =FINANCE instead</v>
      </c>
      <c r="K7508" s="105" t="str">
        <f>IFERROR(__xludf.DUMMYFUNCTION("if(A7508="""","""",substitute(SUBSTITUTE(index(importhtml(""http://finviz.com/quote.ashx?t=""&amp;A7508,""table"",10),7,2),""*"",""""),""-"",""0.00""))"),"Loading...")</f>
        <v>Loading...</v>
      </c>
      <c r="L7508" s="129">
        <v>3.18297680896E11</v>
      </c>
      <c r="M7508" s="99">
        <v>1.02</v>
      </c>
    </row>
    <row r="7509">
      <c r="A7509" s="122" t="s">
        <v>15582</v>
      </c>
      <c r="B7509" s="123">
        <v>730263.0</v>
      </c>
      <c r="C7509" s="124" t="s">
        <v>15583</v>
      </c>
      <c r="D7509" s="125"/>
      <c r="E7509" s="126">
        <v>115.89</v>
      </c>
      <c r="F7509" s="127"/>
      <c r="G7509" s="127"/>
      <c r="H7509" s="127"/>
      <c r="I7509" s="128"/>
      <c r="K7509" s="105" t="str">
        <f>IFERROR(__xludf.DUMMYFUNCTION("if(A7509="""","""",substitute(SUBSTITUTE(index(importhtml(""http://finviz.com/quote.ashx?t=""&amp;A7509,""table"",10),7,2),""*"",""""),""-"",""0.00""))"),"Loading...")</f>
        <v>Loading...</v>
      </c>
      <c r="L7509" s="129">
        <v>6.179640681E9</v>
      </c>
      <c r="M7509" s="99">
        <v>1.78</v>
      </c>
    </row>
    <row r="7510">
      <c r="A7510" s="122" t="s">
        <v>15584</v>
      </c>
      <c r="B7510" s="123">
        <v>1061574.0</v>
      </c>
      <c r="C7510" s="124" t="s">
        <v>15585</v>
      </c>
      <c r="D7510" s="125"/>
      <c r="E7510" s="126">
        <v>115.92</v>
      </c>
      <c r="F7510" s="127"/>
      <c r="G7510" s="127"/>
      <c r="H7510" s="127"/>
      <c r="I7510" s="128"/>
      <c r="K7510" s="55" t="s">
        <v>1034</v>
      </c>
      <c r="L7510" s="129">
        <v>2.3937328925E10</v>
      </c>
      <c r="M7510" s="99">
        <v>0.93</v>
      </c>
    </row>
    <row r="7511">
      <c r="A7511" s="122" t="s">
        <v>15586</v>
      </c>
      <c r="B7511" s="123">
        <v>840489.0</v>
      </c>
      <c r="C7511" s="124" t="s">
        <v>15587</v>
      </c>
      <c r="D7511" s="125"/>
      <c r="E7511" s="126">
        <v>116.09</v>
      </c>
      <c r="F7511" s="127"/>
      <c r="G7511" s="127"/>
      <c r="H7511" s="127"/>
      <c r="I7511" s="128"/>
      <c r="K7511" s="105" t="str">
        <f>IFERROR(__xludf.DUMMYFUNCTION("if(A7511="""","""",substitute(SUBSTITUTE(index(importhtml(""http://finviz.com/quote.ashx?t=""&amp;A7511,""table"",10),7,2),""*"",""""),""-"",""0.00""))"),"Loading...")</f>
        <v>Loading...</v>
      </c>
      <c r="L7511" s="129">
        <v>5.236577106E9</v>
      </c>
      <c r="M7511" s="99">
        <v>0.62</v>
      </c>
    </row>
    <row r="7512">
      <c r="A7512" s="122" t="s">
        <v>15588</v>
      </c>
      <c r="B7512" s="123">
        <v>1474735.0</v>
      </c>
      <c r="C7512" s="124" t="s">
        <v>15589</v>
      </c>
      <c r="D7512" s="125"/>
      <c r="E7512" s="126">
        <v>116.14</v>
      </c>
      <c r="F7512" s="127"/>
      <c r="G7512" s="127"/>
      <c r="H7512" s="127"/>
      <c r="I7512" s="128"/>
      <c r="K7512" s="105" t="str">
        <f>IFERROR(__xludf.DUMMYFUNCTION("if(A7512="""","""",substitute(SUBSTITUTE(index(importhtml(""http://finviz.com/quote.ashx?t=""&amp;A7512,""table"",10),7,2),""*"",""""),""-"",""0.00""))"),"Loading...")</f>
        <v>Loading...</v>
      </c>
      <c r="L7512" s="129">
        <v>7.134662502E9</v>
      </c>
      <c r="M7512" s="99">
        <v>1.45</v>
      </c>
    </row>
    <row r="7513">
      <c r="A7513" s="122" t="s">
        <v>15590</v>
      </c>
      <c r="B7513" s="123">
        <v>1054905.0</v>
      </c>
      <c r="C7513" s="124" t="s">
        <v>15591</v>
      </c>
      <c r="D7513" s="125"/>
      <c r="E7513" s="126">
        <v>116.35</v>
      </c>
      <c r="F7513" s="127"/>
      <c r="G7513" s="127"/>
      <c r="H7513" s="127"/>
      <c r="I7513" s="128"/>
      <c r="K7513" s="105" t="str">
        <f>IFERROR(__xludf.DUMMYFUNCTION("if(A7513="""","""",substitute(SUBSTITUTE(index(importhtml(""http://finviz.com/quote.ashx?t=""&amp;A7513,""table"",10),7,2),""*"",""""),""-"",""0.00""))"),"Loading...")</f>
        <v>Loading...</v>
      </c>
      <c r="L7513" s="129">
        <v>2.893135792E9</v>
      </c>
      <c r="M7513" s="99">
        <v>1.11</v>
      </c>
    </row>
    <row r="7514">
      <c r="A7514" s="122" t="s">
        <v>15592</v>
      </c>
      <c r="B7514" s="123">
        <v>913353.0</v>
      </c>
      <c r="C7514" s="124" t="s">
        <v>15593</v>
      </c>
      <c r="D7514" s="125"/>
      <c r="E7514" s="126">
        <v>116.51</v>
      </c>
      <c r="F7514" s="127"/>
      <c r="G7514" s="127"/>
      <c r="H7514" s="127"/>
      <c r="I7514" s="128"/>
      <c r="K7514" s="105" t="str">
        <f>IFERROR(__xludf.DUMMYFUNCTION("if(A7514="""","""",substitute(SUBSTITUTE(index(importhtml(""http://finviz.com/quote.ashx?t=""&amp;A7514,""table"",10),7,2),""*"",""""),""-"",""0.00""))"),"Loading...")</f>
        <v>Loading...</v>
      </c>
      <c r="L7514" s="129">
        <v>5.345645507E9</v>
      </c>
      <c r="M7514" s="99">
        <v>1.48</v>
      </c>
    </row>
    <row r="7515">
      <c r="A7515" s="122" t="s">
        <v>15594</v>
      </c>
      <c r="B7515" s="123">
        <v>916789.0</v>
      </c>
      <c r="C7515" s="124" t="s">
        <v>15595</v>
      </c>
      <c r="D7515" s="125"/>
      <c r="E7515" s="126">
        <v>116.84</v>
      </c>
      <c r="F7515" s="127"/>
      <c r="G7515" s="127"/>
      <c r="H7515" s="127"/>
      <c r="I7515" s="128"/>
      <c r="K7515" s="105" t="str">
        <f>IFERROR(__xludf.DUMMYFUNCTION("if(A7515="""","""",substitute(SUBSTITUTE(index(importhtml(""http://finviz.com/quote.ashx?t=""&amp;A7515,""table"",10),7,2),""*"",""""),""-"",""0.00""))"),"Loading...")</f>
        <v>Loading...</v>
      </c>
      <c r="L7515" s="129">
        <v>2.774531625E9</v>
      </c>
      <c r="M7515" s="99">
        <v>0.8</v>
      </c>
    </row>
    <row r="7516">
      <c r="A7516" s="122" t="s">
        <v>15596</v>
      </c>
      <c r="B7516" s="123">
        <v>1301787.0</v>
      </c>
      <c r="C7516" s="124" t="s">
        <v>15597</v>
      </c>
      <c r="D7516" s="125"/>
      <c r="E7516" s="126">
        <v>117.35</v>
      </c>
      <c r="F7516" s="127"/>
      <c r="G7516" s="127"/>
      <c r="H7516" s="127"/>
      <c r="I7516" s="128"/>
      <c r="K7516" s="55" t="s">
        <v>1034</v>
      </c>
      <c r="L7516" s="129">
        <v>1.028831258E9</v>
      </c>
      <c r="M7516" s="99">
        <v>1.91</v>
      </c>
    </row>
    <row r="7517">
      <c r="A7517" s="122" t="s">
        <v>15598</v>
      </c>
      <c r="B7517" s="123">
        <v>84748.0</v>
      </c>
      <c r="C7517" s="124" t="s">
        <v>15599</v>
      </c>
      <c r="D7517" s="125"/>
      <c r="E7517" s="126">
        <v>117.65</v>
      </c>
      <c r="F7517" s="127"/>
      <c r="G7517" s="127"/>
      <c r="H7517" s="127"/>
      <c r="I7517" s="128"/>
      <c r="K7517" s="105" t="str">
        <f>IFERROR(__xludf.DUMMYFUNCTION("if(A7517="""","""",substitute(SUBSTITUTE(index(importhtml(""http://finviz.com/quote.ashx?t=""&amp;A7517,""table"",10),7,2),""*"",""""),""-"",""0.00""))"),"Loading...")</f>
        <v>Loading...</v>
      </c>
      <c r="L7517" s="129">
        <v>2.190233606E9</v>
      </c>
      <c r="M7517" s="99">
        <v>0.73</v>
      </c>
    </row>
    <row r="7518">
      <c r="A7518" s="122" t="s">
        <v>15600</v>
      </c>
      <c r="B7518" s="123">
        <v>85961.0</v>
      </c>
      <c r="C7518" s="124" t="s">
        <v>15601</v>
      </c>
      <c r="D7518" s="125"/>
      <c r="E7518" s="126">
        <v>117.8</v>
      </c>
      <c r="F7518" s="127"/>
      <c r="G7518" s="127"/>
      <c r="H7518" s="127"/>
      <c r="I7518" s="128"/>
      <c r="K7518" s="138" t="s">
        <v>15602</v>
      </c>
      <c r="L7518" s="129">
        <v>5.221160007E9</v>
      </c>
      <c r="M7518" s="99">
        <v>1.41</v>
      </c>
    </row>
    <row r="7519">
      <c r="A7519" s="122" t="s">
        <v>15603</v>
      </c>
      <c r="B7519" s="123">
        <v>1042046.0</v>
      </c>
      <c r="C7519" s="124" t="s">
        <v>15604</v>
      </c>
      <c r="D7519" s="125"/>
      <c r="E7519" s="126">
        <v>118.39</v>
      </c>
      <c r="F7519" s="127"/>
      <c r="G7519" s="127"/>
      <c r="H7519" s="127"/>
      <c r="I7519" s="128"/>
      <c r="K7519" s="55" t="s">
        <v>15605</v>
      </c>
      <c r="L7519" s="129">
        <v>9.91845369E9</v>
      </c>
      <c r="M7519" s="99">
        <v>0.77</v>
      </c>
    </row>
    <row r="7520">
      <c r="A7520" s="122" t="s">
        <v>15606</v>
      </c>
      <c r="B7520" s="123">
        <v>1111335.0</v>
      </c>
      <c r="C7520" s="124" t="s">
        <v>15607</v>
      </c>
      <c r="D7520" s="125"/>
      <c r="E7520" s="126">
        <v>118.9</v>
      </c>
      <c r="F7520" s="127"/>
      <c r="G7520" s="127"/>
      <c r="H7520" s="127"/>
      <c r="I7520" s="128"/>
      <c r="K7520" s="55" t="s">
        <v>5600</v>
      </c>
      <c r="L7520" s="129">
        <v>3.306751722E9</v>
      </c>
      <c r="M7520" s="99">
        <v>1.68</v>
      </c>
    </row>
    <row r="7521">
      <c r="A7521" s="122" t="s">
        <v>15608</v>
      </c>
      <c r="B7521" s="123">
        <v>1101302.0</v>
      </c>
      <c r="C7521" s="124" t="s">
        <v>15609</v>
      </c>
      <c r="D7521" s="125"/>
      <c r="E7521" s="126">
        <v>119.44</v>
      </c>
      <c r="F7521" s="127"/>
      <c r="G7521" s="127"/>
      <c r="H7521" s="127"/>
      <c r="I7521" s="128"/>
      <c r="K7521" s="105" t="str">
        <f>IFERROR(__xludf.DUMMYFUNCTION("if(A7521="""","""",substitute(SUBSTITUTE(index(importhtml(""http://finviz.com/quote.ashx?t=""&amp;A7521,""table"",10),7,2),""*"",""""),""-"",""0.00""))"),"Loading...")</f>
        <v>Loading...</v>
      </c>
      <c r="L7521" s="129">
        <v>1.7934979382E10</v>
      </c>
      <c r="M7521" s="99">
        <v>1.31</v>
      </c>
    </row>
    <row r="7522">
      <c r="A7522" s="122" t="s">
        <v>15610</v>
      </c>
      <c r="B7522" s="123">
        <v>1433642.0</v>
      </c>
      <c r="C7522" s="124" t="s">
        <v>15611</v>
      </c>
      <c r="D7522" s="125"/>
      <c r="E7522" s="126">
        <v>119.76</v>
      </c>
      <c r="F7522" s="127"/>
      <c r="G7522" s="127"/>
      <c r="H7522" s="127"/>
      <c r="I7522" s="128"/>
      <c r="K7522" s="105" t="str">
        <f>IFERROR(__xludf.DUMMYFUNCTION("if(A7522="""","""",substitute(SUBSTITUTE(index(importhtml(""http://finviz.com/quote.ashx?t=""&amp;A7522,""table"",10),7,2),""*"",""""),""-"",""0.00""))"),"Loading...")</f>
        <v>Loading...</v>
      </c>
      <c r="L7522" s="129" t="e">
        <v>#N/A</v>
      </c>
      <c r="M7522" s="99">
        <v>1.23</v>
      </c>
    </row>
    <row r="7523">
      <c r="A7523" s="122" t="s">
        <v>15612</v>
      </c>
      <c r="B7523" s="123">
        <v>1388658.0</v>
      </c>
      <c r="C7523" s="124" t="s">
        <v>15613</v>
      </c>
      <c r="D7523" s="125"/>
      <c r="E7523" s="126">
        <v>119.89</v>
      </c>
      <c r="F7523" s="127"/>
      <c r="G7523" s="127"/>
      <c r="H7523" s="127"/>
      <c r="I7523" s="128"/>
      <c r="K7523" s="105" t="str">
        <f>IFERROR(__xludf.DUMMYFUNCTION("if(A7523="""","""",substitute(SUBSTITUTE(index(importhtml(""http://finviz.com/quote.ashx?t=""&amp;A7523,""table"",10),7,2),""*"",""""),""-"",""0.00""))"),"Loading...")</f>
        <v>Loading...</v>
      </c>
      <c r="L7523" s="129">
        <v>3.674718398E9</v>
      </c>
      <c r="M7523" s="99">
        <v>1.33</v>
      </c>
    </row>
    <row r="7524">
      <c r="A7524" s="122" t="s">
        <v>15614</v>
      </c>
      <c r="B7524" s="123">
        <v>1022671.0</v>
      </c>
      <c r="C7524" s="124" t="s">
        <v>15615</v>
      </c>
      <c r="D7524" s="125"/>
      <c r="E7524" s="126">
        <v>120.16</v>
      </c>
      <c r="F7524" s="127"/>
      <c r="G7524" s="127"/>
      <c r="H7524" s="127"/>
      <c r="I7524" s="128"/>
      <c r="K7524" s="105" t="str">
        <f>IFERROR(__xludf.DUMMYFUNCTION("if(A7524="""","""",substitute(SUBSTITUTE(index(importhtml(""http://finviz.com/quote.ashx?t=""&amp;A7524,""table"",10),7,2),""*"",""""),""-"",""0.00""))"),"Loading...")</f>
        <v>Loading...</v>
      </c>
      <c r="L7524" s="129">
        <v>1.9443859216E10</v>
      </c>
      <c r="M7524" s="99">
        <v>1.4</v>
      </c>
    </row>
    <row r="7525">
      <c r="A7525" s="122" t="s">
        <v>15616</v>
      </c>
      <c r="B7525" s="123">
        <v>1580670.0</v>
      </c>
      <c r="C7525" s="124" t="s">
        <v>15617</v>
      </c>
      <c r="D7525" s="125"/>
      <c r="E7525" s="126">
        <v>120.24</v>
      </c>
      <c r="F7525" s="127"/>
      <c r="G7525" s="127"/>
      <c r="H7525" s="127"/>
      <c r="I7525" s="128"/>
      <c r="K7525" s="105" t="str">
        <f>IFERROR(__xludf.DUMMYFUNCTION("if(A7525="""","""",substitute(SUBSTITUTE(index(importhtml(""http://finviz.com/quote.ashx?t=""&amp;A7525,""table"",10),7,2),""*"",""""),""-"",""0.00""))"),"Loading...")</f>
        <v>Loading...</v>
      </c>
      <c r="L7525" s="129">
        <v>2.833319678E9</v>
      </c>
      <c r="M7525" s="99">
        <v>1.86</v>
      </c>
    </row>
    <row r="7526">
      <c r="A7526" s="122" t="s">
        <v>15618</v>
      </c>
      <c r="B7526" s="123">
        <v>1121788.0</v>
      </c>
      <c r="C7526" s="124" t="s">
        <v>15619</v>
      </c>
      <c r="D7526" s="125"/>
      <c r="E7526" s="126">
        <v>120.41</v>
      </c>
      <c r="F7526" s="127"/>
      <c r="G7526" s="127"/>
      <c r="H7526" s="127"/>
      <c r="I7526" s="128"/>
      <c r="K7526" s="105" t="str">
        <f>IFERROR(__xludf.DUMMYFUNCTION("if(A7526="""","""",substitute(SUBSTITUTE(index(importhtml(""http://finviz.com/quote.ashx?t=""&amp;A7526,""table"",10),7,2),""*"",""""),""-"",""0.00""))"),"Loading...")</f>
        <v>Loading...</v>
      </c>
      <c r="L7526" s="129">
        <v>2.303816641E10</v>
      </c>
      <c r="M7526" s="99">
        <v>0.95</v>
      </c>
    </row>
    <row r="7527">
      <c r="A7527" s="122" t="s">
        <v>15620</v>
      </c>
      <c r="B7527" s="123">
        <v>1104657.0</v>
      </c>
      <c r="C7527" s="124" t="s">
        <v>15621</v>
      </c>
      <c r="D7527" s="125"/>
      <c r="E7527" s="126">
        <v>120.53</v>
      </c>
      <c r="F7527" s="127"/>
      <c r="G7527" s="127"/>
      <c r="H7527" s="127"/>
      <c r="I7527" s="128"/>
      <c r="K7527" s="105" t="str">
        <f>IFERROR(__xludf.DUMMYFUNCTION("if(A7527="""","""",substitute(SUBSTITUTE(index(importhtml(""http://finviz.com/quote.ashx?t=""&amp;A7527,""table"",10),7,2),""*"",""""),""-"",""0.00""))"),"Loading...")</f>
        <v>Loading...</v>
      </c>
      <c r="L7527" s="129">
        <v>2.488027241E9</v>
      </c>
      <c r="M7527" s="99">
        <v>1.15</v>
      </c>
    </row>
    <row r="7528">
      <c r="A7528" s="122" t="s">
        <v>15622</v>
      </c>
      <c r="B7528" s="123">
        <v>1125376.0</v>
      </c>
      <c r="C7528" s="124" t="s">
        <v>15623</v>
      </c>
      <c r="D7528" s="125"/>
      <c r="E7528" s="126">
        <v>120.78</v>
      </c>
      <c r="F7528" s="127"/>
      <c r="G7528" s="127"/>
      <c r="H7528" s="127"/>
      <c r="I7528" s="128"/>
      <c r="K7528" s="105" t="str">
        <f>IFERROR(__xludf.DUMMYFUNCTION("if(A7528="""","""",substitute(SUBSTITUTE(index(importhtml(""http://finviz.com/quote.ashx?t=""&amp;A7528,""table"",10),7,2),""*"",""""),""-"",""0.00""))"),"Loading...")</f>
        <v>Loading...</v>
      </c>
      <c r="L7528" s="129">
        <v>6.818301478E9</v>
      </c>
      <c r="M7528" s="99">
        <v>0.95</v>
      </c>
    </row>
    <row r="7529">
      <c r="A7529" s="122" t="s">
        <v>15624</v>
      </c>
      <c r="B7529" s="123">
        <v>320335.0</v>
      </c>
      <c r="C7529" s="124" t="s">
        <v>15625</v>
      </c>
      <c r="D7529" s="125"/>
      <c r="E7529" s="126">
        <v>120.86</v>
      </c>
      <c r="F7529" s="127"/>
      <c r="G7529" s="127"/>
      <c r="H7529" s="127"/>
      <c r="I7529" s="128"/>
      <c r="K7529" s="138" t="s">
        <v>7812</v>
      </c>
      <c r="L7529" s="129">
        <v>1.1375195808E10</v>
      </c>
      <c r="M7529" s="99">
        <v>0.7</v>
      </c>
    </row>
    <row r="7530">
      <c r="A7530" s="122" t="s">
        <v>15626</v>
      </c>
      <c r="B7530" s="123">
        <v>892553.0</v>
      </c>
      <c r="C7530" s="124" t="s">
        <v>15627</v>
      </c>
      <c r="D7530" s="125"/>
      <c r="E7530" s="126">
        <v>120.92</v>
      </c>
      <c r="F7530" s="127"/>
      <c r="G7530" s="127"/>
      <c r="H7530" s="127"/>
      <c r="I7530" s="128"/>
      <c r="K7530" s="105" t="str">
        <f>IFERROR(__xludf.DUMMYFUNCTION("if(A7530="""","""",substitute(SUBSTITUTE(index(importhtml(""http://finviz.com/quote.ashx?t=""&amp;A7530,""table"",10),7,2),""*"",""""),""-"",""0.00""))"),"Loading...")</f>
        <v>Loading...</v>
      </c>
      <c r="L7530" s="129">
        <v>5.169404892E9</v>
      </c>
      <c r="M7530" s="99">
        <v>1.78</v>
      </c>
    </row>
    <row r="7531">
      <c r="A7531" s="122" t="s">
        <v>15628</v>
      </c>
      <c r="B7531" s="123">
        <v>1093557.0</v>
      </c>
      <c r="C7531" s="124" t="s">
        <v>15629</v>
      </c>
      <c r="D7531" s="125"/>
      <c r="E7531" s="126">
        <v>120.96</v>
      </c>
      <c r="F7531" s="127"/>
      <c r="G7531" s="127"/>
      <c r="H7531" s="127"/>
      <c r="I7531" s="128"/>
      <c r="K7531" s="105" t="str">
        <f>IFERROR(__xludf.DUMMYFUNCTION("if(A7531="""","""",substitute(SUBSTITUTE(index(importhtml(""http://finviz.com/quote.ashx?t=""&amp;A7531,""table"",10),7,2),""*"",""""),""-"",""0.00""))"),"Loading...")</f>
        <v>Loading...</v>
      </c>
      <c r="L7531" s="129">
        <v>4.673578659E10</v>
      </c>
      <c r="M7531" s="99">
        <v>1.2</v>
      </c>
    </row>
    <row r="7532">
      <c r="A7532" s="122" t="s">
        <v>15630</v>
      </c>
      <c r="B7532" s="123">
        <v>873303.0</v>
      </c>
      <c r="C7532" s="124" t="s">
        <v>15631</v>
      </c>
      <c r="D7532" s="125"/>
      <c r="E7532" s="126">
        <v>121.27</v>
      </c>
      <c r="F7532" s="127"/>
      <c r="G7532" s="127"/>
      <c r="H7532" s="127"/>
      <c r="I7532" s="128"/>
      <c r="K7532" s="105" t="str">
        <f>IFERROR(__xludf.DUMMYFUNCTION("if(A7532="""","""",substitute(SUBSTITUTE(index(importhtml(""http://finviz.com/quote.ashx?t=""&amp;A7532,""table"",10),7,2),""*"",""""),""-"",""0.00""))"),"Loading...")</f>
        <v>Loading...</v>
      </c>
      <c r="L7532" s="129">
        <v>1.1344406782E10</v>
      </c>
      <c r="M7532" s="99">
        <v>0.93</v>
      </c>
    </row>
    <row r="7533">
      <c r="A7533" s="122" t="s">
        <v>15632</v>
      </c>
      <c r="B7533" s="123">
        <v>1038074.0</v>
      </c>
      <c r="C7533" s="124" t="s">
        <v>15633</v>
      </c>
      <c r="D7533" s="125"/>
      <c r="E7533" s="126">
        <v>121.38</v>
      </c>
      <c r="F7533" s="127"/>
      <c r="G7533" s="127"/>
      <c r="H7533" s="127"/>
      <c r="I7533" s="128"/>
      <c r="K7533" s="105" t="str">
        <f>IFERROR(__xludf.DUMMYFUNCTION("if(A7533="""","""",substitute(SUBSTITUTE(index(importhtml(""http://finviz.com/quote.ashx?t=""&amp;A7533,""table"",10),7,2),""*"",""""),""-"",""0.00""))"),"Loading...")</f>
        <v>Loading...</v>
      </c>
      <c r="L7533" s="129">
        <v>3.857374988E9</v>
      </c>
      <c r="M7533" s="99">
        <v>1.26</v>
      </c>
    </row>
    <row r="7534">
      <c r="A7534" s="122" t="s">
        <v>15634</v>
      </c>
      <c r="B7534" s="123">
        <v>78239.0</v>
      </c>
      <c r="C7534" s="124" t="s">
        <v>15635</v>
      </c>
      <c r="D7534" s="125"/>
      <c r="E7534" s="126">
        <v>121.38</v>
      </c>
      <c r="F7534" s="127"/>
      <c r="G7534" s="127"/>
      <c r="H7534" s="127"/>
      <c r="I7534" s="128"/>
      <c r="K7534" s="105" t="str">
        <f>IFERROR(__xludf.DUMMYFUNCTION("if(A7534="""","""",substitute(SUBSTITUTE(index(importhtml(""http://finviz.com/quote.ashx?t=""&amp;A7534,""table"",10),7,2),""*"",""""),""-"",""0.00""))"),"Loading...")</f>
        <v>Loading...</v>
      </c>
      <c r="L7534" s="129">
        <v>7.2388008E9</v>
      </c>
      <c r="M7534" s="99">
        <v>2.19</v>
      </c>
    </row>
    <row r="7535">
      <c r="A7535" s="122" t="s">
        <v>15636</v>
      </c>
      <c r="B7535" s="123">
        <v>1035443.0</v>
      </c>
      <c r="C7535" s="124" t="s">
        <v>15637</v>
      </c>
      <c r="D7535" s="125"/>
      <c r="E7535" s="126">
        <v>121.46</v>
      </c>
      <c r="F7535" s="127"/>
      <c r="G7535" s="127"/>
      <c r="H7535" s="127"/>
      <c r="I7535" s="128"/>
      <c r="K7535" s="55" t="s">
        <v>15638</v>
      </c>
      <c r="L7535" s="129">
        <v>2.1251637411E10</v>
      </c>
      <c r="M7535" s="99">
        <v>1.05</v>
      </c>
    </row>
    <row r="7536">
      <c r="A7536" s="122" t="s">
        <v>15639</v>
      </c>
      <c r="B7536" s="123">
        <v>1353611.0</v>
      </c>
      <c r="C7536" s="124" t="s">
        <v>15640</v>
      </c>
      <c r="D7536" s="125"/>
      <c r="E7536" s="126">
        <v>121.5</v>
      </c>
      <c r="F7536" s="127"/>
      <c r="G7536" s="127"/>
      <c r="H7536" s="127"/>
      <c r="I7536" s="128"/>
      <c r="K7536" s="55" t="s">
        <v>15641</v>
      </c>
      <c r="L7536" s="129" t="e">
        <v>#N/A</v>
      </c>
      <c r="M7536" s="99" t="str">
        <f>IFERROR(__xludf.DUMMYFUNCTION("GOOGLEFINANCE(A7536,""beta"")"),"#N/A")</f>
        <v>#N/A</v>
      </c>
    </row>
    <row r="7537">
      <c r="A7537" s="122" t="s">
        <v>15642</v>
      </c>
      <c r="B7537" s="123">
        <v>1368622.0</v>
      </c>
      <c r="C7537" s="124" t="s">
        <v>15643</v>
      </c>
      <c r="D7537" s="125"/>
      <c r="E7537" s="126">
        <v>121.71</v>
      </c>
      <c r="F7537" s="127"/>
      <c r="G7537" s="127"/>
      <c r="H7537" s="127"/>
      <c r="I7537" s="128"/>
      <c r="K7537" s="105" t="str">
        <f>IFERROR(__xludf.DUMMYFUNCTION("if(A7537="""","""",substitute(SUBSTITUTE(index(importhtml(""http://finviz.com/quote.ashx?t=""&amp;A7537,""table"",10),7,2),""*"",""""),""-"",""0.00""))"),"Loading...")</f>
        <v>Loading...</v>
      </c>
      <c r="L7537" s="129">
        <v>3.424321778E9</v>
      </c>
      <c r="M7537" s="99">
        <v>0.41</v>
      </c>
    </row>
    <row r="7538">
      <c r="A7538" s="122" t="s">
        <v>15644</v>
      </c>
      <c r="B7538" s="123">
        <v>723531.0</v>
      </c>
      <c r="C7538" s="124" t="s">
        <v>15537</v>
      </c>
      <c r="D7538" s="125"/>
      <c r="E7538" s="126">
        <v>121.77</v>
      </c>
      <c r="F7538" s="127"/>
      <c r="G7538" s="127"/>
      <c r="H7538" s="127"/>
      <c r="I7538" s="128"/>
      <c r="K7538" s="105" t="str">
        <f>IFERROR(__xludf.DUMMYFUNCTION("if(A7538="""","""",substitute(SUBSTITUTE(index(importhtml(""http://finviz.com/quote.ashx?t=""&amp;A7538,""table"",10),7,2),""*"",""""),""-"",""0.00""))"),"Loading...")</f>
        <v>Loading...</v>
      </c>
      <c r="L7538" s="129">
        <v>4.3815499378E10</v>
      </c>
      <c r="M7538" s="99">
        <v>0.95</v>
      </c>
    </row>
    <row r="7539">
      <c r="A7539" s="122" t="s">
        <v>15645</v>
      </c>
      <c r="B7539" s="123">
        <v>20212.0</v>
      </c>
      <c r="C7539" s="124" t="s">
        <v>15646</v>
      </c>
      <c r="D7539" s="125"/>
      <c r="E7539" s="126">
        <v>121.86</v>
      </c>
      <c r="F7539" s="127"/>
      <c r="G7539" s="127"/>
      <c r="H7539" s="127"/>
      <c r="I7539" s="128"/>
      <c r="K7539" s="105" t="str">
        <f>IFERROR(__xludf.DUMMYFUNCTION("if(A7539="""","""",substitute(SUBSTITUTE(index(importhtml(""http://finviz.com/quote.ashx?t=""&amp;A7539,""table"",10),7,2),""*"",""""),""-"",""0.00""))"),"Loading...")</f>
        <v>Loading...</v>
      </c>
      <c r="L7539" s="129">
        <v>9.090123592E9</v>
      </c>
      <c r="M7539" s="99">
        <v>1.04</v>
      </c>
    </row>
    <row r="7540">
      <c r="A7540" s="122" t="s">
        <v>15647</v>
      </c>
      <c r="B7540" s="123">
        <v>40211.0</v>
      </c>
      <c r="C7540" s="124" t="s">
        <v>15648</v>
      </c>
      <c r="D7540" s="125"/>
      <c r="E7540" s="126">
        <v>121.98</v>
      </c>
      <c r="F7540" s="127"/>
      <c r="G7540" s="127"/>
      <c r="H7540" s="127"/>
      <c r="I7540" s="128"/>
      <c r="K7540" s="105" t="str">
        <f>IFERROR(__xludf.DUMMYFUNCTION("if(A7540="""","""",substitute(SUBSTITUTE(index(importhtml(""http://finviz.com/quote.ashx?t=""&amp;A7540,""table"",10),7,2),""*"",""""),""-"",""0.00""))"),"Loading...")</f>
        <v>Loading...</v>
      </c>
      <c r="L7540" s="129">
        <v>4.330290119E9</v>
      </c>
      <c r="M7540" s="99">
        <v>0.98</v>
      </c>
    </row>
    <row r="7541">
      <c r="A7541" s="122" t="s">
        <v>15649</v>
      </c>
      <c r="B7541" s="123">
        <v>1046311.0</v>
      </c>
      <c r="C7541" s="124" t="s">
        <v>15650</v>
      </c>
      <c r="D7541" s="125"/>
      <c r="E7541" s="126">
        <v>122.13</v>
      </c>
      <c r="F7541" s="127"/>
      <c r="G7541" s="127"/>
      <c r="H7541" s="127"/>
      <c r="I7541" s="128"/>
      <c r="K7541" s="55" t="s">
        <v>10978</v>
      </c>
      <c r="L7541" s="129">
        <v>6.081900438E9</v>
      </c>
      <c r="M7541" s="99">
        <v>1.23</v>
      </c>
    </row>
    <row r="7542">
      <c r="A7542" s="122" t="s">
        <v>15651</v>
      </c>
      <c r="B7542" s="123">
        <v>55785.0</v>
      </c>
      <c r="C7542" s="124" t="s">
        <v>15652</v>
      </c>
      <c r="D7542" s="125"/>
      <c r="E7542" s="126">
        <v>122.26</v>
      </c>
      <c r="F7542" s="127"/>
      <c r="G7542" s="127"/>
      <c r="H7542" s="127"/>
      <c r="I7542" s="128"/>
      <c r="K7542" s="105" t="str">
        <f>IFERROR(__xludf.DUMMYFUNCTION("if(A7542="""","""",substitute(SUBSTITUTE(index(importhtml(""http://finviz.com/quote.ashx?t=""&amp;A7542,""table"",10),7,2),""*"",""""),""-"",""0.00""))"),"Loading...")</f>
        <v>Loading...</v>
      </c>
      <c r="L7542" s="129">
        <v>4.1316667381E10</v>
      </c>
      <c r="M7542" s="99">
        <v>0.41</v>
      </c>
    </row>
    <row r="7543">
      <c r="A7543" s="122" t="s">
        <v>15653</v>
      </c>
      <c r="B7543" s="123">
        <v>880266.0</v>
      </c>
      <c r="C7543" s="124" t="s">
        <v>15654</v>
      </c>
      <c r="D7543" s="125"/>
      <c r="E7543" s="126">
        <v>122.43</v>
      </c>
      <c r="F7543" s="127"/>
      <c r="G7543" s="127"/>
      <c r="H7543" s="127"/>
      <c r="I7543" s="128"/>
      <c r="K7543" s="105" t="str">
        <f>IFERROR(__xludf.DUMMYFUNCTION("if(A7543="""","""",substitute(SUBSTITUTE(index(importhtml(""http://finviz.com/quote.ashx?t=""&amp;A7543,""table"",10),7,2),""*"",""""),""-"",""0.00""))"),"Loading...")</f>
        <v>Loading...</v>
      </c>
      <c r="L7543" s="129">
        <v>9.167549852E9</v>
      </c>
      <c r="M7543" s="99">
        <v>1.34</v>
      </c>
    </row>
    <row r="7544">
      <c r="A7544" s="122" t="s">
        <v>15655</v>
      </c>
      <c r="B7544" s="123">
        <v>1232524.0</v>
      </c>
      <c r="C7544" s="124" t="s">
        <v>15656</v>
      </c>
      <c r="D7544" s="125"/>
      <c r="E7544" s="126">
        <v>122.9</v>
      </c>
      <c r="F7544" s="127"/>
      <c r="G7544" s="127"/>
      <c r="H7544" s="127"/>
      <c r="I7544" s="128"/>
      <c r="K7544" s="105" t="str">
        <f>IFERROR(__xludf.DUMMYFUNCTION("if(A7544="""","""",substitute(SUBSTITUTE(index(importhtml(""http://finviz.com/quote.ashx?t=""&amp;A7544,""table"",10),7,2),""*"",""""),""-"",""0.00""))"),"Loading...")</f>
        <v>Loading...</v>
      </c>
      <c r="L7544" s="129">
        <v>7.737404335E9</v>
      </c>
      <c r="M7544" s="99">
        <v>0.62</v>
      </c>
    </row>
    <row r="7545">
      <c r="A7545" s="122" t="s">
        <v>15657</v>
      </c>
      <c r="B7545" s="123">
        <v>80420.0</v>
      </c>
      <c r="C7545" s="124" t="s">
        <v>15658</v>
      </c>
      <c r="D7545" s="125"/>
      <c r="E7545" s="126">
        <v>122.91</v>
      </c>
      <c r="F7545" s="127"/>
      <c r="G7545" s="127"/>
      <c r="H7545" s="127"/>
      <c r="I7545" s="128"/>
      <c r="K7545" s="105" t="str">
        <f>IFERROR(__xludf.DUMMYFUNCTION("if(A7545="""","""",substitute(SUBSTITUTE(index(importhtml(""http://finviz.com/quote.ashx?t=""&amp;A7545,""table"",10),7,2),""*"",""""),""-"",""0.00""))"),"Loading...")</f>
        <v>Loading...</v>
      </c>
      <c r="L7545" s="129">
        <v>1.470951279E9</v>
      </c>
      <c r="M7545" s="99">
        <v>0.71</v>
      </c>
    </row>
    <row r="7546">
      <c r="A7546" s="122" t="s">
        <v>15659</v>
      </c>
      <c r="B7546" s="123">
        <v>1410636.0</v>
      </c>
      <c r="C7546" s="124" t="s">
        <v>15660</v>
      </c>
      <c r="D7546" s="125"/>
      <c r="E7546" s="126">
        <v>123.36</v>
      </c>
      <c r="F7546" s="127"/>
      <c r="G7546" s="127"/>
      <c r="H7546" s="127"/>
      <c r="I7546" s="128"/>
      <c r="K7546" s="55" t="s">
        <v>14739</v>
      </c>
      <c r="L7546" s="129">
        <v>2.4018796582E10</v>
      </c>
      <c r="M7546" s="99">
        <v>0.65</v>
      </c>
    </row>
    <row r="7547">
      <c r="A7547" s="122" t="s">
        <v>15661</v>
      </c>
      <c r="B7547" s="123">
        <v>884887.0</v>
      </c>
      <c r="C7547" s="124" t="s">
        <v>15662</v>
      </c>
      <c r="D7547" s="125"/>
      <c r="E7547" s="126">
        <v>123.44</v>
      </c>
      <c r="F7547" s="127"/>
      <c r="G7547" s="127"/>
      <c r="H7547" s="127"/>
      <c r="I7547" s="128"/>
      <c r="K7547" s="105" t="str">
        <f>IFERROR(__xludf.DUMMYFUNCTION("if(A7547="""","""",substitute(SUBSTITUTE(index(importhtml(""http://finviz.com/quote.ashx?t=""&amp;A7547,""table"",10),7,2),""*"",""""),""-"",""0.00""))"),"Loading...")</f>
        <v>Loading...</v>
      </c>
      <c r="L7547" s="129">
        <v>3.1629661369E10</v>
      </c>
      <c r="M7547" s="99">
        <v>2.53</v>
      </c>
    </row>
    <row r="7548">
      <c r="A7548" s="122" t="s">
        <v>15663</v>
      </c>
      <c r="B7548" s="123">
        <v>1665598.0</v>
      </c>
      <c r="C7548" s="124" t="s">
        <v>15664</v>
      </c>
      <c r="D7548" s="125"/>
      <c r="E7548" s="126">
        <v>124.0</v>
      </c>
      <c r="F7548" s="127"/>
      <c r="G7548" s="127"/>
      <c r="H7548" s="127"/>
      <c r="I7548" s="128"/>
      <c r="K7548" s="105" t="str">
        <f>IFERROR(__xludf.DUMMYFUNCTION("if(A7548="""","""",substitute(SUBSTITUTE(index(importhtml(""http://finviz.com/quote.ashx?t=""&amp;A7548,""table"",10),7,2),""*"",""""),""-"",""0.00""))"),"Loading...")</f>
        <v>Loading...</v>
      </c>
      <c r="L7548" s="129">
        <v>9.3E10</v>
      </c>
      <c r="M7548" s="99" t="str">
        <f>IFERROR(__xludf.DUMMYFUNCTION("GOOGLEFINANCE(A7548,""beta"")"),"#N/A")</f>
        <v>#N/A</v>
      </c>
    </row>
    <row r="7549">
      <c r="A7549" s="122" t="s">
        <v>15665</v>
      </c>
      <c r="B7549" s="123">
        <v>746515.0</v>
      </c>
      <c r="C7549" s="124" t="s">
        <v>15666</v>
      </c>
      <c r="D7549" s="125"/>
      <c r="E7549" s="126">
        <v>124.33</v>
      </c>
      <c r="F7549" s="127"/>
      <c r="G7549" s="127"/>
      <c r="H7549" s="127"/>
      <c r="I7549" s="128"/>
      <c r="K7549" s="105" t="str">
        <f>IFERROR(__xludf.DUMMYFUNCTION("if(A7549="""","""",substitute(SUBSTITUTE(index(importhtml(""http://finviz.com/quote.ashx?t=""&amp;A7549,""table"",10),7,2),""*"",""""),""-"",""0.00""))"),"Loading...")</f>
        <v>Loading...</v>
      </c>
      <c r="L7549" s="129">
        <v>1.8076251935E10</v>
      </c>
      <c r="M7549" s="99">
        <v>1.01</v>
      </c>
    </row>
    <row r="7550">
      <c r="A7550" s="122" t="s">
        <v>15667</v>
      </c>
      <c r="B7550" s="123">
        <v>1393818.0</v>
      </c>
      <c r="C7550" s="124" t="s">
        <v>15668</v>
      </c>
      <c r="D7550" s="125"/>
      <c r="E7550" s="126">
        <v>124.36</v>
      </c>
      <c r="F7550" s="127"/>
      <c r="G7550" s="127"/>
      <c r="H7550" s="127"/>
      <c r="I7550" s="128"/>
      <c r="K7550" s="138" t="s">
        <v>15669</v>
      </c>
      <c r="L7550" s="129">
        <v>1.53045873231E11</v>
      </c>
      <c r="M7550" s="99">
        <v>1.54</v>
      </c>
    </row>
    <row r="7551">
      <c r="A7551" s="122" t="s">
        <v>15670</v>
      </c>
      <c r="B7551" s="123">
        <v>1086222.0</v>
      </c>
      <c r="C7551" s="124" t="s">
        <v>15671</v>
      </c>
      <c r="D7551" s="125"/>
      <c r="E7551" s="126">
        <v>124.41</v>
      </c>
      <c r="F7551" s="127"/>
      <c r="G7551" s="127"/>
      <c r="H7551" s="127"/>
      <c r="I7551" s="128"/>
      <c r="K7551" s="105" t="str">
        <f>IFERROR(__xludf.DUMMYFUNCTION("if(A7551="""","""",substitute(SUBSTITUTE(index(importhtml(""http://finviz.com/quote.ashx?t=""&amp;A7551,""table"",10),7,2),""*"",""""),""-"",""0.00""))"),"Loading...")</f>
        <v>Loading...</v>
      </c>
      <c r="L7551" s="129">
        <v>1.8764947467E10</v>
      </c>
      <c r="M7551" s="99">
        <v>0.76</v>
      </c>
    </row>
    <row r="7552">
      <c r="A7552" s="122" t="s">
        <v>15672</v>
      </c>
      <c r="B7552" s="123">
        <v>874499.0</v>
      </c>
      <c r="C7552" s="124" t="s">
        <v>15673</v>
      </c>
      <c r="D7552" s="125"/>
      <c r="E7552" s="126">
        <v>124.46</v>
      </c>
      <c r="F7552" s="127"/>
      <c r="G7552" s="127"/>
      <c r="H7552" s="127"/>
      <c r="I7552" s="128"/>
      <c r="K7552" s="105" t="str">
        <f>IFERROR(__xludf.DUMMYFUNCTION("if(A7552="""","""",substitute(SUBSTITUTE(index(importhtml(""http://finviz.com/quote.ashx?t=""&amp;A7552,""table"",10),7,2),""*"",""""),""-"",""0.00""))"),"Loading...")</f>
        <v>Loading...</v>
      </c>
      <c r="L7552" s="129">
        <v>2.269561687E9</v>
      </c>
      <c r="M7552" s="99">
        <v>6.81</v>
      </c>
    </row>
    <row r="7553">
      <c r="A7553" s="122" t="s">
        <v>15674</v>
      </c>
      <c r="B7553" s="123">
        <v>1737806.0</v>
      </c>
      <c r="C7553" s="124" t="s">
        <v>15675</v>
      </c>
      <c r="D7553" s="125"/>
      <c r="E7553" s="126">
        <v>124.59</v>
      </c>
      <c r="F7553" s="127"/>
      <c r="G7553" s="127"/>
      <c r="H7553" s="127"/>
      <c r="I7553" s="128"/>
      <c r="K7553" s="105" t="str">
        <f>IFERROR(__xludf.DUMMYFUNCTION("if(A7553="""","""",substitute(SUBSTITUTE(index(importhtml(""http://finviz.com/quote.ashx?t=""&amp;A7553,""table"",10),7,2),""*"",""""),""-"",""0.00""))"),"Loading...")</f>
        <v>Loading...</v>
      </c>
      <c r="L7553" s="129">
        <v>1.65528524874E11</v>
      </c>
      <c r="M7553" s="99">
        <v>0.69</v>
      </c>
    </row>
    <row r="7554">
      <c r="A7554" s="122" t="s">
        <v>15676</v>
      </c>
      <c r="B7554" s="123">
        <v>1361371.0</v>
      </c>
      <c r="C7554" s="124" t="s">
        <v>15677</v>
      </c>
      <c r="D7554" s="125"/>
      <c r="E7554" s="126">
        <v>124.6</v>
      </c>
      <c r="F7554" s="127"/>
      <c r="G7554" s="127"/>
      <c r="H7554" s="127"/>
      <c r="I7554" s="128"/>
      <c r="K7554" s="105" t="str">
        <f>IFERROR(__xludf.DUMMYFUNCTION("if(A7554="""","""",substitute(SUBSTITUTE(index(importhtml(""http://finviz.com/quote.ashx?t=""&amp;A7554,""table"",10),7,2),""*"",""""),""-"",""0.00""))"),"Loading...")</f>
        <v>Loading...</v>
      </c>
      <c r="L7554" s="129">
        <v>8.339574126E9</v>
      </c>
      <c r="M7554" s="99">
        <f>IFERROR(__xludf.DUMMYFUNCTION("GOOGLEFINANCE(A7554,""beta"")"),0.72)</f>
        <v>0.72</v>
      </c>
    </row>
    <row r="7555">
      <c r="A7555" s="122" t="s">
        <v>15678</v>
      </c>
      <c r="B7555" s="123">
        <v>1707753.0</v>
      </c>
      <c r="C7555" s="124" t="s">
        <v>15679</v>
      </c>
      <c r="D7555" s="125"/>
      <c r="E7555" s="126">
        <v>124.6</v>
      </c>
      <c r="F7555" s="127"/>
      <c r="G7555" s="127"/>
      <c r="H7555" s="127"/>
      <c r="I7555" s="128"/>
      <c r="K7555" s="105" t="str">
        <f>IFERROR(__xludf.DUMMYFUNCTION("if(A7555="""","""",substitute(SUBSTITUTE(index(importhtml(""http://finviz.com/quote.ashx?t=""&amp;A7555,""table"",10),7,2),""*"",""""),""-"",""0.00""))"),"Loading...")</f>
        <v>Loading...</v>
      </c>
      <c r="L7555" s="129">
        <v>1.2413953917E10</v>
      </c>
      <c r="M7555" s="99">
        <v>0.95</v>
      </c>
    </row>
    <row r="7556">
      <c r="A7556" s="122" t="s">
        <v>15680</v>
      </c>
      <c r="B7556" s="123">
        <v>1022079.0</v>
      </c>
      <c r="C7556" s="124" t="s">
        <v>15681</v>
      </c>
      <c r="D7556" s="125"/>
      <c r="E7556" s="126">
        <v>125.0</v>
      </c>
      <c r="F7556" s="127"/>
      <c r="G7556" s="127"/>
      <c r="H7556" s="127"/>
      <c r="I7556" s="128"/>
      <c r="K7556" s="55" t="s">
        <v>15682</v>
      </c>
      <c r="L7556" s="129">
        <v>1.3950214508E10</v>
      </c>
      <c r="M7556" s="99">
        <f>IFERROR(__xludf.DUMMYFUNCTION("GOOGLEFINANCE(A7556,""beta"")"),0.58)</f>
        <v>0.58</v>
      </c>
    </row>
    <row r="7557">
      <c r="A7557" s="122" t="s">
        <v>15683</v>
      </c>
      <c r="B7557" s="123">
        <v>799292.0</v>
      </c>
      <c r="C7557" s="124" t="s">
        <v>15684</v>
      </c>
      <c r="D7557" s="125"/>
      <c r="E7557" s="126">
        <v>125.48</v>
      </c>
      <c r="F7557" s="127"/>
      <c r="G7557" s="127"/>
      <c r="H7557" s="127"/>
      <c r="I7557" s="128"/>
      <c r="K7557" s="105" t="str">
        <f>IFERROR(__xludf.DUMMYFUNCTION("if(A7557="""","""",substitute(SUBSTITUTE(index(importhtml(""http://finviz.com/quote.ashx?t=""&amp;A7557,""table"",10),7,2),""*"",""""),""-"",""0.00""))"),"Loading...")</f>
        <v>Loading...</v>
      </c>
      <c r="L7557" s="129">
        <v>3.494431128E9</v>
      </c>
      <c r="M7557" s="99">
        <v>2.15</v>
      </c>
    </row>
    <row r="7558">
      <c r="A7558" s="122" t="s">
        <v>15685</v>
      </c>
      <c r="B7558" s="123">
        <v>25445.0</v>
      </c>
      <c r="C7558" s="124" t="s">
        <v>15686</v>
      </c>
      <c r="D7558" s="125"/>
      <c r="E7558" s="126">
        <v>125.97</v>
      </c>
      <c r="F7558" s="127"/>
      <c r="G7558" s="127"/>
      <c r="H7558" s="127"/>
      <c r="I7558" s="128"/>
      <c r="K7558" s="138" t="s">
        <v>13780</v>
      </c>
      <c r="L7558" s="129">
        <v>7.156962944E9</v>
      </c>
      <c r="M7558" s="99" t="str">
        <f>IFERROR(__xludf.DUMMYFUNCTION("GOOGLEFINANCE(A7558,""beta"")"),"#N/A")</f>
        <v>#N/A</v>
      </c>
    </row>
    <row r="7559">
      <c r="A7559" s="122" t="s">
        <v>15687</v>
      </c>
      <c r="B7559" s="123">
        <v>1176948.0</v>
      </c>
      <c r="C7559" s="124" t="s">
        <v>15688</v>
      </c>
      <c r="D7559" s="125"/>
      <c r="E7559" s="126">
        <v>126.14</v>
      </c>
      <c r="F7559" s="127"/>
      <c r="G7559" s="127"/>
      <c r="H7559" s="127"/>
      <c r="I7559" s="128"/>
      <c r="K7559" s="105" t="str">
        <f>IFERROR(__xludf.DUMMYFUNCTION("if(A7559="""","""",substitute(SUBSTITUTE(index(importhtml(""http://finviz.com/quote.ashx?t=""&amp;A7559,""table"",10),7,2),""*"",""""),""-"",""0.00""))"),"Loading...")</f>
        <v>Loading...</v>
      </c>
      <c r="L7559" s="129">
        <v>3.8751519668E10</v>
      </c>
      <c r="M7559" s="99">
        <v>1.18</v>
      </c>
    </row>
    <row r="7560">
      <c r="A7560" s="122" t="s">
        <v>15689</v>
      </c>
      <c r="B7560" s="123">
        <v>1136869.0</v>
      </c>
      <c r="C7560" s="124" t="s">
        <v>15690</v>
      </c>
      <c r="D7560" s="125"/>
      <c r="E7560" s="126">
        <v>126.32</v>
      </c>
      <c r="F7560" s="127"/>
      <c r="G7560" s="127"/>
      <c r="H7560" s="127"/>
      <c r="I7560" s="128"/>
      <c r="K7560" s="105" t="str">
        <f>IFERROR(__xludf.DUMMYFUNCTION("if(A7560="""","""",substitute(SUBSTITUTE(index(importhtml(""http://finviz.com/quote.ashx?t=""&amp;A7560,""table"",10),7,2),""*"",""""),""-"",""0.00""))"),"Loading...")</f>
        <v>Loading...</v>
      </c>
      <c r="L7560" s="129">
        <v>2.6398429328E10</v>
      </c>
      <c r="M7560" s="99">
        <v>1.03</v>
      </c>
    </row>
    <row r="7561">
      <c r="A7561" s="122" t="s">
        <v>15691</v>
      </c>
      <c r="B7561" s="123">
        <v>310158.0</v>
      </c>
      <c r="C7561" s="124" t="s">
        <v>15692</v>
      </c>
      <c r="D7561" s="125"/>
      <c r="E7561" s="126">
        <v>126.41</v>
      </c>
      <c r="F7561" s="127"/>
      <c r="G7561" s="127"/>
      <c r="H7561" s="127"/>
      <c r="I7561" s="128"/>
      <c r="K7561" s="55" t="s">
        <v>15693</v>
      </c>
      <c r="L7561" s="129">
        <v>3.20325730299E11</v>
      </c>
      <c r="M7561" s="99">
        <v>0.38</v>
      </c>
    </row>
    <row r="7562">
      <c r="A7562" s="122" t="s">
        <v>15694</v>
      </c>
      <c r="B7562" s="123">
        <v>216228.0</v>
      </c>
      <c r="C7562" s="124" t="s">
        <v>15695</v>
      </c>
      <c r="D7562" s="125"/>
      <c r="E7562" s="126">
        <v>126.41</v>
      </c>
      <c r="F7562" s="127"/>
      <c r="G7562" s="127"/>
      <c r="H7562" s="127"/>
      <c r="I7562" s="128"/>
      <c r="K7562" s="105" t="str">
        <f>IFERROR(__xludf.DUMMYFUNCTION("if(A7562="""","""",substitute(SUBSTITUTE(index(importhtml(""http://finviz.com/quote.ashx?t=""&amp;A7562,""table"",10),7,2),""*"",""""),""-"",""0.00""))"),"Loading...")</f>
        <v>Loading...</v>
      </c>
      <c r="L7562" s="129">
        <v>1.0378262564E10</v>
      </c>
      <c r="M7562" s="99">
        <v>1.44</v>
      </c>
    </row>
    <row r="7563">
      <c r="A7563" s="122" t="s">
        <v>15696</v>
      </c>
      <c r="B7563" s="123">
        <v>16868.0</v>
      </c>
      <c r="C7563" s="124" t="s">
        <v>15697</v>
      </c>
      <c r="D7563" s="125"/>
      <c r="E7563" s="126">
        <v>126.7</v>
      </c>
      <c r="F7563" s="127"/>
      <c r="G7563" s="127"/>
      <c r="H7563" s="127"/>
      <c r="I7563" s="128"/>
      <c r="K7563" s="55" t="s">
        <v>15698</v>
      </c>
      <c r="L7563" s="129">
        <v>8.1215040133E10</v>
      </c>
      <c r="M7563" s="99">
        <v>0.63</v>
      </c>
    </row>
    <row r="7564">
      <c r="A7564" s="122" t="s">
        <v>15699</v>
      </c>
      <c r="B7564" s="123">
        <v>1302215.0</v>
      </c>
      <c r="C7564" s="124" t="s">
        <v>15700</v>
      </c>
      <c r="D7564" s="125"/>
      <c r="E7564" s="126">
        <v>126.9</v>
      </c>
      <c r="F7564" s="127"/>
      <c r="G7564" s="127"/>
      <c r="H7564" s="127"/>
      <c r="I7564" s="128"/>
      <c r="K7564" s="105" t="str">
        <f>IFERROR(__xludf.DUMMYFUNCTION("if(A7564="""","""",substitute(SUBSTITUTE(index(importhtml(""http://finviz.com/quote.ashx?t=""&amp;A7564,""table"",10),7,2),""*"",""""),""-"",""0.00""))"),"Loading...")</f>
        <v>Loading...</v>
      </c>
      <c r="L7564" s="129">
        <v>8.586077175E9</v>
      </c>
      <c r="M7564" s="99">
        <v>0.68</v>
      </c>
    </row>
    <row r="7565">
      <c r="A7565" s="122" t="s">
        <v>15701</v>
      </c>
      <c r="B7565" s="123">
        <v>912593.0</v>
      </c>
      <c r="C7565" s="124" t="s">
        <v>15702</v>
      </c>
      <c r="D7565" s="125"/>
      <c r="E7565" s="126">
        <v>127.14</v>
      </c>
      <c r="F7565" s="127"/>
      <c r="G7565" s="127"/>
      <c r="H7565" s="127"/>
      <c r="I7565" s="128"/>
      <c r="K7565" s="105" t="str">
        <f>IFERROR(__xludf.DUMMYFUNCTION("if(A7565="""","""",substitute(SUBSTITUTE(index(importhtml(""http://finviz.com/quote.ashx?t=""&amp;A7565,""table"",10),7,2),""*"",""""),""-"",""0.00""))"),"Loading...")</f>
        <v>Loading...</v>
      </c>
      <c r="L7565" s="129">
        <v>1.5821962652E10</v>
      </c>
      <c r="M7565" s="99">
        <v>0.79</v>
      </c>
    </row>
    <row r="7566">
      <c r="A7566" s="122" t="s">
        <v>15703</v>
      </c>
      <c r="B7566" s="123">
        <v>1579241.0</v>
      </c>
      <c r="C7566" s="124" t="s">
        <v>15704</v>
      </c>
      <c r="D7566" s="125"/>
      <c r="E7566" s="126">
        <v>127.63</v>
      </c>
      <c r="F7566" s="127"/>
      <c r="G7566" s="127"/>
      <c r="H7566" s="127"/>
      <c r="I7566" s="128"/>
      <c r="K7566" s="105" t="str">
        <f>IFERROR(__xludf.DUMMYFUNCTION("if(A7566="""","""",substitute(SUBSTITUTE(index(importhtml(""http://finviz.com/quote.ashx?t=""&amp;A7566,""table"",10),7,2),""*"",""""),""-"",""0.00""))"),"Loading...")</f>
        <v>Loading...</v>
      </c>
      <c r="L7566" s="129">
        <v>1.1204324765E10</v>
      </c>
      <c r="M7566" s="99">
        <v>1.14</v>
      </c>
    </row>
    <row r="7567">
      <c r="A7567" s="122" t="s">
        <v>15705</v>
      </c>
      <c r="B7567" s="123">
        <v>1576789.0</v>
      </c>
      <c r="C7567" s="124" t="s">
        <v>15706</v>
      </c>
      <c r="D7567" s="125"/>
      <c r="E7567" s="126">
        <v>127.75</v>
      </c>
      <c r="F7567" s="127"/>
      <c r="G7567" s="127"/>
      <c r="H7567" s="127"/>
      <c r="I7567" s="128"/>
      <c r="K7567" s="105" t="str">
        <f>IFERROR(__xludf.DUMMYFUNCTION("if(A7567="""","""",substitute(SUBSTITUTE(index(importhtml(""http://finviz.com/quote.ashx?t=""&amp;A7567,""table"",10),7,2),""*"",""""),""-"",""0.00""))"),"Loading...")</f>
        <v>Loading...</v>
      </c>
      <c r="L7567" s="129">
        <v>7.300533082E9</v>
      </c>
      <c r="M7567" s="99">
        <v>1.32</v>
      </c>
    </row>
    <row r="7568">
      <c r="A7568" s="122" t="s">
        <v>15707</v>
      </c>
      <c r="B7568" s="123">
        <v>912595.0</v>
      </c>
      <c r="C7568" s="124" t="s">
        <v>15708</v>
      </c>
      <c r="D7568" s="125"/>
      <c r="E7568" s="126">
        <v>128.0</v>
      </c>
      <c r="F7568" s="127"/>
      <c r="G7568" s="127"/>
      <c r="H7568" s="127"/>
      <c r="I7568" s="128"/>
      <c r="K7568" s="105" t="str">
        <f>IFERROR(__xludf.DUMMYFUNCTION("if(A7568="""","""",substitute(SUBSTITUTE(index(importhtml(""http://finviz.com/quote.ashx?t=""&amp;A7568,""table"",10),7,2),""*"",""""),""-"",""0.00""))"),"Loading...")</f>
        <v>Loading...</v>
      </c>
      <c r="L7568" s="129">
        <v>1.4936E10</v>
      </c>
      <c r="M7568" s="99">
        <v>0.83</v>
      </c>
    </row>
    <row r="7569">
      <c r="A7569" s="122" t="s">
        <v>15709</v>
      </c>
      <c r="B7569" s="123">
        <v>894405.0</v>
      </c>
      <c r="C7569" s="124" t="s">
        <v>15710</v>
      </c>
      <c r="D7569" s="125"/>
      <c r="E7569" s="126">
        <v>128.35</v>
      </c>
      <c r="F7569" s="127"/>
      <c r="G7569" s="127"/>
      <c r="H7569" s="127"/>
      <c r="I7569" s="128"/>
      <c r="K7569" s="105" t="str">
        <f>IFERROR(__xludf.DUMMYFUNCTION("if(A7569="""","""",substitute(SUBSTITUTE(index(importhtml(""http://finviz.com/quote.ashx?t=""&amp;A7569,""table"",10),7,2),""*"",""""),""-"",""0.00""))"),"Loading...")</f>
        <v>Loading...</v>
      </c>
      <c r="L7569" s="129">
        <v>3.036999875E9</v>
      </c>
      <c r="M7569" s="99">
        <v>1.45</v>
      </c>
    </row>
    <row r="7570">
      <c r="A7570" s="122" t="s">
        <v>15711</v>
      </c>
      <c r="B7570" s="123">
        <v>805676.0</v>
      </c>
      <c r="C7570" s="124" t="s">
        <v>15712</v>
      </c>
      <c r="D7570" s="125"/>
      <c r="E7570" s="126">
        <v>128.5</v>
      </c>
      <c r="F7570" s="127"/>
      <c r="G7570" s="127"/>
      <c r="H7570" s="127"/>
      <c r="I7570" s="128"/>
      <c r="K7570" s="105" t="str">
        <f>IFERROR(__xludf.DUMMYFUNCTION("if(A7570="""","""",substitute(SUBSTITUTE(index(importhtml(""http://finviz.com/quote.ashx?t=""&amp;A7570,""table"",10),7,2),""*"",""""),""-"",""0.00""))"),"Loading...")</f>
        <v>Loading...</v>
      </c>
      <c r="L7570" s="129">
        <v>2.070966395E9</v>
      </c>
      <c r="M7570" s="99">
        <v>0.71</v>
      </c>
    </row>
    <row r="7571">
      <c r="A7571" s="122" t="s">
        <v>15713</v>
      </c>
      <c r="B7571" s="123">
        <v>1571949.0</v>
      </c>
      <c r="C7571" s="124" t="s">
        <v>15714</v>
      </c>
      <c r="D7571" s="125"/>
      <c r="E7571" s="126">
        <v>128.7</v>
      </c>
      <c r="F7571" s="127"/>
      <c r="G7571" s="127"/>
      <c r="H7571" s="127"/>
      <c r="I7571" s="128"/>
      <c r="K7571" s="105" t="str">
        <f>IFERROR(__xludf.DUMMYFUNCTION("if(A7571="""","""",substitute(SUBSTITUTE(index(importhtml(""http://finviz.com/quote.ashx?t=""&amp;A7571,""table"",10),7,2),""*"",""""),""-"",""0.00""))"),"Loading...")</f>
        <v>Loading...</v>
      </c>
      <c r="L7571" s="129">
        <v>7.3663232183E10</v>
      </c>
      <c r="M7571" s="99">
        <v>1.01</v>
      </c>
    </row>
    <row r="7572">
      <c r="A7572" s="122" t="s">
        <v>15715</v>
      </c>
      <c r="B7572" s="123">
        <v>1041061.0</v>
      </c>
      <c r="C7572" s="124" t="s">
        <v>15716</v>
      </c>
      <c r="D7572" s="125"/>
      <c r="E7572" s="126">
        <v>128.75</v>
      </c>
      <c r="F7572" s="127"/>
      <c r="G7572" s="127"/>
      <c r="H7572" s="127"/>
      <c r="I7572" s="128"/>
      <c r="K7572" s="105" t="str">
        <f>IFERROR(__xludf.DUMMYFUNCTION("if(A7572="""","""",substitute(SUBSTITUTE(index(importhtml(""http://finviz.com/quote.ashx?t=""&amp;A7572,""table"",10),7,2),""*"",""""),""-"",""0.00""))"),"Loading...")</f>
        <v>Loading...</v>
      </c>
      <c r="L7572" s="129">
        <v>3.608968075E10</v>
      </c>
      <c r="M7572" s="99">
        <v>1.09</v>
      </c>
    </row>
    <row r="7573">
      <c r="A7573" s="122" t="s">
        <v>15717</v>
      </c>
      <c r="B7573" s="123">
        <v>1511737.0</v>
      </c>
      <c r="C7573" s="124" t="s">
        <v>15718</v>
      </c>
      <c r="D7573" s="125"/>
      <c r="E7573" s="126">
        <v>128.76</v>
      </c>
      <c r="F7573" s="127"/>
      <c r="G7573" s="127"/>
      <c r="H7573" s="127"/>
      <c r="I7573" s="128"/>
      <c r="K7573" s="55" t="s">
        <v>14337</v>
      </c>
      <c r="L7573" s="129">
        <v>7.783293161E9</v>
      </c>
      <c r="M7573" s="99">
        <v>1.31</v>
      </c>
    </row>
    <row r="7574">
      <c r="A7574" s="122" t="s">
        <v>15719</v>
      </c>
      <c r="B7574" s="123">
        <v>1039065.0</v>
      </c>
      <c r="C7574" s="124" t="s">
        <v>15720</v>
      </c>
      <c r="D7574" s="125"/>
      <c r="E7574" s="126">
        <v>129.09</v>
      </c>
      <c r="F7574" s="127"/>
      <c r="G7574" s="127"/>
      <c r="H7574" s="127"/>
      <c r="I7574" s="128"/>
      <c r="K7574" s="105" t="str">
        <f>IFERROR(__xludf.DUMMYFUNCTION("if(A7574="""","""",substitute(SUBSTITUTE(index(importhtml(""http://finviz.com/quote.ashx?t=""&amp;A7574,""table"",10),7,2),""*"",""""),""-"",""0.00""))"),"Loading...")</f>
        <v>Loading...</v>
      </c>
      <c r="L7574" s="129">
        <v>2.20050035E9</v>
      </c>
      <c r="M7574" s="99">
        <v>0.97</v>
      </c>
    </row>
    <row r="7575">
      <c r="A7575" s="122" t="s">
        <v>15721</v>
      </c>
      <c r="B7575" s="123">
        <v>1679788.0</v>
      </c>
      <c r="C7575" s="124" t="s">
        <v>15722</v>
      </c>
      <c r="D7575" s="125"/>
      <c r="E7575" s="126">
        <v>129.22</v>
      </c>
      <c r="F7575" s="127"/>
      <c r="G7575" s="127"/>
      <c r="H7575" s="127"/>
      <c r="I7575" s="128"/>
      <c r="K7575" s="105" t="str">
        <f>IFERROR(__xludf.DUMMYFUNCTION("if(A7575="""","""",substitute(SUBSTITUTE(index(importhtml(""http://finviz.com/quote.ashx?t=""&amp;A7575,""table"",10),7,2),""*"",""""),""-"",""0.00""))"),"Loading...")</f>
        <v>Loading...</v>
      </c>
      <c r="L7575" s="129">
        <v>3.0915303802E10</v>
      </c>
      <c r="M7575" s="99">
        <f>IFERROR(__xludf.DUMMYFUNCTION("GOOGLEFINANCE(A7575,""beta"")"),3.67)</f>
        <v>3.67</v>
      </c>
    </row>
    <row r="7576">
      <c r="A7576" s="122" t="s">
        <v>15723</v>
      </c>
      <c r="B7576" s="123">
        <v>1045609.0</v>
      </c>
      <c r="C7576" s="124" t="s">
        <v>15724</v>
      </c>
      <c r="D7576" s="125"/>
      <c r="E7576" s="126">
        <v>129.25</v>
      </c>
      <c r="F7576" s="127"/>
      <c r="G7576" s="127"/>
      <c r="H7576" s="127"/>
      <c r="I7576" s="128"/>
      <c r="K7576" s="105" t="str">
        <f>IFERROR(__xludf.DUMMYFUNCTION("if(A7576="""","""",substitute(SUBSTITUTE(index(importhtml(""http://finviz.com/quote.ashx?t=""&amp;A7576,""table"",10),7,2),""*"",""""),""-"",""0.00""))"),"Loading...")</f>
        <v>Loading...</v>
      </c>
      <c r="L7576" s="129">
        <v>1.19423264675E11</v>
      </c>
      <c r="M7576" s="99">
        <v>0.99</v>
      </c>
    </row>
    <row r="7577">
      <c r="A7577" s="122" t="s">
        <v>15725</v>
      </c>
      <c r="B7577" s="123">
        <v>752714.0</v>
      </c>
      <c r="C7577" s="124" t="s">
        <v>15726</v>
      </c>
      <c r="D7577" s="125"/>
      <c r="E7577" s="126">
        <v>129.28</v>
      </c>
      <c r="F7577" s="127"/>
      <c r="G7577" s="127"/>
      <c r="H7577" s="127"/>
      <c r="I7577" s="128"/>
      <c r="K7577" s="105" t="str">
        <f>IFERROR(__xludf.DUMMYFUNCTION("if(A7577="""","""",substitute(SUBSTITUTE(index(importhtml(""http://finviz.com/quote.ashx?t=""&amp;A7577,""table"",10),7,2),""*"",""""),""-"",""0.00""))"),"Loading...")</f>
        <v>Loading...</v>
      </c>
      <c r="L7577" s="129">
        <v>3.165994773E9</v>
      </c>
      <c r="M7577" s="99">
        <v>0.83</v>
      </c>
    </row>
    <row r="7578">
      <c r="A7578" s="122" t="s">
        <v>15727</v>
      </c>
      <c r="B7578" s="123">
        <v>1868275.0</v>
      </c>
      <c r="C7578" s="124" t="s">
        <v>15728</v>
      </c>
      <c r="D7578" s="125"/>
      <c r="E7578" s="126">
        <v>129.71</v>
      </c>
      <c r="F7578" s="127"/>
      <c r="G7578" s="127"/>
      <c r="H7578" s="127"/>
      <c r="I7578" s="128"/>
      <c r="K7578" s="55" t="s">
        <v>12391</v>
      </c>
      <c r="L7578" s="129">
        <v>4.142698948E10</v>
      </c>
      <c r="M7578" s="99">
        <f>IFERROR(__xludf.DUMMYFUNCTION("GOOGLEFINANCE(A7578,""beta"")"),1.13)</f>
        <v>1.13</v>
      </c>
    </row>
    <row r="7579">
      <c r="A7579" s="122" t="s">
        <v>15729</v>
      </c>
      <c r="B7579" s="123">
        <v>1869673.0</v>
      </c>
      <c r="C7579" s="124" t="s">
        <v>15730</v>
      </c>
      <c r="D7579" s="125"/>
      <c r="E7579" s="126">
        <v>130.0</v>
      </c>
      <c r="F7579" s="127"/>
      <c r="G7579" s="127"/>
      <c r="H7579" s="127"/>
      <c r="I7579" s="128"/>
      <c r="K7579" s="105" t="str">
        <f>IFERROR(__xludf.DUMMYFUNCTION("if(A7579="""","""",substitute(SUBSTITUTE(index(importhtml(""http://finviz.com/quote.ashx?t=""&amp;A7579,""table"",10),7,2),""*"",""""),""-"",""0.00""))"),"Loading...")</f>
        <v>Loading...</v>
      </c>
      <c r="L7579" s="129">
        <v>2.5679537E12</v>
      </c>
      <c r="M7579" s="99" t="str">
        <f>IFERROR(__xludf.DUMMYFUNCTION("GOOGLEFINANCE(A7579,""beta"")"),"#N/A")</f>
        <v>#N/A</v>
      </c>
    </row>
    <row r="7580">
      <c r="A7580" s="122" t="s">
        <v>15731</v>
      </c>
      <c r="B7580" s="123">
        <v>896622.0</v>
      </c>
      <c r="C7580" s="124" t="s">
        <v>15732</v>
      </c>
      <c r="D7580" s="125"/>
      <c r="E7580" s="126">
        <v>130.1</v>
      </c>
      <c r="F7580" s="127"/>
      <c r="G7580" s="127"/>
      <c r="H7580" s="127"/>
      <c r="I7580" s="128"/>
      <c r="K7580" s="55" t="s">
        <v>15733</v>
      </c>
      <c r="L7580" s="129">
        <v>8.558143628E9</v>
      </c>
      <c r="M7580" s="99">
        <v>0.58</v>
      </c>
    </row>
    <row r="7581">
      <c r="A7581" s="122" t="s">
        <v>15734</v>
      </c>
      <c r="B7581" s="123">
        <v>1289460.0</v>
      </c>
      <c r="C7581" s="124" t="s">
        <v>15735</v>
      </c>
      <c r="D7581" s="125"/>
      <c r="E7581" s="126">
        <v>130.5</v>
      </c>
      <c r="F7581" s="127"/>
      <c r="G7581" s="127"/>
      <c r="H7581" s="127"/>
      <c r="I7581" s="128"/>
      <c r="K7581" s="105" t="str">
        <f>IFERROR(__xludf.DUMMYFUNCTION("if(A7581="""","""",substitute(SUBSTITUTE(index(importhtml(""http://finviz.com/quote.ashx?t=""&amp;A7581,""table"",10),7,2),""*"",""""),""-"",""0.00""))"),"Loading...")</f>
        <v>Loading...</v>
      </c>
      <c r="L7581" s="129">
        <v>8.715195855E9</v>
      </c>
      <c r="M7581" s="99">
        <v>0.96</v>
      </c>
    </row>
    <row r="7582">
      <c r="A7582" s="122" t="s">
        <v>15736</v>
      </c>
      <c r="B7582" s="123">
        <v>1468174.0</v>
      </c>
      <c r="C7582" s="124" t="s">
        <v>15737</v>
      </c>
      <c r="D7582" s="125"/>
      <c r="E7582" s="126">
        <v>130.89</v>
      </c>
      <c r="F7582" s="127"/>
      <c r="G7582" s="127"/>
      <c r="H7582" s="127"/>
      <c r="I7582" s="128"/>
      <c r="K7582" s="138" t="s">
        <v>8468</v>
      </c>
      <c r="L7582" s="129">
        <v>1.3499850558E10</v>
      </c>
      <c r="M7582" s="99">
        <v>1.46</v>
      </c>
    </row>
    <row r="7583">
      <c r="A7583" s="122" t="s">
        <v>15738</v>
      </c>
      <c r="B7583" s="123">
        <v>944695.0</v>
      </c>
      <c r="C7583" s="124" t="s">
        <v>15739</v>
      </c>
      <c r="D7583" s="125"/>
      <c r="E7583" s="126">
        <v>130.9</v>
      </c>
      <c r="F7583" s="127"/>
      <c r="G7583" s="127"/>
      <c r="H7583" s="127"/>
      <c r="I7583" s="128"/>
      <c r="K7583" s="105" t="str">
        <f>IFERROR(__xludf.DUMMYFUNCTION("if(A7583="""","""",substitute(SUBSTITUTE(index(importhtml(""http://finviz.com/quote.ashx?t=""&amp;A7583,""table"",10),7,2),""*"",""""),""-"",""0.00""))"),"Loading...")</f>
        <v>Loading...</v>
      </c>
      <c r="L7583" s="129">
        <v>4.681301868E9</v>
      </c>
      <c r="M7583" s="99">
        <v>0.68</v>
      </c>
    </row>
    <row r="7584">
      <c r="A7584" s="122" t="s">
        <v>15740</v>
      </c>
      <c r="B7584" s="123">
        <v>1434588.0</v>
      </c>
      <c r="C7584" s="124" t="s">
        <v>15741</v>
      </c>
      <c r="D7584" s="125"/>
      <c r="E7584" s="126">
        <v>131.18</v>
      </c>
      <c r="F7584" s="127"/>
      <c r="G7584" s="127"/>
      <c r="H7584" s="127"/>
      <c r="I7584" s="128"/>
      <c r="K7584" s="105" t="str">
        <f>IFERROR(__xludf.DUMMYFUNCTION("if(A7584="""","""",substitute(SUBSTITUTE(index(importhtml(""http://finviz.com/quote.ashx?t=""&amp;A7584,""table"",10),7,2),""*"",""""),""-"",""0.00""))"),"Loading...")</f>
        <v>Loading...</v>
      </c>
      <c r="L7584" s="129">
        <v>3.936781105E9</v>
      </c>
      <c r="M7584" s="99">
        <v>0.61</v>
      </c>
    </row>
    <row r="7585">
      <c r="A7585" s="122" t="s">
        <v>15742</v>
      </c>
      <c r="B7585" s="123">
        <v>898293.0</v>
      </c>
      <c r="C7585" s="124" t="s">
        <v>15743</v>
      </c>
      <c r="D7585" s="125"/>
      <c r="E7585" s="126">
        <v>131.22</v>
      </c>
      <c r="F7585" s="127"/>
      <c r="G7585" s="127"/>
      <c r="H7585" s="127"/>
      <c r="I7585" s="128"/>
      <c r="K7585" s="105" t="str">
        <f>IFERROR(__xludf.DUMMYFUNCTION("if(A7585="""","""",substitute(SUBSTITUTE(index(importhtml(""http://finviz.com/quote.ashx?t=""&amp;A7585,""table"",10),7,2),""*"",""""),""-"",""0.00""))"),"Loading...")</f>
        <v>Loading...</v>
      </c>
      <c r="L7585" s="129">
        <v>1.6736533787E10</v>
      </c>
      <c r="M7585" s="99">
        <v>1.4</v>
      </c>
    </row>
    <row r="7586">
      <c r="A7586" s="122" t="s">
        <v>15744</v>
      </c>
      <c r="B7586" s="123">
        <v>1113232.0</v>
      </c>
      <c r="C7586" s="124" t="s">
        <v>15745</v>
      </c>
      <c r="D7586" s="125"/>
      <c r="E7586" s="126">
        <v>131.62</v>
      </c>
      <c r="F7586" s="127"/>
      <c r="G7586" s="127"/>
      <c r="H7586" s="127"/>
      <c r="I7586" s="128"/>
      <c r="K7586" s="105" t="str">
        <f>IFERROR(__xludf.DUMMYFUNCTION("if(A7586="""","""",substitute(SUBSTITUTE(index(importhtml(""http://finviz.com/quote.ashx?t=""&amp;A7586,""table"",10),7,2),""*"",""""),""-"",""0.00""))"),"Loading...")</f>
        <v>Loading...</v>
      </c>
      <c r="L7586" s="129">
        <v>4.310220525E9</v>
      </c>
      <c r="M7586" s="99">
        <v>1.69</v>
      </c>
    </row>
    <row r="7587">
      <c r="A7587" s="122" t="s">
        <v>15746</v>
      </c>
      <c r="B7587" s="123">
        <v>836157.0</v>
      </c>
      <c r="C7587" s="124" t="s">
        <v>15747</v>
      </c>
      <c r="D7587" s="125"/>
      <c r="E7587" s="126">
        <v>131.7</v>
      </c>
      <c r="F7587" s="127"/>
      <c r="G7587" s="127"/>
      <c r="H7587" s="127"/>
      <c r="I7587" s="128"/>
      <c r="K7587" s="105" t="str">
        <f>IFERROR(__xludf.DUMMYFUNCTION("if(A7587="""","""",substitute(SUBSTITUTE(index(importhtml(""http://finviz.com/quote.ashx?t=""&amp;A7587,""table"",10),7,2),""*"",""""),""-"",""0.00""))"),"Loading...")</f>
        <v>Loading...</v>
      </c>
      <c r="L7587" s="129">
        <v>1.452773447E9</v>
      </c>
      <c r="M7587" s="99">
        <v>0.65</v>
      </c>
    </row>
    <row r="7588">
      <c r="A7588" s="122" t="s">
        <v>15748</v>
      </c>
      <c r="B7588" s="123">
        <v>901832.0</v>
      </c>
      <c r="C7588" s="124" t="s">
        <v>14643</v>
      </c>
      <c r="D7588" s="125"/>
      <c r="E7588" s="126">
        <v>131.9</v>
      </c>
      <c r="F7588" s="127"/>
      <c r="G7588" s="127"/>
      <c r="H7588" s="127"/>
      <c r="I7588" s="128"/>
      <c r="K7588" s="105" t="str">
        <f>IFERROR(__xludf.DUMMYFUNCTION("if(A7588="""","""",substitute(SUBSTITUTE(index(importhtml(""http://finviz.com/quote.ashx?t=""&amp;A7588,""table"",10),7,2),""*"",""""),""-"",""0.00""))"),"Loading...")</f>
        <v>Loading...</v>
      </c>
      <c r="L7588" s="129">
        <v>2.02285149159E11</v>
      </c>
      <c r="M7588" s="99">
        <v>0.55</v>
      </c>
    </row>
    <row r="7589">
      <c r="A7589" s="122" t="s">
        <v>15749</v>
      </c>
      <c r="B7589" s="123">
        <v>108385.0</v>
      </c>
      <c r="C7589" s="124" t="s">
        <v>15750</v>
      </c>
      <c r="D7589" s="125"/>
      <c r="E7589" s="126">
        <v>132.45</v>
      </c>
      <c r="F7589" s="127"/>
      <c r="G7589" s="127"/>
      <c r="H7589" s="127"/>
      <c r="I7589" s="128"/>
      <c r="K7589" s="105" t="str">
        <f>IFERROR(__xludf.DUMMYFUNCTION("if(A7589="""","""",substitute(SUBSTITUTE(index(importhtml(""http://finviz.com/quote.ashx?t=""&amp;A7589,""table"",10),7,2),""*"",""""),""-"",""0.00""))"),"Loading...")</f>
        <v>Loading...</v>
      </c>
      <c r="L7589" s="129">
        <v>8.24478846E8</v>
      </c>
      <c r="M7589" s="99">
        <v>1.47</v>
      </c>
    </row>
    <row r="7590">
      <c r="A7590" s="122" t="s">
        <v>15751</v>
      </c>
      <c r="B7590" s="123">
        <v>91419.0</v>
      </c>
      <c r="C7590" s="124" t="s">
        <v>15752</v>
      </c>
      <c r="D7590" s="125"/>
      <c r="E7590" s="126">
        <v>132.7</v>
      </c>
      <c r="F7590" s="127"/>
      <c r="G7590" s="127"/>
      <c r="H7590" s="127"/>
      <c r="I7590" s="128"/>
      <c r="K7590" s="105" t="str">
        <f>IFERROR(__xludf.DUMMYFUNCTION("if(A7590="""","""",substitute(SUBSTITUTE(index(importhtml(""http://finviz.com/quote.ashx?t=""&amp;A7590,""table"",10),7,2),""*"",""""),""-"",""0.00""))"),"Loading...")</f>
        <v>Loading...</v>
      </c>
      <c r="L7590" s="129">
        <v>1.4085268666E10</v>
      </c>
      <c r="M7590" s="99">
        <v>0.24</v>
      </c>
    </row>
    <row r="7591">
      <c r="A7591" s="122" t="s">
        <v>15753</v>
      </c>
      <c r="B7591" s="123">
        <v>1588823.0</v>
      </c>
      <c r="C7591" s="124" t="s">
        <v>15754</v>
      </c>
      <c r="D7591" s="125"/>
      <c r="E7591" s="126">
        <v>132.85</v>
      </c>
      <c r="F7591" s="127"/>
      <c r="G7591" s="127"/>
      <c r="H7591" s="127"/>
      <c r="I7591" s="128"/>
      <c r="K7591" s="105" t="str">
        <f>IFERROR(__xludf.DUMMYFUNCTION("if(A7591="""","""",substitute(SUBSTITUTE(index(importhtml(""http://finviz.com/quote.ashx?t=""&amp;A7591,""table"",10),7,2),""*"",""""),""-"",""0.00""))"),"Loading...")</f>
        <v>Loading...</v>
      </c>
      <c r="L7591" s="129">
        <v>1.5088894726E10</v>
      </c>
      <c r="M7591" s="99">
        <v>1.43</v>
      </c>
    </row>
    <row r="7592">
      <c r="A7592" s="122" t="s">
        <v>762</v>
      </c>
      <c r="B7592" s="123">
        <v>1090872.0</v>
      </c>
      <c r="C7592" s="124" t="s">
        <v>15755</v>
      </c>
      <c r="D7592" s="125"/>
      <c r="E7592" s="126">
        <v>132.97</v>
      </c>
      <c r="F7592" s="127"/>
      <c r="G7592" s="127"/>
      <c r="H7592" s="127"/>
      <c r="I7592" s="128"/>
      <c r="K7592" s="138" t="s">
        <v>8833</v>
      </c>
      <c r="L7592" s="129">
        <v>3.8960755534E10</v>
      </c>
      <c r="M7592" s="99">
        <v>1.11</v>
      </c>
    </row>
    <row r="7593">
      <c r="A7593" s="122" t="s">
        <v>15756</v>
      </c>
      <c r="B7593" s="123">
        <v>36270.0</v>
      </c>
      <c r="C7593" s="124" t="s">
        <v>15757</v>
      </c>
      <c r="D7593" s="125"/>
      <c r="E7593" s="126">
        <v>133.49</v>
      </c>
      <c r="F7593" s="127"/>
      <c r="G7593" s="127"/>
      <c r="H7593" s="127"/>
      <c r="I7593" s="128"/>
      <c r="K7593" s="105" t="str">
        <f>IFERROR(__xludf.DUMMYFUNCTION("if(A7593="""","""",substitute(SUBSTITUTE(index(importhtml(""http://finviz.com/quote.ashx?t=""&amp;A7593,""table"",10),7,2),""*"",""""),""-"",""0.00""))"),"Loading...")</f>
        <v>Loading...</v>
      </c>
      <c r="L7593" s="129">
        <v>2.2179230922E10</v>
      </c>
      <c r="M7593" s="99">
        <v>0.8</v>
      </c>
    </row>
    <row r="7594">
      <c r="A7594" s="122" t="s">
        <v>15758</v>
      </c>
      <c r="B7594" s="123">
        <v>798354.0</v>
      </c>
      <c r="C7594" s="124" t="s">
        <v>15759</v>
      </c>
      <c r="D7594" s="125"/>
      <c r="E7594" s="126">
        <v>134.1</v>
      </c>
      <c r="F7594" s="127"/>
      <c r="G7594" s="127"/>
      <c r="H7594" s="127"/>
      <c r="I7594" s="128"/>
      <c r="K7594" s="105" t="str">
        <f>IFERROR(__xludf.DUMMYFUNCTION("if(A7594="""","""",substitute(SUBSTITUTE(index(importhtml(""http://finviz.com/quote.ashx?t=""&amp;A7594,""table"",10),7,2),""*"",""""),""-"",""0.00""))"),"Loading...")</f>
        <v>Loading...</v>
      </c>
      <c r="L7594" s="129">
        <v>8.6966904266E10</v>
      </c>
      <c r="M7594" s="99">
        <f>IFERROR(__xludf.DUMMYFUNCTION("GOOGLEFINANCE(A7594,""beta"")"),0.9)</f>
        <v>0.9</v>
      </c>
    </row>
    <row r="7595">
      <c r="A7595" s="122" t="s">
        <v>15760</v>
      </c>
      <c r="B7595" s="123">
        <v>1001250.0</v>
      </c>
      <c r="C7595" s="124" t="s">
        <v>15761</v>
      </c>
      <c r="D7595" s="125"/>
      <c r="E7595" s="126">
        <v>134.12</v>
      </c>
      <c r="F7595" s="127"/>
      <c r="G7595" s="127"/>
      <c r="H7595" s="127"/>
      <c r="I7595" s="128"/>
      <c r="K7595" s="138" t="s">
        <v>13889</v>
      </c>
      <c r="L7595" s="129">
        <v>4.7994384244E10</v>
      </c>
      <c r="M7595" s="99">
        <v>1.07</v>
      </c>
    </row>
    <row r="7596">
      <c r="A7596" s="122" t="s">
        <v>15762</v>
      </c>
      <c r="B7596" s="123">
        <v>943452.0</v>
      </c>
      <c r="C7596" s="124" t="s">
        <v>15763</v>
      </c>
      <c r="D7596" s="125"/>
      <c r="E7596" s="126">
        <v>134.26</v>
      </c>
      <c r="F7596" s="127"/>
      <c r="G7596" s="127"/>
      <c r="H7596" s="127"/>
      <c r="I7596" s="128"/>
      <c r="K7596" s="105" t="str">
        <f>IFERROR(__xludf.DUMMYFUNCTION("if(A7596="""","""",substitute(SUBSTITUTE(index(importhtml(""http://finviz.com/quote.ashx?t=""&amp;A7596,""table"",10),7,2),""*"",""""),""-"",""0.00""))"),"Loading...")</f>
        <v>Loading...</v>
      </c>
      <c r="L7596" s="129">
        <v>2.4053899781E10</v>
      </c>
      <c r="M7596" s="99">
        <v>1.41</v>
      </c>
    </row>
    <row r="7597">
      <c r="A7597" s="122" t="s">
        <v>15764</v>
      </c>
      <c r="B7597" s="123">
        <v>1561550.0</v>
      </c>
      <c r="C7597" s="124" t="s">
        <v>15765</v>
      </c>
      <c r="D7597" s="125"/>
      <c r="E7597" s="126">
        <v>134.31</v>
      </c>
      <c r="F7597" s="127"/>
      <c r="G7597" s="127"/>
      <c r="H7597" s="127"/>
      <c r="I7597" s="128"/>
      <c r="K7597" s="105" t="str">
        <f>IFERROR(__xludf.DUMMYFUNCTION("if(A7597="""","""",substitute(SUBSTITUTE(index(importhtml(""http://finviz.com/quote.ashx?t=""&amp;A7597,""table"",10),7,2),""*"",""""),""-"",""0.00""))"),"Loading...")</f>
        <v>Loading...</v>
      </c>
      <c r="L7597" s="129">
        <v>4.4128033213E10</v>
      </c>
      <c r="M7597" s="99">
        <v>1.18</v>
      </c>
    </row>
    <row r="7598">
      <c r="A7598" s="122" t="s">
        <v>15766</v>
      </c>
      <c r="B7598" s="123">
        <v>937556.0</v>
      </c>
      <c r="C7598" s="124" t="s">
        <v>15767</v>
      </c>
      <c r="D7598" s="125"/>
      <c r="E7598" s="126">
        <v>134.48</v>
      </c>
      <c r="F7598" s="127"/>
      <c r="G7598" s="127"/>
      <c r="H7598" s="127"/>
      <c r="I7598" s="128"/>
      <c r="K7598" s="105" t="str">
        <f>IFERROR(__xludf.DUMMYFUNCTION("if(A7598="""","""",substitute(SUBSTITUTE(index(importhtml(""http://finviz.com/quote.ashx?t=""&amp;A7598,""table"",10),7,2),""*"",""""),""-"",""0.00""))"),"Loading...")</f>
        <v>Loading...</v>
      </c>
      <c r="L7598" s="129">
        <v>7.106092419E9</v>
      </c>
      <c r="M7598" s="99">
        <v>0.97</v>
      </c>
    </row>
    <row r="7599">
      <c r="A7599" s="122" t="s">
        <v>15768</v>
      </c>
      <c r="B7599" s="123">
        <v>1856689.0</v>
      </c>
      <c r="C7599" s="124" t="s">
        <v>15769</v>
      </c>
      <c r="D7599" s="125"/>
      <c r="E7599" s="126">
        <v>134.78</v>
      </c>
      <c r="F7599" s="127"/>
      <c r="G7599" s="127"/>
      <c r="H7599" s="127"/>
      <c r="I7599" s="128"/>
      <c r="K7599" s="105" t="str">
        <f>IFERROR(__xludf.DUMMYFUNCTION("if(A7599="""","""",substitute(SUBSTITUTE(index(importhtml(""http://finviz.com/quote.ashx?t=""&amp;A7599,""table"",10),7,2),""*"",""""),""-"",""0.00""))"),"Loading...")</f>
        <v>Loading...</v>
      </c>
      <c r="L7599" s="129">
        <v>7.17375E8</v>
      </c>
      <c r="M7599" s="99" t="str">
        <f>IFERROR(__xludf.DUMMYFUNCTION("GOOGLEFINANCE(A7599,""beta"")"),"#N/A")</f>
        <v>#N/A</v>
      </c>
    </row>
    <row r="7600">
      <c r="A7600" s="122" t="s">
        <v>15770</v>
      </c>
      <c r="B7600" s="123">
        <v>1604028.0</v>
      </c>
      <c r="C7600" s="124" t="s">
        <v>15771</v>
      </c>
      <c r="D7600" s="125"/>
      <c r="E7600" s="126">
        <v>135.05</v>
      </c>
      <c r="F7600" s="127"/>
      <c r="G7600" s="127"/>
      <c r="H7600" s="127"/>
      <c r="I7600" s="128"/>
      <c r="K7600" s="105" t="str">
        <f>IFERROR(__xludf.DUMMYFUNCTION("if(A7600="""","""",substitute(SUBSTITUTE(index(importhtml(""http://finviz.com/quote.ashx?t=""&amp;A7600,""table"",10),7,2),""*"",""""),""-"",""0.00""))"),"Loading...")</f>
        <v>Loading...</v>
      </c>
      <c r="L7600" s="129">
        <v>1.052145538E10</v>
      </c>
      <c r="M7600" s="99">
        <v>1.45</v>
      </c>
    </row>
    <row r="7601">
      <c r="A7601" s="122" t="s">
        <v>15772</v>
      </c>
      <c r="B7601" s="123">
        <v>842162.0</v>
      </c>
      <c r="C7601" s="124" t="s">
        <v>15773</v>
      </c>
      <c r="D7601" s="125"/>
      <c r="E7601" s="126">
        <v>135.63</v>
      </c>
      <c r="F7601" s="127"/>
      <c r="G7601" s="127"/>
      <c r="H7601" s="127"/>
      <c r="I7601" s="128"/>
      <c r="K7601" s="105" t="str">
        <f>IFERROR(__xludf.DUMMYFUNCTION("if(A7601="""","""",substitute(SUBSTITUTE(index(importhtml(""http://finviz.com/quote.ashx?t=""&amp;A7601,""table"",10),7,2),""*"",""""),""-"",""0.00""))"),"Loading...")</f>
        <v>Loading...</v>
      </c>
      <c r="L7601" s="129">
        <v>7.901785096E9</v>
      </c>
      <c r="M7601" s="99">
        <v>1.53</v>
      </c>
    </row>
    <row r="7602">
      <c r="A7602" s="122" t="s">
        <v>15774</v>
      </c>
      <c r="B7602" s="123">
        <v>29534.0</v>
      </c>
      <c r="C7602" s="124" t="s">
        <v>15775</v>
      </c>
      <c r="D7602" s="125"/>
      <c r="E7602" s="126">
        <v>136.16</v>
      </c>
      <c r="F7602" s="127"/>
      <c r="G7602" s="127"/>
      <c r="H7602" s="127"/>
      <c r="I7602" s="128"/>
      <c r="K7602" s="55" t="s">
        <v>15776</v>
      </c>
      <c r="L7602" s="129">
        <v>2.9886739555E10</v>
      </c>
      <c r="M7602" s="99">
        <v>0.39</v>
      </c>
    </row>
    <row r="7603">
      <c r="A7603" s="122" t="s">
        <v>15777</v>
      </c>
      <c r="B7603" s="123">
        <v>108312.0</v>
      </c>
      <c r="C7603" s="124" t="s">
        <v>15778</v>
      </c>
      <c r="D7603" s="125"/>
      <c r="E7603" s="126">
        <v>136.26</v>
      </c>
      <c r="F7603" s="127"/>
      <c r="G7603" s="127"/>
      <c r="H7603" s="127"/>
      <c r="I7603" s="128"/>
      <c r="K7603" s="105" t="str">
        <f>IFERROR(__xludf.DUMMYFUNCTION("if(A7603="""","""",substitute(SUBSTITUTE(index(importhtml(""http://finviz.com/quote.ashx?t=""&amp;A7603,""table"",10),7,2),""*"",""""),""-"",""0.00""))"),"Loading...")</f>
        <v>Loading...</v>
      </c>
      <c r="L7603" s="129">
        <v>8.179966803E9</v>
      </c>
      <c r="M7603" s="99">
        <v>1.36</v>
      </c>
    </row>
    <row r="7604">
      <c r="A7604" s="122" t="s">
        <v>15779</v>
      </c>
      <c r="B7604" s="123">
        <v>927628.0</v>
      </c>
      <c r="C7604" s="124" t="s">
        <v>15780</v>
      </c>
      <c r="D7604" s="125"/>
      <c r="E7604" s="126">
        <v>136.48</v>
      </c>
      <c r="F7604" s="127"/>
      <c r="G7604" s="127"/>
      <c r="H7604" s="127"/>
      <c r="I7604" s="128"/>
      <c r="K7604" s="55" t="s">
        <v>15781</v>
      </c>
      <c r="L7604" s="129">
        <v>5.1916990374E10</v>
      </c>
      <c r="M7604" s="99">
        <v>1.49</v>
      </c>
    </row>
    <row r="7605">
      <c r="A7605" s="122" t="s">
        <v>15782</v>
      </c>
      <c r="B7605" s="123">
        <v>1123360.0</v>
      </c>
      <c r="C7605" s="124" t="s">
        <v>15783</v>
      </c>
      <c r="D7605" s="125"/>
      <c r="E7605" s="126">
        <v>136.5</v>
      </c>
      <c r="F7605" s="127"/>
      <c r="G7605" s="127"/>
      <c r="H7605" s="127"/>
      <c r="I7605" s="128"/>
      <c r="K7605" s="105" t="str">
        <f>IFERROR(__xludf.DUMMYFUNCTION("if(A7605="""","""",substitute(SUBSTITUTE(index(importhtml(""http://finviz.com/quote.ashx?t=""&amp;A7605,""table"",10),7,2),""*"",""""),""-"",""0.00""))"),"Loading...")</f>
        <v>Loading...</v>
      </c>
      <c r="L7605" s="129">
        <v>3.554303025E10</v>
      </c>
      <c r="M7605" s="99">
        <v>1.0</v>
      </c>
    </row>
    <row r="7606">
      <c r="A7606" s="122" t="s">
        <v>15784</v>
      </c>
      <c r="B7606" s="123">
        <v>40545.0</v>
      </c>
      <c r="C7606" s="124" t="s">
        <v>15785</v>
      </c>
      <c r="D7606" s="125"/>
      <c r="E7606" s="126">
        <v>136.54</v>
      </c>
      <c r="F7606" s="127"/>
      <c r="G7606" s="127"/>
      <c r="H7606" s="127"/>
      <c r="I7606" s="128"/>
      <c r="K7606" s="138" t="s">
        <v>8653</v>
      </c>
      <c r="L7606" s="129">
        <v>1.48608217132E11</v>
      </c>
      <c r="M7606" s="99">
        <v>1.27</v>
      </c>
    </row>
    <row r="7607">
      <c r="A7607" s="122" t="s">
        <v>15786</v>
      </c>
      <c r="B7607" s="123">
        <v>712515.0</v>
      </c>
      <c r="C7607" s="124" t="s">
        <v>15787</v>
      </c>
      <c r="D7607" s="125"/>
      <c r="E7607" s="126">
        <v>136.64</v>
      </c>
      <c r="F7607" s="127"/>
      <c r="G7607" s="127"/>
      <c r="H7607" s="127"/>
      <c r="I7607" s="128"/>
      <c r="K7607" s="138" t="s">
        <v>7986</v>
      </c>
      <c r="L7607" s="129">
        <v>3.6751568731E10</v>
      </c>
      <c r="M7607" s="99">
        <v>0.78</v>
      </c>
    </row>
    <row r="7608">
      <c r="A7608" s="122" t="s">
        <v>15788</v>
      </c>
      <c r="B7608" s="123">
        <v>1038683.0</v>
      </c>
      <c r="C7608" s="124" t="s">
        <v>11499</v>
      </c>
      <c r="D7608" s="125"/>
      <c r="E7608" s="126">
        <v>137.68</v>
      </c>
      <c r="F7608" s="127"/>
      <c r="G7608" s="127"/>
      <c r="H7608" s="127"/>
      <c r="I7608" s="128"/>
      <c r="K7608" s="105" t="str">
        <f>IFERROR(__xludf.DUMMYFUNCTION("if(A7608="""","""",substitute(SUBSTITUTE(index(importhtml(""http://finviz.com/quote.ashx?t=""&amp;A7608,""table"",10),7,2),""*"",""""),""-"",""0.00""))"),"Loading...")</f>
        <v>Loading...</v>
      </c>
      <c r="L7608" s="129">
        <v>2.2646032026E10</v>
      </c>
      <c r="M7608" s="99">
        <v>1.6</v>
      </c>
    </row>
    <row r="7609">
      <c r="A7609" s="122" t="s">
        <v>15789</v>
      </c>
      <c r="B7609" s="123">
        <v>84246.0</v>
      </c>
      <c r="C7609" s="124" t="s">
        <v>15790</v>
      </c>
      <c r="D7609" s="125"/>
      <c r="E7609" s="126">
        <v>137.74</v>
      </c>
      <c r="F7609" s="127"/>
      <c r="G7609" s="127"/>
      <c r="H7609" s="127"/>
      <c r="I7609" s="128"/>
      <c r="K7609" s="105" t="str">
        <f>IFERROR(__xludf.DUMMYFUNCTION("if(A7609="""","""",substitute(SUBSTITUTE(index(importhtml(""http://finviz.com/quote.ashx?t=""&amp;A7609,""table"",10),7,2),""*"",""""),""-"",""0.00""))"),"Loading...")</f>
        <v>Loading...</v>
      </c>
      <c r="L7609" s="129">
        <v>6.28645385E9</v>
      </c>
      <c r="M7609" s="99">
        <v>0.38</v>
      </c>
    </row>
    <row r="7610">
      <c r="A7610" s="122" t="s">
        <v>15791</v>
      </c>
      <c r="B7610" s="123">
        <v>1035002.0</v>
      </c>
      <c r="C7610" s="124" t="s">
        <v>15792</v>
      </c>
      <c r="D7610" s="125"/>
      <c r="E7610" s="126">
        <v>137.85</v>
      </c>
      <c r="F7610" s="127"/>
      <c r="G7610" s="127"/>
      <c r="H7610" s="127"/>
      <c r="I7610" s="128"/>
      <c r="K7610" s="105" t="str">
        <f>IFERROR(__xludf.DUMMYFUNCTION("if(A7610="""","""",substitute(SUBSTITUTE(index(importhtml(""http://finviz.com/quote.ashx?t=""&amp;A7610,""table"",10),7,2),""*"",""""),""-"",""0.00""))"),"Loading...")</f>
        <v>Loading...</v>
      </c>
      <c r="L7610" s="129">
        <v>4.6931434342E10</v>
      </c>
      <c r="M7610" s="99">
        <v>1.53</v>
      </c>
    </row>
    <row r="7611">
      <c r="A7611" s="122" t="s">
        <v>15793</v>
      </c>
      <c r="B7611" s="123">
        <v>1063761.0</v>
      </c>
      <c r="C7611" s="124" t="s">
        <v>15794</v>
      </c>
      <c r="D7611" s="125"/>
      <c r="E7611" s="126">
        <v>137.94</v>
      </c>
      <c r="F7611" s="127"/>
      <c r="G7611" s="127"/>
      <c r="H7611" s="127"/>
      <c r="I7611" s="128"/>
      <c r="K7611" s="105" t="str">
        <f>IFERROR(__xludf.DUMMYFUNCTION("if(A7611="""","""",substitute(SUBSTITUTE(index(importhtml(""http://finviz.com/quote.ashx?t=""&amp;A7611,""table"",10),7,2),""*"",""""),""-"",""0.00""))"),"Loading...")</f>
        <v>Loading...</v>
      </c>
      <c r="L7611" s="129">
        <v>4.5002567152E10</v>
      </c>
      <c r="M7611" s="99">
        <v>1.6</v>
      </c>
    </row>
    <row r="7612">
      <c r="A7612" s="122" t="s">
        <v>15795</v>
      </c>
      <c r="B7612" s="123">
        <v>52988.0</v>
      </c>
      <c r="C7612" s="124" t="s">
        <v>15796</v>
      </c>
      <c r="D7612" s="125"/>
      <c r="E7612" s="126">
        <v>138.3</v>
      </c>
      <c r="F7612" s="127"/>
      <c r="G7612" s="127"/>
      <c r="H7612" s="127"/>
      <c r="I7612" s="128"/>
      <c r="K7612" s="138" t="s">
        <v>10405</v>
      </c>
      <c r="L7612" s="129">
        <v>1.7469558505E10</v>
      </c>
      <c r="M7612" s="99">
        <v>0.73</v>
      </c>
    </row>
    <row r="7613">
      <c r="A7613" s="122" t="s">
        <v>15797</v>
      </c>
      <c r="B7613" s="123">
        <v>1262823.0</v>
      </c>
      <c r="C7613" s="124" t="s">
        <v>15798</v>
      </c>
      <c r="D7613" s="125"/>
      <c r="E7613" s="126">
        <v>138.54</v>
      </c>
      <c r="F7613" s="127"/>
      <c r="G7613" s="127"/>
      <c r="H7613" s="127"/>
      <c r="I7613" s="128"/>
      <c r="K7613" s="105" t="str">
        <f>IFERROR(__xludf.DUMMYFUNCTION("if(A7613="""","""",substitute(SUBSTITUTE(index(importhtml(""http://finviz.com/quote.ashx?t=""&amp;A7613,""table"",10),7,2),""*"",""""),""-"",""0.00""))"),"Loading...")</f>
        <v>Loading...</v>
      </c>
      <c r="L7613" s="129">
        <v>1.7752611717E10</v>
      </c>
      <c r="M7613" s="99">
        <v>1.3</v>
      </c>
    </row>
    <row r="7614">
      <c r="A7614" s="122" t="s">
        <v>15799</v>
      </c>
      <c r="B7614" s="123">
        <v>1328581.0</v>
      </c>
      <c r="C7614" s="124" t="s">
        <v>15800</v>
      </c>
      <c r="D7614" s="125"/>
      <c r="E7614" s="126">
        <v>138.63</v>
      </c>
      <c r="F7614" s="127"/>
      <c r="G7614" s="127"/>
      <c r="H7614" s="127"/>
      <c r="I7614" s="128"/>
      <c r="K7614" s="55" t="s">
        <v>15801</v>
      </c>
      <c r="L7614" s="129">
        <v>5.488336939E9</v>
      </c>
      <c r="M7614" s="99">
        <v>1.61</v>
      </c>
    </row>
    <row r="7615">
      <c r="A7615" s="122" t="s">
        <v>15802</v>
      </c>
      <c r="B7615" s="123">
        <v>935703.0</v>
      </c>
      <c r="C7615" s="124" t="s">
        <v>15803</v>
      </c>
      <c r="D7615" s="125"/>
      <c r="E7615" s="126">
        <v>138.71</v>
      </c>
      <c r="F7615" s="127"/>
      <c r="G7615" s="127"/>
      <c r="H7615" s="127"/>
      <c r="I7615" s="128"/>
      <c r="K7615" s="105" t="str">
        <f>IFERROR(__xludf.DUMMYFUNCTION("if(A7615="""","""",substitute(SUBSTITUTE(index(importhtml(""http://finviz.com/quote.ashx?t=""&amp;A7615,""table"",10),7,2),""*"",""""),""-"",""0.00""))"),"Loading...")</f>
        <v>Loading...</v>
      </c>
      <c r="L7615" s="129">
        <v>3.0221012711E10</v>
      </c>
      <c r="M7615" s="99">
        <v>0.9</v>
      </c>
    </row>
    <row r="7616">
      <c r="A7616" s="122" t="s">
        <v>15804</v>
      </c>
      <c r="B7616" s="123">
        <v>82811.0</v>
      </c>
      <c r="C7616" s="124" t="s">
        <v>15805</v>
      </c>
      <c r="D7616" s="125"/>
      <c r="E7616" s="126">
        <v>139.3</v>
      </c>
      <c r="F7616" s="127"/>
      <c r="G7616" s="127"/>
      <c r="H7616" s="127"/>
      <c r="I7616" s="128"/>
      <c r="K7616" s="105" t="str">
        <f>IFERROR(__xludf.DUMMYFUNCTION("if(A7616="""","""",substitute(SUBSTITUTE(index(importhtml(""http://finviz.com/quote.ashx?t=""&amp;A7616,""table"",10),7,2),""*"",""""),""-"",""0.00""))"),"Loading...")</f>
        <v>Loading...</v>
      </c>
      <c r="L7616" s="129">
        <v>9.242471622E9</v>
      </c>
      <c r="M7616" s="99">
        <v>1.12</v>
      </c>
    </row>
    <row r="7617">
      <c r="A7617" s="122" t="s">
        <v>15806</v>
      </c>
      <c r="B7617" s="123">
        <v>1612042.0</v>
      </c>
      <c r="C7617" s="124" t="s">
        <v>15807</v>
      </c>
      <c r="D7617" s="125"/>
      <c r="E7617" s="126">
        <v>139.77</v>
      </c>
      <c r="F7617" s="127"/>
      <c r="G7617" s="127"/>
      <c r="H7617" s="127"/>
      <c r="I7617" s="128"/>
      <c r="K7617" s="105" t="str">
        <f>IFERROR(__xludf.DUMMYFUNCTION("if(A7617="""","""",substitute(SUBSTITUTE(index(importhtml(""http://finviz.com/quote.ashx?t=""&amp;A7617,""table"",10),7,2),""*"",""""),""-"",""0.00""))"),"Loading...")</f>
        <v>Loading...</v>
      </c>
      <c r="L7617" s="129">
        <v>8.058657637E9</v>
      </c>
      <c r="M7617" s="99">
        <v>0.5</v>
      </c>
    </row>
    <row r="7618">
      <c r="A7618" s="122" t="s">
        <v>15808</v>
      </c>
      <c r="B7618" s="123">
        <v>79879.0</v>
      </c>
      <c r="C7618" s="124" t="s">
        <v>15809</v>
      </c>
      <c r="D7618" s="125"/>
      <c r="E7618" s="126">
        <v>140.09</v>
      </c>
      <c r="F7618" s="127"/>
      <c r="G7618" s="127"/>
      <c r="H7618" s="127"/>
      <c r="I7618" s="128"/>
      <c r="K7618" s="105" t="str">
        <f>IFERROR(__xludf.DUMMYFUNCTION("if(A7618="""","""",substitute(SUBSTITUTE(index(importhtml(""http://finviz.com/quote.ashx?t=""&amp;A7618,""table"",10),7,2),""*"",""""),""-"",""0.00""))"),"Loading...")</f>
        <v>Loading...</v>
      </c>
      <c r="L7618" s="129">
        <v>3.3033221136E10</v>
      </c>
      <c r="M7618" s="99">
        <v>1.3</v>
      </c>
    </row>
    <row r="7619">
      <c r="A7619" s="122" t="s">
        <v>15810</v>
      </c>
      <c r="B7619" s="123">
        <v>1061736.0</v>
      </c>
      <c r="C7619" s="124" t="s">
        <v>15811</v>
      </c>
      <c r="D7619" s="125"/>
      <c r="E7619" s="126">
        <v>141.04</v>
      </c>
      <c r="F7619" s="127"/>
      <c r="G7619" s="127"/>
      <c r="H7619" s="127"/>
      <c r="I7619" s="128"/>
      <c r="K7619" s="55" t="s">
        <v>14368</v>
      </c>
      <c r="L7619" s="129">
        <v>4.4733005886E10</v>
      </c>
      <c r="M7619" s="99">
        <v>0.98</v>
      </c>
    </row>
    <row r="7620">
      <c r="A7620" s="122" t="s">
        <v>15812</v>
      </c>
      <c r="B7620" s="123">
        <v>1362004.0</v>
      </c>
      <c r="C7620" s="124" t="s">
        <v>15813</v>
      </c>
      <c r="D7620" s="125"/>
      <c r="E7620" s="126">
        <v>141.2</v>
      </c>
      <c r="F7620" s="127"/>
      <c r="G7620" s="127"/>
      <c r="H7620" s="127"/>
      <c r="I7620" s="128"/>
      <c r="K7620" s="105" t="str">
        <f>IFERROR(__xludf.DUMMYFUNCTION("if(A7620="""","""",substitute(SUBSTITUTE(index(importhtml(""http://finviz.com/quote.ashx?t=""&amp;A7620,""table"",10),7,2),""*"",""""),""-"",""0.00""))"),"Loading...")</f>
        <v>Loading...</v>
      </c>
      <c r="L7620" s="129">
        <v>2.656947634E9</v>
      </c>
      <c r="M7620" s="99">
        <v>0.6</v>
      </c>
    </row>
    <row r="7621">
      <c r="A7621" s="122" t="s">
        <v>15814</v>
      </c>
      <c r="B7621" s="123">
        <v>804328.0</v>
      </c>
      <c r="C7621" s="124" t="s">
        <v>15815</v>
      </c>
      <c r="D7621" s="125"/>
      <c r="E7621" s="126">
        <v>141.69</v>
      </c>
      <c r="F7621" s="127"/>
      <c r="G7621" s="127"/>
      <c r="H7621" s="127"/>
      <c r="I7621" s="128"/>
      <c r="K7621" s="105" t="str">
        <f>IFERROR(__xludf.DUMMYFUNCTION("if(A7621="""","""",substitute(SUBSTITUTE(index(importhtml(""http://finviz.com/quote.ashx?t=""&amp;A7621,""table"",10),7,2),""*"",""""),""-"",""0.00""))"),"Loading...")</f>
        <v>Loading...</v>
      </c>
      <c r="L7621" s="129">
        <v>1.58126042724E11</v>
      </c>
      <c r="M7621" s="99">
        <v>1.41</v>
      </c>
    </row>
    <row r="7622">
      <c r="A7622" s="122" t="s">
        <v>15816</v>
      </c>
      <c r="B7622" s="123">
        <v>914475.0</v>
      </c>
      <c r="C7622" s="124" t="s">
        <v>15817</v>
      </c>
      <c r="D7622" s="125"/>
      <c r="E7622" s="126">
        <v>141.74</v>
      </c>
      <c r="F7622" s="127"/>
      <c r="G7622" s="127"/>
      <c r="H7622" s="127"/>
      <c r="I7622" s="128"/>
      <c r="K7622" s="105" t="str">
        <f>IFERROR(__xludf.DUMMYFUNCTION("if(A7622="""","""",substitute(SUBSTITUTE(index(importhtml(""http://finviz.com/quote.ashx?t=""&amp;A7622,""table"",10),7,2),""*"",""""),""-"",""0.00""))"),"Loading...")</f>
        <v>Loading...</v>
      </c>
      <c r="L7622" s="129">
        <v>1.3926230515E10</v>
      </c>
      <c r="M7622" s="99">
        <v>0.25</v>
      </c>
    </row>
    <row r="7623">
      <c r="A7623" s="122" t="s">
        <v>15818</v>
      </c>
      <c r="B7623" s="123">
        <v>1274494.0</v>
      </c>
      <c r="C7623" s="124" t="s">
        <v>15819</v>
      </c>
      <c r="D7623" s="125"/>
      <c r="E7623" s="126">
        <v>141.82</v>
      </c>
      <c r="F7623" s="127"/>
      <c r="G7623" s="127"/>
      <c r="H7623" s="127"/>
      <c r="I7623" s="128"/>
      <c r="K7623" s="105" t="str">
        <f>IFERROR(__xludf.DUMMYFUNCTION("if(A7623="""","""",substitute(SUBSTITUTE(index(importhtml(""http://finviz.com/quote.ashx?t=""&amp;A7623,""table"",10),7,2),""*"",""""),""-"",""0.00""))"),"Loading...")</f>
        <v>Loading...</v>
      </c>
      <c r="L7623" s="129">
        <v>1.5152645226E10</v>
      </c>
      <c r="M7623" s="99">
        <v>1.41</v>
      </c>
    </row>
    <row r="7624">
      <c r="A7624" s="122" t="s">
        <v>15820</v>
      </c>
      <c r="B7624" s="123">
        <v>1090727.0</v>
      </c>
      <c r="C7624" s="124" t="s">
        <v>15821</v>
      </c>
      <c r="D7624" s="125"/>
      <c r="E7624" s="126">
        <v>141.85</v>
      </c>
      <c r="F7624" s="127"/>
      <c r="G7624" s="127"/>
      <c r="H7624" s="127"/>
      <c r="I7624" s="128"/>
      <c r="K7624" s="105" t="str">
        <f>IFERROR(__xludf.DUMMYFUNCTION("if(A7624="""","""",substitute(SUBSTITUTE(index(importhtml(""http://finviz.com/quote.ashx?t=""&amp;A7624,""table"",10),7,2),""*"",""""),""-"",""0.00""))"),"Loading...")</f>
        <v>Loading...</v>
      </c>
      <c r="L7624" s="129">
        <v>1.20845623189E11</v>
      </c>
      <c r="M7624" s="99">
        <v>1.05</v>
      </c>
    </row>
    <row r="7625">
      <c r="A7625" s="122" t="s">
        <v>15822</v>
      </c>
      <c r="B7625" s="123">
        <v>40987.0</v>
      </c>
      <c r="C7625" s="124" t="s">
        <v>15823</v>
      </c>
      <c r="D7625" s="125"/>
      <c r="E7625" s="126">
        <v>142.38</v>
      </c>
      <c r="F7625" s="127"/>
      <c r="G7625" s="127"/>
      <c r="H7625" s="127"/>
      <c r="I7625" s="128"/>
      <c r="K7625" s="105" t="str">
        <f>IFERROR(__xludf.DUMMYFUNCTION("if(A7625="""","""",substitute(SUBSTITUTE(index(importhtml(""http://finviz.com/quote.ashx?t=""&amp;A7625,""table"",10),7,2),""*"",""""),""-"",""0.00""))"),"Loading...")</f>
        <v>Loading...</v>
      </c>
      <c r="L7625" s="129">
        <v>1.9961192592E10</v>
      </c>
      <c r="M7625" s="99">
        <v>0.94</v>
      </c>
    </row>
    <row r="7626">
      <c r="A7626" s="122" t="s">
        <v>15824</v>
      </c>
      <c r="B7626" s="123">
        <v>1652044.0</v>
      </c>
      <c r="C7626" s="124" t="s">
        <v>15825</v>
      </c>
      <c r="D7626" s="125"/>
      <c r="E7626" s="126">
        <v>142.38</v>
      </c>
      <c r="F7626" s="127"/>
      <c r="G7626" s="127"/>
      <c r="H7626" s="127"/>
      <c r="I7626" s="128"/>
      <c r="K7626" s="105" t="str">
        <f>IFERROR(__xludf.DUMMYFUNCTION("if(A7626="""","""",substitute(SUBSTITUTE(index(importhtml(""http://finviz.com/quote.ashx?t=""&amp;A7626,""table"",10),7,2),""*"",""""),""-"",""0.00""))"),"Loading...")</f>
        <v>Loading...</v>
      </c>
      <c r="L7626" s="129">
        <v>1.779075179812E12</v>
      </c>
      <c r="M7626" s="99">
        <v>1.06</v>
      </c>
    </row>
    <row r="7627">
      <c r="A7627" s="122" t="s">
        <v>15826</v>
      </c>
      <c r="B7627" s="123">
        <v>1443646.0</v>
      </c>
      <c r="C7627" s="124" t="s">
        <v>15827</v>
      </c>
      <c r="D7627" s="125"/>
      <c r="E7627" s="126">
        <v>142.45</v>
      </c>
      <c r="F7627" s="127"/>
      <c r="G7627" s="127"/>
      <c r="H7627" s="127"/>
      <c r="I7627" s="128"/>
      <c r="K7627" s="55" t="s">
        <v>15828</v>
      </c>
      <c r="L7627" s="129">
        <v>1.8482288814E10</v>
      </c>
      <c r="M7627" s="99">
        <v>0.54</v>
      </c>
    </row>
    <row r="7628">
      <c r="A7628" s="122" t="s">
        <v>15829</v>
      </c>
      <c r="B7628" s="123">
        <v>1385157.0</v>
      </c>
      <c r="C7628" s="124" t="s">
        <v>15830</v>
      </c>
      <c r="D7628" s="125"/>
      <c r="E7628" s="126">
        <v>142.82</v>
      </c>
      <c r="F7628" s="127"/>
      <c r="G7628" s="127"/>
      <c r="H7628" s="127"/>
      <c r="I7628" s="128"/>
      <c r="K7628" s="105" t="str">
        <f>IFERROR(__xludf.DUMMYFUNCTION("if(A7628="""","""",substitute(SUBSTITUTE(index(importhtml(""http://finviz.com/quote.ashx?t=""&amp;A7628,""table"",10),7,2),""*"",""""),""-"",""0.00""))"),"Loading...")</f>
        <v>Loading...</v>
      </c>
      <c r="L7628" s="129">
        <v>4.4102675441E10</v>
      </c>
      <c r="M7628" s="99">
        <v>1.41</v>
      </c>
    </row>
    <row r="7629">
      <c r="A7629" s="122" t="s">
        <v>15831</v>
      </c>
      <c r="B7629" s="123">
        <v>769520.0</v>
      </c>
      <c r="C7629" s="124" t="s">
        <v>15832</v>
      </c>
      <c r="D7629" s="125"/>
      <c r="E7629" s="126">
        <v>143.12</v>
      </c>
      <c r="F7629" s="127"/>
      <c r="G7629" s="127"/>
      <c r="H7629" s="127"/>
      <c r="I7629" s="128"/>
      <c r="K7629" s="105" t="str">
        <f>IFERROR(__xludf.DUMMYFUNCTION("if(A7629="""","""",substitute(SUBSTITUTE(index(importhtml(""http://finviz.com/quote.ashx?t=""&amp;A7629,""table"",10),7,2),""*"",""""),""-"",""0.00""))"),"Loading...")</f>
        <v>Loading...</v>
      </c>
      <c r="L7629" s="129">
        <v>7.671688291E9</v>
      </c>
      <c r="M7629" s="99">
        <v>1.56</v>
      </c>
    </row>
    <row r="7630">
      <c r="A7630" s="122" t="s">
        <v>15833</v>
      </c>
      <c r="B7630" s="123">
        <v>9326.0</v>
      </c>
      <c r="C7630" s="124" t="s">
        <v>15834</v>
      </c>
      <c r="D7630" s="125"/>
      <c r="E7630" s="126">
        <v>143.14</v>
      </c>
      <c r="F7630" s="127"/>
      <c r="G7630" s="127"/>
      <c r="H7630" s="127"/>
      <c r="I7630" s="128"/>
      <c r="K7630" s="105" t="str">
        <f>IFERROR(__xludf.DUMMYFUNCTION("if(A7630="""","""",substitute(SUBSTITUTE(index(importhtml(""http://finviz.com/quote.ashx?t=""&amp;A7630,""table"",10),7,2),""*"",""""),""-"",""0.00""))"),"Loading...")</f>
        <v>Loading...</v>
      </c>
      <c r="L7630" s="129">
        <v>4.614983877E9</v>
      </c>
      <c r="M7630" s="99">
        <v>0.7</v>
      </c>
    </row>
    <row r="7631">
      <c r="A7631" s="122" t="s">
        <v>15835</v>
      </c>
      <c r="B7631" s="123">
        <v>1053092.0</v>
      </c>
      <c r="C7631" s="124" t="s">
        <v>15836</v>
      </c>
      <c r="D7631" s="125"/>
      <c r="E7631" s="126">
        <v>143.23</v>
      </c>
      <c r="F7631" s="127"/>
      <c r="G7631" s="127"/>
      <c r="H7631" s="127"/>
      <c r="I7631" s="128"/>
      <c r="K7631" s="105" t="str">
        <f>IFERROR(__xludf.DUMMYFUNCTION("if(A7631="""","""",substitute(SUBSTITUTE(index(importhtml(""http://finviz.com/quote.ashx?t=""&amp;A7631,""table"",10),7,2),""*"",""""),""-"",""0.00""))"),"Loading...")</f>
        <v>Loading...</v>
      </c>
      <c r="L7631" s="129" t="e">
        <v>#N/A</v>
      </c>
      <c r="M7631" s="99">
        <v>0.17</v>
      </c>
    </row>
    <row r="7632">
      <c r="A7632" s="122" t="s">
        <v>15837</v>
      </c>
      <c r="B7632" s="123">
        <v>1289490.0</v>
      </c>
      <c r="C7632" s="124" t="s">
        <v>15838</v>
      </c>
      <c r="D7632" s="125"/>
      <c r="E7632" s="126">
        <v>143.53</v>
      </c>
      <c r="F7632" s="127"/>
      <c r="G7632" s="127"/>
      <c r="H7632" s="127"/>
      <c r="I7632" s="128"/>
      <c r="K7632" s="55" t="s">
        <v>15839</v>
      </c>
      <c r="L7632" s="129">
        <v>3.0324702376E10</v>
      </c>
      <c r="M7632" s="99">
        <v>0.75</v>
      </c>
    </row>
    <row r="7633">
      <c r="A7633" s="122" t="s">
        <v>15840</v>
      </c>
      <c r="B7633" s="123">
        <v>1652044.0</v>
      </c>
      <c r="C7633" s="124" t="s">
        <v>15841</v>
      </c>
      <c r="D7633" s="125"/>
      <c r="E7633" s="126">
        <v>143.54</v>
      </c>
      <c r="F7633" s="127"/>
      <c r="G7633" s="127"/>
      <c r="H7633" s="127"/>
      <c r="I7633" s="128"/>
      <c r="K7633" s="105" t="str">
        <f>IFERROR(__xludf.DUMMYFUNCTION("if(A7633="""","""",substitute(SUBSTITUTE(index(importhtml(""http://finviz.com/quote.ashx?t=""&amp;A7633,""table"",10),7,2),""*"",""""),""-"",""0.00""))"),"Loading...")</f>
        <v>Loading...</v>
      </c>
      <c r="L7633" s="129">
        <v>1.779075179812E12</v>
      </c>
      <c r="M7633" s="99">
        <v>1.06</v>
      </c>
    </row>
    <row r="7634">
      <c r="A7634" s="122" t="s">
        <v>15842</v>
      </c>
      <c r="B7634" s="123">
        <v>9092.0</v>
      </c>
      <c r="C7634" s="124" t="s">
        <v>15843</v>
      </c>
      <c r="D7634" s="125"/>
      <c r="E7634" s="126">
        <v>143.67</v>
      </c>
      <c r="F7634" s="127"/>
      <c r="G7634" s="127"/>
      <c r="H7634" s="127"/>
      <c r="I7634" s="128"/>
      <c r="K7634" s="55" t="s">
        <v>10405</v>
      </c>
      <c r="L7634" s="129">
        <v>4.216264759E9</v>
      </c>
      <c r="M7634" s="99">
        <v>0.85</v>
      </c>
    </row>
    <row r="7635">
      <c r="A7635" s="122" t="s">
        <v>15844</v>
      </c>
      <c r="B7635" s="123">
        <v>745732.0</v>
      </c>
      <c r="C7635" s="124" t="s">
        <v>15845</v>
      </c>
      <c r="D7635" s="125"/>
      <c r="E7635" s="126">
        <v>143.68</v>
      </c>
      <c r="F7635" s="127"/>
      <c r="G7635" s="127"/>
      <c r="H7635" s="127"/>
      <c r="I7635" s="128"/>
      <c r="K7635" s="105" t="str">
        <f>IFERROR(__xludf.DUMMYFUNCTION("if(A7635="""","""",substitute(SUBSTITUTE(index(importhtml(""http://finviz.com/quote.ashx?t=""&amp;A7635,""table"",10),7,2),""*"",""""),""-"",""0.00""))"),"Loading...")</f>
        <v>Loading...</v>
      </c>
      <c r="L7635" s="129">
        <v>4.837219715E10</v>
      </c>
      <c r="M7635" s="99">
        <v>1.04</v>
      </c>
    </row>
    <row r="7636">
      <c r="A7636" s="122" t="s">
        <v>15846</v>
      </c>
      <c r="B7636" s="123">
        <v>1110803.0</v>
      </c>
      <c r="C7636" s="124" t="s">
        <v>15847</v>
      </c>
      <c r="D7636" s="125"/>
      <c r="E7636" s="126">
        <v>144.21</v>
      </c>
      <c r="F7636" s="127"/>
      <c r="G7636" s="127"/>
      <c r="H7636" s="127"/>
      <c r="I7636" s="128"/>
      <c r="K7636" s="105" t="str">
        <f>IFERROR(__xludf.DUMMYFUNCTION("if(A7636="""","""",substitute(SUBSTITUTE(index(importhtml(""http://finviz.com/quote.ashx?t=""&amp;A7636,""table"",10),7,2),""*"",""""),""-"",""0.00""))"),"Loading...")</f>
        <v>Loading...</v>
      </c>
      <c r="L7636" s="129">
        <v>2.2900534645E10</v>
      </c>
      <c r="M7636" s="99">
        <v>1.22</v>
      </c>
    </row>
    <row r="7637">
      <c r="A7637" s="122" t="s">
        <v>15848</v>
      </c>
      <c r="B7637" s="123">
        <v>822663.0</v>
      </c>
      <c r="C7637" s="124" t="s">
        <v>15849</v>
      </c>
      <c r="D7637" s="125"/>
      <c r="E7637" s="126">
        <v>144.3</v>
      </c>
      <c r="F7637" s="127"/>
      <c r="G7637" s="127"/>
      <c r="H7637" s="127"/>
      <c r="I7637" s="128"/>
      <c r="K7637" s="105" t="str">
        <f>IFERROR(__xludf.DUMMYFUNCTION("if(A7637="""","""",substitute(SUBSTITUTE(index(importhtml(""http://finviz.com/quote.ashx?t=""&amp;A7637,""table"",10),7,2),""*"",""""),""-"",""0.00""))"),"Loading...")</f>
        <v>Loading...</v>
      </c>
      <c r="L7637" s="129">
        <v>4.614829537E9</v>
      </c>
      <c r="M7637" s="99">
        <v>1.15</v>
      </c>
    </row>
    <row r="7638">
      <c r="A7638" s="122" t="s">
        <v>15850</v>
      </c>
      <c r="B7638" s="123">
        <v>1651308.0</v>
      </c>
      <c r="C7638" s="124" t="s">
        <v>15851</v>
      </c>
      <c r="D7638" s="125"/>
      <c r="E7638" s="126">
        <v>144.48</v>
      </c>
      <c r="F7638" s="127"/>
      <c r="G7638" s="127"/>
      <c r="H7638" s="127"/>
      <c r="I7638" s="128"/>
      <c r="K7638" s="105" t="str">
        <f>IFERROR(__xludf.DUMMYFUNCTION("if(A7638="""","""",substitute(SUBSTITUTE(index(importhtml(""http://finviz.com/quote.ashx?t=""&amp;A7638,""table"",10),7,2),""*"",""""),""-"",""0.00""))"),"Loading...")</f>
        <v>Loading...</v>
      </c>
      <c r="L7638" s="129">
        <v>1.5534648068E10</v>
      </c>
      <c r="M7638" s="99">
        <v>0.6</v>
      </c>
    </row>
    <row r="7639">
      <c r="A7639" s="122" t="s">
        <v>15852</v>
      </c>
      <c r="B7639" s="123">
        <v>1297996.0</v>
      </c>
      <c r="C7639" s="124" t="s">
        <v>15853</v>
      </c>
      <c r="D7639" s="125"/>
      <c r="E7639" s="126">
        <v>144.49</v>
      </c>
      <c r="F7639" s="127"/>
      <c r="G7639" s="127"/>
      <c r="H7639" s="127"/>
      <c r="I7639" s="128"/>
      <c r="K7639" s="55" t="s">
        <v>15854</v>
      </c>
      <c r="L7639" s="129">
        <v>4.3759087143E10</v>
      </c>
      <c r="M7639" s="99">
        <v>0.53</v>
      </c>
    </row>
    <row r="7640">
      <c r="A7640" s="122" t="s">
        <v>15855</v>
      </c>
      <c r="B7640" s="123">
        <v>862831.0</v>
      </c>
      <c r="C7640" s="124" t="s">
        <v>15856</v>
      </c>
      <c r="D7640" s="125"/>
      <c r="E7640" s="126">
        <v>145.0</v>
      </c>
      <c r="F7640" s="127"/>
      <c r="G7640" s="127"/>
      <c r="H7640" s="127"/>
      <c r="I7640" s="128"/>
      <c r="K7640" s="105" t="str">
        <f>IFERROR(__xludf.DUMMYFUNCTION("if(A7640="""","""",substitute(SUBSTITUTE(index(importhtml(""http://finviz.com/quote.ashx?t=""&amp;A7640,""table"",10),7,2),""*"",""""),""-"",""0.00""))"),"Loading...")</f>
        <v>Loading...</v>
      </c>
      <c r="L7640" s="129">
        <v>3.05058588E8</v>
      </c>
      <c r="M7640" s="99">
        <v>0.52</v>
      </c>
    </row>
    <row r="7641">
      <c r="A7641" s="122" t="s">
        <v>15857</v>
      </c>
      <c r="B7641" s="123">
        <v>1534701.0</v>
      </c>
      <c r="C7641" s="124" t="s">
        <v>15858</v>
      </c>
      <c r="D7641" s="125"/>
      <c r="E7641" s="126">
        <v>145.47</v>
      </c>
      <c r="F7641" s="127"/>
      <c r="G7641" s="127"/>
      <c r="H7641" s="127"/>
      <c r="I7641" s="128"/>
      <c r="K7641" s="105" t="str">
        <f>IFERROR(__xludf.DUMMYFUNCTION("if(A7641="""","""",substitute(SUBSTITUTE(index(importhtml(""http://finviz.com/quote.ashx?t=""&amp;A7641,""table"",10),7,2),""*"",""""),""-"",""0.00""))"),"Loading...")</f>
        <v>Loading...</v>
      </c>
      <c r="L7641" s="129">
        <v>6.4000341669E10</v>
      </c>
      <c r="M7641" s="99">
        <v>1.38</v>
      </c>
    </row>
    <row r="7642">
      <c r="A7642" s="122" t="s">
        <v>15859</v>
      </c>
      <c r="B7642" s="123">
        <v>27419.0</v>
      </c>
      <c r="C7642" s="124" t="s">
        <v>15860</v>
      </c>
      <c r="D7642" s="125"/>
      <c r="E7642" s="126">
        <v>145.49</v>
      </c>
      <c r="F7642" s="127"/>
      <c r="G7642" s="127"/>
      <c r="H7642" s="127"/>
      <c r="I7642" s="128"/>
      <c r="K7642" s="105" t="str">
        <f>IFERROR(__xludf.DUMMYFUNCTION("if(A7642="""","""",substitute(SUBSTITUTE(index(importhtml(""http://finviz.com/quote.ashx?t=""&amp;A7642,""table"",10),7,2),""*"",""""),""-"",""0.00""))"),"Loading...")</f>
        <v>Loading...</v>
      </c>
      <c r="L7642" s="129">
        <v>6.7167177817E10</v>
      </c>
      <c r="M7642" s="99">
        <v>1.11</v>
      </c>
    </row>
    <row r="7643">
      <c r="A7643" s="122" t="s">
        <v>15861</v>
      </c>
      <c r="B7643" s="123">
        <v>4447.0</v>
      </c>
      <c r="C7643" s="124" t="s">
        <v>15862</v>
      </c>
      <c r="D7643" s="125"/>
      <c r="E7643" s="126">
        <v>145.96</v>
      </c>
      <c r="F7643" s="127"/>
      <c r="G7643" s="127"/>
      <c r="H7643" s="127"/>
      <c r="I7643" s="128"/>
      <c r="K7643" s="105" t="str">
        <f>IFERROR(__xludf.DUMMYFUNCTION("if(A7643="""","""",substitute(SUBSTITUTE(index(importhtml(""http://finviz.com/quote.ashx?t=""&amp;A7643,""table"",10),7,2),""*"",""""),""-"",""0.00""))"),"Loading...")</f>
        <v>Loading...</v>
      </c>
      <c r="L7643" s="129">
        <v>4.4832885914E10</v>
      </c>
      <c r="M7643" s="99">
        <v>1.28</v>
      </c>
    </row>
    <row r="7644">
      <c r="A7644" s="122" t="s">
        <v>15863</v>
      </c>
      <c r="B7644" s="123">
        <v>1559720.0</v>
      </c>
      <c r="C7644" s="124" t="s">
        <v>15864</v>
      </c>
      <c r="D7644" s="125"/>
      <c r="E7644" s="126">
        <v>146.55</v>
      </c>
      <c r="F7644" s="127"/>
      <c r="G7644" s="127"/>
      <c r="H7644" s="127"/>
      <c r="I7644" s="128"/>
      <c r="K7644" s="105" t="str">
        <f>IFERROR(__xludf.DUMMYFUNCTION("if(A7644="""","""",substitute(SUBSTITUTE(index(importhtml(""http://finviz.com/quote.ashx?t=""&amp;A7644,""table"",10),7,2),""*"",""""),""-"",""0.00""))"),"Loading...")</f>
        <v>Loading...</v>
      </c>
      <c r="L7644" s="129">
        <v>9.3799182903E10</v>
      </c>
      <c r="M7644" s="99">
        <v>1.23</v>
      </c>
    </row>
    <row r="7645">
      <c r="A7645" s="122" t="s">
        <v>15865</v>
      </c>
      <c r="B7645" s="123">
        <v>1109345.0</v>
      </c>
      <c r="C7645" s="124" t="s">
        <v>15866</v>
      </c>
      <c r="D7645" s="125"/>
      <c r="E7645" s="126">
        <v>146.75</v>
      </c>
      <c r="F7645" s="127"/>
      <c r="G7645" s="127"/>
      <c r="H7645" s="127"/>
      <c r="I7645" s="128"/>
      <c r="K7645" s="105" t="str">
        <f>IFERROR(__xludf.DUMMYFUNCTION("if(A7645="""","""",substitute(SUBSTITUTE(index(importhtml(""http://finviz.com/quote.ashx?t=""&amp;A7645,""table"",10),7,2),""*"",""""),""-"",""0.00""))"),"Loading...")</f>
        <v>Loading...</v>
      </c>
      <c r="L7645" s="129">
        <v>4.2153644E9</v>
      </c>
      <c r="M7645" s="99">
        <v>1.38</v>
      </c>
    </row>
    <row r="7646">
      <c r="A7646" s="122" t="s">
        <v>15867</v>
      </c>
      <c r="B7646" s="123">
        <v>882184.0</v>
      </c>
      <c r="C7646" s="124" t="s">
        <v>15868</v>
      </c>
      <c r="D7646" s="125"/>
      <c r="E7646" s="126">
        <v>146.89</v>
      </c>
      <c r="F7646" s="127"/>
      <c r="G7646" s="127"/>
      <c r="H7646" s="127"/>
      <c r="I7646" s="128"/>
      <c r="K7646" s="55" t="s">
        <v>10978</v>
      </c>
      <c r="L7646" s="129">
        <v>4.8740628305E10</v>
      </c>
      <c r="M7646" s="99">
        <v>1.64</v>
      </c>
    </row>
    <row r="7647">
      <c r="A7647" s="122" t="s">
        <v>15869</v>
      </c>
      <c r="B7647" s="123">
        <v>1306830.0</v>
      </c>
      <c r="C7647" s="124" t="s">
        <v>15870</v>
      </c>
      <c r="D7647" s="125"/>
      <c r="E7647" s="126">
        <v>146.97</v>
      </c>
      <c r="F7647" s="127"/>
      <c r="G7647" s="127"/>
      <c r="H7647" s="127"/>
      <c r="I7647" s="128"/>
      <c r="K7647" s="138" t="s">
        <v>15871</v>
      </c>
      <c r="L7647" s="129">
        <v>1.5998434179E10</v>
      </c>
      <c r="M7647" s="99">
        <v>1.36</v>
      </c>
    </row>
    <row r="7648">
      <c r="A7648" s="122" t="s">
        <v>15872</v>
      </c>
      <c r="B7648" s="123">
        <v>1037038.0</v>
      </c>
      <c r="C7648" s="124" t="s">
        <v>15873</v>
      </c>
      <c r="D7648" s="125"/>
      <c r="E7648" s="126">
        <v>147.77</v>
      </c>
      <c r="F7648" s="127"/>
      <c r="G7648" s="127"/>
      <c r="H7648" s="127"/>
      <c r="I7648" s="128"/>
      <c r="K7648" s="55" t="s">
        <v>15874</v>
      </c>
      <c r="L7648" s="129">
        <v>9.55082903E9</v>
      </c>
      <c r="M7648" s="99">
        <v>1.48</v>
      </c>
    </row>
    <row r="7649">
      <c r="A7649" s="122" t="s">
        <v>15875</v>
      </c>
      <c r="B7649" s="123">
        <v>713676.0</v>
      </c>
      <c r="C7649" s="124" t="s">
        <v>15876</v>
      </c>
      <c r="D7649" s="125"/>
      <c r="E7649" s="126">
        <v>148.13</v>
      </c>
      <c r="F7649" s="127"/>
      <c r="G7649" s="127"/>
      <c r="H7649" s="127"/>
      <c r="I7649" s="128"/>
      <c r="K7649" s="105" t="str">
        <f>IFERROR(__xludf.DUMMYFUNCTION("if(A7649="""","""",substitute(SUBSTITUTE(index(importhtml(""http://finviz.com/quote.ashx?t=""&amp;A7649,""table"",10),7,2),""*"",""""),""-"",""0.00""))"),"Loading...")</f>
        <v>Loading...</v>
      </c>
      <c r="L7649" s="129">
        <v>5.8960067339E10</v>
      </c>
      <c r="M7649" s="99">
        <v>1.19</v>
      </c>
    </row>
    <row r="7650">
      <c r="A7650" s="122" t="s">
        <v>15877</v>
      </c>
      <c r="B7650" s="123">
        <v>1666138.0</v>
      </c>
      <c r="C7650" s="124" t="s">
        <v>15878</v>
      </c>
      <c r="D7650" s="125"/>
      <c r="E7650" s="126">
        <v>148.61</v>
      </c>
      <c r="F7650" s="127"/>
      <c r="G7650" s="127"/>
      <c r="H7650" s="127"/>
      <c r="I7650" s="128"/>
      <c r="K7650" s="105" t="str">
        <f>IFERROR(__xludf.DUMMYFUNCTION("if(A7650="""","""",substitute(SUBSTITUTE(index(importhtml(""http://finviz.com/quote.ashx?t=""&amp;A7650,""table"",10),7,2),""*"",""""),""-"",""0.00""))"),"Loading...")</f>
        <v>Loading...</v>
      </c>
      <c r="L7650" s="129">
        <v>5.520761953E9</v>
      </c>
      <c r="M7650" s="99">
        <v>2.18</v>
      </c>
    </row>
    <row r="7651">
      <c r="A7651" s="122" t="s">
        <v>15879</v>
      </c>
      <c r="B7651" s="123">
        <v>835403.0</v>
      </c>
      <c r="C7651" s="124" t="s">
        <v>13445</v>
      </c>
      <c r="D7651" s="125"/>
      <c r="E7651" s="126">
        <v>149.09</v>
      </c>
      <c r="F7651" s="127"/>
      <c r="G7651" s="127"/>
      <c r="H7651" s="127"/>
      <c r="I7651" s="128"/>
      <c r="K7651" s="55" t="s">
        <v>15880</v>
      </c>
      <c r="L7651" s="129">
        <v>8.3772336527E10</v>
      </c>
      <c r="M7651" s="99">
        <v>0.65</v>
      </c>
    </row>
    <row r="7652">
      <c r="A7652" s="122" t="s">
        <v>15881</v>
      </c>
      <c r="B7652" s="123">
        <v>310354.0</v>
      </c>
      <c r="C7652" s="124" t="s">
        <v>15882</v>
      </c>
      <c r="D7652" s="125"/>
      <c r="E7652" s="126">
        <v>149.38</v>
      </c>
      <c r="F7652" s="127"/>
      <c r="G7652" s="127"/>
      <c r="H7652" s="127"/>
      <c r="I7652" s="128"/>
      <c r="K7652" s="105" t="str">
        <f>IFERROR(__xludf.DUMMYFUNCTION("if(A7652="""","""",substitute(SUBSTITUTE(index(importhtml(""http://finviz.com/quote.ashx?t=""&amp;A7652,""table"",10),7,2),""*"",""""),""-"",""0.00""))"),"Loading...")</f>
        <v>Loading...</v>
      </c>
      <c r="L7652" s="129">
        <v>1.777557824E9</v>
      </c>
      <c r="M7652" s="99">
        <v>1.0</v>
      </c>
    </row>
    <row r="7653">
      <c r="A7653" s="122" t="s">
        <v>15883</v>
      </c>
      <c r="B7653" s="123">
        <v>1004434.0</v>
      </c>
      <c r="C7653" s="124" t="s">
        <v>15884</v>
      </c>
      <c r="D7653" s="125"/>
      <c r="E7653" s="126">
        <v>149.66</v>
      </c>
      <c r="F7653" s="127"/>
      <c r="G7653" s="127"/>
      <c r="H7653" s="127"/>
      <c r="I7653" s="128"/>
      <c r="K7653" s="55" t="s">
        <v>3453</v>
      </c>
      <c r="L7653" s="129">
        <v>5.059799689E9</v>
      </c>
      <c r="M7653" s="99">
        <v>1.31</v>
      </c>
    </row>
    <row r="7654">
      <c r="A7654" s="122" t="s">
        <v>15885</v>
      </c>
      <c r="B7654" s="123">
        <v>1001290.0</v>
      </c>
      <c r="C7654" s="124" t="s">
        <v>15886</v>
      </c>
      <c r="D7654" s="125"/>
      <c r="E7654" s="126">
        <v>149.81</v>
      </c>
      <c r="F7654" s="127"/>
      <c r="G7654" s="127"/>
      <c r="H7654" s="127"/>
      <c r="I7654" s="128"/>
      <c r="K7654" s="55" t="s">
        <v>15887</v>
      </c>
      <c r="L7654" s="129">
        <v>1.1914838535E10</v>
      </c>
      <c r="M7654" s="99">
        <v>1.28</v>
      </c>
    </row>
    <row r="7655">
      <c r="A7655" s="122" t="s">
        <v>15888</v>
      </c>
      <c r="B7655" s="123">
        <v>1003935.0</v>
      </c>
      <c r="C7655" s="124" t="s">
        <v>15889</v>
      </c>
      <c r="D7655" s="125"/>
      <c r="E7655" s="126">
        <v>150.0</v>
      </c>
      <c r="F7655" s="127"/>
      <c r="G7655" s="127"/>
      <c r="H7655" s="127"/>
      <c r="I7655" s="128"/>
      <c r="K7655" s="105" t="str">
        <f>IFERROR(__xludf.DUMMYFUNCTION("if(A7655="""","""",substitute(SUBSTITUTE(index(importhtml(""http://finviz.com/quote.ashx?t=""&amp;A7655,""table"",10),7,2),""*"",""""),""-"",""0.00""))"),"Loading...")</f>
        <v>Loading...</v>
      </c>
      <c r="L7655" s="129">
        <v>1.516948245E10</v>
      </c>
      <c r="M7655" s="99" t="str">
        <f>IFERROR(__xludf.DUMMYFUNCTION("GOOGLEFINANCE(A7655,""beta"")"),"#N/A")</f>
        <v>#N/A</v>
      </c>
    </row>
    <row r="7656">
      <c r="A7656" s="122" t="s">
        <v>15890</v>
      </c>
      <c r="B7656" s="123">
        <v>1539838.0</v>
      </c>
      <c r="C7656" s="124" t="s">
        <v>15891</v>
      </c>
      <c r="D7656" s="125"/>
      <c r="E7656" s="126">
        <v>150.22</v>
      </c>
      <c r="F7656" s="127"/>
      <c r="G7656" s="127"/>
      <c r="H7656" s="127"/>
      <c r="I7656" s="128"/>
      <c r="K7656" s="105" t="str">
        <f>IFERROR(__xludf.DUMMYFUNCTION("if(A7656="""","""",substitute(SUBSTITUTE(index(importhtml(""http://finviz.com/quote.ashx?t=""&amp;A7656,""table"",10),7,2),""*"",""""),""-"",""0.00""))"),"Loading...")</f>
        <v>Loading...</v>
      </c>
      <c r="L7656" s="129">
        <v>2.6887111896E10</v>
      </c>
      <c r="M7656" s="99">
        <v>1.88</v>
      </c>
    </row>
    <row r="7657">
      <c r="A7657" s="122" t="s">
        <v>15892</v>
      </c>
      <c r="B7657" s="123">
        <v>833079.0</v>
      </c>
      <c r="C7657" s="124" t="s">
        <v>15893</v>
      </c>
      <c r="D7657" s="125"/>
      <c r="E7657" s="126">
        <v>150.62</v>
      </c>
      <c r="F7657" s="127"/>
      <c r="G7657" s="127"/>
      <c r="H7657" s="127"/>
      <c r="I7657" s="128"/>
      <c r="K7657" s="105" t="str">
        <f>IFERROR(__xludf.DUMMYFUNCTION("if(A7657="""","""",substitute(SUBSTITUTE(index(importhtml(""http://finviz.com/quote.ashx?t=""&amp;A7657,""table"",10),7,2),""*"",""""),""-"",""0.00""))"),"Loading...")</f>
        <v>Loading...</v>
      </c>
      <c r="L7657" s="129">
        <v>5.49008376E9</v>
      </c>
      <c r="M7657" s="99">
        <v>1.78</v>
      </c>
    </row>
    <row r="7658">
      <c r="A7658" s="122" t="s">
        <v>15894</v>
      </c>
      <c r="B7658" s="123">
        <v>1075124.0</v>
      </c>
      <c r="C7658" s="124" t="s">
        <v>15895</v>
      </c>
      <c r="D7658" s="125"/>
      <c r="E7658" s="126">
        <v>151.01</v>
      </c>
      <c r="F7658" s="127"/>
      <c r="G7658" s="127"/>
      <c r="H7658" s="127"/>
      <c r="I7658" s="128"/>
      <c r="K7658" s="105" t="str">
        <f>IFERROR(__xludf.DUMMYFUNCTION("if(A7658="""","""",substitute(SUBSTITUTE(index(importhtml(""http://finviz.com/quote.ashx?t=""&amp;A7658,""table"",10),7,2),""*"",""""),""-"",""0.00""))"),"Loading...")</f>
        <v>Loading...</v>
      </c>
      <c r="L7658" s="129">
        <v>6.8417086444E10</v>
      </c>
      <c r="M7658" s="99">
        <v>0.66</v>
      </c>
    </row>
    <row r="7659">
      <c r="A7659" s="122" t="s">
        <v>15896</v>
      </c>
      <c r="B7659" s="123">
        <v>1324424.0</v>
      </c>
      <c r="C7659" s="124" t="s">
        <v>15897</v>
      </c>
      <c r="D7659" s="125"/>
      <c r="E7659" s="126">
        <v>151.05</v>
      </c>
      <c r="F7659" s="127"/>
      <c r="G7659" s="127"/>
      <c r="H7659" s="127"/>
      <c r="I7659" s="128"/>
      <c r="K7659" s="105" t="str">
        <f>IFERROR(__xludf.DUMMYFUNCTION("if(A7659="""","""",substitute(SUBSTITUTE(index(importhtml(""http://finviz.com/quote.ashx?t=""&amp;A7659,""table"",10),7,2),""*"",""""),""-"",""0.00""))"),"Loading...")</f>
        <v>Loading...</v>
      </c>
      <c r="L7659" s="129">
        <v>2.0973021033E10</v>
      </c>
      <c r="M7659" s="99">
        <v>1.9</v>
      </c>
    </row>
    <row r="7660">
      <c r="A7660" s="122" t="s">
        <v>15898</v>
      </c>
      <c r="B7660" s="123">
        <v>700923.0</v>
      </c>
      <c r="C7660" s="124" t="s">
        <v>15899</v>
      </c>
      <c r="D7660" s="125"/>
      <c r="E7660" s="126">
        <v>151.34</v>
      </c>
      <c r="F7660" s="127"/>
      <c r="G7660" s="127"/>
      <c r="H7660" s="127"/>
      <c r="I7660" s="128"/>
      <c r="K7660" s="105" t="str">
        <f>IFERROR(__xludf.DUMMYFUNCTION("if(A7660="""","""",substitute(SUBSTITUTE(index(importhtml(""http://finviz.com/quote.ashx?t=""&amp;A7660,""table"",10),7,2),""*"",""""),""-"",""0.00""))"),"Loading...")</f>
        <v>Loading...</v>
      </c>
      <c r="L7660" s="129">
        <v>2.528820209E9</v>
      </c>
      <c r="M7660" s="99">
        <v>1.07</v>
      </c>
    </row>
    <row r="7661">
      <c r="A7661" s="122" t="s">
        <v>15900</v>
      </c>
      <c r="B7661" s="123">
        <v>1486159.0</v>
      </c>
      <c r="C7661" s="124" t="s">
        <v>15901</v>
      </c>
      <c r="D7661" s="125"/>
      <c r="E7661" s="126">
        <v>151.5</v>
      </c>
      <c r="F7661" s="127"/>
      <c r="G7661" s="127"/>
      <c r="H7661" s="127"/>
      <c r="I7661" s="128"/>
      <c r="K7661" s="105" t="str">
        <f>IFERROR(__xludf.DUMMYFUNCTION("if(A7661="""","""",substitute(SUBSTITUTE(index(importhtml(""http://finviz.com/quote.ashx?t=""&amp;A7661,""table"",10),7,2),""*"",""""),""-"",""0.00""))"),"Loading...")</f>
        <v>Loading...</v>
      </c>
      <c r="L7661" s="129">
        <v>6.322204489E9</v>
      </c>
      <c r="M7661" s="99">
        <v>1.21</v>
      </c>
    </row>
    <row r="7662">
      <c r="A7662" s="122" t="s">
        <v>15902</v>
      </c>
      <c r="B7662" s="123">
        <v>1019849.0</v>
      </c>
      <c r="C7662" s="124" t="s">
        <v>15903</v>
      </c>
      <c r="D7662" s="125"/>
      <c r="E7662" s="126">
        <v>152.16</v>
      </c>
      <c r="F7662" s="127"/>
      <c r="G7662" s="127"/>
      <c r="H7662" s="127"/>
      <c r="I7662" s="128"/>
      <c r="K7662" s="105" t="str">
        <f>IFERROR(__xludf.DUMMYFUNCTION("if(A7662="""","""",substitute(SUBSTITUTE(index(importhtml(""http://finviz.com/quote.ashx?t=""&amp;A7662,""table"",10),7,2),""*"",""""),""-"",""0.00""))"),"Loading...")</f>
        <v>Loading...</v>
      </c>
      <c r="L7662" s="129">
        <v>1.0227297702E10</v>
      </c>
      <c r="M7662" s="99">
        <v>1.19</v>
      </c>
    </row>
    <row r="7663">
      <c r="A7663" s="122" t="s">
        <v>15904</v>
      </c>
      <c r="B7663" s="123">
        <v>93410.0</v>
      </c>
      <c r="C7663" s="124" t="s">
        <v>15905</v>
      </c>
      <c r="D7663" s="125"/>
      <c r="E7663" s="126">
        <v>152.24</v>
      </c>
      <c r="F7663" s="127"/>
      <c r="G7663" s="127"/>
      <c r="H7663" s="127"/>
      <c r="I7663" s="128"/>
      <c r="K7663" s="55" t="s">
        <v>15906</v>
      </c>
      <c r="L7663" s="129">
        <v>2.86522997858E11</v>
      </c>
      <c r="M7663" s="99">
        <v>1.13</v>
      </c>
    </row>
    <row r="7664">
      <c r="A7664" s="122" t="s">
        <v>15907</v>
      </c>
      <c r="B7664" s="123">
        <v>1353283.0</v>
      </c>
      <c r="C7664" s="124" t="s">
        <v>15908</v>
      </c>
      <c r="D7664" s="125"/>
      <c r="E7664" s="126">
        <v>153.39</v>
      </c>
      <c r="F7664" s="127"/>
      <c r="G7664" s="127"/>
      <c r="H7664" s="127"/>
      <c r="I7664" s="128"/>
      <c r="K7664" s="105" t="str">
        <f>IFERROR(__xludf.DUMMYFUNCTION("if(A7664="""","""",substitute(SUBSTITUTE(index(importhtml(""http://finviz.com/quote.ashx?t=""&amp;A7664,""table"",10),7,2),""*"",""""),""-"",""0.00""))"),"Loading...")</f>
        <v>Loading...</v>
      </c>
      <c r="L7664" s="129">
        <v>2.5846214897E10</v>
      </c>
      <c r="M7664" s="99">
        <v>1.02</v>
      </c>
    </row>
    <row r="7665">
      <c r="A7665" s="122" t="s">
        <v>15909</v>
      </c>
      <c r="B7665" s="123">
        <v>1364479.0</v>
      </c>
      <c r="C7665" s="124" t="s">
        <v>15910</v>
      </c>
      <c r="D7665" s="125"/>
      <c r="E7665" s="126">
        <v>153.9</v>
      </c>
      <c r="F7665" s="127"/>
      <c r="G7665" s="127"/>
      <c r="H7665" s="127"/>
      <c r="I7665" s="128"/>
      <c r="K7665" s="105" t="str">
        <f>IFERROR(__xludf.DUMMYFUNCTION("if(A7665="""","""",substitute(SUBSTITUTE(index(importhtml(""http://finviz.com/quote.ashx?t=""&amp;A7665,""table"",10),7,2),""*"",""""),""-"",""0.00""))"),"Loading...")</f>
        <v>Loading...</v>
      </c>
      <c r="L7665" s="129">
        <v>4.350400396E9</v>
      </c>
      <c r="M7665" s="99">
        <v>2.29</v>
      </c>
    </row>
    <row r="7666">
      <c r="A7666" s="122" t="s">
        <v>15911</v>
      </c>
      <c r="B7666" s="123">
        <v>920760.0</v>
      </c>
      <c r="C7666" s="124" t="s">
        <v>15912</v>
      </c>
      <c r="D7666" s="125"/>
      <c r="E7666" s="126">
        <v>154.01</v>
      </c>
      <c r="F7666" s="127"/>
      <c r="G7666" s="127"/>
      <c r="H7666" s="127"/>
      <c r="I7666" s="128"/>
      <c r="K7666" s="105" t="str">
        <f>IFERROR(__xludf.DUMMYFUNCTION("if(A7666="""","""",substitute(SUBSTITUTE(index(importhtml(""http://finviz.com/quote.ashx?t=""&amp;A7666,""table"",10),7,2),""*"",""""),""-"",""0.00""))"),"Loading...")</f>
        <v>Loading...</v>
      </c>
      <c r="L7666" s="129">
        <v>4.285449765E10</v>
      </c>
      <c r="M7666" s="99">
        <v>1.53</v>
      </c>
    </row>
    <row r="7667">
      <c r="A7667" s="122" t="s">
        <v>15913</v>
      </c>
      <c r="B7667" s="123">
        <v>909108.0</v>
      </c>
      <c r="C7667" s="124" t="s">
        <v>15914</v>
      </c>
      <c r="D7667" s="125"/>
      <c r="E7667" s="126">
        <v>154.66</v>
      </c>
      <c r="F7667" s="127"/>
      <c r="G7667" s="127"/>
      <c r="H7667" s="127"/>
      <c r="I7667" s="128"/>
      <c r="K7667" s="105" t="str">
        <f>IFERROR(__xludf.DUMMYFUNCTION("if(A7667="""","""",substitute(SUBSTITUTE(index(importhtml(""http://finviz.com/quote.ashx?t=""&amp;A7667,""table"",10),7,2),""*"",""""),""-"",""0.00""))"),"Loading...")</f>
        <v>Loading...</v>
      </c>
      <c r="L7667" s="129">
        <v>4.45178458E8</v>
      </c>
      <c r="M7667" s="99">
        <v>0.98</v>
      </c>
    </row>
    <row r="7668">
      <c r="A7668" s="122" t="s">
        <v>15915</v>
      </c>
      <c r="B7668" s="123">
        <v>1370946.0</v>
      </c>
      <c r="C7668" s="124" t="s">
        <v>15916</v>
      </c>
      <c r="D7668" s="125"/>
      <c r="E7668" s="126">
        <v>155.42</v>
      </c>
      <c r="F7668" s="127"/>
      <c r="G7668" s="127"/>
      <c r="H7668" s="127"/>
      <c r="I7668" s="128"/>
      <c r="K7668" s="138" t="s">
        <v>14368</v>
      </c>
      <c r="L7668" s="129">
        <v>1.3812941457E10</v>
      </c>
      <c r="M7668" s="99">
        <v>1.47</v>
      </c>
    </row>
    <row r="7669">
      <c r="A7669" s="122" t="s">
        <v>15917</v>
      </c>
      <c r="B7669" s="123">
        <v>1726173.0</v>
      </c>
      <c r="C7669" s="124" t="s">
        <v>15918</v>
      </c>
      <c r="D7669" s="125"/>
      <c r="E7669" s="126">
        <v>155.67</v>
      </c>
      <c r="F7669" s="127"/>
      <c r="G7669" s="127"/>
      <c r="H7669" s="127"/>
      <c r="I7669" s="128"/>
      <c r="K7669" s="55" t="s">
        <v>1034</v>
      </c>
      <c r="L7669" s="129">
        <v>4.81267186E8</v>
      </c>
      <c r="M7669" s="99">
        <v>1.76</v>
      </c>
      <c r="Q7669" s="153" t="str">
        <f>IF(ISBLANK(MATCH("Condition", Sheet1!7667:7667, 0)), VLOOKUP(A7667, Sheet2!D:E, 2, FALSE), "")</f>
        <v/>
      </c>
    </row>
    <row r="7670">
      <c r="A7670" s="122" t="s">
        <v>15919</v>
      </c>
      <c r="B7670" s="123">
        <v>1601046.0</v>
      </c>
      <c r="C7670" s="124" t="s">
        <v>15920</v>
      </c>
      <c r="D7670" s="125"/>
      <c r="E7670" s="126">
        <v>155.7</v>
      </c>
      <c r="F7670" s="127"/>
      <c r="G7670" s="127"/>
      <c r="H7670" s="127"/>
      <c r="I7670" s="128"/>
      <c r="K7670" s="105" t="str">
        <f>IFERROR(__xludf.DUMMYFUNCTION("if(A7670="""","""",substitute(SUBSTITUTE(index(importhtml(""http://finviz.com/quote.ashx?t=""&amp;A7670,""table"",10),7,2),""*"",""""),""-"",""0.00""))"),"Loading...")</f>
        <v>Loading...</v>
      </c>
      <c r="L7670" s="129">
        <v>2.7195947196E10</v>
      </c>
      <c r="M7670" s="99">
        <v>1.08</v>
      </c>
    </row>
    <row r="7671">
      <c r="A7671" s="122" t="s">
        <v>15921</v>
      </c>
      <c r="B7671" s="123">
        <v>1089063.0</v>
      </c>
      <c r="C7671" s="124" t="s">
        <v>15922</v>
      </c>
      <c r="D7671" s="125"/>
      <c r="E7671" s="126">
        <v>155.96</v>
      </c>
      <c r="F7671" s="127"/>
      <c r="G7671" s="127"/>
      <c r="H7671" s="127"/>
      <c r="I7671" s="128"/>
      <c r="K7671" s="55" t="s">
        <v>15923</v>
      </c>
      <c r="L7671" s="129">
        <v>1.2748835338E10</v>
      </c>
      <c r="M7671" s="99">
        <v>1.51</v>
      </c>
    </row>
    <row r="7672">
      <c r="A7672" s="122" t="s">
        <v>15924</v>
      </c>
      <c r="B7672" s="123">
        <v>21076.0</v>
      </c>
      <c r="C7672" s="124" t="s">
        <v>15925</v>
      </c>
      <c r="D7672" s="125"/>
      <c r="E7672" s="126">
        <v>156.36</v>
      </c>
      <c r="F7672" s="127"/>
      <c r="G7672" s="127"/>
      <c r="H7672" s="127"/>
      <c r="I7672" s="128"/>
      <c r="K7672" s="55" t="s">
        <v>15926</v>
      </c>
      <c r="L7672" s="129">
        <v>1.9397880951E10</v>
      </c>
      <c r="M7672" s="99">
        <v>0.43</v>
      </c>
    </row>
    <row r="7673">
      <c r="A7673" s="122" t="s">
        <v>15927</v>
      </c>
      <c r="B7673" s="123">
        <v>200406.0</v>
      </c>
      <c r="C7673" s="124" t="s">
        <v>15928</v>
      </c>
      <c r="D7673" s="125"/>
      <c r="E7673" s="126">
        <v>156.61</v>
      </c>
      <c r="F7673" s="151"/>
      <c r="G7673" s="127"/>
      <c r="H7673" s="127"/>
      <c r="I7673" s="128"/>
      <c r="K7673" s="55" t="s">
        <v>15929</v>
      </c>
      <c r="L7673" s="129">
        <v>3.77003809049E11</v>
      </c>
      <c r="M7673" s="99">
        <v>0.53</v>
      </c>
    </row>
    <row r="7674">
      <c r="A7674" s="122" t="s">
        <v>15930</v>
      </c>
      <c r="B7674" s="123">
        <v>1863428.0</v>
      </c>
      <c r="C7674" s="124" t="s">
        <v>15931</v>
      </c>
      <c r="D7674" s="125"/>
      <c r="E7674" s="126">
        <v>157.0</v>
      </c>
      <c r="F7674" s="127"/>
      <c r="G7674" s="127"/>
      <c r="H7674" s="127"/>
      <c r="I7674" s="128"/>
      <c r="K7674" s="105" t="str">
        <f>IFERROR(__xludf.DUMMYFUNCTION("if(A7674="""","""",substitute(SUBSTITUTE(index(importhtml(""http://finviz.com/quote.ashx?t=""&amp;A7674,""table"",10),7,2),""*"",""""),""-"",""0.00""))"),"Loading...")</f>
        <v>Loading...</v>
      </c>
      <c r="L7674" s="129">
        <v>1.161337949E13</v>
      </c>
      <c r="M7674" s="99" t="str">
        <f>IFERROR(__xludf.DUMMYFUNCTION("GOOGLEFINANCE(A7674,""beta"")"),"#N/A")</f>
        <v>#N/A</v>
      </c>
    </row>
    <row r="7675">
      <c r="A7675" s="122" t="s">
        <v>15932</v>
      </c>
      <c r="B7675" s="123">
        <v>1076930.0</v>
      </c>
      <c r="C7675" s="124" t="s">
        <v>15933</v>
      </c>
      <c r="D7675" s="125"/>
      <c r="E7675" s="126">
        <v>157.17</v>
      </c>
      <c r="F7675" s="127"/>
      <c r="G7675" s="127"/>
      <c r="H7675" s="127"/>
      <c r="I7675" s="128"/>
      <c r="K7675" s="105" t="str">
        <f>IFERROR(__xludf.DUMMYFUNCTION("if(A7675="""","""",substitute(SUBSTITUTE(index(importhtml(""http://finviz.com/quote.ashx?t=""&amp;A7675,""table"",10),7,2),""*"",""""),""-"",""0.00""))"),"Loading...")</f>
        <v>Loading...</v>
      </c>
      <c r="L7675" s="129" t="e">
        <v>#N/A</v>
      </c>
      <c r="M7675" s="99">
        <f>IFERROR(__xludf.DUMMYFUNCTION("GOOGLEFINANCE(A7675,""beta"")"),1.54)</f>
        <v>1.54</v>
      </c>
    </row>
    <row r="7676">
      <c r="A7676" s="122" t="s">
        <v>15934</v>
      </c>
      <c r="B7676" s="123">
        <v>899051.0</v>
      </c>
      <c r="C7676" s="124" t="s">
        <v>15935</v>
      </c>
      <c r="D7676" s="125"/>
      <c r="E7676" s="126">
        <v>157.37</v>
      </c>
      <c r="F7676" s="127"/>
      <c r="G7676" s="127"/>
      <c r="H7676" s="127"/>
      <c r="I7676" s="128"/>
      <c r="K7676" s="55" t="s">
        <v>15936</v>
      </c>
      <c r="L7676" s="129">
        <v>4.1181681912E10</v>
      </c>
      <c r="M7676" s="99">
        <v>0.52</v>
      </c>
    </row>
    <row r="7677">
      <c r="A7677" s="122" t="s">
        <v>15937</v>
      </c>
      <c r="B7677" s="123">
        <v>1164863.0</v>
      </c>
      <c r="C7677" s="124" t="s">
        <v>15938</v>
      </c>
      <c r="D7677" s="125"/>
      <c r="E7677" s="126">
        <v>157.63</v>
      </c>
      <c r="F7677" s="127"/>
      <c r="G7677" s="127"/>
      <c r="H7677" s="127"/>
      <c r="I7677" s="128"/>
      <c r="K7677" s="105" t="str">
        <f>IFERROR(__xludf.DUMMYFUNCTION("if(A7677="""","""",substitute(SUBSTITUTE(index(importhtml(""http://finviz.com/quote.ashx?t=""&amp;A7677,""table"",10),7,2),""*"",""""),""-"",""0.00""))"),"Loading...")</f>
        <v>Loading...</v>
      </c>
      <c r="L7677" s="129">
        <v>3.295627258E9</v>
      </c>
      <c r="M7677" s="99">
        <v>1.55</v>
      </c>
    </row>
    <row r="7678">
      <c r="A7678" s="122" t="s">
        <v>15939</v>
      </c>
      <c r="B7678" s="123">
        <v>1318220.0</v>
      </c>
      <c r="C7678" s="124" t="s">
        <v>15940</v>
      </c>
      <c r="D7678" s="125"/>
      <c r="E7678" s="126">
        <v>158.06</v>
      </c>
      <c r="F7678" s="127"/>
      <c r="G7678" s="127"/>
      <c r="H7678" s="127"/>
      <c r="I7678" s="128"/>
      <c r="K7678" s="105" t="str">
        <f>IFERROR(__xludf.DUMMYFUNCTION("if(A7678="""","""",substitute(SUBSTITUTE(index(importhtml(""http://finviz.com/quote.ashx?t=""&amp;A7678,""table"",10),7,2),""*"",""""),""-"",""0.00""))"),"Loading...")</f>
        <v>Loading...</v>
      </c>
      <c r="L7678" s="129">
        <v>4.0722230039E10</v>
      </c>
      <c r="M7678" s="99">
        <v>0.65</v>
      </c>
    </row>
    <row r="7679">
      <c r="A7679" s="122" t="s">
        <v>15941</v>
      </c>
      <c r="B7679" s="123">
        <v>80424.0</v>
      </c>
      <c r="C7679" s="124" t="s">
        <v>15942</v>
      </c>
      <c r="D7679" s="125"/>
      <c r="E7679" s="126">
        <v>158.09</v>
      </c>
      <c r="F7679" s="151"/>
      <c r="G7679" s="127"/>
      <c r="H7679" s="127"/>
      <c r="I7679" s="154" t="s">
        <v>15943</v>
      </c>
      <c r="K7679" s="138" t="s">
        <v>15944</v>
      </c>
      <c r="L7679" s="129">
        <v>3.71989081272E11</v>
      </c>
      <c r="M7679" s="99">
        <v>0.45</v>
      </c>
    </row>
    <row r="7680">
      <c r="A7680" s="122" t="s">
        <v>15945</v>
      </c>
      <c r="B7680" s="123">
        <v>1650729.0</v>
      </c>
      <c r="C7680" s="124" t="s">
        <v>15946</v>
      </c>
      <c r="D7680" s="125"/>
      <c r="E7680" s="126">
        <v>158.19</v>
      </c>
      <c r="F7680" s="127"/>
      <c r="G7680" s="127"/>
      <c r="H7680" s="127"/>
      <c r="I7680" s="128"/>
      <c r="K7680" s="105" t="str">
        <f>IFERROR(__xludf.DUMMYFUNCTION("if(A7680="""","""",substitute(SUBSTITUTE(index(importhtml(""http://finviz.com/quote.ashx?t=""&amp;A7680,""table"",10),7,2),""*"",""""),""-"",""0.00""))"),"Loading...")</f>
        <v>Loading...</v>
      </c>
      <c r="L7680" s="129">
        <v>7.138388718E9</v>
      </c>
      <c r="M7680" s="99">
        <v>1.54</v>
      </c>
    </row>
    <row r="7681">
      <c r="A7681" s="122" t="s">
        <v>15947</v>
      </c>
      <c r="B7681" s="123">
        <v>29905.0</v>
      </c>
      <c r="C7681" s="124" t="s">
        <v>15948</v>
      </c>
      <c r="D7681" s="125"/>
      <c r="E7681" s="126">
        <v>158.75</v>
      </c>
      <c r="F7681" s="127"/>
      <c r="G7681" s="127"/>
      <c r="H7681" s="127"/>
      <c r="I7681" s="128"/>
      <c r="K7681" s="55" t="s">
        <v>13958</v>
      </c>
      <c r="L7681" s="129">
        <v>2.2207553375E10</v>
      </c>
      <c r="M7681" s="99">
        <v>1.26</v>
      </c>
    </row>
    <row r="7682">
      <c r="A7682" s="122" t="s">
        <v>15949</v>
      </c>
      <c r="B7682" s="123">
        <v>97476.0</v>
      </c>
      <c r="C7682" s="124" t="s">
        <v>15950</v>
      </c>
      <c r="D7682" s="125"/>
      <c r="E7682" s="126">
        <v>159.2</v>
      </c>
      <c r="F7682" s="127"/>
      <c r="G7682" s="127"/>
      <c r="H7682" s="127"/>
      <c r="I7682" s="128"/>
      <c r="K7682" s="105" t="str">
        <f>IFERROR(__xludf.DUMMYFUNCTION("if(A7682="""","""",substitute(SUBSTITUTE(index(importhtml(""http://finviz.com/quote.ashx?t=""&amp;A7682,""table"",10),7,2),""*"",""""),""-"",""0.00""))"),"Loading...")</f>
        <v>Loading...</v>
      </c>
      <c r="L7682" s="129">
        <v>1.44712781305E11</v>
      </c>
      <c r="M7682" s="99">
        <v>1.04</v>
      </c>
    </row>
    <row r="7683">
      <c r="A7683" s="122" t="s">
        <v>15951</v>
      </c>
      <c r="B7683" s="123">
        <v>1865833.0</v>
      </c>
      <c r="C7683" s="124" t="s">
        <v>15952</v>
      </c>
      <c r="D7683" s="125"/>
      <c r="E7683" s="126">
        <v>159.2</v>
      </c>
      <c r="F7683" s="127"/>
      <c r="G7683" s="127"/>
      <c r="H7683" s="127"/>
      <c r="I7683" s="128"/>
      <c r="K7683" s="105" t="str">
        <f>IFERROR(__xludf.DUMMYFUNCTION("if(A7683="""","""",substitute(SUBSTITUTE(index(importhtml(""http://finviz.com/quote.ashx?t=""&amp;A7683,""table"",10),7,2),""*"",""""),""-"",""0.00""))"),"Loading...")</f>
        <v>Loading...</v>
      </c>
      <c r="L7683" s="129" t="e">
        <v>#N/A</v>
      </c>
      <c r="M7683" s="99" t="str">
        <f>IFERROR(__xludf.DUMMYFUNCTION("GOOGLEFINANCE(A7683,""beta"")"),"#N/A")</f>
        <v>#N/A</v>
      </c>
    </row>
    <row r="7684">
      <c r="A7684" s="122" t="s">
        <v>15953</v>
      </c>
      <c r="B7684" s="123">
        <v>785956.0</v>
      </c>
      <c r="C7684" s="124" t="s">
        <v>15954</v>
      </c>
      <c r="D7684" s="125"/>
      <c r="E7684" s="126">
        <v>160.05</v>
      </c>
      <c r="F7684" s="127"/>
      <c r="G7684" s="127"/>
      <c r="H7684" s="127"/>
      <c r="I7684" s="128"/>
      <c r="K7684" s="105" t="str">
        <f>IFERROR(__xludf.DUMMYFUNCTION("if(A7684="""","""",substitute(SUBSTITUTE(index(importhtml(""http://finviz.com/quote.ashx?t=""&amp;A7684,""table"",10),7,2),""*"",""""),""-"",""0.00""))"),"Loading...")</f>
        <v>Loading...</v>
      </c>
      <c r="L7684" s="129">
        <v>3.099715617E9</v>
      </c>
      <c r="M7684" s="99">
        <v>0.55</v>
      </c>
    </row>
    <row r="7685">
      <c r="A7685" s="122" t="s">
        <v>15955</v>
      </c>
      <c r="B7685" s="123">
        <v>1378580.0</v>
      </c>
      <c r="C7685" s="124" t="s">
        <v>13575</v>
      </c>
      <c r="D7685" s="125"/>
      <c r="E7685" s="126">
        <v>160.8</v>
      </c>
      <c r="F7685" s="127"/>
      <c r="G7685" s="127"/>
      <c r="H7685" s="127"/>
      <c r="I7685" s="128"/>
      <c r="K7685" s="105" t="str">
        <f>IFERROR(__xludf.DUMMYFUNCTION("if(A7685="""","""",substitute(SUBSTITUTE(index(importhtml(""http://finviz.com/quote.ashx?t=""&amp;A7685,""table"",10),7,2),""*"",""""),""-"",""0.00""))"),"Loading...")</f>
        <v>Loading...</v>
      </c>
      <c r="L7685" s="129">
        <v>1.1793362815E11</v>
      </c>
      <c r="M7685" s="99">
        <v>1.59</v>
      </c>
    </row>
    <row r="7686">
      <c r="A7686" s="122" t="s">
        <v>15956</v>
      </c>
      <c r="B7686" s="123">
        <v>75677.0</v>
      </c>
      <c r="C7686" s="124" t="s">
        <v>15957</v>
      </c>
      <c r="D7686" s="125"/>
      <c r="E7686" s="126">
        <v>161.37</v>
      </c>
      <c r="F7686" s="127"/>
      <c r="G7686" s="127"/>
      <c r="H7686" s="127"/>
      <c r="I7686" s="128"/>
      <c r="K7686" s="105" t="str">
        <f>IFERROR(__xludf.DUMMYFUNCTION("if(A7686="""","""",substitute(SUBSTITUTE(index(importhtml(""http://finviz.com/quote.ashx?t=""&amp;A7686,""table"",10),7,2),""*"",""""),""-"",""0.00""))"),"Loading...")</f>
        <v>Loading...</v>
      </c>
      <c r="L7686" s="129">
        <v>1.4462674467E10</v>
      </c>
      <c r="M7686" s="99">
        <v>0.76</v>
      </c>
    </row>
    <row r="7687">
      <c r="A7687" s="122" t="s">
        <v>15958</v>
      </c>
      <c r="B7687" s="123">
        <v>723612.0</v>
      </c>
      <c r="C7687" s="124" t="s">
        <v>15959</v>
      </c>
      <c r="D7687" s="125"/>
      <c r="E7687" s="126">
        <v>161.63</v>
      </c>
      <c r="F7687" s="127"/>
      <c r="G7687" s="127"/>
      <c r="H7687" s="127"/>
      <c r="I7687" s="128"/>
      <c r="K7687" s="55" t="s">
        <v>1034</v>
      </c>
      <c r="L7687" s="129">
        <v>5.854453744E9</v>
      </c>
      <c r="M7687" s="99">
        <v>2.36</v>
      </c>
    </row>
    <row r="7688">
      <c r="A7688" s="122" t="s">
        <v>15960</v>
      </c>
      <c r="B7688" s="123">
        <v>1283699.0</v>
      </c>
      <c r="C7688" s="124" t="s">
        <v>15961</v>
      </c>
      <c r="D7688" s="125"/>
      <c r="E7688" s="126">
        <v>161.78</v>
      </c>
      <c r="F7688" s="127"/>
      <c r="G7688" s="127"/>
      <c r="H7688" s="127"/>
      <c r="I7688" s="128"/>
      <c r="K7688" s="105" t="str">
        <f>IFERROR(__xludf.DUMMYFUNCTION("if(A7688="""","""",substitute(SUBSTITUTE(index(importhtml(""http://finviz.com/quote.ashx?t=""&amp;A7688,""table"",10),7,2),""*"",""""),""-"",""0.00""))"),"Loading...")</f>
        <v>Loading...</v>
      </c>
      <c r="L7688" s="129">
        <v>1.87094524088E11</v>
      </c>
      <c r="M7688" s="99">
        <v>0.5</v>
      </c>
    </row>
    <row r="7689">
      <c r="A7689" s="122" t="s">
        <v>15962</v>
      </c>
      <c r="B7689" s="123">
        <v>3570.0</v>
      </c>
      <c r="C7689" s="124" t="s">
        <v>15963</v>
      </c>
      <c r="D7689" s="125"/>
      <c r="E7689" s="126">
        <v>161.81</v>
      </c>
      <c r="F7689" s="127"/>
      <c r="G7689" s="127"/>
      <c r="H7689" s="127"/>
      <c r="I7689" s="128"/>
      <c r="K7689" s="105" t="str">
        <f>IFERROR(__xludf.DUMMYFUNCTION("if(A7689="""","""",substitute(SUBSTITUTE(index(importhtml(""http://finviz.com/quote.ashx?t=""&amp;A7689,""table"",10),7,2),""*"",""""),""-"",""0.00""))"),"Loading...")</f>
        <v>Loading...</v>
      </c>
      <c r="L7689" s="129">
        <v>3.8552008606E10</v>
      </c>
      <c r="M7689" s="99">
        <v>0.96</v>
      </c>
    </row>
    <row r="7690">
      <c r="A7690" s="122" t="s">
        <v>15964</v>
      </c>
      <c r="B7690" s="123">
        <v>1015922.0</v>
      </c>
      <c r="C7690" s="124" t="s">
        <v>15965</v>
      </c>
      <c r="D7690" s="125"/>
      <c r="E7690" s="126">
        <v>162.0</v>
      </c>
      <c r="F7690" s="127"/>
      <c r="G7690" s="127"/>
      <c r="H7690" s="127"/>
      <c r="I7690" s="128"/>
      <c r="K7690" s="105" t="str">
        <f>IFERROR(__xludf.DUMMYFUNCTION("if(A7690="""","""",substitute(SUBSTITUTE(index(importhtml(""http://finviz.com/quote.ashx?t=""&amp;A7690,""table"",10),7,2),""*"",""""),""-"",""0.00""))"),"Loading...")</f>
        <v>Loading...</v>
      </c>
      <c r="L7690" s="129">
        <v>1.89529794E10</v>
      </c>
      <c r="M7690" s="99">
        <v>0.62</v>
      </c>
    </row>
    <row r="7691">
      <c r="A7691" s="122" t="s">
        <v>15966</v>
      </c>
      <c r="B7691" s="123">
        <v>1591698.0</v>
      </c>
      <c r="C7691" s="124" t="s">
        <v>15967</v>
      </c>
      <c r="D7691" s="125"/>
      <c r="E7691" s="126">
        <v>163.31</v>
      </c>
      <c r="F7691" s="127"/>
      <c r="G7691" s="127"/>
      <c r="H7691" s="127"/>
      <c r="I7691" s="128"/>
      <c r="K7691" s="105" t="str">
        <f>IFERROR(__xludf.DUMMYFUNCTION("if(A7691="""","""",substitute(SUBSTITUTE(index(importhtml(""http://finviz.com/quote.ashx?t=""&amp;A7691,""table"",10),7,2),""*"",""""),""-"",""0.00""))"),"Loading...")</f>
        <v>Loading...</v>
      </c>
      <c r="L7691" s="129">
        <v>9.174247768E9</v>
      </c>
      <c r="M7691" s="99">
        <v>0.89</v>
      </c>
    </row>
    <row r="7692">
      <c r="A7692" s="122" t="s">
        <v>15968</v>
      </c>
      <c r="B7692" s="123">
        <v>1347557.0</v>
      </c>
      <c r="C7692" s="124" t="s">
        <v>15969</v>
      </c>
      <c r="D7692" s="125"/>
      <c r="E7692" s="126">
        <v>163.42</v>
      </c>
      <c r="F7692" s="127"/>
      <c r="G7692" s="127"/>
      <c r="H7692" s="127"/>
      <c r="I7692" s="128"/>
      <c r="K7692" s="105" t="str">
        <f>IFERROR(__xludf.DUMMYFUNCTION("if(A7692="""","""",substitute(SUBSTITUTE(index(importhtml(""http://finviz.com/quote.ashx?t=""&amp;A7692,""table"",10),7,2),""*"",""""),""-"",""0.00""))"),"Loading...")</f>
        <v>Loading...</v>
      </c>
      <c r="L7692" s="129">
        <v>7.127037007E9</v>
      </c>
      <c r="M7692" s="99">
        <v>1.52</v>
      </c>
    </row>
    <row r="7693">
      <c r="A7693" s="122" t="s">
        <v>15970</v>
      </c>
      <c r="B7693" s="123">
        <v>899108.0</v>
      </c>
      <c r="C7693" s="124" t="s">
        <v>15971</v>
      </c>
      <c r="D7693" s="125"/>
      <c r="E7693" s="126">
        <v>164.2</v>
      </c>
      <c r="F7693" s="127"/>
      <c r="G7693" s="127"/>
      <c r="H7693" s="127"/>
      <c r="I7693" s="128"/>
      <c r="K7693" s="105" t="str">
        <f>IFERROR(__xludf.DUMMYFUNCTION("if(A7693="""","""",substitute(SUBSTITUTE(index(importhtml(""http://finviz.com/quote.ashx?t=""&amp;A7693,""table"",10),7,2),""*"",""""),""-"",""0.00""))"),"Loading...")</f>
        <v>Loading...</v>
      </c>
      <c r="L7693" s="129">
        <v>3.8984925709E10</v>
      </c>
      <c r="M7693" s="99">
        <v>0.64</v>
      </c>
    </row>
    <row r="7694">
      <c r="A7694" s="122" t="s">
        <v>15972</v>
      </c>
      <c r="B7694" s="123">
        <v>704532.0</v>
      </c>
      <c r="C7694" s="124" t="s">
        <v>15973</v>
      </c>
      <c r="D7694" s="125"/>
      <c r="E7694" s="126">
        <v>164.93</v>
      </c>
      <c r="F7694" s="127"/>
      <c r="G7694" s="127"/>
      <c r="H7694" s="127"/>
      <c r="I7694" s="128"/>
      <c r="K7694" s="105" t="str">
        <f>IFERROR(__xludf.DUMMYFUNCTION("if(A7694="""","""",substitute(SUBSTITUTE(index(importhtml(""http://finviz.com/quote.ashx?t=""&amp;A7694,""table"",10),7,2),""*"",""""),""-"",""0.00""))"),"Loading...")</f>
        <v>Loading...</v>
      </c>
      <c r="L7694" s="129">
        <v>8.094927321E9</v>
      </c>
      <c r="M7694" s="99">
        <v>1.39</v>
      </c>
    </row>
    <row r="7695">
      <c r="A7695" s="122" t="s">
        <v>15974</v>
      </c>
      <c r="B7695" s="123">
        <v>779152.0</v>
      </c>
      <c r="C7695" s="124" t="s">
        <v>15975</v>
      </c>
      <c r="D7695" s="125"/>
      <c r="E7695" s="126">
        <v>165.64</v>
      </c>
      <c r="F7695" s="127"/>
      <c r="G7695" s="127"/>
      <c r="H7695" s="127"/>
      <c r="I7695" s="128"/>
      <c r="K7695" s="105" t="str">
        <f>IFERROR(__xludf.DUMMYFUNCTION("if(A7695="""","""",substitute(SUBSTITUTE(index(importhtml(""http://finviz.com/quote.ashx?t=""&amp;A7695,""table"",10),7,2),""*"",""""),""-"",""0.00""))"),"Loading...")</f>
        <v>Loading...</v>
      </c>
      <c r="L7695" s="129">
        <v>1.2063266316E10</v>
      </c>
      <c r="M7695" s="99">
        <v>0.65</v>
      </c>
    </row>
    <row r="7696">
      <c r="A7696" s="122" t="s">
        <v>15976</v>
      </c>
      <c r="B7696" s="123">
        <v>831641.0</v>
      </c>
      <c r="C7696" s="124" t="s">
        <v>15977</v>
      </c>
      <c r="D7696" s="125"/>
      <c r="E7696" s="126">
        <v>166.29</v>
      </c>
      <c r="F7696" s="127"/>
      <c r="G7696" s="127"/>
      <c r="H7696" s="127"/>
      <c r="I7696" s="128"/>
      <c r="K7696" s="105" t="str">
        <f>IFERROR(__xludf.DUMMYFUNCTION("if(A7696="""","""",substitute(SUBSTITUTE(index(importhtml(""http://finviz.com/quote.ashx?t=""&amp;A7696,""table"",10),7,2),""*"",""""),""-"",""0.00""))"),"Loading...")</f>
        <v>Loading...</v>
      </c>
      <c r="L7696" s="129">
        <v>8.890824197E9</v>
      </c>
      <c r="M7696" s="99">
        <v>0.95</v>
      </c>
    </row>
    <row r="7697">
      <c r="A7697" s="122" t="s">
        <v>15978</v>
      </c>
      <c r="B7697" s="123">
        <v>1510295.0</v>
      </c>
      <c r="C7697" s="124" t="s">
        <v>15979</v>
      </c>
      <c r="D7697" s="125"/>
      <c r="E7697" s="126">
        <v>166.33</v>
      </c>
      <c r="F7697" s="127"/>
      <c r="G7697" s="127"/>
      <c r="H7697" s="127"/>
      <c r="I7697" s="128"/>
      <c r="K7697" s="105" t="str">
        <f>IFERROR(__xludf.DUMMYFUNCTION("if(A7697="""","""",substitute(SUBSTITUTE(index(importhtml(""http://finviz.com/quote.ashx?t=""&amp;A7697,""table"",10),7,2),""*"",""""),""-"",""0.00""))"),"Loading...")</f>
        <v>Loading...</v>
      </c>
      <c r="L7697" s="129">
        <v>6.1209440673E10</v>
      </c>
      <c r="M7697" s="99">
        <v>1.51</v>
      </c>
    </row>
    <row r="7698">
      <c r="A7698" s="122" t="s">
        <v>15980</v>
      </c>
      <c r="B7698" s="123">
        <v>940944.0</v>
      </c>
      <c r="C7698" s="124" t="s">
        <v>15981</v>
      </c>
      <c r="D7698" s="125"/>
      <c r="E7698" s="126">
        <v>166.52</v>
      </c>
      <c r="F7698" s="127"/>
      <c r="G7698" s="127"/>
      <c r="H7698" s="127"/>
      <c r="I7698" s="128"/>
      <c r="K7698" s="55" t="s">
        <v>15982</v>
      </c>
      <c r="L7698" s="129">
        <v>1.9884286926E10</v>
      </c>
      <c r="M7698" s="99">
        <v>1.27</v>
      </c>
    </row>
    <row r="7699">
      <c r="A7699" s="122" t="s">
        <v>15983</v>
      </c>
      <c r="B7699" s="123">
        <v>1267238.0</v>
      </c>
      <c r="C7699" s="124" t="s">
        <v>15984</v>
      </c>
      <c r="D7699" s="125"/>
      <c r="E7699" s="126">
        <v>166.86</v>
      </c>
      <c r="F7699" s="127"/>
      <c r="G7699" s="127"/>
      <c r="H7699" s="127"/>
      <c r="I7699" s="128"/>
      <c r="K7699" s="55" t="s">
        <v>15985</v>
      </c>
      <c r="L7699" s="129">
        <v>8.775270885E9</v>
      </c>
      <c r="M7699" s="99">
        <v>0.49</v>
      </c>
    </row>
    <row r="7700">
      <c r="A7700" s="122" t="s">
        <v>15986</v>
      </c>
      <c r="B7700" s="123">
        <v>946581.0</v>
      </c>
      <c r="C7700" s="124" t="s">
        <v>15987</v>
      </c>
      <c r="D7700" s="125"/>
      <c r="E7700" s="126">
        <v>167.0</v>
      </c>
      <c r="F7700" s="127"/>
      <c r="G7700" s="127"/>
      <c r="H7700" s="127"/>
      <c r="I7700" s="128"/>
      <c r="K7700" s="105" t="str">
        <f>IFERROR(__xludf.DUMMYFUNCTION("if(A7700="""","""",substitute(SUBSTITUTE(index(importhtml(""http://finviz.com/quote.ashx?t=""&amp;A7700,""table"",10),7,2),""*"",""""),""-"",""0.00""))"),"Loading...")</f>
        <v>Loading...</v>
      </c>
      <c r="L7700" s="129">
        <v>2.84012892E10</v>
      </c>
      <c r="M7700" s="99">
        <v>0.76</v>
      </c>
    </row>
    <row r="7701">
      <c r="A7701" s="122" t="s">
        <v>15988</v>
      </c>
      <c r="B7701" s="123">
        <v>898174.0</v>
      </c>
      <c r="C7701" s="124" t="s">
        <v>15989</v>
      </c>
      <c r="D7701" s="125"/>
      <c r="E7701" s="126">
        <v>167.04</v>
      </c>
      <c r="F7701" s="127"/>
      <c r="G7701" s="127"/>
      <c r="H7701" s="127"/>
      <c r="I7701" s="128"/>
      <c r="K7701" s="105" t="str">
        <f>IFERROR(__xludf.DUMMYFUNCTION("if(A7701="""","""",substitute(SUBSTITUTE(index(importhtml(""http://finviz.com/quote.ashx?t=""&amp;A7701,""table"",10),7,2),""*"",""""),""-"",""0.00""))"),"Loading...")</f>
        <v>Loading...</v>
      </c>
      <c r="L7701" s="129">
        <v>1.1008894367E10</v>
      </c>
      <c r="M7701" s="99">
        <v>0.89</v>
      </c>
    </row>
    <row r="7702">
      <c r="A7702" s="122" t="s">
        <v>15990</v>
      </c>
      <c r="B7702" s="123">
        <v>1037868.0</v>
      </c>
      <c r="C7702" s="124" t="s">
        <v>15991</v>
      </c>
      <c r="D7702" s="125"/>
      <c r="E7702" s="126">
        <v>167.44</v>
      </c>
      <c r="F7702" s="127"/>
      <c r="G7702" s="127"/>
      <c r="H7702" s="127"/>
      <c r="I7702" s="128"/>
      <c r="K7702" s="55" t="s">
        <v>9675</v>
      </c>
      <c r="L7702" s="129">
        <v>3.8644918147E10</v>
      </c>
      <c r="M7702" s="99">
        <v>1.21</v>
      </c>
    </row>
    <row r="7703">
      <c r="A7703" s="122" t="s">
        <v>15992</v>
      </c>
      <c r="B7703" s="123">
        <v>720858.0</v>
      </c>
      <c r="C7703" s="124" t="s">
        <v>15993</v>
      </c>
      <c r="D7703" s="125"/>
      <c r="E7703" s="126">
        <v>167.8</v>
      </c>
      <c r="F7703" s="127"/>
      <c r="G7703" s="127"/>
      <c r="H7703" s="127"/>
      <c r="I7703" s="128"/>
      <c r="K7703" s="105" t="str">
        <f>IFERROR(__xludf.DUMMYFUNCTION("if(A7703="""","""",substitute(SUBSTITUTE(index(importhtml(""http://finviz.com/quote.ashx?t=""&amp;A7703,""table"",10),7,2),""*"",""""),""-"",""0.00""))"),"Loading...")</f>
        <v>Loading...</v>
      </c>
      <c r="L7703" s="129">
        <v>3.17246545E8</v>
      </c>
      <c r="M7703" s="99">
        <v>0.9</v>
      </c>
    </row>
    <row r="7704">
      <c r="A7704" s="122" t="s">
        <v>15994</v>
      </c>
      <c r="B7704" s="123">
        <v>6951.0</v>
      </c>
      <c r="C7704" s="124" t="s">
        <v>15995</v>
      </c>
      <c r="D7704" s="125"/>
      <c r="E7704" s="126">
        <v>168.18</v>
      </c>
      <c r="F7704" s="127"/>
      <c r="G7704" s="127"/>
      <c r="H7704" s="127"/>
      <c r="I7704" s="128"/>
      <c r="K7704" s="105" t="str">
        <f>IFERROR(__xludf.DUMMYFUNCTION("if(A7704="""","""",substitute(SUBSTITUTE(index(importhtml(""http://finviz.com/quote.ashx?t=""&amp;A7704,""table"",10),7,2),""*"",""""),""-"",""0.00""))"),"Loading...")</f>
        <v>Loading...</v>
      </c>
      <c r="L7704" s="129">
        <v>1.39936181065E11</v>
      </c>
      <c r="M7704" s="99">
        <v>1.55</v>
      </c>
    </row>
    <row r="7705">
      <c r="A7705" s="122" t="s">
        <v>15996</v>
      </c>
      <c r="B7705" s="123">
        <v>824046.0</v>
      </c>
      <c r="C7705" s="124" t="s">
        <v>15997</v>
      </c>
      <c r="D7705" s="125"/>
      <c r="E7705" s="126">
        <v>168.26</v>
      </c>
      <c r="F7705" s="155"/>
      <c r="G7705" s="139"/>
      <c r="H7705" s="127"/>
      <c r="I7705" s="128"/>
      <c r="K7705" s="105" t="str">
        <f>IFERROR(__xludf.DUMMYFUNCTION("if(A7705="""","""",substitute(SUBSTITUTE(index(importhtml(""http://finviz.com/quote.ashx?t=""&amp;A7705,""table"",10),7,2),""*"",""""),""-"",""0.00""))"),"Loading...")</f>
        <v>Loading...</v>
      </c>
      <c r="L7705" s="129">
        <v>4.19275975151E11</v>
      </c>
      <c r="M7705" s="99">
        <v>1.17</v>
      </c>
    </row>
    <row r="7706">
      <c r="A7706" s="122" t="s">
        <v>15998</v>
      </c>
      <c r="B7706" s="123">
        <v>66570.0</v>
      </c>
      <c r="C7706" s="124" t="s">
        <v>15999</v>
      </c>
      <c r="D7706" s="125"/>
      <c r="E7706" s="126">
        <v>168.66</v>
      </c>
      <c r="F7706" s="127"/>
      <c r="G7706" s="127"/>
      <c r="H7706" s="127"/>
      <c r="I7706" s="128"/>
      <c r="K7706" s="105" t="str">
        <f>IFERROR(__xludf.DUMMYFUNCTION("if(A7706="""","""",substitute(SUBSTITUTE(index(importhtml(""http://finviz.com/quote.ashx?t=""&amp;A7706,""table"",10),7,2),""*"",""""),""-"",""0.00""))"),"Loading...")</f>
        <v>Loading...</v>
      </c>
      <c r="L7706" s="129">
        <v>6.630225449E9</v>
      </c>
      <c r="M7706" s="99">
        <v>0.99</v>
      </c>
    </row>
    <row r="7707">
      <c r="A7707" s="122" t="s">
        <v>16000</v>
      </c>
      <c r="B7707" s="123">
        <v>1551152.0</v>
      </c>
      <c r="C7707" s="124" t="s">
        <v>16001</v>
      </c>
      <c r="D7707" s="125"/>
      <c r="E7707" s="126">
        <v>168.67</v>
      </c>
      <c r="F7707" s="127"/>
      <c r="G7707" s="127"/>
      <c r="H7707" s="127"/>
      <c r="I7707" s="128"/>
      <c r="K7707" s="105" t="str">
        <f>IFERROR(__xludf.DUMMYFUNCTION("if(A7707="""","""",substitute(SUBSTITUTE(index(importhtml(""http://finviz.com/quote.ashx?t=""&amp;A7707,""table"",10),7,2),""*"",""""),""-"",""0.00""))"),"Loading...")</f>
        <v>Loading...</v>
      </c>
      <c r="L7707" s="129">
        <v>2.97793122557E11</v>
      </c>
      <c r="M7707" s="99">
        <v>0.57</v>
      </c>
    </row>
    <row r="7708">
      <c r="A7708" s="122" t="s">
        <v>16002</v>
      </c>
      <c r="B7708" s="123">
        <v>104169.0</v>
      </c>
      <c r="C7708" s="124" t="s">
        <v>16003</v>
      </c>
      <c r="D7708" s="125"/>
      <c r="E7708" s="126">
        <v>169.57</v>
      </c>
      <c r="F7708" s="127"/>
      <c r="G7708" s="127"/>
      <c r="H7708" s="127"/>
      <c r="I7708" s="128"/>
      <c r="K7708" s="105" t="str">
        <f>IFERROR(__xludf.DUMMYFUNCTION("if(A7708="""","""",substitute(SUBSTITUTE(index(importhtml(""http://finviz.com/quote.ashx?t=""&amp;A7708,""table"",10),7,2),""*"",""""),""-"",""0.00""))"),"Loading...")</f>
        <v>Loading...</v>
      </c>
      <c r="L7708" s="129">
        <v>4.56521969528E11</v>
      </c>
      <c r="M7708" s="99">
        <v>0.49</v>
      </c>
    </row>
    <row r="7709">
      <c r="A7709" s="122" t="s">
        <v>16004</v>
      </c>
      <c r="B7709" s="123">
        <v>1600033.0</v>
      </c>
      <c r="C7709" s="124" t="s">
        <v>16005</v>
      </c>
      <c r="D7709" s="125"/>
      <c r="E7709" s="126">
        <v>169.76</v>
      </c>
      <c r="F7709" s="127"/>
      <c r="G7709" s="127"/>
      <c r="H7709" s="127"/>
      <c r="I7709" s="128"/>
      <c r="K7709" s="55" t="s">
        <v>1034</v>
      </c>
      <c r="L7709" s="129">
        <v>9.370617586E9</v>
      </c>
      <c r="M7709" s="99">
        <v>1.54</v>
      </c>
    </row>
    <row r="7710">
      <c r="A7710" s="122" t="s">
        <v>16006</v>
      </c>
      <c r="B7710" s="123">
        <v>878200.0</v>
      </c>
      <c r="C7710" s="124" t="s">
        <v>16007</v>
      </c>
      <c r="D7710" s="125"/>
      <c r="E7710" s="126">
        <v>170.3</v>
      </c>
      <c r="F7710" s="127"/>
      <c r="G7710" s="127"/>
      <c r="H7710" s="127"/>
      <c r="I7710" s="128"/>
      <c r="K7710" s="105" t="str">
        <f>IFERROR(__xludf.DUMMYFUNCTION("if(A7710="""","""",substitute(SUBSTITUTE(index(importhtml(""http://finviz.com/quote.ashx?t=""&amp;A7710,""table"",10),7,2),""*"",""""),""-"",""0.00""))"),"Loading...")</f>
        <v>Loading...</v>
      </c>
      <c r="L7710" s="129">
        <v>4.5084414059E10</v>
      </c>
      <c r="M7710" s="99" t="str">
        <f>IFERROR(__xludf.DUMMYFUNCTION("GOOGLEFINANCE(A7710,""beta"")"),"#N/A")</f>
        <v>#N/A</v>
      </c>
    </row>
    <row r="7711">
      <c r="A7711" s="122" t="s">
        <v>16008</v>
      </c>
      <c r="B7711" s="123">
        <v>1637810.0</v>
      </c>
      <c r="C7711" s="124" t="s">
        <v>16009</v>
      </c>
      <c r="D7711" s="125"/>
      <c r="E7711" s="126">
        <v>170.69</v>
      </c>
      <c r="F7711" s="127"/>
      <c r="G7711" s="127"/>
      <c r="H7711" s="127"/>
      <c r="I7711" s="128"/>
      <c r="K7711" s="55" t="s">
        <v>6789</v>
      </c>
      <c r="L7711" s="129">
        <v>1.0247014873E10</v>
      </c>
      <c r="M7711" s="99">
        <v>1.0</v>
      </c>
    </row>
    <row r="7712">
      <c r="A7712" s="122" t="s">
        <v>16010</v>
      </c>
      <c r="B7712" s="123">
        <v>77476.0</v>
      </c>
      <c r="C7712" s="124" t="s">
        <v>16011</v>
      </c>
      <c r="D7712" s="125"/>
      <c r="E7712" s="126">
        <v>170.97</v>
      </c>
      <c r="F7712" s="127"/>
      <c r="G7712" s="127"/>
      <c r="H7712" s="127"/>
      <c r="I7712" s="128"/>
      <c r="K7712" s="105" t="str">
        <f>IFERROR(__xludf.DUMMYFUNCTION("if(A7712="""","""",substitute(SUBSTITUTE(index(importhtml(""http://finviz.com/quote.ashx?t=""&amp;A7712,""table"",10),7,2),""*"",""""),""-"",""0.00""))"),"Loading...")</f>
        <v>Loading...</v>
      </c>
      <c r="L7712" s="129">
        <v>2.35060328788E11</v>
      </c>
      <c r="M7712" s="99">
        <v>0.54</v>
      </c>
    </row>
    <row r="7713">
      <c r="A7713" s="122" t="s">
        <v>16012</v>
      </c>
      <c r="B7713" s="123">
        <v>1005284.0</v>
      </c>
      <c r="C7713" s="124" t="s">
        <v>16013</v>
      </c>
      <c r="D7713" s="125"/>
      <c r="E7713" s="126">
        <v>171.33</v>
      </c>
      <c r="F7713" s="127"/>
      <c r="G7713" s="127"/>
      <c r="H7713" s="127"/>
      <c r="I7713" s="128"/>
      <c r="K7713" s="105" t="str">
        <f>IFERROR(__xludf.DUMMYFUNCTION("if(A7713="""","""",substitute(SUBSTITUTE(index(importhtml(""http://finviz.com/quote.ashx?t=""&amp;A7713,""table"",10),7,2),""*"",""""),""-"",""0.00""))"),"Loading...")</f>
        <v>Loading...</v>
      </c>
      <c r="L7713" s="129">
        <v>8.113858219E9</v>
      </c>
      <c r="M7713" s="99">
        <v>1.51</v>
      </c>
    </row>
    <row r="7714">
      <c r="A7714" s="122" t="s">
        <v>16014</v>
      </c>
      <c r="B7714" s="123">
        <v>357294.0</v>
      </c>
      <c r="C7714" s="124" t="s">
        <v>16015</v>
      </c>
      <c r="D7714" s="125"/>
      <c r="E7714" s="126">
        <v>171.55</v>
      </c>
      <c r="F7714" s="127"/>
      <c r="G7714" s="127"/>
      <c r="H7714" s="127"/>
      <c r="I7714" s="128"/>
      <c r="K7714" s="105" t="str">
        <f>IFERROR(__xludf.DUMMYFUNCTION("if(A7714="""","""",substitute(SUBSTITUTE(index(importhtml(""http://finviz.com/quote.ashx?t=""&amp;A7714,""table"",10),7,2),""*"",""""),""-"",""0.00""))"),"Loading...")</f>
        <v>Loading...</v>
      </c>
      <c r="L7714" s="129">
        <v>1.045397069E9</v>
      </c>
      <c r="M7714" s="99">
        <v>2.7</v>
      </c>
    </row>
    <row r="7715">
      <c r="A7715" s="122" t="s">
        <v>16016</v>
      </c>
      <c r="B7715" s="123">
        <v>1018724.0</v>
      </c>
      <c r="C7715" s="124" t="s">
        <v>16017</v>
      </c>
      <c r="D7715" s="125"/>
      <c r="E7715" s="126">
        <v>171.81</v>
      </c>
      <c r="F7715" s="127"/>
      <c r="G7715" s="127"/>
      <c r="H7715" s="127"/>
      <c r="I7715" s="128"/>
      <c r="K7715" s="105" t="str">
        <f>IFERROR(__xludf.DUMMYFUNCTION("if(A7715="""","""",substitute(SUBSTITUTE(index(importhtml(""http://finviz.com/quote.ashx?t=""&amp;A7715,""table"",10),7,2),""*"",""""),""-"",""0.00""))"),"Loading...")</f>
        <v>Loading...</v>
      </c>
      <c r="L7715" s="129">
        <v>1.77548795097E12</v>
      </c>
      <c r="M7715" s="99">
        <v>1.14</v>
      </c>
    </row>
    <row r="7716">
      <c r="A7716" s="122" t="s">
        <v>16018</v>
      </c>
      <c r="B7716" s="123">
        <v>822818.0</v>
      </c>
      <c r="C7716" s="124" t="s">
        <v>16019</v>
      </c>
      <c r="D7716" s="125"/>
      <c r="E7716" s="126">
        <v>172.87</v>
      </c>
      <c r="F7716" s="127"/>
      <c r="G7716" s="127"/>
      <c r="H7716" s="127"/>
      <c r="I7716" s="128"/>
      <c r="K7716" s="55" t="s">
        <v>1034</v>
      </c>
      <c r="L7716" s="129">
        <v>9.349889773E9</v>
      </c>
      <c r="M7716" s="99">
        <v>1.24</v>
      </c>
    </row>
    <row r="7717">
      <c r="A7717" s="122" t="s">
        <v>16020</v>
      </c>
      <c r="B7717" s="123">
        <v>1178670.0</v>
      </c>
      <c r="C7717" s="124" t="s">
        <v>16021</v>
      </c>
      <c r="D7717" s="125"/>
      <c r="E7717" s="126">
        <v>173.06</v>
      </c>
      <c r="F7717" s="127"/>
      <c r="G7717" s="127"/>
      <c r="H7717" s="127"/>
      <c r="I7717" s="128"/>
      <c r="K7717" s="105" t="str">
        <f>IFERROR(__xludf.DUMMYFUNCTION("if(A7717="""","""",substitute(SUBSTITUTE(index(importhtml(""http://finviz.com/quote.ashx?t=""&amp;A7717,""table"",10),7,2),""*"",""""),""-"",""0.00""))"),"Loading...")</f>
        <v>Loading...</v>
      </c>
      <c r="L7717" s="129">
        <v>2.1717800967E10</v>
      </c>
      <c r="M7717" s="99">
        <v>0.43</v>
      </c>
    </row>
    <row r="7718">
      <c r="A7718" s="122" t="s">
        <v>16022</v>
      </c>
      <c r="B7718" s="123">
        <v>1060391.0</v>
      </c>
      <c r="C7718" s="124" t="s">
        <v>16023</v>
      </c>
      <c r="D7718" s="125"/>
      <c r="E7718" s="126">
        <v>173.66</v>
      </c>
      <c r="F7718" s="127"/>
      <c r="G7718" s="127"/>
      <c r="H7718" s="127"/>
      <c r="I7718" s="128"/>
      <c r="K7718" s="105" t="str">
        <f>IFERROR(__xludf.DUMMYFUNCTION("if(A7718="""","""",substitute(SUBSTITUTE(index(importhtml(""http://finviz.com/quote.ashx?t=""&amp;A7718,""table"",10),7,2),""*"",""""),""-"",""0.00""))"),"Loading...")</f>
        <v>Loading...</v>
      </c>
      <c r="L7718" s="129">
        <v>5.4639758376E10</v>
      </c>
      <c r="M7718" s="99">
        <v>0.67</v>
      </c>
    </row>
    <row r="7719">
      <c r="A7719" s="122" t="s">
        <v>16024</v>
      </c>
      <c r="B7719" s="123">
        <v>83350.0</v>
      </c>
      <c r="C7719" s="124" t="s">
        <v>16025</v>
      </c>
      <c r="D7719" s="125"/>
      <c r="E7719" s="126">
        <v>174.0</v>
      </c>
      <c r="F7719" s="127"/>
      <c r="G7719" s="127"/>
      <c r="H7719" s="127"/>
      <c r="I7719" s="128"/>
      <c r="K7719" s="105" t="str">
        <f>IFERROR(__xludf.DUMMYFUNCTION("if(A7719="""","""",substitute(SUBSTITUTE(index(importhtml(""http://finviz.com/quote.ashx?t=""&amp;A7719,""table"",10),7,2),""*"",""""),""-"",""0.00""))"),"Loading...")</f>
        <v>Loading...</v>
      </c>
      <c r="L7719" s="129">
        <v>2.71179E7</v>
      </c>
      <c r="M7719" s="99">
        <v>0.53</v>
      </c>
    </row>
    <row r="7720">
      <c r="A7720" s="122" t="s">
        <v>16026</v>
      </c>
      <c r="B7720" s="123">
        <v>717954.0</v>
      </c>
      <c r="C7720" s="124" t="s">
        <v>16027</v>
      </c>
      <c r="D7720" s="125"/>
      <c r="E7720" s="126">
        <v>174.17</v>
      </c>
      <c r="F7720" s="127"/>
      <c r="G7720" s="127"/>
      <c r="H7720" s="127"/>
      <c r="I7720" s="128"/>
      <c r="K7720" s="105" t="str">
        <f>IFERROR(__xludf.DUMMYFUNCTION("if(A7720="""","""",substitute(SUBSTITUTE(index(importhtml(""http://finviz.com/quote.ashx?t=""&amp;A7720,""table"",10),7,2),""*"",""""),""-"",""0.00""))"),"Loading...")</f>
        <v>Loading...</v>
      </c>
      <c r="L7720" s="129">
        <v>3.25720887E9</v>
      </c>
      <c r="M7720" s="99">
        <v>0.83</v>
      </c>
    </row>
    <row r="7721">
      <c r="A7721" s="122" t="s">
        <v>16028</v>
      </c>
      <c r="B7721" s="123">
        <v>19617.0</v>
      </c>
      <c r="C7721" s="124" t="s">
        <v>16029</v>
      </c>
      <c r="D7721" s="125"/>
      <c r="E7721" s="126">
        <v>174.73</v>
      </c>
      <c r="F7721" s="127"/>
      <c r="G7721" s="127"/>
      <c r="H7721" s="127"/>
      <c r="I7721" s="128"/>
      <c r="K7721" s="55" t="s">
        <v>15413</v>
      </c>
      <c r="L7721" s="129">
        <v>5.05145815488E11</v>
      </c>
      <c r="M7721" s="99">
        <v>1.14</v>
      </c>
    </row>
    <row r="7722">
      <c r="A7722" s="122" t="s">
        <v>16030</v>
      </c>
      <c r="B7722" s="123">
        <v>922358.0</v>
      </c>
      <c r="C7722" s="124" t="s">
        <v>16031</v>
      </c>
      <c r="D7722" s="125"/>
      <c r="E7722" s="126">
        <v>175.0</v>
      </c>
      <c r="F7722" s="127"/>
      <c r="G7722" s="127"/>
      <c r="H7722" s="127"/>
      <c r="I7722" s="128"/>
      <c r="K7722" s="105" t="str">
        <f>IFERROR(__xludf.DUMMYFUNCTION("if(A7722="""","""",substitute(SUBSTITUTE(index(importhtml(""http://finviz.com/quote.ashx?t=""&amp;A7722,""table"",10),7,2),""*"",""""),""-"",""0.00""))"),"Loading...")</f>
        <v>Loading...</v>
      </c>
      <c r="L7722" s="129">
        <v>3.6043429E7</v>
      </c>
      <c r="M7722" s="99">
        <f>IFERROR(__xludf.DUMMYFUNCTION("GOOGLEFINANCE(A7722,""beta"")"),-0.63)</f>
        <v>-0.63</v>
      </c>
    </row>
    <row r="7723">
      <c r="A7723" s="122" t="s">
        <v>16032</v>
      </c>
      <c r="B7723" s="123">
        <v>357294.0</v>
      </c>
      <c r="C7723" s="124" t="s">
        <v>16033</v>
      </c>
      <c r="D7723" s="125"/>
      <c r="E7723" s="126">
        <v>175.0</v>
      </c>
      <c r="F7723" s="127"/>
      <c r="G7723" s="127"/>
      <c r="H7723" s="127"/>
      <c r="I7723" s="128"/>
      <c r="K7723" s="105" t="str">
        <f>IFERROR(__xludf.DUMMYFUNCTION("if(A7723="""","""",substitute(SUBSTITUTE(index(importhtml(""http://finviz.com/quote.ashx?t=""&amp;A7723,""table"",10),7,2),""*"",""""),""-"",""0.00""))"),"Loading...")</f>
        <v>Loading...</v>
      </c>
      <c r="L7723" s="129">
        <v>1.045397069E9</v>
      </c>
      <c r="M7723" s="99">
        <v>1.97</v>
      </c>
    </row>
    <row r="7724">
      <c r="A7724" s="122" t="s">
        <v>16034</v>
      </c>
      <c r="B7724" s="123">
        <v>1037676.0</v>
      </c>
      <c r="C7724" s="124" t="s">
        <v>16035</v>
      </c>
      <c r="D7724" s="125"/>
      <c r="E7724" s="126">
        <v>175.04</v>
      </c>
      <c r="F7724" s="127"/>
      <c r="G7724" s="127"/>
      <c r="H7724" s="127"/>
      <c r="I7724" s="128"/>
      <c r="K7724" s="105" t="str">
        <f>IFERROR(__xludf.DUMMYFUNCTION("if(A7724="""","""",substitute(SUBSTITUTE(index(importhtml(""http://finviz.com/quote.ashx?t=""&amp;A7724,""table"",10),7,2),""*"",""""),""-"",""0.00""))"),"Loading...")</f>
        <v>Loading...</v>
      </c>
      <c r="L7724" s="129">
        <v>3.215388404E9</v>
      </c>
      <c r="M7724" s="99">
        <v>0.73</v>
      </c>
    </row>
    <row r="7725">
      <c r="A7725" s="122" t="s">
        <v>16036</v>
      </c>
      <c r="B7725" s="123">
        <v>915912.0</v>
      </c>
      <c r="C7725" s="124" t="s">
        <v>16037</v>
      </c>
      <c r="D7725" s="125"/>
      <c r="E7725" s="126">
        <v>175.06</v>
      </c>
      <c r="F7725" s="127"/>
      <c r="G7725" s="127"/>
      <c r="H7725" s="127"/>
      <c r="I7725" s="128"/>
      <c r="K7725" s="55" t="s">
        <v>16038</v>
      </c>
      <c r="L7725" s="129">
        <v>2.4861145553E10</v>
      </c>
      <c r="M7725" s="99">
        <v>0.92</v>
      </c>
      <c r="N7725" s="107"/>
    </row>
    <row r="7726">
      <c r="A7726" s="122" t="s">
        <v>16039</v>
      </c>
      <c r="B7726" s="123">
        <v>1037976.0</v>
      </c>
      <c r="C7726" s="124" t="s">
        <v>16040</v>
      </c>
      <c r="D7726" s="125"/>
      <c r="E7726" s="126">
        <v>175.85</v>
      </c>
      <c r="F7726" s="127"/>
      <c r="G7726" s="127"/>
      <c r="H7726" s="127"/>
      <c r="I7726" s="128"/>
      <c r="K7726" s="105" t="str">
        <f>IFERROR(__xludf.DUMMYFUNCTION("if(A7726="""","""",substitute(SUBSTITUTE(index(importhtml(""http://finviz.com/quote.ashx?t=""&amp;A7726,""table"",10),7,2),""*"",""""),""-"",""0.00""))"),"Loading...")</f>
        <v>Loading...</v>
      </c>
      <c r="L7726" s="129">
        <v>8.365701789E9</v>
      </c>
      <c r="M7726" s="99">
        <v>1.43</v>
      </c>
      <c r="N7726" s="107"/>
    </row>
    <row r="7727">
      <c r="A7727" s="122" t="s">
        <v>16041</v>
      </c>
      <c r="B7727" s="123">
        <v>914156.0</v>
      </c>
      <c r="C7727" s="124" t="s">
        <v>16042</v>
      </c>
      <c r="D7727" s="125"/>
      <c r="E7727" s="126">
        <v>175.88</v>
      </c>
      <c r="F7727" s="127"/>
      <c r="G7727" s="127"/>
      <c r="H7727" s="127"/>
      <c r="I7727" s="128"/>
      <c r="K7727" s="105" t="str">
        <f>IFERROR(__xludf.DUMMYFUNCTION("if(A7727="""","""",substitute(SUBSTITUTE(index(importhtml(""http://finviz.com/quote.ashx?t=""&amp;A7727,""table"",10),7,2),""*"",""""),""-"",""0.00""))"),"Loading...")</f>
        <v>Loading...</v>
      </c>
      <c r="L7727" s="129">
        <v>1.343514643E9</v>
      </c>
      <c r="M7727" s="99">
        <v>0.77</v>
      </c>
      <c r="N7727" s="107"/>
    </row>
    <row r="7728">
      <c r="A7728" s="122" t="s">
        <v>16043</v>
      </c>
      <c r="B7728" s="123">
        <v>1142417.0</v>
      </c>
      <c r="C7728" s="124" t="s">
        <v>16044</v>
      </c>
      <c r="D7728" s="125"/>
      <c r="E7728" s="126">
        <v>176.73</v>
      </c>
      <c r="F7728" s="127"/>
      <c r="G7728" s="127"/>
      <c r="H7728" s="127"/>
      <c r="I7728" s="128"/>
      <c r="K7728" s="105" t="str">
        <f>IFERROR(__xludf.DUMMYFUNCTION("if(A7728="""","""",substitute(SUBSTITUTE(index(importhtml(""http://finviz.com/quote.ashx?t=""&amp;A7728,""table"",10),7,2),""*"",""""),""-"",""0.00""))"),"Loading...")</f>
        <v>Loading...</v>
      </c>
      <c r="L7728" s="129">
        <v>5.996627252E9</v>
      </c>
      <c r="M7728" s="99">
        <v>1.56</v>
      </c>
      <c r="N7728" s="107"/>
    </row>
    <row r="7729">
      <c r="A7729" s="122" t="s">
        <v>16045</v>
      </c>
      <c r="B7729" s="123">
        <v>1360901.0</v>
      </c>
      <c r="C7729" s="124" t="s">
        <v>16046</v>
      </c>
      <c r="D7729" s="125"/>
      <c r="E7729" s="126">
        <v>176.83</v>
      </c>
      <c r="F7729" s="127"/>
      <c r="G7729" s="127"/>
      <c r="H7729" s="127"/>
      <c r="I7729" s="128"/>
      <c r="K7729" s="55" t="s">
        <v>16047</v>
      </c>
      <c r="L7729" s="129">
        <v>6.661647695E9</v>
      </c>
      <c r="M7729" s="99">
        <v>1.43</v>
      </c>
      <c r="N7729" s="107"/>
    </row>
    <row r="7730">
      <c r="A7730" s="122" t="s">
        <v>16048</v>
      </c>
      <c r="B7730" s="123">
        <v>1700171.0</v>
      </c>
      <c r="C7730" s="124" t="s">
        <v>16049</v>
      </c>
      <c r="D7730" s="125"/>
      <c r="E7730" s="126">
        <v>176.85</v>
      </c>
      <c r="F7730" s="127"/>
      <c r="G7730" s="127"/>
      <c r="H7730" s="127"/>
      <c r="I7730" s="128"/>
      <c r="K7730" s="105" t="str">
        <f>IFERROR(__xludf.DUMMYFUNCTION("if(A7730="""","""",substitute(SUBSTITUTE(index(importhtml(""http://finviz.com/quote.ashx?t=""&amp;A7730,""table"",10),7,2),""*"",""""),""-"",""0.00""))"),"Loading...")</f>
        <v>Loading...</v>
      </c>
      <c r="L7730" s="129">
        <v>2.4629921913E10</v>
      </c>
      <c r="M7730" s="99">
        <v>1.08</v>
      </c>
      <c r="N7730" s="107"/>
    </row>
    <row r="7731">
      <c r="A7731" s="122" t="s">
        <v>16050</v>
      </c>
      <c r="B7731" s="123">
        <v>1000184.0</v>
      </c>
      <c r="C7731" s="124" t="s">
        <v>16051</v>
      </c>
      <c r="D7731" s="125"/>
      <c r="E7731" s="126">
        <v>177.0</v>
      </c>
      <c r="F7731" s="127"/>
      <c r="G7731" s="127"/>
      <c r="H7731" s="127"/>
      <c r="I7731" s="128"/>
      <c r="K7731" s="105" t="str">
        <f>IFERROR(__xludf.DUMMYFUNCTION("if(A7731="""","""",substitute(SUBSTITUTE(index(importhtml(""http://finviz.com/quote.ashx?t=""&amp;A7731,""table"",10),7,2),""*"",""""),""-"",""0.00""))"),"Loading...")</f>
        <v>Loading...</v>
      </c>
      <c r="L7731" s="129">
        <v>2.20113545644E11</v>
      </c>
      <c r="M7731" s="99">
        <v>1.21</v>
      </c>
      <c r="N7731" s="107"/>
    </row>
    <row r="7732">
      <c r="A7732" s="122" t="s">
        <v>16052</v>
      </c>
      <c r="B7732" s="123">
        <v>1000184.0</v>
      </c>
      <c r="C7732" s="124" t="s">
        <v>16051</v>
      </c>
      <c r="D7732" s="125"/>
      <c r="E7732" s="126">
        <v>177.06</v>
      </c>
      <c r="F7732" s="127"/>
      <c r="G7732" s="127"/>
      <c r="H7732" s="127"/>
      <c r="I7732" s="128"/>
      <c r="K7732" s="105" t="str">
        <f>IFERROR(__xludf.DUMMYFUNCTION("if(A7732="""","""",substitute(SUBSTITUTE(index(importhtml(""http://finviz.com/quote.ashx?t=""&amp;A7732,""table"",10),7,2),""*"",""""),""-"",""0.00""))"),"Loading...")</f>
        <v>Loading...</v>
      </c>
      <c r="L7732" s="129">
        <v>2.16577841353E11</v>
      </c>
      <c r="M7732" s="99">
        <v>1.24</v>
      </c>
      <c r="N7732" s="107"/>
    </row>
    <row r="7733">
      <c r="A7733" s="122" t="s">
        <v>16053</v>
      </c>
      <c r="B7733" s="123">
        <v>2488.0</v>
      </c>
      <c r="C7733" s="124" t="s">
        <v>16054</v>
      </c>
      <c r="D7733" s="125"/>
      <c r="E7733" s="126">
        <v>177.66</v>
      </c>
      <c r="F7733" s="127"/>
      <c r="G7733" s="127"/>
      <c r="H7733" s="127"/>
      <c r="I7733" s="128"/>
      <c r="K7733" s="55" t="s">
        <v>1034</v>
      </c>
      <c r="L7733" s="129">
        <v>2.87060546677E11</v>
      </c>
      <c r="M7733" s="99">
        <v>1.63</v>
      </c>
      <c r="N7733" s="107"/>
    </row>
    <row r="7734">
      <c r="A7734" s="122" t="s">
        <v>16055</v>
      </c>
      <c r="B7734" s="123">
        <v>1847416.0</v>
      </c>
      <c r="C7734" s="124" t="s">
        <v>16056</v>
      </c>
      <c r="D7734" s="125"/>
      <c r="E7734" s="126">
        <v>178.0</v>
      </c>
      <c r="F7734" s="127"/>
      <c r="G7734" s="127"/>
      <c r="H7734" s="127"/>
      <c r="I7734" s="128"/>
      <c r="K7734" s="105" t="str">
        <f>IFERROR(__xludf.DUMMYFUNCTION("if(A7734="""","""",substitute(SUBSTITUTE(index(importhtml(""http://finviz.com/quote.ashx?t=""&amp;A7734,""table"",10),7,2),""*"",""""),""-"",""0.00""))"),"Loading...")</f>
        <v>Loading...</v>
      </c>
      <c r="L7734" s="129">
        <v>4.29692E8</v>
      </c>
      <c r="M7734" s="99" t="str">
        <f>IFERROR(__xludf.DUMMYFUNCTION("GOOGLEFINANCE(A7734,""beta"")"),"#N/A")</f>
        <v>#N/A</v>
      </c>
      <c r="N7734" s="107"/>
    </row>
    <row r="7735">
      <c r="A7735" s="122" t="s">
        <v>16057</v>
      </c>
      <c r="B7735" s="123">
        <v>857005.0</v>
      </c>
      <c r="C7735" s="124" t="s">
        <v>16058</v>
      </c>
      <c r="D7735" s="125"/>
      <c r="E7735" s="126">
        <v>178.73</v>
      </c>
      <c r="F7735" s="127"/>
      <c r="G7735" s="127"/>
      <c r="H7735" s="127"/>
      <c r="I7735" s="128"/>
      <c r="K7735" s="105" t="str">
        <f>IFERROR(__xludf.DUMMYFUNCTION("if(A7735="""","""",substitute(SUBSTITUTE(index(importhtml(""http://finviz.com/quote.ashx?t=""&amp;A7735,""table"",10),7,2),""*"",""""),""-"",""0.00""))"),"Loading...")</f>
        <v>Loading...</v>
      </c>
      <c r="L7735" s="129">
        <v>2.1346956626E10</v>
      </c>
      <c r="M7735" s="99">
        <v>1.19</v>
      </c>
      <c r="N7735" s="107"/>
    </row>
    <row r="7736">
      <c r="A7736" s="122" t="s">
        <v>16059</v>
      </c>
      <c r="B7736" s="123">
        <v>1562088.0</v>
      </c>
      <c r="C7736" s="124" t="s">
        <v>16060</v>
      </c>
      <c r="D7736" s="125"/>
      <c r="E7736" s="126">
        <v>178.89</v>
      </c>
      <c r="F7736" s="127"/>
      <c r="G7736" s="127"/>
      <c r="H7736" s="127"/>
      <c r="I7736" s="128"/>
      <c r="K7736" s="105" t="str">
        <f>IFERROR(__xludf.DUMMYFUNCTION("if(A7736="""","""",substitute(SUBSTITUTE(index(importhtml(""http://finviz.com/quote.ashx?t=""&amp;A7736,""table"",10),7,2),""*"",""""),""-"",""0.00""))"),"Loading...")</f>
        <v>Loading...</v>
      </c>
      <c r="L7736" s="129">
        <v>7.515850445E9</v>
      </c>
      <c r="M7736" s="99">
        <f>IFERROR(__xludf.DUMMYFUNCTION("GOOGLEFINANCE(A7736,""beta"")"),0.83)</f>
        <v>0.83</v>
      </c>
      <c r="N7736" s="107"/>
    </row>
    <row r="7737">
      <c r="A7737" s="122" t="s">
        <v>16061</v>
      </c>
      <c r="B7737" s="123">
        <v>1092699.0</v>
      </c>
      <c r="C7737" s="124" t="s">
        <v>16062</v>
      </c>
      <c r="D7737" s="125"/>
      <c r="E7737" s="126">
        <v>179.85</v>
      </c>
      <c r="F7737" s="127"/>
      <c r="G7737" s="127"/>
      <c r="H7737" s="127"/>
      <c r="I7737" s="128"/>
      <c r="K7737" s="105" t="str">
        <f>IFERROR(__xludf.DUMMYFUNCTION("if(A7737="""","""",substitute(SUBSTITUTE(index(importhtml(""http://finviz.com/quote.ashx?t=""&amp;A7737,""table"",10),7,2),""*"",""""),""-"",""0.00""))"),"Loading...")</f>
        <v>Loading...</v>
      </c>
      <c r="L7737" s="129">
        <v>6.600063583E9</v>
      </c>
      <c r="M7737" s="99">
        <v>0.82</v>
      </c>
      <c r="N7737" s="107"/>
    </row>
    <row r="7738">
      <c r="A7738" s="122" t="s">
        <v>16063</v>
      </c>
      <c r="B7738" s="123">
        <v>80661.0</v>
      </c>
      <c r="C7738" s="124" t="s">
        <v>16064</v>
      </c>
      <c r="D7738" s="125"/>
      <c r="E7738" s="126">
        <v>180.69</v>
      </c>
      <c r="F7738" s="127"/>
      <c r="G7738" s="127"/>
      <c r="H7738" s="127"/>
      <c r="I7738" s="128"/>
      <c r="K7738" s="105" t="str">
        <f>IFERROR(__xludf.DUMMYFUNCTION("if(A7738="""","""",substitute(SUBSTITUTE(index(importhtml(""http://finviz.com/quote.ashx?t=""&amp;A7738,""table"",10),7,2),""*"",""""),""-"",""0.00""))"),"Loading...")</f>
        <v>Loading...</v>
      </c>
      <c r="L7738" s="129">
        <v>1.05757894566E11</v>
      </c>
      <c r="M7738" s="99">
        <v>0.34</v>
      </c>
      <c r="N7738" s="107"/>
    </row>
    <row r="7739">
      <c r="A7739" s="122" t="s">
        <v>16065</v>
      </c>
      <c r="B7739" s="123">
        <v>1316835.0</v>
      </c>
      <c r="C7739" s="124" t="s">
        <v>16066</v>
      </c>
      <c r="D7739" s="125"/>
      <c r="E7739" s="126">
        <v>180.75</v>
      </c>
      <c r="F7739" s="127"/>
      <c r="G7739" s="127"/>
      <c r="H7739" s="127"/>
      <c r="I7739" s="128"/>
      <c r="K7739" s="105" t="str">
        <f>IFERROR(__xludf.DUMMYFUNCTION("if(A7739="""","""",substitute(SUBSTITUTE(index(importhtml(""http://finviz.com/quote.ashx?t=""&amp;A7739,""table"",10),7,2),""*"",""""),""-"",""0.00""))"),"Loading...")</f>
        <v>Loading...</v>
      </c>
      <c r="L7739" s="129">
        <v>2.2294916025E10</v>
      </c>
      <c r="M7739" s="99">
        <v>2.41</v>
      </c>
      <c r="N7739" s="107"/>
    </row>
    <row r="7740">
      <c r="A7740" s="122" t="s">
        <v>16067</v>
      </c>
      <c r="B7740" s="123">
        <v>1177609.0</v>
      </c>
      <c r="C7740" s="124" t="s">
        <v>16068</v>
      </c>
      <c r="D7740" s="125"/>
      <c r="E7740" s="126">
        <v>181.11</v>
      </c>
      <c r="F7740" s="127"/>
      <c r="G7740" s="127"/>
      <c r="H7740" s="127"/>
      <c r="I7740" s="128"/>
      <c r="K7740" s="105" t="str">
        <f>IFERROR(__xludf.DUMMYFUNCTION("if(A7740="""","""",substitute(SUBSTITUTE(index(importhtml(""http://finviz.com/quote.ashx?t=""&amp;A7740,""table"",10),7,2),""*"",""""),""-"",""0.00""))"),"Loading...")</f>
        <v>Loading...</v>
      </c>
      <c r="L7740" s="129">
        <v>9.995962608E9</v>
      </c>
      <c r="M7740" s="99">
        <v>1.19</v>
      </c>
      <c r="N7740" s="107"/>
    </row>
    <row r="7741">
      <c r="A7741" s="122" t="s">
        <v>16069</v>
      </c>
      <c r="B7741" s="123">
        <v>1374310.0</v>
      </c>
      <c r="C7741" s="124" t="s">
        <v>16070</v>
      </c>
      <c r="D7741" s="125"/>
      <c r="E7741" s="126">
        <v>182.78</v>
      </c>
      <c r="F7741" s="127"/>
      <c r="G7741" s="127"/>
      <c r="H7741" s="127"/>
      <c r="I7741" s="128"/>
      <c r="K7741" s="105" t="str">
        <f>IFERROR(__xludf.DUMMYFUNCTION("if(A7741="""","""",substitute(SUBSTITUTE(index(importhtml(""http://finviz.com/quote.ashx?t=""&amp;A7741,""table"",10),7,2),""*"",""""),""-"",""0.00""))"),"Loading...")</f>
        <v>Loading...</v>
      </c>
      <c r="L7741" s="129">
        <v>1.9293525551E10</v>
      </c>
      <c r="M7741" s="99" t="str">
        <f>IFERROR(__xludf.DUMMYFUNCTION("GOOGLEFINANCE(A7741,""beta"")"),"#N/A")</f>
        <v>#N/A</v>
      </c>
      <c r="N7741" s="107"/>
    </row>
    <row r="7742">
      <c r="A7742" s="122" t="s">
        <v>16071</v>
      </c>
      <c r="B7742" s="123">
        <v>109563.0</v>
      </c>
      <c r="C7742" s="124" t="s">
        <v>16072</v>
      </c>
      <c r="D7742" s="125"/>
      <c r="E7742" s="126">
        <v>182.93</v>
      </c>
      <c r="F7742" s="127"/>
      <c r="G7742" s="127"/>
      <c r="H7742" s="127"/>
      <c r="I7742" s="128"/>
      <c r="K7742" s="55" t="s">
        <v>11816</v>
      </c>
      <c r="L7742" s="129">
        <v>7.073804034E9</v>
      </c>
      <c r="M7742" s="99">
        <v>1.07</v>
      </c>
      <c r="N7742" s="107"/>
    </row>
    <row r="7743">
      <c r="A7743" s="122" t="s">
        <v>16073</v>
      </c>
      <c r="B7743" s="123">
        <v>49600.0</v>
      </c>
      <c r="C7743" s="124" t="s">
        <v>16074</v>
      </c>
      <c r="D7743" s="125"/>
      <c r="E7743" s="126">
        <v>183.11</v>
      </c>
      <c r="F7743" s="127"/>
      <c r="G7743" s="127"/>
      <c r="H7743" s="127"/>
      <c r="I7743" s="128"/>
      <c r="K7743" s="55" t="s">
        <v>16075</v>
      </c>
      <c r="L7743" s="129">
        <v>8.483563234E9</v>
      </c>
      <c r="M7743" s="99">
        <v>0.94</v>
      </c>
      <c r="N7743" s="107"/>
    </row>
    <row r="7744">
      <c r="A7744" s="122" t="s">
        <v>16076</v>
      </c>
      <c r="B7744" s="123">
        <v>73309.0</v>
      </c>
      <c r="C7744" s="124" t="s">
        <v>16007</v>
      </c>
      <c r="D7744" s="125"/>
      <c r="E7744" s="126">
        <v>183.39</v>
      </c>
      <c r="F7744" s="127"/>
      <c r="G7744" s="127"/>
      <c r="H7744" s="127"/>
      <c r="I7744" s="128"/>
      <c r="K7744" s="105" t="str">
        <f>IFERROR(__xludf.DUMMYFUNCTION("if(A7744="""","""",substitute(SUBSTITUTE(index(importhtml(""http://finviz.com/quote.ashx?t=""&amp;A7744,""table"",10),7,2),""*"",""""),""-"",""0.00""))"),"Loading...")</f>
        <v>Loading...</v>
      </c>
      <c r="L7744" s="129">
        <v>4.5084414059E10</v>
      </c>
      <c r="M7744" s="99">
        <v>1.61</v>
      </c>
      <c r="N7744" s="107"/>
    </row>
    <row r="7745">
      <c r="A7745" s="122" t="s">
        <v>16077</v>
      </c>
      <c r="B7745" s="123">
        <v>46619.0</v>
      </c>
      <c r="C7745" s="124" t="s">
        <v>16078</v>
      </c>
      <c r="D7745" s="125"/>
      <c r="E7745" s="126">
        <v>184.0</v>
      </c>
      <c r="F7745" s="127"/>
      <c r="G7745" s="127"/>
      <c r="H7745" s="127"/>
      <c r="I7745" s="128"/>
      <c r="K7745" s="105" t="str">
        <f>IFERROR(__xludf.DUMMYFUNCTION("if(A7745="""","""",substitute(SUBSTITUTE(index(importhtml(""http://finviz.com/quote.ashx?t=""&amp;A7745,""table"",10),7,2),""*"",""""),""-"",""0.00""))"),"Loading...")</f>
        <v>Loading...</v>
      </c>
      <c r="L7745" s="129">
        <v>2.22073648E10</v>
      </c>
      <c r="M7745" s="99">
        <v>1.17</v>
      </c>
      <c r="N7745" s="107"/>
    </row>
    <row r="7746">
      <c r="A7746" s="122" t="s">
        <v>16079</v>
      </c>
      <c r="B7746" s="123">
        <v>929008.0</v>
      </c>
      <c r="C7746" s="124" t="s">
        <v>16080</v>
      </c>
      <c r="D7746" s="125"/>
      <c r="E7746" s="126">
        <v>184.13</v>
      </c>
      <c r="F7746" s="127"/>
      <c r="G7746" s="127"/>
      <c r="H7746" s="127"/>
      <c r="I7746" s="128"/>
      <c r="K7746" s="105" t="str">
        <f>IFERROR(__xludf.DUMMYFUNCTION("if(A7746="""","""",substitute(SUBSTITUTE(index(importhtml(""http://finviz.com/quote.ashx?t=""&amp;A7746,""table"",10),7,2),""*"",""""),""-"",""0.00""))"),"Loading...")</f>
        <v>Loading...</v>
      </c>
      <c r="L7746" s="129">
        <v>9.404616764E9</v>
      </c>
      <c r="M7746" s="99">
        <v>2.11</v>
      </c>
      <c r="N7746" s="107"/>
    </row>
    <row r="7747">
      <c r="A7747" s="122" t="s">
        <v>16081</v>
      </c>
      <c r="B7747" s="123">
        <v>1636519.0</v>
      </c>
      <c r="C7747" s="124" t="s">
        <v>16082</v>
      </c>
      <c r="D7747" s="125"/>
      <c r="E7747" s="126">
        <v>184.6</v>
      </c>
      <c r="F7747" s="127"/>
      <c r="G7747" s="127"/>
      <c r="H7747" s="127"/>
      <c r="I7747" s="128"/>
      <c r="K7747" s="105" t="str">
        <f>IFERROR(__xludf.DUMMYFUNCTION("if(A7747="""","""",substitute(SUBSTITUTE(index(importhtml(""http://finviz.com/quote.ashx?t=""&amp;A7747,""table"",10),7,2),""*"",""""),""-"",""0.00""))"),"Loading...")</f>
        <v>Loading...</v>
      </c>
      <c r="L7747" s="129">
        <v>4.458882E9</v>
      </c>
      <c r="M7747" s="99" t="str">
        <f>IFERROR(__xludf.DUMMYFUNCTION("GOOGLEFINANCE(A7747,""beta"")"),"#N/A")</f>
        <v>#N/A</v>
      </c>
      <c r="N7747" s="107"/>
    </row>
    <row r="7748">
      <c r="A7748" s="122" t="s">
        <v>16083</v>
      </c>
      <c r="B7748" s="123">
        <v>1814140.0</v>
      </c>
      <c r="C7748" s="124" t="s">
        <v>16084</v>
      </c>
      <c r="D7748" s="125"/>
      <c r="E7748" s="126">
        <v>185.0</v>
      </c>
      <c r="F7748" s="127"/>
      <c r="G7748" s="127"/>
      <c r="H7748" s="127"/>
      <c r="I7748" s="128"/>
      <c r="K7748" s="105" t="str">
        <f>IFERROR(__xludf.DUMMYFUNCTION("if(A7748="""","""",substitute(SUBSTITUTE(index(importhtml(""http://finviz.com/quote.ashx?t=""&amp;A7748,""table"",10),7,2),""*"",""""),""-"",""0.00""))"),"Loading...")</f>
        <v>Loading...</v>
      </c>
      <c r="L7748" s="129">
        <v>5.55E8</v>
      </c>
      <c r="M7748" s="99" t="str">
        <f>IFERROR(__xludf.DUMMYFUNCTION("GOOGLEFINANCE(A7748,""beta"")"),"#N/A")</f>
        <v>#N/A</v>
      </c>
      <c r="N7748" s="107"/>
    </row>
    <row r="7749">
      <c r="A7749" s="122" t="s">
        <v>16085</v>
      </c>
      <c r="B7749" s="123">
        <v>1048695.0</v>
      </c>
      <c r="C7749" s="124" t="s">
        <v>16086</v>
      </c>
      <c r="D7749" s="125"/>
      <c r="E7749" s="126">
        <v>185.23</v>
      </c>
      <c r="F7749" s="127"/>
      <c r="G7749" s="127"/>
      <c r="H7749" s="127"/>
      <c r="I7749" s="128"/>
      <c r="K7749" s="105" t="str">
        <f>IFERROR(__xludf.DUMMYFUNCTION("if(A7749="""","""",substitute(SUBSTITUTE(index(importhtml(""http://finviz.com/quote.ashx?t=""&amp;A7749,""table"",10),7,2),""*"",""""),""-"",""0.00""))"),"Loading...")</f>
        <v>Loading...</v>
      </c>
      <c r="L7749" s="129">
        <v>1.0891355189E10</v>
      </c>
      <c r="M7749" s="99">
        <v>1.11</v>
      </c>
      <c r="N7749" s="107"/>
    </row>
    <row r="7750">
      <c r="A7750" s="122" t="s">
        <v>16087</v>
      </c>
      <c r="B7750" s="123">
        <v>51143.0</v>
      </c>
      <c r="C7750" s="124" t="s">
        <v>16088</v>
      </c>
      <c r="D7750" s="125"/>
      <c r="E7750" s="126">
        <v>185.79</v>
      </c>
      <c r="F7750" s="127"/>
      <c r="G7750" s="127"/>
      <c r="H7750" s="127"/>
      <c r="I7750" s="128"/>
      <c r="K7750" s="105" t="str">
        <f>IFERROR(__xludf.DUMMYFUNCTION("if(A7750="""","""",substitute(SUBSTITUTE(index(importhtml(""http://finviz.com/quote.ashx?t=""&amp;A7750,""table"",10),7,2),""*"",""""),""-"",""0.00""))"),"Loading...")</f>
        <v>Loading...</v>
      </c>
      <c r="L7750" s="129">
        <v>1.69648317142E11</v>
      </c>
      <c r="M7750" s="99">
        <v>0.71</v>
      </c>
      <c r="N7750" s="107"/>
    </row>
    <row r="7751">
      <c r="A7751" s="122" t="s">
        <v>16089</v>
      </c>
      <c r="B7751" s="123">
        <v>320193.0</v>
      </c>
      <c r="C7751" s="124" t="s">
        <v>16090</v>
      </c>
      <c r="D7751" s="125"/>
      <c r="E7751" s="126">
        <v>185.85</v>
      </c>
      <c r="F7751" s="127"/>
      <c r="G7751" s="127"/>
      <c r="H7751" s="127"/>
      <c r="I7751" s="128"/>
      <c r="K7751" s="105" t="str">
        <f>IFERROR(__xludf.DUMMYFUNCTION("if(A7751="""","""",substitute(SUBSTITUTE(index(importhtml(""http://finviz.com/quote.ashx?t=""&amp;A7751,""table"",10),7,2),""*"",""""),""-"",""0.00""))"),"Loading...")</f>
        <v>Loading...</v>
      </c>
      <c r="L7751" s="129">
        <v>2.873592350871E12</v>
      </c>
      <c r="M7751" s="99">
        <v>1.3</v>
      </c>
      <c r="N7751" s="107"/>
    </row>
    <row r="7752">
      <c r="A7752" s="122" t="s">
        <v>16091</v>
      </c>
      <c r="B7752" s="123">
        <v>1849349.0</v>
      </c>
      <c r="C7752" s="124" t="s">
        <v>16092</v>
      </c>
      <c r="D7752" s="125"/>
      <c r="E7752" s="126">
        <v>186.0</v>
      </c>
      <c r="F7752" s="127"/>
      <c r="G7752" s="127"/>
      <c r="H7752" s="127"/>
      <c r="I7752" s="128"/>
      <c r="K7752" s="105" t="str">
        <f>IFERROR(__xludf.DUMMYFUNCTION("if(A7752="""","""",substitute(SUBSTITUTE(index(importhtml(""http://finviz.com/quote.ashx?t=""&amp;A7752,""table"",10),7,2),""*"",""""),""-"",""0.00""))"),"Loading...")</f>
        <v>Loading...</v>
      </c>
      <c r="L7752" s="129">
        <v>3.8114245E7</v>
      </c>
      <c r="M7752" s="99" t="str">
        <f>IFERROR(__xludf.DUMMYFUNCTION("GOOGLEFINANCE(A7752,""beta"")"),"#N/A")</f>
        <v>#N/A</v>
      </c>
      <c r="N7752" s="107"/>
    </row>
    <row r="7753">
      <c r="A7753" s="122" t="s">
        <v>16093</v>
      </c>
      <c r="B7753" s="123">
        <v>932696.0</v>
      </c>
      <c r="C7753" s="124" t="s">
        <v>16094</v>
      </c>
      <c r="D7753" s="125"/>
      <c r="E7753" s="126">
        <v>186.93</v>
      </c>
      <c r="F7753" s="127"/>
      <c r="G7753" s="127"/>
      <c r="H7753" s="127"/>
      <c r="I7753" s="128"/>
      <c r="K7753" s="105" t="str">
        <f>IFERROR(__xludf.DUMMYFUNCTION("if(A7753="""","""",substitute(SUBSTITUTE(index(importhtml(""http://finviz.com/quote.ashx?t=""&amp;A7753,""table"",10),7,2),""*"",""""),""-"",""0.00""))"),"Loading...")</f>
        <v>Loading...</v>
      </c>
      <c r="L7753" s="129">
        <v>6.089584724E9</v>
      </c>
      <c r="M7753" s="99">
        <v>1.55</v>
      </c>
      <c r="N7753" s="107"/>
    </row>
    <row r="7754">
      <c r="A7754" s="122" t="s">
        <v>16095</v>
      </c>
      <c r="B7754" s="123">
        <v>920371.0</v>
      </c>
      <c r="C7754" s="124" t="s">
        <v>16096</v>
      </c>
      <c r="D7754" s="125"/>
      <c r="E7754" s="126">
        <v>187.19</v>
      </c>
      <c r="F7754" s="127"/>
      <c r="G7754" s="127"/>
      <c r="H7754" s="127"/>
      <c r="I7754" s="128"/>
      <c r="K7754" s="105" t="str">
        <f>IFERROR(__xludf.DUMMYFUNCTION("if(A7754="""","""",substitute(SUBSTITUTE(index(importhtml(""http://finviz.com/quote.ashx?t=""&amp;A7754,""table"",10),7,2),""*"",""""),""-"",""0.00""))"),"Loading...")</f>
        <v>Loading...</v>
      </c>
      <c r="L7754" s="129">
        <v>7.987943998E9</v>
      </c>
      <c r="M7754" s="99">
        <v>1.28</v>
      </c>
      <c r="N7754" s="107"/>
    </row>
    <row r="7755">
      <c r="A7755" s="122" t="s">
        <v>16097</v>
      </c>
      <c r="B7755" s="123">
        <v>1725430.0</v>
      </c>
      <c r="C7755" s="124" t="s">
        <v>16098</v>
      </c>
      <c r="D7755" s="125"/>
      <c r="E7755" s="126">
        <v>187.6</v>
      </c>
      <c r="F7755" s="127"/>
      <c r="G7755" s="127"/>
      <c r="H7755" s="127"/>
      <c r="I7755" s="128"/>
      <c r="K7755" s="105" t="str">
        <f>IFERROR(__xludf.DUMMYFUNCTION("if(A7755="""","""",substitute(SUBSTITUTE(index(importhtml(""http://finviz.com/quote.ashx?t=""&amp;A7755,""table"",10),7,2),""*"",""""),""-"",""0.00""))"),"Loading...")</f>
        <v>Loading...</v>
      </c>
      <c r="L7755" s="129" t="e">
        <v>#N/A</v>
      </c>
      <c r="M7755" s="99" t="str">
        <f>IFERROR(__xludf.DUMMYFUNCTION("GOOGLEFINANCE(A7755,""beta"")"),"#N/A")</f>
        <v>#N/A</v>
      </c>
      <c r="N7755" s="107"/>
    </row>
    <row r="7756">
      <c r="A7756" s="122" t="s">
        <v>16099</v>
      </c>
      <c r="B7756" s="123">
        <v>1107843.0</v>
      </c>
      <c r="C7756" s="124" t="s">
        <v>16100</v>
      </c>
      <c r="D7756" s="125"/>
      <c r="E7756" s="126">
        <v>187.87</v>
      </c>
      <c r="F7756" s="127"/>
      <c r="G7756" s="127"/>
      <c r="H7756" s="127"/>
      <c r="I7756" s="128"/>
      <c r="K7756" s="105" t="str">
        <f>IFERROR(__xludf.DUMMYFUNCTION("if(A7756="""","""",substitute(SUBSTITUTE(index(importhtml(""http://finviz.com/quote.ashx?t=""&amp;A7756,""table"",10),7,2),""*"",""""),""-"",""0.00""))"),"Loading...")</f>
        <v>Loading...</v>
      </c>
      <c r="L7756" s="129">
        <v>6.91088419E9</v>
      </c>
      <c r="M7756" s="99">
        <v>0.54</v>
      </c>
      <c r="N7756" s="107"/>
    </row>
    <row r="7757">
      <c r="A7757" s="122" t="s">
        <v>16101</v>
      </c>
      <c r="B7757" s="123">
        <v>1318605.0</v>
      </c>
      <c r="C7757" s="124" t="s">
        <v>16102</v>
      </c>
      <c r="D7757" s="125"/>
      <c r="E7757" s="126">
        <v>187.91</v>
      </c>
      <c r="F7757" s="156"/>
      <c r="G7757" s="136"/>
      <c r="H7757" s="127"/>
      <c r="I7757" s="128"/>
      <c r="K7757" s="105" t="str">
        <f>IFERROR(__xludf.DUMMYFUNCTION("if(A7757="""","""",substitute(SUBSTITUTE(index(importhtml(""http://finviz.com/quote.ashx?t=""&amp;A7757,""table"",10),7,2),""*"",""""),""-"",""0.00""))"),"Loading...")</f>
        <v>Loading...</v>
      </c>
      <c r="L7757" s="129">
        <v>5.88810359175E11</v>
      </c>
      <c r="M7757" s="99">
        <v>2.43</v>
      </c>
      <c r="N7757" s="107"/>
    </row>
    <row r="7758">
      <c r="A7758" s="122" t="s">
        <v>16103</v>
      </c>
      <c r="B7758" s="123">
        <v>823768.0</v>
      </c>
      <c r="C7758" s="124" t="s">
        <v>16104</v>
      </c>
      <c r="D7758" s="125"/>
      <c r="E7758" s="126">
        <v>188.21</v>
      </c>
      <c r="F7758" s="127"/>
      <c r="G7758" s="127"/>
      <c r="H7758" s="127"/>
      <c r="I7758" s="128"/>
      <c r="K7758" s="55" t="s">
        <v>13494</v>
      </c>
      <c r="L7758" s="129">
        <v>7.5806360738E10</v>
      </c>
      <c r="M7758" s="99">
        <v>0.7</v>
      </c>
      <c r="N7758" s="107"/>
    </row>
    <row r="7759">
      <c r="A7759" s="122" t="s">
        <v>16105</v>
      </c>
      <c r="B7759" s="123">
        <v>845877.0</v>
      </c>
      <c r="C7759" s="124" t="s">
        <v>16106</v>
      </c>
      <c r="D7759" s="125"/>
      <c r="E7759" s="126">
        <v>188.29</v>
      </c>
      <c r="F7759" s="127"/>
      <c r="G7759" s="127"/>
      <c r="H7759" s="127"/>
      <c r="I7759" s="128"/>
      <c r="K7759" s="55" t="s">
        <v>16107</v>
      </c>
      <c r="L7759" s="129">
        <v>1.988532501E9</v>
      </c>
      <c r="M7759" s="99">
        <v>1.1</v>
      </c>
      <c r="N7759" s="107"/>
    </row>
    <row r="7760">
      <c r="A7760" s="122" t="s">
        <v>16108</v>
      </c>
      <c r="B7760" s="123">
        <v>1222333.0</v>
      </c>
      <c r="C7760" s="124" t="s">
        <v>16109</v>
      </c>
      <c r="D7760" s="125"/>
      <c r="E7760" s="126">
        <v>188.61</v>
      </c>
      <c r="F7760" s="127"/>
      <c r="G7760" s="127"/>
      <c r="H7760" s="127"/>
      <c r="I7760" s="128"/>
      <c r="K7760" s="55" t="s">
        <v>1034</v>
      </c>
      <c r="L7760" s="129">
        <v>5.580969918E10</v>
      </c>
      <c r="M7760" s="99" t="str">
        <f>IFERROR(__xludf.DUMMYFUNCTION("GOOGLEFINANCE(A7760,""beta"")"),"#N/A")</f>
        <v>#N/A</v>
      </c>
      <c r="N7760" s="107"/>
    </row>
    <row r="7761">
      <c r="A7761" s="122" t="s">
        <v>16110</v>
      </c>
      <c r="B7761" s="123">
        <v>1555280.0</v>
      </c>
      <c r="C7761" s="124" t="s">
        <v>16111</v>
      </c>
      <c r="D7761" s="125"/>
      <c r="E7761" s="126">
        <v>189.04</v>
      </c>
      <c r="F7761" s="127"/>
      <c r="G7761" s="127"/>
      <c r="H7761" s="127"/>
      <c r="I7761" s="128"/>
      <c r="K7761" s="105" t="str">
        <f>IFERROR(__xludf.DUMMYFUNCTION("if(A7761="""","""",substitute(SUBSTITUTE(index(importhtml(""http://finviz.com/quote.ashx?t=""&amp;A7761,""table"",10),7,2),""*"",""""),""-"",""0.00""))"),"Loading...")</f>
        <v>Loading...</v>
      </c>
      <c r="L7761" s="129">
        <v>8.6790850765E10</v>
      </c>
      <c r="M7761" s="99">
        <v>0.88</v>
      </c>
      <c r="N7761" s="107"/>
    </row>
    <row r="7762">
      <c r="A7762" s="122" t="s">
        <v>16112</v>
      </c>
      <c r="B7762" s="123">
        <v>1230245.0</v>
      </c>
      <c r="C7762" s="124" t="s">
        <v>16113</v>
      </c>
      <c r="D7762" s="125"/>
      <c r="E7762" s="126">
        <v>190.76</v>
      </c>
      <c r="F7762" s="127"/>
      <c r="G7762" s="127"/>
      <c r="H7762" s="127"/>
      <c r="I7762" s="128"/>
      <c r="K7762" s="105" t="str">
        <f>IFERROR(__xludf.DUMMYFUNCTION("if(A7762="""","""",substitute(SUBSTITUTE(index(importhtml(""http://finviz.com/quote.ashx?t=""&amp;A7762,""table"",10),7,2),""*"",""""),""-"",""0.00""))"),"Loading...")</f>
        <v>Loading...</v>
      </c>
      <c r="L7762" s="129">
        <v>3.378275568E9</v>
      </c>
      <c r="M7762" s="99" t="str">
        <f>IFERROR(__xludf.DUMMYFUNCTION("GOOGLEFINANCE(A7762,""beta"")"),"#N/A")</f>
        <v>#N/A</v>
      </c>
      <c r="N7762" s="107"/>
    </row>
    <row r="7763">
      <c r="A7763" s="122" t="s">
        <v>16114</v>
      </c>
      <c r="B7763" s="123">
        <v>1274152.0</v>
      </c>
      <c r="C7763" s="124" t="s">
        <v>16115</v>
      </c>
      <c r="D7763" s="125"/>
      <c r="E7763" s="126">
        <v>191.55</v>
      </c>
      <c r="F7763" s="127"/>
      <c r="G7763" s="127"/>
      <c r="H7763" s="127"/>
      <c r="I7763" s="128"/>
      <c r="K7763" s="105" t="str">
        <f>IFERROR(__xludf.DUMMYFUNCTION("if(A7763="""","""",substitute(SUBSTITUTE(index(importhtml(""http://finviz.com/quote.ashx?t=""&amp;A7763,""table"",10),7,2),""*"",""""),""-"",""0.00""))"),"Loading...")</f>
        <v>Loading...</v>
      </c>
      <c r="L7763" s="129">
        <v>1.44826574513E11</v>
      </c>
      <c r="M7763" s="99">
        <v>0.76</v>
      </c>
      <c r="N7763" s="107"/>
    </row>
    <row r="7764">
      <c r="A7764" s="122" t="s">
        <v>16116</v>
      </c>
      <c r="B7764" s="123">
        <v>943819.0</v>
      </c>
      <c r="C7764" s="124" t="s">
        <v>16117</v>
      </c>
      <c r="D7764" s="125"/>
      <c r="E7764" s="126">
        <v>191.86</v>
      </c>
      <c r="F7764" s="127"/>
      <c r="G7764" s="127"/>
      <c r="H7764" s="127"/>
      <c r="I7764" s="128"/>
      <c r="K7764" s="105" t="str">
        <f>IFERROR(__xludf.DUMMYFUNCTION("if(A7764="""","""",substitute(SUBSTITUTE(index(importhtml(""http://finviz.com/quote.ashx?t=""&amp;A7764,""table"",10),7,2),""*"",""""),""-"",""0.00""))"),"Loading...")</f>
        <v>Loading...</v>
      </c>
      <c r="L7764" s="129">
        <v>2.8220457257E10</v>
      </c>
      <c r="M7764" s="99">
        <v>0.69</v>
      </c>
      <c r="N7764" s="107"/>
    </row>
    <row r="7765">
      <c r="A7765" s="122" t="s">
        <v>16118</v>
      </c>
      <c r="B7765" s="123">
        <v>853816.0</v>
      </c>
      <c r="C7765" s="124" t="s">
        <v>16119</v>
      </c>
      <c r="D7765" s="125"/>
      <c r="E7765" s="126">
        <v>191.88</v>
      </c>
      <c r="F7765" s="127"/>
      <c r="G7765" s="127"/>
      <c r="H7765" s="127"/>
      <c r="I7765" s="128"/>
      <c r="K7765" s="105" t="str">
        <f>IFERROR(__xludf.DUMMYFUNCTION("if(A7765="""","""",substitute(SUBSTITUTE(index(importhtml(""http://finviz.com/quote.ashx?t=""&amp;A7765,""table"",10),7,2),""*"",""""),""-"",""0.00""))"),"Loading...")</f>
        <v>Loading...</v>
      </c>
      <c r="L7765" s="129">
        <v>6.897383894E9</v>
      </c>
      <c r="M7765" s="99">
        <v>0.85</v>
      </c>
      <c r="N7765" s="107"/>
    </row>
    <row r="7766">
      <c r="A7766" s="122" t="s">
        <v>16120</v>
      </c>
      <c r="B7766" s="123">
        <v>1832433.0</v>
      </c>
      <c r="C7766" s="124" t="s">
        <v>16121</v>
      </c>
      <c r="D7766" s="125"/>
      <c r="E7766" s="126">
        <v>191.96</v>
      </c>
      <c r="F7766" s="127"/>
      <c r="G7766" s="127"/>
      <c r="H7766" s="127"/>
      <c r="I7766" s="128"/>
      <c r="K7766" s="105" t="str">
        <f>IFERROR(__xludf.DUMMYFUNCTION("if(A7766="""","""",substitute(SUBSTITUTE(index(importhtml(""http://finviz.com/quote.ashx?t=""&amp;A7766,""table"",10),7,2),""*"",""""),""-"",""0.00""))"),"Loading...")</f>
        <v>Loading...</v>
      </c>
      <c r="L7766" s="129">
        <v>3.8976423583E10</v>
      </c>
      <c r="M7766" s="99">
        <v>1.25</v>
      </c>
      <c r="N7766" s="107"/>
    </row>
    <row r="7767">
      <c r="A7767" s="122" t="s">
        <v>16122</v>
      </c>
      <c r="B7767" s="123">
        <v>81362.0</v>
      </c>
      <c r="C7767" s="124" t="s">
        <v>16123</v>
      </c>
      <c r="D7767" s="125"/>
      <c r="E7767" s="126">
        <v>192.06</v>
      </c>
      <c r="F7767" s="127"/>
      <c r="G7767" s="127"/>
      <c r="H7767" s="127"/>
      <c r="I7767" s="128"/>
      <c r="K7767" s="105" t="str">
        <f>IFERROR(__xludf.DUMMYFUNCTION("if(A7767="""","""",substitute(SUBSTITUTE(index(importhtml(""http://finviz.com/quote.ashx?t=""&amp;A7767,""table"",10),7,2),""*"",""""),""-"",""0.00""))"),"Loading...")</f>
        <v>Loading...</v>
      </c>
      <c r="L7767" s="129">
        <v>3.45418177E9</v>
      </c>
      <c r="M7767" s="99">
        <v>1.49</v>
      </c>
      <c r="N7767" s="107"/>
    </row>
    <row r="7768">
      <c r="A7768" s="122" t="s">
        <v>16124</v>
      </c>
      <c r="B7768" s="123">
        <v>6281.0</v>
      </c>
      <c r="C7768" s="124" t="s">
        <v>16125</v>
      </c>
      <c r="D7768" s="125"/>
      <c r="E7768" s="126">
        <v>192.1</v>
      </c>
      <c r="F7768" s="127"/>
      <c r="G7768" s="127"/>
      <c r="H7768" s="127"/>
      <c r="I7768" s="128"/>
      <c r="K7768" s="55" t="s">
        <v>15456</v>
      </c>
      <c r="L7768" s="129">
        <v>9.5250770976E10</v>
      </c>
      <c r="M7768" s="99">
        <v>1.19</v>
      </c>
      <c r="N7768" s="107"/>
    </row>
    <row r="7769">
      <c r="A7769" s="122" t="s">
        <v>16126</v>
      </c>
      <c r="B7769" s="123">
        <v>887936.0</v>
      </c>
      <c r="C7769" s="124" t="s">
        <v>16127</v>
      </c>
      <c r="D7769" s="125"/>
      <c r="E7769" s="126">
        <v>192.57</v>
      </c>
      <c r="F7769" s="127"/>
      <c r="G7769" s="127"/>
      <c r="H7769" s="127"/>
      <c r="I7769" s="128"/>
      <c r="K7769" s="55" t="s">
        <v>1034</v>
      </c>
      <c r="L7769" s="129">
        <v>6.83810704E9</v>
      </c>
      <c r="M7769" s="99">
        <v>0.11</v>
      </c>
      <c r="N7769" s="107"/>
    </row>
    <row r="7770">
      <c r="A7770" s="122" t="s">
        <v>16128</v>
      </c>
      <c r="B7770" s="123">
        <v>62709.0</v>
      </c>
      <c r="C7770" s="124" t="s">
        <v>16129</v>
      </c>
      <c r="D7770" s="125"/>
      <c r="E7770" s="126">
        <v>193.36</v>
      </c>
      <c r="F7770" s="127"/>
      <c r="G7770" s="127"/>
      <c r="H7770" s="127"/>
      <c r="I7770" s="128"/>
      <c r="K7770" s="105" t="str">
        <f>IFERROR(__xludf.DUMMYFUNCTION("if(A7770="""","""",substitute(SUBSTITUTE(index(importhtml(""http://finviz.com/quote.ashx?t=""&amp;A7770,""table"",10),7,2),""*"",""""),""-"",""0.00""))"),"Loading...")</f>
        <v>Loading...</v>
      </c>
      <c r="L7770" s="129">
        <v>9.51331203E10</v>
      </c>
      <c r="M7770" s="99">
        <v>0.9</v>
      </c>
      <c r="N7770" s="107"/>
    </row>
    <row r="7771">
      <c r="A7771" s="122" t="s">
        <v>16130</v>
      </c>
      <c r="B7771" s="123">
        <v>1053507.0</v>
      </c>
      <c r="C7771" s="124" t="s">
        <v>16131</v>
      </c>
      <c r="D7771" s="125"/>
      <c r="E7771" s="126">
        <v>193.51</v>
      </c>
      <c r="F7771" s="127"/>
      <c r="G7771" s="127"/>
      <c r="H7771" s="127"/>
      <c r="I7771" s="128"/>
      <c r="K7771" s="55" t="s">
        <v>16132</v>
      </c>
      <c r="L7771" s="129">
        <v>9.020760594E10</v>
      </c>
      <c r="M7771" s="99">
        <v>0.69</v>
      </c>
      <c r="N7771" s="107"/>
    </row>
    <row r="7772">
      <c r="A7772" s="122" t="s">
        <v>16133</v>
      </c>
      <c r="B7772" s="123">
        <v>1145197.0</v>
      </c>
      <c r="C7772" s="124" t="s">
        <v>16134</v>
      </c>
      <c r="D7772" s="125"/>
      <c r="E7772" s="126">
        <v>194.02</v>
      </c>
      <c r="F7772" s="127"/>
      <c r="G7772" s="127"/>
      <c r="H7772" s="127"/>
      <c r="I7772" s="128"/>
      <c r="K7772" s="105" t="str">
        <f>IFERROR(__xludf.DUMMYFUNCTION("if(A7772="""","""",substitute(SUBSTITUTE(index(importhtml(""http://finviz.com/quote.ashx?t=""&amp;A7772,""table"",10),7,2),""*"",""""),""-"",""0.00""))"),"Loading...")</f>
        <v>Loading...</v>
      </c>
      <c r="L7772" s="129">
        <v>1.354795707E10</v>
      </c>
      <c r="M7772" s="99">
        <v>1.05</v>
      </c>
      <c r="N7772" s="107"/>
    </row>
    <row r="7773">
      <c r="A7773" s="122" t="s">
        <v>16135</v>
      </c>
      <c r="B7773" s="123">
        <v>928465.0</v>
      </c>
      <c r="C7773" s="124" t="s">
        <v>16136</v>
      </c>
      <c r="D7773" s="125"/>
      <c r="E7773" s="126">
        <v>194.29</v>
      </c>
      <c r="F7773" s="127"/>
      <c r="G7773" s="127"/>
      <c r="H7773" s="127"/>
      <c r="I7773" s="128"/>
      <c r="K7773" s="55" t="s">
        <v>12021</v>
      </c>
      <c r="L7773" s="129">
        <v>1.22473009E8</v>
      </c>
      <c r="M7773" s="99">
        <v>0.5</v>
      </c>
      <c r="N7773" s="107"/>
    </row>
    <row r="7774">
      <c r="A7774" s="122" t="s">
        <v>16137</v>
      </c>
      <c r="B7774" s="123">
        <v>1590955.0</v>
      </c>
      <c r="C7774" s="124" t="s">
        <v>16138</v>
      </c>
      <c r="D7774" s="125"/>
      <c r="E7774" s="126">
        <v>194.99</v>
      </c>
      <c r="F7774" s="127"/>
      <c r="G7774" s="127"/>
      <c r="H7774" s="127"/>
      <c r="I7774" s="128"/>
      <c r="K7774" s="105" t="str">
        <f>IFERROR(__xludf.DUMMYFUNCTION("if(A7774="""","""",substitute(SUBSTITUTE(index(importhtml(""http://finviz.com/quote.ashx?t=""&amp;A7774,""table"",10),7,2),""*"",""""),""-"",""0.00""))"),"Loading...")</f>
        <v>Loading...</v>
      </c>
      <c r="L7774" s="129">
        <v>1.1743887299E10</v>
      </c>
      <c r="M7774" s="99">
        <v>1.21</v>
      </c>
      <c r="N7774" s="107"/>
    </row>
    <row r="7775">
      <c r="A7775" s="122" t="s">
        <v>16139</v>
      </c>
      <c r="B7775" s="123">
        <v>1585689.0</v>
      </c>
      <c r="C7775" s="124" t="s">
        <v>16140</v>
      </c>
      <c r="D7775" s="125"/>
      <c r="E7775" s="126">
        <v>195.01</v>
      </c>
      <c r="F7775" s="127"/>
      <c r="G7775" s="127"/>
      <c r="H7775" s="127"/>
      <c r="I7775" s="128"/>
      <c r="K7775" s="105" t="str">
        <f>IFERROR(__xludf.DUMMYFUNCTION("if(A7775="""","""",substitute(SUBSTITUTE(index(importhtml(""http://finviz.com/quote.ashx?t=""&amp;A7775,""table"",10),7,2),""*"",""""),""-"",""0.00""))"),"Loading...")</f>
        <v>Loading...</v>
      </c>
      <c r="L7775" s="129">
        <v>4.9908390471E10</v>
      </c>
      <c r="M7775" s="99">
        <v>1.26</v>
      </c>
      <c r="N7775" s="107"/>
    </row>
    <row r="7776">
      <c r="A7776" s="122" t="s">
        <v>16141</v>
      </c>
      <c r="B7776" s="123">
        <v>773840.0</v>
      </c>
      <c r="C7776" s="124" t="s">
        <v>16142</v>
      </c>
      <c r="D7776" s="125"/>
      <c r="E7776" s="126">
        <v>196.11</v>
      </c>
      <c r="F7776" s="127"/>
      <c r="G7776" s="127"/>
      <c r="H7776" s="127"/>
      <c r="I7776" s="128"/>
      <c r="K7776" s="105" t="str">
        <f>IFERROR(__xludf.DUMMYFUNCTION("if(A7776="""","""",substitute(SUBSTITUTE(index(importhtml(""http://finviz.com/quote.ashx?t=""&amp;A7776,""table"",10),7,2),""*"",""""),""-"",""0.00""))"),"Loading...")</f>
        <v>Loading...</v>
      </c>
      <c r="L7776" s="129">
        <v>1.29285596346E11</v>
      </c>
      <c r="M7776" s="99">
        <v>1.04</v>
      </c>
      <c r="N7776" s="107"/>
    </row>
    <row r="7777">
      <c r="A7777" s="122" t="s">
        <v>16143</v>
      </c>
      <c r="B7777" s="123">
        <v>730272.0</v>
      </c>
      <c r="C7777" s="124" t="s">
        <v>16144</v>
      </c>
      <c r="D7777" s="125"/>
      <c r="E7777" s="126">
        <v>196.17</v>
      </c>
      <c r="F7777" s="127"/>
      <c r="G7777" s="127"/>
      <c r="H7777" s="127"/>
      <c r="I7777" s="128"/>
      <c r="K7777" s="105" t="str">
        <f>IFERROR(__xludf.DUMMYFUNCTION("if(A7777="""","""",substitute(SUBSTITUTE(index(importhtml(""http://finviz.com/quote.ashx?t=""&amp;A7777,""table"",10),7,2),""*"",""""),""-"",""0.00""))"),"Loading...")</f>
        <v>Loading...</v>
      </c>
      <c r="L7777" s="129">
        <v>1.0952567261E10</v>
      </c>
      <c r="M7777" s="99">
        <v>1.04</v>
      </c>
      <c r="N7777" s="107"/>
    </row>
    <row r="7778">
      <c r="A7778" s="122" t="s">
        <v>16145</v>
      </c>
      <c r="B7778" s="123">
        <v>1579298.0</v>
      </c>
      <c r="C7778" s="124" t="s">
        <v>16146</v>
      </c>
      <c r="D7778" s="125"/>
      <c r="E7778" s="126">
        <v>196.73</v>
      </c>
      <c r="F7778" s="127"/>
      <c r="G7778" s="127"/>
      <c r="H7778" s="127"/>
      <c r="I7778" s="128"/>
      <c r="K7778" s="105" t="str">
        <f>IFERROR(__xludf.DUMMYFUNCTION("if(A7778="""","""",substitute(SUBSTITUTE(index(importhtml(""http://finviz.com/quote.ashx?t=""&amp;A7778,""table"",10),7,2),""*"",""""),""-"",""0.00""))"),"Loading...")</f>
        <v>Loading...</v>
      </c>
      <c r="L7778" s="129">
        <v>1.2694058058E10</v>
      </c>
      <c r="M7778" s="99">
        <v>1.47</v>
      </c>
      <c r="N7778" s="107"/>
    </row>
    <row r="7779">
      <c r="A7779" s="122" t="s">
        <v>16147</v>
      </c>
      <c r="B7779" s="123">
        <v>47111.0</v>
      </c>
      <c r="C7779" s="124" t="s">
        <v>16148</v>
      </c>
      <c r="D7779" s="125"/>
      <c r="E7779" s="126">
        <v>197.66</v>
      </c>
      <c r="F7779" s="127"/>
      <c r="G7779" s="127"/>
      <c r="H7779" s="127"/>
      <c r="I7779" s="128"/>
      <c r="K7779" s="105" t="str">
        <f>IFERROR(__xludf.DUMMYFUNCTION("if(A7779="""","""",substitute(SUBSTITUTE(index(importhtml(""http://finviz.com/quote.ashx?t=""&amp;A7779,""table"",10),7,2),""*"",""""),""-"",""0.00""))"),"Loading...")</f>
        <v>Loading...</v>
      </c>
      <c r="L7779" s="129">
        <v>4.0421095194E10</v>
      </c>
      <c r="M7779" s="99">
        <v>0.36</v>
      </c>
      <c r="N7779" s="107"/>
    </row>
    <row r="7780">
      <c r="A7780" s="122" t="s">
        <v>16149</v>
      </c>
      <c r="B7780" s="123">
        <v>8818.0</v>
      </c>
      <c r="C7780" s="124" t="s">
        <v>16150</v>
      </c>
      <c r="D7780" s="125"/>
      <c r="E7780" s="126">
        <v>198.86</v>
      </c>
      <c r="F7780" s="127"/>
      <c r="G7780" s="127"/>
      <c r="H7780" s="127"/>
      <c r="I7780" s="128"/>
      <c r="K7780" s="55" t="s">
        <v>16151</v>
      </c>
      <c r="L7780" s="129">
        <v>1.6014450389E10</v>
      </c>
      <c r="M7780" s="99">
        <v>0.9</v>
      </c>
      <c r="N7780" s="107"/>
    </row>
    <row r="7781">
      <c r="A7781" s="122" t="s">
        <v>16152</v>
      </c>
      <c r="B7781" s="123">
        <v>31462.0</v>
      </c>
      <c r="C7781" s="124" t="s">
        <v>16153</v>
      </c>
      <c r="D7781" s="125"/>
      <c r="E7781" s="126">
        <v>199.33</v>
      </c>
      <c r="F7781" s="127"/>
      <c r="G7781" s="127"/>
      <c r="H7781" s="127"/>
      <c r="I7781" s="128"/>
      <c r="K7781" s="55" t="s">
        <v>14288</v>
      </c>
      <c r="L7781" s="129">
        <v>5.6836916856E10</v>
      </c>
      <c r="M7781" s="99">
        <v>1.08</v>
      </c>
      <c r="N7781" s="107"/>
    </row>
    <row r="7782">
      <c r="A7782" s="122" t="s">
        <v>16154</v>
      </c>
      <c r="B7782" s="123">
        <v>1014473.0</v>
      </c>
      <c r="C7782" s="124" t="s">
        <v>16155</v>
      </c>
      <c r="D7782" s="125"/>
      <c r="E7782" s="126">
        <v>199.6</v>
      </c>
      <c r="F7782" s="127"/>
      <c r="G7782" s="127"/>
      <c r="H7782" s="127"/>
      <c r="I7782" s="128"/>
      <c r="K7782" s="105" t="str">
        <f>IFERROR(__xludf.DUMMYFUNCTION("if(A7782="""","""",substitute(SUBSTITUTE(index(importhtml(""http://finviz.com/quote.ashx?t=""&amp;A7782,""table"",10),7,2),""*"",""""),""-"",""0.00""))"),"Loading...")</f>
        <v>Loading...</v>
      </c>
      <c r="L7782" s="129">
        <v>2.0379160623E10</v>
      </c>
      <c r="M7782" s="99">
        <v>0.9</v>
      </c>
      <c r="N7782" s="107"/>
    </row>
    <row r="7783">
      <c r="A7783" s="122" t="s">
        <v>16156</v>
      </c>
      <c r="B7783" s="123">
        <v>1604477.0</v>
      </c>
      <c r="C7783" s="124" t="s">
        <v>16157</v>
      </c>
      <c r="D7783" s="125"/>
      <c r="E7783" s="126">
        <v>200.0</v>
      </c>
      <c r="F7783" s="127"/>
      <c r="G7783" s="127"/>
      <c r="H7783" s="127"/>
      <c r="I7783" s="128"/>
      <c r="K7783" s="105" t="str">
        <f>IFERROR(__xludf.DUMMYFUNCTION("if(A7783="""","""",substitute(SUBSTITUTE(index(importhtml(""http://finviz.com/quote.ashx?t=""&amp;A7783,""table"",10),7,2),""*"",""""),""-"",""0.00""))"),"Loading...")</f>
        <v>Loading...</v>
      </c>
      <c r="L7783" s="129">
        <v>7.82642E8</v>
      </c>
      <c r="M7783" s="99" t="str">
        <f>IFERROR(__xludf.DUMMYFUNCTION("GOOGLEFINANCE(A7783,""beta"")"),"#N/A")</f>
        <v>#N/A</v>
      </c>
      <c r="N7783" s="107"/>
    </row>
    <row r="7784">
      <c r="A7784" s="122" t="s">
        <v>16158</v>
      </c>
      <c r="B7784" s="123">
        <v>719955.0</v>
      </c>
      <c r="C7784" s="124" t="s">
        <v>16159</v>
      </c>
      <c r="D7784" s="125"/>
      <c r="E7784" s="126">
        <v>200.34</v>
      </c>
      <c r="F7784" s="127"/>
      <c r="G7784" s="127"/>
      <c r="H7784" s="127"/>
      <c r="I7784" s="128"/>
      <c r="K7784" s="105" t="str">
        <f>IFERROR(__xludf.DUMMYFUNCTION("if(A7784="""","""",substitute(SUBSTITUTE(index(importhtml(""http://finviz.com/quote.ashx?t=""&amp;A7784,""table"",10),7,2),""*"",""""),""-"",""0.00""))"),"Loading...")</f>
        <v>Loading...</v>
      </c>
      <c r="L7784" s="129">
        <v>1.2850714905E10</v>
      </c>
      <c r="M7784" s="99">
        <v>1.63</v>
      </c>
      <c r="N7784" s="107"/>
    </row>
    <row r="7785">
      <c r="A7785" s="122" t="s">
        <v>16160</v>
      </c>
      <c r="B7785" s="123">
        <v>1383312.0</v>
      </c>
      <c r="C7785" s="124" t="s">
        <v>16161</v>
      </c>
      <c r="D7785" s="125"/>
      <c r="E7785" s="126">
        <v>201.74</v>
      </c>
      <c r="F7785" s="127"/>
      <c r="G7785" s="127"/>
      <c r="H7785" s="127"/>
      <c r="I7785" s="128"/>
      <c r="K7785" s="138" t="s">
        <v>15874</v>
      </c>
      <c r="L7785" s="129">
        <v>2.3734106426E10</v>
      </c>
      <c r="M7785" s="99">
        <v>1.0</v>
      </c>
      <c r="N7785" s="107"/>
    </row>
    <row r="7786">
      <c r="A7786" s="122" t="s">
        <v>16162</v>
      </c>
      <c r="B7786" s="123">
        <v>1580905.0</v>
      </c>
      <c r="C7786" s="124" t="s">
        <v>16163</v>
      </c>
      <c r="D7786" s="125"/>
      <c r="E7786" s="126">
        <v>201.84</v>
      </c>
      <c r="F7786" s="127"/>
      <c r="G7786" s="127"/>
      <c r="H7786" s="127"/>
      <c r="I7786" s="128"/>
      <c r="K7786" s="105" t="str">
        <f>IFERROR(__xludf.DUMMYFUNCTION("if(A7786="""","""",substitute(SUBSTITUTE(index(importhtml(""http://finviz.com/quote.ashx?t=""&amp;A7786,""table"",10),7,2),""*"",""""),""-"",""0.00""))"),"Loading...")</f>
        <v>Loading...</v>
      </c>
      <c r="L7786" s="129">
        <v>5.734086584E9</v>
      </c>
      <c r="M7786" s="99">
        <v>1.86</v>
      </c>
      <c r="N7786" s="107"/>
    </row>
    <row r="7787">
      <c r="A7787" s="122" t="s">
        <v>16164</v>
      </c>
      <c r="B7787" s="123">
        <v>1469988.0</v>
      </c>
      <c r="C7787" s="124" t="s">
        <v>16165</v>
      </c>
      <c r="D7787" s="125"/>
      <c r="E7787" s="126">
        <v>202.0</v>
      </c>
      <c r="F7787" s="127"/>
      <c r="G7787" s="127"/>
      <c r="H7787" s="127"/>
      <c r="I7787" s="128"/>
      <c r="K7787" s="105" t="str">
        <f>IFERROR(__xludf.DUMMYFUNCTION("if(A7787="""","""",substitute(SUBSTITUTE(index(importhtml(""http://finviz.com/quote.ashx?t=""&amp;A7787,""table"",10),7,2),""*"",""""),""-"",""0.00""))"),"Loading...")</f>
        <v>Loading...</v>
      </c>
      <c r="L7787" s="129">
        <v>5.4658877E12</v>
      </c>
      <c r="M7787" s="99" t="str">
        <f>IFERROR(__xludf.DUMMYFUNCTION("GOOGLEFINANCE(A7787,""beta"")"),"#N/A")</f>
        <v>#N/A</v>
      </c>
      <c r="N7787" s="107"/>
    </row>
    <row r="7788">
      <c r="A7788" s="122" t="s">
        <v>16166</v>
      </c>
      <c r="B7788" s="123">
        <v>795403.0</v>
      </c>
      <c r="C7788" s="124" t="s">
        <v>16167</v>
      </c>
      <c r="D7788" s="125"/>
      <c r="E7788" s="126">
        <v>202.02</v>
      </c>
      <c r="F7788" s="127"/>
      <c r="G7788" s="127"/>
      <c r="H7788" s="127"/>
      <c r="I7788" s="128"/>
      <c r="K7788" s="105" t="str">
        <f>IFERROR(__xludf.DUMMYFUNCTION("if(A7788="""","""",substitute(SUBSTITUTE(index(importhtml(""http://finviz.com/quote.ashx?t=""&amp;A7788,""table"",10),7,2),""*"",""""),""-"",""0.00""))"),"Loading...")</f>
        <v>Loading...</v>
      </c>
      <c r="L7788" s="129">
        <v>6.732567147E9</v>
      </c>
      <c r="M7788" s="99">
        <v>0.95</v>
      </c>
      <c r="N7788" s="107"/>
    </row>
    <row r="7789">
      <c r="A7789" s="122" t="s">
        <v>16168</v>
      </c>
      <c r="B7789" s="123">
        <v>1094517.0</v>
      </c>
      <c r="C7789" s="124" t="s">
        <v>11431</v>
      </c>
      <c r="D7789" s="125"/>
      <c r="E7789" s="126">
        <v>202.54</v>
      </c>
      <c r="F7789" s="127"/>
      <c r="G7789" s="127"/>
      <c r="H7789" s="127"/>
      <c r="I7789" s="128"/>
      <c r="K7789" s="55" t="s">
        <v>16169</v>
      </c>
      <c r="L7789" s="129">
        <v>3.27704038017E11</v>
      </c>
      <c r="M7789" s="99">
        <v>0.67</v>
      </c>
      <c r="N7789" s="107"/>
    </row>
    <row r="7790">
      <c r="A7790" s="122" t="s">
        <v>16170</v>
      </c>
      <c r="B7790" s="123">
        <v>57515.0</v>
      </c>
      <c r="C7790" s="124" t="s">
        <v>16171</v>
      </c>
      <c r="D7790" s="125"/>
      <c r="E7790" s="126">
        <v>202.57</v>
      </c>
      <c r="F7790" s="127"/>
      <c r="G7790" s="127"/>
      <c r="H7790" s="127"/>
      <c r="I7790" s="128"/>
      <c r="K7790" s="105" t="str">
        <f>IFERROR(__xludf.DUMMYFUNCTION("if(A7790="""","""",substitute(SUBSTITUTE(index(importhtml(""http://finviz.com/quote.ashx?t=""&amp;A7790,""table"",10),7,2),""*"",""""),""-"",""0.00""))"),"Loading...")</f>
        <v>Loading...</v>
      </c>
      <c r="L7790" s="129">
        <v>5.574118891E9</v>
      </c>
      <c r="M7790" s="99">
        <v>0.32</v>
      </c>
      <c r="N7790" s="107"/>
    </row>
    <row r="7791">
      <c r="A7791" s="122" t="s">
        <v>16172</v>
      </c>
      <c r="B7791" s="123">
        <v>1050915.0</v>
      </c>
      <c r="C7791" s="124" t="s">
        <v>16173</v>
      </c>
      <c r="D7791" s="125"/>
      <c r="E7791" s="126">
        <v>204.5</v>
      </c>
      <c r="F7791" s="127"/>
      <c r="G7791" s="127"/>
      <c r="H7791" s="127"/>
      <c r="I7791" s="128"/>
      <c r="K7791" s="105" t="str">
        <f>IFERROR(__xludf.DUMMYFUNCTION("if(A7791="""","""",substitute(SUBSTITUTE(index(importhtml(""http://finviz.com/quote.ashx?t=""&amp;A7791,""table"",10),7,2),""*"",""""),""-"",""0.00""))"),"Loading...")</f>
        <v>Loading...</v>
      </c>
      <c r="L7791" s="129">
        <v>2.97107416E10</v>
      </c>
      <c r="M7791" s="99">
        <v>1.06</v>
      </c>
      <c r="N7791" s="107"/>
    </row>
    <row r="7792">
      <c r="A7792" s="122" t="s">
        <v>16174</v>
      </c>
      <c r="B7792" s="123">
        <v>1027664.0</v>
      </c>
      <c r="C7792" s="124" t="s">
        <v>16175</v>
      </c>
      <c r="D7792" s="125"/>
      <c r="E7792" s="126">
        <v>206.27</v>
      </c>
      <c r="F7792" s="127"/>
      <c r="G7792" s="127"/>
      <c r="H7792" s="127"/>
      <c r="I7792" s="128"/>
      <c r="K7792" s="105" t="str">
        <f>IFERROR(__xludf.DUMMYFUNCTION("if(A7792="""","""",substitute(SUBSTITUTE(index(importhtml(""http://finviz.com/quote.ashx?t=""&amp;A7792,""table"",10),7,2),""*"",""""),""-"",""0.00""))"),"Loading...")</f>
        <v>Loading...</v>
      </c>
      <c r="L7792" s="129">
        <v>8.964576893E9</v>
      </c>
      <c r="M7792" s="99">
        <v>0.55</v>
      </c>
      <c r="N7792" s="107"/>
    </row>
    <row r="7793">
      <c r="A7793" s="122" t="s">
        <v>16176</v>
      </c>
      <c r="B7793" s="123">
        <v>4962.0</v>
      </c>
      <c r="C7793" s="124" t="s">
        <v>16177</v>
      </c>
      <c r="D7793" s="125"/>
      <c r="E7793" s="126">
        <v>206.41</v>
      </c>
      <c r="F7793" s="127"/>
      <c r="G7793" s="127"/>
      <c r="H7793" s="127"/>
      <c r="I7793" s="128"/>
      <c r="K7793" s="55" t="s">
        <v>14739</v>
      </c>
      <c r="L7793" s="129">
        <v>1.49234453288E11</v>
      </c>
      <c r="M7793" s="99">
        <v>1.23</v>
      </c>
      <c r="N7793" s="107"/>
    </row>
    <row r="7794">
      <c r="A7794" s="122" t="s">
        <v>16178</v>
      </c>
      <c r="B7794" s="123">
        <v>1156375.0</v>
      </c>
      <c r="C7794" s="124" t="s">
        <v>16179</v>
      </c>
      <c r="D7794" s="125"/>
      <c r="E7794" s="126">
        <v>206.55</v>
      </c>
      <c r="F7794" s="127"/>
      <c r="G7794" s="127"/>
      <c r="H7794" s="127"/>
      <c r="I7794" s="128"/>
      <c r="K7794" s="55" t="s">
        <v>16180</v>
      </c>
      <c r="L7794" s="129">
        <v>7.4355894288E10</v>
      </c>
      <c r="M7794" s="99">
        <v>0.47</v>
      </c>
      <c r="N7794" s="107"/>
    </row>
    <row r="7795">
      <c r="A7795" s="122" t="s">
        <v>16181</v>
      </c>
      <c r="B7795" s="123">
        <v>912603.0</v>
      </c>
      <c r="C7795" s="124" t="s">
        <v>16182</v>
      </c>
      <c r="D7795" s="125"/>
      <c r="E7795" s="126">
        <v>206.6</v>
      </c>
      <c r="F7795" s="127"/>
      <c r="G7795" s="127"/>
      <c r="H7795" s="127"/>
      <c r="I7795" s="128"/>
      <c r="K7795" s="105" t="str">
        <f>IFERROR(__xludf.DUMMYFUNCTION("if(A7795="""","""",substitute(SUBSTITUTE(index(importhtml(""http://finviz.com/quote.ashx?t=""&amp;A7795,""table"",10),7,2),""*"",""""),""-"",""0.00""))"),"Loading...")</f>
        <v>Loading...</v>
      </c>
      <c r="L7795" s="129">
        <v>2.261575072E10</v>
      </c>
      <c r="M7795" s="99" t="str">
        <f>IFERROR(__xludf.DUMMYFUNCTION("GOOGLEFINANCE(A7795,""beta"")"),"#N/A")</f>
        <v>#N/A</v>
      </c>
      <c r="N7795" s="107"/>
    </row>
    <row r="7796">
      <c r="A7796" s="122" t="s">
        <v>16183</v>
      </c>
      <c r="B7796" s="123">
        <v>1393052.0</v>
      </c>
      <c r="C7796" s="124" t="s">
        <v>16184</v>
      </c>
      <c r="D7796" s="125"/>
      <c r="E7796" s="126">
        <v>206.8</v>
      </c>
      <c r="F7796" s="127"/>
      <c r="G7796" s="127"/>
      <c r="H7796" s="127"/>
      <c r="I7796" s="128"/>
      <c r="K7796" s="105" t="str">
        <f>IFERROR(__xludf.DUMMYFUNCTION("if(A7796="""","""",substitute(SUBSTITUTE(index(importhtml(""http://finviz.com/quote.ashx?t=""&amp;A7796,""table"",10),7,2),""*"",""""),""-"",""0.00""))"),"Loading...")</f>
        <v>Loading...</v>
      </c>
      <c r="L7796" s="129">
        <v>3.3298026571E10</v>
      </c>
      <c r="M7796" s="99">
        <v>0.74</v>
      </c>
      <c r="N7796" s="107"/>
    </row>
    <row r="7797">
      <c r="A7797" s="122" t="s">
        <v>16185</v>
      </c>
      <c r="B7797" s="123">
        <v>202058.0</v>
      </c>
      <c r="C7797" s="124" t="s">
        <v>16186</v>
      </c>
      <c r="D7797" s="125"/>
      <c r="E7797" s="126">
        <v>207.0</v>
      </c>
      <c r="F7797" s="127"/>
      <c r="G7797" s="127"/>
      <c r="H7797" s="127"/>
      <c r="I7797" s="128"/>
      <c r="K7797" s="105" t="str">
        <f>IFERROR(__xludf.DUMMYFUNCTION("if(A7797="""","""",substitute(SUBSTITUTE(index(importhtml(""http://finviz.com/quote.ashx?t=""&amp;A7797,""table"",10),7,2),""*"",""""),""-"",""0.00""))"),"Loading...")</f>
        <v>Loading...</v>
      </c>
      <c r="L7797" s="129">
        <v>3.92348214E10</v>
      </c>
      <c r="M7797" s="99">
        <v>0.66</v>
      </c>
      <c r="N7797" s="107"/>
    </row>
    <row r="7798">
      <c r="A7798" s="122" t="s">
        <v>16187</v>
      </c>
      <c r="B7798" s="123">
        <v>1309108.0</v>
      </c>
      <c r="C7798" s="124" t="s">
        <v>16188</v>
      </c>
      <c r="D7798" s="125"/>
      <c r="E7798" s="126">
        <v>207.25</v>
      </c>
      <c r="F7798" s="127"/>
      <c r="G7798" s="127"/>
      <c r="H7798" s="127"/>
      <c r="I7798" s="128"/>
      <c r="K7798" s="105" t="str">
        <f>IFERROR(__xludf.DUMMYFUNCTION("if(A7798="""","""",substitute(SUBSTITUTE(index(importhtml(""http://finviz.com/quote.ashx?t=""&amp;A7798,""table"",10),7,2),""*"",""""),""-"",""0.00""))"),"Loading...")</f>
        <v>Loading...</v>
      </c>
      <c r="L7798" s="129">
        <v>8.857311642E9</v>
      </c>
      <c r="M7798" s="99">
        <v>1.6</v>
      </c>
      <c r="N7798" s="107"/>
    </row>
    <row r="7799">
      <c r="A7799" s="122" t="s">
        <v>16189</v>
      </c>
      <c r="B7799" s="123">
        <v>728535.0</v>
      </c>
      <c r="C7799" s="124" t="s">
        <v>16190</v>
      </c>
      <c r="D7799" s="125"/>
      <c r="E7799" s="126">
        <v>208.49</v>
      </c>
      <c r="F7799" s="127"/>
      <c r="G7799" s="127"/>
      <c r="H7799" s="127"/>
      <c r="I7799" s="128"/>
      <c r="K7799" s="105" t="str">
        <f>IFERROR(__xludf.DUMMYFUNCTION("if(A7799="""","""",substitute(SUBSTITUTE(index(importhtml(""http://finviz.com/quote.ashx?t=""&amp;A7799,""table"",10),7,2),""*"",""""),""-"",""0.00""))"),"Loading...")</f>
        <v>Loading...</v>
      </c>
      <c r="L7799" s="129">
        <v>2.1520338367E10</v>
      </c>
      <c r="M7799" s="99">
        <v>1.12</v>
      </c>
      <c r="N7799" s="107"/>
    </row>
    <row r="7800">
      <c r="A7800" s="122" t="s">
        <v>16191</v>
      </c>
      <c r="B7800" s="123">
        <v>12927.0</v>
      </c>
      <c r="C7800" s="124" t="s">
        <v>16192</v>
      </c>
      <c r="D7800" s="125"/>
      <c r="E7800" s="126">
        <v>209.38</v>
      </c>
      <c r="F7800" s="127"/>
      <c r="G7800" s="127"/>
      <c r="H7800" s="127"/>
      <c r="I7800" s="128"/>
      <c r="K7800" s="138" t="s">
        <v>6478</v>
      </c>
      <c r="L7800" s="129">
        <v>1.27750132093E11</v>
      </c>
      <c r="M7800" s="99">
        <v>1.56</v>
      </c>
      <c r="N7800" s="107"/>
    </row>
    <row r="7801">
      <c r="A7801" s="122" t="s">
        <v>16193</v>
      </c>
      <c r="B7801" s="123">
        <v>1478242.0</v>
      </c>
      <c r="C7801" s="124" t="s">
        <v>16194</v>
      </c>
      <c r="D7801" s="125"/>
      <c r="E7801" s="126">
        <v>210.75</v>
      </c>
      <c r="F7801" s="127"/>
      <c r="G7801" s="127"/>
      <c r="H7801" s="127"/>
      <c r="I7801" s="128"/>
      <c r="K7801" s="105" t="str">
        <f>IFERROR(__xludf.DUMMYFUNCTION("if(A7801="""","""",substitute(SUBSTITUTE(index(importhtml(""http://finviz.com/quote.ashx?t=""&amp;A7801,""table"",10),7,2),""*"",""""),""-"",""0.00""))"),"Loading...")</f>
        <v>Loading...</v>
      </c>
      <c r="L7801" s="129">
        <v>3.8461875E10</v>
      </c>
      <c r="M7801" s="99">
        <v>1.48</v>
      </c>
      <c r="N7801" s="107"/>
    </row>
    <row r="7802">
      <c r="A7802" s="122" t="s">
        <v>16195</v>
      </c>
      <c r="B7802" s="123">
        <v>1144980.0</v>
      </c>
      <c r="C7802" s="124" t="s">
        <v>16196</v>
      </c>
      <c r="D7802" s="125"/>
      <c r="E7802" s="126">
        <v>213.27</v>
      </c>
      <c r="F7802" s="127"/>
      <c r="G7802" s="127"/>
      <c r="H7802" s="127"/>
      <c r="I7802" s="128"/>
      <c r="K7802" s="55" t="s">
        <v>1034</v>
      </c>
      <c r="L7802" s="129">
        <v>4.388535787E9</v>
      </c>
      <c r="M7802" s="99">
        <v>1.18</v>
      </c>
      <c r="N7802" s="107"/>
    </row>
    <row r="7803">
      <c r="A7803" s="122" t="s">
        <v>16197</v>
      </c>
      <c r="B7803" s="123">
        <v>1082554.0</v>
      </c>
      <c r="C7803" s="124" t="s">
        <v>16198</v>
      </c>
      <c r="D7803" s="125"/>
      <c r="E7803" s="126">
        <v>213.41</v>
      </c>
      <c r="F7803" s="127"/>
      <c r="G7803" s="127"/>
      <c r="H7803" s="127"/>
      <c r="I7803" s="128"/>
      <c r="K7803" s="105" t="str">
        <f>IFERROR(__xludf.DUMMYFUNCTION("if(A7803="""","""",substitute(SUBSTITUTE(index(importhtml(""http://finviz.com/quote.ashx?t=""&amp;A7803,""table"",10),7,2),""*"",""""),""-"",""0.00""))"),"Loading...")</f>
        <v>Loading...</v>
      </c>
      <c r="L7803" s="129">
        <v>1.0101272027E10</v>
      </c>
      <c r="M7803" s="99">
        <v>0.52</v>
      </c>
      <c r="N7803" s="107"/>
    </row>
    <row r="7804">
      <c r="A7804" s="122" t="s">
        <v>16199</v>
      </c>
      <c r="B7804" s="123">
        <v>1003935.0</v>
      </c>
      <c r="C7804" s="124" t="s">
        <v>15889</v>
      </c>
      <c r="D7804" s="125"/>
      <c r="E7804" s="126">
        <v>213.82</v>
      </c>
      <c r="F7804" s="127"/>
      <c r="G7804" s="127"/>
      <c r="H7804" s="127"/>
      <c r="I7804" s="128"/>
      <c r="K7804" s="105" t="str">
        <f>IFERROR(__xludf.DUMMYFUNCTION("if(A7804="""","""",substitute(SUBSTITUTE(index(importhtml(""http://finviz.com/quote.ashx?t=""&amp;A7804,""table"",10),7,2),""*"",""""),""-"",""0.00""))"),"Loading...")</f>
        <v>Loading...</v>
      </c>
      <c r="L7804" s="129">
        <v>1.3222289279E10</v>
      </c>
      <c r="M7804" s="99">
        <v>0.99</v>
      </c>
      <c r="N7804" s="107"/>
    </row>
    <row r="7805">
      <c r="A7805" s="122" t="s">
        <v>16200</v>
      </c>
      <c r="B7805" s="123">
        <v>1845338.0</v>
      </c>
      <c r="C7805" s="124" t="s">
        <v>16201</v>
      </c>
      <c r="D7805" s="125"/>
      <c r="E7805" s="126">
        <v>214.06</v>
      </c>
      <c r="F7805" s="127"/>
      <c r="G7805" s="127"/>
      <c r="H7805" s="127"/>
      <c r="I7805" s="128"/>
      <c r="K7805" s="105" t="str">
        <f>IFERROR(__xludf.DUMMYFUNCTION("if(A7805="""","""",substitute(SUBSTITUTE(index(importhtml(""http://finviz.com/quote.ashx?t=""&amp;A7805,""table"",10),7,2),""*"",""""),""-"",""0.00""))"),"Loading...")</f>
        <v>Loading...</v>
      </c>
      <c r="L7805" s="129">
        <v>1.0334283672E10</v>
      </c>
      <c r="M7805" s="99">
        <f>IFERROR(__xludf.DUMMYFUNCTION("GOOGLEFINANCE(A7805,""beta"")"),1.24)</f>
        <v>1.24</v>
      </c>
      <c r="N7805" s="107"/>
    </row>
    <row r="7806">
      <c r="A7806" s="122" t="s">
        <v>16202</v>
      </c>
      <c r="B7806" s="123">
        <v>86312.0</v>
      </c>
      <c r="C7806" s="124" t="s">
        <v>16203</v>
      </c>
      <c r="D7806" s="125"/>
      <c r="E7806" s="126">
        <v>214.82</v>
      </c>
      <c r="F7806" s="127"/>
      <c r="G7806" s="127"/>
      <c r="H7806" s="127"/>
      <c r="I7806" s="128"/>
      <c r="K7806" s="105" t="str">
        <f>IFERROR(__xludf.DUMMYFUNCTION("if(A7806="""","""",substitute(SUBSTITUTE(index(importhtml(""http://finviz.com/quote.ashx?t=""&amp;A7806,""table"",10),7,2),""*"",""""),""-"",""0.00""))"),"Loading...")</f>
        <v>Loading...</v>
      </c>
      <c r="L7806" s="129">
        <v>4.9021904189E10</v>
      </c>
      <c r="M7806" s="99">
        <v>0.58</v>
      </c>
      <c r="N7806" s="107"/>
    </row>
    <row r="7807">
      <c r="A7807" s="122" t="s">
        <v>16204</v>
      </c>
      <c r="B7807" s="123">
        <v>1413447.0</v>
      </c>
      <c r="C7807" s="124" t="s">
        <v>16205</v>
      </c>
      <c r="D7807" s="125"/>
      <c r="E7807" s="126">
        <v>214.99</v>
      </c>
      <c r="F7807" s="127"/>
      <c r="G7807" s="127"/>
      <c r="H7807" s="127"/>
      <c r="I7807" s="128"/>
      <c r="K7807" s="105" t="str">
        <f>IFERROR(__xludf.DUMMYFUNCTION("if(A7807="""","""",substitute(SUBSTITUTE(index(importhtml(""http://finviz.com/quote.ashx?t=""&amp;A7807,""table"",10),7,2),""*"",""""),""-"",""0.00""))"),"Loading...")</f>
        <v>Loading...</v>
      </c>
      <c r="L7807" s="129">
        <v>5.5416511783E10</v>
      </c>
      <c r="M7807" s="99">
        <v>1.57</v>
      </c>
      <c r="N7807" s="107"/>
    </row>
    <row r="7808">
      <c r="A7808" s="122" t="s">
        <v>16206</v>
      </c>
      <c r="B7808" s="123">
        <v>927971.0</v>
      </c>
      <c r="C7808" s="124" t="s">
        <v>16207</v>
      </c>
      <c r="D7808" s="125"/>
      <c r="E7808" s="126">
        <v>217.1</v>
      </c>
      <c r="F7808" s="127"/>
      <c r="G7808" s="127"/>
      <c r="H7808" s="127"/>
      <c r="I7808" s="128"/>
      <c r="K7808" s="105" t="str">
        <f>IFERROR(__xludf.DUMMYFUNCTION("if(A7808="""","""",substitute(SUBSTITUTE(index(importhtml(""http://finviz.com/quote.ashx?t=""&amp;A7808,""table"",10),7,2),""*"",""""),""-"",""0.00""))"),"Loading...")</f>
        <v>Loading...</v>
      </c>
      <c r="L7808" s="129">
        <v>6.7808877943E10</v>
      </c>
      <c r="M7808" s="99" t="str">
        <f>IFERROR(__xludf.DUMMYFUNCTION("GOOGLEFINANCE(A7808,""beta"")"),"#N/A")</f>
        <v>#N/A</v>
      </c>
      <c r="N7808" s="107"/>
    </row>
    <row r="7809">
      <c r="A7809" s="122" t="s">
        <v>16208</v>
      </c>
      <c r="B7809" s="123">
        <v>1650372.0</v>
      </c>
      <c r="C7809" s="124" t="s">
        <v>16209</v>
      </c>
      <c r="D7809" s="125"/>
      <c r="E7809" s="126">
        <v>217.39</v>
      </c>
      <c r="F7809" s="127"/>
      <c r="G7809" s="127"/>
      <c r="H7809" s="127"/>
      <c r="I7809" s="128"/>
      <c r="K7809" s="105" t="str">
        <f>IFERROR(__xludf.DUMMYFUNCTION("if(A7809="""","""",substitute(SUBSTITUTE(index(importhtml(""http://finviz.com/quote.ashx?t=""&amp;A7809,""table"",10),7,2),""*"",""""),""-"",""0.00""))"),"Loading...")</f>
        <v>Loading...</v>
      </c>
      <c r="L7809" s="129">
        <v>5.6099402374E10</v>
      </c>
      <c r="M7809" s="99">
        <v>0.7</v>
      </c>
      <c r="N7809" s="107"/>
    </row>
    <row r="7810">
      <c r="A7810" s="122" t="s">
        <v>16210</v>
      </c>
      <c r="B7810" s="123">
        <v>897077.0</v>
      </c>
      <c r="C7810" s="124" t="s">
        <v>16211</v>
      </c>
      <c r="D7810" s="125"/>
      <c r="E7810" s="126">
        <v>217.75</v>
      </c>
      <c r="F7810" s="127"/>
      <c r="G7810" s="127"/>
      <c r="H7810" s="127"/>
      <c r="I7810" s="128"/>
      <c r="K7810" s="55" t="s">
        <v>6789</v>
      </c>
      <c r="L7810" s="129">
        <v>2.615562917E9</v>
      </c>
      <c r="M7810" s="99">
        <v>1.06</v>
      </c>
      <c r="N7810" s="107"/>
    </row>
    <row r="7811">
      <c r="A7811" s="122" t="s">
        <v>16212</v>
      </c>
      <c r="B7811" s="123">
        <v>1609550.0</v>
      </c>
      <c r="C7811" s="124" t="s">
        <v>16213</v>
      </c>
      <c r="D7811" s="125"/>
      <c r="E7811" s="126">
        <v>218.03</v>
      </c>
      <c r="F7811" s="127"/>
      <c r="G7811" s="127"/>
      <c r="H7811" s="127"/>
      <c r="I7811" s="128"/>
      <c r="K7811" s="105" t="str">
        <f>IFERROR(__xludf.DUMMYFUNCTION("if(A7811="""","""",substitute(SUBSTITUTE(index(importhtml(""http://finviz.com/quote.ashx?t=""&amp;A7811,""table"",10),7,2),""*"",""""),""-"",""0.00""))"),"Loading...")</f>
        <v>Loading...</v>
      </c>
      <c r="L7811" s="129">
        <v>6.437156929E9</v>
      </c>
      <c r="M7811" s="99">
        <v>1.42</v>
      </c>
      <c r="N7811" s="107"/>
    </row>
    <row r="7812">
      <c r="A7812" s="122" t="s">
        <v>16214</v>
      </c>
      <c r="B7812" s="123">
        <v>1100682.0</v>
      </c>
      <c r="C7812" s="124" t="s">
        <v>16215</v>
      </c>
      <c r="D7812" s="125"/>
      <c r="E7812" s="126">
        <v>218.17</v>
      </c>
      <c r="F7812" s="127"/>
      <c r="G7812" s="127"/>
      <c r="H7812" s="127"/>
      <c r="I7812" s="128"/>
      <c r="K7812" s="55" t="s">
        <v>1034</v>
      </c>
      <c r="L7812" s="129">
        <v>1.1191422762E10</v>
      </c>
      <c r="M7812" s="99">
        <v>1.38</v>
      </c>
      <c r="N7812" s="107"/>
    </row>
    <row r="7813">
      <c r="A7813" s="122" t="s">
        <v>16216</v>
      </c>
      <c r="B7813" s="123">
        <v>1640147.0</v>
      </c>
      <c r="C7813" s="124" t="s">
        <v>16217</v>
      </c>
      <c r="D7813" s="125"/>
      <c r="E7813" s="126">
        <v>218.76</v>
      </c>
      <c r="F7813" s="127"/>
      <c r="G7813" s="127"/>
      <c r="H7813" s="127"/>
      <c r="I7813" s="128"/>
      <c r="K7813" s="105" t="str">
        <f>IFERROR(__xludf.DUMMYFUNCTION("if(A7813="""","""",substitute(SUBSTITUTE(index(importhtml(""http://finviz.com/quote.ashx?t=""&amp;A7813,""table"",10),7,2),""*"",""""),""-"",""0.00""))"),"Loading...")</f>
        <v>Loading...</v>
      </c>
      <c r="L7813" s="129">
        <v>7.2037644315E10</v>
      </c>
      <c r="M7813" s="99">
        <v>0.97</v>
      </c>
      <c r="N7813" s="107"/>
    </row>
    <row r="7814">
      <c r="A7814" s="122" t="s">
        <v>16218</v>
      </c>
      <c r="B7814" s="123">
        <v>3499.0</v>
      </c>
      <c r="C7814" s="124" t="s">
        <v>16219</v>
      </c>
      <c r="D7814" s="125"/>
      <c r="E7814" s="126">
        <v>219.0</v>
      </c>
      <c r="F7814" s="127"/>
      <c r="G7814" s="127"/>
      <c r="H7814" s="127"/>
      <c r="I7814" s="128"/>
      <c r="K7814" s="55" t="s">
        <v>16220</v>
      </c>
      <c r="L7814" s="129">
        <v>1.118496291E9</v>
      </c>
      <c r="M7814" s="99">
        <v>0.8</v>
      </c>
      <c r="N7814" s="107"/>
    </row>
    <row r="7815">
      <c r="A7815" s="122" t="s">
        <v>16221</v>
      </c>
      <c r="B7815" s="123">
        <v>60667.0</v>
      </c>
      <c r="C7815" s="124" t="s">
        <v>16222</v>
      </c>
      <c r="D7815" s="125"/>
      <c r="E7815" s="126">
        <v>219.49</v>
      </c>
      <c r="F7815" s="127"/>
      <c r="G7815" s="127"/>
      <c r="H7815" s="127"/>
      <c r="I7815" s="128"/>
      <c r="K7815" s="105" t="str">
        <f>IFERROR(__xludf.DUMMYFUNCTION("if(A7815="""","""",substitute(SUBSTITUTE(index(importhtml(""http://finviz.com/quote.ashx?t=""&amp;A7815,""table"",10),7,2),""*"",""""),""-"",""0.00""))"),"Loading...")</f>
        <v>Loading...</v>
      </c>
      <c r="L7815" s="129">
        <v>1.26231401886E11</v>
      </c>
      <c r="M7815" s="99">
        <v>1.12</v>
      </c>
      <c r="N7815" s="107"/>
    </row>
    <row r="7816">
      <c r="A7816" s="122" t="s">
        <v>16223</v>
      </c>
      <c r="B7816" s="123">
        <v>1157601.0</v>
      </c>
      <c r="C7816" s="124" t="s">
        <v>16224</v>
      </c>
      <c r="D7816" s="125"/>
      <c r="E7816" s="126">
        <v>220.28</v>
      </c>
      <c r="F7816" s="127"/>
      <c r="G7816" s="127"/>
      <c r="H7816" s="127"/>
      <c r="I7816" s="128"/>
      <c r="K7816" s="105" t="str">
        <f>IFERROR(__xludf.DUMMYFUNCTION("if(A7816="""","""",substitute(SUBSTITUTE(index(importhtml(""http://finviz.com/quote.ashx?t=""&amp;A7816,""table"",10),7,2),""*"",""""),""-"",""0.00""))"),"Loading...")</f>
        <v>Loading...</v>
      </c>
      <c r="L7816" s="129">
        <v>4.348908715E9</v>
      </c>
      <c r="M7816" s="99">
        <v>-0.48</v>
      </c>
      <c r="N7816" s="107"/>
    </row>
    <row r="7817">
      <c r="A7817" s="122" t="s">
        <v>16225</v>
      </c>
      <c r="B7817" s="123">
        <v>1624794.0</v>
      </c>
      <c r="C7817" s="124" t="s">
        <v>16226</v>
      </c>
      <c r="D7817" s="125"/>
      <c r="E7817" s="126">
        <v>220.44</v>
      </c>
      <c r="F7817" s="127"/>
      <c r="G7817" s="127"/>
      <c r="H7817" s="127"/>
      <c r="I7817" s="128"/>
      <c r="K7817" s="105" t="str">
        <f>IFERROR(__xludf.DUMMYFUNCTION("if(A7817="""","""",substitute(SUBSTITUTE(index(importhtml(""http://finviz.com/quote.ashx?t=""&amp;A7817,""table"",10),7,2),""*"",""""),""-"",""0.00""))"),"Loading...")</f>
        <v>Loading...</v>
      </c>
      <c r="L7817" s="129">
        <v>3.428007367E9</v>
      </c>
      <c r="M7817" s="99">
        <v>0.73</v>
      </c>
      <c r="N7817" s="107"/>
    </row>
    <row r="7818">
      <c r="A7818" s="122" t="s">
        <v>16227</v>
      </c>
      <c r="B7818" s="123">
        <v>832101.0</v>
      </c>
      <c r="C7818" s="124" t="s">
        <v>16228</v>
      </c>
      <c r="D7818" s="125"/>
      <c r="E7818" s="126">
        <v>220.72</v>
      </c>
      <c r="F7818" s="127"/>
      <c r="G7818" s="127"/>
      <c r="H7818" s="127"/>
      <c r="I7818" s="128"/>
      <c r="K7818" s="105" t="str">
        <f>IFERROR(__xludf.DUMMYFUNCTION("if(A7818="""","""",substitute(SUBSTITUTE(index(importhtml(""http://finviz.com/quote.ashx?t=""&amp;A7818,""table"",10),7,2),""*"",""""),""-"",""0.00""))"),"Loading...")</f>
        <v>Loading...</v>
      </c>
      <c r="L7818" s="129">
        <v>1.6692067073E10</v>
      </c>
      <c r="M7818" s="99">
        <v>0.96</v>
      </c>
      <c r="N7818" s="107"/>
    </row>
    <row r="7819">
      <c r="A7819" s="122" t="s">
        <v>16229</v>
      </c>
      <c r="B7819" s="123">
        <v>920148.0</v>
      </c>
      <c r="C7819" s="124" t="s">
        <v>16230</v>
      </c>
      <c r="D7819" s="125"/>
      <c r="E7819" s="126">
        <v>221.54</v>
      </c>
      <c r="F7819" s="127"/>
      <c r="G7819" s="127"/>
      <c r="H7819" s="127"/>
      <c r="I7819" s="128"/>
      <c r="K7819" s="138" t="s">
        <v>16231</v>
      </c>
      <c r="L7819" s="129">
        <v>1.8808743214E10</v>
      </c>
      <c r="M7819" s="99">
        <v>1.04</v>
      </c>
      <c r="N7819" s="107"/>
    </row>
    <row r="7820">
      <c r="A7820" s="122" t="s">
        <v>16232</v>
      </c>
      <c r="B7820" s="123">
        <v>1757898.0</v>
      </c>
      <c r="C7820" s="124" t="s">
        <v>16233</v>
      </c>
      <c r="D7820" s="125"/>
      <c r="E7820" s="126">
        <v>222.19</v>
      </c>
      <c r="F7820" s="127"/>
      <c r="G7820" s="127"/>
      <c r="H7820" s="127"/>
      <c r="I7820" s="128"/>
      <c r="K7820" s="105" t="str">
        <f>IFERROR(__xludf.DUMMYFUNCTION("if(A7820="""","""",substitute(SUBSTITUTE(index(importhtml(""http://finviz.com/quote.ashx?t=""&amp;A7820,""table"",10),7,2),""*"",""""),""-"",""0.00""))"),"Loading...")</f>
        <v>Loading...</v>
      </c>
      <c r="L7820" s="129">
        <v>2.1952403347E10</v>
      </c>
      <c r="M7820" s="99">
        <v>0.8</v>
      </c>
      <c r="N7820" s="107"/>
    </row>
    <row r="7821">
      <c r="A7821" s="122" t="s">
        <v>16234</v>
      </c>
      <c r="B7821" s="123">
        <v>812011.0</v>
      </c>
      <c r="C7821" s="124" t="s">
        <v>16235</v>
      </c>
      <c r="D7821" s="125"/>
      <c r="E7821" s="126">
        <v>222.38</v>
      </c>
      <c r="F7821" s="127"/>
      <c r="G7821" s="127"/>
      <c r="H7821" s="127"/>
      <c r="I7821" s="128"/>
      <c r="K7821" s="105" t="str">
        <f>IFERROR(__xludf.DUMMYFUNCTION("if(A7821="""","""",substitute(SUBSTITUTE(index(importhtml(""http://finviz.com/quote.ashx?t=""&amp;A7821,""table"",10),7,2),""*"",""""),""-"",""0.00""))"),"Loading...")</f>
        <v>Loading...</v>
      </c>
      <c r="L7821" s="129">
        <v>8.44301714E9</v>
      </c>
      <c r="M7821" s="99">
        <v>1.13</v>
      </c>
      <c r="N7821" s="107"/>
    </row>
    <row r="7822">
      <c r="A7822" s="122" t="s">
        <v>16236</v>
      </c>
      <c r="B7822" s="123">
        <v>1639920.0</v>
      </c>
      <c r="C7822" s="124" t="s">
        <v>16237</v>
      </c>
      <c r="D7822" s="125"/>
      <c r="E7822" s="126">
        <v>222.47</v>
      </c>
      <c r="F7822" s="127"/>
      <c r="G7822" s="127"/>
      <c r="H7822" s="127"/>
      <c r="I7822" s="128"/>
      <c r="K7822" s="105" t="str">
        <f>IFERROR(__xludf.DUMMYFUNCTION("if(A7822="""","""",substitute(SUBSTITUTE(index(importhtml(""http://finviz.com/quote.ashx?t=""&amp;A7822,""table"",10),7,2),""*"",""""),""-"",""0.00""))"),"Loading...")</f>
        <v>Loading...</v>
      </c>
      <c r="L7822" s="129">
        <v>4.3412573568E10</v>
      </c>
      <c r="M7822" s="99">
        <v>1.6</v>
      </c>
      <c r="N7822" s="107"/>
    </row>
    <row r="7823">
      <c r="A7823" s="122" t="s">
        <v>16238</v>
      </c>
      <c r="B7823" s="123">
        <v>1408710.0</v>
      </c>
      <c r="C7823" s="124" t="s">
        <v>16239</v>
      </c>
      <c r="D7823" s="125"/>
      <c r="E7823" s="126">
        <v>223.65</v>
      </c>
      <c r="F7823" s="127"/>
      <c r="G7823" s="127"/>
      <c r="H7823" s="127"/>
      <c r="I7823" s="128"/>
      <c r="K7823" s="55" t="s">
        <v>1034</v>
      </c>
      <c r="L7823" s="129">
        <v>8.12539438E9</v>
      </c>
      <c r="M7823" s="99">
        <v>1.06</v>
      </c>
      <c r="N7823" s="107"/>
      <c r="Q7823" s="157" t="str">
        <f t="array" ref="Q7823">IF(A7821 = "Condition1", INDIRECT("!A1"), IF(A7821 = "Condition2", INDIRECT("Tab2!B1"), ""))</f>
        <v/>
      </c>
    </row>
    <row r="7824">
      <c r="A7824" s="122" t="s">
        <v>16240</v>
      </c>
      <c r="B7824" s="123">
        <v>1278021.0</v>
      </c>
      <c r="C7824" s="124" t="s">
        <v>16241</v>
      </c>
      <c r="D7824" s="125"/>
      <c r="E7824" s="126">
        <v>224.71</v>
      </c>
      <c r="F7824" s="127"/>
      <c r="G7824" s="127"/>
      <c r="H7824" s="127"/>
      <c r="I7824" s="128"/>
      <c r="K7824" s="105" t="str">
        <f>IFERROR(__xludf.DUMMYFUNCTION("if(A7824="""","""",substitute(SUBSTITUTE(index(importhtml(""http://finviz.com/quote.ashx?t=""&amp;A7824,""table"",10),7,2),""*"",""""),""-"",""0.00""))"),"Loading...")</f>
        <v>Loading...</v>
      </c>
      <c r="L7824" s="129">
        <v>8.517731676E9</v>
      </c>
      <c r="M7824" s="99">
        <v>1.02</v>
      </c>
      <c r="N7824" s="107"/>
    </row>
    <row r="7825">
      <c r="A7825" s="122" t="s">
        <v>16242</v>
      </c>
      <c r="B7825" s="123">
        <v>1034054.0</v>
      </c>
      <c r="C7825" s="124" t="s">
        <v>16243</v>
      </c>
      <c r="D7825" s="125"/>
      <c r="E7825" s="126">
        <v>224.71</v>
      </c>
      <c r="F7825" s="127"/>
      <c r="G7825" s="127"/>
      <c r="H7825" s="127"/>
      <c r="I7825" s="128"/>
      <c r="K7825" s="105" t="str">
        <f>IFERROR(__xludf.DUMMYFUNCTION("if(A7825="""","""",substitute(SUBSTITUTE(index(importhtml(""http://finviz.com/quote.ashx?t=""&amp;A7825,""table"",10),7,2),""*"",""""),""-"",""0.00""))"),"Loading...")</f>
        <v>Loading...</v>
      </c>
      <c r="L7825" s="129">
        <v>2.4243288494E10</v>
      </c>
      <c r="M7825" s="99">
        <v>0.58</v>
      </c>
      <c r="N7825" s="107"/>
    </row>
    <row r="7826">
      <c r="A7826" s="122" t="s">
        <v>16244</v>
      </c>
      <c r="B7826" s="123">
        <v>320017.0</v>
      </c>
      <c r="C7826" s="124" t="s">
        <v>16245</v>
      </c>
      <c r="D7826" s="125"/>
      <c r="E7826" s="126">
        <v>225.0</v>
      </c>
      <c r="F7826" s="127"/>
      <c r="G7826" s="127"/>
      <c r="H7826" s="127"/>
      <c r="I7826" s="128"/>
      <c r="K7826" s="105" t="str">
        <f>IFERROR(__xludf.DUMMYFUNCTION("if(A7826="""","""",substitute(SUBSTITUTE(index(importhtml(""http://finviz.com/quote.ashx?t=""&amp;A7826,""table"",10),7,2),""*"",""""),""-"",""0.00""))"),"Loading...")</f>
        <v>Loading...</v>
      </c>
      <c r="L7826" s="129">
        <v>8.921574E7</v>
      </c>
      <c r="M7826" s="99" t="str">
        <f>IFERROR(__xludf.DUMMYFUNCTION("GOOGLEFINANCE(A7826,""beta"")"),"#N/A")</f>
        <v>#N/A</v>
      </c>
      <c r="N7826" s="107"/>
    </row>
    <row r="7827">
      <c r="A7827" s="122" t="s">
        <v>16246</v>
      </c>
      <c r="B7827" s="123">
        <v>26324.0</v>
      </c>
      <c r="C7827" s="124" t="s">
        <v>16247</v>
      </c>
      <c r="D7827" s="125"/>
      <c r="E7827" s="126">
        <v>225.88</v>
      </c>
      <c r="F7827" s="127"/>
      <c r="G7827" s="127"/>
      <c r="H7827" s="127"/>
      <c r="I7827" s="128"/>
      <c r="K7827" s="138" t="s">
        <v>7398</v>
      </c>
      <c r="L7827" s="129">
        <v>8.637924701E9</v>
      </c>
      <c r="M7827" s="99">
        <v>1.18</v>
      </c>
      <c r="N7827" s="107"/>
    </row>
    <row r="7828">
      <c r="A7828" s="122" t="s">
        <v>16248</v>
      </c>
      <c r="B7828" s="123">
        <v>913144.0</v>
      </c>
      <c r="C7828" s="124" t="s">
        <v>16249</v>
      </c>
      <c r="D7828" s="125"/>
      <c r="E7828" s="126">
        <v>226.25</v>
      </c>
      <c r="F7828" s="127"/>
      <c r="G7828" s="127"/>
      <c r="H7828" s="127"/>
      <c r="I7828" s="128"/>
      <c r="K7828" s="105" t="str">
        <f>IFERROR(__xludf.DUMMYFUNCTION("if(A7828="""","""",substitute(SUBSTITUTE(index(importhtml(""http://finviz.com/quote.ashx?t=""&amp;A7828,""table"",10),7,2),""*"",""""),""-"",""0.00""))"),"Loading...")</f>
        <v>Loading...</v>
      </c>
      <c r="L7828" s="129">
        <v>1.1921988087E10</v>
      </c>
      <c r="M7828" s="99">
        <v>0.3</v>
      </c>
      <c r="N7828" s="107"/>
    </row>
    <row r="7829">
      <c r="A7829" s="122" t="s">
        <v>16250</v>
      </c>
      <c r="B7829" s="123">
        <v>59527.0</v>
      </c>
      <c r="C7829" s="124" t="s">
        <v>16251</v>
      </c>
      <c r="D7829" s="125"/>
      <c r="E7829" s="126">
        <v>226.5</v>
      </c>
      <c r="F7829" s="127"/>
      <c r="G7829" s="127"/>
      <c r="H7829" s="127"/>
      <c r="I7829" s="128"/>
      <c r="K7829" s="105" t="str">
        <f>IFERROR(__xludf.DUMMYFUNCTION("if(A7829="""","""",substitute(SUBSTITUTE(index(importhtml(""http://finviz.com/quote.ashx?t=""&amp;A7829,""table"",10),7,2),""*"",""""),""-"",""0.00""))"),"Loading...")</f>
        <v>Loading...</v>
      </c>
      <c r="L7829" s="129">
        <v>1.2799588301E10</v>
      </c>
      <c r="M7829" s="99">
        <v>1.17</v>
      </c>
      <c r="N7829" s="107"/>
    </row>
    <row r="7830">
      <c r="A7830" s="122" t="s">
        <v>16252</v>
      </c>
      <c r="B7830" s="123">
        <v>1038357.0</v>
      </c>
      <c r="C7830" s="124" t="s">
        <v>16253</v>
      </c>
      <c r="D7830" s="125"/>
      <c r="E7830" s="126">
        <v>227.47</v>
      </c>
      <c r="F7830" s="127"/>
      <c r="G7830" s="127"/>
      <c r="H7830" s="127"/>
      <c r="I7830" s="128"/>
      <c r="K7830" s="105" t="str">
        <f>IFERROR(__xludf.DUMMYFUNCTION("if(A7830="""","""",substitute(SUBSTITUTE(index(importhtml(""http://finviz.com/quote.ashx?t=""&amp;A7830,""table"",10),7,2),""*"",""""),""-"",""0.00""))"),"Loading...")</f>
        <v>Loading...</v>
      </c>
      <c r="L7830" s="129">
        <v>5.3142246842E10</v>
      </c>
      <c r="M7830" s="99">
        <v>1.28</v>
      </c>
      <c r="N7830" s="107"/>
    </row>
    <row r="7831">
      <c r="A7831" s="122" t="s">
        <v>16254</v>
      </c>
      <c r="B7831" s="123">
        <v>1433195.0</v>
      </c>
      <c r="C7831" s="124" t="s">
        <v>16255</v>
      </c>
      <c r="D7831" s="125"/>
      <c r="E7831" s="126">
        <v>227.77</v>
      </c>
      <c r="F7831" s="127"/>
      <c r="G7831" s="127"/>
      <c r="H7831" s="127"/>
      <c r="I7831" s="128"/>
      <c r="K7831" s="105" t="str">
        <f>IFERROR(__xludf.DUMMYFUNCTION("if(A7831="""","""",substitute(SUBSTITUTE(index(importhtml(""http://finviz.com/quote.ashx?t=""&amp;A7831,""table"",10),7,2),""*"",""""),""-"",""0.00""))"),"Loading...")</f>
        <v>Loading...</v>
      </c>
      <c r="L7831" s="129">
        <v>8.145533669E9</v>
      </c>
      <c r="M7831" s="99">
        <v>0.81</v>
      </c>
      <c r="N7831" s="107"/>
    </row>
    <row r="7832">
      <c r="A7832" s="122" t="s">
        <v>16256</v>
      </c>
      <c r="B7832" s="123">
        <v>102729.0</v>
      </c>
      <c r="C7832" s="124" t="s">
        <v>16257</v>
      </c>
      <c r="D7832" s="125"/>
      <c r="E7832" s="126">
        <v>228.0</v>
      </c>
      <c r="F7832" s="127"/>
      <c r="G7832" s="127"/>
      <c r="H7832" s="127"/>
      <c r="I7832" s="128"/>
      <c r="K7832" s="105" t="str">
        <f>IFERROR(__xludf.DUMMYFUNCTION("if(A7832="""","""",substitute(SUBSTITUTE(index(importhtml(""http://finviz.com/quote.ashx?t=""&amp;A7832,""table"",10),7,2),""*"",""""),""-"",""0.00""))"),"Loading...")</f>
        <v>Loading...</v>
      </c>
      <c r="L7832" s="129">
        <v>4.7630568E9</v>
      </c>
      <c r="M7832" s="99">
        <v>1.05</v>
      </c>
      <c r="N7832" s="107"/>
    </row>
    <row r="7833">
      <c r="A7833" s="122" t="s">
        <v>16258</v>
      </c>
      <c r="B7833" s="123">
        <v>1866907.0</v>
      </c>
      <c r="C7833" s="124" t="s">
        <v>16259</v>
      </c>
      <c r="D7833" s="125"/>
      <c r="E7833" s="126">
        <v>230.0</v>
      </c>
      <c r="F7833" s="137"/>
      <c r="G7833" s="136"/>
      <c r="H7833" s="127"/>
      <c r="I7833" s="128"/>
      <c r="K7833" s="105" t="str">
        <f>IFERROR(__xludf.DUMMYFUNCTION("if(A7833="""","""",substitute(SUBSTITUTE(index(importhtml(""http://finviz.com/quote.ashx?t=""&amp;A7833,""table"",10),7,2),""*"",""""),""-"",""0.00""))"),"Loading...")</f>
        <v>Loading...</v>
      </c>
      <c r="L7833" s="129">
        <v>6.5349026E11</v>
      </c>
      <c r="M7833" s="99" t="str">
        <f>IFERROR(__xludf.DUMMYFUNCTION("GOOGLEFINANCE(A7833,""beta"")"),"#N/A")</f>
        <v>#N/A</v>
      </c>
      <c r="N7833" s="107"/>
    </row>
    <row r="7834">
      <c r="A7834" s="122" t="s">
        <v>16260</v>
      </c>
      <c r="B7834" s="123">
        <v>883237.0</v>
      </c>
      <c r="C7834" s="124" t="s">
        <v>16261</v>
      </c>
      <c r="D7834" s="125"/>
      <c r="E7834" s="126">
        <v>230.98</v>
      </c>
      <c r="F7834" s="127"/>
      <c r="G7834" s="127"/>
      <c r="H7834" s="127"/>
      <c r="I7834" s="128"/>
      <c r="K7834" s="105" t="str">
        <f>IFERROR(__xludf.DUMMYFUNCTION("if(A7834="""","""",substitute(SUBSTITUTE(index(importhtml(""http://finviz.com/quote.ashx?t=""&amp;A7834,""table"",10),7,2),""*"",""""),""-"",""0.00""))"),"Loading...")</f>
        <v>Loading...</v>
      </c>
      <c r="L7834" s="129">
        <v>1.659588497E9</v>
      </c>
      <c r="M7834" s="99">
        <v>1.55</v>
      </c>
      <c r="N7834" s="107"/>
    </row>
    <row r="7835">
      <c r="A7835" s="122" t="s">
        <v>16262</v>
      </c>
      <c r="B7835" s="123">
        <v>1035983.0</v>
      </c>
      <c r="C7835" s="124" t="s">
        <v>16263</v>
      </c>
      <c r="D7835" s="125"/>
      <c r="E7835" s="126">
        <v>231.29</v>
      </c>
      <c r="F7835" s="127"/>
      <c r="G7835" s="127"/>
      <c r="H7835" s="127"/>
      <c r="I7835" s="128"/>
      <c r="K7835" s="55" t="s">
        <v>8509</v>
      </c>
      <c r="L7835" s="129">
        <v>8.260478165E9</v>
      </c>
      <c r="M7835" s="99">
        <v>1.12</v>
      </c>
      <c r="N7835" s="107"/>
    </row>
    <row r="7836">
      <c r="A7836" s="122" t="s">
        <v>16264</v>
      </c>
      <c r="B7836" s="123">
        <v>850460.0</v>
      </c>
      <c r="C7836" s="124" t="s">
        <v>16265</v>
      </c>
      <c r="D7836" s="125"/>
      <c r="E7836" s="126">
        <v>231.74</v>
      </c>
      <c r="F7836" s="127"/>
      <c r="G7836" s="127"/>
      <c r="H7836" s="127"/>
      <c r="I7836" s="128"/>
      <c r="K7836" s="105" t="str">
        <f>IFERROR(__xludf.DUMMYFUNCTION("if(A7836="""","""",substitute(SUBSTITUTE(index(importhtml(""http://finviz.com/quote.ashx?t=""&amp;A7836,""table"",10),7,2),""*"",""""),""-"",""0.00""))"),"Loading...")</f>
        <v>Loading...</v>
      </c>
      <c r="L7836" s="129">
        <v>3.655999848E9</v>
      </c>
      <c r="M7836" s="99">
        <v>1.31</v>
      </c>
      <c r="N7836" s="107"/>
    </row>
    <row r="7837">
      <c r="A7837" s="122" t="s">
        <v>16266</v>
      </c>
      <c r="B7837" s="123">
        <v>1402057.0</v>
      </c>
      <c r="C7837" s="124" t="s">
        <v>16267</v>
      </c>
      <c r="D7837" s="125"/>
      <c r="E7837" s="126">
        <v>232.66</v>
      </c>
      <c r="F7837" s="127"/>
      <c r="G7837" s="127"/>
      <c r="H7837" s="127"/>
      <c r="I7837" s="128"/>
      <c r="K7837" s="55" t="s">
        <v>13441</v>
      </c>
      <c r="L7837" s="129">
        <v>3.1167203888E10</v>
      </c>
      <c r="M7837" s="99">
        <v>1.1</v>
      </c>
      <c r="N7837" s="107"/>
    </row>
    <row r="7838">
      <c r="A7838" s="122" t="s">
        <v>16268</v>
      </c>
      <c r="B7838" s="123">
        <v>354190.0</v>
      </c>
      <c r="C7838" s="124" t="s">
        <v>16269</v>
      </c>
      <c r="D7838" s="125"/>
      <c r="E7838" s="126">
        <v>232.74</v>
      </c>
      <c r="F7838" s="127"/>
      <c r="G7838" s="127"/>
      <c r="H7838" s="127"/>
      <c r="I7838" s="128"/>
      <c r="K7838" s="55" t="s">
        <v>14781</v>
      </c>
      <c r="L7838" s="129">
        <v>5.043150083E10</v>
      </c>
      <c r="M7838" s="99">
        <v>0.69</v>
      </c>
      <c r="N7838" s="107"/>
    </row>
    <row r="7839">
      <c r="A7839" s="122" t="s">
        <v>16270</v>
      </c>
      <c r="B7839" s="123">
        <v>916365.0</v>
      </c>
      <c r="C7839" s="124" t="s">
        <v>16271</v>
      </c>
      <c r="D7839" s="125"/>
      <c r="E7839" s="126">
        <v>232.94</v>
      </c>
      <c r="F7839" s="127"/>
      <c r="G7839" s="127"/>
      <c r="H7839" s="127"/>
      <c r="I7839" s="128"/>
      <c r="K7839" s="105" t="str">
        <f>IFERROR(__xludf.DUMMYFUNCTION("if(A7839="""","""",substitute(SUBSTITUTE(index(importhtml(""http://finviz.com/quote.ashx?t=""&amp;A7839,""table"",10),7,2),""*"",""""),""-"",""0.00""))"),"Loading...")</f>
        <v>Loading...</v>
      </c>
      <c r="L7839" s="129">
        <v>2.5184122011E10</v>
      </c>
      <c r="M7839" s="99">
        <v>0.83</v>
      </c>
      <c r="N7839" s="107"/>
    </row>
    <row r="7840">
      <c r="A7840" s="122" t="s">
        <v>16272</v>
      </c>
      <c r="B7840" s="123">
        <v>1642545.0</v>
      </c>
      <c r="C7840" s="124" t="s">
        <v>16273</v>
      </c>
      <c r="D7840" s="125"/>
      <c r="E7840" s="126">
        <v>233.53</v>
      </c>
      <c r="F7840" s="127"/>
      <c r="G7840" s="127"/>
      <c r="H7840" s="127"/>
      <c r="I7840" s="128"/>
      <c r="K7840" s="105" t="str">
        <f>IFERROR(__xludf.DUMMYFUNCTION("if(A7840="""","""",substitute(SUBSTITUTE(index(importhtml(""http://finviz.com/quote.ashx?t=""&amp;A7840,""table"",10),7,2),""*"",""""),""-"",""0.00""))"),"Loading...")</f>
        <v>Loading...</v>
      </c>
      <c r="L7840" s="129">
        <v>8.616497982E9</v>
      </c>
      <c r="M7840" s="99">
        <v>0.88</v>
      </c>
      <c r="N7840" s="107"/>
    </row>
    <row r="7841">
      <c r="A7841" s="122" t="s">
        <v>16274</v>
      </c>
      <c r="B7841" s="123">
        <v>1475922.0</v>
      </c>
      <c r="C7841" s="124" t="s">
        <v>16275</v>
      </c>
      <c r="D7841" s="125"/>
      <c r="E7841" s="126">
        <v>234.01</v>
      </c>
      <c r="F7841" s="127"/>
      <c r="G7841" s="127"/>
      <c r="H7841" s="127"/>
      <c r="I7841" s="128"/>
      <c r="K7841" s="105" t="str">
        <f>IFERROR(__xludf.DUMMYFUNCTION("if(A7841="""","""",substitute(SUBSTITUTE(index(importhtml(""http://finviz.com/quote.ashx?t=""&amp;A7841,""table"",10),7,2),""*"",""""),""-"",""0.00""))"),"Loading...")</f>
        <v>Loading...</v>
      </c>
      <c r="L7841" s="129">
        <v>8.198296787E9</v>
      </c>
      <c r="M7841" s="99">
        <v>1.07</v>
      </c>
      <c r="N7841" s="107"/>
    </row>
    <row r="7842">
      <c r="A7842" s="122" t="s">
        <v>16276</v>
      </c>
      <c r="B7842" s="123">
        <v>1396009.0</v>
      </c>
      <c r="C7842" s="124" t="s">
        <v>16277</v>
      </c>
      <c r="D7842" s="125"/>
      <c r="E7842" s="126">
        <v>234.44</v>
      </c>
      <c r="F7842" s="127"/>
      <c r="G7842" s="127"/>
      <c r="H7842" s="127"/>
      <c r="I7842" s="128"/>
      <c r="K7842" s="105" t="str">
        <f>IFERROR(__xludf.DUMMYFUNCTION("if(A7842="""","""",substitute(SUBSTITUTE(index(importhtml(""http://finviz.com/quote.ashx?t=""&amp;A7842,""table"",10),7,2),""*"",""""),""-"",""0.00""))"),"Loading...")</f>
        <v>Loading...</v>
      </c>
      <c r="L7842" s="129">
        <v>3.1150816776E10</v>
      </c>
      <c r="M7842" s="99">
        <v>0.81</v>
      </c>
      <c r="N7842" s="107"/>
    </row>
    <row r="7843">
      <c r="A7843" s="122" t="s">
        <v>16278</v>
      </c>
      <c r="B7843" s="123">
        <v>105634.0</v>
      </c>
      <c r="C7843" s="124" t="s">
        <v>16279</v>
      </c>
      <c r="D7843" s="125"/>
      <c r="E7843" s="126">
        <v>235.21</v>
      </c>
      <c r="F7843" s="127"/>
      <c r="G7843" s="127"/>
      <c r="H7843" s="127"/>
      <c r="I7843" s="128"/>
      <c r="K7843" s="55" t="s">
        <v>7666</v>
      </c>
      <c r="L7843" s="129">
        <v>1.10653254E10</v>
      </c>
      <c r="M7843" s="99">
        <v>1.02</v>
      </c>
      <c r="N7843" s="107"/>
    </row>
    <row r="7844">
      <c r="A7844" s="122" t="s">
        <v>16280</v>
      </c>
      <c r="B7844" s="123">
        <v>920522.0</v>
      </c>
      <c r="C7844" s="124" t="s">
        <v>16281</v>
      </c>
      <c r="D7844" s="125"/>
      <c r="E7844" s="126">
        <v>236.02</v>
      </c>
      <c r="F7844" s="127"/>
      <c r="G7844" s="127"/>
      <c r="H7844" s="127"/>
      <c r="I7844" s="128"/>
      <c r="K7844" s="55" t="s">
        <v>16282</v>
      </c>
      <c r="L7844" s="129">
        <v>1.5148847206E10</v>
      </c>
      <c r="M7844" s="99">
        <v>0.79</v>
      </c>
      <c r="N7844" s="107"/>
    </row>
    <row r="7845">
      <c r="A7845" s="122" t="s">
        <v>16283</v>
      </c>
      <c r="B7845" s="123">
        <v>918646.0</v>
      </c>
      <c r="C7845" s="124" t="s">
        <v>16284</v>
      </c>
      <c r="D7845" s="125"/>
      <c r="E7845" s="126">
        <v>236.23</v>
      </c>
      <c r="F7845" s="127"/>
      <c r="G7845" s="127"/>
      <c r="H7845" s="127"/>
      <c r="I7845" s="128"/>
      <c r="K7845" s="55" t="s">
        <v>7515</v>
      </c>
      <c r="L7845" s="129">
        <v>8.138180048E9</v>
      </c>
      <c r="M7845" s="99">
        <v>1.33</v>
      </c>
      <c r="N7845" s="107"/>
    </row>
    <row r="7846">
      <c r="A7846" s="122" t="s">
        <v>16285</v>
      </c>
      <c r="B7846" s="123">
        <v>10795.0</v>
      </c>
      <c r="C7846" s="124" t="s">
        <v>16286</v>
      </c>
      <c r="D7846" s="125"/>
      <c r="E7846" s="126">
        <v>237.19</v>
      </c>
      <c r="F7846" s="127"/>
      <c r="G7846" s="127"/>
      <c r="H7846" s="127"/>
      <c r="I7846" s="128"/>
      <c r="K7846" s="55" t="s">
        <v>16287</v>
      </c>
      <c r="L7846" s="129">
        <v>6.8676515124E10</v>
      </c>
      <c r="M7846" s="99">
        <v>0.43</v>
      </c>
      <c r="N7846" s="107"/>
    </row>
    <row r="7847">
      <c r="A7847" s="122" t="s">
        <v>16288</v>
      </c>
      <c r="B7847" s="123">
        <v>1598110.0</v>
      </c>
      <c r="C7847" s="124" t="s">
        <v>16289</v>
      </c>
      <c r="D7847" s="125"/>
      <c r="E7847" s="126">
        <v>237.41</v>
      </c>
      <c r="F7847" s="127"/>
      <c r="G7847" s="127"/>
      <c r="H7847" s="127"/>
      <c r="I7847" s="128"/>
      <c r="K7847" s="105" t="str">
        <f>IFERROR(__xludf.DUMMYFUNCTION("if(A7847="""","""",substitute(SUBSTITUTE(index(importhtml(""http://finviz.com/quote.ashx?t=""&amp;A7847,""table"",10),7,2),""*"",""""),""-"",""0.00""))"),"Loading...")</f>
        <v>Loading...</v>
      </c>
      <c r="L7847" s="129">
        <v>9.915443047E9</v>
      </c>
      <c r="M7847" s="99">
        <v>1.06</v>
      </c>
      <c r="N7847" s="107"/>
    </row>
    <row r="7848">
      <c r="A7848" s="122" t="s">
        <v>16290</v>
      </c>
      <c r="B7848" s="123">
        <v>874866.0</v>
      </c>
      <c r="C7848" s="124" t="s">
        <v>16291</v>
      </c>
      <c r="D7848" s="125"/>
      <c r="E7848" s="126">
        <v>238.68</v>
      </c>
      <c r="F7848" s="127"/>
      <c r="G7848" s="127"/>
      <c r="H7848" s="127"/>
      <c r="I7848" s="128"/>
      <c r="K7848" s="105" t="str">
        <f>IFERROR(__xludf.DUMMYFUNCTION("if(A7848="""","""",substitute(SUBSTITUTE(index(importhtml(""http://finviz.com/quote.ashx?t=""&amp;A7848,""table"",10),7,2),""*"",""""),""-"",""0.00""))"),"Loading...")</f>
        <v>Loading...</v>
      </c>
      <c r="L7848" s="129">
        <v>4.082824152E9</v>
      </c>
      <c r="M7848" s="99">
        <v>1.08</v>
      </c>
      <c r="N7848" s="107"/>
    </row>
    <row r="7849">
      <c r="A7849" s="122" t="s">
        <v>16292</v>
      </c>
      <c r="B7849" s="123">
        <v>1067837.0</v>
      </c>
      <c r="C7849" s="124" t="s">
        <v>16293</v>
      </c>
      <c r="D7849" s="125"/>
      <c r="E7849" s="126">
        <v>239.1</v>
      </c>
      <c r="F7849" s="127"/>
      <c r="G7849" s="127"/>
      <c r="H7849" s="127"/>
      <c r="I7849" s="128"/>
      <c r="K7849" s="105" t="str">
        <f>IFERROR(__xludf.DUMMYFUNCTION("if(A7849="""","""",substitute(SUBSTITUTE(index(importhtml(""http://finviz.com/quote.ashx?t=""&amp;A7849,""table"",10),7,2),""*"",""""),""-"",""0.00""))"),"Loading...")</f>
        <v>Loading...</v>
      </c>
      <c r="L7849" s="129">
        <v>5.4858581296E10</v>
      </c>
      <c r="M7849" s="99" t="str">
        <f>IFERROR(__xludf.DUMMYFUNCTION("GOOGLEFINANCE(A7849,""beta"")"),"#N/A")</f>
        <v>#N/A</v>
      </c>
      <c r="N7849" s="107"/>
    </row>
    <row r="7850">
      <c r="A7850" s="122" t="s">
        <v>16294</v>
      </c>
      <c r="B7850" s="123">
        <v>1144215.0</v>
      </c>
      <c r="C7850" s="124" t="s">
        <v>16295</v>
      </c>
      <c r="D7850" s="125"/>
      <c r="E7850" s="126">
        <v>239.25</v>
      </c>
      <c r="F7850" s="127"/>
      <c r="G7850" s="127"/>
      <c r="H7850" s="127"/>
      <c r="I7850" s="128"/>
      <c r="K7850" s="55" t="s">
        <v>10055</v>
      </c>
      <c r="L7850" s="129">
        <v>7.372907437E9</v>
      </c>
      <c r="M7850" s="99">
        <v>1.5</v>
      </c>
      <c r="N7850" s="107"/>
    </row>
    <row r="7851">
      <c r="A7851" s="122" t="s">
        <v>16296</v>
      </c>
      <c r="B7851" s="123">
        <v>1048911.0</v>
      </c>
      <c r="C7851" s="124" t="s">
        <v>16297</v>
      </c>
      <c r="D7851" s="125"/>
      <c r="E7851" s="126">
        <v>242.36</v>
      </c>
      <c r="F7851" s="127"/>
      <c r="G7851" s="127"/>
      <c r="H7851" s="127"/>
      <c r="I7851" s="128"/>
      <c r="K7851" s="55" t="s">
        <v>16298</v>
      </c>
      <c r="L7851" s="129">
        <v>6.0563946452E10</v>
      </c>
      <c r="M7851" s="99">
        <v>1.2</v>
      </c>
      <c r="N7851" s="107"/>
    </row>
    <row r="7852">
      <c r="A7852" s="122" t="s">
        <v>16299</v>
      </c>
      <c r="B7852" s="123">
        <v>875045.0</v>
      </c>
      <c r="C7852" s="124" t="s">
        <v>16300</v>
      </c>
      <c r="D7852" s="125"/>
      <c r="E7852" s="126">
        <v>243.72</v>
      </c>
      <c r="F7852" s="127"/>
      <c r="G7852" s="127"/>
      <c r="H7852" s="127"/>
      <c r="I7852" s="128"/>
      <c r="K7852" s="105" t="str">
        <f>IFERROR(__xludf.DUMMYFUNCTION("if(A7852="""","""",substitute(SUBSTITUTE(index(importhtml(""http://finviz.com/quote.ashx?t=""&amp;A7852,""table"",10),7,2),""*"",""""),""-"",""0.00""))"),"Loading...")</f>
        <v>Loading...</v>
      </c>
      <c r="L7852" s="129">
        <v>3.5314565108E10</v>
      </c>
      <c r="M7852" s="99">
        <v>0.0</v>
      </c>
      <c r="N7852" s="107"/>
    </row>
    <row r="7853">
      <c r="A7853" s="122" t="s">
        <v>16301</v>
      </c>
      <c r="B7853" s="123">
        <v>1713683.0</v>
      </c>
      <c r="C7853" s="124" t="s">
        <v>16302</v>
      </c>
      <c r="D7853" s="125"/>
      <c r="E7853" s="126">
        <v>244.0</v>
      </c>
      <c r="F7853" s="127"/>
      <c r="G7853" s="127"/>
      <c r="H7853" s="127"/>
      <c r="I7853" s="128"/>
      <c r="K7853" s="55" t="s">
        <v>1034</v>
      </c>
      <c r="L7853" s="129">
        <v>3.61933496E10</v>
      </c>
      <c r="M7853" s="99">
        <v>0.86</v>
      </c>
      <c r="N7853" s="107"/>
    </row>
    <row r="7854">
      <c r="A7854" s="122" t="s">
        <v>16303</v>
      </c>
      <c r="B7854" s="123">
        <v>26172.0</v>
      </c>
      <c r="C7854" s="124" t="s">
        <v>16304</v>
      </c>
      <c r="D7854" s="125"/>
      <c r="E7854" s="126">
        <v>244.65</v>
      </c>
      <c r="F7854" s="127"/>
      <c r="G7854" s="127"/>
      <c r="H7854" s="127"/>
      <c r="I7854" s="128"/>
      <c r="K7854" s="55" t="s">
        <v>16305</v>
      </c>
      <c r="L7854" s="129">
        <v>3.4677864454E10</v>
      </c>
      <c r="M7854" s="99">
        <v>1.02</v>
      </c>
      <c r="N7854" s="107"/>
    </row>
    <row r="7855">
      <c r="A7855" s="122" t="s">
        <v>16306</v>
      </c>
      <c r="B7855" s="123">
        <v>1048286.0</v>
      </c>
      <c r="C7855" s="124" t="s">
        <v>16307</v>
      </c>
      <c r="D7855" s="125"/>
      <c r="E7855" s="126">
        <v>245.12</v>
      </c>
      <c r="F7855" s="127"/>
      <c r="G7855" s="127"/>
      <c r="H7855" s="127"/>
      <c r="I7855" s="128"/>
      <c r="K7855" s="105" t="str">
        <f>IFERROR(__xludf.DUMMYFUNCTION("if(A7855="""","""",substitute(SUBSTITUTE(index(importhtml(""http://finviz.com/quote.ashx?t=""&amp;A7855,""table"",10),7,2),""*"",""""),""-"",""0.00""))"),"Loading...")</f>
        <v>Loading...</v>
      </c>
      <c r="L7855" s="129">
        <v>7.1989610021E10</v>
      </c>
      <c r="M7855" s="99">
        <v>1.64</v>
      </c>
      <c r="N7855" s="107"/>
    </row>
    <row r="7856">
      <c r="A7856" s="122" t="s">
        <v>16308</v>
      </c>
      <c r="B7856" s="123">
        <v>889331.0</v>
      </c>
      <c r="C7856" s="124" t="s">
        <v>16309</v>
      </c>
      <c r="D7856" s="125"/>
      <c r="E7856" s="126">
        <v>245.39</v>
      </c>
      <c r="F7856" s="127"/>
      <c r="G7856" s="127"/>
      <c r="H7856" s="127"/>
      <c r="I7856" s="128"/>
      <c r="K7856" s="105" t="str">
        <f>IFERROR(__xludf.DUMMYFUNCTION("if(A7856="""","""",substitute(SUBSTITUTE(index(importhtml(""http://finviz.com/quote.ashx?t=""&amp;A7856,""table"",10),7,2),""*"",""""),""-"",""0.00""))"),"Loading...")</f>
        <v>Loading...</v>
      </c>
      <c r="L7856" s="129">
        <v>6.110925069E9</v>
      </c>
      <c r="M7856" s="99">
        <v>1.36</v>
      </c>
      <c r="N7856" s="107"/>
    </row>
    <row r="7857">
      <c r="A7857" s="122" t="s">
        <v>16310</v>
      </c>
      <c r="B7857" s="123">
        <v>96943.0</v>
      </c>
      <c r="C7857" s="124" t="s">
        <v>16311</v>
      </c>
      <c r="D7857" s="125"/>
      <c r="E7857" s="126">
        <v>245.74</v>
      </c>
      <c r="F7857" s="127"/>
      <c r="G7857" s="127"/>
      <c r="H7857" s="127"/>
      <c r="I7857" s="128"/>
      <c r="K7857" s="105" t="str">
        <f>IFERROR(__xludf.DUMMYFUNCTION("if(A7857="""","""",substitute(SUBSTITUTE(index(importhtml(""http://finviz.com/quote.ashx?t=""&amp;A7857,""table"",10),7,2),""*"",""""),""-"",""0.00""))"),"Loading...")</f>
        <v>Loading...</v>
      </c>
      <c r="L7857" s="129">
        <v>1.1547974069E10</v>
      </c>
      <c r="M7857" s="99">
        <v>1.15</v>
      </c>
      <c r="N7857" s="107"/>
    </row>
    <row r="7858">
      <c r="A7858" s="122" t="s">
        <v>16312</v>
      </c>
      <c r="B7858" s="123">
        <v>313616.0</v>
      </c>
      <c r="C7858" s="124" t="s">
        <v>16313</v>
      </c>
      <c r="D7858" s="125"/>
      <c r="E7858" s="126">
        <v>246.33</v>
      </c>
      <c r="F7858" s="127"/>
      <c r="G7858" s="127"/>
      <c r="H7858" s="127"/>
      <c r="I7858" s="128"/>
      <c r="K7858" s="55" t="s">
        <v>16314</v>
      </c>
      <c r="L7858" s="129">
        <v>1.82019889263E11</v>
      </c>
      <c r="M7858" s="99">
        <v>0.85</v>
      </c>
      <c r="N7858" s="107"/>
    </row>
    <row r="7859">
      <c r="A7859" s="122" t="s">
        <v>16315</v>
      </c>
      <c r="B7859" s="123">
        <v>877212.0</v>
      </c>
      <c r="C7859" s="124" t="s">
        <v>16316</v>
      </c>
      <c r="D7859" s="125"/>
      <c r="E7859" s="126">
        <v>246.48</v>
      </c>
      <c r="F7859" s="127"/>
      <c r="G7859" s="127"/>
      <c r="H7859" s="127"/>
      <c r="I7859" s="128"/>
      <c r="K7859" s="105" t="str">
        <f>IFERROR(__xludf.DUMMYFUNCTION("if(A7859="""","""",substitute(SUBSTITUTE(index(importhtml(""http://finviz.com/quote.ashx?t=""&amp;A7859,""table"",10),7,2),""*"",""""),""-"",""0.00""))"),"Loading...")</f>
        <v>Loading...</v>
      </c>
      <c r="L7859" s="129">
        <v>1.2659113988E10</v>
      </c>
      <c r="M7859" s="99">
        <v>1.78</v>
      </c>
      <c r="N7859" s="107"/>
    </row>
    <row r="7860">
      <c r="A7860" s="122" t="s">
        <v>16317</v>
      </c>
      <c r="B7860" s="123">
        <v>896159.0</v>
      </c>
      <c r="C7860" s="124" t="s">
        <v>16318</v>
      </c>
      <c r="D7860" s="125"/>
      <c r="E7860" s="126">
        <v>246.69</v>
      </c>
      <c r="F7860" s="127"/>
      <c r="G7860" s="127"/>
      <c r="H7860" s="127"/>
      <c r="I7860" s="128"/>
      <c r="K7860" s="138" t="s">
        <v>16319</v>
      </c>
      <c r="L7860" s="129">
        <v>1.00647029427E11</v>
      </c>
      <c r="M7860" s="99">
        <v>0.62</v>
      </c>
      <c r="N7860" s="107"/>
    </row>
    <row r="7861">
      <c r="A7861" s="122" t="s">
        <v>16320</v>
      </c>
      <c r="B7861" s="123">
        <v>1442145.0</v>
      </c>
      <c r="C7861" s="124" t="s">
        <v>16321</v>
      </c>
      <c r="D7861" s="125"/>
      <c r="E7861" s="126">
        <v>247.78</v>
      </c>
      <c r="F7861" s="127"/>
      <c r="G7861" s="127"/>
      <c r="H7861" s="127"/>
      <c r="I7861" s="128"/>
      <c r="K7861" s="105" t="str">
        <f>IFERROR(__xludf.DUMMYFUNCTION("if(A7861="""","""",substitute(SUBSTITUTE(index(importhtml(""http://finviz.com/quote.ashx?t=""&amp;A7861,""table"",10),7,2),""*"",""""),""-"",""0.00""))"),"Loading...")</f>
        <v>Loading...</v>
      </c>
      <c r="L7861" s="129">
        <v>3.5924754793E10</v>
      </c>
      <c r="M7861" s="99">
        <v>0.8</v>
      </c>
      <c r="N7861" s="107"/>
    </row>
    <row r="7862">
      <c r="A7862" s="122" t="s">
        <v>16322</v>
      </c>
      <c r="B7862" s="123">
        <v>100885.0</v>
      </c>
      <c r="C7862" s="124" t="s">
        <v>16323</v>
      </c>
      <c r="D7862" s="125"/>
      <c r="E7862" s="126">
        <v>248.33</v>
      </c>
      <c r="F7862" s="127"/>
      <c r="G7862" s="127"/>
      <c r="H7862" s="127"/>
      <c r="I7862" s="128"/>
      <c r="K7862" s="105" t="str">
        <f>IFERROR(__xludf.DUMMYFUNCTION("if(A7862="""","""",substitute(SUBSTITUTE(index(importhtml(""http://finviz.com/quote.ashx?t=""&amp;A7862,""table"",10),7,2),""*"",""""),""-"",""0.00""))"),"Loading...")</f>
        <v>Loading...</v>
      </c>
      <c r="L7862" s="129">
        <v>1.51381373124E11</v>
      </c>
      <c r="M7862" s="99">
        <v>1.08</v>
      </c>
      <c r="N7862" s="107"/>
    </row>
    <row r="7863">
      <c r="A7863" s="122" t="s">
        <v>16324</v>
      </c>
      <c r="B7863" s="123">
        <v>8670.0</v>
      </c>
      <c r="C7863" s="124" t="s">
        <v>16325</v>
      </c>
      <c r="D7863" s="125"/>
      <c r="E7863" s="126">
        <v>248.81</v>
      </c>
      <c r="F7863" s="127"/>
      <c r="G7863" s="127"/>
      <c r="H7863" s="127"/>
      <c r="I7863" s="128"/>
      <c r="K7863" s="55" t="s">
        <v>16326</v>
      </c>
      <c r="L7863" s="129">
        <v>1.02336746283E11</v>
      </c>
      <c r="M7863" s="99">
        <v>0.8</v>
      </c>
      <c r="N7863" s="107"/>
    </row>
    <row r="7864">
      <c r="A7864" s="122" t="s">
        <v>16327</v>
      </c>
      <c r="B7864" s="123">
        <v>1557860.0</v>
      </c>
      <c r="C7864" s="124" t="s">
        <v>16328</v>
      </c>
      <c r="D7864" s="125"/>
      <c r="E7864" s="126">
        <v>249.69</v>
      </c>
      <c r="F7864" s="127"/>
      <c r="G7864" s="127"/>
      <c r="H7864" s="127"/>
      <c r="I7864" s="128"/>
      <c r="K7864" s="105" t="str">
        <f>IFERROR(__xludf.DUMMYFUNCTION("if(A7864="""","""",substitute(SUBSTITUTE(index(importhtml(""http://finviz.com/quote.ashx?t=""&amp;A7864,""table"",10),7,2),""*"",""""),""-"",""0.00""))"),"Loading...")</f>
        <v>Loading...</v>
      </c>
      <c r="L7864" s="129">
        <v>1.0595527837E10</v>
      </c>
      <c r="M7864" s="99">
        <v>1.39</v>
      </c>
      <c r="N7864" s="107"/>
    </row>
    <row r="7865">
      <c r="A7865" s="122" t="s">
        <v>16329</v>
      </c>
      <c r="B7865" s="123">
        <v>33185.0</v>
      </c>
      <c r="C7865" s="124" t="s">
        <v>16330</v>
      </c>
      <c r="D7865" s="125"/>
      <c r="E7865" s="126">
        <v>249.9</v>
      </c>
      <c r="F7865" s="127"/>
      <c r="G7865" s="127"/>
      <c r="H7865" s="127"/>
      <c r="I7865" s="128"/>
      <c r="K7865" s="55" t="s">
        <v>9715</v>
      </c>
      <c r="L7865" s="129">
        <v>3.0791852577E10</v>
      </c>
      <c r="M7865" s="99">
        <v>1.5</v>
      </c>
      <c r="N7865" s="107"/>
    </row>
    <row r="7866">
      <c r="A7866" s="122" t="s">
        <v>16331</v>
      </c>
      <c r="B7866" s="123">
        <v>82020.0</v>
      </c>
      <c r="C7866" s="124" t="s">
        <v>16332</v>
      </c>
      <c r="D7866" s="125"/>
      <c r="E7866" s="126">
        <v>250.02</v>
      </c>
      <c r="F7866" s="127"/>
      <c r="G7866" s="127"/>
      <c r="H7866" s="127"/>
      <c r="I7866" s="128"/>
      <c r="K7866" s="105" t="str">
        <f>IFERROR(__xludf.DUMMYFUNCTION("if(A7866="""","""",substitute(SUBSTITUTE(index(importhtml(""http://finviz.com/quote.ashx?t=""&amp;A7866,""table"",10),7,2),""*"",""""),""-"",""0.00""))"),"Loading...")</f>
        <v>Loading...</v>
      </c>
      <c r="L7866" s="129">
        <v>1.401794072E9</v>
      </c>
      <c r="M7866" s="99">
        <v>0.81</v>
      </c>
      <c r="N7866" s="107"/>
    </row>
    <row r="7867">
      <c r="A7867" s="122" t="s">
        <v>16333</v>
      </c>
      <c r="B7867" s="123">
        <v>1140536.0</v>
      </c>
      <c r="C7867" s="124" t="s">
        <v>16334</v>
      </c>
      <c r="D7867" s="125"/>
      <c r="E7867" s="126">
        <v>250.45</v>
      </c>
      <c r="F7867" s="127"/>
      <c r="G7867" s="127"/>
      <c r="H7867" s="127"/>
      <c r="I7867" s="128"/>
      <c r="K7867" s="105" t="str">
        <f>IFERROR(__xludf.DUMMYFUNCTION("if(A7867="""","""",substitute(SUBSTITUTE(index(importhtml(""http://finviz.com/quote.ashx?t=""&amp;A7867,""table"",10),7,2),""*"",""""),""-"",""0.00""))"),"Loading...")</f>
        <v>Loading...</v>
      </c>
      <c r="L7867" s="129">
        <v>1.6854706255E10</v>
      </c>
      <c r="M7867" s="99">
        <v>0.72</v>
      </c>
      <c r="N7867" s="107"/>
    </row>
    <row r="7868">
      <c r="A7868" s="122" t="s">
        <v>16335</v>
      </c>
      <c r="B7868" s="123">
        <v>1056696.0</v>
      </c>
      <c r="C7868" s="124" t="s">
        <v>16336</v>
      </c>
      <c r="D7868" s="125"/>
      <c r="E7868" s="126">
        <v>250.56</v>
      </c>
      <c r="F7868" s="127"/>
      <c r="G7868" s="127"/>
      <c r="H7868" s="127"/>
      <c r="I7868" s="128"/>
      <c r="K7868" s="105" t="str">
        <f>IFERROR(__xludf.DUMMYFUNCTION("if(A7868="""","""",substitute(SUBSTITUTE(index(importhtml(""http://finviz.com/quote.ashx?t=""&amp;A7868,""table"",10),7,2),""*"",""""),""-"",""0.00""))"),"Loading...")</f>
        <v>Loading...</v>
      </c>
      <c r="L7868" s="129">
        <v>1.542598182E10</v>
      </c>
      <c r="M7868" s="99">
        <v>1.46</v>
      </c>
      <c r="N7868" s="107"/>
    </row>
    <row r="7869">
      <c r="A7869" s="122" t="s">
        <v>16337</v>
      </c>
      <c r="B7869" s="123">
        <v>16918.0</v>
      </c>
      <c r="C7869" s="124" t="s">
        <v>16338</v>
      </c>
      <c r="D7869" s="125"/>
      <c r="E7869" s="126">
        <v>250.59</v>
      </c>
      <c r="F7869" s="127"/>
      <c r="G7869" s="127"/>
      <c r="H7869" s="127"/>
      <c r="I7869" s="128"/>
      <c r="K7869" s="105" t="str">
        <f>IFERROR(__xludf.DUMMYFUNCTION("if(A7869="""","""",substitute(SUBSTITUTE(index(importhtml(""http://finviz.com/quote.ashx?t=""&amp;A7869,""table"",10),7,2),""*"",""""),""-"",""0.00""))"),"Loading...")</f>
        <v>Loading...</v>
      </c>
      <c r="L7869" s="129">
        <v>4.5806949206E10</v>
      </c>
      <c r="M7869" s="99">
        <v>0.96</v>
      </c>
      <c r="N7869" s="107"/>
    </row>
    <row r="7870">
      <c r="A7870" s="122" t="s">
        <v>16339</v>
      </c>
      <c r="B7870" s="123">
        <v>702165.0</v>
      </c>
      <c r="C7870" s="124" t="s">
        <v>16340</v>
      </c>
      <c r="D7870" s="125"/>
      <c r="E7870" s="126">
        <v>251.08</v>
      </c>
      <c r="F7870" s="127"/>
      <c r="G7870" s="127"/>
      <c r="H7870" s="127"/>
      <c r="I7870" s="128"/>
      <c r="K7870" s="105" t="str">
        <f>IFERROR(__xludf.DUMMYFUNCTION("if(A7870="""","""",substitute(SUBSTITUTE(index(importhtml(""http://finviz.com/quote.ashx?t=""&amp;A7870,""table"",10),7,2),""*"",""""),""-"",""0.00""))"),"Loading...")</f>
        <v>Loading...</v>
      </c>
      <c r="L7870" s="129">
        <v>5.6664036109E10</v>
      </c>
      <c r="M7870" s="99">
        <v>1.3</v>
      </c>
      <c r="N7870" s="107"/>
    </row>
    <row r="7871">
      <c r="A7871" s="122" t="s">
        <v>16341</v>
      </c>
      <c r="B7871" s="123">
        <v>1397911.0</v>
      </c>
      <c r="C7871" s="124" t="s">
        <v>16342</v>
      </c>
      <c r="D7871" s="125"/>
      <c r="E7871" s="126">
        <v>251.21</v>
      </c>
      <c r="F7871" s="127"/>
      <c r="G7871" s="127"/>
      <c r="H7871" s="127"/>
      <c r="I7871" s="128"/>
      <c r="K7871" s="105" t="str">
        <f>IFERROR(__xludf.DUMMYFUNCTION("if(A7871="""","""",substitute(SUBSTITUTE(index(importhtml(""http://finviz.com/quote.ashx?t=""&amp;A7871,""table"",10),7,2),""*"",""""),""-"",""0.00""))"),"Loading...")</f>
        <v>Loading...</v>
      </c>
      <c r="L7871" s="129">
        <v>1.8996641385E10</v>
      </c>
      <c r="M7871" s="99">
        <v>0.83</v>
      </c>
      <c r="N7871" s="107"/>
    </row>
    <row r="7872">
      <c r="A7872" s="122" t="s">
        <v>16343</v>
      </c>
      <c r="B7872" s="123">
        <v>1321732.0</v>
      </c>
      <c r="C7872" s="124" t="s">
        <v>16344</v>
      </c>
      <c r="D7872" s="125"/>
      <c r="E7872" s="126">
        <v>252.01</v>
      </c>
      <c r="F7872" s="127"/>
      <c r="G7872" s="127"/>
      <c r="H7872" s="127"/>
      <c r="I7872" s="128"/>
      <c r="K7872" s="105" t="str">
        <f>IFERROR(__xludf.DUMMYFUNCTION("if(A7872="""","""",substitute(SUBSTITUTE(index(importhtml(""http://finviz.com/quote.ashx?t=""&amp;A7872,""table"",10),7,2),""*"",""""),""-"",""0.00""))"),"Loading...")</f>
        <v>Loading...</v>
      </c>
      <c r="L7872" s="129">
        <v>9.726668471E9</v>
      </c>
      <c r="M7872" s="99">
        <v>0.54</v>
      </c>
      <c r="N7872" s="107"/>
    </row>
    <row r="7873">
      <c r="A7873" s="122" t="s">
        <v>16345</v>
      </c>
      <c r="B7873" s="123">
        <v>1528849.0</v>
      </c>
      <c r="C7873" s="124" t="s">
        <v>16346</v>
      </c>
      <c r="D7873" s="125"/>
      <c r="E7873" s="126">
        <v>256.03</v>
      </c>
      <c r="F7873" s="127"/>
      <c r="G7873" s="127"/>
      <c r="H7873" s="127"/>
      <c r="I7873" s="128"/>
      <c r="K7873" s="55" t="s">
        <v>1034</v>
      </c>
      <c r="L7873" s="129">
        <v>4.66471552E9</v>
      </c>
      <c r="M7873" s="99">
        <v>2.44</v>
      </c>
      <c r="N7873" s="107"/>
    </row>
    <row r="7874">
      <c r="A7874" s="122" t="s">
        <v>16347</v>
      </c>
      <c r="B7874" s="123">
        <v>49826.0</v>
      </c>
      <c r="C7874" s="124" t="s">
        <v>16348</v>
      </c>
      <c r="D7874" s="125"/>
      <c r="E7874" s="126">
        <v>256.06</v>
      </c>
      <c r="F7874" s="127"/>
      <c r="G7874" s="127"/>
      <c r="H7874" s="127"/>
      <c r="I7874" s="128"/>
      <c r="K7874" s="105" t="str">
        <f>IFERROR(__xludf.DUMMYFUNCTION("if(A7874="""","""",substitute(SUBSTITUTE(index(importhtml(""http://finviz.com/quote.ashx?t=""&amp;A7874,""table"",10),7,2),""*"",""""),""-"",""0.00""))"),"Loading...")</f>
        <v>Loading...</v>
      </c>
      <c r="L7874" s="129">
        <v>7.7044817213E10</v>
      </c>
      <c r="M7874" s="99">
        <v>1.15</v>
      </c>
      <c r="N7874" s="107"/>
    </row>
    <row r="7875">
      <c r="A7875" s="122" t="s">
        <v>16349</v>
      </c>
      <c r="B7875" s="123">
        <v>769397.0</v>
      </c>
      <c r="C7875" s="124" t="s">
        <v>16293</v>
      </c>
      <c r="D7875" s="125"/>
      <c r="E7875" s="126">
        <v>256.45</v>
      </c>
      <c r="F7875" s="127"/>
      <c r="G7875" s="127"/>
      <c r="H7875" s="127"/>
      <c r="I7875" s="128"/>
      <c r="K7875" s="105" t="str">
        <f>IFERROR(__xludf.DUMMYFUNCTION("if(A7875="""","""",substitute(SUBSTITUTE(index(importhtml(""http://finviz.com/quote.ashx?t=""&amp;A7875,""table"",10),7,2),""*"",""""),""-"",""0.00""))"),"Loading...")</f>
        <v>Loading...</v>
      </c>
      <c r="L7875" s="129">
        <v>5.4858581296E10</v>
      </c>
      <c r="M7875" s="99">
        <v>1.45</v>
      </c>
      <c r="N7875" s="107"/>
    </row>
    <row r="7876">
      <c r="A7876" s="122" t="s">
        <v>16350</v>
      </c>
      <c r="B7876" s="123">
        <v>72331.0</v>
      </c>
      <c r="C7876" s="124" t="s">
        <v>16351</v>
      </c>
      <c r="D7876" s="125"/>
      <c r="E7876" s="126">
        <v>256.7</v>
      </c>
      <c r="F7876" s="127"/>
      <c r="G7876" s="127"/>
      <c r="H7876" s="127"/>
      <c r="I7876" s="128"/>
      <c r="K7876" s="105" t="str">
        <f>IFERROR(__xludf.DUMMYFUNCTION("if(A7876="""","""",substitute(SUBSTITUTE(index(importhtml(""http://finviz.com/quote.ashx?t=""&amp;A7876,""table"",10),7,2),""*"",""""),""-"",""0.00""))"),"Loading...")</f>
        <v>Loading...</v>
      </c>
      <c r="L7876" s="129">
        <v>1.4661552114E10</v>
      </c>
      <c r="M7876" s="99">
        <v>1.0</v>
      </c>
      <c r="N7876" s="107"/>
    </row>
    <row r="7877">
      <c r="A7877" s="122" t="s">
        <v>16352</v>
      </c>
      <c r="B7877" s="123">
        <v>1069183.0</v>
      </c>
      <c r="C7877" s="124" t="s">
        <v>16353</v>
      </c>
      <c r="D7877" s="125"/>
      <c r="E7877" s="126">
        <v>256.99</v>
      </c>
      <c r="F7877" s="127"/>
      <c r="G7877" s="127"/>
      <c r="H7877" s="127"/>
      <c r="I7877" s="128"/>
      <c r="K7877" s="105" t="str">
        <f>IFERROR(__xludf.DUMMYFUNCTION("if(A7877="""","""",substitute(SUBSTITUTE(index(importhtml(""http://finviz.com/quote.ashx?t=""&amp;A7877,""table"",10),7,2),""*"",""""),""-"",""0.00""))"),"Loading...")</f>
        <v>Loading...</v>
      </c>
      <c r="L7877" s="129">
        <v>1.893578E10</v>
      </c>
      <c r="M7877" s="99">
        <v>0.62</v>
      </c>
      <c r="N7877" s="107"/>
    </row>
    <row r="7878">
      <c r="A7878" s="122" t="s">
        <v>16354</v>
      </c>
      <c r="B7878" s="123">
        <v>2969.0</v>
      </c>
      <c r="C7878" s="124" t="s">
        <v>16355</v>
      </c>
      <c r="D7878" s="125"/>
      <c r="E7878" s="126">
        <v>258.17</v>
      </c>
      <c r="F7878" s="127"/>
      <c r="G7878" s="127"/>
      <c r="H7878" s="127"/>
      <c r="I7878" s="128"/>
      <c r="K7878" s="55" t="s">
        <v>16356</v>
      </c>
      <c r="L7878" s="129">
        <v>5.7372631561E10</v>
      </c>
      <c r="M7878" s="99">
        <v>0.85</v>
      </c>
      <c r="N7878" s="107"/>
    </row>
    <row r="7879">
      <c r="A7879" s="122" t="s">
        <v>16357</v>
      </c>
      <c r="B7879" s="123">
        <v>1060955.0</v>
      </c>
      <c r="C7879" s="124" t="s">
        <v>16358</v>
      </c>
      <c r="D7879" s="125"/>
      <c r="E7879" s="126">
        <v>260.5</v>
      </c>
      <c r="F7879" s="127"/>
      <c r="G7879" s="127"/>
      <c r="H7879" s="127"/>
      <c r="I7879" s="128"/>
      <c r="K7879" s="105" t="str">
        <f>IFERROR(__xludf.DUMMYFUNCTION("if(A7879="""","""",substitute(SUBSTITUTE(index(importhtml(""http://finviz.com/quote.ashx?t=""&amp;A7879,""table"",10),7,2),""*"",""""),""-"",""0.00""))"),"Loading...")</f>
        <v>Loading...</v>
      </c>
      <c r="L7879" s="129">
        <v>2.144617829E10</v>
      </c>
      <c r="M7879" s="99">
        <v>1.1</v>
      </c>
      <c r="N7879" s="107"/>
    </row>
    <row r="7880">
      <c r="A7880" s="122" t="s">
        <v>16359</v>
      </c>
      <c r="B7880" s="123">
        <v>40533.0</v>
      </c>
      <c r="C7880" s="124" t="s">
        <v>16360</v>
      </c>
      <c r="D7880" s="125"/>
      <c r="E7880" s="126">
        <v>265.27</v>
      </c>
      <c r="F7880" s="127"/>
      <c r="G7880" s="127"/>
      <c r="H7880" s="127"/>
      <c r="I7880" s="128"/>
      <c r="K7880" s="138" t="s">
        <v>16361</v>
      </c>
      <c r="L7880" s="129">
        <v>7.2391331137E10</v>
      </c>
      <c r="M7880" s="99">
        <v>0.68</v>
      </c>
      <c r="N7880" s="107"/>
    </row>
    <row r="7881">
      <c r="A7881" s="122" t="s">
        <v>16362</v>
      </c>
      <c r="B7881" s="123">
        <v>105132.0</v>
      </c>
      <c r="C7881" s="124" t="s">
        <v>16363</v>
      </c>
      <c r="D7881" s="125"/>
      <c r="E7881" s="126">
        <v>265.8</v>
      </c>
      <c r="F7881" s="127"/>
      <c r="G7881" s="127"/>
      <c r="H7881" s="127"/>
      <c r="I7881" s="128"/>
      <c r="K7881" s="105" t="str">
        <f>IFERROR(__xludf.DUMMYFUNCTION("if(A7881="""","""",substitute(SUBSTITUTE(index(importhtml(""http://finviz.com/quote.ashx?t=""&amp;A7881,""table"",10),7,2),""*"",""""),""-"",""0.00""))"),"Loading...")</f>
        <v>Loading...</v>
      </c>
      <c r="L7881" s="129">
        <v>3.604755512E9</v>
      </c>
      <c r="M7881" s="99">
        <v>-0.07</v>
      </c>
      <c r="N7881" s="107"/>
    </row>
    <row r="7882">
      <c r="A7882" s="122" t="s">
        <v>16364</v>
      </c>
      <c r="B7882" s="123">
        <v>1363829.0</v>
      </c>
      <c r="C7882" s="124" t="s">
        <v>16365</v>
      </c>
      <c r="D7882" s="125"/>
      <c r="E7882" s="126">
        <v>267.51</v>
      </c>
      <c r="F7882" s="127"/>
      <c r="G7882" s="127"/>
      <c r="H7882" s="127"/>
      <c r="I7882" s="128"/>
      <c r="K7882" s="105" t="str">
        <f>IFERROR(__xludf.DUMMYFUNCTION("if(A7882="""","""",substitute(SUBSTITUTE(index(importhtml(""http://finviz.com/quote.ashx?t=""&amp;A7882,""table"",10),7,2),""*"",""""),""-"",""0.00""))"),"Loading...")</f>
        <v>Loading...</v>
      </c>
      <c r="L7882" s="129">
        <v>4.290678649E9</v>
      </c>
      <c r="M7882" s="99">
        <v>0.63</v>
      </c>
      <c r="N7882" s="107"/>
    </row>
    <row r="7883">
      <c r="A7883" s="122" t="s">
        <v>16366</v>
      </c>
      <c r="B7883" s="123">
        <v>1031203.0</v>
      </c>
      <c r="C7883" s="124" t="s">
        <v>16367</v>
      </c>
      <c r="D7883" s="125"/>
      <c r="E7883" s="126">
        <v>267.66</v>
      </c>
      <c r="F7883" s="127"/>
      <c r="G7883" s="127"/>
      <c r="H7883" s="127"/>
      <c r="I7883" s="128"/>
      <c r="K7883" s="105" t="str">
        <f>IFERROR(__xludf.DUMMYFUNCTION("if(A7883="""","""",substitute(SUBSTITUTE(index(importhtml(""http://finviz.com/quote.ashx?t=""&amp;A7883,""table"",10),7,2),""*"",""""),""-"",""0.00""))"),"Loading...")</f>
        <v>Loading...</v>
      </c>
      <c r="L7883" s="129">
        <v>3.699794639E9</v>
      </c>
      <c r="M7883" s="99">
        <v>1.42</v>
      </c>
      <c r="N7883" s="107"/>
    </row>
    <row r="7884">
      <c r="A7884" s="122" t="s">
        <v>16368</v>
      </c>
      <c r="B7884" s="123">
        <v>1024478.0</v>
      </c>
      <c r="C7884" s="124" t="s">
        <v>16369</v>
      </c>
      <c r="D7884" s="125"/>
      <c r="E7884" s="126">
        <v>268.01</v>
      </c>
      <c r="F7884" s="127"/>
      <c r="G7884" s="127"/>
      <c r="H7884" s="127"/>
      <c r="I7884" s="128"/>
      <c r="K7884" s="105" t="str">
        <f>IFERROR(__xludf.DUMMYFUNCTION("if(A7884="""","""",substitute(SUBSTITUTE(index(importhtml(""http://finviz.com/quote.ashx?t=""&amp;A7884,""table"",10),7,2),""*"",""""),""-"",""0.00""))"),"Loading...")</f>
        <v>Loading...</v>
      </c>
      <c r="L7884" s="129">
        <v>3.0709042535E10</v>
      </c>
      <c r="M7884" s="99">
        <v>1.42</v>
      </c>
      <c r="N7884" s="107"/>
    </row>
    <row r="7885">
      <c r="A7885" s="122" t="s">
        <v>16370</v>
      </c>
      <c r="B7885" s="123">
        <v>1501585.0</v>
      </c>
      <c r="C7885" s="124" t="s">
        <v>16371</v>
      </c>
      <c r="D7885" s="125"/>
      <c r="E7885" s="126">
        <v>268.5</v>
      </c>
      <c r="F7885" s="127"/>
      <c r="G7885" s="127"/>
      <c r="H7885" s="127"/>
      <c r="I7885" s="128"/>
      <c r="K7885" s="105" t="str">
        <f>IFERROR(__xludf.DUMMYFUNCTION("if(A7885="""","""",substitute(SUBSTITUTE(index(importhtml(""http://finviz.com/quote.ashx?t=""&amp;A7885,""table"",10),7,2),""*"",""""),""-"",""0.00""))"),"Loading...")</f>
        <v>Loading...</v>
      </c>
      <c r="L7885" s="129">
        <v>1.066574901E10</v>
      </c>
      <c r="M7885" s="99">
        <v>0.58</v>
      </c>
      <c r="N7885" s="107"/>
    </row>
    <row r="7886">
      <c r="A7886" s="122" t="s">
        <v>16372</v>
      </c>
      <c r="B7886" s="123">
        <v>1551182.0</v>
      </c>
      <c r="C7886" s="124" t="s">
        <v>16373</v>
      </c>
      <c r="D7886" s="125"/>
      <c r="E7886" s="126">
        <v>270.1</v>
      </c>
      <c r="F7886" s="127"/>
      <c r="G7886" s="127"/>
      <c r="H7886" s="127"/>
      <c r="I7886" s="128"/>
      <c r="K7886" s="55" t="s">
        <v>16374</v>
      </c>
      <c r="L7886" s="129">
        <v>1.07850905427E11</v>
      </c>
      <c r="M7886" s="99">
        <v>1.04</v>
      </c>
      <c r="N7886" s="107"/>
    </row>
    <row r="7887">
      <c r="A7887" s="122" t="s">
        <v>16375</v>
      </c>
      <c r="B7887" s="123">
        <v>1596532.0</v>
      </c>
      <c r="C7887" s="124" t="s">
        <v>16376</v>
      </c>
      <c r="D7887" s="125"/>
      <c r="E7887" s="126">
        <v>273.1</v>
      </c>
      <c r="F7887" s="127"/>
      <c r="G7887" s="127"/>
      <c r="H7887" s="127"/>
      <c r="I7887" s="128"/>
      <c r="K7887" s="105" t="str">
        <f>IFERROR(__xludf.DUMMYFUNCTION("if(A7887="""","""",substitute(SUBSTITUTE(index(importhtml(""http://finviz.com/quote.ashx?t=""&amp;A7887,""table"",10),7,2),""*"",""""),""-"",""0.00""))"),"Loading...")</f>
        <v>Loading...</v>
      </c>
      <c r="L7887" s="129">
        <v>8.4961439208E10</v>
      </c>
      <c r="M7887" s="99">
        <v>1.13</v>
      </c>
    </row>
    <row r="7888">
      <c r="A7888" s="122" t="s">
        <v>16377</v>
      </c>
      <c r="B7888" s="123">
        <v>1097149.0</v>
      </c>
      <c r="C7888" s="124" t="s">
        <v>16378</v>
      </c>
      <c r="D7888" s="125"/>
      <c r="E7888" s="126">
        <v>273.9</v>
      </c>
      <c r="F7888" s="127"/>
      <c r="G7888" s="127"/>
      <c r="H7888" s="127"/>
      <c r="I7888" s="128"/>
      <c r="K7888" s="105" t="str">
        <f>IFERROR(__xludf.DUMMYFUNCTION("if(A7888="""","""",substitute(SUBSTITUTE(index(importhtml(""http://finviz.com/quote.ashx?t=""&amp;A7888,""table"",10),7,2),""*"",""""),""-"",""0.00""))"),"Loading...")</f>
        <v>Loading...</v>
      </c>
      <c r="L7888" s="129">
        <v>2.0977754022E10</v>
      </c>
      <c r="M7888" s="99">
        <v>1.64</v>
      </c>
      <c r="N7888" s="107"/>
    </row>
    <row r="7889">
      <c r="A7889" s="122" t="s">
        <v>16379</v>
      </c>
      <c r="B7889" s="123">
        <v>726958.0</v>
      </c>
      <c r="C7889" s="124" t="s">
        <v>16380</v>
      </c>
      <c r="D7889" s="125"/>
      <c r="E7889" s="126">
        <v>275.06</v>
      </c>
      <c r="F7889" s="127"/>
      <c r="G7889" s="127"/>
      <c r="H7889" s="127"/>
      <c r="I7889" s="128"/>
      <c r="K7889" s="105" t="str">
        <f>IFERROR(__xludf.DUMMYFUNCTION("if(A7889="""","""",substitute(SUBSTITUTE(index(importhtml(""http://finviz.com/quote.ashx?t=""&amp;A7889,""table"",10),7,2),""*"",""""),""-"",""0.00""))"),"Loading...")</f>
        <v>Loading...</v>
      </c>
      <c r="L7889" s="129">
        <v>1.0207102427E10</v>
      </c>
      <c r="M7889" s="99">
        <v>0.81</v>
      </c>
      <c r="N7889" s="107"/>
    </row>
    <row r="7890">
      <c r="A7890" s="122" t="s">
        <v>16381</v>
      </c>
      <c r="B7890" s="123">
        <v>1434265.0</v>
      </c>
      <c r="C7890" s="124" t="s">
        <v>16382</v>
      </c>
      <c r="D7890" s="125"/>
      <c r="E7890" s="126">
        <v>276.27</v>
      </c>
      <c r="F7890" s="127"/>
      <c r="G7890" s="127"/>
      <c r="H7890" s="127"/>
      <c r="I7890" s="128"/>
      <c r="K7890" s="105" t="str">
        <f>IFERROR(__xludf.DUMMYFUNCTION("if(A7890="""","""",substitute(SUBSTITUTE(index(importhtml(""http://finviz.com/quote.ashx?t=""&amp;A7890,""table"",10),7,2),""*"",""""),""-"",""0.00""))"),"Loading...")</f>
        <v>Loading...</v>
      </c>
      <c r="L7890" s="129">
        <v>1.8166593381E10</v>
      </c>
      <c r="M7890" s="99">
        <v>1.02</v>
      </c>
      <c r="N7890" s="107"/>
    </row>
    <row r="7891">
      <c r="A7891" s="122" t="s">
        <v>16383</v>
      </c>
      <c r="B7891" s="123">
        <v>1466258.0</v>
      </c>
      <c r="C7891" s="124" t="s">
        <v>16384</v>
      </c>
      <c r="D7891" s="125"/>
      <c r="E7891" s="126">
        <v>276.78</v>
      </c>
      <c r="F7891" s="127"/>
      <c r="G7891" s="127"/>
      <c r="H7891" s="127"/>
      <c r="I7891" s="128"/>
      <c r="K7891" s="55" t="s">
        <v>13765</v>
      </c>
      <c r="L7891" s="129">
        <v>6.2983198504E10</v>
      </c>
      <c r="M7891" s="99">
        <v>1.07</v>
      </c>
      <c r="N7891" s="107"/>
    </row>
    <row r="7892">
      <c r="A7892" s="122" t="s">
        <v>16385</v>
      </c>
      <c r="B7892" s="123">
        <v>1403161.0</v>
      </c>
      <c r="C7892" s="124" t="s">
        <v>16386</v>
      </c>
      <c r="D7892" s="125"/>
      <c r="E7892" s="126">
        <v>277.18</v>
      </c>
      <c r="F7892" s="140"/>
      <c r="G7892" s="136"/>
      <c r="H7892" s="127"/>
      <c r="I7892" s="128"/>
      <c r="K7892" s="138" t="s">
        <v>14288</v>
      </c>
      <c r="L7892" s="129">
        <v>5.56845181165E11</v>
      </c>
      <c r="M7892" s="99">
        <v>0.97</v>
      </c>
      <c r="N7892" s="107"/>
    </row>
    <row r="7893">
      <c r="A7893" s="122" t="s">
        <v>16387</v>
      </c>
      <c r="B7893" s="123">
        <v>1289419.0</v>
      </c>
      <c r="C7893" s="124" t="s">
        <v>16388</v>
      </c>
      <c r="D7893" s="125"/>
      <c r="E7893" s="126">
        <v>277.96</v>
      </c>
      <c r="F7893" s="127"/>
      <c r="G7893" s="127"/>
      <c r="H7893" s="127"/>
      <c r="I7893" s="128"/>
      <c r="K7893" s="105" t="str">
        <f>IFERROR(__xludf.DUMMYFUNCTION("if(A7893="""","""",substitute(SUBSTITUTE(index(importhtml(""http://finviz.com/quote.ashx?t=""&amp;A7893,""table"",10),7,2),""*"",""""),""-"",""0.00""))"),"Loading...")</f>
        <v>Loading...</v>
      </c>
      <c r="L7893" s="129">
        <v>1.1868833263E10</v>
      </c>
      <c r="M7893" s="99">
        <v>1.14</v>
      </c>
      <c r="N7893" s="107"/>
    </row>
    <row r="7894">
      <c r="A7894" s="122" t="s">
        <v>16389</v>
      </c>
      <c r="B7894" s="123">
        <v>1854458.0</v>
      </c>
      <c r="C7894" s="124" t="s">
        <v>16390</v>
      </c>
      <c r="D7894" s="125"/>
      <c r="E7894" s="126">
        <v>279.2</v>
      </c>
      <c r="F7894" s="127"/>
      <c r="G7894" s="127"/>
      <c r="H7894" s="127"/>
      <c r="I7894" s="128"/>
      <c r="K7894" s="105" t="str">
        <f>IFERROR(__xludf.DUMMYFUNCTION("if(A7894="""","""",substitute(SUBSTITUTE(index(importhtml(""http://finviz.com/quote.ashx?t=""&amp;A7894,""table"",10),7,2),""*"",""""),""-"",""0.00""))"),"Loading...")</f>
        <v>Loading...</v>
      </c>
      <c r="L7894" s="129">
        <v>1.397E10</v>
      </c>
      <c r="M7894" s="99" t="str">
        <f>IFERROR(__xludf.DUMMYFUNCTION("GOOGLEFINANCE(A7894,""beta"")"),"#N/A")</f>
        <v>#N/A</v>
      </c>
      <c r="N7894" s="107"/>
    </row>
    <row r="7895">
      <c r="A7895" s="122" t="s">
        <v>16391</v>
      </c>
      <c r="B7895" s="123">
        <v>1393311.0</v>
      </c>
      <c r="C7895" s="124" t="s">
        <v>16392</v>
      </c>
      <c r="D7895" s="125"/>
      <c r="E7895" s="126">
        <v>280.56</v>
      </c>
      <c r="F7895" s="127"/>
      <c r="G7895" s="127"/>
      <c r="H7895" s="127"/>
      <c r="I7895" s="128"/>
      <c r="K7895" s="105" t="str">
        <f>IFERROR(__xludf.DUMMYFUNCTION("if(A7895="""","""",substitute(SUBSTITUTE(index(importhtml(""http://finviz.com/quote.ashx?t=""&amp;A7895,""table"",10),7,2),""*"",""""),""-"",""0.00""))"),"Loading...")</f>
        <v>Loading...</v>
      </c>
      <c r="L7895" s="129">
        <v>4.9332575786E10</v>
      </c>
      <c r="M7895" s="99">
        <v>0.56</v>
      </c>
      <c r="N7895" s="107"/>
    </row>
    <row r="7896">
      <c r="A7896" s="122" t="s">
        <v>16393</v>
      </c>
      <c r="B7896" s="123">
        <v>1108524.0</v>
      </c>
      <c r="C7896" s="124" t="s">
        <v>16394</v>
      </c>
      <c r="D7896" s="125"/>
      <c r="E7896" s="126">
        <v>285.66</v>
      </c>
      <c r="F7896" s="127"/>
      <c r="G7896" s="127"/>
      <c r="H7896" s="127"/>
      <c r="I7896" s="128"/>
      <c r="K7896" s="55" t="s">
        <v>1034</v>
      </c>
      <c r="L7896" s="129">
        <v>2.76518883544E11</v>
      </c>
      <c r="M7896" s="99">
        <v>1.28</v>
      </c>
      <c r="N7896" s="107"/>
    </row>
    <row r="7897">
      <c r="A7897" s="122" t="s">
        <v>16395</v>
      </c>
      <c r="B7897" s="123">
        <v>1636222.0</v>
      </c>
      <c r="C7897" s="124" t="s">
        <v>16396</v>
      </c>
      <c r="D7897" s="125"/>
      <c r="E7897" s="126">
        <v>287.77</v>
      </c>
      <c r="F7897" s="127"/>
      <c r="G7897" s="127"/>
      <c r="H7897" s="127"/>
      <c r="I7897" s="128"/>
      <c r="K7897" s="105" t="str">
        <f>IFERROR(__xludf.DUMMYFUNCTION("if(A7897="""","""",substitute(SUBSTITUTE(index(importhtml(""http://finviz.com/quote.ashx?t=""&amp;A7897,""table"",10),7,2),""*"",""""),""-"",""0.00""))"),"Loading...")</f>
        <v>Loading...</v>
      </c>
      <c r="L7897" s="129" t="e">
        <v>#N/A</v>
      </c>
      <c r="M7897" s="99">
        <f>IFERROR(__xludf.DUMMYFUNCTION("GOOGLEFINANCE(A7897,""beta"")"),1.74)</f>
        <v>1.74</v>
      </c>
      <c r="N7897" s="107"/>
    </row>
    <row r="7898">
      <c r="A7898" s="122" t="s">
        <v>16397</v>
      </c>
      <c r="B7898" s="123">
        <v>861884.0</v>
      </c>
      <c r="C7898" s="124" t="s">
        <v>16398</v>
      </c>
      <c r="D7898" s="125"/>
      <c r="E7898" s="126">
        <v>290.14</v>
      </c>
      <c r="F7898" s="127"/>
      <c r="G7898" s="127"/>
      <c r="H7898" s="127"/>
      <c r="I7898" s="128"/>
      <c r="K7898" s="55" t="s">
        <v>16399</v>
      </c>
      <c r="L7898" s="129">
        <v>1.6674703514E10</v>
      </c>
      <c r="M7898" s="99">
        <v>0.86</v>
      </c>
      <c r="N7898" s="107"/>
    </row>
    <row r="7899">
      <c r="A7899" s="122" t="s">
        <v>16400</v>
      </c>
      <c r="B7899" s="123">
        <v>1352010.0</v>
      </c>
      <c r="C7899" s="124" t="s">
        <v>16401</v>
      </c>
      <c r="D7899" s="125"/>
      <c r="E7899" s="126">
        <v>290.32</v>
      </c>
      <c r="F7899" s="127"/>
      <c r="G7899" s="127"/>
      <c r="H7899" s="127"/>
      <c r="I7899" s="128"/>
      <c r="K7899" s="105" t="str">
        <f>IFERROR(__xludf.DUMMYFUNCTION("if(A7899="""","""",substitute(SUBSTITUTE(index(importhtml(""http://finviz.com/quote.ashx?t=""&amp;A7899,""table"",10),7,2),""*"",""""),""-"",""0.00""))"),"Loading...")</f>
        <v>Loading...</v>
      </c>
      <c r="L7899" s="129">
        <v>1.6751597969E10</v>
      </c>
      <c r="M7899" s="99">
        <v>1.46</v>
      </c>
      <c r="N7899" s="107"/>
    </row>
    <row r="7900">
      <c r="A7900" s="122" t="s">
        <v>16402</v>
      </c>
      <c r="B7900" s="123">
        <v>315293.0</v>
      </c>
      <c r="C7900" s="124" t="s">
        <v>16403</v>
      </c>
      <c r="D7900" s="125"/>
      <c r="E7900" s="126">
        <v>292.4</v>
      </c>
      <c r="F7900" s="127"/>
      <c r="G7900" s="127"/>
      <c r="H7900" s="127"/>
      <c r="I7900" s="128"/>
      <c r="K7900" s="55" t="s">
        <v>16404</v>
      </c>
      <c r="L7900" s="129">
        <v>5.8543244897E10</v>
      </c>
      <c r="M7900" s="99">
        <v>0.86</v>
      </c>
      <c r="N7900" s="107"/>
    </row>
    <row r="7901">
      <c r="A7901" s="122" t="s">
        <v>16405</v>
      </c>
      <c r="B7901" s="123">
        <v>91440.0</v>
      </c>
      <c r="C7901" s="124" t="s">
        <v>16406</v>
      </c>
      <c r="D7901" s="125"/>
      <c r="E7901" s="126">
        <v>292.61</v>
      </c>
      <c r="F7901" s="127"/>
      <c r="G7901" s="127"/>
      <c r="H7901" s="127"/>
      <c r="I7901" s="128"/>
      <c r="K7901" s="105" t="str">
        <f>IFERROR(__xludf.DUMMYFUNCTION("if(A7901="""","""",substitute(SUBSTITUTE(index(importhtml(""http://finviz.com/quote.ashx?t=""&amp;A7901,""table"",10),7,2),""*"",""""),""-"",""0.00""))"),"Loading...")</f>
        <v>Loading...</v>
      </c>
      <c r="L7901" s="129">
        <v>1.5443943322E10</v>
      </c>
      <c r="M7901" s="99">
        <v>1.0</v>
      </c>
      <c r="N7901" s="107"/>
    </row>
    <row r="7902">
      <c r="A7902" s="122" t="s">
        <v>16407</v>
      </c>
      <c r="B7902" s="123">
        <v>1327811.0</v>
      </c>
      <c r="C7902" s="124" t="s">
        <v>16408</v>
      </c>
      <c r="D7902" s="125"/>
      <c r="E7902" s="126">
        <v>294.74</v>
      </c>
      <c r="F7902" s="127"/>
      <c r="G7902" s="127"/>
      <c r="H7902" s="127"/>
      <c r="I7902" s="128"/>
      <c r="K7902" s="105" t="str">
        <f>IFERROR(__xludf.DUMMYFUNCTION("if(A7902="""","""",substitute(SUBSTITUTE(index(importhtml(""http://finviz.com/quote.ashx?t=""&amp;A7902,""table"",10),7,2),""*"",""""),""-"",""0.00""))"),"Loading...")</f>
        <v>Loading...</v>
      </c>
      <c r="L7902" s="129">
        <v>7.7516617431E10</v>
      </c>
      <c r="M7902" s="99">
        <v>1.35</v>
      </c>
      <c r="N7902" s="107"/>
    </row>
    <row r="7903">
      <c r="A7903" s="122" t="s">
        <v>16409</v>
      </c>
      <c r="B7903" s="123">
        <v>886346.0</v>
      </c>
      <c r="C7903" s="124" t="s">
        <v>16410</v>
      </c>
      <c r="D7903" s="125"/>
      <c r="E7903" s="126">
        <v>295.12</v>
      </c>
      <c r="F7903" s="127"/>
      <c r="G7903" s="127"/>
      <c r="H7903" s="127"/>
      <c r="I7903" s="128"/>
      <c r="K7903" s="105" t="str">
        <f>IFERROR(__xludf.DUMMYFUNCTION("if(A7903="""","""",substitute(SUBSTITUTE(index(importhtml(""http://finviz.com/quote.ashx?t=""&amp;A7903,""table"",10),7,2),""*"",""""),""-"",""0.00""))"),"Loading...")</f>
        <v>Loading...</v>
      </c>
      <c r="L7903" s="129">
        <v>3.454996343E9</v>
      </c>
      <c r="M7903" s="99">
        <v>1.25</v>
      </c>
      <c r="N7903" s="107"/>
    </row>
    <row r="7904">
      <c r="A7904" s="122" t="s">
        <v>16411</v>
      </c>
      <c r="B7904" s="123">
        <v>1668397.0</v>
      </c>
      <c r="C7904" s="124" t="s">
        <v>16412</v>
      </c>
      <c r="D7904" s="125"/>
      <c r="E7904" s="126">
        <v>295.63</v>
      </c>
      <c r="F7904" s="127"/>
      <c r="G7904" s="127"/>
      <c r="H7904" s="127"/>
      <c r="I7904" s="128"/>
      <c r="K7904" s="105" t="str">
        <f>IFERROR(__xludf.DUMMYFUNCTION("if(A7904="""","""",substitute(SUBSTITUTE(index(importhtml(""http://finviz.com/quote.ashx?t=""&amp;A7904,""table"",10),7,2),""*"",""""),""-"",""0.00""))"),"Loading...")</f>
        <v>Loading...</v>
      </c>
      <c r="L7904" s="129">
        <v>9.07094256E9</v>
      </c>
      <c r="M7904" s="99">
        <v>1.29</v>
      </c>
      <c r="N7904" s="107"/>
    </row>
    <row r="7905">
      <c r="A7905" s="122" t="s">
        <v>16413</v>
      </c>
      <c r="B7905" s="123">
        <v>1175454.0</v>
      </c>
      <c r="C7905" s="124" t="s">
        <v>16414</v>
      </c>
      <c r="D7905" s="125"/>
      <c r="E7905" s="126">
        <v>295.95</v>
      </c>
      <c r="F7905" s="127"/>
      <c r="G7905" s="127"/>
      <c r="H7905" s="127"/>
      <c r="I7905" s="128"/>
      <c r="K7905" s="55" t="s">
        <v>1034</v>
      </c>
      <c r="L7905" s="129">
        <v>2.1368816114E10</v>
      </c>
      <c r="M7905" s="99">
        <v>1.26</v>
      </c>
      <c r="N7905" s="107"/>
    </row>
    <row r="7906">
      <c r="A7906" s="122" t="s">
        <v>16415</v>
      </c>
      <c r="B7906" s="123">
        <v>813672.0</v>
      </c>
      <c r="C7906" s="124" t="s">
        <v>16416</v>
      </c>
      <c r="D7906" s="125"/>
      <c r="E7906" s="126">
        <v>296.55</v>
      </c>
      <c r="F7906" s="127"/>
      <c r="G7906" s="127"/>
      <c r="H7906" s="127"/>
      <c r="I7906" s="128"/>
      <c r="K7906" s="105" t="str">
        <f>IFERROR(__xludf.DUMMYFUNCTION("if(A7906="""","""",substitute(SUBSTITUTE(index(importhtml(""http://finviz.com/quote.ashx?t=""&amp;A7906,""table"",10),7,2),""*"",""""),""-"",""0.00""))"),"Loading...")</f>
        <v>Loading...</v>
      </c>
      <c r="L7906" s="129">
        <v>8.0679953123E10</v>
      </c>
      <c r="M7906" s="99">
        <v>1.07</v>
      </c>
      <c r="N7906" s="107"/>
    </row>
    <row r="7907">
      <c r="A7907" s="122" t="s">
        <v>16417</v>
      </c>
      <c r="B7907" s="123">
        <v>63908.0</v>
      </c>
      <c r="C7907" s="124" t="s">
        <v>16418</v>
      </c>
      <c r="D7907" s="125"/>
      <c r="E7907" s="126">
        <v>297.05</v>
      </c>
      <c r="F7907" s="127"/>
      <c r="G7907" s="127"/>
      <c r="H7907" s="127"/>
      <c r="I7907" s="128"/>
      <c r="K7907" s="105" t="str">
        <f>IFERROR(__xludf.DUMMYFUNCTION("if(A7907="""","""",substitute(SUBSTITUTE(index(importhtml(""http://finviz.com/quote.ashx?t=""&amp;A7907,""table"",10),7,2),""*"",""""),""-"",""0.00""))"),"Loading...")</f>
        <v>Loading...</v>
      </c>
      <c r="L7907" s="129">
        <v>2.1546286195E11</v>
      </c>
      <c r="M7907" s="99">
        <v>0.73</v>
      </c>
      <c r="N7907" s="107"/>
    </row>
    <row r="7908">
      <c r="A7908" s="122" t="s">
        <v>16419</v>
      </c>
      <c r="B7908" s="123">
        <v>1023128.0</v>
      </c>
      <c r="C7908" s="124" t="s">
        <v>16420</v>
      </c>
      <c r="D7908" s="125"/>
      <c r="E7908" s="126">
        <v>297.68</v>
      </c>
      <c r="F7908" s="127"/>
      <c r="G7908" s="127"/>
      <c r="H7908" s="127"/>
      <c r="I7908" s="128"/>
      <c r="K7908" s="105" t="str">
        <f>IFERROR(__xludf.DUMMYFUNCTION("if(A7908="""","""",substitute(SUBSTITUTE(index(importhtml(""http://finviz.com/quote.ashx?t=""&amp;A7908,""table"",10),7,2),""*"",""""),""-"",""0.00""))"),"Loading...")</f>
        <v>Loading...</v>
      </c>
      <c r="L7908" s="129">
        <v>8.192013488E9</v>
      </c>
      <c r="M7908" s="99">
        <v>1.6</v>
      </c>
      <c r="N7908" s="107"/>
    </row>
    <row r="7909">
      <c r="A7909" s="122" t="s">
        <v>16421</v>
      </c>
      <c r="B7909" s="123">
        <v>927971.0</v>
      </c>
      <c r="C7909" s="124" t="s">
        <v>16422</v>
      </c>
      <c r="D7909" s="125"/>
      <c r="E7909" s="126">
        <v>300.75</v>
      </c>
      <c r="F7909" s="127"/>
      <c r="G7909" s="127"/>
      <c r="H7909" s="127"/>
      <c r="I7909" s="128"/>
      <c r="K7909" s="105" t="str">
        <f>IFERROR(__xludf.DUMMYFUNCTION("if(A7909="""","""",substitute(SUBSTITUTE(index(importhtml(""http://finviz.com/quote.ashx?t=""&amp;A7909,""table"",10),7,2),""*"",""""),""-"",""0.00""))"),"Loading...")</f>
        <v>Loading...</v>
      </c>
      <c r="L7909" s="129">
        <v>6.7808877943E10</v>
      </c>
      <c r="M7909" s="99" t="str">
        <f>IFERROR(__xludf.DUMMYFUNCTION("GOOGLEFINANCE(A7909,""beta"")"),"#N/A")</f>
        <v>#N/A</v>
      </c>
      <c r="N7909" s="107"/>
    </row>
    <row r="7910">
      <c r="A7910" s="122" t="s">
        <v>16423</v>
      </c>
      <c r="B7910" s="123">
        <v>1123452.0</v>
      </c>
      <c r="C7910" s="124" t="s">
        <v>16424</v>
      </c>
      <c r="D7910" s="125"/>
      <c r="E7910" s="126">
        <v>303.28</v>
      </c>
      <c r="F7910" s="127"/>
      <c r="G7910" s="127"/>
      <c r="H7910" s="127"/>
      <c r="I7910" s="128"/>
      <c r="K7910" s="55" t="s">
        <v>16425</v>
      </c>
      <c r="L7910" s="129">
        <v>9.085707695E9</v>
      </c>
      <c r="M7910" s="99">
        <v>1.18</v>
      </c>
      <c r="N7910" s="107"/>
    </row>
    <row r="7911">
      <c r="A7911" s="122" t="s">
        <v>16426</v>
      </c>
      <c r="B7911" s="123">
        <v>1535527.0</v>
      </c>
      <c r="C7911" s="124" t="s">
        <v>16427</v>
      </c>
      <c r="D7911" s="125"/>
      <c r="E7911" s="126">
        <v>303.57</v>
      </c>
      <c r="F7911" s="127"/>
      <c r="G7911" s="127"/>
      <c r="H7911" s="127"/>
      <c r="I7911" s="128"/>
      <c r="K7911" s="105" t="str">
        <f>IFERROR(__xludf.DUMMYFUNCTION("if(A7911="""","""",substitute(SUBSTITUTE(index(importhtml(""http://finviz.com/quote.ashx?t=""&amp;A7911,""table"",10),7,2),""*"",""""),""-"",""0.00""))"),"Loading...")</f>
        <v>Loading...</v>
      </c>
      <c r="L7911" s="129">
        <v>7.2900758694E10</v>
      </c>
      <c r="M7911" s="99">
        <v>1.06</v>
      </c>
      <c r="N7911" s="107"/>
    </row>
    <row r="7912">
      <c r="A7912" s="122" t="s">
        <v>16428</v>
      </c>
      <c r="B7912" s="123">
        <v>860730.0</v>
      </c>
      <c r="C7912" s="124" t="s">
        <v>16429</v>
      </c>
      <c r="D7912" s="125"/>
      <c r="E7912" s="126">
        <v>309.42</v>
      </c>
      <c r="F7912" s="127"/>
      <c r="G7912" s="127"/>
      <c r="H7912" s="127"/>
      <c r="I7912" s="128"/>
      <c r="K7912" s="105" t="str">
        <f>IFERROR(__xludf.DUMMYFUNCTION("if(A7912="""","""",substitute(SUBSTITUTE(index(importhtml(""http://finviz.com/quote.ashx?t=""&amp;A7912,""table"",10),7,2),""*"",""""),""-"",""0.00""))"),"Loading...")</f>
        <v>Loading...</v>
      </c>
      <c r="L7912" s="129">
        <v>8.281960833E10</v>
      </c>
      <c r="M7912" s="99">
        <v>1.65</v>
      </c>
    </row>
    <row r="7913">
      <c r="A7913" s="122" t="s">
        <v>16430</v>
      </c>
      <c r="B7913" s="123">
        <v>89800.0</v>
      </c>
      <c r="C7913" s="124" t="s">
        <v>16431</v>
      </c>
      <c r="D7913" s="125"/>
      <c r="E7913" s="126">
        <v>309.99</v>
      </c>
      <c r="F7913" s="127"/>
      <c r="G7913" s="127"/>
      <c r="H7913" s="127"/>
      <c r="I7913" s="128"/>
      <c r="K7913" s="105" t="str">
        <f>IFERROR(__xludf.DUMMYFUNCTION("if(A7913="""","""",substitute(SUBSTITUTE(index(importhtml(""http://finviz.com/quote.ashx?t=""&amp;A7913,""table"",10),7,2),""*"",""""),""-"",""0.00""))"),"Loading...")</f>
        <v>Loading...</v>
      </c>
      <c r="L7913" s="129">
        <v>7.934689784E10</v>
      </c>
      <c r="M7913" s="99">
        <v>1.14</v>
      </c>
      <c r="N7913" s="107"/>
    </row>
    <row r="7914">
      <c r="A7914" s="122" t="s">
        <v>16432</v>
      </c>
      <c r="B7914" s="123">
        <v>1771917.0</v>
      </c>
      <c r="C7914" s="124" t="s">
        <v>16433</v>
      </c>
      <c r="D7914" s="125"/>
      <c r="E7914" s="126">
        <v>314.88</v>
      </c>
      <c r="F7914" s="127"/>
      <c r="G7914" s="127"/>
      <c r="H7914" s="127"/>
      <c r="I7914" s="128"/>
      <c r="K7914" s="105" t="str">
        <f>IFERROR(__xludf.DUMMYFUNCTION("if(A7914="""","""",substitute(SUBSTITUTE(index(importhtml(""http://finviz.com/quote.ashx?t=""&amp;A7914,""table"",10),7,2),""*"",""""),""-"",""0.00""))"),"Loading...")</f>
        <v>Loading...</v>
      </c>
      <c r="L7914" s="129">
        <v>1.1931930655E10</v>
      </c>
      <c r="M7914" s="99">
        <v>1.22</v>
      </c>
      <c r="N7914" s="107"/>
    </row>
    <row r="7915">
      <c r="A7915" s="122" t="s">
        <v>16434</v>
      </c>
      <c r="B7915" s="123">
        <v>18230.0</v>
      </c>
      <c r="C7915" s="124" t="s">
        <v>16435</v>
      </c>
      <c r="D7915" s="125"/>
      <c r="E7915" s="126">
        <v>315.09</v>
      </c>
      <c r="F7915" s="127"/>
      <c r="G7915" s="127"/>
      <c r="H7915" s="127"/>
      <c r="I7915" s="128"/>
      <c r="K7915" s="55" t="s">
        <v>16436</v>
      </c>
      <c r="L7915" s="129">
        <v>1.60407496258E11</v>
      </c>
      <c r="M7915" s="99">
        <v>1.15</v>
      </c>
      <c r="N7915" s="107"/>
    </row>
    <row r="7916">
      <c r="A7916" s="122" t="s">
        <v>16437</v>
      </c>
      <c r="B7916" s="123">
        <v>783412.0</v>
      </c>
      <c r="C7916" s="124" t="s">
        <v>16438</v>
      </c>
      <c r="D7916" s="125"/>
      <c r="E7916" s="126">
        <v>319.15</v>
      </c>
      <c r="F7916" s="127"/>
      <c r="G7916" s="127"/>
      <c r="H7916" s="127"/>
      <c r="I7916" s="128"/>
      <c r="K7916" s="105" t="str">
        <f>IFERROR(__xludf.DUMMYFUNCTION("if(A7916="""","""",substitute(SUBSTITUTE(index(importhtml(""http://finviz.com/quote.ashx?t=""&amp;A7916,""table"",10),7,2),""*"",""""),""-"",""0.00""))"),"Loading...")</f>
        <v>Loading...</v>
      </c>
      <c r="L7916" s="129">
        <v>4.39477839E8</v>
      </c>
      <c r="M7916" s="99">
        <v>0.92</v>
      </c>
      <c r="N7916" s="107"/>
    </row>
    <row r="7917">
      <c r="A7917" s="122" t="s">
        <v>16439</v>
      </c>
      <c r="B7917" s="123">
        <v>1091667.0</v>
      </c>
      <c r="C7917" s="124" t="s">
        <v>16440</v>
      </c>
      <c r="D7917" s="125"/>
      <c r="E7917" s="126">
        <v>319.21</v>
      </c>
      <c r="F7917" s="127"/>
      <c r="G7917" s="127"/>
      <c r="H7917" s="127"/>
      <c r="I7917" s="128"/>
      <c r="K7917" s="105" t="str">
        <f>IFERROR(__xludf.DUMMYFUNCTION("if(A7917="""","""",substitute(SUBSTITUTE(index(importhtml(""http://finviz.com/quote.ashx?t=""&amp;A7917,""table"",10),7,2),""*"",""""),""-"",""0.00""))"),"Loading...")</f>
        <v>Loading...</v>
      </c>
      <c r="L7917" s="129">
        <v>4.7217605778E10</v>
      </c>
      <c r="M7917" s="99">
        <v>1.03</v>
      </c>
      <c r="N7917" s="107"/>
    </row>
    <row r="7918">
      <c r="A7918" s="122" t="s">
        <v>16441</v>
      </c>
      <c r="B7918" s="123">
        <v>12208.0</v>
      </c>
      <c r="C7918" s="124" t="s">
        <v>16442</v>
      </c>
      <c r="D7918" s="125"/>
      <c r="E7918" s="126">
        <v>320.43</v>
      </c>
      <c r="F7918" s="127"/>
      <c r="G7918" s="127"/>
      <c r="H7918" s="127"/>
      <c r="I7918" s="128"/>
      <c r="K7918" s="55" t="s">
        <v>1034</v>
      </c>
      <c r="L7918" s="129">
        <v>9.281222694E9</v>
      </c>
      <c r="M7918" s="99">
        <v>0.89</v>
      </c>
      <c r="N7918" s="107"/>
    </row>
    <row r="7919">
      <c r="A7919" s="122" t="s">
        <v>16443</v>
      </c>
      <c r="B7919" s="123">
        <v>1000697.0</v>
      </c>
      <c r="C7919" s="124" t="s">
        <v>16444</v>
      </c>
      <c r="D7919" s="125"/>
      <c r="E7919" s="126">
        <v>320.74</v>
      </c>
      <c r="F7919" s="127"/>
      <c r="G7919" s="127"/>
      <c r="H7919" s="127"/>
      <c r="I7919" s="128"/>
      <c r="K7919" s="105" t="str">
        <f>IFERROR(__xludf.DUMMYFUNCTION("if(A7919="""","""",substitute(SUBSTITUTE(index(importhtml(""http://finviz.com/quote.ashx?t=""&amp;A7919,""table"",10),7,2),""*"",""""),""-"",""0.00""))"),"Loading...")</f>
        <v>Loading...</v>
      </c>
      <c r="L7919" s="129">
        <v>1.8964386987E10</v>
      </c>
      <c r="M7919" s="99">
        <v>0.92</v>
      </c>
      <c r="N7919" s="107"/>
    </row>
    <row r="7920">
      <c r="A7920" s="122" t="s">
        <v>16445</v>
      </c>
      <c r="B7920" s="123">
        <v>790051.0</v>
      </c>
      <c r="C7920" s="124" t="s">
        <v>16446</v>
      </c>
      <c r="D7920" s="125"/>
      <c r="E7920" s="126">
        <v>320.99</v>
      </c>
      <c r="F7920" s="127"/>
      <c r="G7920" s="127"/>
      <c r="H7920" s="127"/>
      <c r="I7920" s="128"/>
      <c r="K7920" s="55" t="s">
        <v>16447</v>
      </c>
      <c r="L7920" s="129">
        <v>1.562688088E10</v>
      </c>
      <c r="M7920" s="99">
        <v>0.92</v>
      </c>
      <c r="N7920" s="107"/>
    </row>
    <row r="7921">
      <c r="A7921" s="122" t="s">
        <v>16448</v>
      </c>
      <c r="B7921" s="123">
        <v>318154.0</v>
      </c>
      <c r="C7921" s="124" t="s">
        <v>16449</v>
      </c>
      <c r="D7921" s="125"/>
      <c r="E7921" s="126">
        <v>323.19</v>
      </c>
      <c r="F7921" s="127"/>
      <c r="G7921" s="127"/>
      <c r="H7921" s="127"/>
      <c r="I7921" s="128"/>
      <c r="K7921" s="105" t="str">
        <f>IFERROR(__xludf.DUMMYFUNCTION("if(A7921="""","""",substitute(SUBSTITUTE(index(importhtml(""http://finviz.com/quote.ashx?t=""&amp;A7921,""table"",10),7,2),""*"",""""),""-"",""0.00""))"),"Loading...")</f>
        <v>Loading...</v>
      </c>
      <c r="L7921" s="129">
        <v>1.72964179126E11</v>
      </c>
      <c r="M7921" s="99">
        <v>0.61</v>
      </c>
      <c r="N7921" s="107"/>
    </row>
    <row r="7922">
      <c r="A7922" s="122" t="s">
        <v>16450</v>
      </c>
      <c r="B7922" s="123">
        <v>1739940.0</v>
      </c>
      <c r="C7922" s="124" t="s">
        <v>16451</v>
      </c>
      <c r="D7922" s="125"/>
      <c r="E7922" s="126">
        <v>323.84</v>
      </c>
      <c r="F7922" s="127"/>
      <c r="G7922" s="127"/>
      <c r="H7922" s="127"/>
      <c r="I7922" s="128"/>
      <c r="K7922" s="138" t="s">
        <v>16452</v>
      </c>
      <c r="L7922" s="129">
        <v>9.4762027344E10</v>
      </c>
      <c r="M7922" s="99">
        <v>0.51</v>
      </c>
      <c r="N7922" s="107"/>
      <c r="P7922" s="107" t="str">
        <f>IFERROR(__xludf.DUMMYFUNCTION("if(A7922="""","""",IFERROR(substitute(Index(IMPORTHTML(""https://finviz.com/quote.ashx?t=""&amp;A7922,""Table"",8),2,1),""*"",""""),""-""))"),"-")</f>
        <v>-</v>
      </c>
    </row>
    <row r="7923">
      <c r="A7923" s="122" t="s">
        <v>16453</v>
      </c>
      <c r="B7923" s="123">
        <v>68505.0</v>
      </c>
      <c r="C7923" s="124" t="s">
        <v>16454</v>
      </c>
      <c r="D7923" s="125"/>
      <c r="E7923" s="126">
        <v>327.62</v>
      </c>
      <c r="F7923" s="127"/>
      <c r="G7923" s="127"/>
      <c r="H7923" s="127"/>
      <c r="I7923" s="128"/>
      <c r="K7923" s="105" t="str">
        <f>IFERROR(__xludf.DUMMYFUNCTION("if(A7923="""","""",substitute(SUBSTITUTE(index(importhtml(""http://finviz.com/quote.ashx?t=""&amp;A7923,""table"",10),7,2),""*"",""""),""-"",""0.00""))"),"Loading...")</f>
        <v>Loading...</v>
      </c>
      <c r="L7923" s="129">
        <v>5.4374566397E10</v>
      </c>
      <c r="M7923" s="99">
        <v>0.92</v>
      </c>
      <c r="N7923" s="107"/>
      <c r="P7923" s="107" t="str">
        <f>IFERROR(__xludf.DUMMYFUNCTION("if(A7923="""","""",IFERROR(substitute(Index(IMPORTHTML(""https://finviz.com/quote.ashx?t=""&amp;A7923,""Table"",8),2,1),""*"",""""),""-""))"),"-")</f>
        <v>-</v>
      </c>
    </row>
    <row r="7924">
      <c r="A7924" s="122" t="s">
        <v>16455</v>
      </c>
      <c r="B7924" s="123">
        <v>1013462.0</v>
      </c>
      <c r="C7924" s="124" t="s">
        <v>16456</v>
      </c>
      <c r="D7924" s="125"/>
      <c r="E7924" s="126">
        <v>335.25</v>
      </c>
      <c r="F7924" s="127"/>
      <c r="G7924" s="127"/>
      <c r="H7924" s="127"/>
      <c r="I7924" s="128"/>
      <c r="K7924" s="105" t="str">
        <f>IFERROR(__xludf.DUMMYFUNCTION("if(A7924="""","""",substitute(SUBSTITUTE(index(importhtml(""http://finviz.com/quote.ashx?t=""&amp;A7924,""table"",10),7,2),""*"",""""),""-"",""0.00""))"),"Loading...")</f>
        <v>Loading...</v>
      </c>
      <c r="L7924" s="129">
        <v>2.9138984595E10</v>
      </c>
      <c r="M7924" s="99">
        <v>1.17</v>
      </c>
      <c r="N7924" s="107"/>
      <c r="P7924" s="107" t="str">
        <f>IFERROR(__xludf.DUMMYFUNCTION("if(A7924="""","""",IFERROR(substitute(Index(IMPORTHTML(""https://finviz.com/quote.ashx?t=""&amp;A7924,""Table"",8),2,1),""*"",""""),""-""))"),"-")</f>
        <v>-</v>
      </c>
    </row>
    <row r="7925">
      <c r="A7925" s="122" t="s">
        <v>16457</v>
      </c>
      <c r="B7925" s="123">
        <v>1760717.0</v>
      </c>
      <c r="C7925" s="124" t="s">
        <v>16458</v>
      </c>
      <c r="D7925" s="125"/>
      <c r="E7925" s="126">
        <v>337.0</v>
      </c>
      <c r="F7925" s="127"/>
      <c r="G7925" s="127"/>
      <c r="H7925" s="127"/>
      <c r="I7925" s="128"/>
      <c r="K7925" s="105" t="str">
        <f>IFERROR(__xludf.DUMMYFUNCTION("if(A7925="""","""",substitute(SUBSTITUTE(index(importhtml(""http://finviz.com/quote.ashx?t=""&amp;A7925,""table"",10),7,2),""*"",""""),""-"",""0.00""))"),"#N/A")</f>
        <v>#N/A</v>
      </c>
      <c r="L7925" s="129">
        <v>3.5385E9</v>
      </c>
      <c r="M7925" s="99" t="str">
        <f>IFERROR(__xludf.DUMMYFUNCTION("GOOGLEFINANCE(A7925,""beta"")"),"#N/A")</f>
        <v>#N/A</v>
      </c>
      <c r="N7925" s="107"/>
      <c r="P7925" s="107" t="str">
        <f>IFERROR(__xludf.DUMMYFUNCTION("if(A7925="""","""",IFERROR(substitute(Index(IMPORTHTML(""https://finviz.com/quote.ashx?t=""&amp;A7925,""Table"",8),2,1),""*"",""""),""-""))"),"-")</f>
        <v>-</v>
      </c>
    </row>
    <row r="7926">
      <c r="A7926" s="122" t="s">
        <v>16459</v>
      </c>
      <c r="B7926" s="123">
        <v>701288.0</v>
      </c>
      <c r="C7926" s="124" t="s">
        <v>16460</v>
      </c>
      <c r="D7926" s="125"/>
      <c r="E7926" s="126">
        <v>338.0</v>
      </c>
      <c r="F7926" s="127"/>
      <c r="G7926" s="127"/>
      <c r="H7926" s="127"/>
      <c r="I7926" s="128"/>
      <c r="K7926" s="105" t="str">
        <f>IFERROR(__xludf.DUMMYFUNCTION("if(A7926="""","""",substitute(SUBSTITUTE(index(importhtml(""http://finviz.com/quote.ashx?t=""&amp;A7926,""table"",10),7,2),""*"",""""),""-"",""0.00""))"),"Loading...")</f>
        <v>Loading...</v>
      </c>
      <c r="L7926" s="129">
        <v>5.9482423E8</v>
      </c>
      <c r="M7926" s="99">
        <v>0.57</v>
      </c>
      <c r="N7926" s="107"/>
      <c r="P7926" s="107" t="str">
        <f>IFERROR(__xludf.DUMMYFUNCTION("if(A7926="""","""",IFERROR(substitute(Index(IMPORTHTML(""https://finviz.com/quote.ashx?t=""&amp;A7926,""Table"",8),2,1),""*"",""""),""-""))"),"-")</f>
        <v>-</v>
      </c>
    </row>
    <row r="7927">
      <c r="A7927" s="122" t="s">
        <v>16461</v>
      </c>
      <c r="B7927" s="123">
        <v>310764.0</v>
      </c>
      <c r="C7927" s="124" t="s">
        <v>16462</v>
      </c>
      <c r="D7927" s="125"/>
      <c r="E7927" s="126">
        <v>342.05</v>
      </c>
      <c r="F7927" s="127"/>
      <c r="G7927" s="127"/>
      <c r="H7927" s="127"/>
      <c r="I7927" s="128"/>
      <c r="K7927" s="105" t="str">
        <f>IFERROR(__xludf.DUMMYFUNCTION("if(A7927="""","""",substitute(SUBSTITUTE(index(importhtml(""http://finviz.com/quote.ashx?t=""&amp;A7927,""table"",10),7,2),""*"",""""),""-"",""0.00""))"),"Loading...")</f>
        <v>Loading...</v>
      </c>
      <c r="L7927" s="129">
        <v>1.29957788262E11</v>
      </c>
      <c r="M7927" s="99">
        <v>0.9</v>
      </c>
      <c r="N7927" s="107"/>
      <c r="P7927" s="107" t="str">
        <f>IFERROR(__xludf.DUMMYFUNCTION("if(A7927="""","""",IFERROR(substitute(Index(IMPORTHTML(""https://finviz.com/quote.ashx?t=""&amp;A7927,""Table"",8),2,1),""*"",""""),""-""))"),"-")</f>
        <v>-</v>
      </c>
    </row>
    <row r="7928">
      <c r="A7928" s="122" t="s">
        <v>16463</v>
      </c>
      <c r="B7928" s="123">
        <v>278166.0</v>
      </c>
      <c r="C7928" s="124" t="s">
        <v>16464</v>
      </c>
      <c r="D7928" s="125"/>
      <c r="E7928" s="126">
        <v>343.05</v>
      </c>
      <c r="F7928" s="127"/>
      <c r="G7928" s="127"/>
      <c r="H7928" s="127"/>
      <c r="I7928" s="128"/>
      <c r="K7928" s="105" t="str">
        <f>IFERROR(__xludf.DUMMYFUNCTION("if(A7928="""","""",substitute(SUBSTITUTE(index(importhtml(""http://finviz.com/quote.ashx?t=""&amp;A7928,""table"",10),7,2),""*"",""""),""-"",""0.00""))"),"Loading...")</f>
        <v>Loading...</v>
      </c>
      <c r="L7928" s="129">
        <v>2.856015332E9</v>
      </c>
      <c r="M7928" s="99">
        <v>1.1</v>
      </c>
      <c r="N7928" s="107"/>
      <c r="P7928" s="107" t="str">
        <f>IFERROR(__xludf.DUMMYFUNCTION("if(A7928="""","""",IFERROR(substitute(Index(IMPORTHTML(""https://finviz.com/quote.ashx?t=""&amp;A7928,""Table"",8),2,1),""*"",""""),""-""))"),"-")</f>
        <v>-</v>
      </c>
    </row>
    <row r="7929">
      <c r="A7929" s="122" t="s">
        <v>16465</v>
      </c>
      <c r="B7929" s="123">
        <v>1327567.0</v>
      </c>
      <c r="C7929" s="124" t="s">
        <v>16466</v>
      </c>
      <c r="D7929" s="125"/>
      <c r="E7929" s="126">
        <v>345.06</v>
      </c>
      <c r="F7929" s="127"/>
      <c r="G7929" s="127"/>
      <c r="H7929" s="127"/>
      <c r="I7929" s="128"/>
      <c r="K7929" s="105" t="str">
        <f>IFERROR(__xludf.DUMMYFUNCTION("if(A7929="""","""",substitute(SUBSTITUTE(index(importhtml(""http://finviz.com/quote.ashx?t=""&amp;A7929,""table"",10),7,2),""*"",""""),""-"",""0.00""))"),"Loading...")</f>
        <v>Loading...</v>
      </c>
      <c r="L7929" s="129">
        <v>1.08797348218E11</v>
      </c>
      <c r="M7929" s="99">
        <v>1.26</v>
      </c>
      <c r="N7929" s="107"/>
      <c r="P7929" s="107" t="str">
        <f>IFERROR(__xludf.DUMMYFUNCTION("if(A7929="""","""",IFERROR(substitute(Index(IMPORTHTML(""https://finviz.com/quote.ashx?t=""&amp;A7929,""Table"",8),2,1),""*"",""""),""-""))"),"-")</f>
        <v>-</v>
      </c>
    </row>
    <row r="7930">
      <c r="A7930" s="122" t="s">
        <v>16467</v>
      </c>
      <c r="B7930" s="123">
        <v>922621.0</v>
      </c>
      <c r="C7930" s="124" t="s">
        <v>16468</v>
      </c>
      <c r="D7930" s="125"/>
      <c r="E7930" s="126">
        <v>347.39</v>
      </c>
      <c r="F7930" s="127"/>
      <c r="G7930" s="127"/>
      <c r="H7930" s="127"/>
      <c r="I7930" s="128"/>
      <c r="K7930" s="105" t="str">
        <f>IFERROR(__xludf.DUMMYFUNCTION("if(A7930="""","""",substitute(SUBSTITUTE(index(importhtml(""http://finviz.com/quote.ashx?t=""&amp;A7930,""table"",10),7,2),""*"",""""),""-"",""0.00""))"),"Loading...")</f>
        <v>Loading...</v>
      </c>
      <c r="L7930" s="129">
        <v>1.8164975231E10</v>
      </c>
      <c r="M7930" s="99">
        <v>0.42</v>
      </c>
      <c r="N7930" s="107"/>
      <c r="P7930" s="107" t="str">
        <f>IFERROR(__xludf.DUMMYFUNCTION("if(A7930="""","""",IFERROR(substitute(Index(IMPORTHTML(""https://finviz.com/quote.ashx?t=""&amp;A7930,""Table"",8),2,1),""*"",""""),""-""))"),"-")</f>
        <v>-</v>
      </c>
    </row>
    <row r="7931">
      <c r="A7931" s="122" t="s">
        <v>16469</v>
      </c>
      <c r="B7931" s="123">
        <v>16058.0</v>
      </c>
      <c r="C7931" s="124" t="s">
        <v>16470</v>
      </c>
      <c r="D7931" s="125"/>
      <c r="E7931" s="126">
        <v>348.16</v>
      </c>
      <c r="F7931" s="127"/>
      <c r="G7931" s="127"/>
      <c r="H7931" s="127"/>
      <c r="I7931" s="128"/>
      <c r="K7931" s="105" t="str">
        <f>IFERROR(__xludf.DUMMYFUNCTION("if(A7931="""","""",substitute(SUBSTITUTE(index(importhtml(""http://finviz.com/quote.ashx?t=""&amp;A7931,""table"",10),7,2),""*"",""""),""-"",""0.00""))"),"Loading...")</f>
        <v>Loading...</v>
      </c>
      <c r="L7931" s="129">
        <v>7.758780497E9</v>
      </c>
      <c r="M7931" s="99">
        <v>0.89</v>
      </c>
      <c r="N7931" s="107"/>
      <c r="P7931" s="107" t="str">
        <f>IFERROR(__xludf.DUMMYFUNCTION("if(A7931="""","""",IFERROR(substitute(Index(IMPORTHTML(""https://finviz.com/quote.ashx?t=""&amp;A7931,""Table"",8),2,1),""*"",""""),""-""))"),"-")</f>
        <v>-</v>
      </c>
    </row>
    <row r="7932">
      <c r="A7932" s="122" t="s">
        <v>16471</v>
      </c>
      <c r="B7932" s="123">
        <v>1893311.0</v>
      </c>
      <c r="C7932" s="124" t="s">
        <v>16472</v>
      </c>
      <c r="D7932" s="125"/>
      <c r="E7932" s="126">
        <v>350.17</v>
      </c>
      <c r="F7932" s="127"/>
      <c r="G7932" s="127"/>
      <c r="H7932" s="127"/>
      <c r="I7932" s="128"/>
      <c r="K7932" s="105" t="str">
        <f>IFERROR(__xludf.DUMMYFUNCTION("if(A7932="""","""",substitute(SUBSTITUTE(index(importhtml(""http://finviz.com/quote.ashx?t=""&amp;A7932,""table"",10),7,2),""*"",""""),""-"",""0.00""))"),"Loading...")</f>
        <v>Loading...</v>
      </c>
      <c r="L7932" s="129">
        <v>9.53548313E8</v>
      </c>
      <c r="M7932" s="99" t="str">
        <f>IFERROR(__xludf.DUMMYFUNCTION("GOOGLEFINANCE(A7932,""beta"")"),"#N/A")</f>
        <v>#N/A</v>
      </c>
      <c r="N7932" s="107"/>
      <c r="P7932" s="107" t="str">
        <f>IFERROR(__xludf.DUMMYFUNCTION("if(A7932="""","""",IFERROR(substitute(Index(IMPORTHTML(""https://finviz.com/quote.ashx?t=""&amp;A7932,""Table"",8),2,1),""*"",""""),""-""))"),"-")</f>
        <v>-</v>
      </c>
    </row>
    <row r="7933">
      <c r="A7933" s="122" t="s">
        <v>16473</v>
      </c>
      <c r="B7933" s="123">
        <v>48898.0</v>
      </c>
      <c r="C7933" s="124" t="s">
        <v>16474</v>
      </c>
      <c r="D7933" s="125"/>
      <c r="E7933" s="126">
        <v>354.03</v>
      </c>
      <c r="F7933" s="127"/>
      <c r="G7933" s="127"/>
      <c r="H7933" s="127"/>
      <c r="I7933" s="128"/>
      <c r="K7933" s="105" t="str">
        <f>IFERROR(__xludf.DUMMYFUNCTION("if(A7933="""","""",substitute(SUBSTITUTE(index(importhtml(""http://finviz.com/quote.ashx?t=""&amp;A7933,""table"",10),7,2),""*"",""""),""-"",""0.00""))"),"Loading...")</f>
        <v>Loading...</v>
      </c>
      <c r="L7933" s="129">
        <v>1.8983817836E10</v>
      </c>
      <c r="M7933" s="99">
        <v>0.92</v>
      </c>
      <c r="N7933" s="107"/>
      <c r="P7933" s="107" t="str">
        <f>IFERROR(__xludf.DUMMYFUNCTION("if(A7933="""","""",IFERROR(substitute(Index(IMPORTHTML(""https://finviz.com/quote.ashx?t=""&amp;A7933,""Table"",8),2,1),""*"",""""),""-""))"),"-")</f>
        <v>-</v>
      </c>
    </row>
    <row r="7934">
      <c r="A7934" s="122" t="s">
        <v>16475</v>
      </c>
      <c r="B7934" s="123">
        <v>1179929.0</v>
      </c>
      <c r="C7934" s="124" t="s">
        <v>16476</v>
      </c>
      <c r="D7934" s="125"/>
      <c r="E7934" s="126">
        <v>354.88</v>
      </c>
      <c r="F7934" s="127"/>
      <c r="G7934" s="127"/>
      <c r="H7934" s="127"/>
      <c r="I7934" s="128"/>
      <c r="K7934" s="105" t="str">
        <f>IFERROR(__xludf.DUMMYFUNCTION("if(A7934="""","""",substitute(SUBSTITUTE(index(importhtml(""http://finviz.com/quote.ashx?t=""&amp;A7934,""table"",10),7,2),""*"",""""),""-"",""0.00""))"),"Loading...")</f>
        <v>Loading...</v>
      </c>
      <c r="L7934" s="129">
        <v>2.0689500735E10</v>
      </c>
      <c r="M7934" s="99">
        <v>0.45</v>
      </c>
      <c r="N7934" s="107"/>
      <c r="P7934" s="107" t="str">
        <f>IFERROR(__xludf.DUMMYFUNCTION("if(A7934="""","""",IFERROR(substitute(Index(IMPORTHTML(""https://finviz.com/quote.ashx?t=""&amp;A7934,""Table"",8),2,1),""*"",""""),""-""))"),"-")</f>
        <v>-</v>
      </c>
    </row>
    <row r="7935">
      <c r="A7935" s="122" t="s">
        <v>16477</v>
      </c>
      <c r="B7935" s="123">
        <v>894351.0</v>
      </c>
      <c r="C7935" s="124" t="s">
        <v>16478</v>
      </c>
      <c r="D7935" s="125"/>
      <c r="E7935" s="126">
        <v>356.0</v>
      </c>
      <c r="F7935" s="127"/>
      <c r="G7935" s="127"/>
      <c r="H7935" s="127"/>
      <c r="I7935" s="128"/>
      <c r="K7935" s="105" t="str">
        <f>IFERROR(__xludf.DUMMYFUNCTION("if(A7935="""","""",substitute(SUBSTITUTE(index(importhtml(""http://finviz.com/quote.ashx?t=""&amp;A7935,""table"",10),7,2),""*"",""""),""-"",""0.00""))"),"Loading...")</f>
        <v>Loading...</v>
      </c>
      <c r="L7935" s="129">
        <v>2.54063956E8</v>
      </c>
      <c r="M7935" s="99" t="str">
        <f>IFERROR(__xludf.DUMMYFUNCTION("GOOGLEFINANCE(A7935,""beta"")"),"#N/A")</f>
        <v>#N/A</v>
      </c>
      <c r="N7935" s="107"/>
      <c r="P7935" s="107" t="str">
        <f>IFERROR(__xludf.DUMMYFUNCTION("if(A7935="""","""",IFERROR(substitute(Index(IMPORTHTML(""https://finviz.com/quote.ashx?t=""&amp;A7935,""Table"",8),2,1),""*"",""""),""-""))"),"-")</f>
        <v>-</v>
      </c>
    </row>
    <row r="7936">
      <c r="A7936" s="122" t="s">
        <v>16479</v>
      </c>
      <c r="B7936" s="123">
        <v>949870.0</v>
      </c>
      <c r="C7936" s="124" t="s">
        <v>16480</v>
      </c>
      <c r="D7936" s="125"/>
      <c r="E7936" s="126">
        <v>357.07</v>
      </c>
      <c r="F7936" s="127"/>
      <c r="G7936" s="127"/>
      <c r="H7936" s="127"/>
      <c r="I7936" s="128"/>
      <c r="K7936" s="105" t="str">
        <f>IFERROR(__xludf.DUMMYFUNCTION("if(A7936="""","""",substitute(SUBSTITUTE(index(importhtml(""http://finviz.com/quote.ashx?t=""&amp;A7936,""table"",10),7,2),""*"",""""),""-"",""0.00""))"),"Loading...")</f>
        <v>Loading...</v>
      </c>
      <c r="L7936" s="129">
        <v>4.353058312E9</v>
      </c>
      <c r="M7936" s="99">
        <v>1.09</v>
      </c>
      <c r="N7936" s="107"/>
      <c r="P7936" s="107" t="str">
        <f>IFERROR(__xludf.DUMMYFUNCTION("if(A7936="""","""",IFERROR(substitute(Index(IMPORTHTML(""https://finviz.com/quote.ashx?t=""&amp;A7936,""Table"",8),2,1),""*"",""""),""-""))"),"-")</f>
        <v>-</v>
      </c>
    </row>
    <row r="7937">
      <c r="A7937" s="122" t="s">
        <v>16481</v>
      </c>
      <c r="B7937" s="123">
        <v>354950.0</v>
      </c>
      <c r="C7937" s="124" t="s">
        <v>16482</v>
      </c>
      <c r="D7937" s="125"/>
      <c r="E7937" s="126">
        <v>357.23</v>
      </c>
      <c r="F7937" s="127"/>
      <c r="G7937" s="127"/>
      <c r="H7937" s="127"/>
      <c r="I7937" s="128"/>
      <c r="K7937" s="138" t="s">
        <v>16483</v>
      </c>
      <c r="L7937" s="129">
        <v>3.55537348025E11</v>
      </c>
      <c r="M7937" s="99">
        <v>0.98</v>
      </c>
      <c r="N7937" s="107"/>
      <c r="P7937" s="107" t="str">
        <f>IFERROR(__xludf.DUMMYFUNCTION("if(A7937="""","""",IFERROR(substitute(Index(IMPORTHTML(""https://finviz.com/quote.ashx?t=""&amp;A7937,""Table"",8),2,1),""*"",""""),""-""))"),"-")</f>
        <v>-</v>
      </c>
    </row>
    <row r="7938">
      <c r="A7938" s="122" t="s">
        <v>16484</v>
      </c>
      <c r="B7938" s="123">
        <v>1573516.0</v>
      </c>
      <c r="C7938" s="124" t="s">
        <v>16485</v>
      </c>
      <c r="D7938" s="125"/>
      <c r="E7938" s="126">
        <v>358.01</v>
      </c>
      <c r="F7938" s="127"/>
      <c r="G7938" s="127"/>
      <c r="H7938" s="127"/>
      <c r="I7938" s="128"/>
      <c r="K7938" s="105" t="str">
        <f>IFERROR(__xludf.DUMMYFUNCTION("if(A7938="""","""",substitute(SUBSTITUTE(index(importhtml(""http://finviz.com/quote.ashx?t=""&amp;A7938,""table"",10),7,2),""*"",""""),""-"",""0.00""))"),"Loading...")</f>
        <v>Loading...</v>
      </c>
      <c r="L7938" s="129">
        <v>7.617386137E9</v>
      </c>
      <c r="M7938" s="99">
        <v>0.74</v>
      </c>
      <c r="N7938" s="107"/>
      <c r="P7938" s="107" t="str">
        <f>IFERROR(__xludf.DUMMYFUNCTION("if(A7938="""","""",IFERROR(substitute(Index(IMPORTHTML(""https://finviz.com/quote.ashx?t=""&amp;A7938,""Table"",8),2,1),""*"",""""),""-""))"),"-")</f>
        <v>-</v>
      </c>
    </row>
    <row r="7939">
      <c r="A7939" s="122" t="s">
        <v>16486</v>
      </c>
      <c r="B7939" s="123">
        <v>908315.0</v>
      </c>
      <c r="C7939" s="124" t="s">
        <v>16487</v>
      </c>
      <c r="D7939" s="125"/>
      <c r="E7939" s="126">
        <v>365.74</v>
      </c>
      <c r="F7939" s="127"/>
      <c r="G7939" s="127"/>
      <c r="H7939" s="127"/>
      <c r="I7939" s="128"/>
      <c r="K7939" s="105" t="str">
        <f>IFERROR(__xludf.DUMMYFUNCTION("if(A7939="""","""",substitute(SUBSTITUTE(index(importhtml(""http://finviz.com/quote.ashx?t=""&amp;A7939,""table"",10),7,2),""*"",""""),""-"",""0.00""))"),"Loading...")</f>
        <v>Loading...</v>
      </c>
      <c r="L7939" s="129">
        <v>1.292988771E9</v>
      </c>
      <c r="M7939" s="99">
        <v>0.87</v>
      </c>
      <c r="N7939" s="107"/>
      <c r="P7939" s="107" t="str">
        <f>IFERROR(__xludf.DUMMYFUNCTION("if(A7939="""","""",IFERROR(substitute(Index(IMPORTHTML(""https://finviz.com/quote.ashx?t=""&amp;A7939,""Table"",8),2,1),""*"",""""),""-""))"),"-")</f>
        <v>-</v>
      </c>
    </row>
    <row r="7940">
      <c r="A7940" s="122" t="s">
        <v>16488</v>
      </c>
      <c r="B7940" s="123">
        <v>1467373.0</v>
      </c>
      <c r="C7940" s="124" t="s">
        <v>16489</v>
      </c>
      <c r="D7940" s="125"/>
      <c r="E7940" s="126">
        <v>372.95</v>
      </c>
      <c r="F7940" s="127"/>
      <c r="G7940" s="127"/>
      <c r="H7940" s="127"/>
      <c r="I7940" s="128"/>
      <c r="K7940" s="55" t="s">
        <v>16490</v>
      </c>
      <c r="L7940" s="129">
        <v>2.48575472061E11</v>
      </c>
      <c r="M7940" s="99">
        <v>1.22</v>
      </c>
      <c r="N7940" s="107"/>
      <c r="P7940" s="107" t="str">
        <f>IFERROR(__xludf.DUMMYFUNCTION("if(A7940="""","""",IFERROR(substitute(Index(IMPORTHTML(""https://finviz.com/quote.ashx?t=""&amp;A7940,""Table"",8),2,1),""*"",""""),""-""))"),"-")</f>
        <v>-</v>
      </c>
    </row>
    <row r="7941">
      <c r="A7941" s="122" t="s">
        <v>16491</v>
      </c>
      <c r="B7941" s="123">
        <v>945841.0</v>
      </c>
      <c r="C7941" s="124" t="s">
        <v>16492</v>
      </c>
      <c r="D7941" s="125"/>
      <c r="E7941" s="126">
        <v>373.85</v>
      </c>
      <c r="F7941" s="127"/>
      <c r="G7941" s="127"/>
      <c r="H7941" s="127"/>
      <c r="I7941" s="128"/>
      <c r="K7941" s="105" t="str">
        <f>IFERROR(__xludf.DUMMYFUNCTION("if(A7941="""","""",substitute(SUBSTITUTE(index(importhtml(""http://finviz.com/quote.ashx?t=""&amp;A7941,""table"",10),7,2),""*"",""""),""-"",""0.00""))"),"Loading...")</f>
        <v>Loading...</v>
      </c>
      <c r="L7941" s="129">
        <v>1.4460204202E10</v>
      </c>
      <c r="M7941" s="99">
        <v>1.01</v>
      </c>
      <c r="N7941" s="107"/>
      <c r="P7941" s="107" t="str">
        <f>IFERROR(__xludf.DUMMYFUNCTION("if(A7941="""","""",IFERROR(substitute(Index(IMPORTHTML(""https://finviz.com/quote.ashx?t=""&amp;A7941,""Table"",8),2,1),""*"",""""),""-""))"),"-")</f>
        <v>-</v>
      </c>
    </row>
    <row r="7942">
      <c r="A7942" s="122" t="s">
        <v>16493</v>
      </c>
      <c r="B7942" s="123">
        <v>1841993.0</v>
      </c>
      <c r="C7942" s="124" t="s">
        <v>16494</v>
      </c>
      <c r="D7942" s="125"/>
      <c r="E7942" s="126">
        <v>376.25</v>
      </c>
      <c r="F7942" s="127"/>
      <c r="G7942" s="127"/>
      <c r="H7942" s="127"/>
      <c r="I7942" s="128"/>
      <c r="K7942" s="105" t="str">
        <f>IFERROR(__xludf.DUMMYFUNCTION("if(A7942="""","""",substitute(SUBSTITUTE(index(importhtml(""http://finviz.com/quote.ashx?t=""&amp;A7942,""table"",10),7,2),""*"",""""),""-"",""0.00""))"),"Loading...")</f>
        <v>Loading...</v>
      </c>
      <c r="L7942" s="129">
        <v>7.7035005E7</v>
      </c>
      <c r="M7942" s="99" t="str">
        <f>IFERROR(__xludf.DUMMYFUNCTION("GOOGLEFINANCE(A7942,""beta"")"),"#N/A")</f>
        <v>#N/A</v>
      </c>
      <c r="N7942" s="107"/>
      <c r="P7942" s="107" t="str">
        <f>IFERROR(__xludf.DUMMYFUNCTION("if(A7942="""","""",IFERROR(substitute(Index(IMPORTHTML(""https://finviz.com/quote.ashx?t=""&amp;A7942,""Table"",8),2,1),""*"",""""),""-""))"),"-")</f>
        <v>-</v>
      </c>
    </row>
    <row r="7943">
      <c r="A7943" s="122" t="s">
        <v>16495</v>
      </c>
      <c r="B7943" s="123">
        <v>711404.0</v>
      </c>
      <c r="C7943" s="124" t="s">
        <v>16496</v>
      </c>
      <c r="D7943" s="125"/>
      <c r="E7943" s="126">
        <v>376.29</v>
      </c>
      <c r="F7943" s="127"/>
      <c r="G7943" s="127"/>
      <c r="H7943" s="127"/>
      <c r="I7943" s="128"/>
      <c r="K7943" s="55" t="s">
        <v>14961</v>
      </c>
      <c r="L7943" s="129">
        <v>1.8636127674E10</v>
      </c>
      <c r="M7943" s="99">
        <v>0.94</v>
      </c>
      <c r="N7943" s="107"/>
      <c r="P7943" s="107" t="str">
        <f>IFERROR(__xludf.DUMMYFUNCTION("if(A7943="""","""",IFERROR(substitute(Index(IMPORTHTML(""https://finviz.com/quote.ashx?t=""&amp;A7943,""Table"",8),2,1),""*"",""""),""-""))"),"-")</f>
        <v>-</v>
      </c>
    </row>
    <row r="7944">
      <c r="A7944" s="122" t="s">
        <v>16497</v>
      </c>
      <c r="B7944" s="123">
        <v>1697862.0</v>
      </c>
      <c r="C7944" s="124" t="s">
        <v>16498</v>
      </c>
      <c r="D7944" s="125"/>
      <c r="E7944" s="126">
        <v>378.84</v>
      </c>
      <c r="F7944" s="127"/>
      <c r="G7944" s="127"/>
      <c r="H7944" s="127"/>
      <c r="I7944" s="128"/>
      <c r="K7944" s="105" t="str">
        <f>IFERROR(__xludf.DUMMYFUNCTION("if(A7944="""","""",substitute(SUBSTITUTE(index(importhtml(""http://finviz.com/quote.ashx?t=""&amp;A7944,""table"",10),7,2),""*"",""""),""-"",""0.00""))"),"Loading...")</f>
        <v>Loading...</v>
      </c>
      <c r="L7944" s="129">
        <v>2.2187957731E10</v>
      </c>
      <c r="M7944" s="99">
        <v>0.69</v>
      </c>
      <c r="N7944" s="107"/>
      <c r="P7944" s="107" t="str">
        <f>IFERROR(__xludf.DUMMYFUNCTION("if(A7944="""","""",IFERROR(substitute(Index(IMPORTHTML(""https://finviz.com/quote.ashx?t=""&amp;A7944,""Table"",8),2,1),""*"",""""),""-""))"),"-")</f>
        <v>-</v>
      </c>
    </row>
    <row r="7945">
      <c r="A7945" s="122" t="s">
        <v>16499</v>
      </c>
      <c r="B7945" s="123">
        <v>49071.0</v>
      </c>
      <c r="C7945" s="124" t="s">
        <v>16500</v>
      </c>
      <c r="D7945" s="125"/>
      <c r="E7945" s="126">
        <v>378.87</v>
      </c>
      <c r="F7945" s="127"/>
      <c r="G7945" s="127"/>
      <c r="H7945" s="127"/>
      <c r="I7945" s="128"/>
      <c r="K7945" s="105" t="str">
        <f>IFERROR(__xludf.DUMMYFUNCTION("if(A7945="""","""",substitute(SUBSTITUTE(index(importhtml(""http://finviz.com/quote.ashx?t=""&amp;A7945,""table"",10),7,2),""*"",""""),""-"",""0.00""))"),"Loading...")</f>
        <v>Loading...</v>
      </c>
      <c r="L7945" s="129">
        <v>4.6307082057E10</v>
      </c>
      <c r="M7945" s="99">
        <v>0.46</v>
      </c>
      <c r="N7945" s="107"/>
      <c r="P7945" s="107" t="str">
        <f>IFERROR(__xludf.DUMMYFUNCTION("if(A7945="""","""",IFERROR(substitute(Index(IMPORTHTML(""https://finviz.com/quote.ashx?t=""&amp;A7945,""Table"",8),2,1),""*"",""""),""-""))"),"-")</f>
        <v>-</v>
      </c>
    </row>
    <row r="7946">
      <c r="A7946" s="122" t="s">
        <v>16501</v>
      </c>
      <c r="B7946" s="123">
        <v>1648416.0</v>
      </c>
      <c r="C7946" s="124" t="s">
        <v>16502</v>
      </c>
      <c r="D7946" s="125"/>
      <c r="E7946" s="126">
        <v>379.25</v>
      </c>
      <c r="F7946" s="127"/>
      <c r="G7946" s="127"/>
      <c r="H7946" s="127"/>
      <c r="I7946" s="128"/>
      <c r="K7946" s="105" t="str">
        <f>IFERROR(__xludf.DUMMYFUNCTION("if(A7946="""","""",substitute(SUBSTITUTE(index(importhtml(""http://finviz.com/quote.ashx?t=""&amp;A7946,""table"",10),7,2),""*"",""""),""-"",""0.00""))"),"Loading...")</f>
        <v>Loading...</v>
      </c>
      <c r="L7946" s="129">
        <v>7.1420701325E10</v>
      </c>
      <c r="M7946" s="99">
        <v>0.94</v>
      </c>
      <c r="N7946" s="107"/>
      <c r="P7946" s="107" t="str">
        <f>IFERROR(__xludf.DUMMYFUNCTION("if(A7946="""","""",IFERROR(substitute(Index(IMPORTHTML(""https://finviz.com/quote.ashx?t=""&amp;A7946,""Table"",8),2,1),""*"",""""),""-""))"),"-")</f>
        <v>-</v>
      </c>
    </row>
    <row r="7947">
      <c r="A7947" s="122" t="s">
        <v>16503</v>
      </c>
      <c r="B7947" s="123">
        <v>105770.0</v>
      </c>
      <c r="C7947" s="124" t="s">
        <v>16504</v>
      </c>
      <c r="D7947" s="125"/>
      <c r="E7947" s="126">
        <v>381.02</v>
      </c>
      <c r="F7947" s="127"/>
      <c r="G7947" s="127"/>
      <c r="H7947" s="127"/>
      <c r="I7947" s="128"/>
      <c r="K7947" s="105" t="str">
        <f>IFERROR(__xludf.DUMMYFUNCTION("if(A7947="""","""",substitute(SUBSTITUTE(index(importhtml(""http://finviz.com/quote.ashx?t=""&amp;A7947,""table"",10),7,2),""*"",""""),""-"",""0.00""))"),"Loading...")</f>
        <v>Loading...</v>
      </c>
      <c r="L7947" s="129">
        <v>2.819154325E10</v>
      </c>
      <c r="M7947" s="99">
        <v>1.05</v>
      </c>
      <c r="N7947" s="107"/>
      <c r="P7947" s="107" t="str">
        <f>IFERROR(__xludf.DUMMYFUNCTION("if(A7947="""","""",IFERROR(substitute(Index(IMPORTHTML(""https://finviz.com/quote.ashx?t=""&amp;A7947,""Table"",8),2,1),""*"",""""),""-""))"),"-")</f>
        <v>-</v>
      </c>
    </row>
    <row r="7948">
      <c r="A7948" s="122" t="s">
        <v>16505</v>
      </c>
      <c r="B7948" s="123">
        <v>1633931.0</v>
      </c>
      <c r="C7948" s="124" t="s">
        <v>16506</v>
      </c>
      <c r="D7948" s="125"/>
      <c r="E7948" s="126">
        <v>381.48</v>
      </c>
      <c r="F7948" s="127"/>
      <c r="G7948" s="127"/>
      <c r="H7948" s="127"/>
      <c r="I7948" s="128"/>
      <c r="K7948" s="55" t="s">
        <v>1034</v>
      </c>
      <c r="L7948" s="129">
        <v>1.2121119165E10</v>
      </c>
      <c r="M7948" s="99">
        <v>1.67</v>
      </c>
      <c r="N7948" s="107"/>
      <c r="P7948" s="107" t="str">
        <f>IFERROR(__xludf.DUMMYFUNCTION("if(A7948="""","""",IFERROR(substitute(Index(IMPORTHTML(""https://finviz.com/quote.ashx?t=""&amp;A7948,""Table"",8),2,1),""*"",""""),""-""))"),"-")</f>
        <v>-</v>
      </c>
    </row>
    <row r="7949">
      <c r="A7949" s="122" t="s">
        <v>16507</v>
      </c>
      <c r="B7949" s="123">
        <v>1035267.0</v>
      </c>
      <c r="C7949" s="124" t="s">
        <v>16508</v>
      </c>
      <c r="D7949" s="125"/>
      <c r="E7949" s="126">
        <v>383.77</v>
      </c>
      <c r="F7949" s="127"/>
      <c r="G7949" s="127"/>
      <c r="H7949" s="127"/>
      <c r="I7949" s="128"/>
      <c r="K7949" s="105" t="str">
        <f>IFERROR(__xludf.DUMMYFUNCTION("if(A7949="""","""",substitute(SUBSTITUTE(index(importhtml(""http://finviz.com/quote.ashx?t=""&amp;A7949,""table"",10),7,2),""*"",""""),""-"",""0.00""))"),"Loading...")</f>
        <v>Loading...</v>
      </c>
      <c r="L7949" s="129">
        <v>1.35212030018E11</v>
      </c>
      <c r="M7949" s="99">
        <v>1.37</v>
      </c>
      <c r="N7949" s="107"/>
      <c r="P7949" s="107" t="str">
        <f>IFERROR(__xludf.DUMMYFUNCTION("if(A7949="""","""",IFERROR(substitute(Index(IMPORTHTML(""https://finviz.com/quote.ashx?t=""&amp;A7949,""Table"",8),2,1),""*"",""""),""-""))"),"-")</f>
        <v>-</v>
      </c>
    </row>
    <row r="7950">
      <c r="A7950" s="122" t="s">
        <v>16509</v>
      </c>
      <c r="B7950" s="123">
        <v>1878482.0</v>
      </c>
      <c r="C7950" s="124" t="s">
        <v>16510</v>
      </c>
      <c r="D7950" s="125"/>
      <c r="E7950" s="126">
        <v>384.0</v>
      </c>
      <c r="F7950" s="127"/>
      <c r="G7950" s="127"/>
      <c r="H7950" s="127"/>
      <c r="I7950" s="128"/>
      <c r="K7950" s="105" t="str">
        <f>IFERROR(__xludf.DUMMYFUNCTION("if(A7950="""","""",substitute(SUBSTITUTE(index(importhtml(""http://finviz.com/quote.ashx?t=""&amp;A7950,""table"",10),7,2),""*"",""""),""-"",""0.00""))"),"Loading...")</f>
        <v>Loading...</v>
      </c>
      <c r="L7950" s="129">
        <v>7.77231371E8</v>
      </c>
      <c r="M7950" s="99" t="str">
        <f>IFERROR(__xludf.DUMMYFUNCTION("GOOGLEFINANCE(A7950,""beta"")"),"#N/A")</f>
        <v>#N/A</v>
      </c>
      <c r="N7950" s="107"/>
      <c r="P7950" s="107" t="str">
        <f>IFERROR(__xludf.DUMMYFUNCTION("if(A7950="""","""",IFERROR(substitute(Index(IMPORTHTML(""https://finviz.com/quote.ashx?t=""&amp;A7950,""Table"",8),2,1),""*"",""""),""-""))"),"-")</f>
        <v>-</v>
      </c>
    </row>
    <row r="7951">
      <c r="A7951" s="122" t="s">
        <v>16511</v>
      </c>
      <c r="B7951" s="123">
        <v>1041130.0</v>
      </c>
      <c r="C7951" s="124" t="s">
        <v>16512</v>
      </c>
      <c r="D7951" s="125"/>
      <c r="E7951" s="126">
        <v>386.42</v>
      </c>
      <c r="F7951" s="127"/>
      <c r="G7951" s="127"/>
      <c r="H7951" s="127"/>
      <c r="I7951" s="128"/>
      <c r="K7951" s="55" t="s">
        <v>16513</v>
      </c>
      <c r="L7951" s="129">
        <v>3.162571906E10</v>
      </c>
      <c r="M7951" s="99" t="str">
        <f>IFERROR(__xludf.DUMMYFUNCTION("GOOGLEFINANCE(A7951,""beta"")"),"#N/A")</f>
        <v>#N/A</v>
      </c>
      <c r="N7951" s="107"/>
      <c r="P7951" s="107" t="str">
        <f>IFERROR(__xludf.DUMMYFUNCTION("if(A7951="""","""",IFERROR(substitute(Index(IMPORTHTML(""https://finviz.com/quote.ashx?t=""&amp;A7951,""Table"",8),2,1),""*"",""""),""-""))"),"-")</f>
        <v>-</v>
      </c>
    </row>
    <row r="7952">
      <c r="A7952" s="122" t="s">
        <v>16514</v>
      </c>
      <c r="B7952" s="123">
        <v>886982.0</v>
      </c>
      <c r="C7952" s="124" t="s">
        <v>16515</v>
      </c>
      <c r="D7952" s="125"/>
      <c r="E7952" s="126">
        <v>387.86</v>
      </c>
      <c r="F7952" s="127"/>
      <c r="G7952" s="127"/>
      <c r="H7952" s="127"/>
      <c r="I7952" s="128"/>
      <c r="K7952" s="138" t="s">
        <v>16516</v>
      </c>
      <c r="L7952" s="129">
        <v>1.26485989472E11</v>
      </c>
      <c r="M7952" s="99">
        <v>1.42</v>
      </c>
      <c r="N7952" s="107"/>
      <c r="P7952" s="107" t="str">
        <f>IFERROR(__xludf.DUMMYFUNCTION("if(A7952="""","""",IFERROR(substitute(Index(IMPORTHTML(""https://finviz.com/quote.ashx?t=""&amp;A7952,""Table"",8),2,1),""*"",""""),""-""))"),"-")</f>
        <v>-</v>
      </c>
    </row>
    <row r="7953">
      <c r="A7953" s="122" t="s">
        <v>16517</v>
      </c>
      <c r="B7953" s="123">
        <v>820027.0</v>
      </c>
      <c r="C7953" s="124" t="s">
        <v>16518</v>
      </c>
      <c r="D7953" s="125"/>
      <c r="E7953" s="126">
        <v>390.69</v>
      </c>
      <c r="F7953" s="127"/>
      <c r="G7953" s="127"/>
      <c r="H7953" s="127"/>
      <c r="I7953" s="128"/>
      <c r="K7953" s="55" t="s">
        <v>16519</v>
      </c>
      <c r="L7953" s="129">
        <v>3.9147099175E10</v>
      </c>
      <c r="M7953" s="99">
        <v>1.36</v>
      </c>
      <c r="N7953" s="107"/>
      <c r="P7953" s="107" t="str">
        <f>IFERROR(__xludf.DUMMYFUNCTION("if(A7953="""","""",IFERROR(substitute(Index(IMPORTHTML(""https://finviz.com/quote.ashx?t=""&amp;A7953,""Table"",8),2,1),""*"",""""),""-""))"),"-")</f>
        <v>-</v>
      </c>
    </row>
    <row r="7954">
      <c r="A7954" s="122" t="s">
        <v>16520</v>
      </c>
      <c r="B7954" s="123">
        <v>28917.0</v>
      </c>
      <c r="C7954" s="124" t="s">
        <v>16521</v>
      </c>
      <c r="D7954" s="125"/>
      <c r="E7954" s="126">
        <v>391.56</v>
      </c>
      <c r="F7954" s="127"/>
      <c r="G7954" s="127"/>
      <c r="H7954" s="127"/>
      <c r="I7954" s="128"/>
      <c r="K7954" s="55" t="s">
        <v>16522</v>
      </c>
      <c r="L7954" s="129">
        <v>6.218796677E9</v>
      </c>
      <c r="M7954" s="99">
        <v>0.93</v>
      </c>
      <c r="N7954" s="107"/>
      <c r="P7954" s="107" t="str">
        <f>IFERROR(__xludf.DUMMYFUNCTION("if(A7954="""","""",IFERROR(substitute(Index(IMPORTHTML(""https://finviz.com/quote.ashx?t=""&amp;A7954,""Table"",8),2,1),""*"",""""),""-""))"),"-")</f>
        <v>-</v>
      </c>
    </row>
    <row r="7955">
      <c r="A7955" s="122" t="s">
        <v>16523</v>
      </c>
      <c r="B7955" s="123">
        <v>315189.0</v>
      </c>
      <c r="C7955" s="124" t="s">
        <v>16524</v>
      </c>
      <c r="D7955" s="125"/>
      <c r="E7955" s="126">
        <v>392.6</v>
      </c>
      <c r="F7955" s="127"/>
      <c r="G7955" s="127"/>
      <c r="H7955" s="127"/>
      <c r="I7955" s="128"/>
      <c r="K7955" s="138" t="s">
        <v>16169</v>
      </c>
      <c r="L7955" s="129">
        <v>1.09923997188E11</v>
      </c>
      <c r="M7955" s="99">
        <v>1.05</v>
      </c>
      <c r="N7955" s="107"/>
      <c r="P7955" s="107" t="str">
        <f>IFERROR(__xludf.DUMMYFUNCTION("if(A7955="""","""",IFERROR(substitute(Index(IMPORTHTML(""https://finviz.com/quote.ashx?t=""&amp;A7955,""Table"",8),2,1),""*"",""""),""-""))"),"-")</f>
        <v>-</v>
      </c>
    </row>
    <row r="7956">
      <c r="A7956" s="122" t="s">
        <v>16525</v>
      </c>
      <c r="B7956" s="123">
        <v>105016.0</v>
      </c>
      <c r="C7956" s="124" t="s">
        <v>16526</v>
      </c>
      <c r="D7956" s="125"/>
      <c r="E7956" s="126">
        <v>395.5</v>
      </c>
      <c r="F7956" s="127"/>
      <c r="G7956" s="127"/>
      <c r="H7956" s="127"/>
      <c r="I7956" s="128"/>
      <c r="K7956" s="105" t="str">
        <f>IFERROR(__xludf.DUMMYFUNCTION("if(A7956="""","""",substitute(SUBSTITUTE(index(importhtml(""http://finviz.com/quote.ashx?t=""&amp;A7956,""table"",10),7,2),""*"",""""),""-"",""0.00""))"),"Loading...")</f>
        <v>Loading...</v>
      </c>
      <c r="L7956" s="129">
        <v>1.774429734E10</v>
      </c>
      <c r="M7956" s="99">
        <v>0.89</v>
      </c>
      <c r="N7956" s="107"/>
      <c r="P7956" s="107" t="str">
        <f>IFERROR(__xludf.DUMMYFUNCTION("if(A7956="""","""",IFERROR(substitute(Index(IMPORTHTML(""https://finviz.com/quote.ashx?t=""&amp;A7956,""Table"",8),2,1),""*"",""""),""-""))"),"-")</f>
        <v>-</v>
      </c>
    </row>
    <row r="7957">
      <c r="A7957" s="122" t="s">
        <v>16527</v>
      </c>
      <c r="B7957" s="123">
        <v>1836517.0</v>
      </c>
      <c r="C7957" s="124" t="s">
        <v>16528</v>
      </c>
      <c r="D7957" s="125"/>
      <c r="E7957" s="126">
        <v>395.54</v>
      </c>
      <c r="F7957" s="127"/>
      <c r="G7957" s="127"/>
      <c r="H7957" s="127"/>
      <c r="I7957" s="128"/>
      <c r="K7957" s="105" t="str">
        <f>IFERROR(__xludf.DUMMYFUNCTION("if(A7957="""","""",substitute(SUBSTITUTE(index(importhtml(""http://finviz.com/quote.ashx?t=""&amp;A7957,""table"",10),7,2),""*"",""""),""-"",""0.00""))"),"Loading...")</f>
        <v>Loading...</v>
      </c>
      <c r="L7957" s="129" t="e">
        <v>#N/A</v>
      </c>
      <c r="M7957" s="99" t="str">
        <f>IFERROR(__xludf.DUMMYFUNCTION("GOOGLEFINANCE(A7957,""beta"")"),"#N/A")</f>
        <v>#N/A</v>
      </c>
      <c r="N7957" s="107"/>
      <c r="P7957" s="107" t="str">
        <f>IFERROR(__xludf.DUMMYFUNCTION("if(A7957="""","""",IFERROR(substitute(Index(IMPORTHTML(""https://finviz.com/quote.ashx?t=""&amp;A7957,""Table"",8),2,1),""*"",""""),""-""))"),"-")</f>
        <v>-</v>
      </c>
    </row>
    <row r="7958">
      <c r="A7958" s="122" t="s">
        <v>16529</v>
      </c>
      <c r="B7958" s="123">
        <v>1669162.0</v>
      </c>
      <c r="C7958" s="124" t="s">
        <v>16530</v>
      </c>
      <c r="D7958" s="125"/>
      <c r="E7958" s="126">
        <v>395.72</v>
      </c>
      <c r="F7958" s="127"/>
      <c r="G7958" s="127"/>
      <c r="H7958" s="127"/>
      <c r="I7958" s="128"/>
      <c r="K7958" s="105" t="str">
        <f>IFERROR(__xludf.DUMMYFUNCTION("if(A7958="""","""",substitute(SUBSTITUTE(index(importhtml(""http://finviz.com/quote.ashx?t=""&amp;A7958,""table"",10),7,2),""*"",""""),""-"",""0.00""))"),"Loading...")</f>
        <v>Loading...</v>
      </c>
      <c r="L7958" s="129">
        <v>9.170201619E9</v>
      </c>
      <c r="M7958" s="99">
        <v>0.87</v>
      </c>
      <c r="N7958" s="107"/>
      <c r="P7958" s="107" t="str">
        <f>IFERROR(__xludf.DUMMYFUNCTION("if(A7958="""","""",IFERROR(substitute(Index(IMPORTHTML(""https://finviz.com/quote.ashx?t=""&amp;A7958,""Table"",8),2,1),""*"",""""),""-""))"),"-")</f>
        <v>-</v>
      </c>
    </row>
    <row r="7959">
      <c r="A7959" s="122" t="s">
        <v>16531</v>
      </c>
      <c r="B7959" s="123">
        <v>1059556.0</v>
      </c>
      <c r="C7959" s="124" t="s">
        <v>16532</v>
      </c>
      <c r="D7959" s="125"/>
      <c r="E7959" s="126">
        <v>399.6</v>
      </c>
      <c r="F7959" s="127"/>
      <c r="G7959" s="127"/>
      <c r="H7959" s="127"/>
      <c r="I7959" s="128"/>
      <c r="K7959" s="105" t="str">
        <f>IFERROR(__xludf.DUMMYFUNCTION("if(A7959="""","""",substitute(SUBSTITUTE(index(importhtml(""http://finviz.com/quote.ashx?t=""&amp;A7959,""table"",10),7,2),""*"",""""),""-"",""0.00""))"),"Loading...")</f>
        <v>Loading...</v>
      </c>
      <c r="L7959" s="129">
        <v>7.3126801116E10</v>
      </c>
      <c r="M7959" s="99">
        <v>1.3</v>
      </c>
      <c r="N7959" s="107"/>
      <c r="P7959" s="107" t="str">
        <f>IFERROR(__xludf.DUMMYFUNCTION("if(A7959="""","""",IFERROR(substitute(Index(IMPORTHTML(""https://finviz.com/quote.ashx?t=""&amp;A7959,""Table"",8),2,1),""*"",""""),""-""))"),"-")</f>
        <v>-</v>
      </c>
    </row>
    <row r="7960">
      <c r="A7960" s="122" t="s">
        <v>16533</v>
      </c>
      <c r="B7960" s="123">
        <v>886128.0</v>
      </c>
      <c r="C7960" s="124" t="s">
        <v>16534</v>
      </c>
      <c r="D7960" s="125"/>
      <c r="E7960" s="126">
        <v>400.0</v>
      </c>
      <c r="F7960" s="127"/>
      <c r="G7960" s="127"/>
      <c r="H7960" s="127"/>
      <c r="I7960" s="128"/>
      <c r="K7960" s="105" t="str">
        <f>IFERROR(__xludf.DUMMYFUNCTION("if(A7960="""","""",substitute(SUBSTITUTE(index(importhtml(""http://finviz.com/quote.ashx?t=""&amp;A7960,""table"",10),7,2),""*"",""""),""-"",""0.00""))"),"Loading...")</f>
        <v>Loading...</v>
      </c>
      <c r="L7960" s="129">
        <v>5.73791325E8</v>
      </c>
      <c r="M7960" s="99">
        <v>0.61</v>
      </c>
      <c r="N7960" s="107"/>
      <c r="P7960" s="107" t="str">
        <f>IFERROR(__xludf.DUMMYFUNCTION("if(A7960="""","""",IFERROR(substitute(Index(IMPORTHTML(""https://finviz.com/quote.ashx?t=""&amp;A7960,""Table"",8),2,1),""*"",""""),""-""))"),"-")</f>
        <v>-</v>
      </c>
    </row>
    <row r="7961">
      <c r="A7961" s="122" t="s">
        <v>16535</v>
      </c>
      <c r="B7961" s="123">
        <v>1704715.0</v>
      </c>
      <c r="C7961" s="124" t="s">
        <v>16536</v>
      </c>
      <c r="D7961" s="125"/>
      <c r="E7961" s="126">
        <v>403.53</v>
      </c>
      <c r="F7961" s="127"/>
      <c r="G7961" s="127"/>
      <c r="H7961" s="127"/>
      <c r="I7961" s="128"/>
      <c r="K7961" s="55" t="s">
        <v>1034</v>
      </c>
      <c r="L7961" s="129">
        <v>5.360327056E9</v>
      </c>
      <c r="M7961" s="99" t="str">
        <f>IFERROR(__xludf.DUMMYFUNCTION("GOOGLEFINANCE(A7961,""beta"")"),"#N/A")</f>
        <v>#N/A</v>
      </c>
      <c r="N7961" s="107"/>
      <c r="P7961" s="107" t="str">
        <f>IFERROR(__xludf.DUMMYFUNCTION("if(A7961="""","""",IFERROR(substitute(Index(IMPORTHTML(""https://finviz.com/quote.ashx?t=""&amp;A7961,""Table"",8),2,1),""*"",""""),""-""))"),"-")</f>
        <v>-</v>
      </c>
    </row>
    <row r="7962">
      <c r="A7962" s="122" t="s">
        <v>16537</v>
      </c>
      <c r="B7962" s="123">
        <v>1707925.0</v>
      </c>
      <c r="C7962" s="124" t="s">
        <v>16538</v>
      </c>
      <c r="D7962" s="125"/>
      <c r="E7962" s="126">
        <v>407.09</v>
      </c>
      <c r="F7962" s="127"/>
      <c r="G7962" s="127"/>
      <c r="H7962" s="127"/>
      <c r="I7962" s="128"/>
      <c r="K7962" s="105" t="str">
        <f>IFERROR(__xludf.DUMMYFUNCTION("if(A7962="""","""",substitute(SUBSTITUTE(index(importhtml(""http://finviz.com/quote.ashx?t=""&amp;A7962,""table"",10),7,2),""*"",""""),""-"",""0.00""))"),"Loading...")</f>
        <v>Loading...</v>
      </c>
      <c r="L7962" s="129">
        <v>1.9739403116E11</v>
      </c>
      <c r="M7962" s="99">
        <v>0.92</v>
      </c>
      <c r="N7962" s="107"/>
      <c r="P7962" s="107" t="str">
        <f>IFERROR(__xludf.DUMMYFUNCTION("if(A7962="""","""",IFERROR(substitute(Index(IMPORTHTML(""https://finviz.com/quote.ashx?t=""&amp;A7962,""Table"",8),2,1),""*"",""""),""-""))"),"-")</f>
        <v>-</v>
      </c>
    </row>
    <row r="7963">
      <c r="A7963" s="122" t="s">
        <v>16539</v>
      </c>
      <c r="B7963" s="123">
        <v>878927.0</v>
      </c>
      <c r="C7963" s="124" t="s">
        <v>16540</v>
      </c>
      <c r="D7963" s="125"/>
      <c r="E7963" s="126">
        <v>408.69</v>
      </c>
      <c r="F7963" s="127"/>
      <c r="G7963" s="127"/>
      <c r="H7963" s="127"/>
      <c r="I7963" s="128"/>
      <c r="K7963" s="105" t="str">
        <f>IFERROR(__xludf.DUMMYFUNCTION("if(A7963="""","""",substitute(SUBSTITUTE(index(importhtml(""http://finviz.com/quote.ashx?t=""&amp;A7963,""table"",10),7,2),""*"",""""),""-"",""0.00""))"),"Loading...")</f>
        <v>Loading...</v>
      </c>
      <c r="L7963" s="129">
        <v>4.459363745E10</v>
      </c>
      <c r="M7963" s="99">
        <v>1.02</v>
      </c>
      <c r="N7963" s="107"/>
      <c r="P7963" s="107" t="str">
        <f>IFERROR(__xludf.DUMMYFUNCTION("if(A7963="""","""",IFERROR(substitute(Index(IMPORTHTML(""https://finviz.com/quote.ashx?t=""&amp;A7963,""Table"",8),2,1),""*"",""""),""-""))"),"-")</f>
        <v>-</v>
      </c>
    </row>
    <row r="7964">
      <c r="A7964" s="122" t="s">
        <v>16541</v>
      </c>
      <c r="B7964" s="123">
        <v>789019.0</v>
      </c>
      <c r="C7964" s="124" t="s">
        <v>16542</v>
      </c>
      <c r="D7964" s="125"/>
      <c r="E7964" s="126">
        <v>411.22</v>
      </c>
      <c r="F7964" s="127"/>
      <c r="G7964" s="127"/>
      <c r="H7964" s="127"/>
      <c r="I7964" s="128"/>
      <c r="K7964" s="105" t="str">
        <f>IFERROR(__xludf.DUMMYFUNCTION("if(A7964="""","""",substitute(SUBSTITUTE(index(importhtml(""http://finviz.com/quote.ashx?t=""&amp;A7964,""table"",10),7,2),""*"",""""),""-"",""0.00""))"),"Loading...")</f>
        <v>Loading...</v>
      </c>
      <c r="L7964" s="129">
        <v>3.05554431221E12</v>
      </c>
      <c r="M7964" s="99">
        <v>0.9</v>
      </c>
      <c r="N7964" s="107"/>
      <c r="P7964" s="107" t="str">
        <f>IFERROR(__xludf.DUMMYFUNCTION("if(A7964="""","""",IFERROR(substitute(Index(IMPORTHTML(""https://finviz.com/quote.ashx?t=""&amp;A7964,""Table"",8),2,1),""*"",""""),""-""))"),"-")</f>
        <v>-</v>
      </c>
    </row>
    <row r="7965">
      <c r="A7965" s="122" t="s">
        <v>16543</v>
      </c>
      <c r="B7965" s="123">
        <v>1069202.0</v>
      </c>
      <c r="C7965" s="124" t="s">
        <v>16544</v>
      </c>
      <c r="D7965" s="125"/>
      <c r="E7965" s="126">
        <v>419.98</v>
      </c>
      <c r="F7965" s="127"/>
      <c r="G7965" s="127"/>
      <c r="H7965" s="127"/>
      <c r="I7965" s="128"/>
      <c r="K7965" s="105" t="str">
        <f>IFERROR(__xludf.DUMMYFUNCTION("if(A7965="""","""",substitute(SUBSTITUTE(index(importhtml(""http://finviz.com/quote.ashx?t=""&amp;A7965,""table"",10),7,2),""*"",""""),""-"",""0.00""))"),"Loading...")</f>
        <v>Loading...</v>
      </c>
      <c r="L7965" s="129">
        <v>1.4925967796E10</v>
      </c>
      <c r="M7965" s="99">
        <v>1.02</v>
      </c>
      <c r="N7965" s="107"/>
      <c r="P7965" s="107" t="str">
        <f>IFERROR(__xludf.DUMMYFUNCTION("if(A7965="""","""",IFERROR(substitute(Index(IMPORTHTML(""https://finviz.com/quote.ashx?t=""&amp;A7965,""Table"",8),2,1),""*"",""""),""-""))"),"-")</f>
        <v>-</v>
      </c>
    </row>
    <row r="7966">
      <c r="A7966" s="122" t="s">
        <v>16545</v>
      </c>
      <c r="B7966" s="123">
        <v>1286681.0</v>
      </c>
      <c r="C7966" s="124" t="s">
        <v>16546</v>
      </c>
      <c r="D7966" s="125"/>
      <c r="E7966" s="126">
        <v>422.06</v>
      </c>
      <c r="F7966" s="127"/>
      <c r="G7966" s="127"/>
      <c r="H7966" s="127"/>
      <c r="I7966" s="128"/>
      <c r="K7966" s="55" t="s">
        <v>16547</v>
      </c>
      <c r="L7966" s="129">
        <v>1.4721862113E10</v>
      </c>
      <c r="M7966" s="99">
        <v>0.84</v>
      </c>
      <c r="N7966" s="107"/>
      <c r="P7966" s="107" t="str">
        <f>IFERROR(__xludf.DUMMYFUNCTION("if(A7966="""","""",IFERROR(substitute(Index(IMPORTHTML(""https://finviz.com/quote.ashx?t=""&amp;A7966,""Table"",8),2,1),""*"",""""),""-""))"),"-")</f>
        <v>-</v>
      </c>
    </row>
    <row r="7967">
      <c r="A7967" s="122" t="s">
        <v>16548</v>
      </c>
      <c r="B7967" s="123">
        <v>927971.0</v>
      </c>
      <c r="C7967" s="124" t="s">
        <v>16549</v>
      </c>
      <c r="D7967" s="125"/>
      <c r="E7967" s="126">
        <v>423.25</v>
      </c>
      <c r="F7967" s="127"/>
      <c r="G7967" s="127"/>
      <c r="H7967" s="127"/>
      <c r="I7967" s="128"/>
      <c r="K7967" s="105" t="str">
        <f>IFERROR(__xludf.DUMMYFUNCTION("if(A7967="""","""",substitute(SUBSTITUTE(index(importhtml(""http://finviz.com/quote.ashx?t=""&amp;A7967,""table"",10),7,2),""*"",""""),""-"",""0.00""))"),"Loading...")</f>
        <v>Loading...</v>
      </c>
      <c r="L7967" s="129">
        <v>6.7808877943E10</v>
      </c>
      <c r="M7967" s="99" t="str">
        <f>IFERROR(__xludf.DUMMYFUNCTION("GOOGLEFINANCE(A7967,""beta"")"),"#N/A")</f>
        <v>#N/A</v>
      </c>
      <c r="N7967" s="107"/>
      <c r="P7967" s="107" t="str">
        <f>IFERROR(__xludf.DUMMYFUNCTION("if(A7967="""","""",IFERROR(substitute(Index(IMPORTHTML(""https://finviz.com/quote.ashx?t=""&amp;A7967,""Table"",8),2,1),""*"",""""),""-""))"),"-")</f>
        <v>-</v>
      </c>
    </row>
    <row r="7968">
      <c r="A7968" s="122" t="s">
        <v>16550</v>
      </c>
      <c r="B7968" s="123">
        <v>875320.0</v>
      </c>
      <c r="C7968" s="124" t="s">
        <v>16551</v>
      </c>
      <c r="D7968" s="125"/>
      <c r="E7968" s="126">
        <v>424.68</v>
      </c>
      <c r="F7968" s="127"/>
      <c r="G7968" s="127"/>
      <c r="H7968" s="127"/>
      <c r="I7968" s="128"/>
      <c r="K7968" s="105" t="str">
        <f>IFERROR(__xludf.DUMMYFUNCTION("if(A7968="""","""",substitute(SUBSTITUTE(index(importhtml(""http://finviz.com/quote.ashx?t=""&amp;A7968,""table"",10),7,2),""*"",""""),""-"",""0.00""))"),"Loading...")</f>
        <v>Loading...</v>
      </c>
      <c r="L7968" s="129">
        <v>1.0943285702E11</v>
      </c>
      <c r="M7968" s="99">
        <v>0.36</v>
      </c>
      <c r="N7968" s="107"/>
      <c r="P7968" s="107" t="str">
        <f>IFERROR(__xludf.DUMMYFUNCTION("if(A7968="""","""",IFERROR(substitute(Index(IMPORTHTML(""https://finviz.com/quote.ashx?t=""&amp;A7968,""Table"",8),2,1),""*"",""""),""-""))"),"-")</f>
        <v>-</v>
      </c>
    </row>
    <row r="7969">
      <c r="A7969" s="122" t="s">
        <v>16552</v>
      </c>
      <c r="B7969" s="123">
        <v>936468.0</v>
      </c>
      <c r="C7969" s="124" t="s">
        <v>16553</v>
      </c>
      <c r="D7969" s="125"/>
      <c r="E7969" s="126">
        <v>425.97</v>
      </c>
      <c r="F7969" s="127"/>
      <c r="G7969" s="127"/>
      <c r="H7969" s="127"/>
      <c r="I7969" s="128"/>
      <c r="K7969" s="105" t="str">
        <f>IFERROR(__xludf.DUMMYFUNCTION("if(A7969="""","""",substitute(SUBSTITUTE(index(importhtml(""http://finviz.com/quote.ashx?t=""&amp;A7969,""table"",10),7,2),""*"",""""),""-"",""0.00""))"),"Loading...")</f>
        <v>Loading...</v>
      </c>
      <c r="L7969" s="129">
        <v>1.02932754198E11</v>
      </c>
      <c r="M7969" s="99">
        <v>0.49</v>
      </c>
      <c r="N7969" s="107"/>
      <c r="P7969" s="107" t="str">
        <f>IFERROR(__xludf.DUMMYFUNCTION("if(A7969="""","""",IFERROR(substitute(Index(IMPORTHTML(""https://finviz.com/quote.ashx?t=""&amp;A7969,""Table"",8),2,1),""*"",""""),""-""))"),"-")</f>
        <v>-</v>
      </c>
    </row>
    <row r="7970">
      <c r="A7970" s="122" t="s">
        <v>16554</v>
      </c>
      <c r="B7970" s="123">
        <v>1067839.0</v>
      </c>
      <c r="C7970" s="124" t="s">
        <v>16555</v>
      </c>
      <c r="D7970" s="125"/>
      <c r="E7970" s="126">
        <v>429.01</v>
      </c>
      <c r="F7970" s="127"/>
      <c r="G7970" s="127"/>
      <c r="H7970" s="127"/>
      <c r="I7970" s="128"/>
      <c r="K7970" s="105" t="str">
        <f>IFERROR(__xludf.DUMMYFUNCTION("if(A7970="""","""",substitute(SUBSTITUTE(index(importhtml(""http://finviz.com/quote.ashx?t=""&amp;A7970,""table"",10),7,2),""*"",""""),""-"",""0.00""))"),"Loading...")</f>
        <v>Loading...</v>
      </c>
      <c r="L7970" s="129">
        <v>1.67549816412E11</v>
      </c>
      <c r="M7970" s="99">
        <v>1.1</v>
      </c>
      <c r="N7970" s="107"/>
      <c r="P7970" s="107" t="str">
        <f>IFERROR(__xludf.DUMMYFUNCTION("if(A7970="""","""",IFERROR(substitute(Index(IMPORTHTML(""https://finviz.com/quote.ashx?t=""&amp;A7970,""Table"",8),2,1),""*"",""""),""-""))"),"-")</f>
        <v>-</v>
      </c>
    </row>
    <row r="7971">
      <c r="A7971" s="122" t="s">
        <v>16556</v>
      </c>
      <c r="B7971" s="123">
        <v>860731.0</v>
      </c>
      <c r="C7971" s="124" t="s">
        <v>16557</v>
      </c>
      <c r="D7971" s="125"/>
      <c r="E7971" s="126">
        <v>430.86</v>
      </c>
      <c r="F7971" s="127"/>
      <c r="G7971" s="127"/>
      <c r="H7971" s="127"/>
      <c r="I7971" s="128"/>
      <c r="K7971" s="105" t="str">
        <f>IFERROR(__xludf.DUMMYFUNCTION("if(A7971="""","""",substitute(SUBSTITUTE(index(importhtml(""http://finviz.com/quote.ashx?t=""&amp;A7971,""table"",10),7,2),""*"",""""),""-"",""0.00""))"),"Loading...")</f>
        <v>Loading...</v>
      </c>
      <c r="L7971" s="129">
        <v>1.8149623577E10</v>
      </c>
      <c r="M7971" s="99">
        <v>0.83</v>
      </c>
      <c r="N7971" s="107"/>
      <c r="P7971" s="107" t="str">
        <f>IFERROR(__xludf.DUMMYFUNCTION("if(A7971="""","""",IFERROR(substitute(Index(IMPORTHTML(""https://finviz.com/quote.ashx?t=""&amp;A7971,""Table"",8),2,1),""*"",""""),""-""))"),"-")</f>
        <v>-</v>
      </c>
    </row>
    <row r="7972">
      <c r="A7972" s="122" t="s">
        <v>16558</v>
      </c>
      <c r="B7972" s="123">
        <v>1094285.0</v>
      </c>
      <c r="C7972" s="124" t="s">
        <v>16559</v>
      </c>
      <c r="D7972" s="125"/>
      <c r="E7972" s="126">
        <v>432.74</v>
      </c>
      <c r="F7972" s="127"/>
      <c r="G7972" s="127"/>
      <c r="H7972" s="127"/>
      <c r="I7972" s="128"/>
      <c r="K7972" s="105" t="str">
        <f>IFERROR(__xludf.DUMMYFUNCTION("if(A7972="""","""",substitute(SUBSTITUTE(index(importhtml(""http://finviz.com/quote.ashx?t=""&amp;A7972,""table"",10),7,2),""*"",""""),""-"",""0.00""))"),"Loading...")</f>
        <v>Loading...</v>
      </c>
      <c r="L7972" s="129">
        <v>2.0418702289E10</v>
      </c>
      <c r="M7972" s="99">
        <v>1.03</v>
      </c>
      <c r="N7972" s="107"/>
      <c r="P7972" s="107" t="str">
        <f>IFERROR(__xludf.DUMMYFUNCTION("if(A7972="""","""",IFERROR(substitute(Index(IMPORTHTML(""https://finviz.com/quote.ashx?t=""&amp;A7972,""Table"",8),2,1),""*"",""""),""-""))"),"-")</f>
        <v>-</v>
      </c>
    </row>
    <row r="7973">
      <c r="A7973" s="122" t="s">
        <v>16560</v>
      </c>
      <c r="B7973" s="123">
        <v>1441816.0</v>
      </c>
      <c r="C7973" s="124" t="s">
        <v>16561</v>
      </c>
      <c r="D7973" s="125"/>
      <c r="E7973" s="126">
        <v>436.01</v>
      </c>
      <c r="F7973" s="127"/>
      <c r="G7973" s="127"/>
      <c r="H7973" s="127"/>
      <c r="I7973" s="128"/>
      <c r="K7973" s="105" t="str">
        <f>IFERROR(__xludf.DUMMYFUNCTION("if(A7973="""","""",substitute(SUBSTITUTE(index(importhtml(""http://finviz.com/quote.ashx?t=""&amp;A7973,""table"",10),7,2),""*"",""""),""-"",""0.00""))"),"Loading...")</f>
        <v>Loading...</v>
      </c>
      <c r="L7973" s="129">
        <v>3.1470173521E10</v>
      </c>
      <c r="M7973" s="99">
        <v>1.24</v>
      </c>
      <c r="N7973" s="107"/>
      <c r="P7973" s="107" t="str">
        <f>IFERROR(__xludf.DUMMYFUNCTION("if(A7973="""","""",IFERROR(substitute(Index(IMPORTHTML(""https://finviz.com/quote.ashx?t=""&amp;A7973,""Table"",8),2,1),""*"",""""),""-""))"),"-")</f>
        <v>-</v>
      </c>
    </row>
    <row r="7974">
      <c r="A7974" s="122" t="s">
        <v>16562</v>
      </c>
      <c r="B7974" s="123">
        <v>1133421.0</v>
      </c>
      <c r="C7974" s="124" t="s">
        <v>16563</v>
      </c>
      <c r="D7974" s="125"/>
      <c r="E7974" s="126">
        <v>446.58</v>
      </c>
      <c r="F7974" s="127"/>
      <c r="G7974" s="127"/>
      <c r="H7974" s="127"/>
      <c r="I7974" s="128"/>
      <c r="K7974" s="105" t="str">
        <f>IFERROR(__xludf.DUMMYFUNCTION("if(A7974="""","""",substitute(SUBSTITUTE(index(importhtml(""http://finviz.com/quote.ashx?t=""&amp;A7974,""table"",10),7,2),""*"",""""),""-"",""0.00""))"),"Loading...")</f>
        <v>Loading...</v>
      </c>
      <c r="L7974" s="129">
        <v>6.7002896233E10</v>
      </c>
      <c r="M7974" s="99">
        <v>0.35</v>
      </c>
      <c r="N7974" s="107"/>
      <c r="P7974" s="107" t="str">
        <f>IFERROR(__xludf.DUMMYFUNCTION("if(A7974="""","""",IFERROR(substitute(Index(IMPORTHTML(""https://finviz.com/quote.ashx?t=""&amp;A7974,""Table"",8),2,1),""*"",""""),""-""))"),"-")</f>
        <v>-</v>
      </c>
    </row>
    <row r="7975">
      <c r="A7975" s="122" t="s">
        <v>16564</v>
      </c>
      <c r="B7975" s="123">
        <v>64040.0</v>
      </c>
      <c r="C7975" s="124" t="s">
        <v>16565</v>
      </c>
      <c r="D7975" s="125"/>
      <c r="E7975" s="126">
        <v>454.05</v>
      </c>
      <c r="F7975" s="127"/>
      <c r="G7975" s="127"/>
      <c r="H7975" s="127"/>
      <c r="I7975" s="128"/>
      <c r="K7975" s="105" t="str">
        <f>IFERROR(__xludf.DUMMYFUNCTION("if(A7975="""","""",substitute(SUBSTITUTE(index(importhtml(""http://finviz.com/quote.ashx?t=""&amp;A7975,""table"",10),7,2),""*"",""""),""-"",""0.00""))"),"Loading...")</f>
        <v>Loading...</v>
      </c>
      <c r="L7975" s="129">
        <v>1.448473E11</v>
      </c>
      <c r="M7975" s="99">
        <v>1.18</v>
      </c>
      <c r="N7975" s="107"/>
      <c r="P7975" s="107" t="str">
        <f>IFERROR(__xludf.DUMMYFUNCTION("if(A7975="""","""",IFERROR(substitute(Index(IMPORTHTML(""https://finviz.com/quote.ashx?t=""&amp;A7975,""Table"",8),2,1),""*"",""""),""-""))"),"-")</f>
        <v>-</v>
      </c>
    </row>
    <row r="7976">
      <c r="A7976" s="122" t="s">
        <v>16566</v>
      </c>
      <c r="B7976" s="123">
        <v>1141391.0</v>
      </c>
      <c r="C7976" s="124" t="s">
        <v>16567</v>
      </c>
      <c r="D7976" s="125"/>
      <c r="E7976" s="126">
        <v>460.58</v>
      </c>
      <c r="F7976" s="150"/>
      <c r="G7976" s="151"/>
      <c r="H7976" s="127"/>
      <c r="I7976" s="150" t="s">
        <v>16568</v>
      </c>
      <c r="K7976" s="138" t="s">
        <v>16569</v>
      </c>
      <c r="L7976" s="129">
        <v>4.31920903545E11</v>
      </c>
      <c r="M7976" s="99">
        <v>1.08</v>
      </c>
      <c r="N7976" s="107"/>
      <c r="P7976" s="107" t="str">
        <f>IFERROR(__xludf.DUMMYFUNCTION("if(A7976="""","""",IFERROR(substitute(Index(IMPORTHTML(""https://finviz.com/quote.ashx?t=""&amp;A7976,""Table"",8),2,1),""*"",""""),""-""))"),"-")</f>
        <v>-</v>
      </c>
    </row>
    <row r="7977">
      <c r="A7977" s="122" t="s">
        <v>16570</v>
      </c>
      <c r="B7977" s="123">
        <v>1397187.0</v>
      </c>
      <c r="C7977" s="124" t="s">
        <v>16571</v>
      </c>
      <c r="D7977" s="125"/>
      <c r="E7977" s="126">
        <v>462.4</v>
      </c>
      <c r="F7977" s="127"/>
      <c r="G7977" s="127"/>
      <c r="H7977" s="127"/>
      <c r="I7977" s="128"/>
      <c r="K7977" s="105" t="str">
        <f>IFERROR(__xludf.DUMMYFUNCTION("if(A7977="""","""",substitute(SUBSTITUTE(index(importhtml(""http://finviz.com/quote.ashx?t=""&amp;A7977,""table"",10),7,2),""*"",""""),""-"",""0.00""))"),"Loading...")</f>
        <v>Loading...</v>
      </c>
      <c r="L7977" s="129">
        <v>5.5984940541E10</v>
      </c>
      <c r="M7977" s="99">
        <v>1.33</v>
      </c>
      <c r="N7977" s="107"/>
      <c r="P7977" s="107" t="str">
        <f>IFERROR(__xludf.DUMMYFUNCTION("if(A7977="""","""",IFERROR(substitute(Index(IMPORTHTML(""https://finviz.com/quote.ashx?t=""&amp;A7977,""Table"",8),2,1),""*"",""""),""-""))"),"-")</f>
        <v>-</v>
      </c>
    </row>
    <row r="7978">
      <c r="A7978" s="122" t="s">
        <v>16572</v>
      </c>
      <c r="B7978" s="123">
        <v>1674988.0</v>
      </c>
      <c r="C7978" s="124" t="s">
        <v>16573</v>
      </c>
      <c r="D7978" s="125"/>
      <c r="E7978" s="126">
        <v>466.8</v>
      </c>
      <c r="F7978" s="127"/>
      <c r="G7978" s="127"/>
      <c r="H7978" s="127"/>
      <c r="I7978" s="128"/>
      <c r="K7978" s="105" t="str">
        <f>IFERROR(__xludf.DUMMYFUNCTION("if(A7978="""","""",substitute(SUBSTITUTE(index(importhtml(""http://finviz.com/quote.ashx?t=""&amp;A7978,""table"",10),7,2),""*"",""""),""-"",""0.00""))"),"Loading...")</f>
        <v>Loading...</v>
      </c>
      <c r="L7978" s="129">
        <v>2.940594E10</v>
      </c>
      <c r="M7978" s="99" t="str">
        <f>IFERROR(__xludf.DUMMYFUNCTION("GOOGLEFINANCE(A7978,""beta"")"),"#N/A")</f>
        <v>#N/A</v>
      </c>
      <c r="N7978" s="107"/>
      <c r="P7978" s="107" t="str">
        <f>IFERROR(__xludf.DUMMYFUNCTION("if(A7978="""","""",IFERROR(substitute(Index(IMPORTHTML(""https://finviz.com/quote.ashx?t=""&amp;A7978,""Table"",8),2,1),""*"",""""),""-""))"),"-")</f>
        <v>-</v>
      </c>
    </row>
    <row r="7979">
      <c r="A7979" s="122" t="s">
        <v>16574</v>
      </c>
      <c r="B7979" s="123">
        <v>749251.0</v>
      </c>
      <c r="C7979" s="124" t="s">
        <v>16575</v>
      </c>
      <c r="D7979" s="125"/>
      <c r="E7979" s="126">
        <v>469.89</v>
      </c>
      <c r="F7979" s="158"/>
      <c r="G7979" s="158"/>
      <c r="H7979" s="159" t="s">
        <v>9973</v>
      </c>
      <c r="I7979" s="160" t="s">
        <v>9974</v>
      </c>
      <c r="K7979" s="55" t="s">
        <v>1034</v>
      </c>
      <c r="L7979" s="129">
        <v>3.6627268795E10</v>
      </c>
      <c r="M7979" s="99">
        <v>1.3</v>
      </c>
      <c r="N7979" s="107"/>
      <c r="O7979" s="99" t="str">
        <f>IFERROR(__xludf.DUMMYFUNCTION("(SPARKLINE(index(GOOGLEFINANCE(K7979,""Price"",today()-$D$80,today()),,2),{""charttype"",""line"";""color"",""purple""}))"),"#N/A")</f>
        <v>#N/A</v>
      </c>
      <c r="P7979" s="107" t="str">
        <f>IFERROR(__xludf.DUMMYFUNCTION("if(A7979="""","""",IFERROR(substitute(Index(IMPORTHTML(""https://finviz.com/quote.ashx?t=""&amp;A7979,""Table"",8),2,1),""*"",""""),""-""))"),"-")</f>
        <v>-</v>
      </c>
      <c r="Q7979" s="161" t="s">
        <v>16576</v>
      </c>
    </row>
    <row r="7980">
      <c r="A7980" s="122" t="s">
        <v>16577</v>
      </c>
      <c r="B7980" s="123">
        <v>1908705.0</v>
      </c>
      <c r="C7980" s="124" t="s">
        <v>16578</v>
      </c>
      <c r="D7980" s="125"/>
      <c r="E7980" s="126">
        <v>470.0</v>
      </c>
      <c r="F7980" s="127"/>
      <c r="G7980" s="127"/>
      <c r="H7980" s="127"/>
      <c r="I7980" s="128"/>
      <c r="K7980" s="105" t="str">
        <f>IFERROR(__xludf.DUMMYFUNCTION("if(A7980="""","""",substitute(SUBSTITUTE(index(importhtml(""http://finviz.com/quote.ashx?t=""&amp;A7980,""table"",10),7,2),""*"",""""),""-"",""0.00""))"),"Loading...")</f>
        <v>Loading...</v>
      </c>
      <c r="L7980" s="129">
        <v>2.74395306E8</v>
      </c>
      <c r="M7980" s="99" t="str">
        <f>IFERROR(__xludf.DUMMYFUNCTION("GOOGLEFINANCE(A7980,""beta"")"),"#N/A")</f>
        <v>#N/A</v>
      </c>
      <c r="N7980" s="107"/>
      <c r="P7980" s="107" t="str">
        <f>IFERROR(__xludf.DUMMYFUNCTION("if(A7980="""","""",IFERROR(substitute(Index(IMPORTHTML(""https://finviz.com/quote.ashx?t=""&amp;A7980,""Table"",8),2,1),""*"",""""),""-""))"),"-")</f>
        <v>-</v>
      </c>
    </row>
    <row r="7981">
      <c r="A7981" s="122" t="s">
        <v>16579</v>
      </c>
      <c r="B7981" s="123">
        <v>1326801.0</v>
      </c>
      <c r="C7981" s="124" t="s">
        <v>16580</v>
      </c>
      <c r="D7981" s="125"/>
      <c r="E7981" s="126">
        <v>474.99</v>
      </c>
      <c r="F7981" s="142"/>
      <c r="G7981" s="147" t="s">
        <v>16581</v>
      </c>
      <c r="H7981" s="7" t="s">
        <v>16582</v>
      </c>
      <c r="I7981" s="7" t="s">
        <v>16583</v>
      </c>
      <c r="K7981" s="105" t="str">
        <f>IFERROR(__xludf.DUMMYFUNCTION("if(A7981="""","""",substitute(SUBSTITUTE(index(importhtml(""http://finviz.com/quote.ashx?t=""&amp;A7981,""table"",10),7,2),""*"",""""),""-"",""0.00""))"),"Loading...")</f>
        <v>Loading...</v>
      </c>
      <c r="L7981" s="129">
        <v>1.220658251293E12</v>
      </c>
      <c r="M7981" s="99">
        <v>1.15</v>
      </c>
      <c r="N7981" s="107"/>
      <c r="P7981" s="107" t="str">
        <f>IFERROR(__xludf.DUMMYFUNCTION("if(A7981="""","""",IFERROR(substitute(Index(IMPORTHTML(""https://finviz.com/quote.ashx?t=""&amp;A7981,""Table"",8),2,1),""*"",""""),""-""))"),"-")</f>
        <v>-</v>
      </c>
    </row>
    <row r="7982">
      <c r="A7982" s="122" t="s">
        <v>16584</v>
      </c>
      <c r="B7982" s="123">
        <v>1773250.0</v>
      </c>
      <c r="C7982" s="124" t="s">
        <v>16585</v>
      </c>
      <c r="D7982" s="125"/>
      <c r="E7982" s="126">
        <v>478.5</v>
      </c>
      <c r="F7982" s="127"/>
      <c r="G7982" s="127"/>
      <c r="H7982" s="127"/>
      <c r="I7982" s="128"/>
      <c r="K7982" s="105" t="str">
        <f>IFERROR(__xludf.DUMMYFUNCTION("if(A7982="""","""",substitute(SUBSTITUTE(index(importhtml(""http://finviz.com/quote.ashx?t=""&amp;A7982,""table"",10),7,2),""*"",""""),""-"",""0.00""))"),"Loading...")</f>
        <v>Loading...</v>
      </c>
      <c r="L7982" s="129">
        <v>3.2134158895E10</v>
      </c>
      <c r="M7982" s="99" t="str">
        <f>IFERROR(__xludf.DUMMYFUNCTION("GOOGLEFINANCE(A7982,""beta"")"),"#N/A")</f>
        <v>#N/A</v>
      </c>
      <c r="N7982" s="107"/>
      <c r="P7982" s="107" t="str">
        <f>IFERROR(__xludf.DUMMYFUNCTION("if(A7982="""","""",IFERROR(substitute(Index(IMPORTHTML(""https://finviz.com/quote.ashx?t=""&amp;A7982,""Table"",8),2,1),""*"",""""),""-""))"),"-")</f>
        <v>-</v>
      </c>
    </row>
    <row r="7983">
      <c r="A7983" s="122" t="s">
        <v>16586</v>
      </c>
      <c r="B7983" s="123">
        <v>1812727.0</v>
      </c>
      <c r="C7983" s="124" t="s">
        <v>16587</v>
      </c>
      <c r="D7983" s="125"/>
      <c r="E7983" s="126">
        <v>482.0</v>
      </c>
      <c r="F7983" s="143"/>
      <c r="G7983" s="136"/>
      <c r="H7983" s="127"/>
      <c r="I7983" s="128"/>
      <c r="K7983" s="105" t="str">
        <f>IFERROR(__xludf.DUMMYFUNCTION("if(A7983="""","""",substitute(SUBSTITUTE(index(importhtml(""http://finviz.com/quote.ashx?t=""&amp;A7983,""table"",10),7,2),""*"",""""),""-"",""0.00""))"),"Loading...")</f>
        <v>Loading...</v>
      </c>
      <c r="L7983" s="129">
        <v>8.676E11</v>
      </c>
      <c r="M7983" s="99">
        <f>IFERROR(__xludf.DUMMYFUNCTION("GOOGLEFINANCE(A7983,""beta"")"),-0.13)</f>
        <v>-0.13</v>
      </c>
      <c r="N7983" s="107"/>
      <c r="P7983" s="107" t="str">
        <f>IFERROR(__xludf.DUMMYFUNCTION("if(A7983="""","""",IFERROR(substitute(Index(IMPORTHTML(""https://finviz.com/quote.ashx?t=""&amp;A7983,""Table"",8),2,1),""*"",""""),""-""))"),"-")</f>
        <v>-</v>
      </c>
    </row>
    <row r="7984">
      <c r="A7984" s="122" t="s">
        <v>16588</v>
      </c>
      <c r="B7984" s="123">
        <v>1635984.0</v>
      </c>
      <c r="C7984" s="124" t="s">
        <v>16589</v>
      </c>
      <c r="D7984" s="125"/>
      <c r="E7984" s="126">
        <v>483.1</v>
      </c>
      <c r="F7984" s="127"/>
      <c r="G7984" s="127"/>
      <c r="H7984" s="127"/>
      <c r="I7984" s="128"/>
      <c r="K7984" s="105" t="str">
        <f>IFERROR(__xludf.DUMMYFUNCTION("if(A7984="""","""",substitute(SUBSTITUTE(index(importhtml(""http://finviz.com/quote.ashx?t=""&amp;A7984,""table"",10),7,2),""*"",""""),""-"",""0.00""))"),"Loading...")</f>
        <v>Loading...</v>
      </c>
      <c r="L7984" s="129">
        <v>1.758452E9</v>
      </c>
      <c r="M7984" s="99">
        <v>0.71</v>
      </c>
      <c r="N7984" s="107"/>
      <c r="P7984" s="107" t="str">
        <f>IFERROR(__xludf.DUMMYFUNCTION("if(A7984="""","""",IFERROR(substitute(Index(IMPORTHTML(""https://finviz.com/quote.ashx?t=""&amp;A7984,""Table"",8),2,1),""*"",""""),""-""))"),"-")</f>
        <v>-</v>
      </c>
    </row>
    <row r="7985">
      <c r="A7985" s="122" t="s">
        <v>16590</v>
      </c>
      <c r="B7985" s="123">
        <v>736744.0</v>
      </c>
      <c r="C7985" s="124" t="s">
        <v>16591</v>
      </c>
      <c r="D7985" s="125"/>
      <c r="E7985" s="126">
        <v>485.0</v>
      </c>
      <c r="F7985" s="127"/>
      <c r="G7985" s="127"/>
      <c r="H7985" s="127"/>
      <c r="I7985" s="128"/>
      <c r="K7985" s="105" t="str">
        <f>IFERROR(__xludf.DUMMYFUNCTION("if(A7985="""","""",substitute(SUBSTITUTE(index(importhtml(""http://finviz.com/quote.ashx?t=""&amp;A7985,""table"",10),7,2),""*"",""""),""-"",""0.00""))"),"Loading...")</f>
        <v>Loading...</v>
      </c>
      <c r="L7985" s="129">
        <v>1.659920069E10</v>
      </c>
      <c r="M7985" s="99" t="str">
        <f>IFERROR(__xludf.DUMMYFUNCTION("GOOGLEFINANCE(A7985,""beta"")"),"#N/A")</f>
        <v>#N/A</v>
      </c>
      <c r="N7985" s="107"/>
      <c r="P7985" s="107" t="str">
        <f>IFERROR(__xludf.DUMMYFUNCTION("if(A7985="""","""",IFERROR(substitute(Index(IMPORTHTML(""https://finviz.com/quote.ashx?t=""&amp;A7985,""Table"",8),2,1),""*"",""""),""-""))"),"-")</f>
        <v>-</v>
      </c>
    </row>
    <row r="7986">
      <c r="A7986" s="122" t="s">
        <v>16592</v>
      </c>
      <c r="B7986" s="123">
        <v>1013237.0</v>
      </c>
      <c r="C7986" s="124" t="s">
        <v>16593</v>
      </c>
      <c r="D7986" s="125"/>
      <c r="E7986" s="126">
        <v>486.77</v>
      </c>
      <c r="F7986" s="127"/>
      <c r="G7986" s="127"/>
      <c r="H7986" s="127"/>
      <c r="I7986" s="128"/>
      <c r="K7986" s="55" t="s">
        <v>15923</v>
      </c>
      <c r="L7986" s="129">
        <v>1.8539306774E10</v>
      </c>
      <c r="M7986" s="99">
        <v>0.75</v>
      </c>
      <c r="N7986" s="107"/>
      <c r="P7986" s="107" t="str">
        <f>IFERROR(__xludf.DUMMYFUNCTION("if(A7986="""","""",IFERROR(substitute(Index(IMPORTHTML(""https://finviz.com/quote.ashx?t=""&amp;A7986,""Table"",8),2,1),""*"",""""),""-""))"),"-")</f>
        <v>-</v>
      </c>
    </row>
    <row r="7987">
      <c r="A7987" s="122" t="s">
        <v>16594</v>
      </c>
      <c r="B7987" s="123">
        <v>884394.0</v>
      </c>
      <c r="C7987" s="124" t="s">
        <v>16595</v>
      </c>
      <c r="D7987" s="125"/>
      <c r="E7987" s="126">
        <v>494.35</v>
      </c>
      <c r="F7987" s="139"/>
      <c r="G7987" s="139"/>
      <c r="H7987" s="127"/>
      <c r="I7987" s="128"/>
      <c r="K7987" s="105" t="str">
        <f>IFERROR(__xludf.DUMMYFUNCTION("if(A7987="""","""",substitute(SUBSTITUTE(index(importhtml(""http://finviz.com/quote.ashx?t=""&amp;A7987,""table"",10),7,2),""*"",""""),""-"",""0.00""))"),"Loading...")</f>
        <v>Loading...</v>
      </c>
      <c r="L7987" s="129">
        <v>4.46200760424E11</v>
      </c>
      <c r="M7987" s="99" t="str">
        <f>IFERROR(__xludf.DUMMYFUNCTION("GOOGLEFINANCE(A7987,""beta"")"),"#N/A")</f>
        <v>#N/A</v>
      </c>
      <c r="N7987" s="107"/>
      <c r="P7987" s="107" t="str">
        <f>IFERROR(__xludf.DUMMYFUNCTION("if(A7987="""","""",IFERROR(substitute(Index(IMPORTHTML(""https://finviz.com/quote.ashx?t=""&amp;A7987,""Table"",8),2,1),""*"",""""),""-""))"),"-")</f>
        <v>-</v>
      </c>
    </row>
    <row r="7988">
      <c r="A7988" s="122" t="s">
        <v>16596</v>
      </c>
      <c r="B7988" s="123">
        <v>1156039.0</v>
      </c>
      <c r="C7988" s="124" t="s">
        <v>16597</v>
      </c>
      <c r="D7988" s="125"/>
      <c r="E7988" s="126">
        <v>495.12</v>
      </c>
      <c r="F7988" s="127"/>
      <c r="G7988" s="127"/>
      <c r="H7988" s="127"/>
      <c r="I7988" s="128"/>
      <c r="K7988" s="55" t="s">
        <v>16598</v>
      </c>
      <c r="L7988" s="129">
        <v>1.164058E11</v>
      </c>
      <c r="M7988" s="99">
        <v>0.78</v>
      </c>
      <c r="N7988" s="107"/>
      <c r="P7988" s="107" t="str">
        <f>IFERROR(__xludf.DUMMYFUNCTION("if(A7988="""","""",IFERROR(substitute(Index(IMPORTHTML(""https://finviz.com/quote.ashx?t=""&amp;A7988,""Table"",8),2,1),""*"",""""),""-""))"),"-")</f>
        <v>-</v>
      </c>
    </row>
    <row r="7989">
      <c r="A7989" s="122" t="s">
        <v>16599</v>
      </c>
      <c r="B7989" s="123">
        <v>1050446.0</v>
      </c>
      <c r="C7989" s="124" t="s">
        <v>16600</v>
      </c>
      <c r="D7989" s="125"/>
      <c r="E7989" s="126">
        <v>500.1</v>
      </c>
      <c r="F7989" s="127"/>
      <c r="G7989" s="127"/>
      <c r="H7989" s="127"/>
      <c r="I7989" s="128"/>
      <c r="K7989" s="105" t="str">
        <f>IFERROR(__xludf.DUMMYFUNCTION("if(A7989="""","""",substitute(SUBSTITUTE(index(importhtml(""http://finviz.com/quote.ashx?t=""&amp;A7989,""table"",10),7,2),""*"",""""),""-"",""0.00""))"),"Loading...")</f>
        <v>Loading...</v>
      </c>
      <c r="L7989" s="129">
        <v>6.83780237E9</v>
      </c>
      <c r="M7989" s="99">
        <v>2.61</v>
      </c>
      <c r="N7989" s="107"/>
      <c r="P7989" s="107" t="str">
        <f>IFERROR(__xludf.DUMMYFUNCTION("if(A7989="""","""",IFERROR(substitute(Index(IMPORTHTML(""https://finviz.com/quote.ashx?t=""&amp;A7989,""Table"",8),2,1),""*"",""""),""-""))"),"-")</f>
        <v>-</v>
      </c>
    </row>
    <row r="7990">
      <c r="A7990" s="122" t="s">
        <v>16601</v>
      </c>
      <c r="B7990" s="123">
        <v>927653.0</v>
      </c>
      <c r="C7990" s="124" t="s">
        <v>16602</v>
      </c>
      <c r="D7990" s="125"/>
      <c r="E7990" s="126">
        <v>504.45</v>
      </c>
      <c r="F7990" s="127"/>
      <c r="G7990" s="127"/>
      <c r="H7990" s="127"/>
      <c r="I7990" s="128"/>
      <c r="K7990" s="105" t="str">
        <f>IFERROR(__xludf.DUMMYFUNCTION("if(A7990="""","""",substitute(SUBSTITUTE(index(importhtml(""http://finviz.com/quote.ashx?t=""&amp;A7990,""table"",10),7,2),""*"",""""),""-"",""0.00""))"),"Loading...")</f>
        <v>Loading...</v>
      </c>
      <c r="L7990" s="129">
        <v>6.7123329304E10</v>
      </c>
      <c r="M7990" s="99">
        <v>0.44</v>
      </c>
      <c r="N7990" s="107"/>
      <c r="P7990" s="107" t="str">
        <f>IFERROR(__xludf.DUMMYFUNCTION("if(A7990="""","""",IFERROR(substitute(Index(IMPORTHTML(""https://finviz.com/quote.ashx?t=""&amp;A7990,""Table"",8),2,1),""*"",""""),""-""))"),"-")</f>
        <v>-</v>
      </c>
    </row>
    <row r="7991">
      <c r="A7991" s="122" t="s">
        <v>16603</v>
      </c>
      <c r="B7991" s="123">
        <v>936958.0</v>
      </c>
      <c r="C7991" s="124" t="s">
        <v>16604</v>
      </c>
      <c r="D7991" s="125"/>
      <c r="E7991" s="126">
        <v>505.01</v>
      </c>
      <c r="F7991" s="127"/>
      <c r="G7991" s="127"/>
      <c r="H7991" s="127"/>
      <c r="I7991" s="128"/>
      <c r="K7991" s="105" t="str">
        <f>IFERROR(__xludf.DUMMYFUNCTION("if(A7991="""","""",substitute(SUBSTITUTE(index(importhtml(""http://finviz.com/quote.ashx?t=""&amp;A7991,""table"",10),7,2),""*"",""""),""-"",""0.00""))"),"Loading...")</f>
        <v>Loading...</v>
      </c>
      <c r="L7991" s="129">
        <v>2.6281114816E10</v>
      </c>
      <c r="M7991" s="99" t="str">
        <f>IFERROR(__xludf.DUMMYFUNCTION("GOOGLEFINANCE(A7991,""beta"")"),"#N/A")</f>
        <v>#N/A</v>
      </c>
      <c r="N7991" s="107"/>
      <c r="P7991" s="107" t="str">
        <f>IFERROR(__xludf.DUMMYFUNCTION("if(A7991="""","""",IFERROR(substitute(Index(IMPORTHTML(""https://finviz.com/quote.ashx?t=""&amp;A7991,""Table"",8),2,1),""*"",""""),""-""))"),"-")</f>
        <v>-</v>
      </c>
    </row>
    <row r="7992">
      <c r="A7992" s="122" t="s">
        <v>16605</v>
      </c>
      <c r="B7992" s="123">
        <v>1403568.0</v>
      </c>
      <c r="C7992" s="124" t="s">
        <v>16606</v>
      </c>
      <c r="D7992" s="125"/>
      <c r="E7992" s="126">
        <v>505.33</v>
      </c>
      <c r="F7992" s="127"/>
      <c r="G7992" s="127"/>
      <c r="H7992" s="127"/>
      <c r="I7992" s="128"/>
      <c r="K7992" s="105" t="str">
        <f>IFERROR(__xludf.DUMMYFUNCTION("if(A7992="""","""",substitute(SUBSTITUTE(index(importhtml(""http://finviz.com/quote.ashx?t=""&amp;A7992,""table"",10),7,2),""*"",""""),""-"",""0.00""))"),"Loading...")</f>
        <v>Loading...</v>
      </c>
      <c r="L7992" s="129">
        <v>2.4539592249E10</v>
      </c>
      <c r="M7992" s="99">
        <v>1.31</v>
      </c>
      <c r="N7992" s="107"/>
      <c r="P7992" s="107" t="str">
        <f>IFERROR(__xludf.DUMMYFUNCTION("if(A7992="""","""",IFERROR(substitute(Index(IMPORTHTML(""https://finviz.com/quote.ashx?t=""&amp;A7992,""Table"",8),2,1),""*"",""""),""-""))"),"-")</f>
        <v>-</v>
      </c>
    </row>
    <row r="7993">
      <c r="A7993" s="122" t="s">
        <v>16607</v>
      </c>
      <c r="B7993" s="123">
        <v>1632127.0</v>
      </c>
      <c r="C7993" s="124" t="s">
        <v>16608</v>
      </c>
      <c r="D7993" s="125"/>
      <c r="E7993" s="126">
        <v>510.01</v>
      </c>
      <c r="F7993" s="127"/>
      <c r="G7993" s="127"/>
      <c r="H7993" s="127"/>
      <c r="I7993" s="128"/>
      <c r="K7993" s="105" t="str">
        <f>IFERROR(__xludf.DUMMYFUNCTION("if(A7993="""","""",substitute(SUBSTITUTE(index(importhtml(""http://finviz.com/quote.ashx?t=""&amp;A7993,""table"",10),7,2),""*"",""""),""-"",""0.00""))"),"Loading...")</f>
        <v>Loading...</v>
      </c>
      <c r="L7993" s="129">
        <v>2.864588522E9</v>
      </c>
      <c r="M7993" s="99">
        <v>0.87</v>
      </c>
      <c r="N7993" s="107"/>
      <c r="P7993" s="107" t="str">
        <f>IFERROR(__xludf.DUMMYFUNCTION("if(A7993="""","""",IFERROR(substitute(Index(IMPORTHTML(""https://finviz.com/quote.ashx?t=""&amp;A7993,""Table"",8),2,1),""*"",""""),""-""))"),"-")</f>
        <v>-</v>
      </c>
    </row>
    <row r="7994">
      <c r="A7994" s="122" t="s">
        <v>16609</v>
      </c>
      <c r="B7994" s="123">
        <v>731766.0</v>
      </c>
      <c r="C7994" s="124" t="s">
        <v>16610</v>
      </c>
      <c r="D7994" s="125"/>
      <c r="E7994" s="126">
        <v>510.23</v>
      </c>
      <c r="F7994" s="139"/>
      <c r="G7994" s="139"/>
      <c r="H7994" s="127"/>
      <c r="I7994" s="128"/>
      <c r="K7994" s="105" t="str">
        <f>IFERROR(__xludf.DUMMYFUNCTION("if(A7994="""","""",substitute(SUBSTITUTE(index(importhtml(""http://finviz.com/quote.ashx?t=""&amp;A7994,""table"",10),7,2),""*"",""""),""-"",""0.00""))"),"Loading...")</f>
        <v>Loading...</v>
      </c>
      <c r="L7994" s="129">
        <v>4.71924594957E11</v>
      </c>
      <c r="M7994" s="99">
        <v>0.54</v>
      </c>
      <c r="N7994" s="107"/>
      <c r="P7994" s="107" t="str">
        <f>IFERROR(__xludf.DUMMYFUNCTION("if(A7994="""","""",IFERROR(substitute(Index(IMPORTHTML(""https://finviz.com/quote.ashx?t=""&amp;A7994,""Table"",8),2,1),""*"",""""),""-""))"),"-")</f>
        <v>-</v>
      </c>
    </row>
    <row r="7995">
      <c r="A7995" s="122" t="s">
        <v>16611</v>
      </c>
      <c r="B7995" s="123">
        <v>76334.0</v>
      </c>
      <c r="C7995" s="124" t="s">
        <v>16612</v>
      </c>
      <c r="D7995" s="125"/>
      <c r="E7995" s="126">
        <v>510.36</v>
      </c>
      <c r="F7995" s="127"/>
      <c r="G7995" s="127"/>
      <c r="H7995" s="127"/>
      <c r="I7995" s="128"/>
      <c r="K7995" s="138" t="s">
        <v>16613</v>
      </c>
      <c r="L7995" s="129">
        <v>6.5568907406E10</v>
      </c>
      <c r="M7995" s="99">
        <v>1.5</v>
      </c>
      <c r="N7995" s="107"/>
      <c r="P7995" s="107" t="str">
        <f>IFERROR(__xludf.DUMMYFUNCTION("if(A7995="""","""",IFERROR(substitute(Index(IMPORTHTML(""https://finviz.com/quote.ashx?t=""&amp;A7995,""Table"",8),2,1),""*"",""""),""-""))"),"-")</f>
        <v>-</v>
      </c>
    </row>
    <row r="7996">
      <c r="A7996" s="122" t="s">
        <v>16614</v>
      </c>
      <c r="B7996" s="123">
        <v>916076.0</v>
      </c>
      <c r="C7996" s="124" t="s">
        <v>16585</v>
      </c>
      <c r="D7996" s="125"/>
      <c r="E7996" s="126">
        <v>519.91</v>
      </c>
      <c r="F7996" s="127"/>
      <c r="G7996" s="127"/>
      <c r="H7996" s="127"/>
      <c r="I7996" s="128"/>
      <c r="K7996" s="105" t="str">
        <f>IFERROR(__xludf.DUMMYFUNCTION("if(A7996="""","""",substitute(SUBSTITUTE(index(importhtml(""http://finviz.com/quote.ashx?t=""&amp;A7996,""table"",10),7,2),""*"",""""),""-"",""0.00""))"),"Loading...")</f>
        <v>Loading...</v>
      </c>
      <c r="L7996" s="129">
        <v>3.2134158895E10</v>
      </c>
      <c r="M7996" s="99">
        <v>0.94</v>
      </c>
      <c r="N7996" s="107"/>
      <c r="P7996" s="107" t="str">
        <f>IFERROR(__xludf.DUMMYFUNCTION("if(A7996="""","""",IFERROR(substitute(Index(IMPORTHTML(""https://finviz.com/quote.ashx?t=""&amp;A7996,""Table"",8),2,1),""*"",""""),""-""))"),"-")</f>
        <v>-</v>
      </c>
    </row>
    <row r="7997">
      <c r="A7997" s="122" t="s">
        <v>16615</v>
      </c>
      <c r="B7997" s="123">
        <v>874716.0</v>
      </c>
      <c r="C7997" s="124" t="s">
        <v>16616</v>
      </c>
      <c r="D7997" s="125"/>
      <c r="E7997" s="126">
        <v>527.14</v>
      </c>
      <c r="F7997" s="127"/>
      <c r="G7997" s="127"/>
      <c r="H7997" s="127"/>
      <c r="I7997" s="128"/>
      <c r="K7997" s="105" t="str">
        <f>IFERROR(__xludf.DUMMYFUNCTION("if(A7997="""","""",substitute(SUBSTITUTE(index(importhtml(""http://finviz.com/quote.ashx?t=""&amp;A7997,""table"",10),7,2),""*"",""""),""-"",""0.00""))"),"Loading...")</f>
        <v>Loading...</v>
      </c>
      <c r="L7997" s="129">
        <v>4.3779869083E10</v>
      </c>
      <c r="M7997" s="99">
        <v>1.25</v>
      </c>
      <c r="N7997" s="107"/>
      <c r="P7997" s="107" t="str">
        <f>IFERROR(__xludf.DUMMYFUNCTION("if(A7997="""","""",IFERROR(substitute(Index(IMPORTHTML(""https://finviz.com/quote.ashx?t=""&amp;A7997,""Table"",8),2,1),""*"",""""),""-""))"),"-")</f>
        <v>-</v>
      </c>
    </row>
    <row r="7998">
      <c r="A7998" s="122" t="s">
        <v>16617</v>
      </c>
      <c r="B7998" s="123">
        <v>1114446.0</v>
      </c>
      <c r="C7998" s="124" t="s">
        <v>16618</v>
      </c>
      <c r="D7998" s="125"/>
      <c r="E7998" s="126">
        <v>527.77</v>
      </c>
      <c r="F7998" s="127"/>
      <c r="G7998" s="127"/>
      <c r="H7998" s="127"/>
      <c r="I7998" s="128"/>
      <c r="K7998" s="105" t="str">
        <f>IFERROR(__xludf.DUMMYFUNCTION("if(A7998="""","""",substitute(SUBSTITUTE(index(importhtml(""http://finviz.com/quote.ashx?t=""&amp;A7998,""table"",10),7,2),""*"",""""),""-"",""0.00""))"),"Loading...")</f>
        <v>Loading...</v>
      </c>
      <c r="L7998" s="129" t="e">
        <v>#N/A</v>
      </c>
      <c r="M7998" s="99" t="str">
        <f>IFERROR(__xludf.DUMMYFUNCTION("GOOGLEFINANCE(A7998,""beta"")"),"#N/A")</f>
        <v>#N/A</v>
      </c>
      <c r="N7998" s="107"/>
      <c r="P7998" s="107" t="str">
        <f>IFERROR(__xludf.DUMMYFUNCTION("if(A7998="""","""",IFERROR(substitute(Index(IMPORTHTML(""https://finviz.com/quote.ashx?t=""&amp;A7998,""Table"",8),2,1),""*"",""""),""-""))"),"-")</f>
        <v>-</v>
      </c>
    </row>
    <row r="7999">
      <c r="A7999" s="122" t="s">
        <v>16619</v>
      </c>
      <c r="B7999" s="123">
        <v>882835.0</v>
      </c>
      <c r="C7999" s="124" t="s">
        <v>16620</v>
      </c>
      <c r="D7999" s="125"/>
      <c r="E7999" s="126">
        <v>549.62</v>
      </c>
      <c r="F7999" s="127"/>
      <c r="G7999" s="127"/>
      <c r="H7999" s="127"/>
      <c r="I7999" s="128"/>
      <c r="K7999" s="105" t="str">
        <f>IFERROR(__xludf.DUMMYFUNCTION("if(A7999="""","""",substitute(SUBSTITUTE(index(importhtml(""http://finviz.com/quote.ashx?t=""&amp;A7999,""table"",10),7,2),""*"",""""),""-"",""0.00""))"),"Loading...")</f>
        <v>Loading...</v>
      </c>
      <c r="L7999" s="129">
        <v>5.871156208E10</v>
      </c>
      <c r="M7999" s="99">
        <v>1.02</v>
      </c>
      <c r="N7999" s="107"/>
      <c r="P7999" s="107" t="str">
        <f>IFERROR(__xludf.DUMMYFUNCTION("if(A7999="""","""",IFERROR(substitute(Index(IMPORTHTML(""https://finviz.com/quote.ashx?t=""&amp;A7999,""Table"",8),2,1),""*"",""""),""-""))"),"-")</f>
        <v>-</v>
      </c>
    </row>
    <row r="8000">
      <c r="A8000" s="122" t="s">
        <v>16621</v>
      </c>
      <c r="B8000" s="123">
        <v>883241.0</v>
      </c>
      <c r="C8000" s="124" t="s">
        <v>16622</v>
      </c>
      <c r="D8000" s="125"/>
      <c r="E8000" s="126">
        <v>552.05</v>
      </c>
      <c r="F8000" s="127"/>
      <c r="G8000" s="127"/>
      <c r="H8000" s="127"/>
      <c r="I8000" s="128"/>
      <c r="K8000" s="105" t="str">
        <f>IFERROR(__xludf.DUMMYFUNCTION("if(A8000="""","""",substitute(SUBSTITUTE(index(importhtml(""http://finviz.com/quote.ashx?t=""&amp;A8000,""table"",10),7,2),""*"",""""),""-"",""0.00""))"),"Loading...")</f>
        <v>Loading...</v>
      </c>
      <c r="L8000" s="129">
        <v>8.4199216188E10</v>
      </c>
      <c r="M8000" s="99">
        <v>1.07</v>
      </c>
      <c r="P8000" s="107" t="str">
        <f>IFERROR(__xludf.DUMMYFUNCTION("if(A8000="""","""",IFERROR(substitute(Index(IMPORTHTML(""https://finviz.com/quote.ashx?t=""&amp;A8000,""Table"",8),2,1),""*"",""""),""-""))"),"-")</f>
        <v>-</v>
      </c>
    </row>
    <row r="8001">
      <c r="A8001" s="122" t="s">
        <v>16623</v>
      </c>
      <c r="B8001" s="123">
        <v>1065280.0</v>
      </c>
      <c r="C8001" s="124" t="s">
        <v>16624</v>
      </c>
      <c r="D8001" s="125"/>
      <c r="E8001" s="126">
        <v>564.64</v>
      </c>
      <c r="F8001" s="127"/>
      <c r="G8001" s="127"/>
      <c r="H8001" s="127"/>
      <c r="I8001" s="128"/>
      <c r="K8001" s="105" t="str">
        <f>IFERROR(__xludf.DUMMYFUNCTION("if(A8001="""","""",substitute(SUBSTITUTE(index(importhtml(""http://finviz.com/quote.ashx?t=""&amp;A8001,""table"",10),7,2),""*"",""""),""-"",""0.00""))"),"Loading...")</f>
        <v>Loading...</v>
      </c>
      <c r="L8001" s="129">
        <v>2.44353330419E11</v>
      </c>
      <c r="M8001" s="99">
        <v>1.22</v>
      </c>
      <c r="N8001" s="107"/>
      <c r="P8001" s="107" t="str">
        <f>IFERROR(__xludf.DUMMYFUNCTION("if(A8001="""","""",IFERROR(substitute(Index(IMPORTHTML(""https://finviz.com/quote.ashx?t=""&amp;A8001,""Table"",8),2,1),""*"",""""),""-""))"),"-")</f>
        <v>-</v>
      </c>
    </row>
    <row r="8002">
      <c r="A8002" s="122" t="s">
        <v>16625</v>
      </c>
      <c r="B8002" s="123">
        <v>1375365.0</v>
      </c>
      <c r="C8002" s="124" t="s">
        <v>16626</v>
      </c>
      <c r="D8002" s="125"/>
      <c r="E8002" s="126">
        <v>579.63</v>
      </c>
      <c r="F8002" s="127"/>
      <c r="G8002" s="127"/>
      <c r="H8002" s="127"/>
      <c r="I8002" s="128"/>
      <c r="K8002" s="105" t="str">
        <f>IFERROR(__xludf.DUMMYFUNCTION("if(A8002="""","""",substitute(SUBSTITUTE(index(importhtml(""http://finviz.com/quote.ashx?t=""&amp;A8002,""table"",10),7,2),""*"",""""),""-"",""0.00""))"),"Loading...")</f>
        <v>Loading...</v>
      </c>
      <c r="L8002" s="129">
        <v>3.219155497E10</v>
      </c>
      <c r="M8002" s="99">
        <v>1.17</v>
      </c>
      <c r="N8002" s="107"/>
      <c r="P8002" s="107" t="str">
        <f>IFERROR(__xludf.DUMMYFUNCTION("if(A8002="""","""",IFERROR(substitute(Index(IMPORTHTML(""https://finviz.com/quote.ashx?t=""&amp;A8002,""Table"",8),2,1),""*"",""""),""-""))"),"-")</f>
        <v>-</v>
      </c>
    </row>
    <row r="8003">
      <c r="A8003" s="122" t="s">
        <v>16627</v>
      </c>
      <c r="B8003" s="123">
        <v>885550.0</v>
      </c>
      <c r="C8003" s="124" t="s">
        <v>16628</v>
      </c>
      <c r="D8003" s="125"/>
      <c r="E8003" s="126">
        <v>582.42</v>
      </c>
      <c r="F8003" s="127"/>
      <c r="G8003" s="127"/>
      <c r="H8003" s="127"/>
      <c r="I8003" s="128"/>
      <c r="K8003" s="105" t="str">
        <f>IFERROR(__xludf.DUMMYFUNCTION("if(A8003="""","""",substitute(SUBSTITUTE(index(importhtml(""http://finviz.com/quote.ashx?t=""&amp;A8003,""table"",10),7,2),""*"",""""),""-"",""0.00""))"),"Loading...")</f>
        <v>Loading...</v>
      </c>
      <c r="L8003" s="129">
        <v>7.319068078E9</v>
      </c>
      <c r="M8003" s="99">
        <v>1.48</v>
      </c>
      <c r="N8003" s="107"/>
      <c r="P8003" s="107" t="str">
        <f>IFERROR(__xludf.DUMMYFUNCTION("if(A8003="""","""",IFERROR(substitute(Index(IMPORTHTML(""https://finviz.com/quote.ashx?t=""&amp;A8003,""Table"",8),2,1),""*"",""""),""-""))"),"-")</f>
        <v>-</v>
      </c>
    </row>
    <row r="8004">
      <c r="A8004" s="122" t="s">
        <v>16629</v>
      </c>
      <c r="B8004" s="123">
        <v>1282637.0</v>
      </c>
      <c r="C8004" s="124" t="s">
        <v>16630</v>
      </c>
      <c r="D8004" s="125"/>
      <c r="E8004" s="126">
        <v>587.71</v>
      </c>
      <c r="F8004" s="127"/>
      <c r="G8004" s="127"/>
      <c r="H8004" s="127"/>
      <c r="I8004" s="128"/>
      <c r="K8004" s="105" t="str">
        <f>IFERROR(__xludf.DUMMYFUNCTION("if(A8004="""","""",substitute(SUBSTITUTE(index(importhtml(""http://finviz.com/quote.ashx?t=""&amp;A8004,""table"",10),7,2),""*"",""""),""-"",""0.00""))"),"Loading...")</f>
        <v>Loading...</v>
      </c>
      <c r="L8004" s="129">
        <v>5.636227267E9</v>
      </c>
      <c r="M8004" s="99">
        <v>0.43</v>
      </c>
      <c r="N8004" s="107"/>
      <c r="P8004" s="107" t="str">
        <f>IFERROR(__xludf.DUMMYFUNCTION("if(A8004="""","""",IFERROR(substitute(Index(IMPORTHTML(""https://finviz.com/quote.ashx?t=""&amp;A8004,""Table"",8),2,1),""*"",""""),""-""))"),"-")</f>
        <v>-</v>
      </c>
    </row>
    <row r="8005">
      <c r="A8005" s="122" t="s">
        <v>16631</v>
      </c>
      <c r="B8005" s="123">
        <v>1408198.0</v>
      </c>
      <c r="C8005" s="124" t="s">
        <v>16632</v>
      </c>
      <c r="D8005" s="125"/>
      <c r="E8005" s="126">
        <v>593.06</v>
      </c>
      <c r="F8005" s="127"/>
      <c r="G8005" s="127"/>
      <c r="H8005" s="127"/>
      <c r="I8005" s="128"/>
      <c r="K8005" s="105" t="str">
        <f>IFERROR(__xludf.DUMMYFUNCTION("if(A8005="""","""",substitute(SUBSTITUTE(index(importhtml(""http://finviz.com/quote.ashx?t=""&amp;A8005,""table"",10),7,2),""*"",""""),""-"",""0.00""))"),"Loading...")</f>
        <v>Loading...</v>
      </c>
      <c r="L8005" s="129">
        <v>4.6905809087E10</v>
      </c>
      <c r="M8005" s="99">
        <v>1.1</v>
      </c>
      <c r="N8005" s="107"/>
      <c r="P8005" s="107" t="str">
        <f>IFERROR(__xludf.DUMMYFUNCTION("if(A8005="""","""",IFERROR(substitute(Index(IMPORTHTML(""https://finviz.com/quote.ashx?t=""&amp;A8005,""Table"",8),2,1),""*"",""""),""-""))"),"-")</f>
        <v>-</v>
      </c>
    </row>
    <row r="8006">
      <c r="A8006" s="122" t="s">
        <v>16633</v>
      </c>
      <c r="B8006" s="123">
        <v>19584.0</v>
      </c>
      <c r="C8006" s="124" t="s">
        <v>16634</v>
      </c>
      <c r="D8006" s="125"/>
      <c r="E8006" s="126">
        <v>601.08</v>
      </c>
      <c r="F8006" s="127"/>
      <c r="G8006" s="127"/>
      <c r="H8006" s="127"/>
      <c r="I8006" s="128"/>
      <c r="K8006" s="55" t="s">
        <v>9715</v>
      </c>
      <c r="L8006" s="129">
        <v>9.053647541E9</v>
      </c>
      <c r="M8006" s="99">
        <v>0.43</v>
      </c>
      <c r="N8006" s="107"/>
      <c r="P8006" s="107" t="str">
        <f>IFERROR(__xludf.DUMMYFUNCTION("if(A8006="""","""",IFERROR(substitute(Index(IMPORTHTML(""https://finviz.com/quote.ashx?t=""&amp;A8006,""Table"",8),2,1),""*"",""""),""-""))"),"-")</f>
        <v>-</v>
      </c>
    </row>
    <row r="8007">
      <c r="A8007" s="122" t="s">
        <v>16635</v>
      </c>
      <c r="B8007" s="123">
        <v>319201.0</v>
      </c>
      <c r="C8007" s="124" t="s">
        <v>16636</v>
      </c>
      <c r="D8007" s="125"/>
      <c r="E8007" s="126">
        <v>604.32</v>
      </c>
      <c r="F8007" s="127"/>
      <c r="G8007" s="127"/>
      <c r="H8007" s="127"/>
      <c r="I8007" s="128"/>
      <c r="K8007" s="105" t="str">
        <f>IFERROR(__xludf.DUMMYFUNCTION("if(A8007="""","""",substitute(SUBSTITUTE(index(importhtml(""http://finviz.com/quote.ashx?t=""&amp;A8007,""table"",10),7,2),""*"",""""),""-"",""0.00""))"),"Loading...")</f>
        <v>Loading...</v>
      </c>
      <c r="L8007" s="129">
        <v>8.1724370142E10</v>
      </c>
      <c r="M8007" s="99">
        <v>1.33</v>
      </c>
      <c r="N8007" s="107"/>
      <c r="P8007" s="107" t="str">
        <f>IFERROR(__xludf.DUMMYFUNCTION("if(A8007="""","""",IFERROR(substitute(Index(IMPORTHTML(""https://finviz.com/quote.ashx?t=""&amp;A8007,""Table"",8),2,1),""*"",""""),""-""))"),"-")</f>
        <v>-</v>
      </c>
    </row>
    <row r="8008">
      <c r="A8008" s="122" t="s">
        <v>16637</v>
      </c>
      <c r="B8008" s="123">
        <v>1404655.0</v>
      </c>
      <c r="C8008" s="124" t="s">
        <v>16638</v>
      </c>
      <c r="D8008" s="125"/>
      <c r="E8008" s="126">
        <v>612.39</v>
      </c>
      <c r="F8008" s="127"/>
      <c r="G8008" s="127"/>
      <c r="H8008" s="127"/>
      <c r="I8008" s="128"/>
      <c r="K8008" s="105" t="str">
        <f>IFERROR(__xludf.DUMMYFUNCTION("if(A8008="""","""",substitute(SUBSTITUTE(index(importhtml(""http://finviz.com/quote.ashx?t=""&amp;A8008,""table"",10),7,2),""*"",""""),""-"",""0.00""))"),"Loading...")</f>
        <v>Loading...</v>
      </c>
      <c r="L8008" s="129">
        <v>3.0821914003E10</v>
      </c>
      <c r="M8008" s="99">
        <v>1.61</v>
      </c>
      <c r="N8008" s="107"/>
      <c r="P8008" s="107" t="str">
        <f>IFERROR(__xludf.DUMMYFUNCTION("if(A8008="""","""",IFERROR(substitute(Index(IMPORTHTML(""https://finviz.com/quote.ashx?t=""&amp;A8008,""Table"",8),2,1),""*"",""""),""-""))"),"-")</f>
        <v>-</v>
      </c>
    </row>
    <row r="8009">
      <c r="A8009" s="122" t="s">
        <v>16639</v>
      </c>
      <c r="B8009" s="123">
        <v>723254.0</v>
      </c>
      <c r="C8009" s="124" t="s">
        <v>16640</v>
      </c>
      <c r="D8009" s="125"/>
      <c r="E8009" s="126">
        <v>619.3</v>
      </c>
      <c r="F8009" s="127"/>
      <c r="G8009" s="127"/>
      <c r="H8009" s="127"/>
      <c r="I8009" s="128"/>
      <c r="K8009" s="105" t="str">
        <f>IFERROR(__xludf.DUMMYFUNCTION("if(A8009="""","""",substitute(SUBSTITUTE(index(importhtml(""http://finviz.com/quote.ashx?t=""&amp;A8009,""table"",10),7,2),""*"",""""),""-"",""0.00""))"),"Loading...")</f>
        <v>Loading...</v>
      </c>
      <c r="L8009" s="129">
        <v>6.2779306782E10</v>
      </c>
      <c r="M8009" s="99">
        <v>1.28</v>
      </c>
      <c r="N8009" s="107"/>
      <c r="P8009" s="107" t="str">
        <f>IFERROR(__xludf.DUMMYFUNCTION("if(A8009="""","""",IFERROR(substitute(Index(IMPORTHTML(""https://finviz.com/quote.ashx?t=""&amp;A8009,""Table"",8),2,1),""*"",""""),""-""))"),"-")</f>
        <v>-</v>
      </c>
    </row>
    <row r="8010">
      <c r="A8010" s="122" t="s">
        <v>16641</v>
      </c>
      <c r="B8010" s="123">
        <v>796343.0</v>
      </c>
      <c r="C8010" s="124" t="s">
        <v>16642</v>
      </c>
      <c r="D8010" s="125"/>
      <c r="E8010" s="126">
        <v>634.76</v>
      </c>
      <c r="F8010" s="127"/>
      <c r="G8010" s="127"/>
      <c r="H8010" s="127"/>
      <c r="I8010" s="128"/>
      <c r="K8010" s="105" t="str">
        <f>IFERROR(__xludf.DUMMYFUNCTION("if(A8010="""","""",substitute(SUBSTITUTE(index(importhtml(""http://finviz.com/quote.ashx?t=""&amp;A8010,""table"",10),7,2),""*"",""""),""-"",""0.00""))"),"Loading...")</f>
        <v>Loading...</v>
      </c>
      <c r="L8010" s="129">
        <v>2.86911460938E11</v>
      </c>
      <c r="M8010" s="99">
        <v>1.34</v>
      </c>
      <c r="N8010" s="107"/>
      <c r="P8010" s="107" t="str">
        <f>IFERROR(__xludf.DUMMYFUNCTION("if(A8010="""","""",IFERROR(substitute(Index(IMPORTHTML(""https://finviz.com/quote.ashx?t=""&amp;A8010,""Table"",8),2,1),""*"",""""),""-""))"),"-")</f>
        <v>-</v>
      </c>
    </row>
    <row r="8011">
      <c r="A8011" s="122" t="s">
        <v>16643</v>
      </c>
      <c r="B8011" s="123">
        <v>896878.0</v>
      </c>
      <c r="C8011" s="124" t="s">
        <v>16644</v>
      </c>
      <c r="D8011" s="125"/>
      <c r="E8011" s="126">
        <v>639.58</v>
      </c>
      <c r="F8011" s="127"/>
      <c r="G8011" s="127"/>
      <c r="H8011" s="127"/>
      <c r="I8011" s="128"/>
      <c r="K8011" s="105" t="str">
        <f>IFERROR(__xludf.DUMMYFUNCTION("if(A8011="""","""",substitute(SUBSTITUTE(index(importhtml(""http://finviz.com/quote.ashx?t=""&amp;A8011,""table"",10),7,2),""*"",""""),""-"",""0.00""))"),"Loading...")</f>
        <v>Loading...</v>
      </c>
      <c r="L8011" s="129">
        <v>1.79041471664E11</v>
      </c>
      <c r="M8011" s="99">
        <v>1.24</v>
      </c>
      <c r="N8011" s="107"/>
      <c r="P8011" s="107" t="str">
        <f>IFERROR(__xludf.DUMMYFUNCTION("if(A8011="""","""",IFERROR(substitute(Index(IMPORTHTML(""https://finviz.com/quote.ashx?t=""&amp;A8011,""Table"",8),2,1),""*"",""""),""-""))"),"-")</f>
        <v>-</v>
      </c>
    </row>
    <row r="8012">
      <c r="A8012" s="122" t="s">
        <v>16645</v>
      </c>
      <c r="B8012" s="123">
        <v>1067701.0</v>
      </c>
      <c r="C8012" s="124" t="s">
        <v>16646</v>
      </c>
      <c r="D8012" s="125"/>
      <c r="E8012" s="126">
        <v>654.2</v>
      </c>
      <c r="F8012" s="127"/>
      <c r="G8012" s="127"/>
      <c r="H8012" s="127"/>
      <c r="I8012" s="128"/>
      <c r="K8012" s="105" t="str">
        <f>IFERROR(__xludf.DUMMYFUNCTION("if(A8012="""","""",substitute(SUBSTITUTE(index(importhtml(""http://finviz.com/quote.ashx?t=""&amp;A8012,""table"",10),7,2),""*"",""""),""-"",""0.00""))"),"Loading...")</f>
        <v>Loading...</v>
      </c>
      <c r="L8012" s="129">
        <v>4.3956758624E10</v>
      </c>
      <c r="M8012" s="99">
        <v>1.84</v>
      </c>
      <c r="N8012" s="107"/>
      <c r="P8012" s="107" t="str">
        <f>IFERROR(__xludf.DUMMYFUNCTION("if(A8012="""","""",IFERROR(substitute(Index(IMPORTHTML(""https://finviz.com/quote.ashx?t=""&amp;A8012,""Table"",8),2,1),""*"",""""),""-""))"),"-")</f>
        <v>-</v>
      </c>
    </row>
    <row r="8013">
      <c r="A8013" s="122" t="s">
        <v>16647</v>
      </c>
      <c r="B8013" s="123">
        <v>1045810.0</v>
      </c>
      <c r="C8013" s="124" t="s">
        <v>16648</v>
      </c>
      <c r="D8013" s="125"/>
      <c r="E8013" s="126">
        <v>661.6</v>
      </c>
      <c r="F8013" s="127"/>
      <c r="G8013" s="127"/>
      <c r="H8013" s="127"/>
      <c r="I8013" s="128"/>
      <c r="K8013" s="105" t="str">
        <f>IFERROR(__xludf.DUMMYFUNCTION("if(A8013="""","""",substitute(SUBSTITUTE(index(importhtml(""http://finviz.com/quote.ashx?t=""&amp;A8013,""table"",10),7,2),""*"",""""),""-"",""0.00""))"),"Loading...")</f>
        <v>Loading...</v>
      </c>
      <c r="L8013" s="129">
        <v>1.634151939697E12</v>
      </c>
      <c r="M8013" s="99">
        <v>1.68</v>
      </c>
      <c r="N8013" s="107"/>
      <c r="P8013" s="107" t="str">
        <f>IFERROR(__xludf.DUMMYFUNCTION("if(A8013="""","""",IFERROR(substitute(Index(IMPORTHTML(""https://finviz.com/quote.ashx?t=""&amp;A8013,""Table"",8),2,1),""*"",""""),""-""))"),"-")</f>
        <v>-</v>
      </c>
    </row>
    <row r="8014">
      <c r="A8014" s="122" t="s">
        <v>16649</v>
      </c>
      <c r="B8014" s="123">
        <v>59478.0</v>
      </c>
      <c r="C8014" s="124" t="s">
        <v>16650</v>
      </c>
      <c r="D8014" s="125"/>
      <c r="E8014" s="126">
        <v>667.65</v>
      </c>
      <c r="F8014" s="137"/>
      <c r="G8014" s="136"/>
      <c r="H8014" s="127"/>
      <c r="I8014" s="128"/>
      <c r="K8014" s="105" t="str">
        <f>IFERROR(__xludf.DUMMYFUNCTION("if(A8014="""","""",substitute(SUBSTITUTE(index(importhtml(""http://finviz.com/quote.ashx?t=""&amp;A8014,""table"",10),7,2),""*"",""""),""-"",""0.00""))"),"Loading...")</f>
        <v>Loading...</v>
      </c>
      <c r="L8014" s="129">
        <v>6.33804975256E11</v>
      </c>
      <c r="M8014" s="99">
        <v>0.32</v>
      </c>
      <c r="N8014" s="107"/>
      <c r="P8014" s="107" t="str">
        <f>IFERROR(__xludf.DUMMYFUNCTION("if(A8014="""","""",IFERROR(substitute(Index(IMPORTHTML(""https://finviz.com/quote.ashx?t=""&amp;A8014,""Table"",8),2,1),""*"",""""),""-""))"),"-")</f>
        <v>-</v>
      </c>
    </row>
    <row r="8015">
      <c r="A8015" s="122" t="s">
        <v>16651</v>
      </c>
      <c r="B8015" s="123">
        <v>104889.0</v>
      </c>
      <c r="C8015" s="124" t="s">
        <v>16652</v>
      </c>
      <c r="D8015" s="125"/>
      <c r="E8015" s="126">
        <v>704.79</v>
      </c>
      <c r="F8015" s="127"/>
      <c r="G8015" s="127"/>
      <c r="H8015" s="127"/>
      <c r="I8015" s="128"/>
      <c r="K8015" s="55" t="s">
        <v>16653</v>
      </c>
      <c r="L8015" s="129">
        <v>3.202802469E9</v>
      </c>
      <c r="M8015" s="99">
        <v>1.12</v>
      </c>
      <c r="N8015" s="107"/>
      <c r="P8015" s="107" t="str">
        <f>IFERROR(__xludf.DUMMYFUNCTION("if(A8015="""","""",IFERROR(substitute(Index(IMPORTHTML(""https://finviz.com/quote.ashx?t=""&amp;A8015,""Table"",8),2,1),""*"",""""),""-""))"),"-")</f>
        <v>-</v>
      </c>
    </row>
    <row r="8016">
      <c r="A8016" s="122" t="s">
        <v>16654</v>
      </c>
      <c r="B8016" s="123">
        <v>909832.0</v>
      </c>
      <c r="C8016" s="124" t="s">
        <v>16655</v>
      </c>
      <c r="D8016" s="125"/>
      <c r="E8016" s="126">
        <v>709.48</v>
      </c>
      <c r="F8016" s="127"/>
      <c r="G8016" s="127"/>
      <c r="H8016" s="127"/>
      <c r="I8016" s="97"/>
      <c r="K8016" s="105" t="str">
        <f>IFERROR(__xludf.DUMMYFUNCTION("if(A8016="""","""",substitute(SUBSTITUTE(index(importhtml(""http://finviz.com/quote.ashx?t=""&amp;A8016,""table"",10),7,2),""*"",""""),""-"",""0.00""))"),"Loading...")</f>
        <v>Loading...</v>
      </c>
      <c r="L8016" s="129">
        <v>3.15397699686E11</v>
      </c>
      <c r="M8016" s="99">
        <v>0.77</v>
      </c>
      <c r="N8016" s="107"/>
      <c r="P8016" s="107" t="str">
        <f>IFERROR(__xludf.DUMMYFUNCTION("if(A8016="""","""",IFERROR(substitute(Index(IMPORTHTML(""https://finviz.com/quote.ashx?t=""&amp;A8016,""Table"",8),2,1),""*"",""""),""-""))"),"-")</f>
        <v>-</v>
      </c>
    </row>
    <row r="8017">
      <c r="A8017" s="122" t="s">
        <v>16656</v>
      </c>
      <c r="B8017" s="123">
        <v>1373715.0</v>
      </c>
      <c r="C8017" s="124" t="s">
        <v>16657</v>
      </c>
      <c r="D8017" s="125"/>
      <c r="E8017" s="126">
        <v>781.3</v>
      </c>
      <c r="F8017" s="127"/>
      <c r="G8017" s="127"/>
      <c r="H8017" s="127"/>
      <c r="I8017" s="128"/>
      <c r="K8017" s="105" t="str">
        <f>IFERROR(__xludf.DUMMYFUNCTION("if(A8017="""","""",substitute(SUBSTITUTE(index(importhtml(""http://finviz.com/quote.ashx?t=""&amp;A8017,""table"",10),7,2),""*"",""""),""-"",""0.00""))"),"Loading...")</f>
        <v>Loading...</v>
      </c>
      <c r="L8017" s="129">
        <v>1.60166497497E11</v>
      </c>
      <c r="M8017" s="99">
        <v>0.99</v>
      </c>
      <c r="N8017" s="107"/>
      <c r="P8017" s="107" t="str">
        <f>IFERROR(__xludf.DUMMYFUNCTION("if(A8017="""","""",IFERROR(substitute(Index(IMPORTHTML(""https://finviz.com/quote.ashx?t=""&amp;A8017,""Table"",8),2,1),""*"",""""),""-""))"),"-")</f>
        <v>-</v>
      </c>
    </row>
    <row r="8018">
      <c r="A8018" s="122" t="s">
        <v>16658</v>
      </c>
      <c r="B8018" s="123">
        <v>1364742.0</v>
      </c>
      <c r="C8018" s="124" t="s">
        <v>16659</v>
      </c>
      <c r="D8018" s="125"/>
      <c r="E8018" s="126">
        <v>788.0</v>
      </c>
      <c r="F8018" s="127"/>
      <c r="G8018" s="127"/>
      <c r="H8018" s="127"/>
      <c r="I8018" s="128"/>
      <c r="K8018" s="55" t="s">
        <v>16660</v>
      </c>
      <c r="L8018" s="129">
        <v>1.172247712E11</v>
      </c>
      <c r="M8018" s="99">
        <v>1.38</v>
      </c>
      <c r="N8018" s="107"/>
      <c r="P8018" s="107" t="str">
        <f>IFERROR(__xludf.DUMMYFUNCTION("if(A8018="""","""",IFERROR(substitute(Index(IMPORTHTML(""https://finviz.com/quote.ashx?t=""&amp;A8018,""Table"",8),2,1),""*"",""""),""-""))"),"-")</f>
        <v>-</v>
      </c>
    </row>
    <row r="8019">
      <c r="A8019" s="122" t="s">
        <v>16661</v>
      </c>
      <c r="B8019" s="123">
        <v>1838987.0</v>
      </c>
      <c r="C8019" s="124" t="s">
        <v>16662</v>
      </c>
      <c r="D8019" s="125"/>
      <c r="E8019" s="126">
        <v>819.8</v>
      </c>
      <c r="F8019" s="140"/>
      <c r="G8019" s="136"/>
      <c r="H8019" s="127"/>
      <c r="I8019" s="128"/>
      <c r="K8019" s="105" t="str">
        <f>IFERROR(__xludf.DUMMYFUNCTION("if(A8019="""","""",substitute(SUBSTITUTE(index(importhtml(""http://finviz.com/quote.ashx?t=""&amp;A8019,""table"",10),7,2),""*"",""""),""-"",""0.00""))"),"Loading...")</f>
        <v>Loading...</v>
      </c>
      <c r="L8019" s="129">
        <v>5.34618003012E11</v>
      </c>
      <c r="M8019" s="99" t="str">
        <f>IFERROR(__xludf.DUMMYFUNCTION("GOOGLEFINANCE(A8019,""beta"")"),"#N/A")</f>
        <v>#N/A</v>
      </c>
      <c r="N8019" s="107"/>
      <c r="P8019" s="107" t="str">
        <f>IFERROR(__xludf.DUMMYFUNCTION("if(A8019="""","""",IFERROR(substitute(Index(IMPORTHTML(""https://finviz.com/quote.ashx?t=""&amp;A8019,""Table"",8),2,1),""*"",""""),""-""))"),"-")</f>
        <v>-</v>
      </c>
    </row>
    <row r="8020">
      <c r="A8020" s="122" t="s">
        <v>16663</v>
      </c>
      <c r="B8020" s="123">
        <v>14272.0</v>
      </c>
      <c r="C8020" s="124" t="s">
        <v>16664</v>
      </c>
      <c r="D8020" s="125"/>
      <c r="E8020" s="126">
        <v>827.25</v>
      </c>
      <c r="F8020" s="127"/>
      <c r="G8020" s="127"/>
      <c r="H8020" s="127"/>
      <c r="I8020" s="128"/>
      <c r="K8020" s="105" t="str">
        <f>IFERROR(__xludf.DUMMYFUNCTION("if(A8020="""","""",substitute(SUBSTITUTE(index(importhtml(""http://finviz.com/quote.ashx?t=""&amp;A8020,""table"",10),7,2),""*"",""""),""-"",""0.00""))"),"Loading...")</f>
        <v>Loading...</v>
      </c>
      <c r="L8020" s="129">
        <v>9.9113011607E10</v>
      </c>
      <c r="M8020" s="99">
        <v>0.1</v>
      </c>
      <c r="N8020" s="107"/>
      <c r="P8020" s="107" t="str">
        <f>IFERROR(__xludf.DUMMYFUNCTION("if(A8020="""","""",IFERROR(substitute(Index(IMPORTHTML(""https://finviz.com/quote.ashx?t=""&amp;A8020,""Table"",8),2,1),""*"",""""),""-""))"),"-")</f>
        <v>-</v>
      </c>
    </row>
    <row r="8021">
      <c r="A8021" s="122" t="s">
        <v>16665</v>
      </c>
      <c r="B8021" s="123">
        <v>707549.0</v>
      </c>
      <c r="C8021" s="124" t="s">
        <v>16666</v>
      </c>
      <c r="D8021" s="125"/>
      <c r="E8021" s="126">
        <v>838.7</v>
      </c>
      <c r="F8021" s="127"/>
      <c r="G8021" s="127"/>
      <c r="H8021" s="127"/>
      <c r="I8021" s="128"/>
      <c r="K8021" s="105" t="str">
        <f>IFERROR(__xludf.DUMMYFUNCTION("if(A8021="""","""",substitute(SUBSTITUTE(index(importhtml(""http://finviz.com/quote.ashx?t=""&amp;A8021,""table"",10),7,2),""*"",""""),""-"",""0.00""))"),"Loading...")</f>
        <v>Loading...</v>
      </c>
      <c r="L8021" s="129">
        <v>1.0995600383E11</v>
      </c>
      <c r="M8021" s="99">
        <v>1.5</v>
      </c>
      <c r="N8021" s="107"/>
      <c r="P8021" s="107" t="str">
        <f>IFERROR(__xludf.DUMMYFUNCTION("if(A8021="""","""",IFERROR(substitute(Index(IMPORTHTML(""https://finviz.com/quote.ashx?t=""&amp;A8021,""Table"",8),2,1),""*"",""""),""-""))"),"-")</f>
        <v>-</v>
      </c>
    </row>
    <row r="8022">
      <c r="A8022" s="122" t="s">
        <v>16667</v>
      </c>
      <c r="B8022" s="123">
        <v>824046.0</v>
      </c>
      <c r="C8022" s="124" t="s">
        <v>16668</v>
      </c>
      <c r="D8022" s="125"/>
      <c r="E8022" s="126">
        <v>842.93</v>
      </c>
      <c r="F8022" s="151" t="str">
        <f>IF(ISBLANK(I8023), YHFINANCE(A8023, "industry"), "")</f>
        <v>Deprecated. Use =FINANCE instead</v>
      </c>
      <c r="G8022" s="150"/>
      <c r="H8022" s="127"/>
      <c r="I8022" s="151" t="str">
        <f>IF(ISBLANK(I8023), YHFINANCE(A8023, "industry"), "")</f>
        <v>Deprecated. Use =FINANCE instead</v>
      </c>
      <c r="K8022" s="105" t="str">
        <f>IFERROR(__xludf.DUMMYFUNCTION("if(A8022="""","""",substitute(SUBSTITUTE(index(importhtml(""http://finviz.com/quote.ashx?t=""&amp;A8022,""table"",10),7,2),""*"",""""),""-"",""0.00""))"),"Loading...")</f>
        <v>Loading...</v>
      </c>
      <c r="L8022" s="129">
        <v>4.19275975151E11</v>
      </c>
      <c r="M8022" s="99">
        <v>1.17</v>
      </c>
      <c r="N8022" s="107"/>
      <c r="P8022" s="107" t="str">
        <f>IFERROR(__xludf.DUMMYFUNCTION("if(A8022="""","""",IFERROR(substitute(Index(IMPORTHTML(""https://finviz.com/quote.ashx?t=""&amp;A8022,""Table"",8),2,1),""*"",""""),""-""))"),"-")</f>
        <v>-</v>
      </c>
    </row>
    <row r="8023">
      <c r="A8023" s="122" t="s">
        <v>16669</v>
      </c>
      <c r="B8023" s="123">
        <v>1101239.0</v>
      </c>
      <c r="C8023" s="124" t="s">
        <v>16670</v>
      </c>
      <c r="D8023" s="125"/>
      <c r="E8023" s="126">
        <v>843.47</v>
      </c>
      <c r="F8023" s="127"/>
      <c r="G8023" s="127"/>
      <c r="H8023" s="127"/>
      <c r="I8023" s="128"/>
      <c r="K8023" s="105" t="str">
        <f>IFERROR(__xludf.DUMMYFUNCTION("if(A8023="""","""",substitute(SUBSTITUTE(index(importhtml(""http://finviz.com/quote.ashx?t=""&amp;A8023,""table"",10),7,2),""*"",""""),""-"",""0.00""))"),"Loading...")</f>
        <v>Loading...</v>
      </c>
      <c r="L8023" s="129">
        <v>7.9187845516E10</v>
      </c>
      <c r="M8023" s="99">
        <v>0.59</v>
      </c>
      <c r="N8023" s="107"/>
      <c r="P8023" s="107" t="str">
        <f>IFERROR(__xludf.DUMMYFUNCTION("if(A8023="""","""",IFERROR(substitute(Index(IMPORTHTML(""https://finviz.com/quote.ashx?t=""&amp;A8023,""Table"",8),2,1),""*"",""""),""-""))"),"-")</f>
        <v>-</v>
      </c>
    </row>
    <row r="8024">
      <c r="A8024" s="122" t="s">
        <v>16671</v>
      </c>
      <c r="B8024" s="123">
        <v>1805087.0</v>
      </c>
      <c r="C8024" s="124" t="s">
        <v>16672</v>
      </c>
      <c r="D8024" s="125"/>
      <c r="E8024" s="126">
        <v>872.5</v>
      </c>
      <c r="F8024" s="127"/>
      <c r="G8024" s="127"/>
      <c r="H8024" s="127"/>
      <c r="I8024" s="128"/>
      <c r="K8024" s="105" t="str">
        <f>IFERROR(__xludf.DUMMYFUNCTION("if(A8024="""","""",substitute(SUBSTITUTE(index(importhtml(""http://finviz.com/quote.ashx?t=""&amp;A8024,""table"",10),7,2),""*"",""""),""-"",""0.00""))"),"Loading...")</f>
        <v>Loading...</v>
      </c>
      <c r="L8024" s="129">
        <v>1.0690489475E11</v>
      </c>
      <c r="M8024" s="99" t="str">
        <f>IFERROR(__xludf.DUMMYFUNCTION("GOOGLEFINANCE(A8024,""beta"")"),"#N/A")</f>
        <v>#N/A</v>
      </c>
      <c r="N8024" s="107"/>
      <c r="P8024" s="107" t="str">
        <f>IFERROR(__xludf.DUMMYFUNCTION("if(A8024="""","""",IFERROR(substitute(Index(IMPORTHTML(""https://finviz.com/quote.ashx?t=""&amp;A8024,""Table"",8),2,1),""*"",""""),""-""))"),"-")</f>
        <v>-</v>
      </c>
    </row>
    <row r="8025">
      <c r="A8025" s="122" t="s">
        <v>16673</v>
      </c>
      <c r="B8025" s="123">
        <v>1719489.0</v>
      </c>
      <c r="C8025" s="124" t="s">
        <v>16674</v>
      </c>
      <c r="D8025" s="125"/>
      <c r="E8025" s="126">
        <v>875.0</v>
      </c>
      <c r="F8025" s="127"/>
      <c r="G8025" s="127"/>
      <c r="H8025" s="127"/>
      <c r="I8025" s="128"/>
      <c r="K8025" s="105" t="str">
        <f>IFERROR(__xludf.DUMMYFUNCTION("if(A8025="""","""",substitute(SUBSTITUTE(index(importhtml(""http://finviz.com/quote.ashx?t=""&amp;A8025,""table"",10),7,2),""*"",""""),""-"",""0.00""))"),"Loading...")</f>
        <v>Loading...</v>
      </c>
      <c r="L8025" s="129">
        <v>6.3679525E8</v>
      </c>
      <c r="M8025" s="99" t="str">
        <f>IFERROR(__xludf.DUMMYFUNCTION("GOOGLEFINANCE(A8025,""beta"")"),"#N/A")</f>
        <v>#N/A</v>
      </c>
      <c r="N8025" s="107"/>
      <c r="P8025" s="107" t="str">
        <f>IFERROR(__xludf.DUMMYFUNCTION("if(A8025="""","""",IFERROR(substitute(Index(IMPORTHTML(""https://finviz.com/quote.ashx?t=""&amp;A8025,""Table"",8),2,1),""*"",""""),""-""))"),"-")</f>
        <v>-</v>
      </c>
    </row>
    <row r="8026">
      <c r="A8026" s="122" t="s">
        <v>16675</v>
      </c>
      <c r="B8026" s="123">
        <v>910521.0</v>
      </c>
      <c r="C8026" s="124" t="s">
        <v>16676</v>
      </c>
      <c r="D8026" s="125"/>
      <c r="E8026" s="126">
        <v>882.06</v>
      </c>
      <c r="F8026" s="127"/>
      <c r="G8026" s="127"/>
      <c r="H8026" s="127"/>
      <c r="I8026" s="128"/>
      <c r="K8026" s="105" t="str">
        <f>IFERROR(__xludf.DUMMYFUNCTION("if(A8026="""","""",substitute(SUBSTITUTE(index(importhtml(""http://finviz.com/quote.ashx?t=""&amp;A8026,""table"",10),7,2),""*"",""""),""-"",""0.00""))"),"Loading...")</f>
        <v>Loading...</v>
      </c>
      <c r="L8026" s="129">
        <v>2.2696171129E10</v>
      </c>
      <c r="M8026" s="99">
        <v>0.99</v>
      </c>
      <c r="N8026" s="107"/>
      <c r="P8026" s="107" t="str">
        <f>IFERROR(__xludf.DUMMYFUNCTION("if(A8026="""","""",IFERROR(substitute(Index(IMPORTHTML(""https://finviz.com/quote.ashx?t=""&amp;A8026,""Table"",8),2,1),""*"",""""),""-""))"),"-")</f>
        <v>-</v>
      </c>
    </row>
    <row r="8027">
      <c r="A8027" s="122" t="s">
        <v>16677</v>
      </c>
      <c r="B8027" s="123">
        <v>937966.0</v>
      </c>
      <c r="C8027" s="124" t="s">
        <v>16678</v>
      </c>
      <c r="D8027" s="125"/>
      <c r="E8027" s="126">
        <v>888.8</v>
      </c>
      <c r="F8027" s="127"/>
      <c r="G8027" s="127"/>
      <c r="H8027" s="127"/>
      <c r="I8027" s="128"/>
      <c r="K8027" s="105" t="str">
        <f>IFERROR(__xludf.DUMMYFUNCTION("if(A8027="""","""",substitute(SUBSTITUTE(index(importhtml(""http://finviz.com/quote.ashx?t=""&amp;A8027,""table"",10),7,2),""*"",""""),""-"",""0.00""))"),"Loading...")</f>
        <v>Loading...</v>
      </c>
      <c r="L8027" s="129">
        <v>3.53022076021E11</v>
      </c>
      <c r="M8027" s="99">
        <v>1.5</v>
      </c>
      <c r="N8027" s="107"/>
      <c r="P8027" s="107" t="str">
        <f>IFERROR(__xludf.DUMMYFUNCTION("if(A8027="""","""",IFERROR(substitute(Index(IMPORTHTML(""https://finviz.com/quote.ashx?t=""&amp;A8027,""Table"",8),2,1),""*"",""""),""-""))"),"-")</f>
        <v>-</v>
      </c>
    </row>
    <row r="8028">
      <c r="A8028" s="122" t="s">
        <v>16679</v>
      </c>
      <c r="B8028" s="123">
        <v>937966.0</v>
      </c>
      <c r="C8028" s="124" t="s">
        <v>16678</v>
      </c>
      <c r="D8028" s="125"/>
      <c r="E8028" s="126">
        <v>890.66</v>
      </c>
      <c r="F8028" s="127"/>
      <c r="G8028" s="127"/>
      <c r="H8028" s="127"/>
      <c r="I8028" s="128"/>
      <c r="K8028" s="105" t="str">
        <f>IFERROR(__xludf.DUMMYFUNCTION("if(A8028="""","""",substitute(SUBSTITUTE(index(importhtml(""http://finviz.com/quote.ashx?t=""&amp;A8028,""table"",10),7,2),""*"",""""),""-"",""0.00""))"),"Loading...")</f>
        <v>Loading...</v>
      </c>
      <c r="L8028" s="129">
        <v>3.59056104829E11</v>
      </c>
      <c r="M8028" s="99">
        <v>1.5</v>
      </c>
      <c r="N8028" s="107"/>
      <c r="P8028" s="107" t="str">
        <f>IFERROR(__xludf.DUMMYFUNCTION("if(A8028="""","""",IFERROR(substitute(Index(IMPORTHTML(""https://finviz.com/quote.ashx?t=""&amp;A8028,""Table"",8),2,1),""*"",""""),""-""))"),"-")</f>
        <v>-</v>
      </c>
    </row>
    <row r="8029">
      <c r="A8029" s="122" t="s">
        <v>16680</v>
      </c>
      <c r="B8029" s="123">
        <v>317540.0</v>
      </c>
      <c r="C8029" s="124" t="s">
        <v>16681</v>
      </c>
      <c r="D8029" s="125"/>
      <c r="E8029" s="126">
        <v>909.51</v>
      </c>
      <c r="F8029" s="127"/>
      <c r="G8029" s="127"/>
      <c r="H8029" s="127"/>
      <c r="I8029" s="128"/>
      <c r="K8029" s="105" t="str">
        <f>IFERROR(__xludf.DUMMYFUNCTION("if(A8029="""","""",substitute(SUBSTITUTE(index(importhtml(""http://finviz.com/quote.ashx?t=""&amp;A8029,""table"",10),7,2),""*"",""""),""-"",""0.00""))"),"Loading...")</f>
        <v>Loading...</v>
      </c>
      <c r="L8029" s="129">
        <v>8.525463064E9</v>
      </c>
      <c r="M8029" s="99">
        <v>0.79</v>
      </c>
      <c r="N8029" s="107"/>
      <c r="P8029" s="107" t="str">
        <f>IFERROR(__xludf.DUMMYFUNCTION("if(A8029="""","""",IFERROR(substitute(Index(IMPORTHTML(""https://finviz.com/quote.ashx?t=""&amp;A8029,""Table"",8),2,1),""*"",""""),""-""))"),"-")</f>
        <v>-</v>
      </c>
    </row>
    <row r="8030">
      <c r="A8030" s="122" t="s">
        <v>16682</v>
      </c>
      <c r="B8030" s="123">
        <v>1527383.0</v>
      </c>
      <c r="C8030" s="124" t="s">
        <v>16683</v>
      </c>
      <c r="D8030" s="125"/>
      <c r="E8030" s="126">
        <v>950.0</v>
      </c>
      <c r="F8030" s="127"/>
      <c r="G8030" s="127"/>
      <c r="H8030" s="127"/>
      <c r="I8030" s="128"/>
      <c r="K8030" s="105" t="str">
        <f>IFERROR(__xludf.DUMMYFUNCTION("if(A8030="""","""",substitute(SUBSTITUTE(index(importhtml(""http://finviz.com/quote.ashx?t=""&amp;A8030,""table"",10),7,2),""*"",""""),""-"",""0.00""))"),"Loading...")</f>
        <v>Loading...</v>
      </c>
      <c r="L8030" s="129">
        <v>1.848225E7</v>
      </c>
      <c r="M8030" s="99">
        <f>IFERROR(__xludf.DUMMYFUNCTION("GOOGLEFINANCE(A8030,""beta"")"),-0.52)</f>
        <v>-0.52</v>
      </c>
      <c r="N8030" s="107"/>
      <c r="P8030" s="107" t="str">
        <f>IFERROR(__xludf.DUMMYFUNCTION("if(A8030="""","""",IFERROR(substitute(Index(IMPORTHTML(""https://finviz.com/quote.ashx?t=""&amp;A8030,""Table"",8),2,1),""*"",""""),""-""))"),"-")</f>
        <v>-</v>
      </c>
    </row>
    <row r="8031">
      <c r="A8031" s="122" t="s">
        <v>16684</v>
      </c>
      <c r="B8031" s="123">
        <v>277135.0</v>
      </c>
      <c r="C8031" s="124" t="s">
        <v>16685</v>
      </c>
      <c r="D8031" s="125"/>
      <c r="E8031" s="126">
        <v>972.54</v>
      </c>
      <c r="F8031" s="127"/>
      <c r="G8031" s="127"/>
      <c r="H8031" s="127"/>
      <c r="I8031" s="128"/>
      <c r="K8031" s="55" t="s">
        <v>16686</v>
      </c>
      <c r="L8031" s="129">
        <v>4.8271185425E10</v>
      </c>
      <c r="M8031" s="99">
        <v>1.13</v>
      </c>
      <c r="N8031" s="107"/>
      <c r="P8031" s="107" t="str">
        <f>IFERROR(__xludf.DUMMYFUNCTION("if(A8031="""","""",IFERROR(substitute(Index(IMPORTHTML(""https://finviz.com/quote.ashx?t=""&amp;A8031,""Table"",8),2,1),""*"",""""),""-""))"),"-")</f>
        <v>-</v>
      </c>
    </row>
    <row r="8032">
      <c r="A8032" s="122" t="s">
        <v>16687</v>
      </c>
      <c r="B8032" s="123">
        <v>1085913.0</v>
      </c>
      <c r="C8032" s="124" t="s">
        <v>16688</v>
      </c>
      <c r="D8032" s="125"/>
      <c r="E8032" s="126">
        <v>980.0</v>
      </c>
      <c r="F8032" s="127"/>
      <c r="G8032" s="127"/>
      <c r="H8032" s="127"/>
      <c r="I8032" s="128"/>
      <c r="K8032" s="105" t="str">
        <f>IFERROR(__xludf.DUMMYFUNCTION("if(A8032="""","""",substitute(SUBSTITUTE(index(importhtml(""http://finviz.com/quote.ashx?t=""&amp;A8032,""table"",10),7,2),""*"",""""),""-"",""0.00""))"),"Loading...")</f>
        <v>Loading...</v>
      </c>
      <c r="L8032" s="129">
        <v>7.360731E8</v>
      </c>
      <c r="M8032" s="99">
        <v>0.13</v>
      </c>
      <c r="N8032" s="107"/>
      <c r="P8032" s="107" t="str">
        <f>IFERROR(__xludf.DUMMYFUNCTION("if(A8032="""","""",IFERROR(substitute(Index(IMPORTHTML(""https://finviz.com/quote.ashx?t=""&amp;A8032,""Table"",8),2,1),""*"",""""),""-""))"),"-")</f>
        <v>-</v>
      </c>
    </row>
    <row r="8033">
      <c r="A8033" s="122" t="s">
        <v>16689</v>
      </c>
      <c r="B8033" s="123">
        <v>915191.0</v>
      </c>
      <c r="C8033" s="124" t="s">
        <v>16690</v>
      </c>
      <c r="D8033" s="125"/>
      <c r="E8033" s="126">
        <v>1030.6</v>
      </c>
      <c r="F8033" s="127"/>
      <c r="G8033" s="127"/>
      <c r="H8033" s="127"/>
      <c r="I8033" s="128"/>
      <c r="K8033" s="105" t="str">
        <f>IFERROR(__xludf.DUMMYFUNCTION("if(A8033="""","""",substitute(SUBSTITUTE(index(importhtml(""http://finviz.com/quote.ashx?t=""&amp;A8033,""table"",10),7,2),""*"",""""),""-"",""0.00""))"),"Loading...")</f>
        <v>Loading...</v>
      </c>
      <c r="L8033" s="129">
        <v>2.5176537109E10</v>
      </c>
      <c r="M8033" s="99">
        <v>0.81</v>
      </c>
      <c r="N8033" s="107"/>
      <c r="P8033" s="107" t="str">
        <f>IFERROR(__xludf.DUMMYFUNCTION("if(A8033="""","""",IFERROR(substitute(Index(IMPORTHTML(""https://finviz.com/quote.ashx?t=""&amp;A8033,""Table"",8),2,1),""*"",""""),""-""))"),"-")</f>
        <v>-</v>
      </c>
    </row>
    <row r="8034">
      <c r="A8034" s="122" t="s">
        <v>16691</v>
      </c>
      <c r="B8034" s="123">
        <v>898173.0</v>
      </c>
      <c r="C8034" s="124" t="s">
        <v>16692</v>
      </c>
      <c r="D8034" s="125"/>
      <c r="E8034" s="126">
        <v>1047.31</v>
      </c>
      <c r="F8034" s="127"/>
      <c r="G8034" s="127"/>
      <c r="H8034" s="127"/>
      <c r="I8034" s="128"/>
      <c r="K8034" s="105" t="str">
        <f>IFERROR(__xludf.DUMMYFUNCTION("if(A8034="""","""",substitute(SUBSTITUTE(index(importhtml(""http://finviz.com/quote.ashx?t=""&amp;A8034,""table"",10),7,2),""*"",""""),""-"",""0.00""))"),"Loading...")</f>
        <v>Loading...</v>
      </c>
      <c r="L8034" s="129">
        <v>6.1961135729E10</v>
      </c>
      <c r="M8034" s="99">
        <v>0.86</v>
      </c>
      <c r="N8034" s="107"/>
      <c r="P8034" s="107" t="str">
        <f>IFERROR(__xludf.DUMMYFUNCTION("if(A8034="""","""",IFERROR(substitute(Index(IMPORTHTML(""https://finviz.com/quote.ashx?t=""&amp;A8034,""Table"",8),2,1),""*"",""""),""-""))"),"-")</f>
        <v>-</v>
      </c>
    </row>
    <row r="8035">
      <c r="A8035" s="122" t="s">
        <v>16693</v>
      </c>
      <c r="B8035" s="123">
        <v>1260221.0</v>
      </c>
      <c r="C8035" s="124" t="s">
        <v>16694</v>
      </c>
      <c r="D8035" s="125"/>
      <c r="E8035" s="126">
        <v>1123.76</v>
      </c>
      <c r="F8035" s="127"/>
      <c r="G8035" s="127"/>
      <c r="H8035" s="127"/>
      <c r="I8035" s="128"/>
      <c r="K8035" s="105" t="str">
        <f>IFERROR(__xludf.DUMMYFUNCTION("if(A8035="""","""",substitute(SUBSTITUTE(index(importhtml(""http://finviz.com/quote.ashx?t=""&amp;A8035,""table"",10),7,2),""*"",""""),""-"",""0.00""))"),"Loading...")</f>
        <v>Loading...</v>
      </c>
      <c r="L8035" s="129">
        <v>6.2159773556E10</v>
      </c>
      <c r="M8035" s="99">
        <v>1.41</v>
      </c>
      <c r="N8035" s="107"/>
      <c r="P8035" s="107" t="str">
        <f>IFERROR(__xludf.DUMMYFUNCTION("if(A8035="""","""",IFERROR(substitute(Index(IMPORTHTML(""https://finviz.com/quote.ashx?t=""&amp;A8035,""Table"",8),2,1),""*"",""""),""-""))"),"-")</f>
        <v>-</v>
      </c>
    </row>
    <row r="8036">
      <c r="A8036" s="122" t="s">
        <v>16695</v>
      </c>
      <c r="B8036" s="123">
        <v>1108967.0</v>
      </c>
      <c r="C8036" s="124" t="s">
        <v>16696</v>
      </c>
      <c r="D8036" s="125"/>
      <c r="E8036" s="126">
        <v>1135.0</v>
      </c>
      <c r="F8036" s="127"/>
      <c r="G8036" s="127"/>
      <c r="H8036" s="127"/>
      <c r="I8036" s="128"/>
      <c r="K8036" s="105" t="str">
        <f>IFERROR(__xludf.DUMMYFUNCTION("if(A8036="""","""",substitute(SUBSTITUTE(index(importhtml(""http://finviz.com/quote.ashx?t=""&amp;A8036,""table"",10),7,2),""*"",""""),""-"",""0.00""))"),"Loading...")</f>
        <v>Loading...</v>
      </c>
      <c r="L8036" s="129">
        <v>1.589E8</v>
      </c>
      <c r="M8036" s="99" t="str">
        <f>IFERROR(__xludf.DUMMYFUNCTION("GOOGLEFINANCE(A8036,""beta"")"),"#N/A")</f>
        <v>#N/A</v>
      </c>
      <c r="N8036" s="107"/>
      <c r="P8036" s="107" t="str">
        <f>IFERROR(__xludf.DUMMYFUNCTION("if(A8036="""","""",IFERROR(substitute(Index(IMPORTHTML(""https://finviz.com/quote.ashx?t=""&amp;A8036,""Table"",8),2,1),""*"",""""),""-""))"),"-")</f>
        <v>-</v>
      </c>
    </row>
    <row r="8037">
      <c r="A8037" s="122" t="s">
        <v>16697</v>
      </c>
      <c r="B8037" s="123">
        <v>1037646.0</v>
      </c>
      <c r="C8037" s="124" t="s">
        <v>16698</v>
      </c>
      <c r="D8037" s="125"/>
      <c r="E8037" s="126">
        <v>1210.11</v>
      </c>
      <c r="F8037" s="127"/>
      <c r="G8037" s="127"/>
      <c r="H8037" s="127"/>
      <c r="I8037" s="128"/>
      <c r="K8037" s="105" t="str">
        <f>IFERROR(__xludf.DUMMYFUNCTION("if(A8037="""","""",substitute(SUBSTITUTE(index(importhtml(""http://finviz.com/quote.ashx?t=""&amp;A8037,""table"",10),7,2),""*"",""""),""-"",""0.00""))"),"Loading...")</f>
        <v>Loading...</v>
      </c>
      <c r="L8037" s="129">
        <v>2.6239770799E10</v>
      </c>
      <c r="M8037" s="99">
        <v>1.15</v>
      </c>
      <c r="N8037" s="107"/>
      <c r="P8037" s="107" t="str">
        <f>IFERROR(__xludf.DUMMYFUNCTION("if(A8037="""","""",IFERROR(substitute(Index(IMPORTHTML(""https://finviz.com/quote.ashx?t=""&amp;A8037,""Table"",8),2,1),""*"",""""),""-""))"),"-")</f>
        <v>-</v>
      </c>
    </row>
    <row r="8038">
      <c r="A8038" s="122" t="s">
        <v>16699</v>
      </c>
      <c r="B8038" s="123">
        <v>1730168.0</v>
      </c>
      <c r="C8038" s="124" t="s">
        <v>16700</v>
      </c>
      <c r="D8038" s="125"/>
      <c r="E8038" s="126">
        <v>1224.34</v>
      </c>
      <c r="F8038" s="127"/>
      <c r="G8038" s="127"/>
      <c r="H8038" s="127"/>
      <c r="I8038" s="128"/>
      <c r="K8038" s="105" t="str">
        <f>IFERROR(__xludf.DUMMYFUNCTION("if(A8038="""","""",substitute(SUBSTITUTE(index(importhtml(""http://finviz.com/quote.ashx?t=""&amp;A8038,""table"",10),7,2),""*"",""""),""-"",""0.00""))"),"Loading...")</f>
        <v>Loading...</v>
      </c>
      <c r="L8038" s="129">
        <v>5.72372116019E11</v>
      </c>
      <c r="M8038" s="99">
        <v>1.24</v>
      </c>
      <c r="N8038" s="107"/>
      <c r="P8038" s="107" t="str">
        <f>IFERROR(__xludf.DUMMYFUNCTION("if(A8038="""","""",IFERROR(substitute(Index(IMPORTHTML(""https://finviz.com/quote.ashx?t=""&amp;A8038,""Table"",8),2,1),""*"",""""),""-""))"),"-")</f>
        <v>-</v>
      </c>
    </row>
    <row r="8039">
      <c r="A8039" s="122" t="s">
        <v>16701</v>
      </c>
      <c r="B8039" s="123">
        <v>1853816.0</v>
      </c>
      <c r="C8039" s="124" t="s">
        <v>16702</v>
      </c>
      <c r="D8039" s="125"/>
      <c r="E8039" s="126">
        <v>1225.0</v>
      </c>
      <c r="F8039" s="127"/>
      <c r="G8039" s="127"/>
      <c r="H8039" s="127"/>
      <c r="I8039" s="128"/>
      <c r="K8039" s="105" t="str">
        <f>IFERROR(__xludf.DUMMYFUNCTION("if(A8039="""","""",substitute(SUBSTITUTE(index(importhtml(""http://finviz.com/quote.ashx?t=""&amp;A8039,""table"",10),7,2),""*"",""""),""-"",""0.00""))"),"Loading...")</f>
        <v>Loading...</v>
      </c>
      <c r="L8039" s="129">
        <v>5.76470545E12</v>
      </c>
      <c r="M8039" s="99">
        <f>IFERROR(__xludf.DUMMYFUNCTION("GOOGLEFINANCE(A8039,""beta"")"),0.53)</f>
        <v>0.53</v>
      </c>
      <c r="N8039" s="107"/>
      <c r="P8039" s="107" t="str">
        <f>IFERROR(__xludf.DUMMYFUNCTION("if(A8039="""","""",IFERROR(substitute(Index(IMPORTHTML(""https://finviz.com/quote.ashx?t=""&amp;A8039,""Table"",8),2,1),""*"",""""),""-""))"),"-")</f>
        <v>-</v>
      </c>
    </row>
    <row r="8040">
      <c r="A8040" s="122" t="s">
        <v>16703</v>
      </c>
      <c r="B8040" s="123">
        <v>814547.0</v>
      </c>
      <c r="C8040" s="124" t="s">
        <v>16704</v>
      </c>
      <c r="D8040" s="125"/>
      <c r="E8040" s="126">
        <v>1255.3</v>
      </c>
      <c r="F8040" s="127"/>
      <c r="G8040" s="127"/>
      <c r="H8040" s="127"/>
      <c r="I8040" s="128"/>
      <c r="K8040" s="105" t="str">
        <f>IFERROR(__xludf.DUMMYFUNCTION("if(A8040="""","""",substitute(SUBSTITUTE(index(importhtml(""http://finviz.com/quote.ashx?t=""&amp;A8040,""table"",10),7,2),""*"",""""),""-"",""0.00""))"),"Loading...")</f>
        <v>Loading...</v>
      </c>
      <c r="L8040" s="129">
        <v>3.1196779578E10</v>
      </c>
      <c r="M8040" s="99">
        <v>1.24</v>
      </c>
      <c r="N8040" s="107"/>
      <c r="P8040" s="107" t="str">
        <f>IFERROR(__xludf.DUMMYFUNCTION("if(A8040="""","""",IFERROR(substitute(Index(IMPORTHTML(""https://finviz.com/quote.ashx?t=""&amp;A8040,""Table"",8),2,1),""*"",""""),""-""))"),"-")</f>
        <v>-</v>
      </c>
    </row>
    <row r="8041">
      <c r="A8041" s="122" t="s">
        <v>16705</v>
      </c>
      <c r="B8041" s="123">
        <v>1869858.0</v>
      </c>
      <c r="C8041" s="124" t="s">
        <v>16706</v>
      </c>
      <c r="D8041" s="125"/>
      <c r="E8041" s="126">
        <v>1300.0</v>
      </c>
      <c r="F8041" s="127"/>
      <c r="G8041" s="127"/>
      <c r="H8041" s="127"/>
      <c r="I8041" s="128"/>
      <c r="K8041" s="105" t="str">
        <f>IFERROR(__xludf.DUMMYFUNCTION("if(A8041="""","""",substitute(SUBSTITUTE(index(importhtml(""http://finviz.com/quote.ashx?t=""&amp;A8041,""table"",10),7,2),""*"",""""),""-"",""0.00""))"),"Loading...")</f>
        <v>Loading...</v>
      </c>
      <c r="L8041" s="129">
        <v>4.991218768E14</v>
      </c>
      <c r="M8041" s="99" t="str">
        <f>IFERROR(__xludf.DUMMYFUNCTION("GOOGLEFINANCE(A8041,""beta"")"),"#N/A")</f>
        <v>#N/A</v>
      </c>
      <c r="N8041" s="107"/>
      <c r="P8041" s="107" t="str">
        <f>IFERROR(__xludf.DUMMYFUNCTION("if(A8041="""","""",IFERROR(substitute(Index(IMPORTHTML(""https://finviz.com/quote.ashx?t=""&amp;A8041,""Table"",8),2,1),""*"",""""),""-""))"),"-")</f>
        <v>-</v>
      </c>
    </row>
    <row r="8042">
      <c r="A8042" s="122" t="s">
        <v>16707</v>
      </c>
      <c r="B8042" s="123">
        <v>798941.0</v>
      </c>
      <c r="C8042" s="124" t="s">
        <v>16708</v>
      </c>
      <c r="D8042" s="125"/>
      <c r="E8042" s="126">
        <v>1336.6</v>
      </c>
      <c r="F8042" s="127"/>
      <c r="G8042" s="127"/>
      <c r="H8042" s="127"/>
      <c r="I8042" s="128"/>
      <c r="K8042" s="105" t="str">
        <f>IFERROR(__xludf.DUMMYFUNCTION("if(A8042="""","""",substitute(SUBSTITUTE(index(importhtml(""http://finviz.com/quote.ashx?t=""&amp;A8042,""table"",10),7,2),""*"",""""),""-"",""0.00""))"),"Loading...")</f>
        <v>Loading...</v>
      </c>
      <c r="L8042" s="129">
        <v>2.3402032908E10</v>
      </c>
      <c r="M8042" s="99">
        <v>0.66</v>
      </c>
      <c r="N8042" s="107"/>
      <c r="P8042" s="107" t="str">
        <f>IFERROR(__xludf.DUMMYFUNCTION("if(A8042="""","""",IFERROR(substitute(Index(IMPORTHTML(""https://finviz.com/quote.ashx?t=""&amp;A8042,""Table"",8),2,1),""*"",""""),""-""))"),"-")</f>
        <v>-</v>
      </c>
    </row>
    <row r="8043">
      <c r="A8043" s="122" t="s">
        <v>16709</v>
      </c>
      <c r="B8043" s="123">
        <v>1566469.0</v>
      </c>
      <c r="C8043" s="124" t="s">
        <v>16710</v>
      </c>
      <c r="D8043" s="125"/>
      <c r="E8043" s="126">
        <v>1347.0</v>
      </c>
      <c r="F8043" s="127"/>
      <c r="G8043" s="127"/>
      <c r="H8043" s="127"/>
      <c r="I8043" s="128"/>
      <c r="K8043" s="105" t="str">
        <f>IFERROR(__xludf.DUMMYFUNCTION("if(A8043="""","""",substitute(SUBSTITUTE(index(importhtml(""http://finviz.com/quote.ashx?t=""&amp;A8043,""table"",10),7,2),""*"",""""),""-"",""0.00""))"),"Loading...")</f>
        <v>Loading...</v>
      </c>
      <c r="L8043" s="129">
        <v>2.72418717202E11</v>
      </c>
      <c r="M8043" s="99" t="str">
        <f>IFERROR(__xludf.DUMMYFUNCTION("GOOGLEFINANCE(A8043,""beta"")"),"#N/A")</f>
        <v>#N/A</v>
      </c>
      <c r="N8043" s="107"/>
      <c r="P8043" s="107" t="str">
        <f>IFERROR(__xludf.DUMMYFUNCTION("if(A8043="""","""",IFERROR(substitute(Index(IMPORTHTML(""https://finviz.com/quote.ashx?t=""&amp;A8043,""Table"",8),2,1),""*"",""""),""-""))"),"-")</f>
        <v>-</v>
      </c>
    </row>
    <row r="8044">
      <c r="A8044" s="122" t="s">
        <v>16711</v>
      </c>
      <c r="B8044" s="123">
        <v>1096343.0</v>
      </c>
      <c r="C8044" s="124" t="s">
        <v>16712</v>
      </c>
      <c r="D8044" s="125"/>
      <c r="E8044" s="126">
        <v>1412.41</v>
      </c>
      <c r="F8044" s="127"/>
      <c r="G8044" s="127"/>
      <c r="H8044" s="127"/>
      <c r="I8044" s="128"/>
      <c r="K8044" s="105" t="str">
        <f>IFERROR(__xludf.DUMMYFUNCTION("if(A8044="""","""",substitute(SUBSTITUTE(index(importhtml(""http://finviz.com/quote.ashx?t=""&amp;A8044,""table"",10),7,2),""*"",""""),""-"",""0.00""))"),"Loading...")</f>
        <v>Loading...</v>
      </c>
      <c r="L8044" s="129">
        <v>1.8669984409E10</v>
      </c>
      <c r="M8044" s="99">
        <v>0.7</v>
      </c>
      <c r="N8044" s="107"/>
      <c r="P8044" s="107" t="str">
        <f>IFERROR(__xludf.DUMMYFUNCTION("if(A8044="""","""",IFERROR(substitute(Index(IMPORTHTML(""https://finviz.com/quote.ashx?t=""&amp;A8044,""Table"",8),2,1),""*"",""""),""-""))"),"-")</f>
        <v>-</v>
      </c>
    </row>
    <row r="8045">
      <c r="A8045" s="122" t="s">
        <v>16713</v>
      </c>
      <c r="B8045" s="123">
        <v>1811074.0</v>
      </c>
      <c r="C8045" s="124" t="s">
        <v>16714</v>
      </c>
      <c r="D8045" s="125"/>
      <c r="E8045" s="126">
        <v>1438.14</v>
      </c>
      <c r="F8045" s="127"/>
      <c r="G8045" s="127"/>
      <c r="H8045" s="127"/>
      <c r="I8045" s="128"/>
      <c r="K8045" s="105" t="str">
        <f>IFERROR(__xludf.DUMMYFUNCTION("if(A8045="""","""",substitute(SUBSTITUTE(index(importhtml(""http://finviz.com/quote.ashx?t=""&amp;A8045,""table"",10),7,2),""*"",""""),""-"",""0.00""))"),"Loading...")</f>
        <v>Loading...</v>
      </c>
      <c r="L8045" s="129">
        <v>1.1037531901E10</v>
      </c>
      <c r="M8045" s="99">
        <v>1.55</v>
      </c>
      <c r="N8045" s="107"/>
      <c r="P8045" s="107" t="str">
        <f>IFERROR(__xludf.DUMMYFUNCTION("if(A8045="""","""",IFERROR(substitute(Index(IMPORTHTML(""https://finviz.com/quote.ashx?t=""&amp;A8045,""Table"",8),2,1),""*"",""""),""-""))"),"-")</f>
        <v>-</v>
      </c>
    </row>
    <row r="8046">
      <c r="A8046" s="122" t="s">
        <v>16715</v>
      </c>
      <c r="B8046" s="123">
        <v>798941.0</v>
      </c>
      <c r="C8046" s="124" t="s">
        <v>16716</v>
      </c>
      <c r="D8046" s="125"/>
      <c r="E8046" s="126">
        <v>1519.65</v>
      </c>
      <c r="F8046" s="127"/>
      <c r="G8046" s="127"/>
      <c r="H8046" s="127"/>
      <c r="I8046" s="128"/>
      <c r="K8046" s="105" t="str">
        <f>IFERROR(__xludf.DUMMYFUNCTION("if(A8046="""","""",substitute(SUBSTITUTE(index(importhtml(""http://finviz.com/quote.ashx?t=""&amp;A8046,""table"",10),7,2),""*"",""""),""-"",""0.00""))"),"Loading...")</f>
        <v>Loading...</v>
      </c>
      <c r="L8046" s="129">
        <v>2.3402032908E10</v>
      </c>
      <c r="M8046" s="99">
        <v>0.89</v>
      </c>
      <c r="N8046" s="107"/>
      <c r="P8046" s="107" t="str">
        <f>IFERROR(__xludf.DUMMYFUNCTION("if(A8046="""","""",IFERROR(substitute(Index(IMPORTHTML(""https://finviz.com/quote.ashx?t=""&amp;A8046,""Table"",8),2,1),""*"",""""),""-""))"),"-")</f>
        <v>-</v>
      </c>
    </row>
    <row r="8047">
      <c r="A8047" s="122" t="s">
        <v>16717</v>
      </c>
      <c r="B8047" s="123">
        <v>776867.0</v>
      </c>
      <c r="C8047" s="124" t="s">
        <v>16718</v>
      </c>
      <c r="D8047" s="125"/>
      <c r="E8047" s="126">
        <v>1599.41</v>
      </c>
      <c r="F8047" s="127"/>
      <c r="G8047" s="127"/>
      <c r="H8047" s="127"/>
      <c r="I8047" s="128"/>
      <c r="K8047" s="105" t="str">
        <f>IFERROR(__xludf.DUMMYFUNCTION("if(A8047="""","""",substitute(SUBSTITUTE(index(importhtml(""http://finviz.com/quote.ashx?t=""&amp;A8047,""table"",10),7,2),""*"",""""),""-"",""0.00""))"),"Loading...")</f>
        <v>Loading...</v>
      </c>
      <c r="L8047" s="129">
        <v>4.09521262E9</v>
      </c>
      <c r="M8047" s="99">
        <v>0.4</v>
      </c>
      <c r="N8047" s="107"/>
      <c r="P8047" s="107" t="str">
        <f>IFERROR(__xludf.DUMMYFUNCTION("if(A8047="""","""",IFERROR(substitute(Index(IMPORTHTML(""https://finviz.com/quote.ashx?t=""&amp;A8047,""Table"",8),2,1),""*"",""""),""-""))"),"-")</f>
        <v>-</v>
      </c>
    </row>
    <row r="8048">
      <c r="A8048" s="122" t="s">
        <v>16719</v>
      </c>
      <c r="B8048" s="123">
        <v>1592016.0</v>
      </c>
      <c r="C8048" s="124" t="s">
        <v>16720</v>
      </c>
      <c r="D8048" s="125"/>
      <c r="E8048" s="126">
        <v>1650.12</v>
      </c>
      <c r="F8048" s="127"/>
      <c r="G8048" s="127"/>
      <c r="H8048" s="127"/>
      <c r="I8048" s="128"/>
      <c r="K8048" s="105" t="str">
        <f>IFERROR(__xludf.DUMMYFUNCTION("if(A8048="""","""",substitute(SUBSTITUTE(index(importhtml(""http://finviz.com/quote.ashx?t=""&amp;A8048,""table"",10),7,2),""*"",""""),""-"",""0.00""))"),"Loading...")</f>
        <v>Loading...</v>
      </c>
      <c r="L8048" s="129" t="e">
        <v>#N/A</v>
      </c>
      <c r="M8048" s="99" t="str">
        <f>IFERROR(__xludf.DUMMYFUNCTION("GOOGLEFINANCE(A8048,""beta"")"),"#N/A")</f>
        <v>#N/A</v>
      </c>
      <c r="N8048" s="107"/>
      <c r="P8048" s="107" t="str">
        <f>IFERROR(__xludf.DUMMYFUNCTION("if(A8048="""","""",IFERROR(substitute(Index(IMPORTHTML(""https://finviz.com/quote.ashx?t=""&amp;A8048,""Table"",8),2,1),""*"",""""),""-""))"),"-")</f>
        <v>-</v>
      </c>
    </row>
    <row r="8049">
      <c r="A8049" s="122" t="s">
        <v>16721</v>
      </c>
      <c r="B8049" s="123">
        <v>1096691.0</v>
      </c>
      <c r="C8049" s="124" t="s">
        <v>16722</v>
      </c>
      <c r="D8049" s="125"/>
      <c r="E8049" s="126">
        <v>1693.0</v>
      </c>
      <c r="F8049" s="127"/>
      <c r="G8049" s="127"/>
      <c r="H8049" s="127"/>
      <c r="I8049" s="128"/>
      <c r="K8049" s="105" t="str">
        <f>IFERROR(__xludf.DUMMYFUNCTION("if(A8049="""","""",substitute(SUBSTITUTE(index(importhtml(""http://finviz.com/quote.ashx?t=""&amp;A8049,""table"",10),7,2),""*"",""""),""-"",""0.00""))"),"Loading...")</f>
        <v>Loading...</v>
      </c>
      <c r="L8049" s="129">
        <v>3.153080446E9</v>
      </c>
      <c r="M8049" s="99" t="str">
        <f>IFERROR(__xludf.DUMMYFUNCTION("GOOGLEFINANCE(A8049,""beta"")"),"#N/A")</f>
        <v>#N/A</v>
      </c>
      <c r="N8049" s="107"/>
      <c r="P8049" s="107" t="str">
        <f>IFERROR(__xludf.DUMMYFUNCTION("if(A8049="""","""",IFERROR(substitute(Index(IMPORTHTML(""https://finviz.com/quote.ashx?t=""&amp;A8049,""Table"",8),2,1),""*"",""""),""-""))"),"-")</f>
        <v>-</v>
      </c>
    </row>
    <row r="8050">
      <c r="A8050" s="122" t="s">
        <v>16723</v>
      </c>
      <c r="B8050" s="123">
        <v>1824153.0</v>
      </c>
      <c r="C8050" s="124" t="s">
        <v>3784</v>
      </c>
      <c r="D8050" s="125"/>
      <c r="E8050" s="126">
        <v>1772.0</v>
      </c>
      <c r="F8050" s="127"/>
      <c r="G8050" s="127"/>
      <c r="H8050" s="127"/>
      <c r="I8050" s="128"/>
      <c r="K8050" s="105" t="str">
        <f>IFERROR(__xludf.DUMMYFUNCTION("if(A8050="""","""",substitute(SUBSTITUTE(index(importhtml(""http://finviz.com/quote.ashx?t=""&amp;A8050,""table"",10),7,2),""*"",""""),""-"",""0.00""))"),"Loading...")</f>
        <v>Loading...</v>
      </c>
      <c r="L8050" s="129">
        <v>2.600142428E10</v>
      </c>
      <c r="M8050" s="99" t="str">
        <f>IFERROR(__xludf.DUMMYFUNCTION("GOOGLEFINANCE(A8050,""beta"")"),"#N/A")</f>
        <v>#N/A</v>
      </c>
      <c r="N8050" s="107"/>
      <c r="P8050" s="107" t="str">
        <f>IFERROR(__xludf.DUMMYFUNCTION("if(A8050="""","""",IFERROR(substitute(Index(IMPORTHTML(""https://finviz.com/quote.ashx?t=""&amp;A8050,""Table"",8),2,1),""*"",""""),""-""))"),"-")</f>
        <v>-</v>
      </c>
    </row>
    <row r="8051">
      <c r="A8051" s="122" t="s">
        <v>16724</v>
      </c>
      <c r="B8051" s="123">
        <v>1099590.0</v>
      </c>
      <c r="C8051" s="124" t="s">
        <v>16725</v>
      </c>
      <c r="D8051" s="125"/>
      <c r="E8051" s="126">
        <v>1772.9</v>
      </c>
      <c r="F8051" s="127"/>
      <c r="G8051" s="127"/>
      <c r="H8051" s="127"/>
      <c r="I8051" s="128"/>
      <c r="K8051" s="105" t="str">
        <f>IFERROR(__xludf.DUMMYFUNCTION("if(A8051="""","""",substitute(SUBSTITUTE(index(importhtml(""http://finviz.com/quote.ashx?t=""&amp;A8051,""table"",10),7,2),""*"",""""),""-"",""0.00""))"),"Loading...")</f>
        <v>Loading...</v>
      </c>
      <c r="L8051" s="129">
        <v>8.6476515257E10</v>
      </c>
      <c r="M8051" s="99">
        <v>1.52</v>
      </c>
      <c r="N8051" s="107"/>
      <c r="P8051" s="107" t="str">
        <f>IFERROR(__xludf.DUMMYFUNCTION("if(A8051="""","""",IFERROR(substitute(Index(IMPORTHTML(""https://finviz.com/quote.ashx?t=""&amp;A8051,""Table"",8),2,1),""*"",""""),""-""))"),"-")</f>
        <v>-</v>
      </c>
    </row>
    <row r="8052">
      <c r="A8052" s="122" t="s">
        <v>16726</v>
      </c>
      <c r="B8052" s="123">
        <v>748592.0</v>
      </c>
      <c r="C8052" s="124" t="s">
        <v>16727</v>
      </c>
      <c r="D8052" s="125"/>
      <c r="E8052" s="126">
        <v>1846.7</v>
      </c>
      <c r="F8052" s="127"/>
      <c r="G8052" s="127"/>
      <c r="H8052" s="127"/>
      <c r="I8052" s="128"/>
      <c r="K8052" s="105" t="str">
        <f>IFERROR(__xludf.DUMMYFUNCTION("if(A8052="""","""",substitute(SUBSTITUTE(index(importhtml(""http://finviz.com/quote.ashx?t=""&amp;A8052,""table"",10),7,2),""*"",""""),""-"",""0.00""))"),"Loading...")</f>
        <v>Loading...</v>
      </c>
      <c r="L8052" s="129" t="e">
        <v>#N/A</v>
      </c>
      <c r="M8052" s="99">
        <f>IFERROR(__xludf.DUMMYFUNCTION("GOOGLEFINANCE(A8052,""beta"")"),1.32)</f>
        <v>1.32</v>
      </c>
      <c r="N8052" s="107"/>
      <c r="P8052" s="107" t="str">
        <f>IFERROR(__xludf.DUMMYFUNCTION("if(A8052="""","""",IFERROR(substitute(Index(IMPORTHTML(""https://finviz.com/quote.ashx?t=""&amp;A8052,""Table"",8),2,1),""*"",""""),""-""))"),"-")</f>
        <v>-</v>
      </c>
    </row>
    <row r="8053">
      <c r="A8053" s="122" t="s">
        <v>16728</v>
      </c>
      <c r="B8053" s="123">
        <v>46129.0</v>
      </c>
      <c r="C8053" s="124" t="s">
        <v>16729</v>
      </c>
      <c r="D8053" s="125"/>
      <c r="E8053" s="126">
        <v>1880.0</v>
      </c>
      <c r="F8053" s="127"/>
      <c r="G8053" s="127"/>
      <c r="H8053" s="127"/>
      <c r="I8053" s="128"/>
      <c r="K8053" s="105" t="str">
        <f>IFERROR(__xludf.DUMMYFUNCTION("if(A8053="""","""",substitute(SUBSTITUTE(index(importhtml(""http://finviz.com/quote.ashx?t=""&amp;A8053,""table"",10),7,2),""*"",""""),""-"",""0.00""))"),"Loading...")</f>
        <v>Loading...</v>
      </c>
      <c r="L8053" s="129">
        <v>8.84882724E9</v>
      </c>
      <c r="M8053" s="99" t="str">
        <f>IFERROR(__xludf.DUMMYFUNCTION("GOOGLEFINANCE(A8053,""beta"")"),"#N/A")</f>
        <v>#N/A</v>
      </c>
      <c r="N8053" s="107"/>
      <c r="P8053" s="107" t="str">
        <f>IFERROR(__xludf.DUMMYFUNCTION("if(A8053="""","""",IFERROR(substitute(Index(IMPORTHTML(""https://finviz.com/quote.ashx?t=""&amp;A8053,""Table"",8),2,1),""*"",""""),""-""))"),"-")</f>
        <v>-</v>
      </c>
    </row>
    <row r="8054">
      <c r="A8054" s="122" t="s">
        <v>16730</v>
      </c>
      <c r="B8054" s="123">
        <v>1861657.0</v>
      </c>
      <c r="C8054" s="124" t="s">
        <v>16731</v>
      </c>
      <c r="D8054" s="125"/>
      <c r="E8054" s="126">
        <v>1886.0</v>
      </c>
      <c r="F8054" s="127"/>
      <c r="G8054" s="127"/>
      <c r="H8054" s="127"/>
      <c r="I8054" s="128"/>
      <c r="K8054" s="105" t="str">
        <f>IFERROR(__xludf.DUMMYFUNCTION("if(A8054="""","""",substitute(SUBSTITUTE(index(importhtml(""http://finviz.com/quote.ashx?t=""&amp;A8054,""table"",10),7,2),""*"",""""),""-"",""0.00""))"),"Loading...")</f>
        <v>Loading...</v>
      </c>
      <c r="L8054" s="129">
        <v>1.512487884E9</v>
      </c>
      <c r="M8054" s="99" t="str">
        <f>IFERROR(__xludf.DUMMYFUNCTION("GOOGLEFINANCE(A8054,""beta"")"),"#N/A")</f>
        <v>#N/A</v>
      </c>
      <c r="N8054" s="107"/>
      <c r="P8054" s="107" t="str">
        <f>IFERROR(__xludf.DUMMYFUNCTION("if(A8054="""","""",IFERROR(substitute(Index(IMPORTHTML(""https://finviz.com/quote.ashx?t=""&amp;A8054,""Table"",8),2,1),""*"",""""),""-""))"),"-")</f>
        <v>-</v>
      </c>
    </row>
    <row r="8055">
      <c r="A8055" s="122" t="s">
        <v>16732</v>
      </c>
      <c r="B8055" s="123">
        <v>1413659.0</v>
      </c>
      <c r="C8055" s="124" t="s">
        <v>16733</v>
      </c>
      <c r="D8055" s="125"/>
      <c r="E8055" s="126">
        <v>2035.56</v>
      </c>
      <c r="F8055" s="127"/>
      <c r="G8055" s="127"/>
      <c r="H8055" s="127"/>
      <c r="I8055" s="128"/>
      <c r="K8055" s="105" t="str">
        <f>IFERROR(__xludf.DUMMYFUNCTION("if(A8055="""","""",substitute(SUBSTITUTE(index(importhtml(""http://finviz.com/quote.ashx?t=""&amp;A8055,""table"",10),7,2),""*"",""""),""-"",""0.00""))"),"Loading...")</f>
        <v>Loading...</v>
      </c>
      <c r="L8055" s="129">
        <v>3.4801050503E10</v>
      </c>
      <c r="M8055" s="99" t="str">
        <f>IFERROR(__xludf.DUMMYFUNCTION("GOOGLEFINANCE(A8055,""beta"")"),"#N/A")</f>
        <v>#N/A</v>
      </c>
      <c r="N8055" s="107"/>
      <c r="P8055" s="107" t="str">
        <f>IFERROR(__xludf.DUMMYFUNCTION("if(A8055="""","""",IFERROR(substitute(Index(IMPORTHTML(""https://finviz.com/quote.ashx?t=""&amp;A8055,""Table"",8),2,1),""*"",""""),""-""))"),"-")</f>
        <v>-</v>
      </c>
    </row>
    <row r="8056">
      <c r="A8056" s="122" t="s">
        <v>16734</v>
      </c>
      <c r="B8056" s="123">
        <v>1599489.0</v>
      </c>
      <c r="C8056" s="124" t="s">
        <v>16735</v>
      </c>
      <c r="D8056" s="125"/>
      <c r="E8056" s="126">
        <v>2050.0</v>
      </c>
      <c r="F8056" s="127"/>
      <c r="G8056" s="127"/>
      <c r="H8056" s="127"/>
      <c r="I8056" s="128"/>
      <c r="K8056" s="105" t="str">
        <f>IFERROR(__xludf.DUMMYFUNCTION("if(A8056="""","""",substitute(SUBSTITUTE(index(importhtml(""http://finviz.com/quote.ashx?t=""&amp;A8056,""table"",10),7,2),""*"",""""),""-"",""0.00""))"),"Loading...")</f>
        <v>Loading...</v>
      </c>
      <c r="L8056" s="129">
        <v>2.306307E9</v>
      </c>
      <c r="M8056" s="99" t="str">
        <f>IFERROR(__xludf.DUMMYFUNCTION("GOOGLEFINANCE(A8056,""beta"")"),"#N/A")</f>
        <v>#N/A</v>
      </c>
      <c r="N8056" s="107"/>
      <c r="P8056" s="107" t="str">
        <f>IFERROR(__xludf.DUMMYFUNCTION("if(A8056="""","""",IFERROR(substitute(Index(IMPORTHTML(""https://finviz.com/quote.ashx?t=""&amp;A8056,""Table"",8),2,1),""*"",""""),""-""))"),"-")</f>
        <v>-</v>
      </c>
    </row>
    <row r="8057">
      <c r="A8057" s="122" t="s">
        <v>16736</v>
      </c>
      <c r="B8057" s="123">
        <v>1574910.0</v>
      </c>
      <c r="C8057" s="124" t="s">
        <v>16737</v>
      </c>
      <c r="D8057" s="125"/>
      <c r="E8057" s="126">
        <v>2144.4</v>
      </c>
      <c r="F8057" s="127"/>
      <c r="G8057" s="127"/>
      <c r="H8057" s="127"/>
      <c r="I8057" s="128"/>
      <c r="K8057" s="105" t="str">
        <f>IFERROR(__xludf.DUMMYFUNCTION("if(A8057="""","""",substitute(SUBSTITUTE(index(importhtml(""http://finviz.com/quote.ashx?t=""&amp;A8057,""table"",10),7,2),""*"",""""),""-"",""0.00""))"),"Loading...")</f>
        <v>Loading...</v>
      </c>
      <c r="L8057" s="129">
        <v>1.19625177E8</v>
      </c>
      <c r="M8057" s="99" t="str">
        <f>IFERROR(__xludf.DUMMYFUNCTION("GOOGLEFINANCE(A8057,""beta"")"),"#N/A")</f>
        <v>#N/A</v>
      </c>
      <c r="N8057" s="107"/>
      <c r="P8057" s="107" t="str">
        <f>IFERROR(__xludf.DUMMYFUNCTION("if(A8057="""","""",IFERROR(substitute(Index(IMPORTHTML(""https://finviz.com/quote.ashx?t=""&amp;A8057,""Table"",8),2,1),""*"",""""),""-""))"),"-")</f>
        <v>-</v>
      </c>
    </row>
    <row r="8058">
      <c r="A8058" s="122" t="s">
        <v>16738</v>
      </c>
      <c r="B8058" s="123">
        <v>1287808.0</v>
      </c>
      <c r="C8058" s="124" t="s">
        <v>16739</v>
      </c>
      <c r="D8058" s="125"/>
      <c r="E8058" s="126">
        <v>2199.0</v>
      </c>
      <c r="F8058" s="127"/>
      <c r="G8058" s="127"/>
      <c r="H8058" s="127"/>
      <c r="I8058" s="128"/>
      <c r="K8058" s="105" t="str">
        <f>IFERROR(__xludf.DUMMYFUNCTION("if(A8058="""","""",substitute(SUBSTITUTE(index(importhtml(""http://finviz.com/quote.ashx?t=""&amp;A8058,""table"",10),7,2),""*"",""""),""-"",""0.00""))"),"Loading...")</f>
        <v>Loading...</v>
      </c>
      <c r="L8058" s="129">
        <v>2.347001E9</v>
      </c>
      <c r="M8058" s="99" t="str">
        <f>IFERROR(__xludf.DUMMYFUNCTION("GOOGLEFINANCE(A8058,""beta"")"),"#N/A")</f>
        <v>#N/A</v>
      </c>
      <c r="N8058" s="107"/>
      <c r="P8058" s="107" t="str">
        <f>IFERROR(__xludf.DUMMYFUNCTION("if(A8058="""","""",IFERROR(substitute(Index(IMPORTHTML(""https://finviz.com/quote.ashx?t=""&amp;A8058,""Table"",8),2,1),""*"",""""),""-""))"),"-")</f>
        <v>-</v>
      </c>
    </row>
    <row r="8059">
      <c r="A8059" s="122" t="s">
        <v>16740</v>
      </c>
      <c r="B8059" s="123">
        <v>1821682.0</v>
      </c>
      <c r="C8059" s="124" t="s">
        <v>16741</v>
      </c>
      <c r="D8059" s="125"/>
      <c r="E8059" s="126">
        <v>2343.5</v>
      </c>
      <c r="F8059" s="127"/>
      <c r="G8059" s="127"/>
      <c r="H8059" s="127"/>
      <c r="I8059" s="128"/>
      <c r="K8059" s="105" t="str">
        <f>IFERROR(__xludf.DUMMYFUNCTION("if(A8059="""","""",substitute(SUBSTITUTE(index(importhtml(""http://finviz.com/quote.ashx?t=""&amp;A8059,""table"",10),7,2),""*"",""""),""-"",""0.00""))"),"Loading...")</f>
        <v>Loading...</v>
      </c>
      <c r="L8059" s="129" t="e">
        <v>#N/A</v>
      </c>
      <c r="M8059" s="99" t="str">
        <f>IFERROR(__xludf.DUMMYFUNCTION("GOOGLEFINANCE(A8059,""beta"")"),"#N/A")</f>
        <v>#N/A</v>
      </c>
      <c r="N8059" s="107"/>
      <c r="P8059" s="107" t="str">
        <f>IFERROR(__xludf.DUMMYFUNCTION("if(A8059="""","""",IFERROR(substitute(Index(IMPORTHTML(""https://finviz.com/quote.ashx?t=""&amp;A8059,""Table"",8),2,1),""*"",""""),""-""))"),"-")</f>
        <v>-</v>
      </c>
    </row>
    <row r="8060">
      <c r="A8060" s="122" t="s">
        <v>16742</v>
      </c>
      <c r="B8060" s="123">
        <v>1058090.0</v>
      </c>
      <c r="C8060" s="124" t="s">
        <v>16743</v>
      </c>
      <c r="D8060" s="125"/>
      <c r="E8060" s="126">
        <v>2482.28</v>
      </c>
      <c r="F8060" s="127"/>
      <c r="G8060" s="127"/>
      <c r="H8060" s="127"/>
      <c r="I8060" s="128"/>
      <c r="K8060" s="55" t="s">
        <v>1034</v>
      </c>
      <c r="L8060" s="129">
        <v>6.8125331428E10</v>
      </c>
      <c r="M8060" s="99">
        <v>1.29</v>
      </c>
      <c r="N8060" s="107"/>
      <c r="P8060" s="107" t="str">
        <f>IFERROR(__xludf.DUMMYFUNCTION("if(A8060="""","""",IFERROR(substitute(Index(IMPORTHTML(""https://finviz.com/quote.ashx?t=""&amp;A8060,""Table"",8),2,1),""*"",""""),""-""))"),"-")</f>
        <v>-</v>
      </c>
    </row>
    <row r="8061">
      <c r="A8061" s="122" t="s">
        <v>16744</v>
      </c>
      <c r="B8061" s="123">
        <v>1126975.0</v>
      </c>
      <c r="C8061" s="124" t="s">
        <v>16745</v>
      </c>
      <c r="D8061" s="125"/>
      <c r="E8061" s="126">
        <v>2602.0</v>
      </c>
      <c r="F8061" s="127"/>
      <c r="G8061" s="127"/>
      <c r="H8061" s="127"/>
      <c r="I8061" s="128"/>
      <c r="K8061" s="105" t="str">
        <f>IFERROR(__xludf.DUMMYFUNCTION("if(A8061="""","""",substitute(SUBSTITUTE(index(importhtml(""http://finviz.com/quote.ashx?t=""&amp;A8061,""table"",10),7,2),""*"",""""),""-"",""0.00""))"),"Loading...")</f>
        <v>Loading...</v>
      </c>
      <c r="L8061" s="129">
        <v>9.709005E8</v>
      </c>
      <c r="M8061" s="99" t="str">
        <f>IFERROR(__xludf.DUMMYFUNCTION("GOOGLEFINANCE(A8061,""beta"")"),"#N/A")</f>
        <v>#N/A</v>
      </c>
      <c r="N8061" s="107"/>
      <c r="P8061" s="107" t="str">
        <f>IFERROR(__xludf.DUMMYFUNCTION("if(A8061="""","""",IFERROR(substitute(Index(IMPORTHTML(""https://finviz.com/quote.ashx?t=""&amp;A8061,""Table"",8),2,1),""*"",""""),""-""))"),"-")</f>
        <v>-</v>
      </c>
    </row>
    <row r="8062">
      <c r="A8062" s="122" t="s">
        <v>16746</v>
      </c>
      <c r="B8062" s="123">
        <v>1477009.0</v>
      </c>
      <c r="C8062" s="124" t="s">
        <v>16747</v>
      </c>
      <c r="D8062" s="125"/>
      <c r="E8062" s="126">
        <v>2767.3</v>
      </c>
      <c r="F8062" s="127"/>
      <c r="G8062" s="127"/>
      <c r="H8062" s="127"/>
      <c r="I8062" s="128"/>
      <c r="K8062" s="105" t="str">
        <f>IFERROR(__xludf.DUMMYFUNCTION("if(A8062="""","""",substitute(SUBSTITUTE(index(importhtml(""http://finviz.com/quote.ashx?t=""&amp;A8062,""table"",10),7,2),""*"",""""),""-"",""0.00""))"),"Loading...")</f>
        <v>Loading...</v>
      </c>
      <c r="L8062" s="129" t="e">
        <v>#N/A</v>
      </c>
      <c r="M8062" s="99" t="str">
        <f>IFERROR(__xludf.DUMMYFUNCTION("GOOGLEFINANCE(A8062,""beta"")"),"#N/A")</f>
        <v>#N/A</v>
      </c>
      <c r="N8062" s="107"/>
      <c r="P8062" s="107" t="str">
        <f>IFERROR(__xludf.DUMMYFUNCTION("if(A8062="""","""",IFERROR(substitute(Index(IMPORTHTML(""https://finviz.com/quote.ashx?t=""&amp;A8062,""Table"",8),2,1),""*"",""""),""-""))"),"-")</f>
        <v>-</v>
      </c>
    </row>
    <row r="8063">
      <c r="A8063" s="122" t="s">
        <v>16748</v>
      </c>
      <c r="B8063" s="123">
        <v>866787.0</v>
      </c>
      <c r="C8063" s="124" t="s">
        <v>16749</v>
      </c>
      <c r="D8063" s="125"/>
      <c r="E8063" s="126">
        <v>2821.89</v>
      </c>
      <c r="F8063" s="127"/>
      <c r="G8063" s="127"/>
      <c r="H8063" s="127"/>
      <c r="I8063" s="128"/>
      <c r="K8063" s="55" t="s">
        <v>1034</v>
      </c>
      <c r="L8063" s="129">
        <v>4.8795837833E10</v>
      </c>
      <c r="M8063" s="99">
        <v>0.7</v>
      </c>
      <c r="N8063" s="107"/>
      <c r="P8063" s="107" t="str">
        <f>IFERROR(__xludf.DUMMYFUNCTION("if(A8063="""","""",IFERROR(substitute(Index(IMPORTHTML(""https://finviz.com/quote.ashx?t=""&amp;A8063,""Table"",8),2,1),""*"",""""),""-""))"),"-")</f>
        <v>-</v>
      </c>
    </row>
    <row r="8064">
      <c r="A8064" s="122" t="s">
        <v>16750</v>
      </c>
      <c r="B8064" s="123">
        <v>1852767.0</v>
      </c>
      <c r="C8064" s="124" t="s">
        <v>16751</v>
      </c>
      <c r="D8064" s="125"/>
      <c r="E8064" s="126">
        <v>3131.5</v>
      </c>
      <c r="F8064" s="127"/>
      <c r="G8064" s="127"/>
      <c r="H8064" s="127"/>
      <c r="I8064" s="128"/>
      <c r="K8064" s="105" t="str">
        <f>IFERROR(__xludf.DUMMYFUNCTION("if(A8064="""","""",substitute(SUBSTITUTE(index(importhtml(""http://finviz.com/quote.ashx?t=""&amp;A8064,""table"",10),7,2),""*"",""""),""-"",""0.00""))"),"Loading...")</f>
        <v>Loading...</v>
      </c>
      <c r="L8064" s="129" t="e">
        <v>#N/A</v>
      </c>
      <c r="M8064" s="99" t="str">
        <f>IFERROR(__xludf.DUMMYFUNCTION("GOOGLEFINANCE(A8064,""beta"")"),"#N/A")</f>
        <v>#N/A</v>
      </c>
      <c r="N8064" s="107"/>
      <c r="P8064" s="107" t="str">
        <f>IFERROR(__xludf.DUMMYFUNCTION("if(A8064="""","""",IFERROR(substitute(Index(IMPORTHTML(""https://finviz.com/quote.ashx?t=""&amp;A8064,""Table"",8),2,1),""*"",""""),""-""))"),"-")</f>
        <v>-</v>
      </c>
    </row>
    <row r="8065">
      <c r="A8065" s="122" t="s">
        <v>16752</v>
      </c>
      <c r="B8065" s="123">
        <v>1717452.0</v>
      </c>
      <c r="C8065" s="124" t="s">
        <v>16753</v>
      </c>
      <c r="D8065" s="125"/>
      <c r="E8065" s="126">
        <v>3150.0</v>
      </c>
      <c r="F8065" s="127"/>
      <c r="G8065" s="127"/>
      <c r="H8065" s="127"/>
      <c r="I8065" s="128"/>
      <c r="K8065" s="105" t="str">
        <f>IFERROR(__xludf.DUMMYFUNCTION("if(A8065="""","""",substitute(SUBSTITUTE(index(importhtml(""http://finviz.com/quote.ashx?t=""&amp;A8065,""table"",10),7,2),""*"",""""),""-"",""0.00""))"),"Loading...")</f>
        <v>Loading...</v>
      </c>
      <c r="L8065" s="129">
        <v>4.606875E7</v>
      </c>
      <c r="M8065" s="99">
        <v>-0.19</v>
      </c>
      <c r="N8065" s="107"/>
      <c r="P8065" s="107" t="str">
        <f>IFERROR(__xludf.DUMMYFUNCTION("if(A8065="""","""",IFERROR(substitute(Index(IMPORTHTML(""https://finviz.com/quote.ashx?t=""&amp;A8065,""Table"",8),2,1),""*"",""""),""-""))"),"-")</f>
        <v>-</v>
      </c>
    </row>
    <row r="8066">
      <c r="A8066" s="122" t="s">
        <v>16754</v>
      </c>
      <c r="B8066" s="123">
        <v>1494319.0</v>
      </c>
      <c r="C8066" s="124" t="s">
        <v>16755</v>
      </c>
      <c r="D8066" s="125"/>
      <c r="E8066" s="126">
        <v>3170.0</v>
      </c>
      <c r="F8066" s="127"/>
      <c r="G8066" s="127"/>
      <c r="H8066" s="127"/>
      <c r="I8066" s="128"/>
      <c r="K8066" s="105" t="str">
        <f>IFERROR(__xludf.DUMMYFUNCTION("if(A8066="""","""",substitute(SUBSTITUTE(index(importhtml(""http://finviz.com/quote.ashx?t=""&amp;A8066,""table"",10),7,2),""*"",""""),""-"",""0.00""))"),"Loading...")</f>
        <v>Loading...</v>
      </c>
      <c r="L8066" s="129">
        <v>1.209355E14</v>
      </c>
      <c r="M8066" s="99" t="str">
        <f>IFERROR(__xludf.DUMMYFUNCTION("GOOGLEFINANCE(A8066,""beta"")"),"#N/A")</f>
        <v>#N/A</v>
      </c>
      <c r="N8066" s="107"/>
      <c r="P8066" s="107" t="str">
        <f>IFERROR(__xludf.DUMMYFUNCTION("if(A8066="""","""",IFERROR(substitute(Index(IMPORTHTML(""https://finviz.com/quote.ashx?t=""&amp;A8066,""Table"",8),2,1),""*"",""""),""-""))"),"-")</f>
        <v>-</v>
      </c>
    </row>
    <row r="8067">
      <c r="A8067" s="122" t="s">
        <v>16756</v>
      </c>
      <c r="B8067" s="123">
        <v>1181749.0</v>
      </c>
      <c r="C8067" s="124" t="s">
        <v>16757</v>
      </c>
      <c r="D8067" s="125"/>
      <c r="E8067" s="126">
        <v>3500.0</v>
      </c>
      <c r="F8067" s="127"/>
      <c r="G8067" s="127"/>
      <c r="H8067" s="127"/>
      <c r="I8067" s="128"/>
      <c r="K8067" s="105" t="str">
        <f>IFERROR(__xludf.DUMMYFUNCTION("if(A8067="""","""",substitute(SUBSTITUTE(index(importhtml(""http://finviz.com/quote.ashx?t=""&amp;A8067,""table"",10),7,2),""*"",""""),""-"",""0.00""))"),"Loading...")</f>
        <v>Loading...</v>
      </c>
      <c r="L8067" s="129">
        <v>1.07121E8</v>
      </c>
      <c r="M8067" s="99" t="str">
        <f>IFERROR(__xludf.DUMMYFUNCTION("GOOGLEFINANCE(A8067,""beta"")"),"#N/A")</f>
        <v>#N/A</v>
      </c>
      <c r="N8067" s="107"/>
      <c r="P8067" s="107" t="str">
        <f>IFERROR(__xludf.DUMMYFUNCTION("if(A8067="""","""",IFERROR(substitute(Index(IMPORTHTML(""https://finviz.com/quote.ashx?t=""&amp;A8067,""Table"",8),2,1),""*"",""""),""-""))"),"-")</f>
        <v>-</v>
      </c>
    </row>
    <row r="8068">
      <c r="A8068" s="122" t="s">
        <v>16758</v>
      </c>
      <c r="B8068" s="123">
        <v>1410939.0</v>
      </c>
      <c r="C8068" s="124" t="s">
        <v>16759</v>
      </c>
      <c r="D8068" s="125"/>
      <c r="E8068" s="126">
        <v>3555.59</v>
      </c>
      <c r="F8068" s="127"/>
      <c r="G8068" s="127"/>
      <c r="H8068" s="127"/>
      <c r="I8068" s="128"/>
      <c r="K8068" s="105" t="str">
        <f>IFERROR(__xludf.DUMMYFUNCTION("if(A8068="""","""",substitute(SUBSTITUTE(index(importhtml(""http://finviz.com/quote.ashx?t=""&amp;A8068,""table"",10),7,2),""*"",""""),""-"",""0.00""))"),"Loading...")</f>
        <v>Loading...</v>
      </c>
      <c r="L8068" s="129" t="e">
        <v>#N/A</v>
      </c>
      <c r="M8068" s="99" t="str">
        <f>IFERROR(__xludf.DUMMYFUNCTION("GOOGLEFINANCE(A8068,""beta"")"),"#N/A")</f>
        <v>#N/A</v>
      </c>
      <c r="N8068" s="107"/>
      <c r="P8068" s="107" t="str">
        <f>IFERROR(__xludf.DUMMYFUNCTION("if(A8068="""","""",IFERROR(substitute(Index(IMPORTHTML(""https://finviz.com/quote.ashx?t=""&amp;A8068,""Table"",8),2,1),""*"",""""),""-""))"),"-")</f>
        <v>-</v>
      </c>
    </row>
    <row r="8069">
      <c r="A8069" s="122" t="s">
        <v>16760</v>
      </c>
      <c r="B8069" s="123">
        <v>1075531.0</v>
      </c>
      <c r="C8069" s="124" t="s">
        <v>16761</v>
      </c>
      <c r="D8069" s="125"/>
      <c r="E8069" s="126">
        <v>3561.39</v>
      </c>
      <c r="F8069" s="127"/>
      <c r="G8069" s="127"/>
      <c r="H8069" s="127"/>
      <c r="I8069" s="128"/>
      <c r="K8069" s="105" t="str">
        <f>IFERROR(__xludf.DUMMYFUNCTION("if(A8069="""","""",substitute(SUBSTITUTE(index(importhtml(""http://finviz.com/quote.ashx?t=""&amp;A8069,""table"",10),7,2),""*"",""""),""-"",""0.00""))"),"Loading...")</f>
        <v>Loading...</v>
      </c>
      <c r="L8069" s="129">
        <v>1.24256465985E11</v>
      </c>
      <c r="M8069" s="99">
        <v>1.41</v>
      </c>
      <c r="N8069" s="107"/>
      <c r="P8069" s="107" t="str">
        <f>IFERROR(__xludf.DUMMYFUNCTION("if(A8069="""","""",IFERROR(substitute(Index(IMPORTHTML(""https://finviz.com/quote.ashx?t=""&amp;A8069,""Table"",8),2,1),""*"",""""),""-""))"),"-")</f>
        <v>-</v>
      </c>
    </row>
    <row r="8070">
      <c r="A8070" s="122" t="s">
        <v>16762</v>
      </c>
      <c r="B8070" s="123">
        <v>88121.0</v>
      </c>
      <c r="C8070" s="124" t="s">
        <v>16763</v>
      </c>
      <c r="D8070" s="125"/>
      <c r="E8070" s="126">
        <v>3594.0</v>
      </c>
      <c r="F8070" s="127"/>
      <c r="G8070" s="127"/>
      <c r="H8070" s="127"/>
      <c r="I8070" s="128"/>
      <c r="K8070" s="105" t="str">
        <f>IFERROR(__xludf.DUMMYFUNCTION("if(A8070="""","""",substitute(SUBSTITUTE(index(importhtml(""http://finviz.com/quote.ashx?t=""&amp;A8070,""table"",10),7,2),""*"",""""),""-"",""0.00""))"),"Loading...")</f>
        <v>Loading...</v>
      </c>
      <c r="L8070" s="129">
        <v>3.48997167E9</v>
      </c>
      <c r="M8070" s="99">
        <v>0.44</v>
      </c>
      <c r="N8070" s="107"/>
      <c r="P8070" s="107" t="str">
        <f>IFERROR(__xludf.DUMMYFUNCTION("if(A8070="""","""",IFERROR(substitute(Index(IMPORTHTML(""https://finviz.com/quote.ashx?t=""&amp;A8070,""Table"",8),2,1),""*"",""""),""-""))"),"-")</f>
        <v>-</v>
      </c>
    </row>
    <row r="8071">
      <c r="A8071" s="122" t="s">
        <v>16764</v>
      </c>
      <c r="B8071" s="123">
        <v>1696898.0</v>
      </c>
      <c r="C8071" s="124" t="s">
        <v>16765</v>
      </c>
      <c r="D8071" s="125"/>
      <c r="E8071" s="126">
        <v>4291.5</v>
      </c>
      <c r="F8071" s="127"/>
      <c r="G8071" s="127"/>
      <c r="H8071" s="127"/>
      <c r="I8071" s="128"/>
      <c r="K8071" s="105" t="str">
        <f>IFERROR(__xludf.DUMMYFUNCTION("if(A8071="""","""",substitute(SUBSTITUTE(index(importhtml(""http://finviz.com/quote.ashx?t=""&amp;A8071,""table"",10),7,2),""*"",""""),""-"",""0.00""))"),"Loading...")</f>
        <v>Loading...</v>
      </c>
      <c r="L8071" s="129" t="e">
        <v>#N/A</v>
      </c>
      <c r="M8071" s="99" t="str">
        <f>IFERROR(__xludf.DUMMYFUNCTION("GOOGLEFINANCE(A8071,""beta"")"),"#N/A")</f>
        <v>#N/A</v>
      </c>
      <c r="N8071" s="107"/>
      <c r="P8071" s="107" t="str">
        <f>IFERROR(__xludf.DUMMYFUNCTION("if(A8071="""","""",IFERROR(substitute(Index(IMPORTHTML(""https://finviz.com/quote.ashx?t=""&amp;A8071,""Table"",8),2,1),""*"",""""),""-""))"),"-")</f>
        <v>-</v>
      </c>
    </row>
    <row r="8072">
      <c r="A8072" s="122" t="s">
        <v>16766</v>
      </c>
      <c r="B8072" s="123">
        <v>1734768.0</v>
      </c>
      <c r="C8072" s="124" t="s">
        <v>16767</v>
      </c>
      <c r="D8072" s="125"/>
      <c r="E8072" s="126">
        <v>4739.0</v>
      </c>
      <c r="F8072" s="127"/>
      <c r="G8072" s="127"/>
      <c r="H8072" s="127"/>
      <c r="I8072" s="128"/>
      <c r="K8072" s="105" t="str">
        <f>IFERROR(__xludf.DUMMYFUNCTION("if(A8072="""","""",substitute(SUBSTITUTE(index(importhtml(""http://finviz.com/quote.ashx?t=""&amp;A8072,""table"",10),7,2),""*"",""""),""-"",""0.00""))"),"Loading...")</f>
        <v>Loading...</v>
      </c>
      <c r="L8072" s="129" t="e">
        <v>#N/A</v>
      </c>
      <c r="M8072" s="99" t="str">
        <f>IFERROR(__xludf.DUMMYFUNCTION("GOOGLEFINANCE(A8072,""beta"")"),"#N/A")</f>
        <v>#N/A</v>
      </c>
      <c r="N8072" s="107"/>
      <c r="P8072" s="107" t="str">
        <f>IFERROR(__xludf.DUMMYFUNCTION("if(A8072="""","""",IFERROR(substitute(Index(IMPORTHTML(""https://finviz.com/quote.ashx?t=""&amp;A8072,""Table"",8),2,1),""*"",""""),""-""))"),"-")</f>
        <v>-</v>
      </c>
    </row>
    <row r="8073">
      <c r="A8073" s="122" t="s">
        <v>16768</v>
      </c>
      <c r="B8073" s="123">
        <v>1904958.0</v>
      </c>
      <c r="C8073" s="124" t="s">
        <v>16769</v>
      </c>
      <c r="D8073" s="125"/>
      <c r="E8073" s="126">
        <v>4849.28</v>
      </c>
      <c r="F8073" s="127"/>
      <c r="G8073" s="127"/>
      <c r="H8073" s="127"/>
      <c r="I8073" s="128"/>
      <c r="K8073" s="105" t="str">
        <f>IFERROR(__xludf.DUMMYFUNCTION("if(A8073="""","""",substitute(SUBSTITUTE(index(importhtml(""http://finviz.com/quote.ashx?t=""&amp;A8073,""table"",10),7,2),""*"",""""),""-"",""0.00""))"),"Loading...")</f>
        <v>Loading...</v>
      </c>
      <c r="L8073" s="129" t="e">
        <v>#N/A</v>
      </c>
      <c r="M8073" s="99" t="str">
        <f>IFERROR(__xludf.DUMMYFUNCTION("GOOGLEFINANCE(A8073,""beta"")"),"#N/A")</f>
        <v>#N/A</v>
      </c>
      <c r="N8073" s="107"/>
      <c r="P8073" s="107" t="str">
        <f>IFERROR(__xludf.DUMMYFUNCTION("if(A8073="""","""",IFERROR(substitute(Index(IMPORTHTML(""https://finviz.com/quote.ashx?t=""&amp;A8073,""Table"",8),2,1),""*"",""""),""-""))"),"-")</f>
        <v>-</v>
      </c>
    </row>
    <row r="8074">
      <c r="A8074" s="122" t="s">
        <v>16770</v>
      </c>
      <c r="B8074" s="123">
        <v>703904.0</v>
      </c>
      <c r="C8074" s="124" t="s">
        <v>16771</v>
      </c>
      <c r="D8074" s="125"/>
      <c r="E8074" s="126">
        <v>5610.01</v>
      </c>
      <c r="F8074" s="127"/>
      <c r="G8074" s="127"/>
      <c r="H8074" s="127"/>
      <c r="I8074" s="128"/>
      <c r="K8074" s="105" t="str">
        <f>IFERROR(__xludf.DUMMYFUNCTION("if(A8074="""","""",substitute(SUBSTITUTE(index(importhtml(""http://finviz.com/quote.ashx?t=""&amp;A8074,""table"",10),7,2),""*"",""""),""-"",""0.00""))"),"Loading...")</f>
        <v>Loading...</v>
      </c>
      <c r="L8074" s="129" t="e">
        <v>#N/A</v>
      </c>
      <c r="M8074" s="99">
        <v>0.35</v>
      </c>
      <c r="N8074" s="107"/>
      <c r="P8074" s="107" t="str">
        <f>IFERROR(__xludf.DUMMYFUNCTION("if(A8074="""","""",IFERROR(substitute(Index(IMPORTHTML(""https://finviz.com/quote.ashx?t=""&amp;A8074,""Table"",8),2,1),""*"",""""),""-""))"),"-")</f>
        <v>-</v>
      </c>
    </row>
    <row r="8075">
      <c r="A8075" s="122" t="s">
        <v>16772</v>
      </c>
      <c r="B8075" s="123">
        <v>1114446.0</v>
      </c>
      <c r="C8075" s="124" t="s">
        <v>16773</v>
      </c>
      <c r="D8075" s="125"/>
      <c r="E8075" s="126">
        <v>5626.0</v>
      </c>
      <c r="F8075" s="127"/>
      <c r="G8075" s="127"/>
      <c r="H8075" s="127"/>
      <c r="I8075" s="128"/>
      <c r="K8075" s="105" t="str">
        <f>IFERROR(__xludf.DUMMYFUNCTION("if(A8075="""","""",substitute(SUBSTITUTE(index(importhtml(""http://finviz.com/quote.ashx?t=""&amp;A8075,""table"",10),7,2),""*"",""""),""-"",""0.00""))"),"Loading...")</f>
        <v>Loading...</v>
      </c>
      <c r="L8075" s="129" t="e">
        <v>#N/A</v>
      </c>
      <c r="M8075" s="99" t="str">
        <f>IFERROR(__xludf.DUMMYFUNCTION("GOOGLEFINANCE(A8075,""beta"")"),"#N/A")</f>
        <v>#N/A</v>
      </c>
      <c r="N8075" s="107"/>
      <c r="P8075" s="107" t="str">
        <f>IFERROR(__xludf.DUMMYFUNCTION("if(A8075="""","""",IFERROR(substitute(Index(IMPORTHTML(""https://finviz.com/quote.ashx?t=""&amp;A8075,""Table"",8),2,1),""*"",""""),""-""))"),"-")</f>
        <v>-</v>
      </c>
    </row>
    <row r="8076">
      <c r="A8076" s="122" t="s">
        <v>16774</v>
      </c>
      <c r="B8076" s="123">
        <v>1872195.0</v>
      </c>
      <c r="C8076" s="124" t="s">
        <v>16775</v>
      </c>
      <c r="D8076" s="125"/>
      <c r="E8076" s="126">
        <v>5811.43</v>
      </c>
      <c r="F8076" s="127"/>
      <c r="G8076" s="127"/>
      <c r="H8076" s="127"/>
      <c r="I8076" s="128"/>
      <c r="K8076" s="105" t="str">
        <f>IFERROR(__xludf.DUMMYFUNCTION("if(A8076="""","""",substitute(SUBSTITUTE(index(importhtml(""http://finviz.com/quote.ashx?t=""&amp;A8076,""table"",10),7,2),""*"",""""),""-"",""0.00""))"),"Loading...")</f>
        <v>Loading...</v>
      </c>
      <c r="L8076" s="129" t="e">
        <v>#N/A</v>
      </c>
      <c r="M8076" s="99">
        <f>IFERROR(__xludf.DUMMYFUNCTION("GOOGLEFINANCE(A8076,""beta"")"),-0.18)</f>
        <v>-0.18</v>
      </c>
      <c r="N8076" s="107"/>
      <c r="P8076" s="107" t="str">
        <f>IFERROR(__xludf.DUMMYFUNCTION("if(A8076="""","""",IFERROR(substitute(Index(IMPORTHTML(""https://finviz.com/quote.ashx?t=""&amp;A8076,""Table"",8),2,1),""*"",""""),""-""))"),"-")</f>
        <v>-</v>
      </c>
    </row>
    <row r="8077">
      <c r="A8077" s="122" t="s">
        <v>16776</v>
      </c>
      <c r="B8077" s="123">
        <v>1037390.0</v>
      </c>
      <c r="C8077" s="124" t="s">
        <v>16777</v>
      </c>
      <c r="D8077" s="125"/>
      <c r="E8077" s="126">
        <v>5823.6</v>
      </c>
      <c r="F8077" s="127"/>
      <c r="G8077" s="127"/>
      <c r="H8077" s="127"/>
      <c r="I8077" s="128"/>
      <c r="K8077" s="105" t="str">
        <f>IFERROR(__xludf.DUMMYFUNCTION("if(A8077="""","""",substitute(SUBSTITUTE(index(importhtml(""http://finviz.com/quote.ashx?t=""&amp;A8077,""table"",10),7,2),""*"",""""),""-"",""0.00""))"),"Loading...")</f>
        <v>Loading...</v>
      </c>
      <c r="L8077" s="129" t="e">
        <v>#N/A</v>
      </c>
      <c r="M8077" s="99" t="str">
        <f>IFERROR(__xludf.DUMMYFUNCTION("GOOGLEFINANCE(A8077,""beta"")"),"#N/A")</f>
        <v>#N/A</v>
      </c>
      <c r="N8077" s="107"/>
      <c r="P8077" s="107" t="str">
        <f>IFERROR(__xludf.DUMMYFUNCTION("if(A8077="""","""",IFERROR(substitute(Index(IMPORTHTML(""https://finviz.com/quote.ashx?t=""&amp;A8077,""Table"",8),2,1),""*"",""""),""-""))"),"-")</f>
        <v>-</v>
      </c>
    </row>
    <row r="8078">
      <c r="A8078" s="122" t="s">
        <v>16778</v>
      </c>
      <c r="B8078" s="123">
        <v>1913715.0</v>
      </c>
      <c r="C8078" s="124" t="s">
        <v>16779</v>
      </c>
      <c r="D8078" s="125"/>
      <c r="E8078" s="126">
        <v>6199.41</v>
      </c>
      <c r="F8078" s="127"/>
      <c r="G8078" s="127"/>
      <c r="H8078" s="127"/>
      <c r="I8078" s="128"/>
      <c r="K8078" s="105" t="str">
        <f>IFERROR(__xludf.DUMMYFUNCTION("if(A8078="""","""",substitute(SUBSTITUTE(index(importhtml(""http://finviz.com/quote.ashx?t=""&amp;A8078,""table"",10),7,2),""*"",""""),""-"",""0.00""))"),"Loading...")</f>
        <v>Loading...</v>
      </c>
      <c r="L8078" s="129" t="e">
        <v>#N/A</v>
      </c>
      <c r="M8078" s="99" t="str">
        <f>IFERROR(__xludf.DUMMYFUNCTION("GOOGLEFINANCE(A8078,""beta"")"),"#N/A")</f>
        <v>#N/A</v>
      </c>
      <c r="N8078" s="107"/>
      <c r="P8078" s="107" t="str">
        <f>IFERROR(__xludf.DUMMYFUNCTION("if(A8078="""","""",IFERROR(substitute(Index(IMPORTHTML(""https://finviz.com/quote.ashx?t=""&amp;A8078,""Table"",8),2,1),""*"",""""),""-""))"),"-")</f>
        <v>-</v>
      </c>
    </row>
    <row r="8079">
      <c r="A8079" s="122" t="s">
        <v>16780</v>
      </c>
      <c r="B8079" s="123">
        <v>1884713.0</v>
      </c>
      <c r="C8079" s="124" t="s">
        <v>16781</v>
      </c>
      <c r="D8079" s="125"/>
      <c r="E8079" s="126">
        <v>7200.0</v>
      </c>
      <c r="F8079" s="127"/>
      <c r="G8079" s="127"/>
      <c r="H8079" s="127"/>
      <c r="I8079" s="128"/>
      <c r="K8079" s="105" t="str">
        <f>IFERROR(__xludf.DUMMYFUNCTION("if(A8079="""","""",substitute(SUBSTITUTE(index(importhtml(""http://finviz.com/quote.ashx?t=""&amp;A8079,""table"",10),7,2),""*"",""""),""-"",""0.00""))"),"Loading...")</f>
        <v>Loading...</v>
      </c>
      <c r="L8079" s="129">
        <v>2.82384E9</v>
      </c>
      <c r="M8079" s="99" t="str">
        <f>IFERROR(__xludf.DUMMYFUNCTION("GOOGLEFINANCE(A8079,""beta"")"),"#N/A")</f>
        <v>#N/A</v>
      </c>
      <c r="N8079" s="107"/>
      <c r="P8079" s="107" t="str">
        <f>IFERROR(__xludf.DUMMYFUNCTION("if(A8079="""","""",IFERROR(substitute(Index(IMPORTHTML(""https://finviz.com/quote.ashx?t=""&amp;A8079,""Table"",8),2,1),""*"",""""),""-""))"),"-")</f>
        <v>-</v>
      </c>
    </row>
    <row r="8080">
      <c r="A8080" s="122" t="s">
        <v>16782</v>
      </c>
      <c r="B8080" s="123">
        <v>906163.0</v>
      </c>
      <c r="C8080" s="124" t="s">
        <v>16783</v>
      </c>
      <c r="D8080" s="125"/>
      <c r="E8080" s="126">
        <v>7319.98</v>
      </c>
      <c r="F8080" s="127"/>
      <c r="G8080" s="127"/>
      <c r="H8080" s="127"/>
      <c r="I8080" s="128"/>
      <c r="K8080" s="105" t="str">
        <f>IFERROR(__xludf.DUMMYFUNCTION("if(A8080="""","""",substitute(SUBSTITUTE(index(importhtml(""http://finviz.com/quote.ashx?t=""&amp;A8080,""table"",10),7,2),""*"",""""),""-"",""0.00""))"),"Loading...")</f>
        <v>Loading...</v>
      </c>
      <c r="L8080" s="129">
        <v>2.338642104E10</v>
      </c>
      <c r="M8080" s="99">
        <v>1.12</v>
      </c>
      <c r="N8080" s="107"/>
      <c r="P8080" s="107" t="str">
        <f>IFERROR(__xludf.DUMMYFUNCTION("if(A8080="""","""",IFERROR(substitute(Index(IMPORTHTML(""https://finviz.com/quote.ashx?t=""&amp;A8080,""Table"",8),2,1),""*"",""""),""-""))"),"-")</f>
        <v>-</v>
      </c>
    </row>
    <row r="8081">
      <c r="A8081" s="122" t="s">
        <v>16784</v>
      </c>
      <c r="B8081" s="123">
        <v>1515156.0</v>
      </c>
      <c r="C8081" s="124" t="s">
        <v>16785</v>
      </c>
      <c r="D8081" s="125"/>
      <c r="E8081" s="126">
        <v>9075.0</v>
      </c>
      <c r="F8081" s="127"/>
      <c r="G8081" s="127"/>
      <c r="H8081" s="127"/>
      <c r="I8081" s="128"/>
      <c r="K8081" s="105" t="str">
        <f>IFERROR(__xludf.DUMMYFUNCTION("if(A8081="""","""",substitute(SUBSTITUTE(index(importhtml(""http://finviz.com/quote.ashx?t=""&amp;A8081,""table"",10),7,2),""*"",""""),""-"",""0.00""))"),"Loading...")</f>
        <v>Loading...</v>
      </c>
      <c r="L8081" s="129">
        <v>5.35331346E12</v>
      </c>
      <c r="M8081" s="99" t="str">
        <f>IFERROR(__xludf.DUMMYFUNCTION("GOOGLEFINANCE(A8081,""beta"")"),"#N/A")</f>
        <v>#N/A</v>
      </c>
      <c r="N8081" s="107"/>
      <c r="P8081" s="107" t="str">
        <f>IFERROR(__xludf.DUMMYFUNCTION("if(A8081="""","""",IFERROR(substitute(Index(IMPORTHTML(""https://finviz.com/quote.ashx?t=""&amp;A8081,""Table"",8),2,1),""*"",""""),""-""))"),"-")</f>
        <v>-</v>
      </c>
    </row>
    <row r="8082">
      <c r="A8082" s="122" t="s">
        <v>16786</v>
      </c>
      <c r="B8082" s="123">
        <v>1879270.0</v>
      </c>
      <c r="C8082" s="124" t="s">
        <v>16787</v>
      </c>
      <c r="D8082" s="125"/>
      <c r="E8082" s="126">
        <v>10669.38</v>
      </c>
      <c r="F8082" s="127"/>
      <c r="G8082" s="127"/>
      <c r="H8082" s="127"/>
      <c r="I8082" s="128"/>
      <c r="K8082" s="105" t="str">
        <f>IFERROR(__xludf.DUMMYFUNCTION("if(A8082="""","""",substitute(SUBSTITUTE(index(importhtml(""http://finviz.com/quote.ashx?t=""&amp;A8082,""table"",10),7,2),""*"",""""),""-"",""0.00""))"),"Loading...")</f>
        <v>Loading...</v>
      </c>
      <c r="L8082" s="129" t="e">
        <v>#N/A</v>
      </c>
      <c r="M8082" s="99" t="str">
        <f>IFERROR(__xludf.DUMMYFUNCTION("GOOGLEFINANCE(A8082,""beta"")"),"#N/A")</f>
        <v>#N/A</v>
      </c>
      <c r="N8082" s="107"/>
      <c r="P8082" s="107" t="str">
        <f>IFERROR(__xludf.DUMMYFUNCTION("if(A8082="""","""",IFERROR(substitute(Index(IMPORTHTML(""https://finviz.com/quote.ashx?t=""&amp;A8082,""Table"",8),2,1),""*"",""""),""-""))"),"-")</f>
        <v>-</v>
      </c>
    </row>
    <row r="8083">
      <c r="A8083" s="122" t="s">
        <v>16788</v>
      </c>
      <c r="B8083" s="123">
        <v>1658566.0</v>
      </c>
      <c r="C8083" s="124" t="s">
        <v>16789</v>
      </c>
      <c r="D8083" s="125"/>
      <c r="E8083" s="126">
        <v>11690.0</v>
      </c>
      <c r="F8083" s="127"/>
      <c r="G8083" s="127"/>
      <c r="H8083" s="127"/>
      <c r="I8083" s="128"/>
      <c r="K8083" s="105" t="str">
        <f>IFERROR(__xludf.DUMMYFUNCTION("if(A8083="""","""",substitute(SUBSTITUTE(index(importhtml(""http://finviz.com/quote.ashx?t=""&amp;A8083,""table"",10),7,2),""*"",""""),""-"",""0.00""))"),"Loading...")</f>
        <v>Loading...</v>
      </c>
      <c r="L8083" s="129">
        <v>7.66346133E8</v>
      </c>
      <c r="M8083" s="99" t="str">
        <f>IFERROR(__xludf.DUMMYFUNCTION("GOOGLEFINANCE(A8083,""beta"")"),"#N/A")</f>
        <v>#N/A</v>
      </c>
      <c r="N8083" s="107"/>
      <c r="P8083" s="107" t="str">
        <f>IFERROR(__xludf.DUMMYFUNCTION("if(A8083="""","""",IFERROR(substitute(Index(IMPORTHTML(""https://finviz.com/quote.ashx?t=""&amp;A8083,""Table"",8),2,1),""*"",""""),""-""))"),"-")</f>
        <v>-</v>
      </c>
    </row>
    <row r="8084">
      <c r="A8084" s="122" t="s">
        <v>16790</v>
      </c>
      <c r="B8084" s="123">
        <v>310522.0</v>
      </c>
      <c r="C8084" s="124" t="s">
        <v>16791</v>
      </c>
      <c r="D8084" s="125"/>
      <c r="E8084" s="126">
        <v>12500.0</v>
      </c>
      <c r="F8084" s="127"/>
      <c r="G8084" s="127"/>
      <c r="H8084" s="127"/>
      <c r="I8084" s="128"/>
      <c r="K8084" s="105" t="str">
        <f>IFERROR(__xludf.DUMMYFUNCTION("if(A8084="""","""",substitute(SUBSTITUTE(index(importhtml(""http://finviz.com/quote.ashx?t=""&amp;A8084,""table"",10),7,2),""*"",""""),""-"",""0.00""))"),"Loading...")</f>
        <v>Loading...</v>
      </c>
      <c r="L8084" s="129">
        <v>1.540255759E9</v>
      </c>
      <c r="M8084" s="99">
        <v>0.14</v>
      </c>
      <c r="N8084" s="107"/>
      <c r="P8084" s="107" t="str">
        <f>IFERROR(__xludf.DUMMYFUNCTION("if(A8084="""","""",IFERROR(substitute(Index(IMPORTHTML(""https://finviz.com/quote.ashx?t=""&amp;A8084,""Table"",8),2,1),""*"",""""),""-""))"),"-")</f>
        <v>-</v>
      </c>
    </row>
    <row r="8085">
      <c r="A8085" s="122" t="s">
        <v>16792</v>
      </c>
      <c r="B8085" s="123">
        <v>1843548.0</v>
      </c>
      <c r="C8085" s="124" t="s">
        <v>16793</v>
      </c>
      <c r="D8085" s="125"/>
      <c r="E8085" s="126">
        <v>13925.0</v>
      </c>
      <c r="F8085" s="127"/>
      <c r="G8085" s="127"/>
      <c r="H8085" s="127"/>
      <c r="I8085" s="128"/>
      <c r="K8085" s="105" t="str">
        <f>IFERROR(__xludf.DUMMYFUNCTION("if(A8085="""","""",substitute(SUBSTITUTE(index(importhtml(""http://finviz.com/quote.ashx?t=""&amp;A8085,""table"",10),7,2),""*"",""""),""-"",""0.00""))"),"Loading...")</f>
        <v>Loading...</v>
      </c>
      <c r="L8085" s="129">
        <v>3.74304E12</v>
      </c>
      <c r="M8085" s="99" t="str">
        <f>IFERROR(__xludf.DUMMYFUNCTION("GOOGLEFINANCE(A8085,""beta"")"),"#N/A")</f>
        <v>#N/A</v>
      </c>
      <c r="N8085" s="107"/>
      <c r="P8085" s="107" t="str">
        <f>IFERROR(__xludf.DUMMYFUNCTION("if(A8085="""","""",IFERROR(substitute(Index(IMPORTHTML(""https://finviz.com/quote.ashx?t=""&amp;A8085,""Table"",8),2,1),""*"",""""),""-""))"),"-")</f>
        <v>-</v>
      </c>
    </row>
    <row r="8086">
      <c r="A8086" s="122" t="s">
        <v>16794</v>
      </c>
      <c r="B8086" s="123">
        <v>1731899.0</v>
      </c>
      <c r="C8086" s="124" t="s">
        <v>16795</v>
      </c>
      <c r="D8086" s="125"/>
      <c r="E8086" s="126">
        <v>14329.0</v>
      </c>
      <c r="F8086" s="127"/>
      <c r="G8086" s="127"/>
      <c r="H8086" s="127"/>
      <c r="I8086" s="128"/>
      <c r="K8086" s="105" t="str">
        <f>IFERROR(__xludf.DUMMYFUNCTION("if(A8086="""","""",substitute(SUBSTITUTE(index(importhtml(""http://finviz.com/quote.ashx?t=""&amp;A8086,""table"",10),7,2),""*"",""""),""-"",""0.00""))"),"Loading...")</f>
        <v>Loading...</v>
      </c>
      <c r="L8086" s="129" t="e">
        <v>#N/A</v>
      </c>
      <c r="M8086" s="99" t="str">
        <f>IFERROR(__xludf.DUMMYFUNCTION("GOOGLEFINANCE(A8086,""beta"")"),"#N/A")</f>
        <v>#N/A</v>
      </c>
      <c r="N8086" s="107"/>
      <c r="P8086" s="107" t="str">
        <f>IFERROR(__xludf.DUMMYFUNCTION("if(A8086="""","""",IFERROR(substitute(Index(IMPORTHTML(""https://finviz.com/quote.ashx?t=""&amp;A8086,""Table"",8),2,1),""*"",""""),""-""))"),"-")</f>
        <v>-</v>
      </c>
    </row>
    <row r="8087">
      <c r="A8087" s="122" t="s">
        <v>16796</v>
      </c>
      <c r="B8087" s="123">
        <v>1371451.0</v>
      </c>
      <c r="C8087" s="124" t="s">
        <v>16797</v>
      </c>
      <c r="D8087" s="102" t="s">
        <v>11446</v>
      </c>
      <c r="E8087" s="126">
        <v>17000.0</v>
      </c>
      <c r="F8087" s="127"/>
      <c r="G8087" s="127"/>
      <c r="H8087" s="127"/>
      <c r="I8087" s="128"/>
      <c r="K8087" s="105" t="str">
        <f>IFERROR(__xludf.DUMMYFUNCTION("if(A8087="""","""",substitute(SUBSTITUTE(index(importhtml(""http://finviz.com/quote.ashx?t=""&amp;A8087,""table"",10),7,2),""*"",""""),""-"",""0.00""))"),"Loading...")</f>
        <v>Loading...</v>
      </c>
      <c r="L8087" s="129">
        <v>8.0818E7</v>
      </c>
      <c r="M8087" s="99" t="str">
        <f>IFERROR(__xludf.DUMMYFUNCTION("GOOGLEFINANCE(A8087,""beta"")"),"#N/A")</f>
        <v>#N/A</v>
      </c>
      <c r="N8087" s="107"/>
      <c r="P8087" s="107" t="str">
        <f>IFERROR(__xludf.DUMMYFUNCTION("if(A8087="""","""",IFERROR(substitute(Index(IMPORTHTML(""https://finviz.com/quote.ashx?t=""&amp;A8087,""Table"",8),2,1),""*"",""""),""-""))"),"-")</f>
        <v>-</v>
      </c>
    </row>
    <row r="8088">
      <c r="A8088" s="122" t="s">
        <v>16798</v>
      </c>
      <c r="B8088" s="123">
        <v>840551.0</v>
      </c>
      <c r="C8088" s="124" t="s">
        <v>16799</v>
      </c>
      <c r="D8088" s="125"/>
      <c r="E8088" s="126">
        <v>28751.16</v>
      </c>
      <c r="F8088" s="127"/>
      <c r="G8088" s="127"/>
      <c r="H8088" s="127"/>
      <c r="I8088" s="128"/>
      <c r="K8088" s="105" t="str">
        <f>IFERROR(__xludf.DUMMYFUNCTION("if(A8088="""","""",substitute(SUBSTITUTE(index(importhtml(""http://finviz.com/quote.ashx?t=""&amp;A8088,""table"",10),7,2),""*"",""""),""-"",""0.00""))"),"Loading...")</f>
        <v>Loading...</v>
      </c>
      <c r="L8088" s="129" t="e">
        <v>#N/A</v>
      </c>
      <c r="M8088" s="99" t="str">
        <f>IFERROR(__xludf.DUMMYFUNCTION("GOOGLEFINANCE(A8088,""beta"")"),"#N/A")</f>
        <v>#N/A</v>
      </c>
      <c r="N8088" s="107"/>
      <c r="P8088" s="107" t="str">
        <f>IFERROR(__xludf.DUMMYFUNCTION("if(A8088="""","""",IFERROR(substitute(Index(IMPORTHTML(""https://finviz.com/quote.ashx?t=""&amp;A8088,""Table"",8),2,1),""*"",""""),""-""))"),"-")</f>
        <v>-</v>
      </c>
    </row>
    <row r="8089">
      <c r="A8089" s="122" t="s">
        <v>16800</v>
      </c>
      <c r="B8089" s="123">
        <v>1568162.0</v>
      </c>
      <c r="C8089" s="124" t="s">
        <v>16801</v>
      </c>
      <c r="D8089" s="125"/>
      <c r="E8089" s="126">
        <v>35076.35</v>
      </c>
      <c r="F8089" s="127"/>
      <c r="G8089" s="127"/>
      <c r="H8089" s="127"/>
      <c r="I8089" s="128"/>
      <c r="K8089" s="105" t="str">
        <f>IFERROR(__xludf.DUMMYFUNCTION("if(A8089="""","""",substitute(SUBSTITUTE(index(importhtml(""http://finviz.com/quote.ashx?t=""&amp;A8089,""table"",10),7,2),""*"",""""),""-"",""0.00""))"),"Loading...")</f>
        <v>Loading...</v>
      </c>
      <c r="L8089" s="129" t="e">
        <v>#N/A</v>
      </c>
      <c r="M8089" s="99" t="str">
        <f>IFERROR(__xludf.DUMMYFUNCTION("GOOGLEFINANCE(A8089,""beta"")"),"#N/A")</f>
        <v>#N/A</v>
      </c>
      <c r="N8089" s="107"/>
      <c r="P8089" s="107" t="str">
        <f>IFERROR(__xludf.DUMMYFUNCTION("if(A8089="""","""",IFERROR(substitute(Index(IMPORTHTML(""https://finviz.com/quote.ashx?t=""&amp;A8089,""Table"",8),2,1),""*"",""""),""-""))"),"-")</f>
        <v>-</v>
      </c>
    </row>
    <row r="8090">
      <c r="A8090" s="122" t="s">
        <v>16802</v>
      </c>
      <c r="B8090" s="123">
        <v>1024725.0</v>
      </c>
      <c r="C8090" s="124" t="s">
        <v>16803</v>
      </c>
      <c r="D8090" s="125"/>
      <c r="E8090" s="126">
        <v>40890.0</v>
      </c>
      <c r="F8090" s="127"/>
      <c r="G8090" s="127"/>
      <c r="H8090" s="127"/>
      <c r="I8090" s="128"/>
      <c r="K8090" s="105" t="str">
        <f>IFERROR(__xludf.DUMMYFUNCTION("if(A8090="""","""",substitute(SUBSTITUTE(index(importhtml(""http://finviz.com/quote.ashx?t=""&amp;A8090,""table"",10),7,2),""*"",""""),""-"",""0.00""))"),"Loading...")</f>
        <v>Loading...</v>
      </c>
      <c r="L8090" s="129">
        <v>1.891820151E10</v>
      </c>
      <c r="M8090" s="99">
        <f>IFERROR(__xludf.DUMMYFUNCTION("GOOGLEFINANCE(A8090,""beta"")"),-0.14)</f>
        <v>-0.14</v>
      </c>
      <c r="N8090" s="107"/>
      <c r="P8090" s="107" t="str">
        <f>IFERROR(__xludf.DUMMYFUNCTION("if(A8090="""","""",IFERROR(substitute(Index(IMPORTHTML(""https://finviz.com/quote.ashx?t=""&amp;A8090,""Table"",8),2,1),""*"",""""),""-""))"),"-")</f>
        <v>-</v>
      </c>
    </row>
    <row r="8091">
      <c r="A8091" s="122" t="s">
        <v>16804</v>
      </c>
      <c r="B8091" s="123">
        <v>1671284.0</v>
      </c>
      <c r="C8091" s="124" t="s">
        <v>12861</v>
      </c>
      <c r="D8091" s="125"/>
      <c r="E8091" s="126">
        <v>57430.0</v>
      </c>
      <c r="F8091" s="127"/>
      <c r="G8091" s="127"/>
      <c r="H8091" s="127"/>
      <c r="I8091" s="128"/>
      <c r="K8091" s="55" t="s">
        <v>1034</v>
      </c>
      <c r="L8091" s="129">
        <v>1.2178287561E11</v>
      </c>
      <c r="M8091" s="99" t="str">
        <f>IFERROR(__xludf.DUMMYFUNCTION("GOOGLEFINANCE(A8091,""beta"")"),"#N/A")</f>
        <v>#N/A</v>
      </c>
      <c r="N8091" s="107"/>
      <c r="P8091" s="107" t="str">
        <f>IFERROR(__xludf.DUMMYFUNCTION("if(A8091="""","""",IFERROR(substitute(Index(IMPORTHTML(""https://finviz.com/quote.ashx?t=""&amp;A8091,""Table"",8),2,1),""*"",""""),""-""))"),"-")</f>
        <v>-</v>
      </c>
    </row>
    <row r="8092">
      <c r="A8092" s="122" t="s">
        <v>16805</v>
      </c>
      <c r="B8092" s="123">
        <v>1081188.0</v>
      </c>
      <c r="C8092" s="124" t="s">
        <v>16806</v>
      </c>
      <c r="D8092" s="125"/>
      <c r="E8092" s="162">
        <f>IFERROR(__xludf.DUMMYFUNCTION("GOOGLEFINANCE(A8092,""price"")"),0.0)</f>
        <v>0</v>
      </c>
      <c r="F8092" s="127"/>
      <c r="G8092" s="127"/>
      <c r="H8092" s="127"/>
      <c r="I8092" s="128"/>
      <c r="K8092" s="105" t="str">
        <f>IFERROR(__xludf.DUMMYFUNCTION("if(A8092="""","""",substitute(SUBSTITUTE(index(importhtml(""http://finviz.com/quote.ashx?t=""&amp;A8092,""table"",10),7,2),""*"",""""),""-"",""0.00""))"),"Loading...")</f>
        <v>Loading...</v>
      </c>
      <c r="L8092" s="129" t="e">
        <v>#N/A</v>
      </c>
      <c r="M8092" s="99" t="e">
        <v>#N/A</v>
      </c>
    </row>
    <row r="8093">
      <c r="A8093" s="163"/>
      <c r="B8093" s="164"/>
      <c r="C8093" s="165"/>
      <c r="D8093" s="166"/>
      <c r="E8093" s="167"/>
      <c r="F8093" s="168"/>
      <c r="G8093" s="168"/>
      <c r="H8093" s="168"/>
      <c r="I8093" s="168"/>
      <c r="J8093" s="169"/>
      <c r="K8093" s="170"/>
      <c r="L8093" s="171"/>
      <c r="M8093" s="172"/>
      <c r="N8093" s="172"/>
      <c r="O8093" s="172"/>
      <c r="P8093" s="172"/>
      <c r="Q8093" s="173"/>
      <c r="R8093" s="172"/>
      <c r="S8093" s="172"/>
      <c r="T8093" s="172"/>
      <c r="U8093" s="172"/>
      <c r="V8093" s="172"/>
      <c r="W8093" s="172"/>
      <c r="X8093" s="172"/>
      <c r="Y8093" s="172"/>
      <c r="Z8093" s="172"/>
      <c r="AA8093" s="172"/>
      <c r="AB8093" s="172"/>
      <c r="AC8093" s="172"/>
      <c r="AD8093" s="172"/>
    </row>
    <row r="8094">
      <c r="A8094" s="174"/>
      <c r="B8094" s="175"/>
      <c r="C8094" s="176"/>
      <c r="D8094" s="177"/>
      <c r="E8094" s="178"/>
      <c r="F8094" s="177"/>
      <c r="G8094" s="177"/>
      <c r="H8094" s="177"/>
      <c r="I8094" s="177"/>
      <c r="J8094" s="179"/>
      <c r="K8094" s="177"/>
      <c r="L8094" s="180"/>
      <c r="M8094" s="177"/>
      <c r="N8094" s="177"/>
      <c r="O8094" s="177"/>
      <c r="P8094" s="177"/>
      <c r="Q8094" s="177"/>
      <c r="R8094" s="177"/>
      <c r="S8094" s="177"/>
      <c r="T8094" s="177"/>
      <c r="U8094" s="177"/>
      <c r="V8094" s="177"/>
      <c r="W8094" s="177"/>
      <c r="X8094" s="177"/>
      <c r="Y8094" s="177"/>
      <c r="Z8094" s="177"/>
      <c r="AA8094" s="177"/>
      <c r="AB8094" s="177"/>
      <c r="AC8094" s="177"/>
      <c r="AD8094" s="177"/>
    </row>
    <row r="8095" hidden="1">
      <c r="A8095" s="181"/>
      <c r="B8095" s="182"/>
      <c r="C8095" s="183"/>
      <c r="E8095" s="184"/>
      <c r="J8095" s="185"/>
      <c r="L8095" s="129"/>
    </row>
    <row r="8096" hidden="1">
      <c r="A8096" s="181"/>
      <c r="B8096" s="182"/>
      <c r="C8096" s="183"/>
      <c r="E8096" s="184"/>
      <c r="J8096" s="185"/>
      <c r="L8096" s="129"/>
    </row>
    <row r="8097" hidden="1">
      <c r="A8097" s="181"/>
      <c r="B8097" s="182"/>
      <c r="C8097" s="183"/>
      <c r="E8097" s="184"/>
      <c r="J8097" s="185"/>
      <c r="L8097" s="129"/>
    </row>
    <row r="8098" hidden="1">
      <c r="A8098" s="181"/>
      <c r="B8098" s="182"/>
      <c r="C8098" s="183"/>
      <c r="E8098" s="184"/>
      <c r="J8098" s="185"/>
      <c r="L8098" s="129"/>
    </row>
    <row r="8099" hidden="1">
      <c r="A8099" s="181"/>
      <c r="B8099" s="182"/>
      <c r="C8099" s="183"/>
      <c r="E8099" s="184"/>
      <c r="J8099" s="185"/>
      <c r="L8099" s="129"/>
    </row>
    <row r="8100" hidden="1">
      <c r="A8100" s="181"/>
      <c r="B8100" s="182"/>
      <c r="C8100" s="183"/>
      <c r="E8100" s="184"/>
      <c r="J8100" s="185"/>
      <c r="L8100" s="129"/>
    </row>
    <row r="8101" hidden="1">
      <c r="A8101" s="181"/>
      <c r="B8101" s="182"/>
      <c r="C8101" s="183"/>
      <c r="E8101" s="184"/>
      <c r="J8101" s="185"/>
      <c r="L8101" s="129"/>
    </row>
    <row r="8102" hidden="1">
      <c r="A8102" s="181"/>
      <c r="B8102" s="182"/>
      <c r="C8102" s="183"/>
      <c r="E8102" s="184"/>
      <c r="J8102" s="185"/>
      <c r="L8102" s="129"/>
    </row>
    <row r="8103" hidden="1">
      <c r="A8103" s="181"/>
      <c r="B8103" s="182"/>
      <c r="C8103" s="183"/>
      <c r="E8103" s="184"/>
      <c r="J8103" s="185"/>
      <c r="L8103" s="129"/>
    </row>
    <row r="8104" hidden="1">
      <c r="A8104" s="181"/>
      <c r="B8104" s="182"/>
      <c r="C8104" s="183"/>
      <c r="E8104" s="184"/>
      <c r="J8104" s="185"/>
      <c r="L8104" s="129"/>
    </row>
    <row r="8105" hidden="1">
      <c r="A8105" s="181"/>
      <c r="B8105" s="182"/>
      <c r="C8105" s="183"/>
      <c r="E8105" s="184"/>
      <c r="J8105" s="185"/>
      <c r="L8105" s="129"/>
    </row>
    <row r="8106" hidden="1">
      <c r="A8106" s="181"/>
      <c r="B8106" s="182"/>
      <c r="C8106" s="183"/>
      <c r="E8106" s="184"/>
      <c r="J8106" s="185"/>
      <c r="L8106" s="129"/>
    </row>
    <row r="8107" hidden="1">
      <c r="A8107" s="181"/>
      <c r="B8107" s="182"/>
      <c r="C8107" s="183"/>
      <c r="E8107" s="184"/>
      <c r="J8107" s="185"/>
      <c r="L8107" s="129"/>
    </row>
    <row r="8108" hidden="1">
      <c r="A8108" s="181"/>
      <c r="B8108" s="182"/>
      <c r="C8108" s="183"/>
      <c r="E8108" s="184"/>
      <c r="J8108" s="185"/>
      <c r="L8108" s="129"/>
    </row>
    <row r="8109" hidden="1">
      <c r="A8109" s="181"/>
      <c r="B8109" s="182"/>
      <c r="C8109" s="183"/>
      <c r="E8109" s="184"/>
      <c r="J8109" s="185"/>
      <c r="L8109" s="129"/>
    </row>
    <row r="8110" hidden="1">
      <c r="A8110" s="181"/>
      <c r="B8110" s="182"/>
      <c r="C8110" s="183"/>
      <c r="E8110" s="184"/>
      <c r="J8110" s="185"/>
      <c r="L8110" s="129"/>
    </row>
    <row r="8111" hidden="1">
      <c r="A8111" s="181"/>
      <c r="B8111" s="182"/>
      <c r="C8111" s="183"/>
      <c r="E8111" s="184"/>
      <c r="J8111" s="185"/>
      <c r="L8111" s="129"/>
    </row>
    <row r="8112" hidden="1">
      <c r="A8112" s="181"/>
      <c r="B8112" s="182"/>
      <c r="C8112" s="183"/>
      <c r="E8112" s="184"/>
      <c r="L8112" s="129"/>
    </row>
    <row r="8113" hidden="1">
      <c r="A8113" s="181"/>
      <c r="B8113" s="182"/>
      <c r="C8113" s="183"/>
      <c r="E8113" s="184"/>
      <c r="L8113" s="129"/>
    </row>
    <row r="8114" hidden="1">
      <c r="A8114" s="181"/>
      <c r="B8114" s="182"/>
      <c r="C8114" s="183"/>
      <c r="E8114" s="184"/>
      <c r="L8114" s="129"/>
    </row>
    <row r="8115" hidden="1">
      <c r="A8115" s="181"/>
      <c r="B8115" s="182"/>
      <c r="C8115" s="183"/>
      <c r="E8115" s="184"/>
      <c r="L8115" s="129"/>
    </row>
    <row r="8116" hidden="1">
      <c r="A8116" s="181"/>
      <c r="B8116" s="182"/>
      <c r="C8116" s="183"/>
      <c r="E8116" s="184"/>
      <c r="L8116" s="129"/>
    </row>
    <row r="8117" hidden="1">
      <c r="A8117" s="181"/>
      <c r="B8117" s="182"/>
      <c r="C8117" s="183"/>
      <c r="E8117" s="184"/>
      <c r="L8117" s="129"/>
    </row>
    <row r="8118" hidden="1">
      <c r="A8118" s="181"/>
      <c r="B8118" s="182"/>
      <c r="C8118" s="183"/>
      <c r="E8118" s="184"/>
      <c r="L8118" s="129"/>
    </row>
    <row r="8119" hidden="1">
      <c r="A8119" s="181"/>
      <c r="B8119" s="182"/>
      <c r="C8119" s="183"/>
      <c r="E8119" s="184"/>
      <c r="L8119" s="129"/>
    </row>
    <row r="8120" hidden="1">
      <c r="A8120" s="181"/>
      <c r="B8120" s="182"/>
      <c r="C8120" s="183"/>
      <c r="E8120" s="184"/>
      <c r="L8120" s="129"/>
    </row>
    <row r="8121" hidden="1">
      <c r="A8121" s="181"/>
      <c r="B8121" s="182"/>
      <c r="C8121" s="183"/>
      <c r="E8121" s="184"/>
      <c r="L8121" s="129"/>
    </row>
    <row r="8122" hidden="1">
      <c r="A8122" s="181"/>
      <c r="B8122" s="182"/>
      <c r="C8122" s="183"/>
      <c r="E8122" s="184"/>
      <c r="L8122" s="129"/>
    </row>
    <row r="8123" hidden="1">
      <c r="A8123" s="181"/>
      <c r="B8123" s="182"/>
      <c r="C8123" s="183"/>
      <c r="E8123" s="184"/>
      <c r="L8123" s="129"/>
    </row>
    <row r="8124" hidden="1">
      <c r="A8124" s="181"/>
      <c r="B8124" s="182"/>
      <c r="C8124" s="183"/>
      <c r="E8124" s="184"/>
      <c r="L8124" s="129"/>
    </row>
    <row r="8125" hidden="1">
      <c r="A8125" s="181"/>
      <c r="B8125" s="182"/>
      <c r="C8125" s="183"/>
      <c r="E8125" s="184"/>
      <c r="L8125" s="129"/>
    </row>
    <row r="8126" hidden="1">
      <c r="A8126" s="181"/>
      <c r="B8126" s="182"/>
      <c r="C8126" s="183"/>
      <c r="E8126" s="184"/>
      <c r="L8126" s="129"/>
    </row>
    <row r="8127" hidden="1">
      <c r="A8127" s="181"/>
      <c r="B8127" s="182"/>
      <c r="C8127" s="183"/>
      <c r="E8127" s="184"/>
      <c r="L8127" s="129"/>
    </row>
    <row r="8128" hidden="1">
      <c r="A8128" s="181"/>
      <c r="B8128" s="182"/>
      <c r="C8128" s="183"/>
      <c r="E8128" s="184"/>
      <c r="L8128" s="129"/>
    </row>
    <row r="8129" hidden="1">
      <c r="A8129" s="181"/>
      <c r="B8129" s="182"/>
      <c r="C8129" s="183"/>
      <c r="E8129" s="184"/>
      <c r="L8129" s="129"/>
    </row>
    <row r="8130" hidden="1">
      <c r="A8130" s="181"/>
      <c r="B8130" s="182"/>
      <c r="C8130" s="183"/>
      <c r="E8130" s="184"/>
      <c r="L8130" s="129"/>
    </row>
    <row r="8131" hidden="1">
      <c r="A8131" s="181"/>
      <c r="B8131" s="182"/>
      <c r="C8131" s="183"/>
      <c r="E8131" s="184"/>
      <c r="L8131" s="129"/>
    </row>
    <row r="8132" hidden="1">
      <c r="A8132" s="181"/>
      <c r="B8132" s="182"/>
      <c r="C8132" s="183"/>
      <c r="E8132" s="184"/>
      <c r="L8132" s="129"/>
    </row>
    <row r="8133" hidden="1">
      <c r="A8133" s="181"/>
      <c r="B8133" s="182"/>
      <c r="C8133" s="183"/>
      <c r="E8133" s="184"/>
      <c r="L8133" s="129"/>
    </row>
    <row r="8134" hidden="1">
      <c r="A8134" s="181"/>
      <c r="B8134" s="182"/>
      <c r="C8134" s="183"/>
      <c r="E8134" s="184"/>
      <c r="L8134" s="129"/>
    </row>
    <row r="8135" hidden="1">
      <c r="A8135" s="181"/>
      <c r="B8135" s="182"/>
      <c r="C8135" s="183"/>
      <c r="E8135" s="184"/>
      <c r="L8135" s="129"/>
    </row>
    <row r="8136" hidden="1">
      <c r="A8136" s="181"/>
      <c r="B8136" s="182"/>
      <c r="C8136" s="183"/>
      <c r="E8136" s="184"/>
      <c r="L8136" s="129"/>
    </row>
    <row r="8137" hidden="1">
      <c r="A8137" s="181"/>
      <c r="B8137" s="182"/>
      <c r="C8137" s="183"/>
      <c r="E8137" s="184"/>
      <c r="L8137" s="129"/>
    </row>
    <row r="8138" hidden="1">
      <c r="A8138" s="181"/>
      <c r="B8138" s="182"/>
      <c r="C8138" s="183"/>
      <c r="E8138" s="184"/>
      <c r="L8138" s="129"/>
    </row>
    <row r="8139" hidden="1">
      <c r="A8139" s="181"/>
      <c r="B8139" s="182"/>
      <c r="C8139" s="183"/>
      <c r="E8139" s="184"/>
      <c r="L8139" s="129"/>
    </row>
    <row r="8140" hidden="1">
      <c r="A8140" s="181"/>
      <c r="B8140" s="182"/>
      <c r="C8140" s="183"/>
      <c r="E8140" s="184"/>
      <c r="L8140" s="129"/>
    </row>
    <row r="8141" hidden="1">
      <c r="A8141" s="181"/>
      <c r="B8141" s="182"/>
      <c r="C8141" s="183"/>
      <c r="E8141" s="184"/>
      <c r="L8141" s="129"/>
    </row>
    <row r="8142" hidden="1">
      <c r="A8142" s="181"/>
      <c r="B8142" s="182"/>
      <c r="C8142" s="183"/>
      <c r="E8142" s="184"/>
      <c r="L8142" s="129"/>
    </row>
    <row r="8143" hidden="1">
      <c r="A8143" s="181"/>
      <c r="B8143" s="182"/>
      <c r="C8143" s="183"/>
      <c r="E8143" s="184"/>
      <c r="L8143" s="129"/>
    </row>
    <row r="8144" hidden="1">
      <c r="A8144" s="181"/>
      <c r="B8144" s="182"/>
      <c r="C8144" s="183"/>
      <c r="E8144" s="184"/>
      <c r="L8144" s="129"/>
    </row>
    <row r="8145" hidden="1">
      <c r="A8145" s="181"/>
      <c r="B8145" s="182"/>
      <c r="C8145" s="183"/>
      <c r="E8145" s="184"/>
      <c r="L8145" s="129"/>
    </row>
    <row r="8146" hidden="1">
      <c r="A8146" s="181"/>
      <c r="B8146" s="182"/>
      <c r="C8146" s="183"/>
      <c r="E8146" s="184"/>
      <c r="L8146" s="129"/>
    </row>
    <row r="8147" hidden="1">
      <c r="A8147" s="181"/>
      <c r="B8147" s="182"/>
      <c r="C8147" s="183"/>
      <c r="E8147" s="184"/>
      <c r="L8147" s="129"/>
    </row>
    <row r="8148" hidden="1">
      <c r="A8148" s="181"/>
      <c r="B8148" s="182"/>
      <c r="C8148" s="183"/>
      <c r="E8148" s="184"/>
      <c r="L8148" s="129"/>
    </row>
    <row r="8149" hidden="1">
      <c r="A8149" s="181"/>
      <c r="B8149" s="182"/>
      <c r="C8149" s="183"/>
      <c r="E8149" s="184"/>
      <c r="L8149" s="129"/>
    </row>
    <row r="8150" hidden="1">
      <c r="A8150" s="181"/>
      <c r="B8150" s="182"/>
      <c r="C8150" s="183"/>
      <c r="E8150" s="184"/>
      <c r="L8150" s="129"/>
    </row>
    <row r="8151" hidden="1">
      <c r="A8151" s="181"/>
      <c r="B8151" s="182"/>
      <c r="C8151" s="183"/>
      <c r="E8151" s="184"/>
      <c r="L8151" s="129"/>
    </row>
    <row r="8152" hidden="1">
      <c r="A8152" s="181"/>
      <c r="B8152" s="182"/>
      <c r="C8152" s="183"/>
      <c r="E8152" s="184"/>
      <c r="L8152" s="129"/>
    </row>
    <row r="8153" hidden="1">
      <c r="A8153" s="181"/>
      <c r="B8153" s="182"/>
      <c r="C8153" s="183"/>
      <c r="E8153" s="184"/>
      <c r="L8153" s="129"/>
    </row>
    <row r="8154" hidden="1">
      <c r="A8154" s="181"/>
      <c r="B8154" s="182"/>
      <c r="C8154" s="183"/>
      <c r="E8154" s="184"/>
      <c r="L8154" s="129"/>
    </row>
    <row r="8155" hidden="1">
      <c r="A8155" s="181"/>
      <c r="B8155" s="182"/>
      <c r="C8155" s="183"/>
      <c r="E8155" s="184"/>
      <c r="L8155" s="129"/>
    </row>
    <row r="8156" hidden="1">
      <c r="A8156" s="181"/>
      <c r="B8156" s="182"/>
      <c r="C8156" s="183"/>
      <c r="E8156" s="184"/>
      <c r="L8156" s="129"/>
    </row>
    <row r="8157" hidden="1">
      <c r="A8157" s="181"/>
      <c r="B8157" s="182"/>
      <c r="C8157" s="183"/>
      <c r="E8157" s="184"/>
      <c r="L8157" s="129"/>
    </row>
    <row r="8158" hidden="1">
      <c r="A8158" s="181"/>
      <c r="B8158" s="182"/>
      <c r="C8158" s="183"/>
      <c r="E8158" s="184"/>
      <c r="L8158" s="129"/>
    </row>
    <row r="8159" hidden="1">
      <c r="A8159" s="181"/>
      <c r="B8159" s="182"/>
      <c r="C8159" s="183"/>
      <c r="E8159" s="184"/>
      <c r="L8159" s="129"/>
    </row>
    <row r="8160" hidden="1">
      <c r="A8160" s="181"/>
      <c r="B8160" s="182"/>
      <c r="C8160" s="183"/>
      <c r="E8160" s="184"/>
      <c r="L8160" s="129"/>
    </row>
    <row r="8161" hidden="1">
      <c r="A8161" s="181"/>
      <c r="B8161" s="182"/>
      <c r="C8161" s="183"/>
      <c r="E8161" s="184"/>
      <c r="L8161" s="129"/>
    </row>
    <row r="8162" hidden="1">
      <c r="A8162" s="181"/>
      <c r="B8162" s="182"/>
      <c r="C8162" s="183"/>
      <c r="E8162" s="184"/>
      <c r="L8162" s="129"/>
    </row>
    <row r="8163" hidden="1">
      <c r="A8163" s="181"/>
      <c r="B8163" s="182"/>
      <c r="C8163" s="183"/>
      <c r="E8163" s="184"/>
      <c r="L8163" s="129"/>
    </row>
    <row r="8164" hidden="1">
      <c r="A8164" s="181"/>
      <c r="B8164" s="182"/>
      <c r="C8164" s="183"/>
      <c r="E8164" s="184"/>
      <c r="L8164" s="129"/>
    </row>
    <row r="8165" hidden="1">
      <c r="A8165" s="181"/>
      <c r="B8165" s="182"/>
      <c r="C8165" s="183"/>
      <c r="E8165" s="184"/>
      <c r="L8165" s="129"/>
    </row>
    <row r="8166" hidden="1">
      <c r="A8166" s="181"/>
      <c r="B8166" s="182"/>
      <c r="C8166" s="183"/>
      <c r="E8166" s="184"/>
      <c r="L8166" s="129"/>
    </row>
    <row r="8167" hidden="1">
      <c r="A8167" s="181"/>
      <c r="B8167" s="182"/>
      <c r="C8167" s="183"/>
      <c r="E8167" s="184"/>
      <c r="L8167" s="129"/>
    </row>
    <row r="8168" hidden="1">
      <c r="A8168" s="181"/>
      <c r="B8168" s="182"/>
      <c r="C8168" s="183"/>
      <c r="E8168" s="184"/>
      <c r="L8168" s="129"/>
    </row>
    <row r="8169" hidden="1">
      <c r="A8169" s="181"/>
      <c r="B8169" s="182"/>
      <c r="C8169" s="183"/>
      <c r="E8169" s="184"/>
      <c r="L8169" s="129"/>
    </row>
    <row r="8170" hidden="1">
      <c r="A8170" s="181"/>
      <c r="B8170" s="182"/>
      <c r="C8170" s="183"/>
      <c r="E8170" s="184"/>
      <c r="L8170" s="129"/>
    </row>
    <row r="8171" hidden="1">
      <c r="A8171" s="181"/>
      <c r="B8171" s="182"/>
      <c r="C8171" s="183"/>
      <c r="E8171" s="184"/>
      <c r="L8171" s="129"/>
    </row>
    <row r="8172" hidden="1">
      <c r="A8172" s="181"/>
      <c r="B8172" s="182"/>
      <c r="C8172" s="183"/>
      <c r="E8172" s="184"/>
      <c r="L8172" s="129"/>
    </row>
    <row r="8173" hidden="1">
      <c r="A8173" s="181"/>
      <c r="B8173" s="182"/>
      <c r="C8173" s="183"/>
      <c r="E8173" s="184"/>
      <c r="L8173" s="129"/>
    </row>
    <row r="8174" hidden="1">
      <c r="A8174" s="181"/>
      <c r="B8174" s="182"/>
      <c r="C8174" s="183"/>
      <c r="E8174" s="184"/>
      <c r="L8174" s="129"/>
    </row>
    <row r="8175" hidden="1">
      <c r="A8175" s="181"/>
      <c r="B8175" s="182"/>
      <c r="C8175" s="183"/>
      <c r="E8175" s="184"/>
      <c r="L8175" s="129"/>
    </row>
    <row r="8176" hidden="1">
      <c r="A8176" s="181"/>
      <c r="B8176" s="182"/>
      <c r="C8176" s="183"/>
      <c r="E8176" s="184"/>
      <c r="L8176" s="129"/>
    </row>
    <row r="8177" hidden="1">
      <c r="A8177" s="181"/>
      <c r="B8177" s="182"/>
      <c r="C8177" s="183"/>
      <c r="E8177" s="184"/>
      <c r="L8177" s="129"/>
    </row>
    <row r="8178" hidden="1">
      <c r="A8178" s="181"/>
      <c r="B8178" s="182"/>
      <c r="C8178" s="183"/>
      <c r="E8178" s="184"/>
      <c r="L8178" s="129"/>
    </row>
    <row r="8179" hidden="1">
      <c r="A8179" s="181"/>
      <c r="B8179" s="182"/>
      <c r="C8179" s="183"/>
      <c r="E8179" s="184"/>
      <c r="L8179" s="129"/>
    </row>
    <row r="8180" hidden="1">
      <c r="A8180" s="181"/>
      <c r="B8180" s="182"/>
      <c r="C8180" s="183"/>
      <c r="E8180" s="184"/>
      <c r="L8180" s="129"/>
    </row>
    <row r="8181" hidden="1">
      <c r="A8181" s="181"/>
      <c r="B8181" s="182"/>
      <c r="C8181" s="183"/>
      <c r="E8181" s="184"/>
      <c r="L8181" s="129"/>
    </row>
    <row r="8182" hidden="1">
      <c r="A8182" s="181"/>
      <c r="B8182" s="182"/>
      <c r="C8182" s="183"/>
      <c r="E8182" s="184"/>
      <c r="L8182" s="129"/>
    </row>
    <row r="8183" hidden="1">
      <c r="A8183" s="181"/>
      <c r="B8183" s="182"/>
      <c r="C8183" s="183"/>
      <c r="E8183" s="184"/>
      <c r="L8183" s="129"/>
    </row>
    <row r="8184" hidden="1">
      <c r="A8184" s="181"/>
      <c r="B8184" s="182"/>
      <c r="C8184" s="183"/>
      <c r="E8184" s="184"/>
      <c r="L8184" s="129"/>
    </row>
    <row r="8185" hidden="1">
      <c r="A8185" s="181"/>
      <c r="B8185" s="182"/>
      <c r="C8185" s="183"/>
      <c r="E8185" s="184"/>
      <c r="L8185" s="129"/>
    </row>
    <row r="8186" hidden="1">
      <c r="A8186" s="181"/>
      <c r="B8186" s="182"/>
      <c r="C8186" s="183"/>
      <c r="E8186" s="184"/>
      <c r="L8186" s="129"/>
    </row>
    <row r="8187" hidden="1">
      <c r="A8187" s="181"/>
      <c r="B8187" s="182"/>
      <c r="C8187" s="183"/>
      <c r="E8187" s="184"/>
      <c r="L8187" s="129"/>
    </row>
    <row r="8188" hidden="1">
      <c r="A8188" s="181"/>
      <c r="B8188" s="182"/>
      <c r="C8188" s="183"/>
      <c r="E8188" s="184"/>
      <c r="L8188" s="129"/>
    </row>
    <row r="8189" hidden="1">
      <c r="A8189" s="181"/>
      <c r="B8189" s="182"/>
      <c r="C8189" s="183"/>
      <c r="E8189" s="184"/>
      <c r="L8189" s="129"/>
    </row>
    <row r="8190" hidden="1">
      <c r="A8190" s="181"/>
      <c r="B8190" s="182"/>
      <c r="C8190" s="183"/>
      <c r="E8190" s="184"/>
      <c r="L8190" s="129"/>
    </row>
    <row r="8191" hidden="1">
      <c r="A8191" s="181"/>
      <c r="B8191" s="182"/>
      <c r="C8191" s="183"/>
      <c r="E8191" s="184"/>
      <c r="L8191" s="129"/>
    </row>
    <row r="8192" hidden="1">
      <c r="A8192" s="181"/>
      <c r="B8192" s="182"/>
      <c r="C8192" s="183"/>
      <c r="E8192" s="184"/>
      <c r="L8192" s="129"/>
    </row>
    <row r="8193" hidden="1">
      <c r="A8193" s="181"/>
      <c r="B8193" s="182"/>
      <c r="C8193" s="183"/>
      <c r="E8193" s="184"/>
      <c r="L8193" s="129"/>
    </row>
    <row r="8194" hidden="1">
      <c r="A8194" s="181"/>
      <c r="B8194" s="182"/>
      <c r="C8194" s="183"/>
      <c r="E8194" s="184"/>
      <c r="L8194" s="129"/>
    </row>
    <row r="8195" hidden="1">
      <c r="A8195" s="181"/>
      <c r="B8195" s="182"/>
      <c r="C8195" s="183"/>
      <c r="E8195" s="184"/>
      <c r="L8195" s="129"/>
    </row>
    <row r="8196" hidden="1">
      <c r="A8196" s="181"/>
      <c r="B8196" s="182"/>
      <c r="C8196" s="183"/>
      <c r="E8196" s="184"/>
      <c r="L8196" s="129"/>
    </row>
    <row r="8197" hidden="1">
      <c r="A8197" s="181"/>
      <c r="B8197" s="182"/>
      <c r="C8197" s="183"/>
      <c r="E8197" s="184"/>
      <c r="L8197" s="129"/>
    </row>
    <row r="8198" hidden="1">
      <c r="A8198" s="181"/>
      <c r="B8198" s="182"/>
      <c r="C8198" s="183"/>
      <c r="E8198" s="184"/>
      <c r="L8198" s="129"/>
    </row>
    <row r="8199" hidden="1">
      <c r="A8199" s="181"/>
      <c r="B8199" s="182"/>
      <c r="C8199" s="183"/>
      <c r="E8199" s="184"/>
      <c r="L8199" s="129"/>
    </row>
    <row r="8200" hidden="1">
      <c r="A8200" s="181"/>
      <c r="B8200" s="182"/>
      <c r="C8200" s="183"/>
      <c r="E8200" s="184"/>
      <c r="L8200" s="129"/>
    </row>
    <row r="8201" hidden="1">
      <c r="A8201" s="181"/>
      <c r="B8201" s="182"/>
      <c r="C8201" s="183"/>
      <c r="E8201" s="184"/>
      <c r="L8201" s="129"/>
    </row>
    <row r="8202" hidden="1">
      <c r="A8202" s="181"/>
      <c r="B8202" s="182"/>
      <c r="C8202" s="183"/>
      <c r="E8202" s="184"/>
      <c r="L8202" s="129"/>
    </row>
    <row r="8203" hidden="1">
      <c r="A8203" s="181"/>
      <c r="B8203" s="182"/>
      <c r="C8203" s="183"/>
      <c r="E8203" s="184"/>
      <c r="L8203" s="129"/>
    </row>
    <row r="8204" hidden="1">
      <c r="A8204" s="181"/>
      <c r="B8204" s="182"/>
      <c r="C8204" s="183"/>
      <c r="E8204" s="184"/>
      <c r="L8204" s="129"/>
    </row>
    <row r="8205" hidden="1">
      <c r="A8205" s="181"/>
      <c r="B8205" s="182"/>
      <c r="C8205" s="183"/>
      <c r="E8205" s="184"/>
      <c r="L8205" s="129"/>
    </row>
    <row r="8206" hidden="1">
      <c r="A8206" s="181"/>
      <c r="B8206" s="182"/>
      <c r="C8206" s="183"/>
      <c r="E8206" s="184"/>
      <c r="L8206" s="129"/>
    </row>
    <row r="8207" hidden="1">
      <c r="A8207" s="181"/>
      <c r="B8207" s="182"/>
      <c r="C8207" s="183"/>
      <c r="E8207" s="184"/>
      <c r="L8207" s="129"/>
    </row>
    <row r="8208" hidden="1">
      <c r="A8208" s="181"/>
      <c r="B8208" s="182"/>
      <c r="C8208" s="183"/>
      <c r="E8208" s="184"/>
      <c r="L8208" s="129"/>
    </row>
    <row r="8209" hidden="1">
      <c r="A8209" s="181"/>
      <c r="B8209" s="182"/>
      <c r="C8209" s="183"/>
      <c r="E8209" s="184"/>
      <c r="L8209" s="129"/>
    </row>
    <row r="8210" hidden="1">
      <c r="A8210" s="181"/>
      <c r="B8210" s="182"/>
      <c r="C8210" s="183"/>
      <c r="E8210" s="184"/>
      <c r="L8210" s="129"/>
    </row>
    <row r="8211" hidden="1">
      <c r="A8211" s="181"/>
      <c r="B8211" s="182"/>
      <c r="C8211" s="183"/>
      <c r="E8211" s="184"/>
      <c r="L8211" s="129"/>
    </row>
    <row r="8212" hidden="1">
      <c r="A8212" s="181"/>
      <c r="B8212" s="182"/>
      <c r="C8212" s="183"/>
      <c r="E8212" s="184"/>
      <c r="L8212" s="129"/>
    </row>
    <row r="8213" hidden="1">
      <c r="A8213" s="181"/>
      <c r="B8213" s="182"/>
      <c r="C8213" s="183"/>
      <c r="E8213" s="184"/>
      <c r="L8213" s="129"/>
    </row>
    <row r="8214" hidden="1">
      <c r="A8214" s="181"/>
      <c r="B8214" s="182"/>
      <c r="C8214" s="183"/>
      <c r="E8214" s="184"/>
      <c r="L8214" s="129"/>
    </row>
    <row r="8215" hidden="1">
      <c r="A8215" s="181"/>
      <c r="B8215" s="182"/>
      <c r="C8215" s="183"/>
      <c r="E8215" s="184"/>
      <c r="L8215" s="129"/>
    </row>
    <row r="8216" hidden="1">
      <c r="A8216" s="181"/>
      <c r="B8216" s="182"/>
      <c r="C8216" s="183"/>
      <c r="E8216" s="184"/>
      <c r="L8216" s="129"/>
    </row>
    <row r="8217" hidden="1">
      <c r="A8217" s="181"/>
      <c r="B8217" s="182"/>
      <c r="C8217" s="183"/>
      <c r="E8217" s="184"/>
      <c r="L8217" s="129"/>
    </row>
    <row r="8218" hidden="1">
      <c r="A8218" s="181"/>
      <c r="B8218" s="182"/>
      <c r="C8218" s="183"/>
      <c r="E8218" s="184"/>
      <c r="L8218" s="129"/>
    </row>
    <row r="8219" hidden="1">
      <c r="A8219" s="181"/>
      <c r="B8219" s="182"/>
      <c r="C8219" s="183"/>
      <c r="E8219" s="184"/>
      <c r="L8219" s="129"/>
    </row>
    <row r="8220" hidden="1">
      <c r="A8220" s="181"/>
      <c r="B8220" s="182"/>
      <c r="C8220" s="183"/>
      <c r="E8220" s="184"/>
      <c r="L8220" s="129"/>
    </row>
    <row r="8221" hidden="1">
      <c r="A8221" s="181"/>
      <c r="B8221" s="182"/>
      <c r="C8221" s="183"/>
      <c r="E8221" s="184"/>
      <c r="L8221" s="129"/>
    </row>
    <row r="8222" hidden="1">
      <c r="A8222" s="181"/>
      <c r="B8222" s="182"/>
      <c r="C8222" s="183"/>
      <c r="E8222" s="184"/>
      <c r="L8222" s="129"/>
    </row>
    <row r="8223" hidden="1">
      <c r="A8223" s="181"/>
      <c r="B8223" s="182"/>
      <c r="C8223" s="183"/>
      <c r="E8223" s="184"/>
      <c r="L8223" s="129"/>
    </row>
    <row r="8224" hidden="1">
      <c r="A8224" s="181"/>
      <c r="B8224" s="182"/>
      <c r="C8224" s="183"/>
      <c r="E8224" s="184"/>
      <c r="L8224" s="129"/>
    </row>
    <row r="8225" hidden="1">
      <c r="A8225" s="181"/>
      <c r="B8225" s="182"/>
      <c r="C8225" s="183"/>
      <c r="E8225" s="184"/>
      <c r="L8225" s="129"/>
    </row>
    <row r="8226" hidden="1">
      <c r="A8226" s="181"/>
      <c r="B8226" s="182"/>
      <c r="C8226" s="183"/>
      <c r="E8226" s="184"/>
      <c r="L8226" s="129"/>
    </row>
    <row r="8227" hidden="1">
      <c r="A8227" s="181"/>
      <c r="B8227" s="182"/>
      <c r="C8227" s="183"/>
      <c r="E8227" s="184"/>
      <c r="L8227" s="129"/>
    </row>
    <row r="8228" hidden="1">
      <c r="A8228" s="181"/>
      <c r="B8228" s="182"/>
      <c r="C8228" s="183"/>
      <c r="E8228" s="184"/>
      <c r="L8228" s="129"/>
    </row>
    <row r="8229" hidden="1">
      <c r="A8229" s="181"/>
      <c r="B8229" s="182"/>
      <c r="C8229" s="183"/>
      <c r="E8229" s="184"/>
      <c r="L8229" s="129"/>
    </row>
    <row r="8230" hidden="1">
      <c r="A8230" s="181"/>
      <c r="B8230" s="182"/>
      <c r="C8230" s="183"/>
      <c r="E8230" s="184"/>
      <c r="L8230" s="129"/>
    </row>
    <row r="8231" hidden="1">
      <c r="A8231" s="181"/>
      <c r="B8231" s="182"/>
      <c r="C8231" s="183"/>
      <c r="E8231" s="184"/>
      <c r="L8231" s="129"/>
    </row>
    <row r="8232" hidden="1">
      <c r="A8232" s="181"/>
      <c r="B8232" s="182"/>
      <c r="C8232" s="183"/>
      <c r="E8232" s="184"/>
      <c r="L8232" s="129"/>
    </row>
    <row r="8233" hidden="1">
      <c r="A8233" s="181"/>
      <c r="B8233" s="182"/>
      <c r="C8233" s="183"/>
      <c r="E8233" s="184"/>
      <c r="L8233" s="129"/>
    </row>
    <row r="8234" hidden="1">
      <c r="A8234" s="181"/>
      <c r="B8234" s="182"/>
      <c r="C8234" s="183"/>
      <c r="E8234" s="184"/>
      <c r="L8234" s="129"/>
    </row>
    <row r="8235" hidden="1">
      <c r="A8235" s="181"/>
      <c r="B8235" s="182"/>
      <c r="C8235" s="183"/>
      <c r="E8235" s="184"/>
      <c r="L8235" s="129"/>
    </row>
    <row r="8236" hidden="1">
      <c r="A8236" s="181"/>
      <c r="B8236" s="182"/>
      <c r="C8236" s="183"/>
      <c r="E8236" s="184"/>
      <c r="L8236" s="129"/>
    </row>
    <row r="8237" hidden="1">
      <c r="A8237" s="181"/>
      <c r="B8237" s="182"/>
      <c r="C8237" s="183"/>
      <c r="E8237" s="184"/>
      <c r="L8237" s="129"/>
    </row>
    <row r="8238" hidden="1">
      <c r="A8238" s="181"/>
      <c r="B8238" s="182"/>
      <c r="C8238" s="183"/>
      <c r="E8238" s="184"/>
      <c r="L8238" s="129"/>
    </row>
    <row r="8239" hidden="1">
      <c r="A8239" s="181"/>
      <c r="B8239" s="182"/>
      <c r="C8239" s="183"/>
      <c r="E8239" s="184"/>
      <c r="L8239" s="129"/>
    </row>
    <row r="8240" hidden="1">
      <c r="A8240" s="181"/>
      <c r="B8240" s="182"/>
      <c r="C8240" s="183"/>
      <c r="E8240" s="184"/>
      <c r="L8240" s="129"/>
    </row>
    <row r="8241" hidden="1">
      <c r="A8241" s="181"/>
      <c r="B8241" s="182"/>
      <c r="C8241" s="183"/>
      <c r="E8241" s="184"/>
      <c r="L8241" s="129"/>
    </row>
    <row r="8242" hidden="1">
      <c r="A8242" s="181"/>
      <c r="B8242" s="182"/>
      <c r="C8242" s="183"/>
      <c r="E8242" s="184"/>
      <c r="L8242" s="129"/>
    </row>
    <row r="8243" hidden="1">
      <c r="A8243" s="181"/>
      <c r="B8243" s="182"/>
      <c r="C8243" s="183"/>
      <c r="E8243" s="184"/>
      <c r="L8243" s="129"/>
    </row>
    <row r="8244" hidden="1">
      <c r="A8244" s="181"/>
      <c r="B8244" s="182"/>
      <c r="C8244" s="183"/>
      <c r="E8244" s="184"/>
      <c r="L8244" s="129"/>
    </row>
    <row r="8245" hidden="1">
      <c r="A8245" s="181"/>
      <c r="B8245" s="182"/>
      <c r="C8245" s="183"/>
      <c r="E8245" s="184"/>
      <c r="L8245" s="129"/>
    </row>
    <row r="8246" hidden="1">
      <c r="A8246" s="181"/>
      <c r="B8246" s="182"/>
      <c r="C8246" s="183"/>
      <c r="E8246" s="184"/>
      <c r="L8246" s="129"/>
    </row>
    <row r="8247" hidden="1">
      <c r="A8247" s="181"/>
      <c r="B8247" s="182"/>
      <c r="C8247" s="183"/>
      <c r="E8247" s="184"/>
      <c r="L8247" s="129"/>
    </row>
    <row r="8248" hidden="1">
      <c r="A8248" s="181"/>
      <c r="B8248" s="182"/>
      <c r="C8248" s="183"/>
      <c r="E8248" s="184"/>
      <c r="L8248" s="129"/>
    </row>
    <row r="8249" hidden="1">
      <c r="A8249" s="181"/>
      <c r="B8249" s="182"/>
      <c r="C8249" s="183"/>
      <c r="E8249" s="184"/>
      <c r="L8249" s="129"/>
    </row>
    <row r="8250" hidden="1">
      <c r="A8250" s="181"/>
      <c r="B8250" s="182"/>
      <c r="C8250" s="183"/>
      <c r="E8250" s="184"/>
      <c r="L8250" s="129"/>
    </row>
    <row r="8251" hidden="1">
      <c r="A8251" s="181"/>
      <c r="B8251" s="182"/>
      <c r="C8251" s="183"/>
      <c r="E8251" s="184"/>
      <c r="L8251" s="129"/>
    </row>
    <row r="8252" hidden="1">
      <c r="A8252" s="181"/>
      <c r="B8252" s="182"/>
      <c r="C8252" s="183"/>
      <c r="E8252" s="184"/>
      <c r="L8252" s="129"/>
    </row>
    <row r="8253" hidden="1">
      <c r="A8253" s="181"/>
      <c r="B8253" s="182"/>
      <c r="C8253" s="183"/>
      <c r="E8253" s="184"/>
      <c r="L8253" s="129"/>
    </row>
    <row r="8254" hidden="1">
      <c r="A8254" s="181"/>
      <c r="B8254" s="182"/>
      <c r="C8254" s="183"/>
      <c r="E8254" s="184"/>
      <c r="L8254" s="129"/>
    </row>
    <row r="8255" hidden="1">
      <c r="A8255" s="181"/>
      <c r="B8255" s="182"/>
      <c r="C8255" s="183"/>
      <c r="E8255" s="184"/>
      <c r="L8255" s="129"/>
    </row>
    <row r="8256" hidden="1">
      <c r="A8256" s="181"/>
      <c r="B8256" s="182"/>
      <c r="C8256" s="183"/>
      <c r="E8256" s="184"/>
      <c r="L8256" s="129"/>
    </row>
    <row r="8257" hidden="1">
      <c r="A8257" s="181"/>
      <c r="B8257" s="182"/>
      <c r="C8257" s="183"/>
      <c r="E8257" s="184"/>
      <c r="L8257" s="129"/>
    </row>
    <row r="8258" hidden="1">
      <c r="A8258" s="181"/>
      <c r="B8258" s="182"/>
      <c r="C8258" s="183"/>
      <c r="E8258" s="184"/>
      <c r="L8258" s="129"/>
    </row>
    <row r="8259" hidden="1">
      <c r="A8259" s="181"/>
      <c r="B8259" s="182"/>
      <c r="C8259" s="183"/>
      <c r="E8259" s="184"/>
      <c r="L8259" s="129"/>
    </row>
    <row r="8260" hidden="1">
      <c r="A8260" s="181"/>
      <c r="B8260" s="182"/>
      <c r="C8260" s="183"/>
      <c r="E8260" s="184"/>
      <c r="L8260" s="129"/>
    </row>
    <row r="8261" hidden="1">
      <c r="A8261" s="181"/>
      <c r="B8261" s="182"/>
      <c r="C8261" s="183"/>
      <c r="E8261" s="184"/>
      <c r="L8261" s="129"/>
    </row>
    <row r="8262" hidden="1">
      <c r="A8262" s="181"/>
      <c r="B8262" s="182"/>
      <c r="C8262" s="183"/>
      <c r="E8262" s="184"/>
      <c r="L8262" s="129"/>
    </row>
    <row r="8263" hidden="1">
      <c r="A8263" s="181"/>
      <c r="B8263" s="182"/>
      <c r="C8263" s="183"/>
      <c r="E8263" s="184"/>
      <c r="L8263" s="129"/>
    </row>
    <row r="8264" hidden="1">
      <c r="A8264" s="181"/>
      <c r="B8264" s="182"/>
      <c r="C8264" s="183"/>
      <c r="E8264" s="184"/>
      <c r="L8264" s="129"/>
    </row>
    <row r="8265" hidden="1">
      <c r="A8265" s="181"/>
      <c r="B8265" s="182"/>
      <c r="C8265" s="183"/>
      <c r="E8265" s="184"/>
      <c r="L8265" s="129"/>
    </row>
    <row r="8266" hidden="1">
      <c r="A8266" s="181"/>
      <c r="B8266" s="182"/>
      <c r="C8266" s="183"/>
      <c r="E8266" s="184"/>
      <c r="L8266" s="129"/>
    </row>
    <row r="8267" hidden="1">
      <c r="A8267" s="181"/>
      <c r="B8267" s="182"/>
      <c r="C8267" s="183"/>
      <c r="E8267" s="184"/>
      <c r="L8267" s="129"/>
    </row>
    <row r="8268" hidden="1">
      <c r="A8268" s="181"/>
      <c r="B8268" s="182"/>
      <c r="C8268" s="183"/>
      <c r="E8268" s="184"/>
      <c r="L8268" s="129"/>
    </row>
    <row r="8269" hidden="1">
      <c r="A8269" s="181"/>
      <c r="B8269" s="182"/>
      <c r="C8269" s="183"/>
      <c r="E8269" s="184"/>
      <c r="L8269" s="129"/>
    </row>
    <row r="8270" hidden="1">
      <c r="A8270" s="181"/>
      <c r="B8270" s="182"/>
      <c r="C8270" s="183"/>
      <c r="E8270" s="184"/>
      <c r="L8270" s="129"/>
    </row>
    <row r="8271" hidden="1">
      <c r="A8271" s="181"/>
      <c r="B8271" s="182"/>
      <c r="C8271" s="183"/>
      <c r="E8271" s="184"/>
      <c r="L8271" s="129"/>
    </row>
    <row r="8272" hidden="1">
      <c r="A8272" s="181"/>
      <c r="B8272" s="182"/>
      <c r="C8272" s="183"/>
      <c r="E8272" s="184"/>
      <c r="L8272" s="129"/>
    </row>
    <row r="8273" hidden="1">
      <c r="A8273" s="181"/>
      <c r="B8273" s="182"/>
      <c r="C8273" s="183"/>
      <c r="E8273" s="184"/>
      <c r="L8273" s="129"/>
    </row>
    <row r="8274" hidden="1">
      <c r="A8274" s="181"/>
      <c r="B8274" s="182"/>
      <c r="C8274" s="183"/>
      <c r="E8274" s="184"/>
      <c r="L8274" s="129"/>
    </row>
    <row r="8275" hidden="1">
      <c r="A8275" s="181"/>
      <c r="B8275" s="182"/>
      <c r="C8275" s="183"/>
      <c r="E8275" s="184"/>
      <c r="L8275" s="129"/>
    </row>
    <row r="8276" hidden="1">
      <c r="A8276" s="181"/>
      <c r="B8276" s="182"/>
      <c r="C8276" s="183"/>
      <c r="E8276" s="184"/>
      <c r="L8276" s="129"/>
    </row>
    <row r="8277" hidden="1">
      <c r="A8277" s="181"/>
      <c r="B8277" s="182"/>
      <c r="C8277" s="183"/>
      <c r="E8277" s="184"/>
      <c r="L8277" s="129"/>
    </row>
    <row r="8278" hidden="1">
      <c r="A8278" s="181"/>
      <c r="B8278" s="182"/>
      <c r="C8278" s="183"/>
      <c r="E8278" s="184"/>
      <c r="L8278" s="129"/>
    </row>
    <row r="8279" hidden="1">
      <c r="A8279" s="181"/>
      <c r="B8279" s="182"/>
      <c r="C8279" s="183"/>
      <c r="E8279" s="184"/>
      <c r="L8279" s="129"/>
    </row>
    <row r="8280" hidden="1">
      <c r="A8280" s="181"/>
      <c r="B8280" s="182"/>
      <c r="C8280" s="183"/>
      <c r="E8280" s="184"/>
      <c r="L8280" s="129"/>
    </row>
    <row r="8281" hidden="1">
      <c r="A8281" s="181"/>
      <c r="B8281" s="182"/>
      <c r="C8281" s="183"/>
      <c r="E8281" s="184"/>
      <c r="L8281" s="129"/>
    </row>
    <row r="8282" hidden="1">
      <c r="A8282" s="181"/>
      <c r="B8282" s="182"/>
      <c r="C8282" s="183"/>
      <c r="E8282" s="184"/>
      <c r="L8282" s="129"/>
    </row>
    <row r="8283" hidden="1">
      <c r="A8283" s="181"/>
      <c r="B8283" s="182"/>
      <c r="C8283" s="183"/>
      <c r="E8283" s="184"/>
      <c r="L8283" s="129"/>
    </row>
    <row r="8284" hidden="1">
      <c r="A8284" s="181"/>
      <c r="B8284" s="182"/>
      <c r="C8284" s="183"/>
      <c r="E8284" s="184"/>
      <c r="L8284" s="129"/>
    </row>
    <row r="8285" hidden="1">
      <c r="A8285" s="181"/>
      <c r="B8285" s="182"/>
      <c r="C8285" s="183"/>
      <c r="E8285" s="184"/>
      <c r="L8285" s="129"/>
    </row>
    <row r="8286" hidden="1">
      <c r="A8286" s="181"/>
      <c r="B8286" s="182"/>
      <c r="C8286" s="183"/>
      <c r="E8286" s="184"/>
      <c r="L8286" s="129"/>
    </row>
    <row r="8287" hidden="1">
      <c r="A8287" s="181"/>
      <c r="B8287" s="182"/>
      <c r="C8287" s="183"/>
      <c r="E8287" s="184"/>
      <c r="L8287" s="129"/>
    </row>
    <row r="8288" hidden="1">
      <c r="A8288" s="181"/>
      <c r="B8288" s="182"/>
      <c r="C8288" s="183"/>
      <c r="E8288" s="184"/>
      <c r="L8288" s="129"/>
    </row>
    <row r="8289" hidden="1">
      <c r="A8289" s="181"/>
      <c r="B8289" s="182"/>
      <c r="C8289" s="183"/>
      <c r="E8289" s="184"/>
      <c r="L8289" s="129"/>
    </row>
    <row r="8290" hidden="1">
      <c r="A8290" s="181"/>
      <c r="B8290" s="182"/>
      <c r="C8290" s="183"/>
      <c r="E8290" s="184"/>
      <c r="L8290" s="129"/>
    </row>
    <row r="8291" hidden="1">
      <c r="A8291" s="181"/>
      <c r="B8291" s="182"/>
      <c r="C8291" s="183"/>
      <c r="E8291" s="184"/>
      <c r="L8291" s="129"/>
    </row>
    <row r="8292" hidden="1">
      <c r="A8292" s="181"/>
      <c r="B8292" s="182"/>
      <c r="C8292" s="183"/>
      <c r="E8292" s="184"/>
      <c r="L8292" s="129"/>
    </row>
    <row r="8293" hidden="1">
      <c r="A8293" s="181"/>
      <c r="B8293" s="182"/>
      <c r="C8293" s="183"/>
      <c r="E8293" s="184"/>
      <c r="L8293" s="129"/>
    </row>
    <row r="8294" hidden="1">
      <c r="A8294" s="181"/>
      <c r="B8294" s="182"/>
      <c r="C8294" s="183"/>
      <c r="E8294" s="184"/>
      <c r="L8294" s="129"/>
    </row>
    <row r="8295" hidden="1">
      <c r="A8295" s="181"/>
      <c r="B8295" s="182"/>
      <c r="C8295" s="183"/>
      <c r="E8295" s="184"/>
      <c r="L8295" s="129"/>
    </row>
    <row r="8296" hidden="1">
      <c r="A8296" s="181"/>
      <c r="B8296" s="182"/>
      <c r="C8296" s="183"/>
      <c r="E8296" s="184"/>
      <c r="L8296" s="129"/>
    </row>
    <row r="8297" hidden="1">
      <c r="A8297" s="181"/>
      <c r="B8297" s="182"/>
      <c r="C8297" s="183"/>
      <c r="E8297" s="184"/>
      <c r="L8297" s="129"/>
    </row>
    <row r="8298" hidden="1">
      <c r="A8298" s="181"/>
      <c r="B8298" s="182"/>
      <c r="C8298" s="183"/>
      <c r="E8298" s="184"/>
      <c r="L8298" s="129"/>
    </row>
    <row r="8299" hidden="1">
      <c r="A8299" s="181"/>
      <c r="B8299" s="182"/>
      <c r="C8299" s="183"/>
      <c r="E8299" s="184"/>
      <c r="L8299" s="129"/>
    </row>
    <row r="8300" hidden="1">
      <c r="A8300" s="181"/>
      <c r="B8300" s="182"/>
      <c r="C8300" s="183"/>
      <c r="E8300" s="184"/>
      <c r="L8300" s="129"/>
    </row>
    <row r="8301" hidden="1">
      <c r="A8301" s="181"/>
      <c r="B8301" s="182"/>
      <c r="C8301" s="183"/>
      <c r="E8301" s="184"/>
      <c r="L8301" s="129"/>
    </row>
    <row r="8302" hidden="1">
      <c r="A8302" s="181"/>
      <c r="B8302" s="182"/>
      <c r="C8302" s="183"/>
      <c r="E8302" s="184"/>
      <c r="L8302" s="129"/>
    </row>
    <row r="8303" hidden="1">
      <c r="A8303" s="181"/>
      <c r="B8303" s="182"/>
      <c r="C8303" s="183"/>
      <c r="E8303" s="184"/>
      <c r="L8303" s="129"/>
    </row>
    <row r="8304" hidden="1">
      <c r="A8304" s="181"/>
      <c r="B8304" s="182"/>
      <c r="C8304" s="183"/>
      <c r="E8304" s="184"/>
      <c r="L8304" s="129"/>
    </row>
    <row r="8305" hidden="1">
      <c r="A8305" s="181"/>
      <c r="B8305" s="182"/>
      <c r="C8305" s="183"/>
      <c r="E8305" s="184"/>
      <c r="L8305" s="129"/>
    </row>
    <row r="8306" hidden="1">
      <c r="A8306" s="181"/>
      <c r="B8306" s="182"/>
      <c r="C8306" s="183"/>
      <c r="E8306" s="184"/>
      <c r="L8306" s="129"/>
    </row>
    <row r="8307" hidden="1">
      <c r="A8307" s="181"/>
      <c r="B8307" s="182"/>
      <c r="C8307" s="183"/>
      <c r="E8307" s="184"/>
      <c r="L8307" s="129"/>
    </row>
    <row r="8308" hidden="1">
      <c r="A8308" s="181"/>
      <c r="B8308" s="182"/>
      <c r="C8308" s="183"/>
      <c r="E8308" s="184"/>
      <c r="L8308" s="129"/>
    </row>
    <row r="8309" hidden="1">
      <c r="A8309" s="181"/>
      <c r="B8309" s="182"/>
      <c r="C8309" s="183"/>
      <c r="E8309" s="184"/>
      <c r="L8309" s="129"/>
    </row>
    <row r="8310" hidden="1">
      <c r="A8310" s="181"/>
      <c r="B8310" s="182"/>
      <c r="C8310" s="183"/>
      <c r="E8310" s="184"/>
      <c r="L8310" s="129"/>
    </row>
    <row r="8311" hidden="1">
      <c r="A8311" s="181"/>
      <c r="B8311" s="182"/>
      <c r="C8311" s="183"/>
      <c r="E8311" s="184"/>
      <c r="L8311" s="129"/>
    </row>
    <row r="8312" hidden="1">
      <c r="A8312" s="181"/>
      <c r="B8312" s="182"/>
      <c r="C8312" s="183"/>
      <c r="E8312" s="184"/>
      <c r="L8312" s="129"/>
    </row>
    <row r="8313" hidden="1">
      <c r="A8313" s="181"/>
      <c r="B8313" s="182"/>
      <c r="C8313" s="183"/>
      <c r="E8313" s="184"/>
      <c r="L8313" s="129"/>
    </row>
    <row r="8314" hidden="1">
      <c r="A8314" s="181"/>
      <c r="B8314" s="182"/>
      <c r="C8314" s="183"/>
      <c r="E8314" s="184"/>
      <c r="L8314" s="129"/>
    </row>
    <row r="8315" hidden="1">
      <c r="A8315" s="181"/>
      <c r="B8315" s="182"/>
      <c r="C8315" s="183"/>
      <c r="E8315" s="184"/>
      <c r="L8315" s="129"/>
    </row>
    <row r="8316" hidden="1">
      <c r="A8316" s="181"/>
      <c r="B8316" s="182"/>
      <c r="C8316" s="183"/>
      <c r="E8316" s="184"/>
      <c r="L8316" s="129"/>
    </row>
    <row r="8317" hidden="1">
      <c r="A8317" s="181"/>
      <c r="B8317" s="182"/>
      <c r="C8317" s="183"/>
      <c r="E8317" s="184"/>
      <c r="L8317" s="129"/>
    </row>
    <row r="8318" hidden="1">
      <c r="A8318" s="181"/>
      <c r="B8318" s="182"/>
      <c r="C8318" s="183"/>
      <c r="E8318" s="184"/>
      <c r="L8318" s="129"/>
    </row>
    <row r="8319" hidden="1">
      <c r="A8319" s="181"/>
      <c r="B8319" s="182"/>
      <c r="C8319" s="183"/>
      <c r="E8319" s="184"/>
      <c r="L8319" s="129"/>
    </row>
    <row r="8320" hidden="1">
      <c r="A8320" s="181"/>
      <c r="B8320" s="182"/>
      <c r="C8320" s="183"/>
      <c r="E8320" s="184"/>
      <c r="L8320" s="129"/>
    </row>
    <row r="8321" hidden="1">
      <c r="A8321" s="181"/>
      <c r="B8321" s="182"/>
      <c r="C8321" s="183"/>
      <c r="E8321" s="184"/>
      <c r="L8321" s="129"/>
    </row>
    <row r="8322" hidden="1">
      <c r="A8322" s="181"/>
      <c r="B8322" s="182"/>
      <c r="C8322" s="183"/>
      <c r="E8322" s="184"/>
      <c r="L8322" s="129"/>
    </row>
    <row r="8323" hidden="1">
      <c r="A8323" s="181"/>
      <c r="B8323" s="182"/>
      <c r="C8323" s="183"/>
      <c r="E8323" s="184"/>
      <c r="L8323" s="129"/>
    </row>
    <row r="8324" hidden="1">
      <c r="A8324" s="181"/>
      <c r="B8324" s="182"/>
      <c r="C8324" s="183"/>
      <c r="E8324" s="184"/>
      <c r="L8324" s="129"/>
    </row>
    <row r="8325" hidden="1">
      <c r="A8325" s="181"/>
      <c r="B8325" s="182"/>
      <c r="C8325" s="183"/>
      <c r="E8325" s="184"/>
      <c r="L8325" s="129"/>
    </row>
    <row r="8326" hidden="1">
      <c r="A8326" s="181"/>
      <c r="B8326" s="182"/>
      <c r="C8326" s="183"/>
      <c r="E8326" s="184"/>
      <c r="L8326" s="129"/>
    </row>
    <row r="8327" hidden="1">
      <c r="A8327" s="181"/>
      <c r="B8327" s="182"/>
      <c r="C8327" s="183"/>
      <c r="E8327" s="184"/>
      <c r="L8327" s="129"/>
    </row>
    <row r="8328" hidden="1">
      <c r="A8328" s="181"/>
      <c r="B8328" s="182"/>
      <c r="C8328" s="183"/>
      <c r="E8328" s="184"/>
      <c r="L8328" s="129"/>
    </row>
    <row r="8329" hidden="1">
      <c r="A8329" s="181"/>
      <c r="B8329" s="182"/>
      <c r="C8329" s="183"/>
      <c r="E8329" s="184"/>
      <c r="L8329" s="129"/>
    </row>
    <row r="8330" hidden="1">
      <c r="A8330" s="181"/>
      <c r="B8330" s="182"/>
      <c r="C8330" s="183"/>
      <c r="E8330" s="184"/>
      <c r="L8330" s="129"/>
    </row>
    <row r="8331" hidden="1">
      <c r="A8331" s="181"/>
      <c r="B8331" s="182"/>
      <c r="C8331" s="183"/>
      <c r="E8331" s="184"/>
      <c r="L8331" s="129"/>
    </row>
    <row r="8332" hidden="1">
      <c r="A8332" s="181"/>
      <c r="B8332" s="182"/>
      <c r="C8332" s="183"/>
      <c r="E8332" s="184"/>
      <c r="L8332" s="129"/>
    </row>
    <row r="8333" hidden="1">
      <c r="A8333" s="181"/>
      <c r="B8333" s="182"/>
      <c r="C8333" s="183"/>
      <c r="E8333" s="184"/>
      <c r="L8333" s="129"/>
    </row>
    <row r="8334" hidden="1">
      <c r="A8334" s="181"/>
      <c r="B8334" s="182"/>
      <c r="C8334" s="183"/>
      <c r="E8334" s="184"/>
      <c r="L8334" s="129"/>
    </row>
    <row r="8335" hidden="1">
      <c r="A8335" s="181"/>
      <c r="B8335" s="182"/>
      <c r="C8335" s="183"/>
      <c r="E8335" s="184"/>
      <c r="L8335" s="129"/>
    </row>
    <row r="8336" hidden="1">
      <c r="A8336" s="181"/>
      <c r="B8336" s="182"/>
      <c r="C8336" s="183"/>
      <c r="E8336" s="184"/>
      <c r="L8336" s="129"/>
    </row>
    <row r="8337" hidden="1">
      <c r="A8337" s="181"/>
      <c r="B8337" s="182"/>
      <c r="C8337" s="183"/>
      <c r="E8337" s="184"/>
      <c r="L8337" s="129"/>
    </row>
    <row r="8338" hidden="1">
      <c r="A8338" s="181"/>
      <c r="B8338" s="182"/>
      <c r="C8338" s="183"/>
      <c r="E8338" s="184"/>
      <c r="L8338" s="129"/>
    </row>
    <row r="8339" hidden="1">
      <c r="A8339" s="181"/>
      <c r="B8339" s="182"/>
      <c r="C8339" s="183"/>
      <c r="E8339" s="184"/>
      <c r="L8339" s="129"/>
    </row>
    <row r="8340" hidden="1">
      <c r="A8340" s="181"/>
      <c r="B8340" s="182"/>
      <c r="C8340" s="183"/>
      <c r="E8340" s="184"/>
      <c r="L8340" s="129"/>
    </row>
    <row r="8341" hidden="1">
      <c r="A8341" s="181"/>
      <c r="B8341" s="182"/>
      <c r="C8341" s="183"/>
      <c r="E8341" s="184"/>
      <c r="L8341" s="129"/>
    </row>
    <row r="8342" hidden="1">
      <c r="A8342" s="181"/>
      <c r="B8342" s="182"/>
      <c r="C8342" s="183"/>
      <c r="E8342" s="184"/>
      <c r="L8342" s="129"/>
    </row>
    <row r="8343" hidden="1">
      <c r="A8343" s="181"/>
      <c r="B8343" s="182"/>
      <c r="C8343" s="183"/>
      <c r="E8343" s="184"/>
      <c r="L8343" s="129"/>
    </row>
    <row r="8344" hidden="1">
      <c r="A8344" s="181"/>
      <c r="B8344" s="182"/>
      <c r="C8344" s="183"/>
      <c r="E8344" s="184"/>
      <c r="L8344" s="129"/>
    </row>
    <row r="8345" hidden="1">
      <c r="A8345" s="181"/>
      <c r="B8345" s="182"/>
      <c r="C8345" s="183"/>
      <c r="E8345" s="184"/>
      <c r="L8345" s="129"/>
    </row>
    <row r="8346" hidden="1">
      <c r="A8346" s="181"/>
      <c r="B8346" s="182"/>
      <c r="C8346" s="183"/>
      <c r="E8346" s="184"/>
      <c r="L8346" s="129"/>
    </row>
    <row r="8347" hidden="1">
      <c r="A8347" s="181"/>
      <c r="B8347" s="182"/>
      <c r="C8347" s="183"/>
      <c r="E8347" s="184"/>
      <c r="L8347" s="129"/>
    </row>
    <row r="8348" hidden="1">
      <c r="A8348" s="181"/>
      <c r="B8348" s="182"/>
      <c r="C8348" s="183"/>
      <c r="E8348" s="184"/>
      <c r="L8348" s="129"/>
    </row>
    <row r="8349" hidden="1">
      <c r="A8349" s="181"/>
      <c r="B8349" s="182"/>
      <c r="C8349" s="183"/>
      <c r="E8349" s="184"/>
      <c r="L8349" s="129"/>
    </row>
    <row r="8350" hidden="1">
      <c r="A8350" s="181"/>
      <c r="B8350" s="182"/>
      <c r="C8350" s="183"/>
      <c r="E8350" s="184"/>
      <c r="L8350" s="129"/>
    </row>
    <row r="8351" hidden="1">
      <c r="A8351" s="181"/>
      <c r="B8351" s="182"/>
      <c r="C8351" s="183"/>
      <c r="E8351" s="184"/>
      <c r="L8351" s="129"/>
    </row>
    <row r="8352" hidden="1">
      <c r="A8352" s="181"/>
      <c r="B8352" s="182"/>
      <c r="C8352" s="183"/>
      <c r="E8352" s="184"/>
      <c r="L8352" s="129"/>
    </row>
    <row r="8353" hidden="1">
      <c r="A8353" s="181"/>
      <c r="B8353" s="182"/>
      <c r="C8353" s="183"/>
      <c r="E8353" s="184"/>
      <c r="L8353" s="129"/>
    </row>
    <row r="8354" hidden="1">
      <c r="A8354" s="181"/>
      <c r="B8354" s="182"/>
      <c r="C8354" s="183"/>
      <c r="E8354" s="184"/>
      <c r="L8354" s="129"/>
    </row>
    <row r="8355" hidden="1">
      <c r="A8355" s="181"/>
      <c r="B8355" s="182"/>
      <c r="C8355" s="183"/>
      <c r="E8355" s="184"/>
      <c r="L8355" s="129"/>
    </row>
    <row r="8356" hidden="1">
      <c r="A8356" s="181"/>
      <c r="B8356" s="182"/>
      <c r="C8356" s="183"/>
      <c r="E8356" s="184"/>
      <c r="L8356" s="129"/>
    </row>
    <row r="8357" hidden="1">
      <c r="A8357" s="181"/>
      <c r="B8357" s="182"/>
      <c r="C8357" s="183"/>
      <c r="E8357" s="184"/>
      <c r="L8357" s="129"/>
    </row>
    <row r="8358" hidden="1">
      <c r="A8358" s="181"/>
      <c r="B8358" s="182"/>
      <c r="C8358" s="183"/>
      <c r="E8358" s="184"/>
      <c r="L8358" s="129"/>
    </row>
    <row r="8359" hidden="1">
      <c r="A8359" s="181"/>
      <c r="B8359" s="182"/>
      <c r="C8359" s="183"/>
      <c r="E8359" s="184"/>
      <c r="L8359" s="129"/>
    </row>
    <row r="8360" hidden="1">
      <c r="A8360" s="181"/>
      <c r="B8360" s="182"/>
      <c r="C8360" s="183"/>
      <c r="E8360" s="184"/>
      <c r="L8360" s="129"/>
    </row>
    <row r="8361" hidden="1">
      <c r="A8361" s="181"/>
      <c r="B8361" s="182"/>
      <c r="C8361" s="183"/>
      <c r="E8361" s="184"/>
      <c r="L8361" s="129"/>
    </row>
    <row r="8362" hidden="1">
      <c r="A8362" s="181"/>
      <c r="B8362" s="182"/>
      <c r="C8362" s="183"/>
      <c r="E8362" s="184"/>
      <c r="L8362" s="129"/>
    </row>
    <row r="8363" hidden="1">
      <c r="A8363" s="181"/>
      <c r="B8363" s="182"/>
      <c r="C8363" s="183"/>
      <c r="E8363" s="184"/>
      <c r="L8363" s="129"/>
    </row>
    <row r="8364" hidden="1">
      <c r="A8364" s="181"/>
      <c r="B8364" s="182"/>
      <c r="C8364" s="183"/>
      <c r="E8364" s="184"/>
      <c r="L8364" s="129"/>
    </row>
    <row r="8365" hidden="1">
      <c r="A8365" s="181"/>
      <c r="B8365" s="182"/>
      <c r="C8365" s="183"/>
      <c r="E8365" s="184"/>
      <c r="L8365" s="129"/>
    </row>
    <row r="8366" hidden="1">
      <c r="A8366" s="181"/>
      <c r="B8366" s="182"/>
      <c r="C8366" s="183"/>
      <c r="E8366" s="184"/>
      <c r="L8366" s="129"/>
    </row>
    <row r="8367" hidden="1">
      <c r="A8367" s="181"/>
      <c r="B8367" s="182"/>
      <c r="C8367" s="183"/>
      <c r="E8367" s="184"/>
      <c r="L8367" s="129"/>
    </row>
    <row r="8368" hidden="1">
      <c r="A8368" s="181"/>
      <c r="B8368" s="182"/>
      <c r="C8368" s="183"/>
      <c r="E8368" s="184"/>
      <c r="L8368" s="129"/>
    </row>
    <row r="8369" hidden="1">
      <c r="A8369" s="181"/>
      <c r="B8369" s="182"/>
      <c r="C8369" s="183"/>
      <c r="E8369" s="184"/>
      <c r="L8369" s="129"/>
    </row>
    <row r="8370" hidden="1">
      <c r="A8370" s="181"/>
      <c r="B8370" s="182"/>
      <c r="C8370" s="183"/>
      <c r="E8370" s="184"/>
      <c r="L8370" s="129"/>
    </row>
    <row r="8371" hidden="1">
      <c r="A8371" s="181"/>
      <c r="B8371" s="182"/>
      <c r="C8371" s="183"/>
      <c r="E8371" s="184"/>
      <c r="L8371" s="129"/>
    </row>
    <row r="8372" hidden="1">
      <c r="A8372" s="181"/>
      <c r="B8372" s="182"/>
      <c r="C8372" s="183"/>
      <c r="E8372" s="184"/>
      <c r="L8372" s="129"/>
    </row>
    <row r="8373" hidden="1">
      <c r="A8373" s="181"/>
      <c r="B8373" s="182"/>
      <c r="C8373" s="183"/>
      <c r="E8373" s="184"/>
      <c r="L8373" s="129"/>
    </row>
    <row r="8374" hidden="1">
      <c r="A8374" s="181"/>
      <c r="B8374" s="182"/>
      <c r="C8374" s="183"/>
      <c r="E8374" s="184"/>
      <c r="L8374" s="129"/>
    </row>
    <row r="8375" hidden="1">
      <c r="A8375" s="181"/>
      <c r="B8375" s="182"/>
      <c r="C8375" s="183"/>
      <c r="E8375" s="184"/>
      <c r="L8375" s="129"/>
    </row>
    <row r="8376" hidden="1">
      <c r="A8376" s="181"/>
      <c r="B8376" s="182"/>
      <c r="C8376" s="183"/>
      <c r="E8376" s="184"/>
      <c r="L8376" s="129"/>
    </row>
    <row r="8377" hidden="1">
      <c r="A8377" s="181"/>
      <c r="B8377" s="182"/>
      <c r="C8377" s="183"/>
      <c r="E8377" s="184"/>
      <c r="L8377" s="129"/>
    </row>
    <row r="8378" hidden="1">
      <c r="A8378" s="181"/>
      <c r="B8378" s="182"/>
      <c r="C8378" s="183"/>
      <c r="E8378" s="184"/>
      <c r="L8378" s="129"/>
    </row>
    <row r="8379" hidden="1">
      <c r="A8379" s="181"/>
      <c r="B8379" s="182"/>
      <c r="C8379" s="183"/>
      <c r="E8379" s="184"/>
      <c r="L8379" s="129"/>
    </row>
    <row r="8380" hidden="1">
      <c r="A8380" s="181"/>
      <c r="B8380" s="182"/>
      <c r="C8380" s="183"/>
      <c r="E8380" s="184"/>
      <c r="L8380" s="129"/>
    </row>
    <row r="8381" hidden="1">
      <c r="A8381" s="181"/>
      <c r="B8381" s="182"/>
      <c r="C8381" s="183"/>
      <c r="E8381" s="184"/>
      <c r="L8381" s="129"/>
    </row>
    <row r="8382" hidden="1">
      <c r="A8382" s="181"/>
      <c r="B8382" s="182"/>
      <c r="C8382" s="183"/>
      <c r="E8382" s="184"/>
      <c r="L8382" s="129"/>
    </row>
    <row r="8383" hidden="1">
      <c r="A8383" s="181"/>
      <c r="B8383" s="182"/>
      <c r="C8383" s="183"/>
      <c r="E8383" s="184"/>
      <c r="L8383" s="129"/>
    </row>
    <row r="8384" hidden="1">
      <c r="A8384" s="181"/>
      <c r="B8384" s="182"/>
      <c r="C8384" s="183"/>
      <c r="E8384" s="184"/>
      <c r="L8384" s="129"/>
    </row>
    <row r="8385" hidden="1">
      <c r="A8385" s="181"/>
      <c r="B8385" s="182"/>
      <c r="C8385" s="183"/>
      <c r="E8385" s="184"/>
      <c r="L8385" s="129"/>
    </row>
    <row r="8386" hidden="1">
      <c r="A8386" s="181"/>
      <c r="B8386" s="182"/>
      <c r="C8386" s="183"/>
      <c r="E8386" s="184"/>
      <c r="L8386" s="129"/>
    </row>
    <row r="8387" hidden="1">
      <c r="A8387" s="181"/>
      <c r="B8387" s="182"/>
      <c r="C8387" s="183"/>
      <c r="E8387" s="184"/>
      <c r="L8387" s="129"/>
    </row>
    <row r="8388" hidden="1">
      <c r="A8388" s="181"/>
      <c r="B8388" s="182"/>
      <c r="C8388" s="183"/>
      <c r="E8388" s="184"/>
      <c r="L8388" s="129"/>
    </row>
    <row r="8389" hidden="1">
      <c r="A8389" s="181"/>
      <c r="B8389" s="182"/>
      <c r="C8389" s="183"/>
      <c r="E8389" s="184"/>
      <c r="L8389" s="129"/>
    </row>
    <row r="8390" hidden="1">
      <c r="A8390" s="181"/>
      <c r="B8390" s="182"/>
      <c r="C8390" s="183"/>
      <c r="E8390" s="184"/>
      <c r="L8390" s="129"/>
    </row>
    <row r="8391" hidden="1">
      <c r="A8391" s="181"/>
      <c r="B8391" s="182"/>
      <c r="C8391" s="183"/>
      <c r="E8391" s="184"/>
      <c r="L8391" s="129"/>
    </row>
    <row r="8392" hidden="1">
      <c r="A8392" s="181"/>
      <c r="B8392" s="182"/>
      <c r="C8392" s="183"/>
      <c r="E8392" s="184"/>
      <c r="L8392" s="129"/>
    </row>
    <row r="8393" hidden="1">
      <c r="A8393" s="181"/>
      <c r="B8393" s="182"/>
      <c r="C8393" s="183"/>
      <c r="E8393" s="184"/>
      <c r="L8393" s="129"/>
    </row>
    <row r="8394" hidden="1">
      <c r="A8394" s="181"/>
      <c r="B8394" s="182"/>
      <c r="C8394" s="183"/>
      <c r="E8394" s="184"/>
      <c r="L8394" s="129"/>
    </row>
    <row r="8395" hidden="1">
      <c r="A8395" s="181"/>
      <c r="B8395" s="182"/>
      <c r="C8395" s="183"/>
      <c r="E8395" s="184"/>
      <c r="L8395" s="129"/>
    </row>
    <row r="8396" hidden="1">
      <c r="A8396" s="181"/>
      <c r="B8396" s="182"/>
      <c r="C8396" s="183"/>
      <c r="E8396" s="184"/>
      <c r="L8396" s="129"/>
    </row>
    <row r="8397" hidden="1">
      <c r="A8397" s="181"/>
      <c r="B8397" s="182"/>
      <c r="C8397" s="183"/>
      <c r="E8397" s="184"/>
      <c r="L8397" s="129"/>
    </row>
    <row r="8398" hidden="1">
      <c r="A8398" s="181"/>
      <c r="B8398" s="182"/>
      <c r="C8398" s="183"/>
      <c r="E8398" s="184"/>
      <c r="L8398" s="129"/>
    </row>
    <row r="8399" hidden="1">
      <c r="A8399" s="181"/>
      <c r="B8399" s="182"/>
      <c r="C8399" s="183"/>
      <c r="E8399" s="184"/>
      <c r="L8399" s="129"/>
    </row>
    <row r="8400" hidden="1">
      <c r="A8400" s="181"/>
      <c r="B8400" s="182"/>
      <c r="C8400" s="183"/>
      <c r="E8400" s="184"/>
      <c r="L8400" s="129"/>
    </row>
    <row r="8401" hidden="1">
      <c r="A8401" s="181"/>
      <c r="B8401" s="182"/>
      <c r="C8401" s="183"/>
      <c r="E8401" s="184"/>
      <c r="L8401" s="129"/>
    </row>
    <row r="8402" hidden="1">
      <c r="A8402" s="181"/>
      <c r="B8402" s="182"/>
      <c r="C8402" s="183"/>
      <c r="E8402" s="184"/>
      <c r="L8402" s="129"/>
    </row>
    <row r="8403" hidden="1">
      <c r="A8403" s="181"/>
      <c r="B8403" s="182"/>
      <c r="C8403" s="183"/>
      <c r="E8403" s="184"/>
      <c r="L8403" s="129"/>
    </row>
    <row r="8404" hidden="1">
      <c r="A8404" s="181"/>
      <c r="B8404" s="182"/>
      <c r="C8404" s="183"/>
      <c r="E8404" s="184"/>
      <c r="L8404" s="129"/>
    </row>
    <row r="8405" hidden="1">
      <c r="A8405" s="181"/>
      <c r="B8405" s="182"/>
      <c r="C8405" s="183"/>
      <c r="E8405" s="184"/>
      <c r="L8405" s="129"/>
    </row>
    <row r="8406" hidden="1">
      <c r="A8406" s="181"/>
      <c r="B8406" s="182"/>
      <c r="C8406" s="183"/>
      <c r="E8406" s="184"/>
      <c r="L8406" s="129"/>
    </row>
    <row r="8407" hidden="1">
      <c r="A8407" s="181"/>
      <c r="B8407" s="182"/>
      <c r="C8407" s="183"/>
      <c r="E8407" s="184"/>
      <c r="L8407" s="129"/>
    </row>
    <row r="8408" hidden="1">
      <c r="A8408" s="181"/>
      <c r="B8408" s="182"/>
      <c r="C8408" s="183"/>
      <c r="E8408" s="184"/>
      <c r="L8408" s="129"/>
    </row>
    <row r="8409" hidden="1">
      <c r="A8409" s="181"/>
      <c r="B8409" s="182"/>
      <c r="C8409" s="183"/>
      <c r="E8409" s="184"/>
      <c r="L8409" s="129"/>
    </row>
    <row r="8410" hidden="1">
      <c r="A8410" s="181"/>
      <c r="B8410" s="182"/>
      <c r="C8410" s="183"/>
      <c r="E8410" s="184"/>
      <c r="L8410" s="129"/>
    </row>
    <row r="8411" hidden="1">
      <c r="A8411" s="181"/>
      <c r="B8411" s="182"/>
      <c r="C8411" s="183"/>
      <c r="E8411" s="184"/>
      <c r="L8411" s="129"/>
    </row>
    <row r="8412" hidden="1">
      <c r="A8412" s="181"/>
      <c r="B8412" s="182"/>
      <c r="C8412" s="183"/>
      <c r="E8412" s="184"/>
      <c r="L8412" s="129"/>
    </row>
    <row r="8413" hidden="1">
      <c r="A8413" s="181"/>
      <c r="B8413" s="182"/>
      <c r="C8413" s="183"/>
      <c r="E8413" s="184"/>
      <c r="L8413" s="129"/>
    </row>
    <row r="8414" hidden="1">
      <c r="A8414" s="181"/>
      <c r="B8414" s="182"/>
      <c r="C8414" s="183"/>
      <c r="E8414" s="184"/>
      <c r="L8414" s="129"/>
    </row>
    <row r="8415" hidden="1">
      <c r="A8415" s="181"/>
      <c r="B8415" s="182"/>
      <c r="C8415" s="183"/>
      <c r="E8415" s="184"/>
      <c r="L8415" s="129"/>
    </row>
    <row r="8416" hidden="1">
      <c r="A8416" s="181"/>
      <c r="B8416" s="182"/>
      <c r="C8416" s="183"/>
      <c r="E8416" s="184"/>
      <c r="L8416" s="129"/>
    </row>
    <row r="8417" hidden="1">
      <c r="A8417" s="181"/>
      <c r="B8417" s="182"/>
      <c r="C8417" s="183"/>
      <c r="E8417" s="184"/>
      <c r="L8417" s="129"/>
    </row>
    <row r="8418" hidden="1">
      <c r="A8418" s="181"/>
      <c r="B8418" s="182"/>
      <c r="C8418" s="183"/>
      <c r="E8418" s="184"/>
      <c r="L8418" s="129"/>
    </row>
    <row r="8419" hidden="1">
      <c r="A8419" s="181"/>
      <c r="B8419" s="182"/>
      <c r="C8419" s="183"/>
      <c r="E8419" s="184"/>
      <c r="L8419" s="129"/>
    </row>
    <row r="8420" hidden="1">
      <c r="A8420" s="181"/>
      <c r="B8420" s="182"/>
      <c r="C8420" s="183"/>
      <c r="E8420" s="184"/>
      <c r="L8420" s="129"/>
    </row>
    <row r="8421" hidden="1">
      <c r="A8421" s="181"/>
      <c r="B8421" s="182"/>
      <c r="C8421" s="183"/>
      <c r="E8421" s="184"/>
      <c r="L8421" s="129"/>
    </row>
    <row r="8422" hidden="1">
      <c r="A8422" s="181"/>
      <c r="B8422" s="182"/>
      <c r="C8422" s="183"/>
      <c r="E8422" s="184"/>
      <c r="L8422" s="129"/>
    </row>
    <row r="8423" hidden="1">
      <c r="A8423" s="181"/>
      <c r="B8423" s="182"/>
      <c r="C8423" s="183"/>
      <c r="E8423" s="184"/>
      <c r="L8423" s="129"/>
    </row>
    <row r="8424" hidden="1">
      <c r="A8424" s="181"/>
      <c r="B8424" s="182"/>
      <c r="C8424" s="183"/>
      <c r="E8424" s="184"/>
      <c r="L8424" s="129"/>
    </row>
    <row r="8425" hidden="1">
      <c r="A8425" s="181"/>
      <c r="B8425" s="182"/>
      <c r="C8425" s="183"/>
      <c r="E8425" s="184"/>
      <c r="L8425" s="129"/>
    </row>
    <row r="8426" hidden="1">
      <c r="A8426" s="181"/>
      <c r="B8426" s="182"/>
      <c r="C8426" s="183"/>
      <c r="E8426" s="184"/>
      <c r="L8426" s="129"/>
    </row>
    <row r="8427" hidden="1">
      <c r="A8427" s="181"/>
      <c r="B8427" s="182"/>
      <c r="C8427" s="183"/>
      <c r="E8427" s="184"/>
      <c r="L8427" s="129"/>
    </row>
    <row r="8428" hidden="1">
      <c r="A8428" s="181"/>
      <c r="B8428" s="182"/>
      <c r="C8428" s="183"/>
      <c r="E8428" s="184"/>
      <c r="L8428" s="129"/>
    </row>
    <row r="8429" hidden="1">
      <c r="A8429" s="181"/>
      <c r="B8429" s="182"/>
      <c r="C8429" s="183"/>
      <c r="E8429" s="184"/>
      <c r="L8429" s="129"/>
    </row>
    <row r="8430" hidden="1">
      <c r="A8430" s="181"/>
      <c r="B8430" s="182"/>
      <c r="C8430" s="183"/>
      <c r="E8430" s="184"/>
      <c r="L8430" s="129"/>
    </row>
    <row r="8431" hidden="1">
      <c r="A8431" s="181"/>
      <c r="B8431" s="182"/>
      <c r="C8431" s="183"/>
      <c r="E8431" s="184"/>
      <c r="L8431" s="129"/>
    </row>
    <row r="8432" hidden="1">
      <c r="A8432" s="181"/>
      <c r="B8432" s="182"/>
      <c r="C8432" s="183"/>
      <c r="E8432" s="184"/>
      <c r="L8432" s="129"/>
    </row>
    <row r="8433" hidden="1">
      <c r="A8433" s="181"/>
      <c r="B8433" s="182"/>
      <c r="C8433" s="183"/>
      <c r="E8433" s="184"/>
      <c r="L8433" s="129"/>
    </row>
    <row r="8434" hidden="1">
      <c r="A8434" s="181"/>
      <c r="B8434" s="182"/>
      <c r="C8434" s="183"/>
      <c r="E8434" s="184"/>
      <c r="L8434" s="129"/>
    </row>
    <row r="8435" hidden="1">
      <c r="A8435" s="181"/>
      <c r="B8435" s="182"/>
      <c r="C8435" s="183"/>
      <c r="E8435" s="184"/>
      <c r="L8435" s="129"/>
    </row>
    <row r="8436" hidden="1">
      <c r="A8436" s="181"/>
      <c r="B8436" s="182"/>
      <c r="C8436" s="183"/>
      <c r="E8436" s="184"/>
      <c r="L8436" s="129"/>
    </row>
    <row r="8437" hidden="1">
      <c r="A8437" s="181"/>
      <c r="B8437" s="182"/>
      <c r="C8437" s="183"/>
      <c r="E8437" s="184"/>
      <c r="L8437" s="129"/>
    </row>
    <row r="8438" hidden="1">
      <c r="A8438" s="181"/>
      <c r="B8438" s="182"/>
      <c r="C8438" s="183"/>
      <c r="E8438" s="184"/>
      <c r="L8438" s="129"/>
    </row>
    <row r="8439" hidden="1">
      <c r="A8439" s="181"/>
      <c r="B8439" s="182"/>
      <c r="C8439" s="183"/>
      <c r="E8439" s="184"/>
      <c r="L8439" s="129"/>
    </row>
    <row r="8440" hidden="1">
      <c r="A8440" s="181"/>
      <c r="B8440" s="182"/>
      <c r="C8440" s="183"/>
      <c r="E8440" s="184"/>
      <c r="L8440" s="129"/>
    </row>
    <row r="8441" hidden="1">
      <c r="A8441" s="181"/>
      <c r="B8441" s="182"/>
      <c r="C8441" s="183"/>
      <c r="E8441" s="184"/>
      <c r="L8441" s="129"/>
    </row>
    <row r="8442" hidden="1">
      <c r="A8442" s="181"/>
      <c r="B8442" s="182"/>
      <c r="C8442" s="183"/>
      <c r="E8442" s="184"/>
      <c r="L8442" s="129"/>
    </row>
    <row r="8443" hidden="1">
      <c r="A8443" s="181"/>
      <c r="B8443" s="182"/>
      <c r="C8443" s="183"/>
      <c r="E8443" s="184"/>
      <c r="L8443" s="129"/>
    </row>
    <row r="8444" hidden="1">
      <c r="A8444" s="181"/>
      <c r="B8444" s="182"/>
      <c r="C8444" s="183"/>
      <c r="E8444" s="184"/>
      <c r="L8444" s="129"/>
    </row>
    <row r="8445" hidden="1">
      <c r="A8445" s="181"/>
      <c r="B8445" s="182"/>
      <c r="C8445" s="183"/>
      <c r="E8445" s="184"/>
      <c r="L8445" s="129"/>
    </row>
    <row r="8446" hidden="1">
      <c r="A8446" s="181"/>
      <c r="B8446" s="182"/>
      <c r="C8446" s="183"/>
      <c r="E8446" s="184"/>
      <c r="L8446" s="129"/>
    </row>
    <row r="8447" hidden="1">
      <c r="A8447" s="181"/>
      <c r="B8447" s="182"/>
      <c r="C8447" s="183"/>
      <c r="E8447" s="184"/>
      <c r="L8447" s="129"/>
    </row>
    <row r="8448" hidden="1">
      <c r="A8448" s="181"/>
      <c r="B8448" s="182"/>
      <c r="C8448" s="183"/>
      <c r="E8448" s="184"/>
      <c r="L8448" s="129"/>
    </row>
    <row r="8449" hidden="1">
      <c r="A8449" s="181"/>
      <c r="B8449" s="182"/>
      <c r="C8449" s="183"/>
      <c r="E8449" s="184"/>
      <c r="L8449" s="129"/>
    </row>
    <row r="8450" hidden="1">
      <c r="A8450" s="181"/>
      <c r="B8450" s="182"/>
      <c r="C8450" s="183"/>
      <c r="E8450" s="184"/>
      <c r="L8450" s="129"/>
    </row>
    <row r="8451" hidden="1">
      <c r="A8451" s="181"/>
      <c r="B8451" s="182"/>
      <c r="C8451" s="183"/>
      <c r="E8451" s="184"/>
      <c r="L8451" s="129"/>
    </row>
    <row r="8452" hidden="1">
      <c r="A8452" s="181"/>
      <c r="B8452" s="182"/>
      <c r="C8452" s="183"/>
      <c r="E8452" s="184"/>
      <c r="L8452" s="129"/>
    </row>
    <row r="8453" hidden="1">
      <c r="A8453" s="181"/>
      <c r="B8453" s="182"/>
      <c r="C8453" s="183"/>
      <c r="E8453" s="184"/>
      <c r="L8453" s="129"/>
    </row>
    <row r="8454" hidden="1">
      <c r="A8454" s="181"/>
      <c r="B8454" s="182"/>
      <c r="C8454" s="183"/>
      <c r="E8454" s="184"/>
      <c r="L8454" s="129"/>
    </row>
    <row r="8455" hidden="1">
      <c r="A8455" s="181"/>
      <c r="B8455" s="182"/>
      <c r="C8455" s="183"/>
      <c r="E8455" s="184"/>
      <c r="L8455" s="129"/>
    </row>
    <row r="8456" hidden="1">
      <c r="A8456" s="181"/>
      <c r="B8456" s="182"/>
      <c r="C8456" s="183"/>
      <c r="E8456" s="184"/>
      <c r="L8456" s="129"/>
    </row>
    <row r="8457" hidden="1">
      <c r="A8457" s="181"/>
      <c r="B8457" s="182"/>
      <c r="C8457" s="183"/>
      <c r="E8457" s="184"/>
      <c r="L8457" s="129"/>
    </row>
    <row r="8458" hidden="1">
      <c r="A8458" s="181"/>
      <c r="B8458" s="182"/>
      <c r="C8458" s="183"/>
      <c r="E8458" s="184"/>
      <c r="L8458" s="129"/>
    </row>
    <row r="8459" hidden="1">
      <c r="A8459" s="181"/>
      <c r="B8459" s="182"/>
      <c r="C8459" s="183"/>
      <c r="E8459" s="184"/>
      <c r="L8459" s="129"/>
    </row>
    <row r="8460" hidden="1">
      <c r="A8460" s="181"/>
      <c r="B8460" s="182"/>
      <c r="C8460" s="183"/>
      <c r="E8460" s="184"/>
      <c r="L8460" s="129"/>
    </row>
    <row r="8461" hidden="1">
      <c r="A8461" s="181"/>
      <c r="B8461" s="182"/>
      <c r="C8461" s="183"/>
      <c r="E8461" s="184"/>
      <c r="L8461" s="129"/>
    </row>
    <row r="8462" hidden="1">
      <c r="A8462" s="181"/>
      <c r="B8462" s="182"/>
      <c r="C8462" s="183"/>
      <c r="E8462" s="184"/>
      <c r="L8462" s="129"/>
    </row>
    <row r="8463" hidden="1">
      <c r="A8463" s="181"/>
      <c r="B8463" s="182"/>
      <c r="C8463" s="183"/>
      <c r="E8463" s="184"/>
      <c r="L8463" s="129"/>
    </row>
    <row r="8464" hidden="1">
      <c r="A8464" s="181"/>
      <c r="B8464" s="182"/>
      <c r="C8464" s="183"/>
      <c r="E8464" s="184"/>
      <c r="L8464" s="129"/>
    </row>
    <row r="8465" hidden="1">
      <c r="A8465" s="181"/>
      <c r="B8465" s="182"/>
      <c r="C8465" s="183"/>
      <c r="E8465" s="184"/>
      <c r="L8465" s="129"/>
    </row>
    <row r="8466" hidden="1">
      <c r="A8466" s="181"/>
      <c r="B8466" s="182"/>
      <c r="C8466" s="183"/>
      <c r="E8466" s="184"/>
      <c r="L8466" s="129"/>
    </row>
    <row r="8467" hidden="1">
      <c r="A8467" s="181"/>
      <c r="B8467" s="182"/>
      <c r="C8467" s="183"/>
      <c r="E8467" s="184"/>
      <c r="L8467" s="129"/>
    </row>
    <row r="8468" hidden="1">
      <c r="A8468" s="181"/>
      <c r="B8468" s="182"/>
      <c r="C8468" s="183"/>
      <c r="E8468" s="184"/>
      <c r="L8468" s="129"/>
    </row>
    <row r="8469" hidden="1">
      <c r="A8469" s="181"/>
      <c r="B8469" s="182"/>
      <c r="C8469" s="183"/>
      <c r="E8469" s="184"/>
      <c r="L8469" s="129"/>
    </row>
    <row r="8470" hidden="1">
      <c r="A8470" s="181"/>
      <c r="B8470" s="182"/>
      <c r="C8470" s="183"/>
      <c r="E8470" s="184"/>
      <c r="L8470" s="129"/>
    </row>
    <row r="8471" hidden="1">
      <c r="A8471" s="181"/>
      <c r="B8471" s="182"/>
      <c r="C8471" s="183"/>
      <c r="E8471" s="184"/>
      <c r="L8471" s="129"/>
    </row>
    <row r="8472" hidden="1">
      <c r="A8472" s="181"/>
      <c r="B8472" s="182"/>
      <c r="C8472" s="183"/>
      <c r="E8472" s="184"/>
      <c r="L8472" s="129"/>
    </row>
    <row r="8473" hidden="1">
      <c r="A8473" s="181"/>
      <c r="B8473" s="182"/>
      <c r="C8473" s="183"/>
      <c r="E8473" s="184"/>
      <c r="L8473" s="129"/>
    </row>
    <row r="8474" hidden="1">
      <c r="A8474" s="181"/>
      <c r="B8474" s="182"/>
      <c r="C8474" s="183"/>
      <c r="E8474" s="184"/>
      <c r="L8474" s="129"/>
    </row>
    <row r="8475" hidden="1">
      <c r="A8475" s="181"/>
      <c r="B8475" s="182"/>
      <c r="C8475" s="183"/>
      <c r="E8475" s="184"/>
      <c r="L8475" s="129"/>
    </row>
    <row r="8476" hidden="1">
      <c r="A8476" s="181"/>
      <c r="B8476" s="182"/>
      <c r="C8476" s="183"/>
      <c r="E8476" s="184"/>
      <c r="L8476" s="129"/>
    </row>
    <row r="8477" hidden="1">
      <c r="A8477" s="181"/>
      <c r="B8477" s="182"/>
      <c r="C8477" s="183"/>
      <c r="E8477" s="184"/>
      <c r="L8477" s="129"/>
    </row>
    <row r="8478" hidden="1">
      <c r="A8478" s="181"/>
      <c r="B8478" s="182"/>
      <c r="C8478" s="183"/>
      <c r="E8478" s="184"/>
      <c r="L8478" s="129"/>
    </row>
    <row r="8479" hidden="1">
      <c r="A8479" s="181"/>
      <c r="B8479" s="182"/>
      <c r="C8479" s="183"/>
      <c r="E8479" s="184"/>
      <c r="L8479" s="129"/>
    </row>
    <row r="8480" hidden="1">
      <c r="A8480" s="181"/>
      <c r="B8480" s="182"/>
      <c r="C8480" s="183"/>
      <c r="E8480" s="184"/>
      <c r="L8480" s="129"/>
    </row>
    <row r="8481" hidden="1">
      <c r="A8481" s="181"/>
      <c r="B8481" s="182"/>
      <c r="C8481" s="183"/>
      <c r="E8481" s="184"/>
      <c r="L8481" s="129"/>
    </row>
    <row r="8482" hidden="1">
      <c r="A8482" s="181"/>
      <c r="B8482" s="182"/>
      <c r="C8482" s="183"/>
      <c r="E8482" s="184"/>
      <c r="L8482" s="129"/>
    </row>
    <row r="8483" hidden="1">
      <c r="A8483" s="181"/>
      <c r="B8483" s="182"/>
      <c r="C8483" s="183"/>
      <c r="E8483" s="184"/>
      <c r="L8483" s="129"/>
    </row>
    <row r="8484" hidden="1">
      <c r="A8484" s="181"/>
      <c r="B8484" s="182"/>
      <c r="C8484" s="183"/>
      <c r="E8484" s="184"/>
      <c r="L8484" s="129"/>
    </row>
    <row r="8485" hidden="1">
      <c r="A8485" s="181"/>
      <c r="B8485" s="182"/>
      <c r="C8485" s="183"/>
      <c r="E8485" s="184"/>
      <c r="L8485" s="129"/>
    </row>
    <row r="8486" hidden="1">
      <c r="A8486" s="181"/>
      <c r="B8486" s="182"/>
      <c r="C8486" s="183"/>
      <c r="E8486" s="184"/>
      <c r="L8486" s="129"/>
    </row>
    <row r="8487" hidden="1">
      <c r="A8487" s="181"/>
      <c r="B8487" s="182"/>
      <c r="C8487" s="183"/>
      <c r="E8487" s="184"/>
      <c r="L8487" s="129"/>
    </row>
    <row r="8488" hidden="1">
      <c r="A8488" s="181"/>
      <c r="B8488" s="182"/>
      <c r="C8488" s="183"/>
      <c r="E8488" s="184"/>
      <c r="L8488" s="129"/>
    </row>
    <row r="8489" hidden="1">
      <c r="A8489" s="181"/>
      <c r="B8489" s="182"/>
      <c r="C8489" s="183"/>
      <c r="E8489" s="184"/>
      <c r="L8489" s="129"/>
    </row>
    <row r="8490" hidden="1">
      <c r="A8490" s="181"/>
      <c r="B8490" s="182"/>
      <c r="C8490" s="183"/>
      <c r="E8490" s="184"/>
      <c r="L8490" s="129"/>
    </row>
    <row r="8491" hidden="1">
      <c r="A8491" s="181"/>
      <c r="B8491" s="182"/>
      <c r="C8491" s="183"/>
      <c r="E8491" s="184"/>
      <c r="L8491" s="129"/>
    </row>
    <row r="8492" hidden="1">
      <c r="A8492" s="181"/>
      <c r="B8492" s="182"/>
      <c r="C8492" s="183"/>
      <c r="E8492" s="184"/>
      <c r="L8492" s="129"/>
    </row>
    <row r="8493" hidden="1">
      <c r="A8493" s="181"/>
      <c r="B8493" s="182"/>
      <c r="C8493" s="183"/>
      <c r="E8493" s="184"/>
      <c r="L8493" s="129"/>
    </row>
    <row r="8494" hidden="1">
      <c r="A8494" s="181"/>
      <c r="B8494" s="182"/>
      <c r="C8494" s="183"/>
      <c r="E8494" s="184"/>
      <c r="L8494" s="129"/>
    </row>
    <row r="8495" hidden="1">
      <c r="A8495" s="181"/>
      <c r="B8495" s="182"/>
      <c r="C8495" s="183"/>
      <c r="E8495" s="184"/>
      <c r="L8495" s="129"/>
    </row>
    <row r="8496" hidden="1">
      <c r="A8496" s="181"/>
      <c r="B8496" s="182"/>
      <c r="C8496" s="183"/>
      <c r="E8496" s="184"/>
      <c r="L8496" s="129"/>
    </row>
    <row r="8497" hidden="1">
      <c r="A8497" s="181"/>
      <c r="B8497" s="182"/>
      <c r="C8497" s="183"/>
      <c r="E8497" s="184"/>
      <c r="L8497" s="129"/>
    </row>
    <row r="8498" hidden="1">
      <c r="A8498" s="181"/>
      <c r="B8498" s="182"/>
      <c r="C8498" s="183"/>
      <c r="E8498" s="184"/>
      <c r="L8498" s="129"/>
    </row>
    <row r="8499" hidden="1">
      <c r="A8499" s="181"/>
      <c r="B8499" s="182"/>
      <c r="C8499" s="183"/>
      <c r="E8499" s="184"/>
      <c r="L8499" s="129"/>
    </row>
    <row r="8500" hidden="1">
      <c r="A8500" s="181"/>
      <c r="B8500" s="182"/>
      <c r="C8500" s="183"/>
      <c r="E8500" s="184"/>
      <c r="L8500" s="129"/>
    </row>
    <row r="8501" hidden="1">
      <c r="A8501" s="181"/>
      <c r="B8501" s="182"/>
      <c r="C8501" s="183"/>
      <c r="E8501" s="184"/>
      <c r="L8501" s="129"/>
    </row>
    <row r="8502" hidden="1">
      <c r="A8502" s="181"/>
      <c r="B8502" s="182"/>
      <c r="C8502" s="183"/>
      <c r="E8502" s="184"/>
      <c r="L8502" s="129"/>
    </row>
    <row r="8503" hidden="1">
      <c r="A8503" s="181"/>
      <c r="B8503" s="182"/>
      <c r="C8503" s="183"/>
      <c r="E8503" s="184"/>
      <c r="L8503" s="129"/>
    </row>
    <row r="8504" hidden="1">
      <c r="A8504" s="181"/>
      <c r="B8504" s="182"/>
      <c r="C8504" s="183"/>
      <c r="E8504" s="184"/>
      <c r="L8504" s="129"/>
    </row>
    <row r="8505" hidden="1">
      <c r="A8505" s="181"/>
      <c r="B8505" s="182"/>
      <c r="C8505" s="183"/>
      <c r="E8505" s="184"/>
      <c r="L8505" s="129"/>
    </row>
    <row r="8506" hidden="1">
      <c r="A8506" s="181"/>
      <c r="B8506" s="182"/>
      <c r="C8506" s="183"/>
      <c r="E8506" s="184"/>
      <c r="L8506" s="129"/>
    </row>
    <row r="8507" hidden="1">
      <c r="A8507" s="181"/>
      <c r="B8507" s="182"/>
      <c r="C8507" s="183"/>
      <c r="E8507" s="184"/>
      <c r="L8507" s="129"/>
    </row>
    <row r="8508" hidden="1">
      <c r="A8508" s="181"/>
      <c r="B8508" s="182"/>
      <c r="C8508" s="183"/>
      <c r="E8508" s="184"/>
      <c r="L8508" s="129"/>
    </row>
    <row r="8509" hidden="1">
      <c r="A8509" s="181"/>
      <c r="B8509" s="182"/>
      <c r="C8509" s="183"/>
      <c r="E8509" s="184"/>
      <c r="L8509" s="129"/>
    </row>
    <row r="8510" hidden="1">
      <c r="A8510" s="181"/>
      <c r="B8510" s="182"/>
      <c r="C8510" s="183"/>
      <c r="E8510" s="184"/>
      <c r="L8510" s="129"/>
    </row>
    <row r="8511" hidden="1">
      <c r="A8511" s="181"/>
      <c r="B8511" s="182"/>
      <c r="C8511" s="183"/>
      <c r="E8511" s="184"/>
      <c r="L8511" s="129"/>
    </row>
    <row r="8512" hidden="1">
      <c r="A8512" s="181"/>
      <c r="B8512" s="182"/>
      <c r="C8512" s="183"/>
      <c r="E8512" s="184"/>
      <c r="L8512" s="129"/>
    </row>
    <row r="8513" hidden="1">
      <c r="A8513" s="181"/>
      <c r="B8513" s="182"/>
      <c r="C8513" s="183"/>
      <c r="E8513" s="184"/>
      <c r="L8513" s="129"/>
    </row>
    <row r="8514" hidden="1">
      <c r="A8514" s="181"/>
      <c r="B8514" s="182"/>
      <c r="C8514" s="183"/>
      <c r="E8514" s="184"/>
      <c r="L8514" s="129"/>
    </row>
    <row r="8515" hidden="1">
      <c r="A8515" s="181"/>
      <c r="B8515" s="182"/>
      <c r="C8515" s="183"/>
      <c r="E8515" s="184"/>
      <c r="L8515" s="129"/>
    </row>
    <row r="8516" hidden="1">
      <c r="A8516" s="181"/>
      <c r="B8516" s="182"/>
      <c r="C8516" s="183"/>
      <c r="E8516" s="184"/>
      <c r="L8516" s="129"/>
    </row>
    <row r="8517" hidden="1">
      <c r="A8517" s="181"/>
      <c r="B8517" s="182"/>
      <c r="C8517" s="183"/>
      <c r="E8517" s="184"/>
      <c r="L8517" s="129"/>
    </row>
    <row r="8518" hidden="1">
      <c r="A8518" s="181"/>
      <c r="B8518" s="182"/>
      <c r="C8518" s="183"/>
      <c r="E8518" s="184"/>
      <c r="L8518" s="129"/>
    </row>
    <row r="8519" hidden="1">
      <c r="A8519" s="181"/>
      <c r="B8519" s="182"/>
      <c r="C8519" s="183"/>
      <c r="E8519" s="184"/>
      <c r="L8519" s="129"/>
    </row>
    <row r="8520" hidden="1">
      <c r="A8520" s="181"/>
      <c r="B8520" s="182"/>
      <c r="C8520" s="183"/>
      <c r="E8520" s="184"/>
      <c r="L8520" s="129"/>
    </row>
    <row r="8521" hidden="1">
      <c r="A8521" s="181"/>
      <c r="B8521" s="182"/>
      <c r="C8521" s="183"/>
      <c r="E8521" s="184"/>
      <c r="L8521" s="129"/>
    </row>
    <row r="8522" hidden="1">
      <c r="A8522" s="181"/>
      <c r="B8522" s="182"/>
      <c r="C8522" s="183"/>
      <c r="E8522" s="184"/>
      <c r="L8522" s="129"/>
    </row>
    <row r="8523" hidden="1">
      <c r="A8523" s="181"/>
      <c r="B8523" s="182"/>
      <c r="C8523" s="183"/>
      <c r="E8523" s="184"/>
      <c r="L8523" s="129"/>
    </row>
    <row r="8524" hidden="1">
      <c r="A8524" s="181"/>
      <c r="B8524" s="182"/>
      <c r="C8524" s="183"/>
      <c r="E8524" s="184"/>
      <c r="L8524" s="129"/>
    </row>
    <row r="8525" hidden="1">
      <c r="A8525" s="181"/>
      <c r="B8525" s="182"/>
      <c r="C8525" s="183"/>
      <c r="E8525" s="184"/>
      <c r="L8525" s="129"/>
    </row>
    <row r="8526" hidden="1">
      <c r="A8526" s="181"/>
      <c r="B8526" s="182"/>
      <c r="C8526" s="183"/>
      <c r="E8526" s="184"/>
      <c r="L8526" s="129"/>
    </row>
    <row r="8527" hidden="1">
      <c r="A8527" s="181"/>
      <c r="B8527" s="182"/>
      <c r="C8527" s="183"/>
      <c r="E8527" s="184"/>
      <c r="L8527" s="129"/>
    </row>
    <row r="8528" hidden="1">
      <c r="A8528" s="181"/>
      <c r="B8528" s="182"/>
      <c r="C8528" s="183"/>
      <c r="E8528" s="184"/>
      <c r="L8528" s="129"/>
    </row>
    <row r="8529" hidden="1">
      <c r="A8529" s="181"/>
      <c r="B8529" s="182"/>
      <c r="C8529" s="183"/>
      <c r="E8529" s="184"/>
      <c r="L8529" s="129"/>
    </row>
    <row r="8530" hidden="1">
      <c r="A8530" s="181"/>
      <c r="B8530" s="182"/>
      <c r="C8530" s="183"/>
      <c r="E8530" s="184"/>
      <c r="L8530" s="129"/>
    </row>
    <row r="8531" hidden="1">
      <c r="A8531" s="181"/>
      <c r="B8531" s="182"/>
      <c r="C8531" s="183"/>
      <c r="E8531" s="184"/>
      <c r="L8531" s="129"/>
    </row>
    <row r="8532" hidden="1">
      <c r="A8532" s="181"/>
      <c r="B8532" s="182"/>
      <c r="C8532" s="183"/>
      <c r="E8532" s="184"/>
      <c r="L8532" s="129"/>
    </row>
    <row r="8533" hidden="1">
      <c r="A8533" s="181"/>
      <c r="B8533" s="182"/>
      <c r="C8533" s="183"/>
      <c r="E8533" s="184"/>
      <c r="L8533" s="129"/>
    </row>
    <row r="8534" hidden="1">
      <c r="A8534" s="181"/>
      <c r="B8534" s="182"/>
      <c r="C8534" s="183"/>
      <c r="E8534" s="184"/>
      <c r="L8534" s="129"/>
    </row>
    <row r="8535" hidden="1">
      <c r="A8535" s="181"/>
      <c r="B8535" s="182"/>
      <c r="C8535" s="183"/>
      <c r="E8535" s="184"/>
      <c r="L8535" s="129"/>
    </row>
    <row r="8536" hidden="1">
      <c r="A8536" s="181"/>
      <c r="B8536" s="182"/>
      <c r="C8536" s="183"/>
      <c r="E8536" s="184"/>
      <c r="L8536" s="129"/>
    </row>
    <row r="8537" hidden="1">
      <c r="A8537" s="181"/>
      <c r="B8537" s="182"/>
      <c r="C8537" s="183"/>
      <c r="E8537" s="184"/>
      <c r="L8537" s="129"/>
    </row>
    <row r="8538" hidden="1">
      <c r="A8538" s="181"/>
      <c r="B8538" s="182"/>
      <c r="C8538" s="183"/>
      <c r="E8538" s="184"/>
      <c r="L8538" s="129"/>
    </row>
    <row r="8539" hidden="1">
      <c r="A8539" s="181"/>
      <c r="B8539" s="182"/>
      <c r="C8539" s="183"/>
      <c r="E8539" s="184"/>
      <c r="L8539" s="129"/>
    </row>
    <row r="8540" hidden="1">
      <c r="A8540" s="181"/>
      <c r="B8540" s="182"/>
      <c r="C8540" s="183"/>
      <c r="E8540" s="184"/>
      <c r="L8540" s="129"/>
    </row>
    <row r="8541" hidden="1">
      <c r="A8541" s="181"/>
      <c r="B8541" s="182"/>
      <c r="C8541" s="183"/>
      <c r="E8541" s="184"/>
      <c r="L8541" s="129"/>
    </row>
    <row r="8542" hidden="1">
      <c r="A8542" s="181"/>
      <c r="B8542" s="182"/>
      <c r="C8542" s="183"/>
      <c r="E8542" s="184"/>
      <c r="L8542" s="129"/>
    </row>
    <row r="8543" hidden="1">
      <c r="A8543" s="181"/>
      <c r="B8543" s="182"/>
      <c r="C8543" s="183"/>
      <c r="E8543" s="184"/>
      <c r="L8543" s="129"/>
    </row>
    <row r="8544" hidden="1">
      <c r="A8544" s="181"/>
      <c r="B8544" s="182"/>
      <c r="C8544" s="183"/>
      <c r="E8544" s="184"/>
      <c r="L8544" s="129"/>
    </row>
    <row r="8545" hidden="1">
      <c r="A8545" s="181"/>
      <c r="B8545" s="182"/>
      <c r="C8545" s="183"/>
      <c r="E8545" s="184"/>
      <c r="L8545" s="129"/>
    </row>
    <row r="8546" hidden="1">
      <c r="A8546" s="181"/>
      <c r="B8546" s="182"/>
      <c r="C8546" s="183"/>
      <c r="E8546" s="184"/>
      <c r="L8546" s="129"/>
    </row>
    <row r="8547" hidden="1">
      <c r="A8547" s="181"/>
      <c r="B8547" s="182"/>
      <c r="C8547" s="183"/>
      <c r="E8547" s="184"/>
      <c r="L8547" s="129"/>
    </row>
    <row r="8548" hidden="1">
      <c r="A8548" s="181"/>
      <c r="B8548" s="182"/>
      <c r="C8548" s="183"/>
      <c r="E8548" s="184"/>
      <c r="L8548" s="129"/>
    </row>
    <row r="8549" hidden="1">
      <c r="A8549" s="181"/>
      <c r="B8549" s="182"/>
      <c r="C8549" s="183"/>
      <c r="E8549" s="184"/>
      <c r="L8549" s="129"/>
    </row>
    <row r="8550" hidden="1">
      <c r="A8550" s="181"/>
      <c r="B8550" s="182"/>
      <c r="C8550" s="183"/>
      <c r="E8550" s="184"/>
      <c r="L8550" s="129"/>
    </row>
    <row r="8551" hidden="1">
      <c r="A8551" s="181"/>
      <c r="B8551" s="182"/>
      <c r="C8551" s="183"/>
      <c r="E8551" s="184"/>
      <c r="L8551" s="129"/>
    </row>
    <row r="8552" hidden="1">
      <c r="A8552" s="181"/>
      <c r="B8552" s="182"/>
      <c r="C8552" s="183"/>
      <c r="E8552" s="184"/>
      <c r="L8552" s="129"/>
    </row>
    <row r="8553" hidden="1">
      <c r="A8553" s="181"/>
      <c r="B8553" s="182"/>
      <c r="C8553" s="183"/>
      <c r="E8553" s="184"/>
      <c r="L8553" s="129"/>
    </row>
    <row r="8554" hidden="1">
      <c r="A8554" s="181"/>
      <c r="B8554" s="182"/>
      <c r="C8554" s="183"/>
      <c r="E8554" s="184"/>
      <c r="L8554" s="129"/>
    </row>
    <row r="8555" hidden="1">
      <c r="A8555" s="181"/>
      <c r="B8555" s="182"/>
      <c r="C8555" s="183"/>
      <c r="E8555" s="184"/>
      <c r="L8555" s="129"/>
    </row>
    <row r="8556" hidden="1">
      <c r="A8556" s="181"/>
      <c r="B8556" s="182"/>
      <c r="C8556" s="183"/>
      <c r="E8556" s="184"/>
      <c r="L8556" s="129"/>
    </row>
    <row r="8557" hidden="1">
      <c r="A8557" s="181"/>
      <c r="B8557" s="182"/>
      <c r="C8557" s="183"/>
      <c r="E8557" s="184"/>
      <c r="L8557" s="129"/>
    </row>
    <row r="8558" hidden="1">
      <c r="A8558" s="181"/>
      <c r="B8558" s="182"/>
      <c r="C8558" s="183"/>
      <c r="E8558" s="184"/>
      <c r="L8558" s="129"/>
    </row>
    <row r="8559" hidden="1">
      <c r="A8559" s="181"/>
      <c r="B8559" s="182"/>
      <c r="C8559" s="183"/>
      <c r="E8559" s="184"/>
      <c r="L8559" s="129"/>
    </row>
    <row r="8560" hidden="1">
      <c r="A8560" s="181"/>
      <c r="B8560" s="182"/>
      <c r="C8560" s="183"/>
      <c r="E8560" s="184"/>
      <c r="L8560" s="129"/>
    </row>
    <row r="8561" hidden="1">
      <c r="A8561" s="181"/>
      <c r="B8561" s="182"/>
      <c r="C8561" s="183"/>
      <c r="E8561" s="184"/>
      <c r="L8561" s="129"/>
    </row>
    <row r="8562" hidden="1">
      <c r="A8562" s="181"/>
      <c r="B8562" s="182"/>
      <c r="C8562" s="183"/>
      <c r="E8562" s="184"/>
      <c r="L8562" s="129"/>
    </row>
    <row r="8563" hidden="1">
      <c r="A8563" s="181"/>
      <c r="B8563" s="182"/>
      <c r="C8563" s="183"/>
      <c r="E8563" s="184"/>
      <c r="L8563" s="129"/>
    </row>
    <row r="8564" hidden="1">
      <c r="A8564" s="181"/>
      <c r="B8564" s="182"/>
      <c r="C8564" s="183"/>
      <c r="E8564" s="184"/>
      <c r="L8564" s="129"/>
    </row>
    <row r="8565" hidden="1">
      <c r="A8565" s="181"/>
      <c r="B8565" s="182"/>
      <c r="C8565" s="183"/>
      <c r="E8565" s="184"/>
      <c r="L8565" s="129"/>
    </row>
    <row r="8566" hidden="1">
      <c r="A8566" s="181"/>
      <c r="B8566" s="182"/>
      <c r="C8566" s="183"/>
      <c r="E8566" s="184"/>
      <c r="L8566" s="129"/>
    </row>
    <row r="8567" hidden="1">
      <c r="A8567" s="181"/>
      <c r="B8567" s="182"/>
      <c r="C8567" s="183"/>
      <c r="E8567" s="184"/>
      <c r="L8567" s="129"/>
    </row>
    <row r="8568" hidden="1">
      <c r="A8568" s="181"/>
      <c r="B8568" s="182"/>
      <c r="C8568" s="183"/>
      <c r="E8568" s="184"/>
      <c r="L8568" s="129"/>
    </row>
    <row r="8569" hidden="1">
      <c r="A8569" s="181"/>
      <c r="B8569" s="182"/>
      <c r="C8569" s="183"/>
      <c r="E8569" s="184"/>
      <c r="L8569" s="129"/>
    </row>
    <row r="8570" hidden="1">
      <c r="A8570" s="181"/>
      <c r="B8570" s="182"/>
      <c r="C8570" s="183"/>
      <c r="E8570" s="184"/>
      <c r="L8570" s="129"/>
    </row>
    <row r="8571" hidden="1">
      <c r="A8571" s="181"/>
      <c r="B8571" s="182"/>
      <c r="C8571" s="183"/>
      <c r="E8571" s="184"/>
      <c r="L8571" s="129"/>
    </row>
    <row r="8572" hidden="1">
      <c r="A8572" s="181"/>
      <c r="B8572" s="182"/>
      <c r="C8572" s="183"/>
      <c r="E8572" s="184"/>
      <c r="L8572" s="129"/>
    </row>
    <row r="8573" hidden="1">
      <c r="A8573" s="181"/>
      <c r="B8573" s="182"/>
      <c r="C8573" s="183"/>
      <c r="E8573" s="184"/>
      <c r="L8573" s="129"/>
    </row>
    <row r="8574" hidden="1">
      <c r="A8574" s="181"/>
      <c r="B8574" s="182"/>
      <c r="C8574" s="183"/>
      <c r="E8574" s="184"/>
      <c r="L8574" s="129"/>
    </row>
    <row r="8575">
      <c r="A8575" s="181"/>
      <c r="B8575" s="182"/>
      <c r="C8575" s="183"/>
      <c r="E8575" s="184"/>
      <c r="L8575" s="129"/>
    </row>
    <row r="8576">
      <c r="A8576" s="181"/>
      <c r="B8576" s="182"/>
      <c r="C8576" s="183"/>
      <c r="E8576" s="184"/>
      <c r="L8576" s="129"/>
    </row>
    <row r="8577">
      <c r="A8577" s="181"/>
      <c r="B8577" s="182"/>
      <c r="C8577" s="183"/>
      <c r="E8577" s="184"/>
      <c r="L8577" s="129"/>
    </row>
    <row r="8578">
      <c r="A8578" s="181"/>
      <c r="B8578" s="182"/>
      <c r="C8578" s="183"/>
      <c r="E8578" s="184"/>
      <c r="L8578" s="129"/>
    </row>
    <row r="8579">
      <c r="A8579" s="181"/>
      <c r="B8579" s="182"/>
      <c r="C8579" s="183"/>
      <c r="E8579" s="184"/>
      <c r="L8579" s="129"/>
    </row>
    <row r="8580">
      <c r="A8580" s="181"/>
      <c r="B8580" s="182"/>
      <c r="C8580" s="183"/>
      <c r="E8580" s="184"/>
      <c r="L8580" s="129"/>
    </row>
    <row r="8581">
      <c r="A8581" s="181"/>
      <c r="B8581" s="182"/>
      <c r="C8581" s="183"/>
      <c r="E8581" s="184"/>
      <c r="L8581" s="129"/>
    </row>
    <row r="8582">
      <c r="A8582" s="181"/>
      <c r="B8582" s="182"/>
      <c r="C8582" s="183"/>
      <c r="E8582" s="184"/>
      <c r="L8582" s="129"/>
    </row>
    <row r="8583">
      <c r="A8583" s="181"/>
      <c r="B8583" s="182"/>
      <c r="C8583" s="183"/>
      <c r="E8583" s="184"/>
      <c r="L8583" s="129"/>
    </row>
    <row r="8584">
      <c r="A8584" s="181"/>
      <c r="B8584" s="182"/>
      <c r="C8584" s="183"/>
      <c r="E8584" s="184"/>
      <c r="L8584" s="129"/>
    </row>
    <row r="8585">
      <c r="A8585" s="181"/>
      <c r="B8585" s="182"/>
      <c r="C8585" s="183"/>
      <c r="E8585" s="184"/>
      <c r="L8585" s="129"/>
    </row>
    <row r="8586">
      <c r="A8586" s="181"/>
      <c r="B8586" s="182"/>
      <c r="C8586" s="183"/>
      <c r="E8586" s="184"/>
      <c r="L8586" s="129"/>
    </row>
    <row r="8587">
      <c r="A8587" s="181"/>
      <c r="B8587" s="182"/>
      <c r="C8587" s="183"/>
      <c r="E8587" s="184"/>
      <c r="L8587" s="129"/>
    </row>
    <row r="8588">
      <c r="A8588" s="181"/>
      <c r="B8588" s="182"/>
      <c r="C8588" s="183"/>
      <c r="E8588" s="184"/>
      <c r="L8588" s="129"/>
    </row>
    <row r="8589">
      <c r="A8589" s="181"/>
      <c r="B8589" s="182"/>
      <c r="C8589" s="183"/>
      <c r="E8589" s="184"/>
      <c r="L8589" s="129"/>
    </row>
    <row r="8590">
      <c r="A8590" s="181"/>
      <c r="B8590" s="182"/>
      <c r="C8590" s="183"/>
      <c r="E8590" s="184"/>
      <c r="L8590" s="129"/>
    </row>
    <row r="8591">
      <c r="A8591" s="181"/>
      <c r="B8591" s="182"/>
      <c r="C8591" s="183"/>
      <c r="E8591" s="184"/>
      <c r="L8591" s="129"/>
    </row>
    <row r="8592">
      <c r="A8592" s="181"/>
      <c r="B8592" s="182"/>
      <c r="C8592" s="183"/>
      <c r="E8592" s="184"/>
      <c r="L8592" s="129"/>
    </row>
    <row r="8593">
      <c r="A8593" s="181"/>
      <c r="B8593" s="182"/>
      <c r="C8593" s="183"/>
      <c r="E8593" s="184"/>
      <c r="L8593" s="129"/>
    </row>
    <row r="8594">
      <c r="A8594" s="181"/>
      <c r="B8594" s="182"/>
      <c r="C8594" s="183"/>
      <c r="E8594" s="184"/>
      <c r="L8594" s="129"/>
    </row>
    <row r="8595">
      <c r="A8595" s="181"/>
      <c r="B8595" s="182"/>
      <c r="C8595" s="183"/>
      <c r="E8595" s="184"/>
      <c r="L8595" s="129"/>
    </row>
    <row r="8596">
      <c r="A8596" s="181"/>
      <c r="B8596" s="182"/>
      <c r="C8596" s="183"/>
      <c r="E8596" s="184"/>
      <c r="L8596" s="129"/>
    </row>
    <row r="8597">
      <c r="A8597" s="181"/>
      <c r="B8597" s="182"/>
      <c r="C8597" s="183"/>
      <c r="E8597" s="184"/>
      <c r="L8597" s="129"/>
    </row>
    <row r="8598">
      <c r="A8598" s="181"/>
      <c r="B8598" s="182"/>
      <c r="C8598" s="183"/>
      <c r="E8598" s="184"/>
      <c r="L8598" s="129"/>
    </row>
    <row r="8599">
      <c r="A8599" s="181"/>
      <c r="B8599" s="182"/>
      <c r="C8599" s="183"/>
      <c r="E8599" s="184"/>
      <c r="L8599" s="129"/>
    </row>
    <row r="8600">
      <c r="A8600" s="181"/>
      <c r="B8600" s="182"/>
      <c r="C8600" s="183"/>
      <c r="E8600" s="184"/>
      <c r="L8600" s="129"/>
    </row>
    <row r="8601">
      <c r="A8601" s="181"/>
      <c r="B8601" s="182"/>
      <c r="C8601" s="183"/>
      <c r="E8601" s="184"/>
      <c r="L8601" s="129"/>
    </row>
    <row r="8602">
      <c r="A8602" s="181"/>
      <c r="B8602" s="182"/>
      <c r="C8602" s="183"/>
      <c r="E8602" s="184"/>
      <c r="L8602" s="129"/>
    </row>
    <row r="8603">
      <c r="A8603" s="181"/>
      <c r="B8603" s="182"/>
      <c r="C8603" s="183"/>
      <c r="E8603" s="184"/>
      <c r="L8603" s="129"/>
    </row>
    <row r="8604">
      <c r="A8604" s="181"/>
      <c r="B8604" s="182"/>
      <c r="C8604" s="183"/>
      <c r="E8604" s="184"/>
      <c r="L8604" s="129"/>
    </row>
    <row r="8605">
      <c r="A8605" s="181"/>
      <c r="B8605" s="182"/>
      <c r="C8605" s="183"/>
      <c r="E8605" s="184"/>
      <c r="L8605" s="129"/>
    </row>
    <row r="8606">
      <c r="A8606" s="181"/>
      <c r="B8606" s="182"/>
      <c r="C8606" s="183"/>
      <c r="E8606" s="184"/>
      <c r="L8606" s="129"/>
    </row>
    <row r="8607">
      <c r="A8607" s="181"/>
      <c r="B8607" s="182"/>
      <c r="C8607" s="183"/>
      <c r="E8607" s="184"/>
      <c r="L8607" s="129"/>
    </row>
    <row r="8608">
      <c r="A8608" s="181"/>
      <c r="B8608" s="182"/>
      <c r="C8608" s="183"/>
      <c r="E8608" s="184"/>
      <c r="L8608" s="129"/>
    </row>
    <row r="8609">
      <c r="A8609" s="181"/>
      <c r="B8609" s="182"/>
      <c r="C8609" s="183"/>
      <c r="E8609" s="184"/>
      <c r="L8609" s="129"/>
    </row>
    <row r="8610">
      <c r="A8610" s="181"/>
      <c r="B8610" s="182"/>
      <c r="C8610" s="183"/>
      <c r="E8610" s="184"/>
      <c r="L8610" s="129"/>
    </row>
    <row r="8611">
      <c r="A8611" s="181"/>
      <c r="B8611" s="182"/>
      <c r="C8611" s="183"/>
      <c r="E8611" s="184"/>
      <c r="L8611" s="129"/>
    </row>
    <row r="8612">
      <c r="A8612" s="181"/>
      <c r="B8612" s="182"/>
      <c r="C8612" s="183"/>
      <c r="E8612" s="184"/>
      <c r="L8612" s="129"/>
    </row>
    <row r="8613">
      <c r="A8613" s="181"/>
      <c r="B8613" s="182"/>
      <c r="C8613" s="183"/>
      <c r="E8613" s="184"/>
      <c r="L8613" s="129"/>
    </row>
    <row r="8614">
      <c r="A8614" s="181"/>
      <c r="B8614" s="182"/>
      <c r="C8614" s="183"/>
      <c r="E8614" s="184"/>
      <c r="L8614" s="129"/>
    </row>
    <row r="8615">
      <c r="A8615" s="181"/>
      <c r="B8615" s="182"/>
      <c r="C8615" s="183"/>
      <c r="E8615" s="184"/>
      <c r="L8615" s="129"/>
    </row>
    <row r="8616">
      <c r="A8616" s="181"/>
      <c r="B8616" s="182"/>
      <c r="C8616" s="183"/>
      <c r="E8616" s="184"/>
      <c r="L8616" s="129"/>
    </row>
    <row r="8617">
      <c r="A8617" s="181"/>
      <c r="B8617" s="182"/>
      <c r="C8617" s="183"/>
      <c r="E8617" s="184"/>
      <c r="L8617" s="129"/>
    </row>
    <row r="8618">
      <c r="A8618" s="181"/>
      <c r="B8618" s="182"/>
      <c r="C8618" s="183"/>
      <c r="E8618" s="184"/>
      <c r="L8618" s="129"/>
    </row>
    <row r="8619">
      <c r="A8619" s="181"/>
      <c r="B8619" s="182"/>
      <c r="C8619" s="183"/>
      <c r="E8619" s="184"/>
      <c r="L8619" s="129"/>
    </row>
    <row r="8620">
      <c r="A8620" s="181"/>
      <c r="B8620" s="182"/>
      <c r="C8620" s="183"/>
      <c r="E8620" s="184"/>
      <c r="L8620" s="129"/>
    </row>
    <row r="8621">
      <c r="A8621" s="181"/>
      <c r="B8621" s="182"/>
      <c r="C8621" s="183"/>
      <c r="E8621" s="184"/>
      <c r="L8621" s="129"/>
    </row>
    <row r="8622">
      <c r="A8622" s="181"/>
      <c r="B8622" s="182"/>
      <c r="C8622" s="183"/>
      <c r="E8622" s="184"/>
      <c r="L8622" s="129"/>
    </row>
    <row r="8623">
      <c r="A8623" s="181"/>
      <c r="B8623" s="182"/>
      <c r="C8623" s="183"/>
      <c r="E8623" s="184"/>
      <c r="L8623" s="129"/>
    </row>
    <row r="8624">
      <c r="A8624" s="181"/>
      <c r="B8624" s="182"/>
      <c r="C8624" s="183"/>
      <c r="E8624" s="184"/>
      <c r="L8624" s="129"/>
    </row>
    <row r="8625">
      <c r="A8625" s="181"/>
      <c r="B8625" s="182"/>
      <c r="C8625" s="183"/>
      <c r="E8625" s="184"/>
      <c r="L8625" s="129"/>
    </row>
    <row r="8626">
      <c r="A8626" s="181"/>
      <c r="B8626" s="182"/>
      <c r="C8626" s="183"/>
      <c r="E8626" s="184"/>
      <c r="L8626" s="129"/>
    </row>
    <row r="8627">
      <c r="A8627" s="181"/>
      <c r="B8627" s="182"/>
      <c r="C8627" s="183"/>
      <c r="E8627" s="184"/>
      <c r="L8627" s="129"/>
    </row>
    <row r="8628">
      <c r="A8628" s="181"/>
      <c r="B8628" s="182"/>
      <c r="C8628" s="183"/>
      <c r="E8628" s="184"/>
      <c r="L8628" s="129"/>
    </row>
    <row r="8629">
      <c r="A8629" s="181"/>
      <c r="B8629" s="182"/>
      <c r="C8629" s="183"/>
      <c r="E8629" s="184"/>
      <c r="L8629" s="129"/>
    </row>
    <row r="8630">
      <c r="A8630" s="181"/>
      <c r="B8630" s="182"/>
      <c r="C8630" s="183"/>
      <c r="E8630" s="184"/>
      <c r="L8630" s="129"/>
    </row>
    <row r="8631">
      <c r="A8631" s="181"/>
      <c r="B8631" s="182"/>
      <c r="C8631" s="183"/>
      <c r="E8631" s="184"/>
      <c r="L8631" s="129"/>
    </row>
    <row r="8632">
      <c r="A8632" s="181"/>
      <c r="B8632" s="182"/>
      <c r="C8632" s="183"/>
      <c r="E8632" s="184"/>
      <c r="L8632" s="129"/>
    </row>
    <row r="8633">
      <c r="A8633" s="181"/>
      <c r="B8633" s="182"/>
      <c r="C8633" s="183"/>
      <c r="E8633" s="184"/>
      <c r="L8633" s="129"/>
    </row>
    <row r="8634">
      <c r="A8634" s="181"/>
      <c r="B8634" s="182"/>
      <c r="C8634" s="183"/>
      <c r="E8634" s="184"/>
      <c r="L8634" s="129"/>
    </row>
    <row r="8635">
      <c r="A8635" s="181"/>
      <c r="B8635" s="182"/>
      <c r="C8635" s="183"/>
      <c r="E8635" s="184"/>
      <c r="L8635" s="129"/>
    </row>
    <row r="8636">
      <c r="A8636" s="181"/>
      <c r="B8636" s="182"/>
      <c r="C8636" s="183"/>
      <c r="E8636" s="184"/>
      <c r="L8636" s="129"/>
    </row>
    <row r="8637">
      <c r="A8637" s="181"/>
      <c r="B8637" s="182"/>
      <c r="C8637" s="183"/>
      <c r="E8637" s="184"/>
      <c r="L8637" s="129"/>
    </row>
    <row r="8638">
      <c r="A8638" s="181"/>
      <c r="B8638" s="182"/>
      <c r="C8638" s="183"/>
      <c r="E8638" s="184"/>
      <c r="L8638" s="129"/>
    </row>
    <row r="8639">
      <c r="A8639" s="181"/>
      <c r="B8639" s="182"/>
      <c r="C8639" s="183"/>
      <c r="E8639" s="184"/>
      <c r="L8639" s="129"/>
    </row>
    <row r="8640">
      <c r="A8640" s="181"/>
      <c r="B8640" s="182"/>
      <c r="C8640" s="183"/>
      <c r="E8640" s="184"/>
      <c r="L8640" s="129"/>
    </row>
    <row r="8641">
      <c r="A8641" s="181"/>
      <c r="B8641" s="182"/>
      <c r="C8641" s="183"/>
      <c r="E8641" s="184"/>
      <c r="L8641" s="129"/>
    </row>
    <row r="8642">
      <c r="A8642" s="181"/>
      <c r="B8642" s="182"/>
      <c r="C8642" s="183"/>
      <c r="E8642" s="184"/>
      <c r="L8642" s="129"/>
    </row>
    <row r="8643">
      <c r="A8643" s="181"/>
      <c r="B8643" s="182"/>
      <c r="C8643" s="183"/>
      <c r="E8643" s="184"/>
      <c r="L8643" s="129"/>
    </row>
    <row r="8644">
      <c r="A8644" s="181"/>
      <c r="B8644" s="182"/>
      <c r="C8644" s="183"/>
      <c r="E8644" s="184"/>
      <c r="L8644" s="129"/>
    </row>
    <row r="8645">
      <c r="A8645" s="181"/>
      <c r="B8645" s="182"/>
      <c r="C8645" s="183"/>
      <c r="E8645" s="184"/>
      <c r="L8645" s="129"/>
    </row>
    <row r="8646">
      <c r="A8646" s="181"/>
      <c r="B8646" s="182"/>
      <c r="C8646" s="183"/>
      <c r="E8646" s="184"/>
      <c r="L8646" s="129"/>
    </row>
    <row r="8647">
      <c r="A8647" s="181"/>
      <c r="B8647" s="182"/>
      <c r="C8647" s="183"/>
      <c r="E8647" s="184"/>
      <c r="L8647" s="129"/>
    </row>
    <row r="8648">
      <c r="A8648" s="181"/>
      <c r="B8648" s="182"/>
      <c r="C8648" s="183"/>
      <c r="E8648" s="184"/>
      <c r="L8648" s="129"/>
    </row>
    <row r="8649">
      <c r="A8649" s="181"/>
      <c r="B8649" s="182"/>
      <c r="C8649" s="183"/>
      <c r="E8649" s="184"/>
      <c r="L8649" s="129"/>
    </row>
    <row r="8650">
      <c r="A8650" s="181"/>
      <c r="B8650" s="182"/>
      <c r="C8650" s="183"/>
      <c r="E8650" s="184"/>
      <c r="L8650" s="129"/>
    </row>
    <row r="8651">
      <c r="A8651" s="181"/>
      <c r="B8651" s="182"/>
      <c r="C8651" s="183"/>
      <c r="E8651" s="184"/>
      <c r="L8651" s="129"/>
    </row>
    <row r="8652">
      <c r="A8652" s="181"/>
      <c r="B8652" s="182"/>
      <c r="C8652" s="183"/>
      <c r="E8652" s="184"/>
      <c r="L8652" s="129"/>
    </row>
    <row r="8653">
      <c r="A8653" s="181"/>
      <c r="B8653" s="182"/>
      <c r="C8653" s="183"/>
      <c r="E8653" s="184"/>
      <c r="L8653" s="129"/>
    </row>
    <row r="8654">
      <c r="A8654" s="181"/>
      <c r="B8654" s="182"/>
      <c r="C8654" s="183"/>
      <c r="E8654" s="184"/>
      <c r="L8654" s="129"/>
    </row>
    <row r="8655">
      <c r="A8655" s="181"/>
      <c r="B8655" s="182"/>
      <c r="C8655" s="183"/>
      <c r="E8655" s="184"/>
      <c r="L8655" s="129"/>
    </row>
    <row r="8656">
      <c r="A8656" s="181"/>
      <c r="B8656" s="182"/>
      <c r="C8656" s="183"/>
      <c r="E8656" s="184"/>
      <c r="L8656" s="129"/>
    </row>
    <row r="8657">
      <c r="A8657" s="181"/>
      <c r="B8657" s="182"/>
      <c r="C8657" s="183"/>
      <c r="E8657" s="184"/>
      <c r="L8657" s="129"/>
    </row>
    <row r="8658">
      <c r="A8658" s="181"/>
      <c r="B8658" s="182"/>
      <c r="C8658" s="183"/>
      <c r="E8658" s="184"/>
      <c r="L8658" s="129"/>
    </row>
    <row r="8659">
      <c r="A8659" s="181"/>
      <c r="B8659" s="182"/>
      <c r="C8659" s="183"/>
      <c r="E8659" s="184"/>
      <c r="L8659" s="129"/>
    </row>
    <row r="8660">
      <c r="A8660" s="181"/>
      <c r="B8660" s="182"/>
      <c r="C8660" s="183"/>
      <c r="E8660" s="184"/>
      <c r="L8660" s="129"/>
    </row>
    <row r="8661">
      <c r="A8661" s="181"/>
      <c r="B8661" s="182"/>
      <c r="C8661" s="183"/>
      <c r="E8661" s="184"/>
      <c r="L8661" s="129"/>
    </row>
    <row r="8662">
      <c r="A8662" s="181"/>
      <c r="B8662" s="182"/>
      <c r="C8662" s="183"/>
      <c r="E8662" s="184"/>
      <c r="L8662" s="129"/>
    </row>
    <row r="8663">
      <c r="A8663" s="181"/>
      <c r="B8663" s="182"/>
      <c r="C8663" s="183"/>
      <c r="E8663" s="184"/>
      <c r="L8663" s="129"/>
    </row>
    <row r="8664">
      <c r="A8664" s="181"/>
      <c r="B8664" s="182"/>
      <c r="C8664" s="183"/>
      <c r="E8664" s="184"/>
      <c r="L8664" s="129"/>
    </row>
    <row r="8665">
      <c r="A8665" s="181"/>
      <c r="B8665" s="182"/>
      <c r="C8665" s="183"/>
      <c r="E8665" s="184"/>
      <c r="L8665" s="129"/>
    </row>
    <row r="8666">
      <c r="A8666" s="181"/>
      <c r="B8666" s="182"/>
      <c r="C8666" s="183"/>
      <c r="E8666" s="184"/>
      <c r="L8666" s="129"/>
    </row>
    <row r="8667">
      <c r="A8667" s="181"/>
      <c r="B8667" s="182"/>
      <c r="C8667" s="183"/>
      <c r="E8667" s="184"/>
      <c r="L8667" s="129"/>
    </row>
    <row r="8668">
      <c r="A8668" s="181"/>
      <c r="B8668" s="182"/>
      <c r="C8668" s="183"/>
      <c r="E8668" s="184"/>
      <c r="L8668" s="129"/>
    </row>
    <row r="8669">
      <c r="A8669" s="181"/>
      <c r="B8669" s="182"/>
      <c r="C8669" s="183"/>
      <c r="E8669" s="184"/>
      <c r="L8669" s="129"/>
    </row>
    <row r="8670">
      <c r="A8670" s="181"/>
      <c r="B8670" s="182"/>
      <c r="C8670" s="183"/>
      <c r="E8670" s="184"/>
      <c r="L8670" s="129"/>
    </row>
    <row r="8671">
      <c r="A8671" s="181"/>
      <c r="B8671" s="182"/>
      <c r="C8671" s="183"/>
      <c r="E8671" s="184"/>
      <c r="L8671" s="129"/>
    </row>
    <row r="8672">
      <c r="A8672" s="181"/>
      <c r="B8672" s="182"/>
      <c r="C8672" s="183"/>
      <c r="E8672" s="184"/>
      <c r="L8672" s="129"/>
    </row>
    <row r="8673">
      <c r="A8673" s="181"/>
      <c r="B8673" s="182"/>
      <c r="C8673" s="183"/>
      <c r="E8673" s="184"/>
      <c r="L8673" s="129"/>
    </row>
    <row r="8674">
      <c r="A8674" s="181"/>
      <c r="B8674" s="182"/>
      <c r="C8674" s="183"/>
      <c r="E8674" s="184"/>
      <c r="L8674" s="129"/>
    </row>
    <row r="8675">
      <c r="A8675" s="181"/>
      <c r="B8675" s="182"/>
      <c r="C8675" s="183"/>
      <c r="E8675" s="184"/>
      <c r="L8675" s="129"/>
    </row>
    <row r="8676">
      <c r="A8676" s="181"/>
      <c r="B8676" s="182"/>
      <c r="C8676" s="183"/>
      <c r="E8676" s="184"/>
      <c r="L8676" s="129"/>
    </row>
    <row r="8677">
      <c r="A8677" s="181"/>
      <c r="B8677" s="182"/>
      <c r="C8677" s="183"/>
      <c r="E8677" s="184"/>
      <c r="L8677" s="129"/>
    </row>
    <row r="8678">
      <c r="A8678" s="181"/>
      <c r="B8678" s="182"/>
      <c r="C8678" s="183"/>
      <c r="E8678" s="184"/>
      <c r="L8678" s="129"/>
    </row>
    <row r="8679">
      <c r="A8679" s="181"/>
      <c r="B8679" s="182"/>
      <c r="C8679" s="183"/>
      <c r="E8679" s="184"/>
      <c r="L8679" s="129"/>
    </row>
    <row r="8680">
      <c r="A8680" s="181"/>
      <c r="B8680" s="182"/>
      <c r="C8680" s="183"/>
      <c r="E8680" s="184"/>
      <c r="L8680" s="129"/>
    </row>
    <row r="8681">
      <c r="A8681" s="181"/>
      <c r="B8681" s="182"/>
      <c r="C8681" s="183"/>
      <c r="E8681" s="184"/>
      <c r="L8681" s="129"/>
    </row>
    <row r="8682">
      <c r="A8682" s="181"/>
      <c r="B8682" s="182"/>
      <c r="C8682" s="183"/>
      <c r="E8682" s="184"/>
      <c r="L8682" s="129"/>
    </row>
    <row r="8683">
      <c r="A8683" s="181"/>
      <c r="B8683" s="182"/>
      <c r="C8683" s="183"/>
      <c r="E8683" s="184"/>
      <c r="L8683" s="129"/>
    </row>
    <row r="8684">
      <c r="A8684" s="181"/>
      <c r="B8684" s="182"/>
      <c r="C8684" s="183"/>
      <c r="E8684" s="184"/>
      <c r="L8684" s="129"/>
    </row>
    <row r="8685">
      <c r="A8685" s="181"/>
      <c r="B8685" s="182"/>
      <c r="C8685" s="183"/>
      <c r="E8685" s="184"/>
      <c r="L8685" s="129"/>
    </row>
    <row r="8686">
      <c r="A8686" s="181"/>
      <c r="B8686" s="182"/>
      <c r="C8686" s="183"/>
      <c r="E8686" s="184"/>
      <c r="L8686" s="129"/>
    </row>
    <row r="8687">
      <c r="A8687" s="181"/>
      <c r="B8687" s="182"/>
      <c r="C8687" s="183"/>
      <c r="E8687" s="184"/>
      <c r="L8687" s="129"/>
    </row>
    <row r="8688">
      <c r="A8688" s="181"/>
      <c r="B8688" s="182"/>
      <c r="C8688" s="183"/>
      <c r="E8688" s="184"/>
      <c r="L8688" s="129"/>
    </row>
    <row r="8689">
      <c r="A8689" s="181"/>
      <c r="B8689" s="182"/>
      <c r="C8689" s="183"/>
      <c r="E8689" s="184"/>
      <c r="L8689" s="129"/>
    </row>
    <row r="8690">
      <c r="A8690" s="181"/>
      <c r="B8690" s="182"/>
      <c r="C8690" s="183"/>
      <c r="E8690" s="184"/>
      <c r="L8690" s="129"/>
    </row>
    <row r="8691">
      <c r="A8691" s="181"/>
      <c r="B8691" s="182"/>
      <c r="C8691" s="183"/>
      <c r="E8691" s="184"/>
      <c r="L8691" s="129"/>
    </row>
    <row r="8692">
      <c r="A8692" s="181"/>
      <c r="B8692" s="182"/>
      <c r="C8692" s="183"/>
      <c r="E8692" s="184"/>
      <c r="L8692" s="129"/>
    </row>
    <row r="8693">
      <c r="A8693" s="181"/>
      <c r="B8693" s="182"/>
      <c r="C8693" s="183"/>
      <c r="E8693" s="184"/>
      <c r="L8693" s="129"/>
    </row>
    <row r="8694">
      <c r="A8694" s="181"/>
      <c r="B8694" s="182"/>
      <c r="C8694" s="183"/>
      <c r="E8694" s="184"/>
      <c r="L8694" s="129"/>
    </row>
    <row r="8695">
      <c r="A8695" s="181"/>
      <c r="B8695" s="182"/>
      <c r="C8695" s="183"/>
      <c r="E8695" s="184"/>
      <c r="L8695" s="129"/>
    </row>
    <row r="8696">
      <c r="A8696" s="181"/>
      <c r="B8696" s="182"/>
      <c r="C8696" s="183"/>
      <c r="E8696" s="184"/>
      <c r="L8696" s="129"/>
    </row>
    <row r="8697">
      <c r="A8697" s="181"/>
      <c r="B8697" s="182"/>
      <c r="C8697" s="183"/>
      <c r="E8697" s="184"/>
      <c r="L8697" s="129"/>
    </row>
    <row r="8698">
      <c r="A8698" s="181"/>
      <c r="B8698" s="182"/>
      <c r="C8698" s="183"/>
      <c r="E8698" s="184"/>
      <c r="L8698" s="129"/>
    </row>
    <row r="8699">
      <c r="A8699" s="181"/>
      <c r="B8699" s="182"/>
      <c r="C8699" s="183"/>
      <c r="E8699" s="184"/>
      <c r="L8699" s="129"/>
    </row>
    <row r="8700">
      <c r="A8700" s="181"/>
      <c r="B8700" s="182"/>
      <c r="C8700" s="183"/>
      <c r="E8700" s="184"/>
      <c r="L8700" s="129"/>
    </row>
    <row r="8701">
      <c r="A8701" s="181"/>
      <c r="B8701" s="182"/>
      <c r="C8701" s="183"/>
      <c r="E8701" s="184"/>
      <c r="L8701" s="129"/>
    </row>
    <row r="8702">
      <c r="A8702" s="181"/>
      <c r="B8702" s="182"/>
      <c r="C8702" s="183"/>
      <c r="E8702" s="184"/>
      <c r="L8702" s="129"/>
    </row>
    <row r="8703">
      <c r="A8703" s="181"/>
      <c r="B8703" s="182"/>
      <c r="C8703" s="183"/>
      <c r="E8703" s="184"/>
      <c r="L8703" s="129"/>
    </row>
    <row r="8704">
      <c r="A8704" s="181"/>
      <c r="B8704" s="182"/>
      <c r="C8704" s="183"/>
      <c r="E8704" s="184"/>
      <c r="L8704" s="129"/>
    </row>
    <row r="8705">
      <c r="A8705" s="181"/>
      <c r="B8705" s="182"/>
      <c r="C8705" s="183"/>
      <c r="E8705" s="184"/>
      <c r="L8705" s="129"/>
    </row>
    <row r="8706">
      <c r="A8706" s="181"/>
      <c r="B8706" s="182"/>
      <c r="C8706" s="183"/>
      <c r="E8706" s="184"/>
      <c r="L8706" s="129"/>
    </row>
    <row r="8707">
      <c r="A8707" s="181"/>
      <c r="B8707" s="182"/>
      <c r="C8707" s="183"/>
      <c r="E8707" s="184"/>
      <c r="L8707" s="129"/>
    </row>
    <row r="8708">
      <c r="A8708" s="181"/>
      <c r="B8708" s="182"/>
      <c r="C8708" s="183"/>
      <c r="E8708" s="184"/>
      <c r="L8708" s="129"/>
    </row>
    <row r="8709">
      <c r="A8709" s="181"/>
      <c r="B8709" s="182"/>
      <c r="C8709" s="183"/>
      <c r="E8709" s="184"/>
      <c r="L8709" s="129"/>
    </row>
    <row r="8710">
      <c r="A8710" s="181"/>
      <c r="B8710" s="182"/>
      <c r="C8710" s="183"/>
      <c r="E8710" s="184"/>
      <c r="L8710" s="129"/>
    </row>
    <row r="8711">
      <c r="A8711" s="181"/>
      <c r="B8711" s="182"/>
      <c r="C8711" s="183"/>
      <c r="E8711" s="184"/>
      <c r="L8711" s="129"/>
    </row>
    <row r="8712">
      <c r="A8712" s="181"/>
      <c r="B8712" s="182"/>
      <c r="C8712" s="183"/>
      <c r="E8712" s="184"/>
      <c r="L8712" s="129"/>
    </row>
    <row r="8713">
      <c r="A8713" s="181"/>
      <c r="B8713" s="182"/>
      <c r="C8713" s="183"/>
      <c r="E8713" s="184"/>
      <c r="L8713" s="129"/>
    </row>
    <row r="8714">
      <c r="A8714" s="181"/>
      <c r="B8714" s="182"/>
      <c r="C8714" s="183"/>
      <c r="E8714" s="184"/>
      <c r="L8714" s="129"/>
    </row>
    <row r="8715">
      <c r="A8715" s="181"/>
      <c r="B8715" s="182"/>
      <c r="C8715" s="183"/>
      <c r="E8715" s="184"/>
      <c r="L8715" s="129"/>
    </row>
    <row r="8716">
      <c r="A8716" s="181"/>
      <c r="B8716" s="182"/>
      <c r="C8716" s="183"/>
      <c r="E8716" s="184"/>
      <c r="L8716" s="129"/>
    </row>
    <row r="8717">
      <c r="A8717" s="181"/>
      <c r="B8717" s="182"/>
      <c r="C8717" s="183"/>
      <c r="E8717" s="184"/>
      <c r="L8717" s="129"/>
    </row>
    <row r="8718">
      <c r="A8718" s="181"/>
      <c r="B8718" s="182"/>
      <c r="C8718" s="183"/>
      <c r="E8718" s="184"/>
      <c r="L8718" s="129"/>
    </row>
    <row r="8719">
      <c r="A8719" s="181"/>
      <c r="B8719" s="182"/>
      <c r="C8719" s="183"/>
      <c r="E8719" s="184"/>
      <c r="L8719" s="129"/>
    </row>
    <row r="8720">
      <c r="A8720" s="181"/>
      <c r="B8720" s="182"/>
      <c r="C8720" s="183"/>
      <c r="E8720" s="184"/>
      <c r="L8720" s="129"/>
    </row>
    <row r="8721">
      <c r="A8721" s="181"/>
      <c r="B8721" s="182"/>
      <c r="C8721" s="183"/>
      <c r="E8721" s="184"/>
      <c r="L8721" s="129"/>
    </row>
    <row r="8722">
      <c r="A8722" s="181"/>
      <c r="B8722" s="182"/>
      <c r="C8722" s="183"/>
      <c r="E8722" s="184"/>
      <c r="L8722" s="129"/>
    </row>
    <row r="8723">
      <c r="A8723" s="181"/>
      <c r="B8723" s="182"/>
      <c r="C8723" s="183"/>
      <c r="E8723" s="184"/>
      <c r="L8723" s="129"/>
    </row>
    <row r="8724">
      <c r="A8724" s="181"/>
      <c r="B8724" s="182"/>
      <c r="C8724" s="183"/>
      <c r="E8724" s="184"/>
      <c r="L8724" s="129"/>
    </row>
    <row r="8725">
      <c r="A8725" s="181"/>
      <c r="B8725" s="182"/>
      <c r="C8725" s="183"/>
      <c r="E8725" s="184"/>
      <c r="L8725" s="129"/>
    </row>
    <row r="8726">
      <c r="A8726" s="181"/>
      <c r="B8726" s="182"/>
      <c r="C8726" s="183"/>
      <c r="E8726" s="184"/>
      <c r="L8726" s="129"/>
    </row>
    <row r="8727">
      <c r="A8727" s="181"/>
      <c r="B8727" s="182"/>
      <c r="C8727" s="183"/>
      <c r="E8727" s="184"/>
      <c r="L8727" s="129"/>
    </row>
    <row r="8728">
      <c r="A8728" s="181"/>
      <c r="B8728" s="182"/>
      <c r="C8728" s="183"/>
      <c r="E8728" s="184"/>
      <c r="L8728" s="129"/>
    </row>
    <row r="8729">
      <c r="A8729" s="181"/>
      <c r="B8729" s="182"/>
      <c r="C8729" s="183"/>
      <c r="E8729" s="184"/>
      <c r="L8729" s="129"/>
    </row>
    <row r="8730">
      <c r="A8730" s="181"/>
      <c r="B8730" s="182"/>
      <c r="C8730" s="183"/>
      <c r="E8730" s="184"/>
      <c r="L8730" s="129"/>
    </row>
    <row r="8731">
      <c r="A8731" s="181"/>
      <c r="B8731" s="182"/>
      <c r="C8731" s="183"/>
      <c r="E8731" s="184"/>
      <c r="L8731" s="129"/>
    </row>
    <row r="8732">
      <c r="A8732" s="181"/>
      <c r="B8732" s="182"/>
      <c r="C8732" s="183"/>
      <c r="E8732" s="184"/>
      <c r="L8732" s="129"/>
    </row>
    <row r="8733">
      <c r="A8733" s="181"/>
      <c r="B8733" s="182"/>
      <c r="C8733" s="183"/>
      <c r="E8733" s="184"/>
      <c r="L8733" s="129"/>
    </row>
    <row r="8734">
      <c r="A8734" s="181"/>
      <c r="B8734" s="182"/>
      <c r="C8734" s="183"/>
      <c r="E8734" s="184"/>
      <c r="L8734" s="129"/>
    </row>
    <row r="8735">
      <c r="A8735" s="181"/>
      <c r="B8735" s="182"/>
      <c r="C8735" s="183"/>
      <c r="E8735" s="184"/>
      <c r="L8735" s="129"/>
    </row>
    <row r="8736">
      <c r="A8736" s="181"/>
      <c r="B8736" s="182"/>
      <c r="C8736" s="183"/>
      <c r="E8736" s="184"/>
      <c r="L8736" s="129"/>
    </row>
    <row r="8737">
      <c r="A8737" s="181"/>
      <c r="B8737" s="182"/>
      <c r="C8737" s="183"/>
      <c r="E8737" s="184"/>
      <c r="L8737" s="129"/>
    </row>
    <row r="8738">
      <c r="A8738" s="181"/>
      <c r="B8738" s="182"/>
      <c r="C8738" s="183"/>
      <c r="E8738" s="184"/>
      <c r="L8738" s="129"/>
    </row>
    <row r="8739">
      <c r="A8739" s="181"/>
      <c r="B8739" s="182"/>
      <c r="C8739" s="183"/>
      <c r="E8739" s="184"/>
      <c r="L8739" s="129"/>
    </row>
    <row r="8740">
      <c r="A8740" s="181"/>
      <c r="B8740" s="182"/>
      <c r="C8740" s="183"/>
      <c r="E8740" s="184"/>
      <c r="L8740" s="129"/>
    </row>
    <row r="8741">
      <c r="A8741" s="181"/>
      <c r="B8741" s="182"/>
      <c r="C8741" s="183"/>
      <c r="E8741" s="184"/>
      <c r="L8741" s="129"/>
    </row>
    <row r="8742">
      <c r="A8742" s="181"/>
      <c r="B8742" s="182"/>
      <c r="C8742" s="183"/>
      <c r="E8742" s="184"/>
      <c r="L8742" s="129"/>
    </row>
    <row r="8743">
      <c r="A8743" s="181"/>
      <c r="B8743" s="182"/>
      <c r="C8743" s="183"/>
      <c r="E8743" s="184"/>
      <c r="L8743" s="129"/>
    </row>
    <row r="8744">
      <c r="A8744" s="181"/>
      <c r="B8744" s="182"/>
      <c r="C8744" s="183"/>
      <c r="E8744" s="184"/>
      <c r="L8744" s="129"/>
    </row>
    <row r="8745">
      <c r="A8745" s="181"/>
      <c r="B8745" s="182"/>
      <c r="C8745" s="183"/>
      <c r="E8745" s="184"/>
      <c r="L8745" s="129"/>
    </row>
    <row r="8746">
      <c r="A8746" s="181"/>
      <c r="B8746" s="182"/>
      <c r="C8746" s="183"/>
      <c r="E8746" s="184"/>
      <c r="L8746" s="129"/>
    </row>
    <row r="8747">
      <c r="A8747" s="181"/>
      <c r="B8747" s="182"/>
      <c r="C8747" s="183"/>
      <c r="E8747" s="184"/>
      <c r="L8747" s="129"/>
    </row>
    <row r="8748">
      <c r="A8748" s="181"/>
      <c r="B8748" s="182"/>
      <c r="C8748" s="183"/>
      <c r="E8748" s="184"/>
      <c r="L8748" s="129"/>
    </row>
    <row r="8749">
      <c r="A8749" s="181"/>
      <c r="B8749" s="182"/>
      <c r="C8749" s="183"/>
      <c r="E8749" s="184"/>
      <c r="L8749" s="129"/>
    </row>
    <row r="8750">
      <c r="A8750" s="181"/>
      <c r="B8750" s="182"/>
      <c r="C8750" s="183"/>
      <c r="E8750" s="184"/>
      <c r="L8750" s="129"/>
    </row>
    <row r="8751">
      <c r="A8751" s="181"/>
      <c r="B8751" s="182"/>
      <c r="C8751" s="183"/>
      <c r="E8751" s="184"/>
      <c r="L8751" s="129"/>
    </row>
    <row r="8752">
      <c r="A8752" s="181"/>
      <c r="B8752" s="182"/>
      <c r="C8752" s="183"/>
      <c r="E8752" s="184"/>
      <c r="L8752" s="129"/>
    </row>
    <row r="8753">
      <c r="A8753" s="181"/>
      <c r="B8753" s="182"/>
      <c r="C8753" s="183"/>
      <c r="E8753" s="184"/>
      <c r="L8753" s="129"/>
    </row>
    <row r="8754">
      <c r="A8754" s="181"/>
      <c r="B8754" s="182"/>
      <c r="C8754" s="183"/>
      <c r="E8754" s="184"/>
      <c r="L8754" s="129"/>
    </row>
    <row r="8755">
      <c r="A8755" s="181"/>
      <c r="B8755" s="182"/>
      <c r="C8755" s="183"/>
      <c r="E8755" s="184"/>
      <c r="L8755" s="129"/>
    </row>
    <row r="8756">
      <c r="A8756" s="181"/>
      <c r="B8756" s="182"/>
      <c r="C8756" s="183"/>
      <c r="E8756" s="184"/>
      <c r="L8756" s="129"/>
    </row>
    <row r="8757">
      <c r="A8757" s="181"/>
      <c r="B8757" s="182"/>
      <c r="C8757" s="183"/>
      <c r="E8757" s="184"/>
      <c r="L8757" s="129"/>
    </row>
    <row r="8758">
      <c r="A8758" s="181"/>
      <c r="B8758" s="182"/>
      <c r="C8758" s="183"/>
      <c r="E8758" s="184"/>
      <c r="L8758" s="129"/>
    </row>
    <row r="8759">
      <c r="A8759" s="181"/>
      <c r="B8759" s="182"/>
      <c r="C8759" s="183"/>
      <c r="E8759" s="184"/>
      <c r="L8759" s="129"/>
    </row>
    <row r="8760">
      <c r="A8760" s="181"/>
      <c r="B8760" s="182"/>
      <c r="C8760" s="183"/>
      <c r="E8760" s="184"/>
      <c r="L8760" s="129"/>
    </row>
    <row r="8761">
      <c r="A8761" s="181"/>
      <c r="B8761" s="182"/>
      <c r="C8761" s="183"/>
      <c r="E8761" s="184"/>
      <c r="L8761" s="129"/>
    </row>
    <row r="8762">
      <c r="A8762" s="181"/>
      <c r="B8762" s="182"/>
      <c r="C8762" s="183"/>
      <c r="E8762" s="184"/>
      <c r="L8762" s="129"/>
    </row>
    <row r="8763">
      <c r="A8763" s="181"/>
      <c r="B8763" s="182"/>
      <c r="C8763" s="183"/>
      <c r="E8763" s="184"/>
      <c r="L8763" s="129"/>
    </row>
    <row r="8764">
      <c r="A8764" s="181"/>
      <c r="B8764" s="182"/>
      <c r="C8764" s="183"/>
      <c r="E8764" s="184"/>
      <c r="L8764" s="129"/>
    </row>
    <row r="8765">
      <c r="A8765" s="181"/>
      <c r="B8765" s="182"/>
      <c r="C8765" s="183"/>
      <c r="E8765" s="184"/>
      <c r="L8765" s="129"/>
    </row>
    <row r="8766">
      <c r="A8766" s="181"/>
      <c r="B8766" s="182"/>
      <c r="C8766" s="183"/>
      <c r="E8766" s="184"/>
      <c r="L8766" s="129"/>
    </row>
    <row r="8767">
      <c r="A8767" s="181"/>
      <c r="B8767" s="182"/>
      <c r="C8767" s="183"/>
      <c r="E8767" s="184"/>
      <c r="L8767" s="129"/>
    </row>
    <row r="8768">
      <c r="A8768" s="181"/>
      <c r="B8768" s="182"/>
      <c r="C8768" s="183"/>
      <c r="E8768" s="184"/>
      <c r="L8768" s="129"/>
    </row>
    <row r="8769">
      <c r="A8769" s="181"/>
      <c r="B8769" s="182"/>
      <c r="C8769" s="183"/>
      <c r="E8769" s="184"/>
      <c r="L8769" s="129"/>
    </row>
    <row r="8770">
      <c r="A8770" s="181"/>
      <c r="B8770" s="182"/>
      <c r="C8770" s="183"/>
      <c r="E8770" s="184"/>
      <c r="L8770" s="129"/>
    </row>
    <row r="8771">
      <c r="A8771" s="181"/>
      <c r="B8771" s="182"/>
      <c r="C8771" s="183"/>
      <c r="E8771" s="184"/>
      <c r="L8771" s="129"/>
    </row>
    <row r="8772">
      <c r="A8772" s="181"/>
      <c r="B8772" s="182"/>
      <c r="C8772" s="183"/>
      <c r="E8772" s="184"/>
      <c r="L8772" s="129"/>
    </row>
    <row r="8773">
      <c r="A8773" s="181"/>
      <c r="B8773" s="182"/>
      <c r="C8773" s="183"/>
      <c r="E8773" s="184"/>
      <c r="L8773" s="129"/>
    </row>
    <row r="8774">
      <c r="A8774" s="181"/>
      <c r="B8774" s="182"/>
      <c r="C8774" s="183"/>
      <c r="E8774" s="184"/>
      <c r="L8774" s="129"/>
    </row>
    <row r="8775">
      <c r="A8775" s="181"/>
      <c r="B8775" s="182"/>
      <c r="C8775" s="183"/>
      <c r="E8775" s="184"/>
      <c r="L8775" s="129"/>
    </row>
    <row r="8776">
      <c r="A8776" s="181"/>
      <c r="B8776" s="182"/>
      <c r="C8776" s="183"/>
      <c r="E8776" s="184"/>
      <c r="L8776" s="129"/>
    </row>
    <row r="8777">
      <c r="A8777" s="181"/>
      <c r="B8777" s="182"/>
      <c r="C8777" s="183"/>
      <c r="E8777" s="184"/>
      <c r="L8777" s="129"/>
    </row>
    <row r="8778">
      <c r="A8778" s="181"/>
      <c r="B8778" s="182"/>
      <c r="C8778" s="183"/>
      <c r="E8778" s="184"/>
      <c r="L8778" s="129"/>
    </row>
    <row r="8779">
      <c r="A8779" s="181"/>
      <c r="B8779" s="182"/>
      <c r="C8779" s="183"/>
      <c r="E8779" s="184"/>
      <c r="L8779" s="129"/>
    </row>
    <row r="8780">
      <c r="A8780" s="181"/>
      <c r="B8780" s="182"/>
      <c r="C8780" s="183"/>
      <c r="E8780" s="184"/>
      <c r="L8780" s="129"/>
    </row>
    <row r="8781">
      <c r="A8781" s="181"/>
      <c r="B8781" s="182"/>
      <c r="C8781" s="183"/>
      <c r="E8781" s="184"/>
      <c r="L8781" s="129"/>
    </row>
    <row r="8782">
      <c r="A8782" s="181"/>
      <c r="B8782" s="182"/>
      <c r="C8782" s="183"/>
      <c r="E8782" s="184"/>
      <c r="L8782" s="129"/>
    </row>
    <row r="8783">
      <c r="A8783" s="181"/>
      <c r="B8783" s="182"/>
      <c r="C8783" s="183"/>
      <c r="E8783" s="184"/>
      <c r="L8783" s="129"/>
    </row>
    <row r="8784">
      <c r="A8784" s="181"/>
      <c r="B8784" s="182"/>
      <c r="C8784" s="183"/>
      <c r="E8784" s="184"/>
      <c r="L8784" s="129"/>
    </row>
    <row r="8785">
      <c r="A8785" s="181"/>
      <c r="B8785" s="182"/>
      <c r="C8785" s="183"/>
      <c r="E8785" s="184"/>
      <c r="L8785" s="129"/>
    </row>
    <row r="8786">
      <c r="A8786" s="181"/>
      <c r="B8786" s="182"/>
      <c r="C8786" s="183"/>
      <c r="E8786" s="184"/>
      <c r="L8786" s="129"/>
    </row>
    <row r="8787">
      <c r="A8787" s="181"/>
      <c r="B8787" s="182"/>
      <c r="C8787" s="183"/>
      <c r="E8787" s="184"/>
      <c r="L8787" s="129"/>
    </row>
    <row r="8788">
      <c r="A8788" s="181"/>
      <c r="B8788" s="182"/>
      <c r="C8788" s="183"/>
      <c r="E8788" s="184"/>
      <c r="L8788" s="129"/>
    </row>
    <row r="8789">
      <c r="A8789" s="181"/>
      <c r="B8789" s="182"/>
      <c r="C8789" s="183"/>
      <c r="E8789" s="184"/>
      <c r="L8789" s="129"/>
    </row>
    <row r="8790">
      <c r="A8790" s="181"/>
      <c r="B8790" s="182"/>
      <c r="C8790" s="183"/>
      <c r="E8790" s="184"/>
      <c r="L8790" s="129"/>
    </row>
    <row r="8791">
      <c r="A8791" s="181"/>
      <c r="B8791" s="182"/>
      <c r="C8791" s="183"/>
      <c r="E8791" s="184"/>
      <c r="L8791" s="129"/>
    </row>
    <row r="8792">
      <c r="A8792" s="181"/>
      <c r="B8792" s="182"/>
      <c r="C8792" s="183"/>
      <c r="E8792" s="184"/>
      <c r="L8792" s="129"/>
    </row>
    <row r="8793">
      <c r="A8793" s="181"/>
      <c r="B8793" s="182"/>
      <c r="C8793" s="183"/>
      <c r="E8793" s="184"/>
      <c r="L8793" s="129"/>
    </row>
    <row r="8794">
      <c r="A8794" s="181"/>
      <c r="B8794" s="182"/>
      <c r="C8794" s="183"/>
      <c r="E8794" s="184"/>
      <c r="L8794" s="129"/>
    </row>
    <row r="8795">
      <c r="A8795" s="181"/>
      <c r="B8795" s="182"/>
      <c r="C8795" s="183"/>
      <c r="E8795" s="184"/>
      <c r="L8795" s="129"/>
    </row>
    <row r="8796">
      <c r="A8796" s="181"/>
      <c r="B8796" s="182"/>
      <c r="C8796" s="183"/>
      <c r="E8796" s="184"/>
      <c r="L8796" s="129"/>
    </row>
    <row r="8797">
      <c r="A8797" s="181"/>
      <c r="B8797" s="182"/>
      <c r="C8797" s="183"/>
      <c r="E8797" s="184"/>
      <c r="L8797" s="129"/>
    </row>
    <row r="8798">
      <c r="A8798" s="181"/>
      <c r="B8798" s="182"/>
      <c r="C8798" s="183"/>
      <c r="E8798" s="184"/>
      <c r="L8798" s="129"/>
    </row>
    <row r="8799">
      <c r="A8799" s="181"/>
      <c r="B8799" s="182"/>
      <c r="C8799" s="183"/>
      <c r="E8799" s="184"/>
      <c r="L8799" s="129"/>
    </row>
    <row r="8800">
      <c r="A8800" s="181"/>
      <c r="B8800" s="182"/>
      <c r="C8800" s="183"/>
      <c r="E8800" s="184"/>
      <c r="L8800" s="129"/>
    </row>
    <row r="8801">
      <c r="A8801" s="181"/>
      <c r="B8801" s="182"/>
      <c r="C8801" s="183"/>
      <c r="E8801" s="184"/>
      <c r="L8801" s="129"/>
    </row>
    <row r="8802">
      <c r="A8802" s="181"/>
      <c r="B8802" s="182"/>
      <c r="C8802" s="183"/>
      <c r="E8802" s="184"/>
      <c r="L8802" s="129"/>
    </row>
    <row r="8803">
      <c r="A8803" s="181"/>
      <c r="B8803" s="182"/>
      <c r="C8803" s="183"/>
      <c r="E8803" s="184"/>
      <c r="L8803" s="129"/>
    </row>
    <row r="8804">
      <c r="A8804" s="181"/>
      <c r="B8804" s="182"/>
      <c r="C8804" s="183"/>
      <c r="E8804" s="184"/>
      <c r="L8804" s="129"/>
    </row>
    <row r="8805">
      <c r="A8805" s="181"/>
      <c r="B8805" s="182"/>
      <c r="C8805" s="183"/>
      <c r="E8805" s="184"/>
      <c r="L8805" s="129"/>
    </row>
    <row r="8806">
      <c r="A8806" s="181"/>
      <c r="B8806" s="182"/>
      <c r="C8806" s="183"/>
      <c r="E8806" s="184"/>
      <c r="L8806" s="129"/>
    </row>
    <row r="8807">
      <c r="A8807" s="181"/>
      <c r="B8807" s="182"/>
      <c r="C8807" s="183"/>
      <c r="E8807" s="184"/>
      <c r="L8807" s="129"/>
    </row>
    <row r="8808">
      <c r="A8808" s="181"/>
      <c r="B8808" s="182"/>
      <c r="C8808" s="183"/>
      <c r="E8808" s="184"/>
      <c r="L8808" s="129"/>
    </row>
    <row r="8809">
      <c r="A8809" s="181"/>
      <c r="B8809" s="182"/>
      <c r="C8809" s="183"/>
      <c r="E8809" s="184"/>
      <c r="L8809" s="129"/>
    </row>
    <row r="8810">
      <c r="A8810" s="181"/>
      <c r="B8810" s="182"/>
      <c r="C8810" s="183"/>
      <c r="E8810" s="184"/>
      <c r="L8810" s="129"/>
    </row>
    <row r="8811">
      <c r="A8811" s="181"/>
      <c r="B8811" s="182"/>
      <c r="C8811" s="183"/>
      <c r="E8811" s="184"/>
      <c r="L8811" s="129"/>
    </row>
    <row r="8812">
      <c r="A8812" s="181"/>
      <c r="B8812" s="182"/>
      <c r="C8812" s="183"/>
      <c r="E8812" s="184"/>
      <c r="L8812" s="129"/>
    </row>
    <row r="8813">
      <c r="A8813" s="181"/>
      <c r="B8813" s="182"/>
      <c r="C8813" s="183"/>
      <c r="E8813" s="184"/>
      <c r="L8813" s="129"/>
    </row>
    <row r="8814">
      <c r="A8814" s="181"/>
      <c r="B8814" s="182"/>
      <c r="C8814" s="183"/>
      <c r="E8814" s="184"/>
      <c r="L8814" s="129"/>
    </row>
    <row r="8815">
      <c r="A8815" s="181"/>
      <c r="B8815" s="182"/>
      <c r="C8815" s="183"/>
      <c r="E8815" s="184"/>
      <c r="L8815" s="129"/>
    </row>
    <row r="8816">
      <c r="A8816" s="181"/>
      <c r="B8816" s="182"/>
      <c r="C8816" s="183"/>
      <c r="E8816" s="184"/>
      <c r="L8816" s="129"/>
    </row>
    <row r="8817">
      <c r="A8817" s="181"/>
      <c r="B8817" s="182"/>
      <c r="C8817" s="183"/>
      <c r="E8817" s="184"/>
      <c r="L8817" s="129"/>
    </row>
    <row r="8818">
      <c r="A8818" s="181"/>
      <c r="B8818" s="182"/>
      <c r="C8818" s="183"/>
      <c r="E8818" s="184"/>
      <c r="L8818" s="129"/>
    </row>
    <row r="8819">
      <c r="A8819" s="181"/>
      <c r="B8819" s="182"/>
      <c r="C8819" s="183"/>
      <c r="E8819" s="184"/>
      <c r="L8819" s="129"/>
    </row>
    <row r="8820">
      <c r="A8820" s="181"/>
      <c r="B8820" s="182"/>
      <c r="C8820" s="183"/>
      <c r="E8820" s="184"/>
      <c r="L8820" s="129"/>
    </row>
    <row r="8821">
      <c r="A8821" s="181"/>
      <c r="B8821" s="182"/>
      <c r="C8821" s="183"/>
      <c r="E8821" s="184"/>
      <c r="L8821" s="129"/>
    </row>
    <row r="8822">
      <c r="A8822" s="181"/>
      <c r="B8822" s="182"/>
      <c r="C8822" s="183"/>
      <c r="E8822" s="184"/>
      <c r="L8822" s="129"/>
    </row>
    <row r="8823">
      <c r="A8823" s="181"/>
      <c r="B8823" s="182"/>
      <c r="C8823" s="183"/>
      <c r="E8823" s="184"/>
      <c r="L8823" s="129"/>
    </row>
    <row r="8824">
      <c r="A8824" s="181"/>
      <c r="B8824" s="182"/>
      <c r="C8824" s="183"/>
      <c r="E8824" s="184"/>
      <c r="L8824" s="129"/>
    </row>
    <row r="8825">
      <c r="A8825" s="181"/>
      <c r="B8825" s="182"/>
      <c r="C8825" s="183"/>
      <c r="E8825" s="184"/>
      <c r="L8825" s="129"/>
    </row>
    <row r="8826">
      <c r="A8826" s="181"/>
      <c r="B8826" s="182"/>
      <c r="C8826" s="183"/>
      <c r="E8826" s="184"/>
      <c r="L8826" s="129"/>
    </row>
    <row r="8827">
      <c r="A8827" s="181"/>
      <c r="B8827" s="182"/>
      <c r="C8827" s="183"/>
      <c r="E8827" s="184"/>
      <c r="L8827" s="129"/>
    </row>
    <row r="8828">
      <c r="A8828" s="181"/>
      <c r="B8828" s="182"/>
      <c r="C8828" s="183"/>
      <c r="E8828" s="184"/>
      <c r="L8828" s="129"/>
    </row>
    <row r="8829">
      <c r="A8829" s="181"/>
      <c r="B8829" s="182"/>
      <c r="C8829" s="183"/>
      <c r="E8829" s="184"/>
      <c r="L8829" s="129"/>
    </row>
    <row r="8830">
      <c r="A8830" s="181"/>
      <c r="B8830" s="182"/>
      <c r="C8830" s="183"/>
      <c r="E8830" s="184"/>
      <c r="L8830" s="129"/>
    </row>
    <row r="8831">
      <c r="A8831" s="181"/>
      <c r="B8831" s="182"/>
      <c r="C8831" s="183"/>
      <c r="E8831" s="184"/>
      <c r="L8831" s="129"/>
    </row>
    <row r="8832">
      <c r="A8832" s="181"/>
      <c r="B8832" s="182"/>
      <c r="C8832" s="183"/>
      <c r="E8832" s="184"/>
      <c r="L8832" s="129"/>
    </row>
    <row r="8833">
      <c r="A8833" s="181"/>
      <c r="B8833" s="182"/>
      <c r="C8833" s="183"/>
      <c r="E8833" s="184"/>
      <c r="L8833" s="129"/>
    </row>
    <row r="8834">
      <c r="A8834" s="181"/>
      <c r="B8834" s="182"/>
      <c r="C8834" s="183"/>
      <c r="E8834" s="184"/>
      <c r="L8834" s="129"/>
    </row>
    <row r="8835">
      <c r="A8835" s="181"/>
      <c r="B8835" s="182"/>
      <c r="C8835" s="183"/>
      <c r="E8835" s="184"/>
      <c r="L8835" s="129"/>
    </row>
    <row r="8836">
      <c r="A8836" s="181"/>
      <c r="B8836" s="182"/>
      <c r="C8836" s="183"/>
      <c r="E8836" s="184"/>
      <c r="L8836" s="129"/>
    </row>
    <row r="8837">
      <c r="A8837" s="181"/>
      <c r="B8837" s="182"/>
      <c r="C8837" s="183"/>
      <c r="E8837" s="184"/>
      <c r="L8837" s="129"/>
    </row>
    <row r="8838">
      <c r="A8838" s="181"/>
      <c r="B8838" s="182"/>
      <c r="C8838" s="183"/>
      <c r="E8838" s="184"/>
      <c r="L8838" s="129"/>
    </row>
    <row r="8839">
      <c r="A8839" s="181"/>
      <c r="B8839" s="182"/>
      <c r="C8839" s="183"/>
      <c r="E8839" s="184"/>
      <c r="L8839" s="129"/>
    </row>
    <row r="8840">
      <c r="A8840" s="181"/>
      <c r="B8840" s="182"/>
      <c r="C8840" s="183"/>
      <c r="E8840" s="184"/>
      <c r="L8840" s="129"/>
    </row>
    <row r="8841">
      <c r="A8841" s="181"/>
      <c r="B8841" s="182"/>
      <c r="C8841" s="183"/>
      <c r="E8841" s="184"/>
      <c r="L8841" s="129"/>
    </row>
    <row r="8842">
      <c r="A8842" s="181"/>
      <c r="B8842" s="182"/>
      <c r="C8842" s="183"/>
      <c r="E8842" s="184"/>
      <c r="L8842" s="129"/>
    </row>
    <row r="8843">
      <c r="A8843" s="181"/>
      <c r="B8843" s="182"/>
      <c r="C8843" s="183"/>
      <c r="E8843" s="184"/>
      <c r="L8843" s="129"/>
    </row>
    <row r="8844">
      <c r="A8844" s="181"/>
      <c r="B8844" s="182"/>
      <c r="C8844" s="183"/>
      <c r="E8844" s="184"/>
      <c r="L8844" s="129"/>
    </row>
    <row r="8845">
      <c r="A8845" s="181"/>
      <c r="B8845" s="182"/>
      <c r="C8845" s="183"/>
      <c r="E8845" s="184"/>
      <c r="L8845" s="129"/>
    </row>
    <row r="8846">
      <c r="A8846" s="181"/>
      <c r="B8846" s="182"/>
      <c r="C8846" s="183"/>
      <c r="E8846" s="184"/>
      <c r="L8846" s="129"/>
    </row>
    <row r="8847">
      <c r="A8847" s="181"/>
      <c r="B8847" s="182"/>
      <c r="C8847" s="183"/>
      <c r="E8847" s="184"/>
      <c r="L8847" s="129"/>
    </row>
    <row r="8848">
      <c r="A8848" s="181"/>
      <c r="B8848" s="182"/>
      <c r="C8848" s="183"/>
      <c r="E8848" s="184"/>
      <c r="L8848" s="129"/>
    </row>
    <row r="8849">
      <c r="A8849" s="181"/>
      <c r="B8849" s="182"/>
      <c r="C8849" s="183"/>
      <c r="E8849" s="184"/>
      <c r="L8849" s="129"/>
    </row>
    <row r="8850">
      <c r="A8850" s="181"/>
      <c r="B8850" s="182"/>
      <c r="C8850" s="183"/>
      <c r="E8850" s="184"/>
      <c r="L8850" s="129"/>
    </row>
    <row r="8851">
      <c r="A8851" s="181"/>
      <c r="B8851" s="182"/>
      <c r="C8851" s="183"/>
      <c r="E8851" s="184"/>
      <c r="L8851" s="129"/>
    </row>
    <row r="8852">
      <c r="A8852" s="181"/>
      <c r="B8852" s="182"/>
      <c r="C8852" s="183"/>
      <c r="E8852" s="184"/>
      <c r="L8852" s="129"/>
    </row>
    <row r="8853">
      <c r="A8853" s="181"/>
      <c r="B8853" s="182"/>
      <c r="C8853" s="183"/>
      <c r="E8853" s="184"/>
      <c r="L8853" s="129"/>
    </row>
    <row r="8854">
      <c r="A8854" s="181"/>
      <c r="B8854" s="182"/>
      <c r="C8854" s="183"/>
      <c r="E8854" s="184"/>
      <c r="L8854" s="129"/>
    </row>
    <row r="8855">
      <c r="A8855" s="181"/>
      <c r="B8855" s="182"/>
      <c r="C8855" s="183"/>
      <c r="E8855" s="184"/>
      <c r="L8855" s="129"/>
    </row>
    <row r="8856">
      <c r="A8856" s="181"/>
      <c r="B8856" s="182"/>
      <c r="C8856" s="183"/>
      <c r="E8856" s="184"/>
      <c r="L8856" s="129"/>
    </row>
    <row r="8857">
      <c r="A8857" s="181"/>
      <c r="B8857" s="182"/>
      <c r="C8857" s="183"/>
      <c r="E8857" s="184"/>
      <c r="L8857" s="129"/>
    </row>
    <row r="8858">
      <c r="A8858" s="181"/>
      <c r="B8858" s="182"/>
      <c r="C8858" s="183"/>
      <c r="E8858" s="184"/>
      <c r="L8858" s="129"/>
    </row>
    <row r="8859">
      <c r="A8859" s="181"/>
      <c r="B8859" s="182"/>
      <c r="C8859" s="183"/>
      <c r="E8859" s="184"/>
      <c r="L8859" s="129"/>
    </row>
    <row r="8860">
      <c r="A8860" s="181"/>
      <c r="B8860" s="182"/>
      <c r="C8860" s="183"/>
      <c r="E8860" s="184"/>
      <c r="L8860" s="129"/>
    </row>
    <row r="8861">
      <c r="A8861" s="181"/>
      <c r="B8861" s="182"/>
      <c r="C8861" s="183"/>
      <c r="E8861" s="184"/>
      <c r="L8861" s="129"/>
    </row>
    <row r="8862">
      <c r="A8862" s="181"/>
      <c r="B8862" s="182"/>
      <c r="C8862" s="183"/>
      <c r="E8862" s="184"/>
      <c r="L8862" s="129"/>
    </row>
    <row r="8863">
      <c r="A8863" s="181"/>
      <c r="B8863" s="182"/>
      <c r="C8863" s="183"/>
      <c r="E8863" s="184"/>
      <c r="L8863" s="129"/>
    </row>
    <row r="8864">
      <c r="A8864" s="181"/>
      <c r="B8864" s="182"/>
      <c r="C8864" s="183"/>
      <c r="E8864" s="184"/>
      <c r="L8864" s="129"/>
    </row>
    <row r="8865">
      <c r="A8865" s="181"/>
      <c r="B8865" s="182"/>
      <c r="C8865" s="183"/>
      <c r="E8865" s="184"/>
      <c r="L8865" s="129"/>
    </row>
    <row r="8866">
      <c r="A8866" s="181"/>
      <c r="B8866" s="182"/>
      <c r="C8866" s="183"/>
      <c r="E8866" s="184"/>
      <c r="L8866" s="129"/>
    </row>
    <row r="8867">
      <c r="A8867" s="181"/>
      <c r="B8867" s="182"/>
      <c r="C8867" s="183"/>
      <c r="E8867" s="184"/>
      <c r="L8867" s="129"/>
    </row>
    <row r="8868">
      <c r="A8868" s="181"/>
      <c r="B8868" s="182"/>
      <c r="C8868" s="183"/>
      <c r="E8868" s="184"/>
      <c r="L8868" s="129"/>
    </row>
    <row r="8869">
      <c r="A8869" s="181"/>
      <c r="B8869" s="182"/>
      <c r="C8869" s="183"/>
      <c r="E8869" s="184"/>
      <c r="L8869" s="129"/>
    </row>
    <row r="8870">
      <c r="A8870" s="181"/>
      <c r="B8870" s="182"/>
      <c r="C8870" s="183"/>
      <c r="E8870" s="184"/>
      <c r="L8870" s="129"/>
    </row>
    <row r="8871">
      <c r="A8871" s="181"/>
      <c r="B8871" s="182"/>
      <c r="C8871" s="183"/>
      <c r="E8871" s="184"/>
      <c r="L8871" s="129"/>
    </row>
    <row r="8872">
      <c r="A8872" s="181"/>
      <c r="B8872" s="182"/>
      <c r="C8872" s="183"/>
      <c r="E8872" s="184"/>
      <c r="L8872" s="129"/>
    </row>
    <row r="8873">
      <c r="A8873" s="181"/>
      <c r="B8873" s="182"/>
      <c r="C8873" s="183"/>
      <c r="E8873" s="184"/>
      <c r="L8873" s="129"/>
    </row>
    <row r="8874">
      <c r="A8874" s="181"/>
      <c r="B8874" s="182"/>
      <c r="C8874" s="183"/>
      <c r="E8874" s="184"/>
      <c r="L8874" s="129"/>
    </row>
    <row r="8875">
      <c r="A8875" s="181"/>
      <c r="B8875" s="182"/>
      <c r="C8875" s="183"/>
      <c r="E8875" s="184"/>
      <c r="L8875" s="129"/>
    </row>
    <row r="8876">
      <c r="A8876" s="181"/>
      <c r="B8876" s="182"/>
      <c r="C8876" s="183"/>
      <c r="E8876" s="184"/>
      <c r="L8876" s="129"/>
    </row>
    <row r="8877">
      <c r="A8877" s="181"/>
      <c r="B8877" s="182"/>
      <c r="C8877" s="183"/>
      <c r="E8877" s="184"/>
      <c r="L8877" s="129"/>
    </row>
    <row r="8878">
      <c r="A8878" s="181"/>
      <c r="B8878" s="182"/>
      <c r="C8878" s="183"/>
      <c r="E8878" s="184"/>
      <c r="L8878" s="129"/>
    </row>
    <row r="8879">
      <c r="A8879" s="181"/>
      <c r="B8879" s="182"/>
      <c r="C8879" s="183"/>
      <c r="E8879" s="184"/>
      <c r="L8879" s="129"/>
    </row>
    <row r="8880">
      <c r="A8880" s="181"/>
      <c r="B8880" s="182"/>
      <c r="C8880" s="183"/>
      <c r="E8880" s="184"/>
      <c r="L8880" s="129"/>
    </row>
    <row r="8881">
      <c r="A8881" s="181"/>
      <c r="B8881" s="182"/>
      <c r="C8881" s="183"/>
      <c r="E8881" s="184"/>
      <c r="L8881" s="129"/>
    </row>
    <row r="8882">
      <c r="A8882" s="181"/>
      <c r="B8882" s="182"/>
      <c r="C8882" s="183"/>
      <c r="E8882" s="184"/>
      <c r="L8882" s="129"/>
    </row>
    <row r="8883">
      <c r="A8883" s="181"/>
      <c r="B8883" s="182"/>
      <c r="C8883" s="183"/>
      <c r="E8883" s="184"/>
      <c r="L8883" s="129"/>
    </row>
    <row r="8884">
      <c r="A8884" s="181"/>
      <c r="B8884" s="182"/>
      <c r="C8884" s="183"/>
      <c r="E8884" s="184"/>
      <c r="L8884" s="129"/>
    </row>
    <row r="8885">
      <c r="A8885" s="181"/>
      <c r="B8885" s="182"/>
      <c r="C8885" s="183"/>
      <c r="E8885" s="184"/>
      <c r="L8885" s="129"/>
    </row>
    <row r="8886">
      <c r="A8886" s="181"/>
      <c r="B8886" s="182"/>
      <c r="C8886" s="183"/>
      <c r="E8886" s="184"/>
      <c r="L8886" s="129"/>
    </row>
    <row r="8887">
      <c r="A8887" s="181"/>
      <c r="B8887" s="182"/>
      <c r="C8887" s="183"/>
      <c r="E8887" s="184"/>
      <c r="L8887" s="129"/>
    </row>
    <row r="8888">
      <c r="A8888" s="181"/>
      <c r="B8888" s="182"/>
      <c r="C8888" s="183"/>
      <c r="E8888" s="184"/>
      <c r="L8888" s="129"/>
    </row>
    <row r="8889">
      <c r="A8889" s="181"/>
      <c r="B8889" s="182"/>
      <c r="C8889" s="183"/>
      <c r="E8889" s="184"/>
      <c r="L8889" s="129"/>
    </row>
    <row r="8890">
      <c r="A8890" s="181"/>
      <c r="B8890" s="182"/>
      <c r="C8890" s="183"/>
      <c r="E8890" s="184"/>
      <c r="L8890" s="129"/>
    </row>
    <row r="8891">
      <c r="A8891" s="181"/>
      <c r="B8891" s="182"/>
      <c r="C8891" s="183"/>
      <c r="E8891" s="184"/>
      <c r="L8891" s="129"/>
    </row>
    <row r="8892">
      <c r="A8892" s="181"/>
      <c r="B8892" s="182"/>
      <c r="C8892" s="183"/>
      <c r="E8892" s="184"/>
      <c r="L8892" s="129"/>
    </row>
    <row r="8893">
      <c r="A8893" s="181"/>
      <c r="B8893" s="182"/>
      <c r="C8893" s="183"/>
      <c r="E8893" s="184"/>
      <c r="L8893" s="129"/>
    </row>
    <row r="8894">
      <c r="A8894" s="181"/>
      <c r="B8894" s="182"/>
      <c r="C8894" s="183"/>
      <c r="E8894" s="184"/>
      <c r="L8894" s="129"/>
    </row>
    <row r="8895">
      <c r="A8895" s="181"/>
      <c r="B8895" s="182"/>
      <c r="C8895" s="183"/>
      <c r="E8895" s="184"/>
      <c r="L8895" s="129"/>
    </row>
    <row r="8896">
      <c r="A8896" s="181"/>
      <c r="B8896" s="182"/>
      <c r="C8896" s="183"/>
      <c r="E8896" s="184"/>
      <c r="L8896" s="129"/>
    </row>
    <row r="8897">
      <c r="A8897" s="181"/>
      <c r="B8897" s="182"/>
      <c r="C8897" s="183"/>
      <c r="E8897" s="184"/>
      <c r="L8897" s="129"/>
    </row>
    <row r="8898">
      <c r="A8898" s="181"/>
      <c r="B8898" s="182"/>
      <c r="C8898" s="183"/>
      <c r="E8898" s="184"/>
      <c r="L8898" s="129"/>
    </row>
    <row r="8899">
      <c r="A8899" s="181"/>
      <c r="B8899" s="182"/>
      <c r="C8899" s="183"/>
      <c r="E8899" s="184"/>
      <c r="L8899" s="129"/>
    </row>
    <row r="8900">
      <c r="A8900" s="181"/>
      <c r="B8900" s="182"/>
      <c r="C8900" s="183"/>
      <c r="E8900" s="184"/>
      <c r="L8900" s="129"/>
    </row>
    <row r="8901">
      <c r="A8901" s="181"/>
      <c r="B8901" s="182"/>
      <c r="C8901" s="183"/>
      <c r="E8901" s="184"/>
      <c r="L8901" s="129"/>
    </row>
    <row r="8902">
      <c r="A8902" s="181"/>
      <c r="B8902" s="182"/>
      <c r="C8902" s="183"/>
      <c r="E8902" s="184"/>
      <c r="L8902" s="129"/>
    </row>
    <row r="8903">
      <c r="A8903" s="181"/>
      <c r="B8903" s="182"/>
      <c r="C8903" s="183"/>
      <c r="E8903" s="184"/>
      <c r="L8903" s="129"/>
    </row>
    <row r="8904">
      <c r="A8904" s="181"/>
      <c r="B8904" s="182"/>
      <c r="C8904" s="183"/>
      <c r="E8904" s="184"/>
      <c r="L8904" s="129"/>
    </row>
    <row r="8905">
      <c r="A8905" s="181"/>
      <c r="B8905" s="182"/>
      <c r="C8905" s="183"/>
      <c r="E8905" s="184"/>
      <c r="L8905" s="129"/>
    </row>
    <row r="8906">
      <c r="A8906" s="181"/>
      <c r="B8906" s="182"/>
      <c r="C8906" s="183"/>
      <c r="E8906" s="184"/>
      <c r="L8906" s="129"/>
    </row>
    <row r="8907">
      <c r="A8907" s="181"/>
      <c r="B8907" s="182"/>
      <c r="C8907" s="183"/>
      <c r="E8907" s="184"/>
      <c r="L8907" s="129"/>
    </row>
    <row r="8908">
      <c r="A8908" s="181"/>
      <c r="B8908" s="182"/>
      <c r="C8908" s="183"/>
      <c r="E8908" s="184"/>
      <c r="L8908" s="129"/>
    </row>
    <row r="8909">
      <c r="A8909" s="181"/>
      <c r="B8909" s="182"/>
      <c r="C8909" s="183"/>
      <c r="E8909" s="184"/>
      <c r="L8909" s="129"/>
    </row>
    <row r="8910">
      <c r="A8910" s="181"/>
      <c r="B8910" s="182"/>
      <c r="C8910" s="183"/>
      <c r="E8910" s="184"/>
      <c r="L8910" s="129"/>
    </row>
    <row r="8911">
      <c r="A8911" s="181"/>
      <c r="B8911" s="182"/>
      <c r="C8911" s="183"/>
      <c r="E8911" s="184"/>
      <c r="L8911" s="129"/>
    </row>
    <row r="8912">
      <c r="A8912" s="181"/>
      <c r="B8912" s="182"/>
      <c r="C8912" s="183"/>
      <c r="E8912" s="184"/>
      <c r="L8912" s="129"/>
    </row>
    <row r="8913">
      <c r="A8913" s="181"/>
      <c r="B8913" s="182"/>
      <c r="C8913" s="183"/>
      <c r="E8913" s="184"/>
      <c r="L8913" s="129"/>
    </row>
    <row r="8914">
      <c r="A8914" s="181"/>
      <c r="B8914" s="182"/>
      <c r="C8914" s="183"/>
      <c r="E8914" s="184"/>
      <c r="L8914" s="129"/>
    </row>
    <row r="8915">
      <c r="A8915" s="181"/>
      <c r="B8915" s="182"/>
      <c r="C8915" s="183"/>
      <c r="E8915" s="184"/>
      <c r="L8915" s="129"/>
    </row>
    <row r="8916">
      <c r="A8916" s="181"/>
      <c r="B8916" s="182"/>
      <c r="C8916" s="183"/>
      <c r="E8916" s="184"/>
      <c r="L8916" s="129"/>
    </row>
    <row r="8917">
      <c r="A8917" s="181"/>
      <c r="B8917" s="182"/>
      <c r="C8917" s="183"/>
      <c r="E8917" s="184"/>
      <c r="L8917" s="129"/>
    </row>
    <row r="8918">
      <c r="A8918" s="181"/>
      <c r="B8918" s="182"/>
      <c r="C8918" s="183"/>
      <c r="E8918" s="184"/>
      <c r="L8918" s="129"/>
    </row>
    <row r="8919">
      <c r="A8919" s="181"/>
      <c r="B8919" s="182"/>
      <c r="C8919" s="183"/>
      <c r="E8919" s="184"/>
      <c r="L8919" s="129"/>
    </row>
    <row r="8920">
      <c r="A8920" s="181"/>
      <c r="B8920" s="182"/>
      <c r="C8920" s="183"/>
      <c r="E8920" s="184"/>
      <c r="L8920" s="129"/>
    </row>
    <row r="8921">
      <c r="A8921" s="181"/>
      <c r="B8921" s="182"/>
      <c r="C8921" s="183"/>
      <c r="E8921" s="184"/>
      <c r="L8921" s="129"/>
    </row>
    <row r="8922">
      <c r="A8922" s="181"/>
      <c r="B8922" s="182"/>
      <c r="C8922" s="183"/>
      <c r="E8922" s="184"/>
      <c r="L8922" s="129"/>
    </row>
    <row r="8923">
      <c r="A8923" s="181"/>
      <c r="B8923" s="182"/>
      <c r="C8923" s="183"/>
      <c r="E8923" s="184"/>
      <c r="L8923" s="129"/>
    </row>
    <row r="8924">
      <c r="A8924" s="181"/>
      <c r="B8924" s="182"/>
      <c r="C8924" s="183"/>
      <c r="E8924" s="184"/>
      <c r="L8924" s="129"/>
    </row>
    <row r="8925">
      <c r="A8925" s="181"/>
      <c r="B8925" s="182"/>
      <c r="C8925" s="183"/>
      <c r="E8925" s="184"/>
      <c r="L8925" s="129"/>
    </row>
    <row r="8926">
      <c r="A8926" s="181"/>
      <c r="B8926" s="182"/>
      <c r="C8926" s="183"/>
      <c r="E8926" s="184"/>
      <c r="L8926" s="129"/>
    </row>
    <row r="8927">
      <c r="A8927" s="181"/>
      <c r="B8927" s="182"/>
      <c r="C8927" s="183"/>
      <c r="E8927" s="184"/>
      <c r="L8927" s="129"/>
    </row>
    <row r="8928">
      <c r="A8928" s="181"/>
      <c r="B8928" s="182"/>
      <c r="C8928" s="183"/>
      <c r="E8928" s="184"/>
      <c r="L8928" s="129"/>
    </row>
    <row r="8929">
      <c r="A8929" s="181"/>
      <c r="B8929" s="182"/>
      <c r="C8929" s="183"/>
      <c r="E8929" s="184"/>
      <c r="L8929" s="129"/>
    </row>
    <row r="8930">
      <c r="A8930" s="181"/>
      <c r="B8930" s="182"/>
      <c r="C8930" s="183"/>
      <c r="E8930" s="184"/>
      <c r="L8930" s="129"/>
    </row>
    <row r="8931">
      <c r="A8931" s="181"/>
      <c r="B8931" s="182"/>
      <c r="C8931" s="183"/>
      <c r="E8931" s="184"/>
      <c r="L8931" s="129"/>
    </row>
    <row r="8932">
      <c r="A8932" s="181"/>
      <c r="B8932" s="182"/>
      <c r="C8932" s="183"/>
      <c r="E8932" s="184"/>
      <c r="L8932" s="129"/>
    </row>
    <row r="8933">
      <c r="A8933" s="181"/>
      <c r="B8933" s="182"/>
      <c r="C8933" s="183"/>
      <c r="E8933" s="184"/>
      <c r="L8933" s="129"/>
    </row>
    <row r="8934">
      <c r="A8934" s="181"/>
      <c r="B8934" s="182"/>
      <c r="C8934" s="183"/>
      <c r="E8934" s="184"/>
      <c r="L8934" s="129"/>
    </row>
    <row r="8935">
      <c r="A8935" s="181"/>
      <c r="B8935" s="182"/>
      <c r="C8935" s="183"/>
      <c r="E8935" s="184"/>
      <c r="L8935" s="129"/>
    </row>
    <row r="8936">
      <c r="A8936" s="181"/>
      <c r="B8936" s="182"/>
      <c r="C8936" s="183"/>
      <c r="E8936" s="184"/>
      <c r="L8936" s="129"/>
    </row>
    <row r="8937">
      <c r="A8937" s="181"/>
      <c r="B8937" s="182"/>
      <c r="C8937" s="183"/>
      <c r="E8937" s="184"/>
      <c r="L8937" s="129"/>
    </row>
    <row r="8938">
      <c r="A8938" s="181"/>
      <c r="B8938" s="182"/>
      <c r="C8938" s="183"/>
      <c r="E8938" s="184"/>
      <c r="L8938" s="129"/>
    </row>
    <row r="8939">
      <c r="A8939" s="181"/>
      <c r="B8939" s="182"/>
      <c r="C8939" s="183"/>
      <c r="E8939" s="184"/>
      <c r="L8939" s="129"/>
    </row>
    <row r="8940">
      <c r="A8940" s="181"/>
      <c r="B8940" s="182"/>
      <c r="C8940" s="183"/>
      <c r="E8940" s="184"/>
      <c r="L8940" s="129"/>
    </row>
    <row r="8941">
      <c r="A8941" s="181"/>
      <c r="B8941" s="182"/>
      <c r="C8941" s="183"/>
      <c r="E8941" s="184"/>
      <c r="L8941" s="129"/>
    </row>
    <row r="8942">
      <c r="A8942" s="181"/>
      <c r="B8942" s="182"/>
      <c r="C8942" s="183"/>
      <c r="E8942" s="184"/>
      <c r="L8942" s="129"/>
    </row>
    <row r="8943">
      <c r="A8943" s="181"/>
      <c r="B8943" s="182"/>
      <c r="C8943" s="183"/>
      <c r="E8943" s="184"/>
      <c r="L8943" s="129"/>
    </row>
    <row r="8944">
      <c r="A8944" s="181"/>
      <c r="B8944" s="182"/>
      <c r="C8944" s="183"/>
      <c r="E8944" s="184"/>
      <c r="L8944" s="129"/>
    </row>
    <row r="8945">
      <c r="A8945" s="181"/>
      <c r="B8945" s="182"/>
      <c r="C8945" s="183"/>
      <c r="E8945" s="184"/>
      <c r="L8945" s="129"/>
    </row>
    <row r="8946">
      <c r="A8946" s="181"/>
      <c r="B8946" s="182"/>
      <c r="C8946" s="183"/>
      <c r="E8946" s="184"/>
      <c r="L8946" s="129"/>
    </row>
    <row r="8947">
      <c r="A8947" s="181"/>
      <c r="B8947" s="182"/>
      <c r="C8947" s="183"/>
      <c r="E8947" s="184"/>
      <c r="L8947" s="129"/>
    </row>
    <row r="8948">
      <c r="A8948" s="181"/>
      <c r="B8948" s="182"/>
      <c r="C8948" s="183"/>
      <c r="E8948" s="184"/>
      <c r="L8948" s="129"/>
    </row>
    <row r="8949">
      <c r="A8949" s="181"/>
      <c r="B8949" s="182"/>
      <c r="C8949" s="183"/>
      <c r="E8949" s="184"/>
      <c r="L8949" s="129"/>
    </row>
    <row r="8950">
      <c r="A8950" s="181"/>
      <c r="B8950" s="182"/>
      <c r="C8950" s="183"/>
      <c r="E8950" s="184"/>
      <c r="L8950" s="129"/>
    </row>
    <row r="8951">
      <c r="A8951" s="181"/>
      <c r="B8951" s="182"/>
      <c r="C8951" s="183"/>
      <c r="E8951" s="184"/>
      <c r="L8951" s="129"/>
    </row>
    <row r="8952">
      <c r="A8952" s="181"/>
      <c r="B8952" s="182"/>
      <c r="C8952" s="183"/>
      <c r="E8952" s="184"/>
      <c r="L8952" s="129"/>
    </row>
    <row r="8953">
      <c r="A8953" s="181"/>
      <c r="B8953" s="182"/>
      <c r="C8953" s="183"/>
      <c r="E8953" s="184"/>
      <c r="L8953" s="129"/>
    </row>
    <row r="8954">
      <c r="A8954" s="181"/>
      <c r="B8954" s="182"/>
      <c r="C8954" s="183"/>
      <c r="E8954" s="184"/>
      <c r="L8954" s="129"/>
    </row>
    <row r="8955">
      <c r="A8955" s="181"/>
      <c r="B8955" s="182"/>
      <c r="C8955" s="183"/>
      <c r="E8955" s="184"/>
      <c r="L8955" s="129"/>
    </row>
    <row r="8956">
      <c r="A8956" s="181"/>
      <c r="B8956" s="182"/>
      <c r="C8956" s="183"/>
      <c r="E8956" s="184"/>
      <c r="L8956" s="129"/>
    </row>
    <row r="8957">
      <c r="A8957" s="181"/>
      <c r="B8957" s="182"/>
      <c r="C8957" s="183"/>
      <c r="E8957" s="184"/>
      <c r="L8957" s="129"/>
    </row>
    <row r="8958">
      <c r="A8958" s="181"/>
      <c r="B8958" s="182"/>
      <c r="C8958" s="183"/>
      <c r="E8958" s="184"/>
      <c r="L8958" s="129"/>
    </row>
    <row r="8959">
      <c r="A8959" s="181"/>
      <c r="B8959" s="182"/>
      <c r="C8959" s="183"/>
      <c r="E8959" s="184"/>
      <c r="L8959" s="129"/>
    </row>
    <row r="8960">
      <c r="A8960" s="181"/>
      <c r="B8960" s="182"/>
      <c r="C8960" s="183"/>
      <c r="E8960" s="184"/>
      <c r="L8960" s="129"/>
    </row>
    <row r="8961">
      <c r="A8961" s="181"/>
      <c r="B8961" s="182"/>
      <c r="C8961" s="183"/>
      <c r="E8961" s="184"/>
      <c r="L8961" s="129"/>
    </row>
    <row r="8962">
      <c r="A8962" s="181"/>
      <c r="B8962" s="182"/>
      <c r="C8962" s="183"/>
      <c r="E8962" s="184"/>
      <c r="L8962" s="129"/>
    </row>
    <row r="8963">
      <c r="A8963" s="181"/>
      <c r="B8963" s="182"/>
      <c r="C8963" s="183"/>
      <c r="E8963" s="184"/>
      <c r="L8963" s="129"/>
    </row>
    <row r="8964">
      <c r="A8964" s="181"/>
      <c r="B8964" s="182"/>
      <c r="C8964" s="183"/>
      <c r="E8964" s="184"/>
      <c r="L8964" s="129"/>
    </row>
    <row r="8965">
      <c r="A8965" s="181"/>
      <c r="B8965" s="182"/>
      <c r="C8965" s="183"/>
      <c r="E8965" s="184"/>
      <c r="L8965" s="129"/>
    </row>
    <row r="8966">
      <c r="A8966" s="181"/>
      <c r="B8966" s="182"/>
      <c r="C8966" s="183"/>
      <c r="E8966" s="184"/>
      <c r="L8966" s="129"/>
    </row>
    <row r="8967">
      <c r="A8967" s="181"/>
      <c r="B8967" s="182"/>
      <c r="C8967" s="183"/>
      <c r="E8967" s="184"/>
      <c r="L8967" s="129"/>
    </row>
    <row r="8968">
      <c r="A8968" s="181"/>
      <c r="B8968" s="182"/>
      <c r="C8968" s="183"/>
      <c r="E8968" s="184"/>
      <c r="L8968" s="129"/>
    </row>
    <row r="8969">
      <c r="A8969" s="181"/>
      <c r="B8969" s="182"/>
      <c r="C8969" s="183"/>
      <c r="E8969" s="184"/>
      <c r="L8969" s="129"/>
    </row>
    <row r="8970">
      <c r="A8970" s="181"/>
      <c r="B8970" s="182"/>
      <c r="C8970" s="183"/>
      <c r="E8970" s="184"/>
      <c r="L8970" s="129"/>
    </row>
    <row r="8971">
      <c r="A8971" s="181"/>
      <c r="B8971" s="182"/>
      <c r="C8971" s="183"/>
      <c r="E8971" s="184"/>
      <c r="L8971" s="129"/>
    </row>
    <row r="8972">
      <c r="A8972" s="181"/>
      <c r="B8972" s="182"/>
      <c r="C8972" s="183"/>
      <c r="E8972" s="184"/>
      <c r="L8972" s="129"/>
    </row>
    <row r="8973">
      <c r="A8973" s="181"/>
      <c r="B8973" s="182"/>
      <c r="C8973" s="183"/>
      <c r="E8973" s="184"/>
      <c r="L8973" s="129"/>
    </row>
    <row r="8974">
      <c r="A8974" s="181"/>
      <c r="B8974" s="182"/>
      <c r="C8974" s="183"/>
      <c r="E8974" s="184"/>
      <c r="L8974" s="129"/>
    </row>
    <row r="8975">
      <c r="A8975" s="181"/>
      <c r="B8975" s="182"/>
      <c r="C8975" s="183"/>
      <c r="E8975" s="184"/>
      <c r="L8975" s="129"/>
    </row>
    <row r="8976">
      <c r="A8976" s="181"/>
      <c r="B8976" s="182"/>
      <c r="C8976" s="183"/>
      <c r="E8976" s="184"/>
      <c r="L8976" s="129"/>
    </row>
    <row r="8977">
      <c r="A8977" s="181"/>
      <c r="B8977" s="182"/>
      <c r="C8977" s="183"/>
      <c r="E8977" s="184"/>
      <c r="L8977" s="129"/>
    </row>
    <row r="8978">
      <c r="A8978" s="181"/>
      <c r="B8978" s="182"/>
      <c r="C8978" s="183"/>
      <c r="E8978" s="184"/>
      <c r="L8978" s="129"/>
    </row>
    <row r="8979">
      <c r="A8979" s="181"/>
      <c r="B8979" s="182"/>
      <c r="C8979" s="183"/>
      <c r="E8979" s="184"/>
      <c r="L8979" s="129"/>
    </row>
    <row r="8980">
      <c r="A8980" s="181"/>
      <c r="B8980" s="182"/>
      <c r="C8980" s="183"/>
      <c r="E8980" s="184"/>
      <c r="L8980" s="129"/>
    </row>
    <row r="8981">
      <c r="A8981" s="181"/>
      <c r="B8981" s="182"/>
      <c r="C8981" s="183"/>
      <c r="E8981" s="184"/>
      <c r="L8981" s="129"/>
    </row>
    <row r="8982">
      <c r="A8982" s="181"/>
      <c r="B8982" s="182"/>
      <c r="C8982" s="183"/>
      <c r="E8982" s="184"/>
      <c r="L8982" s="129"/>
    </row>
    <row r="8983">
      <c r="A8983" s="181"/>
      <c r="B8983" s="182"/>
      <c r="C8983" s="183"/>
      <c r="E8983" s="184"/>
      <c r="L8983" s="129"/>
    </row>
    <row r="8984">
      <c r="A8984" s="181"/>
      <c r="B8984" s="182"/>
      <c r="C8984" s="183"/>
      <c r="E8984" s="184"/>
      <c r="L8984" s="129"/>
    </row>
    <row r="8985">
      <c r="A8985" s="181"/>
      <c r="B8985" s="182"/>
      <c r="C8985" s="183"/>
      <c r="E8985" s="184"/>
      <c r="L8985" s="129"/>
    </row>
    <row r="8986">
      <c r="A8986" s="181"/>
      <c r="B8986" s="182"/>
      <c r="C8986" s="183"/>
      <c r="E8986" s="184"/>
      <c r="L8986" s="129"/>
    </row>
    <row r="8987">
      <c r="A8987" s="181"/>
      <c r="B8987" s="182"/>
      <c r="C8987" s="183"/>
      <c r="E8987" s="184"/>
      <c r="L8987" s="129"/>
    </row>
    <row r="8988">
      <c r="A8988" s="181"/>
      <c r="B8988" s="182"/>
      <c r="C8988" s="183"/>
      <c r="E8988" s="184"/>
      <c r="L8988" s="129"/>
    </row>
    <row r="8989">
      <c r="A8989" s="181"/>
      <c r="B8989" s="182"/>
      <c r="C8989" s="183"/>
      <c r="E8989" s="184"/>
      <c r="L8989" s="129"/>
    </row>
    <row r="8990">
      <c r="A8990" s="181"/>
      <c r="B8990" s="182"/>
      <c r="C8990" s="183"/>
      <c r="E8990" s="184"/>
      <c r="L8990" s="129"/>
    </row>
    <row r="8991">
      <c r="A8991" s="181"/>
      <c r="B8991" s="182"/>
      <c r="C8991" s="183"/>
      <c r="E8991" s="184"/>
      <c r="L8991" s="129"/>
    </row>
    <row r="8992">
      <c r="A8992" s="181"/>
      <c r="B8992" s="182"/>
      <c r="C8992" s="183"/>
      <c r="E8992" s="184"/>
      <c r="L8992" s="129"/>
    </row>
    <row r="8993">
      <c r="A8993" s="181"/>
      <c r="B8993" s="182"/>
      <c r="C8993" s="183"/>
      <c r="E8993" s="184"/>
      <c r="L8993" s="129"/>
    </row>
    <row r="8994">
      <c r="A8994" s="181"/>
      <c r="B8994" s="182"/>
      <c r="C8994" s="183"/>
      <c r="E8994" s="184"/>
      <c r="L8994" s="129"/>
    </row>
    <row r="8995">
      <c r="A8995" s="181"/>
      <c r="B8995" s="182"/>
      <c r="C8995" s="183"/>
      <c r="E8995" s="184"/>
      <c r="L8995" s="129"/>
    </row>
    <row r="8996">
      <c r="A8996" s="181"/>
      <c r="B8996" s="182"/>
      <c r="C8996" s="183"/>
      <c r="E8996" s="184"/>
      <c r="L8996" s="129"/>
    </row>
    <row r="8997">
      <c r="A8997" s="181"/>
      <c r="B8997" s="182"/>
      <c r="C8997" s="183"/>
      <c r="E8997" s="184"/>
      <c r="L8997" s="129"/>
    </row>
    <row r="8998">
      <c r="A8998" s="181"/>
      <c r="B8998" s="182"/>
      <c r="C8998" s="183"/>
      <c r="E8998" s="184"/>
      <c r="L8998" s="129"/>
    </row>
    <row r="8999">
      <c r="A8999" s="181"/>
      <c r="B8999" s="182"/>
      <c r="C8999" s="183"/>
      <c r="E8999" s="184"/>
      <c r="L8999" s="129"/>
    </row>
    <row r="9000">
      <c r="A9000" s="181"/>
      <c r="B9000" s="182"/>
      <c r="C9000" s="183"/>
      <c r="E9000" s="184"/>
      <c r="L9000" s="129"/>
    </row>
    <row r="9001">
      <c r="A9001" s="181"/>
      <c r="B9001" s="182"/>
      <c r="C9001" s="183"/>
      <c r="E9001" s="184"/>
      <c r="L9001" s="129"/>
    </row>
    <row r="9002">
      <c r="A9002" s="181"/>
      <c r="B9002" s="182"/>
      <c r="C9002" s="183"/>
      <c r="E9002" s="184"/>
      <c r="L9002" s="129"/>
    </row>
    <row r="9003">
      <c r="A9003" s="181"/>
      <c r="B9003" s="182"/>
      <c r="C9003" s="183"/>
      <c r="E9003" s="184"/>
      <c r="L9003" s="129"/>
    </row>
    <row r="9004">
      <c r="A9004" s="181"/>
      <c r="B9004" s="182"/>
      <c r="C9004" s="183"/>
      <c r="E9004" s="184"/>
      <c r="L9004" s="129"/>
    </row>
    <row r="9005">
      <c r="A9005" s="181"/>
      <c r="B9005" s="182"/>
      <c r="C9005" s="183"/>
      <c r="E9005" s="184"/>
      <c r="L9005" s="129"/>
    </row>
    <row r="9006">
      <c r="A9006" s="181"/>
      <c r="B9006" s="182"/>
      <c r="C9006" s="183"/>
      <c r="E9006" s="184"/>
      <c r="L9006" s="129"/>
    </row>
    <row r="9007">
      <c r="A9007" s="181"/>
      <c r="B9007" s="182"/>
      <c r="C9007" s="183"/>
      <c r="E9007" s="184"/>
      <c r="L9007" s="129"/>
    </row>
    <row r="9008">
      <c r="A9008" s="181"/>
      <c r="B9008" s="182"/>
      <c r="C9008" s="183"/>
      <c r="E9008" s="184"/>
      <c r="L9008" s="129"/>
    </row>
    <row r="9009">
      <c r="A9009" s="181"/>
      <c r="B9009" s="182"/>
      <c r="C9009" s="183"/>
      <c r="E9009" s="184"/>
      <c r="L9009" s="129"/>
    </row>
    <row r="9010">
      <c r="A9010" s="181"/>
      <c r="B9010" s="182"/>
      <c r="C9010" s="183"/>
      <c r="E9010" s="184"/>
      <c r="L9010" s="129"/>
    </row>
    <row r="9011">
      <c r="A9011" s="181"/>
      <c r="B9011" s="182"/>
      <c r="C9011" s="183"/>
      <c r="E9011" s="184"/>
      <c r="L9011" s="129"/>
    </row>
    <row r="9012">
      <c r="A9012" s="181"/>
      <c r="B9012" s="182"/>
      <c r="C9012" s="183"/>
      <c r="E9012" s="184"/>
      <c r="L9012" s="129"/>
    </row>
    <row r="9013">
      <c r="A9013" s="181"/>
      <c r="B9013" s="182"/>
      <c r="C9013" s="183"/>
      <c r="E9013" s="184"/>
      <c r="L9013" s="129"/>
    </row>
    <row r="9014">
      <c r="A9014" s="181"/>
      <c r="B9014" s="182"/>
      <c r="C9014" s="183"/>
      <c r="E9014" s="184"/>
      <c r="L9014" s="129"/>
    </row>
    <row r="9015">
      <c r="A9015" s="181"/>
      <c r="B9015" s="182"/>
      <c r="C9015" s="183"/>
      <c r="E9015" s="184"/>
      <c r="L9015" s="129"/>
    </row>
    <row r="9016">
      <c r="A9016" s="181"/>
      <c r="B9016" s="182"/>
      <c r="C9016" s="183"/>
      <c r="E9016" s="184"/>
      <c r="L9016" s="129"/>
    </row>
    <row r="9017">
      <c r="A9017" s="181"/>
      <c r="B9017" s="182"/>
      <c r="C9017" s="183"/>
      <c r="E9017" s="184"/>
      <c r="L9017" s="129"/>
    </row>
    <row r="9018">
      <c r="A9018" s="181"/>
      <c r="B9018" s="182"/>
      <c r="C9018" s="183"/>
      <c r="E9018" s="184"/>
      <c r="L9018" s="129"/>
    </row>
    <row r="9019">
      <c r="A9019" s="181"/>
      <c r="B9019" s="182"/>
      <c r="C9019" s="183"/>
      <c r="E9019" s="184"/>
      <c r="L9019" s="129"/>
    </row>
    <row r="9020">
      <c r="A9020" s="181"/>
      <c r="B9020" s="182"/>
      <c r="C9020" s="183"/>
      <c r="E9020" s="184"/>
      <c r="L9020" s="129"/>
    </row>
    <row r="9021">
      <c r="A9021" s="181"/>
      <c r="B9021" s="182"/>
      <c r="C9021" s="183"/>
      <c r="E9021" s="184"/>
      <c r="L9021" s="129"/>
    </row>
    <row r="9022">
      <c r="A9022" s="181"/>
      <c r="B9022" s="182"/>
      <c r="C9022" s="183"/>
      <c r="E9022" s="184"/>
      <c r="L9022" s="129"/>
    </row>
    <row r="9023">
      <c r="A9023" s="181"/>
      <c r="B9023" s="182"/>
      <c r="C9023" s="183"/>
      <c r="E9023" s="184"/>
      <c r="L9023" s="129"/>
    </row>
    <row r="9024">
      <c r="A9024" s="181"/>
      <c r="B9024" s="182"/>
      <c r="C9024" s="183"/>
      <c r="E9024" s="184"/>
      <c r="L9024" s="129"/>
    </row>
    <row r="9025">
      <c r="A9025" s="181"/>
      <c r="B9025" s="182"/>
      <c r="C9025" s="183"/>
      <c r="E9025" s="184"/>
      <c r="L9025" s="129"/>
    </row>
    <row r="9026">
      <c r="A9026" s="181"/>
      <c r="B9026" s="182"/>
      <c r="C9026" s="183"/>
      <c r="E9026" s="184"/>
      <c r="L9026" s="129"/>
    </row>
    <row r="9027">
      <c r="A9027" s="181"/>
      <c r="B9027" s="182"/>
      <c r="C9027" s="183"/>
      <c r="E9027" s="184"/>
      <c r="L9027" s="129"/>
    </row>
    <row r="9028">
      <c r="A9028" s="181"/>
      <c r="B9028" s="182"/>
      <c r="C9028" s="183"/>
      <c r="E9028" s="184"/>
      <c r="L9028" s="129"/>
    </row>
    <row r="9029">
      <c r="A9029" s="181"/>
      <c r="B9029" s="182"/>
      <c r="C9029" s="183"/>
      <c r="E9029" s="184"/>
      <c r="L9029" s="129"/>
    </row>
    <row r="9030">
      <c r="A9030" s="181"/>
      <c r="B9030" s="182"/>
      <c r="C9030" s="183"/>
      <c r="E9030" s="184"/>
      <c r="L9030" s="129"/>
    </row>
    <row r="9031">
      <c r="A9031" s="181"/>
      <c r="B9031" s="182"/>
      <c r="C9031" s="183"/>
      <c r="E9031" s="184"/>
      <c r="L9031" s="129"/>
    </row>
    <row r="9032">
      <c r="A9032" s="181"/>
      <c r="B9032" s="182"/>
      <c r="C9032" s="183"/>
      <c r="E9032" s="184"/>
      <c r="L9032" s="129"/>
    </row>
    <row r="9033">
      <c r="A9033" s="181"/>
      <c r="B9033" s="182"/>
      <c r="C9033" s="183"/>
      <c r="E9033" s="184"/>
      <c r="L9033" s="129"/>
    </row>
    <row r="9034">
      <c r="A9034" s="181"/>
      <c r="B9034" s="182"/>
      <c r="C9034" s="183"/>
      <c r="E9034" s="184"/>
      <c r="L9034" s="129"/>
    </row>
    <row r="9035">
      <c r="A9035" s="181"/>
      <c r="B9035" s="182"/>
      <c r="C9035" s="183"/>
      <c r="E9035" s="184"/>
      <c r="L9035" s="129"/>
    </row>
    <row r="9036">
      <c r="A9036" s="181"/>
      <c r="B9036" s="182"/>
      <c r="C9036" s="183"/>
      <c r="E9036" s="184"/>
      <c r="L9036" s="129"/>
    </row>
    <row r="9037">
      <c r="A9037" s="181"/>
      <c r="B9037" s="182"/>
      <c r="C9037" s="183"/>
      <c r="E9037" s="184"/>
      <c r="L9037" s="129"/>
    </row>
    <row r="9038">
      <c r="A9038" s="181"/>
      <c r="B9038" s="182"/>
      <c r="C9038" s="183"/>
      <c r="E9038" s="184"/>
      <c r="L9038" s="129"/>
    </row>
    <row r="9039">
      <c r="A9039" s="181"/>
      <c r="B9039" s="182"/>
      <c r="C9039" s="183"/>
      <c r="E9039" s="184"/>
      <c r="L9039" s="129"/>
    </row>
    <row r="9040">
      <c r="A9040" s="181"/>
      <c r="B9040" s="182"/>
      <c r="C9040" s="183"/>
      <c r="E9040" s="184"/>
      <c r="L9040" s="129"/>
    </row>
    <row r="9041">
      <c r="A9041" s="181"/>
      <c r="B9041" s="182"/>
      <c r="C9041" s="183"/>
      <c r="E9041" s="184"/>
      <c r="L9041" s="129"/>
    </row>
    <row r="9042">
      <c r="A9042" s="181"/>
      <c r="B9042" s="182"/>
      <c r="C9042" s="183"/>
      <c r="E9042" s="184"/>
      <c r="L9042" s="129"/>
    </row>
    <row r="9043">
      <c r="A9043" s="181"/>
      <c r="B9043" s="182"/>
      <c r="C9043" s="183"/>
      <c r="E9043" s="184"/>
      <c r="L9043" s="129"/>
    </row>
    <row r="9044">
      <c r="A9044" s="181"/>
      <c r="B9044" s="182"/>
      <c r="C9044" s="183"/>
      <c r="E9044" s="184"/>
      <c r="L9044" s="129"/>
    </row>
    <row r="9045">
      <c r="A9045" s="181"/>
      <c r="B9045" s="182"/>
      <c r="C9045" s="183"/>
      <c r="E9045" s="184"/>
      <c r="L9045" s="129"/>
    </row>
    <row r="9046">
      <c r="A9046" s="181"/>
      <c r="B9046" s="182"/>
      <c r="C9046" s="183"/>
      <c r="E9046" s="184"/>
      <c r="L9046" s="129"/>
    </row>
    <row r="9047">
      <c r="A9047" s="181"/>
      <c r="B9047" s="182"/>
      <c r="C9047" s="183"/>
      <c r="E9047" s="184"/>
      <c r="L9047" s="129"/>
    </row>
    <row r="9048">
      <c r="A9048" s="181"/>
      <c r="B9048" s="182"/>
      <c r="C9048" s="183"/>
      <c r="E9048" s="184"/>
      <c r="L9048" s="129"/>
    </row>
    <row r="9049">
      <c r="A9049" s="181"/>
      <c r="B9049" s="182"/>
      <c r="C9049" s="183"/>
      <c r="E9049" s="184"/>
      <c r="L9049" s="129"/>
    </row>
    <row r="9050">
      <c r="A9050" s="181"/>
      <c r="B9050" s="182"/>
      <c r="C9050" s="183"/>
      <c r="E9050" s="184"/>
      <c r="L9050" s="129"/>
    </row>
    <row r="9051">
      <c r="A9051" s="181"/>
      <c r="B9051" s="182"/>
      <c r="C9051" s="183"/>
      <c r="E9051" s="184"/>
      <c r="L9051" s="129"/>
    </row>
    <row r="9052">
      <c r="A9052" s="181"/>
      <c r="B9052" s="182"/>
      <c r="C9052" s="183"/>
      <c r="E9052" s="184"/>
      <c r="L9052" s="129"/>
    </row>
    <row r="9053">
      <c r="A9053" s="181"/>
      <c r="B9053" s="182"/>
      <c r="C9053" s="183"/>
      <c r="E9053" s="184"/>
      <c r="L9053" s="129"/>
    </row>
    <row r="9054">
      <c r="A9054" s="181"/>
      <c r="B9054" s="182"/>
      <c r="C9054" s="183"/>
      <c r="E9054" s="184"/>
      <c r="L9054" s="129"/>
    </row>
    <row r="9055">
      <c r="A9055" s="181"/>
      <c r="B9055" s="182"/>
      <c r="C9055" s="183"/>
      <c r="E9055" s="184"/>
      <c r="L9055" s="129"/>
    </row>
    <row r="9056">
      <c r="A9056" s="181"/>
      <c r="B9056" s="182"/>
      <c r="C9056" s="183"/>
      <c r="E9056" s="184"/>
      <c r="L9056" s="129"/>
    </row>
    <row r="9057">
      <c r="A9057" s="181"/>
      <c r="B9057" s="182"/>
      <c r="C9057" s="183"/>
      <c r="E9057" s="184"/>
      <c r="L9057" s="129"/>
    </row>
    <row r="9058">
      <c r="A9058" s="181"/>
      <c r="B9058" s="182"/>
      <c r="C9058" s="183"/>
      <c r="E9058" s="184"/>
      <c r="L9058" s="129"/>
    </row>
    <row r="9059">
      <c r="A9059" s="181"/>
      <c r="B9059" s="182"/>
      <c r="C9059" s="183"/>
      <c r="E9059" s="184"/>
      <c r="L9059" s="129"/>
    </row>
    <row r="9060">
      <c r="A9060" s="181"/>
      <c r="B9060" s="182"/>
      <c r="C9060" s="183"/>
      <c r="E9060" s="184"/>
      <c r="L9060" s="129"/>
    </row>
    <row r="9061">
      <c r="A9061" s="181"/>
      <c r="B9061" s="182"/>
      <c r="C9061" s="183"/>
      <c r="E9061" s="184"/>
      <c r="L9061" s="129"/>
    </row>
    <row r="9062">
      <c r="A9062" s="181"/>
      <c r="B9062" s="182"/>
      <c r="C9062" s="183"/>
      <c r="E9062" s="184"/>
      <c r="L9062" s="129"/>
    </row>
    <row r="9063">
      <c r="A9063" s="181"/>
      <c r="B9063" s="182"/>
      <c r="C9063" s="183"/>
      <c r="E9063" s="184"/>
      <c r="L9063" s="129"/>
    </row>
    <row r="9064">
      <c r="A9064" s="181"/>
      <c r="B9064" s="182"/>
      <c r="C9064" s="183"/>
      <c r="E9064" s="184"/>
      <c r="L9064" s="129"/>
    </row>
    <row r="9065">
      <c r="A9065" s="181"/>
      <c r="B9065" s="182"/>
      <c r="C9065" s="183"/>
      <c r="E9065" s="184"/>
      <c r="L9065" s="129"/>
    </row>
    <row r="9066">
      <c r="A9066" s="181"/>
      <c r="B9066" s="182"/>
      <c r="C9066" s="183"/>
      <c r="E9066" s="184"/>
      <c r="L9066" s="129"/>
    </row>
    <row r="9067">
      <c r="A9067" s="181"/>
      <c r="B9067" s="182"/>
      <c r="C9067" s="183"/>
      <c r="E9067" s="184"/>
      <c r="L9067" s="129"/>
    </row>
    <row r="9068">
      <c r="A9068" s="181"/>
      <c r="B9068" s="182"/>
      <c r="C9068" s="183"/>
      <c r="E9068" s="184"/>
      <c r="L9068" s="129"/>
    </row>
    <row r="9069">
      <c r="A9069" s="181"/>
      <c r="B9069" s="182"/>
      <c r="C9069" s="183"/>
      <c r="E9069" s="184"/>
      <c r="L9069" s="129"/>
    </row>
    <row r="9070">
      <c r="A9070" s="181"/>
      <c r="B9070" s="182"/>
      <c r="C9070" s="183"/>
      <c r="E9070" s="184"/>
      <c r="L9070" s="129"/>
    </row>
    <row r="9071">
      <c r="A9071" s="181"/>
      <c r="B9071" s="182"/>
      <c r="C9071" s="183"/>
      <c r="E9071" s="184"/>
      <c r="L9071" s="129"/>
    </row>
    <row r="9072">
      <c r="A9072" s="181"/>
      <c r="B9072" s="182"/>
      <c r="C9072" s="183"/>
      <c r="E9072" s="184"/>
      <c r="L9072" s="129"/>
    </row>
    <row r="9073">
      <c r="A9073" s="181"/>
      <c r="B9073" s="182"/>
      <c r="C9073" s="183"/>
      <c r="E9073" s="184"/>
      <c r="L9073" s="129"/>
    </row>
    <row r="9074">
      <c r="A9074" s="181"/>
      <c r="B9074" s="182"/>
      <c r="C9074" s="183"/>
      <c r="E9074" s="184"/>
      <c r="L9074" s="129"/>
    </row>
    <row r="9075">
      <c r="A9075" s="181"/>
      <c r="B9075" s="182"/>
      <c r="C9075" s="183"/>
      <c r="E9075" s="184"/>
      <c r="L9075" s="129"/>
    </row>
    <row r="9076">
      <c r="A9076" s="181"/>
      <c r="B9076" s="182"/>
      <c r="C9076" s="183"/>
      <c r="E9076" s="184"/>
      <c r="L9076" s="129"/>
    </row>
    <row r="9077">
      <c r="A9077" s="181"/>
      <c r="B9077" s="182"/>
      <c r="C9077" s="183"/>
      <c r="E9077" s="184"/>
      <c r="L9077" s="129"/>
    </row>
    <row r="9078">
      <c r="A9078" s="181"/>
      <c r="B9078" s="182"/>
      <c r="C9078" s="183"/>
      <c r="E9078" s="184"/>
      <c r="L9078" s="129"/>
    </row>
    <row r="9079">
      <c r="A9079" s="181"/>
      <c r="B9079" s="182"/>
      <c r="C9079" s="183"/>
      <c r="E9079" s="184"/>
      <c r="L9079" s="129"/>
    </row>
    <row r="9080">
      <c r="A9080" s="181"/>
      <c r="B9080" s="182"/>
      <c r="C9080" s="183"/>
      <c r="E9080" s="184"/>
      <c r="L9080" s="129"/>
    </row>
    <row r="9081">
      <c r="A9081" s="181"/>
      <c r="B9081" s="182"/>
      <c r="C9081" s="183"/>
      <c r="E9081" s="184"/>
      <c r="L9081" s="129"/>
    </row>
    <row r="9082">
      <c r="A9082" s="181"/>
      <c r="B9082" s="182"/>
      <c r="C9082" s="183"/>
      <c r="E9082" s="184"/>
      <c r="L9082" s="129"/>
    </row>
    <row r="9083">
      <c r="A9083" s="181"/>
      <c r="B9083" s="182"/>
      <c r="C9083" s="183"/>
      <c r="E9083" s="184"/>
      <c r="L9083" s="129"/>
    </row>
    <row r="9084">
      <c r="A9084" s="181"/>
      <c r="B9084" s="182"/>
      <c r="C9084" s="183"/>
      <c r="E9084" s="184"/>
      <c r="L9084" s="129"/>
    </row>
    <row r="9085">
      <c r="A9085" s="181"/>
      <c r="B9085" s="182"/>
      <c r="C9085" s="183"/>
      <c r="E9085" s="184"/>
      <c r="L9085" s="129"/>
    </row>
    <row r="9086">
      <c r="A9086" s="181"/>
      <c r="B9086" s="182"/>
      <c r="C9086" s="183"/>
      <c r="E9086" s="184"/>
      <c r="L9086" s="129"/>
    </row>
    <row r="9087">
      <c r="A9087" s="181"/>
      <c r="B9087" s="182"/>
      <c r="C9087" s="183"/>
      <c r="E9087" s="184"/>
      <c r="L9087" s="129"/>
    </row>
    <row r="9088">
      <c r="A9088" s="181"/>
      <c r="B9088" s="182"/>
      <c r="C9088" s="183"/>
      <c r="E9088" s="184"/>
      <c r="L9088" s="129"/>
    </row>
    <row r="9089">
      <c r="A9089" s="181"/>
      <c r="B9089" s="182"/>
      <c r="C9089" s="183"/>
      <c r="E9089" s="184"/>
      <c r="L9089" s="129"/>
    </row>
    <row r="9090">
      <c r="A9090" s="181"/>
      <c r="B9090" s="182"/>
      <c r="C9090" s="183"/>
      <c r="E9090" s="184"/>
      <c r="L9090" s="129"/>
    </row>
    <row r="9091">
      <c r="A9091" s="181"/>
      <c r="B9091" s="182"/>
      <c r="C9091" s="183"/>
      <c r="E9091" s="184"/>
      <c r="L9091" s="129"/>
    </row>
    <row r="9092">
      <c r="A9092" s="181"/>
      <c r="B9092" s="182"/>
      <c r="C9092" s="183"/>
      <c r="E9092" s="184"/>
      <c r="L9092" s="129"/>
    </row>
    <row r="9093">
      <c r="A9093" s="181"/>
      <c r="B9093" s="182"/>
      <c r="C9093" s="183"/>
      <c r="E9093" s="184"/>
      <c r="L9093" s="129"/>
    </row>
    <row r="9094">
      <c r="A9094" s="181"/>
      <c r="B9094" s="182"/>
      <c r="C9094" s="183"/>
      <c r="E9094" s="184"/>
      <c r="L9094" s="129"/>
    </row>
    <row r="9095">
      <c r="A9095" s="181"/>
      <c r="B9095" s="182"/>
      <c r="C9095" s="183"/>
      <c r="E9095" s="184"/>
      <c r="L9095" s="129"/>
    </row>
    <row r="9096">
      <c r="A9096" s="181"/>
      <c r="B9096" s="182"/>
      <c r="C9096" s="183"/>
      <c r="E9096" s="184"/>
      <c r="L9096" s="129"/>
    </row>
    <row r="9097">
      <c r="A9097" s="181"/>
      <c r="B9097" s="182"/>
      <c r="C9097" s="183"/>
      <c r="E9097" s="184"/>
      <c r="L9097" s="129"/>
    </row>
    <row r="9098">
      <c r="A9098" s="181"/>
      <c r="B9098" s="182"/>
      <c r="C9098" s="183"/>
      <c r="E9098" s="184"/>
      <c r="L9098" s="129"/>
    </row>
    <row r="9099">
      <c r="A9099" s="181"/>
      <c r="B9099" s="182"/>
      <c r="C9099" s="183"/>
      <c r="E9099" s="184"/>
      <c r="L9099" s="129"/>
    </row>
    <row r="9100">
      <c r="A9100" s="181"/>
      <c r="B9100" s="182"/>
      <c r="C9100" s="183"/>
      <c r="E9100" s="184"/>
      <c r="L9100" s="129"/>
    </row>
    <row r="9101">
      <c r="A9101" s="181"/>
      <c r="B9101" s="182"/>
      <c r="C9101" s="183"/>
      <c r="E9101" s="184"/>
      <c r="L9101" s="129"/>
    </row>
    <row r="9102">
      <c r="A9102" s="181"/>
      <c r="B9102" s="182"/>
      <c r="C9102" s="183"/>
      <c r="E9102" s="184"/>
      <c r="L9102" s="129"/>
    </row>
    <row r="9103">
      <c r="A9103" s="181"/>
      <c r="B9103" s="182"/>
      <c r="C9103" s="183"/>
      <c r="E9103" s="184"/>
      <c r="L9103" s="129"/>
    </row>
    <row r="9104">
      <c r="A9104" s="181"/>
      <c r="B9104" s="182"/>
      <c r="C9104" s="183"/>
      <c r="E9104" s="184"/>
      <c r="L9104" s="129"/>
    </row>
    <row r="9105">
      <c r="A9105" s="181"/>
      <c r="B9105" s="182"/>
      <c r="C9105" s="183"/>
      <c r="E9105" s="184"/>
      <c r="L9105" s="129"/>
    </row>
    <row r="9106">
      <c r="A9106" s="181"/>
      <c r="B9106" s="182"/>
      <c r="C9106" s="183"/>
      <c r="E9106" s="184"/>
      <c r="L9106" s="129"/>
    </row>
    <row r="9107">
      <c r="A9107" s="181"/>
      <c r="B9107" s="182"/>
      <c r="C9107" s="183"/>
      <c r="E9107" s="184"/>
      <c r="L9107" s="129"/>
    </row>
    <row r="9108">
      <c r="A9108" s="181"/>
      <c r="B9108" s="182"/>
      <c r="C9108" s="183"/>
      <c r="E9108" s="184"/>
      <c r="L9108" s="129"/>
    </row>
    <row r="9109">
      <c r="A9109" s="181"/>
      <c r="B9109" s="182"/>
      <c r="C9109" s="183"/>
      <c r="E9109" s="184"/>
      <c r="L9109" s="129"/>
    </row>
    <row r="9110">
      <c r="A9110" s="181"/>
      <c r="B9110" s="182"/>
      <c r="C9110" s="183"/>
      <c r="E9110" s="184"/>
      <c r="L9110" s="129"/>
    </row>
    <row r="9111">
      <c r="A9111" s="181"/>
      <c r="B9111" s="182"/>
      <c r="C9111" s="183"/>
      <c r="E9111" s="184"/>
      <c r="L9111" s="129"/>
    </row>
    <row r="9112">
      <c r="A9112" s="181"/>
      <c r="B9112" s="182"/>
      <c r="C9112" s="183"/>
      <c r="E9112" s="184"/>
      <c r="L9112" s="129"/>
    </row>
    <row r="9113">
      <c r="A9113" s="181"/>
      <c r="B9113" s="182"/>
      <c r="C9113" s="183"/>
      <c r="E9113" s="184"/>
      <c r="L9113" s="129"/>
    </row>
    <row r="9114">
      <c r="A9114" s="181"/>
      <c r="B9114" s="182"/>
      <c r="C9114" s="183"/>
      <c r="E9114" s="184"/>
      <c r="L9114" s="129"/>
    </row>
    <row r="9115">
      <c r="A9115" s="181"/>
      <c r="B9115" s="182"/>
      <c r="C9115" s="183"/>
      <c r="E9115" s="184"/>
      <c r="L9115" s="129"/>
    </row>
    <row r="9116">
      <c r="A9116" s="181"/>
      <c r="B9116" s="182"/>
      <c r="C9116" s="183"/>
      <c r="E9116" s="184"/>
      <c r="L9116" s="129"/>
    </row>
    <row r="9117">
      <c r="A9117" s="181"/>
      <c r="B9117" s="182"/>
      <c r="C9117" s="183"/>
      <c r="E9117" s="184"/>
      <c r="L9117" s="129"/>
    </row>
    <row r="9118">
      <c r="A9118" s="181"/>
      <c r="B9118" s="182"/>
      <c r="C9118" s="183"/>
      <c r="E9118" s="184"/>
      <c r="L9118" s="129"/>
    </row>
    <row r="9119">
      <c r="A9119" s="181"/>
      <c r="B9119" s="182"/>
      <c r="C9119" s="183"/>
      <c r="E9119" s="184"/>
      <c r="L9119" s="129"/>
    </row>
    <row r="9120">
      <c r="A9120" s="181"/>
      <c r="B9120" s="182"/>
      <c r="C9120" s="183"/>
      <c r="E9120" s="184"/>
      <c r="L9120" s="129"/>
    </row>
    <row r="9121">
      <c r="A9121" s="181"/>
      <c r="B9121" s="182"/>
      <c r="C9121" s="183"/>
      <c r="E9121" s="184"/>
      <c r="L9121" s="129"/>
    </row>
    <row r="9122">
      <c r="A9122" s="181"/>
      <c r="B9122" s="182"/>
      <c r="C9122" s="183"/>
      <c r="E9122" s="184"/>
      <c r="L9122" s="129"/>
    </row>
    <row r="9123">
      <c r="A9123" s="181"/>
      <c r="B9123" s="182"/>
      <c r="C9123" s="183"/>
      <c r="E9123" s="184"/>
      <c r="L9123" s="129"/>
    </row>
    <row r="9124">
      <c r="A9124" s="181"/>
      <c r="B9124" s="182"/>
      <c r="C9124" s="183"/>
      <c r="E9124" s="184"/>
      <c r="L9124" s="129"/>
    </row>
    <row r="9125">
      <c r="A9125" s="181"/>
      <c r="B9125" s="182"/>
      <c r="C9125" s="183"/>
      <c r="E9125" s="184"/>
      <c r="L9125" s="129"/>
    </row>
    <row r="9126">
      <c r="A9126" s="181"/>
      <c r="B9126" s="182"/>
      <c r="C9126" s="183"/>
      <c r="E9126" s="184"/>
      <c r="L9126" s="129"/>
    </row>
    <row r="9127">
      <c r="A9127" s="181"/>
      <c r="B9127" s="182"/>
      <c r="C9127" s="183"/>
      <c r="E9127" s="184"/>
      <c r="L9127" s="129"/>
    </row>
    <row r="9128">
      <c r="A9128" s="181"/>
      <c r="B9128" s="182"/>
      <c r="C9128" s="183"/>
      <c r="E9128" s="184"/>
      <c r="L9128" s="129"/>
    </row>
    <row r="9129">
      <c r="A9129" s="181"/>
      <c r="B9129" s="182"/>
      <c r="C9129" s="183"/>
      <c r="E9129" s="184"/>
      <c r="L9129" s="129"/>
    </row>
    <row r="9130">
      <c r="A9130" s="181"/>
      <c r="B9130" s="182"/>
      <c r="C9130" s="183"/>
      <c r="E9130" s="184"/>
      <c r="L9130" s="129"/>
    </row>
    <row r="9131">
      <c r="A9131" s="181"/>
      <c r="B9131" s="182"/>
      <c r="C9131" s="183"/>
      <c r="E9131" s="184"/>
      <c r="L9131" s="129"/>
    </row>
    <row r="9132">
      <c r="A9132" s="181"/>
      <c r="B9132" s="182"/>
      <c r="C9132" s="183"/>
      <c r="E9132" s="184"/>
      <c r="L9132" s="129"/>
    </row>
    <row r="9133">
      <c r="A9133" s="181"/>
      <c r="B9133" s="182"/>
      <c r="C9133" s="183"/>
      <c r="E9133" s="184"/>
      <c r="L9133" s="129"/>
    </row>
    <row r="9134">
      <c r="A9134" s="181"/>
      <c r="B9134" s="182"/>
      <c r="C9134" s="183"/>
      <c r="E9134" s="184"/>
      <c r="L9134" s="129"/>
    </row>
    <row r="9135">
      <c r="A9135" s="181"/>
      <c r="B9135" s="182"/>
      <c r="C9135" s="183"/>
      <c r="E9135" s="184"/>
      <c r="L9135" s="129"/>
    </row>
    <row r="9136">
      <c r="A9136" s="181"/>
      <c r="B9136" s="182"/>
      <c r="C9136" s="183"/>
      <c r="E9136" s="184"/>
      <c r="L9136" s="129"/>
    </row>
    <row r="9137">
      <c r="A9137" s="181"/>
      <c r="B9137" s="182"/>
      <c r="C9137" s="183"/>
      <c r="E9137" s="184"/>
      <c r="L9137" s="129"/>
    </row>
    <row r="9138">
      <c r="A9138" s="181"/>
      <c r="B9138" s="182"/>
      <c r="C9138" s="183"/>
      <c r="E9138" s="184"/>
      <c r="L9138" s="129"/>
    </row>
    <row r="9139">
      <c r="A9139" s="181"/>
      <c r="B9139" s="182"/>
      <c r="C9139" s="183"/>
      <c r="E9139" s="184"/>
      <c r="L9139" s="129"/>
    </row>
    <row r="9140">
      <c r="A9140" s="181"/>
      <c r="B9140" s="182"/>
      <c r="C9140" s="183"/>
      <c r="E9140" s="184"/>
      <c r="L9140" s="129"/>
    </row>
    <row r="9141">
      <c r="A9141" s="181"/>
      <c r="B9141" s="182"/>
      <c r="C9141" s="183"/>
      <c r="E9141" s="184"/>
      <c r="L9141" s="129"/>
    </row>
    <row r="9142">
      <c r="A9142" s="181"/>
      <c r="B9142" s="182"/>
      <c r="C9142" s="183"/>
      <c r="E9142" s="184"/>
      <c r="L9142" s="129"/>
    </row>
    <row r="9143">
      <c r="A9143" s="181"/>
      <c r="B9143" s="182"/>
      <c r="C9143" s="183"/>
      <c r="E9143" s="184"/>
      <c r="L9143" s="129"/>
    </row>
    <row r="9144">
      <c r="A9144" s="181"/>
      <c r="B9144" s="182"/>
      <c r="C9144" s="183"/>
      <c r="E9144" s="184"/>
      <c r="L9144" s="129"/>
    </row>
    <row r="9145">
      <c r="A9145" s="181"/>
      <c r="B9145" s="182"/>
      <c r="C9145" s="183"/>
      <c r="E9145" s="184"/>
      <c r="L9145" s="129"/>
    </row>
    <row r="9146">
      <c r="A9146" s="181"/>
      <c r="B9146" s="182"/>
      <c r="C9146" s="183"/>
      <c r="E9146" s="184"/>
      <c r="L9146" s="129"/>
    </row>
    <row r="9147">
      <c r="A9147" s="181"/>
      <c r="B9147" s="182"/>
      <c r="C9147" s="183"/>
      <c r="E9147" s="184"/>
      <c r="L9147" s="129"/>
    </row>
    <row r="9148">
      <c r="A9148" s="181"/>
      <c r="B9148" s="182"/>
      <c r="C9148" s="183"/>
      <c r="E9148" s="184"/>
      <c r="L9148" s="129"/>
    </row>
    <row r="9149">
      <c r="A9149" s="181"/>
      <c r="B9149" s="182"/>
      <c r="C9149" s="183"/>
      <c r="E9149" s="184"/>
      <c r="L9149" s="129"/>
    </row>
    <row r="9150">
      <c r="A9150" s="181"/>
      <c r="B9150" s="182"/>
      <c r="C9150" s="183"/>
      <c r="E9150" s="184"/>
      <c r="L9150" s="129"/>
    </row>
    <row r="9151">
      <c r="A9151" s="181"/>
      <c r="B9151" s="182"/>
      <c r="C9151" s="183"/>
      <c r="E9151" s="184"/>
      <c r="L9151" s="129"/>
    </row>
    <row r="9152">
      <c r="A9152" s="181"/>
      <c r="B9152" s="182"/>
      <c r="C9152" s="183"/>
      <c r="E9152" s="184"/>
      <c r="L9152" s="129"/>
    </row>
    <row r="9153">
      <c r="A9153" s="181"/>
      <c r="B9153" s="182"/>
      <c r="C9153" s="183"/>
      <c r="E9153" s="184"/>
      <c r="L9153" s="129"/>
    </row>
    <row r="9154">
      <c r="A9154" s="181"/>
      <c r="B9154" s="182"/>
      <c r="C9154" s="183"/>
      <c r="E9154" s="184"/>
      <c r="L9154" s="129"/>
    </row>
    <row r="9155">
      <c r="A9155" s="181"/>
      <c r="B9155" s="182"/>
      <c r="C9155" s="183"/>
      <c r="E9155" s="184"/>
      <c r="L9155" s="129"/>
    </row>
    <row r="9156">
      <c r="A9156" s="181"/>
      <c r="B9156" s="182"/>
      <c r="C9156" s="183"/>
      <c r="E9156" s="184"/>
      <c r="L9156" s="129"/>
    </row>
    <row r="9157">
      <c r="A9157" s="181"/>
      <c r="B9157" s="182"/>
      <c r="C9157" s="183"/>
      <c r="E9157" s="184"/>
      <c r="L9157" s="129"/>
    </row>
    <row r="9158">
      <c r="A9158" s="181"/>
      <c r="B9158" s="182"/>
      <c r="C9158" s="183"/>
      <c r="E9158" s="184"/>
      <c r="L9158" s="129"/>
    </row>
    <row r="9159">
      <c r="A9159" s="181"/>
      <c r="B9159" s="182"/>
      <c r="C9159" s="183"/>
      <c r="E9159" s="184"/>
      <c r="L9159" s="129"/>
    </row>
    <row r="9160">
      <c r="A9160" s="181"/>
      <c r="B9160" s="182"/>
      <c r="C9160" s="183"/>
      <c r="E9160" s="184"/>
      <c r="L9160" s="129"/>
    </row>
    <row r="9161">
      <c r="A9161" s="181"/>
      <c r="B9161" s="182"/>
      <c r="C9161" s="183"/>
      <c r="E9161" s="184"/>
      <c r="L9161" s="129"/>
    </row>
    <row r="9162">
      <c r="A9162" s="181"/>
      <c r="B9162" s="182"/>
      <c r="C9162" s="183"/>
      <c r="E9162" s="184"/>
      <c r="L9162" s="129"/>
    </row>
    <row r="9163">
      <c r="A9163" s="181"/>
      <c r="B9163" s="182"/>
      <c r="C9163" s="183"/>
      <c r="E9163" s="184"/>
      <c r="L9163" s="129"/>
    </row>
    <row r="9164">
      <c r="A9164" s="181"/>
      <c r="B9164" s="182"/>
      <c r="C9164" s="183"/>
      <c r="E9164" s="184"/>
      <c r="L9164" s="129"/>
    </row>
    <row r="9165">
      <c r="A9165" s="181"/>
      <c r="B9165" s="182"/>
      <c r="C9165" s="183"/>
      <c r="E9165" s="184"/>
      <c r="L9165" s="129"/>
    </row>
    <row r="9166">
      <c r="A9166" s="181"/>
      <c r="B9166" s="182"/>
      <c r="C9166" s="183"/>
      <c r="E9166" s="184"/>
      <c r="L9166" s="129"/>
    </row>
    <row r="9167">
      <c r="A9167" s="181"/>
      <c r="B9167" s="182"/>
      <c r="C9167" s="183"/>
      <c r="E9167" s="184"/>
      <c r="L9167" s="129"/>
    </row>
    <row r="9168">
      <c r="A9168" s="181"/>
      <c r="B9168" s="182"/>
      <c r="C9168" s="183"/>
      <c r="E9168" s="184"/>
      <c r="L9168" s="129"/>
    </row>
    <row r="9169">
      <c r="A9169" s="181"/>
      <c r="B9169" s="182"/>
      <c r="C9169" s="183"/>
      <c r="E9169" s="184"/>
      <c r="L9169" s="129"/>
    </row>
    <row r="9170">
      <c r="A9170" s="181"/>
      <c r="B9170" s="182"/>
      <c r="C9170" s="183"/>
      <c r="E9170" s="184"/>
      <c r="L9170" s="129"/>
    </row>
    <row r="9171">
      <c r="A9171" s="181"/>
      <c r="B9171" s="182"/>
      <c r="C9171" s="183"/>
      <c r="E9171" s="184"/>
      <c r="L9171" s="129"/>
    </row>
    <row r="9172">
      <c r="A9172" s="181"/>
      <c r="B9172" s="182"/>
      <c r="C9172" s="183"/>
      <c r="E9172" s="184"/>
      <c r="L9172" s="129"/>
    </row>
    <row r="9173">
      <c r="A9173" s="181"/>
      <c r="B9173" s="182"/>
      <c r="C9173" s="183"/>
      <c r="E9173" s="184"/>
      <c r="L9173" s="129"/>
    </row>
    <row r="9174">
      <c r="A9174" s="181"/>
      <c r="B9174" s="182"/>
      <c r="C9174" s="183"/>
      <c r="E9174" s="184"/>
      <c r="L9174" s="129"/>
    </row>
    <row r="9175">
      <c r="A9175" s="181"/>
      <c r="B9175" s="182"/>
      <c r="C9175" s="183"/>
      <c r="E9175" s="184"/>
      <c r="L9175" s="129"/>
    </row>
    <row r="9176">
      <c r="A9176" s="181"/>
      <c r="B9176" s="182"/>
      <c r="C9176" s="183"/>
      <c r="E9176" s="184"/>
      <c r="L9176" s="129"/>
    </row>
    <row r="9177">
      <c r="A9177" s="181"/>
      <c r="B9177" s="182"/>
      <c r="C9177" s="183"/>
      <c r="E9177" s="184"/>
      <c r="L9177" s="129"/>
    </row>
    <row r="9178">
      <c r="A9178" s="181"/>
      <c r="B9178" s="182"/>
      <c r="C9178" s="183"/>
      <c r="E9178" s="184"/>
      <c r="L9178" s="129"/>
    </row>
    <row r="9179">
      <c r="A9179" s="181"/>
      <c r="B9179" s="182"/>
      <c r="C9179" s="183"/>
      <c r="E9179" s="184"/>
      <c r="L9179" s="129"/>
    </row>
    <row r="9180">
      <c r="A9180" s="181"/>
      <c r="B9180" s="182"/>
      <c r="C9180" s="183"/>
      <c r="E9180" s="184"/>
      <c r="L9180" s="129"/>
    </row>
    <row r="9181">
      <c r="A9181" s="181"/>
      <c r="B9181" s="182"/>
      <c r="C9181" s="183"/>
      <c r="E9181" s="184"/>
      <c r="L9181" s="129"/>
    </row>
    <row r="9182">
      <c r="A9182" s="181"/>
      <c r="B9182" s="182"/>
      <c r="C9182" s="183"/>
      <c r="E9182" s="184"/>
      <c r="L9182" s="129"/>
    </row>
    <row r="9183">
      <c r="A9183" s="181"/>
      <c r="B9183" s="182"/>
      <c r="C9183" s="183"/>
      <c r="E9183" s="184"/>
      <c r="L9183" s="129"/>
    </row>
    <row r="9184">
      <c r="A9184" s="181"/>
      <c r="B9184" s="182"/>
      <c r="C9184" s="183"/>
      <c r="E9184" s="184"/>
      <c r="L9184" s="129"/>
    </row>
    <row r="9185">
      <c r="A9185" s="181"/>
      <c r="B9185" s="182"/>
      <c r="C9185" s="183"/>
      <c r="E9185" s="184"/>
      <c r="L9185" s="129"/>
    </row>
    <row r="9186">
      <c r="A9186" s="181"/>
      <c r="B9186" s="182"/>
      <c r="C9186" s="183"/>
      <c r="E9186" s="184"/>
      <c r="L9186" s="129"/>
    </row>
    <row r="9187">
      <c r="A9187" s="181"/>
      <c r="B9187" s="182"/>
      <c r="C9187" s="183"/>
      <c r="E9187" s="184"/>
      <c r="L9187" s="129"/>
    </row>
    <row r="9188">
      <c r="A9188" s="181"/>
      <c r="B9188" s="182"/>
      <c r="C9188" s="183"/>
      <c r="E9188" s="184"/>
      <c r="L9188" s="129"/>
    </row>
    <row r="9189">
      <c r="A9189" s="181"/>
      <c r="B9189" s="182"/>
      <c r="C9189" s="183"/>
      <c r="E9189" s="184"/>
      <c r="L9189" s="129"/>
    </row>
    <row r="9190">
      <c r="A9190" s="181"/>
      <c r="B9190" s="182"/>
      <c r="C9190" s="183"/>
      <c r="E9190" s="184"/>
      <c r="L9190" s="129"/>
    </row>
    <row r="9191">
      <c r="A9191" s="181"/>
      <c r="B9191" s="182"/>
      <c r="C9191" s="183"/>
      <c r="E9191" s="184"/>
      <c r="L9191" s="129"/>
    </row>
    <row r="9192">
      <c r="A9192" s="181"/>
      <c r="B9192" s="182"/>
      <c r="C9192" s="183"/>
      <c r="E9192" s="184"/>
      <c r="L9192" s="129"/>
    </row>
    <row r="9193">
      <c r="A9193" s="181"/>
      <c r="B9193" s="182"/>
      <c r="C9193" s="183"/>
      <c r="E9193" s="184"/>
      <c r="L9193" s="129"/>
    </row>
    <row r="9194">
      <c r="A9194" s="181"/>
      <c r="B9194" s="182"/>
      <c r="C9194" s="183"/>
      <c r="E9194" s="184"/>
      <c r="L9194" s="129"/>
    </row>
    <row r="9195">
      <c r="A9195" s="181"/>
      <c r="B9195" s="182"/>
      <c r="C9195" s="183"/>
      <c r="E9195" s="184"/>
      <c r="L9195" s="129"/>
    </row>
    <row r="9196">
      <c r="A9196" s="181"/>
      <c r="B9196" s="182"/>
      <c r="C9196" s="183"/>
      <c r="E9196" s="184"/>
      <c r="L9196" s="129"/>
    </row>
    <row r="9197">
      <c r="A9197" s="181"/>
      <c r="B9197" s="182"/>
      <c r="C9197" s="183"/>
      <c r="E9197" s="184"/>
      <c r="L9197" s="129"/>
    </row>
    <row r="9198">
      <c r="A9198" s="181"/>
      <c r="B9198" s="182"/>
      <c r="C9198" s="183"/>
      <c r="E9198" s="184"/>
      <c r="L9198" s="129"/>
    </row>
    <row r="9199">
      <c r="A9199" s="181"/>
      <c r="B9199" s="182"/>
      <c r="C9199" s="183"/>
      <c r="E9199" s="184"/>
      <c r="L9199" s="129"/>
    </row>
    <row r="9200">
      <c r="A9200" s="181"/>
      <c r="B9200" s="182"/>
      <c r="C9200" s="183"/>
      <c r="E9200" s="184"/>
      <c r="L9200" s="129"/>
    </row>
    <row r="9201">
      <c r="A9201" s="181"/>
      <c r="B9201" s="182"/>
      <c r="C9201" s="183"/>
      <c r="E9201" s="184"/>
      <c r="L9201" s="129"/>
    </row>
    <row r="9202">
      <c r="A9202" s="181"/>
      <c r="B9202" s="182"/>
      <c r="C9202" s="183"/>
      <c r="E9202" s="184"/>
      <c r="L9202" s="129"/>
    </row>
    <row r="9203">
      <c r="A9203" s="181"/>
      <c r="B9203" s="182"/>
      <c r="C9203" s="183"/>
      <c r="E9203" s="184"/>
      <c r="L9203" s="129"/>
    </row>
    <row r="9204">
      <c r="A9204" s="181"/>
      <c r="B9204" s="182"/>
      <c r="C9204" s="183"/>
      <c r="E9204" s="184"/>
      <c r="L9204" s="129"/>
    </row>
    <row r="9205">
      <c r="A9205" s="181"/>
      <c r="B9205" s="182"/>
      <c r="C9205" s="183"/>
      <c r="E9205" s="184"/>
      <c r="L9205" s="129"/>
    </row>
    <row r="9206">
      <c r="A9206" s="181"/>
      <c r="B9206" s="182"/>
      <c r="C9206" s="183"/>
      <c r="E9206" s="184"/>
      <c r="L9206" s="129"/>
    </row>
    <row r="9207">
      <c r="A9207" s="181"/>
      <c r="B9207" s="182"/>
      <c r="C9207" s="183"/>
      <c r="E9207" s="184"/>
      <c r="L9207" s="129"/>
    </row>
    <row r="9208">
      <c r="A9208" s="181"/>
      <c r="B9208" s="182"/>
      <c r="C9208" s="183"/>
      <c r="E9208" s="184"/>
      <c r="L9208" s="129"/>
    </row>
    <row r="9209">
      <c r="A9209" s="181"/>
      <c r="B9209" s="182"/>
      <c r="C9209" s="183"/>
      <c r="E9209" s="184"/>
      <c r="L9209" s="129"/>
    </row>
    <row r="9210">
      <c r="A9210" s="181"/>
      <c r="B9210" s="182"/>
      <c r="C9210" s="183"/>
      <c r="E9210" s="184"/>
      <c r="L9210" s="129"/>
    </row>
    <row r="9211">
      <c r="A9211" s="181"/>
      <c r="B9211" s="182"/>
      <c r="C9211" s="183"/>
      <c r="E9211" s="184"/>
      <c r="L9211" s="129"/>
    </row>
    <row r="9212">
      <c r="A9212" s="181"/>
      <c r="B9212" s="182"/>
      <c r="C9212" s="183"/>
      <c r="E9212" s="184"/>
      <c r="L9212" s="129"/>
    </row>
    <row r="9213">
      <c r="A9213" s="181"/>
      <c r="B9213" s="182"/>
      <c r="C9213" s="183"/>
      <c r="E9213" s="184"/>
      <c r="L9213" s="129"/>
    </row>
    <row r="9214">
      <c r="A9214" s="181"/>
      <c r="B9214" s="182"/>
      <c r="C9214" s="183"/>
      <c r="E9214" s="184"/>
      <c r="L9214" s="129"/>
    </row>
    <row r="9215">
      <c r="A9215" s="181"/>
      <c r="B9215" s="182"/>
      <c r="C9215" s="183"/>
      <c r="E9215" s="184"/>
      <c r="L9215" s="129"/>
    </row>
    <row r="9216">
      <c r="A9216" s="181"/>
      <c r="B9216" s="182"/>
      <c r="C9216" s="183"/>
      <c r="E9216" s="184"/>
      <c r="L9216" s="129"/>
    </row>
    <row r="9217">
      <c r="A9217" s="181"/>
      <c r="B9217" s="182"/>
      <c r="C9217" s="183"/>
      <c r="E9217" s="184"/>
      <c r="L9217" s="129"/>
    </row>
    <row r="9218">
      <c r="A9218" s="181"/>
      <c r="B9218" s="182"/>
      <c r="C9218" s="183"/>
      <c r="E9218" s="184"/>
      <c r="L9218" s="129"/>
    </row>
    <row r="9219">
      <c r="A9219" s="181"/>
      <c r="B9219" s="182"/>
      <c r="C9219" s="183"/>
      <c r="E9219" s="184"/>
      <c r="L9219" s="129"/>
    </row>
    <row r="9220">
      <c r="A9220" s="181"/>
      <c r="B9220" s="182"/>
      <c r="C9220" s="183"/>
      <c r="E9220" s="184"/>
      <c r="L9220" s="129"/>
    </row>
    <row r="9221">
      <c r="A9221" s="181"/>
      <c r="B9221" s="182"/>
      <c r="C9221" s="183"/>
      <c r="E9221" s="184"/>
      <c r="L9221" s="129"/>
    </row>
    <row r="9222">
      <c r="A9222" s="181"/>
      <c r="B9222" s="182"/>
      <c r="C9222" s="183"/>
      <c r="E9222" s="184"/>
      <c r="L9222" s="129"/>
    </row>
    <row r="9223">
      <c r="A9223" s="181"/>
      <c r="B9223" s="182"/>
      <c r="C9223" s="183"/>
      <c r="E9223" s="184"/>
      <c r="L9223" s="129"/>
    </row>
    <row r="9224">
      <c r="A9224" s="181"/>
      <c r="B9224" s="182"/>
      <c r="C9224" s="183"/>
      <c r="E9224" s="184"/>
      <c r="L9224" s="129"/>
    </row>
    <row r="9225">
      <c r="A9225" s="181"/>
      <c r="B9225" s="182"/>
      <c r="C9225" s="183"/>
      <c r="E9225" s="184"/>
      <c r="L9225" s="129"/>
    </row>
    <row r="9226">
      <c r="A9226" s="181"/>
      <c r="B9226" s="182"/>
      <c r="C9226" s="183"/>
      <c r="E9226" s="184"/>
      <c r="L9226" s="129"/>
    </row>
    <row r="9227">
      <c r="A9227" s="181"/>
      <c r="B9227" s="182"/>
      <c r="C9227" s="183"/>
      <c r="E9227" s="184"/>
      <c r="L9227" s="129"/>
    </row>
    <row r="9228">
      <c r="A9228" s="181"/>
      <c r="B9228" s="182"/>
      <c r="C9228" s="183"/>
      <c r="E9228" s="184"/>
      <c r="L9228" s="129"/>
    </row>
    <row r="9229">
      <c r="A9229" s="181"/>
      <c r="B9229" s="182"/>
      <c r="C9229" s="183"/>
      <c r="E9229" s="184"/>
      <c r="L9229" s="129"/>
    </row>
    <row r="9230">
      <c r="A9230" s="181"/>
      <c r="B9230" s="182"/>
      <c r="C9230" s="183"/>
      <c r="E9230" s="184"/>
      <c r="L9230" s="129"/>
    </row>
    <row r="9231">
      <c r="A9231" s="181"/>
      <c r="B9231" s="182"/>
      <c r="C9231" s="183"/>
      <c r="E9231" s="184"/>
      <c r="L9231" s="129"/>
    </row>
    <row r="9232">
      <c r="A9232" s="181"/>
      <c r="B9232" s="182"/>
      <c r="C9232" s="183"/>
      <c r="E9232" s="184"/>
      <c r="L9232" s="129"/>
    </row>
    <row r="9233">
      <c r="A9233" s="181"/>
      <c r="B9233" s="182"/>
      <c r="C9233" s="183"/>
      <c r="E9233" s="184"/>
      <c r="L9233" s="129"/>
    </row>
    <row r="9234">
      <c r="A9234" s="181"/>
      <c r="B9234" s="182"/>
      <c r="C9234" s="183"/>
      <c r="E9234" s="184"/>
      <c r="L9234" s="129"/>
    </row>
    <row r="9235">
      <c r="A9235" s="181"/>
      <c r="B9235" s="182"/>
      <c r="C9235" s="183"/>
      <c r="E9235" s="184"/>
      <c r="L9235" s="129"/>
    </row>
    <row r="9236">
      <c r="A9236" s="181"/>
      <c r="B9236" s="182"/>
      <c r="C9236" s="183"/>
      <c r="E9236" s="184"/>
      <c r="L9236" s="129"/>
    </row>
    <row r="9237">
      <c r="A9237" s="181"/>
      <c r="B9237" s="182"/>
      <c r="C9237" s="183"/>
      <c r="E9237" s="184"/>
      <c r="L9237" s="129"/>
    </row>
    <row r="9238">
      <c r="A9238" s="181"/>
      <c r="B9238" s="182"/>
      <c r="C9238" s="183"/>
      <c r="E9238" s="184"/>
      <c r="L9238" s="129"/>
    </row>
    <row r="9239">
      <c r="A9239" s="181"/>
      <c r="B9239" s="182"/>
      <c r="C9239" s="183"/>
      <c r="E9239" s="184"/>
      <c r="L9239" s="129"/>
    </row>
    <row r="9240">
      <c r="A9240" s="181"/>
      <c r="B9240" s="182"/>
      <c r="C9240" s="183"/>
      <c r="E9240" s="184"/>
      <c r="L9240" s="129"/>
    </row>
    <row r="9241">
      <c r="A9241" s="181"/>
      <c r="B9241" s="182"/>
      <c r="C9241" s="183"/>
      <c r="E9241" s="184"/>
      <c r="L9241" s="129"/>
    </row>
    <row r="9242">
      <c r="A9242" s="181"/>
      <c r="B9242" s="182"/>
      <c r="C9242" s="183"/>
      <c r="E9242" s="184"/>
      <c r="L9242" s="129"/>
    </row>
    <row r="9243">
      <c r="A9243" s="181"/>
      <c r="B9243" s="182"/>
      <c r="C9243" s="183"/>
      <c r="E9243" s="184"/>
      <c r="L9243" s="129"/>
    </row>
    <row r="9244">
      <c r="A9244" s="181"/>
      <c r="B9244" s="182"/>
      <c r="C9244" s="183"/>
      <c r="E9244" s="184"/>
      <c r="L9244" s="129"/>
    </row>
    <row r="9245">
      <c r="A9245" s="181"/>
      <c r="B9245" s="182"/>
      <c r="C9245" s="183"/>
      <c r="E9245" s="184"/>
      <c r="L9245" s="129"/>
    </row>
    <row r="9246">
      <c r="A9246" s="181"/>
      <c r="B9246" s="182"/>
      <c r="C9246" s="183"/>
      <c r="E9246" s="184"/>
      <c r="L9246" s="129"/>
    </row>
    <row r="9247">
      <c r="A9247" s="181"/>
      <c r="B9247" s="182"/>
      <c r="C9247" s="183"/>
      <c r="E9247" s="184"/>
      <c r="L9247" s="129"/>
    </row>
    <row r="9248">
      <c r="A9248" s="181"/>
      <c r="B9248" s="182"/>
      <c r="C9248" s="183"/>
      <c r="E9248" s="184"/>
      <c r="L9248" s="129"/>
    </row>
    <row r="9249">
      <c r="A9249" s="181"/>
      <c r="B9249" s="182"/>
      <c r="C9249" s="183"/>
      <c r="E9249" s="184"/>
      <c r="L9249" s="129"/>
    </row>
    <row r="9250">
      <c r="A9250" s="181"/>
      <c r="B9250" s="182"/>
      <c r="C9250" s="183"/>
      <c r="E9250" s="184"/>
      <c r="L9250" s="129"/>
    </row>
    <row r="9251">
      <c r="A9251" s="181"/>
      <c r="B9251" s="182"/>
      <c r="C9251" s="183"/>
      <c r="E9251" s="184"/>
      <c r="L9251" s="129"/>
    </row>
    <row r="9252">
      <c r="A9252" s="181"/>
      <c r="B9252" s="182"/>
      <c r="C9252" s="183"/>
      <c r="E9252" s="184"/>
      <c r="L9252" s="129"/>
    </row>
    <row r="9253">
      <c r="A9253" s="181"/>
      <c r="B9253" s="182"/>
      <c r="C9253" s="183"/>
      <c r="E9253" s="184"/>
      <c r="L9253" s="129"/>
    </row>
    <row r="9254">
      <c r="A9254" s="181"/>
      <c r="B9254" s="182"/>
      <c r="C9254" s="183"/>
      <c r="E9254" s="184"/>
      <c r="L9254" s="129"/>
    </row>
    <row r="9255">
      <c r="A9255" s="181"/>
      <c r="B9255" s="182"/>
      <c r="C9255" s="183"/>
      <c r="E9255" s="184"/>
      <c r="L9255" s="129"/>
    </row>
    <row r="9256">
      <c r="A9256" s="181"/>
      <c r="B9256" s="182"/>
      <c r="C9256" s="183"/>
      <c r="E9256" s="184"/>
      <c r="L9256" s="129"/>
    </row>
    <row r="9257">
      <c r="A9257" s="181"/>
      <c r="B9257" s="182"/>
      <c r="C9257" s="183"/>
      <c r="E9257" s="184"/>
      <c r="L9257" s="129"/>
    </row>
    <row r="9258">
      <c r="A9258" s="181"/>
      <c r="B9258" s="182"/>
      <c r="C9258" s="183"/>
      <c r="E9258" s="184"/>
      <c r="L9258" s="129"/>
    </row>
    <row r="9259">
      <c r="A9259" s="181"/>
      <c r="B9259" s="182"/>
      <c r="C9259" s="183"/>
      <c r="E9259" s="184"/>
      <c r="L9259" s="129"/>
    </row>
    <row r="9260">
      <c r="A9260" s="181"/>
      <c r="B9260" s="182"/>
      <c r="C9260" s="183"/>
      <c r="E9260" s="184"/>
      <c r="L9260" s="129"/>
    </row>
    <row r="9261">
      <c r="A9261" s="181"/>
      <c r="B9261" s="182"/>
      <c r="C9261" s="183"/>
      <c r="E9261" s="184"/>
      <c r="L9261" s="129"/>
    </row>
    <row r="9262">
      <c r="A9262" s="181"/>
      <c r="B9262" s="182"/>
      <c r="C9262" s="183"/>
      <c r="E9262" s="184"/>
      <c r="L9262" s="129"/>
    </row>
    <row r="9263">
      <c r="A9263" s="181"/>
      <c r="B9263" s="182"/>
      <c r="C9263" s="183"/>
      <c r="E9263" s="184"/>
      <c r="L9263" s="129"/>
    </row>
    <row r="9264">
      <c r="A9264" s="181"/>
      <c r="B9264" s="182"/>
      <c r="C9264" s="183"/>
      <c r="E9264" s="184"/>
      <c r="L9264" s="129"/>
    </row>
    <row r="9265">
      <c r="A9265" s="181"/>
      <c r="B9265" s="182"/>
      <c r="C9265" s="183"/>
      <c r="E9265" s="184"/>
      <c r="L9265" s="129"/>
    </row>
    <row r="9266">
      <c r="A9266" s="181"/>
      <c r="B9266" s="182"/>
      <c r="C9266" s="183"/>
      <c r="E9266" s="184"/>
      <c r="L9266" s="129"/>
    </row>
    <row r="9267">
      <c r="A9267" s="181"/>
      <c r="B9267" s="182"/>
      <c r="C9267" s="183"/>
      <c r="E9267" s="184"/>
      <c r="L9267" s="129"/>
    </row>
    <row r="9268">
      <c r="A9268" s="181"/>
      <c r="B9268" s="182"/>
      <c r="C9268" s="183"/>
      <c r="E9268" s="184"/>
      <c r="L9268" s="129"/>
    </row>
    <row r="9269">
      <c r="A9269" s="181"/>
      <c r="B9269" s="182"/>
      <c r="C9269" s="183"/>
      <c r="E9269" s="184"/>
      <c r="L9269" s="129"/>
    </row>
    <row r="9270">
      <c r="A9270" s="181"/>
      <c r="B9270" s="182"/>
      <c r="C9270" s="183"/>
      <c r="E9270" s="184"/>
      <c r="L9270" s="129"/>
    </row>
    <row r="9271">
      <c r="A9271" s="181"/>
      <c r="B9271" s="182"/>
      <c r="C9271" s="183"/>
      <c r="E9271" s="184"/>
      <c r="L9271" s="129"/>
    </row>
    <row r="9272">
      <c r="A9272" s="181"/>
      <c r="B9272" s="182"/>
      <c r="C9272" s="183"/>
      <c r="E9272" s="184"/>
      <c r="L9272" s="129"/>
    </row>
    <row r="9273">
      <c r="A9273" s="181"/>
      <c r="B9273" s="182"/>
      <c r="C9273" s="183"/>
      <c r="E9273" s="184"/>
      <c r="L9273" s="129"/>
    </row>
    <row r="9274">
      <c r="A9274" s="181"/>
      <c r="B9274" s="182"/>
      <c r="C9274" s="183"/>
      <c r="E9274" s="184"/>
      <c r="L9274" s="129"/>
    </row>
    <row r="9275">
      <c r="A9275" s="181"/>
      <c r="B9275" s="182"/>
      <c r="C9275" s="183"/>
      <c r="E9275" s="184"/>
      <c r="L9275" s="129"/>
    </row>
    <row r="9276">
      <c r="A9276" s="181"/>
      <c r="B9276" s="182"/>
      <c r="C9276" s="183"/>
      <c r="E9276" s="184"/>
      <c r="L9276" s="129"/>
    </row>
    <row r="9277">
      <c r="A9277" s="181"/>
      <c r="B9277" s="182"/>
      <c r="C9277" s="183"/>
      <c r="E9277" s="184"/>
      <c r="L9277" s="129"/>
    </row>
    <row r="9278">
      <c r="A9278" s="181"/>
      <c r="B9278" s="182"/>
      <c r="C9278" s="183"/>
      <c r="E9278" s="184"/>
      <c r="L9278" s="129"/>
    </row>
    <row r="9279">
      <c r="A9279" s="181"/>
      <c r="B9279" s="182"/>
      <c r="C9279" s="183"/>
      <c r="E9279" s="184"/>
      <c r="L9279" s="129"/>
    </row>
    <row r="9280">
      <c r="A9280" s="181"/>
      <c r="B9280" s="182"/>
      <c r="C9280" s="183"/>
      <c r="E9280" s="184"/>
      <c r="L9280" s="129"/>
    </row>
    <row r="9281">
      <c r="A9281" s="181"/>
      <c r="B9281" s="182"/>
      <c r="C9281" s="183"/>
      <c r="E9281" s="184"/>
      <c r="L9281" s="129"/>
    </row>
    <row r="9282">
      <c r="A9282" s="181"/>
      <c r="B9282" s="182"/>
      <c r="C9282" s="183"/>
      <c r="E9282" s="184"/>
      <c r="L9282" s="129"/>
    </row>
    <row r="9283">
      <c r="A9283" s="181"/>
      <c r="B9283" s="182"/>
      <c r="C9283" s="183"/>
      <c r="E9283" s="184"/>
      <c r="L9283" s="129"/>
    </row>
    <row r="9284">
      <c r="A9284" s="181"/>
      <c r="B9284" s="182"/>
      <c r="C9284" s="183"/>
      <c r="E9284" s="184"/>
      <c r="L9284" s="129"/>
    </row>
    <row r="9285">
      <c r="A9285" s="181"/>
      <c r="B9285" s="182"/>
      <c r="C9285" s="183"/>
      <c r="E9285" s="184"/>
      <c r="L9285" s="129"/>
    </row>
    <row r="9286">
      <c r="A9286" s="181"/>
      <c r="B9286" s="182"/>
      <c r="C9286" s="183"/>
      <c r="E9286" s="184"/>
      <c r="L9286" s="129"/>
    </row>
    <row r="9287">
      <c r="A9287" s="181"/>
      <c r="B9287" s="182"/>
      <c r="C9287" s="183"/>
      <c r="E9287" s="184"/>
      <c r="L9287" s="129"/>
    </row>
    <row r="9288">
      <c r="A9288" s="181"/>
      <c r="B9288" s="182"/>
      <c r="C9288" s="183"/>
      <c r="E9288" s="184"/>
      <c r="L9288" s="129"/>
    </row>
    <row r="9289">
      <c r="A9289" s="181"/>
      <c r="B9289" s="182"/>
      <c r="C9289" s="183"/>
      <c r="E9289" s="184"/>
      <c r="L9289" s="129"/>
    </row>
    <row r="9290">
      <c r="A9290" s="181"/>
      <c r="B9290" s="182"/>
      <c r="C9290" s="183"/>
      <c r="E9290" s="184"/>
      <c r="L9290" s="129"/>
    </row>
    <row r="9291">
      <c r="A9291" s="181"/>
      <c r="B9291" s="182"/>
      <c r="C9291" s="183"/>
      <c r="E9291" s="184"/>
      <c r="L9291" s="129"/>
    </row>
    <row r="9292">
      <c r="A9292" s="181"/>
      <c r="B9292" s="182"/>
      <c r="C9292" s="183"/>
      <c r="E9292" s="184"/>
      <c r="L9292" s="129"/>
    </row>
    <row r="9293">
      <c r="A9293" s="181"/>
      <c r="B9293" s="182"/>
      <c r="C9293" s="183"/>
      <c r="E9293" s="184"/>
      <c r="L9293" s="129"/>
    </row>
    <row r="9294">
      <c r="A9294" s="181"/>
      <c r="B9294" s="182"/>
      <c r="C9294" s="183"/>
      <c r="E9294" s="184"/>
      <c r="L9294" s="129"/>
    </row>
    <row r="9295">
      <c r="A9295" s="181"/>
      <c r="B9295" s="182"/>
      <c r="C9295" s="183"/>
      <c r="E9295" s="184"/>
      <c r="L9295" s="129"/>
    </row>
    <row r="9296">
      <c r="A9296" s="181"/>
      <c r="B9296" s="182"/>
      <c r="C9296" s="183"/>
      <c r="E9296" s="184"/>
      <c r="L9296" s="129"/>
    </row>
    <row r="9297">
      <c r="A9297" s="181"/>
      <c r="B9297" s="182"/>
      <c r="C9297" s="183"/>
      <c r="E9297" s="184"/>
      <c r="L9297" s="129"/>
    </row>
    <row r="9298">
      <c r="A9298" s="181"/>
      <c r="B9298" s="182"/>
      <c r="C9298" s="183"/>
      <c r="E9298" s="184"/>
      <c r="L9298" s="129"/>
    </row>
    <row r="9299">
      <c r="A9299" s="181"/>
      <c r="B9299" s="182"/>
      <c r="C9299" s="183"/>
      <c r="E9299" s="184"/>
      <c r="L9299" s="129"/>
    </row>
    <row r="9300">
      <c r="A9300" s="181"/>
      <c r="B9300" s="182"/>
      <c r="C9300" s="183"/>
      <c r="E9300" s="184"/>
      <c r="L9300" s="129"/>
    </row>
    <row r="9301">
      <c r="A9301" s="181"/>
      <c r="B9301" s="182"/>
      <c r="C9301" s="183"/>
      <c r="E9301" s="184"/>
      <c r="L9301" s="129"/>
    </row>
    <row r="9302">
      <c r="A9302" s="181"/>
      <c r="B9302" s="182"/>
      <c r="C9302" s="183"/>
      <c r="E9302" s="184"/>
      <c r="L9302" s="129"/>
    </row>
    <row r="9303">
      <c r="A9303" s="181"/>
      <c r="B9303" s="182"/>
      <c r="C9303" s="183"/>
      <c r="E9303" s="184"/>
      <c r="L9303" s="129"/>
    </row>
    <row r="9304">
      <c r="A9304" s="181"/>
      <c r="B9304" s="182"/>
      <c r="C9304" s="183"/>
      <c r="E9304" s="184"/>
      <c r="L9304" s="129"/>
    </row>
    <row r="9305">
      <c r="A9305" s="181"/>
      <c r="B9305" s="182"/>
      <c r="C9305" s="183"/>
      <c r="E9305" s="184"/>
      <c r="L9305" s="129"/>
    </row>
    <row r="9306">
      <c r="A9306" s="181"/>
      <c r="B9306" s="182"/>
      <c r="C9306" s="183"/>
      <c r="E9306" s="184"/>
      <c r="L9306" s="129"/>
    </row>
    <row r="9307">
      <c r="A9307" s="181"/>
      <c r="B9307" s="182"/>
      <c r="C9307" s="183"/>
      <c r="E9307" s="184"/>
      <c r="L9307" s="129"/>
    </row>
    <row r="9308">
      <c r="A9308" s="181"/>
      <c r="B9308" s="182"/>
      <c r="C9308" s="183"/>
      <c r="E9308" s="184"/>
      <c r="L9308" s="129"/>
    </row>
    <row r="9309">
      <c r="A9309" s="181"/>
      <c r="B9309" s="182"/>
      <c r="C9309" s="183"/>
      <c r="E9309" s="184"/>
      <c r="L9309" s="129"/>
    </row>
    <row r="9310">
      <c r="A9310" s="181"/>
      <c r="B9310" s="182"/>
      <c r="C9310" s="183"/>
      <c r="E9310" s="184"/>
      <c r="L9310" s="129"/>
    </row>
    <row r="9311">
      <c r="A9311" s="181"/>
      <c r="B9311" s="182"/>
      <c r="C9311" s="183"/>
      <c r="E9311" s="184"/>
      <c r="L9311" s="129"/>
    </row>
    <row r="9312">
      <c r="A9312" s="181"/>
      <c r="B9312" s="182"/>
      <c r="C9312" s="183"/>
      <c r="E9312" s="184"/>
      <c r="L9312" s="129"/>
    </row>
    <row r="9313">
      <c r="A9313" s="181"/>
      <c r="B9313" s="182"/>
      <c r="C9313" s="183"/>
      <c r="E9313" s="184"/>
      <c r="L9313" s="129"/>
    </row>
    <row r="9314">
      <c r="A9314" s="181"/>
      <c r="B9314" s="182"/>
      <c r="C9314" s="183"/>
      <c r="E9314" s="184"/>
      <c r="L9314" s="129"/>
    </row>
    <row r="9315">
      <c r="A9315" s="181"/>
      <c r="B9315" s="182"/>
      <c r="C9315" s="183"/>
      <c r="E9315" s="184"/>
      <c r="L9315" s="129"/>
    </row>
    <row r="9316">
      <c r="A9316" s="181"/>
      <c r="B9316" s="182"/>
      <c r="C9316" s="183"/>
      <c r="E9316" s="184"/>
      <c r="L9316" s="129"/>
    </row>
    <row r="9317">
      <c r="A9317" s="181"/>
      <c r="B9317" s="182"/>
      <c r="C9317" s="183"/>
      <c r="E9317" s="184"/>
      <c r="L9317" s="129"/>
    </row>
    <row r="9318">
      <c r="A9318" s="181"/>
      <c r="B9318" s="182"/>
      <c r="C9318" s="183"/>
      <c r="E9318" s="184"/>
      <c r="L9318" s="129"/>
    </row>
    <row r="9319">
      <c r="A9319" s="181"/>
      <c r="B9319" s="182"/>
      <c r="C9319" s="183"/>
      <c r="E9319" s="184"/>
      <c r="L9319" s="129"/>
    </row>
    <row r="9320">
      <c r="A9320" s="181"/>
      <c r="B9320" s="182"/>
      <c r="C9320" s="183"/>
      <c r="E9320" s="184"/>
      <c r="L9320" s="129"/>
    </row>
    <row r="9321">
      <c r="A9321" s="181"/>
      <c r="B9321" s="182"/>
      <c r="C9321" s="183"/>
      <c r="E9321" s="184"/>
      <c r="L9321" s="129"/>
    </row>
    <row r="9322">
      <c r="A9322" s="181"/>
      <c r="B9322" s="182"/>
      <c r="C9322" s="183"/>
      <c r="E9322" s="184"/>
      <c r="L9322" s="129"/>
    </row>
    <row r="9323">
      <c r="A9323" s="181"/>
      <c r="B9323" s="182"/>
      <c r="C9323" s="183"/>
      <c r="E9323" s="184"/>
      <c r="L9323" s="129"/>
    </row>
    <row r="9324">
      <c r="A9324" s="181"/>
      <c r="B9324" s="182"/>
      <c r="C9324" s="183"/>
      <c r="E9324" s="184"/>
      <c r="L9324" s="129"/>
    </row>
    <row r="9325">
      <c r="A9325" s="181"/>
      <c r="B9325" s="182"/>
      <c r="C9325" s="183"/>
      <c r="E9325" s="184"/>
      <c r="L9325" s="129"/>
    </row>
    <row r="9326">
      <c r="A9326" s="181"/>
      <c r="B9326" s="182"/>
      <c r="C9326" s="183"/>
      <c r="E9326" s="184"/>
      <c r="L9326" s="129"/>
    </row>
    <row r="9327">
      <c r="A9327" s="181"/>
      <c r="B9327" s="182"/>
      <c r="C9327" s="183"/>
      <c r="E9327" s="184"/>
      <c r="L9327" s="129"/>
    </row>
    <row r="9328">
      <c r="A9328" s="181"/>
      <c r="B9328" s="182"/>
      <c r="C9328" s="183"/>
      <c r="E9328" s="184"/>
      <c r="L9328" s="129"/>
    </row>
    <row r="9329">
      <c r="A9329" s="181"/>
      <c r="B9329" s="182"/>
      <c r="C9329" s="183"/>
      <c r="E9329" s="184"/>
      <c r="L9329" s="129"/>
    </row>
    <row r="9330">
      <c r="A9330" s="181"/>
      <c r="B9330" s="182"/>
      <c r="C9330" s="183"/>
      <c r="E9330" s="184"/>
      <c r="L9330" s="129"/>
    </row>
    <row r="9331">
      <c r="A9331" s="181"/>
      <c r="B9331" s="182"/>
      <c r="C9331" s="183"/>
      <c r="E9331" s="184"/>
      <c r="L9331" s="129"/>
    </row>
    <row r="9332">
      <c r="A9332" s="181"/>
      <c r="B9332" s="182"/>
      <c r="C9332" s="183"/>
      <c r="E9332" s="184"/>
      <c r="L9332" s="129"/>
    </row>
    <row r="9333">
      <c r="A9333" s="181"/>
      <c r="B9333" s="182"/>
      <c r="C9333" s="183"/>
      <c r="E9333" s="184"/>
      <c r="L9333" s="129"/>
    </row>
    <row r="9334">
      <c r="A9334" s="181"/>
      <c r="B9334" s="182"/>
      <c r="C9334" s="183"/>
      <c r="E9334" s="184"/>
      <c r="L9334" s="129"/>
    </row>
    <row r="9335">
      <c r="A9335" s="181"/>
      <c r="B9335" s="182"/>
      <c r="C9335" s="183"/>
      <c r="E9335" s="184"/>
      <c r="L9335" s="129"/>
    </row>
    <row r="9336">
      <c r="A9336" s="181"/>
      <c r="B9336" s="182"/>
      <c r="C9336" s="183"/>
      <c r="E9336" s="184"/>
      <c r="L9336" s="129"/>
    </row>
    <row r="9337">
      <c r="A9337" s="181"/>
      <c r="B9337" s="182"/>
      <c r="C9337" s="183"/>
      <c r="E9337" s="184"/>
      <c r="L9337" s="129"/>
    </row>
    <row r="9338">
      <c r="A9338" s="181"/>
      <c r="B9338" s="182"/>
      <c r="C9338" s="183"/>
      <c r="E9338" s="184"/>
      <c r="L9338" s="129"/>
    </row>
    <row r="9339">
      <c r="A9339" s="181"/>
      <c r="B9339" s="182"/>
      <c r="C9339" s="183"/>
      <c r="E9339" s="184"/>
      <c r="L9339" s="129"/>
    </row>
    <row r="9340">
      <c r="A9340" s="181"/>
      <c r="B9340" s="182"/>
      <c r="C9340" s="183"/>
      <c r="E9340" s="184"/>
      <c r="L9340" s="129"/>
    </row>
    <row r="9341">
      <c r="A9341" s="181"/>
      <c r="B9341" s="182"/>
      <c r="C9341" s="183"/>
      <c r="E9341" s="184"/>
      <c r="L9341" s="129"/>
    </row>
    <row r="9342">
      <c r="A9342" s="181"/>
      <c r="B9342" s="182"/>
      <c r="C9342" s="183"/>
      <c r="E9342" s="184"/>
      <c r="L9342" s="129"/>
    </row>
    <row r="9343">
      <c r="A9343" s="181"/>
      <c r="B9343" s="182"/>
      <c r="C9343" s="183"/>
      <c r="E9343" s="184"/>
      <c r="L9343" s="129"/>
    </row>
    <row r="9344">
      <c r="A9344" s="181"/>
      <c r="B9344" s="182"/>
      <c r="C9344" s="183"/>
      <c r="E9344" s="184"/>
      <c r="L9344" s="129"/>
    </row>
    <row r="9345">
      <c r="A9345" s="181"/>
      <c r="B9345" s="182"/>
      <c r="C9345" s="183"/>
      <c r="E9345" s="184"/>
      <c r="L9345" s="129"/>
    </row>
    <row r="9346">
      <c r="A9346" s="181"/>
      <c r="B9346" s="182"/>
      <c r="C9346" s="183"/>
      <c r="E9346" s="184"/>
      <c r="L9346" s="129"/>
    </row>
    <row r="9347">
      <c r="A9347" s="181"/>
      <c r="B9347" s="182"/>
      <c r="C9347" s="183"/>
      <c r="E9347" s="184"/>
      <c r="L9347" s="129"/>
    </row>
    <row r="9348">
      <c r="A9348" s="181"/>
      <c r="B9348" s="182"/>
      <c r="C9348" s="183"/>
      <c r="E9348" s="184"/>
      <c r="L9348" s="129"/>
    </row>
    <row r="9349">
      <c r="A9349" s="181"/>
      <c r="B9349" s="182"/>
      <c r="C9349" s="183"/>
      <c r="E9349" s="184"/>
      <c r="L9349" s="129"/>
    </row>
    <row r="9350">
      <c r="A9350" s="181"/>
      <c r="B9350" s="182"/>
      <c r="C9350" s="183"/>
      <c r="E9350" s="184"/>
      <c r="L9350" s="129"/>
    </row>
    <row r="9351">
      <c r="A9351" s="181"/>
      <c r="B9351" s="182"/>
      <c r="C9351" s="183"/>
      <c r="E9351" s="184"/>
      <c r="L9351" s="129"/>
    </row>
    <row r="9352">
      <c r="A9352" s="181"/>
      <c r="B9352" s="182"/>
      <c r="C9352" s="183"/>
      <c r="E9352" s="184"/>
      <c r="L9352" s="129"/>
    </row>
    <row r="9353">
      <c r="A9353" s="181"/>
      <c r="B9353" s="182"/>
      <c r="C9353" s="183"/>
      <c r="E9353" s="184"/>
      <c r="L9353" s="129"/>
    </row>
    <row r="9354">
      <c r="A9354" s="181"/>
      <c r="B9354" s="182"/>
      <c r="C9354" s="183"/>
      <c r="E9354" s="184"/>
      <c r="L9354" s="129"/>
    </row>
    <row r="9355">
      <c r="A9355" s="181"/>
      <c r="B9355" s="182"/>
      <c r="C9355" s="183"/>
      <c r="E9355" s="184"/>
      <c r="L9355" s="129"/>
    </row>
    <row r="9356">
      <c r="A9356" s="181"/>
      <c r="B9356" s="182"/>
      <c r="C9356" s="183"/>
      <c r="E9356" s="184"/>
      <c r="L9356" s="129"/>
    </row>
    <row r="9357">
      <c r="A9357" s="181"/>
      <c r="B9357" s="182"/>
      <c r="C9357" s="183"/>
      <c r="E9357" s="184"/>
      <c r="L9357" s="129"/>
    </row>
    <row r="9358">
      <c r="A9358" s="181"/>
      <c r="B9358" s="182"/>
      <c r="C9358" s="183"/>
      <c r="E9358" s="184"/>
      <c r="L9358" s="129"/>
    </row>
    <row r="9359">
      <c r="A9359" s="181"/>
      <c r="B9359" s="182"/>
      <c r="C9359" s="183"/>
      <c r="E9359" s="184"/>
      <c r="L9359" s="129"/>
    </row>
    <row r="9360">
      <c r="A9360" s="181"/>
      <c r="B9360" s="182"/>
      <c r="C9360" s="183"/>
      <c r="E9360" s="184"/>
      <c r="L9360" s="129"/>
    </row>
    <row r="9361">
      <c r="A9361" s="181"/>
      <c r="B9361" s="182"/>
      <c r="C9361" s="183"/>
      <c r="E9361" s="184"/>
      <c r="L9361" s="129"/>
    </row>
    <row r="9362">
      <c r="A9362" s="181"/>
      <c r="B9362" s="182"/>
      <c r="C9362" s="183"/>
      <c r="E9362" s="184"/>
      <c r="L9362" s="129"/>
    </row>
    <row r="9363">
      <c r="A9363" s="181"/>
      <c r="B9363" s="182"/>
      <c r="C9363" s="183"/>
      <c r="E9363" s="184"/>
      <c r="L9363" s="129"/>
    </row>
    <row r="9364">
      <c r="A9364" s="181"/>
      <c r="B9364" s="182"/>
      <c r="C9364" s="183"/>
      <c r="E9364" s="184"/>
      <c r="L9364" s="129"/>
    </row>
    <row r="9365">
      <c r="A9365" s="181"/>
      <c r="B9365" s="182"/>
      <c r="C9365" s="183"/>
      <c r="E9365" s="184"/>
      <c r="L9365" s="129"/>
    </row>
    <row r="9366">
      <c r="A9366" s="181"/>
      <c r="B9366" s="182"/>
      <c r="C9366" s="183"/>
      <c r="E9366" s="184"/>
      <c r="L9366" s="129"/>
    </row>
    <row r="9367">
      <c r="A9367" s="181"/>
      <c r="B9367" s="182"/>
      <c r="C9367" s="183"/>
      <c r="E9367" s="184"/>
      <c r="L9367" s="129"/>
    </row>
    <row r="9368">
      <c r="A9368" s="181"/>
      <c r="B9368" s="182"/>
      <c r="C9368" s="183"/>
      <c r="E9368" s="184"/>
      <c r="L9368" s="129"/>
    </row>
    <row r="9369">
      <c r="A9369" s="181"/>
      <c r="B9369" s="182"/>
      <c r="C9369" s="183"/>
      <c r="E9369" s="184"/>
      <c r="L9369" s="129"/>
    </row>
    <row r="9370">
      <c r="A9370" s="181"/>
      <c r="B9370" s="182"/>
      <c r="C9370" s="183"/>
      <c r="E9370" s="184"/>
      <c r="L9370" s="129"/>
    </row>
    <row r="9371">
      <c r="A9371" s="181"/>
      <c r="B9371" s="182"/>
      <c r="C9371" s="183"/>
      <c r="E9371" s="184"/>
      <c r="L9371" s="129"/>
    </row>
    <row r="9372">
      <c r="A9372" s="181"/>
      <c r="B9372" s="182"/>
      <c r="C9372" s="183"/>
      <c r="E9372" s="184"/>
      <c r="L9372" s="129"/>
    </row>
    <row r="9373">
      <c r="A9373" s="181"/>
      <c r="B9373" s="182"/>
      <c r="C9373" s="183"/>
      <c r="E9373" s="184"/>
      <c r="L9373" s="129"/>
    </row>
    <row r="9374">
      <c r="A9374" s="181"/>
      <c r="B9374" s="182"/>
      <c r="C9374" s="183"/>
      <c r="E9374" s="184"/>
      <c r="L9374" s="129"/>
    </row>
    <row r="9375">
      <c r="A9375" s="181"/>
      <c r="B9375" s="182"/>
      <c r="C9375" s="183"/>
      <c r="E9375" s="184"/>
      <c r="L9375" s="129"/>
    </row>
    <row r="9376">
      <c r="A9376" s="181"/>
      <c r="B9376" s="182"/>
      <c r="C9376" s="183"/>
      <c r="E9376" s="184"/>
      <c r="L9376" s="129"/>
    </row>
    <row r="9377">
      <c r="A9377" s="181"/>
      <c r="B9377" s="182"/>
      <c r="C9377" s="183"/>
      <c r="E9377" s="184"/>
      <c r="L9377" s="129"/>
    </row>
    <row r="9378">
      <c r="A9378" s="181"/>
      <c r="B9378" s="182"/>
      <c r="C9378" s="183"/>
      <c r="E9378" s="184"/>
      <c r="L9378" s="129"/>
    </row>
    <row r="9379">
      <c r="A9379" s="181"/>
      <c r="B9379" s="182"/>
      <c r="C9379" s="183"/>
      <c r="E9379" s="184"/>
      <c r="L9379" s="129"/>
    </row>
    <row r="9380">
      <c r="A9380" s="181"/>
      <c r="B9380" s="182"/>
      <c r="C9380" s="183"/>
      <c r="E9380" s="184"/>
      <c r="L9380" s="129"/>
    </row>
    <row r="9381">
      <c r="A9381" s="181"/>
      <c r="B9381" s="182"/>
      <c r="C9381" s="183"/>
      <c r="E9381" s="184"/>
      <c r="L9381" s="129"/>
    </row>
    <row r="9382">
      <c r="A9382" s="181"/>
      <c r="B9382" s="182"/>
      <c r="C9382" s="183"/>
      <c r="E9382" s="184"/>
      <c r="L9382" s="129"/>
    </row>
    <row r="9383">
      <c r="A9383" s="181"/>
      <c r="B9383" s="182"/>
      <c r="C9383" s="183"/>
      <c r="E9383" s="184"/>
      <c r="L9383" s="129"/>
    </row>
    <row r="9384">
      <c r="A9384" s="181"/>
      <c r="B9384" s="182"/>
      <c r="C9384" s="183"/>
      <c r="E9384" s="184"/>
      <c r="L9384" s="129"/>
    </row>
    <row r="9385">
      <c r="A9385" s="181"/>
      <c r="B9385" s="182"/>
      <c r="C9385" s="183"/>
      <c r="E9385" s="184"/>
      <c r="L9385" s="129"/>
    </row>
    <row r="9386">
      <c r="A9386" s="181"/>
      <c r="B9386" s="182"/>
      <c r="C9386" s="183"/>
      <c r="E9386" s="184"/>
      <c r="L9386" s="129"/>
    </row>
    <row r="9387">
      <c r="A9387" s="181"/>
      <c r="B9387" s="182"/>
      <c r="C9387" s="183"/>
      <c r="E9387" s="184"/>
      <c r="L9387" s="129"/>
    </row>
    <row r="9388">
      <c r="A9388" s="181"/>
      <c r="B9388" s="182"/>
      <c r="C9388" s="183"/>
      <c r="E9388" s="184"/>
      <c r="L9388" s="129"/>
    </row>
    <row r="9389">
      <c r="A9389" s="181"/>
      <c r="B9389" s="182"/>
      <c r="C9389" s="183"/>
      <c r="E9389" s="184"/>
      <c r="L9389" s="129"/>
    </row>
    <row r="9390">
      <c r="A9390" s="181"/>
      <c r="B9390" s="182"/>
      <c r="C9390" s="183"/>
      <c r="E9390" s="184"/>
      <c r="L9390" s="129"/>
    </row>
    <row r="9391">
      <c r="A9391" s="181"/>
      <c r="B9391" s="182"/>
      <c r="C9391" s="183"/>
      <c r="E9391" s="184"/>
      <c r="L9391" s="129"/>
    </row>
    <row r="9392">
      <c r="A9392" s="181"/>
      <c r="B9392" s="182"/>
      <c r="C9392" s="183"/>
      <c r="E9392" s="184"/>
      <c r="L9392" s="129"/>
    </row>
    <row r="9393">
      <c r="A9393" s="181"/>
      <c r="B9393" s="182"/>
      <c r="C9393" s="183"/>
      <c r="E9393" s="184"/>
      <c r="L9393" s="129"/>
    </row>
    <row r="9394">
      <c r="A9394" s="181"/>
      <c r="B9394" s="182"/>
      <c r="C9394" s="183"/>
      <c r="E9394" s="184"/>
      <c r="L9394" s="129"/>
    </row>
    <row r="9395">
      <c r="A9395" s="181"/>
      <c r="B9395" s="182"/>
      <c r="C9395" s="183"/>
      <c r="E9395" s="184"/>
      <c r="L9395" s="129"/>
    </row>
    <row r="9396">
      <c r="A9396" s="181"/>
      <c r="B9396" s="182"/>
      <c r="C9396" s="183"/>
      <c r="E9396" s="184"/>
      <c r="L9396" s="129"/>
    </row>
    <row r="9397">
      <c r="A9397" s="181"/>
      <c r="B9397" s="182"/>
      <c r="C9397" s="183"/>
      <c r="E9397" s="184"/>
      <c r="L9397" s="129"/>
    </row>
    <row r="9398">
      <c r="A9398" s="181"/>
      <c r="B9398" s="182"/>
      <c r="C9398" s="183"/>
      <c r="E9398" s="184"/>
      <c r="L9398" s="129"/>
    </row>
    <row r="9399">
      <c r="A9399" s="181"/>
      <c r="B9399" s="182"/>
      <c r="C9399" s="183"/>
      <c r="E9399" s="184"/>
      <c r="L9399" s="129"/>
    </row>
    <row r="9400">
      <c r="A9400" s="181"/>
      <c r="B9400" s="182"/>
      <c r="C9400" s="183"/>
      <c r="E9400" s="184"/>
      <c r="L9400" s="129"/>
    </row>
    <row r="9401">
      <c r="A9401" s="181"/>
      <c r="B9401" s="182"/>
      <c r="C9401" s="183"/>
      <c r="E9401" s="184"/>
      <c r="L9401" s="129"/>
    </row>
    <row r="9402">
      <c r="A9402" s="181"/>
      <c r="B9402" s="182"/>
      <c r="C9402" s="183"/>
      <c r="E9402" s="184"/>
      <c r="L9402" s="129"/>
    </row>
    <row r="9403">
      <c r="A9403" s="181"/>
      <c r="B9403" s="182"/>
      <c r="C9403" s="183"/>
      <c r="E9403" s="184"/>
      <c r="L9403" s="129"/>
    </row>
    <row r="9404">
      <c r="A9404" s="181"/>
      <c r="B9404" s="182"/>
      <c r="C9404" s="183"/>
      <c r="E9404" s="184"/>
      <c r="L9404" s="129"/>
    </row>
    <row r="9405">
      <c r="A9405" s="181"/>
      <c r="B9405" s="182"/>
      <c r="C9405" s="183"/>
      <c r="E9405" s="184"/>
      <c r="L9405" s="129"/>
    </row>
    <row r="9406">
      <c r="A9406" s="181"/>
      <c r="B9406" s="182"/>
      <c r="C9406" s="183"/>
      <c r="E9406" s="184"/>
      <c r="L9406" s="129"/>
    </row>
    <row r="9407">
      <c r="A9407" s="181"/>
      <c r="B9407" s="182"/>
      <c r="C9407" s="183"/>
      <c r="E9407" s="184"/>
      <c r="L9407" s="129"/>
    </row>
    <row r="9408">
      <c r="A9408" s="181"/>
      <c r="B9408" s="182"/>
      <c r="C9408" s="183"/>
      <c r="E9408" s="184"/>
      <c r="L9408" s="129"/>
    </row>
    <row r="9409">
      <c r="A9409" s="181"/>
      <c r="B9409" s="182"/>
      <c r="C9409" s="183"/>
      <c r="E9409" s="184"/>
      <c r="L9409" s="129"/>
    </row>
    <row r="9410">
      <c r="A9410" s="181"/>
      <c r="B9410" s="182"/>
      <c r="C9410" s="183"/>
      <c r="E9410" s="184"/>
      <c r="L9410" s="129"/>
    </row>
    <row r="9411">
      <c r="A9411" s="181"/>
      <c r="B9411" s="182"/>
      <c r="C9411" s="183"/>
      <c r="E9411" s="184"/>
      <c r="L9411" s="129"/>
    </row>
    <row r="9412">
      <c r="A9412" s="181"/>
      <c r="B9412" s="182"/>
      <c r="C9412" s="183"/>
      <c r="E9412" s="184"/>
      <c r="L9412" s="129"/>
    </row>
    <row r="9413">
      <c r="A9413" s="181"/>
      <c r="B9413" s="182"/>
      <c r="C9413" s="183"/>
      <c r="E9413" s="184"/>
      <c r="L9413" s="129"/>
    </row>
    <row r="9414">
      <c r="A9414" s="181"/>
      <c r="B9414" s="182"/>
      <c r="C9414" s="183"/>
      <c r="E9414" s="184"/>
      <c r="L9414" s="129"/>
    </row>
    <row r="9415">
      <c r="A9415" s="181"/>
      <c r="B9415" s="182"/>
      <c r="C9415" s="183"/>
      <c r="E9415" s="184"/>
      <c r="L9415" s="129"/>
    </row>
    <row r="9416">
      <c r="A9416" s="181"/>
      <c r="B9416" s="182"/>
      <c r="C9416" s="183"/>
      <c r="E9416" s="184"/>
      <c r="L9416" s="129"/>
    </row>
    <row r="9417">
      <c r="A9417" s="181"/>
      <c r="B9417" s="182"/>
      <c r="C9417" s="183"/>
      <c r="E9417" s="184"/>
      <c r="L9417" s="129"/>
    </row>
    <row r="9418">
      <c r="A9418" s="181"/>
      <c r="B9418" s="182"/>
      <c r="C9418" s="183"/>
      <c r="E9418" s="184"/>
      <c r="L9418" s="129"/>
    </row>
    <row r="9419">
      <c r="A9419" s="181"/>
      <c r="B9419" s="182"/>
      <c r="C9419" s="183"/>
      <c r="E9419" s="184"/>
      <c r="L9419" s="129"/>
    </row>
    <row r="9420">
      <c r="A9420" s="181"/>
      <c r="B9420" s="182"/>
      <c r="C9420" s="183"/>
      <c r="E9420" s="184"/>
      <c r="L9420" s="129"/>
    </row>
    <row r="9421">
      <c r="A9421" s="181"/>
      <c r="B9421" s="182"/>
      <c r="C9421" s="183"/>
      <c r="E9421" s="184"/>
      <c r="L9421" s="129"/>
    </row>
    <row r="9422">
      <c r="A9422" s="181"/>
      <c r="B9422" s="182"/>
      <c r="C9422" s="183"/>
      <c r="E9422" s="184"/>
      <c r="L9422" s="129"/>
    </row>
    <row r="9423">
      <c r="A9423" s="181"/>
      <c r="B9423" s="182"/>
      <c r="C9423" s="183"/>
      <c r="E9423" s="184"/>
      <c r="L9423" s="129"/>
    </row>
    <row r="9424">
      <c r="A9424" s="181"/>
      <c r="B9424" s="182"/>
      <c r="C9424" s="183"/>
      <c r="E9424" s="184"/>
      <c r="L9424" s="129"/>
    </row>
    <row r="9425">
      <c r="A9425" s="181"/>
      <c r="B9425" s="182"/>
      <c r="C9425" s="183"/>
      <c r="E9425" s="184"/>
      <c r="L9425" s="129"/>
    </row>
    <row r="9426">
      <c r="A9426" s="181"/>
      <c r="B9426" s="182"/>
      <c r="C9426" s="183"/>
      <c r="E9426" s="184"/>
      <c r="L9426" s="129"/>
    </row>
    <row r="9427">
      <c r="A9427" s="181"/>
      <c r="B9427" s="182"/>
      <c r="C9427" s="183"/>
      <c r="E9427" s="184"/>
      <c r="L9427" s="129"/>
    </row>
    <row r="9428">
      <c r="A9428" s="181"/>
      <c r="B9428" s="182"/>
      <c r="C9428" s="183"/>
      <c r="E9428" s="184"/>
      <c r="L9428" s="129"/>
    </row>
    <row r="9429">
      <c r="A9429" s="181"/>
      <c r="B9429" s="182"/>
      <c r="C9429" s="183"/>
      <c r="E9429" s="184"/>
      <c r="L9429" s="129"/>
    </row>
    <row r="9430">
      <c r="A9430" s="181"/>
      <c r="B9430" s="182"/>
      <c r="C9430" s="183"/>
      <c r="E9430" s="184"/>
      <c r="L9430" s="129"/>
    </row>
    <row r="9431">
      <c r="A9431" s="181"/>
      <c r="B9431" s="182"/>
      <c r="C9431" s="183"/>
      <c r="E9431" s="184"/>
      <c r="L9431" s="129"/>
    </row>
    <row r="9432">
      <c r="A9432" s="181"/>
      <c r="B9432" s="182"/>
      <c r="C9432" s="183"/>
      <c r="E9432" s="184"/>
      <c r="L9432" s="129"/>
    </row>
    <row r="9433">
      <c r="A9433" s="181"/>
      <c r="B9433" s="182"/>
      <c r="C9433" s="183"/>
      <c r="E9433" s="184"/>
      <c r="L9433" s="129"/>
    </row>
    <row r="9434">
      <c r="A9434" s="181"/>
      <c r="B9434" s="182"/>
      <c r="C9434" s="183"/>
      <c r="E9434" s="184"/>
      <c r="L9434" s="129"/>
    </row>
    <row r="9435">
      <c r="A9435" s="181"/>
      <c r="B9435" s="182"/>
      <c r="C9435" s="183"/>
      <c r="E9435" s="184"/>
      <c r="L9435" s="129"/>
    </row>
    <row r="9436">
      <c r="A9436" s="181"/>
      <c r="B9436" s="182"/>
      <c r="C9436" s="183"/>
      <c r="E9436" s="184"/>
      <c r="L9436" s="129"/>
    </row>
    <row r="9437">
      <c r="A9437" s="181"/>
      <c r="B9437" s="182"/>
      <c r="C9437" s="183"/>
      <c r="E9437" s="184"/>
      <c r="L9437" s="129"/>
    </row>
    <row r="9438">
      <c r="A9438" s="181"/>
      <c r="B9438" s="182"/>
      <c r="C9438" s="183"/>
      <c r="E9438" s="184"/>
      <c r="L9438" s="129"/>
    </row>
    <row r="9439">
      <c r="A9439" s="181"/>
      <c r="B9439" s="182"/>
      <c r="C9439" s="183"/>
      <c r="E9439" s="184"/>
      <c r="L9439" s="129"/>
    </row>
    <row r="9440">
      <c r="A9440" s="181"/>
      <c r="B9440" s="182"/>
      <c r="C9440" s="183"/>
      <c r="E9440" s="184"/>
      <c r="L9440" s="129"/>
    </row>
    <row r="9441">
      <c r="A9441" s="181"/>
      <c r="B9441" s="182"/>
      <c r="C9441" s="183"/>
      <c r="E9441" s="184"/>
      <c r="L9441" s="129"/>
    </row>
    <row r="9442">
      <c r="A9442" s="181"/>
      <c r="B9442" s="182"/>
      <c r="C9442" s="183"/>
      <c r="E9442" s="184"/>
      <c r="L9442" s="129"/>
    </row>
    <row r="9443">
      <c r="A9443" s="181"/>
      <c r="B9443" s="182"/>
      <c r="C9443" s="183"/>
      <c r="E9443" s="184"/>
      <c r="L9443" s="129"/>
    </row>
    <row r="9444">
      <c r="A9444" s="181"/>
      <c r="B9444" s="182"/>
      <c r="C9444" s="183"/>
      <c r="E9444" s="184"/>
      <c r="L9444" s="129"/>
    </row>
    <row r="9445">
      <c r="A9445" s="181"/>
      <c r="B9445" s="182"/>
      <c r="C9445" s="183"/>
      <c r="E9445" s="184"/>
      <c r="L9445" s="129"/>
    </row>
    <row r="9446">
      <c r="A9446" s="181"/>
      <c r="B9446" s="182"/>
      <c r="C9446" s="183"/>
      <c r="E9446" s="184"/>
      <c r="L9446" s="129"/>
    </row>
    <row r="9447">
      <c r="A9447" s="181"/>
      <c r="B9447" s="182"/>
      <c r="C9447" s="183"/>
      <c r="E9447" s="184"/>
      <c r="L9447" s="129"/>
    </row>
    <row r="9448">
      <c r="A9448" s="181"/>
      <c r="B9448" s="182"/>
      <c r="C9448" s="183"/>
      <c r="E9448" s="184"/>
      <c r="L9448" s="129"/>
    </row>
    <row r="9449">
      <c r="A9449" s="181"/>
      <c r="B9449" s="182"/>
      <c r="C9449" s="183"/>
      <c r="E9449" s="184"/>
      <c r="L9449" s="129"/>
    </row>
    <row r="9450">
      <c r="A9450" s="181"/>
      <c r="B9450" s="182"/>
      <c r="C9450" s="183"/>
      <c r="E9450" s="184"/>
      <c r="L9450" s="129"/>
    </row>
    <row r="9451">
      <c r="A9451" s="181"/>
      <c r="B9451" s="182"/>
      <c r="C9451" s="183"/>
      <c r="E9451" s="184"/>
      <c r="L9451" s="129"/>
    </row>
    <row r="9452">
      <c r="A9452" s="181"/>
      <c r="B9452" s="182"/>
      <c r="C9452" s="183"/>
      <c r="E9452" s="184"/>
      <c r="L9452" s="129"/>
    </row>
    <row r="9453">
      <c r="A9453" s="181"/>
      <c r="B9453" s="182"/>
      <c r="C9453" s="183"/>
      <c r="E9453" s="184"/>
      <c r="L9453" s="129"/>
    </row>
    <row r="9454">
      <c r="A9454" s="181"/>
      <c r="B9454" s="182"/>
      <c r="C9454" s="183"/>
      <c r="E9454" s="184"/>
      <c r="L9454" s="129"/>
    </row>
    <row r="9455">
      <c r="A9455" s="181"/>
      <c r="B9455" s="182"/>
      <c r="C9455" s="183"/>
      <c r="E9455" s="184"/>
      <c r="L9455" s="129"/>
    </row>
    <row r="9456">
      <c r="A9456" s="181"/>
      <c r="B9456" s="182"/>
      <c r="C9456" s="183"/>
      <c r="E9456" s="184"/>
      <c r="L9456" s="129"/>
    </row>
    <row r="9457">
      <c r="A9457" s="181"/>
      <c r="B9457" s="182"/>
      <c r="C9457" s="183"/>
      <c r="E9457" s="184"/>
      <c r="L9457" s="129"/>
    </row>
    <row r="9458">
      <c r="A9458" s="181"/>
      <c r="B9458" s="182"/>
      <c r="C9458" s="183"/>
      <c r="E9458" s="184"/>
      <c r="L9458" s="129"/>
    </row>
    <row r="9459">
      <c r="A9459" s="181"/>
      <c r="B9459" s="182"/>
      <c r="C9459" s="183"/>
      <c r="E9459" s="184"/>
      <c r="L9459" s="129"/>
    </row>
    <row r="9460">
      <c r="A9460" s="181"/>
      <c r="B9460" s="182"/>
      <c r="C9460" s="183"/>
      <c r="E9460" s="184"/>
      <c r="L9460" s="129"/>
    </row>
    <row r="9461">
      <c r="A9461" s="181"/>
      <c r="B9461" s="182"/>
      <c r="C9461" s="183"/>
      <c r="E9461" s="184"/>
      <c r="L9461" s="129"/>
    </row>
    <row r="9462">
      <c r="A9462" s="181"/>
      <c r="B9462" s="182"/>
      <c r="C9462" s="183"/>
      <c r="E9462" s="184"/>
      <c r="L9462" s="129"/>
    </row>
    <row r="9463">
      <c r="A9463" s="181"/>
      <c r="B9463" s="182"/>
      <c r="C9463" s="183"/>
      <c r="E9463" s="184"/>
      <c r="L9463" s="129"/>
    </row>
    <row r="9464">
      <c r="A9464" s="181"/>
      <c r="B9464" s="182"/>
      <c r="C9464" s="183"/>
      <c r="E9464" s="184"/>
      <c r="L9464" s="129"/>
    </row>
    <row r="9465">
      <c r="A9465" s="181"/>
      <c r="B9465" s="182"/>
      <c r="C9465" s="183"/>
      <c r="E9465" s="184"/>
      <c r="L9465" s="129"/>
    </row>
    <row r="9466">
      <c r="A9466" s="181"/>
      <c r="B9466" s="182"/>
      <c r="C9466" s="183"/>
      <c r="E9466" s="184"/>
      <c r="L9466" s="129"/>
    </row>
    <row r="9467">
      <c r="A9467" s="181"/>
      <c r="B9467" s="182"/>
      <c r="C9467" s="183"/>
      <c r="E9467" s="184"/>
      <c r="L9467" s="129"/>
    </row>
    <row r="9468">
      <c r="A9468" s="181"/>
      <c r="B9468" s="182"/>
      <c r="C9468" s="183"/>
      <c r="E9468" s="184"/>
      <c r="L9468" s="129"/>
    </row>
    <row r="9469">
      <c r="A9469" s="181"/>
      <c r="B9469" s="182"/>
      <c r="C9469" s="183"/>
      <c r="E9469" s="184"/>
      <c r="L9469" s="129"/>
    </row>
    <row r="9470">
      <c r="A9470" s="181"/>
      <c r="B9470" s="182"/>
      <c r="C9470" s="183"/>
      <c r="E9470" s="184"/>
      <c r="L9470" s="129"/>
    </row>
    <row r="9471">
      <c r="A9471" s="181"/>
      <c r="B9471" s="182"/>
      <c r="C9471" s="183"/>
      <c r="E9471" s="184"/>
      <c r="L9471" s="129"/>
    </row>
    <row r="9472">
      <c r="A9472" s="181"/>
      <c r="B9472" s="182"/>
      <c r="C9472" s="183"/>
      <c r="E9472" s="184"/>
      <c r="L9472" s="129"/>
    </row>
    <row r="9473">
      <c r="A9473" s="181"/>
      <c r="B9473" s="182"/>
      <c r="C9473" s="183"/>
      <c r="E9473" s="184"/>
      <c r="L9473" s="129"/>
    </row>
    <row r="9474">
      <c r="A9474" s="181"/>
      <c r="B9474" s="182"/>
      <c r="C9474" s="183"/>
      <c r="E9474" s="184"/>
      <c r="L9474" s="129"/>
    </row>
    <row r="9475">
      <c r="A9475" s="181"/>
      <c r="B9475" s="182"/>
      <c r="C9475" s="183"/>
      <c r="E9475" s="184"/>
      <c r="L9475" s="129"/>
    </row>
    <row r="9476">
      <c r="A9476" s="181"/>
      <c r="B9476" s="182"/>
      <c r="C9476" s="183"/>
      <c r="E9476" s="184"/>
      <c r="L9476" s="129"/>
    </row>
    <row r="9477">
      <c r="A9477" s="181"/>
      <c r="B9477" s="182"/>
      <c r="C9477" s="183"/>
      <c r="E9477" s="184"/>
      <c r="L9477" s="129"/>
    </row>
    <row r="9478">
      <c r="A9478" s="181"/>
      <c r="B9478" s="182"/>
      <c r="C9478" s="183"/>
      <c r="E9478" s="184"/>
      <c r="L9478" s="129"/>
    </row>
    <row r="9479">
      <c r="A9479" s="181"/>
      <c r="B9479" s="182"/>
      <c r="C9479" s="183"/>
      <c r="E9479" s="184"/>
      <c r="L9479" s="129"/>
    </row>
    <row r="9480">
      <c r="A9480" s="181"/>
      <c r="B9480" s="182"/>
      <c r="C9480" s="183"/>
      <c r="E9480" s="184"/>
      <c r="L9480" s="129"/>
    </row>
    <row r="9481">
      <c r="A9481" s="181"/>
      <c r="B9481" s="182"/>
      <c r="C9481" s="183"/>
      <c r="E9481" s="184"/>
      <c r="L9481" s="129"/>
    </row>
    <row r="9482">
      <c r="A9482" s="181"/>
      <c r="B9482" s="182"/>
      <c r="C9482" s="183"/>
      <c r="E9482" s="184"/>
      <c r="L9482" s="129"/>
    </row>
    <row r="9483">
      <c r="A9483" s="181"/>
      <c r="B9483" s="182"/>
      <c r="C9483" s="183"/>
      <c r="E9483" s="184"/>
      <c r="L9483" s="129"/>
    </row>
    <row r="9484">
      <c r="A9484" s="181"/>
      <c r="B9484" s="182"/>
      <c r="C9484" s="183"/>
      <c r="E9484" s="184"/>
      <c r="L9484" s="129"/>
    </row>
    <row r="9485">
      <c r="A9485" s="181"/>
      <c r="B9485" s="182"/>
      <c r="C9485" s="183"/>
      <c r="E9485" s="184"/>
      <c r="L9485" s="129"/>
    </row>
    <row r="9486">
      <c r="A9486" s="181"/>
      <c r="B9486" s="182"/>
      <c r="C9486" s="183"/>
      <c r="E9486" s="184"/>
      <c r="L9486" s="129"/>
    </row>
    <row r="9487">
      <c r="A9487" s="181"/>
      <c r="B9487" s="182"/>
      <c r="C9487" s="183"/>
      <c r="E9487" s="184"/>
      <c r="L9487" s="129"/>
    </row>
    <row r="9488">
      <c r="A9488" s="181"/>
      <c r="B9488" s="182"/>
      <c r="C9488" s="183"/>
      <c r="E9488" s="184"/>
      <c r="L9488" s="129"/>
    </row>
    <row r="9489">
      <c r="A9489" s="181"/>
      <c r="B9489" s="182"/>
      <c r="C9489" s="183"/>
      <c r="E9489" s="184"/>
      <c r="L9489" s="129"/>
    </row>
    <row r="9490">
      <c r="A9490" s="181"/>
      <c r="B9490" s="182"/>
      <c r="C9490" s="183"/>
      <c r="E9490" s="184"/>
      <c r="L9490" s="129"/>
    </row>
    <row r="9491">
      <c r="A9491" s="181"/>
      <c r="B9491" s="182"/>
      <c r="C9491" s="183"/>
      <c r="E9491" s="184"/>
      <c r="L9491" s="129"/>
    </row>
    <row r="9492">
      <c r="A9492" s="181"/>
      <c r="B9492" s="182"/>
      <c r="C9492" s="183"/>
      <c r="E9492" s="184"/>
      <c r="L9492" s="129"/>
    </row>
    <row r="9493">
      <c r="A9493" s="181"/>
      <c r="B9493" s="182"/>
      <c r="C9493" s="183"/>
      <c r="E9493" s="184"/>
      <c r="L9493" s="129"/>
    </row>
    <row r="9494">
      <c r="A9494" s="181"/>
      <c r="B9494" s="182"/>
      <c r="C9494" s="183"/>
      <c r="E9494" s="184"/>
      <c r="L9494" s="129"/>
    </row>
    <row r="9495">
      <c r="A9495" s="181"/>
      <c r="B9495" s="182"/>
      <c r="C9495" s="183"/>
      <c r="E9495" s="184"/>
      <c r="L9495" s="129"/>
    </row>
    <row r="9496">
      <c r="A9496" s="181"/>
      <c r="B9496" s="182"/>
      <c r="C9496" s="183"/>
      <c r="E9496" s="184"/>
      <c r="L9496" s="129"/>
    </row>
    <row r="9497">
      <c r="A9497" s="181"/>
      <c r="B9497" s="182"/>
      <c r="C9497" s="183"/>
      <c r="E9497" s="184"/>
      <c r="L9497" s="129"/>
    </row>
    <row r="9498">
      <c r="A9498" s="181"/>
      <c r="B9498" s="182"/>
      <c r="C9498" s="183"/>
      <c r="E9498" s="184"/>
      <c r="L9498" s="129"/>
    </row>
    <row r="9499">
      <c r="A9499" s="181"/>
      <c r="B9499" s="182"/>
      <c r="C9499" s="183"/>
      <c r="E9499" s="184"/>
      <c r="L9499" s="129"/>
    </row>
    <row r="9500">
      <c r="A9500" s="181"/>
      <c r="B9500" s="182"/>
      <c r="C9500" s="183"/>
      <c r="E9500" s="184"/>
      <c r="L9500" s="129"/>
    </row>
    <row r="9501">
      <c r="A9501" s="181"/>
      <c r="B9501" s="182"/>
      <c r="C9501" s="183"/>
      <c r="E9501" s="184"/>
      <c r="L9501" s="129"/>
    </row>
    <row r="9502">
      <c r="A9502" s="181"/>
      <c r="B9502" s="182"/>
      <c r="C9502" s="183"/>
      <c r="E9502" s="184"/>
      <c r="L9502" s="129"/>
    </row>
    <row r="9503">
      <c r="A9503" s="181"/>
      <c r="B9503" s="182"/>
      <c r="C9503" s="183"/>
      <c r="E9503" s="184"/>
      <c r="L9503" s="129"/>
    </row>
    <row r="9504">
      <c r="A9504" s="181"/>
      <c r="B9504" s="182"/>
      <c r="C9504" s="183"/>
      <c r="E9504" s="184"/>
      <c r="L9504" s="129"/>
    </row>
    <row r="9505">
      <c r="A9505" s="181"/>
      <c r="B9505" s="182"/>
      <c r="C9505" s="183"/>
      <c r="E9505" s="184"/>
      <c r="L9505" s="129"/>
    </row>
    <row r="9506">
      <c r="A9506" s="181"/>
      <c r="B9506" s="182"/>
      <c r="C9506" s="183"/>
      <c r="E9506" s="184"/>
      <c r="L9506" s="129"/>
    </row>
    <row r="9507">
      <c r="A9507" s="181"/>
      <c r="B9507" s="182"/>
      <c r="C9507" s="183"/>
      <c r="E9507" s="184"/>
      <c r="L9507" s="129"/>
    </row>
    <row r="9508">
      <c r="A9508" s="181"/>
      <c r="B9508" s="182"/>
      <c r="C9508" s="183"/>
      <c r="E9508" s="184"/>
      <c r="L9508" s="129"/>
    </row>
    <row r="9509">
      <c r="A9509" s="181"/>
      <c r="B9509" s="182"/>
      <c r="C9509" s="183"/>
      <c r="E9509" s="184"/>
      <c r="L9509" s="129"/>
    </row>
    <row r="9510">
      <c r="A9510" s="181"/>
      <c r="B9510" s="182"/>
      <c r="C9510" s="183"/>
      <c r="E9510" s="184"/>
      <c r="L9510" s="129"/>
    </row>
    <row r="9511">
      <c r="A9511" s="181"/>
      <c r="B9511" s="182"/>
      <c r="C9511" s="183"/>
      <c r="E9511" s="184"/>
      <c r="L9511" s="129"/>
    </row>
    <row r="9512">
      <c r="A9512" s="181"/>
      <c r="B9512" s="182"/>
      <c r="C9512" s="183"/>
      <c r="E9512" s="184"/>
      <c r="L9512" s="129"/>
    </row>
    <row r="9513">
      <c r="A9513" s="181"/>
      <c r="B9513" s="182"/>
      <c r="C9513" s="183"/>
      <c r="E9513" s="184"/>
      <c r="L9513" s="129"/>
    </row>
    <row r="9514">
      <c r="A9514" s="181"/>
      <c r="B9514" s="182"/>
      <c r="C9514" s="183"/>
      <c r="E9514" s="184"/>
      <c r="L9514" s="129"/>
    </row>
    <row r="9515">
      <c r="A9515" s="181"/>
      <c r="B9515" s="182"/>
      <c r="C9515" s="183"/>
      <c r="E9515" s="184"/>
      <c r="L9515" s="129"/>
    </row>
    <row r="9516">
      <c r="A9516" s="181"/>
      <c r="B9516" s="182"/>
      <c r="C9516" s="183"/>
      <c r="E9516" s="184"/>
      <c r="L9516" s="129"/>
    </row>
    <row r="9517">
      <c r="A9517" s="181"/>
      <c r="B9517" s="182"/>
      <c r="C9517" s="183"/>
      <c r="E9517" s="184"/>
      <c r="L9517" s="129"/>
    </row>
    <row r="9518">
      <c r="A9518" s="181"/>
      <c r="B9518" s="182"/>
      <c r="C9518" s="183"/>
      <c r="E9518" s="184"/>
      <c r="L9518" s="129"/>
    </row>
    <row r="9519">
      <c r="A9519" s="181"/>
      <c r="B9519" s="182"/>
      <c r="C9519" s="183"/>
      <c r="E9519" s="184"/>
      <c r="L9519" s="129"/>
    </row>
    <row r="9520">
      <c r="A9520" s="181"/>
      <c r="B9520" s="182"/>
      <c r="C9520" s="183"/>
      <c r="E9520" s="184"/>
      <c r="L9520" s="129"/>
    </row>
    <row r="9521">
      <c r="A9521" s="181"/>
      <c r="B9521" s="182"/>
      <c r="C9521" s="183"/>
      <c r="E9521" s="184"/>
      <c r="L9521" s="129"/>
    </row>
    <row r="9522">
      <c r="A9522" s="181"/>
      <c r="B9522" s="182"/>
      <c r="C9522" s="183"/>
      <c r="E9522" s="184"/>
      <c r="L9522" s="129"/>
    </row>
    <row r="9523">
      <c r="A9523" s="181"/>
      <c r="B9523" s="182"/>
      <c r="C9523" s="183"/>
      <c r="E9523" s="184"/>
      <c r="L9523" s="129"/>
    </row>
    <row r="9524">
      <c r="A9524" s="181"/>
      <c r="B9524" s="182"/>
      <c r="C9524" s="183"/>
      <c r="E9524" s="184"/>
      <c r="L9524" s="129"/>
    </row>
    <row r="9525">
      <c r="A9525" s="181"/>
      <c r="B9525" s="182"/>
      <c r="C9525" s="183"/>
      <c r="E9525" s="184"/>
      <c r="L9525" s="129"/>
    </row>
    <row r="9526">
      <c r="A9526" s="181"/>
      <c r="B9526" s="182"/>
      <c r="C9526" s="183"/>
      <c r="E9526" s="184"/>
      <c r="L9526" s="129"/>
    </row>
    <row r="9527">
      <c r="A9527" s="181"/>
      <c r="B9527" s="182"/>
      <c r="C9527" s="183"/>
      <c r="E9527" s="184"/>
      <c r="L9527" s="129"/>
    </row>
    <row r="9528">
      <c r="A9528" s="181"/>
      <c r="B9528" s="182"/>
      <c r="C9528" s="183"/>
      <c r="E9528" s="184"/>
      <c r="L9528" s="129"/>
    </row>
    <row r="9529">
      <c r="A9529" s="181"/>
      <c r="B9529" s="182"/>
      <c r="C9529" s="183"/>
      <c r="E9529" s="184"/>
      <c r="L9529" s="129"/>
    </row>
    <row r="9530">
      <c r="A9530" s="181"/>
      <c r="B9530" s="182"/>
      <c r="C9530" s="183"/>
      <c r="E9530" s="184"/>
      <c r="L9530" s="129"/>
    </row>
    <row r="9531">
      <c r="A9531" s="181"/>
      <c r="B9531" s="182"/>
      <c r="C9531" s="183"/>
      <c r="E9531" s="184"/>
      <c r="L9531" s="129"/>
    </row>
    <row r="9532">
      <c r="A9532" s="181"/>
      <c r="B9532" s="182"/>
      <c r="C9532" s="183"/>
      <c r="E9532" s="184"/>
      <c r="L9532" s="129"/>
    </row>
    <row r="9533">
      <c r="A9533" s="181"/>
      <c r="B9533" s="182"/>
      <c r="C9533" s="183"/>
      <c r="E9533" s="184"/>
      <c r="L9533" s="129"/>
    </row>
    <row r="9534">
      <c r="A9534" s="181"/>
      <c r="B9534" s="182"/>
      <c r="C9534" s="183"/>
      <c r="E9534" s="184"/>
      <c r="L9534" s="129"/>
    </row>
    <row r="9535">
      <c r="A9535" s="181"/>
      <c r="B9535" s="182"/>
      <c r="C9535" s="183"/>
      <c r="E9535" s="184"/>
      <c r="L9535" s="129"/>
    </row>
    <row r="9536">
      <c r="A9536" s="181"/>
      <c r="B9536" s="182"/>
      <c r="C9536" s="183"/>
      <c r="E9536" s="184"/>
      <c r="L9536" s="129"/>
    </row>
    <row r="9537">
      <c r="A9537" s="181"/>
      <c r="B9537" s="182"/>
      <c r="C9537" s="183"/>
      <c r="E9537" s="184"/>
      <c r="L9537" s="129"/>
    </row>
    <row r="9538">
      <c r="A9538" s="181"/>
      <c r="B9538" s="182"/>
      <c r="C9538" s="183"/>
      <c r="E9538" s="184"/>
      <c r="L9538" s="129"/>
    </row>
    <row r="9539">
      <c r="A9539" s="181"/>
      <c r="B9539" s="182"/>
      <c r="C9539" s="183"/>
      <c r="E9539" s="184"/>
      <c r="L9539" s="129"/>
    </row>
    <row r="9540">
      <c r="A9540" s="181"/>
      <c r="B9540" s="182"/>
      <c r="C9540" s="183"/>
      <c r="E9540" s="184"/>
      <c r="L9540" s="129"/>
    </row>
    <row r="9541">
      <c r="A9541" s="181"/>
      <c r="B9541" s="182"/>
      <c r="C9541" s="183"/>
      <c r="E9541" s="184"/>
      <c r="L9541" s="129"/>
    </row>
    <row r="9542">
      <c r="A9542" s="181"/>
      <c r="B9542" s="182"/>
      <c r="C9542" s="183"/>
      <c r="E9542" s="184"/>
      <c r="L9542" s="129"/>
    </row>
    <row r="9543">
      <c r="A9543" s="181"/>
      <c r="B9543" s="182"/>
      <c r="C9543" s="183"/>
      <c r="E9543" s="184"/>
      <c r="L9543" s="129"/>
    </row>
    <row r="9544">
      <c r="A9544" s="181"/>
      <c r="B9544" s="182"/>
      <c r="C9544" s="183"/>
      <c r="E9544" s="184"/>
      <c r="L9544" s="129"/>
    </row>
    <row r="9545">
      <c r="A9545" s="181"/>
      <c r="B9545" s="182"/>
      <c r="C9545" s="183"/>
      <c r="E9545" s="184"/>
      <c r="L9545" s="129"/>
    </row>
    <row r="9546">
      <c r="A9546" s="181"/>
      <c r="B9546" s="182"/>
      <c r="C9546" s="183"/>
      <c r="E9546" s="184"/>
      <c r="L9546" s="129"/>
    </row>
    <row r="9547">
      <c r="A9547" s="181"/>
      <c r="B9547" s="182"/>
      <c r="C9547" s="183"/>
      <c r="E9547" s="184"/>
      <c r="L9547" s="129"/>
    </row>
    <row r="9548">
      <c r="A9548" s="181"/>
      <c r="B9548" s="182"/>
      <c r="C9548" s="183"/>
      <c r="E9548" s="184"/>
      <c r="L9548" s="129"/>
    </row>
    <row r="9549">
      <c r="A9549" s="181"/>
      <c r="B9549" s="182"/>
      <c r="C9549" s="183"/>
      <c r="E9549" s="184"/>
      <c r="L9549" s="129"/>
    </row>
    <row r="9550">
      <c r="A9550" s="181"/>
      <c r="B9550" s="182"/>
      <c r="C9550" s="183"/>
      <c r="E9550" s="184"/>
      <c r="L9550" s="129"/>
    </row>
    <row r="9551">
      <c r="A9551" s="181"/>
      <c r="B9551" s="182"/>
      <c r="C9551" s="183"/>
      <c r="E9551" s="184"/>
      <c r="L9551" s="129"/>
    </row>
    <row r="9552">
      <c r="A9552" s="181"/>
      <c r="B9552" s="182"/>
      <c r="C9552" s="183"/>
      <c r="E9552" s="184"/>
      <c r="L9552" s="129"/>
    </row>
    <row r="9553">
      <c r="A9553" s="181"/>
      <c r="B9553" s="182"/>
      <c r="C9553" s="183"/>
      <c r="E9553" s="184"/>
      <c r="L9553" s="129"/>
    </row>
    <row r="9554">
      <c r="A9554" s="181"/>
      <c r="B9554" s="182"/>
      <c r="C9554" s="183"/>
      <c r="E9554" s="184"/>
      <c r="L9554" s="129"/>
    </row>
    <row r="9555">
      <c r="A9555" s="181"/>
      <c r="B9555" s="182"/>
      <c r="C9555" s="183"/>
      <c r="E9555" s="184"/>
      <c r="L9555" s="129"/>
    </row>
    <row r="9556">
      <c r="A9556" s="181"/>
      <c r="B9556" s="182"/>
      <c r="C9556" s="183"/>
      <c r="E9556" s="184"/>
      <c r="L9556" s="129"/>
    </row>
    <row r="9557">
      <c r="A9557" s="181"/>
      <c r="B9557" s="182"/>
      <c r="C9557" s="183"/>
      <c r="E9557" s="184"/>
      <c r="L9557" s="129"/>
    </row>
    <row r="9558">
      <c r="A9558" s="181"/>
      <c r="B9558" s="182"/>
      <c r="C9558" s="183"/>
      <c r="E9558" s="184"/>
      <c r="L9558" s="129"/>
    </row>
    <row r="9559">
      <c r="A9559" s="181"/>
      <c r="B9559" s="182"/>
      <c r="C9559" s="183"/>
      <c r="E9559" s="184"/>
      <c r="L9559" s="129"/>
    </row>
    <row r="9560">
      <c r="A9560" s="181"/>
      <c r="B9560" s="182"/>
      <c r="C9560" s="183"/>
      <c r="E9560" s="184"/>
      <c r="L9560" s="129"/>
    </row>
    <row r="9561">
      <c r="A9561" s="181"/>
      <c r="B9561" s="182"/>
      <c r="C9561" s="183"/>
      <c r="E9561" s="184"/>
      <c r="L9561" s="129"/>
    </row>
    <row r="9562">
      <c r="A9562" s="181"/>
      <c r="B9562" s="182"/>
      <c r="C9562" s="183"/>
      <c r="E9562" s="184"/>
      <c r="L9562" s="129"/>
    </row>
    <row r="9563">
      <c r="A9563" s="181"/>
      <c r="B9563" s="182"/>
      <c r="C9563" s="183"/>
      <c r="E9563" s="184"/>
      <c r="L9563" s="129"/>
    </row>
    <row r="9564">
      <c r="A9564" s="181"/>
      <c r="B9564" s="182"/>
      <c r="C9564" s="183"/>
      <c r="E9564" s="184"/>
      <c r="L9564" s="129"/>
    </row>
    <row r="9565">
      <c r="A9565" s="181"/>
      <c r="B9565" s="182"/>
      <c r="C9565" s="183"/>
      <c r="E9565" s="184"/>
      <c r="L9565" s="129"/>
    </row>
    <row r="9566">
      <c r="A9566" s="181"/>
      <c r="B9566" s="182"/>
      <c r="C9566" s="183"/>
      <c r="E9566" s="184"/>
      <c r="L9566" s="129"/>
    </row>
    <row r="9567">
      <c r="A9567" s="181"/>
      <c r="B9567" s="182"/>
      <c r="C9567" s="183"/>
      <c r="E9567" s="184"/>
      <c r="L9567" s="129"/>
    </row>
    <row r="9568">
      <c r="A9568" s="181"/>
      <c r="B9568" s="182"/>
      <c r="C9568" s="183"/>
      <c r="E9568" s="184"/>
      <c r="L9568" s="129"/>
    </row>
    <row r="9569">
      <c r="A9569" s="181"/>
      <c r="B9569" s="182"/>
      <c r="C9569" s="183"/>
      <c r="E9569" s="184"/>
      <c r="L9569" s="129"/>
    </row>
    <row r="9570">
      <c r="A9570" s="181"/>
      <c r="B9570" s="182"/>
      <c r="C9570" s="183"/>
      <c r="E9570" s="184"/>
      <c r="L9570" s="129"/>
    </row>
    <row r="9571">
      <c r="A9571" s="181"/>
      <c r="B9571" s="182"/>
      <c r="C9571" s="183"/>
      <c r="E9571" s="184"/>
      <c r="L9571" s="129"/>
    </row>
    <row r="9572">
      <c r="A9572" s="181"/>
      <c r="B9572" s="182"/>
      <c r="C9572" s="183"/>
      <c r="E9572" s="184"/>
      <c r="L9572" s="129"/>
    </row>
    <row r="9573">
      <c r="A9573" s="181"/>
      <c r="B9573" s="182"/>
      <c r="C9573" s="183"/>
      <c r="E9573" s="184"/>
      <c r="L9573" s="129"/>
    </row>
    <row r="9574">
      <c r="A9574" s="181"/>
      <c r="B9574" s="182"/>
      <c r="C9574" s="183"/>
      <c r="E9574" s="184"/>
      <c r="L9574" s="129"/>
    </row>
    <row r="9575">
      <c r="A9575" s="181"/>
      <c r="B9575" s="182"/>
      <c r="C9575" s="183"/>
      <c r="E9575" s="184"/>
      <c r="L9575" s="129"/>
    </row>
    <row r="9576">
      <c r="A9576" s="181"/>
      <c r="B9576" s="182"/>
      <c r="C9576" s="183"/>
      <c r="E9576" s="184"/>
      <c r="L9576" s="129"/>
    </row>
    <row r="9577">
      <c r="A9577" s="181"/>
      <c r="B9577" s="182"/>
      <c r="C9577" s="183"/>
      <c r="E9577" s="184"/>
      <c r="L9577" s="129"/>
    </row>
    <row r="9578">
      <c r="A9578" s="181"/>
      <c r="B9578" s="182"/>
      <c r="C9578" s="183"/>
      <c r="E9578" s="184"/>
      <c r="L9578" s="129"/>
    </row>
    <row r="9579">
      <c r="A9579" s="181"/>
      <c r="B9579" s="182"/>
      <c r="C9579" s="183"/>
      <c r="E9579" s="184"/>
      <c r="L9579" s="129"/>
    </row>
    <row r="9580">
      <c r="A9580" s="181"/>
      <c r="B9580" s="182"/>
      <c r="C9580" s="183"/>
      <c r="E9580" s="184"/>
      <c r="L9580" s="129"/>
    </row>
    <row r="9581">
      <c r="A9581" s="181"/>
      <c r="B9581" s="182"/>
      <c r="C9581" s="183"/>
      <c r="E9581" s="184"/>
      <c r="L9581" s="129"/>
    </row>
    <row r="9582">
      <c r="A9582" s="181"/>
      <c r="B9582" s="182"/>
      <c r="C9582" s="183"/>
      <c r="E9582" s="184"/>
      <c r="L9582" s="129"/>
    </row>
    <row r="9583">
      <c r="A9583" s="181"/>
      <c r="B9583" s="182"/>
      <c r="C9583" s="183"/>
      <c r="E9583" s="184"/>
      <c r="L9583" s="129"/>
    </row>
    <row r="9584">
      <c r="A9584" s="181"/>
      <c r="B9584" s="182"/>
      <c r="C9584" s="183"/>
      <c r="E9584" s="184"/>
      <c r="L9584" s="129"/>
    </row>
    <row r="9585">
      <c r="A9585" s="181"/>
      <c r="B9585" s="182"/>
      <c r="C9585" s="183"/>
      <c r="E9585" s="184"/>
      <c r="L9585" s="129"/>
    </row>
    <row r="9586">
      <c r="A9586" s="181"/>
      <c r="B9586" s="182"/>
      <c r="C9586" s="183"/>
      <c r="E9586" s="184"/>
      <c r="L9586" s="129"/>
    </row>
    <row r="9587">
      <c r="A9587" s="181"/>
      <c r="B9587" s="182"/>
      <c r="C9587" s="183"/>
      <c r="E9587" s="184"/>
      <c r="L9587" s="129"/>
    </row>
    <row r="9588">
      <c r="A9588" s="181"/>
      <c r="B9588" s="182"/>
      <c r="C9588" s="183"/>
      <c r="E9588" s="184"/>
      <c r="L9588" s="129"/>
    </row>
    <row r="9589">
      <c r="A9589" s="181"/>
      <c r="B9589" s="182"/>
      <c r="C9589" s="183"/>
      <c r="E9589" s="184"/>
      <c r="L9589" s="129"/>
    </row>
    <row r="9590">
      <c r="A9590" s="181"/>
      <c r="B9590" s="182"/>
      <c r="C9590" s="183"/>
      <c r="E9590" s="184"/>
      <c r="L9590" s="129"/>
    </row>
    <row r="9591">
      <c r="A9591" s="181"/>
      <c r="B9591" s="182"/>
      <c r="C9591" s="183"/>
      <c r="E9591" s="184"/>
      <c r="L9591" s="129"/>
    </row>
    <row r="9592">
      <c r="A9592" s="181"/>
      <c r="B9592" s="182"/>
      <c r="C9592" s="183"/>
      <c r="E9592" s="184"/>
      <c r="L9592" s="129"/>
    </row>
    <row r="9593">
      <c r="A9593" s="181"/>
      <c r="B9593" s="182"/>
      <c r="C9593" s="183"/>
      <c r="E9593" s="184"/>
      <c r="L9593" s="129"/>
    </row>
    <row r="9594">
      <c r="A9594" s="181"/>
      <c r="B9594" s="182"/>
      <c r="C9594" s="183"/>
      <c r="E9594" s="184"/>
      <c r="L9594" s="129"/>
    </row>
    <row r="9595">
      <c r="A9595" s="181"/>
      <c r="B9595" s="182"/>
      <c r="C9595" s="183"/>
      <c r="E9595" s="184"/>
      <c r="L9595" s="129"/>
    </row>
    <row r="9596">
      <c r="A9596" s="181"/>
      <c r="B9596" s="182"/>
      <c r="C9596" s="183"/>
      <c r="E9596" s="184"/>
      <c r="L9596" s="129"/>
    </row>
    <row r="9597">
      <c r="A9597" s="181"/>
      <c r="B9597" s="182"/>
      <c r="C9597" s="183"/>
      <c r="E9597" s="184"/>
      <c r="L9597" s="129"/>
    </row>
    <row r="9598">
      <c r="A9598" s="181"/>
      <c r="B9598" s="182"/>
      <c r="C9598" s="183"/>
      <c r="E9598" s="184"/>
      <c r="L9598" s="129"/>
    </row>
    <row r="9599">
      <c r="A9599" s="181"/>
      <c r="B9599" s="182"/>
      <c r="C9599" s="183"/>
      <c r="E9599" s="184"/>
      <c r="L9599" s="129"/>
    </row>
    <row r="9600">
      <c r="A9600" s="181"/>
      <c r="B9600" s="182"/>
      <c r="C9600" s="183"/>
      <c r="E9600" s="184"/>
      <c r="L9600" s="129"/>
    </row>
    <row r="9601">
      <c r="A9601" s="181"/>
      <c r="B9601" s="182"/>
      <c r="C9601" s="183"/>
      <c r="E9601" s="184"/>
      <c r="L9601" s="129"/>
    </row>
    <row r="9602">
      <c r="A9602" s="181"/>
      <c r="B9602" s="182"/>
      <c r="C9602" s="183"/>
      <c r="E9602" s="184"/>
      <c r="L9602" s="129"/>
    </row>
    <row r="9603">
      <c r="A9603" s="181"/>
      <c r="B9603" s="182"/>
      <c r="C9603" s="183"/>
      <c r="E9603" s="184"/>
      <c r="L9603" s="129"/>
    </row>
    <row r="9604">
      <c r="A9604" s="181"/>
      <c r="B9604" s="182"/>
      <c r="C9604" s="183"/>
      <c r="E9604" s="184"/>
      <c r="L9604" s="129"/>
    </row>
    <row r="9605">
      <c r="A9605" s="181"/>
      <c r="B9605" s="182"/>
      <c r="C9605" s="183"/>
      <c r="E9605" s="184"/>
      <c r="L9605" s="129"/>
    </row>
    <row r="9606">
      <c r="A9606" s="181"/>
      <c r="B9606" s="182"/>
      <c r="C9606" s="183"/>
      <c r="E9606" s="184"/>
      <c r="L9606" s="129"/>
    </row>
    <row r="9607">
      <c r="A9607" s="181"/>
      <c r="B9607" s="182"/>
      <c r="C9607" s="183"/>
      <c r="E9607" s="184"/>
      <c r="L9607" s="129"/>
    </row>
    <row r="9608">
      <c r="A9608" s="181"/>
      <c r="B9608" s="182"/>
      <c r="C9608" s="183"/>
      <c r="E9608" s="184"/>
      <c r="L9608" s="129"/>
    </row>
    <row r="9609">
      <c r="A9609" s="181"/>
      <c r="B9609" s="182"/>
      <c r="C9609" s="183"/>
      <c r="E9609" s="184"/>
      <c r="L9609" s="129"/>
    </row>
    <row r="9610">
      <c r="A9610" s="181"/>
      <c r="B9610" s="182"/>
      <c r="C9610" s="183"/>
      <c r="E9610" s="184"/>
      <c r="L9610" s="129"/>
    </row>
    <row r="9611">
      <c r="A9611" s="181"/>
      <c r="B9611" s="182"/>
      <c r="C9611" s="183"/>
      <c r="E9611" s="184"/>
      <c r="L9611" s="129"/>
    </row>
    <row r="9612">
      <c r="A9612" s="181"/>
      <c r="B9612" s="182"/>
      <c r="C9612" s="183"/>
      <c r="E9612" s="184"/>
      <c r="L9612" s="129"/>
    </row>
    <row r="9613">
      <c r="A9613" s="181"/>
      <c r="B9613" s="182"/>
      <c r="C9613" s="183"/>
      <c r="E9613" s="184"/>
      <c r="L9613" s="129"/>
    </row>
    <row r="9614">
      <c r="A9614" s="181"/>
      <c r="B9614" s="182"/>
      <c r="C9614" s="183"/>
      <c r="E9614" s="184"/>
      <c r="L9614" s="129"/>
    </row>
    <row r="9615">
      <c r="A9615" s="181"/>
      <c r="B9615" s="182"/>
      <c r="C9615" s="183"/>
      <c r="E9615" s="184"/>
      <c r="L9615" s="129"/>
    </row>
    <row r="9616">
      <c r="A9616" s="181"/>
      <c r="B9616" s="182"/>
      <c r="C9616" s="183"/>
      <c r="E9616" s="184"/>
      <c r="L9616" s="129"/>
    </row>
    <row r="9617">
      <c r="A9617" s="181"/>
      <c r="B9617" s="182"/>
      <c r="C9617" s="183"/>
      <c r="E9617" s="184"/>
      <c r="L9617" s="129"/>
    </row>
    <row r="9618">
      <c r="A9618" s="181"/>
      <c r="B9618" s="182"/>
      <c r="C9618" s="183"/>
      <c r="E9618" s="184"/>
      <c r="L9618" s="129"/>
    </row>
    <row r="9619">
      <c r="A9619" s="181"/>
      <c r="B9619" s="182"/>
      <c r="C9619" s="183"/>
      <c r="E9619" s="184"/>
      <c r="L9619" s="129"/>
    </row>
    <row r="9620">
      <c r="A9620" s="181"/>
      <c r="B9620" s="182"/>
      <c r="C9620" s="183"/>
      <c r="E9620" s="184"/>
      <c r="L9620" s="129"/>
    </row>
    <row r="9621">
      <c r="A9621" s="181"/>
      <c r="B9621" s="182"/>
      <c r="C9621" s="183"/>
      <c r="E9621" s="184"/>
      <c r="L9621" s="129"/>
    </row>
    <row r="9622">
      <c r="A9622" s="181"/>
      <c r="B9622" s="182"/>
      <c r="C9622" s="183"/>
      <c r="E9622" s="184"/>
      <c r="L9622" s="129"/>
    </row>
    <row r="9623">
      <c r="A9623" s="181"/>
      <c r="B9623" s="182"/>
      <c r="C9623" s="183"/>
      <c r="E9623" s="184"/>
      <c r="L9623" s="129"/>
    </row>
    <row r="9624">
      <c r="A9624" s="181"/>
      <c r="B9624" s="182"/>
      <c r="C9624" s="183"/>
      <c r="E9624" s="184"/>
      <c r="L9624" s="129"/>
    </row>
    <row r="9625">
      <c r="A9625" s="181"/>
      <c r="B9625" s="182"/>
      <c r="C9625" s="183"/>
      <c r="E9625" s="184"/>
      <c r="L9625" s="129"/>
    </row>
    <row r="9626">
      <c r="A9626" s="181"/>
      <c r="B9626" s="182"/>
      <c r="C9626" s="183"/>
      <c r="E9626" s="184"/>
      <c r="L9626" s="129"/>
    </row>
    <row r="9627">
      <c r="A9627" s="181"/>
      <c r="B9627" s="182"/>
      <c r="C9627" s="183"/>
      <c r="E9627" s="184"/>
      <c r="L9627" s="129"/>
    </row>
    <row r="9628">
      <c r="A9628" s="181"/>
      <c r="B9628" s="182"/>
      <c r="C9628" s="183"/>
      <c r="E9628" s="184"/>
      <c r="L9628" s="129"/>
    </row>
    <row r="9629">
      <c r="A9629" s="181"/>
      <c r="B9629" s="182"/>
      <c r="C9629" s="183"/>
      <c r="E9629" s="184"/>
      <c r="L9629" s="129"/>
    </row>
    <row r="9630">
      <c r="A9630" s="181"/>
      <c r="B9630" s="182"/>
      <c r="C9630" s="183"/>
      <c r="E9630" s="184"/>
      <c r="L9630" s="129"/>
    </row>
    <row r="9631">
      <c r="A9631" s="181"/>
      <c r="B9631" s="182"/>
      <c r="C9631" s="183"/>
      <c r="E9631" s="184"/>
      <c r="L9631" s="129"/>
    </row>
    <row r="9632">
      <c r="A9632" s="181"/>
      <c r="B9632" s="182"/>
      <c r="C9632" s="183"/>
      <c r="E9632" s="184"/>
      <c r="L9632" s="129"/>
    </row>
    <row r="9633">
      <c r="A9633" s="181"/>
      <c r="B9633" s="182"/>
      <c r="C9633" s="183"/>
      <c r="E9633" s="184"/>
      <c r="L9633" s="129"/>
    </row>
    <row r="9634">
      <c r="A9634" s="181"/>
      <c r="B9634" s="182"/>
      <c r="C9634" s="183"/>
      <c r="E9634" s="184"/>
      <c r="L9634" s="129"/>
    </row>
    <row r="9635">
      <c r="A9635" s="181"/>
      <c r="B9635" s="182"/>
      <c r="C9635" s="183"/>
      <c r="E9635" s="184"/>
      <c r="L9635" s="129"/>
    </row>
    <row r="9636">
      <c r="A9636" s="181"/>
      <c r="B9636" s="182"/>
      <c r="C9636" s="183"/>
      <c r="E9636" s="184"/>
      <c r="L9636" s="129"/>
    </row>
    <row r="9637">
      <c r="A9637" s="181"/>
      <c r="B9637" s="182"/>
      <c r="C9637" s="183"/>
      <c r="E9637" s="184"/>
      <c r="L9637" s="129"/>
    </row>
    <row r="9638">
      <c r="A9638" s="181"/>
      <c r="B9638" s="182"/>
      <c r="C9638" s="183"/>
      <c r="E9638" s="184"/>
      <c r="L9638" s="129"/>
    </row>
    <row r="9639">
      <c r="A9639" s="181"/>
      <c r="B9639" s="182"/>
      <c r="C9639" s="183"/>
      <c r="E9639" s="184"/>
      <c r="L9639" s="129"/>
    </row>
    <row r="9640">
      <c r="A9640" s="181"/>
      <c r="B9640" s="182"/>
      <c r="C9640" s="183"/>
      <c r="E9640" s="184"/>
      <c r="L9640" s="129"/>
    </row>
    <row r="9641">
      <c r="A9641" s="181"/>
      <c r="B9641" s="182"/>
      <c r="C9641" s="183"/>
      <c r="E9641" s="184"/>
      <c r="L9641" s="129"/>
    </row>
    <row r="9642">
      <c r="A9642" s="181"/>
      <c r="B9642" s="182"/>
      <c r="C9642" s="183"/>
      <c r="E9642" s="184"/>
      <c r="L9642" s="129"/>
    </row>
    <row r="9643">
      <c r="A9643" s="181"/>
      <c r="B9643" s="182"/>
      <c r="C9643" s="183"/>
      <c r="E9643" s="184"/>
      <c r="L9643" s="129"/>
    </row>
    <row r="9644">
      <c r="A9644" s="181"/>
      <c r="B9644" s="182"/>
      <c r="C9644" s="183"/>
      <c r="E9644" s="184"/>
      <c r="L9644" s="129"/>
    </row>
    <row r="9645">
      <c r="A9645" s="181"/>
      <c r="B9645" s="182"/>
      <c r="C9645" s="183"/>
      <c r="E9645" s="184"/>
      <c r="L9645" s="129"/>
    </row>
    <row r="9646">
      <c r="A9646" s="181"/>
      <c r="B9646" s="182"/>
      <c r="C9646" s="183"/>
      <c r="E9646" s="184"/>
      <c r="L9646" s="129"/>
    </row>
    <row r="9647">
      <c r="A9647" s="181"/>
      <c r="B9647" s="182"/>
      <c r="C9647" s="183"/>
      <c r="E9647" s="184"/>
      <c r="L9647" s="129"/>
    </row>
    <row r="9648">
      <c r="A9648" s="181"/>
      <c r="B9648" s="182"/>
      <c r="C9648" s="183"/>
      <c r="E9648" s="184"/>
      <c r="L9648" s="129"/>
    </row>
    <row r="9649">
      <c r="A9649" s="181"/>
      <c r="B9649" s="182"/>
      <c r="C9649" s="183"/>
      <c r="E9649" s="184"/>
      <c r="L9649" s="129"/>
    </row>
    <row r="9650">
      <c r="A9650" s="181"/>
      <c r="B9650" s="182"/>
      <c r="C9650" s="183"/>
      <c r="E9650" s="184"/>
      <c r="L9650" s="129"/>
    </row>
    <row r="9651">
      <c r="A9651" s="181"/>
      <c r="B9651" s="182"/>
      <c r="C9651" s="183"/>
      <c r="E9651" s="184"/>
      <c r="L9651" s="129"/>
    </row>
    <row r="9652">
      <c r="A9652" s="181"/>
      <c r="B9652" s="182"/>
      <c r="C9652" s="183"/>
      <c r="E9652" s="184"/>
      <c r="L9652" s="129"/>
    </row>
    <row r="9653">
      <c r="A9653" s="181"/>
      <c r="B9653" s="182"/>
      <c r="C9653" s="183"/>
      <c r="E9653" s="184"/>
      <c r="L9653" s="129"/>
    </row>
    <row r="9654">
      <c r="A9654" s="181"/>
      <c r="B9654" s="182"/>
      <c r="C9654" s="183"/>
      <c r="E9654" s="184"/>
      <c r="L9654" s="129"/>
    </row>
    <row r="9655">
      <c r="A9655" s="181"/>
      <c r="B9655" s="182"/>
      <c r="C9655" s="183"/>
      <c r="E9655" s="184"/>
      <c r="L9655" s="129"/>
    </row>
    <row r="9656">
      <c r="A9656" s="181"/>
      <c r="B9656" s="182"/>
      <c r="C9656" s="183"/>
      <c r="E9656" s="184"/>
      <c r="L9656" s="129"/>
    </row>
    <row r="9657">
      <c r="A9657" s="181"/>
      <c r="B9657" s="182"/>
      <c r="C9657" s="183"/>
      <c r="E9657" s="184"/>
      <c r="L9657" s="129"/>
    </row>
    <row r="9658">
      <c r="A9658" s="181"/>
      <c r="B9658" s="182"/>
      <c r="C9658" s="183"/>
      <c r="E9658" s="184"/>
      <c r="L9658" s="129"/>
    </row>
    <row r="9659">
      <c r="A9659" s="181"/>
      <c r="B9659" s="182"/>
      <c r="C9659" s="183"/>
      <c r="E9659" s="184"/>
      <c r="L9659" s="129"/>
    </row>
    <row r="9660">
      <c r="A9660" s="181"/>
      <c r="B9660" s="182"/>
      <c r="C9660" s="183"/>
      <c r="E9660" s="184"/>
      <c r="L9660" s="129"/>
    </row>
    <row r="9661">
      <c r="A9661" s="181"/>
      <c r="B9661" s="182"/>
      <c r="C9661" s="183"/>
      <c r="E9661" s="184"/>
      <c r="L9661" s="129"/>
    </row>
    <row r="9662">
      <c r="A9662" s="181"/>
      <c r="B9662" s="182"/>
      <c r="C9662" s="183"/>
      <c r="E9662" s="184"/>
      <c r="L9662" s="129"/>
    </row>
    <row r="9663">
      <c r="A9663" s="181"/>
      <c r="B9663" s="182"/>
      <c r="C9663" s="183"/>
      <c r="E9663" s="184"/>
      <c r="L9663" s="129"/>
    </row>
    <row r="9664">
      <c r="A9664" s="181"/>
      <c r="B9664" s="182"/>
      <c r="C9664" s="183"/>
      <c r="E9664" s="184"/>
      <c r="L9664" s="129"/>
    </row>
    <row r="9665">
      <c r="A9665" s="181"/>
      <c r="B9665" s="182"/>
      <c r="C9665" s="183"/>
      <c r="E9665" s="184"/>
      <c r="L9665" s="129"/>
    </row>
    <row r="9666">
      <c r="A9666" s="181"/>
      <c r="B9666" s="182"/>
      <c r="C9666" s="183"/>
      <c r="E9666" s="184"/>
      <c r="L9666" s="129"/>
    </row>
    <row r="9667">
      <c r="A9667" s="181"/>
      <c r="B9667" s="182"/>
      <c r="C9667" s="183"/>
      <c r="E9667" s="184"/>
      <c r="L9667" s="129"/>
    </row>
    <row r="9668">
      <c r="A9668" s="181"/>
      <c r="B9668" s="182"/>
      <c r="C9668" s="183"/>
      <c r="E9668" s="184"/>
      <c r="L9668" s="129"/>
    </row>
    <row r="9669">
      <c r="A9669" s="181"/>
      <c r="B9669" s="182"/>
      <c r="C9669" s="183"/>
      <c r="E9669" s="184"/>
      <c r="L9669" s="129"/>
    </row>
    <row r="9670">
      <c r="A9670" s="181"/>
      <c r="B9670" s="182"/>
      <c r="C9670" s="183"/>
      <c r="E9670" s="184"/>
      <c r="L9670" s="129"/>
    </row>
    <row r="9671">
      <c r="A9671" s="181"/>
      <c r="B9671" s="182"/>
      <c r="C9671" s="183"/>
      <c r="E9671" s="184"/>
      <c r="L9671" s="129"/>
    </row>
    <row r="9672">
      <c r="A9672" s="181"/>
      <c r="B9672" s="182"/>
      <c r="C9672" s="183"/>
      <c r="E9672" s="184"/>
      <c r="L9672" s="129"/>
    </row>
    <row r="9673">
      <c r="A9673" s="181"/>
      <c r="B9673" s="182"/>
      <c r="C9673" s="183"/>
      <c r="E9673" s="184"/>
      <c r="L9673" s="129"/>
    </row>
    <row r="9674">
      <c r="A9674" s="181"/>
      <c r="B9674" s="182"/>
      <c r="C9674" s="183"/>
      <c r="E9674" s="184"/>
      <c r="L9674" s="129"/>
    </row>
    <row r="9675">
      <c r="A9675" s="181"/>
      <c r="B9675" s="182"/>
      <c r="C9675" s="183"/>
      <c r="E9675" s="184"/>
      <c r="L9675" s="129"/>
    </row>
    <row r="9676">
      <c r="A9676" s="181"/>
      <c r="B9676" s="182"/>
      <c r="C9676" s="183"/>
      <c r="E9676" s="184"/>
      <c r="L9676" s="129"/>
    </row>
    <row r="9677">
      <c r="A9677" s="181"/>
      <c r="B9677" s="182"/>
      <c r="C9677" s="183"/>
      <c r="E9677" s="184"/>
      <c r="L9677" s="129"/>
    </row>
    <row r="9678">
      <c r="A9678" s="181"/>
      <c r="B9678" s="182"/>
      <c r="C9678" s="183"/>
      <c r="E9678" s="184"/>
      <c r="L9678" s="129"/>
    </row>
    <row r="9679">
      <c r="A9679" s="181"/>
      <c r="B9679" s="182"/>
      <c r="C9679" s="183"/>
      <c r="E9679" s="184"/>
      <c r="L9679" s="129"/>
    </row>
    <row r="9680">
      <c r="A9680" s="181"/>
      <c r="B9680" s="182"/>
      <c r="C9680" s="183"/>
      <c r="E9680" s="184"/>
      <c r="L9680" s="129"/>
    </row>
    <row r="9681">
      <c r="A9681" s="181"/>
      <c r="B9681" s="182"/>
      <c r="C9681" s="183"/>
      <c r="E9681" s="184"/>
      <c r="L9681" s="129"/>
    </row>
    <row r="9682">
      <c r="A9682" s="181"/>
      <c r="B9682" s="182"/>
      <c r="C9682" s="183"/>
      <c r="E9682" s="184"/>
      <c r="L9682" s="129"/>
    </row>
    <row r="9683">
      <c r="A9683" s="181"/>
      <c r="B9683" s="182"/>
      <c r="C9683" s="183"/>
      <c r="E9683" s="184"/>
      <c r="L9683" s="129"/>
    </row>
    <row r="9684">
      <c r="A9684" s="181"/>
      <c r="B9684" s="182"/>
      <c r="C9684" s="183"/>
      <c r="E9684" s="184"/>
      <c r="L9684" s="129"/>
    </row>
    <row r="9685">
      <c r="A9685" s="181"/>
      <c r="B9685" s="182"/>
      <c r="C9685" s="183"/>
      <c r="E9685" s="184"/>
      <c r="L9685" s="129"/>
    </row>
    <row r="9686">
      <c r="A9686" s="181"/>
      <c r="B9686" s="182"/>
      <c r="C9686" s="183"/>
      <c r="E9686" s="184"/>
      <c r="L9686" s="129"/>
    </row>
    <row r="9687">
      <c r="A9687" s="181"/>
      <c r="B9687" s="182"/>
      <c r="C9687" s="183"/>
      <c r="E9687" s="184"/>
      <c r="L9687" s="129"/>
    </row>
    <row r="9688">
      <c r="A9688" s="181"/>
      <c r="B9688" s="182"/>
      <c r="C9688" s="183"/>
      <c r="E9688" s="184"/>
      <c r="L9688" s="129"/>
    </row>
    <row r="9689">
      <c r="A9689" s="181"/>
      <c r="B9689" s="182"/>
      <c r="C9689" s="183"/>
      <c r="E9689" s="184"/>
      <c r="L9689" s="129"/>
    </row>
    <row r="9690">
      <c r="A9690" s="181"/>
      <c r="B9690" s="182"/>
      <c r="C9690" s="183"/>
      <c r="E9690" s="184"/>
      <c r="L9690" s="129"/>
    </row>
    <row r="9691">
      <c r="A9691" s="181"/>
      <c r="B9691" s="182"/>
      <c r="C9691" s="183"/>
      <c r="E9691" s="184"/>
      <c r="L9691" s="129"/>
    </row>
    <row r="9692">
      <c r="A9692" s="181"/>
      <c r="B9692" s="182"/>
      <c r="C9692" s="183"/>
      <c r="E9692" s="184"/>
      <c r="L9692" s="129"/>
    </row>
    <row r="9693">
      <c r="A9693" s="181"/>
      <c r="B9693" s="182"/>
      <c r="C9693" s="183"/>
      <c r="E9693" s="184"/>
      <c r="L9693" s="129"/>
    </row>
    <row r="9694">
      <c r="A9694" s="181"/>
      <c r="B9694" s="182"/>
      <c r="C9694" s="183"/>
      <c r="E9694" s="184"/>
      <c r="L9694" s="129"/>
    </row>
    <row r="9695">
      <c r="A9695" s="181"/>
      <c r="B9695" s="182"/>
      <c r="C9695" s="183"/>
      <c r="E9695" s="184"/>
      <c r="L9695" s="129"/>
    </row>
    <row r="9696">
      <c r="A9696" s="181"/>
      <c r="B9696" s="182"/>
      <c r="C9696" s="183"/>
      <c r="E9696" s="184"/>
      <c r="L9696" s="129"/>
    </row>
    <row r="9697">
      <c r="A9697" s="181"/>
      <c r="B9697" s="182"/>
      <c r="C9697" s="183"/>
      <c r="E9697" s="184"/>
      <c r="L9697" s="129"/>
    </row>
    <row r="9698">
      <c r="A9698" s="181"/>
      <c r="B9698" s="182"/>
      <c r="C9698" s="183"/>
      <c r="E9698" s="184"/>
      <c r="L9698" s="129"/>
    </row>
    <row r="9699">
      <c r="A9699" s="181"/>
      <c r="B9699" s="182"/>
      <c r="C9699" s="183"/>
      <c r="E9699" s="184"/>
      <c r="L9699" s="129"/>
    </row>
    <row r="9700">
      <c r="A9700" s="181"/>
      <c r="B9700" s="182"/>
      <c r="C9700" s="183"/>
      <c r="E9700" s="184"/>
      <c r="L9700" s="129"/>
    </row>
    <row r="9701">
      <c r="A9701" s="181"/>
      <c r="B9701" s="182"/>
      <c r="C9701" s="183"/>
      <c r="E9701" s="184"/>
      <c r="L9701" s="129"/>
    </row>
    <row r="9702">
      <c r="A9702" s="181"/>
      <c r="B9702" s="182"/>
      <c r="C9702" s="183"/>
      <c r="E9702" s="184"/>
      <c r="L9702" s="129"/>
    </row>
    <row r="9703">
      <c r="A9703" s="181"/>
      <c r="B9703" s="182"/>
      <c r="C9703" s="183"/>
      <c r="E9703" s="184"/>
      <c r="L9703" s="129"/>
    </row>
    <row r="9704">
      <c r="A9704" s="181"/>
      <c r="B9704" s="182"/>
      <c r="C9704" s="183"/>
      <c r="E9704" s="184"/>
      <c r="L9704" s="129"/>
    </row>
    <row r="9705">
      <c r="A9705" s="181"/>
      <c r="B9705" s="182"/>
      <c r="C9705" s="183"/>
      <c r="E9705" s="184"/>
      <c r="L9705" s="129"/>
    </row>
    <row r="9706">
      <c r="A9706" s="181"/>
      <c r="B9706" s="182"/>
      <c r="C9706" s="183"/>
      <c r="E9706" s="184"/>
      <c r="L9706" s="129"/>
    </row>
    <row r="9707">
      <c r="A9707" s="181"/>
      <c r="B9707" s="182"/>
      <c r="C9707" s="183"/>
      <c r="E9707" s="184"/>
      <c r="L9707" s="129"/>
    </row>
    <row r="9708">
      <c r="A9708" s="181"/>
      <c r="B9708" s="182"/>
      <c r="C9708" s="183"/>
      <c r="E9708" s="184"/>
      <c r="L9708" s="129"/>
    </row>
    <row r="9709">
      <c r="A9709" s="181"/>
      <c r="B9709" s="182"/>
      <c r="C9709" s="183"/>
      <c r="E9709" s="184"/>
      <c r="L9709" s="129"/>
    </row>
    <row r="9710">
      <c r="A9710" s="181"/>
      <c r="B9710" s="182"/>
      <c r="C9710" s="183"/>
      <c r="E9710" s="184"/>
      <c r="L9710" s="129"/>
    </row>
    <row r="9711">
      <c r="A9711" s="181"/>
      <c r="B9711" s="182"/>
      <c r="C9711" s="183"/>
      <c r="E9711" s="184"/>
      <c r="L9711" s="129"/>
    </row>
    <row r="9712">
      <c r="A9712" s="181"/>
      <c r="B9712" s="182"/>
      <c r="C9712" s="183"/>
      <c r="E9712" s="184"/>
      <c r="L9712" s="129"/>
    </row>
    <row r="9713">
      <c r="A9713" s="181"/>
      <c r="B9713" s="182"/>
      <c r="C9713" s="183"/>
      <c r="E9713" s="184"/>
      <c r="L9713" s="129"/>
    </row>
    <row r="9714">
      <c r="A9714" s="181"/>
      <c r="B9714" s="182"/>
      <c r="C9714" s="183"/>
      <c r="E9714" s="184"/>
      <c r="L9714" s="129"/>
    </row>
    <row r="9715">
      <c r="A9715" s="181"/>
      <c r="B9715" s="182"/>
      <c r="C9715" s="183"/>
      <c r="E9715" s="184"/>
      <c r="L9715" s="129"/>
    </row>
    <row r="9716">
      <c r="A9716" s="181"/>
      <c r="B9716" s="182"/>
      <c r="C9716" s="183"/>
      <c r="E9716" s="184"/>
      <c r="L9716" s="129"/>
    </row>
    <row r="9717">
      <c r="A9717" s="181"/>
      <c r="B9717" s="182"/>
      <c r="C9717" s="183"/>
      <c r="E9717" s="184"/>
      <c r="L9717" s="129"/>
    </row>
    <row r="9718">
      <c r="A9718" s="181"/>
      <c r="B9718" s="182"/>
      <c r="C9718" s="183"/>
      <c r="E9718" s="184"/>
      <c r="L9718" s="129"/>
    </row>
    <row r="9719">
      <c r="A9719" s="181"/>
      <c r="B9719" s="182"/>
      <c r="C9719" s="183"/>
      <c r="E9719" s="184"/>
      <c r="L9719" s="129"/>
    </row>
    <row r="9720">
      <c r="A9720" s="181"/>
      <c r="B9720" s="182"/>
      <c r="C9720" s="183"/>
      <c r="E9720" s="184"/>
      <c r="L9720" s="129"/>
    </row>
    <row r="9721">
      <c r="A9721" s="181"/>
      <c r="B9721" s="182"/>
      <c r="C9721" s="183"/>
      <c r="E9721" s="184"/>
      <c r="L9721" s="129"/>
    </row>
    <row r="9722">
      <c r="A9722" s="181"/>
      <c r="B9722" s="182"/>
      <c r="C9722" s="183"/>
      <c r="E9722" s="184"/>
      <c r="L9722" s="129"/>
    </row>
    <row r="9723">
      <c r="A9723" s="181"/>
      <c r="B9723" s="182"/>
      <c r="C9723" s="183"/>
      <c r="E9723" s="184"/>
      <c r="L9723" s="129"/>
    </row>
    <row r="9724">
      <c r="A9724" s="181"/>
      <c r="B9724" s="182"/>
      <c r="C9724" s="183"/>
      <c r="E9724" s="184"/>
      <c r="L9724" s="129"/>
    </row>
    <row r="9725">
      <c r="A9725" s="181"/>
      <c r="B9725" s="182"/>
      <c r="C9725" s="183"/>
      <c r="E9725" s="184"/>
      <c r="L9725" s="129"/>
    </row>
    <row r="9726">
      <c r="A9726" s="181"/>
      <c r="B9726" s="182"/>
      <c r="C9726" s="183"/>
      <c r="E9726" s="184"/>
      <c r="L9726" s="129"/>
    </row>
    <row r="9727">
      <c r="A9727" s="181"/>
      <c r="B9727" s="182"/>
      <c r="C9727" s="183"/>
      <c r="E9727" s="184"/>
      <c r="L9727" s="129"/>
    </row>
    <row r="9728">
      <c r="A9728" s="181"/>
      <c r="B9728" s="182"/>
      <c r="C9728" s="183"/>
      <c r="E9728" s="184"/>
      <c r="L9728" s="129"/>
    </row>
    <row r="9729">
      <c r="A9729" s="181"/>
      <c r="B9729" s="182"/>
      <c r="C9729" s="183"/>
      <c r="E9729" s="184"/>
      <c r="L9729" s="129"/>
    </row>
    <row r="9730">
      <c r="A9730" s="181"/>
      <c r="B9730" s="182"/>
      <c r="C9730" s="183"/>
      <c r="E9730" s="184"/>
      <c r="L9730" s="129"/>
    </row>
    <row r="9731">
      <c r="A9731" s="181"/>
      <c r="B9731" s="182"/>
      <c r="C9731" s="183"/>
      <c r="E9731" s="184"/>
      <c r="L9731" s="129"/>
    </row>
    <row r="9732">
      <c r="A9732" s="181"/>
      <c r="B9732" s="182"/>
      <c r="C9732" s="183"/>
      <c r="E9732" s="184"/>
      <c r="L9732" s="129"/>
    </row>
    <row r="9733">
      <c r="A9733" s="181"/>
      <c r="B9733" s="182"/>
      <c r="C9733" s="183"/>
      <c r="E9733" s="184"/>
      <c r="L9733" s="129"/>
    </row>
    <row r="9734">
      <c r="A9734" s="181"/>
      <c r="B9734" s="182"/>
      <c r="C9734" s="183"/>
      <c r="E9734" s="184"/>
      <c r="L9734" s="129"/>
    </row>
    <row r="9735">
      <c r="A9735" s="181"/>
      <c r="B9735" s="182"/>
      <c r="C9735" s="183"/>
      <c r="E9735" s="184"/>
      <c r="L9735" s="129"/>
    </row>
    <row r="9736">
      <c r="A9736" s="181"/>
      <c r="B9736" s="182"/>
      <c r="C9736" s="183"/>
      <c r="E9736" s="184"/>
      <c r="L9736" s="129"/>
    </row>
    <row r="9737">
      <c r="A9737" s="181"/>
      <c r="B9737" s="182"/>
      <c r="C9737" s="183"/>
      <c r="E9737" s="184"/>
      <c r="L9737" s="129"/>
    </row>
    <row r="9738">
      <c r="A9738" s="181"/>
      <c r="B9738" s="182"/>
      <c r="C9738" s="183"/>
      <c r="E9738" s="184"/>
      <c r="L9738" s="129"/>
    </row>
    <row r="9739">
      <c r="A9739" s="181"/>
      <c r="B9739" s="182"/>
      <c r="C9739" s="183"/>
      <c r="E9739" s="184"/>
      <c r="L9739" s="129"/>
    </row>
    <row r="9740">
      <c r="A9740" s="181"/>
      <c r="B9740" s="182"/>
      <c r="C9740" s="183"/>
      <c r="E9740" s="184"/>
      <c r="L9740" s="129"/>
    </row>
    <row r="9741">
      <c r="A9741" s="181"/>
      <c r="B9741" s="182"/>
      <c r="C9741" s="183"/>
      <c r="E9741" s="184"/>
      <c r="L9741" s="129"/>
    </row>
    <row r="9742">
      <c r="A9742" s="181"/>
      <c r="B9742" s="182"/>
      <c r="C9742" s="183"/>
      <c r="E9742" s="184"/>
      <c r="L9742" s="129"/>
    </row>
    <row r="9743">
      <c r="A9743" s="181"/>
      <c r="B9743" s="182"/>
      <c r="C9743" s="183"/>
      <c r="E9743" s="184"/>
      <c r="L9743" s="129"/>
    </row>
    <row r="9744">
      <c r="A9744" s="181"/>
      <c r="B9744" s="182"/>
      <c r="C9744" s="183"/>
      <c r="E9744" s="184"/>
      <c r="L9744" s="129"/>
    </row>
    <row r="9745">
      <c r="A9745" s="181"/>
      <c r="B9745" s="182"/>
      <c r="C9745" s="183"/>
      <c r="E9745" s="184"/>
      <c r="L9745" s="129"/>
    </row>
    <row r="9746">
      <c r="A9746" s="181"/>
      <c r="B9746" s="182"/>
      <c r="C9746" s="183"/>
      <c r="E9746" s="184"/>
      <c r="L9746" s="129"/>
    </row>
    <row r="9747">
      <c r="A9747" s="181"/>
      <c r="B9747" s="182"/>
      <c r="C9747" s="183"/>
      <c r="E9747" s="184"/>
      <c r="L9747" s="129"/>
    </row>
    <row r="9748">
      <c r="A9748" s="181"/>
      <c r="B9748" s="182"/>
      <c r="C9748" s="183"/>
      <c r="E9748" s="184"/>
      <c r="L9748" s="129"/>
    </row>
    <row r="9749">
      <c r="A9749" s="181"/>
      <c r="B9749" s="182"/>
      <c r="C9749" s="183"/>
      <c r="E9749" s="184"/>
      <c r="L9749" s="129"/>
    </row>
    <row r="9750">
      <c r="A9750" s="181"/>
      <c r="B9750" s="182"/>
      <c r="C9750" s="183"/>
      <c r="E9750" s="184"/>
      <c r="L9750" s="129"/>
    </row>
    <row r="9751">
      <c r="A9751" s="181"/>
      <c r="B9751" s="182"/>
      <c r="C9751" s="183"/>
      <c r="E9751" s="184"/>
      <c r="L9751" s="129"/>
    </row>
    <row r="9752">
      <c r="A9752" s="181"/>
      <c r="B9752" s="182"/>
      <c r="C9752" s="183"/>
      <c r="E9752" s="184"/>
      <c r="L9752" s="129"/>
    </row>
    <row r="9753">
      <c r="A9753" s="181"/>
      <c r="B9753" s="182"/>
      <c r="C9753" s="183"/>
      <c r="E9753" s="184"/>
      <c r="L9753" s="129"/>
    </row>
    <row r="9754">
      <c r="A9754" s="181"/>
      <c r="B9754" s="182"/>
      <c r="C9754" s="183"/>
      <c r="E9754" s="184"/>
      <c r="L9754" s="129"/>
    </row>
    <row r="9755">
      <c r="A9755" s="181"/>
      <c r="B9755" s="182"/>
      <c r="C9755" s="183"/>
      <c r="E9755" s="184"/>
      <c r="L9755" s="129"/>
    </row>
    <row r="9756">
      <c r="A9756" s="181"/>
      <c r="B9756" s="182"/>
      <c r="C9756" s="183"/>
      <c r="E9756" s="184"/>
      <c r="L9756" s="129"/>
    </row>
    <row r="9757">
      <c r="A9757" s="181"/>
      <c r="B9757" s="182"/>
      <c r="C9757" s="183"/>
      <c r="E9757" s="184"/>
      <c r="L9757" s="129"/>
    </row>
    <row r="9758">
      <c r="A9758" s="181"/>
      <c r="B9758" s="182"/>
      <c r="C9758" s="183"/>
      <c r="E9758" s="184"/>
      <c r="L9758" s="129"/>
    </row>
    <row r="9759">
      <c r="A9759" s="181"/>
      <c r="B9759" s="182"/>
      <c r="C9759" s="183"/>
      <c r="E9759" s="184"/>
      <c r="L9759" s="129"/>
    </row>
    <row r="9760">
      <c r="A9760" s="181"/>
      <c r="B9760" s="182"/>
      <c r="C9760" s="183"/>
      <c r="E9760" s="184"/>
      <c r="L9760" s="129"/>
    </row>
    <row r="9761">
      <c r="A9761" s="181"/>
      <c r="B9761" s="182"/>
      <c r="C9761" s="183"/>
      <c r="E9761" s="184"/>
      <c r="L9761" s="129"/>
    </row>
    <row r="9762">
      <c r="A9762" s="181"/>
      <c r="B9762" s="182"/>
      <c r="C9762" s="183"/>
      <c r="E9762" s="184"/>
      <c r="L9762" s="129"/>
    </row>
    <row r="9763">
      <c r="A9763" s="181"/>
      <c r="B9763" s="182"/>
      <c r="C9763" s="183"/>
      <c r="E9763" s="184"/>
      <c r="L9763" s="129"/>
    </row>
    <row r="9764">
      <c r="A9764" s="181"/>
      <c r="B9764" s="182"/>
      <c r="C9764" s="183"/>
      <c r="E9764" s="184"/>
      <c r="L9764" s="129"/>
    </row>
    <row r="9765">
      <c r="A9765" s="181"/>
      <c r="B9765" s="182"/>
      <c r="C9765" s="183"/>
      <c r="E9765" s="184"/>
      <c r="L9765" s="129"/>
    </row>
    <row r="9766">
      <c r="A9766" s="181"/>
      <c r="B9766" s="182"/>
      <c r="C9766" s="183"/>
      <c r="E9766" s="184"/>
      <c r="L9766" s="129"/>
    </row>
    <row r="9767">
      <c r="A9767" s="181"/>
      <c r="B9767" s="182"/>
      <c r="C9767" s="183"/>
      <c r="E9767" s="184"/>
      <c r="L9767" s="129"/>
    </row>
    <row r="9768">
      <c r="A9768" s="181"/>
      <c r="B9768" s="182"/>
      <c r="C9768" s="183"/>
      <c r="E9768" s="184"/>
      <c r="L9768" s="129"/>
    </row>
    <row r="9769">
      <c r="A9769" s="181"/>
      <c r="B9769" s="182"/>
      <c r="C9769" s="183"/>
      <c r="E9769" s="184"/>
      <c r="L9769" s="129"/>
    </row>
    <row r="9770">
      <c r="A9770" s="181"/>
      <c r="B9770" s="182"/>
      <c r="C9770" s="183"/>
      <c r="E9770" s="184"/>
      <c r="L9770" s="129"/>
    </row>
    <row r="9771">
      <c r="A9771" s="181"/>
      <c r="B9771" s="182"/>
      <c r="C9771" s="183"/>
      <c r="E9771" s="184"/>
      <c r="L9771" s="129"/>
    </row>
    <row r="9772">
      <c r="A9772" s="181"/>
      <c r="B9772" s="182"/>
      <c r="C9772" s="183"/>
      <c r="E9772" s="184"/>
      <c r="L9772" s="129"/>
    </row>
    <row r="9773">
      <c r="A9773" s="181"/>
      <c r="B9773" s="182"/>
      <c r="C9773" s="183"/>
      <c r="E9773" s="184"/>
      <c r="L9773" s="129"/>
    </row>
    <row r="9774">
      <c r="A9774" s="181"/>
      <c r="B9774" s="182"/>
      <c r="C9774" s="183"/>
      <c r="E9774" s="184"/>
      <c r="L9774" s="129"/>
    </row>
    <row r="9775">
      <c r="A9775" s="181"/>
      <c r="B9775" s="182"/>
      <c r="C9775" s="183"/>
      <c r="E9775" s="184"/>
      <c r="L9775" s="129"/>
    </row>
    <row r="9776">
      <c r="A9776" s="181"/>
      <c r="B9776" s="182"/>
      <c r="C9776" s="183"/>
      <c r="E9776" s="184"/>
      <c r="L9776" s="129"/>
    </row>
    <row r="9777">
      <c r="A9777" s="181"/>
      <c r="B9777" s="182"/>
      <c r="C9777" s="183"/>
      <c r="E9777" s="184"/>
      <c r="L9777" s="129"/>
    </row>
    <row r="9778">
      <c r="A9778" s="181"/>
      <c r="B9778" s="182"/>
      <c r="C9778" s="183"/>
      <c r="E9778" s="184"/>
      <c r="L9778" s="129"/>
    </row>
    <row r="9779">
      <c r="A9779" s="181"/>
      <c r="B9779" s="182"/>
      <c r="C9779" s="183"/>
      <c r="E9779" s="184"/>
      <c r="L9779" s="129"/>
    </row>
    <row r="9780">
      <c r="A9780" s="181"/>
      <c r="B9780" s="182"/>
      <c r="C9780" s="183"/>
      <c r="E9780" s="184"/>
      <c r="L9780" s="129"/>
    </row>
    <row r="9781">
      <c r="A9781" s="181"/>
      <c r="B9781" s="182"/>
      <c r="C9781" s="183"/>
      <c r="E9781" s="184"/>
      <c r="L9781" s="129"/>
    </row>
    <row r="9782">
      <c r="A9782" s="181"/>
      <c r="B9782" s="182"/>
      <c r="C9782" s="183"/>
      <c r="E9782" s="184"/>
      <c r="L9782" s="129"/>
    </row>
    <row r="9783">
      <c r="A9783" s="181"/>
      <c r="B9783" s="182"/>
      <c r="C9783" s="183"/>
      <c r="E9783" s="184"/>
      <c r="L9783" s="129"/>
    </row>
    <row r="9784">
      <c r="A9784" s="181"/>
      <c r="B9784" s="182"/>
      <c r="C9784" s="183"/>
      <c r="E9784" s="184"/>
      <c r="L9784" s="129"/>
    </row>
    <row r="9785">
      <c r="A9785" s="181"/>
      <c r="B9785" s="182"/>
      <c r="C9785" s="183"/>
      <c r="E9785" s="184"/>
      <c r="L9785" s="129"/>
    </row>
    <row r="9786">
      <c r="A9786" s="181"/>
      <c r="B9786" s="182"/>
      <c r="C9786" s="183"/>
      <c r="E9786" s="184"/>
      <c r="L9786" s="129"/>
    </row>
    <row r="9787">
      <c r="A9787" s="181"/>
      <c r="B9787" s="182"/>
      <c r="C9787" s="183"/>
      <c r="E9787" s="184"/>
      <c r="L9787" s="129"/>
    </row>
    <row r="9788">
      <c r="A9788" s="181"/>
      <c r="B9788" s="182"/>
      <c r="C9788" s="183"/>
      <c r="E9788" s="184"/>
      <c r="L9788" s="129"/>
    </row>
    <row r="9789">
      <c r="A9789" s="181"/>
      <c r="B9789" s="182"/>
      <c r="C9789" s="183"/>
      <c r="E9789" s="184"/>
      <c r="L9789" s="129"/>
    </row>
    <row r="9790">
      <c r="A9790" s="181"/>
      <c r="B9790" s="182"/>
      <c r="C9790" s="183"/>
      <c r="E9790" s="184"/>
      <c r="L9790" s="129"/>
    </row>
    <row r="9791">
      <c r="A9791" s="181"/>
      <c r="B9791" s="182"/>
      <c r="C9791" s="183"/>
      <c r="E9791" s="184"/>
      <c r="L9791" s="129"/>
    </row>
    <row r="9792">
      <c r="A9792" s="181"/>
      <c r="B9792" s="182"/>
      <c r="C9792" s="183"/>
      <c r="E9792" s="184"/>
      <c r="L9792" s="129"/>
    </row>
    <row r="9793">
      <c r="A9793" s="181"/>
      <c r="B9793" s="182"/>
      <c r="C9793" s="183"/>
      <c r="E9793" s="184"/>
      <c r="L9793" s="129"/>
    </row>
    <row r="9794">
      <c r="A9794" s="181"/>
      <c r="B9794" s="182"/>
      <c r="C9794" s="183"/>
      <c r="E9794" s="184"/>
      <c r="L9794" s="129"/>
    </row>
    <row r="9795">
      <c r="A9795" s="181"/>
      <c r="B9795" s="182"/>
      <c r="C9795" s="183"/>
      <c r="E9795" s="184"/>
      <c r="L9795" s="129"/>
    </row>
    <row r="9796">
      <c r="A9796" s="181"/>
      <c r="B9796" s="182"/>
      <c r="C9796" s="183"/>
      <c r="E9796" s="184"/>
      <c r="L9796" s="129"/>
    </row>
    <row r="9797">
      <c r="A9797" s="181"/>
      <c r="B9797" s="182"/>
      <c r="C9797" s="183"/>
      <c r="E9797" s="184"/>
      <c r="L9797" s="129"/>
    </row>
    <row r="9798">
      <c r="A9798" s="181"/>
      <c r="B9798" s="182"/>
      <c r="C9798" s="183"/>
      <c r="E9798" s="184"/>
      <c r="L9798" s="129"/>
    </row>
    <row r="9799">
      <c r="A9799" s="181"/>
      <c r="B9799" s="182"/>
      <c r="C9799" s="183"/>
      <c r="E9799" s="184"/>
      <c r="L9799" s="129"/>
    </row>
    <row r="9800">
      <c r="A9800" s="181"/>
      <c r="B9800" s="182"/>
      <c r="C9800" s="183"/>
      <c r="E9800" s="184"/>
      <c r="L9800" s="129"/>
    </row>
    <row r="9801">
      <c r="A9801" s="181"/>
      <c r="B9801" s="182"/>
      <c r="C9801" s="183"/>
      <c r="E9801" s="184"/>
      <c r="L9801" s="129"/>
    </row>
    <row r="9802">
      <c r="A9802" s="181"/>
      <c r="B9802" s="182"/>
      <c r="C9802" s="183"/>
      <c r="E9802" s="184"/>
      <c r="L9802" s="129"/>
    </row>
    <row r="9803">
      <c r="A9803" s="181"/>
      <c r="B9803" s="182"/>
      <c r="C9803" s="183"/>
      <c r="E9803" s="184"/>
      <c r="L9803" s="129"/>
    </row>
    <row r="9804">
      <c r="A9804" s="181"/>
      <c r="B9804" s="182"/>
      <c r="C9804" s="183"/>
      <c r="E9804" s="184"/>
      <c r="L9804" s="129"/>
    </row>
    <row r="9805">
      <c r="A9805" s="181"/>
      <c r="B9805" s="182"/>
      <c r="C9805" s="183"/>
      <c r="E9805" s="184"/>
      <c r="L9805" s="129"/>
    </row>
    <row r="9806">
      <c r="A9806" s="181"/>
      <c r="B9806" s="182"/>
      <c r="C9806" s="183"/>
      <c r="E9806" s="184"/>
      <c r="L9806" s="129"/>
    </row>
    <row r="9807">
      <c r="A9807" s="181"/>
      <c r="B9807" s="182"/>
      <c r="C9807" s="183"/>
      <c r="E9807" s="184"/>
      <c r="L9807" s="129"/>
    </row>
    <row r="9808">
      <c r="A9808" s="181"/>
      <c r="B9808" s="182"/>
      <c r="C9808" s="183"/>
      <c r="E9808" s="184"/>
      <c r="L9808" s="129"/>
    </row>
    <row r="9809">
      <c r="A9809" s="181"/>
      <c r="B9809" s="182"/>
      <c r="C9809" s="183"/>
      <c r="E9809" s="184"/>
      <c r="L9809" s="129"/>
    </row>
    <row r="9810">
      <c r="A9810" s="181"/>
      <c r="B9810" s="182"/>
      <c r="C9810" s="183"/>
      <c r="E9810" s="184"/>
      <c r="L9810" s="129"/>
    </row>
    <row r="9811">
      <c r="A9811" s="181"/>
      <c r="B9811" s="182"/>
      <c r="C9811" s="183"/>
      <c r="E9811" s="184"/>
      <c r="L9811" s="129"/>
    </row>
    <row r="9812">
      <c r="A9812" s="181"/>
      <c r="B9812" s="182"/>
      <c r="C9812" s="183"/>
      <c r="E9812" s="184"/>
      <c r="L9812" s="129"/>
    </row>
    <row r="9813">
      <c r="A9813" s="181"/>
      <c r="B9813" s="182"/>
      <c r="C9813" s="183"/>
      <c r="E9813" s="184"/>
      <c r="L9813" s="129"/>
    </row>
    <row r="9814">
      <c r="A9814" s="181"/>
      <c r="B9814" s="182"/>
      <c r="C9814" s="183"/>
      <c r="E9814" s="184"/>
      <c r="L9814" s="129"/>
    </row>
    <row r="9815">
      <c r="A9815" s="181"/>
      <c r="B9815" s="182"/>
      <c r="C9815" s="183"/>
      <c r="E9815" s="184"/>
      <c r="L9815" s="129"/>
    </row>
    <row r="9816">
      <c r="A9816" s="181"/>
      <c r="B9816" s="182"/>
      <c r="C9816" s="183"/>
      <c r="E9816" s="184"/>
      <c r="L9816" s="129"/>
    </row>
    <row r="9817">
      <c r="A9817" s="181"/>
      <c r="B9817" s="182"/>
      <c r="C9817" s="183"/>
      <c r="E9817" s="184"/>
      <c r="L9817" s="129"/>
    </row>
    <row r="9818">
      <c r="A9818" s="181"/>
      <c r="B9818" s="182"/>
      <c r="C9818" s="183"/>
      <c r="E9818" s="184"/>
      <c r="L9818" s="129"/>
    </row>
    <row r="9819">
      <c r="A9819" s="181"/>
      <c r="B9819" s="182"/>
      <c r="C9819" s="183"/>
      <c r="E9819" s="184"/>
      <c r="L9819" s="129"/>
    </row>
    <row r="9820">
      <c r="A9820" s="181"/>
      <c r="B9820" s="182"/>
      <c r="C9820" s="183"/>
      <c r="E9820" s="184"/>
      <c r="L9820" s="129"/>
    </row>
    <row r="9821">
      <c r="A9821" s="181"/>
      <c r="B9821" s="182"/>
      <c r="C9821" s="183"/>
      <c r="E9821" s="184"/>
      <c r="L9821" s="129"/>
    </row>
    <row r="9822">
      <c r="A9822" s="181"/>
      <c r="B9822" s="182"/>
      <c r="C9822" s="183"/>
      <c r="E9822" s="184"/>
      <c r="L9822" s="129"/>
    </row>
    <row r="9823">
      <c r="A9823" s="181"/>
      <c r="B9823" s="182"/>
      <c r="C9823" s="183"/>
      <c r="E9823" s="184"/>
      <c r="L9823" s="129"/>
    </row>
    <row r="9824">
      <c r="A9824" s="181"/>
      <c r="B9824" s="182"/>
      <c r="C9824" s="183"/>
      <c r="E9824" s="184"/>
      <c r="L9824" s="129"/>
    </row>
    <row r="9825">
      <c r="A9825" s="181"/>
      <c r="B9825" s="182"/>
      <c r="C9825" s="183"/>
      <c r="E9825" s="184"/>
      <c r="L9825" s="129"/>
    </row>
    <row r="9826">
      <c r="A9826" s="181"/>
      <c r="B9826" s="182"/>
      <c r="C9826" s="183"/>
      <c r="E9826" s="184"/>
      <c r="L9826" s="129"/>
    </row>
    <row r="9827">
      <c r="A9827" s="181"/>
      <c r="B9827" s="182"/>
      <c r="C9827" s="183"/>
      <c r="E9827" s="184"/>
      <c r="L9827" s="129"/>
    </row>
    <row r="9828">
      <c r="A9828" s="181"/>
      <c r="B9828" s="182"/>
      <c r="C9828" s="183"/>
      <c r="E9828" s="184"/>
      <c r="L9828" s="129"/>
    </row>
    <row r="9829">
      <c r="A9829" s="181"/>
      <c r="B9829" s="182"/>
      <c r="C9829" s="183"/>
      <c r="E9829" s="184"/>
      <c r="L9829" s="129"/>
    </row>
    <row r="9830">
      <c r="A9830" s="181"/>
      <c r="B9830" s="182"/>
      <c r="C9830" s="183"/>
      <c r="E9830" s="184"/>
      <c r="L9830" s="129"/>
    </row>
    <row r="9831">
      <c r="A9831" s="181"/>
      <c r="B9831" s="182"/>
      <c r="C9831" s="183"/>
      <c r="E9831" s="184"/>
      <c r="L9831" s="129"/>
    </row>
    <row r="9832">
      <c r="A9832" s="181"/>
      <c r="B9832" s="182"/>
      <c r="C9832" s="183"/>
      <c r="E9832" s="184"/>
      <c r="L9832" s="129"/>
    </row>
    <row r="9833">
      <c r="A9833" s="181"/>
      <c r="B9833" s="182"/>
      <c r="C9833" s="183"/>
      <c r="E9833" s="184"/>
      <c r="L9833" s="129"/>
    </row>
    <row r="9834">
      <c r="A9834" s="181"/>
      <c r="B9834" s="182"/>
      <c r="C9834" s="183"/>
      <c r="E9834" s="184"/>
      <c r="L9834" s="129"/>
    </row>
    <row r="9835">
      <c r="A9835" s="181"/>
      <c r="B9835" s="182"/>
      <c r="C9835" s="183"/>
      <c r="E9835" s="184"/>
      <c r="L9835" s="129"/>
    </row>
    <row r="9836">
      <c r="A9836" s="181"/>
      <c r="B9836" s="182"/>
      <c r="C9836" s="183"/>
      <c r="E9836" s="184"/>
      <c r="L9836" s="129"/>
    </row>
    <row r="9837">
      <c r="A9837" s="181"/>
      <c r="B9837" s="182"/>
      <c r="C9837" s="183"/>
      <c r="E9837" s="184"/>
      <c r="L9837" s="129"/>
    </row>
    <row r="9838">
      <c r="A9838" s="181"/>
      <c r="B9838" s="182"/>
      <c r="C9838" s="183"/>
      <c r="E9838" s="184"/>
      <c r="L9838" s="129"/>
    </row>
    <row r="9839">
      <c r="A9839" s="181"/>
      <c r="B9839" s="182"/>
      <c r="C9839" s="183"/>
      <c r="E9839" s="184"/>
      <c r="L9839" s="129"/>
    </row>
    <row r="9840">
      <c r="A9840" s="181"/>
      <c r="B9840" s="182"/>
      <c r="C9840" s="183"/>
      <c r="E9840" s="184"/>
      <c r="L9840" s="129"/>
    </row>
    <row r="9841">
      <c r="A9841" s="181"/>
      <c r="B9841" s="182"/>
      <c r="C9841" s="183"/>
      <c r="E9841" s="184"/>
      <c r="L9841" s="129"/>
    </row>
    <row r="9842">
      <c r="A9842" s="181"/>
      <c r="B9842" s="182"/>
      <c r="C9842" s="183"/>
      <c r="E9842" s="184"/>
      <c r="L9842" s="129"/>
    </row>
    <row r="9843">
      <c r="A9843" s="181"/>
      <c r="B9843" s="182"/>
      <c r="C9843" s="183"/>
      <c r="E9843" s="184"/>
      <c r="L9843" s="129"/>
    </row>
    <row r="9844">
      <c r="A9844" s="181"/>
      <c r="B9844" s="182"/>
      <c r="C9844" s="183"/>
      <c r="E9844" s="184"/>
      <c r="L9844" s="129"/>
    </row>
    <row r="9845">
      <c r="A9845" s="181"/>
      <c r="B9845" s="182"/>
      <c r="C9845" s="183"/>
      <c r="E9845" s="184"/>
      <c r="L9845" s="129"/>
    </row>
    <row r="9846">
      <c r="A9846" s="181"/>
      <c r="B9846" s="182"/>
      <c r="C9846" s="183"/>
      <c r="E9846" s="184"/>
      <c r="L9846" s="129"/>
    </row>
    <row r="9847">
      <c r="A9847" s="181"/>
      <c r="B9847" s="182"/>
      <c r="C9847" s="183"/>
      <c r="E9847" s="184"/>
      <c r="L9847" s="129"/>
    </row>
    <row r="9848">
      <c r="A9848" s="181"/>
      <c r="B9848" s="182"/>
      <c r="C9848" s="183"/>
      <c r="E9848" s="184"/>
      <c r="L9848" s="129"/>
    </row>
    <row r="9849">
      <c r="A9849" s="181"/>
      <c r="B9849" s="182"/>
      <c r="C9849" s="183"/>
      <c r="E9849" s="184"/>
      <c r="L9849" s="129"/>
    </row>
    <row r="9850">
      <c r="A9850" s="181"/>
      <c r="B9850" s="182"/>
      <c r="C9850" s="183"/>
      <c r="E9850" s="184"/>
      <c r="L9850" s="129"/>
    </row>
    <row r="9851">
      <c r="A9851" s="181"/>
      <c r="B9851" s="182"/>
      <c r="C9851" s="183"/>
      <c r="E9851" s="184"/>
      <c r="L9851" s="129"/>
    </row>
    <row r="9852">
      <c r="A9852" s="181"/>
      <c r="B9852" s="182"/>
      <c r="C9852" s="183"/>
      <c r="E9852" s="184"/>
      <c r="L9852" s="129"/>
    </row>
    <row r="9853">
      <c r="A9853" s="181"/>
      <c r="B9853" s="182"/>
      <c r="C9853" s="183"/>
      <c r="E9853" s="184"/>
      <c r="L9853" s="129"/>
    </row>
    <row r="9854">
      <c r="A9854" s="181"/>
      <c r="B9854" s="182"/>
      <c r="C9854" s="183"/>
      <c r="E9854" s="184"/>
      <c r="L9854" s="129"/>
    </row>
    <row r="9855">
      <c r="A9855" s="181"/>
      <c r="B9855" s="182"/>
      <c r="C9855" s="183"/>
      <c r="E9855" s="184"/>
      <c r="L9855" s="129"/>
    </row>
    <row r="9856">
      <c r="A9856" s="181"/>
      <c r="B9856" s="182"/>
      <c r="C9856" s="183"/>
      <c r="E9856" s="184"/>
      <c r="L9856" s="129"/>
    </row>
    <row r="9857">
      <c r="A9857" s="181"/>
      <c r="B9857" s="182"/>
      <c r="C9857" s="183"/>
      <c r="E9857" s="184"/>
      <c r="L9857" s="129"/>
    </row>
    <row r="9858">
      <c r="A9858" s="181"/>
      <c r="B9858" s="182"/>
      <c r="C9858" s="183"/>
      <c r="E9858" s="184"/>
      <c r="L9858" s="129"/>
    </row>
    <row r="9859">
      <c r="A9859" s="181"/>
      <c r="B9859" s="182"/>
      <c r="C9859" s="183"/>
      <c r="E9859" s="184"/>
      <c r="L9859" s="129"/>
    </row>
    <row r="9860">
      <c r="A9860" s="181"/>
      <c r="B9860" s="182"/>
      <c r="C9860" s="183"/>
      <c r="E9860" s="184"/>
      <c r="L9860" s="129"/>
    </row>
    <row r="9861">
      <c r="A9861" s="181"/>
      <c r="B9861" s="182"/>
      <c r="C9861" s="183"/>
      <c r="E9861" s="184"/>
      <c r="L9861" s="129"/>
    </row>
    <row r="9862">
      <c r="A9862" s="181"/>
      <c r="B9862" s="182"/>
      <c r="C9862" s="183"/>
      <c r="E9862" s="184"/>
      <c r="L9862" s="129"/>
    </row>
    <row r="9863">
      <c r="A9863" s="181"/>
      <c r="B9863" s="182"/>
      <c r="C9863" s="183"/>
      <c r="E9863" s="184"/>
      <c r="L9863" s="129"/>
    </row>
    <row r="9864">
      <c r="A9864" s="181"/>
      <c r="B9864" s="182"/>
      <c r="C9864" s="183"/>
      <c r="E9864" s="184"/>
      <c r="L9864" s="129"/>
    </row>
    <row r="9865">
      <c r="A9865" s="181"/>
      <c r="B9865" s="182"/>
      <c r="C9865" s="183"/>
      <c r="E9865" s="184"/>
      <c r="L9865" s="129"/>
    </row>
    <row r="9866">
      <c r="A9866" s="181"/>
      <c r="B9866" s="182"/>
      <c r="C9866" s="183"/>
      <c r="E9866" s="184"/>
      <c r="L9866" s="129"/>
    </row>
    <row r="9867">
      <c r="A9867" s="181"/>
      <c r="B9867" s="182"/>
      <c r="C9867" s="183"/>
      <c r="E9867" s="184"/>
      <c r="L9867" s="129"/>
    </row>
    <row r="9868">
      <c r="A9868" s="181"/>
      <c r="B9868" s="182"/>
      <c r="C9868" s="183"/>
      <c r="E9868" s="184"/>
      <c r="L9868" s="129"/>
    </row>
    <row r="9869">
      <c r="A9869" s="181"/>
      <c r="B9869" s="182"/>
      <c r="C9869" s="183"/>
      <c r="E9869" s="184"/>
      <c r="L9869" s="129"/>
    </row>
    <row r="9870">
      <c r="A9870" s="181"/>
      <c r="B9870" s="182"/>
      <c r="C9870" s="183"/>
      <c r="E9870" s="184"/>
      <c r="L9870" s="129"/>
    </row>
    <row r="9871">
      <c r="A9871" s="181"/>
      <c r="B9871" s="182"/>
      <c r="C9871" s="183"/>
      <c r="E9871" s="184"/>
      <c r="L9871" s="129"/>
    </row>
    <row r="9872">
      <c r="A9872" s="181"/>
      <c r="B9872" s="182"/>
      <c r="C9872" s="183"/>
      <c r="E9872" s="184"/>
      <c r="L9872" s="129"/>
    </row>
    <row r="9873">
      <c r="A9873" s="181"/>
      <c r="B9873" s="182"/>
      <c r="C9873" s="183"/>
      <c r="E9873" s="184"/>
      <c r="L9873" s="129"/>
    </row>
    <row r="9874">
      <c r="A9874" s="181"/>
      <c r="B9874" s="182"/>
      <c r="C9874" s="183"/>
      <c r="E9874" s="184"/>
      <c r="L9874" s="129"/>
    </row>
    <row r="9875">
      <c r="A9875" s="181"/>
      <c r="B9875" s="182"/>
      <c r="C9875" s="183"/>
      <c r="E9875" s="184"/>
      <c r="L9875" s="129"/>
    </row>
    <row r="9876">
      <c r="A9876" s="181"/>
      <c r="B9876" s="182"/>
      <c r="C9876" s="183"/>
      <c r="E9876" s="184"/>
      <c r="L9876" s="129"/>
    </row>
    <row r="9877">
      <c r="A9877" s="181"/>
      <c r="B9877" s="182"/>
      <c r="C9877" s="183"/>
      <c r="E9877" s="184"/>
      <c r="L9877" s="129"/>
    </row>
    <row r="9878">
      <c r="A9878" s="181"/>
      <c r="B9878" s="182"/>
      <c r="C9878" s="183"/>
      <c r="E9878" s="184"/>
      <c r="L9878" s="129"/>
    </row>
    <row r="9879">
      <c r="A9879" s="181"/>
      <c r="B9879" s="182"/>
      <c r="C9879" s="183"/>
      <c r="E9879" s="184"/>
      <c r="L9879" s="129"/>
    </row>
    <row r="9880">
      <c r="A9880" s="181"/>
      <c r="B9880" s="182"/>
      <c r="C9880" s="183"/>
      <c r="E9880" s="184"/>
      <c r="L9880" s="129"/>
    </row>
    <row r="9881">
      <c r="A9881" s="181"/>
      <c r="B9881" s="182"/>
      <c r="C9881" s="183"/>
      <c r="E9881" s="184"/>
      <c r="L9881" s="129"/>
    </row>
    <row r="9882">
      <c r="A9882" s="181"/>
      <c r="B9882" s="182"/>
      <c r="C9882" s="183"/>
      <c r="E9882" s="184"/>
      <c r="L9882" s="129"/>
    </row>
    <row r="9883">
      <c r="A9883" s="181"/>
      <c r="B9883" s="182"/>
      <c r="C9883" s="183"/>
      <c r="E9883" s="184"/>
      <c r="L9883" s="129"/>
    </row>
    <row r="9884">
      <c r="A9884" s="181"/>
      <c r="B9884" s="182"/>
      <c r="C9884" s="183"/>
      <c r="E9884" s="184"/>
      <c r="L9884" s="129"/>
    </row>
    <row r="9885">
      <c r="A9885" s="181"/>
      <c r="B9885" s="182"/>
      <c r="C9885" s="183"/>
      <c r="E9885" s="184"/>
      <c r="L9885" s="129"/>
    </row>
    <row r="9886">
      <c r="A9886" s="181"/>
      <c r="B9886" s="182"/>
      <c r="C9886" s="183"/>
      <c r="E9886" s="184"/>
      <c r="L9886" s="129"/>
    </row>
    <row r="9887">
      <c r="A9887" s="181"/>
      <c r="B9887" s="182"/>
      <c r="C9887" s="183"/>
      <c r="E9887" s="184"/>
      <c r="L9887" s="129"/>
    </row>
    <row r="9888">
      <c r="A9888" s="181"/>
      <c r="B9888" s="182"/>
      <c r="C9888" s="183"/>
      <c r="E9888" s="184"/>
      <c r="L9888" s="129"/>
    </row>
    <row r="9889">
      <c r="A9889" s="181"/>
      <c r="B9889" s="182"/>
      <c r="C9889" s="183"/>
      <c r="E9889" s="184"/>
      <c r="L9889" s="129"/>
    </row>
    <row r="9890">
      <c r="A9890" s="181"/>
      <c r="B9890" s="182"/>
      <c r="C9890" s="183"/>
      <c r="E9890" s="184"/>
      <c r="L9890" s="129"/>
    </row>
    <row r="9891">
      <c r="A9891" s="181"/>
      <c r="B9891" s="182"/>
      <c r="C9891" s="183"/>
      <c r="E9891" s="184"/>
      <c r="L9891" s="129"/>
    </row>
    <row r="9892">
      <c r="A9892" s="181"/>
      <c r="B9892" s="182"/>
      <c r="C9892" s="183"/>
      <c r="E9892" s="184"/>
      <c r="L9892" s="129"/>
    </row>
    <row r="9893">
      <c r="A9893" s="181"/>
      <c r="B9893" s="182"/>
      <c r="C9893" s="183"/>
      <c r="E9893" s="184"/>
      <c r="L9893" s="129"/>
    </row>
    <row r="9894">
      <c r="A9894" s="181"/>
      <c r="B9894" s="182"/>
      <c r="C9894" s="183"/>
      <c r="E9894" s="184"/>
      <c r="L9894" s="129"/>
    </row>
    <row r="9895">
      <c r="A9895" s="181"/>
      <c r="B9895" s="182"/>
      <c r="C9895" s="183"/>
      <c r="E9895" s="184"/>
      <c r="L9895" s="129"/>
    </row>
    <row r="9896">
      <c r="A9896" s="181"/>
      <c r="B9896" s="182"/>
      <c r="C9896" s="183"/>
      <c r="E9896" s="184"/>
      <c r="L9896" s="129"/>
    </row>
    <row r="9897">
      <c r="A9897" s="181"/>
      <c r="B9897" s="182"/>
      <c r="C9897" s="183"/>
      <c r="E9897" s="184"/>
      <c r="L9897" s="129"/>
    </row>
    <row r="9898">
      <c r="A9898" s="181"/>
      <c r="B9898" s="182"/>
      <c r="C9898" s="183"/>
      <c r="E9898" s="184"/>
      <c r="L9898" s="129"/>
    </row>
    <row r="9899">
      <c r="A9899" s="181"/>
      <c r="B9899" s="182"/>
      <c r="C9899" s="183"/>
      <c r="E9899" s="184"/>
      <c r="L9899" s="129"/>
    </row>
    <row r="9900">
      <c r="A9900" s="181"/>
      <c r="B9900" s="182"/>
      <c r="C9900" s="183"/>
      <c r="E9900" s="184"/>
      <c r="L9900" s="129"/>
    </row>
    <row r="9901">
      <c r="A9901" s="181"/>
      <c r="B9901" s="182"/>
      <c r="C9901" s="183"/>
      <c r="E9901" s="184"/>
      <c r="L9901" s="129"/>
    </row>
    <row r="9902">
      <c r="A9902" s="181"/>
      <c r="B9902" s="182"/>
      <c r="C9902" s="183"/>
      <c r="E9902" s="184"/>
      <c r="L9902" s="129"/>
    </row>
    <row r="9903">
      <c r="A9903" s="181"/>
      <c r="B9903" s="182"/>
      <c r="C9903" s="183"/>
      <c r="E9903" s="184"/>
      <c r="L9903" s="129"/>
    </row>
    <row r="9904">
      <c r="A9904" s="181"/>
      <c r="B9904" s="182"/>
      <c r="C9904" s="183"/>
      <c r="E9904" s="184"/>
      <c r="L9904" s="129"/>
    </row>
    <row r="9905">
      <c r="A9905" s="181"/>
      <c r="B9905" s="182"/>
      <c r="C9905" s="183"/>
      <c r="E9905" s="184"/>
      <c r="L9905" s="129"/>
    </row>
    <row r="9906">
      <c r="A9906" s="181"/>
      <c r="B9906" s="182"/>
      <c r="C9906" s="183"/>
      <c r="E9906" s="184"/>
      <c r="L9906" s="129"/>
    </row>
    <row r="9907">
      <c r="A9907" s="181"/>
      <c r="B9907" s="182"/>
      <c r="C9907" s="183"/>
      <c r="E9907" s="184"/>
      <c r="L9907" s="129"/>
    </row>
    <row r="9908">
      <c r="A9908" s="181"/>
      <c r="B9908" s="182"/>
      <c r="C9908" s="183"/>
      <c r="E9908" s="184"/>
      <c r="L9908" s="129"/>
    </row>
    <row r="9909">
      <c r="A9909" s="181"/>
      <c r="B9909" s="182"/>
      <c r="C9909" s="183"/>
      <c r="E9909" s="184"/>
      <c r="L9909" s="129"/>
    </row>
    <row r="9910">
      <c r="A9910" s="181"/>
      <c r="B9910" s="182"/>
      <c r="C9910" s="183"/>
      <c r="E9910" s="184"/>
      <c r="L9910" s="129"/>
    </row>
    <row r="9911">
      <c r="A9911" s="181"/>
      <c r="B9911" s="182"/>
      <c r="C9911" s="183"/>
      <c r="E9911" s="184"/>
      <c r="L9911" s="129"/>
    </row>
    <row r="9912">
      <c r="A9912" s="181"/>
      <c r="B9912" s="182"/>
      <c r="C9912" s="183"/>
      <c r="E9912" s="184"/>
      <c r="L9912" s="129"/>
    </row>
    <row r="9913">
      <c r="A9913" s="181"/>
      <c r="B9913" s="182"/>
      <c r="C9913" s="183"/>
      <c r="E9913" s="184"/>
      <c r="L9913" s="129"/>
    </row>
    <row r="9914">
      <c r="A9914" s="181"/>
      <c r="B9914" s="182"/>
      <c r="C9914" s="183"/>
      <c r="E9914" s="184"/>
      <c r="L9914" s="129"/>
    </row>
    <row r="9915">
      <c r="A9915" s="181"/>
      <c r="B9915" s="182"/>
      <c r="C9915" s="183"/>
      <c r="E9915" s="184"/>
      <c r="L9915" s="129"/>
    </row>
    <row r="9916">
      <c r="A9916" s="181"/>
      <c r="B9916" s="182"/>
      <c r="C9916" s="183"/>
      <c r="E9916" s="184"/>
      <c r="L9916" s="129"/>
    </row>
    <row r="9917">
      <c r="A9917" s="181"/>
      <c r="B9917" s="182"/>
      <c r="C9917" s="183"/>
      <c r="E9917" s="184"/>
      <c r="L9917" s="129"/>
    </row>
    <row r="9918">
      <c r="A9918" s="181"/>
      <c r="B9918" s="182"/>
      <c r="C9918" s="183"/>
      <c r="E9918" s="184"/>
      <c r="L9918" s="129"/>
    </row>
    <row r="9919">
      <c r="A9919" s="181"/>
      <c r="B9919" s="182"/>
      <c r="C9919" s="183"/>
      <c r="E9919" s="184"/>
      <c r="L9919" s="129"/>
    </row>
    <row r="9920">
      <c r="A9920" s="181"/>
      <c r="B9920" s="182"/>
      <c r="C9920" s="183"/>
      <c r="E9920" s="184"/>
      <c r="L9920" s="129"/>
    </row>
    <row r="9921">
      <c r="A9921" s="181"/>
      <c r="B9921" s="182"/>
      <c r="C9921" s="183"/>
      <c r="E9921" s="184"/>
      <c r="L9921" s="129"/>
    </row>
    <row r="9922">
      <c r="A9922" s="181"/>
      <c r="B9922" s="182"/>
      <c r="C9922" s="183"/>
      <c r="E9922" s="184"/>
      <c r="L9922" s="129"/>
    </row>
    <row r="9923">
      <c r="A9923" s="181"/>
      <c r="B9923" s="182"/>
      <c r="C9923" s="183"/>
      <c r="E9923" s="184"/>
      <c r="L9923" s="129"/>
    </row>
    <row r="9924">
      <c r="A9924" s="181"/>
      <c r="B9924" s="182"/>
      <c r="C9924" s="183"/>
      <c r="E9924" s="184"/>
      <c r="L9924" s="129"/>
    </row>
    <row r="9925">
      <c r="A9925" s="181"/>
      <c r="B9925" s="182"/>
      <c r="C9925" s="183"/>
      <c r="E9925" s="184"/>
      <c r="L9925" s="129"/>
    </row>
    <row r="9926">
      <c r="A9926" s="181"/>
      <c r="B9926" s="182"/>
      <c r="C9926" s="183"/>
      <c r="E9926" s="184"/>
      <c r="L9926" s="129"/>
    </row>
    <row r="9927">
      <c r="A9927" s="181"/>
      <c r="B9927" s="182"/>
      <c r="C9927" s="183"/>
      <c r="E9927" s="184"/>
      <c r="L9927" s="129"/>
    </row>
    <row r="9928">
      <c r="A9928" s="181"/>
      <c r="B9928" s="182"/>
      <c r="C9928" s="183"/>
      <c r="E9928" s="184"/>
      <c r="L9928" s="129"/>
    </row>
    <row r="9929">
      <c r="A9929" s="181"/>
      <c r="B9929" s="182"/>
      <c r="C9929" s="183"/>
      <c r="E9929" s="184"/>
      <c r="L9929" s="129"/>
    </row>
    <row r="9930">
      <c r="A9930" s="181"/>
      <c r="B9930" s="182"/>
      <c r="C9930" s="183"/>
      <c r="E9930" s="184"/>
      <c r="L9930" s="129"/>
    </row>
    <row r="9931">
      <c r="A9931" s="181"/>
      <c r="B9931" s="182"/>
      <c r="C9931" s="183"/>
      <c r="E9931" s="184"/>
      <c r="L9931" s="129"/>
    </row>
    <row r="9932">
      <c r="A9932" s="181"/>
      <c r="B9932" s="182"/>
      <c r="C9932" s="183"/>
      <c r="E9932" s="184"/>
      <c r="L9932" s="129"/>
    </row>
    <row r="9933">
      <c r="A9933" s="181"/>
      <c r="B9933" s="182"/>
      <c r="C9933" s="183"/>
      <c r="E9933" s="184"/>
      <c r="L9933" s="129"/>
    </row>
    <row r="9934">
      <c r="A9934" s="181"/>
      <c r="B9934" s="182"/>
      <c r="C9934" s="183"/>
      <c r="E9934" s="184"/>
      <c r="L9934" s="129"/>
    </row>
    <row r="9935">
      <c r="A9935" s="181"/>
      <c r="B9935" s="182"/>
      <c r="C9935" s="183"/>
      <c r="E9935" s="184"/>
      <c r="L9935" s="129"/>
    </row>
    <row r="9936">
      <c r="A9936" s="181"/>
      <c r="B9936" s="182"/>
      <c r="C9936" s="183"/>
      <c r="E9936" s="184"/>
      <c r="L9936" s="129"/>
    </row>
    <row r="9937">
      <c r="A9937" s="181"/>
      <c r="B9937" s="182"/>
      <c r="C9937" s="183"/>
      <c r="E9937" s="184"/>
      <c r="L9937" s="129"/>
    </row>
    <row r="9938">
      <c r="A9938" s="181"/>
      <c r="B9938" s="182"/>
      <c r="C9938" s="183"/>
      <c r="E9938" s="184"/>
      <c r="L9938" s="129"/>
    </row>
    <row r="9939">
      <c r="A9939" s="181"/>
      <c r="B9939" s="182"/>
      <c r="C9939" s="183"/>
      <c r="E9939" s="184"/>
      <c r="L9939" s="129"/>
    </row>
    <row r="9940">
      <c r="A9940" s="181"/>
      <c r="B9940" s="182"/>
      <c r="C9940" s="183"/>
      <c r="E9940" s="184"/>
      <c r="L9940" s="129"/>
    </row>
    <row r="9941">
      <c r="A9941" s="181"/>
      <c r="B9941" s="182"/>
      <c r="C9941" s="183"/>
      <c r="E9941" s="184"/>
      <c r="L9941" s="129"/>
    </row>
    <row r="9942">
      <c r="A9942" s="181"/>
      <c r="B9942" s="182"/>
      <c r="C9942" s="183"/>
      <c r="E9942" s="184"/>
      <c r="L9942" s="129"/>
    </row>
    <row r="9943">
      <c r="A9943" s="181"/>
      <c r="B9943" s="182"/>
      <c r="C9943" s="183"/>
      <c r="E9943" s="184"/>
      <c r="L9943" s="129"/>
    </row>
    <row r="9944">
      <c r="A9944" s="181"/>
      <c r="B9944" s="182"/>
      <c r="C9944" s="183"/>
      <c r="E9944" s="184"/>
      <c r="L9944" s="129"/>
    </row>
    <row r="9945">
      <c r="A9945" s="181"/>
      <c r="B9945" s="182"/>
      <c r="C9945" s="183"/>
      <c r="E9945" s="184"/>
      <c r="L9945" s="129"/>
    </row>
    <row r="9946">
      <c r="A9946" s="181"/>
      <c r="B9946" s="182"/>
      <c r="C9946" s="183"/>
      <c r="E9946" s="184"/>
      <c r="L9946" s="129"/>
    </row>
    <row r="9947">
      <c r="A9947" s="181"/>
      <c r="B9947" s="182"/>
      <c r="C9947" s="183"/>
      <c r="E9947" s="184"/>
      <c r="L9947" s="129"/>
    </row>
    <row r="9948">
      <c r="A9948" s="181"/>
      <c r="B9948" s="182"/>
      <c r="C9948" s="183"/>
      <c r="E9948" s="184"/>
      <c r="L9948" s="129"/>
    </row>
    <row r="9949">
      <c r="A9949" s="181"/>
      <c r="B9949" s="182"/>
      <c r="C9949" s="183"/>
      <c r="E9949" s="184"/>
      <c r="L9949" s="129"/>
    </row>
    <row r="9950">
      <c r="A9950" s="181"/>
      <c r="B9950" s="182"/>
      <c r="C9950" s="183"/>
      <c r="E9950" s="184"/>
      <c r="L9950" s="129"/>
    </row>
    <row r="9951">
      <c r="A9951" s="181"/>
      <c r="B9951" s="182"/>
      <c r="C9951" s="183"/>
      <c r="E9951" s="184"/>
      <c r="L9951" s="129"/>
    </row>
    <row r="9952">
      <c r="A9952" s="181"/>
      <c r="B9952" s="182"/>
      <c r="C9952" s="183"/>
      <c r="E9952" s="184"/>
      <c r="L9952" s="129"/>
    </row>
    <row r="9953">
      <c r="A9953" s="181"/>
      <c r="B9953" s="182"/>
      <c r="C9953" s="183"/>
      <c r="E9953" s="184"/>
      <c r="L9953" s="129"/>
    </row>
    <row r="9954">
      <c r="A9954" s="181"/>
      <c r="B9954" s="182"/>
      <c r="C9954" s="183"/>
      <c r="E9954" s="184"/>
      <c r="L9954" s="129"/>
    </row>
    <row r="9955">
      <c r="A9955" s="181"/>
      <c r="B9955" s="182"/>
      <c r="C9955" s="183"/>
      <c r="E9955" s="184"/>
      <c r="L9955" s="129"/>
    </row>
    <row r="9956">
      <c r="A9956" s="181"/>
      <c r="B9956" s="182"/>
      <c r="C9956" s="183"/>
      <c r="E9956" s="184"/>
      <c r="L9956" s="129"/>
    </row>
    <row r="9957">
      <c r="A9957" s="181"/>
      <c r="B9957" s="182"/>
      <c r="C9957" s="183"/>
      <c r="E9957" s="184"/>
      <c r="L9957" s="129"/>
    </row>
    <row r="9958">
      <c r="A9958" s="181"/>
      <c r="B9958" s="182"/>
      <c r="C9958" s="183"/>
      <c r="E9958" s="184"/>
      <c r="L9958" s="129"/>
    </row>
    <row r="9959">
      <c r="A9959" s="181"/>
      <c r="B9959" s="182"/>
      <c r="C9959" s="183"/>
      <c r="E9959" s="184"/>
      <c r="L9959" s="129"/>
    </row>
    <row r="9960">
      <c r="A9960" s="181"/>
      <c r="B9960" s="182"/>
      <c r="C9960" s="183"/>
      <c r="E9960" s="184"/>
      <c r="L9960" s="129"/>
    </row>
    <row r="9961">
      <c r="A9961" s="181"/>
      <c r="B9961" s="182"/>
      <c r="C9961" s="183"/>
      <c r="E9961" s="184"/>
      <c r="L9961" s="129"/>
    </row>
    <row r="9962">
      <c r="A9962" s="181"/>
      <c r="B9962" s="182"/>
      <c r="C9962" s="183"/>
      <c r="E9962" s="184"/>
      <c r="L9962" s="129"/>
    </row>
    <row r="9963">
      <c r="A9963" s="181"/>
      <c r="B9963" s="182"/>
      <c r="C9963" s="183"/>
      <c r="E9963" s="184"/>
      <c r="L9963" s="129"/>
    </row>
    <row r="9964">
      <c r="A9964" s="181"/>
      <c r="B9964" s="182"/>
      <c r="C9964" s="183"/>
      <c r="E9964" s="184"/>
      <c r="L9964" s="129"/>
    </row>
    <row r="9965">
      <c r="A9965" s="181"/>
      <c r="B9965" s="182"/>
      <c r="C9965" s="183"/>
      <c r="E9965" s="184"/>
      <c r="L9965" s="129"/>
    </row>
    <row r="9966">
      <c r="A9966" s="181"/>
      <c r="B9966" s="182"/>
      <c r="C9966" s="183"/>
      <c r="E9966" s="184"/>
      <c r="L9966" s="129"/>
    </row>
    <row r="9967">
      <c r="A9967" s="181"/>
      <c r="B9967" s="182"/>
      <c r="C9967" s="183"/>
      <c r="E9967" s="184"/>
      <c r="L9967" s="129"/>
    </row>
    <row r="9968">
      <c r="A9968" s="181"/>
      <c r="B9968" s="182"/>
      <c r="C9968" s="183"/>
      <c r="E9968" s="184"/>
      <c r="L9968" s="129"/>
    </row>
    <row r="9969">
      <c r="A9969" s="181"/>
      <c r="B9969" s="182"/>
      <c r="C9969" s="183"/>
      <c r="E9969" s="184"/>
      <c r="L9969" s="129"/>
    </row>
    <row r="9970">
      <c r="A9970" s="181"/>
      <c r="B9970" s="182"/>
      <c r="C9970" s="183"/>
      <c r="E9970" s="184"/>
      <c r="L9970" s="129"/>
    </row>
    <row r="9971">
      <c r="A9971" s="181"/>
      <c r="B9971" s="182"/>
      <c r="C9971" s="183"/>
      <c r="E9971" s="184"/>
      <c r="L9971" s="129"/>
    </row>
    <row r="9972">
      <c r="A9972" s="181"/>
      <c r="B9972" s="182"/>
      <c r="C9972" s="183"/>
      <c r="E9972" s="184"/>
      <c r="L9972" s="129"/>
    </row>
    <row r="9973">
      <c r="A9973" s="181"/>
      <c r="B9973" s="182"/>
      <c r="C9973" s="183"/>
      <c r="E9973" s="184"/>
      <c r="L9973" s="129"/>
    </row>
    <row r="9974">
      <c r="A9974" s="181"/>
      <c r="B9974" s="182"/>
      <c r="C9974" s="183"/>
      <c r="E9974" s="184"/>
      <c r="L9974" s="129"/>
    </row>
    <row r="9975">
      <c r="A9975" s="181"/>
      <c r="B9975" s="182"/>
      <c r="C9975" s="183"/>
      <c r="E9975" s="184"/>
      <c r="L9975" s="129"/>
    </row>
    <row r="9976">
      <c r="A9976" s="181"/>
      <c r="B9976" s="182"/>
      <c r="C9976" s="183"/>
      <c r="E9976" s="184"/>
      <c r="L9976" s="129"/>
    </row>
    <row r="9977">
      <c r="A9977" s="181"/>
      <c r="B9977" s="182"/>
      <c r="C9977" s="183"/>
      <c r="E9977" s="184"/>
      <c r="L9977" s="129"/>
    </row>
    <row r="9978">
      <c r="A9978" s="181"/>
      <c r="B9978" s="182"/>
      <c r="C9978" s="183"/>
      <c r="E9978" s="184"/>
      <c r="L9978" s="129"/>
    </row>
    <row r="9979">
      <c r="A9979" s="181"/>
      <c r="B9979" s="182"/>
      <c r="C9979" s="183"/>
      <c r="E9979" s="184"/>
      <c r="L9979" s="129"/>
    </row>
    <row r="9980">
      <c r="A9980" s="181"/>
      <c r="B9980" s="182"/>
      <c r="C9980" s="183"/>
      <c r="E9980" s="184"/>
      <c r="L9980" s="129"/>
    </row>
    <row r="9981">
      <c r="A9981" s="181"/>
      <c r="B9981" s="182"/>
      <c r="C9981" s="183"/>
      <c r="E9981" s="184"/>
      <c r="L9981" s="129"/>
    </row>
    <row r="9982">
      <c r="A9982" s="181"/>
      <c r="B9982" s="182"/>
      <c r="C9982" s="183"/>
      <c r="E9982" s="184"/>
      <c r="L9982" s="129"/>
    </row>
    <row r="9983">
      <c r="A9983" s="181"/>
      <c r="B9983" s="182"/>
      <c r="C9983" s="183"/>
      <c r="E9983" s="184"/>
      <c r="L9983" s="129"/>
    </row>
    <row r="9984">
      <c r="A9984" s="181"/>
      <c r="B9984" s="182"/>
      <c r="C9984" s="183"/>
      <c r="E9984" s="184"/>
      <c r="L9984" s="129"/>
    </row>
    <row r="9985">
      <c r="A9985" s="181"/>
      <c r="B9985" s="182"/>
      <c r="C9985" s="183"/>
      <c r="E9985" s="184"/>
      <c r="L9985" s="129"/>
    </row>
    <row r="9986">
      <c r="A9986" s="181"/>
      <c r="B9986" s="182"/>
      <c r="C9986" s="183"/>
      <c r="E9986" s="184"/>
      <c r="L9986" s="129"/>
    </row>
    <row r="9987">
      <c r="A9987" s="181"/>
      <c r="B9987" s="182"/>
      <c r="C9987" s="183"/>
      <c r="E9987" s="184"/>
      <c r="L9987" s="129"/>
    </row>
    <row r="9988">
      <c r="A9988" s="181"/>
      <c r="B9988" s="182"/>
      <c r="C9988" s="183"/>
      <c r="E9988" s="184"/>
      <c r="L9988" s="129"/>
    </row>
    <row r="9989">
      <c r="A9989" s="181"/>
      <c r="B9989" s="182"/>
      <c r="C9989" s="183"/>
      <c r="E9989" s="184"/>
      <c r="L9989" s="129"/>
    </row>
    <row r="9990">
      <c r="A9990" s="181"/>
      <c r="B9990" s="182"/>
      <c r="C9990" s="183"/>
      <c r="E9990" s="184"/>
      <c r="L9990" s="129"/>
    </row>
    <row r="9991">
      <c r="A9991" s="181"/>
      <c r="B9991" s="182"/>
      <c r="C9991" s="183"/>
      <c r="E9991" s="184"/>
      <c r="L9991" s="129"/>
    </row>
    <row r="9992">
      <c r="A9992" s="181"/>
      <c r="B9992" s="182"/>
      <c r="C9992" s="183"/>
      <c r="E9992" s="184"/>
      <c r="L9992" s="129"/>
    </row>
    <row r="9993">
      <c r="A9993" s="181"/>
      <c r="B9993" s="182"/>
      <c r="C9993" s="183"/>
      <c r="E9993" s="184"/>
      <c r="L9993" s="129"/>
    </row>
    <row r="9994">
      <c r="A9994" s="181"/>
      <c r="B9994" s="182"/>
      <c r="C9994" s="183"/>
      <c r="E9994" s="184"/>
      <c r="L9994" s="129"/>
    </row>
    <row r="9995">
      <c r="A9995" s="181"/>
      <c r="B9995" s="182"/>
      <c r="C9995" s="183"/>
      <c r="E9995" s="184"/>
      <c r="L9995" s="129"/>
    </row>
    <row r="9996">
      <c r="A9996" s="181"/>
      <c r="B9996" s="182"/>
      <c r="C9996" s="183"/>
      <c r="E9996" s="184"/>
      <c r="L9996" s="129"/>
    </row>
    <row r="9997">
      <c r="A9997" s="181"/>
      <c r="B9997" s="182"/>
      <c r="C9997" s="183"/>
      <c r="E9997" s="184"/>
      <c r="L9997" s="129"/>
    </row>
    <row r="9998">
      <c r="A9998" s="181"/>
      <c r="B9998" s="182"/>
      <c r="C9998" s="183"/>
      <c r="E9998" s="184"/>
      <c r="L9998" s="129"/>
    </row>
    <row r="9999">
      <c r="A9999" s="181"/>
      <c r="B9999" s="182"/>
      <c r="C9999" s="183"/>
      <c r="E9999" s="184"/>
      <c r="L9999" s="129"/>
    </row>
    <row r="10000">
      <c r="A10000" s="181"/>
      <c r="B10000" s="182"/>
      <c r="C10000" s="183"/>
      <c r="E10000" s="184"/>
      <c r="L10000" s="129"/>
    </row>
    <row r="10001">
      <c r="A10001" s="181"/>
      <c r="B10001" s="182"/>
      <c r="C10001" s="183"/>
      <c r="E10001" s="184"/>
      <c r="L10001" s="129"/>
    </row>
    <row r="10002">
      <c r="A10002" s="181"/>
      <c r="B10002" s="182"/>
      <c r="C10002" s="183"/>
      <c r="E10002" s="184"/>
      <c r="L10002" s="129"/>
    </row>
    <row r="10003">
      <c r="A10003" s="181"/>
      <c r="B10003" s="182"/>
      <c r="C10003" s="183"/>
      <c r="E10003" s="184"/>
      <c r="L10003" s="129"/>
    </row>
    <row r="10004">
      <c r="A10004" s="181"/>
      <c r="B10004" s="182"/>
      <c r="C10004" s="183"/>
      <c r="E10004" s="184"/>
      <c r="L10004" s="129"/>
    </row>
    <row r="10005">
      <c r="A10005" s="181"/>
      <c r="B10005" s="182"/>
      <c r="C10005" s="183"/>
      <c r="E10005" s="184"/>
      <c r="L10005" s="129"/>
    </row>
    <row r="10006">
      <c r="A10006" s="181"/>
      <c r="B10006" s="182"/>
      <c r="C10006" s="183"/>
      <c r="E10006" s="184"/>
      <c r="L10006" s="129"/>
    </row>
    <row r="10007">
      <c r="A10007" s="181"/>
      <c r="B10007" s="182"/>
      <c r="C10007" s="183"/>
      <c r="E10007" s="184"/>
      <c r="L10007" s="129"/>
    </row>
    <row r="10008">
      <c r="A10008" s="181"/>
      <c r="B10008" s="182"/>
      <c r="C10008" s="183"/>
      <c r="E10008" s="184"/>
      <c r="L10008" s="129"/>
    </row>
    <row r="10009">
      <c r="A10009" s="181"/>
      <c r="B10009" s="182"/>
      <c r="C10009" s="183"/>
      <c r="E10009" s="184"/>
      <c r="L10009" s="129"/>
    </row>
    <row r="10010">
      <c r="A10010" s="181"/>
      <c r="B10010" s="182"/>
      <c r="C10010" s="183"/>
      <c r="E10010" s="184"/>
      <c r="L10010" s="129"/>
    </row>
    <row r="10011">
      <c r="A10011" s="181"/>
      <c r="B10011" s="182"/>
      <c r="C10011" s="183"/>
      <c r="E10011" s="184"/>
      <c r="L10011" s="129"/>
    </row>
    <row r="10012">
      <c r="A10012" s="181"/>
      <c r="B10012" s="182"/>
      <c r="C10012" s="183"/>
      <c r="E10012" s="184"/>
      <c r="L10012" s="129"/>
    </row>
    <row r="10013">
      <c r="A10013" s="181"/>
      <c r="B10013" s="182"/>
      <c r="C10013" s="183"/>
      <c r="E10013" s="184"/>
      <c r="L10013" s="129"/>
    </row>
    <row r="10014">
      <c r="A10014" s="181"/>
      <c r="B10014" s="182"/>
      <c r="C10014" s="183"/>
      <c r="E10014" s="184"/>
      <c r="L10014" s="129"/>
    </row>
    <row r="10015">
      <c r="A10015" s="181"/>
      <c r="B10015" s="182"/>
      <c r="C10015" s="183"/>
      <c r="E10015" s="184"/>
      <c r="L10015" s="129"/>
    </row>
    <row r="10016">
      <c r="A10016" s="181"/>
      <c r="B10016" s="182"/>
      <c r="C10016" s="183"/>
      <c r="E10016" s="184"/>
      <c r="L10016" s="129"/>
    </row>
    <row r="10017">
      <c r="A10017" s="181"/>
      <c r="B10017" s="182"/>
      <c r="C10017" s="183"/>
      <c r="E10017" s="184"/>
      <c r="L10017" s="129"/>
    </row>
    <row r="10018">
      <c r="A10018" s="181"/>
      <c r="B10018" s="182"/>
      <c r="C10018" s="183"/>
      <c r="E10018" s="184"/>
      <c r="L10018" s="129"/>
    </row>
    <row r="10019">
      <c r="A10019" s="181"/>
      <c r="B10019" s="182"/>
      <c r="C10019" s="183"/>
      <c r="E10019" s="184"/>
      <c r="L10019" s="129"/>
    </row>
    <row r="10020">
      <c r="A10020" s="181"/>
      <c r="B10020" s="182"/>
      <c r="C10020" s="183"/>
      <c r="E10020" s="184"/>
      <c r="L10020" s="129"/>
    </row>
    <row r="10021">
      <c r="A10021" s="181"/>
      <c r="B10021" s="182"/>
      <c r="C10021" s="183"/>
      <c r="E10021" s="184"/>
      <c r="L10021" s="129"/>
    </row>
    <row r="10022">
      <c r="A10022" s="181"/>
      <c r="B10022" s="182"/>
      <c r="C10022" s="183"/>
      <c r="E10022" s="184"/>
      <c r="L10022" s="129"/>
    </row>
    <row r="10023">
      <c r="A10023" s="181"/>
      <c r="B10023" s="182"/>
      <c r="C10023" s="183"/>
      <c r="E10023" s="184"/>
      <c r="L10023" s="129"/>
    </row>
    <row r="10024">
      <c r="A10024" s="181"/>
      <c r="B10024" s="182"/>
      <c r="C10024" s="183"/>
      <c r="E10024" s="184"/>
      <c r="L10024" s="129"/>
    </row>
    <row r="10025">
      <c r="A10025" s="181"/>
      <c r="B10025" s="182"/>
      <c r="C10025" s="183"/>
      <c r="E10025" s="184"/>
      <c r="L10025" s="129"/>
    </row>
    <row r="10026">
      <c r="A10026" s="181"/>
      <c r="B10026" s="182"/>
      <c r="C10026" s="183"/>
      <c r="E10026" s="184"/>
      <c r="L10026" s="129"/>
    </row>
    <row r="10027">
      <c r="A10027" s="181"/>
      <c r="B10027" s="182"/>
      <c r="C10027" s="183"/>
      <c r="E10027" s="184"/>
      <c r="L10027" s="129"/>
    </row>
    <row r="10028">
      <c r="A10028" s="181"/>
      <c r="B10028" s="182"/>
      <c r="C10028" s="183"/>
      <c r="E10028" s="184"/>
      <c r="L10028" s="129"/>
    </row>
    <row r="10029">
      <c r="A10029" s="181"/>
      <c r="B10029" s="182"/>
      <c r="C10029" s="183"/>
      <c r="E10029" s="184"/>
      <c r="L10029" s="129"/>
    </row>
    <row r="10030">
      <c r="A10030" s="181"/>
      <c r="B10030" s="182"/>
      <c r="C10030" s="183"/>
      <c r="E10030" s="184"/>
      <c r="L10030" s="129"/>
    </row>
    <row r="10031">
      <c r="A10031" s="181"/>
      <c r="B10031" s="182"/>
      <c r="C10031" s="183"/>
      <c r="E10031" s="184"/>
      <c r="L10031" s="129"/>
    </row>
    <row r="10032">
      <c r="A10032" s="181"/>
      <c r="B10032" s="182"/>
      <c r="C10032" s="183"/>
      <c r="E10032" s="184"/>
      <c r="L10032" s="129"/>
    </row>
    <row r="10033">
      <c r="A10033" s="181"/>
      <c r="B10033" s="182"/>
      <c r="C10033" s="183"/>
      <c r="E10033" s="184"/>
      <c r="L10033" s="129"/>
    </row>
    <row r="10034">
      <c r="A10034" s="181"/>
      <c r="B10034" s="182"/>
      <c r="C10034" s="183"/>
      <c r="E10034" s="184"/>
      <c r="L10034" s="129"/>
    </row>
    <row r="10035">
      <c r="A10035" s="181"/>
      <c r="B10035" s="182"/>
      <c r="C10035" s="183"/>
      <c r="E10035" s="184"/>
      <c r="L10035" s="129"/>
    </row>
    <row r="10036">
      <c r="A10036" s="181"/>
      <c r="B10036" s="182"/>
      <c r="C10036" s="183"/>
      <c r="E10036" s="184"/>
      <c r="L10036" s="129"/>
    </row>
    <row r="10037">
      <c r="A10037" s="181"/>
      <c r="B10037" s="182"/>
      <c r="C10037" s="183"/>
      <c r="E10037" s="184"/>
      <c r="L10037" s="129"/>
    </row>
    <row r="10038">
      <c r="A10038" s="181"/>
      <c r="B10038" s="182"/>
      <c r="C10038" s="183"/>
      <c r="E10038" s="184"/>
      <c r="L10038" s="129"/>
    </row>
    <row r="10039">
      <c r="A10039" s="181"/>
      <c r="B10039" s="182"/>
      <c r="C10039" s="183"/>
      <c r="E10039" s="184"/>
      <c r="L10039" s="129"/>
    </row>
    <row r="10040">
      <c r="A10040" s="181"/>
      <c r="B10040" s="182"/>
      <c r="C10040" s="183"/>
      <c r="E10040" s="184"/>
      <c r="L10040" s="129"/>
    </row>
    <row r="10041">
      <c r="A10041" s="181"/>
      <c r="B10041" s="182"/>
      <c r="C10041" s="183"/>
      <c r="E10041" s="184"/>
      <c r="L10041" s="129"/>
    </row>
    <row r="10042">
      <c r="A10042" s="181"/>
      <c r="B10042" s="182"/>
      <c r="C10042" s="183"/>
      <c r="E10042" s="184"/>
      <c r="L10042" s="129"/>
    </row>
    <row r="10043">
      <c r="A10043" s="181"/>
      <c r="B10043" s="182"/>
      <c r="C10043" s="183"/>
      <c r="E10043" s="184"/>
      <c r="L10043" s="129"/>
    </row>
    <row r="10044">
      <c r="A10044" s="181"/>
      <c r="B10044" s="182"/>
      <c r="C10044" s="183"/>
      <c r="E10044" s="184"/>
      <c r="L10044" s="129"/>
    </row>
    <row r="10045">
      <c r="A10045" s="181"/>
      <c r="B10045" s="182"/>
      <c r="C10045" s="183"/>
      <c r="E10045" s="184"/>
      <c r="L10045" s="129"/>
    </row>
    <row r="10046">
      <c r="A10046" s="181"/>
      <c r="B10046" s="182"/>
      <c r="C10046" s="183"/>
      <c r="E10046" s="184"/>
      <c r="L10046" s="129"/>
    </row>
    <row r="10047">
      <c r="A10047" s="181"/>
      <c r="B10047" s="182"/>
      <c r="C10047" s="183"/>
      <c r="E10047" s="184"/>
      <c r="L10047" s="129"/>
    </row>
    <row r="10048">
      <c r="A10048" s="181"/>
      <c r="B10048" s="182"/>
      <c r="C10048" s="183"/>
      <c r="E10048" s="184"/>
      <c r="L10048" s="129"/>
    </row>
    <row r="10049">
      <c r="A10049" s="181"/>
      <c r="B10049" s="182"/>
      <c r="C10049" s="183"/>
      <c r="E10049" s="184"/>
      <c r="L10049" s="129"/>
    </row>
    <row r="10050">
      <c r="A10050" s="181"/>
      <c r="B10050" s="182"/>
      <c r="C10050" s="183"/>
      <c r="E10050" s="184"/>
      <c r="L10050" s="129"/>
    </row>
    <row r="10051">
      <c r="A10051" s="181"/>
      <c r="B10051" s="182"/>
      <c r="C10051" s="183"/>
      <c r="E10051" s="184"/>
      <c r="L10051" s="129"/>
    </row>
    <row r="10052">
      <c r="A10052" s="181"/>
      <c r="B10052" s="182"/>
      <c r="C10052" s="183"/>
      <c r="E10052" s="184"/>
      <c r="L10052" s="129"/>
    </row>
    <row r="10053">
      <c r="A10053" s="181"/>
      <c r="B10053" s="182"/>
      <c r="C10053" s="183"/>
      <c r="E10053" s="184"/>
      <c r="L10053" s="129"/>
    </row>
    <row r="10054">
      <c r="A10054" s="181"/>
      <c r="B10054" s="182"/>
      <c r="C10054" s="183"/>
      <c r="E10054" s="184"/>
      <c r="L10054" s="129"/>
    </row>
    <row r="10055">
      <c r="A10055" s="181"/>
      <c r="B10055" s="182"/>
      <c r="C10055" s="183"/>
      <c r="E10055" s="184"/>
      <c r="L10055" s="129"/>
    </row>
    <row r="10056">
      <c r="A10056" s="181"/>
      <c r="B10056" s="182"/>
      <c r="C10056" s="183"/>
      <c r="E10056" s="184"/>
      <c r="L10056" s="129"/>
    </row>
    <row r="10057">
      <c r="A10057" s="181"/>
      <c r="B10057" s="182"/>
      <c r="C10057" s="183"/>
      <c r="E10057" s="184"/>
      <c r="L10057" s="129"/>
    </row>
    <row r="10058">
      <c r="A10058" s="181"/>
      <c r="B10058" s="182"/>
      <c r="C10058" s="183"/>
      <c r="E10058" s="184"/>
      <c r="L10058" s="129"/>
    </row>
    <row r="10059">
      <c r="A10059" s="181"/>
      <c r="B10059" s="182"/>
      <c r="C10059" s="183"/>
      <c r="E10059" s="184"/>
      <c r="L10059" s="129"/>
    </row>
    <row r="10060">
      <c r="A10060" s="181"/>
      <c r="B10060" s="182"/>
      <c r="C10060" s="183"/>
      <c r="E10060" s="184"/>
      <c r="L10060" s="129"/>
    </row>
    <row r="10061">
      <c r="A10061" s="181"/>
      <c r="B10061" s="182"/>
      <c r="C10061" s="183"/>
      <c r="E10061" s="184"/>
      <c r="L10061" s="129"/>
    </row>
    <row r="10062">
      <c r="A10062" s="181"/>
      <c r="B10062" s="182"/>
      <c r="C10062" s="183"/>
      <c r="E10062" s="184"/>
      <c r="L10062" s="129"/>
    </row>
    <row r="10063">
      <c r="A10063" s="181"/>
      <c r="B10063" s="182"/>
      <c r="C10063" s="183"/>
      <c r="E10063" s="184"/>
      <c r="L10063" s="129"/>
    </row>
    <row r="10064">
      <c r="A10064" s="181"/>
      <c r="B10064" s="182"/>
      <c r="C10064" s="183"/>
      <c r="E10064" s="184"/>
      <c r="L10064" s="129"/>
    </row>
    <row r="10065">
      <c r="A10065" s="181"/>
      <c r="B10065" s="182"/>
      <c r="C10065" s="183"/>
      <c r="E10065" s="184"/>
      <c r="L10065" s="129"/>
    </row>
    <row r="10066">
      <c r="A10066" s="181"/>
      <c r="B10066" s="182"/>
      <c r="C10066" s="183"/>
      <c r="E10066" s="184"/>
      <c r="L10066" s="129"/>
    </row>
    <row r="10067">
      <c r="A10067" s="181"/>
      <c r="B10067" s="182"/>
      <c r="C10067" s="183"/>
      <c r="E10067" s="184"/>
      <c r="L10067" s="129"/>
    </row>
    <row r="10068">
      <c r="A10068" s="181"/>
      <c r="B10068" s="182"/>
      <c r="C10068" s="183"/>
      <c r="E10068" s="184"/>
      <c r="L10068" s="129"/>
    </row>
    <row r="10069">
      <c r="A10069" s="181"/>
      <c r="B10069" s="182"/>
      <c r="C10069" s="183"/>
      <c r="E10069" s="184"/>
      <c r="L10069" s="129"/>
    </row>
    <row r="10070">
      <c r="A10070" s="181"/>
      <c r="B10070" s="182"/>
      <c r="C10070" s="183"/>
      <c r="E10070" s="184"/>
      <c r="L10070" s="129"/>
    </row>
    <row r="10071">
      <c r="A10071" s="181"/>
      <c r="B10071" s="182"/>
      <c r="C10071" s="183"/>
      <c r="E10071" s="184"/>
      <c r="L10071" s="129"/>
    </row>
    <row r="10072">
      <c r="A10072" s="181"/>
      <c r="B10072" s="182"/>
      <c r="C10072" s="183"/>
      <c r="E10072" s="184"/>
      <c r="L10072" s="129"/>
    </row>
    <row r="10073">
      <c r="A10073" s="181"/>
      <c r="B10073" s="182"/>
      <c r="C10073" s="183"/>
      <c r="E10073" s="184"/>
      <c r="L10073" s="129"/>
    </row>
    <row r="10074">
      <c r="A10074" s="181"/>
      <c r="B10074" s="182"/>
      <c r="C10074" s="183"/>
      <c r="E10074" s="184"/>
      <c r="L10074" s="129"/>
    </row>
    <row r="10075">
      <c r="A10075" s="181"/>
      <c r="B10075" s="182"/>
      <c r="C10075" s="183"/>
      <c r="E10075" s="184"/>
      <c r="L10075" s="129"/>
    </row>
    <row r="10076">
      <c r="A10076" s="181"/>
      <c r="B10076" s="182"/>
      <c r="C10076" s="183"/>
      <c r="E10076" s="184"/>
      <c r="L10076" s="129"/>
    </row>
    <row r="10077">
      <c r="A10077" s="181"/>
      <c r="B10077" s="182"/>
      <c r="C10077" s="183"/>
      <c r="E10077" s="184"/>
      <c r="L10077" s="129"/>
    </row>
    <row r="10078">
      <c r="A10078" s="181"/>
      <c r="B10078" s="182"/>
      <c r="C10078" s="183"/>
      <c r="E10078" s="184"/>
      <c r="L10078" s="129"/>
    </row>
    <row r="10079">
      <c r="A10079" s="181"/>
      <c r="B10079" s="182"/>
      <c r="C10079" s="183"/>
      <c r="E10079" s="184"/>
      <c r="L10079" s="129"/>
    </row>
    <row r="10080">
      <c r="A10080" s="181"/>
      <c r="B10080" s="182"/>
      <c r="C10080" s="183"/>
      <c r="E10080" s="184"/>
      <c r="L10080" s="129"/>
    </row>
    <row r="10081">
      <c r="A10081" s="181"/>
      <c r="B10081" s="182"/>
      <c r="C10081" s="183"/>
      <c r="E10081" s="184"/>
      <c r="L10081" s="129"/>
    </row>
    <row r="10082">
      <c r="A10082" s="181"/>
      <c r="B10082" s="182"/>
      <c r="C10082" s="183"/>
      <c r="E10082" s="184"/>
      <c r="L10082" s="129"/>
    </row>
    <row r="10083">
      <c r="A10083" s="181"/>
      <c r="B10083" s="182"/>
      <c r="C10083" s="183"/>
      <c r="E10083" s="184"/>
      <c r="L10083" s="129"/>
    </row>
    <row r="10084">
      <c r="A10084" s="181"/>
      <c r="B10084" s="182"/>
      <c r="C10084" s="183"/>
      <c r="E10084" s="184"/>
      <c r="L10084" s="129"/>
    </row>
    <row r="10085">
      <c r="A10085" s="181"/>
      <c r="B10085" s="182"/>
      <c r="C10085" s="183"/>
      <c r="E10085" s="184"/>
      <c r="L10085" s="129"/>
    </row>
    <row r="10086">
      <c r="A10086" s="181"/>
      <c r="B10086" s="182"/>
      <c r="C10086" s="183"/>
      <c r="E10086" s="184"/>
      <c r="L10086" s="129"/>
    </row>
    <row r="10087">
      <c r="A10087" s="181"/>
      <c r="B10087" s="182"/>
      <c r="C10087" s="183"/>
      <c r="E10087" s="184"/>
      <c r="L10087" s="129"/>
    </row>
    <row r="10088">
      <c r="A10088" s="181"/>
      <c r="B10088" s="182"/>
      <c r="C10088" s="183"/>
      <c r="E10088" s="184"/>
      <c r="L10088" s="129"/>
    </row>
    <row r="10089">
      <c r="A10089" s="181"/>
      <c r="B10089" s="182"/>
      <c r="C10089" s="183"/>
      <c r="E10089" s="184"/>
      <c r="L10089" s="129"/>
    </row>
    <row r="10090">
      <c r="A10090" s="181"/>
      <c r="B10090" s="182"/>
      <c r="C10090" s="183"/>
      <c r="E10090" s="184"/>
      <c r="L10090" s="129"/>
    </row>
    <row r="10091">
      <c r="A10091" s="181"/>
      <c r="B10091" s="182"/>
      <c r="C10091" s="183"/>
      <c r="E10091" s="184"/>
      <c r="L10091" s="129"/>
    </row>
    <row r="10092">
      <c r="A10092" s="181"/>
      <c r="B10092" s="182"/>
      <c r="C10092" s="183"/>
      <c r="E10092" s="184"/>
      <c r="L10092" s="129"/>
    </row>
    <row r="10093">
      <c r="A10093" s="181"/>
      <c r="B10093" s="182"/>
      <c r="C10093" s="183"/>
      <c r="E10093" s="184"/>
      <c r="L10093" s="129"/>
    </row>
    <row r="10094">
      <c r="A10094" s="181"/>
      <c r="B10094" s="182"/>
      <c r="C10094" s="183"/>
      <c r="E10094" s="184"/>
      <c r="L10094" s="129"/>
    </row>
    <row r="10095">
      <c r="A10095" s="181"/>
      <c r="B10095" s="182"/>
      <c r="C10095" s="183"/>
      <c r="E10095" s="184"/>
      <c r="L10095" s="129"/>
    </row>
    <row r="10096">
      <c r="A10096" s="181"/>
      <c r="B10096" s="182"/>
      <c r="C10096" s="183"/>
      <c r="E10096" s="184"/>
      <c r="L10096" s="129"/>
    </row>
    <row r="10097">
      <c r="A10097" s="181"/>
      <c r="B10097" s="182"/>
      <c r="C10097" s="183"/>
      <c r="E10097" s="184"/>
      <c r="L10097" s="129"/>
    </row>
    <row r="10098">
      <c r="A10098" s="181"/>
      <c r="B10098" s="182"/>
      <c r="C10098" s="183"/>
      <c r="E10098" s="184"/>
      <c r="L10098" s="129"/>
    </row>
    <row r="10099">
      <c r="A10099" s="181"/>
      <c r="B10099" s="182"/>
      <c r="C10099" s="183"/>
      <c r="E10099" s="184"/>
      <c r="L10099" s="129"/>
    </row>
    <row r="10100">
      <c r="A10100" s="181"/>
      <c r="B10100" s="182"/>
      <c r="C10100" s="183"/>
      <c r="E10100" s="184"/>
      <c r="L10100" s="129"/>
    </row>
    <row r="10101">
      <c r="A10101" s="181"/>
      <c r="B10101" s="182"/>
      <c r="C10101" s="183"/>
      <c r="E10101" s="184"/>
      <c r="L10101" s="129"/>
    </row>
    <row r="10102">
      <c r="A10102" s="181"/>
      <c r="B10102" s="182"/>
      <c r="C10102" s="183"/>
      <c r="E10102" s="184"/>
      <c r="L10102" s="129"/>
    </row>
    <row r="10103">
      <c r="A10103" s="181"/>
      <c r="B10103" s="182"/>
      <c r="C10103" s="183"/>
      <c r="E10103" s="184"/>
      <c r="L10103" s="129"/>
    </row>
    <row r="10104">
      <c r="A10104" s="181"/>
      <c r="B10104" s="182"/>
      <c r="C10104" s="183"/>
      <c r="E10104" s="184"/>
      <c r="L10104" s="129"/>
    </row>
    <row r="10105">
      <c r="A10105" s="181"/>
      <c r="B10105" s="182"/>
      <c r="C10105" s="183"/>
      <c r="E10105" s="184"/>
      <c r="L10105" s="129"/>
    </row>
    <row r="10106">
      <c r="A10106" s="181"/>
      <c r="B10106" s="182"/>
      <c r="C10106" s="183"/>
      <c r="E10106" s="184"/>
      <c r="L10106" s="129"/>
    </row>
    <row r="10107">
      <c r="A10107" s="181"/>
      <c r="B10107" s="182"/>
      <c r="C10107" s="183"/>
      <c r="E10107" s="184"/>
      <c r="L10107" s="129"/>
    </row>
    <row r="10108">
      <c r="A10108" s="181"/>
      <c r="B10108" s="182"/>
      <c r="C10108" s="183"/>
      <c r="E10108" s="184"/>
      <c r="L10108" s="129"/>
    </row>
    <row r="10109">
      <c r="A10109" s="181"/>
      <c r="B10109" s="182"/>
      <c r="C10109" s="183"/>
      <c r="E10109" s="184"/>
      <c r="L10109" s="129"/>
    </row>
    <row r="10110">
      <c r="A10110" s="181"/>
      <c r="B10110" s="182"/>
      <c r="C10110" s="183"/>
      <c r="E10110" s="184"/>
      <c r="L10110" s="129"/>
    </row>
    <row r="10111">
      <c r="A10111" s="181"/>
      <c r="B10111" s="182"/>
      <c r="C10111" s="183"/>
      <c r="E10111" s="184"/>
      <c r="L10111" s="129"/>
    </row>
    <row r="10112">
      <c r="A10112" s="181"/>
      <c r="B10112" s="182"/>
      <c r="C10112" s="183"/>
      <c r="E10112" s="184"/>
      <c r="L10112" s="129"/>
    </row>
    <row r="10113">
      <c r="A10113" s="181"/>
      <c r="B10113" s="182"/>
      <c r="C10113" s="183"/>
      <c r="E10113" s="184"/>
      <c r="L10113" s="129"/>
    </row>
    <row r="10114">
      <c r="A10114" s="181"/>
      <c r="B10114" s="182"/>
      <c r="C10114" s="183"/>
      <c r="E10114" s="184"/>
      <c r="L10114" s="129"/>
    </row>
    <row r="10115">
      <c r="A10115" s="181"/>
      <c r="B10115" s="182"/>
      <c r="C10115" s="183"/>
      <c r="E10115" s="184"/>
      <c r="L10115" s="129"/>
    </row>
    <row r="10116">
      <c r="A10116" s="181"/>
      <c r="B10116" s="182"/>
      <c r="C10116" s="183"/>
      <c r="E10116" s="184"/>
      <c r="L10116" s="129"/>
    </row>
    <row r="10117">
      <c r="A10117" s="181"/>
      <c r="B10117" s="182"/>
      <c r="C10117" s="183"/>
      <c r="E10117" s="184"/>
      <c r="L10117" s="129"/>
    </row>
    <row r="10118">
      <c r="A10118" s="181"/>
      <c r="B10118" s="182"/>
      <c r="C10118" s="183"/>
      <c r="E10118" s="184"/>
      <c r="L10118" s="129"/>
    </row>
    <row r="10119">
      <c r="A10119" s="181"/>
      <c r="B10119" s="182"/>
      <c r="C10119" s="183"/>
      <c r="E10119" s="184"/>
      <c r="L10119" s="129"/>
    </row>
    <row r="10120">
      <c r="A10120" s="181"/>
      <c r="B10120" s="182"/>
      <c r="C10120" s="183"/>
      <c r="E10120" s="184"/>
      <c r="L10120" s="129"/>
    </row>
    <row r="10121">
      <c r="A10121" s="181"/>
      <c r="B10121" s="182"/>
      <c r="C10121" s="183"/>
      <c r="E10121" s="184"/>
      <c r="L10121" s="129"/>
    </row>
    <row r="10122">
      <c r="A10122" s="181"/>
      <c r="B10122" s="182"/>
      <c r="C10122" s="183"/>
      <c r="E10122" s="184"/>
      <c r="L10122" s="129"/>
    </row>
    <row r="10123">
      <c r="A10123" s="181"/>
      <c r="B10123" s="182"/>
      <c r="C10123" s="183"/>
      <c r="E10123" s="184"/>
      <c r="L10123" s="129"/>
    </row>
    <row r="10124">
      <c r="A10124" s="181"/>
      <c r="B10124" s="182"/>
      <c r="C10124" s="183"/>
      <c r="E10124" s="184"/>
      <c r="L10124" s="129"/>
    </row>
    <row r="10125">
      <c r="A10125" s="181"/>
      <c r="B10125" s="182"/>
      <c r="C10125" s="183"/>
      <c r="E10125" s="184"/>
      <c r="L10125" s="129"/>
    </row>
    <row r="10126">
      <c r="A10126" s="181"/>
      <c r="B10126" s="182"/>
      <c r="C10126" s="183"/>
      <c r="E10126" s="184"/>
      <c r="L10126" s="129"/>
    </row>
    <row r="10127">
      <c r="A10127" s="181"/>
      <c r="B10127" s="182"/>
      <c r="C10127" s="183"/>
      <c r="E10127" s="184"/>
      <c r="L10127" s="129"/>
    </row>
    <row r="10128">
      <c r="A10128" s="181"/>
      <c r="B10128" s="182"/>
      <c r="C10128" s="183"/>
      <c r="E10128" s="184"/>
      <c r="L10128" s="129"/>
    </row>
    <row r="10129">
      <c r="A10129" s="181"/>
      <c r="B10129" s="182"/>
      <c r="C10129" s="183"/>
      <c r="E10129" s="184"/>
      <c r="L10129" s="129"/>
    </row>
    <row r="10130">
      <c r="A10130" s="181"/>
      <c r="B10130" s="182"/>
      <c r="C10130" s="183"/>
      <c r="E10130" s="184"/>
      <c r="L10130" s="129"/>
    </row>
    <row r="10131">
      <c r="A10131" s="181"/>
      <c r="B10131" s="182"/>
      <c r="C10131" s="183"/>
      <c r="E10131" s="184"/>
      <c r="L10131" s="129"/>
    </row>
    <row r="10132">
      <c r="A10132" s="181"/>
      <c r="B10132" s="182"/>
      <c r="C10132" s="183"/>
      <c r="E10132" s="184"/>
      <c r="L10132" s="129"/>
    </row>
    <row r="10133">
      <c r="A10133" s="181"/>
      <c r="B10133" s="182"/>
      <c r="C10133" s="183"/>
      <c r="E10133" s="184"/>
      <c r="L10133" s="129"/>
    </row>
    <row r="10134">
      <c r="A10134" s="181"/>
      <c r="B10134" s="182"/>
      <c r="C10134" s="183"/>
      <c r="E10134" s="184"/>
      <c r="L10134" s="129"/>
    </row>
    <row r="10135">
      <c r="A10135" s="181"/>
      <c r="B10135" s="182"/>
      <c r="C10135" s="183"/>
      <c r="E10135" s="184"/>
      <c r="L10135" s="129"/>
    </row>
    <row r="10136">
      <c r="A10136" s="181"/>
      <c r="B10136" s="182"/>
      <c r="C10136" s="183"/>
      <c r="E10136" s="184"/>
      <c r="L10136" s="129"/>
    </row>
    <row r="10137">
      <c r="A10137" s="181"/>
      <c r="B10137" s="182"/>
      <c r="C10137" s="183"/>
      <c r="E10137" s="184"/>
      <c r="L10137" s="129"/>
    </row>
    <row r="10138">
      <c r="A10138" s="181"/>
      <c r="B10138" s="182"/>
      <c r="C10138" s="183"/>
      <c r="E10138" s="184"/>
      <c r="L10138" s="129"/>
    </row>
    <row r="10139">
      <c r="A10139" s="181"/>
      <c r="B10139" s="182"/>
      <c r="C10139" s="183"/>
      <c r="E10139" s="184"/>
      <c r="L10139" s="129"/>
    </row>
    <row r="10140">
      <c r="A10140" s="181"/>
      <c r="B10140" s="182"/>
      <c r="C10140" s="183"/>
      <c r="E10140" s="184"/>
      <c r="L10140" s="129"/>
    </row>
    <row r="10141">
      <c r="A10141" s="181"/>
      <c r="B10141" s="182"/>
      <c r="C10141" s="183"/>
      <c r="E10141" s="184"/>
      <c r="L10141" s="129"/>
    </row>
    <row r="10142">
      <c r="A10142" s="181"/>
      <c r="B10142" s="182"/>
      <c r="C10142" s="183"/>
      <c r="E10142" s="184"/>
      <c r="L10142" s="129"/>
    </row>
    <row r="10143">
      <c r="A10143" s="181"/>
      <c r="B10143" s="182"/>
      <c r="C10143" s="183"/>
      <c r="E10143" s="184"/>
      <c r="L10143" s="129"/>
    </row>
    <row r="10144">
      <c r="A10144" s="181"/>
      <c r="B10144" s="182"/>
      <c r="C10144" s="183"/>
      <c r="E10144" s="184"/>
      <c r="L10144" s="129"/>
    </row>
    <row r="10145">
      <c r="A10145" s="181"/>
      <c r="B10145" s="182"/>
      <c r="C10145" s="183"/>
      <c r="E10145" s="184"/>
      <c r="L10145" s="129"/>
    </row>
    <row r="10146">
      <c r="A10146" s="181"/>
      <c r="B10146" s="182"/>
      <c r="C10146" s="183"/>
      <c r="E10146" s="184"/>
      <c r="L10146" s="129"/>
    </row>
    <row r="10147">
      <c r="A10147" s="181"/>
      <c r="B10147" s="182"/>
      <c r="C10147" s="183"/>
      <c r="E10147" s="184"/>
      <c r="L10147" s="129"/>
    </row>
    <row r="10148">
      <c r="A10148" s="181"/>
      <c r="B10148" s="182"/>
      <c r="C10148" s="183"/>
      <c r="E10148" s="184"/>
      <c r="L10148" s="129"/>
    </row>
    <row r="10149">
      <c r="A10149" s="181"/>
      <c r="B10149" s="182"/>
      <c r="C10149" s="183"/>
      <c r="E10149" s="184"/>
      <c r="L10149" s="129"/>
    </row>
    <row r="10150">
      <c r="A10150" s="181"/>
      <c r="B10150" s="182"/>
      <c r="C10150" s="183"/>
      <c r="E10150" s="184"/>
      <c r="L10150" s="129"/>
    </row>
    <row r="10151">
      <c r="A10151" s="181"/>
      <c r="B10151" s="182"/>
      <c r="C10151" s="183"/>
      <c r="E10151" s="184"/>
      <c r="L10151" s="129"/>
    </row>
    <row r="10152">
      <c r="A10152" s="181"/>
      <c r="B10152" s="182"/>
      <c r="C10152" s="183"/>
      <c r="E10152" s="184"/>
      <c r="L10152" s="129"/>
    </row>
    <row r="10153">
      <c r="A10153" s="181"/>
      <c r="B10153" s="182"/>
      <c r="C10153" s="183"/>
      <c r="E10153" s="184"/>
      <c r="L10153" s="129"/>
    </row>
    <row r="10154">
      <c r="A10154" s="181"/>
      <c r="B10154" s="182"/>
      <c r="C10154" s="183"/>
      <c r="E10154" s="184"/>
      <c r="L10154" s="129"/>
    </row>
    <row r="10155">
      <c r="A10155" s="181"/>
      <c r="B10155" s="182"/>
      <c r="C10155" s="183"/>
      <c r="E10155" s="184"/>
      <c r="L10155" s="129"/>
    </row>
    <row r="10156">
      <c r="A10156" s="181"/>
      <c r="B10156" s="182"/>
      <c r="C10156" s="183"/>
      <c r="E10156" s="184"/>
      <c r="L10156" s="129"/>
    </row>
    <row r="10157">
      <c r="A10157" s="181"/>
      <c r="B10157" s="182"/>
      <c r="C10157" s="183"/>
      <c r="E10157" s="184"/>
      <c r="L10157" s="129"/>
    </row>
    <row r="10158">
      <c r="A10158" s="181"/>
      <c r="B10158" s="182"/>
      <c r="C10158" s="183"/>
      <c r="E10158" s="184"/>
      <c r="L10158" s="129"/>
    </row>
    <row r="10159">
      <c r="A10159" s="181"/>
      <c r="B10159" s="182"/>
      <c r="C10159" s="183"/>
      <c r="E10159" s="184"/>
      <c r="L10159" s="129"/>
    </row>
    <row r="10160">
      <c r="A10160" s="181"/>
      <c r="B10160" s="182"/>
      <c r="C10160" s="183"/>
      <c r="E10160" s="184"/>
      <c r="L10160" s="129"/>
    </row>
    <row r="10161">
      <c r="A10161" s="181"/>
      <c r="B10161" s="182"/>
      <c r="C10161" s="183"/>
      <c r="E10161" s="184"/>
      <c r="L10161" s="129"/>
    </row>
    <row r="10162">
      <c r="A10162" s="181"/>
      <c r="B10162" s="182"/>
      <c r="C10162" s="183"/>
      <c r="E10162" s="184"/>
      <c r="L10162" s="129"/>
    </row>
    <row r="10163">
      <c r="A10163" s="181"/>
      <c r="B10163" s="182"/>
      <c r="C10163" s="183"/>
      <c r="E10163" s="184"/>
      <c r="L10163" s="129"/>
    </row>
    <row r="10164">
      <c r="A10164" s="181"/>
      <c r="B10164" s="182"/>
      <c r="C10164" s="183"/>
      <c r="E10164" s="184"/>
      <c r="L10164" s="129"/>
    </row>
    <row r="10165">
      <c r="A10165" s="181"/>
      <c r="B10165" s="182"/>
      <c r="C10165" s="183"/>
      <c r="E10165" s="184"/>
      <c r="L10165" s="129"/>
    </row>
    <row r="10166">
      <c r="A10166" s="181"/>
      <c r="B10166" s="182"/>
      <c r="C10166" s="183"/>
      <c r="E10166" s="184"/>
      <c r="L10166" s="129"/>
    </row>
    <row r="10167">
      <c r="A10167" s="181"/>
      <c r="B10167" s="182"/>
      <c r="C10167" s="183"/>
      <c r="E10167" s="184"/>
      <c r="L10167" s="129"/>
    </row>
    <row r="10168">
      <c r="A10168" s="181"/>
      <c r="B10168" s="182"/>
      <c r="C10168" s="183"/>
      <c r="E10168" s="184"/>
      <c r="L10168" s="129"/>
    </row>
    <row r="10169">
      <c r="A10169" s="181"/>
      <c r="B10169" s="182"/>
      <c r="C10169" s="183"/>
      <c r="E10169" s="184"/>
      <c r="L10169" s="129"/>
    </row>
    <row r="10170">
      <c r="A10170" s="181"/>
      <c r="B10170" s="182"/>
      <c r="C10170" s="183"/>
      <c r="E10170" s="184"/>
      <c r="L10170" s="129"/>
    </row>
    <row r="10171">
      <c r="A10171" s="181"/>
      <c r="B10171" s="182"/>
      <c r="C10171" s="183"/>
      <c r="E10171" s="184"/>
      <c r="L10171" s="129"/>
    </row>
    <row r="10172">
      <c r="A10172" s="181"/>
      <c r="B10172" s="182"/>
      <c r="C10172" s="183"/>
      <c r="E10172" s="184"/>
      <c r="L10172" s="129"/>
    </row>
    <row r="10173">
      <c r="A10173" s="181"/>
      <c r="B10173" s="182"/>
      <c r="C10173" s="183"/>
      <c r="E10173" s="184"/>
      <c r="L10173" s="129"/>
    </row>
    <row r="10174">
      <c r="A10174" s="181"/>
      <c r="B10174" s="182"/>
      <c r="C10174" s="183"/>
      <c r="E10174" s="184"/>
      <c r="L10174" s="129"/>
    </row>
    <row r="10175">
      <c r="A10175" s="181"/>
      <c r="B10175" s="182"/>
      <c r="C10175" s="183"/>
      <c r="E10175" s="184"/>
      <c r="L10175" s="129"/>
    </row>
    <row r="10176">
      <c r="A10176" s="181"/>
      <c r="B10176" s="182"/>
      <c r="C10176" s="183"/>
      <c r="E10176" s="184"/>
      <c r="L10176" s="129"/>
    </row>
    <row r="10177">
      <c r="A10177" s="181"/>
      <c r="B10177" s="182"/>
      <c r="C10177" s="183"/>
      <c r="E10177" s="184"/>
      <c r="L10177" s="129"/>
    </row>
    <row r="10178">
      <c r="A10178" s="181"/>
      <c r="B10178" s="182"/>
      <c r="C10178" s="183"/>
      <c r="E10178" s="184"/>
      <c r="L10178" s="129"/>
    </row>
    <row r="10179">
      <c r="A10179" s="181"/>
      <c r="B10179" s="182"/>
      <c r="C10179" s="183"/>
      <c r="E10179" s="184"/>
      <c r="L10179" s="129"/>
    </row>
    <row r="10180">
      <c r="A10180" s="181"/>
      <c r="B10180" s="182"/>
      <c r="C10180" s="183"/>
      <c r="E10180" s="184"/>
      <c r="L10180" s="129"/>
    </row>
    <row r="10181">
      <c r="A10181" s="181"/>
      <c r="B10181" s="182"/>
      <c r="C10181" s="183"/>
      <c r="E10181" s="184"/>
      <c r="L10181" s="129"/>
    </row>
    <row r="10182">
      <c r="A10182" s="181"/>
      <c r="B10182" s="182"/>
      <c r="C10182" s="183"/>
      <c r="E10182" s="184"/>
      <c r="L10182" s="129"/>
    </row>
    <row r="10183">
      <c r="A10183" s="181"/>
      <c r="B10183" s="182"/>
      <c r="C10183" s="183"/>
      <c r="E10183" s="184"/>
      <c r="L10183" s="129"/>
    </row>
    <row r="10184">
      <c r="A10184" s="181"/>
      <c r="B10184" s="182"/>
      <c r="C10184" s="183"/>
      <c r="E10184" s="184"/>
      <c r="L10184" s="129"/>
    </row>
    <row r="10185">
      <c r="A10185" s="181"/>
      <c r="B10185" s="182"/>
      <c r="C10185" s="183"/>
      <c r="E10185" s="184"/>
      <c r="L10185" s="129"/>
    </row>
    <row r="10186">
      <c r="A10186" s="181"/>
      <c r="B10186" s="182"/>
      <c r="C10186" s="183"/>
      <c r="E10186" s="184"/>
      <c r="L10186" s="129"/>
    </row>
    <row r="10187">
      <c r="A10187" s="181"/>
      <c r="B10187" s="182"/>
      <c r="C10187" s="183"/>
      <c r="E10187" s="184"/>
      <c r="L10187" s="129"/>
    </row>
    <row r="10188">
      <c r="A10188" s="181"/>
      <c r="B10188" s="182"/>
      <c r="C10188" s="183"/>
      <c r="E10188" s="184"/>
      <c r="L10188" s="129"/>
    </row>
    <row r="10189">
      <c r="A10189" s="181"/>
      <c r="B10189" s="182"/>
      <c r="C10189" s="183"/>
      <c r="E10189" s="184"/>
      <c r="L10189" s="129"/>
    </row>
    <row r="10190">
      <c r="A10190" s="181"/>
      <c r="B10190" s="182"/>
      <c r="C10190" s="183"/>
      <c r="E10190" s="184"/>
      <c r="L10190" s="129"/>
    </row>
    <row r="10191">
      <c r="A10191" s="181"/>
      <c r="B10191" s="182"/>
      <c r="C10191" s="183"/>
      <c r="E10191" s="184"/>
      <c r="L10191" s="129"/>
    </row>
    <row r="10192">
      <c r="A10192" s="181"/>
      <c r="B10192" s="182"/>
      <c r="C10192" s="183"/>
      <c r="E10192" s="184"/>
      <c r="L10192" s="129"/>
    </row>
    <row r="10193">
      <c r="A10193" s="181"/>
      <c r="B10193" s="182"/>
      <c r="C10193" s="183"/>
      <c r="E10193" s="184"/>
      <c r="L10193" s="129"/>
    </row>
    <row r="10194">
      <c r="A10194" s="181"/>
      <c r="B10194" s="182"/>
      <c r="C10194" s="183"/>
      <c r="E10194" s="184"/>
      <c r="L10194" s="129"/>
    </row>
    <row r="10195">
      <c r="A10195" s="181"/>
      <c r="B10195" s="182"/>
      <c r="C10195" s="183"/>
      <c r="E10195" s="184"/>
      <c r="L10195" s="129"/>
    </row>
    <row r="10196">
      <c r="A10196" s="181"/>
      <c r="B10196" s="182"/>
      <c r="C10196" s="183"/>
      <c r="E10196" s="184"/>
      <c r="L10196" s="129"/>
    </row>
    <row r="10197">
      <c r="A10197" s="181"/>
      <c r="B10197" s="182"/>
      <c r="C10197" s="183"/>
      <c r="E10197" s="184"/>
      <c r="L10197" s="129"/>
    </row>
    <row r="10198">
      <c r="A10198" s="181"/>
      <c r="B10198" s="182"/>
      <c r="C10198" s="183"/>
      <c r="E10198" s="184"/>
      <c r="L10198" s="129"/>
    </row>
    <row r="10199">
      <c r="A10199" s="181"/>
      <c r="B10199" s="182"/>
      <c r="C10199" s="183"/>
      <c r="E10199" s="184"/>
      <c r="L10199" s="129"/>
    </row>
    <row r="10200">
      <c r="A10200" s="181"/>
      <c r="B10200" s="182"/>
      <c r="C10200" s="183"/>
      <c r="E10200" s="184"/>
      <c r="L10200" s="129"/>
    </row>
    <row r="10201">
      <c r="A10201" s="181"/>
      <c r="B10201" s="182"/>
      <c r="C10201" s="183"/>
      <c r="E10201" s="184"/>
      <c r="L10201" s="129"/>
    </row>
    <row r="10202">
      <c r="A10202" s="181"/>
      <c r="B10202" s="182"/>
      <c r="C10202" s="183"/>
      <c r="E10202" s="184"/>
      <c r="L10202" s="129"/>
    </row>
    <row r="10203">
      <c r="A10203" s="181"/>
      <c r="B10203" s="182"/>
      <c r="C10203" s="183"/>
      <c r="E10203" s="184"/>
      <c r="L10203" s="129"/>
    </row>
    <row r="10204">
      <c r="A10204" s="181"/>
      <c r="B10204" s="182"/>
      <c r="C10204" s="183"/>
      <c r="E10204" s="184"/>
      <c r="L10204" s="129"/>
    </row>
    <row r="10205">
      <c r="A10205" s="181"/>
      <c r="B10205" s="182"/>
      <c r="C10205" s="183"/>
      <c r="E10205" s="184"/>
      <c r="L10205" s="129"/>
    </row>
    <row r="10206">
      <c r="A10206" s="181"/>
      <c r="B10206" s="182"/>
      <c r="C10206" s="183"/>
      <c r="E10206" s="184"/>
      <c r="L10206" s="129"/>
    </row>
    <row r="10207">
      <c r="A10207" s="181"/>
      <c r="B10207" s="182"/>
      <c r="C10207" s="183"/>
      <c r="E10207" s="184"/>
      <c r="L10207" s="129"/>
    </row>
    <row r="10208">
      <c r="A10208" s="181"/>
      <c r="B10208" s="182"/>
      <c r="C10208" s="183"/>
      <c r="E10208" s="184"/>
      <c r="L10208" s="129"/>
    </row>
    <row r="10209">
      <c r="A10209" s="181"/>
      <c r="B10209" s="182"/>
      <c r="C10209" s="183"/>
      <c r="E10209" s="184"/>
      <c r="L10209" s="129"/>
    </row>
    <row r="10210">
      <c r="A10210" s="181"/>
      <c r="B10210" s="182"/>
      <c r="C10210" s="183"/>
      <c r="E10210" s="184"/>
      <c r="L10210" s="129"/>
    </row>
    <row r="10211">
      <c r="A10211" s="181"/>
      <c r="B10211" s="182"/>
      <c r="C10211" s="183"/>
      <c r="E10211" s="184"/>
      <c r="L10211" s="129"/>
    </row>
    <row r="10212">
      <c r="A10212" s="181"/>
      <c r="B10212" s="182"/>
      <c r="C10212" s="183"/>
      <c r="E10212" s="184"/>
      <c r="L10212" s="129"/>
    </row>
    <row r="10213">
      <c r="A10213" s="181"/>
      <c r="B10213" s="182"/>
      <c r="C10213" s="183"/>
      <c r="E10213" s="184"/>
      <c r="L10213" s="129"/>
    </row>
    <row r="10214">
      <c r="A10214" s="181"/>
      <c r="B10214" s="182"/>
      <c r="C10214" s="183"/>
      <c r="E10214" s="184"/>
      <c r="L10214" s="129"/>
    </row>
    <row r="10215">
      <c r="A10215" s="181"/>
      <c r="B10215" s="182"/>
      <c r="C10215" s="183"/>
      <c r="E10215" s="184"/>
      <c r="L10215" s="129"/>
    </row>
    <row r="10216">
      <c r="A10216" s="181"/>
      <c r="B10216" s="182"/>
      <c r="C10216" s="183"/>
      <c r="E10216" s="184"/>
      <c r="L10216" s="129"/>
    </row>
    <row r="10217">
      <c r="A10217" s="181"/>
      <c r="B10217" s="182"/>
      <c r="C10217" s="183"/>
      <c r="E10217" s="184"/>
      <c r="L10217" s="129"/>
    </row>
    <row r="10218">
      <c r="A10218" s="181"/>
      <c r="B10218" s="182"/>
      <c r="C10218" s="183"/>
      <c r="E10218" s="184"/>
      <c r="L10218" s="129"/>
    </row>
    <row r="10219">
      <c r="A10219" s="181"/>
      <c r="B10219" s="182"/>
      <c r="C10219" s="183"/>
      <c r="E10219" s="184"/>
      <c r="L10219" s="129"/>
    </row>
    <row r="10220">
      <c r="A10220" s="181"/>
      <c r="B10220" s="182"/>
      <c r="C10220" s="183"/>
      <c r="E10220" s="184"/>
      <c r="L10220" s="129"/>
    </row>
    <row r="10221">
      <c r="A10221" s="181"/>
      <c r="B10221" s="182"/>
      <c r="C10221" s="183"/>
      <c r="E10221" s="184"/>
      <c r="L10221" s="129"/>
    </row>
    <row r="10222">
      <c r="A10222" s="181"/>
      <c r="B10222" s="182"/>
      <c r="C10222" s="183"/>
      <c r="E10222" s="184"/>
      <c r="L10222" s="129"/>
    </row>
    <row r="10223">
      <c r="A10223" s="181"/>
      <c r="B10223" s="182"/>
      <c r="C10223" s="183"/>
      <c r="E10223" s="184"/>
      <c r="L10223" s="129"/>
    </row>
    <row r="10224">
      <c r="A10224" s="181"/>
      <c r="B10224" s="182"/>
      <c r="C10224" s="183"/>
      <c r="E10224" s="184"/>
      <c r="L10224" s="129"/>
    </row>
    <row r="10225">
      <c r="A10225" s="181"/>
      <c r="B10225" s="182"/>
      <c r="C10225" s="183"/>
      <c r="E10225" s="184"/>
      <c r="L10225" s="129"/>
    </row>
    <row r="10226">
      <c r="A10226" s="181"/>
      <c r="B10226" s="182"/>
      <c r="C10226" s="183"/>
      <c r="E10226" s="184"/>
      <c r="L10226" s="129"/>
    </row>
    <row r="10227">
      <c r="A10227" s="181"/>
      <c r="B10227" s="182"/>
      <c r="C10227" s="183"/>
      <c r="E10227" s="184"/>
      <c r="L10227" s="129"/>
    </row>
    <row r="10228">
      <c r="A10228" s="181"/>
      <c r="B10228" s="182"/>
      <c r="C10228" s="183"/>
      <c r="E10228" s="184"/>
      <c r="L10228" s="129"/>
    </row>
    <row r="10229">
      <c r="A10229" s="181"/>
      <c r="B10229" s="182"/>
      <c r="C10229" s="183"/>
      <c r="E10229" s="184"/>
      <c r="L10229" s="129"/>
    </row>
    <row r="10230">
      <c r="A10230" s="181"/>
      <c r="B10230" s="182"/>
      <c r="C10230" s="183"/>
      <c r="E10230" s="184"/>
      <c r="L10230" s="129"/>
    </row>
    <row r="10231">
      <c r="A10231" s="181"/>
      <c r="B10231" s="182"/>
      <c r="C10231" s="183"/>
      <c r="E10231" s="184"/>
      <c r="L10231" s="129"/>
    </row>
    <row r="10232">
      <c r="A10232" s="181"/>
      <c r="B10232" s="182"/>
      <c r="C10232" s="183"/>
      <c r="E10232" s="184"/>
      <c r="L10232" s="129"/>
    </row>
    <row r="10233">
      <c r="A10233" s="181"/>
      <c r="B10233" s="182"/>
      <c r="C10233" s="183"/>
      <c r="E10233" s="184"/>
      <c r="L10233" s="129"/>
    </row>
    <row r="10234">
      <c r="A10234" s="181"/>
      <c r="B10234" s="182"/>
      <c r="C10234" s="183"/>
      <c r="E10234" s="184"/>
      <c r="L10234" s="129"/>
    </row>
    <row r="10235">
      <c r="A10235" s="181"/>
      <c r="B10235" s="182"/>
      <c r="C10235" s="183"/>
      <c r="E10235" s="184"/>
      <c r="L10235" s="129"/>
    </row>
    <row r="10236">
      <c r="A10236" s="181"/>
      <c r="B10236" s="182"/>
      <c r="C10236" s="183"/>
      <c r="E10236" s="184"/>
      <c r="L10236" s="129"/>
    </row>
    <row r="10237">
      <c r="A10237" s="181"/>
      <c r="B10237" s="182"/>
      <c r="C10237" s="183"/>
      <c r="E10237" s="184"/>
      <c r="L10237" s="129"/>
    </row>
    <row r="10238">
      <c r="A10238" s="181"/>
      <c r="B10238" s="182"/>
      <c r="C10238" s="183"/>
      <c r="E10238" s="184"/>
      <c r="L10238" s="129"/>
    </row>
    <row r="10239">
      <c r="A10239" s="181"/>
      <c r="B10239" s="182"/>
      <c r="C10239" s="183"/>
      <c r="E10239" s="184"/>
      <c r="L10239" s="129"/>
    </row>
    <row r="10240">
      <c r="A10240" s="181"/>
      <c r="B10240" s="182"/>
      <c r="C10240" s="183"/>
      <c r="E10240" s="184"/>
      <c r="L10240" s="129"/>
    </row>
    <row r="10241">
      <c r="A10241" s="181"/>
      <c r="B10241" s="182"/>
      <c r="C10241" s="183"/>
      <c r="E10241" s="184"/>
      <c r="L10241" s="129"/>
    </row>
    <row r="10242">
      <c r="A10242" s="181"/>
      <c r="B10242" s="182"/>
      <c r="C10242" s="183"/>
      <c r="E10242" s="184"/>
      <c r="L10242" s="129"/>
    </row>
    <row r="10243">
      <c r="A10243" s="181"/>
      <c r="B10243" s="182"/>
      <c r="C10243" s="183"/>
      <c r="E10243" s="184"/>
      <c r="L10243" s="129"/>
    </row>
    <row r="10244">
      <c r="A10244" s="181"/>
      <c r="B10244" s="182"/>
      <c r="C10244" s="183"/>
      <c r="E10244" s="184"/>
      <c r="L10244" s="129"/>
    </row>
    <row r="10245">
      <c r="A10245" s="181"/>
      <c r="B10245" s="182"/>
      <c r="C10245" s="183"/>
      <c r="E10245" s="184"/>
      <c r="L10245" s="129"/>
    </row>
    <row r="10246">
      <c r="A10246" s="181"/>
      <c r="B10246" s="182"/>
      <c r="C10246" s="183"/>
      <c r="E10246" s="184"/>
      <c r="L10246" s="129"/>
    </row>
    <row r="10247">
      <c r="A10247" s="181"/>
      <c r="B10247" s="182"/>
      <c r="C10247" s="183"/>
      <c r="E10247" s="184"/>
      <c r="L10247" s="129"/>
    </row>
    <row r="10248">
      <c r="A10248" s="181"/>
      <c r="B10248" s="182"/>
      <c r="C10248" s="183"/>
      <c r="E10248" s="184"/>
      <c r="L10248" s="129"/>
    </row>
    <row r="10249">
      <c r="A10249" s="181"/>
      <c r="B10249" s="182"/>
      <c r="C10249" s="183"/>
      <c r="E10249" s="184"/>
      <c r="L10249" s="129"/>
    </row>
    <row r="10250">
      <c r="A10250" s="181"/>
      <c r="B10250" s="182"/>
      <c r="C10250" s="183"/>
      <c r="E10250" s="184"/>
      <c r="L10250" s="129"/>
    </row>
    <row r="10251">
      <c r="A10251" s="181"/>
      <c r="B10251" s="182"/>
      <c r="C10251" s="183"/>
      <c r="E10251" s="184"/>
      <c r="L10251" s="129"/>
    </row>
    <row r="10252">
      <c r="A10252" s="181"/>
      <c r="B10252" s="182"/>
      <c r="C10252" s="183"/>
      <c r="E10252" s="184"/>
      <c r="L10252" s="129"/>
    </row>
    <row r="10253">
      <c r="A10253" s="181"/>
      <c r="B10253" s="182"/>
      <c r="C10253" s="183"/>
      <c r="E10253" s="184"/>
      <c r="L10253" s="129"/>
    </row>
    <row r="10254">
      <c r="A10254" s="181"/>
      <c r="B10254" s="182"/>
      <c r="C10254" s="183"/>
      <c r="E10254" s="184"/>
      <c r="L10254" s="129"/>
    </row>
    <row r="10255">
      <c r="A10255" s="181"/>
      <c r="B10255" s="182"/>
      <c r="C10255" s="183"/>
      <c r="E10255" s="184"/>
      <c r="L10255" s="129"/>
    </row>
    <row r="10256">
      <c r="A10256" s="181"/>
      <c r="B10256" s="182"/>
      <c r="C10256" s="183"/>
      <c r="E10256" s="184"/>
      <c r="L10256" s="129"/>
    </row>
    <row r="10257">
      <c r="A10257" s="181"/>
      <c r="B10257" s="182"/>
      <c r="C10257" s="183"/>
      <c r="E10257" s="184"/>
      <c r="L10257" s="129"/>
    </row>
    <row r="10258">
      <c r="A10258" s="181"/>
      <c r="B10258" s="182"/>
      <c r="C10258" s="183"/>
      <c r="E10258" s="184"/>
      <c r="L10258" s="129"/>
    </row>
    <row r="10259">
      <c r="A10259" s="181"/>
      <c r="B10259" s="182"/>
      <c r="C10259" s="183"/>
      <c r="E10259" s="184"/>
      <c r="L10259" s="129"/>
    </row>
    <row r="10260">
      <c r="A10260" s="181"/>
      <c r="B10260" s="182"/>
      <c r="C10260" s="183"/>
      <c r="E10260" s="184"/>
      <c r="L10260" s="129"/>
    </row>
    <row r="10261">
      <c r="A10261" s="181"/>
      <c r="B10261" s="182"/>
      <c r="C10261" s="183"/>
      <c r="E10261" s="184"/>
      <c r="L10261" s="129"/>
    </row>
    <row r="10262">
      <c r="A10262" s="181"/>
      <c r="B10262" s="182"/>
      <c r="C10262" s="183"/>
      <c r="E10262" s="184"/>
      <c r="L10262" s="129"/>
    </row>
    <row r="10263">
      <c r="A10263" s="181"/>
      <c r="B10263" s="182"/>
      <c r="C10263" s="183"/>
      <c r="E10263" s="184"/>
      <c r="L10263" s="129"/>
    </row>
    <row r="10264">
      <c r="A10264" s="181"/>
      <c r="B10264" s="182"/>
      <c r="C10264" s="183"/>
      <c r="E10264" s="184"/>
      <c r="L10264" s="129"/>
    </row>
    <row r="10265">
      <c r="A10265" s="181"/>
      <c r="B10265" s="182"/>
      <c r="C10265" s="183"/>
      <c r="E10265" s="184"/>
      <c r="L10265" s="129"/>
    </row>
    <row r="10266">
      <c r="A10266" s="181"/>
      <c r="B10266" s="182"/>
      <c r="C10266" s="183"/>
      <c r="E10266" s="184"/>
      <c r="L10266" s="129"/>
    </row>
    <row r="10267">
      <c r="A10267" s="181"/>
      <c r="B10267" s="182"/>
      <c r="C10267" s="183"/>
      <c r="E10267" s="184"/>
      <c r="L10267" s="129"/>
    </row>
    <row r="10268">
      <c r="A10268" s="181"/>
      <c r="B10268" s="182"/>
      <c r="C10268" s="183"/>
      <c r="E10268" s="184"/>
      <c r="L10268" s="129"/>
    </row>
    <row r="10269">
      <c r="A10269" s="181"/>
      <c r="B10269" s="182"/>
      <c r="C10269" s="183"/>
      <c r="E10269" s="184"/>
      <c r="L10269" s="129"/>
    </row>
    <row r="10270">
      <c r="A10270" s="181"/>
      <c r="B10270" s="182"/>
      <c r="C10270" s="183"/>
      <c r="E10270" s="184"/>
      <c r="L10270" s="129"/>
    </row>
    <row r="10271">
      <c r="A10271" s="181"/>
      <c r="B10271" s="182"/>
      <c r="C10271" s="183"/>
      <c r="E10271" s="184"/>
      <c r="L10271" s="129"/>
    </row>
    <row r="10272">
      <c r="A10272" s="181"/>
      <c r="B10272" s="182"/>
      <c r="C10272" s="183"/>
      <c r="E10272" s="184"/>
      <c r="L10272" s="129"/>
    </row>
    <row r="10273">
      <c r="A10273" s="181"/>
      <c r="B10273" s="182"/>
      <c r="C10273" s="183"/>
      <c r="E10273" s="184"/>
      <c r="L10273" s="129"/>
    </row>
    <row r="10274">
      <c r="A10274" s="181"/>
      <c r="B10274" s="182"/>
      <c r="C10274" s="183"/>
      <c r="E10274" s="184"/>
      <c r="L10274" s="129"/>
    </row>
    <row r="10275">
      <c r="A10275" s="181"/>
      <c r="B10275" s="182"/>
      <c r="C10275" s="183"/>
      <c r="E10275" s="184"/>
      <c r="L10275" s="129"/>
    </row>
    <row r="10276">
      <c r="A10276" s="181"/>
      <c r="B10276" s="182"/>
      <c r="C10276" s="183"/>
      <c r="E10276" s="184"/>
      <c r="L10276" s="129"/>
    </row>
    <row r="10277">
      <c r="A10277" s="181"/>
      <c r="B10277" s="182"/>
      <c r="C10277" s="183"/>
      <c r="E10277" s="184"/>
      <c r="L10277" s="129"/>
    </row>
    <row r="10278">
      <c r="A10278" s="181"/>
      <c r="B10278" s="182"/>
      <c r="C10278" s="183"/>
      <c r="E10278" s="184"/>
      <c r="L10278" s="129"/>
    </row>
    <row r="10279">
      <c r="A10279" s="181"/>
      <c r="B10279" s="182"/>
      <c r="C10279" s="183"/>
      <c r="E10279" s="184"/>
      <c r="L10279" s="129"/>
    </row>
    <row r="10280">
      <c r="A10280" s="181"/>
      <c r="B10280" s="182"/>
      <c r="C10280" s="183"/>
      <c r="E10280" s="184"/>
      <c r="L10280" s="129"/>
    </row>
    <row r="10281">
      <c r="A10281" s="181"/>
      <c r="B10281" s="182"/>
      <c r="C10281" s="183"/>
      <c r="E10281" s="184"/>
      <c r="L10281" s="129"/>
    </row>
    <row r="10282">
      <c r="A10282" s="181"/>
      <c r="B10282" s="182"/>
      <c r="C10282" s="183"/>
      <c r="E10282" s="184"/>
      <c r="L10282" s="129"/>
    </row>
    <row r="10283">
      <c r="A10283" s="181"/>
      <c r="B10283" s="182"/>
      <c r="C10283" s="183"/>
      <c r="E10283" s="184"/>
      <c r="L10283" s="129"/>
    </row>
    <row r="10284">
      <c r="A10284" s="181"/>
      <c r="B10284" s="182"/>
      <c r="C10284" s="183"/>
      <c r="E10284" s="184"/>
      <c r="L10284" s="129"/>
    </row>
    <row r="10285">
      <c r="A10285" s="181"/>
      <c r="B10285" s="182"/>
      <c r="C10285" s="183"/>
      <c r="E10285" s="184"/>
      <c r="L10285" s="129"/>
    </row>
    <row r="10286">
      <c r="A10286" s="181"/>
      <c r="B10286" s="182"/>
      <c r="C10286" s="183"/>
      <c r="E10286" s="184"/>
      <c r="L10286" s="129"/>
    </row>
    <row r="10287">
      <c r="A10287" s="181"/>
      <c r="B10287" s="182"/>
      <c r="C10287" s="183"/>
      <c r="E10287" s="184"/>
      <c r="L10287" s="129"/>
    </row>
    <row r="10288">
      <c r="A10288" s="181"/>
      <c r="B10288" s="182"/>
      <c r="C10288" s="183"/>
      <c r="E10288" s="184"/>
      <c r="L10288" s="129"/>
    </row>
    <row r="10289">
      <c r="A10289" s="181"/>
      <c r="B10289" s="182"/>
      <c r="C10289" s="183"/>
      <c r="E10289" s="184"/>
      <c r="L10289" s="129"/>
    </row>
    <row r="10290">
      <c r="A10290" s="181"/>
      <c r="B10290" s="182"/>
      <c r="C10290" s="183"/>
      <c r="E10290" s="184"/>
      <c r="L10290" s="129"/>
    </row>
    <row r="10291">
      <c r="A10291" s="181"/>
      <c r="B10291" s="182"/>
      <c r="C10291" s="183"/>
      <c r="E10291" s="184"/>
      <c r="L10291" s="129"/>
    </row>
    <row r="10292">
      <c r="A10292" s="181"/>
      <c r="B10292" s="182"/>
      <c r="C10292" s="183"/>
      <c r="E10292" s="184"/>
      <c r="L10292" s="129"/>
    </row>
    <row r="10293">
      <c r="A10293" s="181"/>
      <c r="B10293" s="182"/>
      <c r="C10293" s="183"/>
      <c r="E10293" s="184"/>
      <c r="L10293" s="129"/>
    </row>
    <row r="10294">
      <c r="A10294" s="181"/>
      <c r="B10294" s="182"/>
      <c r="C10294" s="183"/>
      <c r="E10294" s="184"/>
      <c r="L10294" s="129"/>
    </row>
    <row r="10295">
      <c r="A10295" s="181"/>
      <c r="B10295" s="182"/>
      <c r="C10295" s="183"/>
      <c r="E10295" s="184"/>
      <c r="L10295" s="129"/>
    </row>
    <row r="10296">
      <c r="A10296" s="181"/>
      <c r="B10296" s="182"/>
      <c r="C10296" s="183"/>
      <c r="E10296" s="184"/>
      <c r="L10296" s="129"/>
    </row>
    <row r="10297">
      <c r="A10297" s="181"/>
      <c r="B10297" s="182"/>
      <c r="C10297" s="183"/>
      <c r="E10297" s="184"/>
      <c r="L10297" s="129"/>
    </row>
    <row r="10298">
      <c r="A10298" s="181"/>
      <c r="B10298" s="182"/>
      <c r="C10298" s="183"/>
      <c r="E10298" s="184"/>
      <c r="L10298" s="129"/>
    </row>
    <row r="10299">
      <c r="A10299" s="181"/>
      <c r="B10299" s="182"/>
      <c r="C10299" s="183"/>
      <c r="E10299" s="184"/>
      <c r="L10299" s="129"/>
    </row>
    <row r="10300">
      <c r="A10300" s="181"/>
      <c r="B10300" s="182"/>
      <c r="C10300" s="183"/>
      <c r="E10300" s="184"/>
      <c r="L10300" s="129"/>
    </row>
    <row r="10301">
      <c r="A10301" s="181"/>
      <c r="B10301" s="182"/>
      <c r="C10301" s="183"/>
      <c r="E10301" s="184"/>
      <c r="L10301" s="129"/>
    </row>
    <row r="10302">
      <c r="A10302" s="181"/>
      <c r="B10302" s="182"/>
      <c r="C10302" s="183"/>
      <c r="E10302" s="184"/>
      <c r="L10302" s="129"/>
    </row>
    <row r="10303">
      <c r="A10303" s="181"/>
      <c r="B10303" s="182"/>
      <c r="C10303" s="183"/>
      <c r="E10303" s="184"/>
      <c r="L10303" s="129"/>
    </row>
    <row r="10304">
      <c r="A10304" s="181"/>
      <c r="B10304" s="182"/>
      <c r="C10304" s="183"/>
      <c r="E10304" s="184"/>
      <c r="L10304" s="129"/>
    </row>
    <row r="10305">
      <c r="A10305" s="181"/>
      <c r="B10305" s="182"/>
      <c r="C10305" s="183"/>
      <c r="E10305" s="184"/>
      <c r="L10305" s="129"/>
    </row>
    <row r="10306">
      <c r="A10306" s="181"/>
      <c r="B10306" s="182"/>
      <c r="C10306" s="183"/>
      <c r="E10306" s="184"/>
      <c r="L10306" s="129"/>
    </row>
    <row r="10307">
      <c r="A10307" s="181"/>
      <c r="B10307" s="182"/>
      <c r="C10307" s="183"/>
      <c r="E10307" s="184"/>
      <c r="L10307" s="129"/>
    </row>
    <row r="10308">
      <c r="A10308" s="181"/>
      <c r="B10308" s="182"/>
      <c r="C10308" s="183"/>
      <c r="E10308" s="184"/>
      <c r="L10308" s="129"/>
    </row>
    <row r="10309">
      <c r="A10309" s="181"/>
      <c r="B10309" s="182"/>
      <c r="C10309" s="183"/>
      <c r="E10309" s="184"/>
      <c r="L10309" s="129"/>
    </row>
    <row r="10310">
      <c r="A10310" s="181"/>
      <c r="B10310" s="182"/>
      <c r="C10310" s="183"/>
      <c r="E10310" s="184"/>
      <c r="L10310" s="129"/>
    </row>
    <row r="10311">
      <c r="A10311" s="181"/>
      <c r="B10311" s="182"/>
      <c r="C10311" s="183"/>
      <c r="E10311" s="184"/>
      <c r="L10311" s="129"/>
    </row>
    <row r="10312">
      <c r="A10312" s="181"/>
      <c r="B10312" s="182"/>
      <c r="C10312" s="183"/>
      <c r="E10312" s="184"/>
      <c r="L10312" s="129"/>
    </row>
    <row r="10313">
      <c r="A10313" s="181"/>
      <c r="B10313" s="182"/>
      <c r="C10313" s="183"/>
      <c r="E10313" s="184"/>
      <c r="L10313" s="129"/>
    </row>
    <row r="10314">
      <c r="A10314" s="181"/>
      <c r="B10314" s="182"/>
      <c r="C10314" s="183"/>
      <c r="E10314" s="184"/>
      <c r="L10314" s="129"/>
    </row>
    <row r="10315">
      <c r="A10315" s="181"/>
      <c r="B10315" s="182"/>
      <c r="C10315" s="183"/>
      <c r="E10315" s="184"/>
      <c r="L10315" s="129"/>
    </row>
    <row r="10316">
      <c r="A10316" s="181"/>
      <c r="B10316" s="182"/>
      <c r="C10316" s="183"/>
      <c r="E10316" s="184"/>
      <c r="L10316" s="129"/>
    </row>
    <row r="10317">
      <c r="A10317" s="181"/>
      <c r="B10317" s="182"/>
      <c r="C10317" s="183"/>
      <c r="E10317" s="184"/>
      <c r="L10317" s="129"/>
    </row>
    <row r="10318">
      <c r="A10318" s="181"/>
      <c r="B10318" s="182"/>
      <c r="C10318" s="183"/>
      <c r="E10318" s="184"/>
      <c r="L10318" s="129"/>
    </row>
    <row r="10319">
      <c r="A10319" s="181"/>
      <c r="B10319" s="182"/>
      <c r="C10319" s="183"/>
      <c r="E10319" s="184"/>
      <c r="L10319" s="129"/>
    </row>
    <row r="10320">
      <c r="A10320" s="181"/>
      <c r="B10320" s="182"/>
      <c r="C10320" s="183"/>
      <c r="E10320" s="184"/>
      <c r="L10320" s="129"/>
    </row>
    <row r="10321">
      <c r="A10321" s="181"/>
      <c r="B10321" s="182"/>
      <c r="C10321" s="183"/>
      <c r="E10321" s="184"/>
      <c r="L10321" s="129"/>
    </row>
    <row r="10322">
      <c r="A10322" s="181"/>
      <c r="B10322" s="182"/>
      <c r="C10322" s="183"/>
      <c r="E10322" s="184"/>
      <c r="L10322" s="129"/>
    </row>
    <row r="10323">
      <c r="A10323" s="181"/>
      <c r="B10323" s="182"/>
      <c r="C10323" s="183"/>
      <c r="E10323" s="184"/>
      <c r="L10323" s="129"/>
    </row>
    <row r="10324">
      <c r="A10324" s="181"/>
      <c r="B10324" s="182"/>
      <c r="C10324" s="183"/>
      <c r="E10324" s="184"/>
      <c r="L10324" s="129"/>
    </row>
    <row r="10325">
      <c r="A10325" s="181"/>
      <c r="B10325" s="182"/>
      <c r="C10325" s="183"/>
      <c r="E10325" s="184"/>
      <c r="L10325" s="129"/>
    </row>
    <row r="10326">
      <c r="A10326" s="181"/>
      <c r="B10326" s="182"/>
      <c r="C10326" s="183"/>
      <c r="E10326" s="184"/>
      <c r="L10326" s="129"/>
    </row>
    <row r="10327">
      <c r="A10327" s="181"/>
      <c r="B10327" s="182"/>
      <c r="C10327" s="183"/>
      <c r="E10327" s="184"/>
      <c r="L10327" s="129"/>
    </row>
    <row r="10328">
      <c r="A10328" s="181"/>
      <c r="B10328" s="182"/>
      <c r="C10328" s="183"/>
      <c r="E10328" s="184"/>
      <c r="L10328" s="129"/>
    </row>
    <row r="10329">
      <c r="A10329" s="181"/>
      <c r="B10329" s="182"/>
      <c r="C10329" s="183"/>
      <c r="E10329" s="184"/>
      <c r="L10329" s="129"/>
    </row>
    <row r="10330">
      <c r="A10330" s="181"/>
      <c r="B10330" s="182"/>
      <c r="C10330" s="183"/>
      <c r="E10330" s="184"/>
      <c r="L10330" s="129"/>
    </row>
    <row r="10331">
      <c r="A10331" s="181"/>
      <c r="B10331" s="182"/>
      <c r="C10331" s="183"/>
      <c r="E10331" s="184"/>
      <c r="L10331" s="129"/>
    </row>
    <row r="10332">
      <c r="A10332" s="181"/>
      <c r="B10332" s="182"/>
      <c r="C10332" s="183"/>
      <c r="E10332" s="184"/>
      <c r="L10332" s="129"/>
    </row>
    <row r="10333">
      <c r="A10333" s="181"/>
      <c r="B10333" s="182"/>
      <c r="C10333" s="183"/>
      <c r="E10333" s="184"/>
      <c r="L10333" s="129"/>
    </row>
    <row r="10334">
      <c r="A10334" s="181"/>
      <c r="B10334" s="182"/>
      <c r="C10334" s="183"/>
      <c r="E10334" s="184"/>
      <c r="L10334" s="129"/>
    </row>
    <row r="10335">
      <c r="A10335" s="181"/>
      <c r="B10335" s="182"/>
      <c r="C10335" s="183"/>
      <c r="E10335" s="184"/>
      <c r="L10335" s="129"/>
    </row>
    <row r="10336">
      <c r="A10336" s="181"/>
      <c r="B10336" s="182"/>
      <c r="C10336" s="183"/>
      <c r="E10336" s="184"/>
      <c r="L10336" s="129"/>
    </row>
    <row r="10337">
      <c r="A10337" s="181"/>
      <c r="B10337" s="182"/>
      <c r="C10337" s="183"/>
      <c r="E10337" s="184"/>
      <c r="L10337" s="129"/>
    </row>
    <row r="10338">
      <c r="A10338" s="181"/>
      <c r="B10338" s="182"/>
      <c r="C10338" s="183"/>
      <c r="E10338" s="184"/>
      <c r="L10338" s="129"/>
    </row>
    <row r="10339">
      <c r="A10339" s="181"/>
      <c r="B10339" s="182"/>
      <c r="C10339" s="183"/>
      <c r="E10339" s="184"/>
      <c r="L10339" s="129"/>
    </row>
    <row r="10340">
      <c r="A10340" s="181"/>
      <c r="B10340" s="182"/>
      <c r="C10340" s="183"/>
      <c r="E10340" s="184"/>
      <c r="L10340" s="129"/>
    </row>
    <row r="10341">
      <c r="A10341" s="181"/>
      <c r="B10341" s="182"/>
      <c r="C10341" s="183"/>
      <c r="E10341" s="184"/>
      <c r="L10341" s="129"/>
    </row>
    <row r="10342">
      <c r="A10342" s="181"/>
      <c r="B10342" s="182"/>
      <c r="C10342" s="183"/>
      <c r="E10342" s="184"/>
      <c r="L10342" s="129"/>
    </row>
    <row r="10343">
      <c r="A10343" s="181"/>
      <c r="B10343" s="182"/>
      <c r="C10343" s="183"/>
      <c r="E10343" s="184"/>
      <c r="L10343" s="129"/>
    </row>
    <row r="10344">
      <c r="A10344" s="181"/>
      <c r="B10344" s="182"/>
      <c r="C10344" s="183"/>
      <c r="E10344" s="184"/>
      <c r="L10344" s="129"/>
    </row>
    <row r="10345">
      <c r="A10345" s="181"/>
      <c r="B10345" s="182"/>
      <c r="C10345" s="183"/>
      <c r="E10345" s="184"/>
      <c r="L10345" s="129"/>
    </row>
    <row r="10346">
      <c r="A10346" s="181"/>
      <c r="B10346" s="182"/>
      <c r="C10346" s="183"/>
      <c r="E10346" s="184"/>
      <c r="L10346" s="129"/>
    </row>
    <row r="10347">
      <c r="A10347" s="181"/>
      <c r="B10347" s="182"/>
      <c r="C10347" s="183"/>
      <c r="E10347" s="184"/>
      <c r="L10347" s="129"/>
    </row>
    <row r="10348">
      <c r="A10348" s="181"/>
      <c r="B10348" s="182"/>
      <c r="C10348" s="183"/>
      <c r="E10348" s="184"/>
      <c r="L10348" s="129"/>
    </row>
    <row r="10349">
      <c r="A10349" s="181"/>
      <c r="B10349" s="182"/>
      <c r="C10349" s="183"/>
      <c r="E10349" s="184"/>
      <c r="L10349" s="129"/>
    </row>
    <row r="10350">
      <c r="A10350" s="181"/>
      <c r="B10350" s="182"/>
      <c r="C10350" s="183"/>
      <c r="E10350" s="184"/>
      <c r="L10350" s="129"/>
    </row>
    <row r="10351">
      <c r="A10351" s="181"/>
      <c r="B10351" s="182"/>
      <c r="C10351" s="183"/>
      <c r="E10351" s="184"/>
      <c r="L10351" s="129"/>
    </row>
    <row r="10352">
      <c r="A10352" s="181"/>
      <c r="B10352" s="182"/>
      <c r="C10352" s="183"/>
      <c r="E10352" s="184"/>
      <c r="L10352" s="129"/>
    </row>
    <row r="10353">
      <c r="A10353" s="181"/>
      <c r="B10353" s="182"/>
      <c r="C10353" s="183"/>
      <c r="E10353" s="184"/>
      <c r="L10353" s="129"/>
    </row>
    <row r="10354">
      <c r="A10354" s="181"/>
      <c r="B10354" s="182"/>
      <c r="C10354" s="183"/>
      <c r="E10354" s="184"/>
      <c r="L10354" s="129"/>
    </row>
    <row r="10355">
      <c r="A10355" s="181"/>
      <c r="B10355" s="182"/>
      <c r="C10355" s="183"/>
      <c r="E10355" s="184"/>
      <c r="L10355" s="129"/>
    </row>
    <row r="10356">
      <c r="A10356" s="181"/>
      <c r="B10356" s="182"/>
      <c r="C10356" s="183"/>
      <c r="E10356" s="184"/>
      <c r="L10356" s="129"/>
    </row>
    <row r="10357">
      <c r="A10357" s="181"/>
      <c r="B10357" s="182"/>
      <c r="C10357" s="183"/>
      <c r="E10357" s="184"/>
      <c r="L10357" s="129"/>
    </row>
    <row r="10358">
      <c r="A10358" s="181"/>
      <c r="B10358" s="182"/>
      <c r="C10358" s="183"/>
      <c r="E10358" s="184"/>
      <c r="L10358" s="129"/>
    </row>
    <row r="10359">
      <c r="A10359" s="181"/>
      <c r="B10359" s="182"/>
      <c r="C10359" s="183"/>
      <c r="E10359" s="184"/>
      <c r="L10359" s="129"/>
    </row>
    <row r="10360">
      <c r="A10360" s="181"/>
      <c r="B10360" s="182"/>
      <c r="C10360" s="183"/>
      <c r="E10360" s="184"/>
      <c r="L10360" s="129"/>
    </row>
    <row r="10361">
      <c r="A10361" s="181"/>
      <c r="B10361" s="182"/>
      <c r="C10361" s="183"/>
      <c r="E10361" s="184"/>
      <c r="L10361" s="129"/>
    </row>
    <row r="10362">
      <c r="A10362" s="181"/>
      <c r="B10362" s="182"/>
      <c r="C10362" s="183"/>
      <c r="E10362" s="184"/>
      <c r="L10362" s="129"/>
    </row>
    <row r="10363">
      <c r="A10363" s="181"/>
      <c r="B10363" s="182"/>
      <c r="C10363" s="183"/>
      <c r="E10363" s="184"/>
      <c r="L10363" s="129"/>
    </row>
    <row r="10364">
      <c r="A10364" s="181"/>
      <c r="B10364" s="182"/>
      <c r="C10364" s="183"/>
      <c r="E10364" s="184"/>
      <c r="L10364" s="129"/>
    </row>
    <row r="10365">
      <c r="A10365" s="181"/>
      <c r="B10365" s="182"/>
      <c r="C10365" s="183"/>
      <c r="E10365" s="184"/>
      <c r="L10365" s="129"/>
    </row>
    <row r="10366">
      <c r="A10366" s="181"/>
      <c r="B10366" s="182"/>
      <c r="C10366" s="183"/>
      <c r="E10366" s="184"/>
      <c r="L10366" s="129"/>
    </row>
    <row r="10367">
      <c r="A10367" s="181"/>
      <c r="B10367" s="182"/>
      <c r="C10367" s="183"/>
      <c r="E10367" s="184"/>
      <c r="L10367" s="129"/>
    </row>
    <row r="10368">
      <c r="A10368" s="181"/>
      <c r="B10368" s="182"/>
      <c r="C10368" s="183"/>
      <c r="E10368" s="184"/>
      <c r="L10368" s="129"/>
    </row>
    <row r="10369">
      <c r="A10369" s="181"/>
      <c r="B10369" s="182"/>
      <c r="C10369" s="183"/>
      <c r="E10369" s="184"/>
      <c r="L10369" s="129"/>
    </row>
    <row r="10370">
      <c r="A10370" s="181"/>
      <c r="B10370" s="182"/>
      <c r="C10370" s="183"/>
      <c r="E10370" s="184"/>
      <c r="L10370" s="129"/>
    </row>
    <row r="10371">
      <c r="A10371" s="181"/>
      <c r="B10371" s="182"/>
      <c r="C10371" s="183"/>
      <c r="E10371" s="184"/>
      <c r="L10371" s="129"/>
    </row>
    <row r="10372">
      <c r="A10372" s="181"/>
      <c r="B10372" s="182"/>
      <c r="C10372" s="183"/>
      <c r="E10372" s="184"/>
      <c r="L10372" s="129"/>
    </row>
    <row r="10373">
      <c r="A10373" s="181"/>
      <c r="B10373" s="182"/>
      <c r="C10373" s="183"/>
      <c r="E10373" s="184"/>
      <c r="L10373" s="129"/>
    </row>
    <row r="10374">
      <c r="A10374" s="181"/>
      <c r="B10374" s="182"/>
      <c r="C10374" s="183"/>
      <c r="E10374" s="184"/>
      <c r="L10374" s="129"/>
    </row>
    <row r="10375">
      <c r="A10375" s="181"/>
      <c r="B10375" s="182"/>
      <c r="C10375" s="183"/>
      <c r="E10375" s="184"/>
      <c r="L10375" s="129"/>
    </row>
    <row r="10376">
      <c r="A10376" s="181"/>
      <c r="B10376" s="182"/>
      <c r="C10376" s="183"/>
      <c r="E10376" s="184"/>
      <c r="L10376" s="129"/>
    </row>
    <row r="10377">
      <c r="A10377" s="181"/>
      <c r="B10377" s="182"/>
      <c r="C10377" s="183"/>
      <c r="E10377" s="184"/>
      <c r="L10377" s="129"/>
    </row>
    <row r="10378">
      <c r="A10378" s="181"/>
      <c r="B10378" s="182"/>
      <c r="C10378" s="183"/>
      <c r="E10378" s="184"/>
      <c r="L10378" s="129"/>
    </row>
    <row r="10379">
      <c r="A10379" s="181"/>
      <c r="B10379" s="182"/>
      <c r="C10379" s="183"/>
      <c r="E10379" s="184"/>
      <c r="L10379" s="129"/>
    </row>
    <row r="10380">
      <c r="A10380" s="181"/>
      <c r="B10380" s="182"/>
      <c r="C10380" s="183"/>
      <c r="E10380" s="184"/>
      <c r="L10380" s="129"/>
    </row>
    <row r="10381">
      <c r="A10381" s="181"/>
      <c r="B10381" s="182"/>
      <c r="C10381" s="183"/>
      <c r="E10381" s="184"/>
      <c r="L10381" s="129"/>
    </row>
    <row r="10382">
      <c r="A10382" s="181"/>
      <c r="B10382" s="182"/>
      <c r="C10382" s="183"/>
      <c r="E10382" s="184"/>
      <c r="L10382" s="129"/>
    </row>
    <row r="10383">
      <c r="A10383" s="181"/>
      <c r="B10383" s="182"/>
      <c r="C10383" s="183"/>
      <c r="E10383" s="184"/>
      <c r="L10383" s="129"/>
    </row>
    <row r="10384">
      <c r="A10384" s="181"/>
      <c r="B10384" s="182"/>
      <c r="C10384" s="183"/>
      <c r="E10384" s="184"/>
      <c r="L10384" s="129"/>
    </row>
    <row r="10385">
      <c r="A10385" s="181"/>
      <c r="B10385" s="182"/>
      <c r="C10385" s="183"/>
      <c r="E10385" s="184"/>
      <c r="L10385" s="129"/>
    </row>
    <row r="10386">
      <c r="A10386" s="181"/>
      <c r="B10386" s="182"/>
      <c r="C10386" s="183"/>
      <c r="E10386" s="184"/>
      <c r="L10386" s="129"/>
    </row>
    <row r="10387">
      <c r="A10387" s="181"/>
      <c r="B10387" s="182"/>
      <c r="C10387" s="183"/>
      <c r="E10387" s="184"/>
      <c r="L10387" s="129"/>
    </row>
    <row r="10388">
      <c r="A10388" s="181"/>
      <c r="B10388" s="182"/>
      <c r="C10388" s="183"/>
      <c r="E10388" s="184"/>
      <c r="L10388" s="129"/>
    </row>
    <row r="10389">
      <c r="A10389" s="181"/>
      <c r="B10389" s="182"/>
      <c r="C10389" s="183"/>
      <c r="E10389" s="184"/>
      <c r="L10389" s="129"/>
    </row>
    <row r="10390">
      <c r="A10390" s="181"/>
      <c r="B10390" s="182"/>
      <c r="C10390" s="183"/>
      <c r="E10390" s="184"/>
      <c r="L10390" s="129"/>
    </row>
    <row r="10391">
      <c r="A10391" s="181"/>
      <c r="B10391" s="182"/>
      <c r="C10391" s="183"/>
      <c r="E10391" s="184"/>
      <c r="L10391" s="129"/>
    </row>
    <row r="10392">
      <c r="A10392" s="181"/>
      <c r="B10392" s="182"/>
      <c r="C10392" s="183"/>
      <c r="E10392" s="184"/>
      <c r="L10392" s="129"/>
    </row>
    <row r="10393">
      <c r="A10393" s="181"/>
      <c r="B10393" s="182"/>
      <c r="C10393" s="183"/>
      <c r="E10393" s="184"/>
      <c r="L10393" s="129"/>
    </row>
    <row r="10394">
      <c r="A10394" s="181"/>
      <c r="B10394" s="182"/>
      <c r="C10394" s="183"/>
      <c r="E10394" s="184"/>
      <c r="L10394" s="129"/>
    </row>
    <row r="10395">
      <c r="A10395" s="181"/>
      <c r="B10395" s="182"/>
      <c r="C10395" s="183"/>
      <c r="E10395" s="184"/>
      <c r="L10395" s="129"/>
    </row>
    <row r="10396">
      <c r="A10396" s="181"/>
      <c r="B10396" s="182"/>
      <c r="C10396" s="183"/>
      <c r="E10396" s="184"/>
      <c r="L10396" s="129"/>
    </row>
    <row r="10397">
      <c r="A10397" s="181"/>
      <c r="B10397" s="182"/>
      <c r="C10397" s="183"/>
      <c r="E10397" s="184"/>
      <c r="L10397" s="129"/>
    </row>
    <row r="10398">
      <c r="A10398" s="181"/>
      <c r="B10398" s="182"/>
      <c r="C10398" s="183"/>
      <c r="E10398" s="184"/>
      <c r="L10398" s="129"/>
    </row>
    <row r="10399">
      <c r="A10399" s="181"/>
      <c r="B10399" s="182"/>
      <c r="C10399" s="183"/>
      <c r="E10399" s="184"/>
      <c r="L10399" s="129"/>
    </row>
    <row r="10400">
      <c r="A10400" s="181"/>
      <c r="B10400" s="182"/>
      <c r="C10400" s="183"/>
      <c r="E10400" s="184"/>
      <c r="L10400" s="129"/>
    </row>
    <row r="10401">
      <c r="A10401" s="181"/>
      <c r="B10401" s="182"/>
      <c r="C10401" s="183"/>
      <c r="E10401" s="184"/>
      <c r="L10401" s="129"/>
    </row>
    <row r="10402">
      <c r="A10402" s="181"/>
      <c r="B10402" s="182"/>
      <c r="C10402" s="183"/>
      <c r="E10402" s="184"/>
      <c r="L10402" s="129"/>
    </row>
    <row r="10403">
      <c r="A10403" s="181"/>
      <c r="B10403" s="182"/>
      <c r="C10403" s="183"/>
      <c r="E10403" s="184"/>
      <c r="L10403" s="129"/>
    </row>
    <row r="10404">
      <c r="A10404" s="181"/>
      <c r="B10404" s="182"/>
      <c r="C10404" s="183"/>
      <c r="E10404" s="184"/>
      <c r="L10404" s="129"/>
    </row>
    <row r="10405">
      <c r="A10405" s="181"/>
      <c r="B10405" s="182"/>
      <c r="C10405" s="183"/>
      <c r="E10405" s="184"/>
      <c r="L10405" s="129"/>
    </row>
    <row r="10406">
      <c r="A10406" s="181"/>
      <c r="B10406" s="182"/>
      <c r="C10406" s="183"/>
      <c r="E10406" s="184"/>
      <c r="L10406" s="129"/>
    </row>
    <row r="10407">
      <c r="A10407" s="181"/>
      <c r="B10407" s="182"/>
      <c r="C10407" s="183"/>
      <c r="E10407" s="184"/>
      <c r="L10407" s="129"/>
    </row>
    <row r="10408">
      <c r="A10408" s="181"/>
      <c r="B10408" s="182"/>
      <c r="C10408" s="183"/>
      <c r="E10408" s="184"/>
      <c r="L10408" s="129"/>
    </row>
    <row r="10409">
      <c r="A10409" s="181"/>
      <c r="B10409" s="182"/>
      <c r="C10409" s="183"/>
      <c r="E10409" s="184"/>
      <c r="L10409" s="129"/>
    </row>
    <row r="10410">
      <c r="A10410" s="181"/>
      <c r="B10410" s="182"/>
      <c r="C10410" s="183"/>
      <c r="E10410" s="184"/>
      <c r="L10410" s="129"/>
    </row>
    <row r="10411">
      <c r="A10411" s="181"/>
      <c r="B10411" s="182"/>
      <c r="C10411" s="183"/>
      <c r="E10411" s="184"/>
      <c r="L10411" s="129"/>
    </row>
    <row r="10412">
      <c r="A10412" s="181"/>
      <c r="B10412" s="182"/>
      <c r="C10412" s="183"/>
      <c r="E10412" s="184"/>
      <c r="L10412" s="129"/>
    </row>
    <row r="10413">
      <c r="A10413" s="181"/>
      <c r="B10413" s="182"/>
      <c r="C10413" s="183"/>
      <c r="E10413" s="184"/>
      <c r="L10413" s="129"/>
    </row>
    <row r="10414">
      <c r="A10414" s="181"/>
      <c r="B10414" s="182"/>
      <c r="C10414" s="183"/>
      <c r="E10414" s="184"/>
      <c r="L10414" s="129"/>
    </row>
    <row r="10415">
      <c r="A10415" s="181"/>
      <c r="B10415" s="182"/>
      <c r="C10415" s="183"/>
      <c r="E10415" s="184"/>
      <c r="L10415" s="129"/>
    </row>
    <row r="10416">
      <c r="A10416" s="181"/>
      <c r="B10416" s="182"/>
      <c r="C10416" s="183"/>
      <c r="E10416" s="184"/>
      <c r="L10416" s="129"/>
    </row>
    <row r="10417">
      <c r="A10417" s="181"/>
      <c r="B10417" s="182"/>
      <c r="C10417" s="183"/>
      <c r="E10417" s="184"/>
      <c r="L10417" s="129"/>
    </row>
    <row r="10418">
      <c r="A10418" s="181"/>
      <c r="B10418" s="182"/>
      <c r="C10418" s="183"/>
      <c r="E10418" s="184"/>
      <c r="L10418" s="129"/>
    </row>
    <row r="10419">
      <c r="A10419" s="181"/>
      <c r="B10419" s="182"/>
      <c r="C10419" s="183"/>
      <c r="E10419" s="184"/>
      <c r="L10419" s="129"/>
    </row>
    <row r="10420">
      <c r="A10420" s="181"/>
      <c r="B10420" s="182"/>
      <c r="C10420" s="183"/>
      <c r="E10420" s="184"/>
      <c r="L10420" s="129"/>
    </row>
    <row r="10421">
      <c r="A10421" s="181"/>
      <c r="B10421" s="182"/>
      <c r="C10421" s="183"/>
      <c r="E10421" s="184"/>
      <c r="L10421" s="129"/>
    </row>
    <row r="10422">
      <c r="A10422" s="181"/>
      <c r="B10422" s="182"/>
      <c r="C10422" s="183"/>
      <c r="E10422" s="184"/>
      <c r="L10422" s="129"/>
    </row>
    <row r="10423">
      <c r="A10423" s="181"/>
      <c r="B10423" s="182"/>
      <c r="C10423" s="183"/>
      <c r="E10423" s="184"/>
      <c r="L10423" s="129"/>
    </row>
    <row r="10424">
      <c r="A10424" s="181"/>
      <c r="B10424" s="182"/>
      <c r="C10424" s="183"/>
      <c r="E10424" s="184"/>
      <c r="L10424" s="129"/>
    </row>
    <row r="10425">
      <c r="A10425" s="181"/>
      <c r="B10425" s="182"/>
      <c r="C10425" s="183"/>
      <c r="E10425" s="184"/>
      <c r="L10425" s="129"/>
    </row>
    <row r="10426">
      <c r="A10426" s="181"/>
      <c r="B10426" s="182"/>
      <c r="C10426" s="183"/>
      <c r="E10426" s="184"/>
      <c r="L10426" s="129"/>
    </row>
    <row r="10427">
      <c r="A10427" s="181"/>
      <c r="B10427" s="182"/>
      <c r="C10427" s="183"/>
      <c r="E10427" s="184"/>
      <c r="L10427" s="129"/>
    </row>
    <row r="10428">
      <c r="A10428" s="181"/>
      <c r="B10428" s="182"/>
      <c r="C10428" s="183"/>
      <c r="E10428" s="184"/>
      <c r="L10428" s="129"/>
    </row>
    <row r="10429">
      <c r="A10429" s="181"/>
      <c r="B10429" s="182"/>
      <c r="C10429" s="183"/>
      <c r="E10429" s="184"/>
      <c r="L10429" s="129"/>
    </row>
    <row r="10430">
      <c r="A10430" s="181"/>
      <c r="B10430" s="182"/>
      <c r="C10430" s="183"/>
      <c r="E10430" s="184"/>
      <c r="L10430" s="129"/>
    </row>
    <row r="10431">
      <c r="A10431" s="181"/>
      <c r="B10431" s="182"/>
      <c r="C10431" s="183"/>
      <c r="E10431" s="184"/>
      <c r="L10431" s="129"/>
    </row>
    <row r="10432">
      <c r="A10432" s="181"/>
      <c r="B10432" s="182"/>
      <c r="C10432" s="183"/>
      <c r="E10432" s="184"/>
      <c r="L10432" s="129"/>
    </row>
    <row r="10433">
      <c r="A10433" s="181"/>
      <c r="B10433" s="182"/>
      <c r="C10433" s="183"/>
      <c r="E10433" s="184"/>
      <c r="L10433" s="129"/>
    </row>
    <row r="10434">
      <c r="A10434" s="181"/>
      <c r="B10434" s="182"/>
      <c r="C10434" s="183"/>
      <c r="E10434" s="184"/>
      <c r="L10434" s="129"/>
    </row>
    <row r="10435">
      <c r="A10435" s="181"/>
      <c r="B10435" s="182"/>
      <c r="C10435" s="183"/>
      <c r="E10435" s="184"/>
      <c r="L10435" s="129"/>
    </row>
    <row r="10436">
      <c r="A10436" s="181"/>
      <c r="B10436" s="182"/>
      <c r="C10436" s="183"/>
      <c r="E10436" s="184"/>
      <c r="L10436" s="129"/>
    </row>
    <row r="10437">
      <c r="A10437" s="181"/>
      <c r="B10437" s="182"/>
      <c r="C10437" s="183"/>
      <c r="E10437" s="184"/>
      <c r="L10437" s="129"/>
    </row>
    <row r="10438">
      <c r="A10438" s="181"/>
      <c r="B10438" s="182"/>
      <c r="C10438" s="183"/>
      <c r="E10438" s="184"/>
      <c r="L10438" s="129"/>
    </row>
    <row r="10439">
      <c r="A10439" s="181"/>
      <c r="B10439" s="182"/>
      <c r="C10439" s="183"/>
      <c r="E10439" s="184"/>
      <c r="L10439" s="129"/>
    </row>
    <row r="10440">
      <c r="A10440" s="181"/>
      <c r="B10440" s="182"/>
      <c r="C10440" s="183"/>
      <c r="E10440" s="184"/>
      <c r="L10440" s="129"/>
    </row>
    <row r="10441">
      <c r="A10441" s="181"/>
      <c r="B10441" s="182"/>
      <c r="C10441" s="183"/>
      <c r="E10441" s="184"/>
      <c r="L10441" s="129"/>
    </row>
    <row r="10442">
      <c r="A10442" s="181"/>
      <c r="B10442" s="182"/>
      <c r="C10442" s="183"/>
      <c r="E10442" s="184"/>
      <c r="L10442" s="129"/>
    </row>
    <row r="10443">
      <c r="A10443" s="181"/>
      <c r="B10443" s="182"/>
      <c r="C10443" s="183"/>
      <c r="E10443" s="184"/>
      <c r="L10443" s="129"/>
    </row>
    <row r="10444">
      <c r="A10444" s="181"/>
      <c r="B10444" s="182"/>
      <c r="C10444" s="183"/>
      <c r="E10444" s="184"/>
      <c r="L10444" s="129"/>
    </row>
    <row r="10445">
      <c r="A10445" s="181"/>
      <c r="B10445" s="182"/>
      <c r="C10445" s="183"/>
      <c r="E10445" s="184"/>
      <c r="L10445" s="129"/>
    </row>
    <row r="10446">
      <c r="A10446" s="181"/>
      <c r="B10446" s="182"/>
      <c r="C10446" s="183"/>
      <c r="E10446" s="184"/>
      <c r="L10446" s="129"/>
    </row>
    <row r="10447">
      <c r="A10447" s="181"/>
      <c r="B10447" s="182"/>
      <c r="C10447" s="183"/>
      <c r="E10447" s="184"/>
      <c r="L10447" s="129"/>
    </row>
    <row r="10448">
      <c r="A10448" s="181"/>
      <c r="B10448" s="182"/>
      <c r="C10448" s="183"/>
      <c r="E10448" s="184"/>
      <c r="L10448" s="129"/>
    </row>
    <row r="10449">
      <c r="A10449" s="181"/>
      <c r="B10449" s="182"/>
      <c r="C10449" s="183"/>
      <c r="E10449" s="184"/>
      <c r="L10449" s="129"/>
    </row>
    <row r="10450">
      <c r="A10450" s="181"/>
      <c r="B10450" s="182"/>
      <c r="C10450" s="183"/>
      <c r="E10450" s="184"/>
      <c r="L10450" s="129"/>
    </row>
    <row r="10451">
      <c r="A10451" s="181"/>
      <c r="B10451" s="182"/>
      <c r="C10451" s="183"/>
      <c r="E10451" s="184"/>
      <c r="L10451" s="129"/>
    </row>
    <row r="10452">
      <c r="A10452" s="181"/>
      <c r="B10452" s="182"/>
      <c r="C10452" s="183"/>
      <c r="E10452" s="184"/>
      <c r="L10452" s="129"/>
    </row>
    <row r="10453">
      <c r="A10453" s="181"/>
      <c r="B10453" s="182"/>
      <c r="C10453" s="183"/>
      <c r="E10453" s="184"/>
      <c r="L10453" s="129"/>
    </row>
    <row r="10454">
      <c r="A10454" s="181"/>
      <c r="B10454" s="182"/>
      <c r="C10454" s="183"/>
      <c r="E10454" s="184"/>
      <c r="L10454" s="129"/>
    </row>
    <row r="10455">
      <c r="A10455" s="181"/>
      <c r="B10455" s="182"/>
      <c r="C10455" s="183"/>
      <c r="E10455" s="184"/>
      <c r="L10455" s="129"/>
    </row>
    <row r="10456">
      <c r="A10456" s="181"/>
      <c r="B10456" s="182"/>
      <c r="C10456" s="183"/>
      <c r="E10456" s="184"/>
      <c r="L10456" s="129"/>
    </row>
    <row r="10457">
      <c r="A10457" s="181"/>
      <c r="B10457" s="182"/>
      <c r="C10457" s="183"/>
      <c r="E10457" s="184"/>
      <c r="L10457" s="129"/>
    </row>
    <row r="10458">
      <c r="A10458" s="181"/>
      <c r="B10458" s="182"/>
      <c r="C10458" s="183"/>
      <c r="E10458" s="184"/>
      <c r="L10458" s="129"/>
    </row>
    <row r="10459">
      <c r="A10459" s="181"/>
      <c r="B10459" s="182"/>
      <c r="C10459" s="183"/>
      <c r="E10459" s="184"/>
      <c r="L10459" s="129"/>
    </row>
    <row r="10460">
      <c r="A10460" s="181"/>
      <c r="B10460" s="182"/>
      <c r="C10460" s="183"/>
      <c r="E10460" s="184"/>
      <c r="L10460" s="129"/>
    </row>
    <row r="10461">
      <c r="A10461" s="181"/>
      <c r="B10461" s="182"/>
      <c r="C10461" s="183"/>
      <c r="E10461" s="184"/>
      <c r="L10461" s="129"/>
    </row>
    <row r="10462">
      <c r="A10462" s="181"/>
      <c r="B10462" s="182"/>
      <c r="C10462" s="183"/>
      <c r="E10462" s="184"/>
      <c r="L10462" s="129"/>
    </row>
    <row r="10463">
      <c r="A10463" s="181"/>
      <c r="B10463" s="182"/>
      <c r="C10463" s="183"/>
      <c r="E10463" s="184"/>
      <c r="L10463" s="129"/>
    </row>
    <row r="10464">
      <c r="A10464" s="181"/>
      <c r="B10464" s="182"/>
      <c r="C10464" s="183"/>
      <c r="E10464" s="184"/>
      <c r="L10464" s="129"/>
    </row>
    <row r="10465">
      <c r="A10465" s="181"/>
      <c r="B10465" s="182"/>
      <c r="C10465" s="183"/>
      <c r="E10465" s="184"/>
      <c r="L10465" s="129"/>
    </row>
    <row r="10466">
      <c r="A10466" s="181"/>
      <c r="B10466" s="182"/>
      <c r="C10466" s="183"/>
      <c r="E10466" s="184"/>
      <c r="L10466" s="129"/>
    </row>
    <row r="10467">
      <c r="A10467" s="181"/>
      <c r="B10467" s="182"/>
      <c r="C10467" s="183"/>
      <c r="E10467" s="184"/>
      <c r="L10467" s="129"/>
    </row>
    <row r="10468">
      <c r="A10468" s="181"/>
      <c r="B10468" s="182"/>
      <c r="C10468" s="183"/>
      <c r="E10468" s="184"/>
      <c r="L10468" s="129"/>
    </row>
    <row r="10469">
      <c r="A10469" s="181"/>
      <c r="B10469" s="182"/>
      <c r="C10469" s="183"/>
      <c r="E10469" s="184"/>
      <c r="L10469" s="129"/>
    </row>
    <row r="10470">
      <c r="A10470" s="181"/>
      <c r="B10470" s="182"/>
      <c r="C10470" s="183"/>
      <c r="E10470" s="184"/>
      <c r="L10470" s="129"/>
    </row>
    <row r="10471">
      <c r="A10471" s="181"/>
      <c r="B10471" s="182"/>
      <c r="C10471" s="183"/>
      <c r="E10471" s="184"/>
      <c r="L10471" s="129"/>
    </row>
    <row r="10472">
      <c r="A10472" s="181"/>
      <c r="B10472" s="182"/>
      <c r="C10472" s="183"/>
      <c r="E10472" s="184"/>
      <c r="L10472" s="129"/>
    </row>
    <row r="10473">
      <c r="A10473" s="181"/>
      <c r="B10473" s="182"/>
      <c r="C10473" s="183"/>
      <c r="E10473" s="184"/>
      <c r="L10473" s="129"/>
    </row>
    <row r="10474">
      <c r="A10474" s="181"/>
      <c r="B10474" s="182"/>
      <c r="C10474" s="183"/>
      <c r="E10474" s="184"/>
      <c r="L10474" s="129"/>
    </row>
    <row r="10475">
      <c r="A10475" s="181"/>
      <c r="B10475" s="182"/>
      <c r="C10475" s="183"/>
      <c r="E10475" s="184"/>
      <c r="L10475" s="129"/>
    </row>
    <row r="10476">
      <c r="A10476" s="181"/>
      <c r="B10476" s="182"/>
      <c r="C10476" s="183"/>
      <c r="E10476" s="184"/>
      <c r="L10476" s="129"/>
    </row>
    <row r="10477">
      <c r="A10477" s="181"/>
      <c r="B10477" s="182"/>
      <c r="C10477" s="183"/>
      <c r="E10477" s="184"/>
      <c r="L10477" s="129"/>
    </row>
    <row r="10478">
      <c r="A10478" s="181"/>
      <c r="B10478" s="182"/>
      <c r="C10478" s="183"/>
      <c r="E10478" s="184"/>
      <c r="L10478" s="129"/>
    </row>
    <row r="10479">
      <c r="A10479" s="181"/>
      <c r="B10479" s="182"/>
      <c r="C10479" s="183"/>
      <c r="E10479" s="184"/>
      <c r="L10479" s="129"/>
    </row>
    <row r="10480">
      <c r="A10480" s="181"/>
      <c r="B10480" s="182"/>
      <c r="C10480" s="183"/>
      <c r="E10480" s="184"/>
      <c r="L10480" s="129"/>
    </row>
    <row r="10481">
      <c r="A10481" s="181"/>
      <c r="B10481" s="182"/>
      <c r="C10481" s="183"/>
      <c r="E10481" s="184"/>
      <c r="L10481" s="129"/>
    </row>
    <row r="10482">
      <c r="A10482" s="181"/>
      <c r="B10482" s="182"/>
      <c r="C10482" s="183"/>
      <c r="E10482" s="184"/>
      <c r="L10482" s="129"/>
    </row>
    <row r="10483">
      <c r="A10483" s="181"/>
      <c r="B10483" s="182"/>
      <c r="C10483" s="183"/>
      <c r="E10483" s="184"/>
      <c r="L10483" s="129"/>
    </row>
    <row r="10484">
      <c r="A10484" s="181"/>
      <c r="B10484" s="182"/>
      <c r="C10484" s="183"/>
      <c r="E10484" s="184"/>
      <c r="L10484" s="129"/>
    </row>
    <row r="10485">
      <c r="A10485" s="181"/>
      <c r="B10485" s="182"/>
      <c r="C10485" s="183"/>
      <c r="E10485" s="184"/>
      <c r="L10485" s="129"/>
    </row>
    <row r="10486">
      <c r="A10486" s="181"/>
      <c r="B10486" s="182"/>
      <c r="C10486" s="183"/>
      <c r="E10486" s="184"/>
      <c r="L10486" s="129"/>
    </row>
    <row r="10487">
      <c r="A10487" s="181"/>
      <c r="B10487" s="182"/>
      <c r="C10487" s="183"/>
      <c r="E10487" s="184"/>
      <c r="L10487" s="129"/>
    </row>
    <row r="10488">
      <c r="A10488" s="181"/>
      <c r="B10488" s="182"/>
      <c r="C10488" s="183"/>
      <c r="E10488" s="184"/>
      <c r="L10488" s="129"/>
    </row>
    <row r="10489">
      <c r="A10489" s="181"/>
      <c r="B10489" s="182"/>
      <c r="C10489" s="183"/>
      <c r="E10489" s="184"/>
      <c r="L10489" s="129"/>
    </row>
    <row r="10490">
      <c r="A10490" s="181"/>
      <c r="B10490" s="182"/>
      <c r="C10490" s="183"/>
      <c r="E10490" s="184"/>
      <c r="L10490" s="129"/>
    </row>
    <row r="10491">
      <c r="A10491" s="181"/>
      <c r="B10491" s="182"/>
      <c r="C10491" s="183"/>
      <c r="E10491" s="184"/>
      <c r="L10491" s="129"/>
    </row>
    <row r="10492">
      <c r="A10492" s="181"/>
      <c r="B10492" s="182"/>
      <c r="C10492" s="183"/>
      <c r="E10492" s="184"/>
      <c r="L10492" s="129"/>
    </row>
    <row r="10493">
      <c r="A10493" s="181"/>
      <c r="B10493" s="182"/>
      <c r="C10493" s="183"/>
      <c r="E10493" s="184"/>
      <c r="L10493" s="129"/>
    </row>
    <row r="10494">
      <c r="A10494" s="181"/>
      <c r="B10494" s="182"/>
      <c r="C10494" s="183"/>
      <c r="E10494" s="184"/>
      <c r="L10494" s="129"/>
    </row>
    <row r="10495">
      <c r="A10495" s="181"/>
      <c r="B10495" s="182"/>
      <c r="C10495" s="183"/>
      <c r="E10495" s="184"/>
      <c r="L10495" s="129"/>
    </row>
    <row r="10496">
      <c r="A10496" s="181"/>
      <c r="B10496" s="182"/>
      <c r="C10496" s="183"/>
      <c r="E10496" s="184"/>
      <c r="L10496" s="129"/>
    </row>
    <row r="10497">
      <c r="A10497" s="181"/>
      <c r="B10497" s="182"/>
      <c r="C10497" s="183"/>
      <c r="E10497" s="184"/>
      <c r="L10497" s="129"/>
    </row>
    <row r="10498">
      <c r="A10498" s="181"/>
      <c r="B10498" s="182"/>
      <c r="C10498" s="183"/>
      <c r="E10498" s="184"/>
      <c r="L10498" s="129"/>
    </row>
    <row r="10499">
      <c r="A10499" s="181"/>
      <c r="B10499" s="182"/>
      <c r="C10499" s="183"/>
      <c r="E10499" s="184"/>
      <c r="L10499" s="129"/>
    </row>
    <row r="10500">
      <c r="A10500" s="181"/>
      <c r="B10500" s="182"/>
      <c r="C10500" s="183"/>
      <c r="E10500" s="184"/>
      <c r="L10500" s="129"/>
    </row>
    <row r="10501">
      <c r="A10501" s="181"/>
      <c r="B10501" s="182"/>
      <c r="C10501" s="183"/>
      <c r="E10501" s="184"/>
      <c r="L10501" s="129"/>
    </row>
    <row r="10502">
      <c r="A10502" s="181"/>
      <c r="B10502" s="182"/>
      <c r="C10502" s="183"/>
      <c r="E10502" s="184"/>
      <c r="L10502" s="129"/>
    </row>
    <row r="10503">
      <c r="A10503" s="181"/>
      <c r="B10503" s="182"/>
      <c r="C10503" s="183"/>
      <c r="E10503" s="184"/>
      <c r="L10503" s="129"/>
    </row>
    <row r="10504">
      <c r="A10504" s="181"/>
      <c r="B10504" s="182"/>
      <c r="C10504" s="183"/>
      <c r="E10504" s="184"/>
      <c r="L10504" s="129"/>
    </row>
    <row r="10505">
      <c r="A10505" s="181"/>
      <c r="B10505" s="182"/>
      <c r="C10505" s="183"/>
      <c r="E10505" s="184"/>
      <c r="L10505" s="129"/>
    </row>
    <row r="10506">
      <c r="A10506" s="181"/>
      <c r="B10506" s="182"/>
      <c r="C10506" s="183"/>
      <c r="E10506" s="184"/>
      <c r="L10506" s="129"/>
    </row>
    <row r="10507">
      <c r="A10507" s="181"/>
      <c r="B10507" s="182"/>
      <c r="C10507" s="183"/>
      <c r="E10507" s="184"/>
      <c r="L10507" s="129"/>
    </row>
    <row r="10508">
      <c r="A10508" s="181"/>
      <c r="B10508" s="182"/>
      <c r="C10508" s="183"/>
      <c r="E10508" s="184"/>
      <c r="L10508" s="129"/>
    </row>
    <row r="10509">
      <c r="A10509" s="181"/>
      <c r="B10509" s="182"/>
      <c r="C10509" s="183"/>
      <c r="E10509" s="184"/>
      <c r="L10509" s="129"/>
    </row>
    <row r="10510">
      <c r="A10510" s="181"/>
      <c r="B10510" s="182"/>
      <c r="C10510" s="183"/>
      <c r="E10510" s="184"/>
      <c r="L10510" s="129"/>
    </row>
    <row r="10511">
      <c r="A10511" s="181"/>
      <c r="B10511" s="182"/>
      <c r="C10511" s="183"/>
      <c r="E10511" s="184"/>
      <c r="L10511" s="129"/>
    </row>
    <row r="10512">
      <c r="A10512" s="181"/>
      <c r="B10512" s="182"/>
      <c r="C10512" s="183"/>
      <c r="E10512" s="184"/>
      <c r="L10512" s="129"/>
    </row>
    <row r="10513">
      <c r="A10513" s="181"/>
      <c r="B10513" s="182"/>
      <c r="C10513" s="183"/>
      <c r="E10513" s="184"/>
      <c r="L10513" s="129"/>
    </row>
    <row r="10514">
      <c r="A10514" s="181"/>
      <c r="B10514" s="182"/>
      <c r="C10514" s="183"/>
      <c r="E10514" s="184"/>
      <c r="L10514" s="129"/>
    </row>
    <row r="10515">
      <c r="A10515" s="181"/>
      <c r="B10515" s="182"/>
      <c r="C10515" s="183"/>
      <c r="E10515" s="184"/>
      <c r="L10515" s="129"/>
    </row>
    <row r="10516">
      <c r="A10516" s="181"/>
      <c r="B10516" s="182"/>
      <c r="C10516" s="183"/>
      <c r="E10516" s="184"/>
      <c r="L10516" s="129"/>
    </row>
    <row r="10517">
      <c r="A10517" s="181"/>
      <c r="B10517" s="182"/>
      <c r="C10517" s="183"/>
      <c r="E10517" s="184"/>
      <c r="L10517" s="129"/>
    </row>
    <row r="10518">
      <c r="A10518" s="181"/>
      <c r="B10518" s="182"/>
      <c r="C10518" s="183"/>
      <c r="E10518" s="184"/>
      <c r="L10518" s="129"/>
    </row>
    <row r="10519">
      <c r="A10519" s="181"/>
      <c r="B10519" s="182"/>
      <c r="C10519" s="183"/>
      <c r="E10519" s="184"/>
      <c r="L10519" s="129"/>
    </row>
    <row r="10520">
      <c r="A10520" s="181"/>
      <c r="B10520" s="182"/>
      <c r="C10520" s="183"/>
      <c r="E10520" s="184"/>
      <c r="L10520" s="129"/>
    </row>
    <row r="10521">
      <c r="A10521" s="181"/>
      <c r="B10521" s="182"/>
      <c r="C10521" s="183"/>
      <c r="E10521" s="184"/>
      <c r="L10521" s="129"/>
    </row>
    <row r="10522">
      <c r="A10522" s="181"/>
      <c r="B10522" s="182"/>
      <c r="C10522" s="183"/>
      <c r="E10522" s="184"/>
      <c r="L10522" s="129"/>
    </row>
    <row r="10523">
      <c r="A10523" s="181"/>
      <c r="B10523" s="182"/>
      <c r="C10523" s="183"/>
      <c r="E10523" s="184"/>
      <c r="L10523" s="129"/>
    </row>
    <row r="10524">
      <c r="A10524" s="181"/>
      <c r="B10524" s="182"/>
      <c r="C10524" s="183"/>
      <c r="E10524" s="184"/>
      <c r="L10524" s="129"/>
    </row>
    <row r="10525">
      <c r="A10525" s="181"/>
      <c r="B10525" s="182"/>
      <c r="C10525" s="183"/>
      <c r="E10525" s="184"/>
      <c r="L10525" s="129"/>
    </row>
    <row r="10526">
      <c r="A10526" s="181"/>
      <c r="B10526" s="182"/>
      <c r="C10526" s="183"/>
      <c r="E10526" s="184"/>
      <c r="L10526" s="129"/>
    </row>
    <row r="10527">
      <c r="A10527" s="181"/>
      <c r="B10527" s="182"/>
      <c r="C10527" s="183"/>
      <c r="E10527" s="184"/>
      <c r="L10527" s="129"/>
    </row>
    <row r="10528">
      <c r="A10528" s="181"/>
      <c r="B10528" s="182"/>
      <c r="C10528" s="183"/>
      <c r="E10528" s="184"/>
      <c r="L10528" s="129"/>
    </row>
    <row r="10529">
      <c r="A10529" s="181"/>
      <c r="B10529" s="182"/>
      <c r="C10529" s="183"/>
      <c r="E10529" s="184"/>
      <c r="L10529" s="129"/>
    </row>
    <row r="10530">
      <c r="A10530" s="181"/>
      <c r="B10530" s="182"/>
      <c r="C10530" s="183"/>
      <c r="E10530" s="184"/>
      <c r="L10530" s="129"/>
    </row>
    <row r="10531">
      <c r="A10531" s="181"/>
      <c r="B10531" s="182"/>
      <c r="C10531" s="183"/>
      <c r="E10531" s="184"/>
      <c r="L10531" s="129"/>
    </row>
    <row r="10532">
      <c r="A10532" s="181"/>
      <c r="B10532" s="182"/>
      <c r="C10532" s="183"/>
      <c r="E10532" s="184"/>
      <c r="L10532" s="129"/>
    </row>
    <row r="10533">
      <c r="A10533" s="181"/>
      <c r="B10533" s="182"/>
      <c r="C10533" s="183"/>
      <c r="E10533" s="184"/>
      <c r="L10533" s="129"/>
    </row>
    <row r="10534">
      <c r="A10534" s="181"/>
      <c r="B10534" s="182"/>
      <c r="C10534" s="183"/>
      <c r="E10534" s="184"/>
      <c r="L10534" s="129"/>
    </row>
    <row r="10535">
      <c r="A10535" s="181"/>
      <c r="B10535" s="182"/>
      <c r="C10535" s="183"/>
      <c r="E10535" s="184"/>
      <c r="L10535" s="129"/>
    </row>
    <row r="10536">
      <c r="A10536" s="181"/>
      <c r="B10536" s="182"/>
      <c r="C10536" s="183"/>
      <c r="E10536" s="184"/>
      <c r="L10536" s="129"/>
    </row>
    <row r="10537">
      <c r="A10537" s="181"/>
      <c r="B10537" s="182"/>
      <c r="C10537" s="183"/>
      <c r="E10537" s="184"/>
      <c r="L10537" s="129"/>
    </row>
    <row r="10538">
      <c r="A10538" s="181"/>
      <c r="B10538" s="182"/>
      <c r="C10538" s="183"/>
      <c r="E10538" s="184"/>
      <c r="L10538" s="129"/>
    </row>
    <row r="10539">
      <c r="A10539" s="181"/>
      <c r="B10539" s="182"/>
      <c r="C10539" s="183"/>
      <c r="E10539" s="184"/>
      <c r="L10539" s="129"/>
    </row>
    <row r="10540">
      <c r="A10540" s="181"/>
      <c r="B10540" s="182"/>
      <c r="C10540" s="183"/>
      <c r="E10540" s="184"/>
      <c r="L10540" s="129"/>
    </row>
    <row r="10541">
      <c r="A10541" s="181"/>
      <c r="B10541" s="182"/>
      <c r="C10541" s="183"/>
      <c r="E10541" s="184"/>
      <c r="L10541" s="129"/>
    </row>
    <row r="10542">
      <c r="A10542" s="181"/>
      <c r="B10542" s="182"/>
      <c r="C10542" s="183"/>
      <c r="E10542" s="184"/>
      <c r="L10542" s="129"/>
    </row>
    <row r="10543">
      <c r="A10543" s="181"/>
      <c r="B10543" s="182"/>
      <c r="C10543" s="183"/>
      <c r="E10543" s="184"/>
      <c r="L10543" s="129"/>
    </row>
    <row r="10544">
      <c r="A10544" s="181"/>
      <c r="B10544" s="182"/>
      <c r="C10544" s="183"/>
      <c r="E10544" s="184"/>
      <c r="L10544" s="129"/>
    </row>
    <row r="10545">
      <c r="A10545" s="181"/>
      <c r="B10545" s="182"/>
      <c r="C10545" s="183"/>
      <c r="E10545" s="184"/>
      <c r="L10545" s="129"/>
    </row>
    <row r="10546">
      <c r="A10546" s="181"/>
      <c r="B10546" s="182"/>
      <c r="C10546" s="183"/>
      <c r="E10546" s="184"/>
      <c r="L10546" s="129"/>
    </row>
    <row r="10547">
      <c r="A10547" s="181"/>
      <c r="B10547" s="182"/>
      <c r="C10547" s="183"/>
      <c r="E10547" s="184"/>
      <c r="L10547" s="129"/>
    </row>
    <row r="10548">
      <c r="A10548" s="181"/>
      <c r="B10548" s="182"/>
      <c r="C10548" s="183"/>
      <c r="E10548" s="184"/>
      <c r="L10548" s="129"/>
    </row>
    <row r="10549">
      <c r="A10549" s="181"/>
      <c r="B10549" s="182"/>
      <c r="C10549" s="183"/>
      <c r="E10549" s="184"/>
      <c r="L10549" s="129"/>
    </row>
    <row r="10550">
      <c r="A10550" s="181"/>
      <c r="B10550" s="182"/>
      <c r="C10550" s="183"/>
      <c r="E10550" s="184"/>
      <c r="L10550" s="129"/>
    </row>
    <row r="10551">
      <c r="A10551" s="181"/>
      <c r="B10551" s="182"/>
      <c r="C10551" s="183"/>
      <c r="E10551" s="184"/>
      <c r="L10551" s="129"/>
    </row>
    <row r="10552">
      <c r="A10552" s="181"/>
      <c r="B10552" s="182"/>
      <c r="C10552" s="183"/>
      <c r="E10552" s="184"/>
      <c r="L10552" s="129"/>
    </row>
    <row r="10553">
      <c r="A10553" s="181"/>
      <c r="B10553" s="182"/>
      <c r="C10553" s="183"/>
      <c r="E10553" s="184"/>
      <c r="L10553" s="129"/>
    </row>
    <row r="10554">
      <c r="A10554" s="181"/>
      <c r="B10554" s="182"/>
      <c r="C10554" s="183"/>
      <c r="E10554" s="184"/>
      <c r="L10554" s="129"/>
    </row>
    <row r="10555">
      <c r="A10555" s="181"/>
      <c r="B10555" s="182"/>
      <c r="C10555" s="183"/>
      <c r="E10555" s="184"/>
      <c r="L10555" s="129"/>
    </row>
    <row r="10556">
      <c r="A10556" s="181"/>
      <c r="B10556" s="182"/>
      <c r="C10556" s="183"/>
      <c r="E10556" s="184"/>
      <c r="L10556" s="129"/>
    </row>
    <row r="10557">
      <c r="A10557" s="181"/>
      <c r="B10557" s="182"/>
      <c r="C10557" s="183"/>
      <c r="E10557" s="184"/>
      <c r="L10557" s="129"/>
    </row>
    <row r="10558">
      <c r="A10558" s="181"/>
      <c r="B10558" s="182"/>
      <c r="C10558" s="183"/>
      <c r="E10558" s="184"/>
      <c r="L10558" s="129"/>
    </row>
    <row r="10559">
      <c r="A10559" s="181"/>
      <c r="B10559" s="182"/>
      <c r="C10559" s="183"/>
      <c r="E10559" s="184"/>
      <c r="L10559" s="129"/>
    </row>
    <row r="10560">
      <c r="A10560" s="181"/>
      <c r="B10560" s="182"/>
      <c r="C10560" s="183"/>
      <c r="E10560" s="184"/>
      <c r="L10560" s="129"/>
    </row>
    <row r="10561">
      <c r="A10561" s="181"/>
      <c r="B10561" s="182"/>
      <c r="C10561" s="183"/>
      <c r="E10561" s="184"/>
      <c r="L10561" s="129"/>
    </row>
    <row r="10562">
      <c r="A10562" s="181"/>
      <c r="B10562" s="182"/>
      <c r="C10562" s="183"/>
      <c r="E10562" s="184"/>
      <c r="L10562" s="129"/>
    </row>
    <row r="10563">
      <c r="A10563" s="181"/>
      <c r="B10563" s="182"/>
      <c r="C10563" s="183"/>
      <c r="E10563" s="184"/>
      <c r="L10563" s="129"/>
    </row>
    <row r="10564">
      <c r="A10564" s="181"/>
      <c r="B10564" s="182"/>
      <c r="C10564" s="183"/>
      <c r="E10564" s="184"/>
      <c r="L10564" s="129"/>
    </row>
    <row r="10565">
      <c r="A10565" s="181"/>
      <c r="B10565" s="182"/>
      <c r="C10565" s="183"/>
      <c r="E10565" s="184"/>
      <c r="L10565" s="129"/>
    </row>
    <row r="10566">
      <c r="A10566" s="181"/>
      <c r="B10566" s="182"/>
      <c r="C10566" s="183"/>
      <c r="E10566" s="184"/>
      <c r="L10566" s="129"/>
    </row>
    <row r="10567">
      <c r="A10567" s="181"/>
      <c r="B10567" s="182"/>
      <c r="C10567" s="183"/>
      <c r="E10567" s="184"/>
      <c r="L10567" s="129"/>
    </row>
    <row r="10568">
      <c r="A10568" s="181"/>
      <c r="B10568" s="182"/>
      <c r="C10568" s="183"/>
      <c r="E10568" s="184"/>
      <c r="L10568" s="129"/>
    </row>
    <row r="10569">
      <c r="A10569" s="181"/>
      <c r="B10569" s="182"/>
      <c r="C10569" s="183"/>
      <c r="E10569" s="184"/>
      <c r="L10569" s="129"/>
    </row>
    <row r="10570">
      <c r="A10570" s="181"/>
      <c r="B10570" s="182"/>
      <c r="C10570" s="183"/>
      <c r="E10570" s="184"/>
      <c r="L10570" s="129"/>
    </row>
    <row r="10571">
      <c r="A10571" s="181"/>
      <c r="B10571" s="182"/>
      <c r="C10571" s="183"/>
      <c r="E10571" s="184"/>
      <c r="L10571" s="129"/>
    </row>
    <row r="10572">
      <c r="A10572" s="181"/>
      <c r="B10572" s="182"/>
      <c r="C10572" s="183"/>
      <c r="E10572" s="184"/>
      <c r="L10572" s="129"/>
    </row>
    <row r="10573">
      <c r="A10573" s="181"/>
      <c r="B10573" s="182"/>
      <c r="C10573" s="183"/>
      <c r="E10573" s="184"/>
      <c r="L10573" s="129"/>
    </row>
    <row r="10574">
      <c r="A10574" s="181"/>
      <c r="B10574" s="182"/>
      <c r="C10574" s="183"/>
      <c r="E10574" s="184"/>
      <c r="L10574" s="129"/>
    </row>
    <row r="10575">
      <c r="A10575" s="181"/>
      <c r="B10575" s="182"/>
      <c r="C10575" s="183"/>
      <c r="E10575" s="184"/>
      <c r="L10575" s="129"/>
    </row>
    <row r="10576">
      <c r="A10576" s="181"/>
      <c r="B10576" s="182"/>
      <c r="C10576" s="183"/>
      <c r="E10576" s="184"/>
      <c r="L10576" s="129"/>
    </row>
    <row r="10577">
      <c r="A10577" s="181"/>
      <c r="B10577" s="182"/>
      <c r="C10577" s="183"/>
      <c r="E10577" s="184"/>
      <c r="L10577" s="129"/>
    </row>
    <row r="10578">
      <c r="A10578" s="181"/>
      <c r="B10578" s="182"/>
      <c r="C10578" s="183"/>
      <c r="E10578" s="184"/>
      <c r="L10578" s="129"/>
    </row>
    <row r="10579">
      <c r="A10579" s="181"/>
      <c r="B10579" s="182"/>
      <c r="C10579" s="183"/>
      <c r="E10579" s="184"/>
      <c r="L10579" s="129"/>
    </row>
    <row r="10580">
      <c r="A10580" s="181"/>
      <c r="B10580" s="182"/>
      <c r="C10580" s="183"/>
      <c r="E10580" s="184"/>
      <c r="L10580" s="129"/>
    </row>
    <row r="10581">
      <c r="A10581" s="181"/>
      <c r="B10581" s="182"/>
      <c r="C10581" s="183"/>
      <c r="E10581" s="184"/>
      <c r="L10581" s="129"/>
    </row>
    <row r="10582">
      <c r="A10582" s="181"/>
      <c r="B10582" s="182"/>
      <c r="C10582" s="183"/>
      <c r="E10582" s="184"/>
      <c r="L10582" s="129"/>
    </row>
    <row r="10583">
      <c r="A10583" s="181"/>
      <c r="B10583" s="182"/>
      <c r="C10583" s="183"/>
      <c r="E10583" s="184"/>
      <c r="L10583" s="129"/>
    </row>
    <row r="10584">
      <c r="A10584" s="181"/>
      <c r="B10584" s="182"/>
      <c r="C10584" s="183"/>
      <c r="E10584" s="184"/>
      <c r="L10584" s="129"/>
    </row>
    <row r="10585">
      <c r="A10585" s="181"/>
      <c r="B10585" s="182"/>
      <c r="C10585" s="183"/>
      <c r="E10585" s="184"/>
      <c r="L10585" s="129"/>
    </row>
    <row r="10586">
      <c r="A10586" s="181"/>
      <c r="B10586" s="182"/>
      <c r="C10586" s="183"/>
      <c r="E10586" s="184"/>
      <c r="L10586" s="129"/>
    </row>
    <row r="10587">
      <c r="A10587" s="181"/>
      <c r="B10587" s="182"/>
      <c r="C10587" s="183"/>
      <c r="E10587" s="184"/>
      <c r="L10587" s="129"/>
    </row>
    <row r="10588">
      <c r="A10588" s="181"/>
      <c r="B10588" s="182"/>
      <c r="C10588" s="183"/>
      <c r="E10588" s="184"/>
      <c r="L10588" s="129"/>
    </row>
    <row r="10589">
      <c r="A10589" s="181"/>
      <c r="B10589" s="182"/>
      <c r="C10589" s="183"/>
      <c r="E10589" s="184"/>
      <c r="L10589" s="129"/>
    </row>
    <row r="10590">
      <c r="A10590" s="181"/>
      <c r="B10590" s="182"/>
      <c r="C10590" s="183"/>
      <c r="E10590" s="184"/>
      <c r="L10590" s="129"/>
    </row>
    <row r="10591">
      <c r="A10591" s="181"/>
      <c r="B10591" s="182"/>
      <c r="C10591" s="183"/>
      <c r="E10591" s="184"/>
      <c r="L10591" s="129"/>
    </row>
    <row r="10592">
      <c r="A10592" s="181"/>
      <c r="B10592" s="182"/>
      <c r="C10592" s="183"/>
      <c r="E10592" s="184"/>
      <c r="L10592" s="129"/>
    </row>
    <row r="10593">
      <c r="A10593" s="181"/>
      <c r="B10593" s="182"/>
      <c r="C10593" s="183"/>
      <c r="E10593" s="184"/>
      <c r="L10593" s="129"/>
    </row>
    <row r="10594">
      <c r="A10594" s="181"/>
      <c r="B10594" s="182"/>
      <c r="C10594" s="183"/>
      <c r="E10594" s="184"/>
      <c r="L10594" s="129"/>
    </row>
    <row r="10595">
      <c r="A10595" s="181"/>
      <c r="B10595" s="182"/>
      <c r="C10595" s="183"/>
      <c r="E10595" s="184"/>
      <c r="L10595" s="129"/>
    </row>
    <row r="10596">
      <c r="A10596" s="181"/>
      <c r="B10596" s="182"/>
      <c r="C10596" s="183"/>
      <c r="E10596" s="184"/>
      <c r="L10596" s="129"/>
    </row>
    <row r="10597">
      <c r="A10597" s="181"/>
      <c r="B10597" s="182"/>
      <c r="C10597" s="183"/>
      <c r="E10597" s="184"/>
      <c r="L10597" s="129"/>
    </row>
    <row r="10598">
      <c r="A10598" s="181"/>
      <c r="B10598" s="182"/>
      <c r="C10598" s="183"/>
      <c r="E10598" s="184"/>
      <c r="L10598" s="129"/>
    </row>
    <row r="10599">
      <c r="A10599" s="181"/>
      <c r="B10599" s="182"/>
      <c r="C10599" s="183"/>
      <c r="E10599" s="184"/>
      <c r="L10599" s="129"/>
    </row>
    <row r="10600">
      <c r="A10600" s="181"/>
      <c r="B10600" s="182"/>
      <c r="C10600" s="183"/>
      <c r="E10600" s="184"/>
      <c r="L10600" s="129"/>
    </row>
    <row r="10601">
      <c r="A10601" s="181"/>
      <c r="B10601" s="182"/>
      <c r="C10601" s="183"/>
      <c r="E10601" s="184"/>
      <c r="L10601" s="129"/>
    </row>
    <row r="10602">
      <c r="A10602" s="181"/>
      <c r="B10602" s="182"/>
      <c r="C10602" s="183"/>
      <c r="E10602" s="184"/>
      <c r="L10602" s="129"/>
    </row>
    <row r="10603">
      <c r="A10603" s="181"/>
      <c r="B10603" s="182"/>
      <c r="C10603" s="183"/>
      <c r="E10603" s="184"/>
      <c r="L10603" s="129"/>
    </row>
    <row r="10604">
      <c r="A10604" s="181"/>
      <c r="B10604" s="182"/>
      <c r="C10604" s="183"/>
      <c r="E10604" s="184"/>
      <c r="L10604" s="129"/>
    </row>
    <row r="10605">
      <c r="A10605" s="181"/>
      <c r="B10605" s="182"/>
      <c r="C10605" s="183"/>
      <c r="E10605" s="184"/>
      <c r="L10605" s="129"/>
    </row>
    <row r="10606">
      <c r="A10606" s="181"/>
      <c r="B10606" s="182"/>
      <c r="C10606" s="183"/>
      <c r="E10606" s="184"/>
      <c r="L10606" s="129"/>
    </row>
    <row r="10607">
      <c r="A10607" s="181"/>
      <c r="B10607" s="182"/>
      <c r="C10607" s="183"/>
      <c r="E10607" s="184"/>
      <c r="L10607" s="129"/>
    </row>
    <row r="10608">
      <c r="A10608" s="181"/>
      <c r="B10608" s="182"/>
      <c r="C10608" s="183"/>
      <c r="E10608" s="184"/>
      <c r="L10608" s="129"/>
    </row>
    <row r="10609">
      <c r="A10609" s="181"/>
      <c r="B10609" s="182"/>
      <c r="C10609" s="183"/>
      <c r="E10609" s="184"/>
      <c r="L10609" s="129"/>
    </row>
    <row r="10610">
      <c r="A10610" s="181"/>
      <c r="B10610" s="182"/>
      <c r="C10610" s="183"/>
      <c r="E10610" s="184"/>
      <c r="L10610" s="129"/>
    </row>
    <row r="10611">
      <c r="A10611" s="181"/>
      <c r="B10611" s="182"/>
      <c r="C10611" s="183"/>
      <c r="E10611" s="184"/>
      <c r="L10611" s="129"/>
    </row>
    <row r="10612">
      <c r="A10612" s="181"/>
      <c r="B10612" s="182"/>
      <c r="C10612" s="183"/>
      <c r="E10612" s="184"/>
      <c r="L10612" s="129"/>
    </row>
    <row r="10613">
      <c r="A10613" s="181"/>
      <c r="B10613" s="182"/>
      <c r="C10613" s="183"/>
      <c r="E10613" s="184"/>
      <c r="L10613" s="129"/>
    </row>
    <row r="10614">
      <c r="A10614" s="181"/>
      <c r="B10614" s="182"/>
      <c r="C10614" s="183"/>
      <c r="E10614" s="184"/>
      <c r="L10614" s="129"/>
    </row>
    <row r="10615">
      <c r="A10615" s="181"/>
      <c r="B10615" s="182"/>
      <c r="C10615" s="183"/>
      <c r="E10615" s="184"/>
      <c r="L10615" s="129"/>
    </row>
    <row r="10616">
      <c r="A10616" s="181"/>
      <c r="B10616" s="182"/>
      <c r="C10616" s="183"/>
      <c r="E10616" s="184"/>
      <c r="L10616" s="129"/>
    </row>
    <row r="10617">
      <c r="A10617" s="181"/>
      <c r="B10617" s="182"/>
      <c r="C10617" s="183"/>
      <c r="E10617" s="184"/>
      <c r="L10617" s="129"/>
    </row>
    <row r="10618">
      <c r="A10618" s="181"/>
      <c r="B10618" s="182"/>
      <c r="C10618" s="183"/>
      <c r="E10618" s="184"/>
      <c r="L10618" s="129"/>
    </row>
    <row r="10619">
      <c r="A10619" s="181"/>
      <c r="B10619" s="182"/>
      <c r="C10619" s="183"/>
      <c r="E10619" s="184"/>
      <c r="L10619" s="129"/>
    </row>
    <row r="10620">
      <c r="A10620" s="181"/>
      <c r="B10620" s="182"/>
      <c r="C10620" s="183"/>
      <c r="E10620" s="184"/>
      <c r="L10620" s="129"/>
    </row>
    <row r="10621">
      <c r="A10621" s="181"/>
      <c r="B10621" s="182"/>
      <c r="C10621" s="183"/>
      <c r="E10621" s="184"/>
      <c r="L10621" s="129"/>
    </row>
    <row r="10622">
      <c r="A10622" s="181"/>
      <c r="B10622" s="182"/>
      <c r="C10622" s="183"/>
      <c r="E10622" s="184"/>
      <c r="L10622" s="129"/>
    </row>
    <row r="10623">
      <c r="A10623" s="181"/>
      <c r="B10623" s="182"/>
      <c r="C10623" s="183"/>
      <c r="E10623" s="184"/>
      <c r="L10623" s="129"/>
    </row>
    <row r="10624">
      <c r="A10624" s="181"/>
      <c r="B10624" s="182"/>
      <c r="C10624" s="183"/>
      <c r="E10624" s="184"/>
      <c r="L10624" s="129"/>
    </row>
    <row r="10625">
      <c r="A10625" s="181"/>
      <c r="B10625" s="182"/>
      <c r="C10625" s="183"/>
      <c r="E10625" s="184"/>
      <c r="L10625" s="129"/>
    </row>
    <row r="10626">
      <c r="A10626" s="181"/>
      <c r="B10626" s="182"/>
      <c r="C10626" s="183"/>
      <c r="E10626" s="184"/>
      <c r="L10626" s="129"/>
    </row>
    <row r="10627">
      <c r="A10627" s="181"/>
      <c r="B10627" s="182"/>
      <c r="C10627" s="183"/>
      <c r="E10627" s="184"/>
      <c r="L10627" s="129"/>
    </row>
    <row r="10628">
      <c r="A10628" s="181"/>
      <c r="B10628" s="182"/>
      <c r="C10628" s="183"/>
      <c r="E10628" s="184"/>
      <c r="L10628" s="129"/>
    </row>
    <row r="10629">
      <c r="A10629" s="181"/>
      <c r="B10629" s="182"/>
      <c r="C10629" s="183"/>
      <c r="E10629" s="184"/>
      <c r="L10629" s="129"/>
    </row>
    <row r="10630">
      <c r="A10630" s="181"/>
      <c r="B10630" s="182"/>
      <c r="C10630" s="183"/>
      <c r="E10630" s="184"/>
      <c r="L10630" s="129"/>
    </row>
    <row r="10631">
      <c r="A10631" s="181"/>
      <c r="B10631" s="182"/>
      <c r="C10631" s="183"/>
      <c r="E10631" s="184"/>
      <c r="L10631" s="129"/>
    </row>
    <row r="10632">
      <c r="A10632" s="181"/>
      <c r="B10632" s="182"/>
      <c r="C10632" s="183"/>
      <c r="E10632" s="184"/>
      <c r="L10632" s="129"/>
    </row>
    <row r="10633">
      <c r="A10633" s="181"/>
      <c r="B10633" s="182"/>
      <c r="C10633" s="183"/>
      <c r="E10633" s="184"/>
      <c r="L10633" s="129"/>
    </row>
    <row r="10634">
      <c r="A10634" s="181"/>
      <c r="B10634" s="182"/>
      <c r="C10634" s="183"/>
      <c r="E10634" s="184"/>
      <c r="L10634" s="129"/>
    </row>
    <row r="10635">
      <c r="A10635" s="181"/>
      <c r="B10635" s="182"/>
      <c r="C10635" s="183"/>
      <c r="E10635" s="184"/>
      <c r="L10635" s="129"/>
    </row>
    <row r="10636">
      <c r="A10636" s="181"/>
      <c r="B10636" s="182"/>
      <c r="C10636" s="183"/>
      <c r="E10636" s="184"/>
      <c r="L10636" s="129"/>
    </row>
    <row r="10637">
      <c r="A10637" s="181"/>
      <c r="B10637" s="182"/>
      <c r="C10637" s="183"/>
      <c r="E10637" s="184"/>
      <c r="L10637" s="129"/>
    </row>
    <row r="10638">
      <c r="A10638" s="181"/>
      <c r="B10638" s="182"/>
      <c r="C10638" s="183"/>
      <c r="E10638" s="184"/>
      <c r="L10638" s="129"/>
    </row>
    <row r="10639">
      <c r="A10639" s="181"/>
      <c r="B10639" s="182"/>
      <c r="C10639" s="183"/>
      <c r="E10639" s="184"/>
      <c r="L10639" s="129"/>
    </row>
    <row r="10640">
      <c r="A10640" s="181"/>
      <c r="B10640" s="182"/>
      <c r="C10640" s="183"/>
      <c r="E10640" s="184"/>
      <c r="L10640" s="129"/>
    </row>
    <row r="10641">
      <c r="A10641" s="181"/>
      <c r="B10641" s="182"/>
      <c r="C10641" s="183"/>
      <c r="E10641" s="184"/>
      <c r="L10641" s="129"/>
    </row>
    <row r="10642">
      <c r="A10642" s="181"/>
      <c r="B10642" s="182"/>
      <c r="C10642" s="183"/>
      <c r="E10642" s="184"/>
      <c r="L10642" s="129"/>
    </row>
    <row r="10643">
      <c r="A10643" s="181"/>
      <c r="B10643" s="182"/>
      <c r="C10643" s="183"/>
      <c r="E10643" s="184"/>
      <c r="L10643" s="129"/>
    </row>
    <row r="10644">
      <c r="A10644" s="181"/>
      <c r="B10644" s="182"/>
      <c r="C10644" s="183"/>
      <c r="E10644" s="184"/>
      <c r="L10644" s="129"/>
    </row>
    <row r="10645">
      <c r="A10645" s="181"/>
      <c r="B10645" s="182"/>
      <c r="C10645" s="183"/>
      <c r="E10645" s="184"/>
      <c r="L10645" s="129"/>
    </row>
    <row r="10646">
      <c r="A10646" s="181"/>
      <c r="B10646" s="182"/>
      <c r="C10646" s="183"/>
      <c r="E10646" s="184"/>
      <c r="L10646" s="129"/>
    </row>
    <row r="10647">
      <c r="A10647" s="181"/>
      <c r="B10647" s="182"/>
      <c r="C10647" s="183"/>
      <c r="E10647" s="184"/>
      <c r="L10647" s="129"/>
    </row>
    <row r="10648">
      <c r="A10648" s="181"/>
      <c r="B10648" s="182"/>
      <c r="C10648" s="183"/>
      <c r="E10648" s="184"/>
      <c r="L10648" s="129"/>
    </row>
    <row r="10649">
      <c r="A10649" s="181"/>
      <c r="B10649" s="182"/>
      <c r="C10649" s="183"/>
      <c r="E10649" s="184"/>
      <c r="L10649" s="129"/>
    </row>
    <row r="10650">
      <c r="A10650" s="181"/>
      <c r="B10650" s="182"/>
      <c r="C10650" s="183"/>
      <c r="E10650" s="184"/>
      <c r="L10650" s="129"/>
    </row>
    <row r="10651">
      <c r="A10651" s="181"/>
      <c r="B10651" s="182"/>
      <c r="C10651" s="183"/>
      <c r="E10651" s="184"/>
      <c r="L10651" s="129"/>
    </row>
    <row r="10652">
      <c r="A10652" s="181"/>
      <c r="B10652" s="182"/>
      <c r="C10652" s="183"/>
      <c r="E10652" s="184"/>
      <c r="L10652" s="129"/>
    </row>
    <row r="10653">
      <c r="A10653" s="181"/>
      <c r="B10653" s="182"/>
      <c r="C10653" s="183"/>
      <c r="E10653" s="184"/>
      <c r="L10653" s="129"/>
    </row>
    <row r="10654">
      <c r="A10654" s="181"/>
      <c r="B10654" s="182"/>
      <c r="C10654" s="183"/>
      <c r="E10654" s="184"/>
      <c r="L10654" s="129"/>
    </row>
    <row r="10655">
      <c r="A10655" s="181"/>
      <c r="B10655" s="182"/>
      <c r="C10655" s="183"/>
      <c r="E10655" s="184"/>
      <c r="L10655" s="129"/>
    </row>
    <row r="10656">
      <c r="A10656" s="181"/>
      <c r="B10656" s="182"/>
      <c r="C10656" s="183"/>
      <c r="E10656" s="184"/>
      <c r="L10656" s="129"/>
    </row>
    <row r="10657">
      <c r="A10657" s="181"/>
      <c r="B10657" s="182"/>
      <c r="C10657" s="183"/>
      <c r="E10657" s="184"/>
      <c r="L10657" s="129"/>
    </row>
    <row r="10658">
      <c r="A10658" s="181"/>
      <c r="B10658" s="182"/>
      <c r="C10658" s="183"/>
      <c r="E10658" s="184"/>
      <c r="L10658" s="129"/>
    </row>
    <row r="10659">
      <c r="A10659" s="181"/>
      <c r="B10659" s="182"/>
      <c r="C10659" s="183"/>
      <c r="E10659" s="184"/>
      <c r="L10659" s="129"/>
    </row>
    <row r="10660">
      <c r="A10660" s="181"/>
      <c r="B10660" s="182"/>
      <c r="C10660" s="183"/>
      <c r="E10660" s="184"/>
      <c r="L10660" s="129"/>
    </row>
    <row r="10661">
      <c r="A10661" s="181"/>
      <c r="B10661" s="182"/>
      <c r="C10661" s="183"/>
      <c r="E10661" s="184"/>
      <c r="L10661" s="129"/>
    </row>
    <row r="10662">
      <c r="A10662" s="181"/>
      <c r="B10662" s="182"/>
      <c r="C10662" s="183"/>
      <c r="E10662" s="184"/>
      <c r="L10662" s="129"/>
    </row>
    <row r="10663">
      <c r="A10663" s="181"/>
      <c r="B10663" s="182"/>
      <c r="C10663" s="183"/>
      <c r="E10663" s="184"/>
      <c r="L10663" s="129"/>
    </row>
    <row r="10664">
      <c r="A10664" s="181"/>
      <c r="B10664" s="182"/>
      <c r="C10664" s="183"/>
      <c r="E10664" s="184"/>
      <c r="L10664" s="129"/>
    </row>
    <row r="10665">
      <c r="A10665" s="181"/>
      <c r="B10665" s="182"/>
      <c r="C10665" s="183"/>
      <c r="E10665" s="184"/>
      <c r="L10665" s="129"/>
    </row>
    <row r="10666">
      <c r="A10666" s="181"/>
      <c r="B10666" s="182"/>
      <c r="C10666" s="183"/>
      <c r="E10666" s="184"/>
      <c r="L10666" s="129"/>
    </row>
    <row r="10667">
      <c r="A10667" s="181"/>
      <c r="B10667" s="182"/>
      <c r="C10667" s="183"/>
      <c r="E10667" s="184"/>
      <c r="L10667" s="129"/>
    </row>
    <row r="10668">
      <c r="A10668" s="181"/>
      <c r="B10668" s="182"/>
      <c r="C10668" s="183"/>
      <c r="E10668" s="184"/>
      <c r="L10668" s="129"/>
    </row>
    <row r="10669">
      <c r="A10669" s="181"/>
      <c r="B10669" s="182"/>
      <c r="C10669" s="183"/>
      <c r="E10669" s="184"/>
      <c r="L10669" s="129"/>
    </row>
    <row r="10670">
      <c r="A10670" s="181"/>
      <c r="B10670" s="182"/>
      <c r="C10670" s="183"/>
      <c r="E10670" s="184"/>
      <c r="L10670" s="129"/>
    </row>
    <row r="10671">
      <c r="A10671" s="181"/>
      <c r="B10671" s="182"/>
      <c r="C10671" s="183"/>
      <c r="E10671" s="184"/>
      <c r="L10671" s="129"/>
    </row>
    <row r="10672">
      <c r="A10672" s="181"/>
      <c r="B10672" s="182"/>
      <c r="C10672" s="183"/>
      <c r="E10672" s="184"/>
      <c r="L10672" s="129"/>
    </row>
    <row r="10673">
      <c r="A10673" s="181"/>
      <c r="B10673" s="182"/>
      <c r="C10673" s="183"/>
      <c r="E10673" s="184"/>
      <c r="L10673" s="129"/>
    </row>
    <row r="10674">
      <c r="A10674" s="181"/>
      <c r="B10674" s="182"/>
      <c r="C10674" s="183"/>
      <c r="E10674" s="184"/>
      <c r="L10674" s="129"/>
    </row>
    <row r="10675">
      <c r="A10675" s="181"/>
      <c r="B10675" s="182"/>
      <c r="C10675" s="183"/>
      <c r="E10675" s="184"/>
      <c r="L10675" s="129"/>
    </row>
    <row r="10676">
      <c r="A10676" s="181"/>
      <c r="B10676" s="182"/>
      <c r="C10676" s="183"/>
      <c r="E10676" s="184"/>
      <c r="L10676" s="129"/>
    </row>
    <row r="10677">
      <c r="A10677" s="181"/>
      <c r="B10677" s="182"/>
      <c r="C10677" s="183"/>
      <c r="E10677" s="184"/>
      <c r="L10677" s="129"/>
    </row>
    <row r="10678">
      <c r="A10678" s="181"/>
      <c r="B10678" s="182"/>
      <c r="C10678" s="183"/>
      <c r="E10678" s="184"/>
      <c r="L10678" s="129"/>
    </row>
    <row r="10679">
      <c r="A10679" s="181"/>
      <c r="B10679" s="182"/>
      <c r="C10679" s="183"/>
      <c r="E10679" s="184"/>
      <c r="L10679" s="129"/>
    </row>
    <row r="10680">
      <c r="A10680" s="181"/>
      <c r="B10680" s="182"/>
      <c r="C10680" s="183"/>
      <c r="E10680" s="184"/>
      <c r="L10680" s="129"/>
    </row>
    <row r="10681">
      <c r="A10681" s="181"/>
      <c r="B10681" s="182"/>
      <c r="C10681" s="183"/>
      <c r="E10681" s="184"/>
      <c r="L10681" s="129"/>
    </row>
    <row r="10682">
      <c r="A10682" s="181"/>
      <c r="B10682" s="182"/>
      <c r="C10682" s="183"/>
      <c r="E10682" s="184"/>
      <c r="L10682" s="129"/>
    </row>
    <row r="10683">
      <c r="A10683" s="181"/>
      <c r="B10683" s="182"/>
      <c r="C10683" s="183"/>
      <c r="E10683" s="184"/>
      <c r="L10683" s="129"/>
    </row>
    <row r="10684">
      <c r="A10684" s="181"/>
      <c r="B10684" s="182"/>
      <c r="C10684" s="183"/>
      <c r="E10684" s="184"/>
      <c r="L10684" s="129"/>
    </row>
    <row r="10685">
      <c r="A10685" s="181"/>
      <c r="B10685" s="182"/>
      <c r="C10685" s="183"/>
      <c r="E10685" s="184"/>
      <c r="L10685" s="129"/>
    </row>
    <row r="10686">
      <c r="A10686" s="181"/>
      <c r="B10686" s="182"/>
      <c r="C10686" s="183"/>
      <c r="E10686" s="184"/>
      <c r="L10686" s="129"/>
    </row>
    <row r="10687">
      <c r="A10687" s="181"/>
      <c r="B10687" s="182"/>
      <c r="C10687" s="183"/>
      <c r="E10687" s="184"/>
      <c r="L10687" s="129"/>
    </row>
    <row r="10688">
      <c r="A10688" s="181"/>
      <c r="B10688" s="182"/>
      <c r="C10688" s="183"/>
      <c r="E10688" s="184"/>
      <c r="L10688" s="129"/>
    </row>
    <row r="10689">
      <c r="A10689" s="181"/>
      <c r="B10689" s="182"/>
      <c r="C10689" s="183"/>
      <c r="E10689" s="184"/>
      <c r="L10689" s="129"/>
    </row>
    <row r="10690">
      <c r="A10690" s="181"/>
      <c r="B10690" s="182"/>
      <c r="C10690" s="183"/>
      <c r="E10690" s="184"/>
      <c r="L10690" s="129"/>
    </row>
    <row r="10691">
      <c r="A10691" s="181"/>
      <c r="B10691" s="182"/>
      <c r="C10691" s="183"/>
      <c r="E10691" s="184"/>
      <c r="L10691" s="129"/>
    </row>
    <row r="10692">
      <c r="A10692" s="181"/>
      <c r="B10692" s="182"/>
      <c r="C10692" s="183"/>
      <c r="E10692" s="184"/>
      <c r="L10692" s="129"/>
    </row>
    <row r="10693">
      <c r="A10693" s="181"/>
      <c r="B10693" s="182"/>
      <c r="C10693" s="183"/>
      <c r="E10693" s="184"/>
      <c r="L10693" s="129"/>
    </row>
    <row r="10694">
      <c r="A10694" s="181"/>
      <c r="B10694" s="182"/>
      <c r="C10694" s="183"/>
      <c r="E10694" s="184"/>
      <c r="L10694" s="129"/>
    </row>
    <row r="10695">
      <c r="A10695" s="181"/>
      <c r="B10695" s="182"/>
      <c r="C10695" s="183"/>
      <c r="E10695" s="184"/>
      <c r="L10695" s="129"/>
    </row>
    <row r="10696">
      <c r="A10696" s="181"/>
      <c r="B10696" s="182"/>
      <c r="C10696" s="183"/>
      <c r="E10696" s="184"/>
      <c r="L10696" s="129"/>
    </row>
    <row r="10697">
      <c r="A10697" s="181"/>
      <c r="B10697" s="182"/>
      <c r="C10697" s="183"/>
      <c r="E10697" s="184"/>
      <c r="L10697" s="129"/>
    </row>
    <row r="10698">
      <c r="A10698" s="181"/>
      <c r="B10698" s="182"/>
      <c r="C10698" s="183"/>
      <c r="E10698" s="184"/>
      <c r="L10698" s="129"/>
    </row>
    <row r="10699">
      <c r="A10699" s="181"/>
      <c r="B10699" s="182"/>
      <c r="C10699" s="183"/>
      <c r="E10699" s="184"/>
      <c r="L10699" s="129"/>
    </row>
    <row r="10700">
      <c r="A10700" s="181"/>
      <c r="B10700" s="182"/>
      <c r="C10700" s="183"/>
      <c r="E10700" s="184"/>
      <c r="L10700" s="129"/>
    </row>
    <row r="10701">
      <c r="A10701" s="181"/>
      <c r="B10701" s="182"/>
      <c r="C10701" s="183"/>
      <c r="E10701" s="184"/>
      <c r="L10701" s="129"/>
    </row>
    <row r="10702">
      <c r="A10702" s="181"/>
      <c r="B10702" s="182"/>
      <c r="C10702" s="183"/>
      <c r="E10702" s="184"/>
      <c r="L10702" s="129"/>
    </row>
    <row r="10703">
      <c r="A10703" s="181"/>
      <c r="B10703" s="182"/>
      <c r="C10703" s="183"/>
      <c r="E10703" s="184"/>
      <c r="L10703" s="129"/>
    </row>
    <row r="10704">
      <c r="A10704" s="181"/>
      <c r="B10704" s="182"/>
      <c r="C10704" s="183"/>
      <c r="E10704" s="184"/>
      <c r="L10704" s="129"/>
    </row>
    <row r="10705">
      <c r="A10705" s="181"/>
      <c r="B10705" s="182"/>
      <c r="C10705" s="183"/>
      <c r="E10705" s="184"/>
      <c r="L10705" s="129"/>
    </row>
    <row r="10706">
      <c r="A10706" s="181"/>
      <c r="B10706" s="182"/>
      <c r="C10706" s="183"/>
      <c r="E10706" s="184"/>
      <c r="L10706" s="129"/>
    </row>
    <row r="10707">
      <c r="A10707" s="181"/>
      <c r="B10707" s="182"/>
      <c r="C10707" s="183"/>
      <c r="E10707" s="184"/>
      <c r="L10707" s="129"/>
    </row>
    <row r="10708">
      <c r="A10708" s="181"/>
      <c r="B10708" s="182"/>
      <c r="C10708" s="183"/>
      <c r="E10708" s="184"/>
      <c r="L10708" s="129"/>
    </row>
    <row r="10709">
      <c r="A10709" s="181"/>
      <c r="B10709" s="182"/>
      <c r="C10709" s="183"/>
      <c r="E10709" s="184"/>
      <c r="L10709" s="129"/>
    </row>
    <row r="10710">
      <c r="A10710" s="181"/>
      <c r="B10710" s="182"/>
      <c r="C10710" s="183"/>
      <c r="E10710" s="184"/>
      <c r="L10710" s="129"/>
    </row>
    <row r="10711">
      <c r="A10711" s="181"/>
      <c r="B10711" s="182"/>
      <c r="C10711" s="183"/>
      <c r="E10711" s="184"/>
      <c r="L10711" s="129"/>
    </row>
    <row r="10712">
      <c r="A10712" s="181"/>
      <c r="B10712" s="182"/>
      <c r="C10712" s="183"/>
      <c r="E10712" s="184"/>
      <c r="L10712" s="129"/>
    </row>
    <row r="10713">
      <c r="A10713" s="181"/>
      <c r="B10713" s="182"/>
      <c r="C10713" s="183"/>
      <c r="E10713" s="184"/>
      <c r="L10713" s="129"/>
    </row>
    <row r="10714">
      <c r="A10714" s="181"/>
      <c r="B10714" s="182"/>
      <c r="C10714" s="183"/>
      <c r="E10714" s="184"/>
      <c r="L10714" s="129"/>
    </row>
    <row r="10715">
      <c r="A10715" s="181"/>
      <c r="B10715" s="182"/>
      <c r="C10715" s="183"/>
      <c r="E10715" s="184"/>
      <c r="L10715" s="129"/>
    </row>
    <row r="10716">
      <c r="A10716" s="181"/>
      <c r="B10716" s="182"/>
      <c r="C10716" s="183"/>
      <c r="E10716" s="184"/>
      <c r="L10716" s="129"/>
    </row>
    <row r="10717">
      <c r="A10717" s="181"/>
      <c r="B10717" s="182"/>
      <c r="C10717" s="183"/>
      <c r="E10717" s="184"/>
      <c r="L10717" s="129"/>
    </row>
    <row r="10718">
      <c r="A10718" s="181"/>
      <c r="B10718" s="182"/>
      <c r="C10718" s="183"/>
      <c r="E10718" s="184"/>
      <c r="L10718" s="129"/>
    </row>
    <row r="10719">
      <c r="A10719" s="181"/>
      <c r="B10719" s="182"/>
      <c r="C10719" s="183"/>
      <c r="E10719" s="184"/>
      <c r="L10719" s="129"/>
    </row>
    <row r="10720">
      <c r="A10720" s="181"/>
      <c r="B10720" s="182"/>
      <c r="C10720" s="183"/>
      <c r="E10720" s="184"/>
      <c r="L10720" s="129"/>
    </row>
    <row r="10721">
      <c r="A10721" s="181"/>
      <c r="B10721" s="182"/>
      <c r="C10721" s="183"/>
      <c r="E10721" s="184"/>
      <c r="L10721" s="129"/>
    </row>
    <row r="10722">
      <c r="A10722" s="181"/>
      <c r="B10722" s="182"/>
      <c r="C10722" s="183"/>
      <c r="E10722" s="184"/>
      <c r="L10722" s="129"/>
    </row>
    <row r="10723">
      <c r="A10723" s="181"/>
      <c r="B10723" s="182"/>
      <c r="C10723" s="183"/>
      <c r="E10723" s="184"/>
      <c r="L10723" s="129"/>
    </row>
    <row r="10724">
      <c r="A10724" s="181"/>
      <c r="B10724" s="182"/>
      <c r="C10724" s="183"/>
      <c r="E10724" s="184"/>
      <c r="L10724" s="129"/>
    </row>
    <row r="10725">
      <c r="A10725" s="181"/>
      <c r="B10725" s="182"/>
      <c r="C10725" s="183"/>
      <c r="E10725" s="184"/>
      <c r="L10725" s="129"/>
    </row>
    <row r="10726">
      <c r="A10726" s="181"/>
      <c r="B10726" s="182"/>
      <c r="C10726" s="183"/>
      <c r="E10726" s="184"/>
      <c r="L10726" s="129"/>
    </row>
    <row r="10727">
      <c r="A10727" s="181"/>
      <c r="B10727" s="182"/>
      <c r="C10727" s="183"/>
      <c r="E10727" s="184"/>
      <c r="L10727" s="129"/>
    </row>
    <row r="10728">
      <c r="A10728" s="181"/>
      <c r="B10728" s="182"/>
      <c r="C10728" s="183"/>
      <c r="E10728" s="184"/>
      <c r="L10728" s="129"/>
    </row>
    <row r="10729">
      <c r="A10729" s="181"/>
      <c r="B10729" s="182"/>
      <c r="C10729" s="183"/>
      <c r="E10729" s="184"/>
      <c r="L10729" s="129"/>
    </row>
    <row r="10730">
      <c r="A10730" s="181"/>
      <c r="B10730" s="182"/>
      <c r="C10730" s="183"/>
      <c r="E10730" s="184"/>
      <c r="L10730" s="129"/>
    </row>
    <row r="10731">
      <c r="A10731" s="181"/>
      <c r="B10731" s="182"/>
      <c r="C10731" s="183"/>
      <c r="E10731" s="184"/>
      <c r="L10731" s="129"/>
    </row>
    <row r="10732">
      <c r="A10732" s="181"/>
      <c r="B10732" s="182"/>
      <c r="C10732" s="183"/>
      <c r="E10732" s="184"/>
      <c r="L10732" s="129"/>
    </row>
    <row r="10733">
      <c r="A10733" s="181"/>
      <c r="B10733" s="182"/>
      <c r="C10733" s="183"/>
      <c r="E10733" s="184"/>
      <c r="L10733" s="129"/>
    </row>
    <row r="10734">
      <c r="A10734" s="181"/>
      <c r="B10734" s="182"/>
      <c r="C10734" s="183"/>
      <c r="E10734" s="184"/>
      <c r="L10734" s="129"/>
    </row>
    <row r="10735">
      <c r="A10735" s="181"/>
      <c r="B10735" s="182"/>
      <c r="C10735" s="183"/>
      <c r="E10735" s="184"/>
      <c r="L10735" s="129"/>
    </row>
    <row r="10736">
      <c r="A10736" s="181"/>
      <c r="B10736" s="182"/>
      <c r="C10736" s="183"/>
      <c r="E10736" s="184"/>
      <c r="L10736" s="129"/>
    </row>
    <row r="10737">
      <c r="A10737" s="181"/>
      <c r="B10737" s="182"/>
      <c r="C10737" s="183"/>
      <c r="E10737" s="184"/>
      <c r="L10737" s="129"/>
    </row>
    <row r="10738">
      <c r="A10738" s="181"/>
      <c r="B10738" s="182"/>
      <c r="C10738" s="183"/>
      <c r="E10738" s="184"/>
      <c r="L10738" s="129"/>
    </row>
    <row r="10739">
      <c r="A10739" s="181"/>
      <c r="B10739" s="182"/>
      <c r="C10739" s="183"/>
      <c r="E10739" s="184"/>
      <c r="L10739" s="129"/>
    </row>
    <row r="10740">
      <c r="A10740" s="181"/>
      <c r="B10740" s="182"/>
      <c r="C10740" s="183"/>
      <c r="E10740" s="184"/>
      <c r="L10740" s="129"/>
    </row>
    <row r="10741">
      <c r="A10741" s="181"/>
      <c r="B10741" s="182"/>
      <c r="C10741" s="183"/>
      <c r="E10741" s="184"/>
      <c r="L10741" s="129"/>
    </row>
    <row r="10742">
      <c r="A10742" s="181"/>
      <c r="B10742" s="182"/>
      <c r="C10742" s="183"/>
      <c r="E10742" s="184"/>
      <c r="L10742" s="129"/>
    </row>
    <row r="10743">
      <c r="A10743" s="181"/>
      <c r="B10743" s="182"/>
      <c r="C10743" s="183"/>
      <c r="E10743" s="184"/>
      <c r="L10743" s="129"/>
    </row>
    <row r="10744">
      <c r="A10744" s="181"/>
      <c r="B10744" s="182"/>
      <c r="C10744" s="183"/>
      <c r="E10744" s="184"/>
      <c r="L10744" s="129"/>
    </row>
    <row r="10745">
      <c r="A10745" s="181"/>
      <c r="B10745" s="182"/>
      <c r="C10745" s="183"/>
      <c r="E10745" s="184"/>
      <c r="L10745" s="129"/>
    </row>
    <row r="10746">
      <c r="A10746" s="181"/>
      <c r="B10746" s="182"/>
      <c r="C10746" s="183"/>
      <c r="E10746" s="184"/>
      <c r="L10746" s="129"/>
    </row>
    <row r="10747">
      <c r="A10747" s="181"/>
      <c r="B10747" s="182"/>
      <c r="C10747" s="183"/>
      <c r="E10747" s="184"/>
      <c r="L10747" s="129"/>
    </row>
    <row r="10748">
      <c r="A10748" s="181"/>
      <c r="B10748" s="182"/>
      <c r="C10748" s="183"/>
      <c r="E10748" s="184"/>
      <c r="L10748" s="129"/>
    </row>
    <row r="10749">
      <c r="A10749" s="181"/>
      <c r="B10749" s="182"/>
      <c r="C10749" s="183"/>
      <c r="E10749" s="184"/>
      <c r="L10749" s="129"/>
    </row>
    <row r="10750">
      <c r="A10750" s="181"/>
      <c r="B10750" s="182"/>
      <c r="C10750" s="183"/>
      <c r="E10750" s="184"/>
      <c r="L10750" s="129"/>
    </row>
    <row r="10751">
      <c r="A10751" s="181"/>
      <c r="B10751" s="182"/>
      <c r="C10751" s="183"/>
      <c r="E10751" s="184"/>
      <c r="L10751" s="129"/>
    </row>
    <row r="10752">
      <c r="A10752" s="181"/>
      <c r="B10752" s="182"/>
      <c r="C10752" s="183"/>
      <c r="E10752" s="184"/>
      <c r="L10752" s="129"/>
    </row>
    <row r="10753">
      <c r="A10753" s="181"/>
      <c r="B10753" s="182"/>
      <c r="C10753" s="183"/>
      <c r="E10753" s="184"/>
      <c r="L10753" s="129"/>
    </row>
    <row r="10754">
      <c r="A10754" s="181"/>
      <c r="B10754" s="182"/>
      <c r="C10754" s="183"/>
      <c r="E10754" s="184"/>
      <c r="L10754" s="129"/>
    </row>
    <row r="10755">
      <c r="A10755" s="181"/>
      <c r="B10755" s="182"/>
      <c r="C10755" s="183"/>
      <c r="E10755" s="184"/>
      <c r="L10755" s="129"/>
    </row>
    <row r="10756">
      <c r="A10756" s="181"/>
      <c r="B10756" s="182"/>
      <c r="C10756" s="183"/>
      <c r="E10756" s="184"/>
      <c r="L10756" s="129"/>
    </row>
    <row r="10757">
      <c r="A10757" s="181"/>
      <c r="B10757" s="182"/>
      <c r="C10757" s="183"/>
      <c r="E10757" s="184"/>
      <c r="L10757" s="129"/>
    </row>
    <row r="10758">
      <c r="A10758" s="181"/>
      <c r="B10758" s="182"/>
      <c r="C10758" s="183"/>
      <c r="E10758" s="184"/>
      <c r="L10758" s="129"/>
    </row>
    <row r="10759">
      <c r="A10759" s="181"/>
      <c r="B10759" s="182"/>
      <c r="C10759" s="183"/>
      <c r="E10759" s="184"/>
      <c r="L10759" s="129"/>
    </row>
    <row r="10760">
      <c r="A10760" s="181"/>
      <c r="B10760" s="182"/>
      <c r="C10760" s="183"/>
      <c r="E10760" s="184"/>
      <c r="L10760" s="129"/>
    </row>
    <row r="10761">
      <c r="A10761" s="181"/>
      <c r="B10761" s="182"/>
      <c r="C10761" s="183"/>
      <c r="E10761" s="184"/>
      <c r="L10761" s="129"/>
    </row>
    <row r="10762">
      <c r="A10762" s="181"/>
      <c r="B10762" s="182"/>
      <c r="C10762" s="183"/>
      <c r="E10762" s="184"/>
      <c r="L10762" s="129"/>
    </row>
    <row r="10763">
      <c r="A10763" s="181"/>
      <c r="B10763" s="182"/>
      <c r="C10763" s="183"/>
      <c r="E10763" s="184"/>
      <c r="L10763" s="129"/>
    </row>
    <row r="10764">
      <c r="A10764" s="181"/>
      <c r="B10764" s="182"/>
      <c r="C10764" s="183"/>
      <c r="E10764" s="184"/>
      <c r="L10764" s="129"/>
    </row>
    <row r="10765">
      <c r="A10765" s="181"/>
      <c r="B10765" s="182"/>
      <c r="C10765" s="183"/>
      <c r="E10765" s="184"/>
      <c r="L10765" s="129"/>
    </row>
    <row r="10766">
      <c r="A10766" s="181"/>
      <c r="B10766" s="182"/>
      <c r="C10766" s="183"/>
      <c r="E10766" s="184"/>
      <c r="L10766" s="129"/>
    </row>
    <row r="10767">
      <c r="A10767" s="181"/>
      <c r="B10767" s="182"/>
      <c r="C10767" s="183"/>
      <c r="E10767" s="184"/>
      <c r="L10767" s="129"/>
    </row>
    <row r="10768">
      <c r="A10768" s="181"/>
      <c r="B10768" s="182"/>
      <c r="C10768" s="183"/>
      <c r="E10768" s="184"/>
      <c r="L10768" s="129"/>
    </row>
    <row r="10769">
      <c r="A10769" s="181"/>
      <c r="B10769" s="182"/>
      <c r="C10769" s="183"/>
      <c r="E10769" s="184"/>
      <c r="L10769" s="129"/>
    </row>
    <row r="10770">
      <c r="A10770" s="181"/>
      <c r="B10770" s="182"/>
      <c r="C10770" s="183"/>
      <c r="E10770" s="184"/>
      <c r="L10770" s="129"/>
    </row>
    <row r="10771">
      <c r="A10771" s="181"/>
      <c r="B10771" s="182"/>
      <c r="C10771" s="183"/>
      <c r="E10771" s="184"/>
      <c r="L10771" s="129"/>
    </row>
    <row r="10772">
      <c r="A10772" s="181"/>
      <c r="B10772" s="182"/>
      <c r="C10772" s="183"/>
      <c r="E10772" s="184"/>
      <c r="L10772" s="129"/>
    </row>
    <row r="10773">
      <c r="A10773" s="181"/>
      <c r="B10773" s="182"/>
      <c r="C10773" s="183"/>
      <c r="E10773" s="184"/>
      <c r="L10773" s="129"/>
    </row>
    <row r="10774">
      <c r="A10774" s="181"/>
      <c r="B10774" s="182"/>
      <c r="C10774" s="183"/>
      <c r="E10774" s="184"/>
      <c r="L10774" s="129"/>
    </row>
    <row r="10775">
      <c r="A10775" s="181"/>
      <c r="B10775" s="182"/>
      <c r="C10775" s="183"/>
      <c r="E10775" s="184"/>
      <c r="L10775" s="129"/>
    </row>
    <row r="10776">
      <c r="A10776" s="181"/>
      <c r="B10776" s="182"/>
      <c r="C10776" s="183"/>
      <c r="E10776" s="184"/>
      <c r="L10776" s="129"/>
    </row>
    <row r="10777">
      <c r="A10777" s="181"/>
      <c r="B10777" s="182"/>
      <c r="C10777" s="183"/>
      <c r="E10777" s="184"/>
      <c r="L10777" s="129"/>
    </row>
    <row r="10778">
      <c r="A10778" s="181"/>
      <c r="B10778" s="182"/>
      <c r="C10778" s="183"/>
      <c r="E10778" s="184"/>
      <c r="L10778" s="129"/>
    </row>
    <row r="10779">
      <c r="A10779" s="181"/>
      <c r="B10779" s="182"/>
      <c r="C10779" s="183"/>
      <c r="E10779" s="184"/>
      <c r="L10779" s="129"/>
    </row>
    <row r="10780">
      <c r="A10780" s="181"/>
      <c r="B10780" s="182"/>
      <c r="C10780" s="183"/>
      <c r="E10780" s="184"/>
      <c r="L10780" s="129"/>
    </row>
    <row r="10781">
      <c r="A10781" s="181"/>
      <c r="B10781" s="182"/>
      <c r="C10781" s="183"/>
      <c r="E10781" s="184"/>
      <c r="L10781" s="129"/>
    </row>
    <row r="10782">
      <c r="A10782" s="181"/>
      <c r="B10782" s="182"/>
      <c r="C10782" s="183"/>
      <c r="E10782" s="184"/>
      <c r="L10782" s="129"/>
    </row>
    <row r="10783">
      <c r="A10783" s="181"/>
      <c r="B10783" s="182"/>
      <c r="C10783" s="183"/>
      <c r="E10783" s="184"/>
      <c r="L10783" s="129"/>
    </row>
    <row r="10784">
      <c r="A10784" s="181"/>
      <c r="B10784" s="182"/>
      <c r="C10784" s="183"/>
      <c r="E10784" s="184"/>
      <c r="L10784" s="129"/>
    </row>
    <row r="10785">
      <c r="A10785" s="181"/>
      <c r="B10785" s="182"/>
      <c r="C10785" s="183"/>
      <c r="E10785" s="184"/>
      <c r="L10785" s="129"/>
    </row>
    <row r="10786">
      <c r="A10786" s="181"/>
      <c r="B10786" s="182"/>
      <c r="C10786" s="183"/>
      <c r="E10786" s="184"/>
      <c r="L10786" s="129"/>
    </row>
    <row r="10787">
      <c r="A10787" s="181"/>
      <c r="B10787" s="182"/>
      <c r="C10787" s="183"/>
      <c r="E10787" s="184"/>
      <c r="L10787" s="129"/>
    </row>
    <row r="10788">
      <c r="A10788" s="181"/>
      <c r="B10788" s="182"/>
      <c r="C10788" s="183"/>
      <c r="E10788" s="184"/>
      <c r="L10788" s="129"/>
    </row>
    <row r="10789">
      <c r="A10789" s="181"/>
      <c r="B10789" s="182"/>
      <c r="C10789" s="183"/>
      <c r="E10789" s="184"/>
      <c r="L10789" s="129"/>
    </row>
    <row r="10790">
      <c r="A10790" s="181"/>
      <c r="B10790" s="182"/>
      <c r="C10790" s="183"/>
      <c r="E10790" s="184"/>
      <c r="L10790" s="129"/>
    </row>
    <row r="10791">
      <c r="A10791" s="181"/>
      <c r="B10791" s="182"/>
      <c r="C10791" s="183"/>
      <c r="E10791" s="184"/>
      <c r="L10791" s="129"/>
    </row>
    <row r="10792">
      <c r="A10792" s="181"/>
      <c r="B10792" s="182"/>
      <c r="C10792" s="183"/>
      <c r="E10792" s="184"/>
      <c r="L10792" s="129"/>
    </row>
    <row r="10793">
      <c r="A10793" s="181"/>
      <c r="B10793" s="182"/>
      <c r="C10793" s="183"/>
      <c r="E10793" s="184"/>
      <c r="L10793" s="129"/>
    </row>
    <row r="10794">
      <c r="A10794" s="181"/>
      <c r="B10794" s="182"/>
      <c r="C10794" s="183"/>
      <c r="E10794" s="184"/>
      <c r="L10794" s="129"/>
    </row>
    <row r="10795">
      <c r="A10795" s="181"/>
      <c r="B10795" s="182"/>
      <c r="C10795" s="183"/>
      <c r="E10795" s="184"/>
      <c r="L10795" s="129"/>
    </row>
    <row r="10796">
      <c r="A10796" s="181"/>
      <c r="B10796" s="182"/>
      <c r="C10796" s="183"/>
      <c r="E10796" s="184"/>
      <c r="L10796" s="129"/>
    </row>
    <row r="10797">
      <c r="A10797" s="181"/>
      <c r="B10797" s="182"/>
      <c r="C10797" s="183"/>
      <c r="E10797" s="184"/>
      <c r="L10797" s="129"/>
    </row>
    <row r="10798">
      <c r="A10798" s="181"/>
      <c r="B10798" s="182"/>
      <c r="C10798" s="183"/>
      <c r="E10798" s="184"/>
      <c r="L10798" s="129"/>
    </row>
    <row r="10799">
      <c r="A10799" s="181"/>
      <c r="B10799" s="182"/>
      <c r="C10799" s="183"/>
      <c r="E10799" s="184"/>
      <c r="L10799" s="129"/>
    </row>
    <row r="10800">
      <c r="A10800" s="181"/>
      <c r="B10800" s="182"/>
      <c r="C10800" s="183"/>
      <c r="E10800" s="184"/>
      <c r="L10800" s="129"/>
    </row>
    <row r="10801">
      <c r="A10801" s="181"/>
      <c r="B10801" s="182"/>
      <c r="C10801" s="183"/>
      <c r="E10801" s="184"/>
      <c r="L10801" s="129"/>
    </row>
    <row r="10802">
      <c r="A10802" s="181"/>
      <c r="B10802" s="182"/>
      <c r="C10802" s="183"/>
      <c r="E10802" s="184"/>
      <c r="L10802" s="129"/>
    </row>
    <row r="10803">
      <c r="A10803" s="181"/>
      <c r="B10803" s="182"/>
      <c r="C10803" s="183"/>
      <c r="E10803" s="184"/>
      <c r="L10803" s="129"/>
    </row>
    <row r="10804">
      <c r="A10804" s="181"/>
      <c r="B10804" s="182"/>
      <c r="C10804" s="183"/>
      <c r="E10804" s="184"/>
      <c r="L10804" s="129"/>
    </row>
    <row r="10805">
      <c r="A10805" s="181"/>
      <c r="B10805" s="182"/>
      <c r="C10805" s="183"/>
      <c r="E10805" s="184"/>
      <c r="L10805" s="129"/>
    </row>
    <row r="10806">
      <c r="A10806" s="181"/>
      <c r="B10806" s="182"/>
      <c r="C10806" s="183"/>
      <c r="E10806" s="184"/>
      <c r="L10806" s="129"/>
    </row>
    <row r="10807">
      <c r="A10807" s="181"/>
      <c r="B10807" s="182"/>
      <c r="C10807" s="183"/>
      <c r="E10807" s="184"/>
      <c r="L10807" s="129"/>
    </row>
    <row r="10808">
      <c r="A10808" s="181"/>
      <c r="B10808" s="182"/>
      <c r="C10808" s="183"/>
      <c r="E10808" s="184"/>
      <c r="L10808" s="129"/>
    </row>
    <row r="10809">
      <c r="A10809" s="181"/>
      <c r="B10809" s="182"/>
      <c r="C10809" s="183"/>
      <c r="E10809" s="184"/>
      <c r="L10809" s="129"/>
    </row>
    <row r="10810">
      <c r="A10810" s="181"/>
      <c r="B10810" s="182"/>
      <c r="C10810" s="183"/>
      <c r="E10810" s="184"/>
      <c r="L10810" s="129"/>
    </row>
    <row r="10811">
      <c r="A10811" s="181"/>
      <c r="B10811" s="182"/>
      <c r="C10811" s="183"/>
      <c r="E10811" s="184"/>
      <c r="L10811" s="129"/>
    </row>
    <row r="10812">
      <c r="A10812" s="181"/>
      <c r="B10812" s="182"/>
      <c r="C10812" s="183"/>
      <c r="E10812" s="184"/>
      <c r="L10812" s="129"/>
    </row>
    <row r="10813">
      <c r="A10813" s="181"/>
      <c r="B10813" s="182"/>
      <c r="C10813" s="183"/>
      <c r="E10813" s="184"/>
      <c r="L10813" s="129"/>
    </row>
    <row r="10814">
      <c r="A10814" s="181"/>
      <c r="B10814" s="182"/>
      <c r="C10814" s="183"/>
      <c r="E10814" s="184"/>
      <c r="L10814" s="129"/>
    </row>
    <row r="10815">
      <c r="A10815" s="181"/>
      <c r="B10815" s="182"/>
      <c r="C10815" s="183"/>
      <c r="E10815" s="184"/>
      <c r="L10815" s="129"/>
    </row>
    <row r="10816">
      <c r="A10816" s="181"/>
      <c r="B10816" s="182"/>
      <c r="C10816" s="183"/>
      <c r="E10816" s="184"/>
      <c r="L10816" s="129"/>
    </row>
    <row r="10817">
      <c r="A10817" s="181"/>
      <c r="B10817" s="182"/>
      <c r="C10817" s="183"/>
      <c r="E10817" s="184"/>
      <c r="L10817" s="129"/>
    </row>
    <row r="10818">
      <c r="A10818" s="181"/>
      <c r="B10818" s="182"/>
      <c r="C10818" s="183"/>
      <c r="E10818" s="184"/>
      <c r="L10818" s="129"/>
    </row>
    <row r="10819">
      <c r="A10819" s="181"/>
      <c r="B10819" s="182"/>
      <c r="C10819" s="183"/>
      <c r="E10819" s="184"/>
      <c r="L10819" s="129"/>
    </row>
    <row r="10820">
      <c r="A10820" s="181"/>
      <c r="B10820" s="182"/>
      <c r="C10820" s="183"/>
      <c r="E10820" s="184"/>
      <c r="L10820" s="129"/>
    </row>
    <row r="10821">
      <c r="A10821" s="181"/>
      <c r="B10821" s="182"/>
      <c r="C10821" s="183"/>
      <c r="E10821" s="184"/>
      <c r="L10821" s="129"/>
    </row>
    <row r="10822">
      <c r="A10822" s="181"/>
      <c r="B10822" s="182"/>
      <c r="C10822" s="183"/>
      <c r="E10822" s="184"/>
      <c r="L10822" s="129"/>
    </row>
    <row r="10823">
      <c r="A10823" s="181"/>
      <c r="B10823" s="182"/>
      <c r="C10823" s="183"/>
      <c r="E10823" s="184"/>
      <c r="L10823" s="129"/>
    </row>
    <row r="10824">
      <c r="A10824" s="181"/>
      <c r="B10824" s="182"/>
      <c r="C10824" s="183"/>
      <c r="E10824" s="184"/>
      <c r="L10824" s="129"/>
    </row>
    <row r="10825">
      <c r="A10825" s="181"/>
      <c r="B10825" s="182"/>
      <c r="C10825" s="183"/>
      <c r="E10825" s="184"/>
      <c r="L10825" s="129"/>
    </row>
    <row r="10826">
      <c r="A10826" s="181"/>
      <c r="B10826" s="182"/>
      <c r="C10826" s="183"/>
      <c r="E10826" s="184"/>
      <c r="L10826" s="129"/>
    </row>
    <row r="10827">
      <c r="A10827" s="181"/>
      <c r="B10827" s="182"/>
      <c r="C10827" s="183"/>
      <c r="E10827" s="184"/>
      <c r="L10827" s="129"/>
    </row>
    <row r="10828">
      <c r="A10828" s="181"/>
      <c r="B10828" s="182"/>
      <c r="C10828" s="183"/>
      <c r="E10828" s="184"/>
      <c r="L10828" s="129"/>
    </row>
    <row r="10829">
      <c r="A10829" s="181"/>
      <c r="B10829" s="182"/>
      <c r="C10829" s="183"/>
      <c r="E10829" s="184"/>
      <c r="L10829" s="129"/>
    </row>
    <row r="10830">
      <c r="A10830" s="181"/>
      <c r="B10830" s="182"/>
      <c r="C10830" s="183"/>
      <c r="E10830" s="184"/>
      <c r="L10830" s="129"/>
    </row>
    <row r="10831">
      <c r="A10831" s="181"/>
      <c r="B10831" s="182"/>
      <c r="C10831" s="183"/>
      <c r="E10831" s="184"/>
      <c r="L10831" s="129"/>
    </row>
    <row r="10832">
      <c r="A10832" s="181"/>
      <c r="B10832" s="182"/>
      <c r="C10832" s="183"/>
      <c r="E10832" s="184"/>
      <c r="L10832" s="129"/>
    </row>
    <row r="10833">
      <c r="A10833" s="181"/>
      <c r="B10833" s="182"/>
      <c r="C10833" s="183"/>
      <c r="E10833" s="184"/>
      <c r="L10833" s="129"/>
    </row>
    <row r="10834">
      <c r="A10834" s="181"/>
      <c r="B10834" s="182"/>
      <c r="C10834" s="183"/>
      <c r="E10834" s="184"/>
      <c r="L10834" s="129"/>
    </row>
    <row r="10835">
      <c r="A10835" s="181"/>
      <c r="B10835" s="182"/>
      <c r="C10835" s="183"/>
      <c r="E10835" s="184"/>
      <c r="L10835" s="129"/>
    </row>
    <row r="10836">
      <c r="A10836" s="181"/>
      <c r="B10836" s="182"/>
      <c r="C10836" s="183"/>
      <c r="E10836" s="184"/>
      <c r="L10836" s="129"/>
    </row>
    <row r="10837">
      <c r="A10837" s="181"/>
      <c r="B10837" s="182"/>
      <c r="C10837" s="183"/>
      <c r="E10837" s="184"/>
      <c r="L10837" s="129"/>
    </row>
    <row r="10838">
      <c r="A10838" s="181"/>
      <c r="B10838" s="182"/>
      <c r="C10838" s="183"/>
      <c r="E10838" s="184"/>
      <c r="L10838" s="129"/>
    </row>
    <row r="10839">
      <c r="A10839" s="181"/>
      <c r="B10839" s="182"/>
      <c r="C10839" s="183"/>
      <c r="E10839" s="184"/>
      <c r="L10839" s="129"/>
    </row>
    <row r="10840">
      <c r="A10840" s="181"/>
      <c r="B10840" s="182"/>
      <c r="C10840" s="183"/>
      <c r="E10840" s="184"/>
      <c r="L10840" s="129"/>
    </row>
    <row r="10841">
      <c r="A10841" s="181"/>
      <c r="B10841" s="182"/>
      <c r="C10841" s="183"/>
      <c r="E10841" s="184"/>
      <c r="L10841" s="129"/>
    </row>
    <row r="10842">
      <c r="A10842" s="181"/>
      <c r="B10842" s="182"/>
      <c r="C10842" s="183"/>
      <c r="E10842" s="184"/>
      <c r="L10842" s="129"/>
    </row>
    <row r="10843">
      <c r="A10843" s="181"/>
      <c r="B10843" s="182"/>
      <c r="C10843" s="183"/>
      <c r="E10843" s="184"/>
      <c r="L10843" s="129"/>
    </row>
    <row r="10844">
      <c r="A10844" s="181"/>
      <c r="B10844" s="182"/>
      <c r="C10844" s="183"/>
      <c r="E10844" s="184"/>
      <c r="L10844" s="129"/>
    </row>
    <row r="10845">
      <c r="A10845" s="181"/>
      <c r="B10845" s="182"/>
      <c r="C10845" s="183"/>
      <c r="E10845" s="184"/>
      <c r="L10845" s="129"/>
    </row>
    <row r="10846">
      <c r="A10846" s="181"/>
      <c r="B10846" s="182"/>
      <c r="C10846" s="183"/>
      <c r="E10846" s="184"/>
      <c r="L10846" s="129"/>
    </row>
    <row r="10847">
      <c r="A10847" s="181"/>
      <c r="B10847" s="182"/>
      <c r="C10847" s="183"/>
      <c r="E10847" s="184"/>
      <c r="L10847" s="129"/>
    </row>
    <row r="10848">
      <c r="A10848" s="181"/>
      <c r="B10848" s="182"/>
      <c r="C10848" s="183"/>
      <c r="E10848" s="184"/>
      <c r="L10848" s="129"/>
    </row>
    <row r="10849">
      <c r="A10849" s="181"/>
      <c r="B10849" s="182"/>
      <c r="C10849" s="183"/>
      <c r="E10849" s="184"/>
      <c r="L10849" s="129"/>
    </row>
    <row r="10850">
      <c r="A10850" s="181"/>
      <c r="B10850" s="182"/>
      <c r="C10850" s="183"/>
      <c r="E10850" s="184"/>
      <c r="L10850" s="129"/>
    </row>
    <row r="10851">
      <c r="A10851" s="181"/>
      <c r="B10851" s="182"/>
      <c r="C10851" s="183"/>
      <c r="E10851" s="184"/>
      <c r="L10851" s="129"/>
    </row>
    <row r="10852">
      <c r="A10852" s="181"/>
      <c r="B10852" s="182"/>
      <c r="C10852" s="183"/>
      <c r="E10852" s="184"/>
      <c r="L10852" s="129"/>
    </row>
    <row r="10853">
      <c r="A10853" s="181"/>
      <c r="B10853" s="182"/>
      <c r="C10853" s="183"/>
      <c r="E10853" s="184"/>
      <c r="L10853" s="129"/>
    </row>
    <row r="10854">
      <c r="A10854" s="181"/>
      <c r="B10854" s="182"/>
      <c r="C10854" s="183"/>
      <c r="E10854" s="184"/>
      <c r="L10854" s="129"/>
    </row>
    <row r="10855">
      <c r="A10855" s="181"/>
      <c r="B10855" s="182"/>
      <c r="C10855" s="183"/>
      <c r="E10855" s="184"/>
      <c r="L10855" s="129"/>
    </row>
    <row r="10856">
      <c r="A10856" s="181"/>
      <c r="B10856" s="182"/>
      <c r="C10856" s="183"/>
      <c r="E10856" s="184"/>
      <c r="L10856" s="129"/>
    </row>
    <row r="10857">
      <c r="A10857" s="181"/>
      <c r="B10857" s="182"/>
      <c r="C10857" s="183"/>
      <c r="E10857" s="184"/>
      <c r="L10857" s="129"/>
    </row>
    <row r="10858">
      <c r="A10858" s="181"/>
      <c r="B10858" s="182"/>
      <c r="C10858" s="183"/>
      <c r="E10858" s="184"/>
      <c r="L10858" s="129"/>
    </row>
    <row r="10859">
      <c r="A10859" s="181"/>
      <c r="B10859" s="182"/>
      <c r="C10859" s="183"/>
      <c r="E10859" s="184"/>
      <c r="L10859" s="129"/>
    </row>
    <row r="10860">
      <c r="A10860" s="181"/>
      <c r="B10860" s="182"/>
      <c r="C10860" s="183"/>
      <c r="E10860" s="184"/>
      <c r="L10860" s="129"/>
    </row>
    <row r="10861">
      <c r="A10861" s="181"/>
      <c r="B10861" s="182"/>
      <c r="C10861" s="183"/>
      <c r="E10861" s="184"/>
      <c r="L10861" s="129"/>
    </row>
    <row r="10862">
      <c r="A10862" s="181"/>
      <c r="B10862" s="182"/>
      <c r="C10862" s="183"/>
      <c r="E10862" s="184"/>
      <c r="L10862" s="129"/>
    </row>
    <row r="10863">
      <c r="A10863" s="181"/>
      <c r="B10863" s="182"/>
      <c r="C10863" s="183"/>
      <c r="E10863" s="184"/>
      <c r="L10863" s="129"/>
    </row>
    <row r="10864">
      <c r="A10864" s="181"/>
      <c r="B10864" s="182"/>
      <c r="C10864" s="183"/>
      <c r="E10864" s="184"/>
      <c r="L10864" s="129"/>
    </row>
    <row r="10865">
      <c r="A10865" s="181"/>
      <c r="B10865" s="182"/>
      <c r="C10865" s="183"/>
      <c r="E10865" s="184"/>
      <c r="L10865" s="129"/>
    </row>
    <row r="10866">
      <c r="A10866" s="181"/>
      <c r="B10866" s="182"/>
      <c r="C10866" s="183"/>
      <c r="E10866" s="184"/>
      <c r="L10866" s="129"/>
    </row>
    <row r="10867">
      <c r="A10867" s="181"/>
      <c r="B10867" s="182"/>
      <c r="C10867" s="183"/>
      <c r="E10867" s="184"/>
      <c r="L10867" s="129"/>
    </row>
    <row r="10868">
      <c r="A10868" s="181"/>
      <c r="B10868" s="182"/>
      <c r="C10868" s="183"/>
      <c r="E10868" s="184"/>
      <c r="L10868" s="129"/>
    </row>
    <row r="10869">
      <c r="A10869" s="181"/>
      <c r="B10869" s="182"/>
      <c r="C10869" s="183"/>
      <c r="E10869" s="184"/>
      <c r="L10869" s="129"/>
    </row>
    <row r="10870">
      <c r="A10870" s="181"/>
      <c r="B10870" s="182"/>
      <c r="C10870" s="183"/>
      <c r="E10870" s="184"/>
      <c r="L10870" s="129"/>
    </row>
    <row r="10871">
      <c r="A10871" s="181"/>
      <c r="B10871" s="182"/>
      <c r="C10871" s="183"/>
      <c r="E10871" s="184"/>
      <c r="L10871" s="129"/>
    </row>
    <row r="10872">
      <c r="A10872" s="181"/>
      <c r="B10872" s="182"/>
      <c r="C10872" s="183"/>
      <c r="E10872" s="184"/>
      <c r="L10872" s="129"/>
    </row>
    <row r="10873">
      <c r="A10873" s="181"/>
      <c r="B10873" s="182"/>
      <c r="C10873" s="183"/>
      <c r="E10873" s="184"/>
      <c r="L10873" s="129"/>
    </row>
    <row r="10874">
      <c r="A10874" s="181"/>
      <c r="B10874" s="182"/>
      <c r="C10874" s="183"/>
      <c r="E10874" s="184"/>
      <c r="L10874" s="129"/>
    </row>
    <row r="10875">
      <c r="A10875" s="181"/>
      <c r="B10875" s="182"/>
      <c r="C10875" s="183"/>
      <c r="E10875" s="184"/>
      <c r="L10875" s="129"/>
    </row>
    <row r="10876">
      <c r="A10876" s="181"/>
      <c r="B10876" s="182"/>
      <c r="C10876" s="183"/>
      <c r="E10876" s="184"/>
      <c r="L10876" s="129"/>
    </row>
    <row r="10877">
      <c r="A10877" s="181"/>
      <c r="B10877" s="182"/>
      <c r="C10877" s="183"/>
      <c r="E10877" s="184"/>
      <c r="L10877" s="129"/>
    </row>
    <row r="10878">
      <c r="A10878" s="181"/>
      <c r="B10878" s="182"/>
      <c r="C10878" s="183"/>
      <c r="E10878" s="184"/>
      <c r="L10878" s="129"/>
    </row>
    <row r="10879">
      <c r="A10879" s="181"/>
      <c r="B10879" s="182"/>
      <c r="C10879" s="183"/>
      <c r="E10879" s="184"/>
      <c r="L10879" s="129"/>
    </row>
    <row r="10880">
      <c r="A10880" s="181"/>
      <c r="B10880" s="182"/>
      <c r="C10880" s="183"/>
      <c r="E10880" s="184"/>
      <c r="L10880" s="129"/>
    </row>
    <row r="10881">
      <c r="A10881" s="181"/>
      <c r="B10881" s="182"/>
      <c r="C10881" s="183"/>
      <c r="E10881" s="184"/>
      <c r="L10881" s="129"/>
    </row>
    <row r="10882">
      <c r="A10882" s="181"/>
      <c r="B10882" s="182"/>
      <c r="C10882" s="183"/>
      <c r="E10882" s="184"/>
      <c r="L10882" s="129"/>
    </row>
    <row r="10883">
      <c r="A10883" s="181"/>
      <c r="B10883" s="182"/>
      <c r="C10883" s="183"/>
      <c r="E10883" s="184"/>
      <c r="L10883" s="129"/>
    </row>
    <row r="10884">
      <c r="A10884" s="181"/>
      <c r="B10884" s="182"/>
      <c r="C10884" s="183"/>
      <c r="E10884" s="184"/>
      <c r="L10884" s="129"/>
    </row>
    <row r="10885">
      <c r="A10885" s="181"/>
      <c r="B10885" s="182"/>
      <c r="C10885" s="183"/>
      <c r="E10885" s="184"/>
      <c r="L10885" s="129"/>
    </row>
    <row r="10886">
      <c r="A10886" s="181"/>
      <c r="B10886" s="182"/>
      <c r="C10886" s="183"/>
      <c r="E10886" s="184"/>
      <c r="L10886" s="129"/>
    </row>
    <row r="10887">
      <c r="A10887" s="181"/>
      <c r="B10887" s="182"/>
      <c r="C10887" s="183"/>
      <c r="E10887" s="184"/>
      <c r="L10887" s="129"/>
    </row>
    <row r="10888">
      <c r="A10888" s="181"/>
      <c r="B10888" s="182"/>
      <c r="C10888" s="183"/>
      <c r="E10888" s="184"/>
      <c r="L10888" s="129"/>
    </row>
    <row r="10889">
      <c r="A10889" s="181"/>
      <c r="B10889" s="182"/>
      <c r="C10889" s="183"/>
      <c r="E10889" s="184"/>
      <c r="L10889" s="129"/>
    </row>
    <row r="10890">
      <c r="A10890" s="181"/>
      <c r="B10890" s="182"/>
      <c r="C10890" s="183"/>
      <c r="E10890" s="184"/>
      <c r="L10890" s="129"/>
    </row>
    <row r="10891">
      <c r="A10891" s="181"/>
      <c r="B10891" s="182"/>
      <c r="C10891" s="183"/>
      <c r="E10891" s="184"/>
      <c r="L10891" s="129"/>
    </row>
    <row r="10892">
      <c r="A10892" s="181"/>
      <c r="B10892" s="182"/>
      <c r="C10892" s="183"/>
      <c r="E10892" s="184"/>
      <c r="L10892" s="129"/>
    </row>
    <row r="10893">
      <c r="A10893" s="181"/>
      <c r="B10893" s="182"/>
      <c r="C10893" s="183"/>
      <c r="E10893" s="184"/>
      <c r="L10893" s="129"/>
    </row>
    <row r="10894">
      <c r="A10894" s="181"/>
      <c r="B10894" s="182"/>
      <c r="C10894" s="183"/>
      <c r="E10894" s="184"/>
      <c r="L10894" s="129"/>
    </row>
    <row r="10895">
      <c r="A10895" s="181"/>
      <c r="B10895" s="182"/>
      <c r="C10895" s="183"/>
      <c r="E10895" s="184"/>
      <c r="L10895" s="129"/>
    </row>
    <row r="10896">
      <c r="A10896" s="181"/>
      <c r="B10896" s="182"/>
      <c r="C10896" s="183"/>
      <c r="E10896" s="184"/>
      <c r="L10896" s="129"/>
    </row>
    <row r="10897">
      <c r="A10897" s="181"/>
      <c r="B10897" s="182"/>
      <c r="C10897" s="183"/>
      <c r="E10897" s="184"/>
      <c r="L10897" s="129"/>
    </row>
    <row r="10898">
      <c r="A10898" s="181"/>
      <c r="B10898" s="182"/>
      <c r="C10898" s="183"/>
      <c r="E10898" s="184"/>
      <c r="L10898" s="129"/>
    </row>
    <row r="10899">
      <c r="A10899" s="181"/>
      <c r="B10899" s="182"/>
      <c r="C10899" s="183"/>
      <c r="E10899" s="184"/>
      <c r="L10899" s="129"/>
    </row>
    <row r="10900">
      <c r="A10900" s="181"/>
      <c r="B10900" s="182"/>
      <c r="C10900" s="183"/>
      <c r="E10900" s="184"/>
      <c r="L10900" s="129"/>
    </row>
    <row r="10901">
      <c r="A10901" s="181"/>
      <c r="B10901" s="182"/>
      <c r="C10901" s="183"/>
      <c r="E10901" s="184"/>
      <c r="L10901" s="129"/>
    </row>
    <row r="10902">
      <c r="A10902" s="181"/>
      <c r="B10902" s="182"/>
      <c r="C10902" s="183"/>
      <c r="E10902" s="184"/>
      <c r="L10902" s="129"/>
    </row>
    <row r="10903">
      <c r="A10903" s="181"/>
      <c r="B10903" s="182"/>
      <c r="C10903" s="183"/>
      <c r="E10903" s="184"/>
      <c r="L10903" s="129"/>
    </row>
    <row r="10904">
      <c r="A10904" s="181"/>
      <c r="B10904" s="182"/>
      <c r="C10904" s="183"/>
      <c r="E10904" s="184"/>
      <c r="L10904" s="129"/>
    </row>
    <row r="10905">
      <c r="A10905" s="181"/>
      <c r="B10905" s="182"/>
      <c r="C10905" s="183"/>
      <c r="E10905" s="184"/>
      <c r="L10905" s="129"/>
    </row>
    <row r="10906">
      <c r="A10906" s="181"/>
      <c r="B10906" s="182"/>
      <c r="C10906" s="183"/>
      <c r="E10906" s="184"/>
      <c r="L10906" s="129"/>
    </row>
    <row r="10907">
      <c r="A10907" s="181"/>
      <c r="B10907" s="182"/>
      <c r="C10907" s="183"/>
      <c r="E10907" s="184"/>
      <c r="L10907" s="129"/>
    </row>
    <row r="10908">
      <c r="A10908" s="181"/>
      <c r="B10908" s="182"/>
      <c r="C10908" s="183"/>
      <c r="E10908" s="184"/>
      <c r="L10908" s="129"/>
    </row>
    <row r="10909">
      <c r="A10909" s="181"/>
      <c r="B10909" s="182"/>
      <c r="C10909" s="183"/>
      <c r="E10909" s="184"/>
      <c r="L10909" s="129"/>
    </row>
    <row r="10910">
      <c r="A10910" s="181"/>
      <c r="B10910" s="182"/>
      <c r="C10910" s="183"/>
      <c r="E10910" s="184"/>
      <c r="L10910" s="129"/>
    </row>
    <row r="10911">
      <c r="A10911" s="181"/>
      <c r="B10911" s="182"/>
      <c r="C10911" s="183"/>
      <c r="E10911" s="184"/>
      <c r="L10911" s="129"/>
    </row>
    <row r="10912">
      <c r="A10912" s="181"/>
      <c r="B10912" s="182"/>
      <c r="C10912" s="183"/>
      <c r="E10912" s="184"/>
      <c r="L10912" s="129"/>
    </row>
    <row r="10913">
      <c r="A10913" s="181"/>
      <c r="B10913" s="182"/>
      <c r="C10913" s="183"/>
      <c r="E10913" s="184"/>
      <c r="L10913" s="129"/>
    </row>
    <row r="10914">
      <c r="A10914" s="181"/>
      <c r="B10914" s="182"/>
      <c r="C10914" s="183"/>
      <c r="E10914" s="184"/>
      <c r="L10914" s="129"/>
    </row>
    <row r="10915">
      <c r="A10915" s="181"/>
      <c r="B10915" s="182"/>
      <c r="C10915" s="183"/>
      <c r="E10915" s="184"/>
      <c r="L10915" s="129"/>
    </row>
    <row r="10916">
      <c r="A10916" s="181"/>
      <c r="B10916" s="182"/>
      <c r="C10916" s="183"/>
      <c r="E10916" s="184"/>
      <c r="L10916" s="129"/>
    </row>
    <row r="10917">
      <c r="A10917" s="181"/>
      <c r="B10917" s="182"/>
      <c r="C10917" s="183"/>
      <c r="E10917" s="184"/>
      <c r="L10917" s="129"/>
    </row>
    <row r="10918">
      <c r="A10918" s="181"/>
      <c r="B10918" s="182"/>
      <c r="C10918" s="183"/>
      <c r="E10918" s="184"/>
      <c r="L10918" s="129"/>
    </row>
    <row r="10919">
      <c r="A10919" s="181"/>
      <c r="B10919" s="182"/>
      <c r="C10919" s="183"/>
      <c r="E10919" s="184"/>
      <c r="L10919" s="129"/>
    </row>
    <row r="10920">
      <c r="A10920" s="181"/>
      <c r="B10920" s="182"/>
      <c r="C10920" s="183"/>
      <c r="E10920" s="184"/>
      <c r="L10920" s="129"/>
    </row>
    <row r="10921">
      <c r="A10921" s="181"/>
      <c r="B10921" s="182"/>
      <c r="C10921" s="183"/>
      <c r="E10921" s="184"/>
      <c r="L10921" s="129"/>
    </row>
    <row r="10922">
      <c r="A10922" s="181"/>
      <c r="B10922" s="182"/>
      <c r="C10922" s="183"/>
      <c r="E10922" s="184"/>
      <c r="L10922" s="129"/>
    </row>
    <row r="10923">
      <c r="A10923" s="181"/>
      <c r="B10923" s="182"/>
      <c r="C10923" s="183"/>
      <c r="E10923" s="184"/>
      <c r="L10923" s="129"/>
    </row>
    <row r="10924">
      <c r="A10924" s="181"/>
      <c r="B10924" s="182"/>
      <c r="C10924" s="183"/>
      <c r="E10924" s="184"/>
      <c r="L10924" s="129"/>
    </row>
    <row r="10925">
      <c r="A10925" s="181"/>
      <c r="B10925" s="182"/>
      <c r="C10925" s="183"/>
      <c r="E10925" s="184"/>
      <c r="L10925" s="129"/>
    </row>
    <row r="10926">
      <c r="A10926" s="181"/>
      <c r="B10926" s="182"/>
      <c r="C10926" s="183"/>
      <c r="E10926" s="184"/>
      <c r="L10926" s="129"/>
    </row>
    <row r="10927">
      <c r="A10927" s="181"/>
      <c r="B10927" s="182"/>
      <c r="C10927" s="183"/>
      <c r="E10927" s="184"/>
      <c r="L10927" s="129"/>
    </row>
    <row r="10928">
      <c r="A10928" s="181"/>
      <c r="B10928" s="182"/>
      <c r="C10928" s="183"/>
      <c r="E10928" s="184"/>
      <c r="L10928" s="129"/>
    </row>
    <row r="10929">
      <c r="A10929" s="181"/>
      <c r="B10929" s="182"/>
      <c r="C10929" s="183"/>
      <c r="E10929" s="184"/>
      <c r="L10929" s="129"/>
    </row>
    <row r="10930">
      <c r="A10930" s="181"/>
      <c r="B10930" s="182"/>
      <c r="C10930" s="183"/>
      <c r="E10930" s="184"/>
      <c r="L10930" s="129"/>
    </row>
    <row r="10931">
      <c r="A10931" s="181"/>
      <c r="B10931" s="182"/>
      <c r="C10931" s="183"/>
      <c r="E10931" s="184"/>
      <c r="L10931" s="129"/>
    </row>
    <row r="10932">
      <c r="A10932" s="181"/>
      <c r="B10932" s="182"/>
      <c r="C10932" s="183"/>
      <c r="E10932" s="184"/>
      <c r="L10932" s="129"/>
    </row>
    <row r="10933">
      <c r="A10933" s="181"/>
      <c r="B10933" s="182"/>
      <c r="C10933" s="183"/>
      <c r="E10933" s="184"/>
      <c r="L10933" s="129"/>
    </row>
    <row r="10934">
      <c r="A10934" s="181"/>
      <c r="B10934" s="182"/>
      <c r="C10934" s="183"/>
      <c r="E10934" s="184"/>
      <c r="L10934" s="129"/>
    </row>
    <row r="10935">
      <c r="A10935" s="181"/>
      <c r="B10935" s="182"/>
      <c r="C10935" s="183"/>
      <c r="E10935" s="184"/>
      <c r="L10935" s="129"/>
    </row>
    <row r="10936">
      <c r="A10936" s="181"/>
      <c r="B10936" s="182"/>
      <c r="C10936" s="183"/>
      <c r="E10936" s="184"/>
      <c r="L10936" s="129"/>
    </row>
    <row r="10937">
      <c r="A10937" s="181"/>
      <c r="B10937" s="182"/>
      <c r="C10937" s="183"/>
      <c r="E10937" s="184"/>
      <c r="L10937" s="129"/>
    </row>
    <row r="10938">
      <c r="A10938" s="181"/>
      <c r="B10938" s="182"/>
      <c r="C10938" s="183"/>
      <c r="E10938" s="184"/>
      <c r="L10938" s="129"/>
    </row>
    <row r="10939">
      <c r="A10939" s="181"/>
      <c r="B10939" s="182"/>
      <c r="C10939" s="183"/>
      <c r="E10939" s="184"/>
      <c r="L10939" s="129"/>
    </row>
    <row r="10940">
      <c r="A10940" s="181"/>
      <c r="B10940" s="182"/>
      <c r="C10940" s="183"/>
      <c r="E10940" s="184"/>
      <c r="L10940" s="129"/>
    </row>
    <row r="10941">
      <c r="A10941" s="181"/>
      <c r="B10941" s="182"/>
      <c r="C10941" s="183"/>
      <c r="E10941" s="184"/>
      <c r="L10941" s="129"/>
    </row>
    <row r="10942">
      <c r="A10942" s="181"/>
      <c r="B10942" s="182"/>
      <c r="C10942" s="183"/>
      <c r="E10942" s="184"/>
      <c r="L10942" s="129"/>
    </row>
    <row r="10943">
      <c r="A10943" s="181"/>
      <c r="B10943" s="182"/>
      <c r="C10943" s="183"/>
      <c r="E10943" s="184"/>
      <c r="L10943" s="129"/>
    </row>
    <row r="10944">
      <c r="A10944" s="181"/>
      <c r="B10944" s="182"/>
      <c r="C10944" s="183"/>
      <c r="E10944" s="184"/>
      <c r="L10944" s="129"/>
    </row>
    <row r="10945">
      <c r="A10945" s="181"/>
      <c r="B10945" s="182"/>
      <c r="C10945" s="183"/>
      <c r="E10945" s="184"/>
      <c r="L10945" s="129"/>
    </row>
    <row r="10946">
      <c r="A10946" s="181"/>
      <c r="B10946" s="182"/>
      <c r="C10946" s="183"/>
      <c r="E10946" s="184"/>
      <c r="L10946" s="129"/>
    </row>
    <row r="10947">
      <c r="A10947" s="181"/>
      <c r="B10947" s="182"/>
      <c r="C10947" s="183"/>
      <c r="E10947" s="184"/>
      <c r="L10947" s="129"/>
    </row>
    <row r="10948">
      <c r="A10948" s="181"/>
      <c r="B10948" s="182"/>
      <c r="C10948" s="183"/>
      <c r="E10948" s="184"/>
      <c r="L10948" s="129"/>
    </row>
    <row r="10949">
      <c r="A10949" s="181"/>
      <c r="B10949" s="182"/>
      <c r="C10949" s="183"/>
      <c r="E10949" s="184"/>
      <c r="L10949" s="129"/>
    </row>
    <row r="10950">
      <c r="A10950" s="181"/>
      <c r="B10950" s="182"/>
      <c r="C10950" s="183"/>
      <c r="E10950" s="184"/>
      <c r="L10950" s="129"/>
    </row>
    <row r="10951">
      <c r="A10951" s="181"/>
      <c r="B10951" s="182"/>
      <c r="C10951" s="183"/>
      <c r="E10951" s="184"/>
      <c r="L10951" s="129"/>
    </row>
    <row r="10952">
      <c r="A10952" s="181"/>
      <c r="B10952" s="182"/>
      <c r="C10952" s="183"/>
      <c r="E10952" s="184"/>
      <c r="L10952" s="129"/>
    </row>
    <row r="10953">
      <c r="A10953" s="181"/>
      <c r="B10953" s="182"/>
      <c r="C10953" s="183"/>
      <c r="E10953" s="184"/>
      <c r="L10953" s="129"/>
    </row>
    <row r="10954">
      <c r="A10954" s="181"/>
      <c r="B10954" s="182"/>
      <c r="C10954" s="183"/>
      <c r="E10954" s="184"/>
      <c r="L10954" s="129"/>
    </row>
    <row r="10955">
      <c r="A10955" s="181"/>
      <c r="B10955" s="182"/>
      <c r="C10955" s="183"/>
      <c r="E10955" s="184"/>
      <c r="L10955" s="129"/>
    </row>
    <row r="10956">
      <c r="A10956" s="181"/>
      <c r="B10956" s="182"/>
      <c r="C10956" s="183"/>
      <c r="E10956" s="184"/>
      <c r="L10956" s="129"/>
    </row>
    <row r="10957">
      <c r="A10957" s="181"/>
      <c r="B10957" s="182"/>
      <c r="C10957" s="183"/>
      <c r="E10957" s="184"/>
      <c r="L10957" s="129"/>
    </row>
    <row r="10958">
      <c r="A10958" s="181"/>
      <c r="B10958" s="182"/>
      <c r="C10958" s="183"/>
      <c r="E10958" s="184"/>
      <c r="L10958" s="129"/>
    </row>
    <row r="10959">
      <c r="A10959" s="181"/>
      <c r="B10959" s="182"/>
      <c r="C10959" s="183"/>
      <c r="E10959" s="184"/>
      <c r="L10959" s="129"/>
    </row>
    <row r="10960">
      <c r="A10960" s="181"/>
      <c r="B10960" s="182"/>
      <c r="C10960" s="183"/>
      <c r="E10960" s="184"/>
      <c r="L10960" s="129"/>
    </row>
    <row r="10961">
      <c r="A10961" s="181"/>
      <c r="B10961" s="182"/>
      <c r="C10961" s="183"/>
      <c r="E10961" s="184"/>
      <c r="L10961" s="129"/>
    </row>
    <row r="10962">
      <c r="A10962" s="181"/>
      <c r="B10962" s="182"/>
      <c r="C10962" s="183"/>
      <c r="E10962" s="184"/>
      <c r="L10962" s="129"/>
    </row>
    <row r="10963">
      <c r="A10963" s="181"/>
      <c r="B10963" s="182"/>
      <c r="C10963" s="183"/>
      <c r="E10963" s="184"/>
      <c r="L10963" s="129"/>
    </row>
    <row r="10964">
      <c r="A10964" s="181"/>
      <c r="B10964" s="182"/>
      <c r="C10964" s="183"/>
      <c r="E10964" s="184"/>
      <c r="L10964" s="129"/>
    </row>
    <row r="10965">
      <c r="A10965" s="181"/>
      <c r="B10965" s="182"/>
      <c r="C10965" s="183"/>
      <c r="E10965" s="184"/>
      <c r="L10965" s="129"/>
    </row>
    <row r="10966">
      <c r="A10966" s="181"/>
      <c r="B10966" s="182"/>
      <c r="C10966" s="183"/>
      <c r="E10966" s="184"/>
      <c r="L10966" s="129"/>
    </row>
    <row r="10967">
      <c r="A10967" s="181"/>
      <c r="B10967" s="182"/>
      <c r="C10967" s="183"/>
      <c r="E10967" s="184"/>
      <c r="L10967" s="129"/>
    </row>
    <row r="10968">
      <c r="A10968" s="181"/>
      <c r="B10968" s="182"/>
      <c r="C10968" s="183"/>
      <c r="E10968" s="184"/>
      <c r="L10968" s="129"/>
    </row>
    <row r="10969">
      <c r="A10969" s="181"/>
      <c r="B10969" s="182"/>
      <c r="C10969" s="183"/>
      <c r="E10969" s="184"/>
      <c r="L10969" s="129"/>
    </row>
    <row r="10970">
      <c r="A10970" s="181"/>
      <c r="B10970" s="182"/>
      <c r="C10970" s="183"/>
      <c r="E10970" s="184"/>
      <c r="L10970" s="129"/>
    </row>
    <row r="10971">
      <c r="A10971" s="181"/>
      <c r="B10971" s="182"/>
      <c r="C10971" s="183"/>
      <c r="E10971" s="184"/>
      <c r="L10971" s="129"/>
    </row>
    <row r="10972">
      <c r="A10972" s="181"/>
      <c r="B10972" s="182"/>
      <c r="C10972" s="183"/>
      <c r="E10972" s="184"/>
      <c r="L10972" s="129"/>
    </row>
    <row r="10973">
      <c r="A10973" s="181"/>
      <c r="B10973" s="182"/>
      <c r="C10973" s="183"/>
      <c r="E10973" s="184"/>
      <c r="L10973" s="129"/>
    </row>
    <row r="10974">
      <c r="A10974" s="181"/>
      <c r="B10974" s="182"/>
      <c r="C10974" s="183"/>
      <c r="E10974" s="184"/>
      <c r="L10974" s="129"/>
    </row>
    <row r="10975">
      <c r="A10975" s="181"/>
      <c r="B10975" s="182"/>
      <c r="C10975" s="183"/>
      <c r="E10975" s="184"/>
      <c r="L10975" s="129"/>
    </row>
    <row r="10976">
      <c r="A10976" s="181"/>
      <c r="B10976" s="182"/>
      <c r="C10976" s="183"/>
      <c r="E10976" s="184"/>
      <c r="L10976" s="129"/>
    </row>
    <row r="10977">
      <c r="A10977" s="181"/>
      <c r="B10977" s="182"/>
      <c r="C10977" s="183"/>
      <c r="E10977" s="184"/>
      <c r="L10977" s="129"/>
    </row>
    <row r="10978">
      <c r="A10978" s="181"/>
      <c r="B10978" s="182"/>
      <c r="C10978" s="183"/>
      <c r="E10978" s="184"/>
      <c r="L10978" s="129"/>
    </row>
    <row r="10979">
      <c r="A10979" s="181"/>
      <c r="B10979" s="182"/>
      <c r="C10979" s="183"/>
      <c r="E10979" s="184"/>
      <c r="L10979" s="129"/>
    </row>
    <row r="10980">
      <c r="A10980" s="181"/>
      <c r="B10980" s="182"/>
      <c r="C10980" s="183"/>
      <c r="E10980" s="184"/>
      <c r="L10980" s="129"/>
    </row>
    <row r="10981">
      <c r="A10981" s="181"/>
      <c r="B10981" s="182"/>
      <c r="C10981" s="183"/>
      <c r="E10981" s="184"/>
      <c r="L10981" s="129"/>
    </row>
    <row r="10982">
      <c r="A10982" s="181"/>
      <c r="B10982" s="182"/>
      <c r="C10982" s="183"/>
      <c r="E10982" s="184"/>
      <c r="L10982" s="129"/>
    </row>
    <row r="10983">
      <c r="A10983" s="181"/>
      <c r="B10983" s="182"/>
      <c r="C10983" s="183"/>
      <c r="E10983" s="184"/>
      <c r="L10983" s="129"/>
    </row>
    <row r="10984">
      <c r="A10984" s="181"/>
      <c r="B10984" s="182"/>
      <c r="C10984" s="183"/>
      <c r="E10984" s="184"/>
      <c r="L10984" s="129"/>
    </row>
    <row r="10985">
      <c r="A10985" s="181"/>
      <c r="B10985" s="182"/>
      <c r="C10985" s="183"/>
      <c r="E10985" s="184"/>
      <c r="L10985" s="129"/>
    </row>
    <row r="10986">
      <c r="A10986" s="181"/>
      <c r="B10986" s="182"/>
      <c r="C10986" s="183"/>
      <c r="E10986" s="184"/>
      <c r="L10986" s="129"/>
    </row>
    <row r="10987">
      <c r="A10987" s="181"/>
      <c r="B10987" s="182"/>
      <c r="C10987" s="183"/>
      <c r="E10987" s="184"/>
      <c r="L10987" s="129"/>
    </row>
    <row r="10988">
      <c r="A10988" s="181"/>
      <c r="B10988" s="182"/>
      <c r="C10988" s="183"/>
      <c r="E10988" s="184"/>
      <c r="L10988" s="129"/>
    </row>
    <row r="10989">
      <c r="A10989" s="181"/>
      <c r="B10989" s="182"/>
      <c r="C10989" s="183"/>
      <c r="E10989" s="184"/>
      <c r="L10989" s="129"/>
    </row>
    <row r="10990">
      <c r="A10990" s="181"/>
      <c r="B10990" s="182"/>
      <c r="C10990" s="183"/>
      <c r="E10990" s="184"/>
      <c r="L10990" s="129"/>
    </row>
    <row r="10991">
      <c r="A10991" s="181"/>
      <c r="B10991" s="182"/>
      <c r="C10991" s="183"/>
      <c r="E10991" s="184"/>
      <c r="L10991" s="129"/>
    </row>
    <row r="10992">
      <c r="A10992" s="181"/>
      <c r="B10992" s="182"/>
      <c r="C10992" s="183"/>
      <c r="E10992" s="184"/>
      <c r="L10992" s="129"/>
    </row>
    <row r="10993">
      <c r="A10993" s="181"/>
      <c r="B10993" s="182"/>
      <c r="C10993" s="183"/>
      <c r="E10993" s="184"/>
      <c r="L10993" s="129"/>
    </row>
    <row r="10994">
      <c r="A10994" s="181"/>
      <c r="B10994" s="182"/>
      <c r="C10994" s="183"/>
      <c r="E10994" s="184"/>
      <c r="L10994" s="129"/>
    </row>
    <row r="10995">
      <c r="A10995" s="181"/>
      <c r="B10995" s="182"/>
      <c r="C10995" s="183"/>
      <c r="E10995" s="184"/>
      <c r="L10995" s="129"/>
    </row>
    <row r="10996">
      <c r="A10996" s="181"/>
      <c r="B10996" s="182"/>
      <c r="C10996" s="183"/>
      <c r="E10996" s="184"/>
      <c r="L10996" s="129"/>
    </row>
    <row r="10997">
      <c r="A10997" s="181"/>
      <c r="B10997" s="182"/>
      <c r="C10997" s="183"/>
      <c r="E10997" s="184"/>
      <c r="L10997" s="129"/>
    </row>
    <row r="10998">
      <c r="A10998" s="181"/>
      <c r="B10998" s="182"/>
      <c r="C10998" s="183"/>
      <c r="E10998" s="184"/>
      <c r="L10998" s="129"/>
    </row>
    <row r="10999">
      <c r="A10999" s="181"/>
      <c r="B10999" s="182"/>
      <c r="C10999" s="183"/>
      <c r="E10999" s="184"/>
      <c r="L10999" s="129"/>
    </row>
    <row r="11000">
      <c r="A11000" s="181"/>
      <c r="B11000" s="182"/>
      <c r="C11000" s="183"/>
      <c r="E11000" s="184"/>
      <c r="L11000" s="129"/>
    </row>
  </sheetData>
  <conditionalFormatting sqref="A1:A11000">
    <cfRule type="notContainsBlanks" dxfId="0" priority="1">
      <formula>LEN(TRIM(A1))&gt;0</formula>
    </cfRule>
  </conditionalFormatting>
  <conditionalFormatting sqref="A5">
    <cfRule type="notContainsBlanks" dxfId="0" priority="2">
      <formula>LEN(TRIM(A5))&gt;0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13"/>
    <col customWidth="1" min="2" max="2" width="40.38"/>
    <col customWidth="1" min="3" max="3" width="47.63"/>
    <col customWidth="1" min="4" max="4" width="6.88"/>
    <col customWidth="1" min="5" max="5" width="9.13"/>
    <col customWidth="1" min="6" max="6" width="35.75"/>
    <col customWidth="1" min="7" max="7" width="16.13"/>
    <col customWidth="1" min="8" max="8" width="10.25"/>
    <col customWidth="1" min="9" max="9" width="15.5"/>
    <col customWidth="1" min="10" max="10" width="40.38"/>
    <col customWidth="1" min="11" max="11" width="47.63"/>
    <col customWidth="1" min="13" max="14" width="6.88"/>
    <col customWidth="1" min="15" max="15" width="28.75"/>
  </cols>
  <sheetData>
    <row r="1">
      <c r="A1" s="186" t="s">
        <v>430</v>
      </c>
      <c r="B1" s="187" t="s">
        <v>83</v>
      </c>
      <c r="C1" s="187" t="s">
        <v>348</v>
      </c>
      <c r="D1" s="188" t="s">
        <v>16807</v>
      </c>
      <c r="E1" s="186"/>
      <c r="F1" s="189" t="s">
        <v>16808</v>
      </c>
      <c r="G1" s="190" t="s">
        <v>16809</v>
      </c>
      <c r="H1" s="191" t="s">
        <v>13</v>
      </c>
      <c r="I1" s="187" t="s">
        <v>16810</v>
      </c>
      <c r="J1" s="187" t="s">
        <v>83</v>
      </c>
      <c r="K1" s="187" t="s">
        <v>348</v>
      </c>
      <c r="L1" s="187" t="s">
        <v>16811</v>
      </c>
      <c r="M1" s="188"/>
      <c r="N1" s="188"/>
      <c r="O1" s="187" t="s">
        <v>16812</v>
      </c>
      <c r="P1" s="192"/>
      <c r="Q1" s="192"/>
    </row>
    <row r="2">
      <c r="A2" s="193" t="s">
        <v>394</v>
      </c>
      <c r="B2" s="7" t="s">
        <v>16582</v>
      </c>
      <c r="C2" s="7" t="s">
        <v>16813</v>
      </c>
      <c r="D2" s="194">
        <v>1980.0</v>
      </c>
      <c r="E2" s="193"/>
      <c r="F2" s="195" t="s">
        <v>16814</v>
      </c>
      <c r="G2" s="196">
        <v>2.8990329728E12</v>
      </c>
      <c r="H2" s="197">
        <v>186.4</v>
      </c>
      <c r="I2" s="7" t="s">
        <v>16815</v>
      </c>
      <c r="J2" s="7" t="s">
        <v>16582</v>
      </c>
      <c r="K2" s="7" t="s">
        <v>16813</v>
      </c>
      <c r="L2" s="198" t="s">
        <v>65</v>
      </c>
      <c r="M2" s="194"/>
      <c r="N2" s="194"/>
    </row>
    <row r="3">
      <c r="A3" s="193" t="s">
        <v>16816</v>
      </c>
      <c r="B3" s="7" t="s">
        <v>16582</v>
      </c>
      <c r="C3" s="7" t="s">
        <v>16817</v>
      </c>
      <c r="D3" s="194">
        <v>1986.0</v>
      </c>
      <c r="E3" s="193"/>
      <c r="F3" s="195" t="s">
        <v>16818</v>
      </c>
      <c r="G3" s="196">
        <v>2.747484415161E12</v>
      </c>
      <c r="H3" s="197">
        <v>369.67</v>
      </c>
      <c r="I3" s="7" t="s">
        <v>16815</v>
      </c>
      <c r="J3" s="7" t="s">
        <v>16582</v>
      </c>
      <c r="K3" s="7" t="s">
        <v>16817</v>
      </c>
      <c r="L3" s="198" t="s">
        <v>65</v>
      </c>
      <c r="M3" s="194"/>
      <c r="N3" s="194"/>
    </row>
    <row r="4">
      <c r="A4" s="193" t="s">
        <v>16819</v>
      </c>
      <c r="B4" s="7" t="s">
        <v>16582</v>
      </c>
      <c r="C4" s="7" t="s">
        <v>16583</v>
      </c>
      <c r="D4" s="194">
        <v>2004.0</v>
      </c>
      <c r="E4" s="193"/>
      <c r="F4" s="195" t="s">
        <v>16820</v>
      </c>
      <c r="G4" s="196">
        <v>1.67789496E12</v>
      </c>
      <c r="H4" s="197">
        <v>134.06</v>
      </c>
      <c r="I4" s="7" t="s">
        <v>16815</v>
      </c>
      <c r="J4" s="7" t="s">
        <v>16582</v>
      </c>
      <c r="K4" s="7" t="s">
        <v>16583</v>
      </c>
      <c r="L4" s="198" t="s">
        <v>65</v>
      </c>
      <c r="M4" s="194"/>
      <c r="N4" s="194"/>
    </row>
    <row r="5">
      <c r="A5" s="193" t="s">
        <v>16821</v>
      </c>
      <c r="B5" s="7" t="s">
        <v>16582</v>
      </c>
      <c r="C5" s="7" t="s">
        <v>16583</v>
      </c>
      <c r="D5" s="194">
        <v>2004.0</v>
      </c>
      <c r="E5" s="193"/>
      <c r="F5" s="195" t="s">
        <v>16822</v>
      </c>
      <c r="G5" s="196">
        <v>1.65949644E12</v>
      </c>
      <c r="H5" s="197">
        <v>132.59</v>
      </c>
      <c r="I5" s="7" t="s">
        <v>16815</v>
      </c>
      <c r="J5" s="7" t="s">
        <v>16582</v>
      </c>
      <c r="K5" s="7" t="s">
        <v>16583</v>
      </c>
      <c r="L5" s="198" t="s">
        <v>65</v>
      </c>
      <c r="M5" s="194"/>
      <c r="N5" s="194"/>
    </row>
    <row r="6">
      <c r="A6" s="193" t="s">
        <v>16823</v>
      </c>
      <c r="B6" s="7" t="s">
        <v>175</v>
      </c>
      <c r="C6" s="7" t="s">
        <v>16824</v>
      </c>
      <c r="D6" s="194">
        <v>1997.0</v>
      </c>
      <c r="E6" s="193"/>
      <c r="F6" s="195" t="s">
        <v>16825</v>
      </c>
      <c r="G6" s="196">
        <v>1.483553430926E12</v>
      </c>
      <c r="H6" s="197">
        <v>143.56</v>
      </c>
      <c r="I6" s="7" t="s">
        <v>16826</v>
      </c>
      <c r="J6" s="7" t="s">
        <v>175</v>
      </c>
      <c r="K6" s="7" t="s">
        <v>16824</v>
      </c>
      <c r="L6" s="198" t="s">
        <v>65</v>
      </c>
      <c r="M6" s="194"/>
      <c r="N6" s="194"/>
    </row>
    <row r="7">
      <c r="A7" s="193" t="s">
        <v>16827</v>
      </c>
      <c r="B7" s="7" t="s">
        <v>16582</v>
      </c>
      <c r="C7" s="7" t="s">
        <v>16828</v>
      </c>
      <c r="D7" s="194">
        <v>1999.0</v>
      </c>
      <c r="E7" s="193"/>
      <c r="F7" s="195" t="s">
        <v>16829</v>
      </c>
      <c r="G7" s="196">
        <v>1.1938745E12</v>
      </c>
      <c r="H7" s="197">
        <v>483.35</v>
      </c>
      <c r="I7" s="7" t="s">
        <v>16815</v>
      </c>
      <c r="J7" s="7" t="s">
        <v>16582</v>
      </c>
      <c r="K7" s="7" t="s">
        <v>16828</v>
      </c>
      <c r="L7" s="198" t="s">
        <v>65</v>
      </c>
      <c r="M7" s="194"/>
      <c r="N7" s="194"/>
    </row>
    <row r="8">
      <c r="A8" s="193" t="s">
        <v>16830</v>
      </c>
      <c r="B8" s="7" t="s">
        <v>16582</v>
      </c>
      <c r="C8" s="7" t="s">
        <v>16583</v>
      </c>
      <c r="D8" s="194">
        <v>2012.0</v>
      </c>
      <c r="E8" s="193"/>
      <c r="F8" s="195" t="s">
        <v>16831</v>
      </c>
      <c r="G8" s="196">
        <v>8.448937704E11</v>
      </c>
      <c r="H8" s="197">
        <v>328.77</v>
      </c>
      <c r="I8" s="7" t="s">
        <v>16815</v>
      </c>
      <c r="J8" s="7" t="s">
        <v>16582</v>
      </c>
      <c r="K8" s="7" t="s">
        <v>16583</v>
      </c>
      <c r="L8" s="198" t="s">
        <v>65</v>
      </c>
      <c r="M8" s="194"/>
      <c r="N8" s="194"/>
    </row>
    <row r="9">
      <c r="A9" s="193" t="s">
        <v>16832</v>
      </c>
      <c r="D9" s="199"/>
      <c r="E9" s="193"/>
      <c r="F9" s="195" t="s">
        <v>16833</v>
      </c>
      <c r="G9" s="196">
        <v>7.82337288364E11</v>
      </c>
      <c r="H9" s="197">
        <v>531886.0</v>
      </c>
      <c r="I9" s="7" t="s">
        <v>16815</v>
      </c>
      <c r="L9" s="198" t="s">
        <v>65</v>
      </c>
      <c r="M9" s="199"/>
      <c r="N9" s="199"/>
    </row>
    <row r="10">
      <c r="A10" s="193"/>
      <c r="D10" s="199"/>
      <c r="E10" s="193"/>
      <c r="F10" s="195"/>
      <c r="G10" s="200"/>
      <c r="H10" s="197"/>
      <c r="I10" s="193"/>
      <c r="L10" s="201"/>
      <c r="M10" s="199"/>
      <c r="N10" s="199"/>
    </row>
    <row r="11">
      <c r="A11" s="193"/>
      <c r="D11" s="199"/>
      <c r="E11" s="193"/>
      <c r="F11" s="195"/>
      <c r="G11" s="196"/>
      <c r="H11" s="197"/>
      <c r="L11" s="198"/>
      <c r="M11" s="199"/>
      <c r="N11" s="199"/>
    </row>
    <row r="12">
      <c r="A12" s="193" t="s">
        <v>16834</v>
      </c>
      <c r="D12" s="199"/>
      <c r="E12" s="193"/>
      <c r="F12" s="195" t="s">
        <v>16833</v>
      </c>
      <c r="G12" s="200">
        <v>7.73444514218E11</v>
      </c>
      <c r="H12" s="197">
        <v>350.56</v>
      </c>
      <c r="I12" s="193" t="s">
        <v>16815</v>
      </c>
      <c r="L12" s="201" t="s">
        <v>16835</v>
      </c>
      <c r="M12" s="199"/>
      <c r="N12" s="199"/>
    </row>
    <row r="13">
      <c r="A13" s="193" t="s">
        <v>16836</v>
      </c>
      <c r="B13" s="7" t="s">
        <v>16837</v>
      </c>
      <c r="C13" s="7" t="s">
        <v>16838</v>
      </c>
      <c r="D13" s="199"/>
      <c r="E13" s="193"/>
      <c r="F13" s="195" t="s">
        <v>16839</v>
      </c>
      <c r="G13" s="200">
        <v>7.2923179E11</v>
      </c>
      <c r="H13" s="197">
        <v>37.03</v>
      </c>
      <c r="I13" s="7" t="s">
        <v>16815</v>
      </c>
      <c r="J13" s="7" t="s">
        <v>16837</v>
      </c>
      <c r="K13" s="7" t="s">
        <v>16838</v>
      </c>
      <c r="L13" s="201" t="s">
        <v>16840</v>
      </c>
      <c r="M13" s="199"/>
      <c r="N13" s="199"/>
    </row>
    <row r="14">
      <c r="A14" s="193" t="s">
        <v>16836</v>
      </c>
      <c r="B14" s="7" t="s">
        <v>16838</v>
      </c>
      <c r="C14" s="7" t="s">
        <v>16837</v>
      </c>
      <c r="D14" s="199"/>
      <c r="E14" s="193"/>
      <c r="F14" s="195" t="s">
        <v>16839</v>
      </c>
      <c r="G14" s="196">
        <v>7.2923179E11</v>
      </c>
      <c r="H14" s="197">
        <v>37.03</v>
      </c>
      <c r="I14" s="7" t="s">
        <v>16815</v>
      </c>
      <c r="J14" s="7" t="s">
        <v>16838</v>
      </c>
      <c r="K14" s="7" t="s">
        <v>16837</v>
      </c>
      <c r="L14" s="198" t="s">
        <v>65</v>
      </c>
      <c r="M14" s="199"/>
      <c r="N14" s="199"/>
    </row>
    <row r="15">
      <c r="A15" s="193" t="s">
        <v>16841</v>
      </c>
      <c r="B15" s="7" t="s">
        <v>175</v>
      </c>
      <c r="C15" s="7" t="s">
        <v>16842</v>
      </c>
      <c r="D15" s="194">
        <v>2010.0</v>
      </c>
      <c r="E15" s="193"/>
      <c r="F15" s="195" t="s">
        <v>16843</v>
      </c>
      <c r="G15" s="196">
        <v>6.82355476578E11</v>
      </c>
      <c r="H15" s="197">
        <v>214.65</v>
      </c>
      <c r="I15" s="7" t="s">
        <v>16844</v>
      </c>
      <c r="J15" s="7" t="s">
        <v>175</v>
      </c>
      <c r="K15" s="7" t="s">
        <v>16842</v>
      </c>
      <c r="L15" s="198" t="s">
        <v>65</v>
      </c>
      <c r="M15" s="194"/>
      <c r="N15" s="194"/>
    </row>
    <row r="16">
      <c r="A16" s="193" t="s">
        <v>16845</v>
      </c>
      <c r="B16" s="7" t="s">
        <v>187</v>
      </c>
      <c r="C16" s="7" t="s">
        <v>16846</v>
      </c>
      <c r="D16" s="199"/>
      <c r="E16" s="193"/>
      <c r="F16" s="195" t="s">
        <v>16847</v>
      </c>
      <c r="G16" s="196">
        <v>5.67410428627E11</v>
      </c>
      <c r="H16" s="197">
        <v>597.71</v>
      </c>
      <c r="I16" s="7" t="s">
        <v>16815</v>
      </c>
      <c r="J16" s="7" t="s">
        <v>187</v>
      </c>
      <c r="K16" s="7" t="s">
        <v>16846</v>
      </c>
      <c r="L16" s="198" t="s">
        <v>65</v>
      </c>
      <c r="M16" s="199"/>
      <c r="N16" s="199"/>
    </row>
    <row r="17">
      <c r="A17" s="193" t="s">
        <v>16845</v>
      </c>
      <c r="B17" s="7" t="s">
        <v>16846</v>
      </c>
      <c r="C17" s="7" t="s">
        <v>187</v>
      </c>
      <c r="D17" s="199"/>
      <c r="E17" s="193"/>
      <c r="F17" s="195" t="s">
        <v>16847</v>
      </c>
      <c r="G17" s="200">
        <v>5.67410428627E11</v>
      </c>
      <c r="H17" s="197">
        <v>597.71</v>
      </c>
      <c r="I17" s="7" t="s">
        <v>16815</v>
      </c>
      <c r="J17" s="7" t="s">
        <v>16846</v>
      </c>
      <c r="K17" s="7" t="s">
        <v>187</v>
      </c>
      <c r="L17" s="201" t="s">
        <v>16835</v>
      </c>
      <c r="M17" s="199"/>
      <c r="N17" s="199"/>
    </row>
    <row r="18">
      <c r="A18" s="193" t="s">
        <v>16848</v>
      </c>
      <c r="B18" s="7" t="s">
        <v>16582</v>
      </c>
      <c r="C18" s="7" t="s">
        <v>16828</v>
      </c>
      <c r="D18" s="194">
        <v>1997.0</v>
      </c>
      <c r="E18" s="193"/>
      <c r="F18" s="195" t="s">
        <v>16849</v>
      </c>
      <c r="G18" s="196">
        <v>5.05331254404E11</v>
      </c>
      <c r="H18" s="197">
        <v>97.44</v>
      </c>
      <c r="I18" s="7" t="s">
        <v>16815</v>
      </c>
      <c r="J18" s="7" t="s">
        <v>16582</v>
      </c>
      <c r="K18" s="7" t="s">
        <v>16828</v>
      </c>
      <c r="L18" s="198" t="s">
        <v>65</v>
      </c>
      <c r="M18" s="194"/>
      <c r="N18" s="194"/>
    </row>
    <row r="19">
      <c r="A19" s="193" t="s">
        <v>16848</v>
      </c>
      <c r="B19" s="7" t="s">
        <v>16828</v>
      </c>
      <c r="C19" s="7" t="s">
        <v>16582</v>
      </c>
      <c r="D19" s="194">
        <v>1997.0</v>
      </c>
      <c r="E19" s="193"/>
      <c r="F19" s="195" t="s">
        <v>16849</v>
      </c>
      <c r="G19" s="200">
        <v>5.05331254404E11</v>
      </c>
      <c r="H19" s="197">
        <v>97.44</v>
      </c>
      <c r="I19" s="7" t="s">
        <v>16815</v>
      </c>
      <c r="J19" s="7" t="s">
        <v>16828</v>
      </c>
      <c r="K19" s="7" t="s">
        <v>16582</v>
      </c>
      <c r="L19" s="201" t="s">
        <v>16835</v>
      </c>
      <c r="M19" s="194"/>
      <c r="N19" s="194"/>
    </row>
    <row r="20">
      <c r="A20" s="193" t="s">
        <v>16850</v>
      </c>
      <c r="B20" s="7" t="s">
        <v>16851</v>
      </c>
      <c r="C20" s="7" t="s">
        <v>187</v>
      </c>
      <c r="D20" s="199"/>
      <c r="E20" s="193"/>
      <c r="F20" s="195" t="s">
        <v>16852</v>
      </c>
      <c r="G20" s="200">
        <v>5.00578817825E11</v>
      </c>
      <c r="H20" s="197">
        <v>541.21</v>
      </c>
      <c r="I20" s="7" t="s">
        <v>16815</v>
      </c>
      <c r="J20" s="7" t="s">
        <v>16851</v>
      </c>
      <c r="K20" s="7" t="s">
        <v>187</v>
      </c>
      <c r="L20" s="201" t="s">
        <v>16835</v>
      </c>
      <c r="M20" s="199"/>
      <c r="N20" s="199"/>
    </row>
    <row r="21">
      <c r="A21" s="193" t="s">
        <v>16850</v>
      </c>
      <c r="B21" s="7" t="s">
        <v>187</v>
      </c>
      <c r="C21" s="7" t="s">
        <v>16851</v>
      </c>
      <c r="D21" s="199"/>
      <c r="E21" s="193"/>
      <c r="F21" s="195" t="s">
        <v>16852</v>
      </c>
      <c r="G21" s="196">
        <v>5.00578817825E11</v>
      </c>
      <c r="H21" s="197">
        <v>541.21</v>
      </c>
      <c r="I21" s="7" t="s">
        <v>16815</v>
      </c>
      <c r="J21" s="7" t="s">
        <v>187</v>
      </c>
      <c r="K21" s="7" t="s">
        <v>16851</v>
      </c>
      <c r="L21" s="198" t="s">
        <v>65</v>
      </c>
      <c r="M21" s="199"/>
      <c r="N21" s="199"/>
    </row>
    <row r="22">
      <c r="A22" s="193" t="s">
        <v>16853</v>
      </c>
      <c r="B22" s="7" t="s">
        <v>175</v>
      </c>
      <c r="C22" s="7" t="s">
        <v>16854</v>
      </c>
      <c r="D22" s="199"/>
      <c r="E22" s="193"/>
      <c r="F22" s="195" t="s">
        <v>16855</v>
      </c>
      <c r="G22" s="196">
        <v>4.56616403717E11</v>
      </c>
      <c r="H22" s="197">
        <v>245.25</v>
      </c>
      <c r="I22" s="7" t="s">
        <v>16856</v>
      </c>
      <c r="J22" s="7" t="s">
        <v>175</v>
      </c>
      <c r="K22" s="7" t="s">
        <v>16854</v>
      </c>
      <c r="L22" s="198" t="s">
        <v>65</v>
      </c>
      <c r="M22" s="199"/>
      <c r="N22" s="199"/>
    </row>
    <row r="23">
      <c r="A23" s="193" t="s">
        <v>16853</v>
      </c>
      <c r="B23" s="7" t="s">
        <v>16854</v>
      </c>
      <c r="C23" s="7" t="s">
        <v>175</v>
      </c>
      <c r="D23" s="199"/>
      <c r="E23" s="193"/>
      <c r="F23" s="195" t="s">
        <v>16855</v>
      </c>
      <c r="G23" s="200">
        <v>4.56616403717E11</v>
      </c>
      <c r="H23" s="197">
        <v>245.25</v>
      </c>
      <c r="I23" s="7" t="s">
        <v>16815</v>
      </c>
      <c r="J23" s="7" t="s">
        <v>16854</v>
      </c>
      <c r="K23" s="7" t="s">
        <v>175</v>
      </c>
      <c r="L23" s="201" t="s">
        <v>16835</v>
      </c>
      <c r="M23" s="199"/>
      <c r="N23" s="199"/>
    </row>
    <row r="24">
      <c r="A24" s="193" t="s">
        <v>16857</v>
      </c>
      <c r="B24" s="7" t="s">
        <v>187</v>
      </c>
      <c r="C24" s="7" t="s">
        <v>16858</v>
      </c>
      <c r="D24" s="199"/>
      <c r="E24" s="193"/>
      <c r="F24" s="195" t="s">
        <v>16859</v>
      </c>
      <c r="G24" s="196">
        <v>4.53124941994E11</v>
      </c>
      <c r="H24" s="197">
        <v>101.19</v>
      </c>
      <c r="I24" s="7" t="s">
        <v>16815</v>
      </c>
      <c r="J24" s="7" t="s">
        <v>187</v>
      </c>
      <c r="K24" s="7" t="s">
        <v>16858</v>
      </c>
      <c r="L24" s="198" t="s">
        <v>65</v>
      </c>
      <c r="M24" s="199"/>
      <c r="N24" s="199"/>
    </row>
    <row r="25">
      <c r="A25" s="193" t="s">
        <v>16857</v>
      </c>
      <c r="B25" s="7" t="s">
        <v>16858</v>
      </c>
      <c r="C25" s="7" t="s">
        <v>187</v>
      </c>
      <c r="D25" s="199"/>
      <c r="E25" s="193"/>
      <c r="F25" s="195" t="s">
        <v>16859</v>
      </c>
      <c r="G25" s="200">
        <v>4.53124941994E11</v>
      </c>
      <c r="H25" s="197">
        <v>101.19</v>
      </c>
      <c r="I25" s="7" t="s">
        <v>16815</v>
      </c>
      <c r="J25" s="7" t="s">
        <v>16858</v>
      </c>
      <c r="K25" s="7" t="s">
        <v>187</v>
      </c>
      <c r="L25" s="201" t="s">
        <v>16835</v>
      </c>
      <c r="M25" s="199"/>
      <c r="N25" s="199"/>
    </row>
    <row r="26">
      <c r="A26" s="193" t="s">
        <v>16860</v>
      </c>
      <c r="B26" s="7" t="s">
        <v>175</v>
      </c>
      <c r="C26" s="7" t="s">
        <v>16861</v>
      </c>
      <c r="D26" s="199"/>
      <c r="E26" s="193"/>
      <c r="F26" s="195" t="s">
        <v>16862</v>
      </c>
      <c r="G26" s="196">
        <v>4.47310996232E11</v>
      </c>
      <c r="H26" s="197">
        <v>166.19</v>
      </c>
      <c r="I26" s="7" t="s">
        <v>16856</v>
      </c>
      <c r="J26" s="7" t="s">
        <v>175</v>
      </c>
      <c r="K26" s="7" t="s">
        <v>16861</v>
      </c>
      <c r="L26" s="198" t="s">
        <v>65</v>
      </c>
      <c r="M26" s="199"/>
      <c r="N26" s="199"/>
    </row>
    <row r="27">
      <c r="A27" s="193" t="s">
        <v>16860</v>
      </c>
      <c r="B27" s="7" t="s">
        <v>16861</v>
      </c>
      <c r="C27" s="7" t="s">
        <v>175</v>
      </c>
      <c r="D27" s="199"/>
      <c r="E27" s="193"/>
      <c r="F27" s="195" t="s">
        <v>16862</v>
      </c>
      <c r="G27" s="200">
        <v>4.47310996232E11</v>
      </c>
      <c r="H27" s="197">
        <v>166.19</v>
      </c>
      <c r="I27" s="7" t="s">
        <v>16815</v>
      </c>
      <c r="J27" s="7" t="s">
        <v>16861</v>
      </c>
      <c r="K27" s="7" t="s">
        <v>175</v>
      </c>
      <c r="L27" s="201" t="s">
        <v>16835</v>
      </c>
      <c r="M27" s="199"/>
      <c r="N27" s="199"/>
    </row>
    <row r="28">
      <c r="A28" s="193" t="s">
        <v>16863</v>
      </c>
      <c r="B28" s="7" t="s">
        <v>158</v>
      </c>
      <c r="C28" s="7" t="s">
        <v>16864</v>
      </c>
      <c r="D28" s="194">
        <v>2022.0</v>
      </c>
      <c r="E28" s="193"/>
      <c r="F28" s="195" t="s">
        <v>16865</v>
      </c>
      <c r="G28" s="196">
        <v>4.389040816E11</v>
      </c>
      <c r="H28" s="197">
        <v>65.6</v>
      </c>
      <c r="I28" s="7" t="s">
        <v>180</v>
      </c>
      <c r="J28" s="7" t="s">
        <v>158</v>
      </c>
      <c r="K28" s="7" t="s">
        <v>16864</v>
      </c>
      <c r="L28" s="198" t="s">
        <v>65</v>
      </c>
      <c r="M28" s="194"/>
      <c r="N28" s="194"/>
    </row>
    <row r="29">
      <c r="A29" s="193" t="s">
        <v>16863</v>
      </c>
      <c r="B29" s="7" t="s">
        <v>16864</v>
      </c>
      <c r="C29" s="7" t="s">
        <v>158</v>
      </c>
      <c r="D29" s="194">
        <v>2022.0</v>
      </c>
      <c r="E29" s="193"/>
      <c r="F29" s="195" t="s">
        <v>16865</v>
      </c>
      <c r="G29" s="200">
        <v>4.389040816E11</v>
      </c>
      <c r="H29" s="197">
        <v>65.6</v>
      </c>
      <c r="I29" s="7" t="s">
        <v>16815</v>
      </c>
      <c r="J29" s="7" t="s">
        <v>16864</v>
      </c>
      <c r="K29" s="7" t="s">
        <v>158</v>
      </c>
      <c r="L29" s="201" t="s">
        <v>16835</v>
      </c>
      <c r="M29" s="194"/>
      <c r="N29" s="194"/>
    </row>
    <row r="30">
      <c r="A30" s="193" t="s">
        <v>16866</v>
      </c>
      <c r="B30" s="7" t="s">
        <v>16867</v>
      </c>
      <c r="C30" s="7" t="s">
        <v>16838</v>
      </c>
      <c r="D30" s="199"/>
      <c r="E30" s="193"/>
      <c r="F30" s="195" t="s">
        <v>16868</v>
      </c>
      <c r="G30" s="200">
        <v>4.23330351373E11</v>
      </c>
      <c r="H30" s="197">
        <v>146.43</v>
      </c>
      <c r="I30" s="7" t="s">
        <v>16815</v>
      </c>
      <c r="J30" s="7" t="s">
        <v>16867</v>
      </c>
      <c r="K30" s="7" t="s">
        <v>16838</v>
      </c>
      <c r="L30" s="201" t="s">
        <v>16835</v>
      </c>
      <c r="M30" s="199"/>
      <c r="N30" s="199"/>
    </row>
    <row r="31">
      <c r="A31" s="193" t="s">
        <v>16866</v>
      </c>
      <c r="B31" s="7" t="s">
        <v>16838</v>
      </c>
      <c r="C31" s="7" t="s">
        <v>16867</v>
      </c>
      <c r="D31" s="199"/>
      <c r="E31" s="193"/>
      <c r="F31" s="195" t="s">
        <v>16868</v>
      </c>
      <c r="G31" s="196">
        <v>4.23330351373E11</v>
      </c>
      <c r="H31" s="197">
        <v>146.43</v>
      </c>
      <c r="I31" s="7" t="s">
        <v>16815</v>
      </c>
      <c r="J31" s="7" t="s">
        <v>16838</v>
      </c>
      <c r="K31" s="7" t="s">
        <v>16867</v>
      </c>
      <c r="L31" s="198" t="s">
        <v>65</v>
      </c>
      <c r="M31" s="199"/>
      <c r="N31" s="199"/>
    </row>
    <row r="32">
      <c r="A32" s="193" t="s">
        <v>16869</v>
      </c>
      <c r="B32" s="7" t="s">
        <v>158</v>
      </c>
      <c r="C32" s="7" t="s">
        <v>16870</v>
      </c>
      <c r="D32" s="199"/>
      <c r="E32" s="193"/>
      <c r="F32" s="195" t="s">
        <v>16871</v>
      </c>
      <c r="G32" s="196">
        <v>4.11152730673E11</v>
      </c>
      <c r="H32" s="197">
        <v>103.75</v>
      </c>
      <c r="I32" s="7" t="s">
        <v>16872</v>
      </c>
      <c r="J32" s="7" t="s">
        <v>158</v>
      </c>
      <c r="K32" s="7" t="s">
        <v>16870</v>
      </c>
      <c r="L32" s="198" t="s">
        <v>65</v>
      </c>
      <c r="M32" s="199"/>
      <c r="N32" s="199"/>
    </row>
    <row r="33">
      <c r="A33" s="193" t="s">
        <v>16869</v>
      </c>
      <c r="B33" s="7" t="s">
        <v>16870</v>
      </c>
      <c r="C33" s="7" t="s">
        <v>158</v>
      </c>
      <c r="D33" s="199"/>
      <c r="E33" s="193"/>
      <c r="F33" s="195" t="s">
        <v>16871</v>
      </c>
      <c r="G33" s="200">
        <v>4.11152730673E11</v>
      </c>
      <c r="H33" s="197">
        <v>103.75</v>
      </c>
      <c r="I33" s="7" t="s">
        <v>16815</v>
      </c>
      <c r="J33" s="7" t="s">
        <v>16870</v>
      </c>
      <c r="K33" s="7" t="s">
        <v>158</v>
      </c>
      <c r="L33" s="201" t="s">
        <v>16835</v>
      </c>
      <c r="M33" s="199"/>
      <c r="N33" s="199"/>
    </row>
    <row r="34">
      <c r="A34" s="193" t="s">
        <v>16873</v>
      </c>
      <c r="B34" s="7" t="s">
        <v>16582</v>
      </c>
      <c r="C34" s="7" t="s">
        <v>16828</v>
      </c>
      <c r="D34" s="194">
        <v>2009.0</v>
      </c>
      <c r="E34" s="193"/>
      <c r="F34" s="195" t="s">
        <v>16874</v>
      </c>
      <c r="G34" s="196">
        <v>3.9520249979E11</v>
      </c>
      <c r="H34" s="197">
        <v>957.52</v>
      </c>
      <c r="I34" s="7" t="s">
        <v>16815</v>
      </c>
      <c r="J34" s="7" t="s">
        <v>16582</v>
      </c>
      <c r="K34" s="7" t="s">
        <v>16828</v>
      </c>
      <c r="L34" s="198" t="s">
        <v>65</v>
      </c>
      <c r="M34" s="194"/>
      <c r="N34" s="194"/>
    </row>
    <row r="35">
      <c r="A35" s="193" t="s">
        <v>16875</v>
      </c>
      <c r="B35" s="7" t="s">
        <v>175</v>
      </c>
      <c r="C35" s="7" t="s">
        <v>16854</v>
      </c>
      <c r="D35" s="194">
        <v>2006.0</v>
      </c>
      <c r="E35" s="193"/>
      <c r="F35" s="195" t="s">
        <v>16876</v>
      </c>
      <c r="G35" s="196">
        <v>3.69840122937E11</v>
      </c>
      <c r="H35" s="197">
        <v>394.38</v>
      </c>
      <c r="I35" s="7" t="s">
        <v>168</v>
      </c>
      <c r="J35" s="7" t="s">
        <v>175</v>
      </c>
      <c r="K35" s="7" t="s">
        <v>16854</v>
      </c>
      <c r="L35" s="198" t="s">
        <v>65</v>
      </c>
      <c r="M35" s="194"/>
      <c r="N35" s="194"/>
    </row>
    <row r="36">
      <c r="A36" s="193" t="s">
        <v>16875</v>
      </c>
      <c r="B36" s="7" t="s">
        <v>16854</v>
      </c>
      <c r="C36" s="7" t="s">
        <v>175</v>
      </c>
      <c r="D36" s="194">
        <v>2006.0</v>
      </c>
      <c r="E36" s="193"/>
      <c r="F36" s="195" t="s">
        <v>16876</v>
      </c>
      <c r="G36" s="200">
        <v>3.69840122937E11</v>
      </c>
      <c r="H36" s="197">
        <v>394.38</v>
      </c>
      <c r="I36" s="7" t="s">
        <v>16815</v>
      </c>
      <c r="J36" s="7" t="s">
        <v>16854</v>
      </c>
      <c r="K36" s="7" t="s">
        <v>175</v>
      </c>
      <c r="L36" s="201" t="s">
        <v>16835</v>
      </c>
      <c r="M36" s="194"/>
      <c r="N36" s="194"/>
    </row>
    <row r="37">
      <c r="A37" s="193" t="s">
        <v>16877</v>
      </c>
      <c r="B37" s="7" t="s">
        <v>175</v>
      </c>
      <c r="C37" s="7" t="s">
        <v>16878</v>
      </c>
      <c r="D37" s="199"/>
      <c r="E37" s="193"/>
      <c r="F37" s="195" t="s">
        <v>16879</v>
      </c>
      <c r="G37" s="196">
        <v>3.56856141208E11</v>
      </c>
      <c r="H37" s="197">
        <v>151.41</v>
      </c>
      <c r="I37" s="7" t="s">
        <v>168</v>
      </c>
      <c r="J37" s="7" t="s">
        <v>175</v>
      </c>
      <c r="K37" s="7" t="s">
        <v>16878</v>
      </c>
      <c r="L37" s="198" t="s">
        <v>65</v>
      </c>
      <c r="M37" s="199"/>
      <c r="N37" s="199"/>
    </row>
    <row r="38">
      <c r="A38" s="193" t="s">
        <v>16877</v>
      </c>
      <c r="B38" s="7" t="s">
        <v>16878</v>
      </c>
      <c r="C38" s="7" t="s">
        <v>175</v>
      </c>
      <c r="D38" s="199"/>
      <c r="E38" s="193"/>
      <c r="F38" s="195" t="s">
        <v>16879</v>
      </c>
      <c r="G38" s="200">
        <v>3.56856141208E11</v>
      </c>
      <c r="H38" s="197">
        <v>151.41</v>
      </c>
      <c r="I38" s="7" t="s">
        <v>16815</v>
      </c>
      <c r="J38" s="7" t="s">
        <v>16878</v>
      </c>
      <c r="K38" s="7" t="s">
        <v>175</v>
      </c>
      <c r="L38" s="201" t="s">
        <v>16835</v>
      </c>
      <c r="M38" s="199"/>
      <c r="N38" s="199"/>
    </row>
    <row r="39">
      <c r="A39" s="193" t="s">
        <v>16880</v>
      </c>
      <c r="B39" s="7" t="s">
        <v>187</v>
      </c>
      <c r="C39" s="7" t="s">
        <v>16846</v>
      </c>
      <c r="D39" s="199"/>
      <c r="E39" s="193"/>
      <c r="F39" s="195" t="s">
        <v>16881</v>
      </c>
      <c r="G39" s="196">
        <v>3.54471776795E11</v>
      </c>
      <c r="H39" s="197">
        <v>147.25</v>
      </c>
      <c r="I39" s="7" t="s">
        <v>16815</v>
      </c>
      <c r="J39" s="7" t="s">
        <v>187</v>
      </c>
      <c r="K39" s="7" t="s">
        <v>16846</v>
      </c>
      <c r="L39" s="198" t="s">
        <v>65</v>
      </c>
      <c r="M39" s="199"/>
      <c r="N39" s="199"/>
    </row>
    <row r="40">
      <c r="A40" s="193" t="s">
        <v>16880</v>
      </c>
      <c r="B40" s="7" t="s">
        <v>16846</v>
      </c>
      <c r="C40" s="7" t="s">
        <v>187</v>
      </c>
      <c r="D40" s="199"/>
      <c r="E40" s="193"/>
      <c r="F40" s="195" t="s">
        <v>16881</v>
      </c>
      <c r="G40" s="200">
        <v>3.54471776795E11</v>
      </c>
      <c r="H40" s="197">
        <v>147.25</v>
      </c>
      <c r="I40" s="7" t="s">
        <v>16815</v>
      </c>
      <c r="J40" s="7" t="s">
        <v>16846</v>
      </c>
      <c r="K40" s="7" t="s">
        <v>187</v>
      </c>
      <c r="L40" s="201" t="s">
        <v>16835</v>
      </c>
      <c r="M40" s="199"/>
      <c r="N40" s="199"/>
    </row>
    <row r="41">
      <c r="A41" s="193" t="s">
        <v>16882</v>
      </c>
      <c r="B41" s="7" t="s">
        <v>16582</v>
      </c>
      <c r="C41" s="7" t="s">
        <v>16817</v>
      </c>
      <c r="D41" s="194">
        <v>1986.0</v>
      </c>
      <c r="E41" s="193"/>
      <c r="F41" s="195" t="s">
        <v>16883</v>
      </c>
      <c r="G41" s="196">
        <v>3.0979156047E11</v>
      </c>
      <c r="H41" s="197">
        <v>113.07</v>
      </c>
      <c r="I41" s="7" t="s">
        <v>16815</v>
      </c>
      <c r="J41" s="7" t="s">
        <v>16582</v>
      </c>
      <c r="K41" s="7" t="s">
        <v>16817</v>
      </c>
      <c r="L41" s="198" t="s">
        <v>65</v>
      </c>
      <c r="M41" s="194"/>
      <c r="N41" s="194"/>
    </row>
    <row r="42">
      <c r="A42" s="193" t="s">
        <v>16882</v>
      </c>
      <c r="B42" s="7" t="s">
        <v>16817</v>
      </c>
      <c r="C42" s="7" t="s">
        <v>16582</v>
      </c>
      <c r="D42" s="194">
        <v>1986.0</v>
      </c>
      <c r="E42" s="193"/>
      <c r="F42" s="195" t="s">
        <v>16883</v>
      </c>
      <c r="G42" s="200">
        <v>3.0979156047E11</v>
      </c>
      <c r="H42" s="197">
        <v>113.07</v>
      </c>
      <c r="I42" s="7" t="s">
        <v>16815</v>
      </c>
      <c r="J42" s="7" t="s">
        <v>16817</v>
      </c>
      <c r="K42" s="7" t="s">
        <v>16582</v>
      </c>
      <c r="L42" s="201" t="s">
        <v>16835</v>
      </c>
      <c r="M42" s="194"/>
      <c r="N42" s="194"/>
    </row>
    <row r="43">
      <c r="A43" s="193" t="s">
        <v>16884</v>
      </c>
      <c r="B43" s="7" t="s">
        <v>16885</v>
      </c>
      <c r="C43" s="7" t="s">
        <v>16886</v>
      </c>
      <c r="D43" s="199"/>
      <c r="E43" s="193"/>
      <c r="F43" s="195" t="s">
        <v>16887</v>
      </c>
      <c r="G43" s="196">
        <v>2.94090217971E11</v>
      </c>
      <c r="H43" s="197">
        <v>58.07</v>
      </c>
      <c r="I43" s="7" t="s">
        <v>16888</v>
      </c>
      <c r="J43" s="7" t="s">
        <v>16885</v>
      </c>
      <c r="K43" s="7" t="s">
        <v>16886</v>
      </c>
      <c r="L43" s="198" t="s">
        <v>65</v>
      </c>
      <c r="M43" s="199"/>
      <c r="N43" s="199"/>
    </row>
    <row r="44">
      <c r="A44" s="193" t="s">
        <v>16884</v>
      </c>
      <c r="B44" s="7" t="s">
        <v>16886</v>
      </c>
      <c r="C44" s="7" t="s">
        <v>16885</v>
      </c>
      <c r="D44" s="199"/>
      <c r="E44" s="193"/>
      <c r="F44" s="195" t="s">
        <v>16887</v>
      </c>
      <c r="G44" s="200">
        <v>2.94090217971E11</v>
      </c>
      <c r="H44" s="197">
        <v>58.07</v>
      </c>
      <c r="I44" s="7" t="s">
        <v>16815</v>
      </c>
      <c r="J44" s="7" t="s">
        <v>16886</v>
      </c>
      <c r="K44" s="7" t="s">
        <v>16885</v>
      </c>
      <c r="L44" s="201" t="s">
        <v>16835</v>
      </c>
      <c r="M44" s="199"/>
      <c r="N44" s="199"/>
    </row>
    <row r="45">
      <c r="A45" s="193" t="s">
        <v>16889</v>
      </c>
      <c r="B45" s="7" t="s">
        <v>175</v>
      </c>
      <c r="C45" s="7" t="s">
        <v>16890</v>
      </c>
      <c r="D45" s="199"/>
      <c r="E45" s="193"/>
      <c r="F45" s="195" t="s">
        <v>16891</v>
      </c>
      <c r="G45" s="196">
        <v>2.91609239691E11</v>
      </c>
      <c r="H45" s="197">
        <v>291.59</v>
      </c>
      <c r="I45" s="7" t="s">
        <v>16892</v>
      </c>
      <c r="J45" s="7" t="s">
        <v>175</v>
      </c>
      <c r="K45" s="7" t="s">
        <v>16890</v>
      </c>
      <c r="L45" s="198" t="s">
        <v>65</v>
      </c>
      <c r="M45" s="199"/>
      <c r="N45" s="199"/>
    </row>
    <row r="46">
      <c r="A46" s="193" t="s">
        <v>16889</v>
      </c>
      <c r="B46" s="7" t="s">
        <v>16890</v>
      </c>
      <c r="C46" s="7" t="s">
        <v>175</v>
      </c>
      <c r="D46" s="199"/>
      <c r="E46" s="193"/>
      <c r="F46" s="195" t="s">
        <v>16891</v>
      </c>
      <c r="G46" s="200">
        <v>2.91609239691E11</v>
      </c>
      <c r="H46" s="197">
        <v>291.59</v>
      </c>
      <c r="I46" s="7" t="s">
        <v>16815</v>
      </c>
      <c r="J46" s="7" t="s">
        <v>16890</v>
      </c>
      <c r="K46" s="7" t="s">
        <v>175</v>
      </c>
      <c r="L46" s="201" t="s">
        <v>16835</v>
      </c>
      <c r="M46" s="199"/>
      <c r="N46" s="199"/>
    </row>
    <row r="47">
      <c r="A47" s="193" t="s">
        <v>16893</v>
      </c>
      <c r="B47" s="7" t="s">
        <v>16582</v>
      </c>
      <c r="C47" s="7" t="s">
        <v>16817</v>
      </c>
      <c r="D47" s="194">
        <v>1986.0</v>
      </c>
      <c r="E47" s="193"/>
      <c r="F47" s="195" t="s">
        <v>16894</v>
      </c>
      <c r="G47" s="196">
        <v>2.71914266E11</v>
      </c>
      <c r="H47" s="197">
        <v>597.22</v>
      </c>
      <c r="I47" s="7" t="s">
        <v>16815</v>
      </c>
      <c r="J47" s="7" t="s">
        <v>16582</v>
      </c>
      <c r="K47" s="7" t="s">
        <v>16817</v>
      </c>
      <c r="L47" s="198" t="s">
        <v>65</v>
      </c>
      <c r="M47" s="194"/>
      <c r="N47" s="194"/>
    </row>
    <row r="48">
      <c r="A48" s="193" t="s">
        <v>16895</v>
      </c>
      <c r="B48" s="7" t="s">
        <v>158</v>
      </c>
      <c r="C48" s="7" t="s">
        <v>16870</v>
      </c>
      <c r="D48" s="199"/>
      <c r="E48" s="193"/>
      <c r="F48" s="195" t="s">
        <v>16896</v>
      </c>
      <c r="G48" s="196">
        <v>2.69853671662E11</v>
      </c>
      <c r="H48" s="197">
        <v>142.95</v>
      </c>
      <c r="I48" s="7" t="s">
        <v>16897</v>
      </c>
      <c r="J48" s="7" t="s">
        <v>158</v>
      </c>
      <c r="K48" s="7" t="s">
        <v>16870</v>
      </c>
      <c r="L48" s="198" t="s">
        <v>65</v>
      </c>
      <c r="M48" s="199"/>
      <c r="N48" s="199"/>
    </row>
    <row r="49">
      <c r="A49" s="193" t="s">
        <v>16895</v>
      </c>
      <c r="B49" s="7" t="s">
        <v>16870</v>
      </c>
      <c r="C49" s="7" t="s">
        <v>158</v>
      </c>
      <c r="D49" s="199"/>
      <c r="E49" s="193"/>
      <c r="F49" s="195" t="s">
        <v>16896</v>
      </c>
      <c r="G49" s="200">
        <v>2.69853671662E11</v>
      </c>
      <c r="H49" s="197">
        <v>142.95</v>
      </c>
      <c r="I49" s="7" t="s">
        <v>16815</v>
      </c>
      <c r="J49" s="7" t="s">
        <v>16870</v>
      </c>
      <c r="K49" s="7" t="s">
        <v>158</v>
      </c>
      <c r="L49" s="201" t="s">
        <v>16835</v>
      </c>
      <c r="M49" s="199"/>
      <c r="N49" s="199"/>
    </row>
    <row r="50">
      <c r="A50" s="193" t="s">
        <v>16898</v>
      </c>
      <c r="B50" s="7" t="s">
        <v>16582</v>
      </c>
      <c r="C50" s="7" t="s">
        <v>16899</v>
      </c>
      <c r="D50" s="194">
        <v>1995.0</v>
      </c>
      <c r="E50" s="193"/>
      <c r="F50" s="195" t="s">
        <v>16900</v>
      </c>
      <c r="G50" s="196">
        <v>2.60934085706E11</v>
      </c>
      <c r="H50" s="197">
        <v>661.28</v>
      </c>
      <c r="I50" s="7" t="s">
        <v>16815</v>
      </c>
      <c r="J50" s="7" t="s">
        <v>16582</v>
      </c>
      <c r="K50" s="7" t="s">
        <v>16899</v>
      </c>
      <c r="L50" s="198" t="s">
        <v>65</v>
      </c>
      <c r="M50" s="194"/>
      <c r="N50" s="194"/>
    </row>
    <row r="51">
      <c r="A51" s="193" t="s">
        <v>16901</v>
      </c>
      <c r="B51" s="7" t="s">
        <v>175</v>
      </c>
      <c r="C51" s="7" t="s">
        <v>16842</v>
      </c>
      <c r="D51" s="199"/>
      <c r="E51" s="193"/>
      <c r="F51" s="195" t="s">
        <v>16902</v>
      </c>
      <c r="G51" s="196">
        <v>2.57654238798E11</v>
      </c>
      <c r="H51" s="197">
        <v>187.0</v>
      </c>
      <c r="I51" s="7" t="s">
        <v>16903</v>
      </c>
      <c r="J51" s="7" t="s">
        <v>175</v>
      </c>
      <c r="K51" s="7" t="s">
        <v>16842</v>
      </c>
      <c r="L51" s="198" t="s">
        <v>65</v>
      </c>
      <c r="M51" s="199"/>
      <c r="N51" s="199"/>
    </row>
    <row r="52">
      <c r="A52" s="193" t="s">
        <v>16901</v>
      </c>
      <c r="B52" s="7" t="s">
        <v>16842</v>
      </c>
      <c r="C52" s="7" t="s">
        <v>175</v>
      </c>
      <c r="D52" s="199"/>
      <c r="E52" s="193"/>
      <c r="F52" s="195" t="s">
        <v>16902</v>
      </c>
      <c r="G52" s="200">
        <v>2.57654238798E11</v>
      </c>
      <c r="H52" s="197">
        <v>187.0</v>
      </c>
      <c r="I52" s="7" t="s">
        <v>16815</v>
      </c>
      <c r="J52" s="7" t="s">
        <v>16842</v>
      </c>
      <c r="K52" s="7" t="s">
        <v>175</v>
      </c>
      <c r="L52" s="201" t="s">
        <v>16835</v>
      </c>
      <c r="M52" s="199"/>
      <c r="N52" s="199"/>
    </row>
    <row r="53">
      <c r="A53" s="193" t="s">
        <v>16904</v>
      </c>
      <c r="B53" s="7" t="s">
        <v>187</v>
      </c>
      <c r="C53" s="7" t="s">
        <v>16846</v>
      </c>
      <c r="D53" s="199"/>
      <c r="E53" s="193"/>
      <c r="F53" s="195" t="s">
        <v>16905</v>
      </c>
      <c r="G53" s="196">
        <v>2.56924600487E11</v>
      </c>
      <c r="H53" s="197">
        <v>101.39</v>
      </c>
      <c r="I53" s="7" t="s">
        <v>16815</v>
      </c>
      <c r="J53" s="7" t="s">
        <v>187</v>
      </c>
      <c r="K53" s="7" t="s">
        <v>16846</v>
      </c>
      <c r="L53" s="198" t="s">
        <v>65</v>
      </c>
      <c r="M53" s="199"/>
      <c r="N53" s="199"/>
    </row>
    <row r="54">
      <c r="A54" s="193" t="s">
        <v>16904</v>
      </c>
      <c r="B54" s="7" t="s">
        <v>16846</v>
      </c>
      <c r="C54" s="7" t="s">
        <v>187</v>
      </c>
      <c r="D54" s="199"/>
      <c r="E54" s="193"/>
      <c r="F54" s="195" t="s">
        <v>16905</v>
      </c>
      <c r="G54" s="200">
        <v>2.56924600487E11</v>
      </c>
      <c r="H54" s="197">
        <v>101.39</v>
      </c>
      <c r="I54" s="7" t="s">
        <v>16815</v>
      </c>
      <c r="J54" s="7" t="s">
        <v>16846</v>
      </c>
      <c r="K54" s="7" t="s">
        <v>187</v>
      </c>
      <c r="L54" s="201" t="s">
        <v>16835</v>
      </c>
      <c r="M54" s="199"/>
      <c r="N54" s="199"/>
    </row>
    <row r="55">
      <c r="A55" s="193" t="s">
        <v>16906</v>
      </c>
      <c r="B55" s="7" t="s">
        <v>175</v>
      </c>
      <c r="C55" s="7" t="s">
        <v>16861</v>
      </c>
      <c r="D55" s="199"/>
      <c r="E55" s="193"/>
      <c r="F55" s="195" t="s">
        <v>16907</v>
      </c>
      <c r="G55" s="196">
        <v>2.55514438913E11</v>
      </c>
      <c r="H55" s="197">
        <v>577.12</v>
      </c>
      <c r="I55" s="7" t="s">
        <v>16908</v>
      </c>
      <c r="J55" s="7" t="s">
        <v>175</v>
      </c>
      <c r="K55" s="7" t="s">
        <v>16861</v>
      </c>
      <c r="L55" s="198" t="s">
        <v>65</v>
      </c>
      <c r="M55" s="199"/>
      <c r="N55" s="199"/>
    </row>
    <row r="56">
      <c r="A56" s="193" t="s">
        <v>16909</v>
      </c>
      <c r="B56" s="7" t="s">
        <v>16910</v>
      </c>
      <c r="C56" s="7" t="s">
        <v>16911</v>
      </c>
      <c r="D56" s="199"/>
      <c r="E56" s="193"/>
      <c r="F56" s="195" t="s">
        <v>16912</v>
      </c>
      <c r="G56" s="196">
        <v>2.45224031303E11</v>
      </c>
      <c r="H56" s="197">
        <v>56.72</v>
      </c>
      <c r="I56" s="7" t="s">
        <v>127</v>
      </c>
      <c r="J56" s="7" t="s">
        <v>16910</v>
      </c>
      <c r="K56" s="7" t="s">
        <v>16911</v>
      </c>
      <c r="L56" s="198" t="s">
        <v>65</v>
      </c>
      <c r="M56" s="199"/>
      <c r="N56" s="199"/>
    </row>
    <row r="57">
      <c r="A57" s="193" t="s">
        <v>16909</v>
      </c>
      <c r="B57" s="7" t="s">
        <v>16911</v>
      </c>
      <c r="C57" s="7" t="s">
        <v>16910</v>
      </c>
      <c r="D57" s="199"/>
      <c r="E57" s="193"/>
      <c r="F57" s="195" t="s">
        <v>16912</v>
      </c>
      <c r="G57" s="200">
        <v>2.45224031303E11</v>
      </c>
      <c r="H57" s="197">
        <v>56.72</v>
      </c>
      <c r="I57" s="7" t="s">
        <v>16815</v>
      </c>
      <c r="J57" s="7" t="s">
        <v>16911</v>
      </c>
      <c r="K57" s="7" t="s">
        <v>16910</v>
      </c>
      <c r="L57" s="201" t="s">
        <v>16835</v>
      </c>
      <c r="M57" s="199"/>
      <c r="N57" s="199"/>
    </row>
    <row r="58">
      <c r="A58" s="193" t="s">
        <v>16913</v>
      </c>
      <c r="B58" s="7" t="s">
        <v>187</v>
      </c>
      <c r="C58" s="7" t="s">
        <v>16846</v>
      </c>
      <c r="D58" s="194">
        <v>2012.0</v>
      </c>
      <c r="E58" s="193"/>
      <c r="F58" s="195" t="s">
        <v>16914</v>
      </c>
      <c r="G58" s="196">
        <v>2.44685831176E11</v>
      </c>
      <c r="H58" s="197">
        <v>138.59</v>
      </c>
      <c r="I58" s="7" t="s">
        <v>16815</v>
      </c>
      <c r="J58" s="7" t="s">
        <v>187</v>
      </c>
      <c r="K58" s="7" t="s">
        <v>16846</v>
      </c>
      <c r="L58" s="198" t="s">
        <v>65</v>
      </c>
      <c r="M58" s="194"/>
      <c r="N58" s="194"/>
    </row>
    <row r="59">
      <c r="A59" s="193" t="s">
        <v>16913</v>
      </c>
      <c r="B59" s="7" t="s">
        <v>16846</v>
      </c>
      <c r="C59" s="7" t="s">
        <v>187</v>
      </c>
      <c r="D59" s="194">
        <v>2012.0</v>
      </c>
      <c r="E59" s="193"/>
      <c r="F59" s="195" t="s">
        <v>16914</v>
      </c>
      <c r="G59" s="200">
        <v>2.44685831176E11</v>
      </c>
      <c r="H59" s="197">
        <v>138.59</v>
      </c>
      <c r="I59" s="7" t="s">
        <v>16815</v>
      </c>
      <c r="J59" s="7" t="s">
        <v>16846</v>
      </c>
      <c r="K59" s="7" t="s">
        <v>187</v>
      </c>
      <c r="L59" s="201" t="s">
        <v>16835</v>
      </c>
      <c r="M59" s="194"/>
      <c r="N59" s="194"/>
    </row>
    <row r="60">
      <c r="A60" s="193" t="s">
        <v>16915</v>
      </c>
      <c r="B60" s="7" t="s">
        <v>16910</v>
      </c>
      <c r="C60" s="7" t="s">
        <v>16911</v>
      </c>
      <c r="D60" s="199"/>
      <c r="E60" s="193"/>
      <c r="F60" s="195" t="s">
        <v>16916</v>
      </c>
      <c r="G60" s="196">
        <v>2.2949229237E11</v>
      </c>
      <c r="H60" s="197">
        <v>166.92</v>
      </c>
      <c r="I60" s="7" t="s">
        <v>16917</v>
      </c>
      <c r="J60" s="7" t="s">
        <v>16910</v>
      </c>
      <c r="K60" s="7" t="s">
        <v>16911</v>
      </c>
      <c r="L60" s="198" t="s">
        <v>65</v>
      </c>
      <c r="M60" s="199"/>
      <c r="N60" s="199"/>
    </row>
    <row r="61">
      <c r="A61" s="193" t="s">
        <v>16918</v>
      </c>
      <c r="B61" s="7" t="s">
        <v>16919</v>
      </c>
      <c r="C61" s="7" t="s">
        <v>16920</v>
      </c>
      <c r="D61" s="199"/>
      <c r="E61" s="193"/>
      <c r="F61" s="195" t="s">
        <v>16921</v>
      </c>
      <c r="G61" s="196">
        <v>2.24895933598E11</v>
      </c>
      <c r="H61" s="197">
        <v>60.98</v>
      </c>
      <c r="I61" s="7" t="s">
        <v>16815</v>
      </c>
      <c r="J61" s="7" t="s">
        <v>16919</v>
      </c>
      <c r="K61" s="7" t="s">
        <v>16920</v>
      </c>
      <c r="L61" s="198" t="s">
        <v>65</v>
      </c>
      <c r="M61" s="199"/>
      <c r="N61" s="199"/>
    </row>
    <row r="62">
      <c r="A62" s="193" t="s">
        <v>16918</v>
      </c>
      <c r="B62" s="7" t="s">
        <v>16920</v>
      </c>
      <c r="C62" s="7" t="s">
        <v>16919</v>
      </c>
      <c r="D62" s="199"/>
      <c r="E62" s="193"/>
      <c r="F62" s="195" t="s">
        <v>16921</v>
      </c>
      <c r="G62" s="200">
        <v>2.24895933598E11</v>
      </c>
      <c r="H62" s="197">
        <v>60.98</v>
      </c>
      <c r="I62" s="7" t="s">
        <v>16815</v>
      </c>
      <c r="J62" s="7" t="s">
        <v>16920</v>
      </c>
      <c r="K62" s="7" t="s">
        <v>16919</v>
      </c>
      <c r="L62" s="201" t="s">
        <v>16835</v>
      </c>
      <c r="M62" s="199"/>
      <c r="N62" s="199"/>
    </row>
    <row r="63">
      <c r="A63" s="193" t="s">
        <v>16922</v>
      </c>
      <c r="B63" s="7" t="s">
        <v>16838</v>
      </c>
      <c r="C63" s="7" t="s">
        <v>16867</v>
      </c>
      <c r="D63" s="199"/>
      <c r="E63" s="193"/>
      <c r="F63" s="195" t="s">
        <v>16923</v>
      </c>
      <c r="G63" s="196">
        <v>2.19052102148E11</v>
      </c>
      <c r="H63" s="197">
        <v>27.68</v>
      </c>
      <c r="I63" s="7" t="s">
        <v>16924</v>
      </c>
      <c r="J63" s="7" t="s">
        <v>16838</v>
      </c>
      <c r="K63" s="7" t="s">
        <v>16867</v>
      </c>
      <c r="L63" s="198" t="s">
        <v>65</v>
      </c>
      <c r="M63" s="199"/>
      <c r="N63" s="199"/>
    </row>
    <row r="64">
      <c r="A64" s="193" t="s">
        <v>16922</v>
      </c>
      <c r="B64" s="7" t="s">
        <v>16867</v>
      </c>
      <c r="C64" s="7" t="s">
        <v>16838</v>
      </c>
      <c r="D64" s="199"/>
      <c r="E64" s="193"/>
      <c r="F64" s="195" t="s">
        <v>16923</v>
      </c>
      <c r="G64" s="200">
        <v>2.19052102148E11</v>
      </c>
      <c r="H64" s="197">
        <v>27.68</v>
      </c>
      <c r="I64" s="7" t="s">
        <v>16815</v>
      </c>
      <c r="J64" s="7" t="s">
        <v>16867</v>
      </c>
      <c r="K64" s="7" t="s">
        <v>16838</v>
      </c>
      <c r="L64" s="201" t="s">
        <v>16835</v>
      </c>
      <c r="M64" s="199"/>
      <c r="N64" s="199"/>
    </row>
    <row r="65">
      <c r="A65" s="193" t="s">
        <v>16925</v>
      </c>
      <c r="B65" s="7" t="s">
        <v>16926</v>
      </c>
      <c r="C65" s="7" t="s">
        <v>16927</v>
      </c>
      <c r="D65" s="194">
        <v>1990.0</v>
      </c>
      <c r="E65" s="193"/>
      <c r="F65" s="195" t="s">
        <v>16928</v>
      </c>
      <c r="G65" s="196">
        <v>2.13244970808E11</v>
      </c>
      <c r="H65" s="197">
        <v>52.59</v>
      </c>
      <c r="I65" s="7" t="s">
        <v>16815</v>
      </c>
      <c r="J65" s="7" t="s">
        <v>16926</v>
      </c>
      <c r="K65" s="7" t="s">
        <v>16927</v>
      </c>
      <c r="L65" s="198" t="s">
        <v>65</v>
      </c>
      <c r="M65" s="194"/>
      <c r="N65" s="194"/>
    </row>
    <row r="66">
      <c r="A66" s="193" t="s">
        <v>16929</v>
      </c>
      <c r="B66" s="7" t="s">
        <v>16582</v>
      </c>
      <c r="C66" s="7" t="s">
        <v>16930</v>
      </c>
      <c r="D66" s="194">
        <v>2001.0</v>
      </c>
      <c r="E66" s="193"/>
      <c r="F66" s="195" t="s">
        <v>16931</v>
      </c>
      <c r="G66" s="196">
        <v>2.1262967606E11</v>
      </c>
      <c r="H66" s="197">
        <v>319.69</v>
      </c>
      <c r="I66" s="7" t="s">
        <v>16815</v>
      </c>
      <c r="J66" s="7" t="s">
        <v>16582</v>
      </c>
      <c r="K66" s="7" t="s">
        <v>16930</v>
      </c>
      <c r="L66" s="198" t="s">
        <v>65</v>
      </c>
      <c r="M66" s="194"/>
      <c r="N66" s="194"/>
    </row>
    <row r="67">
      <c r="A67" s="193" t="s">
        <v>16929</v>
      </c>
      <c r="B67" s="7" t="s">
        <v>16930</v>
      </c>
      <c r="C67" s="7" t="s">
        <v>16582</v>
      </c>
      <c r="D67" s="194">
        <v>2001.0</v>
      </c>
      <c r="E67" s="193"/>
      <c r="F67" s="195" t="s">
        <v>16931</v>
      </c>
      <c r="G67" s="200">
        <v>2.1262967606E11</v>
      </c>
      <c r="H67" s="197">
        <v>319.69</v>
      </c>
      <c r="I67" s="7" t="s">
        <v>16815</v>
      </c>
      <c r="J67" s="7" t="s">
        <v>16930</v>
      </c>
      <c r="K67" s="7" t="s">
        <v>16582</v>
      </c>
      <c r="L67" s="201" t="s">
        <v>16835</v>
      </c>
      <c r="M67" s="194"/>
      <c r="N67" s="194"/>
    </row>
    <row r="68">
      <c r="A68" s="193" t="s">
        <v>16932</v>
      </c>
      <c r="B68" s="7" t="s">
        <v>175</v>
      </c>
      <c r="C68" s="7" t="s">
        <v>16824</v>
      </c>
      <c r="D68" s="194">
        <v>2014.0</v>
      </c>
      <c r="E68" s="193"/>
      <c r="F68" s="195" t="s">
        <v>16933</v>
      </c>
      <c r="G68" s="196">
        <v>2.12315995709E11</v>
      </c>
      <c r="H68" s="197">
        <v>82.75</v>
      </c>
      <c r="I68" s="7" t="s">
        <v>174</v>
      </c>
      <c r="J68" s="7" t="s">
        <v>175</v>
      </c>
      <c r="K68" s="7" t="s">
        <v>16824</v>
      </c>
      <c r="L68" s="198" t="s">
        <v>65</v>
      </c>
      <c r="M68" s="194"/>
      <c r="N68" s="194"/>
    </row>
    <row r="69">
      <c r="A69" s="193" t="s">
        <v>16932</v>
      </c>
      <c r="B69" s="7" t="s">
        <v>16824</v>
      </c>
      <c r="C69" s="7" t="s">
        <v>175</v>
      </c>
      <c r="D69" s="194">
        <v>2014.0</v>
      </c>
      <c r="E69" s="193"/>
      <c r="F69" s="195" t="s">
        <v>16933</v>
      </c>
      <c r="G69" s="200">
        <v>2.12315995709E11</v>
      </c>
      <c r="H69" s="197">
        <v>82.75</v>
      </c>
      <c r="I69" s="7" t="s">
        <v>16815</v>
      </c>
      <c r="J69" s="7" t="s">
        <v>16824</v>
      </c>
      <c r="K69" s="7" t="s">
        <v>175</v>
      </c>
      <c r="L69" s="201" t="s">
        <v>16835</v>
      </c>
      <c r="M69" s="194"/>
      <c r="N69" s="194"/>
    </row>
    <row r="70">
      <c r="A70" s="193" t="s">
        <v>16934</v>
      </c>
      <c r="B70" s="7" t="s">
        <v>16582</v>
      </c>
      <c r="C70" s="7" t="s">
        <v>16817</v>
      </c>
      <c r="D70" s="194">
        <v>2004.0</v>
      </c>
      <c r="E70" s="193"/>
      <c r="F70" s="195" t="s">
        <v>16935</v>
      </c>
      <c r="G70" s="196">
        <v>2.0786199E11</v>
      </c>
      <c r="H70" s="197">
        <v>213.63</v>
      </c>
      <c r="I70" s="7" t="s">
        <v>16815</v>
      </c>
      <c r="J70" s="7" t="s">
        <v>16582</v>
      </c>
      <c r="K70" s="7" t="s">
        <v>16817</v>
      </c>
      <c r="L70" s="198" t="s">
        <v>65</v>
      </c>
      <c r="M70" s="194"/>
      <c r="N70" s="194"/>
    </row>
    <row r="71">
      <c r="A71" s="193" t="s">
        <v>16934</v>
      </c>
      <c r="B71" s="7" t="s">
        <v>16817</v>
      </c>
      <c r="C71" s="7" t="s">
        <v>16582</v>
      </c>
      <c r="D71" s="194">
        <v>2004.0</v>
      </c>
      <c r="E71" s="193"/>
      <c r="F71" s="195" t="s">
        <v>16935</v>
      </c>
      <c r="G71" s="200">
        <v>2.0786199E11</v>
      </c>
      <c r="H71" s="197">
        <v>213.63</v>
      </c>
      <c r="I71" s="7" t="s">
        <v>16815</v>
      </c>
      <c r="J71" s="7" t="s">
        <v>16817</v>
      </c>
      <c r="K71" s="7" t="s">
        <v>16582</v>
      </c>
      <c r="L71" s="201" t="s">
        <v>16835</v>
      </c>
      <c r="M71" s="194"/>
      <c r="N71" s="194"/>
    </row>
    <row r="72">
      <c r="A72" s="193" t="s">
        <v>16936</v>
      </c>
      <c r="B72" s="7" t="s">
        <v>187</v>
      </c>
      <c r="C72" s="7" t="s">
        <v>16846</v>
      </c>
      <c r="D72" s="199"/>
      <c r="E72" s="193"/>
      <c r="F72" s="195" t="s">
        <v>16937</v>
      </c>
      <c r="G72" s="196">
        <v>1.98268231192E11</v>
      </c>
      <c r="H72" s="197">
        <v>93.54</v>
      </c>
      <c r="I72" s="7" t="s">
        <v>16815</v>
      </c>
      <c r="J72" s="7" t="s">
        <v>187</v>
      </c>
      <c r="K72" s="7" t="s">
        <v>16846</v>
      </c>
      <c r="L72" s="198" t="s">
        <v>65</v>
      </c>
      <c r="M72" s="199"/>
      <c r="N72" s="199"/>
    </row>
    <row r="73">
      <c r="A73" s="193" t="s">
        <v>16936</v>
      </c>
      <c r="B73" s="7" t="s">
        <v>16846</v>
      </c>
      <c r="C73" s="7" t="s">
        <v>187</v>
      </c>
      <c r="D73" s="199"/>
      <c r="E73" s="193"/>
      <c r="F73" s="195" t="s">
        <v>16937</v>
      </c>
      <c r="G73" s="200">
        <v>1.98268231192E11</v>
      </c>
      <c r="H73" s="197">
        <v>93.54</v>
      </c>
      <c r="I73" s="7" t="s">
        <v>16815</v>
      </c>
      <c r="J73" s="7" t="s">
        <v>16846</v>
      </c>
      <c r="K73" s="7" t="s">
        <v>187</v>
      </c>
      <c r="L73" s="201" t="s">
        <v>16835</v>
      </c>
      <c r="M73" s="199"/>
      <c r="N73" s="199"/>
    </row>
    <row r="74">
      <c r="A74" s="193" t="s">
        <v>16938</v>
      </c>
      <c r="B74" s="7" t="s">
        <v>175</v>
      </c>
      <c r="C74" s="7" t="s">
        <v>16939</v>
      </c>
      <c r="D74" s="194">
        <v>2002.0</v>
      </c>
      <c r="E74" s="193"/>
      <c r="F74" s="195" t="s">
        <v>16940</v>
      </c>
      <c r="G74" s="196">
        <v>1.95747855164E11</v>
      </c>
      <c r="H74" s="197">
        <v>447.24</v>
      </c>
      <c r="I74" s="7" t="s">
        <v>168</v>
      </c>
      <c r="J74" s="7" t="s">
        <v>175</v>
      </c>
      <c r="K74" s="7" t="s">
        <v>16939</v>
      </c>
      <c r="L74" s="198" t="s">
        <v>65</v>
      </c>
      <c r="M74" s="194"/>
      <c r="N74" s="194"/>
    </row>
    <row r="75">
      <c r="A75" s="193" t="s">
        <v>16941</v>
      </c>
      <c r="B75" s="7" t="s">
        <v>175</v>
      </c>
      <c r="C75" s="7" t="s">
        <v>16942</v>
      </c>
      <c r="D75" s="199"/>
      <c r="E75" s="193"/>
      <c r="F75" s="195" t="s">
        <v>16943</v>
      </c>
      <c r="G75" s="196">
        <v>1.94239342214E11</v>
      </c>
      <c r="H75" s="197">
        <v>267.79</v>
      </c>
      <c r="I75" s="7" t="s">
        <v>168</v>
      </c>
      <c r="J75" s="7" t="s">
        <v>175</v>
      </c>
      <c r="K75" s="7" t="s">
        <v>16942</v>
      </c>
      <c r="L75" s="198" t="s">
        <v>65</v>
      </c>
      <c r="M75" s="199"/>
      <c r="N75" s="199"/>
    </row>
    <row r="76">
      <c r="A76" s="193" t="s">
        <v>16941</v>
      </c>
      <c r="B76" s="7" t="s">
        <v>16942</v>
      </c>
      <c r="C76" s="7" t="s">
        <v>175</v>
      </c>
      <c r="D76" s="199"/>
      <c r="E76" s="193"/>
      <c r="F76" s="195" t="s">
        <v>16943</v>
      </c>
      <c r="G76" s="200">
        <v>1.94239342214E11</v>
      </c>
      <c r="H76" s="197">
        <v>267.79</v>
      </c>
      <c r="I76" s="7" t="s">
        <v>16815</v>
      </c>
      <c r="J76" s="7" t="s">
        <v>16942</v>
      </c>
      <c r="K76" s="7" t="s">
        <v>175</v>
      </c>
      <c r="L76" s="201" t="s">
        <v>16835</v>
      </c>
      <c r="M76" s="199"/>
      <c r="N76" s="199"/>
    </row>
    <row r="77">
      <c r="A77" s="193" t="s">
        <v>16944</v>
      </c>
      <c r="B77" s="7" t="s">
        <v>169</v>
      </c>
      <c r="C77" s="7" t="s">
        <v>16945</v>
      </c>
      <c r="D77" s="199"/>
      <c r="E77" s="193"/>
      <c r="F77" s="195" t="s">
        <v>16946</v>
      </c>
      <c r="G77" s="196">
        <v>1.93878611922E11</v>
      </c>
      <c r="H77" s="197">
        <v>399.84</v>
      </c>
      <c r="I77" s="7" t="s">
        <v>16815</v>
      </c>
      <c r="J77" s="7" t="s">
        <v>169</v>
      </c>
      <c r="K77" s="7" t="s">
        <v>16945</v>
      </c>
      <c r="L77" s="198" t="s">
        <v>65</v>
      </c>
      <c r="M77" s="199"/>
      <c r="N77" s="199"/>
    </row>
    <row r="78">
      <c r="A78" s="193" t="s">
        <v>16947</v>
      </c>
      <c r="B78" s="7" t="s">
        <v>16582</v>
      </c>
      <c r="C78" s="7" t="s">
        <v>16828</v>
      </c>
      <c r="D78" s="199"/>
      <c r="E78" s="193"/>
      <c r="F78" s="195" t="s">
        <v>16948</v>
      </c>
      <c r="G78" s="196">
        <v>1.91582013484E11</v>
      </c>
      <c r="H78" s="197">
        <v>118.59</v>
      </c>
      <c r="I78" s="7" t="s">
        <v>16815</v>
      </c>
      <c r="J78" s="7" t="s">
        <v>16582</v>
      </c>
      <c r="K78" s="7" t="s">
        <v>16828</v>
      </c>
      <c r="L78" s="198" t="s">
        <v>65</v>
      </c>
      <c r="M78" s="199"/>
      <c r="N78" s="199"/>
    </row>
    <row r="79">
      <c r="A79" s="193" t="s">
        <v>16949</v>
      </c>
      <c r="B79" s="7" t="s">
        <v>16582</v>
      </c>
      <c r="C79" s="7" t="s">
        <v>16930</v>
      </c>
      <c r="D79" s="199"/>
      <c r="E79" s="193"/>
      <c r="F79" s="195" t="s">
        <v>16950</v>
      </c>
      <c r="G79" s="196">
        <v>1.78255964063E11</v>
      </c>
      <c r="H79" s="197">
        <v>145.1</v>
      </c>
      <c r="I79" s="7" t="s">
        <v>16815</v>
      </c>
      <c r="J79" s="7" t="s">
        <v>16582</v>
      </c>
      <c r="K79" s="7" t="s">
        <v>16930</v>
      </c>
      <c r="L79" s="198" t="s">
        <v>65</v>
      </c>
      <c r="M79" s="199"/>
      <c r="N79" s="199"/>
    </row>
    <row r="80">
      <c r="A80" s="193" t="s">
        <v>16949</v>
      </c>
      <c r="B80" s="7" t="s">
        <v>16930</v>
      </c>
      <c r="C80" s="7" t="s">
        <v>16582</v>
      </c>
      <c r="D80" s="199"/>
      <c r="E80" s="193"/>
      <c r="F80" s="195" t="s">
        <v>16951</v>
      </c>
      <c r="G80" s="200">
        <v>1.78255964063E11</v>
      </c>
      <c r="H80" s="197">
        <v>145.1</v>
      </c>
      <c r="I80" s="7" t="s">
        <v>16815</v>
      </c>
      <c r="J80" s="7" t="s">
        <v>16930</v>
      </c>
      <c r="K80" s="7" t="s">
        <v>16582</v>
      </c>
      <c r="L80" s="201" t="s">
        <v>16835</v>
      </c>
      <c r="M80" s="199"/>
      <c r="N80" s="199"/>
    </row>
    <row r="81">
      <c r="A81" s="193" t="s">
        <v>16952</v>
      </c>
      <c r="B81" s="7" t="s">
        <v>158</v>
      </c>
      <c r="C81" s="7" t="s">
        <v>16864</v>
      </c>
      <c r="D81" s="199"/>
      <c r="E81" s="193"/>
      <c r="F81" s="195" t="s">
        <v>14606</v>
      </c>
      <c r="G81" s="196">
        <v>1.74381760955E11</v>
      </c>
      <c r="H81" s="197">
        <v>66.58</v>
      </c>
      <c r="I81" s="7" t="s">
        <v>16953</v>
      </c>
      <c r="J81" s="7" t="s">
        <v>158</v>
      </c>
      <c r="K81" s="7" t="s">
        <v>16864</v>
      </c>
      <c r="L81" s="198" t="s">
        <v>65</v>
      </c>
      <c r="M81" s="199"/>
      <c r="N81" s="199"/>
    </row>
    <row r="82">
      <c r="A82" s="193" t="s">
        <v>16952</v>
      </c>
      <c r="B82" s="7" t="s">
        <v>16864</v>
      </c>
      <c r="C82" s="7" t="s">
        <v>158</v>
      </c>
      <c r="D82" s="199"/>
      <c r="E82" s="193"/>
      <c r="F82" s="195" t="s">
        <v>14606</v>
      </c>
      <c r="G82" s="200">
        <v>1.74381760955E11</v>
      </c>
      <c r="H82" s="197">
        <v>66.58</v>
      </c>
      <c r="I82" s="7" t="s">
        <v>16815</v>
      </c>
      <c r="J82" s="7" t="s">
        <v>16864</v>
      </c>
      <c r="K82" s="7" t="s">
        <v>158</v>
      </c>
      <c r="L82" s="201" t="s">
        <v>16835</v>
      </c>
      <c r="M82" s="199"/>
      <c r="N82" s="199"/>
    </row>
    <row r="83">
      <c r="A83" s="193" t="s">
        <v>16954</v>
      </c>
      <c r="B83" s="7" t="s">
        <v>169</v>
      </c>
      <c r="C83" s="7" t="s">
        <v>16899</v>
      </c>
      <c r="D83" s="199"/>
      <c r="E83" s="193"/>
      <c r="F83" s="195" t="s">
        <v>16955</v>
      </c>
      <c r="G83" s="196">
        <v>1.73260939906E11</v>
      </c>
      <c r="H83" s="197">
        <v>448.43</v>
      </c>
      <c r="I83" s="7" t="s">
        <v>16815</v>
      </c>
      <c r="J83" s="7" t="s">
        <v>169</v>
      </c>
      <c r="K83" s="7" t="s">
        <v>16899</v>
      </c>
      <c r="L83" s="198" t="s">
        <v>65</v>
      </c>
      <c r="M83" s="199"/>
      <c r="N83" s="199"/>
    </row>
    <row r="84">
      <c r="A84" s="193" t="s">
        <v>16954</v>
      </c>
      <c r="B84" s="7" t="s">
        <v>16899</v>
      </c>
      <c r="C84" s="7" t="s">
        <v>169</v>
      </c>
      <c r="D84" s="199"/>
      <c r="E84" s="193"/>
      <c r="F84" s="195" t="s">
        <v>16955</v>
      </c>
      <c r="G84" s="200">
        <v>1.73260939906E11</v>
      </c>
      <c r="H84" s="197">
        <v>448.43</v>
      </c>
      <c r="I84" s="7" t="s">
        <v>16815</v>
      </c>
      <c r="J84" s="7" t="s">
        <v>16899</v>
      </c>
      <c r="K84" s="7" t="s">
        <v>169</v>
      </c>
      <c r="L84" s="201" t="s">
        <v>16835</v>
      </c>
      <c r="M84" s="199"/>
      <c r="N84" s="199"/>
    </row>
    <row r="85">
      <c r="A85" s="193" t="s">
        <v>16956</v>
      </c>
      <c r="B85" s="7" t="s">
        <v>16926</v>
      </c>
      <c r="C85" s="7" t="s">
        <v>16957</v>
      </c>
      <c r="D85" s="199"/>
      <c r="E85" s="193"/>
      <c r="F85" s="195" t="s">
        <v>16958</v>
      </c>
      <c r="G85" s="196">
        <v>1.70707283607E11</v>
      </c>
      <c r="H85" s="197">
        <v>147.61</v>
      </c>
      <c r="I85" s="7" t="s">
        <v>16815</v>
      </c>
      <c r="J85" s="7" t="s">
        <v>16926</v>
      </c>
      <c r="K85" s="7" t="s">
        <v>16957</v>
      </c>
      <c r="L85" s="198" t="s">
        <v>65</v>
      </c>
      <c r="M85" s="199"/>
      <c r="N85" s="199"/>
    </row>
    <row r="86">
      <c r="A86" s="193" t="s">
        <v>16959</v>
      </c>
      <c r="B86" s="7" t="s">
        <v>16926</v>
      </c>
      <c r="C86" s="7" t="s">
        <v>16960</v>
      </c>
      <c r="D86" s="199"/>
      <c r="E86" s="193"/>
      <c r="F86" s="195" t="s">
        <v>16961</v>
      </c>
      <c r="G86" s="196">
        <v>1.68691092281E11</v>
      </c>
      <c r="H86" s="197">
        <v>41.91</v>
      </c>
      <c r="I86" s="7" t="s">
        <v>16815</v>
      </c>
      <c r="J86" s="7" t="s">
        <v>16926</v>
      </c>
      <c r="K86" s="7" t="s">
        <v>16960</v>
      </c>
      <c r="L86" s="198" t="s">
        <v>65</v>
      </c>
      <c r="M86" s="199"/>
      <c r="N86" s="199"/>
    </row>
    <row r="87">
      <c r="A87" s="193" t="s">
        <v>16962</v>
      </c>
      <c r="B87" s="7" t="s">
        <v>187</v>
      </c>
      <c r="C87" s="7" t="s">
        <v>16846</v>
      </c>
      <c r="D87" s="199"/>
      <c r="E87" s="193"/>
      <c r="F87" s="195" t="s">
        <v>16963</v>
      </c>
      <c r="G87" s="196">
        <v>1.66456263848E11</v>
      </c>
      <c r="H87" s="197">
        <v>29.48</v>
      </c>
      <c r="I87" s="7" t="s">
        <v>16815</v>
      </c>
      <c r="J87" s="7" t="s">
        <v>187</v>
      </c>
      <c r="K87" s="7" t="s">
        <v>16846</v>
      </c>
      <c r="L87" s="198" t="s">
        <v>65</v>
      </c>
      <c r="M87" s="199"/>
      <c r="N87" s="199"/>
    </row>
    <row r="88">
      <c r="A88" s="193" t="s">
        <v>16962</v>
      </c>
      <c r="B88" s="7" t="s">
        <v>16846</v>
      </c>
      <c r="C88" s="7" t="s">
        <v>187</v>
      </c>
      <c r="D88" s="199"/>
      <c r="E88" s="193"/>
      <c r="F88" s="195" t="s">
        <v>16963</v>
      </c>
      <c r="G88" s="200">
        <v>1.66456263848E11</v>
      </c>
      <c r="H88" s="197">
        <v>29.48</v>
      </c>
      <c r="I88" s="7" t="s">
        <v>16815</v>
      </c>
      <c r="J88" s="7" t="s">
        <v>16846</v>
      </c>
      <c r="K88" s="7" t="s">
        <v>187</v>
      </c>
      <c r="L88" s="201" t="s">
        <v>16835</v>
      </c>
      <c r="M88" s="199"/>
      <c r="N88" s="199"/>
    </row>
    <row r="89">
      <c r="A89" s="193" t="s">
        <v>16964</v>
      </c>
      <c r="B89" s="7" t="s">
        <v>16957</v>
      </c>
      <c r="C89" s="7" t="s">
        <v>16926</v>
      </c>
      <c r="D89" s="194">
        <v>2018.0</v>
      </c>
      <c r="E89" s="193"/>
      <c r="F89" s="195" t="s">
        <v>16965</v>
      </c>
      <c r="G89" s="200">
        <v>1.64950964122E11</v>
      </c>
      <c r="H89" s="197">
        <v>23.07</v>
      </c>
      <c r="I89" s="7" t="s">
        <v>16815</v>
      </c>
      <c r="J89" s="7" t="s">
        <v>16957</v>
      </c>
      <c r="K89" s="7" t="s">
        <v>16926</v>
      </c>
      <c r="L89" s="201" t="s">
        <v>16835</v>
      </c>
      <c r="M89" s="194"/>
      <c r="N89" s="194"/>
    </row>
    <row r="90">
      <c r="A90" s="193" t="s">
        <v>16964</v>
      </c>
      <c r="B90" s="7" t="s">
        <v>16926</v>
      </c>
      <c r="C90" s="7" t="s">
        <v>16957</v>
      </c>
      <c r="D90" s="194">
        <v>2018.0</v>
      </c>
      <c r="E90" s="193"/>
      <c r="F90" s="195" t="s">
        <v>16965</v>
      </c>
      <c r="G90" s="196">
        <v>1.64950964122E11</v>
      </c>
      <c r="H90" s="197">
        <v>23.07</v>
      </c>
      <c r="I90" s="7" t="s">
        <v>16815</v>
      </c>
      <c r="J90" s="7" t="s">
        <v>16926</v>
      </c>
      <c r="K90" s="7" t="s">
        <v>16957</v>
      </c>
      <c r="L90" s="198" t="s">
        <v>65</v>
      </c>
      <c r="M90" s="194"/>
      <c r="N90" s="194"/>
    </row>
    <row r="91">
      <c r="A91" s="193" t="s">
        <v>16966</v>
      </c>
      <c r="B91" s="7" t="s">
        <v>16582</v>
      </c>
      <c r="C91" s="7" t="s">
        <v>16828</v>
      </c>
      <c r="D91" s="199"/>
      <c r="E91" s="193"/>
      <c r="F91" s="195" t="s">
        <v>16967</v>
      </c>
      <c r="G91" s="196">
        <v>1.6383376E11</v>
      </c>
      <c r="H91" s="197">
        <v>38.86</v>
      </c>
      <c r="I91" s="7" t="s">
        <v>16815</v>
      </c>
      <c r="J91" s="7" t="s">
        <v>16582</v>
      </c>
      <c r="K91" s="7" t="s">
        <v>16828</v>
      </c>
      <c r="L91" s="198" t="s">
        <v>65</v>
      </c>
      <c r="M91" s="199"/>
      <c r="N91" s="199"/>
    </row>
    <row r="92">
      <c r="A92" s="193" t="s">
        <v>16968</v>
      </c>
      <c r="B92" s="7" t="s">
        <v>16969</v>
      </c>
      <c r="C92" s="7" t="s">
        <v>187</v>
      </c>
      <c r="D92" s="199"/>
      <c r="E92" s="193"/>
      <c r="F92" s="195" t="s">
        <v>16970</v>
      </c>
      <c r="G92" s="200">
        <v>1.63137420628E11</v>
      </c>
      <c r="H92" s="197">
        <v>93.97</v>
      </c>
      <c r="I92" s="7" t="s">
        <v>16815</v>
      </c>
      <c r="J92" s="7" t="s">
        <v>16969</v>
      </c>
      <c r="K92" s="7" t="s">
        <v>187</v>
      </c>
      <c r="L92" s="201" t="s">
        <v>16835</v>
      </c>
      <c r="M92" s="199"/>
      <c r="N92" s="199"/>
    </row>
    <row r="93">
      <c r="A93" s="193" t="s">
        <v>16968</v>
      </c>
      <c r="B93" s="7" t="s">
        <v>187</v>
      </c>
      <c r="C93" s="7" t="s">
        <v>16969</v>
      </c>
      <c r="D93" s="199"/>
      <c r="E93" s="193"/>
      <c r="F93" s="195" t="s">
        <v>16970</v>
      </c>
      <c r="G93" s="196">
        <v>1.63137420628E11</v>
      </c>
      <c r="H93" s="197">
        <v>93.97</v>
      </c>
      <c r="I93" s="7" t="s">
        <v>16815</v>
      </c>
      <c r="J93" s="7" t="s">
        <v>187</v>
      </c>
      <c r="K93" s="7" t="s">
        <v>16969</v>
      </c>
      <c r="L93" s="198" t="s">
        <v>65</v>
      </c>
      <c r="M93" s="199"/>
      <c r="N93" s="199"/>
    </row>
    <row r="94">
      <c r="A94" s="193" t="s">
        <v>16971</v>
      </c>
      <c r="B94" s="7" t="s">
        <v>175</v>
      </c>
      <c r="C94" s="7" t="s">
        <v>16972</v>
      </c>
      <c r="D94" s="199"/>
      <c r="E94" s="193"/>
      <c r="F94" s="195" t="s">
        <v>16973</v>
      </c>
      <c r="G94" s="196">
        <v>1.61514573705E11</v>
      </c>
      <c r="H94" s="197">
        <v>88.27</v>
      </c>
      <c r="I94" s="7" t="s">
        <v>16908</v>
      </c>
      <c r="J94" s="7" t="s">
        <v>175</v>
      </c>
      <c r="K94" s="7" t="s">
        <v>16972</v>
      </c>
      <c r="L94" s="198" t="s">
        <v>65</v>
      </c>
      <c r="M94" s="199"/>
      <c r="N94" s="199"/>
    </row>
    <row r="95">
      <c r="A95" s="193" t="s">
        <v>16971</v>
      </c>
      <c r="B95" s="7" t="s">
        <v>16972</v>
      </c>
      <c r="C95" s="7" t="s">
        <v>175</v>
      </c>
      <c r="D95" s="199"/>
      <c r="E95" s="193"/>
      <c r="F95" s="195" t="s">
        <v>16973</v>
      </c>
      <c r="G95" s="200">
        <v>1.61514573705E11</v>
      </c>
      <c r="H95" s="197">
        <v>88.27</v>
      </c>
      <c r="I95" s="7" t="s">
        <v>16815</v>
      </c>
      <c r="J95" s="7" t="s">
        <v>16972</v>
      </c>
      <c r="K95" s="7" t="s">
        <v>175</v>
      </c>
      <c r="L95" s="201" t="s">
        <v>16835</v>
      </c>
      <c r="M95" s="199"/>
      <c r="N95" s="199"/>
    </row>
    <row r="96">
      <c r="A96" s="193" t="s">
        <v>16974</v>
      </c>
      <c r="B96" s="7" t="s">
        <v>175</v>
      </c>
      <c r="C96" s="7" t="s">
        <v>16975</v>
      </c>
      <c r="D96" s="199"/>
      <c r="E96" s="193"/>
      <c r="F96" s="195" t="s">
        <v>16976</v>
      </c>
      <c r="G96" s="196">
        <v>1.61489883364E11</v>
      </c>
      <c r="H96" s="197">
        <v>106.11</v>
      </c>
      <c r="I96" s="7" t="s">
        <v>168</v>
      </c>
      <c r="J96" s="7" t="s">
        <v>175</v>
      </c>
      <c r="K96" s="7" t="s">
        <v>16975</v>
      </c>
      <c r="L96" s="198" t="s">
        <v>65</v>
      </c>
      <c r="M96" s="199"/>
      <c r="N96" s="199"/>
    </row>
    <row r="97">
      <c r="A97" s="193" t="s">
        <v>16974</v>
      </c>
      <c r="B97" s="7" t="s">
        <v>16975</v>
      </c>
      <c r="C97" s="7" t="s">
        <v>175</v>
      </c>
      <c r="D97" s="199"/>
      <c r="E97" s="193"/>
      <c r="F97" s="195" t="s">
        <v>16976</v>
      </c>
      <c r="G97" s="200">
        <v>1.61489883364E11</v>
      </c>
      <c r="H97" s="197">
        <v>106.11</v>
      </c>
      <c r="I97" s="7" t="s">
        <v>16815</v>
      </c>
      <c r="J97" s="7" t="s">
        <v>16975</v>
      </c>
      <c r="K97" s="7" t="s">
        <v>175</v>
      </c>
      <c r="L97" s="201" t="s">
        <v>16835</v>
      </c>
      <c r="M97" s="199"/>
      <c r="N97" s="199"/>
    </row>
    <row r="98">
      <c r="A98" s="193" t="s">
        <v>16977</v>
      </c>
      <c r="B98" s="7" t="s">
        <v>16957</v>
      </c>
      <c r="C98" s="7" t="s">
        <v>16926</v>
      </c>
      <c r="D98" s="194">
        <v>2017.0</v>
      </c>
      <c r="E98" s="193"/>
      <c r="F98" s="195" t="s">
        <v>16978</v>
      </c>
      <c r="G98" s="200">
        <v>1.5694294159E11</v>
      </c>
      <c r="H98" s="197">
        <v>21.95</v>
      </c>
      <c r="I98" s="7" t="s">
        <v>16815</v>
      </c>
      <c r="J98" s="7" t="s">
        <v>16957</v>
      </c>
      <c r="K98" s="7" t="s">
        <v>16926</v>
      </c>
      <c r="L98" s="201" t="s">
        <v>16835</v>
      </c>
      <c r="M98" s="194"/>
      <c r="N98" s="194"/>
    </row>
    <row r="99">
      <c r="A99" s="193" t="s">
        <v>16977</v>
      </c>
      <c r="B99" s="7" t="s">
        <v>16926</v>
      </c>
      <c r="C99" s="7" t="s">
        <v>16957</v>
      </c>
      <c r="D99" s="194">
        <v>2017.0</v>
      </c>
      <c r="E99" s="193"/>
      <c r="F99" s="195" t="s">
        <v>16978</v>
      </c>
      <c r="G99" s="196">
        <v>1.5694294159E11</v>
      </c>
      <c r="H99" s="197">
        <v>21.95</v>
      </c>
      <c r="I99" s="7" t="s">
        <v>16815</v>
      </c>
      <c r="J99" s="7" t="s">
        <v>16926</v>
      </c>
      <c r="K99" s="7" t="s">
        <v>16957</v>
      </c>
      <c r="L99" s="198" t="s">
        <v>65</v>
      </c>
      <c r="M99" s="194"/>
      <c r="N99" s="194"/>
    </row>
    <row r="100">
      <c r="A100" s="193" t="s">
        <v>16979</v>
      </c>
      <c r="B100" s="7" t="s">
        <v>16926</v>
      </c>
      <c r="C100" s="7" t="s">
        <v>16957</v>
      </c>
      <c r="D100" s="199"/>
      <c r="E100" s="193"/>
      <c r="F100" s="195" t="s">
        <v>16980</v>
      </c>
      <c r="G100" s="196">
        <v>1.50128470243E11</v>
      </c>
      <c r="H100" s="197">
        <v>35.71</v>
      </c>
      <c r="I100" s="7" t="s">
        <v>16815</v>
      </c>
      <c r="J100" s="7" t="s">
        <v>16926</v>
      </c>
      <c r="K100" s="7" t="s">
        <v>16957</v>
      </c>
      <c r="L100" s="198" t="s">
        <v>65</v>
      </c>
      <c r="M100" s="199"/>
      <c r="N100" s="199"/>
    </row>
    <row r="101">
      <c r="A101" s="193" t="s">
        <v>16981</v>
      </c>
      <c r="B101" s="7" t="s">
        <v>16867</v>
      </c>
      <c r="C101" s="7" t="s">
        <v>16838</v>
      </c>
      <c r="D101" s="199"/>
      <c r="E101" s="193"/>
      <c r="F101" s="195" t="s">
        <v>16982</v>
      </c>
      <c r="G101" s="200">
        <v>1.48497747905E11</v>
      </c>
      <c r="H101" s="197">
        <v>40.89</v>
      </c>
      <c r="I101" s="7" t="s">
        <v>16815</v>
      </c>
      <c r="J101" s="7" t="s">
        <v>16867</v>
      </c>
      <c r="K101" s="7" t="s">
        <v>16838</v>
      </c>
      <c r="L101" s="201" t="s">
        <v>16835</v>
      </c>
      <c r="M101" s="199"/>
      <c r="N101" s="199"/>
    </row>
    <row r="102">
      <c r="A102" s="193" t="s">
        <v>16981</v>
      </c>
      <c r="B102" s="7" t="s">
        <v>16838</v>
      </c>
      <c r="C102" s="7" t="s">
        <v>16867</v>
      </c>
      <c r="D102" s="199"/>
      <c r="E102" s="193"/>
      <c r="F102" s="195" t="s">
        <v>16982</v>
      </c>
      <c r="G102" s="196">
        <v>1.48497747905E11</v>
      </c>
      <c r="H102" s="197">
        <v>40.89</v>
      </c>
      <c r="I102" s="7" t="s">
        <v>16815</v>
      </c>
      <c r="J102" s="7" t="s">
        <v>16838</v>
      </c>
      <c r="K102" s="7" t="s">
        <v>16867</v>
      </c>
      <c r="L102" s="198" t="s">
        <v>65</v>
      </c>
      <c r="M102" s="199"/>
      <c r="N102" s="199"/>
    </row>
    <row r="103">
      <c r="A103" s="193" t="s">
        <v>16983</v>
      </c>
      <c r="B103" s="7" t="s">
        <v>16582</v>
      </c>
      <c r="C103" s="7" t="s">
        <v>16817</v>
      </c>
      <c r="D103" s="194">
        <v>1993.0</v>
      </c>
      <c r="E103" s="193"/>
      <c r="F103" s="195" t="s">
        <v>16984</v>
      </c>
      <c r="G103" s="196">
        <v>1.48226443253E11</v>
      </c>
      <c r="H103" s="197">
        <v>528.89</v>
      </c>
      <c r="I103" s="7" t="s">
        <v>16815</v>
      </c>
      <c r="J103" s="7" t="s">
        <v>16582</v>
      </c>
      <c r="K103" s="7" t="s">
        <v>16817</v>
      </c>
      <c r="L103" s="198" t="s">
        <v>65</v>
      </c>
      <c r="M103" s="194"/>
      <c r="N103" s="194"/>
    </row>
    <row r="104">
      <c r="A104" s="193" t="s">
        <v>16985</v>
      </c>
      <c r="B104" s="7" t="s">
        <v>169</v>
      </c>
      <c r="C104" s="7" t="s">
        <v>16899</v>
      </c>
      <c r="D104" s="199"/>
      <c r="E104" s="193"/>
      <c r="F104" s="195" t="s">
        <v>16986</v>
      </c>
      <c r="G104" s="196">
        <v>1.45568640079E11</v>
      </c>
      <c r="H104" s="197">
        <v>197.0</v>
      </c>
      <c r="I104" s="7" t="s">
        <v>16815</v>
      </c>
      <c r="J104" s="7" t="s">
        <v>169</v>
      </c>
      <c r="K104" s="7" t="s">
        <v>16899</v>
      </c>
      <c r="L104" s="198" t="s">
        <v>65</v>
      </c>
      <c r="M104" s="199"/>
      <c r="N104" s="199"/>
    </row>
    <row r="105">
      <c r="A105" s="193" t="s">
        <v>16985</v>
      </c>
      <c r="B105" s="7" t="s">
        <v>16899</v>
      </c>
      <c r="C105" s="7" t="s">
        <v>169</v>
      </c>
      <c r="D105" s="199"/>
      <c r="E105" s="193"/>
      <c r="F105" s="195" t="s">
        <v>16986</v>
      </c>
      <c r="G105" s="200">
        <v>1.45568640079E11</v>
      </c>
      <c r="H105" s="197">
        <v>197.0</v>
      </c>
      <c r="I105" s="7" t="s">
        <v>16815</v>
      </c>
      <c r="J105" s="7" t="s">
        <v>16899</v>
      </c>
      <c r="K105" s="7" t="s">
        <v>169</v>
      </c>
      <c r="L105" s="201" t="s">
        <v>16835</v>
      </c>
      <c r="M105" s="199"/>
      <c r="N105" s="199"/>
    </row>
    <row r="106">
      <c r="A106" s="193" t="s">
        <v>16987</v>
      </c>
      <c r="B106" s="7" t="s">
        <v>175</v>
      </c>
      <c r="C106" s="7" t="s">
        <v>16854</v>
      </c>
      <c r="D106" s="194">
        <v>2018.0</v>
      </c>
      <c r="E106" s="193"/>
      <c r="F106" s="195" t="s">
        <v>16988</v>
      </c>
      <c r="G106" s="196">
        <v>1.43887777275E11</v>
      </c>
      <c r="H106" s="197">
        <v>109.04</v>
      </c>
      <c r="I106" s="7" t="s">
        <v>168</v>
      </c>
      <c r="J106" s="7" t="s">
        <v>175</v>
      </c>
      <c r="K106" s="7" t="s">
        <v>16854</v>
      </c>
      <c r="L106" s="198" t="s">
        <v>65</v>
      </c>
      <c r="M106" s="194"/>
      <c r="N106" s="194"/>
    </row>
    <row r="107">
      <c r="A107" s="193" t="s">
        <v>16989</v>
      </c>
      <c r="B107" s="7" t="s">
        <v>187</v>
      </c>
      <c r="C107" s="7" t="s">
        <v>16846</v>
      </c>
      <c r="D107" s="194">
        <v>1983.0</v>
      </c>
      <c r="E107" s="193"/>
      <c r="F107" s="195" t="s">
        <v>16990</v>
      </c>
      <c r="G107" s="196">
        <v>1.43058438397E11</v>
      </c>
      <c r="H107" s="197">
        <v>267.31</v>
      </c>
      <c r="I107" s="7" t="s">
        <v>16815</v>
      </c>
      <c r="J107" s="7" t="s">
        <v>187</v>
      </c>
      <c r="K107" s="7" t="s">
        <v>16846</v>
      </c>
      <c r="L107" s="198" t="s">
        <v>65</v>
      </c>
      <c r="M107" s="194"/>
      <c r="N107" s="194"/>
    </row>
    <row r="108">
      <c r="A108" s="193" t="s">
        <v>16991</v>
      </c>
      <c r="B108" s="7" t="s">
        <v>16992</v>
      </c>
      <c r="C108" s="7" t="s">
        <v>187</v>
      </c>
      <c r="D108" s="199"/>
      <c r="E108" s="193"/>
      <c r="F108" s="195" t="s">
        <v>16993</v>
      </c>
      <c r="G108" s="200">
        <v>1.39250817393E11</v>
      </c>
      <c r="H108" s="197">
        <v>89.7</v>
      </c>
      <c r="I108" s="7" t="s">
        <v>16815</v>
      </c>
      <c r="J108" s="7" t="s">
        <v>16992</v>
      </c>
      <c r="K108" s="7" t="s">
        <v>187</v>
      </c>
      <c r="L108" s="201" t="s">
        <v>16835</v>
      </c>
      <c r="M108" s="199"/>
      <c r="N108" s="199"/>
    </row>
    <row r="109">
      <c r="A109" s="193" t="s">
        <v>16991</v>
      </c>
      <c r="B109" s="7" t="s">
        <v>187</v>
      </c>
      <c r="C109" s="7" t="s">
        <v>16992</v>
      </c>
      <c r="D109" s="199"/>
      <c r="E109" s="193"/>
      <c r="F109" s="195" t="s">
        <v>16993</v>
      </c>
      <c r="G109" s="196">
        <v>1.39250817393E11</v>
      </c>
      <c r="H109" s="197">
        <v>89.7</v>
      </c>
      <c r="I109" s="7" t="s">
        <v>16815</v>
      </c>
      <c r="J109" s="7" t="s">
        <v>187</v>
      </c>
      <c r="K109" s="7" t="s">
        <v>16992</v>
      </c>
      <c r="L109" s="198" t="s">
        <v>65</v>
      </c>
      <c r="M109" s="199"/>
      <c r="N109" s="199"/>
    </row>
    <row r="110">
      <c r="A110" s="193" t="s">
        <v>16994</v>
      </c>
      <c r="B110" s="7" t="s">
        <v>16582</v>
      </c>
      <c r="C110" s="7" t="s">
        <v>16995</v>
      </c>
      <c r="D110" s="194">
        <v>1991.0</v>
      </c>
      <c r="E110" s="193"/>
      <c r="F110" s="195" t="s">
        <v>16996</v>
      </c>
      <c r="G110" s="196">
        <v>1.3824573E11</v>
      </c>
      <c r="H110" s="197">
        <v>124.21</v>
      </c>
      <c r="I110" s="7" t="s">
        <v>16815</v>
      </c>
      <c r="J110" s="7" t="s">
        <v>16582</v>
      </c>
      <c r="K110" s="7" t="s">
        <v>16995</v>
      </c>
      <c r="L110" s="198" t="s">
        <v>65</v>
      </c>
      <c r="M110" s="194"/>
      <c r="N110" s="194"/>
    </row>
    <row r="111">
      <c r="A111" s="193" t="s">
        <v>16997</v>
      </c>
      <c r="B111" s="7" t="s">
        <v>158</v>
      </c>
      <c r="C111" s="7" t="s">
        <v>16870</v>
      </c>
      <c r="D111" s="199"/>
      <c r="E111" s="193"/>
      <c r="F111" s="195" t="s">
        <v>16998</v>
      </c>
      <c r="G111" s="196">
        <v>1.37276232175E11</v>
      </c>
      <c r="H111" s="197">
        <v>115.61</v>
      </c>
      <c r="I111" s="7" t="s">
        <v>16897</v>
      </c>
      <c r="J111" s="7" t="s">
        <v>158</v>
      </c>
      <c r="K111" s="7" t="s">
        <v>16870</v>
      </c>
      <c r="L111" s="198" t="s">
        <v>65</v>
      </c>
      <c r="M111" s="199"/>
      <c r="N111" s="199"/>
    </row>
    <row r="112">
      <c r="A112" s="193" t="s">
        <v>16997</v>
      </c>
      <c r="B112" s="7" t="s">
        <v>16870</v>
      </c>
      <c r="C112" s="7" t="s">
        <v>158</v>
      </c>
      <c r="D112" s="199"/>
      <c r="E112" s="193"/>
      <c r="F112" s="195" t="s">
        <v>16998</v>
      </c>
      <c r="G112" s="200">
        <v>1.37276232175E11</v>
      </c>
      <c r="H112" s="197">
        <v>115.61</v>
      </c>
      <c r="I112" s="7" t="s">
        <v>16815</v>
      </c>
      <c r="J112" s="7" t="s">
        <v>16870</v>
      </c>
      <c r="K112" s="7" t="s">
        <v>158</v>
      </c>
      <c r="L112" s="201" t="s">
        <v>16835</v>
      </c>
      <c r="M112" s="199"/>
      <c r="N112" s="199"/>
    </row>
    <row r="113">
      <c r="A113" s="193" t="s">
        <v>16999</v>
      </c>
      <c r="B113" s="7" t="s">
        <v>16582</v>
      </c>
      <c r="C113" s="7" t="s">
        <v>16813</v>
      </c>
      <c r="D113" s="199"/>
      <c r="E113" s="193"/>
      <c r="F113" s="195" t="s">
        <v>17000</v>
      </c>
      <c r="G113" s="196">
        <v>1.36072930941E11</v>
      </c>
      <c r="H113" s="197">
        <v>149.02</v>
      </c>
      <c r="I113" s="7" t="s">
        <v>16815</v>
      </c>
      <c r="J113" s="7" t="s">
        <v>16582</v>
      </c>
      <c r="K113" s="7" t="s">
        <v>16813</v>
      </c>
      <c r="L113" s="198" t="s">
        <v>65</v>
      </c>
      <c r="M113" s="199"/>
      <c r="N113" s="199"/>
    </row>
    <row r="114">
      <c r="A114" s="193" t="s">
        <v>16999</v>
      </c>
      <c r="B114" s="7" t="s">
        <v>16813</v>
      </c>
      <c r="C114" s="7" t="s">
        <v>16582</v>
      </c>
      <c r="D114" s="199"/>
      <c r="E114" s="193"/>
      <c r="F114" s="195" t="s">
        <v>17000</v>
      </c>
      <c r="G114" s="200">
        <v>1.36072930941E11</v>
      </c>
      <c r="H114" s="197">
        <v>149.02</v>
      </c>
      <c r="I114" s="7" t="s">
        <v>16815</v>
      </c>
      <c r="J114" s="7" t="s">
        <v>16813</v>
      </c>
      <c r="K114" s="7" t="s">
        <v>16582</v>
      </c>
      <c r="L114" s="201" t="s">
        <v>16835</v>
      </c>
      <c r="M114" s="199"/>
      <c r="N114" s="199"/>
    </row>
    <row r="115">
      <c r="A115" s="193" t="s">
        <v>17001</v>
      </c>
      <c r="B115" s="7" t="s">
        <v>16838</v>
      </c>
      <c r="C115" s="7" t="s">
        <v>17002</v>
      </c>
      <c r="D115" s="199"/>
      <c r="E115" s="193"/>
      <c r="F115" s="195" t="s">
        <v>17003</v>
      </c>
      <c r="G115" s="196">
        <v>1.3443878E11</v>
      </c>
      <c r="H115" s="197">
        <v>2.03</v>
      </c>
      <c r="I115" s="7" t="s">
        <v>16815</v>
      </c>
      <c r="J115" s="7" t="s">
        <v>16838</v>
      </c>
      <c r="K115" s="7" t="s">
        <v>17002</v>
      </c>
      <c r="L115" s="198" t="s">
        <v>65</v>
      </c>
      <c r="M115" s="199"/>
      <c r="N115" s="199"/>
    </row>
    <row r="116">
      <c r="A116" s="193" t="s">
        <v>17001</v>
      </c>
      <c r="B116" s="7" t="s">
        <v>17002</v>
      </c>
      <c r="C116" s="7" t="s">
        <v>16838</v>
      </c>
      <c r="D116" s="199"/>
      <c r="E116" s="193"/>
      <c r="F116" s="195" t="s">
        <v>17003</v>
      </c>
      <c r="G116" s="200">
        <v>1.3443878E11</v>
      </c>
      <c r="H116" s="197">
        <v>2.03</v>
      </c>
      <c r="I116" s="7" t="s">
        <v>16815</v>
      </c>
      <c r="J116" s="7" t="s">
        <v>17002</v>
      </c>
      <c r="K116" s="7" t="s">
        <v>16838</v>
      </c>
      <c r="L116" s="201" t="s">
        <v>16835</v>
      </c>
      <c r="M116" s="199"/>
      <c r="N116" s="199"/>
    </row>
    <row r="117">
      <c r="A117" s="193" t="s">
        <v>17004</v>
      </c>
      <c r="B117" s="7" t="s">
        <v>16582</v>
      </c>
      <c r="C117" s="7" t="s">
        <v>16828</v>
      </c>
      <c r="D117" s="199"/>
      <c r="E117" s="193"/>
      <c r="F117" s="195" t="s">
        <v>17005</v>
      </c>
      <c r="G117" s="196">
        <v>1.33678560449E11</v>
      </c>
      <c r="H117" s="197">
        <v>147.19</v>
      </c>
      <c r="I117" s="7" t="s">
        <v>16815</v>
      </c>
      <c r="J117" s="7" t="s">
        <v>16582</v>
      </c>
      <c r="K117" s="7" t="s">
        <v>16828</v>
      </c>
      <c r="L117" s="198" t="s">
        <v>65</v>
      </c>
      <c r="M117" s="199"/>
      <c r="N117" s="199"/>
    </row>
    <row r="118">
      <c r="A118" s="193" t="s">
        <v>17006</v>
      </c>
      <c r="B118" s="7" t="s">
        <v>16582</v>
      </c>
      <c r="C118" s="7" t="s">
        <v>16817</v>
      </c>
      <c r="D118" s="194">
        <v>2012.0</v>
      </c>
      <c r="E118" s="193"/>
      <c r="F118" s="195" t="s">
        <v>17007</v>
      </c>
      <c r="G118" s="196">
        <v>1.301258E11</v>
      </c>
      <c r="H118" s="197">
        <v>634.76</v>
      </c>
      <c r="I118" s="7" t="s">
        <v>16815</v>
      </c>
      <c r="J118" s="7" t="s">
        <v>16582</v>
      </c>
      <c r="K118" s="7" t="s">
        <v>16817</v>
      </c>
      <c r="L118" s="198" t="s">
        <v>65</v>
      </c>
      <c r="M118" s="194"/>
      <c r="N118" s="194"/>
    </row>
    <row r="119">
      <c r="A119" s="193" t="s">
        <v>17006</v>
      </c>
      <c r="B119" s="7" t="s">
        <v>16817</v>
      </c>
      <c r="C119" s="7" t="s">
        <v>16582</v>
      </c>
      <c r="D119" s="194">
        <v>2012.0</v>
      </c>
      <c r="E119" s="193"/>
      <c r="F119" s="195" t="s">
        <v>17007</v>
      </c>
      <c r="G119" s="200">
        <v>1.301258E11</v>
      </c>
      <c r="H119" s="197">
        <v>634.76</v>
      </c>
      <c r="I119" s="7" t="s">
        <v>16815</v>
      </c>
      <c r="J119" s="7" t="s">
        <v>16817</v>
      </c>
      <c r="K119" s="7" t="s">
        <v>16582</v>
      </c>
      <c r="L119" s="201" t="s">
        <v>16835</v>
      </c>
      <c r="M119" s="194"/>
      <c r="N119" s="194"/>
    </row>
    <row r="120">
      <c r="A120" s="193" t="s">
        <v>17008</v>
      </c>
      <c r="B120" s="7" t="s">
        <v>17009</v>
      </c>
      <c r="C120" s="7" t="s">
        <v>169</v>
      </c>
      <c r="D120" s="199"/>
      <c r="E120" s="193"/>
      <c r="F120" s="195" t="s">
        <v>17010</v>
      </c>
      <c r="G120" s="200">
        <v>1.28923774218E11</v>
      </c>
      <c r="H120" s="197">
        <v>211.49</v>
      </c>
      <c r="I120" s="7" t="s">
        <v>16815</v>
      </c>
      <c r="J120" s="7" t="s">
        <v>17009</v>
      </c>
      <c r="K120" s="7" t="s">
        <v>169</v>
      </c>
      <c r="L120" s="201" t="s">
        <v>16835</v>
      </c>
      <c r="M120" s="199"/>
      <c r="N120" s="199"/>
    </row>
    <row r="121">
      <c r="A121" s="193" t="s">
        <v>17008</v>
      </c>
      <c r="B121" s="7" t="s">
        <v>169</v>
      </c>
      <c r="C121" s="7" t="s">
        <v>17009</v>
      </c>
      <c r="D121" s="199"/>
      <c r="E121" s="193"/>
      <c r="F121" s="195" t="s">
        <v>17010</v>
      </c>
      <c r="G121" s="196">
        <v>1.28923774218E11</v>
      </c>
      <c r="H121" s="197">
        <v>211.49</v>
      </c>
      <c r="I121" s="7" t="s">
        <v>16815</v>
      </c>
      <c r="J121" s="7" t="s">
        <v>169</v>
      </c>
      <c r="K121" s="7" t="s">
        <v>17009</v>
      </c>
      <c r="L121" s="198" t="s">
        <v>65</v>
      </c>
      <c r="M121" s="199"/>
      <c r="N121" s="199"/>
    </row>
    <row r="122">
      <c r="A122" s="193" t="s">
        <v>17011</v>
      </c>
      <c r="B122" s="7" t="s">
        <v>16582</v>
      </c>
      <c r="C122" s="7" t="s">
        <v>16828</v>
      </c>
      <c r="D122" s="194">
        <v>1972.0</v>
      </c>
      <c r="E122" s="193"/>
      <c r="F122" s="195" t="s">
        <v>17012</v>
      </c>
      <c r="G122" s="196">
        <v>1.26048920819E11</v>
      </c>
      <c r="H122" s="197">
        <v>150.68</v>
      </c>
      <c r="I122" s="7" t="s">
        <v>16815</v>
      </c>
      <c r="J122" s="7" t="s">
        <v>16582</v>
      </c>
      <c r="K122" s="7" t="s">
        <v>16828</v>
      </c>
      <c r="L122" s="198" t="s">
        <v>65</v>
      </c>
      <c r="M122" s="194"/>
      <c r="N122" s="194"/>
    </row>
    <row r="123">
      <c r="A123" s="193" t="s">
        <v>343</v>
      </c>
      <c r="B123" s="7" t="s">
        <v>16582</v>
      </c>
      <c r="C123" s="7" t="s">
        <v>17013</v>
      </c>
      <c r="D123" s="199"/>
      <c r="E123" s="193"/>
      <c r="F123" s="195" t="s">
        <v>17014</v>
      </c>
      <c r="G123" s="196">
        <v>1.25458259177E11</v>
      </c>
      <c r="H123" s="197">
        <v>115.27</v>
      </c>
      <c r="I123" s="7" t="s">
        <v>16815</v>
      </c>
      <c r="J123" s="7" t="s">
        <v>16582</v>
      </c>
      <c r="K123" s="7" t="s">
        <v>17013</v>
      </c>
      <c r="L123" s="198" t="s">
        <v>65</v>
      </c>
      <c r="M123" s="199"/>
      <c r="N123" s="199"/>
    </row>
    <row r="124">
      <c r="A124" s="193" t="s">
        <v>343</v>
      </c>
      <c r="B124" s="7" t="s">
        <v>17013</v>
      </c>
      <c r="C124" s="7" t="s">
        <v>16582</v>
      </c>
      <c r="D124" s="199"/>
      <c r="E124" s="193"/>
      <c r="F124" s="195" t="s">
        <v>17014</v>
      </c>
      <c r="G124" s="200">
        <v>1.25458259177E11</v>
      </c>
      <c r="H124" s="197">
        <v>115.27</v>
      </c>
      <c r="I124" s="7" t="s">
        <v>16815</v>
      </c>
      <c r="J124" s="7" t="s">
        <v>17013</v>
      </c>
      <c r="K124" s="7" t="s">
        <v>16582</v>
      </c>
      <c r="L124" s="201" t="s">
        <v>16835</v>
      </c>
      <c r="M124" s="199"/>
      <c r="N124" s="199"/>
    </row>
    <row r="125">
      <c r="A125" s="193" t="s">
        <v>17015</v>
      </c>
      <c r="B125" s="7" t="s">
        <v>17016</v>
      </c>
      <c r="C125" s="7" t="s">
        <v>16838</v>
      </c>
      <c r="D125" s="199"/>
      <c r="E125" s="193"/>
      <c r="F125" s="195" t="s">
        <v>17017</v>
      </c>
      <c r="G125" s="200">
        <v>1.24809696E11</v>
      </c>
      <c r="H125" s="197">
        <v>393.97</v>
      </c>
      <c r="I125" s="7" t="s">
        <v>16815</v>
      </c>
      <c r="J125" s="7" t="s">
        <v>17016</v>
      </c>
      <c r="K125" s="7" t="s">
        <v>16838</v>
      </c>
      <c r="L125" s="201" t="s">
        <v>16835</v>
      </c>
      <c r="M125" s="199"/>
      <c r="N125" s="199"/>
    </row>
    <row r="126">
      <c r="A126" s="193" t="s">
        <v>17015</v>
      </c>
      <c r="B126" s="7" t="s">
        <v>16838</v>
      </c>
      <c r="C126" s="7" t="s">
        <v>17016</v>
      </c>
      <c r="D126" s="199"/>
      <c r="E126" s="193"/>
      <c r="F126" s="195" t="s">
        <v>17017</v>
      </c>
      <c r="G126" s="196">
        <v>1.24809696E11</v>
      </c>
      <c r="H126" s="197">
        <v>393.97</v>
      </c>
      <c r="I126" s="7" t="s">
        <v>16815</v>
      </c>
      <c r="J126" s="7" t="s">
        <v>16838</v>
      </c>
      <c r="K126" s="7" t="s">
        <v>17016</v>
      </c>
      <c r="L126" s="198" t="s">
        <v>65</v>
      </c>
      <c r="M126" s="199"/>
      <c r="N126" s="199"/>
    </row>
    <row r="127">
      <c r="A127" s="193" t="s">
        <v>17018</v>
      </c>
      <c r="B127" s="7" t="s">
        <v>17019</v>
      </c>
      <c r="C127" s="7" t="s">
        <v>16838</v>
      </c>
      <c r="D127" s="199"/>
      <c r="E127" s="193"/>
      <c r="F127" s="195" t="s">
        <v>17020</v>
      </c>
      <c r="G127" s="200">
        <v>1.23640001321E11</v>
      </c>
      <c r="H127" s="197">
        <v>75.33</v>
      </c>
      <c r="I127" s="7" t="s">
        <v>16815</v>
      </c>
      <c r="J127" s="7" t="s">
        <v>17019</v>
      </c>
      <c r="K127" s="7" t="s">
        <v>16838</v>
      </c>
      <c r="L127" s="201" t="s">
        <v>16835</v>
      </c>
      <c r="M127" s="199"/>
      <c r="N127" s="199"/>
    </row>
    <row r="128">
      <c r="A128" s="193" t="s">
        <v>17018</v>
      </c>
      <c r="B128" s="7" t="s">
        <v>16838</v>
      </c>
      <c r="C128" s="7" t="s">
        <v>17019</v>
      </c>
      <c r="D128" s="199"/>
      <c r="E128" s="193"/>
      <c r="F128" s="195" t="s">
        <v>17020</v>
      </c>
      <c r="G128" s="196">
        <v>1.23640001321E11</v>
      </c>
      <c r="H128" s="197">
        <v>75.33</v>
      </c>
      <c r="I128" s="7" t="s">
        <v>16815</v>
      </c>
      <c r="J128" s="7" t="s">
        <v>16838</v>
      </c>
      <c r="K128" s="7" t="s">
        <v>17019</v>
      </c>
      <c r="L128" s="198" t="s">
        <v>65</v>
      </c>
      <c r="M128" s="199"/>
      <c r="N128" s="199"/>
    </row>
    <row r="129">
      <c r="A129" s="193" t="s">
        <v>17021</v>
      </c>
      <c r="B129" s="7" t="s">
        <v>169</v>
      </c>
      <c r="C129" s="7" t="s">
        <v>17022</v>
      </c>
      <c r="D129" s="199"/>
      <c r="E129" s="193"/>
      <c r="F129" s="195" t="s">
        <v>17023</v>
      </c>
      <c r="G129" s="196">
        <v>1.23088687741E11</v>
      </c>
      <c r="H129" s="197">
        <v>186.71</v>
      </c>
      <c r="I129" s="7" t="s">
        <v>16815</v>
      </c>
      <c r="J129" s="7" t="s">
        <v>169</v>
      </c>
      <c r="K129" s="7" t="s">
        <v>17022</v>
      </c>
      <c r="L129" s="198" t="s">
        <v>65</v>
      </c>
      <c r="M129" s="199"/>
      <c r="N129" s="199"/>
    </row>
    <row r="130">
      <c r="A130" s="193" t="s">
        <v>17024</v>
      </c>
      <c r="B130" s="7" t="s">
        <v>169</v>
      </c>
      <c r="C130" s="7" t="s">
        <v>17025</v>
      </c>
      <c r="D130" s="199"/>
      <c r="E130" s="193"/>
      <c r="F130" s="195" t="s">
        <v>17026</v>
      </c>
      <c r="G130" s="196">
        <v>1.22017431202E11</v>
      </c>
      <c r="H130" s="197">
        <v>239.68</v>
      </c>
      <c r="I130" s="7" t="s">
        <v>16815</v>
      </c>
      <c r="J130" s="7" t="s">
        <v>169</v>
      </c>
      <c r="K130" s="7" t="s">
        <v>17025</v>
      </c>
      <c r="L130" s="198" t="s">
        <v>65</v>
      </c>
      <c r="M130" s="199"/>
      <c r="N130" s="199"/>
    </row>
    <row r="131">
      <c r="A131" s="193" t="s">
        <v>17024</v>
      </c>
      <c r="B131" s="7" t="s">
        <v>17025</v>
      </c>
      <c r="C131" s="7" t="s">
        <v>169</v>
      </c>
      <c r="D131" s="199"/>
      <c r="E131" s="193"/>
      <c r="F131" s="195" t="s">
        <v>17026</v>
      </c>
      <c r="G131" s="200">
        <v>1.22017431202E11</v>
      </c>
      <c r="H131" s="197">
        <v>239.68</v>
      </c>
      <c r="I131" s="7" t="s">
        <v>16815</v>
      </c>
      <c r="J131" s="7" t="s">
        <v>17025</v>
      </c>
      <c r="K131" s="7" t="s">
        <v>169</v>
      </c>
      <c r="L131" s="201" t="s">
        <v>16835</v>
      </c>
      <c r="M131" s="199"/>
      <c r="N131" s="199"/>
    </row>
    <row r="132">
      <c r="A132" s="193" t="s">
        <v>17027</v>
      </c>
      <c r="B132" s="7" t="s">
        <v>175</v>
      </c>
      <c r="C132" s="7" t="s">
        <v>16878</v>
      </c>
      <c r="D132" s="199"/>
      <c r="E132" s="193"/>
      <c r="F132" s="195" t="s">
        <v>17028</v>
      </c>
      <c r="G132" s="196">
        <v>1.218266E11</v>
      </c>
      <c r="H132" s="197">
        <v>48.44</v>
      </c>
      <c r="I132" s="7" t="s">
        <v>17029</v>
      </c>
      <c r="J132" s="7" t="s">
        <v>175</v>
      </c>
      <c r="K132" s="7" t="s">
        <v>16878</v>
      </c>
      <c r="L132" s="198" t="s">
        <v>65</v>
      </c>
      <c r="M132" s="199"/>
      <c r="N132" s="199"/>
    </row>
    <row r="133">
      <c r="A133" s="193" t="s">
        <v>17027</v>
      </c>
      <c r="B133" s="7" t="s">
        <v>16878</v>
      </c>
      <c r="C133" s="7" t="s">
        <v>175</v>
      </c>
      <c r="D133" s="199"/>
      <c r="E133" s="193"/>
      <c r="F133" s="195" t="s">
        <v>17028</v>
      </c>
      <c r="G133" s="200">
        <v>1.218266E11</v>
      </c>
      <c r="H133" s="197">
        <v>48.44</v>
      </c>
      <c r="I133" s="7" t="s">
        <v>16815</v>
      </c>
      <c r="J133" s="7" t="s">
        <v>16878</v>
      </c>
      <c r="K133" s="7" t="s">
        <v>175</v>
      </c>
      <c r="L133" s="201" t="s">
        <v>16835</v>
      </c>
      <c r="M133" s="199"/>
      <c r="N133" s="199"/>
    </row>
    <row r="134">
      <c r="A134" s="193" t="s">
        <v>17030</v>
      </c>
      <c r="B134" s="7" t="s">
        <v>175</v>
      </c>
      <c r="C134" s="7" t="s">
        <v>17031</v>
      </c>
      <c r="D134" s="194">
        <v>1997.0</v>
      </c>
      <c r="E134" s="193"/>
      <c r="F134" s="195" t="s">
        <v>17032</v>
      </c>
      <c r="G134" s="196">
        <v>1.21748632E11</v>
      </c>
      <c r="H134" s="197">
        <v>107.06</v>
      </c>
      <c r="I134" s="7" t="s">
        <v>17033</v>
      </c>
      <c r="J134" s="7" t="s">
        <v>175</v>
      </c>
      <c r="K134" s="7" t="s">
        <v>17031</v>
      </c>
      <c r="L134" s="198" t="s">
        <v>65</v>
      </c>
      <c r="M134" s="194"/>
      <c r="N134" s="194"/>
    </row>
    <row r="135">
      <c r="A135" s="193" t="s">
        <v>17034</v>
      </c>
      <c r="B135" s="7" t="s">
        <v>175</v>
      </c>
      <c r="C135" s="7" t="s">
        <v>16942</v>
      </c>
      <c r="D135" s="194">
        <v>1992.0</v>
      </c>
      <c r="E135" s="193"/>
      <c r="F135" s="195" t="s">
        <v>17035</v>
      </c>
      <c r="G135" s="196">
        <v>1.19499582E11</v>
      </c>
      <c r="H135" s="197">
        <v>104.33</v>
      </c>
      <c r="I135" s="7" t="s">
        <v>17033</v>
      </c>
      <c r="J135" s="7" t="s">
        <v>175</v>
      </c>
      <c r="K135" s="7" t="s">
        <v>16942</v>
      </c>
      <c r="L135" s="198" t="s">
        <v>65</v>
      </c>
      <c r="M135" s="194"/>
      <c r="N135" s="194"/>
    </row>
    <row r="136">
      <c r="A136" s="193" t="s">
        <v>17036</v>
      </c>
      <c r="B136" s="7" t="s">
        <v>169</v>
      </c>
      <c r="C136" s="7" t="s">
        <v>17022</v>
      </c>
      <c r="D136" s="199"/>
      <c r="E136" s="193"/>
      <c r="F136" s="195" t="s">
        <v>17037</v>
      </c>
      <c r="G136" s="196">
        <v>1.1896868713E11</v>
      </c>
      <c r="H136" s="197">
        <v>196.65</v>
      </c>
      <c r="I136" s="7" t="s">
        <v>16815</v>
      </c>
      <c r="J136" s="7" t="s">
        <v>169</v>
      </c>
      <c r="K136" s="7" t="s">
        <v>17022</v>
      </c>
      <c r="L136" s="198" t="s">
        <v>65</v>
      </c>
      <c r="M136" s="199"/>
      <c r="N136" s="199"/>
    </row>
    <row r="137">
      <c r="A137" s="193" t="s">
        <v>17036</v>
      </c>
      <c r="B137" s="7" t="s">
        <v>17022</v>
      </c>
      <c r="C137" s="7" t="s">
        <v>169</v>
      </c>
      <c r="D137" s="199"/>
      <c r="E137" s="193"/>
      <c r="F137" s="195" t="s">
        <v>17037</v>
      </c>
      <c r="G137" s="200">
        <v>1.1896868713E11</v>
      </c>
      <c r="H137" s="197">
        <v>196.65</v>
      </c>
      <c r="I137" s="7" t="s">
        <v>16815</v>
      </c>
      <c r="J137" s="7" t="s">
        <v>17022</v>
      </c>
      <c r="K137" s="7" t="s">
        <v>169</v>
      </c>
      <c r="L137" s="201" t="s">
        <v>16835</v>
      </c>
      <c r="M137" s="199"/>
      <c r="N137" s="199"/>
    </row>
    <row r="138">
      <c r="A138" s="193" t="s">
        <v>17038</v>
      </c>
      <c r="B138" s="7" t="s">
        <v>169</v>
      </c>
      <c r="C138" s="7" t="s">
        <v>17022</v>
      </c>
      <c r="D138" s="199"/>
      <c r="E138" s="193"/>
      <c r="F138" s="195" t="s">
        <v>17039</v>
      </c>
      <c r="G138" s="196">
        <v>1.1822424357E11</v>
      </c>
      <c r="H138" s="197">
        <v>82.22</v>
      </c>
      <c r="I138" s="7" t="s">
        <v>16815</v>
      </c>
      <c r="J138" s="7" t="s">
        <v>169</v>
      </c>
      <c r="K138" s="7" t="s">
        <v>17022</v>
      </c>
      <c r="L138" s="198" t="s">
        <v>65</v>
      </c>
      <c r="M138" s="199"/>
      <c r="N138" s="199"/>
    </row>
    <row r="139">
      <c r="A139" s="193" t="s">
        <v>17038</v>
      </c>
      <c r="B139" s="7" t="s">
        <v>17022</v>
      </c>
      <c r="C139" s="7" t="s">
        <v>169</v>
      </c>
      <c r="D139" s="199"/>
      <c r="E139" s="193"/>
      <c r="F139" s="195" t="s">
        <v>17039</v>
      </c>
      <c r="G139" s="200">
        <v>1.1822424357E11</v>
      </c>
      <c r="H139" s="197">
        <v>82.22</v>
      </c>
      <c r="I139" s="7" t="s">
        <v>16815</v>
      </c>
      <c r="J139" s="7" t="s">
        <v>17022</v>
      </c>
      <c r="K139" s="7" t="s">
        <v>169</v>
      </c>
      <c r="L139" s="201" t="s">
        <v>16835</v>
      </c>
      <c r="M139" s="199"/>
      <c r="N139" s="199"/>
    </row>
    <row r="140">
      <c r="A140" s="193" t="s">
        <v>17040</v>
      </c>
      <c r="D140" s="199"/>
      <c r="E140" s="193"/>
      <c r="F140" s="195" t="s">
        <v>17041</v>
      </c>
      <c r="G140" s="196">
        <v>1.1808649605E11</v>
      </c>
      <c r="H140" s="197">
        <v>84.65</v>
      </c>
      <c r="I140" s="7" t="s">
        <v>16815</v>
      </c>
      <c r="L140" s="198" t="s">
        <v>65</v>
      </c>
      <c r="M140" s="199"/>
      <c r="N140" s="199"/>
    </row>
    <row r="141">
      <c r="A141" s="193" t="s">
        <v>17040</v>
      </c>
      <c r="D141" s="199"/>
      <c r="E141" s="193"/>
      <c r="F141" s="195" t="s">
        <v>17041</v>
      </c>
      <c r="G141" s="200">
        <v>1.1808649605E11</v>
      </c>
      <c r="H141" s="197">
        <v>84.65</v>
      </c>
      <c r="L141" s="201" t="s">
        <v>16835</v>
      </c>
      <c r="M141" s="199"/>
      <c r="N141" s="199"/>
    </row>
    <row r="142">
      <c r="A142" s="193" t="s">
        <v>17042</v>
      </c>
      <c r="B142" s="7" t="s">
        <v>17043</v>
      </c>
      <c r="C142" s="7" t="s">
        <v>169</v>
      </c>
      <c r="D142" s="194">
        <v>1999.0</v>
      </c>
      <c r="E142" s="193"/>
      <c r="F142" s="195" t="s">
        <v>17044</v>
      </c>
      <c r="G142" s="200">
        <v>1.17659443097E11</v>
      </c>
      <c r="H142" s="197">
        <v>138.11</v>
      </c>
      <c r="I142" s="7" t="s">
        <v>16815</v>
      </c>
      <c r="J142" s="7" t="s">
        <v>17043</v>
      </c>
      <c r="K142" s="7" t="s">
        <v>169</v>
      </c>
      <c r="L142" s="201" t="s">
        <v>16835</v>
      </c>
      <c r="M142" s="194"/>
      <c r="N142" s="194"/>
    </row>
    <row r="143">
      <c r="A143" s="193" t="s">
        <v>17042</v>
      </c>
      <c r="B143" s="7" t="s">
        <v>169</v>
      </c>
      <c r="C143" s="7" t="s">
        <v>17043</v>
      </c>
      <c r="D143" s="194">
        <v>1999.0</v>
      </c>
      <c r="E143" s="193"/>
      <c r="F143" s="195" t="s">
        <v>17044</v>
      </c>
      <c r="G143" s="196">
        <v>1.17659443097E11</v>
      </c>
      <c r="H143" s="197">
        <v>138.11</v>
      </c>
      <c r="I143" s="7" t="s">
        <v>16815</v>
      </c>
      <c r="J143" s="7" t="s">
        <v>169</v>
      </c>
      <c r="K143" s="7" t="s">
        <v>17043</v>
      </c>
      <c r="L143" s="198" t="s">
        <v>65</v>
      </c>
      <c r="M143" s="194"/>
      <c r="N143" s="194"/>
    </row>
    <row r="144">
      <c r="A144" s="193" t="s">
        <v>17045</v>
      </c>
      <c r="B144" s="7" t="s">
        <v>187</v>
      </c>
      <c r="C144" s="7" t="s">
        <v>16846</v>
      </c>
      <c r="D144" s="199"/>
      <c r="E144" s="193"/>
      <c r="F144" s="195" t="s">
        <v>17046</v>
      </c>
      <c r="G144" s="196">
        <v>1.15795153627E11</v>
      </c>
      <c r="H144" s="197">
        <v>45.92</v>
      </c>
      <c r="I144" s="7" t="s">
        <v>16815</v>
      </c>
      <c r="J144" s="7" t="s">
        <v>187</v>
      </c>
      <c r="K144" s="7" t="s">
        <v>16846</v>
      </c>
      <c r="L144" s="198" t="s">
        <v>65</v>
      </c>
      <c r="M144" s="199"/>
      <c r="N144" s="199"/>
    </row>
    <row r="145">
      <c r="A145" s="193" t="s">
        <v>17047</v>
      </c>
      <c r="B145" s="7" t="s">
        <v>16919</v>
      </c>
      <c r="C145" s="7" t="s">
        <v>17048</v>
      </c>
      <c r="D145" s="199"/>
      <c r="E145" s="193"/>
      <c r="F145" s="195" t="s">
        <v>17049</v>
      </c>
      <c r="G145" s="196">
        <v>1.13131164839E11</v>
      </c>
      <c r="H145" s="197">
        <v>55.14</v>
      </c>
      <c r="I145" s="7" t="s">
        <v>16815</v>
      </c>
      <c r="J145" s="7" t="s">
        <v>16919</v>
      </c>
      <c r="K145" s="7" t="s">
        <v>17048</v>
      </c>
      <c r="L145" s="198" t="s">
        <v>65</v>
      </c>
      <c r="M145" s="199"/>
      <c r="N145" s="199"/>
    </row>
    <row r="146">
      <c r="A146" s="193" t="s">
        <v>17047</v>
      </c>
      <c r="B146" s="7" t="s">
        <v>17048</v>
      </c>
      <c r="C146" s="7" t="s">
        <v>16919</v>
      </c>
      <c r="D146" s="199"/>
      <c r="E146" s="193"/>
      <c r="F146" s="195" t="s">
        <v>17049</v>
      </c>
      <c r="G146" s="200">
        <v>1.13131164839E11</v>
      </c>
      <c r="H146" s="197">
        <v>55.14</v>
      </c>
      <c r="I146" s="7" t="s">
        <v>16815</v>
      </c>
      <c r="J146" s="7" t="s">
        <v>17048</v>
      </c>
      <c r="K146" s="7" t="s">
        <v>16919</v>
      </c>
      <c r="L146" s="201" t="s">
        <v>16835</v>
      </c>
      <c r="M146" s="199"/>
      <c r="N146" s="199"/>
    </row>
    <row r="147">
      <c r="A147" s="193" t="s">
        <v>17050</v>
      </c>
      <c r="B147" s="7" t="s">
        <v>16838</v>
      </c>
      <c r="C147" s="7" t="s">
        <v>17016</v>
      </c>
      <c r="D147" s="199"/>
      <c r="E147" s="193"/>
      <c r="F147" s="195" t="s">
        <v>17051</v>
      </c>
      <c r="G147" s="196">
        <v>1.12503742177E11</v>
      </c>
      <c r="H147" s="197">
        <v>154.38</v>
      </c>
      <c r="I147" s="7" t="s">
        <v>16924</v>
      </c>
      <c r="J147" s="7" t="s">
        <v>16838</v>
      </c>
      <c r="K147" s="7" t="s">
        <v>17016</v>
      </c>
      <c r="L147" s="198" t="s">
        <v>65</v>
      </c>
      <c r="M147" s="199"/>
      <c r="N147" s="199"/>
    </row>
    <row r="148">
      <c r="A148" s="193" t="s">
        <v>17050</v>
      </c>
      <c r="B148" s="7" t="s">
        <v>17016</v>
      </c>
      <c r="C148" s="7" t="s">
        <v>16838</v>
      </c>
      <c r="D148" s="199"/>
      <c r="E148" s="193"/>
      <c r="F148" s="195" t="s">
        <v>17051</v>
      </c>
      <c r="G148" s="200">
        <v>1.12503742177E11</v>
      </c>
      <c r="H148" s="197">
        <v>154.38</v>
      </c>
      <c r="I148" s="7" t="s">
        <v>16815</v>
      </c>
      <c r="J148" s="7" t="s">
        <v>17016</v>
      </c>
      <c r="K148" s="7" t="s">
        <v>16838</v>
      </c>
      <c r="L148" s="201" t="s">
        <v>16835</v>
      </c>
      <c r="M148" s="199"/>
      <c r="N148" s="199"/>
    </row>
    <row r="149">
      <c r="A149" s="193" t="s">
        <v>17052</v>
      </c>
      <c r="B149" s="7" t="s">
        <v>175</v>
      </c>
      <c r="C149" s="7" t="s">
        <v>16890</v>
      </c>
      <c r="D149" s="199"/>
      <c r="E149" s="193"/>
      <c r="F149" s="195" t="s">
        <v>17053</v>
      </c>
      <c r="G149" s="196">
        <v>1.12306621617E11</v>
      </c>
      <c r="H149" s="197">
        <v>194.6</v>
      </c>
      <c r="I149" s="7" t="s">
        <v>168</v>
      </c>
      <c r="J149" s="7" t="s">
        <v>175</v>
      </c>
      <c r="K149" s="7" t="s">
        <v>16890</v>
      </c>
      <c r="L149" s="198" t="s">
        <v>65</v>
      </c>
      <c r="M149" s="199"/>
      <c r="N149" s="199"/>
    </row>
    <row r="150">
      <c r="A150" s="193" t="s">
        <v>17052</v>
      </c>
      <c r="B150" s="7" t="s">
        <v>16890</v>
      </c>
      <c r="C150" s="7" t="s">
        <v>175</v>
      </c>
      <c r="D150" s="199"/>
      <c r="E150" s="193"/>
      <c r="F150" s="195" t="s">
        <v>17053</v>
      </c>
      <c r="G150" s="200">
        <v>1.12306621617E11</v>
      </c>
      <c r="H150" s="197">
        <v>194.6</v>
      </c>
      <c r="I150" s="7" t="s">
        <v>16815</v>
      </c>
      <c r="J150" s="7" t="s">
        <v>16890</v>
      </c>
      <c r="K150" s="7" t="s">
        <v>175</v>
      </c>
      <c r="L150" s="201" t="s">
        <v>16835</v>
      </c>
      <c r="M150" s="199"/>
      <c r="N150" s="199"/>
    </row>
    <row r="151">
      <c r="A151" s="193" t="s">
        <v>17054</v>
      </c>
      <c r="B151" s="7" t="s">
        <v>16957</v>
      </c>
      <c r="C151" s="7" t="s">
        <v>16926</v>
      </c>
      <c r="D151" s="199"/>
      <c r="E151" s="193"/>
      <c r="F151" s="195" t="s">
        <v>17055</v>
      </c>
      <c r="G151" s="200">
        <v>1.11826314646E11</v>
      </c>
      <c r="H151" s="197">
        <v>15.64</v>
      </c>
      <c r="I151" s="7" t="s">
        <v>16815</v>
      </c>
      <c r="J151" s="7" t="s">
        <v>16957</v>
      </c>
      <c r="K151" s="7" t="s">
        <v>16926</v>
      </c>
      <c r="L151" s="201" t="s">
        <v>16835</v>
      </c>
      <c r="M151" s="199"/>
      <c r="N151" s="199"/>
    </row>
    <row r="152">
      <c r="A152" s="193" t="s">
        <v>17054</v>
      </c>
      <c r="B152" s="7" t="s">
        <v>16926</v>
      </c>
      <c r="C152" s="7" t="s">
        <v>16957</v>
      </c>
      <c r="D152" s="199"/>
      <c r="E152" s="193"/>
      <c r="F152" s="195" t="s">
        <v>17055</v>
      </c>
      <c r="G152" s="196">
        <v>1.11826314646E11</v>
      </c>
      <c r="H152" s="197">
        <v>15.64</v>
      </c>
      <c r="I152" s="7" t="s">
        <v>16815</v>
      </c>
      <c r="J152" s="7" t="s">
        <v>16926</v>
      </c>
      <c r="K152" s="7" t="s">
        <v>16957</v>
      </c>
      <c r="L152" s="198" t="s">
        <v>65</v>
      </c>
      <c r="M152" s="199"/>
      <c r="N152" s="199"/>
    </row>
    <row r="153">
      <c r="A153" s="193" t="s">
        <v>17056</v>
      </c>
      <c r="B153" s="7" t="s">
        <v>17057</v>
      </c>
      <c r="C153" s="7" t="s">
        <v>169</v>
      </c>
      <c r="D153" s="199"/>
      <c r="E153" s="193"/>
      <c r="F153" s="195" t="s">
        <v>17058</v>
      </c>
      <c r="G153" s="200">
        <v>1.10371675342E11</v>
      </c>
      <c r="H153" s="197">
        <v>444.87</v>
      </c>
      <c r="I153" s="7" t="s">
        <v>16815</v>
      </c>
      <c r="J153" s="7" t="s">
        <v>17057</v>
      </c>
      <c r="K153" s="7" t="s">
        <v>169</v>
      </c>
      <c r="L153" s="201" t="s">
        <v>16835</v>
      </c>
      <c r="M153" s="199"/>
      <c r="N153" s="199"/>
    </row>
    <row r="154">
      <c r="A154" s="193" t="s">
        <v>17056</v>
      </c>
      <c r="B154" s="7" t="s">
        <v>169</v>
      </c>
      <c r="C154" s="7" t="s">
        <v>17057</v>
      </c>
      <c r="D154" s="199"/>
      <c r="E154" s="193"/>
      <c r="F154" s="195" t="s">
        <v>17058</v>
      </c>
      <c r="G154" s="196">
        <v>1.10371675342E11</v>
      </c>
      <c r="H154" s="197">
        <v>444.87</v>
      </c>
      <c r="I154" s="7" t="s">
        <v>16815</v>
      </c>
      <c r="J154" s="7" t="s">
        <v>169</v>
      </c>
      <c r="K154" s="7" t="s">
        <v>17057</v>
      </c>
      <c r="L154" s="198" t="s">
        <v>65</v>
      </c>
      <c r="M154" s="199"/>
      <c r="N154" s="199"/>
    </row>
    <row r="155">
      <c r="A155" s="193" t="s">
        <v>17059</v>
      </c>
      <c r="D155" s="199"/>
      <c r="E155" s="193"/>
      <c r="F155" s="195" t="s">
        <v>17060</v>
      </c>
      <c r="G155" s="196">
        <v>1.085535E11</v>
      </c>
      <c r="H155" s="197">
        <v>59.4</v>
      </c>
      <c r="I155" s="7" t="s">
        <v>16815</v>
      </c>
      <c r="L155" s="198" t="s">
        <v>65</v>
      </c>
      <c r="M155" s="199"/>
      <c r="N155" s="199"/>
    </row>
    <row r="156">
      <c r="A156" s="193" t="s">
        <v>17059</v>
      </c>
      <c r="D156" s="199"/>
      <c r="E156" s="193"/>
      <c r="F156" s="195" t="s">
        <v>17060</v>
      </c>
      <c r="G156" s="200">
        <v>1.085535E11</v>
      </c>
      <c r="H156" s="197">
        <v>59.4</v>
      </c>
      <c r="L156" s="201" t="s">
        <v>16835</v>
      </c>
      <c r="M156" s="199"/>
      <c r="N156" s="199"/>
    </row>
    <row r="157">
      <c r="A157" s="193" t="s">
        <v>17061</v>
      </c>
      <c r="B157" s="7" t="s">
        <v>16910</v>
      </c>
      <c r="C157" s="7" t="s">
        <v>17013</v>
      </c>
      <c r="D157" s="199"/>
      <c r="E157" s="193"/>
      <c r="F157" s="195" t="s">
        <v>17062</v>
      </c>
      <c r="G157" s="196">
        <v>1.0837738708E11</v>
      </c>
      <c r="H157" s="197">
        <v>85.94</v>
      </c>
      <c r="I157" s="7" t="s">
        <v>17063</v>
      </c>
      <c r="J157" s="7" t="s">
        <v>16910</v>
      </c>
      <c r="K157" s="7" t="s">
        <v>17013</v>
      </c>
      <c r="L157" s="198" t="s">
        <v>65</v>
      </c>
      <c r="M157" s="199"/>
      <c r="N157" s="199"/>
    </row>
    <row r="158">
      <c r="A158" s="193" t="s">
        <v>17061</v>
      </c>
      <c r="B158" s="7" t="s">
        <v>17013</v>
      </c>
      <c r="C158" s="7" t="s">
        <v>16910</v>
      </c>
      <c r="D158" s="199"/>
      <c r="E158" s="193"/>
      <c r="F158" s="195" t="s">
        <v>17062</v>
      </c>
      <c r="G158" s="200">
        <v>1.0837738708E11</v>
      </c>
      <c r="H158" s="197">
        <v>85.94</v>
      </c>
      <c r="I158" s="7" t="s">
        <v>16815</v>
      </c>
      <c r="J158" s="7" t="s">
        <v>17013</v>
      </c>
      <c r="K158" s="7" t="s">
        <v>16910</v>
      </c>
      <c r="L158" s="201" t="s">
        <v>16835</v>
      </c>
      <c r="M158" s="199"/>
      <c r="N158" s="199"/>
    </row>
    <row r="159">
      <c r="A159" s="193" t="s">
        <v>17064</v>
      </c>
      <c r="B159" s="7" t="s">
        <v>169</v>
      </c>
      <c r="C159" s="7" t="s">
        <v>16899</v>
      </c>
      <c r="D159" s="199"/>
      <c r="E159" s="193"/>
      <c r="F159" s="195" t="s">
        <v>17065</v>
      </c>
      <c r="G159" s="196">
        <v>1.07709335792E11</v>
      </c>
      <c r="H159" s="197">
        <v>373.99</v>
      </c>
      <c r="I159" s="7" t="s">
        <v>16815</v>
      </c>
      <c r="J159" s="7" t="s">
        <v>169</v>
      </c>
      <c r="K159" s="7" t="s">
        <v>16899</v>
      </c>
      <c r="L159" s="198" t="s">
        <v>65</v>
      </c>
      <c r="M159" s="199"/>
      <c r="N159" s="199"/>
    </row>
    <row r="160">
      <c r="A160" s="193" t="s">
        <v>17064</v>
      </c>
      <c r="B160" s="7" t="s">
        <v>16899</v>
      </c>
      <c r="C160" s="7" t="s">
        <v>169</v>
      </c>
      <c r="D160" s="199"/>
      <c r="E160" s="193"/>
      <c r="F160" s="195" t="s">
        <v>17065</v>
      </c>
      <c r="G160" s="200">
        <v>1.07709335792E11</v>
      </c>
      <c r="H160" s="197">
        <v>373.99</v>
      </c>
      <c r="I160" s="7" t="s">
        <v>16815</v>
      </c>
      <c r="J160" s="7" t="s">
        <v>16899</v>
      </c>
      <c r="K160" s="7" t="s">
        <v>169</v>
      </c>
      <c r="L160" s="201" t="s">
        <v>16835</v>
      </c>
      <c r="M160" s="199"/>
      <c r="N160" s="199"/>
    </row>
    <row r="161">
      <c r="A161" s="193" t="s">
        <v>17066</v>
      </c>
      <c r="B161" s="7" t="s">
        <v>16851</v>
      </c>
      <c r="C161" s="7" t="s">
        <v>187</v>
      </c>
      <c r="D161" s="199"/>
      <c r="E161" s="193"/>
      <c r="F161" s="195" t="s">
        <v>17067</v>
      </c>
      <c r="G161" s="200">
        <v>1.07670023614E11</v>
      </c>
      <c r="H161" s="197">
        <v>458.25</v>
      </c>
      <c r="I161" s="7" t="s">
        <v>16815</v>
      </c>
      <c r="J161" s="7" t="s">
        <v>16851</v>
      </c>
      <c r="K161" s="7" t="s">
        <v>187</v>
      </c>
      <c r="L161" s="201" t="s">
        <v>16835</v>
      </c>
      <c r="M161" s="199"/>
      <c r="N161" s="199"/>
    </row>
    <row r="162">
      <c r="A162" s="193" t="s">
        <v>17066</v>
      </c>
      <c r="B162" s="7" t="s">
        <v>187</v>
      </c>
      <c r="C162" s="7" t="s">
        <v>16851</v>
      </c>
      <c r="D162" s="199"/>
      <c r="E162" s="193"/>
      <c r="F162" s="195" t="s">
        <v>17067</v>
      </c>
      <c r="G162" s="196">
        <v>1.07670023614E11</v>
      </c>
      <c r="H162" s="197">
        <v>458.25</v>
      </c>
      <c r="I162" s="7" t="s">
        <v>16815</v>
      </c>
      <c r="J162" s="7" t="s">
        <v>187</v>
      </c>
      <c r="K162" s="7" t="s">
        <v>16851</v>
      </c>
      <c r="L162" s="198" t="s">
        <v>65</v>
      </c>
      <c r="M162" s="199"/>
      <c r="N162" s="199"/>
    </row>
    <row r="163">
      <c r="A163" s="193" t="s">
        <v>17068</v>
      </c>
      <c r="B163" s="7" t="s">
        <v>175</v>
      </c>
      <c r="C163" s="7" t="s">
        <v>17069</v>
      </c>
      <c r="D163" s="199"/>
      <c r="E163" s="193"/>
      <c r="F163" s="195" t="s">
        <v>17070</v>
      </c>
      <c r="G163" s="196">
        <v>1.07259494273E11</v>
      </c>
      <c r="H163" s="197">
        <v>3074.23</v>
      </c>
      <c r="I163" s="7" t="s">
        <v>16908</v>
      </c>
      <c r="J163" s="7" t="s">
        <v>175</v>
      </c>
      <c r="K163" s="7" t="s">
        <v>17069</v>
      </c>
      <c r="L163" s="198" t="s">
        <v>65</v>
      </c>
      <c r="M163" s="199"/>
      <c r="N163" s="199"/>
    </row>
    <row r="164">
      <c r="A164" s="193" t="s">
        <v>17071</v>
      </c>
      <c r="B164" s="7" t="s">
        <v>16885</v>
      </c>
      <c r="C164" s="7" t="s">
        <v>16886</v>
      </c>
      <c r="D164" s="194">
        <v>2002.0</v>
      </c>
      <c r="E164" s="193"/>
      <c r="F164" s="195" t="s">
        <v>17072</v>
      </c>
      <c r="G164" s="196">
        <v>1.0650734904E11</v>
      </c>
      <c r="H164" s="197">
        <v>65.46</v>
      </c>
      <c r="I164" s="7" t="s">
        <v>16826</v>
      </c>
      <c r="J164" s="7" t="s">
        <v>16885</v>
      </c>
      <c r="K164" s="7" t="s">
        <v>16886</v>
      </c>
      <c r="L164" s="198" t="s">
        <v>65</v>
      </c>
      <c r="M164" s="194"/>
      <c r="N164" s="194"/>
    </row>
    <row r="165">
      <c r="A165" s="193" t="s">
        <v>17071</v>
      </c>
      <c r="B165" s="7" t="s">
        <v>16886</v>
      </c>
      <c r="C165" s="7" t="s">
        <v>16885</v>
      </c>
      <c r="D165" s="194">
        <v>2002.0</v>
      </c>
      <c r="E165" s="193"/>
      <c r="F165" s="195" t="s">
        <v>17072</v>
      </c>
      <c r="G165" s="200">
        <v>1.0650734904E11</v>
      </c>
      <c r="H165" s="197">
        <v>65.46</v>
      </c>
      <c r="I165" s="7" t="s">
        <v>16815</v>
      </c>
      <c r="J165" s="7" t="s">
        <v>16886</v>
      </c>
      <c r="K165" s="7" t="s">
        <v>16885</v>
      </c>
      <c r="L165" s="201" t="s">
        <v>16835</v>
      </c>
      <c r="M165" s="194"/>
      <c r="N165" s="194"/>
    </row>
    <row r="166">
      <c r="A166" s="193" t="s">
        <v>17073</v>
      </c>
      <c r="B166" s="7" t="s">
        <v>17019</v>
      </c>
      <c r="C166" s="7" t="s">
        <v>16838</v>
      </c>
      <c r="D166" s="194">
        <v>1999.0</v>
      </c>
      <c r="E166" s="193"/>
      <c r="F166" s="195" t="s">
        <v>17074</v>
      </c>
      <c r="G166" s="200">
        <v>1.06152868157E11</v>
      </c>
      <c r="H166" s="197">
        <v>325.51</v>
      </c>
      <c r="I166" s="7" t="s">
        <v>16815</v>
      </c>
      <c r="J166" s="7" t="s">
        <v>17019</v>
      </c>
      <c r="K166" s="7" t="s">
        <v>16838</v>
      </c>
      <c r="L166" s="201" t="s">
        <v>16835</v>
      </c>
      <c r="M166" s="194"/>
      <c r="N166" s="194"/>
    </row>
    <row r="167">
      <c r="A167" s="193" t="s">
        <v>17073</v>
      </c>
      <c r="B167" s="7" t="s">
        <v>16838</v>
      </c>
      <c r="C167" s="7" t="s">
        <v>17019</v>
      </c>
      <c r="D167" s="194">
        <v>1999.0</v>
      </c>
      <c r="E167" s="193"/>
      <c r="F167" s="195" t="s">
        <v>17074</v>
      </c>
      <c r="G167" s="196">
        <v>1.06152868157E11</v>
      </c>
      <c r="H167" s="197">
        <v>325.51</v>
      </c>
      <c r="I167" s="7" t="s">
        <v>16815</v>
      </c>
      <c r="J167" s="7" t="s">
        <v>16838</v>
      </c>
      <c r="K167" s="7" t="s">
        <v>17019</v>
      </c>
      <c r="L167" s="198" t="s">
        <v>65</v>
      </c>
      <c r="M167" s="194"/>
      <c r="N167" s="194"/>
    </row>
    <row r="168">
      <c r="A168" s="193" t="s">
        <v>17075</v>
      </c>
      <c r="B168" s="7" t="s">
        <v>16582</v>
      </c>
      <c r="C168" s="7" t="s">
        <v>16930</v>
      </c>
      <c r="D168" s="194">
        <v>2019.0</v>
      </c>
      <c r="E168" s="193"/>
      <c r="F168" s="195" t="s">
        <v>17076</v>
      </c>
      <c r="G168" s="196">
        <v>1.06144327503E11</v>
      </c>
      <c r="H168" s="197">
        <v>51.58</v>
      </c>
      <c r="I168" s="7" t="s">
        <v>16815</v>
      </c>
      <c r="J168" s="7" t="s">
        <v>16582</v>
      </c>
      <c r="K168" s="7" t="s">
        <v>16930</v>
      </c>
      <c r="L168" s="198" t="s">
        <v>65</v>
      </c>
      <c r="M168" s="194"/>
      <c r="N168" s="194"/>
    </row>
    <row r="169">
      <c r="A169" s="193" t="s">
        <v>17075</v>
      </c>
      <c r="B169" s="7" t="s">
        <v>16930</v>
      </c>
      <c r="C169" s="7" t="s">
        <v>16582</v>
      </c>
      <c r="D169" s="194">
        <v>2019.0</v>
      </c>
      <c r="E169" s="193"/>
      <c r="F169" s="195" t="s">
        <v>17076</v>
      </c>
      <c r="G169" s="200">
        <v>1.06144327503E11</v>
      </c>
      <c r="H169" s="197">
        <v>51.58</v>
      </c>
      <c r="I169" s="7" t="s">
        <v>16815</v>
      </c>
      <c r="J169" s="7" t="s">
        <v>16930</v>
      </c>
      <c r="K169" s="7" t="s">
        <v>16582</v>
      </c>
      <c r="L169" s="201" t="s">
        <v>16835</v>
      </c>
      <c r="M169" s="194"/>
      <c r="N169" s="194"/>
    </row>
    <row r="170">
      <c r="A170" s="193" t="s">
        <v>17077</v>
      </c>
      <c r="B170" s="7" t="s">
        <v>16838</v>
      </c>
      <c r="C170" s="7" t="s">
        <v>17002</v>
      </c>
      <c r="D170" s="194">
        <v>2001.0</v>
      </c>
      <c r="E170" s="193"/>
      <c r="F170" s="195" t="s">
        <v>17078</v>
      </c>
      <c r="G170" s="196">
        <v>1.05956802934E11</v>
      </c>
      <c r="H170" s="197">
        <v>57.32</v>
      </c>
      <c r="I170" s="7" t="s">
        <v>16815</v>
      </c>
      <c r="J170" s="7" t="s">
        <v>16838</v>
      </c>
      <c r="K170" s="7" t="s">
        <v>17002</v>
      </c>
      <c r="L170" s="198" t="s">
        <v>65</v>
      </c>
      <c r="M170" s="194"/>
      <c r="N170" s="194"/>
    </row>
    <row r="171">
      <c r="A171" s="193" t="s">
        <v>17077</v>
      </c>
      <c r="B171" s="7" t="s">
        <v>17002</v>
      </c>
      <c r="C171" s="7" t="s">
        <v>16838</v>
      </c>
      <c r="D171" s="194">
        <v>2001.0</v>
      </c>
      <c r="E171" s="193"/>
      <c r="F171" s="195" t="s">
        <v>17078</v>
      </c>
      <c r="G171" s="200">
        <v>1.05956802934E11</v>
      </c>
      <c r="H171" s="197">
        <v>57.32</v>
      </c>
      <c r="I171" s="7" t="s">
        <v>16815</v>
      </c>
      <c r="J171" s="7" t="s">
        <v>17002</v>
      </c>
      <c r="K171" s="7" t="s">
        <v>16838</v>
      </c>
      <c r="L171" s="201" t="s">
        <v>16835</v>
      </c>
      <c r="M171" s="194"/>
      <c r="N171" s="194"/>
    </row>
    <row r="172">
      <c r="A172" s="193" t="s">
        <v>17079</v>
      </c>
      <c r="B172" s="7" t="s">
        <v>16838</v>
      </c>
      <c r="C172" s="7" t="s">
        <v>17002</v>
      </c>
      <c r="D172" s="199"/>
      <c r="E172" s="193"/>
      <c r="F172" s="195" t="s">
        <v>17080</v>
      </c>
      <c r="G172" s="196">
        <v>1.05054246418E11</v>
      </c>
      <c r="H172" s="197">
        <v>8.28</v>
      </c>
      <c r="I172" s="7" t="s">
        <v>16815</v>
      </c>
      <c r="J172" s="7" t="s">
        <v>16838</v>
      </c>
      <c r="K172" s="7" t="s">
        <v>17002</v>
      </c>
      <c r="L172" s="198" t="s">
        <v>65</v>
      </c>
      <c r="M172" s="199"/>
      <c r="N172" s="199"/>
    </row>
    <row r="173">
      <c r="A173" s="193" t="s">
        <v>17079</v>
      </c>
      <c r="B173" s="7" t="s">
        <v>17002</v>
      </c>
      <c r="C173" s="7" t="s">
        <v>16838</v>
      </c>
      <c r="D173" s="199"/>
      <c r="E173" s="193"/>
      <c r="F173" s="195" t="s">
        <v>17080</v>
      </c>
      <c r="G173" s="200">
        <v>1.05054246418E11</v>
      </c>
      <c r="H173" s="197">
        <v>8.28</v>
      </c>
      <c r="I173" s="7" t="s">
        <v>16815</v>
      </c>
      <c r="J173" s="7" t="s">
        <v>17002</v>
      </c>
      <c r="K173" s="7" t="s">
        <v>16838</v>
      </c>
      <c r="L173" s="201" t="s">
        <v>16835</v>
      </c>
      <c r="M173" s="199"/>
      <c r="N173" s="199"/>
    </row>
    <row r="174">
      <c r="A174" s="193" t="s">
        <v>17081</v>
      </c>
      <c r="B174" s="7" t="s">
        <v>16838</v>
      </c>
      <c r="C174" s="7" t="s">
        <v>17002</v>
      </c>
      <c r="D174" s="199"/>
      <c r="E174" s="193"/>
      <c r="F174" s="195" t="s">
        <v>17082</v>
      </c>
      <c r="G174" s="196">
        <v>1.0438076E11</v>
      </c>
      <c r="H174" s="197">
        <v>6.71</v>
      </c>
      <c r="I174" s="7" t="s">
        <v>16924</v>
      </c>
      <c r="J174" s="7" t="s">
        <v>16838</v>
      </c>
      <c r="K174" s="7" t="s">
        <v>17002</v>
      </c>
      <c r="L174" s="198" t="s">
        <v>65</v>
      </c>
      <c r="M174" s="199"/>
      <c r="N174" s="199"/>
    </row>
    <row r="175">
      <c r="A175" s="193" t="s">
        <v>17081</v>
      </c>
      <c r="B175" s="7" t="s">
        <v>17002</v>
      </c>
      <c r="C175" s="7" t="s">
        <v>16838</v>
      </c>
      <c r="D175" s="199"/>
      <c r="E175" s="193"/>
      <c r="F175" s="195" t="s">
        <v>17082</v>
      </c>
      <c r="G175" s="200">
        <v>1.0438076E11</v>
      </c>
      <c r="H175" s="197">
        <v>6.71</v>
      </c>
      <c r="I175" s="7" t="s">
        <v>16815</v>
      </c>
      <c r="J175" s="7" t="s">
        <v>17002</v>
      </c>
      <c r="K175" s="7" t="s">
        <v>16838</v>
      </c>
      <c r="L175" s="201" t="s">
        <v>16835</v>
      </c>
      <c r="M175" s="199"/>
      <c r="N175" s="199"/>
    </row>
    <row r="176">
      <c r="A176" s="193" t="s">
        <v>17083</v>
      </c>
      <c r="B176" s="7" t="s">
        <v>175</v>
      </c>
      <c r="C176" s="7" t="s">
        <v>17084</v>
      </c>
      <c r="D176" s="199"/>
      <c r="E176" s="193"/>
      <c r="F176" s="195" t="s">
        <v>17085</v>
      </c>
      <c r="G176" s="196">
        <v>1.04340146525E11</v>
      </c>
      <c r="H176" s="197">
        <v>91.2</v>
      </c>
      <c r="I176" s="7" t="s">
        <v>16903</v>
      </c>
      <c r="J176" s="7" t="s">
        <v>175</v>
      </c>
      <c r="K176" s="7" t="s">
        <v>17084</v>
      </c>
      <c r="L176" s="198" t="s">
        <v>65</v>
      </c>
      <c r="M176" s="199"/>
      <c r="N176" s="199"/>
    </row>
    <row r="177">
      <c r="A177" s="193" t="s">
        <v>17083</v>
      </c>
      <c r="B177" s="7" t="s">
        <v>17084</v>
      </c>
      <c r="C177" s="7" t="s">
        <v>175</v>
      </c>
      <c r="D177" s="199"/>
      <c r="E177" s="193"/>
      <c r="F177" s="195" t="s">
        <v>17085</v>
      </c>
      <c r="G177" s="200">
        <v>1.04340146525E11</v>
      </c>
      <c r="H177" s="197">
        <v>91.2</v>
      </c>
      <c r="I177" s="7" t="s">
        <v>16815</v>
      </c>
      <c r="J177" s="7" t="s">
        <v>17084</v>
      </c>
      <c r="K177" s="7" t="s">
        <v>175</v>
      </c>
      <c r="L177" s="201" t="s">
        <v>16835</v>
      </c>
      <c r="M177" s="199"/>
      <c r="N177" s="199"/>
    </row>
    <row r="178">
      <c r="A178" s="193" t="s">
        <v>17086</v>
      </c>
      <c r="B178" s="7" t="s">
        <v>16969</v>
      </c>
      <c r="C178" s="7" t="s">
        <v>187</v>
      </c>
      <c r="D178" s="199"/>
      <c r="E178" s="193"/>
      <c r="F178" s="195" t="s">
        <v>17087</v>
      </c>
      <c r="G178" s="200">
        <v>1.03946774133E11</v>
      </c>
      <c r="H178" s="197">
        <v>273.62</v>
      </c>
      <c r="I178" s="7" t="s">
        <v>16815</v>
      </c>
      <c r="J178" s="7" t="s">
        <v>16969</v>
      </c>
      <c r="K178" s="7" t="s">
        <v>187</v>
      </c>
      <c r="L178" s="201" t="s">
        <v>16835</v>
      </c>
      <c r="M178" s="199"/>
      <c r="N178" s="199"/>
    </row>
    <row r="179">
      <c r="A179" s="193" t="s">
        <v>17086</v>
      </c>
      <c r="B179" s="7" t="s">
        <v>187</v>
      </c>
      <c r="C179" s="7" t="s">
        <v>16969</v>
      </c>
      <c r="D179" s="199"/>
      <c r="E179" s="193"/>
      <c r="F179" s="195" t="s">
        <v>17087</v>
      </c>
      <c r="G179" s="196">
        <v>1.03946774133E11</v>
      </c>
      <c r="H179" s="197">
        <v>273.62</v>
      </c>
      <c r="I179" s="7" t="s">
        <v>16815</v>
      </c>
      <c r="J179" s="7" t="s">
        <v>187</v>
      </c>
      <c r="K179" s="7" t="s">
        <v>16969</v>
      </c>
      <c r="L179" s="198" t="s">
        <v>65</v>
      </c>
      <c r="M179" s="199"/>
      <c r="N179" s="199"/>
    </row>
    <row r="180">
      <c r="A180" s="193" t="s">
        <v>17088</v>
      </c>
      <c r="B180" s="7" t="s">
        <v>16910</v>
      </c>
      <c r="C180" s="7" t="s">
        <v>16911</v>
      </c>
      <c r="D180" s="199"/>
      <c r="E180" s="193"/>
      <c r="F180" s="195" t="s">
        <v>17089</v>
      </c>
      <c r="G180" s="196">
        <v>1.0355397238E11</v>
      </c>
      <c r="H180" s="197">
        <v>59.61</v>
      </c>
      <c r="I180" s="7" t="s">
        <v>16856</v>
      </c>
      <c r="J180" s="7" t="s">
        <v>16910</v>
      </c>
      <c r="K180" s="7" t="s">
        <v>16911</v>
      </c>
      <c r="L180" s="198" t="s">
        <v>65</v>
      </c>
      <c r="M180" s="199"/>
      <c r="N180" s="199"/>
    </row>
    <row r="181">
      <c r="A181" s="193" t="s">
        <v>17088</v>
      </c>
      <c r="B181" s="7" t="s">
        <v>16911</v>
      </c>
      <c r="C181" s="7" t="s">
        <v>16910</v>
      </c>
      <c r="D181" s="199"/>
      <c r="E181" s="193"/>
      <c r="F181" s="195" t="s">
        <v>17089</v>
      </c>
      <c r="G181" s="200">
        <v>1.0355397238E11</v>
      </c>
      <c r="H181" s="197">
        <v>59.61</v>
      </c>
      <c r="I181" s="7" t="s">
        <v>16815</v>
      </c>
      <c r="J181" s="7" t="s">
        <v>16911</v>
      </c>
      <c r="K181" s="7" t="s">
        <v>16910</v>
      </c>
      <c r="L181" s="201" t="s">
        <v>16835</v>
      </c>
      <c r="M181" s="199"/>
      <c r="N181" s="199"/>
    </row>
    <row r="182">
      <c r="A182" s="193" t="s">
        <v>17090</v>
      </c>
      <c r="B182" s="7" t="s">
        <v>158</v>
      </c>
      <c r="C182" s="7" t="s">
        <v>16870</v>
      </c>
      <c r="D182" s="199"/>
      <c r="E182" s="193"/>
      <c r="F182" s="195" t="s">
        <v>12675</v>
      </c>
      <c r="G182" s="196">
        <v>1.03211411446E11</v>
      </c>
      <c r="H182" s="197">
        <v>33.06</v>
      </c>
      <c r="I182" s="7" t="s">
        <v>16897</v>
      </c>
      <c r="J182" s="7" t="s">
        <v>158</v>
      </c>
      <c r="K182" s="7" t="s">
        <v>16870</v>
      </c>
      <c r="L182" s="198" t="s">
        <v>65</v>
      </c>
      <c r="M182" s="199"/>
      <c r="N182" s="199"/>
    </row>
    <row r="183">
      <c r="A183" s="193" t="s">
        <v>17090</v>
      </c>
      <c r="B183" s="7" t="s">
        <v>16870</v>
      </c>
      <c r="C183" s="7" t="s">
        <v>158</v>
      </c>
      <c r="D183" s="199"/>
      <c r="E183" s="193"/>
      <c r="F183" s="195" t="s">
        <v>12675</v>
      </c>
      <c r="G183" s="200">
        <v>1.03211411446E11</v>
      </c>
      <c r="H183" s="197">
        <v>33.06</v>
      </c>
      <c r="I183" s="7" t="s">
        <v>16815</v>
      </c>
      <c r="J183" s="7" t="s">
        <v>16870</v>
      </c>
      <c r="K183" s="7" t="s">
        <v>158</v>
      </c>
      <c r="L183" s="201" t="s">
        <v>16835</v>
      </c>
      <c r="M183" s="199"/>
      <c r="N183" s="199"/>
    </row>
    <row r="184">
      <c r="A184" s="193" t="s">
        <v>17091</v>
      </c>
      <c r="B184" s="7" t="s">
        <v>187</v>
      </c>
      <c r="C184" s="7" t="s">
        <v>16846</v>
      </c>
      <c r="D184" s="199"/>
      <c r="E184" s="193"/>
      <c r="F184" s="195" t="s">
        <v>17092</v>
      </c>
      <c r="G184" s="196">
        <v>1.02979089323E11</v>
      </c>
      <c r="H184" s="197">
        <v>50.61</v>
      </c>
      <c r="I184" s="7" t="s">
        <v>16815</v>
      </c>
      <c r="J184" s="7" t="s">
        <v>187</v>
      </c>
      <c r="K184" s="7" t="s">
        <v>16846</v>
      </c>
      <c r="L184" s="198" t="s">
        <v>65</v>
      </c>
      <c r="M184" s="199"/>
      <c r="N184" s="199"/>
    </row>
    <row r="185">
      <c r="A185" s="193" t="s">
        <v>17091</v>
      </c>
      <c r="B185" s="7" t="s">
        <v>16846</v>
      </c>
      <c r="C185" s="7" t="s">
        <v>187</v>
      </c>
      <c r="D185" s="199"/>
      <c r="E185" s="193"/>
      <c r="F185" s="195" t="s">
        <v>17092</v>
      </c>
      <c r="G185" s="200">
        <v>1.02979089323E11</v>
      </c>
      <c r="H185" s="197">
        <v>50.61</v>
      </c>
      <c r="I185" s="7" t="s">
        <v>16815</v>
      </c>
      <c r="J185" s="7" t="s">
        <v>16846</v>
      </c>
      <c r="K185" s="7" t="s">
        <v>187</v>
      </c>
      <c r="L185" s="201" t="s">
        <v>16835</v>
      </c>
      <c r="M185" s="199"/>
      <c r="N185" s="199"/>
    </row>
    <row r="186">
      <c r="A186" s="193" t="s">
        <v>17093</v>
      </c>
      <c r="B186" s="7" t="s">
        <v>158</v>
      </c>
      <c r="C186" s="7" t="s">
        <v>16870</v>
      </c>
      <c r="D186" s="199"/>
      <c r="E186" s="193"/>
      <c r="F186" s="195" t="s">
        <v>17094</v>
      </c>
      <c r="G186" s="196">
        <v>9.993049291E10</v>
      </c>
      <c r="H186" s="197">
        <v>35.08</v>
      </c>
      <c r="I186" s="7" t="s">
        <v>17095</v>
      </c>
      <c r="J186" s="7" t="s">
        <v>158</v>
      </c>
      <c r="K186" s="7" t="s">
        <v>16870</v>
      </c>
      <c r="L186" s="198" t="s">
        <v>65</v>
      </c>
      <c r="M186" s="199"/>
      <c r="N186" s="199"/>
    </row>
    <row r="187">
      <c r="A187" s="193" t="s">
        <v>17093</v>
      </c>
      <c r="B187" s="7" t="s">
        <v>16870</v>
      </c>
      <c r="C187" s="7" t="s">
        <v>158</v>
      </c>
      <c r="D187" s="199"/>
      <c r="E187" s="193"/>
      <c r="F187" s="195" t="s">
        <v>17094</v>
      </c>
      <c r="G187" s="200">
        <v>9.993049291E10</v>
      </c>
      <c r="H187" s="197">
        <v>35.08</v>
      </c>
      <c r="I187" s="7" t="s">
        <v>16815</v>
      </c>
      <c r="J187" s="7" t="s">
        <v>16870</v>
      </c>
      <c r="K187" s="7" t="s">
        <v>158</v>
      </c>
      <c r="L187" s="201" t="s">
        <v>16835</v>
      </c>
      <c r="M187" s="199"/>
      <c r="N187" s="199"/>
    </row>
    <row r="188">
      <c r="A188" s="193" t="s">
        <v>17096</v>
      </c>
      <c r="B188" s="7" t="s">
        <v>158</v>
      </c>
      <c r="C188" s="7" t="s">
        <v>16864</v>
      </c>
      <c r="D188" s="199"/>
      <c r="E188" s="193"/>
      <c r="F188" s="195" t="s">
        <v>17097</v>
      </c>
      <c r="G188" s="196">
        <v>9.933159261E10</v>
      </c>
      <c r="H188" s="197">
        <v>15.23</v>
      </c>
      <c r="I188" s="7" t="s">
        <v>17098</v>
      </c>
      <c r="J188" s="7" t="s">
        <v>158</v>
      </c>
      <c r="K188" s="7" t="s">
        <v>16864</v>
      </c>
      <c r="L188" s="198" t="s">
        <v>65</v>
      </c>
      <c r="M188" s="199"/>
      <c r="N188" s="199"/>
    </row>
    <row r="189">
      <c r="A189" s="193" t="s">
        <v>17096</v>
      </c>
      <c r="B189" s="7" t="s">
        <v>16864</v>
      </c>
      <c r="C189" s="7" t="s">
        <v>158</v>
      </c>
      <c r="D189" s="199"/>
      <c r="E189" s="193"/>
      <c r="F189" s="195" t="s">
        <v>17097</v>
      </c>
      <c r="G189" s="200">
        <v>9.933159261E10</v>
      </c>
      <c r="H189" s="197">
        <v>15.23</v>
      </c>
      <c r="I189" s="7" t="s">
        <v>16815</v>
      </c>
      <c r="J189" s="7" t="s">
        <v>16864</v>
      </c>
      <c r="K189" s="7" t="s">
        <v>158</v>
      </c>
      <c r="L189" s="201" t="s">
        <v>16835</v>
      </c>
      <c r="M189" s="199"/>
      <c r="N189" s="199"/>
    </row>
    <row r="190">
      <c r="A190" s="193" t="s">
        <v>17099</v>
      </c>
      <c r="B190" s="7" t="s">
        <v>17019</v>
      </c>
      <c r="C190" s="7" t="s">
        <v>16838</v>
      </c>
      <c r="D190" s="199"/>
      <c r="E190" s="193"/>
      <c r="F190" s="195" t="s">
        <v>17100</v>
      </c>
      <c r="G190" s="200">
        <v>9.9166325011E10</v>
      </c>
      <c r="H190" s="197">
        <v>54.41</v>
      </c>
      <c r="I190" s="7" t="s">
        <v>16815</v>
      </c>
      <c r="J190" s="7" t="s">
        <v>17019</v>
      </c>
      <c r="K190" s="7" t="s">
        <v>16838</v>
      </c>
      <c r="L190" s="201" t="s">
        <v>16835</v>
      </c>
      <c r="M190" s="199"/>
      <c r="N190" s="199"/>
    </row>
    <row r="191">
      <c r="A191" s="193" t="s">
        <v>17099</v>
      </c>
      <c r="B191" s="7" t="s">
        <v>16838</v>
      </c>
      <c r="C191" s="7" t="s">
        <v>17019</v>
      </c>
      <c r="D191" s="199"/>
      <c r="E191" s="193"/>
      <c r="F191" s="195" t="s">
        <v>17100</v>
      </c>
      <c r="G191" s="196">
        <v>9.9166325011E10</v>
      </c>
      <c r="H191" s="197">
        <v>54.41</v>
      </c>
      <c r="I191" s="7" t="s">
        <v>16815</v>
      </c>
      <c r="J191" s="7" t="s">
        <v>16838</v>
      </c>
      <c r="K191" s="7" t="s">
        <v>17019</v>
      </c>
      <c r="L191" s="198" t="s">
        <v>65</v>
      </c>
      <c r="M191" s="199"/>
      <c r="N191" s="199"/>
    </row>
    <row r="192">
      <c r="A192" s="193" t="s">
        <v>17101</v>
      </c>
      <c r="B192" s="7" t="s">
        <v>17019</v>
      </c>
      <c r="C192" s="7" t="s">
        <v>16838</v>
      </c>
      <c r="D192" s="194">
        <v>1999.0</v>
      </c>
      <c r="E192" s="193"/>
      <c r="F192" s="195" t="s">
        <v>17102</v>
      </c>
      <c r="G192" s="200">
        <v>9.8927043215E10</v>
      </c>
      <c r="H192" s="197">
        <v>665.0</v>
      </c>
      <c r="I192" s="7" t="s">
        <v>16815</v>
      </c>
      <c r="J192" s="7" t="s">
        <v>17019</v>
      </c>
      <c r="K192" s="7" t="s">
        <v>16838</v>
      </c>
      <c r="L192" s="201" t="s">
        <v>16835</v>
      </c>
      <c r="M192" s="194"/>
      <c r="N192" s="194"/>
    </row>
    <row r="193">
      <c r="A193" s="193" t="s">
        <v>17101</v>
      </c>
      <c r="B193" s="7" t="s">
        <v>16838</v>
      </c>
      <c r="C193" s="7" t="s">
        <v>17019</v>
      </c>
      <c r="D193" s="194">
        <v>1999.0</v>
      </c>
      <c r="E193" s="193"/>
      <c r="F193" s="195" t="s">
        <v>17102</v>
      </c>
      <c r="G193" s="196">
        <v>9.8927043215E10</v>
      </c>
      <c r="H193" s="197">
        <v>665.0</v>
      </c>
      <c r="I193" s="7" t="s">
        <v>16815</v>
      </c>
      <c r="J193" s="7" t="s">
        <v>16838</v>
      </c>
      <c r="K193" s="7" t="s">
        <v>17019</v>
      </c>
      <c r="L193" s="198" t="s">
        <v>65</v>
      </c>
      <c r="M193" s="194"/>
      <c r="N193" s="194"/>
    </row>
    <row r="194">
      <c r="A194" s="193" t="s">
        <v>17103</v>
      </c>
      <c r="B194" s="7" t="s">
        <v>17104</v>
      </c>
      <c r="C194" s="7" t="s">
        <v>16838</v>
      </c>
      <c r="D194" s="199"/>
      <c r="E194" s="193"/>
      <c r="F194" s="195" t="s">
        <v>17105</v>
      </c>
      <c r="G194" s="200">
        <v>9.8836370398E10</v>
      </c>
      <c r="H194" s="197">
        <v>200.45</v>
      </c>
      <c r="I194" s="7" t="s">
        <v>16815</v>
      </c>
      <c r="J194" s="7" t="s">
        <v>17104</v>
      </c>
      <c r="K194" s="7" t="s">
        <v>16838</v>
      </c>
      <c r="L194" s="201" t="s">
        <v>16835</v>
      </c>
      <c r="M194" s="199"/>
      <c r="N194" s="199"/>
    </row>
    <row r="195">
      <c r="A195" s="193" t="s">
        <v>17103</v>
      </c>
      <c r="B195" s="7" t="s">
        <v>16838</v>
      </c>
      <c r="C195" s="7" t="s">
        <v>17104</v>
      </c>
      <c r="D195" s="199"/>
      <c r="E195" s="193"/>
      <c r="F195" s="195" t="s">
        <v>17105</v>
      </c>
      <c r="G195" s="196">
        <v>9.8836370398E10</v>
      </c>
      <c r="H195" s="197">
        <v>200.45</v>
      </c>
      <c r="I195" s="7" t="s">
        <v>16815</v>
      </c>
      <c r="J195" s="7" t="s">
        <v>16838</v>
      </c>
      <c r="K195" s="7" t="s">
        <v>17104</v>
      </c>
      <c r="L195" s="198" t="s">
        <v>65</v>
      </c>
      <c r="M195" s="199"/>
      <c r="N195" s="199"/>
    </row>
    <row r="196">
      <c r="A196" s="193" t="s">
        <v>17106</v>
      </c>
      <c r="B196" s="7" t="s">
        <v>187</v>
      </c>
      <c r="C196" s="7" t="s">
        <v>16846</v>
      </c>
      <c r="D196" s="199"/>
      <c r="E196" s="193"/>
      <c r="F196" s="195" t="s">
        <v>17107</v>
      </c>
      <c r="G196" s="196">
        <v>9.785033E10</v>
      </c>
      <c r="H196" s="197">
        <v>63.17</v>
      </c>
      <c r="I196" s="7" t="s">
        <v>16815</v>
      </c>
      <c r="J196" s="7" t="s">
        <v>187</v>
      </c>
      <c r="K196" s="7" t="s">
        <v>16846</v>
      </c>
      <c r="L196" s="198" t="s">
        <v>65</v>
      </c>
      <c r="M196" s="199"/>
      <c r="N196" s="199"/>
    </row>
    <row r="197">
      <c r="A197" s="193" t="s">
        <v>17108</v>
      </c>
      <c r="B197" s="7" t="s">
        <v>187</v>
      </c>
      <c r="C197" s="7" t="s">
        <v>16969</v>
      </c>
      <c r="D197" s="194">
        <v>2000.0</v>
      </c>
      <c r="E197" s="193"/>
      <c r="F197" s="195" t="s">
        <v>17109</v>
      </c>
      <c r="G197" s="196">
        <v>9.7696346064E10</v>
      </c>
      <c r="H197" s="197">
        <v>277.49</v>
      </c>
      <c r="I197" s="7" t="s">
        <v>16815</v>
      </c>
      <c r="J197" s="7" t="s">
        <v>187</v>
      </c>
      <c r="K197" s="7" t="s">
        <v>16969</v>
      </c>
      <c r="L197" s="198" t="s">
        <v>65</v>
      </c>
      <c r="M197" s="194"/>
      <c r="N197" s="194"/>
    </row>
    <row r="198">
      <c r="A198" s="193" t="s">
        <v>17110</v>
      </c>
      <c r="B198" s="7" t="s">
        <v>17111</v>
      </c>
      <c r="C198" s="7" t="s">
        <v>17112</v>
      </c>
      <c r="D198" s="199"/>
      <c r="E198" s="193"/>
      <c r="F198" s="195" t="s">
        <v>17113</v>
      </c>
      <c r="G198" s="200">
        <v>9.660116805E10</v>
      </c>
      <c r="H198" s="197">
        <v>104.55</v>
      </c>
      <c r="I198" s="7" t="s">
        <v>16815</v>
      </c>
      <c r="J198" s="7" t="s">
        <v>17111</v>
      </c>
      <c r="K198" s="7" t="s">
        <v>17112</v>
      </c>
      <c r="L198" s="201" t="s">
        <v>16835</v>
      </c>
      <c r="M198" s="199"/>
      <c r="N198" s="199"/>
    </row>
    <row r="199">
      <c r="A199" s="193" t="s">
        <v>17110</v>
      </c>
      <c r="B199" s="7" t="s">
        <v>17112</v>
      </c>
      <c r="C199" s="7" t="s">
        <v>17111</v>
      </c>
      <c r="D199" s="199"/>
      <c r="E199" s="193"/>
      <c r="F199" s="195" t="s">
        <v>17113</v>
      </c>
      <c r="G199" s="196">
        <v>9.660116805E10</v>
      </c>
      <c r="H199" s="197">
        <v>104.55</v>
      </c>
      <c r="I199" s="7" t="s">
        <v>16815</v>
      </c>
      <c r="J199" s="7" t="s">
        <v>17112</v>
      </c>
      <c r="K199" s="7" t="s">
        <v>17111</v>
      </c>
      <c r="L199" s="198" t="s">
        <v>65</v>
      </c>
      <c r="M199" s="199"/>
      <c r="N199" s="199"/>
    </row>
    <row r="200">
      <c r="A200" s="193" t="s">
        <v>17114</v>
      </c>
      <c r="B200" s="7" t="s">
        <v>187</v>
      </c>
      <c r="C200" s="7" t="s">
        <v>16846</v>
      </c>
      <c r="D200" s="194">
        <v>1991.0</v>
      </c>
      <c r="E200" s="193"/>
      <c r="F200" s="195" t="s">
        <v>17115</v>
      </c>
      <c r="G200" s="196">
        <v>9.6283321702E10</v>
      </c>
      <c r="H200" s="197">
        <v>373.65</v>
      </c>
      <c r="I200" s="7" t="s">
        <v>16815</v>
      </c>
      <c r="J200" s="7" t="s">
        <v>187</v>
      </c>
      <c r="K200" s="7" t="s">
        <v>16846</v>
      </c>
      <c r="L200" s="198" t="s">
        <v>65</v>
      </c>
      <c r="M200" s="194"/>
      <c r="N200" s="194"/>
    </row>
    <row r="201">
      <c r="A201" s="193" t="s">
        <v>17116</v>
      </c>
      <c r="B201" s="7" t="s">
        <v>187</v>
      </c>
      <c r="C201" s="7" t="s">
        <v>16846</v>
      </c>
      <c r="D201" s="194">
        <v>1992.0</v>
      </c>
      <c r="E201" s="193"/>
      <c r="F201" s="195" t="s">
        <v>17117</v>
      </c>
      <c r="G201" s="196">
        <v>9.4599500668E10</v>
      </c>
      <c r="H201" s="197">
        <v>75.92</v>
      </c>
      <c r="I201" s="7" t="s">
        <v>16815</v>
      </c>
      <c r="J201" s="7" t="s">
        <v>187</v>
      </c>
      <c r="K201" s="7" t="s">
        <v>16846</v>
      </c>
      <c r="L201" s="198" t="s">
        <v>65</v>
      </c>
      <c r="M201" s="194"/>
      <c r="N201" s="194"/>
    </row>
    <row r="202">
      <c r="A202" s="193" t="s">
        <v>17118</v>
      </c>
      <c r="B202" s="7" t="s">
        <v>16910</v>
      </c>
      <c r="C202" s="7" t="s">
        <v>17119</v>
      </c>
      <c r="D202" s="199"/>
      <c r="E202" s="193"/>
      <c r="F202" s="195" t="s">
        <v>17120</v>
      </c>
      <c r="G202" s="196">
        <v>9.4065102835E10</v>
      </c>
      <c r="H202" s="197">
        <v>69.12</v>
      </c>
      <c r="I202" s="7" t="s">
        <v>16917</v>
      </c>
      <c r="J202" s="7" t="s">
        <v>16910</v>
      </c>
      <c r="K202" s="7" t="s">
        <v>17119</v>
      </c>
      <c r="L202" s="198" t="s">
        <v>65</v>
      </c>
      <c r="M202" s="199"/>
      <c r="N202" s="199"/>
    </row>
    <row r="203">
      <c r="A203" s="193" t="s">
        <v>17121</v>
      </c>
      <c r="B203" s="7" t="s">
        <v>187</v>
      </c>
      <c r="C203" s="7" t="s">
        <v>17122</v>
      </c>
      <c r="D203" s="199"/>
      <c r="E203" s="193"/>
      <c r="F203" s="195" t="s">
        <v>17123</v>
      </c>
      <c r="G203" s="196">
        <v>9.4042122835E10</v>
      </c>
      <c r="H203" s="197">
        <v>70.68</v>
      </c>
      <c r="I203" s="7" t="s">
        <v>16815</v>
      </c>
      <c r="J203" s="7" t="s">
        <v>187</v>
      </c>
      <c r="K203" s="7" t="s">
        <v>17122</v>
      </c>
      <c r="L203" s="198" t="s">
        <v>65</v>
      </c>
      <c r="M203" s="199"/>
      <c r="N203" s="199"/>
    </row>
    <row r="204">
      <c r="A204" s="193" t="s">
        <v>17121</v>
      </c>
      <c r="B204" s="7" t="s">
        <v>17122</v>
      </c>
      <c r="C204" s="7" t="s">
        <v>187</v>
      </c>
      <c r="D204" s="199"/>
      <c r="E204" s="193"/>
      <c r="F204" s="195" t="s">
        <v>17123</v>
      </c>
      <c r="G204" s="200">
        <v>9.4042122835E10</v>
      </c>
      <c r="H204" s="197">
        <v>70.68</v>
      </c>
      <c r="I204" s="7" t="s">
        <v>16815</v>
      </c>
      <c r="J204" s="7" t="s">
        <v>17122</v>
      </c>
      <c r="K204" s="7" t="s">
        <v>187</v>
      </c>
      <c r="L204" s="201" t="s">
        <v>16835</v>
      </c>
      <c r="M204" s="199"/>
      <c r="N204" s="199"/>
    </row>
    <row r="205">
      <c r="A205" s="193" t="s">
        <v>17124</v>
      </c>
      <c r="B205" s="7" t="s">
        <v>16582</v>
      </c>
      <c r="C205" s="7" t="s">
        <v>16930</v>
      </c>
      <c r="D205" s="199"/>
      <c r="E205" s="193"/>
      <c r="F205" s="195" t="s">
        <v>17125</v>
      </c>
      <c r="G205" s="196">
        <v>9.3979029639E10</v>
      </c>
      <c r="H205" s="197">
        <v>228.49</v>
      </c>
      <c r="I205" s="7" t="s">
        <v>16815</v>
      </c>
      <c r="J205" s="7" t="s">
        <v>16582</v>
      </c>
      <c r="K205" s="7" t="s">
        <v>16930</v>
      </c>
      <c r="L205" s="198" t="s">
        <v>65</v>
      </c>
      <c r="M205" s="199"/>
      <c r="N205" s="199"/>
    </row>
    <row r="206">
      <c r="A206" s="193" t="s">
        <v>17126</v>
      </c>
      <c r="B206" s="7" t="s">
        <v>17127</v>
      </c>
      <c r="C206" s="7" t="s">
        <v>16838</v>
      </c>
      <c r="D206" s="199"/>
      <c r="E206" s="193"/>
      <c r="F206" s="195" t="s">
        <v>17128</v>
      </c>
      <c r="G206" s="200">
        <v>9.3834711074E10</v>
      </c>
      <c r="H206" s="197">
        <v>160.39</v>
      </c>
      <c r="I206" s="7" t="s">
        <v>16815</v>
      </c>
      <c r="J206" s="7" t="s">
        <v>17127</v>
      </c>
      <c r="K206" s="7" t="s">
        <v>16838</v>
      </c>
      <c r="L206" s="201" t="s">
        <v>16835</v>
      </c>
      <c r="M206" s="199"/>
      <c r="N206" s="199"/>
    </row>
    <row r="207">
      <c r="A207" s="193" t="s">
        <v>17126</v>
      </c>
      <c r="B207" s="7" t="s">
        <v>16838</v>
      </c>
      <c r="C207" s="7" t="s">
        <v>17127</v>
      </c>
      <c r="D207" s="199"/>
      <c r="E207" s="193"/>
      <c r="F207" s="195" t="s">
        <v>17128</v>
      </c>
      <c r="G207" s="196">
        <v>9.3834711074E10</v>
      </c>
      <c r="H207" s="197">
        <v>160.39</v>
      </c>
      <c r="I207" s="7" t="s">
        <v>16815</v>
      </c>
      <c r="J207" s="7" t="s">
        <v>16838</v>
      </c>
      <c r="K207" s="7" t="s">
        <v>17127</v>
      </c>
      <c r="L207" s="198" t="s">
        <v>65</v>
      </c>
      <c r="M207" s="199"/>
      <c r="N207" s="199"/>
    </row>
    <row r="208">
      <c r="A208" s="193" t="s">
        <v>17129</v>
      </c>
      <c r="B208" s="7" t="s">
        <v>17127</v>
      </c>
      <c r="C208" s="7" t="s">
        <v>16838</v>
      </c>
      <c r="D208" s="199"/>
      <c r="E208" s="193"/>
      <c r="F208" s="195" t="s">
        <v>17130</v>
      </c>
      <c r="G208" s="200">
        <v>9.0753272911E10</v>
      </c>
      <c r="H208" s="197">
        <v>222.44</v>
      </c>
      <c r="I208" s="7" t="s">
        <v>16815</v>
      </c>
      <c r="J208" s="7" t="s">
        <v>17127</v>
      </c>
      <c r="K208" s="7" t="s">
        <v>16838</v>
      </c>
      <c r="L208" s="201" t="s">
        <v>16835</v>
      </c>
      <c r="M208" s="199"/>
      <c r="N208" s="199"/>
    </row>
    <row r="209">
      <c r="A209" s="193" t="s">
        <v>17129</v>
      </c>
      <c r="B209" s="7" t="s">
        <v>16838</v>
      </c>
      <c r="C209" s="7" t="s">
        <v>17127</v>
      </c>
      <c r="D209" s="199"/>
      <c r="E209" s="193"/>
      <c r="F209" s="195" t="s">
        <v>17131</v>
      </c>
      <c r="G209" s="196">
        <v>9.0753272911E10</v>
      </c>
      <c r="H209" s="197">
        <v>222.44</v>
      </c>
      <c r="I209" s="7" t="s">
        <v>16815</v>
      </c>
      <c r="J209" s="7" t="s">
        <v>16838</v>
      </c>
      <c r="K209" s="7" t="s">
        <v>17127</v>
      </c>
      <c r="L209" s="198" t="s">
        <v>65</v>
      </c>
      <c r="M209" s="199"/>
      <c r="N209" s="199"/>
    </row>
    <row r="210">
      <c r="A210" s="193" t="s">
        <v>17132</v>
      </c>
      <c r="B210" s="7" t="s">
        <v>16582</v>
      </c>
      <c r="C210" s="7" t="s">
        <v>16899</v>
      </c>
      <c r="D210" s="194">
        <v>1984.0</v>
      </c>
      <c r="E210" s="193"/>
      <c r="F210" s="195" t="s">
        <v>17133</v>
      </c>
      <c r="G210" s="196">
        <v>9.033419056E10</v>
      </c>
      <c r="H210" s="197">
        <v>685.43</v>
      </c>
      <c r="I210" s="7" t="s">
        <v>16815</v>
      </c>
      <c r="J210" s="7" t="s">
        <v>16582</v>
      </c>
      <c r="K210" s="7" t="s">
        <v>16899</v>
      </c>
      <c r="L210" s="198" t="s">
        <v>65</v>
      </c>
      <c r="M210" s="194"/>
      <c r="N210" s="194"/>
    </row>
    <row r="211">
      <c r="A211" s="193" t="s">
        <v>17134</v>
      </c>
      <c r="B211" s="7" t="s">
        <v>169</v>
      </c>
      <c r="C211" s="7" t="s">
        <v>16899</v>
      </c>
      <c r="D211" s="199"/>
      <c r="E211" s="193"/>
      <c r="F211" s="195" t="s">
        <v>17135</v>
      </c>
      <c r="G211" s="196">
        <v>8.8572726E10</v>
      </c>
      <c r="H211" s="197">
        <v>221.82</v>
      </c>
      <c r="I211" s="7" t="s">
        <v>16815</v>
      </c>
      <c r="J211" s="7" t="s">
        <v>169</v>
      </c>
      <c r="K211" s="7" t="s">
        <v>16899</v>
      </c>
      <c r="L211" s="198" t="s">
        <v>65</v>
      </c>
      <c r="M211" s="199"/>
      <c r="N211" s="199"/>
    </row>
    <row r="212">
      <c r="A212" s="193" t="s">
        <v>17134</v>
      </c>
      <c r="B212" s="7" t="s">
        <v>16899</v>
      </c>
      <c r="C212" s="7" t="s">
        <v>169</v>
      </c>
      <c r="D212" s="199"/>
      <c r="E212" s="193"/>
      <c r="F212" s="195" t="s">
        <v>17135</v>
      </c>
      <c r="G212" s="200">
        <v>8.8572726E10</v>
      </c>
      <c r="H212" s="197">
        <v>221.82</v>
      </c>
      <c r="I212" s="7" t="s">
        <v>16815</v>
      </c>
      <c r="J212" s="7" t="s">
        <v>16899</v>
      </c>
      <c r="K212" s="7" t="s">
        <v>169</v>
      </c>
      <c r="L212" s="201" t="s">
        <v>16835</v>
      </c>
      <c r="M212" s="199"/>
      <c r="N212" s="199"/>
    </row>
    <row r="213">
      <c r="A213" s="193" t="s">
        <v>17136</v>
      </c>
      <c r="B213" s="7" t="s">
        <v>16910</v>
      </c>
      <c r="C213" s="7" t="s">
        <v>17137</v>
      </c>
      <c r="D213" s="199"/>
      <c r="E213" s="193"/>
      <c r="F213" s="195" t="s">
        <v>17138</v>
      </c>
      <c r="G213" s="196">
        <v>8.709716067E10</v>
      </c>
      <c r="H213" s="197">
        <v>67.68</v>
      </c>
      <c r="I213" s="7" t="s">
        <v>16856</v>
      </c>
      <c r="J213" s="7" t="s">
        <v>16910</v>
      </c>
      <c r="K213" s="7" t="s">
        <v>17137</v>
      </c>
      <c r="L213" s="198" t="s">
        <v>65</v>
      </c>
      <c r="M213" s="199"/>
      <c r="N213" s="199"/>
    </row>
    <row r="214">
      <c r="A214" s="193" t="s">
        <v>17136</v>
      </c>
      <c r="B214" s="7" t="s">
        <v>17137</v>
      </c>
      <c r="C214" s="7" t="s">
        <v>16910</v>
      </c>
      <c r="D214" s="199"/>
      <c r="E214" s="193"/>
      <c r="F214" s="195" t="s">
        <v>17138</v>
      </c>
      <c r="G214" s="200">
        <v>8.709716067E10</v>
      </c>
      <c r="H214" s="197">
        <v>67.68</v>
      </c>
      <c r="I214" s="7" t="s">
        <v>16815</v>
      </c>
      <c r="J214" s="7" t="s">
        <v>17137</v>
      </c>
      <c r="K214" s="7" t="s">
        <v>16910</v>
      </c>
      <c r="L214" s="201" t="s">
        <v>16835</v>
      </c>
      <c r="M214" s="199"/>
      <c r="N214" s="199"/>
    </row>
    <row r="215">
      <c r="A215" s="193" t="s">
        <v>17139</v>
      </c>
      <c r="B215" s="7" t="s">
        <v>187</v>
      </c>
      <c r="C215" s="7" t="s">
        <v>16846</v>
      </c>
      <c r="D215" s="194">
        <v>1991.0</v>
      </c>
      <c r="E215" s="193"/>
      <c r="F215" s="195" t="s">
        <v>17140</v>
      </c>
      <c r="G215" s="196">
        <v>8.7042103397E10</v>
      </c>
      <c r="H215" s="197">
        <v>798.94</v>
      </c>
      <c r="I215" s="7" t="s">
        <v>16815</v>
      </c>
      <c r="J215" s="7" t="s">
        <v>187</v>
      </c>
      <c r="K215" s="7" t="s">
        <v>16846</v>
      </c>
      <c r="L215" s="198" t="s">
        <v>65</v>
      </c>
      <c r="M215" s="194"/>
      <c r="N215" s="194"/>
    </row>
    <row r="216">
      <c r="A216" s="193" t="s">
        <v>17141</v>
      </c>
      <c r="B216" s="7" t="s">
        <v>16582</v>
      </c>
      <c r="C216" s="7" t="s">
        <v>16828</v>
      </c>
      <c r="D216" s="199"/>
      <c r="E216" s="193"/>
      <c r="F216" s="195" t="s">
        <v>17142</v>
      </c>
      <c r="G216" s="196">
        <v>8.5869460898E10</v>
      </c>
      <c r="H216" s="197">
        <v>172.32</v>
      </c>
      <c r="I216" s="7" t="s">
        <v>16815</v>
      </c>
      <c r="J216" s="7" t="s">
        <v>16582</v>
      </c>
      <c r="K216" s="7" t="s">
        <v>16828</v>
      </c>
      <c r="L216" s="198" t="s">
        <v>65</v>
      </c>
      <c r="M216" s="199"/>
      <c r="N216" s="199"/>
    </row>
    <row r="217">
      <c r="A217" s="193" t="s">
        <v>17143</v>
      </c>
      <c r="B217" s="7" t="s">
        <v>16851</v>
      </c>
      <c r="C217" s="7" t="s">
        <v>187</v>
      </c>
      <c r="D217" s="199"/>
      <c r="E217" s="193"/>
      <c r="F217" s="195" t="s">
        <v>17144</v>
      </c>
      <c r="G217" s="200">
        <v>8.5799100231E10</v>
      </c>
      <c r="H217" s="197">
        <v>293.21</v>
      </c>
      <c r="I217" s="7" t="s">
        <v>16815</v>
      </c>
      <c r="J217" s="7" t="s">
        <v>16851</v>
      </c>
      <c r="K217" s="7" t="s">
        <v>187</v>
      </c>
      <c r="L217" s="201" t="s">
        <v>16835</v>
      </c>
      <c r="M217" s="199"/>
      <c r="N217" s="199"/>
    </row>
    <row r="218">
      <c r="A218" s="193" t="s">
        <v>17143</v>
      </c>
      <c r="B218" s="7" t="s">
        <v>187</v>
      </c>
      <c r="C218" s="7" t="s">
        <v>16851</v>
      </c>
      <c r="D218" s="199"/>
      <c r="E218" s="193"/>
      <c r="F218" s="195" t="s">
        <v>17144</v>
      </c>
      <c r="G218" s="196">
        <v>8.5799100231E10</v>
      </c>
      <c r="H218" s="197">
        <v>293.21</v>
      </c>
      <c r="I218" s="7" t="s">
        <v>16815</v>
      </c>
      <c r="J218" s="7" t="s">
        <v>187</v>
      </c>
      <c r="K218" s="7" t="s">
        <v>16851</v>
      </c>
      <c r="L218" s="198" t="s">
        <v>65</v>
      </c>
      <c r="M218" s="199"/>
      <c r="N218" s="199"/>
    </row>
    <row r="219">
      <c r="A219" s="193" t="s">
        <v>17145</v>
      </c>
      <c r="B219" s="7" t="s">
        <v>17111</v>
      </c>
      <c r="C219" s="7" t="s">
        <v>17112</v>
      </c>
      <c r="D219" s="199"/>
      <c r="E219" s="193"/>
      <c r="F219" s="195" t="s">
        <v>17146</v>
      </c>
      <c r="G219" s="200">
        <v>8.5676487037E10</v>
      </c>
      <c r="H219" s="197">
        <v>183.79</v>
      </c>
      <c r="I219" s="7" t="s">
        <v>16815</v>
      </c>
      <c r="J219" s="7" t="s">
        <v>17111</v>
      </c>
      <c r="K219" s="7" t="s">
        <v>17112</v>
      </c>
      <c r="L219" s="201" t="s">
        <v>16835</v>
      </c>
      <c r="M219" s="199"/>
      <c r="N219" s="199"/>
    </row>
    <row r="220">
      <c r="A220" s="193" t="s">
        <v>17145</v>
      </c>
      <c r="B220" s="7" t="s">
        <v>17112</v>
      </c>
      <c r="C220" s="7" t="s">
        <v>17111</v>
      </c>
      <c r="D220" s="199"/>
      <c r="E220" s="193"/>
      <c r="F220" s="195" t="s">
        <v>17146</v>
      </c>
      <c r="G220" s="196">
        <v>8.5676487037E10</v>
      </c>
      <c r="H220" s="197">
        <v>183.79</v>
      </c>
      <c r="I220" s="7" t="s">
        <v>16815</v>
      </c>
      <c r="J220" s="7" t="s">
        <v>17112</v>
      </c>
      <c r="K220" s="7" t="s">
        <v>17111</v>
      </c>
      <c r="L220" s="198" t="s">
        <v>65</v>
      </c>
      <c r="M220" s="199"/>
      <c r="N220" s="199"/>
    </row>
    <row r="221">
      <c r="A221" s="193" t="s">
        <v>17147</v>
      </c>
      <c r="B221" s="7" t="s">
        <v>16867</v>
      </c>
      <c r="C221" s="7" t="s">
        <v>16838</v>
      </c>
      <c r="D221" s="194">
        <v>2014.0</v>
      </c>
      <c r="E221" s="193"/>
      <c r="F221" s="195" t="s">
        <v>17148</v>
      </c>
      <c r="G221" s="200">
        <v>8.49084E10</v>
      </c>
      <c r="H221" s="197">
        <v>24.54</v>
      </c>
      <c r="I221" s="7" t="s">
        <v>16815</v>
      </c>
      <c r="J221" s="7" t="s">
        <v>16867</v>
      </c>
      <c r="K221" s="7" t="s">
        <v>16838</v>
      </c>
      <c r="L221" s="201" t="s">
        <v>16835</v>
      </c>
      <c r="M221" s="194"/>
      <c r="N221" s="194"/>
    </row>
    <row r="222">
      <c r="A222" s="193" t="s">
        <v>17147</v>
      </c>
      <c r="B222" s="7" t="s">
        <v>16838</v>
      </c>
      <c r="C222" s="7" t="s">
        <v>16867</v>
      </c>
      <c r="D222" s="194">
        <v>2014.0</v>
      </c>
      <c r="E222" s="193"/>
      <c r="F222" s="195" t="s">
        <v>17148</v>
      </c>
      <c r="G222" s="196">
        <v>8.49084E10</v>
      </c>
      <c r="H222" s="197">
        <v>24.54</v>
      </c>
      <c r="I222" s="7" t="s">
        <v>16815</v>
      </c>
      <c r="J222" s="7" t="s">
        <v>16838</v>
      </c>
      <c r="K222" s="7" t="s">
        <v>16867</v>
      </c>
      <c r="L222" s="198" t="s">
        <v>65</v>
      </c>
      <c r="M222" s="194"/>
      <c r="N222" s="194"/>
    </row>
    <row r="223">
      <c r="A223" s="193" t="s">
        <v>17149</v>
      </c>
      <c r="B223" s="7" t="s">
        <v>16582</v>
      </c>
      <c r="C223" s="7" t="s">
        <v>16828</v>
      </c>
      <c r="D223" s="199"/>
      <c r="E223" s="193"/>
      <c r="F223" s="195" t="s">
        <v>17150</v>
      </c>
      <c r="G223" s="196">
        <v>8.2747877735E10</v>
      </c>
      <c r="H223" s="197">
        <v>75.36</v>
      </c>
      <c r="I223" s="7" t="s">
        <v>16815</v>
      </c>
      <c r="J223" s="7" t="s">
        <v>16582</v>
      </c>
      <c r="K223" s="7" t="s">
        <v>16828</v>
      </c>
      <c r="L223" s="198" t="s">
        <v>65</v>
      </c>
      <c r="M223" s="199"/>
      <c r="N223" s="199"/>
    </row>
    <row r="224">
      <c r="A224" s="193" t="s">
        <v>17151</v>
      </c>
      <c r="B224" s="7" t="s">
        <v>16867</v>
      </c>
      <c r="C224" s="7" t="s">
        <v>16838</v>
      </c>
      <c r="D224" s="199"/>
      <c r="E224" s="193"/>
      <c r="F224" s="195" t="s">
        <v>17152</v>
      </c>
      <c r="G224" s="200">
        <v>8.0536151741E10</v>
      </c>
      <c r="H224" s="197">
        <v>42.08</v>
      </c>
      <c r="I224" s="7" t="s">
        <v>16815</v>
      </c>
      <c r="J224" s="7" t="s">
        <v>16867</v>
      </c>
      <c r="K224" s="7" t="s">
        <v>16838</v>
      </c>
      <c r="L224" s="201" t="s">
        <v>16835</v>
      </c>
      <c r="M224" s="199"/>
      <c r="N224" s="199"/>
    </row>
    <row r="225">
      <c r="A225" s="193" t="s">
        <v>17151</v>
      </c>
      <c r="B225" s="7" t="s">
        <v>16838</v>
      </c>
      <c r="C225" s="7" t="s">
        <v>16867</v>
      </c>
      <c r="D225" s="199"/>
      <c r="E225" s="193"/>
      <c r="F225" s="195" t="s">
        <v>17152</v>
      </c>
      <c r="G225" s="196">
        <v>8.0536151741E10</v>
      </c>
      <c r="H225" s="197">
        <v>42.08</v>
      </c>
      <c r="I225" s="7" t="s">
        <v>16815</v>
      </c>
      <c r="J225" s="7" t="s">
        <v>16838</v>
      </c>
      <c r="K225" s="7" t="s">
        <v>16867</v>
      </c>
      <c r="L225" s="198" t="s">
        <v>65</v>
      </c>
      <c r="M225" s="199"/>
      <c r="N225" s="199"/>
    </row>
    <row r="226">
      <c r="A226" s="193" t="s">
        <v>17153</v>
      </c>
      <c r="B226" s="7" t="s">
        <v>16910</v>
      </c>
      <c r="C226" s="7" t="s">
        <v>16911</v>
      </c>
      <c r="D226" s="199"/>
      <c r="E226" s="193"/>
      <c r="F226" s="195" t="s">
        <v>17154</v>
      </c>
      <c r="G226" s="196">
        <v>7.9421015236E10</v>
      </c>
      <c r="H226" s="197">
        <v>141.21</v>
      </c>
      <c r="I226" s="193" t="s">
        <v>16856</v>
      </c>
      <c r="J226" s="7" t="s">
        <v>16910</v>
      </c>
      <c r="K226" s="7" t="s">
        <v>16911</v>
      </c>
      <c r="L226" s="198" t="s">
        <v>65</v>
      </c>
      <c r="M226" s="199"/>
      <c r="N226" s="199"/>
    </row>
    <row r="227">
      <c r="A227" s="193" t="s">
        <v>17153</v>
      </c>
      <c r="B227" s="7" t="s">
        <v>16911</v>
      </c>
      <c r="C227" s="7" t="s">
        <v>16910</v>
      </c>
      <c r="D227" s="199"/>
      <c r="E227" s="193"/>
      <c r="F227" s="195" t="s">
        <v>17154</v>
      </c>
      <c r="G227" s="200">
        <v>7.9421015236E10</v>
      </c>
      <c r="H227" s="197">
        <v>141.21</v>
      </c>
      <c r="I227" s="7" t="s">
        <v>16815</v>
      </c>
      <c r="J227" s="7" t="s">
        <v>16911</v>
      </c>
      <c r="K227" s="7" t="s">
        <v>16910</v>
      </c>
      <c r="L227" s="201" t="s">
        <v>16835</v>
      </c>
      <c r="M227" s="199"/>
      <c r="N227" s="199"/>
    </row>
    <row r="228">
      <c r="A228" s="193" t="s">
        <v>17155</v>
      </c>
      <c r="B228" s="7" t="s">
        <v>16838</v>
      </c>
      <c r="C228" s="7" t="s">
        <v>17002</v>
      </c>
      <c r="D228" s="199"/>
      <c r="E228" s="193"/>
      <c r="F228" s="195" t="s">
        <v>17156</v>
      </c>
      <c r="G228" s="196">
        <v>7.9185130401E10</v>
      </c>
      <c r="H228" s="197">
        <v>22.68</v>
      </c>
      <c r="I228" s="7" t="s">
        <v>16815</v>
      </c>
      <c r="J228" s="7" t="s">
        <v>16838</v>
      </c>
      <c r="K228" s="7" t="s">
        <v>17002</v>
      </c>
      <c r="L228" s="198" t="s">
        <v>65</v>
      </c>
      <c r="M228" s="199"/>
      <c r="N228" s="199"/>
    </row>
    <row r="229">
      <c r="A229" s="193" t="s">
        <v>17155</v>
      </c>
      <c r="B229" s="7" t="s">
        <v>17002</v>
      </c>
      <c r="C229" s="7" t="s">
        <v>16838</v>
      </c>
      <c r="D229" s="199"/>
      <c r="E229" s="193"/>
      <c r="F229" s="195" t="s">
        <v>17156</v>
      </c>
      <c r="G229" s="200">
        <v>7.9185130401E10</v>
      </c>
      <c r="H229" s="197">
        <v>22.68</v>
      </c>
      <c r="I229" s="7" t="s">
        <v>16815</v>
      </c>
      <c r="J229" s="7" t="s">
        <v>17002</v>
      </c>
      <c r="K229" s="7" t="s">
        <v>16838</v>
      </c>
      <c r="L229" s="201" t="s">
        <v>16835</v>
      </c>
      <c r="M229" s="199"/>
      <c r="N229" s="199"/>
    </row>
    <row r="230">
      <c r="A230" s="193" t="s">
        <v>17157</v>
      </c>
      <c r="B230" s="7" t="s">
        <v>16582</v>
      </c>
      <c r="C230" s="7" t="s">
        <v>16817</v>
      </c>
      <c r="D230" s="194">
        <v>1992.0</v>
      </c>
      <c r="E230" s="193"/>
      <c r="F230" s="195" t="s">
        <v>17158</v>
      </c>
      <c r="G230" s="196">
        <v>7.8905646774E10</v>
      </c>
      <c r="H230" s="197">
        <v>518.83</v>
      </c>
      <c r="I230" s="7" t="s">
        <v>16815</v>
      </c>
      <c r="J230" s="7" t="s">
        <v>16582</v>
      </c>
      <c r="K230" s="7" t="s">
        <v>16817</v>
      </c>
      <c r="L230" s="198" t="s">
        <v>65</v>
      </c>
      <c r="M230" s="194"/>
      <c r="N230" s="194"/>
    </row>
    <row r="231">
      <c r="A231" s="193" t="s">
        <v>17159</v>
      </c>
      <c r="D231" s="194">
        <v>2015.0</v>
      </c>
      <c r="E231" s="193"/>
      <c r="F231" s="195" t="s">
        <v>17160</v>
      </c>
      <c r="G231" s="196">
        <v>7.8776437736E10</v>
      </c>
      <c r="H231" s="197">
        <v>61.34</v>
      </c>
      <c r="I231" s="7" t="s">
        <v>16815</v>
      </c>
      <c r="L231" s="198" t="s">
        <v>65</v>
      </c>
      <c r="M231" s="194"/>
      <c r="N231" s="194"/>
    </row>
    <row r="232">
      <c r="A232" s="193" t="s">
        <v>17159</v>
      </c>
      <c r="D232" s="194">
        <v>2015.0</v>
      </c>
      <c r="E232" s="193"/>
      <c r="F232" s="195" t="s">
        <v>17160</v>
      </c>
      <c r="G232" s="200">
        <v>7.8776437736E10</v>
      </c>
      <c r="H232" s="197">
        <v>61.34</v>
      </c>
      <c r="L232" s="201" t="s">
        <v>16835</v>
      </c>
      <c r="M232" s="194"/>
      <c r="N232" s="194"/>
    </row>
    <row r="233">
      <c r="A233" s="193" t="s">
        <v>17161</v>
      </c>
      <c r="B233" s="7" t="s">
        <v>16582</v>
      </c>
      <c r="C233" s="7" t="s">
        <v>16995</v>
      </c>
      <c r="D233" s="199"/>
      <c r="E233" s="193"/>
      <c r="F233" s="195" t="s">
        <v>17162</v>
      </c>
      <c r="G233" s="196">
        <v>7.823181806E10</v>
      </c>
      <c r="H233" s="197">
        <v>253.51</v>
      </c>
      <c r="I233" s="7" t="s">
        <v>16815</v>
      </c>
      <c r="J233" s="7" t="s">
        <v>16582</v>
      </c>
      <c r="K233" s="7" t="s">
        <v>16995</v>
      </c>
      <c r="L233" s="198" t="s">
        <v>65</v>
      </c>
      <c r="M233" s="199"/>
      <c r="N233" s="199"/>
    </row>
    <row r="234">
      <c r="A234" s="193" t="s">
        <v>17163</v>
      </c>
      <c r="B234" s="7" t="s">
        <v>16838</v>
      </c>
      <c r="C234" s="7" t="s">
        <v>17019</v>
      </c>
      <c r="D234" s="194">
        <v>2002.0</v>
      </c>
      <c r="E234" s="193"/>
      <c r="F234" s="195" t="s">
        <v>17164</v>
      </c>
      <c r="G234" s="196">
        <v>7.8158075019E10</v>
      </c>
      <c r="H234" s="197">
        <v>217.11</v>
      </c>
      <c r="I234" s="7" t="s">
        <v>16815</v>
      </c>
      <c r="J234" s="7" t="s">
        <v>16838</v>
      </c>
      <c r="K234" s="7" t="s">
        <v>17019</v>
      </c>
      <c r="L234" s="198" t="s">
        <v>65</v>
      </c>
      <c r="M234" s="194"/>
      <c r="N234" s="194"/>
    </row>
    <row r="235">
      <c r="A235" s="193" t="s">
        <v>17165</v>
      </c>
      <c r="B235" s="7" t="s">
        <v>187</v>
      </c>
      <c r="C235" s="7" t="s">
        <v>16846</v>
      </c>
      <c r="D235" s="194">
        <v>2013.0</v>
      </c>
      <c r="E235" s="193"/>
      <c r="F235" s="195" t="s">
        <v>17166</v>
      </c>
      <c r="G235" s="196">
        <v>7.773713016E10</v>
      </c>
      <c r="H235" s="197">
        <v>169.32</v>
      </c>
      <c r="I235" s="7" t="s">
        <v>16815</v>
      </c>
      <c r="J235" s="7" t="s">
        <v>187</v>
      </c>
      <c r="K235" s="7" t="s">
        <v>16846</v>
      </c>
      <c r="L235" s="198" t="s">
        <v>65</v>
      </c>
      <c r="M235" s="194"/>
      <c r="N235" s="194"/>
    </row>
    <row r="236">
      <c r="A236" s="193" t="s">
        <v>17165</v>
      </c>
      <c r="B236" s="7" t="s">
        <v>16846</v>
      </c>
      <c r="C236" s="7" t="s">
        <v>187</v>
      </c>
      <c r="D236" s="194">
        <v>2013.0</v>
      </c>
      <c r="E236" s="193"/>
      <c r="F236" s="195" t="s">
        <v>17166</v>
      </c>
      <c r="G236" s="200">
        <v>7.773713016E10</v>
      </c>
      <c r="H236" s="197">
        <v>169.32</v>
      </c>
      <c r="I236" s="7" t="s">
        <v>16815</v>
      </c>
      <c r="J236" s="7" t="s">
        <v>16846</v>
      </c>
      <c r="K236" s="7" t="s">
        <v>187</v>
      </c>
      <c r="L236" s="201" t="s">
        <v>16835</v>
      </c>
      <c r="M236" s="194"/>
      <c r="N236" s="194"/>
    </row>
    <row r="237">
      <c r="A237" s="193" t="s">
        <v>17167</v>
      </c>
      <c r="B237" s="7" t="s">
        <v>175</v>
      </c>
      <c r="C237" s="7" t="s">
        <v>17168</v>
      </c>
      <c r="D237" s="194">
        <v>2020.0</v>
      </c>
      <c r="E237" s="193"/>
      <c r="F237" s="195" t="s">
        <v>17169</v>
      </c>
      <c r="G237" s="196">
        <v>7.6612956671E10</v>
      </c>
      <c r="H237" s="197">
        <v>118.15</v>
      </c>
      <c r="I237" s="7" t="s">
        <v>16826</v>
      </c>
      <c r="J237" s="7" t="s">
        <v>175</v>
      </c>
      <c r="K237" s="7" t="s">
        <v>17168</v>
      </c>
      <c r="L237" s="198" t="s">
        <v>65</v>
      </c>
      <c r="M237" s="194"/>
      <c r="N237" s="194"/>
    </row>
    <row r="238">
      <c r="A238" s="193" t="s">
        <v>17170</v>
      </c>
      <c r="B238" s="7" t="s">
        <v>158</v>
      </c>
      <c r="C238" s="7" t="s">
        <v>17171</v>
      </c>
      <c r="D238" s="199"/>
      <c r="E238" s="193"/>
      <c r="F238" s="195" t="s">
        <v>17172</v>
      </c>
      <c r="G238" s="196">
        <v>7.5868320165E10</v>
      </c>
      <c r="H238" s="197">
        <v>53.3</v>
      </c>
      <c r="I238" s="7" t="s">
        <v>180</v>
      </c>
      <c r="J238" s="7" t="s">
        <v>158</v>
      </c>
      <c r="K238" s="7" t="s">
        <v>17171</v>
      </c>
      <c r="L238" s="198" t="s">
        <v>65</v>
      </c>
      <c r="M238" s="199"/>
      <c r="N238" s="199"/>
    </row>
    <row r="239">
      <c r="A239" s="193" t="s">
        <v>17170</v>
      </c>
      <c r="B239" s="7" t="s">
        <v>17171</v>
      </c>
      <c r="C239" s="7" t="s">
        <v>158</v>
      </c>
      <c r="D239" s="199"/>
      <c r="E239" s="193"/>
      <c r="F239" s="195" t="s">
        <v>17172</v>
      </c>
      <c r="G239" s="200">
        <v>7.5868320165E10</v>
      </c>
      <c r="H239" s="197">
        <v>53.3</v>
      </c>
      <c r="I239" s="7" t="s">
        <v>16815</v>
      </c>
      <c r="J239" s="7" t="s">
        <v>17171</v>
      </c>
      <c r="K239" s="7" t="s">
        <v>158</v>
      </c>
      <c r="L239" s="201" t="s">
        <v>16835</v>
      </c>
      <c r="M239" s="199"/>
      <c r="N239" s="199"/>
    </row>
    <row r="240">
      <c r="A240" s="193" t="s">
        <v>17173</v>
      </c>
      <c r="B240" s="7" t="s">
        <v>16969</v>
      </c>
      <c r="C240" s="7" t="s">
        <v>187</v>
      </c>
      <c r="D240" s="199"/>
      <c r="E240" s="193"/>
      <c r="F240" s="195" t="s">
        <v>17174</v>
      </c>
      <c r="G240" s="200">
        <v>7.5534511982E10</v>
      </c>
      <c r="H240" s="197">
        <v>51.56</v>
      </c>
      <c r="I240" s="7" t="s">
        <v>16815</v>
      </c>
      <c r="J240" s="7" t="s">
        <v>16969</v>
      </c>
      <c r="K240" s="7" t="s">
        <v>187</v>
      </c>
      <c r="L240" s="201" t="s">
        <v>16835</v>
      </c>
      <c r="M240" s="199"/>
      <c r="N240" s="199"/>
    </row>
    <row r="241">
      <c r="A241" s="193" t="s">
        <v>17173</v>
      </c>
      <c r="B241" s="7" t="s">
        <v>187</v>
      </c>
      <c r="C241" s="7" t="s">
        <v>16969</v>
      </c>
      <c r="D241" s="199"/>
      <c r="E241" s="193"/>
      <c r="F241" s="195" t="s">
        <v>17174</v>
      </c>
      <c r="G241" s="196">
        <v>7.5534511982E10</v>
      </c>
      <c r="H241" s="197">
        <v>51.56</v>
      </c>
      <c r="I241" s="7" t="s">
        <v>16815</v>
      </c>
      <c r="J241" s="7" t="s">
        <v>187</v>
      </c>
      <c r="K241" s="7" t="s">
        <v>16969</v>
      </c>
      <c r="L241" s="198" t="s">
        <v>65</v>
      </c>
      <c r="M241" s="199"/>
      <c r="N241" s="199"/>
    </row>
    <row r="242">
      <c r="A242" s="193" t="s">
        <v>17175</v>
      </c>
      <c r="B242" s="7" t="s">
        <v>16919</v>
      </c>
      <c r="C242" s="7" t="s">
        <v>17176</v>
      </c>
      <c r="D242" s="199"/>
      <c r="E242" s="193"/>
      <c r="F242" s="195" t="s">
        <v>17177</v>
      </c>
      <c r="G242" s="196">
        <v>7.4271177667E10</v>
      </c>
      <c r="H242" s="197">
        <v>68.1</v>
      </c>
      <c r="I242" s="7" t="s">
        <v>16815</v>
      </c>
      <c r="J242" s="7" t="s">
        <v>16919</v>
      </c>
      <c r="K242" s="7" t="s">
        <v>17176</v>
      </c>
      <c r="L242" s="198" t="s">
        <v>65</v>
      </c>
      <c r="M242" s="199"/>
      <c r="N242" s="199"/>
    </row>
    <row r="243">
      <c r="A243" s="193" t="s">
        <v>17175</v>
      </c>
      <c r="B243" s="7" t="s">
        <v>17176</v>
      </c>
      <c r="C243" s="7" t="s">
        <v>16919</v>
      </c>
      <c r="D243" s="199"/>
      <c r="E243" s="193"/>
      <c r="F243" s="195" t="s">
        <v>17177</v>
      </c>
      <c r="G243" s="200">
        <v>7.4271177667E10</v>
      </c>
      <c r="H243" s="197">
        <v>68.1</v>
      </c>
      <c r="I243" s="7" t="s">
        <v>16815</v>
      </c>
      <c r="J243" s="7" t="s">
        <v>17176</v>
      </c>
      <c r="K243" s="7" t="s">
        <v>16919</v>
      </c>
      <c r="L243" s="201" t="s">
        <v>16835</v>
      </c>
      <c r="M243" s="199"/>
      <c r="N243" s="199"/>
    </row>
    <row r="244">
      <c r="A244" s="193" t="s">
        <v>17178</v>
      </c>
      <c r="B244" s="7" t="s">
        <v>16582</v>
      </c>
      <c r="C244" s="7" t="s">
        <v>16817</v>
      </c>
      <c r="D244" s="199"/>
      <c r="E244" s="193"/>
      <c r="F244" s="195" t="s">
        <v>17179</v>
      </c>
      <c r="G244" s="196">
        <v>7.3421251E10</v>
      </c>
      <c r="H244" s="197">
        <v>113.88</v>
      </c>
      <c r="I244" s="7" t="s">
        <v>16815</v>
      </c>
      <c r="J244" s="7" t="s">
        <v>16582</v>
      </c>
      <c r="K244" s="7" t="s">
        <v>16817</v>
      </c>
      <c r="L244" s="198" t="s">
        <v>65</v>
      </c>
      <c r="M244" s="199"/>
      <c r="N244" s="199"/>
    </row>
    <row r="245">
      <c r="A245" s="193" t="s">
        <v>17180</v>
      </c>
      <c r="B245" s="7" t="s">
        <v>175</v>
      </c>
      <c r="C245" s="7" t="s">
        <v>16854</v>
      </c>
      <c r="D245" s="199"/>
      <c r="E245" s="193"/>
      <c r="F245" s="195" t="s">
        <v>17181</v>
      </c>
      <c r="G245" s="196">
        <v>7.2928566351E10</v>
      </c>
      <c r="H245" s="197">
        <v>121.51</v>
      </c>
      <c r="I245" s="7" t="s">
        <v>16908</v>
      </c>
      <c r="J245" s="7" t="s">
        <v>175</v>
      </c>
      <c r="K245" s="7" t="s">
        <v>16854</v>
      </c>
      <c r="L245" s="198" t="s">
        <v>65</v>
      </c>
      <c r="M245" s="199"/>
      <c r="N245" s="199"/>
    </row>
    <row r="246">
      <c r="A246" s="193" t="s">
        <v>17180</v>
      </c>
      <c r="B246" s="7" t="s">
        <v>16854</v>
      </c>
      <c r="C246" s="7" t="s">
        <v>175</v>
      </c>
      <c r="D246" s="199"/>
      <c r="E246" s="193"/>
      <c r="F246" s="195" t="s">
        <v>17181</v>
      </c>
      <c r="G246" s="200">
        <v>7.2928566351E10</v>
      </c>
      <c r="H246" s="197">
        <v>121.51</v>
      </c>
      <c r="I246" s="7" t="s">
        <v>16815</v>
      </c>
      <c r="J246" s="7" t="s">
        <v>16854</v>
      </c>
      <c r="K246" s="7" t="s">
        <v>175</v>
      </c>
      <c r="L246" s="201" t="s">
        <v>16835</v>
      </c>
      <c r="M246" s="199"/>
      <c r="N246" s="199"/>
    </row>
    <row r="247">
      <c r="A247" s="193" t="s">
        <v>17182</v>
      </c>
      <c r="B247" s="7" t="s">
        <v>16582</v>
      </c>
      <c r="C247" s="7" t="s">
        <v>17183</v>
      </c>
      <c r="D247" s="194">
        <v>1980.0</v>
      </c>
      <c r="E247" s="193"/>
      <c r="F247" s="195" t="s">
        <v>17184</v>
      </c>
      <c r="G247" s="196">
        <v>7.2621839823E10</v>
      </c>
      <c r="H247" s="197">
        <v>534.25</v>
      </c>
      <c r="I247" s="7" t="s">
        <v>16815</v>
      </c>
      <c r="J247" s="7" t="s">
        <v>16582</v>
      </c>
      <c r="K247" s="7" t="s">
        <v>17183</v>
      </c>
      <c r="L247" s="198" t="s">
        <v>65</v>
      </c>
      <c r="M247" s="194"/>
      <c r="N247" s="194"/>
    </row>
    <row r="248">
      <c r="A248" s="193" t="s">
        <v>17185</v>
      </c>
      <c r="D248" s="199"/>
      <c r="E248" s="193"/>
      <c r="F248" s="195" t="s">
        <v>17186</v>
      </c>
      <c r="G248" s="196">
        <v>7.234809E10</v>
      </c>
      <c r="H248" s="197">
        <v>111.7</v>
      </c>
      <c r="I248" s="7" t="s">
        <v>16815</v>
      </c>
      <c r="L248" s="198" t="s">
        <v>65</v>
      </c>
      <c r="M248" s="199"/>
      <c r="N248" s="199"/>
    </row>
    <row r="249">
      <c r="A249" s="193" t="s">
        <v>17185</v>
      </c>
      <c r="D249" s="199"/>
      <c r="E249" s="193"/>
      <c r="F249" s="195" t="s">
        <v>17186</v>
      </c>
      <c r="G249" s="200">
        <v>7.234809E10</v>
      </c>
      <c r="H249" s="197">
        <v>111.7</v>
      </c>
      <c r="L249" s="201" t="s">
        <v>16835</v>
      </c>
      <c r="M249" s="199"/>
      <c r="N249" s="199"/>
    </row>
    <row r="250">
      <c r="A250" s="193" t="s">
        <v>17187</v>
      </c>
      <c r="B250" s="7" t="s">
        <v>17112</v>
      </c>
      <c r="C250" s="7" t="s">
        <v>17111</v>
      </c>
      <c r="D250" s="194">
        <v>2000.0</v>
      </c>
      <c r="E250" s="193"/>
      <c r="F250" s="195" t="s">
        <v>17188</v>
      </c>
      <c r="G250" s="196">
        <v>7.2033934732E10</v>
      </c>
      <c r="H250" s="197">
        <v>767.27</v>
      </c>
      <c r="I250" s="7" t="s">
        <v>16815</v>
      </c>
      <c r="J250" s="7" t="s">
        <v>17112</v>
      </c>
      <c r="K250" s="7" t="s">
        <v>17111</v>
      </c>
      <c r="L250" s="198" t="s">
        <v>65</v>
      </c>
      <c r="M250" s="194"/>
      <c r="N250" s="194"/>
    </row>
    <row r="251">
      <c r="A251" s="193" t="s">
        <v>17189</v>
      </c>
      <c r="B251" s="7" t="s">
        <v>158</v>
      </c>
      <c r="C251" s="7" t="s">
        <v>16864</v>
      </c>
      <c r="D251" s="199"/>
      <c r="E251" s="193"/>
      <c r="F251" s="195" t="s">
        <v>17190</v>
      </c>
      <c r="G251" s="196">
        <v>7.1552456165E10</v>
      </c>
      <c r="H251" s="197">
        <v>122.7</v>
      </c>
      <c r="I251" s="7" t="s">
        <v>16897</v>
      </c>
      <c r="J251" s="7" t="s">
        <v>158</v>
      </c>
      <c r="K251" s="7" t="s">
        <v>16864</v>
      </c>
      <c r="L251" s="198" t="s">
        <v>65</v>
      </c>
      <c r="M251" s="199"/>
      <c r="N251" s="199"/>
    </row>
    <row r="252">
      <c r="A252" s="193" t="s">
        <v>17189</v>
      </c>
      <c r="B252" s="7" t="s">
        <v>16864</v>
      </c>
      <c r="C252" s="7" t="s">
        <v>158</v>
      </c>
      <c r="D252" s="199"/>
      <c r="E252" s="193"/>
      <c r="F252" s="195" t="s">
        <v>17190</v>
      </c>
      <c r="G252" s="200">
        <v>7.1552456165E10</v>
      </c>
      <c r="H252" s="197">
        <v>122.7</v>
      </c>
      <c r="I252" s="7" t="s">
        <v>16815</v>
      </c>
      <c r="J252" s="7" t="s">
        <v>16864</v>
      </c>
      <c r="K252" s="7" t="s">
        <v>158</v>
      </c>
      <c r="L252" s="201" t="s">
        <v>16835</v>
      </c>
      <c r="M252" s="199"/>
      <c r="N252" s="199"/>
    </row>
    <row r="253">
      <c r="A253" s="193" t="s">
        <v>17191</v>
      </c>
      <c r="B253" s="7" t="s">
        <v>16582</v>
      </c>
      <c r="C253" s="7" t="s">
        <v>16817</v>
      </c>
      <c r="D253" s="199"/>
      <c r="E253" s="193"/>
      <c r="F253" s="195" t="s">
        <v>17192</v>
      </c>
      <c r="G253" s="196">
        <v>7.116053672E10</v>
      </c>
      <c r="H253" s="197">
        <v>261.56</v>
      </c>
      <c r="I253" s="7" t="s">
        <v>16815</v>
      </c>
      <c r="J253" s="7" t="s">
        <v>16582</v>
      </c>
      <c r="K253" s="7" t="s">
        <v>16817</v>
      </c>
      <c r="L253" s="198" t="s">
        <v>65</v>
      </c>
      <c r="M253" s="199"/>
      <c r="N253" s="199"/>
    </row>
    <row r="254">
      <c r="A254" s="193" t="s">
        <v>17193</v>
      </c>
      <c r="B254" s="7" t="s">
        <v>158</v>
      </c>
      <c r="C254" s="7" t="s">
        <v>16920</v>
      </c>
      <c r="D254" s="199"/>
      <c r="E254" s="193"/>
      <c r="F254" s="195" t="s">
        <v>17194</v>
      </c>
      <c r="G254" s="196">
        <v>7.10084E10</v>
      </c>
      <c r="H254" s="197">
        <v>33.4</v>
      </c>
      <c r="I254" s="7" t="s">
        <v>16897</v>
      </c>
      <c r="J254" s="7" t="s">
        <v>158</v>
      </c>
      <c r="K254" s="7" t="s">
        <v>16920</v>
      </c>
      <c r="L254" s="198" t="s">
        <v>65</v>
      </c>
      <c r="M254" s="199"/>
      <c r="N254" s="199"/>
    </row>
    <row r="255">
      <c r="A255" s="193" t="s">
        <v>17193</v>
      </c>
      <c r="B255" s="7" t="s">
        <v>16920</v>
      </c>
      <c r="C255" s="7" t="s">
        <v>158</v>
      </c>
      <c r="D255" s="199"/>
      <c r="E255" s="193"/>
      <c r="F255" s="195" t="s">
        <v>17194</v>
      </c>
      <c r="G255" s="200">
        <v>7.10084E10</v>
      </c>
      <c r="H255" s="197">
        <v>33.4</v>
      </c>
      <c r="I255" s="7" t="s">
        <v>16815</v>
      </c>
      <c r="J255" s="7" t="s">
        <v>16920</v>
      </c>
      <c r="K255" s="7" t="s">
        <v>158</v>
      </c>
      <c r="L255" s="201" t="s">
        <v>16835</v>
      </c>
      <c r="M255" s="199"/>
      <c r="N255" s="199"/>
    </row>
    <row r="256">
      <c r="A256" s="193" t="s">
        <v>17195</v>
      </c>
      <c r="B256" s="7" t="s">
        <v>16992</v>
      </c>
      <c r="C256" s="7" t="s">
        <v>187</v>
      </c>
      <c r="D256" s="199"/>
      <c r="E256" s="193"/>
      <c r="F256" s="195" t="s">
        <v>17196</v>
      </c>
      <c r="G256" s="200">
        <v>7.0781239893E10</v>
      </c>
      <c r="H256" s="197">
        <v>40.02</v>
      </c>
      <c r="I256" s="7" t="s">
        <v>16815</v>
      </c>
      <c r="J256" s="7" t="s">
        <v>16992</v>
      </c>
      <c r="K256" s="7" t="s">
        <v>187</v>
      </c>
      <c r="L256" s="201" t="s">
        <v>16835</v>
      </c>
      <c r="M256" s="199"/>
      <c r="N256" s="199"/>
    </row>
    <row r="257">
      <c r="A257" s="193" t="s">
        <v>17195</v>
      </c>
      <c r="B257" s="7" t="s">
        <v>187</v>
      </c>
      <c r="C257" s="7" t="s">
        <v>16992</v>
      </c>
      <c r="D257" s="199"/>
      <c r="E257" s="193"/>
      <c r="F257" s="195" t="s">
        <v>17196</v>
      </c>
      <c r="G257" s="196">
        <v>7.0781239893E10</v>
      </c>
      <c r="H257" s="197">
        <v>40.02</v>
      </c>
      <c r="I257" s="7" t="s">
        <v>16815</v>
      </c>
      <c r="J257" s="7" t="s">
        <v>187</v>
      </c>
      <c r="K257" s="7" t="s">
        <v>16992</v>
      </c>
      <c r="L257" s="198" t="s">
        <v>65</v>
      </c>
      <c r="M257" s="199"/>
      <c r="N257" s="199"/>
    </row>
    <row r="258">
      <c r="A258" s="193" t="s">
        <v>17197</v>
      </c>
      <c r="B258" s="7" t="s">
        <v>187</v>
      </c>
      <c r="C258" s="7" t="s">
        <v>16846</v>
      </c>
      <c r="D258" s="194">
        <v>2022.0</v>
      </c>
      <c r="E258" s="193"/>
      <c r="F258" s="195" t="s">
        <v>17198</v>
      </c>
      <c r="G258" s="196">
        <v>7.0454922364E10</v>
      </c>
      <c r="H258" s="197">
        <v>34.41</v>
      </c>
      <c r="I258" s="7" t="s">
        <v>16815</v>
      </c>
      <c r="J258" s="7" t="s">
        <v>187</v>
      </c>
      <c r="K258" s="7" t="s">
        <v>16846</v>
      </c>
      <c r="L258" s="198" t="s">
        <v>65</v>
      </c>
      <c r="M258" s="194"/>
      <c r="N258" s="194"/>
    </row>
    <row r="259">
      <c r="A259" s="193" t="s">
        <v>17197</v>
      </c>
      <c r="B259" s="7" t="s">
        <v>16846</v>
      </c>
      <c r="C259" s="7" t="s">
        <v>187</v>
      </c>
      <c r="D259" s="194">
        <v>2022.0</v>
      </c>
      <c r="E259" s="193"/>
      <c r="F259" s="195" t="s">
        <v>17198</v>
      </c>
      <c r="G259" s="200">
        <v>7.0454922364E10</v>
      </c>
      <c r="H259" s="197">
        <v>34.41</v>
      </c>
      <c r="I259" s="7" t="s">
        <v>16815</v>
      </c>
      <c r="J259" s="7" t="s">
        <v>16846</v>
      </c>
      <c r="K259" s="7" t="s">
        <v>187</v>
      </c>
      <c r="L259" s="201" t="s">
        <v>16835</v>
      </c>
      <c r="M259" s="194"/>
      <c r="N259" s="194"/>
    </row>
    <row r="260">
      <c r="A260" s="193" t="s">
        <v>17199</v>
      </c>
      <c r="B260" s="7" t="s">
        <v>158</v>
      </c>
      <c r="C260" s="7" t="s">
        <v>16864</v>
      </c>
      <c r="D260" s="199"/>
      <c r="E260" s="193"/>
      <c r="F260" s="195" t="s">
        <v>17200</v>
      </c>
      <c r="G260" s="196">
        <v>7.021951308E10</v>
      </c>
      <c r="H260" s="197">
        <v>64.58</v>
      </c>
      <c r="I260" s="7" t="s">
        <v>16897</v>
      </c>
      <c r="J260" s="7" t="s">
        <v>158</v>
      </c>
      <c r="K260" s="7" t="s">
        <v>16864</v>
      </c>
      <c r="L260" s="198" t="s">
        <v>65</v>
      </c>
      <c r="M260" s="199"/>
      <c r="N260" s="199"/>
    </row>
    <row r="261">
      <c r="A261" s="193" t="s">
        <v>17199</v>
      </c>
      <c r="B261" s="7" t="s">
        <v>16864</v>
      </c>
      <c r="C261" s="7" t="s">
        <v>158</v>
      </c>
      <c r="D261" s="199"/>
      <c r="E261" s="193"/>
      <c r="F261" s="195" t="s">
        <v>17200</v>
      </c>
      <c r="G261" s="200">
        <v>7.021951308E10</v>
      </c>
      <c r="H261" s="197">
        <v>64.58</v>
      </c>
      <c r="I261" s="7" t="s">
        <v>16815</v>
      </c>
      <c r="J261" s="7" t="s">
        <v>16864</v>
      </c>
      <c r="K261" s="7" t="s">
        <v>158</v>
      </c>
      <c r="L261" s="201" t="s">
        <v>16835</v>
      </c>
      <c r="M261" s="199"/>
      <c r="N261" s="199"/>
    </row>
    <row r="262">
      <c r="A262" s="193" t="s">
        <v>17201</v>
      </c>
      <c r="B262" s="7" t="s">
        <v>17202</v>
      </c>
      <c r="C262" s="7" t="s">
        <v>16838</v>
      </c>
      <c r="D262" s="194">
        <v>2007.0</v>
      </c>
      <c r="E262" s="193"/>
      <c r="F262" s="195" t="s">
        <v>17203</v>
      </c>
      <c r="G262" s="200">
        <v>7.0088125953E10</v>
      </c>
      <c r="H262" s="197">
        <v>98.64</v>
      </c>
      <c r="I262" s="7" t="s">
        <v>16815</v>
      </c>
      <c r="J262" s="7" t="s">
        <v>17202</v>
      </c>
      <c r="K262" s="7" t="s">
        <v>16838</v>
      </c>
      <c r="L262" s="201" t="s">
        <v>16835</v>
      </c>
      <c r="M262" s="194"/>
      <c r="N262" s="194"/>
    </row>
    <row r="263">
      <c r="A263" s="193" t="s">
        <v>17201</v>
      </c>
      <c r="B263" s="7" t="s">
        <v>16838</v>
      </c>
      <c r="C263" s="7" t="s">
        <v>17202</v>
      </c>
      <c r="D263" s="194">
        <v>2007.0</v>
      </c>
      <c r="E263" s="193"/>
      <c r="F263" s="195" t="s">
        <v>17203</v>
      </c>
      <c r="G263" s="196">
        <v>7.0088125953E10</v>
      </c>
      <c r="H263" s="197">
        <v>98.64</v>
      </c>
      <c r="I263" s="7" t="s">
        <v>16815</v>
      </c>
      <c r="J263" s="7" t="s">
        <v>16838</v>
      </c>
      <c r="K263" s="7" t="s">
        <v>17202</v>
      </c>
      <c r="L263" s="198" t="s">
        <v>65</v>
      </c>
      <c r="M263" s="194"/>
      <c r="N263" s="194"/>
    </row>
    <row r="264">
      <c r="A264" s="193" t="s">
        <v>17204</v>
      </c>
      <c r="B264" s="7" t="s">
        <v>16582</v>
      </c>
      <c r="C264" s="7" t="s">
        <v>16930</v>
      </c>
      <c r="D264" s="199"/>
      <c r="E264" s="193"/>
      <c r="F264" s="195" t="s">
        <v>17205</v>
      </c>
      <c r="G264" s="196">
        <v>6.99580636E10</v>
      </c>
      <c r="H264" s="197">
        <v>16.63</v>
      </c>
      <c r="I264" s="7" t="s">
        <v>16815</v>
      </c>
      <c r="J264" s="7" t="s">
        <v>16582</v>
      </c>
      <c r="K264" s="7" t="s">
        <v>16930</v>
      </c>
      <c r="L264" s="198" t="s">
        <v>65</v>
      </c>
      <c r="M264" s="199"/>
      <c r="N264" s="199"/>
    </row>
    <row r="265">
      <c r="A265" s="193" t="s">
        <v>17204</v>
      </c>
      <c r="B265" s="7" t="s">
        <v>16930</v>
      </c>
      <c r="C265" s="7" t="s">
        <v>16582</v>
      </c>
      <c r="D265" s="199"/>
      <c r="E265" s="193"/>
      <c r="F265" s="195" t="s">
        <v>17205</v>
      </c>
      <c r="G265" s="200">
        <v>6.99580636E10</v>
      </c>
      <c r="H265" s="197">
        <v>16.63</v>
      </c>
      <c r="I265" s="7" t="s">
        <v>16815</v>
      </c>
      <c r="J265" s="7" t="s">
        <v>16930</v>
      </c>
      <c r="K265" s="7" t="s">
        <v>16582</v>
      </c>
      <c r="L265" s="201" t="s">
        <v>16835</v>
      </c>
      <c r="M265" s="199"/>
      <c r="N265" s="199"/>
    </row>
    <row r="266">
      <c r="A266" s="193" t="s">
        <v>17206</v>
      </c>
      <c r="B266" s="7" t="s">
        <v>169</v>
      </c>
      <c r="C266" s="7" t="s">
        <v>16899</v>
      </c>
      <c r="D266" s="199"/>
      <c r="E266" s="193"/>
      <c r="F266" s="195" t="s">
        <v>17207</v>
      </c>
      <c r="G266" s="196">
        <v>6.9952958241E10</v>
      </c>
      <c r="H266" s="197">
        <v>232.49</v>
      </c>
      <c r="I266" s="7" t="s">
        <v>16815</v>
      </c>
      <c r="J266" s="7" t="s">
        <v>169</v>
      </c>
      <c r="K266" s="7" t="s">
        <v>16899</v>
      </c>
      <c r="L266" s="198" t="s">
        <v>65</v>
      </c>
      <c r="M266" s="199"/>
      <c r="N266" s="199"/>
    </row>
    <row r="267">
      <c r="A267" s="193" t="s">
        <v>17206</v>
      </c>
      <c r="B267" s="7" t="s">
        <v>16899</v>
      </c>
      <c r="C267" s="7" t="s">
        <v>169</v>
      </c>
      <c r="D267" s="199"/>
      <c r="E267" s="193"/>
      <c r="F267" s="195" t="s">
        <v>17207</v>
      </c>
      <c r="G267" s="200">
        <v>6.9952958241E10</v>
      </c>
      <c r="H267" s="197">
        <v>232.49</v>
      </c>
      <c r="I267" s="7" t="s">
        <v>16815</v>
      </c>
      <c r="J267" s="7" t="s">
        <v>16899</v>
      </c>
      <c r="K267" s="7" t="s">
        <v>169</v>
      </c>
      <c r="L267" s="201" t="s">
        <v>16835</v>
      </c>
      <c r="M267" s="199"/>
      <c r="N267" s="199"/>
    </row>
    <row r="268">
      <c r="A268" s="193" t="s">
        <v>17208</v>
      </c>
      <c r="B268" s="7" t="s">
        <v>169</v>
      </c>
      <c r="C268" s="7" t="s">
        <v>16899</v>
      </c>
      <c r="D268" s="199"/>
      <c r="E268" s="193"/>
      <c r="F268" s="195" t="s">
        <v>17209</v>
      </c>
      <c r="G268" s="196">
        <v>6.9857690118E10</v>
      </c>
      <c r="H268" s="197">
        <v>463.27</v>
      </c>
      <c r="I268" s="7" t="s">
        <v>16815</v>
      </c>
      <c r="J268" s="7" t="s">
        <v>169</v>
      </c>
      <c r="K268" s="7" t="s">
        <v>16899</v>
      </c>
      <c r="L268" s="198" t="s">
        <v>65</v>
      </c>
      <c r="M268" s="199"/>
      <c r="N268" s="199"/>
    </row>
    <row r="269">
      <c r="A269" s="193" t="s">
        <v>17208</v>
      </c>
      <c r="B269" s="7" t="s">
        <v>16899</v>
      </c>
      <c r="C269" s="7" t="s">
        <v>169</v>
      </c>
      <c r="D269" s="199"/>
      <c r="E269" s="193"/>
      <c r="F269" s="195" t="s">
        <v>17209</v>
      </c>
      <c r="G269" s="200">
        <v>6.9857690118E10</v>
      </c>
      <c r="H269" s="197">
        <v>463.27</v>
      </c>
      <c r="I269" s="7" t="s">
        <v>16815</v>
      </c>
      <c r="J269" s="7" t="s">
        <v>16899</v>
      </c>
      <c r="K269" s="7" t="s">
        <v>169</v>
      </c>
      <c r="L269" s="201" t="s">
        <v>16835</v>
      </c>
      <c r="M269" s="199"/>
      <c r="N269" s="199"/>
    </row>
    <row r="270">
      <c r="A270" s="193" t="s">
        <v>17210</v>
      </c>
      <c r="B270" s="7" t="s">
        <v>16885</v>
      </c>
      <c r="C270" s="7" t="s">
        <v>16886</v>
      </c>
      <c r="D270" s="199"/>
      <c r="E270" s="193"/>
      <c r="F270" s="195" t="s">
        <v>17211</v>
      </c>
      <c r="G270" s="196">
        <v>6.9723994347E10</v>
      </c>
      <c r="H270" s="197">
        <v>14.59</v>
      </c>
      <c r="I270" s="7" t="s">
        <v>16826</v>
      </c>
      <c r="J270" s="7" t="s">
        <v>16885</v>
      </c>
      <c r="K270" s="7" t="s">
        <v>16886</v>
      </c>
      <c r="L270" s="198" t="s">
        <v>65</v>
      </c>
      <c r="M270" s="199"/>
      <c r="N270" s="199"/>
    </row>
    <row r="271">
      <c r="A271" s="193" t="s">
        <v>17210</v>
      </c>
      <c r="B271" s="7" t="s">
        <v>16886</v>
      </c>
      <c r="C271" s="7" t="s">
        <v>16885</v>
      </c>
      <c r="D271" s="199"/>
      <c r="E271" s="193"/>
      <c r="F271" s="195" t="s">
        <v>17212</v>
      </c>
      <c r="G271" s="200">
        <v>6.9723994347E10</v>
      </c>
      <c r="H271" s="197">
        <v>14.59</v>
      </c>
      <c r="I271" s="7" t="s">
        <v>16815</v>
      </c>
      <c r="J271" s="7" t="s">
        <v>16886</v>
      </c>
      <c r="K271" s="7" t="s">
        <v>16885</v>
      </c>
      <c r="L271" s="201" t="s">
        <v>16835</v>
      </c>
      <c r="M271" s="199"/>
      <c r="N271" s="199"/>
    </row>
    <row r="272">
      <c r="A272" s="193" t="s">
        <v>17213</v>
      </c>
      <c r="B272" s="7" t="s">
        <v>175</v>
      </c>
      <c r="C272" s="7" t="s">
        <v>16854</v>
      </c>
      <c r="D272" s="194">
        <v>2007.0</v>
      </c>
      <c r="E272" s="193"/>
      <c r="F272" s="195" t="s">
        <v>17214</v>
      </c>
      <c r="G272" s="196">
        <v>6.9488522057E10</v>
      </c>
      <c r="H272" s="197">
        <v>1374.39</v>
      </c>
      <c r="I272" s="7" t="s">
        <v>168</v>
      </c>
      <c r="J272" s="7" t="s">
        <v>175</v>
      </c>
      <c r="K272" s="7" t="s">
        <v>16854</v>
      </c>
      <c r="L272" s="198" t="s">
        <v>65</v>
      </c>
      <c r="M272" s="194"/>
      <c r="N272" s="194"/>
    </row>
    <row r="273">
      <c r="A273" s="193" t="s">
        <v>17215</v>
      </c>
      <c r="B273" s="7" t="s">
        <v>16919</v>
      </c>
      <c r="C273" s="7" t="s">
        <v>110</v>
      </c>
      <c r="D273" s="199"/>
      <c r="E273" s="193"/>
      <c r="F273" s="195" t="s">
        <v>17216</v>
      </c>
      <c r="G273" s="196">
        <v>6.9184735096E10</v>
      </c>
      <c r="H273" s="197">
        <v>171.77</v>
      </c>
      <c r="I273" s="7" t="s">
        <v>16815</v>
      </c>
      <c r="J273" s="7" t="s">
        <v>16919</v>
      </c>
      <c r="K273" s="7" t="s">
        <v>110</v>
      </c>
      <c r="L273" s="198" t="s">
        <v>65</v>
      </c>
      <c r="M273" s="199"/>
      <c r="N273" s="199"/>
    </row>
    <row r="274">
      <c r="A274" s="193" t="s">
        <v>17215</v>
      </c>
      <c r="B274" s="7" t="s">
        <v>110</v>
      </c>
      <c r="C274" s="7" t="s">
        <v>16919</v>
      </c>
      <c r="D274" s="199"/>
      <c r="E274" s="193"/>
      <c r="F274" s="195" t="s">
        <v>17216</v>
      </c>
      <c r="G274" s="200">
        <v>6.9184735096E10</v>
      </c>
      <c r="H274" s="197">
        <v>171.77</v>
      </c>
      <c r="I274" s="7" t="s">
        <v>16815</v>
      </c>
      <c r="J274" s="7" t="s">
        <v>110</v>
      </c>
      <c r="K274" s="7" t="s">
        <v>16919</v>
      </c>
      <c r="L274" s="201" t="s">
        <v>16835</v>
      </c>
      <c r="M274" s="199"/>
      <c r="N274" s="199"/>
    </row>
    <row r="275">
      <c r="A275" s="193" t="s">
        <v>17217</v>
      </c>
      <c r="B275" s="7" t="s">
        <v>175</v>
      </c>
      <c r="C275" s="7" t="s">
        <v>17218</v>
      </c>
      <c r="D275" s="194">
        <v>2022.0</v>
      </c>
      <c r="E275" s="193"/>
      <c r="F275" s="195" t="s">
        <v>17219</v>
      </c>
      <c r="G275" s="196">
        <v>6.868029E10</v>
      </c>
      <c r="H275" s="197">
        <v>27.33</v>
      </c>
      <c r="I275" s="7" t="s">
        <v>17033</v>
      </c>
      <c r="J275" s="7" t="s">
        <v>175</v>
      </c>
      <c r="K275" s="7" t="s">
        <v>17218</v>
      </c>
      <c r="L275" s="198" t="s">
        <v>65</v>
      </c>
      <c r="M275" s="194"/>
      <c r="N275" s="194"/>
    </row>
    <row r="276">
      <c r="A276" s="193" t="s">
        <v>17217</v>
      </c>
      <c r="B276" s="7" t="s">
        <v>17218</v>
      </c>
      <c r="C276" s="7" t="s">
        <v>175</v>
      </c>
      <c r="D276" s="194">
        <v>2022.0</v>
      </c>
      <c r="E276" s="193"/>
      <c r="F276" s="195" t="s">
        <v>17219</v>
      </c>
      <c r="G276" s="200">
        <v>6.868029E10</v>
      </c>
      <c r="H276" s="197">
        <v>27.33</v>
      </c>
      <c r="I276" s="7" t="s">
        <v>16815</v>
      </c>
      <c r="J276" s="7" t="s">
        <v>17218</v>
      </c>
      <c r="K276" s="7" t="s">
        <v>175</v>
      </c>
      <c r="L276" s="201" t="s">
        <v>16835</v>
      </c>
      <c r="M276" s="194"/>
      <c r="N276" s="194"/>
    </row>
    <row r="277">
      <c r="A277" s="193" t="s">
        <v>17220</v>
      </c>
      <c r="B277" s="7" t="s">
        <v>175</v>
      </c>
      <c r="C277" s="7" t="s">
        <v>16854</v>
      </c>
      <c r="D277" s="194">
        <v>2015.0</v>
      </c>
      <c r="E277" s="193"/>
      <c r="F277" s="195" t="s">
        <v>17221</v>
      </c>
      <c r="G277" s="196">
        <v>6.8644815812E10</v>
      </c>
      <c r="H277" s="197">
        <v>36.34</v>
      </c>
      <c r="I277" s="7" t="s">
        <v>17222</v>
      </c>
      <c r="J277" s="7" t="s">
        <v>175</v>
      </c>
      <c r="K277" s="7" t="s">
        <v>16854</v>
      </c>
      <c r="L277" s="198" t="s">
        <v>65</v>
      </c>
      <c r="M277" s="194"/>
      <c r="N277" s="194"/>
    </row>
    <row r="278">
      <c r="A278" s="193" t="s">
        <v>17220</v>
      </c>
      <c r="B278" s="7" t="s">
        <v>16854</v>
      </c>
      <c r="C278" s="7" t="s">
        <v>175</v>
      </c>
      <c r="D278" s="194">
        <v>2015.0</v>
      </c>
      <c r="E278" s="193"/>
      <c r="F278" s="195" t="s">
        <v>17221</v>
      </c>
      <c r="G278" s="200">
        <v>6.8644815812E10</v>
      </c>
      <c r="H278" s="197">
        <v>36.34</v>
      </c>
      <c r="I278" s="7" t="s">
        <v>16815</v>
      </c>
      <c r="J278" s="7" t="s">
        <v>16854</v>
      </c>
      <c r="K278" s="7" t="s">
        <v>175</v>
      </c>
      <c r="L278" s="201" t="s">
        <v>16835</v>
      </c>
      <c r="M278" s="194"/>
      <c r="N278" s="194"/>
    </row>
    <row r="279">
      <c r="A279" s="193" t="s">
        <v>17223</v>
      </c>
      <c r="B279" s="7" t="s">
        <v>16969</v>
      </c>
      <c r="C279" s="7" t="s">
        <v>187</v>
      </c>
      <c r="D279" s="199"/>
      <c r="E279" s="193"/>
      <c r="F279" s="195" t="s">
        <v>17224</v>
      </c>
      <c r="G279" s="200">
        <v>6.8073976889E10</v>
      </c>
      <c r="H279" s="197">
        <v>234.65</v>
      </c>
      <c r="I279" s="7" t="s">
        <v>16815</v>
      </c>
      <c r="J279" s="7" t="s">
        <v>16969</v>
      </c>
      <c r="K279" s="7" t="s">
        <v>187</v>
      </c>
      <c r="L279" s="201" t="s">
        <v>16835</v>
      </c>
      <c r="M279" s="199"/>
      <c r="N279" s="199"/>
    </row>
    <row r="280">
      <c r="A280" s="193" t="s">
        <v>17223</v>
      </c>
      <c r="B280" s="7" t="s">
        <v>187</v>
      </c>
      <c r="C280" s="7" t="s">
        <v>16969</v>
      </c>
      <c r="D280" s="199"/>
      <c r="E280" s="193"/>
      <c r="F280" s="195" t="s">
        <v>17224</v>
      </c>
      <c r="G280" s="196">
        <v>6.8073976889E10</v>
      </c>
      <c r="H280" s="197">
        <v>234.65</v>
      </c>
      <c r="I280" s="7" t="s">
        <v>16815</v>
      </c>
      <c r="J280" s="7" t="s">
        <v>187</v>
      </c>
      <c r="K280" s="7" t="s">
        <v>16969</v>
      </c>
      <c r="L280" s="198" t="s">
        <v>65</v>
      </c>
      <c r="M280" s="199"/>
      <c r="N280" s="199"/>
    </row>
    <row r="281">
      <c r="A281" s="193" t="s">
        <v>17225</v>
      </c>
      <c r="B281" s="7" t="s">
        <v>16919</v>
      </c>
      <c r="C281" s="7" t="s">
        <v>17176</v>
      </c>
      <c r="D281" s="199"/>
      <c r="E281" s="193"/>
      <c r="F281" s="195" t="s">
        <v>17226</v>
      </c>
      <c r="G281" s="196">
        <v>6.8030724231E10</v>
      </c>
      <c r="H281" s="197">
        <v>88.27</v>
      </c>
      <c r="I281" s="7" t="s">
        <v>16815</v>
      </c>
      <c r="J281" s="7" t="s">
        <v>16919</v>
      </c>
      <c r="K281" s="7" t="s">
        <v>17176</v>
      </c>
      <c r="L281" s="198" t="s">
        <v>65</v>
      </c>
      <c r="M281" s="199"/>
      <c r="N281" s="199"/>
    </row>
    <row r="282">
      <c r="A282" s="193" t="s">
        <v>17225</v>
      </c>
      <c r="B282" s="7" t="s">
        <v>17176</v>
      </c>
      <c r="C282" s="7" t="s">
        <v>16919</v>
      </c>
      <c r="D282" s="199"/>
      <c r="E282" s="193"/>
      <c r="F282" s="195" t="s">
        <v>17226</v>
      </c>
      <c r="G282" s="200">
        <v>6.8030724231E10</v>
      </c>
      <c r="H282" s="197">
        <v>88.27</v>
      </c>
      <c r="I282" s="7" t="s">
        <v>16815</v>
      </c>
      <c r="J282" s="7" t="s">
        <v>17176</v>
      </c>
      <c r="K282" s="7" t="s">
        <v>16919</v>
      </c>
      <c r="L282" s="201" t="s">
        <v>16835</v>
      </c>
      <c r="M282" s="199"/>
      <c r="N282" s="199"/>
    </row>
    <row r="283">
      <c r="A283" s="193" t="s">
        <v>17227</v>
      </c>
      <c r="B283" s="7" t="s">
        <v>16992</v>
      </c>
      <c r="C283" s="7" t="s">
        <v>187</v>
      </c>
      <c r="D283" s="194">
        <v>1998.0</v>
      </c>
      <c r="E283" s="193"/>
      <c r="F283" s="195" t="s">
        <v>17228</v>
      </c>
      <c r="G283" s="200">
        <v>6.79845E10</v>
      </c>
      <c r="H283" s="197">
        <v>30.5</v>
      </c>
      <c r="I283" s="7" t="s">
        <v>16815</v>
      </c>
      <c r="J283" s="7" t="s">
        <v>16992</v>
      </c>
      <c r="K283" s="7" t="s">
        <v>187</v>
      </c>
      <c r="L283" s="201" t="s">
        <v>16835</v>
      </c>
      <c r="M283" s="194"/>
      <c r="N283" s="194"/>
    </row>
    <row r="284">
      <c r="A284" s="193" t="s">
        <v>17227</v>
      </c>
      <c r="B284" s="7" t="s">
        <v>187</v>
      </c>
      <c r="C284" s="7" t="s">
        <v>16992</v>
      </c>
      <c r="D284" s="194">
        <v>1998.0</v>
      </c>
      <c r="E284" s="193"/>
      <c r="F284" s="195" t="s">
        <v>17229</v>
      </c>
      <c r="G284" s="196">
        <v>6.79845E10</v>
      </c>
      <c r="H284" s="197">
        <v>30.5</v>
      </c>
      <c r="I284" s="7" t="s">
        <v>16815</v>
      </c>
      <c r="J284" s="7" t="s">
        <v>187</v>
      </c>
      <c r="K284" s="7" t="s">
        <v>16992</v>
      </c>
      <c r="L284" s="198" t="s">
        <v>65</v>
      </c>
      <c r="M284" s="194"/>
      <c r="N284" s="194"/>
    </row>
    <row r="285">
      <c r="A285" s="193" t="s">
        <v>17230</v>
      </c>
      <c r="B285" s="7" t="s">
        <v>16838</v>
      </c>
      <c r="C285" s="7" t="s">
        <v>17104</v>
      </c>
      <c r="D285" s="199"/>
      <c r="E285" s="193"/>
      <c r="F285" s="195" t="s">
        <v>17231</v>
      </c>
      <c r="G285" s="196">
        <v>6.6880267884E10</v>
      </c>
      <c r="H285" s="197">
        <v>334.04</v>
      </c>
      <c r="I285" s="7" t="s">
        <v>16924</v>
      </c>
      <c r="J285" s="7" t="s">
        <v>16838</v>
      </c>
      <c r="K285" s="7" t="s">
        <v>17104</v>
      </c>
      <c r="L285" s="198" t="s">
        <v>65</v>
      </c>
      <c r="M285" s="199"/>
      <c r="N285" s="199"/>
    </row>
    <row r="286">
      <c r="A286" s="193" t="s">
        <v>17230</v>
      </c>
      <c r="B286" s="7" t="s">
        <v>17104</v>
      </c>
      <c r="C286" s="7" t="s">
        <v>16838</v>
      </c>
      <c r="D286" s="199"/>
      <c r="E286" s="193"/>
      <c r="F286" s="195" t="s">
        <v>17231</v>
      </c>
      <c r="G286" s="200">
        <v>6.6880267884E10</v>
      </c>
      <c r="H286" s="197">
        <v>334.04</v>
      </c>
      <c r="I286" s="7" t="s">
        <v>16815</v>
      </c>
      <c r="J286" s="7" t="s">
        <v>17104</v>
      </c>
      <c r="K286" s="7" t="s">
        <v>16838</v>
      </c>
      <c r="L286" s="201" t="s">
        <v>16835</v>
      </c>
      <c r="M286" s="199"/>
      <c r="N286" s="199"/>
    </row>
    <row r="287">
      <c r="A287" s="193" t="s">
        <v>17232</v>
      </c>
      <c r="B287" s="7" t="s">
        <v>17233</v>
      </c>
      <c r="C287" s="7" t="s">
        <v>169</v>
      </c>
      <c r="D287" s="199"/>
      <c r="E287" s="193"/>
      <c r="F287" s="195" t="s">
        <v>17234</v>
      </c>
      <c r="G287" s="200">
        <v>6.6464030253E10</v>
      </c>
      <c r="H287" s="197">
        <v>243.55</v>
      </c>
      <c r="I287" s="7" t="s">
        <v>16815</v>
      </c>
      <c r="J287" s="7" t="s">
        <v>17233</v>
      </c>
      <c r="K287" s="7" t="s">
        <v>169</v>
      </c>
      <c r="L287" s="201" t="s">
        <v>16835</v>
      </c>
      <c r="M287" s="199"/>
      <c r="N287" s="199"/>
    </row>
    <row r="288">
      <c r="A288" s="193" t="s">
        <v>17232</v>
      </c>
      <c r="B288" s="7" t="s">
        <v>169</v>
      </c>
      <c r="C288" s="7" t="s">
        <v>17233</v>
      </c>
      <c r="D288" s="199"/>
      <c r="E288" s="193"/>
      <c r="F288" s="195" t="s">
        <v>17234</v>
      </c>
      <c r="G288" s="196">
        <v>6.6464030253E10</v>
      </c>
      <c r="H288" s="197">
        <v>243.55</v>
      </c>
      <c r="I288" s="7" t="s">
        <v>16815</v>
      </c>
      <c r="J288" s="7" t="s">
        <v>169</v>
      </c>
      <c r="K288" s="7" t="s">
        <v>17233</v>
      </c>
      <c r="L288" s="198" t="s">
        <v>65</v>
      </c>
      <c r="M288" s="199"/>
      <c r="N288" s="199"/>
    </row>
    <row r="289">
      <c r="A289" s="193" t="s">
        <v>17235</v>
      </c>
      <c r="B289" s="7" t="s">
        <v>17009</v>
      </c>
      <c r="C289" s="7" t="s">
        <v>169</v>
      </c>
      <c r="D289" s="199"/>
      <c r="E289" s="193"/>
      <c r="F289" s="195" t="s">
        <v>17236</v>
      </c>
      <c r="G289" s="200">
        <v>6.5852556E10</v>
      </c>
      <c r="H289" s="197">
        <v>70.68</v>
      </c>
      <c r="I289" s="7" t="s">
        <v>16815</v>
      </c>
      <c r="J289" s="7" t="s">
        <v>17009</v>
      </c>
      <c r="K289" s="7" t="s">
        <v>169</v>
      </c>
      <c r="L289" s="201" t="s">
        <v>16835</v>
      </c>
      <c r="M289" s="199"/>
      <c r="N289" s="199"/>
    </row>
    <row r="290">
      <c r="A290" s="193" t="s">
        <v>17235</v>
      </c>
      <c r="B290" s="7" t="s">
        <v>169</v>
      </c>
      <c r="C290" s="7" t="s">
        <v>17009</v>
      </c>
      <c r="D290" s="199"/>
      <c r="E290" s="193"/>
      <c r="F290" s="195" t="s">
        <v>17236</v>
      </c>
      <c r="G290" s="196">
        <v>6.5852556E10</v>
      </c>
      <c r="H290" s="197">
        <v>70.68</v>
      </c>
      <c r="I290" s="7" t="s">
        <v>16815</v>
      </c>
      <c r="J290" s="7" t="s">
        <v>169</v>
      </c>
      <c r="K290" s="7" t="s">
        <v>17009</v>
      </c>
      <c r="L290" s="198" t="s">
        <v>65</v>
      </c>
      <c r="M290" s="199"/>
      <c r="N290" s="199"/>
    </row>
    <row r="291">
      <c r="A291" s="193" t="s">
        <v>17237</v>
      </c>
      <c r="B291" s="7" t="s">
        <v>175</v>
      </c>
      <c r="C291" s="7" t="s">
        <v>16842</v>
      </c>
      <c r="D291" s="194">
        <v>2015.0</v>
      </c>
      <c r="E291" s="193"/>
      <c r="F291" s="195" t="s">
        <v>17238</v>
      </c>
      <c r="G291" s="196">
        <v>6.584866366E10</v>
      </c>
      <c r="H291" s="197">
        <v>339.56</v>
      </c>
      <c r="I291" s="7" t="s">
        <v>17239</v>
      </c>
      <c r="J291" s="7" t="s">
        <v>175</v>
      </c>
      <c r="K291" s="7" t="s">
        <v>16842</v>
      </c>
      <c r="L291" s="198" t="s">
        <v>65</v>
      </c>
      <c r="M291" s="194"/>
      <c r="N291" s="194"/>
    </row>
    <row r="292">
      <c r="A292" s="193" t="s">
        <v>17237</v>
      </c>
      <c r="B292" s="7" t="s">
        <v>16842</v>
      </c>
      <c r="C292" s="7" t="s">
        <v>175</v>
      </c>
      <c r="D292" s="194">
        <v>2015.0</v>
      </c>
      <c r="E292" s="193"/>
      <c r="F292" s="195" t="s">
        <v>17238</v>
      </c>
      <c r="G292" s="200">
        <v>6.584866366E10</v>
      </c>
      <c r="H292" s="197">
        <v>339.56</v>
      </c>
      <c r="I292" s="7" t="s">
        <v>16815</v>
      </c>
      <c r="J292" s="7" t="s">
        <v>16842</v>
      </c>
      <c r="K292" s="7" t="s">
        <v>175</v>
      </c>
      <c r="L292" s="201" t="s">
        <v>16835</v>
      </c>
      <c r="M292" s="194"/>
      <c r="N292" s="194"/>
    </row>
    <row r="293">
      <c r="A293" s="193" t="s">
        <v>17240</v>
      </c>
      <c r="B293" s="7" t="s">
        <v>175</v>
      </c>
      <c r="C293" s="7" t="s">
        <v>16890</v>
      </c>
      <c r="D293" s="199"/>
      <c r="E293" s="193"/>
      <c r="F293" s="195" t="s">
        <v>17241</v>
      </c>
      <c r="G293" s="196">
        <v>6.5463327518E10</v>
      </c>
      <c r="H293" s="197">
        <v>255.75</v>
      </c>
      <c r="I293" s="7" t="s">
        <v>17242</v>
      </c>
      <c r="J293" s="7" t="s">
        <v>175</v>
      </c>
      <c r="K293" s="7" t="s">
        <v>16890</v>
      </c>
      <c r="L293" s="198" t="s">
        <v>65</v>
      </c>
      <c r="M293" s="199"/>
      <c r="N293" s="199"/>
    </row>
    <row r="294">
      <c r="A294" s="193" t="s">
        <v>17240</v>
      </c>
      <c r="B294" s="7" t="s">
        <v>16890</v>
      </c>
      <c r="C294" s="7" t="s">
        <v>175</v>
      </c>
      <c r="D294" s="199"/>
      <c r="E294" s="193"/>
      <c r="F294" s="195" t="s">
        <v>17241</v>
      </c>
      <c r="G294" s="200">
        <v>6.5463327518E10</v>
      </c>
      <c r="H294" s="197">
        <v>255.75</v>
      </c>
      <c r="I294" s="7" t="s">
        <v>16815</v>
      </c>
      <c r="J294" s="7" t="s">
        <v>16890</v>
      </c>
      <c r="K294" s="7" t="s">
        <v>175</v>
      </c>
      <c r="L294" s="201" t="s">
        <v>16835</v>
      </c>
      <c r="M294" s="199"/>
      <c r="N294" s="199"/>
    </row>
    <row r="295">
      <c r="A295" s="193" t="s">
        <v>17243</v>
      </c>
      <c r="B295" s="7" t="s">
        <v>16582</v>
      </c>
      <c r="C295" s="7" t="s">
        <v>16817</v>
      </c>
      <c r="D295" s="194">
        <v>2007.0</v>
      </c>
      <c r="E295" s="193"/>
      <c r="F295" s="195" t="s">
        <v>17244</v>
      </c>
      <c r="G295" s="196">
        <v>6.4621614774E10</v>
      </c>
      <c r="H295" s="197">
        <v>149.66</v>
      </c>
      <c r="I295" s="7" t="s">
        <v>16815</v>
      </c>
      <c r="J295" s="7" t="s">
        <v>16582</v>
      </c>
      <c r="K295" s="7" t="s">
        <v>16817</v>
      </c>
      <c r="L295" s="198" t="s">
        <v>65</v>
      </c>
      <c r="M295" s="194"/>
      <c r="N295" s="194"/>
    </row>
    <row r="296">
      <c r="A296" s="193" t="s">
        <v>17243</v>
      </c>
      <c r="B296" s="7" t="s">
        <v>16817</v>
      </c>
      <c r="C296" s="7" t="s">
        <v>16582</v>
      </c>
      <c r="D296" s="194">
        <v>2007.0</v>
      </c>
      <c r="E296" s="193"/>
      <c r="F296" s="195" t="s">
        <v>17244</v>
      </c>
      <c r="G296" s="200">
        <v>6.4621614774E10</v>
      </c>
      <c r="H296" s="197">
        <v>149.66</v>
      </c>
      <c r="I296" s="7" t="s">
        <v>16815</v>
      </c>
      <c r="J296" s="7" t="s">
        <v>16817</v>
      </c>
      <c r="K296" s="7" t="s">
        <v>16582</v>
      </c>
      <c r="L296" s="201" t="s">
        <v>16835</v>
      </c>
      <c r="M296" s="194"/>
      <c r="N296" s="194"/>
    </row>
    <row r="297">
      <c r="A297" s="193" t="s">
        <v>17245</v>
      </c>
      <c r="B297" s="7" t="s">
        <v>16582</v>
      </c>
      <c r="C297" s="7" t="s">
        <v>16995</v>
      </c>
      <c r="D297" s="194">
        <v>2014.0</v>
      </c>
      <c r="E297" s="193"/>
      <c r="F297" s="195" t="s">
        <v>17246</v>
      </c>
      <c r="G297" s="196">
        <v>6.4347953371E10</v>
      </c>
      <c r="H297" s="197">
        <v>206.84</v>
      </c>
      <c r="I297" s="7" t="s">
        <v>16815</v>
      </c>
      <c r="J297" s="7" t="s">
        <v>16582</v>
      </c>
      <c r="K297" s="7" t="s">
        <v>16995</v>
      </c>
      <c r="L297" s="198" t="s">
        <v>65</v>
      </c>
      <c r="M297" s="194"/>
      <c r="N297" s="194"/>
    </row>
    <row r="298">
      <c r="A298" s="193" t="s">
        <v>17245</v>
      </c>
      <c r="B298" s="7" t="s">
        <v>16995</v>
      </c>
      <c r="C298" s="7" t="s">
        <v>16582</v>
      </c>
      <c r="D298" s="194">
        <v>2014.0</v>
      </c>
      <c r="E298" s="193"/>
      <c r="F298" s="195" t="s">
        <v>17246</v>
      </c>
      <c r="G298" s="200">
        <v>6.4347953371E10</v>
      </c>
      <c r="H298" s="197">
        <v>206.84</v>
      </c>
      <c r="I298" s="7" t="s">
        <v>16815</v>
      </c>
      <c r="J298" s="7" t="s">
        <v>16995</v>
      </c>
      <c r="K298" s="7" t="s">
        <v>16582</v>
      </c>
      <c r="L298" s="201" t="s">
        <v>16835</v>
      </c>
      <c r="M298" s="194"/>
      <c r="N298" s="194"/>
    </row>
    <row r="299">
      <c r="A299" s="193" t="s">
        <v>17247</v>
      </c>
      <c r="B299" s="7" t="s">
        <v>16838</v>
      </c>
      <c r="C299" s="7" t="s">
        <v>17002</v>
      </c>
      <c r="D299" s="199"/>
      <c r="E299" s="193"/>
      <c r="F299" s="195" t="s">
        <v>17248</v>
      </c>
      <c r="G299" s="196">
        <v>6.3839119638E10</v>
      </c>
      <c r="H299" s="197">
        <v>9.29</v>
      </c>
      <c r="I299" s="7" t="s">
        <v>16815</v>
      </c>
      <c r="J299" s="7" t="s">
        <v>16838</v>
      </c>
      <c r="K299" s="7" t="s">
        <v>17002</v>
      </c>
      <c r="L299" s="198" t="s">
        <v>65</v>
      </c>
      <c r="M299" s="199"/>
      <c r="N299" s="199"/>
    </row>
    <row r="300">
      <c r="A300" s="193" t="s">
        <v>17247</v>
      </c>
      <c r="B300" s="7" t="s">
        <v>17002</v>
      </c>
      <c r="C300" s="7" t="s">
        <v>16838</v>
      </c>
      <c r="D300" s="199"/>
      <c r="E300" s="193"/>
      <c r="F300" s="195" t="s">
        <v>17248</v>
      </c>
      <c r="G300" s="200">
        <v>6.3839119638E10</v>
      </c>
      <c r="H300" s="197">
        <v>9.29</v>
      </c>
      <c r="I300" s="7" t="s">
        <v>16815</v>
      </c>
      <c r="J300" s="7" t="s">
        <v>17002</v>
      </c>
      <c r="K300" s="7" t="s">
        <v>16838</v>
      </c>
      <c r="L300" s="201" t="s">
        <v>16835</v>
      </c>
      <c r="M300" s="199"/>
      <c r="N300" s="199"/>
    </row>
    <row r="301">
      <c r="A301" s="193" t="s">
        <v>17249</v>
      </c>
      <c r="B301" s="7" t="s">
        <v>17016</v>
      </c>
      <c r="C301" s="7" t="s">
        <v>16838</v>
      </c>
      <c r="D301" s="199"/>
      <c r="E301" s="193"/>
      <c r="F301" s="195" t="s">
        <v>17250</v>
      </c>
      <c r="G301" s="200">
        <v>6.305631E10</v>
      </c>
      <c r="H301" s="197">
        <v>344.57</v>
      </c>
      <c r="I301" s="7" t="s">
        <v>16815</v>
      </c>
      <c r="J301" s="7" t="s">
        <v>17016</v>
      </c>
      <c r="K301" s="7" t="s">
        <v>16838</v>
      </c>
      <c r="L301" s="201" t="s">
        <v>16835</v>
      </c>
      <c r="M301" s="199"/>
      <c r="N301" s="199"/>
    </row>
    <row r="302">
      <c r="A302" s="193" t="s">
        <v>17249</v>
      </c>
      <c r="B302" s="7" t="s">
        <v>16838</v>
      </c>
      <c r="C302" s="7" t="s">
        <v>17016</v>
      </c>
      <c r="D302" s="199"/>
      <c r="E302" s="193"/>
      <c r="F302" s="195" t="s">
        <v>17250</v>
      </c>
      <c r="G302" s="196">
        <v>6.305631E10</v>
      </c>
      <c r="H302" s="197">
        <v>344.57</v>
      </c>
      <c r="I302" s="7" t="s">
        <v>16815</v>
      </c>
      <c r="J302" s="7" t="s">
        <v>16838</v>
      </c>
      <c r="K302" s="7" t="s">
        <v>17016</v>
      </c>
      <c r="L302" s="198" t="s">
        <v>65</v>
      </c>
      <c r="M302" s="199"/>
      <c r="N302" s="199"/>
    </row>
    <row r="303">
      <c r="A303" s="193" t="s">
        <v>17251</v>
      </c>
      <c r="B303" s="7" t="s">
        <v>17019</v>
      </c>
      <c r="C303" s="7" t="s">
        <v>16838</v>
      </c>
      <c r="D303" s="194">
        <v>2005.0</v>
      </c>
      <c r="E303" s="193"/>
      <c r="F303" s="195" t="s">
        <v>17252</v>
      </c>
      <c r="G303" s="200">
        <v>6.2834109601E10</v>
      </c>
      <c r="H303" s="197">
        <v>109.78</v>
      </c>
      <c r="I303" s="7" t="s">
        <v>16815</v>
      </c>
      <c r="J303" s="7" t="s">
        <v>17019</v>
      </c>
      <c r="K303" s="7" t="s">
        <v>16838</v>
      </c>
      <c r="L303" s="201" t="s">
        <v>16835</v>
      </c>
      <c r="M303" s="194"/>
      <c r="N303" s="194"/>
    </row>
    <row r="304">
      <c r="A304" s="193" t="s">
        <v>17251</v>
      </c>
      <c r="B304" s="7" t="s">
        <v>16838</v>
      </c>
      <c r="C304" s="7" t="s">
        <v>17019</v>
      </c>
      <c r="D304" s="194">
        <v>2005.0</v>
      </c>
      <c r="E304" s="193"/>
      <c r="F304" s="195" t="s">
        <v>17252</v>
      </c>
      <c r="G304" s="196">
        <v>6.2834109601E10</v>
      </c>
      <c r="H304" s="197">
        <v>109.78</v>
      </c>
      <c r="I304" s="7" t="s">
        <v>16815</v>
      </c>
      <c r="J304" s="7" t="s">
        <v>16838</v>
      </c>
      <c r="K304" s="7" t="s">
        <v>17019</v>
      </c>
      <c r="L304" s="198" t="s">
        <v>65</v>
      </c>
      <c r="M304" s="194"/>
      <c r="N304" s="194"/>
    </row>
    <row r="305">
      <c r="A305" s="193" t="s">
        <v>17253</v>
      </c>
      <c r="B305" s="7" t="s">
        <v>16838</v>
      </c>
      <c r="C305" s="7" t="s">
        <v>17002</v>
      </c>
      <c r="D305" s="199"/>
      <c r="E305" s="193"/>
      <c r="F305" s="195" t="s">
        <v>17254</v>
      </c>
      <c r="G305" s="196">
        <v>6.2470803788E10</v>
      </c>
      <c r="H305" s="197">
        <v>3.86</v>
      </c>
      <c r="I305" s="7" t="s">
        <v>16815</v>
      </c>
      <c r="J305" s="7" t="s">
        <v>16838</v>
      </c>
      <c r="K305" s="7" t="s">
        <v>17002</v>
      </c>
      <c r="L305" s="198" t="s">
        <v>65</v>
      </c>
      <c r="M305" s="199"/>
      <c r="N305" s="199"/>
    </row>
    <row r="306">
      <c r="A306" s="193" t="s">
        <v>17253</v>
      </c>
      <c r="B306" s="7" t="s">
        <v>17002</v>
      </c>
      <c r="C306" s="7" t="s">
        <v>16838</v>
      </c>
      <c r="D306" s="199"/>
      <c r="E306" s="193"/>
      <c r="F306" s="195" t="s">
        <v>17254</v>
      </c>
      <c r="G306" s="200">
        <v>6.2470803788E10</v>
      </c>
      <c r="H306" s="197">
        <v>3.86</v>
      </c>
      <c r="I306" s="7" t="s">
        <v>16815</v>
      </c>
      <c r="J306" s="7" t="s">
        <v>17002</v>
      </c>
      <c r="K306" s="7" t="s">
        <v>16838</v>
      </c>
      <c r="L306" s="201" t="s">
        <v>16835</v>
      </c>
      <c r="M306" s="199"/>
      <c r="N306" s="199"/>
    </row>
    <row r="307">
      <c r="A307" s="193" t="s">
        <v>17255</v>
      </c>
      <c r="B307" s="7" t="s">
        <v>17256</v>
      </c>
      <c r="C307" s="7" t="s">
        <v>187</v>
      </c>
      <c r="D307" s="199"/>
      <c r="E307" s="193"/>
      <c r="F307" s="195" t="s">
        <v>17257</v>
      </c>
      <c r="G307" s="200">
        <v>6.2444893586E10</v>
      </c>
      <c r="H307" s="197">
        <v>469.29</v>
      </c>
      <c r="I307" s="7" t="s">
        <v>16815</v>
      </c>
      <c r="J307" s="7" t="s">
        <v>17256</v>
      </c>
      <c r="K307" s="7" t="s">
        <v>187</v>
      </c>
      <c r="L307" s="201" t="s">
        <v>16835</v>
      </c>
      <c r="M307" s="199"/>
      <c r="N307" s="199"/>
    </row>
    <row r="308">
      <c r="A308" s="193" t="s">
        <v>17255</v>
      </c>
      <c r="B308" s="7" t="s">
        <v>187</v>
      </c>
      <c r="C308" s="7" t="s">
        <v>17256</v>
      </c>
      <c r="D308" s="199"/>
      <c r="E308" s="193"/>
      <c r="F308" s="195" t="s">
        <v>17257</v>
      </c>
      <c r="G308" s="196">
        <v>6.2444893586E10</v>
      </c>
      <c r="H308" s="197">
        <v>469.29</v>
      </c>
      <c r="I308" s="7" t="s">
        <v>16815</v>
      </c>
      <c r="J308" s="7" t="s">
        <v>187</v>
      </c>
      <c r="K308" s="7" t="s">
        <v>17256</v>
      </c>
      <c r="L308" s="198" t="s">
        <v>65</v>
      </c>
      <c r="M308" s="199"/>
      <c r="N308" s="199"/>
    </row>
    <row r="309">
      <c r="A309" s="193" t="s">
        <v>17258</v>
      </c>
      <c r="B309" s="7" t="s">
        <v>17259</v>
      </c>
      <c r="C309" s="7" t="s">
        <v>187</v>
      </c>
      <c r="D309" s="194">
        <v>2011.0</v>
      </c>
      <c r="E309" s="193"/>
      <c r="F309" s="195" t="s">
        <v>17260</v>
      </c>
      <c r="G309" s="200">
        <v>6.2316787456E10</v>
      </c>
      <c r="H309" s="197">
        <v>232.82</v>
      </c>
      <c r="I309" s="7" t="s">
        <v>16815</v>
      </c>
      <c r="J309" s="7" t="s">
        <v>17259</v>
      </c>
      <c r="K309" s="7" t="s">
        <v>187</v>
      </c>
      <c r="L309" s="201" t="s">
        <v>16835</v>
      </c>
      <c r="M309" s="194"/>
      <c r="N309" s="194"/>
    </row>
    <row r="310">
      <c r="A310" s="193" t="s">
        <v>17258</v>
      </c>
      <c r="B310" s="7" t="s">
        <v>187</v>
      </c>
      <c r="C310" s="7" t="s">
        <v>17259</v>
      </c>
      <c r="D310" s="194">
        <v>2011.0</v>
      </c>
      <c r="E310" s="193"/>
      <c r="F310" s="195" t="s">
        <v>17260</v>
      </c>
      <c r="G310" s="196">
        <v>6.2316787456E10</v>
      </c>
      <c r="H310" s="197">
        <v>232.82</v>
      </c>
      <c r="I310" s="7" t="s">
        <v>16815</v>
      </c>
      <c r="J310" s="7" t="s">
        <v>187</v>
      </c>
      <c r="K310" s="7" t="s">
        <v>17259</v>
      </c>
      <c r="L310" s="198" t="s">
        <v>65</v>
      </c>
      <c r="M310" s="194"/>
      <c r="N310" s="194"/>
    </row>
    <row r="311">
      <c r="A311" s="193" t="s">
        <v>17261</v>
      </c>
      <c r="B311" s="7" t="s">
        <v>175</v>
      </c>
      <c r="C311" s="7" t="s">
        <v>16878</v>
      </c>
      <c r="D311" s="199"/>
      <c r="E311" s="193"/>
      <c r="F311" s="195" t="s">
        <v>17262</v>
      </c>
      <c r="G311" s="196">
        <v>6.2106969496E10</v>
      </c>
      <c r="H311" s="197">
        <v>75.43</v>
      </c>
      <c r="I311" s="7" t="s">
        <v>16908</v>
      </c>
      <c r="J311" s="7" t="s">
        <v>175</v>
      </c>
      <c r="K311" s="7" t="s">
        <v>16878</v>
      </c>
      <c r="L311" s="198" t="s">
        <v>65</v>
      </c>
      <c r="M311" s="199"/>
      <c r="N311" s="199"/>
    </row>
    <row r="312">
      <c r="A312" s="193" t="s">
        <v>17261</v>
      </c>
      <c r="B312" s="7" t="s">
        <v>16878</v>
      </c>
      <c r="C312" s="7" t="s">
        <v>175</v>
      </c>
      <c r="D312" s="199"/>
      <c r="E312" s="193"/>
      <c r="F312" s="195" t="s">
        <v>17262</v>
      </c>
      <c r="G312" s="200">
        <v>6.2106969496E10</v>
      </c>
      <c r="H312" s="197">
        <v>75.43</v>
      </c>
      <c r="I312" s="7" t="s">
        <v>16815</v>
      </c>
      <c r="J312" s="7" t="s">
        <v>16878</v>
      </c>
      <c r="K312" s="7" t="s">
        <v>175</v>
      </c>
      <c r="L312" s="201" t="s">
        <v>16835</v>
      </c>
      <c r="M312" s="199"/>
      <c r="N312" s="199"/>
    </row>
    <row r="313">
      <c r="A313" s="193" t="s">
        <v>17263</v>
      </c>
      <c r="B313" s="7" t="s">
        <v>175</v>
      </c>
      <c r="C313" s="7" t="s">
        <v>17264</v>
      </c>
      <c r="D313" s="199"/>
      <c r="E313" s="193"/>
      <c r="F313" s="195" t="s">
        <v>17265</v>
      </c>
      <c r="G313" s="196">
        <v>6.1938452308E10</v>
      </c>
      <c r="H313" s="197">
        <v>130.92</v>
      </c>
      <c r="I313" s="7" t="s">
        <v>16844</v>
      </c>
      <c r="J313" s="7" t="s">
        <v>175</v>
      </c>
      <c r="K313" s="7" t="s">
        <v>17264</v>
      </c>
      <c r="L313" s="198" t="s">
        <v>65</v>
      </c>
      <c r="M313" s="199"/>
      <c r="N313" s="199"/>
    </row>
    <row r="314">
      <c r="A314" s="193" t="s">
        <v>17263</v>
      </c>
      <c r="B314" s="7" t="s">
        <v>17264</v>
      </c>
      <c r="C314" s="7" t="s">
        <v>175</v>
      </c>
      <c r="D314" s="199"/>
      <c r="E314" s="193"/>
      <c r="F314" s="195" t="s">
        <v>17265</v>
      </c>
      <c r="G314" s="200">
        <v>6.1938452308E10</v>
      </c>
      <c r="H314" s="197">
        <v>130.92</v>
      </c>
      <c r="I314" s="7" t="s">
        <v>16815</v>
      </c>
      <c r="J314" s="7" t="s">
        <v>17264</v>
      </c>
      <c r="K314" s="7" t="s">
        <v>175</v>
      </c>
      <c r="L314" s="201" t="s">
        <v>16835</v>
      </c>
      <c r="M314" s="199"/>
      <c r="N314" s="199"/>
    </row>
    <row r="315">
      <c r="A315" s="193" t="s">
        <v>17266</v>
      </c>
      <c r="B315" s="7" t="s">
        <v>175</v>
      </c>
      <c r="C315" s="7" t="s">
        <v>17031</v>
      </c>
      <c r="D315" s="199"/>
      <c r="E315" s="193"/>
      <c r="F315" s="195" t="s">
        <v>17267</v>
      </c>
      <c r="G315" s="196">
        <v>6.1856972575E10</v>
      </c>
      <c r="H315" s="197">
        <v>246.03</v>
      </c>
      <c r="I315" s="7" t="s">
        <v>16908</v>
      </c>
      <c r="J315" s="7" t="s">
        <v>175</v>
      </c>
      <c r="K315" s="7" t="s">
        <v>17031</v>
      </c>
      <c r="L315" s="198" t="s">
        <v>65</v>
      </c>
      <c r="M315" s="199"/>
      <c r="N315" s="199"/>
    </row>
    <row r="316">
      <c r="A316" s="193" t="s">
        <v>17266</v>
      </c>
      <c r="B316" s="7" t="s">
        <v>17031</v>
      </c>
      <c r="C316" s="7" t="s">
        <v>175</v>
      </c>
      <c r="D316" s="199"/>
      <c r="E316" s="193"/>
      <c r="F316" s="195" t="s">
        <v>17267</v>
      </c>
      <c r="G316" s="200">
        <v>6.1856972575E10</v>
      </c>
      <c r="H316" s="197">
        <v>246.03</v>
      </c>
      <c r="I316" s="7" t="s">
        <v>16815</v>
      </c>
      <c r="J316" s="7" t="s">
        <v>17031</v>
      </c>
      <c r="K316" s="7" t="s">
        <v>175</v>
      </c>
      <c r="L316" s="201" t="s">
        <v>16835</v>
      </c>
      <c r="M316" s="199"/>
      <c r="N316" s="199"/>
    </row>
    <row r="317">
      <c r="A317" s="193" t="s">
        <v>17268</v>
      </c>
      <c r="B317" s="7" t="s">
        <v>175</v>
      </c>
      <c r="C317" s="7" t="s">
        <v>16842</v>
      </c>
      <c r="D317" s="194">
        <v>2014.0</v>
      </c>
      <c r="E317" s="193"/>
      <c r="F317" s="195" t="s">
        <v>17269</v>
      </c>
      <c r="G317" s="196">
        <v>6.0710149534E10</v>
      </c>
      <c r="H317" s="197">
        <v>19.38</v>
      </c>
      <c r="I317" s="7" t="s">
        <v>17270</v>
      </c>
      <c r="J317" s="7" t="s">
        <v>175</v>
      </c>
      <c r="K317" s="7" t="s">
        <v>16842</v>
      </c>
      <c r="L317" s="198" t="s">
        <v>65</v>
      </c>
      <c r="M317" s="194"/>
      <c r="N317" s="194"/>
    </row>
    <row r="318">
      <c r="A318" s="193" t="s">
        <v>17268</v>
      </c>
      <c r="B318" s="7" t="s">
        <v>16842</v>
      </c>
      <c r="C318" s="7" t="s">
        <v>175</v>
      </c>
      <c r="D318" s="194">
        <v>2014.0</v>
      </c>
      <c r="E318" s="193"/>
      <c r="F318" s="195" t="s">
        <v>17269</v>
      </c>
      <c r="G318" s="200">
        <v>6.0710149534E10</v>
      </c>
      <c r="H318" s="197">
        <v>19.38</v>
      </c>
      <c r="I318" s="7" t="s">
        <v>16815</v>
      </c>
      <c r="J318" s="7" t="s">
        <v>16842</v>
      </c>
      <c r="K318" s="7" t="s">
        <v>175</v>
      </c>
      <c r="L318" s="201" t="s">
        <v>16835</v>
      </c>
      <c r="M318" s="194"/>
      <c r="N318" s="194"/>
    </row>
    <row r="319">
      <c r="A319" s="193" t="s">
        <v>17271</v>
      </c>
      <c r="B319" s="7" t="s">
        <v>16851</v>
      </c>
      <c r="C319" s="7" t="s">
        <v>187</v>
      </c>
      <c r="D319" s="199"/>
      <c r="E319" s="193"/>
      <c r="F319" s="195" t="s">
        <v>17272</v>
      </c>
      <c r="G319" s="200">
        <v>6.0707127139E10</v>
      </c>
      <c r="H319" s="197">
        <v>493.11</v>
      </c>
      <c r="I319" s="7" t="s">
        <v>16815</v>
      </c>
      <c r="J319" s="7" t="s">
        <v>16851</v>
      </c>
      <c r="K319" s="7" t="s">
        <v>187</v>
      </c>
      <c r="L319" s="201" t="s">
        <v>16835</v>
      </c>
      <c r="M319" s="199"/>
      <c r="N319" s="199"/>
    </row>
    <row r="320">
      <c r="A320" s="193" t="s">
        <v>17271</v>
      </c>
      <c r="B320" s="7" t="s">
        <v>187</v>
      </c>
      <c r="C320" s="7" t="s">
        <v>16851</v>
      </c>
      <c r="D320" s="199"/>
      <c r="E320" s="193"/>
      <c r="F320" s="195" t="s">
        <v>17272</v>
      </c>
      <c r="G320" s="196">
        <v>6.0707127139E10</v>
      </c>
      <c r="H320" s="197">
        <v>493.11</v>
      </c>
      <c r="I320" s="7" t="s">
        <v>16815</v>
      </c>
      <c r="J320" s="7" t="s">
        <v>187</v>
      </c>
      <c r="K320" s="7" t="s">
        <v>16851</v>
      </c>
      <c r="L320" s="198" t="s">
        <v>65</v>
      </c>
      <c r="M320" s="199"/>
      <c r="N320" s="199"/>
    </row>
    <row r="321">
      <c r="A321" s="193" t="s">
        <v>17273</v>
      </c>
      <c r="B321" s="7" t="s">
        <v>169</v>
      </c>
      <c r="C321" s="7" t="s">
        <v>17009</v>
      </c>
      <c r="D321" s="199"/>
      <c r="E321" s="193"/>
      <c r="F321" s="195" t="s">
        <v>17274</v>
      </c>
      <c r="G321" s="196">
        <v>6.0667222775E10</v>
      </c>
      <c r="H321" s="197">
        <v>30.7</v>
      </c>
      <c r="I321" s="7" t="s">
        <v>16815</v>
      </c>
      <c r="J321" s="7" t="s">
        <v>169</v>
      </c>
      <c r="K321" s="7" t="s">
        <v>17009</v>
      </c>
      <c r="L321" s="198" t="s">
        <v>65</v>
      </c>
      <c r="M321" s="199"/>
      <c r="N321" s="199"/>
    </row>
    <row r="322">
      <c r="A322" s="193" t="s">
        <v>17275</v>
      </c>
      <c r="B322" s="7" t="s">
        <v>16926</v>
      </c>
      <c r="C322" s="7" t="s">
        <v>16960</v>
      </c>
      <c r="D322" s="199"/>
      <c r="E322" s="193"/>
      <c r="F322" s="195" t="s">
        <v>17276</v>
      </c>
      <c r="G322" s="196">
        <v>6.0619212406E10</v>
      </c>
      <c r="H322" s="197">
        <v>409.81</v>
      </c>
      <c r="I322" s="7" t="s">
        <v>16815</v>
      </c>
      <c r="J322" s="7" t="s">
        <v>16926</v>
      </c>
      <c r="K322" s="7" t="s">
        <v>16960</v>
      </c>
      <c r="L322" s="198" t="s">
        <v>65</v>
      </c>
      <c r="M322" s="199"/>
      <c r="N322" s="199"/>
    </row>
    <row r="323">
      <c r="A323" s="193" t="s">
        <v>17277</v>
      </c>
      <c r="B323" s="7" t="s">
        <v>16582</v>
      </c>
      <c r="C323" s="7" t="s">
        <v>16930</v>
      </c>
      <c r="D323" s="199"/>
      <c r="E323" s="193"/>
      <c r="F323" s="195" t="s">
        <v>17278</v>
      </c>
      <c r="G323" s="196">
        <v>6.026262E10</v>
      </c>
      <c r="H323" s="197">
        <v>230.01</v>
      </c>
      <c r="I323" s="7" t="s">
        <v>16815</v>
      </c>
      <c r="J323" s="7" t="s">
        <v>16582</v>
      </c>
      <c r="K323" s="7" t="s">
        <v>16930</v>
      </c>
      <c r="L323" s="198" t="s">
        <v>65</v>
      </c>
      <c r="M323" s="199"/>
      <c r="N323" s="199"/>
    </row>
    <row r="324">
      <c r="A324" s="193" t="s">
        <v>17279</v>
      </c>
      <c r="B324" s="7" t="s">
        <v>16867</v>
      </c>
      <c r="C324" s="7" t="s">
        <v>16838</v>
      </c>
      <c r="D324" s="199"/>
      <c r="E324" s="193"/>
      <c r="F324" s="195" t="s">
        <v>17280</v>
      </c>
      <c r="G324" s="200">
        <v>5.9216977502E10</v>
      </c>
      <c r="H324" s="197">
        <v>6.04</v>
      </c>
      <c r="I324" s="7" t="s">
        <v>16815</v>
      </c>
      <c r="J324" s="7" t="s">
        <v>16867</v>
      </c>
      <c r="K324" s="7" t="s">
        <v>16838</v>
      </c>
      <c r="L324" s="201" t="s">
        <v>16835</v>
      </c>
      <c r="M324" s="199"/>
      <c r="N324" s="199"/>
    </row>
    <row r="325">
      <c r="A325" s="193" t="s">
        <v>17279</v>
      </c>
      <c r="B325" s="7" t="s">
        <v>16838</v>
      </c>
      <c r="C325" s="7" t="s">
        <v>16867</v>
      </c>
      <c r="D325" s="199"/>
      <c r="E325" s="193"/>
      <c r="F325" s="195" t="s">
        <v>17280</v>
      </c>
      <c r="G325" s="196">
        <v>5.9216977502E10</v>
      </c>
      <c r="H325" s="197">
        <v>6.04</v>
      </c>
      <c r="I325" s="7" t="s">
        <v>16815</v>
      </c>
      <c r="J325" s="7" t="s">
        <v>16838</v>
      </c>
      <c r="K325" s="7" t="s">
        <v>16867</v>
      </c>
      <c r="L325" s="198" t="s">
        <v>65</v>
      </c>
      <c r="M325" s="199"/>
      <c r="N325" s="199"/>
    </row>
    <row r="326">
      <c r="A326" s="193" t="s">
        <v>17281</v>
      </c>
      <c r="B326" s="7" t="s">
        <v>175</v>
      </c>
      <c r="C326" s="7" t="s">
        <v>16854</v>
      </c>
      <c r="D326" s="199"/>
      <c r="E326" s="193"/>
      <c r="F326" s="195" t="s">
        <v>17282</v>
      </c>
      <c r="G326" s="196">
        <v>5.9049740068E10</v>
      </c>
      <c r="H326" s="197">
        <v>54.77</v>
      </c>
      <c r="I326" s="193" t="s">
        <v>168</v>
      </c>
      <c r="J326" s="7" t="s">
        <v>175</v>
      </c>
      <c r="K326" s="7" t="s">
        <v>16854</v>
      </c>
      <c r="L326" s="198" t="s">
        <v>65</v>
      </c>
      <c r="M326" s="199"/>
      <c r="N326" s="199"/>
    </row>
    <row r="327">
      <c r="A327" s="193" t="s">
        <v>17283</v>
      </c>
      <c r="B327" s="7" t="s">
        <v>16945</v>
      </c>
      <c r="C327" s="7" t="s">
        <v>169</v>
      </c>
      <c r="D327" s="199"/>
      <c r="E327" s="193"/>
      <c r="F327" s="195" t="s">
        <v>17284</v>
      </c>
      <c r="G327" s="200">
        <v>5.8971610095E10</v>
      </c>
      <c r="H327" s="197">
        <v>265.46</v>
      </c>
      <c r="I327" s="7" t="s">
        <v>16815</v>
      </c>
      <c r="J327" s="7" t="s">
        <v>16945</v>
      </c>
      <c r="K327" s="7" t="s">
        <v>169</v>
      </c>
      <c r="L327" s="201" t="s">
        <v>16835</v>
      </c>
      <c r="M327" s="199"/>
      <c r="N327" s="199"/>
    </row>
    <row r="328">
      <c r="A328" s="193" t="s">
        <v>17283</v>
      </c>
      <c r="B328" s="7" t="s">
        <v>169</v>
      </c>
      <c r="C328" s="7" t="s">
        <v>16945</v>
      </c>
      <c r="D328" s="199"/>
      <c r="E328" s="193"/>
      <c r="F328" s="195" t="s">
        <v>17284</v>
      </c>
      <c r="G328" s="196">
        <v>5.8971610095E10</v>
      </c>
      <c r="H328" s="197">
        <v>265.46</v>
      </c>
      <c r="I328" s="7" t="s">
        <v>16815</v>
      </c>
      <c r="J328" s="7" t="s">
        <v>169</v>
      </c>
      <c r="K328" s="7" t="s">
        <v>16945</v>
      </c>
      <c r="L328" s="198" t="s">
        <v>65</v>
      </c>
      <c r="M328" s="199"/>
      <c r="N328" s="199"/>
    </row>
    <row r="329">
      <c r="A329" s="193" t="s">
        <v>17285</v>
      </c>
      <c r="B329" s="7" t="s">
        <v>175</v>
      </c>
      <c r="C329" s="7" t="s">
        <v>17286</v>
      </c>
      <c r="D329" s="194">
        <v>1993.0</v>
      </c>
      <c r="E329" s="193"/>
      <c r="F329" s="195" t="s">
        <v>17287</v>
      </c>
      <c r="G329" s="196">
        <v>5.8346920229E10</v>
      </c>
      <c r="H329" s="197">
        <v>986.22</v>
      </c>
      <c r="I329" s="7" t="s">
        <v>168</v>
      </c>
      <c r="J329" s="7" t="s">
        <v>175</v>
      </c>
      <c r="K329" s="7" t="s">
        <v>17286</v>
      </c>
      <c r="L329" s="198" t="s">
        <v>65</v>
      </c>
      <c r="M329" s="194"/>
      <c r="N329" s="194"/>
    </row>
    <row r="330">
      <c r="A330" s="193" t="s">
        <v>17288</v>
      </c>
      <c r="B330" s="7" t="s">
        <v>175</v>
      </c>
      <c r="C330" s="7" t="s">
        <v>16942</v>
      </c>
      <c r="D330" s="194">
        <v>2006.0</v>
      </c>
      <c r="E330" s="193"/>
      <c r="F330" s="195" t="s">
        <v>17289</v>
      </c>
      <c r="G330" s="196">
        <v>5.8198597103E10</v>
      </c>
      <c r="H330" s="197">
        <v>2120.58</v>
      </c>
      <c r="I330" s="7" t="s">
        <v>16908</v>
      </c>
      <c r="J330" s="7" t="s">
        <v>175</v>
      </c>
      <c r="K330" s="7" t="s">
        <v>16942</v>
      </c>
      <c r="L330" s="198" t="s">
        <v>65</v>
      </c>
      <c r="M330" s="194"/>
      <c r="N330" s="194"/>
    </row>
    <row r="331">
      <c r="A331" s="193" t="s">
        <v>17288</v>
      </c>
      <c r="B331" s="7" t="s">
        <v>16942</v>
      </c>
      <c r="C331" s="7" t="s">
        <v>175</v>
      </c>
      <c r="D331" s="194">
        <v>2006.0</v>
      </c>
      <c r="E331" s="193"/>
      <c r="F331" s="195" t="s">
        <v>17289</v>
      </c>
      <c r="G331" s="200">
        <v>5.8198597103E10</v>
      </c>
      <c r="H331" s="197">
        <v>2120.58</v>
      </c>
      <c r="I331" s="7" t="s">
        <v>16815</v>
      </c>
      <c r="J331" s="7" t="s">
        <v>16942</v>
      </c>
      <c r="K331" s="7" t="s">
        <v>175</v>
      </c>
      <c r="L331" s="201" t="s">
        <v>16835</v>
      </c>
      <c r="M331" s="194"/>
      <c r="N331" s="194"/>
    </row>
    <row r="332">
      <c r="A332" s="193" t="s">
        <v>17290</v>
      </c>
      <c r="B332" s="7" t="s">
        <v>175</v>
      </c>
      <c r="C332" s="7" t="s">
        <v>17168</v>
      </c>
      <c r="D332" s="199"/>
      <c r="E332" s="193"/>
      <c r="F332" s="195" t="s">
        <v>17291</v>
      </c>
      <c r="G332" s="196">
        <v>5.8033410365E10</v>
      </c>
      <c r="H332" s="197">
        <v>197.6</v>
      </c>
      <c r="I332" s="7" t="s">
        <v>168</v>
      </c>
      <c r="J332" s="7" t="s">
        <v>175</v>
      </c>
      <c r="K332" s="7" t="s">
        <v>17168</v>
      </c>
      <c r="L332" s="198" t="s">
        <v>65</v>
      </c>
      <c r="M332" s="199"/>
      <c r="N332" s="199"/>
    </row>
    <row r="333">
      <c r="A333" s="193" t="s">
        <v>17292</v>
      </c>
      <c r="B333" s="7" t="s">
        <v>158</v>
      </c>
      <c r="C333" s="7" t="s">
        <v>16864</v>
      </c>
      <c r="D333" s="199"/>
      <c r="E333" s="193"/>
      <c r="F333" s="195" t="s">
        <v>17293</v>
      </c>
      <c r="G333" s="196">
        <v>5.7608101085E10</v>
      </c>
      <c r="H333" s="197">
        <v>32.26</v>
      </c>
      <c r="I333" s="7" t="s">
        <v>16897</v>
      </c>
      <c r="J333" s="7" t="s">
        <v>158</v>
      </c>
      <c r="K333" s="7" t="s">
        <v>16864</v>
      </c>
      <c r="L333" s="198" t="s">
        <v>65</v>
      </c>
      <c r="M333" s="199"/>
      <c r="N333" s="199"/>
    </row>
    <row r="334">
      <c r="A334" s="193" t="s">
        <v>17292</v>
      </c>
      <c r="B334" s="7" t="s">
        <v>16864</v>
      </c>
      <c r="C334" s="7" t="s">
        <v>158</v>
      </c>
      <c r="D334" s="199"/>
      <c r="E334" s="193"/>
      <c r="F334" s="195" t="s">
        <v>17293</v>
      </c>
      <c r="G334" s="200">
        <v>5.7608101085E10</v>
      </c>
      <c r="H334" s="197">
        <v>32.26</v>
      </c>
      <c r="I334" s="7" t="s">
        <v>16815</v>
      </c>
      <c r="J334" s="7" t="s">
        <v>16864</v>
      </c>
      <c r="K334" s="7" t="s">
        <v>158</v>
      </c>
      <c r="L334" s="201" t="s">
        <v>16835</v>
      </c>
      <c r="M334" s="199"/>
      <c r="N334" s="199"/>
    </row>
    <row r="335">
      <c r="A335" s="193" t="s">
        <v>17294</v>
      </c>
      <c r="B335" s="7" t="s">
        <v>16910</v>
      </c>
      <c r="C335" s="7" t="s">
        <v>16911</v>
      </c>
      <c r="D335" s="199"/>
      <c r="E335" s="193"/>
      <c r="F335" s="195" t="s">
        <v>17295</v>
      </c>
      <c r="G335" s="196">
        <v>5.7515597717E10</v>
      </c>
      <c r="H335" s="197">
        <v>55.28</v>
      </c>
      <c r="I335" s="7" t="s">
        <v>16917</v>
      </c>
      <c r="J335" s="7" t="s">
        <v>16910</v>
      </c>
      <c r="K335" s="7" t="s">
        <v>16911</v>
      </c>
      <c r="L335" s="198" t="s">
        <v>65</v>
      </c>
      <c r="M335" s="199"/>
      <c r="N335" s="199"/>
    </row>
    <row r="336">
      <c r="A336" s="193" t="s">
        <v>17296</v>
      </c>
      <c r="B336" s="7" t="s">
        <v>175</v>
      </c>
      <c r="C336" s="7" t="s">
        <v>16842</v>
      </c>
      <c r="D336" s="199"/>
      <c r="E336" s="193"/>
      <c r="F336" s="195" t="s">
        <v>17297</v>
      </c>
      <c r="G336" s="196">
        <v>5.7204909819E10</v>
      </c>
      <c r="H336" s="197">
        <v>31.58</v>
      </c>
      <c r="I336" s="7" t="s">
        <v>16892</v>
      </c>
      <c r="J336" s="7" t="s">
        <v>175</v>
      </c>
      <c r="K336" s="7" t="s">
        <v>16842</v>
      </c>
      <c r="L336" s="198" t="s">
        <v>65</v>
      </c>
      <c r="M336" s="199"/>
      <c r="N336" s="199"/>
    </row>
    <row r="337">
      <c r="A337" s="193" t="s">
        <v>17296</v>
      </c>
      <c r="B337" s="7" t="s">
        <v>16842</v>
      </c>
      <c r="C337" s="7" t="s">
        <v>175</v>
      </c>
      <c r="D337" s="199"/>
      <c r="E337" s="193"/>
      <c r="F337" s="195" t="s">
        <v>17297</v>
      </c>
      <c r="G337" s="200">
        <v>5.7204909819E10</v>
      </c>
      <c r="H337" s="197">
        <v>31.58</v>
      </c>
      <c r="I337" s="7" t="s">
        <v>16815</v>
      </c>
      <c r="J337" s="7" t="s">
        <v>16842</v>
      </c>
      <c r="K337" s="7" t="s">
        <v>175</v>
      </c>
      <c r="L337" s="201" t="s">
        <v>16835</v>
      </c>
      <c r="M337" s="199"/>
      <c r="N337" s="199"/>
    </row>
    <row r="338">
      <c r="A338" s="193" t="s">
        <v>17298</v>
      </c>
      <c r="B338" s="7" t="s">
        <v>16919</v>
      </c>
      <c r="C338" s="7" t="s">
        <v>16920</v>
      </c>
      <c r="D338" s="199"/>
      <c r="E338" s="193"/>
      <c r="F338" s="195" t="s">
        <v>17299</v>
      </c>
      <c r="G338" s="196">
        <v>5.6422125585E10</v>
      </c>
      <c r="H338" s="197">
        <v>25.98</v>
      </c>
      <c r="I338" s="7" t="s">
        <v>16815</v>
      </c>
      <c r="J338" s="7" t="s">
        <v>16919</v>
      </c>
      <c r="K338" s="7" t="s">
        <v>16920</v>
      </c>
      <c r="L338" s="198" t="s">
        <v>65</v>
      </c>
      <c r="M338" s="199"/>
      <c r="N338" s="199"/>
    </row>
    <row r="339">
      <c r="A339" s="193" t="s">
        <v>17298</v>
      </c>
      <c r="B339" s="7" t="s">
        <v>16920</v>
      </c>
      <c r="C339" s="7" t="s">
        <v>16919</v>
      </c>
      <c r="D339" s="199"/>
      <c r="E339" s="193"/>
      <c r="F339" s="195" t="s">
        <v>17299</v>
      </c>
      <c r="G339" s="200">
        <v>5.6422125585E10</v>
      </c>
      <c r="H339" s="197">
        <v>25.98</v>
      </c>
      <c r="I339" s="7" t="s">
        <v>16815</v>
      </c>
      <c r="J339" s="7" t="s">
        <v>16920</v>
      </c>
      <c r="K339" s="7" t="s">
        <v>16919</v>
      </c>
      <c r="L339" s="201" t="s">
        <v>16835</v>
      </c>
      <c r="M339" s="199"/>
      <c r="N339" s="199"/>
    </row>
    <row r="340">
      <c r="A340" s="193" t="s">
        <v>17300</v>
      </c>
      <c r="D340" s="199"/>
      <c r="E340" s="193"/>
      <c r="F340" s="195" t="s">
        <v>17301</v>
      </c>
      <c r="G340" s="196">
        <v>5.5742805562E10</v>
      </c>
      <c r="H340" s="197">
        <v>77.78</v>
      </c>
      <c r="I340" s="7" t="s">
        <v>16815</v>
      </c>
      <c r="L340" s="198" t="s">
        <v>65</v>
      </c>
      <c r="M340" s="199"/>
      <c r="N340" s="199"/>
    </row>
    <row r="341">
      <c r="A341" s="193" t="s">
        <v>17300</v>
      </c>
      <c r="D341" s="199"/>
      <c r="E341" s="193"/>
      <c r="F341" s="195" t="s">
        <v>17301</v>
      </c>
      <c r="G341" s="200">
        <v>5.5742805562E10</v>
      </c>
      <c r="H341" s="197">
        <v>77.78</v>
      </c>
      <c r="I341" s="193" t="s">
        <v>16815</v>
      </c>
      <c r="L341" s="201" t="s">
        <v>16835</v>
      </c>
      <c r="M341" s="199"/>
      <c r="N341" s="199"/>
    </row>
    <row r="342">
      <c r="A342" s="193" t="s">
        <v>17302</v>
      </c>
      <c r="B342" s="7" t="s">
        <v>169</v>
      </c>
      <c r="C342" s="7" t="s">
        <v>16899</v>
      </c>
      <c r="D342" s="194">
        <v>1992.0</v>
      </c>
      <c r="E342" s="193"/>
      <c r="F342" s="195" t="s">
        <v>17303</v>
      </c>
      <c r="G342" s="196">
        <v>5.5243057807E10</v>
      </c>
      <c r="H342" s="197">
        <v>517.15</v>
      </c>
      <c r="I342" s="7" t="s">
        <v>16815</v>
      </c>
      <c r="J342" s="7" t="s">
        <v>169</v>
      </c>
      <c r="K342" s="7" t="s">
        <v>16899</v>
      </c>
      <c r="L342" s="198" t="s">
        <v>65</v>
      </c>
      <c r="M342" s="194"/>
      <c r="N342" s="194"/>
    </row>
    <row r="343">
      <c r="A343" s="193" t="s">
        <v>17304</v>
      </c>
      <c r="B343" s="7" t="s">
        <v>158</v>
      </c>
      <c r="C343" s="7" t="s">
        <v>16870</v>
      </c>
      <c r="D343" s="199"/>
      <c r="E343" s="193"/>
      <c r="F343" s="195" t="s">
        <v>17305</v>
      </c>
      <c r="G343" s="196">
        <v>5.5105465811E10</v>
      </c>
      <c r="H343" s="197">
        <v>145.13</v>
      </c>
      <c r="I343" s="7" t="s">
        <v>17098</v>
      </c>
      <c r="J343" s="7" t="s">
        <v>158</v>
      </c>
      <c r="K343" s="7" t="s">
        <v>16870</v>
      </c>
      <c r="L343" s="198" t="s">
        <v>65</v>
      </c>
      <c r="M343" s="199"/>
      <c r="N343" s="199"/>
    </row>
    <row r="344">
      <c r="A344" s="193" t="s">
        <v>17304</v>
      </c>
      <c r="B344" s="7" t="s">
        <v>16870</v>
      </c>
      <c r="C344" s="7" t="s">
        <v>158</v>
      </c>
      <c r="D344" s="199"/>
      <c r="E344" s="193"/>
      <c r="F344" s="195" t="s">
        <v>17305</v>
      </c>
      <c r="G344" s="200">
        <v>5.5105465811E10</v>
      </c>
      <c r="H344" s="197">
        <v>145.13</v>
      </c>
      <c r="I344" s="7" t="s">
        <v>16815</v>
      </c>
      <c r="J344" s="7" t="s">
        <v>16870</v>
      </c>
      <c r="K344" s="7" t="s">
        <v>158</v>
      </c>
      <c r="L344" s="201" t="s">
        <v>16835</v>
      </c>
      <c r="M344" s="199"/>
      <c r="N344" s="199"/>
    </row>
    <row r="345">
      <c r="A345" s="193" t="s">
        <v>17306</v>
      </c>
      <c r="B345" s="7" t="s">
        <v>17057</v>
      </c>
      <c r="C345" s="7" t="s">
        <v>169</v>
      </c>
      <c r="D345" s="194">
        <v>2006.0</v>
      </c>
      <c r="E345" s="193"/>
      <c r="F345" s="195" t="s">
        <v>17307</v>
      </c>
      <c r="G345" s="200">
        <v>5.47692863E10</v>
      </c>
      <c r="H345" s="197">
        <v>992.5</v>
      </c>
      <c r="I345" s="7" t="s">
        <v>16815</v>
      </c>
      <c r="J345" s="7" t="s">
        <v>17057</v>
      </c>
      <c r="K345" s="7" t="s">
        <v>169</v>
      </c>
      <c r="L345" s="201" t="s">
        <v>16835</v>
      </c>
      <c r="M345" s="194"/>
      <c r="N345" s="194"/>
    </row>
    <row r="346">
      <c r="A346" s="193" t="s">
        <v>17306</v>
      </c>
      <c r="B346" s="7" t="s">
        <v>169</v>
      </c>
      <c r="C346" s="7" t="s">
        <v>17057</v>
      </c>
      <c r="D346" s="194">
        <v>2006.0</v>
      </c>
      <c r="E346" s="193"/>
      <c r="F346" s="195" t="s">
        <v>17307</v>
      </c>
      <c r="G346" s="196">
        <v>5.47692863E10</v>
      </c>
      <c r="H346" s="197">
        <v>992.5</v>
      </c>
      <c r="I346" s="7" t="s">
        <v>16815</v>
      </c>
      <c r="J346" s="7" t="s">
        <v>169</v>
      </c>
      <c r="K346" s="7" t="s">
        <v>17057</v>
      </c>
      <c r="L346" s="198" t="s">
        <v>65</v>
      </c>
      <c r="M346" s="194"/>
      <c r="N346" s="194"/>
    </row>
    <row r="347">
      <c r="A347" s="193" t="s">
        <v>17308</v>
      </c>
      <c r="B347" s="7" t="s">
        <v>16957</v>
      </c>
      <c r="C347" s="7" t="s">
        <v>16926</v>
      </c>
      <c r="D347" s="194">
        <v>2023.0</v>
      </c>
      <c r="E347" s="193"/>
      <c r="F347" s="195" t="s">
        <v>17309</v>
      </c>
      <c r="G347" s="200">
        <v>5.47128E10</v>
      </c>
      <c r="H347" s="197">
        <v>17.28</v>
      </c>
      <c r="I347" s="7" t="s">
        <v>16815</v>
      </c>
      <c r="J347" s="7" t="s">
        <v>16957</v>
      </c>
      <c r="K347" s="7" t="s">
        <v>16926</v>
      </c>
      <c r="L347" s="201" t="s">
        <v>16835</v>
      </c>
      <c r="M347" s="194"/>
      <c r="N347" s="194"/>
    </row>
    <row r="348">
      <c r="A348" s="193" t="s">
        <v>17308</v>
      </c>
      <c r="B348" s="7" t="s">
        <v>16926</v>
      </c>
      <c r="C348" s="7" t="s">
        <v>16957</v>
      </c>
      <c r="D348" s="194">
        <v>2023.0</v>
      </c>
      <c r="E348" s="193"/>
      <c r="F348" s="195" t="s">
        <v>17309</v>
      </c>
      <c r="G348" s="196">
        <v>5.47128E10</v>
      </c>
      <c r="H348" s="197">
        <v>17.28</v>
      </c>
      <c r="I348" s="7" t="s">
        <v>16815</v>
      </c>
      <c r="J348" s="7" t="s">
        <v>16926</v>
      </c>
      <c r="K348" s="7" t="s">
        <v>16957</v>
      </c>
      <c r="L348" s="198" t="s">
        <v>65</v>
      </c>
      <c r="M348" s="194"/>
      <c r="N348" s="194"/>
    </row>
    <row r="349">
      <c r="A349" s="193" t="s">
        <v>17310</v>
      </c>
      <c r="B349" s="7" t="s">
        <v>16885</v>
      </c>
      <c r="C349" s="7" t="s">
        <v>16886</v>
      </c>
      <c r="D349" s="199"/>
      <c r="E349" s="193"/>
      <c r="F349" s="195" t="s">
        <v>17311</v>
      </c>
      <c r="G349" s="196">
        <v>5.4635716844E10</v>
      </c>
      <c r="H349" s="197">
        <v>70.67</v>
      </c>
      <c r="I349" s="7" t="s">
        <v>16826</v>
      </c>
      <c r="J349" s="7" t="s">
        <v>16885</v>
      </c>
      <c r="K349" s="7" t="s">
        <v>16886</v>
      </c>
      <c r="L349" s="198" t="s">
        <v>65</v>
      </c>
      <c r="M349" s="199"/>
      <c r="N349" s="199"/>
    </row>
    <row r="350">
      <c r="A350" s="193" t="s">
        <v>17310</v>
      </c>
      <c r="B350" s="7" t="s">
        <v>16886</v>
      </c>
      <c r="C350" s="7" t="s">
        <v>16885</v>
      </c>
      <c r="D350" s="199"/>
      <c r="E350" s="193"/>
      <c r="F350" s="195" t="s">
        <v>17311</v>
      </c>
      <c r="G350" s="200">
        <v>5.4635716844E10</v>
      </c>
      <c r="H350" s="197">
        <v>70.67</v>
      </c>
      <c r="I350" s="7" t="s">
        <v>16815</v>
      </c>
      <c r="J350" s="7" t="s">
        <v>16886</v>
      </c>
      <c r="K350" s="7" t="s">
        <v>16885</v>
      </c>
      <c r="L350" s="201" t="s">
        <v>16835</v>
      </c>
      <c r="M350" s="199"/>
      <c r="N350" s="199"/>
    </row>
    <row r="351">
      <c r="A351" s="193" t="s">
        <v>17312</v>
      </c>
      <c r="B351" s="7" t="s">
        <v>17202</v>
      </c>
      <c r="C351" s="7" t="s">
        <v>16838</v>
      </c>
      <c r="D351" s="199"/>
      <c r="E351" s="193"/>
      <c r="F351" s="195" t="s">
        <v>17313</v>
      </c>
      <c r="G351" s="200">
        <v>5.4505554849E10</v>
      </c>
      <c r="H351" s="197">
        <v>63.55</v>
      </c>
      <c r="I351" s="7" t="s">
        <v>16815</v>
      </c>
      <c r="J351" s="7" t="s">
        <v>17202</v>
      </c>
      <c r="K351" s="7" t="s">
        <v>16838</v>
      </c>
      <c r="L351" s="201" t="s">
        <v>16835</v>
      </c>
      <c r="M351" s="199"/>
      <c r="N351" s="199"/>
    </row>
    <row r="352">
      <c r="A352" s="193" t="s">
        <v>17312</v>
      </c>
      <c r="B352" s="7" t="s">
        <v>16838</v>
      </c>
      <c r="C352" s="7" t="s">
        <v>17202</v>
      </c>
      <c r="D352" s="199"/>
      <c r="E352" s="193"/>
      <c r="F352" s="195" t="s">
        <v>17313</v>
      </c>
      <c r="G352" s="196">
        <v>5.4505554849E10</v>
      </c>
      <c r="H352" s="197">
        <v>63.55</v>
      </c>
      <c r="I352" s="7" t="s">
        <v>16815</v>
      </c>
      <c r="J352" s="7" t="s">
        <v>16838</v>
      </c>
      <c r="K352" s="7" t="s">
        <v>17202</v>
      </c>
      <c r="L352" s="198" t="s">
        <v>65</v>
      </c>
      <c r="M352" s="199"/>
      <c r="N352" s="199"/>
    </row>
    <row r="353">
      <c r="A353" s="193" t="s">
        <v>17314</v>
      </c>
      <c r="B353" s="7" t="s">
        <v>158</v>
      </c>
      <c r="C353" s="7" t="s">
        <v>16864</v>
      </c>
      <c r="D353" s="199"/>
      <c r="E353" s="193"/>
      <c r="F353" s="195" t="s">
        <v>17315</v>
      </c>
      <c r="G353" s="196">
        <v>5.4491622947E10</v>
      </c>
      <c r="H353" s="197">
        <v>233.56</v>
      </c>
      <c r="I353" s="7" t="s">
        <v>17316</v>
      </c>
      <c r="J353" s="7" t="s">
        <v>158</v>
      </c>
      <c r="K353" s="7" t="s">
        <v>16864</v>
      </c>
      <c r="L353" s="198" t="s">
        <v>65</v>
      </c>
      <c r="M353" s="199"/>
      <c r="N353" s="199"/>
    </row>
    <row r="354">
      <c r="A354" s="193" t="s">
        <v>17314</v>
      </c>
      <c r="B354" s="7" t="s">
        <v>16864</v>
      </c>
      <c r="C354" s="7" t="s">
        <v>158</v>
      </c>
      <c r="D354" s="199"/>
      <c r="E354" s="193"/>
      <c r="F354" s="195" t="s">
        <v>17315</v>
      </c>
      <c r="G354" s="200">
        <v>5.4491622947E10</v>
      </c>
      <c r="H354" s="197">
        <v>233.56</v>
      </c>
      <c r="I354" s="7" t="s">
        <v>16815</v>
      </c>
      <c r="J354" s="7" t="s">
        <v>16864</v>
      </c>
      <c r="K354" s="7" t="s">
        <v>158</v>
      </c>
      <c r="L354" s="201" t="s">
        <v>16835</v>
      </c>
      <c r="M354" s="199"/>
      <c r="N354" s="199"/>
    </row>
    <row r="355">
      <c r="A355" s="193" t="s">
        <v>17317</v>
      </c>
      <c r="B355" s="7" t="s">
        <v>175</v>
      </c>
      <c r="C355" s="7" t="s">
        <v>17318</v>
      </c>
      <c r="D355" s="194">
        <v>1983.0</v>
      </c>
      <c r="E355" s="193"/>
      <c r="F355" s="195" t="s">
        <v>17319</v>
      </c>
      <c r="G355" s="196">
        <v>5.4337134871E10</v>
      </c>
      <c r="H355" s="197">
        <v>533.48</v>
      </c>
      <c r="I355" s="7" t="s">
        <v>16908</v>
      </c>
      <c r="J355" s="7" t="s">
        <v>175</v>
      </c>
      <c r="K355" s="7" t="s">
        <v>17318</v>
      </c>
      <c r="L355" s="198" t="s">
        <v>65</v>
      </c>
      <c r="M355" s="194"/>
      <c r="N355" s="194"/>
    </row>
    <row r="356">
      <c r="A356" s="193" t="s">
        <v>17320</v>
      </c>
      <c r="B356" s="7" t="s">
        <v>17321</v>
      </c>
      <c r="C356" s="7" t="s">
        <v>169</v>
      </c>
      <c r="D356" s="199"/>
      <c r="E356" s="193"/>
      <c r="F356" s="195" t="s">
        <v>17322</v>
      </c>
      <c r="G356" s="200">
        <v>5.3889184377E10</v>
      </c>
      <c r="H356" s="197">
        <v>419.45</v>
      </c>
      <c r="I356" s="7" t="s">
        <v>16815</v>
      </c>
      <c r="J356" s="7" t="s">
        <v>17321</v>
      </c>
      <c r="K356" s="7" t="s">
        <v>169</v>
      </c>
      <c r="L356" s="201" t="s">
        <v>16835</v>
      </c>
      <c r="M356" s="199"/>
      <c r="N356" s="199"/>
    </row>
    <row r="357">
      <c r="A357" s="193" t="s">
        <v>17320</v>
      </c>
      <c r="B357" s="7" t="s">
        <v>169</v>
      </c>
      <c r="C357" s="7" t="s">
        <v>17321</v>
      </c>
      <c r="D357" s="199"/>
      <c r="E357" s="193"/>
      <c r="F357" s="195" t="s">
        <v>17322</v>
      </c>
      <c r="G357" s="196">
        <v>5.3889184377E10</v>
      </c>
      <c r="H357" s="197">
        <v>419.45</v>
      </c>
      <c r="I357" s="7" t="s">
        <v>16815</v>
      </c>
      <c r="J357" s="7" t="s">
        <v>169</v>
      </c>
      <c r="K357" s="7" t="s">
        <v>17321</v>
      </c>
      <c r="L357" s="198" t="s">
        <v>65</v>
      </c>
      <c r="M357" s="199"/>
      <c r="N357" s="199"/>
    </row>
    <row r="358">
      <c r="A358" s="193" t="s">
        <v>17323</v>
      </c>
      <c r="B358" s="7" t="s">
        <v>158</v>
      </c>
      <c r="C358" s="7" t="s">
        <v>16864</v>
      </c>
      <c r="D358" s="199"/>
      <c r="E358" s="193"/>
      <c r="F358" s="195" t="s">
        <v>17324</v>
      </c>
      <c r="G358" s="196">
        <v>5.368501364E10</v>
      </c>
      <c r="H358" s="197">
        <v>60.98</v>
      </c>
      <c r="I358" s="7" t="s">
        <v>17098</v>
      </c>
      <c r="J358" s="7" t="s">
        <v>158</v>
      </c>
      <c r="K358" s="7" t="s">
        <v>16864</v>
      </c>
      <c r="L358" s="198" t="s">
        <v>65</v>
      </c>
      <c r="M358" s="199"/>
      <c r="N358" s="199"/>
    </row>
    <row r="359">
      <c r="A359" s="193" t="s">
        <v>17323</v>
      </c>
      <c r="B359" s="7" t="s">
        <v>16864</v>
      </c>
      <c r="C359" s="7" t="s">
        <v>158</v>
      </c>
      <c r="D359" s="199"/>
      <c r="E359" s="193"/>
      <c r="F359" s="195" t="s">
        <v>17324</v>
      </c>
      <c r="G359" s="200">
        <v>5.368501364E10</v>
      </c>
      <c r="H359" s="197">
        <v>60.98</v>
      </c>
      <c r="I359" s="7" t="s">
        <v>16815</v>
      </c>
      <c r="J359" s="7" t="s">
        <v>16864</v>
      </c>
      <c r="K359" s="7" t="s">
        <v>158</v>
      </c>
      <c r="L359" s="201" t="s">
        <v>16835</v>
      </c>
      <c r="M359" s="199"/>
      <c r="N359" s="199"/>
    </row>
    <row r="360">
      <c r="A360" s="193" t="s">
        <v>17325</v>
      </c>
      <c r="B360" s="7" t="s">
        <v>16838</v>
      </c>
      <c r="C360" s="7" t="s">
        <v>17104</v>
      </c>
      <c r="D360" s="199"/>
      <c r="E360" s="193"/>
      <c r="F360" s="195" t="s">
        <v>17326</v>
      </c>
      <c r="G360" s="196">
        <v>5.3601493E10</v>
      </c>
      <c r="H360" s="197">
        <v>248.27</v>
      </c>
      <c r="I360" s="7" t="s">
        <v>17327</v>
      </c>
      <c r="J360" s="7" t="s">
        <v>16838</v>
      </c>
      <c r="K360" s="7" t="s">
        <v>17104</v>
      </c>
      <c r="L360" s="198" t="s">
        <v>65</v>
      </c>
      <c r="M360" s="199"/>
      <c r="N360" s="199"/>
    </row>
    <row r="361">
      <c r="A361" s="193" t="s">
        <v>17325</v>
      </c>
      <c r="B361" s="7" t="s">
        <v>17104</v>
      </c>
      <c r="C361" s="7" t="s">
        <v>16838</v>
      </c>
      <c r="D361" s="199"/>
      <c r="E361" s="193"/>
      <c r="F361" s="195" t="s">
        <v>17326</v>
      </c>
      <c r="G361" s="200">
        <v>5.3601493E10</v>
      </c>
      <c r="H361" s="197">
        <v>248.27</v>
      </c>
      <c r="I361" s="7" t="s">
        <v>16815</v>
      </c>
      <c r="J361" s="7" t="s">
        <v>17104</v>
      </c>
      <c r="K361" s="7" t="s">
        <v>16838</v>
      </c>
      <c r="L361" s="201" t="s">
        <v>16835</v>
      </c>
      <c r="M361" s="199"/>
      <c r="N361" s="199"/>
    </row>
    <row r="362">
      <c r="A362" s="193" t="s">
        <v>17328</v>
      </c>
      <c r="D362" s="194">
        <v>2023.0</v>
      </c>
      <c r="E362" s="193"/>
      <c r="F362" s="195" t="s">
        <v>17329</v>
      </c>
      <c r="G362" s="196">
        <v>5.358898118E10</v>
      </c>
      <c r="H362" s="197">
        <v>52.27</v>
      </c>
      <c r="I362" s="7" t="s">
        <v>16815</v>
      </c>
      <c r="L362" s="198" t="s">
        <v>65</v>
      </c>
      <c r="M362" s="194"/>
      <c r="N362" s="194"/>
    </row>
    <row r="363">
      <c r="A363" s="193" t="s">
        <v>17330</v>
      </c>
      <c r="B363" s="7" t="s">
        <v>16867</v>
      </c>
      <c r="C363" s="7" t="s">
        <v>16838</v>
      </c>
      <c r="D363" s="199"/>
      <c r="E363" s="193"/>
      <c r="F363" s="195" t="s">
        <v>17331</v>
      </c>
      <c r="G363" s="200">
        <v>5.3249824285E10</v>
      </c>
      <c r="H363" s="197">
        <v>34.2</v>
      </c>
      <c r="I363" s="7" t="s">
        <v>16815</v>
      </c>
      <c r="J363" s="7" t="s">
        <v>16867</v>
      </c>
      <c r="K363" s="7" t="s">
        <v>16838</v>
      </c>
      <c r="L363" s="201" t="s">
        <v>16835</v>
      </c>
      <c r="M363" s="199"/>
      <c r="N363" s="199"/>
    </row>
    <row r="364">
      <c r="A364" s="193" t="s">
        <v>17330</v>
      </c>
      <c r="B364" s="7" t="s">
        <v>16838</v>
      </c>
      <c r="C364" s="7" t="s">
        <v>16867</v>
      </c>
      <c r="D364" s="199"/>
      <c r="E364" s="193"/>
      <c r="F364" s="195" t="s">
        <v>17331</v>
      </c>
      <c r="G364" s="196">
        <v>5.3249824285E10</v>
      </c>
      <c r="H364" s="197">
        <v>34.2</v>
      </c>
      <c r="I364" s="7" t="s">
        <v>16815</v>
      </c>
      <c r="J364" s="7" t="s">
        <v>16838</v>
      </c>
      <c r="K364" s="7" t="s">
        <v>16867</v>
      </c>
      <c r="L364" s="198" t="s">
        <v>65</v>
      </c>
      <c r="M364" s="199"/>
      <c r="N364" s="199"/>
    </row>
    <row r="365">
      <c r="A365" s="193" t="s">
        <v>17332</v>
      </c>
      <c r="B365" s="7" t="s">
        <v>16582</v>
      </c>
      <c r="C365" s="7" t="s">
        <v>16813</v>
      </c>
      <c r="D365" s="194">
        <v>2018.0</v>
      </c>
      <c r="E365" s="193"/>
      <c r="F365" s="195" t="s">
        <v>17333</v>
      </c>
      <c r="G365" s="196">
        <v>5.3171858261E10</v>
      </c>
      <c r="H365" s="197">
        <v>73.5</v>
      </c>
      <c r="I365" s="7" t="s">
        <v>16815</v>
      </c>
      <c r="J365" s="7" t="s">
        <v>16582</v>
      </c>
      <c r="K365" s="7" t="s">
        <v>16813</v>
      </c>
      <c r="L365" s="198" t="s">
        <v>65</v>
      </c>
      <c r="M365" s="194"/>
      <c r="N365" s="194"/>
    </row>
    <row r="366">
      <c r="A366" s="193" t="s">
        <v>17332</v>
      </c>
      <c r="B366" s="7" t="s">
        <v>16813</v>
      </c>
      <c r="C366" s="7" t="s">
        <v>16582</v>
      </c>
      <c r="D366" s="194">
        <v>2018.0</v>
      </c>
      <c r="E366" s="193"/>
      <c r="F366" s="195" t="s">
        <v>17333</v>
      </c>
      <c r="G366" s="200">
        <v>5.3171858261E10</v>
      </c>
      <c r="H366" s="197">
        <v>73.5</v>
      </c>
      <c r="I366" s="7" t="s">
        <v>16815</v>
      </c>
      <c r="J366" s="7" t="s">
        <v>16813</v>
      </c>
      <c r="K366" s="7" t="s">
        <v>16582</v>
      </c>
      <c r="L366" s="201" t="s">
        <v>16835</v>
      </c>
      <c r="M366" s="194"/>
      <c r="N366" s="194"/>
    </row>
    <row r="367">
      <c r="A367" s="193" t="s">
        <v>17334</v>
      </c>
      <c r="B367" s="7" t="s">
        <v>16582</v>
      </c>
      <c r="C367" s="7" t="s">
        <v>16817</v>
      </c>
      <c r="D367" s="194">
        <v>2020.0</v>
      </c>
      <c r="E367" s="193"/>
      <c r="F367" s="195" t="s">
        <v>17335</v>
      </c>
      <c r="G367" s="196">
        <v>5.288388E10</v>
      </c>
      <c r="H367" s="197">
        <v>160.4</v>
      </c>
      <c r="I367" s="7" t="s">
        <v>16815</v>
      </c>
      <c r="J367" s="7" t="s">
        <v>16582</v>
      </c>
      <c r="K367" s="7" t="s">
        <v>16817</v>
      </c>
      <c r="L367" s="198" t="s">
        <v>65</v>
      </c>
      <c r="M367" s="194"/>
      <c r="N367" s="194"/>
    </row>
    <row r="368">
      <c r="A368" s="193" t="s">
        <v>17334</v>
      </c>
      <c r="B368" s="7" t="s">
        <v>16817</v>
      </c>
      <c r="C368" s="7" t="s">
        <v>16582</v>
      </c>
      <c r="D368" s="194">
        <v>2020.0</v>
      </c>
      <c r="E368" s="193"/>
      <c r="F368" s="195" t="s">
        <v>17335</v>
      </c>
      <c r="G368" s="200">
        <v>5.288388E10</v>
      </c>
      <c r="H368" s="197">
        <v>160.4</v>
      </c>
      <c r="I368" s="7" t="s">
        <v>16815</v>
      </c>
      <c r="J368" s="7" t="s">
        <v>16817</v>
      </c>
      <c r="K368" s="7" t="s">
        <v>16582</v>
      </c>
      <c r="L368" s="201" t="s">
        <v>16835</v>
      </c>
      <c r="M368" s="194"/>
      <c r="N368" s="194"/>
    </row>
    <row r="369">
      <c r="A369" s="193" t="s">
        <v>17336</v>
      </c>
      <c r="B369" s="7" t="s">
        <v>175</v>
      </c>
      <c r="C369" s="7" t="s">
        <v>17218</v>
      </c>
      <c r="D369" s="194">
        <v>1925.0</v>
      </c>
      <c r="E369" s="193"/>
      <c r="F369" s="195" t="s">
        <v>17337</v>
      </c>
      <c r="G369" s="196">
        <v>5.2519505331E10</v>
      </c>
      <c r="H369" s="197">
        <v>32.06</v>
      </c>
      <c r="I369" s="7" t="s">
        <v>16908</v>
      </c>
      <c r="J369" s="7" t="s">
        <v>175</v>
      </c>
      <c r="K369" s="7" t="s">
        <v>17218</v>
      </c>
      <c r="L369" s="198" t="s">
        <v>65</v>
      </c>
      <c r="M369" s="194"/>
      <c r="N369" s="194"/>
    </row>
    <row r="370">
      <c r="A370" s="193" t="s">
        <v>17336</v>
      </c>
      <c r="B370" s="7" t="s">
        <v>17218</v>
      </c>
      <c r="C370" s="7" t="s">
        <v>175</v>
      </c>
      <c r="D370" s="194">
        <v>1925.0</v>
      </c>
      <c r="E370" s="193"/>
      <c r="F370" s="195" t="s">
        <v>17337</v>
      </c>
      <c r="G370" s="200">
        <v>5.2519505331E10</v>
      </c>
      <c r="H370" s="197">
        <v>32.06</v>
      </c>
      <c r="I370" s="7" t="s">
        <v>16815</v>
      </c>
      <c r="J370" s="7" t="s">
        <v>17218</v>
      </c>
      <c r="K370" s="7" t="s">
        <v>175</v>
      </c>
      <c r="L370" s="201" t="s">
        <v>16835</v>
      </c>
      <c r="M370" s="194"/>
      <c r="N370" s="194"/>
    </row>
    <row r="371">
      <c r="A371" s="193" t="s">
        <v>17338</v>
      </c>
      <c r="B371" s="7" t="s">
        <v>16582</v>
      </c>
      <c r="C371" s="7" t="s">
        <v>17339</v>
      </c>
      <c r="D371" s="199"/>
      <c r="E371" s="193"/>
      <c r="F371" s="195" t="s">
        <v>17340</v>
      </c>
      <c r="G371" s="196">
        <v>5.1819649107E10</v>
      </c>
      <c r="H371" s="197">
        <v>86.61</v>
      </c>
      <c r="I371" s="7" t="s">
        <v>16815</v>
      </c>
      <c r="J371" s="7" t="s">
        <v>16582</v>
      </c>
      <c r="K371" s="7" t="s">
        <v>17339</v>
      </c>
      <c r="L371" s="198" t="s">
        <v>65</v>
      </c>
      <c r="M371" s="199"/>
      <c r="N371" s="199"/>
    </row>
    <row r="372">
      <c r="A372" s="193" t="s">
        <v>17338</v>
      </c>
      <c r="B372" s="7" t="s">
        <v>17339</v>
      </c>
      <c r="C372" s="7" t="s">
        <v>16582</v>
      </c>
      <c r="D372" s="199"/>
      <c r="E372" s="193"/>
      <c r="F372" s="195" t="s">
        <v>17340</v>
      </c>
      <c r="G372" s="200">
        <v>5.1819649107E10</v>
      </c>
      <c r="H372" s="197">
        <v>86.61</v>
      </c>
      <c r="I372" s="7" t="s">
        <v>16815</v>
      </c>
      <c r="J372" s="7" t="s">
        <v>17339</v>
      </c>
      <c r="K372" s="7" t="s">
        <v>16582</v>
      </c>
      <c r="L372" s="201" t="s">
        <v>16835</v>
      </c>
      <c r="M372" s="199"/>
      <c r="N372" s="199"/>
    </row>
    <row r="373">
      <c r="A373" s="193" t="s">
        <v>17341</v>
      </c>
      <c r="B373" s="7" t="s">
        <v>16582</v>
      </c>
      <c r="C373" s="7" t="s">
        <v>17342</v>
      </c>
      <c r="D373" s="199"/>
      <c r="E373" s="193"/>
      <c r="F373" s="195" t="s">
        <v>17343</v>
      </c>
      <c r="G373" s="196">
        <v>5.1619518516E10</v>
      </c>
      <c r="H373" s="197">
        <v>311.02</v>
      </c>
      <c r="I373" s="7" t="s">
        <v>16815</v>
      </c>
      <c r="J373" s="7" t="s">
        <v>16582</v>
      </c>
      <c r="K373" s="7" t="s">
        <v>17342</v>
      </c>
      <c r="L373" s="198" t="s">
        <v>65</v>
      </c>
      <c r="M373" s="199"/>
      <c r="N373" s="199"/>
    </row>
    <row r="374">
      <c r="A374" s="193" t="s">
        <v>17341</v>
      </c>
      <c r="B374" s="7" t="s">
        <v>17342</v>
      </c>
      <c r="C374" s="7" t="s">
        <v>16582</v>
      </c>
      <c r="D374" s="199"/>
      <c r="E374" s="193"/>
      <c r="F374" s="195" t="s">
        <v>17343</v>
      </c>
      <c r="G374" s="200">
        <v>5.1619518516E10</v>
      </c>
      <c r="H374" s="197">
        <v>311.02</v>
      </c>
      <c r="I374" s="7" t="s">
        <v>16815</v>
      </c>
      <c r="J374" s="7" t="s">
        <v>17342</v>
      </c>
      <c r="K374" s="7" t="s">
        <v>16582</v>
      </c>
      <c r="L374" s="201" t="s">
        <v>16835</v>
      </c>
      <c r="M374" s="199"/>
      <c r="N374" s="199"/>
    </row>
    <row r="375">
      <c r="A375" s="193" t="s">
        <v>17344</v>
      </c>
      <c r="B375" s="7" t="s">
        <v>16867</v>
      </c>
      <c r="C375" s="7" t="s">
        <v>16838</v>
      </c>
      <c r="D375" s="199"/>
      <c r="E375" s="193"/>
      <c r="F375" s="195" t="s">
        <v>17345</v>
      </c>
      <c r="G375" s="200">
        <v>5.152798575E10</v>
      </c>
      <c r="H375" s="197">
        <v>42.75</v>
      </c>
      <c r="I375" s="7" t="s">
        <v>16815</v>
      </c>
      <c r="J375" s="7" t="s">
        <v>16867</v>
      </c>
      <c r="K375" s="7" t="s">
        <v>16838</v>
      </c>
      <c r="L375" s="201" t="s">
        <v>16835</v>
      </c>
      <c r="M375" s="199"/>
      <c r="N375" s="199"/>
    </row>
    <row r="376">
      <c r="A376" s="193" t="s">
        <v>17344</v>
      </c>
      <c r="B376" s="7" t="s">
        <v>16838</v>
      </c>
      <c r="C376" s="7" t="s">
        <v>16867</v>
      </c>
      <c r="D376" s="199"/>
      <c r="E376" s="193"/>
      <c r="F376" s="195" t="s">
        <v>17345</v>
      </c>
      <c r="G376" s="196">
        <v>5.152798575E10</v>
      </c>
      <c r="H376" s="197">
        <v>42.75</v>
      </c>
      <c r="I376" s="7" t="s">
        <v>16815</v>
      </c>
      <c r="J376" s="7" t="s">
        <v>16838</v>
      </c>
      <c r="K376" s="7" t="s">
        <v>16867</v>
      </c>
      <c r="L376" s="198" t="s">
        <v>65</v>
      </c>
      <c r="M376" s="199"/>
      <c r="N376" s="199"/>
    </row>
    <row r="377">
      <c r="A377" s="193" t="s">
        <v>17346</v>
      </c>
      <c r="B377" s="7" t="s">
        <v>17347</v>
      </c>
      <c r="C377" s="7" t="s">
        <v>16838</v>
      </c>
      <c r="D377" s="194">
        <v>2020.0</v>
      </c>
      <c r="E377" s="193"/>
      <c r="F377" s="195" t="s">
        <v>17348</v>
      </c>
      <c r="G377" s="200">
        <v>5.1375007612E10</v>
      </c>
      <c r="H377" s="197">
        <v>18.66</v>
      </c>
      <c r="I377" s="7" t="s">
        <v>16815</v>
      </c>
      <c r="J377" s="7" t="s">
        <v>17347</v>
      </c>
      <c r="K377" s="7" t="s">
        <v>16838</v>
      </c>
      <c r="L377" s="201" t="s">
        <v>16835</v>
      </c>
      <c r="M377" s="194"/>
      <c r="N377" s="194"/>
    </row>
    <row r="378">
      <c r="A378" s="193" t="s">
        <v>17346</v>
      </c>
      <c r="B378" s="7" t="s">
        <v>16838</v>
      </c>
      <c r="C378" s="7" t="s">
        <v>17347</v>
      </c>
      <c r="D378" s="194">
        <v>2020.0</v>
      </c>
      <c r="E378" s="193"/>
      <c r="F378" s="195" t="s">
        <v>17348</v>
      </c>
      <c r="G378" s="196">
        <v>5.1375007612E10</v>
      </c>
      <c r="H378" s="197">
        <v>18.66</v>
      </c>
      <c r="I378" s="7" t="s">
        <v>16815</v>
      </c>
      <c r="J378" s="7" t="s">
        <v>16838</v>
      </c>
      <c r="K378" s="7" t="s">
        <v>17347</v>
      </c>
      <c r="L378" s="198" t="s">
        <v>65</v>
      </c>
      <c r="M378" s="194"/>
      <c r="N378" s="194"/>
    </row>
    <row r="379">
      <c r="A379" s="193" t="s">
        <v>17349</v>
      </c>
      <c r="B379" s="7" t="s">
        <v>169</v>
      </c>
      <c r="C379" s="7" t="s">
        <v>17350</v>
      </c>
      <c r="D379" s="199"/>
      <c r="E379" s="193"/>
      <c r="F379" s="195" t="s">
        <v>17351</v>
      </c>
      <c r="G379" s="196">
        <v>5.1309549203E10</v>
      </c>
      <c r="H379" s="197">
        <v>225.48</v>
      </c>
      <c r="I379" s="7" t="s">
        <v>16815</v>
      </c>
      <c r="J379" s="7" t="s">
        <v>169</v>
      </c>
      <c r="K379" s="7" t="s">
        <v>17350</v>
      </c>
      <c r="L379" s="198" t="s">
        <v>65</v>
      </c>
      <c r="M379" s="199"/>
      <c r="N379" s="199"/>
    </row>
    <row r="380">
      <c r="A380" s="193" t="s">
        <v>17349</v>
      </c>
      <c r="B380" s="7" t="s">
        <v>17350</v>
      </c>
      <c r="C380" s="7" t="s">
        <v>169</v>
      </c>
      <c r="D380" s="199"/>
      <c r="E380" s="193"/>
      <c r="F380" s="195" t="s">
        <v>17351</v>
      </c>
      <c r="G380" s="200">
        <v>5.1309549203E10</v>
      </c>
      <c r="H380" s="197">
        <v>225.48</v>
      </c>
      <c r="I380" s="7" t="s">
        <v>16815</v>
      </c>
      <c r="J380" s="7" t="s">
        <v>17350</v>
      </c>
      <c r="K380" s="7" t="s">
        <v>169</v>
      </c>
      <c r="L380" s="201" t="s">
        <v>16835</v>
      </c>
      <c r="M380" s="199"/>
      <c r="N380" s="199"/>
    </row>
    <row r="381">
      <c r="A381" s="193" t="s">
        <v>17352</v>
      </c>
      <c r="B381" s="7" t="s">
        <v>16969</v>
      </c>
      <c r="C381" s="7" t="s">
        <v>187</v>
      </c>
      <c r="D381" s="199"/>
      <c r="E381" s="193"/>
      <c r="F381" s="195" t="s">
        <v>17353</v>
      </c>
      <c r="G381" s="200">
        <v>5.1260544297E10</v>
      </c>
      <c r="H381" s="197">
        <v>92.81</v>
      </c>
      <c r="I381" s="7" t="s">
        <v>16815</v>
      </c>
      <c r="J381" s="7" t="s">
        <v>16969</v>
      </c>
      <c r="K381" s="7" t="s">
        <v>187</v>
      </c>
      <c r="L381" s="201" t="s">
        <v>16835</v>
      </c>
      <c r="M381" s="199"/>
      <c r="N381" s="199"/>
    </row>
    <row r="382">
      <c r="A382" s="193" t="s">
        <v>17352</v>
      </c>
      <c r="B382" s="7" t="s">
        <v>187</v>
      </c>
      <c r="C382" s="7" t="s">
        <v>16969</v>
      </c>
      <c r="D382" s="199"/>
      <c r="E382" s="193"/>
      <c r="F382" s="195" t="s">
        <v>17353</v>
      </c>
      <c r="G382" s="196">
        <v>5.1260544297E10</v>
      </c>
      <c r="H382" s="197">
        <v>92.81</v>
      </c>
      <c r="I382" s="7" t="s">
        <v>16815</v>
      </c>
      <c r="J382" s="7" t="s">
        <v>187</v>
      </c>
      <c r="K382" s="7" t="s">
        <v>16969</v>
      </c>
      <c r="L382" s="198" t="s">
        <v>65</v>
      </c>
      <c r="M382" s="199"/>
      <c r="N382" s="199"/>
    </row>
    <row r="383">
      <c r="A383" s="193" t="s">
        <v>17354</v>
      </c>
      <c r="B383" s="7" t="s">
        <v>16838</v>
      </c>
      <c r="C383" s="7" t="s">
        <v>17002</v>
      </c>
      <c r="D383" s="199"/>
      <c r="E383" s="193"/>
      <c r="F383" s="195" t="s">
        <v>17355</v>
      </c>
      <c r="G383" s="196">
        <v>5.1135388463E10</v>
      </c>
      <c r="H383" s="197">
        <v>8.48</v>
      </c>
      <c r="I383" s="7" t="s">
        <v>16924</v>
      </c>
      <c r="J383" s="7" t="s">
        <v>16838</v>
      </c>
      <c r="K383" s="7" t="s">
        <v>17002</v>
      </c>
      <c r="L383" s="198" t="s">
        <v>65</v>
      </c>
      <c r="M383" s="199"/>
      <c r="N383" s="199"/>
    </row>
    <row r="384">
      <c r="A384" s="193" t="s">
        <v>17354</v>
      </c>
      <c r="B384" s="7" t="s">
        <v>17002</v>
      </c>
      <c r="C384" s="7" t="s">
        <v>16838</v>
      </c>
      <c r="D384" s="199"/>
      <c r="E384" s="193"/>
      <c r="F384" s="195" t="s">
        <v>17355</v>
      </c>
      <c r="G384" s="200">
        <v>5.1135388463E10</v>
      </c>
      <c r="H384" s="197">
        <v>8.48</v>
      </c>
      <c r="I384" s="7" t="s">
        <v>16815</v>
      </c>
      <c r="J384" s="7" t="s">
        <v>17002</v>
      </c>
      <c r="K384" s="7" t="s">
        <v>16838</v>
      </c>
      <c r="L384" s="201" t="s">
        <v>16835</v>
      </c>
      <c r="M384" s="199"/>
      <c r="N384" s="199"/>
    </row>
    <row r="385">
      <c r="A385" s="193" t="s">
        <v>17356</v>
      </c>
      <c r="B385" s="7" t="s">
        <v>175</v>
      </c>
      <c r="C385" s="7" t="s">
        <v>16878</v>
      </c>
      <c r="D385" s="199"/>
      <c r="E385" s="193"/>
      <c r="F385" s="195" t="s">
        <v>17357</v>
      </c>
      <c r="G385" s="196">
        <v>5.0726373978E10</v>
      </c>
      <c r="H385" s="197">
        <v>177.9</v>
      </c>
      <c r="I385" s="7" t="s">
        <v>16908</v>
      </c>
      <c r="J385" s="7" t="s">
        <v>175</v>
      </c>
      <c r="K385" s="7" t="s">
        <v>16878</v>
      </c>
      <c r="L385" s="198" t="s">
        <v>65</v>
      </c>
      <c r="M385" s="199"/>
      <c r="N385" s="199"/>
    </row>
    <row r="386">
      <c r="A386" s="193" t="s">
        <v>17356</v>
      </c>
      <c r="B386" s="7" t="s">
        <v>16878</v>
      </c>
      <c r="C386" s="7" t="s">
        <v>175</v>
      </c>
      <c r="D386" s="199"/>
      <c r="E386" s="193"/>
      <c r="F386" s="195" t="s">
        <v>17357</v>
      </c>
      <c r="G386" s="200">
        <v>5.0726373978E10</v>
      </c>
      <c r="H386" s="197">
        <v>177.9</v>
      </c>
      <c r="I386" s="7" t="s">
        <v>16815</v>
      </c>
      <c r="J386" s="7" t="s">
        <v>16878</v>
      </c>
      <c r="K386" s="7" t="s">
        <v>175</v>
      </c>
      <c r="L386" s="201" t="s">
        <v>16835</v>
      </c>
      <c r="M386" s="199"/>
      <c r="N386" s="199"/>
    </row>
    <row r="387">
      <c r="A387" s="193" t="s">
        <v>17358</v>
      </c>
      <c r="B387" s="7" t="s">
        <v>175</v>
      </c>
      <c r="C387" s="7" t="s">
        <v>17318</v>
      </c>
      <c r="D387" s="194">
        <v>2007.0</v>
      </c>
      <c r="E387" s="193"/>
      <c r="F387" s="195" t="s">
        <v>17359</v>
      </c>
      <c r="G387" s="196">
        <v>5.0229996819E10</v>
      </c>
      <c r="H387" s="197">
        <v>413.67</v>
      </c>
      <c r="I387" s="7" t="s">
        <v>168</v>
      </c>
      <c r="J387" s="7" t="s">
        <v>175</v>
      </c>
      <c r="K387" s="7" t="s">
        <v>17318</v>
      </c>
      <c r="L387" s="198" t="s">
        <v>65</v>
      </c>
      <c r="M387" s="194"/>
      <c r="N387" s="194"/>
    </row>
    <row r="388">
      <c r="A388" s="193" t="s">
        <v>17360</v>
      </c>
      <c r="B388" s="7" t="s">
        <v>175</v>
      </c>
      <c r="C388" s="7" t="s">
        <v>16861</v>
      </c>
      <c r="D388" s="199"/>
      <c r="E388" s="193"/>
      <c r="F388" s="195" t="s">
        <v>17361</v>
      </c>
      <c r="G388" s="196">
        <v>5.0005719915E10</v>
      </c>
      <c r="H388" s="197">
        <v>108.33</v>
      </c>
      <c r="I388" s="7" t="s">
        <v>17270</v>
      </c>
      <c r="J388" s="7" t="s">
        <v>175</v>
      </c>
      <c r="K388" s="7" t="s">
        <v>16861</v>
      </c>
      <c r="L388" s="198" t="s">
        <v>65</v>
      </c>
      <c r="M388" s="199"/>
      <c r="N388" s="199"/>
    </row>
    <row r="389">
      <c r="A389" s="193" t="s">
        <v>17360</v>
      </c>
      <c r="B389" s="7" t="s">
        <v>16861</v>
      </c>
      <c r="C389" s="7" t="s">
        <v>175</v>
      </c>
      <c r="D389" s="199"/>
      <c r="E389" s="193"/>
      <c r="F389" s="195" t="s">
        <v>17361</v>
      </c>
      <c r="G389" s="200">
        <v>5.0005719915E10</v>
      </c>
      <c r="H389" s="197">
        <v>108.33</v>
      </c>
      <c r="I389" s="7" t="s">
        <v>16815</v>
      </c>
      <c r="J389" s="7" t="s">
        <v>16861</v>
      </c>
      <c r="K389" s="7" t="s">
        <v>175</v>
      </c>
      <c r="L389" s="201" t="s">
        <v>16835</v>
      </c>
      <c r="M389" s="199"/>
      <c r="N389" s="199"/>
    </row>
    <row r="390">
      <c r="A390" s="193" t="s">
        <v>17362</v>
      </c>
      <c r="B390" s="7" t="s">
        <v>158</v>
      </c>
      <c r="C390" s="7" t="s">
        <v>16870</v>
      </c>
      <c r="D390" s="199"/>
      <c r="E390" s="193"/>
      <c r="F390" s="195" t="s">
        <v>17363</v>
      </c>
      <c r="G390" s="196">
        <v>4.9908560428E10</v>
      </c>
      <c r="H390" s="197">
        <v>113.44</v>
      </c>
      <c r="I390" s="7" t="s">
        <v>17316</v>
      </c>
      <c r="J390" s="7" t="s">
        <v>158</v>
      </c>
      <c r="K390" s="7" t="s">
        <v>16870</v>
      </c>
      <c r="L390" s="198" t="s">
        <v>65</v>
      </c>
      <c r="M390" s="199"/>
      <c r="N390" s="199"/>
    </row>
    <row r="391">
      <c r="A391" s="193" t="s">
        <v>17362</v>
      </c>
      <c r="B391" s="7" t="s">
        <v>16870</v>
      </c>
      <c r="C391" s="7" t="s">
        <v>158</v>
      </c>
      <c r="D391" s="199"/>
      <c r="E391" s="193"/>
      <c r="F391" s="195" t="s">
        <v>17363</v>
      </c>
      <c r="G391" s="200">
        <v>4.9908560428E10</v>
      </c>
      <c r="H391" s="197">
        <v>113.44</v>
      </c>
      <c r="I391" s="7" t="s">
        <v>16815</v>
      </c>
      <c r="J391" s="7" t="s">
        <v>16870</v>
      </c>
      <c r="K391" s="7" t="s">
        <v>158</v>
      </c>
      <c r="L391" s="201" t="s">
        <v>16835</v>
      </c>
      <c r="M391" s="199"/>
      <c r="N391" s="199"/>
    </row>
    <row r="392">
      <c r="A392" s="193" t="s">
        <v>17364</v>
      </c>
      <c r="B392" s="7" t="s">
        <v>16919</v>
      </c>
      <c r="C392" s="7" t="s">
        <v>110</v>
      </c>
      <c r="D392" s="194">
        <v>1998.0</v>
      </c>
      <c r="E392" s="193"/>
      <c r="F392" s="195" t="s">
        <v>17365</v>
      </c>
      <c r="G392" s="196">
        <v>4.9646493808E10</v>
      </c>
      <c r="H392" s="197">
        <v>157.79</v>
      </c>
      <c r="I392" s="7" t="s">
        <v>16815</v>
      </c>
      <c r="J392" s="7" t="s">
        <v>16919</v>
      </c>
      <c r="K392" s="7" t="s">
        <v>110</v>
      </c>
      <c r="L392" s="198" t="s">
        <v>65</v>
      </c>
      <c r="M392" s="194"/>
      <c r="N392" s="194"/>
    </row>
    <row r="393">
      <c r="A393" s="193" t="s">
        <v>17364</v>
      </c>
      <c r="B393" s="7" t="s">
        <v>110</v>
      </c>
      <c r="C393" s="7" t="s">
        <v>16919</v>
      </c>
      <c r="D393" s="194">
        <v>1998.0</v>
      </c>
      <c r="E393" s="193"/>
      <c r="F393" s="195" t="s">
        <v>17365</v>
      </c>
      <c r="G393" s="200">
        <v>4.9646493808E10</v>
      </c>
      <c r="H393" s="197">
        <v>157.79</v>
      </c>
      <c r="I393" s="7" t="s">
        <v>16815</v>
      </c>
      <c r="J393" s="7" t="s">
        <v>110</v>
      </c>
      <c r="K393" s="7" t="s">
        <v>16919</v>
      </c>
      <c r="L393" s="201" t="s">
        <v>16835</v>
      </c>
      <c r="M393" s="194"/>
      <c r="N393" s="194"/>
    </row>
    <row r="394">
      <c r="A394" s="193" t="s">
        <v>17366</v>
      </c>
      <c r="B394" s="7" t="s">
        <v>16582</v>
      </c>
      <c r="C394" s="7" t="s">
        <v>17013</v>
      </c>
      <c r="D394" s="199"/>
      <c r="E394" s="193"/>
      <c r="F394" s="195" t="s">
        <v>17367</v>
      </c>
      <c r="G394" s="196">
        <v>4.943475E10</v>
      </c>
      <c r="H394" s="197">
        <v>86.5</v>
      </c>
      <c r="I394" s="7" t="s">
        <v>16815</v>
      </c>
      <c r="J394" s="7" t="s">
        <v>16582</v>
      </c>
      <c r="K394" s="7" t="s">
        <v>17013</v>
      </c>
      <c r="L394" s="198" t="s">
        <v>65</v>
      </c>
      <c r="M394" s="199"/>
      <c r="N394" s="199"/>
    </row>
    <row r="395">
      <c r="A395" s="193" t="s">
        <v>17366</v>
      </c>
      <c r="B395" s="7" t="s">
        <v>17013</v>
      </c>
      <c r="C395" s="7" t="s">
        <v>16582</v>
      </c>
      <c r="D395" s="199"/>
      <c r="E395" s="193"/>
      <c r="F395" s="195" t="s">
        <v>17367</v>
      </c>
      <c r="G395" s="200">
        <v>4.943475E10</v>
      </c>
      <c r="H395" s="197">
        <v>86.5</v>
      </c>
      <c r="I395" s="7" t="s">
        <v>16815</v>
      </c>
      <c r="J395" s="7" t="s">
        <v>17013</v>
      </c>
      <c r="K395" s="7" t="s">
        <v>16582</v>
      </c>
      <c r="L395" s="201" t="s">
        <v>16835</v>
      </c>
      <c r="M395" s="199"/>
      <c r="N395" s="199"/>
    </row>
    <row r="396">
      <c r="A396" s="193" t="s">
        <v>17368</v>
      </c>
      <c r="B396" s="7" t="s">
        <v>16838</v>
      </c>
      <c r="C396" s="7" t="s">
        <v>17002</v>
      </c>
      <c r="D396" s="194">
        <v>1997.0</v>
      </c>
      <c r="E396" s="193"/>
      <c r="F396" s="195" t="s">
        <v>17369</v>
      </c>
      <c r="G396" s="196">
        <v>4.892946332E10</v>
      </c>
      <c r="H396" s="197">
        <v>13.13</v>
      </c>
      <c r="I396" s="7" t="s">
        <v>16815</v>
      </c>
      <c r="J396" s="7" t="s">
        <v>16838</v>
      </c>
      <c r="K396" s="7" t="s">
        <v>17002</v>
      </c>
      <c r="L396" s="198" t="s">
        <v>65</v>
      </c>
      <c r="M396" s="194"/>
      <c r="N396" s="194"/>
    </row>
    <row r="397">
      <c r="A397" s="193" t="s">
        <v>17368</v>
      </c>
      <c r="B397" s="7" t="s">
        <v>17002</v>
      </c>
      <c r="C397" s="7" t="s">
        <v>16838</v>
      </c>
      <c r="D397" s="194">
        <v>1997.0</v>
      </c>
      <c r="E397" s="193"/>
      <c r="F397" s="195" t="s">
        <v>17369</v>
      </c>
      <c r="G397" s="200">
        <v>4.892946332E10</v>
      </c>
      <c r="H397" s="197">
        <v>13.13</v>
      </c>
      <c r="I397" s="7" t="s">
        <v>16815</v>
      </c>
      <c r="J397" s="7" t="s">
        <v>17002</v>
      </c>
      <c r="K397" s="7" t="s">
        <v>16838</v>
      </c>
      <c r="L397" s="201" t="s">
        <v>16835</v>
      </c>
      <c r="M397" s="194"/>
      <c r="N397" s="194"/>
    </row>
    <row r="398">
      <c r="A398" s="193" t="s">
        <v>17370</v>
      </c>
      <c r="B398" s="7" t="s">
        <v>16885</v>
      </c>
      <c r="C398" s="7" t="s">
        <v>16886</v>
      </c>
      <c r="D398" s="199"/>
      <c r="E398" s="193"/>
      <c r="F398" s="195" t="s">
        <v>17371</v>
      </c>
      <c r="G398" s="196">
        <v>4.8296353578E10</v>
      </c>
      <c r="H398" s="197">
        <v>33.68</v>
      </c>
      <c r="I398" s="7" t="s">
        <v>17372</v>
      </c>
      <c r="J398" s="7" t="s">
        <v>16885</v>
      </c>
      <c r="K398" s="7" t="s">
        <v>16886</v>
      </c>
      <c r="L398" s="198" t="s">
        <v>65</v>
      </c>
      <c r="M398" s="199"/>
      <c r="N398" s="199"/>
    </row>
    <row r="399">
      <c r="A399" s="193" t="s">
        <v>17370</v>
      </c>
      <c r="B399" s="7" t="s">
        <v>16886</v>
      </c>
      <c r="C399" s="7" t="s">
        <v>16885</v>
      </c>
      <c r="D399" s="199"/>
      <c r="E399" s="193"/>
      <c r="F399" s="195" t="s">
        <v>17371</v>
      </c>
      <c r="G399" s="200">
        <v>4.8296353578E10</v>
      </c>
      <c r="H399" s="197">
        <v>33.68</v>
      </c>
      <c r="I399" s="7" t="s">
        <v>16815</v>
      </c>
      <c r="J399" s="7" t="s">
        <v>16886</v>
      </c>
      <c r="K399" s="7" t="s">
        <v>16885</v>
      </c>
      <c r="L399" s="201" t="s">
        <v>16835</v>
      </c>
      <c r="M399" s="199"/>
      <c r="N399" s="199"/>
    </row>
    <row r="400">
      <c r="A400" s="193" t="s">
        <v>17373</v>
      </c>
      <c r="B400" s="7" t="s">
        <v>16919</v>
      </c>
      <c r="C400" s="7" t="s">
        <v>17176</v>
      </c>
      <c r="D400" s="199"/>
      <c r="E400" s="193"/>
      <c r="F400" s="195" t="s">
        <v>17374</v>
      </c>
      <c r="G400" s="196">
        <v>4.8253014012E10</v>
      </c>
      <c r="H400" s="197">
        <v>16.78</v>
      </c>
      <c r="I400" s="7" t="s">
        <v>16815</v>
      </c>
      <c r="J400" s="7" t="s">
        <v>16919</v>
      </c>
      <c r="K400" s="7" t="s">
        <v>17176</v>
      </c>
      <c r="L400" s="198" t="s">
        <v>65</v>
      </c>
      <c r="M400" s="199"/>
      <c r="N400" s="199"/>
    </row>
    <row r="401">
      <c r="A401" s="193" t="s">
        <v>17373</v>
      </c>
      <c r="B401" s="7" t="s">
        <v>17176</v>
      </c>
      <c r="C401" s="7" t="s">
        <v>16919</v>
      </c>
      <c r="D401" s="199"/>
      <c r="E401" s="193"/>
      <c r="F401" s="195" t="s">
        <v>17374</v>
      </c>
      <c r="G401" s="200">
        <v>4.8253014012E10</v>
      </c>
      <c r="H401" s="197">
        <v>16.78</v>
      </c>
      <c r="I401" s="7" t="s">
        <v>16815</v>
      </c>
      <c r="J401" s="7" t="s">
        <v>17176</v>
      </c>
      <c r="K401" s="7" t="s">
        <v>16919</v>
      </c>
      <c r="L401" s="201" t="s">
        <v>16835</v>
      </c>
      <c r="M401" s="199"/>
      <c r="N401" s="199"/>
    </row>
    <row r="402">
      <c r="A402" s="193" t="s">
        <v>17375</v>
      </c>
      <c r="B402" s="7" t="s">
        <v>16838</v>
      </c>
      <c r="C402" s="7" t="s">
        <v>17202</v>
      </c>
      <c r="D402" s="199"/>
      <c r="E402" s="193"/>
      <c r="F402" s="195" t="s">
        <v>17376</v>
      </c>
      <c r="G402" s="196">
        <v>4.8156105639E10</v>
      </c>
      <c r="H402" s="197">
        <v>84.96</v>
      </c>
      <c r="I402" s="7" t="s">
        <v>16924</v>
      </c>
      <c r="J402" s="7" t="s">
        <v>16838</v>
      </c>
      <c r="K402" s="7" t="s">
        <v>17202</v>
      </c>
      <c r="L402" s="198" t="s">
        <v>65</v>
      </c>
      <c r="M402" s="199"/>
      <c r="N402" s="199"/>
    </row>
    <row r="403">
      <c r="A403" s="193" t="s">
        <v>17375</v>
      </c>
      <c r="B403" s="7" t="s">
        <v>17202</v>
      </c>
      <c r="C403" s="7" t="s">
        <v>16838</v>
      </c>
      <c r="D403" s="199"/>
      <c r="E403" s="193"/>
      <c r="F403" s="195" t="s">
        <v>17376</v>
      </c>
      <c r="G403" s="200">
        <v>4.8156105639E10</v>
      </c>
      <c r="H403" s="197">
        <v>84.96</v>
      </c>
      <c r="I403" s="7" t="s">
        <v>16815</v>
      </c>
      <c r="J403" s="7" t="s">
        <v>17202</v>
      </c>
      <c r="K403" s="7" t="s">
        <v>16838</v>
      </c>
      <c r="L403" s="201" t="s">
        <v>16835</v>
      </c>
      <c r="M403" s="199"/>
      <c r="N403" s="199"/>
    </row>
    <row r="404">
      <c r="A404" s="193" t="s">
        <v>17377</v>
      </c>
      <c r="B404" s="7" t="s">
        <v>16582</v>
      </c>
      <c r="C404" s="7" t="s">
        <v>16828</v>
      </c>
      <c r="D404" s="194">
        <v>2010.0</v>
      </c>
      <c r="E404" s="193"/>
      <c r="F404" s="195" t="s">
        <v>17378</v>
      </c>
      <c r="G404" s="196">
        <v>4.8116675398E10</v>
      </c>
      <c r="H404" s="197">
        <v>186.67</v>
      </c>
      <c r="I404" s="7" t="s">
        <v>16815</v>
      </c>
      <c r="J404" s="7" t="s">
        <v>16582</v>
      </c>
      <c r="K404" s="7" t="s">
        <v>16828</v>
      </c>
      <c r="L404" s="198" t="s">
        <v>65</v>
      </c>
      <c r="M404" s="194"/>
      <c r="N404" s="194"/>
    </row>
    <row r="405">
      <c r="A405" s="193" t="s">
        <v>17379</v>
      </c>
      <c r="B405" s="7" t="s">
        <v>16867</v>
      </c>
      <c r="C405" s="7" t="s">
        <v>16838</v>
      </c>
      <c r="D405" s="199"/>
      <c r="E405" s="193"/>
      <c r="F405" s="195" t="s">
        <v>17380</v>
      </c>
      <c r="G405" s="200">
        <v>4.7972219877E10</v>
      </c>
      <c r="H405" s="197">
        <v>120.43</v>
      </c>
      <c r="I405" s="7" t="s">
        <v>16815</v>
      </c>
      <c r="J405" s="7" t="s">
        <v>16867</v>
      </c>
      <c r="K405" s="7" t="s">
        <v>16838</v>
      </c>
      <c r="L405" s="201" t="s">
        <v>16835</v>
      </c>
      <c r="M405" s="199"/>
      <c r="N405" s="199"/>
    </row>
    <row r="406">
      <c r="A406" s="193" t="s">
        <v>17379</v>
      </c>
      <c r="B406" s="7" t="s">
        <v>16838</v>
      </c>
      <c r="C406" s="7" t="s">
        <v>16867</v>
      </c>
      <c r="D406" s="199"/>
      <c r="E406" s="193"/>
      <c r="F406" s="195" t="s">
        <v>17380</v>
      </c>
      <c r="G406" s="196">
        <v>4.7972219877E10</v>
      </c>
      <c r="H406" s="197">
        <v>120.43</v>
      </c>
      <c r="I406" s="7" t="s">
        <v>16815</v>
      </c>
      <c r="J406" s="7" t="s">
        <v>16838</v>
      </c>
      <c r="K406" s="7" t="s">
        <v>16867</v>
      </c>
      <c r="L406" s="198" t="s">
        <v>65</v>
      </c>
      <c r="M406" s="199"/>
      <c r="N406" s="199"/>
    </row>
    <row r="407">
      <c r="A407" s="193" t="s">
        <v>17381</v>
      </c>
      <c r="B407" s="7" t="s">
        <v>175</v>
      </c>
      <c r="C407" s="7" t="s">
        <v>17286</v>
      </c>
      <c r="D407" s="199"/>
      <c r="E407" s="193"/>
      <c r="F407" s="195" t="s">
        <v>17382</v>
      </c>
      <c r="G407" s="196">
        <v>4.7786607798E10</v>
      </c>
      <c r="H407" s="197">
        <v>2702.34</v>
      </c>
      <c r="I407" s="7" t="s">
        <v>174</v>
      </c>
      <c r="J407" s="7" t="s">
        <v>175</v>
      </c>
      <c r="K407" s="7" t="s">
        <v>17286</v>
      </c>
      <c r="L407" s="198" t="s">
        <v>65</v>
      </c>
      <c r="M407" s="199"/>
      <c r="N407" s="199"/>
    </row>
    <row r="408">
      <c r="A408" s="193" t="s">
        <v>17381</v>
      </c>
      <c r="B408" s="7" t="s">
        <v>17286</v>
      </c>
      <c r="C408" s="7" t="s">
        <v>175</v>
      </c>
      <c r="D408" s="199"/>
      <c r="E408" s="193"/>
      <c r="F408" s="195" t="s">
        <v>17382</v>
      </c>
      <c r="G408" s="200">
        <v>4.7786607798E10</v>
      </c>
      <c r="H408" s="197">
        <v>2702.34</v>
      </c>
      <c r="I408" s="7" t="s">
        <v>16815</v>
      </c>
      <c r="J408" s="7" t="s">
        <v>17286</v>
      </c>
      <c r="K408" s="7" t="s">
        <v>175</v>
      </c>
      <c r="L408" s="201" t="s">
        <v>16835</v>
      </c>
      <c r="M408" s="199"/>
      <c r="N408" s="199"/>
    </row>
    <row r="409">
      <c r="A409" s="193" t="s">
        <v>17383</v>
      </c>
      <c r="B409" s="7" t="s">
        <v>16838</v>
      </c>
      <c r="C409" s="7" t="s">
        <v>17384</v>
      </c>
      <c r="D409" s="199"/>
      <c r="E409" s="193"/>
      <c r="F409" s="195" t="s">
        <v>17385</v>
      </c>
      <c r="G409" s="196">
        <v>4.7615273356E10</v>
      </c>
      <c r="H409" s="197">
        <v>81.48</v>
      </c>
      <c r="I409" s="7" t="s">
        <v>186</v>
      </c>
      <c r="J409" s="7" t="s">
        <v>16838</v>
      </c>
      <c r="K409" s="7" t="s">
        <v>17384</v>
      </c>
      <c r="L409" s="198" t="s">
        <v>65</v>
      </c>
      <c r="M409" s="199"/>
      <c r="N409" s="199"/>
    </row>
    <row r="410">
      <c r="A410" s="193" t="s">
        <v>17383</v>
      </c>
      <c r="B410" s="7" t="s">
        <v>17384</v>
      </c>
      <c r="C410" s="7" t="s">
        <v>16838</v>
      </c>
      <c r="D410" s="199"/>
      <c r="E410" s="193"/>
      <c r="F410" s="195" t="s">
        <v>17385</v>
      </c>
      <c r="G410" s="200">
        <v>4.7615273356E10</v>
      </c>
      <c r="H410" s="197">
        <v>81.48</v>
      </c>
      <c r="I410" s="7" t="s">
        <v>16815</v>
      </c>
      <c r="J410" s="7" t="s">
        <v>17384</v>
      </c>
      <c r="K410" s="7" t="s">
        <v>16838</v>
      </c>
      <c r="L410" s="201" t="s">
        <v>16835</v>
      </c>
      <c r="M410" s="199"/>
      <c r="N410" s="199"/>
    </row>
    <row r="411">
      <c r="A411" s="193" t="s">
        <v>17386</v>
      </c>
      <c r="B411" s="7" t="s">
        <v>16582</v>
      </c>
      <c r="C411" s="7" t="s">
        <v>16828</v>
      </c>
      <c r="D411" s="194">
        <v>2000.0</v>
      </c>
      <c r="E411" s="193"/>
      <c r="F411" s="195" t="s">
        <v>17387</v>
      </c>
      <c r="G411" s="196">
        <v>4.7126136E10</v>
      </c>
      <c r="H411" s="197">
        <v>54.62</v>
      </c>
      <c r="I411" s="7" t="s">
        <v>16815</v>
      </c>
      <c r="J411" s="7" t="s">
        <v>16582</v>
      </c>
      <c r="K411" s="7" t="s">
        <v>16828</v>
      </c>
      <c r="L411" s="198" t="s">
        <v>65</v>
      </c>
      <c r="M411" s="194"/>
      <c r="N411" s="194"/>
    </row>
    <row r="412">
      <c r="A412" s="193" t="s">
        <v>17388</v>
      </c>
      <c r="B412" s="7" t="s">
        <v>16582</v>
      </c>
      <c r="C412" s="7" t="s">
        <v>16817</v>
      </c>
      <c r="D412" s="194">
        <v>2019.0</v>
      </c>
      <c r="E412" s="193"/>
      <c r="F412" s="195" t="s">
        <v>17389</v>
      </c>
      <c r="G412" s="196">
        <v>4.6876511738E10</v>
      </c>
      <c r="H412" s="197">
        <v>196.31</v>
      </c>
      <c r="I412" s="7" t="s">
        <v>16815</v>
      </c>
      <c r="J412" s="7" t="s">
        <v>16582</v>
      </c>
      <c r="K412" s="7" t="s">
        <v>16817</v>
      </c>
      <c r="L412" s="198" t="s">
        <v>65</v>
      </c>
      <c r="M412" s="194"/>
      <c r="N412" s="194"/>
    </row>
    <row r="413">
      <c r="A413" s="193" t="s">
        <v>17390</v>
      </c>
      <c r="B413" s="7" t="s">
        <v>175</v>
      </c>
      <c r="C413" s="7" t="s">
        <v>17391</v>
      </c>
      <c r="D413" s="199"/>
      <c r="E413" s="193"/>
      <c r="F413" s="195" t="s">
        <v>17392</v>
      </c>
      <c r="G413" s="196">
        <v>4.6690949645E10</v>
      </c>
      <c r="H413" s="197">
        <v>43.44</v>
      </c>
      <c r="I413" s="7" t="s">
        <v>16856</v>
      </c>
      <c r="J413" s="7" t="s">
        <v>175</v>
      </c>
      <c r="K413" s="7" t="s">
        <v>17391</v>
      </c>
      <c r="L413" s="198" t="s">
        <v>65</v>
      </c>
      <c r="M413" s="199"/>
      <c r="N413" s="199"/>
    </row>
    <row r="414">
      <c r="A414" s="193" t="s">
        <v>17390</v>
      </c>
      <c r="B414" s="7" t="s">
        <v>17391</v>
      </c>
      <c r="C414" s="7" t="s">
        <v>175</v>
      </c>
      <c r="D414" s="199"/>
      <c r="E414" s="193"/>
      <c r="F414" s="195" t="s">
        <v>17392</v>
      </c>
      <c r="G414" s="200">
        <v>4.6690949645E10</v>
      </c>
      <c r="H414" s="197">
        <v>43.44</v>
      </c>
      <c r="I414" s="7" t="s">
        <v>16815</v>
      </c>
      <c r="J414" s="7" t="s">
        <v>17391</v>
      </c>
      <c r="K414" s="7" t="s">
        <v>175</v>
      </c>
      <c r="L414" s="201" t="s">
        <v>16835</v>
      </c>
      <c r="M414" s="199"/>
      <c r="N414" s="199"/>
    </row>
    <row r="415">
      <c r="A415" s="193" t="s">
        <v>17393</v>
      </c>
      <c r="B415" s="7" t="s">
        <v>175</v>
      </c>
      <c r="C415" s="7" t="s">
        <v>17394</v>
      </c>
      <c r="D415" s="194">
        <v>1994.0</v>
      </c>
      <c r="E415" s="193"/>
      <c r="F415" s="195" t="s">
        <v>17395</v>
      </c>
      <c r="G415" s="196">
        <v>4.6651939996E10</v>
      </c>
      <c r="H415" s="197">
        <v>48.73</v>
      </c>
      <c r="I415" s="7" t="s">
        <v>16908</v>
      </c>
      <c r="J415" s="7" t="s">
        <v>175</v>
      </c>
      <c r="K415" s="7" t="s">
        <v>17394</v>
      </c>
      <c r="L415" s="198" t="s">
        <v>65</v>
      </c>
      <c r="M415" s="194"/>
      <c r="N415" s="194"/>
    </row>
    <row r="416">
      <c r="A416" s="193" t="s">
        <v>17396</v>
      </c>
      <c r="B416" s="7" t="s">
        <v>175</v>
      </c>
      <c r="C416" s="7" t="s">
        <v>16842</v>
      </c>
      <c r="D416" s="199"/>
      <c r="E416" s="193"/>
      <c r="F416" s="195" t="s">
        <v>17397</v>
      </c>
      <c r="G416" s="196">
        <v>4.6166673815E10</v>
      </c>
      <c r="H416" s="197">
        <v>88.26</v>
      </c>
      <c r="I416" s="7" t="s">
        <v>168</v>
      </c>
      <c r="J416" s="7" t="s">
        <v>175</v>
      </c>
      <c r="K416" s="7" t="s">
        <v>16842</v>
      </c>
      <c r="L416" s="198" t="s">
        <v>65</v>
      </c>
      <c r="M416" s="199"/>
      <c r="N416" s="199"/>
    </row>
    <row r="417">
      <c r="A417" s="193" t="s">
        <v>17398</v>
      </c>
      <c r="B417" s="7" t="s">
        <v>17111</v>
      </c>
      <c r="C417" s="7" t="s">
        <v>17112</v>
      </c>
      <c r="D417" s="199"/>
      <c r="E417" s="193"/>
      <c r="F417" s="195" t="s">
        <v>17399</v>
      </c>
      <c r="G417" s="200">
        <v>4.6082625024E10</v>
      </c>
      <c r="H417" s="197">
        <v>85.98</v>
      </c>
      <c r="I417" s="7" t="s">
        <v>16815</v>
      </c>
      <c r="J417" s="7" t="s">
        <v>17111</v>
      </c>
      <c r="K417" s="7" t="s">
        <v>17112</v>
      </c>
      <c r="L417" s="201" t="s">
        <v>16835</v>
      </c>
      <c r="M417" s="199"/>
      <c r="N417" s="199"/>
    </row>
    <row r="418">
      <c r="A418" s="193" t="s">
        <v>17398</v>
      </c>
      <c r="B418" s="7" t="s">
        <v>17112</v>
      </c>
      <c r="C418" s="7" t="s">
        <v>17111</v>
      </c>
      <c r="D418" s="199"/>
      <c r="E418" s="193"/>
      <c r="F418" s="195" t="s">
        <v>17399</v>
      </c>
      <c r="G418" s="196">
        <v>4.6082625024E10</v>
      </c>
      <c r="H418" s="197">
        <v>85.98</v>
      </c>
      <c r="I418" s="7" t="s">
        <v>16815</v>
      </c>
      <c r="J418" s="7" t="s">
        <v>17112</v>
      </c>
      <c r="K418" s="7" t="s">
        <v>17111</v>
      </c>
      <c r="L418" s="198" t="s">
        <v>65</v>
      </c>
      <c r="M418" s="199"/>
      <c r="N418" s="199"/>
    </row>
    <row r="419">
      <c r="A419" s="193" t="s">
        <v>17400</v>
      </c>
      <c r="B419" s="7" t="s">
        <v>16582</v>
      </c>
      <c r="C419" s="7" t="s">
        <v>16817</v>
      </c>
      <c r="D419" s="194">
        <v>2015.0</v>
      </c>
      <c r="E419" s="193"/>
      <c r="F419" s="195" t="s">
        <v>17401</v>
      </c>
      <c r="G419" s="196">
        <v>4.5493188849E10</v>
      </c>
      <c r="H419" s="197">
        <v>176.29</v>
      </c>
      <c r="I419" s="7" t="s">
        <v>16815</v>
      </c>
      <c r="J419" s="7" t="s">
        <v>16582</v>
      </c>
      <c r="K419" s="7" t="s">
        <v>16817</v>
      </c>
      <c r="L419" s="198" t="s">
        <v>65</v>
      </c>
      <c r="M419" s="194"/>
      <c r="N419" s="194"/>
    </row>
    <row r="420">
      <c r="A420" s="193" t="s">
        <v>17402</v>
      </c>
      <c r="B420" s="7" t="s">
        <v>16582</v>
      </c>
      <c r="C420" s="7" t="s">
        <v>16817</v>
      </c>
      <c r="D420" s="199"/>
      <c r="E420" s="193"/>
      <c r="F420" s="195" t="s">
        <v>17403</v>
      </c>
      <c r="G420" s="196">
        <v>4.5014345627E10</v>
      </c>
      <c r="H420" s="197">
        <v>210.58</v>
      </c>
      <c r="I420" s="7" t="s">
        <v>16815</v>
      </c>
      <c r="J420" s="7" t="s">
        <v>16582</v>
      </c>
      <c r="K420" s="7" t="s">
        <v>16817</v>
      </c>
      <c r="L420" s="198" t="s">
        <v>65</v>
      </c>
      <c r="M420" s="199"/>
      <c r="N420" s="199"/>
    </row>
    <row r="421">
      <c r="A421" s="193" t="s">
        <v>17404</v>
      </c>
      <c r="B421" s="7" t="s">
        <v>16838</v>
      </c>
      <c r="C421" s="7" t="s">
        <v>17002</v>
      </c>
      <c r="D421" s="194">
        <v>2009.0</v>
      </c>
      <c r="E421" s="193"/>
      <c r="F421" s="195" t="s">
        <v>17405</v>
      </c>
      <c r="G421" s="196">
        <v>4.4914695335E10</v>
      </c>
      <c r="H421" s="197">
        <v>6.04</v>
      </c>
      <c r="I421" s="7" t="s">
        <v>16815</v>
      </c>
      <c r="J421" s="7" t="s">
        <v>16838</v>
      </c>
      <c r="K421" s="7" t="s">
        <v>17002</v>
      </c>
      <c r="L421" s="198" t="s">
        <v>65</v>
      </c>
      <c r="M421" s="194"/>
      <c r="N421" s="194"/>
    </row>
    <row r="422">
      <c r="A422" s="193" t="s">
        <v>17404</v>
      </c>
      <c r="B422" s="7" t="s">
        <v>17002</v>
      </c>
      <c r="C422" s="7" t="s">
        <v>16838</v>
      </c>
      <c r="D422" s="194">
        <v>2009.0</v>
      </c>
      <c r="E422" s="193"/>
      <c r="F422" s="195" t="s">
        <v>17405</v>
      </c>
      <c r="G422" s="200">
        <v>4.4914695335E10</v>
      </c>
      <c r="H422" s="197">
        <v>6.04</v>
      </c>
      <c r="I422" s="7" t="s">
        <v>16815</v>
      </c>
      <c r="J422" s="7" t="s">
        <v>17002</v>
      </c>
      <c r="K422" s="7" t="s">
        <v>16838</v>
      </c>
      <c r="L422" s="201" t="s">
        <v>16835</v>
      </c>
      <c r="M422" s="194"/>
      <c r="N422" s="194"/>
    </row>
    <row r="423">
      <c r="A423" s="193" t="s">
        <v>17406</v>
      </c>
      <c r="B423" s="7" t="s">
        <v>16838</v>
      </c>
      <c r="C423" s="7" t="s">
        <v>17347</v>
      </c>
      <c r="D423" s="199"/>
      <c r="E423" s="193"/>
      <c r="F423" s="195" t="s">
        <v>17407</v>
      </c>
      <c r="G423" s="196">
        <v>4.480421469E10</v>
      </c>
      <c r="H423" s="197">
        <v>63.82</v>
      </c>
      <c r="I423" s="7" t="s">
        <v>186</v>
      </c>
      <c r="J423" s="7" t="s">
        <v>16838</v>
      </c>
      <c r="K423" s="7" t="s">
        <v>17347</v>
      </c>
      <c r="L423" s="198" t="s">
        <v>65</v>
      </c>
      <c r="M423" s="199"/>
      <c r="N423" s="199"/>
    </row>
    <row r="424">
      <c r="A424" s="193" t="s">
        <v>17406</v>
      </c>
      <c r="B424" s="7" t="s">
        <v>17347</v>
      </c>
      <c r="C424" s="7" t="s">
        <v>16838</v>
      </c>
      <c r="D424" s="199"/>
      <c r="E424" s="193"/>
      <c r="F424" s="195" t="s">
        <v>17407</v>
      </c>
      <c r="G424" s="200">
        <v>4.480421469E10</v>
      </c>
      <c r="H424" s="197">
        <v>63.82</v>
      </c>
      <c r="I424" s="7" t="s">
        <v>16815</v>
      </c>
      <c r="J424" s="7" t="s">
        <v>17347</v>
      </c>
      <c r="K424" s="7" t="s">
        <v>16838</v>
      </c>
      <c r="L424" s="201" t="s">
        <v>16835</v>
      </c>
      <c r="M424" s="199"/>
      <c r="N424" s="199"/>
    </row>
    <row r="425">
      <c r="A425" s="193" t="s">
        <v>17408</v>
      </c>
      <c r="B425" s="7" t="s">
        <v>17347</v>
      </c>
      <c r="C425" s="7" t="s">
        <v>16838</v>
      </c>
      <c r="D425" s="194">
        <v>2000.0</v>
      </c>
      <c r="E425" s="193"/>
      <c r="F425" s="195" t="s">
        <v>17409</v>
      </c>
      <c r="G425" s="200">
        <v>4.4774106952E10</v>
      </c>
      <c r="H425" s="197">
        <v>60.49</v>
      </c>
      <c r="I425" s="7" t="s">
        <v>16815</v>
      </c>
      <c r="J425" s="7" t="s">
        <v>17347</v>
      </c>
      <c r="K425" s="7" t="s">
        <v>16838</v>
      </c>
      <c r="L425" s="201" t="s">
        <v>16835</v>
      </c>
      <c r="M425" s="194"/>
      <c r="N425" s="194"/>
    </row>
    <row r="426">
      <c r="A426" s="193" t="s">
        <v>17408</v>
      </c>
      <c r="B426" s="7" t="s">
        <v>16838</v>
      </c>
      <c r="C426" s="7" t="s">
        <v>17347</v>
      </c>
      <c r="D426" s="194">
        <v>2000.0</v>
      </c>
      <c r="E426" s="193"/>
      <c r="F426" s="195" t="s">
        <v>17409</v>
      </c>
      <c r="G426" s="196">
        <v>4.4774106952E10</v>
      </c>
      <c r="H426" s="197">
        <v>60.49</v>
      </c>
      <c r="I426" s="7" t="s">
        <v>16815</v>
      </c>
      <c r="J426" s="7" t="s">
        <v>16838</v>
      </c>
      <c r="K426" s="7" t="s">
        <v>17347</v>
      </c>
      <c r="L426" s="198" t="s">
        <v>65</v>
      </c>
      <c r="M426" s="194"/>
      <c r="N426" s="194"/>
    </row>
    <row r="427">
      <c r="A427" s="193" t="s">
        <v>17410</v>
      </c>
      <c r="B427" s="7" t="s">
        <v>17009</v>
      </c>
      <c r="C427" s="7" t="s">
        <v>169</v>
      </c>
      <c r="D427" s="199"/>
      <c r="E427" s="193"/>
      <c r="F427" s="195" t="s">
        <v>17411</v>
      </c>
      <c r="G427" s="200">
        <v>4.4521721438E10</v>
      </c>
      <c r="H427" s="197">
        <v>196.88</v>
      </c>
      <c r="I427" s="7" t="s">
        <v>16815</v>
      </c>
      <c r="J427" s="7" t="s">
        <v>17009</v>
      </c>
      <c r="K427" s="7" t="s">
        <v>169</v>
      </c>
      <c r="L427" s="201" t="s">
        <v>16835</v>
      </c>
      <c r="M427" s="199"/>
      <c r="N427" s="199"/>
    </row>
    <row r="428">
      <c r="A428" s="193" t="s">
        <v>17410</v>
      </c>
      <c r="B428" s="7" t="s">
        <v>169</v>
      </c>
      <c r="C428" s="7" t="s">
        <v>17009</v>
      </c>
      <c r="D428" s="199"/>
      <c r="E428" s="193"/>
      <c r="F428" s="195" t="s">
        <v>17411</v>
      </c>
      <c r="G428" s="196">
        <v>4.4521721438E10</v>
      </c>
      <c r="H428" s="197">
        <v>196.88</v>
      </c>
      <c r="I428" s="7" t="s">
        <v>16815</v>
      </c>
      <c r="J428" s="7" t="s">
        <v>169</v>
      </c>
      <c r="K428" s="7" t="s">
        <v>17009</v>
      </c>
      <c r="L428" s="198" t="s">
        <v>65</v>
      </c>
      <c r="M428" s="199"/>
      <c r="N428" s="199"/>
    </row>
    <row r="429">
      <c r="A429" s="193" t="s">
        <v>17412</v>
      </c>
      <c r="B429" s="7" t="s">
        <v>16919</v>
      </c>
      <c r="C429" s="7" t="s">
        <v>17413</v>
      </c>
      <c r="D429" s="199"/>
      <c r="E429" s="193"/>
      <c r="F429" s="195" t="s">
        <v>17414</v>
      </c>
      <c r="G429" s="196">
        <v>4.42669356E10</v>
      </c>
      <c r="H429" s="197">
        <v>70.34</v>
      </c>
      <c r="I429" s="7" t="s">
        <v>16815</v>
      </c>
      <c r="J429" s="7" t="s">
        <v>16919</v>
      </c>
      <c r="K429" s="7" t="s">
        <v>17413</v>
      </c>
      <c r="L429" s="198" t="s">
        <v>65</v>
      </c>
      <c r="M429" s="199"/>
      <c r="N429" s="199"/>
    </row>
    <row r="430">
      <c r="A430" s="193" t="s">
        <v>17412</v>
      </c>
      <c r="B430" s="7" t="s">
        <v>17413</v>
      </c>
      <c r="C430" s="7" t="s">
        <v>16919</v>
      </c>
      <c r="D430" s="199"/>
      <c r="E430" s="193"/>
      <c r="F430" s="195" t="s">
        <v>17414</v>
      </c>
      <c r="G430" s="200">
        <v>4.42669356E10</v>
      </c>
      <c r="H430" s="197">
        <v>70.34</v>
      </c>
      <c r="I430" s="7" t="s">
        <v>16815</v>
      </c>
      <c r="J430" s="7" t="s">
        <v>17413</v>
      </c>
      <c r="K430" s="7" t="s">
        <v>16919</v>
      </c>
      <c r="L430" s="201" t="s">
        <v>16835</v>
      </c>
      <c r="M430" s="199"/>
      <c r="N430" s="199"/>
    </row>
    <row r="431">
      <c r="A431" s="193" t="s">
        <v>17415</v>
      </c>
      <c r="B431" s="7" t="s">
        <v>16910</v>
      </c>
      <c r="C431" s="7" t="s">
        <v>16911</v>
      </c>
      <c r="D431" s="199"/>
      <c r="E431" s="193"/>
      <c r="F431" s="195" t="s">
        <v>17416</v>
      </c>
      <c r="G431" s="196">
        <v>4.3959714853E10</v>
      </c>
      <c r="H431" s="197">
        <v>239.32</v>
      </c>
      <c r="I431" s="7" t="s">
        <v>17063</v>
      </c>
      <c r="J431" s="7" t="s">
        <v>16910</v>
      </c>
      <c r="K431" s="7" t="s">
        <v>16911</v>
      </c>
      <c r="L431" s="198" t="s">
        <v>65</v>
      </c>
      <c r="M431" s="199"/>
      <c r="N431" s="199"/>
    </row>
    <row r="432">
      <c r="A432" s="193" t="s">
        <v>17415</v>
      </c>
      <c r="B432" s="7" t="s">
        <v>16911</v>
      </c>
      <c r="C432" s="7" t="s">
        <v>16910</v>
      </c>
      <c r="D432" s="199"/>
      <c r="E432" s="193"/>
      <c r="F432" s="195" t="s">
        <v>17416</v>
      </c>
      <c r="G432" s="200">
        <v>4.3959714853E10</v>
      </c>
      <c r="H432" s="197">
        <v>239.32</v>
      </c>
      <c r="I432" s="7" t="s">
        <v>16815</v>
      </c>
      <c r="J432" s="7" t="s">
        <v>16911</v>
      </c>
      <c r="K432" s="7" t="s">
        <v>16910</v>
      </c>
      <c r="L432" s="201" t="s">
        <v>16835</v>
      </c>
      <c r="M432" s="199"/>
      <c r="N432" s="199"/>
    </row>
    <row r="433">
      <c r="A433" s="193" t="s">
        <v>17417</v>
      </c>
      <c r="B433" s="7" t="s">
        <v>158</v>
      </c>
      <c r="C433" s="7" t="s">
        <v>16864</v>
      </c>
      <c r="D433" s="199"/>
      <c r="E433" s="193"/>
      <c r="F433" s="195" t="s">
        <v>17418</v>
      </c>
      <c r="G433" s="196">
        <v>4.3489606371E10</v>
      </c>
      <c r="H433" s="197">
        <v>141.59</v>
      </c>
      <c r="I433" s="7" t="s">
        <v>17419</v>
      </c>
      <c r="J433" s="7" t="s">
        <v>158</v>
      </c>
      <c r="K433" s="7" t="s">
        <v>16864</v>
      </c>
      <c r="L433" s="198" t="s">
        <v>65</v>
      </c>
      <c r="M433" s="199"/>
      <c r="N433" s="199"/>
    </row>
    <row r="434">
      <c r="A434" s="193" t="s">
        <v>17417</v>
      </c>
      <c r="B434" s="7" t="s">
        <v>16864</v>
      </c>
      <c r="C434" s="7" t="s">
        <v>158</v>
      </c>
      <c r="D434" s="199"/>
      <c r="E434" s="193"/>
      <c r="F434" s="195" t="s">
        <v>17418</v>
      </c>
      <c r="G434" s="200">
        <v>4.3489606371E10</v>
      </c>
      <c r="H434" s="197">
        <v>141.59</v>
      </c>
      <c r="I434" s="7" t="s">
        <v>16815</v>
      </c>
      <c r="J434" s="7" t="s">
        <v>16864</v>
      </c>
      <c r="K434" s="7" t="s">
        <v>158</v>
      </c>
      <c r="L434" s="201" t="s">
        <v>16835</v>
      </c>
      <c r="M434" s="199"/>
      <c r="N434" s="199"/>
    </row>
    <row r="435">
      <c r="A435" s="193" t="s">
        <v>17420</v>
      </c>
      <c r="B435" s="7" t="s">
        <v>16910</v>
      </c>
      <c r="C435" s="7" t="s">
        <v>16911</v>
      </c>
      <c r="D435" s="199"/>
      <c r="E435" s="193"/>
      <c r="F435" s="195" t="s">
        <v>17421</v>
      </c>
      <c r="G435" s="196">
        <v>4.330646911E10</v>
      </c>
      <c r="H435" s="197">
        <v>30.97</v>
      </c>
      <c r="I435" s="7" t="s">
        <v>127</v>
      </c>
      <c r="J435" s="7" t="s">
        <v>16910</v>
      </c>
      <c r="K435" s="7" t="s">
        <v>16911</v>
      </c>
      <c r="L435" s="198" t="s">
        <v>65</v>
      </c>
      <c r="M435" s="199"/>
      <c r="N435" s="199"/>
    </row>
    <row r="436">
      <c r="A436" s="193" t="s">
        <v>17422</v>
      </c>
      <c r="B436" s="7" t="s">
        <v>169</v>
      </c>
      <c r="C436" s="7" t="s">
        <v>16899</v>
      </c>
      <c r="D436" s="194">
        <v>2020.0</v>
      </c>
      <c r="E436" s="193"/>
      <c r="F436" s="195" t="s">
        <v>17423</v>
      </c>
      <c r="G436" s="196">
        <v>4.3210898819E10</v>
      </c>
      <c r="H436" s="197">
        <v>51.5</v>
      </c>
      <c r="I436" s="7" t="s">
        <v>16815</v>
      </c>
      <c r="J436" s="7" t="s">
        <v>169</v>
      </c>
      <c r="K436" s="7" t="s">
        <v>16899</v>
      </c>
      <c r="L436" s="198" t="s">
        <v>65</v>
      </c>
      <c r="M436" s="194"/>
      <c r="N436" s="194"/>
    </row>
    <row r="437">
      <c r="A437" s="193" t="s">
        <v>17422</v>
      </c>
      <c r="B437" s="7" t="s">
        <v>16899</v>
      </c>
      <c r="C437" s="7" t="s">
        <v>169</v>
      </c>
      <c r="D437" s="194">
        <v>2020.0</v>
      </c>
      <c r="E437" s="193"/>
      <c r="F437" s="195" t="s">
        <v>17423</v>
      </c>
      <c r="G437" s="200">
        <v>4.3210898819E10</v>
      </c>
      <c r="H437" s="197">
        <v>51.5</v>
      </c>
      <c r="I437" s="7" t="s">
        <v>16815</v>
      </c>
      <c r="J437" s="7" t="s">
        <v>16899</v>
      </c>
      <c r="K437" s="7" t="s">
        <v>169</v>
      </c>
      <c r="L437" s="201" t="s">
        <v>16835</v>
      </c>
      <c r="M437" s="194"/>
      <c r="N437" s="194"/>
    </row>
    <row r="438">
      <c r="A438" s="193"/>
      <c r="D438" s="199"/>
      <c r="E438" s="193"/>
      <c r="F438" s="195"/>
      <c r="G438" s="196"/>
      <c r="H438" s="197"/>
      <c r="L438" s="198"/>
      <c r="M438" s="199"/>
      <c r="N438" s="199"/>
    </row>
    <row r="439">
      <c r="A439" s="193" t="s">
        <v>17424</v>
      </c>
      <c r="D439" s="199"/>
      <c r="E439" s="193"/>
      <c r="F439" s="195" t="s">
        <v>17425</v>
      </c>
      <c r="G439" s="200">
        <v>4.3147870036E10</v>
      </c>
      <c r="H439" s="197">
        <v>33.18</v>
      </c>
      <c r="L439" s="201" t="s">
        <v>16835</v>
      </c>
      <c r="M439" s="199"/>
      <c r="N439" s="199"/>
    </row>
    <row r="440">
      <c r="A440" s="193" t="s">
        <v>17426</v>
      </c>
      <c r="B440" s="7" t="s">
        <v>17111</v>
      </c>
      <c r="C440" s="7" t="s">
        <v>17112</v>
      </c>
      <c r="D440" s="199"/>
      <c r="E440" s="193"/>
      <c r="F440" s="195" t="s">
        <v>17427</v>
      </c>
      <c r="G440" s="200">
        <v>4.3041175734E10</v>
      </c>
      <c r="H440" s="197">
        <v>244.78</v>
      </c>
      <c r="I440" s="7" t="s">
        <v>16815</v>
      </c>
      <c r="J440" s="7" t="s">
        <v>17111</v>
      </c>
      <c r="K440" s="7" t="s">
        <v>17112</v>
      </c>
      <c r="L440" s="201" t="s">
        <v>16835</v>
      </c>
      <c r="M440" s="199"/>
      <c r="N440" s="199"/>
    </row>
    <row r="441">
      <c r="A441" s="193"/>
      <c r="D441" s="199"/>
      <c r="E441" s="193"/>
      <c r="F441" s="195"/>
      <c r="G441" s="196"/>
      <c r="H441" s="197"/>
      <c r="L441" s="198"/>
      <c r="M441" s="199"/>
      <c r="N441" s="199"/>
    </row>
    <row r="442">
      <c r="A442" s="193" t="s">
        <v>17428</v>
      </c>
      <c r="B442" s="7" t="s">
        <v>169</v>
      </c>
      <c r="C442" s="7" t="s">
        <v>17043</v>
      </c>
      <c r="D442" s="194">
        <v>1991.0</v>
      </c>
      <c r="E442" s="193"/>
      <c r="F442" s="195" t="s">
        <v>17429</v>
      </c>
      <c r="G442" s="196">
        <v>4.284129397E10</v>
      </c>
      <c r="H442" s="197">
        <v>392.63</v>
      </c>
      <c r="I442" s="7" t="s">
        <v>16815</v>
      </c>
      <c r="J442" s="7" t="s">
        <v>169</v>
      </c>
      <c r="K442" s="7" t="s">
        <v>17043</v>
      </c>
      <c r="L442" s="198" t="s">
        <v>65</v>
      </c>
      <c r="M442" s="194"/>
      <c r="N442" s="194"/>
    </row>
    <row r="443">
      <c r="A443" s="193"/>
      <c r="D443" s="194"/>
      <c r="E443" s="193"/>
      <c r="F443" s="195"/>
      <c r="G443" s="196"/>
      <c r="H443" s="197"/>
      <c r="L443" s="198"/>
      <c r="M443" s="194"/>
      <c r="N443" s="194"/>
    </row>
    <row r="444">
      <c r="A444" s="193" t="s">
        <v>17430</v>
      </c>
      <c r="B444" s="7" t="s">
        <v>16911</v>
      </c>
      <c r="C444" s="7" t="s">
        <v>16910</v>
      </c>
      <c r="D444" s="194">
        <v>2013.0</v>
      </c>
      <c r="E444" s="193"/>
      <c r="F444" s="195" t="s">
        <v>17431</v>
      </c>
      <c r="G444" s="200">
        <v>4.2840589835E10</v>
      </c>
      <c r="H444" s="197">
        <v>2.72</v>
      </c>
      <c r="I444" s="7" t="s">
        <v>16815</v>
      </c>
      <c r="J444" s="7" t="s">
        <v>16911</v>
      </c>
      <c r="K444" s="7" t="s">
        <v>16910</v>
      </c>
      <c r="L444" s="201" t="s">
        <v>16835</v>
      </c>
      <c r="M444" s="194"/>
      <c r="N444" s="194"/>
    </row>
    <row r="445">
      <c r="A445" s="193"/>
      <c r="D445" s="199"/>
      <c r="E445" s="193"/>
      <c r="F445" s="195"/>
      <c r="G445" s="196"/>
      <c r="H445" s="197"/>
      <c r="L445" s="198"/>
      <c r="M445" s="199"/>
      <c r="N445" s="199"/>
    </row>
    <row r="446">
      <c r="A446" s="193" t="s">
        <v>17432</v>
      </c>
      <c r="B446" s="7" t="s">
        <v>17048</v>
      </c>
      <c r="C446" s="7" t="s">
        <v>16919</v>
      </c>
      <c r="D446" s="199"/>
      <c r="E446" s="193"/>
      <c r="F446" s="195" t="s">
        <v>17433</v>
      </c>
      <c r="G446" s="200">
        <v>4.2822776788E10</v>
      </c>
      <c r="H446" s="197">
        <v>63.95</v>
      </c>
      <c r="I446" s="7" t="s">
        <v>16815</v>
      </c>
      <c r="J446" s="7" t="s">
        <v>17048</v>
      </c>
      <c r="K446" s="7" t="s">
        <v>16919</v>
      </c>
      <c r="L446" s="201" t="s">
        <v>16835</v>
      </c>
      <c r="M446" s="199"/>
      <c r="N446" s="199"/>
    </row>
    <row r="447">
      <c r="A447" s="193"/>
      <c r="D447" s="194"/>
      <c r="E447" s="193"/>
      <c r="F447" s="195"/>
      <c r="G447" s="196"/>
      <c r="H447" s="197"/>
      <c r="L447" s="198"/>
      <c r="M447" s="194"/>
      <c r="N447" s="194"/>
    </row>
    <row r="448">
      <c r="A448" s="193" t="s">
        <v>17434</v>
      </c>
      <c r="B448" s="7" t="s">
        <v>17435</v>
      </c>
      <c r="C448" s="7" t="s">
        <v>16582</v>
      </c>
      <c r="D448" s="194">
        <v>2020.0</v>
      </c>
      <c r="E448" s="193"/>
      <c r="F448" s="195" t="s">
        <v>17436</v>
      </c>
      <c r="G448" s="200">
        <v>4.2801710888E10</v>
      </c>
      <c r="H448" s="197">
        <v>19.67</v>
      </c>
      <c r="I448" s="7" t="s">
        <v>16815</v>
      </c>
      <c r="J448" s="7" t="s">
        <v>17435</v>
      </c>
      <c r="K448" s="7" t="s">
        <v>16582</v>
      </c>
      <c r="L448" s="201" t="s">
        <v>16835</v>
      </c>
      <c r="M448" s="194"/>
      <c r="N448" s="194"/>
    </row>
    <row r="449">
      <c r="A449" s="193" t="s">
        <v>17437</v>
      </c>
      <c r="B449" s="7" t="s">
        <v>187</v>
      </c>
      <c r="C449" s="7" t="s">
        <v>16846</v>
      </c>
      <c r="D449" s="194">
        <v>2018.0</v>
      </c>
      <c r="E449" s="193"/>
      <c r="F449" s="195" t="s">
        <v>17438</v>
      </c>
      <c r="G449" s="196">
        <v>4.2448878129E10</v>
      </c>
      <c r="H449" s="197">
        <v>13.69</v>
      </c>
      <c r="I449" s="7" t="s">
        <v>16815</v>
      </c>
      <c r="J449" s="7" t="s">
        <v>187</v>
      </c>
      <c r="K449" s="7" t="s">
        <v>16846</v>
      </c>
      <c r="L449" s="198" t="s">
        <v>65</v>
      </c>
      <c r="M449" s="194"/>
      <c r="N449" s="194"/>
    </row>
    <row r="450">
      <c r="A450" s="193" t="s">
        <v>17437</v>
      </c>
      <c r="B450" s="7" t="s">
        <v>16846</v>
      </c>
      <c r="C450" s="7" t="s">
        <v>187</v>
      </c>
      <c r="D450" s="194">
        <v>2018.0</v>
      </c>
      <c r="E450" s="193"/>
      <c r="F450" s="195" t="s">
        <v>17438</v>
      </c>
      <c r="G450" s="200">
        <v>4.2448878129E10</v>
      </c>
      <c r="H450" s="197">
        <v>13.69</v>
      </c>
      <c r="I450" s="7" t="s">
        <v>16815</v>
      </c>
      <c r="J450" s="7" t="s">
        <v>16846</v>
      </c>
      <c r="K450" s="7" t="s">
        <v>187</v>
      </c>
      <c r="L450" s="201" t="s">
        <v>16835</v>
      </c>
      <c r="M450" s="194"/>
      <c r="N450" s="194"/>
    </row>
    <row r="451">
      <c r="A451" s="193" t="s">
        <v>17439</v>
      </c>
      <c r="B451" s="7" t="s">
        <v>16919</v>
      </c>
      <c r="C451" s="7" t="s">
        <v>16920</v>
      </c>
      <c r="D451" s="199"/>
      <c r="E451" s="193"/>
      <c r="F451" s="195" t="s">
        <v>17440</v>
      </c>
      <c r="G451" s="196">
        <v>4.2431473679E10</v>
      </c>
      <c r="H451" s="197">
        <v>34.88</v>
      </c>
      <c r="I451" s="7" t="s">
        <v>16815</v>
      </c>
      <c r="J451" s="7" t="s">
        <v>16919</v>
      </c>
      <c r="K451" s="7" t="s">
        <v>16920</v>
      </c>
      <c r="L451" s="198" t="s">
        <v>65</v>
      </c>
      <c r="M451" s="199"/>
      <c r="N451" s="199"/>
    </row>
    <row r="452">
      <c r="A452" s="193" t="s">
        <v>17439</v>
      </c>
      <c r="B452" s="7" t="s">
        <v>16920</v>
      </c>
      <c r="C452" s="7" t="s">
        <v>16919</v>
      </c>
      <c r="D452" s="199"/>
      <c r="E452" s="193"/>
      <c r="F452" s="195" t="s">
        <v>17440</v>
      </c>
      <c r="G452" s="200">
        <v>4.2431473679E10</v>
      </c>
      <c r="H452" s="197">
        <v>34.88</v>
      </c>
      <c r="I452" s="7" t="s">
        <v>16815</v>
      </c>
      <c r="J452" s="7" t="s">
        <v>16920</v>
      </c>
      <c r="K452" s="7" t="s">
        <v>16919</v>
      </c>
      <c r="L452" s="201" t="s">
        <v>16835</v>
      </c>
      <c r="M452" s="199"/>
      <c r="N452" s="199"/>
    </row>
    <row r="453">
      <c r="A453" s="193" t="s">
        <v>17441</v>
      </c>
      <c r="B453" s="7" t="s">
        <v>169</v>
      </c>
      <c r="C453" s="7" t="s">
        <v>17442</v>
      </c>
      <c r="D453" s="199"/>
      <c r="E453" s="193"/>
      <c r="F453" s="195" t="s">
        <v>17443</v>
      </c>
      <c r="G453" s="196">
        <v>4.2396000935E10</v>
      </c>
      <c r="H453" s="197">
        <v>59.86</v>
      </c>
      <c r="I453" s="7" t="s">
        <v>16815</v>
      </c>
      <c r="J453" s="7" t="s">
        <v>169</v>
      </c>
      <c r="K453" s="7" t="s">
        <v>17442</v>
      </c>
      <c r="L453" s="198" t="s">
        <v>65</v>
      </c>
      <c r="M453" s="199"/>
      <c r="N453" s="199"/>
    </row>
    <row r="454">
      <c r="A454" s="193" t="s">
        <v>17441</v>
      </c>
      <c r="B454" s="7" t="s">
        <v>17442</v>
      </c>
      <c r="C454" s="7" t="s">
        <v>169</v>
      </c>
      <c r="D454" s="199"/>
      <c r="E454" s="193"/>
      <c r="F454" s="195" t="s">
        <v>17443</v>
      </c>
      <c r="G454" s="200">
        <v>4.2396000935E10</v>
      </c>
      <c r="H454" s="197">
        <v>59.86</v>
      </c>
      <c r="I454" s="7" t="s">
        <v>16815</v>
      </c>
      <c r="J454" s="7" t="s">
        <v>17442</v>
      </c>
      <c r="K454" s="7" t="s">
        <v>169</v>
      </c>
      <c r="L454" s="201" t="s">
        <v>16835</v>
      </c>
      <c r="M454" s="199"/>
      <c r="N454" s="199"/>
    </row>
    <row r="455">
      <c r="A455" s="193" t="s">
        <v>17444</v>
      </c>
      <c r="B455" s="7" t="s">
        <v>16582</v>
      </c>
      <c r="C455" s="7" t="s">
        <v>16828</v>
      </c>
      <c r="D455" s="194">
        <v>1993.0</v>
      </c>
      <c r="E455" s="193"/>
      <c r="F455" s="195" t="s">
        <v>17445</v>
      </c>
      <c r="G455" s="196">
        <v>4.1963473313E10</v>
      </c>
      <c r="H455" s="197">
        <v>77.56</v>
      </c>
      <c r="I455" s="7" t="s">
        <v>16815</v>
      </c>
      <c r="J455" s="7" t="s">
        <v>16582</v>
      </c>
      <c r="K455" s="7" t="s">
        <v>16828</v>
      </c>
      <c r="L455" s="198" t="s">
        <v>65</v>
      </c>
      <c r="M455" s="194"/>
      <c r="N455" s="194"/>
    </row>
    <row r="456">
      <c r="A456" s="193" t="s">
        <v>17446</v>
      </c>
      <c r="B456" s="7" t="s">
        <v>175</v>
      </c>
      <c r="C456" s="7" t="s">
        <v>17084</v>
      </c>
      <c r="D456" s="194">
        <v>1985.0</v>
      </c>
      <c r="E456" s="193"/>
      <c r="F456" s="195" t="s">
        <v>17447</v>
      </c>
      <c r="G456" s="196">
        <v>4.1763505773E10</v>
      </c>
      <c r="H456" s="197">
        <v>123.33</v>
      </c>
      <c r="I456" s="7" t="s">
        <v>17222</v>
      </c>
      <c r="J456" s="7" t="s">
        <v>175</v>
      </c>
      <c r="K456" s="7" t="s">
        <v>17084</v>
      </c>
      <c r="L456" s="198" t="s">
        <v>65</v>
      </c>
      <c r="M456" s="194"/>
      <c r="N456" s="194"/>
    </row>
    <row r="457">
      <c r="A457" s="193" t="s">
        <v>17448</v>
      </c>
      <c r="B457" s="7" t="s">
        <v>158</v>
      </c>
      <c r="C457" s="7" t="s">
        <v>16870</v>
      </c>
      <c r="D457" s="199"/>
      <c r="E457" s="193"/>
      <c r="F457" s="195" t="s">
        <v>17449</v>
      </c>
      <c r="G457" s="196">
        <v>4.1763362395E10</v>
      </c>
      <c r="H457" s="197">
        <v>122.67</v>
      </c>
      <c r="I457" s="7" t="s">
        <v>17450</v>
      </c>
      <c r="J457" s="7" t="s">
        <v>158</v>
      </c>
      <c r="K457" s="7" t="s">
        <v>16870</v>
      </c>
      <c r="L457" s="198" t="s">
        <v>65</v>
      </c>
      <c r="M457" s="199"/>
      <c r="N457" s="199"/>
    </row>
    <row r="458">
      <c r="A458" s="193" t="s">
        <v>17448</v>
      </c>
      <c r="B458" s="7" t="s">
        <v>16870</v>
      </c>
      <c r="C458" s="7" t="s">
        <v>158</v>
      </c>
      <c r="D458" s="199"/>
      <c r="E458" s="193"/>
      <c r="F458" s="195" t="s">
        <v>17449</v>
      </c>
      <c r="G458" s="200">
        <v>4.1763362395E10</v>
      </c>
      <c r="H458" s="197">
        <v>122.67</v>
      </c>
      <c r="I458" s="7" t="s">
        <v>16815</v>
      </c>
      <c r="J458" s="7" t="s">
        <v>16870</v>
      </c>
      <c r="K458" s="7" t="s">
        <v>158</v>
      </c>
      <c r="L458" s="201" t="s">
        <v>16835</v>
      </c>
      <c r="M458" s="199"/>
      <c r="N458" s="199"/>
    </row>
    <row r="459">
      <c r="A459" s="193" t="s">
        <v>17451</v>
      </c>
      <c r="B459" s="7" t="s">
        <v>175</v>
      </c>
      <c r="C459" s="7" t="s">
        <v>17452</v>
      </c>
      <c r="D459" s="194">
        <v>1983.0</v>
      </c>
      <c r="E459" s="193"/>
      <c r="F459" s="195" t="s">
        <v>17453</v>
      </c>
      <c r="G459" s="196">
        <v>4.1697054431E10</v>
      </c>
      <c r="H459" s="197">
        <v>115.43</v>
      </c>
      <c r="I459" s="7" t="s">
        <v>168</v>
      </c>
      <c r="J459" s="7" t="s">
        <v>175</v>
      </c>
      <c r="K459" s="7" t="s">
        <v>17452</v>
      </c>
      <c r="L459" s="198" t="s">
        <v>65</v>
      </c>
      <c r="M459" s="194"/>
      <c r="N459" s="194"/>
    </row>
    <row r="460">
      <c r="A460" s="193" t="s">
        <v>17454</v>
      </c>
      <c r="B460" s="7" t="s">
        <v>16919</v>
      </c>
      <c r="C460" s="7" t="s">
        <v>17176</v>
      </c>
      <c r="D460" s="194">
        <v>2021.0</v>
      </c>
      <c r="E460" s="193"/>
      <c r="F460" s="195" t="s">
        <v>17455</v>
      </c>
      <c r="G460" s="196">
        <v>4.1664008144E10</v>
      </c>
      <c r="H460" s="197">
        <v>100.78</v>
      </c>
      <c r="I460" s="7" t="s">
        <v>16815</v>
      </c>
      <c r="J460" s="7" t="s">
        <v>16919</v>
      </c>
      <c r="K460" s="7" t="s">
        <v>17176</v>
      </c>
      <c r="L460" s="198" t="s">
        <v>65</v>
      </c>
      <c r="M460" s="194"/>
      <c r="N460" s="194"/>
    </row>
    <row r="461">
      <c r="A461" s="193" t="s">
        <v>17454</v>
      </c>
      <c r="B461" s="7" t="s">
        <v>17176</v>
      </c>
      <c r="C461" s="7" t="s">
        <v>16919</v>
      </c>
      <c r="D461" s="194">
        <v>2021.0</v>
      </c>
      <c r="E461" s="193"/>
      <c r="F461" s="195" t="s">
        <v>17455</v>
      </c>
      <c r="G461" s="200">
        <v>4.1664008144E10</v>
      </c>
      <c r="H461" s="197">
        <v>100.78</v>
      </c>
      <c r="I461" s="7" t="s">
        <v>16815</v>
      </c>
      <c r="J461" s="7" t="s">
        <v>17176</v>
      </c>
      <c r="K461" s="7" t="s">
        <v>16919</v>
      </c>
      <c r="L461" s="201" t="s">
        <v>16835</v>
      </c>
      <c r="M461" s="194"/>
      <c r="N461" s="194"/>
    </row>
    <row r="462">
      <c r="A462" s="193" t="s">
        <v>17456</v>
      </c>
      <c r="B462" s="7" t="s">
        <v>175</v>
      </c>
      <c r="C462" s="7" t="s">
        <v>17457</v>
      </c>
      <c r="D462" s="199"/>
      <c r="E462" s="193"/>
      <c r="F462" s="195" t="s">
        <v>17458</v>
      </c>
      <c r="G462" s="196">
        <v>4.1508988403E10</v>
      </c>
      <c r="H462" s="197">
        <v>122.7</v>
      </c>
      <c r="I462" s="7" t="s">
        <v>16908</v>
      </c>
      <c r="J462" s="7" t="s">
        <v>175</v>
      </c>
      <c r="K462" s="7" t="s">
        <v>17457</v>
      </c>
      <c r="L462" s="198" t="s">
        <v>65</v>
      </c>
      <c r="M462" s="199"/>
      <c r="N462" s="199"/>
    </row>
    <row r="463">
      <c r="A463" s="193" t="s">
        <v>17456</v>
      </c>
      <c r="B463" s="7" t="s">
        <v>17457</v>
      </c>
      <c r="C463" s="7" t="s">
        <v>175</v>
      </c>
      <c r="D463" s="199"/>
      <c r="E463" s="193"/>
      <c r="F463" s="195" t="s">
        <v>17458</v>
      </c>
      <c r="G463" s="200">
        <v>4.1508988403E10</v>
      </c>
      <c r="H463" s="197">
        <v>122.7</v>
      </c>
      <c r="I463" s="7" t="s">
        <v>16815</v>
      </c>
      <c r="J463" s="7" t="s">
        <v>17457</v>
      </c>
      <c r="K463" s="7" t="s">
        <v>175</v>
      </c>
      <c r="L463" s="201" t="s">
        <v>16835</v>
      </c>
      <c r="M463" s="199"/>
      <c r="N463" s="199"/>
    </row>
    <row r="464">
      <c r="A464" s="193" t="s">
        <v>17459</v>
      </c>
      <c r="B464" s="7" t="s">
        <v>175</v>
      </c>
      <c r="C464" s="7" t="s">
        <v>17168</v>
      </c>
      <c r="D464" s="194">
        <v>2016.0</v>
      </c>
      <c r="E464" s="193"/>
      <c r="F464" s="195" t="s">
        <v>17460</v>
      </c>
      <c r="G464" s="196">
        <v>4.1492041349E10</v>
      </c>
      <c r="H464" s="197">
        <v>161.8</v>
      </c>
      <c r="I464" s="7" t="s">
        <v>16892</v>
      </c>
      <c r="J464" s="7" t="s">
        <v>175</v>
      </c>
      <c r="K464" s="7" t="s">
        <v>17168</v>
      </c>
      <c r="L464" s="198" t="s">
        <v>65</v>
      </c>
      <c r="M464" s="194"/>
      <c r="N464" s="194"/>
    </row>
    <row r="465">
      <c r="A465" s="193" t="s">
        <v>17459</v>
      </c>
      <c r="B465" s="7" t="s">
        <v>17168</v>
      </c>
      <c r="C465" s="7" t="s">
        <v>175</v>
      </c>
      <c r="D465" s="194">
        <v>2016.0</v>
      </c>
      <c r="E465" s="193"/>
      <c r="F465" s="195" t="s">
        <v>17460</v>
      </c>
      <c r="G465" s="200">
        <v>4.1492041349E10</v>
      </c>
      <c r="H465" s="197">
        <v>161.8</v>
      </c>
      <c r="I465" s="7" t="s">
        <v>16815</v>
      </c>
      <c r="J465" s="7" t="s">
        <v>17168</v>
      </c>
      <c r="K465" s="7" t="s">
        <v>175</v>
      </c>
      <c r="L465" s="201" t="s">
        <v>16835</v>
      </c>
      <c r="M465" s="194"/>
      <c r="N465" s="194"/>
    </row>
    <row r="466">
      <c r="A466" s="193" t="s">
        <v>17461</v>
      </c>
      <c r="B466" s="7" t="s">
        <v>17111</v>
      </c>
      <c r="C466" s="7" t="s">
        <v>17112</v>
      </c>
      <c r="D466" s="199"/>
      <c r="E466" s="193"/>
      <c r="F466" s="195" t="s">
        <v>17462</v>
      </c>
      <c r="G466" s="200">
        <v>4.1478002857E10</v>
      </c>
      <c r="H466" s="197">
        <v>95.64</v>
      </c>
      <c r="I466" s="7" t="s">
        <v>16815</v>
      </c>
      <c r="J466" s="7" t="s">
        <v>17111</v>
      </c>
      <c r="K466" s="7" t="s">
        <v>17112</v>
      </c>
      <c r="L466" s="201" t="s">
        <v>16835</v>
      </c>
      <c r="M466" s="199"/>
      <c r="N466" s="199"/>
    </row>
    <row r="467">
      <c r="A467" s="193" t="s">
        <v>17461</v>
      </c>
      <c r="B467" s="7" t="s">
        <v>17112</v>
      </c>
      <c r="C467" s="7" t="s">
        <v>17111</v>
      </c>
      <c r="D467" s="199"/>
      <c r="E467" s="193"/>
      <c r="F467" s="195" t="s">
        <v>17462</v>
      </c>
      <c r="G467" s="196">
        <v>4.1478002857E10</v>
      </c>
      <c r="H467" s="197">
        <v>95.64</v>
      </c>
      <c r="I467" s="7" t="s">
        <v>16815</v>
      </c>
      <c r="J467" s="7" t="s">
        <v>17112</v>
      </c>
      <c r="K467" s="7" t="s">
        <v>17111</v>
      </c>
      <c r="L467" s="198" t="s">
        <v>65</v>
      </c>
      <c r="M467" s="199"/>
      <c r="N467" s="199"/>
    </row>
    <row r="468">
      <c r="A468" s="193" t="s">
        <v>17463</v>
      </c>
      <c r="B468" s="7" t="s">
        <v>16867</v>
      </c>
      <c r="C468" s="7" t="s">
        <v>16838</v>
      </c>
      <c r="D468" s="199"/>
      <c r="E468" s="193"/>
      <c r="F468" s="195" t="s">
        <v>17464</v>
      </c>
      <c r="G468" s="200">
        <v>4.137860937E10</v>
      </c>
      <c r="H468" s="197">
        <v>3.26</v>
      </c>
      <c r="I468" s="7" t="s">
        <v>16815</v>
      </c>
      <c r="J468" s="7" t="s">
        <v>16867</v>
      </c>
      <c r="K468" s="7" t="s">
        <v>16838</v>
      </c>
      <c r="L468" s="201" t="s">
        <v>16835</v>
      </c>
      <c r="M468" s="199"/>
      <c r="N468" s="199"/>
    </row>
    <row r="469">
      <c r="A469" s="193" t="s">
        <v>17463</v>
      </c>
      <c r="B469" s="7" t="s">
        <v>16838</v>
      </c>
      <c r="C469" s="7" t="s">
        <v>16867</v>
      </c>
      <c r="D469" s="199"/>
      <c r="E469" s="193"/>
      <c r="F469" s="195" t="s">
        <v>17464</v>
      </c>
      <c r="G469" s="196">
        <v>4.137860937E10</v>
      </c>
      <c r="H469" s="197">
        <v>3.26</v>
      </c>
      <c r="I469" s="7" t="s">
        <v>16815</v>
      </c>
      <c r="J469" s="7" t="s">
        <v>16838</v>
      </c>
      <c r="K469" s="7" t="s">
        <v>16867</v>
      </c>
      <c r="L469" s="198" t="s">
        <v>65</v>
      </c>
      <c r="M469" s="199"/>
      <c r="N469" s="199"/>
    </row>
    <row r="470">
      <c r="A470" s="193" t="s">
        <v>17465</v>
      </c>
      <c r="B470" s="7" t="s">
        <v>16919</v>
      </c>
      <c r="C470" s="7" t="s">
        <v>16920</v>
      </c>
      <c r="D470" s="199"/>
      <c r="E470" s="193"/>
      <c r="F470" s="195" t="s">
        <v>17466</v>
      </c>
      <c r="G470" s="196">
        <v>4.1326165676E10</v>
      </c>
      <c r="H470" s="197">
        <v>13.14</v>
      </c>
      <c r="I470" s="7" t="s">
        <v>16815</v>
      </c>
      <c r="J470" s="7" t="s">
        <v>16919</v>
      </c>
      <c r="K470" s="7" t="s">
        <v>16920</v>
      </c>
      <c r="L470" s="198" t="s">
        <v>65</v>
      </c>
      <c r="M470" s="199"/>
      <c r="N470" s="199"/>
    </row>
    <row r="471">
      <c r="A471" s="193" t="s">
        <v>17465</v>
      </c>
      <c r="B471" s="7" t="s">
        <v>16920</v>
      </c>
      <c r="C471" s="7" t="s">
        <v>16919</v>
      </c>
      <c r="D471" s="199"/>
      <c r="E471" s="193"/>
      <c r="F471" s="195" t="s">
        <v>17466</v>
      </c>
      <c r="G471" s="200">
        <v>4.1326165676E10</v>
      </c>
      <c r="H471" s="197">
        <v>13.14</v>
      </c>
      <c r="I471" s="7" t="s">
        <v>16815</v>
      </c>
      <c r="J471" s="7" t="s">
        <v>16920</v>
      </c>
      <c r="K471" s="7" t="s">
        <v>16919</v>
      </c>
      <c r="L471" s="201" t="s">
        <v>16835</v>
      </c>
      <c r="M471" s="199"/>
      <c r="N471" s="199"/>
    </row>
    <row r="472">
      <c r="A472" s="193" t="s">
        <v>17467</v>
      </c>
      <c r="B472" s="7" t="s">
        <v>175</v>
      </c>
      <c r="C472" s="7" t="s">
        <v>16878</v>
      </c>
      <c r="D472" s="194">
        <v>1995.0</v>
      </c>
      <c r="E472" s="193"/>
      <c r="F472" s="195" t="s">
        <v>17468</v>
      </c>
      <c r="G472" s="196">
        <v>4.1062896547E10</v>
      </c>
      <c r="H472" s="197">
        <v>114.75</v>
      </c>
      <c r="I472" s="7" t="s">
        <v>16908</v>
      </c>
      <c r="J472" s="7" t="s">
        <v>175</v>
      </c>
      <c r="K472" s="7" t="s">
        <v>16878</v>
      </c>
      <c r="L472" s="198" t="s">
        <v>65</v>
      </c>
      <c r="M472" s="194"/>
      <c r="N472" s="194"/>
    </row>
    <row r="473">
      <c r="A473" s="193" t="s">
        <v>17467</v>
      </c>
      <c r="B473" s="7" t="s">
        <v>16878</v>
      </c>
      <c r="C473" s="7" t="s">
        <v>175</v>
      </c>
      <c r="D473" s="194">
        <v>1995.0</v>
      </c>
      <c r="E473" s="193"/>
      <c r="F473" s="195" t="s">
        <v>17468</v>
      </c>
      <c r="G473" s="200">
        <v>4.1062896547E10</v>
      </c>
      <c r="H473" s="197">
        <v>114.75</v>
      </c>
      <c r="I473" s="7" t="s">
        <v>16815</v>
      </c>
      <c r="J473" s="7" t="s">
        <v>16878</v>
      </c>
      <c r="K473" s="7" t="s">
        <v>175</v>
      </c>
      <c r="L473" s="201" t="s">
        <v>16835</v>
      </c>
      <c r="M473" s="194"/>
      <c r="N473" s="194"/>
    </row>
    <row r="474">
      <c r="A474" s="193" t="s">
        <v>17469</v>
      </c>
      <c r="B474" s="7" t="s">
        <v>16919</v>
      </c>
      <c r="C474" s="7" t="s">
        <v>17413</v>
      </c>
      <c r="D474" s="194">
        <v>2001.0</v>
      </c>
      <c r="E474" s="193"/>
      <c r="F474" s="195" t="s">
        <v>17470</v>
      </c>
      <c r="G474" s="196">
        <v>4.0889300103E10</v>
      </c>
      <c r="H474" s="197">
        <v>171.62</v>
      </c>
      <c r="I474" s="7" t="s">
        <v>16815</v>
      </c>
      <c r="J474" s="7" t="s">
        <v>16919</v>
      </c>
      <c r="K474" s="7" t="s">
        <v>17413</v>
      </c>
      <c r="L474" s="198" t="s">
        <v>65</v>
      </c>
      <c r="M474" s="194"/>
      <c r="N474" s="194"/>
    </row>
    <row r="475">
      <c r="A475" s="193" t="s">
        <v>17469</v>
      </c>
      <c r="B475" s="202" t="s">
        <v>17413</v>
      </c>
      <c r="C475" s="193" t="s">
        <v>16919</v>
      </c>
      <c r="D475" s="193">
        <v>2001.0</v>
      </c>
      <c r="E475" s="193"/>
      <c r="F475" s="203" t="s">
        <v>17470</v>
      </c>
      <c r="G475" s="200">
        <v>4.0889300103E10</v>
      </c>
      <c r="H475" s="204"/>
      <c r="J475" s="202" t="s">
        <v>17413</v>
      </c>
      <c r="K475" s="193" t="s">
        <v>16919</v>
      </c>
      <c r="L475" s="193" t="s">
        <v>17471</v>
      </c>
      <c r="M475" s="193"/>
      <c r="N475" s="193"/>
    </row>
    <row r="476">
      <c r="A476" s="193" t="s">
        <v>17472</v>
      </c>
      <c r="B476" s="7" t="s">
        <v>16919</v>
      </c>
      <c r="C476" s="7" t="s">
        <v>17048</v>
      </c>
      <c r="D476" s="199"/>
      <c r="E476" s="193"/>
      <c r="F476" s="195" t="s">
        <v>17473</v>
      </c>
      <c r="G476" s="196">
        <v>4.0860536684E10</v>
      </c>
      <c r="H476" s="197">
        <v>77.7</v>
      </c>
      <c r="I476" s="7" t="s">
        <v>16815</v>
      </c>
      <c r="J476" s="7" t="s">
        <v>16919</v>
      </c>
      <c r="K476" s="7" t="s">
        <v>17048</v>
      </c>
      <c r="L476" s="198" t="s">
        <v>65</v>
      </c>
      <c r="M476" s="199"/>
      <c r="N476" s="199"/>
    </row>
    <row r="477">
      <c r="A477" s="193" t="s">
        <v>17474</v>
      </c>
      <c r="B477" s="7" t="s">
        <v>175</v>
      </c>
      <c r="C477" s="7" t="s">
        <v>17475</v>
      </c>
      <c r="D477" s="199"/>
      <c r="E477" s="193"/>
      <c r="F477" s="195" t="s">
        <v>17476</v>
      </c>
      <c r="G477" s="196">
        <v>4.0836792978E10</v>
      </c>
      <c r="H477" s="197">
        <v>120.84</v>
      </c>
      <c r="I477" s="7" t="s">
        <v>168</v>
      </c>
      <c r="J477" s="7" t="s">
        <v>175</v>
      </c>
      <c r="K477" s="7" t="s">
        <v>17475</v>
      </c>
      <c r="L477" s="198" t="s">
        <v>65</v>
      </c>
      <c r="M477" s="199"/>
      <c r="N477" s="199"/>
    </row>
    <row r="478">
      <c r="A478" s="193" t="s">
        <v>17474</v>
      </c>
      <c r="B478" s="7" t="s">
        <v>17475</v>
      </c>
      <c r="C478" s="7" t="s">
        <v>175</v>
      </c>
      <c r="D478" s="199"/>
      <c r="E478" s="193"/>
      <c r="F478" s="195" t="s">
        <v>17476</v>
      </c>
      <c r="G478" s="200">
        <v>4.0836792978E10</v>
      </c>
      <c r="H478" s="197">
        <v>120.84</v>
      </c>
      <c r="I478" s="7" t="s">
        <v>16815</v>
      </c>
      <c r="J478" s="7" t="s">
        <v>17475</v>
      </c>
      <c r="K478" s="7" t="s">
        <v>175</v>
      </c>
      <c r="L478" s="201" t="s">
        <v>16835</v>
      </c>
      <c r="M478" s="199"/>
      <c r="N478" s="199"/>
    </row>
    <row r="479">
      <c r="A479" s="193" t="s">
        <v>17477</v>
      </c>
      <c r="B479" s="7" t="s">
        <v>175</v>
      </c>
      <c r="C479" s="7" t="s">
        <v>16854</v>
      </c>
      <c r="D479" s="199"/>
      <c r="E479" s="193"/>
      <c r="F479" s="195" t="s">
        <v>17478</v>
      </c>
      <c r="G479" s="196">
        <v>4.0673435369E10</v>
      </c>
      <c r="H479" s="197">
        <v>514.26</v>
      </c>
      <c r="I479" s="7" t="s">
        <v>168</v>
      </c>
      <c r="J479" s="7" t="s">
        <v>175</v>
      </c>
      <c r="K479" s="7" t="s">
        <v>16854</v>
      </c>
      <c r="L479" s="198" t="s">
        <v>65</v>
      </c>
      <c r="M479" s="199"/>
      <c r="N479" s="199"/>
    </row>
    <row r="480">
      <c r="A480" s="193" t="s">
        <v>17477</v>
      </c>
      <c r="B480" s="7" t="s">
        <v>16854</v>
      </c>
      <c r="C480" s="7" t="s">
        <v>175</v>
      </c>
      <c r="D480" s="199"/>
      <c r="E480" s="193"/>
      <c r="F480" s="195" t="s">
        <v>17478</v>
      </c>
      <c r="G480" s="200">
        <v>4.0673435369E10</v>
      </c>
      <c r="H480" s="197">
        <v>514.26</v>
      </c>
      <c r="I480" s="7" t="s">
        <v>16815</v>
      </c>
      <c r="J480" s="7" t="s">
        <v>16854</v>
      </c>
      <c r="K480" s="7" t="s">
        <v>175</v>
      </c>
      <c r="L480" s="201" t="s">
        <v>16835</v>
      </c>
      <c r="M480" s="199"/>
      <c r="N480" s="199"/>
    </row>
    <row r="481">
      <c r="A481" s="193" t="s">
        <v>17479</v>
      </c>
      <c r="B481" s="7" t="s">
        <v>175</v>
      </c>
      <c r="C481" s="7" t="s">
        <v>17480</v>
      </c>
      <c r="D481" s="194">
        <v>2014.0</v>
      </c>
      <c r="E481" s="193"/>
      <c r="F481" s="195" t="s">
        <v>17481</v>
      </c>
      <c r="G481" s="196">
        <v>4.0482057981E10</v>
      </c>
      <c r="H481" s="197">
        <v>25.76</v>
      </c>
      <c r="I481" s="7" t="s">
        <v>168</v>
      </c>
      <c r="J481" s="7" t="s">
        <v>175</v>
      </c>
      <c r="K481" s="7" t="s">
        <v>17480</v>
      </c>
      <c r="L481" s="198" t="s">
        <v>65</v>
      </c>
      <c r="M481" s="194"/>
      <c r="N481" s="194"/>
    </row>
    <row r="482">
      <c r="A482" s="193" t="s">
        <v>17482</v>
      </c>
      <c r="B482" s="7" t="s">
        <v>16910</v>
      </c>
      <c r="C482" s="7" t="s">
        <v>17119</v>
      </c>
      <c r="D482" s="199"/>
      <c r="E482" s="193"/>
      <c r="F482" s="195" t="s">
        <v>17483</v>
      </c>
      <c r="G482" s="196">
        <v>4.0340857646E10</v>
      </c>
      <c r="H482" s="197">
        <v>32.89</v>
      </c>
      <c r="I482" s="7" t="s">
        <v>127</v>
      </c>
      <c r="J482" s="7" t="s">
        <v>16910</v>
      </c>
      <c r="K482" s="7" t="s">
        <v>17119</v>
      </c>
      <c r="L482" s="198" t="s">
        <v>65</v>
      </c>
      <c r="M482" s="199"/>
      <c r="N482" s="199"/>
    </row>
    <row r="483">
      <c r="A483" s="193" t="s">
        <v>17484</v>
      </c>
      <c r="B483" s="7" t="s">
        <v>187</v>
      </c>
      <c r="C483" s="7" t="s">
        <v>16858</v>
      </c>
      <c r="D483" s="194">
        <v>2001.0</v>
      </c>
      <c r="E483" s="193"/>
      <c r="F483" s="195" t="s">
        <v>17485</v>
      </c>
      <c r="G483" s="196">
        <v>4.032098626E10</v>
      </c>
      <c r="H483" s="197">
        <v>213.72</v>
      </c>
      <c r="I483" s="7" t="s">
        <v>16815</v>
      </c>
      <c r="J483" s="7" t="s">
        <v>187</v>
      </c>
      <c r="K483" s="7" t="s">
        <v>16858</v>
      </c>
      <c r="L483" s="198" t="s">
        <v>65</v>
      </c>
      <c r="M483" s="194"/>
      <c r="N483" s="194"/>
    </row>
    <row r="484">
      <c r="A484" s="193" t="s">
        <v>17486</v>
      </c>
      <c r="B484" s="7" t="s">
        <v>17256</v>
      </c>
      <c r="C484" s="7" t="s">
        <v>187</v>
      </c>
      <c r="D484" s="199"/>
      <c r="E484" s="193"/>
      <c r="F484" s="195" t="s">
        <v>17487</v>
      </c>
      <c r="G484" s="200">
        <v>3.99436863E10</v>
      </c>
      <c r="H484" s="197">
        <v>197.57</v>
      </c>
      <c r="I484" s="7" t="s">
        <v>16815</v>
      </c>
      <c r="J484" s="7" t="s">
        <v>17256</v>
      </c>
      <c r="K484" s="7" t="s">
        <v>187</v>
      </c>
      <c r="L484" s="201" t="s">
        <v>16835</v>
      </c>
      <c r="M484" s="199"/>
      <c r="N484" s="199"/>
    </row>
    <row r="485">
      <c r="A485" s="193" t="s">
        <v>17486</v>
      </c>
      <c r="B485" s="7" t="s">
        <v>187</v>
      </c>
      <c r="C485" s="7" t="s">
        <v>17256</v>
      </c>
      <c r="D485" s="199"/>
      <c r="E485" s="193"/>
      <c r="F485" s="195" t="s">
        <v>17487</v>
      </c>
      <c r="G485" s="196">
        <v>3.99436863E10</v>
      </c>
      <c r="H485" s="197">
        <v>197.57</v>
      </c>
      <c r="I485" s="7" t="s">
        <v>16815</v>
      </c>
      <c r="J485" s="7" t="s">
        <v>187</v>
      </c>
      <c r="K485" s="7" t="s">
        <v>17256</v>
      </c>
      <c r="L485" s="198" t="s">
        <v>65</v>
      </c>
      <c r="M485" s="199"/>
      <c r="N485" s="199"/>
    </row>
    <row r="486">
      <c r="A486" s="193" t="s">
        <v>17488</v>
      </c>
      <c r="B486" s="7" t="s">
        <v>16867</v>
      </c>
      <c r="C486" s="7" t="s">
        <v>16838</v>
      </c>
      <c r="D486" s="194">
        <v>1994.0</v>
      </c>
      <c r="E486" s="193"/>
      <c r="F486" s="195" t="s">
        <v>17489</v>
      </c>
      <c r="G486" s="200">
        <v>3.9828955311E10</v>
      </c>
      <c r="H486" s="197">
        <v>104.58</v>
      </c>
      <c r="I486" s="7" t="s">
        <v>16815</v>
      </c>
      <c r="J486" s="7" t="s">
        <v>16867</v>
      </c>
      <c r="K486" s="7" t="s">
        <v>16838</v>
      </c>
      <c r="L486" s="201" t="s">
        <v>16835</v>
      </c>
      <c r="M486" s="194"/>
      <c r="N486" s="194"/>
    </row>
    <row r="487">
      <c r="A487" s="193" t="s">
        <v>17488</v>
      </c>
      <c r="B487" s="7" t="s">
        <v>16838</v>
      </c>
      <c r="C487" s="7" t="s">
        <v>16867</v>
      </c>
      <c r="D487" s="194">
        <v>1994.0</v>
      </c>
      <c r="E487" s="193"/>
      <c r="F487" s="195" t="s">
        <v>17489</v>
      </c>
      <c r="G487" s="196">
        <v>3.9828955311E10</v>
      </c>
      <c r="H487" s="197">
        <v>104.58</v>
      </c>
      <c r="I487" s="7" t="s">
        <v>16815</v>
      </c>
      <c r="J487" s="7" t="s">
        <v>16838</v>
      </c>
      <c r="K487" s="7" t="s">
        <v>16867</v>
      </c>
      <c r="L487" s="198" t="s">
        <v>65</v>
      </c>
      <c r="M487" s="194"/>
      <c r="N487" s="194"/>
    </row>
    <row r="488">
      <c r="A488" s="193" t="s">
        <v>17490</v>
      </c>
      <c r="B488" s="7" t="s">
        <v>16582</v>
      </c>
      <c r="C488" s="7" t="s">
        <v>16899</v>
      </c>
      <c r="D488" s="199"/>
      <c r="E488" s="193"/>
      <c r="F488" s="195" t="s">
        <v>17491</v>
      </c>
      <c r="G488" s="196">
        <v>3.9760326476E10</v>
      </c>
      <c r="H488" s="197">
        <v>126.65</v>
      </c>
      <c r="I488" s="7" t="s">
        <v>16815</v>
      </c>
      <c r="J488" s="7" t="s">
        <v>16582</v>
      </c>
      <c r="K488" s="7" t="s">
        <v>16899</v>
      </c>
      <c r="L488" s="198" t="s">
        <v>65</v>
      </c>
      <c r="M488" s="199"/>
      <c r="N488" s="199"/>
    </row>
    <row r="489">
      <c r="A489" s="193" t="s">
        <v>17490</v>
      </c>
      <c r="B489" s="7" t="s">
        <v>16899</v>
      </c>
      <c r="C489" s="7" t="s">
        <v>16582</v>
      </c>
      <c r="D489" s="199"/>
      <c r="E489" s="193"/>
      <c r="F489" s="195" t="s">
        <v>17491</v>
      </c>
      <c r="G489" s="200">
        <v>3.9760326476E10</v>
      </c>
      <c r="H489" s="197">
        <v>126.65</v>
      </c>
      <c r="I489" s="7" t="s">
        <v>16815</v>
      </c>
      <c r="J489" s="7" t="s">
        <v>16899</v>
      </c>
      <c r="K489" s="7" t="s">
        <v>16582</v>
      </c>
      <c r="L489" s="201" t="s">
        <v>16835</v>
      </c>
      <c r="M489" s="199"/>
      <c r="N489" s="199"/>
    </row>
    <row r="490">
      <c r="A490" s="193" t="s">
        <v>17492</v>
      </c>
      <c r="B490" s="7" t="s">
        <v>175</v>
      </c>
      <c r="C490" s="7" t="s">
        <v>16842</v>
      </c>
      <c r="D490" s="199"/>
      <c r="E490" s="193"/>
      <c r="F490" s="195" t="s">
        <v>17493</v>
      </c>
      <c r="G490" s="196">
        <v>3.9469130749E10</v>
      </c>
      <c r="H490" s="197">
        <v>9.86</v>
      </c>
      <c r="I490" s="7" t="s">
        <v>16908</v>
      </c>
      <c r="J490" s="7" t="s">
        <v>175</v>
      </c>
      <c r="K490" s="7" t="s">
        <v>16842</v>
      </c>
      <c r="L490" s="198" t="s">
        <v>65</v>
      </c>
      <c r="M490" s="199"/>
      <c r="N490" s="199"/>
    </row>
    <row r="491">
      <c r="A491" s="193" t="s">
        <v>17492</v>
      </c>
      <c r="B491" s="7" t="s">
        <v>16842</v>
      </c>
      <c r="C491" s="7" t="s">
        <v>175</v>
      </c>
      <c r="D491" s="199"/>
      <c r="E491" s="193"/>
      <c r="F491" s="195" t="s">
        <v>17493</v>
      </c>
      <c r="G491" s="200">
        <v>3.9469130749E10</v>
      </c>
      <c r="H491" s="197">
        <v>9.86</v>
      </c>
      <c r="I491" s="7" t="s">
        <v>16815</v>
      </c>
      <c r="J491" s="7" t="s">
        <v>16842</v>
      </c>
      <c r="K491" s="7" t="s">
        <v>175</v>
      </c>
      <c r="L491" s="201" t="s">
        <v>16835</v>
      </c>
      <c r="M491" s="199"/>
      <c r="N491" s="199"/>
    </row>
    <row r="492">
      <c r="A492" s="193" t="s">
        <v>17494</v>
      </c>
      <c r="B492" s="7" t="s">
        <v>17495</v>
      </c>
      <c r="C492" s="7" t="s">
        <v>169</v>
      </c>
      <c r="D492" s="199"/>
      <c r="E492" s="193"/>
      <c r="F492" s="195" t="s">
        <v>17496</v>
      </c>
      <c r="G492" s="200">
        <v>3.9322655338E10</v>
      </c>
      <c r="H492" s="197">
        <v>792.25</v>
      </c>
      <c r="I492" s="7" t="s">
        <v>16815</v>
      </c>
      <c r="J492" s="7" t="s">
        <v>17495</v>
      </c>
      <c r="K492" s="7" t="s">
        <v>169</v>
      </c>
      <c r="L492" s="201" t="s">
        <v>16835</v>
      </c>
      <c r="M492" s="199"/>
      <c r="N492" s="199"/>
    </row>
    <row r="493">
      <c r="A493" s="193" t="s">
        <v>17494</v>
      </c>
      <c r="B493" s="7" t="s">
        <v>169</v>
      </c>
      <c r="C493" s="7" t="s">
        <v>17495</v>
      </c>
      <c r="D493" s="199"/>
      <c r="E493" s="193"/>
      <c r="F493" s="195" t="s">
        <v>17496</v>
      </c>
      <c r="G493" s="196">
        <v>3.9322655338E10</v>
      </c>
      <c r="H493" s="197">
        <v>792.25</v>
      </c>
      <c r="I493" s="7" t="s">
        <v>16815</v>
      </c>
      <c r="J493" s="7" t="s">
        <v>169</v>
      </c>
      <c r="K493" s="7" t="s">
        <v>17495</v>
      </c>
      <c r="L493" s="198" t="s">
        <v>65</v>
      </c>
      <c r="M493" s="199"/>
      <c r="N493" s="199"/>
    </row>
    <row r="494">
      <c r="A494" s="193" t="s">
        <v>17497</v>
      </c>
      <c r="B494" s="7" t="s">
        <v>16919</v>
      </c>
      <c r="C494" s="7" t="s">
        <v>17176</v>
      </c>
      <c r="D494" s="199"/>
      <c r="E494" s="193"/>
      <c r="F494" s="195" t="s">
        <v>17498</v>
      </c>
      <c r="G494" s="196">
        <v>3.9250097313E10</v>
      </c>
      <c r="H494" s="197">
        <v>39.43</v>
      </c>
      <c r="I494" s="7" t="s">
        <v>16815</v>
      </c>
      <c r="J494" s="7" t="s">
        <v>16919</v>
      </c>
      <c r="K494" s="7" t="s">
        <v>17176</v>
      </c>
      <c r="L494" s="198" t="s">
        <v>65</v>
      </c>
      <c r="M494" s="199"/>
      <c r="N494" s="199"/>
    </row>
    <row r="495">
      <c r="A495" s="193" t="s">
        <v>17499</v>
      </c>
      <c r="B495" s="7" t="s">
        <v>16867</v>
      </c>
      <c r="C495" s="7" t="s">
        <v>16838</v>
      </c>
      <c r="D495" s="199"/>
      <c r="E495" s="193"/>
      <c r="F495" s="195" t="s">
        <v>17500</v>
      </c>
      <c r="G495" s="200">
        <v>3.9196504783E10</v>
      </c>
      <c r="H495" s="197">
        <v>29.39</v>
      </c>
      <c r="I495" s="7" t="s">
        <v>16815</v>
      </c>
      <c r="J495" s="7" t="s">
        <v>16867</v>
      </c>
      <c r="K495" s="7" t="s">
        <v>16838</v>
      </c>
      <c r="L495" s="201" t="s">
        <v>16835</v>
      </c>
      <c r="M495" s="199"/>
      <c r="N495" s="199"/>
    </row>
    <row r="496">
      <c r="A496" s="193" t="s">
        <v>17499</v>
      </c>
      <c r="B496" s="7" t="s">
        <v>16838</v>
      </c>
      <c r="C496" s="7" t="s">
        <v>16867</v>
      </c>
      <c r="D496" s="199"/>
      <c r="E496" s="193"/>
      <c r="F496" s="195" t="s">
        <v>17500</v>
      </c>
      <c r="G496" s="196">
        <v>3.9196504783E10</v>
      </c>
      <c r="H496" s="197">
        <v>29.39</v>
      </c>
      <c r="I496" s="7" t="s">
        <v>16815</v>
      </c>
      <c r="J496" s="7" t="s">
        <v>16838</v>
      </c>
      <c r="K496" s="7" t="s">
        <v>16867</v>
      </c>
      <c r="L496" s="198" t="s">
        <v>65</v>
      </c>
      <c r="M496" s="199"/>
      <c r="N496" s="199"/>
    </row>
    <row r="497">
      <c r="A497" s="193" t="s">
        <v>17501</v>
      </c>
      <c r="B497" s="7" t="s">
        <v>16910</v>
      </c>
      <c r="C497" s="7" t="s">
        <v>17502</v>
      </c>
      <c r="D497" s="199"/>
      <c r="E497" s="193"/>
      <c r="F497" s="195" t="s">
        <v>17503</v>
      </c>
      <c r="G497" s="196">
        <v>3.9157312272E10</v>
      </c>
      <c r="H497" s="197">
        <v>191.48</v>
      </c>
      <c r="I497" s="7" t="s">
        <v>127</v>
      </c>
      <c r="J497" s="7" t="s">
        <v>16910</v>
      </c>
      <c r="K497" s="7" t="s">
        <v>17502</v>
      </c>
      <c r="L497" s="198" t="s">
        <v>65</v>
      </c>
      <c r="M497" s="199"/>
      <c r="N497" s="199"/>
    </row>
    <row r="498">
      <c r="A498" s="193" t="s">
        <v>17501</v>
      </c>
      <c r="B498" s="7" t="s">
        <v>17502</v>
      </c>
      <c r="C498" s="7" t="s">
        <v>16910</v>
      </c>
      <c r="D498" s="199"/>
      <c r="E498" s="193"/>
      <c r="F498" s="195" t="s">
        <v>17503</v>
      </c>
      <c r="G498" s="200">
        <v>3.9157312272E10</v>
      </c>
      <c r="H498" s="197">
        <v>191.48</v>
      </c>
      <c r="I498" s="7" t="s">
        <v>16815</v>
      </c>
      <c r="J498" s="7" t="s">
        <v>17502</v>
      </c>
      <c r="K498" s="7" t="s">
        <v>16910</v>
      </c>
      <c r="L498" s="201" t="s">
        <v>16835</v>
      </c>
      <c r="M498" s="199"/>
      <c r="N498" s="199"/>
    </row>
    <row r="499">
      <c r="A499" s="193" t="s">
        <v>17504</v>
      </c>
      <c r="B499" s="7" t="s">
        <v>16582</v>
      </c>
      <c r="C499" s="7" t="s">
        <v>16995</v>
      </c>
      <c r="D499" s="194">
        <v>2009.0</v>
      </c>
      <c r="E499" s="193"/>
      <c r="F499" s="195" t="s">
        <v>17505</v>
      </c>
      <c r="G499" s="196">
        <v>3.9025166024E10</v>
      </c>
      <c r="H499" s="197">
        <v>50.82</v>
      </c>
      <c r="I499" s="7" t="s">
        <v>16815</v>
      </c>
      <c r="J499" s="7" t="s">
        <v>16582</v>
      </c>
      <c r="K499" s="7" t="s">
        <v>16995</v>
      </c>
      <c r="L499" s="198" t="s">
        <v>65</v>
      </c>
      <c r="M499" s="194"/>
      <c r="N499" s="194"/>
    </row>
    <row r="500">
      <c r="A500" s="193" t="s">
        <v>17506</v>
      </c>
      <c r="B500" s="7" t="s">
        <v>17111</v>
      </c>
      <c r="C500" s="7" t="s">
        <v>17112</v>
      </c>
      <c r="D500" s="194">
        <v>2004.0</v>
      </c>
      <c r="E500" s="193"/>
      <c r="F500" s="195" t="s">
        <v>17507</v>
      </c>
      <c r="G500" s="200">
        <v>3.8973821731E10</v>
      </c>
      <c r="H500" s="197">
        <v>128.75</v>
      </c>
      <c r="I500" s="7" t="s">
        <v>16815</v>
      </c>
      <c r="J500" s="7" t="s">
        <v>17111</v>
      </c>
      <c r="K500" s="7" t="s">
        <v>17112</v>
      </c>
      <c r="L500" s="201" t="s">
        <v>16835</v>
      </c>
      <c r="M500" s="194"/>
      <c r="N500" s="194"/>
    </row>
    <row r="501">
      <c r="A501" s="193" t="s">
        <v>17506</v>
      </c>
      <c r="B501" s="7" t="s">
        <v>17112</v>
      </c>
      <c r="C501" s="7" t="s">
        <v>17111</v>
      </c>
      <c r="D501" s="194">
        <v>2004.0</v>
      </c>
      <c r="E501" s="193"/>
      <c r="F501" s="195" t="s">
        <v>17507</v>
      </c>
      <c r="G501" s="196">
        <v>3.8973821731E10</v>
      </c>
      <c r="H501" s="197">
        <v>128.75</v>
      </c>
      <c r="I501" s="7" t="s">
        <v>16815</v>
      </c>
      <c r="J501" s="7" t="s">
        <v>17112</v>
      </c>
      <c r="K501" s="7" t="s">
        <v>17111</v>
      </c>
      <c r="L501" s="198" t="s">
        <v>65</v>
      </c>
      <c r="M501" s="194"/>
      <c r="N501" s="194"/>
    </row>
    <row r="502">
      <c r="A502" s="193" t="s">
        <v>17508</v>
      </c>
      <c r="B502" s="7" t="s">
        <v>17509</v>
      </c>
      <c r="C502" s="7" t="s">
        <v>187</v>
      </c>
      <c r="D502" s="199"/>
      <c r="E502" s="193"/>
      <c r="F502" s="195" t="s">
        <v>17510</v>
      </c>
      <c r="G502" s="200">
        <v>3.8943365E10</v>
      </c>
      <c r="H502" s="197">
        <v>64.21</v>
      </c>
      <c r="I502" s="7" t="s">
        <v>16815</v>
      </c>
      <c r="J502" s="7" t="s">
        <v>17509</v>
      </c>
      <c r="K502" s="7" t="s">
        <v>187</v>
      </c>
      <c r="L502" s="201" t="s">
        <v>16835</v>
      </c>
      <c r="M502" s="199"/>
      <c r="N502" s="199"/>
    </row>
    <row r="503">
      <c r="A503" s="193" t="s">
        <v>17508</v>
      </c>
      <c r="B503" s="7" t="s">
        <v>187</v>
      </c>
      <c r="C503" s="7" t="s">
        <v>17509</v>
      </c>
      <c r="D503" s="199"/>
      <c r="E503" s="193"/>
      <c r="F503" s="195" t="s">
        <v>17510</v>
      </c>
      <c r="G503" s="196">
        <v>3.8943365E10</v>
      </c>
      <c r="H503" s="197">
        <v>64.21</v>
      </c>
      <c r="I503" s="7" t="s">
        <v>16815</v>
      </c>
      <c r="J503" s="7" t="s">
        <v>187</v>
      </c>
      <c r="K503" s="7" t="s">
        <v>17509</v>
      </c>
      <c r="L503" s="198" t="s">
        <v>65</v>
      </c>
      <c r="M503" s="199"/>
      <c r="N503" s="199"/>
    </row>
    <row r="504">
      <c r="A504" s="193" t="s">
        <v>17511</v>
      </c>
      <c r="B504" s="7" t="s">
        <v>16919</v>
      </c>
      <c r="C504" s="7" t="s">
        <v>17048</v>
      </c>
      <c r="D504" s="199"/>
      <c r="E504" s="193"/>
      <c r="F504" s="195" t="s">
        <v>17512</v>
      </c>
      <c r="G504" s="196">
        <v>3.8891107661E10</v>
      </c>
      <c r="H504" s="197">
        <v>121.77</v>
      </c>
      <c r="I504" s="7" t="s">
        <v>16815</v>
      </c>
      <c r="J504" s="7" t="s">
        <v>16919</v>
      </c>
      <c r="K504" s="7" t="s">
        <v>17048</v>
      </c>
      <c r="L504" s="198" t="s">
        <v>65</v>
      </c>
      <c r="M504" s="199"/>
      <c r="N504" s="199"/>
    </row>
    <row r="505">
      <c r="A505" s="193" t="s">
        <v>17513</v>
      </c>
      <c r="B505" s="7" t="s">
        <v>158</v>
      </c>
      <c r="C505" s="7" t="s">
        <v>16864</v>
      </c>
      <c r="D505" s="194">
        <v>2022.0</v>
      </c>
      <c r="E505" s="193"/>
      <c r="F505" s="195" t="s">
        <v>17514</v>
      </c>
      <c r="G505" s="196">
        <v>3.888639531E10</v>
      </c>
      <c r="H505" s="197">
        <v>20.48</v>
      </c>
      <c r="I505" s="7" t="s">
        <v>17450</v>
      </c>
      <c r="J505" s="7" t="s">
        <v>158</v>
      </c>
      <c r="K505" s="7" t="s">
        <v>16864</v>
      </c>
      <c r="L505" s="198" t="s">
        <v>65</v>
      </c>
      <c r="M505" s="194"/>
      <c r="N505" s="194"/>
    </row>
    <row r="506">
      <c r="A506" s="193" t="s">
        <v>17513</v>
      </c>
      <c r="B506" s="7" t="s">
        <v>16864</v>
      </c>
      <c r="C506" s="7" t="s">
        <v>158</v>
      </c>
      <c r="D506" s="194">
        <v>2022.0</v>
      </c>
      <c r="E506" s="193"/>
      <c r="F506" s="195" t="s">
        <v>17514</v>
      </c>
      <c r="G506" s="200">
        <v>3.888639531E10</v>
      </c>
      <c r="H506" s="197">
        <v>20.48</v>
      </c>
      <c r="I506" s="7" t="s">
        <v>16815</v>
      </c>
      <c r="J506" s="7" t="s">
        <v>16864</v>
      </c>
      <c r="K506" s="7" t="s">
        <v>158</v>
      </c>
      <c r="L506" s="201" t="s">
        <v>16835</v>
      </c>
      <c r="M506" s="194"/>
      <c r="N506" s="194"/>
    </row>
    <row r="507">
      <c r="A507" s="193" t="s">
        <v>17515</v>
      </c>
      <c r="B507" s="7" t="s">
        <v>17127</v>
      </c>
      <c r="C507" s="7" t="s">
        <v>16838</v>
      </c>
      <c r="D507" s="199"/>
      <c r="E507" s="193"/>
      <c r="F507" s="195" t="s">
        <v>17516</v>
      </c>
      <c r="G507" s="200">
        <v>3.8818769842E10</v>
      </c>
      <c r="H507" s="197">
        <v>169.96</v>
      </c>
      <c r="I507" s="7" t="s">
        <v>16815</v>
      </c>
      <c r="J507" s="7" t="s">
        <v>17127</v>
      </c>
      <c r="K507" s="7" t="s">
        <v>16838</v>
      </c>
      <c r="L507" s="201" t="s">
        <v>16835</v>
      </c>
      <c r="M507" s="199"/>
      <c r="N507" s="199"/>
    </row>
    <row r="508">
      <c r="A508" s="193" t="s">
        <v>17515</v>
      </c>
      <c r="B508" s="7" t="s">
        <v>16838</v>
      </c>
      <c r="C508" s="7" t="s">
        <v>17127</v>
      </c>
      <c r="D508" s="199"/>
      <c r="E508" s="193"/>
      <c r="F508" s="195" t="s">
        <v>17516</v>
      </c>
      <c r="G508" s="196">
        <v>3.8818769842E10</v>
      </c>
      <c r="H508" s="197">
        <v>169.96</v>
      </c>
      <c r="I508" s="7" t="s">
        <v>16815</v>
      </c>
      <c r="J508" s="7" t="s">
        <v>16838</v>
      </c>
      <c r="K508" s="7" t="s">
        <v>17127</v>
      </c>
      <c r="L508" s="198" t="s">
        <v>65</v>
      </c>
      <c r="M508" s="199"/>
      <c r="N508" s="199"/>
    </row>
    <row r="509">
      <c r="A509" s="193" t="s">
        <v>17517</v>
      </c>
      <c r="B509" s="7" t="s">
        <v>16910</v>
      </c>
      <c r="C509" s="7" t="s">
        <v>17119</v>
      </c>
      <c r="D509" s="199"/>
      <c r="E509" s="193"/>
      <c r="F509" s="195" t="s">
        <v>17518</v>
      </c>
      <c r="G509" s="196">
        <v>3.8670140988E10</v>
      </c>
      <c r="H509" s="197">
        <v>72.5</v>
      </c>
      <c r="I509" s="7" t="s">
        <v>16856</v>
      </c>
      <c r="J509" s="7" t="s">
        <v>16910</v>
      </c>
      <c r="K509" s="7" t="s">
        <v>17119</v>
      </c>
      <c r="L509" s="198" t="s">
        <v>65</v>
      </c>
      <c r="M509" s="199"/>
      <c r="N509" s="199"/>
    </row>
    <row r="510">
      <c r="A510" s="193" t="s">
        <v>17517</v>
      </c>
      <c r="B510" s="7" t="s">
        <v>17119</v>
      </c>
      <c r="C510" s="7" t="s">
        <v>16910</v>
      </c>
      <c r="D510" s="199"/>
      <c r="E510" s="193"/>
      <c r="F510" s="195" t="s">
        <v>17518</v>
      </c>
      <c r="G510" s="200">
        <v>3.8670140988E10</v>
      </c>
      <c r="H510" s="197">
        <v>72.5</v>
      </c>
      <c r="I510" s="7" t="s">
        <v>16815</v>
      </c>
      <c r="J510" s="7" t="s">
        <v>17119</v>
      </c>
      <c r="K510" s="7" t="s">
        <v>16910</v>
      </c>
      <c r="L510" s="201" t="s">
        <v>16835</v>
      </c>
      <c r="M510" s="199"/>
      <c r="N510" s="199"/>
    </row>
    <row r="511">
      <c r="A511" s="193" t="s">
        <v>17519</v>
      </c>
      <c r="B511" s="7" t="s">
        <v>16851</v>
      </c>
      <c r="C511" s="7" t="s">
        <v>187</v>
      </c>
      <c r="D511" s="199"/>
      <c r="E511" s="193"/>
      <c r="F511" s="195" t="s">
        <v>17520</v>
      </c>
      <c r="G511" s="200">
        <v>3.839302587E10</v>
      </c>
      <c r="H511" s="197">
        <v>71.87</v>
      </c>
      <c r="I511" s="7" t="s">
        <v>16815</v>
      </c>
      <c r="J511" s="7" t="s">
        <v>16851</v>
      </c>
      <c r="K511" s="7" t="s">
        <v>187</v>
      </c>
      <c r="L511" s="201" t="s">
        <v>16835</v>
      </c>
      <c r="M511" s="199"/>
      <c r="N511" s="199"/>
    </row>
    <row r="512">
      <c r="A512" s="193" t="s">
        <v>17519</v>
      </c>
      <c r="B512" s="7" t="s">
        <v>187</v>
      </c>
      <c r="C512" s="7" t="s">
        <v>16851</v>
      </c>
      <c r="D512" s="199"/>
      <c r="E512" s="193"/>
      <c r="F512" s="195" t="s">
        <v>17520</v>
      </c>
      <c r="G512" s="196">
        <v>3.839302587E10</v>
      </c>
      <c r="H512" s="197">
        <v>71.87</v>
      </c>
      <c r="I512" s="7" t="s">
        <v>16815</v>
      </c>
      <c r="J512" s="7" t="s">
        <v>187</v>
      </c>
      <c r="K512" s="7" t="s">
        <v>16851</v>
      </c>
      <c r="L512" s="198" t="s">
        <v>65</v>
      </c>
      <c r="M512" s="199"/>
      <c r="N512" s="199"/>
    </row>
    <row r="513">
      <c r="A513" s="193" t="s">
        <v>17521</v>
      </c>
      <c r="B513" s="7" t="s">
        <v>175</v>
      </c>
      <c r="C513" s="7" t="s">
        <v>16842</v>
      </c>
      <c r="D513" s="194">
        <v>2020.0</v>
      </c>
      <c r="E513" s="193"/>
      <c r="F513" s="195" t="s">
        <v>17522</v>
      </c>
      <c r="G513" s="196">
        <v>3.8122600676E10</v>
      </c>
      <c r="H513" s="197">
        <v>36.96</v>
      </c>
      <c r="I513" s="7" t="s">
        <v>168</v>
      </c>
      <c r="J513" s="7" t="s">
        <v>175</v>
      </c>
      <c r="K513" s="7" t="s">
        <v>16842</v>
      </c>
      <c r="L513" s="198" t="s">
        <v>65</v>
      </c>
      <c r="M513" s="194"/>
      <c r="N513" s="194"/>
    </row>
    <row r="514">
      <c r="A514" s="193" t="s">
        <v>17523</v>
      </c>
      <c r="B514" s="7" t="s">
        <v>16910</v>
      </c>
      <c r="C514" s="7" t="s">
        <v>17119</v>
      </c>
      <c r="D514" s="199"/>
      <c r="E514" s="193"/>
      <c r="F514" s="195" t="s">
        <v>17524</v>
      </c>
      <c r="G514" s="196">
        <v>3.7945908069E10</v>
      </c>
      <c r="H514" s="197">
        <v>65.28</v>
      </c>
      <c r="I514" s="7" t="s">
        <v>127</v>
      </c>
      <c r="J514" s="7" t="s">
        <v>16910</v>
      </c>
      <c r="K514" s="7" t="s">
        <v>17119</v>
      </c>
      <c r="L514" s="198" t="s">
        <v>65</v>
      </c>
      <c r="M514" s="199"/>
      <c r="N514" s="199"/>
    </row>
    <row r="515">
      <c r="A515" s="193" t="s">
        <v>17523</v>
      </c>
      <c r="B515" s="7" t="s">
        <v>17119</v>
      </c>
      <c r="C515" s="7" t="s">
        <v>16910</v>
      </c>
      <c r="D515" s="199"/>
      <c r="E515" s="193"/>
      <c r="F515" s="195" t="s">
        <v>17524</v>
      </c>
      <c r="G515" s="200">
        <v>3.7945908069E10</v>
      </c>
      <c r="H515" s="197">
        <v>65.28</v>
      </c>
      <c r="I515" s="7" t="s">
        <v>16815</v>
      </c>
      <c r="J515" s="7" t="s">
        <v>17119</v>
      </c>
      <c r="K515" s="7" t="s">
        <v>16910</v>
      </c>
      <c r="L515" s="201" t="s">
        <v>16835</v>
      </c>
      <c r="M515" s="199"/>
      <c r="N515" s="199"/>
    </row>
    <row r="516">
      <c r="A516" s="193" t="s">
        <v>17525</v>
      </c>
      <c r="B516" s="7" t="s">
        <v>16582</v>
      </c>
      <c r="C516" s="7" t="s">
        <v>16828</v>
      </c>
      <c r="D516" s="199"/>
      <c r="E516" s="193"/>
      <c r="F516" s="195" t="s">
        <v>17526</v>
      </c>
      <c r="G516" s="196">
        <v>3.7754472921E10</v>
      </c>
      <c r="H516" s="197">
        <v>41.77</v>
      </c>
      <c r="I516" s="7" t="s">
        <v>16815</v>
      </c>
      <c r="J516" s="7" t="s">
        <v>16582</v>
      </c>
      <c r="K516" s="7" t="s">
        <v>16828</v>
      </c>
      <c r="L516" s="198" t="s">
        <v>65</v>
      </c>
      <c r="M516" s="199"/>
      <c r="N516" s="199"/>
    </row>
    <row r="517">
      <c r="A517" s="193" t="s">
        <v>17525</v>
      </c>
      <c r="B517" s="7" t="s">
        <v>16828</v>
      </c>
      <c r="C517" s="7" t="s">
        <v>16582</v>
      </c>
      <c r="D517" s="199"/>
      <c r="E517" s="193"/>
      <c r="F517" s="195" t="s">
        <v>17526</v>
      </c>
      <c r="G517" s="200">
        <v>3.7754472921E10</v>
      </c>
      <c r="H517" s="197">
        <v>41.77</v>
      </c>
      <c r="I517" s="7" t="s">
        <v>16815</v>
      </c>
      <c r="J517" s="7" t="s">
        <v>16828</v>
      </c>
      <c r="K517" s="7" t="s">
        <v>16582</v>
      </c>
      <c r="L517" s="201" t="s">
        <v>16835</v>
      </c>
      <c r="M517" s="199"/>
      <c r="N517" s="199"/>
    </row>
    <row r="518">
      <c r="A518" s="193" t="s">
        <v>17527</v>
      </c>
      <c r="B518" s="7" t="s">
        <v>17111</v>
      </c>
      <c r="C518" s="7" t="s">
        <v>17112</v>
      </c>
      <c r="D518" s="199"/>
      <c r="E518" s="193"/>
      <c r="F518" s="195" t="s">
        <v>17528</v>
      </c>
      <c r="G518" s="200">
        <v>3.7626114141E10</v>
      </c>
      <c r="H518" s="197">
        <v>115.33</v>
      </c>
      <c r="I518" s="7" t="s">
        <v>16815</v>
      </c>
      <c r="J518" s="7" t="s">
        <v>17111</v>
      </c>
      <c r="K518" s="7" t="s">
        <v>17112</v>
      </c>
      <c r="L518" s="201" t="s">
        <v>16835</v>
      </c>
      <c r="M518" s="199"/>
      <c r="N518" s="199"/>
    </row>
    <row r="519">
      <c r="A519" s="193" t="s">
        <v>17527</v>
      </c>
      <c r="B519" s="7" t="s">
        <v>17112</v>
      </c>
      <c r="C519" s="7" t="s">
        <v>17111</v>
      </c>
      <c r="D519" s="199"/>
      <c r="E519" s="193"/>
      <c r="F519" s="195" t="s">
        <v>17528</v>
      </c>
      <c r="G519" s="196">
        <v>3.7626114141E10</v>
      </c>
      <c r="H519" s="197">
        <v>115.33</v>
      </c>
      <c r="I519" s="7" t="s">
        <v>16815</v>
      </c>
      <c r="J519" s="7" t="s">
        <v>17112</v>
      </c>
      <c r="K519" s="7" t="s">
        <v>17111</v>
      </c>
      <c r="L519" s="198" t="s">
        <v>65</v>
      </c>
      <c r="M519" s="199"/>
      <c r="N519" s="199"/>
    </row>
    <row r="520">
      <c r="A520" s="193" t="s">
        <v>17529</v>
      </c>
      <c r="B520" s="7" t="s">
        <v>16919</v>
      </c>
      <c r="C520" s="7" t="s">
        <v>17048</v>
      </c>
      <c r="D520" s="199"/>
      <c r="E520" s="193"/>
      <c r="F520" s="195" t="s">
        <v>17530</v>
      </c>
      <c r="G520" s="196">
        <v>3.7622382824E10</v>
      </c>
      <c r="H520" s="197">
        <v>44.96</v>
      </c>
      <c r="I520" s="7" t="s">
        <v>16815</v>
      </c>
      <c r="J520" s="7" t="s">
        <v>16919</v>
      </c>
      <c r="K520" s="7" t="s">
        <v>17048</v>
      </c>
      <c r="L520" s="198" t="s">
        <v>65</v>
      </c>
      <c r="M520" s="199"/>
      <c r="N520" s="199"/>
    </row>
    <row r="521">
      <c r="A521" s="193" t="s">
        <v>17529</v>
      </c>
      <c r="B521" s="7" t="s">
        <v>17048</v>
      </c>
      <c r="C521" s="7" t="s">
        <v>16919</v>
      </c>
      <c r="D521" s="199"/>
      <c r="E521" s="193"/>
      <c r="F521" s="195" t="s">
        <v>17530</v>
      </c>
      <c r="G521" s="200">
        <v>3.7622382824E10</v>
      </c>
      <c r="H521" s="197">
        <v>44.96</v>
      </c>
      <c r="I521" s="7" t="s">
        <v>16815</v>
      </c>
      <c r="J521" s="7" t="s">
        <v>17048</v>
      </c>
      <c r="K521" s="7" t="s">
        <v>16919</v>
      </c>
      <c r="L521" s="201" t="s">
        <v>16835</v>
      </c>
      <c r="M521" s="199"/>
      <c r="N521" s="199"/>
    </row>
    <row r="522">
      <c r="A522" s="193" t="s">
        <v>17531</v>
      </c>
      <c r="B522" s="7" t="s">
        <v>17532</v>
      </c>
      <c r="C522" s="7" t="s">
        <v>169</v>
      </c>
      <c r="D522" s="199"/>
      <c r="E522" s="193"/>
      <c r="F522" s="195" t="s">
        <v>17533</v>
      </c>
      <c r="G522" s="200">
        <v>3.7519948027E10</v>
      </c>
      <c r="H522" s="197">
        <v>152.62</v>
      </c>
      <c r="I522" s="7" t="s">
        <v>16815</v>
      </c>
      <c r="J522" s="7" t="s">
        <v>17532</v>
      </c>
      <c r="K522" s="7" t="s">
        <v>169</v>
      </c>
      <c r="L522" s="201" t="s">
        <v>16835</v>
      </c>
      <c r="M522" s="199"/>
      <c r="N522" s="199"/>
    </row>
    <row r="523">
      <c r="A523" s="193" t="s">
        <v>17531</v>
      </c>
      <c r="B523" s="7" t="s">
        <v>169</v>
      </c>
      <c r="C523" s="7" t="s">
        <v>17532</v>
      </c>
      <c r="D523" s="199"/>
      <c r="E523" s="193"/>
      <c r="F523" s="195" t="s">
        <v>17533</v>
      </c>
      <c r="G523" s="196">
        <v>3.7519948027E10</v>
      </c>
      <c r="H523" s="197">
        <v>152.62</v>
      </c>
      <c r="I523" s="7" t="s">
        <v>16815</v>
      </c>
      <c r="J523" s="7" t="s">
        <v>169</v>
      </c>
      <c r="K523" s="7" t="s">
        <v>17532</v>
      </c>
      <c r="L523" s="198" t="s">
        <v>65</v>
      </c>
      <c r="M523" s="199"/>
      <c r="N523" s="199"/>
    </row>
    <row r="524">
      <c r="A524" s="193" t="s">
        <v>17534</v>
      </c>
      <c r="B524" s="7" t="s">
        <v>16919</v>
      </c>
      <c r="C524" s="7" t="s">
        <v>16864</v>
      </c>
      <c r="D524" s="199"/>
      <c r="E524" s="193"/>
      <c r="F524" s="195" t="s">
        <v>17535</v>
      </c>
      <c r="G524" s="196">
        <v>3.749296524E10</v>
      </c>
      <c r="H524" s="197">
        <v>64.36</v>
      </c>
      <c r="I524" s="7" t="s">
        <v>16815</v>
      </c>
      <c r="J524" s="7" t="s">
        <v>16919</v>
      </c>
      <c r="K524" s="7" t="s">
        <v>16864</v>
      </c>
      <c r="L524" s="198" t="s">
        <v>65</v>
      </c>
      <c r="M524" s="199"/>
      <c r="N524" s="199"/>
    </row>
    <row r="525">
      <c r="A525" s="193" t="s">
        <v>17534</v>
      </c>
      <c r="B525" s="7" t="s">
        <v>16864</v>
      </c>
      <c r="C525" s="7" t="s">
        <v>16919</v>
      </c>
      <c r="D525" s="199"/>
      <c r="E525" s="193"/>
      <c r="F525" s="195" t="s">
        <v>17535</v>
      </c>
      <c r="G525" s="200">
        <v>3.749296524E10</v>
      </c>
      <c r="H525" s="197">
        <v>64.36</v>
      </c>
      <c r="I525" s="7" t="s">
        <v>16815</v>
      </c>
      <c r="J525" s="7" t="s">
        <v>16864</v>
      </c>
      <c r="K525" s="7" t="s">
        <v>16919</v>
      </c>
      <c r="L525" s="201" t="s">
        <v>16835</v>
      </c>
      <c r="M525" s="199"/>
      <c r="N525" s="199"/>
    </row>
    <row r="526">
      <c r="A526" s="193" t="s">
        <v>17536</v>
      </c>
      <c r="B526" s="7" t="s">
        <v>175</v>
      </c>
      <c r="C526" s="7" t="s">
        <v>16878</v>
      </c>
      <c r="D526" s="194">
        <v>2022.0</v>
      </c>
      <c r="E526" s="193"/>
      <c r="F526" s="195" t="s">
        <v>17537</v>
      </c>
      <c r="G526" s="196">
        <v>3.735385115E10</v>
      </c>
      <c r="H526" s="197">
        <v>8.09</v>
      </c>
      <c r="I526" s="7" t="s">
        <v>16892</v>
      </c>
      <c r="J526" s="7" t="s">
        <v>175</v>
      </c>
      <c r="K526" s="7" t="s">
        <v>16878</v>
      </c>
      <c r="L526" s="198" t="s">
        <v>65</v>
      </c>
      <c r="M526" s="194"/>
      <c r="N526" s="194"/>
    </row>
    <row r="527">
      <c r="A527" s="193" t="s">
        <v>17536</v>
      </c>
      <c r="B527" s="7" t="s">
        <v>16878</v>
      </c>
      <c r="C527" s="7" t="s">
        <v>175</v>
      </c>
      <c r="D527" s="194">
        <v>2022.0</v>
      </c>
      <c r="E527" s="193"/>
      <c r="F527" s="195" t="s">
        <v>17537</v>
      </c>
      <c r="G527" s="200">
        <v>3.735385115E10</v>
      </c>
      <c r="H527" s="197">
        <v>8.09</v>
      </c>
      <c r="I527" s="7" t="s">
        <v>16815</v>
      </c>
      <c r="J527" s="7" t="s">
        <v>16878</v>
      </c>
      <c r="K527" s="7" t="s">
        <v>175</v>
      </c>
      <c r="L527" s="201" t="s">
        <v>16835</v>
      </c>
      <c r="M527" s="194"/>
      <c r="N527" s="194"/>
    </row>
    <row r="528">
      <c r="A528" s="193" t="s">
        <v>17538</v>
      </c>
      <c r="B528" s="7" t="s">
        <v>16582</v>
      </c>
      <c r="C528" s="7" t="s">
        <v>16583</v>
      </c>
      <c r="D528" s="194">
        <v>2005.0</v>
      </c>
      <c r="E528" s="193"/>
      <c r="F528" s="195" t="s">
        <v>17539</v>
      </c>
      <c r="G528" s="196">
        <v>3.7033782054E10</v>
      </c>
      <c r="H528" s="197">
        <v>105.94</v>
      </c>
      <c r="I528" s="7" t="s">
        <v>16815</v>
      </c>
      <c r="J528" s="7" t="s">
        <v>16582</v>
      </c>
      <c r="K528" s="7" t="s">
        <v>16583</v>
      </c>
      <c r="L528" s="198" t="s">
        <v>65</v>
      </c>
      <c r="M528" s="194"/>
      <c r="N528" s="194"/>
    </row>
    <row r="529">
      <c r="A529" s="193" t="s">
        <v>17540</v>
      </c>
      <c r="D529" s="199"/>
      <c r="E529" s="193"/>
      <c r="F529" s="195" t="s">
        <v>17541</v>
      </c>
      <c r="G529" s="196">
        <v>3.688965E10</v>
      </c>
      <c r="H529" s="197">
        <v>35.85</v>
      </c>
      <c r="I529" s="7" t="s">
        <v>16815</v>
      </c>
      <c r="L529" s="198" t="s">
        <v>65</v>
      </c>
      <c r="M529" s="199"/>
      <c r="N529" s="199"/>
    </row>
    <row r="530">
      <c r="A530" s="193" t="s">
        <v>17540</v>
      </c>
      <c r="D530" s="199"/>
      <c r="E530" s="193"/>
      <c r="F530" s="195" t="s">
        <v>17541</v>
      </c>
      <c r="G530" s="200">
        <v>3.688965E10</v>
      </c>
      <c r="H530" s="197">
        <v>35.85</v>
      </c>
      <c r="L530" s="201" t="s">
        <v>16835</v>
      </c>
      <c r="M530" s="199"/>
      <c r="N530" s="199"/>
    </row>
    <row r="531">
      <c r="A531" s="193" t="s">
        <v>17542</v>
      </c>
      <c r="B531" s="7" t="s">
        <v>175</v>
      </c>
      <c r="C531" s="7" t="s">
        <v>16842</v>
      </c>
      <c r="D531" s="194">
        <v>2010.0</v>
      </c>
      <c r="E531" s="193"/>
      <c r="F531" s="195" t="s">
        <v>17543</v>
      </c>
      <c r="G531" s="196">
        <v>3.6770570381E10</v>
      </c>
      <c r="H531" s="197">
        <v>26.85</v>
      </c>
      <c r="I531" s="7" t="s">
        <v>16908</v>
      </c>
      <c r="J531" s="7" t="s">
        <v>175</v>
      </c>
      <c r="K531" s="7" t="s">
        <v>16842</v>
      </c>
      <c r="L531" s="198" t="s">
        <v>65</v>
      </c>
      <c r="M531" s="194"/>
      <c r="N531" s="194"/>
    </row>
    <row r="532">
      <c r="A532" s="193" t="s">
        <v>17542</v>
      </c>
      <c r="B532" s="7" t="s">
        <v>16842</v>
      </c>
      <c r="C532" s="7" t="s">
        <v>175</v>
      </c>
      <c r="D532" s="194">
        <v>2010.0</v>
      </c>
      <c r="E532" s="193"/>
      <c r="F532" s="195" t="s">
        <v>17543</v>
      </c>
      <c r="G532" s="200">
        <v>3.6770570381E10</v>
      </c>
      <c r="H532" s="197">
        <v>26.85</v>
      </c>
      <c r="I532" s="7" t="s">
        <v>16815</v>
      </c>
      <c r="J532" s="7" t="s">
        <v>16842</v>
      </c>
      <c r="K532" s="7" t="s">
        <v>175</v>
      </c>
      <c r="L532" s="201" t="s">
        <v>16835</v>
      </c>
      <c r="M532" s="194"/>
      <c r="N532" s="194"/>
    </row>
    <row r="533">
      <c r="A533" s="193" t="s">
        <v>17544</v>
      </c>
      <c r="B533" s="7" t="s">
        <v>175</v>
      </c>
      <c r="C533" s="7" t="s">
        <v>17545</v>
      </c>
      <c r="D533" s="194">
        <v>2023.0</v>
      </c>
      <c r="E533" s="193"/>
      <c r="F533" s="195" t="s">
        <v>17546</v>
      </c>
      <c r="G533" s="196">
        <v>3.6672155878E10</v>
      </c>
      <c r="H533" s="197">
        <v>19.15</v>
      </c>
      <c r="I533" s="7" t="s">
        <v>168</v>
      </c>
      <c r="J533" s="7" t="s">
        <v>175</v>
      </c>
      <c r="K533" s="7" t="s">
        <v>17545</v>
      </c>
      <c r="L533" s="198" t="s">
        <v>65</v>
      </c>
      <c r="M533" s="194"/>
      <c r="N533" s="194"/>
    </row>
    <row r="534">
      <c r="A534" s="193" t="s">
        <v>17544</v>
      </c>
      <c r="B534" s="7" t="s">
        <v>17545</v>
      </c>
      <c r="C534" s="7" t="s">
        <v>175</v>
      </c>
      <c r="D534" s="194">
        <v>2023.0</v>
      </c>
      <c r="E534" s="193"/>
      <c r="F534" s="195" t="s">
        <v>17546</v>
      </c>
      <c r="G534" s="200">
        <v>3.6672155878E10</v>
      </c>
      <c r="H534" s="197">
        <v>19.15</v>
      </c>
      <c r="I534" s="7" t="s">
        <v>16815</v>
      </c>
      <c r="J534" s="7" t="s">
        <v>17545</v>
      </c>
      <c r="K534" s="7" t="s">
        <v>175</v>
      </c>
      <c r="L534" s="201" t="s">
        <v>16835</v>
      </c>
      <c r="M534" s="194"/>
      <c r="N534" s="194"/>
    </row>
    <row r="535">
      <c r="A535" s="193" t="s">
        <v>17547</v>
      </c>
      <c r="B535" s="7" t="s">
        <v>16919</v>
      </c>
      <c r="C535" s="7" t="s">
        <v>16920</v>
      </c>
      <c r="D535" s="194">
        <v>2011.0</v>
      </c>
      <c r="E535" s="193"/>
      <c r="F535" s="195" t="s">
        <v>17548</v>
      </c>
      <c r="G535" s="196">
        <v>3.6542403459E10</v>
      </c>
      <c r="H535" s="197">
        <v>16.44</v>
      </c>
      <c r="I535" s="7" t="s">
        <v>16815</v>
      </c>
      <c r="J535" s="7" t="s">
        <v>16919</v>
      </c>
      <c r="K535" s="7" t="s">
        <v>16920</v>
      </c>
      <c r="L535" s="198" t="s">
        <v>65</v>
      </c>
      <c r="M535" s="194"/>
      <c r="N535" s="194"/>
    </row>
    <row r="536">
      <c r="A536" s="193" t="s">
        <v>17547</v>
      </c>
      <c r="B536" s="7" t="s">
        <v>16920</v>
      </c>
      <c r="C536" s="7" t="s">
        <v>16919</v>
      </c>
      <c r="D536" s="194">
        <v>2011.0</v>
      </c>
      <c r="E536" s="193"/>
      <c r="F536" s="195" t="s">
        <v>17548</v>
      </c>
      <c r="G536" s="200">
        <v>3.6542403459E10</v>
      </c>
      <c r="H536" s="197">
        <v>16.44</v>
      </c>
      <c r="I536" s="7" t="s">
        <v>16815</v>
      </c>
      <c r="J536" s="7" t="s">
        <v>16920</v>
      </c>
      <c r="K536" s="7" t="s">
        <v>16919</v>
      </c>
      <c r="L536" s="201" t="s">
        <v>16835</v>
      </c>
      <c r="M536" s="194"/>
      <c r="N536" s="194"/>
    </row>
    <row r="537">
      <c r="A537" s="193" t="s">
        <v>17549</v>
      </c>
      <c r="B537" s="7" t="s">
        <v>175</v>
      </c>
      <c r="C537" s="7" t="s">
        <v>17168</v>
      </c>
      <c r="D537" s="194">
        <v>2004.0</v>
      </c>
      <c r="E537" s="193"/>
      <c r="F537" s="195" t="s">
        <v>17550</v>
      </c>
      <c r="G537" s="196">
        <v>3.6504439234E10</v>
      </c>
      <c r="H537" s="197">
        <v>47.75</v>
      </c>
      <c r="I537" s="7" t="s">
        <v>168</v>
      </c>
      <c r="J537" s="7" t="s">
        <v>175</v>
      </c>
      <c r="K537" s="7" t="s">
        <v>17168</v>
      </c>
      <c r="L537" s="198" t="s">
        <v>65</v>
      </c>
      <c r="M537" s="194"/>
      <c r="N537" s="194"/>
    </row>
    <row r="538">
      <c r="A538" s="193" t="s">
        <v>17549</v>
      </c>
      <c r="B538" s="7" t="s">
        <v>17168</v>
      </c>
      <c r="C538" s="7" t="s">
        <v>175</v>
      </c>
      <c r="D538" s="194">
        <v>2004.0</v>
      </c>
      <c r="E538" s="193"/>
      <c r="F538" s="195" t="s">
        <v>17550</v>
      </c>
      <c r="G538" s="200">
        <v>3.6504439234E10</v>
      </c>
      <c r="H538" s="197">
        <v>47.75</v>
      </c>
      <c r="I538" s="7" t="s">
        <v>16815</v>
      </c>
      <c r="J538" s="7" t="s">
        <v>17168</v>
      </c>
      <c r="K538" s="7" t="s">
        <v>175</v>
      </c>
      <c r="L538" s="201" t="s">
        <v>16835</v>
      </c>
      <c r="M538" s="194"/>
      <c r="N538" s="194"/>
    </row>
    <row r="539">
      <c r="A539" s="193" t="s">
        <v>17551</v>
      </c>
      <c r="B539" s="7" t="s">
        <v>17552</v>
      </c>
      <c r="C539" s="7" t="s">
        <v>187</v>
      </c>
      <c r="D539" s="194">
        <v>2019.0</v>
      </c>
      <c r="E539" s="193"/>
      <c r="F539" s="195" t="s">
        <v>17553</v>
      </c>
      <c r="G539" s="200">
        <v>3.6418136E10</v>
      </c>
      <c r="H539" s="197">
        <v>72.88</v>
      </c>
      <c r="I539" s="7" t="s">
        <v>16815</v>
      </c>
      <c r="J539" s="7" t="s">
        <v>17552</v>
      </c>
      <c r="K539" s="7" t="s">
        <v>187</v>
      </c>
      <c r="L539" s="201" t="s">
        <v>16835</v>
      </c>
      <c r="M539" s="194"/>
      <c r="N539" s="194"/>
    </row>
    <row r="540">
      <c r="A540" s="193" t="s">
        <v>17551</v>
      </c>
      <c r="B540" s="7" t="s">
        <v>187</v>
      </c>
      <c r="C540" s="7" t="s">
        <v>17552</v>
      </c>
      <c r="D540" s="194">
        <v>2019.0</v>
      </c>
      <c r="E540" s="193"/>
      <c r="F540" s="195" t="s">
        <v>17553</v>
      </c>
      <c r="G540" s="196">
        <v>3.6418136E10</v>
      </c>
      <c r="H540" s="197">
        <v>72.88</v>
      </c>
      <c r="I540" s="7" t="s">
        <v>16815</v>
      </c>
      <c r="J540" s="7" t="s">
        <v>187</v>
      </c>
      <c r="K540" s="7" t="s">
        <v>17552</v>
      </c>
      <c r="L540" s="198" t="s">
        <v>65</v>
      </c>
      <c r="M540" s="194"/>
      <c r="N540" s="194"/>
    </row>
    <row r="541">
      <c r="A541" s="193" t="s">
        <v>17554</v>
      </c>
      <c r="B541" s="7" t="s">
        <v>187</v>
      </c>
      <c r="C541" s="7" t="s">
        <v>16969</v>
      </c>
      <c r="D541" s="194">
        <v>2005.0</v>
      </c>
      <c r="E541" s="193"/>
      <c r="F541" s="195" t="s">
        <v>17555</v>
      </c>
      <c r="G541" s="196">
        <v>3.6338468587E10</v>
      </c>
      <c r="H541" s="197">
        <v>94.05</v>
      </c>
      <c r="I541" s="7" t="s">
        <v>16815</v>
      </c>
      <c r="J541" s="7" t="s">
        <v>187</v>
      </c>
      <c r="K541" s="7" t="s">
        <v>16969</v>
      </c>
      <c r="L541" s="198" t="s">
        <v>65</v>
      </c>
      <c r="M541" s="194"/>
      <c r="N541" s="194"/>
    </row>
    <row r="542">
      <c r="A542" s="193" t="s">
        <v>17556</v>
      </c>
      <c r="B542" s="7" t="s">
        <v>17111</v>
      </c>
      <c r="C542" s="7" t="s">
        <v>17112</v>
      </c>
      <c r="D542" s="199"/>
      <c r="E542" s="193"/>
      <c r="F542" s="195" t="s">
        <v>17557</v>
      </c>
      <c r="G542" s="200">
        <v>3.6239617619E10</v>
      </c>
      <c r="H542" s="197">
        <v>50.06</v>
      </c>
      <c r="I542" s="7" t="s">
        <v>16815</v>
      </c>
      <c r="J542" s="7" t="s">
        <v>17111</v>
      </c>
      <c r="K542" s="7" t="s">
        <v>17112</v>
      </c>
      <c r="L542" s="201" t="s">
        <v>16835</v>
      </c>
      <c r="M542" s="199"/>
      <c r="N542" s="199"/>
    </row>
    <row r="543">
      <c r="A543" s="193" t="s">
        <v>17556</v>
      </c>
      <c r="B543" s="7" t="s">
        <v>17112</v>
      </c>
      <c r="C543" s="7" t="s">
        <v>17111</v>
      </c>
      <c r="D543" s="199"/>
      <c r="E543" s="193"/>
      <c r="F543" s="195" t="s">
        <v>17557</v>
      </c>
      <c r="G543" s="196">
        <v>3.6239617619E10</v>
      </c>
      <c r="H543" s="197">
        <v>50.06</v>
      </c>
      <c r="I543" s="7" t="s">
        <v>16815</v>
      </c>
      <c r="J543" s="7" t="s">
        <v>17112</v>
      </c>
      <c r="K543" s="7" t="s">
        <v>17111</v>
      </c>
      <c r="L543" s="198" t="s">
        <v>65</v>
      </c>
      <c r="M543" s="199"/>
      <c r="N543" s="199"/>
    </row>
    <row r="544">
      <c r="A544" s="193" t="s">
        <v>17558</v>
      </c>
      <c r="B544" s="7" t="s">
        <v>187</v>
      </c>
      <c r="C544" s="7" t="s">
        <v>17559</v>
      </c>
      <c r="D544" s="194">
        <v>2013.0</v>
      </c>
      <c r="E544" s="193"/>
      <c r="F544" s="195" t="s">
        <v>17560</v>
      </c>
      <c r="G544" s="196">
        <v>3.576635E10</v>
      </c>
      <c r="H544" s="197">
        <v>195.98</v>
      </c>
      <c r="I544" s="7" t="s">
        <v>16815</v>
      </c>
      <c r="J544" s="7" t="s">
        <v>187</v>
      </c>
      <c r="K544" s="7" t="s">
        <v>17559</v>
      </c>
      <c r="L544" s="198" t="s">
        <v>65</v>
      </c>
      <c r="M544" s="194"/>
      <c r="N544" s="194"/>
    </row>
    <row r="545">
      <c r="A545" s="193" t="s">
        <v>17558</v>
      </c>
      <c r="B545" s="7" t="s">
        <v>17559</v>
      </c>
      <c r="C545" s="7" t="s">
        <v>187</v>
      </c>
      <c r="D545" s="194">
        <v>2013.0</v>
      </c>
      <c r="E545" s="193"/>
      <c r="F545" s="195" t="s">
        <v>17560</v>
      </c>
      <c r="G545" s="200">
        <v>3.576635E10</v>
      </c>
      <c r="H545" s="197">
        <v>195.98</v>
      </c>
      <c r="I545" s="7" t="s">
        <v>16815</v>
      </c>
      <c r="J545" s="7" t="s">
        <v>17559</v>
      </c>
      <c r="K545" s="7" t="s">
        <v>187</v>
      </c>
      <c r="L545" s="201" t="s">
        <v>16835</v>
      </c>
      <c r="M545" s="194"/>
      <c r="N545" s="194"/>
    </row>
    <row r="546">
      <c r="A546" s="193" t="s">
        <v>17561</v>
      </c>
      <c r="B546" s="7" t="s">
        <v>16582</v>
      </c>
      <c r="C546" s="7" t="s">
        <v>16817</v>
      </c>
      <c r="D546" s="199"/>
      <c r="E546" s="193"/>
      <c r="F546" s="195" t="s">
        <v>17562</v>
      </c>
      <c r="G546" s="196">
        <v>3.5713364833E10</v>
      </c>
      <c r="H546" s="197">
        <v>132.78</v>
      </c>
      <c r="I546" s="7" t="s">
        <v>16815</v>
      </c>
      <c r="J546" s="7" t="s">
        <v>16582</v>
      </c>
      <c r="K546" s="7" t="s">
        <v>16817</v>
      </c>
      <c r="L546" s="198" t="s">
        <v>65</v>
      </c>
      <c r="M546" s="199"/>
      <c r="N546" s="199"/>
    </row>
    <row r="547">
      <c r="A547" s="193" t="s">
        <v>17563</v>
      </c>
      <c r="B547" s="7" t="s">
        <v>187</v>
      </c>
      <c r="C547" s="7" t="s">
        <v>17564</v>
      </c>
      <c r="D547" s="194">
        <v>1991.0</v>
      </c>
      <c r="E547" s="193"/>
      <c r="F547" s="195" t="s">
        <v>17565</v>
      </c>
      <c r="G547" s="196">
        <v>3.5606756198E10</v>
      </c>
      <c r="H547" s="197">
        <v>428.73</v>
      </c>
      <c r="I547" s="7" t="s">
        <v>16815</v>
      </c>
      <c r="J547" s="7" t="s">
        <v>187</v>
      </c>
      <c r="K547" s="7" t="s">
        <v>17564</v>
      </c>
      <c r="L547" s="198" t="s">
        <v>65</v>
      </c>
      <c r="M547" s="194"/>
      <c r="N547" s="194"/>
    </row>
    <row r="548">
      <c r="A548" s="193" t="s">
        <v>17566</v>
      </c>
      <c r="B548" s="7" t="s">
        <v>175</v>
      </c>
      <c r="C548" s="7" t="s">
        <v>16942</v>
      </c>
      <c r="D548" s="199"/>
      <c r="E548" s="193"/>
      <c r="F548" s="195" t="s">
        <v>17567</v>
      </c>
      <c r="G548" s="196">
        <v>3.5304820183E10</v>
      </c>
      <c r="H548" s="197">
        <v>125.95</v>
      </c>
      <c r="I548" s="7" t="s">
        <v>16856</v>
      </c>
      <c r="J548" s="7" t="s">
        <v>175</v>
      </c>
      <c r="K548" s="7" t="s">
        <v>16942</v>
      </c>
      <c r="L548" s="198" t="s">
        <v>65</v>
      </c>
      <c r="M548" s="199"/>
      <c r="N548" s="199"/>
    </row>
    <row r="549">
      <c r="A549" s="193" t="s">
        <v>17566</v>
      </c>
      <c r="B549" s="7" t="s">
        <v>16942</v>
      </c>
      <c r="C549" s="7" t="s">
        <v>175</v>
      </c>
      <c r="D549" s="199"/>
      <c r="E549" s="193"/>
      <c r="F549" s="195" t="s">
        <v>17567</v>
      </c>
      <c r="G549" s="200">
        <v>3.5304820183E10</v>
      </c>
      <c r="H549" s="197">
        <v>125.95</v>
      </c>
      <c r="I549" s="7" t="s">
        <v>16815</v>
      </c>
      <c r="J549" s="7" t="s">
        <v>16942</v>
      </c>
      <c r="K549" s="7" t="s">
        <v>175</v>
      </c>
      <c r="L549" s="201" t="s">
        <v>16835</v>
      </c>
      <c r="M549" s="199"/>
      <c r="N549" s="199"/>
    </row>
    <row r="550">
      <c r="A550" s="193" t="s">
        <v>17568</v>
      </c>
      <c r="B550" s="7" t="s">
        <v>158</v>
      </c>
      <c r="C550" s="7" t="s">
        <v>16864</v>
      </c>
      <c r="D550" s="194">
        <v>2012.0</v>
      </c>
      <c r="E550" s="193"/>
      <c r="F550" s="195" t="s">
        <v>17569</v>
      </c>
      <c r="G550" s="196">
        <v>3.5202791267E10</v>
      </c>
      <c r="H550" s="197">
        <v>35.16</v>
      </c>
      <c r="I550" s="7" t="s">
        <v>17098</v>
      </c>
      <c r="J550" s="7" t="s">
        <v>158</v>
      </c>
      <c r="K550" s="7" t="s">
        <v>16864</v>
      </c>
      <c r="L550" s="198" t="s">
        <v>65</v>
      </c>
      <c r="M550" s="194"/>
      <c r="N550" s="194"/>
    </row>
    <row r="551">
      <c r="A551" s="193" t="s">
        <v>17568</v>
      </c>
      <c r="B551" s="7" t="s">
        <v>16864</v>
      </c>
      <c r="C551" s="7" t="s">
        <v>158</v>
      </c>
      <c r="D551" s="194">
        <v>2012.0</v>
      </c>
      <c r="E551" s="193"/>
      <c r="F551" s="195" t="s">
        <v>17569</v>
      </c>
      <c r="G551" s="200">
        <v>3.5202791267E10</v>
      </c>
      <c r="H551" s="197">
        <v>35.16</v>
      </c>
      <c r="I551" s="7" t="s">
        <v>16815</v>
      </c>
      <c r="J551" s="7" t="s">
        <v>16864</v>
      </c>
      <c r="K551" s="7" t="s">
        <v>158</v>
      </c>
      <c r="L551" s="201" t="s">
        <v>16835</v>
      </c>
      <c r="M551" s="194"/>
      <c r="N551" s="194"/>
    </row>
    <row r="552">
      <c r="A552" s="193" t="s">
        <v>17570</v>
      </c>
      <c r="B552" s="7" t="s">
        <v>16957</v>
      </c>
      <c r="C552" s="7" t="s">
        <v>16926</v>
      </c>
      <c r="D552" s="199"/>
      <c r="E552" s="193"/>
      <c r="F552" s="195" t="s">
        <v>17571</v>
      </c>
      <c r="G552" s="200">
        <v>3.5122559164E10</v>
      </c>
      <c r="H552" s="197">
        <v>38.5</v>
      </c>
      <c r="I552" s="7" t="s">
        <v>16815</v>
      </c>
      <c r="J552" s="7" t="s">
        <v>16957</v>
      </c>
      <c r="K552" s="7" t="s">
        <v>16926</v>
      </c>
      <c r="L552" s="201" t="s">
        <v>16835</v>
      </c>
      <c r="M552" s="199"/>
      <c r="N552" s="199"/>
    </row>
    <row r="553">
      <c r="A553" s="193" t="s">
        <v>17570</v>
      </c>
      <c r="B553" s="7" t="s">
        <v>16926</v>
      </c>
      <c r="C553" s="7" t="s">
        <v>16957</v>
      </c>
      <c r="D553" s="199"/>
      <c r="E553" s="193"/>
      <c r="F553" s="195" t="s">
        <v>17571</v>
      </c>
      <c r="G553" s="196">
        <v>3.5122559164E10</v>
      </c>
      <c r="H553" s="197">
        <v>38.5</v>
      </c>
      <c r="I553" s="7" t="s">
        <v>16815</v>
      </c>
      <c r="J553" s="7" t="s">
        <v>16926</v>
      </c>
      <c r="K553" s="7" t="s">
        <v>16957</v>
      </c>
      <c r="L553" s="198" t="s">
        <v>65</v>
      </c>
      <c r="M553" s="199"/>
      <c r="N553" s="199"/>
    </row>
    <row r="554">
      <c r="A554" s="193" t="s">
        <v>17572</v>
      </c>
      <c r="B554" s="7" t="s">
        <v>16867</v>
      </c>
      <c r="C554" s="7" t="s">
        <v>16838</v>
      </c>
      <c r="D554" s="199"/>
      <c r="E554" s="193"/>
      <c r="F554" s="195" t="s">
        <v>17573</v>
      </c>
      <c r="G554" s="200">
        <v>3.5115885873E10</v>
      </c>
      <c r="H554" s="197">
        <v>45.66</v>
      </c>
      <c r="I554" s="7" t="s">
        <v>16815</v>
      </c>
      <c r="J554" s="7" t="s">
        <v>16867</v>
      </c>
      <c r="K554" s="7" t="s">
        <v>16838</v>
      </c>
      <c r="L554" s="201" t="s">
        <v>16835</v>
      </c>
      <c r="M554" s="199"/>
      <c r="N554" s="199"/>
    </row>
    <row r="555">
      <c r="A555" s="193" t="s">
        <v>17572</v>
      </c>
      <c r="B555" s="7" t="s">
        <v>16838</v>
      </c>
      <c r="C555" s="7" t="s">
        <v>16867</v>
      </c>
      <c r="D555" s="199"/>
      <c r="E555" s="193"/>
      <c r="F555" s="195" t="s">
        <v>17573</v>
      </c>
      <c r="G555" s="196">
        <v>3.5115885873E10</v>
      </c>
      <c r="H555" s="197">
        <v>45.66</v>
      </c>
      <c r="I555" s="7" t="s">
        <v>16815</v>
      </c>
      <c r="J555" s="7" t="s">
        <v>16838</v>
      </c>
      <c r="K555" s="7" t="s">
        <v>16867</v>
      </c>
      <c r="L555" s="198" t="s">
        <v>65</v>
      </c>
      <c r="M555" s="199"/>
      <c r="N555" s="199"/>
    </row>
    <row r="556">
      <c r="A556" s="193" t="s">
        <v>17574</v>
      </c>
      <c r="B556" s="7" t="s">
        <v>169</v>
      </c>
      <c r="C556" s="7" t="s">
        <v>16899</v>
      </c>
      <c r="D556" s="199"/>
      <c r="E556" s="193"/>
      <c r="F556" s="195" t="s">
        <v>17575</v>
      </c>
      <c r="G556" s="196">
        <v>3.4866401743E10</v>
      </c>
      <c r="H556" s="197">
        <v>51.25</v>
      </c>
      <c r="I556" s="7" t="s">
        <v>16815</v>
      </c>
      <c r="J556" s="7" t="s">
        <v>169</v>
      </c>
      <c r="K556" s="7" t="s">
        <v>16899</v>
      </c>
      <c r="L556" s="198" t="s">
        <v>65</v>
      </c>
      <c r="M556" s="199"/>
      <c r="N556" s="199"/>
    </row>
    <row r="557">
      <c r="A557" s="193" t="s">
        <v>17574</v>
      </c>
      <c r="B557" s="7" t="s">
        <v>16899</v>
      </c>
      <c r="C557" s="7" t="s">
        <v>169</v>
      </c>
      <c r="D557" s="199"/>
      <c r="E557" s="193"/>
      <c r="F557" s="195" t="s">
        <v>17575</v>
      </c>
      <c r="G557" s="200">
        <v>3.4866401743E10</v>
      </c>
      <c r="H557" s="197">
        <v>51.25</v>
      </c>
      <c r="I557" s="7" t="s">
        <v>16815</v>
      </c>
      <c r="J557" s="7" t="s">
        <v>16899</v>
      </c>
      <c r="K557" s="7" t="s">
        <v>169</v>
      </c>
      <c r="L557" s="201" t="s">
        <v>16835</v>
      </c>
      <c r="M557" s="199"/>
      <c r="N557" s="199"/>
    </row>
    <row r="558">
      <c r="A558" s="193" t="s">
        <v>47</v>
      </c>
      <c r="B558" s="7" t="s">
        <v>169</v>
      </c>
      <c r="C558" s="7" t="s">
        <v>16899</v>
      </c>
      <c r="D558" s="199"/>
      <c r="E558" s="193"/>
      <c r="F558" s="195" t="s">
        <v>17576</v>
      </c>
      <c r="G558" s="196">
        <v>3.4831315864E10</v>
      </c>
      <c r="H558" s="197">
        <v>87.47</v>
      </c>
      <c r="I558" s="7" t="s">
        <v>16815</v>
      </c>
      <c r="J558" s="7" t="s">
        <v>169</v>
      </c>
      <c r="K558" s="7" t="s">
        <v>16899</v>
      </c>
      <c r="L558" s="198" t="s">
        <v>65</v>
      </c>
      <c r="M558" s="199"/>
      <c r="N558" s="199"/>
    </row>
    <row r="559">
      <c r="A559" s="193" t="s">
        <v>17577</v>
      </c>
      <c r="D559" s="199"/>
      <c r="E559" s="193"/>
      <c r="F559" s="195" t="s">
        <v>17578</v>
      </c>
      <c r="G559" s="196">
        <v>3.4817598671E10</v>
      </c>
      <c r="H559" s="197">
        <v>37.68</v>
      </c>
      <c r="I559" s="7" t="s">
        <v>16815</v>
      </c>
      <c r="L559" s="198" t="s">
        <v>65</v>
      </c>
      <c r="M559" s="199"/>
      <c r="N559" s="199"/>
    </row>
    <row r="560">
      <c r="A560" s="193" t="s">
        <v>17577</v>
      </c>
      <c r="D560" s="199"/>
      <c r="E560" s="193"/>
      <c r="F560" s="195" t="s">
        <v>17578</v>
      </c>
      <c r="G560" s="200">
        <v>3.4817598671E10</v>
      </c>
      <c r="H560" s="197">
        <v>37.68</v>
      </c>
      <c r="L560" s="201" t="s">
        <v>16835</v>
      </c>
      <c r="M560" s="199"/>
      <c r="N560" s="199"/>
    </row>
    <row r="561">
      <c r="A561" s="193" t="s">
        <v>17579</v>
      </c>
      <c r="B561" s="7" t="s">
        <v>169</v>
      </c>
      <c r="C561" s="7" t="s">
        <v>16899</v>
      </c>
      <c r="D561" s="199"/>
      <c r="E561" s="193"/>
      <c r="F561" s="195" t="s">
        <v>17580</v>
      </c>
      <c r="G561" s="196">
        <v>3.4804437476E10</v>
      </c>
      <c r="H561" s="197">
        <v>150.8</v>
      </c>
      <c r="I561" s="7" t="s">
        <v>16815</v>
      </c>
      <c r="J561" s="7" t="s">
        <v>169</v>
      </c>
      <c r="K561" s="7" t="s">
        <v>16899</v>
      </c>
      <c r="L561" s="198" t="s">
        <v>65</v>
      </c>
      <c r="M561" s="199"/>
      <c r="N561" s="199"/>
    </row>
    <row r="562">
      <c r="A562" s="193" t="s">
        <v>17579</v>
      </c>
      <c r="B562" s="7" t="s">
        <v>16899</v>
      </c>
      <c r="C562" s="7" t="s">
        <v>169</v>
      </c>
      <c r="D562" s="199"/>
      <c r="E562" s="193"/>
      <c r="F562" s="195" t="s">
        <v>17580</v>
      </c>
      <c r="G562" s="200">
        <v>3.4804437476E10</v>
      </c>
      <c r="H562" s="197">
        <v>150.8</v>
      </c>
      <c r="I562" s="7" t="s">
        <v>16815</v>
      </c>
      <c r="J562" s="7" t="s">
        <v>16899</v>
      </c>
      <c r="K562" s="7" t="s">
        <v>169</v>
      </c>
      <c r="L562" s="201" t="s">
        <v>16835</v>
      </c>
      <c r="M562" s="199"/>
      <c r="N562" s="199"/>
    </row>
    <row r="563">
      <c r="A563" s="193" t="s">
        <v>17581</v>
      </c>
      <c r="B563" s="7" t="s">
        <v>175</v>
      </c>
      <c r="C563" s="7" t="s">
        <v>17457</v>
      </c>
      <c r="D563" s="199"/>
      <c r="E563" s="193"/>
      <c r="F563" s="195" t="s">
        <v>17582</v>
      </c>
      <c r="G563" s="196">
        <v>3.4748168658E10</v>
      </c>
      <c r="H563" s="197">
        <v>122.2</v>
      </c>
      <c r="I563" s="7" t="s">
        <v>168</v>
      </c>
      <c r="J563" s="7" t="s">
        <v>175</v>
      </c>
      <c r="K563" s="7" t="s">
        <v>17457</v>
      </c>
      <c r="L563" s="198" t="s">
        <v>65</v>
      </c>
      <c r="M563" s="199"/>
      <c r="N563" s="199"/>
    </row>
    <row r="564">
      <c r="A564" s="193" t="s">
        <v>17581</v>
      </c>
      <c r="B564" s="7" t="s">
        <v>17457</v>
      </c>
      <c r="C564" s="7" t="s">
        <v>175</v>
      </c>
      <c r="D564" s="199"/>
      <c r="E564" s="193"/>
      <c r="F564" s="195" t="s">
        <v>17582</v>
      </c>
      <c r="G564" s="200">
        <v>3.4748168658E10</v>
      </c>
      <c r="H564" s="197">
        <v>122.2</v>
      </c>
      <c r="I564" s="7" t="s">
        <v>16815</v>
      </c>
      <c r="J564" s="7" t="s">
        <v>17457</v>
      </c>
      <c r="K564" s="7" t="s">
        <v>175</v>
      </c>
      <c r="L564" s="201" t="s">
        <v>16835</v>
      </c>
      <c r="M564" s="199"/>
      <c r="N564" s="199"/>
    </row>
    <row r="565">
      <c r="A565" s="193" t="s">
        <v>17583</v>
      </c>
      <c r="B565" s="7" t="s">
        <v>16945</v>
      </c>
      <c r="C565" s="7" t="s">
        <v>169</v>
      </c>
      <c r="D565" s="194">
        <v>2019.0</v>
      </c>
      <c r="E565" s="193"/>
      <c r="F565" s="195" t="s">
        <v>17584</v>
      </c>
      <c r="G565" s="200">
        <v>3.4705123857E10</v>
      </c>
      <c r="H565" s="197">
        <v>49.48</v>
      </c>
      <c r="I565" s="7" t="s">
        <v>16815</v>
      </c>
      <c r="J565" s="7" t="s">
        <v>16945</v>
      </c>
      <c r="K565" s="7" t="s">
        <v>169</v>
      </c>
      <c r="L565" s="201" t="s">
        <v>16835</v>
      </c>
      <c r="M565" s="194"/>
      <c r="N565" s="194"/>
    </row>
    <row r="566">
      <c r="A566" s="193" t="s">
        <v>17583</v>
      </c>
      <c r="B566" s="7" t="s">
        <v>169</v>
      </c>
      <c r="C566" s="7" t="s">
        <v>16945</v>
      </c>
      <c r="D566" s="194">
        <v>2019.0</v>
      </c>
      <c r="E566" s="193"/>
      <c r="F566" s="195" t="s">
        <v>17584</v>
      </c>
      <c r="G566" s="196">
        <v>3.4705123857E10</v>
      </c>
      <c r="H566" s="197">
        <v>49.48</v>
      </c>
      <c r="I566" s="7" t="s">
        <v>16815</v>
      </c>
      <c r="J566" s="7" t="s">
        <v>169</v>
      </c>
      <c r="K566" s="7" t="s">
        <v>16945</v>
      </c>
      <c r="L566" s="198" t="s">
        <v>65</v>
      </c>
      <c r="M566" s="194"/>
      <c r="N566" s="194"/>
    </row>
    <row r="567">
      <c r="A567" s="193" t="s">
        <v>17585</v>
      </c>
      <c r="B567" s="7" t="s">
        <v>169</v>
      </c>
      <c r="C567" s="7" t="s">
        <v>17321</v>
      </c>
      <c r="D567" s="199"/>
      <c r="E567" s="193"/>
      <c r="F567" s="195" t="s">
        <v>17586</v>
      </c>
      <c r="G567" s="196">
        <v>3.4554071886E10</v>
      </c>
      <c r="H567" s="197">
        <v>34.34</v>
      </c>
      <c r="I567" s="7" t="s">
        <v>16815</v>
      </c>
      <c r="J567" s="7" t="s">
        <v>169</v>
      </c>
      <c r="K567" s="7" t="s">
        <v>17321</v>
      </c>
      <c r="L567" s="198" t="s">
        <v>65</v>
      </c>
      <c r="M567" s="199"/>
      <c r="N567" s="199"/>
    </row>
    <row r="568">
      <c r="A568" s="193" t="s">
        <v>17587</v>
      </c>
      <c r="B568" s="7" t="s">
        <v>169</v>
      </c>
      <c r="C568" s="7" t="s">
        <v>16899</v>
      </c>
      <c r="D568" s="199"/>
      <c r="E568" s="193"/>
      <c r="F568" s="195" t="s">
        <v>17588</v>
      </c>
      <c r="G568" s="196">
        <v>3.452854716E10</v>
      </c>
      <c r="H568" s="197">
        <v>182.17</v>
      </c>
      <c r="I568" s="7" t="s">
        <v>16815</v>
      </c>
      <c r="J568" s="7" t="s">
        <v>169</v>
      </c>
      <c r="K568" s="7" t="s">
        <v>16899</v>
      </c>
      <c r="L568" s="198" t="s">
        <v>65</v>
      </c>
      <c r="M568" s="199"/>
      <c r="N568" s="199"/>
    </row>
    <row r="569">
      <c r="A569" s="193" t="s">
        <v>17587</v>
      </c>
      <c r="B569" s="7" t="s">
        <v>16899</v>
      </c>
      <c r="C569" s="7" t="s">
        <v>169</v>
      </c>
      <c r="D569" s="199"/>
      <c r="E569" s="193"/>
      <c r="F569" s="195" t="s">
        <v>17588</v>
      </c>
      <c r="G569" s="200">
        <v>3.452854716E10</v>
      </c>
      <c r="H569" s="197">
        <v>182.17</v>
      </c>
      <c r="I569" s="7" t="s">
        <v>16815</v>
      </c>
      <c r="J569" s="7" t="s">
        <v>16899</v>
      </c>
      <c r="K569" s="7" t="s">
        <v>169</v>
      </c>
      <c r="L569" s="201" t="s">
        <v>16835</v>
      </c>
      <c r="M569" s="199"/>
      <c r="N569" s="199"/>
    </row>
    <row r="570">
      <c r="A570" s="193" t="s">
        <v>17589</v>
      </c>
      <c r="B570" s="7" t="s">
        <v>175</v>
      </c>
      <c r="C570" s="7" t="s">
        <v>16854</v>
      </c>
      <c r="D570" s="194">
        <v>2009.0</v>
      </c>
      <c r="E570" s="193"/>
      <c r="F570" s="195" t="s">
        <v>17590</v>
      </c>
      <c r="G570" s="196">
        <v>3.4496651745E10</v>
      </c>
      <c r="H570" s="197">
        <v>237.93</v>
      </c>
      <c r="I570" s="7" t="s">
        <v>16856</v>
      </c>
      <c r="J570" s="7" t="s">
        <v>175</v>
      </c>
      <c r="K570" s="7" t="s">
        <v>16854</v>
      </c>
      <c r="L570" s="198" t="s">
        <v>65</v>
      </c>
      <c r="M570" s="194"/>
      <c r="N570" s="194"/>
    </row>
    <row r="571">
      <c r="A571" s="193" t="s">
        <v>17591</v>
      </c>
      <c r="B571" s="7" t="s">
        <v>175</v>
      </c>
      <c r="C571" s="7" t="s">
        <v>16890</v>
      </c>
      <c r="D571" s="194">
        <v>1987.0</v>
      </c>
      <c r="E571" s="193"/>
      <c r="F571" s="195" t="s">
        <v>17592</v>
      </c>
      <c r="G571" s="196">
        <v>3.4290504032E10</v>
      </c>
      <c r="H571" s="197">
        <v>60.01</v>
      </c>
      <c r="I571" s="7" t="s">
        <v>16908</v>
      </c>
      <c r="J571" s="7" t="s">
        <v>175</v>
      </c>
      <c r="K571" s="7" t="s">
        <v>16890</v>
      </c>
      <c r="L571" s="198" t="s">
        <v>65</v>
      </c>
      <c r="M571" s="194"/>
      <c r="N571" s="194"/>
    </row>
    <row r="572">
      <c r="A572" s="193" t="s">
        <v>17593</v>
      </c>
      <c r="B572" s="7" t="s">
        <v>158</v>
      </c>
      <c r="C572" s="7" t="s">
        <v>17171</v>
      </c>
      <c r="D572" s="199"/>
      <c r="E572" s="193"/>
      <c r="F572" s="195" t="s">
        <v>17594</v>
      </c>
      <c r="G572" s="196">
        <v>3.4271531201E10</v>
      </c>
      <c r="H572" s="197">
        <v>38.29</v>
      </c>
      <c r="I572" s="7" t="s">
        <v>17419</v>
      </c>
      <c r="J572" s="7" t="s">
        <v>158</v>
      </c>
      <c r="K572" s="7" t="s">
        <v>17171</v>
      </c>
      <c r="L572" s="198" t="s">
        <v>65</v>
      </c>
      <c r="M572" s="199"/>
      <c r="N572" s="199"/>
    </row>
    <row r="573">
      <c r="A573" s="193" t="s">
        <v>17593</v>
      </c>
      <c r="B573" s="7" t="s">
        <v>17171</v>
      </c>
      <c r="C573" s="7" t="s">
        <v>158</v>
      </c>
      <c r="D573" s="199"/>
      <c r="E573" s="193"/>
      <c r="F573" s="195" t="s">
        <v>17594</v>
      </c>
      <c r="G573" s="200">
        <v>3.4271531201E10</v>
      </c>
      <c r="H573" s="197">
        <v>38.29</v>
      </c>
      <c r="I573" s="7" t="s">
        <v>16815</v>
      </c>
      <c r="J573" s="7" t="s">
        <v>17171</v>
      </c>
      <c r="K573" s="7" t="s">
        <v>158</v>
      </c>
      <c r="L573" s="201" t="s">
        <v>16835</v>
      </c>
      <c r="M573" s="199"/>
      <c r="N573" s="199"/>
    </row>
    <row r="574">
      <c r="A574" s="193" t="s">
        <v>17595</v>
      </c>
      <c r="B574" s="7" t="s">
        <v>175</v>
      </c>
      <c r="C574" s="7" t="s">
        <v>17391</v>
      </c>
      <c r="D574" s="199"/>
      <c r="E574" s="193"/>
      <c r="F574" s="195" t="s">
        <v>17596</v>
      </c>
      <c r="G574" s="196">
        <v>3.4197389922E10</v>
      </c>
      <c r="H574" s="197">
        <v>18.7</v>
      </c>
      <c r="I574" s="7" t="s">
        <v>168</v>
      </c>
      <c r="J574" s="7" t="s">
        <v>175</v>
      </c>
      <c r="K574" s="7" t="s">
        <v>17391</v>
      </c>
      <c r="L574" s="198" t="s">
        <v>65</v>
      </c>
      <c r="M574" s="199"/>
      <c r="N574" s="199"/>
    </row>
    <row r="575">
      <c r="A575" s="193" t="s">
        <v>17595</v>
      </c>
      <c r="B575" s="7" t="s">
        <v>17391</v>
      </c>
      <c r="C575" s="7" t="s">
        <v>175</v>
      </c>
      <c r="D575" s="199"/>
      <c r="E575" s="193"/>
      <c r="F575" s="195" t="s">
        <v>17596</v>
      </c>
      <c r="G575" s="200">
        <v>3.4197389922E10</v>
      </c>
      <c r="H575" s="197">
        <v>18.7</v>
      </c>
      <c r="I575" s="7" t="s">
        <v>16815</v>
      </c>
      <c r="J575" s="7" t="s">
        <v>17391</v>
      </c>
      <c r="K575" s="7" t="s">
        <v>175</v>
      </c>
      <c r="L575" s="201" t="s">
        <v>16835</v>
      </c>
      <c r="M575" s="199"/>
      <c r="N575" s="199"/>
    </row>
    <row r="576">
      <c r="A576" s="193" t="s">
        <v>17597</v>
      </c>
      <c r="B576" s="7" t="s">
        <v>16838</v>
      </c>
      <c r="C576" s="7" t="s">
        <v>17127</v>
      </c>
      <c r="D576" s="199"/>
      <c r="E576" s="193"/>
      <c r="F576" s="195" t="s">
        <v>17598</v>
      </c>
      <c r="G576" s="196">
        <v>3.410305818E10</v>
      </c>
      <c r="H576" s="197">
        <v>130.32</v>
      </c>
      <c r="I576" s="7" t="s">
        <v>17327</v>
      </c>
      <c r="J576" s="7" t="s">
        <v>16838</v>
      </c>
      <c r="K576" s="7" t="s">
        <v>17127</v>
      </c>
      <c r="L576" s="198" t="s">
        <v>65</v>
      </c>
      <c r="M576" s="199"/>
      <c r="N576" s="199"/>
    </row>
    <row r="577">
      <c r="A577" s="193" t="s">
        <v>17597</v>
      </c>
      <c r="B577" s="7" t="s">
        <v>17127</v>
      </c>
      <c r="C577" s="7" t="s">
        <v>16838</v>
      </c>
      <c r="D577" s="199"/>
      <c r="E577" s="193"/>
      <c r="F577" s="195" t="s">
        <v>17598</v>
      </c>
      <c r="G577" s="200">
        <v>3.410305818E10</v>
      </c>
      <c r="H577" s="197">
        <v>130.32</v>
      </c>
      <c r="I577" s="7" t="s">
        <v>16815</v>
      </c>
      <c r="J577" s="7" t="s">
        <v>17127</v>
      </c>
      <c r="K577" s="7" t="s">
        <v>16838</v>
      </c>
      <c r="L577" s="201" t="s">
        <v>16835</v>
      </c>
      <c r="M577" s="199"/>
      <c r="N577" s="199"/>
    </row>
    <row r="578">
      <c r="A578" s="193" t="s">
        <v>17599</v>
      </c>
      <c r="D578" s="199"/>
      <c r="E578" s="193"/>
      <c r="F578" s="195" t="s">
        <v>17600</v>
      </c>
      <c r="G578" s="196">
        <v>3.407205113E10</v>
      </c>
      <c r="H578" s="197">
        <v>18.07</v>
      </c>
      <c r="I578" s="7" t="s">
        <v>16815</v>
      </c>
      <c r="L578" s="198" t="s">
        <v>65</v>
      </c>
      <c r="M578" s="199"/>
      <c r="N578" s="199"/>
    </row>
    <row r="579">
      <c r="A579" s="193" t="s">
        <v>17599</v>
      </c>
      <c r="D579" s="199"/>
      <c r="E579" s="193"/>
      <c r="F579" s="195" t="s">
        <v>17600</v>
      </c>
      <c r="G579" s="200">
        <v>3.407205113E10</v>
      </c>
      <c r="H579" s="197">
        <v>18.07</v>
      </c>
      <c r="L579" s="201" t="s">
        <v>16835</v>
      </c>
      <c r="M579" s="199"/>
      <c r="N579" s="199"/>
    </row>
    <row r="580">
      <c r="A580" s="193" t="s">
        <v>17601</v>
      </c>
      <c r="B580" s="7" t="s">
        <v>16582</v>
      </c>
      <c r="C580" s="7" t="s">
        <v>16817</v>
      </c>
      <c r="D580" s="194">
        <v>2019.0</v>
      </c>
      <c r="E580" s="193"/>
      <c r="F580" s="195" t="s">
        <v>17602</v>
      </c>
      <c r="G580" s="196">
        <v>3.4054588517E10</v>
      </c>
      <c r="H580" s="197">
        <v>103.65</v>
      </c>
      <c r="I580" s="7" t="s">
        <v>16815</v>
      </c>
      <c r="J580" s="7" t="s">
        <v>16582</v>
      </c>
      <c r="K580" s="7" t="s">
        <v>16817</v>
      </c>
      <c r="L580" s="198" t="s">
        <v>65</v>
      </c>
      <c r="M580" s="194"/>
      <c r="N580" s="194"/>
    </row>
    <row r="581">
      <c r="A581" s="193" t="s">
        <v>17603</v>
      </c>
      <c r="B581" s="7" t="s">
        <v>16838</v>
      </c>
      <c r="C581" s="7" t="s">
        <v>17202</v>
      </c>
      <c r="D581" s="199"/>
      <c r="E581" s="193"/>
      <c r="F581" s="195" t="s">
        <v>17604</v>
      </c>
      <c r="G581" s="196">
        <v>3.4038351141E10</v>
      </c>
      <c r="H581" s="197">
        <v>336.36</v>
      </c>
      <c r="I581" s="7" t="s">
        <v>16924</v>
      </c>
      <c r="J581" s="7" t="s">
        <v>16838</v>
      </c>
      <c r="K581" s="7" t="s">
        <v>17202</v>
      </c>
      <c r="L581" s="198" t="s">
        <v>65</v>
      </c>
      <c r="M581" s="199"/>
      <c r="N581" s="199"/>
    </row>
    <row r="582">
      <c r="A582" s="193" t="s">
        <v>17603</v>
      </c>
      <c r="B582" s="7" t="s">
        <v>17202</v>
      </c>
      <c r="C582" s="7" t="s">
        <v>16838</v>
      </c>
      <c r="D582" s="199"/>
      <c r="E582" s="193"/>
      <c r="F582" s="195" t="s">
        <v>17604</v>
      </c>
      <c r="G582" s="200">
        <v>3.4038351141E10</v>
      </c>
      <c r="H582" s="197">
        <v>336.36</v>
      </c>
      <c r="I582" s="7" t="s">
        <v>16815</v>
      </c>
      <c r="J582" s="7" t="s">
        <v>17202</v>
      </c>
      <c r="K582" s="7" t="s">
        <v>16838</v>
      </c>
      <c r="L582" s="201" t="s">
        <v>16835</v>
      </c>
      <c r="M582" s="199"/>
      <c r="N582" s="199"/>
    </row>
    <row r="583">
      <c r="A583" s="193" t="s">
        <v>17605</v>
      </c>
      <c r="B583" s="7" t="s">
        <v>175</v>
      </c>
      <c r="C583" s="7" t="s">
        <v>17606</v>
      </c>
      <c r="D583" s="199"/>
      <c r="E583" s="193"/>
      <c r="F583" s="195" t="s">
        <v>17607</v>
      </c>
      <c r="G583" s="196">
        <v>3.396440846E10</v>
      </c>
      <c r="H583" s="197">
        <v>67.34</v>
      </c>
      <c r="I583" s="7" t="s">
        <v>17270</v>
      </c>
      <c r="J583" s="7" t="s">
        <v>175</v>
      </c>
      <c r="K583" s="7" t="s">
        <v>17606</v>
      </c>
      <c r="L583" s="198" t="s">
        <v>65</v>
      </c>
      <c r="M583" s="199"/>
      <c r="N583" s="199"/>
    </row>
    <row r="584">
      <c r="A584" s="193" t="s">
        <v>17605</v>
      </c>
      <c r="B584" s="7" t="s">
        <v>17606</v>
      </c>
      <c r="C584" s="7" t="s">
        <v>175</v>
      </c>
      <c r="D584" s="199"/>
      <c r="E584" s="193"/>
      <c r="F584" s="195" t="s">
        <v>17607</v>
      </c>
      <c r="G584" s="200">
        <v>3.396440846E10</v>
      </c>
      <c r="H584" s="197">
        <v>67.34</v>
      </c>
      <c r="I584" s="7" t="s">
        <v>16815</v>
      </c>
      <c r="J584" s="7" t="s">
        <v>17606</v>
      </c>
      <c r="K584" s="7" t="s">
        <v>175</v>
      </c>
      <c r="L584" s="201" t="s">
        <v>16835</v>
      </c>
      <c r="M584" s="199"/>
      <c r="N584" s="199"/>
    </row>
    <row r="585">
      <c r="A585" s="193" t="s">
        <v>17608</v>
      </c>
      <c r="B585" s="7" t="s">
        <v>16919</v>
      </c>
      <c r="C585" s="7" t="s">
        <v>17176</v>
      </c>
      <c r="D585" s="199"/>
      <c r="E585" s="193"/>
      <c r="F585" s="195" t="s">
        <v>17609</v>
      </c>
      <c r="G585" s="196">
        <v>3.3621231658E10</v>
      </c>
      <c r="H585" s="197">
        <v>130.54</v>
      </c>
      <c r="I585" s="7" t="s">
        <v>16815</v>
      </c>
      <c r="J585" s="7" t="s">
        <v>16919</v>
      </c>
      <c r="K585" s="7" t="s">
        <v>17176</v>
      </c>
      <c r="L585" s="198" t="s">
        <v>65</v>
      </c>
      <c r="M585" s="199"/>
      <c r="N585" s="199"/>
    </row>
    <row r="586">
      <c r="A586" s="193" t="s">
        <v>17608</v>
      </c>
      <c r="B586" s="7" t="s">
        <v>17176</v>
      </c>
      <c r="C586" s="7" t="s">
        <v>16919</v>
      </c>
      <c r="D586" s="199"/>
      <c r="E586" s="193"/>
      <c r="F586" s="195" t="s">
        <v>17609</v>
      </c>
      <c r="G586" s="200">
        <v>3.3621231658E10</v>
      </c>
      <c r="H586" s="197">
        <v>130.54</v>
      </c>
      <c r="I586" s="7" t="s">
        <v>16815</v>
      </c>
      <c r="J586" s="7" t="s">
        <v>17176</v>
      </c>
      <c r="K586" s="7" t="s">
        <v>16919</v>
      </c>
      <c r="L586" s="201" t="s">
        <v>16835</v>
      </c>
      <c r="M586" s="199"/>
      <c r="N586" s="199"/>
    </row>
    <row r="587">
      <c r="A587" s="193" t="s">
        <v>17610</v>
      </c>
      <c r="B587" s="7" t="s">
        <v>16582</v>
      </c>
      <c r="C587" s="7" t="s">
        <v>17013</v>
      </c>
      <c r="D587" s="194">
        <v>2020.0</v>
      </c>
      <c r="E587" s="193"/>
      <c r="F587" s="195" t="s">
        <v>17611</v>
      </c>
      <c r="G587" s="196">
        <v>3.3571501251E10</v>
      </c>
      <c r="H587" s="197">
        <v>82.03</v>
      </c>
      <c r="I587" s="7" t="s">
        <v>16815</v>
      </c>
      <c r="J587" s="7" t="s">
        <v>16582</v>
      </c>
      <c r="K587" s="7" t="s">
        <v>17013</v>
      </c>
      <c r="L587" s="198" t="s">
        <v>65</v>
      </c>
      <c r="M587" s="194"/>
      <c r="N587" s="194"/>
    </row>
    <row r="588">
      <c r="A588" s="193" t="s">
        <v>17610</v>
      </c>
      <c r="B588" s="7" t="s">
        <v>17013</v>
      </c>
      <c r="C588" s="7" t="s">
        <v>16582</v>
      </c>
      <c r="D588" s="194">
        <v>2020.0</v>
      </c>
      <c r="E588" s="193"/>
      <c r="F588" s="195" t="s">
        <v>17611</v>
      </c>
      <c r="G588" s="200">
        <v>3.3571501251E10</v>
      </c>
      <c r="H588" s="197">
        <v>82.03</v>
      </c>
      <c r="I588" s="7" t="s">
        <v>16815</v>
      </c>
      <c r="J588" s="7" t="s">
        <v>17013</v>
      </c>
      <c r="K588" s="7" t="s">
        <v>16582</v>
      </c>
      <c r="L588" s="201" t="s">
        <v>16835</v>
      </c>
      <c r="M588" s="194"/>
      <c r="N588" s="194"/>
    </row>
    <row r="589">
      <c r="A589" s="193" t="s">
        <v>17612</v>
      </c>
      <c r="B589" s="7" t="s">
        <v>17347</v>
      </c>
      <c r="C589" s="7" t="s">
        <v>16838</v>
      </c>
      <c r="D589" s="194">
        <v>2001.0</v>
      </c>
      <c r="E589" s="193"/>
      <c r="F589" s="195" t="s">
        <v>17613</v>
      </c>
      <c r="G589" s="200">
        <v>3.322283E10</v>
      </c>
      <c r="H589" s="197">
        <v>92.03</v>
      </c>
      <c r="I589" s="7" t="s">
        <v>16815</v>
      </c>
      <c r="J589" s="7" t="s">
        <v>17347</v>
      </c>
      <c r="K589" s="7" t="s">
        <v>16838</v>
      </c>
      <c r="L589" s="201" t="s">
        <v>16835</v>
      </c>
      <c r="M589" s="194"/>
      <c r="N589" s="194"/>
    </row>
    <row r="590">
      <c r="A590" s="193" t="s">
        <v>17612</v>
      </c>
      <c r="B590" s="7" t="s">
        <v>16838</v>
      </c>
      <c r="C590" s="7" t="s">
        <v>17347</v>
      </c>
      <c r="D590" s="194">
        <v>2001.0</v>
      </c>
      <c r="E590" s="193"/>
      <c r="F590" s="195" t="s">
        <v>17613</v>
      </c>
      <c r="G590" s="196">
        <v>3.322283E10</v>
      </c>
      <c r="H590" s="197">
        <v>92.03</v>
      </c>
      <c r="I590" s="7" t="s">
        <v>16815</v>
      </c>
      <c r="J590" s="7" t="s">
        <v>16838</v>
      </c>
      <c r="K590" s="7" t="s">
        <v>17347</v>
      </c>
      <c r="L590" s="198" t="s">
        <v>65</v>
      </c>
      <c r="M590" s="194"/>
      <c r="N590" s="194"/>
    </row>
    <row r="591">
      <c r="A591" s="193" t="s">
        <v>17614</v>
      </c>
      <c r="B591" s="7" t="s">
        <v>16838</v>
      </c>
      <c r="C591" s="7" t="s">
        <v>17202</v>
      </c>
      <c r="D591" s="194">
        <v>2014.0</v>
      </c>
      <c r="E591" s="193"/>
      <c r="F591" s="195" t="s">
        <v>17615</v>
      </c>
      <c r="G591" s="196">
        <v>3.3101921785E10</v>
      </c>
      <c r="H591" s="197">
        <v>107.75</v>
      </c>
      <c r="I591" s="7" t="s">
        <v>16924</v>
      </c>
      <c r="J591" s="7" t="s">
        <v>16838</v>
      </c>
      <c r="K591" s="7" t="s">
        <v>17202</v>
      </c>
      <c r="L591" s="198" t="s">
        <v>65</v>
      </c>
      <c r="M591" s="194"/>
      <c r="N591" s="194"/>
    </row>
    <row r="592">
      <c r="A592" s="193" t="s">
        <v>17614</v>
      </c>
      <c r="B592" s="7" t="s">
        <v>17202</v>
      </c>
      <c r="C592" s="7" t="s">
        <v>16838</v>
      </c>
      <c r="D592" s="194">
        <v>2014.0</v>
      </c>
      <c r="E592" s="193"/>
      <c r="F592" s="195" t="s">
        <v>17615</v>
      </c>
      <c r="G592" s="200">
        <v>3.3101921785E10</v>
      </c>
      <c r="H592" s="197">
        <v>107.75</v>
      </c>
      <c r="I592" s="7" t="s">
        <v>16815</v>
      </c>
      <c r="J592" s="7" t="s">
        <v>17202</v>
      </c>
      <c r="K592" s="7" t="s">
        <v>16838</v>
      </c>
      <c r="L592" s="201" t="s">
        <v>16835</v>
      </c>
      <c r="M592" s="194"/>
      <c r="N592" s="194"/>
    </row>
    <row r="593">
      <c r="A593" s="193" t="s">
        <v>17616</v>
      </c>
      <c r="B593" s="7" t="s">
        <v>16582</v>
      </c>
      <c r="C593" s="7" t="s">
        <v>16930</v>
      </c>
      <c r="D593" s="194">
        <v>1998.0</v>
      </c>
      <c r="E593" s="193"/>
      <c r="F593" s="195" t="s">
        <v>17617</v>
      </c>
      <c r="G593" s="196">
        <v>3.3068157409E10</v>
      </c>
      <c r="H593" s="197">
        <v>65.95</v>
      </c>
      <c r="I593" s="7" t="s">
        <v>16815</v>
      </c>
      <c r="J593" s="7" t="s">
        <v>16582</v>
      </c>
      <c r="K593" s="7" t="s">
        <v>16930</v>
      </c>
      <c r="L593" s="198" t="s">
        <v>65</v>
      </c>
      <c r="M593" s="194"/>
      <c r="N593" s="194"/>
    </row>
    <row r="594">
      <c r="A594" s="193" t="s">
        <v>17618</v>
      </c>
      <c r="B594" s="7" t="s">
        <v>175</v>
      </c>
      <c r="C594" s="7" t="s">
        <v>17619</v>
      </c>
      <c r="D594" s="194">
        <v>2018.0</v>
      </c>
      <c r="E594" s="193"/>
      <c r="F594" s="195" t="s">
        <v>17620</v>
      </c>
      <c r="G594" s="196">
        <v>3.30487242E10</v>
      </c>
      <c r="H594" s="197">
        <v>170.98</v>
      </c>
      <c r="I594" s="7" t="s">
        <v>17242</v>
      </c>
      <c r="J594" s="7" t="s">
        <v>175</v>
      </c>
      <c r="K594" s="7" t="s">
        <v>17619</v>
      </c>
      <c r="L594" s="198" t="s">
        <v>65</v>
      </c>
      <c r="M594" s="194"/>
      <c r="N594" s="194"/>
    </row>
    <row r="595">
      <c r="A595" s="193" t="s">
        <v>17618</v>
      </c>
      <c r="B595" s="7" t="s">
        <v>17619</v>
      </c>
      <c r="C595" s="7" t="s">
        <v>175</v>
      </c>
      <c r="D595" s="194">
        <v>2018.0</v>
      </c>
      <c r="E595" s="193"/>
      <c r="F595" s="195" t="s">
        <v>17620</v>
      </c>
      <c r="G595" s="200">
        <v>3.30487242E10</v>
      </c>
      <c r="H595" s="197">
        <v>170.98</v>
      </c>
      <c r="I595" s="7" t="s">
        <v>16815</v>
      </c>
      <c r="J595" s="7" t="s">
        <v>17619</v>
      </c>
      <c r="K595" s="7" t="s">
        <v>175</v>
      </c>
      <c r="L595" s="201" t="s">
        <v>16835</v>
      </c>
      <c r="M595" s="194"/>
      <c r="N595" s="194"/>
    </row>
    <row r="596">
      <c r="A596" s="193" t="s">
        <v>17621</v>
      </c>
      <c r="B596" s="7" t="s">
        <v>16838</v>
      </c>
      <c r="C596" s="7" t="s">
        <v>16867</v>
      </c>
      <c r="D596" s="199"/>
      <c r="E596" s="193"/>
      <c r="F596" s="195" t="s">
        <v>17622</v>
      </c>
      <c r="G596" s="196">
        <v>3.2884306005E10</v>
      </c>
      <c r="H596" s="197">
        <v>3.09</v>
      </c>
      <c r="I596" s="7" t="s">
        <v>16924</v>
      </c>
      <c r="J596" s="7" t="s">
        <v>16838</v>
      </c>
      <c r="K596" s="7" t="s">
        <v>16867</v>
      </c>
      <c r="L596" s="198" t="s">
        <v>65</v>
      </c>
      <c r="M596" s="199"/>
      <c r="N596" s="199"/>
    </row>
    <row r="597">
      <c r="A597" s="193" t="s">
        <v>17621</v>
      </c>
      <c r="B597" s="7" t="s">
        <v>16867</v>
      </c>
      <c r="C597" s="7" t="s">
        <v>16838</v>
      </c>
      <c r="D597" s="199"/>
      <c r="E597" s="193"/>
      <c r="F597" s="195" t="s">
        <v>17622</v>
      </c>
      <c r="G597" s="200">
        <v>3.2884306005E10</v>
      </c>
      <c r="H597" s="197">
        <v>3.09</v>
      </c>
      <c r="I597" s="7" t="s">
        <v>16815</v>
      </c>
      <c r="J597" s="7" t="s">
        <v>16867</v>
      </c>
      <c r="K597" s="7" t="s">
        <v>16838</v>
      </c>
      <c r="L597" s="201" t="s">
        <v>16835</v>
      </c>
      <c r="M597" s="199"/>
      <c r="N597" s="199"/>
    </row>
    <row r="598">
      <c r="A598" s="193" t="s">
        <v>17623</v>
      </c>
      <c r="B598" s="7" t="s">
        <v>158</v>
      </c>
      <c r="C598" s="7" t="s">
        <v>16870</v>
      </c>
      <c r="D598" s="194">
        <v>1929.0</v>
      </c>
      <c r="E598" s="193"/>
      <c r="F598" s="195" t="s">
        <v>17624</v>
      </c>
      <c r="G598" s="196">
        <v>3.272425106E10</v>
      </c>
      <c r="H598" s="197">
        <v>56.02</v>
      </c>
      <c r="I598" s="7" t="s">
        <v>17625</v>
      </c>
      <c r="J598" s="7" t="s">
        <v>158</v>
      </c>
      <c r="K598" s="7" t="s">
        <v>16870</v>
      </c>
      <c r="L598" s="198" t="s">
        <v>65</v>
      </c>
      <c r="M598" s="194"/>
      <c r="N598" s="194"/>
    </row>
    <row r="599">
      <c r="A599" s="193" t="s">
        <v>17623</v>
      </c>
      <c r="B599" s="202" t="s">
        <v>16870</v>
      </c>
      <c r="C599" s="193" t="s">
        <v>158</v>
      </c>
      <c r="D599" s="193">
        <v>1929.0</v>
      </c>
      <c r="E599" s="193"/>
      <c r="F599" s="203" t="s">
        <v>17624</v>
      </c>
      <c r="G599" s="200">
        <v>3.272425106E10</v>
      </c>
      <c r="H599" s="205">
        <v>171.62</v>
      </c>
      <c r="J599" s="202" t="s">
        <v>16870</v>
      </c>
      <c r="K599" s="193" t="s">
        <v>158</v>
      </c>
      <c r="L599" s="193" t="s">
        <v>17471</v>
      </c>
      <c r="M599" s="193"/>
      <c r="N599" s="193"/>
    </row>
    <row r="600">
      <c r="A600" s="193" t="s">
        <v>17626</v>
      </c>
      <c r="B600" s="7" t="s">
        <v>16919</v>
      </c>
      <c r="C600" s="7" t="s">
        <v>17176</v>
      </c>
      <c r="D600" s="199"/>
      <c r="E600" s="193"/>
      <c r="F600" s="195" t="s">
        <v>17627</v>
      </c>
      <c r="G600" s="196">
        <v>3.2667526085E10</v>
      </c>
      <c r="H600" s="197">
        <v>59.2</v>
      </c>
      <c r="I600" s="7" t="s">
        <v>16815</v>
      </c>
      <c r="J600" s="7" t="s">
        <v>16919</v>
      </c>
      <c r="K600" s="7" t="s">
        <v>17176</v>
      </c>
      <c r="L600" s="198" t="s">
        <v>65</v>
      </c>
      <c r="M600" s="199"/>
      <c r="N600" s="199"/>
    </row>
    <row r="601">
      <c r="A601" s="193" t="s">
        <v>17628</v>
      </c>
      <c r="B601" s="7" t="s">
        <v>17629</v>
      </c>
      <c r="C601" s="7" t="s">
        <v>17629</v>
      </c>
      <c r="D601" s="194">
        <v>2021.0</v>
      </c>
      <c r="E601" s="193"/>
      <c r="F601" s="195" t="s">
        <v>17630</v>
      </c>
      <c r="G601" s="196">
        <v>3.2605976812E10</v>
      </c>
      <c r="H601" s="197">
        <v>159.94</v>
      </c>
      <c r="I601" s="7" t="s">
        <v>16815</v>
      </c>
      <c r="J601" s="7" t="s">
        <v>17629</v>
      </c>
      <c r="K601" s="7" t="s">
        <v>17629</v>
      </c>
      <c r="L601" s="198" t="s">
        <v>65</v>
      </c>
      <c r="M601" s="194"/>
      <c r="N601" s="194"/>
    </row>
    <row r="602">
      <c r="A602" s="193" t="s">
        <v>17628</v>
      </c>
      <c r="B602" s="7" t="s">
        <v>17629</v>
      </c>
      <c r="C602" s="7" t="s">
        <v>17629</v>
      </c>
      <c r="D602" s="194">
        <v>2021.0</v>
      </c>
      <c r="E602" s="193"/>
      <c r="F602" s="195" t="s">
        <v>17630</v>
      </c>
      <c r="G602" s="200">
        <v>3.2605976812E10</v>
      </c>
      <c r="H602" s="197">
        <v>159.94</v>
      </c>
      <c r="I602" s="7" t="s">
        <v>16815</v>
      </c>
      <c r="J602" s="7" t="s">
        <v>17629</v>
      </c>
      <c r="K602" s="7" t="s">
        <v>17629</v>
      </c>
      <c r="L602" s="201" t="s">
        <v>16835</v>
      </c>
      <c r="M602" s="194"/>
      <c r="N602" s="194"/>
    </row>
    <row r="603">
      <c r="A603" s="193" t="s">
        <v>17631</v>
      </c>
      <c r="B603" s="7" t="s">
        <v>187</v>
      </c>
      <c r="C603" s="7" t="s">
        <v>16858</v>
      </c>
      <c r="D603" s="199"/>
      <c r="E603" s="193"/>
      <c r="F603" s="195" t="s">
        <v>17632</v>
      </c>
      <c r="G603" s="196">
        <v>3.2571646596E10</v>
      </c>
      <c r="H603" s="197">
        <v>224.79</v>
      </c>
      <c r="I603" s="7" t="s">
        <v>16815</v>
      </c>
      <c r="J603" s="7" t="s">
        <v>187</v>
      </c>
      <c r="K603" s="7" t="s">
        <v>16858</v>
      </c>
      <c r="L603" s="198" t="s">
        <v>65</v>
      </c>
      <c r="M603" s="199"/>
      <c r="N603" s="199"/>
    </row>
    <row r="604">
      <c r="A604" s="193" t="s">
        <v>17633</v>
      </c>
      <c r="B604" s="7" t="s">
        <v>175</v>
      </c>
      <c r="C604" s="7" t="s">
        <v>16854</v>
      </c>
      <c r="D604" s="194">
        <v>1998.0</v>
      </c>
      <c r="E604" s="193"/>
      <c r="F604" s="195" t="s">
        <v>17634</v>
      </c>
      <c r="G604" s="196">
        <v>3.2526142261E10</v>
      </c>
      <c r="H604" s="197">
        <v>79.65</v>
      </c>
      <c r="I604" s="7" t="s">
        <v>16908</v>
      </c>
      <c r="J604" s="7" t="s">
        <v>175</v>
      </c>
      <c r="K604" s="7" t="s">
        <v>16854</v>
      </c>
      <c r="L604" s="198" t="s">
        <v>65</v>
      </c>
      <c r="M604" s="194"/>
      <c r="N604" s="194"/>
    </row>
    <row r="605">
      <c r="A605" s="193" t="s">
        <v>17635</v>
      </c>
      <c r="B605" s="7" t="s">
        <v>175</v>
      </c>
      <c r="C605" s="7" t="s">
        <v>17218</v>
      </c>
      <c r="D605" s="194">
        <v>1993.0</v>
      </c>
      <c r="E605" s="193"/>
      <c r="F605" s="195" t="s">
        <v>17636</v>
      </c>
      <c r="G605" s="196">
        <v>3.2085987158E10</v>
      </c>
      <c r="H605" s="197">
        <v>411.63</v>
      </c>
      <c r="I605" s="7" t="s">
        <v>168</v>
      </c>
      <c r="J605" s="7" t="s">
        <v>175</v>
      </c>
      <c r="K605" s="7" t="s">
        <v>17218</v>
      </c>
      <c r="L605" s="198" t="s">
        <v>65</v>
      </c>
      <c r="M605" s="194"/>
      <c r="N605" s="194"/>
    </row>
    <row r="606">
      <c r="A606" s="193" t="s">
        <v>17635</v>
      </c>
      <c r="B606" s="7" t="s">
        <v>17218</v>
      </c>
      <c r="C606" s="7" t="s">
        <v>175</v>
      </c>
      <c r="D606" s="194">
        <v>1993.0</v>
      </c>
      <c r="E606" s="193"/>
      <c r="F606" s="195" t="s">
        <v>17636</v>
      </c>
      <c r="G606" s="200">
        <v>3.2085987158E10</v>
      </c>
      <c r="H606" s="197">
        <v>411.63</v>
      </c>
      <c r="I606" s="7" t="s">
        <v>16815</v>
      </c>
      <c r="J606" s="7" t="s">
        <v>17218</v>
      </c>
      <c r="K606" s="7" t="s">
        <v>175</v>
      </c>
      <c r="L606" s="201" t="s">
        <v>16835</v>
      </c>
      <c r="M606" s="194"/>
      <c r="N606" s="194"/>
    </row>
    <row r="607">
      <c r="A607" s="193" t="s">
        <v>17637</v>
      </c>
      <c r="B607" s="7" t="s">
        <v>16838</v>
      </c>
      <c r="C607" s="7" t="s">
        <v>17127</v>
      </c>
      <c r="D607" s="199"/>
      <c r="E607" s="193"/>
      <c r="F607" s="195" t="s">
        <v>17638</v>
      </c>
      <c r="G607" s="196">
        <v>3.2055418905E10</v>
      </c>
      <c r="H607" s="197">
        <v>85.95</v>
      </c>
      <c r="I607" s="7" t="s">
        <v>16872</v>
      </c>
      <c r="J607" s="7" t="s">
        <v>16838</v>
      </c>
      <c r="K607" s="7" t="s">
        <v>17127</v>
      </c>
      <c r="L607" s="198" t="s">
        <v>65</v>
      </c>
      <c r="M607" s="199"/>
      <c r="N607" s="199"/>
    </row>
    <row r="608">
      <c r="A608" s="193" t="s">
        <v>17639</v>
      </c>
      <c r="B608" s="7" t="s">
        <v>16582</v>
      </c>
      <c r="C608" s="7" t="s">
        <v>17342</v>
      </c>
      <c r="D608" s="194">
        <v>2022.0</v>
      </c>
      <c r="E608" s="193"/>
      <c r="F608" s="195" t="s">
        <v>17640</v>
      </c>
      <c r="G608" s="196">
        <v>3.1954446171E10</v>
      </c>
      <c r="H608" s="197">
        <v>0.3961</v>
      </c>
      <c r="I608" s="7" t="s">
        <v>16815</v>
      </c>
      <c r="J608" s="7" t="s">
        <v>16582</v>
      </c>
      <c r="K608" s="7" t="s">
        <v>17342</v>
      </c>
      <c r="L608" s="198" t="s">
        <v>65</v>
      </c>
      <c r="M608" s="194"/>
      <c r="N608" s="194"/>
    </row>
    <row r="609">
      <c r="A609" s="193" t="s">
        <v>17639</v>
      </c>
      <c r="B609" s="202" t="s">
        <v>17342</v>
      </c>
      <c r="C609" s="193" t="s">
        <v>16582</v>
      </c>
      <c r="D609" s="193">
        <v>2022.0</v>
      </c>
      <c r="E609" s="193"/>
      <c r="F609" s="203" t="s">
        <v>17640</v>
      </c>
      <c r="G609" s="200">
        <v>3.1954446171E10</v>
      </c>
      <c r="H609" s="205">
        <v>56.02</v>
      </c>
      <c r="J609" s="202" t="s">
        <v>17342</v>
      </c>
      <c r="K609" s="193" t="s">
        <v>16582</v>
      </c>
      <c r="L609" s="193" t="s">
        <v>17471</v>
      </c>
      <c r="M609" s="193"/>
      <c r="N609" s="193"/>
    </row>
    <row r="610">
      <c r="A610" s="193" t="s">
        <v>17641</v>
      </c>
      <c r="B610" s="7" t="s">
        <v>169</v>
      </c>
      <c r="C610" s="7" t="s">
        <v>17339</v>
      </c>
      <c r="D610" s="194">
        <v>1999.0</v>
      </c>
      <c r="E610" s="193"/>
      <c r="F610" s="195" t="s">
        <v>17642</v>
      </c>
      <c r="G610" s="196">
        <v>3.1736941502E10</v>
      </c>
      <c r="H610" s="197">
        <v>108.47</v>
      </c>
      <c r="I610" s="7" t="s">
        <v>16815</v>
      </c>
      <c r="J610" s="7" t="s">
        <v>169</v>
      </c>
      <c r="K610" s="7" t="s">
        <v>17339</v>
      </c>
      <c r="L610" s="198" t="s">
        <v>65</v>
      </c>
      <c r="M610" s="194"/>
      <c r="N610" s="194"/>
    </row>
    <row r="611">
      <c r="A611" s="193" t="s">
        <v>17641</v>
      </c>
      <c r="B611" s="7" t="s">
        <v>17339</v>
      </c>
      <c r="C611" s="7" t="s">
        <v>169</v>
      </c>
      <c r="D611" s="194">
        <v>1999.0</v>
      </c>
      <c r="E611" s="193"/>
      <c r="F611" s="195" t="s">
        <v>17642</v>
      </c>
      <c r="G611" s="200">
        <v>3.1736941502E10</v>
      </c>
      <c r="H611" s="197">
        <v>108.47</v>
      </c>
      <c r="I611" s="7" t="s">
        <v>16815</v>
      </c>
      <c r="J611" s="7" t="s">
        <v>17339</v>
      </c>
      <c r="K611" s="7" t="s">
        <v>169</v>
      </c>
      <c r="L611" s="201" t="s">
        <v>16835</v>
      </c>
      <c r="M611" s="194"/>
      <c r="N611" s="194"/>
    </row>
    <row r="612">
      <c r="A612" s="193" t="s">
        <v>17643</v>
      </c>
      <c r="B612" s="7" t="s">
        <v>16582</v>
      </c>
      <c r="C612" s="7" t="s">
        <v>16817</v>
      </c>
      <c r="D612" s="199"/>
      <c r="E612" s="193"/>
      <c r="F612" s="195" t="s">
        <v>17644</v>
      </c>
      <c r="G612" s="196">
        <v>3.1648491552E10</v>
      </c>
      <c r="H612" s="197">
        <v>69.52</v>
      </c>
      <c r="I612" s="7" t="s">
        <v>16815</v>
      </c>
      <c r="J612" s="7" t="s">
        <v>16582</v>
      </c>
      <c r="K612" s="7" t="s">
        <v>16817</v>
      </c>
      <c r="L612" s="198" t="s">
        <v>65</v>
      </c>
      <c r="M612" s="199"/>
      <c r="N612" s="199"/>
    </row>
    <row r="613">
      <c r="A613" s="193" t="s">
        <v>17645</v>
      </c>
      <c r="B613" s="7" t="s">
        <v>16582</v>
      </c>
      <c r="C613" s="7" t="s">
        <v>16817</v>
      </c>
      <c r="D613" s="194">
        <v>2015.0</v>
      </c>
      <c r="E613" s="193"/>
      <c r="F613" s="195" t="s">
        <v>17646</v>
      </c>
      <c r="G613" s="196">
        <v>3.16257895E10</v>
      </c>
      <c r="H613" s="197">
        <v>51.5</v>
      </c>
      <c r="I613" s="7" t="s">
        <v>16815</v>
      </c>
      <c r="J613" s="7" t="s">
        <v>16582</v>
      </c>
      <c r="K613" s="7" t="s">
        <v>16817</v>
      </c>
      <c r="L613" s="198" t="s">
        <v>65</v>
      </c>
      <c r="M613" s="194"/>
      <c r="N613" s="194"/>
    </row>
    <row r="614">
      <c r="A614" s="193" t="s">
        <v>17645</v>
      </c>
      <c r="B614" s="7" t="s">
        <v>16817</v>
      </c>
      <c r="C614" s="7" t="s">
        <v>16582</v>
      </c>
      <c r="D614" s="194">
        <v>2015.0</v>
      </c>
      <c r="E614" s="193"/>
      <c r="F614" s="195" t="s">
        <v>17646</v>
      </c>
      <c r="G614" s="200">
        <v>3.16257895E10</v>
      </c>
      <c r="H614" s="197">
        <v>51.5</v>
      </c>
      <c r="I614" s="7" t="s">
        <v>16815</v>
      </c>
      <c r="J614" s="7" t="s">
        <v>16817</v>
      </c>
      <c r="K614" s="7" t="s">
        <v>16582</v>
      </c>
      <c r="L614" s="201" t="s">
        <v>16835</v>
      </c>
      <c r="M614" s="194"/>
      <c r="N614" s="194"/>
    </row>
    <row r="615">
      <c r="A615" s="193" t="s">
        <v>17647</v>
      </c>
      <c r="B615" s="7" t="s">
        <v>16910</v>
      </c>
      <c r="C615" s="7" t="s">
        <v>17648</v>
      </c>
      <c r="D615" s="199"/>
      <c r="E615" s="193"/>
      <c r="F615" s="195" t="s">
        <v>17649</v>
      </c>
      <c r="G615" s="196">
        <v>3.1570769496E10</v>
      </c>
      <c r="H615" s="197">
        <v>43.89</v>
      </c>
      <c r="I615" s="7" t="s">
        <v>17650</v>
      </c>
      <c r="J615" s="7" t="s">
        <v>16910</v>
      </c>
      <c r="K615" s="7" t="s">
        <v>17648</v>
      </c>
      <c r="L615" s="198" t="s">
        <v>65</v>
      </c>
      <c r="M615" s="199"/>
      <c r="N615" s="199"/>
    </row>
    <row r="616">
      <c r="A616" s="193" t="s">
        <v>17647</v>
      </c>
      <c r="B616" s="7" t="s">
        <v>17648</v>
      </c>
      <c r="C616" s="7" t="s">
        <v>16910</v>
      </c>
      <c r="D616" s="199"/>
      <c r="E616" s="193"/>
      <c r="F616" s="195" t="s">
        <v>17649</v>
      </c>
      <c r="G616" s="200">
        <v>3.1570769496E10</v>
      </c>
      <c r="H616" s="197">
        <v>43.89</v>
      </c>
      <c r="I616" s="7" t="s">
        <v>16815</v>
      </c>
      <c r="J616" s="7" t="s">
        <v>17648</v>
      </c>
      <c r="K616" s="7" t="s">
        <v>16910</v>
      </c>
      <c r="L616" s="201" t="s">
        <v>16835</v>
      </c>
      <c r="M616" s="199"/>
      <c r="N616" s="199"/>
    </row>
    <row r="617">
      <c r="A617" s="193" t="s">
        <v>17651</v>
      </c>
      <c r="B617" s="7" t="s">
        <v>16957</v>
      </c>
      <c r="C617" s="7" t="s">
        <v>16926</v>
      </c>
      <c r="D617" s="199"/>
      <c r="E617" s="193"/>
      <c r="F617" s="195" t="s">
        <v>17652</v>
      </c>
      <c r="G617" s="200">
        <v>3.1400327615E10</v>
      </c>
      <c r="H617" s="197">
        <v>11.81</v>
      </c>
      <c r="I617" s="7" t="s">
        <v>16815</v>
      </c>
      <c r="J617" s="7" t="s">
        <v>16957</v>
      </c>
      <c r="K617" s="7" t="s">
        <v>16926</v>
      </c>
      <c r="L617" s="201" t="s">
        <v>16835</v>
      </c>
      <c r="M617" s="199"/>
      <c r="N617" s="199"/>
    </row>
    <row r="618">
      <c r="A618" s="193" t="s">
        <v>17651</v>
      </c>
      <c r="B618" s="7" t="s">
        <v>16926</v>
      </c>
      <c r="C618" s="7" t="s">
        <v>16957</v>
      </c>
      <c r="D618" s="199"/>
      <c r="E618" s="193"/>
      <c r="F618" s="195" t="s">
        <v>17652</v>
      </c>
      <c r="G618" s="196">
        <v>3.1400327615E10</v>
      </c>
      <c r="H618" s="197">
        <v>11.81</v>
      </c>
      <c r="I618" s="7" t="s">
        <v>16815</v>
      </c>
      <c r="J618" s="7" t="s">
        <v>16926</v>
      </c>
      <c r="K618" s="7" t="s">
        <v>16957</v>
      </c>
      <c r="L618" s="198" t="s">
        <v>65</v>
      </c>
      <c r="M618" s="199"/>
      <c r="N618" s="199"/>
    </row>
    <row r="619">
      <c r="A619" s="193" t="s">
        <v>17653</v>
      </c>
      <c r="B619" s="7" t="s">
        <v>16582</v>
      </c>
      <c r="C619" s="7" t="s">
        <v>16583</v>
      </c>
      <c r="D619" s="194">
        <v>2016.0</v>
      </c>
      <c r="E619" s="193"/>
      <c r="F619" s="195" t="s">
        <v>17654</v>
      </c>
      <c r="G619" s="196">
        <v>3.1377599904E10</v>
      </c>
      <c r="H619" s="197">
        <v>64.01</v>
      </c>
      <c r="I619" s="7" t="s">
        <v>16815</v>
      </c>
      <c r="J619" s="7" t="s">
        <v>16582</v>
      </c>
      <c r="K619" s="7" t="s">
        <v>16583</v>
      </c>
      <c r="L619" s="198" t="s">
        <v>65</v>
      </c>
      <c r="M619" s="194"/>
      <c r="N619" s="194"/>
    </row>
    <row r="620">
      <c r="A620" s="193" t="s">
        <v>17655</v>
      </c>
      <c r="B620" s="7" t="s">
        <v>175</v>
      </c>
      <c r="C620" s="7" t="s">
        <v>16854</v>
      </c>
      <c r="D620" s="199"/>
      <c r="E620" s="193"/>
      <c r="F620" s="195" t="s">
        <v>17656</v>
      </c>
      <c r="G620" s="196">
        <v>3.1052065528E10</v>
      </c>
      <c r="H620" s="197">
        <v>52.41</v>
      </c>
      <c r="I620" s="7" t="s">
        <v>16908</v>
      </c>
      <c r="J620" s="7" t="s">
        <v>175</v>
      </c>
      <c r="K620" s="7" t="s">
        <v>16854</v>
      </c>
      <c r="L620" s="198" t="s">
        <v>65</v>
      </c>
      <c r="M620" s="199"/>
      <c r="N620" s="199"/>
    </row>
    <row r="621">
      <c r="A621" s="193" t="s">
        <v>17655</v>
      </c>
      <c r="B621" s="7" t="s">
        <v>16854</v>
      </c>
      <c r="C621" s="7" t="s">
        <v>175</v>
      </c>
      <c r="D621" s="199"/>
      <c r="E621" s="193"/>
      <c r="F621" s="195" t="s">
        <v>17656</v>
      </c>
      <c r="G621" s="200">
        <v>3.1052065528E10</v>
      </c>
      <c r="H621" s="197">
        <v>52.41</v>
      </c>
      <c r="I621" s="7" t="s">
        <v>16815</v>
      </c>
      <c r="J621" s="7" t="s">
        <v>16854</v>
      </c>
      <c r="K621" s="7" t="s">
        <v>175</v>
      </c>
      <c r="L621" s="201" t="s">
        <v>16835</v>
      </c>
      <c r="M621" s="199"/>
      <c r="N621" s="199"/>
    </row>
    <row r="622">
      <c r="A622" s="193" t="s">
        <v>17657</v>
      </c>
      <c r="B622" s="7" t="s">
        <v>169</v>
      </c>
      <c r="C622" s="7" t="s">
        <v>16899</v>
      </c>
      <c r="D622" s="199"/>
      <c r="E622" s="193"/>
      <c r="F622" s="195" t="s">
        <v>17658</v>
      </c>
      <c r="G622" s="196">
        <v>3.1044959894E10</v>
      </c>
      <c r="H622" s="197">
        <v>219.02</v>
      </c>
      <c r="I622" s="7" t="s">
        <v>16815</v>
      </c>
      <c r="J622" s="7" t="s">
        <v>169</v>
      </c>
      <c r="K622" s="7" t="s">
        <v>16899</v>
      </c>
      <c r="L622" s="198" t="s">
        <v>65</v>
      </c>
      <c r="M622" s="199"/>
      <c r="N622" s="199"/>
    </row>
    <row r="623">
      <c r="A623" s="193" t="s">
        <v>17657</v>
      </c>
      <c r="B623" s="7" t="s">
        <v>16899</v>
      </c>
      <c r="C623" s="7" t="s">
        <v>169</v>
      </c>
      <c r="D623" s="199"/>
      <c r="E623" s="193"/>
      <c r="F623" s="195" t="s">
        <v>17658</v>
      </c>
      <c r="G623" s="200">
        <v>3.1044959894E10</v>
      </c>
      <c r="H623" s="197">
        <v>219.02</v>
      </c>
      <c r="I623" s="7" t="s">
        <v>16815</v>
      </c>
      <c r="J623" s="7" t="s">
        <v>16899</v>
      </c>
      <c r="K623" s="7" t="s">
        <v>169</v>
      </c>
      <c r="L623" s="201" t="s">
        <v>16835</v>
      </c>
      <c r="M623" s="199"/>
      <c r="N623" s="199"/>
    </row>
    <row r="624">
      <c r="A624" s="193" t="s">
        <v>17659</v>
      </c>
      <c r="D624" s="194">
        <v>1997.0</v>
      </c>
      <c r="E624" s="193"/>
      <c r="F624" s="195" t="s">
        <v>17660</v>
      </c>
      <c r="G624" s="196">
        <v>3.0944265369E10</v>
      </c>
      <c r="H624" s="197">
        <v>456.53</v>
      </c>
      <c r="I624" s="7" t="s">
        <v>16815</v>
      </c>
      <c r="L624" s="198" t="s">
        <v>65</v>
      </c>
      <c r="M624" s="194"/>
      <c r="N624" s="194"/>
    </row>
    <row r="625">
      <c r="A625" s="193" t="s">
        <v>17659</v>
      </c>
      <c r="D625" s="194">
        <v>1997.0</v>
      </c>
      <c r="E625" s="193"/>
      <c r="F625" s="195" t="s">
        <v>17660</v>
      </c>
      <c r="G625" s="200">
        <v>3.0944265369E10</v>
      </c>
      <c r="H625" s="197">
        <v>456.53</v>
      </c>
      <c r="L625" s="201" t="s">
        <v>16835</v>
      </c>
      <c r="M625" s="194"/>
      <c r="N625" s="194"/>
    </row>
    <row r="626">
      <c r="A626" s="193" t="s">
        <v>17661</v>
      </c>
      <c r="B626" s="7" t="s">
        <v>16910</v>
      </c>
      <c r="C626" s="7" t="s">
        <v>17662</v>
      </c>
      <c r="D626" s="194">
        <v>2019.0</v>
      </c>
      <c r="E626" s="193"/>
      <c r="F626" s="195" t="s">
        <v>17663</v>
      </c>
      <c r="G626" s="196">
        <v>3.09102222E10</v>
      </c>
      <c r="H626" s="197">
        <v>43.55</v>
      </c>
      <c r="I626" s="7" t="s">
        <v>16856</v>
      </c>
      <c r="J626" s="7" t="s">
        <v>16910</v>
      </c>
      <c r="K626" s="7" t="s">
        <v>17662</v>
      </c>
      <c r="L626" s="198" t="s">
        <v>65</v>
      </c>
      <c r="M626" s="194"/>
      <c r="N626" s="194"/>
    </row>
    <row r="627">
      <c r="A627" s="193" t="s">
        <v>17661</v>
      </c>
      <c r="B627" s="7" t="s">
        <v>17662</v>
      </c>
      <c r="C627" s="7" t="s">
        <v>16910</v>
      </c>
      <c r="D627" s="194">
        <v>2019.0</v>
      </c>
      <c r="E627" s="193"/>
      <c r="F627" s="195" t="s">
        <v>17663</v>
      </c>
      <c r="G627" s="200">
        <v>3.09102222E10</v>
      </c>
      <c r="H627" s="197">
        <v>43.55</v>
      </c>
      <c r="I627" s="7" t="s">
        <v>16815</v>
      </c>
      <c r="J627" s="7" t="s">
        <v>17662</v>
      </c>
      <c r="K627" s="7" t="s">
        <v>16910</v>
      </c>
      <c r="L627" s="201" t="s">
        <v>16835</v>
      </c>
      <c r="M627" s="194"/>
      <c r="N627" s="194"/>
    </row>
    <row r="628">
      <c r="A628" s="193" t="s">
        <v>17664</v>
      </c>
      <c r="B628" s="7" t="s">
        <v>16919</v>
      </c>
      <c r="C628" s="7" t="s">
        <v>17176</v>
      </c>
      <c r="D628" s="199"/>
      <c r="E628" s="193"/>
      <c r="F628" s="195" t="s">
        <v>17665</v>
      </c>
      <c r="G628" s="196">
        <v>3.0845387254E10</v>
      </c>
      <c r="H628" s="197">
        <v>89.35</v>
      </c>
      <c r="I628" s="7" t="s">
        <v>16815</v>
      </c>
      <c r="J628" s="7" t="s">
        <v>16919</v>
      </c>
      <c r="K628" s="7" t="s">
        <v>17176</v>
      </c>
      <c r="L628" s="198" t="s">
        <v>65</v>
      </c>
      <c r="M628" s="199"/>
      <c r="N628" s="199"/>
    </row>
    <row r="629">
      <c r="A629" s="193" t="s">
        <v>17664</v>
      </c>
      <c r="B629" s="7" t="s">
        <v>17176</v>
      </c>
      <c r="C629" s="7" t="s">
        <v>16919</v>
      </c>
      <c r="D629" s="199"/>
      <c r="E629" s="193"/>
      <c r="F629" s="195" t="s">
        <v>17665</v>
      </c>
      <c r="G629" s="200">
        <v>3.0845387254E10</v>
      </c>
      <c r="H629" s="197">
        <v>89.35</v>
      </c>
      <c r="I629" s="7" t="s">
        <v>16815</v>
      </c>
      <c r="J629" s="7" t="s">
        <v>17176</v>
      </c>
      <c r="K629" s="7" t="s">
        <v>16919</v>
      </c>
      <c r="L629" s="201" t="s">
        <v>16835</v>
      </c>
      <c r="M629" s="199"/>
      <c r="N629" s="199"/>
    </row>
    <row r="630">
      <c r="A630" s="193" t="s">
        <v>17666</v>
      </c>
      <c r="B630" s="7" t="s">
        <v>16919</v>
      </c>
      <c r="C630" s="7" t="s">
        <v>17048</v>
      </c>
      <c r="D630" s="199"/>
      <c r="E630" s="193"/>
      <c r="F630" s="195" t="s">
        <v>17667</v>
      </c>
      <c r="G630" s="196">
        <v>3.0701144146E10</v>
      </c>
      <c r="H630" s="197">
        <v>61.61</v>
      </c>
      <c r="I630" s="7" t="s">
        <v>16815</v>
      </c>
      <c r="J630" s="7" t="s">
        <v>16919</v>
      </c>
      <c r="K630" s="7" t="s">
        <v>17048</v>
      </c>
      <c r="L630" s="198" t="s">
        <v>65</v>
      </c>
      <c r="M630" s="199"/>
      <c r="N630" s="199"/>
    </row>
    <row r="631">
      <c r="A631" s="193" t="s">
        <v>17666</v>
      </c>
      <c r="B631" s="7" t="s">
        <v>17048</v>
      </c>
      <c r="C631" s="7" t="s">
        <v>16919</v>
      </c>
      <c r="D631" s="199"/>
      <c r="E631" s="193"/>
      <c r="F631" s="195" t="s">
        <v>17667</v>
      </c>
      <c r="G631" s="200">
        <v>3.0701144146E10</v>
      </c>
      <c r="H631" s="197">
        <v>61.61</v>
      </c>
      <c r="I631" s="7" t="s">
        <v>16815</v>
      </c>
      <c r="J631" s="7" t="s">
        <v>17048</v>
      </c>
      <c r="K631" s="7" t="s">
        <v>16919</v>
      </c>
      <c r="L631" s="201" t="s">
        <v>16835</v>
      </c>
      <c r="M631" s="199"/>
      <c r="N631" s="199"/>
    </row>
    <row r="632">
      <c r="A632" s="193" t="s">
        <v>17668</v>
      </c>
      <c r="B632" s="7" t="s">
        <v>17016</v>
      </c>
      <c r="C632" s="7" t="s">
        <v>16838</v>
      </c>
      <c r="D632" s="194">
        <v>2021.0</v>
      </c>
      <c r="E632" s="193"/>
      <c r="F632" s="195" t="s">
        <v>17669</v>
      </c>
      <c r="G632" s="200">
        <v>3.0672E10</v>
      </c>
      <c r="H632" s="197">
        <v>8.52</v>
      </c>
      <c r="I632" s="7" t="s">
        <v>16815</v>
      </c>
      <c r="J632" s="7" t="s">
        <v>17016</v>
      </c>
      <c r="K632" s="7" t="s">
        <v>16838</v>
      </c>
      <c r="L632" s="201" t="s">
        <v>16835</v>
      </c>
      <c r="M632" s="194"/>
      <c r="N632" s="194"/>
    </row>
    <row r="633">
      <c r="A633" s="193" t="s">
        <v>17668</v>
      </c>
      <c r="B633" s="7" t="s">
        <v>16838</v>
      </c>
      <c r="C633" s="7" t="s">
        <v>17016</v>
      </c>
      <c r="D633" s="194">
        <v>2021.0</v>
      </c>
      <c r="E633" s="193"/>
      <c r="F633" s="195" t="s">
        <v>17669</v>
      </c>
      <c r="G633" s="196">
        <v>3.0672E10</v>
      </c>
      <c r="H633" s="197">
        <v>8.52</v>
      </c>
      <c r="I633" s="7" t="s">
        <v>16815</v>
      </c>
      <c r="J633" s="7" t="s">
        <v>16838</v>
      </c>
      <c r="K633" s="7" t="s">
        <v>17016</v>
      </c>
      <c r="L633" s="198" t="s">
        <v>65</v>
      </c>
      <c r="M633" s="194"/>
      <c r="N633" s="194"/>
    </row>
    <row r="634">
      <c r="A634" s="193" t="s">
        <v>17670</v>
      </c>
      <c r="B634" s="7" t="s">
        <v>16945</v>
      </c>
      <c r="C634" s="7" t="s">
        <v>169</v>
      </c>
      <c r="D634" s="199"/>
      <c r="E634" s="193"/>
      <c r="F634" s="195" t="s">
        <v>17671</v>
      </c>
      <c r="G634" s="200">
        <v>3.0431621543E10</v>
      </c>
      <c r="H634" s="197">
        <v>93.82</v>
      </c>
      <c r="I634" s="7" t="s">
        <v>16815</v>
      </c>
      <c r="J634" s="7" t="s">
        <v>16945</v>
      </c>
      <c r="K634" s="7" t="s">
        <v>169</v>
      </c>
      <c r="L634" s="201" t="s">
        <v>16835</v>
      </c>
      <c r="M634" s="199"/>
      <c r="N634" s="199"/>
    </row>
    <row r="635">
      <c r="A635" s="193" t="s">
        <v>17670</v>
      </c>
      <c r="B635" s="7" t="s">
        <v>169</v>
      </c>
      <c r="C635" s="7" t="s">
        <v>16945</v>
      </c>
      <c r="D635" s="199"/>
      <c r="E635" s="193"/>
      <c r="F635" s="195" t="s">
        <v>17671</v>
      </c>
      <c r="G635" s="196">
        <v>3.0431621543E10</v>
      </c>
      <c r="H635" s="197">
        <v>93.82</v>
      </c>
      <c r="I635" s="7" t="s">
        <v>16815</v>
      </c>
      <c r="J635" s="7" t="s">
        <v>169</v>
      </c>
      <c r="K635" s="7" t="s">
        <v>16945</v>
      </c>
      <c r="L635" s="198" t="s">
        <v>65</v>
      </c>
      <c r="M635" s="199"/>
      <c r="N635" s="199"/>
    </row>
    <row r="636">
      <c r="A636" s="193" t="s">
        <v>17672</v>
      </c>
      <c r="B636" s="7" t="s">
        <v>175</v>
      </c>
      <c r="C636" s="7" t="s">
        <v>17673</v>
      </c>
      <c r="D636" s="199"/>
      <c r="E636" s="193"/>
      <c r="F636" s="195" t="s">
        <v>17674</v>
      </c>
      <c r="G636" s="196">
        <v>3.0373398E10</v>
      </c>
      <c r="H636" s="197">
        <v>128.81</v>
      </c>
      <c r="I636" s="7" t="s">
        <v>168</v>
      </c>
      <c r="J636" s="7" t="s">
        <v>175</v>
      </c>
      <c r="K636" s="7" t="s">
        <v>17673</v>
      </c>
      <c r="L636" s="198" t="s">
        <v>65</v>
      </c>
      <c r="M636" s="199"/>
      <c r="N636" s="199"/>
    </row>
    <row r="637">
      <c r="A637" s="193" t="s">
        <v>17672</v>
      </c>
      <c r="B637" s="7" t="s">
        <v>17673</v>
      </c>
      <c r="C637" s="7" t="s">
        <v>175</v>
      </c>
      <c r="D637" s="199"/>
      <c r="E637" s="193"/>
      <c r="F637" s="195" t="s">
        <v>17674</v>
      </c>
      <c r="G637" s="200">
        <v>3.0373398E10</v>
      </c>
      <c r="H637" s="197">
        <v>128.81</v>
      </c>
      <c r="I637" s="7" t="s">
        <v>16815</v>
      </c>
      <c r="J637" s="7" t="s">
        <v>17673</v>
      </c>
      <c r="K637" s="7" t="s">
        <v>175</v>
      </c>
      <c r="L637" s="201" t="s">
        <v>16835</v>
      </c>
      <c r="M637" s="199"/>
      <c r="N637" s="199"/>
    </row>
    <row r="638">
      <c r="A638" s="193" t="s">
        <v>17675</v>
      </c>
      <c r="B638" s="7" t="s">
        <v>17347</v>
      </c>
      <c r="C638" s="7" t="s">
        <v>16838</v>
      </c>
      <c r="D638" s="199"/>
      <c r="E638" s="193"/>
      <c r="F638" s="195" t="s">
        <v>17676</v>
      </c>
      <c r="G638" s="200">
        <v>3.0161479549E10</v>
      </c>
      <c r="H638" s="197">
        <v>21.91</v>
      </c>
      <c r="I638" s="7" t="s">
        <v>16815</v>
      </c>
      <c r="J638" s="7" t="s">
        <v>17347</v>
      </c>
      <c r="K638" s="7" t="s">
        <v>16838</v>
      </c>
      <c r="L638" s="201" t="s">
        <v>16835</v>
      </c>
      <c r="M638" s="199"/>
      <c r="N638" s="199"/>
    </row>
    <row r="639">
      <c r="A639" s="193" t="s">
        <v>17675</v>
      </c>
      <c r="B639" s="7" t="s">
        <v>16838</v>
      </c>
      <c r="C639" s="7" t="s">
        <v>17347</v>
      </c>
      <c r="D639" s="199"/>
      <c r="E639" s="193"/>
      <c r="F639" s="195" t="s">
        <v>17676</v>
      </c>
      <c r="G639" s="196">
        <v>3.0161479549E10</v>
      </c>
      <c r="H639" s="197">
        <v>21.91</v>
      </c>
      <c r="I639" s="7" t="s">
        <v>16815</v>
      </c>
      <c r="J639" s="7" t="s">
        <v>16838</v>
      </c>
      <c r="K639" s="7" t="s">
        <v>17347</v>
      </c>
      <c r="L639" s="198" t="s">
        <v>65</v>
      </c>
      <c r="M639" s="199"/>
      <c r="N639" s="199"/>
    </row>
    <row r="640">
      <c r="A640" s="193" t="s">
        <v>17677</v>
      </c>
      <c r="B640" s="7" t="s">
        <v>175</v>
      </c>
      <c r="C640" s="7" t="s">
        <v>16972</v>
      </c>
      <c r="D640" s="194">
        <v>2019.0</v>
      </c>
      <c r="E640" s="193"/>
      <c r="F640" s="195" t="s">
        <v>17678</v>
      </c>
      <c r="G640" s="196">
        <v>3.0099733617E10</v>
      </c>
      <c r="H640" s="197">
        <v>35.03</v>
      </c>
      <c r="I640" s="7" t="s">
        <v>16908</v>
      </c>
      <c r="J640" s="7" t="s">
        <v>175</v>
      </c>
      <c r="K640" s="7" t="s">
        <v>16972</v>
      </c>
      <c r="L640" s="198" t="s">
        <v>65</v>
      </c>
      <c r="M640" s="194"/>
      <c r="N640" s="194"/>
    </row>
    <row r="641">
      <c r="A641" s="193" t="s">
        <v>17679</v>
      </c>
      <c r="B641" s="7" t="s">
        <v>16838</v>
      </c>
      <c r="C641" s="7" t="s">
        <v>17019</v>
      </c>
      <c r="D641" s="199"/>
      <c r="E641" s="193"/>
      <c r="F641" s="195" t="s">
        <v>17680</v>
      </c>
      <c r="G641" s="196">
        <v>3.0065623743E10</v>
      </c>
      <c r="H641" s="197">
        <v>52.11</v>
      </c>
      <c r="I641" s="7" t="s">
        <v>16815</v>
      </c>
      <c r="J641" s="7" t="s">
        <v>16838</v>
      </c>
      <c r="K641" s="7" t="s">
        <v>17019</v>
      </c>
      <c r="L641" s="198" t="s">
        <v>65</v>
      </c>
      <c r="M641" s="199"/>
      <c r="N641" s="199"/>
    </row>
    <row r="642">
      <c r="A642" s="193" t="s">
        <v>17681</v>
      </c>
      <c r="B642" s="7" t="s">
        <v>16838</v>
      </c>
      <c r="C642" s="7" t="s">
        <v>16867</v>
      </c>
      <c r="D642" s="199"/>
      <c r="E642" s="193"/>
      <c r="F642" s="195" t="s">
        <v>17682</v>
      </c>
      <c r="G642" s="196">
        <v>2.9798076638E10</v>
      </c>
      <c r="H642" s="197">
        <v>2.8</v>
      </c>
      <c r="I642" s="7" t="s">
        <v>16924</v>
      </c>
      <c r="J642" s="7" t="s">
        <v>16838</v>
      </c>
      <c r="K642" s="7" t="s">
        <v>16867</v>
      </c>
      <c r="L642" s="198" t="s">
        <v>65</v>
      </c>
      <c r="M642" s="199"/>
      <c r="N642" s="199"/>
    </row>
    <row r="643">
      <c r="A643" s="193" t="s">
        <v>17681</v>
      </c>
      <c r="B643" s="7" t="s">
        <v>16867</v>
      </c>
      <c r="C643" s="7" t="s">
        <v>16838</v>
      </c>
      <c r="D643" s="199"/>
      <c r="E643" s="193"/>
      <c r="F643" s="195" t="s">
        <v>17682</v>
      </c>
      <c r="G643" s="200">
        <v>2.9798076638E10</v>
      </c>
      <c r="H643" s="197">
        <v>2.8</v>
      </c>
      <c r="I643" s="7" t="s">
        <v>16815</v>
      </c>
      <c r="J643" s="7" t="s">
        <v>16867</v>
      </c>
      <c r="K643" s="7" t="s">
        <v>16838</v>
      </c>
      <c r="L643" s="201" t="s">
        <v>16835</v>
      </c>
      <c r="M643" s="199"/>
      <c r="N643" s="199"/>
    </row>
    <row r="644">
      <c r="A644" s="193" t="s">
        <v>17683</v>
      </c>
      <c r="B644" s="7" t="s">
        <v>169</v>
      </c>
      <c r="C644" s="7" t="s">
        <v>16899</v>
      </c>
      <c r="D644" s="199"/>
      <c r="E644" s="193"/>
      <c r="F644" s="195" t="s">
        <v>17684</v>
      </c>
      <c r="G644" s="196">
        <v>2.9634822703E10</v>
      </c>
      <c r="H644" s="197">
        <v>258.43</v>
      </c>
      <c r="I644" s="7" t="s">
        <v>16815</v>
      </c>
      <c r="J644" s="7" t="s">
        <v>169</v>
      </c>
      <c r="K644" s="7" t="s">
        <v>16899</v>
      </c>
      <c r="L644" s="198" t="s">
        <v>65</v>
      </c>
      <c r="M644" s="199"/>
      <c r="N644" s="199"/>
    </row>
    <row r="645">
      <c r="A645" s="193" t="s">
        <v>17683</v>
      </c>
      <c r="B645" s="7" t="s">
        <v>16899</v>
      </c>
      <c r="C645" s="7" t="s">
        <v>169</v>
      </c>
      <c r="D645" s="199"/>
      <c r="E645" s="193"/>
      <c r="F645" s="195" t="s">
        <v>17684</v>
      </c>
      <c r="G645" s="200">
        <v>2.9634822703E10</v>
      </c>
      <c r="H645" s="197">
        <v>258.43</v>
      </c>
      <c r="I645" s="7" t="s">
        <v>16815</v>
      </c>
      <c r="J645" s="7" t="s">
        <v>16899</v>
      </c>
      <c r="K645" s="7" t="s">
        <v>169</v>
      </c>
      <c r="L645" s="201" t="s">
        <v>16835</v>
      </c>
      <c r="M645" s="199"/>
      <c r="N645" s="199"/>
    </row>
    <row r="646">
      <c r="A646" s="193" t="s">
        <v>17685</v>
      </c>
      <c r="B646" s="7" t="s">
        <v>16945</v>
      </c>
      <c r="C646" s="7" t="s">
        <v>169</v>
      </c>
      <c r="D646" s="194">
        <v>2017.0</v>
      </c>
      <c r="E646" s="193"/>
      <c r="F646" s="195" t="s">
        <v>17686</v>
      </c>
      <c r="G646" s="200">
        <v>2.95611209E10</v>
      </c>
      <c r="H646" s="197">
        <v>68.74</v>
      </c>
      <c r="I646" s="7" t="s">
        <v>16815</v>
      </c>
      <c r="J646" s="7" t="s">
        <v>16945</v>
      </c>
      <c r="K646" s="7" t="s">
        <v>169</v>
      </c>
      <c r="L646" s="201" t="s">
        <v>16835</v>
      </c>
      <c r="M646" s="194"/>
      <c r="N646" s="194"/>
    </row>
    <row r="647">
      <c r="A647" s="193" t="s">
        <v>17685</v>
      </c>
      <c r="B647" s="7" t="s">
        <v>169</v>
      </c>
      <c r="C647" s="7" t="s">
        <v>16945</v>
      </c>
      <c r="D647" s="194">
        <v>2017.0</v>
      </c>
      <c r="E647" s="193"/>
      <c r="F647" s="195" t="s">
        <v>17686</v>
      </c>
      <c r="G647" s="196">
        <v>2.95611209E10</v>
      </c>
      <c r="H647" s="197">
        <v>68.74</v>
      </c>
      <c r="I647" s="7" t="s">
        <v>16815</v>
      </c>
      <c r="J647" s="7" t="s">
        <v>169</v>
      </c>
      <c r="K647" s="7" t="s">
        <v>16945</v>
      </c>
      <c r="L647" s="198" t="s">
        <v>65</v>
      </c>
      <c r="M647" s="194"/>
      <c r="N647" s="194"/>
    </row>
    <row r="648">
      <c r="A648" s="193" t="s">
        <v>17687</v>
      </c>
      <c r="B648" s="7" t="s">
        <v>17111</v>
      </c>
      <c r="C648" s="7" t="s">
        <v>17112</v>
      </c>
      <c r="D648" s="194">
        <v>2018.0</v>
      </c>
      <c r="E648" s="193"/>
      <c r="F648" s="195" t="s">
        <v>17688</v>
      </c>
      <c r="G648" s="200">
        <v>2.9442783708E10</v>
      </c>
      <c r="H648" s="197">
        <v>28.46</v>
      </c>
      <c r="I648" s="7" t="s">
        <v>16815</v>
      </c>
      <c r="J648" s="7" t="s">
        <v>17111</v>
      </c>
      <c r="K648" s="7" t="s">
        <v>17112</v>
      </c>
      <c r="L648" s="201" t="s">
        <v>16835</v>
      </c>
      <c r="M648" s="194"/>
      <c r="N648" s="194"/>
    </row>
    <row r="649">
      <c r="A649" s="193" t="s">
        <v>17687</v>
      </c>
      <c r="B649" s="7" t="s">
        <v>17112</v>
      </c>
      <c r="C649" s="7" t="s">
        <v>17111</v>
      </c>
      <c r="D649" s="194">
        <v>2018.0</v>
      </c>
      <c r="E649" s="193"/>
      <c r="F649" s="195" t="s">
        <v>17688</v>
      </c>
      <c r="G649" s="196">
        <v>2.9442783708E10</v>
      </c>
      <c r="H649" s="197">
        <v>28.46</v>
      </c>
      <c r="I649" s="7" t="s">
        <v>16815</v>
      </c>
      <c r="J649" s="7" t="s">
        <v>17112</v>
      </c>
      <c r="K649" s="7" t="s">
        <v>17111</v>
      </c>
      <c r="L649" s="198" t="s">
        <v>65</v>
      </c>
      <c r="M649" s="194"/>
      <c r="N649" s="194"/>
    </row>
    <row r="650">
      <c r="A650" s="193" t="s">
        <v>17689</v>
      </c>
      <c r="B650" s="7" t="s">
        <v>158</v>
      </c>
      <c r="C650" s="7" t="s">
        <v>16864</v>
      </c>
      <c r="D650" s="194">
        <v>1985.0</v>
      </c>
      <c r="E650" s="193"/>
      <c r="F650" s="195" t="s">
        <v>17690</v>
      </c>
      <c r="G650" s="196">
        <v>2.9228734E10</v>
      </c>
      <c r="H650" s="197">
        <v>45.62</v>
      </c>
      <c r="I650" s="7" t="s">
        <v>16897</v>
      </c>
      <c r="J650" s="7" t="s">
        <v>158</v>
      </c>
      <c r="K650" s="7" t="s">
        <v>16864</v>
      </c>
      <c r="L650" s="198" t="s">
        <v>65</v>
      </c>
      <c r="M650" s="194"/>
      <c r="N650" s="194"/>
    </row>
    <row r="651">
      <c r="A651" s="193" t="s">
        <v>17689</v>
      </c>
      <c r="B651" s="7" t="s">
        <v>16864</v>
      </c>
      <c r="C651" s="7" t="s">
        <v>158</v>
      </c>
      <c r="D651" s="194">
        <v>1985.0</v>
      </c>
      <c r="E651" s="193"/>
      <c r="F651" s="195" t="s">
        <v>17690</v>
      </c>
      <c r="G651" s="200">
        <v>2.9228734E10</v>
      </c>
      <c r="H651" s="197">
        <v>45.62</v>
      </c>
      <c r="I651" s="7" t="s">
        <v>16815</v>
      </c>
      <c r="J651" s="7" t="s">
        <v>16864</v>
      </c>
      <c r="K651" s="7" t="s">
        <v>158</v>
      </c>
      <c r="L651" s="201" t="s">
        <v>16835</v>
      </c>
      <c r="M651" s="194"/>
      <c r="N651" s="194"/>
    </row>
    <row r="652">
      <c r="A652" s="193" t="s">
        <v>17691</v>
      </c>
      <c r="B652" s="7" t="s">
        <v>16582</v>
      </c>
      <c r="C652" s="7" t="s">
        <v>16828</v>
      </c>
      <c r="D652" s="199"/>
      <c r="E652" s="193"/>
      <c r="F652" s="195" t="s">
        <v>17692</v>
      </c>
      <c r="G652" s="196">
        <v>2.9020403412E10</v>
      </c>
      <c r="H652" s="197">
        <v>67.38</v>
      </c>
      <c r="I652" s="7" t="s">
        <v>16815</v>
      </c>
      <c r="J652" s="7" t="s">
        <v>16582</v>
      </c>
      <c r="K652" s="7" t="s">
        <v>16828</v>
      </c>
      <c r="L652" s="198" t="s">
        <v>65</v>
      </c>
      <c r="M652" s="199"/>
      <c r="N652" s="199"/>
    </row>
    <row r="653">
      <c r="A653" s="193" t="s">
        <v>17693</v>
      </c>
      <c r="B653" s="7" t="s">
        <v>16582</v>
      </c>
      <c r="C653" s="7" t="s">
        <v>16828</v>
      </c>
      <c r="D653" s="194">
        <v>2021.0</v>
      </c>
      <c r="E653" s="193"/>
      <c r="F653" s="195" t="s">
        <v>17694</v>
      </c>
      <c r="G653" s="196">
        <v>2.84670872E10</v>
      </c>
      <c r="H653" s="197">
        <v>51.97</v>
      </c>
      <c r="I653" s="7" t="s">
        <v>16815</v>
      </c>
      <c r="J653" s="7" t="s">
        <v>16582</v>
      </c>
      <c r="K653" s="7" t="s">
        <v>16828</v>
      </c>
      <c r="L653" s="198" t="s">
        <v>65</v>
      </c>
      <c r="M653" s="194"/>
      <c r="N653" s="194"/>
    </row>
    <row r="654">
      <c r="A654" s="193" t="s">
        <v>17695</v>
      </c>
      <c r="B654" s="7" t="s">
        <v>175</v>
      </c>
      <c r="C654" s="7" t="s">
        <v>16854</v>
      </c>
      <c r="D654" s="199"/>
      <c r="E654" s="193"/>
      <c r="F654" s="195" t="s">
        <v>17696</v>
      </c>
      <c r="G654" s="196">
        <v>2.8429221452E10</v>
      </c>
      <c r="H654" s="197">
        <v>109.18</v>
      </c>
      <c r="I654" s="193" t="s">
        <v>16908</v>
      </c>
      <c r="J654" s="7" t="s">
        <v>175</v>
      </c>
      <c r="K654" s="7" t="s">
        <v>16854</v>
      </c>
      <c r="L654" s="198" t="s">
        <v>65</v>
      </c>
      <c r="M654" s="199"/>
      <c r="N654" s="199"/>
    </row>
    <row r="655">
      <c r="A655" s="193" t="s">
        <v>17695</v>
      </c>
      <c r="B655" s="7" t="s">
        <v>16854</v>
      </c>
      <c r="C655" s="7" t="s">
        <v>175</v>
      </c>
      <c r="D655" s="199"/>
      <c r="E655" s="193"/>
      <c r="F655" s="195" t="s">
        <v>17696</v>
      </c>
      <c r="G655" s="200">
        <v>2.8429221452E10</v>
      </c>
      <c r="H655" s="197">
        <v>109.18</v>
      </c>
      <c r="I655" s="7" t="s">
        <v>16815</v>
      </c>
      <c r="J655" s="7" t="s">
        <v>16854</v>
      </c>
      <c r="K655" s="7" t="s">
        <v>175</v>
      </c>
      <c r="L655" s="201" t="s">
        <v>16835</v>
      </c>
      <c r="M655" s="199"/>
      <c r="N655" s="199"/>
    </row>
    <row r="656">
      <c r="A656" s="193" t="s">
        <v>17697</v>
      </c>
      <c r="B656" s="7" t="s">
        <v>175</v>
      </c>
      <c r="C656" s="7" t="s">
        <v>16824</v>
      </c>
      <c r="D656" s="194">
        <v>2013.0</v>
      </c>
      <c r="E656" s="193"/>
      <c r="F656" s="195" t="s">
        <v>17698</v>
      </c>
      <c r="G656" s="196">
        <v>2.8355391306E10</v>
      </c>
      <c r="H656" s="197">
        <v>211.67</v>
      </c>
      <c r="I656" s="7" t="s">
        <v>16908</v>
      </c>
      <c r="J656" s="7" t="s">
        <v>175</v>
      </c>
      <c r="K656" s="7" t="s">
        <v>16824</v>
      </c>
      <c r="L656" s="198" t="s">
        <v>65</v>
      </c>
      <c r="M656" s="194"/>
      <c r="N656" s="194"/>
    </row>
    <row r="657">
      <c r="A657" s="193" t="s">
        <v>17699</v>
      </c>
      <c r="B657" s="7" t="s">
        <v>158</v>
      </c>
      <c r="C657" s="7" t="s">
        <v>16864</v>
      </c>
      <c r="D657" s="194">
        <v>2012.0</v>
      </c>
      <c r="E657" s="193"/>
      <c r="F657" s="195" t="s">
        <v>17700</v>
      </c>
      <c r="G657" s="196">
        <v>2.8227710314E10</v>
      </c>
      <c r="H657" s="197">
        <v>157.71</v>
      </c>
      <c r="I657" s="7" t="s">
        <v>16897</v>
      </c>
      <c r="J657" s="7" t="s">
        <v>158</v>
      </c>
      <c r="K657" s="7" t="s">
        <v>16864</v>
      </c>
      <c r="L657" s="198" t="s">
        <v>65</v>
      </c>
      <c r="M657" s="194"/>
      <c r="N657" s="194"/>
    </row>
    <row r="658">
      <c r="A658" s="193" t="s">
        <v>17701</v>
      </c>
      <c r="B658" s="7" t="s">
        <v>17702</v>
      </c>
      <c r="C658" s="7" t="s">
        <v>169</v>
      </c>
      <c r="D658" s="199"/>
      <c r="E658" s="193"/>
      <c r="F658" s="195" t="s">
        <v>17703</v>
      </c>
      <c r="G658" s="200">
        <v>2.8123981092E10</v>
      </c>
      <c r="H658" s="197">
        <v>211.66</v>
      </c>
      <c r="I658" s="7" t="s">
        <v>16815</v>
      </c>
      <c r="J658" s="7" t="s">
        <v>17702</v>
      </c>
      <c r="K658" s="7" t="s">
        <v>169</v>
      </c>
      <c r="L658" s="201" t="s">
        <v>16835</v>
      </c>
      <c r="M658" s="199"/>
      <c r="N658" s="199"/>
    </row>
    <row r="659">
      <c r="A659" s="193" t="s">
        <v>17701</v>
      </c>
      <c r="B659" s="7" t="s">
        <v>169</v>
      </c>
      <c r="C659" s="7" t="s">
        <v>17702</v>
      </c>
      <c r="D659" s="199"/>
      <c r="E659" s="193"/>
      <c r="F659" s="195" t="s">
        <v>17703</v>
      </c>
      <c r="G659" s="196">
        <v>2.8123981092E10</v>
      </c>
      <c r="H659" s="197">
        <v>211.66</v>
      </c>
      <c r="I659" s="7" t="s">
        <v>16815</v>
      </c>
      <c r="J659" s="7" t="s">
        <v>169</v>
      </c>
      <c r="K659" s="7" t="s">
        <v>17702</v>
      </c>
      <c r="L659" s="198" t="s">
        <v>65</v>
      </c>
      <c r="M659" s="199"/>
      <c r="N659" s="199"/>
    </row>
    <row r="660">
      <c r="A660" s="193" t="s">
        <v>17704</v>
      </c>
      <c r="B660" s="7" t="s">
        <v>16838</v>
      </c>
      <c r="C660" s="7" t="s">
        <v>16867</v>
      </c>
      <c r="D660" s="199"/>
      <c r="E660" s="193"/>
      <c r="F660" s="195" t="s">
        <v>17705</v>
      </c>
      <c r="G660" s="196">
        <v>2.8063695302E10</v>
      </c>
      <c r="H660" s="197">
        <v>19.38</v>
      </c>
      <c r="I660" s="7" t="s">
        <v>16815</v>
      </c>
      <c r="J660" s="7" t="s">
        <v>16838</v>
      </c>
      <c r="K660" s="7" t="s">
        <v>16867</v>
      </c>
      <c r="L660" s="198" t="s">
        <v>65</v>
      </c>
      <c r="M660" s="199"/>
      <c r="N660" s="199"/>
    </row>
    <row r="661">
      <c r="A661" s="193" t="s">
        <v>17706</v>
      </c>
      <c r="B661" s="7" t="s">
        <v>17702</v>
      </c>
      <c r="C661" s="7" t="s">
        <v>169</v>
      </c>
      <c r="D661" s="194">
        <v>1994.0</v>
      </c>
      <c r="E661" s="193"/>
      <c r="F661" s="195" t="s">
        <v>17707</v>
      </c>
      <c r="G661" s="200">
        <v>2.8052416163E10</v>
      </c>
      <c r="H661" s="197">
        <v>453.87</v>
      </c>
      <c r="I661" s="7" t="s">
        <v>16815</v>
      </c>
      <c r="J661" s="7" t="s">
        <v>17702</v>
      </c>
      <c r="K661" s="7" t="s">
        <v>169</v>
      </c>
      <c r="L661" s="201" t="s">
        <v>16835</v>
      </c>
      <c r="M661" s="194"/>
      <c r="N661" s="194"/>
    </row>
    <row r="662">
      <c r="A662" s="193" t="s">
        <v>17706</v>
      </c>
      <c r="B662" s="7" t="s">
        <v>169</v>
      </c>
      <c r="C662" s="7" t="s">
        <v>17702</v>
      </c>
      <c r="D662" s="194">
        <v>1994.0</v>
      </c>
      <c r="E662" s="193"/>
      <c r="F662" s="195" t="s">
        <v>17707</v>
      </c>
      <c r="G662" s="196">
        <v>2.8052416163E10</v>
      </c>
      <c r="H662" s="197">
        <v>453.87</v>
      </c>
      <c r="I662" s="7" t="s">
        <v>16815</v>
      </c>
      <c r="J662" s="7" t="s">
        <v>169</v>
      </c>
      <c r="K662" s="7" t="s">
        <v>17702</v>
      </c>
      <c r="L662" s="198" t="s">
        <v>65</v>
      </c>
      <c r="M662" s="194"/>
      <c r="N662" s="194"/>
    </row>
    <row r="663">
      <c r="A663" s="193" t="s">
        <v>17708</v>
      </c>
      <c r="B663" s="7" t="s">
        <v>17347</v>
      </c>
      <c r="C663" s="7" t="s">
        <v>16838</v>
      </c>
      <c r="D663" s="199"/>
      <c r="E663" s="193"/>
      <c r="F663" s="195" t="s">
        <v>17709</v>
      </c>
      <c r="G663" s="200">
        <v>2.7959916E10</v>
      </c>
      <c r="H663" s="197">
        <v>47.64</v>
      </c>
      <c r="I663" s="7" t="s">
        <v>16815</v>
      </c>
      <c r="J663" s="7" t="s">
        <v>17347</v>
      </c>
      <c r="K663" s="7" t="s">
        <v>16838</v>
      </c>
      <c r="L663" s="201" t="s">
        <v>16835</v>
      </c>
      <c r="M663" s="199"/>
      <c r="N663" s="199"/>
    </row>
    <row r="664">
      <c r="A664" s="193" t="s">
        <v>17708</v>
      </c>
      <c r="B664" s="7" t="s">
        <v>16838</v>
      </c>
      <c r="C664" s="7" t="s">
        <v>17347</v>
      </c>
      <c r="D664" s="199"/>
      <c r="E664" s="193"/>
      <c r="F664" s="195" t="s">
        <v>17709</v>
      </c>
      <c r="G664" s="196">
        <v>2.7959916E10</v>
      </c>
      <c r="H664" s="197">
        <v>47.64</v>
      </c>
      <c r="I664" s="7" t="s">
        <v>16815</v>
      </c>
      <c r="J664" s="7" t="s">
        <v>16838</v>
      </c>
      <c r="K664" s="7" t="s">
        <v>17347</v>
      </c>
      <c r="L664" s="198" t="s">
        <v>65</v>
      </c>
      <c r="M664" s="199"/>
      <c r="N664" s="199"/>
    </row>
    <row r="665">
      <c r="A665" s="193" t="s">
        <v>17710</v>
      </c>
      <c r="B665" s="7" t="s">
        <v>16910</v>
      </c>
      <c r="C665" s="7" t="s">
        <v>16911</v>
      </c>
      <c r="D665" s="199"/>
      <c r="E665" s="193"/>
      <c r="F665" s="195" t="s">
        <v>17711</v>
      </c>
      <c r="G665" s="196">
        <v>2.7888671489E10</v>
      </c>
      <c r="H665" s="197">
        <v>60.78</v>
      </c>
      <c r="I665" s="7" t="s">
        <v>16856</v>
      </c>
      <c r="J665" s="7" t="s">
        <v>16910</v>
      </c>
      <c r="K665" s="7" t="s">
        <v>16911</v>
      </c>
      <c r="L665" s="198" t="s">
        <v>65</v>
      </c>
      <c r="M665" s="199"/>
      <c r="N665" s="199"/>
    </row>
    <row r="666">
      <c r="A666" s="193" t="s">
        <v>17712</v>
      </c>
      <c r="B666" s="7" t="s">
        <v>16957</v>
      </c>
      <c r="C666" s="7" t="s">
        <v>16926</v>
      </c>
      <c r="D666" s="199"/>
      <c r="E666" s="193"/>
      <c r="F666" s="195" t="s">
        <v>17713</v>
      </c>
      <c r="G666" s="200">
        <v>2.7849233115E10</v>
      </c>
      <c r="H666" s="197">
        <v>35.9</v>
      </c>
      <c r="I666" s="7" t="s">
        <v>16815</v>
      </c>
      <c r="J666" s="7" t="s">
        <v>16957</v>
      </c>
      <c r="K666" s="7" t="s">
        <v>16926</v>
      </c>
      <c r="L666" s="201" t="s">
        <v>16835</v>
      </c>
      <c r="M666" s="199"/>
      <c r="N666" s="199"/>
    </row>
    <row r="667">
      <c r="A667" s="193" t="s">
        <v>17712</v>
      </c>
      <c r="B667" s="7" t="s">
        <v>16926</v>
      </c>
      <c r="C667" s="7" t="s">
        <v>16957</v>
      </c>
      <c r="D667" s="199"/>
      <c r="E667" s="193"/>
      <c r="F667" s="195" t="s">
        <v>17713</v>
      </c>
      <c r="G667" s="196">
        <v>2.7849233115E10</v>
      </c>
      <c r="H667" s="197">
        <v>35.9</v>
      </c>
      <c r="I667" s="7" t="s">
        <v>16815</v>
      </c>
      <c r="J667" s="7" t="s">
        <v>16926</v>
      </c>
      <c r="K667" s="7" t="s">
        <v>16957</v>
      </c>
      <c r="L667" s="198" t="s">
        <v>65</v>
      </c>
      <c r="M667" s="199"/>
      <c r="N667" s="199"/>
    </row>
    <row r="668">
      <c r="A668" s="193" t="s">
        <v>17714</v>
      </c>
      <c r="B668" s="7" t="s">
        <v>169</v>
      </c>
      <c r="C668" s="7" t="s">
        <v>16899</v>
      </c>
      <c r="D668" s="194">
        <v>2017.0</v>
      </c>
      <c r="E668" s="193"/>
      <c r="F668" s="195" t="s">
        <v>17715</v>
      </c>
      <c r="G668" s="196">
        <v>2.766382534E10</v>
      </c>
      <c r="H668" s="197">
        <v>68.34</v>
      </c>
      <c r="I668" s="7" t="s">
        <v>16815</v>
      </c>
      <c r="J668" s="7" t="s">
        <v>169</v>
      </c>
      <c r="K668" s="7" t="s">
        <v>16899</v>
      </c>
      <c r="L668" s="198" t="s">
        <v>65</v>
      </c>
      <c r="M668" s="194"/>
      <c r="N668" s="194"/>
    </row>
    <row r="669">
      <c r="A669" s="193" t="s">
        <v>17714</v>
      </c>
      <c r="B669" s="7" t="s">
        <v>16899</v>
      </c>
      <c r="C669" s="7" t="s">
        <v>169</v>
      </c>
      <c r="D669" s="194">
        <v>2017.0</v>
      </c>
      <c r="E669" s="193"/>
      <c r="F669" s="195" t="s">
        <v>17715</v>
      </c>
      <c r="G669" s="200">
        <v>2.766382534E10</v>
      </c>
      <c r="H669" s="197">
        <v>68.34</v>
      </c>
      <c r="I669" s="7" t="s">
        <v>16815</v>
      </c>
      <c r="J669" s="7" t="s">
        <v>16899</v>
      </c>
      <c r="K669" s="7" t="s">
        <v>169</v>
      </c>
      <c r="L669" s="201" t="s">
        <v>16835</v>
      </c>
      <c r="M669" s="194"/>
      <c r="N669" s="194"/>
    </row>
    <row r="670">
      <c r="A670" s="193" t="s">
        <v>17716</v>
      </c>
      <c r="B670" s="7" t="s">
        <v>175</v>
      </c>
      <c r="C670" s="7" t="s">
        <v>17717</v>
      </c>
      <c r="D670" s="194">
        <v>2021.0</v>
      </c>
      <c r="E670" s="193"/>
      <c r="F670" s="195" t="s">
        <v>17718</v>
      </c>
      <c r="G670" s="196">
        <v>2.7388904485E10</v>
      </c>
      <c r="H670" s="197">
        <v>15.32</v>
      </c>
      <c r="I670" s="7" t="s">
        <v>16908</v>
      </c>
      <c r="J670" s="7" t="s">
        <v>175</v>
      </c>
      <c r="K670" s="7" t="s">
        <v>17717</v>
      </c>
      <c r="L670" s="198" t="s">
        <v>65</v>
      </c>
      <c r="M670" s="194"/>
      <c r="N670" s="194"/>
    </row>
    <row r="671">
      <c r="A671" s="193" t="s">
        <v>17716</v>
      </c>
      <c r="B671" s="7" t="s">
        <v>17717</v>
      </c>
      <c r="C671" s="7" t="s">
        <v>175</v>
      </c>
      <c r="D671" s="194">
        <v>2021.0</v>
      </c>
      <c r="E671" s="193"/>
      <c r="F671" s="195" t="s">
        <v>17718</v>
      </c>
      <c r="G671" s="200">
        <v>2.7388904485E10</v>
      </c>
      <c r="H671" s="197">
        <v>15.32</v>
      </c>
      <c r="I671" s="7" t="s">
        <v>16815</v>
      </c>
      <c r="J671" s="7" t="s">
        <v>17717</v>
      </c>
      <c r="K671" s="7" t="s">
        <v>175</v>
      </c>
      <c r="L671" s="201" t="s">
        <v>16835</v>
      </c>
      <c r="M671" s="194"/>
      <c r="N671" s="194"/>
    </row>
    <row r="672">
      <c r="A672" s="193" t="s">
        <v>17719</v>
      </c>
      <c r="B672" s="7" t="s">
        <v>16926</v>
      </c>
      <c r="C672" s="7" t="s">
        <v>16957</v>
      </c>
      <c r="D672" s="199"/>
      <c r="E672" s="193"/>
      <c r="F672" s="195" t="s">
        <v>17720</v>
      </c>
      <c r="G672" s="196">
        <v>2.7319111221E10</v>
      </c>
      <c r="H672" s="197">
        <v>9.48</v>
      </c>
      <c r="I672" s="7" t="s">
        <v>16815</v>
      </c>
      <c r="J672" s="7" t="s">
        <v>16926</v>
      </c>
      <c r="K672" s="7" t="s">
        <v>16957</v>
      </c>
      <c r="L672" s="198" t="s">
        <v>65</v>
      </c>
      <c r="M672" s="199"/>
      <c r="N672" s="199"/>
    </row>
    <row r="673">
      <c r="A673" s="193" t="s">
        <v>17721</v>
      </c>
      <c r="B673" s="7" t="s">
        <v>16582</v>
      </c>
      <c r="C673" s="7" t="s">
        <v>16813</v>
      </c>
      <c r="D673" s="199"/>
      <c r="E673" s="193"/>
      <c r="F673" s="195" t="s">
        <v>17722</v>
      </c>
      <c r="G673" s="196">
        <v>2.7295983455E10</v>
      </c>
      <c r="H673" s="197">
        <v>27.62</v>
      </c>
      <c r="I673" s="7" t="s">
        <v>16815</v>
      </c>
      <c r="J673" s="7" t="s">
        <v>16582</v>
      </c>
      <c r="K673" s="7" t="s">
        <v>16813</v>
      </c>
      <c r="L673" s="198" t="s">
        <v>65</v>
      </c>
      <c r="M673" s="199"/>
      <c r="N673" s="199"/>
    </row>
    <row r="674">
      <c r="A674" s="193" t="s">
        <v>17721</v>
      </c>
      <c r="B674" s="7" t="s">
        <v>16813</v>
      </c>
      <c r="C674" s="7" t="s">
        <v>16582</v>
      </c>
      <c r="D674" s="199"/>
      <c r="E674" s="193"/>
      <c r="F674" s="195" t="s">
        <v>17722</v>
      </c>
      <c r="G674" s="200">
        <v>2.7295983455E10</v>
      </c>
      <c r="H674" s="197">
        <v>27.62</v>
      </c>
      <c r="I674" s="7" t="s">
        <v>16815</v>
      </c>
      <c r="J674" s="7" t="s">
        <v>16813</v>
      </c>
      <c r="K674" s="7" t="s">
        <v>16582</v>
      </c>
      <c r="L674" s="201" t="s">
        <v>16835</v>
      </c>
      <c r="M674" s="199"/>
      <c r="N674" s="199"/>
    </row>
    <row r="675">
      <c r="A675" s="193" t="s">
        <v>17723</v>
      </c>
      <c r="B675" s="7" t="s">
        <v>16919</v>
      </c>
      <c r="C675" s="7" t="s">
        <v>17413</v>
      </c>
      <c r="D675" s="194">
        <v>2007.0</v>
      </c>
      <c r="E675" s="193"/>
      <c r="F675" s="195" t="s">
        <v>17724</v>
      </c>
      <c r="G675" s="196">
        <v>2.7265923799E10</v>
      </c>
      <c r="H675" s="197">
        <v>56.33</v>
      </c>
      <c r="I675" s="7" t="s">
        <v>16815</v>
      </c>
      <c r="J675" s="7" t="s">
        <v>16919</v>
      </c>
      <c r="K675" s="7" t="s">
        <v>17413</v>
      </c>
      <c r="L675" s="198" t="s">
        <v>65</v>
      </c>
      <c r="M675" s="194"/>
      <c r="N675" s="194"/>
    </row>
    <row r="676">
      <c r="A676" s="193" t="s">
        <v>17723</v>
      </c>
      <c r="B676" s="202" t="s">
        <v>17413</v>
      </c>
      <c r="C676" s="193" t="s">
        <v>16919</v>
      </c>
      <c r="D676" s="193">
        <v>2007.0</v>
      </c>
      <c r="E676" s="193"/>
      <c r="F676" s="203" t="s">
        <v>17724</v>
      </c>
      <c r="G676" s="200">
        <v>2.7265923799E10</v>
      </c>
      <c r="H676" s="205">
        <v>0.3961</v>
      </c>
      <c r="J676" s="202" t="s">
        <v>17413</v>
      </c>
      <c r="K676" s="193" t="s">
        <v>16919</v>
      </c>
      <c r="L676" s="193" t="s">
        <v>17471</v>
      </c>
      <c r="M676" s="193"/>
      <c r="N676" s="193"/>
    </row>
    <row r="677">
      <c r="A677" s="193" t="s">
        <v>17725</v>
      </c>
      <c r="B677" s="7" t="s">
        <v>16885</v>
      </c>
      <c r="C677" s="7" t="s">
        <v>17726</v>
      </c>
      <c r="D677" s="199"/>
      <c r="E677" s="193"/>
      <c r="F677" s="195" t="s">
        <v>12939</v>
      </c>
      <c r="G677" s="196">
        <v>2.7182166601E10</v>
      </c>
      <c r="H677" s="197">
        <v>34.2</v>
      </c>
      <c r="I677" s="7" t="s">
        <v>16826</v>
      </c>
      <c r="J677" s="7" t="s">
        <v>16885</v>
      </c>
      <c r="K677" s="7" t="s">
        <v>17726</v>
      </c>
      <c r="L677" s="198" t="s">
        <v>65</v>
      </c>
      <c r="M677" s="199"/>
      <c r="N677" s="199"/>
    </row>
    <row r="678">
      <c r="A678" s="193" t="s">
        <v>17725</v>
      </c>
      <c r="B678" s="7" t="s">
        <v>17726</v>
      </c>
      <c r="C678" s="7" t="s">
        <v>16885</v>
      </c>
      <c r="D678" s="199"/>
      <c r="E678" s="193"/>
      <c r="F678" s="195" t="s">
        <v>12939</v>
      </c>
      <c r="G678" s="200">
        <v>2.7182166601E10</v>
      </c>
      <c r="H678" s="197">
        <v>34.2</v>
      </c>
      <c r="I678" s="7" t="s">
        <v>16815</v>
      </c>
      <c r="J678" s="7" t="s">
        <v>17726</v>
      </c>
      <c r="K678" s="7" t="s">
        <v>16885</v>
      </c>
      <c r="L678" s="201" t="s">
        <v>16835</v>
      </c>
      <c r="M678" s="199"/>
      <c r="N678" s="199"/>
    </row>
    <row r="679">
      <c r="A679" s="193" t="s">
        <v>17727</v>
      </c>
      <c r="B679" s="7" t="s">
        <v>187</v>
      </c>
      <c r="C679" s="7" t="s">
        <v>16858</v>
      </c>
      <c r="D679" s="194">
        <v>2017.0</v>
      </c>
      <c r="E679" s="193"/>
      <c r="F679" s="195" t="s">
        <v>17728</v>
      </c>
      <c r="G679" s="196">
        <v>2.7095221087E10</v>
      </c>
      <c r="H679" s="197">
        <v>489.12</v>
      </c>
      <c r="I679" s="7" t="s">
        <v>16815</v>
      </c>
      <c r="J679" s="7" t="s">
        <v>187</v>
      </c>
      <c r="K679" s="7" t="s">
        <v>16858</v>
      </c>
      <c r="L679" s="198" t="s">
        <v>65</v>
      </c>
      <c r="M679" s="194"/>
      <c r="N679" s="194"/>
    </row>
    <row r="680">
      <c r="A680" s="193" t="s">
        <v>17729</v>
      </c>
      <c r="B680" s="7" t="s">
        <v>16582</v>
      </c>
      <c r="C680" s="7" t="s">
        <v>16817</v>
      </c>
      <c r="D680" s="194">
        <v>2017.0</v>
      </c>
      <c r="E680" s="193"/>
      <c r="F680" s="195" t="s">
        <v>17730</v>
      </c>
      <c r="G680" s="196">
        <v>2.6889071947E10</v>
      </c>
      <c r="H680" s="197">
        <v>376.89</v>
      </c>
      <c r="I680" s="7" t="s">
        <v>16815</v>
      </c>
      <c r="J680" s="7" t="s">
        <v>16582</v>
      </c>
      <c r="K680" s="7" t="s">
        <v>16817</v>
      </c>
      <c r="L680" s="198" t="s">
        <v>65</v>
      </c>
      <c r="M680" s="194"/>
      <c r="N680" s="194"/>
    </row>
    <row r="681">
      <c r="A681" s="193" t="s">
        <v>17731</v>
      </c>
      <c r="D681" s="199"/>
      <c r="E681" s="193"/>
      <c r="F681" s="195" t="s">
        <v>17732</v>
      </c>
      <c r="G681" s="196">
        <v>2.671906006E10</v>
      </c>
      <c r="H681" s="197">
        <v>15.22</v>
      </c>
      <c r="I681" s="7" t="s">
        <v>16815</v>
      </c>
      <c r="L681" s="198" t="s">
        <v>65</v>
      </c>
      <c r="M681" s="199"/>
      <c r="N681" s="199"/>
    </row>
    <row r="682">
      <c r="A682" s="193" t="s">
        <v>17731</v>
      </c>
      <c r="D682" s="199"/>
      <c r="E682" s="193"/>
      <c r="F682" s="195" t="s">
        <v>17732</v>
      </c>
      <c r="G682" s="200">
        <v>2.671906006E10</v>
      </c>
      <c r="H682" s="197">
        <v>15.22</v>
      </c>
      <c r="L682" s="201" t="s">
        <v>16835</v>
      </c>
      <c r="M682" s="199"/>
      <c r="N682" s="199"/>
    </row>
    <row r="683">
      <c r="A683" s="193" t="s">
        <v>17733</v>
      </c>
      <c r="B683" s="7" t="s">
        <v>187</v>
      </c>
      <c r="C683" s="7" t="s">
        <v>16858</v>
      </c>
      <c r="D683" s="194">
        <v>2018.0</v>
      </c>
      <c r="E683" s="193"/>
      <c r="F683" s="195" t="s">
        <v>17734</v>
      </c>
      <c r="G683" s="196">
        <v>2.670894392E10</v>
      </c>
      <c r="H683" s="197">
        <v>70.05</v>
      </c>
      <c r="I683" s="7" t="s">
        <v>16815</v>
      </c>
      <c r="J683" s="7" t="s">
        <v>187</v>
      </c>
      <c r="K683" s="7" t="s">
        <v>16858</v>
      </c>
      <c r="L683" s="198" t="s">
        <v>65</v>
      </c>
      <c r="M683" s="194"/>
      <c r="N683" s="194"/>
    </row>
    <row r="684">
      <c r="A684" s="193" t="s">
        <v>17735</v>
      </c>
      <c r="B684" s="7" t="s">
        <v>16582</v>
      </c>
      <c r="C684" s="7" t="s">
        <v>16817</v>
      </c>
      <c r="D684" s="194">
        <v>2013.0</v>
      </c>
      <c r="E684" s="193"/>
      <c r="F684" s="195" t="s">
        <v>17736</v>
      </c>
      <c r="G684" s="196">
        <v>2.6521013242E10</v>
      </c>
      <c r="H684" s="197">
        <v>165.08</v>
      </c>
      <c r="I684" s="7" t="s">
        <v>16815</v>
      </c>
      <c r="J684" s="7" t="s">
        <v>16582</v>
      </c>
      <c r="K684" s="7" t="s">
        <v>16817</v>
      </c>
      <c r="L684" s="198" t="s">
        <v>65</v>
      </c>
      <c r="M684" s="194"/>
      <c r="N684" s="194"/>
    </row>
    <row r="685">
      <c r="A685" s="193" t="s">
        <v>17735</v>
      </c>
      <c r="B685" s="7" t="s">
        <v>16817</v>
      </c>
      <c r="C685" s="7" t="s">
        <v>16582</v>
      </c>
      <c r="D685" s="194">
        <v>2013.0</v>
      </c>
      <c r="E685" s="193"/>
      <c r="F685" s="195" t="s">
        <v>17736</v>
      </c>
      <c r="G685" s="200">
        <v>2.6521013242E10</v>
      </c>
      <c r="H685" s="197">
        <v>165.08</v>
      </c>
      <c r="I685" s="7" t="s">
        <v>16815</v>
      </c>
      <c r="J685" s="7" t="s">
        <v>16817</v>
      </c>
      <c r="K685" s="7" t="s">
        <v>16582</v>
      </c>
      <c r="L685" s="201" t="s">
        <v>16835</v>
      </c>
      <c r="M685" s="194"/>
      <c r="N685" s="194"/>
    </row>
    <row r="686">
      <c r="A686" s="193" t="s">
        <v>17737</v>
      </c>
      <c r="B686" s="7" t="s">
        <v>169</v>
      </c>
      <c r="C686" s="7" t="s">
        <v>17738</v>
      </c>
      <c r="D686" s="194">
        <v>2004.0</v>
      </c>
      <c r="E686" s="193"/>
      <c r="F686" s="195" t="s">
        <v>17739</v>
      </c>
      <c r="G686" s="196">
        <v>2.6482196418E10</v>
      </c>
      <c r="H686" s="197">
        <v>53.55</v>
      </c>
      <c r="I686" s="7" t="s">
        <v>16815</v>
      </c>
      <c r="J686" s="7" t="s">
        <v>169</v>
      </c>
      <c r="K686" s="7" t="s">
        <v>17738</v>
      </c>
      <c r="L686" s="198" t="s">
        <v>65</v>
      </c>
      <c r="M686" s="194"/>
      <c r="N686" s="194"/>
    </row>
    <row r="687">
      <c r="A687" s="193" t="s">
        <v>17737</v>
      </c>
      <c r="B687" s="7" t="s">
        <v>17738</v>
      </c>
      <c r="C687" s="7" t="s">
        <v>169</v>
      </c>
      <c r="D687" s="194">
        <v>2004.0</v>
      </c>
      <c r="E687" s="193"/>
      <c r="F687" s="195" t="s">
        <v>17739</v>
      </c>
      <c r="G687" s="200">
        <v>2.6482196418E10</v>
      </c>
      <c r="H687" s="197">
        <v>53.55</v>
      </c>
      <c r="I687" s="7" t="s">
        <v>16815</v>
      </c>
      <c r="J687" s="7" t="s">
        <v>17738</v>
      </c>
      <c r="K687" s="7" t="s">
        <v>169</v>
      </c>
      <c r="L687" s="201" t="s">
        <v>16835</v>
      </c>
      <c r="M687" s="194"/>
      <c r="N687" s="194"/>
    </row>
    <row r="688">
      <c r="A688" s="193" t="s">
        <v>17740</v>
      </c>
      <c r="B688" s="7" t="s">
        <v>17532</v>
      </c>
      <c r="C688" s="7" t="s">
        <v>169</v>
      </c>
      <c r="D688" s="194">
        <v>1994.0</v>
      </c>
      <c r="E688" s="193"/>
      <c r="F688" s="195" t="s">
        <v>17741</v>
      </c>
      <c r="G688" s="200">
        <v>2.6234713341E10</v>
      </c>
      <c r="H688" s="197">
        <v>86.47</v>
      </c>
      <c r="I688" s="7" t="s">
        <v>16815</v>
      </c>
      <c r="J688" s="7" t="s">
        <v>17532</v>
      </c>
      <c r="K688" s="7" t="s">
        <v>169</v>
      </c>
      <c r="L688" s="201" t="s">
        <v>16835</v>
      </c>
      <c r="M688" s="194"/>
      <c r="N688" s="194"/>
    </row>
    <row r="689">
      <c r="A689" s="193" t="s">
        <v>17740</v>
      </c>
      <c r="B689" s="7" t="s">
        <v>169</v>
      </c>
      <c r="C689" s="7" t="s">
        <v>17532</v>
      </c>
      <c r="D689" s="194">
        <v>1994.0</v>
      </c>
      <c r="E689" s="193"/>
      <c r="F689" s="195" t="s">
        <v>17741</v>
      </c>
      <c r="G689" s="196">
        <v>2.6234713341E10</v>
      </c>
      <c r="H689" s="197">
        <v>86.47</v>
      </c>
      <c r="I689" s="7" t="s">
        <v>16815</v>
      </c>
      <c r="J689" s="7" t="s">
        <v>169</v>
      </c>
      <c r="K689" s="7" t="s">
        <v>17532</v>
      </c>
      <c r="L689" s="198" t="s">
        <v>65</v>
      </c>
      <c r="M689" s="194"/>
      <c r="N689" s="194"/>
    </row>
    <row r="690">
      <c r="A690" s="193" t="s">
        <v>17742</v>
      </c>
      <c r="B690" s="7" t="s">
        <v>175</v>
      </c>
      <c r="C690" s="7" t="s">
        <v>16861</v>
      </c>
      <c r="D690" s="194">
        <v>2009.0</v>
      </c>
      <c r="E690" s="193"/>
      <c r="F690" s="195" t="s">
        <v>17743</v>
      </c>
      <c r="G690" s="196">
        <v>2.5885058056E10</v>
      </c>
      <c r="H690" s="197">
        <v>117.94</v>
      </c>
      <c r="I690" s="7" t="s">
        <v>16908</v>
      </c>
      <c r="J690" s="7" t="s">
        <v>175</v>
      </c>
      <c r="K690" s="7" t="s">
        <v>16861</v>
      </c>
      <c r="L690" s="198" t="s">
        <v>65</v>
      </c>
      <c r="M690" s="194"/>
      <c r="N690" s="194"/>
    </row>
    <row r="691">
      <c r="A691" s="193" t="s">
        <v>17742</v>
      </c>
      <c r="B691" s="7" t="s">
        <v>16861</v>
      </c>
      <c r="C691" s="7" t="s">
        <v>175</v>
      </c>
      <c r="D691" s="194">
        <v>2009.0</v>
      </c>
      <c r="E691" s="193"/>
      <c r="F691" s="195" t="s">
        <v>17743</v>
      </c>
      <c r="G691" s="200">
        <v>2.5885058056E10</v>
      </c>
      <c r="H691" s="197">
        <v>117.94</v>
      </c>
      <c r="I691" s="7" t="s">
        <v>16815</v>
      </c>
      <c r="J691" s="7" t="s">
        <v>16861</v>
      </c>
      <c r="K691" s="7" t="s">
        <v>175</v>
      </c>
      <c r="L691" s="201" t="s">
        <v>16835</v>
      </c>
      <c r="M691" s="194"/>
      <c r="N691" s="194"/>
    </row>
    <row r="692">
      <c r="A692" s="193" t="s">
        <v>17744</v>
      </c>
      <c r="B692" s="7" t="s">
        <v>16582</v>
      </c>
      <c r="C692" s="7" t="s">
        <v>16930</v>
      </c>
      <c r="D692" s="194">
        <v>2018.0</v>
      </c>
      <c r="E692" s="193"/>
      <c r="F692" s="195" t="s">
        <v>17745</v>
      </c>
      <c r="G692" s="196">
        <v>2.5760422026E10</v>
      </c>
      <c r="H692" s="197">
        <v>175.04</v>
      </c>
      <c r="I692" s="7" t="s">
        <v>16815</v>
      </c>
      <c r="J692" s="7" t="s">
        <v>16582</v>
      </c>
      <c r="K692" s="7" t="s">
        <v>16930</v>
      </c>
      <c r="L692" s="198" t="s">
        <v>65</v>
      </c>
      <c r="M692" s="194"/>
      <c r="N692" s="194"/>
    </row>
    <row r="693">
      <c r="A693" s="193" t="s">
        <v>17746</v>
      </c>
      <c r="B693" s="7" t="s">
        <v>16910</v>
      </c>
      <c r="C693" s="7" t="s">
        <v>16911</v>
      </c>
      <c r="D693" s="199"/>
      <c r="E693" s="193"/>
      <c r="F693" s="195" t="s">
        <v>17747</v>
      </c>
      <c r="G693" s="196">
        <v>2.5709370752E10</v>
      </c>
      <c r="H693" s="197">
        <v>118.96</v>
      </c>
      <c r="I693" s="7" t="s">
        <v>127</v>
      </c>
      <c r="J693" s="7" t="s">
        <v>16910</v>
      </c>
      <c r="K693" s="7" t="s">
        <v>16911</v>
      </c>
      <c r="L693" s="198" t="s">
        <v>65</v>
      </c>
      <c r="M693" s="199"/>
      <c r="N693" s="199"/>
    </row>
    <row r="694">
      <c r="A694" s="193" t="s">
        <v>17746</v>
      </c>
      <c r="B694" s="7" t="s">
        <v>16911</v>
      </c>
      <c r="C694" s="7" t="s">
        <v>16910</v>
      </c>
      <c r="D694" s="199"/>
      <c r="E694" s="193"/>
      <c r="F694" s="195" t="s">
        <v>17747</v>
      </c>
      <c r="G694" s="200">
        <v>2.5709370752E10</v>
      </c>
      <c r="H694" s="197">
        <v>118.96</v>
      </c>
      <c r="I694" s="7" t="s">
        <v>16815</v>
      </c>
      <c r="J694" s="7" t="s">
        <v>16911</v>
      </c>
      <c r="K694" s="7" t="s">
        <v>16910</v>
      </c>
      <c r="L694" s="201" t="s">
        <v>16835</v>
      </c>
      <c r="M694" s="199"/>
      <c r="N694" s="199"/>
    </row>
    <row r="695">
      <c r="A695" s="193" t="s">
        <v>17748</v>
      </c>
      <c r="B695" s="7" t="s">
        <v>175</v>
      </c>
      <c r="C695" s="7" t="s">
        <v>17218</v>
      </c>
      <c r="D695" s="194">
        <v>2017.0</v>
      </c>
      <c r="E695" s="193"/>
      <c r="F695" s="195" t="s">
        <v>17749</v>
      </c>
      <c r="G695" s="196">
        <v>2.5685232134E10</v>
      </c>
      <c r="H695" s="197">
        <v>45.48</v>
      </c>
      <c r="I695" s="7" t="s">
        <v>17242</v>
      </c>
      <c r="J695" s="7" t="s">
        <v>175</v>
      </c>
      <c r="K695" s="7" t="s">
        <v>17218</v>
      </c>
      <c r="L695" s="198" t="s">
        <v>65</v>
      </c>
      <c r="M695" s="194"/>
      <c r="N695" s="194"/>
    </row>
    <row r="696">
      <c r="A696" s="193" t="s">
        <v>17748</v>
      </c>
      <c r="B696" s="7" t="s">
        <v>17218</v>
      </c>
      <c r="C696" s="7" t="s">
        <v>175</v>
      </c>
      <c r="D696" s="194">
        <v>2017.0</v>
      </c>
      <c r="E696" s="193"/>
      <c r="F696" s="195" t="s">
        <v>17749</v>
      </c>
      <c r="G696" s="200">
        <v>2.5685232134E10</v>
      </c>
      <c r="H696" s="197">
        <v>45.48</v>
      </c>
      <c r="I696" s="7" t="s">
        <v>16815</v>
      </c>
      <c r="J696" s="7" t="s">
        <v>17218</v>
      </c>
      <c r="K696" s="7" t="s">
        <v>175</v>
      </c>
      <c r="L696" s="201" t="s">
        <v>16835</v>
      </c>
      <c r="M696" s="194"/>
      <c r="N696" s="194"/>
    </row>
    <row r="697">
      <c r="A697" s="193" t="s">
        <v>17750</v>
      </c>
      <c r="B697" s="7" t="s">
        <v>17256</v>
      </c>
      <c r="C697" s="7" t="s">
        <v>187</v>
      </c>
      <c r="D697" s="199"/>
      <c r="E697" s="193"/>
      <c r="F697" s="195" t="s">
        <v>17751</v>
      </c>
      <c r="G697" s="200">
        <v>2.5662262008E10</v>
      </c>
      <c r="H697" s="197">
        <v>104.12</v>
      </c>
      <c r="I697" s="7" t="s">
        <v>16815</v>
      </c>
      <c r="J697" s="7" t="s">
        <v>17256</v>
      </c>
      <c r="K697" s="7" t="s">
        <v>187</v>
      </c>
      <c r="L697" s="201" t="s">
        <v>16835</v>
      </c>
      <c r="M697" s="199"/>
      <c r="N697" s="199"/>
    </row>
    <row r="698">
      <c r="A698" s="193" t="s">
        <v>17750</v>
      </c>
      <c r="B698" s="7" t="s">
        <v>187</v>
      </c>
      <c r="C698" s="7" t="s">
        <v>17256</v>
      </c>
      <c r="D698" s="199"/>
      <c r="E698" s="193"/>
      <c r="F698" s="195" t="s">
        <v>17751</v>
      </c>
      <c r="G698" s="196">
        <v>2.5662262008E10</v>
      </c>
      <c r="H698" s="197">
        <v>104.12</v>
      </c>
      <c r="I698" s="7" t="s">
        <v>16815</v>
      </c>
      <c r="J698" s="7" t="s">
        <v>187</v>
      </c>
      <c r="K698" s="7" t="s">
        <v>17256</v>
      </c>
      <c r="L698" s="198" t="s">
        <v>65</v>
      </c>
      <c r="M698" s="199"/>
      <c r="N698" s="199"/>
    </row>
    <row r="699">
      <c r="A699" s="193" t="s">
        <v>17752</v>
      </c>
      <c r="B699" s="7" t="s">
        <v>16919</v>
      </c>
      <c r="C699" s="7" t="s">
        <v>17176</v>
      </c>
      <c r="D699" s="199"/>
      <c r="E699" s="193"/>
      <c r="F699" s="195" t="s">
        <v>17753</v>
      </c>
      <c r="G699" s="196">
        <v>2.5332547185E10</v>
      </c>
      <c r="H699" s="197">
        <v>80.31</v>
      </c>
      <c r="I699" s="7" t="s">
        <v>16815</v>
      </c>
      <c r="J699" s="7" t="s">
        <v>16919</v>
      </c>
      <c r="K699" s="7" t="s">
        <v>17176</v>
      </c>
      <c r="L699" s="198" t="s">
        <v>65</v>
      </c>
      <c r="M699" s="199"/>
      <c r="N699" s="199"/>
    </row>
    <row r="700">
      <c r="A700" s="193" t="s">
        <v>17752</v>
      </c>
      <c r="B700" s="7" t="s">
        <v>17176</v>
      </c>
      <c r="C700" s="7" t="s">
        <v>16919</v>
      </c>
      <c r="D700" s="199"/>
      <c r="E700" s="193"/>
      <c r="F700" s="195" t="s">
        <v>17753</v>
      </c>
      <c r="G700" s="200">
        <v>2.5332547185E10</v>
      </c>
      <c r="H700" s="197">
        <v>80.31</v>
      </c>
      <c r="I700" s="7" t="s">
        <v>16815</v>
      </c>
      <c r="J700" s="7" t="s">
        <v>17176</v>
      </c>
      <c r="K700" s="7" t="s">
        <v>16919</v>
      </c>
      <c r="L700" s="201" t="s">
        <v>16835</v>
      </c>
      <c r="M700" s="199"/>
      <c r="N700" s="199"/>
    </row>
    <row r="701">
      <c r="A701" s="193" t="s">
        <v>17754</v>
      </c>
      <c r="D701" s="194">
        <v>1996.0</v>
      </c>
      <c r="E701" s="193"/>
      <c r="F701" s="195" t="s">
        <v>17755</v>
      </c>
      <c r="G701" s="196">
        <v>2.5323422075E10</v>
      </c>
      <c r="H701" s="197">
        <v>291.5</v>
      </c>
      <c r="I701" s="7" t="s">
        <v>16815</v>
      </c>
      <c r="L701" s="198" t="s">
        <v>65</v>
      </c>
      <c r="M701" s="194"/>
      <c r="N701" s="194"/>
    </row>
    <row r="702">
      <c r="A702" s="193" t="s">
        <v>17756</v>
      </c>
      <c r="B702" s="7" t="s">
        <v>169</v>
      </c>
      <c r="C702" s="7" t="s">
        <v>17757</v>
      </c>
      <c r="D702" s="199"/>
      <c r="E702" s="193"/>
      <c r="F702" s="195" t="s">
        <v>17758</v>
      </c>
      <c r="G702" s="196">
        <v>2.5289740802E10</v>
      </c>
      <c r="H702" s="197">
        <v>174.07</v>
      </c>
      <c r="I702" s="7" t="s">
        <v>16815</v>
      </c>
      <c r="J702" s="7" t="s">
        <v>169</v>
      </c>
      <c r="K702" s="7" t="s">
        <v>17757</v>
      </c>
      <c r="L702" s="198" t="s">
        <v>65</v>
      </c>
      <c r="M702" s="199"/>
      <c r="N702" s="199"/>
    </row>
    <row r="703">
      <c r="A703" s="193" t="s">
        <v>17756</v>
      </c>
      <c r="B703" s="7" t="s">
        <v>17757</v>
      </c>
      <c r="C703" s="7" t="s">
        <v>169</v>
      </c>
      <c r="D703" s="199"/>
      <c r="E703" s="193"/>
      <c r="F703" s="195" t="s">
        <v>17758</v>
      </c>
      <c r="G703" s="200">
        <v>2.5289740802E10</v>
      </c>
      <c r="H703" s="197">
        <v>174.07</v>
      </c>
      <c r="I703" s="7" t="s">
        <v>16815</v>
      </c>
      <c r="J703" s="7" t="s">
        <v>17757</v>
      </c>
      <c r="K703" s="7" t="s">
        <v>169</v>
      </c>
      <c r="L703" s="201" t="s">
        <v>16835</v>
      </c>
      <c r="M703" s="199"/>
      <c r="N703" s="199"/>
    </row>
    <row r="704">
      <c r="A704" s="193" t="s">
        <v>17759</v>
      </c>
      <c r="B704" s="7" t="s">
        <v>16969</v>
      </c>
      <c r="C704" s="7" t="s">
        <v>187</v>
      </c>
      <c r="D704" s="199"/>
      <c r="E704" s="193"/>
      <c r="F704" s="195" t="s">
        <v>17760</v>
      </c>
      <c r="G704" s="200">
        <v>2.5278570756E10</v>
      </c>
      <c r="H704" s="197">
        <v>341.65</v>
      </c>
      <c r="I704" s="7" t="s">
        <v>16815</v>
      </c>
      <c r="J704" s="7" t="s">
        <v>16969</v>
      </c>
      <c r="K704" s="7" t="s">
        <v>187</v>
      </c>
      <c r="L704" s="201" t="s">
        <v>16835</v>
      </c>
      <c r="M704" s="199"/>
      <c r="N704" s="199"/>
    </row>
    <row r="705">
      <c r="A705" s="193" t="s">
        <v>17759</v>
      </c>
      <c r="B705" s="7" t="s">
        <v>187</v>
      </c>
      <c r="C705" s="7" t="s">
        <v>16969</v>
      </c>
      <c r="D705" s="199"/>
      <c r="E705" s="193"/>
      <c r="F705" s="195" t="s">
        <v>17760</v>
      </c>
      <c r="G705" s="196">
        <v>2.5278570756E10</v>
      </c>
      <c r="H705" s="197">
        <v>341.65</v>
      </c>
      <c r="I705" s="7" t="s">
        <v>16815</v>
      </c>
      <c r="J705" s="7" t="s">
        <v>187</v>
      </c>
      <c r="K705" s="7" t="s">
        <v>16969</v>
      </c>
      <c r="L705" s="198" t="s">
        <v>65</v>
      </c>
      <c r="M705" s="199"/>
      <c r="N705" s="199"/>
    </row>
    <row r="706">
      <c r="A706" s="193" t="s">
        <v>17761</v>
      </c>
      <c r="B706" s="7" t="s">
        <v>17111</v>
      </c>
      <c r="C706" s="7" t="s">
        <v>17112</v>
      </c>
      <c r="D706" s="194">
        <v>2004.0</v>
      </c>
      <c r="E706" s="193"/>
      <c r="F706" s="195" t="s">
        <v>17762</v>
      </c>
      <c r="G706" s="200">
        <v>2.5165144153E10</v>
      </c>
      <c r="H706" s="197">
        <v>119.11</v>
      </c>
      <c r="I706" s="7" t="s">
        <v>16815</v>
      </c>
      <c r="J706" s="7" t="s">
        <v>17111</v>
      </c>
      <c r="K706" s="7" t="s">
        <v>17112</v>
      </c>
      <c r="L706" s="201" t="s">
        <v>16835</v>
      </c>
      <c r="M706" s="194"/>
      <c r="N706" s="194"/>
    </row>
    <row r="707">
      <c r="A707" s="193" t="s">
        <v>17761</v>
      </c>
      <c r="B707" s="7" t="s">
        <v>17112</v>
      </c>
      <c r="C707" s="7" t="s">
        <v>17111</v>
      </c>
      <c r="D707" s="194">
        <v>2004.0</v>
      </c>
      <c r="E707" s="193"/>
      <c r="F707" s="195" t="s">
        <v>17762</v>
      </c>
      <c r="G707" s="196">
        <v>2.5165144153E10</v>
      </c>
      <c r="H707" s="197">
        <v>119.11</v>
      </c>
      <c r="I707" s="7" t="s">
        <v>16815</v>
      </c>
      <c r="J707" s="7" t="s">
        <v>17112</v>
      </c>
      <c r="K707" s="7" t="s">
        <v>17111</v>
      </c>
      <c r="L707" s="198" t="s">
        <v>65</v>
      </c>
      <c r="M707" s="194"/>
      <c r="N707" s="194"/>
    </row>
    <row r="708">
      <c r="A708" s="193" t="s">
        <v>17763</v>
      </c>
      <c r="B708" s="7" t="s">
        <v>16582</v>
      </c>
      <c r="C708" s="7" t="s">
        <v>16817</v>
      </c>
      <c r="D708" s="194">
        <v>1997.0</v>
      </c>
      <c r="E708" s="193"/>
      <c r="F708" s="195" t="s">
        <v>17764</v>
      </c>
      <c r="G708" s="196">
        <v>2.511457412E10</v>
      </c>
      <c r="H708" s="197">
        <v>147.88</v>
      </c>
      <c r="I708" s="7" t="s">
        <v>16815</v>
      </c>
      <c r="J708" s="7" t="s">
        <v>16582</v>
      </c>
      <c r="K708" s="7" t="s">
        <v>16817</v>
      </c>
      <c r="L708" s="198" t="s">
        <v>65</v>
      </c>
      <c r="M708" s="194"/>
      <c r="N708" s="194"/>
    </row>
    <row r="709">
      <c r="A709" s="193" t="s">
        <v>17765</v>
      </c>
      <c r="B709" s="7" t="s">
        <v>175</v>
      </c>
      <c r="C709" s="7" t="s">
        <v>16861</v>
      </c>
      <c r="D709" s="194">
        <v>1995.0</v>
      </c>
      <c r="E709" s="193"/>
      <c r="F709" s="195" t="s">
        <v>17766</v>
      </c>
      <c r="G709" s="196">
        <v>2.5098231661E10</v>
      </c>
      <c r="H709" s="197">
        <v>114.08</v>
      </c>
      <c r="I709" s="7" t="s">
        <v>16908</v>
      </c>
      <c r="J709" s="7" t="s">
        <v>175</v>
      </c>
      <c r="K709" s="7" t="s">
        <v>16861</v>
      </c>
      <c r="L709" s="198" t="s">
        <v>65</v>
      </c>
      <c r="M709" s="194"/>
      <c r="N709" s="194"/>
    </row>
    <row r="710">
      <c r="A710" s="193" t="s">
        <v>17767</v>
      </c>
      <c r="D710" s="199"/>
      <c r="E710" s="193"/>
      <c r="F710" s="195" t="s">
        <v>17768</v>
      </c>
      <c r="G710" s="196">
        <v>2.506965E10</v>
      </c>
      <c r="H710" s="197">
        <v>17.23</v>
      </c>
      <c r="I710" s="7" t="s">
        <v>16815</v>
      </c>
      <c r="L710" s="198" t="s">
        <v>65</v>
      </c>
      <c r="M710" s="199"/>
      <c r="N710" s="199"/>
    </row>
    <row r="711">
      <c r="A711" s="193" t="s">
        <v>17767</v>
      </c>
      <c r="D711" s="199"/>
      <c r="E711" s="193"/>
      <c r="F711" s="195" t="s">
        <v>17768</v>
      </c>
      <c r="G711" s="200">
        <v>2.506965E10</v>
      </c>
      <c r="H711" s="197">
        <v>17.23</v>
      </c>
      <c r="L711" s="201" t="s">
        <v>16835</v>
      </c>
      <c r="M711" s="199"/>
      <c r="N711" s="199"/>
    </row>
    <row r="712">
      <c r="A712" s="193" t="s">
        <v>17769</v>
      </c>
      <c r="B712" s="7" t="s">
        <v>16582</v>
      </c>
      <c r="C712" s="7" t="s">
        <v>16930</v>
      </c>
      <c r="D712" s="199"/>
      <c r="E712" s="193"/>
      <c r="F712" s="195" t="s">
        <v>17770</v>
      </c>
      <c r="G712" s="196">
        <v>2.4970025722E10</v>
      </c>
      <c r="H712" s="197">
        <v>4.55</v>
      </c>
      <c r="I712" s="7" t="s">
        <v>16815</v>
      </c>
      <c r="J712" s="7" t="s">
        <v>16582</v>
      </c>
      <c r="K712" s="7" t="s">
        <v>16930</v>
      </c>
      <c r="L712" s="198" t="s">
        <v>65</v>
      </c>
      <c r="M712" s="199"/>
      <c r="N712" s="199"/>
    </row>
    <row r="713">
      <c r="A713" s="193" t="s">
        <v>17769</v>
      </c>
      <c r="B713" s="7" t="s">
        <v>16930</v>
      </c>
      <c r="C713" s="7" t="s">
        <v>16582</v>
      </c>
      <c r="D713" s="199"/>
      <c r="E713" s="193"/>
      <c r="F713" s="195" t="s">
        <v>17770</v>
      </c>
      <c r="G713" s="200">
        <v>2.4970025722E10</v>
      </c>
      <c r="H713" s="197">
        <v>4.55</v>
      </c>
      <c r="I713" s="7" t="s">
        <v>16815</v>
      </c>
      <c r="J713" s="7" t="s">
        <v>16930</v>
      </c>
      <c r="K713" s="7" t="s">
        <v>16582</v>
      </c>
      <c r="L713" s="201" t="s">
        <v>16835</v>
      </c>
      <c r="M713" s="199"/>
      <c r="N713" s="199"/>
    </row>
    <row r="714">
      <c r="A714" s="193" t="s">
        <v>17771</v>
      </c>
      <c r="B714" s="7" t="s">
        <v>16838</v>
      </c>
      <c r="C714" s="7" t="s">
        <v>17104</v>
      </c>
      <c r="D714" s="194">
        <v>2001.0</v>
      </c>
      <c r="E714" s="193"/>
      <c r="F714" s="195" t="s">
        <v>17772</v>
      </c>
      <c r="G714" s="196">
        <v>2.4804182365E10</v>
      </c>
      <c r="H714" s="197">
        <v>240.21</v>
      </c>
      <c r="I714" s="7" t="s">
        <v>16815</v>
      </c>
      <c r="J714" s="7" t="s">
        <v>16838</v>
      </c>
      <c r="K714" s="7" t="s">
        <v>17104</v>
      </c>
      <c r="L714" s="198" t="s">
        <v>65</v>
      </c>
      <c r="M714" s="194"/>
      <c r="N714" s="194"/>
    </row>
    <row r="715">
      <c r="A715" s="193" t="s">
        <v>17773</v>
      </c>
      <c r="B715" s="7" t="s">
        <v>16919</v>
      </c>
      <c r="C715" s="7" t="s">
        <v>17048</v>
      </c>
      <c r="D715" s="194">
        <v>2021.0</v>
      </c>
      <c r="E715" s="193"/>
      <c r="F715" s="195" t="s">
        <v>17774</v>
      </c>
      <c r="G715" s="196">
        <v>2.47384459E10</v>
      </c>
      <c r="H715" s="197">
        <v>9.04</v>
      </c>
      <c r="I715" s="7" t="s">
        <v>16815</v>
      </c>
      <c r="J715" s="7" t="s">
        <v>16919</v>
      </c>
      <c r="K715" s="7" t="s">
        <v>17048</v>
      </c>
      <c r="L715" s="198" t="s">
        <v>65</v>
      </c>
      <c r="M715" s="194"/>
      <c r="N715" s="194"/>
    </row>
    <row r="716">
      <c r="A716" s="193" t="s">
        <v>17773</v>
      </c>
      <c r="B716" s="7" t="s">
        <v>17048</v>
      </c>
      <c r="C716" s="7" t="s">
        <v>16919</v>
      </c>
      <c r="D716" s="194">
        <v>2021.0</v>
      </c>
      <c r="E716" s="193"/>
      <c r="F716" s="195" t="s">
        <v>17774</v>
      </c>
      <c r="G716" s="200">
        <v>2.47384459E10</v>
      </c>
      <c r="H716" s="197">
        <v>9.04</v>
      </c>
      <c r="I716" s="7" t="s">
        <v>16815</v>
      </c>
      <c r="J716" s="7" t="s">
        <v>17048</v>
      </c>
      <c r="K716" s="7" t="s">
        <v>16919</v>
      </c>
      <c r="L716" s="201" t="s">
        <v>16835</v>
      </c>
      <c r="M716" s="194"/>
      <c r="N716" s="194"/>
    </row>
    <row r="717">
      <c r="A717" s="193" t="s">
        <v>17775</v>
      </c>
      <c r="B717" s="7" t="s">
        <v>16926</v>
      </c>
      <c r="C717" s="7" t="s">
        <v>16960</v>
      </c>
      <c r="D717" s="199"/>
      <c r="E717" s="193"/>
      <c r="F717" s="195" t="s">
        <v>17776</v>
      </c>
      <c r="G717" s="196">
        <v>2.4702669913E10</v>
      </c>
      <c r="H717" s="197">
        <v>10.13</v>
      </c>
      <c r="I717" s="7" t="s">
        <v>16815</v>
      </c>
      <c r="J717" s="7" t="s">
        <v>16926</v>
      </c>
      <c r="K717" s="7" t="s">
        <v>16960</v>
      </c>
      <c r="L717" s="198" t="s">
        <v>65</v>
      </c>
      <c r="M717" s="199"/>
      <c r="N717" s="199"/>
    </row>
    <row r="718">
      <c r="A718" s="193" t="s">
        <v>17777</v>
      </c>
      <c r="B718" s="7" t="s">
        <v>16582</v>
      </c>
      <c r="C718" s="7" t="s">
        <v>16817</v>
      </c>
      <c r="D718" s="194">
        <v>2012.0</v>
      </c>
      <c r="E718" s="193"/>
      <c r="F718" s="195" t="s">
        <v>17778</v>
      </c>
      <c r="G718" s="196">
        <v>2.46519E10</v>
      </c>
      <c r="H718" s="197">
        <v>147.0</v>
      </c>
      <c r="I718" s="7" t="s">
        <v>16815</v>
      </c>
      <c r="J718" s="7" t="s">
        <v>16582</v>
      </c>
      <c r="K718" s="7" t="s">
        <v>16817</v>
      </c>
      <c r="L718" s="198" t="s">
        <v>65</v>
      </c>
      <c r="M718" s="194"/>
      <c r="N718" s="194"/>
    </row>
    <row r="719">
      <c r="A719" s="193" t="s">
        <v>17779</v>
      </c>
      <c r="B719" s="7" t="s">
        <v>175</v>
      </c>
      <c r="C719" s="7" t="s">
        <v>16854</v>
      </c>
      <c r="D719" s="199"/>
      <c r="E719" s="193"/>
      <c r="F719" s="195" t="s">
        <v>17780</v>
      </c>
      <c r="G719" s="196">
        <v>2.4632002262E10</v>
      </c>
      <c r="H719" s="197">
        <v>996.7</v>
      </c>
      <c r="I719" s="7" t="s">
        <v>16908</v>
      </c>
      <c r="J719" s="7" t="s">
        <v>175</v>
      </c>
      <c r="K719" s="7" t="s">
        <v>16854</v>
      </c>
      <c r="L719" s="198" t="s">
        <v>65</v>
      </c>
      <c r="M719" s="199"/>
      <c r="N719" s="199"/>
    </row>
    <row r="720">
      <c r="A720" s="193" t="s">
        <v>17779</v>
      </c>
      <c r="B720" s="7" t="s">
        <v>16854</v>
      </c>
      <c r="C720" s="7" t="s">
        <v>175</v>
      </c>
      <c r="D720" s="199"/>
      <c r="E720" s="193"/>
      <c r="F720" s="195" t="s">
        <v>17780</v>
      </c>
      <c r="G720" s="200">
        <v>2.4632002262E10</v>
      </c>
      <c r="H720" s="197">
        <v>996.7</v>
      </c>
      <c r="I720" s="7" t="s">
        <v>16815</v>
      </c>
      <c r="J720" s="7" t="s">
        <v>16854</v>
      </c>
      <c r="K720" s="7" t="s">
        <v>175</v>
      </c>
      <c r="L720" s="201" t="s">
        <v>16835</v>
      </c>
      <c r="M720" s="199"/>
      <c r="N720" s="199"/>
    </row>
    <row r="721">
      <c r="A721" s="193" t="s">
        <v>17781</v>
      </c>
      <c r="B721" s="7" t="s">
        <v>16919</v>
      </c>
      <c r="C721" s="7" t="s">
        <v>17048</v>
      </c>
      <c r="D721" s="199"/>
      <c r="E721" s="193"/>
      <c r="F721" s="195" t="s">
        <v>17782</v>
      </c>
      <c r="G721" s="196">
        <v>2.4440998392E10</v>
      </c>
      <c r="H721" s="197">
        <v>63.72</v>
      </c>
      <c r="I721" s="7" t="s">
        <v>16815</v>
      </c>
      <c r="J721" s="7" t="s">
        <v>16919</v>
      </c>
      <c r="K721" s="7" t="s">
        <v>17048</v>
      </c>
      <c r="L721" s="198" t="s">
        <v>65</v>
      </c>
      <c r="M721" s="199"/>
      <c r="N721" s="199"/>
    </row>
    <row r="722">
      <c r="A722" s="193" t="s">
        <v>17781</v>
      </c>
      <c r="B722" s="7" t="s">
        <v>17048</v>
      </c>
      <c r="C722" s="7" t="s">
        <v>16919</v>
      </c>
      <c r="D722" s="199"/>
      <c r="E722" s="193"/>
      <c r="F722" s="195" t="s">
        <v>17782</v>
      </c>
      <c r="G722" s="200">
        <v>2.4440998392E10</v>
      </c>
      <c r="H722" s="197">
        <v>63.72</v>
      </c>
      <c r="I722" s="7" t="s">
        <v>16815</v>
      </c>
      <c r="J722" s="7" t="s">
        <v>17048</v>
      </c>
      <c r="K722" s="7" t="s">
        <v>16919</v>
      </c>
      <c r="L722" s="201" t="s">
        <v>16835</v>
      </c>
      <c r="M722" s="199"/>
      <c r="N722" s="199"/>
    </row>
    <row r="723">
      <c r="A723" s="193" t="s">
        <v>17783</v>
      </c>
      <c r="B723" s="7" t="s">
        <v>175</v>
      </c>
      <c r="C723" s="7" t="s">
        <v>17233</v>
      </c>
      <c r="D723" s="194">
        <v>1993.0</v>
      </c>
      <c r="E723" s="193"/>
      <c r="F723" s="195" t="s">
        <v>17784</v>
      </c>
      <c r="G723" s="196">
        <v>2.4319273721E10</v>
      </c>
      <c r="H723" s="197">
        <v>94.91</v>
      </c>
      <c r="I723" s="7" t="s">
        <v>17785</v>
      </c>
      <c r="J723" s="7" t="s">
        <v>175</v>
      </c>
      <c r="K723" s="7" t="s">
        <v>17233</v>
      </c>
      <c r="L723" s="198" t="s">
        <v>65</v>
      </c>
      <c r="M723" s="194"/>
      <c r="N723" s="194"/>
    </row>
    <row r="724">
      <c r="A724" s="193" t="s">
        <v>17783</v>
      </c>
      <c r="B724" s="7" t="s">
        <v>17233</v>
      </c>
      <c r="C724" s="7" t="s">
        <v>175</v>
      </c>
      <c r="D724" s="194">
        <v>1993.0</v>
      </c>
      <c r="E724" s="193"/>
      <c r="F724" s="195" t="s">
        <v>17784</v>
      </c>
      <c r="G724" s="200">
        <v>2.4319273721E10</v>
      </c>
      <c r="H724" s="197">
        <v>94.91</v>
      </c>
      <c r="I724" s="7" t="s">
        <v>16815</v>
      </c>
      <c r="J724" s="7" t="s">
        <v>17233</v>
      </c>
      <c r="K724" s="7" t="s">
        <v>175</v>
      </c>
      <c r="L724" s="201" t="s">
        <v>16835</v>
      </c>
      <c r="M724" s="194"/>
      <c r="N724" s="194"/>
    </row>
    <row r="725">
      <c r="A725" s="193" t="s">
        <v>17786</v>
      </c>
      <c r="B725" s="7" t="s">
        <v>17112</v>
      </c>
      <c r="C725" s="7" t="s">
        <v>17787</v>
      </c>
      <c r="D725" s="194">
        <v>2020.0</v>
      </c>
      <c r="E725" s="193"/>
      <c r="F725" s="195" t="s">
        <v>17788</v>
      </c>
      <c r="G725" s="196">
        <v>2.420751168E10</v>
      </c>
      <c r="H725" s="197">
        <v>14.78</v>
      </c>
      <c r="I725" s="7" t="s">
        <v>16815</v>
      </c>
      <c r="J725" s="7" t="s">
        <v>17112</v>
      </c>
      <c r="K725" s="7" t="s">
        <v>17787</v>
      </c>
      <c r="L725" s="198" t="s">
        <v>65</v>
      </c>
      <c r="M725" s="194"/>
      <c r="N725" s="194"/>
    </row>
    <row r="726">
      <c r="A726" s="193" t="s">
        <v>17786</v>
      </c>
      <c r="B726" s="7" t="s">
        <v>17787</v>
      </c>
      <c r="C726" s="7" t="s">
        <v>17112</v>
      </c>
      <c r="D726" s="194">
        <v>2020.0</v>
      </c>
      <c r="E726" s="193"/>
      <c r="F726" s="195" t="s">
        <v>17788</v>
      </c>
      <c r="G726" s="200">
        <v>2.420751168E10</v>
      </c>
      <c r="H726" s="197">
        <v>14.78</v>
      </c>
      <c r="I726" s="7" t="s">
        <v>16815</v>
      </c>
      <c r="J726" s="7" t="s">
        <v>17787</v>
      </c>
      <c r="K726" s="7" t="s">
        <v>17112</v>
      </c>
      <c r="L726" s="201" t="s">
        <v>16835</v>
      </c>
      <c r="M726" s="194"/>
      <c r="N726" s="194"/>
    </row>
    <row r="727">
      <c r="A727" s="193" t="s">
        <v>17789</v>
      </c>
      <c r="B727" s="7" t="s">
        <v>16582</v>
      </c>
      <c r="C727" s="7" t="s">
        <v>16828</v>
      </c>
      <c r="D727" s="194">
        <v>2004.0</v>
      </c>
      <c r="E727" s="193"/>
      <c r="F727" s="195" t="s">
        <v>17790</v>
      </c>
      <c r="G727" s="196">
        <v>2.417543696E10</v>
      </c>
      <c r="H727" s="197">
        <v>504.58</v>
      </c>
      <c r="I727" s="7" t="s">
        <v>16815</v>
      </c>
      <c r="J727" s="7" t="s">
        <v>16582</v>
      </c>
      <c r="K727" s="7" t="s">
        <v>16828</v>
      </c>
      <c r="L727" s="198" t="s">
        <v>65</v>
      </c>
      <c r="M727" s="194"/>
      <c r="N727" s="194"/>
    </row>
    <row r="728">
      <c r="A728" s="193" t="s">
        <v>17791</v>
      </c>
      <c r="B728" s="7" t="s">
        <v>158</v>
      </c>
      <c r="C728" s="7" t="s">
        <v>16864</v>
      </c>
      <c r="D728" s="199"/>
      <c r="E728" s="193"/>
      <c r="F728" s="195" t="s">
        <v>17792</v>
      </c>
      <c r="G728" s="196">
        <v>2.4094383094E10</v>
      </c>
      <c r="H728" s="197">
        <v>11.72</v>
      </c>
      <c r="I728" s="7" t="s">
        <v>16897</v>
      </c>
      <c r="J728" s="7" t="s">
        <v>158</v>
      </c>
      <c r="K728" s="7" t="s">
        <v>16864</v>
      </c>
      <c r="L728" s="198" t="s">
        <v>65</v>
      </c>
      <c r="M728" s="199"/>
      <c r="N728" s="199"/>
    </row>
    <row r="729">
      <c r="A729" s="193" t="s">
        <v>17791</v>
      </c>
      <c r="B729" s="7" t="s">
        <v>16864</v>
      </c>
      <c r="C729" s="7" t="s">
        <v>158</v>
      </c>
      <c r="D729" s="199"/>
      <c r="E729" s="193"/>
      <c r="F729" s="195" t="s">
        <v>17792</v>
      </c>
      <c r="G729" s="200">
        <v>2.4094383094E10</v>
      </c>
      <c r="H729" s="197">
        <v>11.72</v>
      </c>
      <c r="I729" s="7" t="s">
        <v>16815</v>
      </c>
      <c r="J729" s="7" t="s">
        <v>16864</v>
      </c>
      <c r="K729" s="7" t="s">
        <v>158</v>
      </c>
      <c r="L729" s="201" t="s">
        <v>16835</v>
      </c>
      <c r="M729" s="199"/>
      <c r="N729" s="199"/>
    </row>
    <row r="730">
      <c r="A730" s="193" t="s">
        <v>17793</v>
      </c>
      <c r="B730" s="7" t="s">
        <v>17794</v>
      </c>
      <c r="C730" s="7" t="s">
        <v>16919</v>
      </c>
      <c r="D730" s="194">
        <v>2008.0</v>
      </c>
      <c r="E730" s="193"/>
      <c r="F730" s="195" t="s">
        <v>17795</v>
      </c>
      <c r="G730" s="200">
        <v>2.404606713E10</v>
      </c>
      <c r="H730" s="197">
        <v>123.5</v>
      </c>
      <c r="I730" s="193" t="s">
        <v>16815</v>
      </c>
      <c r="J730" s="7" t="s">
        <v>17794</v>
      </c>
      <c r="K730" s="7" t="s">
        <v>16919</v>
      </c>
      <c r="L730" s="201" t="s">
        <v>16835</v>
      </c>
      <c r="M730" s="194"/>
      <c r="N730" s="194"/>
    </row>
    <row r="731">
      <c r="A731" s="193" t="s">
        <v>17793</v>
      </c>
      <c r="B731" s="7" t="s">
        <v>16919</v>
      </c>
      <c r="C731" s="7" t="s">
        <v>17794</v>
      </c>
      <c r="D731" s="194">
        <v>2008.0</v>
      </c>
      <c r="E731" s="193"/>
      <c r="F731" s="195" t="s">
        <v>17795</v>
      </c>
      <c r="G731" s="196">
        <v>2.404606713E10</v>
      </c>
      <c r="H731" s="197">
        <v>123.5</v>
      </c>
      <c r="I731" s="7" t="s">
        <v>16815</v>
      </c>
      <c r="J731" s="7" t="s">
        <v>16919</v>
      </c>
      <c r="K731" s="7" t="s">
        <v>17794</v>
      </c>
      <c r="L731" s="198" t="s">
        <v>65</v>
      </c>
      <c r="M731" s="194"/>
      <c r="N731" s="194"/>
    </row>
    <row r="732">
      <c r="A732" s="193" t="s">
        <v>17796</v>
      </c>
      <c r="B732" s="7" t="s">
        <v>187</v>
      </c>
      <c r="C732" s="7" t="s">
        <v>16858</v>
      </c>
      <c r="D732" s="194">
        <v>2019.0</v>
      </c>
      <c r="E732" s="193"/>
      <c r="F732" s="195" t="s">
        <v>17797</v>
      </c>
      <c r="G732" s="196">
        <v>2.3993362441E10</v>
      </c>
      <c r="H732" s="197">
        <v>99.56</v>
      </c>
      <c r="I732" s="7" t="s">
        <v>16815</v>
      </c>
      <c r="J732" s="7" t="s">
        <v>187</v>
      </c>
      <c r="K732" s="7" t="s">
        <v>16858</v>
      </c>
      <c r="L732" s="198" t="s">
        <v>65</v>
      </c>
      <c r="M732" s="194"/>
      <c r="N732" s="194"/>
    </row>
    <row r="733">
      <c r="A733" s="193" t="s">
        <v>17798</v>
      </c>
      <c r="B733" s="7" t="s">
        <v>16582</v>
      </c>
      <c r="C733" s="7" t="s">
        <v>16930</v>
      </c>
      <c r="D733" s="194">
        <v>2021.0</v>
      </c>
      <c r="E733" s="193"/>
      <c r="F733" s="195" t="s">
        <v>17799</v>
      </c>
      <c r="G733" s="196">
        <v>2.3963975463E10</v>
      </c>
      <c r="H733" s="197">
        <v>38.42</v>
      </c>
      <c r="I733" s="7" t="s">
        <v>16815</v>
      </c>
      <c r="J733" s="7" t="s">
        <v>16582</v>
      </c>
      <c r="K733" s="7" t="s">
        <v>16930</v>
      </c>
      <c r="L733" s="198" t="s">
        <v>65</v>
      </c>
      <c r="M733" s="194"/>
      <c r="N733" s="194"/>
    </row>
    <row r="734">
      <c r="A734" s="193" t="s">
        <v>17798</v>
      </c>
      <c r="B734" s="7" t="s">
        <v>16930</v>
      </c>
      <c r="C734" s="7" t="s">
        <v>16582</v>
      </c>
      <c r="D734" s="194">
        <v>2021.0</v>
      </c>
      <c r="E734" s="193"/>
      <c r="F734" s="195" t="s">
        <v>17799</v>
      </c>
      <c r="G734" s="200">
        <v>2.3963975463E10</v>
      </c>
      <c r="H734" s="197">
        <v>38.42</v>
      </c>
      <c r="I734" s="7" t="s">
        <v>16815</v>
      </c>
      <c r="J734" s="7" t="s">
        <v>16930</v>
      </c>
      <c r="K734" s="7" t="s">
        <v>16582</v>
      </c>
      <c r="L734" s="201" t="s">
        <v>16835</v>
      </c>
      <c r="M734" s="194"/>
      <c r="N734" s="194"/>
    </row>
    <row r="735">
      <c r="A735" s="193" t="s">
        <v>17800</v>
      </c>
      <c r="B735" s="7" t="s">
        <v>16838</v>
      </c>
      <c r="C735" s="7" t="s">
        <v>16867</v>
      </c>
      <c r="D735" s="199"/>
      <c r="E735" s="193"/>
      <c r="F735" s="195" t="s">
        <v>17801</v>
      </c>
      <c r="G735" s="196">
        <v>2.3907719785E10</v>
      </c>
      <c r="H735" s="197">
        <v>16.51</v>
      </c>
      <c r="I735" s="7" t="s">
        <v>16815</v>
      </c>
      <c r="J735" s="7" t="s">
        <v>16838</v>
      </c>
      <c r="K735" s="7" t="s">
        <v>16867</v>
      </c>
      <c r="L735" s="198" t="s">
        <v>65</v>
      </c>
      <c r="M735" s="199"/>
      <c r="N735" s="199"/>
    </row>
    <row r="736">
      <c r="A736" s="193" t="s">
        <v>17802</v>
      </c>
      <c r="B736" s="7" t="s">
        <v>17111</v>
      </c>
      <c r="C736" s="7" t="s">
        <v>17112</v>
      </c>
      <c r="D736" s="199"/>
      <c r="E736" s="193"/>
      <c r="F736" s="195" t="s">
        <v>17803</v>
      </c>
      <c r="G736" s="200">
        <v>2.3886941838E10</v>
      </c>
      <c r="H736" s="197">
        <v>168.2</v>
      </c>
      <c r="I736" s="7" t="s">
        <v>16815</v>
      </c>
      <c r="J736" s="7" t="s">
        <v>17111</v>
      </c>
      <c r="K736" s="7" t="s">
        <v>17112</v>
      </c>
      <c r="L736" s="201" t="s">
        <v>16835</v>
      </c>
      <c r="M736" s="199"/>
      <c r="N736" s="199"/>
    </row>
    <row r="737">
      <c r="A737" s="193" t="s">
        <v>17802</v>
      </c>
      <c r="B737" s="7" t="s">
        <v>17112</v>
      </c>
      <c r="C737" s="7" t="s">
        <v>17111</v>
      </c>
      <c r="D737" s="199"/>
      <c r="E737" s="193"/>
      <c r="F737" s="195" t="s">
        <v>17803</v>
      </c>
      <c r="G737" s="196">
        <v>2.3886941838E10</v>
      </c>
      <c r="H737" s="197">
        <v>168.2</v>
      </c>
      <c r="I737" s="7" t="s">
        <v>16815</v>
      </c>
      <c r="J737" s="7" t="s">
        <v>17112</v>
      </c>
      <c r="K737" s="7" t="s">
        <v>17111</v>
      </c>
      <c r="L737" s="198" t="s">
        <v>65</v>
      </c>
      <c r="M737" s="199"/>
      <c r="N737" s="199"/>
    </row>
    <row r="738">
      <c r="A738" s="193" t="s">
        <v>17804</v>
      </c>
      <c r="B738" s="7" t="s">
        <v>169</v>
      </c>
      <c r="C738" s="7" t="s">
        <v>17805</v>
      </c>
      <c r="D738" s="194">
        <v>2011.0</v>
      </c>
      <c r="E738" s="193"/>
      <c r="F738" s="195" t="s">
        <v>17806</v>
      </c>
      <c r="G738" s="196">
        <v>2.3736518219E10</v>
      </c>
      <c r="H738" s="197">
        <v>98.46</v>
      </c>
      <c r="I738" s="7" t="s">
        <v>16815</v>
      </c>
      <c r="J738" s="7" t="s">
        <v>169</v>
      </c>
      <c r="K738" s="7" t="s">
        <v>17805</v>
      </c>
      <c r="L738" s="198" t="s">
        <v>65</v>
      </c>
      <c r="M738" s="194"/>
      <c r="N738" s="194"/>
    </row>
    <row r="739">
      <c r="A739" s="193" t="s">
        <v>17804</v>
      </c>
      <c r="B739" s="7" t="s">
        <v>17805</v>
      </c>
      <c r="C739" s="7" t="s">
        <v>169</v>
      </c>
      <c r="D739" s="194">
        <v>2011.0</v>
      </c>
      <c r="E739" s="193"/>
      <c r="F739" s="195" t="s">
        <v>17806</v>
      </c>
      <c r="G739" s="200">
        <v>2.3736518219E10</v>
      </c>
      <c r="H739" s="197">
        <v>98.46</v>
      </c>
      <c r="I739" s="7" t="s">
        <v>16815</v>
      </c>
      <c r="J739" s="7" t="s">
        <v>17805</v>
      </c>
      <c r="K739" s="7" t="s">
        <v>169</v>
      </c>
      <c r="L739" s="201" t="s">
        <v>16835</v>
      </c>
      <c r="M739" s="194"/>
      <c r="N739" s="194"/>
    </row>
    <row r="740">
      <c r="A740" s="193" t="s">
        <v>17807</v>
      </c>
      <c r="B740" s="7" t="s">
        <v>17112</v>
      </c>
      <c r="C740" s="7" t="s">
        <v>17111</v>
      </c>
      <c r="D740" s="194">
        <v>1999.0</v>
      </c>
      <c r="E740" s="193"/>
      <c r="F740" s="195" t="s">
        <v>17808</v>
      </c>
      <c r="G740" s="196">
        <v>2.3626180919E10</v>
      </c>
      <c r="H740" s="197">
        <v>218.99</v>
      </c>
      <c r="I740" s="7" t="s">
        <v>16815</v>
      </c>
      <c r="J740" s="7" t="s">
        <v>17112</v>
      </c>
      <c r="K740" s="7" t="s">
        <v>17111</v>
      </c>
      <c r="L740" s="198" t="s">
        <v>65</v>
      </c>
      <c r="M740" s="194"/>
      <c r="N740" s="194"/>
    </row>
    <row r="741">
      <c r="A741" s="193" t="s">
        <v>17809</v>
      </c>
      <c r="B741" s="7" t="s">
        <v>16957</v>
      </c>
      <c r="C741" s="7" t="s">
        <v>169</v>
      </c>
      <c r="D741" s="199"/>
      <c r="E741" s="193"/>
      <c r="F741" s="195" t="s">
        <v>17810</v>
      </c>
      <c r="G741" s="200">
        <v>2.3615880651E10</v>
      </c>
      <c r="H741" s="197">
        <v>27.68</v>
      </c>
      <c r="I741" s="7" t="s">
        <v>16815</v>
      </c>
      <c r="J741" s="7" t="s">
        <v>16957</v>
      </c>
      <c r="K741" s="7" t="s">
        <v>169</v>
      </c>
      <c r="L741" s="201" t="s">
        <v>16835</v>
      </c>
      <c r="M741" s="199"/>
      <c r="N741" s="199"/>
    </row>
    <row r="742">
      <c r="A742" s="193" t="s">
        <v>17809</v>
      </c>
      <c r="B742" s="7" t="s">
        <v>169</v>
      </c>
      <c r="C742" s="7" t="s">
        <v>16957</v>
      </c>
      <c r="D742" s="199"/>
      <c r="E742" s="193"/>
      <c r="F742" s="195" t="s">
        <v>17810</v>
      </c>
      <c r="G742" s="196">
        <v>2.3615880651E10</v>
      </c>
      <c r="H742" s="197">
        <v>27.68</v>
      </c>
      <c r="I742" s="7" t="s">
        <v>16815</v>
      </c>
      <c r="J742" s="7" t="s">
        <v>169</v>
      </c>
      <c r="K742" s="7" t="s">
        <v>16957</v>
      </c>
      <c r="L742" s="198" t="s">
        <v>65</v>
      </c>
      <c r="M742" s="199"/>
      <c r="N742" s="199"/>
    </row>
    <row r="743">
      <c r="A743" s="193" t="s">
        <v>17811</v>
      </c>
      <c r="B743" s="7" t="s">
        <v>175</v>
      </c>
      <c r="C743" s="7" t="s">
        <v>17812</v>
      </c>
      <c r="D743" s="199"/>
      <c r="E743" s="193"/>
      <c r="F743" s="195" t="s">
        <v>17813</v>
      </c>
      <c r="G743" s="196">
        <v>2.349667607E10</v>
      </c>
      <c r="H743" s="197">
        <v>99.84</v>
      </c>
      <c r="I743" s="7" t="s">
        <v>16908</v>
      </c>
      <c r="J743" s="7" t="s">
        <v>175</v>
      </c>
      <c r="K743" s="7" t="s">
        <v>17812</v>
      </c>
      <c r="L743" s="198" t="s">
        <v>65</v>
      </c>
      <c r="M743" s="199"/>
      <c r="N743" s="199"/>
    </row>
    <row r="744">
      <c r="A744" s="193" t="s">
        <v>17811</v>
      </c>
      <c r="B744" s="7" t="s">
        <v>17812</v>
      </c>
      <c r="C744" s="7" t="s">
        <v>175</v>
      </c>
      <c r="D744" s="199"/>
      <c r="E744" s="193"/>
      <c r="F744" s="195" t="s">
        <v>17813</v>
      </c>
      <c r="G744" s="200">
        <v>2.349667607E10</v>
      </c>
      <c r="H744" s="197">
        <v>99.84</v>
      </c>
      <c r="I744" s="7" t="s">
        <v>16815</v>
      </c>
      <c r="J744" s="7" t="s">
        <v>17812</v>
      </c>
      <c r="K744" s="7" t="s">
        <v>175</v>
      </c>
      <c r="L744" s="201" t="s">
        <v>16835</v>
      </c>
      <c r="M744" s="199"/>
      <c r="N744" s="199"/>
    </row>
    <row r="745">
      <c r="A745" s="193" t="s">
        <v>17814</v>
      </c>
      <c r="B745" s="7" t="s">
        <v>16885</v>
      </c>
      <c r="C745" s="7" t="s">
        <v>17726</v>
      </c>
      <c r="D745" s="199"/>
      <c r="E745" s="193"/>
      <c r="F745" s="195" t="s">
        <v>17815</v>
      </c>
      <c r="G745" s="196">
        <v>2.3344749439E10</v>
      </c>
      <c r="H745" s="197">
        <v>47.06</v>
      </c>
      <c r="I745" s="7" t="s">
        <v>16888</v>
      </c>
      <c r="J745" s="7" t="s">
        <v>16885</v>
      </c>
      <c r="K745" s="7" t="s">
        <v>17726</v>
      </c>
      <c r="L745" s="198" t="s">
        <v>65</v>
      </c>
      <c r="M745" s="199"/>
      <c r="N745" s="199"/>
    </row>
    <row r="746">
      <c r="A746" s="193" t="s">
        <v>17814</v>
      </c>
      <c r="B746" s="7" t="s">
        <v>17726</v>
      </c>
      <c r="C746" s="7" t="s">
        <v>16885</v>
      </c>
      <c r="D746" s="199"/>
      <c r="E746" s="193"/>
      <c r="F746" s="195" t="s">
        <v>17815</v>
      </c>
      <c r="G746" s="200">
        <v>2.3344749439E10</v>
      </c>
      <c r="H746" s="197">
        <v>47.06</v>
      </c>
      <c r="I746" s="7" t="s">
        <v>16815</v>
      </c>
      <c r="J746" s="7" t="s">
        <v>17726</v>
      </c>
      <c r="K746" s="7" t="s">
        <v>16885</v>
      </c>
      <c r="L746" s="201" t="s">
        <v>16835</v>
      </c>
      <c r="M746" s="199"/>
      <c r="N746" s="199"/>
    </row>
    <row r="747">
      <c r="A747" s="193" t="s">
        <v>17816</v>
      </c>
      <c r="B747" s="7" t="s">
        <v>17112</v>
      </c>
      <c r="C747" s="7" t="s">
        <v>17787</v>
      </c>
      <c r="D747" s="194">
        <v>2020.0</v>
      </c>
      <c r="E747" s="193"/>
      <c r="F747" s="195" t="s">
        <v>17817</v>
      </c>
      <c r="G747" s="196">
        <v>2.332306944E10</v>
      </c>
      <c r="H747" s="197">
        <v>14.24</v>
      </c>
      <c r="I747" s="7" t="s">
        <v>16815</v>
      </c>
      <c r="J747" s="7" t="s">
        <v>17112</v>
      </c>
      <c r="K747" s="7" t="s">
        <v>17787</v>
      </c>
      <c r="L747" s="198" t="s">
        <v>65</v>
      </c>
      <c r="M747" s="194"/>
      <c r="N747" s="194"/>
    </row>
    <row r="748">
      <c r="A748" s="193" t="s">
        <v>17816</v>
      </c>
      <c r="B748" s="7" t="s">
        <v>17787</v>
      </c>
      <c r="C748" s="7" t="s">
        <v>17112</v>
      </c>
      <c r="D748" s="194">
        <v>2020.0</v>
      </c>
      <c r="E748" s="193"/>
      <c r="F748" s="195" t="s">
        <v>17817</v>
      </c>
      <c r="G748" s="200">
        <v>2.332306944E10</v>
      </c>
      <c r="H748" s="197">
        <v>14.24</v>
      </c>
      <c r="I748" s="7" t="s">
        <v>16815</v>
      </c>
      <c r="J748" s="7" t="s">
        <v>17787</v>
      </c>
      <c r="K748" s="7" t="s">
        <v>17112</v>
      </c>
      <c r="L748" s="201" t="s">
        <v>16835</v>
      </c>
      <c r="M748" s="194"/>
      <c r="N748" s="194"/>
    </row>
    <row r="749">
      <c r="A749" s="193" t="s">
        <v>17818</v>
      </c>
      <c r="B749" s="7" t="s">
        <v>169</v>
      </c>
      <c r="C749" s="7" t="s">
        <v>16899</v>
      </c>
      <c r="D749" s="194">
        <v>2016.0</v>
      </c>
      <c r="E749" s="193"/>
      <c r="F749" s="195" t="s">
        <v>17819</v>
      </c>
      <c r="G749" s="196">
        <v>2.3134871847E10</v>
      </c>
      <c r="H749" s="197">
        <v>65.83</v>
      </c>
      <c r="I749" s="7" t="s">
        <v>16815</v>
      </c>
      <c r="J749" s="7" t="s">
        <v>169</v>
      </c>
      <c r="K749" s="7" t="s">
        <v>16899</v>
      </c>
      <c r="L749" s="198" t="s">
        <v>65</v>
      </c>
      <c r="M749" s="194"/>
      <c r="N749" s="194"/>
    </row>
    <row r="750">
      <c r="A750" s="193" t="s">
        <v>17818</v>
      </c>
      <c r="B750" s="7" t="s">
        <v>16899</v>
      </c>
      <c r="C750" s="7" t="s">
        <v>169</v>
      </c>
      <c r="D750" s="194">
        <v>2016.0</v>
      </c>
      <c r="E750" s="193"/>
      <c r="F750" s="195" t="s">
        <v>17819</v>
      </c>
      <c r="G750" s="200">
        <v>2.3134871847E10</v>
      </c>
      <c r="H750" s="197">
        <v>65.83</v>
      </c>
      <c r="I750" s="7" t="s">
        <v>16815</v>
      </c>
      <c r="J750" s="7" t="s">
        <v>16899</v>
      </c>
      <c r="K750" s="7" t="s">
        <v>169</v>
      </c>
      <c r="L750" s="201" t="s">
        <v>16835</v>
      </c>
      <c r="M750" s="194"/>
      <c r="N750" s="194"/>
    </row>
    <row r="751">
      <c r="A751" s="193" t="s">
        <v>17820</v>
      </c>
      <c r="B751" s="7" t="s">
        <v>16867</v>
      </c>
      <c r="C751" s="7" t="s">
        <v>16838</v>
      </c>
      <c r="D751" s="199"/>
      <c r="E751" s="193"/>
      <c r="F751" s="195" t="s">
        <v>17821</v>
      </c>
      <c r="G751" s="200">
        <v>2.30316E10</v>
      </c>
      <c r="H751" s="197">
        <v>11.29</v>
      </c>
      <c r="I751" s="7" t="s">
        <v>16815</v>
      </c>
      <c r="J751" s="7" t="s">
        <v>16867</v>
      </c>
      <c r="K751" s="7" t="s">
        <v>16838</v>
      </c>
      <c r="L751" s="201" t="s">
        <v>16835</v>
      </c>
      <c r="M751" s="199"/>
      <c r="N751" s="199"/>
    </row>
    <row r="752">
      <c r="A752" s="193" t="s">
        <v>17820</v>
      </c>
      <c r="B752" s="7" t="s">
        <v>16838</v>
      </c>
      <c r="C752" s="7" t="s">
        <v>16867</v>
      </c>
      <c r="D752" s="199"/>
      <c r="E752" s="193"/>
      <c r="F752" s="195" t="s">
        <v>17821</v>
      </c>
      <c r="G752" s="196">
        <v>2.30316E10</v>
      </c>
      <c r="H752" s="197">
        <v>11.29</v>
      </c>
      <c r="I752" s="7" t="s">
        <v>16815</v>
      </c>
      <c r="J752" s="7" t="s">
        <v>16838</v>
      </c>
      <c r="K752" s="7" t="s">
        <v>16867</v>
      </c>
      <c r="L752" s="198" t="s">
        <v>65</v>
      </c>
      <c r="M752" s="199"/>
      <c r="N752" s="199"/>
    </row>
    <row r="753">
      <c r="A753" s="193" t="s">
        <v>17822</v>
      </c>
      <c r="D753" s="199"/>
      <c r="E753" s="193"/>
      <c r="F753" s="195" t="s">
        <v>17823</v>
      </c>
      <c r="G753" s="196">
        <v>2.2931438998E10</v>
      </c>
      <c r="H753" s="197">
        <v>119.4</v>
      </c>
      <c r="I753" s="7" t="s">
        <v>16815</v>
      </c>
      <c r="L753" s="198" t="s">
        <v>65</v>
      </c>
      <c r="M753" s="199"/>
      <c r="N753" s="199"/>
    </row>
    <row r="754">
      <c r="A754" s="193" t="s">
        <v>17822</v>
      </c>
      <c r="D754" s="199"/>
      <c r="E754" s="193"/>
      <c r="F754" s="195" t="s">
        <v>17823</v>
      </c>
      <c r="G754" s="200">
        <v>2.2931438998E10</v>
      </c>
      <c r="H754" s="197">
        <v>119.4</v>
      </c>
      <c r="L754" s="201" t="s">
        <v>16835</v>
      </c>
      <c r="M754" s="199"/>
      <c r="N754" s="199"/>
    </row>
    <row r="755">
      <c r="A755" s="193" t="s">
        <v>17824</v>
      </c>
      <c r="B755" s="7" t="s">
        <v>169</v>
      </c>
      <c r="C755" s="7" t="s">
        <v>17022</v>
      </c>
      <c r="D755" s="194">
        <v>2000.0</v>
      </c>
      <c r="E755" s="193"/>
      <c r="F755" s="195" t="s">
        <v>17825</v>
      </c>
      <c r="G755" s="196">
        <v>2.2846534746E10</v>
      </c>
      <c r="H755" s="197">
        <v>165.33</v>
      </c>
      <c r="I755" s="7" t="s">
        <v>16815</v>
      </c>
      <c r="J755" s="7" t="s">
        <v>169</v>
      </c>
      <c r="K755" s="7" t="s">
        <v>17022</v>
      </c>
      <c r="L755" s="198" t="s">
        <v>65</v>
      </c>
      <c r="M755" s="194"/>
      <c r="N755" s="194"/>
    </row>
    <row r="756">
      <c r="A756" s="193" t="s">
        <v>17824</v>
      </c>
      <c r="B756" s="7" t="s">
        <v>17022</v>
      </c>
      <c r="C756" s="7" t="s">
        <v>169</v>
      </c>
      <c r="D756" s="194">
        <v>2000.0</v>
      </c>
      <c r="E756" s="193"/>
      <c r="F756" s="195" t="s">
        <v>17825</v>
      </c>
      <c r="G756" s="200">
        <v>2.2846534746E10</v>
      </c>
      <c r="H756" s="197">
        <v>165.33</v>
      </c>
      <c r="I756" s="7" t="s">
        <v>16815</v>
      </c>
      <c r="J756" s="7" t="s">
        <v>17022</v>
      </c>
      <c r="K756" s="7" t="s">
        <v>169</v>
      </c>
      <c r="L756" s="201" t="s">
        <v>16835</v>
      </c>
      <c r="M756" s="194"/>
      <c r="N756" s="194"/>
    </row>
    <row r="757">
      <c r="A757" s="193" t="s">
        <v>17826</v>
      </c>
      <c r="B757" s="7" t="s">
        <v>169</v>
      </c>
      <c r="C757" s="7" t="s">
        <v>17827</v>
      </c>
      <c r="D757" s="194">
        <v>1997.0</v>
      </c>
      <c r="E757" s="193"/>
      <c r="F757" s="195" t="s">
        <v>17828</v>
      </c>
      <c r="G757" s="196">
        <v>2.2829275122E10</v>
      </c>
      <c r="H757" s="197">
        <v>1044.11</v>
      </c>
      <c r="I757" s="7" t="s">
        <v>16815</v>
      </c>
      <c r="J757" s="7" t="s">
        <v>169</v>
      </c>
      <c r="K757" s="7" t="s">
        <v>17827</v>
      </c>
      <c r="L757" s="198" t="s">
        <v>65</v>
      </c>
      <c r="M757" s="194"/>
      <c r="N757" s="194"/>
    </row>
    <row r="758">
      <c r="A758" s="193" t="s">
        <v>17826</v>
      </c>
      <c r="B758" s="7" t="s">
        <v>17827</v>
      </c>
      <c r="C758" s="7" t="s">
        <v>169</v>
      </c>
      <c r="D758" s="194">
        <v>1997.0</v>
      </c>
      <c r="E758" s="193"/>
      <c r="F758" s="195" t="s">
        <v>17828</v>
      </c>
      <c r="G758" s="200">
        <v>2.2829275122E10</v>
      </c>
      <c r="H758" s="197">
        <v>1044.11</v>
      </c>
      <c r="I758" s="7" t="s">
        <v>16815</v>
      </c>
      <c r="J758" s="7" t="s">
        <v>17827</v>
      </c>
      <c r="K758" s="7" t="s">
        <v>169</v>
      </c>
      <c r="L758" s="201" t="s">
        <v>16835</v>
      </c>
      <c r="M758" s="194"/>
      <c r="N758" s="194"/>
    </row>
    <row r="759">
      <c r="A759" s="193" t="s">
        <v>17829</v>
      </c>
      <c r="B759" s="7" t="s">
        <v>17016</v>
      </c>
      <c r="C759" s="7" t="s">
        <v>16838</v>
      </c>
      <c r="D759" s="199"/>
      <c r="E759" s="193"/>
      <c r="F759" s="195" t="s">
        <v>17830</v>
      </c>
      <c r="G759" s="200">
        <v>2.278401405E10</v>
      </c>
      <c r="H759" s="197">
        <v>184.91</v>
      </c>
      <c r="I759" s="7" t="s">
        <v>16815</v>
      </c>
      <c r="J759" s="7" t="s">
        <v>17016</v>
      </c>
      <c r="K759" s="7" t="s">
        <v>16838</v>
      </c>
      <c r="L759" s="201" t="s">
        <v>16835</v>
      </c>
      <c r="M759" s="199"/>
      <c r="N759" s="199"/>
    </row>
    <row r="760">
      <c r="A760" s="193" t="s">
        <v>17829</v>
      </c>
      <c r="B760" s="7" t="s">
        <v>16838</v>
      </c>
      <c r="C760" s="7" t="s">
        <v>17016</v>
      </c>
      <c r="D760" s="199"/>
      <c r="E760" s="193"/>
      <c r="F760" s="195" t="s">
        <v>17830</v>
      </c>
      <c r="G760" s="196">
        <v>2.278401405E10</v>
      </c>
      <c r="H760" s="197">
        <v>184.91</v>
      </c>
      <c r="I760" s="7" t="s">
        <v>16815</v>
      </c>
      <c r="J760" s="7" t="s">
        <v>16838</v>
      </c>
      <c r="K760" s="7" t="s">
        <v>17016</v>
      </c>
      <c r="L760" s="198" t="s">
        <v>65</v>
      </c>
      <c r="M760" s="199"/>
      <c r="N760" s="199"/>
    </row>
    <row r="761">
      <c r="A761" s="193" t="s">
        <v>17831</v>
      </c>
      <c r="B761" s="7" t="s">
        <v>16957</v>
      </c>
      <c r="C761" s="7" t="s">
        <v>16926</v>
      </c>
      <c r="D761" s="194">
        <v>1988.0</v>
      </c>
      <c r="E761" s="193"/>
      <c r="F761" s="195" t="s">
        <v>17832</v>
      </c>
      <c r="G761" s="200">
        <v>2.2638931212E10</v>
      </c>
      <c r="H761" s="197">
        <v>3.92</v>
      </c>
      <c r="I761" s="7" t="s">
        <v>16815</v>
      </c>
      <c r="J761" s="7" t="s">
        <v>16957</v>
      </c>
      <c r="K761" s="7" t="s">
        <v>16926</v>
      </c>
      <c r="L761" s="201" t="s">
        <v>16835</v>
      </c>
      <c r="M761" s="194"/>
      <c r="N761" s="194"/>
    </row>
    <row r="762">
      <c r="A762" s="193" t="s">
        <v>17831</v>
      </c>
      <c r="B762" s="7" t="s">
        <v>16926</v>
      </c>
      <c r="C762" s="7" t="s">
        <v>16957</v>
      </c>
      <c r="D762" s="194">
        <v>1988.0</v>
      </c>
      <c r="E762" s="193"/>
      <c r="F762" s="195" t="s">
        <v>17832</v>
      </c>
      <c r="G762" s="196">
        <v>2.2638931212E10</v>
      </c>
      <c r="H762" s="197">
        <v>3.92</v>
      </c>
      <c r="I762" s="7" t="s">
        <v>16815</v>
      </c>
      <c r="J762" s="7" t="s">
        <v>16926</v>
      </c>
      <c r="K762" s="7" t="s">
        <v>16957</v>
      </c>
      <c r="L762" s="198" t="s">
        <v>65</v>
      </c>
      <c r="M762" s="194"/>
      <c r="N762" s="194"/>
    </row>
    <row r="763">
      <c r="A763" s="193" t="s">
        <v>17833</v>
      </c>
      <c r="B763" s="7" t="s">
        <v>16957</v>
      </c>
      <c r="C763" s="7" t="s">
        <v>16926</v>
      </c>
      <c r="D763" s="199"/>
      <c r="E763" s="193"/>
      <c r="F763" s="195" t="s">
        <v>17834</v>
      </c>
      <c r="G763" s="200">
        <v>2.2516841833E10</v>
      </c>
      <c r="H763" s="197">
        <v>22.73</v>
      </c>
      <c r="I763" s="7" t="s">
        <v>16815</v>
      </c>
      <c r="J763" s="7" t="s">
        <v>16957</v>
      </c>
      <c r="K763" s="7" t="s">
        <v>16926</v>
      </c>
      <c r="L763" s="201" t="s">
        <v>16835</v>
      </c>
      <c r="M763" s="199"/>
      <c r="N763" s="199"/>
    </row>
    <row r="764">
      <c r="A764" s="193" t="s">
        <v>17833</v>
      </c>
      <c r="B764" s="7" t="s">
        <v>16926</v>
      </c>
      <c r="C764" s="7" t="s">
        <v>16957</v>
      </c>
      <c r="D764" s="199"/>
      <c r="E764" s="193"/>
      <c r="F764" s="195" t="s">
        <v>17834</v>
      </c>
      <c r="G764" s="196">
        <v>2.2516841833E10</v>
      </c>
      <c r="H764" s="197">
        <v>22.73</v>
      </c>
      <c r="I764" s="7" t="s">
        <v>16815</v>
      </c>
      <c r="J764" s="7" t="s">
        <v>16926</v>
      </c>
      <c r="K764" s="7" t="s">
        <v>16957</v>
      </c>
      <c r="L764" s="198" t="s">
        <v>65</v>
      </c>
      <c r="M764" s="199"/>
      <c r="N764" s="199"/>
    </row>
    <row r="765">
      <c r="A765" s="193" t="s">
        <v>17835</v>
      </c>
      <c r="B765" s="7" t="s">
        <v>17112</v>
      </c>
      <c r="C765" s="7" t="s">
        <v>16838</v>
      </c>
      <c r="D765" s="199"/>
      <c r="E765" s="193"/>
      <c r="F765" s="195" t="s">
        <v>17836</v>
      </c>
      <c r="G765" s="200">
        <v>2.2399222945E10</v>
      </c>
      <c r="H765" s="197">
        <v>73.49</v>
      </c>
      <c r="I765" s="7" t="s">
        <v>16815</v>
      </c>
      <c r="J765" s="7" t="s">
        <v>17112</v>
      </c>
      <c r="K765" s="7" t="s">
        <v>16838</v>
      </c>
      <c r="L765" s="201" t="s">
        <v>16835</v>
      </c>
      <c r="M765" s="199"/>
      <c r="N765" s="199"/>
    </row>
    <row r="766">
      <c r="A766" s="193" t="s">
        <v>17835</v>
      </c>
      <c r="B766" s="7" t="s">
        <v>16838</v>
      </c>
      <c r="C766" s="7" t="s">
        <v>17112</v>
      </c>
      <c r="D766" s="199"/>
      <c r="E766" s="193"/>
      <c r="F766" s="195" t="s">
        <v>17836</v>
      </c>
      <c r="G766" s="196">
        <v>2.2399222945E10</v>
      </c>
      <c r="H766" s="197">
        <v>73.49</v>
      </c>
      <c r="I766" s="7" t="s">
        <v>16815</v>
      </c>
      <c r="J766" s="7" t="s">
        <v>16838</v>
      </c>
      <c r="K766" s="7" t="s">
        <v>17112</v>
      </c>
      <c r="L766" s="198" t="s">
        <v>65</v>
      </c>
      <c r="M766" s="199"/>
      <c r="N766" s="199"/>
    </row>
    <row r="767">
      <c r="A767" s="193" t="s">
        <v>17837</v>
      </c>
      <c r="B767" s="7" t="s">
        <v>16838</v>
      </c>
      <c r="C767" s="7" t="s">
        <v>17838</v>
      </c>
      <c r="D767" s="199"/>
      <c r="E767" s="193"/>
      <c r="F767" s="195" t="s">
        <v>17839</v>
      </c>
      <c r="G767" s="196">
        <v>2.2339451367E10</v>
      </c>
      <c r="H767" s="197">
        <v>88.77</v>
      </c>
      <c r="I767" s="7" t="s">
        <v>16815</v>
      </c>
      <c r="J767" s="7" t="s">
        <v>16838</v>
      </c>
      <c r="K767" s="7" t="s">
        <v>17838</v>
      </c>
      <c r="L767" s="198" t="s">
        <v>65</v>
      </c>
      <c r="M767" s="199"/>
      <c r="N767" s="199"/>
    </row>
    <row r="768">
      <c r="A768" s="193" t="s">
        <v>17837</v>
      </c>
      <c r="B768" s="7" t="s">
        <v>17838</v>
      </c>
      <c r="C768" s="7" t="s">
        <v>16838</v>
      </c>
      <c r="D768" s="199"/>
      <c r="E768" s="193"/>
      <c r="F768" s="195" t="s">
        <v>17839</v>
      </c>
      <c r="G768" s="200">
        <v>2.2339451367E10</v>
      </c>
      <c r="H768" s="197">
        <v>88.77</v>
      </c>
      <c r="I768" s="7" t="s">
        <v>16815</v>
      </c>
      <c r="J768" s="7" t="s">
        <v>17838</v>
      </c>
      <c r="K768" s="7" t="s">
        <v>16838</v>
      </c>
      <c r="L768" s="201" t="s">
        <v>16835</v>
      </c>
      <c r="M768" s="199"/>
      <c r="N768" s="199"/>
    </row>
    <row r="769">
      <c r="A769" s="193" t="s">
        <v>17840</v>
      </c>
      <c r="B769" s="7" t="s">
        <v>169</v>
      </c>
      <c r="C769" s="7" t="s">
        <v>16899</v>
      </c>
      <c r="D769" s="194">
        <v>2000.0</v>
      </c>
      <c r="E769" s="193"/>
      <c r="F769" s="195" t="s">
        <v>17841</v>
      </c>
      <c r="G769" s="196">
        <v>2.23130302E10</v>
      </c>
      <c r="H769" s="197">
        <v>116.62</v>
      </c>
      <c r="I769" s="7" t="s">
        <v>16815</v>
      </c>
      <c r="J769" s="7" t="s">
        <v>169</v>
      </c>
      <c r="K769" s="7" t="s">
        <v>16899</v>
      </c>
      <c r="L769" s="198" t="s">
        <v>65</v>
      </c>
      <c r="M769" s="194"/>
      <c r="N769" s="194"/>
    </row>
    <row r="770">
      <c r="A770" s="193" t="s">
        <v>17840</v>
      </c>
      <c r="B770" s="7" t="s">
        <v>16899</v>
      </c>
      <c r="C770" s="7" t="s">
        <v>169</v>
      </c>
      <c r="D770" s="194">
        <v>2000.0</v>
      </c>
      <c r="E770" s="193"/>
      <c r="F770" s="195" t="s">
        <v>17841</v>
      </c>
      <c r="G770" s="200">
        <v>2.23130302E10</v>
      </c>
      <c r="H770" s="197">
        <v>116.62</v>
      </c>
      <c r="I770" s="7" t="s">
        <v>16815</v>
      </c>
      <c r="J770" s="7" t="s">
        <v>16899</v>
      </c>
      <c r="K770" s="7" t="s">
        <v>169</v>
      </c>
      <c r="L770" s="201" t="s">
        <v>16835</v>
      </c>
      <c r="M770" s="194"/>
      <c r="N770" s="194"/>
    </row>
    <row r="771">
      <c r="A771" s="193" t="s">
        <v>17842</v>
      </c>
      <c r="B771" s="7" t="s">
        <v>17127</v>
      </c>
      <c r="C771" s="7" t="s">
        <v>16838</v>
      </c>
      <c r="D771" s="199"/>
      <c r="E771" s="193"/>
      <c r="F771" s="195" t="s">
        <v>17843</v>
      </c>
      <c r="G771" s="200">
        <v>2.2247944177E10</v>
      </c>
      <c r="H771" s="197">
        <v>73.97</v>
      </c>
      <c r="I771" s="7" t="s">
        <v>16815</v>
      </c>
      <c r="J771" s="7" t="s">
        <v>17127</v>
      </c>
      <c r="K771" s="7" t="s">
        <v>16838</v>
      </c>
      <c r="L771" s="201" t="s">
        <v>16835</v>
      </c>
      <c r="M771" s="199"/>
      <c r="N771" s="199"/>
    </row>
    <row r="772">
      <c r="A772" s="193" t="s">
        <v>17842</v>
      </c>
      <c r="B772" s="7" t="s">
        <v>16838</v>
      </c>
      <c r="C772" s="7" t="s">
        <v>17127</v>
      </c>
      <c r="D772" s="199"/>
      <c r="E772" s="193"/>
      <c r="F772" s="195" t="s">
        <v>17843</v>
      </c>
      <c r="G772" s="196">
        <v>2.2247944177E10</v>
      </c>
      <c r="H772" s="197">
        <v>73.97</v>
      </c>
      <c r="I772" s="7" t="s">
        <v>16815</v>
      </c>
      <c r="J772" s="7" t="s">
        <v>16838</v>
      </c>
      <c r="K772" s="7" t="s">
        <v>17127</v>
      </c>
      <c r="L772" s="198" t="s">
        <v>65</v>
      </c>
      <c r="M772" s="199"/>
      <c r="N772" s="199"/>
    </row>
    <row r="773">
      <c r="A773" s="193" t="s">
        <v>17844</v>
      </c>
      <c r="B773" s="7" t="s">
        <v>16838</v>
      </c>
      <c r="C773" s="7" t="s">
        <v>17016</v>
      </c>
      <c r="D773" s="199"/>
      <c r="E773" s="193"/>
      <c r="F773" s="195" t="s">
        <v>17845</v>
      </c>
      <c r="G773" s="196">
        <v>2.2230696599E10</v>
      </c>
      <c r="H773" s="197">
        <v>92.92</v>
      </c>
      <c r="I773" s="7" t="s">
        <v>16815</v>
      </c>
      <c r="J773" s="7" t="s">
        <v>16838</v>
      </c>
      <c r="K773" s="7" t="s">
        <v>17016</v>
      </c>
      <c r="L773" s="198" t="s">
        <v>65</v>
      </c>
      <c r="M773" s="199"/>
      <c r="N773" s="199"/>
    </row>
    <row r="774">
      <c r="A774" s="193" t="s">
        <v>17846</v>
      </c>
      <c r="B774" s="7" t="s">
        <v>175</v>
      </c>
      <c r="C774" s="7" t="s">
        <v>16878</v>
      </c>
      <c r="D774" s="199"/>
      <c r="E774" s="193"/>
      <c r="F774" s="195" t="s">
        <v>17847</v>
      </c>
      <c r="G774" s="196">
        <v>2.2105368995E10</v>
      </c>
      <c r="H774" s="197">
        <v>89.72</v>
      </c>
      <c r="I774" s="7" t="s">
        <v>16908</v>
      </c>
      <c r="J774" s="7" t="s">
        <v>175</v>
      </c>
      <c r="K774" s="7" t="s">
        <v>16878</v>
      </c>
      <c r="L774" s="198" t="s">
        <v>65</v>
      </c>
      <c r="M774" s="199"/>
      <c r="N774" s="199"/>
    </row>
    <row r="775">
      <c r="A775" s="193" t="s">
        <v>17846</v>
      </c>
      <c r="B775" s="7" t="s">
        <v>16878</v>
      </c>
      <c r="C775" s="7" t="s">
        <v>175</v>
      </c>
      <c r="D775" s="199"/>
      <c r="E775" s="193"/>
      <c r="F775" s="195" t="s">
        <v>17847</v>
      </c>
      <c r="G775" s="200">
        <v>2.2105368995E10</v>
      </c>
      <c r="H775" s="197">
        <v>89.72</v>
      </c>
      <c r="I775" s="7" t="s">
        <v>16815</v>
      </c>
      <c r="J775" s="7" t="s">
        <v>16878</v>
      </c>
      <c r="K775" s="7" t="s">
        <v>175</v>
      </c>
      <c r="L775" s="201" t="s">
        <v>16835</v>
      </c>
      <c r="M775" s="199"/>
      <c r="N775" s="199"/>
    </row>
    <row r="776">
      <c r="A776" s="193" t="s">
        <v>17848</v>
      </c>
      <c r="B776" s="7" t="s">
        <v>169</v>
      </c>
      <c r="C776" s="7" t="s">
        <v>16899</v>
      </c>
      <c r="D776" s="194">
        <v>2014.0</v>
      </c>
      <c r="E776" s="193"/>
      <c r="F776" s="195" t="s">
        <v>17849</v>
      </c>
      <c r="G776" s="196">
        <v>2.2063651754E10</v>
      </c>
      <c r="H776" s="197">
        <v>124.25</v>
      </c>
      <c r="I776" s="7" t="s">
        <v>16815</v>
      </c>
      <c r="J776" s="7" t="s">
        <v>169</v>
      </c>
      <c r="K776" s="7" t="s">
        <v>16899</v>
      </c>
      <c r="L776" s="198" t="s">
        <v>65</v>
      </c>
      <c r="M776" s="194"/>
      <c r="N776" s="194"/>
    </row>
    <row r="777">
      <c r="A777" s="193" t="s">
        <v>17848</v>
      </c>
      <c r="B777" s="7" t="s">
        <v>16899</v>
      </c>
      <c r="C777" s="7" t="s">
        <v>169</v>
      </c>
      <c r="D777" s="194">
        <v>2014.0</v>
      </c>
      <c r="E777" s="193"/>
      <c r="F777" s="195" t="s">
        <v>17849</v>
      </c>
      <c r="G777" s="200">
        <v>2.2063651754E10</v>
      </c>
      <c r="H777" s="197">
        <v>124.25</v>
      </c>
      <c r="I777" s="7" t="s">
        <v>16815</v>
      </c>
      <c r="J777" s="7" t="s">
        <v>16899</v>
      </c>
      <c r="K777" s="7" t="s">
        <v>169</v>
      </c>
      <c r="L777" s="201" t="s">
        <v>16835</v>
      </c>
      <c r="M777" s="194"/>
      <c r="N777" s="194"/>
    </row>
    <row r="778">
      <c r="A778" s="193" t="s">
        <v>17850</v>
      </c>
      <c r="B778" s="7" t="s">
        <v>17509</v>
      </c>
      <c r="C778" s="7" t="s">
        <v>187</v>
      </c>
      <c r="D778" s="199"/>
      <c r="E778" s="193"/>
      <c r="F778" s="195" t="s">
        <v>17851</v>
      </c>
      <c r="G778" s="200">
        <v>2.2030746554E10</v>
      </c>
      <c r="H778" s="197">
        <v>105.42</v>
      </c>
      <c r="I778" s="7" t="s">
        <v>16815</v>
      </c>
      <c r="J778" s="7" t="s">
        <v>17509</v>
      </c>
      <c r="K778" s="7" t="s">
        <v>187</v>
      </c>
      <c r="L778" s="201" t="s">
        <v>16835</v>
      </c>
      <c r="M778" s="199"/>
      <c r="N778" s="199"/>
    </row>
    <row r="779">
      <c r="A779" s="193" t="s">
        <v>17850</v>
      </c>
      <c r="B779" s="7" t="s">
        <v>187</v>
      </c>
      <c r="C779" s="7" t="s">
        <v>17509</v>
      </c>
      <c r="D779" s="199"/>
      <c r="E779" s="193"/>
      <c r="F779" s="195" t="s">
        <v>17851</v>
      </c>
      <c r="G779" s="196">
        <v>2.2030746554E10</v>
      </c>
      <c r="H779" s="197">
        <v>105.42</v>
      </c>
      <c r="I779" s="7" t="s">
        <v>16815</v>
      </c>
      <c r="J779" s="7" t="s">
        <v>187</v>
      </c>
      <c r="K779" s="7" t="s">
        <v>17509</v>
      </c>
      <c r="L779" s="198" t="s">
        <v>65</v>
      </c>
      <c r="M779" s="199"/>
      <c r="N779" s="199"/>
    </row>
    <row r="780">
      <c r="A780" s="193" t="s">
        <v>17852</v>
      </c>
      <c r="B780" s="7" t="s">
        <v>17111</v>
      </c>
      <c r="C780" s="7" t="s">
        <v>17112</v>
      </c>
      <c r="D780" s="199"/>
      <c r="E780" s="193"/>
      <c r="F780" s="195" t="s">
        <v>17853</v>
      </c>
      <c r="G780" s="200">
        <v>2.200953015E10</v>
      </c>
      <c r="H780" s="197">
        <v>30.15</v>
      </c>
      <c r="I780" s="7" t="s">
        <v>16815</v>
      </c>
      <c r="J780" s="7" t="s">
        <v>17111</v>
      </c>
      <c r="K780" s="7" t="s">
        <v>17112</v>
      </c>
      <c r="L780" s="201" t="s">
        <v>16835</v>
      </c>
      <c r="M780" s="199"/>
      <c r="N780" s="199"/>
    </row>
    <row r="781">
      <c r="A781" s="193" t="s">
        <v>17852</v>
      </c>
      <c r="B781" s="7" t="s">
        <v>17112</v>
      </c>
      <c r="C781" s="7" t="s">
        <v>17111</v>
      </c>
      <c r="D781" s="199"/>
      <c r="E781" s="193"/>
      <c r="F781" s="195" t="s">
        <v>17853</v>
      </c>
      <c r="G781" s="196">
        <v>2.200953015E10</v>
      </c>
      <c r="H781" s="197">
        <v>30.15</v>
      </c>
      <c r="I781" s="7" t="s">
        <v>16815</v>
      </c>
      <c r="J781" s="7" t="s">
        <v>17112</v>
      </c>
      <c r="K781" s="7" t="s">
        <v>17111</v>
      </c>
      <c r="L781" s="198" t="s">
        <v>65</v>
      </c>
      <c r="M781" s="199"/>
      <c r="N781" s="199"/>
    </row>
    <row r="782">
      <c r="A782" s="193" t="s">
        <v>17854</v>
      </c>
      <c r="B782" s="7" t="s">
        <v>175</v>
      </c>
      <c r="C782" s="7" t="s">
        <v>17031</v>
      </c>
      <c r="D782" s="199"/>
      <c r="E782" s="193"/>
      <c r="F782" s="195" t="s">
        <v>17855</v>
      </c>
      <c r="G782" s="196">
        <v>2.1916364528E10</v>
      </c>
      <c r="H782" s="197">
        <v>34.06</v>
      </c>
      <c r="I782" s="7" t="s">
        <v>16908</v>
      </c>
      <c r="J782" s="7" t="s">
        <v>175</v>
      </c>
      <c r="K782" s="7" t="s">
        <v>17031</v>
      </c>
      <c r="L782" s="198" t="s">
        <v>65</v>
      </c>
      <c r="M782" s="199"/>
      <c r="N782" s="199"/>
    </row>
    <row r="783">
      <c r="A783" s="193" t="s">
        <v>17854</v>
      </c>
      <c r="B783" s="7" t="s">
        <v>17031</v>
      </c>
      <c r="C783" s="7" t="s">
        <v>175</v>
      </c>
      <c r="D783" s="199"/>
      <c r="E783" s="193"/>
      <c r="F783" s="195" t="s">
        <v>17855</v>
      </c>
      <c r="G783" s="200">
        <v>2.1916364528E10</v>
      </c>
      <c r="H783" s="197">
        <v>34.06</v>
      </c>
      <c r="I783" s="7" t="s">
        <v>16815</v>
      </c>
      <c r="J783" s="7" t="s">
        <v>17031</v>
      </c>
      <c r="K783" s="7" t="s">
        <v>175</v>
      </c>
      <c r="L783" s="201" t="s">
        <v>16835</v>
      </c>
      <c r="M783" s="199"/>
      <c r="N783" s="199"/>
    </row>
    <row r="784">
      <c r="A784" s="193" t="s">
        <v>17856</v>
      </c>
      <c r="B784" s="7" t="s">
        <v>175</v>
      </c>
      <c r="C784" s="7" t="s">
        <v>16854</v>
      </c>
      <c r="D784" s="194">
        <v>2003.0</v>
      </c>
      <c r="E784" s="193"/>
      <c r="F784" s="195" t="s">
        <v>17857</v>
      </c>
      <c r="G784" s="196">
        <v>2.1908126205E10</v>
      </c>
      <c r="H784" s="197">
        <v>33.91</v>
      </c>
      <c r="I784" s="7" t="s">
        <v>17270</v>
      </c>
      <c r="J784" s="7" t="s">
        <v>175</v>
      </c>
      <c r="K784" s="7" t="s">
        <v>16854</v>
      </c>
      <c r="L784" s="198" t="s">
        <v>65</v>
      </c>
      <c r="M784" s="194"/>
      <c r="N784" s="194"/>
    </row>
    <row r="785">
      <c r="A785" s="193" t="s">
        <v>17858</v>
      </c>
      <c r="B785" s="7" t="s">
        <v>16838</v>
      </c>
      <c r="C785" s="7" t="s">
        <v>17019</v>
      </c>
      <c r="D785" s="194">
        <v>2019.0</v>
      </c>
      <c r="E785" s="193"/>
      <c r="F785" s="195" t="s">
        <v>17859</v>
      </c>
      <c r="G785" s="196">
        <v>2.1889454459E10</v>
      </c>
      <c r="H785" s="197">
        <v>93.25</v>
      </c>
      <c r="I785" s="7" t="s">
        <v>16815</v>
      </c>
      <c r="J785" s="7" t="s">
        <v>16838</v>
      </c>
      <c r="K785" s="7" t="s">
        <v>17019</v>
      </c>
      <c r="L785" s="198" t="s">
        <v>65</v>
      </c>
      <c r="M785" s="194"/>
      <c r="N785" s="194"/>
    </row>
    <row r="786">
      <c r="A786" s="193" t="s">
        <v>17860</v>
      </c>
      <c r="B786" s="7" t="s">
        <v>16838</v>
      </c>
      <c r="C786" s="7" t="s">
        <v>17002</v>
      </c>
      <c r="D786" s="194">
        <v>2022.0</v>
      </c>
      <c r="E786" s="193"/>
      <c r="F786" s="195" t="s">
        <v>17861</v>
      </c>
      <c r="G786" s="196">
        <v>2.1831405E10</v>
      </c>
      <c r="H786" s="197">
        <v>4.89</v>
      </c>
      <c r="I786" s="7" t="s">
        <v>16815</v>
      </c>
      <c r="J786" s="7" t="s">
        <v>16838</v>
      </c>
      <c r="K786" s="7" t="s">
        <v>17002</v>
      </c>
      <c r="L786" s="198" t="s">
        <v>65</v>
      </c>
      <c r="M786" s="194"/>
      <c r="N786" s="194"/>
    </row>
    <row r="787">
      <c r="A787" s="193" t="s">
        <v>17860</v>
      </c>
      <c r="B787" s="7" t="s">
        <v>17002</v>
      </c>
      <c r="C787" s="7" t="s">
        <v>16838</v>
      </c>
      <c r="D787" s="194">
        <v>2022.0</v>
      </c>
      <c r="E787" s="193"/>
      <c r="F787" s="195" t="s">
        <v>17861</v>
      </c>
      <c r="G787" s="200">
        <v>2.1831405E10</v>
      </c>
      <c r="H787" s="197">
        <v>4.89</v>
      </c>
      <c r="I787" s="7" t="s">
        <v>16815</v>
      </c>
      <c r="J787" s="7" t="s">
        <v>17002</v>
      </c>
      <c r="K787" s="7" t="s">
        <v>16838</v>
      </c>
      <c r="L787" s="201" t="s">
        <v>16835</v>
      </c>
      <c r="M787" s="194"/>
      <c r="N787" s="194"/>
    </row>
    <row r="788">
      <c r="A788" s="193" t="s">
        <v>17862</v>
      </c>
      <c r="B788" s="7" t="s">
        <v>16926</v>
      </c>
      <c r="C788" s="7" t="s">
        <v>16960</v>
      </c>
      <c r="D788" s="199"/>
      <c r="E788" s="193"/>
      <c r="F788" s="195" t="s">
        <v>17863</v>
      </c>
      <c r="G788" s="196">
        <v>2.18033475E10</v>
      </c>
      <c r="H788" s="197">
        <v>41.25</v>
      </c>
      <c r="I788" s="7" t="s">
        <v>16815</v>
      </c>
      <c r="J788" s="7" t="s">
        <v>16926</v>
      </c>
      <c r="K788" s="7" t="s">
        <v>16960</v>
      </c>
      <c r="L788" s="198" t="s">
        <v>65</v>
      </c>
      <c r="M788" s="199"/>
      <c r="N788" s="199"/>
    </row>
    <row r="789">
      <c r="A789" s="193" t="s">
        <v>17862</v>
      </c>
      <c r="B789" s="7" t="s">
        <v>16960</v>
      </c>
      <c r="C789" s="7" t="s">
        <v>16926</v>
      </c>
      <c r="D789" s="199"/>
      <c r="E789" s="193"/>
      <c r="F789" s="195" t="s">
        <v>17863</v>
      </c>
      <c r="G789" s="200">
        <v>2.18033475E10</v>
      </c>
      <c r="H789" s="197">
        <v>41.25</v>
      </c>
      <c r="I789" s="7" t="s">
        <v>16815</v>
      </c>
      <c r="J789" s="7" t="s">
        <v>16960</v>
      </c>
      <c r="K789" s="7" t="s">
        <v>16926</v>
      </c>
      <c r="L789" s="201" t="s">
        <v>16835</v>
      </c>
      <c r="M789" s="199"/>
      <c r="N789" s="199"/>
    </row>
    <row r="790">
      <c r="A790" s="193" t="s">
        <v>17864</v>
      </c>
      <c r="B790" s="7" t="s">
        <v>175</v>
      </c>
      <c r="C790" s="7" t="s">
        <v>16890</v>
      </c>
      <c r="D790" s="194">
        <v>1994.0</v>
      </c>
      <c r="E790" s="193"/>
      <c r="F790" s="195" t="s">
        <v>17865</v>
      </c>
      <c r="G790" s="196">
        <v>2.1602714113E10</v>
      </c>
      <c r="H790" s="197">
        <v>198.54</v>
      </c>
      <c r="I790" s="7" t="s">
        <v>16844</v>
      </c>
      <c r="J790" s="7" t="s">
        <v>175</v>
      </c>
      <c r="K790" s="7" t="s">
        <v>16890</v>
      </c>
      <c r="L790" s="198" t="s">
        <v>65</v>
      </c>
      <c r="M790" s="194"/>
      <c r="N790" s="194"/>
    </row>
    <row r="791">
      <c r="A791" s="193" t="s">
        <v>17866</v>
      </c>
      <c r="B791" s="7" t="s">
        <v>16582</v>
      </c>
      <c r="C791" s="7" t="s">
        <v>16817</v>
      </c>
      <c r="D791" s="194">
        <v>2014.0</v>
      </c>
      <c r="E791" s="193"/>
      <c r="F791" s="195" t="s">
        <v>17867</v>
      </c>
      <c r="G791" s="196">
        <v>2.1587776504E10</v>
      </c>
      <c r="H791" s="197">
        <v>428.92</v>
      </c>
      <c r="I791" s="7" t="s">
        <v>16815</v>
      </c>
      <c r="J791" s="7" t="s">
        <v>16582</v>
      </c>
      <c r="K791" s="7" t="s">
        <v>16817</v>
      </c>
      <c r="L791" s="198" t="s">
        <v>65</v>
      </c>
      <c r="M791" s="194"/>
      <c r="N791" s="194"/>
    </row>
    <row r="792">
      <c r="A792" s="193" t="s">
        <v>17866</v>
      </c>
      <c r="B792" s="7" t="s">
        <v>16817</v>
      </c>
      <c r="C792" s="7" t="s">
        <v>16582</v>
      </c>
      <c r="D792" s="194">
        <v>2014.0</v>
      </c>
      <c r="E792" s="193"/>
      <c r="F792" s="195" t="s">
        <v>17867</v>
      </c>
      <c r="G792" s="200">
        <v>2.1587776504E10</v>
      </c>
      <c r="H792" s="197">
        <v>428.92</v>
      </c>
      <c r="I792" s="7" t="s">
        <v>16815</v>
      </c>
      <c r="J792" s="7" t="s">
        <v>16817</v>
      </c>
      <c r="K792" s="7" t="s">
        <v>16582</v>
      </c>
      <c r="L792" s="201" t="s">
        <v>16835</v>
      </c>
      <c r="M792" s="194"/>
      <c r="N792" s="194"/>
    </row>
    <row r="793">
      <c r="A793" s="193" t="s">
        <v>17868</v>
      </c>
      <c r="B793" s="7" t="s">
        <v>175</v>
      </c>
      <c r="C793" s="7" t="s">
        <v>17350</v>
      </c>
      <c r="D793" s="194">
        <v>2011.0</v>
      </c>
      <c r="E793" s="193"/>
      <c r="F793" s="195" t="s">
        <v>17869</v>
      </c>
      <c r="G793" s="196">
        <v>2.1477722974E10</v>
      </c>
      <c r="H793" s="197">
        <v>75.93</v>
      </c>
      <c r="I793" s="7" t="s">
        <v>16826</v>
      </c>
      <c r="J793" s="7" t="s">
        <v>175</v>
      </c>
      <c r="K793" s="7" t="s">
        <v>17350</v>
      </c>
      <c r="L793" s="198" t="s">
        <v>65</v>
      </c>
      <c r="M793" s="194"/>
      <c r="N793" s="194"/>
    </row>
    <row r="794">
      <c r="A794" s="193" t="s">
        <v>17868</v>
      </c>
      <c r="B794" s="7" t="s">
        <v>17350</v>
      </c>
      <c r="C794" s="7" t="s">
        <v>175</v>
      </c>
      <c r="D794" s="194">
        <v>2011.0</v>
      </c>
      <c r="E794" s="193"/>
      <c r="F794" s="195" t="s">
        <v>17869</v>
      </c>
      <c r="G794" s="200">
        <v>2.1477722974E10</v>
      </c>
      <c r="H794" s="197">
        <v>75.93</v>
      </c>
      <c r="I794" s="7" t="s">
        <v>16815</v>
      </c>
      <c r="J794" s="7" t="s">
        <v>17350</v>
      </c>
      <c r="K794" s="7" t="s">
        <v>175</v>
      </c>
      <c r="L794" s="201" t="s">
        <v>16835</v>
      </c>
      <c r="M794" s="194"/>
      <c r="N794" s="194"/>
    </row>
    <row r="795">
      <c r="A795" s="193" t="s">
        <v>17870</v>
      </c>
      <c r="B795" s="7" t="s">
        <v>175</v>
      </c>
      <c r="C795" s="7" t="s">
        <v>16942</v>
      </c>
      <c r="D795" s="194">
        <v>2014.0</v>
      </c>
      <c r="E795" s="193"/>
      <c r="F795" s="195" t="s">
        <v>17871</v>
      </c>
      <c r="G795" s="196">
        <v>2.1466362909E10</v>
      </c>
      <c r="H795" s="197">
        <v>68.74</v>
      </c>
      <c r="I795" s="7" t="s">
        <v>17872</v>
      </c>
      <c r="J795" s="7" t="s">
        <v>175</v>
      </c>
      <c r="K795" s="7" t="s">
        <v>16942</v>
      </c>
      <c r="L795" s="198" t="s">
        <v>65</v>
      </c>
      <c r="M795" s="194"/>
      <c r="N795" s="194"/>
    </row>
    <row r="796">
      <c r="A796" s="193" t="s">
        <v>17870</v>
      </c>
      <c r="B796" s="7" t="s">
        <v>16942</v>
      </c>
      <c r="C796" s="7" t="s">
        <v>175</v>
      </c>
      <c r="D796" s="194">
        <v>2014.0</v>
      </c>
      <c r="E796" s="193"/>
      <c r="F796" s="195" t="s">
        <v>17871</v>
      </c>
      <c r="G796" s="200">
        <v>2.1466362909E10</v>
      </c>
      <c r="H796" s="197">
        <v>68.74</v>
      </c>
      <c r="I796" s="7" t="s">
        <v>16815</v>
      </c>
      <c r="J796" s="7" t="s">
        <v>16942</v>
      </c>
      <c r="K796" s="7" t="s">
        <v>175</v>
      </c>
      <c r="L796" s="201" t="s">
        <v>16835</v>
      </c>
      <c r="M796" s="194"/>
      <c r="N796" s="194"/>
    </row>
    <row r="797">
      <c r="A797" s="193" t="s">
        <v>17873</v>
      </c>
      <c r="B797" s="7" t="s">
        <v>16582</v>
      </c>
      <c r="C797" s="7" t="s">
        <v>16930</v>
      </c>
      <c r="D797" s="194">
        <v>2019.0</v>
      </c>
      <c r="E797" s="193"/>
      <c r="F797" s="195" t="s">
        <v>17874</v>
      </c>
      <c r="G797" s="196">
        <v>2.1180486847E10</v>
      </c>
      <c r="H797" s="197">
        <v>63.08</v>
      </c>
      <c r="I797" s="7" t="s">
        <v>16815</v>
      </c>
      <c r="J797" s="7" t="s">
        <v>16582</v>
      </c>
      <c r="K797" s="7" t="s">
        <v>16930</v>
      </c>
      <c r="L797" s="198" t="s">
        <v>65</v>
      </c>
      <c r="M797" s="194"/>
      <c r="N797" s="194"/>
    </row>
    <row r="798">
      <c r="A798" s="193" t="s">
        <v>17873</v>
      </c>
      <c r="B798" s="7" t="s">
        <v>16930</v>
      </c>
      <c r="C798" s="7" t="s">
        <v>16582</v>
      </c>
      <c r="D798" s="194">
        <v>2019.0</v>
      </c>
      <c r="E798" s="193"/>
      <c r="F798" s="195" t="s">
        <v>17874</v>
      </c>
      <c r="G798" s="200">
        <v>2.1180486847E10</v>
      </c>
      <c r="H798" s="197">
        <v>63.08</v>
      </c>
      <c r="I798" s="7" t="s">
        <v>16815</v>
      </c>
      <c r="J798" s="7" t="s">
        <v>16930</v>
      </c>
      <c r="K798" s="7" t="s">
        <v>16582</v>
      </c>
      <c r="L798" s="201" t="s">
        <v>16835</v>
      </c>
      <c r="M798" s="194"/>
      <c r="N798" s="194"/>
    </row>
    <row r="799">
      <c r="A799" s="193" t="s">
        <v>17875</v>
      </c>
      <c r="B799" s="7" t="s">
        <v>16582</v>
      </c>
      <c r="C799" s="7" t="s">
        <v>16930</v>
      </c>
      <c r="D799" s="194">
        <v>1998.0</v>
      </c>
      <c r="E799" s="193"/>
      <c r="F799" s="195" t="s">
        <v>17876</v>
      </c>
      <c r="G799" s="196">
        <v>2.1161246E10</v>
      </c>
      <c r="H799" s="197">
        <v>207.26</v>
      </c>
      <c r="I799" s="7" t="s">
        <v>16815</v>
      </c>
      <c r="J799" s="7" t="s">
        <v>16582</v>
      </c>
      <c r="K799" s="7" t="s">
        <v>16930</v>
      </c>
      <c r="L799" s="198" t="s">
        <v>65</v>
      </c>
      <c r="M799" s="194"/>
      <c r="N799" s="194"/>
    </row>
    <row r="800">
      <c r="A800" s="193" t="s">
        <v>17877</v>
      </c>
      <c r="B800" s="7" t="s">
        <v>16969</v>
      </c>
      <c r="C800" s="7" t="s">
        <v>187</v>
      </c>
      <c r="D800" s="199"/>
      <c r="E800" s="193"/>
      <c r="F800" s="195" t="s">
        <v>17878</v>
      </c>
      <c r="G800" s="200">
        <v>2.1122398276E10</v>
      </c>
      <c r="H800" s="197">
        <v>143.6</v>
      </c>
      <c r="I800" s="7" t="s">
        <v>16815</v>
      </c>
      <c r="J800" s="7" t="s">
        <v>16969</v>
      </c>
      <c r="K800" s="7" t="s">
        <v>187</v>
      </c>
      <c r="L800" s="201" t="s">
        <v>16835</v>
      </c>
      <c r="M800" s="199"/>
      <c r="N800" s="199"/>
    </row>
    <row r="801">
      <c r="A801" s="193" t="s">
        <v>17877</v>
      </c>
      <c r="B801" s="7" t="s">
        <v>187</v>
      </c>
      <c r="C801" s="7" t="s">
        <v>16969</v>
      </c>
      <c r="D801" s="199"/>
      <c r="E801" s="193"/>
      <c r="F801" s="195" t="s">
        <v>17878</v>
      </c>
      <c r="G801" s="196">
        <v>2.1122398276E10</v>
      </c>
      <c r="H801" s="197">
        <v>143.6</v>
      </c>
      <c r="I801" s="7" t="s">
        <v>16815</v>
      </c>
      <c r="J801" s="7" t="s">
        <v>187</v>
      </c>
      <c r="K801" s="7" t="s">
        <v>16969</v>
      </c>
      <c r="L801" s="198" t="s">
        <v>65</v>
      </c>
      <c r="M801" s="199"/>
      <c r="N801" s="199"/>
    </row>
    <row r="802">
      <c r="A802" s="193" t="s">
        <v>17879</v>
      </c>
      <c r="B802" s="7" t="s">
        <v>17019</v>
      </c>
      <c r="C802" s="7" t="s">
        <v>16838</v>
      </c>
      <c r="D802" s="199"/>
      <c r="E802" s="193"/>
      <c r="F802" s="195" t="s">
        <v>17880</v>
      </c>
      <c r="G802" s="200">
        <v>2.0988575072E10</v>
      </c>
      <c r="H802" s="197">
        <v>100.5</v>
      </c>
      <c r="I802" s="7" t="s">
        <v>16815</v>
      </c>
      <c r="J802" s="7" t="s">
        <v>17019</v>
      </c>
      <c r="K802" s="7" t="s">
        <v>16838</v>
      </c>
      <c r="L802" s="201" t="s">
        <v>16835</v>
      </c>
      <c r="M802" s="199"/>
      <c r="N802" s="199"/>
    </row>
    <row r="803">
      <c r="A803" s="193" t="s">
        <v>17879</v>
      </c>
      <c r="B803" s="7" t="s">
        <v>16838</v>
      </c>
      <c r="C803" s="7" t="s">
        <v>17019</v>
      </c>
      <c r="D803" s="199"/>
      <c r="E803" s="193"/>
      <c r="F803" s="195" t="s">
        <v>17880</v>
      </c>
      <c r="G803" s="196">
        <v>2.0988575072E10</v>
      </c>
      <c r="H803" s="197">
        <v>100.5</v>
      </c>
      <c r="I803" s="7" t="s">
        <v>16815</v>
      </c>
      <c r="J803" s="7" t="s">
        <v>16838</v>
      </c>
      <c r="K803" s="7" t="s">
        <v>17019</v>
      </c>
      <c r="L803" s="198" t="s">
        <v>65</v>
      </c>
      <c r="M803" s="199"/>
      <c r="N803" s="199"/>
    </row>
    <row r="804">
      <c r="A804" s="193" t="s">
        <v>17881</v>
      </c>
      <c r="B804" s="7" t="s">
        <v>16582</v>
      </c>
      <c r="C804" s="7" t="s">
        <v>16583</v>
      </c>
      <c r="D804" s="194">
        <v>2019.0</v>
      </c>
      <c r="E804" s="193"/>
      <c r="F804" s="195" t="s">
        <v>17882</v>
      </c>
      <c r="G804" s="196">
        <v>2.0952319558E10</v>
      </c>
      <c r="H804" s="197">
        <v>31.07</v>
      </c>
      <c r="I804" s="7" t="s">
        <v>16815</v>
      </c>
      <c r="J804" s="7" t="s">
        <v>16582</v>
      </c>
      <c r="K804" s="7" t="s">
        <v>16583</v>
      </c>
      <c r="L804" s="198" t="s">
        <v>65</v>
      </c>
      <c r="M804" s="194"/>
      <c r="N804" s="194"/>
    </row>
    <row r="805">
      <c r="A805" s="193" t="s">
        <v>17881</v>
      </c>
      <c r="B805" s="7" t="s">
        <v>16583</v>
      </c>
      <c r="C805" s="7" t="s">
        <v>16582</v>
      </c>
      <c r="D805" s="194">
        <v>2019.0</v>
      </c>
      <c r="E805" s="193"/>
      <c r="F805" s="195" t="s">
        <v>17882</v>
      </c>
      <c r="G805" s="200">
        <v>2.0952319558E10</v>
      </c>
      <c r="H805" s="197">
        <v>31.07</v>
      </c>
      <c r="I805" s="7" t="s">
        <v>16815</v>
      </c>
      <c r="J805" s="7" t="s">
        <v>16583</v>
      </c>
      <c r="K805" s="7" t="s">
        <v>16582</v>
      </c>
      <c r="L805" s="201" t="s">
        <v>16835</v>
      </c>
      <c r="M805" s="194"/>
      <c r="N805" s="194"/>
    </row>
    <row r="806">
      <c r="A806" s="193" t="s">
        <v>17883</v>
      </c>
      <c r="B806" s="7" t="s">
        <v>187</v>
      </c>
      <c r="C806" s="7" t="s">
        <v>17559</v>
      </c>
      <c r="D806" s="194">
        <v>1998.0</v>
      </c>
      <c r="E806" s="193"/>
      <c r="F806" s="195" t="s">
        <v>17884</v>
      </c>
      <c r="G806" s="196">
        <v>2.0949016089E10</v>
      </c>
      <c r="H806" s="197">
        <v>256.34</v>
      </c>
      <c r="I806" s="7" t="s">
        <v>16815</v>
      </c>
      <c r="J806" s="7" t="s">
        <v>187</v>
      </c>
      <c r="K806" s="7" t="s">
        <v>17559</v>
      </c>
      <c r="L806" s="198" t="s">
        <v>65</v>
      </c>
      <c r="M806" s="194"/>
      <c r="N806" s="194"/>
    </row>
    <row r="807">
      <c r="A807" s="193" t="s">
        <v>17885</v>
      </c>
      <c r="B807" s="7" t="s">
        <v>17016</v>
      </c>
      <c r="C807" s="7" t="s">
        <v>16838</v>
      </c>
      <c r="D807" s="199"/>
      <c r="E807" s="193"/>
      <c r="F807" s="195" t="s">
        <v>17886</v>
      </c>
      <c r="G807" s="200">
        <v>2.0882339822E10</v>
      </c>
      <c r="H807" s="197">
        <v>83.51</v>
      </c>
      <c r="I807" s="7" t="s">
        <v>16815</v>
      </c>
      <c r="J807" s="7" t="s">
        <v>17016</v>
      </c>
      <c r="K807" s="7" t="s">
        <v>16838</v>
      </c>
      <c r="L807" s="201" t="s">
        <v>16835</v>
      </c>
      <c r="M807" s="199"/>
      <c r="N807" s="199"/>
    </row>
    <row r="808">
      <c r="A808" s="193" t="s">
        <v>17885</v>
      </c>
      <c r="B808" s="7" t="s">
        <v>16838</v>
      </c>
      <c r="C808" s="7" t="s">
        <v>17016</v>
      </c>
      <c r="D808" s="199"/>
      <c r="E808" s="193"/>
      <c r="F808" s="195" t="s">
        <v>17886</v>
      </c>
      <c r="G808" s="196">
        <v>2.0882339822E10</v>
      </c>
      <c r="H808" s="197">
        <v>83.51</v>
      </c>
      <c r="I808" s="7" t="s">
        <v>16815</v>
      </c>
      <c r="J808" s="7" t="s">
        <v>16838</v>
      </c>
      <c r="K808" s="7" t="s">
        <v>17016</v>
      </c>
      <c r="L808" s="198" t="s">
        <v>65</v>
      </c>
      <c r="M808" s="199"/>
      <c r="N808" s="199"/>
    </row>
    <row r="809">
      <c r="A809" s="193" t="s">
        <v>17887</v>
      </c>
      <c r="B809" s="7" t="s">
        <v>16851</v>
      </c>
      <c r="C809" s="7" t="s">
        <v>187</v>
      </c>
      <c r="D809" s="194">
        <v>2003.0</v>
      </c>
      <c r="E809" s="193"/>
      <c r="F809" s="195" t="s">
        <v>17888</v>
      </c>
      <c r="G809" s="200">
        <v>2.0876064E10</v>
      </c>
      <c r="H809" s="197">
        <v>358.08</v>
      </c>
      <c r="I809" s="7" t="s">
        <v>16815</v>
      </c>
      <c r="J809" s="7" t="s">
        <v>16851</v>
      </c>
      <c r="K809" s="7" t="s">
        <v>187</v>
      </c>
      <c r="L809" s="201" t="s">
        <v>16835</v>
      </c>
      <c r="M809" s="194"/>
      <c r="N809" s="194"/>
    </row>
    <row r="810">
      <c r="A810" s="193" t="s">
        <v>17887</v>
      </c>
      <c r="B810" s="7" t="s">
        <v>187</v>
      </c>
      <c r="C810" s="7" t="s">
        <v>16851</v>
      </c>
      <c r="D810" s="194">
        <v>2003.0</v>
      </c>
      <c r="E810" s="193"/>
      <c r="F810" s="195" t="s">
        <v>17888</v>
      </c>
      <c r="G810" s="196">
        <v>2.0876064E10</v>
      </c>
      <c r="H810" s="197">
        <v>358.08</v>
      </c>
      <c r="I810" s="7" t="s">
        <v>16815</v>
      </c>
      <c r="J810" s="7" t="s">
        <v>187</v>
      </c>
      <c r="K810" s="7" t="s">
        <v>16851</v>
      </c>
      <c r="L810" s="198" t="s">
        <v>65</v>
      </c>
      <c r="M810" s="194"/>
      <c r="N810" s="194"/>
    </row>
    <row r="811">
      <c r="A811" s="193" t="s">
        <v>17889</v>
      </c>
      <c r="B811" s="7" t="s">
        <v>16867</v>
      </c>
      <c r="C811" s="7" t="s">
        <v>16838</v>
      </c>
      <c r="D811" s="199"/>
      <c r="E811" s="193"/>
      <c r="F811" s="195" t="s">
        <v>17890</v>
      </c>
      <c r="G811" s="200">
        <v>2.0860245344E10</v>
      </c>
      <c r="H811" s="197">
        <v>67.6</v>
      </c>
      <c r="I811" s="7" t="s">
        <v>16815</v>
      </c>
      <c r="J811" s="7" t="s">
        <v>16867</v>
      </c>
      <c r="K811" s="7" t="s">
        <v>16838</v>
      </c>
      <c r="L811" s="201" t="s">
        <v>16835</v>
      </c>
      <c r="M811" s="199"/>
      <c r="N811" s="199"/>
    </row>
    <row r="812">
      <c r="A812" s="193" t="s">
        <v>17889</v>
      </c>
      <c r="B812" s="7" t="s">
        <v>16838</v>
      </c>
      <c r="C812" s="7" t="s">
        <v>16867</v>
      </c>
      <c r="D812" s="199"/>
      <c r="E812" s="193"/>
      <c r="F812" s="195" t="s">
        <v>17890</v>
      </c>
      <c r="G812" s="196">
        <v>2.0860245344E10</v>
      </c>
      <c r="H812" s="197">
        <v>67.6</v>
      </c>
      <c r="I812" s="7" t="s">
        <v>16815</v>
      </c>
      <c r="J812" s="7" t="s">
        <v>16838</v>
      </c>
      <c r="K812" s="7" t="s">
        <v>16867</v>
      </c>
      <c r="L812" s="198" t="s">
        <v>65</v>
      </c>
      <c r="M812" s="199"/>
      <c r="N812" s="199"/>
    </row>
    <row r="813">
      <c r="A813" s="193" t="s">
        <v>17891</v>
      </c>
      <c r="B813" s="7" t="s">
        <v>175</v>
      </c>
      <c r="C813" s="7" t="s">
        <v>16854</v>
      </c>
      <c r="D813" s="199"/>
      <c r="E813" s="193"/>
      <c r="F813" s="195" t="s">
        <v>17892</v>
      </c>
      <c r="G813" s="196">
        <v>2.0837643371E10</v>
      </c>
      <c r="H813" s="197">
        <v>177.12</v>
      </c>
      <c r="I813" s="7" t="s">
        <v>16908</v>
      </c>
      <c r="J813" s="7" t="s">
        <v>175</v>
      </c>
      <c r="K813" s="7" t="s">
        <v>16854</v>
      </c>
      <c r="L813" s="198" t="s">
        <v>65</v>
      </c>
      <c r="M813" s="199"/>
      <c r="N813" s="199"/>
    </row>
    <row r="814">
      <c r="A814" s="193" t="s">
        <v>17891</v>
      </c>
      <c r="B814" s="7" t="s">
        <v>16854</v>
      </c>
      <c r="C814" s="7" t="s">
        <v>175</v>
      </c>
      <c r="D814" s="199"/>
      <c r="E814" s="193"/>
      <c r="F814" s="195" t="s">
        <v>17892</v>
      </c>
      <c r="G814" s="200">
        <v>2.0837643371E10</v>
      </c>
      <c r="H814" s="197">
        <v>177.12</v>
      </c>
      <c r="I814" s="7" t="s">
        <v>16815</v>
      </c>
      <c r="J814" s="7" t="s">
        <v>16854</v>
      </c>
      <c r="K814" s="7" t="s">
        <v>175</v>
      </c>
      <c r="L814" s="201" t="s">
        <v>16835</v>
      </c>
      <c r="M814" s="199"/>
      <c r="N814" s="199"/>
    </row>
    <row r="815">
      <c r="A815" s="193" t="s">
        <v>17893</v>
      </c>
      <c r="B815" s="7" t="s">
        <v>17104</v>
      </c>
      <c r="C815" s="7" t="s">
        <v>16838</v>
      </c>
      <c r="D815" s="199"/>
      <c r="E815" s="193"/>
      <c r="F815" s="195" t="s">
        <v>17894</v>
      </c>
      <c r="G815" s="200">
        <v>2.0732951988E10</v>
      </c>
      <c r="H815" s="197">
        <v>72.85</v>
      </c>
      <c r="I815" s="7" t="s">
        <v>16815</v>
      </c>
      <c r="J815" s="7" t="s">
        <v>17104</v>
      </c>
      <c r="K815" s="7" t="s">
        <v>16838</v>
      </c>
      <c r="L815" s="201" t="s">
        <v>16835</v>
      </c>
      <c r="M815" s="199"/>
      <c r="N815" s="199"/>
    </row>
    <row r="816">
      <c r="A816" s="193" t="s">
        <v>17893</v>
      </c>
      <c r="B816" s="7" t="s">
        <v>16838</v>
      </c>
      <c r="C816" s="7" t="s">
        <v>17104</v>
      </c>
      <c r="D816" s="199"/>
      <c r="E816" s="193"/>
      <c r="F816" s="195" t="s">
        <v>17894</v>
      </c>
      <c r="G816" s="196">
        <v>2.0732951988E10</v>
      </c>
      <c r="H816" s="197">
        <v>72.85</v>
      </c>
      <c r="I816" s="7" t="s">
        <v>16815</v>
      </c>
      <c r="J816" s="7" t="s">
        <v>16838</v>
      </c>
      <c r="K816" s="7" t="s">
        <v>17104</v>
      </c>
      <c r="L816" s="198" t="s">
        <v>65</v>
      </c>
      <c r="M816" s="199"/>
      <c r="N816" s="199"/>
    </row>
    <row r="817">
      <c r="A817" s="193" t="s">
        <v>17895</v>
      </c>
      <c r="B817" s="7" t="s">
        <v>17111</v>
      </c>
      <c r="C817" s="7" t="s">
        <v>17112</v>
      </c>
      <c r="D817" s="199"/>
      <c r="E817" s="193"/>
      <c r="F817" s="195" t="s">
        <v>17896</v>
      </c>
      <c r="G817" s="200">
        <v>2.07101979E10</v>
      </c>
      <c r="H817" s="197">
        <v>54.54</v>
      </c>
      <c r="I817" s="7" t="s">
        <v>16815</v>
      </c>
      <c r="J817" s="7" t="s">
        <v>17111</v>
      </c>
      <c r="K817" s="7" t="s">
        <v>17112</v>
      </c>
      <c r="L817" s="201" t="s">
        <v>16835</v>
      </c>
      <c r="M817" s="199"/>
      <c r="N817" s="199"/>
    </row>
    <row r="818">
      <c r="A818" s="193" t="s">
        <v>17895</v>
      </c>
      <c r="B818" s="7" t="s">
        <v>17112</v>
      </c>
      <c r="C818" s="7" t="s">
        <v>17111</v>
      </c>
      <c r="D818" s="199"/>
      <c r="E818" s="193"/>
      <c r="F818" s="195" t="s">
        <v>17896</v>
      </c>
      <c r="G818" s="196">
        <v>2.07101979E10</v>
      </c>
      <c r="H818" s="197">
        <v>54.54</v>
      </c>
      <c r="I818" s="7" t="s">
        <v>16815</v>
      </c>
      <c r="J818" s="7" t="s">
        <v>17112</v>
      </c>
      <c r="K818" s="7" t="s">
        <v>17111</v>
      </c>
      <c r="L818" s="198" t="s">
        <v>65</v>
      </c>
      <c r="M818" s="199"/>
      <c r="N818" s="199"/>
    </row>
    <row r="819">
      <c r="A819" s="193" t="s">
        <v>17897</v>
      </c>
      <c r="B819" s="7" t="s">
        <v>16838</v>
      </c>
      <c r="C819" s="7" t="s">
        <v>17019</v>
      </c>
      <c r="D819" s="194">
        <v>1986.0</v>
      </c>
      <c r="E819" s="193"/>
      <c r="F819" s="195" t="s">
        <v>17898</v>
      </c>
      <c r="G819" s="196">
        <v>2.0697821409E10</v>
      </c>
      <c r="H819" s="197">
        <v>92.62</v>
      </c>
      <c r="I819" s="7" t="s">
        <v>16815</v>
      </c>
      <c r="J819" s="7" t="s">
        <v>16838</v>
      </c>
      <c r="K819" s="7" t="s">
        <v>17019</v>
      </c>
      <c r="L819" s="198" t="s">
        <v>65</v>
      </c>
      <c r="M819" s="194"/>
      <c r="N819" s="194"/>
    </row>
    <row r="820">
      <c r="A820" s="193" t="s">
        <v>17899</v>
      </c>
      <c r="B820" s="7" t="s">
        <v>175</v>
      </c>
      <c r="C820" s="7" t="s">
        <v>16854</v>
      </c>
      <c r="D820" s="194">
        <v>1998.0</v>
      </c>
      <c r="E820" s="193"/>
      <c r="F820" s="195" t="s">
        <v>17900</v>
      </c>
      <c r="G820" s="196">
        <v>2.068215E10</v>
      </c>
      <c r="H820" s="197">
        <v>39.85</v>
      </c>
      <c r="I820" s="7" t="s">
        <v>16908</v>
      </c>
      <c r="J820" s="7" t="s">
        <v>175</v>
      </c>
      <c r="K820" s="7" t="s">
        <v>16854</v>
      </c>
      <c r="L820" s="198" t="s">
        <v>65</v>
      </c>
      <c r="M820" s="194"/>
      <c r="N820" s="194"/>
    </row>
    <row r="821">
      <c r="A821" s="193" t="s">
        <v>17901</v>
      </c>
      <c r="B821" s="7" t="s">
        <v>16957</v>
      </c>
      <c r="C821" s="7" t="s">
        <v>16926</v>
      </c>
      <c r="D821" s="194">
        <v>2015.0</v>
      </c>
      <c r="E821" s="193"/>
      <c r="F821" s="195" t="s">
        <v>17902</v>
      </c>
      <c r="G821" s="200">
        <v>2.0474520915E10</v>
      </c>
      <c r="H821" s="197">
        <v>15.96</v>
      </c>
      <c r="I821" s="7" t="s">
        <v>16815</v>
      </c>
      <c r="J821" s="7" t="s">
        <v>16957</v>
      </c>
      <c r="K821" s="7" t="s">
        <v>16926</v>
      </c>
      <c r="L821" s="201" t="s">
        <v>16835</v>
      </c>
      <c r="M821" s="194"/>
      <c r="N821" s="194"/>
    </row>
    <row r="822">
      <c r="A822" s="193" t="s">
        <v>17901</v>
      </c>
      <c r="B822" s="7" t="s">
        <v>16926</v>
      </c>
      <c r="C822" s="7" t="s">
        <v>16957</v>
      </c>
      <c r="D822" s="194">
        <v>2015.0</v>
      </c>
      <c r="E822" s="193"/>
      <c r="F822" s="195" t="s">
        <v>17902</v>
      </c>
      <c r="G822" s="196">
        <v>2.0474520915E10</v>
      </c>
      <c r="H822" s="197">
        <v>15.96</v>
      </c>
      <c r="I822" s="7" t="s">
        <v>16815</v>
      </c>
      <c r="J822" s="7" t="s">
        <v>16926</v>
      </c>
      <c r="K822" s="7" t="s">
        <v>16957</v>
      </c>
      <c r="L822" s="198" t="s">
        <v>65</v>
      </c>
      <c r="M822" s="194"/>
      <c r="N822" s="194"/>
    </row>
    <row r="823">
      <c r="A823" s="193" t="s">
        <v>17903</v>
      </c>
      <c r="B823" s="7" t="s">
        <v>17532</v>
      </c>
      <c r="C823" s="7" t="s">
        <v>169</v>
      </c>
      <c r="D823" s="199"/>
      <c r="E823" s="193"/>
      <c r="F823" s="195" t="s">
        <v>17904</v>
      </c>
      <c r="G823" s="200">
        <v>2.045280058E10</v>
      </c>
      <c r="H823" s="197">
        <v>34.65</v>
      </c>
      <c r="I823" s="7" t="s">
        <v>16815</v>
      </c>
      <c r="J823" s="7" t="s">
        <v>17532</v>
      </c>
      <c r="K823" s="7" t="s">
        <v>169</v>
      </c>
      <c r="L823" s="201" t="s">
        <v>16835</v>
      </c>
      <c r="M823" s="199"/>
      <c r="N823" s="199"/>
    </row>
    <row r="824">
      <c r="A824" s="193" t="s">
        <v>17903</v>
      </c>
      <c r="B824" s="7" t="s">
        <v>169</v>
      </c>
      <c r="C824" s="7" t="s">
        <v>17532</v>
      </c>
      <c r="D824" s="199"/>
      <c r="E824" s="193"/>
      <c r="F824" s="195" t="s">
        <v>17904</v>
      </c>
      <c r="G824" s="196">
        <v>2.045280058E10</v>
      </c>
      <c r="H824" s="197">
        <v>34.65</v>
      </c>
      <c r="I824" s="7" t="s">
        <v>16815</v>
      </c>
      <c r="J824" s="7" t="s">
        <v>169</v>
      </c>
      <c r="K824" s="7" t="s">
        <v>17532</v>
      </c>
      <c r="L824" s="198" t="s">
        <v>65</v>
      </c>
      <c r="M824" s="199"/>
      <c r="N824" s="199"/>
    </row>
    <row r="825">
      <c r="A825" s="193" t="s">
        <v>17905</v>
      </c>
      <c r="B825" s="7" t="s">
        <v>16919</v>
      </c>
      <c r="C825" s="7" t="s">
        <v>17048</v>
      </c>
      <c r="D825" s="199"/>
      <c r="E825" s="193"/>
      <c r="F825" s="195" t="s">
        <v>17906</v>
      </c>
      <c r="G825" s="196">
        <v>2.0430413679E10</v>
      </c>
      <c r="H825" s="197">
        <v>96.61</v>
      </c>
      <c r="I825" s="7" t="s">
        <v>16815</v>
      </c>
      <c r="J825" s="7" t="s">
        <v>16919</v>
      </c>
      <c r="K825" s="7" t="s">
        <v>17048</v>
      </c>
      <c r="L825" s="198" t="s">
        <v>65</v>
      </c>
      <c r="M825" s="199"/>
      <c r="N825" s="199"/>
    </row>
    <row r="826">
      <c r="A826" s="193" t="s">
        <v>17905</v>
      </c>
      <c r="B826" s="7" t="s">
        <v>17048</v>
      </c>
      <c r="C826" s="7" t="s">
        <v>16919</v>
      </c>
      <c r="D826" s="199"/>
      <c r="E826" s="193"/>
      <c r="F826" s="195" t="s">
        <v>17906</v>
      </c>
      <c r="G826" s="200">
        <v>2.0430413679E10</v>
      </c>
      <c r="H826" s="197">
        <v>96.61</v>
      </c>
      <c r="I826" s="7" t="s">
        <v>16815</v>
      </c>
      <c r="J826" s="7" t="s">
        <v>17048</v>
      </c>
      <c r="K826" s="7" t="s">
        <v>16919</v>
      </c>
      <c r="L826" s="201" t="s">
        <v>16835</v>
      </c>
      <c r="M826" s="199"/>
      <c r="N826" s="199"/>
    </row>
    <row r="827">
      <c r="A827" s="193" t="s">
        <v>17907</v>
      </c>
      <c r="B827" s="7" t="s">
        <v>16838</v>
      </c>
      <c r="C827" s="7" t="s">
        <v>16867</v>
      </c>
      <c r="D827" s="199"/>
      <c r="E827" s="193"/>
      <c r="F827" s="195" t="s">
        <v>17908</v>
      </c>
      <c r="G827" s="196">
        <v>2.0407569163E10</v>
      </c>
      <c r="H827" s="197">
        <v>1405.47</v>
      </c>
      <c r="I827" s="7" t="s">
        <v>16815</v>
      </c>
      <c r="J827" s="7" t="s">
        <v>16838</v>
      </c>
      <c r="K827" s="7" t="s">
        <v>16867</v>
      </c>
      <c r="L827" s="198" t="s">
        <v>65</v>
      </c>
      <c r="M827" s="199"/>
      <c r="N827" s="199"/>
    </row>
    <row r="828">
      <c r="A828" s="193" t="s">
        <v>17909</v>
      </c>
      <c r="B828" s="7" t="s">
        <v>17321</v>
      </c>
      <c r="C828" s="7" t="s">
        <v>169</v>
      </c>
      <c r="D828" s="199"/>
      <c r="E828" s="193"/>
      <c r="F828" s="195" t="s">
        <v>17910</v>
      </c>
      <c r="G828" s="200">
        <v>2.0401932741E10</v>
      </c>
      <c r="H828" s="197">
        <v>49.55</v>
      </c>
      <c r="I828" s="7" t="s">
        <v>16815</v>
      </c>
      <c r="J828" s="7" t="s">
        <v>17321</v>
      </c>
      <c r="K828" s="7" t="s">
        <v>169</v>
      </c>
      <c r="L828" s="201" t="s">
        <v>16835</v>
      </c>
      <c r="M828" s="199"/>
      <c r="N828" s="199"/>
    </row>
    <row r="829">
      <c r="A829" s="193" t="s">
        <v>17909</v>
      </c>
      <c r="B829" s="7" t="s">
        <v>169</v>
      </c>
      <c r="C829" s="7" t="s">
        <v>17321</v>
      </c>
      <c r="D829" s="199"/>
      <c r="E829" s="193"/>
      <c r="F829" s="195" t="s">
        <v>17910</v>
      </c>
      <c r="G829" s="196">
        <v>2.0401932741E10</v>
      </c>
      <c r="H829" s="197">
        <v>49.55</v>
      </c>
      <c r="I829" s="7" t="s">
        <v>16815</v>
      </c>
      <c r="J829" s="7" t="s">
        <v>169</v>
      </c>
      <c r="K829" s="7" t="s">
        <v>17321</v>
      </c>
      <c r="L829" s="198" t="s">
        <v>65</v>
      </c>
      <c r="M829" s="199"/>
      <c r="N829" s="199"/>
    </row>
    <row r="830">
      <c r="A830" s="193" t="s">
        <v>17911</v>
      </c>
      <c r="B830" s="7" t="s">
        <v>16919</v>
      </c>
      <c r="C830" s="7" t="s">
        <v>17048</v>
      </c>
      <c r="D830" s="199"/>
      <c r="E830" s="193"/>
      <c r="F830" s="195" t="s">
        <v>17912</v>
      </c>
      <c r="G830" s="196">
        <v>2.033092272E10</v>
      </c>
      <c r="H830" s="197">
        <v>98.57</v>
      </c>
      <c r="I830" s="7" t="s">
        <v>16815</v>
      </c>
      <c r="J830" s="7" t="s">
        <v>16919</v>
      </c>
      <c r="K830" s="7" t="s">
        <v>17048</v>
      </c>
      <c r="L830" s="198" t="s">
        <v>65</v>
      </c>
      <c r="M830" s="199"/>
      <c r="N830" s="199"/>
    </row>
    <row r="831">
      <c r="A831" s="193" t="s">
        <v>17911</v>
      </c>
      <c r="B831" s="7" t="s">
        <v>17048</v>
      </c>
      <c r="C831" s="7" t="s">
        <v>16919</v>
      </c>
      <c r="D831" s="199"/>
      <c r="E831" s="193"/>
      <c r="F831" s="195" t="s">
        <v>17912</v>
      </c>
      <c r="G831" s="200">
        <v>2.033092272E10</v>
      </c>
      <c r="H831" s="197">
        <v>98.57</v>
      </c>
      <c r="I831" s="7" t="s">
        <v>16815</v>
      </c>
      <c r="J831" s="7" t="s">
        <v>17048</v>
      </c>
      <c r="K831" s="7" t="s">
        <v>16919</v>
      </c>
      <c r="L831" s="201" t="s">
        <v>16835</v>
      </c>
      <c r="M831" s="199"/>
      <c r="N831" s="199"/>
    </row>
    <row r="832">
      <c r="A832" s="193" t="s">
        <v>17913</v>
      </c>
      <c r="B832" s="7" t="s">
        <v>187</v>
      </c>
      <c r="C832" s="7" t="s">
        <v>16846</v>
      </c>
      <c r="D832" s="194">
        <v>2004.0</v>
      </c>
      <c r="E832" s="193"/>
      <c r="F832" s="195" t="s">
        <v>17914</v>
      </c>
      <c r="G832" s="196">
        <v>2.0316049952E10</v>
      </c>
      <c r="H832" s="197">
        <v>161.89</v>
      </c>
      <c r="I832" s="7" t="s">
        <v>16815</v>
      </c>
      <c r="J832" s="7" t="s">
        <v>187</v>
      </c>
      <c r="K832" s="7" t="s">
        <v>16846</v>
      </c>
      <c r="L832" s="198" t="s">
        <v>65</v>
      </c>
      <c r="M832" s="194"/>
      <c r="N832" s="194"/>
    </row>
    <row r="833">
      <c r="A833" s="193" t="s">
        <v>17915</v>
      </c>
      <c r="B833" s="7" t="s">
        <v>158</v>
      </c>
      <c r="C833" s="7" t="s">
        <v>16864</v>
      </c>
      <c r="D833" s="199"/>
      <c r="E833" s="193"/>
      <c r="F833" s="195" t="s">
        <v>17916</v>
      </c>
      <c r="G833" s="196">
        <v>2.0286609879E10</v>
      </c>
      <c r="H833" s="197">
        <v>26.97</v>
      </c>
      <c r="I833" s="7" t="s">
        <v>16897</v>
      </c>
      <c r="J833" s="7" t="s">
        <v>158</v>
      </c>
      <c r="K833" s="7" t="s">
        <v>16864</v>
      </c>
      <c r="L833" s="198" t="s">
        <v>65</v>
      </c>
      <c r="M833" s="199"/>
      <c r="N833" s="199"/>
    </row>
    <row r="834">
      <c r="A834" s="193" t="s">
        <v>17915</v>
      </c>
      <c r="B834" s="7" t="s">
        <v>16864</v>
      </c>
      <c r="C834" s="7" t="s">
        <v>158</v>
      </c>
      <c r="D834" s="199"/>
      <c r="E834" s="193"/>
      <c r="F834" s="195" t="s">
        <v>17916</v>
      </c>
      <c r="G834" s="200">
        <v>2.0286609879E10</v>
      </c>
      <c r="H834" s="197">
        <v>26.97</v>
      </c>
      <c r="I834" s="7" t="s">
        <v>16815</v>
      </c>
      <c r="J834" s="7" t="s">
        <v>16864</v>
      </c>
      <c r="K834" s="7" t="s">
        <v>158</v>
      </c>
      <c r="L834" s="201" t="s">
        <v>16835</v>
      </c>
      <c r="M834" s="199"/>
      <c r="N834" s="199"/>
    </row>
    <row r="835">
      <c r="A835" s="193" t="s">
        <v>17917</v>
      </c>
      <c r="B835" s="7" t="s">
        <v>16919</v>
      </c>
      <c r="C835" s="7" t="s">
        <v>17048</v>
      </c>
      <c r="D835" s="199"/>
      <c r="E835" s="193"/>
      <c r="F835" s="195" t="s">
        <v>17918</v>
      </c>
      <c r="G835" s="196">
        <v>2.0255663252E10</v>
      </c>
      <c r="H835" s="197">
        <v>35.3</v>
      </c>
      <c r="I835" s="7" t="s">
        <v>16815</v>
      </c>
      <c r="J835" s="7" t="s">
        <v>16919</v>
      </c>
      <c r="K835" s="7" t="s">
        <v>17048</v>
      </c>
      <c r="L835" s="198" t="s">
        <v>65</v>
      </c>
      <c r="M835" s="199"/>
      <c r="N835" s="199"/>
    </row>
    <row r="836">
      <c r="A836" s="193" t="s">
        <v>17917</v>
      </c>
      <c r="B836" s="7" t="s">
        <v>17048</v>
      </c>
      <c r="C836" s="7" t="s">
        <v>16919</v>
      </c>
      <c r="D836" s="199"/>
      <c r="E836" s="193"/>
      <c r="F836" s="195" t="s">
        <v>17918</v>
      </c>
      <c r="G836" s="200">
        <v>2.0255663252E10</v>
      </c>
      <c r="H836" s="197">
        <v>35.3</v>
      </c>
      <c r="I836" s="7" t="s">
        <v>16815</v>
      </c>
      <c r="J836" s="7" t="s">
        <v>17048</v>
      </c>
      <c r="K836" s="7" t="s">
        <v>16919</v>
      </c>
      <c r="L836" s="201" t="s">
        <v>16835</v>
      </c>
      <c r="M836" s="199"/>
      <c r="N836" s="199"/>
    </row>
    <row r="837">
      <c r="A837" s="193" t="s">
        <v>17919</v>
      </c>
      <c r="B837" s="7" t="s">
        <v>17009</v>
      </c>
      <c r="C837" s="7" t="s">
        <v>169</v>
      </c>
      <c r="D837" s="199"/>
      <c r="E837" s="193"/>
      <c r="F837" s="195" t="s">
        <v>17920</v>
      </c>
      <c r="G837" s="200">
        <v>2.0160780275E10</v>
      </c>
      <c r="H837" s="197">
        <v>112.53</v>
      </c>
      <c r="I837" s="7" t="s">
        <v>16815</v>
      </c>
      <c r="J837" s="7" t="s">
        <v>17009</v>
      </c>
      <c r="K837" s="7" t="s">
        <v>169</v>
      </c>
      <c r="L837" s="201" t="s">
        <v>16835</v>
      </c>
      <c r="M837" s="199"/>
      <c r="N837" s="199"/>
    </row>
    <row r="838">
      <c r="A838" s="193" t="s">
        <v>17919</v>
      </c>
      <c r="B838" s="7" t="s">
        <v>169</v>
      </c>
      <c r="C838" s="7" t="s">
        <v>17009</v>
      </c>
      <c r="D838" s="199"/>
      <c r="E838" s="193"/>
      <c r="F838" s="195" t="s">
        <v>17920</v>
      </c>
      <c r="G838" s="196">
        <v>2.0160780275E10</v>
      </c>
      <c r="H838" s="197">
        <v>112.53</v>
      </c>
      <c r="I838" s="7" t="s">
        <v>16815</v>
      </c>
      <c r="J838" s="7" t="s">
        <v>169</v>
      </c>
      <c r="K838" s="7" t="s">
        <v>17009</v>
      </c>
      <c r="L838" s="198" t="s">
        <v>65</v>
      </c>
      <c r="M838" s="199"/>
      <c r="N838" s="199"/>
    </row>
    <row r="839">
      <c r="A839" s="193" t="s">
        <v>17921</v>
      </c>
      <c r="B839" s="7" t="s">
        <v>175</v>
      </c>
      <c r="C839" s="7" t="s">
        <v>16972</v>
      </c>
      <c r="D839" s="199"/>
      <c r="E839" s="193"/>
      <c r="F839" s="195" t="s">
        <v>17922</v>
      </c>
      <c r="G839" s="196">
        <v>2.0158075507E10</v>
      </c>
      <c r="H839" s="197">
        <v>87.52</v>
      </c>
      <c r="I839" s="7" t="s">
        <v>168</v>
      </c>
      <c r="J839" s="7" t="s">
        <v>175</v>
      </c>
      <c r="K839" s="7" t="s">
        <v>16972</v>
      </c>
      <c r="L839" s="198" t="s">
        <v>65</v>
      </c>
      <c r="M839" s="199"/>
      <c r="N839" s="199"/>
    </row>
    <row r="840">
      <c r="A840" s="193" t="s">
        <v>17921</v>
      </c>
      <c r="B840" s="7" t="s">
        <v>16972</v>
      </c>
      <c r="C840" s="7" t="s">
        <v>175</v>
      </c>
      <c r="D840" s="199"/>
      <c r="E840" s="193"/>
      <c r="F840" s="195" t="s">
        <v>17922</v>
      </c>
      <c r="G840" s="200">
        <v>2.0158075507E10</v>
      </c>
      <c r="H840" s="197">
        <v>87.52</v>
      </c>
      <c r="I840" s="7" t="s">
        <v>16815</v>
      </c>
      <c r="J840" s="7" t="s">
        <v>16972</v>
      </c>
      <c r="K840" s="7" t="s">
        <v>175</v>
      </c>
      <c r="L840" s="201" t="s">
        <v>16835</v>
      </c>
      <c r="M840" s="199"/>
      <c r="N840" s="199"/>
    </row>
    <row r="841">
      <c r="A841" s="193" t="s">
        <v>17923</v>
      </c>
      <c r="B841" s="7" t="s">
        <v>16919</v>
      </c>
      <c r="C841" s="7" t="s">
        <v>17176</v>
      </c>
      <c r="D841" s="199"/>
      <c r="E841" s="193"/>
      <c r="F841" s="195" t="s">
        <v>17924</v>
      </c>
      <c r="G841" s="196">
        <v>2.0039907034E10</v>
      </c>
      <c r="H841" s="197">
        <v>76.27</v>
      </c>
      <c r="I841" s="7" t="s">
        <v>16815</v>
      </c>
      <c r="J841" s="7" t="s">
        <v>16919</v>
      </c>
      <c r="K841" s="7" t="s">
        <v>17176</v>
      </c>
      <c r="L841" s="198" t="s">
        <v>65</v>
      </c>
      <c r="M841" s="199"/>
      <c r="N841" s="199"/>
    </row>
    <row r="842">
      <c r="A842" s="193" t="s">
        <v>17923</v>
      </c>
      <c r="B842" s="7" t="s">
        <v>17176</v>
      </c>
      <c r="C842" s="7" t="s">
        <v>16919</v>
      </c>
      <c r="D842" s="199"/>
      <c r="E842" s="193"/>
      <c r="F842" s="195" t="s">
        <v>17924</v>
      </c>
      <c r="G842" s="200">
        <v>2.0039907034E10</v>
      </c>
      <c r="H842" s="197">
        <v>76.27</v>
      </c>
      <c r="I842" s="7" t="s">
        <v>16815</v>
      </c>
      <c r="J842" s="7" t="s">
        <v>17176</v>
      </c>
      <c r="K842" s="7" t="s">
        <v>16919</v>
      </c>
      <c r="L842" s="201" t="s">
        <v>16835</v>
      </c>
      <c r="M842" s="199"/>
      <c r="N842" s="199"/>
    </row>
    <row r="843">
      <c r="A843" s="193" t="s">
        <v>17925</v>
      </c>
      <c r="B843" s="7" t="s">
        <v>16919</v>
      </c>
      <c r="C843" s="7" t="s">
        <v>17048</v>
      </c>
      <c r="D843" s="194">
        <v>2016.0</v>
      </c>
      <c r="E843" s="193"/>
      <c r="F843" s="195" t="s">
        <v>17926</v>
      </c>
      <c r="G843" s="196">
        <v>1.972563E10</v>
      </c>
      <c r="H843" s="197">
        <v>40.38</v>
      </c>
      <c r="I843" s="7" t="s">
        <v>16815</v>
      </c>
      <c r="J843" s="7" t="s">
        <v>16919</v>
      </c>
      <c r="K843" s="7" t="s">
        <v>17048</v>
      </c>
      <c r="L843" s="198" t="s">
        <v>65</v>
      </c>
      <c r="M843" s="194"/>
      <c r="N843" s="194"/>
    </row>
    <row r="844">
      <c r="A844" s="193" t="s">
        <v>17925</v>
      </c>
      <c r="B844" s="7" t="s">
        <v>17048</v>
      </c>
      <c r="C844" s="7" t="s">
        <v>16919</v>
      </c>
      <c r="D844" s="194">
        <v>2016.0</v>
      </c>
      <c r="E844" s="193"/>
      <c r="F844" s="195" t="s">
        <v>17926</v>
      </c>
      <c r="G844" s="200">
        <v>1.972563E10</v>
      </c>
      <c r="H844" s="197">
        <v>40.38</v>
      </c>
      <c r="I844" s="7" t="s">
        <v>16815</v>
      </c>
      <c r="J844" s="7" t="s">
        <v>17048</v>
      </c>
      <c r="K844" s="7" t="s">
        <v>16919</v>
      </c>
      <c r="L844" s="201" t="s">
        <v>16835</v>
      </c>
      <c r="M844" s="194"/>
      <c r="N844" s="194"/>
    </row>
    <row r="845">
      <c r="A845" s="193" t="s">
        <v>17927</v>
      </c>
      <c r="B845" s="7" t="s">
        <v>17509</v>
      </c>
      <c r="C845" s="7" t="s">
        <v>187</v>
      </c>
      <c r="D845" s="199"/>
      <c r="E845" s="193"/>
      <c r="F845" s="195" t="s">
        <v>17928</v>
      </c>
      <c r="G845" s="200">
        <v>1.9692848091E10</v>
      </c>
      <c r="H845" s="197">
        <v>199.32</v>
      </c>
      <c r="I845" s="7" t="s">
        <v>16815</v>
      </c>
      <c r="J845" s="7" t="s">
        <v>17509</v>
      </c>
      <c r="K845" s="7" t="s">
        <v>187</v>
      </c>
      <c r="L845" s="201" t="s">
        <v>16835</v>
      </c>
      <c r="M845" s="199"/>
      <c r="N845" s="199"/>
    </row>
    <row r="846">
      <c r="A846" s="193" t="s">
        <v>17927</v>
      </c>
      <c r="B846" s="7" t="s">
        <v>187</v>
      </c>
      <c r="C846" s="7" t="s">
        <v>17509</v>
      </c>
      <c r="D846" s="199"/>
      <c r="E846" s="193"/>
      <c r="F846" s="195" t="s">
        <v>17928</v>
      </c>
      <c r="G846" s="196">
        <v>1.9692848091E10</v>
      </c>
      <c r="H846" s="197">
        <v>199.32</v>
      </c>
      <c r="I846" s="7" t="s">
        <v>16815</v>
      </c>
      <c r="J846" s="7" t="s">
        <v>187</v>
      </c>
      <c r="K846" s="7" t="s">
        <v>17509</v>
      </c>
      <c r="L846" s="198" t="s">
        <v>65</v>
      </c>
      <c r="M846" s="199"/>
      <c r="N846" s="199"/>
    </row>
    <row r="847">
      <c r="A847" s="193" t="s">
        <v>17929</v>
      </c>
      <c r="B847" s="7" t="s">
        <v>17043</v>
      </c>
      <c r="C847" s="7" t="s">
        <v>169</v>
      </c>
      <c r="D847" s="194">
        <v>2016.0</v>
      </c>
      <c r="E847" s="193"/>
      <c r="F847" s="195" t="s">
        <v>17930</v>
      </c>
      <c r="G847" s="200">
        <v>1.966435543E10</v>
      </c>
      <c r="H847" s="197">
        <v>24.12</v>
      </c>
      <c r="I847" s="7" t="s">
        <v>16815</v>
      </c>
      <c r="J847" s="7" t="s">
        <v>17043</v>
      </c>
      <c r="K847" s="7" t="s">
        <v>169</v>
      </c>
      <c r="L847" s="201" t="s">
        <v>16835</v>
      </c>
      <c r="M847" s="194"/>
      <c r="N847" s="194"/>
    </row>
    <row r="848">
      <c r="A848" s="193" t="s">
        <v>17929</v>
      </c>
      <c r="B848" s="7" t="s">
        <v>169</v>
      </c>
      <c r="C848" s="7" t="s">
        <v>17043</v>
      </c>
      <c r="D848" s="194">
        <v>2016.0</v>
      </c>
      <c r="E848" s="193"/>
      <c r="F848" s="195" t="s">
        <v>17930</v>
      </c>
      <c r="G848" s="196">
        <v>1.966435543E10</v>
      </c>
      <c r="H848" s="197">
        <v>24.12</v>
      </c>
      <c r="I848" s="7" t="s">
        <v>16815</v>
      </c>
      <c r="J848" s="7" t="s">
        <v>169</v>
      </c>
      <c r="K848" s="7" t="s">
        <v>17043</v>
      </c>
      <c r="L848" s="198" t="s">
        <v>65</v>
      </c>
      <c r="M848" s="194"/>
      <c r="N848" s="194"/>
    </row>
    <row r="849">
      <c r="A849" s="193" t="s">
        <v>17931</v>
      </c>
      <c r="B849" s="7" t="s">
        <v>16582</v>
      </c>
      <c r="C849" s="7" t="s">
        <v>17342</v>
      </c>
      <c r="D849" s="194">
        <v>1994.0</v>
      </c>
      <c r="E849" s="193"/>
      <c r="F849" s="195" t="s">
        <v>17932</v>
      </c>
      <c r="G849" s="196">
        <v>1.965671854E10</v>
      </c>
      <c r="H849" s="197">
        <v>3.49</v>
      </c>
      <c r="I849" s="7" t="s">
        <v>16815</v>
      </c>
      <c r="J849" s="7" t="s">
        <v>16582</v>
      </c>
      <c r="K849" s="7" t="s">
        <v>17342</v>
      </c>
      <c r="L849" s="198" t="s">
        <v>65</v>
      </c>
      <c r="M849" s="194"/>
      <c r="N849" s="194"/>
    </row>
    <row r="850">
      <c r="A850" s="193" t="s">
        <v>17931</v>
      </c>
      <c r="B850" s="7" t="s">
        <v>17342</v>
      </c>
      <c r="C850" s="7" t="s">
        <v>16582</v>
      </c>
      <c r="D850" s="194">
        <v>1994.0</v>
      </c>
      <c r="E850" s="193"/>
      <c r="F850" s="195" t="s">
        <v>17932</v>
      </c>
      <c r="G850" s="200">
        <v>1.965671854E10</v>
      </c>
      <c r="H850" s="197">
        <v>3.49</v>
      </c>
      <c r="I850" s="7" t="s">
        <v>16815</v>
      </c>
      <c r="J850" s="7" t="s">
        <v>17342</v>
      </c>
      <c r="K850" s="7" t="s">
        <v>16582</v>
      </c>
      <c r="L850" s="201" t="s">
        <v>16835</v>
      </c>
      <c r="M850" s="194"/>
      <c r="N850" s="194"/>
    </row>
    <row r="851">
      <c r="A851" s="193" t="s">
        <v>17933</v>
      </c>
      <c r="B851" s="7" t="s">
        <v>16867</v>
      </c>
      <c r="C851" s="7" t="s">
        <v>16838</v>
      </c>
      <c r="D851" s="199"/>
      <c r="E851" s="193"/>
      <c r="F851" s="195" t="s">
        <v>17934</v>
      </c>
      <c r="G851" s="200">
        <v>1.9641405411E10</v>
      </c>
      <c r="H851" s="197">
        <v>118.35</v>
      </c>
      <c r="I851" s="7" t="s">
        <v>16815</v>
      </c>
      <c r="J851" s="7" t="s">
        <v>16867</v>
      </c>
      <c r="K851" s="7" t="s">
        <v>16838</v>
      </c>
      <c r="L851" s="201" t="s">
        <v>16835</v>
      </c>
      <c r="M851" s="199"/>
      <c r="N851" s="199"/>
    </row>
    <row r="852">
      <c r="A852" s="193" t="s">
        <v>17933</v>
      </c>
      <c r="B852" s="7" t="s">
        <v>16838</v>
      </c>
      <c r="C852" s="7" t="s">
        <v>16867</v>
      </c>
      <c r="D852" s="199"/>
      <c r="E852" s="193"/>
      <c r="F852" s="195" t="s">
        <v>17934</v>
      </c>
      <c r="G852" s="196">
        <v>1.9641405411E10</v>
      </c>
      <c r="H852" s="197">
        <v>118.35</v>
      </c>
      <c r="I852" s="7" t="s">
        <v>16815</v>
      </c>
      <c r="J852" s="7" t="s">
        <v>16838</v>
      </c>
      <c r="K852" s="7" t="s">
        <v>16867</v>
      </c>
      <c r="L852" s="198" t="s">
        <v>65</v>
      </c>
      <c r="M852" s="199"/>
      <c r="N852" s="199"/>
    </row>
    <row r="853">
      <c r="A853" s="193" t="s">
        <v>17935</v>
      </c>
      <c r="B853" s="7" t="s">
        <v>16838</v>
      </c>
      <c r="C853" s="7" t="s">
        <v>17019</v>
      </c>
      <c r="D853" s="194">
        <v>2010.0</v>
      </c>
      <c r="E853" s="193"/>
      <c r="F853" s="195" t="s">
        <v>17936</v>
      </c>
      <c r="G853" s="196">
        <v>1.9564926688E10</v>
      </c>
      <c r="H853" s="197">
        <v>174.97</v>
      </c>
      <c r="I853" s="7" t="s">
        <v>16815</v>
      </c>
      <c r="J853" s="7" t="s">
        <v>16838</v>
      </c>
      <c r="K853" s="7" t="s">
        <v>17019</v>
      </c>
      <c r="L853" s="198" t="s">
        <v>65</v>
      </c>
      <c r="M853" s="194"/>
      <c r="N853" s="194"/>
    </row>
    <row r="854">
      <c r="A854" s="193" t="s">
        <v>17937</v>
      </c>
      <c r="D854" s="199"/>
      <c r="E854" s="193"/>
      <c r="F854" s="195" t="s">
        <v>17938</v>
      </c>
      <c r="G854" s="196">
        <v>1.946860762E10</v>
      </c>
      <c r="H854" s="197">
        <v>42.98</v>
      </c>
      <c r="I854" s="7" t="s">
        <v>16815</v>
      </c>
      <c r="L854" s="198" t="s">
        <v>65</v>
      </c>
      <c r="M854" s="199"/>
      <c r="N854" s="199"/>
    </row>
    <row r="855">
      <c r="A855" s="193" t="s">
        <v>17937</v>
      </c>
      <c r="D855" s="199"/>
      <c r="E855" s="193"/>
      <c r="F855" s="195" t="s">
        <v>17938</v>
      </c>
      <c r="G855" s="200">
        <v>1.946860762E10</v>
      </c>
      <c r="H855" s="197">
        <v>42.98</v>
      </c>
      <c r="L855" s="201" t="s">
        <v>16835</v>
      </c>
      <c r="M855" s="199"/>
      <c r="N855" s="199"/>
    </row>
    <row r="856">
      <c r="A856" s="193" t="s">
        <v>17939</v>
      </c>
      <c r="B856" s="7" t="s">
        <v>17112</v>
      </c>
      <c r="C856" s="7" t="s">
        <v>16838</v>
      </c>
      <c r="D856" s="194">
        <v>2017.0</v>
      </c>
      <c r="E856" s="193"/>
      <c r="F856" s="195" t="s">
        <v>17940</v>
      </c>
      <c r="G856" s="200">
        <v>1.9386837012E10</v>
      </c>
      <c r="H856" s="197">
        <v>31.68</v>
      </c>
      <c r="I856" s="7" t="s">
        <v>16815</v>
      </c>
      <c r="J856" s="7" t="s">
        <v>17112</v>
      </c>
      <c r="K856" s="7" t="s">
        <v>16838</v>
      </c>
      <c r="L856" s="201" t="s">
        <v>16835</v>
      </c>
      <c r="M856" s="194"/>
      <c r="N856" s="194"/>
    </row>
    <row r="857">
      <c r="A857" s="193" t="s">
        <v>17939</v>
      </c>
      <c r="B857" s="7" t="s">
        <v>16838</v>
      </c>
      <c r="C857" s="7" t="s">
        <v>17112</v>
      </c>
      <c r="D857" s="194">
        <v>2017.0</v>
      </c>
      <c r="E857" s="193"/>
      <c r="F857" s="195" t="s">
        <v>17940</v>
      </c>
      <c r="G857" s="196">
        <v>1.9386837012E10</v>
      </c>
      <c r="H857" s="197">
        <v>31.68</v>
      </c>
      <c r="I857" s="7" t="s">
        <v>16815</v>
      </c>
      <c r="J857" s="7" t="s">
        <v>16838</v>
      </c>
      <c r="K857" s="7" t="s">
        <v>17112</v>
      </c>
      <c r="L857" s="198" t="s">
        <v>65</v>
      </c>
      <c r="M857" s="194"/>
      <c r="N857" s="194"/>
    </row>
    <row r="858">
      <c r="A858" s="193" t="s">
        <v>17941</v>
      </c>
      <c r="B858" s="7" t="s">
        <v>175</v>
      </c>
      <c r="C858" s="7" t="s">
        <v>17457</v>
      </c>
      <c r="D858" s="194">
        <v>1998.0</v>
      </c>
      <c r="E858" s="193"/>
      <c r="F858" s="195" t="s">
        <v>17942</v>
      </c>
      <c r="G858" s="196">
        <v>1.9186367969E10</v>
      </c>
      <c r="H858" s="197">
        <v>6035.29</v>
      </c>
      <c r="I858" s="7" t="s">
        <v>168</v>
      </c>
      <c r="J858" s="7" t="s">
        <v>175</v>
      </c>
      <c r="K858" s="7" t="s">
        <v>17457</v>
      </c>
      <c r="L858" s="198" t="s">
        <v>65</v>
      </c>
      <c r="M858" s="194"/>
      <c r="N858" s="194"/>
    </row>
    <row r="859">
      <c r="A859" s="193" t="s">
        <v>17941</v>
      </c>
      <c r="B859" s="7" t="s">
        <v>17457</v>
      </c>
      <c r="C859" s="7" t="s">
        <v>175</v>
      </c>
      <c r="D859" s="194">
        <v>1998.0</v>
      </c>
      <c r="E859" s="193"/>
      <c r="F859" s="195" t="s">
        <v>17942</v>
      </c>
      <c r="G859" s="200">
        <v>1.9186367969E10</v>
      </c>
      <c r="H859" s="197">
        <v>6035.29</v>
      </c>
      <c r="I859" s="7" t="s">
        <v>16815</v>
      </c>
      <c r="J859" s="7" t="s">
        <v>17457</v>
      </c>
      <c r="K859" s="7" t="s">
        <v>175</v>
      </c>
      <c r="L859" s="201" t="s">
        <v>16835</v>
      </c>
      <c r="M859" s="194"/>
      <c r="N859" s="194"/>
    </row>
    <row r="860">
      <c r="A860" s="193" t="s">
        <v>17943</v>
      </c>
      <c r="B860" s="7" t="s">
        <v>175</v>
      </c>
      <c r="C860" s="7" t="s">
        <v>17480</v>
      </c>
      <c r="D860" s="194">
        <v>2007.0</v>
      </c>
      <c r="E860" s="193"/>
      <c r="F860" s="195" t="s">
        <v>17944</v>
      </c>
      <c r="G860" s="196">
        <v>1.9184896802E10</v>
      </c>
      <c r="H860" s="197">
        <v>389.71</v>
      </c>
      <c r="I860" s="7" t="s">
        <v>17029</v>
      </c>
      <c r="J860" s="7" t="s">
        <v>175</v>
      </c>
      <c r="K860" s="7" t="s">
        <v>17480</v>
      </c>
      <c r="L860" s="198" t="s">
        <v>65</v>
      </c>
      <c r="M860" s="194"/>
      <c r="N860" s="194"/>
    </row>
    <row r="861">
      <c r="A861" s="193" t="s">
        <v>17945</v>
      </c>
      <c r="B861" s="7" t="s">
        <v>16582</v>
      </c>
      <c r="C861" s="7" t="s">
        <v>16828</v>
      </c>
      <c r="D861" s="199"/>
      <c r="E861" s="193"/>
      <c r="F861" s="195" t="s">
        <v>17946</v>
      </c>
      <c r="G861" s="196">
        <v>1.9157275445E10</v>
      </c>
      <c r="H861" s="197">
        <v>7.66</v>
      </c>
      <c r="I861" s="7" t="s">
        <v>16815</v>
      </c>
      <c r="J861" s="7" t="s">
        <v>16582</v>
      </c>
      <c r="K861" s="7" t="s">
        <v>16828</v>
      </c>
      <c r="L861" s="198" t="s">
        <v>65</v>
      </c>
      <c r="M861" s="199"/>
      <c r="N861" s="199"/>
    </row>
    <row r="862">
      <c r="A862" s="193" t="s">
        <v>17945</v>
      </c>
      <c r="B862" s="7" t="s">
        <v>16828</v>
      </c>
      <c r="C862" s="7" t="s">
        <v>16582</v>
      </c>
      <c r="D862" s="199"/>
      <c r="E862" s="193"/>
      <c r="F862" s="195" t="s">
        <v>17946</v>
      </c>
      <c r="G862" s="200">
        <v>1.9157275445E10</v>
      </c>
      <c r="H862" s="197">
        <v>7.66</v>
      </c>
      <c r="I862" s="7" t="s">
        <v>16815</v>
      </c>
      <c r="J862" s="7" t="s">
        <v>16828</v>
      </c>
      <c r="K862" s="7" t="s">
        <v>16582</v>
      </c>
      <c r="L862" s="201" t="s">
        <v>16835</v>
      </c>
      <c r="M862" s="199"/>
      <c r="N862" s="199"/>
    </row>
    <row r="863">
      <c r="A863" s="193" t="s">
        <v>17947</v>
      </c>
      <c r="B863" s="7" t="s">
        <v>175</v>
      </c>
      <c r="C863" s="7" t="s">
        <v>17948</v>
      </c>
      <c r="D863" s="199"/>
      <c r="E863" s="193"/>
      <c r="F863" s="195" t="s">
        <v>17949</v>
      </c>
      <c r="G863" s="196">
        <v>1.9089173277E10</v>
      </c>
      <c r="H863" s="197">
        <v>136.16</v>
      </c>
      <c r="I863" s="193" t="s">
        <v>16908</v>
      </c>
      <c r="J863" s="7" t="s">
        <v>175</v>
      </c>
      <c r="K863" s="7" t="s">
        <v>17948</v>
      </c>
      <c r="L863" s="198" t="s">
        <v>65</v>
      </c>
      <c r="M863" s="199"/>
      <c r="N863" s="199"/>
    </row>
    <row r="864">
      <c r="A864" s="193" t="s">
        <v>17947</v>
      </c>
      <c r="B864" s="7" t="s">
        <v>17948</v>
      </c>
      <c r="C864" s="7" t="s">
        <v>175</v>
      </c>
      <c r="D864" s="199"/>
      <c r="E864" s="193"/>
      <c r="F864" s="195" t="s">
        <v>17949</v>
      </c>
      <c r="G864" s="200">
        <v>1.9089173277E10</v>
      </c>
      <c r="H864" s="197">
        <v>136.16</v>
      </c>
      <c r="I864" s="7" t="s">
        <v>16815</v>
      </c>
      <c r="J864" s="7" t="s">
        <v>17948</v>
      </c>
      <c r="K864" s="7" t="s">
        <v>175</v>
      </c>
      <c r="L864" s="201" t="s">
        <v>16835</v>
      </c>
      <c r="M864" s="199"/>
      <c r="N864" s="199"/>
    </row>
    <row r="865">
      <c r="A865" s="193" t="s">
        <v>17950</v>
      </c>
      <c r="B865" s="7" t="s">
        <v>17202</v>
      </c>
      <c r="C865" s="7" t="s">
        <v>16838</v>
      </c>
      <c r="D865" s="194">
        <v>2020.0</v>
      </c>
      <c r="E865" s="193"/>
      <c r="F865" s="195" t="s">
        <v>17951</v>
      </c>
      <c r="G865" s="200">
        <v>1.8921586038E10</v>
      </c>
      <c r="H865" s="197">
        <v>13.43</v>
      </c>
      <c r="I865" s="7" t="s">
        <v>16815</v>
      </c>
      <c r="J865" s="7" t="s">
        <v>17202</v>
      </c>
      <c r="K865" s="7" t="s">
        <v>16838</v>
      </c>
      <c r="L865" s="201" t="s">
        <v>16835</v>
      </c>
      <c r="M865" s="194"/>
      <c r="N865" s="194"/>
    </row>
    <row r="866">
      <c r="A866" s="193" t="s">
        <v>17950</v>
      </c>
      <c r="B866" s="7" t="s">
        <v>16838</v>
      </c>
      <c r="C866" s="7" t="s">
        <v>17202</v>
      </c>
      <c r="D866" s="194">
        <v>2020.0</v>
      </c>
      <c r="E866" s="193"/>
      <c r="F866" s="195" t="s">
        <v>17951</v>
      </c>
      <c r="G866" s="196">
        <v>1.8921586038E10</v>
      </c>
      <c r="H866" s="197">
        <v>13.43</v>
      </c>
      <c r="I866" s="7" t="s">
        <v>16815</v>
      </c>
      <c r="J866" s="7" t="s">
        <v>16838</v>
      </c>
      <c r="K866" s="7" t="s">
        <v>17202</v>
      </c>
      <c r="L866" s="198" t="s">
        <v>65</v>
      </c>
      <c r="M866" s="194"/>
      <c r="N866" s="194"/>
    </row>
    <row r="867">
      <c r="A867" s="193" t="s">
        <v>17952</v>
      </c>
      <c r="B867" s="7" t="s">
        <v>16919</v>
      </c>
      <c r="C867" s="7" t="s">
        <v>16920</v>
      </c>
      <c r="D867" s="194">
        <v>2010.0</v>
      </c>
      <c r="E867" s="193"/>
      <c r="F867" s="195" t="s">
        <v>17953</v>
      </c>
      <c r="G867" s="196">
        <v>1.8854816736E10</v>
      </c>
      <c r="H867" s="197">
        <v>84.56</v>
      </c>
      <c r="I867" s="7" t="s">
        <v>16815</v>
      </c>
      <c r="J867" s="7" t="s">
        <v>16919</v>
      </c>
      <c r="K867" s="7" t="s">
        <v>16920</v>
      </c>
      <c r="L867" s="198" t="s">
        <v>65</v>
      </c>
      <c r="M867" s="194"/>
      <c r="N867" s="194"/>
    </row>
    <row r="868">
      <c r="A868" s="193" t="s">
        <v>17952</v>
      </c>
      <c r="B868" s="7" t="s">
        <v>16920</v>
      </c>
      <c r="C868" s="7" t="s">
        <v>16919</v>
      </c>
      <c r="D868" s="194">
        <v>2010.0</v>
      </c>
      <c r="E868" s="193"/>
      <c r="F868" s="195" t="s">
        <v>17953</v>
      </c>
      <c r="G868" s="200">
        <v>1.8854816736E10</v>
      </c>
      <c r="H868" s="197">
        <v>84.56</v>
      </c>
      <c r="I868" s="7" t="s">
        <v>16815</v>
      </c>
      <c r="J868" s="7" t="s">
        <v>16920</v>
      </c>
      <c r="K868" s="7" t="s">
        <v>16919</v>
      </c>
      <c r="L868" s="201" t="s">
        <v>16835</v>
      </c>
      <c r="M868" s="194"/>
      <c r="N868" s="194"/>
    </row>
    <row r="869">
      <c r="A869" s="193" t="s">
        <v>17954</v>
      </c>
      <c r="B869" s="7" t="s">
        <v>16919</v>
      </c>
      <c r="C869" s="7" t="s">
        <v>17048</v>
      </c>
      <c r="D869" s="199"/>
      <c r="E869" s="193"/>
      <c r="F869" s="195" t="s">
        <v>17955</v>
      </c>
      <c r="G869" s="196">
        <v>1.8793750044E10</v>
      </c>
      <c r="H869" s="197">
        <v>53.8</v>
      </c>
      <c r="I869" s="7" t="s">
        <v>16815</v>
      </c>
      <c r="J869" s="7" t="s">
        <v>16919</v>
      </c>
      <c r="K869" s="7" t="s">
        <v>17048</v>
      </c>
      <c r="L869" s="198" t="s">
        <v>65</v>
      </c>
      <c r="M869" s="199"/>
      <c r="N869" s="199"/>
    </row>
    <row r="870">
      <c r="A870" s="193" t="s">
        <v>17954</v>
      </c>
      <c r="B870" s="7" t="s">
        <v>17048</v>
      </c>
      <c r="C870" s="7" t="s">
        <v>16919</v>
      </c>
      <c r="D870" s="199"/>
      <c r="E870" s="193"/>
      <c r="F870" s="195" t="s">
        <v>17955</v>
      </c>
      <c r="G870" s="200">
        <v>1.8793750044E10</v>
      </c>
      <c r="H870" s="197">
        <v>53.8</v>
      </c>
      <c r="I870" s="7" t="s">
        <v>16815</v>
      </c>
      <c r="J870" s="7" t="s">
        <v>17048</v>
      </c>
      <c r="K870" s="7" t="s">
        <v>16919</v>
      </c>
      <c r="L870" s="201" t="s">
        <v>16835</v>
      </c>
      <c r="M870" s="199"/>
      <c r="N870" s="199"/>
    </row>
    <row r="871">
      <c r="A871" s="193" t="s">
        <v>17956</v>
      </c>
      <c r="B871" s="7" t="s">
        <v>16838</v>
      </c>
      <c r="C871" s="7" t="s">
        <v>17112</v>
      </c>
      <c r="D871" s="194">
        <v>2020.0</v>
      </c>
      <c r="E871" s="193"/>
      <c r="F871" s="195" t="s">
        <v>17957</v>
      </c>
      <c r="G871" s="196">
        <v>1.873131512E10</v>
      </c>
      <c r="H871" s="197">
        <v>14.84</v>
      </c>
      <c r="I871" s="7" t="s">
        <v>16924</v>
      </c>
      <c r="J871" s="7" t="s">
        <v>16838</v>
      </c>
      <c r="K871" s="7" t="s">
        <v>17112</v>
      </c>
      <c r="L871" s="198" t="s">
        <v>65</v>
      </c>
      <c r="M871" s="194"/>
      <c r="N871" s="194"/>
    </row>
    <row r="872">
      <c r="A872" s="193" t="s">
        <v>17956</v>
      </c>
      <c r="B872" s="7" t="s">
        <v>17112</v>
      </c>
      <c r="C872" s="7" t="s">
        <v>16838</v>
      </c>
      <c r="D872" s="194">
        <v>2020.0</v>
      </c>
      <c r="E872" s="193"/>
      <c r="F872" s="195" t="s">
        <v>17957</v>
      </c>
      <c r="G872" s="200">
        <v>1.873131512E10</v>
      </c>
      <c r="H872" s="197">
        <v>14.84</v>
      </c>
      <c r="I872" s="7" t="s">
        <v>16815</v>
      </c>
      <c r="J872" s="7" t="s">
        <v>17112</v>
      </c>
      <c r="K872" s="7" t="s">
        <v>16838</v>
      </c>
      <c r="L872" s="201" t="s">
        <v>16835</v>
      </c>
      <c r="M872" s="194"/>
      <c r="N872" s="194"/>
    </row>
    <row r="873">
      <c r="A873" s="193" t="s">
        <v>17958</v>
      </c>
      <c r="B873" s="7" t="s">
        <v>16919</v>
      </c>
      <c r="C873" s="7" t="s">
        <v>17048</v>
      </c>
      <c r="D873" s="199"/>
      <c r="E873" s="193"/>
      <c r="F873" s="195" t="s">
        <v>17959</v>
      </c>
      <c r="G873" s="196">
        <v>1.8678732017E10</v>
      </c>
      <c r="H873" s="197">
        <v>25.34</v>
      </c>
      <c r="I873" s="7" t="s">
        <v>16815</v>
      </c>
      <c r="J873" s="7" t="s">
        <v>16919</v>
      </c>
      <c r="K873" s="7" t="s">
        <v>17048</v>
      </c>
      <c r="L873" s="198" t="s">
        <v>65</v>
      </c>
      <c r="M873" s="199"/>
      <c r="N873" s="199"/>
    </row>
    <row r="874">
      <c r="A874" s="193" t="s">
        <v>17958</v>
      </c>
      <c r="B874" s="7" t="s">
        <v>17048</v>
      </c>
      <c r="C874" s="7" t="s">
        <v>16919</v>
      </c>
      <c r="D874" s="199"/>
      <c r="E874" s="193"/>
      <c r="F874" s="195" t="s">
        <v>17959</v>
      </c>
      <c r="G874" s="200">
        <v>1.8678732017E10</v>
      </c>
      <c r="H874" s="197">
        <v>25.34</v>
      </c>
      <c r="I874" s="7" t="s">
        <v>16815</v>
      </c>
      <c r="J874" s="7" t="s">
        <v>17048</v>
      </c>
      <c r="K874" s="7" t="s">
        <v>16919</v>
      </c>
      <c r="L874" s="201" t="s">
        <v>16835</v>
      </c>
      <c r="M874" s="199"/>
      <c r="N874" s="199"/>
    </row>
    <row r="875">
      <c r="A875" s="193" t="s">
        <v>17960</v>
      </c>
      <c r="B875" s="7" t="s">
        <v>16582</v>
      </c>
      <c r="C875" s="7" t="s">
        <v>16583</v>
      </c>
      <c r="D875" s="194">
        <v>2019.0</v>
      </c>
      <c r="E875" s="193"/>
      <c r="F875" s="195" t="s">
        <v>17961</v>
      </c>
      <c r="G875" s="196">
        <v>1.8677388565E10</v>
      </c>
      <c r="H875" s="197">
        <v>62.06</v>
      </c>
      <c r="I875" s="7" t="s">
        <v>16815</v>
      </c>
      <c r="J875" s="7" t="s">
        <v>16582</v>
      </c>
      <c r="K875" s="7" t="s">
        <v>16583</v>
      </c>
      <c r="L875" s="198" t="s">
        <v>65</v>
      </c>
      <c r="M875" s="194"/>
      <c r="N875" s="194"/>
    </row>
    <row r="876">
      <c r="A876" s="193" t="s">
        <v>17962</v>
      </c>
      <c r="B876" s="7" t="s">
        <v>16582</v>
      </c>
      <c r="C876" s="7" t="s">
        <v>16583</v>
      </c>
      <c r="D876" s="194">
        <v>2017.0</v>
      </c>
      <c r="E876" s="193"/>
      <c r="F876" s="195" t="s">
        <v>17963</v>
      </c>
      <c r="G876" s="196">
        <v>1.863719689E10</v>
      </c>
      <c r="H876" s="197">
        <v>11.32</v>
      </c>
      <c r="I876" s="7" t="s">
        <v>16815</v>
      </c>
      <c r="J876" s="7" t="s">
        <v>16582</v>
      </c>
      <c r="K876" s="7" t="s">
        <v>16583</v>
      </c>
      <c r="L876" s="198" t="s">
        <v>65</v>
      </c>
      <c r="M876" s="194"/>
      <c r="N876" s="194"/>
    </row>
    <row r="877">
      <c r="A877" s="193" t="s">
        <v>17962</v>
      </c>
      <c r="B877" s="7" t="s">
        <v>16583</v>
      </c>
      <c r="C877" s="7" t="s">
        <v>16582</v>
      </c>
      <c r="D877" s="194">
        <v>2017.0</v>
      </c>
      <c r="E877" s="193"/>
      <c r="F877" s="195" t="s">
        <v>17963</v>
      </c>
      <c r="G877" s="200">
        <v>1.863719689E10</v>
      </c>
      <c r="H877" s="197">
        <v>11.32</v>
      </c>
      <c r="I877" s="7" t="s">
        <v>16815</v>
      </c>
      <c r="J877" s="7" t="s">
        <v>16583</v>
      </c>
      <c r="K877" s="7" t="s">
        <v>16582</v>
      </c>
      <c r="L877" s="201" t="s">
        <v>16835</v>
      </c>
      <c r="M877" s="194"/>
      <c r="N877" s="194"/>
    </row>
    <row r="878">
      <c r="A878" s="193" t="s">
        <v>17964</v>
      </c>
      <c r="B878" s="7" t="s">
        <v>16838</v>
      </c>
      <c r="C878" s="7" t="s">
        <v>17452</v>
      </c>
      <c r="D878" s="199"/>
      <c r="E878" s="193"/>
      <c r="F878" s="195" t="s">
        <v>17965</v>
      </c>
      <c r="G878" s="196">
        <v>1.8587053747E10</v>
      </c>
      <c r="H878" s="197">
        <v>38.4</v>
      </c>
      <c r="I878" s="7" t="s">
        <v>16815</v>
      </c>
      <c r="J878" s="7" t="s">
        <v>16838</v>
      </c>
      <c r="K878" s="7" t="s">
        <v>17452</v>
      </c>
      <c r="L878" s="198" t="s">
        <v>65</v>
      </c>
      <c r="M878" s="199"/>
      <c r="N878" s="199"/>
    </row>
    <row r="879">
      <c r="A879" s="193" t="s">
        <v>17964</v>
      </c>
      <c r="B879" s="7" t="s">
        <v>17452</v>
      </c>
      <c r="C879" s="7" t="s">
        <v>16838</v>
      </c>
      <c r="D879" s="199"/>
      <c r="E879" s="193"/>
      <c r="F879" s="195" t="s">
        <v>17965</v>
      </c>
      <c r="G879" s="200">
        <v>1.8587053747E10</v>
      </c>
      <c r="H879" s="197">
        <v>38.4</v>
      </c>
      <c r="I879" s="7" t="s">
        <v>16815</v>
      </c>
      <c r="J879" s="7" t="s">
        <v>17452</v>
      </c>
      <c r="K879" s="7" t="s">
        <v>16838</v>
      </c>
      <c r="L879" s="201" t="s">
        <v>16835</v>
      </c>
      <c r="M879" s="199"/>
      <c r="N879" s="199"/>
    </row>
    <row r="880">
      <c r="A880" s="193" t="s">
        <v>17966</v>
      </c>
      <c r="B880" s="7" t="s">
        <v>175</v>
      </c>
      <c r="C880" s="7" t="s">
        <v>16942</v>
      </c>
      <c r="D880" s="194">
        <v>2016.0</v>
      </c>
      <c r="E880" s="193"/>
      <c r="F880" s="195" t="s">
        <v>17967</v>
      </c>
      <c r="G880" s="196">
        <v>1.8491666995E10</v>
      </c>
      <c r="H880" s="197">
        <v>44.36</v>
      </c>
      <c r="I880" s="7" t="s">
        <v>16856</v>
      </c>
      <c r="J880" s="7" t="s">
        <v>175</v>
      </c>
      <c r="K880" s="7" t="s">
        <v>16942</v>
      </c>
      <c r="L880" s="198" t="s">
        <v>65</v>
      </c>
      <c r="M880" s="194"/>
      <c r="N880" s="194"/>
    </row>
    <row r="881">
      <c r="A881" s="193" t="s">
        <v>17966</v>
      </c>
      <c r="B881" s="7" t="s">
        <v>16942</v>
      </c>
      <c r="C881" s="7" t="s">
        <v>175</v>
      </c>
      <c r="D881" s="194">
        <v>2016.0</v>
      </c>
      <c r="E881" s="193"/>
      <c r="F881" s="195" t="s">
        <v>17967</v>
      </c>
      <c r="G881" s="200">
        <v>1.8491666995E10</v>
      </c>
      <c r="H881" s="197">
        <v>44.36</v>
      </c>
      <c r="I881" s="7" t="s">
        <v>16815</v>
      </c>
      <c r="J881" s="7" t="s">
        <v>16942</v>
      </c>
      <c r="K881" s="7" t="s">
        <v>175</v>
      </c>
      <c r="L881" s="201" t="s">
        <v>16835</v>
      </c>
      <c r="M881" s="194"/>
      <c r="N881" s="194"/>
    </row>
    <row r="882">
      <c r="A882" s="193" t="s">
        <v>17968</v>
      </c>
      <c r="D882" s="194">
        <v>1996.0</v>
      </c>
      <c r="E882" s="193"/>
      <c r="F882" s="195" t="s">
        <v>17969</v>
      </c>
      <c r="G882" s="196">
        <v>1.8439281073E10</v>
      </c>
      <c r="H882" s="197">
        <v>42.5</v>
      </c>
      <c r="I882" s="7" t="s">
        <v>16815</v>
      </c>
      <c r="L882" s="198" t="s">
        <v>65</v>
      </c>
      <c r="M882" s="194"/>
      <c r="N882" s="194"/>
    </row>
    <row r="883">
      <c r="A883" s="193" t="s">
        <v>17968</v>
      </c>
      <c r="D883" s="194">
        <v>1996.0</v>
      </c>
      <c r="E883" s="193"/>
      <c r="F883" s="195" t="s">
        <v>17969</v>
      </c>
      <c r="G883" s="200">
        <v>1.8439281073E10</v>
      </c>
      <c r="H883" s="197">
        <v>42.5</v>
      </c>
      <c r="I883" s="193" t="s">
        <v>16815</v>
      </c>
      <c r="L883" s="201" t="s">
        <v>16835</v>
      </c>
      <c r="M883" s="194"/>
      <c r="N883" s="194"/>
    </row>
    <row r="884">
      <c r="A884" s="193" t="s">
        <v>17970</v>
      </c>
      <c r="B884" s="7" t="s">
        <v>169</v>
      </c>
      <c r="C884" s="7" t="s">
        <v>16899</v>
      </c>
      <c r="D884" s="199"/>
      <c r="E884" s="193"/>
      <c r="F884" s="195" t="s">
        <v>17971</v>
      </c>
      <c r="G884" s="196">
        <v>1.8413739655E10</v>
      </c>
      <c r="H884" s="197">
        <v>131.63</v>
      </c>
      <c r="I884" s="7" t="s">
        <v>16815</v>
      </c>
      <c r="J884" s="7" t="s">
        <v>169</v>
      </c>
      <c r="K884" s="7" t="s">
        <v>16899</v>
      </c>
      <c r="L884" s="198" t="s">
        <v>65</v>
      </c>
      <c r="M884" s="199"/>
      <c r="N884" s="199"/>
    </row>
    <row r="885">
      <c r="A885" s="193" t="s">
        <v>17970</v>
      </c>
      <c r="B885" s="7" t="s">
        <v>16899</v>
      </c>
      <c r="C885" s="7" t="s">
        <v>169</v>
      </c>
      <c r="D885" s="199"/>
      <c r="E885" s="193"/>
      <c r="F885" s="195" t="s">
        <v>17971</v>
      </c>
      <c r="G885" s="200">
        <v>1.8413739655E10</v>
      </c>
      <c r="H885" s="197">
        <v>131.63</v>
      </c>
      <c r="I885" s="7" t="s">
        <v>16815</v>
      </c>
      <c r="J885" s="7" t="s">
        <v>16899</v>
      </c>
      <c r="K885" s="7" t="s">
        <v>169</v>
      </c>
      <c r="L885" s="201" t="s">
        <v>16835</v>
      </c>
      <c r="M885" s="199"/>
      <c r="N885" s="199"/>
    </row>
    <row r="886">
      <c r="A886" s="193" t="s">
        <v>17972</v>
      </c>
      <c r="D886" s="199"/>
      <c r="E886" s="193"/>
      <c r="F886" s="195" t="s">
        <v>17973</v>
      </c>
      <c r="G886" s="196">
        <v>1.83924E10</v>
      </c>
      <c r="H886" s="197">
        <v>35.37</v>
      </c>
      <c r="I886" s="7" t="s">
        <v>16815</v>
      </c>
      <c r="L886" s="198" t="s">
        <v>65</v>
      </c>
      <c r="M886" s="199"/>
      <c r="N886" s="199"/>
    </row>
    <row r="887">
      <c r="A887" s="193" t="s">
        <v>17972</v>
      </c>
      <c r="D887" s="199"/>
      <c r="E887" s="193"/>
      <c r="F887" s="195" t="s">
        <v>17973</v>
      </c>
      <c r="G887" s="200">
        <v>1.83924E10</v>
      </c>
      <c r="H887" s="197">
        <v>35.37</v>
      </c>
      <c r="L887" s="201" t="s">
        <v>16835</v>
      </c>
      <c r="M887" s="199"/>
      <c r="N887" s="199"/>
    </row>
    <row r="888">
      <c r="A888" s="193" t="s">
        <v>17974</v>
      </c>
      <c r="B888" s="7" t="s">
        <v>16945</v>
      </c>
      <c r="C888" s="7" t="s">
        <v>169</v>
      </c>
      <c r="D888" s="199"/>
      <c r="E888" s="193"/>
      <c r="F888" s="195" t="s">
        <v>17975</v>
      </c>
      <c r="G888" s="200">
        <v>1.8313725073E10</v>
      </c>
      <c r="H888" s="197">
        <v>71.74</v>
      </c>
      <c r="I888" s="7" t="s">
        <v>16815</v>
      </c>
      <c r="J888" s="7" t="s">
        <v>16945</v>
      </c>
      <c r="K888" s="7" t="s">
        <v>169</v>
      </c>
      <c r="L888" s="201" t="s">
        <v>16835</v>
      </c>
      <c r="M888" s="199"/>
      <c r="N888" s="199"/>
    </row>
    <row r="889">
      <c r="A889" s="193" t="s">
        <v>17974</v>
      </c>
      <c r="B889" s="7" t="s">
        <v>169</v>
      </c>
      <c r="C889" s="7" t="s">
        <v>16945</v>
      </c>
      <c r="D889" s="199"/>
      <c r="E889" s="193"/>
      <c r="F889" s="195" t="s">
        <v>17975</v>
      </c>
      <c r="G889" s="196">
        <v>1.8313725073E10</v>
      </c>
      <c r="H889" s="197">
        <v>71.74</v>
      </c>
      <c r="I889" s="7" t="s">
        <v>16815</v>
      </c>
      <c r="J889" s="7" t="s">
        <v>169</v>
      </c>
      <c r="K889" s="7" t="s">
        <v>16945</v>
      </c>
      <c r="L889" s="198" t="s">
        <v>65</v>
      </c>
      <c r="M889" s="199"/>
      <c r="N889" s="199"/>
    </row>
    <row r="890">
      <c r="A890" s="193" t="s">
        <v>17976</v>
      </c>
      <c r="B890" s="7" t="s">
        <v>169</v>
      </c>
      <c r="C890" s="7" t="s">
        <v>16899</v>
      </c>
      <c r="D890" s="199"/>
      <c r="E890" s="193"/>
      <c r="F890" s="195" t="s">
        <v>17977</v>
      </c>
      <c r="G890" s="196">
        <v>1.8062302012E10</v>
      </c>
      <c r="H890" s="197">
        <v>382.8</v>
      </c>
      <c r="I890" s="7" t="s">
        <v>16815</v>
      </c>
      <c r="J890" s="7" t="s">
        <v>169</v>
      </c>
      <c r="K890" s="7" t="s">
        <v>16899</v>
      </c>
      <c r="L890" s="198" t="s">
        <v>65</v>
      </c>
      <c r="M890" s="199"/>
      <c r="N890" s="199"/>
    </row>
    <row r="891">
      <c r="A891" s="193" t="s">
        <v>17976</v>
      </c>
      <c r="B891" s="7" t="s">
        <v>16899</v>
      </c>
      <c r="C891" s="7" t="s">
        <v>169</v>
      </c>
      <c r="D891" s="199"/>
      <c r="E891" s="193"/>
      <c r="F891" s="195" t="s">
        <v>17977</v>
      </c>
      <c r="G891" s="200">
        <v>1.8062302012E10</v>
      </c>
      <c r="H891" s="197">
        <v>382.8</v>
      </c>
      <c r="I891" s="7" t="s">
        <v>16815</v>
      </c>
      <c r="J891" s="7" t="s">
        <v>16899</v>
      </c>
      <c r="K891" s="7" t="s">
        <v>169</v>
      </c>
      <c r="L891" s="201" t="s">
        <v>16835</v>
      </c>
      <c r="M891" s="199"/>
      <c r="N891" s="199"/>
    </row>
    <row r="892">
      <c r="A892" s="193" t="s">
        <v>17978</v>
      </c>
      <c r="B892" s="7" t="s">
        <v>175</v>
      </c>
      <c r="C892" s="7" t="s">
        <v>16942</v>
      </c>
      <c r="D892" s="199"/>
      <c r="E892" s="193"/>
      <c r="F892" s="195" t="s">
        <v>17979</v>
      </c>
      <c r="G892" s="196">
        <v>1.805923602E10</v>
      </c>
      <c r="H892" s="197">
        <v>150.1</v>
      </c>
      <c r="I892" s="7" t="s">
        <v>16908</v>
      </c>
      <c r="J892" s="7" t="s">
        <v>175</v>
      </c>
      <c r="K892" s="7" t="s">
        <v>16942</v>
      </c>
      <c r="L892" s="198" t="s">
        <v>65</v>
      </c>
      <c r="M892" s="199"/>
      <c r="N892" s="199"/>
    </row>
    <row r="893">
      <c r="A893" s="193" t="s">
        <v>17978</v>
      </c>
      <c r="B893" s="7" t="s">
        <v>16942</v>
      </c>
      <c r="C893" s="7" t="s">
        <v>175</v>
      </c>
      <c r="D893" s="199"/>
      <c r="E893" s="193"/>
      <c r="F893" s="195" t="s">
        <v>17979</v>
      </c>
      <c r="G893" s="200">
        <v>1.805923602E10</v>
      </c>
      <c r="H893" s="197">
        <v>150.1</v>
      </c>
      <c r="I893" s="7" t="s">
        <v>16815</v>
      </c>
      <c r="J893" s="7" t="s">
        <v>16942</v>
      </c>
      <c r="K893" s="7" t="s">
        <v>175</v>
      </c>
      <c r="L893" s="201" t="s">
        <v>16835</v>
      </c>
      <c r="M893" s="199"/>
      <c r="N893" s="199"/>
    </row>
    <row r="894">
      <c r="A894" s="193" t="s">
        <v>17980</v>
      </c>
      <c r="B894" s="7" t="s">
        <v>169</v>
      </c>
      <c r="C894" s="7" t="s">
        <v>17532</v>
      </c>
      <c r="D894" s="194">
        <v>1996.0</v>
      </c>
      <c r="E894" s="193"/>
      <c r="F894" s="195" t="s">
        <v>17981</v>
      </c>
      <c r="G894" s="196">
        <v>1.8058551071E10</v>
      </c>
      <c r="H894" s="197">
        <v>109.02</v>
      </c>
      <c r="I894" s="7" t="s">
        <v>16815</v>
      </c>
      <c r="J894" s="7" t="s">
        <v>169</v>
      </c>
      <c r="K894" s="7" t="s">
        <v>17532</v>
      </c>
      <c r="L894" s="198" t="s">
        <v>65</v>
      </c>
      <c r="M894" s="194"/>
      <c r="N894" s="194"/>
    </row>
    <row r="895">
      <c r="A895" s="193" t="s">
        <v>17982</v>
      </c>
      <c r="B895" s="7" t="s">
        <v>16582</v>
      </c>
      <c r="C895" s="7" t="s">
        <v>16817</v>
      </c>
      <c r="D895" s="199"/>
      <c r="E895" s="193"/>
      <c r="F895" s="195" t="s">
        <v>17983</v>
      </c>
      <c r="G895" s="196">
        <v>1.801630312E10</v>
      </c>
      <c r="H895" s="197">
        <v>151.61</v>
      </c>
      <c r="I895" s="7" t="s">
        <v>16815</v>
      </c>
      <c r="J895" s="7" t="s">
        <v>16582</v>
      </c>
      <c r="K895" s="7" t="s">
        <v>16817</v>
      </c>
      <c r="L895" s="198" t="s">
        <v>65</v>
      </c>
      <c r="M895" s="199"/>
      <c r="N895" s="199"/>
    </row>
    <row r="896">
      <c r="A896" s="193" t="s">
        <v>17984</v>
      </c>
      <c r="B896" s="7" t="s">
        <v>16910</v>
      </c>
      <c r="C896" s="7" t="s">
        <v>17137</v>
      </c>
      <c r="D896" s="199"/>
      <c r="E896" s="193"/>
      <c r="F896" s="195" t="s">
        <v>17985</v>
      </c>
      <c r="G896" s="196">
        <v>1.7934866951E10</v>
      </c>
      <c r="H896" s="197">
        <v>20.76</v>
      </c>
      <c r="I896" s="7" t="s">
        <v>17986</v>
      </c>
      <c r="J896" s="7" t="s">
        <v>16910</v>
      </c>
      <c r="K896" s="7" t="s">
        <v>17137</v>
      </c>
      <c r="L896" s="198" t="s">
        <v>65</v>
      </c>
      <c r="M896" s="199"/>
      <c r="N896" s="199"/>
    </row>
    <row r="897">
      <c r="A897" s="193" t="s">
        <v>17987</v>
      </c>
      <c r="B897" s="7" t="s">
        <v>169</v>
      </c>
      <c r="C897" s="7" t="s">
        <v>17043</v>
      </c>
      <c r="D897" s="199"/>
      <c r="E897" s="193"/>
      <c r="F897" s="195" t="s">
        <v>17988</v>
      </c>
      <c r="G897" s="196">
        <v>1.7928282365E10</v>
      </c>
      <c r="H897" s="197">
        <v>173.82</v>
      </c>
      <c r="I897" s="7" t="s">
        <v>16815</v>
      </c>
      <c r="J897" s="7" t="s">
        <v>169</v>
      </c>
      <c r="K897" s="7" t="s">
        <v>17043</v>
      </c>
      <c r="L897" s="198" t="s">
        <v>65</v>
      </c>
      <c r="M897" s="199"/>
      <c r="N897" s="199"/>
    </row>
    <row r="898">
      <c r="A898" s="193" t="s">
        <v>17989</v>
      </c>
      <c r="B898" s="7" t="s">
        <v>16582</v>
      </c>
      <c r="C898" s="7" t="s">
        <v>16828</v>
      </c>
      <c r="D898" s="194">
        <v>2018.0</v>
      </c>
      <c r="E898" s="193"/>
      <c r="F898" s="195" t="s">
        <v>17990</v>
      </c>
      <c r="G898" s="196">
        <v>1.7862023469E10</v>
      </c>
      <c r="H898" s="197">
        <v>8.18</v>
      </c>
      <c r="I898" s="7" t="s">
        <v>16815</v>
      </c>
      <c r="J898" s="7" t="s">
        <v>16582</v>
      </c>
      <c r="K898" s="7" t="s">
        <v>16828</v>
      </c>
      <c r="L898" s="198" t="s">
        <v>65</v>
      </c>
      <c r="M898" s="194"/>
      <c r="N898" s="194"/>
    </row>
    <row r="899">
      <c r="A899" s="193" t="s">
        <v>17989</v>
      </c>
      <c r="B899" s="7" t="s">
        <v>16828</v>
      </c>
      <c r="C899" s="7" t="s">
        <v>16582</v>
      </c>
      <c r="D899" s="194">
        <v>2018.0</v>
      </c>
      <c r="E899" s="193"/>
      <c r="F899" s="195" t="s">
        <v>17990</v>
      </c>
      <c r="G899" s="200">
        <v>1.7862023469E10</v>
      </c>
      <c r="H899" s="197">
        <v>8.18</v>
      </c>
      <c r="I899" s="7" t="s">
        <v>16815</v>
      </c>
      <c r="J899" s="7" t="s">
        <v>16828</v>
      </c>
      <c r="K899" s="7" t="s">
        <v>16582</v>
      </c>
      <c r="L899" s="201" t="s">
        <v>16835</v>
      </c>
      <c r="M899" s="194"/>
      <c r="N899" s="194"/>
    </row>
    <row r="900">
      <c r="A900" s="193" t="s">
        <v>17991</v>
      </c>
      <c r="B900" s="7" t="s">
        <v>16919</v>
      </c>
      <c r="C900" s="7" t="s">
        <v>17176</v>
      </c>
      <c r="D900" s="194">
        <v>2018.0</v>
      </c>
      <c r="E900" s="193"/>
      <c r="F900" s="195" t="s">
        <v>17992</v>
      </c>
      <c r="G900" s="196">
        <v>1.7811148034E10</v>
      </c>
      <c r="H900" s="197">
        <v>23.11</v>
      </c>
      <c r="I900" s="7" t="s">
        <v>16815</v>
      </c>
      <c r="J900" s="7" t="s">
        <v>16919</v>
      </c>
      <c r="K900" s="7" t="s">
        <v>17176</v>
      </c>
      <c r="L900" s="198" t="s">
        <v>65</v>
      </c>
      <c r="M900" s="194"/>
      <c r="N900" s="194"/>
    </row>
    <row r="901">
      <c r="A901" s="193" t="s">
        <v>17991</v>
      </c>
      <c r="B901" s="7" t="s">
        <v>17176</v>
      </c>
      <c r="C901" s="7" t="s">
        <v>16919</v>
      </c>
      <c r="D901" s="194">
        <v>2018.0</v>
      </c>
      <c r="E901" s="193"/>
      <c r="F901" s="195" t="s">
        <v>17992</v>
      </c>
      <c r="G901" s="200">
        <v>1.7811148034E10</v>
      </c>
      <c r="H901" s="197">
        <v>23.11</v>
      </c>
      <c r="I901" s="7" t="s">
        <v>16815</v>
      </c>
      <c r="J901" s="7" t="s">
        <v>17176</v>
      </c>
      <c r="K901" s="7" t="s">
        <v>16919</v>
      </c>
      <c r="L901" s="201" t="s">
        <v>16835</v>
      </c>
      <c r="M901" s="194"/>
      <c r="N901" s="194"/>
    </row>
    <row r="902">
      <c r="A902" s="193" t="s">
        <v>17993</v>
      </c>
      <c r="B902" s="7" t="s">
        <v>175</v>
      </c>
      <c r="C902" s="7" t="s">
        <v>17619</v>
      </c>
      <c r="D902" s="199"/>
      <c r="E902" s="193"/>
      <c r="F902" s="195" t="s">
        <v>17994</v>
      </c>
      <c r="G902" s="196">
        <v>1.7774291371E10</v>
      </c>
      <c r="H902" s="197">
        <v>4.63</v>
      </c>
      <c r="I902" s="7" t="s">
        <v>17242</v>
      </c>
      <c r="J902" s="7" t="s">
        <v>175</v>
      </c>
      <c r="K902" s="7" t="s">
        <v>17619</v>
      </c>
      <c r="L902" s="198" t="s">
        <v>65</v>
      </c>
      <c r="M902" s="199"/>
      <c r="N902" s="199"/>
    </row>
    <row r="903">
      <c r="A903" s="193" t="s">
        <v>17995</v>
      </c>
      <c r="B903" s="7" t="s">
        <v>16910</v>
      </c>
      <c r="C903" s="7" t="s">
        <v>17996</v>
      </c>
      <c r="D903" s="199"/>
      <c r="E903" s="193"/>
      <c r="F903" s="195" t="s">
        <v>17997</v>
      </c>
      <c r="G903" s="196">
        <v>1.7760637083E10</v>
      </c>
      <c r="H903" s="197">
        <v>32.5</v>
      </c>
      <c r="I903" s="7" t="s">
        <v>127</v>
      </c>
      <c r="J903" s="7" t="s">
        <v>16910</v>
      </c>
      <c r="K903" s="7" t="s">
        <v>17996</v>
      </c>
      <c r="L903" s="198" t="s">
        <v>65</v>
      </c>
      <c r="M903" s="199"/>
      <c r="N903" s="199"/>
    </row>
    <row r="904">
      <c r="A904" s="193" t="s">
        <v>17995</v>
      </c>
      <c r="B904" s="7" t="s">
        <v>17996</v>
      </c>
      <c r="C904" s="7" t="s">
        <v>16910</v>
      </c>
      <c r="D904" s="199"/>
      <c r="E904" s="193"/>
      <c r="F904" s="195" t="s">
        <v>17997</v>
      </c>
      <c r="G904" s="200">
        <v>1.7760637083E10</v>
      </c>
      <c r="H904" s="197">
        <v>32.5</v>
      </c>
      <c r="I904" s="7" t="s">
        <v>16815</v>
      </c>
      <c r="J904" s="7" t="s">
        <v>17996</v>
      </c>
      <c r="K904" s="7" t="s">
        <v>16910</v>
      </c>
      <c r="L904" s="201" t="s">
        <v>16835</v>
      </c>
      <c r="M904" s="199"/>
      <c r="N904" s="199"/>
    </row>
    <row r="905">
      <c r="A905" s="193" t="s">
        <v>17998</v>
      </c>
      <c r="B905" s="7" t="s">
        <v>175</v>
      </c>
      <c r="C905" s="7" t="s">
        <v>17457</v>
      </c>
      <c r="D905" s="199"/>
      <c r="E905" s="193"/>
      <c r="F905" s="195" t="s">
        <v>17999</v>
      </c>
      <c r="G905" s="196">
        <v>1.7758558503E10</v>
      </c>
      <c r="H905" s="197">
        <v>82.37</v>
      </c>
      <c r="I905" s="7" t="s">
        <v>168</v>
      </c>
      <c r="J905" s="7" t="s">
        <v>175</v>
      </c>
      <c r="K905" s="7" t="s">
        <v>17457</v>
      </c>
      <c r="L905" s="198" t="s">
        <v>65</v>
      </c>
      <c r="M905" s="199"/>
      <c r="N905" s="199"/>
    </row>
    <row r="906">
      <c r="A906" s="193" t="s">
        <v>17998</v>
      </c>
      <c r="B906" s="7" t="s">
        <v>17457</v>
      </c>
      <c r="C906" s="7" t="s">
        <v>175</v>
      </c>
      <c r="D906" s="199"/>
      <c r="E906" s="193"/>
      <c r="F906" s="195" t="s">
        <v>17999</v>
      </c>
      <c r="G906" s="200">
        <v>1.7758558503E10</v>
      </c>
      <c r="H906" s="197">
        <v>82.37</v>
      </c>
      <c r="I906" s="7" t="s">
        <v>16815</v>
      </c>
      <c r="J906" s="7" t="s">
        <v>17457</v>
      </c>
      <c r="K906" s="7" t="s">
        <v>175</v>
      </c>
      <c r="L906" s="201" t="s">
        <v>16835</v>
      </c>
      <c r="M906" s="199"/>
      <c r="N906" s="199"/>
    </row>
    <row r="907">
      <c r="A907" s="193" t="s">
        <v>18000</v>
      </c>
      <c r="B907" s="7" t="s">
        <v>16910</v>
      </c>
      <c r="C907" s="7" t="s">
        <v>17119</v>
      </c>
      <c r="D907" s="199"/>
      <c r="E907" s="193"/>
      <c r="F907" s="195" t="s">
        <v>18001</v>
      </c>
      <c r="G907" s="196">
        <v>1.7749373082E10</v>
      </c>
      <c r="H907" s="197">
        <v>51.82</v>
      </c>
      <c r="I907" s="7" t="s">
        <v>127</v>
      </c>
      <c r="J907" s="7" t="s">
        <v>16910</v>
      </c>
      <c r="K907" s="7" t="s">
        <v>17119</v>
      </c>
      <c r="L907" s="198" t="s">
        <v>65</v>
      </c>
      <c r="M907" s="199"/>
      <c r="N907" s="199"/>
    </row>
    <row r="908">
      <c r="A908" s="193" t="s">
        <v>18000</v>
      </c>
      <c r="B908" s="7" t="s">
        <v>17119</v>
      </c>
      <c r="C908" s="7" t="s">
        <v>16910</v>
      </c>
      <c r="D908" s="199"/>
      <c r="E908" s="193"/>
      <c r="F908" s="195" t="s">
        <v>18001</v>
      </c>
      <c r="G908" s="200">
        <v>1.7749373082E10</v>
      </c>
      <c r="H908" s="197">
        <v>51.82</v>
      </c>
      <c r="I908" s="7" t="s">
        <v>16815</v>
      </c>
      <c r="J908" s="7" t="s">
        <v>17119</v>
      </c>
      <c r="K908" s="7" t="s">
        <v>16910</v>
      </c>
      <c r="L908" s="201" t="s">
        <v>16835</v>
      </c>
      <c r="M908" s="199"/>
      <c r="N908" s="199"/>
    </row>
    <row r="909">
      <c r="A909" s="193" t="s">
        <v>18002</v>
      </c>
      <c r="B909" s="7" t="s">
        <v>17127</v>
      </c>
      <c r="C909" s="7" t="s">
        <v>16838</v>
      </c>
      <c r="D909" s="194">
        <v>1986.0</v>
      </c>
      <c r="E909" s="193"/>
      <c r="F909" s="195" t="s">
        <v>18003</v>
      </c>
      <c r="G909" s="200">
        <v>1.770913437E10</v>
      </c>
      <c r="H909" s="197">
        <v>1339.72</v>
      </c>
      <c r="I909" s="7" t="s">
        <v>16815</v>
      </c>
      <c r="J909" s="7" t="s">
        <v>17127</v>
      </c>
      <c r="K909" s="7" t="s">
        <v>16838</v>
      </c>
      <c r="L909" s="201" t="s">
        <v>16835</v>
      </c>
      <c r="M909" s="194"/>
      <c r="N909" s="194"/>
    </row>
    <row r="910">
      <c r="A910" s="193" t="s">
        <v>18002</v>
      </c>
      <c r="B910" s="7" t="s">
        <v>16838</v>
      </c>
      <c r="C910" s="7" t="s">
        <v>17127</v>
      </c>
      <c r="D910" s="194">
        <v>1986.0</v>
      </c>
      <c r="E910" s="193"/>
      <c r="F910" s="195" t="s">
        <v>18003</v>
      </c>
      <c r="G910" s="196">
        <v>1.770913437E10</v>
      </c>
      <c r="H910" s="197">
        <v>1339.72</v>
      </c>
      <c r="I910" s="7" t="s">
        <v>16815</v>
      </c>
      <c r="J910" s="7" t="s">
        <v>16838</v>
      </c>
      <c r="K910" s="7" t="s">
        <v>17127</v>
      </c>
      <c r="L910" s="198" t="s">
        <v>65</v>
      </c>
      <c r="M910" s="194"/>
      <c r="N910" s="194"/>
    </row>
    <row r="911">
      <c r="A911" s="193" t="s">
        <v>18004</v>
      </c>
      <c r="B911" s="7" t="s">
        <v>187</v>
      </c>
      <c r="C911" s="7" t="s">
        <v>18005</v>
      </c>
      <c r="D911" s="194">
        <v>1990.0</v>
      </c>
      <c r="E911" s="193"/>
      <c r="F911" s="195" t="s">
        <v>18006</v>
      </c>
      <c r="G911" s="196">
        <v>1.7667672303E10</v>
      </c>
      <c r="H911" s="197">
        <v>72.13</v>
      </c>
      <c r="I911" s="7" t="s">
        <v>16815</v>
      </c>
      <c r="J911" s="7" t="s">
        <v>187</v>
      </c>
      <c r="K911" s="7" t="s">
        <v>18005</v>
      </c>
      <c r="L911" s="198" t="s">
        <v>65</v>
      </c>
      <c r="M911" s="194"/>
      <c r="N911" s="194"/>
    </row>
    <row r="912">
      <c r="A912" s="193" t="s">
        <v>18007</v>
      </c>
      <c r="B912" s="7" t="s">
        <v>16582</v>
      </c>
      <c r="C912" s="7" t="s">
        <v>16817</v>
      </c>
      <c r="D912" s="199"/>
      <c r="E912" s="193"/>
      <c r="F912" s="195" t="s">
        <v>18008</v>
      </c>
      <c r="G912" s="196">
        <v>1.7637396678E10</v>
      </c>
      <c r="H912" s="197">
        <v>418.7</v>
      </c>
      <c r="I912" s="7" t="s">
        <v>16815</v>
      </c>
      <c r="J912" s="7" t="s">
        <v>16582</v>
      </c>
      <c r="K912" s="7" t="s">
        <v>16817</v>
      </c>
      <c r="L912" s="198" t="s">
        <v>65</v>
      </c>
      <c r="M912" s="199"/>
      <c r="N912" s="199"/>
    </row>
    <row r="913">
      <c r="A913" s="193" t="s">
        <v>18007</v>
      </c>
      <c r="B913" s="7" t="s">
        <v>16817</v>
      </c>
      <c r="C913" s="7" t="s">
        <v>16582</v>
      </c>
      <c r="D913" s="199"/>
      <c r="E913" s="193"/>
      <c r="F913" s="195" t="s">
        <v>18008</v>
      </c>
      <c r="G913" s="200">
        <v>1.7637396678E10</v>
      </c>
      <c r="H913" s="197">
        <v>418.7</v>
      </c>
      <c r="I913" s="7" t="s">
        <v>16815</v>
      </c>
      <c r="J913" s="7" t="s">
        <v>16817</v>
      </c>
      <c r="K913" s="7" t="s">
        <v>16582</v>
      </c>
      <c r="L913" s="201" t="s">
        <v>16835</v>
      </c>
      <c r="M913" s="199"/>
      <c r="N913" s="199"/>
    </row>
    <row r="914">
      <c r="A914" s="193" t="s">
        <v>18009</v>
      </c>
      <c r="B914" s="7" t="s">
        <v>17532</v>
      </c>
      <c r="C914" s="7" t="s">
        <v>169</v>
      </c>
      <c r="D914" s="199"/>
      <c r="E914" s="193"/>
      <c r="F914" s="195" t="s">
        <v>18010</v>
      </c>
      <c r="G914" s="200">
        <v>1.7636900645E10</v>
      </c>
      <c r="H914" s="197">
        <v>21.9</v>
      </c>
      <c r="I914" s="7" t="s">
        <v>16815</v>
      </c>
      <c r="J914" s="7" t="s">
        <v>17532</v>
      </c>
      <c r="K914" s="7" t="s">
        <v>169</v>
      </c>
      <c r="L914" s="201" t="s">
        <v>16835</v>
      </c>
      <c r="M914" s="199"/>
      <c r="N914" s="199"/>
    </row>
    <row r="915">
      <c r="A915" s="193" t="s">
        <v>18009</v>
      </c>
      <c r="B915" s="7" t="s">
        <v>169</v>
      </c>
      <c r="C915" s="7" t="s">
        <v>17532</v>
      </c>
      <c r="D915" s="199"/>
      <c r="E915" s="193"/>
      <c r="F915" s="195" t="s">
        <v>18010</v>
      </c>
      <c r="G915" s="196">
        <v>1.7636900645E10</v>
      </c>
      <c r="H915" s="197">
        <v>21.9</v>
      </c>
      <c r="I915" s="7" t="s">
        <v>16815</v>
      </c>
      <c r="J915" s="7" t="s">
        <v>169</v>
      </c>
      <c r="K915" s="7" t="s">
        <v>17532</v>
      </c>
      <c r="L915" s="198" t="s">
        <v>65</v>
      </c>
      <c r="M915" s="199"/>
      <c r="N915" s="199"/>
    </row>
    <row r="916">
      <c r="A916" s="193" t="s">
        <v>18011</v>
      </c>
      <c r="B916" s="7" t="s">
        <v>17127</v>
      </c>
      <c r="C916" s="7" t="s">
        <v>16838</v>
      </c>
      <c r="D916" s="199"/>
      <c r="E916" s="193"/>
      <c r="F916" s="195" t="s">
        <v>18012</v>
      </c>
      <c r="G916" s="200">
        <v>1.7573979117E10</v>
      </c>
      <c r="H916" s="197">
        <v>68.15</v>
      </c>
      <c r="I916" s="7" t="s">
        <v>16815</v>
      </c>
      <c r="J916" s="7" t="s">
        <v>17127</v>
      </c>
      <c r="K916" s="7" t="s">
        <v>16838</v>
      </c>
      <c r="L916" s="201" t="s">
        <v>16835</v>
      </c>
      <c r="M916" s="199"/>
      <c r="N916" s="199"/>
    </row>
    <row r="917">
      <c r="A917" s="193" t="s">
        <v>18011</v>
      </c>
      <c r="B917" s="7" t="s">
        <v>16838</v>
      </c>
      <c r="C917" s="7" t="s">
        <v>17127</v>
      </c>
      <c r="D917" s="199"/>
      <c r="E917" s="193"/>
      <c r="F917" s="195" t="s">
        <v>18012</v>
      </c>
      <c r="G917" s="196">
        <v>1.7573979117E10</v>
      </c>
      <c r="H917" s="197">
        <v>68.15</v>
      </c>
      <c r="I917" s="7" t="s">
        <v>16815</v>
      </c>
      <c r="J917" s="7" t="s">
        <v>16838</v>
      </c>
      <c r="K917" s="7" t="s">
        <v>17127</v>
      </c>
      <c r="L917" s="198" t="s">
        <v>65</v>
      </c>
      <c r="M917" s="199"/>
      <c r="N917" s="199"/>
    </row>
    <row r="918">
      <c r="A918" s="193" t="s">
        <v>18013</v>
      </c>
      <c r="B918" s="7" t="s">
        <v>158</v>
      </c>
      <c r="C918" s="7" t="s">
        <v>16864</v>
      </c>
      <c r="D918" s="199"/>
      <c r="E918" s="193"/>
      <c r="F918" s="195" t="s">
        <v>18014</v>
      </c>
      <c r="G918" s="196">
        <v>1.748565E10</v>
      </c>
      <c r="H918" s="197">
        <v>31.85</v>
      </c>
      <c r="I918" s="7" t="s">
        <v>17098</v>
      </c>
      <c r="J918" s="7" t="s">
        <v>158</v>
      </c>
      <c r="K918" s="7" t="s">
        <v>16864</v>
      </c>
      <c r="L918" s="198" t="s">
        <v>65</v>
      </c>
      <c r="M918" s="199"/>
      <c r="N918" s="199"/>
    </row>
    <row r="919">
      <c r="A919" s="193" t="s">
        <v>18013</v>
      </c>
      <c r="B919" s="7" t="s">
        <v>16864</v>
      </c>
      <c r="C919" s="7" t="s">
        <v>158</v>
      </c>
      <c r="D919" s="199"/>
      <c r="E919" s="193"/>
      <c r="F919" s="195" t="s">
        <v>18014</v>
      </c>
      <c r="G919" s="200">
        <v>1.748565E10</v>
      </c>
      <c r="H919" s="197">
        <v>31.85</v>
      </c>
      <c r="I919" s="7" t="s">
        <v>16815</v>
      </c>
      <c r="J919" s="7" t="s">
        <v>16864</v>
      </c>
      <c r="K919" s="7" t="s">
        <v>158</v>
      </c>
      <c r="L919" s="201" t="s">
        <v>16835</v>
      </c>
      <c r="M919" s="199"/>
      <c r="N919" s="199"/>
    </row>
    <row r="920">
      <c r="A920" s="193" t="s">
        <v>18015</v>
      </c>
      <c r="B920" s="7" t="s">
        <v>16919</v>
      </c>
      <c r="C920" s="7" t="s">
        <v>17048</v>
      </c>
      <c r="D920" s="194">
        <v>2016.0</v>
      </c>
      <c r="E920" s="193"/>
      <c r="F920" s="195" t="s">
        <v>18016</v>
      </c>
      <c r="G920" s="196">
        <v>1.7455628297E10</v>
      </c>
      <c r="H920" s="197">
        <v>7.6</v>
      </c>
      <c r="I920" s="7" t="s">
        <v>16815</v>
      </c>
      <c r="J920" s="7" t="s">
        <v>16919</v>
      </c>
      <c r="K920" s="7" t="s">
        <v>17048</v>
      </c>
      <c r="L920" s="198" t="s">
        <v>65</v>
      </c>
      <c r="M920" s="194"/>
      <c r="N920" s="194"/>
    </row>
    <row r="921">
      <c r="A921" s="193" t="s">
        <v>18015</v>
      </c>
      <c r="B921" s="7" t="s">
        <v>17048</v>
      </c>
      <c r="C921" s="7" t="s">
        <v>16919</v>
      </c>
      <c r="D921" s="194">
        <v>2016.0</v>
      </c>
      <c r="E921" s="193"/>
      <c r="F921" s="195" t="s">
        <v>18016</v>
      </c>
      <c r="G921" s="200">
        <v>1.7455628297E10</v>
      </c>
      <c r="H921" s="197">
        <v>7.6</v>
      </c>
      <c r="I921" s="7" t="s">
        <v>16815</v>
      </c>
      <c r="J921" s="7" t="s">
        <v>17048</v>
      </c>
      <c r="K921" s="7" t="s">
        <v>16919</v>
      </c>
      <c r="L921" s="201" t="s">
        <v>16835</v>
      </c>
      <c r="M921" s="194"/>
      <c r="N921" s="194"/>
    </row>
    <row r="922">
      <c r="A922" s="193" t="s">
        <v>18017</v>
      </c>
      <c r="B922" s="7" t="s">
        <v>18005</v>
      </c>
      <c r="C922" s="7" t="s">
        <v>187</v>
      </c>
      <c r="D922" s="199"/>
      <c r="E922" s="193"/>
      <c r="F922" s="195" t="s">
        <v>18018</v>
      </c>
      <c r="G922" s="200">
        <v>1.7444499629E10</v>
      </c>
      <c r="H922" s="197">
        <v>19.79</v>
      </c>
      <c r="I922" s="7" t="s">
        <v>16815</v>
      </c>
      <c r="J922" s="7" t="s">
        <v>18005</v>
      </c>
      <c r="K922" s="7" t="s">
        <v>187</v>
      </c>
      <c r="L922" s="201" t="s">
        <v>16835</v>
      </c>
      <c r="M922" s="199"/>
      <c r="N922" s="199"/>
    </row>
    <row r="923">
      <c r="A923" s="193" t="s">
        <v>18017</v>
      </c>
      <c r="B923" s="7" t="s">
        <v>187</v>
      </c>
      <c r="C923" s="7" t="s">
        <v>18005</v>
      </c>
      <c r="D923" s="199"/>
      <c r="E923" s="193"/>
      <c r="F923" s="195" t="s">
        <v>18018</v>
      </c>
      <c r="G923" s="196">
        <v>1.7444499629E10</v>
      </c>
      <c r="H923" s="197">
        <v>19.79</v>
      </c>
      <c r="I923" s="7" t="s">
        <v>16815</v>
      </c>
      <c r="J923" s="7" t="s">
        <v>187</v>
      </c>
      <c r="K923" s="7" t="s">
        <v>18005</v>
      </c>
      <c r="L923" s="198" t="s">
        <v>65</v>
      </c>
      <c r="M923" s="199"/>
      <c r="N923" s="199"/>
    </row>
    <row r="924">
      <c r="A924" s="193" t="s">
        <v>18019</v>
      </c>
      <c r="B924" s="7" t="s">
        <v>169</v>
      </c>
      <c r="C924" s="7" t="s">
        <v>16899</v>
      </c>
      <c r="D924" s="194">
        <v>2021.0</v>
      </c>
      <c r="E924" s="193"/>
      <c r="F924" s="195" t="s">
        <v>18020</v>
      </c>
      <c r="G924" s="196">
        <v>1.7442496747E10</v>
      </c>
      <c r="H924" s="197">
        <v>31.38</v>
      </c>
      <c r="I924" s="7" t="s">
        <v>16815</v>
      </c>
      <c r="J924" s="7" t="s">
        <v>169</v>
      </c>
      <c r="K924" s="7" t="s">
        <v>16899</v>
      </c>
      <c r="L924" s="198" t="s">
        <v>65</v>
      </c>
      <c r="M924" s="194"/>
      <c r="N924" s="194"/>
    </row>
    <row r="925">
      <c r="A925" s="193" t="s">
        <v>18021</v>
      </c>
      <c r="B925" s="7" t="s">
        <v>16910</v>
      </c>
      <c r="C925" s="7" t="s">
        <v>17119</v>
      </c>
      <c r="D925" s="199"/>
      <c r="E925" s="193"/>
      <c r="F925" s="195" t="s">
        <v>18022</v>
      </c>
      <c r="G925" s="196">
        <v>1.7422783904E10</v>
      </c>
      <c r="H925" s="197">
        <v>64.93</v>
      </c>
      <c r="I925" s="7" t="s">
        <v>16917</v>
      </c>
      <c r="J925" s="7" t="s">
        <v>16910</v>
      </c>
      <c r="K925" s="7" t="s">
        <v>17119</v>
      </c>
      <c r="L925" s="198" t="s">
        <v>65</v>
      </c>
      <c r="M925" s="199"/>
      <c r="N925" s="199"/>
    </row>
    <row r="926">
      <c r="A926" s="193" t="s">
        <v>18021</v>
      </c>
      <c r="B926" s="7" t="s">
        <v>17119</v>
      </c>
      <c r="C926" s="7" t="s">
        <v>16910</v>
      </c>
      <c r="D926" s="199"/>
      <c r="E926" s="193"/>
      <c r="F926" s="195" t="s">
        <v>18022</v>
      </c>
      <c r="G926" s="200">
        <v>1.7422783904E10</v>
      </c>
      <c r="H926" s="197">
        <v>64.93</v>
      </c>
      <c r="I926" s="7" t="s">
        <v>16815</v>
      </c>
      <c r="J926" s="7" t="s">
        <v>17119</v>
      </c>
      <c r="K926" s="7" t="s">
        <v>16910</v>
      </c>
      <c r="L926" s="201" t="s">
        <v>16835</v>
      </c>
      <c r="M926" s="199"/>
      <c r="N926" s="199"/>
    </row>
    <row r="927">
      <c r="A927" s="193" t="s">
        <v>18023</v>
      </c>
      <c r="B927" s="7" t="s">
        <v>16851</v>
      </c>
      <c r="C927" s="7" t="s">
        <v>187</v>
      </c>
      <c r="D927" s="199"/>
      <c r="E927" s="193"/>
      <c r="F927" s="195" t="s">
        <v>18024</v>
      </c>
      <c r="G927" s="200">
        <v>1.7385822E10</v>
      </c>
      <c r="H927" s="197">
        <v>204.78</v>
      </c>
      <c r="I927" s="7" t="s">
        <v>16815</v>
      </c>
      <c r="J927" s="7" t="s">
        <v>16851</v>
      </c>
      <c r="K927" s="7" t="s">
        <v>187</v>
      </c>
      <c r="L927" s="201" t="s">
        <v>16835</v>
      </c>
      <c r="M927" s="199"/>
      <c r="N927" s="199"/>
    </row>
    <row r="928">
      <c r="A928" s="193" t="s">
        <v>18023</v>
      </c>
      <c r="B928" s="7" t="s">
        <v>187</v>
      </c>
      <c r="C928" s="7" t="s">
        <v>16851</v>
      </c>
      <c r="D928" s="199"/>
      <c r="E928" s="193"/>
      <c r="F928" s="195" t="s">
        <v>18024</v>
      </c>
      <c r="G928" s="196">
        <v>1.7385822E10</v>
      </c>
      <c r="H928" s="197">
        <v>204.78</v>
      </c>
      <c r="I928" s="7" t="s">
        <v>16815</v>
      </c>
      <c r="J928" s="7" t="s">
        <v>187</v>
      </c>
      <c r="K928" s="7" t="s">
        <v>16851</v>
      </c>
      <c r="L928" s="198" t="s">
        <v>65</v>
      </c>
      <c r="M928" s="199"/>
      <c r="N928" s="199"/>
    </row>
    <row r="929">
      <c r="A929" s="193" t="s">
        <v>18025</v>
      </c>
      <c r="B929" s="7" t="s">
        <v>169</v>
      </c>
      <c r="C929" s="7" t="s">
        <v>17339</v>
      </c>
      <c r="D929" s="194">
        <v>2023.0</v>
      </c>
      <c r="E929" s="193"/>
      <c r="F929" s="195" t="s">
        <v>18026</v>
      </c>
      <c r="G929" s="196">
        <v>1.7377033421E10</v>
      </c>
      <c r="H929" s="197">
        <v>70.55</v>
      </c>
      <c r="I929" s="7" t="s">
        <v>16815</v>
      </c>
      <c r="J929" s="7" t="s">
        <v>169</v>
      </c>
      <c r="K929" s="7" t="s">
        <v>17339</v>
      </c>
      <c r="L929" s="198" t="s">
        <v>65</v>
      </c>
      <c r="M929" s="194"/>
      <c r="N929" s="194"/>
    </row>
    <row r="930">
      <c r="A930" s="193" t="s">
        <v>18025</v>
      </c>
      <c r="B930" s="7" t="s">
        <v>17339</v>
      </c>
      <c r="C930" s="7" t="s">
        <v>169</v>
      </c>
      <c r="D930" s="194">
        <v>2023.0</v>
      </c>
      <c r="E930" s="193"/>
      <c r="F930" s="195" t="s">
        <v>18026</v>
      </c>
      <c r="G930" s="200">
        <v>1.7377033421E10</v>
      </c>
      <c r="H930" s="197">
        <v>70.55</v>
      </c>
      <c r="I930" s="7" t="s">
        <v>16815</v>
      </c>
      <c r="J930" s="7" t="s">
        <v>17339</v>
      </c>
      <c r="K930" s="7" t="s">
        <v>169</v>
      </c>
      <c r="L930" s="201" t="s">
        <v>16835</v>
      </c>
      <c r="M930" s="194"/>
      <c r="N930" s="194"/>
    </row>
    <row r="931">
      <c r="A931" s="193" t="s">
        <v>18027</v>
      </c>
      <c r="B931" s="7" t="s">
        <v>17111</v>
      </c>
      <c r="C931" s="7" t="s">
        <v>17112</v>
      </c>
      <c r="D931" s="199"/>
      <c r="E931" s="193"/>
      <c r="F931" s="195" t="s">
        <v>18028</v>
      </c>
      <c r="G931" s="200">
        <v>1.7355859922E10</v>
      </c>
      <c r="H931" s="197">
        <v>59.44</v>
      </c>
      <c r="I931" s="7" t="s">
        <v>16815</v>
      </c>
      <c r="J931" s="7" t="s">
        <v>17111</v>
      </c>
      <c r="K931" s="7" t="s">
        <v>17112</v>
      </c>
      <c r="L931" s="201" t="s">
        <v>16835</v>
      </c>
      <c r="M931" s="199"/>
      <c r="N931" s="199"/>
    </row>
    <row r="932">
      <c r="A932" s="193" t="s">
        <v>18027</v>
      </c>
      <c r="B932" s="7" t="s">
        <v>17112</v>
      </c>
      <c r="C932" s="7" t="s">
        <v>17111</v>
      </c>
      <c r="D932" s="199"/>
      <c r="E932" s="193"/>
      <c r="F932" s="195" t="s">
        <v>18028</v>
      </c>
      <c r="G932" s="196">
        <v>1.7355859922E10</v>
      </c>
      <c r="H932" s="197">
        <v>59.44</v>
      </c>
      <c r="I932" s="7" t="s">
        <v>16815</v>
      </c>
      <c r="J932" s="7" t="s">
        <v>17112</v>
      </c>
      <c r="K932" s="7" t="s">
        <v>17111</v>
      </c>
      <c r="L932" s="198" t="s">
        <v>65</v>
      </c>
      <c r="M932" s="199"/>
      <c r="N932" s="199"/>
    </row>
    <row r="933">
      <c r="A933" s="193" t="s">
        <v>18029</v>
      </c>
      <c r="B933" s="7" t="s">
        <v>16910</v>
      </c>
      <c r="C933" s="7" t="s">
        <v>16911</v>
      </c>
      <c r="D933" s="194">
        <v>1993.0</v>
      </c>
      <c r="E933" s="193"/>
      <c r="F933" s="195" t="s">
        <v>18030</v>
      </c>
      <c r="G933" s="196">
        <v>1.7329765313E10</v>
      </c>
      <c r="H933" s="197">
        <v>82.49</v>
      </c>
      <c r="I933" s="7" t="s">
        <v>17650</v>
      </c>
      <c r="J933" s="7" t="s">
        <v>16910</v>
      </c>
      <c r="K933" s="7" t="s">
        <v>16911</v>
      </c>
      <c r="L933" s="198" t="s">
        <v>65</v>
      </c>
      <c r="M933" s="194"/>
      <c r="N933" s="194"/>
    </row>
    <row r="934">
      <c r="A934" s="193" t="s">
        <v>18029</v>
      </c>
      <c r="B934" s="7" t="s">
        <v>16911</v>
      </c>
      <c r="C934" s="7" t="s">
        <v>16910</v>
      </c>
      <c r="D934" s="194">
        <v>1993.0</v>
      </c>
      <c r="E934" s="193"/>
      <c r="F934" s="195" t="s">
        <v>18031</v>
      </c>
      <c r="G934" s="200">
        <v>1.7329765313E10</v>
      </c>
      <c r="H934" s="197">
        <v>82.49</v>
      </c>
      <c r="I934" s="7" t="s">
        <v>16815</v>
      </c>
      <c r="J934" s="7" t="s">
        <v>16911</v>
      </c>
      <c r="K934" s="7" t="s">
        <v>16910</v>
      </c>
      <c r="L934" s="201" t="s">
        <v>16835</v>
      </c>
      <c r="M934" s="194"/>
      <c r="N934" s="194"/>
    </row>
    <row r="935">
      <c r="A935" s="193" t="s">
        <v>18032</v>
      </c>
      <c r="B935" s="7" t="s">
        <v>16838</v>
      </c>
      <c r="C935" s="7" t="s">
        <v>17019</v>
      </c>
      <c r="D935" s="194">
        <v>2010.0</v>
      </c>
      <c r="E935" s="193"/>
      <c r="F935" s="195" t="s">
        <v>18033</v>
      </c>
      <c r="G935" s="196">
        <v>1.7284589799E10</v>
      </c>
      <c r="H935" s="197">
        <v>228.57</v>
      </c>
      <c r="I935" s="7" t="s">
        <v>16815</v>
      </c>
      <c r="J935" s="7" t="s">
        <v>16838</v>
      </c>
      <c r="K935" s="7" t="s">
        <v>17019</v>
      </c>
      <c r="L935" s="198" t="s">
        <v>65</v>
      </c>
      <c r="M935" s="194"/>
      <c r="N935" s="194"/>
    </row>
    <row r="936">
      <c r="A936" s="193" t="s">
        <v>18034</v>
      </c>
      <c r="B936" s="7" t="s">
        <v>16582</v>
      </c>
      <c r="C936" s="7" t="s">
        <v>16583</v>
      </c>
      <c r="D936" s="194">
        <v>2000.0</v>
      </c>
      <c r="E936" s="193"/>
      <c r="F936" s="195" t="s">
        <v>18035</v>
      </c>
      <c r="G936" s="196">
        <v>1.7209530337E10</v>
      </c>
      <c r="H936" s="197">
        <v>453.02</v>
      </c>
      <c r="I936" s="7" t="s">
        <v>16815</v>
      </c>
      <c r="J936" s="7" t="s">
        <v>16582</v>
      </c>
      <c r="K936" s="7" t="s">
        <v>16583</v>
      </c>
      <c r="L936" s="198" t="s">
        <v>65</v>
      </c>
      <c r="M936" s="194"/>
      <c r="N936" s="194"/>
    </row>
    <row r="937">
      <c r="A937" s="193" t="s">
        <v>18036</v>
      </c>
      <c r="B937" s="7" t="s">
        <v>16582</v>
      </c>
      <c r="C937" s="7" t="s">
        <v>16817</v>
      </c>
      <c r="D937" s="194">
        <v>1996.0</v>
      </c>
      <c r="E937" s="193"/>
      <c r="F937" s="195" t="s">
        <v>18037</v>
      </c>
      <c r="G937" s="196">
        <v>1.7153958E10</v>
      </c>
      <c r="H937" s="197">
        <v>142.05</v>
      </c>
      <c r="I937" s="7" t="s">
        <v>16815</v>
      </c>
      <c r="J937" s="7" t="s">
        <v>16582</v>
      </c>
      <c r="K937" s="7" t="s">
        <v>16817</v>
      </c>
      <c r="L937" s="198" t="s">
        <v>65</v>
      </c>
      <c r="M937" s="194"/>
      <c r="N937" s="194"/>
    </row>
    <row r="938">
      <c r="A938" s="193" t="s">
        <v>18038</v>
      </c>
      <c r="B938" s="7" t="s">
        <v>17111</v>
      </c>
      <c r="C938" s="7" t="s">
        <v>17112</v>
      </c>
      <c r="D938" s="199"/>
      <c r="E938" s="193"/>
      <c r="F938" s="195" t="s">
        <v>18039</v>
      </c>
      <c r="G938" s="200">
        <v>1.7125324592E10</v>
      </c>
      <c r="H938" s="197">
        <v>42.56</v>
      </c>
      <c r="I938" s="7" t="s">
        <v>16815</v>
      </c>
      <c r="J938" s="7" t="s">
        <v>17111</v>
      </c>
      <c r="K938" s="7" t="s">
        <v>17112</v>
      </c>
      <c r="L938" s="201" t="s">
        <v>16835</v>
      </c>
      <c r="M938" s="199"/>
      <c r="N938" s="199"/>
    </row>
    <row r="939">
      <c r="A939" s="193" t="s">
        <v>18038</v>
      </c>
      <c r="B939" s="7" t="s">
        <v>17112</v>
      </c>
      <c r="C939" s="7" t="s">
        <v>17111</v>
      </c>
      <c r="D939" s="199"/>
      <c r="E939" s="193"/>
      <c r="F939" s="195" t="s">
        <v>18039</v>
      </c>
      <c r="G939" s="196">
        <v>1.7125324592E10</v>
      </c>
      <c r="H939" s="197">
        <v>42.56</v>
      </c>
      <c r="I939" s="7" t="s">
        <v>16815</v>
      </c>
      <c r="J939" s="7" t="s">
        <v>17112</v>
      </c>
      <c r="K939" s="7" t="s">
        <v>17111</v>
      </c>
      <c r="L939" s="198" t="s">
        <v>65</v>
      </c>
      <c r="M939" s="199"/>
      <c r="N939" s="199"/>
    </row>
    <row r="940">
      <c r="A940" s="193" t="s">
        <v>18040</v>
      </c>
      <c r="B940" s="7" t="s">
        <v>16919</v>
      </c>
      <c r="C940" s="7" t="s">
        <v>17048</v>
      </c>
      <c r="D940" s="199"/>
      <c r="E940" s="193"/>
      <c r="F940" s="195" t="s">
        <v>18041</v>
      </c>
      <c r="G940" s="196">
        <v>1.7118782947E10</v>
      </c>
      <c r="H940" s="197">
        <v>27.12</v>
      </c>
      <c r="I940" s="7" t="s">
        <v>16815</v>
      </c>
      <c r="J940" s="7" t="s">
        <v>16919</v>
      </c>
      <c r="K940" s="7" t="s">
        <v>17048</v>
      </c>
      <c r="L940" s="198" t="s">
        <v>65</v>
      </c>
      <c r="M940" s="199"/>
      <c r="N940" s="199"/>
    </row>
    <row r="941">
      <c r="A941" s="193" t="s">
        <v>18040</v>
      </c>
      <c r="B941" s="7" t="s">
        <v>17048</v>
      </c>
      <c r="C941" s="7" t="s">
        <v>16919</v>
      </c>
      <c r="D941" s="199"/>
      <c r="E941" s="193"/>
      <c r="F941" s="195" t="s">
        <v>18041</v>
      </c>
      <c r="G941" s="200">
        <v>1.7118782947E10</v>
      </c>
      <c r="H941" s="197">
        <v>27.12</v>
      </c>
      <c r="I941" s="7" t="s">
        <v>16815</v>
      </c>
      <c r="J941" s="7" t="s">
        <v>17048</v>
      </c>
      <c r="K941" s="7" t="s">
        <v>16919</v>
      </c>
      <c r="L941" s="201" t="s">
        <v>16835</v>
      </c>
      <c r="M941" s="199"/>
      <c r="N941" s="199"/>
    </row>
    <row r="942">
      <c r="A942" s="193" t="s">
        <v>18042</v>
      </c>
      <c r="B942" s="7" t="s">
        <v>175</v>
      </c>
      <c r="C942" s="7" t="s">
        <v>16854</v>
      </c>
      <c r="D942" s="194">
        <v>2010.0</v>
      </c>
      <c r="E942" s="193"/>
      <c r="F942" s="195" t="s">
        <v>18043</v>
      </c>
      <c r="G942" s="196">
        <v>1.7099693691E10</v>
      </c>
      <c r="H942" s="197">
        <v>231.21</v>
      </c>
      <c r="I942" s="7" t="s">
        <v>16908</v>
      </c>
      <c r="J942" s="7" t="s">
        <v>175</v>
      </c>
      <c r="K942" s="7" t="s">
        <v>16854</v>
      </c>
      <c r="L942" s="198" t="s">
        <v>65</v>
      </c>
      <c r="M942" s="194"/>
      <c r="N942" s="194"/>
    </row>
    <row r="943">
      <c r="A943" s="193" t="s">
        <v>18042</v>
      </c>
      <c r="B943" s="7" t="s">
        <v>16854</v>
      </c>
      <c r="C943" s="7" t="s">
        <v>175</v>
      </c>
      <c r="D943" s="194">
        <v>2010.0</v>
      </c>
      <c r="E943" s="193"/>
      <c r="F943" s="195" t="s">
        <v>18043</v>
      </c>
      <c r="G943" s="200">
        <v>1.7099693691E10</v>
      </c>
      <c r="H943" s="197">
        <v>231.21</v>
      </c>
      <c r="I943" s="7" t="s">
        <v>16815</v>
      </c>
      <c r="J943" s="7" t="s">
        <v>16854</v>
      </c>
      <c r="K943" s="7" t="s">
        <v>175</v>
      </c>
      <c r="L943" s="201" t="s">
        <v>16835</v>
      </c>
      <c r="M943" s="194"/>
      <c r="N943" s="194"/>
    </row>
    <row r="944">
      <c r="A944" s="193" t="s">
        <v>18044</v>
      </c>
      <c r="B944" s="7" t="s">
        <v>16838</v>
      </c>
      <c r="C944" s="7" t="s">
        <v>16867</v>
      </c>
      <c r="D944" s="199"/>
      <c r="E944" s="193"/>
      <c r="F944" s="195" t="s">
        <v>18045</v>
      </c>
      <c r="G944" s="196">
        <v>1.7066276397E10</v>
      </c>
      <c r="H944" s="197">
        <v>25.06</v>
      </c>
      <c r="I944" s="7" t="s">
        <v>16815</v>
      </c>
      <c r="J944" s="7" t="s">
        <v>16838</v>
      </c>
      <c r="K944" s="7" t="s">
        <v>16867</v>
      </c>
      <c r="L944" s="198" t="s">
        <v>65</v>
      </c>
      <c r="M944" s="199"/>
      <c r="N944" s="199"/>
    </row>
    <row r="945">
      <c r="A945" s="193" t="s">
        <v>18046</v>
      </c>
      <c r="B945" s="7" t="s">
        <v>16838</v>
      </c>
      <c r="C945" s="7" t="s">
        <v>16867</v>
      </c>
      <c r="D945" s="199"/>
      <c r="E945" s="193"/>
      <c r="F945" s="195" t="s">
        <v>18047</v>
      </c>
      <c r="G945" s="196">
        <v>1.7004984902E10</v>
      </c>
      <c r="H945" s="197">
        <v>24.97</v>
      </c>
      <c r="I945" s="7" t="s">
        <v>16815</v>
      </c>
      <c r="J945" s="7" t="s">
        <v>16838</v>
      </c>
      <c r="K945" s="7" t="s">
        <v>16867</v>
      </c>
      <c r="L945" s="198" t="s">
        <v>65</v>
      </c>
      <c r="M945" s="199"/>
      <c r="N945" s="199"/>
    </row>
    <row r="946">
      <c r="A946" s="193" t="s">
        <v>18048</v>
      </c>
      <c r="B946" s="7" t="s">
        <v>16957</v>
      </c>
      <c r="C946" s="7" t="s">
        <v>16926</v>
      </c>
      <c r="D946" s="194">
        <v>2020.0</v>
      </c>
      <c r="E946" s="193"/>
      <c r="F946" s="195" t="s">
        <v>18049</v>
      </c>
      <c r="G946" s="200">
        <v>1.7001549791E10</v>
      </c>
      <c r="H946" s="197">
        <v>10.22</v>
      </c>
      <c r="I946" s="7" t="s">
        <v>16815</v>
      </c>
      <c r="J946" s="7" t="s">
        <v>16957</v>
      </c>
      <c r="K946" s="7" t="s">
        <v>16926</v>
      </c>
      <c r="L946" s="201" t="s">
        <v>16835</v>
      </c>
      <c r="M946" s="194"/>
      <c r="N946" s="194"/>
    </row>
    <row r="947">
      <c r="A947" s="193" t="s">
        <v>18048</v>
      </c>
      <c r="B947" s="7" t="s">
        <v>16926</v>
      </c>
      <c r="C947" s="7" t="s">
        <v>16957</v>
      </c>
      <c r="D947" s="194">
        <v>2020.0</v>
      </c>
      <c r="E947" s="193"/>
      <c r="F947" s="195" t="s">
        <v>18049</v>
      </c>
      <c r="G947" s="196">
        <v>1.7001549791E10</v>
      </c>
      <c r="H947" s="197">
        <v>10.22</v>
      </c>
      <c r="I947" s="7" t="s">
        <v>16815</v>
      </c>
      <c r="J947" s="7" t="s">
        <v>16926</v>
      </c>
      <c r="K947" s="7" t="s">
        <v>16957</v>
      </c>
      <c r="L947" s="198" t="s">
        <v>65</v>
      </c>
      <c r="M947" s="194"/>
      <c r="N947" s="194"/>
    </row>
    <row r="948">
      <c r="A948" s="193" t="s">
        <v>18050</v>
      </c>
      <c r="B948" s="7" t="s">
        <v>175</v>
      </c>
      <c r="C948" s="7" t="s">
        <v>16972</v>
      </c>
      <c r="D948" s="194">
        <v>2021.0</v>
      </c>
      <c r="E948" s="193"/>
      <c r="F948" s="195" t="s">
        <v>18051</v>
      </c>
      <c r="G948" s="196">
        <v>1.6869567726E10</v>
      </c>
      <c r="H948" s="197">
        <v>24.31</v>
      </c>
      <c r="I948" s="7" t="s">
        <v>16908</v>
      </c>
      <c r="J948" s="7" t="s">
        <v>175</v>
      </c>
      <c r="K948" s="7" t="s">
        <v>16972</v>
      </c>
      <c r="L948" s="198" t="s">
        <v>65</v>
      </c>
      <c r="M948" s="194"/>
      <c r="N948" s="194"/>
    </row>
    <row r="949">
      <c r="A949" s="193" t="s">
        <v>18050</v>
      </c>
      <c r="B949" s="7" t="s">
        <v>16972</v>
      </c>
      <c r="C949" s="7" t="s">
        <v>175</v>
      </c>
      <c r="D949" s="194">
        <v>2021.0</v>
      </c>
      <c r="E949" s="193"/>
      <c r="F949" s="195" t="s">
        <v>18051</v>
      </c>
      <c r="G949" s="200">
        <v>1.6869567726E10</v>
      </c>
      <c r="H949" s="197">
        <v>24.31</v>
      </c>
      <c r="I949" s="7" t="s">
        <v>16815</v>
      </c>
      <c r="J949" s="7" t="s">
        <v>16972</v>
      </c>
      <c r="K949" s="7" t="s">
        <v>175</v>
      </c>
      <c r="L949" s="201" t="s">
        <v>16835</v>
      </c>
      <c r="M949" s="194"/>
      <c r="N949" s="194"/>
    </row>
    <row r="950">
      <c r="A950" s="193" t="s">
        <v>18052</v>
      </c>
      <c r="B950" s="7" t="s">
        <v>17057</v>
      </c>
      <c r="C950" s="7" t="s">
        <v>169</v>
      </c>
      <c r="D950" s="194">
        <v>2022.0</v>
      </c>
      <c r="E950" s="193"/>
      <c r="F950" s="195" t="s">
        <v>18053</v>
      </c>
      <c r="G950" s="200">
        <v>1.6865396647E10</v>
      </c>
      <c r="H950" s="197">
        <v>133.94</v>
      </c>
      <c r="I950" s="7" t="s">
        <v>16815</v>
      </c>
      <c r="J950" s="7" t="s">
        <v>17057</v>
      </c>
      <c r="K950" s="7" t="s">
        <v>169</v>
      </c>
      <c r="L950" s="201" t="s">
        <v>16835</v>
      </c>
      <c r="M950" s="194"/>
      <c r="N950" s="194"/>
    </row>
    <row r="951">
      <c r="A951" s="193" t="s">
        <v>18052</v>
      </c>
      <c r="B951" s="7" t="s">
        <v>169</v>
      </c>
      <c r="C951" s="7" t="s">
        <v>17057</v>
      </c>
      <c r="D951" s="194">
        <v>2022.0</v>
      </c>
      <c r="E951" s="193"/>
      <c r="F951" s="195" t="s">
        <v>18053</v>
      </c>
      <c r="G951" s="196">
        <v>1.6865396647E10</v>
      </c>
      <c r="H951" s="197">
        <v>133.94</v>
      </c>
      <c r="I951" s="7" t="s">
        <v>16815</v>
      </c>
      <c r="J951" s="7" t="s">
        <v>169</v>
      </c>
      <c r="K951" s="7" t="s">
        <v>17057</v>
      </c>
      <c r="L951" s="198" t="s">
        <v>65</v>
      </c>
      <c r="M951" s="194"/>
      <c r="N951" s="194"/>
    </row>
    <row r="952">
      <c r="A952" s="193" t="s">
        <v>18054</v>
      </c>
      <c r="B952" s="7" t="s">
        <v>16919</v>
      </c>
      <c r="C952" s="7" t="s">
        <v>17048</v>
      </c>
      <c r="D952" s="199"/>
      <c r="E952" s="193"/>
      <c r="F952" s="195" t="s">
        <v>18055</v>
      </c>
      <c r="G952" s="196">
        <v>1.6849754267E10</v>
      </c>
      <c r="H952" s="197">
        <v>21.17</v>
      </c>
      <c r="I952" s="7" t="s">
        <v>16815</v>
      </c>
      <c r="J952" s="7" t="s">
        <v>16919</v>
      </c>
      <c r="K952" s="7" t="s">
        <v>17048</v>
      </c>
      <c r="L952" s="198" t="s">
        <v>65</v>
      </c>
      <c r="M952" s="199"/>
      <c r="N952" s="199"/>
    </row>
    <row r="953">
      <c r="A953" s="193" t="s">
        <v>18054</v>
      </c>
      <c r="B953" s="7" t="s">
        <v>17048</v>
      </c>
      <c r="C953" s="7" t="s">
        <v>16919</v>
      </c>
      <c r="D953" s="199"/>
      <c r="E953" s="193"/>
      <c r="F953" s="195" t="s">
        <v>18055</v>
      </c>
      <c r="G953" s="200">
        <v>1.6849754267E10</v>
      </c>
      <c r="H953" s="197">
        <v>21.17</v>
      </c>
      <c r="I953" s="7" t="s">
        <v>16815</v>
      </c>
      <c r="J953" s="7" t="s">
        <v>17048</v>
      </c>
      <c r="K953" s="7" t="s">
        <v>16919</v>
      </c>
      <c r="L953" s="201" t="s">
        <v>16835</v>
      </c>
      <c r="M953" s="199"/>
      <c r="N953" s="199"/>
    </row>
    <row r="954">
      <c r="A954" s="193" t="s">
        <v>18056</v>
      </c>
      <c r="B954" s="7" t="s">
        <v>175</v>
      </c>
      <c r="C954" s="7" t="s">
        <v>16972</v>
      </c>
      <c r="D954" s="194">
        <v>2020.0</v>
      </c>
      <c r="E954" s="193"/>
      <c r="F954" s="195" t="s">
        <v>18057</v>
      </c>
      <c r="G954" s="196">
        <v>1.6847186469E10</v>
      </c>
      <c r="H954" s="197">
        <v>32.65</v>
      </c>
      <c r="I954" s="7" t="s">
        <v>16856</v>
      </c>
      <c r="J954" s="7" t="s">
        <v>175</v>
      </c>
      <c r="K954" s="7" t="s">
        <v>16972</v>
      </c>
      <c r="L954" s="198" t="s">
        <v>65</v>
      </c>
      <c r="M954" s="194"/>
      <c r="N954" s="194"/>
    </row>
    <row r="955">
      <c r="A955" s="193" t="s">
        <v>18058</v>
      </c>
      <c r="B955" s="7" t="s">
        <v>17104</v>
      </c>
      <c r="C955" s="7" t="s">
        <v>16838</v>
      </c>
      <c r="D955" s="194">
        <v>2021.0</v>
      </c>
      <c r="E955" s="193"/>
      <c r="F955" s="195" t="s">
        <v>18059</v>
      </c>
      <c r="G955" s="200">
        <v>1.6811398883E10</v>
      </c>
      <c r="H955" s="197">
        <v>44.41</v>
      </c>
      <c r="I955" s="7" t="s">
        <v>16815</v>
      </c>
      <c r="J955" s="7" t="s">
        <v>17104</v>
      </c>
      <c r="K955" s="7" t="s">
        <v>16838</v>
      </c>
      <c r="L955" s="201" t="s">
        <v>16835</v>
      </c>
      <c r="M955" s="194"/>
      <c r="N955" s="194"/>
    </row>
    <row r="956">
      <c r="A956" s="193" t="s">
        <v>18058</v>
      </c>
      <c r="B956" s="7" t="s">
        <v>16838</v>
      </c>
      <c r="C956" s="7" t="s">
        <v>17104</v>
      </c>
      <c r="D956" s="194">
        <v>2021.0</v>
      </c>
      <c r="E956" s="193"/>
      <c r="F956" s="195" t="s">
        <v>18059</v>
      </c>
      <c r="G956" s="196">
        <v>1.6811398883E10</v>
      </c>
      <c r="H956" s="197">
        <v>44.41</v>
      </c>
      <c r="I956" s="7" t="s">
        <v>16815</v>
      </c>
      <c r="J956" s="7" t="s">
        <v>16838</v>
      </c>
      <c r="K956" s="7" t="s">
        <v>17104</v>
      </c>
      <c r="L956" s="198" t="s">
        <v>65</v>
      </c>
      <c r="M956" s="194"/>
      <c r="N956" s="194"/>
    </row>
    <row r="957">
      <c r="A957" s="193" t="s">
        <v>18060</v>
      </c>
      <c r="B957" s="7" t="s">
        <v>17112</v>
      </c>
      <c r="C957" s="7" t="s">
        <v>17111</v>
      </c>
      <c r="D957" s="199"/>
      <c r="E957" s="193"/>
      <c r="F957" s="195" t="s">
        <v>18061</v>
      </c>
      <c r="G957" s="196">
        <v>1.6797779651E10</v>
      </c>
      <c r="H957" s="197">
        <v>25.03</v>
      </c>
      <c r="I957" s="7" t="s">
        <v>16815</v>
      </c>
      <c r="J957" s="7" t="s">
        <v>17112</v>
      </c>
      <c r="K957" s="7" t="s">
        <v>17111</v>
      </c>
      <c r="L957" s="198" t="s">
        <v>65</v>
      </c>
      <c r="M957" s="199"/>
      <c r="N957" s="199"/>
    </row>
    <row r="958">
      <c r="A958" s="193" t="s">
        <v>18062</v>
      </c>
      <c r="B958" s="7" t="s">
        <v>175</v>
      </c>
      <c r="C958" s="7" t="s">
        <v>18063</v>
      </c>
      <c r="D958" s="199"/>
      <c r="E958" s="193"/>
      <c r="F958" s="195" t="s">
        <v>18064</v>
      </c>
      <c r="G958" s="196">
        <v>1.6770663945E10</v>
      </c>
      <c r="H958" s="197">
        <v>115.35</v>
      </c>
      <c r="I958" s="7" t="s">
        <v>16908</v>
      </c>
      <c r="J958" s="7" t="s">
        <v>175</v>
      </c>
      <c r="K958" s="7" t="s">
        <v>18063</v>
      </c>
      <c r="L958" s="198" t="s">
        <v>65</v>
      </c>
      <c r="M958" s="199"/>
      <c r="N958" s="199"/>
    </row>
    <row r="959">
      <c r="A959" s="193" t="s">
        <v>18065</v>
      </c>
      <c r="B959" s="7" t="s">
        <v>16919</v>
      </c>
      <c r="C959" s="7" t="s">
        <v>17048</v>
      </c>
      <c r="D959" s="194">
        <v>2019.0</v>
      </c>
      <c r="E959" s="193"/>
      <c r="F959" s="195" t="s">
        <v>18066</v>
      </c>
      <c r="G959" s="196">
        <v>1.6750621263E10</v>
      </c>
      <c r="H959" s="197">
        <v>24.32</v>
      </c>
      <c r="I959" s="7" t="s">
        <v>16815</v>
      </c>
      <c r="J959" s="7" t="s">
        <v>16919</v>
      </c>
      <c r="K959" s="7" t="s">
        <v>17048</v>
      </c>
      <c r="L959" s="198" t="s">
        <v>65</v>
      </c>
      <c r="M959" s="194"/>
      <c r="N959" s="194"/>
    </row>
    <row r="960">
      <c r="A960" s="193" t="s">
        <v>18065</v>
      </c>
      <c r="B960" s="7" t="s">
        <v>17048</v>
      </c>
      <c r="C960" s="7" t="s">
        <v>16919</v>
      </c>
      <c r="D960" s="194">
        <v>2019.0</v>
      </c>
      <c r="E960" s="193"/>
      <c r="F960" s="195" t="s">
        <v>18066</v>
      </c>
      <c r="G960" s="200">
        <v>1.6750621263E10</v>
      </c>
      <c r="H960" s="197">
        <v>24.32</v>
      </c>
      <c r="I960" s="7" t="s">
        <v>16815</v>
      </c>
      <c r="J960" s="7" t="s">
        <v>17048</v>
      </c>
      <c r="K960" s="7" t="s">
        <v>16919</v>
      </c>
      <c r="L960" s="201" t="s">
        <v>16835</v>
      </c>
      <c r="M960" s="194"/>
      <c r="N960" s="194"/>
    </row>
    <row r="961">
      <c r="A961" s="193" t="s">
        <v>18067</v>
      </c>
      <c r="B961" s="7" t="s">
        <v>175</v>
      </c>
      <c r="C961" s="7" t="s">
        <v>16854</v>
      </c>
      <c r="D961" s="194">
        <v>1999.0</v>
      </c>
      <c r="E961" s="193"/>
      <c r="F961" s="195" t="s">
        <v>18068</v>
      </c>
      <c r="G961" s="196">
        <v>1.6707612787E10</v>
      </c>
      <c r="H961" s="197">
        <v>110.77</v>
      </c>
      <c r="I961" s="7" t="s">
        <v>16826</v>
      </c>
      <c r="J961" s="7" t="s">
        <v>175</v>
      </c>
      <c r="K961" s="7" t="s">
        <v>16854</v>
      </c>
      <c r="L961" s="198" t="s">
        <v>65</v>
      </c>
      <c r="M961" s="194"/>
      <c r="N961" s="194"/>
    </row>
    <row r="962">
      <c r="A962" s="193" t="s">
        <v>18069</v>
      </c>
      <c r="B962" s="7" t="s">
        <v>16910</v>
      </c>
      <c r="C962" s="7" t="s">
        <v>17996</v>
      </c>
      <c r="D962" s="199"/>
      <c r="E962" s="193"/>
      <c r="F962" s="195" t="s">
        <v>18070</v>
      </c>
      <c r="G962" s="196">
        <v>1.669355801E10</v>
      </c>
      <c r="H962" s="197">
        <v>46.95</v>
      </c>
      <c r="I962" s="7" t="s">
        <v>17063</v>
      </c>
      <c r="J962" s="7" t="s">
        <v>16910</v>
      </c>
      <c r="K962" s="7" t="s">
        <v>17996</v>
      </c>
      <c r="L962" s="198" t="s">
        <v>65</v>
      </c>
      <c r="M962" s="199"/>
      <c r="N962" s="199"/>
    </row>
    <row r="963">
      <c r="A963" s="193" t="s">
        <v>18069</v>
      </c>
      <c r="B963" s="7" t="s">
        <v>17996</v>
      </c>
      <c r="C963" s="7" t="s">
        <v>16910</v>
      </c>
      <c r="D963" s="199"/>
      <c r="E963" s="193"/>
      <c r="F963" s="195" t="s">
        <v>18070</v>
      </c>
      <c r="G963" s="200">
        <v>1.669355801E10</v>
      </c>
      <c r="H963" s="197">
        <v>46.95</v>
      </c>
      <c r="I963" s="7" t="s">
        <v>16815</v>
      </c>
      <c r="J963" s="7" t="s">
        <v>17996</v>
      </c>
      <c r="K963" s="7" t="s">
        <v>16910</v>
      </c>
      <c r="L963" s="201" t="s">
        <v>16835</v>
      </c>
      <c r="M963" s="199"/>
      <c r="N963" s="199"/>
    </row>
    <row r="964">
      <c r="A964" s="193" t="s">
        <v>18071</v>
      </c>
      <c r="B964" s="7" t="s">
        <v>17127</v>
      </c>
      <c r="C964" s="7" t="s">
        <v>16838</v>
      </c>
      <c r="D964" s="199"/>
      <c r="E964" s="193"/>
      <c r="F964" s="195" t="s">
        <v>18072</v>
      </c>
      <c r="G964" s="200">
        <v>1.6691428304E10</v>
      </c>
      <c r="H964" s="197">
        <v>384.68</v>
      </c>
      <c r="I964" s="7" t="s">
        <v>16815</v>
      </c>
      <c r="J964" s="7" t="s">
        <v>17127</v>
      </c>
      <c r="K964" s="7" t="s">
        <v>16838</v>
      </c>
      <c r="L964" s="201" t="s">
        <v>16835</v>
      </c>
      <c r="M964" s="199"/>
      <c r="N964" s="199"/>
    </row>
    <row r="965">
      <c r="A965" s="193" t="s">
        <v>18071</v>
      </c>
      <c r="B965" s="7" t="s">
        <v>16838</v>
      </c>
      <c r="C965" s="7" t="s">
        <v>17127</v>
      </c>
      <c r="D965" s="199"/>
      <c r="E965" s="193"/>
      <c r="F965" s="195" t="s">
        <v>18072</v>
      </c>
      <c r="G965" s="196">
        <v>1.6691428304E10</v>
      </c>
      <c r="H965" s="197">
        <v>384.68</v>
      </c>
      <c r="I965" s="7" t="s">
        <v>16815</v>
      </c>
      <c r="J965" s="7" t="s">
        <v>16838</v>
      </c>
      <c r="K965" s="7" t="s">
        <v>17127</v>
      </c>
      <c r="L965" s="198" t="s">
        <v>65</v>
      </c>
      <c r="M965" s="199"/>
      <c r="N965" s="199"/>
    </row>
    <row r="966">
      <c r="A966" s="193" t="s">
        <v>18073</v>
      </c>
      <c r="B966" s="7" t="s">
        <v>175</v>
      </c>
      <c r="C966" s="7" t="s">
        <v>17233</v>
      </c>
      <c r="D966" s="194">
        <v>1987.0</v>
      </c>
      <c r="E966" s="193"/>
      <c r="F966" s="195" t="s">
        <v>18074</v>
      </c>
      <c r="G966" s="196">
        <v>1.6667881747E10</v>
      </c>
      <c r="H966" s="197">
        <v>12.76</v>
      </c>
      <c r="I966" s="7" t="s">
        <v>16908</v>
      </c>
      <c r="J966" s="7" t="s">
        <v>175</v>
      </c>
      <c r="K966" s="7" t="s">
        <v>17233</v>
      </c>
      <c r="L966" s="198" t="s">
        <v>65</v>
      </c>
      <c r="M966" s="194"/>
      <c r="N966" s="194"/>
    </row>
    <row r="967">
      <c r="A967" s="193" t="s">
        <v>18073</v>
      </c>
      <c r="B967" s="7" t="s">
        <v>17233</v>
      </c>
      <c r="C967" s="7" t="s">
        <v>175</v>
      </c>
      <c r="D967" s="194">
        <v>1987.0</v>
      </c>
      <c r="E967" s="193"/>
      <c r="F967" s="195" t="s">
        <v>18074</v>
      </c>
      <c r="G967" s="200">
        <v>1.6667881747E10</v>
      </c>
      <c r="H967" s="197">
        <v>12.76</v>
      </c>
      <c r="I967" s="7" t="s">
        <v>16815</v>
      </c>
      <c r="J967" s="7" t="s">
        <v>17233</v>
      </c>
      <c r="K967" s="7" t="s">
        <v>175</v>
      </c>
      <c r="L967" s="201" t="s">
        <v>16835</v>
      </c>
      <c r="M967" s="194"/>
      <c r="N967" s="194"/>
    </row>
    <row r="968">
      <c r="A968" s="193" t="s">
        <v>18075</v>
      </c>
      <c r="B968" s="7" t="s">
        <v>16969</v>
      </c>
      <c r="C968" s="7" t="s">
        <v>187</v>
      </c>
      <c r="D968" s="199"/>
      <c r="E968" s="193"/>
      <c r="F968" s="195" t="s">
        <v>18076</v>
      </c>
      <c r="G968" s="200">
        <v>1.6650357565E10</v>
      </c>
      <c r="H968" s="197">
        <v>32.82</v>
      </c>
      <c r="I968" s="7" t="s">
        <v>16815</v>
      </c>
      <c r="J968" s="7" t="s">
        <v>16969</v>
      </c>
      <c r="K968" s="7" t="s">
        <v>187</v>
      </c>
      <c r="L968" s="201" t="s">
        <v>16835</v>
      </c>
      <c r="M968" s="199"/>
      <c r="N968" s="199"/>
    </row>
    <row r="969">
      <c r="A969" s="193" t="s">
        <v>18075</v>
      </c>
      <c r="B969" s="7" t="s">
        <v>187</v>
      </c>
      <c r="C969" s="7" t="s">
        <v>16969</v>
      </c>
      <c r="D969" s="199"/>
      <c r="E969" s="193"/>
      <c r="F969" s="195" t="s">
        <v>18076</v>
      </c>
      <c r="G969" s="196">
        <v>1.6650357565E10</v>
      </c>
      <c r="H969" s="197">
        <v>32.82</v>
      </c>
      <c r="I969" s="7" t="s">
        <v>16815</v>
      </c>
      <c r="J969" s="7" t="s">
        <v>187</v>
      </c>
      <c r="K969" s="7" t="s">
        <v>16969</v>
      </c>
      <c r="L969" s="198" t="s">
        <v>65</v>
      </c>
      <c r="M969" s="199"/>
      <c r="N969" s="199"/>
    </row>
    <row r="970">
      <c r="A970" s="193" t="s">
        <v>18077</v>
      </c>
      <c r="B970" s="7" t="s">
        <v>17111</v>
      </c>
      <c r="C970" s="7" t="s">
        <v>17112</v>
      </c>
      <c r="D970" s="199"/>
      <c r="E970" s="193"/>
      <c r="F970" s="195" t="s">
        <v>18078</v>
      </c>
      <c r="G970" s="200">
        <v>1.6623360121E10</v>
      </c>
      <c r="H970" s="197">
        <v>95.66</v>
      </c>
      <c r="I970" s="7" t="s">
        <v>16815</v>
      </c>
      <c r="J970" s="7" t="s">
        <v>17111</v>
      </c>
      <c r="K970" s="7" t="s">
        <v>17112</v>
      </c>
      <c r="L970" s="201" t="s">
        <v>16835</v>
      </c>
      <c r="M970" s="199"/>
      <c r="N970" s="199"/>
    </row>
    <row r="971">
      <c r="A971" s="193" t="s">
        <v>18077</v>
      </c>
      <c r="B971" s="7" t="s">
        <v>17112</v>
      </c>
      <c r="C971" s="7" t="s">
        <v>17111</v>
      </c>
      <c r="D971" s="199"/>
      <c r="E971" s="193"/>
      <c r="F971" s="195" t="s">
        <v>18078</v>
      </c>
      <c r="G971" s="196">
        <v>1.6623360121E10</v>
      </c>
      <c r="H971" s="197">
        <v>95.66</v>
      </c>
      <c r="I971" s="7" t="s">
        <v>16815</v>
      </c>
      <c r="J971" s="7" t="s">
        <v>17112</v>
      </c>
      <c r="K971" s="7" t="s">
        <v>17111</v>
      </c>
      <c r="L971" s="198" t="s">
        <v>65</v>
      </c>
      <c r="M971" s="199"/>
      <c r="N971" s="199"/>
    </row>
    <row r="972">
      <c r="A972" s="193" t="s">
        <v>18079</v>
      </c>
      <c r="B972" s="7" t="s">
        <v>16838</v>
      </c>
      <c r="C972" s="7" t="s">
        <v>17384</v>
      </c>
      <c r="D972" s="194">
        <v>2001.0</v>
      </c>
      <c r="E972" s="193"/>
      <c r="F972" s="195" t="s">
        <v>18080</v>
      </c>
      <c r="G972" s="196">
        <v>1.6586330701E10</v>
      </c>
      <c r="H972" s="197">
        <v>69.57</v>
      </c>
      <c r="I972" s="7" t="s">
        <v>16815</v>
      </c>
      <c r="J972" s="7" t="s">
        <v>16838</v>
      </c>
      <c r="K972" s="7" t="s">
        <v>17384</v>
      </c>
      <c r="L972" s="198" t="s">
        <v>65</v>
      </c>
      <c r="M972" s="194"/>
      <c r="N972" s="194"/>
    </row>
    <row r="973">
      <c r="A973" s="193" t="s">
        <v>18081</v>
      </c>
      <c r="B973" s="7" t="s">
        <v>175</v>
      </c>
      <c r="C973" s="7" t="s">
        <v>17545</v>
      </c>
      <c r="D973" s="199"/>
      <c r="E973" s="193"/>
      <c r="F973" s="195" t="s">
        <v>18082</v>
      </c>
      <c r="G973" s="196">
        <v>1.6556927219E10</v>
      </c>
      <c r="H973" s="197">
        <v>133.46</v>
      </c>
      <c r="I973" s="7" t="s">
        <v>16908</v>
      </c>
      <c r="J973" s="7" t="s">
        <v>175</v>
      </c>
      <c r="K973" s="7" t="s">
        <v>17545</v>
      </c>
      <c r="L973" s="198" t="s">
        <v>65</v>
      </c>
      <c r="M973" s="199"/>
      <c r="N973" s="199"/>
    </row>
    <row r="974">
      <c r="A974" s="193" t="s">
        <v>18081</v>
      </c>
      <c r="B974" s="7" t="s">
        <v>17545</v>
      </c>
      <c r="C974" s="7" t="s">
        <v>175</v>
      </c>
      <c r="D974" s="199"/>
      <c r="E974" s="193"/>
      <c r="F974" s="195" t="s">
        <v>18082</v>
      </c>
      <c r="G974" s="200">
        <v>1.6556927219E10</v>
      </c>
      <c r="H974" s="197">
        <v>133.46</v>
      </c>
      <c r="I974" s="7" t="s">
        <v>16815</v>
      </c>
      <c r="J974" s="7" t="s">
        <v>17545</v>
      </c>
      <c r="K974" s="7" t="s">
        <v>175</v>
      </c>
      <c r="L974" s="201" t="s">
        <v>16835</v>
      </c>
      <c r="M974" s="199"/>
      <c r="N974" s="199"/>
    </row>
    <row r="975">
      <c r="A975" s="193" t="s">
        <v>18083</v>
      </c>
      <c r="B975" s="7" t="s">
        <v>16919</v>
      </c>
      <c r="C975" s="7" t="s">
        <v>17413</v>
      </c>
      <c r="D975" s="199"/>
      <c r="E975" s="193"/>
      <c r="F975" s="195" t="s">
        <v>18084</v>
      </c>
      <c r="G975" s="196">
        <v>1.6540205008E10</v>
      </c>
      <c r="H975" s="197">
        <v>111.41</v>
      </c>
      <c r="I975" s="7" t="s">
        <v>16815</v>
      </c>
      <c r="J975" s="7" t="s">
        <v>16919</v>
      </c>
      <c r="K975" s="7" t="s">
        <v>17413</v>
      </c>
      <c r="L975" s="198" t="s">
        <v>65</v>
      </c>
      <c r="M975" s="199"/>
      <c r="N975" s="199"/>
    </row>
    <row r="976">
      <c r="A976" s="193" t="s">
        <v>18083</v>
      </c>
      <c r="B976" s="7" t="s">
        <v>17413</v>
      </c>
      <c r="C976" s="7" t="s">
        <v>16919</v>
      </c>
      <c r="D976" s="199"/>
      <c r="E976" s="193"/>
      <c r="F976" s="195" t="s">
        <v>18084</v>
      </c>
      <c r="G976" s="200">
        <v>1.6540205008E10</v>
      </c>
      <c r="H976" s="197">
        <v>111.41</v>
      </c>
      <c r="I976" s="7" t="s">
        <v>16815</v>
      </c>
      <c r="J976" s="7" t="s">
        <v>17413</v>
      </c>
      <c r="K976" s="7" t="s">
        <v>16919</v>
      </c>
      <c r="L976" s="201" t="s">
        <v>16835</v>
      </c>
      <c r="M976" s="199"/>
      <c r="N976" s="199"/>
    </row>
    <row r="977">
      <c r="A977" s="193" t="s">
        <v>18085</v>
      </c>
      <c r="B977" s="7" t="s">
        <v>175</v>
      </c>
      <c r="C977" s="7" t="s">
        <v>17069</v>
      </c>
      <c r="D977" s="199"/>
      <c r="E977" s="193"/>
      <c r="F977" s="195" t="s">
        <v>18086</v>
      </c>
      <c r="G977" s="196">
        <v>1.6478508174E10</v>
      </c>
      <c r="H977" s="197">
        <v>118.68</v>
      </c>
      <c r="I977" s="7" t="s">
        <v>16908</v>
      </c>
      <c r="J977" s="7" t="s">
        <v>175</v>
      </c>
      <c r="K977" s="7" t="s">
        <v>17069</v>
      </c>
      <c r="L977" s="198" t="s">
        <v>65</v>
      </c>
      <c r="M977" s="199"/>
      <c r="N977" s="199"/>
    </row>
    <row r="978">
      <c r="A978" s="193" t="s">
        <v>18087</v>
      </c>
      <c r="B978" s="7" t="s">
        <v>17016</v>
      </c>
      <c r="C978" s="7" t="s">
        <v>16838</v>
      </c>
      <c r="D978" s="194">
        <v>2020.0</v>
      </c>
      <c r="E978" s="193"/>
      <c r="F978" s="195" t="s">
        <v>18088</v>
      </c>
      <c r="G978" s="200">
        <v>1.6470503054E10</v>
      </c>
      <c r="H978" s="197">
        <v>8.33</v>
      </c>
      <c r="I978" s="7" t="s">
        <v>16815</v>
      </c>
      <c r="J978" s="7" t="s">
        <v>17016</v>
      </c>
      <c r="K978" s="7" t="s">
        <v>16838</v>
      </c>
      <c r="L978" s="201" t="s">
        <v>16835</v>
      </c>
      <c r="M978" s="194"/>
      <c r="N978" s="194"/>
    </row>
    <row r="979">
      <c r="A979" s="193" t="s">
        <v>18087</v>
      </c>
      <c r="B979" s="7" t="s">
        <v>16838</v>
      </c>
      <c r="C979" s="7" t="s">
        <v>17016</v>
      </c>
      <c r="D979" s="194">
        <v>2020.0</v>
      </c>
      <c r="E979" s="193"/>
      <c r="F979" s="195" t="s">
        <v>18088</v>
      </c>
      <c r="G979" s="196">
        <v>1.6470503054E10</v>
      </c>
      <c r="H979" s="197">
        <v>8.33</v>
      </c>
      <c r="I979" s="7" t="s">
        <v>16815</v>
      </c>
      <c r="J979" s="7" t="s">
        <v>16838</v>
      </c>
      <c r="K979" s="7" t="s">
        <v>17016</v>
      </c>
      <c r="L979" s="198" t="s">
        <v>65</v>
      </c>
      <c r="M979" s="194"/>
      <c r="N979" s="194"/>
    </row>
    <row r="980">
      <c r="A980" s="193" t="s">
        <v>18089</v>
      </c>
      <c r="B980" s="7" t="s">
        <v>175</v>
      </c>
      <c r="C980" s="7" t="s">
        <v>17452</v>
      </c>
      <c r="D980" s="194">
        <v>2006.0</v>
      </c>
      <c r="E980" s="193"/>
      <c r="F980" s="195" t="s">
        <v>18090</v>
      </c>
      <c r="G980" s="196">
        <v>1.6442965047E10</v>
      </c>
      <c r="H980" s="197">
        <v>66.86</v>
      </c>
      <c r="I980" s="7" t="s">
        <v>16826</v>
      </c>
      <c r="J980" s="7" t="s">
        <v>175</v>
      </c>
      <c r="K980" s="7" t="s">
        <v>17452</v>
      </c>
      <c r="L980" s="198" t="s">
        <v>65</v>
      </c>
      <c r="M980" s="194"/>
      <c r="N980" s="194"/>
    </row>
    <row r="981">
      <c r="A981" s="193" t="s">
        <v>18089</v>
      </c>
      <c r="B981" s="7" t="s">
        <v>17452</v>
      </c>
      <c r="C981" s="7" t="s">
        <v>175</v>
      </c>
      <c r="D981" s="194">
        <v>2006.0</v>
      </c>
      <c r="E981" s="193"/>
      <c r="F981" s="195" t="s">
        <v>18090</v>
      </c>
      <c r="G981" s="200">
        <v>1.6442965047E10</v>
      </c>
      <c r="H981" s="197">
        <v>66.86</v>
      </c>
      <c r="I981" s="7" t="s">
        <v>16815</v>
      </c>
      <c r="J981" s="7" t="s">
        <v>17452</v>
      </c>
      <c r="K981" s="7" t="s">
        <v>175</v>
      </c>
      <c r="L981" s="201" t="s">
        <v>16835</v>
      </c>
      <c r="M981" s="194"/>
      <c r="N981" s="194"/>
    </row>
    <row r="982">
      <c r="A982" s="193" t="s">
        <v>18091</v>
      </c>
      <c r="B982" s="7" t="s">
        <v>175</v>
      </c>
      <c r="C982" s="7" t="s">
        <v>17812</v>
      </c>
      <c r="D982" s="194">
        <v>2010.0</v>
      </c>
      <c r="E982" s="193"/>
      <c r="F982" s="195" t="s">
        <v>18092</v>
      </c>
      <c r="G982" s="196">
        <v>1.6428031452E10</v>
      </c>
      <c r="H982" s="197">
        <v>126.0</v>
      </c>
      <c r="I982" s="7" t="s">
        <v>174</v>
      </c>
      <c r="J982" s="7" t="s">
        <v>175</v>
      </c>
      <c r="K982" s="7" t="s">
        <v>17812</v>
      </c>
      <c r="L982" s="198" t="s">
        <v>65</v>
      </c>
      <c r="M982" s="194"/>
      <c r="N982" s="194"/>
    </row>
    <row r="983">
      <c r="A983" s="193" t="s">
        <v>18091</v>
      </c>
      <c r="B983" s="7" t="s">
        <v>17812</v>
      </c>
      <c r="C983" s="7" t="s">
        <v>175</v>
      </c>
      <c r="D983" s="194">
        <v>2010.0</v>
      </c>
      <c r="E983" s="193"/>
      <c r="F983" s="195" t="s">
        <v>18092</v>
      </c>
      <c r="G983" s="200">
        <v>1.6428031452E10</v>
      </c>
      <c r="H983" s="197">
        <v>126.0</v>
      </c>
      <c r="I983" s="7" t="s">
        <v>16815</v>
      </c>
      <c r="J983" s="7" t="s">
        <v>17812</v>
      </c>
      <c r="K983" s="7" t="s">
        <v>175</v>
      </c>
      <c r="L983" s="201" t="s">
        <v>16835</v>
      </c>
      <c r="M983" s="194"/>
      <c r="N983" s="194"/>
    </row>
    <row r="984">
      <c r="A984" s="193" t="s">
        <v>18093</v>
      </c>
      <c r="B984" s="7" t="s">
        <v>16582</v>
      </c>
      <c r="C984" s="7" t="s">
        <v>17339</v>
      </c>
      <c r="D984" s="194">
        <v>1993.0</v>
      </c>
      <c r="E984" s="193"/>
      <c r="F984" s="195" t="s">
        <v>18094</v>
      </c>
      <c r="G984" s="196">
        <v>1.6410233909E10</v>
      </c>
      <c r="H984" s="197">
        <v>128.26</v>
      </c>
      <c r="I984" s="7" t="s">
        <v>16815</v>
      </c>
      <c r="J984" s="7" t="s">
        <v>16582</v>
      </c>
      <c r="K984" s="7" t="s">
        <v>17339</v>
      </c>
      <c r="L984" s="198" t="s">
        <v>65</v>
      </c>
      <c r="M984" s="194"/>
      <c r="N984" s="194"/>
    </row>
    <row r="985">
      <c r="A985" s="193" t="s">
        <v>18093</v>
      </c>
      <c r="B985" s="7" t="s">
        <v>17339</v>
      </c>
      <c r="C985" s="7" t="s">
        <v>16582</v>
      </c>
      <c r="D985" s="194">
        <v>1993.0</v>
      </c>
      <c r="E985" s="193"/>
      <c r="F985" s="195" t="s">
        <v>18094</v>
      </c>
      <c r="G985" s="200">
        <v>1.6410233909E10</v>
      </c>
      <c r="H985" s="197">
        <v>128.26</v>
      </c>
      <c r="I985" s="7" t="s">
        <v>16815</v>
      </c>
      <c r="J985" s="7" t="s">
        <v>17339</v>
      </c>
      <c r="K985" s="7" t="s">
        <v>16582</v>
      </c>
      <c r="L985" s="201" t="s">
        <v>16835</v>
      </c>
      <c r="M985" s="194"/>
      <c r="N985" s="194"/>
    </row>
    <row r="986">
      <c r="A986" s="193" t="s">
        <v>18095</v>
      </c>
      <c r="B986" s="7" t="s">
        <v>16838</v>
      </c>
      <c r="C986" s="7" t="s">
        <v>16867</v>
      </c>
      <c r="D986" s="199"/>
      <c r="E986" s="193"/>
      <c r="F986" s="195" t="s">
        <v>18096</v>
      </c>
      <c r="G986" s="196">
        <v>1.6371639449E10</v>
      </c>
      <c r="H986" s="197">
        <v>24.04</v>
      </c>
      <c r="I986" s="7" t="s">
        <v>16815</v>
      </c>
      <c r="J986" s="7" t="s">
        <v>16838</v>
      </c>
      <c r="K986" s="7" t="s">
        <v>16867</v>
      </c>
      <c r="L986" s="198" t="s">
        <v>65</v>
      </c>
      <c r="M986" s="199"/>
      <c r="N986" s="199"/>
    </row>
    <row r="987">
      <c r="A987" s="193" t="s">
        <v>18097</v>
      </c>
      <c r="B987" s="7" t="s">
        <v>169</v>
      </c>
      <c r="C987" s="7" t="s">
        <v>18098</v>
      </c>
      <c r="D987" s="194">
        <v>2001.0</v>
      </c>
      <c r="E987" s="193"/>
      <c r="F987" s="195" t="s">
        <v>18099</v>
      </c>
      <c r="G987" s="196">
        <v>1.6331079128E10</v>
      </c>
      <c r="H987" s="197">
        <v>217.94</v>
      </c>
      <c r="I987" s="7" t="s">
        <v>16815</v>
      </c>
      <c r="J987" s="7" t="s">
        <v>169</v>
      </c>
      <c r="K987" s="7" t="s">
        <v>18098</v>
      </c>
      <c r="L987" s="198" t="s">
        <v>65</v>
      </c>
      <c r="M987" s="194"/>
      <c r="N987" s="194"/>
    </row>
    <row r="988">
      <c r="A988" s="193" t="s">
        <v>18100</v>
      </c>
      <c r="B988" s="7" t="s">
        <v>187</v>
      </c>
      <c r="C988" s="7" t="s">
        <v>17552</v>
      </c>
      <c r="D988" s="199"/>
      <c r="E988" s="193"/>
      <c r="F988" s="195" t="s">
        <v>18101</v>
      </c>
      <c r="G988" s="196">
        <v>1.6307311783E10</v>
      </c>
      <c r="H988" s="197">
        <v>329.28</v>
      </c>
      <c r="I988" s="7" t="s">
        <v>16815</v>
      </c>
      <c r="J988" s="7" t="s">
        <v>187</v>
      </c>
      <c r="K988" s="7" t="s">
        <v>17552</v>
      </c>
      <c r="L988" s="198" t="s">
        <v>65</v>
      </c>
      <c r="M988" s="199"/>
      <c r="N988" s="199"/>
    </row>
    <row r="989">
      <c r="A989" s="193" t="s">
        <v>18102</v>
      </c>
      <c r="B989" s="7" t="s">
        <v>175</v>
      </c>
      <c r="C989" s="7" t="s">
        <v>16975</v>
      </c>
      <c r="D989" s="194">
        <v>1993.0</v>
      </c>
      <c r="E989" s="193"/>
      <c r="F989" s="195" t="s">
        <v>18103</v>
      </c>
      <c r="G989" s="196">
        <v>1.6280953215E10</v>
      </c>
      <c r="H989" s="197">
        <v>632.74</v>
      </c>
      <c r="I989" s="7" t="s">
        <v>16908</v>
      </c>
      <c r="J989" s="7" t="s">
        <v>175</v>
      </c>
      <c r="K989" s="7" t="s">
        <v>16975</v>
      </c>
      <c r="L989" s="198" t="s">
        <v>65</v>
      </c>
      <c r="M989" s="194"/>
      <c r="N989" s="194"/>
    </row>
    <row r="990">
      <c r="A990" s="193" t="s">
        <v>18102</v>
      </c>
      <c r="B990" s="7" t="s">
        <v>16975</v>
      </c>
      <c r="C990" s="7" t="s">
        <v>175</v>
      </c>
      <c r="D990" s="194">
        <v>1993.0</v>
      </c>
      <c r="E990" s="193"/>
      <c r="F990" s="195" t="s">
        <v>18103</v>
      </c>
      <c r="G990" s="200">
        <v>1.6280953215E10</v>
      </c>
      <c r="H990" s="197">
        <v>632.74</v>
      </c>
      <c r="I990" s="7" t="s">
        <v>16815</v>
      </c>
      <c r="J990" s="7" t="s">
        <v>16975</v>
      </c>
      <c r="K990" s="7" t="s">
        <v>175</v>
      </c>
      <c r="L990" s="201" t="s">
        <v>16835</v>
      </c>
      <c r="M990" s="194"/>
      <c r="N990" s="194"/>
    </row>
    <row r="991">
      <c r="A991" s="193" t="s">
        <v>18104</v>
      </c>
      <c r="B991" s="7" t="s">
        <v>187</v>
      </c>
      <c r="C991" s="7" t="s">
        <v>16846</v>
      </c>
      <c r="D991" s="194">
        <v>2020.0</v>
      </c>
      <c r="E991" s="193"/>
      <c r="F991" s="195" t="s">
        <v>18105</v>
      </c>
      <c r="G991" s="196">
        <v>1.6262101354E10</v>
      </c>
      <c r="H991" s="197">
        <v>27.22</v>
      </c>
      <c r="I991" s="7" t="s">
        <v>16815</v>
      </c>
      <c r="J991" s="7" t="s">
        <v>187</v>
      </c>
      <c r="K991" s="7" t="s">
        <v>16846</v>
      </c>
      <c r="L991" s="198" t="s">
        <v>65</v>
      </c>
      <c r="M991" s="194"/>
      <c r="N991" s="194"/>
    </row>
    <row r="992">
      <c r="A992" s="193" t="s">
        <v>18106</v>
      </c>
      <c r="B992" s="7" t="s">
        <v>16919</v>
      </c>
      <c r="C992" s="7" t="s">
        <v>17176</v>
      </c>
      <c r="D992" s="199"/>
      <c r="E992" s="193"/>
      <c r="F992" s="195" t="s">
        <v>18107</v>
      </c>
      <c r="G992" s="196">
        <v>1.6222054325E10</v>
      </c>
      <c r="H992" s="197">
        <v>55.6</v>
      </c>
      <c r="I992" s="7" t="s">
        <v>16815</v>
      </c>
      <c r="J992" s="7" t="s">
        <v>16919</v>
      </c>
      <c r="K992" s="7" t="s">
        <v>17176</v>
      </c>
      <c r="L992" s="198" t="s">
        <v>65</v>
      </c>
      <c r="M992" s="199"/>
      <c r="N992" s="199"/>
    </row>
    <row r="993">
      <c r="A993" s="193" t="s">
        <v>18106</v>
      </c>
      <c r="B993" s="7" t="s">
        <v>17176</v>
      </c>
      <c r="C993" s="7" t="s">
        <v>16919</v>
      </c>
      <c r="D993" s="199"/>
      <c r="E993" s="193"/>
      <c r="F993" s="195" t="s">
        <v>18107</v>
      </c>
      <c r="G993" s="200">
        <v>1.6222054325E10</v>
      </c>
      <c r="H993" s="197">
        <v>55.6</v>
      </c>
      <c r="I993" s="7" t="s">
        <v>16815</v>
      </c>
      <c r="J993" s="7" t="s">
        <v>17176</v>
      </c>
      <c r="K993" s="7" t="s">
        <v>16919</v>
      </c>
      <c r="L993" s="201" t="s">
        <v>16835</v>
      </c>
      <c r="M993" s="199"/>
      <c r="N993" s="199"/>
    </row>
    <row r="994">
      <c r="A994" s="193" t="s">
        <v>18108</v>
      </c>
      <c r="B994" s="7" t="s">
        <v>16582</v>
      </c>
      <c r="C994" s="7" t="s">
        <v>17183</v>
      </c>
      <c r="D994" s="194">
        <v>1995.0</v>
      </c>
      <c r="E994" s="193"/>
      <c r="F994" s="195" t="s">
        <v>18109</v>
      </c>
      <c r="G994" s="196">
        <v>1.6106149697E10</v>
      </c>
      <c r="H994" s="197">
        <v>77.14</v>
      </c>
      <c r="I994" s="7" t="s">
        <v>16815</v>
      </c>
      <c r="J994" s="7" t="s">
        <v>16582</v>
      </c>
      <c r="K994" s="7" t="s">
        <v>17183</v>
      </c>
      <c r="L994" s="198" t="s">
        <v>65</v>
      </c>
      <c r="M994" s="194"/>
      <c r="N994" s="194"/>
    </row>
    <row r="995">
      <c r="A995" s="193" t="s">
        <v>18110</v>
      </c>
      <c r="B995" s="7" t="s">
        <v>158</v>
      </c>
      <c r="C995" s="7" t="s">
        <v>16864</v>
      </c>
      <c r="D995" s="199"/>
      <c r="E995" s="193"/>
      <c r="F995" s="195" t="s">
        <v>18111</v>
      </c>
      <c r="G995" s="196">
        <v>1.609542116E10</v>
      </c>
      <c r="H995" s="197">
        <v>39.13</v>
      </c>
      <c r="I995" s="7" t="s">
        <v>16897</v>
      </c>
      <c r="J995" s="7" t="s">
        <v>158</v>
      </c>
      <c r="K995" s="7" t="s">
        <v>16864</v>
      </c>
      <c r="L995" s="198" t="s">
        <v>65</v>
      </c>
      <c r="M995" s="199"/>
      <c r="N995" s="199"/>
    </row>
    <row r="996">
      <c r="A996" s="193" t="s">
        <v>18110</v>
      </c>
      <c r="B996" s="7" t="s">
        <v>16864</v>
      </c>
      <c r="C996" s="7" t="s">
        <v>158</v>
      </c>
      <c r="D996" s="199"/>
      <c r="E996" s="193"/>
      <c r="F996" s="195" t="s">
        <v>18111</v>
      </c>
      <c r="G996" s="200">
        <v>1.609542116E10</v>
      </c>
      <c r="H996" s="197">
        <v>39.13</v>
      </c>
      <c r="I996" s="7" t="s">
        <v>16815</v>
      </c>
      <c r="J996" s="7" t="s">
        <v>16864</v>
      </c>
      <c r="K996" s="7" t="s">
        <v>158</v>
      </c>
      <c r="L996" s="201" t="s">
        <v>16835</v>
      </c>
      <c r="M996" s="199"/>
      <c r="N996" s="199"/>
    </row>
    <row r="997">
      <c r="A997" s="193" t="s">
        <v>18112</v>
      </c>
      <c r="B997" s="7" t="s">
        <v>16838</v>
      </c>
      <c r="C997" s="7" t="s">
        <v>16867</v>
      </c>
      <c r="D997" s="194">
        <v>2023.0</v>
      </c>
      <c r="E997" s="193"/>
      <c r="F997" s="195" t="s">
        <v>18113</v>
      </c>
      <c r="G997" s="196">
        <v>1.602320357E10</v>
      </c>
      <c r="H997" s="197">
        <v>20.94</v>
      </c>
      <c r="I997" s="7" t="s">
        <v>16924</v>
      </c>
      <c r="J997" s="7" t="s">
        <v>16838</v>
      </c>
      <c r="K997" s="7" t="s">
        <v>16867</v>
      </c>
      <c r="L997" s="198" t="s">
        <v>65</v>
      </c>
      <c r="M997" s="194"/>
      <c r="N997" s="194"/>
    </row>
    <row r="998">
      <c r="A998" s="193" t="s">
        <v>18112</v>
      </c>
      <c r="B998" s="7" t="s">
        <v>16867</v>
      </c>
      <c r="C998" s="7" t="s">
        <v>16838</v>
      </c>
      <c r="D998" s="194">
        <v>2023.0</v>
      </c>
      <c r="E998" s="193"/>
      <c r="F998" s="195" t="s">
        <v>18113</v>
      </c>
      <c r="G998" s="200">
        <v>1.602320357E10</v>
      </c>
      <c r="H998" s="197">
        <v>20.94</v>
      </c>
      <c r="I998" s="7" t="s">
        <v>16815</v>
      </c>
      <c r="J998" s="7" t="s">
        <v>16867</v>
      </c>
      <c r="K998" s="7" t="s">
        <v>16838</v>
      </c>
      <c r="L998" s="201" t="s">
        <v>16835</v>
      </c>
      <c r="M998" s="194"/>
      <c r="N998" s="194"/>
    </row>
    <row r="999">
      <c r="A999" s="193" t="s">
        <v>18114</v>
      </c>
      <c r="B999" s="7" t="s">
        <v>16582</v>
      </c>
      <c r="C999" s="7" t="s">
        <v>16899</v>
      </c>
      <c r="D999" s="194">
        <v>2018.0</v>
      </c>
      <c r="E999" s="193"/>
      <c r="F999" s="195" t="s">
        <v>18115</v>
      </c>
      <c r="G999" s="196">
        <v>1.5955697945E10</v>
      </c>
      <c r="H999" s="197">
        <v>41.83</v>
      </c>
      <c r="I999" s="7" t="s">
        <v>16815</v>
      </c>
      <c r="J999" s="7" t="s">
        <v>16582</v>
      </c>
      <c r="K999" s="7" t="s">
        <v>16899</v>
      </c>
      <c r="L999" s="198" t="s">
        <v>65</v>
      </c>
      <c r="M999" s="194"/>
      <c r="N999" s="194"/>
    </row>
    <row r="1000">
      <c r="A1000" s="193" t="s">
        <v>18114</v>
      </c>
      <c r="B1000" s="7" t="s">
        <v>16899</v>
      </c>
      <c r="C1000" s="7" t="s">
        <v>16582</v>
      </c>
      <c r="D1000" s="194">
        <v>2018.0</v>
      </c>
      <c r="E1000" s="193"/>
      <c r="F1000" s="195" t="s">
        <v>18115</v>
      </c>
      <c r="G1000" s="200">
        <v>1.5955697945E10</v>
      </c>
      <c r="H1000" s="197">
        <v>41.83</v>
      </c>
      <c r="I1000" s="7" t="s">
        <v>16815</v>
      </c>
      <c r="J1000" s="7" t="s">
        <v>16899</v>
      </c>
      <c r="K1000" s="7" t="s">
        <v>16582</v>
      </c>
      <c r="L1000" s="201" t="s">
        <v>16835</v>
      </c>
      <c r="M1000" s="194"/>
      <c r="N1000" s="194"/>
    </row>
    <row r="1001">
      <c r="A1001" s="193" t="s">
        <v>18116</v>
      </c>
      <c r="B1001" s="7" t="s">
        <v>169</v>
      </c>
      <c r="C1001" s="7" t="s">
        <v>17619</v>
      </c>
      <c r="D1001" s="199"/>
      <c r="E1001" s="193"/>
      <c r="F1001" s="195" t="s">
        <v>18117</v>
      </c>
      <c r="G1001" s="196">
        <v>1.5915361655E10</v>
      </c>
      <c r="H1001" s="197">
        <v>67.85</v>
      </c>
      <c r="I1001" s="7" t="s">
        <v>16815</v>
      </c>
      <c r="J1001" s="7" t="s">
        <v>169</v>
      </c>
      <c r="K1001" s="7" t="s">
        <v>17619</v>
      </c>
      <c r="L1001" s="198" t="s">
        <v>65</v>
      </c>
      <c r="M1001" s="199"/>
      <c r="N1001" s="199"/>
    </row>
    <row r="1002">
      <c r="A1002" s="193" t="s">
        <v>18118</v>
      </c>
      <c r="B1002" s="7" t="s">
        <v>187</v>
      </c>
      <c r="C1002" s="7" t="s">
        <v>16846</v>
      </c>
      <c r="D1002" s="194">
        <v>1999.0</v>
      </c>
      <c r="E1002" s="193"/>
      <c r="F1002" s="195" t="s">
        <v>18119</v>
      </c>
      <c r="G1002" s="196">
        <v>1.5819159001E10</v>
      </c>
      <c r="H1002" s="197">
        <v>83.98</v>
      </c>
      <c r="I1002" s="7" t="s">
        <v>16815</v>
      </c>
      <c r="J1002" s="7" t="s">
        <v>187</v>
      </c>
      <c r="K1002" s="7" t="s">
        <v>16846</v>
      </c>
      <c r="L1002" s="198" t="s">
        <v>65</v>
      </c>
      <c r="M1002" s="194"/>
      <c r="N1002" s="194"/>
    </row>
    <row r="1003">
      <c r="A1003" s="193" t="s">
        <v>18120</v>
      </c>
      <c r="B1003" s="7" t="s">
        <v>16838</v>
      </c>
      <c r="C1003" s="7" t="s">
        <v>17002</v>
      </c>
      <c r="D1003" s="199"/>
      <c r="E1003" s="193"/>
      <c r="F1003" s="195" t="s">
        <v>18121</v>
      </c>
      <c r="G1003" s="196">
        <v>1.5725641761E10</v>
      </c>
      <c r="H1003" s="197">
        <v>40.36</v>
      </c>
      <c r="I1003" s="7" t="s">
        <v>16815</v>
      </c>
      <c r="J1003" s="7" t="s">
        <v>16838</v>
      </c>
      <c r="K1003" s="7" t="s">
        <v>17002</v>
      </c>
      <c r="L1003" s="198" t="s">
        <v>65</v>
      </c>
      <c r="M1003" s="199"/>
      <c r="N1003" s="199"/>
    </row>
    <row r="1004">
      <c r="A1004" s="193" t="s">
        <v>18120</v>
      </c>
      <c r="B1004" s="7" t="s">
        <v>17002</v>
      </c>
      <c r="C1004" s="7" t="s">
        <v>16838</v>
      </c>
      <c r="D1004" s="199"/>
      <c r="E1004" s="193"/>
      <c r="F1004" s="195" t="s">
        <v>18121</v>
      </c>
      <c r="G1004" s="200">
        <v>1.5725641761E10</v>
      </c>
      <c r="H1004" s="197">
        <v>40.36</v>
      </c>
      <c r="I1004" s="7" t="s">
        <v>16815</v>
      </c>
      <c r="J1004" s="7" t="s">
        <v>17002</v>
      </c>
      <c r="K1004" s="7" t="s">
        <v>16838</v>
      </c>
      <c r="L1004" s="201" t="s">
        <v>16835</v>
      </c>
      <c r="M1004" s="199"/>
      <c r="N1004" s="199"/>
    </row>
    <row r="1005">
      <c r="A1005" s="193" t="s">
        <v>18122</v>
      </c>
      <c r="B1005" s="7" t="s">
        <v>16838</v>
      </c>
      <c r="C1005" s="7" t="s">
        <v>17127</v>
      </c>
      <c r="D1005" s="199"/>
      <c r="E1005" s="193"/>
      <c r="F1005" s="195" t="s">
        <v>18123</v>
      </c>
      <c r="G1005" s="196">
        <v>1.5648406916E10</v>
      </c>
      <c r="H1005" s="197">
        <v>99.73</v>
      </c>
      <c r="I1005" s="7" t="s">
        <v>16815</v>
      </c>
      <c r="J1005" s="7" t="s">
        <v>16838</v>
      </c>
      <c r="K1005" s="7" t="s">
        <v>17127</v>
      </c>
      <c r="L1005" s="198" t="s">
        <v>65</v>
      </c>
      <c r="M1005" s="199"/>
      <c r="N1005" s="199"/>
    </row>
    <row r="1006">
      <c r="A1006" s="193" t="s">
        <v>18124</v>
      </c>
      <c r="B1006" s="7" t="s">
        <v>16945</v>
      </c>
      <c r="C1006" s="7" t="s">
        <v>169</v>
      </c>
      <c r="D1006" s="194">
        <v>2004.0</v>
      </c>
      <c r="E1006" s="193"/>
      <c r="F1006" s="195" t="s">
        <v>18125</v>
      </c>
      <c r="G1006" s="200">
        <v>1.5630610881E10</v>
      </c>
      <c r="H1006" s="197">
        <v>121.98</v>
      </c>
      <c r="I1006" s="7" t="s">
        <v>16815</v>
      </c>
      <c r="J1006" s="7" t="s">
        <v>16945</v>
      </c>
      <c r="K1006" s="7" t="s">
        <v>169</v>
      </c>
      <c r="L1006" s="201" t="s">
        <v>16835</v>
      </c>
      <c r="M1006" s="194"/>
      <c r="N1006" s="194"/>
    </row>
    <row r="1007">
      <c r="A1007" s="193" t="s">
        <v>18124</v>
      </c>
      <c r="B1007" s="7" t="s">
        <v>169</v>
      </c>
      <c r="C1007" s="7" t="s">
        <v>16945</v>
      </c>
      <c r="D1007" s="194">
        <v>2004.0</v>
      </c>
      <c r="E1007" s="193"/>
      <c r="F1007" s="195" t="s">
        <v>18125</v>
      </c>
      <c r="G1007" s="196">
        <v>1.5630610881E10</v>
      </c>
      <c r="H1007" s="197">
        <v>121.98</v>
      </c>
      <c r="I1007" s="7" t="s">
        <v>16815</v>
      </c>
      <c r="J1007" s="7" t="s">
        <v>169</v>
      </c>
      <c r="K1007" s="7" t="s">
        <v>16945</v>
      </c>
      <c r="L1007" s="198" t="s">
        <v>65</v>
      </c>
      <c r="M1007" s="194"/>
      <c r="N1007" s="194"/>
    </row>
    <row r="1008">
      <c r="A1008" s="193" t="s">
        <v>18126</v>
      </c>
      <c r="B1008" s="7" t="s">
        <v>187</v>
      </c>
      <c r="C1008" s="7" t="s">
        <v>16851</v>
      </c>
      <c r="D1008" s="194">
        <v>2000.0</v>
      </c>
      <c r="E1008" s="193"/>
      <c r="F1008" s="195" t="s">
        <v>18127</v>
      </c>
      <c r="G1008" s="196">
        <v>1.5571971E10</v>
      </c>
      <c r="H1008" s="197">
        <v>98.37</v>
      </c>
      <c r="I1008" s="7" t="s">
        <v>16815</v>
      </c>
      <c r="J1008" s="7" t="s">
        <v>187</v>
      </c>
      <c r="K1008" s="7" t="s">
        <v>16851</v>
      </c>
      <c r="L1008" s="198" t="s">
        <v>65</v>
      </c>
      <c r="M1008" s="194"/>
      <c r="N1008" s="194"/>
    </row>
    <row r="1009">
      <c r="A1009" s="193" t="s">
        <v>18128</v>
      </c>
      <c r="B1009" s="7" t="s">
        <v>16582</v>
      </c>
      <c r="C1009" s="7" t="s">
        <v>17339</v>
      </c>
      <c r="D1009" s="194">
        <v>2015.0</v>
      </c>
      <c r="E1009" s="193"/>
      <c r="F1009" s="195" t="s">
        <v>18129</v>
      </c>
      <c r="G1009" s="196">
        <v>1.5524655916E10</v>
      </c>
      <c r="H1009" s="197">
        <v>289.52</v>
      </c>
      <c r="I1009" s="7" t="s">
        <v>16815</v>
      </c>
      <c r="J1009" s="7" t="s">
        <v>16582</v>
      </c>
      <c r="K1009" s="7" t="s">
        <v>17339</v>
      </c>
      <c r="L1009" s="198" t="s">
        <v>65</v>
      </c>
      <c r="M1009" s="194"/>
      <c r="N1009" s="194"/>
    </row>
    <row r="1010">
      <c r="A1010" s="193" t="s">
        <v>18128</v>
      </c>
      <c r="B1010" s="7" t="s">
        <v>17339</v>
      </c>
      <c r="C1010" s="7" t="s">
        <v>16582</v>
      </c>
      <c r="D1010" s="194">
        <v>2015.0</v>
      </c>
      <c r="E1010" s="193"/>
      <c r="F1010" s="195" t="s">
        <v>18129</v>
      </c>
      <c r="G1010" s="200">
        <v>1.5524655916E10</v>
      </c>
      <c r="H1010" s="197">
        <v>289.52</v>
      </c>
      <c r="I1010" s="7" t="s">
        <v>16815</v>
      </c>
      <c r="J1010" s="7" t="s">
        <v>17339</v>
      </c>
      <c r="K1010" s="7" t="s">
        <v>16582</v>
      </c>
      <c r="L1010" s="201" t="s">
        <v>16835</v>
      </c>
      <c r="M1010" s="194"/>
      <c r="N1010" s="194"/>
    </row>
    <row r="1011">
      <c r="A1011" s="193" t="s">
        <v>18130</v>
      </c>
      <c r="B1011" s="7" t="s">
        <v>16838</v>
      </c>
      <c r="C1011" s="7" t="s">
        <v>17016</v>
      </c>
      <c r="D1011" s="199"/>
      <c r="E1011" s="193"/>
      <c r="F1011" s="195" t="s">
        <v>18131</v>
      </c>
      <c r="G1011" s="196">
        <v>1.5513143668E10</v>
      </c>
      <c r="H1011" s="197">
        <v>68.56</v>
      </c>
      <c r="I1011" s="7" t="s">
        <v>16815</v>
      </c>
      <c r="J1011" s="7" t="s">
        <v>16838</v>
      </c>
      <c r="K1011" s="7" t="s">
        <v>17016</v>
      </c>
      <c r="L1011" s="198" t="s">
        <v>65</v>
      </c>
      <c r="M1011" s="199"/>
      <c r="N1011" s="199"/>
    </row>
    <row r="1012">
      <c r="A1012" s="193" t="s">
        <v>18132</v>
      </c>
      <c r="B1012" s="7" t="s">
        <v>16582</v>
      </c>
      <c r="C1012" s="7" t="s">
        <v>17342</v>
      </c>
      <c r="D1012" s="199"/>
      <c r="E1012" s="193"/>
      <c r="F1012" s="195" t="s">
        <v>18133</v>
      </c>
      <c r="G1012" s="196">
        <v>1.5403781016E10</v>
      </c>
      <c r="H1012" s="197">
        <v>4.62</v>
      </c>
      <c r="I1012" s="7" t="s">
        <v>16815</v>
      </c>
      <c r="J1012" s="7" t="s">
        <v>16582</v>
      </c>
      <c r="K1012" s="7" t="s">
        <v>17342</v>
      </c>
      <c r="L1012" s="198" t="s">
        <v>65</v>
      </c>
      <c r="M1012" s="199"/>
      <c r="N1012" s="199"/>
    </row>
    <row r="1013">
      <c r="A1013" s="193" t="s">
        <v>18134</v>
      </c>
      <c r="B1013" s="7" t="s">
        <v>169</v>
      </c>
      <c r="C1013" s="7" t="s">
        <v>17475</v>
      </c>
      <c r="D1013" s="199"/>
      <c r="E1013" s="193"/>
      <c r="F1013" s="195" t="s">
        <v>18135</v>
      </c>
      <c r="G1013" s="196">
        <v>1.5389852255E10</v>
      </c>
      <c r="H1013" s="197">
        <v>48.81</v>
      </c>
      <c r="I1013" s="7" t="s">
        <v>16815</v>
      </c>
      <c r="J1013" s="7" t="s">
        <v>169</v>
      </c>
      <c r="K1013" s="7" t="s">
        <v>17475</v>
      </c>
      <c r="L1013" s="198" t="s">
        <v>65</v>
      </c>
      <c r="M1013" s="199"/>
      <c r="N1013" s="199"/>
    </row>
    <row r="1014">
      <c r="A1014" s="193" t="s">
        <v>18134</v>
      </c>
      <c r="B1014" s="7" t="s">
        <v>17475</v>
      </c>
      <c r="C1014" s="7" t="s">
        <v>169</v>
      </c>
      <c r="D1014" s="199"/>
      <c r="E1014" s="193"/>
      <c r="F1014" s="195" t="s">
        <v>18135</v>
      </c>
      <c r="G1014" s="200">
        <v>1.5389852255E10</v>
      </c>
      <c r="H1014" s="197">
        <v>48.81</v>
      </c>
      <c r="I1014" s="7" t="s">
        <v>16815</v>
      </c>
      <c r="J1014" s="7" t="s">
        <v>17475</v>
      </c>
      <c r="K1014" s="7" t="s">
        <v>169</v>
      </c>
      <c r="L1014" s="201" t="s">
        <v>16835</v>
      </c>
      <c r="M1014" s="199"/>
      <c r="N1014" s="199"/>
    </row>
    <row r="1015">
      <c r="A1015" s="193" t="s">
        <v>18136</v>
      </c>
      <c r="B1015" s="7" t="s">
        <v>16582</v>
      </c>
      <c r="C1015" s="7" t="s">
        <v>17435</v>
      </c>
      <c r="D1015" s="194">
        <v>2020.0</v>
      </c>
      <c r="E1015" s="193"/>
      <c r="F1015" s="195" t="s">
        <v>18137</v>
      </c>
      <c r="G1015" s="196">
        <v>1.5358360623E10</v>
      </c>
      <c r="H1015" s="197">
        <v>51.9</v>
      </c>
      <c r="I1015" s="7" t="s">
        <v>16815</v>
      </c>
      <c r="J1015" s="7" t="s">
        <v>16582</v>
      </c>
      <c r="K1015" s="7" t="s">
        <v>17435</v>
      </c>
      <c r="L1015" s="198" t="s">
        <v>65</v>
      </c>
      <c r="M1015" s="194"/>
      <c r="N1015" s="194"/>
    </row>
    <row r="1016">
      <c r="A1016" s="193" t="s">
        <v>18138</v>
      </c>
      <c r="B1016" s="7" t="s">
        <v>17321</v>
      </c>
      <c r="C1016" s="7" t="s">
        <v>169</v>
      </c>
      <c r="D1016" s="194">
        <v>1994.0</v>
      </c>
      <c r="E1016" s="193"/>
      <c r="F1016" s="195" t="s">
        <v>18139</v>
      </c>
      <c r="G1016" s="200">
        <v>1.5356887101E10</v>
      </c>
      <c r="H1016" s="197">
        <v>267.21</v>
      </c>
      <c r="I1016" s="7" t="s">
        <v>16815</v>
      </c>
      <c r="J1016" s="7" t="s">
        <v>17321</v>
      </c>
      <c r="K1016" s="7" t="s">
        <v>169</v>
      </c>
      <c r="L1016" s="201" t="s">
        <v>16835</v>
      </c>
      <c r="M1016" s="194"/>
      <c r="N1016" s="194"/>
    </row>
    <row r="1017">
      <c r="A1017" s="193" t="s">
        <v>18138</v>
      </c>
      <c r="B1017" s="7" t="s">
        <v>169</v>
      </c>
      <c r="C1017" s="7" t="s">
        <v>17321</v>
      </c>
      <c r="D1017" s="194">
        <v>1994.0</v>
      </c>
      <c r="E1017" s="193"/>
      <c r="F1017" s="195" t="s">
        <v>18139</v>
      </c>
      <c r="G1017" s="196">
        <v>1.5356887101E10</v>
      </c>
      <c r="H1017" s="197">
        <v>267.21</v>
      </c>
      <c r="I1017" s="7" t="s">
        <v>16815</v>
      </c>
      <c r="J1017" s="7" t="s">
        <v>169</v>
      </c>
      <c r="K1017" s="7" t="s">
        <v>17321</v>
      </c>
      <c r="L1017" s="198" t="s">
        <v>65</v>
      </c>
      <c r="M1017" s="194"/>
      <c r="N1017" s="194"/>
    </row>
    <row r="1018">
      <c r="A1018" s="193" t="s">
        <v>18140</v>
      </c>
      <c r="B1018" s="7" t="s">
        <v>175</v>
      </c>
      <c r="C1018" s="7" t="s">
        <v>16890</v>
      </c>
      <c r="D1018" s="194">
        <v>2005.0</v>
      </c>
      <c r="E1018" s="193"/>
      <c r="F1018" s="195" t="s">
        <v>18141</v>
      </c>
      <c r="G1018" s="196">
        <v>1.5334471068E10</v>
      </c>
      <c r="H1018" s="197">
        <v>124.32</v>
      </c>
      <c r="I1018" s="7" t="s">
        <v>16908</v>
      </c>
      <c r="J1018" s="7" t="s">
        <v>175</v>
      </c>
      <c r="K1018" s="7" t="s">
        <v>16890</v>
      </c>
      <c r="L1018" s="198" t="s">
        <v>65</v>
      </c>
      <c r="M1018" s="194"/>
      <c r="N1018" s="194"/>
    </row>
    <row r="1019">
      <c r="A1019" s="193" t="s">
        <v>18140</v>
      </c>
      <c r="B1019" s="7" t="s">
        <v>16890</v>
      </c>
      <c r="C1019" s="7" t="s">
        <v>175</v>
      </c>
      <c r="D1019" s="194">
        <v>2005.0</v>
      </c>
      <c r="E1019" s="193"/>
      <c r="F1019" s="195" t="s">
        <v>18141</v>
      </c>
      <c r="G1019" s="200">
        <v>1.5334471068E10</v>
      </c>
      <c r="H1019" s="197">
        <v>124.32</v>
      </c>
      <c r="I1019" s="7" t="s">
        <v>16815</v>
      </c>
      <c r="J1019" s="7" t="s">
        <v>16890</v>
      </c>
      <c r="K1019" s="7" t="s">
        <v>175</v>
      </c>
      <c r="L1019" s="201" t="s">
        <v>16835</v>
      </c>
      <c r="M1019" s="194"/>
      <c r="N1019" s="194"/>
    </row>
    <row r="1020">
      <c r="A1020" s="193" t="s">
        <v>18142</v>
      </c>
      <c r="B1020" s="7" t="s">
        <v>17112</v>
      </c>
      <c r="C1020" s="7" t="s">
        <v>17111</v>
      </c>
      <c r="D1020" s="199"/>
      <c r="E1020" s="193"/>
      <c r="F1020" s="195" t="s">
        <v>18143</v>
      </c>
      <c r="G1020" s="196">
        <v>1.5260947234E10</v>
      </c>
      <c r="H1020" s="197">
        <v>22.74</v>
      </c>
      <c r="I1020" s="7" t="s">
        <v>16815</v>
      </c>
      <c r="J1020" s="7" t="s">
        <v>17112</v>
      </c>
      <c r="K1020" s="7" t="s">
        <v>17111</v>
      </c>
      <c r="L1020" s="198" t="s">
        <v>65</v>
      </c>
      <c r="M1020" s="199"/>
      <c r="N1020" s="199"/>
    </row>
    <row r="1021">
      <c r="A1021" s="193" t="s">
        <v>18144</v>
      </c>
      <c r="B1021" s="7" t="s">
        <v>169</v>
      </c>
      <c r="C1021" s="7" t="s">
        <v>17738</v>
      </c>
      <c r="D1021" s="194">
        <v>2005.0</v>
      </c>
      <c r="E1021" s="193"/>
      <c r="F1021" s="195" t="s">
        <v>18145</v>
      </c>
      <c r="G1021" s="196">
        <v>1.5194723525E10</v>
      </c>
      <c r="H1021" s="197">
        <v>79.53</v>
      </c>
      <c r="I1021" s="7" t="s">
        <v>16815</v>
      </c>
      <c r="J1021" s="7" t="s">
        <v>169</v>
      </c>
      <c r="K1021" s="7" t="s">
        <v>17738</v>
      </c>
      <c r="L1021" s="198" t="s">
        <v>65</v>
      </c>
      <c r="M1021" s="194"/>
      <c r="N1021" s="194"/>
    </row>
    <row r="1022">
      <c r="A1022" s="193" t="s">
        <v>18144</v>
      </c>
      <c r="B1022" s="7" t="s">
        <v>17738</v>
      </c>
      <c r="C1022" s="7" t="s">
        <v>169</v>
      </c>
      <c r="D1022" s="194">
        <v>2005.0</v>
      </c>
      <c r="E1022" s="193"/>
      <c r="F1022" s="195" t="s">
        <v>18145</v>
      </c>
      <c r="G1022" s="200">
        <v>1.5194723525E10</v>
      </c>
      <c r="H1022" s="197">
        <v>79.53</v>
      </c>
      <c r="I1022" s="7" t="s">
        <v>16815</v>
      </c>
      <c r="J1022" s="7" t="s">
        <v>17738</v>
      </c>
      <c r="K1022" s="7" t="s">
        <v>169</v>
      </c>
      <c r="L1022" s="201" t="s">
        <v>16835</v>
      </c>
      <c r="M1022" s="194"/>
      <c r="N1022" s="194"/>
    </row>
    <row r="1023">
      <c r="A1023" s="193" t="s">
        <v>18146</v>
      </c>
      <c r="B1023" s="7" t="s">
        <v>16910</v>
      </c>
      <c r="C1023" s="7" t="s">
        <v>17119</v>
      </c>
      <c r="D1023" s="199"/>
      <c r="E1023" s="193"/>
      <c r="F1023" s="195" t="s">
        <v>18147</v>
      </c>
      <c r="G1023" s="196">
        <v>1.518695234E10</v>
      </c>
      <c r="H1023" s="197">
        <v>104.53</v>
      </c>
      <c r="I1023" s="7" t="s">
        <v>16856</v>
      </c>
      <c r="J1023" s="7" t="s">
        <v>16910</v>
      </c>
      <c r="K1023" s="7" t="s">
        <v>17119</v>
      </c>
      <c r="L1023" s="198" t="s">
        <v>65</v>
      </c>
      <c r="M1023" s="199"/>
      <c r="N1023" s="199"/>
    </row>
    <row r="1024">
      <c r="A1024" s="193" t="s">
        <v>18146</v>
      </c>
      <c r="B1024" s="7" t="s">
        <v>17119</v>
      </c>
      <c r="C1024" s="7" t="s">
        <v>16910</v>
      </c>
      <c r="D1024" s="199"/>
      <c r="E1024" s="193"/>
      <c r="F1024" s="195" t="s">
        <v>18147</v>
      </c>
      <c r="G1024" s="200">
        <v>1.518695234E10</v>
      </c>
      <c r="H1024" s="197">
        <v>104.53</v>
      </c>
      <c r="I1024" s="7" t="s">
        <v>16815</v>
      </c>
      <c r="J1024" s="7" t="s">
        <v>17119</v>
      </c>
      <c r="K1024" s="7" t="s">
        <v>16910</v>
      </c>
      <c r="L1024" s="201" t="s">
        <v>16835</v>
      </c>
      <c r="M1024" s="199"/>
      <c r="N1024" s="199"/>
    </row>
    <row r="1025">
      <c r="A1025" s="193" t="s">
        <v>18148</v>
      </c>
      <c r="B1025" s="7" t="s">
        <v>16582</v>
      </c>
      <c r="C1025" s="7" t="s">
        <v>17183</v>
      </c>
      <c r="D1025" s="194">
        <v>2002.0</v>
      </c>
      <c r="E1025" s="193"/>
      <c r="F1025" s="195" t="s">
        <v>18149</v>
      </c>
      <c r="G1025" s="196">
        <v>1.5149104266E10</v>
      </c>
      <c r="H1025" s="197">
        <v>72.42</v>
      </c>
      <c r="I1025" s="7" t="s">
        <v>16815</v>
      </c>
      <c r="J1025" s="7" t="s">
        <v>16582</v>
      </c>
      <c r="K1025" s="7" t="s">
        <v>17183</v>
      </c>
      <c r="L1025" s="198" t="s">
        <v>65</v>
      </c>
      <c r="M1025" s="194"/>
      <c r="N1025" s="194"/>
    </row>
    <row r="1026">
      <c r="A1026" s="193" t="s">
        <v>18150</v>
      </c>
      <c r="B1026" s="7" t="s">
        <v>169</v>
      </c>
      <c r="C1026" s="7" t="s">
        <v>17827</v>
      </c>
      <c r="D1026" s="194">
        <v>1995.0</v>
      </c>
      <c r="E1026" s="193"/>
      <c r="F1026" s="195" t="s">
        <v>18151</v>
      </c>
      <c r="G1026" s="196">
        <v>1.5131775954E10</v>
      </c>
      <c r="H1026" s="197">
        <v>255.92</v>
      </c>
      <c r="I1026" s="7" t="s">
        <v>16815</v>
      </c>
      <c r="J1026" s="7" t="s">
        <v>169</v>
      </c>
      <c r="K1026" s="7" t="s">
        <v>17827</v>
      </c>
      <c r="L1026" s="198" t="s">
        <v>65</v>
      </c>
      <c r="M1026" s="194"/>
      <c r="N1026" s="194"/>
    </row>
    <row r="1027">
      <c r="A1027" s="193" t="s">
        <v>18150</v>
      </c>
      <c r="B1027" s="7" t="s">
        <v>17827</v>
      </c>
      <c r="C1027" s="7" t="s">
        <v>169</v>
      </c>
      <c r="D1027" s="194">
        <v>1995.0</v>
      </c>
      <c r="E1027" s="193"/>
      <c r="F1027" s="195" t="s">
        <v>18151</v>
      </c>
      <c r="G1027" s="200">
        <v>1.5131775954E10</v>
      </c>
      <c r="H1027" s="197">
        <v>255.92</v>
      </c>
      <c r="I1027" s="7" t="s">
        <v>16815</v>
      </c>
      <c r="J1027" s="7" t="s">
        <v>17827</v>
      </c>
      <c r="K1027" s="7" t="s">
        <v>169</v>
      </c>
      <c r="L1027" s="201" t="s">
        <v>16835</v>
      </c>
      <c r="M1027" s="194"/>
      <c r="N1027" s="194"/>
    </row>
    <row r="1028">
      <c r="A1028" s="193" t="s">
        <v>18152</v>
      </c>
      <c r="B1028" s="7" t="s">
        <v>175</v>
      </c>
      <c r="C1028" s="7" t="s">
        <v>17350</v>
      </c>
      <c r="D1028" s="199"/>
      <c r="E1028" s="193"/>
      <c r="F1028" s="195" t="s">
        <v>18153</v>
      </c>
      <c r="G1028" s="196">
        <v>1.5068338078E10</v>
      </c>
      <c r="H1028" s="197">
        <v>52.62</v>
      </c>
      <c r="I1028" s="7" t="s">
        <v>168</v>
      </c>
      <c r="J1028" s="7" t="s">
        <v>175</v>
      </c>
      <c r="K1028" s="7" t="s">
        <v>17350</v>
      </c>
      <c r="L1028" s="198" t="s">
        <v>65</v>
      </c>
      <c r="M1028" s="199"/>
      <c r="N1028" s="199"/>
    </row>
    <row r="1029">
      <c r="A1029" s="193" t="s">
        <v>18152</v>
      </c>
      <c r="B1029" s="7" t="s">
        <v>17350</v>
      </c>
      <c r="C1029" s="7" t="s">
        <v>175</v>
      </c>
      <c r="D1029" s="199"/>
      <c r="E1029" s="193"/>
      <c r="F1029" s="195" t="s">
        <v>18153</v>
      </c>
      <c r="G1029" s="200">
        <v>1.5068338078E10</v>
      </c>
      <c r="H1029" s="197">
        <v>52.62</v>
      </c>
      <c r="I1029" s="7" t="s">
        <v>16815</v>
      </c>
      <c r="J1029" s="7" t="s">
        <v>17350</v>
      </c>
      <c r="K1029" s="7" t="s">
        <v>175</v>
      </c>
      <c r="L1029" s="201" t="s">
        <v>16835</v>
      </c>
      <c r="M1029" s="199"/>
      <c r="N1029" s="199"/>
    </row>
    <row r="1030">
      <c r="A1030" s="193" t="s">
        <v>18154</v>
      </c>
      <c r="B1030" s="7" t="s">
        <v>17112</v>
      </c>
      <c r="C1030" s="7" t="s">
        <v>17111</v>
      </c>
      <c r="D1030" s="199"/>
      <c r="E1030" s="193"/>
      <c r="F1030" s="195" t="s">
        <v>18155</v>
      </c>
      <c r="G1030" s="196">
        <v>1.5046193359E10</v>
      </c>
      <c r="H1030" s="197">
        <v>22.42</v>
      </c>
      <c r="I1030" s="7" t="s">
        <v>16815</v>
      </c>
      <c r="J1030" s="7" t="s">
        <v>17112</v>
      </c>
      <c r="K1030" s="7" t="s">
        <v>17111</v>
      </c>
      <c r="L1030" s="198" t="s">
        <v>65</v>
      </c>
      <c r="M1030" s="199"/>
      <c r="N1030" s="199"/>
    </row>
    <row r="1031">
      <c r="A1031" s="193" t="s">
        <v>18156</v>
      </c>
      <c r="B1031" s="7" t="s">
        <v>175</v>
      </c>
      <c r="C1031" s="7" t="s">
        <v>17391</v>
      </c>
      <c r="D1031" s="199"/>
      <c r="E1031" s="193"/>
      <c r="F1031" s="195" t="s">
        <v>18157</v>
      </c>
      <c r="G1031" s="196">
        <v>1.4991534036E10</v>
      </c>
      <c r="H1031" s="197">
        <v>75.74</v>
      </c>
      <c r="I1031" s="7" t="s">
        <v>168</v>
      </c>
      <c r="J1031" s="7" t="s">
        <v>175</v>
      </c>
      <c r="K1031" s="7" t="s">
        <v>17391</v>
      </c>
      <c r="L1031" s="198" t="s">
        <v>65</v>
      </c>
      <c r="M1031" s="199"/>
      <c r="N1031" s="199"/>
    </row>
    <row r="1032">
      <c r="A1032" s="193" t="s">
        <v>18156</v>
      </c>
      <c r="B1032" s="7" t="s">
        <v>17391</v>
      </c>
      <c r="C1032" s="7" t="s">
        <v>175</v>
      </c>
      <c r="D1032" s="199"/>
      <c r="E1032" s="193"/>
      <c r="F1032" s="195" t="s">
        <v>18157</v>
      </c>
      <c r="G1032" s="200">
        <v>1.4991534036E10</v>
      </c>
      <c r="H1032" s="197">
        <v>75.74</v>
      </c>
      <c r="I1032" s="7" t="s">
        <v>16815</v>
      </c>
      <c r="J1032" s="7" t="s">
        <v>17391</v>
      </c>
      <c r="K1032" s="7" t="s">
        <v>175</v>
      </c>
      <c r="L1032" s="201" t="s">
        <v>16835</v>
      </c>
      <c r="M1032" s="199"/>
      <c r="N1032" s="199"/>
    </row>
    <row r="1033">
      <c r="A1033" s="193" t="s">
        <v>18158</v>
      </c>
      <c r="B1033" s="7" t="s">
        <v>16851</v>
      </c>
      <c r="C1033" s="7" t="s">
        <v>187</v>
      </c>
      <c r="D1033" s="199"/>
      <c r="E1033" s="193"/>
      <c r="F1033" s="195" t="s">
        <v>18159</v>
      </c>
      <c r="G1033" s="200">
        <v>1.4933616302E10</v>
      </c>
      <c r="H1033" s="197">
        <v>132.82</v>
      </c>
      <c r="I1033" s="7" t="s">
        <v>16815</v>
      </c>
      <c r="J1033" s="7" t="s">
        <v>16851</v>
      </c>
      <c r="K1033" s="7" t="s">
        <v>187</v>
      </c>
      <c r="L1033" s="201" t="s">
        <v>16835</v>
      </c>
      <c r="M1033" s="199"/>
      <c r="N1033" s="199"/>
    </row>
    <row r="1034">
      <c r="A1034" s="193" t="s">
        <v>18158</v>
      </c>
      <c r="B1034" s="7" t="s">
        <v>187</v>
      </c>
      <c r="C1034" s="7" t="s">
        <v>16851</v>
      </c>
      <c r="D1034" s="199"/>
      <c r="E1034" s="193"/>
      <c r="F1034" s="195" t="s">
        <v>18159</v>
      </c>
      <c r="G1034" s="196">
        <v>1.4933616302E10</v>
      </c>
      <c r="H1034" s="197">
        <v>132.82</v>
      </c>
      <c r="I1034" s="7" t="s">
        <v>16815</v>
      </c>
      <c r="J1034" s="7" t="s">
        <v>187</v>
      </c>
      <c r="K1034" s="7" t="s">
        <v>16851</v>
      </c>
      <c r="L1034" s="198" t="s">
        <v>65</v>
      </c>
      <c r="M1034" s="199"/>
      <c r="N1034" s="199"/>
    </row>
    <row r="1035">
      <c r="A1035" s="193" t="s">
        <v>18160</v>
      </c>
      <c r="B1035" s="7" t="s">
        <v>169</v>
      </c>
      <c r="C1035" s="7" t="s">
        <v>17022</v>
      </c>
      <c r="D1035" s="199"/>
      <c r="E1035" s="193"/>
      <c r="F1035" s="195" t="s">
        <v>18161</v>
      </c>
      <c r="G1035" s="196">
        <v>1.4919935387E10</v>
      </c>
      <c r="H1035" s="197">
        <v>76.12</v>
      </c>
      <c r="I1035" s="7" t="s">
        <v>16815</v>
      </c>
      <c r="J1035" s="7" t="s">
        <v>169</v>
      </c>
      <c r="K1035" s="7" t="s">
        <v>17022</v>
      </c>
      <c r="L1035" s="198" t="s">
        <v>65</v>
      </c>
      <c r="M1035" s="199"/>
      <c r="N1035" s="199"/>
    </row>
    <row r="1036">
      <c r="A1036" s="193" t="s">
        <v>18160</v>
      </c>
      <c r="B1036" s="7" t="s">
        <v>17022</v>
      </c>
      <c r="C1036" s="7" t="s">
        <v>169</v>
      </c>
      <c r="D1036" s="199"/>
      <c r="E1036" s="193"/>
      <c r="F1036" s="195" t="s">
        <v>18161</v>
      </c>
      <c r="G1036" s="200">
        <v>1.4919935387E10</v>
      </c>
      <c r="H1036" s="197">
        <v>76.12</v>
      </c>
      <c r="I1036" s="7" t="s">
        <v>16815</v>
      </c>
      <c r="J1036" s="7" t="s">
        <v>17022</v>
      </c>
      <c r="K1036" s="7" t="s">
        <v>169</v>
      </c>
      <c r="L1036" s="201" t="s">
        <v>16835</v>
      </c>
      <c r="M1036" s="199"/>
      <c r="N1036" s="199"/>
    </row>
    <row r="1037">
      <c r="A1037" s="193" t="s">
        <v>18162</v>
      </c>
      <c r="B1037" s="7" t="s">
        <v>16838</v>
      </c>
      <c r="C1037" s="7" t="s">
        <v>16867</v>
      </c>
      <c r="D1037" s="199"/>
      <c r="E1037" s="193"/>
      <c r="F1037" s="195" t="s">
        <v>18163</v>
      </c>
      <c r="G1037" s="196">
        <v>1.4871731205E10</v>
      </c>
      <c r="H1037" s="197">
        <v>10.27</v>
      </c>
      <c r="I1037" s="7" t="s">
        <v>16815</v>
      </c>
      <c r="J1037" s="7" t="s">
        <v>16838</v>
      </c>
      <c r="K1037" s="7" t="s">
        <v>16867</v>
      </c>
      <c r="L1037" s="198" t="s">
        <v>65</v>
      </c>
      <c r="M1037" s="199"/>
      <c r="N1037" s="199"/>
    </row>
    <row r="1038">
      <c r="A1038" s="193" t="s">
        <v>18164</v>
      </c>
      <c r="B1038" s="7" t="s">
        <v>16582</v>
      </c>
      <c r="C1038" s="7" t="s">
        <v>16817</v>
      </c>
      <c r="D1038" s="194">
        <v>2019.0</v>
      </c>
      <c r="E1038" s="193"/>
      <c r="F1038" s="195" t="s">
        <v>18165</v>
      </c>
      <c r="G1038" s="196">
        <v>1.4869865286E10</v>
      </c>
      <c r="H1038" s="197">
        <v>50.51</v>
      </c>
      <c r="I1038" s="7" t="s">
        <v>16815</v>
      </c>
      <c r="J1038" s="7" t="s">
        <v>16582</v>
      </c>
      <c r="K1038" s="7" t="s">
        <v>16817</v>
      </c>
      <c r="L1038" s="198" t="s">
        <v>65</v>
      </c>
      <c r="M1038" s="194"/>
      <c r="N1038" s="194"/>
    </row>
    <row r="1039">
      <c r="A1039" s="193" t="s">
        <v>18164</v>
      </c>
      <c r="B1039" s="7" t="s">
        <v>16817</v>
      </c>
      <c r="C1039" s="7" t="s">
        <v>16582</v>
      </c>
      <c r="D1039" s="194">
        <v>2019.0</v>
      </c>
      <c r="E1039" s="193"/>
      <c r="F1039" s="195" t="s">
        <v>18165</v>
      </c>
      <c r="G1039" s="200">
        <v>1.4869865286E10</v>
      </c>
      <c r="H1039" s="197">
        <v>50.51</v>
      </c>
      <c r="I1039" s="7" t="s">
        <v>16815</v>
      </c>
      <c r="J1039" s="7" t="s">
        <v>16817</v>
      </c>
      <c r="K1039" s="7" t="s">
        <v>16582</v>
      </c>
      <c r="L1039" s="201" t="s">
        <v>16835</v>
      </c>
      <c r="M1039" s="194"/>
      <c r="N1039" s="194"/>
    </row>
    <row r="1040">
      <c r="A1040" s="193" t="s">
        <v>18166</v>
      </c>
      <c r="B1040" s="7" t="s">
        <v>16885</v>
      </c>
      <c r="C1040" s="7" t="s">
        <v>16886</v>
      </c>
      <c r="D1040" s="194">
        <v>2020.0</v>
      </c>
      <c r="E1040" s="193"/>
      <c r="F1040" s="195" t="s">
        <v>18167</v>
      </c>
      <c r="G1040" s="196">
        <v>1.4866914319E10</v>
      </c>
      <c r="H1040" s="197">
        <v>19.23</v>
      </c>
      <c r="I1040" s="7" t="s">
        <v>16826</v>
      </c>
      <c r="J1040" s="7" t="s">
        <v>16885</v>
      </c>
      <c r="K1040" s="7" t="s">
        <v>16886</v>
      </c>
      <c r="L1040" s="198" t="s">
        <v>65</v>
      </c>
      <c r="M1040" s="194"/>
      <c r="N1040" s="194"/>
    </row>
    <row r="1041">
      <c r="A1041" s="193" t="s">
        <v>18166</v>
      </c>
      <c r="B1041" s="7" t="s">
        <v>16886</v>
      </c>
      <c r="C1041" s="7" t="s">
        <v>16885</v>
      </c>
      <c r="D1041" s="194">
        <v>2020.0</v>
      </c>
      <c r="E1041" s="193"/>
      <c r="F1041" s="195" t="s">
        <v>18167</v>
      </c>
      <c r="G1041" s="200">
        <v>1.4866914319E10</v>
      </c>
      <c r="H1041" s="197">
        <v>19.23</v>
      </c>
      <c r="I1041" s="7" t="s">
        <v>16815</v>
      </c>
      <c r="J1041" s="7" t="s">
        <v>16886</v>
      </c>
      <c r="K1041" s="7" t="s">
        <v>16885</v>
      </c>
      <c r="L1041" s="201" t="s">
        <v>16835</v>
      </c>
      <c r="M1041" s="194"/>
      <c r="N1041" s="194"/>
    </row>
    <row r="1042">
      <c r="A1042" s="193" t="s">
        <v>18168</v>
      </c>
      <c r="B1042" s="7" t="s">
        <v>175</v>
      </c>
      <c r="C1042" s="7" t="s">
        <v>16899</v>
      </c>
      <c r="D1042" s="199"/>
      <c r="E1042" s="193"/>
      <c r="F1042" s="195" t="s">
        <v>18169</v>
      </c>
      <c r="G1042" s="196">
        <v>1.4829168117E10</v>
      </c>
      <c r="H1042" s="197">
        <v>376.43</v>
      </c>
      <c r="I1042" s="7" t="s">
        <v>16856</v>
      </c>
      <c r="J1042" s="7" t="s">
        <v>175</v>
      </c>
      <c r="K1042" s="7" t="s">
        <v>16899</v>
      </c>
      <c r="L1042" s="198" t="s">
        <v>65</v>
      </c>
      <c r="M1042" s="199"/>
      <c r="N1042" s="199"/>
    </row>
    <row r="1043">
      <c r="A1043" s="193" t="s">
        <v>18168</v>
      </c>
      <c r="B1043" s="7" t="s">
        <v>16899</v>
      </c>
      <c r="C1043" s="7" t="s">
        <v>175</v>
      </c>
      <c r="D1043" s="199"/>
      <c r="E1043" s="193"/>
      <c r="F1043" s="195" t="s">
        <v>18169</v>
      </c>
      <c r="G1043" s="200">
        <v>1.4829168117E10</v>
      </c>
      <c r="H1043" s="197">
        <v>376.43</v>
      </c>
      <c r="I1043" s="7" t="s">
        <v>16815</v>
      </c>
      <c r="J1043" s="7" t="s">
        <v>16899</v>
      </c>
      <c r="K1043" s="7" t="s">
        <v>175</v>
      </c>
      <c r="L1043" s="201" t="s">
        <v>16835</v>
      </c>
      <c r="M1043" s="199"/>
      <c r="N1043" s="199"/>
    </row>
    <row r="1044">
      <c r="A1044" s="193" t="s">
        <v>18170</v>
      </c>
      <c r="B1044" s="7" t="s">
        <v>175</v>
      </c>
      <c r="C1044" s="7" t="s">
        <v>16842</v>
      </c>
      <c r="D1044" s="194">
        <v>2021.0</v>
      </c>
      <c r="E1044" s="193"/>
      <c r="F1044" s="195" t="s">
        <v>18171</v>
      </c>
      <c r="G1044" s="196">
        <v>1.4748850917E10</v>
      </c>
      <c r="H1044" s="197">
        <v>15.4</v>
      </c>
      <c r="I1044" s="7" t="s">
        <v>17222</v>
      </c>
      <c r="J1044" s="7" t="s">
        <v>175</v>
      </c>
      <c r="K1044" s="7" t="s">
        <v>16842</v>
      </c>
      <c r="L1044" s="198" t="s">
        <v>65</v>
      </c>
      <c r="M1044" s="194"/>
      <c r="N1044" s="194"/>
    </row>
    <row r="1045">
      <c r="A1045" s="193" t="s">
        <v>18172</v>
      </c>
      <c r="B1045" s="7" t="s">
        <v>187</v>
      </c>
      <c r="C1045" s="7" t="s">
        <v>17509</v>
      </c>
      <c r="D1045" s="194">
        <v>2001.0</v>
      </c>
      <c r="E1045" s="193"/>
      <c r="F1045" s="195" t="s">
        <v>18173</v>
      </c>
      <c r="G1045" s="196">
        <v>1.4715066473E10</v>
      </c>
      <c r="H1045" s="197">
        <v>192.13</v>
      </c>
      <c r="I1045" s="7" t="s">
        <v>16815</v>
      </c>
      <c r="J1045" s="7" t="s">
        <v>187</v>
      </c>
      <c r="K1045" s="7" t="s">
        <v>17509</v>
      </c>
      <c r="L1045" s="198" t="s">
        <v>65</v>
      </c>
      <c r="M1045" s="194"/>
      <c r="N1045" s="194"/>
    </row>
    <row r="1046">
      <c r="A1046" s="193" t="s">
        <v>18174</v>
      </c>
      <c r="B1046" s="7" t="s">
        <v>17127</v>
      </c>
      <c r="C1046" s="7" t="s">
        <v>16838</v>
      </c>
      <c r="D1046" s="199"/>
      <c r="E1046" s="193"/>
      <c r="F1046" s="195" t="s">
        <v>18175</v>
      </c>
      <c r="G1046" s="200">
        <v>1.4709984801E10</v>
      </c>
      <c r="H1046" s="197">
        <v>65.89</v>
      </c>
      <c r="I1046" s="7" t="s">
        <v>16815</v>
      </c>
      <c r="J1046" s="7" t="s">
        <v>17127</v>
      </c>
      <c r="K1046" s="7" t="s">
        <v>16838</v>
      </c>
      <c r="L1046" s="201" t="s">
        <v>16835</v>
      </c>
      <c r="M1046" s="199"/>
      <c r="N1046" s="199"/>
    </row>
    <row r="1047">
      <c r="A1047" s="193" t="s">
        <v>18174</v>
      </c>
      <c r="B1047" s="7" t="s">
        <v>16838</v>
      </c>
      <c r="C1047" s="7" t="s">
        <v>17127</v>
      </c>
      <c r="D1047" s="199"/>
      <c r="E1047" s="193"/>
      <c r="F1047" s="195" t="s">
        <v>18175</v>
      </c>
      <c r="G1047" s="196">
        <v>1.4709984801E10</v>
      </c>
      <c r="H1047" s="197">
        <v>65.89</v>
      </c>
      <c r="I1047" s="7" t="s">
        <v>16815</v>
      </c>
      <c r="J1047" s="7" t="s">
        <v>16838</v>
      </c>
      <c r="K1047" s="7" t="s">
        <v>17127</v>
      </c>
      <c r="L1047" s="198" t="s">
        <v>65</v>
      </c>
      <c r="M1047" s="199"/>
      <c r="N1047" s="199"/>
    </row>
    <row r="1048">
      <c r="A1048" s="193" t="s">
        <v>18176</v>
      </c>
      <c r="B1048" s="7" t="s">
        <v>16582</v>
      </c>
      <c r="C1048" s="7" t="s">
        <v>16930</v>
      </c>
      <c r="D1048" s="194">
        <v>2021.0</v>
      </c>
      <c r="E1048" s="193"/>
      <c r="F1048" s="195" t="s">
        <v>18177</v>
      </c>
      <c r="G1048" s="196">
        <v>1.4704750838E10</v>
      </c>
      <c r="H1048" s="197">
        <v>43.79</v>
      </c>
      <c r="I1048" s="7" t="s">
        <v>16815</v>
      </c>
      <c r="J1048" s="7" t="s">
        <v>16582</v>
      </c>
      <c r="K1048" s="7" t="s">
        <v>16930</v>
      </c>
      <c r="L1048" s="198" t="s">
        <v>65</v>
      </c>
      <c r="M1048" s="194"/>
      <c r="N1048" s="194"/>
    </row>
    <row r="1049">
      <c r="A1049" s="193" t="s">
        <v>18178</v>
      </c>
      <c r="B1049" s="7" t="s">
        <v>158</v>
      </c>
      <c r="C1049" s="7" t="s">
        <v>16864</v>
      </c>
      <c r="D1049" s="199"/>
      <c r="E1049" s="193"/>
      <c r="F1049" s="195" t="s">
        <v>18179</v>
      </c>
      <c r="G1049" s="196">
        <v>1.4683856212E10</v>
      </c>
      <c r="H1049" s="197">
        <v>25.09</v>
      </c>
      <c r="I1049" s="7" t="s">
        <v>17098</v>
      </c>
      <c r="J1049" s="7" t="s">
        <v>158</v>
      </c>
      <c r="K1049" s="7" t="s">
        <v>16864</v>
      </c>
      <c r="L1049" s="198" t="s">
        <v>65</v>
      </c>
      <c r="M1049" s="199"/>
      <c r="N1049" s="199"/>
    </row>
    <row r="1050">
      <c r="A1050" s="193" t="s">
        <v>18178</v>
      </c>
      <c r="B1050" s="7" t="s">
        <v>16864</v>
      </c>
      <c r="C1050" s="7" t="s">
        <v>158</v>
      </c>
      <c r="D1050" s="199"/>
      <c r="E1050" s="193"/>
      <c r="F1050" s="195" t="s">
        <v>18179</v>
      </c>
      <c r="G1050" s="200">
        <v>1.4683856212E10</v>
      </c>
      <c r="H1050" s="197">
        <v>25.09</v>
      </c>
      <c r="I1050" s="7" t="s">
        <v>16815</v>
      </c>
      <c r="J1050" s="7" t="s">
        <v>16864</v>
      </c>
      <c r="K1050" s="7" t="s">
        <v>158</v>
      </c>
      <c r="L1050" s="201" t="s">
        <v>16835</v>
      </c>
      <c r="M1050" s="199"/>
      <c r="N1050" s="199"/>
    </row>
    <row r="1051">
      <c r="A1051" s="193" t="s">
        <v>18180</v>
      </c>
      <c r="B1051" s="7" t="s">
        <v>16919</v>
      </c>
      <c r="C1051" s="7" t="s">
        <v>16920</v>
      </c>
      <c r="D1051" s="194">
        <v>2019.0</v>
      </c>
      <c r="E1051" s="193"/>
      <c r="F1051" s="195" t="s">
        <v>18181</v>
      </c>
      <c r="G1051" s="196">
        <v>1.4675930313E10</v>
      </c>
      <c r="H1051" s="197">
        <v>23.32</v>
      </c>
      <c r="I1051" s="7" t="s">
        <v>16815</v>
      </c>
      <c r="J1051" s="7" t="s">
        <v>16919</v>
      </c>
      <c r="K1051" s="7" t="s">
        <v>16920</v>
      </c>
      <c r="L1051" s="198" t="s">
        <v>65</v>
      </c>
      <c r="M1051" s="194"/>
      <c r="N1051" s="194"/>
    </row>
    <row r="1052">
      <c r="A1052" s="193" t="s">
        <v>18180</v>
      </c>
      <c r="B1052" s="7" t="s">
        <v>16920</v>
      </c>
      <c r="C1052" s="7" t="s">
        <v>16919</v>
      </c>
      <c r="D1052" s="194">
        <v>2019.0</v>
      </c>
      <c r="E1052" s="193"/>
      <c r="F1052" s="195" t="s">
        <v>18181</v>
      </c>
      <c r="G1052" s="200">
        <v>1.4675930313E10</v>
      </c>
      <c r="H1052" s="197">
        <v>23.32</v>
      </c>
      <c r="I1052" s="7" t="s">
        <v>16815</v>
      </c>
      <c r="J1052" s="7" t="s">
        <v>16920</v>
      </c>
      <c r="K1052" s="7" t="s">
        <v>16919</v>
      </c>
      <c r="L1052" s="201" t="s">
        <v>16835</v>
      </c>
      <c r="M1052" s="194"/>
      <c r="N1052" s="194"/>
    </row>
    <row r="1053">
      <c r="A1053" s="193" t="s">
        <v>18182</v>
      </c>
      <c r="B1053" s="7" t="s">
        <v>16838</v>
      </c>
      <c r="C1053" s="7" t="s">
        <v>16867</v>
      </c>
      <c r="D1053" s="199"/>
      <c r="E1053" s="193"/>
      <c r="F1053" s="195" t="s">
        <v>18183</v>
      </c>
      <c r="G1053" s="196">
        <v>1.4637471359E10</v>
      </c>
      <c r="H1053" s="197">
        <v>70.7</v>
      </c>
      <c r="I1053" s="7" t="s">
        <v>16815</v>
      </c>
      <c r="J1053" s="7" t="s">
        <v>16838</v>
      </c>
      <c r="K1053" s="7" t="s">
        <v>16867</v>
      </c>
      <c r="L1053" s="198" t="s">
        <v>65</v>
      </c>
      <c r="M1053" s="199"/>
      <c r="N1053" s="199"/>
    </row>
    <row r="1054">
      <c r="A1054" s="193" t="s">
        <v>18184</v>
      </c>
      <c r="B1054" s="7" t="s">
        <v>16582</v>
      </c>
      <c r="C1054" s="7" t="s">
        <v>17183</v>
      </c>
      <c r="D1054" s="199"/>
      <c r="E1054" s="193"/>
      <c r="F1054" s="195" t="s">
        <v>18185</v>
      </c>
      <c r="G1054" s="196">
        <v>1.459094238E10</v>
      </c>
      <c r="H1054" s="197">
        <v>45.0</v>
      </c>
      <c r="I1054" s="7" t="s">
        <v>16815</v>
      </c>
      <c r="J1054" s="7" t="s">
        <v>16582</v>
      </c>
      <c r="K1054" s="7" t="s">
        <v>17183</v>
      </c>
      <c r="L1054" s="198" t="s">
        <v>65</v>
      </c>
      <c r="M1054" s="199"/>
      <c r="N1054" s="199"/>
    </row>
    <row r="1055">
      <c r="A1055" s="193" t="s">
        <v>18186</v>
      </c>
      <c r="B1055" s="7" t="s">
        <v>169</v>
      </c>
      <c r="C1055" s="7" t="s">
        <v>17619</v>
      </c>
      <c r="D1055" s="199"/>
      <c r="E1055" s="193"/>
      <c r="F1055" s="195" t="s">
        <v>18187</v>
      </c>
      <c r="G1055" s="196">
        <v>1.4546991964E10</v>
      </c>
      <c r="H1055" s="197">
        <v>30.13</v>
      </c>
      <c r="I1055" s="7" t="s">
        <v>16815</v>
      </c>
      <c r="J1055" s="7" t="s">
        <v>169</v>
      </c>
      <c r="K1055" s="7" t="s">
        <v>17619</v>
      </c>
      <c r="L1055" s="198" t="s">
        <v>65</v>
      </c>
      <c r="M1055" s="199"/>
      <c r="N1055" s="199"/>
    </row>
    <row r="1056">
      <c r="A1056" s="193" t="s">
        <v>18188</v>
      </c>
      <c r="B1056" s="7" t="s">
        <v>175</v>
      </c>
      <c r="C1056" s="7" t="s">
        <v>17475</v>
      </c>
      <c r="D1056" s="199"/>
      <c r="E1056" s="193"/>
      <c r="F1056" s="195" t="s">
        <v>18189</v>
      </c>
      <c r="G1056" s="196">
        <v>1.4502877855E10</v>
      </c>
      <c r="H1056" s="197">
        <v>180.09</v>
      </c>
      <c r="I1056" s="7" t="s">
        <v>174</v>
      </c>
      <c r="J1056" s="7" t="s">
        <v>175</v>
      </c>
      <c r="K1056" s="7" t="s">
        <v>17475</v>
      </c>
      <c r="L1056" s="198" t="s">
        <v>65</v>
      </c>
      <c r="M1056" s="199"/>
      <c r="N1056" s="199"/>
    </row>
    <row r="1057">
      <c r="A1057" s="193" t="s">
        <v>18188</v>
      </c>
      <c r="B1057" s="7" t="s">
        <v>17475</v>
      </c>
      <c r="C1057" s="7" t="s">
        <v>175</v>
      </c>
      <c r="D1057" s="199"/>
      <c r="E1057" s="193"/>
      <c r="F1057" s="195" t="s">
        <v>18189</v>
      </c>
      <c r="G1057" s="200">
        <v>1.4502877855E10</v>
      </c>
      <c r="H1057" s="197">
        <v>180.09</v>
      </c>
      <c r="I1057" s="7" t="s">
        <v>16815</v>
      </c>
      <c r="J1057" s="7" t="s">
        <v>17475</v>
      </c>
      <c r="K1057" s="7" t="s">
        <v>175</v>
      </c>
      <c r="L1057" s="201" t="s">
        <v>16835</v>
      </c>
      <c r="M1057" s="199"/>
      <c r="N1057" s="199"/>
    </row>
    <row r="1058">
      <c r="A1058" s="193" t="s">
        <v>18190</v>
      </c>
      <c r="B1058" s="7" t="s">
        <v>169</v>
      </c>
      <c r="C1058" s="7" t="s">
        <v>17805</v>
      </c>
      <c r="D1058" s="194">
        <v>1989.0</v>
      </c>
      <c r="E1058" s="193"/>
      <c r="F1058" s="195" t="s">
        <v>18191</v>
      </c>
      <c r="G1058" s="196">
        <v>1.4498928337E10</v>
      </c>
      <c r="H1058" s="197">
        <v>191.72</v>
      </c>
      <c r="I1058" s="7" t="s">
        <v>16815</v>
      </c>
      <c r="J1058" s="7" t="s">
        <v>169</v>
      </c>
      <c r="K1058" s="7" t="s">
        <v>17805</v>
      </c>
      <c r="L1058" s="198" t="s">
        <v>65</v>
      </c>
      <c r="M1058" s="194"/>
      <c r="N1058" s="194"/>
    </row>
    <row r="1059">
      <c r="A1059" s="193" t="s">
        <v>18190</v>
      </c>
      <c r="B1059" s="7" t="s">
        <v>17805</v>
      </c>
      <c r="C1059" s="7" t="s">
        <v>169</v>
      </c>
      <c r="D1059" s="194">
        <v>1989.0</v>
      </c>
      <c r="E1059" s="193"/>
      <c r="F1059" s="195" t="s">
        <v>18191</v>
      </c>
      <c r="G1059" s="200">
        <v>1.4498928337E10</v>
      </c>
      <c r="H1059" s="197">
        <v>191.72</v>
      </c>
      <c r="I1059" s="7" t="s">
        <v>16815</v>
      </c>
      <c r="J1059" s="7" t="s">
        <v>17805</v>
      </c>
      <c r="K1059" s="7" t="s">
        <v>169</v>
      </c>
      <c r="L1059" s="201" t="s">
        <v>16835</v>
      </c>
      <c r="M1059" s="194"/>
      <c r="N1059" s="194"/>
    </row>
    <row r="1060">
      <c r="A1060" s="193" t="s">
        <v>18192</v>
      </c>
      <c r="B1060" s="7" t="s">
        <v>16582</v>
      </c>
      <c r="C1060" s="7" t="s">
        <v>16828</v>
      </c>
      <c r="D1060" s="199"/>
      <c r="E1060" s="193"/>
      <c r="F1060" s="195" t="s">
        <v>18193</v>
      </c>
      <c r="G1060" s="196">
        <v>1.4350113437E10</v>
      </c>
      <c r="H1060" s="197">
        <v>90.03</v>
      </c>
      <c r="I1060" s="7" t="s">
        <v>16815</v>
      </c>
      <c r="J1060" s="7" t="s">
        <v>16582</v>
      </c>
      <c r="K1060" s="7" t="s">
        <v>16828</v>
      </c>
      <c r="L1060" s="198" t="s">
        <v>65</v>
      </c>
      <c r="M1060" s="199"/>
      <c r="N1060" s="199"/>
    </row>
    <row r="1061">
      <c r="A1061" s="193" t="s">
        <v>18194</v>
      </c>
      <c r="B1061" s="7" t="s">
        <v>16582</v>
      </c>
      <c r="C1061" s="7" t="s">
        <v>16828</v>
      </c>
      <c r="D1061" s="194">
        <v>2000.0</v>
      </c>
      <c r="E1061" s="193"/>
      <c r="F1061" s="195" t="s">
        <v>18195</v>
      </c>
      <c r="G1061" s="196">
        <v>1.4343176504E10</v>
      </c>
      <c r="H1061" s="197">
        <v>95.52</v>
      </c>
      <c r="I1061" s="7" t="s">
        <v>16815</v>
      </c>
      <c r="J1061" s="7" t="s">
        <v>16582</v>
      </c>
      <c r="K1061" s="7" t="s">
        <v>16828</v>
      </c>
      <c r="L1061" s="198" t="s">
        <v>65</v>
      </c>
      <c r="M1061" s="194"/>
      <c r="N1061" s="194"/>
    </row>
    <row r="1062">
      <c r="A1062" s="193" t="s">
        <v>18196</v>
      </c>
      <c r="B1062" s="7" t="s">
        <v>17111</v>
      </c>
      <c r="C1062" s="7" t="s">
        <v>17112</v>
      </c>
      <c r="D1062" s="194">
        <v>1994.0</v>
      </c>
      <c r="E1062" s="193"/>
      <c r="F1062" s="195" t="s">
        <v>18197</v>
      </c>
      <c r="G1062" s="200">
        <v>1.4319890123E10</v>
      </c>
      <c r="H1062" s="197">
        <v>122.72</v>
      </c>
      <c r="I1062" s="7" t="s">
        <v>16815</v>
      </c>
      <c r="J1062" s="7" t="s">
        <v>17111</v>
      </c>
      <c r="K1062" s="7" t="s">
        <v>17112</v>
      </c>
      <c r="L1062" s="201" t="s">
        <v>16835</v>
      </c>
      <c r="M1062" s="194"/>
      <c r="N1062" s="194"/>
    </row>
    <row r="1063">
      <c r="A1063" s="193" t="s">
        <v>18196</v>
      </c>
      <c r="B1063" s="7" t="s">
        <v>17112</v>
      </c>
      <c r="C1063" s="7" t="s">
        <v>17111</v>
      </c>
      <c r="D1063" s="194">
        <v>1994.0</v>
      </c>
      <c r="E1063" s="193"/>
      <c r="F1063" s="195" t="s">
        <v>18197</v>
      </c>
      <c r="G1063" s="196">
        <v>1.4319890123E10</v>
      </c>
      <c r="H1063" s="197">
        <v>122.72</v>
      </c>
      <c r="I1063" s="7" t="s">
        <v>16815</v>
      </c>
      <c r="J1063" s="7" t="s">
        <v>17112</v>
      </c>
      <c r="K1063" s="7" t="s">
        <v>17111</v>
      </c>
      <c r="L1063" s="198" t="s">
        <v>65</v>
      </c>
      <c r="M1063" s="194"/>
      <c r="N1063" s="194"/>
    </row>
    <row r="1064">
      <c r="A1064" s="193" t="s">
        <v>18198</v>
      </c>
      <c r="B1064" s="7" t="s">
        <v>16582</v>
      </c>
      <c r="C1064" s="7" t="s">
        <v>16828</v>
      </c>
      <c r="D1064" s="194">
        <v>2006.0</v>
      </c>
      <c r="E1064" s="193"/>
      <c r="F1064" s="195" t="s">
        <v>18199</v>
      </c>
      <c r="G1064" s="196">
        <v>1.4308576871E10</v>
      </c>
      <c r="H1064" s="197">
        <v>133.92</v>
      </c>
      <c r="I1064" s="7" t="s">
        <v>16815</v>
      </c>
      <c r="J1064" s="7" t="s">
        <v>16582</v>
      </c>
      <c r="K1064" s="7" t="s">
        <v>16828</v>
      </c>
      <c r="L1064" s="198" t="s">
        <v>65</v>
      </c>
      <c r="M1064" s="194"/>
      <c r="N1064" s="194"/>
    </row>
    <row r="1065">
      <c r="A1065" s="193" t="s">
        <v>18200</v>
      </c>
      <c r="B1065" s="7" t="s">
        <v>16838</v>
      </c>
      <c r="C1065" s="7" t="s">
        <v>16867</v>
      </c>
      <c r="D1065" s="199"/>
      <c r="E1065" s="193"/>
      <c r="F1065" s="195" t="s">
        <v>18201</v>
      </c>
      <c r="G1065" s="196">
        <v>1.4280918438E10</v>
      </c>
      <c r="H1065" s="197">
        <v>20.97</v>
      </c>
      <c r="I1065" s="7" t="s">
        <v>16815</v>
      </c>
      <c r="J1065" s="7" t="s">
        <v>16838</v>
      </c>
      <c r="K1065" s="7" t="s">
        <v>16867</v>
      </c>
      <c r="L1065" s="198" t="s">
        <v>65</v>
      </c>
      <c r="M1065" s="199"/>
      <c r="N1065" s="199"/>
    </row>
    <row r="1066">
      <c r="A1066" s="193" t="s">
        <v>18202</v>
      </c>
      <c r="B1066" s="7" t="s">
        <v>17111</v>
      </c>
      <c r="C1066" s="7" t="s">
        <v>17112</v>
      </c>
      <c r="D1066" s="194">
        <v>1993.0</v>
      </c>
      <c r="E1066" s="193"/>
      <c r="F1066" s="195" t="s">
        <v>18203</v>
      </c>
      <c r="G1066" s="200">
        <v>1.4276357703E10</v>
      </c>
      <c r="H1066" s="197">
        <v>114.72</v>
      </c>
      <c r="I1066" s="7" t="s">
        <v>16815</v>
      </c>
      <c r="J1066" s="7" t="s">
        <v>17111</v>
      </c>
      <c r="K1066" s="7" t="s">
        <v>17112</v>
      </c>
      <c r="L1066" s="201" t="s">
        <v>16835</v>
      </c>
      <c r="M1066" s="194"/>
      <c r="N1066" s="194"/>
    </row>
    <row r="1067">
      <c r="A1067" s="193" t="s">
        <v>18202</v>
      </c>
      <c r="B1067" s="7" t="s">
        <v>17112</v>
      </c>
      <c r="C1067" s="7" t="s">
        <v>17111</v>
      </c>
      <c r="D1067" s="194">
        <v>1993.0</v>
      </c>
      <c r="E1067" s="193"/>
      <c r="F1067" s="195" t="s">
        <v>18203</v>
      </c>
      <c r="G1067" s="196">
        <v>1.4276357703E10</v>
      </c>
      <c r="H1067" s="197">
        <v>114.72</v>
      </c>
      <c r="I1067" s="7" t="s">
        <v>16815</v>
      </c>
      <c r="J1067" s="7" t="s">
        <v>17112</v>
      </c>
      <c r="K1067" s="7" t="s">
        <v>17111</v>
      </c>
      <c r="L1067" s="198" t="s">
        <v>65</v>
      </c>
      <c r="M1067" s="194"/>
      <c r="N1067" s="194"/>
    </row>
    <row r="1068">
      <c r="A1068" s="193" t="s">
        <v>18204</v>
      </c>
      <c r="B1068" s="7" t="s">
        <v>175</v>
      </c>
      <c r="C1068" s="7" t="s">
        <v>16899</v>
      </c>
      <c r="D1068" s="199"/>
      <c r="E1068" s="193"/>
      <c r="F1068" s="195" t="s">
        <v>18205</v>
      </c>
      <c r="G1068" s="196">
        <v>1.4252700128E10</v>
      </c>
      <c r="H1068" s="197">
        <v>270.04</v>
      </c>
      <c r="I1068" s="7" t="s">
        <v>17242</v>
      </c>
      <c r="J1068" s="7" t="s">
        <v>175</v>
      </c>
      <c r="K1068" s="7" t="s">
        <v>16899</v>
      </c>
      <c r="L1068" s="198" t="s">
        <v>65</v>
      </c>
      <c r="M1068" s="199"/>
      <c r="N1068" s="199"/>
    </row>
    <row r="1069">
      <c r="A1069" s="193" t="s">
        <v>18204</v>
      </c>
      <c r="B1069" s="7" t="s">
        <v>16899</v>
      </c>
      <c r="C1069" s="7" t="s">
        <v>175</v>
      </c>
      <c r="D1069" s="199"/>
      <c r="E1069" s="193"/>
      <c r="F1069" s="195" t="s">
        <v>18205</v>
      </c>
      <c r="G1069" s="200">
        <v>1.4252700128E10</v>
      </c>
      <c r="H1069" s="197">
        <v>270.04</v>
      </c>
      <c r="I1069" s="7" t="s">
        <v>16815</v>
      </c>
      <c r="J1069" s="7" t="s">
        <v>16899</v>
      </c>
      <c r="K1069" s="7" t="s">
        <v>175</v>
      </c>
      <c r="L1069" s="201" t="s">
        <v>16835</v>
      </c>
      <c r="M1069" s="199"/>
      <c r="N1069" s="199"/>
    </row>
    <row r="1070">
      <c r="A1070" s="193" t="s">
        <v>18206</v>
      </c>
      <c r="B1070" s="7" t="s">
        <v>16582</v>
      </c>
      <c r="C1070" s="7" t="s">
        <v>16930</v>
      </c>
      <c r="D1070" s="199"/>
      <c r="E1070" s="193"/>
      <c r="F1070" s="195" t="s">
        <v>18207</v>
      </c>
      <c r="G1070" s="196">
        <v>1.4238790619E10</v>
      </c>
      <c r="H1070" s="197">
        <v>103.55</v>
      </c>
      <c r="I1070" s="7" t="s">
        <v>16815</v>
      </c>
      <c r="J1070" s="7" t="s">
        <v>16582</v>
      </c>
      <c r="K1070" s="7" t="s">
        <v>16930</v>
      </c>
      <c r="L1070" s="198" t="s">
        <v>65</v>
      </c>
      <c r="M1070" s="199"/>
      <c r="N1070" s="199"/>
    </row>
    <row r="1071">
      <c r="A1071" s="193" t="s">
        <v>18206</v>
      </c>
      <c r="B1071" s="7" t="s">
        <v>16930</v>
      </c>
      <c r="C1071" s="7" t="s">
        <v>16582</v>
      </c>
      <c r="D1071" s="199"/>
      <c r="E1071" s="193"/>
      <c r="F1071" s="195" t="s">
        <v>18207</v>
      </c>
      <c r="G1071" s="200">
        <v>1.4238790619E10</v>
      </c>
      <c r="H1071" s="197">
        <v>103.55</v>
      </c>
      <c r="I1071" s="7" t="s">
        <v>16815</v>
      </c>
      <c r="J1071" s="7" t="s">
        <v>16930</v>
      </c>
      <c r="K1071" s="7" t="s">
        <v>16582</v>
      </c>
      <c r="L1071" s="201" t="s">
        <v>16835</v>
      </c>
      <c r="M1071" s="199"/>
      <c r="N1071" s="199"/>
    </row>
    <row r="1072">
      <c r="A1072" s="193" t="s">
        <v>18208</v>
      </c>
      <c r="B1072" s="7" t="s">
        <v>169</v>
      </c>
      <c r="C1072" s="7" t="s">
        <v>17619</v>
      </c>
      <c r="D1072" s="199"/>
      <c r="E1072" s="193"/>
      <c r="F1072" s="195" t="s">
        <v>18209</v>
      </c>
      <c r="G1072" s="196">
        <v>1.4210060561E10</v>
      </c>
      <c r="H1072" s="197">
        <v>60.58</v>
      </c>
      <c r="I1072" s="7" t="s">
        <v>16815</v>
      </c>
      <c r="J1072" s="7" t="s">
        <v>169</v>
      </c>
      <c r="K1072" s="7" t="s">
        <v>17619</v>
      </c>
      <c r="L1072" s="198" t="s">
        <v>65</v>
      </c>
      <c r="M1072" s="199"/>
      <c r="N1072" s="199"/>
    </row>
    <row r="1073">
      <c r="A1073" s="193" t="s">
        <v>18210</v>
      </c>
      <c r="B1073" s="7" t="s">
        <v>16582</v>
      </c>
      <c r="C1073" s="7" t="s">
        <v>16813</v>
      </c>
      <c r="D1073" s="194">
        <v>2020.0</v>
      </c>
      <c r="E1073" s="193"/>
      <c r="F1073" s="195" t="s">
        <v>18211</v>
      </c>
      <c r="G1073" s="196">
        <v>1.4183001578E10</v>
      </c>
      <c r="H1073" s="197">
        <v>266.03</v>
      </c>
      <c r="I1073" s="7" t="s">
        <v>16815</v>
      </c>
      <c r="J1073" s="7" t="s">
        <v>16582</v>
      </c>
      <c r="K1073" s="7" t="s">
        <v>16813</v>
      </c>
      <c r="L1073" s="198" t="s">
        <v>65</v>
      </c>
      <c r="M1073" s="194"/>
      <c r="N1073" s="194"/>
    </row>
    <row r="1074">
      <c r="A1074" s="193" t="s">
        <v>18212</v>
      </c>
      <c r="B1074" s="7" t="s">
        <v>16919</v>
      </c>
      <c r="C1074" s="7" t="s">
        <v>17048</v>
      </c>
      <c r="D1074" s="194">
        <v>2021.0</v>
      </c>
      <c r="E1074" s="193"/>
      <c r="F1074" s="195" t="s">
        <v>18213</v>
      </c>
      <c r="G1074" s="196">
        <v>1.4098898736E10</v>
      </c>
      <c r="H1074" s="197">
        <v>20.47</v>
      </c>
      <c r="I1074" s="7" t="s">
        <v>16815</v>
      </c>
      <c r="J1074" s="7" t="s">
        <v>16919</v>
      </c>
      <c r="K1074" s="7" t="s">
        <v>17048</v>
      </c>
      <c r="L1074" s="198" t="s">
        <v>65</v>
      </c>
      <c r="M1074" s="194"/>
      <c r="N1074" s="194"/>
    </row>
    <row r="1075">
      <c r="A1075" s="193" t="s">
        <v>18212</v>
      </c>
      <c r="B1075" s="7" t="s">
        <v>17048</v>
      </c>
      <c r="C1075" s="7" t="s">
        <v>16919</v>
      </c>
      <c r="D1075" s="194">
        <v>2021.0</v>
      </c>
      <c r="E1075" s="193"/>
      <c r="F1075" s="195" t="s">
        <v>18213</v>
      </c>
      <c r="G1075" s="200">
        <v>1.4098898736E10</v>
      </c>
      <c r="H1075" s="197">
        <v>20.47</v>
      </c>
      <c r="I1075" s="7" t="s">
        <v>16815</v>
      </c>
      <c r="J1075" s="7" t="s">
        <v>17048</v>
      </c>
      <c r="K1075" s="7" t="s">
        <v>16919</v>
      </c>
      <c r="L1075" s="201" t="s">
        <v>16835</v>
      </c>
      <c r="M1075" s="194"/>
      <c r="N1075" s="194"/>
    </row>
    <row r="1076">
      <c r="A1076" s="193" t="s">
        <v>18214</v>
      </c>
      <c r="B1076" s="7" t="s">
        <v>169</v>
      </c>
      <c r="C1076" s="7" t="s">
        <v>16899</v>
      </c>
      <c r="D1076" s="194">
        <v>1999.0</v>
      </c>
      <c r="E1076" s="193"/>
      <c r="F1076" s="195" t="s">
        <v>18215</v>
      </c>
      <c r="G1076" s="196">
        <v>1.4095410332E10</v>
      </c>
      <c r="H1076" s="197">
        <v>396.61</v>
      </c>
      <c r="I1076" s="7" t="s">
        <v>16815</v>
      </c>
      <c r="J1076" s="7" t="s">
        <v>169</v>
      </c>
      <c r="K1076" s="7" t="s">
        <v>16899</v>
      </c>
      <c r="L1076" s="198" t="s">
        <v>65</v>
      </c>
      <c r="M1076" s="194"/>
      <c r="N1076" s="194"/>
    </row>
    <row r="1077">
      <c r="A1077" s="193" t="s">
        <v>18214</v>
      </c>
      <c r="B1077" s="7" t="s">
        <v>16899</v>
      </c>
      <c r="C1077" s="7" t="s">
        <v>169</v>
      </c>
      <c r="D1077" s="194">
        <v>1999.0</v>
      </c>
      <c r="E1077" s="193"/>
      <c r="F1077" s="195" t="s">
        <v>18215</v>
      </c>
      <c r="G1077" s="200">
        <v>1.4095410332E10</v>
      </c>
      <c r="H1077" s="197">
        <v>396.61</v>
      </c>
      <c r="I1077" s="7" t="s">
        <v>16815</v>
      </c>
      <c r="J1077" s="7" t="s">
        <v>16899</v>
      </c>
      <c r="K1077" s="7" t="s">
        <v>169</v>
      </c>
      <c r="L1077" s="201" t="s">
        <v>16835</v>
      </c>
      <c r="M1077" s="194"/>
      <c r="N1077" s="194"/>
    </row>
    <row r="1078">
      <c r="A1078" s="193" t="s">
        <v>18216</v>
      </c>
      <c r="B1078" s="7" t="s">
        <v>16867</v>
      </c>
      <c r="C1078" s="7" t="s">
        <v>16838</v>
      </c>
      <c r="D1078" s="199"/>
      <c r="E1078" s="193"/>
      <c r="F1078" s="195" t="s">
        <v>18217</v>
      </c>
      <c r="G1078" s="200">
        <v>1.4062581863E10</v>
      </c>
      <c r="H1078" s="197">
        <v>15.12</v>
      </c>
      <c r="I1078" s="7" t="s">
        <v>16815</v>
      </c>
      <c r="J1078" s="7" t="s">
        <v>16867</v>
      </c>
      <c r="K1078" s="7" t="s">
        <v>16838</v>
      </c>
      <c r="L1078" s="201" t="s">
        <v>16835</v>
      </c>
      <c r="M1078" s="199"/>
      <c r="N1078" s="199"/>
    </row>
    <row r="1079">
      <c r="A1079" s="193" t="s">
        <v>18216</v>
      </c>
      <c r="B1079" s="7" t="s">
        <v>16838</v>
      </c>
      <c r="C1079" s="7" t="s">
        <v>16867</v>
      </c>
      <c r="D1079" s="199"/>
      <c r="E1079" s="193"/>
      <c r="F1079" s="195" t="s">
        <v>18217</v>
      </c>
      <c r="G1079" s="196">
        <v>1.4062581863E10</v>
      </c>
      <c r="H1079" s="197">
        <v>15.12</v>
      </c>
      <c r="I1079" s="7" t="s">
        <v>16815</v>
      </c>
      <c r="J1079" s="7" t="s">
        <v>16838</v>
      </c>
      <c r="K1079" s="7" t="s">
        <v>16867</v>
      </c>
      <c r="L1079" s="198" t="s">
        <v>65</v>
      </c>
      <c r="M1079" s="199"/>
      <c r="N1079" s="199"/>
    </row>
    <row r="1080">
      <c r="A1080" s="193" t="s">
        <v>18218</v>
      </c>
      <c r="B1080" s="7" t="s">
        <v>16838</v>
      </c>
      <c r="C1080" s="7" t="s">
        <v>18219</v>
      </c>
      <c r="D1080" s="199"/>
      <c r="E1080" s="193"/>
      <c r="F1080" s="195" t="s">
        <v>18220</v>
      </c>
      <c r="G1080" s="196">
        <v>1.4004526119E10</v>
      </c>
      <c r="H1080" s="197">
        <v>6.07</v>
      </c>
      <c r="I1080" s="7" t="s">
        <v>16815</v>
      </c>
      <c r="J1080" s="7" t="s">
        <v>16838</v>
      </c>
      <c r="K1080" s="7" t="s">
        <v>18219</v>
      </c>
      <c r="L1080" s="198" t="s">
        <v>65</v>
      </c>
      <c r="M1080" s="199"/>
      <c r="N1080" s="199"/>
    </row>
    <row r="1081">
      <c r="A1081" s="193" t="s">
        <v>18221</v>
      </c>
      <c r="B1081" s="7" t="s">
        <v>175</v>
      </c>
      <c r="C1081" s="7" t="s">
        <v>16939</v>
      </c>
      <c r="D1081" s="199"/>
      <c r="E1081" s="193"/>
      <c r="F1081" s="195" t="s">
        <v>18222</v>
      </c>
      <c r="G1081" s="196">
        <v>1.3954958499E10</v>
      </c>
      <c r="H1081" s="197">
        <v>64.12</v>
      </c>
      <c r="I1081" s="7" t="s">
        <v>174</v>
      </c>
      <c r="J1081" s="7" t="s">
        <v>175</v>
      </c>
      <c r="K1081" s="7" t="s">
        <v>16939</v>
      </c>
      <c r="L1081" s="198" t="s">
        <v>65</v>
      </c>
      <c r="M1081" s="199"/>
      <c r="N1081" s="199"/>
    </row>
    <row r="1082">
      <c r="A1082" s="193" t="s">
        <v>18221</v>
      </c>
      <c r="B1082" s="7" t="s">
        <v>16939</v>
      </c>
      <c r="C1082" s="7" t="s">
        <v>175</v>
      </c>
      <c r="D1082" s="199"/>
      <c r="E1082" s="193"/>
      <c r="F1082" s="195" t="s">
        <v>18222</v>
      </c>
      <c r="G1082" s="200">
        <v>1.3954958499E10</v>
      </c>
      <c r="H1082" s="197">
        <v>64.12</v>
      </c>
      <c r="I1082" s="7" t="s">
        <v>16815</v>
      </c>
      <c r="J1082" s="7" t="s">
        <v>16939</v>
      </c>
      <c r="K1082" s="7" t="s">
        <v>175</v>
      </c>
      <c r="L1082" s="201" t="s">
        <v>16835</v>
      </c>
      <c r="M1082" s="199"/>
      <c r="N1082" s="199"/>
    </row>
    <row r="1083">
      <c r="A1083" s="193" t="s">
        <v>18223</v>
      </c>
      <c r="B1083" s="7" t="s">
        <v>175</v>
      </c>
      <c r="C1083" s="7" t="s">
        <v>17475</v>
      </c>
      <c r="D1083" s="194">
        <v>2000.0</v>
      </c>
      <c r="E1083" s="193"/>
      <c r="F1083" s="195" t="s">
        <v>18224</v>
      </c>
      <c r="G1083" s="196">
        <v>1.3948229342E10</v>
      </c>
      <c r="H1083" s="197">
        <v>155.63</v>
      </c>
      <c r="I1083" s="7" t="s">
        <v>168</v>
      </c>
      <c r="J1083" s="7" t="s">
        <v>175</v>
      </c>
      <c r="K1083" s="7" t="s">
        <v>17475</v>
      </c>
      <c r="L1083" s="198" t="s">
        <v>65</v>
      </c>
      <c r="M1083" s="194"/>
      <c r="N1083" s="194"/>
    </row>
    <row r="1084">
      <c r="A1084" s="193" t="s">
        <v>18223</v>
      </c>
      <c r="B1084" s="7" t="s">
        <v>17475</v>
      </c>
      <c r="C1084" s="7" t="s">
        <v>175</v>
      </c>
      <c r="D1084" s="194">
        <v>2000.0</v>
      </c>
      <c r="E1084" s="193"/>
      <c r="F1084" s="195" t="s">
        <v>18224</v>
      </c>
      <c r="G1084" s="200">
        <v>1.3948229342E10</v>
      </c>
      <c r="H1084" s="197">
        <v>155.63</v>
      </c>
      <c r="I1084" s="7" t="s">
        <v>16815</v>
      </c>
      <c r="J1084" s="7" t="s">
        <v>17475</v>
      </c>
      <c r="K1084" s="7" t="s">
        <v>175</v>
      </c>
      <c r="L1084" s="201" t="s">
        <v>16835</v>
      </c>
      <c r="M1084" s="194"/>
      <c r="N1084" s="194"/>
    </row>
    <row r="1085">
      <c r="A1085" s="193" t="s">
        <v>18225</v>
      </c>
      <c r="B1085" s="7" t="s">
        <v>17112</v>
      </c>
      <c r="C1085" s="7" t="s">
        <v>17111</v>
      </c>
      <c r="D1085" s="199"/>
      <c r="E1085" s="193"/>
      <c r="F1085" s="195" t="s">
        <v>18226</v>
      </c>
      <c r="G1085" s="196">
        <v>1.3918735516E10</v>
      </c>
      <c r="H1085" s="197">
        <v>20.74</v>
      </c>
      <c r="I1085" s="7" t="s">
        <v>16815</v>
      </c>
      <c r="J1085" s="7" t="s">
        <v>17112</v>
      </c>
      <c r="K1085" s="7" t="s">
        <v>17111</v>
      </c>
      <c r="L1085" s="198" t="s">
        <v>65</v>
      </c>
      <c r="M1085" s="199"/>
      <c r="N1085" s="199"/>
    </row>
    <row r="1086">
      <c r="A1086" s="193" t="s">
        <v>18227</v>
      </c>
      <c r="B1086" s="7" t="s">
        <v>17112</v>
      </c>
      <c r="C1086" s="7" t="s">
        <v>17111</v>
      </c>
      <c r="D1086" s="199"/>
      <c r="E1086" s="193"/>
      <c r="F1086" s="195" t="s">
        <v>18228</v>
      </c>
      <c r="G1086" s="196">
        <v>1.3818069637E10</v>
      </c>
      <c r="H1086" s="197">
        <v>20.59</v>
      </c>
      <c r="I1086" s="7" t="s">
        <v>16815</v>
      </c>
      <c r="J1086" s="7" t="s">
        <v>17112</v>
      </c>
      <c r="K1086" s="7" t="s">
        <v>17111</v>
      </c>
      <c r="L1086" s="198" t="s">
        <v>65</v>
      </c>
      <c r="M1086" s="199"/>
      <c r="N1086" s="199"/>
    </row>
    <row r="1087">
      <c r="A1087" s="193" t="s">
        <v>18229</v>
      </c>
      <c r="B1087" s="7" t="s">
        <v>175</v>
      </c>
      <c r="C1087" s="7" t="s">
        <v>17031</v>
      </c>
      <c r="D1087" s="199"/>
      <c r="E1087" s="193"/>
      <c r="F1087" s="195" t="s">
        <v>18230</v>
      </c>
      <c r="G1087" s="196">
        <v>1.3806032201E10</v>
      </c>
      <c r="H1087" s="197">
        <v>23.16</v>
      </c>
      <c r="I1087" s="7" t="s">
        <v>168</v>
      </c>
      <c r="J1087" s="7" t="s">
        <v>175</v>
      </c>
      <c r="K1087" s="7" t="s">
        <v>17031</v>
      </c>
      <c r="L1087" s="198" t="s">
        <v>65</v>
      </c>
      <c r="M1087" s="199"/>
      <c r="N1087" s="199"/>
    </row>
    <row r="1088">
      <c r="A1088" s="193" t="s">
        <v>18229</v>
      </c>
      <c r="B1088" s="7" t="s">
        <v>17031</v>
      </c>
      <c r="C1088" s="7" t="s">
        <v>175</v>
      </c>
      <c r="D1088" s="199"/>
      <c r="E1088" s="193"/>
      <c r="F1088" s="195" t="s">
        <v>18230</v>
      </c>
      <c r="G1088" s="200">
        <v>1.3806032201E10</v>
      </c>
      <c r="H1088" s="197">
        <v>23.16</v>
      </c>
      <c r="I1088" s="7" t="s">
        <v>16815</v>
      </c>
      <c r="J1088" s="7" t="s">
        <v>17031</v>
      </c>
      <c r="K1088" s="7" t="s">
        <v>175</v>
      </c>
      <c r="L1088" s="201" t="s">
        <v>16835</v>
      </c>
      <c r="M1088" s="199"/>
      <c r="N1088" s="199"/>
    </row>
    <row r="1089">
      <c r="A1089" s="193" t="s">
        <v>18231</v>
      </c>
      <c r="B1089" s="7" t="s">
        <v>16945</v>
      </c>
      <c r="C1089" s="7" t="s">
        <v>169</v>
      </c>
      <c r="D1089" s="199"/>
      <c r="E1089" s="193"/>
      <c r="F1089" s="195" t="s">
        <v>18232</v>
      </c>
      <c r="G1089" s="200">
        <v>1.3727985759E10</v>
      </c>
      <c r="H1089" s="197">
        <v>116.98</v>
      </c>
      <c r="I1089" s="7" t="s">
        <v>16815</v>
      </c>
      <c r="J1089" s="7" t="s">
        <v>16945</v>
      </c>
      <c r="K1089" s="7" t="s">
        <v>169</v>
      </c>
      <c r="L1089" s="201" t="s">
        <v>16835</v>
      </c>
      <c r="M1089" s="199"/>
      <c r="N1089" s="199"/>
    </row>
    <row r="1090">
      <c r="A1090" s="193" t="s">
        <v>18231</v>
      </c>
      <c r="B1090" s="7" t="s">
        <v>169</v>
      </c>
      <c r="C1090" s="7" t="s">
        <v>16945</v>
      </c>
      <c r="D1090" s="199"/>
      <c r="E1090" s="193"/>
      <c r="F1090" s="195" t="s">
        <v>18232</v>
      </c>
      <c r="G1090" s="196">
        <v>1.3727985759E10</v>
      </c>
      <c r="H1090" s="197">
        <v>116.98</v>
      </c>
      <c r="I1090" s="7" t="s">
        <v>16815</v>
      </c>
      <c r="J1090" s="7" t="s">
        <v>169</v>
      </c>
      <c r="K1090" s="7" t="s">
        <v>16945</v>
      </c>
      <c r="L1090" s="198" t="s">
        <v>65</v>
      </c>
      <c r="M1090" s="199"/>
      <c r="N1090" s="199"/>
    </row>
    <row r="1091">
      <c r="A1091" s="193" t="s">
        <v>18233</v>
      </c>
      <c r="D1091" s="194">
        <v>2023.0</v>
      </c>
      <c r="E1091" s="193"/>
      <c r="F1091" s="195" t="s">
        <v>18234</v>
      </c>
      <c r="G1091" s="196">
        <v>1.3711154903E10</v>
      </c>
      <c r="H1091" s="197">
        <v>79.26</v>
      </c>
      <c r="I1091" s="7" t="s">
        <v>16815</v>
      </c>
      <c r="L1091" s="198" t="s">
        <v>65</v>
      </c>
      <c r="M1091" s="194"/>
      <c r="N1091" s="194"/>
    </row>
    <row r="1092">
      <c r="A1092" s="193" t="s">
        <v>18233</v>
      </c>
      <c r="D1092" s="194">
        <v>2023.0</v>
      </c>
      <c r="E1092" s="193"/>
      <c r="F1092" s="195" t="s">
        <v>18234</v>
      </c>
      <c r="G1092" s="200">
        <v>1.3711154903E10</v>
      </c>
      <c r="H1092" s="197">
        <v>79.26</v>
      </c>
      <c r="L1092" s="201" t="s">
        <v>16835</v>
      </c>
      <c r="M1092" s="194"/>
      <c r="N1092" s="194"/>
    </row>
    <row r="1093">
      <c r="A1093" s="193" t="s">
        <v>18235</v>
      </c>
      <c r="B1093" s="7" t="s">
        <v>16910</v>
      </c>
      <c r="C1093" s="7" t="s">
        <v>17119</v>
      </c>
      <c r="D1093" s="194">
        <v>2016.0</v>
      </c>
      <c r="E1093" s="193"/>
      <c r="F1093" s="195" t="s">
        <v>18236</v>
      </c>
      <c r="G1093" s="196">
        <v>1.3633287688E10</v>
      </c>
      <c r="H1093" s="197">
        <v>94.07</v>
      </c>
      <c r="I1093" s="7" t="s">
        <v>16917</v>
      </c>
      <c r="J1093" s="7" t="s">
        <v>16910</v>
      </c>
      <c r="K1093" s="7" t="s">
        <v>17119</v>
      </c>
      <c r="L1093" s="198" t="s">
        <v>65</v>
      </c>
      <c r="M1093" s="194"/>
      <c r="N1093" s="194"/>
    </row>
    <row r="1094">
      <c r="A1094" s="193" t="s">
        <v>18235</v>
      </c>
      <c r="B1094" s="7" t="s">
        <v>17119</v>
      </c>
      <c r="C1094" s="7" t="s">
        <v>16910</v>
      </c>
      <c r="D1094" s="194">
        <v>2016.0</v>
      </c>
      <c r="E1094" s="193"/>
      <c r="F1094" s="195" t="s">
        <v>18236</v>
      </c>
      <c r="G1094" s="200">
        <v>1.3633287688E10</v>
      </c>
      <c r="H1094" s="197">
        <v>94.07</v>
      </c>
      <c r="I1094" s="7" t="s">
        <v>16815</v>
      </c>
      <c r="J1094" s="7" t="s">
        <v>17119</v>
      </c>
      <c r="K1094" s="7" t="s">
        <v>16910</v>
      </c>
      <c r="L1094" s="201" t="s">
        <v>16835</v>
      </c>
      <c r="M1094" s="194"/>
      <c r="N1094" s="194"/>
    </row>
    <row r="1095">
      <c r="A1095" s="193" t="s">
        <v>18237</v>
      </c>
      <c r="B1095" s="7" t="s">
        <v>16867</v>
      </c>
      <c r="C1095" s="7" t="s">
        <v>16838</v>
      </c>
      <c r="D1095" s="199"/>
      <c r="E1095" s="193"/>
      <c r="F1095" s="195" t="s">
        <v>18238</v>
      </c>
      <c r="G1095" s="200">
        <v>1.3589643851E10</v>
      </c>
      <c r="H1095" s="197">
        <v>26.71</v>
      </c>
      <c r="I1095" s="7" t="s">
        <v>16815</v>
      </c>
      <c r="J1095" s="7" t="s">
        <v>16867</v>
      </c>
      <c r="K1095" s="7" t="s">
        <v>16838</v>
      </c>
      <c r="L1095" s="201" t="s">
        <v>16835</v>
      </c>
      <c r="M1095" s="199"/>
      <c r="N1095" s="199"/>
    </row>
    <row r="1096">
      <c r="A1096" s="193" t="s">
        <v>18237</v>
      </c>
      <c r="B1096" s="7" t="s">
        <v>16838</v>
      </c>
      <c r="C1096" s="7" t="s">
        <v>16867</v>
      </c>
      <c r="D1096" s="199"/>
      <c r="E1096" s="193"/>
      <c r="F1096" s="195" t="s">
        <v>18238</v>
      </c>
      <c r="G1096" s="196">
        <v>1.3589643851E10</v>
      </c>
      <c r="H1096" s="197">
        <v>26.71</v>
      </c>
      <c r="I1096" s="7" t="s">
        <v>16815</v>
      </c>
      <c r="J1096" s="7" t="s">
        <v>16838</v>
      </c>
      <c r="K1096" s="7" t="s">
        <v>16867</v>
      </c>
      <c r="L1096" s="198" t="s">
        <v>65</v>
      </c>
      <c r="M1096" s="199"/>
      <c r="N1096" s="199"/>
    </row>
    <row r="1097">
      <c r="A1097" s="193" t="s">
        <v>18239</v>
      </c>
      <c r="B1097" s="7" t="s">
        <v>16582</v>
      </c>
      <c r="C1097" s="7" t="s">
        <v>16930</v>
      </c>
      <c r="D1097" s="194">
        <v>2012.0</v>
      </c>
      <c r="E1097" s="193"/>
      <c r="F1097" s="195" t="s">
        <v>18240</v>
      </c>
      <c r="G1097" s="196">
        <v>1.3580384031E10</v>
      </c>
      <c r="H1097" s="197">
        <v>235.36</v>
      </c>
      <c r="I1097" s="7" t="s">
        <v>16815</v>
      </c>
      <c r="J1097" s="7" t="s">
        <v>16582</v>
      </c>
      <c r="K1097" s="7" t="s">
        <v>16930</v>
      </c>
      <c r="L1097" s="198" t="s">
        <v>65</v>
      </c>
      <c r="M1097" s="194"/>
      <c r="N1097" s="194"/>
    </row>
    <row r="1098">
      <c r="A1098" s="193" t="s">
        <v>18239</v>
      </c>
      <c r="B1098" s="7" t="s">
        <v>16930</v>
      </c>
      <c r="C1098" s="7" t="s">
        <v>16582</v>
      </c>
      <c r="D1098" s="194">
        <v>2012.0</v>
      </c>
      <c r="E1098" s="193"/>
      <c r="F1098" s="195" t="s">
        <v>18240</v>
      </c>
      <c r="G1098" s="200">
        <v>1.3580384031E10</v>
      </c>
      <c r="H1098" s="197">
        <v>235.36</v>
      </c>
      <c r="I1098" s="7" t="s">
        <v>16815</v>
      </c>
      <c r="J1098" s="7" t="s">
        <v>16930</v>
      </c>
      <c r="K1098" s="7" t="s">
        <v>16582</v>
      </c>
      <c r="L1098" s="201" t="s">
        <v>16835</v>
      </c>
      <c r="M1098" s="194"/>
      <c r="N1098" s="194"/>
    </row>
    <row r="1099">
      <c r="A1099" s="193" t="s">
        <v>18241</v>
      </c>
      <c r="B1099" s="7" t="s">
        <v>169</v>
      </c>
      <c r="C1099" s="7" t="s">
        <v>17619</v>
      </c>
      <c r="D1099" s="199"/>
      <c r="E1099" s="193"/>
      <c r="F1099" s="195" t="s">
        <v>18242</v>
      </c>
      <c r="G1099" s="196">
        <v>1.3557236453E10</v>
      </c>
      <c r="H1099" s="197">
        <v>28.08</v>
      </c>
      <c r="I1099" s="7" t="s">
        <v>16815</v>
      </c>
      <c r="J1099" s="7" t="s">
        <v>169</v>
      </c>
      <c r="K1099" s="7" t="s">
        <v>17619</v>
      </c>
      <c r="L1099" s="198" t="s">
        <v>65</v>
      </c>
      <c r="M1099" s="199"/>
      <c r="N1099" s="199"/>
    </row>
    <row r="1100">
      <c r="A1100" s="193" t="s">
        <v>18243</v>
      </c>
      <c r="B1100" s="7" t="s">
        <v>17111</v>
      </c>
      <c r="C1100" s="7" t="s">
        <v>17112</v>
      </c>
      <c r="D1100" s="194">
        <v>1994.0</v>
      </c>
      <c r="E1100" s="193"/>
      <c r="F1100" s="195" t="s">
        <v>18244</v>
      </c>
      <c r="G1100" s="200">
        <v>1.3520486833E10</v>
      </c>
      <c r="H1100" s="197">
        <v>210.65</v>
      </c>
      <c r="I1100" s="7" t="s">
        <v>16815</v>
      </c>
      <c r="J1100" s="7" t="s">
        <v>17111</v>
      </c>
      <c r="K1100" s="7" t="s">
        <v>17112</v>
      </c>
      <c r="L1100" s="201" t="s">
        <v>16835</v>
      </c>
      <c r="M1100" s="194"/>
      <c r="N1100" s="194"/>
    </row>
    <row r="1101">
      <c r="A1101" s="193" t="s">
        <v>18243</v>
      </c>
      <c r="B1101" s="7" t="s">
        <v>17112</v>
      </c>
      <c r="C1101" s="7" t="s">
        <v>17111</v>
      </c>
      <c r="D1101" s="194">
        <v>1994.0</v>
      </c>
      <c r="E1101" s="193"/>
      <c r="F1101" s="195" t="s">
        <v>18244</v>
      </c>
      <c r="G1101" s="196">
        <v>1.3520486833E10</v>
      </c>
      <c r="H1101" s="197">
        <v>210.65</v>
      </c>
      <c r="I1101" s="7" t="s">
        <v>16815</v>
      </c>
      <c r="J1101" s="7" t="s">
        <v>17112</v>
      </c>
      <c r="K1101" s="7" t="s">
        <v>17111</v>
      </c>
      <c r="L1101" s="198" t="s">
        <v>65</v>
      </c>
      <c r="M1101" s="194"/>
      <c r="N1101" s="194"/>
    </row>
    <row r="1102">
      <c r="A1102" s="193" t="s">
        <v>18245</v>
      </c>
      <c r="B1102" s="7" t="s">
        <v>169</v>
      </c>
      <c r="C1102" s="7" t="s">
        <v>17339</v>
      </c>
      <c r="D1102" s="199"/>
      <c r="E1102" s="193"/>
      <c r="F1102" s="195" t="s">
        <v>18246</v>
      </c>
      <c r="G1102" s="196">
        <v>1.3471673511E10</v>
      </c>
      <c r="H1102" s="197">
        <v>88.12</v>
      </c>
      <c r="I1102" s="7" t="s">
        <v>16815</v>
      </c>
      <c r="J1102" s="7" t="s">
        <v>169</v>
      </c>
      <c r="K1102" s="7" t="s">
        <v>17339</v>
      </c>
      <c r="L1102" s="198" t="s">
        <v>65</v>
      </c>
      <c r="M1102" s="199"/>
      <c r="N1102" s="199"/>
    </row>
    <row r="1103">
      <c r="A1103" s="193" t="s">
        <v>18247</v>
      </c>
      <c r="B1103" s="7" t="s">
        <v>17702</v>
      </c>
      <c r="C1103" s="7" t="s">
        <v>169</v>
      </c>
      <c r="D1103" s="194">
        <v>1993.0</v>
      </c>
      <c r="E1103" s="193"/>
      <c r="F1103" s="195" t="s">
        <v>18248</v>
      </c>
      <c r="G1103" s="200">
        <v>1.3387874433E10</v>
      </c>
      <c r="H1103" s="197">
        <v>46.87</v>
      </c>
      <c r="I1103" s="7" t="s">
        <v>16815</v>
      </c>
      <c r="J1103" s="7" t="s">
        <v>17702</v>
      </c>
      <c r="K1103" s="7" t="s">
        <v>169</v>
      </c>
      <c r="L1103" s="201" t="s">
        <v>16835</v>
      </c>
      <c r="M1103" s="194"/>
      <c r="N1103" s="194"/>
    </row>
    <row r="1104">
      <c r="A1104" s="193" t="s">
        <v>18247</v>
      </c>
      <c r="B1104" s="7" t="s">
        <v>169</v>
      </c>
      <c r="C1104" s="7" t="s">
        <v>17702</v>
      </c>
      <c r="D1104" s="194">
        <v>1993.0</v>
      </c>
      <c r="E1104" s="193"/>
      <c r="F1104" s="195" t="s">
        <v>18248</v>
      </c>
      <c r="G1104" s="196">
        <v>1.3387874433E10</v>
      </c>
      <c r="H1104" s="197">
        <v>46.87</v>
      </c>
      <c r="I1104" s="7" t="s">
        <v>16815</v>
      </c>
      <c r="J1104" s="7" t="s">
        <v>169</v>
      </c>
      <c r="K1104" s="7" t="s">
        <v>17702</v>
      </c>
      <c r="L1104" s="198" t="s">
        <v>65</v>
      </c>
      <c r="M1104" s="194"/>
      <c r="N1104" s="194"/>
    </row>
    <row r="1105">
      <c r="A1105" s="193" t="s">
        <v>18249</v>
      </c>
      <c r="B1105" s="7" t="s">
        <v>187</v>
      </c>
      <c r="C1105" s="7" t="s">
        <v>16846</v>
      </c>
      <c r="D1105" s="194">
        <v>2016.0</v>
      </c>
      <c r="E1105" s="193"/>
      <c r="F1105" s="195" t="s">
        <v>18250</v>
      </c>
      <c r="G1105" s="196">
        <v>1.3349036661E10</v>
      </c>
      <c r="H1105" s="197">
        <v>199.11</v>
      </c>
      <c r="I1105" s="7" t="s">
        <v>16815</v>
      </c>
      <c r="J1105" s="7" t="s">
        <v>187</v>
      </c>
      <c r="K1105" s="7" t="s">
        <v>16846</v>
      </c>
      <c r="L1105" s="198" t="s">
        <v>65</v>
      </c>
      <c r="M1105" s="194"/>
      <c r="N1105" s="194"/>
    </row>
    <row r="1106">
      <c r="A1106" s="193" t="s">
        <v>18251</v>
      </c>
      <c r="B1106" s="7" t="s">
        <v>16838</v>
      </c>
      <c r="C1106" s="7" t="s">
        <v>17347</v>
      </c>
      <c r="D1106" s="199"/>
      <c r="E1106" s="193"/>
      <c r="F1106" s="195" t="s">
        <v>18252</v>
      </c>
      <c r="G1106" s="196">
        <v>1.3331244071E10</v>
      </c>
      <c r="H1106" s="197">
        <v>5.02</v>
      </c>
      <c r="I1106" s="7" t="s">
        <v>186</v>
      </c>
      <c r="J1106" s="7" t="s">
        <v>16838</v>
      </c>
      <c r="K1106" s="7" t="s">
        <v>17347</v>
      </c>
      <c r="L1106" s="198" t="s">
        <v>65</v>
      </c>
      <c r="M1106" s="199"/>
      <c r="N1106" s="199"/>
    </row>
    <row r="1107">
      <c r="A1107" s="193" t="s">
        <v>18251</v>
      </c>
      <c r="B1107" s="7" t="s">
        <v>17347</v>
      </c>
      <c r="C1107" s="7" t="s">
        <v>16838</v>
      </c>
      <c r="D1107" s="199"/>
      <c r="E1107" s="193"/>
      <c r="F1107" s="195" t="s">
        <v>18252</v>
      </c>
      <c r="G1107" s="200">
        <v>1.3331244071E10</v>
      </c>
      <c r="H1107" s="197">
        <v>5.02</v>
      </c>
      <c r="I1107" s="7" t="s">
        <v>16815</v>
      </c>
      <c r="J1107" s="7" t="s">
        <v>17347</v>
      </c>
      <c r="K1107" s="7" t="s">
        <v>16838</v>
      </c>
      <c r="L1107" s="201" t="s">
        <v>16835</v>
      </c>
      <c r="M1107" s="199"/>
      <c r="N1107" s="199"/>
    </row>
    <row r="1108">
      <c r="A1108" s="193" t="s">
        <v>18253</v>
      </c>
      <c r="B1108" s="7" t="s">
        <v>16910</v>
      </c>
      <c r="C1108" s="7" t="s">
        <v>16911</v>
      </c>
      <c r="D1108" s="199"/>
      <c r="E1108" s="193"/>
      <c r="F1108" s="195" t="s">
        <v>18254</v>
      </c>
      <c r="G1108" s="196">
        <v>1.3321313708E10</v>
      </c>
      <c r="H1108" s="197">
        <v>172.5</v>
      </c>
      <c r="I1108" s="7" t="s">
        <v>16856</v>
      </c>
      <c r="J1108" s="7" t="s">
        <v>16910</v>
      </c>
      <c r="K1108" s="7" t="s">
        <v>16911</v>
      </c>
      <c r="L1108" s="198" t="s">
        <v>65</v>
      </c>
      <c r="M1108" s="199"/>
      <c r="N1108" s="199"/>
    </row>
    <row r="1109">
      <c r="A1109" s="193" t="s">
        <v>18255</v>
      </c>
      <c r="B1109" s="7" t="s">
        <v>16910</v>
      </c>
      <c r="C1109" s="7" t="s">
        <v>17119</v>
      </c>
      <c r="D1109" s="199"/>
      <c r="E1109" s="193"/>
      <c r="F1109" s="195" t="s">
        <v>18256</v>
      </c>
      <c r="G1109" s="196">
        <v>1.3292286771E10</v>
      </c>
      <c r="H1109" s="197">
        <v>27.81</v>
      </c>
      <c r="I1109" s="7" t="s">
        <v>16856</v>
      </c>
      <c r="J1109" s="7" t="s">
        <v>16910</v>
      </c>
      <c r="K1109" s="7" t="s">
        <v>17119</v>
      </c>
      <c r="L1109" s="198" t="s">
        <v>65</v>
      </c>
      <c r="M1109" s="199"/>
      <c r="N1109" s="199"/>
    </row>
    <row r="1110">
      <c r="A1110" s="193" t="s">
        <v>18255</v>
      </c>
      <c r="B1110" s="7" t="s">
        <v>17119</v>
      </c>
      <c r="C1110" s="7" t="s">
        <v>16910</v>
      </c>
      <c r="D1110" s="199"/>
      <c r="E1110" s="193"/>
      <c r="F1110" s="195" t="s">
        <v>18256</v>
      </c>
      <c r="G1110" s="200">
        <v>1.3292286771E10</v>
      </c>
      <c r="H1110" s="197">
        <v>27.81</v>
      </c>
      <c r="I1110" s="7" t="s">
        <v>16815</v>
      </c>
      <c r="J1110" s="7" t="s">
        <v>17119</v>
      </c>
      <c r="K1110" s="7" t="s">
        <v>16910</v>
      </c>
      <c r="L1110" s="201" t="s">
        <v>16835</v>
      </c>
      <c r="M1110" s="199"/>
      <c r="N1110" s="199"/>
    </row>
    <row r="1111">
      <c r="A1111" s="193" t="s">
        <v>18257</v>
      </c>
      <c r="B1111" s="7" t="s">
        <v>169</v>
      </c>
      <c r="C1111" s="7" t="s">
        <v>17025</v>
      </c>
      <c r="D1111" s="194">
        <v>2013.0</v>
      </c>
      <c r="E1111" s="193"/>
      <c r="F1111" s="195" t="s">
        <v>18258</v>
      </c>
      <c r="G1111" s="196">
        <v>1.3251617413E10</v>
      </c>
      <c r="H1111" s="197">
        <v>9.96</v>
      </c>
      <c r="I1111" s="7" t="s">
        <v>16815</v>
      </c>
      <c r="J1111" s="7" t="s">
        <v>169</v>
      </c>
      <c r="K1111" s="7" t="s">
        <v>17025</v>
      </c>
      <c r="L1111" s="198" t="s">
        <v>65</v>
      </c>
      <c r="M1111" s="194"/>
      <c r="N1111" s="194"/>
    </row>
    <row r="1112">
      <c r="A1112" s="193" t="s">
        <v>18257</v>
      </c>
      <c r="B1112" s="7" t="s">
        <v>17025</v>
      </c>
      <c r="C1112" s="7" t="s">
        <v>169</v>
      </c>
      <c r="D1112" s="194">
        <v>2013.0</v>
      </c>
      <c r="E1112" s="193"/>
      <c r="F1112" s="195" t="s">
        <v>18258</v>
      </c>
      <c r="G1112" s="200">
        <v>1.3251617413E10</v>
      </c>
      <c r="H1112" s="197">
        <v>9.96</v>
      </c>
      <c r="I1112" s="7" t="s">
        <v>16815</v>
      </c>
      <c r="J1112" s="7" t="s">
        <v>17025</v>
      </c>
      <c r="K1112" s="7" t="s">
        <v>169</v>
      </c>
      <c r="L1112" s="201" t="s">
        <v>16835</v>
      </c>
      <c r="M1112" s="194"/>
      <c r="N1112" s="194"/>
    </row>
    <row r="1113">
      <c r="A1113" s="193" t="s">
        <v>18259</v>
      </c>
      <c r="B1113" s="7" t="s">
        <v>175</v>
      </c>
      <c r="C1113" s="7" t="s">
        <v>17168</v>
      </c>
      <c r="D1113" s="199"/>
      <c r="E1113" s="193"/>
      <c r="F1113" s="195" t="s">
        <v>18260</v>
      </c>
      <c r="G1113" s="196">
        <v>1.323294018E10</v>
      </c>
      <c r="H1113" s="197">
        <v>38.74</v>
      </c>
      <c r="I1113" s="7" t="s">
        <v>168</v>
      </c>
      <c r="J1113" s="7" t="s">
        <v>175</v>
      </c>
      <c r="K1113" s="7" t="s">
        <v>17168</v>
      </c>
      <c r="L1113" s="198" t="s">
        <v>65</v>
      </c>
      <c r="M1113" s="199"/>
      <c r="N1113" s="199"/>
    </row>
    <row r="1114">
      <c r="A1114" s="193" t="s">
        <v>18259</v>
      </c>
      <c r="B1114" s="7" t="s">
        <v>17168</v>
      </c>
      <c r="C1114" s="7" t="s">
        <v>175</v>
      </c>
      <c r="D1114" s="199"/>
      <c r="E1114" s="193"/>
      <c r="F1114" s="195" t="s">
        <v>18260</v>
      </c>
      <c r="G1114" s="200">
        <v>1.323294018E10</v>
      </c>
      <c r="H1114" s="197">
        <v>38.74</v>
      </c>
      <c r="I1114" s="7" t="s">
        <v>16815</v>
      </c>
      <c r="J1114" s="7" t="s">
        <v>17168</v>
      </c>
      <c r="K1114" s="7" t="s">
        <v>175</v>
      </c>
      <c r="L1114" s="201" t="s">
        <v>16835</v>
      </c>
      <c r="M1114" s="199"/>
      <c r="N1114" s="199"/>
    </row>
    <row r="1115">
      <c r="A1115" s="193" t="s">
        <v>18261</v>
      </c>
      <c r="B1115" s="7" t="s">
        <v>175</v>
      </c>
      <c r="C1115" s="7" t="s">
        <v>17606</v>
      </c>
      <c r="D1115" s="194">
        <v>2004.0</v>
      </c>
      <c r="E1115" s="193"/>
      <c r="F1115" s="195" t="s">
        <v>18262</v>
      </c>
      <c r="G1115" s="196">
        <v>1.3202800875E10</v>
      </c>
      <c r="H1115" s="197">
        <v>378.51</v>
      </c>
      <c r="I1115" s="7" t="s">
        <v>16908</v>
      </c>
      <c r="J1115" s="7" t="s">
        <v>175</v>
      </c>
      <c r="K1115" s="7" t="s">
        <v>17606</v>
      </c>
      <c r="L1115" s="198" t="s">
        <v>65</v>
      </c>
      <c r="M1115" s="194"/>
      <c r="N1115" s="194"/>
    </row>
    <row r="1116">
      <c r="A1116" s="193" t="s">
        <v>18261</v>
      </c>
      <c r="B1116" s="7" t="s">
        <v>17606</v>
      </c>
      <c r="C1116" s="7" t="s">
        <v>175</v>
      </c>
      <c r="D1116" s="194">
        <v>2004.0</v>
      </c>
      <c r="E1116" s="193"/>
      <c r="F1116" s="195" t="s">
        <v>18262</v>
      </c>
      <c r="G1116" s="200">
        <v>1.3202800875E10</v>
      </c>
      <c r="H1116" s="197">
        <v>378.51</v>
      </c>
      <c r="I1116" s="7" t="s">
        <v>16815</v>
      </c>
      <c r="J1116" s="7" t="s">
        <v>17606</v>
      </c>
      <c r="K1116" s="7" t="s">
        <v>175</v>
      </c>
      <c r="L1116" s="201" t="s">
        <v>16835</v>
      </c>
      <c r="M1116" s="194"/>
      <c r="N1116" s="194"/>
    </row>
    <row r="1117">
      <c r="A1117" s="193" t="s">
        <v>18263</v>
      </c>
      <c r="B1117" s="7" t="s">
        <v>16582</v>
      </c>
      <c r="C1117" s="7" t="s">
        <v>16817</v>
      </c>
      <c r="D1117" s="194">
        <v>1998.0</v>
      </c>
      <c r="E1117" s="193"/>
      <c r="F1117" s="195" t="s">
        <v>18264</v>
      </c>
      <c r="G1117" s="196">
        <v>1.3197107055E10</v>
      </c>
      <c r="H1117" s="197">
        <v>214.36</v>
      </c>
      <c r="I1117" s="7" t="s">
        <v>16815</v>
      </c>
      <c r="J1117" s="7" t="s">
        <v>16582</v>
      </c>
      <c r="K1117" s="7" t="s">
        <v>16817</v>
      </c>
      <c r="L1117" s="198" t="s">
        <v>65</v>
      </c>
      <c r="M1117" s="194"/>
      <c r="N1117" s="194"/>
    </row>
    <row r="1118">
      <c r="A1118" s="193" t="s">
        <v>18265</v>
      </c>
      <c r="B1118" s="7" t="s">
        <v>169</v>
      </c>
      <c r="C1118" s="7" t="s">
        <v>17805</v>
      </c>
      <c r="D1118" s="199"/>
      <c r="E1118" s="193"/>
      <c r="F1118" s="195" t="s">
        <v>18266</v>
      </c>
      <c r="G1118" s="196">
        <v>1.3143527634E10</v>
      </c>
      <c r="H1118" s="197">
        <v>77.87</v>
      </c>
      <c r="I1118" s="7" t="s">
        <v>16815</v>
      </c>
      <c r="J1118" s="7" t="s">
        <v>169</v>
      </c>
      <c r="K1118" s="7" t="s">
        <v>17805</v>
      </c>
      <c r="L1118" s="198" t="s">
        <v>65</v>
      </c>
      <c r="M1118" s="199"/>
      <c r="N1118" s="199"/>
    </row>
    <row r="1119">
      <c r="A1119" s="193" t="s">
        <v>18265</v>
      </c>
      <c r="B1119" s="7" t="s">
        <v>17805</v>
      </c>
      <c r="C1119" s="7" t="s">
        <v>169</v>
      </c>
      <c r="D1119" s="199"/>
      <c r="E1119" s="193"/>
      <c r="F1119" s="195" t="s">
        <v>18266</v>
      </c>
      <c r="G1119" s="200">
        <v>1.3143527634E10</v>
      </c>
      <c r="H1119" s="197">
        <v>77.87</v>
      </c>
      <c r="I1119" s="7" t="s">
        <v>16815</v>
      </c>
      <c r="J1119" s="7" t="s">
        <v>17805</v>
      </c>
      <c r="K1119" s="7" t="s">
        <v>169</v>
      </c>
      <c r="L1119" s="201" t="s">
        <v>16835</v>
      </c>
      <c r="M1119" s="199"/>
      <c r="N1119" s="199"/>
    </row>
    <row r="1120">
      <c r="A1120" s="193" t="s">
        <v>18267</v>
      </c>
      <c r="B1120" s="7" t="s">
        <v>175</v>
      </c>
      <c r="C1120" s="7" t="s">
        <v>18268</v>
      </c>
      <c r="D1120" s="194">
        <v>2019.0</v>
      </c>
      <c r="E1120" s="193"/>
      <c r="F1120" s="195" t="s">
        <v>18269</v>
      </c>
      <c r="G1120" s="196">
        <v>1.3109262933E10</v>
      </c>
      <c r="H1120" s="197">
        <v>9.07</v>
      </c>
      <c r="I1120" s="7" t="s">
        <v>16826</v>
      </c>
      <c r="J1120" s="7" t="s">
        <v>175</v>
      </c>
      <c r="K1120" s="7" t="s">
        <v>18268</v>
      </c>
      <c r="L1120" s="198" t="s">
        <v>65</v>
      </c>
      <c r="M1120" s="194"/>
      <c r="N1120" s="194"/>
    </row>
    <row r="1121">
      <c r="A1121" s="193" t="s">
        <v>18267</v>
      </c>
      <c r="B1121" s="7" t="s">
        <v>18268</v>
      </c>
      <c r="C1121" s="7" t="s">
        <v>175</v>
      </c>
      <c r="D1121" s="194">
        <v>2019.0</v>
      </c>
      <c r="E1121" s="193"/>
      <c r="F1121" s="195" t="s">
        <v>18269</v>
      </c>
      <c r="G1121" s="200">
        <v>1.3109262933E10</v>
      </c>
      <c r="H1121" s="197">
        <v>9.07</v>
      </c>
      <c r="I1121" s="7" t="s">
        <v>16815</v>
      </c>
      <c r="J1121" s="7" t="s">
        <v>18268</v>
      </c>
      <c r="K1121" s="7" t="s">
        <v>175</v>
      </c>
      <c r="L1121" s="201" t="s">
        <v>16835</v>
      </c>
      <c r="M1121" s="194"/>
      <c r="N1121" s="194"/>
    </row>
    <row r="1122">
      <c r="A1122" s="193" t="s">
        <v>18270</v>
      </c>
      <c r="B1122" s="7" t="s">
        <v>17545</v>
      </c>
      <c r="C1122" s="7" t="s">
        <v>169</v>
      </c>
      <c r="D1122" s="199"/>
      <c r="E1122" s="193"/>
      <c r="F1122" s="195" t="s">
        <v>18271</v>
      </c>
      <c r="G1122" s="200">
        <v>1.3072467642E10</v>
      </c>
      <c r="H1122" s="197">
        <v>268.52</v>
      </c>
      <c r="I1122" s="7" t="s">
        <v>16815</v>
      </c>
      <c r="J1122" s="7" t="s">
        <v>17545</v>
      </c>
      <c r="K1122" s="7" t="s">
        <v>169</v>
      </c>
      <c r="L1122" s="201" t="s">
        <v>16835</v>
      </c>
      <c r="M1122" s="199"/>
      <c r="N1122" s="199"/>
    </row>
    <row r="1123">
      <c r="A1123" s="193" t="s">
        <v>18270</v>
      </c>
      <c r="B1123" s="7" t="s">
        <v>169</v>
      </c>
      <c r="C1123" s="7" t="s">
        <v>17545</v>
      </c>
      <c r="D1123" s="199"/>
      <c r="E1123" s="193"/>
      <c r="F1123" s="195" t="s">
        <v>18271</v>
      </c>
      <c r="G1123" s="196">
        <v>1.3072467642E10</v>
      </c>
      <c r="H1123" s="197">
        <v>268.52</v>
      </c>
      <c r="I1123" s="7" t="s">
        <v>16815</v>
      </c>
      <c r="J1123" s="7" t="s">
        <v>169</v>
      </c>
      <c r="K1123" s="7" t="s">
        <v>17545</v>
      </c>
      <c r="L1123" s="198" t="s">
        <v>65</v>
      </c>
      <c r="M1123" s="199"/>
      <c r="N1123" s="199"/>
    </row>
    <row r="1124">
      <c r="A1124" s="193" t="s">
        <v>18272</v>
      </c>
      <c r="B1124" s="7" t="s">
        <v>16582</v>
      </c>
      <c r="C1124" s="7" t="s">
        <v>16817</v>
      </c>
      <c r="D1124" s="194">
        <v>2010.0</v>
      </c>
      <c r="E1124" s="193"/>
      <c r="F1124" s="195" t="s">
        <v>18273</v>
      </c>
      <c r="G1124" s="196">
        <v>1.3066354278E10</v>
      </c>
      <c r="H1124" s="197">
        <v>52.79</v>
      </c>
      <c r="I1124" s="7" t="s">
        <v>16815</v>
      </c>
      <c r="J1124" s="7" t="s">
        <v>16582</v>
      </c>
      <c r="K1124" s="7" t="s">
        <v>16817</v>
      </c>
      <c r="L1124" s="198" t="s">
        <v>65</v>
      </c>
      <c r="M1124" s="194"/>
      <c r="N1124" s="194"/>
    </row>
    <row r="1125">
      <c r="A1125" s="193" t="s">
        <v>18274</v>
      </c>
      <c r="B1125" s="7" t="s">
        <v>175</v>
      </c>
      <c r="C1125" s="7" t="s">
        <v>16899</v>
      </c>
      <c r="D1125" s="199"/>
      <c r="E1125" s="193"/>
      <c r="F1125" s="195" t="s">
        <v>18275</v>
      </c>
      <c r="G1125" s="196">
        <v>1.3042201819E10</v>
      </c>
      <c r="H1125" s="197">
        <v>85.07</v>
      </c>
      <c r="I1125" s="7" t="s">
        <v>17270</v>
      </c>
      <c r="J1125" s="7" t="s">
        <v>175</v>
      </c>
      <c r="K1125" s="7" t="s">
        <v>16899</v>
      </c>
      <c r="L1125" s="198" t="s">
        <v>65</v>
      </c>
      <c r="M1125" s="199"/>
      <c r="N1125" s="199"/>
    </row>
    <row r="1126">
      <c r="A1126" s="193" t="s">
        <v>18274</v>
      </c>
      <c r="B1126" s="7" t="s">
        <v>16899</v>
      </c>
      <c r="C1126" s="7" t="s">
        <v>175</v>
      </c>
      <c r="D1126" s="199"/>
      <c r="E1126" s="193"/>
      <c r="F1126" s="195" t="s">
        <v>18275</v>
      </c>
      <c r="G1126" s="200">
        <v>1.3042201819E10</v>
      </c>
      <c r="H1126" s="197">
        <v>85.07</v>
      </c>
      <c r="I1126" s="7" t="s">
        <v>16815</v>
      </c>
      <c r="J1126" s="7" t="s">
        <v>16899</v>
      </c>
      <c r="K1126" s="7" t="s">
        <v>175</v>
      </c>
      <c r="L1126" s="201" t="s">
        <v>16835</v>
      </c>
      <c r="M1126" s="199"/>
      <c r="N1126" s="199"/>
    </row>
    <row r="1127">
      <c r="A1127" s="193" t="s">
        <v>18276</v>
      </c>
      <c r="B1127" s="7" t="s">
        <v>16582</v>
      </c>
      <c r="C1127" s="7" t="s">
        <v>16995</v>
      </c>
      <c r="D1127" s="194">
        <v>1997.0</v>
      </c>
      <c r="E1127" s="193"/>
      <c r="F1127" s="195" t="s">
        <v>18277</v>
      </c>
      <c r="G1127" s="196">
        <v>1.2946647628E10</v>
      </c>
      <c r="H1127" s="197">
        <v>81.56</v>
      </c>
      <c r="I1127" s="7" t="s">
        <v>16815</v>
      </c>
      <c r="J1127" s="7" t="s">
        <v>16582</v>
      </c>
      <c r="K1127" s="7" t="s">
        <v>16995</v>
      </c>
      <c r="L1127" s="198" t="s">
        <v>65</v>
      </c>
      <c r="M1127" s="194"/>
      <c r="N1127" s="194"/>
    </row>
    <row r="1128">
      <c r="A1128" s="193" t="s">
        <v>18278</v>
      </c>
      <c r="B1128" s="7" t="s">
        <v>169</v>
      </c>
      <c r="C1128" s="7" t="s">
        <v>17442</v>
      </c>
      <c r="D1128" s="199"/>
      <c r="E1128" s="193"/>
      <c r="F1128" s="195" t="s">
        <v>18279</v>
      </c>
      <c r="G1128" s="196">
        <v>1.2921305532E10</v>
      </c>
      <c r="H1128" s="197">
        <v>29.23</v>
      </c>
      <c r="I1128" s="7" t="s">
        <v>16815</v>
      </c>
      <c r="J1128" s="7" t="s">
        <v>169</v>
      </c>
      <c r="K1128" s="7" t="s">
        <v>17442</v>
      </c>
      <c r="L1128" s="198" t="s">
        <v>65</v>
      </c>
      <c r="M1128" s="199"/>
      <c r="N1128" s="199"/>
    </row>
    <row r="1129">
      <c r="A1129" s="193" t="s">
        <v>18278</v>
      </c>
      <c r="B1129" s="7" t="s">
        <v>17442</v>
      </c>
      <c r="C1129" s="7" t="s">
        <v>169</v>
      </c>
      <c r="D1129" s="199"/>
      <c r="E1129" s="193"/>
      <c r="F1129" s="195" t="s">
        <v>18279</v>
      </c>
      <c r="G1129" s="200">
        <v>1.2921305532E10</v>
      </c>
      <c r="H1129" s="197">
        <v>29.23</v>
      </c>
      <c r="I1129" s="7" t="s">
        <v>16815</v>
      </c>
      <c r="J1129" s="7" t="s">
        <v>17442</v>
      </c>
      <c r="K1129" s="7" t="s">
        <v>169</v>
      </c>
      <c r="L1129" s="201" t="s">
        <v>16835</v>
      </c>
      <c r="M1129" s="199"/>
      <c r="N1129" s="199"/>
    </row>
    <row r="1130">
      <c r="A1130" s="193" t="s">
        <v>18280</v>
      </c>
      <c r="B1130" s="7" t="s">
        <v>16945</v>
      </c>
      <c r="C1130" s="7" t="s">
        <v>169</v>
      </c>
      <c r="D1130" s="194">
        <v>2005.0</v>
      </c>
      <c r="E1130" s="193"/>
      <c r="F1130" s="195" t="s">
        <v>18281</v>
      </c>
      <c r="G1130" s="200">
        <v>1.2900425841E10</v>
      </c>
      <c r="H1130" s="197">
        <v>118.51</v>
      </c>
      <c r="I1130" s="7" t="s">
        <v>16815</v>
      </c>
      <c r="J1130" s="7" t="s">
        <v>16945</v>
      </c>
      <c r="K1130" s="7" t="s">
        <v>169</v>
      </c>
      <c r="L1130" s="201" t="s">
        <v>16835</v>
      </c>
      <c r="M1130" s="194"/>
      <c r="N1130" s="194"/>
    </row>
    <row r="1131">
      <c r="A1131" s="193" t="s">
        <v>18280</v>
      </c>
      <c r="B1131" s="7" t="s">
        <v>169</v>
      </c>
      <c r="C1131" s="7" t="s">
        <v>16945</v>
      </c>
      <c r="D1131" s="194">
        <v>2005.0</v>
      </c>
      <c r="E1131" s="193"/>
      <c r="F1131" s="195" t="s">
        <v>18281</v>
      </c>
      <c r="G1131" s="196">
        <v>1.2900425841E10</v>
      </c>
      <c r="H1131" s="197">
        <v>118.51</v>
      </c>
      <c r="I1131" s="7" t="s">
        <v>16815</v>
      </c>
      <c r="J1131" s="7" t="s">
        <v>169</v>
      </c>
      <c r="K1131" s="7" t="s">
        <v>16945</v>
      </c>
      <c r="L1131" s="198" t="s">
        <v>65</v>
      </c>
      <c r="M1131" s="194"/>
      <c r="N1131" s="194"/>
    </row>
    <row r="1132">
      <c r="A1132" s="193" t="s">
        <v>18282</v>
      </c>
      <c r="B1132" s="7" t="s">
        <v>16838</v>
      </c>
      <c r="C1132" s="7" t="s">
        <v>17104</v>
      </c>
      <c r="D1132" s="199"/>
      <c r="E1132" s="193"/>
      <c r="F1132" s="195" t="s">
        <v>18283</v>
      </c>
      <c r="G1132" s="196">
        <v>1.285789656E10</v>
      </c>
      <c r="H1132" s="197">
        <v>278.36</v>
      </c>
      <c r="I1132" s="7" t="s">
        <v>16815</v>
      </c>
      <c r="J1132" s="7" t="s">
        <v>16838</v>
      </c>
      <c r="K1132" s="7" t="s">
        <v>17104</v>
      </c>
      <c r="L1132" s="198" t="s">
        <v>65</v>
      </c>
      <c r="M1132" s="199"/>
      <c r="N1132" s="199"/>
    </row>
    <row r="1133">
      <c r="A1133" s="193" t="s">
        <v>18284</v>
      </c>
      <c r="B1133" s="7" t="s">
        <v>16582</v>
      </c>
      <c r="C1133" s="7" t="s">
        <v>17435</v>
      </c>
      <c r="D1133" s="194">
        <v>2021.0</v>
      </c>
      <c r="E1133" s="193"/>
      <c r="F1133" s="195" t="s">
        <v>18285</v>
      </c>
      <c r="G1133" s="196">
        <v>1.2838849368E10</v>
      </c>
      <c r="H1133" s="197">
        <v>24.0</v>
      </c>
      <c r="I1133" s="7" t="s">
        <v>16815</v>
      </c>
      <c r="J1133" s="7" t="s">
        <v>16582</v>
      </c>
      <c r="K1133" s="7" t="s">
        <v>17435</v>
      </c>
      <c r="L1133" s="198" t="s">
        <v>65</v>
      </c>
      <c r="M1133" s="194"/>
      <c r="N1133" s="194"/>
    </row>
    <row r="1134">
      <c r="A1134" s="193" t="s">
        <v>18284</v>
      </c>
      <c r="B1134" s="7" t="s">
        <v>17435</v>
      </c>
      <c r="C1134" s="7" t="s">
        <v>16582</v>
      </c>
      <c r="D1134" s="194">
        <v>2021.0</v>
      </c>
      <c r="E1134" s="193"/>
      <c r="F1134" s="195" t="s">
        <v>18285</v>
      </c>
      <c r="G1134" s="200">
        <v>1.2838849368E10</v>
      </c>
      <c r="H1134" s="197">
        <v>24.0</v>
      </c>
      <c r="I1134" s="7" t="s">
        <v>16815</v>
      </c>
      <c r="J1134" s="7" t="s">
        <v>17435</v>
      </c>
      <c r="K1134" s="7" t="s">
        <v>16582</v>
      </c>
      <c r="L1134" s="201" t="s">
        <v>16835</v>
      </c>
      <c r="M1134" s="194"/>
      <c r="N1134" s="194"/>
    </row>
    <row r="1135">
      <c r="A1135" s="193" t="s">
        <v>18286</v>
      </c>
      <c r="B1135" s="7" t="s">
        <v>169</v>
      </c>
      <c r="C1135" s="7" t="s">
        <v>16899</v>
      </c>
      <c r="D1135" s="199"/>
      <c r="E1135" s="193"/>
      <c r="F1135" s="195" t="s">
        <v>18287</v>
      </c>
      <c r="G1135" s="196">
        <v>1.283453342E10</v>
      </c>
      <c r="H1135" s="197">
        <v>225.11</v>
      </c>
      <c r="I1135" s="7" t="s">
        <v>16815</v>
      </c>
      <c r="J1135" s="7" t="s">
        <v>169</v>
      </c>
      <c r="K1135" s="7" t="s">
        <v>16899</v>
      </c>
      <c r="L1135" s="198" t="s">
        <v>65</v>
      </c>
      <c r="M1135" s="199"/>
      <c r="N1135" s="199"/>
    </row>
    <row r="1136">
      <c r="A1136" s="193" t="s">
        <v>18288</v>
      </c>
      <c r="B1136" s="7" t="s">
        <v>175</v>
      </c>
      <c r="C1136" s="7" t="s">
        <v>17509</v>
      </c>
      <c r="D1136" s="194">
        <v>1995.0</v>
      </c>
      <c r="E1136" s="193"/>
      <c r="F1136" s="195" t="s">
        <v>18289</v>
      </c>
      <c r="G1136" s="196">
        <v>1.2785012521E10</v>
      </c>
      <c r="H1136" s="197">
        <v>330.54</v>
      </c>
      <c r="I1136" s="7" t="s">
        <v>168</v>
      </c>
      <c r="J1136" s="7" t="s">
        <v>175</v>
      </c>
      <c r="K1136" s="7" t="s">
        <v>17509</v>
      </c>
      <c r="L1136" s="198" t="s">
        <v>65</v>
      </c>
      <c r="M1136" s="194"/>
      <c r="N1136" s="194"/>
    </row>
    <row r="1137">
      <c r="A1137" s="193" t="s">
        <v>18290</v>
      </c>
      <c r="B1137" s="7" t="s">
        <v>175</v>
      </c>
      <c r="C1137" s="7" t="s">
        <v>17619</v>
      </c>
      <c r="D1137" s="194">
        <v>2018.0</v>
      </c>
      <c r="E1137" s="193"/>
      <c r="F1137" s="195" t="s">
        <v>18291</v>
      </c>
      <c r="G1137" s="196">
        <v>1.2647488455E10</v>
      </c>
      <c r="H1137" s="197">
        <v>7.37</v>
      </c>
      <c r="I1137" s="7" t="s">
        <v>16903</v>
      </c>
      <c r="J1137" s="7" t="s">
        <v>175</v>
      </c>
      <c r="K1137" s="7" t="s">
        <v>17619</v>
      </c>
      <c r="L1137" s="198" t="s">
        <v>65</v>
      </c>
      <c r="M1137" s="194"/>
      <c r="N1137" s="194"/>
    </row>
    <row r="1138">
      <c r="A1138" s="193" t="s">
        <v>18290</v>
      </c>
      <c r="B1138" s="7" t="s">
        <v>17619</v>
      </c>
      <c r="C1138" s="7" t="s">
        <v>175</v>
      </c>
      <c r="D1138" s="194">
        <v>2018.0</v>
      </c>
      <c r="E1138" s="193"/>
      <c r="F1138" s="195" t="s">
        <v>18291</v>
      </c>
      <c r="G1138" s="200">
        <v>1.2647488455E10</v>
      </c>
      <c r="H1138" s="197">
        <v>7.37</v>
      </c>
      <c r="I1138" s="7" t="s">
        <v>16815</v>
      </c>
      <c r="J1138" s="7" t="s">
        <v>17619</v>
      </c>
      <c r="K1138" s="7" t="s">
        <v>175</v>
      </c>
      <c r="L1138" s="201" t="s">
        <v>16835</v>
      </c>
      <c r="M1138" s="194"/>
      <c r="N1138" s="194"/>
    </row>
    <row r="1139">
      <c r="A1139" s="193" t="s">
        <v>18292</v>
      </c>
      <c r="B1139" s="7" t="s">
        <v>17111</v>
      </c>
      <c r="C1139" s="7" t="s">
        <v>17112</v>
      </c>
      <c r="D1139" s="194">
        <v>2013.0</v>
      </c>
      <c r="E1139" s="193"/>
      <c r="F1139" s="195" t="s">
        <v>18293</v>
      </c>
      <c r="G1139" s="200">
        <v>1.2635751713E10</v>
      </c>
      <c r="H1139" s="197">
        <v>34.9</v>
      </c>
      <c r="I1139" s="7" t="s">
        <v>16815</v>
      </c>
      <c r="J1139" s="7" t="s">
        <v>17111</v>
      </c>
      <c r="K1139" s="7" t="s">
        <v>17112</v>
      </c>
      <c r="L1139" s="201" t="s">
        <v>16835</v>
      </c>
      <c r="M1139" s="194"/>
      <c r="N1139" s="194"/>
    </row>
    <row r="1140">
      <c r="A1140" s="193" t="s">
        <v>18292</v>
      </c>
      <c r="B1140" s="7" t="s">
        <v>17112</v>
      </c>
      <c r="C1140" s="7" t="s">
        <v>17111</v>
      </c>
      <c r="D1140" s="194">
        <v>2013.0</v>
      </c>
      <c r="E1140" s="193"/>
      <c r="F1140" s="195" t="s">
        <v>18293</v>
      </c>
      <c r="G1140" s="196">
        <v>1.2635751713E10</v>
      </c>
      <c r="H1140" s="197">
        <v>34.9</v>
      </c>
      <c r="I1140" s="7" t="s">
        <v>16815</v>
      </c>
      <c r="J1140" s="7" t="s">
        <v>17112</v>
      </c>
      <c r="K1140" s="7" t="s">
        <v>17111</v>
      </c>
      <c r="L1140" s="198" t="s">
        <v>65</v>
      </c>
      <c r="M1140" s="194"/>
      <c r="N1140" s="194"/>
    </row>
    <row r="1141">
      <c r="A1141" s="193" t="s">
        <v>18294</v>
      </c>
      <c r="B1141" s="7" t="s">
        <v>169</v>
      </c>
      <c r="C1141" s="7" t="s">
        <v>17509</v>
      </c>
      <c r="D1141" s="199"/>
      <c r="E1141" s="193"/>
      <c r="F1141" s="195" t="s">
        <v>18295</v>
      </c>
      <c r="G1141" s="196">
        <v>1.2610216171E10</v>
      </c>
      <c r="H1141" s="197">
        <v>56.17</v>
      </c>
      <c r="I1141" s="7" t="s">
        <v>16815</v>
      </c>
      <c r="J1141" s="7" t="s">
        <v>169</v>
      </c>
      <c r="K1141" s="7" t="s">
        <v>17509</v>
      </c>
      <c r="L1141" s="198" t="s">
        <v>65</v>
      </c>
      <c r="M1141" s="199"/>
      <c r="N1141" s="199"/>
    </row>
    <row r="1142">
      <c r="A1142" s="193" t="s">
        <v>18294</v>
      </c>
      <c r="B1142" s="7" t="s">
        <v>17509</v>
      </c>
      <c r="C1142" s="7" t="s">
        <v>169</v>
      </c>
      <c r="D1142" s="199"/>
      <c r="E1142" s="193"/>
      <c r="F1142" s="195" t="s">
        <v>18295</v>
      </c>
      <c r="G1142" s="200">
        <v>1.2610216171E10</v>
      </c>
      <c r="H1142" s="197">
        <v>56.17</v>
      </c>
      <c r="I1142" s="7" t="s">
        <v>16815</v>
      </c>
      <c r="J1142" s="7" t="s">
        <v>17509</v>
      </c>
      <c r="K1142" s="7" t="s">
        <v>169</v>
      </c>
      <c r="L1142" s="201" t="s">
        <v>16835</v>
      </c>
      <c r="M1142" s="199"/>
      <c r="N1142" s="199"/>
    </row>
    <row r="1143">
      <c r="A1143" s="193" t="s">
        <v>18296</v>
      </c>
      <c r="B1143" s="7" t="s">
        <v>158</v>
      </c>
      <c r="C1143" s="7" t="s">
        <v>16864</v>
      </c>
      <c r="D1143" s="199"/>
      <c r="E1143" s="193"/>
      <c r="F1143" s="195" t="s">
        <v>18297</v>
      </c>
      <c r="G1143" s="196">
        <v>1.2594456747E10</v>
      </c>
      <c r="H1143" s="197">
        <v>1641.0</v>
      </c>
      <c r="I1143" s="7" t="s">
        <v>16953</v>
      </c>
      <c r="J1143" s="7" t="s">
        <v>158</v>
      </c>
      <c r="K1143" s="7" t="s">
        <v>16864</v>
      </c>
      <c r="L1143" s="198" t="s">
        <v>65</v>
      </c>
      <c r="M1143" s="199"/>
      <c r="N1143" s="199"/>
    </row>
    <row r="1144">
      <c r="A1144" s="193" t="s">
        <v>18296</v>
      </c>
      <c r="B1144" s="7" t="s">
        <v>16864</v>
      </c>
      <c r="C1144" s="7" t="s">
        <v>158</v>
      </c>
      <c r="D1144" s="199"/>
      <c r="E1144" s="193"/>
      <c r="F1144" s="195" t="s">
        <v>18297</v>
      </c>
      <c r="G1144" s="200">
        <v>1.2594456747E10</v>
      </c>
      <c r="H1144" s="197">
        <v>1641.0</v>
      </c>
      <c r="I1144" s="7" t="s">
        <v>16815</v>
      </c>
      <c r="J1144" s="7" t="s">
        <v>16864</v>
      </c>
      <c r="K1144" s="7" t="s">
        <v>158</v>
      </c>
      <c r="L1144" s="201" t="s">
        <v>16835</v>
      </c>
      <c r="M1144" s="199"/>
      <c r="N1144" s="199"/>
    </row>
    <row r="1145">
      <c r="A1145" s="193" t="s">
        <v>18298</v>
      </c>
      <c r="B1145" s="7" t="s">
        <v>175</v>
      </c>
      <c r="C1145" s="7" t="s">
        <v>17673</v>
      </c>
      <c r="D1145" s="199"/>
      <c r="E1145" s="193"/>
      <c r="F1145" s="195" t="s">
        <v>18299</v>
      </c>
      <c r="G1145" s="196">
        <v>1.2592962904E10</v>
      </c>
      <c r="H1145" s="197">
        <v>97.75</v>
      </c>
      <c r="I1145" s="7" t="s">
        <v>17222</v>
      </c>
      <c r="J1145" s="7" t="s">
        <v>175</v>
      </c>
      <c r="K1145" s="7" t="s">
        <v>17673</v>
      </c>
      <c r="L1145" s="198" t="s">
        <v>65</v>
      </c>
      <c r="M1145" s="199"/>
      <c r="N1145" s="199"/>
    </row>
    <row r="1146">
      <c r="A1146" s="193" t="s">
        <v>18298</v>
      </c>
      <c r="B1146" s="7" t="s">
        <v>17673</v>
      </c>
      <c r="C1146" s="7" t="s">
        <v>175</v>
      </c>
      <c r="D1146" s="199"/>
      <c r="E1146" s="193"/>
      <c r="F1146" s="195" t="s">
        <v>18299</v>
      </c>
      <c r="G1146" s="200">
        <v>1.2592962904E10</v>
      </c>
      <c r="H1146" s="197">
        <v>97.75</v>
      </c>
      <c r="I1146" s="7" t="s">
        <v>16815</v>
      </c>
      <c r="J1146" s="7" t="s">
        <v>17673</v>
      </c>
      <c r="K1146" s="7" t="s">
        <v>175</v>
      </c>
      <c r="L1146" s="201" t="s">
        <v>16835</v>
      </c>
      <c r="M1146" s="199"/>
      <c r="N1146" s="199"/>
    </row>
    <row r="1147">
      <c r="A1147" s="193" t="s">
        <v>18300</v>
      </c>
      <c r="B1147" s="7" t="s">
        <v>169</v>
      </c>
      <c r="C1147" s="7" t="s">
        <v>17827</v>
      </c>
      <c r="D1147" s="194">
        <v>2019.0</v>
      </c>
      <c r="E1147" s="193"/>
      <c r="F1147" s="195" t="s">
        <v>18301</v>
      </c>
      <c r="G1147" s="196">
        <v>1.255372815E10</v>
      </c>
      <c r="H1147" s="197">
        <v>18.56</v>
      </c>
      <c r="I1147" s="7" t="s">
        <v>16815</v>
      </c>
      <c r="J1147" s="7" t="s">
        <v>169</v>
      </c>
      <c r="K1147" s="7" t="s">
        <v>17827</v>
      </c>
      <c r="L1147" s="198" t="s">
        <v>65</v>
      </c>
      <c r="M1147" s="194"/>
      <c r="N1147" s="194"/>
    </row>
    <row r="1148">
      <c r="A1148" s="193" t="s">
        <v>18300</v>
      </c>
      <c r="B1148" s="7" t="s">
        <v>17827</v>
      </c>
      <c r="C1148" s="7" t="s">
        <v>169</v>
      </c>
      <c r="D1148" s="194">
        <v>2019.0</v>
      </c>
      <c r="E1148" s="193"/>
      <c r="F1148" s="195" t="s">
        <v>18301</v>
      </c>
      <c r="G1148" s="200">
        <v>1.255372815E10</v>
      </c>
      <c r="H1148" s="197">
        <v>18.56</v>
      </c>
      <c r="I1148" s="7" t="s">
        <v>16815</v>
      </c>
      <c r="J1148" s="7" t="s">
        <v>17827</v>
      </c>
      <c r="K1148" s="7" t="s">
        <v>169</v>
      </c>
      <c r="L1148" s="201" t="s">
        <v>16835</v>
      </c>
      <c r="M1148" s="194"/>
      <c r="N1148" s="194"/>
    </row>
    <row r="1149">
      <c r="A1149" s="193" t="s">
        <v>18302</v>
      </c>
      <c r="B1149" s="7" t="s">
        <v>16838</v>
      </c>
      <c r="C1149" s="7" t="s">
        <v>17019</v>
      </c>
      <c r="D1149" s="194">
        <v>2019.0</v>
      </c>
      <c r="E1149" s="193"/>
      <c r="F1149" s="195" t="s">
        <v>18303</v>
      </c>
      <c r="G1149" s="196">
        <v>1.2544408506E10</v>
      </c>
      <c r="H1149" s="197">
        <v>22.38</v>
      </c>
      <c r="I1149" s="7" t="s">
        <v>16815</v>
      </c>
      <c r="J1149" s="7" t="s">
        <v>16838</v>
      </c>
      <c r="K1149" s="7" t="s">
        <v>17019</v>
      </c>
      <c r="L1149" s="198" t="s">
        <v>65</v>
      </c>
      <c r="M1149" s="194"/>
      <c r="N1149" s="194"/>
    </row>
    <row r="1150">
      <c r="A1150" s="193" t="s">
        <v>18304</v>
      </c>
      <c r="B1150" s="7" t="s">
        <v>175</v>
      </c>
      <c r="C1150" s="7" t="s">
        <v>17031</v>
      </c>
      <c r="D1150" s="199"/>
      <c r="E1150" s="193"/>
      <c r="F1150" s="195" t="s">
        <v>18305</v>
      </c>
      <c r="G1150" s="196">
        <v>1.2461277693E10</v>
      </c>
      <c r="H1150" s="197">
        <v>37.99</v>
      </c>
      <c r="I1150" s="7" t="s">
        <v>16844</v>
      </c>
      <c r="J1150" s="7" t="s">
        <v>175</v>
      </c>
      <c r="K1150" s="7" t="s">
        <v>17031</v>
      </c>
      <c r="L1150" s="198" t="s">
        <v>65</v>
      </c>
      <c r="M1150" s="199"/>
      <c r="N1150" s="199"/>
    </row>
    <row r="1151">
      <c r="A1151" s="193" t="s">
        <v>18306</v>
      </c>
      <c r="B1151" s="7" t="s">
        <v>175</v>
      </c>
      <c r="C1151" s="7" t="s">
        <v>16842</v>
      </c>
      <c r="D1151" s="194">
        <v>2018.0</v>
      </c>
      <c r="E1151" s="193"/>
      <c r="F1151" s="195" t="s">
        <v>18307</v>
      </c>
      <c r="G1151" s="196">
        <v>1.2446325123E10</v>
      </c>
      <c r="H1151" s="197">
        <v>7.24</v>
      </c>
      <c r="I1151" s="7" t="s">
        <v>168</v>
      </c>
      <c r="J1151" s="7" t="s">
        <v>175</v>
      </c>
      <c r="K1151" s="7" t="s">
        <v>16842</v>
      </c>
      <c r="L1151" s="198" t="s">
        <v>65</v>
      </c>
      <c r="M1151" s="194"/>
      <c r="N1151" s="194"/>
    </row>
    <row r="1152">
      <c r="A1152" s="193" t="s">
        <v>18306</v>
      </c>
      <c r="B1152" s="7" t="s">
        <v>16842</v>
      </c>
      <c r="C1152" s="7" t="s">
        <v>175</v>
      </c>
      <c r="D1152" s="194">
        <v>2018.0</v>
      </c>
      <c r="E1152" s="193"/>
      <c r="F1152" s="195" t="s">
        <v>18308</v>
      </c>
      <c r="G1152" s="200">
        <v>1.2446325123E10</v>
      </c>
      <c r="H1152" s="197">
        <v>7.24</v>
      </c>
      <c r="I1152" s="7" t="s">
        <v>16815</v>
      </c>
      <c r="J1152" s="7" t="s">
        <v>16842</v>
      </c>
      <c r="K1152" s="7" t="s">
        <v>175</v>
      </c>
      <c r="L1152" s="201" t="s">
        <v>16835</v>
      </c>
      <c r="M1152" s="194"/>
      <c r="N1152" s="194"/>
    </row>
    <row r="1153">
      <c r="A1153" s="193" t="s">
        <v>18309</v>
      </c>
      <c r="B1153" s="7" t="s">
        <v>175</v>
      </c>
      <c r="C1153" s="7" t="s">
        <v>18310</v>
      </c>
      <c r="D1153" s="199"/>
      <c r="E1153" s="193"/>
      <c r="F1153" s="195" t="s">
        <v>18311</v>
      </c>
      <c r="G1153" s="196">
        <v>1.2445575734E10</v>
      </c>
      <c r="H1153" s="197">
        <v>21.78</v>
      </c>
      <c r="I1153" s="7" t="s">
        <v>168</v>
      </c>
      <c r="J1153" s="7" t="s">
        <v>175</v>
      </c>
      <c r="K1153" s="7" t="s">
        <v>18310</v>
      </c>
      <c r="L1153" s="198" t="s">
        <v>65</v>
      </c>
      <c r="M1153" s="199"/>
      <c r="N1153" s="199"/>
    </row>
    <row r="1154">
      <c r="A1154" s="193" t="s">
        <v>18312</v>
      </c>
      <c r="B1154" s="7" t="s">
        <v>16919</v>
      </c>
      <c r="C1154" s="7" t="s">
        <v>17176</v>
      </c>
      <c r="D1154" s="199"/>
      <c r="E1154" s="193"/>
      <c r="F1154" s="195" t="s">
        <v>18313</v>
      </c>
      <c r="G1154" s="196">
        <v>1.2394048256E10</v>
      </c>
      <c r="H1154" s="197">
        <v>48.57</v>
      </c>
      <c r="I1154" s="7" t="s">
        <v>16815</v>
      </c>
      <c r="J1154" s="7" t="s">
        <v>16919</v>
      </c>
      <c r="K1154" s="7" t="s">
        <v>17176</v>
      </c>
      <c r="L1154" s="198" t="s">
        <v>65</v>
      </c>
      <c r="M1154" s="199"/>
      <c r="N1154" s="199"/>
    </row>
    <row r="1155">
      <c r="A1155" s="193" t="s">
        <v>18314</v>
      </c>
      <c r="B1155" s="7" t="s">
        <v>16582</v>
      </c>
      <c r="C1155" s="7" t="s">
        <v>16930</v>
      </c>
      <c r="D1155" s="194">
        <v>2015.0</v>
      </c>
      <c r="E1155" s="193"/>
      <c r="F1155" s="195" t="s">
        <v>18315</v>
      </c>
      <c r="G1155" s="196">
        <v>1.2370089289E10</v>
      </c>
      <c r="H1155" s="197">
        <v>87.65</v>
      </c>
      <c r="I1155" s="7" t="s">
        <v>16815</v>
      </c>
      <c r="J1155" s="7" t="s">
        <v>16582</v>
      </c>
      <c r="K1155" s="7" t="s">
        <v>16930</v>
      </c>
      <c r="L1155" s="198" t="s">
        <v>65</v>
      </c>
      <c r="M1155" s="194"/>
      <c r="N1155" s="194"/>
    </row>
    <row r="1156">
      <c r="A1156" s="193" t="s">
        <v>18314</v>
      </c>
      <c r="B1156" s="7" t="s">
        <v>16930</v>
      </c>
      <c r="C1156" s="7" t="s">
        <v>16582</v>
      </c>
      <c r="D1156" s="194">
        <v>2015.0</v>
      </c>
      <c r="E1156" s="193"/>
      <c r="F1156" s="195" t="s">
        <v>18315</v>
      </c>
      <c r="G1156" s="200">
        <v>1.2370089289E10</v>
      </c>
      <c r="H1156" s="197">
        <v>87.65</v>
      </c>
      <c r="I1156" s="7" t="s">
        <v>16815</v>
      </c>
      <c r="J1156" s="7" t="s">
        <v>16930</v>
      </c>
      <c r="K1156" s="7" t="s">
        <v>16582</v>
      </c>
      <c r="L1156" s="201" t="s">
        <v>16835</v>
      </c>
      <c r="M1156" s="194"/>
      <c r="N1156" s="194"/>
    </row>
    <row r="1157">
      <c r="A1157" s="193" t="s">
        <v>18316</v>
      </c>
      <c r="B1157" s="7" t="s">
        <v>16582</v>
      </c>
      <c r="C1157" s="7" t="s">
        <v>16817</v>
      </c>
      <c r="D1157" s="199"/>
      <c r="E1157" s="193"/>
      <c r="F1157" s="195" t="s">
        <v>18317</v>
      </c>
      <c r="G1157" s="196">
        <v>1.2352990406E10</v>
      </c>
      <c r="H1157" s="197">
        <v>19.28</v>
      </c>
      <c r="I1157" s="7" t="s">
        <v>16815</v>
      </c>
      <c r="J1157" s="7" t="s">
        <v>16582</v>
      </c>
      <c r="K1157" s="7" t="s">
        <v>16817</v>
      </c>
      <c r="L1157" s="198" t="s">
        <v>65</v>
      </c>
      <c r="M1157" s="199"/>
      <c r="N1157" s="199"/>
    </row>
    <row r="1158">
      <c r="A1158" s="193" t="s">
        <v>18318</v>
      </c>
      <c r="B1158" s="7" t="s">
        <v>175</v>
      </c>
      <c r="C1158" s="7" t="s">
        <v>17168</v>
      </c>
      <c r="D1158" s="199"/>
      <c r="E1158" s="193"/>
      <c r="F1158" s="195" t="s">
        <v>18319</v>
      </c>
      <c r="G1158" s="196">
        <v>1.2345216053E10</v>
      </c>
      <c r="H1158" s="197">
        <v>73.73</v>
      </c>
      <c r="I1158" s="7" t="s">
        <v>18320</v>
      </c>
      <c r="J1158" s="7" t="s">
        <v>175</v>
      </c>
      <c r="K1158" s="7" t="s">
        <v>17168</v>
      </c>
      <c r="L1158" s="198" t="s">
        <v>65</v>
      </c>
      <c r="M1158" s="199"/>
      <c r="N1158" s="199"/>
    </row>
    <row r="1159">
      <c r="A1159" s="193" t="s">
        <v>18318</v>
      </c>
      <c r="B1159" s="7" t="s">
        <v>17168</v>
      </c>
      <c r="C1159" s="7" t="s">
        <v>175</v>
      </c>
      <c r="D1159" s="199"/>
      <c r="E1159" s="193"/>
      <c r="F1159" s="195" t="s">
        <v>18319</v>
      </c>
      <c r="G1159" s="200">
        <v>1.2345216053E10</v>
      </c>
      <c r="H1159" s="197">
        <v>73.73</v>
      </c>
      <c r="I1159" s="7" t="s">
        <v>16815</v>
      </c>
      <c r="J1159" s="7" t="s">
        <v>17168</v>
      </c>
      <c r="K1159" s="7" t="s">
        <v>175</v>
      </c>
      <c r="L1159" s="201" t="s">
        <v>16835</v>
      </c>
      <c r="M1159" s="199"/>
      <c r="N1159" s="199"/>
    </row>
    <row r="1160">
      <c r="A1160" s="193" t="s">
        <v>18321</v>
      </c>
      <c r="B1160" s="7" t="s">
        <v>16919</v>
      </c>
      <c r="C1160" s="7" t="s">
        <v>17048</v>
      </c>
      <c r="D1160" s="199"/>
      <c r="E1160" s="193"/>
      <c r="F1160" s="195" t="s">
        <v>18322</v>
      </c>
      <c r="G1160" s="196">
        <v>1.232840458E10</v>
      </c>
      <c r="H1160" s="197">
        <v>34.48</v>
      </c>
      <c r="I1160" s="7" t="s">
        <v>16815</v>
      </c>
      <c r="J1160" s="7" t="s">
        <v>16919</v>
      </c>
      <c r="K1160" s="7" t="s">
        <v>17048</v>
      </c>
      <c r="L1160" s="198" t="s">
        <v>65</v>
      </c>
      <c r="M1160" s="199"/>
      <c r="N1160" s="199"/>
    </row>
    <row r="1161">
      <c r="A1161" s="193" t="s">
        <v>18321</v>
      </c>
      <c r="B1161" s="7" t="s">
        <v>17048</v>
      </c>
      <c r="C1161" s="7" t="s">
        <v>16919</v>
      </c>
      <c r="D1161" s="199"/>
      <c r="E1161" s="193"/>
      <c r="F1161" s="195" t="s">
        <v>18322</v>
      </c>
      <c r="G1161" s="200">
        <v>1.232840458E10</v>
      </c>
      <c r="H1161" s="197">
        <v>34.48</v>
      </c>
      <c r="I1161" s="7" t="s">
        <v>16815</v>
      </c>
      <c r="J1161" s="7" t="s">
        <v>17048</v>
      </c>
      <c r="K1161" s="7" t="s">
        <v>16919</v>
      </c>
      <c r="L1161" s="201" t="s">
        <v>16835</v>
      </c>
      <c r="M1161" s="199"/>
      <c r="N1161" s="199"/>
    </row>
    <row r="1162">
      <c r="A1162" s="193" t="s">
        <v>18323</v>
      </c>
      <c r="B1162" s="7" t="s">
        <v>17347</v>
      </c>
      <c r="C1162" s="7" t="s">
        <v>16838</v>
      </c>
      <c r="D1162" s="194">
        <v>2022.0</v>
      </c>
      <c r="E1162" s="193"/>
      <c r="F1162" s="195" t="s">
        <v>18324</v>
      </c>
      <c r="G1162" s="200">
        <v>1.2286031011E10</v>
      </c>
      <c r="H1162" s="197">
        <v>19.47</v>
      </c>
      <c r="I1162" s="7" t="s">
        <v>16815</v>
      </c>
      <c r="J1162" s="7" t="s">
        <v>17347</v>
      </c>
      <c r="K1162" s="7" t="s">
        <v>16838</v>
      </c>
      <c r="L1162" s="201" t="s">
        <v>16835</v>
      </c>
      <c r="M1162" s="194"/>
      <c r="N1162" s="194"/>
    </row>
    <row r="1163">
      <c r="A1163" s="193" t="s">
        <v>18323</v>
      </c>
      <c r="B1163" s="7" t="s">
        <v>16838</v>
      </c>
      <c r="C1163" s="7" t="s">
        <v>17347</v>
      </c>
      <c r="D1163" s="194">
        <v>2022.0</v>
      </c>
      <c r="E1163" s="193"/>
      <c r="F1163" s="195" t="s">
        <v>18324</v>
      </c>
      <c r="G1163" s="196">
        <v>1.2286031011E10</v>
      </c>
      <c r="H1163" s="197">
        <v>19.47</v>
      </c>
      <c r="I1163" s="7" t="s">
        <v>16815</v>
      </c>
      <c r="J1163" s="7" t="s">
        <v>16838</v>
      </c>
      <c r="K1163" s="7" t="s">
        <v>17347</v>
      </c>
      <c r="L1163" s="198" t="s">
        <v>65</v>
      </c>
      <c r="M1163" s="194"/>
      <c r="N1163" s="194"/>
    </row>
    <row r="1164">
      <c r="A1164" s="193" t="s">
        <v>18325</v>
      </c>
      <c r="B1164" s="7" t="s">
        <v>175</v>
      </c>
      <c r="C1164" s="7" t="s">
        <v>16824</v>
      </c>
      <c r="D1164" s="199"/>
      <c r="E1164" s="193"/>
      <c r="F1164" s="195" t="s">
        <v>18326</v>
      </c>
      <c r="G1164" s="196">
        <v>1.2269912704E10</v>
      </c>
      <c r="H1164" s="197">
        <v>31.51</v>
      </c>
      <c r="I1164" s="7" t="s">
        <v>17872</v>
      </c>
      <c r="J1164" s="7" t="s">
        <v>175</v>
      </c>
      <c r="K1164" s="7" t="s">
        <v>16824</v>
      </c>
      <c r="L1164" s="198" t="s">
        <v>65</v>
      </c>
      <c r="M1164" s="199"/>
      <c r="N1164" s="199"/>
    </row>
    <row r="1165">
      <c r="A1165" s="193" t="s">
        <v>18327</v>
      </c>
      <c r="B1165" s="7" t="s">
        <v>175</v>
      </c>
      <c r="C1165" s="7" t="s">
        <v>16854</v>
      </c>
      <c r="D1165" s="199"/>
      <c r="E1165" s="193"/>
      <c r="F1165" s="195" t="s">
        <v>18328</v>
      </c>
      <c r="G1165" s="196">
        <v>1.22625E10</v>
      </c>
      <c r="H1165" s="197">
        <v>3.27</v>
      </c>
      <c r="I1165" s="193" t="s">
        <v>16908</v>
      </c>
      <c r="J1165" s="7" t="s">
        <v>175</v>
      </c>
      <c r="K1165" s="7" t="s">
        <v>16854</v>
      </c>
      <c r="L1165" s="198" t="s">
        <v>65</v>
      </c>
      <c r="M1165" s="199"/>
      <c r="N1165" s="199"/>
    </row>
    <row r="1166">
      <c r="A1166" s="193" t="s">
        <v>18329</v>
      </c>
      <c r="B1166" s="7" t="s">
        <v>17111</v>
      </c>
      <c r="C1166" s="7" t="s">
        <v>17112</v>
      </c>
      <c r="D1166" s="199"/>
      <c r="E1166" s="193"/>
      <c r="F1166" s="195" t="s">
        <v>18330</v>
      </c>
      <c r="G1166" s="200">
        <v>1.2238546389E10</v>
      </c>
      <c r="H1166" s="197">
        <v>65.66</v>
      </c>
      <c r="I1166" s="7" t="s">
        <v>16815</v>
      </c>
      <c r="J1166" s="7" t="s">
        <v>17111</v>
      </c>
      <c r="K1166" s="7" t="s">
        <v>17112</v>
      </c>
      <c r="L1166" s="201" t="s">
        <v>16835</v>
      </c>
      <c r="M1166" s="199"/>
      <c r="N1166" s="199"/>
    </row>
    <row r="1167">
      <c r="A1167" s="193" t="s">
        <v>18329</v>
      </c>
      <c r="B1167" s="7" t="s">
        <v>17112</v>
      </c>
      <c r="C1167" s="7" t="s">
        <v>17111</v>
      </c>
      <c r="D1167" s="199"/>
      <c r="E1167" s="193"/>
      <c r="F1167" s="195" t="s">
        <v>18330</v>
      </c>
      <c r="G1167" s="196">
        <v>1.2238546389E10</v>
      </c>
      <c r="H1167" s="197">
        <v>65.66</v>
      </c>
      <c r="I1167" s="7" t="s">
        <v>16815</v>
      </c>
      <c r="J1167" s="7" t="s">
        <v>17112</v>
      </c>
      <c r="K1167" s="7" t="s">
        <v>17111</v>
      </c>
      <c r="L1167" s="198" t="s">
        <v>65</v>
      </c>
      <c r="M1167" s="199"/>
      <c r="N1167" s="199"/>
    </row>
    <row r="1168">
      <c r="A1168" s="193" t="s">
        <v>18331</v>
      </c>
      <c r="B1168" s="7" t="s">
        <v>17016</v>
      </c>
      <c r="C1168" s="7" t="s">
        <v>16838</v>
      </c>
      <c r="D1168" s="194">
        <v>2014.0</v>
      </c>
      <c r="E1168" s="193"/>
      <c r="F1168" s="195" t="s">
        <v>18332</v>
      </c>
      <c r="G1168" s="200">
        <v>1.2236194925E10</v>
      </c>
      <c r="H1168" s="197">
        <v>29.57</v>
      </c>
      <c r="I1168" s="7" t="s">
        <v>16815</v>
      </c>
      <c r="J1168" s="7" t="s">
        <v>17016</v>
      </c>
      <c r="K1168" s="7" t="s">
        <v>16838</v>
      </c>
      <c r="L1168" s="201" t="s">
        <v>16835</v>
      </c>
      <c r="M1168" s="194"/>
      <c r="N1168" s="194"/>
    </row>
    <row r="1169">
      <c r="A1169" s="193" t="s">
        <v>18331</v>
      </c>
      <c r="B1169" s="7" t="s">
        <v>16838</v>
      </c>
      <c r="C1169" s="7" t="s">
        <v>17016</v>
      </c>
      <c r="D1169" s="194">
        <v>2014.0</v>
      </c>
      <c r="E1169" s="193"/>
      <c r="F1169" s="195" t="s">
        <v>18332</v>
      </c>
      <c r="G1169" s="196">
        <v>1.2236194925E10</v>
      </c>
      <c r="H1169" s="197">
        <v>29.57</v>
      </c>
      <c r="I1169" s="7" t="s">
        <v>16815</v>
      </c>
      <c r="J1169" s="7" t="s">
        <v>16838</v>
      </c>
      <c r="K1169" s="7" t="s">
        <v>17016</v>
      </c>
      <c r="L1169" s="198" t="s">
        <v>65</v>
      </c>
      <c r="M1169" s="194"/>
      <c r="N1169" s="194"/>
    </row>
    <row r="1170">
      <c r="A1170" s="193" t="s">
        <v>18333</v>
      </c>
      <c r="B1170" s="7" t="s">
        <v>158</v>
      </c>
      <c r="C1170" s="7" t="s">
        <v>16864</v>
      </c>
      <c r="D1170" s="199"/>
      <c r="E1170" s="193"/>
      <c r="F1170" s="195" t="s">
        <v>18334</v>
      </c>
      <c r="G1170" s="196">
        <v>1.2213201E10</v>
      </c>
      <c r="H1170" s="197">
        <v>44.59</v>
      </c>
      <c r="I1170" s="7" t="s">
        <v>17098</v>
      </c>
      <c r="J1170" s="7" t="s">
        <v>158</v>
      </c>
      <c r="K1170" s="7" t="s">
        <v>16864</v>
      </c>
      <c r="L1170" s="198" t="s">
        <v>65</v>
      </c>
      <c r="M1170" s="199"/>
      <c r="N1170" s="199"/>
    </row>
    <row r="1171">
      <c r="A1171" s="193" t="s">
        <v>18333</v>
      </c>
      <c r="B1171" s="7" t="s">
        <v>16864</v>
      </c>
      <c r="C1171" s="7" t="s">
        <v>158</v>
      </c>
      <c r="D1171" s="199"/>
      <c r="E1171" s="193"/>
      <c r="F1171" s="195" t="s">
        <v>18334</v>
      </c>
      <c r="G1171" s="200">
        <v>1.2213201E10</v>
      </c>
      <c r="H1171" s="197">
        <v>44.59</v>
      </c>
      <c r="I1171" s="7" t="s">
        <v>16815</v>
      </c>
      <c r="J1171" s="7" t="s">
        <v>16864</v>
      </c>
      <c r="K1171" s="7" t="s">
        <v>158</v>
      </c>
      <c r="L1171" s="201" t="s">
        <v>16835</v>
      </c>
      <c r="M1171" s="199"/>
      <c r="N1171" s="199"/>
    </row>
    <row r="1172">
      <c r="A1172" s="193" t="s">
        <v>18335</v>
      </c>
      <c r="B1172" s="7" t="s">
        <v>16910</v>
      </c>
      <c r="C1172" s="7" t="s">
        <v>17648</v>
      </c>
      <c r="D1172" s="194">
        <v>2020.0</v>
      </c>
      <c r="E1172" s="193"/>
      <c r="F1172" s="195" t="s">
        <v>18336</v>
      </c>
      <c r="G1172" s="196">
        <v>1.2197407937E10</v>
      </c>
      <c r="H1172" s="197">
        <v>21.18</v>
      </c>
      <c r="I1172" s="7" t="s">
        <v>16856</v>
      </c>
      <c r="J1172" s="7" t="s">
        <v>16910</v>
      </c>
      <c r="K1172" s="7" t="s">
        <v>17648</v>
      </c>
      <c r="L1172" s="198" t="s">
        <v>65</v>
      </c>
      <c r="M1172" s="194"/>
      <c r="N1172" s="194"/>
    </row>
    <row r="1173">
      <c r="A1173" s="193" t="s">
        <v>18335</v>
      </c>
      <c r="B1173" s="7" t="s">
        <v>17648</v>
      </c>
      <c r="C1173" s="7" t="s">
        <v>16910</v>
      </c>
      <c r="D1173" s="194">
        <v>2020.0</v>
      </c>
      <c r="E1173" s="193"/>
      <c r="F1173" s="195" t="s">
        <v>18336</v>
      </c>
      <c r="G1173" s="200">
        <v>1.2197407937E10</v>
      </c>
      <c r="H1173" s="197">
        <v>21.18</v>
      </c>
      <c r="I1173" s="7" t="s">
        <v>16815</v>
      </c>
      <c r="J1173" s="7" t="s">
        <v>17648</v>
      </c>
      <c r="K1173" s="7" t="s">
        <v>16910</v>
      </c>
      <c r="L1173" s="201" t="s">
        <v>16835</v>
      </c>
      <c r="M1173" s="194"/>
      <c r="N1173" s="194"/>
    </row>
    <row r="1174">
      <c r="A1174" s="193" t="s">
        <v>18337</v>
      </c>
      <c r="B1174" s="7" t="s">
        <v>17019</v>
      </c>
      <c r="C1174" s="7" t="s">
        <v>16838</v>
      </c>
      <c r="D1174" s="199"/>
      <c r="E1174" s="193"/>
      <c r="F1174" s="195" t="s">
        <v>18338</v>
      </c>
      <c r="G1174" s="200">
        <v>1.2191928208E10</v>
      </c>
      <c r="H1174" s="197">
        <v>4.04</v>
      </c>
      <c r="I1174" s="7" t="s">
        <v>16815</v>
      </c>
      <c r="J1174" s="7" t="s">
        <v>17019</v>
      </c>
      <c r="K1174" s="7" t="s">
        <v>16838</v>
      </c>
      <c r="L1174" s="201" t="s">
        <v>16835</v>
      </c>
      <c r="M1174" s="199"/>
      <c r="N1174" s="199"/>
    </row>
    <row r="1175">
      <c r="A1175" s="193" t="s">
        <v>18337</v>
      </c>
      <c r="B1175" s="7" t="s">
        <v>16838</v>
      </c>
      <c r="C1175" s="7" t="s">
        <v>17019</v>
      </c>
      <c r="D1175" s="199"/>
      <c r="E1175" s="193"/>
      <c r="F1175" s="195" t="s">
        <v>18338</v>
      </c>
      <c r="G1175" s="196">
        <v>1.2191928208E10</v>
      </c>
      <c r="H1175" s="197">
        <v>4.04</v>
      </c>
      <c r="I1175" s="7" t="s">
        <v>16815</v>
      </c>
      <c r="J1175" s="7" t="s">
        <v>16838</v>
      </c>
      <c r="K1175" s="7" t="s">
        <v>17019</v>
      </c>
      <c r="L1175" s="198" t="s">
        <v>65</v>
      </c>
      <c r="M1175" s="199"/>
      <c r="N1175" s="199"/>
    </row>
    <row r="1176">
      <c r="A1176" s="193" t="s">
        <v>18339</v>
      </c>
      <c r="B1176" s="7" t="s">
        <v>175</v>
      </c>
      <c r="C1176" s="7" t="s">
        <v>17218</v>
      </c>
      <c r="D1176" s="194">
        <v>2022.0</v>
      </c>
      <c r="E1176" s="193"/>
      <c r="F1176" s="195" t="s">
        <v>18340</v>
      </c>
      <c r="G1176" s="196">
        <v>1.216107287E10</v>
      </c>
      <c r="H1176" s="197">
        <v>31.05</v>
      </c>
      <c r="I1176" s="7" t="s">
        <v>174</v>
      </c>
      <c r="J1176" s="7" t="s">
        <v>175</v>
      </c>
      <c r="K1176" s="7" t="s">
        <v>17218</v>
      </c>
      <c r="L1176" s="198" t="s">
        <v>65</v>
      </c>
      <c r="M1176" s="194"/>
      <c r="N1176" s="194"/>
    </row>
    <row r="1177">
      <c r="A1177" s="193" t="s">
        <v>18339</v>
      </c>
      <c r="B1177" s="7" t="s">
        <v>17218</v>
      </c>
      <c r="C1177" s="7" t="s">
        <v>175</v>
      </c>
      <c r="D1177" s="194">
        <v>2022.0</v>
      </c>
      <c r="E1177" s="193"/>
      <c r="F1177" s="195" t="s">
        <v>18340</v>
      </c>
      <c r="G1177" s="200">
        <v>1.216107287E10</v>
      </c>
      <c r="H1177" s="197">
        <v>31.05</v>
      </c>
      <c r="I1177" s="7" t="s">
        <v>16815</v>
      </c>
      <c r="J1177" s="7" t="s">
        <v>17218</v>
      </c>
      <c r="K1177" s="7" t="s">
        <v>175</v>
      </c>
      <c r="L1177" s="201" t="s">
        <v>16835</v>
      </c>
      <c r="M1177" s="194"/>
      <c r="N1177" s="194"/>
    </row>
    <row r="1178">
      <c r="A1178" s="193" t="s">
        <v>18341</v>
      </c>
      <c r="B1178" s="7" t="s">
        <v>16926</v>
      </c>
      <c r="C1178" s="7" t="s">
        <v>16960</v>
      </c>
      <c r="D1178" s="199"/>
      <c r="E1178" s="193"/>
      <c r="F1178" s="195" t="s">
        <v>18342</v>
      </c>
      <c r="G1178" s="196">
        <v>1.2108881431E10</v>
      </c>
      <c r="H1178" s="197">
        <v>82.9</v>
      </c>
      <c r="I1178" s="7" t="s">
        <v>16815</v>
      </c>
      <c r="J1178" s="7" t="s">
        <v>16926</v>
      </c>
      <c r="K1178" s="7" t="s">
        <v>16960</v>
      </c>
      <c r="L1178" s="198" t="s">
        <v>65</v>
      </c>
      <c r="M1178" s="199"/>
      <c r="N1178" s="199"/>
    </row>
    <row r="1179">
      <c r="A1179" s="193" t="s">
        <v>18343</v>
      </c>
      <c r="B1179" s="7" t="s">
        <v>16926</v>
      </c>
      <c r="C1179" s="7" t="s">
        <v>16960</v>
      </c>
      <c r="D1179" s="199"/>
      <c r="E1179" s="193"/>
      <c r="F1179" s="195" t="s">
        <v>18344</v>
      </c>
      <c r="G1179" s="196">
        <v>1.208405019E10</v>
      </c>
      <c r="H1179" s="197">
        <v>82.73</v>
      </c>
      <c r="I1179" s="7" t="s">
        <v>16815</v>
      </c>
      <c r="J1179" s="7" t="s">
        <v>16926</v>
      </c>
      <c r="K1179" s="7" t="s">
        <v>16960</v>
      </c>
      <c r="L1179" s="198" t="s">
        <v>65</v>
      </c>
      <c r="M1179" s="199"/>
      <c r="N1179" s="199"/>
    </row>
    <row r="1180">
      <c r="A1180" s="193" t="s">
        <v>18345</v>
      </c>
      <c r="B1180" s="7" t="s">
        <v>17112</v>
      </c>
      <c r="C1180" s="7" t="s">
        <v>17111</v>
      </c>
      <c r="D1180" s="199"/>
      <c r="E1180" s="193"/>
      <c r="F1180" s="195" t="s">
        <v>18346</v>
      </c>
      <c r="G1180" s="196">
        <v>1.2082461783E10</v>
      </c>
      <c r="H1180" s="197">
        <v>45.25</v>
      </c>
      <c r="I1180" s="7" t="s">
        <v>16815</v>
      </c>
      <c r="J1180" s="7" t="s">
        <v>17112</v>
      </c>
      <c r="K1180" s="7" t="s">
        <v>17111</v>
      </c>
      <c r="L1180" s="198" t="s">
        <v>65</v>
      </c>
      <c r="M1180" s="199"/>
      <c r="N1180" s="199"/>
    </row>
    <row r="1181">
      <c r="A1181" s="193" t="s">
        <v>18347</v>
      </c>
      <c r="B1181" s="7" t="s">
        <v>16910</v>
      </c>
      <c r="C1181" s="7" t="s">
        <v>17119</v>
      </c>
      <c r="D1181" s="199"/>
      <c r="E1181" s="193"/>
      <c r="F1181" s="195" t="s">
        <v>18348</v>
      </c>
      <c r="G1181" s="196">
        <v>1.2042945792E10</v>
      </c>
      <c r="H1181" s="197">
        <v>40.42</v>
      </c>
      <c r="I1181" s="7" t="s">
        <v>16856</v>
      </c>
      <c r="J1181" s="7" t="s">
        <v>16910</v>
      </c>
      <c r="K1181" s="7" t="s">
        <v>17119</v>
      </c>
      <c r="L1181" s="198" t="s">
        <v>65</v>
      </c>
      <c r="M1181" s="199"/>
      <c r="N1181" s="199"/>
    </row>
    <row r="1182">
      <c r="A1182" s="193" t="s">
        <v>18347</v>
      </c>
      <c r="B1182" s="7" t="s">
        <v>17119</v>
      </c>
      <c r="C1182" s="7" t="s">
        <v>16910</v>
      </c>
      <c r="D1182" s="199"/>
      <c r="E1182" s="193"/>
      <c r="F1182" s="195" t="s">
        <v>18348</v>
      </c>
      <c r="G1182" s="200">
        <v>1.2042945792E10</v>
      </c>
      <c r="H1182" s="197">
        <v>40.42</v>
      </c>
      <c r="I1182" s="7" t="s">
        <v>16815</v>
      </c>
      <c r="J1182" s="7" t="s">
        <v>17119</v>
      </c>
      <c r="K1182" s="7" t="s">
        <v>16910</v>
      </c>
      <c r="L1182" s="201" t="s">
        <v>16835</v>
      </c>
      <c r="M1182" s="199"/>
      <c r="N1182" s="199"/>
    </row>
    <row r="1183">
      <c r="A1183" s="193" t="s">
        <v>18349</v>
      </c>
      <c r="B1183" s="7" t="s">
        <v>16910</v>
      </c>
      <c r="C1183" s="7" t="s">
        <v>16911</v>
      </c>
      <c r="D1183" s="199"/>
      <c r="E1183" s="193"/>
      <c r="F1183" s="195" t="s">
        <v>18350</v>
      </c>
      <c r="G1183" s="196">
        <v>1.2003698971E10</v>
      </c>
      <c r="H1183" s="197">
        <v>58.97</v>
      </c>
      <c r="I1183" s="7" t="s">
        <v>17063</v>
      </c>
      <c r="J1183" s="7" t="s">
        <v>16910</v>
      </c>
      <c r="K1183" s="7" t="s">
        <v>16911</v>
      </c>
      <c r="L1183" s="198" t="s">
        <v>65</v>
      </c>
      <c r="M1183" s="199"/>
      <c r="N1183" s="199"/>
    </row>
    <row r="1184">
      <c r="A1184" s="193" t="s">
        <v>18349</v>
      </c>
      <c r="B1184" s="7" t="s">
        <v>16911</v>
      </c>
      <c r="C1184" s="7" t="s">
        <v>16910</v>
      </c>
      <c r="D1184" s="199"/>
      <c r="E1184" s="193"/>
      <c r="F1184" s="195" t="s">
        <v>18350</v>
      </c>
      <c r="G1184" s="200">
        <v>1.2003698971E10</v>
      </c>
      <c r="H1184" s="197">
        <v>58.97</v>
      </c>
      <c r="I1184" s="7" t="s">
        <v>16815</v>
      </c>
      <c r="J1184" s="7" t="s">
        <v>16911</v>
      </c>
      <c r="K1184" s="7" t="s">
        <v>16910</v>
      </c>
      <c r="L1184" s="201" t="s">
        <v>16835</v>
      </c>
      <c r="M1184" s="199"/>
      <c r="N1184" s="199"/>
    </row>
    <row r="1185">
      <c r="A1185" s="193" t="s">
        <v>18351</v>
      </c>
      <c r="B1185" s="7" t="s">
        <v>175</v>
      </c>
      <c r="C1185" s="7" t="s">
        <v>18352</v>
      </c>
      <c r="D1185" s="194">
        <v>2003.0</v>
      </c>
      <c r="E1185" s="193"/>
      <c r="F1185" s="195" t="s">
        <v>18353</v>
      </c>
      <c r="G1185" s="196">
        <v>1.1996432641E10</v>
      </c>
      <c r="H1185" s="197">
        <v>44.83</v>
      </c>
      <c r="I1185" s="7" t="s">
        <v>168</v>
      </c>
      <c r="J1185" s="7" t="s">
        <v>175</v>
      </c>
      <c r="K1185" s="7" t="s">
        <v>18352</v>
      </c>
      <c r="L1185" s="198" t="s">
        <v>65</v>
      </c>
      <c r="M1185" s="194"/>
      <c r="N1185" s="194"/>
    </row>
    <row r="1186">
      <c r="A1186" s="193" t="s">
        <v>18354</v>
      </c>
      <c r="B1186" s="7" t="s">
        <v>17259</v>
      </c>
      <c r="C1186" s="7" t="s">
        <v>187</v>
      </c>
      <c r="D1186" s="194">
        <v>2022.0</v>
      </c>
      <c r="E1186" s="193"/>
      <c r="F1186" s="195" t="s">
        <v>18355</v>
      </c>
      <c r="G1186" s="200">
        <v>1.1983239356E10</v>
      </c>
      <c r="H1186" s="197">
        <v>63.66</v>
      </c>
      <c r="I1186" s="7" t="s">
        <v>16815</v>
      </c>
      <c r="J1186" s="7" t="s">
        <v>17259</v>
      </c>
      <c r="K1186" s="7" t="s">
        <v>187</v>
      </c>
      <c r="L1186" s="201" t="s">
        <v>16835</v>
      </c>
      <c r="M1186" s="194"/>
      <c r="N1186" s="194"/>
    </row>
    <row r="1187">
      <c r="A1187" s="193" t="s">
        <v>18354</v>
      </c>
      <c r="B1187" s="7" t="s">
        <v>187</v>
      </c>
      <c r="C1187" s="7" t="s">
        <v>17259</v>
      </c>
      <c r="D1187" s="194">
        <v>2022.0</v>
      </c>
      <c r="E1187" s="193"/>
      <c r="F1187" s="195" t="s">
        <v>18355</v>
      </c>
      <c r="G1187" s="196">
        <v>1.1983239356E10</v>
      </c>
      <c r="H1187" s="197">
        <v>63.66</v>
      </c>
      <c r="I1187" s="7" t="s">
        <v>16815</v>
      </c>
      <c r="J1187" s="7" t="s">
        <v>187</v>
      </c>
      <c r="K1187" s="7" t="s">
        <v>17259</v>
      </c>
      <c r="L1187" s="198" t="s">
        <v>65</v>
      </c>
      <c r="M1187" s="194"/>
      <c r="N1187" s="194"/>
    </row>
    <row r="1188">
      <c r="A1188" s="193" t="s">
        <v>18356</v>
      </c>
      <c r="B1188" s="7" t="s">
        <v>17104</v>
      </c>
      <c r="C1188" s="7" t="s">
        <v>16838</v>
      </c>
      <c r="D1188" s="194">
        <v>2014.0</v>
      </c>
      <c r="E1188" s="193"/>
      <c r="F1188" s="195" t="s">
        <v>18357</v>
      </c>
      <c r="G1188" s="200">
        <v>1.1958632846E10</v>
      </c>
      <c r="H1188" s="197">
        <v>43.94</v>
      </c>
      <c r="I1188" s="7" t="s">
        <v>16815</v>
      </c>
      <c r="J1188" s="7" t="s">
        <v>17104</v>
      </c>
      <c r="K1188" s="7" t="s">
        <v>16838</v>
      </c>
      <c r="L1188" s="201" t="s">
        <v>16835</v>
      </c>
      <c r="M1188" s="194"/>
      <c r="N1188" s="194"/>
    </row>
    <row r="1189">
      <c r="A1189" s="193" t="s">
        <v>18356</v>
      </c>
      <c r="B1189" s="7" t="s">
        <v>16838</v>
      </c>
      <c r="C1189" s="7" t="s">
        <v>17104</v>
      </c>
      <c r="D1189" s="194">
        <v>2014.0</v>
      </c>
      <c r="E1189" s="193"/>
      <c r="F1189" s="195" t="s">
        <v>18357</v>
      </c>
      <c r="G1189" s="196">
        <v>1.1958632846E10</v>
      </c>
      <c r="H1189" s="197">
        <v>43.94</v>
      </c>
      <c r="I1189" s="7" t="s">
        <v>16815</v>
      </c>
      <c r="J1189" s="7" t="s">
        <v>16838</v>
      </c>
      <c r="K1189" s="7" t="s">
        <v>17104</v>
      </c>
      <c r="L1189" s="198" t="s">
        <v>65</v>
      </c>
      <c r="M1189" s="194"/>
      <c r="N1189" s="194"/>
    </row>
    <row r="1190">
      <c r="A1190" s="193" t="s">
        <v>18358</v>
      </c>
      <c r="B1190" s="7" t="s">
        <v>175</v>
      </c>
      <c r="C1190" s="7" t="s">
        <v>18310</v>
      </c>
      <c r="D1190" s="199"/>
      <c r="E1190" s="193"/>
      <c r="F1190" s="195" t="s">
        <v>18359</v>
      </c>
      <c r="G1190" s="196">
        <v>1.1954152633E10</v>
      </c>
      <c r="H1190" s="197">
        <v>20.92</v>
      </c>
      <c r="I1190" s="7" t="s">
        <v>168</v>
      </c>
      <c r="J1190" s="7" t="s">
        <v>175</v>
      </c>
      <c r="K1190" s="7" t="s">
        <v>18310</v>
      </c>
      <c r="L1190" s="198" t="s">
        <v>65</v>
      </c>
      <c r="M1190" s="199"/>
      <c r="N1190" s="199"/>
    </row>
    <row r="1191">
      <c r="A1191" s="193" t="s">
        <v>18360</v>
      </c>
      <c r="B1191" s="7" t="s">
        <v>16838</v>
      </c>
      <c r="C1191" s="7" t="s">
        <v>17112</v>
      </c>
      <c r="D1191" s="199"/>
      <c r="E1191" s="193"/>
      <c r="F1191" s="195" t="s">
        <v>18361</v>
      </c>
      <c r="G1191" s="196">
        <v>1.194823093E10</v>
      </c>
      <c r="H1191" s="197">
        <v>13.34</v>
      </c>
      <c r="I1191" s="7" t="s">
        <v>16815</v>
      </c>
      <c r="J1191" s="7" t="s">
        <v>16838</v>
      </c>
      <c r="K1191" s="7" t="s">
        <v>17112</v>
      </c>
      <c r="L1191" s="198" t="s">
        <v>65</v>
      </c>
      <c r="M1191" s="199"/>
      <c r="N1191" s="199"/>
    </row>
    <row r="1192">
      <c r="A1192" s="193" t="s">
        <v>18362</v>
      </c>
      <c r="B1192" s="7" t="s">
        <v>17111</v>
      </c>
      <c r="C1192" s="7" t="s">
        <v>17112</v>
      </c>
      <c r="D1192" s="199"/>
      <c r="E1192" s="193"/>
      <c r="F1192" s="195" t="s">
        <v>18363</v>
      </c>
      <c r="G1192" s="200">
        <v>1.183670854E10</v>
      </c>
      <c r="H1192" s="197">
        <v>54.13</v>
      </c>
      <c r="I1192" s="7" t="s">
        <v>16815</v>
      </c>
      <c r="J1192" s="7" t="s">
        <v>17111</v>
      </c>
      <c r="K1192" s="7" t="s">
        <v>17112</v>
      </c>
      <c r="L1192" s="201" t="s">
        <v>16835</v>
      </c>
      <c r="M1192" s="199"/>
      <c r="N1192" s="199"/>
    </row>
    <row r="1193">
      <c r="A1193" s="193" t="s">
        <v>18362</v>
      </c>
      <c r="B1193" s="7" t="s">
        <v>17112</v>
      </c>
      <c r="C1193" s="7" t="s">
        <v>17111</v>
      </c>
      <c r="D1193" s="199"/>
      <c r="E1193" s="193"/>
      <c r="F1193" s="195" t="s">
        <v>18363</v>
      </c>
      <c r="G1193" s="196">
        <v>1.183670854E10</v>
      </c>
      <c r="H1193" s="197">
        <v>54.13</v>
      </c>
      <c r="I1193" s="7" t="s">
        <v>16815</v>
      </c>
      <c r="J1193" s="7" t="s">
        <v>17112</v>
      </c>
      <c r="K1193" s="7" t="s">
        <v>17111</v>
      </c>
      <c r="L1193" s="198" t="s">
        <v>65</v>
      </c>
      <c r="M1193" s="199"/>
      <c r="N1193" s="199"/>
    </row>
    <row r="1194">
      <c r="A1194" s="193" t="s">
        <v>18364</v>
      </c>
      <c r="B1194" s="7" t="s">
        <v>16838</v>
      </c>
      <c r="C1194" s="7" t="s">
        <v>17112</v>
      </c>
      <c r="D1194" s="199"/>
      <c r="E1194" s="193"/>
      <c r="F1194" s="195" t="s">
        <v>18365</v>
      </c>
      <c r="G1194" s="196">
        <v>1.1797848023E10</v>
      </c>
      <c r="H1194" s="197">
        <v>13.1721</v>
      </c>
      <c r="I1194" s="7" t="s">
        <v>16815</v>
      </c>
      <c r="J1194" s="7" t="s">
        <v>16838</v>
      </c>
      <c r="K1194" s="7" t="s">
        <v>17112</v>
      </c>
      <c r="L1194" s="198" t="s">
        <v>65</v>
      </c>
      <c r="M1194" s="199"/>
      <c r="N1194" s="199"/>
    </row>
    <row r="1195">
      <c r="A1195" s="193" t="s">
        <v>18366</v>
      </c>
      <c r="B1195" s="7" t="s">
        <v>187</v>
      </c>
      <c r="C1195" s="7" t="s">
        <v>17559</v>
      </c>
      <c r="D1195" s="199"/>
      <c r="E1195" s="193"/>
      <c r="F1195" s="195" t="s">
        <v>18367</v>
      </c>
      <c r="G1195" s="196">
        <v>1.1752288441E10</v>
      </c>
      <c r="H1195" s="197">
        <v>52.44</v>
      </c>
      <c r="I1195" s="7" t="s">
        <v>16815</v>
      </c>
      <c r="J1195" s="7" t="s">
        <v>187</v>
      </c>
      <c r="K1195" s="7" t="s">
        <v>17559</v>
      </c>
      <c r="L1195" s="198" t="s">
        <v>65</v>
      </c>
      <c r="M1195" s="199"/>
      <c r="N1195" s="199"/>
    </row>
    <row r="1196">
      <c r="A1196" s="193" t="s">
        <v>18368</v>
      </c>
      <c r="B1196" s="7" t="s">
        <v>16919</v>
      </c>
      <c r="C1196" s="7" t="s">
        <v>17048</v>
      </c>
      <c r="D1196" s="194">
        <v>2015.0</v>
      </c>
      <c r="E1196" s="193"/>
      <c r="F1196" s="195" t="s">
        <v>18369</v>
      </c>
      <c r="G1196" s="196">
        <v>1.1750100398E10</v>
      </c>
      <c r="H1196" s="197">
        <v>30.38</v>
      </c>
      <c r="I1196" s="7" t="s">
        <v>16815</v>
      </c>
      <c r="J1196" s="7" t="s">
        <v>16919</v>
      </c>
      <c r="K1196" s="7" t="s">
        <v>17048</v>
      </c>
      <c r="L1196" s="198" t="s">
        <v>65</v>
      </c>
      <c r="M1196" s="194"/>
      <c r="N1196" s="194"/>
    </row>
    <row r="1197">
      <c r="A1197" s="193" t="s">
        <v>18368</v>
      </c>
      <c r="B1197" s="7" t="s">
        <v>17048</v>
      </c>
      <c r="C1197" s="7" t="s">
        <v>16919</v>
      </c>
      <c r="D1197" s="194">
        <v>2015.0</v>
      </c>
      <c r="E1197" s="193"/>
      <c r="F1197" s="195" t="s">
        <v>18369</v>
      </c>
      <c r="G1197" s="200">
        <v>1.1750100398E10</v>
      </c>
      <c r="H1197" s="197">
        <v>30.38</v>
      </c>
      <c r="I1197" s="7" t="s">
        <v>16815</v>
      </c>
      <c r="J1197" s="7" t="s">
        <v>17048</v>
      </c>
      <c r="K1197" s="7" t="s">
        <v>16919</v>
      </c>
      <c r="L1197" s="201" t="s">
        <v>16835</v>
      </c>
      <c r="M1197" s="194"/>
      <c r="N1197" s="194"/>
    </row>
    <row r="1198">
      <c r="A1198" s="193" t="s">
        <v>18370</v>
      </c>
      <c r="B1198" s="7" t="s">
        <v>16867</v>
      </c>
      <c r="C1198" s="7" t="s">
        <v>16838</v>
      </c>
      <c r="D1198" s="194">
        <v>2014.0</v>
      </c>
      <c r="E1198" s="193"/>
      <c r="F1198" s="195" t="s">
        <v>18371</v>
      </c>
      <c r="G1198" s="200">
        <v>1.1734832079E10</v>
      </c>
      <c r="H1198" s="197">
        <v>25.17</v>
      </c>
      <c r="I1198" s="7" t="s">
        <v>16815</v>
      </c>
      <c r="J1198" s="7" t="s">
        <v>16867</v>
      </c>
      <c r="K1198" s="7" t="s">
        <v>16838</v>
      </c>
      <c r="L1198" s="201" t="s">
        <v>16835</v>
      </c>
      <c r="M1198" s="194"/>
      <c r="N1198" s="194"/>
    </row>
    <row r="1199">
      <c r="A1199" s="193" t="s">
        <v>18370</v>
      </c>
      <c r="B1199" s="7" t="s">
        <v>16838</v>
      </c>
      <c r="C1199" s="7" t="s">
        <v>16867</v>
      </c>
      <c r="D1199" s="194">
        <v>2014.0</v>
      </c>
      <c r="E1199" s="193"/>
      <c r="F1199" s="195" t="s">
        <v>18371</v>
      </c>
      <c r="G1199" s="196">
        <v>1.1734832079E10</v>
      </c>
      <c r="H1199" s="197">
        <v>25.17</v>
      </c>
      <c r="I1199" s="7" t="s">
        <v>16815</v>
      </c>
      <c r="J1199" s="7" t="s">
        <v>16838</v>
      </c>
      <c r="K1199" s="7" t="s">
        <v>16867</v>
      </c>
      <c r="L1199" s="198" t="s">
        <v>65</v>
      </c>
      <c r="M1199" s="194"/>
      <c r="N1199" s="194"/>
    </row>
    <row r="1200">
      <c r="A1200" s="193" t="s">
        <v>18372</v>
      </c>
      <c r="B1200" s="7" t="s">
        <v>175</v>
      </c>
      <c r="C1200" s="7" t="s">
        <v>17233</v>
      </c>
      <c r="D1200" s="199"/>
      <c r="E1200" s="193"/>
      <c r="F1200" s="195" t="s">
        <v>18373</v>
      </c>
      <c r="G1200" s="196">
        <v>1.1711822143E10</v>
      </c>
      <c r="H1200" s="197">
        <v>25.53</v>
      </c>
      <c r="I1200" s="7" t="s">
        <v>174</v>
      </c>
      <c r="J1200" s="7" t="s">
        <v>175</v>
      </c>
      <c r="K1200" s="7" t="s">
        <v>17233</v>
      </c>
      <c r="L1200" s="198" t="s">
        <v>65</v>
      </c>
      <c r="M1200" s="199"/>
      <c r="N1200" s="199"/>
    </row>
    <row r="1201">
      <c r="A1201" s="193" t="s">
        <v>18372</v>
      </c>
      <c r="B1201" s="7" t="s">
        <v>17233</v>
      </c>
      <c r="C1201" s="7" t="s">
        <v>175</v>
      </c>
      <c r="D1201" s="199"/>
      <c r="E1201" s="193"/>
      <c r="F1201" s="195" t="s">
        <v>18373</v>
      </c>
      <c r="G1201" s="200">
        <v>1.1711822143E10</v>
      </c>
      <c r="H1201" s="197">
        <v>25.53</v>
      </c>
      <c r="I1201" s="7" t="s">
        <v>16815</v>
      </c>
      <c r="J1201" s="7" t="s">
        <v>17233</v>
      </c>
      <c r="K1201" s="7" t="s">
        <v>175</v>
      </c>
      <c r="L1201" s="201" t="s">
        <v>16835</v>
      </c>
      <c r="M1201" s="199"/>
      <c r="N1201" s="199"/>
    </row>
    <row r="1202">
      <c r="A1202" s="193" t="s">
        <v>18374</v>
      </c>
      <c r="B1202" s="7" t="s">
        <v>16838</v>
      </c>
      <c r="C1202" s="7" t="s">
        <v>17112</v>
      </c>
      <c r="D1202" s="199"/>
      <c r="E1202" s="193"/>
      <c r="F1202" s="195" t="s">
        <v>18375</v>
      </c>
      <c r="G1202" s="196">
        <v>1.163474661E10</v>
      </c>
      <c r="H1202" s="197">
        <v>12.99</v>
      </c>
      <c r="I1202" s="7" t="s">
        <v>16815</v>
      </c>
      <c r="J1202" s="7" t="s">
        <v>16838</v>
      </c>
      <c r="K1202" s="7" t="s">
        <v>17112</v>
      </c>
      <c r="L1202" s="198" t="s">
        <v>65</v>
      </c>
      <c r="M1202" s="199"/>
      <c r="N1202" s="199"/>
    </row>
    <row r="1203">
      <c r="A1203" s="193" t="s">
        <v>18376</v>
      </c>
      <c r="B1203" s="7" t="s">
        <v>16926</v>
      </c>
      <c r="C1203" s="7" t="s">
        <v>16960</v>
      </c>
      <c r="D1203" s="194">
        <v>2017.0</v>
      </c>
      <c r="E1203" s="193"/>
      <c r="F1203" s="195" t="s">
        <v>18377</v>
      </c>
      <c r="G1203" s="196">
        <v>1.15863361E10</v>
      </c>
      <c r="H1203" s="197">
        <v>81.31</v>
      </c>
      <c r="I1203" s="7" t="s">
        <v>16815</v>
      </c>
      <c r="J1203" s="7" t="s">
        <v>16926</v>
      </c>
      <c r="K1203" s="7" t="s">
        <v>16960</v>
      </c>
      <c r="L1203" s="198" t="s">
        <v>65</v>
      </c>
      <c r="M1203" s="194"/>
      <c r="N1203" s="194"/>
    </row>
    <row r="1204">
      <c r="A1204" s="193" t="s">
        <v>18378</v>
      </c>
      <c r="B1204" s="7" t="s">
        <v>17112</v>
      </c>
      <c r="C1204" s="7" t="s">
        <v>17111</v>
      </c>
      <c r="D1204" s="199"/>
      <c r="E1204" s="193"/>
      <c r="F1204" s="195" t="s">
        <v>18379</v>
      </c>
      <c r="G1204" s="196">
        <v>1.1576221367E10</v>
      </c>
      <c r="H1204" s="197">
        <v>16.41</v>
      </c>
      <c r="I1204" s="7" t="s">
        <v>16815</v>
      </c>
      <c r="J1204" s="7" t="s">
        <v>17112</v>
      </c>
      <c r="K1204" s="7" t="s">
        <v>17111</v>
      </c>
      <c r="L1204" s="198" t="s">
        <v>65</v>
      </c>
      <c r="M1204" s="199"/>
      <c r="N1204" s="199"/>
    </row>
    <row r="1205">
      <c r="A1205" s="193" t="s">
        <v>18380</v>
      </c>
      <c r="B1205" s="7" t="s">
        <v>16885</v>
      </c>
      <c r="C1205" s="7" t="s">
        <v>18381</v>
      </c>
      <c r="D1205" s="199"/>
      <c r="E1205" s="193"/>
      <c r="F1205" s="195" t="s">
        <v>18382</v>
      </c>
      <c r="G1205" s="196">
        <v>1.1449712887E10</v>
      </c>
      <c r="H1205" s="197">
        <v>33.09</v>
      </c>
      <c r="I1205" s="7" t="s">
        <v>17372</v>
      </c>
      <c r="J1205" s="7" t="s">
        <v>16885</v>
      </c>
      <c r="K1205" s="7" t="s">
        <v>18381</v>
      </c>
      <c r="L1205" s="198" t="s">
        <v>65</v>
      </c>
      <c r="M1205" s="199"/>
      <c r="N1205" s="199"/>
    </row>
    <row r="1206">
      <c r="A1206" s="193" t="s">
        <v>18380</v>
      </c>
      <c r="B1206" s="7" t="s">
        <v>18381</v>
      </c>
      <c r="C1206" s="7" t="s">
        <v>16885</v>
      </c>
      <c r="D1206" s="199"/>
      <c r="E1206" s="193"/>
      <c r="F1206" s="195" t="s">
        <v>18382</v>
      </c>
      <c r="G1206" s="200">
        <v>1.1449712887E10</v>
      </c>
      <c r="H1206" s="197">
        <v>33.09</v>
      </c>
      <c r="I1206" s="7" t="s">
        <v>16815</v>
      </c>
      <c r="J1206" s="7" t="s">
        <v>18381</v>
      </c>
      <c r="K1206" s="7" t="s">
        <v>16885</v>
      </c>
      <c r="L1206" s="201" t="s">
        <v>16835</v>
      </c>
      <c r="M1206" s="199"/>
      <c r="N1206" s="199"/>
    </row>
    <row r="1207">
      <c r="A1207" s="193" t="s">
        <v>18383</v>
      </c>
      <c r="B1207" s="7" t="s">
        <v>16838</v>
      </c>
      <c r="C1207" s="7" t="s">
        <v>17202</v>
      </c>
      <c r="D1207" s="199"/>
      <c r="E1207" s="193"/>
      <c r="F1207" s="195" t="s">
        <v>18384</v>
      </c>
      <c r="G1207" s="196">
        <v>1.1436571634E10</v>
      </c>
      <c r="H1207" s="197">
        <v>22.92</v>
      </c>
      <c r="I1207" s="7" t="s">
        <v>16924</v>
      </c>
      <c r="J1207" s="7" t="s">
        <v>16838</v>
      </c>
      <c r="K1207" s="7" t="s">
        <v>17202</v>
      </c>
      <c r="L1207" s="198" t="s">
        <v>65</v>
      </c>
      <c r="M1207" s="199"/>
      <c r="N1207" s="199"/>
    </row>
    <row r="1208">
      <c r="A1208" s="193" t="s">
        <v>18383</v>
      </c>
      <c r="B1208" s="7" t="s">
        <v>17202</v>
      </c>
      <c r="C1208" s="7" t="s">
        <v>16838</v>
      </c>
      <c r="D1208" s="199"/>
      <c r="E1208" s="193"/>
      <c r="F1208" s="195" t="s">
        <v>18384</v>
      </c>
      <c r="G1208" s="200">
        <v>1.1436571634E10</v>
      </c>
      <c r="H1208" s="197">
        <v>22.92</v>
      </c>
      <c r="I1208" s="7" t="s">
        <v>16815</v>
      </c>
      <c r="J1208" s="7" t="s">
        <v>17202</v>
      </c>
      <c r="K1208" s="7" t="s">
        <v>16838</v>
      </c>
      <c r="L1208" s="201" t="s">
        <v>16835</v>
      </c>
      <c r="M1208" s="199"/>
      <c r="N1208" s="199"/>
    </row>
    <row r="1209">
      <c r="A1209" s="193" t="s">
        <v>18385</v>
      </c>
      <c r="B1209" s="7" t="s">
        <v>16885</v>
      </c>
      <c r="C1209" s="7" t="s">
        <v>17726</v>
      </c>
      <c r="D1209" s="199"/>
      <c r="E1209" s="193"/>
      <c r="F1209" s="195" t="s">
        <v>18386</v>
      </c>
      <c r="G1209" s="196">
        <v>1.1382904352E10</v>
      </c>
      <c r="H1209" s="197">
        <v>12.77</v>
      </c>
      <c r="I1209" s="7" t="s">
        <v>17372</v>
      </c>
      <c r="J1209" s="7" t="s">
        <v>16885</v>
      </c>
      <c r="K1209" s="7" t="s">
        <v>17726</v>
      </c>
      <c r="L1209" s="198" t="s">
        <v>65</v>
      </c>
      <c r="M1209" s="199"/>
      <c r="N1209" s="199"/>
    </row>
    <row r="1210">
      <c r="A1210" s="193" t="s">
        <v>18385</v>
      </c>
      <c r="B1210" s="7" t="s">
        <v>17726</v>
      </c>
      <c r="C1210" s="7" t="s">
        <v>16885</v>
      </c>
      <c r="D1210" s="199"/>
      <c r="E1210" s="193"/>
      <c r="F1210" s="195" t="s">
        <v>18386</v>
      </c>
      <c r="G1210" s="200">
        <v>1.1382904352E10</v>
      </c>
      <c r="H1210" s="197">
        <v>12.77</v>
      </c>
      <c r="I1210" s="7" t="s">
        <v>16815</v>
      </c>
      <c r="J1210" s="7" t="s">
        <v>17726</v>
      </c>
      <c r="K1210" s="7" t="s">
        <v>16885</v>
      </c>
      <c r="L1210" s="201" t="s">
        <v>16835</v>
      </c>
      <c r="M1210" s="199"/>
      <c r="N1210" s="199"/>
    </row>
    <row r="1211">
      <c r="A1211" s="193" t="s">
        <v>18387</v>
      </c>
      <c r="B1211" s="7" t="s">
        <v>16838</v>
      </c>
      <c r="C1211" s="7" t="s">
        <v>17202</v>
      </c>
      <c r="D1211" s="194">
        <v>2005.0</v>
      </c>
      <c r="E1211" s="193"/>
      <c r="F1211" s="195" t="s">
        <v>18388</v>
      </c>
      <c r="G1211" s="196">
        <v>1.1351855718E10</v>
      </c>
      <c r="H1211" s="197">
        <v>266.14</v>
      </c>
      <c r="I1211" s="7" t="s">
        <v>16815</v>
      </c>
      <c r="J1211" s="7" t="s">
        <v>16838</v>
      </c>
      <c r="K1211" s="7" t="s">
        <v>17202</v>
      </c>
      <c r="L1211" s="198" t="s">
        <v>65</v>
      </c>
      <c r="M1211" s="194"/>
      <c r="N1211" s="194"/>
    </row>
    <row r="1212">
      <c r="A1212" s="193" t="s">
        <v>18389</v>
      </c>
      <c r="B1212" s="7" t="s">
        <v>16919</v>
      </c>
      <c r="C1212" s="7" t="s">
        <v>17176</v>
      </c>
      <c r="D1212" s="199"/>
      <c r="E1212" s="193"/>
      <c r="F1212" s="195" t="s">
        <v>18390</v>
      </c>
      <c r="G1212" s="196">
        <v>1.1350502603E10</v>
      </c>
      <c r="H1212" s="197">
        <v>49.41</v>
      </c>
      <c r="I1212" s="7" t="s">
        <v>16815</v>
      </c>
      <c r="J1212" s="7" t="s">
        <v>16919</v>
      </c>
      <c r="K1212" s="7" t="s">
        <v>17176</v>
      </c>
      <c r="L1212" s="198" t="s">
        <v>65</v>
      </c>
      <c r="M1212" s="199"/>
      <c r="N1212" s="199"/>
    </row>
    <row r="1213">
      <c r="A1213" s="193" t="s">
        <v>18391</v>
      </c>
      <c r="B1213" s="7" t="s">
        <v>16582</v>
      </c>
      <c r="C1213" s="7" t="s">
        <v>17339</v>
      </c>
      <c r="D1213" s="194">
        <v>1994.0</v>
      </c>
      <c r="E1213" s="193"/>
      <c r="F1213" s="195" t="s">
        <v>18392</v>
      </c>
      <c r="G1213" s="196">
        <v>1.1345395023E10</v>
      </c>
      <c r="H1213" s="197">
        <v>26.09</v>
      </c>
      <c r="I1213" s="7" t="s">
        <v>16815</v>
      </c>
      <c r="J1213" s="7" t="s">
        <v>16582</v>
      </c>
      <c r="K1213" s="7" t="s">
        <v>17339</v>
      </c>
      <c r="L1213" s="198" t="s">
        <v>65</v>
      </c>
      <c r="M1213" s="194"/>
      <c r="N1213" s="194"/>
    </row>
    <row r="1214">
      <c r="A1214" s="193" t="s">
        <v>18393</v>
      </c>
      <c r="B1214" s="7" t="s">
        <v>16582</v>
      </c>
      <c r="C1214" s="7" t="s">
        <v>17183</v>
      </c>
      <c r="D1214" s="194">
        <v>2015.0</v>
      </c>
      <c r="E1214" s="193"/>
      <c r="F1214" s="195" t="s">
        <v>18394</v>
      </c>
      <c r="G1214" s="196">
        <v>1.1327123486E10</v>
      </c>
      <c r="H1214" s="197">
        <v>36.31</v>
      </c>
      <c r="I1214" s="7" t="s">
        <v>16815</v>
      </c>
      <c r="J1214" s="7" t="s">
        <v>16582</v>
      </c>
      <c r="K1214" s="7" t="s">
        <v>17183</v>
      </c>
      <c r="L1214" s="198" t="s">
        <v>65</v>
      </c>
      <c r="M1214" s="194"/>
      <c r="N1214" s="194"/>
    </row>
    <row r="1215">
      <c r="A1215" s="193" t="s">
        <v>18393</v>
      </c>
      <c r="B1215" s="7" t="s">
        <v>17183</v>
      </c>
      <c r="C1215" s="7" t="s">
        <v>16582</v>
      </c>
      <c r="D1215" s="194">
        <v>2015.0</v>
      </c>
      <c r="E1215" s="193"/>
      <c r="F1215" s="195" t="s">
        <v>18394</v>
      </c>
      <c r="G1215" s="200">
        <v>1.1327123486E10</v>
      </c>
      <c r="H1215" s="197">
        <v>36.31</v>
      </c>
      <c r="I1215" s="7" t="s">
        <v>16815</v>
      </c>
      <c r="J1215" s="7" t="s">
        <v>17183</v>
      </c>
      <c r="K1215" s="7" t="s">
        <v>16582</v>
      </c>
      <c r="L1215" s="201" t="s">
        <v>16835</v>
      </c>
      <c r="M1215" s="194"/>
      <c r="N1215" s="194"/>
    </row>
    <row r="1216">
      <c r="A1216" s="193" t="s">
        <v>18395</v>
      </c>
      <c r="B1216" s="7" t="s">
        <v>158</v>
      </c>
      <c r="C1216" s="7" t="s">
        <v>16864</v>
      </c>
      <c r="D1216" s="199"/>
      <c r="E1216" s="193"/>
      <c r="F1216" s="195" t="s">
        <v>18396</v>
      </c>
      <c r="G1216" s="196">
        <v>1.1324081023E10</v>
      </c>
      <c r="H1216" s="197">
        <v>36.92</v>
      </c>
      <c r="I1216" s="7" t="s">
        <v>18397</v>
      </c>
      <c r="J1216" s="7" t="s">
        <v>158</v>
      </c>
      <c r="K1216" s="7" t="s">
        <v>16864</v>
      </c>
      <c r="L1216" s="198" t="s">
        <v>65</v>
      </c>
      <c r="M1216" s="199"/>
      <c r="N1216" s="199"/>
    </row>
    <row r="1217">
      <c r="A1217" s="193" t="s">
        <v>18398</v>
      </c>
      <c r="B1217" s="7" t="s">
        <v>17112</v>
      </c>
      <c r="C1217" s="7" t="s">
        <v>17218</v>
      </c>
      <c r="D1217" s="194">
        <v>2006.0</v>
      </c>
      <c r="E1217" s="193"/>
      <c r="F1217" s="195" t="s">
        <v>18399</v>
      </c>
      <c r="G1217" s="196">
        <v>1.1233328556E10</v>
      </c>
      <c r="H1217" s="197">
        <v>67.87</v>
      </c>
      <c r="I1217" s="7" t="s">
        <v>16815</v>
      </c>
      <c r="J1217" s="7" t="s">
        <v>17112</v>
      </c>
      <c r="K1217" s="7" t="s">
        <v>17218</v>
      </c>
      <c r="L1217" s="198" t="s">
        <v>65</v>
      </c>
      <c r="M1217" s="194"/>
      <c r="N1217" s="194"/>
    </row>
    <row r="1218">
      <c r="A1218" s="193" t="s">
        <v>18398</v>
      </c>
      <c r="B1218" s="7" t="s">
        <v>17218</v>
      </c>
      <c r="C1218" s="7" t="s">
        <v>17112</v>
      </c>
      <c r="D1218" s="194">
        <v>2006.0</v>
      </c>
      <c r="E1218" s="193"/>
      <c r="F1218" s="195" t="s">
        <v>18399</v>
      </c>
      <c r="G1218" s="200">
        <v>1.1233328556E10</v>
      </c>
      <c r="H1218" s="197">
        <v>67.87</v>
      </c>
      <c r="I1218" s="7" t="s">
        <v>16815</v>
      </c>
      <c r="J1218" s="7" t="s">
        <v>17218</v>
      </c>
      <c r="K1218" s="7" t="s">
        <v>17112</v>
      </c>
      <c r="L1218" s="201" t="s">
        <v>16835</v>
      </c>
      <c r="M1218" s="194"/>
      <c r="N1218" s="194"/>
    </row>
    <row r="1219">
      <c r="A1219" s="193" t="s">
        <v>18400</v>
      </c>
      <c r="B1219" s="7" t="s">
        <v>16838</v>
      </c>
      <c r="C1219" s="7" t="s">
        <v>17016</v>
      </c>
      <c r="D1219" s="194">
        <v>2004.0</v>
      </c>
      <c r="E1219" s="193"/>
      <c r="F1219" s="195" t="s">
        <v>18401</v>
      </c>
      <c r="G1219" s="196">
        <v>1.116665251E10</v>
      </c>
      <c r="H1219" s="197">
        <v>19.61</v>
      </c>
      <c r="I1219" s="7" t="s">
        <v>16924</v>
      </c>
      <c r="J1219" s="7" t="s">
        <v>16838</v>
      </c>
      <c r="K1219" s="7" t="s">
        <v>17016</v>
      </c>
      <c r="L1219" s="198" t="s">
        <v>65</v>
      </c>
      <c r="M1219" s="194"/>
      <c r="N1219" s="194"/>
    </row>
    <row r="1220">
      <c r="A1220" s="193" t="s">
        <v>18402</v>
      </c>
      <c r="B1220" s="7" t="s">
        <v>17112</v>
      </c>
      <c r="C1220" s="7" t="s">
        <v>17111</v>
      </c>
      <c r="D1220" s="194">
        <v>1993.0</v>
      </c>
      <c r="E1220" s="193"/>
      <c r="F1220" s="195" t="s">
        <v>18403</v>
      </c>
      <c r="G1220" s="196">
        <v>1.1157920301E10</v>
      </c>
      <c r="H1220" s="197">
        <v>60.45</v>
      </c>
      <c r="I1220" s="7" t="s">
        <v>16815</v>
      </c>
      <c r="J1220" s="7" t="s">
        <v>17112</v>
      </c>
      <c r="K1220" s="7" t="s">
        <v>17111</v>
      </c>
      <c r="L1220" s="198" t="s">
        <v>65</v>
      </c>
      <c r="M1220" s="194"/>
      <c r="N1220" s="194"/>
    </row>
    <row r="1221">
      <c r="A1221" s="193" t="s">
        <v>18404</v>
      </c>
      <c r="B1221" s="7" t="s">
        <v>175</v>
      </c>
      <c r="C1221" s="7" t="s">
        <v>17057</v>
      </c>
      <c r="D1221" s="194">
        <v>2007.0</v>
      </c>
      <c r="E1221" s="193"/>
      <c r="F1221" s="195" t="s">
        <v>18405</v>
      </c>
      <c r="G1221" s="196">
        <v>1.1141148666E10</v>
      </c>
      <c r="H1221" s="197">
        <v>80.31</v>
      </c>
      <c r="I1221" s="7" t="s">
        <v>16826</v>
      </c>
      <c r="J1221" s="7" t="s">
        <v>175</v>
      </c>
      <c r="K1221" s="7" t="s">
        <v>17057</v>
      </c>
      <c r="L1221" s="198" t="s">
        <v>65</v>
      </c>
      <c r="M1221" s="194"/>
      <c r="N1221" s="194"/>
    </row>
    <row r="1222">
      <c r="A1222" s="193" t="s">
        <v>18404</v>
      </c>
      <c r="B1222" s="7" t="s">
        <v>17057</v>
      </c>
      <c r="C1222" s="7" t="s">
        <v>175</v>
      </c>
      <c r="D1222" s="194">
        <v>2007.0</v>
      </c>
      <c r="E1222" s="193"/>
      <c r="F1222" s="195" t="s">
        <v>18405</v>
      </c>
      <c r="G1222" s="200">
        <v>1.1141148666E10</v>
      </c>
      <c r="H1222" s="197">
        <v>80.31</v>
      </c>
      <c r="I1222" s="7" t="s">
        <v>16815</v>
      </c>
      <c r="J1222" s="7" t="s">
        <v>17057</v>
      </c>
      <c r="K1222" s="7" t="s">
        <v>175</v>
      </c>
      <c r="L1222" s="201" t="s">
        <v>16835</v>
      </c>
      <c r="M1222" s="194"/>
      <c r="N1222" s="194"/>
    </row>
    <row r="1223">
      <c r="A1223" s="193" t="s">
        <v>18406</v>
      </c>
      <c r="B1223" s="7" t="s">
        <v>175</v>
      </c>
      <c r="C1223" s="7" t="s">
        <v>17168</v>
      </c>
      <c r="D1223" s="194">
        <v>2009.0</v>
      </c>
      <c r="E1223" s="193"/>
      <c r="F1223" s="195" t="s">
        <v>18407</v>
      </c>
      <c r="G1223" s="196">
        <v>1.1137974023E10</v>
      </c>
      <c r="H1223" s="197">
        <v>107.99</v>
      </c>
      <c r="I1223" s="193" t="s">
        <v>16908</v>
      </c>
      <c r="J1223" s="7" t="s">
        <v>175</v>
      </c>
      <c r="K1223" s="7" t="s">
        <v>17168</v>
      </c>
      <c r="L1223" s="198" t="s">
        <v>65</v>
      </c>
      <c r="M1223" s="194"/>
      <c r="N1223" s="194"/>
    </row>
    <row r="1224">
      <c r="A1224" s="193" t="s">
        <v>18406</v>
      </c>
      <c r="B1224" s="7" t="s">
        <v>17168</v>
      </c>
      <c r="C1224" s="7" t="s">
        <v>175</v>
      </c>
      <c r="D1224" s="194">
        <v>2009.0</v>
      </c>
      <c r="E1224" s="193"/>
      <c r="F1224" s="195" t="s">
        <v>18407</v>
      </c>
      <c r="G1224" s="200">
        <v>1.1137974023E10</v>
      </c>
      <c r="H1224" s="197">
        <v>107.99</v>
      </c>
      <c r="I1224" s="7" t="s">
        <v>16815</v>
      </c>
      <c r="J1224" s="7" t="s">
        <v>17168</v>
      </c>
      <c r="K1224" s="7" t="s">
        <v>175</v>
      </c>
      <c r="L1224" s="201" t="s">
        <v>16835</v>
      </c>
      <c r="M1224" s="194"/>
      <c r="N1224" s="194"/>
    </row>
    <row r="1225">
      <c r="A1225" s="193" t="s">
        <v>18408</v>
      </c>
      <c r="B1225" s="7" t="s">
        <v>16582</v>
      </c>
      <c r="C1225" s="7" t="s">
        <v>16817</v>
      </c>
      <c r="D1225" s="194">
        <v>2017.0</v>
      </c>
      <c r="E1225" s="193"/>
      <c r="F1225" s="195" t="s">
        <v>18409</v>
      </c>
      <c r="G1225" s="196">
        <v>1.1117799093E10</v>
      </c>
      <c r="H1225" s="197">
        <v>67.77</v>
      </c>
      <c r="I1225" s="7" t="s">
        <v>16815</v>
      </c>
      <c r="J1225" s="7" t="s">
        <v>16582</v>
      </c>
      <c r="K1225" s="7" t="s">
        <v>16817</v>
      </c>
      <c r="L1225" s="198" t="s">
        <v>65</v>
      </c>
      <c r="M1225" s="194"/>
      <c r="N1225" s="194"/>
    </row>
    <row r="1226">
      <c r="A1226" s="193" t="s">
        <v>18410</v>
      </c>
      <c r="B1226" s="7" t="s">
        <v>16582</v>
      </c>
      <c r="C1226" s="7" t="s">
        <v>16930</v>
      </c>
      <c r="D1226" s="199"/>
      <c r="E1226" s="193"/>
      <c r="F1226" s="195" t="s">
        <v>18411</v>
      </c>
      <c r="G1226" s="196">
        <v>1.1106436349E10</v>
      </c>
      <c r="H1226" s="197">
        <v>166.74</v>
      </c>
      <c r="I1226" s="7" t="s">
        <v>16815</v>
      </c>
      <c r="J1226" s="7" t="s">
        <v>16582</v>
      </c>
      <c r="K1226" s="7" t="s">
        <v>16930</v>
      </c>
      <c r="L1226" s="198" t="s">
        <v>65</v>
      </c>
      <c r="M1226" s="199"/>
      <c r="N1226" s="199"/>
    </row>
    <row r="1227">
      <c r="A1227" s="193" t="s">
        <v>18412</v>
      </c>
      <c r="B1227" s="7" t="s">
        <v>16910</v>
      </c>
      <c r="C1227" s="7" t="s">
        <v>17119</v>
      </c>
      <c r="D1227" s="199"/>
      <c r="E1227" s="193"/>
      <c r="F1227" s="195" t="s">
        <v>18413</v>
      </c>
      <c r="G1227" s="196">
        <v>1.1105771155E10</v>
      </c>
      <c r="H1227" s="197">
        <v>108.74</v>
      </c>
      <c r="I1227" s="7" t="s">
        <v>17063</v>
      </c>
      <c r="J1227" s="7" t="s">
        <v>16910</v>
      </c>
      <c r="K1227" s="7" t="s">
        <v>17119</v>
      </c>
      <c r="L1227" s="198" t="s">
        <v>65</v>
      </c>
      <c r="M1227" s="199"/>
      <c r="N1227" s="199"/>
    </row>
    <row r="1228">
      <c r="A1228" s="193" t="s">
        <v>18412</v>
      </c>
      <c r="B1228" s="7" t="s">
        <v>17119</v>
      </c>
      <c r="C1228" s="7" t="s">
        <v>16910</v>
      </c>
      <c r="D1228" s="199"/>
      <c r="E1228" s="193"/>
      <c r="F1228" s="195" t="s">
        <v>18413</v>
      </c>
      <c r="G1228" s="200">
        <v>1.1105771155E10</v>
      </c>
      <c r="H1228" s="197">
        <v>108.74</v>
      </c>
      <c r="I1228" s="7" t="s">
        <v>16815</v>
      </c>
      <c r="J1228" s="7" t="s">
        <v>17119</v>
      </c>
      <c r="K1228" s="7" t="s">
        <v>16910</v>
      </c>
      <c r="L1228" s="201" t="s">
        <v>16835</v>
      </c>
      <c r="M1228" s="199"/>
      <c r="N1228" s="199"/>
    </row>
    <row r="1229">
      <c r="A1229" s="193" t="s">
        <v>18414</v>
      </c>
      <c r="B1229" s="7" t="s">
        <v>175</v>
      </c>
      <c r="C1229" s="7" t="s">
        <v>17391</v>
      </c>
      <c r="D1229" s="199"/>
      <c r="E1229" s="193"/>
      <c r="F1229" s="195" t="s">
        <v>18415</v>
      </c>
      <c r="G1229" s="196">
        <v>1.1099459716E10</v>
      </c>
      <c r="H1229" s="197">
        <v>28.98</v>
      </c>
      <c r="I1229" s="7" t="s">
        <v>168</v>
      </c>
      <c r="J1229" s="7" t="s">
        <v>175</v>
      </c>
      <c r="K1229" s="7" t="s">
        <v>17391</v>
      </c>
      <c r="L1229" s="198" t="s">
        <v>65</v>
      </c>
      <c r="M1229" s="199"/>
      <c r="N1229" s="199"/>
    </row>
    <row r="1230">
      <c r="A1230" s="193" t="s">
        <v>18414</v>
      </c>
      <c r="B1230" s="7" t="s">
        <v>17391</v>
      </c>
      <c r="C1230" s="7" t="s">
        <v>175</v>
      </c>
      <c r="D1230" s="199"/>
      <c r="E1230" s="193"/>
      <c r="F1230" s="195" t="s">
        <v>18415</v>
      </c>
      <c r="G1230" s="200">
        <v>1.1099459716E10</v>
      </c>
      <c r="H1230" s="197">
        <v>28.98</v>
      </c>
      <c r="I1230" s="7" t="s">
        <v>16815</v>
      </c>
      <c r="J1230" s="7" t="s">
        <v>17391</v>
      </c>
      <c r="K1230" s="7" t="s">
        <v>175</v>
      </c>
      <c r="L1230" s="201" t="s">
        <v>16835</v>
      </c>
      <c r="M1230" s="199"/>
      <c r="N1230" s="199"/>
    </row>
    <row r="1231">
      <c r="A1231" s="193" t="s">
        <v>18416</v>
      </c>
      <c r="B1231" s="7" t="s">
        <v>17111</v>
      </c>
      <c r="C1231" s="7" t="s">
        <v>17112</v>
      </c>
      <c r="D1231" s="199"/>
      <c r="E1231" s="193"/>
      <c r="F1231" s="195" t="s">
        <v>18417</v>
      </c>
      <c r="G1231" s="200">
        <v>1.1095747643E10</v>
      </c>
      <c r="H1231" s="197">
        <v>17.9</v>
      </c>
      <c r="I1231" s="7" t="s">
        <v>16815</v>
      </c>
      <c r="J1231" s="7" t="s">
        <v>17111</v>
      </c>
      <c r="K1231" s="7" t="s">
        <v>17112</v>
      </c>
      <c r="L1231" s="201" t="s">
        <v>16835</v>
      </c>
      <c r="M1231" s="199"/>
      <c r="N1231" s="199"/>
    </row>
    <row r="1232">
      <c r="A1232" s="193" t="s">
        <v>18416</v>
      </c>
      <c r="B1232" s="7" t="s">
        <v>17112</v>
      </c>
      <c r="C1232" s="7" t="s">
        <v>17111</v>
      </c>
      <c r="D1232" s="199"/>
      <c r="E1232" s="193"/>
      <c r="F1232" s="195" t="s">
        <v>18417</v>
      </c>
      <c r="G1232" s="196">
        <v>1.1095747643E10</v>
      </c>
      <c r="H1232" s="197">
        <v>17.9</v>
      </c>
      <c r="I1232" s="7" t="s">
        <v>16815</v>
      </c>
      <c r="J1232" s="7" t="s">
        <v>17112</v>
      </c>
      <c r="K1232" s="7" t="s">
        <v>17111</v>
      </c>
      <c r="L1232" s="198" t="s">
        <v>65</v>
      </c>
      <c r="M1232" s="199"/>
      <c r="N1232" s="199"/>
    </row>
    <row r="1233">
      <c r="A1233" s="193" t="s">
        <v>18418</v>
      </c>
      <c r="B1233" s="7" t="s">
        <v>169</v>
      </c>
      <c r="C1233" s="7" t="s">
        <v>16899</v>
      </c>
      <c r="D1233" s="199"/>
      <c r="E1233" s="193"/>
      <c r="F1233" s="195" t="s">
        <v>18419</v>
      </c>
      <c r="G1233" s="196">
        <v>1.1047157031E10</v>
      </c>
      <c r="H1233" s="197">
        <v>124.3</v>
      </c>
      <c r="I1233" s="7" t="s">
        <v>16815</v>
      </c>
      <c r="J1233" s="7" t="s">
        <v>169</v>
      </c>
      <c r="K1233" s="7" t="s">
        <v>16899</v>
      </c>
      <c r="L1233" s="198" t="s">
        <v>65</v>
      </c>
      <c r="M1233" s="199"/>
      <c r="N1233" s="199"/>
    </row>
    <row r="1234">
      <c r="A1234" s="193" t="s">
        <v>18418</v>
      </c>
      <c r="B1234" s="7" t="s">
        <v>16899</v>
      </c>
      <c r="C1234" s="7" t="s">
        <v>169</v>
      </c>
      <c r="D1234" s="199"/>
      <c r="E1234" s="193"/>
      <c r="F1234" s="195" t="s">
        <v>18419</v>
      </c>
      <c r="G1234" s="200">
        <v>1.1047157031E10</v>
      </c>
      <c r="H1234" s="197">
        <v>124.3</v>
      </c>
      <c r="I1234" s="7" t="s">
        <v>16815</v>
      </c>
      <c r="J1234" s="7" t="s">
        <v>16899</v>
      </c>
      <c r="K1234" s="7" t="s">
        <v>169</v>
      </c>
      <c r="L1234" s="201" t="s">
        <v>16835</v>
      </c>
      <c r="M1234" s="199"/>
      <c r="N1234" s="199"/>
    </row>
    <row r="1235">
      <c r="A1235" s="193" t="s">
        <v>18420</v>
      </c>
      <c r="B1235" s="7" t="s">
        <v>16838</v>
      </c>
      <c r="C1235" s="7" t="s">
        <v>16867</v>
      </c>
      <c r="D1235" s="199"/>
      <c r="E1235" s="193"/>
      <c r="F1235" s="195" t="s">
        <v>18421</v>
      </c>
      <c r="G1235" s="196">
        <v>1.1041055399E10</v>
      </c>
      <c r="H1235" s="197">
        <v>21.75</v>
      </c>
      <c r="I1235" s="7" t="s">
        <v>16815</v>
      </c>
      <c r="J1235" s="7" t="s">
        <v>16838</v>
      </c>
      <c r="K1235" s="7" t="s">
        <v>16867</v>
      </c>
      <c r="L1235" s="198" t="s">
        <v>65</v>
      </c>
      <c r="M1235" s="199"/>
      <c r="N1235" s="199"/>
    </row>
    <row r="1236">
      <c r="A1236" s="193" t="s">
        <v>18422</v>
      </c>
      <c r="B1236" s="7" t="s">
        <v>187</v>
      </c>
      <c r="C1236" s="7" t="s">
        <v>16992</v>
      </c>
      <c r="D1236" s="199"/>
      <c r="E1236" s="193"/>
      <c r="F1236" s="195" t="s">
        <v>18423</v>
      </c>
      <c r="G1236" s="196">
        <v>1.10369732E10</v>
      </c>
      <c r="H1236" s="197">
        <v>9.2</v>
      </c>
      <c r="I1236" s="7" t="s">
        <v>16815</v>
      </c>
      <c r="J1236" s="7" t="s">
        <v>187</v>
      </c>
      <c r="K1236" s="7" t="s">
        <v>16992</v>
      </c>
      <c r="L1236" s="198" t="s">
        <v>65</v>
      </c>
      <c r="M1236" s="199"/>
      <c r="N1236" s="199"/>
    </row>
    <row r="1237">
      <c r="A1237" s="193" t="s">
        <v>18424</v>
      </c>
      <c r="B1237" s="7" t="s">
        <v>169</v>
      </c>
      <c r="C1237" s="7" t="s">
        <v>17738</v>
      </c>
      <c r="D1237" s="199"/>
      <c r="E1237" s="193"/>
      <c r="F1237" s="195" t="s">
        <v>18425</v>
      </c>
      <c r="G1237" s="196">
        <v>1.0994744706E10</v>
      </c>
      <c r="H1237" s="197">
        <v>33.64</v>
      </c>
      <c r="I1237" s="7" t="s">
        <v>16815</v>
      </c>
      <c r="J1237" s="7" t="s">
        <v>169</v>
      </c>
      <c r="K1237" s="7" t="s">
        <v>17738</v>
      </c>
      <c r="L1237" s="198" t="s">
        <v>65</v>
      </c>
      <c r="M1237" s="199"/>
      <c r="N1237" s="199"/>
    </row>
    <row r="1238">
      <c r="A1238" s="193" t="s">
        <v>18424</v>
      </c>
      <c r="B1238" s="7" t="s">
        <v>17738</v>
      </c>
      <c r="C1238" s="7" t="s">
        <v>169</v>
      </c>
      <c r="D1238" s="199"/>
      <c r="E1238" s="193"/>
      <c r="F1238" s="195" t="s">
        <v>18425</v>
      </c>
      <c r="G1238" s="200">
        <v>1.0994744706E10</v>
      </c>
      <c r="H1238" s="197">
        <v>33.64</v>
      </c>
      <c r="I1238" s="7" t="s">
        <v>16815</v>
      </c>
      <c r="J1238" s="7" t="s">
        <v>17738</v>
      </c>
      <c r="K1238" s="7" t="s">
        <v>169</v>
      </c>
      <c r="L1238" s="201" t="s">
        <v>16835</v>
      </c>
      <c r="M1238" s="199"/>
      <c r="N1238" s="199"/>
    </row>
    <row r="1239">
      <c r="A1239" s="193" t="s">
        <v>18426</v>
      </c>
      <c r="B1239" s="7" t="s">
        <v>169</v>
      </c>
      <c r="C1239" s="7" t="s">
        <v>17619</v>
      </c>
      <c r="D1239" s="199"/>
      <c r="E1239" s="193"/>
      <c r="F1239" s="195" t="s">
        <v>18427</v>
      </c>
      <c r="G1239" s="196">
        <v>1.0992678219E10</v>
      </c>
      <c r="H1239" s="197">
        <v>16.8753</v>
      </c>
      <c r="I1239" s="7" t="s">
        <v>16815</v>
      </c>
      <c r="J1239" s="7" t="s">
        <v>169</v>
      </c>
      <c r="K1239" s="7" t="s">
        <v>17619</v>
      </c>
      <c r="L1239" s="198" t="s">
        <v>65</v>
      </c>
      <c r="M1239" s="199"/>
      <c r="N1239" s="199"/>
    </row>
    <row r="1240">
      <c r="A1240" s="193" t="s">
        <v>18428</v>
      </c>
      <c r="B1240" s="7" t="s">
        <v>17347</v>
      </c>
      <c r="C1240" s="7" t="s">
        <v>16838</v>
      </c>
      <c r="D1240" s="199"/>
      <c r="E1240" s="193"/>
      <c r="F1240" s="195" t="s">
        <v>18429</v>
      </c>
      <c r="G1240" s="200">
        <v>1.0978009834E10</v>
      </c>
      <c r="H1240" s="197">
        <v>116.64</v>
      </c>
      <c r="I1240" s="7" t="s">
        <v>16815</v>
      </c>
      <c r="J1240" s="7" t="s">
        <v>17347</v>
      </c>
      <c r="K1240" s="7" t="s">
        <v>16838</v>
      </c>
      <c r="L1240" s="201" t="s">
        <v>16835</v>
      </c>
      <c r="M1240" s="199"/>
      <c r="N1240" s="199"/>
    </row>
    <row r="1241">
      <c r="A1241" s="193" t="s">
        <v>18428</v>
      </c>
      <c r="B1241" s="7" t="s">
        <v>16838</v>
      </c>
      <c r="C1241" s="7" t="s">
        <v>17347</v>
      </c>
      <c r="D1241" s="199"/>
      <c r="E1241" s="193"/>
      <c r="F1241" s="195" t="s">
        <v>18429</v>
      </c>
      <c r="G1241" s="196">
        <v>1.0978009834E10</v>
      </c>
      <c r="H1241" s="197">
        <v>116.64</v>
      </c>
      <c r="I1241" s="7" t="s">
        <v>16815</v>
      </c>
      <c r="J1241" s="7" t="s">
        <v>16838</v>
      </c>
      <c r="K1241" s="7" t="s">
        <v>17347</v>
      </c>
      <c r="L1241" s="198" t="s">
        <v>65</v>
      </c>
      <c r="M1241" s="199"/>
      <c r="N1241" s="199"/>
    </row>
    <row r="1242">
      <c r="A1242" s="193" t="s">
        <v>18430</v>
      </c>
      <c r="B1242" s="7" t="s">
        <v>175</v>
      </c>
      <c r="C1242" s="7" t="s">
        <v>16854</v>
      </c>
      <c r="D1242" s="199"/>
      <c r="E1242" s="193"/>
      <c r="F1242" s="195" t="s">
        <v>18431</v>
      </c>
      <c r="G1242" s="196">
        <v>1.0944516317E10</v>
      </c>
      <c r="H1242" s="197">
        <v>60.14</v>
      </c>
      <c r="I1242" s="7" t="s">
        <v>18432</v>
      </c>
      <c r="J1242" s="7" t="s">
        <v>175</v>
      </c>
      <c r="K1242" s="7" t="s">
        <v>16854</v>
      </c>
      <c r="L1242" s="198" t="s">
        <v>65</v>
      </c>
      <c r="M1242" s="199"/>
      <c r="N1242" s="199"/>
    </row>
    <row r="1243">
      <c r="A1243" s="193" t="s">
        <v>18430</v>
      </c>
      <c r="B1243" s="7" t="s">
        <v>16854</v>
      </c>
      <c r="C1243" s="7" t="s">
        <v>175</v>
      </c>
      <c r="D1243" s="199"/>
      <c r="E1243" s="193"/>
      <c r="F1243" s="195" t="s">
        <v>18431</v>
      </c>
      <c r="G1243" s="200">
        <v>1.0944516317E10</v>
      </c>
      <c r="H1243" s="197">
        <v>60.14</v>
      </c>
      <c r="I1243" s="7" t="s">
        <v>16815</v>
      </c>
      <c r="J1243" s="7" t="s">
        <v>16854</v>
      </c>
      <c r="K1243" s="7" t="s">
        <v>175</v>
      </c>
      <c r="L1243" s="201" t="s">
        <v>16835</v>
      </c>
      <c r="M1243" s="199"/>
      <c r="N1243" s="199"/>
    </row>
    <row r="1244">
      <c r="A1244" s="193" t="s">
        <v>18433</v>
      </c>
      <c r="B1244" s="7" t="s">
        <v>187</v>
      </c>
      <c r="C1244" s="7" t="s">
        <v>16846</v>
      </c>
      <c r="D1244" s="199"/>
      <c r="E1244" s="193"/>
      <c r="F1244" s="195" t="s">
        <v>18434</v>
      </c>
      <c r="G1244" s="196">
        <v>1.0899249484E10</v>
      </c>
      <c r="H1244" s="197">
        <v>65.45</v>
      </c>
      <c r="I1244" s="7" t="s">
        <v>16815</v>
      </c>
      <c r="J1244" s="7" t="s">
        <v>187</v>
      </c>
      <c r="K1244" s="7" t="s">
        <v>16846</v>
      </c>
      <c r="L1244" s="198" t="s">
        <v>65</v>
      </c>
      <c r="M1244" s="199"/>
      <c r="N1244" s="199"/>
    </row>
    <row r="1245">
      <c r="A1245" s="193" t="s">
        <v>18433</v>
      </c>
      <c r="B1245" s="7" t="s">
        <v>16846</v>
      </c>
      <c r="C1245" s="7" t="s">
        <v>187</v>
      </c>
      <c r="D1245" s="199"/>
      <c r="E1245" s="193"/>
      <c r="F1245" s="195" t="s">
        <v>18434</v>
      </c>
      <c r="G1245" s="200">
        <v>1.0899249484E10</v>
      </c>
      <c r="H1245" s="197">
        <v>65.45</v>
      </c>
      <c r="I1245" s="7" t="s">
        <v>16815</v>
      </c>
      <c r="J1245" s="7" t="s">
        <v>16846</v>
      </c>
      <c r="K1245" s="7" t="s">
        <v>187</v>
      </c>
      <c r="L1245" s="201" t="s">
        <v>16835</v>
      </c>
      <c r="M1245" s="199"/>
      <c r="N1245" s="199"/>
    </row>
    <row r="1246">
      <c r="A1246" s="193" t="s">
        <v>18435</v>
      </c>
      <c r="B1246" s="7" t="s">
        <v>16838</v>
      </c>
      <c r="C1246" s="7" t="s">
        <v>17202</v>
      </c>
      <c r="D1246" s="194">
        <v>2012.0</v>
      </c>
      <c r="E1246" s="193"/>
      <c r="F1246" s="195" t="s">
        <v>18436</v>
      </c>
      <c r="G1246" s="196">
        <v>1.0881596744E10</v>
      </c>
      <c r="H1246" s="197">
        <v>30.16</v>
      </c>
      <c r="I1246" s="7" t="s">
        <v>16815</v>
      </c>
      <c r="J1246" s="7" t="s">
        <v>16838</v>
      </c>
      <c r="K1246" s="7" t="s">
        <v>17202</v>
      </c>
      <c r="L1246" s="198" t="s">
        <v>65</v>
      </c>
      <c r="M1246" s="194"/>
      <c r="N1246" s="194"/>
    </row>
    <row r="1247">
      <c r="A1247" s="193" t="s">
        <v>18437</v>
      </c>
      <c r="B1247" s="7" t="s">
        <v>175</v>
      </c>
      <c r="C1247" s="7" t="s">
        <v>17168</v>
      </c>
      <c r="D1247" s="194">
        <v>2010.0</v>
      </c>
      <c r="E1247" s="193"/>
      <c r="F1247" s="195" t="s">
        <v>18438</v>
      </c>
      <c r="G1247" s="196">
        <v>1.0834312194E10</v>
      </c>
      <c r="H1247" s="197">
        <v>34.81</v>
      </c>
      <c r="I1247" s="7" t="s">
        <v>16892</v>
      </c>
      <c r="J1247" s="7" t="s">
        <v>175</v>
      </c>
      <c r="K1247" s="7" t="s">
        <v>17168</v>
      </c>
      <c r="L1247" s="198" t="s">
        <v>65</v>
      </c>
      <c r="M1247" s="194"/>
      <c r="N1247" s="194"/>
    </row>
    <row r="1248">
      <c r="A1248" s="193" t="s">
        <v>18439</v>
      </c>
      <c r="B1248" s="7" t="s">
        <v>187</v>
      </c>
      <c r="C1248" s="7" t="s">
        <v>16969</v>
      </c>
      <c r="D1248" s="194">
        <v>2007.0</v>
      </c>
      <c r="E1248" s="193"/>
      <c r="F1248" s="195" t="s">
        <v>18440</v>
      </c>
      <c r="G1248" s="196">
        <v>1.0830263707E10</v>
      </c>
      <c r="H1248" s="197">
        <v>155.1</v>
      </c>
      <c r="I1248" s="7" t="s">
        <v>16815</v>
      </c>
      <c r="J1248" s="7" t="s">
        <v>187</v>
      </c>
      <c r="K1248" s="7" t="s">
        <v>16969</v>
      </c>
      <c r="L1248" s="198" t="s">
        <v>65</v>
      </c>
      <c r="M1248" s="194"/>
      <c r="N1248" s="194"/>
    </row>
    <row r="1249">
      <c r="A1249" s="193" t="s">
        <v>18441</v>
      </c>
      <c r="B1249" s="7" t="s">
        <v>169</v>
      </c>
      <c r="C1249" s="7" t="s">
        <v>16899</v>
      </c>
      <c r="D1249" s="199"/>
      <c r="E1249" s="193"/>
      <c r="F1249" s="195" t="s">
        <v>18442</v>
      </c>
      <c r="G1249" s="196">
        <v>1.0829821567E10</v>
      </c>
      <c r="H1249" s="197">
        <v>72.82</v>
      </c>
      <c r="I1249" s="7" t="s">
        <v>16815</v>
      </c>
      <c r="J1249" s="7" t="s">
        <v>169</v>
      </c>
      <c r="K1249" s="7" t="s">
        <v>16899</v>
      </c>
      <c r="L1249" s="198" t="s">
        <v>65</v>
      </c>
      <c r="M1249" s="199"/>
      <c r="N1249" s="199"/>
    </row>
    <row r="1250">
      <c r="A1250" s="193" t="s">
        <v>18441</v>
      </c>
      <c r="B1250" s="7" t="s">
        <v>16899</v>
      </c>
      <c r="C1250" s="7" t="s">
        <v>169</v>
      </c>
      <c r="D1250" s="199"/>
      <c r="E1250" s="193"/>
      <c r="F1250" s="195" t="s">
        <v>18442</v>
      </c>
      <c r="G1250" s="200">
        <v>1.0829821567E10</v>
      </c>
      <c r="H1250" s="197">
        <v>72.82</v>
      </c>
      <c r="I1250" s="7" t="s">
        <v>16815</v>
      </c>
      <c r="J1250" s="7" t="s">
        <v>16899</v>
      </c>
      <c r="K1250" s="7" t="s">
        <v>169</v>
      </c>
      <c r="L1250" s="201" t="s">
        <v>16835</v>
      </c>
      <c r="M1250" s="199"/>
      <c r="N1250" s="199"/>
    </row>
    <row r="1251">
      <c r="A1251" s="193" t="s">
        <v>18443</v>
      </c>
      <c r="B1251" s="7" t="s">
        <v>16582</v>
      </c>
      <c r="C1251" s="7" t="s">
        <v>16817</v>
      </c>
      <c r="D1251" s="199"/>
      <c r="E1251" s="193"/>
      <c r="F1251" s="195" t="s">
        <v>18444</v>
      </c>
      <c r="G1251" s="196">
        <v>1.0821766569E10</v>
      </c>
      <c r="H1251" s="197">
        <v>170.06</v>
      </c>
      <c r="I1251" s="7" t="s">
        <v>16815</v>
      </c>
      <c r="J1251" s="7" t="s">
        <v>16582</v>
      </c>
      <c r="K1251" s="7" t="s">
        <v>16817</v>
      </c>
      <c r="L1251" s="198" t="s">
        <v>65</v>
      </c>
      <c r="M1251" s="199"/>
      <c r="N1251" s="199"/>
    </row>
    <row r="1252">
      <c r="A1252" s="193" t="s">
        <v>18445</v>
      </c>
      <c r="B1252" s="7" t="s">
        <v>187</v>
      </c>
      <c r="C1252" s="7" t="s">
        <v>16851</v>
      </c>
      <c r="D1252" s="194">
        <v>2001.0</v>
      </c>
      <c r="E1252" s="193"/>
      <c r="F1252" s="195" t="s">
        <v>18446</v>
      </c>
      <c r="G1252" s="196">
        <v>1.0807592653E10</v>
      </c>
      <c r="H1252" s="197">
        <v>59.76</v>
      </c>
      <c r="I1252" s="7" t="s">
        <v>16815</v>
      </c>
      <c r="J1252" s="7" t="s">
        <v>187</v>
      </c>
      <c r="K1252" s="7" t="s">
        <v>16851</v>
      </c>
      <c r="L1252" s="198" t="s">
        <v>65</v>
      </c>
      <c r="M1252" s="194"/>
      <c r="N1252" s="194"/>
    </row>
    <row r="1253">
      <c r="A1253" s="193" t="s">
        <v>18447</v>
      </c>
      <c r="B1253" s="7" t="s">
        <v>16582</v>
      </c>
      <c r="C1253" s="7" t="s">
        <v>17435</v>
      </c>
      <c r="D1253" s="194">
        <v>1985.0</v>
      </c>
      <c r="E1253" s="193"/>
      <c r="F1253" s="195" t="s">
        <v>18448</v>
      </c>
      <c r="G1253" s="196">
        <v>1.0793670037E10</v>
      </c>
      <c r="H1253" s="197">
        <v>147.99</v>
      </c>
      <c r="I1253" s="7" t="s">
        <v>16815</v>
      </c>
      <c r="J1253" s="7" t="s">
        <v>16582</v>
      </c>
      <c r="K1253" s="7" t="s">
        <v>17435</v>
      </c>
      <c r="L1253" s="198" t="s">
        <v>65</v>
      </c>
      <c r="M1253" s="194"/>
      <c r="N1253" s="194"/>
    </row>
    <row r="1254">
      <c r="A1254" s="193" t="s">
        <v>18449</v>
      </c>
      <c r="B1254" s="7" t="s">
        <v>17111</v>
      </c>
      <c r="C1254" s="7" t="s">
        <v>17112</v>
      </c>
      <c r="D1254" s="199"/>
      <c r="E1254" s="193"/>
      <c r="F1254" s="195" t="s">
        <v>18450</v>
      </c>
      <c r="G1254" s="200">
        <v>1.077568567E10</v>
      </c>
      <c r="H1254" s="197">
        <v>32.76</v>
      </c>
      <c r="I1254" s="7" t="s">
        <v>16815</v>
      </c>
      <c r="J1254" s="7" t="s">
        <v>17111</v>
      </c>
      <c r="K1254" s="7" t="s">
        <v>17112</v>
      </c>
      <c r="L1254" s="201" t="s">
        <v>16835</v>
      </c>
      <c r="M1254" s="199"/>
      <c r="N1254" s="199"/>
    </row>
    <row r="1255">
      <c r="A1255" s="193" t="s">
        <v>18449</v>
      </c>
      <c r="B1255" s="7" t="s">
        <v>17112</v>
      </c>
      <c r="C1255" s="7" t="s">
        <v>17111</v>
      </c>
      <c r="D1255" s="199"/>
      <c r="E1255" s="193"/>
      <c r="F1255" s="195" t="s">
        <v>18450</v>
      </c>
      <c r="G1255" s="196">
        <v>1.077568567E10</v>
      </c>
      <c r="H1255" s="197">
        <v>32.76</v>
      </c>
      <c r="I1255" s="7" t="s">
        <v>16815</v>
      </c>
      <c r="J1255" s="7" t="s">
        <v>17112</v>
      </c>
      <c r="K1255" s="7" t="s">
        <v>17111</v>
      </c>
      <c r="L1255" s="198" t="s">
        <v>65</v>
      </c>
      <c r="M1255" s="199"/>
      <c r="N1255" s="199"/>
    </row>
    <row r="1256">
      <c r="A1256" s="193" t="s">
        <v>18451</v>
      </c>
      <c r="B1256" s="7" t="s">
        <v>17127</v>
      </c>
      <c r="C1256" s="7" t="s">
        <v>16838</v>
      </c>
      <c r="D1256" s="199"/>
      <c r="E1256" s="193"/>
      <c r="F1256" s="195" t="s">
        <v>18452</v>
      </c>
      <c r="G1256" s="200">
        <v>1.0742031068E10</v>
      </c>
      <c r="H1256" s="197">
        <v>209.92</v>
      </c>
      <c r="I1256" s="7" t="s">
        <v>16815</v>
      </c>
      <c r="J1256" s="7" t="s">
        <v>17127</v>
      </c>
      <c r="K1256" s="7" t="s">
        <v>16838</v>
      </c>
      <c r="L1256" s="201" t="s">
        <v>16835</v>
      </c>
      <c r="M1256" s="199"/>
      <c r="N1256" s="199"/>
    </row>
    <row r="1257">
      <c r="A1257" s="193" t="s">
        <v>18451</v>
      </c>
      <c r="B1257" s="7" t="s">
        <v>16838</v>
      </c>
      <c r="C1257" s="7" t="s">
        <v>17127</v>
      </c>
      <c r="D1257" s="199"/>
      <c r="E1257" s="193"/>
      <c r="F1257" s="195" t="s">
        <v>18452</v>
      </c>
      <c r="G1257" s="196">
        <v>1.0742031068E10</v>
      </c>
      <c r="H1257" s="197">
        <v>209.92</v>
      </c>
      <c r="I1257" s="7" t="s">
        <v>16815</v>
      </c>
      <c r="J1257" s="7" t="s">
        <v>16838</v>
      </c>
      <c r="K1257" s="7" t="s">
        <v>17127</v>
      </c>
      <c r="L1257" s="198" t="s">
        <v>65</v>
      </c>
      <c r="M1257" s="199"/>
      <c r="N1257" s="199"/>
    </row>
    <row r="1258">
      <c r="A1258" s="193" t="s">
        <v>18453</v>
      </c>
      <c r="B1258" s="7" t="s">
        <v>16838</v>
      </c>
      <c r="C1258" s="7" t="s">
        <v>17112</v>
      </c>
      <c r="D1258" s="199"/>
      <c r="E1258" s="193"/>
      <c r="F1258" s="195" t="s">
        <v>18454</v>
      </c>
      <c r="G1258" s="196">
        <v>1.0731284801E10</v>
      </c>
      <c r="H1258" s="197">
        <v>11.9813</v>
      </c>
      <c r="I1258" s="7" t="s">
        <v>16815</v>
      </c>
      <c r="J1258" s="7" t="s">
        <v>16838</v>
      </c>
      <c r="K1258" s="7" t="s">
        <v>17112</v>
      </c>
      <c r="L1258" s="198" t="s">
        <v>65</v>
      </c>
      <c r="M1258" s="199"/>
      <c r="N1258" s="199"/>
    </row>
    <row r="1259">
      <c r="A1259" s="193" t="s">
        <v>18455</v>
      </c>
      <c r="B1259" s="7" t="s">
        <v>169</v>
      </c>
      <c r="C1259" s="7" t="s">
        <v>16899</v>
      </c>
      <c r="D1259" s="199"/>
      <c r="E1259" s="193"/>
      <c r="F1259" s="195" t="s">
        <v>18456</v>
      </c>
      <c r="G1259" s="196">
        <v>1.0715798542E10</v>
      </c>
      <c r="H1259" s="197">
        <v>187.34</v>
      </c>
      <c r="I1259" s="7" t="s">
        <v>16815</v>
      </c>
      <c r="J1259" s="7" t="s">
        <v>169</v>
      </c>
      <c r="K1259" s="7" t="s">
        <v>16899</v>
      </c>
      <c r="L1259" s="198" t="s">
        <v>65</v>
      </c>
      <c r="M1259" s="199"/>
      <c r="N1259" s="199"/>
    </row>
    <row r="1260">
      <c r="A1260" s="193" t="s">
        <v>18457</v>
      </c>
      <c r="B1260" s="7" t="s">
        <v>17509</v>
      </c>
      <c r="C1260" s="7" t="s">
        <v>187</v>
      </c>
      <c r="D1260" s="199"/>
      <c r="E1260" s="193"/>
      <c r="F1260" s="195" t="s">
        <v>18458</v>
      </c>
      <c r="G1260" s="200">
        <v>1.0703309351E10</v>
      </c>
      <c r="H1260" s="197">
        <v>24.51</v>
      </c>
      <c r="I1260" s="7" t="s">
        <v>16815</v>
      </c>
      <c r="J1260" s="7" t="s">
        <v>17509</v>
      </c>
      <c r="K1260" s="7" t="s">
        <v>187</v>
      </c>
      <c r="L1260" s="201" t="s">
        <v>16835</v>
      </c>
      <c r="M1260" s="199"/>
      <c r="N1260" s="199"/>
    </row>
    <row r="1261">
      <c r="A1261" s="193" t="s">
        <v>18457</v>
      </c>
      <c r="B1261" s="7" t="s">
        <v>187</v>
      </c>
      <c r="C1261" s="7" t="s">
        <v>17509</v>
      </c>
      <c r="D1261" s="199"/>
      <c r="E1261" s="193"/>
      <c r="F1261" s="195" t="s">
        <v>18458</v>
      </c>
      <c r="G1261" s="196">
        <v>1.0703309351E10</v>
      </c>
      <c r="H1261" s="197">
        <v>24.51</v>
      </c>
      <c r="I1261" s="7" t="s">
        <v>16815</v>
      </c>
      <c r="J1261" s="7" t="s">
        <v>187</v>
      </c>
      <c r="K1261" s="7" t="s">
        <v>17509</v>
      </c>
      <c r="L1261" s="198" t="s">
        <v>65</v>
      </c>
      <c r="M1261" s="199"/>
      <c r="N1261" s="199"/>
    </row>
    <row r="1262">
      <c r="A1262" s="193" t="s">
        <v>18459</v>
      </c>
      <c r="B1262" s="7" t="s">
        <v>158</v>
      </c>
      <c r="C1262" s="7" t="s">
        <v>16920</v>
      </c>
      <c r="D1262" s="194">
        <v>1998.0</v>
      </c>
      <c r="E1262" s="193"/>
      <c r="F1262" s="195" t="s">
        <v>18460</v>
      </c>
      <c r="G1262" s="196">
        <v>1.0690135808E10</v>
      </c>
      <c r="H1262" s="197">
        <v>15.25</v>
      </c>
      <c r="I1262" s="7" t="s">
        <v>17098</v>
      </c>
      <c r="J1262" s="7" t="s">
        <v>158</v>
      </c>
      <c r="K1262" s="7" t="s">
        <v>16920</v>
      </c>
      <c r="L1262" s="198" t="s">
        <v>65</v>
      </c>
      <c r="M1262" s="194"/>
      <c r="N1262" s="194"/>
    </row>
    <row r="1263">
      <c r="A1263" s="193" t="s">
        <v>18461</v>
      </c>
      <c r="B1263" s="7" t="s">
        <v>17347</v>
      </c>
      <c r="C1263" s="7" t="s">
        <v>16838</v>
      </c>
      <c r="D1263" s="199"/>
      <c r="E1263" s="193"/>
      <c r="F1263" s="195" t="s">
        <v>18462</v>
      </c>
      <c r="G1263" s="200">
        <v>1.0686619795E10</v>
      </c>
      <c r="H1263" s="197">
        <v>162.15</v>
      </c>
      <c r="I1263" s="7" t="s">
        <v>16815</v>
      </c>
      <c r="J1263" s="7" t="s">
        <v>17347</v>
      </c>
      <c r="K1263" s="7" t="s">
        <v>16838</v>
      </c>
      <c r="L1263" s="201" t="s">
        <v>16835</v>
      </c>
      <c r="M1263" s="199"/>
      <c r="N1263" s="199"/>
    </row>
    <row r="1264">
      <c r="A1264" s="193" t="s">
        <v>18461</v>
      </c>
      <c r="B1264" s="7" t="s">
        <v>16838</v>
      </c>
      <c r="C1264" s="7" t="s">
        <v>17347</v>
      </c>
      <c r="D1264" s="199"/>
      <c r="E1264" s="193"/>
      <c r="F1264" s="195" t="s">
        <v>18462</v>
      </c>
      <c r="G1264" s="196">
        <v>1.0686619795E10</v>
      </c>
      <c r="H1264" s="197">
        <v>162.15</v>
      </c>
      <c r="I1264" s="7" t="s">
        <v>16815</v>
      </c>
      <c r="J1264" s="7" t="s">
        <v>16838</v>
      </c>
      <c r="K1264" s="7" t="s">
        <v>17347</v>
      </c>
      <c r="L1264" s="198" t="s">
        <v>65</v>
      </c>
      <c r="M1264" s="199"/>
      <c r="N1264" s="199"/>
    </row>
    <row r="1265">
      <c r="A1265" s="193" t="s">
        <v>18463</v>
      </c>
      <c r="B1265" s="7" t="s">
        <v>16919</v>
      </c>
      <c r="C1265" s="7" t="s">
        <v>16920</v>
      </c>
      <c r="D1265" s="194">
        <v>2021.0</v>
      </c>
      <c r="E1265" s="193"/>
      <c r="F1265" s="195" t="s">
        <v>18464</v>
      </c>
      <c r="G1265" s="196">
        <v>1.0683417474E10</v>
      </c>
      <c r="H1265" s="197">
        <v>51.0</v>
      </c>
      <c r="I1265" s="7" t="s">
        <v>16815</v>
      </c>
      <c r="J1265" s="7" t="s">
        <v>16919</v>
      </c>
      <c r="K1265" s="7" t="s">
        <v>16920</v>
      </c>
      <c r="L1265" s="198" t="s">
        <v>65</v>
      </c>
      <c r="M1265" s="194"/>
      <c r="N1265" s="194"/>
    </row>
    <row r="1266">
      <c r="A1266" s="193" t="s">
        <v>18463</v>
      </c>
      <c r="B1266" s="7" t="s">
        <v>16920</v>
      </c>
      <c r="C1266" s="7" t="s">
        <v>16919</v>
      </c>
      <c r="D1266" s="194">
        <v>2021.0</v>
      </c>
      <c r="E1266" s="193"/>
      <c r="F1266" s="195" t="s">
        <v>18464</v>
      </c>
      <c r="G1266" s="200">
        <v>1.0683417474E10</v>
      </c>
      <c r="H1266" s="197">
        <v>51.0</v>
      </c>
      <c r="I1266" s="7" t="s">
        <v>16815</v>
      </c>
      <c r="J1266" s="7" t="s">
        <v>16920</v>
      </c>
      <c r="K1266" s="7" t="s">
        <v>16919</v>
      </c>
      <c r="L1266" s="201" t="s">
        <v>16835</v>
      </c>
      <c r="M1266" s="194"/>
      <c r="N1266" s="194"/>
    </row>
    <row r="1267">
      <c r="A1267" s="193" t="s">
        <v>18465</v>
      </c>
      <c r="B1267" s="7" t="s">
        <v>16582</v>
      </c>
      <c r="C1267" s="7" t="s">
        <v>16817</v>
      </c>
      <c r="D1267" s="194">
        <v>2016.0</v>
      </c>
      <c r="E1267" s="193"/>
      <c r="F1267" s="195" t="s">
        <v>18466</v>
      </c>
      <c r="G1267" s="196">
        <v>1.0656895507E10</v>
      </c>
      <c r="H1267" s="197">
        <v>58.84</v>
      </c>
      <c r="I1267" s="7" t="s">
        <v>16815</v>
      </c>
      <c r="J1267" s="7" t="s">
        <v>16582</v>
      </c>
      <c r="K1267" s="7" t="s">
        <v>16817</v>
      </c>
      <c r="L1267" s="198" t="s">
        <v>65</v>
      </c>
      <c r="M1267" s="194"/>
      <c r="N1267" s="194"/>
    </row>
    <row r="1268">
      <c r="A1268" s="193" t="s">
        <v>18465</v>
      </c>
      <c r="B1268" s="7" t="s">
        <v>16817</v>
      </c>
      <c r="C1268" s="7" t="s">
        <v>16582</v>
      </c>
      <c r="D1268" s="194">
        <v>2016.0</v>
      </c>
      <c r="E1268" s="193"/>
      <c r="F1268" s="195" t="s">
        <v>18466</v>
      </c>
      <c r="G1268" s="200">
        <v>1.0656895507E10</v>
      </c>
      <c r="H1268" s="197">
        <v>58.84</v>
      </c>
      <c r="I1268" s="7" t="s">
        <v>16815</v>
      </c>
      <c r="J1268" s="7" t="s">
        <v>16817</v>
      </c>
      <c r="K1268" s="7" t="s">
        <v>16582</v>
      </c>
      <c r="L1268" s="201" t="s">
        <v>16835</v>
      </c>
      <c r="M1268" s="194"/>
      <c r="N1268" s="194"/>
    </row>
    <row r="1269">
      <c r="A1269" s="193" t="s">
        <v>18467</v>
      </c>
      <c r="B1269" s="7" t="s">
        <v>16582</v>
      </c>
      <c r="C1269" s="7" t="s">
        <v>16828</v>
      </c>
      <c r="D1269" s="194">
        <v>2012.0</v>
      </c>
      <c r="E1269" s="193"/>
      <c r="F1269" s="195" t="s">
        <v>18468</v>
      </c>
      <c r="G1269" s="196">
        <v>1.0648263824E10</v>
      </c>
      <c r="H1269" s="197">
        <v>77.98</v>
      </c>
      <c r="I1269" s="7" t="s">
        <v>16815</v>
      </c>
      <c r="J1269" s="7" t="s">
        <v>16582</v>
      </c>
      <c r="K1269" s="7" t="s">
        <v>16828</v>
      </c>
      <c r="L1269" s="198" t="s">
        <v>65</v>
      </c>
      <c r="M1269" s="194"/>
      <c r="N1269" s="194"/>
    </row>
    <row r="1270">
      <c r="A1270" s="193" t="s">
        <v>18469</v>
      </c>
      <c r="B1270" s="7" t="s">
        <v>16919</v>
      </c>
      <c r="C1270" s="7" t="s">
        <v>110</v>
      </c>
      <c r="D1270" s="194">
        <v>2020.0</v>
      </c>
      <c r="E1270" s="193"/>
      <c r="F1270" s="195" t="s">
        <v>18470</v>
      </c>
      <c r="G1270" s="196">
        <v>1.0637068261E10</v>
      </c>
      <c r="H1270" s="197">
        <v>28.75</v>
      </c>
      <c r="I1270" s="7" t="s">
        <v>16815</v>
      </c>
      <c r="J1270" s="7" t="s">
        <v>16919</v>
      </c>
      <c r="K1270" s="7" t="s">
        <v>110</v>
      </c>
      <c r="L1270" s="198" t="s">
        <v>65</v>
      </c>
      <c r="M1270" s="194"/>
      <c r="N1270" s="194"/>
    </row>
    <row r="1271">
      <c r="A1271" s="193" t="s">
        <v>18469</v>
      </c>
      <c r="B1271" s="7" t="s">
        <v>110</v>
      </c>
      <c r="C1271" s="7" t="s">
        <v>16919</v>
      </c>
      <c r="D1271" s="194">
        <v>2020.0</v>
      </c>
      <c r="E1271" s="193"/>
      <c r="F1271" s="195" t="s">
        <v>18470</v>
      </c>
      <c r="G1271" s="200">
        <v>1.0637068261E10</v>
      </c>
      <c r="H1271" s="197">
        <v>28.75</v>
      </c>
      <c r="I1271" s="7" t="s">
        <v>16815</v>
      </c>
      <c r="J1271" s="7" t="s">
        <v>110</v>
      </c>
      <c r="K1271" s="7" t="s">
        <v>16919</v>
      </c>
      <c r="L1271" s="201" t="s">
        <v>16835</v>
      </c>
      <c r="M1271" s="194"/>
      <c r="N1271" s="194"/>
    </row>
    <row r="1272">
      <c r="A1272" s="193" t="s">
        <v>18471</v>
      </c>
      <c r="B1272" s="7" t="s">
        <v>187</v>
      </c>
      <c r="C1272" s="7" t="s">
        <v>16846</v>
      </c>
      <c r="D1272" s="194">
        <v>2020.0</v>
      </c>
      <c r="E1272" s="193"/>
      <c r="F1272" s="195" t="s">
        <v>18472</v>
      </c>
      <c r="G1272" s="196">
        <v>1.0635282273E10</v>
      </c>
      <c r="H1272" s="197">
        <v>64.43</v>
      </c>
      <c r="I1272" s="7" t="s">
        <v>16815</v>
      </c>
      <c r="J1272" s="7" t="s">
        <v>187</v>
      </c>
      <c r="K1272" s="7" t="s">
        <v>16846</v>
      </c>
      <c r="L1272" s="198" t="s">
        <v>65</v>
      </c>
      <c r="M1272" s="194"/>
      <c r="N1272" s="194"/>
    </row>
    <row r="1273">
      <c r="A1273" s="193" t="s">
        <v>18473</v>
      </c>
      <c r="B1273" s="7" t="s">
        <v>169</v>
      </c>
      <c r="C1273" s="7" t="s">
        <v>16899</v>
      </c>
      <c r="D1273" s="194">
        <v>1991.0</v>
      </c>
      <c r="E1273" s="193"/>
      <c r="F1273" s="195" t="s">
        <v>18474</v>
      </c>
      <c r="G1273" s="196">
        <v>1.0589323153E10</v>
      </c>
      <c r="H1273" s="197">
        <v>206.18</v>
      </c>
      <c r="I1273" s="7" t="s">
        <v>16815</v>
      </c>
      <c r="J1273" s="7" t="s">
        <v>169</v>
      </c>
      <c r="K1273" s="7" t="s">
        <v>16899</v>
      </c>
      <c r="L1273" s="198" t="s">
        <v>65</v>
      </c>
      <c r="M1273" s="194"/>
      <c r="N1273" s="194"/>
    </row>
    <row r="1274">
      <c r="A1274" s="193" t="s">
        <v>18475</v>
      </c>
      <c r="B1274" s="7" t="s">
        <v>17127</v>
      </c>
      <c r="C1274" s="7" t="s">
        <v>16838</v>
      </c>
      <c r="D1274" s="199"/>
      <c r="E1274" s="193"/>
      <c r="F1274" s="195" t="s">
        <v>18476</v>
      </c>
      <c r="G1274" s="200">
        <v>1.0553115654E10</v>
      </c>
      <c r="H1274" s="197">
        <v>38.96</v>
      </c>
      <c r="I1274" s="7" t="s">
        <v>16815</v>
      </c>
      <c r="J1274" s="7" t="s">
        <v>17127</v>
      </c>
      <c r="K1274" s="7" t="s">
        <v>16838</v>
      </c>
      <c r="L1274" s="201" t="s">
        <v>16835</v>
      </c>
      <c r="M1274" s="199"/>
      <c r="N1274" s="199"/>
    </row>
    <row r="1275">
      <c r="A1275" s="193" t="s">
        <v>18475</v>
      </c>
      <c r="B1275" s="7" t="s">
        <v>16838</v>
      </c>
      <c r="C1275" s="7" t="s">
        <v>17127</v>
      </c>
      <c r="D1275" s="199"/>
      <c r="E1275" s="193"/>
      <c r="F1275" s="195" t="s">
        <v>18476</v>
      </c>
      <c r="G1275" s="196">
        <v>1.0553115654E10</v>
      </c>
      <c r="H1275" s="197">
        <v>38.96</v>
      </c>
      <c r="I1275" s="7" t="s">
        <v>16815</v>
      </c>
      <c r="J1275" s="7" t="s">
        <v>16838</v>
      </c>
      <c r="K1275" s="7" t="s">
        <v>17127</v>
      </c>
      <c r="L1275" s="198" t="s">
        <v>65</v>
      </c>
      <c r="M1275" s="199"/>
      <c r="N1275" s="199"/>
    </row>
    <row r="1276">
      <c r="A1276" s="193" t="s">
        <v>18477</v>
      </c>
      <c r="B1276" s="7" t="s">
        <v>187</v>
      </c>
      <c r="C1276" s="7" t="s">
        <v>16858</v>
      </c>
      <c r="D1276" s="194">
        <v>1996.0</v>
      </c>
      <c r="E1276" s="193"/>
      <c r="F1276" s="195" t="s">
        <v>18478</v>
      </c>
      <c r="G1276" s="196">
        <v>1.0529658588E10</v>
      </c>
      <c r="H1276" s="197">
        <v>107.17</v>
      </c>
      <c r="I1276" s="7" t="s">
        <v>16815</v>
      </c>
      <c r="J1276" s="7" t="s">
        <v>187</v>
      </c>
      <c r="K1276" s="7" t="s">
        <v>16858</v>
      </c>
      <c r="L1276" s="198" t="s">
        <v>65</v>
      </c>
      <c r="M1276" s="194"/>
      <c r="N1276" s="194"/>
    </row>
    <row r="1277">
      <c r="A1277" s="193" t="s">
        <v>18479</v>
      </c>
      <c r="B1277" s="7" t="s">
        <v>16838</v>
      </c>
      <c r="C1277" s="7" t="s">
        <v>17002</v>
      </c>
      <c r="D1277" s="199"/>
      <c r="E1277" s="193"/>
      <c r="F1277" s="195" t="s">
        <v>18480</v>
      </c>
      <c r="G1277" s="196">
        <v>1.0525979861E10</v>
      </c>
      <c r="H1277" s="197">
        <v>20.84</v>
      </c>
      <c r="I1277" s="7" t="s">
        <v>16924</v>
      </c>
      <c r="J1277" s="7" t="s">
        <v>16838</v>
      </c>
      <c r="K1277" s="7" t="s">
        <v>17002</v>
      </c>
      <c r="L1277" s="198" t="s">
        <v>65</v>
      </c>
      <c r="M1277" s="199"/>
      <c r="N1277" s="199"/>
    </row>
    <row r="1278">
      <c r="A1278" s="193" t="s">
        <v>18479</v>
      </c>
      <c r="B1278" s="7" t="s">
        <v>17002</v>
      </c>
      <c r="C1278" s="7" t="s">
        <v>16838</v>
      </c>
      <c r="D1278" s="199"/>
      <c r="E1278" s="193"/>
      <c r="F1278" s="195" t="s">
        <v>18480</v>
      </c>
      <c r="G1278" s="200">
        <v>1.0525979861E10</v>
      </c>
      <c r="H1278" s="197">
        <v>20.84</v>
      </c>
      <c r="I1278" s="7" t="s">
        <v>16815</v>
      </c>
      <c r="J1278" s="7" t="s">
        <v>17002</v>
      </c>
      <c r="K1278" s="7" t="s">
        <v>16838</v>
      </c>
      <c r="L1278" s="201" t="s">
        <v>16835</v>
      </c>
      <c r="M1278" s="199"/>
      <c r="N1278" s="199"/>
    </row>
    <row r="1279">
      <c r="A1279" s="193" t="s">
        <v>18481</v>
      </c>
      <c r="B1279" s="7" t="s">
        <v>16919</v>
      </c>
      <c r="C1279" s="7" t="s">
        <v>17048</v>
      </c>
      <c r="D1279" s="199"/>
      <c r="E1279" s="193"/>
      <c r="F1279" s="195" t="s">
        <v>18482</v>
      </c>
      <c r="G1279" s="196">
        <v>1.051317585E10</v>
      </c>
      <c r="H1279" s="197">
        <v>15.7</v>
      </c>
      <c r="I1279" s="7" t="s">
        <v>16815</v>
      </c>
      <c r="J1279" s="7" t="s">
        <v>16919</v>
      </c>
      <c r="K1279" s="7" t="s">
        <v>17048</v>
      </c>
      <c r="L1279" s="198" t="s">
        <v>65</v>
      </c>
      <c r="M1279" s="199"/>
      <c r="N1279" s="199"/>
    </row>
    <row r="1280">
      <c r="A1280" s="193" t="s">
        <v>18481</v>
      </c>
      <c r="B1280" s="7" t="s">
        <v>17048</v>
      </c>
      <c r="C1280" s="7" t="s">
        <v>16919</v>
      </c>
      <c r="D1280" s="199"/>
      <c r="E1280" s="193"/>
      <c r="F1280" s="195" t="s">
        <v>18482</v>
      </c>
      <c r="G1280" s="200">
        <v>1.051317585E10</v>
      </c>
      <c r="H1280" s="197">
        <v>15.7</v>
      </c>
      <c r="I1280" s="7" t="s">
        <v>16815</v>
      </c>
      <c r="J1280" s="7" t="s">
        <v>17048</v>
      </c>
      <c r="K1280" s="7" t="s">
        <v>16919</v>
      </c>
      <c r="L1280" s="201" t="s">
        <v>16835</v>
      </c>
      <c r="M1280" s="199"/>
      <c r="N1280" s="199"/>
    </row>
    <row r="1281">
      <c r="A1281" s="193" t="s">
        <v>18483</v>
      </c>
      <c r="B1281" s="7" t="s">
        <v>169</v>
      </c>
      <c r="C1281" s="7" t="s">
        <v>17043</v>
      </c>
      <c r="D1281" s="199"/>
      <c r="E1281" s="193"/>
      <c r="F1281" s="195" t="s">
        <v>18484</v>
      </c>
      <c r="G1281" s="196">
        <v>1.0510859217E10</v>
      </c>
      <c r="H1281" s="197">
        <v>395.92</v>
      </c>
      <c r="I1281" s="7" t="s">
        <v>16815</v>
      </c>
      <c r="J1281" s="7" t="s">
        <v>169</v>
      </c>
      <c r="K1281" s="7" t="s">
        <v>17043</v>
      </c>
      <c r="L1281" s="198" t="s">
        <v>65</v>
      </c>
      <c r="M1281" s="199"/>
      <c r="N1281" s="199"/>
    </row>
    <row r="1282">
      <c r="A1282" s="193" t="s">
        <v>18485</v>
      </c>
      <c r="B1282" s="7" t="s">
        <v>175</v>
      </c>
      <c r="C1282" s="7" t="s">
        <v>17606</v>
      </c>
      <c r="D1282" s="194">
        <v>2016.0</v>
      </c>
      <c r="E1282" s="193"/>
      <c r="F1282" s="195" t="s">
        <v>18486</v>
      </c>
      <c r="G1282" s="196">
        <v>1.0493359863E10</v>
      </c>
      <c r="H1282" s="197">
        <v>42.5</v>
      </c>
      <c r="I1282" s="7" t="s">
        <v>16856</v>
      </c>
      <c r="J1282" s="7" t="s">
        <v>175</v>
      </c>
      <c r="K1282" s="7" t="s">
        <v>17606</v>
      </c>
      <c r="L1282" s="198" t="s">
        <v>65</v>
      </c>
      <c r="M1282" s="194"/>
      <c r="N1282" s="194"/>
    </row>
    <row r="1283">
      <c r="A1283" s="193" t="s">
        <v>18485</v>
      </c>
      <c r="B1283" s="7" t="s">
        <v>17606</v>
      </c>
      <c r="C1283" s="7" t="s">
        <v>175</v>
      </c>
      <c r="D1283" s="194">
        <v>2016.0</v>
      </c>
      <c r="E1283" s="193"/>
      <c r="F1283" s="195" t="s">
        <v>18486</v>
      </c>
      <c r="G1283" s="200">
        <v>1.0493359863E10</v>
      </c>
      <c r="H1283" s="197">
        <v>42.5</v>
      </c>
      <c r="I1283" s="7" t="s">
        <v>16815</v>
      </c>
      <c r="J1283" s="7" t="s">
        <v>17606</v>
      </c>
      <c r="K1283" s="7" t="s">
        <v>175</v>
      </c>
      <c r="L1283" s="201" t="s">
        <v>16835</v>
      </c>
      <c r="M1283" s="194"/>
      <c r="N1283" s="194"/>
    </row>
    <row r="1284">
      <c r="A1284" s="193" t="s">
        <v>18487</v>
      </c>
      <c r="B1284" s="7" t="s">
        <v>187</v>
      </c>
      <c r="C1284" s="7" t="s">
        <v>16846</v>
      </c>
      <c r="D1284" s="194">
        <v>1999.0</v>
      </c>
      <c r="E1284" s="193"/>
      <c r="F1284" s="195" t="s">
        <v>18488</v>
      </c>
      <c r="G1284" s="196">
        <v>1.0472054047E10</v>
      </c>
      <c r="H1284" s="197">
        <v>222.84</v>
      </c>
      <c r="I1284" s="7" t="s">
        <v>16815</v>
      </c>
      <c r="J1284" s="7" t="s">
        <v>187</v>
      </c>
      <c r="K1284" s="7" t="s">
        <v>16846</v>
      </c>
      <c r="L1284" s="198" t="s">
        <v>65</v>
      </c>
      <c r="M1284" s="194"/>
      <c r="N1284" s="194"/>
    </row>
    <row r="1285">
      <c r="A1285" s="193" t="s">
        <v>18489</v>
      </c>
      <c r="B1285" s="7" t="s">
        <v>169</v>
      </c>
      <c r="C1285" s="7" t="s">
        <v>17827</v>
      </c>
      <c r="D1285" s="199"/>
      <c r="E1285" s="193"/>
      <c r="F1285" s="195" t="s">
        <v>18490</v>
      </c>
      <c r="G1285" s="196">
        <v>1.0426681763E10</v>
      </c>
      <c r="H1285" s="197">
        <v>84.49</v>
      </c>
      <c r="I1285" s="7" t="s">
        <v>16815</v>
      </c>
      <c r="J1285" s="7" t="s">
        <v>169</v>
      </c>
      <c r="K1285" s="7" t="s">
        <v>17827</v>
      </c>
      <c r="L1285" s="198" t="s">
        <v>65</v>
      </c>
      <c r="M1285" s="199"/>
      <c r="N1285" s="199"/>
    </row>
    <row r="1286">
      <c r="A1286" s="193" t="s">
        <v>18489</v>
      </c>
      <c r="B1286" s="7" t="s">
        <v>17827</v>
      </c>
      <c r="C1286" s="7" t="s">
        <v>169</v>
      </c>
      <c r="D1286" s="199"/>
      <c r="E1286" s="193"/>
      <c r="F1286" s="195" t="s">
        <v>18490</v>
      </c>
      <c r="G1286" s="200">
        <v>1.0426681763E10</v>
      </c>
      <c r="H1286" s="197">
        <v>84.49</v>
      </c>
      <c r="I1286" s="7" t="s">
        <v>16815</v>
      </c>
      <c r="J1286" s="7" t="s">
        <v>17827</v>
      </c>
      <c r="K1286" s="7" t="s">
        <v>169</v>
      </c>
      <c r="L1286" s="201" t="s">
        <v>16835</v>
      </c>
      <c r="M1286" s="199"/>
      <c r="N1286" s="199"/>
    </row>
    <row r="1287">
      <c r="A1287" s="193" t="s">
        <v>18491</v>
      </c>
      <c r="B1287" s="7" t="s">
        <v>169</v>
      </c>
      <c r="C1287" s="7" t="s">
        <v>16899</v>
      </c>
      <c r="D1287" s="194">
        <v>1990.0</v>
      </c>
      <c r="E1287" s="193"/>
      <c r="F1287" s="195" t="s">
        <v>18492</v>
      </c>
      <c r="G1287" s="196">
        <v>1.0410922595E10</v>
      </c>
      <c r="H1287" s="197">
        <v>41.85</v>
      </c>
      <c r="I1287" s="7" t="s">
        <v>16815</v>
      </c>
      <c r="J1287" s="7" t="s">
        <v>169</v>
      </c>
      <c r="K1287" s="7" t="s">
        <v>16899</v>
      </c>
      <c r="L1287" s="198" t="s">
        <v>65</v>
      </c>
      <c r="M1287" s="194"/>
      <c r="N1287" s="194"/>
    </row>
    <row r="1288">
      <c r="A1288" s="193" t="s">
        <v>18493</v>
      </c>
      <c r="B1288" s="7" t="s">
        <v>16919</v>
      </c>
      <c r="C1288" s="7" t="s">
        <v>16920</v>
      </c>
      <c r="D1288" s="194">
        <v>2012.0</v>
      </c>
      <c r="E1288" s="193"/>
      <c r="F1288" s="195" t="s">
        <v>18494</v>
      </c>
      <c r="G1288" s="196">
        <v>1.0383567856E10</v>
      </c>
      <c r="H1288" s="197">
        <v>27.36</v>
      </c>
      <c r="I1288" s="7" t="s">
        <v>16815</v>
      </c>
      <c r="J1288" s="7" t="s">
        <v>16919</v>
      </c>
      <c r="K1288" s="7" t="s">
        <v>16920</v>
      </c>
      <c r="L1288" s="198" t="s">
        <v>65</v>
      </c>
      <c r="M1288" s="194"/>
      <c r="N1288" s="194"/>
    </row>
    <row r="1289">
      <c r="A1289" s="193" t="s">
        <v>18493</v>
      </c>
      <c r="B1289" s="7" t="s">
        <v>16920</v>
      </c>
      <c r="C1289" s="7" t="s">
        <v>16919</v>
      </c>
      <c r="D1289" s="194">
        <v>2012.0</v>
      </c>
      <c r="E1289" s="193"/>
      <c r="F1289" s="195" t="s">
        <v>18494</v>
      </c>
      <c r="G1289" s="200">
        <v>1.0383567856E10</v>
      </c>
      <c r="H1289" s="197">
        <v>27.36</v>
      </c>
      <c r="I1289" s="7" t="s">
        <v>16815</v>
      </c>
      <c r="J1289" s="7" t="s">
        <v>16920</v>
      </c>
      <c r="K1289" s="7" t="s">
        <v>16919</v>
      </c>
      <c r="L1289" s="201" t="s">
        <v>16835</v>
      </c>
      <c r="M1289" s="194"/>
      <c r="N1289" s="194"/>
    </row>
    <row r="1290">
      <c r="A1290" s="193" t="s">
        <v>18495</v>
      </c>
      <c r="B1290" s="7" t="s">
        <v>158</v>
      </c>
      <c r="C1290" s="7" t="s">
        <v>16864</v>
      </c>
      <c r="D1290" s="199"/>
      <c r="E1290" s="193"/>
      <c r="F1290" s="195" t="s">
        <v>18496</v>
      </c>
      <c r="G1290" s="196">
        <v>1.0366502433E10</v>
      </c>
      <c r="H1290" s="197">
        <v>79.09</v>
      </c>
      <c r="I1290" s="7" t="s">
        <v>17095</v>
      </c>
      <c r="J1290" s="7" t="s">
        <v>158</v>
      </c>
      <c r="K1290" s="7" t="s">
        <v>16864</v>
      </c>
      <c r="L1290" s="198" t="s">
        <v>65</v>
      </c>
      <c r="M1290" s="199"/>
      <c r="N1290" s="199"/>
    </row>
    <row r="1291">
      <c r="A1291" s="193" t="s">
        <v>18497</v>
      </c>
      <c r="B1291" s="7" t="s">
        <v>16582</v>
      </c>
      <c r="C1291" s="7" t="s">
        <v>17435</v>
      </c>
      <c r="D1291" s="194">
        <v>2020.0</v>
      </c>
      <c r="E1291" s="193"/>
      <c r="F1291" s="195" t="s">
        <v>18498</v>
      </c>
      <c r="G1291" s="196">
        <v>1.0357182375E10</v>
      </c>
      <c r="H1291" s="197">
        <v>27.01</v>
      </c>
      <c r="I1291" s="7" t="s">
        <v>16815</v>
      </c>
      <c r="J1291" s="7" t="s">
        <v>16582</v>
      </c>
      <c r="K1291" s="7" t="s">
        <v>17435</v>
      </c>
      <c r="L1291" s="198" t="s">
        <v>65</v>
      </c>
      <c r="M1291" s="194"/>
      <c r="N1291" s="194"/>
    </row>
    <row r="1292">
      <c r="A1292" s="193" t="s">
        <v>18497</v>
      </c>
      <c r="B1292" s="7" t="s">
        <v>17435</v>
      </c>
      <c r="C1292" s="7" t="s">
        <v>16582</v>
      </c>
      <c r="D1292" s="194">
        <v>2020.0</v>
      </c>
      <c r="E1292" s="193"/>
      <c r="F1292" s="195" t="s">
        <v>18498</v>
      </c>
      <c r="G1292" s="200">
        <v>1.0357182375E10</v>
      </c>
      <c r="H1292" s="197">
        <v>27.01</v>
      </c>
      <c r="I1292" s="7" t="s">
        <v>16815</v>
      </c>
      <c r="J1292" s="7" t="s">
        <v>17435</v>
      </c>
      <c r="K1292" s="7" t="s">
        <v>16582</v>
      </c>
      <c r="L1292" s="201" t="s">
        <v>16835</v>
      </c>
      <c r="M1292" s="194"/>
      <c r="N1292" s="194"/>
    </row>
    <row r="1293">
      <c r="A1293" s="193" t="s">
        <v>18499</v>
      </c>
      <c r="B1293" s="7" t="s">
        <v>175</v>
      </c>
      <c r="C1293" s="7" t="s">
        <v>18500</v>
      </c>
      <c r="D1293" s="194">
        <v>2022.0</v>
      </c>
      <c r="E1293" s="193"/>
      <c r="F1293" s="195" t="s">
        <v>18501</v>
      </c>
      <c r="G1293" s="196">
        <v>1.034310817E10</v>
      </c>
      <c r="H1293" s="197">
        <v>52.75</v>
      </c>
      <c r="I1293" s="7" t="s">
        <v>16844</v>
      </c>
      <c r="J1293" s="7" t="s">
        <v>175</v>
      </c>
      <c r="K1293" s="7" t="s">
        <v>18500</v>
      </c>
      <c r="L1293" s="198" t="s">
        <v>65</v>
      </c>
      <c r="M1293" s="194"/>
      <c r="N1293" s="194"/>
    </row>
    <row r="1294">
      <c r="A1294" s="193" t="s">
        <v>18499</v>
      </c>
      <c r="B1294" s="7" t="s">
        <v>18500</v>
      </c>
      <c r="C1294" s="7" t="s">
        <v>175</v>
      </c>
      <c r="D1294" s="194">
        <v>2022.0</v>
      </c>
      <c r="E1294" s="193"/>
      <c r="F1294" s="195" t="s">
        <v>18501</v>
      </c>
      <c r="G1294" s="200">
        <v>1.034310817E10</v>
      </c>
      <c r="H1294" s="197">
        <v>52.75</v>
      </c>
      <c r="I1294" s="7" t="s">
        <v>16815</v>
      </c>
      <c r="J1294" s="7" t="s">
        <v>18500</v>
      </c>
      <c r="K1294" s="7" t="s">
        <v>175</v>
      </c>
      <c r="L1294" s="201" t="s">
        <v>16835</v>
      </c>
      <c r="M1294" s="194"/>
      <c r="N1294" s="194"/>
    </row>
    <row r="1295">
      <c r="A1295" s="193" t="s">
        <v>18502</v>
      </c>
      <c r="B1295" s="7" t="s">
        <v>16919</v>
      </c>
      <c r="C1295" s="7" t="s">
        <v>17176</v>
      </c>
      <c r="D1295" s="199"/>
      <c r="E1295" s="193"/>
      <c r="F1295" s="195" t="s">
        <v>18503</v>
      </c>
      <c r="G1295" s="196">
        <v>1.0335386025E10</v>
      </c>
      <c r="H1295" s="197">
        <v>25.0</v>
      </c>
      <c r="I1295" s="7" t="s">
        <v>16815</v>
      </c>
      <c r="J1295" s="7" t="s">
        <v>16919</v>
      </c>
      <c r="K1295" s="7" t="s">
        <v>17176</v>
      </c>
      <c r="L1295" s="198" t="s">
        <v>65</v>
      </c>
      <c r="M1295" s="199"/>
      <c r="N1295" s="199"/>
    </row>
    <row r="1296">
      <c r="A1296" s="193" t="s">
        <v>18502</v>
      </c>
      <c r="B1296" s="7" t="s">
        <v>17176</v>
      </c>
      <c r="C1296" s="7" t="s">
        <v>16919</v>
      </c>
      <c r="D1296" s="199"/>
      <c r="E1296" s="193"/>
      <c r="F1296" s="195" t="s">
        <v>18503</v>
      </c>
      <c r="G1296" s="200">
        <v>1.0335386025E10</v>
      </c>
      <c r="H1296" s="197">
        <v>25.0</v>
      </c>
      <c r="I1296" s="7" t="s">
        <v>16815</v>
      </c>
      <c r="J1296" s="7" t="s">
        <v>17176</v>
      </c>
      <c r="K1296" s="7" t="s">
        <v>16919</v>
      </c>
      <c r="L1296" s="201" t="s">
        <v>16835</v>
      </c>
      <c r="M1296" s="199"/>
      <c r="N1296" s="199"/>
    </row>
    <row r="1297">
      <c r="A1297" s="193" t="s">
        <v>18504</v>
      </c>
      <c r="B1297" s="7" t="s">
        <v>16582</v>
      </c>
      <c r="C1297" s="7" t="s">
        <v>16817</v>
      </c>
      <c r="D1297" s="194">
        <v>2014.0</v>
      </c>
      <c r="E1297" s="193"/>
      <c r="F1297" s="195" t="s">
        <v>18505</v>
      </c>
      <c r="G1297" s="196">
        <v>1.0308652721E10</v>
      </c>
      <c r="H1297" s="197">
        <v>171.16</v>
      </c>
      <c r="I1297" s="7" t="s">
        <v>16815</v>
      </c>
      <c r="J1297" s="7" t="s">
        <v>16582</v>
      </c>
      <c r="K1297" s="7" t="s">
        <v>16817</v>
      </c>
      <c r="L1297" s="198" t="s">
        <v>65</v>
      </c>
      <c r="M1297" s="194"/>
      <c r="N1297" s="194"/>
    </row>
    <row r="1298">
      <c r="A1298" s="193" t="s">
        <v>18504</v>
      </c>
      <c r="B1298" s="7" t="s">
        <v>16817</v>
      </c>
      <c r="C1298" s="7" t="s">
        <v>16582</v>
      </c>
      <c r="D1298" s="194">
        <v>2014.0</v>
      </c>
      <c r="E1298" s="193"/>
      <c r="F1298" s="195" t="s">
        <v>18505</v>
      </c>
      <c r="G1298" s="200">
        <v>1.0308652721E10</v>
      </c>
      <c r="H1298" s="197">
        <v>171.16</v>
      </c>
      <c r="I1298" s="7" t="s">
        <v>16815</v>
      </c>
      <c r="J1298" s="7" t="s">
        <v>16817</v>
      </c>
      <c r="K1298" s="7" t="s">
        <v>16582</v>
      </c>
      <c r="L1298" s="201" t="s">
        <v>16835</v>
      </c>
      <c r="M1298" s="194"/>
      <c r="N1298" s="194"/>
    </row>
    <row r="1299">
      <c r="A1299" s="193" t="s">
        <v>18506</v>
      </c>
      <c r="B1299" s="7" t="s">
        <v>158</v>
      </c>
      <c r="C1299" s="7" t="s">
        <v>16864</v>
      </c>
      <c r="D1299" s="199"/>
      <c r="E1299" s="193"/>
      <c r="F1299" s="195" t="s">
        <v>18507</v>
      </c>
      <c r="G1299" s="196">
        <v>1.0298344875E10</v>
      </c>
      <c r="H1299" s="197">
        <v>78.57</v>
      </c>
      <c r="I1299" s="7" t="s">
        <v>17095</v>
      </c>
      <c r="J1299" s="7" t="s">
        <v>158</v>
      </c>
      <c r="K1299" s="7" t="s">
        <v>16864</v>
      </c>
      <c r="L1299" s="198" t="s">
        <v>65</v>
      </c>
      <c r="M1299" s="199"/>
      <c r="N1299" s="199"/>
    </row>
    <row r="1300">
      <c r="A1300" s="193" t="s">
        <v>18508</v>
      </c>
      <c r="B1300" s="7" t="s">
        <v>16919</v>
      </c>
      <c r="C1300" s="7" t="s">
        <v>17048</v>
      </c>
      <c r="D1300" s="199"/>
      <c r="E1300" s="193"/>
      <c r="F1300" s="195" t="s">
        <v>18509</v>
      </c>
      <c r="G1300" s="196">
        <v>1.028357006E10</v>
      </c>
      <c r="H1300" s="197">
        <v>45.55</v>
      </c>
      <c r="I1300" s="7" t="s">
        <v>16815</v>
      </c>
      <c r="J1300" s="7" t="s">
        <v>16919</v>
      </c>
      <c r="K1300" s="7" t="s">
        <v>17048</v>
      </c>
      <c r="L1300" s="198" t="s">
        <v>65</v>
      </c>
      <c r="M1300" s="199"/>
      <c r="N1300" s="199"/>
    </row>
    <row r="1301">
      <c r="A1301" s="193" t="s">
        <v>18508</v>
      </c>
      <c r="B1301" s="7" t="s">
        <v>17048</v>
      </c>
      <c r="C1301" s="7" t="s">
        <v>16919</v>
      </c>
      <c r="D1301" s="199"/>
      <c r="E1301" s="193"/>
      <c r="F1301" s="195" t="s">
        <v>18509</v>
      </c>
      <c r="G1301" s="200">
        <v>1.028357006E10</v>
      </c>
      <c r="H1301" s="197">
        <v>45.55</v>
      </c>
      <c r="I1301" s="7" t="s">
        <v>16815</v>
      </c>
      <c r="J1301" s="7" t="s">
        <v>17048</v>
      </c>
      <c r="K1301" s="7" t="s">
        <v>16919</v>
      </c>
      <c r="L1301" s="201" t="s">
        <v>16835</v>
      </c>
      <c r="M1301" s="199"/>
      <c r="N1301" s="199"/>
    </row>
    <row r="1302">
      <c r="A1302" s="193" t="s">
        <v>18510</v>
      </c>
      <c r="B1302" s="7" t="s">
        <v>175</v>
      </c>
      <c r="C1302" s="7" t="s">
        <v>17394</v>
      </c>
      <c r="D1302" s="194">
        <v>1983.0</v>
      </c>
      <c r="E1302" s="193"/>
      <c r="F1302" s="195" t="s">
        <v>18511</v>
      </c>
      <c r="G1302" s="196">
        <v>1.0282982871E10</v>
      </c>
      <c r="H1302" s="197">
        <v>275.93</v>
      </c>
      <c r="I1302" s="7" t="s">
        <v>16908</v>
      </c>
      <c r="J1302" s="7" t="s">
        <v>175</v>
      </c>
      <c r="K1302" s="7" t="s">
        <v>17394</v>
      </c>
      <c r="L1302" s="198" t="s">
        <v>65</v>
      </c>
      <c r="M1302" s="194"/>
      <c r="N1302" s="194"/>
    </row>
    <row r="1303">
      <c r="A1303" s="193" t="s">
        <v>18512</v>
      </c>
      <c r="B1303" s="7" t="s">
        <v>158</v>
      </c>
      <c r="C1303" s="7" t="s">
        <v>16864</v>
      </c>
      <c r="D1303" s="194">
        <v>2022.0</v>
      </c>
      <c r="E1303" s="193"/>
      <c r="F1303" s="195" t="s">
        <v>18513</v>
      </c>
      <c r="G1303" s="196">
        <v>1.0267885741E10</v>
      </c>
      <c r="H1303" s="197">
        <v>13.27</v>
      </c>
      <c r="I1303" s="7" t="s">
        <v>17316</v>
      </c>
      <c r="J1303" s="7" t="s">
        <v>158</v>
      </c>
      <c r="K1303" s="7" t="s">
        <v>16864</v>
      </c>
      <c r="L1303" s="198" t="s">
        <v>65</v>
      </c>
      <c r="M1303" s="194"/>
      <c r="N1303" s="194"/>
    </row>
    <row r="1304">
      <c r="A1304" s="193" t="s">
        <v>18512</v>
      </c>
      <c r="B1304" s="7" t="s">
        <v>16864</v>
      </c>
      <c r="C1304" s="7" t="s">
        <v>158</v>
      </c>
      <c r="D1304" s="194">
        <v>2022.0</v>
      </c>
      <c r="E1304" s="193"/>
      <c r="F1304" s="195" t="s">
        <v>18513</v>
      </c>
      <c r="G1304" s="200">
        <v>1.0267885741E10</v>
      </c>
      <c r="H1304" s="197">
        <v>13.27</v>
      </c>
      <c r="I1304" s="7" t="s">
        <v>16815</v>
      </c>
      <c r="J1304" s="7" t="s">
        <v>16864</v>
      </c>
      <c r="K1304" s="7" t="s">
        <v>158</v>
      </c>
      <c r="L1304" s="201" t="s">
        <v>16835</v>
      </c>
      <c r="M1304" s="194"/>
      <c r="N1304" s="194"/>
    </row>
    <row r="1305">
      <c r="A1305" s="193" t="s">
        <v>18514</v>
      </c>
      <c r="B1305" s="7" t="s">
        <v>16919</v>
      </c>
      <c r="C1305" s="7" t="s">
        <v>17048</v>
      </c>
      <c r="D1305" s="199"/>
      <c r="E1305" s="193"/>
      <c r="F1305" s="195" t="s">
        <v>18515</v>
      </c>
      <c r="G1305" s="196">
        <v>1.0256700211E10</v>
      </c>
      <c r="H1305" s="197">
        <v>21.91</v>
      </c>
      <c r="I1305" s="7" t="s">
        <v>16815</v>
      </c>
      <c r="J1305" s="7" t="s">
        <v>16919</v>
      </c>
      <c r="K1305" s="7" t="s">
        <v>17048</v>
      </c>
      <c r="L1305" s="198" t="s">
        <v>65</v>
      </c>
      <c r="M1305" s="199"/>
      <c r="N1305" s="199"/>
    </row>
    <row r="1306">
      <c r="A1306" s="193" t="s">
        <v>18514</v>
      </c>
      <c r="B1306" s="7" t="s">
        <v>17048</v>
      </c>
      <c r="C1306" s="7" t="s">
        <v>16919</v>
      </c>
      <c r="D1306" s="199"/>
      <c r="E1306" s="193"/>
      <c r="F1306" s="195" t="s">
        <v>18515</v>
      </c>
      <c r="G1306" s="200">
        <v>1.0256700211E10</v>
      </c>
      <c r="H1306" s="197">
        <v>21.91</v>
      </c>
      <c r="I1306" s="7" t="s">
        <v>16815</v>
      </c>
      <c r="J1306" s="7" t="s">
        <v>17048</v>
      </c>
      <c r="K1306" s="7" t="s">
        <v>16919</v>
      </c>
      <c r="L1306" s="201" t="s">
        <v>16835</v>
      </c>
      <c r="M1306" s="199"/>
      <c r="N1306" s="199"/>
    </row>
    <row r="1307">
      <c r="A1307" s="193" t="s">
        <v>18516</v>
      </c>
      <c r="B1307" s="7" t="s">
        <v>16867</v>
      </c>
      <c r="C1307" s="7" t="s">
        <v>16838</v>
      </c>
      <c r="D1307" s="199"/>
      <c r="E1307" s="193"/>
      <c r="F1307" s="195" t="s">
        <v>18517</v>
      </c>
      <c r="G1307" s="200">
        <v>1.0252049858E10</v>
      </c>
      <c r="H1307" s="197">
        <v>10.95</v>
      </c>
      <c r="I1307" s="7" t="s">
        <v>16815</v>
      </c>
      <c r="J1307" s="7" t="s">
        <v>16867</v>
      </c>
      <c r="K1307" s="7" t="s">
        <v>16838</v>
      </c>
      <c r="L1307" s="201" t="s">
        <v>16835</v>
      </c>
      <c r="M1307" s="199"/>
      <c r="N1307" s="199"/>
    </row>
    <row r="1308">
      <c r="A1308" s="193" t="s">
        <v>18516</v>
      </c>
      <c r="B1308" s="7" t="s">
        <v>16838</v>
      </c>
      <c r="C1308" s="7" t="s">
        <v>16867</v>
      </c>
      <c r="D1308" s="199"/>
      <c r="E1308" s="193"/>
      <c r="F1308" s="195" t="s">
        <v>18517</v>
      </c>
      <c r="G1308" s="196">
        <v>1.0252049858E10</v>
      </c>
      <c r="H1308" s="197">
        <v>10.95</v>
      </c>
      <c r="I1308" s="7" t="s">
        <v>16815</v>
      </c>
      <c r="J1308" s="7" t="s">
        <v>16838</v>
      </c>
      <c r="K1308" s="7" t="s">
        <v>16867</v>
      </c>
      <c r="L1308" s="198" t="s">
        <v>65</v>
      </c>
      <c r="M1308" s="199"/>
      <c r="N1308" s="199"/>
    </row>
    <row r="1309">
      <c r="A1309" s="193" t="s">
        <v>18518</v>
      </c>
      <c r="B1309" s="7" t="s">
        <v>169</v>
      </c>
      <c r="C1309" s="7" t="s">
        <v>17619</v>
      </c>
      <c r="D1309" s="199"/>
      <c r="E1309" s="193"/>
      <c r="F1309" s="195" t="s">
        <v>18519</v>
      </c>
      <c r="G1309" s="196">
        <v>1.0214052164E10</v>
      </c>
      <c r="H1309" s="197">
        <v>15.68</v>
      </c>
      <c r="I1309" s="7" t="s">
        <v>16815</v>
      </c>
      <c r="J1309" s="7" t="s">
        <v>169</v>
      </c>
      <c r="K1309" s="7" t="s">
        <v>17619</v>
      </c>
      <c r="L1309" s="198" t="s">
        <v>65</v>
      </c>
      <c r="M1309" s="199"/>
      <c r="N1309" s="199"/>
    </row>
    <row r="1310">
      <c r="A1310" s="193" t="s">
        <v>18520</v>
      </c>
      <c r="B1310" s="7" t="s">
        <v>17016</v>
      </c>
      <c r="C1310" s="7" t="s">
        <v>16838</v>
      </c>
      <c r="D1310" s="194">
        <v>2015.0</v>
      </c>
      <c r="E1310" s="193"/>
      <c r="F1310" s="195" t="s">
        <v>18521</v>
      </c>
      <c r="G1310" s="200">
        <v>1.0209927E10</v>
      </c>
      <c r="H1310" s="197">
        <v>52.71</v>
      </c>
      <c r="I1310" s="7" t="s">
        <v>16815</v>
      </c>
      <c r="J1310" s="7" t="s">
        <v>17016</v>
      </c>
      <c r="K1310" s="7" t="s">
        <v>16838</v>
      </c>
      <c r="L1310" s="201" t="s">
        <v>16835</v>
      </c>
      <c r="M1310" s="194"/>
      <c r="N1310" s="194"/>
    </row>
    <row r="1311">
      <c r="A1311" s="193" t="s">
        <v>18520</v>
      </c>
      <c r="B1311" s="7" t="s">
        <v>16838</v>
      </c>
      <c r="C1311" s="7" t="s">
        <v>17016</v>
      </c>
      <c r="D1311" s="194">
        <v>2015.0</v>
      </c>
      <c r="E1311" s="193"/>
      <c r="F1311" s="195" t="s">
        <v>18521</v>
      </c>
      <c r="G1311" s="196">
        <v>1.0209927E10</v>
      </c>
      <c r="H1311" s="197">
        <v>52.71</v>
      </c>
      <c r="I1311" s="7" t="s">
        <v>16815</v>
      </c>
      <c r="J1311" s="7" t="s">
        <v>16838</v>
      </c>
      <c r="K1311" s="7" t="s">
        <v>17016</v>
      </c>
      <c r="L1311" s="198" t="s">
        <v>65</v>
      </c>
      <c r="M1311" s="194"/>
      <c r="N1311" s="194"/>
    </row>
    <row r="1312">
      <c r="A1312" s="193" t="s">
        <v>18522</v>
      </c>
      <c r="B1312" s="7" t="s">
        <v>169</v>
      </c>
      <c r="C1312" s="7" t="s">
        <v>17442</v>
      </c>
      <c r="D1312" s="199"/>
      <c r="E1312" s="193"/>
      <c r="F1312" s="195" t="s">
        <v>18523</v>
      </c>
      <c r="G1312" s="196">
        <v>1.0209789828E10</v>
      </c>
      <c r="H1312" s="197">
        <v>6.94</v>
      </c>
      <c r="I1312" s="7" t="s">
        <v>16815</v>
      </c>
      <c r="J1312" s="7" t="s">
        <v>169</v>
      </c>
      <c r="K1312" s="7" t="s">
        <v>17442</v>
      </c>
      <c r="L1312" s="198" t="s">
        <v>65</v>
      </c>
      <c r="M1312" s="199"/>
      <c r="N1312" s="199"/>
    </row>
    <row r="1313">
      <c r="A1313" s="193" t="s">
        <v>18522</v>
      </c>
      <c r="B1313" s="7" t="s">
        <v>17442</v>
      </c>
      <c r="C1313" s="7" t="s">
        <v>169</v>
      </c>
      <c r="D1313" s="199"/>
      <c r="E1313" s="193"/>
      <c r="F1313" s="195" t="s">
        <v>18523</v>
      </c>
      <c r="G1313" s="200">
        <v>1.0209789828E10</v>
      </c>
      <c r="H1313" s="197">
        <v>6.94</v>
      </c>
      <c r="I1313" s="7" t="s">
        <v>16815</v>
      </c>
      <c r="J1313" s="7" t="s">
        <v>17442</v>
      </c>
      <c r="K1313" s="7" t="s">
        <v>169</v>
      </c>
      <c r="L1313" s="201" t="s">
        <v>16835</v>
      </c>
      <c r="M1313" s="199"/>
      <c r="N1313" s="199"/>
    </row>
    <row r="1314">
      <c r="A1314" s="193" t="s">
        <v>18524</v>
      </c>
      <c r="B1314" s="7" t="s">
        <v>16582</v>
      </c>
      <c r="C1314" s="7" t="s">
        <v>16817</v>
      </c>
      <c r="D1314" s="194">
        <v>2018.0</v>
      </c>
      <c r="E1314" s="193"/>
      <c r="F1314" s="195" t="s">
        <v>18525</v>
      </c>
      <c r="G1314" s="196">
        <v>1.0184841528E10</v>
      </c>
      <c r="H1314" s="197">
        <v>65.45</v>
      </c>
      <c r="I1314" s="7" t="s">
        <v>16815</v>
      </c>
      <c r="J1314" s="7" t="s">
        <v>16582</v>
      </c>
      <c r="K1314" s="7" t="s">
        <v>16817</v>
      </c>
      <c r="L1314" s="198" t="s">
        <v>65</v>
      </c>
      <c r="M1314" s="194"/>
      <c r="N1314" s="194"/>
    </row>
    <row r="1315">
      <c r="A1315" s="193" t="s">
        <v>18524</v>
      </c>
      <c r="B1315" s="7" t="s">
        <v>16817</v>
      </c>
      <c r="C1315" s="7" t="s">
        <v>16582</v>
      </c>
      <c r="D1315" s="194">
        <v>2018.0</v>
      </c>
      <c r="E1315" s="193"/>
      <c r="F1315" s="195" t="s">
        <v>18525</v>
      </c>
      <c r="G1315" s="200">
        <v>1.0184841528E10</v>
      </c>
      <c r="H1315" s="197">
        <v>65.45</v>
      </c>
      <c r="I1315" s="7" t="s">
        <v>16815</v>
      </c>
      <c r="J1315" s="7" t="s">
        <v>16817</v>
      </c>
      <c r="K1315" s="7" t="s">
        <v>16582</v>
      </c>
      <c r="L1315" s="201" t="s">
        <v>16835</v>
      </c>
      <c r="M1315" s="194"/>
      <c r="N1315" s="194"/>
    </row>
    <row r="1316">
      <c r="A1316" s="193" t="s">
        <v>18526</v>
      </c>
      <c r="B1316" s="7" t="s">
        <v>169</v>
      </c>
      <c r="C1316" s="7" t="s">
        <v>16899</v>
      </c>
      <c r="D1316" s="199"/>
      <c r="E1316" s="193"/>
      <c r="F1316" s="195" t="s">
        <v>18527</v>
      </c>
      <c r="G1316" s="196">
        <v>1.0149356083E10</v>
      </c>
      <c r="H1316" s="197">
        <v>61.4</v>
      </c>
      <c r="I1316" s="7" t="s">
        <v>16815</v>
      </c>
      <c r="J1316" s="7" t="s">
        <v>169</v>
      </c>
      <c r="K1316" s="7" t="s">
        <v>16899</v>
      </c>
      <c r="L1316" s="198" t="s">
        <v>65</v>
      </c>
      <c r="M1316" s="199"/>
      <c r="N1316" s="199"/>
    </row>
    <row r="1317">
      <c r="A1317" s="193" t="s">
        <v>18526</v>
      </c>
      <c r="B1317" s="7" t="s">
        <v>16899</v>
      </c>
      <c r="C1317" s="7" t="s">
        <v>169</v>
      </c>
      <c r="D1317" s="199"/>
      <c r="E1317" s="193"/>
      <c r="F1317" s="195" t="s">
        <v>18527</v>
      </c>
      <c r="G1317" s="200">
        <v>1.0149356083E10</v>
      </c>
      <c r="H1317" s="197">
        <v>61.4</v>
      </c>
      <c r="I1317" s="7" t="s">
        <v>16815</v>
      </c>
      <c r="J1317" s="7" t="s">
        <v>16899</v>
      </c>
      <c r="K1317" s="7" t="s">
        <v>169</v>
      </c>
      <c r="L1317" s="201" t="s">
        <v>16835</v>
      </c>
      <c r="M1317" s="199"/>
      <c r="N1317" s="199"/>
    </row>
    <row r="1318">
      <c r="A1318" s="193" t="s">
        <v>18528</v>
      </c>
      <c r="B1318" s="7" t="s">
        <v>18529</v>
      </c>
      <c r="C1318" s="7" t="s">
        <v>187</v>
      </c>
      <c r="D1318" s="199"/>
      <c r="E1318" s="193"/>
      <c r="F1318" s="195" t="s">
        <v>18530</v>
      </c>
      <c r="G1318" s="200">
        <v>1.0087554377E10</v>
      </c>
      <c r="H1318" s="197">
        <v>17.19</v>
      </c>
      <c r="I1318" s="7" t="s">
        <v>16815</v>
      </c>
      <c r="J1318" s="7" t="s">
        <v>18529</v>
      </c>
      <c r="K1318" s="7" t="s">
        <v>187</v>
      </c>
      <c r="L1318" s="201" t="s">
        <v>16835</v>
      </c>
      <c r="M1318" s="199"/>
      <c r="N1318" s="199"/>
    </row>
    <row r="1319">
      <c r="A1319" s="193" t="s">
        <v>18528</v>
      </c>
      <c r="B1319" s="7" t="s">
        <v>187</v>
      </c>
      <c r="C1319" s="7" t="s">
        <v>18529</v>
      </c>
      <c r="D1319" s="199"/>
      <c r="E1319" s="193"/>
      <c r="F1319" s="195" t="s">
        <v>18530</v>
      </c>
      <c r="G1319" s="196">
        <v>1.0087554377E10</v>
      </c>
      <c r="H1319" s="197">
        <v>17.19</v>
      </c>
      <c r="I1319" s="7" t="s">
        <v>16815</v>
      </c>
      <c r="J1319" s="7" t="s">
        <v>187</v>
      </c>
      <c r="K1319" s="7" t="s">
        <v>18529</v>
      </c>
      <c r="L1319" s="198" t="s">
        <v>65</v>
      </c>
      <c r="M1319" s="199"/>
      <c r="N1319" s="199"/>
    </row>
    <row r="1320">
      <c r="A1320" s="193" t="s">
        <v>18531</v>
      </c>
      <c r="B1320" s="7" t="s">
        <v>175</v>
      </c>
      <c r="C1320" s="7" t="s">
        <v>17394</v>
      </c>
      <c r="D1320" s="199"/>
      <c r="E1320" s="193"/>
      <c r="F1320" s="195" t="s">
        <v>18532</v>
      </c>
      <c r="G1320" s="196">
        <v>1.0054805672E10</v>
      </c>
      <c r="H1320" s="197">
        <v>63.37</v>
      </c>
      <c r="I1320" s="7" t="s">
        <v>168</v>
      </c>
      <c r="J1320" s="7" t="s">
        <v>175</v>
      </c>
      <c r="K1320" s="7" t="s">
        <v>17394</v>
      </c>
      <c r="L1320" s="198" t="s">
        <v>65</v>
      </c>
      <c r="M1320" s="199"/>
      <c r="N1320" s="199"/>
    </row>
    <row r="1321">
      <c r="A1321" s="193" t="s">
        <v>18531</v>
      </c>
      <c r="B1321" s="7" t="s">
        <v>17394</v>
      </c>
      <c r="C1321" s="7" t="s">
        <v>175</v>
      </c>
      <c r="D1321" s="199"/>
      <c r="E1321" s="193"/>
      <c r="F1321" s="195" t="s">
        <v>18532</v>
      </c>
      <c r="G1321" s="200">
        <v>1.0054805672E10</v>
      </c>
      <c r="H1321" s="197">
        <v>63.37</v>
      </c>
      <c r="I1321" s="7" t="s">
        <v>16815</v>
      </c>
      <c r="J1321" s="7" t="s">
        <v>17394</v>
      </c>
      <c r="K1321" s="7" t="s">
        <v>175</v>
      </c>
      <c r="L1321" s="201" t="s">
        <v>16835</v>
      </c>
      <c r="M1321" s="199"/>
      <c r="N1321" s="199"/>
    </row>
    <row r="1322">
      <c r="A1322" s="193" t="s">
        <v>18533</v>
      </c>
      <c r="B1322" s="7" t="s">
        <v>175</v>
      </c>
      <c r="C1322" s="7" t="s">
        <v>17394</v>
      </c>
      <c r="D1322" s="199"/>
      <c r="E1322" s="193"/>
      <c r="F1322" s="195" t="s">
        <v>18534</v>
      </c>
      <c r="G1322" s="196">
        <v>1.0026331175E10</v>
      </c>
      <c r="H1322" s="197">
        <v>149.17</v>
      </c>
      <c r="I1322" s="7" t="s">
        <v>168</v>
      </c>
      <c r="J1322" s="7" t="s">
        <v>175</v>
      </c>
      <c r="K1322" s="7" t="s">
        <v>17394</v>
      </c>
      <c r="L1322" s="198" t="s">
        <v>65</v>
      </c>
      <c r="M1322" s="199"/>
      <c r="N1322" s="199"/>
    </row>
    <row r="1323">
      <c r="A1323" s="193" t="s">
        <v>18533</v>
      </c>
      <c r="B1323" s="7" t="s">
        <v>17394</v>
      </c>
      <c r="C1323" s="7" t="s">
        <v>175</v>
      </c>
      <c r="D1323" s="199"/>
      <c r="E1323" s="193"/>
      <c r="F1323" s="195" t="s">
        <v>18534</v>
      </c>
      <c r="G1323" s="200">
        <v>1.0026331175E10</v>
      </c>
      <c r="H1323" s="197">
        <v>149.17</v>
      </c>
      <c r="I1323" s="7" t="s">
        <v>16815</v>
      </c>
      <c r="J1323" s="7" t="s">
        <v>17394</v>
      </c>
      <c r="K1323" s="7" t="s">
        <v>175</v>
      </c>
      <c r="L1323" s="201" t="s">
        <v>16835</v>
      </c>
      <c r="M1323" s="199"/>
      <c r="N1323" s="199"/>
    </row>
    <row r="1324">
      <c r="A1324" s="193" t="s">
        <v>18535</v>
      </c>
      <c r="D1324" s="194">
        <v>1996.0</v>
      </c>
      <c r="E1324" s="193"/>
      <c r="F1324" s="195" t="s">
        <v>18536</v>
      </c>
      <c r="G1324" s="196">
        <v>9.935079039E9</v>
      </c>
      <c r="H1324" s="197">
        <v>36.63</v>
      </c>
      <c r="I1324" s="7" t="s">
        <v>16815</v>
      </c>
      <c r="L1324" s="198" t="s">
        <v>65</v>
      </c>
      <c r="M1324" s="194"/>
      <c r="N1324" s="194"/>
    </row>
    <row r="1325">
      <c r="A1325" s="193" t="s">
        <v>18537</v>
      </c>
      <c r="B1325" s="7" t="s">
        <v>169</v>
      </c>
      <c r="C1325" s="7" t="s">
        <v>17757</v>
      </c>
      <c r="D1325" s="199"/>
      <c r="E1325" s="193"/>
      <c r="F1325" s="195" t="s">
        <v>18538</v>
      </c>
      <c r="G1325" s="196">
        <v>9.911322619E9</v>
      </c>
      <c r="H1325" s="197">
        <v>210.68</v>
      </c>
      <c r="I1325" s="7" t="s">
        <v>16815</v>
      </c>
      <c r="J1325" s="7" t="s">
        <v>169</v>
      </c>
      <c r="K1325" s="7" t="s">
        <v>17757</v>
      </c>
      <c r="L1325" s="198" t="s">
        <v>65</v>
      </c>
      <c r="M1325" s="199"/>
      <c r="N1325" s="199"/>
    </row>
    <row r="1326">
      <c r="A1326" s="193" t="s">
        <v>18537</v>
      </c>
      <c r="B1326" s="7" t="s">
        <v>17757</v>
      </c>
      <c r="C1326" s="7" t="s">
        <v>169</v>
      </c>
      <c r="D1326" s="199"/>
      <c r="E1326" s="193"/>
      <c r="F1326" s="195" t="s">
        <v>18538</v>
      </c>
      <c r="G1326" s="200">
        <v>9.911322619E9</v>
      </c>
      <c r="H1326" s="197">
        <v>210.68</v>
      </c>
      <c r="I1326" s="7" t="s">
        <v>16815</v>
      </c>
      <c r="J1326" s="7" t="s">
        <v>17757</v>
      </c>
      <c r="K1326" s="7" t="s">
        <v>169</v>
      </c>
      <c r="L1326" s="201" t="s">
        <v>16835</v>
      </c>
      <c r="M1326" s="199"/>
      <c r="N1326" s="199"/>
    </row>
    <row r="1327">
      <c r="A1327" s="193" t="s">
        <v>18539</v>
      </c>
      <c r="B1327" s="7" t="s">
        <v>175</v>
      </c>
      <c r="C1327" s="7" t="s">
        <v>16861</v>
      </c>
      <c r="D1327" s="194">
        <v>2012.0</v>
      </c>
      <c r="E1327" s="193"/>
      <c r="F1327" s="195" t="s">
        <v>18540</v>
      </c>
      <c r="G1327" s="196">
        <v>9.839669021E9</v>
      </c>
      <c r="H1327" s="197">
        <v>176.7</v>
      </c>
      <c r="I1327" s="7" t="s">
        <v>16908</v>
      </c>
      <c r="J1327" s="7" t="s">
        <v>175</v>
      </c>
      <c r="K1327" s="7" t="s">
        <v>16861</v>
      </c>
      <c r="L1327" s="198" t="s">
        <v>65</v>
      </c>
      <c r="M1327" s="194"/>
      <c r="N1327" s="194"/>
    </row>
    <row r="1328">
      <c r="A1328" s="193" t="s">
        <v>18541</v>
      </c>
      <c r="B1328" s="7" t="s">
        <v>16838</v>
      </c>
      <c r="C1328" s="7" t="s">
        <v>17202</v>
      </c>
      <c r="D1328" s="194">
        <v>2022.0</v>
      </c>
      <c r="E1328" s="193"/>
      <c r="F1328" s="195" t="s">
        <v>18542</v>
      </c>
      <c r="G1328" s="196">
        <v>9.809382784E9</v>
      </c>
      <c r="H1328" s="197">
        <v>31.72</v>
      </c>
      <c r="I1328" s="7" t="s">
        <v>16815</v>
      </c>
      <c r="J1328" s="7" t="s">
        <v>16838</v>
      </c>
      <c r="K1328" s="7" t="s">
        <v>17202</v>
      </c>
      <c r="L1328" s="198" t="s">
        <v>65</v>
      </c>
      <c r="M1328" s="194"/>
      <c r="N1328" s="194"/>
    </row>
    <row r="1329">
      <c r="A1329" s="193" t="s">
        <v>18543</v>
      </c>
      <c r="B1329" s="7" t="s">
        <v>16582</v>
      </c>
      <c r="C1329" s="7" t="s">
        <v>16817</v>
      </c>
      <c r="D1329" s="194">
        <v>2021.0</v>
      </c>
      <c r="E1329" s="193"/>
      <c r="F1329" s="195" t="s">
        <v>18544</v>
      </c>
      <c r="G1329" s="196">
        <v>9.804569009E9</v>
      </c>
      <c r="H1329" s="197">
        <v>17.3</v>
      </c>
      <c r="I1329" s="7" t="s">
        <v>16815</v>
      </c>
      <c r="J1329" s="7" t="s">
        <v>16582</v>
      </c>
      <c r="K1329" s="7" t="s">
        <v>16817</v>
      </c>
      <c r="L1329" s="198" t="s">
        <v>65</v>
      </c>
      <c r="M1329" s="194"/>
      <c r="N1329" s="194"/>
    </row>
    <row r="1330">
      <c r="A1330" s="193" t="s">
        <v>18543</v>
      </c>
      <c r="B1330" s="7" t="s">
        <v>16817</v>
      </c>
      <c r="C1330" s="7" t="s">
        <v>16582</v>
      </c>
      <c r="D1330" s="194">
        <v>2021.0</v>
      </c>
      <c r="E1330" s="193"/>
      <c r="F1330" s="195" t="s">
        <v>18544</v>
      </c>
      <c r="G1330" s="200">
        <v>9.804569009E9</v>
      </c>
      <c r="H1330" s="197">
        <v>17.3</v>
      </c>
      <c r="I1330" s="7" t="s">
        <v>16815</v>
      </c>
      <c r="J1330" s="7" t="s">
        <v>16817</v>
      </c>
      <c r="K1330" s="7" t="s">
        <v>16582</v>
      </c>
      <c r="L1330" s="201" t="s">
        <v>16835</v>
      </c>
      <c r="M1330" s="194"/>
      <c r="N1330" s="194"/>
    </row>
    <row r="1331">
      <c r="A1331" s="193" t="s">
        <v>18545</v>
      </c>
      <c r="D1331" s="194">
        <v>2015.0</v>
      </c>
      <c r="E1331" s="193"/>
      <c r="F1331" s="195" t="s">
        <v>18546</v>
      </c>
      <c r="G1331" s="196">
        <v>9.797560544E9</v>
      </c>
      <c r="H1331" s="197">
        <v>38.23</v>
      </c>
      <c r="I1331" s="7" t="s">
        <v>16815</v>
      </c>
      <c r="L1331" s="198" t="s">
        <v>65</v>
      </c>
      <c r="M1331" s="194"/>
      <c r="N1331" s="194"/>
    </row>
    <row r="1332">
      <c r="A1332" s="193" t="s">
        <v>18545</v>
      </c>
      <c r="D1332" s="194">
        <v>2015.0</v>
      </c>
      <c r="E1332" s="193"/>
      <c r="F1332" s="195" t="s">
        <v>18546</v>
      </c>
      <c r="G1332" s="200">
        <v>9.797560544E9</v>
      </c>
      <c r="H1332" s="197">
        <v>38.23</v>
      </c>
      <c r="L1332" s="201" t="s">
        <v>16835</v>
      </c>
      <c r="M1332" s="194"/>
      <c r="N1332" s="194"/>
    </row>
    <row r="1333">
      <c r="A1333" s="193" t="s">
        <v>18547</v>
      </c>
      <c r="B1333" s="7" t="s">
        <v>16838</v>
      </c>
      <c r="C1333" s="7" t="s">
        <v>17002</v>
      </c>
      <c r="D1333" s="199"/>
      <c r="E1333" s="193"/>
      <c r="F1333" s="195" t="s">
        <v>18548</v>
      </c>
      <c r="G1333" s="196">
        <v>9.7448109E9</v>
      </c>
      <c r="H1333" s="197">
        <v>122.53</v>
      </c>
      <c r="I1333" s="7" t="s">
        <v>16924</v>
      </c>
      <c r="J1333" s="7" t="s">
        <v>16838</v>
      </c>
      <c r="K1333" s="7" t="s">
        <v>17002</v>
      </c>
      <c r="L1333" s="198" t="s">
        <v>65</v>
      </c>
      <c r="M1333" s="199"/>
      <c r="N1333" s="199"/>
    </row>
    <row r="1334">
      <c r="A1334" s="193" t="s">
        <v>18547</v>
      </c>
      <c r="B1334" s="7" t="s">
        <v>17002</v>
      </c>
      <c r="C1334" s="7" t="s">
        <v>16838</v>
      </c>
      <c r="D1334" s="199"/>
      <c r="E1334" s="193"/>
      <c r="F1334" s="195" t="s">
        <v>18548</v>
      </c>
      <c r="G1334" s="200">
        <v>9.7448109E9</v>
      </c>
      <c r="H1334" s="197">
        <v>122.53</v>
      </c>
      <c r="I1334" s="7" t="s">
        <v>16815</v>
      </c>
      <c r="J1334" s="7" t="s">
        <v>17002</v>
      </c>
      <c r="K1334" s="7" t="s">
        <v>16838</v>
      </c>
      <c r="L1334" s="201" t="s">
        <v>16835</v>
      </c>
      <c r="M1334" s="199"/>
      <c r="N1334" s="199"/>
    </row>
    <row r="1335">
      <c r="A1335" s="193" t="s">
        <v>18549</v>
      </c>
      <c r="B1335" s="7" t="s">
        <v>175</v>
      </c>
      <c r="C1335" s="7" t="s">
        <v>17168</v>
      </c>
      <c r="D1335" s="194">
        <v>2002.0</v>
      </c>
      <c r="E1335" s="193"/>
      <c r="F1335" s="195" t="s">
        <v>18550</v>
      </c>
      <c r="G1335" s="196">
        <v>9.740417194E9</v>
      </c>
      <c r="H1335" s="197">
        <v>85.49</v>
      </c>
      <c r="I1335" s="7" t="s">
        <v>16856</v>
      </c>
      <c r="J1335" s="7" t="s">
        <v>175</v>
      </c>
      <c r="K1335" s="7" t="s">
        <v>17168</v>
      </c>
      <c r="L1335" s="198" t="s">
        <v>65</v>
      </c>
      <c r="M1335" s="194"/>
      <c r="N1335" s="194"/>
    </row>
    <row r="1336">
      <c r="A1336" s="193" t="s">
        <v>18551</v>
      </c>
      <c r="B1336" s="7" t="s">
        <v>187</v>
      </c>
      <c r="C1336" s="7" t="s">
        <v>16846</v>
      </c>
      <c r="D1336" s="199"/>
      <c r="E1336" s="193"/>
      <c r="F1336" s="195" t="s">
        <v>18552</v>
      </c>
      <c r="G1336" s="196">
        <v>9.727243267E9</v>
      </c>
      <c r="H1336" s="197">
        <v>8.68</v>
      </c>
      <c r="I1336" s="7" t="s">
        <v>16815</v>
      </c>
      <c r="J1336" s="7" t="s">
        <v>187</v>
      </c>
      <c r="K1336" s="7" t="s">
        <v>16846</v>
      </c>
      <c r="L1336" s="198" t="s">
        <v>65</v>
      </c>
      <c r="M1336" s="199"/>
      <c r="N1336" s="199"/>
    </row>
    <row r="1337">
      <c r="A1337" s="193" t="s">
        <v>18551</v>
      </c>
      <c r="B1337" s="7" t="s">
        <v>16846</v>
      </c>
      <c r="C1337" s="7" t="s">
        <v>187</v>
      </c>
      <c r="D1337" s="199"/>
      <c r="E1337" s="193"/>
      <c r="F1337" s="195" t="s">
        <v>18552</v>
      </c>
      <c r="G1337" s="200">
        <v>9.727243267E9</v>
      </c>
      <c r="H1337" s="197">
        <v>8.68</v>
      </c>
      <c r="I1337" s="7" t="s">
        <v>16815</v>
      </c>
      <c r="J1337" s="7" t="s">
        <v>16846</v>
      </c>
      <c r="K1337" s="7" t="s">
        <v>187</v>
      </c>
      <c r="L1337" s="201" t="s">
        <v>16835</v>
      </c>
      <c r="M1337" s="199"/>
      <c r="N1337" s="199"/>
    </row>
    <row r="1338">
      <c r="A1338" s="193" t="s">
        <v>18553</v>
      </c>
      <c r="B1338" s="7" t="s">
        <v>169</v>
      </c>
      <c r="C1338" s="7" t="s">
        <v>17475</v>
      </c>
      <c r="D1338" s="199"/>
      <c r="E1338" s="193"/>
      <c r="F1338" s="195" t="s">
        <v>18554</v>
      </c>
      <c r="G1338" s="196">
        <v>9.702382603E9</v>
      </c>
      <c r="H1338" s="197">
        <v>80.42</v>
      </c>
      <c r="I1338" s="7" t="s">
        <v>16815</v>
      </c>
      <c r="J1338" s="7" t="s">
        <v>169</v>
      </c>
      <c r="K1338" s="7" t="s">
        <v>17475</v>
      </c>
      <c r="L1338" s="198" t="s">
        <v>65</v>
      </c>
      <c r="M1338" s="199"/>
      <c r="N1338" s="199"/>
    </row>
    <row r="1339">
      <c r="A1339" s="193" t="s">
        <v>18553</v>
      </c>
      <c r="B1339" s="7" t="s">
        <v>17475</v>
      </c>
      <c r="C1339" s="7" t="s">
        <v>169</v>
      </c>
      <c r="D1339" s="199"/>
      <c r="E1339" s="193"/>
      <c r="F1339" s="195" t="s">
        <v>18554</v>
      </c>
      <c r="G1339" s="200">
        <v>9.702382603E9</v>
      </c>
      <c r="H1339" s="197">
        <v>80.42</v>
      </c>
      <c r="I1339" s="7" t="s">
        <v>16815</v>
      </c>
      <c r="J1339" s="7" t="s">
        <v>17475</v>
      </c>
      <c r="K1339" s="7" t="s">
        <v>169</v>
      </c>
      <c r="L1339" s="201" t="s">
        <v>16835</v>
      </c>
      <c r="M1339" s="199"/>
      <c r="N1339" s="199"/>
    </row>
    <row r="1340">
      <c r="A1340" s="193" t="s">
        <v>18555</v>
      </c>
      <c r="B1340" s="7" t="s">
        <v>16582</v>
      </c>
      <c r="C1340" s="7" t="s">
        <v>16930</v>
      </c>
      <c r="D1340" s="199"/>
      <c r="E1340" s="193"/>
      <c r="F1340" s="195" t="s">
        <v>18556</v>
      </c>
      <c r="G1340" s="196">
        <v>9.6933886E9</v>
      </c>
      <c r="H1340" s="197">
        <v>80.23</v>
      </c>
      <c r="I1340" s="7" t="s">
        <v>16815</v>
      </c>
      <c r="J1340" s="7" t="s">
        <v>16582</v>
      </c>
      <c r="K1340" s="7" t="s">
        <v>16930</v>
      </c>
      <c r="L1340" s="198" t="s">
        <v>65</v>
      </c>
      <c r="M1340" s="199"/>
      <c r="N1340" s="199"/>
    </row>
    <row r="1341">
      <c r="A1341" s="193" t="s">
        <v>18557</v>
      </c>
      <c r="B1341" s="7" t="s">
        <v>158</v>
      </c>
      <c r="C1341" s="7" t="s">
        <v>16864</v>
      </c>
      <c r="D1341" s="194">
        <v>1960.0</v>
      </c>
      <c r="E1341" s="193"/>
      <c r="F1341" s="195" t="s">
        <v>18558</v>
      </c>
      <c r="G1341" s="196">
        <v>9.666039085E9</v>
      </c>
      <c r="H1341" s="197">
        <v>53.8</v>
      </c>
      <c r="I1341" s="7" t="s">
        <v>16897</v>
      </c>
      <c r="J1341" s="7" t="s">
        <v>158</v>
      </c>
      <c r="K1341" s="7" t="s">
        <v>16864</v>
      </c>
      <c r="L1341" s="198" t="s">
        <v>65</v>
      </c>
      <c r="M1341" s="194"/>
      <c r="N1341" s="194"/>
    </row>
    <row r="1342">
      <c r="A1342" s="193" t="s">
        <v>18557</v>
      </c>
      <c r="B1342" s="7" t="s">
        <v>16864</v>
      </c>
      <c r="C1342" s="7" t="s">
        <v>158</v>
      </c>
      <c r="D1342" s="194">
        <v>1960.0</v>
      </c>
      <c r="E1342" s="193"/>
      <c r="F1342" s="195" t="s">
        <v>18558</v>
      </c>
      <c r="G1342" s="200">
        <v>9.666039085E9</v>
      </c>
      <c r="H1342" s="197">
        <v>53.8</v>
      </c>
      <c r="I1342" s="7" t="s">
        <v>16815</v>
      </c>
      <c r="J1342" s="7" t="s">
        <v>16864</v>
      </c>
      <c r="K1342" s="7" t="s">
        <v>158</v>
      </c>
      <c r="L1342" s="201" t="s">
        <v>16835</v>
      </c>
      <c r="M1342" s="194"/>
      <c r="N1342" s="194"/>
    </row>
    <row r="1343">
      <c r="A1343" s="193" t="s">
        <v>18559</v>
      </c>
      <c r="B1343" s="7" t="s">
        <v>175</v>
      </c>
      <c r="C1343" s="7" t="s">
        <v>17069</v>
      </c>
      <c r="D1343" s="199"/>
      <c r="E1343" s="193"/>
      <c r="F1343" s="195" t="s">
        <v>18560</v>
      </c>
      <c r="G1343" s="196">
        <v>9.638530159E9</v>
      </c>
      <c r="H1343" s="197">
        <v>83.11</v>
      </c>
      <c r="I1343" s="7" t="s">
        <v>16856</v>
      </c>
      <c r="J1343" s="7" t="s">
        <v>175</v>
      </c>
      <c r="K1343" s="7" t="s">
        <v>17069</v>
      </c>
      <c r="L1343" s="198" t="s">
        <v>65</v>
      </c>
      <c r="M1343" s="199"/>
      <c r="N1343" s="199"/>
    </row>
    <row r="1344">
      <c r="A1344" s="193" t="s">
        <v>18559</v>
      </c>
      <c r="B1344" s="7" t="s">
        <v>17069</v>
      </c>
      <c r="C1344" s="7" t="s">
        <v>175</v>
      </c>
      <c r="D1344" s="199"/>
      <c r="E1344" s="193"/>
      <c r="F1344" s="195" t="s">
        <v>18560</v>
      </c>
      <c r="G1344" s="200">
        <v>9.638530159E9</v>
      </c>
      <c r="H1344" s="197">
        <v>83.11</v>
      </c>
      <c r="I1344" s="7" t="s">
        <v>16815</v>
      </c>
      <c r="J1344" s="7" t="s">
        <v>17069</v>
      </c>
      <c r="K1344" s="7" t="s">
        <v>175</v>
      </c>
      <c r="L1344" s="201" t="s">
        <v>16835</v>
      </c>
      <c r="M1344" s="199"/>
      <c r="N1344" s="199"/>
    </row>
    <row r="1345">
      <c r="A1345" s="193" t="s">
        <v>18561</v>
      </c>
      <c r="D1345" s="199"/>
      <c r="E1345" s="193"/>
      <c r="F1345" s="195" t="s">
        <v>18562</v>
      </c>
      <c r="G1345" s="196">
        <v>9.589118403E9</v>
      </c>
      <c r="H1345" s="197">
        <v>111.59</v>
      </c>
      <c r="I1345" s="7" t="s">
        <v>16815</v>
      </c>
      <c r="L1345" s="198" t="s">
        <v>65</v>
      </c>
      <c r="M1345" s="199"/>
      <c r="N1345" s="199"/>
    </row>
    <row r="1346">
      <c r="A1346" s="193" t="s">
        <v>18561</v>
      </c>
      <c r="D1346" s="199"/>
      <c r="E1346" s="193"/>
      <c r="F1346" s="195" t="s">
        <v>18562</v>
      </c>
      <c r="G1346" s="200">
        <v>9.589118403E9</v>
      </c>
      <c r="H1346" s="197">
        <v>111.59</v>
      </c>
      <c r="L1346" s="201" t="s">
        <v>16835</v>
      </c>
      <c r="M1346" s="199"/>
      <c r="N1346" s="199"/>
    </row>
    <row r="1347">
      <c r="A1347" s="193" t="s">
        <v>18563</v>
      </c>
      <c r="B1347" s="7" t="s">
        <v>175</v>
      </c>
      <c r="C1347" s="7" t="s">
        <v>17480</v>
      </c>
      <c r="D1347" s="194">
        <v>2002.0</v>
      </c>
      <c r="E1347" s="193"/>
      <c r="F1347" s="195" t="s">
        <v>18564</v>
      </c>
      <c r="G1347" s="196">
        <v>9.571904651E9</v>
      </c>
      <c r="H1347" s="197">
        <v>112.58</v>
      </c>
      <c r="I1347" s="7" t="s">
        <v>16908</v>
      </c>
      <c r="J1347" s="7" t="s">
        <v>175</v>
      </c>
      <c r="K1347" s="7" t="s">
        <v>17480</v>
      </c>
      <c r="L1347" s="198" t="s">
        <v>65</v>
      </c>
      <c r="M1347" s="194"/>
      <c r="N1347" s="194"/>
    </row>
    <row r="1348">
      <c r="A1348" s="193" t="s">
        <v>18563</v>
      </c>
      <c r="B1348" s="7" t="s">
        <v>17480</v>
      </c>
      <c r="C1348" s="7" t="s">
        <v>175</v>
      </c>
      <c r="D1348" s="194">
        <v>2002.0</v>
      </c>
      <c r="E1348" s="193"/>
      <c r="F1348" s="195" t="s">
        <v>18564</v>
      </c>
      <c r="G1348" s="200">
        <v>9.571904651E9</v>
      </c>
      <c r="H1348" s="197">
        <v>112.58</v>
      </c>
      <c r="I1348" s="7" t="s">
        <v>16815</v>
      </c>
      <c r="J1348" s="7" t="s">
        <v>17480</v>
      </c>
      <c r="K1348" s="7" t="s">
        <v>175</v>
      </c>
      <c r="L1348" s="201" t="s">
        <v>16835</v>
      </c>
      <c r="M1348" s="194"/>
      <c r="N1348" s="194"/>
    </row>
    <row r="1349">
      <c r="A1349" s="193" t="s">
        <v>18565</v>
      </c>
      <c r="B1349" s="7" t="s">
        <v>16838</v>
      </c>
      <c r="C1349" s="7" t="s">
        <v>16867</v>
      </c>
      <c r="D1349" s="199"/>
      <c r="E1349" s="193"/>
      <c r="F1349" s="195" t="s">
        <v>18566</v>
      </c>
      <c r="G1349" s="196">
        <v>9.524646901E9</v>
      </c>
      <c r="H1349" s="197">
        <v>15.4</v>
      </c>
      <c r="I1349" s="7" t="s">
        <v>16815</v>
      </c>
      <c r="J1349" s="7" t="s">
        <v>16838</v>
      </c>
      <c r="K1349" s="7" t="s">
        <v>16867</v>
      </c>
      <c r="L1349" s="198" t="s">
        <v>65</v>
      </c>
      <c r="M1349" s="199"/>
      <c r="N1349" s="199"/>
    </row>
    <row r="1350">
      <c r="A1350" s="193" t="s">
        <v>18567</v>
      </c>
      <c r="B1350" s="7" t="s">
        <v>17111</v>
      </c>
      <c r="C1350" s="7" t="s">
        <v>17112</v>
      </c>
      <c r="D1350" s="194">
        <v>2013.0</v>
      </c>
      <c r="E1350" s="193"/>
      <c r="F1350" s="195" t="s">
        <v>18568</v>
      </c>
      <c r="G1350" s="200">
        <v>9.518378114E9</v>
      </c>
      <c r="H1350" s="197">
        <v>45.09</v>
      </c>
      <c r="I1350" s="7" t="s">
        <v>16815</v>
      </c>
      <c r="J1350" s="7" t="s">
        <v>17111</v>
      </c>
      <c r="K1350" s="7" t="s">
        <v>17112</v>
      </c>
      <c r="L1350" s="201" t="s">
        <v>16835</v>
      </c>
      <c r="M1350" s="194"/>
      <c r="N1350" s="194"/>
    </row>
    <row r="1351">
      <c r="A1351" s="193" t="s">
        <v>18567</v>
      </c>
      <c r="B1351" s="7" t="s">
        <v>17112</v>
      </c>
      <c r="C1351" s="7" t="s">
        <v>17111</v>
      </c>
      <c r="D1351" s="194">
        <v>2013.0</v>
      </c>
      <c r="E1351" s="193"/>
      <c r="F1351" s="195" t="s">
        <v>18568</v>
      </c>
      <c r="G1351" s="196">
        <v>9.518378114E9</v>
      </c>
      <c r="H1351" s="197">
        <v>45.09</v>
      </c>
      <c r="I1351" s="7" t="s">
        <v>16815</v>
      </c>
      <c r="J1351" s="7" t="s">
        <v>17112</v>
      </c>
      <c r="K1351" s="7" t="s">
        <v>17111</v>
      </c>
      <c r="L1351" s="198" t="s">
        <v>65</v>
      </c>
      <c r="M1351" s="194"/>
      <c r="N1351" s="194"/>
    </row>
    <row r="1352">
      <c r="A1352" s="193" t="s">
        <v>18569</v>
      </c>
      <c r="B1352" s="7" t="s">
        <v>175</v>
      </c>
      <c r="C1352" s="7" t="s">
        <v>18570</v>
      </c>
      <c r="D1352" s="199"/>
      <c r="E1352" s="193"/>
      <c r="F1352" s="195" t="s">
        <v>18571</v>
      </c>
      <c r="G1352" s="196">
        <v>9.516544782E9</v>
      </c>
      <c r="H1352" s="197">
        <v>148.36</v>
      </c>
      <c r="I1352" s="7" t="s">
        <v>16856</v>
      </c>
      <c r="J1352" s="7" t="s">
        <v>175</v>
      </c>
      <c r="K1352" s="7" t="s">
        <v>18570</v>
      </c>
      <c r="L1352" s="198" t="s">
        <v>65</v>
      </c>
      <c r="M1352" s="199"/>
      <c r="N1352" s="199"/>
    </row>
    <row r="1353">
      <c r="A1353" s="193" t="s">
        <v>18569</v>
      </c>
      <c r="B1353" s="7" t="s">
        <v>18570</v>
      </c>
      <c r="C1353" s="7" t="s">
        <v>175</v>
      </c>
      <c r="D1353" s="199"/>
      <c r="E1353" s="193"/>
      <c r="F1353" s="195" t="s">
        <v>18571</v>
      </c>
      <c r="G1353" s="200">
        <v>9.516544782E9</v>
      </c>
      <c r="H1353" s="197">
        <v>148.36</v>
      </c>
      <c r="I1353" s="7" t="s">
        <v>16815</v>
      </c>
      <c r="J1353" s="7" t="s">
        <v>18570</v>
      </c>
      <c r="K1353" s="7" t="s">
        <v>175</v>
      </c>
      <c r="L1353" s="201" t="s">
        <v>16835</v>
      </c>
      <c r="M1353" s="199"/>
      <c r="N1353" s="199"/>
    </row>
    <row r="1354">
      <c r="A1354" s="193" t="s">
        <v>18572</v>
      </c>
      <c r="B1354" s="7" t="s">
        <v>175</v>
      </c>
      <c r="C1354" s="7" t="s">
        <v>17606</v>
      </c>
      <c r="D1354" s="194">
        <v>2015.0</v>
      </c>
      <c r="E1354" s="193"/>
      <c r="F1354" s="195" t="s">
        <v>18573</v>
      </c>
      <c r="G1354" s="196">
        <v>9.490101514E9</v>
      </c>
      <c r="H1354" s="197">
        <v>60.99</v>
      </c>
      <c r="I1354" s="7" t="s">
        <v>168</v>
      </c>
      <c r="J1354" s="7" t="s">
        <v>175</v>
      </c>
      <c r="K1354" s="7" t="s">
        <v>17606</v>
      </c>
      <c r="L1354" s="198" t="s">
        <v>65</v>
      </c>
      <c r="M1354" s="194"/>
      <c r="N1354" s="194"/>
    </row>
    <row r="1355">
      <c r="A1355" s="193" t="s">
        <v>18572</v>
      </c>
      <c r="B1355" s="7" t="s">
        <v>17606</v>
      </c>
      <c r="C1355" s="7" t="s">
        <v>175</v>
      </c>
      <c r="D1355" s="194">
        <v>2015.0</v>
      </c>
      <c r="E1355" s="193"/>
      <c r="F1355" s="195" t="s">
        <v>18573</v>
      </c>
      <c r="G1355" s="200">
        <v>9.490101514E9</v>
      </c>
      <c r="H1355" s="197">
        <v>60.99</v>
      </c>
      <c r="I1355" s="7" t="s">
        <v>16815</v>
      </c>
      <c r="J1355" s="7" t="s">
        <v>17606</v>
      </c>
      <c r="K1355" s="7" t="s">
        <v>175</v>
      </c>
      <c r="L1355" s="201" t="s">
        <v>16835</v>
      </c>
      <c r="M1355" s="194"/>
      <c r="N1355" s="194"/>
    </row>
    <row r="1356">
      <c r="A1356" s="193" t="s">
        <v>18574</v>
      </c>
      <c r="B1356" s="7" t="s">
        <v>17112</v>
      </c>
      <c r="C1356" s="7" t="s">
        <v>17111</v>
      </c>
      <c r="D1356" s="194">
        <v>1996.0</v>
      </c>
      <c r="E1356" s="193"/>
      <c r="F1356" s="195" t="s">
        <v>18575</v>
      </c>
      <c r="G1356" s="196">
        <v>9.481758343E9</v>
      </c>
      <c r="H1356" s="197">
        <v>92.96</v>
      </c>
      <c r="I1356" s="7" t="s">
        <v>16815</v>
      </c>
      <c r="J1356" s="7" t="s">
        <v>17112</v>
      </c>
      <c r="K1356" s="7" t="s">
        <v>17111</v>
      </c>
      <c r="L1356" s="198" t="s">
        <v>65</v>
      </c>
      <c r="M1356" s="194"/>
      <c r="N1356" s="194"/>
    </row>
    <row r="1357">
      <c r="A1357" s="193" t="s">
        <v>18576</v>
      </c>
      <c r="B1357" s="7" t="s">
        <v>17111</v>
      </c>
      <c r="C1357" s="7" t="s">
        <v>17112</v>
      </c>
      <c r="D1357" s="194">
        <v>1993.0</v>
      </c>
      <c r="E1357" s="193"/>
      <c r="F1357" s="195" t="s">
        <v>18577</v>
      </c>
      <c r="G1357" s="200">
        <v>9.442845459E9</v>
      </c>
      <c r="H1357" s="197">
        <v>88.44</v>
      </c>
      <c r="I1357" s="7" t="s">
        <v>16815</v>
      </c>
      <c r="J1357" s="7" t="s">
        <v>17111</v>
      </c>
      <c r="K1357" s="7" t="s">
        <v>17112</v>
      </c>
      <c r="L1357" s="201" t="s">
        <v>16835</v>
      </c>
      <c r="M1357" s="194"/>
      <c r="N1357" s="194"/>
    </row>
    <row r="1358">
      <c r="A1358" s="193" t="s">
        <v>18576</v>
      </c>
      <c r="B1358" s="7" t="s">
        <v>17112</v>
      </c>
      <c r="C1358" s="7" t="s">
        <v>17111</v>
      </c>
      <c r="D1358" s="194">
        <v>1993.0</v>
      </c>
      <c r="E1358" s="193"/>
      <c r="F1358" s="195" t="s">
        <v>18577</v>
      </c>
      <c r="G1358" s="196">
        <v>9.442845459E9</v>
      </c>
      <c r="H1358" s="197">
        <v>88.44</v>
      </c>
      <c r="I1358" s="7" t="s">
        <v>16815</v>
      </c>
      <c r="J1358" s="7" t="s">
        <v>17112</v>
      </c>
      <c r="K1358" s="7" t="s">
        <v>17111</v>
      </c>
      <c r="L1358" s="198" t="s">
        <v>65</v>
      </c>
      <c r="M1358" s="194"/>
      <c r="N1358" s="194"/>
    </row>
    <row r="1359">
      <c r="A1359" s="193" t="s">
        <v>18578</v>
      </c>
      <c r="B1359" s="7" t="s">
        <v>16926</v>
      </c>
      <c r="C1359" s="7" t="s">
        <v>16927</v>
      </c>
      <c r="D1359" s="194">
        <v>1999.0</v>
      </c>
      <c r="E1359" s="193"/>
      <c r="F1359" s="195" t="s">
        <v>18579</v>
      </c>
      <c r="G1359" s="196">
        <v>9.432686578E9</v>
      </c>
      <c r="H1359" s="197">
        <v>159.05</v>
      </c>
      <c r="I1359" s="7" t="s">
        <v>16815</v>
      </c>
      <c r="J1359" s="7" t="s">
        <v>16926</v>
      </c>
      <c r="K1359" s="7" t="s">
        <v>16927</v>
      </c>
      <c r="L1359" s="198" t="s">
        <v>65</v>
      </c>
      <c r="M1359" s="194"/>
      <c r="N1359" s="194"/>
    </row>
    <row r="1360">
      <c r="A1360" s="193" t="s">
        <v>18580</v>
      </c>
      <c r="B1360" s="7" t="s">
        <v>16969</v>
      </c>
      <c r="C1360" s="7" t="s">
        <v>187</v>
      </c>
      <c r="D1360" s="199"/>
      <c r="E1360" s="193"/>
      <c r="F1360" s="195" t="s">
        <v>18581</v>
      </c>
      <c r="G1360" s="200">
        <v>9.400882433E9</v>
      </c>
      <c r="H1360" s="197">
        <v>200.05</v>
      </c>
      <c r="I1360" s="7" t="s">
        <v>16815</v>
      </c>
      <c r="J1360" s="7" t="s">
        <v>16969</v>
      </c>
      <c r="K1360" s="7" t="s">
        <v>187</v>
      </c>
      <c r="L1360" s="201" t="s">
        <v>16835</v>
      </c>
      <c r="M1360" s="199"/>
      <c r="N1360" s="199"/>
    </row>
    <row r="1361">
      <c r="A1361" s="193" t="s">
        <v>18580</v>
      </c>
      <c r="B1361" s="7" t="s">
        <v>187</v>
      </c>
      <c r="C1361" s="7" t="s">
        <v>16969</v>
      </c>
      <c r="D1361" s="199"/>
      <c r="E1361" s="193"/>
      <c r="F1361" s="195" t="s">
        <v>18581</v>
      </c>
      <c r="G1361" s="196">
        <v>9.400882433E9</v>
      </c>
      <c r="H1361" s="197">
        <v>200.05</v>
      </c>
      <c r="I1361" s="7" t="s">
        <v>16815</v>
      </c>
      <c r="J1361" s="7" t="s">
        <v>187</v>
      </c>
      <c r="K1361" s="7" t="s">
        <v>16969</v>
      </c>
      <c r="L1361" s="198" t="s">
        <v>65</v>
      </c>
      <c r="M1361" s="199"/>
      <c r="N1361" s="199"/>
    </row>
    <row r="1362">
      <c r="A1362" s="193" t="s">
        <v>18582</v>
      </c>
      <c r="B1362" s="7" t="s">
        <v>17321</v>
      </c>
      <c r="C1362" s="7" t="s">
        <v>169</v>
      </c>
      <c r="D1362" s="199"/>
      <c r="E1362" s="193"/>
      <c r="F1362" s="195" t="s">
        <v>18583</v>
      </c>
      <c r="G1362" s="200">
        <v>9.38416662E9</v>
      </c>
      <c r="H1362" s="197">
        <v>21.55</v>
      </c>
      <c r="I1362" s="7" t="s">
        <v>16815</v>
      </c>
      <c r="J1362" s="7" t="s">
        <v>17321</v>
      </c>
      <c r="K1362" s="7" t="s">
        <v>169</v>
      </c>
      <c r="L1362" s="201" t="s">
        <v>16835</v>
      </c>
      <c r="M1362" s="199"/>
      <c r="N1362" s="199"/>
    </row>
    <row r="1363">
      <c r="A1363" s="193" t="s">
        <v>18582</v>
      </c>
      <c r="B1363" s="7" t="s">
        <v>169</v>
      </c>
      <c r="C1363" s="7" t="s">
        <v>17321</v>
      </c>
      <c r="D1363" s="199"/>
      <c r="E1363" s="193"/>
      <c r="F1363" s="195" t="s">
        <v>18583</v>
      </c>
      <c r="G1363" s="196">
        <v>9.38416662E9</v>
      </c>
      <c r="H1363" s="197">
        <v>21.55</v>
      </c>
      <c r="I1363" s="7" t="s">
        <v>16815</v>
      </c>
      <c r="J1363" s="7" t="s">
        <v>169</v>
      </c>
      <c r="K1363" s="7" t="s">
        <v>17321</v>
      </c>
      <c r="L1363" s="198" t="s">
        <v>65</v>
      </c>
      <c r="M1363" s="199"/>
      <c r="N1363" s="199"/>
    </row>
    <row r="1364">
      <c r="A1364" s="193" t="s">
        <v>18584</v>
      </c>
      <c r="B1364" s="7" t="s">
        <v>175</v>
      </c>
      <c r="C1364" s="7" t="s">
        <v>17168</v>
      </c>
      <c r="D1364" s="199"/>
      <c r="E1364" s="193"/>
      <c r="F1364" s="195" t="s">
        <v>18585</v>
      </c>
      <c r="G1364" s="196">
        <v>9.340272704E9</v>
      </c>
      <c r="H1364" s="197">
        <v>43.3</v>
      </c>
      <c r="I1364" s="7" t="s">
        <v>16908</v>
      </c>
      <c r="J1364" s="7" t="s">
        <v>175</v>
      </c>
      <c r="K1364" s="7" t="s">
        <v>17168</v>
      </c>
      <c r="L1364" s="198" t="s">
        <v>65</v>
      </c>
      <c r="M1364" s="199"/>
      <c r="N1364" s="199"/>
    </row>
    <row r="1365">
      <c r="A1365" s="193" t="s">
        <v>18586</v>
      </c>
      <c r="B1365" s="7" t="s">
        <v>16582</v>
      </c>
      <c r="C1365" s="7" t="s">
        <v>16817</v>
      </c>
      <c r="D1365" s="194">
        <v>2016.0</v>
      </c>
      <c r="E1365" s="193"/>
      <c r="F1365" s="195" t="s">
        <v>18587</v>
      </c>
      <c r="G1365" s="196">
        <v>9.330567563E9</v>
      </c>
      <c r="H1365" s="197">
        <v>38.94</v>
      </c>
      <c r="I1365" s="7" t="s">
        <v>16815</v>
      </c>
      <c r="J1365" s="7" t="s">
        <v>16582</v>
      </c>
      <c r="K1365" s="7" t="s">
        <v>16817</v>
      </c>
      <c r="L1365" s="198" t="s">
        <v>65</v>
      </c>
      <c r="M1365" s="194"/>
      <c r="N1365" s="194"/>
    </row>
    <row r="1366">
      <c r="A1366" s="193" t="s">
        <v>18588</v>
      </c>
      <c r="B1366" s="7" t="s">
        <v>175</v>
      </c>
      <c r="C1366" s="7" t="s">
        <v>18063</v>
      </c>
      <c r="D1366" s="194">
        <v>1997.0</v>
      </c>
      <c r="E1366" s="193"/>
      <c r="F1366" s="195" t="s">
        <v>18589</v>
      </c>
      <c r="G1366" s="196">
        <v>9.327416919E9</v>
      </c>
      <c r="H1366" s="197">
        <v>79.96</v>
      </c>
      <c r="I1366" s="7" t="s">
        <v>16908</v>
      </c>
      <c r="J1366" s="7" t="s">
        <v>175</v>
      </c>
      <c r="K1366" s="7" t="s">
        <v>18063</v>
      </c>
      <c r="L1366" s="198" t="s">
        <v>65</v>
      </c>
      <c r="M1366" s="194"/>
      <c r="N1366" s="194"/>
    </row>
    <row r="1367">
      <c r="A1367" s="193" t="s">
        <v>18590</v>
      </c>
      <c r="B1367" s="7" t="s">
        <v>16582</v>
      </c>
      <c r="C1367" s="7" t="s">
        <v>16817</v>
      </c>
      <c r="D1367" s="194">
        <v>2018.0</v>
      </c>
      <c r="E1367" s="193"/>
      <c r="F1367" s="195" t="s">
        <v>18591</v>
      </c>
      <c r="G1367" s="196">
        <v>9.200630492E9</v>
      </c>
      <c r="H1367" s="197">
        <v>26.61</v>
      </c>
      <c r="I1367" s="7" t="s">
        <v>16815</v>
      </c>
      <c r="J1367" s="7" t="s">
        <v>16582</v>
      </c>
      <c r="K1367" s="7" t="s">
        <v>16817</v>
      </c>
      <c r="L1367" s="198" t="s">
        <v>65</v>
      </c>
      <c r="M1367" s="194"/>
      <c r="N1367" s="194"/>
    </row>
    <row r="1368">
      <c r="A1368" s="193" t="s">
        <v>18592</v>
      </c>
      <c r="B1368" s="7" t="s">
        <v>17794</v>
      </c>
      <c r="C1368" s="7" t="s">
        <v>16919</v>
      </c>
      <c r="D1368" s="199"/>
      <c r="E1368" s="193"/>
      <c r="F1368" s="195" t="s">
        <v>18593</v>
      </c>
      <c r="G1368" s="200">
        <v>9.197493058E9</v>
      </c>
      <c r="H1368" s="197">
        <v>33.67</v>
      </c>
      <c r="I1368" s="193" t="s">
        <v>16815</v>
      </c>
      <c r="J1368" s="7" t="s">
        <v>17794</v>
      </c>
      <c r="K1368" s="7" t="s">
        <v>16919</v>
      </c>
      <c r="L1368" s="201" t="s">
        <v>16835</v>
      </c>
      <c r="M1368" s="199"/>
      <c r="N1368" s="199"/>
    </row>
    <row r="1369">
      <c r="A1369" s="193" t="s">
        <v>18592</v>
      </c>
      <c r="B1369" s="7" t="s">
        <v>16919</v>
      </c>
      <c r="C1369" s="7" t="s">
        <v>17794</v>
      </c>
      <c r="D1369" s="199"/>
      <c r="E1369" s="193"/>
      <c r="F1369" s="195" t="s">
        <v>18593</v>
      </c>
      <c r="G1369" s="196">
        <v>9.197493058E9</v>
      </c>
      <c r="H1369" s="197">
        <v>33.67</v>
      </c>
      <c r="I1369" s="7" t="s">
        <v>16815</v>
      </c>
      <c r="J1369" s="7" t="s">
        <v>16919</v>
      </c>
      <c r="K1369" s="7" t="s">
        <v>17794</v>
      </c>
      <c r="L1369" s="198" t="s">
        <v>65</v>
      </c>
      <c r="M1369" s="199"/>
      <c r="N1369" s="199"/>
    </row>
    <row r="1370">
      <c r="A1370" s="193" t="s">
        <v>18594</v>
      </c>
      <c r="B1370" s="7" t="s">
        <v>16838</v>
      </c>
      <c r="C1370" s="7" t="s">
        <v>16867</v>
      </c>
      <c r="D1370" s="199"/>
      <c r="E1370" s="193"/>
      <c r="F1370" s="195" t="s">
        <v>18595</v>
      </c>
      <c r="G1370" s="196">
        <v>9.149898341E9</v>
      </c>
      <c r="H1370" s="197">
        <v>37.63</v>
      </c>
      <c r="I1370" s="7" t="s">
        <v>16815</v>
      </c>
      <c r="J1370" s="7" t="s">
        <v>16838</v>
      </c>
      <c r="K1370" s="7" t="s">
        <v>16867</v>
      </c>
      <c r="L1370" s="198" t="s">
        <v>65</v>
      </c>
      <c r="M1370" s="199"/>
      <c r="N1370" s="199"/>
    </row>
    <row r="1371">
      <c r="A1371" s="193" t="s">
        <v>18596</v>
      </c>
      <c r="B1371" s="7" t="s">
        <v>16945</v>
      </c>
      <c r="C1371" s="7" t="s">
        <v>169</v>
      </c>
      <c r="D1371" s="199"/>
      <c r="E1371" s="193"/>
      <c r="F1371" s="195" t="s">
        <v>18597</v>
      </c>
      <c r="G1371" s="200">
        <v>9.144842323E9</v>
      </c>
      <c r="H1371" s="197">
        <v>77.13</v>
      </c>
      <c r="I1371" s="7" t="s">
        <v>16815</v>
      </c>
      <c r="J1371" s="7" t="s">
        <v>16945</v>
      </c>
      <c r="K1371" s="7" t="s">
        <v>169</v>
      </c>
      <c r="L1371" s="201" t="s">
        <v>16835</v>
      </c>
      <c r="M1371" s="199"/>
      <c r="N1371" s="199"/>
    </row>
    <row r="1372">
      <c r="A1372" s="193" t="s">
        <v>18596</v>
      </c>
      <c r="B1372" s="7" t="s">
        <v>169</v>
      </c>
      <c r="C1372" s="7" t="s">
        <v>16945</v>
      </c>
      <c r="D1372" s="199"/>
      <c r="E1372" s="193"/>
      <c r="F1372" s="195" t="s">
        <v>18597</v>
      </c>
      <c r="G1372" s="196">
        <v>9.144842323E9</v>
      </c>
      <c r="H1372" s="197">
        <v>77.13</v>
      </c>
      <c r="I1372" s="7" t="s">
        <v>16815</v>
      </c>
      <c r="J1372" s="7" t="s">
        <v>169</v>
      </c>
      <c r="K1372" s="7" t="s">
        <v>16945</v>
      </c>
      <c r="L1372" s="198" t="s">
        <v>65</v>
      </c>
      <c r="M1372" s="199"/>
      <c r="N1372" s="199"/>
    </row>
    <row r="1373">
      <c r="A1373" s="193" t="s">
        <v>18598</v>
      </c>
      <c r="B1373" s="7" t="s">
        <v>175</v>
      </c>
      <c r="C1373" s="7" t="s">
        <v>16861</v>
      </c>
      <c r="D1373" s="194">
        <v>2018.0</v>
      </c>
      <c r="E1373" s="193"/>
      <c r="F1373" s="195" t="s">
        <v>18599</v>
      </c>
      <c r="G1373" s="196">
        <v>9.133864797E9</v>
      </c>
      <c r="H1373" s="197">
        <v>68.3</v>
      </c>
      <c r="I1373" s="7" t="s">
        <v>16908</v>
      </c>
      <c r="J1373" s="7" t="s">
        <v>175</v>
      </c>
      <c r="K1373" s="7" t="s">
        <v>16861</v>
      </c>
      <c r="L1373" s="198" t="s">
        <v>65</v>
      </c>
      <c r="M1373" s="194"/>
      <c r="N1373" s="194"/>
    </row>
    <row r="1374">
      <c r="A1374" s="193" t="s">
        <v>18598</v>
      </c>
      <c r="B1374" s="7" t="s">
        <v>16861</v>
      </c>
      <c r="C1374" s="7" t="s">
        <v>175</v>
      </c>
      <c r="D1374" s="194">
        <v>2018.0</v>
      </c>
      <c r="E1374" s="193"/>
      <c r="F1374" s="195" t="s">
        <v>18599</v>
      </c>
      <c r="G1374" s="200">
        <v>9.133864797E9</v>
      </c>
      <c r="H1374" s="197">
        <v>68.3</v>
      </c>
      <c r="I1374" s="7" t="s">
        <v>16815</v>
      </c>
      <c r="J1374" s="7" t="s">
        <v>16861</v>
      </c>
      <c r="K1374" s="7" t="s">
        <v>175</v>
      </c>
      <c r="L1374" s="201" t="s">
        <v>16835</v>
      </c>
      <c r="M1374" s="194"/>
      <c r="N1374" s="194"/>
    </row>
    <row r="1375">
      <c r="A1375" s="193" t="s">
        <v>18600</v>
      </c>
      <c r="B1375" s="7" t="s">
        <v>17233</v>
      </c>
      <c r="C1375" s="7" t="s">
        <v>169</v>
      </c>
      <c r="D1375" s="199"/>
      <c r="E1375" s="193"/>
      <c r="F1375" s="195" t="s">
        <v>18601</v>
      </c>
      <c r="G1375" s="200">
        <v>9.133614238E9</v>
      </c>
      <c r="H1375" s="197">
        <v>229.93</v>
      </c>
      <c r="I1375" s="7" t="s">
        <v>16815</v>
      </c>
      <c r="J1375" s="7" t="s">
        <v>17233</v>
      </c>
      <c r="K1375" s="7" t="s">
        <v>169</v>
      </c>
      <c r="L1375" s="201" t="s">
        <v>16835</v>
      </c>
      <c r="M1375" s="199"/>
      <c r="N1375" s="199"/>
    </row>
    <row r="1376">
      <c r="A1376" s="193" t="s">
        <v>18600</v>
      </c>
      <c r="B1376" s="7" t="s">
        <v>169</v>
      </c>
      <c r="C1376" s="7" t="s">
        <v>17233</v>
      </c>
      <c r="D1376" s="199"/>
      <c r="E1376" s="193"/>
      <c r="F1376" s="195" t="s">
        <v>18601</v>
      </c>
      <c r="G1376" s="196">
        <v>9.133614238E9</v>
      </c>
      <c r="H1376" s="197">
        <v>229.93</v>
      </c>
      <c r="I1376" s="7" t="s">
        <v>16815</v>
      </c>
      <c r="J1376" s="7" t="s">
        <v>169</v>
      </c>
      <c r="K1376" s="7" t="s">
        <v>17233</v>
      </c>
      <c r="L1376" s="198" t="s">
        <v>65</v>
      </c>
      <c r="M1376" s="199"/>
      <c r="N1376" s="199"/>
    </row>
    <row r="1377">
      <c r="A1377" s="193" t="s">
        <v>18602</v>
      </c>
      <c r="B1377" s="7" t="s">
        <v>16838</v>
      </c>
      <c r="C1377" s="7" t="s">
        <v>16867</v>
      </c>
      <c r="D1377" s="199"/>
      <c r="E1377" s="193"/>
      <c r="F1377" s="195" t="s">
        <v>18603</v>
      </c>
      <c r="G1377" s="196">
        <v>9.133059499E9</v>
      </c>
      <c r="H1377" s="197">
        <v>17.9914</v>
      </c>
      <c r="I1377" s="7" t="s">
        <v>16815</v>
      </c>
      <c r="J1377" s="7" t="s">
        <v>16838</v>
      </c>
      <c r="K1377" s="7" t="s">
        <v>16867</v>
      </c>
      <c r="L1377" s="198" t="s">
        <v>65</v>
      </c>
      <c r="M1377" s="199"/>
      <c r="N1377" s="199"/>
    </row>
    <row r="1378">
      <c r="A1378" s="193" t="s">
        <v>18604</v>
      </c>
      <c r="B1378" s="7" t="s">
        <v>187</v>
      </c>
      <c r="C1378" s="7" t="s">
        <v>16858</v>
      </c>
      <c r="D1378" s="199"/>
      <c r="E1378" s="193"/>
      <c r="F1378" s="195" t="s">
        <v>18605</v>
      </c>
      <c r="G1378" s="196">
        <v>9.092065289E9</v>
      </c>
      <c r="H1378" s="197">
        <v>57.49</v>
      </c>
      <c r="I1378" s="7" t="s">
        <v>16815</v>
      </c>
      <c r="J1378" s="7" t="s">
        <v>187</v>
      </c>
      <c r="K1378" s="7" t="s">
        <v>16858</v>
      </c>
      <c r="L1378" s="198" t="s">
        <v>65</v>
      </c>
      <c r="M1378" s="199"/>
      <c r="N1378" s="199"/>
    </row>
    <row r="1379">
      <c r="A1379" s="193" t="s">
        <v>18606</v>
      </c>
      <c r="B1379" s="7" t="s">
        <v>16838</v>
      </c>
      <c r="C1379" s="7" t="s">
        <v>17127</v>
      </c>
      <c r="D1379" s="199"/>
      <c r="E1379" s="193"/>
      <c r="F1379" s="195" t="s">
        <v>18607</v>
      </c>
      <c r="G1379" s="196">
        <v>9.085703386E9</v>
      </c>
      <c r="H1379" s="197">
        <v>108.45</v>
      </c>
      <c r="I1379" s="7" t="s">
        <v>186</v>
      </c>
      <c r="J1379" s="7" t="s">
        <v>16838</v>
      </c>
      <c r="K1379" s="7" t="s">
        <v>17127</v>
      </c>
      <c r="L1379" s="198" t="s">
        <v>65</v>
      </c>
      <c r="M1379" s="199"/>
      <c r="N1379" s="199"/>
    </row>
    <row r="1380">
      <c r="A1380" s="193" t="s">
        <v>18606</v>
      </c>
      <c r="B1380" s="7" t="s">
        <v>17127</v>
      </c>
      <c r="C1380" s="7" t="s">
        <v>16838</v>
      </c>
      <c r="D1380" s="199"/>
      <c r="E1380" s="193"/>
      <c r="F1380" s="195" t="s">
        <v>18607</v>
      </c>
      <c r="G1380" s="200">
        <v>9.085703386E9</v>
      </c>
      <c r="H1380" s="197">
        <v>108.45</v>
      </c>
      <c r="I1380" s="7" t="s">
        <v>16815</v>
      </c>
      <c r="J1380" s="7" t="s">
        <v>17127</v>
      </c>
      <c r="K1380" s="7" t="s">
        <v>16838</v>
      </c>
      <c r="L1380" s="201" t="s">
        <v>16835</v>
      </c>
      <c r="M1380" s="199"/>
      <c r="N1380" s="199"/>
    </row>
    <row r="1381">
      <c r="A1381" s="193" t="s">
        <v>18608</v>
      </c>
      <c r="B1381" s="7" t="s">
        <v>175</v>
      </c>
      <c r="C1381" s="7" t="s">
        <v>17452</v>
      </c>
      <c r="D1381" s="194">
        <v>2013.0</v>
      </c>
      <c r="E1381" s="193"/>
      <c r="F1381" s="195" t="s">
        <v>18609</v>
      </c>
      <c r="G1381" s="196">
        <v>9.085135205E9</v>
      </c>
      <c r="H1381" s="197">
        <v>103.49</v>
      </c>
      <c r="I1381" s="7" t="s">
        <v>16826</v>
      </c>
      <c r="J1381" s="7" t="s">
        <v>175</v>
      </c>
      <c r="K1381" s="7" t="s">
        <v>17452</v>
      </c>
      <c r="L1381" s="198" t="s">
        <v>65</v>
      </c>
      <c r="M1381" s="194"/>
      <c r="N1381" s="194"/>
    </row>
    <row r="1382">
      <c r="A1382" s="193" t="s">
        <v>18608</v>
      </c>
      <c r="B1382" s="7" t="s">
        <v>17452</v>
      </c>
      <c r="C1382" s="7" t="s">
        <v>175</v>
      </c>
      <c r="D1382" s="194">
        <v>2013.0</v>
      </c>
      <c r="E1382" s="193"/>
      <c r="F1382" s="195" t="s">
        <v>18609</v>
      </c>
      <c r="G1382" s="200">
        <v>9.085135205E9</v>
      </c>
      <c r="H1382" s="197">
        <v>103.49</v>
      </c>
      <c r="I1382" s="7" t="s">
        <v>16815</v>
      </c>
      <c r="J1382" s="7" t="s">
        <v>17452</v>
      </c>
      <c r="K1382" s="7" t="s">
        <v>175</v>
      </c>
      <c r="L1382" s="201" t="s">
        <v>16835</v>
      </c>
      <c r="M1382" s="194"/>
      <c r="N1382" s="194"/>
    </row>
    <row r="1383">
      <c r="A1383" s="193" t="s">
        <v>18610</v>
      </c>
      <c r="B1383" s="7" t="s">
        <v>17104</v>
      </c>
      <c r="C1383" s="7" t="s">
        <v>16838</v>
      </c>
      <c r="D1383" s="194">
        <v>2018.0</v>
      </c>
      <c r="E1383" s="193"/>
      <c r="F1383" s="195" t="s">
        <v>18611</v>
      </c>
      <c r="G1383" s="200">
        <v>8.99360246E9</v>
      </c>
      <c r="H1383" s="197">
        <v>26.57</v>
      </c>
      <c r="I1383" s="7" t="s">
        <v>16815</v>
      </c>
      <c r="J1383" s="7" t="s">
        <v>17104</v>
      </c>
      <c r="K1383" s="7" t="s">
        <v>16838</v>
      </c>
      <c r="L1383" s="201" t="s">
        <v>16835</v>
      </c>
      <c r="M1383" s="194"/>
      <c r="N1383" s="194"/>
    </row>
    <row r="1384">
      <c r="A1384" s="193" t="s">
        <v>18610</v>
      </c>
      <c r="B1384" s="7" t="s">
        <v>16838</v>
      </c>
      <c r="C1384" s="7" t="s">
        <v>17104</v>
      </c>
      <c r="D1384" s="194">
        <v>2018.0</v>
      </c>
      <c r="E1384" s="193"/>
      <c r="F1384" s="195" t="s">
        <v>18611</v>
      </c>
      <c r="G1384" s="196">
        <v>8.99360246E9</v>
      </c>
      <c r="H1384" s="197">
        <v>26.57</v>
      </c>
      <c r="I1384" s="7" t="s">
        <v>16815</v>
      </c>
      <c r="J1384" s="7" t="s">
        <v>16838</v>
      </c>
      <c r="K1384" s="7" t="s">
        <v>17104</v>
      </c>
      <c r="L1384" s="198" t="s">
        <v>65</v>
      </c>
      <c r="M1384" s="194"/>
      <c r="N1384" s="194"/>
    </row>
    <row r="1385">
      <c r="A1385" s="193" t="s">
        <v>18612</v>
      </c>
      <c r="B1385" s="7" t="s">
        <v>17347</v>
      </c>
      <c r="C1385" s="7" t="s">
        <v>16838</v>
      </c>
      <c r="D1385" s="194">
        <v>2022.0</v>
      </c>
      <c r="E1385" s="193"/>
      <c r="F1385" s="195" t="s">
        <v>18613</v>
      </c>
      <c r="G1385" s="200">
        <v>8.96724E9</v>
      </c>
      <c r="H1385" s="197">
        <v>24.84</v>
      </c>
      <c r="I1385" s="7" t="s">
        <v>16815</v>
      </c>
      <c r="J1385" s="7" t="s">
        <v>17347</v>
      </c>
      <c r="K1385" s="7" t="s">
        <v>16838</v>
      </c>
      <c r="L1385" s="201" t="s">
        <v>16835</v>
      </c>
      <c r="M1385" s="194"/>
      <c r="N1385" s="194"/>
    </row>
    <row r="1386">
      <c r="A1386" s="193" t="s">
        <v>18612</v>
      </c>
      <c r="B1386" s="7" t="s">
        <v>16838</v>
      </c>
      <c r="C1386" s="7" t="s">
        <v>17347</v>
      </c>
      <c r="D1386" s="194">
        <v>2022.0</v>
      </c>
      <c r="E1386" s="193"/>
      <c r="F1386" s="195" t="s">
        <v>18613</v>
      </c>
      <c r="G1386" s="196">
        <v>8.96724E9</v>
      </c>
      <c r="H1386" s="197">
        <v>24.84</v>
      </c>
      <c r="I1386" s="7" t="s">
        <v>16815</v>
      </c>
      <c r="J1386" s="7" t="s">
        <v>16838</v>
      </c>
      <c r="K1386" s="7" t="s">
        <v>17347</v>
      </c>
      <c r="L1386" s="198" t="s">
        <v>65</v>
      </c>
      <c r="M1386" s="194"/>
      <c r="N1386" s="194"/>
    </row>
    <row r="1387">
      <c r="A1387" s="193" t="s">
        <v>18614</v>
      </c>
      <c r="B1387" s="7" t="s">
        <v>16582</v>
      </c>
      <c r="C1387" s="7" t="s">
        <v>16828</v>
      </c>
      <c r="D1387" s="199"/>
      <c r="E1387" s="193"/>
      <c r="F1387" s="195" t="s">
        <v>18615</v>
      </c>
      <c r="G1387" s="196">
        <v>8.922711903E9</v>
      </c>
      <c r="H1387" s="197">
        <v>91.66</v>
      </c>
      <c r="I1387" s="7" t="s">
        <v>16815</v>
      </c>
      <c r="J1387" s="7" t="s">
        <v>16582</v>
      </c>
      <c r="K1387" s="7" t="s">
        <v>16828</v>
      </c>
      <c r="L1387" s="198" t="s">
        <v>65</v>
      </c>
      <c r="M1387" s="199"/>
      <c r="N1387" s="199"/>
    </row>
    <row r="1388">
      <c r="A1388" s="193" t="s">
        <v>18616</v>
      </c>
      <c r="B1388" s="7" t="s">
        <v>17259</v>
      </c>
      <c r="C1388" s="7" t="s">
        <v>187</v>
      </c>
      <c r="D1388" s="199"/>
      <c r="E1388" s="193"/>
      <c r="F1388" s="195" t="s">
        <v>18617</v>
      </c>
      <c r="G1388" s="200">
        <v>8.889331022E9</v>
      </c>
      <c r="H1388" s="197">
        <v>130.23</v>
      </c>
      <c r="I1388" s="7" t="s">
        <v>16815</v>
      </c>
      <c r="J1388" s="7" t="s">
        <v>17259</v>
      </c>
      <c r="K1388" s="7" t="s">
        <v>187</v>
      </c>
      <c r="L1388" s="201" t="s">
        <v>16835</v>
      </c>
      <c r="M1388" s="199"/>
      <c r="N1388" s="199"/>
    </row>
    <row r="1389">
      <c r="A1389" s="193" t="s">
        <v>18616</v>
      </c>
      <c r="B1389" s="7" t="s">
        <v>187</v>
      </c>
      <c r="C1389" s="7" t="s">
        <v>17259</v>
      </c>
      <c r="D1389" s="199"/>
      <c r="E1389" s="193"/>
      <c r="F1389" s="195" t="s">
        <v>18617</v>
      </c>
      <c r="G1389" s="196">
        <v>8.889331022E9</v>
      </c>
      <c r="H1389" s="197">
        <v>130.23</v>
      </c>
      <c r="I1389" s="7" t="s">
        <v>16815</v>
      </c>
      <c r="J1389" s="7" t="s">
        <v>187</v>
      </c>
      <c r="K1389" s="7" t="s">
        <v>17259</v>
      </c>
      <c r="L1389" s="198" t="s">
        <v>65</v>
      </c>
      <c r="M1389" s="199"/>
      <c r="N1389" s="199"/>
    </row>
    <row r="1390">
      <c r="A1390" s="193" t="s">
        <v>18618</v>
      </c>
      <c r="B1390" s="7" t="s">
        <v>175</v>
      </c>
      <c r="C1390" s="7" t="s">
        <v>16972</v>
      </c>
      <c r="D1390" s="199"/>
      <c r="E1390" s="193"/>
      <c r="F1390" s="195" t="s">
        <v>18619</v>
      </c>
      <c r="G1390" s="196">
        <v>8.872307891E9</v>
      </c>
      <c r="H1390" s="197">
        <v>118.94</v>
      </c>
      <c r="I1390" s="7" t="s">
        <v>16908</v>
      </c>
      <c r="J1390" s="7" t="s">
        <v>175</v>
      </c>
      <c r="K1390" s="7" t="s">
        <v>16972</v>
      </c>
      <c r="L1390" s="198" t="s">
        <v>65</v>
      </c>
      <c r="M1390" s="199"/>
      <c r="N1390" s="199"/>
    </row>
    <row r="1391">
      <c r="A1391" s="193" t="s">
        <v>18620</v>
      </c>
      <c r="B1391" s="7" t="s">
        <v>169</v>
      </c>
      <c r="C1391" s="7" t="s">
        <v>17827</v>
      </c>
      <c r="D1391" s="194">
        <v>1980.0</v>
      </c>
      <c r="E1391" s="193"/>
      <c r="F1391" s="195" t="s">
        <v>18621</v>
      </c>
      <c r="G1391" s="196">
        <v>8.861297487E9</v>
      </c>
      <c r="H1391" s="197">
        <v>304.04</v>
      </c>
      <c r="I1391" s="7" t="s">
        <v>16815</v>
      </c>
      <c r="J1391" s="7" t="s">
        <v>169</v>
      </c>
      <c r="K1391" s="7" t="s">
        <v>17827</v>
      </c>
      <c r="L1391" s="198" t="s">
        <v>65</v>
      </c>
      <c r="M1391" s="194"/>
      <c r="N1391" s="194"/>
    </row>
    <row r="1392">
      <c r="A1392" s="193" t="s">
        <v>18620</v>
      </c>
      <c r="B1392" s="7" t="s">
        <v>17827</v>
      </c>
      <c r="C1392" s="7" t="s">
        <v>169</v>
      </c>
      <c r="D1392" s="194">
        <v>1980.0</v>
      </c>
      <c r="E1392" s="193"/>
      <c r="F1392" s="195" t="s">
        <v>18621</v>
      </c>
      <c r="G1392" s="200">
        <v>8.861297487E9</v>
      </c>
      <c r="H1392" s="197">
        <v>304.04</v>
      </c>
      <c r="I1392" s="7" t="s">
        <v>16815</v>
      </c>
      <c r="J1392" s="7" t="s">
        <v>17827</v>
      </c>
      <c r="K1392" s="7" t="s">
        <v>169</v>
      </c>
      <c r="L1392" s="201" t="s">
        <v>16835</v>
      </c>
      <c r="M1392" s="194"/>
      <c r="N1392" s="194"/>
    </row>
    <row r="1393">
      <c r="A1393" s="193" t="s">
        <v>18622</v>
      </c>
      <c r="B1393" s="7" t="s">
        <v>187</v>
      </c>
      <c r="C1393" s="7" t="s">
        <v>17559</v>
      </c>
      <c r="D1393" s="194">
        <v>2000.0</v>
      </c>
      <c r="E1393" s="193"/>
      <c r="F1393" s="195" t="s">
        <v>18623</v>
      </c>
      <c r="G1393" s="196">
        <v>8.82253732E9</v>
      </c>
      <c r="H1393" s="197">
        <v>171.99</v>
      </c>
      <c r="I1393" s="7" t="s">
        <v>16815</v>
      </c>
      <c r="J1393" s="7" t="s">
        <v>187</v>
      </c>
      <c r="K1393" s="7" t="s">
        <v>17559</v>
      </c>
      <c r="L1393" s="198" t="s">
        <v>65</v>
      </c>
      <c r="M1393" s="194"/>
      <c r="N1393" s="194"/>
    </row>
    <row r="1394">
      <c r="A1394" s="193" t="s">
        <v>18622</v>
      </c>
      <c r="B1394" s="7" t="s">
        <v>17559</v>
      </c>
      <c r="C1394" s="7" t="s">
        <v>187</v>
      </c>
      <c r="D1394" s="194">
        <v>2000.0</v>
      </c>
      <c r="E1394" s="193"/>
      <c r="F1394" s="195" t="s">
        <v>18623</v>
      </c>
      <c r="G1394" s="200">
        <v>8.82253732E9</v>
      </c>
      <c r="H1394" s="197">
        <v>171.99</v>
      </c>
      <c r="I1394" s="7" t="s">
        <v>16815</v>
      </c>
      <c r="J1394" s="7" t="s">
        <v>17559</v>
      </c>
      <c r="K1394" s="7" t="s">
        <v>187</v>
      </c>
      <c r="L1394" s="201" t="s">
        <v>16835</v>
      </c>
      <c r="M1394" s="194"/>
      <c r="N1394" s="194"/>
    </row>
    <row r="1395">
      <c r="A1395" s="193" t="s">
        <v>18624</v>
      </c>
      <c r="B1395" s="7" t="s">
        <v>175</v>
      </c>
      <c r="C1395" s="7" t="s">
        <v>17475</v>
      </c>
      <c r="D1395" s="194">
        <v>2014.0</v>
      </c>
      <c r="E1395" s="193"/>
      <c r="F1395" s="195" t="s">
        <v>18625</v>
      </c>
      <c r="G1395" s="196">
        <v>8.817608878E9</v>
      </c>
      <c r="H1395" s="197">
        <v>113.18</v>
      </c>
      <c r="I1395" s="7" t="s">
        <v>16856</v>
      </c>
      <c r="J1395" s="7" t="s">
        <v>175</v>
      </c>
      <c r="K1395" s="7" t="s">
        <v>17475</v>
      </c>
      <c r="L1395" s="198" t="s">
        <v>65</v>
      </c>
      <c r="M1395" s="194"/>
      <c r="N1395" s="194"/>
    </row>
    <row r="1396">
      <c r="A1396" s="193" t="s">
        <v>18624</v>
      </c>
      <c r="B1396" s="7" t="s">
        <v>17475</v>
      </c>
      <c r="C1396" s="7" t="s">
        <v>175</v>
      </c>
      <c r="D1396" s="194">
        <v>2014.0</v>
      </c>
      <c r="E1396" s="193"/>
      <c r="F1396" s="195" t="s">
        <v>18625</v>
      </c>
      <c r="G1396" s="200">
        <v>8.817608878E9</v>
      </c>
      <c r="H1396" s="197">
        <v>113.18</v>
      </c>
      <c r="I1396" s="7" t="s">
        <v>16815</v>
      </c>
      <c r="J1396" s="7" t="s">
        <v>17475</v>
      </c>
      <c r="K1396" s="7" t="s">
        <v>175</v>
      </c>
      <c r="L1396" s="201" t="s">
        <v>16835</v>
      </c>
      <c r="M1396" s="194"/>
      <c r="N1396" s="194"/>
    </row>
    <row r="1397">
      <c r="A1397" s="193" t="s">
        <v>18626</v>
      </c>
      <c r="B1397" s="7" t="s">
        <v>16838</v>
      </c>
      <c r="C1397" s="7" t="s">
        <v>17019</v>
      </c>
      <c r="D1397" s="194">
        <v>2019.0</v>
      </c>
      <c r="E1397" s="193"/>
      <c r="F1397" s="195" t="s">
        <v>18627</v>
      </c>
      <c r="G1397" s="196">
        <v>8.814861463E9</v>
      </c>
      <c r="H1397" s="197">
        <v>82.37</v>
      </c>
      <c r="I1397" s="7" t="s">
        <v>16815</v>
      </c>
      <c r="J1397" s="7" t="s">
        <v>16838</v>
      </c>
      <c r="K1397" s="7" t="s">
        <v>17019</v>
      </c>
      <c r="L1397" s="198" t="s">
        <v>65</v>
      </c>
      <c r="M1397" s="194"/>
      <c r="N1397" s="194"/>
    </row>
    <row r="1398">
      <c r="A1398" s="193" t="s">
        <v>18628</v>
      </c>
      <c r="B1398" s="7" t="s">
        <v>16582</v>
      </c>
      <c r="C1398" s="7" t="s">
        <v>17435</v>
      </c>
      <c r="D1398" s="194">
        <v>2003.0</v>
      </c>
      <c r="E1398" s="193"/>
      <c r="F1398" s="195" t="s">
        <v>18629</v>
      </c>
      <c r="G1398" s="196">
        <v>8.797348544E9</v>
      </c>
      <c r="H1398" s="197">
        <v>95.26</v>
      </c>
      <c r="I1398" s="7" t="s">
        <v>16815</v>
      </c>
      <c r="J1398" s="7" t="s">
        <v>16582</v>
      </c>
      <c r="K1398" s="7" t="s">
        <v>17435</v>
      </c>
      <c r="L1398" s="198" t="s">
        <v>65</v>
      </c>
      <c r="M1398" s="194"/>
      <c r="N1398" s="194"/>
    </row>
    <row r="1399">
      <c r="A1399" s="193" t="s">
        <v>18628</v>
      </c>
      <c r="B1399" s="7" t="s">
        <v>17435</v>
      </c>
      <c r="C1399" s="7" t="s">
        <v>16582</v>
      </c>
      <c r="D1399" s="194">
        <v>2003.0</v>
      </c>
      <c r="E1399" s="193"/>
      <c r="F1399" s="195" t="s">
        <v>18629</v>
      </c>
      <c r="G1399" s="200">
        <v>8.797348544E9</v>
      </c>
      <c r="H1399" s="197">
        <v>95.26</v>
      </c>
      <c r="I1399" s="7" t="s">
        <v>16815</v>
      </c>
      <c r="J1399" s="7" t="s">
        <v>17435</v>
      </c>
      <c r="K1399" s="7" t="s">
        <v>16582</v>
      </c>
      <c r="L1399" s="201" t="s">
        <v>16835</v>
      </c>
      <c r="M1399" s="194"/>
      <c r="N1399" s="194"/>
    </row>
    <row r="1400">
      <c r="A1400" s="193" t="s">
        <v>18630</v>
      </c>
      <c r="B1400" s="7" t="s">
        <v>16582</v>
      </c>
      <c r="C1400" s="7" t="s">
        <v>16817</v>
      </c>
      <c r="D1400" s="194">
        <v>2021.0</v>
      </c>
      <c r="E1400" s="193"/>
      <c r="F1400" s="195" t="s">
        <v>18631</v>
      </c>
      <c r="G1400" s="196">
        <v>8.78641426E9</v>
      </c>
      <c r="H1400" s="197">
        <v>211.53</v>
      </c>
      <c r="I1400" s="7" t="s">
        <v>16815</v>
      </c>
      <c r="J1400" s="7" t="s">
        <v>16582</v>
      </c>
      <c r="K1400" s="7" t="s">
        <v>16817</v>
      </c>
      <c r="L1400" s="198" t="s">
        <v>65</v>
      </c>
      <c r="M1400" s="194"/>
      <c r="N1400" s="194"/>
    </row>
    <row r="1401">
      <c r="A1401" s="193" t="s">
        <v>18632</v>
      </c>
      <c r="B1401" s="7" t="s">
        <v>18633</v>
      </c>
      <c r="C1401" s="7" t="s">
        <v>187</v>
      </c>
      <c r="D1401" s="199"/>
      <c r="E1401" s="193"/>
      <c r="F1401" s="195" t="s">
        <v>16634</v>
      </c>
      <c r="G1401" s="200">
        <v>8.767016371E9</v>
      </c>
      <c r="H1401" s="197">
        <v>582.05</v>
      </c>
      <c r="I1401" s="7" t="s">
        <v>16815</v>
      </c>
      <c r="J1401" s="7" t="s">
        <v>18633</v>
      </c>
      <c r="K1401" s="7" t="s">
        <v>187</v>
      </c>
      <c r="L1401" s="201" t="s">
        <v>16835</v>
      </c>
      <c r="M1401" s="199"/>
      <c r="N1401" s="199"/>
    </row>
    <row r="1402">
      <c r="A1402" s="193" t="s">
        <v>18632</v>
      </c>
      <c r="B1402" s="7" t="s">
        <v>187</v>
      </c>
      <c r="C1402" s="7" t="s">
        <v>18633</v>
      </c>
      <c r="D1402" s="199"/>
      <c r="E1402" s="193"/>
      <c r="F1402" s="195" t="s">
        <v>16634</v>
      </c>
      <c r="G1402" s="196">
        <v>8.767016371E9</v>
      </c>
      <c r="H1402" s="197">
        <v>582.05</v>
      </c>
      <c r="I1402" s="7" t="s">
        <v>16815</v>
      </c>
      <c r="J1402" s="7" t="s">
        <v>187</v>
      </c>
      <c r="K1402" s="7" t="s">
        <v>18633</v>
      </c>
      <c r="L1402" s="198" t="s">
        <v>65</v>
      </c>
      <c r="M1402" s="199"/>
      <c r="N1402" s="199"/>
    </row>
    <row r="1403">
      <c r="A1403" s="193" t="s">
        <v>18634</v>
      </c>
      <c r="B1403" s="7" t="s">
        <v>175</v>
      </c>
      <c r="C1403" s="7" t="s">
        <v>16878</v>
      </c>
      <c r="D1403" s="194">
        <v>2013.0</v>
      </c>
      <c r="E1403" s="193"/>
      <c r="F1403" s="195" t="s">
        <v>18635</v>
      </c>
      <c r="G1403" s="196">
        <v>8.729459501E9</v>
      </c>
      <c r="H1403" s="197">
        <v>9.79</v>
      </c>
      <c r="I1403" s="7" t="s">
        <v>16908</v>
      </c>
      <c r="J1403" s="7" t="s">
        <v>175</v>
      </c>
      <c r="K1403" s="7" t="s">
        <v>16878</v>
      </c>
      <c r="L1403" s="198" t="s">
        <v>65</v>
      </c>
      <c r="M1403" s="194"/>
      <c r="N1403" s="194"/>
    </row>
    <row r="1404">
      <c r="A1404" s="193" t="s">
        <v>18634</v>
      </c>
      <c r="B1404" s="7" t="s">
        <v>16878</v>
      </c>
      <c r="C1404" s="7" t="s">
        <v>175</v>
      </c>
      <c r="D1404" s="194">
        <v>2013.0</v>
      </c>
      <c r="E1404" s="193"/>
      <c r="F1404" s="195" t="s">
        <v>18635</v>
      </c>
      <c r="G1404" s="200">
        <v>8.729459501E9</v>
      </c>
      <c r="H1404" s="197">
        <v>9.79</v>
      </c>
      <c r="I1404" s="7" t="s">
        <v>16815</v>
      </c>
      <c r="J1404" s="7" t="s">
        <v>16878</v>
      </c>
      <c r="K1404" s="7" t="s">
        <v>175</v>
      </c>
      <c r="L1404" s="201" t="s">
        <v>16835</v>
      </c>
      <c r="M1404" s="194"/>
      <c r="N1404" s="194"/>
    </row>
    <row r="1405">
      <c r="A1405" s="193" t="s">
        <v>18636</v>
      </c>
      <c r="B1405" s="7" t="s">
        <v>169</v>
      </c>
      <c r="C1405" s="7" t="s">
        <v>110</v>
      </c>
      <c r="D1405" s="199"/>
      <c r="E1405" s="193"/>
      <c r="F1405" s="195" t="s">
        <v>18637</v>
      </c>
      <c r="G1405" s="196">
        <v>8.722491311E9</v>
      </c>
      <c r="H1405" s="197">
        <v>161.27</v>
      </c>
      <c r="I1405" s="7" t="s">
        <v>16815</v>
      </c>
      <c r="J1405" s="7" t="s">
        <v>169</v>
      </c>
      <c r="K1405" s="7" t="s">
        <v>110</v>
      </c>
      <c r="L1405" s="198" t="s">
        <v>65</v>
      </c>
      <c r="M1405" s="199"/>
      <c r="N1405" s="199"/>
    </row>
    <row r="1406">
      <c r="A1406" s="193" t="s">
        <v>18636</v>
      </c>
      <c r="B1406" s="7" t="s">
        <v>110</v>
      </c>
      <c r="C1406" s="7" t="s">
        <v>169</v>
      </c>
      <c r="D1406" s="199"/>
      <c r="E1406" s="193"/>
      <c r="F1406" s="195" t="s">
        <v>18637</v>
      </c>
      <c r="G1406" s="200">
        <v>8.722491311E9</v>
      </c>
      <c r="H1406" s="197">
        <v>161.27</v>
      </c>
      <c r="I1406" s="7" t="s">
        <v>16815</v>
      </c>
      <c r="J1406" s="7" t="s">
        <v>110</v>
      </c>
      <c r="K1406" s="7" t="s">
        <v>169</v>
      </c>
      <c r="L1406" s="201" t="s">
        <v>16835</v>
      </c>
      <c r="M1406" s="199"/>
      <c r="N1406" s="199"/>
    </row>
    <row r="1407">
      <c r="A1407" s="193" t="s">
        <v>18638</v>
      </c>
      <c r="B1407" s="7" t="s">
        <v>17111</v>
      </c>
      <c r="C1407" s="7" t="s">
        <v>17112</v>
      </c>
      <c r="D1407" s="199"/>
      <c r="E1407" s="193"/>
      <c r="F1407" s="195" t="s">
        <v>18639</v>
      </c>
      <c r="G1407" s="200">
        <v>8.720365203E9</v>
      </c>
      <c r="H1407" s="197">
        <v>15.94</v>
      </c>
      <c r="I1407" s="7" t="s">
        <v>16815</v>
      </c>
      <c r="J1407" s="7" t="s">
        <v>17111</v>
      </c>
      <c r="K1407" s="7" t="s">
        <v>17112</v>
      </c>
      <c r="L1407" s="201" t="s">
        <v>16835</v>
      </c>
      <c r="M1407" s="199"/>
      <c r="N1407" s="199"/>
    </row>
    <row r="1408">
      <c r="A1408" s="193" t="s">
        <v>18638</v>
      </c>
      <c r="B1408" s="7" t="s">
        <v>17112</v>
      </c>
      <c r="C1408" s="7" t="s">
        <v>17111</v>
      </c>
      <c r="D1408" s="199"/>
      <c r="E1408" s="193"/>
      <c r="F1408" s="195" t="s">
        <v>18639</v>
      </c>
      <c r="G1408" s="196">
        <v>8.720365203E9</v>
      </c>
      <c r="H1408" s="197">
        <v>15.94</v>
      </c>
      <c r="I1408" s="7" t="s">
        <v>16815</v>
      </c>
      <c r="J1408" s="7" t="s">
        <v>17112</v>
      </c>
      <c r="K1408" s="7" t="s">
        <v>17111</v>
      </c>
      <c r="L1408" s="198" t="s">
        <v>65</v>
      </c>
      <c r="M1408" s="199"/>
      <c r="N1408" s="199"/>
    </row>
    <row r="1409">
      <c r="A1409" s="193" t="s">
        <v>18640</v>
      </c>
      <c r="B1409" s="7" t="s">
        <v>175</v>
      </c>
      <c r="C1409" s="7" t="s">
        <v>18641</v>
      </c>
      <c r="D1409" s="199"/>
      <c r="E1409" s="193"/>
      <c r="F1409" s="195" t="s">
        <v>18642</v>
      </c>
      <c r="G1409" s="196">
        <v>8.704210786E9</v>
      </c>
      <c r="H1409" s="197">
        <v>83.82</v>
      </c>
      <c r="I1409" s="7" t="s">
        <v>16844</v>
      </c>
      <c r="J1409" s="7" t="s">
        <v>175</v>
      </c>
      <c r="K1409" s="7" t="s">
        <v>18641</v>
      </c>
      <c r="L1409" s="198" t="s">
        <v>65</v>
      </c>
      <c r="M1409" s="199"/>
      <c r="N1409" s="199"/>
    </row>
    <row r="1410">
      <c r="A1410" s="193" t="s">
        <v>18640</v>
      </c>
      <c r="B1410" s="7" t="s">
        <v>18641</v>
      </c>
      <c r="C1410" s="7" t="s">
        <v>175</v>
      </c>
      <c r="D1410" s="199"/>
      <c r="E1410" s="193"/>
      <c r="F1410" s="195" t="s">
        <v>18642</v>
      </c>
      <c r="G1410" s="200">
        <v>8.704210786E9</v>
      </c>
      <c r="H1410" s="197">
        <v>83.82</v>
      </c>
      <c r="I1410" s="7" t="s">
        <v>16815</v>
      </c>
      <c r="J1410" s="7" t="s">
        <v>18641</v>
      </c>
      <c r="K1410" s="7" t="s">
        <v>175</v>
      </c>
      <c r="L1410" s="201" t="s">
        <v>16835</v>
      </c>
      <c r="M1410" s="199"/>
      <c r="N1410" s="199"/>
    </row>
    <row r="1411">
      <c r="A1411" s="193" t="s">
        <v>18643</v>
      </c>
      <c r="B1411" s="7" t="s">
        <v>175</v>
      </c>
      <c r="C1411" s="7" t="s">
        <v>16842</v>
      </c>
      <c r="D1411" s="199"/>
      <c r="E1411" s="193"/>
      <c r="F1411" s="195" t="s">
        <v>18644</v>
      </c>
      <c r="G1411" s="196">
        <v>8.699831063E9</v>
      </c>
      <c r="H1411" s="197">
        <v>3.8</v>
      </c>
      <c r="I1411" s="7" t="s">
        <v>168</v>
      </c>
      <c r="J1411" s="7" t="s">
        <v>175</v>
      </c>
      <c r="K1411" s="7" t="s">
        <v>16842</v>
      </c>
      <c r="L1411" s="198" t="s">
        <v>65</v>
      </c>
      <c r="M1411" s="199"/>
      <c r="N1411" s="199"/>
    </row>
    <row r="1412">
      <c r="A1412" s="193" t="s">
        <v>18645</v>
      </c>
      <c r="B1412" s="7" t="s">
        <v>169</v>
      </c>
      <c r="C1412" s="7" t="s">
        <v>16899</v>
      </c>
      <c r="D1412" s="199"/>
      <c r="E1412" s="193"/>
      <c r="F1412" s="195" t="s">
        <v>18646</v>
      </c>
      <c r="G1412" s="196">
        <v>8.686072692E9</v>
      </c>
      <c r="H1412" s="197">
        <v>116.0</v>
      </c>
      <c r="I1412" s="7" t="s">
        <v>16815</v>
      </c>
      <c r="J1412" s="7" t="s">
        <v>169</v>
      </c>
      <c r="K1412" s="7" t="s">
        <v>16899</v>
      </c>
      <c r="L1412" s="198" t="s">
        <v>65</v>
      </c>
      <c r="M1412" s="199"/>
      <c r="N1412" s="199"/>
    </row>
    <row r="1413">
      <c r="A1413" s="193" t="s">
        <v>18645</v>
      </c>
      <c r="B1413" s="7" t="s">
        <v>16899</v>
      </c>
      <c r="C1413" s="7" t="s">
        <v>169</v>
      </c>
      <c r="D1413" s="199"/>
      <c r="E1413" s="193"/>
      <c r="F1413" s="195" t="s">
        <v>18646</v>
      </c>
      <c r="G1413" s="200">
        <v>8.686072692E9</v>
      </c>
      <c r="H1413" s="197">
        <v>116.0</v>
      </c>
      <c r="I1413" s="7" t="s">
        <v>16815</v>
      </c>
      <c r="J1413" s="7" t="s">
        <v>16899</v>
      </c>
      <c r="K1413" s="7" t="s">
        <v>169</v>
      </c>
      <c r="L1413" s="201" t="s">
        <v>16835</v>
      </c>
      <c r="M1413" s="199"/>
      <c r="N1413" s="199"/>
    </row>
    <row r="1414">
      <c r="A1414" s="193" t="s">
        <v>18647</v>
      </c>
      <c r="B1414" s="7" t="s">
        <v>158</v>
      </c>
      <c r="C1414" s="7" t="s">
        <v>16864</v>
      </c>
      <c r="D1414" s="199"/>
      <c r="E1414" s="193"/>
      <c r="F1414" s="195" t="s">
        <v>18648</v>
      </c>
      <c r="G1414" s="196">
        <v>8.674359983E9</v>
      </c>
      <c r="H1414" s="197">
        <v>66.18</v>
      </c>
      <c r="I1414" s="7" t="s">
        <v>17095</v>
      </c>
      <c r="J1414" s="7" t="s">
        <v>158</v>
      </c>
      <c r="K1414" s="7" t="s">
        <v>16864</v>
      </c>
      <c r="L1414" s="198" t="s">
        <v>65</v>
      </c>
      <c r="M1414" s="199"/>
      <c r="N1414" s="199"/>
    </row>
    <row r="1415">
      <c r="A1415" s="193" t="s">
        <v>18649</v>
      </c>
      <c r="B1415" s="7" t="s">
        <v>187</v>
      </c>
      <c r="C1415" s="7" t="s">
        <v>16858</v>
      </c>
      <c r="D1415" s="199"/>
      <c r="E1415" s="193"/>
      <c r="F1415" s="195" t="s">
        <v>18650</v>
      </c>
      <c r="G1415" s="196">
        <v>8.664746E9</v>
      </c>
      <c r="H1415" s="197">
        <v>38.05</v>
      </c>
      <c r="I1415" s="7" t="s">
        <v>16815</v>
      </c>
      <c r="J1415" s="7" t="s">
        <v>187</v>
      </c>
      <c r="K1415" s="7" t="s">
        <v>16858</v>
      </c>
      <c r="L1415" s="198" t="s">
        <v>65</v>
      </c>
      <c r="M1415" s="199"/>
      <c r="N1415" s="199"/>
    </row>
    <row r="1416">
      <c r="A1416" s="193" t="s">
        <v>18649</v>
      </c>
      <c r="B1416" s="7" t="s">
        <v>16858</v>
      </c>
      <c r="C1416" s="7" t="s">
        <v>187</v>
      </c>
      <c r="D1416" s="199"/>
      <c r="E1416" s="193"/>
      <c r="F1416" s="195" t="s">
        <v>18650</v>
      </c>
      <c r="G1416" s="200">
        <v>8.664746E9</v>
      </c>
      <c r="H1416" s="197">
        <v>38.05</v>
      </c>
      <c r="I1416" s="7" t="s">
        <v>16815</v>
      </c>
      <c r="J1416" s="7" t="s">
        <v>16858</v>
      </c>
      <c r="K1416" s="7" t="s">
        <v>187</v>
      </c>
      <c r="L1416" s="201" t="s">
        <v>16835</v>
      </c>
      <c r="M1416" s="199"/>
      <c r="N1416" s="199"/>
    </row>
    <row r="1417">
      <c r="A1417" s="193" t="s">
        <v>18651</v>
      </c>
      <c r="B1417" s="7" t="s">
        <v>16582</v>
      </c>
      <c r="C1417" s="7" t="s">
        <v>16995</v>
      </c>
      <c r="D1417" s="194">
        <v>1999.0</v>
      </c>
      <c r="E1417" s="193"/>
      <c r="F1417" s="195" t="s">
        <v>18652</v>
      </c>
      <c r="G1417" s="196">
        <v>8.65409052E9</v>
      </c>
      <c r="H1417" s="197">
        <v>27.14</v>
      </c>
      <c r="I1417" s="7" t="s">
        <v>16815</v>
      </c>
      <c r="J1417" s="7" t="s">
        <v>16582</v>
      </c>
      <c r="K1417" s="7" t="s">
        <v>16995</v>
      </c>
      <c r="L1417" s="198" t="s">
        <v>65</v>
      </c>
      <c r="M1417" s="194"/>
      <c r="N1417" s="194"/>
    </row>
    <row r="1418">
      <c r="A1418" s="193" t="s">
        <v>18651</v>
      </c>
      <c r="B1418" s="7" t="s">
        <v>16995</v>
      </c>
      <c r="C1418" s="7" t="s">
        <v>16582</v>
      </c>
      <c r="D1418" s="194">
        <v>1999.0</v>
      </c>
      <c r="E1418" s="193"/>
      <c r="F1418" s="195" t="s">
        <v>18652</v>
      </c>
      <c r="G1418" s="200">
        <v>8.65409052E9</v>
      </c>
      <c r="H1418" s="197">
        <v>27.14</v>
      </c>
      <c r="I1418" s="7" t="s">
        <v>16815</v>
      </c>
      <c r="J1418" s="7" t="s">
        <v>16995</v>
      </c>
      <c r="K1418" s="7" t="s">
        <v>16582</v>
      </c>
      <c r="L1418" s="201" t="s">
        <v>16835</v>
      </c>
      <c r="M1418" s="194"/>
      <c r="N1418" s="194"/>
    </row>
    <row r="1419">
      <c r="A1419" s="193" t="s">
        <v>18653</v>
      </c>
      <c r="B1419" s="7" t="s">
        <v>17016</v>
      </c>
      <c r="C1419" s="7" t="s">
        <v>16838</v>
      </c>
      <c r="D1419" s="199"/>
      <c r="E1419" s="193"/>
      <c r="F1419" s="195" t="s">
        <v>18654</v>
      </c>
      <c r="G1419" s="200">
        <v>8.648824384E9</v>
      </c>
      <c r="H1419" s="197">
        <v>5.42</v>
      </c>
      <c r="I1419" s="7" t="s">
        <v>16815</v>
      </c>
      <c r="J1419" s="7" t="s">
        <v>17016</v>
      </c>
      <c r="K1419" s="7" t="s">
        <v>16838</v>
      </c>
      <c r="L1419" s="201" t="s">
        <v>16835</v>
      </c>
      <c r="M1419" s="199"/>
      <c r="N1419" s="199"/>
    </row>
    <row r="1420">
      <c r="A1420" s="193" t="s">
        <v>18653</v>
      </c>
      <c r="B1420" s="7" t="s">
        <v>16838</v>
      </c>
      <c r="C1420" s="7" t="s">
        <v>17016</v>
      </c>
      <c r="D1420" s="199"/>
      <c r="E1420" s="193"/>
      <c r="F1420" s="195" t="s">
        <v>18654</v>
      </c>
      <c r="G1420" s="196">
        <v>8.648824384E9</v>
      </c>
      <c r="H1420" s="197">
        <v>5.42</v>
      </c>
      <c r="I1420" s="7" t="s">
        <v>16815</v>
      </c>
      <c r="J1420" s="7" t="s">
        <v>16838</v>
      </c>
      <c r="K1420" s="7" t="s">
        <v>17016</v>
      </c>
      <c r="L1420" s="198" t="s">
        <v>65</v>
      </c>
      <c r="M1420" s="199"/>
      <c r="N1420" s="199"/>
    </row>
    <row r="1421">
      <c r="A1421" s="193" t="s">
        <v>18655</v>
      </c>
      <c r="B1421" s="7" t="s">
        <v>175</v>
      </c>
      <c r="C1421" s="7" t="s">
        <v>17457</v>
      </c>
      <c r="D1421" s="199"/>
      <c r="E1421" s="193"/>
      <c r="F1421" s="195" t="s">
        <v>18656</v>
      </c>
      <c r="G1421" s="196">
        <v>8.63486286E9</v>
      </c>
      <c r="H1421" s="197">
        <v>80.34</v>
      </c>
      <c r="I1421" s="7" t="s">
        <v>18657</v>
      </c>
      <c r="J1421" s="7" t="s">
        <v>175</v>
      </c>
      <c r="K1421" s="7" t="s">
        <v>17457</v>
      </c>
      <c r="L1421" s="198" t="s">
        <v>65</v>
      </c>
      <c r="M1421" s="199"/>
      <c r="N1421" s="199"/>
    </row>
    <row r="1422">
      <c r="A1422" s="193" t="s">
        <v>18655</v>
      </c>
      <c r="B1422" s="7" t="s">
        <v>17457</v>
      </c>
      <c r="C1422" s="7" t="s">
        <v>175</v>
      </c>
      <c r="D1422" s="199"/>
      <c r="E1422" s="193"/>
      <c r="F1422" s="195" t="s">
        <v>18656</v>
      </c>
      <c r="G1422" s="200">
        <v>8.63486286E9</v>
      </c>
      <c r="H1422" s="197">
        <v>80.34</v>
      </c>
      <c r="I1422" s="7" t="s">
        <v>16815</v>
      </c>
      <c r="J1422" s="7" t="s">
        <v>17457</v>
      </c>
      <c r="K1422" s="7" t="s">
        <v>175</v>
      </c>
      <c r="L1422" s="201" t="s">
        <v>16835</v>
      </c>
      <c r="M1422" s="199"/>
      <c r="N1422" s="199"/>
    </row>
    <row r="1423">
      <c r="A1423" s="193" t="s">
        <v>18658</v>
      </c>
      <c r="B1423" s="7" t="s">
        <v>175</v>
      </c>
      <c r="C1423" s="7" t="s">
        <v>17757</v>
      </c>
      <c r="D1423" s="194">
        <v>2015.0</v>
      </c>
      <c r="E1423" s="193"/>
      <c r="F1423" s="195" t="s">
        <v>18659</v>
      </c>
      <c r="G1423" s="196">
        <v>8.622177444E9</v>
      </c>
      <c r="H1423" s="197">
        <v>271.36</v>
      </c>
      <c r="I1423" s="7" t="s">
        <v>16908</v>
      </c>
      <c r="J1423" s="7" t="s">
        <v>175</v>
      </c>
      <c r="K1423" s="7" t="s">
        <v>17757</v>
      </c>
      <c r="L1423" s="198" t="s">
        <v>65</v>
      </c>
      <c r="M1423" s="194"/>
      <c r="N1423" s="194"/>
    </row>
    <row r="1424">
      <c r="A1424" s="193" t="s">
        <v>18658</v>
      </c>
      <c r="B1424" s="7" t="s">
        <v>17757</v>
      </c>
      <c r="C1424" s="7" t="s">
        <v>175</v>
      </c>
      <c r="D1424" s="194">
        <v>2015.0</v>
      </c>
      <c r="E1424" s="193"/>
      <c r="F1424" s="195" t="s">
        <v>18659</v>
      </c>
      <c r="G1424" s="200">
        <v>8.622177444E9</v>
      </c>
      <c r="H1424" s="197">
        <v>271.36</v>
      </c>
      <c r="I1424" s="7" t="s">
        <v>16815</v>
      </c>
      <c r="J1424" s="7" t="s">
        <v>17757</v>
      </c>
      <c r="K1424" s="7" t="s">
        <v>175</v>
      </c>
      <c r="L1424" s="201" t="s">
        <v>16835</v>
      </c>
      <c r="M1424" s="194"/>
      <c r="N1424" s="194"/>
    </row>
    <row r="1425">
      <c r="A1425" s="193" t="s">
        <v>18660</v>
      </c>
      <c r="B1425" s="7" t="s">
        <v>175</v>
      </c>
      <c r="C1425" s="7" t="s">
        <v>16824</v>
      </c>
      <c r="D1425" s="194">
        <v>2019.0</v>
      </c>
      <c r="E1425" s="193"/>
      <c r="F1425" s="195" t="s">
        <v>18661</v>
      </c>
      <c r="G1425" s="196">
        <v>8.589392229E9</v>
      </c>
      <c r="H1425" s="197">
        <v>19.96</v>
      </c>
      <c r="I1425" s="7" t="s">
        <v>16908</v>
      </c>
      <c r="J1425" s="7" t="s">
        <v>175</v>
      </c>
      <c r="K1425" s="7" t="s">
        <v>16824</v>
      </c>
      <c r="L1425" s="198" t="s">
        <v>65</v>
      </c>
      <c r="M1425" s="194"/>
      <c r="N1425" s="194"/>
    </row>
    <row r="1426">
      <c r="A1426" s="193" t="s">
        <v>18660</v>
      </c>
      <c r="B1426" s="7" t="s">
        <v>16824</v>
      </c>
      <c r="C1426" s="7" t="s">
        <v>175</v>
      </c>
      <c r="D1426" s="194">
        <v>2019.0</v>
      </c>
      <c r="E1426" s="193"/>
      <c r="F1426" s="195" t="s">
        <v>18661</v>
      </c>
      <c r="G1426" s="200">
        <v>8.589392229E9</v>
      </c>
      <c r="H1426" s="197">
        <v>19.96</v>
      </c>
      <c r="I1426" s="7" t="s">
        <v>16815</v>
      </c>
      <c r="J1426" s="7" t="s">
        <v>16824</v>
      </c>
      <c r="K1426" s="7" t="s">
        <v>175</v>
      </c>
      <c r="L1426" s="201" t="s">
        <v>16835</v>
      </c>
      <c r="M1426" s="194"/>
      <c r="N1426" s="194"/>
    </row>
    <row r="1427">
      <c r="A1427" s="193" t="s">
        <v>18662</v>
      </c>
      <c r="B1427" s="7" t="s">
        <v>158</v>
      </c>
      <c r="C1427" s="7" t="s">
        <v>16864</v>
      </c>
      <c r="D1427" s="199"/>
      <c r="E1427" s="193"/>
      <c r="F1427" s="195" t="s">
        <v>18663</v>
      </c>
      <c r="G1427" s="196">
        <v>8.582609424E9</v>
      </c>
      <c r="H1427" s="197">
        <v>65.48</v>
      </c>
      <c r="I1427" s="7" t="s">
        <v>17095</v>
      </c>
      <c r="J1427" s="7" t="s">
        <v>158</v>
      </c>
      <c r="K1427" s="7" t="s">
        <v>16864</v>
      </c>
      <c r="L1427" s="198" t="s">
        <v>65</v>
      </c>
      <c r="M1427" s="199"/>
      <c r="N1427" s="199"/>
    </row>
    <row r="1428">
      <c r="A1428" s="193" t="s">
        <v>18664</v>
      </c>
      <c r="B1428" s="7" t="s">
        <v>16838</v>
      </c>
      <c r="C1428" s="7" t="s">
        <v>17127</v>
      </c>
      <c r="D1428" s="194">
        <v>2004.0</v>
      </c>
      <c r="E1428" s="193"/>
      <c r="F1428" s="195" t="s">
        <v>18665</v>
      </c>
      <c r="G1428" s="196">
        <v>8.575426497E9</v>
      </c>
      <c r="H1428" s="197">
        <v>163.06</v>
      </c>
      <c r="I1428" s="7" t="s">
        <v>18666</v>
      </c>
      <c r="J1428" s="7" t="s">
        <v>16838</v>
      </c>
      <c r="K1428" s="7" t="s">
        <v>17127</v>
      </c>
      <c r="L1428" s="198" t="s">
        <v>65</v>
      </c>
      <c r="M1428" s="194"/>
      <c r="N1428" s="194"/>
    </row>
    <row r="1429">
      <c r="A1429" s="193" t="s">
        <v>18664</v>
      </c>
      <c r="B1429" s="7" t="s">
        <v>17127</v>
      </c>
      <c r="C1429" s="7" t="s">
        <v>16838</v>
      </c>
      <c r="D1429" s="194">
        <v>2004.0</v>
      </c>
      <c r="E1429" s="193"/>
      <c r="F1429" s="195" t="s">
        <v>18665</v>
      </c>
      <c r="G1429" s="200">
        <v>8.575426497E9</v>
      </c>
      <c r="H1429" s="197">
        <v>163.06</v>
      </c>
      <c r="I1429" s="7" t="s">
        <v>16815</v>
      </c>
      <c r="J1429" s="7" t="s">
        <v>17127</v>
      </c>
      <c r="K1429" s="7" t="s">
        <v>16838</v>
      </c>
      <c r="L1429" s="201" t="s">
        <v>16835</v>
      </c>
      <c r="M1429" s="194"/>
      <c r="N1429" s="194"/>
    </row>
    <row r="1430">
      <c r="A1430" s="193" t="s">
        <v>18667</v>
      </c>
      <c r="B1430" s="7" t="s">
        <v>175</v>
      </c>
      <c r="C1430" s="7" t="s">
        <v>16854</v>
      </c>
      <c r="D1430" s="199"/>
      <c r="E1430" s="193"/>
      <c r="F1430" s="195" t="s">
        <v>18668</v>
      </c>
      <c r="G1430" s="196">
        <v>8.573235899E9</v>
      </c>
      <c r="H1430" s="197">
        <v>36.7</v>
      </c>
      <c r="I1430" s="7" t="s">
        <v>16856</v>
      </c>
      <c r="J1430" s="7" t="s">
        <v>175</v>
      </c>
      <c r="K1430" s="7" t="s">
        <v>16854</v>
      </c>
      <c r="L1430" s="198" t="s">
        <v>65</v>
      </c>
      <c r="M1430" s="199"/>
      <c r="N1430" s="199"/>
    </row>
    <row r="1431">
      <c r="A1431" s="193" t="s">
        <v>18669</v>
      </c>
      <c r="B1431" s="7" t="s">
        <v>175</v>
      </c>
      <c r="C1431" s="7" t="s">
        <v>17218</v>
      </c>
      <c r="D1431" s="199"/>
      <c r="E1431" s="193"/>
      <c r="F1431" s="195" t="s">
        <v>18670</v>
      </c>
      <c r="G1431" s="196">
        <v>8.560328961E9</v>
      </c>
      <c r="H1431" s="197">
        <v>57.94</v>
      </c>
      <c r="I1431" s="7" t="s">
        <v>17033</v>
      </c>
      <c r="J1431" s="7" t="s">
        <v>175</v>
      </c>
      <c r="K1431" s="7" t="s">
        <v>17218</v>
      </c>
      <c r="L1431" s="198" t="s">
        <v>65</v>
      </c>
      <c r="M1431" s="199"/>
      <c r="N1431" s="199"/>
    </row>
    <row r="1432">
      <c r="A1432" s="193" t="s">
        <v>18669</v>
      </c>
      <c r="B1432" s="7" t="s">
        <v>17218</v>
      </c>
      <c r="C1432" s="7" t="s">
        <v>175</v>
      </c>
      <c r="D1432" s="199"/>
      <c r="E1432" s="193"/>
      <c r="F1432" s="195" t="s">
        <v>18670</v>
      </c>
      <c r="G1432" s="200">
        <v>8.560328961E9</v>
      </c>
      <c r="H1432" s="197">
        <v>57.94</v>
      </c>
      <c r="I1432" s="7" t="s">
        <v>16815</v>
      </c>
      <c r="J1432" s="7" t="s">
        <v>17218</v>
      </c>
      <c r="K1432" s="7" t="s">
        <v>175</v>
      </c>
      <c r="L1432" s="201" t="s">
        <v>16835</v>
      </c>
      <c r="M1432" s="199"/>
      <c r="N1432" s="199"/>
    </row>
    <row r="1433">
      <c r="A1433" s="193" t="s">
        <v>18671</v>
      </c>
      <c r="B1433" s="7" t="s">
        <v>16957</v>
      </c>
      <c r="C1433" s="7" t="s">
        <v>16926</v>
      </c>
      <c r="D1433" s="194">
        <v>2020.0</v>
      </c>
      <c r="E1433" s="193"/>
      <c r="F1433" s="195" t="s">
        <v>18672</v>
      </c>
      <c r="G1433" s="200">
        <v>8.550281494E9</v>
      </c>
      <c r="H1433" s="197">
        <v>17.66</v>
      </c>
      <c r="I1433" s="7" t="s">
        <v>16815</v>
      </c>
      <c r="J1433" s="7" t="s">
        <v>16957</v>
      </c>
      <c r="K1433" s="7" t="s">
        <v>16926</v>
      </c>
      <c r="L1433" s="201" t="s">
        <v>16835</v>
      </c>
      <c r="M1433" s="194"/>
      <c r="N1433" s="194"/>
    </row>
    <row r="1434">
      <c r="A1434" s="193" t="s">
        <v>18671</v>
      </c>
      <c r="B1434" s="7" t="s">
        <v>16926</v>
      </c>
      <c r="C1434" s="7" t="s">
        <v>16957</v>
      </c>
      <c r="D1434" s="194">
        <v>2020.0</v>
      </c>
      <c r="E1434" s="193"/>
      <c r="F1434" s="195" t="s">
        <v>18672</v>
      </c>
      <c r="G1434" s="196">
        <v>8.550281494E9</v>
      </c>
      <c r="H1434" s="197">
        <v>17.66</v>
      </c>
      <c r="I1434" s="7" t="s">
        <v>16815</v>
      </c>
      <c r="J1434" s="7" t="s">
        <v>16926</v>
      </c>
      <c r="K1434" s="7" t="s">
        <v>16957</v>
      </c>
      <c r="L1434" s="198" t="s">
        <v>65</v>
      </c>
      <c r="M1434" s="194"/>
      <c r="N1434" s="194"/>
    </row>
    <row r="1435">
      <c r="A1435" s="193" t="s">
        <v>18673</v>
      </c>
      <c r="B1435" s="7" t="s">
        <v>16838</v>
      </c>
      <c r="C1435" s="7" t="s">
        <v>17002</v>
      </c>
      <c r="D1435" s="199"/>
      <c r="E1435" s="193"/>
      <c r="F1435" s="195" t="s">
        <v>18674</v>
      </c>
      <c r="G1435" s="196">
        <v>8.54603185E9</v>
      </c>
      <c r="H1435" s="197">
        <v>18.14</v>
      </c>
      <c r="I1435" s="7" t="s">
        <v>16815</v>
      </c>
      <c r="J1435" s="7" t="s">
        <v>16838</v>
      </c>
      <c r="K1435" s="7" t="s">
        <v>17002</v>
      </c>
      <c r="L1435" s="198" t="s">
        <v>65</v>
      </c>
      <c r="M1435" s="199"/>
      <c r="N1435" s="199"/>
    </row>
    <row r="1436">
      <c r="A1436" s="193" t="s">
        <v>18673</v>
      </c>
      <c r="B1436" s="7" t="s">
        <v>17002</v>
      </c>
      <c r="C1436" s="7" t="s">
        <v>16838</v>
      </c>
      <c r="D1436" s="199"/>
      <c r="E1436" s="193"/>
      <c r="F1436" s="195" t="s">
        <v>18674</v>
      </c>
      <c r="G1436" s="200">
        <v>8.54603185E9</v>
      </c>
      <c r="H1436" s="197">
        <v>18.14</v>
      </c>
      <c r="I1436" s="7" t="s">
        <v>16815</v>
      </c>
      <c r="J1436" s="7" t="s">
        <v>17002</v>
      </c>
      <c r="K1436" s="7" t="s">
        <v>16838</v>
      </c>
      <c r="L1436" s="201" t="s">
        <v>16835</v>
      </c>
      <c r="M1436" s="199"/>
      <c r="N1436" s="199"/>
    </row>
    <row r="1437">
      <c r="A1437" s="193" t="s">
        <v>18675</v>
      </c>
      <c r="B1437" s="7" t="s">
        <v>175</v>
      </c>
      <c r="C1437" s="7" t="s">
        <v>18676</v>
      </c>
      <c r="D1437" s="199"/>
      <c r="E1437" s="193"/>
      <c r="F1437" s="195" t="s">
        <v>18677</v>
      </c>
      <c r="G1437" s="196">
        <v>8.53944E9</v>
      </c>
      <c r="H1437" s="197">
        <v>11.96</v>
      </c>
      <c r="I1437" s="7" t="s">
        <v>168</v>
      </c>
      <c r="J1437" s="7" t="s">
        <v>175</v>
      </c>
      <c r="K1437" s="7" t="s">
        <v>18676</v>
      </c>
      <c r="L1437" s="198" t="s">
        <v>65</v>
      </c>
      <c r="M1437" s="199"/>
      <c r="N1437" s="199"/>
    </row>
    <row r="1438">
      <c r="A1438" s="193" t="s">
        <v>18675</v>
      </c>
      <c r="B1438" s="7" t="s">
        <v>18676</v>
      </c>
      <c r="C1438" s="7" t="s">
        <v>175</v>
      </c>
      <c r="D1438" s="199"/>
      <c r="E1438" s="193"/>
      <c r="F1438" s="195" t="s">
        <v>18677</v>
      </c>
      <c r="G1438" s="200">
        <v>8.53944E9</v>
      </c>
      <c r="H1438" s="197">
        <v>11.96</v>
      </c>
      <c r="I1438" s="7" t="s">
        <v>16815</v>
      </c>
      <c r="J1438" s="7" t="s">
        <v>18676</v>
      </c>
      <c r="K1438" s="7" t="s">
        <v>175</v>
      </c>
      <c r="L1438" s="201" t="s">
        <v>16835</v>
      </c>
      <c r="M1438" s="199"/>
      <c r="N1438" s="199"/>
    </row>
    <row r="1439">
      <c r="A1439" s="193" t="s">
        <v>18678</v>
      </c>
      <c r="B1439" s="7" t="s">
        <v>16838</v>
      </c>
      <c r="C1439" s="7" t="s">
        <v>18679</v>
      </c>
      <c r="D1439" s="194">
        <v>1951.0</v>
      </c>
      <c r="E1439" s="193"/>
      <c r="F1439" s="195" t="s">
        <v>18680</v>
      </c>
      <c r="G1439" s="196">
        <v>8.509606032E9</v>
      </c>
      <c r="H1439" s="197">
        <v>35.16</v>
      </c>
      <c r="I1439" s="7" t="s">
        <v>16815</v>
      </c>
      <c r="J1439" s="7" t="s">
        <v>16838</v>
      </c>
      <c r="K1439" s="7" t="s">
        <v>18679</v>
      </c>
      <c r="L1439" s="198" t="s">
        <v>65</v>
      </c>
      <c r="M1439" s="194"/>
      <c r="N1439" s="194"/>
    </row>
    <row r="1440">
      <c r="A1440" s="193" t="s">
        <v>18678</v>
      </c>
      <c r="B1440" s="202" t="s">
        <v>18679</v>
      </c>
      <c r="C1440" s="193" t="s">
        <v>16838</v>
      </c>
      <c r="D1440" s="193">
        <v>1951.0</v>
      </c>
      <c r="E1440" s="193"/>
      <c r="F1440" s="203" t="s">
        <v>18680</v>
      </c>
      <c r="G1440" s="200">
        <v>8.509606032E9</v>
      </c>
      <c r="H1440" s="205">
        <v>56.33</v>
      </c>
      <c r="J1440" s="202" t="s">
        <v>18679</v>
      </c>
      <c r="K1440" s="193" t="s">
        <v>16838</v>
      </c>
      <c r="L1440" s="193" t="s">
        <v>17471</v>
      </c>
      <c r="M1440" s="193"/>
      <c r="N1440" s="193"/>
    </row>
    <row r="1441">
      <c r="A1441" s="193" t="s">
        <v>18681</v>
      </c>
      <c r="B1441" s="7" t="s">
        <v>169</v>
      </c>
      <c r="C1441" s="7" t="s">
        <v>16899</v>
      </c>
      <c r="D1441" s="194">
        <v>2018.0</v>
      </c>
      <c r="E1441" s="193"/>
      <c r="F1441" s="195" t="s">
        <v>18682</v>
      </c>
      <c r="G1441" s="196">
        <v>8.507957309E9</v>
      </c>
      <c r="H1441" s="197">
        <v>51.28</v>
      </c>
      <c r="I1441" s="7" t="s">
        <v>16815</v>
      </c>
      <c r="J1441" s="7" t="s">
        <v>169</v>
      </c>
      <c r="K1441" s="7" t="s">
        <v>16899</v>
      </c>
      <c r="L1441" s="198" t="s">
        <v>65</v>
      </c>
      <c r="M1441" s="194"/>
      <c r="N1441" s="194"/>
    </row>
    <row r="1442">
      <c r="A1442" s="193" t="s">
        <v>18681</v>
      </c>
      <c r="B1442" s="7" t="s">
        <v>16899</v>
      </c>
      <c r="C1442" s="7" t="s">
        <v>169</v>
      </c>
      <c r="D1442" s="194">
        <v>2018.0</v>
      </c>
      <c r="E1442" s="193"/>
      <c r="F1442" s="195" t="s">
        <v>18682</v>
      </c>
      <c r="G1442" s="200">
        <v>8.507957309E9</v>
      </c>
      <c r="H1442" s="197">
        <v>51.28</v>
      </c>
      <c r="I1442" s="7" t="s">
        <v>16815</v>
      </c>
      <c r="J1442" s="7" t="s">
        <v>16899</v>
      </c>
      <c r="K1442" s="7" t="s">
        <v>169</v>
      </c>
      <c r="L1442" s="201" t="s">
        <v>16835</v>
      </c>
      <c r="M1442" s="194"/>
      <c r="N1442" s="194"/>
    </row>
    <row r="1443">
      <c r="A1443" s="193" t="s">
        <v>18683</v>
      </c>
      <c r="B1443" s="7" t="s">
        <v>17111</v>
      </c>
      <c r="C1443" s="7" t="s">
        <v>17112</v>
      </c>
      <c r="D1443" s="199"/>
      <c r="E1443" s="193"/>
      <c r="F1443" s="195" t="s">
        <v>18684</v>
      </c>
      <c r="G1443" s="200">
        <v>8.506530917E9</v>
      </c>
      <c r="H1443" s="197">
        <v>17.01</v>
      </c>
      <c r="I1443" s="7" t="s">
        <v>16815</v>
      </c>
      <c r="J1443" s="7" t="s">
        <v>17111</v>
      </c>
      <c r="K1443" s="7" t="s">
        <v>17112</v>
      </c>
      <c r="L1443" s="201" t="s">
        <v>16835</v>
      </c>
      <c r="M1443" s="199"/>
      <c r="N1443" s="199"/>
    </row>
    <row r="1444">
      <c r="A1444" s="193" t="s">
        <v>18683</v>
      </c>
      <c r="B1444" s="7" t="s">
        <v>17112</v>
      </c>
      <c r="C1444" s="7" t="s">
        <v>17111</v>
      </c>
      <c r="D1444" s="199"/>
      <c r="E1444" s="193"/>
      <c r="F1444" s="195" t="s">
        <v>18684</v>
      </c>
      <c r="G1444" s="196">
        <v>8.506530917E9</v>
      </c>
      <c r="H1444" s="197">
        <v>17.01</v>
      </c>
      <c r="I1444" s="7" t="s">
        <v>16815</v>
      </c>
      <c r="J1444" s="7" t="s">
        <v>17112</v>
      </c>
      <c r="K1444" s="7" t="s">
        <v>17111</v>
      </c>
      <c r="L1444" s="198" t="s">
        <v>65</v>
      </c>
      <c r="M1444" s="199"/>
      <c r="N1444" s="199"/>
    </row>
    <row r="1445">
      <c r="A1445" s="193" t="s">
        <v>18685</v>
      </c>
      <c r="B1445" s="7" t="s">
        <v>169</v>
      </c>
      <c r="C1445" s="7" t="s">
        <v>17827</v>
      </c>
      <c r="D1445" s="199"/>
      <c r="E1445" s="193"/>
      <c r="F1445" s="195" t="s">
        <v>18686</v>
      </c>
      <c r="G1445" s="196">
        <v>8.489577827E9</v>
      </c>
      <c r="H1445" s="197">
        <v>57.81</v>
      </c>
      <c r="I1445" s="7" t="s">
        <v>16815</v>
      </c>
      <c r="J1445" s="7" t="s">
        <v>169</v>
      </c>
      <c r="K1445" s="7" t="s">
        <v>17827</v>
      </c>
      <c r="L1445" s="198" t="s">
        <v>65</v>
      </c>
      <c r="M1445" s="199"/>
      <c r="N1445" s="199"/>
    </row>
    <row r="1446">
      <c r="A1446" s="193" t="s">
        <v>18687</v>
      </c>
      <c r="B1446" s="7" t="s">
        <v>175</v>
      </c>
      <c r="C1446" s="7" t="s">
        <v>16861</v>
      </c>
      <c r="D1446" s="194">
        <v>2013.0</v>
      </c>
      <c r="E1446" s="193"/>
      <c r="F1446" s="195" t="s">
        <v>18688</v>
      </c>
      <c r="G1446" s="196">
        <v>8.47654716E9</v>
      </c>
      <c r="H1446" s="197">
        <v>130.71</v>
      </c>
      <c r="I1446" s="7" t="s">
        <v>16908</v>
      </c>
      <c r="J1446" s="7" t="s">
        <v>175</v>
      </c>
      <c r="K1446" s="7" t="s">
        <v>16861</v>
      </c>
      <c r="L1446" s="198" t="s">
        <v>65</v>
      </c>
      <c r="M1446" s="194"/>
      <c r="N1446" s="194"/>
    </row>
    <row r="1447">
      <c r="A1447" s="193" t="s">
        <v>18687</v>
      </c>
      <c r="B1447" s="7" t="s">
        <v>16861</v>
      </c>
      <c r="C1447" s="7" t="s">
        <v>175</v>
      </c>
      <c r="D1447" s="194">
        <v>2013.0</v>
      </c>
      <c r="E1447" s="193"/>
      <c r="F1447" s="195" t="s">
        <v>18688</v>
      </c>
      <c r="G1447" s="200">
        <v>8.47654716E9</v>
      </c>
      <c r="H1447" s="197">
        <v>130.71</v>
      </c>
      <c r="I1447" s="7" t="s">
        <v>16815</v>
      </c>
      <c r="J1447" s="7" t="s">
        <v>16861</v>
      </c>
      <c r="K1447" s="7" t="s">
        <v>175</v>
      </c>
      <c r="L1447" s="201" t="s">
        <v>16835</v>
      </c>
      <c r="M1447" s="194"/>
      <c r="N1447" s="194"/>
    </row>
    <row r="1448">
      <c r="A1448" s="193" t="s">
        <v>18689</v>
      </c>
      <c r="B1448" s="7" t="s">
        <v>16838</v>
      </c>
      <c r="C1448" s="7" t="s">
        <v>17384</v>
      </c>
      <c r="D1448" s="199"/>
      <c r="E1448" s="193"/>
      <c r="F1448" s="195" t="s">
        <v>18690</v>
      </c>
      <c r="G1448" s="196">
        <v>8.474733319E9</v>
      </c>
      <c r="H1448" s="197">
        <v>43.45</v>
      </c>
      <c r="I1448" s="7" t="s">
        <v>16815</v>
      </c>
      <c r="J1448" s="7" t="s">
        <v>16838</v>
      </c>
      <c r="K1448" s="7" t="s">
        <v>17384</v>
      </c>
      <c r="L1448" s="198" t="s">
        <v>65</v>
      </c>
      <c r="M1448" s="199"/>
      <c r="N1448" s="199"/>
    </row>
    <row r="1449">
      <c r="A1449" s="193" t="s">
        <v>18689</v>
      </c>
      <c r="B1449" s="7" t="s">
        <v>17384</v>
      </c>
      <c r="C1449" s="7" t="s">
        <v>16838</v>
      </c>
      <c r="D1449" s="199"/>
      <c r="E1449" s="193"/>
      <c r="F1449" s="195" t="s">
        <v>18690</v>
      </c>
      <c r="G1449" s="200">
        <v>8.474733319E9</v>
      </c>
      <c r="H1449" s="197">
        <v>43.45</v>
      </c>
      <c r="I1449" s="7" t="s">
        <v>16815</v>
      </c>
      <c r="J1449" s="7" t="s">
        <v>17384</v>
      </c>
      <c r="K1449" s="7" t="s">
        <v>16838</v>
      </c>
      <c r="L1449" s="201" t="s">
        <v>16835</v>
      </c>
      <c r="M1449" s="199"/>
      <c r="N1449" s="199"/>
    </row>
    <row r="1450">
      <c r="A1450" s="193" t="s">
        <v>18691</v>
      </c>
      <c r="B1450" s="7" t="s">
        <v>17794</v>
      </c>
      <c r="C1450" s="7" t="s">
        <v>16919</v>
      </c>
      <c r="D1450" s="194">
        <v>2002.0</v>
      </c>
      <c r="E1450" s="193"/>
      <c r="F1450" s="195" t="s">
        <v>18692</v>
      </c>
      <c r="G1450" s="200">
        <v>8.468687277E9</v>
      </c>
      <c r="H1450" s="197">
        <v>12.39</v>
      </c>
      <c r="I1450" s="193" t="s">
        <v>16815</v>
      </c>
      <c r="J1450" s="7" t="s">
        <v>17794</v>
      </c>
      <c r="K1450" s="7" t="s">
        <v>16919</v>
      </c>
      <c r="L1450" s="201" t="s">
        <v>16835</v>
      </c>
      <c r="M1450" s="194"/>
      <c r="N1450" s="194"/>
    </row>
    <row r="1451">
      <c r="A1451" s="193" t="s">
        <v>18691</v>
      </c>
      <c r="B1451" s="7" t="s">
        <v>16919</v>
      </c>
      <c r="C1451" s="7" t="s">
        <v>17794</v>
      </c>
      <c r="D1451" s="194">
        <v>2002.0</v>
      </c>
      <c r="E1451" s="193"/>
      <c r="F1451" s="195" t="s">
        <v>18692</v>
      </c>
      <c r="G1451" s="196">
        <v>8.468687277E9</v>
      </c>
      <c r="H1451" s="197">
        <v>12.39</v>
      </c>
      <c r="I1451" s="7" t="s">
        <v>16815</v>
      </c>
      <c r="J1451" s="7" t="s">
        <v>16919</v>
      </c>
      <c r="K1451" s="7" t="s">
        <v>17794</v>
      </c>
      <c r="L1451" s="198" t="s">
        <v>65</v>
      </c>
      <c r="M1451" s="194"/>
      <c r="N1451" s="194"/>
    </row>
    <row r="1452">
      <c r="A1452" s="193" t="s">
        <v>18693</v>
      </c>
      <c r="B1452" s="7" t="s">
        <v>16838</v>
      </c>
      <c r="C1452" s="7" t="s">
        <v>17019</v>
      </c>
      <c r="D1452" s="194">
        <v>2004.0</v>
      </c>
      <c r="E1452" s="193"/>
      <c r="F1452" s="195" t="s">
        <v>18694</v>
      </c>
      <c r="G1452" s="196">
        <v>8.450640577E9</v>
      </c>
      <c r="H1452" s="197">
        <v>222.94</v>
      </c>
      <c r="I1452" s="7" t="s">
        <v>16815</v>
      </c>
      <c r="J1452" s="7" t="s">
        <v>16838</v>
      </c>
      <c r="K1452" s="7" t="s">
        <v>17019</v>
      </c>
      <c r="L1452" s="198" t="s">
        <v>65</v>
      </c>
      <c r="M1452" s="194"/>
      <c r="N1452" s="194"/>
    </row>
    <row r="1453">
      <c r="A1453" s="193" t="s">
        <v>18695</v>
      </c>
      <c r="B1453" s="7" t="s">
        <v>187</v>
      </c>
      <c r="C1453" s="7" t="s">
        <v>17559</v>
      </c>
      <c r="D1453" s="194">
        <v>2016.0</v>
      </c>
      <c r="E1453" s="193"/>
      <c r="F1453" s="195" t="s">
        <v>18696</v>
      </c>
      <c r="G1453" s="196">
        <v>8.448990937E9</v>
      </c>
      <c r="H1453" s="197">
        <v>275.36</v>
      </c>
      <c r="I1453" s="7" t="s">
        <v>16815</v>
      </c>
      <c r="J1453" s="7" t="s">
        <v>187</v>
      </c>
      <c r="K1453" s="7" t="s">
        <v>17559</v>
      </c>
      <c r="L1453" s="198" t="s">
        <v>65</v>
      </c>
      <c r="M1453" s="194"/>
      <c r="N1453" s="194"/>
    </row>
    <row r="1454">
      <c r="A1454" s="193" t="s">
        <v>18697</v>
      </c>
      <c r="B1454" s="7" t="s">
        <v>169</v>
      </c>
      <c r="C1454" s="7" t="s">
        <v>17805</v>
      </c>
      <c r="D1454" s="194">
        <v>2011.0</v>
      </c>
      <c r="E1454" s="193"/>
      <c r="F1454" s="195" t="s">
        <v>18698</v>
      </c>
      <c r="G1454" s="196">
        <v>8.440701E9</v>
      </c>
      <c r="H1454" s="197">
        <v>102.81</v>
      </c>
      <c r="I1454" s="7" t="s">
        <v>16815</v>
      </c>
      <c r="J1454" s="7" t="s">
        <v>169</v>
      </c>
      <c r="K1454" s="7" t="s">
        <v>17805</v>
      </c>
      <c r="L1454" s="198" t="s">
        <v>65</v>
      </c>
      <c r="M1454" s="194"/>
      <c r="N1454" s="194"/>
    </row>
    <row r="1455">
      <c r="A1455" s="193" t="s">
        <v>18697</v>
      </c>
      <c r="B1455" s="7" t="s">
        <v>17805</v>
      </c>
      <c r="C1455" s="7" t="s">
        <v>169</v>
      </c>
      <c r="D1455" s="194">
        <v>2011.0</v>
      </c>
      <c r="E1455" s="193"/>
      <c r="F1455" s="195" t="s">
        <v>18698</v>
      </c>
      <c r="G1455" s="200">
        <v>8.440701E9</v>
      </c>
      <c r="H1455" s="197">
        <v>102.81</v>
      </c>
      <c r="I1455" s="7" t="s">
        <v>16815</v>
      </c>
      <c r="J1455" s="7" t="s">
        <v>17805</v>
      </c>
      <c r="K1455" s="7" t="s">
        <v>169</v>
      </c>
      <c r="L1455" s="201" t="s">
        <v>16835</v>
      </c>
      <c r="M1455" s="194"/>
      <c r="N1455" s="194"/>
    </row>
    <row r="1456">
      <c r="A1456" s="193" t="s">
        <v>18699</v>
      </c>
      <c r="B1456" s="7" t="s">
        <v>175</v>
      </c>
      <c r="C1456" s="7" t="s">
        <v>16972</v>
      </c>
      <c r="D1456" s="194">
        <v>1997.0</v>
      </c>
      <c r="E1456" s="193"/>
      <c r="F1456" s="195" t="s">
        <v>18700</v>
      </c>
      <c r="G1456" s="196">
        <v>8.436767233E9</v>
      </c>
      <c r="H1456" s="197">
        <v>221.15</v>
      </c>
      <c r="I1456" s="7" t="s">
        <v>168</v>
      </c>
      <c r="J1456" s="7" t="s">
        <v>175</v>
      </c>
      <c r="K1456" s="7" t="s">
        <v>16972</v>
      </c>
      <c r="L1456" s="198" t="s">
        <v>65</v>
      </c>
      <c r="M1456" s="194"/>
      <c r="N1456" s="194"/>
    </row>
    <row r="1457">
      <c r="A1457" s="193" t="s">
        <v>18699</v>
      </c>
      <c r="B1457" s="7" t="s">
        <v>16972</v>
      </c>
      <c r="C1457" s="7" t="s">
        <v>175</v>
      </c>
      <c r="D1457" s="194">
        <v>1997.0</v>
      </c>
      <c r="E1457" s="193"/>
      <c r="F1457" s="195" t="s">
        <v>18700</v>
      </c>
      <c r="G1457" s="200">
        <v>8.436767233E9</v>
      </c>
      <c r="H1457" s="197">
        <v>221.15</v>
      </c>
      <c r="I1457" s="7" t="s">
        <v>16815</v>
      </c>
      <c r="J1457" s="7" t="s">
        <v>16972</v>
      </c>
      <c r="K1457" s="7" t="s">
        <v>175</v>
      </c>
      <c r="L1457" s="201" t="s">
        <v>16835</v>
      </c>
      <c r="M1457" s="194"/>
      <c r="N1457" s="194"/>
    </row>
    <row r="1458">
      <c r="A1458" s="193" t="s">
        <v>18701</v>
      </c>
      <c r="B1458" s="7" t="s">
        <v>175</v>
      </c>
      <c r="C1458" s="7" t="s">
        <v>16890</v>
      </c>
      <c r="D1458" s="194">
        <v>2017.0</v>
      </c>
      <c r="E1458" s="193"/>
      <c r="F1458" s="195" t="s">
        <v>18702</v>
      </c>
      <c r="G1458" s="196">
        <v>8.433941253E9</v>
      </c>
      <c r="H1458" s="197">
        <v>79.14</v>
      </c>
      <c r="I1458" s="7" t="s">
        <v>16908</v>
      </c>
      <c r="J1458" s="7" t="s">
        <v>175</v>
      </c>
      <c r="K1458" s="7" t="s">
        <v>16890</v>
      </c>
      <c r="L1458" s="198" t="s">
        <v>65</v>
      </c>
      <c r="M1458" s="194"/>
      <c r="N1458" s="194"/>
    </row>
    <row r="1459">
      <c r="A1459" s="193" t="s">
        <v>18701</v>
      </c>
      <c r="B1459" s="7" t="s">
        <v>16890</v>
      </c>
      <c r="C1459" s="7" t="s">
        <v>175</v>
      </c>
      <c r="D1459" s="194">
        <v>2017.0</v>
      </c>
      <c r="E1459" s="193"/>
      <c r="F1459" s="195" t="s">
        <v>18702</v>
      </c>
      <c r="G1459" s="200">
        <v>8.433941253E9</v>
      </c>
      <c r="H1459" s="197">
        <v>79.14</v>
      </c>
      <c r="I1459" s="7" t="s">
        <v>16815</v>
      </c>
      <c r="J1459" s="7" t="s">
        <v>16890</v>
      </c>
      <c r="K1459" s="7" t="s">
        <v>175</v>
      </c>
      <c r="L1459" s="201" t="s">
        <v>16835</v>
      </c>
      <c r="M1459" s="194"/>
      <c r="N1459" s="194"/>
    </row>
    <row r="1460">
      <c r="A1460" s="193" t="s">
        <v>18703</v>
      </c>
      <c r="B1460" s="7" t="s">
        <v>169</v>
      </c>
      <c r="C1460" s="7" t="s">
        <v>17057</v>
      </c>
      <c r="D1460" s="199"/>
      <c r="E1460" s="193"/>
      <c r="F1460" s="195" t="s">
        <v>18704</v>
      </c>
      <c r="G1460" s="196">
        <v>8.4207345E9</v>
      </c>
      <c r="H1460" s="197">
        <v>189.87</v>
      </c>
      <c r="I1460" s="7" t="s">
        <v>16815</v>
      </c>
      <c r="J1460" s="7" t="s">
        <v>169</v>
      </c>
      <c r="K1460" s="7" t="s">
        <v>17057</v>
      </c>
      <c r="L1460" s="198" t="s">
        <v>65</v>
      </c>
      <c r="M1460" s="199"/>
      <c r="N1460" s="199"/>
    </row>
    <row r="1461">
      <c r="A1461" s="193" t="s">
        <v>18705</v>
      </c>
      <c r="B1461" s="7" t="s">
        <v>16582</v>
      </c>
      <c r="C1461" s="7" t="s">
        <v>16817</v>
      </c>
      <c r="D1461" s="194">
        <v>2014.0</v>
      </c>
      <c r="E1461" s="193"/>
      <c r="F1461" s="195" t="s">
        <v>18706</v>
      </c>
      <c r="G1461" s="196">
        <v>8.388333364E9</v>
      </c>
      <c r="H1461" s="197">
        <v>149.32</v>
      </c>
      <c r="I1461" s="7" t="s">
        <v>16815</v>
      </c>
      <c r="J1461" s="7" t="s">
        <v>16582</v>
      </c>
      <c r="K1461" s="7" t="s">
        <v>16817</v>
      </c>
      <c r="L1461" s="198" t="s">
        <v>65</v>
      </c>
      <c r="M1461" s="194"/>
      <c r="N1461" s="194"/>
    </row>
    <row r="1462">
      <c r="A1462" s="193" t="s">
        <v>18707</v>
      </c>
      <c r="B1462" s="7" t="s">
        <v>175</v>
      </c>
      <c r="C1462" s="7" t="s">
        <v>16824</v>
      </c>
      <c r="D1462" s="194">
        <v>2012.0</v>
      </c>
      <c r="E1462" s="193"/>
      <c r="F1462" s="195" t="s">
        <v>18708</v>
      </c>
      <c r="G1462" s="196">
        <v>8.372631608E9</v>
      </c>
      <c r="H1462" s="197">
        <v>14.29</v>
      </c>
      <c r="I1462" s="7" t="s">
        <v>16856</v>
      </c>
      <c r="J1462" s="7" t="s">
        <v>175</v>
      </c>
      <c r="K1462" s="7" t="s">
        <v>16824</v>
      </c>
      <c r="L1462" s="198" t="s">
        <v>65</v>
      </c>
      <c r="M1462" s="194"/>
      <c r="N1462" s="194"/>
    </row>
    <row r="1463">
      <c r="A1463" s="193" t="s">
        <v>18707</v>
      </c>
      <c r="B1463" s="7" t="s">
        <v>16824</v>
      </c>
      <c r="C1463" s="7" t="s">
        <v>175</v>
      </c>
      <c r="D1463" s="194">
        <v>2012.0</v>
      </c>
      <c r="E1463" s="193"/>
      <c r="F1463" s="195" t="s">
        <v>18708</v>
      </c>
      <c r="G1463" s="200">
        <v>8.372631608E9</v>
      </c>
      <c r="H1463" s="197">
        <v>14.29</v>
      </c>
      <c r="I1463" s="7" t="s">
        <v>16815</v>
      </c>
      <c r="J1463" s="7" t="s">
        <v>16824</v>
      </c>
      <c r="K1463" s="7" t="s">
        <v>175</v>
      </c>
      <c r="L1463" s="201" t="s">
        <v>16835</v>
      </c>
      <c r="M1463" s="194"/>
      <c r="N1463" s="194"/>
    </row>
    <row r="1464">
      <c r="A1464" s="193" t="s">
        <v>18709</v>
      </c>
      <c r="B1464" s="7" t="s">
        <v>187</v>
      </c>
      <c r="C1464" s="7" t="s">
        <v>16851</v>
      </c>
      <c r="D1464" s="194">
        <v>1995.0</v>
      </c>
      <c r="E1464" s="193"/>
      <c r="F1464" s="195" t="s">
        <v>18710</v>
      </c>
      <c r="G1464" s="196">
        <v>8.366554809E9</v>
      </c>
      <c r="H1464" s="197">
        <v>64.07</v>
      </c>
      <c r="I1464" s="7" t="s">
        <v>16815</v>
      </c>
      <c r="J1464" s="7" t="s">
        <v>187</v>
      </c>
      <c r="K1464" s="7" t="s">
        <v>16851</v>
      </c>
      <c r="L1464" s="198" t="s">
        <v>65</v>
      </c>
      <c r="M1464" s="194"/>
      <c r="N1464" s="194"/>
    </row>
    <row r="1465">
      <c r="A1465" s="193" t="s">
        <v>18711</v>
      </c>
      <c r="B1465" s="7" t="s">
        <v>16957</v>
      </c>
      <c r="C1465" s="7" t="s">
        <v>16926</v>
      </c>
      <c r="D1465" s="199"/>
      <c r="E1465" s="193"/>
      <c r="F1465" s="195" t="s">
        <v>18712</v>
      </c>
      <c r="G1465" s="200">
        <v>8.363788124E9</v>
      </c>
      <c r="H1465" s="197">
        <v>21.29</v>
      </c>
      <c r="I1465" s="7" t="s">
        <v>16815</v>
      </c>
      <c r="J1465" s="7" t="s">
        <v>16957</v>
      </c>
      <c r="K1465" s="7" t="s">
        <v>16926</v>
      </c>
      <c r="L1465" s="201" t="s">
        <v>16835</v>
      </c>
      <c r="M1465" s="199"/>
      <c r="N1465" s="199"/>
    </row>
    <row r="1466">
      <c r="A1466" s="193" t="s">
        <v>18711</v>
      </c>
      <c r="B1466" s="7" t="s">
        <v>16926</v>
      </c>
      <c r="C1466" s="7" t="s">
        <v>16957</v>
      </c>
      <c r="D1466" s="199"/>
      <c r="E1466" s="193"/>
      <c r="F1466" s="195" t="s">
        <v>18712</v>
      </c>
      <c r="G1466" s="196">
        <v>8.363788124E9</v>
      </c>
      <c r="H1466" s="197">
        <v>21.29</v>
      </c>
      <c r="I1466" s="7" t="s">
        <v>16815</v>
      </c>
      <c r="J1466" s="7" t="s">
        <v>16926</v>
      </c>
      <c r="K1466" s="7" t="s">
        <v>16957</v>
      </c>
      <c r="L1466" s="198" t="s">
        <v>65</v>
      </c>
      <c r="M1466" s="199"/>
      <c r="N1466" s="199"/>
    </row>
    <row r="1467">
      <c r="A1467" s="193" t="s">
        <v>18713</v>
      </c>
      <c r="B1467" s="7" t="s">
        <v>17347</v>
      </c>
      <c r="C1467" s="7" t="s">
        <v>16838</v>
      </c>
      <c r="D1467" s="194">
        <v>2018.0</v>
      </c>
      <c r="E1467" s="193"/>
      <c r="F1467" s="195" t="s">
        <v>18714</v>
      </c>
      <c r="G1467" s="200">
        <v>8.36076E9</v>
      </c>
      <c r="H1467" s="197">
        <v>23.16</v>
      </c>
      <c r="I1467" s="7" t="s">
        <v>16815</v>
      </c>
      <c r="J1467" s="7" t="s">
        <v>17347</v>
      </c>
      <c r="K1467" s="7" t="s">
        <v>16838</v>
      </c>
      <c r="L1467" s="201" t="s">
        <v>16835</v>
      </c>
      <c r="M1467" s="194"/>
      <c r="N1467" s="194"/>
    </row>
    <row r="1468">
      <c r="A1468" s="193" t="s">
        <v>18713</v>
      </c>
      <c r="B1468" s="7" t="s">
        <v>16838</v>
      </c>
      <c r="C1468" s="7" t="s">
        <v>17347</v>
      </c>
      <c r="D1468" s="194">
        <v>2018.0</v>
      </c>
      <c r="E1468" s="193"/>
      <c r="F1468" s="195" t="s">
        <v>18714</v>
      </c>
      <c r="G1468" s="196">
        <v>8.36076E9</v>
      </c>
      <c r="H1468" s="197">
        <v>23.16</v>
      </c>
      <c r="I1468" s="7" t="s">
        <v>16815</v>
      </c>
      <c r="J1468" s="7" t="s">
        <v>16838</v>
      </c>
      <c r="K1468" s="7" t="s">
        <v>17347</v>
      </c>
      <c r="L1468" s="198" t="s">
        <v>65</v>
      </c>
      <c r="M1468" s="194"/>
      <c r="N1468" s="194"/>
    </row>
    <row r="1469">
      <c r="A1469" s="193" t="s">
        <v>18715</v>
      </c>
      <c r="B1469" s="7" t="s">
        <v>16885</v>
      </c>
      <c r="C1469" s="7" t="s">
        <v>16886</v>
      </c>
      <c r="D1469" s="199"/>
      <c r="E1469" s="193"/>
      <c r="F1469" s="195" t="s">
        <v>18716</v>
      </c>
      <c r="G1469" s="196">
        <v>8.355454118E9</v>
      </c>
      <c r="H1469" s="197">
        <v>16.55</v>
      </c>
      <c r="I1469" s="7" t="s">
        <v>16888</v>
      </c>
      <c r="J1469" s="7" t="s">
        <v>16885</v>
      </c>
      <c r="K1469" s="7" t="s">
        <v>16886</v>
      </c>
      <c r="L1469" s="198" t="s">
        <v>65</v>
      </c>
      <c r="M1469" s="199"/>
      <c r="N1469" s="199"/>
    </row>
    <row r="1470">
      <c r="A1470" s="193" t="s">
        <v>18715</v>
      </c>
      <c r="B1470" s="7" t="s">
        <v>16886</v>
      </c>
      <c r="C1470" s="7" t="s">
        <v>16885</v>
      </c>
      <c r="D1470" s="199"/>
      <c r="E1470" s="193"/>
      <c r="F1470" s="195" t="s">
        <v>18716</v>
      </c>
      <c r="G1470" s="200">
        <v>8.355454118E9</v>
      </c>
      <c r="H1470" s="197">
        <v>16.55</v>
      </c>
      <c r="I1470" s="7" t="s">
        <v>16815</v>
      </c>
      <c r="J1470" s="7" t="s">
        <v>16886</v>
      </c>
      <c r="K1470" s="7" t="s">
        <v>16885</v>
      </c>
      <c r="L1470" s="201" t="s">
        <v>16835</v>
      </c>
      <c r="M1470" s="199"/>
      <c r="N1470" s="199"/>
    </row>
    <row r="1471">
      <c r="A1471" s="193" t="s">
        <v>18717</v>
      </c>
      <c r="B1471" s="7" t="s">
        <v>18718</v>
      </c>
      <c r="C1471" s="7" t="s">
        <v>17629</v>
      </c>
      <c r="D1471" s="194">
        <v>2005.0</v>
      </c>
      <c r="E1471" s="193"/>
      <c r="F1471" s="195" t="s">
        <v>18719</v>
      </c>
      <c r="G1471" s="200">
        <v>8.332265177E9</v>
      </c>
      <c r="H1471" s="197">
        <v>87.12</v>
      </c>
      <c r="I1471" s="7" t="s">
        <v>16815</v>
      </c>
      <c r="J1471" s="7" t="s">
        <v>18718</v>
      </c>
      <c r="K1471" s="7" t="s">
        <v>17629</v>
      </c>
      <c r="L1471" s="201" t="s">
        <v>16835</v>
      </c>
      <c r="M1471" s="194"/>
      <c r="N1471" s="194"/>
    </row>
    <row r="1472">
      <c r="A1472" s="193" t="s">
        <v>18717</v>
      </c>
      <c r="B1472" s="7" t="s">
        <v>17629</v>
      </c>
      <c r="C1472" s="7" t="s">
        <v>18718</v>
      </c>
      <c r="D1472" s="194">
        <v>2005.0</v>
      </c>
      <c r="E1472" s="193"/>
      <c r="F1472" s="195" t="s">
        <v>18719</v>
      </c>
      <c r="G1472" s="196">
        <v>8.332265177E9</v>
      </c>
      <c r="H1472" s="197">
        <v>87.12</v>
      </c>
      <c r="I1472" s="7" t="s">
        <v>16815</v>
      </c>
      <c r="J1472" s="7" t="s">
        <v>17629</v>
      </c>
      <c r="K1472" s="7" t="s">
        <v>18718</v>
      </c>
      <c r="L1472" s="198" t="s">
        <v>65</v>
      </c>
      <c r="M1472" s="194"/>
      <c r="N1472" s="194"/>
    </row>
    <row r="1473">
      <c r="A1473" s="193" t="s">
        <v>18720</v>
      </c>
      <c r="B1473" s="7" t="s">
        <v>16582</v>
      </c>
      <c r="C1473" s="7" t="s">
        <v>16930</v>
      </c>
      <c r="D1473" s="194">
        <v>2018.0</v>
      </c>
      <c r="E1473" s="193"/>
      <c r="F1473" s="195" t="s">
        <v>18721</v>
      </c>
      <c r="G1473" s="196">
        <v>8.327344219E9</v>
      </c>
      <c r="H1473" s="197">
        <v>40.98</v>
      </c>
      <c r="I1473" s="7" t="s">
        <v>16815</v>
      </c>
      <c r="J1473" s="7" t="s">
        <v>16582</v>
      </c>
      <c r="K1473" s="7" t="s">
        <v>16930</v>
      </c>
      <c r="L1473" s="198" t="s">
        <v>65</v>
      </c>
      <c r="M1473" s="194"/>
      <c r="N1473" s="194"/>
    </row>
    <row r="1474">
      <c r="A1474" s="193" t="s">
        <v>18722</v>
      </c>
      <c r="B1474" s="7" t="s">
        <v>175</v>
      </c>
      <c r="C1474" s="7" t="s">
        <v>18723</v>
      </c>
      <c r="D1474" s="199"/>
      <c r="E1474" s="193"/>
      <c r="F1474" s="195" t="s">
        <v>18724</v>
      </c>
      <c r="G1474" s="196">
        <v>8.311407988E9</v>
      </c>
      <c r="H1474" s="197">
        <v>25.45</v>
      </c>
      <c r="I1474" s="7" t="s">
        <v>168</v>
      </c>
      <c r="J1474" s="7" t="s">
        <v>175</v>
      </c>
      <c r="K1474" s="7" t="s">
        <v>18723</v>
      </c>
      <c r="L1474" s="198" t="s">
        <v>65</v>
      </c>
      <c r="M1474" s="199"/>
      <c r="N1474" s="199"/>
    </row>
    <row r="1475">
      <c r="A1475" s="193" t="s">
        <v>18725</v>
      </c>
      <c r="B1475" s="7" t="s">
        <v>169</v>
      </c>
      <c r="C1475" s="7" t="s">
        <v>17619</v>
      </c>
      <c r="D1475" s="199"/>
      <c r="E1475" s="193"/>
      <c r="F1475" s="195" t="s">
        <v>18726</v>
      </c>
      <c r="G1475" s="196">
        <v>8.306509319E9</v>
      </c>
      <c r="H1475" s="197">
        <v>25.435</v>
      </c>
      <c r="I1475" s="7" t="s">
        <v>16815</v>
      </c>
      <c r="J1475" s="7" t="s">
        <v>169</v>
      </c>
      <c r="K1475" s="7" t="s">
        <v>17619</v>
      </c>
      <c r="L1475" s="198" t="s">
        <v>65</v>
      </c>
      <c r="M1475" s="199"/>
      <c r="N1475" s="199"/>
    </row>
    <row r="1476">
      <c r="A1476" s="193" t="s">
        <v>18727</v>
      </c>
      <c r="B1476" s="7" t="s">
        <v>175</v>
      </c>
      <c r="C1476" s="7" t="s">
        <v>16854</v>
      </c>
      <c r="D1476" s="194">
        <v>2011.0</v>
      </c>
      <c r="E1476" s="193"/>
      <c r="F1476" s="195" t="s">
        <v>18728</v>
      </c>
      <c r="G1476" s="196">
        <v>8.297584172E9</v>
      </c>
      <c r="H1476" s="197">
        <v>35.52</v>
      </c>
      <c r="I1476" s="7" t="s">
        <v>16856</v>
      </c>
      <c r="J1476" s="7" t="s">
        <v>175</v>
      </c>
      <c r="K1476" s="7" t="s">
        <v>16854</v>
      </c>
      <c r="L1476" s="198" t="s">
        <v>65</v>
      </c>
      <c r="M1476" s="194"/>
      <c r="N1476" s="194"/>
    </row>
    <row r="1477">
      <c r="A1477" s="193" t="s">
        <v>18729</v>
      </c>
      <c r="B1477" s="7" t="s">
        <v>17127</v>
      </c>
      <c r="C1477" s="7" t="s">
        <v>16838</v>
      </c>
      <c r="D1477" s="199"/>
      <c r="E1477" s="193"/>
      <c r="F1477" s="195" t="s">
        <v>18730</v>
      </c>
      <c r="G1477" s="200">
        <v>8.281965729E9</v>
      </c>
      <c r="H1477" s="197">
        <v>357.39</v>
      </c>
      <c r="I1477" s="7" t="s">
        <v>16815</v>
      </c>
      <c r="J1477" s="7" t="s">
        <v>17127</v>
      </c>
      <c r="K1477" s="7" t="s">
        <v>16838</v>
      </c>
      <c r="L1477" s="201" t="s">
        <v>16835</v>
      </c>
      <c r="M1477" s="199"/>
      <c r="N1477" s="199"/>
    </row>
    <row r="1478">
      <c r="A1478" s="193" t="s">
        <v>18729</v>
      </c>
      <c r="B1478" s="7" t="s">
        <v>16838</v>
      </c>
      <c r="C1478" s="7" t="s">
        <v>17127</v>
      </c>
      <c r="D1478" s="199"/>
      <c r="E1478" s="193"/>
      <c r="F1478" s="195" t="s">
        <v>18730</v>
      </c>
      <c r="G1478" s="196">
        <v>8.281965729E9</v>
      </c>
      <c r="H1478" s="197">
        <v>357.39</v>
      </c>
      <c r="I1478" s="7" t="s">
        <v>16815</v>
      </c>
      <c r="J1478" s="7" t="s">
        <v>16838</v>
      </c>
      <c r="K1478" s="7" t="s">
        <v>17127</v>
      </c>
      <c r="L1478" s="198" t="s">
        <v>65</v>
      </c>
      <c r="M1478" s="199"/>
      <c r="N1478" s="199"/>
    </row>
    <row r="1479">
      <c r="A1479" s="193" t="s">
        <v>18731</v>
      </c>
      <c r="B1479" s="7" t="s">
        <v>18732</v>
      </c>
      <c r="C1479" s="7" t="s">
        <v>169</v>
      </c>
      <c r="D1479" s="199"/>
      <c r="E1479" s="193"/>
      <c r="F1479" s="195" t="s">
        <v>18733</v>
      </c>
      <c r="G1479" s="200">
        <v>8.270021139E9</v>
      </c>
      <c r="H1479" s="197">
        <v>125.72</v>
      </c>
      <c r="I1479" s="7" t="s">
        <v>16815</v>
      </c>
      <c r="J1479" s="7" t="s">
        <v>18732</v>
      </c>
      <c r="K1479" s="7" t="s">
        <v>169</v>
      </c>
      <c r="L1479" s="201" t="s">
        <v>16835</v>
      </c>
      <c r="M1479" s="199"/>
      <c r="N1479" s="199"/>
    </row>
    <row r="1480">
      <c r="A1480" s="193" t="s">
        <v>18731</v>
      </c>
      <c r="B1480" s="7" t="s">
        <v>169</v>
      </c>
      <c r="C1480" s="7" t="s">
        <v>18732</v>
      </c>
      <c r="D1480" s="199"/>
      <c r="E1480" s="193"/>
      <c r="F1480" s="195" t="s">
        <v>18733</v>
      </c>
      <c r="G1480" s="196">
        <v>8.270021139E9</v>
      </c>
      <c r="H1480" s="197">
        <v>125.72</v>
      </c>
      <c r="I1480" s="7" t="s">
        <v>16815</v>
      </c>
      <c r="J1480" s="7" t="s">
        <v>169</v>
      </c>
      <c r="K1480" s="7" t="s">
        <v>18732</v>
      </c>
      <c r="L1480" s="198" t="s">
        <v>65</v>
      </c>
      <c r="M1480" s="199"/>
      <c r="N1480" s="199"/>
    </row>
    <row r="1481">
      <c r="A1481" s="193" t="s">
        <v>18734</v>
      </c>
      <c r="B1481" s="7" t="s">
        <v>175</v>
      </c>
      <c r="C1481" s="7" t="s">
        <v>18723</v>
      </c>
      <c r="D1481" s="199"/>
      <c r="E1481" s="193"/>
      <c r="F1481" s="195" t="s">
        <v>18735</v>
      </c>
      <c r="G1481" s="196">
        <v>8.25265662E9</v>
      </c>
      <c r="H1481" s="197">
        <v>25.2701</v>
      </c>
      <c r="I1481" s="7" t="s">
        <v>168</v>
      </c>
      <c r="J1481" s="7" t="s">
        <v>175</v>
      </c>
      <c r="K1481" s="7" t="s">
        <v>18723</v>
      </c>
      <c r="L1481" s="198" t="s">
        <v>65</v>
      </c>
      <c r="M1481" s="199"/>
      <c r="N1481" s="199"/>
    </row>
    <row r="1482">
      <c r="A1482" s="193" t="s">
        <v>18736</v>
      </c>
      <c r="B1482" s="7" t="s">
        <v>16919</v>
      </c>
      <c r="C1482" s="7" t="s">
        <v>17048</v>
      </c>
      <c r="D1482" s="194">
        <v>1994.0</v>
      </c>
      <c r="E1482" s="193"/>
      <c r="F1482" s="195" t="s">
        <v>18737</v>
      </c>
      <c r="G1482" s="196">
        <v>8.242818749E9</v>
      </c>
      <c r="H1482" s="197">
        <v>6.42</v>
      </c>
      <c r="I1482" s="7" t="s">
        <v>16815</v>
      </c>
      <c r="J1482" s="7" t="s">
        <v>16919</v>
      </c>
      <c r="K1482" s="7" t="s">
        <v>17048</v>
      </c>
      <c r="L1482" s="198" t="s">
        <v>65</v>
      </c>
      <c r="M1482" s="194"/>
      <c r="N1482" s="194"/>
    </row>
    <row r="1483">
      <c r="A1483" s="193" t="s">
        <v>18736</v>
      </c>
      <c r="B1483" s="7" t="s">
        <v>17048</v>
      </c>
      <c r="C1483" s="7" t="s">
        <v>16919</v>
      </c>
      <c r="D1483" s="194">
        <v>1994.0</v>
      </c>
      <c r="E1483" s="193"/>
      <c r="F1483" s="195" t="s">
        <v>18737</v>
      </c>
      <c r="G1483" s="200">
        <v>8.242818749E9</v>
      </c>
      <c r="H1483" s="197">
        <v>6.42</v>
      </c>
      <c r="I1483" s="7" t="s">
        <v>16815</v>
      </c>
      <c r="J1483" s="7" t="s">
        <v>17048</v>
      </c>
      <c r="K1483" s="7" t="s">
        <v>16919</v>
      </c>
      <c r="L1483" s="201" t="s">
        <v>16835</v>
      </c>
      <c r="M1483" s="194"/>
      <c r="N1483" s="194"/>
    </row>
    <row r="1484">
      <c r="A1484" s="193" t="s">
        <v>18738</v>
      </c>
      <c r="B1484" s="7" t="s">
        <v>187</v>
      </c>
      <c r="C1484" s="7" t="s">
        <v>16858</v>
      </c>
      <c r="D1484" s="194">
        <v>1986.0</v>
      </c>
      <c r="E1484" s="193"/>
      <c r="F1484" s="195" t="s">
        <v>18739</v>
      </c>
      <c r="G1484" s="196">
        <v>8.238571838E9</v>
      </c>
      <c r="H1484" s="197">
        <v>147.56</v>
      </c>
      <c r="I1484" s="7" t="s">
        <v>16815</v>
      </c>
      <c r="J1484" s="7" t="s">
        <v>187</v>
      </c>
      <c r="K1484" s="7" t="s">
        <v>16858</v>
      </c>
      <c r="L1484" s="198" t="s">
        <v>65</v>
      </c>
      <c r="M1484" s="194"/>
      <c r="N1484" s="194"/>
    </row>
    <row r="1485">
      <c r="A1485" s="193" t="s">
        <v>18740</v>
      </c>
      <c r="B1485" s="7" t="s">
        <v>17111</v>
      </c>
      <c r="C1485" s="7" t="s">
        <v>17112</v>
      </c>
      <c r="D1485" s="194">
        <v>1997.0</v>
      </c>
      <c r="E1485" s="193"/>
      <c r="F1485" s="195" t="s">
        <v>18741</v>
      </c>
      <c r="G1485" s="200">
        <v>8.229943039E9</v>
      </c>
      <c r="H1485" s="197">
        <v>52.44</v>
      </c>
      <c r="I1485" s="7" t="s">
        <v>16815</v>
      </c>
      <c r="J1485" s="7" t="s">
        <v>17111</v>
      </c>
      <c r="K1485" s="7" t="s">
        <v>17112</v>
      </c>
      <c r="L1485" s="201" t="s">
        <v>16835</v>
      </c>
      <c r="M1485" s="194"/>
      <c r="N1485" s="194"/>
    </row>
    <row r="1486">
      <c r="A1486" s="193" t="s">
        <v>18740</v>
      </c>
      <c r="B1486" s="7" t="s">
        <v>17112</v>
      </c>
      <c r="C1486" s="7" t="s">
        <v>17111</v>
      </c>
      <c r="D1486" s="194">
        <v>1997.0</v>
      </c>
      <c r="E1486" s="193"/>
      <c r="F1486" s="195" t="s">
        <v>18741</v>
      </c>
      <c r="G1486" s="196">
        <v>8.229943039E9</v>
      </c>
      <c r="H1486" s="197">
        <v>52.44</v>
      </c>
      <c r="I1486" s="7" t="s">
        <v>16815</v>
      </c>
      <c r="J1486" s="7" t="s">
        <v>17112</v>
      </c>
      <c r="K1486" s="7" t="s">
        <v>17111</v>
      </c>
      <c r="L1486" s="198" t="s">
        <v>65</v>
      </c>
      <c r="M1486" s="194"/>
      <c r="N1486" s="194"/>
    </row>
    <row r="1487">
      <c r="A1487" s="193" t="s">
        <v>18742</v>
      </c>
      <c r="B1487" s="7" t="s">
        <v>175</v>
      </c>
      <c r="C1487" s="7" t="s">
        <v>17057</v>
      </c>
      <c r="D1487" s="194">
        <v>1991.0</v>
      </c>
      <c r="E1487" s="193"/>
      <c r="F1487" s="195" t="s">
        <v>18743</v>
      </c>
      <c r="G1487" s="196">
        <v>8.223250927E9</v>
      </c>
      <c r="H1487" s="197">
        <v>154.44</v>
      </c>
      <c r="I1487" s="7" t="s">
        <v>16844</v>
      </c>
      <c r="J1487" s="7" t="s">
        <v>175</v>
      </c>
      <c r="K1487" s="7" t="s">
        <v>17057</v>
      </c>
      <c r="L1487" s="198" t="s">
        <v>65</v>
      </c>
      <c r="M1487" s="194"/>
      <c r="N1487" s="194"/>
    </row>
    <row r="1488">
      <c r="A1488" s="193" t="s">
        <v>18744</v>
      </c>
      <c r="B1488" s="7" t="s">
        <v>17111</v>
      </c>
      <c r="C1488" s="7" t="s">
        <v>17112</v>
      </c>
      <c r="D1488" s="199"/>
      <c r="E1488" s="193"/>
      <c r="F1488" s="195" t="s">
        <v>18745</v>
      </c>
      <c r="G1488" s="200">
        <v>8.191684991E9</v>
      </c>
      <c r="H1488" s="197">
        <v>36.43</v>
      </c>
      <c r="I1488" s="7" t="s">
        <v>16815</v>
      </c>
      <c r="J1488" s="7" t="s">
        <v>17111</v>
      </c>
      <c r="K1488" s="7" t="s">
        <v>17112</v>
      </c>
      <c r="L1488" s="201" t="s">
        <v>16835</v>
      </c>
      <c r="M1488" s="199"/>
      <c r="N1488" s="199"/>
    </row>
    <row r="1489">
      <c r="A1489" s="193" t="s">
        <v>18744</v>
      </c>
      <c r="B1489" s="7" t="s">
        <v>17112</v>
      </c>
      <c r="C1489" s="7" t="s">
        <v>17111</v>
      </c>
      <c r="D1489" s="199"/>
      <c r="E1489" s="193"/>
      <c r="F1489" s="195" t="s">
        <v>18745</v>
      </c>
      <c r="G1489" s="196">
        <v>8.191684991E9</v>
      </c>
      <c r="H1489" s="197">
        <v>36.43</v>
      </c>
      <c r="I1489" s="7" t="s">
        <v>16815</v>
      </c>
      <c r="J1489" s="7" t="s">
        <v>17112</v>
      </c>
      <c r="K1489" s="7" t="s">
        <v>17111</v>
      </c>
      <c r="L1489" s="198" t="s">
        <v>65</v>
      </c>
      <c r="M1489" s="199"/>
      <c r="N1489" s="199"/>
    </row>
    <row r="1490">
      <c r="A1490" s="193" t="s">
        <v>18746</v>
      </c>
      <c r="B1490" s="7" t="s">
        <v>158</v>
      </c>
      <c r="C1490" s="7" t="s">
        <v>16899</v>
      </c>
      <c r="D1490" s="199"/>
      <c r="E1490" s="193"/>
      <c r="F1490" s="195" t="s">
        <v>18747</v>
      </c>
      <c r="G1490" s="196">
        <v>8.160001056E9</v>
      </c>
      <c r="H1490" s="197">
        <v>135.06</v>
      </c>
      <c r="I1490" s="7" t="s">
        <v>17450</v>
      </c>
      <c r="J1490" s="7" t="s">
        <v>158</v>
      </c>
      <c r="K1490" s="7" t="s">
        <v>16899</v>
      </c>
      <c r="L1490" s="198" t="s">
        <v>65</v>
      </c>
      <c r="M1490" s="199"/>
      <c r="N1490" s="199"/>
    </row>
    <row r="1491">
      <c r="A1491" s="193" t="s">
        <v>18748</v>
      </c>
      <c r="B1491" s="7" t="s">
        <v>175</v>
      </c>
      <c r="C1491" s="7" t="s">
        <v>17812</v>
      </c>
      <c r="D1491" s="199"/>
      <c r="E1491" s="193"/>
      <c r="F1491" s="195" t="s">
        <v>18749</v>
      </c>
      <c r="G1491" s="196">
        <v>8.152852585E9</v>
      </c>
      <c r="H1491" s="197">
        <v>76.99</v>
      </c>
      <c r="I1491" s="7" t="s">
        <v>17222</v>
      </c>
      <c r="J1491" s="7" t="s">
        <v>175</v>
      </c>
      <c r="K1491" s="7" t="s">
        <v>17812</v>
      </c>
      <c r="L1491" s="198" t="s">
        <v>65</v>
      </c>
      <c r="M1491" s="199"/>
      <c r="N1491" s="199"/>
    </row>
    <row r="1492">
      <c r="A1492" s="193" t="s">
        <v>18748</v>
      </c>
      <c r="B1492" s="7" t="s">
        <v>17812</v>
      </c>
      <c r="C1492" s="7" t="s">
        <v>175</v>
      </c>
      <c r="D1492" s="199"/>
      <c r="E1492" s="193"/>
      <c r="F1492" s="195" t="s">
        <v>18749</v>
      </c>
      <c r="G1492" s="200">
        <v>8.152852585E9</v>
      </c>
      <c r="H1492" s="197">
        <v>76.99</v>
      </c>
      <c r="I1492" s="7" t="s">
        <v>16815</v>
      </c>
      <c r="J1492" s="7" t="s">
        <v>17812</v>
      </c>
      <c r="K1492" s="7" t="s">
        <v>175</v>
      </c>
      <c r="L1492" s="201" t="s">
        <v>16835</v>
      </c>
      <c r="M1492" s="199"/>
      <c r="N1492" s="199"/>
    </row>
    <row r="1493">
      <c r="A1493" s="193" t="s">
        <v>18750</v>
      </c>
      <c r="B1493" s="7" t="s">
        <v>175</v>
      </c>
      <c r="C1493" s="7" t="s">
        <v>16861</v>
      </c>
      <c r="D1493" s="194">
        <v>2020.0</v>
      </c>
      <c r="E1493" s="193"/>
      <c r="F1493" s="195" t="s">
        <v>18751</v>
      </c>
      <c r="G1493" s="196">
        <v>8.144480013E9</v>
      </c>
      <c r="H1493" s="197">
        <v>25.78</v>
      </c>
      <c r="I1493" s="7" t="s">
        <v>168</v>
      </c>
      <c r="J1493" s="7" t="s">
        <v>175</v>
      </c>
      <c r="K1493" s="7" t="s">
        <v>16861</v>
      </c>
      <c r="L1493" s="198" t="s">
        <v>65</v>
      </c>
      <c r="M1493" s="194"/>
      <c r="N1493" s="194"/>
    </row>
    <row r="1494">
      <c r="A1494" s="193" t="s">
        <v>18750</v>
      </c>
      <c r="B1494" s="7" t="s">
        <v>16861</v>
      </c>
      <c r="C1494" s="7" t="s">
        <v>175</v>
      </c>
      <c r="D1494" s="194">
        <v>2020.0</v>
      </c>
      <c r="E1494" s="193"/>
      <c r="F1494" s="195" t="s">
        <v>18751</v>
      </c>
      <c r="G1494" s="200">
        <v>8.144480013E9</v>
      </c>
      <c r="H1494" s="197">
        <v>25.78</v>
      </c>
      <c r="I1494" s="7" t="s">
        <v>16815</v>
      </c>
      <c r="J1494" s="7" t="s">
        <v>16861</v>
      </c>
      <c r="K1494" s="7" t="s">
        <v>175</v>
      </c>
      <c r="L1494" s="201" t="s">
        <v>16835</v>
      </c>
      <c r="M1494" s="194"/>
      <c r="N1494" s="194"/>
    </row>
    <row r="1495">
      <c r="A1495" s="193" t="s">
        <v>18752</v>
      </c>
      <c r="B1495" s="7" t="s">
        <v>175</v>
      </c>
      <c r="C1495" s="7" t="s">
        <v>17350</v>
      </c>
      <c r="D1495" s="199"/>
      <c r="E1495" s="193"/>
      <c r="F1495" s="195" t="s">
        <v>18753</v>
      </c>
      <c r="G1495" s="196">
        <v>8.133777771E9</v>
      </c>
      <c r="H1495" s="197">
        <v>96.66</v>
      </c>
      <c r="I1495" s="7" t="s">
        <v>16826</v>
      </c>
      <c r="J1495" s="7" t="s">
        <v>175</v>
      </c>
      <c r="K1495" s="7" t="s">
        <v>17350</v>
      </c>
      <c r="L1495" s="198" t="s">
        <v>65</v>
      </c>
      <c r="M1495" s="199"/>
      <c r="N1495" s="199"/>
    </row>
    <row r="1496">
      <c r="A1496" s="193" t="s">
        <v>18752</v>
      </c>
      <c r="B1496" s="7" t="s">
        <v>17350</v>
      </c>
      <c r="C1496" s="7" t="s">
        <v>175</v>
      </c>
      <c r="D1496" s="199"/>
      <c r="E1496" s="193"/>
      <c r="F1496" s="195" t="s">
        <v>18753</v>
      </c>
      <c r="G1496" s="200">
        <v>8.133777771E9</v>
      </c>
      <c r="H1496" s="197">
        <v>96.66</v>
      </c>
      <c r="I1496" s="7" t="s">
        <v>16815</v>
      </c>
      <c r="J1496" s="7" t="s">
        <v>17350</v>
      </c>
      <c r="K1496" s="7" t="s">
        <v>175</v>
      </c>
      <c r="L1496" s="201" t="s">
        <v>16835</v>
      </c>
      <c r="M1496" s="199"/>
      <c r="N1496" s="199"/>
    </row>
    <row r="1497">
      <c r="A1497" s="193" t="s">
        <v>18754</v>
      </c>
      <c r="B1497" s="7" t="s">
        <v>16838</v>
      </c>
      <c r="C1497" s="7" t="s">
        <v>17112</v>
      </c>
      <c r="D1497" s="194">
        <v>2023.0</v>
      </c>
      <c r="E1497" s="193"/>
      <c r="F1497" s="195" t="s">
        <v>18755</v>
      </c>
      <c r="G1497" s="196">
        <v>8.1087046E9</v>
      </c>
      <c r="H1497" s="197">
        <v>3.14</v>
      </c>
      <c r="I1497" s="7" t="s">
        <v>16815</v>
      </c>
      <c r="J1497" s="7" t="s">
        <v>16838</v>
      </c>
      <c r="K1497" s="7" t="s">
        <v>17112</v>
      </c>
      <c r="L1497" s="198" t="s">
        <v>65</v>
      </c>
      <c r="M1497" s="194"/>
      <c r="N1497" s="194"/>
    </row>
    <row r="1498">
      <c r="A1498" s="193" t="s">
        <v>18756</v>
      </c>
      <c r="B1498" s="7" t="s">
        <v>16838</v>
      </c>
      <c r="C1498" s="7" t="s">
        <v>17019</v>
      </c>
      <c r="D1498" s="194">
        <v>2019.0</v>
      </c>
      <c r="E1498" s="193"/>
      <c r="F1498" s="195" t="s">
        <v>18757</v>
      </c>
      <c r="G1498" s="196">
        <v>8.094408437E9</v>
      </c>
      <c r="H1498" s="197">
        <v>57.96</v>
      </c>
      <c r="I1498" s="7" t="s">
        <v>16815</v>
      </c>
      <c r="J1498" s="7" t="s">
        <v>16838</v>
      </c>
      <c r="K1498" s="7" t="s">
        <v>17019</v>
      </c>
      <c r="L1498" s="198" t="s">
        <v>65</v>
      </c>
      <c r="M1498" s="194"/>
      <c r="N1498" s="194"/>
    </row>
    <row r="1499">
      <c r="A1499" s="193" t="s">
        <v>18758</v>
      </c>
      <c r="B1499" s="7" t="s">
        <v>16582</v>
      </c>
      <c r="C1499" s="7" t="s">
        <v>16583</v>
      </c>
      <c r="D1499" s="199"/>
      <c r="E1499" s="193"/>
      <c r="F1499" s="195" t="s">
        <v>18759</v>
      </c>
      <c r="G1499" s="196">
        <v>8.072803481E9</v>
      </c>
      <c r="H1499" s="197">
        <v>29.7</v>
      </c>
      <c r="I1499" s="7" t="s">
        <v>16815</v>
      </c>
      <c r="J1499" s="7" t="s">
        <v>16582</v>
      </c>
      <c r="K1499" s="7" t="s">
        <v>16583</v>
      </c>
      <c r="L1499" s="198" t="s">
        <v>65</v>
      </c>
      <c r="M1499" s="199"/>
      <c r="N1499" s="199"/>
    </row>
    <row r="1500">
      <c r="A1500" s="193" t="s">
        <v>18760</v>
      </c>
      <c r="B1500" s="7" t="s">
        <v>16838</v>
      </c>
      <c r="C1500" s="7" t="s">
        <v>17127</v>
      </c>
      <c r="D1500" s="199"/>
      <c r="E1500" s="193"/>
      <c r="F1500" s="195" t="s">
        <v>18761</v>
      </c>
      <c r="G1500" s="196">
        <v>8.070730251E9</v>
      </c>
      <c r="H1500" s="197">
        <v>21.64</v>
      </c>
      <c r="I1500" s="7" t="s">
        <v>16872</v>
      </c>
      <c r="J1500" s="7" t="s">
        <v>16838</v>
      </c>
      <c r="K1500" s="7" t="s">
        <v>17127</v>
      </c>
      <c r="L1500" s="198" t="s">
        <v>65</v>
      </c>
      <c r="M1500" s="199"/>
      <c r="N1500" s="199"/>
    </row>
    <row r="1501">
      <c r="A1501" s="193" t="s">
        <v>18762</v>
      </c>
      <c r="B1501" s="7" t="s">
        <v>17532</v>
      </c>
      <c r="C1501" s="7" t="s">
        <v>169</v>
      </c>
      <c r="D1501" s="199"/>
      <c r="E1501" s="193"/>
      <c r="F1501" s="195" t="s">
        <v>18763</v>
      </c>
      <c r="G1501" s="200">
        <v>8.065774456E9</v>
      </c>
      <c r="H1501" s="197">
        <v>4.82</v>
      </c>
      <c r="I1501" s="7" t="s">
        <v>16815</v>
      </c>
      <c r="J1501" s="7" t="s">
        <v>17532</v>
      </c>
      <c r="K1501" s="7" t="s">
        <v>169</v>
      </c>
      <c r="L1501" s="201" t="s">
        <v>16835</v>
      </c>
      <c r="M1501" s="199"/>
      <c r="N1501" s="199"/>
    </row>
    <row r="1502">
      <c r="A1502" s="193" t="s">
        <v>18762</v>
      </c>
      <c r="B1502" s="7" t="s">
        <v>169</v>
      </c>
      <c r="C1502" s="7" t="s">
        <v>17532</v>
      </c>
      <c r="D1502" s="199"/>
      <c r="E1502" s="193"/>
      <c r="F1502" s="195" t="s">
        <v>18763</v>
      </c>
      <c r="G1502" s="196">
        <v>8.065774456E9</v>
      </c>
      <c r="H1502" s="197">
        <v>4.82</v>
      </c>
      <c r="I1502" s="7" t="s">
        <v>16815</v>
      </c>
      <c r="J1502" s="7" t="s">
        <v>169</v>
      </c>
      <c r="K1502" s="7" t="s">
        <v>17532</v>
      </c>
      <c r="L1502" s="198" t="s">
        <v>65</v>
      </c>
      <c r="M1502" s="199"/>
      <c r="N1502" s="199"/>
    </row>
    <row r="1503">
      <c r="A1503" s="193" t="s">
        <v>18764</v>
      </c>
      <c r="B1503" s="7" t="s">
        <v>17043</v>
      </c>
      <c r="C1503" s="7" t="s">
        <v>169</v>
      </c>
      <c r="D1503" s="194">
        <v>2017.0</v>
      </c>
      <c r="E1503" s="193"/>
      <c r="F1503" s="195" t="s">
        <v>18765</v>
      </c>
      <c r="G1503" s="200">
        <v>8.04747203E9</v>
      </c>
      <c r="H1503" s="197">
        <v>49.87</v>
      </c>
      <c r="I1503" s="7" t="s">
        <v>16815</v>
      </c>
      <c r="J1503" s="7" t="s">
        <v>17043</v>
      </c>
      <c r="K1503" s="7" t="s">
        <v>169</v>
      </c>
      <c r="L1503" s="201" t="s">
        <v>16835</v>
      </c>
      <c r="M1503" s="194"/>
      <c r="N1503" s="194"/>
    </row>
    <row r="1504">
      <c r="A1504" s="193" t="s">
        <v>18764</v>
      </c>
      <c r="B1504" s="7" t="s">
        <v>169</v>
      </c>
      <c r="C1504" s="7" t="s">
        <v>17043</v>
      </c>
      <c r="D1504" s="194">
        <v>2017.0</v>
      </c>
      <c r="E1504" s="193"/>
      <c r="F1504" s="195" t="s">
        <v>18765</v>
      </c>
      <c r="G1504" s="196">
        <v>8.04747203E9</v>
      </c>
      <c r="H1504" s="197">
        <v>49.87</v>
      </c>
      <c r="I1504" s="7" t="s">
        <v>16815</v>
      </c>
      <c r="J1504" s="7" t="s">
        <v>169</v>
      </c>
      <c r="K1504" s="7" t="s">
        <v>17043</v>
      </c>
      <c r="L1504" s="198" t="s">
        <v>65</v>
      </c>
      <c r="M1504" s="194"/>
      <c r="N1504" s="194"/>
    </row>
    <row r="1505">
      <c r="A1505" s="193" t="s">
        <v>18766</v>
      </c>
      <c r="B1505" s="7" t="s">
        <v>175</v>
      </c>
      <c r="C1505" s="7" t="s">
        <v>17350</v>
      </c>
      <c r="D1505" s="199"/>
      <c r="E1505" s="193"/>
      <c r="F1505" s="195" t="s">
        <v>18767</v>
      </c>
      <c r="G1505" s="196">
        <v>8.027089819E9</v>
      </c>
      <c r="H1505" s="197">
        <v>19.54</v>
      </c>
      <c r="I1505" s="7" t="s">
        <v>16892</v>
      </c>
      <c r="J1505" s="7" t="s">
        <v>175</v>
      </c>
      <c r="K1505" s="7" t="s">
        <v>17350</v>
      </c>
      <c r="L1505" s="198" t="s">
        <v>65</v>
      </c>
      <c r="M1505" s="199"/>
      <c r="N1505" s="199"/>
    </row>
    <row r="1506">
      <c r="A1506" s="193" t="s">
        <v>18768</v>
      </c>
      <c r="B1506" s="7" t="s">
        <v>16919</v>
      </c>
      <c r="C1506" s="7" t="s">
        <v>17048</v>
      </c>
      <c r="D1506" s="199"/>
      <c r="E1506" s="193"/>
      <c r="F1506" s="195" t="s">
        <v>18769</v>
      </c>
      <c r="G1506" s="196">
        <v>7.990047459E9</v>
      </c>
      <c r="H1506" s="197">
        <v>70.46</v>
      </c>
      <c r="I1506" s="7" t="s">
        <v>16815</v>
      </c>
      <c r="J1506" s="7" t="s">
        <v>16919</v>
      </c>
      <c r="K1506" s="7" t="s">
        <v>17048</v>
      </c>
      <c r="L1506" s="198" t="s">
        <v>65</v>
      </c>
      <c r="M1506" s="199"/>
      <c r="N1506" s="199"/>
    </row>
    <row r="1507">
      <c r="A1507" s="193" t="s">
        <v>18768</v>
      </c>
      <c r="B1507" s="7" t="s">
        <v>17048</v>
      </c>
      <c r="C1507" s="7" t="s">
        <v>16919</v>
      </c>
      <c r="D1507" s="199"/>
      <c r="E1507" s="193"/>
      <c r="F1507" s="195" t="s">
        <v>18769</v>
      </c>
      <c r="G1507" s="200">
        <v>7.990047459E9</v>
      </c>
      <c r="H1507" s="197">
        <v>70.46</v>
      </c>
      <c r="I1507" s="7" t="s">
        <v>16815</v>
      </c>
      <c r="J1507" s="7" t="s">
        <v>17048</v>
      </c>
      <c r="K1507" s="7" t="s">
        <v>16919</v>
      </c>
      <c r="L1507" s="201" t="s">
        <v>16835</v>
      </c>
      <c r="M1507" s="199"/>
      <c r="N1507" s="199"/>
    </row>
    <row r="1508">
      <c r="A1508" s="193" t="s">
        <v>18770</v>
      </c>
      <c r="B1508" s="7" t="s">
        <v>16838</v>
      </c>
      <c r="C1508" s="7" t="s">
        <v>16867</v>
      </c>
      <c r="D1508" s="199"/>
      <c r="E1508" s="193"/>
      <c r="F1508" s="195" t="s">
        <v>18771</v>
      </c>
      <c r="G1508" s="196">
        <v>7.963962324E9</v>
      </c>
      <c r="H1508" s="197">
        <v>56.51</v>
      </c>
      <c r="I1508" s="7" t="s">
        <v>16815</v>
      </c>
      <c r="J1508" s="7" t="s">
        <v>16838</v>
      </c>
      <c r="K1508" s="7" t="s">
        <v>16867</v>
      </c>
      <c r="L1508" s="198" t="s">
        <v>65</v>
      </c>
      <c r="M1508" s="199"/>
      <c r="N1508" s="199"/>
    </row>
    <row r="1509">
      <c r="A1509" s="193" t="s">
        <v>18772</v>
      </c>
      <c r="B1509" s="7" t="s">
        <v>158</v>
      </c>
      <c r="C1509" s="7" t="s">
        <v>16864</v>
      </c>
      <c r="D1509" s="199"/>
      <c r="E1509" s="193"/>
      <c r="F1509" s="195" t="s">
        <v>18773</v>
      </c>
      <c r="G1509" s="196">
        <v>7.943756715E9</v>
      </c>
      <c r="H1509" s="197">
        <v>32.92</v>
      </c>
      <c r="I1509" s="7" t="s">
        <v>180</v>
      </c>
      <c r="J1509" s="7" t="s">
        <v>158</v>
      </c>
      <c r="K1509" s="7" t="s">
        <v>16864</v>
      </c>
      <c r="L1509" s="198" t="s">
        <v>65</v>
      </c>
      <c r="M1509" s="199"/>
      <c r="N1509" s="199"/>
    </row>
    <row r="1510">
      <c r="A1510" s="193" t="s">
        <v>18772</v>
      </c>
      <c r="B1510" s="7" t="s">
        <v>16864</v>
      </c>
      <c r="C1510" s="7" t="s">
        <v>158</v>
      </c>
      <c r="D1510" s="199"/>
      <c r="E1510" s="193"/>
      <c r="F1510" s="195" t="s">
        <v>18773</v>
      </c>
      <c r="G1510" s="200">
        <v>7.943756715E9</v>
      </c>
      <c r="H1510" s="197">
        <v>32.92</v>
      </c>
      <c r="I1510" s="7" t="s">
        <v>16815</v>
      </c>
      <c r="J1510" s="7" t="s">
        <v>16864</v>
      </c>
      <c r="K1510" s="7" t="s">
        <v>158</v>
      </c>
      <c r="L1510" s="201" t="s">
        <v>16835</v>
      </c>
      <c r="M1510" s="199"/>
      <c r="N1510" s="199"/>
    </row>
    <row r="1511">
      <c r="A1511" s="193" t="s">
        <v>18774</v>
      </c>
      <c r="B1511" s="7" t="s">
        <v>16582</v>
      </c>
      <c r="C1511" s="7" t="s">
        <v>16899</v>
      </c>
      <c r="D1511" s="199"/>
      <c r="E1511" s="193"/>
      <c r="F1511" s="195" t="s">
        <v>18775</v>
      </c>
      <c r="G1511" s="196">
        <v>7.934287911E9</v>
      </c>
      <c r="H1511" s="197">
        <v>207.48</v>
      </c>
      <c r="I1511" s="7" t="s">
        <v>16815</v>
      </c>
      <c r="J1511" s="7" t="s">
        <v>16582</v>
      </c>
      <c r="K1511" s="7" t="s">
        <v>16899</v>
      </c>
      <c r="L1511" s="198" t="s">
        <v>65</v>
      </c>
      <c r="M1511" s="199"/>
      <c r="N1511" s="199"/>
    </row>
    <row r="1512">
      <c r="A1512" s="193" t="s">
        <v>18774</v>
      </c>
      <c r="B1512" s="7" t="s">
        <v>16899</v>
      </c>
      <c r="C1512" s="7" t="s">
        <v>16582</v>
      </c>
      <c r="D1512" s="199"/>
      <c r="E1512" s="193"/>
      <c r="F1512" s="195" t="s">
        <v>18775</v>
      </c>
      <c r="G1512" s="200">
        <v>7.934287911E9</v>
      </c>
      <c r="H1512" s="197">
        <v>207.48</v>
      </c>
      <c r="I1512" s="7" t="s">
        <v>16815</v>
      </c>
      <c r="J1512" s="7" t="s">
        <v>16899</v>
      </c>
      <c r="K1512" s="7" t="s">
        <v>16582</v>
      </c>
      <c r="L1512" s="201" t="s">
        <v>16835</v>
      </c>
      <c r="M1512" s="199"/>
      <c r="N1512" s="199"/>
    </row>
    <row r="1513">
      <c r="A1513" s="193" t="s">
        <v>18776</v>
      </c>
      <c r="B1513" s="7" t="s">
        <v>16582</v>
      </c>
      <c r="C1513" s="7" t="s">
        <v>16930</v>
      </c>
      <c r="D1513" s="199"/>
      <c r="E1513" s="193"/>
      <c r="F1513" s="195" t="s">
        <v>18777</v>
      </c>
      <c r="G1513" s="196">
        <v>7.931603193E9</v>
      </c>
      <c r="H1513" s="197">
        <v>86.82</v>
      </c>
      <c r="I1513" s="7" t="s">
        <v>16815</v>
      </c>
      <c r="J1513" s="7" t="s">
        <v>16582</v>
      </c>
      <c r="K1513" s="7" t="s">
        <v>16930</v>
      </c>
      <c r="L1513" s="198" t="s">
        <v>65</v>
      </c>
      <c r="M1513" s="199"/>
      <c r="N1513" s="199"/>
    </row>
    <row r="1514">
      <c r="A1514" s="193" t="s">
        <v>18778</v>
      </c>
      <c r="B1514" s="7" t="s">
        <v>169</v>
      </c>
      <c r="C1514" s="7" t="s">
        <v>17619</v>
      </c>
      <c r="D1514" s="199"/>
      <c r="E1514" s="193"/>
      <c r="F1514" s="195" t="s">
        <v>18779</v>
      </c>
      <c r="G1514" s="196">
        <v>7.882017295E9</v>
      </c>
      <c r="H1514" s="197">
        <v>12.1</v>
      </c>
      <c r="I1514" s="7" t="s">
        <v>16815</v>
      </c>
      <c r="J1514" s="7" t="s">
        <v>169</v>
      </c>
      <c r="K1514" s="7" t="s">
        <v>17619</v>
      </c>
      <c r="L1514" s="198" t="s">
        <v>65</v>
      </c>
      <c r="M1514" s="199"/>
      <c r="N1514" s="199"/>
    </row>
    <row r="1515">
      <c r="A1515" s="193" t="s">
        <v>18780</v>
      </c>
      <c r="B1515" s="7" t="s">
        <v>16582</v>
      </c>
      <c r="C1515" s="7" t="s">
        <v>16828</v>
      </c>
      <c r="D1515" s="199"/>
      <c r="E1515" s="193"/>
      <c r="F1515" s="195" t="s">
        <v>18781</v>
      </c>
      <c r="G1515" s="196">
        <v>7.86071607E9</v>
      </c>
      <c r="H1515" s="197">
        <v>56.95</v>
      </c>
      <c r="I1515" s="7" t="s">
        <v>16815</v>
      </c>
      <c r="J1515" s="7" t="s">
        <v>16582</v>
      </c>
      <c r="K1515" s="7" t="s">
        <v>16828</v>
      </c>
      <c r="L1515" s="198" t="s">
        <v>65</v>
      </c>
      <c r="M1515" s="199"/>
      <c r="N1515" s="199"/>
    </row>
    <row r="1516">
      <c r="A1516" s="193" t="s">
        <v>18782</v>
      </c>
      <c r="B1516" s="7" t="s">
        <v>175</v>
      </c>
      <c r="C1516" s="7" t="s">
        <v>17812</v>
      </c>
      <c r="D1516" s="194">
        <v>1999.0</v>
      </c>
      <c r="E1516" s="193"/>
      <c r="F1516" s="195" t="s">
        <v>18783</v>
      </c>
      <c r="G1516" s="196">
        <v>7.843387174E9</v>
      </c>
      <c r="H1516" s="197">
        <v>220.88</v>
      </c>
      <c r="I1516" s="7" t="s">
        <v>16908</v>
      </c>
      <c r="J1516" s="7" t="s">
        <v>175</v>
      </c>
      <c r="K1516" s="7" t="s">
        <v>17812</v>
      </c>
      <c r="L1516" s="198" t="s">
        <v>65</v>
      </c>
      <c r="M1516" s="194"/>
      <c r="N1516" s="194"/>
    </row>
    <row r="1517">
      <c r="A1517" s="193" t="s">
        <v>18782</v>
      </c>
      <c r="B1517" s="7" t="s">
        <v>17812</v>
      </c>
      <c r="C1517" s="7" t="s">
        <v>175</v>
      </c>
      <c r="D1517" s="194">
        <v>1999.0</v>
      </c>
      <c r="E1517" s="193"/>
      <c r="F1517" s="195" t="s">
        <v>18783</v>
      </c>
      <c r="G1517" s="200">
        <v>7.843387174E9</v>
      </c>
      <c r="H1517" s="197">
        <v>220.88</v>
      </c>
      <c r="I1517" s="7" t="s">
        <v>16815</v>
      </c>
      <c r="J1517" s="7" t="s">
        <v>17812</v>
      </c>
      <c r="K1517" s="7" t="s">
        <v>175</v>
      </c>
      <c r="L1517" s="201" t="s">
        <v>16835</v>
      </c>
      <c r="M1517" s="194"/>
      <c r="N1517" s="194"/>
    </row>
    <row r="1518">
      <c r="A1518" s="193" t="s">
        <v>18784</v>
      </c>
      <c r="B1518" s="7" t="s">
        <v>17127</v>
      </c>
      <c r="C1518" s="7" t="s">
        <v>16838</v>
      </c>
      <c r="D1518" s="199"/>
      <c r="E1518" s="193"/>
      <c r="F1518" s="195" t="s">
        <v>18785</v>
      </c>
      <c r="G1518" s="200">
        <v>7.830949245E9</v>
      </c>
      <c r="H1518" s="197">
        <v>27.93</v>
      </c>
      <c r="I1518" s="7" t="s">
        <v>16815</v>
      </c>
      <c r="J1518" s="7" t="s">
        <v>17127</v>
      </c>
      <c r="K1518" s="7" t="s">
        <v>16838</v>
      </c>
      <c r="L1518" s="201" t="s">
        <v>16835</v>
      </c>
      <c r="M1518" s="199"/>
      <c r="N1518" s="199"/>
    </row>
    <row r="1519">
      <c r="A1519" s="193" t="s">
        <v>18784</v>
      </c>
      <c r="B1519" s="7" t="s">
        <v>16838</v>
      </c>
      <c r="C1519" s="7" t="s">
        <v>17127</v>
      </c>
      <c r="D1519" s="199"/>
      <c r="E1519" s="193"/>
      <c r="F1519" s="195" t="s">
        <v>18785</v>
      </c>
      <c r="G1519" s="196">
        <v>7.830949245E9</v>
      </c>
      <c r="H1519" s="197">
        <v>27.93</v>
      </c>
      <c r="I1519" s="7" t="s">
        <v>16815</v>
      </c>
      <c r="J1519" s="7" t="s">
        <v>16838</v>
      </c>
      <c r="K1519" s="7" t="s">
        <v>17127</v>
      </c>
      <c r="L1519" s="198" t="s">
        <v>65</v>
      </c>
      <c r="M1519" s="199"/>
      <c r="N1519" s="199"/>
    </row>
    <row r="1520">
      <c r="A1520" s="193" t="s">
        <v>18786</v>
      </c>
      <c r="B1520" s="7" t="s">
        <v>17111</v>
      </c>
      <c r="C1520" s="7" t="s">
        <v>17112</v>
      </c>
      <c r="D1520" s="199"/>
      <c r="E1520" s="193"/>
      <c r="F1520" s="195" t="s">
        <v>18787</v>
      </c>
      <c r="G1520" s="200">
        <v>7.781194207E9</v>
      </c>
      <c r="H1520" s="197">
        <v>167.95</v>
      </c>
      <c r="I1520" s="7" t="s">
        <v>16815</v>
      </c>
      <c r="J1520" s="7" t="s">
        <v>17111</v>
      </c>
      <c r="K1520" s="7" t="s">
        <v>17112</v>
      </c>
      <c r="L1520" s="201" t="s">
        <v>16835</v>
      </c>
      <c r="M1520" s="199"/>
      <c r="N1520" s="199"/>
    </row>
    <row r="1521">
      <c r="A1521" s="193" t="s">
        <v>18786</v>
      </c>
      <c r="B1521" s="7" t="s">
        <v>17112</v>
      </c>
      <c r="C1521" s="7" t="s">
        <v>17111</v>
      </c>
      <c r="D1521" s="199"/>
      <c r="E1521" s="193"/>
      <c r="F1521" s="195" t="s">
        <v>18787</v>
      </c>
      <c r="G1521" s="196">
        <v>7.781194207E9</v>
      </c>
      <c r="H1521" s="197">
        <v>167.95</v>
      </c>
      <c r="I1521" s="7" t="s">
        <v>16815</v>
      </c>
      <c r="J1521" s="7" t="s">
        <v>17112</v>
      </c>
      <c r="K1521" s="7" t="s">
        <v>17111</v>
      </c>
      <c r="L1521" s="198" t="s">
        <v>65</v>
      </c>
      <c r="M1521" s="199"/>
      <c r="N1521" s="199"/>
    </row>
    <row r="1522">
      <c r="A1522" s="193" t="s">
        <v>18788</v>
      </c>
      <c r="B1522" s="7" t="s">
        <v>17111</v>
      </c>
      <c r="C1522" s="7" t="s">
        <v>17112</v>
      </c>
      <c r="D1522" s="194">
        <v>1992.0</v>
      </c>
      <c r="E1522" s="193"/>
      <c r="F1522" s="195" t="s">
        <v>18789</v>
      </c>
      <c r="G1522" s="200">
        <v>7.776096515E9</v>
      </c>
      <c r="H1522" s="197">
        <v>31.74</v>
      </c>
      <c r="I1522" s="7" t="s">
        <v>16815</v>
      </c>
      <c r="J1522" s="7" t="s">
        <v>17111</v>
      </c>
      <c r="K1522" s="7" t="s">
        <v>17112</v>
      </c>
      <c r="L1522" s="201" t="s">
        <v>16835</v>
      </c>
      <c r="M1522" s="194"/>
      <c r="N1522" s="194"/>
    </row>
    <row r="1523">
      <c r="A1523" s="193" t="s">
        <v>18788</v>
      </c>
      <c r="B1523" s="7" t="s">
        <v>17112</v>
      </c>
      <c r="C1523" s="7" t="s">
        <v>17111</v>
      </c>
      <c r="D1523" s="194">
        <v>1992.0</v>
      </c>
      <c r="E1523" s="193"/>
      <c r="F1523" s="195" t="s">
        <v>18789</v>
      </c>
      <c r="G1523" s="196">
        <v>7.776096515E9</v>
      </c>
      <c r="H1523" s="197">
        <v>31.74</v>
      </c>
      <c r="I1523" s="7" t="s">
        <v>16815</v>
      </c>
      <c r="J1523" s="7" t="s">
        <v>17112</v>
      </c>
      <c r="K1523" s="7" t="s">
        <v>17111</v>
      </c>
      <c r="L1523" s="198" t="s">
        <v>65</v>
      </c>
      <c r="M1523" s="194"/>
      <c r="N1523" s="194"/>
    </row>
    <row r="1524">
      <c r="A1524" s="193" t="s">
        <v>18790</v>
      </c>
      <c r="B1524" s="7" t="s">
        <v>175</v>
      </c>
      <c r="C1524" s="7" t="s">
        <v>17394</v>
      </c>
      <c r="D1524" s="194">
        <v>2013.0</v>
      </c>
      <c r="E1524" s="193"/>
      <c r="F1524" s="195" t="s">
        <v>18791</v>
      </c>
      <c r="G1524" s="196">
        <v>7.745690365E9</v>
      </c>
      <c r="H1524" s="197">
        <v>364.04</v>
      </c>
      <c r="I1524" s="7" t="s">
        <v>168</v>
      </c>
      <c r="J1524" s="7" t="s">
        <v>175</v>
      </c>
      <c r="K1524" s="7" t="s">
        <v>17394</v>
      </c>
      <c r="L1524" s="198" t="s">
        <v>65</v>
      </c>
      <c r="M1524" s="194"/>
      <c r="N1524" s="194"/>
    </row>
    <row r="1525">
      <c r="A1525" s="193" t="s">
        <v>18790</v>
      </c>
      <c r="B1525" s="7" t="s">
        <v>17394</v>
      </c>
      <c r="C1525" s="7" t="s">
        <v>175</v>
      </c>
      <c r="D1525" s="194">
        <v>2013.0</v>
      </c>
      <c r="E1525" s="193"/>
      <c r="F1525" s="195" t="s">
        <v>18791</v>
      </c>
      <c r="G1525" s="200">
        <v>7.745690365E9</v>
      </c>
      <c r="H1525" s="197">
        <v>364.04</v>
      </c>
      <c r="I1525" s="7" t="s">
        <v>16815</v>
      </c>
      <c r="J1525" s="7" t="s">
        <v>17394</v>
      </c>
      <c r="K1525" s="7" t="s">
        <v>175</v>
      </c>
      <c r="L1525" s="201" t="s">
        <v>16835</v>
      </c>
      <c r="M1525" s="194"/>
      <c r="N1525" s="194"/>
    </row>
    <row r="1526">
      <c r="A1526" s="193" t="s">
        <v>18792</v>
      </c>
      <c r="B1526" s="7" t="s">
        <v>17112</v>
      </c>
      <c r="C1526" s="7" t="s">
        <v>17218</v>
      </c>
      <c r="D1526" s="194">
        <v>2018.0</v>
      </c>
      <c r="E1526" s="193"/>
      <c r="F1526" s="195" t="s">
        <v>18793</v>
      </c>
      <c r="G1526" s="196">
        <v>7.744910151E9</v>
      </c>
      <c r="H1526" s="197">
        <v>1.0601</v>
      </c>
      <c r="I1526" s="7" t="s">
        <v>16815</v>
      </c>
      <c r="J1526" s="7" t="s">
        <v>17112</v>
      </c>
      <c r="K1526" s="7" t="s">
        <v>17218</v>
      </c>
      <c r="L1526" s="198" t="s">
        <v>65</v>
      </c>
      <c r="M1526" s="194"/>
      <c r="N1526" s="194"/>
    </row>
    <row r="1527">
      <c r="A1527" s="193" t="s">
        <v>18792</v>
      </c>
      <c r="B1527" s="7" t="s">
        <v>17218</v>
      </c>
      <c r="C1527" s="7" t="s">
        <v>17112</v>
      </c>
      <c r="D1527" s="194">
        <v>2018.0</v>
      </c>
      <c r="E1527" s="193"/>
      <c r="F1527" s="195" t="s">
        <v>18793</v>
      </c>
      <c r="G1527" s="200">
        <v>7.744910151E9</v>
      </c>
      <c r="H1527" s="197">
        <v>1.0601</v>
      </c>
      <c r="I1527" s="7" t="s">
        <v>16815</v>
      </c>
      <c r="J1527" s="7" t="s">
        <v>17218</v>
      </c>
      <c r="K1527" s="7" t="s">
        <v>17112</v>
      </c>
      <c r="L1527" s="201" t="s">
        <v>16835</v>
      </c>
      <c r="M1527" s="194"/>
      <c r="N1527" s="194"/>
    </row>
    <row r="1528">
      <c r="A1528" s="193" t="s">
        <v>18794</v>
      </c>
      <c r="B1528" s="7" t="s">
        <v>158</v>
      </c>
      <c r="C1528" s="7" t="s">
        <v>16864</v>
      </c>
      <c r="D1528" s="194">
        <v>2013.0</v>
      </c>
      <c r="E1528" s="193"/>
      <c r="F1528" s="195" t="s">
        <v>18795</v>
      </c>
      <c r="G1528" s="196">
        <v>7.73299712E9</v>
      </c>
      <c r="H1528" s="197">
        <v>25.73</v>
      </c>
      <c r="I1528" s="7" t="s">
        <v>18397</v>
      </c>
      <c r="J1528" s="7" t="s">
        <v>158</v>
      </c>
      <c r="K1528" s="7" t="s">
        <v>16864</v>
      </c>
      <c r="L1528" s="198" t="s">
        <v>65</v>
      </c>
      <c r="M1528" s="194"/>
      <c r="N1528" s="194"/>
    </row>
    <row r="1529">
      <c r="A1529" s="193" t="s">
        <v>18794</v>
      </c>
      <c r="B1529" s="7" t="s">
        <v>16864</v>
      </c>
      <c r="C1529" s="7" t="s">
        <v>158</v>
      </c>
      <c r="D1529" s="194">
        <v>2013.0</v>
      </c>
      <c r="E1529" s="193"/>
      <c r="F1529" s="195" t="s">
        <v>18795</v>
      </c>
      <c r="G1529" s="200">
        <v>7.73299712E9</v>
      </c>
      <c r="H1529" s="197">
        <v>25.73</v>
      </c>
      <c r="I1529" s="7" t="s">
        <v>16815</v>
      </c>
      <c r="J1529" s="7" t="s">
        <v>16864</v>
      </c>
      <c r="K1529" s="7" t="s">
        <v>158</v>
      </c>
      <c r="L1529" s="201" t="s">
        <v>16835</v>
      </c>
      <c r="M1529" s="194"/>
      <c r="N1529" s="194"/>
    </row>
    <row r="1530">
      <c r="A1530" s="193" t="s">
        <v>18796</v>
      </c>
      <c r="B1530" s="7" t="s">
        <v>158</v>
      </c>
      <c r="C1530" s="7" t="s">
        <v>16864</v>
      </c>
      <c r="D1530" s="199"/>
      <c r="E1530" s="193"/>
      <c r="F1530" s="195" t="s">
        <v>18797</v>
      </c>
      <c r="G1530" s="196">
        <v>7.732858077E9</v>
      </c>
      <c r="H1530" s="197">
        <v>12.07</v>
      </c>
      <c r="I1530" s="7" t="s">
        <v>180</v>
      </c>
      <c r="J1530" s="7" t="s">
        <v>158</v>
      </c>
      <c r="K1530" s="7" t="s">
        <v>16864</v>
      </c>
      <c r="L1530" s="198" t="s">
        <v>65</v>
      </c>
      <c r="M1530" s="199"/>
      <c r="N1530" s="199"/>
    </row>
    <row r="1531">
      <c r="A1531" s="193" t="s">
        <v>18796</v>
      </c>
      <c r="B1531" s="7" t="s">
        <v>16864</v>
      </c>
      <c r="C1531" s="7" t="s">
        <v>158</v>
      </c>
      <c r="D1531" s="199"/>
      <c r="E1531" s="193"/>
      <c r="F1531" s="195" t="s">
        <v>18797</v>
      </c>
      <c r="G1531" s="200">
        <v>7.732858077E9</v>
      </c>
      <c r="H1531" s="197">
        <v>12.07</v>
      </c>
      <c r="I1531" s="7" t="s">
        <v>16815</v>
      </c>
      <c r="J1531" s="7" t="s">
        <v>16864</v>
      </c>
      <c r="K1531" s="7" t="s">
        <v>158</v>
      </c>
      <c r="L1531" s="201" t="s">
        <v>16835</v>
      </c>
      <c r="M1531" s="199"/>
      <c r="N1531" s="199"/>
    </row>
    <row r="1532">
      <c r="A1532" s="193" t="s">
        <v>18798</v>
      </c>
      <c r="B1532" s="7" t="s">
        <v>175</v>
      </c>
      <c r="C1532" s="7" t="s">
        <v>17031</v>
      </c>
      <c r="D1532" s="199"/>
      <c r="E1532" s="193"/>
      <c r="F1532" s="195" t="s">
        <v>18799</v>
      </c>
      <c r="G1532" s="196">
        <v>7.71179029E9</v>
      </c>
      <c r="H1532" s="197">
        <v>11.8</v>
      </c>
      <c r="I1532" s="7" t="s">
        <v>16826</v>
      </c>
      <c r="J1532" s="7" t="s">
        <v>175</v>
      </c>
      <c r="K1532" s="7" t="s">
        <v>17031</v>
      </c>
      <c r="L1532" s="198" t="s">
        <v>65</v>
      </c>
      <c r="M1532" s="199"/>
      <c r="N1532" s="199"/>
    </row>
    <row r="1533">
      <c r="A1533" s="193" t="s">
        <v>18800</v>
      </c>
      <c r="B1533" s="7" t="s">
        <v>175</v>
      </c>
      <c r="C1533" s="7" t="s">
        <v>16975</v>
      </c>
      <c r="D1533" s="194">
        <v>1999.0</v>
      </c>
      <c r="E1533" s="193"/>
      <c r="F1533" s="195" t="s">
        <v>18801</v>
      </c>
      <c r="G1533" s="196">
        <v>7.703682638E9</v>
      </c>
      <c r="H1533" s="197">
        <v>50.03</v>
      </c>
      <c r="I1533" s="7" t="s">
        <v>17242</v>
      </c>
      <c r="J1533" s="7" t="s">
        <v>175</v>
      </c>
      <c r="K1533" s="7" t="s">
        <v>16975</v>
      </c>
      <c r="L1533" s="198" t="s">
        <v>65</v>
      </c>
      <c r="M1533" s="194"/>
      <c r="N1533" s="194"/>
    </row>
    <row r="1534">
      <c r="A1534" s="193" t="s">
        <v>18800</v>
      </c>
      <c r="B1534" s="7" t="s">
        <v>16975</v>
      </c>
      <c r="C1534" s="7" t="s">
        <v>175</v>
      </c>
      <c r="D1534" s="194">
        <v>1999.0</v>
      </c>
      <c r="E1534" s="193"/>
      <c r="F1534" s="195" t="s">
        <v>18801</v>
      </c>
      <c r="G1534" s="200">
        <v>7.703682638E9</v>
      </c>
      <c r="H1534" s="197">
        <v>50.03</v>
      </c>
      <c r="I1534" s="7" t="s">
        <v>16815</v>
      </c>
      <c r="J1534" s="7" t="s">
        <v>16975</v>
      </c>
      <c r="K1534" s="7" t="s">
        <v>175</v>
      </c>
      <c r="L1534" s="201" t="s">
        <v>16835</v>
      </c>
      <c r="M1534" s="194"/>
      <c r="N1534" s="194"/>
    </row>
    <row r="1535">
      <c r="A1535" s="193" t="s">
        <v>18802</v>
      </c>
      <c r="B1535" s="7" t="s">
        <v>16838</v>
      </c>
      <c r="C1535" s="7" t="s">
        <v>16867</v>
      </c>
      <c r="D1535" s="194">
        <v>2014.0</v>
      </c>
      <c r="E1535" s="193"/>
      <c r="F1535" s="195" t="s">
        <v>18803</v>
      </c>
      <c r="G1535" s="196">
        <v>7.700623984E9</v>
      </c>
      <c r="H1535" s="197">
        <v>25.53</v>
      </c>
      <c r="I1535" s="7" t="s">
        <v>17327</v>
      </c>
      <c r="J1535" s="7" t="s">
        <v>16838</v>
      </c>
      <c r="K1535" s="7" t="s">
        <v>16867</v>
      </c>
      <c r="L1535" s="198" t="s">
        <v>65</v>
      </c>
      <c r="M1535" s="194"/>
      <c r="N1535" s="194"/>
    </row>
    <row r="1536">
      <c r="A1536" s="193" t="s">
        <v>18802</v>
      </c>
      <c r="B1536" s="7" t="s">
        <v>16867</v>
      </c>
      <c r="C1536" s="7" t="s">
        <v>16838</v>
      </c>
      <c r="D1536" s="194">
        <v>2014.0</v>
      </c>
      <c r="E1536" s="193"/>
      <c r="F1536" s="195" t="s">
        <v>18803</v>
      </c>
      <c r="G1536" s="200">
        <v>7.700623984E9</v>
      </c>
      <c r="H1536" s="197">
        <v>25.53</v>
      </c>
      <c r="I1536" s="7" t="s">
        <v>16815</v>
      </c>
      <c r="J1536" s="7" t="s">
        <v>16867</v>
      </c>
      <c r="K1536" s="7" t="s">
        <v>16838</v>
      </c>
      <c r="L1536" s="201" t="s">
        <v>16835</v>
      </c>
      <c r="M1536" s="194"/>
      <c r="N1536" s="194"/>
    </row>
    <row r="1537">
      <c r="A1537" s="193" t="s">
        <v>18804</v>
      </c>
      <c r="B1537" s="7" t="s">
        <v>16885</v>
      </c>
      <c r="C1537" s="7" t="s">
        <v>18805</v>
      </c>
      <c r="D1537" s="199"/>
      <c r="E1537" s="193"/>
      <c r="F1537" s="195" t="s">
        <v>18806</v>
      </c>
      <c r="G1537" s="196">
        <v>7.691792743E9</v>
      </c>
      <c r="H1537" s="197">
        <v>61.0</v>
      </c>
      <c r="I1537" s="7" t="s">
        <v>17372</v>
      </c>
      <c r="J1537" s="7" t="s">
        <v>16885</v>
      </c>
      <c r="K1537" s="7" t="s">
        <v>18805</v>
      </c>
      <c r="L1537" s="198" t="s">
        <v>65</v>
      </c>
      <c r="M1537" s="199"/>
      <c r="N1537" s="199"/>
    </row>
    <row r="1538">
      <c r="A1538" s="193" t="s">
        <v>18804</v>
      </c>
      <c r="B1538" s="7" t="s">
        <v>18805</v>
      </c>
      <c r="C1538" s="7" t="s">
        <v>16885</v>
      </c>
      <c r="D1538" s="199"/>
      <c r="E1538" s="193"/>
      <c r="F1538" s="195" t="s">
        <v>18806</v>
      </c>
      <c r="G1538" s="200">
        <v>7.691792743E9</v>
      </c>
      <c r="H1538" s="197">
        <v>61.0</v>
      </c>
      <c r="I1538" s="7" t="s">
        <v>16815</v>
      </c>
      <c r="J1538" s="7" t="s">
        <v>18805</v>
      </c>
      <c r="K1538" s="7" t="s">
        <v>16885</v>
      </c>
      <c r="L1538" s="201" t="s">
        <v>16835</v>
      </c>
      <c r="M1538" s="199"/>
      <c r="N1538" s="199"/>
    </row>
    <row r="1539">
      <c r="A1539" s="193" t="s">
        <v>18807</v>
      </c>
      <c r="B1539" s="7" t="s">
        <v>17532</v>
      </c>
      <c r="C1539" s="7" t="s">
        <v>169</v>
      </c>
      <c r="D1539" s="199"/>
      <c r="E1539" s="193"/>
      <c r="F1539" s="195" t="s">
        <v>18808</v>
      </c>
      <c r="G1539" s="200">
        <v>7.661372475E9</v>
      </c>
      <c r="H1539" s="197">
        <v>34.35</v>
      </c>
      <c r="I1539" s="7" t="s">
        <v>16815</v>
      </c>
      <c r="J1539" s="7" t="s">
        <v>17532</v>
      </c>
      <c r="K1539" s="7" t="s">
        <v>169</v>
      </c>
      <c r="L1539" s="201" t="s">
        <v>16835</v>
      </c>
      <c r="M1539" s="199"/>
      <c r="N1539" s="199"/>
    </row>
    <row r="1540">
      <c r="A1540" s="193" t="s">
        <v>18807</v>
      </c>
      <c r="B1540" s="7" t="s">
        <v>169</v>
      </c>
      <c r="C1540" s="7" t="s">
        <v>17532</v>
      </c>
      <c r="D1540" s="199"/>
      <c r="E1540" s="193"/>
      <c r="F1540" s="195" t="s">
        <v>18808</v>
      </c>
      <c r="G1540" s="196">
        <v>7.661372475E9</v>
      </c>
      <c r="H1540" s="197">
        <v>34.35</v>
      </c>
      <c r="I1540" s="7" t="s">
        <v>16815</v>
      </c>
      <c r="J1540" s="7" t="s">
        <v>169</v>
      </c>
      <c r="K1540" s="7" t="s">
        <v>17532</v>
      </c>
      <c r="L1540" s="198" t="s">
        <v>65</v>
      </c>
      <c r="M1540" s="199"/>
      <c r="N1540" s="199"/>
    </row>
    <row r="1541">
      <c r="A1541" s="193" t="s">
        <v>18809</v>
      </c>
      <c r="D1541" s="194">
        <v>2023.0</v>
      </c>
      <c r="E1541" s="193"/>
      <c r="F1541" s="195" t="s">
        <v>18810</v>
      </c>
      <c r="G1541" s="196">
        <v>7.635110315E9</v>
      </c>
      <c r="H1541" s="197">
        <v>40.65</v>
      </c>
      <c r="I1541" s="7" t="s">
        <v>16815</v>
      </c>
      <c r="L1541" s="198" t="s">
        <v>65</v>
      </c>
      <c r="M1541" s="194"/>
      <c r="N1541" s="194"/>
    </row>
    <row r="1542">
      <c r="A1542" s="193" t="s">
        <v>18809</v>
      </c>
      <c r="D1542" s="194">
        <v>2023.0</v>
      </c>
      <c r="E1542" s="193"/>
      <c r="F1542" s="195" t="s">
        <v>18810</v>
      </c>
      <c r="G1542" s="200">
        <v>7.635110315E9</v>
      </c>
      <c r="H1542" s="197">
        <v>40.65</v>
      </c>
      <c r="I1542" s="193" t="s">
        <v>16815</v>
      </c>
      <c r="L1542" s="201" t="s">
        <v>16835</v>
      </c>
      <c r="M1542" s="194"/>
      <c r="N1542" s="194"/>
    </row>
    <row r="1543">
      <c r="A1543" s="193" t="s">
        <v>18811</v>
      </c>
      <c r="B1543" s="7" t="s">
        <v>175</v>
      </c>
      <c r="C1543" s="7" t="s">
        <v>17057</v>
      </c>
      <c r="D1543" s="199"/>
      <c r="E1543" s="193"/>
      <c r="F1543" s="195" t="s">
        <v>18812</v>
      </c>
      <c r="G1543" s="196">
        <v>7.622852042E9</v>
      </c>
      <c r="H1543" s="197">
        <v>68.7</v>
      </c>
      <c r="I1543" s="7" t="s">
        <v>17270</v>
      </c>
      <c r="J1543" s="7" t="s">
        <v>175</v>
      </c>
      <c r="K1543" s="7" t="s">
        <v>17057</v>
      </c>
      <c r="L1543" s="198" t="s">
        <v>65</v>
      </c>
      <c r="M1543" s="199"/>
      <c r="N1543" s="199"/>
    </row>
    <row r="1544">
      <c r="A1544" s="193" t="s">
        <v>18811</v>
      </c>
      <c r="B1544" s="7" t="s">
        <v>17057</v>
      </c>
      <c r="C1544" s="7" t="s">
        <v>175</v>
      </c>
      <c r="D1544" s="199"/>
      <c r="E1544" s="193"/>
      <c r="F1544" s="195" t="s">
        <v>18812</v>
      </c>
      <c r="G1544" s="200">
        <v>7.622852042E9</v>
      </c>
      <c r="H1544" s="197">
        <v>68.7</v>
      </c>
      <c r="I1544" s="7" t="s">
        <v>16815</v>
      </c>
      <c r="J1544" s="7" t="s">
        <v>17057</v>
      </c>
      <c r="K1544" s="7" t="s">
        <v>175</v>
      </c>
      <c r="L1544" s="201" t="s">
        <v>16835</v>
      </c>
      <c r="M1544" s="199"/>
      <c r="N1544" s="199"/>
    </row>
    <row r="1545">
      <c r="A1545" s="193" t="s">
        <v>18813</v>
      </c>
      <c r="B1545" s="7" t="s">
        <v>16582</v>
      </c>
      <c r="C1545" s="7" t="s">
        <v>16930</v>
      </c>
      <c r="D1545" s="194">
        <v>2021.0</v>
      </c>
      <c r="E1545" s="193"/>
      <c r="F1545" s="195" t="s">
        <v>18814</v>
      </c>
      <c r="G1545" s="196">
        <v>7.622333455E9</v>
      </c>
      <c r="H1545" s="197">
        <v>14.11</v>
      </c>
      <c r="I1545" s="7" t="s">
        <v>16815</v>
      </c>
      <c r="J1545" s="7" t="s">
        <v>16582</v>
      </c>
      <c r="K1545" s="7" t="s">
        <v>16930</v>
      </c>
      <c r="L1545" s="198" t="s">
        <v>65</v>
      </c>
      <c r="M1545" s="194"/>
      <c r="N1545" s="194"/>
    </row>
    <row r="1546">
      <c r="A1546" s="193" t="s">
        <v>18813</v>
      </c>
      <c r="B1546" s="7" t="s">
        <v>16930</v>
      </c>
      <c r="C1546" s="7" t="s">
        <v>16582</v>
      </c>
      <c r="D1546" s="194">
        <v>2021.0</v>
      </c>
      <c r="E1546" s="193"/>
      <c r="F1546" s="195" t="s">
        <v>18814</v>
      </c>
      <c r="G1546" s="200">
        <v>7.622333455E9</v>
      </c>
      <c r="H1546" s="197">
        <v>14.11</v>
      </c>
      <c r="I1546" s="7" t="s">
        <v>16815</v>
      </c>
      <c r="J1546" s="7" t="s">
        <v>16930</v>
      </c>
      <c r="K1546" s="7" t="s">
        <v>16582</v>
      </c>
      <c r="L1546" s="201" t="s">
        <v>16835</v>
      </c>
      <c r="M1546" s="194"/>
      <c r="N1546" s="194"/>
    </row>
    <row r="1547">
      <c r="A1547" s="193" t="s">
        <v>18815</v>
      </c>
      <c r="B1547" s="7" t="s">
        <v>175</v>
      </c>
      <c r="C1547" s="7" t="s">
        <v>17350</v>
      </c>
      <c r="D1547" s="199"/>
      <c r="E1547" s="193"/>
      <c r="F1547" s="195" t="s">
        <v>18816</v>
      </c>
      <c r="G1547" s="196">
        <v>7.608744237E9</v>
      </c>
      <c r="H1547" s="197">
        <v>32.37</v>
      </c>
      <c r="I1547" s="7" t="s">
        <v>16908</v>
      </c>
      <c r="J1547" s="7" t="s">
        <v>175</v>
      </c>
      <c r="K1547" s="7" t="s">
        <v>17350</v>
      </c>
      <c r="L1547" s="198" t="s">
        <v>65</v>
      </c>
      <c r="M1547" s="199"/>
      <c r="N1547" s="199"/>
    </row>
    <row r="1548">
      <c r="A1548" s="193" t="s">
        <v>18815</v>
      </c>
      <c r="B1548" s="7" t="s">
        <v>17350</v>
      </c>
      <c r="C1548" s="7" t="s">
        <v>175</v>
      </c>
      <c r="D1548" s="199"/>
      <c r="E1548" s="193"/>
      <c r="F1548" s="195" t="s">
        <v>18816</v>
      </c>
      <c r="G1548" s="200">
        <v>7.608744237E9</v>
      </c>
      <c r="H1548" s="197">
        <v>32.37</v>
      </c>
      <c r="I1548" s="7" t="s">
        <v>16815</v>
      </c>
      <c r="J1548" s="7" t="s">
        <v>17350</v>
      </c>
      <c r="K1548" s="7" t="s">
        <v>175</v>
      </c>
      <c r="L1548" s="201" t="s">
        <v>16835</v>
      </c>
      <c r="M1548" s="199"/>
      <c r="N1548" s="199"/>
    </row>
    <row r="1549">
      <c r="A1549" s="193" t="s">
        <v>18817</v>
      </c>
      <c r="B1549" s="7" t="s">
        <v>17321</v>
      </c>
      <c r="C1549" s="7" t="s">
        <v>169</v>
      </c>
      <c r="D1549" s="199"/>
      <c r="E1549" s="193"/>
      <c r="F1549" s="195" t="s">
        <v>18818</v>
      </c>
      <c r="G1549" s="200">
        <v>7.602791023E9</v>
      </c>
      <c r="H1549" s="197">
        <v>19.3</v>
      </c>
      <c r="I1549" s="7" t="s">
        <v>16815</v>
      </c>
      <c r="J1549" s="7" t="s">
        <v>17321</v>
      </c>
      <c r="K1549" s="7" t="s">
        <v>169</v>
      </c>
      <c r="L1549" s="201" t="s">
        <v>16835</v>
      </c>
      <c r="M1549" s="199"/>
      <c r="N1549" s="199"/>
    </row>
    <row r="1550">
      <c r="A1550" s="193" t="s">
        <v>18817</v>
      </c>
      <c r="B1550" s="7" t="s">
        <v>169</v>
      </c>
      <c r="C1550" s="7" t="s">
        <v>17321</v>
      </c>
      <c r="D1550" s="199"/>
      <c r="E1550" s="193"/>
      <c r="F1550" s="195" t="s">
        <v>18818</v>
      </c>
      <c r="G1550" s="196">
        <v>7.602791023E9</v>
      </c>
      <c r="H1550" s="197">
        <v>19.3</v>
      </c>
      <c r="I1550" s="7" t="s">
        <v>16815</v>
      </c>
      <c r="J1550" s="7" t="s">
        <v>169</v>
      </c>
      <c r="K1550" s="7" t="s">
        <v>17321</v>
      </c>
      <c r="L1550" s="198" t="s">
        <v>65</v>
      </c>
      <c r="M1550" s="199"/>
      <c r="N1550" s="199"/>
    </row>
    <row r="1551">
      <c r="A1551" s="193" t="s">
        <v>18819</v>
      </c>
      <c r="B1551" s="7" t="s">
        <v>175</v>
      </c>
      <c r="C1551" s="7" t="s">
        <v>16975</v>
      </c>
      <c r="D1551" s="194">
        <v>2021.0</v>
      </c>
      <c r="E1551" s="193"/>
      <c r="F1551" s="195" t="s">
        <v>18820</v>
      </c>
      <c r="G1551" s="196">
        <v>7.585262E9</v>
      </c>
      <c r="H1551" s="197">
        <v>26.9</v>
      </c>
      <c r="I1551" s="7" t="s">
        <v>168</v>
      </c>
      <c r="J1551" s="7" t="s">
        <v>175</v>
      </c>
      <c r="K1551" s="7" t="s">
        <v>16975</v>
      </c>
      <c r="L1551" s="198" t="s">
        <v>65</v>
      </c>
      <c r="M1551" s="194"/>
      <c r="N1551" s="194"/>
    </row>
    <row r="1552">
      <c r="A1552" s="193" t="s">
        <v>18819</v>
      </c>
      <c r="B1552" s="7" t="s">
        <v>16975</v>
      </c>
      <c r="C1552" s="7" t="s">
        <v>175</v>
      </c>
      <c r="D1552" s="194">
        <v>2021.0</v>
      </c>
      <c r="E1552" s="193"/>
      <c r="F1552" s="195" t="s">
        <v>18820</v>
      </c>
      <c r="G1552" s="200">
        <v>7.585262E9</v>
      </c>
      <c r="H1552" s="197">
        <v>26.9</v>
      </c>
      <c r="I1552" s="7" t="s">
        <v>16815</v>
      </c>
      <c r="J1552" s="7" t="s">
        <v>16975</v>
      </c>
      <c r="K1552" s="7" t="s">
        <v>175</v>
      </c>
      <c r="L1552" s="201" t="s">
        <v>16835</v>
      </c>
      <c r="M1552" s="194"/>
      <c r="N1552" s="194"/>
    </row>
    <row r="1553">
      <c r="A1553" s="193" t="s">
        <v>18821</v>
      </c>
      <c r="B1553" s="7" t="s">
        <v>18529</v>
      </c>
      <c r="C1553" s="7" t="s">
        <v>187</v>
      </c>
      <c r="D1553" s="199"/>
      <c r="E1553" s="193"/>
      <c r="F1553" s="195" t="s">
        <v>18822</v>
      </c>
      <c r="G1553" s="200">
        <v>7.576987E9</v>
      </c>
      <c r="H1553" s="197">
        <v>82.99</v>
      </c>
      <c r="I1553" s="7" t="s">
        <v>16815</v>
      </c>
      <c r="J1553" s="7" t="s">
        <v>18529</v>
      </c>
      <c r="K1553" s="7" t="s">
        <v>187</v>
      </c>
      <c r="L1553" s="201" t="s">
        <v>16835</v>
      </c>
      <c r="M1553" s="199"/>
      <c r="N1553" s="199"/>
    </row>
    <row r="1554">
      <c r="A1554" s="193" t="s">
        <v>18821</v>
      </c>
      <c r="B1554" s="7" t="s">
        <v>187</v>
      </c>
      <c r="C1554" s="7" t="s">
        <v>18529</v>
      </c>
      <c r="D1554" s="199"/>
      <c r="E1554" s="193"/>
      <c r="F1554" s="195" t="s">
        <v>18822</v>
      </c>
      <c r="G1554" s="196">
        <v>7.576987E9</v>
      </c>
      <c r="H1554" s="197">
        <v>82.99</v>
      </c>
      <c r="I1554" s="7" t="s">
        <v>16815</v>
      </c>
      <c r="J1554" s="7" t="s">
        <v>187</v>
      </c>
      <c r="K1554" s="7" t="s">
        <v>18529</v>
      </c>
      <c r="L1554" s="198" t="s">
        <v>65</v>
      </c>
      <c r="M1554" s="199"/>
      <c r="N1554" s="199"/>
    </row>
    <row r="1555">
      <c r="A1555" s="193" t="s">
        <v>18823</v>
      </c>
      <c r="B1555" s="7" t="s">
        <v>175</v>
      </c>
      <c r="C1555" s="7" t="s">
        <v>16854</v>
      </c>
      <c r="D1555" s="194">
        <v>2015.0</v>
      </c>
      <c r="E1555" s="193"/>
      <c r="F1555" s="195" t="s">
        <v>18824</v>
      </c>
      <c r="G1555" s="196">
        <v>7.572753103E9</v>
      </c>
      <c r="H1555" s="197">
        <v>63.24</v>
      </c>
      <c r="I1555" s="7" t="s">
        <v>16908</v>
      </c>
      <c r="J1555" s="7" t="s">
        <v>175</v>
      </c>
      <c r="K1555" s="7" t="s">
        <v>16854</v>
      </c>
      <c r="L1555" s="198" t="s">
        <v>65</v>
      </c>
      <c r="M1555" s="194"/>
      <c r="N1555" s="194"/>
    </row>
    <row r="1556">
      <c r="A1556" s="193" t="s">
        <v>18825</v>
      </c>
      <c r="B1556" s="7" t="s">
        <v>187</v>
      </c>
      <c r="C1556" s="7" t="s">
        <v>16846</v>
      </c>
      <c r="D1556" s="194">
        <v>2007.0</v>
      </c>
      <c r="E1556" s="193"/>
      <c r="F1556" s="195" t="s">
        <v>18826</v>
      </c>
      <c r="G1556" s="196">
        <v>7.567420943E9</v>
      </c>
      <c r="H1556" s="197">
        <v>120.2</v>
      </c>
      <c r="I1556" s="7" t="s">
        <v>16815</v>
      </c>
      <c r="J1556" s="7" t="s">
        <v>187</v>
      </c>
      <c r="K1556" s="7" t="s">
        <v>16846</v>
      </c>
      <c r="L1556" s="198" t="s">
        <v>65</v>
      </c>
      <c r="M1556" s="194"/>
      <c r="N1556" s="194"/>
    </row>
    <row r="1557">
      <c r="A1557" s="193" t="s">
        <v>18827</v>
      </c>
      <c r="B1557" s="7" t="s">
        <v>17111</v>
      </c>
      <c r="C1557" s="7" t="s">
        <v>17112</v>
      </c>
      <c r="D1557" s="199"/>
      <c r="E1557" s="193"/>
      <c r="F1557" s="195" t="s">
        <v>18828</v>
      </c>
      <c r="G1557" s="200">
        <v>7.555039967E9</v>
      </c>
      <c r="H1557" s="197">
        <v>92.56</v>
      </c>
      <c r="I1557" s="7" t="s">
        <v>16815</v>
      </c>
      <c r="J1557" s="7" t="s">
        <v>17111</v>
      </c>
      <c r="K1557" s="7" t="s">
        <v>17112</v>
      </c>
      <c r="L1557" s="201" t="s">
        <v>16835</v>
      </c>
      <c r="M1557" s="199"/>
      <c r="N1557" s="199"/>
    </row>
    <row r="1558">
      <c r="A1558" s="193" t="s">
        <v>18827</v>
      </c>
      <c r="B1558" s="7" t="s">
        <v>17112</v>
      </c>
      <c r="C1558" s="7" t="s">
        <v>17111</v>
      </c>
      <c r="D1558" s="199"/>
      <c r="E1558" s="193"/>
      <c r="F1558" s="195" t="s">
        <v>18828</v>
      </c>
      <c r="G1558" s="196">
        <v>7.555039967E9</v>
      </c>
      <c r="H1558" s="197">
        <v>92.56</v>
      </c>
      <c r="I1558" s="7" t="s">
        <v>16815</v>
      </c>
      <c r="J1558" s="7" t="s">
        <v>17112</v>
      </c>
      <c r="K1558" s="7" t="s">
        <v>17111</v>
      </c>
      <c r="L1558" s="198" t="s">
        <v>65</v>
      </c>
      <c r="M1558" s="199"/>
      <c r="N1558" s="199"/>
    </row>
    <row r="1559">
      <c r="A1559" s="193" t="s">
        <v>18829</v>
      </c>
      <c r="B1559" s="7" t="s">
        <v>16885</v>
      </c>
      <c r="C1559" s="7" t="s">
        <v>18381</v>
      </c>
      <c r="D1559" s="194">
        <v>2018.0</v>
      </c>
      <c r="E1559" s="193"/>
      <c r="F1559" s="195" t="s">
        <v>18830</v>
      </c>
      <c r="G1559" s="196">
        <v>7.548206573E9</v>
      </c>
      <c r="H1559" s="197">
        <v>11.09</v>
      </c>
      <c r="I1559" s="7" t="s">
        <v>16826</v>
      </c>
      <c r="J1559" s="7" t="s">
        <v>16885</v>
      </c>
      <c r="K1559" s="7" t="s">
        <v>18381</v>
      </c>
      <c r="L1559" s="198" t="s">
        <v>65</v>
      </c>
      <c r="M1559" s="194"/>
      <c r="N1559" s="194"/>
    </row>
    <row r="1560">
      <c r="A1560" s="193" t="s">
        <v>18829</v>
      </c>
      <c r="B1560" s="7" t="s">
        <v>18381</v>
      </c>
      <c r="C1560" s="7" t="s">
        <v>16885</v>
      </c>
      <c r="D1560" s="194">
        <v>2018.0</v>
      </c>
      <c r="E1560" s="193"/>
      <c r="F1560" s="195" t="s">
        <v>18830</v>
      </c>
      <c r="G1560" s="200">
        <v>7.548206573E9</v>
      </c>
      <c r="H1560" s="197">
        <v>11.09</v>
      </c>
      <c r="I1560" s="7" t="s">
        <v>16815</v>
      </c>
      <c r="J1560" s="7" t="s">
        <v>18381</v>
      </c>
      <c r="K1560" s="7" t="s">
        <v>16885</v>
      </c>
      <c r="L1560" s="201" t="s">
        <v>16835</v>
      </c>
      <c r="M1560" s="194"/>
      <c r="N1560" s="194"/>
    </row>
    <row r="1561">
      <c r="A1561" s="193" t="s">
        <v>18831</v>
      </c>
      <c r="B1561" s="7" t="s">
        <v>16582</v>
      </c>
      <c r="C1561" s="7" t="s">
        <v>16817</v>
      </c>
      <c r="D1561" s="194">
        <v>2014.0</v>
      </c>
      <c r="E1561" s="193"/>
      <c r="F1561" s="195" t="s">
        <v>18832</v>
      </c>
      <c r="G1561" s="196">
        <v>7.5474685E9</v>
      </c>
      <c r="H1561" s="197">
        <v>183.95</v>
      </c>
      <c r="I1561" s="7" t="s">
        <v>16815</v>
      </c>
      <c r="J1561" s="7" t="s">
        <v>16582</v>
      </c>
      <c r="K1561" s="7" t="s">
        <v>16817</v>
      </c>
      <c r="L1561" s="198" t="s">
        <v>65</v>
      </c>
      <c r="M1561" s="194"/>
      <c r="N1561" s="194"/>
    </row>
    <row r="1562">
      <c r="A1562" s="193" t="s">
        <v>18833</v>
      </c>
      <c r="B1562" s="7" t="s">
        <v>16582</v>
      </c>
      <c r="C1562" s="7" t="s">
        <v>16817</v>
      </c>
      <c r="D1562" s="194">
        <v>2018.0</v>
      </c>
      <c r="E1562" s="193"/>
      <c r="F1562" s="195" t="s">
        <v>18834</v>
      </c>
      <c r="G1562" s="196">
        <v>7.499533286E9</v>
      </c>
      <c r="H1562" s="197">
        <v>76.2</v>
      </c>
      <c r="I1562" s="7" t="s">
        <v>16815</v>
      </c>
      <c r="J1562" s="7" t="s">
        <v>16582</v>
      </c>
      <c r="K1562" s="7" t="s">
        <v>16817</v>
      </c>
      <c r="L1562" s="198" t="s">
        <v>65</v>
      </c>
      <c r="M1562" s="194"/>
      <c r="N1562" s="194"/>
    </row>
    <row r="1563">
      <c r="A1563" s="193" t="s">
        <v>18833</v>
      </c>
      <c r="B1563" s="7" t="s">
        <v>16817</v>
      </c>
      <c r="C1563" s="7" t="s">
        <v>16582</v>
      </c>
      <c r="D1563" s="194">
        <v>2018.0</v>
      </c>
      <c r="E1563" s="193"/>
      <c r="F1563" s="195" t="s">
        <v>18834</v>
      </c>
      <c r="G1563" s="200">
        <v>7.499533286E9</v>
      </c>
      <c r="H1563" s="197">
        <v>76.2</v>
      </c>
      <c r="I1563" s="7" t="s">
        <v>16815</v>
      </c>
      <c r="J1563" s="7" t="s">
        <v>16817</v>
      </c>
      <c r="K1563" s="7" t="s">
        <v>16582</v>
      </c>
      <c r="L1563" s="201" t="s">
        <v>16835</v>
      </c>
      <c r="M1563" s="194"/>
      <c r="N1563" s="194"/>
    </row>
    <row r="1564">
      <c r="A1564" s="193" t="s">
        <v>18835</v>
      </c>
      <c r="B1564" s="7" t="s">
        <v>175</v>
      </c>
      <c r="C1564" s="7" t="s">
        <v>17318</v>
      </c>
      <c r="D1564" s="194">
        <v>1997.0</v>
      </c>
      <c r="E1564" s="193"/>
      <c r="F1564" s="195" t="s">
        <v>18836</v>
      </c>
      <c r="G1564" s="196">
        <v>7.472876825E9</v>
      </c>
      <c r="H1564" s="197">
        <v>115.62</v>
      </c>
      <c r="I1564" s="7" t="s">
        <v>17222</v>
      </c>
      <c r="J1564" s="7" t="s">
        <v>175</v>
      </c>
      <c r="K1564" s="7" t="s">
        <v>17318</v>
      </c>
      <c r="L1564" s="198" t="s">
        <v>65</v>
      </c>
      <c r="M1564" s="194"/>
      <c r="N1564" s="194"/>
    </row>
    <row r="1565">
      <c r="A1565" s="193" t="s">
        <v>18835</v>
      </c>
      <c r="B1565" s="7" t="s">
        <v>17318</v>
      </c>
      <c r="C1565" s="7" t="s">
        <v>175</v>
      </c>
      <c r="D1565" s="194">
        <v>1997.0</v>
      </c>
      <c r="E1565" s="193"/>
      <c r="F1565" s="195" t="s">
        <v>18836</v>
      </c>
      <c r="G1565" s="200">
        <v>7.472876825E9</v>
      </c>
      <c r="H1565" s="197">
        <v>115.62</v>
      </c>
      <c r="I1565" s="7" t="s">
        <v>16815</v>
      </c>
      <c r="J1565" s="7" t="s">
        <v>17318</v>
      </c>
      <c r="K1565" s="7" t="s">
        <v>175</v>
      </c>
      <c r="L1565" s="201" t="s">
        <v>16835</v>
      </c>
      <c r="M1565" s="194"/>
      <c r="N1565" s="194"/>
    </row>
    <row r="1566">
      <c r="A1566" s="193" t="s">
        <v>18837</v>
      </c>
      <c r="B1566" s="7" t="s">
        <v>16582</v>
      </c>
      <c r="C1566" s="7" t="s">
        <v>16817</v>
      </c>
      <c r="D1566" s="194">
        <v>2021.0</v>
      </c>
      <c r="E1566" s="193"/>
      <c r="F1566" s="195" t="s">
        <v>18838</v>
      </c>
      <c r="G1566" s="196">
        <v>7.467346213E9</v>
      </c>
      <c r="H1566" s="197">
        <v>52.04</v>
      </c>
      <c r="I1566" s="7" t="s">
        <v>16815</v>
      </c>
      <c r="J1566" s="7" t="s">
        <v>16582</v>
      </c>
      <c r="K1566" s="7" t="s">
        <v>16817</v>
      </c>
      <c r="L1566" s="198" t="s">
        <v>65</v>
      </c>
      <c r="M1566" s="194"/>
      <c r="N1566" s="194"/>
    </row>
    <row r="1567">
      <c r="A1567" s="193" t="s">
        <v>18837</v>
      </c>
      <c r="B1567" s="7" t="s">
        <v>16817</v>
      </c>
      <c r="C1567" s="7" t="s">
        <v>16582</v>
      </c>
      <c r="D1567" s="194">
        <v>2021.0</v>
      </c>
      <c r="E1567" s="193"/>
      <c r="F1567" s="195" t="s">
        <v>18838</v>
      </c>
      <c r="G1567" s="200">
        <v>7.467346213E9</v>
      </c>
      <c r="H1567" s="197">
        <v>52.04</v>
      </c>
      <c r="I1567" s="7" t="s">
        <v>16815</v>
      </c>
      <c r="J1567" s="7" t="s">
        <v>16817</v>
      </c>
      <c r="K1567" s="7" t="s">
        <v>16582</v>
      </c>
      <c r="L1567" s="201" t="s">
        <v>16835</v>
      </c>
      <c r="M1567" s="194"/>
      <c r="N1567" s="194"/>
    </row>
    <row r="1568">
      <c r="A1568" s="193" t="s">
        <v>18839</v>
      </c>
      <c r="B1568" s="7" t="s">
        <v>175</v>
      </c>
      <c r="C1568" s="7" t="s">
        <v>16942</v>
      </c>
      <c r="D1568" s="194">
        <v>2013.0</v>
      </c>
      <c r="E1568" s="193"/>
      <c r="F1568" s="195" t="s">
        <v>18840</v>
      </c>
      <c r="G1568" s="196">
        <v>7.445153273E9</v>
      </c>
      <c r="H1568" s="197">
        <v>28.52</v>
      </c>
      <c r="I1568" s="7" t="s">
        <v>174</v>
      </c>
      <c r="J1568" s="7" t="s">
        <v>175</v>
      </c>
      <c r="K1568" s="7" t="s">
        <v>16942</v>
      </c>
      <c r="L1568" s="198" t="s">
        <v>65</v>
      </c>
      <c r="M1568" s="194"/>
      <c r="N1568" s="194"/>
    </row>
    <row r="1569">
      <c r="A1569" s="193" t="s">
        <v>18839</v>
      </c>
      <c r="B1569" s="7" t="s">
        <v>16942</v>
      </c>
      <c r="C1569" s="7" t="s">
        <v>175</v>
      </c>
      <c r="D1569" s="194">
        <v>2013.0</v>
      </c>
      <c r="E1569" s="193"/>
      <c r="F1569" s="195" t="s">
        <v>18840</v>
      </c>
      <c r="G1569" s="200">
        <v>7.445153273E9</v>
      </c>
      <c r="H1569" s="197">
        <v>28.52</v>
      </c>
      <c r="I1569" s="7" t="s">
        <v>16815</v>
      </c>
      <c r="J1569" s="7" t="s">
        <v>16942</v>
      </c>
      <c r="K1569" s="7" t="s">
        <v>175</v>
      </c>
      <c r="L1569" s="201" t="s">
        <v>16835</v>
      </c>
      <c r="M1569" s="194"/>
      <c r="N1569" s="194"/>
    </row>
    <row r="1570">
      <c r="A1570" s="193" t="s">
        <v>18841</v>
      </c>
      <c r="B1570" s="7" t="s">
        <v>16838</v>
      </c>
      <c r="C1570" s="7" t="s">
        <v>17019</v>
      </c>
      <c r="D1570" s="194">
        <v>1981.0</v>
      </c>
      <c r="E1570" s="193"/>
      <c r="F1570" s="195" t="s">
        <v>18842</v>
      </c>
      <c r="G1570" s="196">
        <v>7.441284039E9</v>
      </c>
      <c r="H1570" s="197">
        <v>56.55</v>
      </c>
      <c r="I1570" s="7" t="s">
        <v>16815</v>
      </c>
      <c r="J1570" s="7" t="s">
        <v>16838</v>
      </c>
      <c r="K1570" s="7" t="s">
        <v>17019</v>
      </c>
      <c r="L1570" s="198" t="s">
        <v>65</v>
      </c>
      <c r="M1570" s="194"/>
      <c r="N1570" s="194"/>
    </row>
    <row r="1571">
      <c r="A1571" s="193" t="s">
        <v>18843</v>
      </c>
      <c r="B1571" s="7" t="s">
        <v>16582</v>
      </c>
      <c r="C1571" s="7" t="s">
        <v>16817</v>
      </c>
      <c r="D1571" s="194">
        <v>2021.0</v>
      </c>
      <c r="E1571" s="193"/>
      <c r="F1571" s="195" t="s">
        <v>18844</v>
      </c>
      <c r="G1571" s="196">
        <v>7.439422684E9</v>
      </c>
      <c r="H1571" s="197">
        <v>6.95</v>
      </c>
      <c r="I1571" s="7" t="s">
        <v>16815</v>
      </c>
      <c r="J1571" s="7" t="s">
        <v>16582</v>
      </c>
      <c r="K1571" s="7" t="s">
        <v>16817</v>
      </c>
      <c r="L1571" s="198" t="s">
        <v>65</v>
      </c>
      <c r="M1571" s="194"/>
      <c r="N1571" s="194"/>
    </row>
    <row r="1572">
      <c r="A1572" s="193" t="s">
        <v>18843</v>
      </c>
      <c r="B1572" s="7" t="s">
        <v>16817</v>
      </c>
      <c r="C1572" s="7" t="s">
        <v>16582</v>
      </c>
      <c r="D1572" s="194">
        <v>2021.0</v>
      </c>
      <c r="E1572" s="193"/>
      <c r="F1572" s="195" t="s">
        <v>18844</v>
      </c>
      <c r="G1572" s="200">
        <v>7.439422684E9</v>
      </c>
      <c r="H1572" s="197">
        <v>6.95</v>
      </c>
      <c r="I1572" s="7" t="s">
        <v>16815</v>
      </c>
      <c r="J1572" s="7" t="s">
        <v>16817</v>
      </c>
      <c r="K1572" s="7" t="s">
        <v>16582</v>
      </c>
      <c r="L1572" s="201" t="s">
        <v>16835</v>
      </c>
      <c r="M1572" s="194"/>
      <c r="N1572" s="194"/>
    </row>
    <row r="1573">
      <c r="A1573" s="193" t="s">
        <v>18845</v>
      </c>
      <c r="B1573" s="7" t="s">
        <v>187</v>
      </c>
      <c r="C1573" s="7" t="s">
        <v>16846</v>
      </c>
      <c r="D1573" s="199"/>
      <c r="E1573" s="193"/>
      <c r="F1573" s="195" t="s">
        <v>18846</v>
      </c>
      <c r="G1573" s="196">
        <v>7.432283805E9</v>
      </c>
      <c r="H1573" s="197">
        <v>79.45</v>
      </c>
      <c r="I1573" s="7" t="s">
        <v>16815</v>
      </c>
      <c r="J1573" s="7" t="s">
        <v>187</v>
      </c>
      <c r="K1573" s="7" t="s">
        <v>16846</v>
      </c>
      <c r="L1573" s="198" t="s">
        <v>65</v>
      </c>
      <c r="M1573" s="199"/>
      <c r="N1573" s="199"/>
    </row>
    <row r="1574">
      <c r="A1574" s="193" t="s">
        <v>18847</v>
      </c>
      <c r="B1574" s="7" t="s">
        <v>175</v>
      </c>
      <c r="C1574" s="7" t="s">
        <v>17350</v>
      </c>
      <c r="D1574" s="199"/>
      <c r="E1574" s="193"/>
      <c r="F1574" s="195" t="s">
        <v>18848</v>
      </c>
      <c r="G1574" s="196">
        <v>7.425803158E9</v>
      </c>
      <c r="H1574" s="197">
        <v>127.46</v>
      </c>
      <c r="I1574" s="7" t="s">
        <v>168</v>
      </c>
      <c r="J1574" s="7" t="s">
        <v>175</v>
      </c>
      <c r="K1574" s="7" t="s">
        <v>17350</v>
      </c>
      <c r="L1574" s="198" t="s">
        <v>65</v>
      </c>
      <c r="M1574" s="199"/>
      <c r="N1574" s="199"/>
    </row>
    <row r="1575">
      <c r="A1575" s="193" t="s">
        <v>18847</v>
      </c>
      <c r="B1575" s="7" t="s">
        <v>17350</v>
      </c>
      <c r="C1575" s="7" t="s">
        <v>175</v>
      </c>
      <c r="D1575" s="199"/>
      <c r="E1575" s="193"/>
      <c r="F1575" s="195" t="s">
        <v>18848</v>
      </c>
      <c r="G1575" s="200">
        <v>7.425803158E9</v>
      </c>
      <c r="H1575" s="197">
        <v>127.46</v>
      </c>
      <c r="I1575" s="7" t="s">
        <v>16815</v>
      </c>
      <c r="J1575" s="7" t="s">
        <v>17350</v>
      </c>
      <c r="K1575" s="7" t="s">
        <v>175</v>
      </c>
      <c r="L1575" s="201" t="s">
        <v>16835</v>
      </c>
      <c r="M1575" s="199"/>
      <c r="N1575" s="199"/>
    </row>
    <row r="1576">
      <c r="A1576" s="193" t="s">
        <v>18849</v>
      </c>
      <c r="B1576" s="7" t="s">
        <v>16582</v>
      </c>
      <c r="C1576" s="7" t="s">
        <v>16817</v>
      </c>
      <c r="D1576" s="194">
        <v>2012.0</v>
      </c>
      <c r="E1576" s="193"/>
      <c r="F1576" s="195" t="s">
        <v>18850</v>
      </c>
      <c r="G1576" s="196">
        <v>7.418435185E9</v>
      </c>
      <c r="H1576" s="197">
        <v>91.09</v>
      </c>
      <c r="I1576" s="7" t="s">
        <v>16815</v>
      </c>
      <c r="J1576" s="7" t="s">
        <v>16582</v>
      </c>
      <c r="K1576" s="7" t="s">
        <v>16817</v>
      </c>
      <c r="L1576" s="198" t="s">
        <v>65</v>
      </c>
      <c r="M1576" s="194"/>
      <c r="N1576" s="194"/>
    </row>
    <row r="1577">
      <c r="A1577" s="193" t="s">
        <v>18849</v>
      </c>
      <c r="B1577" s="7" t="s">
        <v>16817</v>
      </c>
      <c r="C1577" s="7" t="s">
        <v>16582</v>
      </c>
      <c r="D1577" s="194">
        <v>2012.0</v>
      </c>
      <c r="E1577" s="193"/>
      <c r="F1577" s="195" t="s">
        <v>18850</v>
      </c>
      <c r="G1577" s="200">
        <v>7.418435185E9</v>
      </c>
      <c r="H1577" s="197">
        <v>91.09</v>
      </c>
      <c r="I1577" s="7" t="s">
        <v>16815</v>
      </c>
      <c r="J1577" s="7" t="s">
        <v>16817</v>
      </c>
      <c r="K1577" s="7" t="s">
        <v>16582</v>
      </c>
      <c r="L1577" s="201" t="s">
        <v>16835</v>
      </c>
      <c r="M1577" s="194"/>
      <c r="N1577" s="194"/>
    </row>
    <row r="1578">
      <c r="A1578" s="193" t="s">
        <v>18851</v>
      </c>
      <c r="B1578" s="7" t="s">
        <v>16582</v>
      </c>
      <c r="C1578" s="7" t="s">
        <v>16817</v>
      </c>
      <c r="D1578" s="194">
        <v>1998.0</v>
      </c>
      <c r="E1578" s="193"/>
      <c r="F1578" s="195" t="s">
        <v>18852</v>
      </c>
      <c r="G1578" s="196">
        <v>7.392368929E9</v>
      </c>
      <c r="H1578" s="197">
        <v>509.18</v>
      </c>
      <c r="I1578" s="7" t="s">
        <v>16815</v>
      </c>
      <c r="J1578" s="7" t="s">
        <v>16582</v>
      </c>
      <c r="K1578" s="7" t="s">
        <v>16817</v>
      </c>
      <c r="L1578" s="198" t="s">
        <v>65</v>
      </c>
      <c r="M1578" s="194"/>
      <c r="N1578" s="194"/>
    </row>
    <row r="1579">
      <c r="A1579" s="193" t="s">
        <v>18853</v>
      </c>
      <c r="B1579" s="7" t="s">
        <v>16582</v>
      </c>
      <c r="C1579" s="7" t="s">
        <v>17339</v>
      </c>
      <c r="D1579" s="199"/>
      <c r="E1579" s="193"/>
      <c r="F1579" s="195" t="s">
        <v>18854</v>
      </c>
      <c r="G1579" s="196">
        <v>7.373178852E9</v>
      </c>
      <c r="H1579" s="197">
        <v>155.69</v>
      </c>
      <c r="I1579" s="7" t="s">
        <v>16815</v>
      </c>
      <c r="J1579" s="7" t="s">
        <v>16582</v>
      </c>
      <c r="K1579" s="7" t="s">
        <v>17339</v>
      </c>
      <c r="L1579" s="198" t="s">
        <v>65</v>
      </c>
      <c r="M1579" s="199"/>
      <c r="N1579" s="199"/>
    </row>
    <row r="1580">
      <c r="A1580" s="193" t="s">
        <v>18855</v>
      </c>
      <c r="B1580" s="7" t="s">
        <v>16582</v>
      </c>
      <c r="C1580" s="7" t="s">
        <v>16930</v>
      </c>
      <c r="D1580" s="194">
        <v>2014.0</v>
      </c>
      <c r="E1580" s="193"/>
      <c r="F1580" s="195" t="s">
        <v>18856</v>
      </c>
      <c r="G1580" s="196">
        <v>7.342299E9</v>
      </c>
      <c r="H1580" s="197">
        <v>173.7</v>
      </c>
      <c r="I1580" s="7" t="s">
        <v>16815</v>
      </c>
      <c r="J1580" s="7" t="s">
        <v>16582</v>
      </c>
      <c r="K1580" s="7" t="s">
        <v>16930</v>
      </c>
      <c r="L1580" s="198" t="s">
        <v>65</v>
      </c>
      <c r="M1580" s="194"/>
      <c r="N1580" s="194"/>
    </row>
    <row r="1581">
      <c r="A1581" s="193" t="s">
        <v>18855</v>
      </c>
      <c r="B1581" s="7" t="s">
        <v>16930</v>
      </c>
      <c r="C1581" s="7" t="s">
        <v>16582</v>
      </c>
      <c r="D1581" s="194">
        <v>2014.0</v>
      </c>
      <c r="E1581" s="193"/>
      <c r="F1581" s="195" t="s">
        <v>18856</v>
      </c>
      <c r="G1581" s="200">
        <v>7.342299E9</v>
      </c>
      <c r="H1581" s="197">
        <v>173.7</v>
      </c>
      <c r="I1581" s="7" t="s">
        <v>16815</v>
      </c>
      <c r="J1581" s="7" t="s">
        <v>16930</v>
      </c>
      <c r="K1581" s="7" t="s">
        <v>16582</v>
      </c>
      <c r="L1581" s="201" t="s">
        <v>16835</v>
      </c>
      <c r="M1581" s="194"/>
      <c r="N1581" s="194"/>
    </row>
    <row r="1582">
      <c r="A1582" s="193" t="s">
        <v>18857</v>
      </c>
      <c r="B1582" s="7" t="s">
        <v>175</v>
      </c>
      <c r="C1582" s="7" t="s">
        <v>16854</v>
      </c>
      <c r="D1582" s="199"/>
      <c r="E1582" s="193"/>
      <c r="F1582" s="195" t="s">
        <v>18858</v>
      </c>
      <c r="G1582" s="196">
        <v>7.335864239E9</v>
      </c>
      <c r="H1582" s="197">
        <v>171.65</v>
      </c>
      <c r="I1582" s="7" t="s">
        <v>16856</v>
      </c>
      <c r="J1582" s="7" t="s">
        <v>175</v>
      </c>
      <c r="K1582" s="7" t="s">
        <v>16854</v>
      </c>
      <c r="L1582" s="198" t="s">
        <v>65</v>
      </c>
      <c r="M1582" s="199"/>
      <c r="N1582" s="199"/>
    </row>
    <row r="1583">
      <c r="A1583" s="193" t="s">
        <v>18857</v>
      </c>
      <c r="B1583" s="7" t="s">
        <v>16854</v>
      </c>
      <c r="C1583" s="7" t="s">
        <v>175</v>
      </c>
      <c r="D1583" s="199"/>
      <c r="E1583" s="193"/>
      <c r="F1583" s="195" t="s">
        <v>18858</v>
      </c>
      <c r="G1583" s="200">
        <v>7.335864239E9</v>
      </c>
      <c r="H1583" s="197">
        <v>171.65</v>
      </c>
      <c r="I1583" s="7" t="s">
        <v>16815</v>
      </c>
      <c r="J1583" s="7" t="s">
        <v>16854</v>
      </c>
      <c r="K1583" s="7" t="s">
        <v>175</v>
      </c>
      <c r="L1583" s="201" t="s">
        <v>16835</v>
      </c>
      <c r="M1583" s="199"/>
      <c r="N1583" s="199"/>
    </row>
    <row r="1584">
      <c r="A1584" s="193" t="s">
        <v>18859</v>
      </c>
      <c r="B1584" s="7" t="s">
        <v>175</v>
      </c>
      <c r="C1584" s="7" t="s">
        <v>17321</v>
      </c>
      <c r="D1584" s="194">
        <v>1976.0</v>
      </c>
      <c r="E1584" s="193"/>
      <c r="F1584" s="195" t="s">
        <v>18860</v>
      </c>
      <c r="G1584" s="196">
        <v>7.315685506E9</v>
      </c>
      <c r="H1584" s="197">
        <v>110.26</v>
      </c>
      <c r="I1584" s="7" t="s">
        <v>17222</v>
      </c>
      <c r="J1584" s="7" t="s">
        <v>175</v>
      </c>
      <c r="K1584" s="7" t="s">
        <v>17321</v>
      </c>
      <c r="L1584" s="198" t="s">
        <v>65</v>
      </c>
      <c r="M1584" s="194"/>
      <c r="N1584" s="194"/>
    </row>
    <row r="1585">
      <c r="A1585" s="193" t="s">
        <v>18859</v>
      </c>
      <c r="B1585" s="7" t="s">
        <v>17321</v>
      </c>
      <c r="C1585" s="7" t="s">
        <v>175</v>
      </c>
      <c r="D1585" s="194">
        <v>1976.0</v>
      </c>
      <c r="E1585" s="193"/>
      <c r="F1585" s="195" t="s">
        <v>18860</v>
      </c>
      <c r="G1585" s="200">
        <v>7.315685506E9</v>
      </c>
      <c r="H1585" s="197">
        <v>110.26</v>
      </c>
      <c r="I1585" s="7" t="s">
        <v>16815</v>
      </c>
      <c r="J1585" s="7" t="s">
        <v>17321</v>
      </c>
      <c r="K1585" s="7" t="s">
        <v>175</v>
      </c>
      <c r="L1585" s="201" t="s">
        <v>16835</v>
      </c>
      <c r="M1585" s="194"/>
      <c r="N1585" s="194"/>
    </row>
    <row r="1586">
      <c r="A1586" s="193" t="s">
        <v>18861</v>
      </c>
      <c r="B1586" s="7" t="s">
        <v>18862</v>
      </c>
      <c r="C1586" s="7" t="s">
        <v>169</v>
      </c>
      <c r="D1586" s="199"/>
      <c r="E1586" s="193"/>
      <c r="F1586" s="195" t="s">
        <v>18863</v>
      </c>
      <c r="G1586" s="200">
        <v>7.276956064E9</v>
      </c>
      <c r="H1586" s="197">
        <v>60.02</v>
      </c>
      <c r="I1586" s="7" t="s">
        <v>16815</v>
      </c>
      <c r="J1586" s="7" t="s">
        <v>18862</v>
      </c>
      <c r="K1586" s="7" t="s">
        <v>169</v>
      </c>
      <c r="L1586" s="201" t="s">
        <v>16835</v>
      </c>
      <c r="M1586" s="199"/>
      <c r="N1586" s="199"/>
    </row>
    <row r="1587">
      <c r="A1587" s="193" t="s">
        <v>18861</v>
      </c>
      <c r="B1587" s="7" t="s">
        <v>169</v>
      </c>
      <c r="C1587" s="7" t="s">
        <v>18862</v>
      </c>
      <c r="D1587" s="199"/>
      <c r="E1587" s="193"/>
      <c r="F1587" s="195" t="s">
        <v>18863</v>
      </c>
      <c r="G1587" s="196">
        <v>7.276956064E9</v>
      </c>
      <c r="H1587" s="197">
        <v>60.02</v>
      </c>
      <c r="I1587" s="7" t="s">
        <v>16815</v>
      </c>
      <c r="J1587" s="7" t="s">
        <v>169</v>
      </c>
      <c r="K1587" s="7" t="s">
        <v>18862</v>
      </c>
      <c r="L1587" s="198" t="s">
        <v>65</v>
      </c>
      <c r="M1587" s="199"/>
      <c r="N1587" s="199"/>
    </row>
    <row r="1588">
      <c r="A1588" s="193" t="s">
        <v>18864</v>
      </c>
      <c r="B1588" s="7" t="s">
        <v>16582</v>
      </c>
      <c r="C1588" s="7" t="s">
        <v>16817</v>
      </c>
      <c r="D1588" s="199"/>
      <c r="E1588" s="193"/>
      <c r="F1588" s="195" t="s">
        <v>18865</v>
      </c>
      <c r="G1588" s="196">
        <v>7.275719964E9</v>
      </c>
      <c r="H1588" s="197">
        <v>11.46</v>
      </c>
      <c r="I1588" s="7" t="s">
        <v>16815</v>
      </c>
      <c r="J1588" s="7" t="s">
        <v>16582</v>
      </c>
      <c r="K1588" s="7" t="s">
        <v>16817</v>
      </c>
      <c r="L1588" s="198" t="s">
        <v>65</v>
      </c>
      <c r="M1588" s="199"/>
      <c r="N1588" s="199"/>
    </row>
    <row r="1589">
      <c r="A1589" s="193" t="s">
        <v>18866</v>
      </c>
      <c r="B1589" s="7" t="s">
        <v>16582</v>
      </c>
      <c r="C1589" s="7" t="s">
        <v>16930</v>
      </c>
      <c r="D1589" s="199"/>
      <c r="E1589" s="193"/>
      <c r="F1589" s="195" t="s">
        <v>18867</v>
      </c>
      <c r="G1589" s="196">
        <v>7.261524204E9</v>
      </c>
      <c r="H1589" s="197">
        <v>325.95</v>
      </c>
      <c r="I1589" s="7" t="s">
        <v>16815</v>
      </c>
      <c r="J1589" s="7" t="s">
        <v>16582</v>
      </c>
      <c r="K1589" s="7" t="s">
        <v>16930</v>
      </c>
      <c r="L1589" s="198" t="s">
        <v>65</v>
      </c>
      <c r="M1589" s="199"/>
      <c r="N1589" s="199"/>
    </row>
    <row r="1590">
      <c r="A1590" s="193" t="s">
        <v>18866</v>
      </c>
      <c r="B1590" s="7" t="s">
        <v>16930</v>
      </c>
      <c r="C1590" s="7" t="s">
        <v>16582</v>
      </c>
      <c r="D1590" s="199"/>
      <c r="E1590" s="193"/>
      <c r="F1590" s="195" t="s">
        <v>18867</v>
      </c>
      <c r="G1590" s="200">
        <v>7.261524204E9</v>
      </c>
      <c r="H1590" s="197">
        <v>325.95</v>
      </c>
      <c r="I1590" s="7" t="s">
        <v>16815</v>
      </c>
      <c r="J1590" s="7" t="s">
        <v>16930</v>
      </c>
      <c r="K1590" s="7" t="s">
        <v>16582</v>
      </c>
      <c r="L1590" s="201" t="s">
        <v>16835</v>
      </c>
      <c r="M1590" s="199"/>
      <c r="N1590" s="199"/>
    </row>
    <row r="1591">
      <c r="A1591" s="193" t="s">
        <v>18868</v>
      </c>
      <c r="B1591" s="7" t="s">
        <v>17347</v>
      </c>
      <c r="C1591" s="7" t="s">
        <v>16838</v>
      </c>
      <c r="D1591" s="194">
        <v>2013.0</v>
      </c>
      <c r="E1591" s="193"/>
      <c r="F1591" s="195" t="s">
        <v>18869</v>
      </c>
      <c r="G1591" s="200">
        <v>7.257392029E9</v>
      </c>
      <c r="H1591" s="197">
        <v>69.47</v>
      </c>
      <c r="I1591" s="7" t="s">
        <v>16815</v>
      </c>
      <c r="J1591" s="7" t="s">
        <v>17347</v>
      </c>
      <c r="K1591" s="7" t="s">
        <v>16838</v>
      </c>
      <c r="L1591" s="201" t="s">
        <v>16835</v>
      </c>
      <c r="M1591" s="194"/>
      <c r="N1591" s="194"/>
    </row>
    <row r="1592">
      <c r="A1592" s="193" t="s">
        <v>18868</v>
      </c>
      <c r="B1592" s="7" t="s">
        <v>16838</v>
      </c>
      <c r="C1592" s="7" t="s">
        <v>17347</v>
      </c>
      <c r="D1592" s="194">
        <v>2013.0</v>
      </c>
      <c r="E1592" s="193"/>
      <c r="F1592" s="195" t="s">
        <v>18869</v>
      </c>
      <c r="G1592" s="196">
        <v>7.257392029E9</v>
      </c>
      <c r="H1592" s="197">
        <v>69.47</v>
      </c>
      <c r="I1592" s="7" t="s">
        <v>16815</v>
      </c>
      <c r="J1592" s="7" t="s">
        <v>16838</v>
      </c>
      <c r="K1592" s="7" t="s">
        <v>17347</v>
      </c>
      <c r="L1592" s="198" t="s">
        <v>65</v>
      </c>
      <c r="M1592" s="194"/>
      <c r="N1592" s="194"/>
    </row>
    <row r="1593">
      <c r="A1593" s="193" t="s">
        <v>18870</v>
      </c>
      <c r="B1593" s="7" t="s">
        <v>175</v>
      </c>
      <c r="C1593" s="7" t="s">
        <v>16957</v>
      </c>
      <c r="D1593" s="194">
        <v>1999.0</v>
      </c>
      <c r="E1593" s="193"/>
      <c r="F1593" s="195" t="s">
        <v>18871</v>
      </c>
      <c r="G1593" s="196">
        <v>7.208861559E9</v>
      </c>
      <c r="H1593" s="197">
        <v>141.14</v>
      </c>
      <c r="I1593" s="7" t="s">
        <v>16856</v>
      </c>
      <c r="J1593" s="7" t="s">
        <v>175</v>
      </c>
      <c r="K1593" s="7" t="s">
        <v>16957</v>
      </c>
      <c r="L1593" s="198" t="s">
        <v>65</v>
      </c>
      <c r="M1593" s="194"/>
      <c r="N1593" s="194"/>
    </row>
    <row r="1594">
      <c r="A1594" s="193" t="s">
        <v>18870</v>
      </c>
      <c r="B1594" s="7" t="s">
        <v>16957</v>
      </c>
      <c r="C1594" s="7" t="s">
        <v>175</v>
      </c>
      <c r="D1594" s="194">
        <v>1999.0</v>
      </c>
      <c r="E1594" s="193"/>
      <c r="F1594" s="195" t="s">
        <v>18871</v>
      </c>
      <c r="G1594" s="200">
        <v>7.208861559E9</v>
      </c>
      <c r="H1594" s="197">
        <v>141.14</v>
      </c>
      <c r="I1594" s="7" t="s">
        <v>16815</v>
      </c>
      <c r="J1594" s="7" t="s">
        <v>16957</v>
      </c>
      <c r="K1594" s="7" t="s">
        <v>175</v>
      </c>
      <c r="L1594" s="201" t="s">
        <v>16835</v>
      </c>
      <c r="M1594" s="194"/>
      <c r="N1594" s="194"/>
    </row>
    <row r="1595">
      <c r="A1595" s="193" t="s">
        <v>18872</v>
      </c>
      <c r="B1595" s="7" t="s">
        <v>17347</v>
      </c>
      <c r="C1595" s="7" t="s">
        <v>16838</v>
      </c>
      <c r="D1595" s="194">
        <v>2010.0</v>
      </c>
      <c r="E1595" s="193"/>
      <c r="F1595" s="195" t="s">
        <v>18873</v>
      </c>
      <c r="G1595" s="200">
        <v>7.199831175E9</v>
      </c>
      <c r="H1595" s="197">
        <v>205.51</v>
      </c>
      <c r="I1595" s="7" t="s">
        <v>16815</v>
      </c>
      <c r="J1595" s="7" t="s">
        <v>17347</v>
      </c>
      <c r="K1595" s="7" t="s">
        <v>16838</v>
      </c>
      <c r="L1595" s="201" t="s">
        <v>16835</v>
      </c>
      <c r="M1595" s="194"/>
      <c r="N1595" s="194"/>
    </row>
    <row r="1596">
      <c r="A1596" s="193" t="s">
        <v>18872</v>
      </c>
      <c r="B1596" s="7" t="s">
        <v>16838</v>
      </c>
      <c r="C1596" s="7" t="s">
        <v>17347</v>
      </c>
      <c r="D1596" s="194">
        <v>2010.0</v>
      </c>
      <c r="E1596" s="193"/>
      <c r="F1596" s="195" t="s">
        <v>18873</v>
      </c>
      <c r="G1596" s="196">
        <v>7.199831175E9</v>
      </c>
      <c r="H1596" s="197">
        <v>205.51</v>
      </c>
      <c r="I1596" s="7" t="s">
        <v>16815</v>
      </c>
      <c r="J1596" s="7" t="s">
        <v>16838</v>
      </c>
      <c r="K1596" s="7" t="s">
        <v>17347</v>
      </c>
      <c r="L1596" s="198" t="s">
        <v>65</v>
      </c>
      <c r="M1596" s="194"/>
      <c r="N1596" s="194"/>
    </row>
    <row r="1597">
      <c r="A1597" s="193" t="s">
        <v>18874</v>
      </c>
      <c r="B1597" s="7" t="s">
        <v>17532</v>
      </c>
      <c r="C1597" s="7" t="s">
        <v>169</v>
      </c>
      <c r="D1597" s="199"/>
      <c r="E1597" s="193"/>
      <c r="F1597" s="195" t="s">
        <v>18875</v>
      </c>
      <c r="G1597" s="200">
        <v>7.185000489E9</v>
      </c>
      <c r="H1597" s="197">
        <v>35.84</v>
      </c>
      <c r="I1597" s="7" t="s">
        <v>16815</v>
      </c>
      <c r="J1597" s="7" t="s">
        <v>17532</v>
      </c>
      <c r="K1597" s="7" t="s">
        <v>169</v>
      </c>
      <c r="L1597" s="201" t="s">
        <v>16835</v>
      </c>
      <c r="M1597" s="199"/>
      <c r="N1597" s="199"/>
    </row>
    <row r="1598">
      <c r="A1598" s="193" t="s">
        <v>18874</v>
      </c>
      <c r="B1598" s="7" t="s">
        <v>169</v>
      </c>
      <c r="C1598" s="7" t="s">
        <v>17532</v>
      </c>
      <c r="D1598" s="199"/>
      <c r="E1598" s="193"/>
      <c r="F1598" s="195" t="s">
        <v>18875</v>
      </c>
      <c r="G1598" s="196">
        <v>7.185000489E9</v>
      </c>
      <c r="H1598" s="197">
        <v>35.84</v>
      </c>
      <c r="I1598" s="7" t="s">
        <v>16815</v>
      </c>
      <c r="J1598" s="7" t="s">
        <v>169</v>
      </c>
      <c r="K1598" s="7" t="s">
        <v>17532</v>
      </c>
      <c r="L1598" s="198" t="s">
        <v>65</v>
      </c>
      <c r="M1598" s="199"/>
      <c r="N1598" s="199"/>
    </row>
    <row r="1599">
      <c r="A1599" s="193" t="s">
        <v>18876</v>
      </c>
      <c r="B1599" s="7" t="s">
        <v>175</v>
      </c>
      <c r="C1599" s="7" t="s">
        <v>18310</v>
      </c>
      <c r="D1599" s="199"/>
      <c r="E1599" s="193"/>
      <c r="F1599" s="195" t="s">
        <v>18877</v>
      </c>
      <c r="G1599" s="196">
        <v>7.164861549E9</v>
      </c>
      <c r="H1599" s="197">
        <v>43.58</v>
      </c>
      <c r="I1599" s="7" t="s">
        <v>168</v>
      </c>
      <c r="J1599" s="7" t="s">
        <v>175</v>
      </c>
      <c r="K1599" s="7" t="s">
        <v>18310</v>
      </c>
      <c r="L1599" s="198" t="s">
        <v>65</v>
      </c>
      <c r="M1599" s="199"/>
      <c r="N1599" s="199"/>
    </row>
    <row r="1600">
      <c r="A1600" s="193" t="s">
        <v>18876</v>
      </c>
      <c r="B1600" s="7" t="s">
        <v>18310</v>
      </c>
      <c r="C1600" s="7" t="s">
        <v>175</v>
      </c>
      <c r="D1600" s="199"/>
      <c r="E1600" s="193"/>
      <c r="F1600" s="195" t="s">
        <v>18877</v>
      </c>
      <c r="G1600" s="200">
        <v>7.164861549E9</v>
      </c>
      <c r="H1600" s="197">
        <v>43.58</v>
      </c>
      <c r="I1600" s="7" t="s">
        <v>16815</v>
      </c>
      <c r="J1600" s="7" t="s">
        <v>18310</v>
      </c>
      <c r="K1600" s="7" t="s">
        <v>175</v>
      </c>
      <c r="L1600" s="201" t="s">
        <v>16835</v>
      </c>
      <c r="M1600" s="199"/>
      <c r="N1600" s="199"/>
    </row>
    <row r="1601">
      <c r="A1601" s="193" t="s">
        <v>18878</v>
      </c>
      <c r="B1601" s="7" t="s">
        <v>158</v>
      </c>
      <c r="C1601" s="7" t="s">
        <v>16864</v>
      </c>
      <c r="D1601" s="199"/>
      <c r="E1601" s="193"/>
      <c r="F1601" s="195" t="s">
        <v>18879</v>
      </c>
      <c r="G1601" s="196">
        <v>7.159509838E9</v>
      </c>
      <c r="H1601" s="197">
        <v>6.5</v>
      </c>
      <c r="I1601" s="7" t="s">
        <v>180</v>
      </c>
      <c r="J1601" s="7" t="s">
        <v>158</v>
      </c>
      <c r="K1601" s="7" t="s">
        <v>16864</v>
      </c>
      <c r="L1601" s="198" t="s">
        <v>65</v>
      </c>
      <c r="M1601" s="199"/>
      <c r="N1601" s="199"/>
    </row>
    <row r="1602">
      <c r="A1602" s="193" t="s">
        <v>18878</v>
      </c>
      <c r="B1602" s="7" t="s">
        <v>16864</v>
      </c>
      <c r="C1602" s="7" t="s">
        <v>158</v>
      </c>
      <c r="D1602" s="199"/>
      <c r="E1602" s="193"/>
      <c r="F1602" s="195" t="s">
        <v>18879</v>
      </c>
      <c r="G1602" s="200">
        <v>7.159509838E9</v>
      </c>
      <c r="H1602" s="197">
        <v>6.5</v>
      </c>
      <c r="I1602" s="7" t="s">
        <v>16815</v>
      </c>
      <c r="J1602" s="7" t="s">
        <v>16864</v>
      </c>
      <c r="K1602" s="7" t="s">
        <v>158</v>
      </c>
      <c r="L1602" s="201" t="s">
        <v>16835</v>
      </c>
      <c r="M1602" s="199"/>
      <c r="N1602" s="199"/>
    </row>
    <row r="1603">
      <c r="A1603" s="193" t="s">
        <v>18880</v>
      </c>
      <c r="B1603" s="7" t="s">
        <v>17019</v>
      </c>
      <c r="C1603" s="7" t="s">
        <v>16838</v>
      </c>
      <c r="D1603" s="199"/>
      <c r="E1603" s="193"/>
      <c r="F1603" s="195" t="s">
        <v>18881</v>
      </c>
      <c r="G1603" s="200">
        <v>7.141862962E9</v>
      </c>
      <c r="H1603" s="197">
        <v>21.9</v>
      </c>
      <c r="I1603" s="7" t="s">
        <v>16815</v>
      </c>
      <c r="J1603" s="7" t="s">
        <v>17019</v>
      </c>
      <c r="K1603" s="7" t="s">
        <v>16838</v>
      </c>
      <c r="L1603" s="201" t="s">
        <v>16835</v>
      </c>
      <c r="M1603" s="199"/>
      <c r="N1603" s="199"/>
    </row>
    <row r="1604">
      <c r="A1604" s="193" t="s">
        <v>18880</v>
      </c>
      <c r="B1604" s="7" t="s">
        <v>16838</v>
      </c>
      <c r="C1604" s="7" t="s">
        <v>17019</v>
      </c>
      <c r="D1604" s="199"/>
      <c r="E1604" s="193"/>
      <c r="F1604" s="195" t="s">
        <v>18881</v>
      </c>
      <c r="G1604" s="196">
        <v>7.141862962E9</v>
      </c>
      <c r="H1604" s="197">
        <v>21.9</v>
      </c>
      <c r="I1604" s="7" t="s">
        <v>16815</v>
      </c>
      <c r="J1604" s="7" t="s">
        <v>16838</v>
      </c>
      <c r="K1604" s="7" t="s">
        <v>17019</v>
      </c>
      <c r="L1604" s="198" t="s">
        <v>65</v>
      </c>
      <c r="M1604" s="199"/>
      <c r="N1604" s="199"/>
    </row>
    <row r="1605">
      <c r="A1605" s="193" t="s">
        <v>18882</v>
      </c>
      <c r="B1605" s="7" t="s">
        <v>17019</v>
      </c>
      <c r="C1605" s="7" t="s">
        <v>16838</v>
      </c>
      <c r="D1605" s="199"/>
      <c r="E1605" s="193"/>
      <c r="F1605" s="195" t="s">
        <v>18883</v>
      </c>
      <c r="G1605" s="200">
        <v>7.139813422E9</v>
      </c>
      <c r="H1605" s="197">
        <v>33.93</v>
      </c>
      <c r="I1605" s="7" t="s">
        <v>16815</v>
      </c>
      <c r="J1605" s="7" t="s">
        <v>17019</v>
      </c>
      <c r="K1605" s="7" t="s">
        <v>16838</v>
      </c>
      <c r="L1605" s="201" t="s">
        <v>16835</v>
      </c>
      <c r="M1605" s="199"/>
      <c r="N1605" s="199"/>
    </row>
    <row r="1606">
      <c r="A1606" s="193" t="s">
        <v>18882</v>
      </c>
      <c r="B1606" s="7" t="s">
        <v>16838</v>
      </c>
      <c r="C1606" s="7" t="s">
        <v>17019</v>
      </c>
      <c r="D1606" s="199"/>
      <c r="E1606" s="193"/>
      <c r="F1606" s="195" t="s">
        <v>18883</v>
      </c>
      <c r="G1606" s="196">
        <v>7.139813422E9</v>
      </c>
      <c r="H1606" s="197">
        <v>33.93</v>
      </c>
      <c r="I1606" s="7" t="s">
        <v>16815</v>
      </c>
      <c r="J1606" s="7" t="s">
        <v>16838</v>
      </c>
      <c r="K1606" s="7" t="s">
        <v>17019</v>
      </c>
      <c r="L1606" s="198" t="s">
        <v>65</v>
      </c>
      <c r="M1606" s="199"/>
      <c r="N1606" s="199"/>
    </row>
    <row r="1607">
      <c r="A1607" s="193" t="s">
        <v>18884</v>
      </c>
      <c r="B1607" s="7" t="s">
        <v>16582</v>
      </c>
      <c r="C1607" s="7" t="s">
        <v>16817</v>
      </c>
      <c r="D1607" s="194">
        <v>2021.0</v>
      </c>
      <c r="E1607" s="193"/>
      <c r="F1607" s="195" t="s">
        <v>18885</v>
      </c>
      <c r="G1607" s="196">
        <v>7.117155588E9</v>
      </c>
      <c r="H1607" s="197">
        <v>8.23</v>
      </c>
      <c r="I1607" s="7" t="s">
        <v>16815</v>
      </c>
      <c r="J1607" s="7" t="s">
        <v>16582</v>
      </c>
      <c r="K1607" s="7" t="s">
        <v>16817</v>
      </c>
      <c r="L1607" s="198" t="s">
        <v>65</v>
      </c>
      <c r="M1607" s="194"/>
      <c r="N1607" s="194"/>
    </row>
    <row r="1608">
      <c r="A1608" s="193" t="s">
        <v>18886</v>
      </c>
      <c r="B1608" s="7" t="s">
        <v>175</v>
      </c>
      <c r="C1608" s="7" t="s">
        <v>17717</v>
      </c>
      <c r="D1608" s="194">
        <v>2021.0</v>
      </c>
      <c r="E1608" s="193"/>
      <c r="F1608" s="195" t="s">
        <v>18887</v>
      </c>
      <c r="G1608" s="196">
        <v>7.114678032E9</v>
      </c>
      <c r="H1608" s="197">
        <v>31.45</v>
      </c>
      <c r="I1608" s="7" t="s">
        <v>16908</v>
      </c>
      <c r="J1608" s="7" t="s">
        <v>175</v>
      </c>
      <c r="K1608" s="7" t="s">
        <v>17717</v>
      </c>
      <c r="L1608" s="198" t="s">
        <v>65</v>
      </c>
      <c r="M1608" s="194"/>
      <c r="N1608" s="194"/>
    </row>
    <row r="1609">
      <c r="A1609" s="193" t="s">
        <v>18886</v>
      </c>
      <c r="B1609" s="7" t="s">
        <v>17717</v>
      </c>
      <c r="C1609" s="7" t="s">
        <v>175</v>
      </c>
      <c r="D1609" s="194">
        <v>2021.0</v>
      </c>
      <c r="E1609" s="193"/>
      <c r="F1609" s="195" t="s">
        <v>18887</v>
      </c>
      <c r="G1609" s="200">
        <v>7.114678032E9</v>
      </c>
      <c r="H1609" s="197">
        <v>31.45</v>
      </c>
      <c r="I1609" s="7" t="s">
        <v>16815</v>
      </c>
      <c r="J1609" s="7" t="s">
        <v>17717</v>
      </c>
      <c r="K1609" s="7" t="s">
        <v>175</v>
      </c>
      <c r="L1609" s="201" t="s">
        <v>16835</v>
      </c>
      <c r="M1609" s="194"/>
      <c r="N1609" s="194"/>
    </row>
    <row r="1610">
      <c r="A1610" s="193" t="s">
        <v>18888</v>
      </c>
      <c r="B1610" s="7" t="s">
        <v>16582</v>
      </c>
      <c r="C1610" s="7" t="s">
        <v>16817</v>
      </c>
      <c r="D1610" s="194">
        <v>2015.0</v>
      </c>
      <c r="E1610" s="193"/>
      <c r="F1610" s="195" t="s">
        <v>18889</v>
      </c>
      <c r="G1610" s="196">
        <v>7.111295176E9</v>
      </c>
      <c r="H1610" s="197">
        <v>198.85</v>
      </c>
      <c r="I1610" s="7" t="s">
        <v>16815</v>
      </c>
      <c r="J1610" s="7" t="s">
        <v>16582</v>
      </c>
      <c r="K1610" s="7" t="s">
        <v>16817</v>
      </c>
      <c r="L1610" s="198" t="s">
        <v>65</v>
      </c>
      <c r="M1610" s="194"/>
      <c r="N1610" s="194"/>
    </row>
    <row r="1611">
      <c r="A1611" s="193" t="s">
        <v>18890</v>
      </c>
      <c r="B1611" s="7" t="s">
        <v>17057</v>
      </c>
      <c r="C1611" s="7" t="s">
        <v>169</v>
      </c>
      <c r="D1611" s="194">
        <v>2006.0</v>
      </c>
      <c r="E1611" s="193"/>
      <c r="F1611" s="195" t="s">
        <v>18891</v>
      </c>
      <c r="G1611" s="200">
        <v>7.106630774E9</v>
      </c>
      <c r="H1611" s="197">
        <v>52.64</v>
      </c>
      <c r="I1611" s="7" t="s">
        <v>16815</v>
      </c>
      <c r="J1611" s="7" t="s">
        <v>17057</v>
      </c>
      <c r="K1611" s="7" t="s">
        <v>169</v>
      </c>
      <c r="L1611" s="201" t="s">
        <v>16835</v>
      </c>
      <c r="M1611" s="194"/>
      <c r="N1611" s="194"/>
    </row>
    <row r="1612">
      <c r="A1612" s="193" t="s">
        <v>18890</v>
      </c>
      <c r="B1612" s="7" t="s">
        <v>169</v>
      </c>
      <c r="C1612" s="7" t="s">
        <v>17057</v>
      </c>
      <c r="D1612" s="194">
        <v>2006.0</v>
      </c>
      <c r="E1612" s="193"/>
      <c r="F1612" s="195" t="s">
        <v>18891</v>
      </c>
      <c r="G1612" s="196">
        <v>7.106630774E9</v>
      </c>
      <c r="H1612" s="197">
        <v>52.64</v>
      </c>
      <c r="I1612" s="7" t="s">
        <v>16815</v>
      </c>
      <c r="J1612" s="7" t="s">
        <v>169</v>
      </c>
      <c r="K1612" s="7" t="s">
        <v>17057</v>
      </c>
      <c r="L1612" s="198" t="s">
        <v>65</v>
      </c>
      <c r="M1612" s="194"/>
      <c r="N1612" s="194"/>
    </row>
    <row r="1613">
      <c r="A1613" s="193" t="s">
        <v>18892</v>
      </c>
      <c r="B1613" s="7" t="s">
        <v>17112</v>
      </c>
      <c r="C1613" s="7" t="s">
        <v>16838</v>
      </c>
      <c r="D1613" s="194">
        <v>2018.0</v>
      </c>
      <c r="E1613" s="193"/>
      <c r="F1613" s="195" t="s">
        <v>18893</v>
      </c>
      <c r="G1613" s="200">
        <v>7.096503272E9</v>
      </c>
      <c r="H1613" s="197">
        <v>25.03</v>
      </c>
      <c r="I1613" s="7" t="s">
        <v>16815</v>
      </c>
      <c r="J1613" s="7" t="s">
        <v>17112</v>
      </c>
      <c r="K1613" s="7" t="s">
        <v>16838</v>
      </c>
      <c r="L1613" s="201" t="s">
        <v>16835</v>
      </c>
      <c r="M1613" s="194"/>
      <c r="N1613" s="194"/>
    </row>
    <row r="1614">
      <c r="A1614" s="193" t="s">
        <v>18892</v>
      </c>
      <c r="B1614" s="7" t="s">
        <v>16838</v>
      </c>
      <c r="C1614" s="7" t="s">
        <v>17112</v>
      </c>
      <c r="D1614" s="194">
        <v>2018.0</v>
      </c>
      <c r="E1614" s="193"/>
      <c r="F1614" s="195" t="s">
        <v>18893</v>
      </c>
      <c r="G1614" s="196">
        <v>7.096503272E9</v>
      </c>
      <c r="H1614" s="197">
        <v>25.03</v>
      </c>
      <c r="I1614" s="7" t="s">
        <v>16815</v>
      </c>
      <c r="J1614" s="7" t="s">
        <v>16838</v>
      </c>
      <c r="K1614" s="7" t="s">
        <v>17112</v>
      </c>
      <c r="L1614" s="198" t="s">
        <v>65</v>
      </c>
      <c r="M1614" s="194"/>
      <c r="N1614" s="194"/>
    </row>
    <row r="1615">
      <c r="A1615" s="193" t="s">
        <v>18894</v>
      </c>
      <c r="B1615" s="7" t="s">
        <v>17202</v>
      </c>
      <c r="C1615" s="7" t="s">
        <v>16838</v>
      </c>
      <c r="D1615" s="194">
        <v>2015.0</v>
      </c>
      <c r="E1615" s="193"/>
      <c r="F1615" s="195" t="s">
        <v>18895</v>
      </c>
      <c r="G1615" s="200">
        <v>7.079945226E9</v>
      </c>
      <c r="H1615" s="197">
        <v>102.63</v>
      </c>
      <c r="I1615" s="7" t="s">
        <v>16815</v>
      </c>
      <c r="J1615" s="7" t="s">
        <v>17202</v>
      </c>
      <c r="K1615" s="7" t="s">
        <v>16838</v>
      </c>
      <c r="L1615" s="201" t="s">
        <v>16835</v>
      </c>
      <c r="M1615" s="194"/>
      <c r="N1615" s="194"/>
    </row>
    <row r="1616">
      <c r="A1616" s="193" t="s">
        <v>18894</v>
      </c>
      <c r="B1616" s="7" t="s">
        <v>16838</v>
      </c>
      <c r="C1616" s="7" t="s">
        <v>17202</v>
      </c>
      <c r="D1616" s="194">
        <v>2015.0</v>
      </c>
      <c r="E1616" s="193"/>
      <c r="F1616" s="195" t="s">
        <v>18895</v>
      </c>
      <c r="G1616" s="196">
        <v>7.079945226E9</v>
      </c>
      <c r="H1616" s="197">
        <v>102.63</v>
      </c>
      <c r="I1616" s="7" t="s">
        <v>16815</v>
      </c>
      <c r="J1616" s="7" t="s">
        <v>16838</v>
      </c>
      <c r="K1616" s="7" t="s">
        <v>17202</v>
      </c>
      <c r="L1616" s="198" t="s">
        <v>65</v>
      </c>
      <c r="M1616" s="194"/>
      <c r="N1616" s="194"/>
    </row>
    <row r="1617">
      <c r="A1617" s="193" t="s">
        <v>18896</v>
      </c>
      <c r="B1617" s="7" t="s">
        <v>175</v>
      </c>
      <c r="C1617" s="7" t="s">
        <v>17394</v>
      </c>
      <c r="D1617" s="199"/>
      <c r="E1617" s="193"/>
      <c r="F1617" s="195" t="s">
        <v>18897</v>
      </c>
      <c r="G1617" s="196">
        <v>7.066742163E9</v>
      </c>
      <c r="H1617" s="197">
        <v>256.79</v>
      </c>
      <c r="I1617" s="7" t="s">
        <v>168</v>
      </c>
      <c r="J1617" s="7" t="s">
        <v>175</v>
      </c>
      <c r="K1617" s="7" t="s">
        <v>17394</v>
      </c>
      <c r="L1617" s="198" t="s">
        <v>65</v>
      </c>
      <c r="M1617" s="199"/>
      <c r="N1617" s="199"/>
    </row>
    <row r="1618">
      <c r="A1618" s="193" t="s">
        <v>18896</v>
      </c>
      <c r="B1618" s="7" t="s">
        <v>17394</v>
      </c>
      <c r="C1618" s="7" t="s">
        <v>175</v>
      </c>
      <c r="D1618" s="199"/>
      <c r="E1618" s="193"/>
      <c r="F1618" s="195" t="s">
        <v>18897</v>
      </c>
      <c r="G1618" s="200">
        <v>7.066742163E9</v>
      </c>
      <c r="H1618" s="197">
        <v>256.79</v>
      </c>
      <c r="I1618" s="7" t="s">
        <v>16815</v>
      </c>
      <c r="J1618" s="7" t="s">
        <v>17394</v>
      </c>
      <c r="K1618" s="7" t="s">
        <v>175</v>
      </c>
      <c r="L1618" s="201" t="s">
        <v>16835</v>
      </c>
      <c r="M1618" s="199"/>
      <c r="N1618" s="199"/>
    </row>
    <row r="1619">
      <c r="A1619" s="193" t="s">
        <v>18898</v>
      </c>
      <c r="B1619" s="7" t="s">
        <v>175</v>
      </c>
      <c r="C1619" s="7" t="s">
        <v>17084</v>
      </c>
      <c r="D1619" s="199"/>
      <c r="E1619" s="193"/>
      <c r="F1619" s="195" t="s">
        <v>18899</v>
      </c>
      <c r="G1619" s="196">
        <v>7.057900529E9</v>
      </c>
      <c r="H1619" s="197">
        <v>31.04</v>
      </c>
      <c r="I1619" s="7" t="s">
        <v>174</v>
      </c>
      <c r="J1619" s="7" t="s">
        <v>175</v>
      </c>
      <c r="K1619" s="7" t="s">
        <v>17084</v>
      </c>
      <c r="L1619" s="198" t="s">
        <v>65</v>
      </c>
      <c r="M1619" s="199"/>
      <c r="N1619" s="199"/>
    </row>
    <row r="1620">
      <c r="A1620" s="193" t="s">
        <v>18898</v>
      </c>
      <c r="B1620" s="7" t="s">
        <v>17084</v>
      </c>
      <c r="C1620" s="7" t="s">
        <v>175</v>
      </c>
      <c r="D1620" s="199"/>
      <c r="E1620" s="193"/>
      <c r="F1620" s="195" t="s">
        <v>18899</v>
      </c>
      <c r="G1620" s="200">
        <v>7.057900529E9</v>
      </c>
      <c r="H1620" s="197">
        <v>31.04</v>
      </c>
      <c r="I1620" s="7" t="s">
        <v>16815</v>
      </c>
      <c r="J1620" s="7" t="s">
        <v>17084</v>
      </c>
      <c r="K1620" s="7" t="s">
        <v>175</v>
      </c>
      <c r="L1620" s="201" t="s">
        <v>16835</v>
      </c>
      <c r="M1620" s="199"/>
      <c r="N1620" s="199"/>
    </row>
    <row r="1621">
      <c r="A1621" s="193" t="s">
        <v>18900</v>
      </c>
      <c r="B1621" s="7" t="s">
        <v>169</v>
      </c>
      <c r="C1621" s="7" t="s">
        <v>17726</v>
      </c>
      <c r="D1621" s="199"/>
      <c r="E1621" s="193"/>
      <c r="F1621" s="195" t="s">
        <v>18901</v>
      </c>
      <c r="G1621" s="196">
        <v>7.037585246E9</v>
      </c>
      <c r="H1621" s="197">
        <v>107.13</v>
      </c>
      <c r="I1621" s="7" t="s">
        <v>16815</v>
      </c>
      <c r="J1621" s="7" t="s">
        <v>169</v>
      </c>
      <c r="K1621" s="7" t="s">
        <v>17726</v>
      </c>
      <c r="L1621" s="198" t="s">
        <v>65</v>
      </c>
      <c r="M1621" s="199"/>
      <c r="N1621" s="199"/>
    </row>
    <row r="1622">
      <c r="A1622" s="193" t="s">
        <v>18902</v>
      </c>
      <c r="B1622" s="7" t="s">
        <v>169</v>
      </c>
      <c r="C1622" s="7" t="s">
        <v>18903</v>
      </c>
      <c r="D1622" s="194">
        <v>2015.0</v>
      </c>
      <c r="E1622" s="193"/>
      <c r="F1622" s="195" t="s">
        <v>18904</v>
      </c>
      <c r="G1622" s="196">
        <v>7.028999257E9</v>
      </c>
      <c r="H1622" s="197">
        <v>36.68</v>
      </c>
      <c r="I1622" s="7" t="s">
        <v>16815</v>
      </c>
      <c r="J1622" s="7" t="s">
        <v>169</v>
      </c>
      <c r="K1622" s="7" t="s">
        <v>18903</v>
      </c>
      <c r="L1622" s="198" t="s">
        <v>65</v>
      </c>
      <c r="M1622" s="194"/>
      <c r="N1622" s="194"/>
    </row>
    <row r="1623">
      <c r="A1623" s="193" t="s">
        <v>18905</v>
      </c>
      <c r="B1623" s="7" t="s">
        <v>169</v>
      </c>
      <c r="C1623" s="7" t="s">
        <v>16899</v>
      </c>
      <c r="D1623" s="199"/>
      <c r="E1623" s="193"/>
      <c r="F1623" s="195" t="s">
        <v>18906</v>
      </c>
      <c r="G1623" s="196">
        <v>7.009879561E9</v>
      </c>
      <c r="H1623" s="197">
        <v>76.6</v>
      </c>
      <c r="I1623" s="7" t="s">
        <v>16815</v>
      </c>
      <c r="J1623" s="7" t="s">
        <v>169</v>
      </c>
      <c r="K1623" s="7" t="s">
        <v>16899</v>
      </c>
      <c r="L1623" s="198" t="s">
        <v>65</v>
      </c>
      <c r="M1623" s="199"/>
      <c r="N1623" s="199"/>
    </row>
    <row r="1624">
      <c r="A1624" s="193" t="s">
        <v>18905</v>
      </c>
      <c r="B1624" s="7" t="s">
        <v>16899</v>
      </c>
      <c r="C1624" s="7" t="s">
        <v>169</v>
      </c>
      <c r="D1624" s="199"/>
      <c r="E1624" s="193"/>
      <c r="F1624" s="195" t="s">
        <v>18906</v>
      </c>
      <c r="G1624" s="200">
        <v>7.009879561E9</v>
      </c>
      <c r="H1624" s="197">
        <v>76.6</v>
      </c>
      <c r="I1624" s="7" t="s">
        <v>16815</v>
      </c>
      <c r="J1624" s="7" t="s">
        <v>16899</v>
      </c>
      <c r="K1624" s="7" t="s">
        <v>169</v>
      </c>
      <c r="L1624" s="201" t="s">
        <v>16835</v>
      </c>
      <c r="M1624" s="199"/>
      <c r="N1624" s="199"/>
    </row>
    <row r="1625">
      <c r="A1625" s="193" t="s">
        <v>18907</v>
      </c>
      <c r="B1625" s="7" t="s">
        <v>16969</v>
      </c>
      <c r="C1625" s="7" t="s">
        <v>187</v>
      </c>
      <c r="D1625" s="194">
        <v>2015.0</v>
      </c>
      <c r="E1625" s="193"/>
      <c r="F1625" s="195" t="s">
        <v>18908</v>
      </c>
      <c r="G1625" s="200">
        <v>7.002924647E9</v>
      </c>
      <c r="H1625" s="197">
        <v>181.44</v>
      </c>
      <c r="I1625" s="7" t="s">
        <v>16815</v>
      </c>
      <c r="J1625" s="7" t="s">
        <v>16969</v>
      </c>
      <c r="K1625" s="7" t="s">
        <v>187</v>
      </c>
      <c r="L1625" s="201" t="s">
        <v>16835</v>
      </c>
      <c r="M1625" s="194"/>
      <c r="N1625" s="194"/>
    </row>
    <row r="1626">
      <c r="A1626" s="193" t="s">
        <v>18907</v>
      </c>
      <c r="B1626" s="7" t="s">
        <v>187</v>
      </c>
      <c r="C1626" s="7" t="s">
        <v>16969</v>
      </c>
      <c r="D1626" s="194">
        <v>2015.0</v>
      </c>
      <c r="E1626" s="193"/>
      <c r="F1626" s="195" t="s">
        <v>18908</v>
      </c>
      <c r="G1626" s="196">
        <v>7.002924647E9</v>
      </c>
      <c r="H1626" s="197">
        <v>181.44</v>
      </c>
      <c r="I1626" s="7" t="s">
        <v>16815</v>
      </c>
      <c r="J1626" s="7" t="s">
        <v>187</v>
      </c>
      <c r="K1626" s="7" t="s">
        <v>16969</v>
      </c>
      <c r="L1626" s="198" t="s">
        <v>65</v>
      </c>
      <c r="M1626" s="194"/>
      <c r="N1626" s="194"/>
    </row>
    <row r="1627">
      <c r="A1627" s="193" t="s">
        <v>18909</v>
      </c>
      <c r="D1627" s="194">
        <v>2023.0</v>
      </c>
      <c r="E1627" s="193"/>
      <c r="F1627" s="195" t="s">
        <v>18910</v>
      </c>
      <c r="G1627" s="196">
        <v>6.969535197E9</v>
      </c>
      <c r="H1627" s="197">
        <v>25.21</v>
      </c>
      <c r="I1627" s="7" t="s">
        <v>16815</v>
      </c>
      <c r="L1627" s="198" t="s">
        <v>65</v>
      </c>
      <c r="M1627" s="194"/>
      <c r="N1627" s="194"/>
    </row>
    <row r="1628">
      <c r="A1628" s="193" t="s">
        <v>18911</v>
      </c>
      <c r="B1628" s="7" t="s">
        <v>17111</v>
      </c>
      <c r="C1628" s="7" t="s">
        <v>17112</v>
      </c>
      <c r="D1628" s="199"/>
      <c r="E1628" s="193"/>
      <c r="F1628" s="195" t="s">
        <v>18912</v>
      </c>
      <c r="G1628" s="200">
        <v>6.969225992E9</v>
      </c>
      <c r="H1628" s="197">
        <v>38.2</v>
      </c>
      <c r="I1628" s="7" t="s">
        <v>16815</v>
      </c>
      <c r="J1628" s="7" t="s">
        <v>17111</v>
      </c>
      <c r="K1628" s="7" t="s">
        <v>17112</v>
      </c>
      <c r="L1628" s="201" t="s">
        <v>16835</v>
      </c>
      <c r="M1628" s="199"/>
      <c r="N1628" s="199"/>
    </row>
    <row r="1629">
      <c r="A1629" s="193" t="s">
        <v>18911</v>
      </c>
      <c r="B1629" s="7" t="s">
        <v>17112</v>
      </c>
      <c r="C1629" s="7" t="s">
        <v>17111</v>
      </c>
      <c r="D1629" s="199"/>
      <c r="E1629" s="193"/>
      <c r="F1629" s="195" t="s">
        <v>18912</v>
      </c>
      <c r="G1629" s="196">
        <v>6.969225992E9</v>
      </c>
      <c r="H1629" s="197">
        <v>38.2</v>
      </c>
      <c r="I1629" s="7" t="s">
        <v>16815</v>
      </c>
      <c r="J1629" s="7" t="s">
        <v>17112</v>
      </c>
      <c r="K1629" s="7" t="s">
        <v>17111</v>
      </c>
      <c r="L1629" s="198" t="s">
        <v>65</v>
      </c>
      <c r="M1629" s="199"/>
      <c r="N1629" s="199"/>
    </row>
    <row r="1630">
      <c r="A1630" s="193" t="s">
        <v>18913</v>
      </c>
      <c r="B1630" s="7" t="s">
        <v>175</v>
      </c>
      <c r="C1630" s="7" t="s">
        <v>16942</v>
      </c>
      <c r="D1630" s="194">
        <v>2004.0</v>
      </c>
      <c r="E1630" s="193"/>
      <c r="F1630" s="195" t="s">
        <v>18914</v>
      </c>
      <c r="G1630" s="196">
        <v>6.958133481E9</v>
      </c>
      <c r="H1630" s="197">
        <v>104.19</v>
      </c>
      <c r="I1630" s="7" t="s">
        <v>16844</v>
      </c>
      <c r="J1630" s="7" t="s">
        <v>175</v>
      </c>
      <c r="K1630" s="7" t="s">
        <v>16942</v>
      </c>
      <c r="L1630" s="198" t="s">
        <v>65</v>
      </c>
      <c r="M1630" s="194"/>
      <c r="N1630" s="194"/>
    </row>
    <row r="1631">
      <c r="A1631" s="193" t="s">
        <v>18915</v>
      </c>
      <c r="D1631" s="199"/>
      <c r="E1631" s="193"/>
      <c r="F1631" s="195" t="s">
        <v>18916</v>
      </c>
      <c r="G1631" s="196">
        <v>6.944269326E9</v>
      </c>
      <c r="H1631" s="197">
        <v>21.83</v>
      </c>
      <c r="I1631" s="7" t="s">
        <v>16815</v>
      </c>
      <c r="L1631" s="198" t="s">
        <v>65</v>
      </c>
      <c r="M1631" s="199"/>
      <c r="N1631" s="199"/>
    </row>
    <row r="1632">
      <c r="A1632" s="193" t="s">
        <v>18915</v>
      </c>
      <c r="D1632" s="199"/>
      <c r="E1632" s="193"/>
      <c r="F1632" s="195" t="s">
        <v>18916</v>
      </c>
      <c r="G1632" s="200">
        <v>6.944269326E9</v>
      </c>
      <c r="H1632" s="197">
        <v>21.83</v>
      </c>
      <c r="I1632" s="193" t="s">
        <v>16815</v>
      </c>
      <c r="L1632" s="201" t="s">
        <v>16835</v>
      </c>
      <c r="M1632" s="199"/>
      <c r="N1632" s="199"/>
    </row>
    <row r="1633">
      <c r="A1633" s="193" t="s">
        <v>18917</v>
      </c>
      <c r="B1633" s="7" t="s">
        <v>16838</v>
      </c>
      <c r="C1633" s="7" t="s">
        <v>17002</v>
      </c>
      <c r="D1633" s="199"/>
      <c r="E1633" s="193"/>
      <c r="F1633" s="195" t="s">
        <v>18918</v>
      </c>
      <c r="G1633" s="196">
        <v>6.940821745E9</v>
      </c>
      <c r="H1633" s="197">
        <v>28.6</v>
      </c>
      <c r="I1633" s="7" t="s">
        <v>16815</v>
      </c>
      <c r="J1633" s="7" t="s">
        <v>16838</v>
      </c>
      <c r="K1633" s="7" t="s">
        <v>17002</v>
      </c>
      <c r="L1633" s="198" t="s">
        <v>65</v>
      </c>
      <c r="M1633" s="199"/>
      <c r="N1633" s="199"/>
    </row>
    <row r="1634">
      <c r="A1634" s="193" t="s">
        <v>18917</v>
      </c>
      <c r="B1634" s="7" t="s">
        <v>17002</v>
      </c>
      <c r="C1634" s="7" t="s">
        <v>16838</v>
      </c>
      <c r="D1634" s="199"/>
      <c r="E1634" s="193"/>
      <c r="F1634" s="195" t="s">
        <v>18918</v>
      </c>
      <c r="G1634" s="200">
        <v>6.940821745E9</v>
      </c>
      <c r="H1634" s="197">
        <v>28.6</v>
      </c>
      <c r="I1634" s="7" t="s">
        <v>16815</v>
      </c>
      <c r="J1634" s="7" t="s">
        <v>17002</v>
      </c>
      <c r="K1634" s="7" t="s">
        <v>16838</v>
      </c>
      <c r="L1634" s="201" t="s">
        <v>16835</v>
      </c>
      <c r="M1634" s="199"/>
      <c r="N1634" s="199"/>
    </row>
    <row r="1635">
      <c r="A1635" s="193" t="s">
        <v>18919</v>
      </c>
      <c r="B1635" s="7" t="s">
        <v>175</v>
      </c>
      <c r="C1635" s="7" t="s">
        <v>17350</v>
      </c>
      <c r="D1635" s="199"/>
      <c r="E1635" s="193"/>
      <c r="F1635" s="195" t="s">
        <v>18920</v>
      </c>
      <c r="G1635" s="196">
        <v>6.927601953E9</v>
      </c>
      <c r="H1635" s="197">
        <v>29.7</v>
      </c>
      <c r="I1635" s="193" t="s">
        <v>16908</v>
      </c>
      <c r="J1635" s="7" t="s">
        <v>175</v>
      </c>
      <c r="K1635" s="7" t="s">
        <v>17350</v>
      </c>
      <c r="L1635" s="198" t="s">
        <v>65</v>
      </c>
      <c r="M1635" s="199"/>
      <c r="N1635" s="199"/>
    </row>
    <row r="1636">
      <c r="A1636" s="193" t="s">
        <v>18921</v>
      </c>
      <c r="B1636" s="7" t="s">
        <v>16582</v>
      </c>
      <c r="C1636" s="7" t="s">
        <v>16930</v>
      </c>
      <c r="D1636" s="194">
        <v>2021.0</v>
      </c>
      <c r="E1636" s="193"/>
      <c r="F1636" s="195" t="s">
        <v>18922</v>
      </c>
      <c r="G1636" s="196">
        <v>6.901167E9</v>
      </c>
      <c r="H1636" s="197">
        <v>44.61</v>
      </c>
      <c r="I1636" s="7" t="s">
        <v>16815</v>
      </c>
      <c r="J1636" s="7" t="s">
        <v>16582</v>
      </c>
      <c r="K1636" s="7" t="s">
        <v>16930</v>
      </c>
      <c r="L1636" s="198" t="s">
        <v>65</v>
      </c>
      <c r="M1636" s="194"/>
      <c r="N1636" s="194"/>
    </row>
    <row r="1637">
      <c r="A1637" s="193" t="s">
        <v>18923</v>
      </c>
      <c r="B1637" s="7" t="s">
        <v>16838</v>
      </c>
      <c r="C1637" s="7" t="s">
        <v>17127</v>
      </c>
      <c r="D1637" s="199"/>
      <c r="E1637" s="193"/>
      <c r="F1637" s="195" t="s">
        <v>18924</v>
      </c>
      <c r="G1637" s="196">
        <v>6.895924323E9</v>
      </c>
      <c r="H1637" s="197">
        <v>18.49</v>
      </c>
      <c r="I1637" s="7" t="s">
        <v>16872</v>
      </c>
      <c r="J1637" s="7" t="s">
        <v>16838</v>
      </c>
      <c r="K1637" s="7" t="s">
        <v>17127</v>
      </c>
      <c r="L1637" s="198" t="s">
        <v>65</v>
      </c>
      <c r="M1637" s="199"/>
      <c r="N1637" s="199"/>
    </row>
    <row r="1638">
      <c r="A1638" s="193" t="s">
        <v>18925</v>
      </c>
      <c r="B1638" s="7" t="s">
        <v>169</v>
      </c>
      <c r="C1638" s="7" t="s">
        <v>17321</v>
      </c>
      <c r="D1638" s="199"/>
      <c r="E1638" s="193"/>
      <c r="F1638" s="195" t="s">
        <v>18926</v>
      </c>
      <c r="G1638" s="196">
        <v>6.877229219E9</v>
      </c>
      <c r="H1638" s="197">
        <v>95.36</v>
      </c>
      <c r="I1638" s="7" t="s">
        <v>16815</v>
      </c>
      <c r="J1638" s="7" t="s">
        <v>169</v>
      </c>
      <c r="K1638" s="7" t="s">
        <v>17321</v>
      </c>
      <c r="L1638" s="198" t="s">
        <v>65</v>
      </c>
      <c r="M1638" s="199"/>
      <c r="N1638" s="199"/>
    </row>
    <row r="1639">
      <c r="A1639" s="193" t="s">
        <v>18927</v>
      </c>
      <c r="B1639" s="7" t="s">
        <v>18732</v>
      </c>
      <c r="C1639" s="7" t="s">
        <v>169</v>
      </c>
      <c r="D1639" s="194">
        <v>2012.0</v>
      </c>
      <c r="E1639" s="193"/>
      <c r="F1639" s="195" t="s">
        <v>18928</v>
      </c>
      <c r="G1639" s="200">
        <v>6.839171E9</v>
      </c>
      <c r="H1639" s="197">
        <v>57.91</v>
      </c>
      <c r="I1639" s="7" t="s">
        <v>16815</v>
      </c>
      <c r="J1639" s="7" t="s">
        <v>18732</v>
      </c>
      <c r="K1639" s="7" t="s">
        <v>169</v>
      </c>
      <c r="L1639" s="201" t="s">
        <v>16835</v>
      </c>
      <c r="M1639" s="194"/>
      <c r="N1639" s="194"/>
    </row>
    <row r="1640">
      <c r="A1640" s="193" t="s">
        <v>18927</v>
      </c>
      <c r="B1640" s="7" t="s">
        <v>169</v>
      </c>
      <c r="C1640" s="7" t="s">
        <v>18732</v>
      </c>
      <c r="D1640" s="194">
        <v>2012.0</v>
      </c>
      <c r="E1640" s="193"/>
      <c r="F1640" s="195" t="s">
        <v>18928</v>
      </c>
      <c r="G1640" s="196">
        <v>6.839171E9</v>
      </c>
      <c r="H1640" s="197">
        <v>57.91</v>
      </c>
      <c r="I1640" s="7" t="s">
        <v>16815</v>
      </c>
      <c r="J1640" s="7" t="s">
        <v>169</v>
      </c>
      <c r="K1640" s="7" t="s">
        <v>18732</v>
      </c>
      <c r="L1640" s="198" t="s">
        <v>65</v>
      </c>
      <c r="M1640" s="194"/>
      <c r="N1640" s="194"/>
    </row>
    <row r="1641">
      <c r="A1641" s="193" t="s">
        <v>18929</v>
      </c>
      <c r="B1641" s="7" t="s">
        <v>175</v>
      </c>
      <c r="C1641" s="7" t="s">
        <v>17394</v>
      </c>
      <c r="D1641" s="194">
        <v>2021.0</v>
      </c>
      <c r="E1641" s="193"/>
      <c r="F1641" s="195" t="s">
        <v>18930</v>
      </c>
      <c r="G1641" s="196">
        <v>6.816966E9</v>
      </c>
      <c r="H1641" s="197">
        <v>14.55</v>
      </c>
      <c r="I1641" s="7" t="s">
        <v>16908</v>
      </c>
      <c r="J1641" s="7" t="s">
        <v>175</v>
      </c>
      <c r="K1641" s="7" t="s">
        <v>17394</v>
      </c>
      <c r="L1641" s="198" t="s">
        <v>65</v>
      </c>
      <c r="M1641" s="194"/>
      <c r="N1641" s="194"/>
    </row>
    <row r="1642">
      <c r="A1642" s="193" t="s">
        <v>18929</v>
      </c>
      <c r="B1642" s="7" t="s">
        <v>17394</v>
      </c>
      <c r="C1642" s="7" t="s">
        <v>175</v>
      </c>
      <c r="D1642" s="194">
        <v>2021.0</v>
      </c>
      <c r="E1642" s="193"/>
      <c r="F1642" s="195" t="s">
        <v>18930</v>
      </c>
      <c r="G1642" s="200">
        <v>6.816966E9</v>
      </c>
      <c r="H1642" s="197">
        <v>14.55</v>
      </c>
      <c r="I1642" s="7" t="s">
        <v>16815</v>
      </c>
      <c r="J1642" s="7" t="s">
        <v>17394</v>
      </c>
      <c r="K1642" s="7" t="s">
        <v>175</v>
      </c>
      <c r="L1642" s="201" t="s">
        <v>16835</v>
      </c>
      <c r="M1642" s="194"/>
      <c r="N1642" s="194"/>
    </row>
    <row r="1643">
      <c r="A1643" s="193" t="s">
        <v>18931</v>
      </c>
      <c r="B1643" s="7" t="s">
        <v>16919</v>
      </c>
      <c r="C1643" s="7" t="s">
        <v>17176</v>
      </c>
      <c r="D1643" s="194">
        <v>2019.0</v>
      </c>
      <c r="E1643" s="193"/>
      <c r="F1643" s="195" t="s">
        <v>18932</v>
      </c>
      <c r="G1643" s="196">
        <v>6.806844018E9</v>
      </c>
      <c r="H1643" s="197">
        <v>23.33</v>
      </c>
      <c r="I1643" s="7" t="s">
        <v>16815</v>
      </c>
      <c r="J1643" s="7" t="s">
        <v>16919</v>
      </c>
      <c r="K1643" s="7" t="s">
        <v>17176</v>
      </c>
      <c r="L1643" s="198" t="s">
        <v>65</v>
      </c>
      <c r="M1643" s="194"/>
      <c r="N1643" s="194"/>
    </row>
    <row r="1644">
      <c r="A1644" s="193" t="s">
        <v>18931</v>
      </c>
      <c r="B1644" s="7" t="s">
        <v>17176</v>
      </c>
      <c r="C1644" s="7" t="s">
        <v>16919</v>
      </c>
      <c r="D1644" s="194">
        <v>2019.0</v>
      </c>
      <c r="E1644" s="193"/>
      <c r="F1644" s="195" t="s">
        <v>18932</v>
      </c>
      <c r="G1644" s="200">
        <v>6.806844018E9</v>
      </c>
      <c r="H1644" s="197">
        <v>23.33</v>
      </c>
      <c r="I1644" s="7" t="s">
        <v>16815</v>
      </c>
      <c r="J1644" s="7" t="s">
        <v>17176</v>
      </c>
      <c r="K1644" s="7" t="s">
        <v>16919</v>
      </c>
      <c r="L1644" s="201" t="s">
        <v>16835</v>
      </c>
      <c r="M1644" s="194"/>
      <c r="N1644" s="194"/>
    </row>
    <row r="1645">
      <c r="A1645" s="193" t="s">
        <v>18933</v>
      </c>
      <c r="B1645" s="7" t="s">
        <v>16582</v>
      </c>
      <c r="C1645" s="7" t="s">
        <v>16930</v>
      </c>
      <c r="D1645" s="194">
        <v>2021.0</v>
      </c>
      <c r="E1645" s="193"/>
      <c r="F1645" s="195" t="s">
        <v>18934</v>
      </c>
      <c r="G1645" s="196">
        <v>6.806546992E9</v>
      </c>
      <c r="H1645" s="197">
        <v>23.38</v>
      </c>
      <c r="I1645" s="7" t="s">
        <v>16815</v>
      </c>
      <c r="J1645" s="7" t="s">
        <v>16582</v>
      </c>
      <c r="K1645" s="7" t="s">
        <v>16930</v>
      </c>
      <c r="L1645" s="198" t="s">
        <v>65</v>
      </c>
      <c r="M1645" s="194"/>
      <c r="N1645" s="194"/>
    </row>
    <row r="1646">
      <c r="A1646" s="193" t="s">
        <v>18933</v>
      </c>
      <c r="B1646" s="7" t="s">
        <v>16930</v>
      </c>
      <c r="C1646" s="7" t="s">
        <v>16582</v>
      </c>
      <c r="D1646" s="194">
        <v>2021.0</v>
      </c>
      <c r="E1646" s="193"/>
      <c r="F1646" s="195" t="s">
        <v>18934</v>
      </c>
      <c r="G1646" s="200">
        <v>6.806546992E9</v>
      </c>
      <c r="H1646" s="197">
        <v>23.38</v>
      </c>
      <c r="I1646" s="7" t="s">
        <v>16815</v>
      </c>
      <c r="J1646" s="7" t="s">
        <v>16930</v>
      </c>
      <c r="K1646" s="7" t="s">
        <v>16582</v>
      </c>
      <c r="L1646" s="201" t="s">
        <v>16835</v>
      </c>
      <c r="M1646" s="194"/>
      <c r="N1646" s="194"/>
    </row>
    <row r="1647">
      <c r="A1647" s="193" t="s">
        <v>18935</v>
      </c>
      <c r="B1647" s="7" t="s">
        <v>16919</v>
      </c>
      <c r="C1647" s="7" t="s">
        <v>17048</v>
      </c>
      <c r="D1647" s="199"/>
      <c r="E1647" s="193"/>
      <c r="F1647" s="195" t="s">
        <v>18936</v>
      </c>
      <c r="G1647" s="196">
        <v>6.803761755E9</v>
      </c>
      <c r="H1647" s="197">
        <v>33.97</v>
      </c>
      <c r="I1647" s="7" t="s">
        <v>16815</v>
      </c>
      <c r="J1647" s="7" t="s">
        <v>16919</v>
      </c>
      <c r="K1647" s="7" t="s">
        <v>17048</v>
      </c>
      <c r="L1647" s="198" t="s">
        <v>65</v>
      </c>
      <c r="M1647" s="199"/>
      <c r="N1647" s="199"/>
    </row>
    <row r="1648">
      <c r="A1648" s="193" t="s">
        <v>18935</v>
      </c>
      <c r="B1648" s="7" t="s">
        <v>17048</v>
      </c>
      <c r="C1648" s="7" t="s">
        <v>16919</v>
      </c>
      <c r="D1648" s="199"/>
      <c r="E1648" s="193"/>
      <c r="F1648" s="195" t="s">
        <v>18936</v>
      </c>
      <c r="G1648" s="200">
        <v>6.803761755E9</v>
      </c>
      <c r="H1648" s="197">
        <v>33.97</v>
      </c>
      <c r="I1648" s="7" t="s">
        <v>16815</v>
      </c>
      <c r="J1648" s="7" t="s">
        <v>17048</v>
      </c>
      <c r="K1648" s="7" t="s">
        <v>16919</v>
      </c>
      <c r="L1648" s="201" t="s">
        <v>16835</v>
      </c>
      <c r="M1648" s="199"/>
      <c r="N1648" s="199"/>
    </row>
    <row r="1649">
      <c r="A1649" s="193" t="s">
        <v>18937</v>
      </c>
      <c r="B1649" s="7" t="s">
        <v>187</v>
      </c>
      <c r="C1649" s="7" t="s">
        <v>16846</v>
      </c>
      <c r="D1649" s="199"/>
      <c r="E1649" s="193"/>
      <c r="F1649" s="195" t="s">
        <v>18938</v>
      </c>
      <c r="G1649" s="196">
        <v>6.799048756E9</v>
      </c>
      <c r="H1649" s="197">
        <v>8.81</v>
      </c>
      <c r="I1649" s="7" t="s">
        <v>16815</v>
      </c>
      <c r="J1649" s="7" t="s">
        <v>187</v>
      </c>
      <c r="K1649" s="7" t="s">
        <v>16846</v>
      </c>
      <c r="L1649" s="198" t="s">
        <v>65</v>
      </c>
      <c r="M1649" s="199"/>
      <c r="N1649" s="199"/>
    </row>
    <row r="1650">
      <c r="A1650" s="193" t="s">
        <v>18939</v>
      </c>
      <c r="B1650" s="7" t="s">
        <v>175</v>
      </c>
      <c r="C1650" s="7" t="s">
        <v>18500</v>
      </c>
      <c r="D1650" s="199"/>
      <c r="E1650" s="193"/>
      <c r="F1650" s="195" t="s">
        <v>18940</v>
      </c>
      <c r="G1650" s="196">
        <v>6.798744767E9</v>
      </c>
      <c r="H1650" s="197">
        <v>187.7</v>
      </c>
      <c r="I1650" s="7" t="s">
        <v>16908</v>
      </c>
      <c r="J1650" s="7" t="s">
        <v>175</v>
      </c>
      <c r="K1650" s="7" t="s">
        <v>18500</v>
      </c>
      <c r="L1650" s="198" t="s">
        <v>65</v>
      </c>
      <c r="M1650" s="199"/>
      <c r="N1650" s="199"/>
    </row>
    <row r="1651">
      <c r="A1651" s="193" t="s">
        <v>18941</v>
      </c>
      <c r="B1651" s="7" t="s">
        <v>16867</v>
      </c>
      <c r="C1651" s="7" t="s">
        <v>16838</v>
      </c>
      <c r="D1651" s="199"/>
      <c r="E1651" s="193"/>
      <c r="F1651" s="195" t="s">
        <v>18942</v>
      </c>
      <c r="G1651" s="200">
        <v>6.769579768E9</v>
      </c>
      <c r="H1651" s="197">
        <v>39.35</v>
      </c>
      <c r="I1651" s="7" t="s">
        <v>16815</v>
      </c>
      <c r="J1651" s="7" t="s">
        <v>16867</v>
      </c>
      <c r="K1651" s="7" t="s">
        <v>16838</v>
      </c>
      <c r="L1651" s="201" t="s">
        <v>16835</v>
      </c>
      <c r="M1651" s="199"/>
      <c r="N1651" s="199"/>
    </row>
    <row r="1652">
      <c r="A1652" s="193" t="s">
        <v>18941</v>
      </c>
      <c r="B1652" s="7" t="s">
        <v>16838</v>
      </c>
      <c r="C1652" s="7" t="s">
        <v>16867</v>
      </c>
      <c r="D1652" s="199"/>
      <c r="E1652" s="193"/>
      <c r="F1652" s="195" t="s">
        <v>18942</v>
      </c>
      <c r="G1652" s="196">
        <v>6.769579768E9</v>
      </c>
      <c r="H1652" s="197">
        <v>39.35</v>
      </c>
      <c r="I1652" s="7" t="s">
        <v>16815</v>
      </c>
      <c r="J1652" s="7" t="s">
        <v>16838</v>
      </c>
      <c r="K1652" s="7" t="s">
        <v>16867</v>
      </c>
      <c r="L1652" s="198" t="s">
        <v>65</v>
      </c>
      <c r="M1652" s="199"/>
      <c r="N1652" s="199"/>
    </row>
    <row r="1653">
      <c r="A1653" s="193" t="s">
        <v>18943</v>
      </c>
      <c r="B1653" s="7" t="s">
        <v>175</v>
      </c>
      <c r="C1653" s="7" t="s">
        <v>16854</v>
      </c>
      <c r="D1653" s="194">
        <v>2021.0</v>
      </c>
      <c r="E1653" s="193"/>
      <c r="F1653" s="195" t="s">
        <v>18944</v>
      </c>
      <c r="G1653" s="196">
        <v>6.767884065E9</v>
      </c>
      <c r="H1653" s="197">
        <v>22.43</v>
      </c>
      <c r="I1653" s="7" t="s">
        <v>16826</v>
      </c>
      <c r="J1653" s="7" t="s">
        <v>175</v>
      </c>
      <c r="K1653" s="7" t="s">
        <v>16854</v>
      </c>
      <c r="L1653" s="198" t="s">
        <v>65</v>
      </c>
      <c r="M1653" s="194"/>
      <c r="N1653" s="194"/>
    </row>
    <row r="1654">
      <c r="A1654" s="193" t="s">
        <v>18945</v>
      </c>
      <c r="B1654" s="7" t="s">
        <v>16919</v>
      </c>
      <c r="C1654" s="7" t="s">
        <v>17413</v>
      </c>
      <c r="D1654" s="194">
        <v>2019.0</v>
      </c>
      <c r="E1654" s="193"/>
      <c r="F1654" s="195" t="s">
        <v>18946</v>
      </c>
      <c r="G1654" s="196">
        <v>6.766036398E9</v>
      </c>
      <c r="H1654" s="197">
        <v>33.0</v>
      </c>
      <c r="I1654" s="7" t="s">
        <v>16815</v>
      </c>
      <c r="J1654" s="7" t="s">
        <v>16919</v>
      </c>
      <c r="K1654" s="7" t="s">
        <v>17413</v>
      </c>
      <c r="L1654" s="198" t="s">
        <v>65</v>
      </c>
      <c r="M1654" s="194"/>
      <c r="N1654" s="194"/>
    </row>
    <row r="1655">
      <c r="A1655" s="193" t="s">
        <v>18947</v>
      </c>
      <c r="B1655" s="7" t="s">
        <v>16919</v>
      </c>
      <c r="C1655" s="7" t="s">
        <v>17176</v>
      </c>
      <c r="D1655" s="194">
        <v>2018.0</v>
      </c>
      <c r="E1655" s="193"/>
      <c r="F1655" s="195" t="s">
        <v>18948</v>
      </c>
      <c r="G1655" s="196">
        <v>6.760161847E9</v>
      </c>
      <c r="H1655" s="197">
        <v>23.17</v>
      </c>
      <c r="I1655" s="7" t="s">
        <v>16815</v>
      </c>
      <c r="J1655" s="7" t="s">
        <v>16919</v>
      </c>
      <c r="K1655" s="7" t="s">
        <v>17176</v>
      </c>
      <c r="L1655" s="198" t="s">
        <v>65</v>
      </c>
      <c r="M1655" s="194"/>
      <c r="N1655" s="194"/>
    </row>
    <row r="1656">
      <c r="A1656" s="193" t="s">
        <v>18947</v>
      </c>
      <c r="B1656" s="7" t="s">
        <v>17176</v>
      </c>
      <c r="C1656" s="7" t="s">
        <v>16919</v>
      </c>
      <c r="D1656" s="194">
        <v>2018.0</v>
      </c>
      <c r="E1656" s="193"/>
      <c r="F1656" s="195" t="s">
        <v>18948</v>
      </c>
      <c r="G1656" s="200">
        <v>6.760161847E9</v>
      </c>
      <c r="H1656" s="197">
        <v>23.17</v>
      </c>
      <c r="I1656" s="7" t="s">
        <v>16815</v>
      </c>
      <c r="J1656" s="7" t="s">
        <v>17176</v>
      </c>
      <c r="K1656" s="7" t="s">
        <v>16919</v>
      </c>
      <c r="L1656" s="201" t="s">
        <v>16835</v>
      </c>
      <c r="M1656" s="194"/>
      <c r="N1656" s="194"/>
    </row>
    <row r="1657">
      <c r="A1657" s="193" t="s">
        <v>18949</v>
      </c>
      <c r="B1657" s="7" t="s">
        <v>187</v>
      </c>
      <c r="C1657" s="7" t="s">
        <v>16851</v>
      </c>
      <c r="D1657" s="199"/>
      <c r="E1657" s="193"/>
      <c r="F1657" s="195" t="s">
        <v>18950</v>
      </c>
      <c r="G1657" s="196">
        <v>6.74194656E9</v>
      </c>
      <c r="H1657" s="197">
        <v>73.11</v>
      </c>
      <c r="I1657" s="7" t="s">
        <v>16815</v>
      </c>
      <c r="J1657" s="7" t="s">
        <v>187</v>
      </c>
      <c r="K1657" s="7" t="s">
        <v>16851</v>
      </c>
      <c r="L1657" s="198" t="s">
        <v>65</v>
      </c>
      <c r="M1657" s="199"/>
      <c r="N1657" s="199"/>
    </row>
    <row r="1658">
      <c r="A1658" s="193" t="s">
        <v>18951</v>
      </c>
      <c r="B1658" s="7" t="s">
        <v>16582</v>
      </c>
      <c r="C1658" s="7" t="s">
        <v>16828</v>
      </c>
      <c r="D1658" s="194">
        <v>1997.0</v>
      </c>
      <c r="E1658" s="193"/>
      <c r="F1658" s="195" t="s">
        <v>18952</v>
      </c>
      <c r="G1658" s="196">
        <v>6.739754318E9</v>
      </c>
      <c r="H1658" s="197">
        <v>62.69</v>
      </c>
      <c r="I1658" s="7" t="s">
        <v>16815</v>
      </c>
      <c r="J1658" s="7" t="s">
        <v>16582</v>
      </c>
      <c r="K1658" s="7" t="s">
        <v>16828</v>
      </c>
      <c r="L1658" s="198" t="s">
        <v>65</v>
      </c>
      <c r="M1658" s="194"/>
      <c r="N1658" s="194"/>
    </row>
    <row r="1659">
      <c r="A1659" s="193" t="s">
        <v>18953</v>
      </c>
      <c r="B1659" s="7" t="s">
        <v>158</v>
      </c>
      <c r="C1659" s="7" t="s">
        <v>16864</v>
      </c>
      <c r="D1659" s="194">
        <v>2012.0</v>
      </c>
      <c r="E1659" s="193"/>
      <c r="F1659" s="195" t="s">
        <v>18954</v>
      </c>
      <c r="G1659" s="196">
        <v>6.727548707E9</v>
      </c>
      <c r="H1659" s="197">
        <v>56.47</v>
      </c>
      <c r="I1659" s="7" t="s">
        <v>17098</v>
      </c>
      <c r="J1659" s="7" t="s">
        <v>158</v>
      </c>
      <c r="K1659" s="7" t="s">
        <v>16864</v>
      </c>
      <c r="L1659" s="198" t="s">
        <v>65</v>
      </c>
      <c r="M1659" s="194"/>
      <c r="N1659" s="194"/>
    </row>
    <row r="1660">
      <c r="A1660" s="193" t="s">
        <v>18953</v>
      </c>
      <c r="B1660" s="7" t="s">
        <v>16864</v>
      </c>
      <c r="C1660" s="7" t="s">
        <v>158</v>
      </c>
      <c r="D1660" s="194">
        <v>2012.0</v>
      </c>
      <c r="E1660" s="193"/>
      <c r="F1660" s="195" t="s">
        <v>18954</v>
      </c>
      <c r="G1660" s="200">
        <v>6.727548707E9</v>
      </c>
      <c r="H1660" s="197">
        <v>56.47</v>
      </c>
      <c r="I1660" s="7" t="s">
        <v>16815</v>
      </c>
      <c r="J1660" s="7" t="s">
        <v>16864</v>
      </c>
      <c r="K1660" s="7" t="s">
        <v>158</v>
      </c>
      <c r="L1660" s="201" t="s">
        <v>16835</v>
      </c>
      <c r="M1660" s="194"/>
      <c r="N1660" s="194"/>
    </row>
    <row r="1661">
      <c r="A1661" s="193" t="s">
        <v>18955</v>
      </c>
      <c r="B1661" s="7" t="s">
        <v>16838</v>
      </c>
      <c r="C1661" s="7" t="s">
        <v>18956</v>
      </c>
      <c r="D1661" s="199"/>
      <c r="E1661" s="193"/>
      <c r="F1661" s="195" t="s">
        <v>18957</v>
      </c>
      <c r="G1661" s="196">
        <v>6.719020216E9</v>
      </c>
      <c r="H1661" s="197">
        <v>9.3</v>
      </c>
      <c r="I1661" s="7" t="s">
        <v>16815</v>
      </c>
      <c r="J1661" s="7" t="s">
        <v>16838</v>
      </c>
      <c r="K1661" s="7" t="s">
        <v>18956</v>
      </c>
      <c r="L1661" s="198" t="s">
        <v>65</v>
      </c>
      <c r="M1661" s="199"/>
      <c r="N1661" s="199"/>
    </row>
    <row r="1662">
      <c r="A1662" s="193" t="s">
        <v>18955</v>
      </c>
      <c r="B1662" s="7" t="s">
        <v>18956</v>
      </c>
      <c r="C1662" s="7" t="s">
        <v>16838</v>
      </c>
      <c r="D1662" s="199"/>
      <c r="E1662" s="193"/>
      <c r="F1662" s="195" t="s">
        <v>18957</v>
      </c>
      <c r="G1662" s="200">
        <v>6.719020216E9</v>
      </c>
      <c r="H1662" s="197">
        <v>9.3</v>
      </c>
      <c r="I1662" s="7" t="s">
        <v>16815</v>
      </c>
      <c r="J1662" s="7" t="s">
        <v>18956</v>
      </c>
      <c r="K1662" s="7" t="s">
        <v>16838</v>
      </c>
      <c r="L1662" s="201" t="s">
        <v>16835</v>
      </c>
      <c r="M1662" s="199"/>
      <c r="N1662" s="199"/>
    </row>
    <row r="1663">
      <c r="A1663" s="193" t="s">
        <v>18958</v>
      </c>
      <c r="B1663" s="7" t="s">
        <v>16926</v>
      </c>
      <c r="C1663" s="7" t="s">
        <v>16960</v>
      </c>
      <c r="D1663" s="199"/>
      <c r="E1663" s="193"/>
      <c r="F1663" s="195" t="s">
        <v>18959</v>
      </c>
      <c r="G1663" s="196">
        <v>6.718471893E9</v>
      </c>
      <c r="H1663" s="197">
        <v>17.0</v>
      </c>
      <c r="I1663" s="7" t="s">
        <v>16815</v>
      </c>
      <c r="J1663" s="7" t="s">
        <v>16926</v>
      </c>
      <c r="K1663" s="7" t="s">
        <v>16960</v>
      </c>
      <c r="L1663" s="198" t="s">
        <v>65</v>
      </c>
      <c r="M1663" s="199"/>
      <c r="N1663" s="199"/>
    </row>
    <row r="1664">
      <c r="A1664" s="193" t="s">
        <v>18960</v>
      </c>
      <c r="B1664" s="7" t="s">
        <v>16910</v>
      </c>
      <c r="C1664" s="7" t="s">
        <v>17119</v>
      </c>
      <c r="D1664" s="194">
        <v>1997.0</v>
      </c>
      <c r="E1664" s="193"/>
      <c r="F1664" s="195" t="s">
        <v>18961</v>
      </c>
      <c r="G1664" s="196">
        <v>6.703546658E9</v>
      </c>
      <c r="H1664" s="197">
        <v>42.02</v>
      </c>
      <c r="I1664" s="193" t="s">
        <v>16856</v>
      </c>
      <c r="J1664" s="7" t="s">
        <v>16910</v>
      </c>
      <c r="K1664" s="7" t="s">
        <v>17119</v>
      </c>
      <c r="L1664" s="198" t="s">
        <v>65</v>
      </c>
      <c r="M1664" s="194"/>
      <c r="N1664" s="194"/>
    </row>
    <row r="1665">
      <c r="A1665" s="193" t="s">
        <v>18960</v>
      </c>
      <c r="B1665" s="7" t="s">
        <v>17119</v>
      </c>
      <c r="C1665" s="7" t="s">
        <v>16910</v>
      </c>
      <c r="D1665" s="194">
        <v>1997.0</v>
      </c>
      <c r="E1665" s="193"/>
      <c r="F1665" s="195" t="s">
        <v>18961</v>
      </c>
      <c r="G1665" s="200">
        <v>6.703546658E9</v>
      </c>
      <c r="H1665" s="197">
        <v>42.02</v>
      </c>
      <c r="I1665" s="7" t="s">
        <v>16815</v>
      </c>
      <c r="J1665" s="7" t="s">
        <v>17119</v>
      </c>
      <c r="K1665" s="7" t="s">
        <v>16910</v>
      </c>
      <c r="L1665" s="201" t="s">
        <v>16835</v>
      </c>
      <c r="M1665" s="194"/>
      <c r="N1665" s="194"/>
    </row>
    <row r="1666">
      <c r="A1666" s="193" t="s">
        <v>18962</v>
      </c>
      <c r="B1666" s="7" t="s">
        <v>169</v>
      </c>
      <c r="C1666" s="7" t="s">
        <v>17757</v>
      </c>
      <c r="D1666" s="194">
        <v>1997.0</v>
      </c>
      <c r="E1666" s="193"/>
      <c r="F1666" s="195" t="s">
        <v>18963</v>
      </c>
      <c r="G1666" s="196">
        <v>6.702956479E9</v>
      </c>
      <c r="H1666" s="197">
        <v>187.68</v>
      </c>
      <c r="I1666" s="7" t="s">
        <v>16815</v>
      </c>
      <c r="J1666" s="7" t="s">
        <v>169</v>
      </c>
      <c r="K1666" s="7" t="s">
        <v>17757</v>
      </c>
      <c r="L1666" s="198" t="s">
        <v>65</v>
      </c>
      <c r="M1666" s="194"/>
      <c r="N1666" s="194"/>
    </row>
    <row r="1667">
      <c r="A1667" s="193" t="s">
        <v>18962</v>
      </c>
      <c r="B1667" s="7" t="s">
        <v>17757</v>
      </c>
      <c r="C1667" s="7" t="s">
        <v>169</v>
      </c>
      <c r="D1667" s="194">
        <v>1997.0</v>
      </c>
      <c r="E1667" s="193"/>
      <c r="F1667" s="195" t="s">
        <v>18963</v>
      </c>
      <c r="G1667" s="200">
        <v>6.702956479E9</v>
      </c>
      <c r="H1667" s="197">
        <v>187.68</v>
      </c>
      <c r="I1667" s="7" t="s">
        <v>16815</v>
      </c>
      <c r="J1667" s="7" t="s">
        <v>17757</v>
      </c>
      <c r="K1667" s="7" t="s">
        <v>169</v>
      </c>
      <c r="L1667" s="201" t="s">
        <v>16835</v>
      </c>
      <c r="M1667" s="194"/>
      <c r="N1667" s="194"/>
    </row>
    <row r="1668">
      <c r="A1668" s="193" t="s">
        <v>18964</v>
      </c>
      <c r="B1668" s="7" t="s">
        <v>158</v>
      </c>
      <c r="C1668" s="7" t="s">
        <v>16864</v>
      </c>
      <c r="D1668" s="199"/>
      <c r="E1668" s="193"/>
      <c r="F1668" s="195" t="s">
        <v>18965</v>
      </c>
      <c r="G1668" s="196">
        <v>6.695361184E9</v>
      </c>
      <c r="H1668" s="197">
        <v>162.2</v>
      </c>
      <c r="I1668" s="7" t="s">
        <v>17095</v>
      </c>
      <c r="J1668" s="7" t="s">
        <v>158</v>
      </c>
      <c r="K1668" s="7" t="s">
        <v>16864</v>
      </c>
      <c r="L1668" s="198" t="s">
        <v>65</v>
      </c>
      <c r="M1668" s="199"/>
      <c r="N1668" s="199"/>
    </row>
    <row r="1669">
      <c r="A1669" s="193" t="s">
        <v>18966</v>
      </c>
      <c r="B1669" s="7" t="s">
        <v>16582</v>
      </c>
      <c r="C1669" s="7" t="s">
        <v>16817</v>
      </c>
      <c r="D1669" s="194">
        <v>2021.0</v>
      </c>
      <c r="E1669" s="193"/>
      <c r="F1669" s="195" t="s">
        <v>18967</v>
      </c>
      <c r="G1669" s="196">
        <v>6.6893288E9</v>
      </c>
      <c r="H1669" s="197">
        <v>140.12</v>
      </c>
      <c r="I1669" s="7" t="s">
        <v>16815</v>
      </c>
      <c r="J1669" s="7" t="s">
        <v>16582</v>
      </c>
      <c r="K1669" s="7" t="s">
        <v>16817</v>
      </c>
      <c r="L1669" s="198" t="s">
        <v>65</v>
      </c>
      <c r="M1669" s="194"/>
      <c r="N1669" s="194"/>
    </row>
    <row r="1670">
      <c r="A1670" s="193" t="s">
        <v>18968</v>
      </c>
      <c r="B1670" s="7" t="s">
        <v>16838</v>
      </c>
      <c r="C1670" s="7" t="s">
        <v>16867</v>
      </c>
      <c r="D1670" s="199"/>
      <c r="E1670" s="193"/>
      <c r="F1670" s="195" t="s">
        <v>18969</v>
      </c>
      <c r="G1670" s="196">
        <v>6.68638985E9</v>
      </c>
      <c r="H1670" s="197">
        <v>22.85</v>
      </c>
      <c r="I1670" s="7" t="s">
        <v>16815</v>
      </c>
      <c r="J1670" s="7" t="s">
        <v>16838</v>
      </c>
      <c r="K1670" s="7" t="s">
        <v>16867</v>
      </c>
      <c r="L1670" s="198" t="s">
        <v>65</v>
      </c>
      <c r="M1670" s="199"/>
      <c r="N1670" s="199"/>
    </row>
    <row r="1671">
      <c r="A1671" s="193" t="s">
        <v>18970</v>
      </c>
      <c r="B1671" s="7" t="s">
        <v>16910</v>
      </c>
      <c r="C1671" s="7" t="s">
        <v>17119</v>
      </c>
      <c r="D1671" s="199"/>
      <c r="E1671" s="193"/>
      <c r="F1671" s="195" t="s">
        <v>18971</v>
      </c>
      <c r="G1671" s="196">
        <v>6.675056799E9</v>
      </c>
      <c r="H1671" s="197">
        <v>102.39</v>
      </c>
      <c r="I1671" s="7" t="s">
        <v>127</v>
      </c>
      <c r="J1671" s="7" t="s">
        <v>16910</v>
      </c>
      <c r="K1671" s="7" t="s">
        <v>17119</v>
      </c>
      <c r="L1671" s="198" t="s">
        <v>65</v>
      </c>
      <c r="M1671" s="199"/>
      <c r="N1671" s="199"/>
    </row>
    <row r="1672">
      <c r="A1672" s="193" t="s">
        <v>18970</v>
      </c>
      <c r="B1672" s="7" t="s">
        <v>17119</v>
      </c>
      <c r="C1672" s="7" t="s">
        <v>16910</v>
      </c>
      <c r="D1672" s="199"/>
      <c r="E1672" s="193"/>
      <c r="F1672" s="195" t="s">
        <v>18971</v>
      </c>
      <c r="G1672" s="200">
        <v>6.675056799E9</v>
      </c>
      <c r="H1672" s="197">
        <v>102.39</v>
      </c>
      <c r="I1672" s="7" t="s">
        <v>16815</v>
      </c>
      <c r="J1672" s="7" t="s">
        <v>17119</v>
      </c>
      <c r="K1672" s="7" t="s">
        <v>16910</v>
      </c>
      <c r="L1672" s="201" t="s">
        <v>16835</v>
      </c>
      <c r="M1672" s="199"/>
      <c r="N1672" s="199"/>
    </row>
    <row r="1673">
      <c r="A1673" s="193" t="s">
        <v>18972</v>
      </c>
      <c r="B1673" s="7" t="s">
        <v>17112</v>
      </c>
      <c r="C1673" s="7" t="s">
        <v>16838</v>
      </c>
      <c r="D1673" s="199"/>
      <c r="E1673" s="193"/>
      <c r="F1673" s="195" t="s">
        <v>18973</v>
      </c>
      <c r="G1673" s="200">
        <v>6.671153937E9</v>
      </c>
      <c r="H1673" s="197">
        <v>140.23</v>
      </c>
      <c r="I1673" s="7" t="s">
        <v>16815</v>
      </c>
      <c r="J1673" s="7" t="s">
        <v>17112</v>
      </c>
      <c r="K1673" s="7" t="s">
        <v>16838</v>
      </c>
      <c r="L1673" s="201" t="s">
        <v>16835</v>
      </c>
      <c r="M1673" s="199"/>
      <c r="N1673" s="199"/>
    </row>
    <row r="1674">
      <c r="A1674" s="193" t="s">
        <v>18972</v>
      </c>
      <c r="B1674" s="7" t="s">
        <v>16838</v>
      </c>
      <c r="C1674" s="7" t="s">
        <v>17112</v>
      </c>
      <c r="D1674" s="199"/>
      <c r="E1674" s="193"/>
      <c r="F1674" s="195" t="s">
        <v>18973</v>
      </c>
      <c r="G1674" s="196">
        <v>6.671153937E9</v>
      </c>
      <c r="H1674" s="197">
        <v>140.23</v>
      </c>
      <c r="I1674" s="7" t="s">
        <v>16815</v>
      </c>
      <c r="J1674" s="7" t="s">
        <v>16838</v>
      </c>
      <c r="K1674" s="7" t="s">
        <v>17112</v>
      </c>
      <c r="L1674" s="198" t="s">
        <v>65</v>
      </c>
      <c r="M1674" s="199"/>
      <c r="N1674" s="199"/>
    </row>
    <row r="1675">
      <c r="A1675" s="193" t="s">
        <v>18974</v>
      </c>
      <c r="B1675" s="7" t="s">
        <v>16885</v>
      </c>
      <c r="C1675" s="7" t="s">
        <v>18805</v>
      </c>
      <c r="D1675" s="199"/>
      <c r="E1675" s="193"/>
      <c r="F1675" s="195" t="s">
        <v>18975</v>
      </c>
      <c r="G1675" s="196">
        <v>6.669928301E9</v>
      </c>
      <c r="H1675" s="197">
        <v>61.42</v>
      </c>
      <c r="I1675" s="7" t="s">
        <v>16826</v>
      </c>
      <c r="J1675" s="7" t="s">
        <v>16885</v>
      </c>
      <c r="K1675" s="7" t="s">
        <v>18805</v>
      </c>
      <c r="L1675" s="198" t="s">
        <v>65</v>
      </c>
      <c r="M1675" s="199"/>
      <c r="N1675" s="199"/>
    </row>
    <row r="1676">
      <c r="A1676" s="193" t="s">
        <v>18974</v>
      </c>
      <c r="B1676" s="7" t="s">
        <v>18805</v>
      </c>
      <c r="C1676" s="7" t="s">
        <v>16885</v>
      </c>
      <c r="D1676" s="199"/>
      <c r="E1676" s="193"/>
      <c r="F1676" s="195" t="s">
        <v>18975</v>
      </c>
      <c r="G1676" s="200">
        <v>6.669928301E9</v>
      </c>
      <c r="H1676" s="197">
        <v>61.42</v>
      </c>
      <c r="I1676" s="7" t="s">
        <v>16815</v>
      </c>
      <c r="J1676" s="7" t="s">
        <v>18805</v>
      </c>
      <c r="K1676" s="7" t="s">
        <v>16885</v>
      </c>
      <c r="L1676" s="201" t="s">
        <v>16835</v>
      </c>
      <c r="M1676" s="199"/>
      <c r="N1676" s="199"/>
    </row>
    <row r="1677">
      <c r="A1677" s="193" t="s">
        <v>18976</v>
      </c>
      <c r="B1677" s="7" t="s">
        <v>16885</v>
      </c>
      <c r="C1677" s="7" t="s">
        <v>17726</v>
      </c>
      <c r="D1677" s="199"/>
      <c r="E1677" s="193"/>
      <c r="F1677" s="195" t="s">
        <v>18977</v>
      </c>
      <c r="G1677" s="196">
        <v>6.655747521E9</v>
      </c>
      <c r="H1677" s="197">
        <v>15.9</v>
      </c>
      <c r="I1677" s="7" t="s">
        <v>16888</v>
      </c>
      <c r="J1677" s="7" t="s">
        <v>16885</v>
      </c>
      <c r="K1677" s="7" t="s">
        <v>17726</v>
      </c>
      <c r="L1677" s="198" t="s">
        <v>65</v>
      </c>
      <c r="M1677" s="199"/>
      <c r="N1677" s="199"/>
    </row>
    <row r="1678">
      <c r="A1678" s="193" t="s">
        <v>18976</v>
      </c>
      <c r="B1678" s="7" t="s">
        <v>17726</v>
      </c>
      <c r="C1678" s="7" t="s">
        <v>16885</v>
      </c>
      <c r="D1678" s="199"/>
      <c r="E1678" s="193"/>
      <c r="F1678" s="195" t="s">
        <v>18977</v>
      </c>
      <c r="G1678" s="200">
        <v>6.655747521E9</v>
      </c>
      <c r="H1678" s="197">
        <v>15.9</v>
      </c>
      <c r="I1678" s="7" t="s">
        <v>16815</v>
      </c>
      <c r="J1678" s="7" t="s">
        <v>17726</v>
      </c>
      <c r="K1678" s="7" t="s">
        <v>16885</v>
      </c>
      <c r="L1678" s="201" t="s">
        <v>16835</v>
      </c>
      <c r="M1678" s="199"/>
      <c r="N1678" s="199"/>
    </row>
    <row r="1679">
      <c r="A1679" s="193" t="s">
        <v>18978</v>
      </c>
      <c r="B1679" s="7" t="s">
        <v>16838</v>
      </c>
      <c r="C1679" s="7" t="s">
        <v>17838</v>
      </c>
      <c r="D1679" s="199"/>
      <c r="E1679" s="193"/>
      <c r="F1679" s="195" t="s">
        <v>18979</v>
      </c>
      <c r="G1679" s="196">
        <v>6.653674456E9</v>
      </c>
      <c r="H1679" s="197">
        <v>6.94</v>
      </c>
      <c r="I1679" s="7" t="s">
        <v>16815</v>
      </c>
      <c r="J1679" s="7" t="s">
        <v>16838</v>
      </c>
      <c r="K1679" s="7" t="s">
        <v>17838</v>
      </c>
      <c r="L1679" s="198" t="s">
        <v>65</v>
      </c>
      <c r="M1679" s="199"/>
      <c r="N1679" s="199"/>
    </row>
    <row r="1680">
      <c r="A1680" s="193" t="s">
        <v>18980</v>
      </c>
      <c r="B1680" s="7" t="s">
        <v>187</v>
      </c>
      <c r="C1680" s="7" t="s">
        <v>16846</v>
      </c>
      <c r="D1680" s="199"/>
      <c r="E1680" s="193"/>
      <c r="F1680" s="195" t="s">
        <v>18981</v>
      </c>
      <c r="G1680" s="196">
        <v>6.651367437E9</v>
      </c>
      <c r="H1680" s="197">
        <v>46.36</v>
      </c>
      <c r="I1680" s="7" t="s">
        <v>16815</v>
      </c>
      <c r="J1680" s="7" t="s">
        <v>187</v>
      </c>
      <c r="K1680" s="7" t="s">
        <v>16846</v>
      </c>
      <c r="L1680" s="198" t="s">
        <v>65</v>
      </c>
      <c r="M1680" s="199"/>
      <c r="N1680" s="199"/>
    </row>
    <row r="1681">
      <c r="A1681" s="193" t="s">
        <v>18982</v>
      </c>
      <c r="B1681" s="7" t="s">
        <v>16582</v>
      </c>
      <c r="C1681" s="7" t="s">
        <v>16828</v>
      </c>
      <c r="D1681" s="199"/>
      <c r="E1681" s="193"/>
      <c r="F1681" s="195" t="s">
        <v>18983</v>
      </c>
      <c r="G1681" s="196">
        <v>6.650869326E9</v>
      </c>
      <c r="H1681" s="197">
        <v>135.55</v>
      </c>
      <c r="I1681" s="7" t="s">
        <v>16815</v>
      </c>
      <c r="J1681" s="7" t="s">
        <v>16582</v>
      </c>
      <c r="K1681" s="7" t="s">
        <v>16828</v>
      </c>
      <c r="L1681" s="198" t="s">
        <v>65</v>
      </c>
      <c r="M1681" s="199"/>
      <c r="N1681" s="199"/>
    </row>
    <row r="1682">
      <c r="A1682" s="193" t="s">
        <v>18982</v>
      </c>
      <c r="B1682" s="7" t="s">
        <v>16828</v>
      </c>
      <c r="C1682" s="7" t="s">
        <v>16582</v>
      </c>
      <c r="D1682" s="199"/>
      <c r="E1682" s="193"/>
      <c r="F1682" s="195" t="s">
        <v>18983</v>
      </c>
      <c r="G1682" s="200">
        <v>6.650869326E9</v>
      </c>
      <c r="H1682" s="197">
        <v>135.55</v>
      </c>
      <c r="I1682" s="7" t="s">
        <v>16815</v>
      </c>
      <c r="J1682" s="7" t="s">
        <v>16828</v>
      </c>
      <c r="K1682" s="7" t="s">
        <v>16582</v>
      </c>
      <c r="L1682" s="201" t="s">
        <v>16835</v>
      </c>
      <c r="M1682" s="199"/>
      <c r="N1682" s="199"/>
    </row>
    <row r="1683">
      <c r="A1683" s="193" t="s">
        <v>18984</v>
      </c>
      <c r="B1683" s="7" t="s">
        <v>17321</v>
      </c>
      <c r="C1683" s="7" t="s">
        <v>169</v>
      </c>
      <c r="D1683" s="194">
        <v>2022.0</v>
      </c>
      <c r="E1683" s="193"/>
      <c r="F1683" s="195" t="s">
        <v>18985</v>
      </c>
      <c r="G1683" s="200">
        <v>6.645713479E9</v>
      </c>
      <c r="H1683" s="197">
        <v>228.72</v>
      </c>
      <c r="I1683" s="7" t="s">
        <v>16815</v>
      </c>
      <c r="J1683" s="7" t="s">
        <v>17321</v>
      </c>
      <c r="K1683" s="7" t="s">
        <v>169</v>
      </c>
      <c r="L1683" s="201" t="s">
        <v>16835</v>
      </c>
      <c r="M1683" s="194"/>
      <c r="N1683" s="194"/>
    </row>
    <row r="1684">
      <c r="A1684" s="193" t="s">
        <v>18984</v>
      </c>
      <c r="B1684" s="7" t="s">
        <v>169</v>
      </c>
      <c r="C1684" s="7" t="s">
        <v>17321</v>
      </c>
      <c r="D1684" s="194">
        <v>2022.0</v>
      </c>
      <c r="E1684" s="193"/>
      <c r="F1684" s="195" t="s">
        <v>18985</v>
      </c>
      <c r="G1684" s="196">
        <v>6.645713479E9</v>
      </c>
      <c r="H1684" s="197">
        <v>228.72</v>
      </c>
      <c r="I1684" s="7" t="s">
        <v>16815</v>
      </c>
      <c r="J1684" s="7" t="s">
        <v>169</v>
      </c>
      <c r="K1684" s="7" t="s">
        <v>17321</v>
      </c>
      <c r="L1684" s="198" t="s">
        <v>65</v>
      </c>
      <c r="M1684" s="194"/>
      <c r="N1684" s="194"/>
    </row>
    <row r="1685">
      <c r="A1685" s="193" t="s">
        <v>18986</v>
      </c>
      <c r="B1685" s="7" t="s">
        <v>16919</v>
      </c>
      <c r="C1685" s="7" t="s">
        <v>17176</v>
      </c>
      <c r="D1685" s="194">
        <v>2018.0</v>
      </c>
      <c r="E1685" s="193"/>
      <c r="F1685" s="195" t="s">
        <v>18987</v>
      </c>
      <c r="G1685" s="196">
        <v>6.640305374E9</v>
      </c>
      <c r="H1685" s="197">
        <v>22.7592</v>
      </c>
      <c r="I1685" s="7" t="s">
        <v>16815</v>
      </c>
      <c r="J1685" s="7" t="s">
        <v>16919</v>
      </c>
      <c r="K1685" s="7" t="s">
        <v>17176</v>
      </c>
      <c r="L1685" s="198" t="s">
        <v>65</v>
      </c>
      <c r="M1685" s="194"/>
      <c r="N1685" s="194"/>
    </row>
    <row r="1686">
      <c r="A1686" s="193" t="s">
        <v>18986</v>
      </c>
      <c r="B1686" s="7" t="s">
        <v>17176</v>
      </c>
      <c r="C1686" s="7" t="s">
        <v>16919</v>
      </c>
      <c r="D1686" s="194">
        <v>2018.0</v>
      </c>
      <c r="E1686" s="193"/>
      <c r="F1686" s="195" t="s">
        <v>18987</v>
      </c>
      <c r="G1686" s="200">
        <v>6.640305374E9</v>
      </c>
      <c r="H1686" s="197">
        <v>22.7592</v>
      </c>
      <c r="I1686" s="7" t="s">
        <v>16815</v>
      </c>
      <c r="J1686" s="7" t="s">
        <v>17176</v>
      </c>
      <c r="K1686" s="7" t="s">
        <v>16919</v>
      </c>
      <c r="L1686" s="201" t="s">
        <v>16835</v>
      </c>
      <c r="M1686" s="194"/>
      <c r="N1686" s="194"/>
    </row>
    <row r="1687">
      <c r="A1687" s="193" t="s">
        <v>18988</v>
      </c>
      <c r="B1687" s="7" t="s">
        <v>158</v>
      </c>
      <c r="C1687" s="7" t="s">
        <v>16864</v>
      </c>
      <c r="D1687" s="199"/>
      <c r="E1687" s="193"/>
      <c r="F1687" s="195" t="s">
        <v>18989</v>
      </c>
      <c r="G1687" s="196">
        <v>6.633076675E9</v>
      </c>
      <c r="H1687" s="197">
        <v>42.94</v>
      </c>
      <c r="I1687" s="7" t="s">
        <v>17098</v>
      </c>
      <c r="J1687" s="7" t="s">
        <v>158</v>
      </c>
      <c r="K1687" s="7" t="s">
        <v>16864</v>
      </c>
      <c r="L1687" s="198" t="s">
        <v>65</v>
      </c>
      <c r="M1687" s="199"/>
      <c r="N1687" s="199"/>
    </row>
    <row r="1688">
      <c r="A1688" s="193" t="s">
        <v>18988</v>
      </c>
      <c r="B1688" s="7" t="s">
        <v>16864</v>
      </c>
      <c r="C1688" s="7" t="s">
        <v>158</v>
      </c>
      <c r="D1688" s="199"/>
      <c r="E1688" s="193"/>
      <c r="F1688" s="195" t="s">
        <v>18989</v>
      </c>
      <c r="G1688" s="200">
        <v>6.633076675E9</v>
      </c>
      <c r="H1688" s="197">
        <v>42.94</v>
      </c>
      <c r="I1688" s="7" t="s">
        <v>16815</v>
      </c>
      <c r="J1688" s="7" t="s">
        <v>16864</v>
      </c>
      <c r="K1688" s="7" t="s">
        <v>158</v>
      </c>
      <c r="L1688" s="201" t="s">
        <v>16835</v>
      </c>
      <c r="M1688" s="199"/>
      <c r="N1688" s="199"/>
    </row>
    <row r="1689">
      <c r="A1689" s="193" t="s">
        <v>18990</v>
      </c>
      <c r="B1689" s="7" t="s">
        <v>16926</v>
      </c>
      <c r="C1689" s="7" t="s">
        <v>16960</v>
      </c>
      <c r="D1689" s="199"/>
      <c r="E1689" s="193"/>
      <c r="F1689" s="195" t="s">
        <v>18991</v>
      </c>
      <c r="G1689" s="196">
        <v>6.631526963E9</v>
      </c>
      <c r="H1689" s="197">
        <v>16.78</v>
      </c>
      <c r="I1689" s="7" t="s">
        <v>16815</v>
      </c>
      <c r="J1689" s="7" t="s">
        <v>16926</v>
      </c>
      <c r="K1689" s="7" t="s">
        <v>16960</v>
      </c>
      <c r="L1689" s="198" t="s">
        <v>65</v>
      </c>
      <c r="M1689" s="199"/>
      <c r="N1689" s="199"/>
    </row>
    <row r="1690">
      <c r="A1690" s="193" t="s">
        <v>18992</v>
      </c>
      <c r="B1690" s="7" t="s">
        <v>175</v>
      </c>
      <c r="C1690" s="7" t="s">
        <v>17475</v>
      </c>
      <c r="D1690" s="199"/>
      <c r="E1690" s="193"/>
      <c r="F1690" s="195" t="s">
        <v>12369</v>
      </c>
      <c r="G1690" s="196">
        <v>6.626044527E9</v>
      </c>
      <c r="H1690" s="197">
        <v>21.65</v>
      </c>
      <c r="I1690" s="193" t="s">
        <v>16908</v>
      </c>
      <c r="J1690" s="7" t="s">
        <v>175</v>
      </c>
      <c r="K1690" s="7" t="s">
        <v>17475</v>
      </c>
      <c r="L1690" s="198" t="s">
        <v>65</v>
      </c>
      <c r="M1690" s="199"/>
      <c r="N1690" s="199"/>
    </row>
    <row r="1691">
      <c r="A1691" s="193" t="s">
        <v>18992</v>
      </c>
      <c r="B1691" s="7" t="s">
        <v>17475</v>
      </c>
      <c r="C1691" s="7" t="s">
        <v>175</v>
      </c>
      <c r="D1691" s="199"/>
      <c r="E1691" s="193"/>
      <c r="F1691" s="195" t="s">
        <v>12369</v>
      </c>
      <c r="G1691" s="200">
        <v>6.626044527E9</v>
      </c>
      <c r="H1691" s="197">
        <v>21.65</v>
      </c>
      <c r="I1691" s="7" t="s">
        <v>16815</v>
      </c>
      <c r="J1691" s="7" t="s">
        <v>17475</v>
      </c>
      <c r="K1691" s="7" t="s">
        <v>175</v>
      </c>
      <c r="L1691" s="201" t="s">
        <v>16835</v>
      </c>
      <c r="M1691" s="199"/>
      <c r="N1691" s="199"/>
    </row>
    <row r="1692">
      <c r="A1692" s="193" t="s">
        <v>18993</v>
      </c>
      <c r="D1692" s="199"/>
      <c r="E1692" s="193"/>
      <c r="F1692" s="195" t="s">
        <v>18994</v>
      </c>
      <c r="G1692" s="196">
        <v>6.617059439E9</v>
      </c>
      <c r="H1692" s="197">
        <v>77.76</v>
      </c>
      <c r="I1692" s="7" t="s">
        <v>16815</v>
      </c>
      <c r="L1692" s="198" t="s">
        <v>65</v>
      </c>
      <c r="M1692" s="199"/>
      <c r="N1692" s="199"/>
    </row>
    <row r="1693">
      <c r="A1693" s="193" t="s">
        <v>18995</v>
      </c>
      <c r="B1693" s="7" t="s">
        <v>175</v>
      </c>
      <c r="C1693" s="7" t="s">
        <v>17757</v>
      </c>
      <c r="D1693" s="194">
        <v>2020.0</v>
      </c>
      <c r="E1693" s="193"/>
      <c r="F1693" s="195" t="s">
        <v>18996</v>
      </c>
      <c r="G1693" s="196">
        <v>6.616857085E9</v>
      </c>
      <c r="H1693" s="197">
        <v>28.09</v>
      </c>
      <c r="I1693" s="7" t="s">
        <v>16826</v>
      </c>
      <c r="J1693" s="7" t="s">
        <v>175</v>
      </c>
      <c r="K1693" s="7" t="s">
        <v>17757</v>
      </c>
      <c r="L1693" s="198" t="s">
        <v>65</v>
      </c>
      <c r="M1693" s="194"/>
      <c r="N1693" s="194"/>
    </row>
    <row r="1694">
      <c r="A1694" s="193" t="s">
        <v>18995</v>
      </c>
      <c r="B1694" s="7" t="s">
        <v>17757</v>
      </c>
      <c r="C1694" s="7" t="s">
        <v>175</v>
      </c>
      <c r="D1694" s="194">
        <v>2020.0</v>
      </c>
      <c r="E1694" s="193"/>
      <c r="F1694" s="195" t="s">
        <v>18996</v>
      </c>
      <c r="G1694" s="200">
        <v>6.616857085E9</v>
      </c>
      <c r="H1694" s="197">
        <v>28.09</v>
      </c>
      <c r="I1694" s="7" t="s">
        <v>16815</v>
      </c>
      <c r="J1694" s="7" t="s">
        <v>17757</v>
      </c>
      <c r="K1694" s="7" t="s">
        <v>175</v>
      </c>
      <c r="L1694" s="201" t="s">
        <v>16835</v>
      </c>
      <c r="M1694" s="194"/>
      <c r="N1694" s="194"/>
    </row>
    <row r="1695">
      <c r="A1695" s="193" t="s">
        <v>18997</v>
      </c>
      <c r="B1695" s="7" t="s">
        <v>16838</v>
      </c>
      <c r="C1695" s="7" t="s">
        <v>16867</v>
      </c>
      <c r="D1695" s="199"/>
      <c r="E1695" s="193"/>
      <c r="F1695" s="195" t="s">
        <v>18998</v>
      </c>
      <c r="G1695" s="196">
        <v>6.6132346E9</v>
      </c>
      <c r="H1695" s="197">
        <v>22.6</v>
      </c>
      <c r="I1695" s="7" t="s">
        <v>16815</v>
      </c>
      <c r="J1695" s="7" t="s">
        <v>16838</v>
      </c>
      <c r="K1695" s="7" t="s">
        <v>16867</v>
      </c>
      <c r="L1695" s="198" t="s">
        <v>65</v>
      </c>
      <c r="M1695" s="199"/>
      <c r="N1695" s="199"/>
    </row>
    <row r="1696">
      <c r="A1696" s="193" t="s">
        <v>18999</v>
      </c>
      <c r="B1696" s="7" t="s">
        <v>175</v>
      </c>
      <c r="C1696" s="7" t="s">
        <v>16842</v>
      </c>
      <c r="D1696" s="194">
        <v>2020.0</v>
      </c>
      <c r="E1696" s="193"/>
      <c r="F1696" s="195" t="s">
        <v>19000</v>
      </c>
      <c r="G1696" s="196">
        <v>6.586954584E9</v>
      </c>
      <c r="H1696" s="197">
        <v>15.26</v>
      </c>
      <c r="I1696" s="7" t="s">
        <v>16856</v>
      </c>
      <c r="J1696" s="7" t="s">
        <v>175</v>
      </c>
      <c r="K1696" s="7" t="s">
        <v>16842</v>
      </c>
      <c r="L1696" s="198" t="s">
        <v>65</v>
      </c>
      <c r="M1696" s="194"/>
      <c r="N1696" s="194"/>
    </row>
    <row r="1697">
      <c r="A1697" s="193" t="s">
        <v>18999</v>
      </c>
      <c r="B1697" s="7" t="s">
        <v>16842</v>
      </c>
      <c r="C1697" s="7" t="s">
        <v>175</v>
      </c>
      <c r="D1697" s="194">
        <v>2020.0</v>
      </c>
      <c r="E1697" s="193"/>
      <c r="F1697" s="195" t="s">
        <v>19000</v>
      </c>
      <c r="G1697" s="200">
        <v>6.586954584E9</v>
      </c>
      <c r="H1697" s="197">
        <v>15.26</v>
      </c>
      <c r="I1697" s="7" t="s">
        <v>16815</v>
      </c>
      <c r="J1697" s="7" t="s">
        <v>16842</v>
      </c>
      <c r="K1697" s="7" t="s">
        <v>175</v>
      </c>
      <c r="L1697" s="201" t="s">
        <v>16835</v>
      </c>
      <c r="M1697" s="194"/>
      <c r="N1697" s="194"/>
    </row>
    <row r="1698">
      <c r="A1698" s="193" t="s">
        <v>19001</v>
      </c>
      <c r="B1698" s="7" t="s">
        <v>16582</v>
      </c>
      <c r="C1698" s="7" t="s">
        <v>16930</v>
      </c>
      <c r="D1698" s="194">
        <v>2019.0</v>
      </c>
      <c r="E1698" s="193"/>
      <c r="F1698" s="195" t="s">
        <v>19002</v>
      </c>
      <c r="G1698" s="196">
        <v>6.566047456E9</v>
      </c>
      <c r="H1698" s="197">
        <v>62.6</v>
      </c>
      <c r="I1698" s="7" t="s">
        <v>16815</v>
      </c>
      <c r="J1698" s="7" t="s">
        <v>16582</v>
      </c>
      <c r="K1698" s="7" t="s">
        <v>16930</v>
      </c>
      <c r="L1698" s="198" t="s">
        <v>65</v>
      </c>
      <c r="M1698" s="194"/>
      <c r="N1698" s="194"/>
    </row>
    <row r="1699">
      <c r="A1699" s="193" t="s">
        <v>19001</v>
      </c>
      <c r="B1699" s="7" t="s">
        <v>16930</v>
      </c>
      <c r="C1699" s="7" t="s">
        <v>16582</v>
      </c>
      <c r="D1699" s="194">
        <v>2019.0</v>
      </c>
      <c r="E1699" s="193"/>
      <c r="F1699" s="195" t="s">
        <v>19002</v>
      </c>
      <c r="G1699" s="200">
        <v>6.566047456E9</v>
      </c>
      <c r="H1699" s="197">
        <v>62.6</v>
      </c>
      <c r="I1699" s="7" t="s">
        <v>16815</v>
      </c>
      <c r="J1699" s="7" t="s">
        <v>16930</v>
      </c>
      <c r="K1699" s="7" t="s">
        <v>16582</v>
      </c>
      <c r="L1699" s="201" t="s">
        <v>16835</v>
      </c>
      <c r="M1699" s="194"/>
      <c r="N1699" s="194"/>
    </row>
    <row r="1700">
      <c r="A1700" s="193" t="s">
        <v>19003</v>
      </c>
      <c r="B1700" s="7" t="s">
        <v>175</v>
      </c>
      <c r="C1700" s="7" t="s">
        <v>17673</v>
      </c>
      <c r="D1700" s="194">
        <v>2014.0</v>
      </c>
      <c r="E1700" s="193"/>
      <c r="F1700" s="195" t="s">
        <v>19004</v>
      </c>
      <c r="G1700" s="196">
        <v>6.551872071E9</v>
      </c>
      <c r="H1700" s="197">
        <v>29.77</v>
      </c>
      <c r="I1700" s="7" t="s">
        <v>174</v>
      </c>
      <c r="J1700" s="7" t="s">
        <v>175</v>
      </c>
      <c r="K1700" s="7" t="s">
        <v>17673</v>
      </c>
      <c r="L1700" s="198" t="s">
        <v>65</v>
      </c>
      <c r="M1700" s="194"/>
      <c r="N1700" s="194"/>
    </row>
    <row r="1701">
      <c r="A1701" s="193" t="s">
        <v>19003</v>
      </c>
      <c r="B1701" s="7" t="s">
        <v>17673</v>
      </c>
      <c r="C1701" s="7" t="s">
        <v>175</v>
      </c>
      <c r="D1701" s="194">
        <v>2014.0</v>
      </c>
      <c r="E1701" s="193"/>
      <c r="F1701" s="195" t="s">
        <v>19004</v>
      </c>
      <c r="G1701" s="200">
        <v>6.551872071E9</v>
      </c>
      <c r="H1701" s="197">
        <v>29.77</v>
      </c>
      <c r="I1701" s="7" t="s">
        <v>16815</v>
      </c>
      <c r="J1701" s="7" t="s">
        <v>17673</v>
      </c>
      <c r="K1701" s="7" t="s">
        <v>175</v>
      </c>
      <c r="L1701" s="201" t="s">
        <v>16835</v>
      </c>
      <c r="M1701" s="194"/>
      <c r="N1701" s="194"/>
    </row>
    <row r="1702">
      <c r="A1702" s="193" t="s">
        <v>19005</v>
      </c>
      <c r="B1702" s="7" t="s">
        <v>175</v>
      </c>
      <c r="C1702" s="7" t="s">
        <v>19006</v>
      </c>
      <c r="D1702" s="199"/>
      <c r="E1702" s="193"/>
      <c r="F1702" s="195" t="s">
        <v>19007</v>
      </c>
      <c r="G1702" s="196">
        <v>6.548039189E9</v>
      </c>
      <c r="H1702" s="197">
        <v>18.49</v>
      </c>
      <c r="I1702" s="7" t="s">
        <v>168</v>
      </c>
      <c r="J1702" s="7" t="s">
        <v>175</v>
      </c>
      <c r="K1702" s="7" t="s">
        <v>19006</v>
      </c>
      <c r="L1702" s="198" t="s">
        <v>65</v>
      </c>
      <c r="M1702" s="199"/>
      <c r="N1702" s="199"/>
    </row>
    <row r="1703">
      <c r="A1703" s="193" t="s">
        <v>19008</v>
      </c>
      <c r="D1703" s="194">
        <v>2023.0</v>
      </c>
      <c r="E1703" s="193"/>
      <c r="F1703" s="195" t="s">
        <v>19009</v>
      </c>
      <c r="G1703" s="196">
        <v>6.544883489E9</v>
      </c>
      <c r="H1703" s="197">
        <v>25.3</v>
      </c>
      <c r="I1703" s="7" t="s">
        <v>16815</v>
      </c>
      <c r="L1703" s="198" t="s">
        <v>65</v>
      </c>
      <c r="M1703" s="194"/>
      <c r="N1703" s="194"/>
    </row>
    <row r="1704">
      <c r="A1704" s="193" t="s">
        <v>19008</v>
      </c>
      <c r="D1704" s="194">
        <v>2023.0</v>
      </c>
      <c r="E1704" s="193"/>
      <c r="F1704" s="195" t="s">
        <v>19009</v>
      </c>
      <c r="G1704" s="200">
        <v>6.544883489E9</v>
      </c>
      <c r="H1704" s="197">
        <v>25.3</v>
      </c>
      <c r="L1704" s="201" t="s">
        <v>16835</v>
      </c>
      <c r="M1704" s="194"/>
      <c r="N1704" s="194"/>
    </row>
    <row r="1705">
      <c r="A1705" s="193" t="s">
        <v>19010</v>
      </c>
      <c r="B1705" s="7" t="s">
        <v>175</v>
      </c>
      <c r="C1705" s="7" t="s">
        <v>17022</v>
      </c>
      <c r="D1705" s="199"/>
      <c r="E1705" s="193"/>
      <c r="F1705" s="195" t="s">
        <v>19011</v>
      </c>
      <c r="G1705" s="196">
        <v>6.5442E9</v>
      </c>
      <c r="H1705" s="197">
        <v>218.14</v>
      </c>
      <c r="I1705" s="7" t="s">
        <v>174</v>
      </c>
      <c r="J1705" s="7" t="s">
        <v>175</v>
      </c>
      <c r="K1705" s="7" t="s">
        <v>17022</v>
      </c>
      <c r="L1705" s="198" t="s">
        <v>65</v>
      </c>
      <c r="M1705" s="199"/>
      <c r="N1705" s="199"/>
    </row>
    <row r="1706">
      <c r="A1706" s="193" t="s">
        <v>19010</v>
      </c>
      <c r="B1706" s="7" t="s">
        <v>17022</v>
      </c>
      <c r="C1706" s="7" t="s">
        <v>175</v>
      </c>
      <c r="D1706" s="199"/>
      <c r="E1706" s="193"/>
      <c r="F1706" s="195" t="s">
        <v>19011</v>
      </c>
      <c r="G1706" s="200">
        <v>6.5442E9</v>
      </c>
      <c r="H1706" s="197">
        <v>218.14</v>
      </c>
      <c r="I1706" s="7" t="s">
        <v>16815</v>
      </c>
      <c r="J1706" s="7" t="s">
        <v>17022</v>
      </c>
      <c r="K1706" s="7" t="s">
        <v>175</v>
      </c>
      <c r="L1706" s="201" t="s">
        <v>16835</v>
      </c>
      <c r="M1706" s="199"/>
      <c r="N1706" s="199"/>
    </row>
    <row r="1707">
      <c r="A1707" s="193" t="s">
        <v>19012</v>
      </c>
      <c r="B1707" s="7" t="s">
        <v>187</v>
      </c>
      <c r="C1707" s="7" t="s">
        <v>16858</v>
      </c>
      <c r="D1707" s="194">
        <v>2000.0</v>
      </c>
      <c r="E1707" s="193"/>
      <c r="F1707" s="195" t="s">
        <v>19013</v>
      </c>
      <c r="G1707" s="196">
        <v>6.530456373E9</v>
      </c>
      <c r="H1707" s="197">
        <v>21.0</v>
      </c>
      <c r="I1707" s="7" t="s">
        <v>16815</v>
      </c>
      <c r="J1707" s="7" t="s">
        <v>187</v>
      </c>
      <c r="K1707" s="7" t="s">
        <v>16858</v>
      </c>
      <c r="L1707" s="198" t="s">
        <v>65</v>
      </c>
      <c r="M1707" s="194"/>
      <c r="N1707" s="194"/>
    </row>
    <row r="1708">
      <c r="A1708" s="193" t="s">
        <v>19014</v>
      </c>
      <c r="B1708" s="7" t="s">
        <v>16582</v>
      </c>
      <c r="C1708" s="7" t="s">
        <v>17183</v>
      </c>
      <c r="D1708" s="199"/>
      <c r="E1708" s="193"/>
      <c r="F1708" s="195" t="s">
        <v>19015</v>
      </c>
      <c r="G1708" s="196">
        <v>6.528373955E9</v>
      </c>
      <c r="H1708" s="197">
        <v>120.54</v>
      </c>
      <c r="I1708" s="7" t="s">
        <v>16815</v>
      </c>
      <c r="J1708" s="7" t="s">
        <v>16582</v>
      </c>
      <c r="K1708" s="7" t="s">
        <v>17183</v>
      </c>
      <c r="L1708" s="198" t="s">
        <v>65</v>
      </c>
      <c r="M1708" s="199"/>
      <c r="N1708" s="199"/>
    </row>
    <row r="1709">
      <c r="A1709" s="193" t="s">
        <v>19014</v>
      </c>
      <c r="B1709" s="7" t="s">
        <v>17183</v>
      </c>
      <c r="C1709" s="7" t="s">
        <v>16582</v>
      </c>
      <c r="D1709" s="199"/>
      <c r="E1709" s="193"/>
      <c r="F1709" s="195" t="s">
        <v>19015</v>
      </c>
      <c r="G1709" s="200">
        <v>6.528373955E9</v>
      </c>
      <c r="H1709" s="197">
        <v>120.54</v>
      </c>
      <c r="I1709" s="7" t="s">
        <v>16815</v>
      </c>
      <c r="J1709" s="7" t="s">
        <v>17183</v>
      </c>
      <c r="K1709" s="7" t="s">
        <v>16582</v>
      </c>
      <c r="L1709" s="201" t="s">
        <v>16835</v>
      </c>
      <c r="M1709" s="199"/>
      <c r="N1709" s="199"/>
    </row>
    <row r="1710">
      <c r="A1710" s="193" t="s">
        <v>19016</v>
      </c>
      <c r="B1710" s="7" t="s">
        <v>16919</v>
      </c>
      <c r="C1710" s="7" t="s">
        <v>16957</v>
      </c>
      <c r="D1710" s="194">
        <v>1997.0</v>
      </c>
      <c r="E1710" s="193"/>
      <c r="F1710" s="195" t="s">
        <v>19017</v>
      </c>
      <c r="G1710" s="196">
        <v>6.524283126E9</v>
      </c>
      <c r="H1710" s="197">
        <v>44.13</v>
      </c>
      <c r="I1710" s="7" t="s">
        <v>16815</v>
      </c>
      <c r="J1710" s="7" t="s">
        <v>16919</v>
      </c>
      <c r="K1710" s="7" t="s">
        <v>16957</v>
      </c>
      <c r="L1710" s="198" t="s">
        <v>65</v>
      </c>
      <c r="M1710" s="194"/>
      <c r="N1710" s="194"/>
    </row>
    <row r="1711">
      <c r="A1711" s="193" t="s">
        <v>19016</v>
      </c>
      <c r="B1711" s="7" t="s">
        <v>16957</v>
      </c>
      <c r="C1711" s="7" t="s">
        <v>16919</v>
      </c>
      <c r="D1711" s="194">
        <v>1997.0</v>
      </c>
      <c r="E1711" s="193"/>
      <c r="F1711" s="195" t="s">
        <v>19017</v>
      </c>
      <c r="G1711" s="200">
        <v>6.524283126E9</v>
      </c>
      <c r="H1711" s="197">
        <v>44.13</v>
      </c>
      <c r="I1711" s="7" t="s">
        <v>16815</v>
      </c>
      <c r="J1711" s="7" t="s">
        <v>16957</v>
      </c>
      <c r="K1711" s="7" t="s">
        <v>16919</v>
      </c>
      <c r="L1711" s="201" t="s">
        <v>16835</v>
      </c>
      <c r="M1711" s="194"/>
      <c r="N1711" s="194"/>
    </row>
    <row r="1712">
      <c r="A1712" s="193" t="s">
        <v>19018</v>
      </c>
      <c r="B1712" s="7" t="s">
        <v>16838</v>
      </c>
      <c r="C1712" s="7" t="s">
        <v>17002</v>
      </c>
      <c r="D1712" s="199"/>
      <c r="E1712" s="193"/>
      <c r="F1712" s="195" t="s">
        <v>19019</v>
      </c>
      <c r="G1712" s="196">
        <v>6.52118706E9</v>
      </c>
      <c r="H1712" s="197">
        <v>27.12</v>
      </c>
      <c r="I1712" s="7" t="s">
        <v>16815</v>
      </c>
      <c r="J1712" s="7" t="s">
        <v>16838</v>
      </c>
      <c r="K1712" s="7" t="s">
        <v>17002</v>
      </c>
      <c r="L1712" s="198" t="s">
        <v>65</v>
      </c>
      <c r="M1712" s="199"/>
      <c r="N1712" s="199"/>
    </row>
    <row r="1713">
      <c r="A1713" s="193" t="s">
        <v>19018</v>
      </c>
      <c r="B1713" s="7" t="s">
        <v>17002</v>
      </c>
      <c r="C1713" s="7" t="s">
        <v>16838</v>
      </c>
      <c r="D1713" s="199"/>
      <c r="E1713" s="193"/>
      <c r="F1713" s="195" t="s">
        <v>19019</v>
      </c>
      <c r="G1713" s="200">
        <v>6.52118706E9</v>
      </c>
      <c r="H1713" s="197">
        <v>27.12</v>
      </c>
      <c r="I1713" s="7" t="s">
        <v>16815</v>
      </c>
      <c r="J1713" s="7" t="s">
        <v>17002</v>
      </c>
      <c r="K1713" s="7" t="s">
        <v>16838</v>
      </c>
      <c r="L1713" s="201" t="s">
        <v>16835</v>
      </c>
      <c r="M1713" s="199"/>
      <c r="N1713" s="199"/>
    </row>
    <row r="1714">
      <c r="A1714" s="193" t="s">
        <v>19020</v>
      </c>
      <c r="B1714" s="7" t="s">
        <v>16582</v>
      </c>
      <c r="C1714" s="7" t="s">
        <v>17342</v>
      </c>
      <c r="D1714" s="199"/>
      <c r="E1714" s="193"/>
      <c r="F1714" s="195" t="s">
        <v>19021</v>
      </c>
      <c r="G1714" s="196">
        <v>6.497563474E9</v>
      </c>
      <c r="H1714" s="197">
        <v>107.49</v>
      </c>
      <c r="I1714" s="7" t="s">
        <v>16815</v>
      </c>
      <c r="J1714" s="7" t="s">
        <v>16582</v>
      </c>
      <c r="K1714" s="7" t="s">
        <v>17342</v>
      </c>
      <c r="L1714" s="198" t="s">
        <v>65</v>
      </c>
      <c r="M1714" s="199"/>
      <c r="N1714" s="199"/>
    </row>
    <row r="1715">
      <c r="A1715" s="193" t="s">
        <v>19020</v>
      </c>
      <c r="B1715" s="7" t="s">
        <v>17342</v>
      </c>
      <c r="C1715" s="7" t="s">
        <v>16582</v>
      </c>
      <c r="D1715" s="199"/>
      <c r="E1715" s="193"/>
      <c r="F1715" s="195" t="s">
        <v>19021</v>
      </c>
      <c r="G1715" s="200">
        <v>6.497563474E9</v>
      </c>
      <c r="H1715" s="197">
        <v>107.49</v>
      </c>
      <c r="I1715" s="7" t="s">
        <v>16815</v>
      </c>
      <c r="J1715" s="7" t="s">
        <v>17342</v>
      </c>
      <c r="K1715" s="7" t="s">
        <v>16582</v>
      </c>
      <c r="L1715" s="201" t="s">
        <v>16835</v>
      </c>
      <c r="M1715" s="199"/>
      <c r="N1715" s="199"/>
    </row>
    <row r="1716">
      <c r="A1716" s="193" t="s">
        <v>19022</v>
      </c>
      <c r="B1716" s="7" t="s">
        <v>175</v>
      </c>
      <c r="C1716" s="7" t="s">
        <v>17218</v>
      </c>
      <c r="D1716" s="199"/>
      <c r="E1716" s="193"/>
      <c r="F1716" s="195" t="s">
        <v>19023</v>
      </c>
      <c r="G1716" s="196">
        <v>6.472580847E9</v>
      </c>
      <c r="H1716" s="197">
        <v>44.97</v>
      </c>
      <c r="I1716" s="7" t="s">
        <v>16892</v>
      </c>
      <c r="J1716" s="7" t="s">
        <v>175</v>
      </c>
      <c r="K1716" s="7" t="s">
        <v>17218</v>
      </c>
      <c r="L1716" s="198" t="s">
        <v>65</v>
      </c>
      <c r="M1716" s="199"/>
      <c r="N1716" s="199"/>
    </row>
    <row r="1717">
      <c r="A1717" s="193" t="s">
        <v>19022</v>
      </c>
      <c r="B1717" s="7" t="s">
        <v>17218</v>
      </c>
      <c r="C1717" s="7" t="s">
        <v>175</v>
      </c>
      <c r="D1717" s="199"/>
      <c r="E1717" s="193"/>
      <c r="F1717" s="195" t="s">
        <v>19023</v>
      </c>
      <c r="G1717" s="200">
        <v>6.472580847E9</v>
      </c>
      <c r="H1717" s="197">
        <v>44.97</v>
      </c>
      <c r="I1717" s="7" t="s">
        <v>16815</v>
      </c>
      <c r="J1717" s="7" t="s">
        <v>17218</v>
      </c>
      <c r="K1717" s="7" t="s">
        <v>175</v>
      </c>
      <c r="L1717" s="201" t="s">
        <v>16835</v>
      </c>
      <c r="M1717" s="199"/>
      <c r="N1717" s="199"/>
    </row>
    <row r="1718">
      <c r="A1718" s="193" t="s">
        <v>19024</v>
      </c>
      <c r="B1718" s="7" t="s">
        <v>175</v>
      </c>
      <c r="C1718" s="7" t="s">
        <v>18570</v>
      </c>
      <c r="D1718" s="194">
        <v>2003.0</v>
      </c>
      <c r="E1718" s="193"/>
      <c r="F1718" s="195" t="s">
        <v>19025</v>
      </c>
      <c r="G1718" s="196">
        <v>6.453396514E9</v>
      </c>
      <c r="H1718" s="197">
        <v>37.46</v>
      </c>
      <c r="I1718" s="7" t="s">
        <v>16844</v>
      </c>
      <c r="J1718" s="7" t="s">
        <v>175</v>
      </c>
      <c r="K1718" s="7" t="s">
        <v>18570</v>
      </c>
      <c r="L1718" s="198" t="s">
        <v>65</v>
      </c>
      <c r="M1718" s="194"/>
      <c r="N1718" s="194"/>
    </row>
    <row r="1719">
      <c r="A1719" s="193" t="s">
        <v>19024</v>
      </c>
      <c r="B1719" s="7" t="s">
        <v>18570</v>
      </c>
      <c r="C1719" s="7" t="s">
        <v>175</v>
      </c>
      <c r="D1719" s="194">
        <v>2003.0</v>
      </c>
      <c r="E1719" s="193"/>
      <c r="F1719" s="195" t="s">
        <v>19025</v>
      </c>
      <c r="G1719" s="200">
        <v>6.453396514E9</v>
      </c>
      <c r="H1719" s="197">
        <v>37.46</v>
      </c>
      <c r="I1719" s="7" t="s">
        <v>16815</v>
      </c>
      <c r="J1719" s="7" t="s">
        <v>18570</v>
      </c>
      <c r="K1719" s="7" t="s">
        <v>175</v>
      </c>
      <c r="L1719" s="201" t="s">
        <v>16835</v>
      </c>
      <c r="M1719" s="194"/>
      <c r="N1719" s="194"/>
    </row>
    <row r="1720">
      <c r="A1720" s="193" t="s">
        <v>19026</v>
      </c>
      <c r="B1720" s="7" t="s">
        <v>16957</v>
      </c>
      <c r="C1720" s="7" t="s">
        <v>16926</v>
      </c>
      <c r="D1720" s="199"/>
      <c r="E1720" s="193"/>
      <c r="F1720" s="195" t="s">
        <v>19027</v>
      </c>
      <c r="G1720" s="200">
        <v>6.447154632E9</v>
      </c>
      <c r="H1720" s="197">
        <v>12.59</v>
      </c>
      <c r="I1720" s="7" t="s">
        <v>16815</v>
      </c>
      <c r="J1720" s="7" t="s">
        <v>16957</v>
      </c>
      <c r="K1720" s="7" t="s">
        <v>16926</v>
      </c>
      <c r="L1720" s="201" t="s">
        <v>16835</v>
      </c>
      <c r="M1720" s="199"/>
      <c r="N1720" s="199"/>
    </row>
    <row r="1721">
      <c r="A1721" s="193" t="s">
        <v>19026</v>
      </c>
      <c r="B1721" s="7" t="s">
        <v>16926</v>
      </c>
      <c r="C1721" s="7" t="s">
        <v>16957</v>
      </c>
      <c r="D1721" s="199"/>
      <c r="E1721" s="193"/>
      <c r="F1721" s="195" t="s">
        <v>19027</v>
      </c>
      <c r="G1721" s="196">
        <v>6.447154632E9</v>
      </c>
      <c r="H1721" s="197">
        <v>12.59</v>
      </c>
      <c r="I1721" s="7" t="s">
        <v>16815</v>
      </c>
      <c r="J1721" s="7" t="s">
        <v>16926</v>
      </c>
      <c r="K1721" s="7" t="s">
        <v>16957</v>
      </c>
      <c r="L1721" s="198" t="s">
        <v>65</v>
      </c>
      <c r="M1721" s="199"/>
      <c r="N1721" s="199"/>
    </row>
    <row r="1722">
      <c r="A1722" s="193" t="s">
        <v>19028</v>
      </c>
      <c r="B1722" s="7" t="s">
        <v>169</v>
      </c>
      <c r="C1722" s="7" t="s">
        <v>16899</v>
      </c>
      <c r="D1722" s="199"/>
      <c r="E1722" s="193"/>
      <c r="F1722" s="195" t="s">
        <v>19029</v>
      </c>
      <c r="G1722" s="196">
        <v>6.443619755E9</v>
      </c>
      <c r="H1722" s="197">
        <v>120.21</v>
      </c>
      <c r="I1722" s="7" t="s">
        <v>16815</v>
      </c>
      <c r="J1722" s="7" t="s">
        <v>169</v>
      </c>
      <c r="K1722" s="7" t="s">
        <v>16899</v>
      </c>
      <c r="L1722" s="198" t="s">
        <v>65</v>
      </c>
      <c r="M1722" s="199"/>
      <c r="N1722" s="199"/>
    </row>
    <row r="1723">
      <c r="A1723" s="193" t="s">
        <v>19030</v>
      </c>
      <c r="D1723" s="199"/>
      <c r="E1723" s="193"/>
      <c r="F1723" s="195" t="s">
        <v>19031</v>
      </c>
      <c r="G1723" s="196">
        <v>6.433346856E9</v>
      </c>
      <c r="H1723" s="197">
        <v>144.14</v>
      </c>
      <c r="I1723" s="7" t="s">
        <v>16815</v>
      </c>
      <c r="L1723" s="198" t="s">
        <v>65</v>
      </c>
      <c r="M1723" s="199"/>
      <c r="N1723" s="199"/>
    </row>
    <row r="1724">
      <c r="A1724" s="193" t="s">
        <v>19032</v>
      </c>
      <c r="B1724" s="7" t="s">
        <v>175</v>
      </c>
      <c r="C1724" s="7" t="s">
        <v>17022</v>
      </c>
      <c r="D1724" s="194">
        <v>2006.0</v>
      </c>
      <c r="E1724" s="193"/>
      <c r="F1724" s="195" t="s">
        <v>19033</v>
      </c>
      <c r="G1724" s="196">
        <v>6.423592349E9</v>
      </c>
      <c r="H1724" s="197">
        <v>127.13</v>
      </c>
      <c r="I1724" s="7" t="s">
        <v>168</v>
      </c>
      <c r="J1724" s="7" t="s">
        <v>175</v>
      </c>
      <c r="K1724" s="7" t="s">
        <v>17022</v>
      </c>
      <c r="L1724" s="198" t="s">
        <v>65</v>
      </c>
      <c r="M1724" s="194"/>
      <c r="N1724" s="194"/>
    </row>
    <row r="1725">
      <c r="A1725" s="193" t="s">
        <v>19032</v>
      </c>
      <c r="B1725" s="7" t="s">
        <v>17022</v>
      </c>
      <c r="C1725" s="7" t="s">
        <v>175</v>
      </c>
      <c r="D1725" s="194">
        <v>2006.0</v>
      </c>
      <c r="E1725" s="193"/>
      <c r="F1725" s="195" t="s">
        <v>19033</v>
      </c>
      <c r="G1725" s="200">
        <v>6.423592349E9</v>
      </c>
      <c r="H1725" s="197">
        <v>127.13</v>
      </c>
      <c r="I1725" s="7" t="s">
        <v>16815</v>
      </c>
      <c r="J1725" s="7" t="s">
        <v>17022</v>
      </c>
      <c r="K1725" s="7" t="s">
        <v>175</v>
      </c>
      <c r="L1725" s="201" t="s">
        <v>16835</v>
      </c>
      <c r="M1725" s="194"/>
      <c r="N1725" s="194"/>
    </row>
    <row r="1726">
      <c r="A1726" s="193" t="s">
        <v>19034</v>
      </c>
      <c r="B1726" s="7" t="s">
        <v>16582</v>
      </c>
      <c r="C1726" s="7" t="s">
        <v>16583</v>
      </c>
      <c r="D1726" s="194">
        <v>2021.0</v>
      </c>
      <c r="E1726" s="193"/>
      <c r="F1726" s="195" t="s">
        <v>19035</v>
      </c>
      <c r="G1726" s="196">
        <v>6.399731916E9</v>
      </c>
      <c r="H1726" s="197">
        <v>14.79</v>
      </c>
      <c r="I1726" s="7" t="s">
        <v>16815</v>
      </c>
      <c r="J1726" s="7" t="s">
        <v>16582</v>
      </c>
      <c r="K1726" s="7" t="s">
        <v>16583</v>
      </c>
      <c r="L1726" s="198" t="s">
        <v>65</v>
      </c>
      <c r="M1726" s="194"/>
      <c r="N1726" s="194"/>
    </row>
    <row r="1727">
      <c r="A1727" s="193" t="s">
        <v>19036</v>
      </c>
      <c r="B1727" s="7" t="s">
        <v>175</v>
      </c>
      <c r="C1727" s="7" t="s">
        <v>17318</v>
      </c>
      <c r="D1727" s="199"/>
      <c r="E1727" s="193"/>
      <c r="F1727" s="195" t="s">
        <v>19037</v>
      </c>
      <c r="G1727" s="196">
        <v>6.395591007E9</v>
      </c>
      <c r="H1727" s="197">
        <v>28.12</v>
      </c>
      <c r="I1727" s="7" t="s">
        <v>16844</v>
      </c>
      <c r="J1727" s="7" t="s">
        <v>175</v>
      </c>
      <c r="K1727" s="7" t="s">
        <v>17318</v>
      </c>
      <c r="L1727" s="198" t="s">
        <v>65</v>
      </c>
      <c r="M1727" s="199"/>
      <c r="N1727" s="199"/>
    </row>
    <row r="1728">
      <c r="A1728" s="193" t="s">
        <v>19036</v>
      </c>
      <c r="B1728" s="7" t="s">
        <v>17318</v>
      </c>
      <c r="C1728" s="7" t="s">
        <v>175</v>
      </c>
      <c r="D1728" s="199"/>
      <c r="E1728" s="193"/>
      <c r="F1728" s="195" t="s">
        <v>19037</v>
      </c>
      <c r="G1728" s="200">
        <v>6.395591007E9</v>
      </c>
      <c r="H1728" s="197">
        <v>28.12</v>
      </c>
      <c r="I1728" s="7" t="s">
        <v>16815</v>
      </c>
      <c r="J1728" s="7" t="s">
        <v>17318</v>
      </c>
      <c r="K1728" s="7" t="s">
        <v>175</v>
      </c>
      <c r="L1728" s="201" t="s">
        <v>16835</v>
      </c>
      <c r="M1728" s="199"/>
      <c r="N1728" s="199"/>
    </row>
    <row r="1729">
      <c r="A1729" s="193" t="s">
        <v>19038</v>
      </c>
      <c r="B1729" s="7" t="s">
        <v>16945</v>
      </c>
      <c r="C1729" s="7" t="s">
        <v>169</v>
      </c>
      <c r="D1729" s="199"/>
      <c r="E1729" s="193"/>
      <c r="F1729" s="195" t="s">
        <v>19039</v>
      </c>
      <c r="G1729" s="200">
        <v>6.39264537E9</v>
      </c>
      <c r="H1729" s="197">
        <v>51.24</v>
      </c>
      <c r="I1729" s="7" t="s">
        <v>16815</v>
      </c>
      <c r="J1729" s="7" t="s">
        <v>16945</v>
      </c>
      <c r="K1729" s="7" t="s">
        <v>169</v>
      </c>
      <c r="L1729" s="201" t="s">
        <v>16835</v>
      </c>
      <c r="M1729" s="199"/>
      <c r="N1729" s="199"/>
    </row>
    <row r="1730">
      <c r="A1730" s="193" t="s">
        <v>19038</v>
      </c>
      <c r="B1730" s="7" t="s">
        <v>169</v>
      </c>
      <c r="C1730" s="7" t="s">
        <v>16945</v>
      </c>
      <c r="D1730" s="199"/>
      <c r="E1730" s="193"/>
      <c r="F1730" s="195" t="s">
        <v>19039</v>
      </c>
      <c r="G1730" s="196">
        <v>6.39264537E9</v>
      </c>
      <c r="H1730" s="197">
        <v>51.24</v>
      </c>
      <c r="I1730" s="7" t="s">
        <v>16815</v>
      </c>
      <c r="J1730" s="7" t="s">
        <v>169</v>
      </c>
      <c r="K1730" s="7" t="s">
        <v>16945</v>
      </c>
      <c r="L1730" s="198" t="s">
        <v>65</v>
      </c>
      <c r="M1730" s="199"/>
      <c r="N1730" s="199"/>
    </row>
    <row r="1731">
      <c r="A1731" s="193" t="s">
        <v>19040</v>
      </c>
      <c r="B1731" s="7" t="s">
        <v>158</v>
      </c>
      <c r="C1731" s="7" t="s">
        <v>16864</v>
      </c>
      <c r="D1731" s="194">
        <v>2017.0</v>
      </c>
      <c r="E1731" s="193"/>
      <c r="F1731" s="195" t="s">
        <v>19041</v>
      </c>
      <c r="G1731" s="196">
        <v>6.386936719E9</v>
      </c>
      <c r="H1731" s="197">
        <v>68.11</v>
      </c>
      <c r="I1731" s="7" t="s">
        <v>16897</v>
      </c>
      <c r="J1731" s="7" t="s">
        <v>158</v>
      </c>
      <c r="K1731" s="7" t="s">
        <v>16864</v>
      </c>
      <c r="L1731" s="198" t="s">
        <v>65</v>
      </c>
      <c r="M1731" s="194"/>
      <c r="N1731" s="194"/>
    </row>
    <row r="1732">
      <c r="A1732" s="193" t="s">
        <v>19040</v>
      </c>
      <c r="B1732" s="7" t="s">
        <v>16864</v>
      </c>
      <c r="C1732" s="7" t="s">
        <v>158</v>
      </c>
      <c r="D1732" s="194">
        <v>2017.0</v>
      </c>
      <c r="E1732" s="193"/>
      <c r="F1732" s="195" t="s">
        <v>19041</v>
      </c>
      <c r="G1732" s="200">
        <v>6.386936719E9</v>
      </c>
      <c r="H1732" s="197">
        <v>68.11</v>
      </c>
      <c r="I1732" s="7" t="s">
        <v>16815</v>
      </c>
      <c r="J1732" s="7" t="s">
        <v>16864</v>
      </c>
      <c r="K1732" s="7" t="s">
        <v>158</v>
      </c>
      <c r="L1732" s="201" t="s">
        <v>16835</v>
      </c>
      <c r="M1732" s="194"/>
      <c r="N1732" s="194"/>
    </row>
    <row r="1733">
      <c r="A1733" s="193" t="s">
        <v>19042</v>
      </c>
      <c r="B1733" s="7" t="s">
        <v>16838</v>
      </c>
      <c r="C1733" s="7" t="s">
        <v>17202</v>
      </c>
      <c r="D1733" s="199"/>
      <c r="E1733" s="193"/>
      <c r="F1733" s="195" t="s">
        <v>19043</v>
      </c>
      <c r="G1733" s="196">
        <v>6.382475013E9</v>
      </c>
      <c r="H1733" s="197">
        <v>17.69</v>
      </c>
      <c r="I1733" s="7" t="s">
        <v>16815</v>
      </c>
      <c r="J1733" s="7" t="s">
        <v>16838</v>
      </c>
      <c r="K1733" s="7" t="s">
        <v>17202</v>
      </c>
      <c r="L1733" s="198" t="s">
        <v>65</v>
      </c>
      <c r="M1733" s="199"/>
      <c r="N1733" s="199"/>
    </row>
    <row r="1734">
      <c r="A1734" s="193" t="s">
        <v>19044</v>
      </c>
      <c r="B1734" s="7" t="s">
        <v>16910</v>
      </c>
      <c r="C1734" s="7" t="s">
        <v>16911</v>
      </c>
      <c r="D1734" s="194">
        <v>1972.0</v>
      </c>
      <c r="E1734" s="193"/>
      <c r="F1734" s="195" t="s">
        <v>19045</v>
      </c>
      <c r="G1734" s="196">
        <v>6.37410852E9</v>
      </c>
      <c r="H1734" s="197">
        <v>680.0</v>
      </c>
      <c r="I1734" s="7" t="s">
        <v>16856</v>
      </c>
      <c r="J1734" s="7" t="s">
        <v>16910</v>
      </c>
      <c r="K1734" s="7" t="s">
        <v>16911</v>
      </c>
      <c r="L1734" s="198" t="s">
        <v>65</v>
      </c>
      <c r="M1734" s="194"/>
      <c r="N1734" s="194"/>
    </row>
    <row r="1735">
      <c r="A1735" s="193" t="s">
        <v>19046</v>
      </c>
      <c r="B1735" s="7" t="s">
        <v>187</v>
      </c>
      <c r="C1735" s="7" t="s">
        <v>16846</v>
      </c>
      <c r="D1735" s="194">
        <v>2019.0</v>
      </c>
      <c r="E1735" s="193"/>
      <c r="F1735" s="195" t="s">
        <v>19047</v>
      </c>
      <c r="G1735" s="196">
        <v>6.373241875E9</v>
      </c>
      <c r="H1735" s="197">
        <v>168.93</v>
      </c>
      <c r="I1735" s="7" t="s">
        <v>16815</v>
      </c>
      <c r="J1735" s="7" t="s">
        <v>187</v>
      </c>
      <c r="K1735" s="7" t="s">
        <v>16846</v>
      </c>
      <c r="L1735" s="198" t="s">
        <v>65</v>
      </c>
      <c r="M1735" s="194"/>
      <c r="N1735" s="194"/>
    </row>
    <row r="1736">
      <c r="A1736" s="193" t="s">
        <v>19048</v>
      </c>
      <c r="B1736" s="7" t="s">
        <v>175</v>
      </c>
      <c r="C1736" s="7" t="s">
        <v>17168</v>
      </c>
      <c r="D1736" s="194">
        <v>2018.0</v>
      </c>
      <c r="E1736" s="193"/>
      <c r="F1736" s="195" t="s">
        <v>19049</v>
      </c>
      <c r="G1736" s="196">
        <v>6.367326362E9</v>
      </c>
      <c r="H1736" s="197">
        <v>76.75</v>
      </c>
      <c r="I1736" s="7" t="s">
        <v>16856</v>
      </c>
      <c r="J1736" s="7" t="s">
        <v>175</v>
      </c>
      <c r="K1736" s="7" t="s">
        <v>17168</v>
      </c>
      <c r="L1736" s="198" t="s">
        <v>65</v>
      </c>
      <c r="M1736" s="194"/>
      <c r="N1736" s="194"/>
    </row>
    <row r="1737">
      <c r="A1737" s="193" t="s">
        <v>19048</v>
      </c>
      <c r="B1737" s="7" t="s">
        <v>17168</v>
      </c>
      <c r="C1737" s="7" t="s">
        <v>175</v>
      </c>
      <c r="D1737" s="194">
        <v>2018.0</v>
      </c>
      <c r="E1737" s="193"/>
      <c r="F1737" s="195" t="s">
        <v>19049</v>
      </c>
      <c r="G1737" s="200">
        <v>6.367326362E9</v>
      </c>
      <c r="H1737" s="197">
        <v>76.75</v>
      </c>
      <c r="I1737" s="7" t="s">
        <v>16815</v>
      </c>
      <c r="J1737" s="7" t="s">
        <v>17168</v>
      </c>
      <c r="K1737" s="7" t="s">
        <v>175</v>
      </c>
      <c r="L1737" s="201" t="s">
        <v>16835</v>
      </c>
      <c r="M1737" s="194"/>
      <c r="N1737" s="194"/>
    </row>
    <row r="1738">
      <c r="A1738" s="193" t="s">
        <v>19050</v>
      </c>
      <c r="B1738" s="7" t="s">
        <v>16885</v>
      </c>
      <c r="C1738" s="7" t="s">
        <v>18805</v>
      </c>
      <c r="D1738" s="194">
        <v>1993.0</v>
      </c>
      <c r="E1738" s="193"/>
      <c r="F1738" s="195" t="s">
        <v>19051</v>
      </c>
      <c r="G1738" s="196">
        <v>6.366691414E9</v>
      </c>
      <c r="H1738" s="197">
        <v>103.0</v>
      </c>
      <c r="I1738" s="7" t="s">
        <v>16826</v>
      </c>
      <c r="J1738" s="7" t="s">
        <v>16885</v>
      </c>
      <c r="K1738" s="7" t="s">
        <v>18805</v>
      </c>
      <c r="L1738" s="198" t="s">
        <v>65</v>
      </c>
      <c r="M1738" s="194"/>
      <c r="N1738" s="194"/>
    </row>
    <row r="1739">
      <c r="A1739" s="193" t="s">
        <v>19052</v>
      </c>
      <c r="B1739" s="7" t="s">
        <v>175</v>
      </c>
      <c r="C1739" s="7" t="s">
        <v>17321</v>
      </c>
      <c r="D1739" s="194">
        <v>2010.0</v>
      </c>
      <c r="E1739" s="193"/>
      <c r="F1739" s="195" t="s">
        <v>19053</v>
      </c>
      <c r="G1739" s="196">
        <v>6.361239798E9</v>
      </c>
      <c r="H1739" s="197">
        <v>103.55</v>
      </c>
      <c r="I1739" s="193" t="s">
        <v>16908</v>
      </c>
      <c r="J1739" s="7" t="s">
        <v>175</v>
      </c>
      <c r="K1739" s="7" t="s">
        <v>17321</v>
      </c>
      <c r="L1739" s="198" t="s">
        <v>65</v>
      </c>
      <c r="M1739" s="194"/>
      <c r="N1739" s="194"/>
    </row>
    <row r="1740">
      <c r="A1740" s="193" t="s">
        <v>19052</v>
      </c>
      <c r="B1740" s="7" t="s">
        <v>17321</v>
      </c>
      <c r="C1740" s="7" t="s">
        <v>175</v>
      </c>
      <c r="D1740" s="194">
        <v>2010.0</v>
      </c>
      <c r="E1740" s="193"/>
      <c r="F1740" s="195" t="s">
        <v>19053</v>
      </c>
      <c r="G1740" s="200">
        <v>6.361239798E9</v>
      </c>
      <c r="H1740" s="197">
        <v>103.55</v>
      </c>
      <c r="I1740" s="7" t="s">
        <v>16815</v>
      </c>
      <c r="J1740" s="7" t="s">
        <v>17321</v>
      </c>
      <c r="K1740" s="7" t="s">
        <v>175</v>
      </c>
      <c r="L1740" s="201" t="s">
        <v>16835</v>
      </c>
      <c r="M1740" s="194"/>
      <c r="N1740" s="194"/>
    </row>
    <row r="1741">
      <c r="A1741" s="193" t="s">
        <v>19054</v>
      </c>
      <c r="D1741" s="194">
        <v>2001.0</v>
      </c>
      <c r="E1741" s="193"/>
      <c r="F1741" s="195" t="s">
        <v>19055</v>
      </c>
      <c r="G1741" s="196">
        <v>6.35886067E9</v>
      </c>
      <c r="H1741" s="197">
        <v>5.18</v>
      </c>
      <c r="I1741" s="7" t="s">
        <v>16815</v>
      </c>
      <c r="L1741" s="198" t="s">
        <v>65</v>
      </c>
      <c r="M1741" s="194"/>
      <c r="N1741" s="194"/>
    </row>
    <row r="1742">
      <c r="A1742" s="193" t="s">
        <v>19054</v>
      </c>
      <c r="D1742" s="194">
        <v>2001.0</v>
      </c>
      <c r="E1742" s="193"/>
      <c r="F1742" s="195" t="s">
        <v>19055</v>
      </c>
      <c r="G1742" s="200">
        <v>6.35886067E9</v>
      </c>
      <c r="H1742" s="197">
        <v>5.18</v>
      </c>
      <c r="L1742" s="201" t="s">
        <v>16835</v>
      </c>
      <c r="M1742" s="194"/>
      <c r="N1742" s="194"/>
    </row>
    <row r="1743">
      <c r="A1743" s="193" t="s">
        <v>19056</v>
      </c>
      <c r="B1743" s="7" t="s">
        <v>175</v>
      </c>
      <c r="C1743" s="7" t="s">
        <v>17069</v>
      </c>
      <c r="D1743" s="194">
        <v>2021.0</v>
      </c>
      <c r="E1743" s="193"/>
      <c r="F1743" s="195" t="s">
        <v>19057</v>
      </c>
      <c r="G1743" s="196">
        <v>6.351002645E9</v>
      </c>
      <c r="H1743" s="197">
        <v>53.39</v>
      </c>
      <c r="I1743" s="193" t="s">
        <v>16908</v>
      </c>
      <c r="J1743" s="7" t="s">
        <v>175</v>
      </c>
      <c r="K1743" s="7" t="s">
        <v>17069</v>
      </c>
      <c r="L1743" s="198" t="s">
        <v>65</v>
      </c>
      <c r="M1743" s="194"/>
      <c r="N1743" s="194"/>
    </row>
    <row r="1744">
      <c r="A1744" s="193" t="s">
        <v>19056</v>
      </c>
      <c r="B1744" s="7" t="s">
        <v>17069</v>
      </c>
      <c r="C1744" s="7" t="s">
        <v>175</v>
      </c>
      <c r="D1744" s="194">
        <v>2021.0</v>
      </c>
      <c r="E1744" s="193"/>
      <c r="F1744" s="195" t="s">
        <v>19057</v>
      </c>
      <c r="G1744" s="200">
        <v>6.351002645E9</v>
      </c>
      <c r="H1744" s="197">
        <v>53.39</v>
      </c>
      <c r="I1744" s="7" t="s">
        <v>16815</v>
      </c>
      <c r="J1744" s="7" t="s">
        <v>17069</v>
      </c>
      <c r="K1744" s="7" t="s">
        <v>175</v>
      </c>
      <c r="L1744" s="201" t="s">
        <v>16835</v>
      </c>
      <c r="M1744" s="194"/>
      <c r="N1744" s="194"/>
    </row>
    <row r="1745">
      <c r="A1745" s="193" t="s">
        <v>19058</v>
      </c>
      <c r="B1745" s="7" t="s">
        <v>16926</v>
      </c>
      <c r="C1745" s="7" t="s">
        <v>16960</v>
      </c>
      <c r="D1745" s="199"/>
      <c r="E1745" s="193"/>
      <c r="F1745" s="195" t="s">
        <v>19059</v>
      </c>
      <c r="G1745" s="196">
        <v>6.335123791E9</v>
      </c>
      <c r="H1745" s="197">
        <v>16.03</v>
      </c>
      <c r="I1745" s="7" t="s">
        <v>16815</v>
      </c>
      <c r="J1745" s="7" t="s">
        <v>16926</v>
      </c>
      <c r="K1745" s="7" t="s">
        <v>16960</v>
      </c>
      <c r="L1745" s="198" t="s">
        <v>65</v>
      </c>
      <c r="M1745" s="199"/>
      <c r="N1745" s="199"/>
    </row>
    <row r="1746">
      <c r="A1746" s="193" t="s">
        <v>19060</v>
      </c>
      <c r="B1746" s="7" t="s">
        <v>17111</v>
      </c>
      <c r="C1746" s="7" t="s">
        <v>17112</v>
      </c>
      <c r="D1746" s="194">
        <v>2013.0</v>
      </c>
      <c r="E1746" s="193"/>
      <c r="F1746" s="195" t="s">
        <v>19061</v>
      </c>
      <c r="G1746" s="200">
        <v>6.327554094E9</v>
      </c>
      <c r="H1746" s="197">
        <v>21.05</v>
      </c>
      <c r="I1746" s="7" t="s">
        <v>16815</v>
      </c>
      <c r="J1746" s="7" t="s">
        <v>17111</v>
      </c>
      <c r="K1746" s="7" t="s">
        <v>17112</v>
      </c>
      <c r="L1746" s="201" t="s">
        <v>16835</v>
      </c>
      <c r="M1746" s="194"/>
      <c r="N1746" s="194"/>
    </row>
    <row r="1747">
      <c r="A1747" s="193" t="s">
        <v>19060</v>
      </c>
      <c r="B1747" s="7" t="s">
        <v>17112</v>
      </c>
      <c r="C1747" s="7" t="s">
        <v>17111</v>
      </c>
      <c r="D1747" s="194">
        <v>2013.0</v>
      </c>
      <c r="E1747" s="193"/>
      <c r="F1747" s="195" t="s">
        <v>19061</v>
      </c>
      <c r="G1747" s="196">
        <v>6.327554094E9</v>
      </c>
      <c r="H1747" s="197">
        <v>21.05</v>
      </c>
      <c r="I1747" s="7" t="s">
        <v>16815</v>
      </c>
      <c r="J1747" s="7" t="s">
        <v>17112</v>
      </c>
      <c r="K1747" s="7" t="s">
        <v>17111</v>
      </c>
      <c r="L1747" s="198" t="s">
        <v>65</v>
      </c>
      <c r="M1747" s="194"/>
      <c r="N1747" s="194"/>
    </row>
    <row r="1748">
      <c r="A1748" s="193" t="s">
        <v>19062</v>
      </c>
      <c r="B1748" s="7" t="s">
        <v>16582</v>
      </c>
      <c r="C1748" s="7" t="s">
        <v>16817</v>
      </c>
      <c r="D1748" s="194">
        <v>2012.0</v>
      </c>
      <c r="E1748" s="193"/>
      <c r="F1748" s="195" t="s">
        <v>19063</v>
      </c>
      <c r="G1748" s="196">
        <v>6.316799878E9</v>
      </c>
      <c r="H1748" s="197">
        <v>171.72</v>
      </c>
      <c r="I1748" s="7" t="s">
        <v>16815</v>
      </c>
      <c r="J1748" s="7" t="s">
        <v>16582</v>
      </c>
      <c r="K1748" s="7" t="s">
        <v>16817</v>
      </c>
      <c r="L1748" s="198" t="s">
        <v>65</v>
      </c>
      <c r="M1748" s="194"/>
      <c r="N1748" s="194"/>
    </row>
    <row r="1749">
      <c r="A1749" s="193" t="s">
        <v>19064</v>
      </c>
      <c r="B1749" s="7" t="s">
        <v>16867</v>
      </c>
      <c r="C1749" s="7" t="s">
        <v>16838</v>
      </c>
      <c r="D1749" s="199"/>
      <c r="E1749" s="193"/>
      <c r="F1749" s="195" t="s">
        <v>19065</v>
      </c>
      <c r="G1749" s="200">
        <v>6.308507881E9</v>
      </c>
      <c r="H1749" s="197">
        <v>11.29</v>
      </c>
      <c r="I1749" s="7" t="s">
        <v>16815</v>
      </c>
      <c r="J1749" s="7" t="s">
        <v>16867</v>
      </c>
      <c r="K1749" s="7" t="s">
        <v>16838</v>
      </c>
      <c r="L1749" s="201" t="s">
        <v>16835</v>
      </c>
      <c r="M1749" s="199"/>
      <c r="N1749" s="199"/>
    </row>
    <row r="1750">
      <c r="A1750" s="193" t="s">
        <v>19064</v>
      </c>
      <c r="B1750" s="7" t="s">
        <v>16838</v>
      </c>
      <c r="C1750" s="7" t="s">
        <v>16867</v>
      </c>
      <c r="D1750" s="199"/>
      <c r="E1750" s="193"/>
      <c r="F1750" s="195" t="s">
        <v>19065</v>
      </c>
      <c r="G1750" s="196">
        <v>6.308507881E9</v>
      </c>
      <c r="H1750" s="197">
        <v>11.29</v>
      </c>
      <c r="I1750" s="7" t="s">
        <v>16815</v>
      </c>
      <c r="J1750" s="7" t="s">
        <v>16838</v>
      </c>
      <c r="K1750" s="7" t="s">
        <v>16867</v>
      </c>
      <c r="L1750" s="198" t="s">
        <v>65</v>
      </c>
      <c r="M1750" s="199"/>
      <c r="N1750" s="199"/>
    </row>
    <row r="1751">
      <c r="A1751" s="193" t="s">
        <v>19066</v>
      </c>
      <c r="B1751" s="7" t="s">
        <v>169</v>
      </c>
      <c r="C1751" s="7" t="s">
        <v>17738</v>
      </c>
      <c r="D1751" s="194">
        <v>2014.0</v>
      </c>
      <c r="E1751" s="193"/>
      <c r="F1751" s="195" t="s">
        <v>19067</v>
      </c>
      <c r="G1751" s="196">
        <v>6.3081E9</v>
      </c>
      <c r="H1751" s="197">
        <v>4.89</v>
      </c>
      <c r="I1751" s="7" t="s">
        <v>16815</v>
      </c>
      <c r="J1751" s="7" t="s">
        <v>169</v>
      </c>
      <c r="K1751" s="7" t="s">
        <v>17738</v>
      </c>
      <c r="L1751" s="198" t="s">
        <v>65</v>
      </c>
      <c r="M1751" s="194"/>
      <c r="N1751" s="194"/>
    </row>
    <row r="1752">
      <c r="A1752" s="193" t="s">
        <v>19066</v>
      </c>
      <c r="B1752" s="7" t="s">
        <v>17738</v>
      </c>
      <c r="C1752" s="7" t="s">
        <v>169</v>
      </c>
      <c r="D1752" s="194">
        <v>2014.0</v>
      </c>
      <c r="E1752" s="193"/>
      <c r="F1752" s="195" t="s">
        <v>19067</v>
      </c>
      <c r="G1752" s="200">
        <v>6.3081E9</v>
      </c>
      <c r="H1752" s="197">
        <v>4.89</v>
      </c>
      <c r="I1752" s="7" t="s">
        <v>16815</v>
      </c>
      <c r="J1752" s="7" t="s">
        <v>17738</v>
      </c>
      <c r="K1752" s="7" t="s">
        <v>169</v>
      </c>
      <c r="L1752" s="201" t="s">
        <v>16835</v>
      </c>
      <c r="M1752" s="194"/>
      <c r="N1752" s="194"/>
    </row>
    <row r="1753">
      <c r="A1753" s="193" t="s">
        <v>19068</v>
      </c>
      <c r="B1753" s="7" t="s">
        <v>17509</v>
      </c>
      <c r="C1753" s="7" t="s">
        <v>187</v>
      </c>
      <c r="D1753" s="194">
        <v>2000.0</v>
      </c>
      <c r="E1753" s="193"/>
      <c r="F1753" s="195" t="s">
        <v>19069</v>
      </c>
      <c r="G1753" s="200">
        <v>6.300798014E9</v>
      </c>
      <c r="H1753" s="197">
        <v>160.28</v>
      </c>
      <c r="I1753" s="7" t="s">
        <v>16815</v>
      </c>
      <c r="J1753" s="7" t="s">
        <v>17509</v>
      </c>
      <c r="K1753" s="7" t="s">
        <v>187</v>
      </c>
      <c r="L1753" s="201" t="s">
        <v>16835</v>
      </c>
      <c r="M1753" s="194"/>
      <c r="N1753" s="194"/>
    </row>
    <row r="1754">
      <c r="A1754" s="193" t="s">
        <v>19068</v>
      </c>
      <c r="B1754" s="7" t="s">
        <v>187</v>
      </c>
      <c r="C1754" s="7" t="s">
        <v>17509</v>
      </c>
      <c r="D1754" s="194">
        <v>2000.0</v>
      </c>
      <c r="E1754" s="193"/>
      <c r="F1754" s="195" t="s">
        <v>19069</v>
      </c>
      <c r="G1754" s="196">
        <v>6.300798014E9</v>
      </c>
      <c r="H1754" s="197">
        <v>160.28</v>
      </c>
      <c r="I1754" s="7" t="s">
        <v>16815</v>
      </c>
      <c r="J1754" s="7" t="s">
        <v>187</v>
      </c>
      <c r="K1754" s="7" t="s">
        <v>17509</v>
      </c>
      <c r="L1754" s="198" t="s">
        <v>65</v>
      </c>
      <c r="M1754" s="194"/>
      <c r="N1754" s="194"/>
    </row>
    <row r="1755">
      <c r="A1755" s="193" t="s">
        <v>19070</v>
      </c>
      <c r="B1755" s="7" t="s">
        <v>17259</v>
      </c>
      <c r="C1755" s="7" t="s">
        <v>187</v>
      </c>
      <c r="D1755" s="199"/>
      <c r="E1755" s="193"/>
      <c r="F1755" s="195" t="s">
        <v>19071</v>
      </c>
      <c r="G1755" s="200">
        <v>6.300134029E9</v>
      </c>
      <c r="H1755" s="197">
        <v>62.85</v>
      </c>
      <c r="I1755" s="7" t="s">
        <v>16815</v>
      </c>
      <c r="J1755" s="7" t="s">
        <v>17259</v>
      </c>
      <c r="K1755" s="7" t="s">
        <v>187</v>
      </c>
      <c r="L1755" s="201" t="s">
        <v>16835</v>
      </c>
      <c r="M1755" s="199"/>
      <c r="N1755" s="199"/>
    </row>
    <row r="1756">
      <c r="A1756" s="193" t="s">
        <v>19070</v>
      </c>
      <c r="B1756" s="7" t="s">
        <v>187</v>
      </c>
      <c r="C1756" s="7" t="s">
        <v>17259</v>
      </c>
      <c r="D1756" s="199"/>
      <c r="E1756" s="193"/>
      <c r="F1756" s="195" t="s">
        <v>19071</v>
      </c>
      <c r="G1756" s="196">
        <v>6.300134029E9</v>
      </c>
      <c r="H1756" s="197">
        <v>62.85</v>
      </c>
      <c r="I1756" s="7" t="s">
        <v>16815</v>
      </c>
      <c r="J1756" s="7" t="s">
        <v>187</v>
      </c>
      <c r="K1756" s="7" t="s">
        <v>17259</v>
      </c>
      <c r="L1756" s="198" t="s">
        <v>65</v>
      </c>
      <c r="M1756" s="199"/>
      <c r="N1756" s="199"/>
    </row>
    <row r="1757">
      <c r="A1757" s="193" t="s">
        <v>19072</v>
      </c>
      <c r="B1757" s="7" t="s">
        <v>17321</v>
      </c>
      <c r="C1757" s="7" t="s">
        <v>169</v>
      </c>
      <c r="D1757" s="194">
        <v>1986.0</v>
      </c>
      <c r="E1757" s="193"/>
      <c r="F1757" s="195" t="s">
        <v>19073</v>
      </c>
      <c r="G1757" s="200">
        <v>6.293661368E9</v>
      </c>
      <c r="H1757" s="197">
        <v>188.85</v>
      </c>
      <c r="I1757" s="7" t="s">
        <v>16815</v>
      </c>
      <c r="J1757" s="7" t="s">
        <v>17321</v>
      </c>
      <c r="K1757" s="7" t="s">
        <v>169</v>
      </c>
      <c r="L1757" s="201" t="s">
        <v>16835</v>
      </c>
      <c r="M1757" s="194"/>
      <c r="N1757" s="194"/>
    </row>
    <row r="1758">
      <c r="A1758" s="193" t="s">
        <v>19072</v>
      </c>
      <c r="B1758" s="7" t="s">
        <v>169</v>
      </c>
      <c r="C1758" s="7" t="s">
        <v>17321</v>
      </c>
      <c r="D1758" s="194">
        <v>1986.0</v>
      </c>
      <c r="E1758" s="193"/>
      <c r="F1758" s="195" t="s">
        <v>19073</v>
      </c>
      <c r="G1758" s="196">
        <v>6.293661368E9</v>
      </c>
      <c r="H1758" s="197">
        <v>188.85</v>
      </c>
      <c r="I1758" s="7" t="s">
        <v>16815</v>
      </c>
      <c r="J1758" s="7" t="s">
        <v>169</v>
      </c>
      <c r="K1758" s="7" t="s">
        <v>17321</v>
      </c>
      <c r="L1758" s="198" t="s">
        <v>65</v>
      </c>
      <c r="M1758" s="194"/>
      <c r="N1758" s="194"/>
    </row>
    <row r="1759">
      <c r="A1759" s="193" t="s">
        <v>19074</v>
      </c>
      <c r="B1759" s="7" t="s">
        <v>169</v>
      </c>
      <c r="C1759" s="7" t="s">
        <v>16899</v>
      </c>
      <c r="D1759" s="199"/>
      <c r="E1759" s="193"/>
      <c r="F1759" s="195" t="s">
        <v>19075</v>
      </c>
      <c r="G1759" s="196">
        <v>6.28648586E9</v>
      </c>
      <c r="H1759" s="197">
        <v>162.19</v>
      </c>
      <c r="I1759" s="7" t="s">
        <v>16815</v>
      </c>
      <c r="J1759" s="7" t="s">
        <v>169</v>
      </c>
      <c r="K1759" s="7" t="s">
        <v>16899</v>
      </c>
      <c r="L1759" s="198" t="s">
        <v>65</v>
      </c>
      <c r="M1759" s="199"/>
      <c r="N1759" s="199"/>
    </row>
    <row r="1760">
      <c r="A1760" s="193" t="s">
        <v>19074</v>
      </c>
      <c r="B1760" s="7" t="s">
        <v>16899</v>
      </c>
      <c r="C1760" s="7" t="s">
        <v>169</v>
      </c>
      <c r="D1760" s="199"/>
      <c r="E1760" s="193"/>
      <c r="F1760" s="195" t="s">
        <v>19075</v>
      </c>
      <c r="G1760" s="200">
        <v>6.28648586E9</v>
      </c>
      <c r="H1760" s="197">
        <v>162.19</v>
      </c>
      <c r="I1760" s="7" t="s">
        <v>16815</v>
      </c>
      <c r="J1760" s="7" t="s">
        <v>16899</v>
      </c>
      <c r="K1760" s="7" t="s">
        <v>169</v>
      </c>
      <c r="L1760" s="201" t="s">
        <v>16835</v>
      </c>
      <c r="M1760" s="199"/>
      <c r="N1760" s="199"/>
    </row>
    <row r="1761">
      <c r="A1761" s="193" t="s">
        <v>19076</v>
      </c>
      <c r="B1761" s="7" t="s">
        <v>17111</v>
      </c>
      <c r="C1761" s="7" t="s">
        <v>17112</v>
      </c>
      <c r="D1761" s="194">
        <v>2011.0</v>
      </c>
      <c r="E1761" s="193"/>
      <c r="F1761" s="195" t="s">
        <v>19077</v>
      </c>
      <c r="G1761" s="200">
        <v>6.278721791E9</v>
      </c>
      <c r="H1761" s="197">
        <v>34.58</v>
      </c>
      <c r="I1761" s="7" t="s">
        <v>16815</v>
      </c>
      <c r="J1761" s="7" t="s">
        <v>17111</v>
      </c>
      <c r="K1761" s="7" t="s">
        <v>17112</v>
      </c>
      <c r="L1761" s="201" t="s">
        <v>16835</v>
      </c>
      <c r="M1761" s="194"/>
      <c r="N1761" s="194"/>
    </row>
    <row r="1762">
      <c r="A1762" s="193" t="s">
        <v>19076</v>
      </c>
      <c r="B1762" s="7" t="s">
        <v>17112</v>
      </c>
      <c r="C1762" s="7" t="s">
        <v>17111</v>
      </c>
      <c r="D1762" s="194">
        <v>2011.0</v>
      </c>
      <c r="E1762" s="193"/>
      <c r="F1762" s="195" t="s">
        <v>19077</v>
      </c>
      <c r="G1762" s="196">
        <v>6.278721791E9</v>
      </c>
      <c r="H1762" s="197">
        <v>34.58</v>
      </c>
      <c r="I1762" s="7" t="s">
        <v>16815</v>
      </c>
      <c r="J1762" s="7" t="s">
        <v>17112</v>
      </c>
      <c r="K1762" s="7" t="s">
        <v>17111</v>
      </c>
      <c r="L1762" s="198" t="s">
        <v>65</v>
      </c>
      <c r="M1762" s="194"/>
      <c r="N1762" s="194"/>
    </row>
    <row r="1763">
      <c r="A1763" s="193" t="s">
        <v>19078</v>
      </c>
      <c r="B1763" s="7" t="s">
        <v>169</v>
      </c>
      <c r="C1763" s="7" t="s">
        <v>16899</v>
      </c>
      <c r="D1763" s="194">
        <v>1989.0</v>
      </c>
      <c r="E1763" s="193"/>
      <c r="F1763" s="195" t="s">
        <v>19079</v>
      </c>
      <c r="G1763" s="196">
        <v>6.262529307E9</v>
      </c>
      <c r="H1763" s="197">
        <v>36.38</v>
      </c>
      <c r="I1763" s="7" t="s">
        <v>16815</v>
      </c>
      <c r="J1763" s="7" t="s">
        <v>169</v>
      </c>
      <c r="K1763" s="7" t="s">
        <v>16899</v>
      </c>
      <c r="L1763" s="198" t="s">
        <v>65</v>
      </c>
      <c r="M1763" s="194"/>
      <c r="N1763" s="194"/>
    </row>
    <row r="1764">
      <c r="A1764" s="193" t="s">
        <v>19080</v>
      </c>
      <c r="B1764" s="7" t="s">
        <v>16582</v>
      </c>
      <c r="C1764" s="7" t="s">
        <v>16930</v>
      </c>
      <c r="D1764" s="194">
        <v>2010.0</v>
      </c>
      <c r="E1764" s="193"/>
      <c r="F1764" s="195" t="s">
        <v>19081</v>
      </c>
      <c r="G1764" s="196">
        <v>6.214372939E9</v>
      </c>
      <c r="H1764" s="197">
        <v>169.34</v>
      </c>
      <c r="I1764" s="7" t="s">
        <v>16815</v>
      </c>
      <c r="J1764" s="7" t="s">
        <v>16582</v>
      </c>
      <c r="K1764" s="7" t="s">
        <v>16930</v>
      </c>
      <c r="L1764" s="198" t="s">
        <v>65</v>
      </c>
      <c r="M1764" s="194"/>
      <c r="N1764" s="194"/>
    </row>
    <row r="1765">
      <c r="A1765" s="193" t="s">
        <v>19082</v>
      </c>
      <c r="B1765" s="7" t="s">
        <v>175</v>
      </c>
      <c r="C1765" s="7" t="s">
        <v>16942</v>
      </c>
      <c r="D1765" s="194">
        <v>2015.0</v>
      </c>
      <c r="E1765" s="193"/>
      <c r="F1765" s="195" t="s">
        <v>19083</v>
      </c>
      <c r="G1765" s="196">
        <v>6.204783225E9</v>
      </c>
      <c r="H1765" s="197">
        <v>210.94</v>
      </c>
      <c r="I1765" s="7" t="s">
        <v>16856</v>
      </c>
      <c r="J1765" s="7" t="s">
        <v>175</v>
      </c>
      <c r="K1765" s="7" t="s">
        <v>16942</v>
      </c>
      <c r="L1765" s="198" t="s">
        <v>65</v>
      </c>
      <c r="M1765" s="194"/>
      <c r="N1765" s="194"/>
    </row>
    <row r="1766">
      <c r="A1766" s="193" t="s">
        <v>19084</v>
      </c>
      <c r="B1766" s="7" t="s">
        <v>175</v>
      </c>
      <c r="C1766" s="7" t="s">
        <v>16899</v>
      </c>
      <c r="D1766" s="199"/>
      <c r="E1766" s="193"/>
      <c r="F1766" s="195" t="s">
        <v>19085</v>
      </c>
      <c r="G1766" s="196">
        <v>6.203362526E9</v>
      </c>
      <c r="H1766" s="197">
        <v>145.37</v>
      </c>
      <c r="I1766" s="7" t="s">
        <v>17270</v>
      </c>
      <c r="J1766" s="7" t="s">
        <v>175</v>
      </c>
      <c r="K1766" s="7" t="s">
        <v>16899</v>
      </c>
      <c r="L1766" s="198" t="s">
        <v>65</v>
      </c>
      <c r="M1766" s="199"/>
      <c r="N1766" s="199"/>
    </row>
    <row r="1767">
      <c r="A1767" s="193" t="s">
        <v>19084</v>
      </c>
      <c r="B1767" s="7" t="s">
        <v>16899</v>
      </c>
      <c r="C1767" s="7" t="s">
        <v>175</v>
      </c>
      <c r="D1767" s="199"/>
      <c r="E1767" s="193"/>
      <c r="F1767" s="195" t="s">
        <v>19085</v>
      </c>
      <c r="G1767" s="200">
        <v>6.203362526E9</v>
      </c>
      <c r="H1767" s="197">
        <v>145.37</v>
      </c>
      <c r="I1767" s="7" t="s">
        <v>16815</v>
      </c>
      <c r="J1767" s="7" t="s">
        <v>16899</v>
      </c>
      <c r="K1767" s="7" t="s">
        <v>175</v>
      </c>
      <c r="L1767" s="201" t="s">
        <v>16835</v>
      </c>
      <c r="M1767" s="199"/>
      <c r="N1767" s="199"/>
    </row>
    <row r="1768">
      <c r="A1768" s="193" t="s">
        <v>19086</v>
      </c>
      <c r="B1768" s="7" t="s">
        <v>17127</v>
      </c>
      <c r="C1768" s="7" t="s">
        <v>16838</v>
      </c>
      <c r="D1768" s="199"/>
      <c r="E1768" s="193"/>
      <c r="F1768" s="195" t="s">
        <v>19087</v>
      </c>
      <c r="G1768" s="200">
        <v>6.193242156E9</v>
      </c>
      <c r="H1768" s="197">
        <v>135.74</v>
      </c>
      <c r="I1768" s="7" t="s">
        <v>16815</v>
      </c>
      <c r="J1768" s="7" t="s">
        <v>17127</v>
      </c>
      <c r="K1768" s="7" t="s">
        <v>16838</v>
      </c>
      <c r="L1768" s="201" t="s">
        <v>16835</v>
      </c>
      <c r="M1768" s="199"/>
      <c r="N1768" s="199"/>
    </row>
    <row r="1769">
      <c r="A1769" s="193" t="s">
        <v>19086</v>
      </c>
      <c r="B1769" s="7" t="s">
        <v>16838</v>
      </c>
      <c r="C1769" s="7" t="s">
        <v>17127</v>
      </c>
      <c r="D1769" s="199"/>
      <c r="E1769" s="193"/>
      <c r="F1769" s="195" t="s">
        <v>19087</v>
      </c>
      <c r="G1769" s="196">
        <v>6.193242156E9</v>
      </c>
      <c r="H1769" s="197">
        <v>135.74</v>
      </c>
      <c r="I1769" s="7" t="s">
        <v>16815</v>
      </c>
      <c r="J1769" s="7" t="s">
        <v>16838</v>
      </c>
      <c r="K1769" s="7" t="s">
        <v>17127</v>
      </c>
      <c r="L1769" s="198" t="s">
        <v>65</v>
      </c>
      <c r="M1769" s="199"/>
      <c r="N1769" s="199"/>
    </row>
    <row r="1770">
      <c r="A1770" s="193" t="s">
        <v>19088</v>
      </c>
      <c r="B1770" s="7" t="s">
        <v>16838</v>
      </c>
      <c r="C1770" s="7" t="s">
        <v>17127</v>
      </c>
      <c r="D1770" s="199"/>
      <c r="E1770" s="193"/>
      <c r="F1770" s="195" t="s">
        <v>19089</v>
      </c>
      <c r="G1770" s="196">
        <v>6.184267583E9</v>
      </c>
      <c r="H1770" s="197">
        <v>102.07</v>
      </c>
      <c r="I1770" s="7" t="s">
        <v>16815</v>
      </c>
      <c r="J1770" s="7" t="s">
        <v>16838</v>
      </c>
      <c r="K1770" s="7" t="s">
        <v>17127</v>
      </c>
      <c r="L1770" s="198" t="s">
        <v>65</v>
      </c>
      <c r="M1770" s="199"/>
      <c r="N1770" s="199"/>
    </row>
    <row r="1771">
      <c r="A1771" s="193" t="s">
        <v>19090</v>
      </c>
      <c r="B1771" s="7" t="s">
        <v>17057</v>
      </c>
      <c r="C1771" s="7" t="s">
        <v>169</v>
      </c>
      <c r="D1771" s="199"/>
      <c r="E1771" s="193"/>
      <c r="F1771" s="195" t="s">
        <v>19091</v>
      </c>
      <c r="G1771" s="200">
        <v>6.165874507E9</v>
      </c>
      <c r="H1771" s="197">
        <v>36.19</v>
      </c>
      <c r="I1771" s="7" t="s">
        <v>16815</v>
      </c>
      <c r="J1771" s="7" t="s">
        <v>17057</v>
      </c>
      <c r="K1771" s="7" t="s">
        <v>169</v>
      </c>
      <c r="L1771" s="201" t="s">
        <v>16835</v>
      </c>
      <c r="M1771" s="199"/>
      <c r="N1771" s="199"/>
    </row>
    <row r="1772">
      <c r="A1772" s="193" t="s">
        <v>19090</v>
      </c>
      <c r="B1772" s="7" t="s">
        <v>169</v>
      </c>
      <c r="C1772" s="7" t="s">
        <v>17057</v>
      </c>
      <c r="D1772" s="199"/>
      <c r="E1772" s="193"/>
      <c r="F1772" s="195" t="s">
        <v>19091</v>
      </c>
      <c r="G1772" s="196">
        <v>6.165874507E9</v>
      </c>
      <c r="H1772" s="197">
        <v>36.19</v>
      </c>
      <c r="I1772" s="7" t="s">
        <v>16815</v>
      </c>
      <c r="J1772" s="7" t="s">
        <v>169</v>
      </c>
      <c r="K1772" s="7" t="s">
        <v>17057</v>
      </c>
      <c r="L1772" s="198" t="s">
        <v>65</v>
      </c>
      <c r="M1772" s="199"/>
      <c r="N1772" s="199"/>
    </row>
    <row r="1773">
      <c r="A1773" s="193" t="s">
        <v>19092</v>
      </c>
      <c r="B1773" s="7" t="s">
        <v>16910</v>
      </c>
      <c r="C1773" s="7" t="s">
        <v>17996</v>
      </c>
      <c r="D1773" s="199"/>
      <c r="E1773" s="193"/>
      <c r="F1773" s="195" t="s">
        <v>19093</v>
      </c>
      <c r="G1773" s="196">
        <v>6.138778909E9</v>
      </c>
      <c r="H1773" s="197">
        <v>25.925</v>
      </c>
      <c r="I1773" s="7" t="s">
        <v>16917</v>
      </c>
      <c r="J1773" s="7" t="s">
        <v>16910</v>
      </c>
      <c r="K1773" s="7" t="s">
        <v>17996</v>
      </c>
      <c r="L1773" s="198" t="s">
        <v>65</v>
      </c>
      <c r="M1773" s="199"/>
      <c r="N1773" s="199"/>
    </row>
    <row r="1774">
      <c r="A1774" s="193" t="s">
        <v>19094</v>
      </c>
      <c r="B1774" s="7" t="s">
        <v>17019</v>
      </c>
      <c r="C1774" s="7" t="s">
        <v>16838</v>
      </c>
      <c r="D1774" s="199"/>
      <c r="E1774" s="193"/>
      <c r="F1774" s="195" t="s">
        <v>19095</v>
      </c>
      <c r="G1774" s="200">
        <v>6.128938318E9</v>
      </c>
      <c r="H1774" s="197">
        <v>60.09</v>
      </c>
      <c r="I1774" s="7" t="s">
        <v>16815</v>
      </c>
      <c r="J1774" s="7" t="s">
        <v>17019</v>
      </c>
      <c r="K1774" s="7" t="s">
        <v>16838</v>
      </c>
      <c r="L1774" s="201" t="s">
        <v>16835</v>
      </c>
      <c r="M1774" s="199"/>
      <c r="N1774" s="199"/>
    </row>
    <row r="1775">
      <c r="A1775" s="193" t="s">
        <v>19094</v>
      </c>
      <c r="B1775" s="7" t="s">
        <v>16838</v>
      </c>
      <c r="C1775" s="7" t="s">
        <v>17019</v>
      </c>
      <c r="D1775" s="199"/>
      <c r="E1775" s="193"/>
      <c r="F1775" s="195" t="s">
        <v>19095</v>
      </c>
      <c r="G1775" s="196">
        <v>6.128938318E9</v>
      </c>
      <c r="H1775" s="197">
        <v>60.09</v>
      </c>
      <c r="I1775" s="7" t="s">
        <v>16815</v>
      </c>
      <c r="J1775" s="7" t="s">
        <v>16838</v>
      </c>
      <c r="K1775" s="7" t="s">
        <v>17019</v>
      </c>
      <c r="L1775" s="198" t="s">
        <v>65</v>
      </c>
      <c r="M1775" s="199"/>
      <c r="N1775" s="199"/>
    </row>
    <row r="1776">
      <c r="A1776" s="193" t="s">
        <v>19096</v>
      </c>
      <c r="B1776" s="7" t="s">
        <v>187</v>
      </c>
      <c r="C1776" s="7" t="s">
        <v>16846</v>
      </c>
      <c r="D1776" s="199"/>
      <c r="E1776" s="193"/>
      <c r="F1776" s="195" t="s">
        <v>19097</v>
      </c>
      <c r="G1776" s="196">
        <v>6.12611423E9</v>
      </c>
      <c r="H1776" s="197">
        <v>8.91</v>
      </c>
      <c r="I1776" s="7" t="s">
        <v>16815</v>
      </c>
      <c r="J1776" s="7" t="s">
        <v>187</v>
      </c>
      <c r="K1776" s="7" t="s">
        <v>16846</v>
      </c>
      <c r="L1776" s="198" t="s">
        <v>65</v>
      </c>
      <c r="M1776" s="199"/>
      <c r="N1776" s="199"/>
    </row>
    <row r="1777">
      <c r="A1777" s="193" t="s">
        <v>19098</v>
      </c>
      <c r="D1777" s="194">
        <v>2021.0</v>
      </c>
      <c r="E1777" s="193"/>
      <c r="F1777" s="195" t="s">
        <v>19099</v>
      </c>
      <c r="G1777" s="196">
        <v>6.119626572E9</v>
      </c>
      <c r="H1777" s="197">
        <v>73.24</v>
      </c>
      <c r="I1777" s="7" t="s">
        <v>16815</v>
      </c>
      <c r="L1777" s="198" t="s">
        <v>65</v>
      </c>
      <c r="M1777" s="194"/>
      <c r="N1777" s="194"/>
    </row>
    <row r="1778">
      <c r="A1778" s="193" t="s">
        <v>19098</v>
      </c>
      <c r="D1778" s="194">
        <v>2021.0</v>
      </c>
      <c r="E1778" s="193"/>
      <c r="F1778" s="195" t="s">
        <v>19099</v>
      </c>
      <c r="G1778" s="200">
        <v>6.119626572E9</v>
      </c>
      <c r="H1778" s="197">
        <v>73.24</v>
      </c>
      <c r="L1778" s="201" t="s">
        <v>16835</v>
      </c>
      <c r="M1778" s="194"/>
      <c r="N1778" s="194"/>
    </row>
    <row r="1779">
      <c r="A1779" s="193" t="s">
        <v>19100</v>
      </c>
      <c r="B1779" s="7" t="s">
        <v>16910</v>
      </c>
      <c r="C1779" s="7" t="s">
        <v>17119</v>
      </c>
      <c r="D1779" s="194">
        <v>2022.0</v>
      </c>
      <c r="E1779" s="193"/>
      <c r="F1779" s="195" t="s">
        <v>19101</v>
      </c>
      <c r="G1779" s="196">
        <v>6.105684351E9</v>
      </c>
      <c r="H1779" s="197">
        <v>46.45</v>
      </c>
      <c r="I1779" s="7" t="s">
        <v>16856</v>
      </c>
      <c r="J1779" s="7" t="s">
        <v>16910</v>
      </c>
      <c r="K1779" s="7" t="s">
        <v>17119</v>
      </c>
      <c r="L1779" s="198" t="s">
        <v>65</v>
      </c>
      <c r="M1779" s="194"/>
      <c r="N1779" s="194"/>
    </row>
    <row r="1780">
      <c r="A1780" s="193" t="s">
        <v>19100</v>
      </c>
      <c r="B1780" s="7" t="s">
        <v>17119</v>
      </c>
      <c r="C1780" s="7" t="s">
        <v>16910</v>
      </c>
      <c r="D1780" s="194">
        <v>2022.0</v>
      </c>
      <c r="E1780" s="193"/>
      <c r="F1780" s="195" t="s">
        <v>19101</v>
      </c>
      <c r="G1780" s="200">
        <v>6.105684351E9</v>
      </c>
      <c r="H1780" s="197">
        <v>46.45</v>
      </c>
      <c r="I1780" s="7" t="s">
        <v>16815</v>
      </c>
      <c r="J1780" s="7" t="s">
        <v>17119</v>
      </c>
      <c r="K1780" s="7" t="s">
        <v>16910</v>
      </c>
      <c r="L1780" s="201" t="s">
        <v>16835</v>
      </c>
      <c r="M1780" s="194"/>
      <c r="N1780" s="194"/>
    </row>
    <row r="1781">
      <c r="A1781" s="193" t="s">
        <v>19102</v>
      </c>
      <c r="B1781" s="7" t="s">
        <v>16919</v>
      </c>
      <c r="C1781" s="7" t="s">
        <v>16957</v>
      </c>
      <c r="D1781" s="194">
        <v>2010.0</v>
      </c>
      <c r="E1781" s="193"/>
      <c r="F1781" s="195" t="s">
        <v>19103</v>
      </c>
      <c r="G1781" s="196">
        <v>6.090505035E9</v>
      </c>
      <c r="H1781" s="197">
        <v>167.64</v>
      </c>
      <c r="I1781" s="7" t="s">
        <v>16815</v>
      </c>
      <c r="J1781" s="7" t="s">
        <v>16919</v>
      </c>
      <c r="K1781" s="7" t="s">
        <v>16957</v>
      </c>
      <c r="L1781" s="198" t="s">
        <v>65</v>
      </c>
      <c r="M1781" s="194"/>
      <c r="N1781" s="194"/>
    </row>
    <row r="1782">
      <c r="A1782" s="193" t="s">
        <v>19102</v>
      </c>
      <c r="B1782" s="7" t="s">
        <v>16957</v>
      </c>
      <c r="C1782" s="7" t="s">
        <v>16919</v>
      </c>
      <c r="D1782" s="194">
        <v>2010.0</v>
      </c>
      <c r="E1782" s="193"/>
      <c r="F1782" s="195" t="s">
        <v>19103</v>
      </c>
      <c r="G1782" s="200">
        <v>6.090505035E9</v>
      </c>
      <c r="H1782" s="197">
        <v>167.64</v>
      </c>
      <c r="I1782" s="7" t="s">
        <v>16815</v>
      </c>
      <c r="J1782" s="7" t="s">
        <v>16957</v>
      </c>
      <c r="K1782" s="7" t="s">
        <v>16919</v>
      </c>
      <c r="L1782" s="201" t="s">
        <v>16835</v>
      </c>
      <c r="M1782" s="194"/>
      <c r="N1782" s="194"/>
    </row>
    <row r="1783">
      <c r="A1783" s="193" t="s">
        <v>19104</v>
      </c>
      <c r="B1783" s="7" t="s">
        <v>16969</v>
      </c>
      <c r="C1783" s="7" t="s">
        <v>187</v>
      </c>
      <c r="D1783" s="194">
        <v>2012.0</v>
      </c>
      <c r="E1783" s="193"/>
      <c r="F1783" s="195" t="s">
        <v>19105</v>
      </c>
      <c r="G1783" s="200">
        <v>6.084947447E9</v>
      </c>
      <c r="H1783" s="197">
        <v>44.16</v>
      </c>
      <c r="I1783" s="7" t="s">
        <v>16815</v>
      </c>
      <c r="J1783" s="7" t="s">
        <v>16969</v>
      </c>
      <c r="K1783" s="7" t="s">
        <v>187</v>
      </c>
      <c r="L1783" s="201" t="s">
        <v>16835</v>
      </c>
      <c r="M1783" s="194"/>
      <c r="N1783" s="194"/>
    </row>
    <row r="1784">
      <c r="A1784" s="193" t="s">
        <v>19104</v>
      </c>
      <c r="B1784" s="7" t="s">
        <v>187</v>
      </c>
      <c r="C1784" s="7" t="s">
        <v>16969</v>
      </c>
      <c r="D1784" s="194">
        <v>2012.0</v>
      </c>
      <c r="E1784" s="193"/>
      <c r="F1784" s="195" t="s">
        <v>19105</v>
      </c>
      <c r="G1784" s="196">
        <v>6.084947447E9</v>
      </c>
      <c r="H1784" s="197">
        <v>44.16</v>
      </c>
      <c r="I1784" s="7" t="s">
        <v>16815</v>
      </c>
      <c r="J1784" s="7" t="s">
        <v>187</v>
      </c>
      <c r="K1784" s="7" t="s">
        <v>16969</v>
      </c>
      <c r="L1784" s="198" t="s">
        <v>65</v>
      </c>
      <c r="M1784" s="194"/>
      <c r="N1784" s="194"/>
    </row>
    <row r="1785">
      <c r="A1785" s="193" t="s">
        <v>19106</v>
      </c>
      <c r="B1785" s="7" t="s">
        <v>169</v>
      </c>
      <c r="C1785" s="7" t="s">
        <v>17043</v>
      </c>
      <c r="D1785" s="194">
        <v>1993.0</v>
      </c>
      <c r="E1785" s="193"/>
      <c r="F1785" s="195" t="s">
        <v>19107</v>
      </c>
      <c r="G1785" s="196">
        <v>6.078167307E9</v>
      </c>
      <c r="H1785" s="197">
        <v>169.09</v>
      </c>
      <c r="I1785" s="7" t="s">
        <v>16815</v>
      </c>
      <c r="J1785" s="7" t="s">
        <v>169</v>
      </c>
      <c r="K1785" s="7" t="s">
        <v>17043</v>
      </c>
      <c r="L1785" s="198" t="s">
        <v>65</v>
      </c>
      <c r="M1785" s="194"/>
      <c r="N1785" s="194"/>
    </row>
    <row r="1786">
      <c r="A1786" s="193" t="s">
        <v>19108</v>
      </c>
      <c r="B1786" s="7" t="s">
        <v>175</v>
      </c>
      <c r="C1786" s="7" t="s">
        <v>16842</v>
      </c>
      <c r="D1786" s="199"/>
      <c r="E1786" s="193"/>
      <c r="F1786" s="195" t="s">
        <v>19109</v>
      </c>
      <c r="G1786" s="196">
        <v>6.073643754E9</v>
      </c>
      <c r="H1786" s="197">
        <v>92.85</v>
      </c>
      <c r="I1786" s="7" t="s">
        <v>168</v>
      </c>
      <c r="J1786" s="7" t="s">
        <v>175</v>
      </c>
      <c r="K1786" s="7" t="s">
        <v>16842</v>
      </c>
      <c r="L1786" s="198" t="s">
        <v>65</v>
      </c>
      <c r="M1786" s="199"/>
      <c r="N1786" s="199"/>
    </row>
    <row r="1787">
      <c r="A1787" s="193" t="s">
        <v>19108</v>
      </c>
      <c r="B1787" s="7" t="s">
        <v>16842</v>
      </c>
      <c r="C1787" s="7" t="s">
        <v>175</v>
      </c>
      <c r="D1787" s="199"/>
      <c r="E1787" s="193"/>
      <c r="F1787" s="195" t="s">
        <v>19109</v>
      </c>
      <c r="G1787" s="200">
        <v>6.073643754E9</v>
      </c>
      <c r="H1787" s="197">
        <v>92.85</v>
      </c>
      <c r="I1787" s="7" t="s">
        <v>16815</v>
      </c>
      <c r="J1787" s="7" t="s">
        <v>16842</v>
      </c>
      <c r="K1787" s="7" t="s">
        <v>175</v>
      </c>
      <c r="L1787" s="201" t="s">
        <v>16835</v>
      </c>
      <c r="M1787" s="199"/>
      <c r="N1787" s="199"/>
    </row>
    <row r="1788">
      <c r="A1788" s="193" t="s">
        <v>19110</v>
      </c>
      <c r="B1788" s="7" t="s">
        <v>187</v>
      </c>
      <c r="C1788" s="7" t="s">
        <v>16846</v>
      </c>
      <c r="D1788" s="194">
        <v>2014.0</v>
      </c>
      <c r="E1788" s="193"/>
      <c r="F1788" s="195" t="s">
        <v>19111</v>
      </c>
      <c r="G1788" s="196">
        <v>6.042035705E9</v>
      </c>
      <c r="H1788" s="197">
        <v>33.55</v>
      </c>
      <c r="I1788" s="7" t="s">
        <v>16815</v>
      </c>
      <c r="J1788" s="7" t="s">
        <v>187</v>
      </c>
      <c r="K1788" s="7" t="s">
        <v>16846</v>
      </c>
      <c r="L1788" s="198" t="s">
        <v>65</v>
      </c>
      <c r="M1788" s="194"/>
      <c r="N1788" s="194"/>
    </row>
    <row r="1789">
      <c r="A1789" s="193" t="s">
        <v>19110</v>
      </c>
      <c r="B1789" s="7" t="s">
        <v>16846</v>
      </c>
      <c r="C1789" s="7" t="s">
        <v>187</v>
      </c>
      <c r="D1789" s="194">
        <v>2014.0</v>
      </c>
      <c r="E1789" s="193"/>
      <c r="F1789" s="195" t="s">
        <v>19111</v>
      </c>
      <c r="G1789" s="200">
        <v>6.042035705E9</v>
      </c>
      <c r="H1789" s="197">
        <v>33.55</v>
      </c>
      <c r="I1789" s="7" t="s">
        <v>16815</v>
      </c>
      <c r="J1789" s="7" t="s">
        <v>16846</v>
      </c>
      <c r="K1789" s="7" t="s">
        <v>187</v>
      </c>
      <c r="L1789" s="201" t="s">
        <v>16835</v>
      </c>
      <c r="M1789" s="194"/>
      <c r="N1789" s="194"/>
    </row>
    <row r="1790">
      <c r="A1790" s="193" t="s">
        <v>19112</v>
      </c>
      <c r="B1790" s="7" t="s">
        <v>16582</v>
      </c>
      <c r="C1790" s="7" t="s">
        <v>16930</v>
      </c>
      <c r="D1790" s="194">
        <v>2019.0</v>
      </c>
      <c r="E1790" s="193"/>
      <c r="F1790" s="195" t="s">
        <v>19113</v>
      </c>
      <c r="G1790" s="196">
        <v>6.029561597E9</v>
      </c>
      <c r="H1790" s="197">
        <v>56.48</v>
      </c>
      <c r="I1790" s="7" t="s">
        <v>16815</v>
      </c>
      <c r="J1790" s="7" t="s">
        <v>16582</v>
      </c>
      <c r="K1790" s="7" t="s">
        <v>16930</v>
      </c>
      <c r="L1790" s="198" t="s">
        <v>65</v>
      </c>
      <c r="M1790" s="194"/>
      <c r="N1790" s="194"/>
    </row>
    <row r="1791">
      <c r="A1791" s="193" t="s">
        <v>19112</v>
      </c>
      <c r="B1791" s="7" t="s">
        <v>16930</v>
      </c>
      <c r="C1791" s="7" t="s">
        <v>16582</v>
      </c>
      <c r="D1791" s="194">
        <v>2019.0</v>
      </c>
      <c r="E1791" s="193"/>
      <c r="F1791" s="195" t="s">
        <v>19113</v>
      </c>
      <c r="G1791" s="200">
        <v>6.029561597E9</v>
      </c>
      <c r="H1791" s="197">
        <v>56.48</v>
      </c>
      <c r="I1791" s="7" t="s">
        <v>16815</v>
      </c>
      <c r="J1791" s="7" t="s">
        <v>16930</v>
      </c>
      <c r="K1791" s="7" t="s">
        <v>16582</v>
      </c>
      <c r="L1791" s="201" t="s">
        <v>16835</v>
      </c>
      <c r="M1791" s="194"/>
      <c r="N1791" s="194"/>
    </row>
    <row r="1792">
      <c r="A1792" s="193" t="s">
        <v>19114</v>
      </c>
      <c r="B1792" s="7" t="s">
        <v>175</v>
      </c>
      <c r="C1792" s="7" t="s">
        <v>17013</v>
      </c>
      <c r="D1792" s="199"/>
      <c r="E1792" s="193"/>
      <c r="F1792" s="195" t="s">
        <v>19115</v>
      </c>
      <c r="G1792" s="196">
        <v>6.022312078E9</v>
      </c>
      <c r="H1792" s="197">
        <v>109.79</v>
      </c>
      <c r="I1792" s="7" t="s">
        <v>16856</v>
      </c>
      <c r="J1792" s="7" t="s">
        <v>175</v>
      </c>
      <c r="K1792" s="7" t="s">
        <v>17013</v>
      </c>
      <c r="L1792" s="198" t="s">
        <v>65</v>
      </c>
      <c r="M1792" s="199"/>
      <c r="N1792" s="199"/>
    </row>
    <row r="1793">
      <c r="A1793" s="193" t="s">
        <v>19114</v>
      </c>
      <c r="B1793" s="7" t="s">
        <v>17013</v>
      </c>
      <c r="C1793" s="7" t="s">
        <v>175</v>
      </c>
      <c r="D1793" s="199"/>
      <c r="E1793" s="193"/>
      <c r="F1793" s="195" t="s">
        <v>19115</v>
      </c>
      <c r="G1793" s="200">
        <v>6.022312078E9</v>
      </c>
      <c r="H1793" s="197">
        <v>109.79</v>
      </c>
      <c r="I1793" s="7" t="s">
        <v>16815</v>
      </c>
      <c r="J1793" s="7" t="s">
        <v>17013</v>
      </c>
      <c r="K1793" s="7" t="s">
        <v>175</v>
      </c>
      <c r="L1793" s="201" t="s">
        <v>16835</v>
      </c>
      <c r="M1793" s="199"/>
      <c r="N1793" s="199"/>
    </row>
    <row r="1794">
      <c r="A1794" s="193" t="s">
        <v>19116</v>
      </c>
      <c r="B1794" s="7" t="s">
        <v>187</v>
      </c>
      <c r="C1794" s="7" t="s">
        <v>16969</v>
      </c>
      <c r="D1794" s="194">
        <v>1987.0</v>
      </c>
      <c r="E1794" s="193"/>
      <c r="F1794" s="195" t="s">
        <v>19117</v>
      </c>
      <c r="G1794" s="196">
        <v>6.0147165E9</v>
      </c>
      <c r="H1794" s="197">
        <v>28.39</v>
      </c>
      <c r="I1794" s="7" t="s">
        <v>16815</v>
      </c>
      <c r="J1794" s="7" t="s">
        <v>187</v>
      </c>
      <c r="K1794" s="7" t="s">
        <v>16969</v>
      </c>
      <c r="L1794" s="198" t="s">
        <v>65</v>
      </c>
      <c r="M1794" s="194"/>
      <c r="N1794" s="194"/>
    </row>
    <row r="1795">
      <c r="A1795" s="193" t="s">
        <v>19118</v>
      </c>
      <c r="B1795" s="7" t="s">
        <v>17111</v>
      </c>
      <c r="C1795" s="7" t="s">
        <v>17112</v>
      </c>
      <c r="D1795" s="194">
        <v>2009.0</v>
      </c>
      <c r="E1795" s="193"/>
      <c r="F1795" s="195" t="s">
        <v>19119</v>
      </c>
      <c r="G1795" s="200">
        <v>6.00454334E9</v>
      </c>
      <c r="H1795" s="197">
        <v>19.17</v>
      </c>
      <c r="I1795" s="7" t="s">
        <v>16815</v>
      </c>
      <c r="J1795" s="7" t="s">
        <v>17111</v>
      </c>
      <c r="K1795" s="7" t="s">
        <v>17112</v>
      </c>
      <c r="L1795" s="201" t="s">
        <v>16835</v>
      </c>
      <c r="M1795" s="194"/>
      <c r="N1795" s="194"/>
    </row>
    <row r="1796">
      <c r="A1796" s="193" t="s">
        <v>19118</v>
      </c>
      <c r="B1796" s="7" t="s">
        <v>17112</v>
      </c>
      <c r="C1796" s="7" t="s">
        <v>17111</v>
      </c>
      <c r="D1796" s="194">
        <v>2009.0</v>
      </c>
      <c r="E1796" s="193"/>
      <c r="F1796" s="195" t="s">
        <v>19119</v>
      </c>
      <c r="G1796" s="196">
        <v>6.00454334E9</v>
      </c>
      <c r="H1796" s="197">
        <v>19.17</v>
      </c>
      <c r="I1796" s="7" t="s">
        <v>16815</v>
      </c>
      <c r="J1796" s="7" t="s">
        <v>17112</v>
      </c>
      <c r="K1796" s="7" t="s">
        <v>17111</v>
      </c>
      <c r="L1796" s="198" t="s">
        <v>65</v>
      </c>
      <c r="M1796" s="194"/>
      <c r="N1796" s="194"/>
    </row>
    <row r="1797">
      <c r="A1797" s="193" t="s">
        <v>19120</v>
      </c>
      <c r="B1797" s="7" t="s">
        <v>16919</v>
      </c>
      <c r="C1797" s="7" t="s">
        <v>16920</v>
      </c>
      <c r="D1797" s="194">
        <v>2017.0</v>
      </c>
      <c r="E1797" s="193"/>
      <c r="F1797" s="195" t="s">
        <v>19121</v>
      </c>
      <c r="G1797" s="196">
        <v>5.9964125E9</v>
      </c>
      <c r="H1797" s="197">
        <v>12.5</v>
      </c>
      <c r="I1797" s="7" t="s">
        <v>16815</v>
      </c>
      <c r="J1797" s="7" t="s">
        <v>16919</v>
      </c>
      <c r="K1797" s="7" t="s">
        <v>16920</v>
      </c>
      <c r="L1797" s="198" t="s">
        <v>65</v>
      </c>
      <c r="M1797" s="194"/>
      <c r="N1797" s="194"/>
    </row>
    <row r="1798">
      <c r="A1798" s="193" t="s">
        <v>19120</v>
      </c>
      <c r="B1798" s="7" t="s">
        <v>16920</v>
      </c>
      <c r="C1798" s="7" t="s">
        <v>16919</v>
      </c>
      <c r="D1798" s="194">
        <v>2017.0</v>
      </c>
      <c r="E1798" s="193"/>
      <c r="F1798" s="195" t="s">
        <v>19121</v>
      </c>
      <c r="G1798" s="200">
        <v>5.9964125E9</v>
      </c>
      <c r="H1798" s="197">
        <v>12.5</v>
      </c>
      <c r="I1798" s="7" t="s">
        <v>16815</v>
      </c>
      <c r="J1798" s="7" t="s">
        <v>16920</v>
      </c>
      <c r="K1798" s="7" t="s">
        <v>16919</v>
      </c>
      <c r="L1798" s="201" t="s">
        <v>16835</v>
      </c>
      <c r="M1798" s="194"/>
      <c r="N1798" s="194"/>
    </row>
    <row r="1799">
      <c r="A1799" s="193" t="s">
        <v>19122</v>
      </c>
      <c r="B1799" s="7" t="s">
        <v>17112</v>
      </c>
      <c r="C1799" s="7" t="s">
        <v>17218</v>
      </c>
      <c r="D1799" s="199"/>
      <c r="E1799" s="193"/>
      <c r="F1799" s="195" t="s">
        <v>19123</v>
      </c>
      <c r="G1799" s="196">
        <v>5.98732217E9</v>
      </c>
      <c r="H1799" s="197">
        <v>9.4</v>
      </c>
      <c r="I1799" s="7" t="s">
        <v>16815</v>
      </c>
      <c r="J1799" s="7" t="s">
        <v>17112</v>
      </c>
      <c r="K1799" s="7" t="s">
        <v>17218</v>
      </c>
      <c r="L1799" s="198" t="s">
        <v>65</v>
      </c>
      <c r="M1799" s="199"/>
      <c r="N1799" s="199"/>
    </row>
    <row r="1800">
      <c r="A1800" s="193" t="s">
        <v>19122</v>
      </c>
      <c r="B1800" s="7" t="s">
        <v>17218</v>
      </c>
      <c r="C1800" s="7" t="s">
        <v>17112</v>
      </c>
      <c r="D1800" s="199"/>
      <c r="E1800" s="193"/>
      <c r="F1800" s="195" t="s">
        <v>19123</v>
      </c>
      <c r="G1800" s="200">
        <v>5.98732217E9</v>
      </c>
      <c r="H1800" s="197">
        <v>9.4</v>
      </c>
      <c r="I1800" s="7" t="s">
        <v>16815</v>
      </c>
      <c r="J1800" s="7" t="s">
        <v>17218</v>
      </c>
      <c r="K1800" s="7" t="s">
        <v>17112</v>
      </c>
      <c r="L1800" s="201" t="s">
        <v>16835</v>
      </c>
      <c r="M1800" s="199"/>
      <c r="N1800" s="199"/>
    </row>
    <row r="1801">
      <c r="A1801" s="193" t="s">
        <v>19124</v>
      </c>
      <c r="B1801" s="7" t="s">
        <v>175</v>
      </c>
      <c r="C1801" s="7" t="s">
        <v>19006</v>
      </c>
      <c r="D1801" s="199"/>
      <c r="E1801" s="193"/>
      <c r="F1801" s="195" t="s">
        <v>19125</v>
      </c>
      <c r="G1801" s="196">
        <v>5.982122334E9</v>
      </c>
      <c r="H1801" s="197">
        <v>43.11</v>
      </c>
      <c r="I1801" s="193" t="s">
        <v>16908</v>
      </c>
      <c r="J1801" s="7" t="s">
        <v>175</v>
      </c>
      <c r="K1801" s="7" t="s">
        <v>19006</v>
      </c>
      <c r="L1801" s="198" t="s">
        <v>65</v>
      </c>
      <c r="M1801" s="199"/>
      <c r="N1801" s="199"/>
    </row>
    <row r="1802">
      <c r="A1802" s="193" t="s">
        <v>19126</v>
      </c>
      <c r="D1802" s="194">
        <v>2023.0</v>
      </c>
      <c r="E1802" s="193"/>
      <c r="F1802" s="195" t="s">
        <v>19127</v>
      </c>
      <c r="G1802" s="196">
        <v>5.963755038E9</v>
      </c>
      <c r="H1802" s="197">
        <v>42.91</v>
      </c>
      <c r="I1802" s="7" t="s">
        <v>16815</v>
      </c>
      <c r="L1802" s="198" t="s">
        <v>65</v>
      </c>
      <c r="M1802" s="194"/>
      <c r="N1802" s="194"/>
    </row>
    <row r="1803">
      <c r="A1803" s="193" t="s">
        <v>19126</v>
      </c>
      <c r="D1803" s="194">
        <v>2023.0</v>
      </c>
      <c r="E1803" s="193"/>
      <c r="F1803" s="195" t="s">
        <v>19127</v>
      </c>
      <c r="G1803" s="200">
        <v>5.963755038E9</v>
      </c>
      <c r="H1803" s="197">
        <v>42.91</v>
      </c>
      <c r="L1803" s="201" t="s">
        <v>16835</v>
      </c>
      <c r="M1803" s="194"/>
      <c r="N1803" s="194"/>
    </row>
    <row r="1804">
      <c r="A1804" s="193" t="s">
        <v>19128</v>
      </c>
      <c r="B1804" s="7" t="s">
        <v>175</v>
      </c>
      <c r="C1804" s="7" t="s">
        <v>17022</v>
      </c>
      <c r="D1804" s="194">
        <v>2006.0</v>
      </c>
      <c r="E1804" s="193"/>
      <c r="F1804" s="195" t="s">
        <v>19129</v>
      </c>
      <c r="G1804" s="196">
        <v>5.957628789E9</v>
      </c>
      <c r="H1804" s="197">
        <v>61.71</v>
      </c>
      <c r="I1804" s="7" t="s">
        <v>168</v>
      </c>
      <c r="J1804" s="7" t="s">
        <v>175</v>
      </c>
      <c r="K1804" s="7" t="s">
        <v>17022</v>
      </c>
      <c r="L1804" s="198" t="s">
        <v>65</v>
      </c>
      <c r="M1804" s="194"/>
      <c r="N1804" s="194"/>
    </row>
    <row r="1805">
      <c r="A1805" s="193" t="s">
        <v>19130</v>
      </c>
      <c r="B1805" s="7" t="s">
        <v>16867</v>
      </c>
      <c r="C1805" s="7" t="s">
        <v>16838</v>
      </c>
      <c r="D1805" s="199"/>
      <c r="E1805" s="193"/>
      <c r="F1805" s="195" t="s">
        <v>19131</v>
      </c>
      <c r="G1805" s="200">
        <v>5.955748198E9</v>
      </c>
      <c r="H1805" s="197">
        <v>92.99</v>
      </c>
      <c r="I1805" s="7" t="s">
        <v>16815</v>
      </c>
      <c r="J1805" s="7" t="s">
        <v>16867</v>
      </c>
      <c r="K1805" s="7" t="s">
        <v>16838</v>
      </c>
      <c r="L1805" s="201" t="s">
        <v>16835</v>
      </c>
      <c r="M1805" s="199"/>
      <c r="N1805" s="199"/>
    </row>
    <row r="1806">
      <c r="A1806" s="193" t="s">
        <v>19130</v>
      </c>
      <c r="B1806" s="7" t="s">
        <v>16838</v>
      </c>
      <c r="C1806" s="7" t="s">
        <v>16867</v>
      </c>
      <c r="D1806" s="199"/>
      <c r="E1806" s="193"/>
      <c r="F1806" s="195" t="s">
        <v>19131</v>
      </c>
      <c r="G1806" s="196">
        <v>5.955748198E9</v>
      </c>
      <c r="H1806" s="197">
        <v>92.99</v>
      </c>
      <c r="I1806" s="7" t="s">
        <v>16815</v>
      </c>
      <c r="J1806" s="7" t="s">
        <v>16838</v>
      </c>
      <c r="K1806" s="7" t="s">
        <v>16867</v>
      </c>
      <c r="L1806" s="198" t="s">
        <v>65</v>
      </c>
      <c r="M1806" s="199"/>
      <c r="N1806" s="199"/>
    </row>
    <row r="1807">
      <c r="A1807" s="193" t="s">
        <v>19132</v>
      </c>
      <c r="B1807" s="7" t="s">
        <v>16582</v>
      </c>
      <c r="C1807" s="7" t="s">
        <v>16930</v>
      </c>
      <c r="D1807" s="199"/>
      <c r="E1807" s="193"/>
      <c r="F1807" s="195" t="s">
        <v>19133</v>
      </c>
      <c r="G1807" s="196">
        <v>5.947816375E9</v>
      </c>
      <c r="H1807" s="197">
        <v>112.36</v>
      </c>
      <c r="I1807" s="7" t="s">
        <v>16815</v>
      </c>
      <c r="J1807" s="7" t="s">
        <v>16582</v>
      </c>
      <c r="K1807" s="7" t="s">
        <v>16930</v>
      </c>
      <c r="L1807" s="198" t="s">
        <v>65</v>
      </c>
      <c r="M1807" s="199"/>
      <c r="N1807" s="199"/>
    </row>
    <row r="1808">
      <c r="A1808" s="193" t="s">
        <v>19132</v>
      </c>
      <c r="B1808" s="7" t="s">
        <v>16930</v>
      </c>
      <c r="C1808" s="7" t="s">
        <v>16582</v>
      </c>
      <c r="D1808" s="199"/>
      <c r="E1808" s="193"/>
      <c r="F1808" s="195" t="s">
        <v>19133</v>
      </c>
      <c r="G1808" s="200">
        <v>5.947816375E9</v>
      </c>
      <c r="H1808" s="197">
        <v>112.36</v>
      </c>
      <c r="I1808" s="7" t="s">
        <v>16815</v>
      </c>
      <c r="J1808" s="7" t="s">
        <v>16930</v>
      </c>
      <c r="K1808" s="7" t="s">
        <v>16582</v>
      </c>
      <c r="L1808" s="201" t="s">
        <v>16835</v>
      </c>
      <c r="M1808" s="199"/>
      <c r="N1808" s="199"/>
    </row>
    <row r="1809">
      <c r="A1809" s="193" t="s">
        <v>19134</v>
      </c>
      <c r="B1809" s="7" t="s">
        <v>187</v>
      </c>
      <c r="C1809" s="7" t="s">
        <v>16969</v>
      </c>
      <c r="D1809" s="194">
        <v>2019.0</v>
      </c>
      <c r="E1809" s="193"/>
      <c r="F1809" s="195" t="s">
        <v>19135</v>
      </c>
      <c r="G1809" s="196">
        <v>5.940007783E9</v>
      </c>
      <c r="H1809" s="197">
        <v>160.99</v>
      </c>
      <c r="I1809" s="7" t="s">
        <v>16815</v>
      </c>
      <c r="J1809" s="7" t="s">
        <v>187</v>
      </c>
      <c r="K1809" s="7" t="s">
        <v>16969</v>
      </c>
      <c r="L1809" s="198" t="s">
        <v>65</v>
      </c>
      <c r="M1809" s="194"/>
      <c r="N1809" s="194"/>
    </row>
    <row r="1810">
      <c r="A1810" s="193" t="s">
        <v>19136</v>
      </c>
      <c r="B1810" s="7" t="s">
        <v>175</v>
      </c>
      <c r="C1810" s="7" t="s">
        <v>16854</v>
      </c>
      <c r="D1810" s="194">
        <v>2014.0</v>
      </c>
      <c r="E1810" s="193"/>
      <c r="F1810" s="195" t="s">
        <v>19137</v>
      </c>
      <c r="G1810" s="196">
        <v>5.907442674E9</v>
      </c>
      <c r="H1810" s="197">
        <v>68.99</v>
      </c>
      <c r="I1810" s="7" t="s">
        <v>16892</v>
      </c>
      <c r="J1810" s="7" t="s">
        <v>175</v>
      </c>
      <c r="K1810" s="7" t="s">
        <v>16854</v>
      </c>
      <c r="L1810" s="198" t="s">
        <v>65</v>
      </c>
      <c r="M1810" s="194"/>
      <c r="N1810" s="194"/>
    </row>
    <row r="1811">
      <c r="A1811" s="193" t="s">
        <v>19138</v>
      </c>
      <c r="B1811" s="7" t="s">
        <v>175</v>
      </c>
      <c r="C1811" s="7" t="s">
        <v>19139</v>
      </c>
      <c r="D1811" s="194">
        <v>2000.0</v>
      </c>
      <c r="E1811" s="193"/>
      <c r="F1811" s="195" t="s">
        <v>19140</v>
      </c>
      <c r="G1811" s="196">
        <v>5.89648721E9</v>
      </c>
      <c r="H1811" s="197">
        <v>33.89</v>
      </c>
      <c r="I1811" s="7" t="s">
        <v>16908</v>
      </c>
      <c r="J1811" s="7" t="s">
        <v>175</v>
      </c>
      <c r="K1811" s="7" t="s">
        <v>19139</v>
      </c>
      <c r="L1811" s="198" t="s">
        <v>65</v>
      </c>
      <c r="M1811" s="194"/>
      <c r="N1811" s="194"/>
    </row>
    <row r="1812">
      <c r="A1812" s="193" t="s">
        <v>19138</v>
      </c>
      <c r="B1812" s="7" t="s">
        <v>19139</v>
      </c>
      <c r="C1812" s="7" t="s">
        <v>175</v>
      </c>
      <c r="D1812" s="194">
        <v>2000.0</v>
      </c>
      <c r="E1812" s="193"/>
      <c r="F1812" s="195" t="s">
        <v>19140</v>
      </c>
      <c r="G1812" s="200">
        <v>5.89648721E9</v>
      </c>
      <c r="H1812" s="197">
        <v>33.89</v>
      </c>
      <c r="I1812" s="7" t="s">
        <v>16815</v>
      </c>
      <c r="J1812" s="7" t="s">
        <v>19139</v>
      </c>
      <c r="K1812" s="7" t="s">
        <v>175</v>
      </c>
      <c r="L1812" s="201" t="s">
        <v>16835</v>
      </c>
      <c r="M1812" s="194"/>
      <c r="N1812" s="194"/>
    </row>
    <row r="1813">
      <c r="A1813" s="193" t="s">
        <v>19141</v>
      </c>
      <c r="B1813" s="7" t="s">
        <v>16582</v>
      </c>
      <c r="C1813" s="7" t="s">
        <v>16930</v>
      </c>
      <c r="D1813" s="199"/>
      <c r="E1813" s="193"/>
      <c r="F1813" s="195" t="s">
        <v>19142</v>
      </c>
      <c r="G1813" s="196">
        <v>5.889007731E9</v>
      </c>
      <c r="H1813" s="197">
        <v>2.91</v>
      </c>
      <c r="I1813" s="7" t="s">
        <v>16815</v>
      </c>
      <c r="J1813" s="7" t="s">
        <v>16582</v>
      </c>
      <c r="K1813" s="7" t="s">
        <v>16930</v>
      </c>
      <c r="L1813" s="198" t="s">
        <v>65</v>
      </c>
      <c r="M1813" s="199"/>
      <c r="N1813" s="199"/>
    </row>
    <row r="1814">
      <c r="A1814" s="193" t="s">
        <v>19143</v>
      </c>
      <c r="B1814" s="7" t="s">
        <v>17202</v>
      </c>
      <c r="C1814" s="7" t="s">
        <v>16838</v>
      </c>
      <c r="D1814" s="199"/>
      <c r="E1814" s="193"/>
      <c r="F1814" s="195" t="s">
        <v>19144</v>
      </c>
      <c r="G1814" s="200">
        <v>5.880171539E9</v>
      </c>
      <c r="H1814" s="197">
        <v>13.08</v>
      </c>
      <c r="I1814" s="7" t="s">
        <v>16815</v>
      </c>
      <c r="J1814" s="7" t="s">
        <v>17202</v>
      </c>
      <c r="K1814" s="7" t="s">
        <v>16838</v>
      </c>
      <c r="L1814" s="201" t="s">
        <v>16835</v>
      </c>
      <c r="M1814" s="199"/>
      <c r="N1814" s="199"/>
    </row>
    <row r="1815">
      <c r="A1815" s="193" t="s">
        <v>19143</v>
      </c>
      <c r="B1815" s="7" t="s">
        <v>16838</v>
      </c>
      <c r="C1815" s="7" t="s">
        <v>17202</v>
      </c>
      <c r="D1815" s="199"/>
      <c r="E1815" s="193"/>
      <c r="F1815" s="195" t="s">
        <v>19144</v>
      </c>
      <c r="G1815" s="196">
        <v>5.880171539E9</v>
      </c>
      <c r="H1815" s="197">
        <v>13.08</v>
      </c>
      <c r="I1815" s="7" t="s">
        <v>16815</v>
      </c>
      <c r="J1815" s="7" t="s">
        <v>16838</v>
      </c>
      <c r="K1815" s="7" t="s">
        <v>17202</v>
      </c>
      <c r="L1815" s="198" t="s">
        <v>65</v>
      </c>
      <c r="M1815" s="199"/>
      <c r="N1815" s="199"/>
    </row>
    <row r="1816">
      <c r="A1816" s="193" t="s">
        <v>19145</v>
      </c>
      <c r="B1816" s="7" t="s">
        <v>16582</v>
      </c>
      <c r="C1816" s="7" t="s">
        <v>16828</v>
      </c>
      <c r="D1816" s="194">
        <v>1998.0</v>
      </c>
      <c r="E1816" s="193"/>
      <c r="F1816" s="195" t="s">
        <v>19146</v>
      </c>
      <c r="G1816" s="196">
        <v>5.878773287E9</v>
      </c>
      <c r="H1816" s="197">
        <v>23.92</v>
      </c>
      <c r="I1816" s="7" t="s">
        <v>16815</v>
      </c>
      <c r="J1816" s="7" t="s">
        <v>16582</v>
      </c>
      <c r="K1816" s="7" t="s">
        <v>16828</v>
      </c>
      <c r="L1816" s="198" t="s">
        <v>65</v>
      </c>
      <c r="M1816" s="194"/>
      <c r="N1816" s="194"/>
    </row>
    <row r="1817">
      <c r="A1817" s="193" t="s">
        <v>19147</v>
      </c>
      <c r="B1817" s="7" t="s">
        <v>175</v>
      </c>
      <c r="C1817" s="7" t="s">
        <v>17812</v>
      </c>
      <c r="D1817" s="194">
        <v>2007.0</v>
      </c>
      <c r="E1817" s="193"/>
      <c r="F1817" s="195" t="s">
        <v>19148</v>
      </c>
      <c r="G1817" s="196">
        <v>5.856574759E9</v>
      </c>
      <c r="H1817" s="197">
        <v>32.3</v>
      </c>
      <c r="I1817" s="7" t="s">
        <v>16908</v>
      </c>
      <c r="J1817" s="7" t="s">
        <v>175</v>
      </c>
      <c r="K1817" s="7" t="s">
        <v>17812</v>
      </c>
      <c r="L1817" s="198" t="s">
        <v>65</v>
      </c>
      <c r="M1817" s="194"/>
      <c r="N1817" s="194"/>
    </row>
    <row r="1818">
      <c r="A1818" s="193" t="s">
        <v>19147</v>
      </c>
      <c r="B1818" s="7" t="s">
        <v>17812</v>
      </c>
      <c r="C1818" s="7" t="s">
        <v>175</v>
      </c>
      <c r="D1818" s="194">
        <v>2007.0</v>
      </c>
      <c r="E1818" s="193"/>
      <c r="F1818" s="195" t="s">
        <v>19148</v>
      </c>
      <c r="G1818" s="200">
        <v>5.856574759E9</v>
      </c>
      <c r="H1818" s="197">
        <v>32.3</v>
      </c>
      <c r="I1818" s="7" t="s">
        <v>16815</v>
      </c>
      <c r="J1818" s="7" t="s">
        <v>17812</v>
      </c>
      <c r="K1818" s="7" t="s">
        <v>175</v>
      </c>
      <c r="L1818" s="201" t="s">
        <v>16835</v>
      </c>
      <c r="M1818" s="194"/>
      <c r="N1818" s="194"/>
    </row>
    <row r="1819">
      <c r="A1819" s="193" t="s">
        <v>19149</v>
      </c>
      <c r="B1819" s="7" t="s">
        <v>169</v>
      </c>
      <c r="C1819" s="7" t="s">
        <v>17442</v>
      </c>
      <c r="D1819" s="199"/>
      <c r="E1819" s="193"/>
      <c r="F1819" s="195" t="s">
        <v>19150</v>
      </c>
      <c r="G1819" s="196">
        <v>5.853671105E9</v>
      </c>
      <c r="H1819" s="197">
        <v>167.79</v>
      </c>
      <c r="I1819" s="7" t="s">
        <v>16815</v>
      </c>
      <c r="J1819" s="7" t="s">
        <v>169</v>
      </c>
      <c r="K1819" s="7" t="s">
        <v>17442</v>
      </c>
      <c r="L1819" s="198" t="s">
        <v>65</v>
      </c>
      <c r="M1819" s="199"/>
      <c r="N1819" s="199"/>
    </row>
    <row r="1820">
      <c r="A1820" s="193" t="s">
        <v>19149</v>
      </c>
      <c r="B1820" s="7" t="s">
        <v>17442</v>
      </c>
      <c r="C1820" s="7" t="s">
        <v>169</v>
      </c>
      <c r="D1820" s="199"/>
      <c r="E1820" s="193"/>
      <c r="F1820" s="195" t="s">
        <v>19150</v>
      </c>
      <c r="G1820" s="200">
        <v>5.853671105E9</v>
      </c>
      <c r="H1820" s="197">
        <v>167.79</v>
      </c>
      <c r="I1820" s="7" t="s">
        <v>16815</v>
      </c>
      <c r="J1820" s="7" t="s">
        <v>17442</v>
      </c>
      <c r="K1820" s="7" t="s">
        <v>169</v>
      </c>
      <c r="L1820" s="201" t="s">
        <v>16835</v>
      </c>
      <c r="M1820" s="199"/>
      <c r="N1820" s="199"/>
    </row>
    <row r="1821">
      <c r="A1821" s="193" t="s">
        <v>19151</v>
      </c>
      <c r="B1821" s="7" t="s">
        <v>175</v>
      </c>
      <c r="C1821" s="7" t="s">
        <v>17394</v>
      </c>
      <c r="D1821" s="194">
        <v>2017.0</v>
      </c>
      <c r="E1821" s="193"/>
      <c r="F1821" s="195" t="s">
        <v>19152</v>
      </c>
      <c r="G1821" s="196">
        <v>5.827778684E9</v>
      </c>
      <c r="H1821" s="197">
        <v>29.19</v>
      </c>
      <c r="I1821" s="7" t="s">
        <v>16908</v>
      </c>
      <c r="J1821" s="7" t="s">
        <v>175</v>
      </c>
      <c r="K1821" s="7" t="s">
        <v>17394</v>
      </c>
      <c r="L1821" s="198" t="s">
        <v>65</v>
      </c>
      <c r="M1821" s="194"/>
      <c r="N1821" s="194"/>
    </row>
    <row r="1822">
      <c r="A1822" s="193" t="s">
        <v>19151</v>
      </c>
      <c r="B1822" s="7" t="s">
        <v>17394</v>
      </c>
      <c r="C1822" s="7" t="s">
        <v>175</v>
      </c>
      <c r="D1822" s="194">
        <v>2017.0</v>
      </c>
      <c r="E1822" s="193"/>
      <c r="F1822" s="195" t="s">
        <v>19152</v>
      </c>
      <c r="G1822" s="200">
        <v>5.827778684E9</v>
      </c>
      <c r="H1822" s="197">
        <v>29.19</v>
      </c>
      <c r="I1822" s="7" t="s">
        <v>16815</v>
      </c>
      <c r="J1822" s="7" t="s">
        <v>17394</v>
      </c>
      <c r="K1822" s="7" t="s">
        <v>175</v>
      </c>
      <c r="L1822" s="201" t="s">
        <v>16835</v>
      </c>
      <c r="M1822" s="194"/>
      <c r="N1822" s="194"/>
    </row>
    <row r="1823">
      <c r="A1823" s="193" t="s">
        <v>19153</v>
      </c>
      <c r="B1823" s="7" t="s">
        <v>17321</v>
      </c>
      <c r="C1823" s="7" t="s">
        <v>169</v>
      </c>
      <c r="D1823" s="194">
        <v>2023.0</v>
      </c>
      <c r="E1823" s="193"/>
      <c r="F1823" s="195" t="s">
        <v>19154</v>
      </c>
      <c r="G1823" s="200">
        <v>5.804771181E9</v>
      </c>
      <c r="H1823" s="197">
        <v>102.17</v>
      </c>
      <c r="I1823" s="7" t="s">
        <v>16815</v>
      </c>
      <c r="J1823" s="7" t="s">
        <v>17321</v>
      </c>
      <c r="K1823" s="7" t="s">
        <v>169</v>
      </c>
      <c r="L1823" s="201" t="s">
        <v>16835</v>
      </c>
      <c r="M1823" s="194"/>
      <c r="N1823" s="194"/>
    </row>
    <row r="1824">
      <c r="A1824" s="193" t="s">
        <v>19153</v>
      </c>
      <c r="B1824" s="7" t="s">
        <v>169</v>
      </c>
      <c r="C1824" s="7" t="s">
        <v>17321</v>
      </c>
      <c r="D1824" s="194">
        <v>2023.0</v>
      </c>
      <c r="E1824" s="193"/>
      <c r="F1824" s="195" t="s">
        <v>19154</v>
      </c>
      <c r="G1824" s="196">
        <v>5.804771181E9</v>
      </c>
      <c r="H1824" s="197">
        <v>102.17</v>
      </c>
      <c r="I1824" s="7" t="s">
        <v>16815</v>
      </c>
      <c r="J1824" s="7" t="s">
        <v>169</v>
      </c>
      <c r="K1824" s="7" t="s">
        <v>17321</v>
      </c>
      <c r="L1824" s="198" t="s">
        <v>65</v>
      </c>
      <c r="M1824" s="194"/>
      <c r="N1824" s="194"/>
    </row>
    <row r="1825">
      <c r="A1825" s="193" t="s">
        <v>19155</v>
      </c>
      <c r="B1825" s="7" t="s">
        <v>187</v>
      </c>
      <c r="C1825" s="7" t="s">
        <v>17259</v>
      </c>
      <c r="D1825" s="194">
        <v>2007.0</v>
      </c>
      <c r="E1825" s="193"/>
      <c r="F1825" s="195" t="s">
        <v>19156</v>
      </c>
      <c r="G1825" s="196">
        <v>5.804419111E9</v>
      </c>
      <c r="H1825" s="197">
        <v>102.82</v>
      </c>
      <c r="I1825" s="7" t="s">
        <v>16815</v>
      </c>
      <c r="J1825" s="7" t="s">
        <v>187</v>
      </c>
      <c r="K1825" s="7" t="s">
        <v>17259</v>
      </c>
      <c r="L1825" s="198" t="s">
        <v>65</v>
      </c>
      <c r="M1825" s="194"/>
      <c r="N1825" s="194"/>
    </row>
    <row r="1826">
      <c r="A1826" s="193" t="s">
        <v>19157</v>
      </c>
      <c r="B1826" s="7" t="s">
        <v>175</v>
      </c>
      <c r="C1826" s="7" t="s">
        <v>17318</v>
      </c>
      <c r="D1826" s="199"/>
      <c r="E1826" s="193"/>
      <c r="F1826" s="195" t="s">
        <v>19158</v>
      </c>
      <c r="G1826" s="196">
        <v>5.79436272E9</v>
      </c>
      <c r="H1826" s="197">
        <v>14.9</v>
      </c>
      <c r="I1826" s="7" t="s">
        <v>16856</v>
      </c>
      <c r="J1826" s="7" t="s">
        <v>175</v>
      </c>
      <c r="K1826" s="7" t="s">
        <v>17318</v>
      </c>
      <c r="L1826" s="198" t="s">
        <v>65</v>
      </c>
      <c r="M1826" s="199"/>
      <c r="N1826" s="199"/>
    </row>
    <row r="1827">
      <c r="A1827" s="193" t="s">
        <v>19157</v>
      </c>
      <c r="B1827" s="7" t="s">
        <v>17318</v>
      </c>
      <c r="C1827" s="7" t="s">
        <v>175</v>
      </c>
      <c r="D1827" s="199"/>
      <c r="E1827" s="193"/>
      <c r="F1827" s="195" t="s">
        <v>19158</v>
      </c>
      <c r="G1827" s="200">
        <v>5.79436272E9</v>
      </c>
      <c r="H1827" s="197">
        <v>14.9</v>
      </c>
      <c r="I1827" s="7" t="s">
        <v>16815</v>
      </c>
      <c r="J1827" s="7" t="s">
        <v>17318</v>
      </c>
      <c r="K1827" s="7" t="s">
        <v>175</v>
      </c>
      <c r="L1827" s="201" t="s">
        <v>16835</v>
      </c>
      <c r="M1827" s="199"/>
      <c r="N1827" s="199"/>
    </row>
    <row r="1828">
      <c r="A1828" s="193" t="s">
        <v>19159</v>
      </c>
      <c r="B1828" s="7" t="s">
        <v>16582</v>
      </c>
      <c r="C1828" s="7" t="s">
        <v>16817</v>
      </c>
      <c r="D1828" s="194">
        <v>2021.0</v>
      </c>
      <c r="E1828" s="193"/>
      <c r="F1828" s="195" t="s">
        <v>19160</v>
      </c>
      <c r="G1828" s="196">
        <v>5.7508746E9</v>
      </c>
      <c r="H1828" s="197">
        <v>35.18</v>
      </c>
      <c r="I1828" s="7" t="s">
        <v>16815</v>
      </c>
      <c r="J1828" s="7" t="s">
        <v>16582</v>
      </c>
      <c r="K1828" s="7" t="s">
        <v>16817</v>
      </c>
      <c r="L1828" s="198" t="s">
        <v>65</v>
      </c>
      <c r="M1828" s="194"/>
      <c r="N1828" s="194"/>
    </row>
    <row r="1829">
      <c r="A1829" s="193" t="s">
        <v>19161</v>
      </c>
      <c r="B1829" s="7" t="s">
        <v>17111</v>
      </c>
      <c r="C1829" s="7" t="s">
        <v>17112</v>
      </c>
      <c r="D1829" s="194">
        <v>1994.0</v>
      </c>
      <c r="E1829" s="193"/>
      <c r="F1829" s="195" t="s">
        <v>19162</v>
      </c>
      <c r="G1829" s="200">
        <v>5.726183581E9</v>
      </c>
      <c r="H1829" s="197">
        <v>43.29</v>
      </c>
      <c r="I1829" s="7" t="s">
        <v>16815</v>
      </c>
      <c r="J1829" s="7" t="s">
        <v>17111</v>
      </c>
      <c r="K1829" s="7" t="s">
        <v>17112</v>
      </c>
      <c r="L1829" s="201" t="s">
        <v>16835</v>
      </c>
      <c r="M1829" s="194"/>
      <c r="N1829" s="194"/>
    </row>
    <row r="1830">
      <c r="A1830" s="193" t="s">
        <v>19161</v>
      </c>
      <c r="B1830" s="7" t="s">
        <v>17112</v>
      </c>
      <c r="C1830" s="7" t="s">
        <v>17111</v>
      </c>
      <c r="D1830" s="194">
        <v>1994.0</v>
      </c>
      <c r="E1830" s="193"/>
      <c r="F1830" s="195" t="s">
        <v>19162</v>
      </c>
      <c r="G1830" s="196">
        <v>5.726183581E9</v>
      </c>
      <c r="H1830" s="197">
        <v>43.29</v>
      </c>
      <c r="I1830" s="7" t="s">
        <v>16815</v>
      </c>
      <c r="J1830" s="7" t="s">
        <v>17112</v>
      </c>
      <c r="K1830" s="7" t="s">
        <v>17111</v>
      </c>
      <c r="L1830" s="198" t="s">
        <v>65</v>
      </c>
      <c r="M1830" s="194"/>
      <c r="N1830" s="194"/>
    </row>
    <row r="1831">
      <c r="A1831" s="193" t="s">
        <v>19163</v>
      </c>
      <c r="B1831" s="7" t="s">
        <v>16582</v>
      </c>
      <c r="C1831" s="7" t="s">
        <v>16817</v>
      </c>
      <c r="D1831" s="194">
        <v>2017.0</v>
      </c>
      <c r="E1831" s="193"/>
      <c r="F1831" s="195" t="s">
        <v>19164</v>
      </c>
      <c r="G1831" s="196">
        <v>5.718773753E9</v>
      </c>
      <c r="H1831" s="197">
        <v>70.03</v>
      </c>
      <c r="I1831" s="7" t="s">
        <v>16815</v>
      </c>
      <c r="J1831" s="7" t="s">
        <v>16582</v>
      </c>
      <c r="K1831" s="7" t="s">
        <v>16817</v>
      </c>
      <c r="L1831" s="198" t="s">
        <v>65</v>
      </c>
      <c r="M1831" s="194"/>
      <c r="N1831" s="194"/>
    </row>
    <row r="1832">
      <c r="A1832" s="193" t="s">
        <v>19165</v>
      </c>
      <c r="B1832" s="7" t="s">
        <v>175</v>
      </c>
      <c r="C1832" s="7" t="s">
        <v>19166</v>
      </c>
      <c r="D1832" s="194">
        <v>2016.0</v>
      </c>
      <c r="E1832" s="193"/>
      <c r="F1832" s="195" t="s">
        <v>19167</v>
      </c>
      <c r="G1832" s="196">
        <v>5.7169387E9</v>
      </c>
      <c r="H1832" s="197">
        <v>126.69</v>
      </c>
      <c r="I1832" s="7" t="s">
        <v>17242</v>
      </c>
      <c r="J1832" s="7" t="s">
        <v>175</v>
      </c>
      <c r="K1832" s="7" t="s">
        <v>19166</v>
      </c>
      <c r="L1832" s="198" t="s">
        <v>65</v>
      </c>
      <c r="M1832" s="194"/>
      <c r="N1832" s="194"/>
    </row>
    <row r="1833">
      <c r="A1833" s="193" t="s">
        <v>19165</v>
      </c>
      <c r="B1833" s="7" t="s">
        <v>19166</v>
      </c>
      <c r="C1833" s="7" t="s">
        <v>175</v>
      </c>
      <c r="D1833" s="194">
        <v>2016.0</v>
      </c>
      <c r="E1833" s="193"/>
      <c r="F1833" s="195" t="s">
        <v>19167</v>
      </c>
      <c r="G1833" s="200">
        <v>5.7169387E9</v>
      </c>
      <c r="H1833" s="197">
        <v>126.69</v>
      </c>
      <c r="I1833" s="7" t="s">
        <v>16815</v>
      </c>
      <c r="J1833" s="7" t="s">
        <v>19166</v>
      </c>
      <c r="K1833" s="7" t="s">
        <v>175</v>
      </c>
      <c r="L1833" s="201" t="s">
        <v>16835</v>
      </c>
      <c r="M1833" s="194"/>
      <c r="N1833" s="194"/>
    </row>
    <row r="1834">
      <c r="A1834" s="193" t="s">
        <v>19168</v>
      </c>
      <c r="B1834" s="7" t="s">
        <v>169</v>
      </c>
      <c r="C1834" s="7" t="s">
        <v>17495</v>
      </c>
      <c r="D1834" s="194">
        <v>2020.0</v>
      </c>
      <c r="E1834" s="193"/>
      <c r="F1834" s="195" t="s">
        <v>19169</v>
      </c>
      <c r="G1834" s="196">
        <v>5.701750622E9</v>
      </c>
      <c r="H1834" s="197">
        <v>27.15</v>
      </c>
      <c r="I1834" s="7" t="s">
        <v>16815</v>
      </c>
      <c r="J1834" s="7" t="s">
        <v>169</v>
      </c>
      <c r="K1834" s="7" t="s">
        <v>17495</v>
      </c>
      <c r="L1834" s="198" t="s">
        <v>65</v>
      </c>
      <c r="M1834" s="194"/>
      <c r="N1834" s="194"/>
    </row>
    <row r="1835">
      <c r="A1835" s="193" t="s">
        <v>19170</v>
      </c>
      <c r="B1835" s="7" t="s">
        <v>17111</v>
      </c>
      <c r="C1835" s="7" t="s">
        <v>17112</v>
      </c>
      <c r="D1835" s="199"/>
      <c r="E1835" s="193"/>
      <c r="F1835" s="195" t="s">
        <v>19171</v>
      </c>
      <c r="G1835" s="200">
        <v>5.694441968E9</v>
      </c>
      <c r="H1835" s="197">
        <v>56.65</v>
      </c>
      <c r="I1835" s="7" t="s">
        <v>16815</v>
      </c>
      <c r="J1835" s="7" t="s">
        <v>17111</v>
      </c>
      <c r="K1835" s="7" t="s">
        <v>17112</v>
      </c>
      <c r="L1835" s="201" t="s">
        <v>16835</v>
      </c>
      <c r="M1835" s="199"/>
      <c r="N1835" s="199"/>
    </row>
    <row r="1836">
      <c r="A1836" s="193" t="s">
        <v>19170</v>
      </c>
      <c r="B1836" s="7" t="s">
        <v>17112</v>
      </c>
      <c r="C1836" s="7" t="s">
        <v>17111</v>
      </c>
      <c r="D1836" s="199"/>
      <c r="E1836" s="193"/>
      <c r="F1836" s="195" t="s">
        <v>19172</v>
      </c>
      <c r="G1836" s="196">
        <v>5.694441968E9</v>
      </c>
      <c r="H1836" s="197">
        <v>56.65</v>
      </c>
      <c r="I1836" s="7" t="s">
        <v>16815</v>
      </c>
      <c r="J1836" s="7" t="s">
        <v>17112</v>
      </c>
      <c r="K1836" s="7" t="s">
        <v>17111</v>
      </c>
      <c r="L1836" s="198" t="s">
        <v>65</v>
      </c>
      <c r="M1836" s="199"/>
      <c r="N1836" s="199"/>
    </row>
    <row r="1837">
      <c r="A1837" s="193" t="s">
        <v>19173</v>
      </c>
      <c r="B1837" s="7" t="s">
        <v>16919</v>
      </c>
      <c r="C1837" s="7" t="s">
        <v>17048</v>
      </c>
      <c r="D1837" s="199"/>
      <c r="E1837" s="193"/>
      <c r="F1837" s="195" t="s">
        <v>19174</v>
      </c>
      <c r="G1837" s="196">
        <v>5.679536375E9</v>
      </c>
      <c r="H1837" s="197">
        <v>2.58</v>
      </c>
      <c r="I1837" s="7" t="s">
        <v>16815</v>
      </c>
      <c r="J1837" s="7" t="s">
        <v>16919</v>
      </c>
      <c r="K1837" s="7" t="s">
        <v>17048</v>
      </c>
      <c r="L1837" s="198" t="s">
        <v>65</v>
      </c>
      <c r="M1837" s="199"/>
      <c r="N1837" s="199"/>
    </row>
    <row r="1838">
      <c r="A1838" s="193" t="s">
        <v>19173</v>
      </c>
      <c r="B1838" s="7" t="s">
        <v>17048</v>
      </c>
      <c r="C1838" s="7" t="s">
        <v>16919</v>
      </c>
      <c r="D1838" s="199"/>
      <c r="E1838" s="193"/>
      <c r="F1838" s="195" t="s">
        <v>19174</v>
      </c>
      <c r="G1838" s="200">
        <v>5.679536375E9</v>
      </c>
      <c r="H1838" s="197">
        <v>2.58</v>
      </c>
      <c r="I1838" s="7" t="s">
        <v>16815</v>
      </c>
      <c r="J1838" s="7" t="s">
        <v>17048</v>
      </c>
      <c r="K1838" s="7" t="s">
        <v>16919</v>
      </c>
      <c r="L1838" s="201" t="s">
        <v>16835</v>
      </c>
      <c r="M1838" s="199"/>
      <c r="N1838" s="199"/>
    </row>
    <row r="1839">
      <c r="A1839" s="193" t="s">
        <v>19175</v>
      </c>
      <c r="B1839" s="7" t="s">
        <v>169</v>
      </c>
      <c r="C1839" s="7" t="s">
        <v>16899</v>
      </c>
      <c r="D1839" s="199"/>
      <c r="E1839" s="193"/>
      <c r="F1839" s="195" t="s">
        <v>19176</v>
      </c>
      <c r="G1839" s="196">
        <v>5.670628E9</v>
      </c>
      <c r="H1839" s="197">
        <v>29.11</v>
      </c>
      <c r="I1839" s="7" t="s">
        <v>16815</v>
      </c>
      <c r="J1839" s="7" t="s">
        <v>169</v>
      </c>
      <c r="K1839" s="7" t="s">
        <v>16899</v>
      </c>
      <c r="L1839" s="198" t="s">
        <v>65</v>
      </c>
      <c r="M1839" s="199"/>
      <c r="N1839" s="199"/>
    </row>
    <row r="1840">
      <c r="A1840" s="193" t="s">
        <v>19177</v>
      </c>
      <c r="B1840" s="7" t="s">
        <v>158</v>
      </c>
      <c r="C1840" s="7" t="s">
        <v>17339</v>
      </c>
      <c r="D1840" s="199"/>
      <c r="E1840" s="193"/>
      <c r="F1840" s="195" t="s">
        <v>19178</v>
      </c>
      <c r="G1840" s="196">
        <v>5.659934748E9</v>
      </c>
      <c r="H1840" s="197">
        <v>227.28</v>
      </c>
      <c r="I1840" s="7" t="s">
        <v>17098</v>
      </c>
      <c r="J1840" s="7" t="s">
        <v>158</v>
      </c>
      <c r="K1840" s="7" t="s">
        <v>17339</v>
      </c>
      <c r="L1840" s="198" t="s">
        <v>65</v>
      </c>
      <c r="M1840" s="199"/>
      <c r="N1840" s="199"/>
    </row>
    <row r="1841">
      <c r="A1841" s="193" t="s">
        <v>19179</v>
      </c>
      <c r="B1841" s="7" t="s">
        <v>175</v>
      </c>
      <c r="C1841" s="7" t="s">
        <v>17168</v>
      </c>
      <c r="D1841" s="194">
        <v>2015.0</v>
      </c>
      <c r="E1841" s="193"/>
      <c r="F1841" s="195" t="s">
        <v>19180</v>
      </c>
      <c r="G1841" s="196">
        <v>5.653411011E9</v>
      </c>
      <c r="H1841" s="197">
        <v>64.14</v>
      </c>
      <c r="I1841" s="7" t="s">
        <v>168</v>
      </c>
      <c r="J1841" s="7" t="s">
        <v>175</v>
      </c>
      <c r="K1841" s="7" t="s">
        <v>17168</v>
      </c>
      <c r="L1841" s="198" t="s">
        <v>65</v>
      </c>
      <c r="M1841" s="194"/>
      <c r="N1841" s="194"/>
    </row>
    <row r="1842">
      <c r="A1842" s="193" t="s">
        <v>19179</v>
      </c>
      <c r="B1842" s="7" t="s">
        <v>17168</v>
      </c>
      <c r="C1842" s="7" t="s">
        <v>175</v>
      </c>
      <c r="D1842" s="194">
        <v>2015.0</v>
      </c>
      <c r="E1842" s="193"/>
      <c r="F1842" s="195" t="s">
        <v>19180</v>
      </c>
      <c r="G1842" s="200">
        <v>5.653411011E9</v>
      </c>
      <c r="H1842" s="197">
        <v>64.14</v>
      </c>
      <c r="I1842" s="7" t="s">
        <v>16815</v>
      </c>
      <c r="J1842" s="7" t="s">
        <v>17168</v>
      </c>
      <c r="K1842" s="7" t="s">
        <v>175</v>
      </c>
      <c r="L1842" s="201" t="s">
        <v>16835</v>
      </c>
      <c r="M1842" s="194"/>
      <c r="N1842" s="194"/>
    </row>
    <row r="1843">
      <c r="A1843" s="193" t="s">
        <v>19181</v>
      </c>
      <c r="B1843" s="7" t="s">
        <v>175</v>
      </c>
      <c r="C1843" s="7" t="s">
        <v>17480</v>
      </c>
      <c r="D1843" s="199"/>
      <c r="E1843" s="193"/>
      <c r="F1843" s="195" t="s">
        <v>19182</v>
      </c>
      <c r="G1843" s="196">
        <v>5.643316646E9</v>
      </c>
      <c r="H1843" s="197">
        <v>132.72</v>
      </c>
      <c r="I1843" s="7" t="s">
        <v>16826</v>
      </c>
      <c r="J1843" s="7" t="s">
        <v>175</v>
      </c>
      <c r="K1843" s="7" t="s">
        <v>17480</v>
      </c>
      <c r="L1843" s="198" t="s">
        <v>65</v>
      </c>
      <c r="M1843" s="199"/>
      <c r="N1843" s="199"/>
    </row>
    <row r="1844">
      <c r="A1844" s="193" t="s">
        <v>19181</v>
      </c>
      <c r="B1844" s="7" t="s">
        <v>17480</v>
      </c>
      <c r="C1844" s="7" t="s">
        <v>175</v>
      </c>
      <c r="D1844" s="199"/>
      <c r="E1844" s="193"/>
      <c r="F1844" s="195" t="s">
        <v>19182</v>
      </c>
      <c r="G1844" s="200">
        <v>5.643316646E9</v>
      </c>
      <c r="H1844" s="197">
        <v>132.72</v>
      </c>
      <c r="I1844" s="7" t="s">
        <v>16815</v>
      </c>
      <c r="J1844" s="7" t="s">
        <v>17480</v>
      </c>
      <c r="K1844" s="7" t="s">
        <v>175</v>
      </c>
      <c r="L1844" s="201" t="s">
        <v>16835</v>
      </c>
      <c r="M1844" s="199"/>
      <c r="N1844" s="199"/>
    </row>
    <row r="1845">
      <c r="A1845" s="193" t="s">
        <v>19183</v>
      </c>
      <c r="B1845" s="7" t="s">
        <v>169</v>
      </c>
      <c r="C1845" s="7" t="s">
        <v>16899</v>
      </c>
      <c r="D1845" s="194">
        <v>1995.0</v>
      </c>
      <c r="E1845" s="193"/>
      <c r="F1845" s="195" t="s">
        <v>19184</v>
      </c>
      <c r="G1845" s="196">
        <v>5.642863915E9</v>
      </c>
      <c r="H1845" s="197">
        <v>98.58</v>
      </c>
      <c r="I1845" s="7" t="s">
        <v>16815</v>
      </c>
      <c r="J1845" s="7" t="s">
        <v>169</v>
      </c>
      <c r="K1845" s="7" t="s">
        <v>16899</v>
      </c>
      <c r="L1845" s="198" t="s">
        <v>65</v>
      </c>
      <c r="M1845" s="194"/>
      <c r="N1845" s="194"/>
    </row>
    <row r="1846">
      <c r="A1846" s="193" t="s">
        <v>19183</v>
      </c>
      <c r="B1846" s="7" t="s">
        <v>16899</v>
      </c>
      <c r="C1846" s="7" t="s">
        <v>169</v>
      </c>
      <c r="D1846" s="194">
        <v>1995.0</v>
      </c>
      <c r="E1846" s="193"/>
      <c r="F1846" s="195" t="s">
        <v>19184</v>
      </c>
      <c r="G1846" s="200">
        <v>5.642863915E9</v>
      </c>
      <c r="H1846" s="197">
        <v>98.58</v>
      </c>
      <c r="I1846" s="7" t="s">
        <v>16815</v>
      </c>
      <c r="J1846" s="7" t="s">
        <v>16899</v>
      </c>
      <c r="K1846" s="7" t="s">
        <v>169</v>
      </c>
      <c r="L1846" s="201" t="s">
        <v>16835</v>
      </c>
      <c r="M1846" s="194"/>
      <c r="N1846" s="194"/>
    </row>
    <row r="1847">
      <c r="A1847" s="193" t="s">
        <v>19185</v>
      </c>
      <c r="B1847" s="7" t="s">
        <v>17112</v>
      </c>
      <c r="C1847" s="7" t="s">
        <v>17111</v>
      </c>
      <c r="D1847" s="194">
        <v>2008.0</v>
      </c>
      <c r="E1847" s="193"/>
      <c r="F1847" s="195" t="s">
        <v>19186</v>
      </c>
      <c r="G1847" s="196">
        <v>5.637289216E9</v>
      </c>
      <c r="H1847" s="197">
        <v>8.4</v>
      </c>
      <c r="I1847" s="7" t="s">
        <v>16815</v>
      </c>
      <c r="J1847" s="7" t="s">
        <v>17112</v>
      </c>
      <c r="K1847" s="7" t="s">
        <v>17111</v>
      </c>
      <c r="L1847" s="198" t="s">
        <v>65</v>
      </c>
      <c r="M1847" s="194"/>
      <c r="N1847" s="194"/>
    </row>
    <row r="1848">
      <c r="A1848" s="193" t="s">
        <v>19187</v>
      </c>
      <c r="B1848" s="7" t="s">
        <v>16838</v>
      </c>
      <c r="C1848" s="7" t="s">
        <v>16867</v>
      </c>
      <c r="D1848" s="199"/>
      <c r="E1848" s="193"/>
      <c r="F1848" s="195" t="s">
        <v>19188</v>
      </c>
      <c r="G1848" s="196">
        <v>5.63026529E9</v>
      </c>
      <c r="H1848" s="197">
        <v>45.3</v>
      </c>
      <c r="I1848" s="7" t="s">
        <v>16815</v>
      </c>
      <c r="J1848" s="7" t="s">
        <v>16838</v>
      </c>
      <c r="K1848" s="7" t="s">
        <v>16867</v>
      </c>
      <c r="L1848" s="198" t="s">
        <v>65</v>
      </c>
      <c r="M1848" s="199"/>
      <c r="N1848" s="199"/>
    </row>
    <row r="1849">
      <c r="A1849" s="193" t="s">
        <v>19189</v>
      </c>
      <c r="B1849" s="7" t="s">
        <v>17552</v>
      </c>
      <c r="C1849" s="7" t="s">
        <v>187</v>
      </c>
      <c r="D1849" s="194">
        <v>2022.0</v>
      </c>
      <c r="E1849" s="193"/>
      <c r="F1849" s="195" t="s">
        <v>19190</v>
      </c>
      <c r="G1849" s="200">
        <v>5.627726535E9</v>
      </c>
      <c r="H1849" s="197">
        <v>16.04</v>
      </c>
      <c r="I1849" s="7" t="s">
        <v>16815</v>
      </c>
      <c r="J1849" s="7" t="s">
        <v>17552</v>
      </c>
      <c r="K1849" s="7" t="s">
        <v>187</v>
      </c>
      <c r="L1849" s="201" t="s">
        <v>16835</v>
      </c>
      <c r="M1849" s="194"/>
      <c r="N1849" s="194"/>
    </row>
    <row r="1850">
      <c r="A1850" s="193" t="s">
        <v>19189</v>
      </c>
      <c r="B1850" s="7" t="s">
        <v>187</v>
      </c>
      <c r="C1850" s="7" t="s">
        <v>17552</v>
      </c>
      <c r="D1850" s="194">
        <v>2022.0</v>
      </c>
      <c r="E1850" s="193"/>
      <c r="F1850" s="195" t="s">
        <v>19190</v>
      </c>
      <c r="G1850" s="196">
        <v>5.627726535E9</v>
      </c>
      <c r="H1850" s="197">
        <v>16.04</v>
      </c>
      <c r="I1850" s="7" t="s">
        <v>16815</v>
      </c>
      <c r="J1850" s="7" t="s">
        <v>187</v>
      </c>
      <c r="K1850" s="7" t="s">
        <v>17552</v>
      </c>
      <c r="L1850" s="198" t="s">
        <v>65</v>
      </c>
      <c r="M1850" s="194"/>
      <c r="N1850" s="194"/>
    </row>
    <row r="1851">
      <c r="A1851" s="193" t="s">
        <v>19191</v>
      </c>
      <c r="B1851" s="7" t="s">
        <v>175</v>
      </c>
      <c r="C1851" s="7" t="s">
        <v>17318</v>
      </c>
      <c r="D1851" s="194">
        <v>2019.0</v>
      </c>
      <c r="E1851" s="193"/>
      <c r="F1851" s="195" t="s">
        <v>19192</v>
      </c>
      <c r="G1851" s="196">
        <v>5.62740115E9</v>
      </c>
      <c r="H1851" s="197">
        <v>14.17</v>
      </c>
      <c r="I1851" s="7" t="s">
        <v>168</v>
      </c>
      <c r="J1851" s="7" t="s">
        <v>175</v>
      </c>
      <c r="K1851" s="7" t="s">
        <v>17318</v>
      </c>
      <c r="L1851" s="198" t="s">
        <v>65</v>
      </c>
      <c r="M1851" s="194"/>
      <c r="N1851" s="194"/>
    </row>
    <row r="1852">
      <c r="A1852" s="193" t="s">
        <v>19191</v>
      </c>
      <c r="B1852" s="7" t="s">
        <v>17318</v>
      </c>
      <c r="C1852" s="7" t="s">
        <v>175</v>
      </c>
      <c r="D1852" s="194">
        <v>2019.0</v>
      </c>
      <c r="E1852" s="193"/>
      <c r="F1852" s="195" t="s">
        <v>19192</v>
      </c>
      <c r="G1852" s="200">
        <v>5.62740115E9</v>
      </c>
      <c r="H1852" s="197">
        <v>14.17</v>
      </c>
      <c r="I1852" s="7" t="s">
        <v>16815</v>
      </c>
      <c r="J1852" s="7" t="s">
        <v>17318</v>
      </c>
      <c r="K1852" s="7" t="s">
        <v>175</v>
      </c>
      <c r="L1852" s="201" t="s">
        <v>16835</v>
      </c>
      <c r="M1852" s="194"/>
      <c r="N1852" s="194"/>
    </row>
    <row r="1853">
      <c r="A1853" s="193" t="s">
        <v>19193</v>
      </c>
      <c r="B1853" s="7" t="s">
        <v>17111</v>
      </c>
      <c r="C1853" s="7" t="s">
        <v>17112</v>
      </c>
      <c r="D1853" s="199"/>
      <c r="E1853" s="193"/>
      <c r="F1853" s="195" t="s">
        <v>19194</v>
      </c>
      <c r="G1853" s="200">
        <v>5.618569756E9</v>
      </c>
      <c r="H1853" s="197">
        <v>94.1</v>
      </c>
      <c r="I1853" s="7" t="s">
        <v>16815</v>
      </c>
      <c r="J1853" s="7" t="s">
        <v>17111</v>
      </c>
      <c r="K1853" s="7" t="s">
        <v>17112</v>
      </c>
      <c r="L1853" s="201" t="s">
        <v>16835</v>
      </c>
      <c r="M1853" s="199"/>
      <c r="N1853" s="199"/>
    </row>
    <row r="1854">
      <c r="A1854" s="193" t="s">
        <v>19193</v>
      </c>
      <c r="B1854" s="7" t="s">
        <v>17112</v>
      </c>
      <c r="C1854" s="7" t="s">
        <v>17111</v>
      </c>
      <c r="D1854" s="199"/>
      <c r="E1854" s="193"/>
      <c r="F1854" s="195" t="s">
        <v>19194</v>
      </c>
      <c r="G1854" s="196">
        <v>5.618569756E9</v>
      </c>
      <c r="H1854" s="197">
        <v>94.1</v>
      </c>
      <c r="I1854" s="7" t="s">
        <v>16815</v>
      </c>
      <c r="J1854" s="7" t="s">
        <v>17112</v>
      </c>
      <c r="K1854" s="7" t="s">
        <v>17111</v>
      </c>
      <c r="L1854" s="198" t="s">
        <v>65</v>
      </c>
      <c r="M1854" s="199"/>
      <c r="N1854" s="199"/>
    </row>
    <row r="1855">
      <c r="A1855" s="193" t="s">
        <v>19195</v>
      </c>
      <c r="B1855" s="7" t="s">
        <v>16919</v>
      </c>
      <c r="C1855" s="7" t="s">
        <v>16920</v>
      </c>
      <c r="D1855" s="199"/>
      <c r="E1855" s="193"/>
      <c r="F1855" s="195" t="s">
        <v>19196</v>
      </c>
      <c r="G1855" s="196">
        <v>5.614704001E9</v>
      </c>
      <c r="H1855" s="197">
        <v>12.29</v>
      </c>
      <c r="I1855" s="7" t="s">
        <v>16815</v>
      </c>
      <c r="J1855" s="7" t="s">
        <v>16919</v>
      </c>
      <c r="K1855" s="7" t="s">
        <v>16920</v>
      </c>
      <c r="L1855" s="198" t="s">
        <v>65</v>
      </c>
      <c r="M1855" s="199"/>
      <c r="N1855" s="199"/>
    </row>
    <row r="1856">
      <c r="A1856" s="193" t="s">
        <v>19195</v>
      </c>
      <c r="B1856" s="7" t="s">
        <v>16920</v>
      </c>
      <c r="C1856" s="7" t="s">
        <v>16919</v>
      </c>
      <c r="D1856" s="199"/>
      <c r="E1856" s="193"/>
      <c r="F1856" s="195" t="s">
        <v>19196</v>
      </c>
      <c r="G1856" s="200">
        <v>5.614704001E9</v>
      </c>
      <c r="H1856" s="197">
        <v>12.29</v>
      </c>
      <c r="I1856" s="7" t="s">
        <v>16815</v>
      </c>
      <c r="J1856" s="7" t="s">
        <v>16920</v>
      </c>
      <c r="K1856" s="7" t="s">
        <v>16919</v>
      </c>
      <c r="L1856" s="201" t="s">
        <v>16835</v>
      </c>
      <c r="M1856" s="199"/>
      <c r="N1856" s="199"/>
    </row>
    <row r="1857">
      <c r="A1857" s="193" t="s">
        <v>19197</v>
      </c>
      <c r="B1857" s="7" t="s">
        <v>175</v>
      </c>
      <c r="C1857" s="7" t="s">
        <v>17233</v>
      </c>
      <c r="D1857" s="199"/>
      <c r="E1857" s="193"/>
      <c r="F1857" s="195" t="s">
        <v>19198</v>
      </c>
      <c r="G1857" s="196">
        <v>5.60710063E9</v>
      </c>
      <c r="H1857" s="197">
        <v>13.18</v>
      </c>
      <c r="I1857" s="7" t="s">
        <v>168</v>
      </c>
      <c r="J1857" s="7" t="s">
        <v>175</v>
      </c>
      <c r="K1857" s="7" t="s">
        <v>17233</v>
      </c>
      <c r="L1857" s="198" t="s">
        <v>65</v>
      </c>
      <c r="M1857" s="199"/>
      <c r="N1857" s="199"/>
    </row>
    <row r="1858">
      <c r="A1858" s="193" t="s">
        <v>19197</v>
      </c>
      <c r="B1858" s="7" t="s">
        <v>17233</v>
      </c>
      <c r="C1858" s="7" t="s">
        <v>175</v>
      </c>
      <c r="D1858" s="199"/>
      <c r="E1858" s="193"/>
      <c r="F1858" s="195" t="s">
        <v>19198</v>
      </c>
      <c r="G1858" s="200">
        <v>5.60710063E9</v>
      </c>
      <c r="H1858" s="197">
        <v>13.18</v>
      </c>
      <c r="I1858" s="7" t="s">
        <v>16815</v>
      </c>
      <c r="J1858" s="7" t="s">
        <v>17233</v>
      </c>
      <c r="K1858" s="7" t="s">
        <v>175</v>
      </c>
      <c r="L1858" s="201" t="s">
        <v>16835</v>
      </c>
      <c r="M1858" s="199"/>
      <c r="N1858" s="199"/>
    </row>
    <row r="1859">
      <c r="A1859" s="193" t="s">
        <v>19199</v>
      </c>
      <c r="B1859" s="7" t="s">
        <v>175</v>
      </c>
      <c r="C1859" s="7" t="s">
        <v>17168</v>
      </c>
      <c r="D1859" s="194">
        <v>1993.0</v>
      </c>
      <c r="E1859" s="193"/>
      <c r="F1859" s="195" t="s">
        <v>19200</v>
      </c>
      <c r="G1859" s="196">
        <v>5.605542405E9</v>
      </c>
      <c r="H1859" s="197">
        <v>57.28</v>
      </c>
      <c r="I1859" s="7" t="s">
        <v>16908</v>
      </c>
      <c r="J1859" s="7" t="s">
        <v>175</v>
      </c>
      <c r="K1859" s="7" t="s">
        <v>17168</v>
      </c>
      <c r="L1859" s="198" t="s">
        <v>65</v>
      </c>
      <c r="M1859" s="194"/>
      <c r="N1859" s="194"/>
    </row>
    <row r="1860">
      <c r="A1860" s="193" t="s">
        <v>19199</v>
      </c>
      <c r="B1860" s="7" t="s">
        <v>17168</v>
      </c>
      <c r="C1860" s="7" t="s">
        <v>175</v>
      </c>
      <c r="D1860" s="194">
        <v>1993.0</v>
      </c>
      <c r="E1860" s="193"/>
      <c r="F1860" s="195" t="s">
        <v>19200</v>
      </c>
      <c r="G1860" s="200">
        <v>5.605542405E9</v>
      </c>
      <c r="H1860" s="197">
        <v>57.28</v>
      </c>
      <c r="I1860" s="7" t="s">
        <v>16815</v>
      </c>
      <c r="J1860" s="7" t="s">
        <v>17168</v>
      </c>
      <c r="K1860" s="7" t="s">
        <v>175</v>
      </c>
      <c r="L1860" s="201" t="s">
        <v>16835</v>
      </c>
      <c r="M1860" s="194"/>
      <c r="N1860" s="194"/>
    </row>
    <row r="1861">
      <c r="A1861" s="193" t="s">
        <v>19201</v>
      </c>
      <c r="B1861" s="7" t="s">
        <v>17202</v>
      </c>
      <c r="C1861" s="7" t="s">
        <v>16838</v>
      </c>
      <c r="D1861" s="194">
        <v>2019.0</v>
      </c>
      <c r="E1861" s="193"/>
      <c r="F1861" s="195" t="s">
        <v>19202</v>
      </c>
      <c r="G1861" s="200">
        <v>5.588769327E9</v>
      </c>
      <c r="H1861" s="197">
        <v>14.34</v>
      </c>
      <c r="I1861" s="7" t="s">
        <v>16815</v>
      </c>
      <c r="J1861" s="7" t="s">
        <v>17202</v>
      </c>
      <c r="K1861" s="7" t="s">
        <v>16838</v>
      </c>
      <c r="L1861" s="201" t="s">
        <v>16835</v>
      </c>
      <c r="M1861" s="194"/>
      <c r="N1861" s="194"/>
    </row>
    <row r="1862">
      <c r="A1862" s="193" t="s">
        <v>19201</v>
      </c>
      <c r="B1862" s="7" t="s">
        <v>16838</v>
      </c>
      <c r="C1862" s="7" t="s">
        <v>17202</v>
      </c>
      <c r="D1862" s="194">
        <v>2019.0</v>
      </c>
      <c r="E1862" s="193"/>
      <c r="F1862" s="195" t="s">
        <v>19202</v>
      </c>
      <c r="G1862" s="196">
        <v>5.588769327E9</v>
      </c>
      <c r="H1862" s="197">
        <v>14.34</v>
      </c>
      <c r="I1862" s="7" t="s">
        <v>16815</v>
      </c>
      <c r="J1862" s="7" t="s">
        <v>16838</v>
      </c>
      <c r="K1862" s="7" t="s">
        <v>17202</v>
      </c>
      <c r="L1862" s="198" t="s">
        <v>65</v>
      </c>
      <c r="M1862" s="194"/>
      <c r="N1862" s="194"/>
    </row>
    <row r="1863">
      <c r="A1863" s="193" t="s">
        <v>19203</v>
      </c>
      <c r="B1863" s="7" t="s">
        <v>16582</v>
      </c>
      <c r="C1863" s="7" t="s">
        <v>16930</v>
      </c>
      <c r="D1863" s="194">
        <v>2018.0</v>
      </c>
      <c r="E1863" s="193"/>
      <c r="F1863" s="195" t="s">
        <v>19204</v>
      </c>
      <c r="G1863" s="196">
        <v>5.587246924E9</v>
      </c>
      <c r="H1863" s="197">
        <v>14.16</v>
      </c>
      <c r="I1863" s="7" t="s">
        <v>16815</v>
      </c>
      <c r="J1863" s="7" t="s">
        <v>16582</v>
      </c>
      <c r="K1863" s="7" t="s">
        <v>16930</v>
      </c>
      <c r="L1863" s="198" t="s">
        <v>65</v>
      </c>
      <c r="M1863" s="194"/>
      <c r="N1863" s="194"/>
    </row>
    <row r="1864">
      <c r="A1864" s="193" t="s">
        <v>19205</v>
      </c>
      <c r="B1864" s="7" t="s">
        <v>175</v>
      </c>
      <c r="C1864" s="7" t="s">
        <v>17031</v>
      </c>
      <c r="D1864" s="194">
        <v>2004.0</v>
      </c>
      <c r="E1864" s="193"/>
      <c r="F1864" s="195" t="s">
        <v>19206</v>
      </c>
      <c r="G1864" s="196">
        <v>5.584900912E9</v>
      </c>
      <c r="H1864" s="197">
        <v>3.49</v>
      </c>
      <c r="I1864" s="193" t="s">
        <v>16908</v>
      </c>
      <c r="J1864" s="7" t="s">
        <v>175</v>
      </c>
      <c r="K1864" s="7" t="s">
        <v>17031</v>
      </c>
      <c r="L1864" s="198" t="s">
        <v>65</v>
      </c>
      <c r="M1864" s="194"/>
      <c r="N1864" s="194"/>
    </row>
    <row r="1865">
      <c r="A1865" s="193" t="s">
        <v>19205</v>
      </c>
      <c r="B1865" s="7" t="s">
        <v>17031</v>
      </c>
      <c r="C1865" s="7" t="s">
        <v>175</v>
      </c>
      <c r="D1865" s="194">
        <v>2004.0</v>
      </c>
      <c r="E1865" s="193"/>
      <c r="F1865" s="195" t="s">
        <v>19206</v>
      </c>
      <c r="G1865" s="200">
        <v>5.584900912E9</v>
      </c>
      <c r="H1865" s="197">
        <v>3.49</v>
      </c>
      <c r="I1865" s="7" t="s">
        <v>16815</v>
      </c>
      <c r="J1865" s="7" t="s">
        <v>17031</v>
      </c>
      <c r="K1865" s="7" t="s">
        <v>175</v>
      </c>
      <c r="L1865" s="201" t="s">
        <v>16835</v>
      </c>
      <c r="M1865" s="194"/>
      <c r="N1865" s="194"/>
    </row>
    <row r="1866">
      <c r="A1866" s="193" t="s">
        <v>19207</v>
      </c>
      <c r="B1866" s="7" t="s">
        <v>17532</v>
      </c>
      <c r="C1866" s="7" t="s">
        <v>169</v>
      </c>
      <c r="D1866" s="199"/>
      <c r="E1866" s="193"/>
      <c r="F1866" s="195" t="s">
        <v>19208</v>
      </c>
      <c r="G1866" s="200">
        <v>5.573848392E9</v>
      </c>
      <c r="H1866" s="197">
        <v>43.69</v>
      </c>
      <c r="I1866" s="7" t="s">
        <v>16815</v>
      </c>
      <c r="J1866" s="7" t="s">
        <v>17532</v>
      </c>
      <c r="K1866" s="7" t="s">
        <v>169</v>
      </c>
      <c r="L1866" s="201" t="s">
        <v>16835</v>
      </c>
      <c r="M1866" s="199"/>
      <c r="N1866" s="199"/>
    </row>
    <row r="1867">
      <c r="A1867" s="193" t="s">
        <v>19207</v>
      </c>
      <c r="B1867" s="7" t="s">
        <v>169</v>
      </c>
      <c r="C1867" s="7" t="s">
        <v>17532</v>
      </c>
      <c r="D1867" s="199"/>
      <c r="E1867" s="193"/>
      <c r="F1867" s="195" t="s">
        <v>19208</v>
      </c>
      <c r="G1867" s="196">
        <v>5.573848392E9</v>
      </c>
      <c r="H1867" s="197">
        <v>43.69</v>
      </c>
      <c r="I1867" s="7" t="s">
        <v>16815</v>
      </c>
      <c r="J1867" s="7" t="s">
        <v>169</v>
      </c>
      <c r="K1867" s="7" t="s">
        <v>17532</v>
      </c>
      <c r="L1867" s="198" t="s">
        <v>65</v>
      </c>
      <c r="M1867" s="199"/>
      <c r="N1867" s="199"/>
    </row>
    <row r="1868">
      <c r="A1868" s="193" t="s">
        <v>19209</v>
      </c>
      <c r="B1868" s="7" t="s">
        <v>187</v>
      </c>
      <c r="C1868" s="7" t="s">
        <v>16846</v>
      </c>
      <c r="D1868" s="194">
        <v>2017.0</v>
      </c>
      <c r="E1868" s="193"/>
      <c r="F1868" s="195" t="s">
        <v>19210</v>
      </c>
      <c r="G1868" s="196">
        <v>5.568312416E9</v>
      </c>
      <c r="H1868" s="197">
        <v>46.99</v>
      </c>
      <c r="I1868" s="7" t="s">
        <v>16815</v>
      </c>
      <c r="J1868" s="7" t="s">
        <v>187</v>
      </c>
      <c r="K1868" s="7" t="s">
        <v>16846</v>
      </c>
      <c r="L1868" s="198" t="s">
        <v>65</v>
      </c>
      <c r="M1868" s="194"/>
      <c r="N1868" s="194"/>
    </row>
    <row r="1869">
      <c r="A1869" s="193" t="s">
        <v>19211</v>
      </c>
      <c r="B1869" s="7" t="s">
        <v>17202</v>
      </c>
      <c r="C1869" s="7" t="s">
        <v>16838</v>
      </c>
      <c r="D1869" s="194">
        <v>2014.0</v>
      </c>
      <c r="E1869" s="193"/>
      <c r="F1869" s="195" t="s">
        <v>19212</v>
      </c>
      <c r="G1869" s="200">
        <v>5.550916702E9</v>
      </c>
      <c r="H1869" s="197">
        <v>19.82</v>
      </c>
      <c r="I1869" s="7" t="s">
        <v>16815</v>
      </c>
      <c r="J1869" s="7" t="s">
        <v>17202</v>
      </c>
      <c r="K1869" s="7" t="s">
        <v>16838</v>
      </c>
      <c r="L1869" s="201" t="s">
        <v>16835</v>
      </c>
      <c r="M1869" s="194"/>
      <c r="N1869" s="194"/>
    </row>
    <row r="1870">
      <c r="A1870" s="193" t="s">
        <v>19211</v>
      </c>
      <c r="B1870" s="7" t="s">
        <v>16838</v>
      </c>
      <c r="C1870" s="7" t="s">
        <v>17202</v>
      </c>
      <c r="D1870" s="194">
        <v>2014.0</v>
      </c>
      <c r="E1870" s="193"/>
      <c r="F1870" s="195" t="s">
        <v>19212</v>
      </c>
      <c r="G1870" s="196">
        <v>5.550916702E9</v>
      </c>
      <c r="H1870" s="197">
        <v>19.82</v>
      </c>
      <c r="I1870" s="7" t="s">
        <v>16815</v>
      </c>
      <c r="J1870" s="7" t="s">
        <v>16838</v>
      </c>
      <c r="K1870" s="7" t="s">
        <v>17202</v>
      </c>
      <c r="L1870" s="198" t="s">
        <v>65</v>
      </c>
      <c r="M1870" s="194"/>
      <c r="N1870" s="194"/>
    </row>
    <row r="1871">
      <c r="A1871" s="193" t="s">
        <v>19213</v>
      </c>
      <c r="B1871" s="7" t="s">
        <v>175</v>
      </c>
      <c r="C1871" s="7" t="s">
        <v>17168</v>
      </c>
      <c r="D1871" s="199"/>
      <c r="E1871" s="193"/>
      <c r="F1871" s="195" t="s">
        <v>19214</v>
      </c>
      <c r="G1871" s="196">
        <v>5.55005241E9</v>
      </c>
      <c r="H1871" s="197">
        <v>111.45</v>
      </c>
      <c r="I1871" s="7" t="s">
        <v>16908</v>
      </c>
      <c r="J1871" s="7" t="s">
        <v>175</v>
      </c>
      <c r="K1871" s="7" t="s">
        <v>17168</v>
      </c>
      <c r="L1871" s="198" t="s">
        <v>65</v>
      </c>
      <c r="M1871" s="199"/>
      <c r="N1871" s="199"/>
    </row>
    <row r="1872">
      <c r="A1872" s="193" t="s">
        <v>19213</v>
      </c>
      <c r="B1872" s="7" t="s">
        <v>17168</v>
      </c>
      <c r="C1872" s="7" t="s">
        <v>175</v>
      </c>
      <c r="D1872" s="199"/>
      <c r="E1872" s="193"/>
      <c r="F1872" s="195" t="s">
        <v>19214</v>
      </c>
      <c r="G1872" s="200">
        <v>5.55005241E9</v>
      </c>
      <c r="H1872" s="197">
        <v>111.45</v>
      </c>
      <c r="I1872" s="7" t="s">
        <v>16815</v>
      </c>
      <c r="J1872" s="7" t="s">
        <v>17168</v>
      </c>
      <c r="K1872" s="7" t="s">
        <v>175</v>
      </c>
      <c r="L1872" s="201" t="s">
        <v>16835</v>
      </c>
      <c r="M1872" s="199"/>
      <c r="N1872" s="199"/>
    </row>
    <row r="1873">
      <c r="A1873" s="193" t="s">
        <v>19215</v>
      </c>
      <c r="B1873" s="7" t="s">
        <v>17104</v>
      </c>
      <c r="C1873" s="7" t="s">
        <v>16838</v>
      </c>
      <c r="D1873" s="199"/>
      <c r="E1873" s="193"/>
      <c r="F1873" s="195" t="s">
        <v>19216</v>
      </c>
      <c r="G1873" s="200">
        <v>5.532580126E9</v>
      </c>
      <c r="H1873" s="197">
        <v>53.62</v>
      </c>
      <c r="I1873" s="7" t="s">
        <v>16815</v>
      </c>
      <c r="J1873" s="7" t="s">
        <v>17104</v>
      </c>
      <c r="K1873" s="7" t="s">
        <v>16838</v>
      </c>
      <c r="L1873" s="201" t="s">
        <v>16835</v>
      </c>
      <c r="M1873" s="199"/>
      <c r="N1873" s="199"/>
    </row>
    <row r="1874">
      <c r="A1874" s="193" t="s">
        <v>19215</v>
      </c>
      <c r="B1874" s="7" t="s">
        <v>16838</v>
      </c>
      <c r="C1874" s="7" t="s">
        <v>17104</v>
      </c>
      <c r="D1874" s="199"/>
      <c r="E1874" s="193"/>
      <c r="F1874" s="195" t="s">
        <v>19216</v>
      </c>
      <c r="G1874" s="196">
        <v>5.532580126E9</v>
      </c>
      <c r="H1874" s="197">
        <v>53.62</v>
      </c>
      <c r="I1874" s="7" t="s">
        <v>16815</v>
      </c>
      <c r="J1874" s="7" t="s">
        <v>16838</v>
      </c>
      <c r="K1874" s="7" t="s">
        <v>17104</v>
      </c>
      <c r="L1874" s="198" t="s">
        <v>65</v>
      </c>
      <c r="M1874" s="199"/>
      <c r="N1874" s="199"/>
    </row>
    <row r="1875">
      <c r="A1875" s="193" t="s">
        <v>19217</v>
      </c>
      <c r="B1875" s="7" t="s">
        <v>17111</v>
      </c>
      <c r="C1875" s="7" t="s">
        <v>17112</v>
      </c>
      <c r="D1875" s="199"/>
      <c r="E1875" s="193"/>
      <c r="F1875" s="195" t="s">
        <v>19218</v>
      </c>
      <c r="G1875" s="200">
        <v>5.530291613E9</v>
      </c>
      <c r="H1875" s="197">
        <v>14.52</v>
      </c>
      <c r="I1875" s="7" t="s">
        <v>16815</v>
      </c>
      <c r="J1875" s="7" t="s">
        <v>17111</v>
      </c>
      <c r="K1875" s="7" t="s">
        <v>17112</v>
      </c>
      <c r="L1875" s="201" t="s">
        <v>16835</v>
      </c>
      <c r="M1875" s="199"/>
      <c r="N1875" s="199"/>
    </row>
    <row r="1876">
      <c r="A1876" s="193" t="s">
        <v>19217</v>
      </c>
      <c r="B1876" s="7" t="s">
        <v>17112</v>
      </c>
      <c r="C1876" s="7" t="s">
        <v>17111</v>
      </c>
      <c r="D1876" s="199"/>
      <c r="E1876" s="193"/>
      <c r="F1876" s="195" t="s">
        <v>19218</v>
      </c>
      <c r="G1876" s="196">
        <v>5.530291613E9</v>
      </c>
      <c r="H1876" s="197">
        <v>14.52</v>
      </c>
      <c r="I1876" s="7" t="s">
        <v>16815</v>
      </c>
      <c r="J1876" s="7" t="s">
        <v>17112</v>
      </c>
      <c r="K1876" s="7" t="s">
        <v>17111</v>
      </c>
      <c r="L1876" s="198" t="s">
        <v>65</v>
      </c>
      <c r="M1876" s="199"/>
      <c r="N1876" s="199"/>
    </row>
    <row r="1877">
      <c r="A1877" s="193" t="s">
        <v>19219</v>
      </c>
      <c r="B1877" s="7" t="s">
        <v>175</v>
      </c>
      <c r="C1877" s="7" t="s">
        <v>16854</v>
      </c>
      <c r="D1877" s="194">
        <v>2014.0</v>
      </c>
      <c r="E1877" s="193"/>
      <c r="F1877" s="195" t="s">
        <v>19220</v>
      </c>
      <c r="G1877" s="196">
        <v>5.504897764E9</v>
      </c>
      <c r="H1877" s="197">
        <v>108.99</v>
      </c>
      <c r="I1877" s="7" t="s">
        <v>16903</v>
      </c>
      <c r="J1877" s="7" t="s">
        <v>175</v>
      </c>
      <c r="K1877" s="7" t="s">
        <v>16854</v>
      </c>
      <c r="L1877" s="198" t="s">
        <v>65</v>
      </c>
      <c r="M1877" s="194"/>
      <c r="N1877" s="194"/>
    </row>
    <row r="1878">
      <c r="A1878" s="193" t="s">
        <v>19219</v>
      </c>
      <c r="B1878" s="7" t="s">
        <v>16854</v>
      </c>
      <c r="C1878" s="7" t="s">
        <v>175</v>
      </c>
      <c r="D1878" s="194">
        <v>2014.0</v>
      </c>
      <c r="E1878" s="193"/>
      <c r="F1878" s="195" t="s">
        <v>19220</v>
      </c>
      <c r="G1878" s="200">
        <v>5.504897764E9</v>
      </c>
      <c r="H1878" s="197">
        <v>108.99</v>
      </c>
      <c r="I1878" s="7" t="s">
        <v>16815</v>
      </c>
      <c r="J1878" s="7" t="s">
        <v>16854</v>
      </c>
      <c r="K1878" s="7" t="s">
        <v>175</v>
      </c>
      <c r="L1878" s="201" t="s">
        <v>16835</v>
      </c>
      <c r="M1878" s="194"/>
      <c r="N1878" s="194"/>
    </row>
    <row r="1879">
      <c r="A1879" s="193" t="s">
        <v>19221</v>
      </c>
      <c r="B1879" s="7" t="s">
        <v>175</v>
      </c>
      <c r="C1879" s="7" t="s">
        <v>16972</v>
      </c>
      <c r="D1879" s="194">
        <v>2015.0</v>
      </c>
      <c r="E1879" s="193"/>
      <c r="F1879" s="195" t="s">
        <v>19222</v>
      </c>
      <c r="G1879" s="196">
        <v>5.4975931E9</v>
      </c>
      <c r="H1879" s="197">
        <v>26.99</v>
      </c>
      <c r="I1879" s="7" t="s">
        <v>16892</v>
      </c>
      <c r="J1879" s="7" t="s">
        <v>175</v>
      </c>
      <c r="K1879" s="7" t="s">
        <v>16972</v>
      </c>
      <c r="L1879" s="198" t="s">
        <v>65</v>
      </c>
      <c r="M1879" s="194"/>
      <c r="N1879" s="194"/>
    </row>
    <row r="1880">
      <c r="A1880" s="193" t="s">
        <v>19221</v>
      </c>
      <c r="B1880" s="7" t="s">
        <v>16972</v>
      </c>
      <c r="C1880" s="7" t="s">
        <v>175</v>
      </c>
      <c r="D1880" s="194">
        <v>2015.0</v>
      </c>
      <c r="E1880" s="193"/>
      <c r="F1880" s="195" t="s">
        <v>19222</v>
      </c>
      <c r="G1880" s="200">
        <v>5.4975931E9</v>
      </c>
      <c r="H1880" s="197">
        <v>26.99</v>
      </c>
      <c r="I1880" s="7" t="s">
        <v>16815</v>
      </c>
      <c r="J1880" s="7" t="s">
        <v>16972</v>
      </c>
      <c r="K1880" s="7" t="s">
        <v>175</v>
      </c>
      <c r="L1880" s="201" t="s">
        <v>16835</v>
      </c>
      <c r="M1880" s="194"/>
      <c r="N1880" s="194"/>
    </row>
    <row r="1881">
      <c r="A1881" s="193" t="s">
        <v>19223</v>
      </c>
      <c r="B1881" s="7" t="s">
        <v>16582</v>
      </c>
      <c r="C1881" s="7" t="s">
        <v>16817</v>
      </c>
      <c r="D1881" s="199"/>
      <c r="E1881" s="193"/>
      <c r="F1881" s="195" t="s">
        <v>19224</v>
      </c>
      <c r="G1881" s="196">
        <v>5.494605435E9</v>
      </c>
      <c r="H1881" s="197">
        <v>82.5</v>
      </c>
      <c r="I1881" s="7" t="s">
        <v>16815</v>
      </c>
      <c r="J1881" s="7" t="s">
        <v>16582</v>
      </c>
      <c r="K1881" s="7" t="s">
        <v>16817</v>
      </c>
      <c r="L1881" s="198" t="s">
        <v>65</v>
      </c>
      <c r="M1881" s="199"/>
      <c r="N1881" s="199"/>
    </row>
    <row r="1882">
      <c r="A1882" s="193" t="s">
        <v>19225</v>
      </c>
      <c r="B1882" s="7" t="s">
        <v>16582</v>
      </c>
      <c r="C1882" s="7" t="s">
        <v>16828</v>
      </c>
      <c r="D1882" s="194">
        <v>2012.0</v>
      </c>
      <c r="E1882" s="193"/>
      <c r="F1882" s="195" t="s">
        <v>19226</v>
      </c>
      <c r="G1882" s="196">
        <v>5.473155988E9</v>
      </c>
      <c r="H1882" s="197">
        <v>77.1</v>
      </c>
      <c r="I1882" s="7" t="s">
        <v>16815</v>
      </c>
      <c r="J1882" s="7" t="s">
        <v>16582</v>
      </c>
      <c r="K1882" s="7" t="s">
        <v>16828</v>
      </c>
      <c r="L1882" s="198" t="s">
        <v>65</v>
      </c>
      <c r="M1882" s="194"/>
      <c r="N1882" s="194"/>
    </row>
    <row r="1883">
      <c r="A1883" s="193" t="s">
        <v>19227</v>
      </c>
      <c r="B1883" s="7" t="s">
        <v>175</v>
      </c>
      <c r="C1883" s="7" t="s">
        <v>17318</v>
      </c>
      <c r="D1883" s="194">
        <v>2011.0</v>
      </c>
      <c r="E1883" s="193"/>
      <c r="F1883" s="195" t="s">
        <v>19228</v>
      </c>
      <c r="G1883" s="196">
        <v>5.467916606E9</v>
      </c>
      <c r="H1883" s="197">
        <v>47.11</v>
      </c>
      <c r="I1883" s="7" t="s">
        <v>16908</v>
      </c>
      <c r="J1883" s="7" t="s">
        <v>175</v>
      </c>
      <c r="K1883" s="7" t="s">
        <v>17318</v>
      </c>
      <c r="L1883" s="198" t="s">
        <v>65</v>
      </c>
      <c r="M1883" s="194"/>
      <c r="N1883" s="194"/>
    </row>
    <row r="1884">
      <c r="A1884" s="193" t="s">
        <v>19227</v>
      </c>
      <c r="B1884" s="7" t="s">
        <v>17318</v>
      </c>
      <c r="C1884" s="7" t="s">
        <v>175</v>
      </c>
      <c r="D1884" s="194">
        <v>2011.0</v>
      </c>
      <c r="E1884" s="193"/>
      <c r="F1884" s="195" t="s">
        <v>19228</v>
      </c>
      <c r="G1884" s="200">
        <v>5.467916606E9</v>
      </c>
      <c r="H1884" s="197">
        <v>47.11</v>
      </c>
      <c r="I1884" s="7" t="s">
        <v>16815</v>
      </c>
      <c r="J1884" s="7" t="s">
        <v>17318</v>
      </c>
      <c r="K1884" s="7" t="s">
        <v>175</v>
      </c>
      <c r="L1884" s="201" t="s">
        <v>16835</v>
      </c>
      <c r="M1884" s="194"/>
      <c r="N1884" s="194"/>
    </row>
    <row r="1885">
      <c r="A1885" s="193" t="s">
        <v>19229</v>
      </c>
      <c r="B1885" s="7" t="s">
        <v>17259</v>
      </c>
      <c r="C1885" s="7" t="s">
        <v>187</v>
      </c>
      <c r="D1885" s="199"/>
      <c r="E1885" s="193"/>
      <c r="F1885" s="195" t="s">
        <v>19230</v>
      </c>
      <c r="G1885" s="200">
        <v>5.46248208E9</v>
      </c>
      <c r="H1885" s="197">
        <v>53.79</v>
      </c>
      <c r="I1885" s="7" t="s">
        <v>16815</v>
      </c>
      <c r="J1885" s="7" t="s">
        <v>17259</v>
      </c>
      <c r="K1885" s="7" t="s">
        <v>187</v>
      </c>
      <c r="L1885" s="201" t="s">
        <v>16835</v>
      </c>
      <c r="M1885" s="199"/>
      <c r="N1885" s="199"/>
    </row>
    <row r="1886">
      <c r="A1886" s="193" t="s">
        <v>19229</v>
      </c>
      <c r="B1886" s="7" t="s">
        <v>187</v>
      </c>
      <c r="C1886" s="7" t="s">
        <v>17259</v>
      </c>
      <c r="D1886" s="199"/>
      <c r="E1886" s="193"/>
      <c r="F1886" s="195" t="s">
        <v>19230</v>
      </c>
      <c r="G1886" s="196">
        <v>5.46248208E9</v>
      </c>
      <c r="H1886" s="197">
        <v>53.79</v>
      </c>
      <c r="I1886" s="7" t="s">
        <v>16815</v>
      </c>
      <c r="J1886" s="7" t="s">
        <v>187</v>
      </c>
      <c r="K1886" s="7" t="s">
        <v>17259</v>
      </c>
      <c r="L1886" s="198" t="s">
        <v>65</v>
      </c>
      <c r="M1886" s="199"/>
      <c r="N1886" s="199"/>
    </row>
    <row r="1887">
      <c r="A1887" s="193" t="s">
        <v>19231</v>
      </c>
      <c r="B1887" s="7" t="s">
        <v>158</v>
      </c>
      <c r="C1887" s="7" t="s">
        <v>16864</v>
      </c>
      <c r="D1887" s="199"/>
      <c r="E1887" s="193"/>
      <c r="F1887" s="195" t="s">
        <v>19232</v>
      </c>
      <c r="G1887" s="196">
        <v>5.45964433E9</v>
      </c>
      <c r="H1887" s="197">
        <v>8.6</v>
      </c>
      <c r="I1887" s="7" t="s">
        <v>180</v>
      </c>
      <c r="J1887" s="7" t="s">
        <v>158</v>
      </c>
      <c r="K1887" s="7" t="s">
        <v>16864</v>
      </c>
      <c r="L1887" s="198" t="s">
        <v>65</v>
      </c>
      <c r="M1887" s="199"/>
      <c r="N1887" s="199"/>
    </row>
    <row r="1888">
      <c r="A1888" s="193" t="s">
        <v>19231</v>
      </c>
      <c r="B1888" s="202" t="s">
        <v>16864</v>
      </c>
      <c r="C1888" s="193" t="s">
        <v>158</v>
      </c>
      <c r="D1888" s="206"/>
      <c r="E1888" s="193"/>
      <c r="F1888" s="203" t="s">
        <v>19232</v>
      </c>
      <c r="G1888" s="200">
        <v>5.45964433E9</v>
      </c>
      <c r="H1888" s="205">
        <v>35.16</v>
      </c>
      <c r="J1888" s="202" t="s">
        <v>16864</v>
      </c>
      <c r="K1888" s="193" t="s">
        <v>158</v>
      </c>
      <c r="L1888" s="193" t="s">
        <v>17471</v>
      </c>
      <c r="M1888" s="206"/>
      <c r="N1888" s="206"/>
    </row>
    <row r="1889">
      <c r="A1889" s="193" t="s">
        <v>19233</v>
      </c>
      <c r="B1889" s="7" t="s">
        <v>16945</v>
      </c>
      <c r="C1889" s="7" t="s">
        <v>169</v>
      </c>
      <c r="D1889" s="199"/>
      <c r="E1889" s="193"/>
      <c r="F1889" s="195" t="s">
        <v>19234</v>
      </c>
      <c r="G1889" s="200">
        <v>5.457981868E9</v>
      </c>
      <c r="H1889" s="197">
        <v>64.89</v>
      </c>
      <c r="I1889" s="7" t="s">
        <v>16815</v>
      </c>
      <c r="J1889" s="7" t="s">
        <v>16945</v>
      </c>
      <c r="K1889" s="7" t="s">
        <v>169</v>
      </c>
      <c r="L1889" s="201" t="s">
        <v>16835</v>
      </c>
      <c r="M1889" s="199"/>
      <c r="N1889" s="199"/>
    </row>
    <row r="1890">
      <c r="A1890" s="193" t="s">
        <v>19233</v>
      </c>
      <c r="B1890" s="7" t="s">
        <v>169</v>
      </c>
      <c r="C1890" s="7" t="s">
        <v>16945</v>
      </c>
      <c r="D1890" s="199"/>
      <c r="E1890" s="193"/>
      <c r="F1890" s="195" t="s">
        <v>19234</v>
      </c>
      <c r="G1890" s="196">
        <v>5.457981868E9</v>
      </c>
      <c r="H1890" s="197">
        <v>64.89</v>
      </c>
      <c r="I1890" s="7" t="s">
        <v>16815</v>
      </c>
      <c r="J1890" s="7" t="s">
        <v>169</v>
      </c>
      <c r="K1890" s="7" t="s">
        <v>16945</v>
      </c>
      <c r="L1890" s="198" t="s">
        <v>65</v>
      </c>
      <c r="M1890" s="199"/>
      <c r="N1890" s="199"/>
    </row>
    <row r="1891">
      <c r="A1891" s="193" t="s">
        <v>19235</v>
      </c>
      <c r="B1891" s="7" t="s">
        <v>16867</v>
      </c>
      <c r="C1891" s="7" t="s">
        <v>16838</v>
      </c>
      <c r="D1891" s="199"/>
      <c r="E1891" s="193"/>
      <c r="F1891" s="195" t="s">
        <v>19236</v>
      </c>
      <c r="G1891" s="200">
        <v>5.452940776E9</v>
      </c>
      <c r="H1891" s="197">
        <v>41.35</v>
      </c>
      <c r="I1891" s="7" t="s">
        <v>16815</v>
      </c>
      <c r="J1891" s="7" t="s">
        <v>16867</v>
      </c>
      <c r="K1891" s="7" t="s">
        <v>16838</v>
      </c>
      <c r="L1891" s="201" t="s">
        <v>16835</v>
      </c>
      <c r="M1891" s="199"/>
      <c r="N1891" s="199"/>
    </row>
    <row r="1892">
      <c r="A1892" s="193" t="s">
        <v>19235</v>
      </c>
      <c r="B1892" s="7" t="s">
        <v>16838</v>
      </c>
      <c r="C1892" s="7" t="s">
        <v>16867</v>
      </c>
      <c r="D1892" s="199"/>
      <c r="E1892" s="193"/>
      <c r="F1892" s="195" t="s">
        <v>19236</v>
      </c>
      <c r="G1892" s="196">
        <v>5.452940776E9</v>
      </c>
      <c r="H1892" s="197">
        <v>41.35</v>
      </c>
      <c r="I1892" s="7" t="s">
        <v>16815</v>
      </c>
      <c r="J1892" s="7" t="s">
        <v>16838</v>
      </c>
      <c r="K1892" s="7" t="s">
        <v>16867</v>
      </c>
      <c r="L1892" s="198" t="s">
        <v>65</v>
      </c>
      <c r="M1892" s="199"/>
      <c r="N1892" s="199"/>
    </row>
    <row r="1893">
      <c r="A1893" s="193" t="s">
        <v>19237</v>
      </c>
      <c r="B1893" s="7" t="s">
        <v>16582</v>
      </c>
      <c r="C1893" s="7" t="s">
        <v>16930</v>
      </c>
      <c r="D1893" s="194">
        <v>2018.0</v>
      </c>
      <c r="E1893" s="193"/>
      <c r="F1893" s="195" t="s">
        <v>19238</v>
      </c>
      <c r="G1893" s="196">
        <v>5.449904372E9</v>
      </c>
      <c r="H1893" s="197">
        <v>40.33</v>
      </c>
      <c r="I1893" s="7" t="s">
        <v>16815</v>
      </c>
      <c r="J1893" s="7" t="s">
        <v>16582</v>
      </c>
      <c r="K1893" s="7" t="s">
        <v>16930</v>
      </c>
      <c r="L1893" s="198" t="s">
        <v>65</v>
      </c>
      <c r="M1893" s="194"/>
      <c r="N1893" s="194"/>
    </row>
    <row r="1894">
      <c r="A1894" s="193" t="s">
        <v>19237</v>
      </c>
      <c r="B1894" s="7" t="s">
        <v>16930</v>
      </c>
      <c r="C1894" s="7" t="s">
        <v>16582</v>
      </c>
      <c r="D1894" s="194">
        <v>2018.0</v>
      </c>
      <c r="E1894" s="193"/>
      <c r="F1894" s="195" t="s">
        <v>19238</v>
      </c>
      <c r="G1894" s="200">
        <v>5.449904372E9</v>
      </c>
      <c r="H1894" s="197">
        <v>40.33</v>
      </c>
      <c r="I1894" s="7" t="s">
        <v>16815</v>
      </c>
      <c r="J1894" s="7" t="s">
        <v>16930</v>
      </c>
      <c r="K1894" s="7" t="s">
        <v>16582</v>
      </c>
      <c r="L1894" s="201" t="s">
        <v>16835</v>
      </c>
      <c r="M1894" s="194"/>
      <c r="N1894" s="194"/>
    </row>
    <row r="1895">
      <c r="A1895" s="193" t="s">
        <v>19239</v>
      </c>
      <c r="B1895" s="7" t="s">
        <v>16582</v>
      </c>
      <c r="C1895" s="7" t="s">
        <v>16930</v>
      </c>
      <c r="D1895" s="194">
        <v>2021.0</v>
      </c>
      <c r="E1895" s="193"/>
      <c r="F1895" s="195" t="s">
        <v>19240</v>
      </c>
      <c r="G1895" s="196">
        <v>5.443231379E9</v>
      </c>
      <c r="H1895" s="197">
        <v>17.68</v>
      </c>
      <c r="I1895" s="7" t="s">
        <v>16815</v>
      </c>
      <c r="J1895" s="7" t="s">
        <v>16582</v>
      </c>
      <c r="K1895" s="7" t="s">
        <v>16930</v>
      </c>
      <c r="L1895" s="198" t="s">
        <v>65</v>
      </c>
      <c r="M1895" s="194"/>
      <c r="N1895" s="194"/>
    </row>
    <row r="1896">
      <c r="A1896" s="193" t="s">
        <v>19241</v>
      </c>
      <c r="B1896" s="7" t="s">
        <v>175</v>
      </c>
      <c r="C1896" s="7" t="s">
        <v>17509</v>
      </c>
      <c r="D1896" s="199"/>
      <c r="E1896" s="193"/>
      <c r="F1896" s="195" t="s">
        <v>19242</v>
      </c>
      <c r="G1896" s="196">
        <v>5.442019202E9</v>
      </c>
      <c r="H1896" s="197">
        <v>70.39</v>
      </c>
      <c r="I1896" s="7" t="s">
        <v>16908</v>
      </c>
      <c r="J1896" s="7" t="s">
        <v>175</v>
      </c>
      <c r="K1896" s="7" t="s">
        <v>17509</v>
      </c>
      <c r="L1896" s="198" t="s">
        <v>65</v>
      </c>
      <c r="M1896" s="199"/>
      <c r="N1896" s="199"/>
    </row>
    <row r="1897">
      <c r="A1897" s="193" t="s">
        <v>19243</v>
      </c>
      <c r="B1897" s="7" t="s">
        <v>175</v>
      </c>
      <c r="C1897" s="7" t="s">
        <v>19139</v>
      </c>
      <c r="D1897" s="199"/>
      <c r="E1897" s="193"/>
      <c r="F1897" s="195" t="s">
        <v>19244</v>
      </c>
      <c r="G1897" s="196">
        <v>5.432574881E9</v>
      </c>
      <c r="H1897" s="197">
        <v>175.54</v>
      </c>
      <c r="I1897" s="7" t="s">
        <v>174</v>
      </c>
      <c r="J1897" s="7" t="s">
        <v>175</v>
      </c>
      <c r="K1897" s="7" t="s">
        <v>19139</v>
      </c>
      <c r="L1897" s="198" t="s">
        <v>65</v>
      </c>
      <c r="M1897" s="199"/>
      <c r="N1897" s="199"/>
    </row>
    <row r="1898">
      <c r="A1898" s="193" t="s">
        <v>19243</v>
      </c>
      <c r="B1898" s="7" t="s">
        <v>19139</v>
      </c>
      <c r="C1898" s="7" t="s">
        <v>175</v>
      </c>
      <c r="D1898" s="199"/>
      <c r="E1898" s="193"/>
      <c r="F1898" s="195" t="s">
        <v>19244</v>
      </c>
      <c r="G1898" s="200">
        <v>5.432574881E9</v>
      </c>
      <c r="H1898" s="197">
        <v>175.54</v>
      </c>
      <c r="I1898" s="7" t="s">
        <v>16815</v>
      </c>
      <c r="J1898" s="7" t="s">
        <v>19139</v>
      </c>
      <c r="K1898" s="7" t="s">
        <v>175</v>
      </c>
      <c r="L1898" s="201" t="s">
        <v>16835</v>
      </c>
      <c r="M1898" s="199"/>
      <c r="N1898" s="199"/>
    </row>
    <row r="1899">
      <c r="A1899" s="193" t="s">
        <v>19245</v>
      </c>
      <c r="B1899" s="7" t="s">
        <v>175</v>
      </c>
      <c r="C1899" s="7" t="s">
        <v>17452</v>
      </c>
      <c r="D1899" s="194">
        <v>2018.0</v>
      </c>
      <c r="E1899" s="193"/>
      <c r="F1899" s="195" t="s">
        <v>19246</v>
      </c>
      <c r="G1899" s="196">
        <v>5.420309132E9</v>
      </c>
      <c r="H1899" s="197">
        <v>5.88</v>
      </c>
      <c r="I1899" s="7" t="s">
        <v>16826</v>
      </c>
      <c r="J1899" s="7" t="s">
        <v>175</v>
      </c>
      <c r="K1899" s="7" t="s">
        <v>17452</v>
      </c>
      <c r="L1899" s="198" t="s">
        <v>65</v>
      </c>
      <c r="M1899" s="194"/>
      <c r="N1899" s="194"/>
    </row>
    <row r="1900">
      <c r="A1900" s="193" t="s">
        <v>19245</v>
      </c>
      <c r="B1900" s="7" t="s">
        <v>17452</v>
      </c>
      <c r="C1900" s="7" t="s">
        <v>175</v>
      </c>
      <c r="D1900" s="194">
        <v>2018.0</v>
      </c>
      <c r="E1900" s="193"/>
      <c r="F1900" s="195" t="s">
        <v>19246</v>
      </c>
      <c r="G1900" s="200">
        <v>5.420309132E9</v>
      </c>
      <c r="H1900" s="197">
        <v>5.88</v>
      </c>
      <c r="I1900" s="7" t="s">
        <v>16815</v>
      </c>
      <c r="J1900" s="7" t="s">
        <v>17452</v>
      </c>
      <c r="K1900" s="7" t="s">
        <v>175</v>
      </c>
      <c r="L1900" s="201" t="s">
        <v>16835</v>
      </c>
      <c r="M1900" s="194"/>
      <c r="N1900" s="194"/>
    </row>
    <row r="1901">
      <c r="A1901" s="193" t="s">
        <v>19247</v>
      </c>
      <c r="B1901" s="7" t="s">
        <v>17111</v>
      </c>
      <c r="C1901" s="7" t="s">
        <v>17112</v>
      </c>
      <c r="D1901" s="194">
        <v>2013.0</v>
      </c>
      <c r="E1901" s="193"/>
      <c r="F1901" s="195" t="s">
        <v>19248</v>
      </c>
      <c r="G1901" s="200">
        <v>5.380479469E9</v>
      </c>
      <c r="H1901" s="197">
        <v>38.07</v>
      </c>
      <c r="I1901" s="7" t="s">
        <v>16815</v>
      </c>
      <c r="J1901" s="7" t="s">
        <v>17111</v>
      </c>
      <c r="K1901" s="7" t="s">
        <v>17112</v>
      </c>
      <c r="L1901" s="201" t="s">
        <v>16835</v>
      </c>
      <c r="M1901" s="194"/>
      <c r="N1901" s="194"/>
    </row>
    <row r="1902">
      <c r="A1902" s="193" t="s">
        <v>19247</v>
      </c>
      <c r="B1902" s="7" t="s">
        <v>17112</v>
      </c>
      <c r="C1902" s="7" t="s">
        <v>17111</v>
      </c>
      <c r="D1902" s="194">
        <v>2013.0</v>
      </c>
      <c r="E1902" s="193"/>
      <c r="F1902" s="195" t="s">
        <v>19248</v>
      </c>
      <c r="G1902" s="196">
        <v>5.380479469E9</v>
      </c>
      <c r="H1902" s="197">
        <v>38.07</v>
      </c>
      <c r="I1902" s="7" t="s">
        <v>16815</v>
      </c>
      <c r="J1902" s="7" t="s">
        <v>17112</v>
      </c>
      <c r="K1902" s="7" t="s">
        <v>17111</v>
      </c>
      <c r="L1902" s="198" t="s">
        <v>65</v>
      </c>
      <c r="M1902" s="194"/>
      <c r="N1902" s="194"/>
    </row>
    <row r="1903">
      <c r="A1903" s="193" t="s">
        <v>19249</v>
      </c>
      <c r="B1903" s="7" t="s">
        <v>158</v>
      </c>
      <c r="C1903" s="7" t="s">
        <v>16864</v>
      </c>
      <c r="D1903" s="199"/>
      <c r="E1903" s="193"/>
      <c r="F1903" s="195" t="s">
        <v>19250</v>
      </c>
      <c r="G1903" s="196">
        <v>5.380055126E9</v>
      </c>
      <c r="H1903" s="197">
        <v>6.65</v>
      </c>
      <c r="I1903" s="7" t="s">
        <v>17316</v>
      </c>
      <c r="J1903" s="7" t="s">
        <v>158</v>
      </c>
      <c r="K1903" s="7" t="s">
        <v>16864</v>
      </c>
      <c r="L1903" s="198" t="s">
        <v>65</v>
      </c>
      <c r="M1903" s="199"/>
      <c r="N1903" s="199"/>
    </row>
    <row r="1904">
      <c r="A1904" s="193" t="s">
        <v>19249</v>
      </c>
      <c r="B1904" s="7" t="s">
        <v>16864</v>
      </c>
      <c r="C1904" s="7" t="s">
        <v>158</v>
      </c>
      <c r="D1904" s="199"/>
      <c r="E1904" s="193"/>
      <c r="F1904" s="195" t="s">
        <v>19250</v>
      </c>
      <c r="G1904" s="200">
        <v>5.380055126E9</v>
      </c>
      <c r="H1904" s="197">
        <v>6.65</v>
      </c>
      <c r="I1904" s="7" t="s">
        <v>16815</v>
      </c>
      <c r="J1904" s="7" t="s">
        <v>16864</v>
      </c>
      <c r="K1904" s="7" t="s">
        <v>158</v>
      </c>
      <c r="L1904" s="201" t="s">
        <v>16835</v>
      </c>
      <c r="M1904" s="199"/>
      <c r="N1904" s="199"/>
    </row>
    <row r="1905">
      <c r="A1905" s="193" t="s">
        <v>19251</v>
      </c>
      <c r="B1905" s="7" t="s">
        <v>16945</v>
      </c>
      <c r="C1905" s="7" t="s">
        <v>169</v>
      </c>
      <c r="D1905" s="199"/>
      <c r="E1905" s="193"/>
      <c r="F1905" s="195" t="s">
        <v>19252</v>
      </c>
      <c r="G1905" s="200">
        <v>5.363995861E9</v>
      </c>
      <c r="H1905" s="197">
        <v>43.77</v>
      </c>
      <c r="I1905" s="7" t="s">
        <v>16815</v>
      </c>
      <c r="J1905" s="7" t="s">
        <v>16945</v>
      </c>
      <c r="K1905" s="7" t="s">
        <v>169</v>
      </c>
      <c r="L1905" s="201" t="s">
        <v>16835</v>
      </c>
      <c r="M1905" s="199"/>
      <c r="N1905" s="199"/>
    </row>
    <row r="1906">
      <c r="A1906" s="193" t="s">
        <v>19251</v>
      </c>
      <c r="B1906" s="7" t="s">
        <v>169</v>
      </c>
      <c r="C1906" s="7" t="s">
        <v>16945</v>
      </c>
      <c r="D1906" s="199"/>
      <c r="E1906" s="193"/>
      <c r="F1906" s="195" t="s">
        <v>19252</v>
      </c>
      <c r="G1906" s="196">
        <v>5.363995861E9</v>
      </c>
      <c r="H1906" s="197">
        <v>43.77</v>
      </c>
      <c r="I1906" s="7" t="s">
        <v>16815</v>
      </c>
      <c r="J1906" s="7" t="s">
        <v>169</v>
      </c>
      <c r="K1906" s="7" t="s">
        <v>16945</v>
      </c>
      <c r="L1906" s="198" t="s">
        <v>65</v>
      </c>
      <c r="M1906" s="199"/>
      <c r="N1906" s="199"/>
    </row>
    <row r="1907">
      <c r="A1907" s="193" t="s">
        <v>19253</v>
      </c>
      <c r="B1907" s="7" t="s">
        <v>158</v>
      </c>
      <c r="C1907" s="7" t="s">
        <v>16864</v>
      </c>
      <c r="D1907" s="194">
        <v>2014.0</v>
      </c>
      <c r="E1907" s="193"/>
      <c r="F1907" s="195" t="s">
        <v>19254</v>
      </c>
      <c r="G1907" s="196">
        <v>5.362304703E9</v>
      </c>
      <c r="H1907" s="197">
        <v>30.15</v>
      </c>
      <c r="I1907" s="7" t="s">
        <v>17450</v>
      </c>
      <c r="J1907" s="7" t="s">
        <v>158</v>
      </c>
      <c r="K1907" s="7" t="s">
        <v>16864</v>
      </c>
      <c r="L1907" s="198" t="s">
        <v>65</v>
      </c>
      <c r="M1907" s="194"/>
      <c r="N1907" s="194"/>
    </row>
    <row r="1908">
      <c r="A1908" s="193" t="s">
        <v>19255</v>
      </c>
      <c r="B1908" s="7" t="s">
        <v>187</v>
      </c>
      <c r="C1908" s="7" t="s">
        <v>16851</v>
      </c>
      <c r="D1908" s="194">
        <v>2015.0</v>
      </c>
      <c r="E1908" s="193"/>
      <c r="F1908" s="195" t="s">
        <v>19256</v>
      </c>
      <c r="G1908" s="196">
        <v>5.356482897E9</v>
      </c>
      <c r="H1908" s="197">
        <v>46.74</v>
      </c>
      <c r="I1908" s="7" t="s">
        <v>16815</v>
      </c>
      <c r="J1908" s="7" t="s">
        <v>187</v>
      </c>
      <c r="K1908" s="7" t="s">
        <v>16851</v>
      </c>
      <c r="L1908" s="198" t="s">
        <v>65</v>
      </c>
      <c r="M1908" s="194"/>
      <c r="N1908" s="194"/>
    </row>
    <row r="1909">
      <c r="A1909" s="193" t="s">
        <v>19257</v>
      </c>
      <c r="B1909" s="7" t="s">
        <v>158</v>
      </c>
      <c r="C1909" s="7" t="s">
        <v>16870</v>
      </c>
      <c r="D1909" s="194">
        <v>2012.0</v>
      </c>
      <c r="E1909" s="193"/>
      <c r="F1909" s="195" t="s">
        <v>19258</v>
      </c>
      <c r="G1909" s="196">
        <v>5.356075879E9</v>
      </c>
      <c r="H1909" s="197">
        <v>43.83</v>
      </c>
      <c r="I1909" s="7" t="s">
        <v>17098</v>
      </c>
      <c r="J1909" s="7" t="s">
        <v>158</v>
      </c>
      <c r="K1909" s="7" t="s">
        <v>16870</v>
      </c>
      <c r="L1909" s="198" t="s">
        <v>65</v>
      </c>
      <c r="M1909" s="194"/>
      <c r="N1909" s="194"/>
    </row>
    <row r="1910">
      <c r="A1910" s="193" t="s">
        <v>19257</v>
      </c>
      <c r="B1910" s="7" t="s">
        <v>16870</v>
      </c>
      <c r="C1910" s="7" t="s">
        <v>158</v>
      </c>
      <c r="D1910" s="194">
        <v>2012.0</v>
      </c>
      <c r="E1910" s="193"/>
      <c r="F1910" s="195" t="s">
        <v>19258</v>
      </c>
      <c r="G1910" s="200">
        <v>5.356075879E9</v>
      </c>
      <c r="H1910" s="197">
        <v>43.83</v>
      </c>
      <c r="I1910" s="7" t="s">
        <v>16815</v>
      </c>
      <c r="J1910" s="7" t="s">
        <v>16870</v>
      </c>
      <c r="K1910" s="7" t="s">
        <v>158</v>
      </c>
      <c r="L1910" s="201" t="s">
        <v>16835</v>
      </c>
      <c r="M1910" s="194"/>
      <c r="N1910" s="194"/>
    </row>
    <row r="1911">
      <c r="A1911" s="193" t="s">
        <v>19259</v>
      </c>
      <c r="B1911" s="7" t="s">
        <v>158</v>
      </c>
      <c r="C1911" s="7" t="s">
        <v>16870</v>
      </c>
      <c r="D1911" s="194">
        <v>2012.0</v>
      </c>
      <c r="E1911" s="193"/>
      <c r="F1911" s="195" t="s">
        <v>19260</v>
      </c>
      <c r="G1911" s="196">
        <v>5.349335798E9</v>
      </c>
      <c r="H1911" s="197">
        <v>53.24</v>
      </c>
      <c r="I1911" s="7" t="s">
        <v>180</v>
      </c>
      <c r="J1911" s="7" t="s">
        <v>158</v>
      </c>
      <c r="K1911" s="7" t="s">
        <v>16870</v>
      </c>
      <c r="L1911" s="198" t="s">
        <v>65</v>
      </c>
      <c r="M1911" s="194"/>
      <c r="N1911" s="194"/>
    </row>
    <row r="1912">
      <c r="A1912" s="193" t="s">
        <v>19259</v>
      </c>
      <c r="B1912" s="7" t="s">
        <v>16870</v>
      </c>
      <c r="C1912" s="7" t="s">
        <v>158</v>
      </c>
      <c r="D1912" s="194">
        <v>2012.0</v>
      </c>
      <c r="E1912" s="193"/>
      <c r="F1912" s="195" t="s">
        <v>19260</v>
      </c>
      <c r="G1912" s="200">
        <v>5.349335798E9</v>
      </c>
      <c r="H1912" s="197">
        <v>53.24</v>
      </c>
      <c r="I1912" s="7" t="s">
        <v>16815</v>
      </c>
      <c r="J1912" s="7" t="s">
        <v>16870</v>
      </c>
      <c r="K1912" s="7" t="s">
        <v>158</v>
      </c>
      <c r="L1912" s="201" t="s">
        <v>16835</v>
      </c>
      <c r="M1912" s="194"/>
      <c r="N1912" s="194"/>
    </row>
    <row r="1913">
      <c r="A1913" s="193" t="s">
        <v>19261</v>
      </c>
      <c r="B1913" s="7" t="s">
        <v>187</v>
      </c>
      <c r="C1913" s="7" t="s">
        <v>16858</v>
      </c>
      <c r="D1913" s="194">
        <v>2020.0</v>
      </c>
      <c r="E1913" s="193"/>
      <c r="F1913" s="195" t="s">
        <v>19262</v>
      </c>
      <c r="G1913" s="196">
        <v>5.301640287E9</v>
      </c>
      <c r="H1913" s="197">
        <v>23.12</v>
      </c>
      <c r="I1913" s="7" t="s">
        <v>16815</v>
      </c>
      <c r="J1913" s="7" t="s">
        <v>187</v>
      </c>
      <c r="K1913" s="7" t="s">
        <v>16858</v>
      </c>
      <c r="L1913" s="198" t="s">
        <v>65</v>
      </c>
      <c r="M1913" s="194"/>
      <c r="N1913" s="194"/>
    </row>
    <row r="1914">
      <c r="A1914" s="193" t="s">
        <v>19263</v>
      </c>
      <c r="B1914" s="7" t="s">
        <v>175</v>
      </c>
      <c r="C1914" s="7" t="s">
        <v>17475</v>
      </c>
      <c r="D1914" s="199"/>
      <c r="E1914" s="193"/>
      <c r="F1914" s="195" t="s">
        <v>19264</v>
      </c>
      <c r="G1914" s="196">
        <v>5.287684529E9</v>
      </c>
      <c r="H1914" s="197">
        <v>53.98</v>
      </c>
      <c r="I1914" s="7" t="s">
        <v>17242</v>
      </c>
      <c r="J1914" s="7" t="s">
        <v>175</v>
      </c>
      <c r="K1914" s="7" t="s">
        <v>17475</v>
      </c>
      <c r="L1914" s="198" t="s">
        <v>65</v>
      </c>
      <c r="M1914" s="199"/>
      <c r="N1914" s="199"/>
    </row>
    <row r="1915">
      <c r="A1915" s="193" t="s">
        <v>19263</v>
      </c>
      <c r="B1915" s="7" t="s">
        <v>17475</v>
      </c>
      <c r="C1915" s="7" t="s">
        <v>175</v>
      </c>
      <c r="D1915" s="199"/>
      <c r="E1915" s="193"/>
      <c r="F1915" s="195" t="s">
        <v>19264</v>
      </c>
      <c r="G1915" s="200">
        <v>5.287684529E9</v>
      </c>
      <c r="H1915" s="197">
        <v>53.98</v>
      </c>
      <c r="I1915" s="7" t="s">
        <v>16815</v>
      </c>
      <c r="J1915" s="7" t="s">
        <v>17475</v>
      </c>
      <c r="K1915" s="7" t="s">
        <v>175</v>
      </c>
      <c r="L1915" s="201" t="s">
        <v>16835</v>
      </c>
      <c r="M1915" s="199"/>
      <c r="N1915" s="199"/>
    </row>
    <row r="1916">
      <c r="A1916" s="193" t="s">
        <v>19265</v>
      </c>
      <c r="B1916" s="7" t="s">
        <v>17532</v>
      </c>
      <c r="C1916" s="7" t="s">
        <v>169</v>
      </c>
      <c r="D1916" s="199"/>
      <c r="E1916" s="193"/>
      <c r="F1916" s="195" t="s">
        <v>19266</v>
      </c>
      <c r="G1916" s="200">
        <v>5.28177549E9</v>
      </c>
      <c r="H1916" s="197">
        <v>45.18</v>
      </c>
      <c r="I1916" s="7" t="s">
        <v>16815</v>
      </c>
      <c r="J1916" s="7" t="s">
        <v>17532</v>
      </c>
      <c r="K1916" s="7" t="s">
        <v>169</v>
      </c>
      <c r="L1916" s="201" t="s">
        <v>16835</v>
      </c>
      <c r="M1916" s="199"/>
      <c r="N1916" s="199"/>
    </row>
    <row r="1917">
      <c r="A1917" s="193" t="s">
        <v>19265</v>
      </c>
      <c r="B1917" s="7" t="s">
        <v>169</v>
      </c>
      <c r="C1917" s="7" t="s">
        <v>17532</v>
      </c>
      <c r="D1917" s="199"/>
      <c r="E1917" s="193"/>
      <c r="F1917" s="195" t="s">
        <v>19266</v>
      </c>
      <c r="G1917" s="196">
        <v>5.28177549E9</v>
      </c>
      <c r="H1917" s="197">
        <v>45.18</v>
      </c>
      <c r="I1917" s="7" t="s">
        <v>16815</v>
      </c>
      <c r="J1917" s="7" t="s">
        <v>169</v>
      </c>
      <c r="K1917" s="7" t="s">
        <v>17532</v>
      </c>
      <c r="L1917" s="198" t="s">
        <v>65</v>
      </c>
      <c r="M1917" s="199"/>
      <c r="N1917" s="199"/>
    </row>
    <row r="1918">
      <c r="A1918" s="193" t="s">
        <v>19267</v>
      </c>
      <c r="B1918" s="7" t="s">
        <v>16919</v>
      </c>
      <c r="C1918" s="7" t="s">
        <v>16864</v>
      </c>
      <c r="D1918" s="194">
        <v>2021.0</v>
      </c>
      <c r="E1918" s="193"/>
      <c r="F1918" s="195" t="s">
        <v>19268</v>
      </c>
      <c r="G1918" s="196">
        <v>5.278132673E9</v>
      </c>
      <c r="H1918" s="197">
        <v>54.43</v>
      </c>
      <c r="I1918" s="7" t="s">
        <v>16815</v>
      </c>
      <c r="J1918" s="7" t="s">
        <v>16919</v>
      </c>
      <c r="K1918" s="7" t="s">
        <v>16864</v>
      </c>
      <c r="L1918" s="198" t="s">
        <v>65</v>
      </c>
      <c r="M1918" s="194"/>
      <c r="N1918" s="194"/>
    </row>
    <row r="1919">
      <c r="A1919" s="193" t="s">
        <v>19267</v>
      </c>
      <c r="B1919" s="7" t="s">
        <v>16864</v>
      </c>
      <c r="C1919" s="7" t="s">
        <v>16919</v>
      </c>
      <c r="D1919" s="194">
        <v>2021.0</v>
      </c>
      <c r="E1919" s="193"/>
      <c r="F1919" s="195" t="s">
        <v>19268</v>
      </c>
      <c r="G1919" s="200">
        <v>5.278132673E9</v>
      </c>
      <c r="H1919" s="197">
        <v>54.43</v>
      </c>
      <c r="I1919" s="7" t="s">
        <v>16815</v>
      </c>
      <c r="J1919" s="7" t="s">
        <v>16864</v>
      </c>
      <c r="K1919" s="7" t="s">
        <v>16919</v>
      </c>
      <c r="L1919" s="201" t="s">
        <v>16835</v>
      </c>
      <c r="M1919" s="194"/>
      <c r="N1919" s="194"/>
    </row>
    <row r="1920">
      <c r="A1920" s="193" t="s">
        <v>19269</v>
      </c>
      <c r="B1920" s="7" t="s">
        <v>187</v>
      </c>
      <c r="C1920" s="7" t="s">
        <v>16846</v>
      </c>
      <c r="D1920" s="194">
        <v>2018.0</v>
      </c>
      <c r="E1920" s="193"/>
      <c r="F1920" s="195" t="s">
        <v>19270</v>
      </c>
      <c r="G1920" s="196">
        <v>5.263083847E9</v>
      </c>
      <c r="H1920" s="197">
        <v>10.68</v>
      </c>
      <c r="I1920" s="7" t="s">
        <v>16815</v>
      </c>
      <c r="J1920" s="7" t="s">
        <v>187</v>
      </c>
      <c r="K1920" s="7" t="s">
        <v>16846</v>
      </c>
      <c r="L1920" s="198" t="s">
        <v>65</v>
      </c>
      <c r="M1920" s="194"/>
      <c r="N1920" s="194"/>
    </row>
    <row r="1921">
      <c r="A1921" s="193" t="s">
        <v>19269</v>
      </c>
      <c r="B1921" s="7" t="s">
        <v>16846</v>
      </c>
      <c r="C1921" s="7" t="s">
        <v>187</v>
      </c>
      <c r="D1921" s="194">
        <v>2018.0</v>
      </c>
      <c r="E1921" s="193"/>
      <c r="F1921" s="195" t="s">
        <v>19270</v>
      </c>
      <c r="G1921" s="200">
        <v>5.263083847E9</v>
      </c>
      <c r="H1921" s="197">
        <v>10.68</v>
      </c>
      <c r="I1921" s="7" t="s">
        <v>16815</v>
      </c>
      <c r="J1921" s="7" t="s">
        <v>16846</v>
      </c>
      <c r="K1921" s="7" t="s">
        <v>187</v>
      </c>
      <c r="L1921" s="201" t="s">
        <v>16835</v>
      </c>
      <c r="M1921" s="194"/>
      <c r="N1921" s="194"/>
    </row>
    <row r="1922">
      <c r="A1922" s="193" t="s">
        <v>19271</v>
      </c>
      <c r="B1922" s="7" t="s">
        <v>175</v>
      </c>
      <c r="C1922" s="7" t="s">
        <v>16878</v>
      </c>
      <c r="D1922" s="194">
        <v>2016.0</v>
      </c>
      <c r="E1922" s="193"/>
      <c r="F1922" s="195" t="s">
        <v>19272</v>
      </c>
      <c r="G1922" s="196">
        <v>5.24889383E9</v>
      </c>
      <c r="H1922" s="197">
        <v>95.09</v>
      </c>
      <c r="I1922" s="7" t="s">
        <v>16908</v>
      </c>
      <c r="J1922" s="7" t="s">
        <v>175</v>
      </c>
      <c r="K1922" s="7" t="s">
        <v>16878</v>
      </c>
      <c r="L1922" s="198" t="s">
        <v>65</v>
      </c>
      <c r="M1922" s="194"/>
      <c r="N1922" s="194"/>
    </row>
    <row r="1923">
      <c r="A1923" s="193" t="s">
        <v>19271</v>
      </c>
      <c r="B1923" s="7" t="s">
        <v>16878</v>
      </c>
      <c r="C1923" s="7" t="s">
        <v>175</v>
      </c>
      <c r="D1923" s="194">
        <v>2016.0</v>
      </c>
      <c r="E1923" s="193"/>
      <c r="F1923" s="195" t="s">
        <v>19272</v>
      </c>
      <c r="G1923" s="200">
        <v>5.24889383E9</v>
      </c>
      <c r="H1923" s="197">
        <v>95.09</v>
      </c>
      <c r="I1923" s="7" t="s">
        <v>16815</v>
      </c>
      <c r="J1923" s="7" t="s">
        <v>16878</v>
      </c>
      <c r="K1923" s="7" t="s">
        <v>175</v>
      </c>
      <c r="L1923" s="201" t="s">
        <v>16835</v>
      </c>
      <c r="M1923" s="194"/>
      <c r="N1923" s="194"/>
    </row>
    <row r="1924">
      <c r="A1924" s="193" t="s">
        <v>19273</v>
      </c>
      <c r="B1924" s="7" t="s">
        <v>16838</v>
      </c>
      <c r="C1924" s="7" t="s">
        <v>16867</v>
      </c>
      <c r="D1924" s="199"/>
      <c r="E1924" s="193"/>
      <c r="F1924" s="195" t="s">
        <v>19274</v>
      </c>
      <c r="G1924" s="196">
        <v>5.234811056E9</v>
      </c>
      <c r="H1924" s="197">
        <v>68.82</v>
      </c>
      <c r="I1924" s="7" t="s">
        <v>16815</v>
      </c>
      <c r="J1924" s="7" t="s">
        <v>16838</v>
      </c>
      <c r="K1924" s="7" t="s">
        <v>16867</v>
      </c>
      <c r="L1924" s="198" t="s">
        <v>65</v>
      </c>
      <c r="M1924" s="199"/>
      <c r="N1924" s="199"/>
    </row>
    <row r="1925">
      <c r="A1925" s="193" t="s">
        <v>19275</v>
      </c>
      <c r="B1925" s="7" t="s">
        <v>17202</v>
      </c>
      <c r="C1925" s="7" t="s">
        <v>16838</v>
      </c>
      <c r="D1925" s="194">
        <v>2006.0</v>
      </c>
      <c r="E1925" s="193"/>
      <c r="F1925" s="195" t="s">
        <v>19276</v>
      </c>
      <c r="G1925" s="200">
        <v>5.219164359E9</v>
      </c>
      <c r="H1925" s="197">
        <v>138.54</v>
      </c>
      <c r="I1925" s="7" t="s">
        <v>16815</v>
      </c>
      <c r="J1925" s="7" t="s">
        <v>17202</v>
      </c>
      <c r="K1925" s="7" t="s">
        <v>16838</v>
      </c>
      <c r="L1925" s="201" t="s">
        <v>16835</v>
      </c>
      <c r="M1925" s="194"/>
      <c r="N1925" s="194"/>
    </row>
    <row r="1926">
      <c r="A1926" s="193" t="s">
        <v>19275</v>
      </c>
      <c r="B1926" s="7" t="s">
        <v>16838</v>
      </c>
      <c r="C1926" s="7" t="s">
        <v>17202</v>
      </c>
      <c r="D1926" s="194">
        <v>2006.0</v>
      </c>
      <c r="E1926" s="193"/>
      <c r="F1926" s="195" t="s">
        <v>19276</v>
      </c>
      <c r="G1926" s="196">
        <v>5.219164359E9</v>
      </c>
      <c r="H1926" s="197">
        <v>138.54</v>
      </c>
      <c r="I1926" s="7" t="s">
        <v>16815</v>
      </c>
      <c r="J1926" s="7" t="s">
        <v>16838</v>
      </c>
      <c r="K1926" s="7" t="s">
        <v>17202</v>
      </c>
      <c r="L1926" s="198" t="s">
        <v>65</v>
      </c>
      <c r="M1926" s="194"/>
      <c r="N1926" s="194"/>
    </row>
    <row r="1927">
      <c r="A1927" s="193" t="s">
        <v>19277</v>
      </c>
      <c r="B1927" s="7" t="s">
        <v>169</v>
      </c>
      <c r="C1927" s="7" t="s">
        <v>17057</v>
      </c>
      <c r="D1927" s="199"/>
      <c r="E1927" s="193"/>
      <c r="F1927" s="195" t="s">
        <v>19278</v>
      </c>
      <c r="G1927" s="196">
        <v>5.194926158E9</v>
      </c>
      <c r="H1927" s="197">
        <v>19.8</v>
      </c>
      <c r="I1927" s="7" t="s">
        <v>16815</v>
      </c>
      <c r="J1927" s="7" t="s">
        <v>169</v>
      </c>
      <c r="K1927" s="7" t="s">
        <v>17057</v>
      </c>
      <c r="L1927" s="198" t="s">
        <v>65</v>
      </c>
      <c r="M1927" s="199"/>
      <c r="N1927" s="199"/>
    </row>
    <row r="1928">
      <c r="A1928" s="193" t="s">
        <v>19279</v>
      </c>
      <c r="B1928" s="7" t="s">
        <v>16867</v>
      </c>
      <c r="C1928" s="7" t="s">
        <v>16838</v>
      </c>
      <c r="D1928" s="199"/>
      <c r="E1928" s="193"/>
      <c r="F1928" s="195" t="s">
        <v>19280</v>
      </c>
      <c r="G1928" s="200">
        <v>5.181499807E9</v>
      </c>
      <c r="H1928" s="197">
        <v>55.29</v>
      </c>
      <c r="I1928" s="7" t="s">
        <v>16815</v>
      </c>
      <c r="J1928" s="7" t="s">
        <v>16867</v>
      </c>
      <c r="K1928" s="7" t="s">
        <v>16838</v>
      </c>
      <c r="L1928" s="201" t="s">
        <v>16835</v>
      </c>
      <c r="M1928" s="199"/>
      <c r="N1928" s="199"/>
    </row>
    <row r="1929">
      <c r="A1929" s="193" t="s">
        <v>19279</v>
      </c>
      <c r="B1929" s="7" t="s">
        <v>16838</v>
      </c>
      <c r="C1929" s="7" t="s">
        <v>16867</v>
      </c>
      <c r="D1929" s="199"/>
      <c r="E1929" s="193"/>
      <c r="F1929" s="195" t="s">
        <v>19280</v>
      </c>
      <c r="G1929" s="196">
        <v>5.181499807E9</v>
      </c>
      <c r="H1929" s="197">
        <v>55.29</v>
      </c>
      <c r="I1929" s="7" t="s">
        <v>16815</v>
      </c>
      <c r="J1929" s="7" t="s">
        <v>16838</v>
      </c>
      <c r="K1929" s="7" t="s">
        <v>16867</v>
      </c>
      <c r="L1929" s="198" t="s">
        <v>65</v>
      </c>
      <c r="M1929" s="199"/>
      <c r="N1929" s="199"/>
    </row>
    <row r="1930">
      <c r="A1930" s="193" t="s">
        <v>19281</v>
      </c>
      <c r="B1930" s="7" t="s">
        <v>16838</v>
      </c>
      <c r="C1930" s="7" t="s">
        <v>17016</v>
      </c>
      <c r="D1930" s="194">
        <v>1992.0</v>
      </c>
      <c r="E1930" s="193"/>
      <c r="F1930" s="195" t="s">
        <v>19282</v>
      </c>
      <c r="G1930" s="196">
        <v>5.171556355E9</v>
      </c>
      <c r="H1930" s="197">
        <v>411.53</v>
      </c>
      <c r="I1930" s="7" t="s">
        <v>16815</v>
      </c>
      <c r="J1930" s="7" t="s">
        <v>16838</v>
      </c>
      <c r="K1930" s="7" t="s">
        <v>17016</v>
      </c>
      <c r="L1930" s="198" t="s">
        <v>65</v>
      </c>
      <c r="M1930" s="194"/>
      <c r="N1930" s="194"/>
    </row>
    <row r="1931">
      <c r="A1931" s="193" t="s">
        <v>19283</v>
      </c>
      <c r="B1931" s="7" t="s">
        <v>17127</v>
      </c>
      <c r="C1931" s="7" t="s">
        <v>16838</v>
      </c>
      <c r="D1931" s="194">
        <v>2013.0</v>
      </c>
      <c r="E1931" s="193"/>
      <c r="F1931" s="195" t="s">
        <v>19284</v>
      </c>
      <c r="G1931" s="200">
        <v>5.169317941E9</v>
      </c>
      <c r="H1931" s="197">
        <v>48.42</v>
      </c>
      <c r="I1931" s="7" t="s">
        <v>16815</v>
      </c>
      <c r="J1931" s="7" t="s">
        <v>17127</v>
      </c>
      <c r="K1931" s="7" t="s">
        <v>16838</v>
      </c>
      <c r="L1931" s="201" t="s">
        <v>16835</v>
      </c>
      <c r="M1931" s="194"/>
      <c r="N1931" s="194"/>
    </row>
    <row r="1932">
      <c r="A1932" s="193" t="s">
        <v>19283</v>
      </c>
      <c r="B1932" s="7" t="s">
        <v>16838</v>
      </c>
      <c r="C1932" s="7" t="s">
        <v>17127</v>
      </c>
      <c r="D1932" s="194">
        <v>2013.0</v>
      </c>
      <c r="E1932" s="193"/>
      <c r="F1932" s="195" t="s">
        <v>19284</v>
      </c>
      <c r="G1932" s="196">
        <v>5.169317941E9</v>
      </c>
      <c r="H1932" s="197">
        <v>48.42</v>
      </c>
      <c r="I1932" s="7" t="s">
        <v>16815</v>
      </c>
      <c r="J1932" s="7" t="s">
        <v>16838</v>
      </c>
      <c r="K1932" s="7" t="s">
        <v>17127</v>
      </c>
      <c r="L1932" s="198" t="s">
        <v>65</v>
      </c>
      <c r="M1932" s="194"/>
      <c r="N1932" s="194"/>
    </row>
    <row r="1933">
      <c r="A1933" s="193" t="s">
        <v>19285</v>
      </c>
      <c r="B1933" s="7" t="s">
        <v>187</v>
      </c>
      <c r="C1933" s="7" t="s">
        <v>16846</v>
      </c>
      <c r="D1933" s="194">
        <v>2015.0</v>
      </c>
      <c r="E1933" s="193"/>
      <c r="F1933" s="195" t="s">
        <v>19286</v>
      </c>
      <c r="G1933" s="196">
        <v>5.159709193E9</v>
      </c>
      <c r="H1933" s="197">
        <v>90.28</v>
      </c>
      <c r="I1933" s="7" t="s">
        <v>16815</v>
      </c>
      <c r="J1933" s="7" t="s">
        <v>187</v>
      </c>
      <c r="K1933" s="7" t="s">
        <v>16846</v>
      </c>
      <c r="L1933" s="198" t="s">
        <v>65</v>
      </c>
      <c r="M1933" s="194"/>
      <c r="N1933" s="194"/>
    </row>
    <row r="1934">
      <c r="A1934" s="193" t="s">
        <v>19287</v>
      </c>
      <c r="B1934" s="7" t="s">
        <v>16582</v>
      </c>
      <c r="C1934" s="7" t="s">
        <v>16930</v>
      </c>
      <c r="D1934" s="194">
        <v>2021.0</v>
      </c>
      <c r="E1934" s="193"/>
      <c r="F1934" s="195" t="s">
        <v>19288</v>
      </c>
      <c r="G1934" s="196">
        <v>5.15279928E9</v>
      </c>
      <c r="H1934" s="197">
        <v>17.45</v>
      </c>
      <c r="I1934" s="7" t="s">
        <v>16815</v>
      </c>
      <c r="J1934" s="7" t="s">
        <v>16582</v>
      </c>
      <c r="K1934" s="7" t="s">
        <v>16930</v>
      </c>
      <c r="L1934" s="198" t="s">
        <v>65</v>
      </c>
      <c r="M1934" s="194"/>
      <c r="N1934" s="194"/>
    </row>
    <row r="1935">
      <c r="A1935" s="193" t="s">
        <v>19289</v>
      </c>
      <c r="B1935" s="7" t="s">
        <v>16910</v>
      </c>
      <c r="C1935" s="7" t="s">
        <v>17119</v>
      </c>
      <c r="D1935" s="194">
        <v>2012.0</v>
      </c>
      <c r="E1935" s="193"/>
      <c r="F1935" s="195" t="s">
        <v>19290</v>
      </c>
      <c r="G1935" s="196">
        <v>5.148481989E9</v>
      </c>
      <c r="H1935" s="197">
        <v>84.1</v>
      </c>
      <c r="I1935" s="7" t="s">
        <v>16917</v>
      </c>
      <c r="J1935" s="7" t="s">
        <v>16910</v>
      </c>
      <c r="K1935" s="7" t="s">
        <v>17119</v>
      </c>
      <c r="L1935" s="198" t="s">
        <v>65</v>
      </c>
      <c r="M1935" s="194"/>
      <c r="N1935" s="194"/>
    </row>
    <row r="1936">
      <c r="A1936" s="193" t="s">
        <v>19289</v>
      </c>
      <c r="B1936" s="7" t="s">
        <v>17119</v>
      </c>
      <c r="C1936" s="7" t="s">
        <v>16910</v>
      </c>
      <c r="D1936" s="194">
        <v>2012.0</v>
      </c>
      <c r="E1936" s="193"/>
      <c r="F1936" s="195" t="s">
        <v>19290</v>
      </c>
      <c r="G1936" s="200">
        <v>5.148481989E9</v>
      </c>
      <c r="H1936" s="197">
        <v>84.1</v>
      </c>
      <c r="I1936" s="7" t="s">
        <v>16815</v>
      </c>
      <c r="J1936" s="7" t="s">
        <v>17119</v>
      </c>
      <c r="K1936" s="7" t="s">
        <v>16910</v>
      </c>
      <c r="L1936" s="201" t="s">
        <v>16835</v>
      </c>
      <c r="M1936" s="194"/>
      <c r="N1936" s="194"/>
    </row>
    <row r="1937">
      <c r="A1937" s="193" t="s">
        <v>19291</v>
      </c>
      <c r="B1937" s="7" t="s">
        <v>187</v>
      </c>
      <c r="C1937" s="7" t="s">
        <v>16846</v>
      </c>
      <c r="D1937" s="199"/>
      <c r="E1937" s="193"/>
      <c r="F1937" s="195" t="s">
        <v>19292</v>
      </c>
      <c r="G1937" s="196">
        <v>5.144890216E9</v>
      </c>
      <c r="H1937" s="197">
        <v>53.46</v>
      </c>
      <c r="I1937" s="7" t="s">
        <v>16815</v>
      </c>
      <c r="J1937" s="7" t="s">
        <v>187</v>
      </c>
      <c r="K1937" s="7" t="s">
        <v>16846</v>
      </c>
      <c r="L1937" s="198" t="s">
        <v>65</v>
      </c>
      <c r="M1937" s="199"/>
      <c r="N1937" s="199"/>
    </row>
    <row r="1938">
      <c r="A1938" s="193" t="s">
        <v>19293</v>
      </c>
      <c r="B1938" s="7" t="s">
        <v>175</v>
      </c>
      <c r="C1938" s="7" t="s">
        <v>18570</v>
      </c>
      <c r="D1938" s="199"/>
      <c r="E1938" s="193"/>
      <c r="F1938" s="195" t="s">
        <v>19294</v>
      </c>
      <c r="G1938" s="196">
        <v>5.136602703E9</v>
      </c>
      <c r="H1938" s="197">
        <v>80.66</v>
      </c>
      <c r="I1938" s="7" t="s">
        <v>168</v>
      </c>
      <c r="J1938" s="7" t="s">
        <v>175</v>
      </c>
      <c r="K1938" s="7" t="s">
        <v>18570</v>
      </c>
      <c r="L1938" s="198" t="s">
        <v>65</v>
      </c>
      <c r="M1938" s="199"/>
      <c r="N1938" s="199"/>
    </row>
    <row r="1939">
      <c r="A1939" s="193" t="s">
        <v>19293</v>
      </c>
      <c r="B1939" s="7" t="s">
        <v>18570</v>
      </c>
      <c r="C1939" s="7" t="s">
        <v>175</v>
      </c>
      <c r="D1939" s="199"/>
      <c r="E1939" s="193"/>
      <c r="F1939" s="195" t="s">
        <v>19294</v>
      </c>
      <c r="G1939" s="200">
        <v>5.136602703E9</v>
      </c>
      <c r="H1939" s="197">
        <v>80.66</v>
      </c>
      <c r="I1939" s="7" t="s">
        <v>16815</v>
      </c>
      <c r="J1939" s="7" t="s">
        <v>18570</v>
      </c>
      <c r="K1939" s="7" t="s">
        <v>175</v>
      </c>
      <c r="L1939" s="201" t="s">
        <v>16835</v>
      </c>
      <c r="M1939" s="199"/>
      <c r="N1939" s="199"/>
    </row>
    <row r="1940">
      <c r="A1940" s="193" t="s">
        <v>19295</v>
      </c>
      <c r="B1940" s="7" t="s">
        <v>16582</v>
      </c>
      <c r="C1940" s="7" t="s">
        <v>16817</v>
      </c>
      <c r="D1940" s="194">
        <v>2021.0</v>
      </c>
      <c r="E1940" s="193"/>
      <c r="F1940" s="195" t="s">
        <v>19296</v>
      </c>
      <c r="G1940" s="196">
        <v>5.122537889E9</v>
      </c>
      <c r="H1940" s="197">
        <v>30.6</v>
      </c>
      <c r="I1940" s="7" t="s">
        <v>16815</v>
      </c>
      <c r="J1940" s="7" t="s">
        <v>16582</v>
      </c>
      <c r="K1940" s="7" t="s">
        <v>16817</v>
      </c>
      <c r="L1940" s="198" t="s">
        <v>65</v>
      </c>
      <c r="M1940" s="194"/>
      <c r="N1940" s="194"/>
    </row>
    <row r="1941">
      <c r="A1941" s="193" t="s">
        <v>19295</v>
      </c>
      <c r="B1941" s="7" t="s">
        <v>16817</v>
      </c>
      <c r="C1941" s="7" t="s">
        <v>16582</v>
      </c>
      <c r="D1941" s="194">
        <v>2021.0</v>
      </c>
      <c r="E1941" s="193"/>
      <c r="F1941" s="195" t="s">
        <v>19296</v>
      </c>
      <c r="G1941" s="200">
        <v>5.122537889E9</v>
      </c>
      <c r="H1941" s="197">
        <v>30.6</v>
      </c>
      <c r="I1941" s="7" t="s">
        <v>16815</v>
      </c>
      <c r="J1941" s="7" t="s">
        <v>16817</v>
      </c>
      <c r="K1941" s="7" t="s">
        <v>16582</v>
      </c>
      <c r="L1941" s="201" t="s">
        <v>16835</v>
      </c>
      <c r="M1941" s="194"/>
      <c r="N1941" s="194"/>
    </row>
    <row r="1942">
      <c r="A1942" s="193" t="s">
        <v>19297</v>
      </c>
      <c r="B1942" s="7" t="s">
        <v>16919</v>
      </c>
      <c r="C1942" s="7" t="s">
        <v>17413</v>
      </c>
      <c r="D1942" s="199"/>
      <c r="E1942" s="193"/>
      <c r="F1942" s="195" t="s">
        <v>19298</v>
      </c>
      <c r="G1942" s="196">
        <v>5.107476115E9</v>
      </c>
      <c r="H1942" s="197">
        <v>4.69</v>
      </c>
      <c r="I1942" s="7" t="s">
        <v>16815</v>
      </c>
      <c r="J1942" s="7" t="s">
        <v>16919</v>
      </c>
      <c r="K1942" s="7" t="s">
        <v>17413</v>
      </c>
      <c r="L1942" s="198" t="s">
        <v>65</v>
      </c>
      <c r="M1942" s="199"/>
      <c r="N1942" s="199"/>
    </row>
    <row r="1943">
      <c r="A1943" s="193" t="s">
        <v>19297</v>
      </c>
      <c r="B1943" s="7" t="s">
        <v>17413</v>
      </c>
      <c r="C1943" s="7" t="s">
        <v>16919</v>
      </c>
      <c r="D1943" s="199"/>
      <c r="E1943" s="193"/>
      <c r="F1943" s="195" t="s">
        <v>19298</v>
      </c>
      <c r="G1943" s="200">
        <v>5.107476115E9</v>
      </c>
      <c r="H1943" s="197">
        <v>4.69</v>
      </c>
      <c r="I1943" s="7" t="s">
        <v>16815</v>
      </c>
      <c r="J1943" s="7" t="s">
        <v>17413</v>
      </c>
      <c r="K1943" s="7" t="s">
        <v>16919</v>
      </c>
      <c r="L1943" s="201" t="s">
        <v>16835</v>
      </c>
      <c r="M1943" s="199"/>
      <c r="N1943" s="199"/>
    </row>
    <row r="1944">
      <c r="A1944" s="193" t="s">
        <v>19299</v>
      </c>
      <c r="B1944" s="7" t="s">
        <v>175</v>
      </c>
      <c r="C1944" s="7" t="s">
        <v>16824</v>
      </c>
      <c r="D1944" s="194">
        <v>2014.0</v>
      </c>
      <c r="E1944" s="193"/>
      <c r="F1944" s="195" t="s">
        <v>19300</v>
      </c>
      <c r="G1944" s="196">
        <v>5.097678503E9</v>
      </c>
      <c r="H1944" s="197">
        <v>43.22</v>
      </c>
      <c r="I1944" s="7" t="s">
        <v>16856</v>
      </c>
      <c r="J1944" s="7" t="s">
        <v>175</v>
      </c>
      <c r="K1944" s="7" t="s">
        <v>16824</v>
      </c>
      <c r="L1944" s="198" t="s">
        <v>65</v>
      </c>
      <c r="M1944" s="194"/>
      <c r="N1944" s="194"/>
    </row>
    <row r="1945">
      <c r="A1945" s="193" t="s">
        <v>19299</v>
      </c>
      <c r="B1945" s="7" t="s">
        <v>16824</v>
      </c>
      <c r="C1945" s="7" t="s">
        <v>175</v>
      </c>
      <c r="D1945" s="194">
        <v>2014.0</v>
      </c>
      <c r="E1945" s="193"/>
      <c r="F1945" s="195" t="s">
        <v>19300</v>
      </c>
      <c r="G1945" s="200">
        <v>5.097678503E9</v>
      </c>
      <c r="H1945" s="197">
        <v>43.22</v>
      </c>
      <c r="I1945" s="7" t="s">
        <v>16815</v>
      </c>
      <c r="J1945" s="7" t="s">
        <v>16824</v>
      </c>
      <c r="K1945" s="7" t="s">
        <v>175</v>
      </c>
      <c r="L1945" s="201" t="s">
        <v>16835</v>
      </c>
      <c r="M1945" s="194"/>
      <c r="N1945" s="194"/>
    </row>
    <row r="1946">
      <c r="A1946" s="193" t="s">
        <v>19301</v>
      </c>
      <c r="B1946" s="7" t="s">
        <v>16582</v>
      </c>
      <c r="C1946" s="7" t="s">
        <v>16930</v>
      </c>
      <c r="D1946" s="194">
        <v>2013.0</v>
      </c>
      <c r="E1946" s="193"/>
      <c r="F1946" s="195" t="s">
        <v>19302</v>
      </c>
      <c r="G1946" s="196">
        <v>5.0734578E9</v>
      </c>
      <c r="H1946" s="197">
        <v>89.29</v>
      </c>
      <c r="I1946" s="7" t="s">
        <v>16815</v>
      </c>
      <c r="J1946" s="7" t="s">
        <v>16582</v>
      </c>
      <c r="K1946" s="7" t="s">
        <v>16930</v>
      </c>
      <c r="L1946" s="198" t="s">
        <v>65</v>
      </c>
      <c r="M1946" s="194"/>
      <c r="N1946" s="194"/>
    </row>
    <row r="1947">
      <c r="A1947" s="193" t="s">
        <v>19303</v>
      </c>
      <c r="D1947" s="194">
        <v>2015.0</v>
      </c>
      <c r="E1947" s="193"/>
      <c r="F1947" s="195" t="s">
        <v>19304</v>
      </c>
      <c r="G1947" s="196">
        <v>5.068903306E9</v>
      </c>
      <c r="H1947" s="197">
        <v>12.79</v>
      </c>
      <c r="I1947" s="7" t="s">
        <v>16815</v>
      </c>
      <c r="L1947" s="198" t="s">
        <v>65</v>
      </c>
      <c r="M1947" s="194"/>
      <c r="N1947" s="194"/>
    </row>
    <row r="1948">
      <c r="A1948" s="193" t="s">
        <v>19303</v>
      </c>
      <c r="D1948" s="194">
        <v>2015.0</v>
      </c>
      <c r="E1948" s="193"/>
      <c r="F1948" s="195" t="s">
        <v>19304</v>
      </c>
      <c r="G1948" s="200">
        <v>5.068903306E9</v>
      </c>
      <c r="H1948" s="197">
        <v>12.79</v>
      </c>
      <c r="I1948" s="193" t="s">
        <v>16815</v>
      </c>
      <c r="L1948" s="201" t="s">
        <v>16835</v>
      </c>
      <c r="M1948" s="194"/>
      <c r="N1948" s="194"/>
    </row>
    <row r="1949">
      <c r="A1949" s="193" t="s">
        <v>19305</v>
      </c>
      <c r="B1949" s="7" t="s">
        <v>17321</v>
      </c>
      <c r="C1949" s="7" t="s">
        <v>169</v>
      </c>
      <c r="D1949" s="199"/>
      <c r="E1949" s="193"/>
      <c r="F1949" s="195" t="s">
        <v>19306</v>
      </c>
      <c r="G1949" s="200">
        <v>5.059240464E9</v>
      </c>
      <c r="H1949" s="197">
        <v>71.71</v>
      </c>
      <c r="I1949" s="7" t="s">
        <v>16815</v>
      </c>
      <c r="J1949" s="7" t="s">
        <v>17321</v>
      </c>
      <c r="K1949" s="7" t="s">
        <v>169</v>
      </c>
      <c r="L1949" s="201" t="s">
        <v>16835</v>
      </c>
      <c r="M1949" s="199"/>
      <c r="N1949" s="199"/>
    </row>
    <row r="1950">
      <c r="A1950" s="193" t="s">
        <v>19305</v>
      </c>
      <c r="B1950" s="7" t="s">
        <v>169</v>
      </c>
      <c r="C1950" s="7" t="s">
        <v>17321</v>
      </c>
      <c r="D1950" s="199"/>
      <c r="E1950" s="193"/>
      <c r="F1950" s="195" t="s">
        <v>19306</v>
      </c>
      <c r="G1950" s="196">
        <v>5.059240464E9</v>
      </c>
      <c r="H1950" s="197">
        <v>71.71</v>
      </c>
      <c r="I1950" s="7" t="s">
        <v>16815</v>
      </c>
      <c r="J1950" s="7" t="s">
        <v>169</v>
      </c>
      <c r="K1950" s="7" t="s">
        <v>17321</v>
      </c>
      <c r="L1950" s="198" t="s">
        <v>65</v>
      </c>
      <c r="M1950" s="199"/>
      <c r="N1950" s="199"/>
    </row>
    <row r="1951">
      <c r="A1951" s="193" t="s">
        <v>19307</v>
      </c>
      <c r="B1951" s="7" t="s">
        <v>187</v>
      </c>
      <c r="C1951" s="7" t="s">
        <v>18633</v>
      </c>
      <c r="D1951" s="199"/>
      <c r="E1951" s="193"/>
      <c r="F1951" s="195" t="s">
        <v>19308</v>
      </c>
      <c r="G1951" s="196">
        <v>5.057076888E9</v>
      </c>
      <c r="H1951" s="197">
        <v>28.55</v>
      </c>
      <c r="I1951" s="7" t="s">
        <v>16815</v>
      </c>
      <c r="J1951" s="7" t="s">
        <v>187</v>
      </c>
      <c r="K1951" s="7" t="s">
        <v>18633</v>
      </c>
      <c r="L1951" s="198" t="s">
        <v>65</v>
      </c>
      <c r="M1951" s="199"/>
      <c r="N1951" s="199"/>
    </row>
    <row r="1952">
      <c r="A1952" s="193" t="s">
        <v>19309</v>
      </c>
      <c r="B1952" s="7" t="s">
        <v>16919</v>
      </c>
      <c r="C1952" s="7" t="s">
        <v>16920</v>
      </c>
      <c r="D1952" s="194">
        <v>2022.0</v>
      </c>
      <c r="E1952" s="193"/>
      <c r="F1952" s="195" t="s">
        <v>19310</v>
      </c>
      <c r="G1952" s="196">
        <v>5.046459721E9</v>
      </c>
      <c r="H1952" s="197">
        <v>34.55</v>
      </c>
      <c r="I1952" s="7" t="s">
        <v>16815</v>
      </c>
      <c r="J1952" s="7" t="s">
        <v>16919</v>
      </c>
      <c r="K1952" s="7" t="s">
        <v>16920</v>
      </c>
      <c r="L1952" s="198" t="s">
        <v>65</v>
      </c>
      <c r="M1952" s="194"/>
      <c r="N1952" s="194"/>
    </row>
    <row r="1953">
      <c r="A1953" s="193" t="s">
        <v>19309</v>
      </c>
      <c r="B1953" s="7" t="s">
        <v>16920</v>
      </c>
      <c r="C1953" s="7" t="s">
        <v>16919</v>
      </c>
      <c r="D1953" s="194">
        <v>2022.0</v>
      </c>
      <c r="E1953" s="193"/>
      <c r="F1953" s="195" t="s">
        <v>19310</v>
      </c>
      <c r="G1953" s="200">
        <v>5.046459721E9</v>
      </c>
      <c r="H1953" s="197">
        <v>34.55</v>
      </c>
      <c r="I1953" s="7" t="s">
        <v>16815</v>
      </c>
      <c r="J1953" s="7" t="s">
        <v>16920</v>
      </c>
      <c r="K1953" s="7" t="s">
        <v>16919</v>
      </c>
      <c r="L1953" s="201" t="s">
        <v>16835</v>
      </c>
      <c r="M1953" s="194"/>
      <c r="N1953" s="194"/>
    </row>
    <row r="1954">
      <c r="A1954" s="193" t="s">
        <v>19311</v>
      </c>
      <c r="B1954" s="7" t="s">
        <v>16838</v>
      </c>
      <c r="C1954" s="7" t="s">
        <v>16867</v>
      </c>
      <c r="D1954" s="199"/>
      <c r="E1954" s="193"/>
      <c r="F1954" s="195" t="s">
        <v>19312</v>
      </c>
      <c r="G1954" s="196">
        <v>5.006445517E9</v>
      </c>
      <c r="H1954" s="197">
        <v>65.21</v>
      </c>
      <c r="I1954" s="7" t="s">
        <v>16815</v>
      </c>
      <c r="J1954" s="7" t="s">
        <v>16838</v>
      </c>
      <c r="K1954" s="7" t="s">
        <v>16867</v>
      </c>
      <c r="L1954" s="198" t="s">
        <v>65</v>
      </c>
      <c r="M1954" s="199"/>
      <c r="N1954" s="199"/>
    </row>
    <row r="1955">
      <c r="A1955" s="193" t="s">
        <v>19313</v>
      </c>
      <c r="B1955" s="7" t="s">
        <v>158</v>
      </c>
      <c r="C1955" s="7" t="s">
        <v>16864</v>
      </c>
      <c r="D1955" s="194">
        <v>2021.0</v>
      </c>
      <c r="E1955" s="193"/>
      <c r="F1955" s="195" t="s">
        <v>19314</v>
      </c>
      <c r="G1955" s="196">
        <v>5.00060825E9</v>
      </c>
      <c r="H1955" s="197">
        <v>68.6</v>
      </c>
      <c r="I1955" s="7" t="s">
        <v>16953</v>
      </c>
      <c r="J1955" s="7" t="s">
        <v>158</v>
      </c>
      <c r="K1955" s="7" t="s">
        <v>16864</v>
      </c>
      <c r="L1955" s="198" t="s">
        <v>65</v>
      </c>
      <c r="M1955" s="194"/>
      <c r="N1955" s="194"/>
    </row>
    <row r="1956">
      <c r="A1956" s="193" t="s">
        <v>19313</v>
      </c>
      <c r="B1956" s="7" t="s">
        <v>16864</v>
      </c>
      <c r="C1956" s="7" t="s">
        <v>158</v>
      </c>
      <c r="D1956" s="194">
        <v>2021.0</v>
      </c>
      <c r="E1956" s="193"/>
      <c r="F1956" s="195" t="s">
        <v>19314</v>
      </c>
      <c r="G1956" s="200">
        <v>5.00060825E9</v>
      </c>
      <c r="H1956" s="197">
        <v>68.6</v>
      </c>
      <c r="I1956" s="7" t="s">
        <v>16815</v>
      </c>
      <c r="J1956" s="7" t="s">
        <v>16864</v>
      </c>
      <c r="K1956" s="7" t="s">
        <v>158</v>
      </c>
      <c r="L1956" s="201" t="s">
        <v>16835</v>
      </c>
      <c r="M1956" s="194"/>
      <c r="N1956" s="194"/>
    </row>
    <row r="1957">
      <c r="A1957" s="193" t="s">
        <v>19315</v>
      </c>
      <c r="B1957" s="7" t="s">
        <v>17629</v>
      </c>
      <c r="C1957" s="7" t="s">
        <v>16899</v>
      </c>
      <c r="D1957" s="194">
        <v>2016.0</v>
      </c>
      <c r="E1957" s="193"/>
      <c r="F1957" s="195" t="s">
        <v>19316</v>
      </c>
      <c r="G1957" s="196">
        <v>4.999746432E9</v>
      </c>
      <c r="H1957" s="197">
        <v>132.29</v>
      </c>
      <c r="I1957" s="7" t="s">
        <v>16815</v>
      </c>
      <c r="J1957" s="7" t="s">
        <v>17629</v>
      </c>
      <c r="K1957" s="7" t="s">
        <v>16899</v>
      </c>
      <c r="L1957" s="198" t="s">
        <v>65</v>
      </c>
      <c r="M1957" s="194"/>
      <c r="N1957" s="194"/>
    </row>
    <row r="1958">
      <c r="A1958" s="193" t="s">
        <v>19315</v>
      </c>
      <c r="B1958" s="7" t="s">
        <v>16899</v>
      </c>
      <c r="C1958" s="7" t="s">
        <v>17629</v>
      </c>
      <c r="D1958" s="194">
        <v>2016.0</v>
      </c>
      <c r="E1958" s="193"/>
      <c r="F1958" s="195" t="s">
        <v>19316</v>
      </c>
      <c r="G1958" s="200">
        <v>4.999746432E9</v>
      </c>
      <c r="H1958" s="197">
        <v>132.29</v>
      </c>
      <c r="I1958" s="7" t="s">
        <v>16815</v>
      </c>
      <c r="J1958" s="7" t="s">
        <v>16899</v>
      </c>
      <c r="K1958" s="7" t="s">
        <v>17629</v>
      </c>
      <c r="L1958" s="201" t="s">
        <v>16835</v>
      </c>
      <c r="M1958" s="194"/>
      <c r="N1958" s="194"/>
    </row>
    <row r="1959">
      <c r="A1959" s="193" t="s">
        <v>19317</v>
      </c>
      <c r="B1959" s="7" t="s">
        <v>169</v>
      </c>
      <c r="C1959" s="7" t="s">
        <v>17532</v>
      </c>
      <c r="D1959" s="194">
        <v>1998.0</v>
      </c>
      <c r="E1959" s="193"/>
      <c r="F1959" s="195" t="s">
        <v>19318</v>
      </c>
      <c r="G1959" s="196">
        <v>4.99106759E9</v>
      </c>
      <c r="H1959" s="197">
        <v>32.4</v>
      </c>
      <c r="I1959" s="7" t="s">
        <v>16815</v>
      </c>
      <c r="J1959" s="7" t="s">
        <v>169</v>
      </c>
      <c r="K1959" s="7" t="s">
        <v>17532</v>
      </c>
      <c r="L1959" s="198" t="s">
        <v>65</v>
      </c>
      <c r="M1959" s="194"/>
      <c r="N1959" s="194"/>
    </row>
    <row r="1960">
      <c r="A1960" s="193" t="s">
        <v>19317</v>
      </c>
      <c r="B1960" s="202" t="s">
        <v>17532</v>
      </c>
      <c r="C1960" s="193" t="s">
        <v>169</v>
      </c>
      <c r="D1960" s="193">
        <v>1998.0</v>
      </c>
      <c r="E1960" s="193"/>
      <c r="F1960" s="203" t="s">
        <v>19318</v>
      </c>
      <c r="G1960" s="200">
        <v>4.99106759E9</v>
      </c>
      <c r="H1960" s="205">
        <v>8.6</v>
      </c>
      <c r="J1960" s="202" t="s">
        <v>17532</v>
      </c>
      <c r="K1960" s="193" t="s">
        <v>169</v>
      </c>
      <c r="L1960" s="193" t="s">
        <v>17471</v>
      </c>
      <c r="M1960" s="193"/>
      <c r="N1960" s="193"/>
    </row>
    <row r="1961">
      <c r="A1961" s="193" t="s">
        <v>19319</v>
      </c>
      <c r="B1961" s="7" t="s">
        <v>175</v>
      </c>
      <c r="C1961" s="7" t="s">
        <v>17084</v>
      </c>
      <c r="D1961" s="199"/>
      <c r="E1961" s="193"/>
      <c r="F1961" s="195" t="s">
        <v>19320</v>
      </c>
      <c r="G1961" s="196">
        <v>4.985991095E9</v>
      </c>
      <c r="H1961" s="197">
        <v>13.48</v>
      </c>
      <c r="I1961" s="193" t="s">
        <v>16908</v>
      </c>
      <c r="J1961" s="7" t="s">
        <v>175</v>
      </c>
      <c r="K1961" s="7" t="s">
        <v>17084</v>
      </c>
      <c r="L1961" s="198" t="s">
        <v>65</v>
      </c>
      <c r="M1961" s="199"/>
      <c r="N1961" s="199"/>
    </row>
    <row r="1962">
      <c r="A1962" s="193" t="s">
        <v>19319</v>
      </c>
      <c r="B1962" s="7" t="s">
        <v>17084</v>
      </c>
      <c r="C1962" s="7" t="s">
        <v>175</v>
      </c>
      <c r="D1962" s="199"/>
      <c r="E1962" s="193"/>
      <c r="F1962" s="195" t="s">
        <v>19320</v>
      </c>
      <c r="G1962" s="200">
        <v>4.985991095E9</v>
      </c>
      <c r="H1962" s="197">
        <v>13.48</v>
      </c>
      <c r="I1962" s="7" t="s">
        <v>16815</v>
      </c>
      <c r="J1962" s="7" t="s">
        <v>17084</v>
      </c>
      <c r="K1962" s="7" t="s">
        <v>175</v>
      </c>
      <c r="L1962" s="201" t="s">
        <v>16835</v>
      </c>
      <c r="M1962" s="199"/>
      <c r="N1962" s="199"/>
    </row>
    <row r="1963">
      <c r="A1963" s="193" t="s">
        <v>19321</v>
      </c>
      <c r="B1963" s="7" t="s">
        <v>169</v>
      </c>
      <c r="C1963" s="7" t="s">
        <v>16899</v>
      </c>
      <c r="D1963" s="194">
        <v>2020.0</v>
      </c>
      <c r="E1963" s="193"/>
      <c r="F1963" s="195" t="s">
        <v>19322</v>
      </c>
      <c r="G1963" s="196">
        <v>4.984784549E9</v>
      </c>
      <c r="H1963" s="197">
        <v>32.3</v>
      </c>
      <c r="I1963" s="7" t="s">
        <v>16815</v>
      </c>
      <c r="J1963" s="7" t="s">
        <v>169</v>
      </c>
      <c r="K1963" s="7" t="s">
        <v>16899</v>
      </c>
      <c r="L1963" s="198" t="s">
        <v>65</v>
      </c>
      <c r="M1963" s="194"/>
      <c r="N1963" s="194"/>
    </row>
    <row r="1964">
      <c r="A1964" s="193" t="s">
        <v>19321</v>
      </c>
      <c r="B1964" s="7" t="s">
        <v>16899</v>
      </c>
      <c r="C1964" s="7" t="s">
        <v>169</v>
      </c>
      <c r="D1964" s="194">
        <v>2020.0</v>
      </c>
      <c r="E1964" s="193"/>
      <c r="F1964" s="195" t="s">
        <v>19322</v>
      </c>
      <c r="G1964" s="200">
        <v>4.984784549E9</v>
      </c>
      <c r="H1964" s="197">
        <v>32.3</v>
      </c>
      <c r="I1964" s="7" t="s">
        <v>16815</v>
      </c>
      <c r="J1964" s="7" t="s">
        <v>16899</v>
      </c>
      <c r="K1964" s="7" t="s">
        <v>169</v>
      </c>
      <c r="L1964" s="201" t="s">
        <v>16835</v>
      </c>
      <c r="M1964" s="194"/>
      <c r="N1964" s="194"/>
    </row>
    <row r="1965">
      <c r="A1965" s="193" t="s">
        <v>19323</v>
      </c>
      <c r="B1965" s="7" t="s">
        <v>169</v>
      </c>
      <c r="C1965" s="7" t="s">
        <v>16899</v>
      </c>
      <c r="D1965" s="194">
        <v>2012.0</v>
      </c>
      <c r="E1965" s="193"/>
      <c r="F1965" s="195" t="s">
        <v>19324</v>
      </c>
      <c r="G1965" s="196">
        <v>4.976943869E9</v>
      </c>
      <c r="H1965" s="197">
        <v>28.8</v>
      </c>
      <c r="I1965" s="7" t="s">
        <v>16815</v>
      </c>
      <c r="J1965" s="7" t="s">
        <v>169</v>
      </c>
      <c r="K1965" s="7" t="s">
        <v>16899</v>
      </c>
      <c r="L1965" s="198" t="s">
        <v>65</v>
      </c>
      <c r="M1965" s="194"/>
      <c r="N1965" s="194"/>
    </row>
    <row r="1966">
      <c r="A1966" s="193" t="s">
        <v>19323</v>
      </c>
      <c r="B1966" s="7" t="s">
        <v>16899</v>
      </c>
      <c r="C1966" s="7" t="s">
        <v>169</v>
      </c>
      <c r="D1966" s="194">
        <v>2012.0</v>
      </c>
      <c r="E1966" s="193"/>
      <c r="F1966" s="195" t="s">
        <v>19324</v>
      </c>
      <c r="G1966" s="200">
        <v>4.976943869E9</v>
      </c>
      <c r="H1966" s="197">
        <v>28.8</v>
      </c>
      <c r="I1966" s="7" t="s">
        <v>16815</v>
      </c>
      <c r="J1966" s="7" t="s">
        <v>16899</v>
      </c>
      <c r="K1966" s="7" t="s">
        <v>169</v>
      </c>
      <c r="L1966" s="201" t="s">
        <v>16835</v>
      </c>
      <c r="M1966" s="194"/>
      <c r="N1966" s="194"/>
    </row>
    <row r="1967">
      <c r="A1967" s="193" t="s">
        <v>19325</v>
      </c>
      <c r="B1967" s="7" t="s">
        <v>16582</v>
      </c>
      <c r="C1967" s="7" t="s">
        <v>16817</v>
      </c>
      <c r="D1967" s="194">
        <v>2020.0</v>
      </c>
      <c r="E1967" s="193"/>
      <c r="F1967" s="195" t="s">
        <v>19326</v>
      </c>
      <c r="G1967" s="196">
        <v>4.973623296E9</v>
      </c>
      <c r="H1967" s="197">
        <v>12.76</v>
      </c>
      <c r="I1967" s="7" t="s">
        <v>16815</v>
      </c>
      <c r="J1967" s="7" t="s">
        <v>16582</v>
      </c>
      <c r="K1967" s="7" t="s">
        <v>16817</v>
      </c>
      <c r="L1967" s="198" t="s">
        <v>65</v>
      </c>
      <c r="M1967" s="194"/>
      <c r="N1967" s="194"/>
    </row>
    <row r="1968">
      <c r="A1968" s="193" t="s">
        <v>19327</v>
      </c>
      <c r="B1968" s="7" t="s">
        <v>16582</v>
      </c>
      <c r="C1968" s="7" t="s">
        <v>16828</v>
      </c>
      <c r="D1968" s="194">
        <v>2020.0</v>
      </c>
      <c r="E1968" s="193"/>
      <c r="F1968" s="195" t="s">
        <v>19328</v>
      </c>
      <c r="G1968" s="196">
        <v>4.969674523E9</v>
      </c>
      <c r="H1968" s="197">
        <v>25.82</v>
      </c>
      <c r="I1968" s="7" t="s">
        <v>16815</v>
      </c>
      <c r="J1968" s="7" t="s">
        <v>16582</v>
      </c>
      <c r="K1968" s="7" t="s">
        <v>16828</v>
      </c>
      <c r="L1968" s="198" t="s">
        <v>65</v>
      </c>
      <c r="M1968" s="194"/>
      <c r="N1968" s="194"/>
    </row>
    <row r="1969">
      <c r="A1969" s="193" t="s">
        <v>19329</v>
      </c>
      <c r="B1969" s="7" t="s">
        <v>169</v>
      </c>
      <c r="C1969" s="7" t="s">
        <v>17619</v>
      </c>
      <c r="D1969" s="194">
        <v>2003.0</v>
      </c>
      <c r="E1969" s="193"/>
      <c r="F1969" s="195" t="s">
        <v>19330</v>
      </c>
      <c r="G1969" s="196">
        <v>4.965464881E9</v>
      </c>
      <c r="H1969" s="197">
        <v>146.34</v>
      </c>
      <c r="I1969" s="7" t="s">
        <v>16815</v>
      </c>
      <c r="J1969" s="7" t="s">
        <v>169</v>
      </c>
      <c r="K1969" s="7" t="s">
        <v>17619</v>
      </c>
      <c r="L1969" s="198" t="s">
        <v>65</v>
      </c>
      <c r="M1969" s="194"/>
      <c r="N1969" s="194"/>
    </row>
    <row r="1970">
      <c r="A1970" s="193" t="s">
        <v>19331</v>
      </c>
      <c r="B1970" s="7" t="s">
        <v>175</v>
      </c>
      <c r="C1970" s="7" t="s">
        <v>19006</v>
      </c>
      <c r="D1970" s="199"/>
      <c r="E1970" s="193"/>
      <c r="F1970" s="195" t="s">
        <v>19332</v>
      </c>
      <c r="G1970" s="196">
        <v>4.95886805E9</v>
      </c>
      <c r="H1970" s="197">
        <v>87.81</v>
      </c>
      <c r="I1970" s="7" t="s">
        <v>168</v>
      </c>
      <c r="J1970" s="7" t="s">
        <v>175</v>
      </c>
      <c r="K1970" s="7" t="s">
        <v>19006</v>
      </c>
      <c r="L1970" s="198" t="s">
        <v>65</v>
      </c>
      <c r="M1970" s="199"/>
      <c r="N1970" s="199"/>
    </row>
    <row r="1971">
      <c r="A1971" s="193" t="s">
        <v>19331</v>
      </c>
      <c r="B1971" s="7" t="s">
        <v>19006</v>
      </c>
      <c r="C1971" s="7" t="s">
        <v>175</v>
      </c>
      <c r="D1971" s="199"/>
      <c r="E1971" s="193"/>
      <c r="F1971" s="195" t="s">
        <v>19332</v>
      </c>
      <c r="G1971" s="200">
        <v>4.95886805E9</v>
      </c>
      <c r="H1971" s="197">
        <v>87.81</v>
      </c>
      <c r="I1971" s="7" t="s">
        <v>16815</v>
      </c>
      <c r="J1971" s="7" t="s">
        <v>19006</v>
      </c>
      <c r="K1971" s="7" t="s">
        <v>175</v>
      </c>
      <c r="L1971" s="201" t="s">
        <v>16835</v>
      </c>
      <c r="M1971" s="199"/>
      <c r="N1971" s="199"/>
    </row>
    <row r="1972">
      <c r="A1972" s="193" t="s">
        <v>19333</v>
      </c>
      <c r="B1972" s="7" t="s">
        <v>169</v>
      </c>
      <c r="C1972" s="7" t="s">
        <v>17805</v>
      </c>
      <c r="D1972" s="199"/>
      <c r="E1972" s="193"/>
      <c r="F1972" s="195" t="s">
        <v>19334</v>
      </c>
      <c r="G1972" s="196">
        <v>4.94262913E9</v>
      </c>
      <c r="H1972" s="197">
        <v>37.67</v>
      </c>
      <c r="I1972" s="7" t="s">
        <v>16815</v>
      </c>
      <c r="J1972" s="7" t="s">
        <v>169</v>
      </c>
      <c r="K1972" s="7" t="s">
        <v>17805</v>
      </c>
      <c r="L1972" s="198" t="s">
        <v>65</v>
      </c>
      <c r="M1972" s="199"/>
      <c r="N1972" s="199"/>
    </row>
    <row r="1973">
      <c r="A1973" s="193" t="s">
        <v>19333</v>
      </c>
      <c r="B1973" s="7" t="s">
        <v>17805</v>
      </c>
      <c r="C1973" s="7" t="s">
        <v>169</v>
      </c>
      <c r="D1973" s="199"/>
      <c r="E1973" s="193"/>
      <c r="F1973" s="195" t="s">
        <v>19334</v>
      </c>
      <c r="G1973" s="200">
        <v>4.94262913E9</v>
      </c>
      <c r="H1973" s="197">
        <v>37.67</v>
      </c>
      <c r="I1973" s="7" t="s">
        <v>16815</v>
      </c>
      <c r="J1973" s="7" t="s">
        <v>17805</v>
      </c>
      <c r="K1973" s="7" t="s">
        <v>169</v>
      </c>
      <c r="L1973" s="201" t="s">
        <v>16835</v>
      </c>
      <c r="M1973" s="199"/>
      <c r="N1973" s="199"/>
    </row>
    <row r="1974">
      <c r="A1974" s="193" t="s">
        <v>19335</v>
      </c>
      <c r="B1974" s="7" t="s">
        <v>175</v>
      </c>
      <c r="C1974" s="7" t="s">
        <v>17480</v>
      </c>
      <c r="D1974" s="194">
        <v>1991.0</v>
      </c>
      <c r="E1974" s="193"/>
      <c r="F1974" s="195" t="s">
        <v>19336</v>
      </c>
      <c r="G1974" s="196">
        <v>4.924430753E9</v>
      </c>
      <c r="H1974" s="197">
        <v>109.17</v>
      </c>
      <c r="I1974" s="7" t="s">
        <v>16908</v>
      </c>
      <c r="J1974" s="7" t="s">
        <v>175</v>
      </c>
      <c r="K1974" s="7" t="s">
        <v>17480</v>
      </c>
      <c r="L1974" s="198" t="s">
        <v>65</v>
      </c>
      <c r="M1974" s="194"/>
      <c r="N1974" s="194"/>
    </row>
    <row r="1975">
      <c r="A1975" s="193" t="s">
        <v>19337</v>
      </c>
      <c r="B1975" s="7" t="s">
        <v>187</v>
      </c>
      <c r="C1975" s="7" t="s">
        <v>16858</v>
      </c>
      <c r="D1975" s="199"/>
      <c r="E1975" s="193"/>
      <c r="F1975" s="195" t="s">
        <v>19338</v>
      </c>
      <c r="G1975" s="196">
        <v>4.920654598E9</v>
      </c>
      <c r="H1975" s="197">
        <v>37.25</v>
      </c>
      <c r="I1975" s="7" t="s">
        <v>16815</v>
      </c>
      <c r="J1975" s="7" t="s">
        <v>187</v>
      </c>
      <c r="K1975" s="7" t="s">
        <v>16858</v>
      </c>
      <c r="L1975" s="198" t="s">
        <v>65</v>
      </c>
      <c r="M1975" s="199"/>
      <c r="N1975" s="199"/>
    </row>
    <row r="1976">
      <c r="A1976" s="193" t="s">
        <v>19339</v>
      </c>
      <c r="B1976" s="7" t="s">
        <v>17321</v>
      </c>
      <c r="C1976" s="7" t="s">
        <v>169</v>
      </c>
      <c r="D1976" s="194">
        <v>2006.0</v>
      </c>
      <c r="E1976" s="193"/>
      <c r="F1976" s="195" t="s">
        <v>19340</v>
      </c>
      <c r="G1976" s="200">
        <v>4.916749151E9</v>
      </c>
      <c r="H1976" s="197">
        <v>115.01</v>
      </c>
      <c r="I1976" s="7" t="s">
        <v>16815</v>
      </c>
      <c r="J1976" s="7" t="s">
        <v>17321</v>
      </c>
      <c r="K1976" s="7" t="s">
        <v>169</v>
      </c>
      <c r="L1976" s="201" t="s">
        <v>16835</v>
      </c>
      <c r="M1976" s="194"/>
      <c r="N1976" s="194"/>
    </row>
    <row r="1977">
      <c r="A1977" s="193" t="s">
        <v>19339</v>
      </c>
      <c r="B1977" s="7" t="s">
        <v>169</v>
      </c>
      <c r="C1977" s="7" t="s">
        <v>17321</v>
      </c>
      <c r="D1977" s="194">
        <v>2006.0</v>
      </c>
      <c r="E1977" s="193"/>
      <c r="F1977" s="195" t="s">
        <v>19340</v>
      </c>
      <c r="G1977" s="196">
        <v>4.916749151E9</v>
      </c>
      <c r="H1977" s="197">
        <v>115.01</v>
      </c>
      <c r="I1977" s="7" t="s">
        <v>16815</v>
      </c>
      <c r="J1977" s="7" t="s">
        <v>169</v>
      </c>
      <c r="K1977" s="7" t="s">
        <v>17321</v>
      </c>
      <c r="L1977" s="198" t="s">
        <v>65</v>
      </c>
      <c r="M1977" s="194"/>
      <c r="N1977" s="194"/>
    </row>
    <row r="1978">
      <c r="A1978" s="193" t="s">
        <v>19341</v>
      </c>
      <c r="B1978" s="7" t="s">
        <v>16838</v>
      </c>
      <c r="C1978" s="7" t="s">
        <v>16867</v>
      </c>
      <c r="D1978" s="199"/>
      <c r="E1978" s="193"/>
      <c r="F1978" s="195" t="s">
        <v>19342</v>
      </c>
      <c r="G1978" s="196">
        <v>4.906128399E9</v>
      </c>
      <c r="H1978" s="197">
        <v>68.02</v>
      </c>
      <c r="I1978" s="7" t="s">
        <v>16815</v>
      </c>
      <c r="J1978" s="7" t="s">
        <v>16838</v>
      </c>
      <c r="K1978" s="7" t="s">
        <v>16867</v>
      </c>
      <c r="L1978" s="198" t="s">
        <v>65</v>
      </c>
      <c r="M1978" s="199"/>
      <c r="N1978" s="199"/>
    </row>
    <row r="1979">
      <c r="A1979" s="193" t="s">
        <v>19343</v>
      </c>
      <c r="B1979" s="7" t="s">
        <v>17127</v>
      </c>
      <c r="C1979" s="7" t="s">
        <v>16838</v>
      </c>
      <c r="D1979" s="194">
        <v>1991.0</v>
      </c>
      <c r="E1979" s="193"/>
      <c r="F1979" s="195" t="s">
        <v>19344</v>
      </c>
      <c r="G1979" s="200">
        <v>4.905639232E9</v>
      </c>
      <c r="H1979" s="197">
        <v>17.69</v>
      </c>
      <c r="I1979" s="7" t="s">
        <v>16815</v>
      </c>
      <c r="J1979" s="7" t="s">
        <v>17127</v>
      </c>
      <c r="K1979" s="7" t="s">
        <v>16838</v>
      </c>
      <c r="L1979" s="201" t="s">
        <v>16835</v>
      </c>
      <c r="M1979" s="194"/>
      <c r="N1979" s="194"/>
    </row>
    <row r="1980">
      <c r="A1980" s="193" t="s">
        <v>19343</v>
      </c>
      <c r="B1980" s="7" t="s">
        <v>16838</v>
      </c>
      <c r="C1980" s="7" t="s">
        <v>17127</v>
      </c>
      <c r="D1980" s="194">
        <v>1991.0</v>
      </c>
      <c r="E1980" s="193"/>
      <c r="F1980" s="195" t="s">
        <v>19344</v>
      </c>
      <c r="G1980" s="196">
        <v>4.905639232E9</v>
      </c>
      <c r="H1980" s="197">
        <v>17.69</v>
      </c>
      <c r="I1980" s="7" t="s">
        <v>16815</v>
      </c>
      <c r="J1980" s="7" t="s">
        <v>16838</v>
      </c>
      <c r="K1980" s="7" t="s">
        <v>17127</v>
      </c>
      <c r="L1980" s="198" t="s">
        <v>65</v>
      </c>
      <c r="M1980" s="194"/>
      <c r="N1980" s="194"/>
    </row>
    <row r="1981">
      <c r="A1981" s="193" t="s">
        <v>19345</v>
      </c>
      <c r="B1981" s="7" t="s">
        <v>175</v>
      </c>
      <c r="C1981" s="7" t="s">
        <v>17457</v>
      </c>
      <c r="D1981" s="199"/>
      <c r="E1981" s="193"/>
      <c r="F1981" s="195" t="s">
        <v>19346</v>
      </c>
      <c r="G1981" s="196">
        <v>4.903970353E9</v>
      </c>
      <c r="H1981" s="197">
        <v>134.54</v>
      </c>
      <c r="I1981" s="7" t="s">
        <v>168</v>
      </c>
      <c r="J1981" s="7" t="s">
        <v>175</v>
      </c>
      <c r="K1981" s="7" t="s">
        <v>17457</v>
      </c>
      <c r="L1981" s="198" t="s">
        <v>65</v>
      </c>
      <c r="M1981" s="199"/>
      <c r="N1981" s="199"/>
    </row>
    <row r="1982">
      <c r="A1982" s="193" t="s">
        <v>19345</v>
      </c>
      <c r="B1982" s="7" t="s">
        <v>17457</v>
      </c>
      <c r="C1982" s="7" t="s">
        <v>175</v>
      </c>
      <c r="D1982" s="199"/>
      <c r="E1982" s="193"/>
      <c r="F1982" s="195" t="s">
        <v>19346</v>
      </c>
      <c r="G1982" s="200">
        <v>4.903970353E9</v>
      </c>
      <c r="H1982" s="197">
        <v>134.54</v>
      </c>
      <c r="I1982" s="7" t="s">
        <v>16815</v>
      </c>
      <c r="J1982" s="7" t="s">
        <v>17457</v>
      </c>
      <c r="K1982" s="7" t="s">
        <v>175</v>
      </c>
      <c r="L1982" s="201" t="s">
        <v>16835</v>
      </c>
      <c r="M1982" s="199"/>
      <c r="N1982" s="199"/>
    </row>
    <row r="1983">
      <c r="A1983" s="193" t="s">
        <v>19347</v>
      </c>
      <c r="B1983" s="7" t="s">
        <v>16838</v>
      </c>
      <c r="C1983" s="7" t="s">
        <v>17202</v>
      </c>
      <c r="D1983" s="194">
        <v>2017.0</v>
      </c>
      <c r="E1983" s="193"/>
      <c r="F1983" s="195" t="s">
        <v>19348</v>
      </c>
      <c r="G1983" s="196">
        <v>4.877065345E9</v>
      </c>
      <c r="H1983" s="197">
        <v>90.3</v>
      </c>
      <c r="I1983" s="7" t="s">
        <v>16815</v>
      </c>
      <c r="J1983" s="7" t="s">
        <v>16838</v>
      </c>
      <c r="K1983" s="7" t="s">
        <v>17202</v>
      </c>
      <c r="L1983" s="198" t="s">
        <v>65</v>
      </c>
      <c r="M1983" s="194"/>
      <c r="N1983" s="194"/>
    </row>
    <row r="1984">
      <c r="A1984" s="193" t="s">
        <v>19349</v>
      </c>
      <c r="B1984" s="7" t="s">
        <v>16838</v>
      </c>
      <c r="C1984" s="7" t="s">
        <v>16867</v>
      </c>
      <c r="D1984" s="199"/>
      <c r="E1984" s="193"/>
      <c r="F1984" s="195" t="s">
        <v>19350</v>
      </c>
      <c r="G1984" s="196">
        <v>4.877058463E9</v>
      </c>
      <c r="H1984" s="197">
        <v>32.92</v>
      </c>
      <c r="I1984" s="7" t="s">
        <v>16815</v>
      </c>
      <c r="J1984" s="7" t="s">
        <v>16838</v>
      </c>
      <c r="K1984" s="7" t="s">
        <v>16867</v>
      </c>
      <c r="L1984" s="198" t="s">
        <v>65</v>
      </c>
      <c r="M1984" s="199"/>
      <c r="N1984" s="199"/>
    </row>
    <row r="1985">
      <c r="A1985" s="193" t="s">
        <v>19351</v>
      </c>
      <c r="B1985" s="7" t="s">
        <v>175</v>
      </c>
      <c r="C1985" s="7" t="s">
        <v>16942</v>
      </c>
      <c r="D1985" s="194">
        <v>2021.0</v>
      </c>
      <c r="E1985" s="193"/>
      <c r="F1985" s="195" t="s">
        <v>19352</v>
      </c>
      <c r="G1985" s="196">
        <v>4.875986522E9</v>
      </c>
      <c r="H1985" s="197">
        <v>27.53</v>
      </c>
      <c r="I1985" s="7" t="s">
        <v>16908</v>
      </c>
      <c r="J1985" s="7" t="s">
        <v>175</v>
      </c>
      <c r="K1985" s="7" t="s">
        <v>16942</v>
      </c>
      <c r="L1985" s="198" t="s">
        <v>65</v>
      </c>
      <c r="M1985" s="194"/>
      <c r="N1985" s="194"/>
    </row>
    <row r="1986">
      <c r="A1986" s="193" t="s">
        <v>19351</v>
      </c>
      <c r="B1986" s="7" t="s">
        <v>16942</v>
      </c>
      <c r="C1986" s="7" t="s">
        <v>175</v>
      </c>
      <c r="D1986" s="194">
        <v>2021.0</v>
      </c>
      <c r="E1986" s="193"/>
      <c r="F1986" s="195" t="s">
        <v>19352</v>
      </c>
      <c r="G1986" s="200">
        <v>4.875986522E9</v>
      </c>
      <c r="H1986" s="197">
        <v>27.53</v>
      </c>
      <c r="I1986" s="7" t="s">
        <v>16815</v>
      </c>
      <c r="J1986" s="7" t="s">
        <v>16942</v>
      </c>
      <c r="K1986" s="7" t="s">
        <v>175</v>
      </c>
      <c r="L1986" s="201" t="s">
        <v>16835</v>
      </c>
      <c r="M1986" s="194"/>
      <c r="N1986" s="194"/>
    </row>
    <row r="1987">
      <c r="A1987" s="193" t="s">
        <v>19353</v>
      </c>
      <c r="B1987" s="7" t="s">
        <v>169</v>
      </c>
      <c r="C1987" s="7" t="s">
        <v>17457</v>
      </c>
      <c r="D1987" s="199"/>
      <c r="E1987" s="193"/>
      <c r="F1987" s="195" t="s">
        <v>19354</v>
      </c>
      <c r="G1987" s="196">
        <v>4.868662789E9</v>
      </c>
      <c r="H1987" s="197">
        <v>91.32</v>
      </c>
      <c r="I1987" s="7" t="s">
        <v>16815</v>
      </c>
      <c r="J1987" s="7" t="s">
        <v>169</v>
      </c>
      <c r="K1987" s="7" t="s">
        <v>17457</v>
      </c>
      <c r="L1987" s="198" t="s">
        <v>65</v>
      </c>
      <c r="M1987" s="199"/>
      <c r="N1987" s="199"/>
    </row>
    <row r="1988">
      <c r="A1988" s="193" t="s">
        <v>19353</v>
      </c>
      <c r="B1988" s="7" t="s">
        <v>17457</v>
      </c>
      <c r="C1988" s="7" t="s">
        <v>169</v>
      </c>
      <c r="D1988" s="199"/>
      <c r="E1988" s="193"/>
      <c r="F1988" s="195" t="s">
        <v>19354</v>
      </c>
      <c r="G1988" s="200">
        <v>4.868662789E9</v>
      </c>
      <c r="H1988" s="197">
        <v>91.32</v>
      </c>
      <c r="I1988" s="7" t="s">
        <v>16815</v>
      </c>
      <c r="J1988" s="7" t="s">
        <v>17457</v>
      </c>
      <c r="K1988" s="7" t="s">
        <v>169</v>
      </c>
      <c r="L1988" s="201" t="s">
        <v>16835</v>
      </c>
      <c r="M1988" s="199"/>
      <c r="N1988" s="199"/>
    </row>
    <row r="1989">
      <c r="A1989" s="193" t="s">
        <v>19355</v>
      </c>
      <c r="B1989" s="7" t="s">
        <v>16957</v>
      </c>
      <c r="C1989" s="7" t="s">
        <v>16926</v>
      </c>
      <c r="D1989" s="199"/>
      <c r="E1989" s="193"/>
      <c r="F1989" s="195" t="s">
        <v>19356</v>
      </c>
      <c r="G1989" s="200">
        <v>4.854773264E9</v>
      </c>
      <c r="H1989" s="197">
        <v>22.47</v>
      </c>
      <c r="I1989" s="7" t="s">
        <v>16815</v>
      </c>
      <c r="J1989" s="7" t="s">
        <v>16957</v>
      </c>
      <c r="K1989" s="7" t="s">
        <v>16926</v>
      </c>
      <c r="L1989" s="201" t="s">
        <v>16835</v>
      </c>
      <c r="M1989" s="199"/>
      <c r="N1989" s="199"/>
    </row>
    <row r="1990">
      <c r="A1990" s="193" t="s">
        <v>19355</v>
      </c>
      <c r="B1990" s="7" t="s">
        <v>16926</v>
      </c>
      <c r="C1990" s="7" t="s">
        <v>16957</v>
      </c>
      <c r="D1990" s="199"/>
      <c r="E1990" s="193"/>
      <c r="F1990" s="195" t="s">
        <v>19356</v>
      </c>
      <c r="G1990" s="196">
        <v>4.854773264E9</v>
      </c>
      <c r="H1990" s="197">
        <v>22.47</v>
      </c>
      <c r="I1990" s="7" t="s">
        <v>16815</v>
      </c>
      <c r="J1990" s="7" t="s">
        <v>16926</v>
      </c>
      <c r="K1990" s="7" t="s">
        <v>16957</v>
      </c>
      <c r="L1990" s="198" t="s">
        <v>65</v>
      </c>
      <c r="M1990" s="199"/>
      <c r="N1990" s="199"/>
    </row>
    <row r="1991">
      <c r="A1991" s="193" t="s">
        <v>19357</v>
      </c>
      <c r="B1991" s="7" t="s">
        <v>16885</v>
      </c>
      <c r="C1991" s="7" t="s">
        <v>17726</v>
      </c>
      <c r="D1991" s="199"/>
      <c r="E1991" s="193"/>
      <c r="F1991" s="195" t="s">
        <v>19358</v>
      </c>
      <c r="G1991" s="196">
        <v>4.8543408E9</v>
      </c>
      <c r="H1991" s="197">
        <v>13.32</v>
      </c>
      <c r="I1991" s="7" t="s">
        <v>16826</v>
      </c>
      <c r="J1991" s="7" t="s">
        <v>16885</v>
      </c>
      <c r="K1991" s="7" t="s">
        <v>17726</v>
      </c>
      <c r="L1991" s="198" t="s">
        <v>65</v>
      </c>
      <c r="M1991" s="199"/>
      <c r="N1991" s="199"/>
    </row>
    <row r="1992">
      <c r="A1992" s="193" t="s">
        <v>19357</v>
      </c>
      <c r="B1992" s="7" t="s">
        <v>17726</v>
      </c>
      <c r="C1992" s="7" t="s">
        <v>16885</v>
      </c>
      <c r="D1992" s="199"/>
      <c r="E1992" s="193"/>
      <c r="F1992" s="195" t="s">
        <v>19358</v>
      </c>
      <c r="G1992" s="200">
        <v>4.8543408E9</v>
      </c>
      <c r="H1992" s="197">
        <v>13.32</v>
      </c>
      <c r="I1992" s="7" t="s">
        <v>16815</v>
      </c>
      <c r="J1992" s="7" t="s">
        <v>17726</v>
      </c>
      <c r="K1992" s="7" t="s">
        <v>16885</v>
      </c>
      <c r="L1992" s="201" t="s">
        <v>16835</v>
      </c>
      <c r="M1992" s="199"/>
      <c r="N1992" s="199"/>
    </row>
    <row r="1993">
      <c r="A1993" s="193" t="s">
        <v>19359</v>
      </c>
      <c r="B1993" s="7" t="s">
        <v>175</v>
      </c>
      <c r="C1993" s="7" t="s">
        <v>16861</v>
      </c>
      <c r="D1993" s="194">
        <v>2015.0</v>
      </c>
      <c r="E1993" s="193"/>
      <c r="F1993" s="195" t="s">
        <v>19360</v>
      </c>
      <c r="G1993" s="196">
        <v>4.853661418E9</v>
      </c>
      <c r="H1993" s="197">
        <v>78.66</v>
      </c>
      <c r="I1993" s="7" t="s">
        <v>168</v>
      </c>
      <c r="J1993" s="7" t="s">
        <v>175</v>
      </c>
      <c r="K1993" s="7" t="s">
        <v>16861</v>
      </c>
      <c r="L1993" s="198" t="s">
        <v>65</v>
      </c>
      <c r="M1993" s="194"/>
      <c r="N1993" s="194"/>
    </row>
    <row r="1994">
      <c r="A1994" s="193" t="s">
        <v>19361</v>
      </c>
      <c r="B1994" s="7" t="s">
        <v>169</v>
      </c>
      <c r="C1994" s="7" t="s">
        <v>16899</v>
      </c>
      <c r="D1994" s="199"/>
      <c r="E1994" s="193"/>
      <c r="F1994" s="195" t="s">
        <v>19362</v>
      </c>
      <c r="G1994" s="196">
        <v>4.843034166E9</v>
      </c>
      <c r="H1994" s="197">
        <v>70.38</v>
      </c>
      <c r="I1994" s="7" t="s">
        <v>16815</v>
      </c>
      <c r="J1994" s="7" t="s">
        <v>169</v>
      </c>
      <c r="K1994" s="7" t="s">
        <v>16899</v>
      </c>
      <c r="L1994" s="198" t="s">
        <v>65</v>
      </c>
      <c r="M1994" s="199"/>
      <c r="N1994" s="199"/>
    </row>
    <row r="1995">
      <c r="A1995" s="193" t="s">
        <v>19361</v>
      </c>
      <c r="B1995" s="7" t="s">
        <v>16899</v>
      </c>
      <c r="C1995" s="7" t="s">
        <v>169</v>
      </c>
      <c r="D1995" s="199"/>
      <c r="E1995" s="193"/>
      <c r="F1995" s="195" t="s">
        <v>19362</v>
      </c>
      <c r="G1995" s="200">
        <v>4.843034166E9</v>
      </c>
      <c r="H1995" s="197">
        <v>70.38</v>
      </c>
      <c r="I1995" s="7" t="s">
        <v>16815</v>
      </c>
      <c r="J1995" s="7" t="s">
        <v>16899</v>
      </c>
      <c r="K1995" s="7" t="s">
        <v>169</v>
      </c>
      <c r="L1995" s="201" t="s">
        <v>16835</v>
      </c>
      <c r="M1995" s="199"/>
      <c r="N1995" s="199"/>
    </row>
    <row r="1996">
      <c r="A1996" s="193" t="s">
        <v>19363</v>
      </c>
      <c r="B1996" s="7" t="s">
        <v>16867</v>
      </c>
      <c r="C1996" s="7" t="s">
        <v>16838</v>
      </c>
      <c r="D1996" s="194">
        <v>2005.0</v>
      </c>
      <c r="E1996" s="193"/>
      <c r="F1996" s="195" t="s">
        <v>19364</v>
      </c>
      <c r="G1996" s="200">
        <v>4.842021884E9</v>
      </c>
      <c r="H1996" s="197">
        <v>44.23</v>
      </c>
      <c r="I1996" s="7" t="s">
        <v>16815</v>
      </c>
      <c r="J1996" s="7" t="s">
        <v>16867</v>
      </c>
      <c r="K1996" s="7" t="s">
        <v>16838</v>
      </c>
      <c r="L1996" s="201" t="s">
        <v>16835</v>
      </c>
      <c r="M1996" s="194"/>
      <c r="N1996" s="194"/>
    </row>
    <row r="1997">
      <c r="A1997" s="193" t="s">
        <v>19363</v>
      </c>
      <c r="B1997" s="7" t="s">
        <v>16838</v>
      </c>
      <c r="C1997" s="7" t="s">
        <v>16867</v>
      </c>
      <c r="D1997" s="194">
        <v>2005.0</v>
      </c>
      <c r="E1997" s="193"/>
      <c r="F1997" s="195" t="s">
        <v>19364</v>
      </c>
      <c r="G1997" s="196">
        <v>4.842021884E9</v>
      </c>
      <c r="H1997" s="197">
        <v>44.23</v>
      </c>
      <c r="I1997" s="7" t="s">
        <v>16815</v>
      </c>
      <c r="J1997" s="7" t="s">
        <v>16838</v>
      </c>
      <c r="K1997" s="7" t="s">
        <v>16867</v>
      </c>
      <c r="L1997" s="198" t="s">
        <v>65</v>
      </c>
      <c r="M1997" s="194"/>
      <c r="N1997" s="194"/>
    </row>
    <row r="1998">
      <c r="A1998" s="193" t="s">
        <v>19365</v>
      </c>
      <c r="B1998" s="7" t="s">
        <v>16582</v>
      </c>
      <c r="C1998" s="7" t="s">
        <v>16817</v>
      </c>
      <c r="D1998" s="194">
        <v>2014.0</v>
      </c>
      <c r="E1998" s="193"/>
      <c r="F1998" s="195" t="s">
        <v>19366</v>
      </c>
      <c r="G1998" s="196">
        <v>4.839461233E9</v>
      </c>
      <c r="H1998" s="197">
        <v>89.54</v>
      </c>
      <c r="I1998" s="7" t="s">
        <v>16815</v>
      </c>
      <c r="J1998" s="7" t="s">
        <v>16582</v>
      </c>
      <c r="K1998" s="7" t="s">
        <v>16817</v>
      </c>
      <c r="L1998" s="198" t="s">
        <v>65</v>
      </c>
      <c r="M1998" s="194"/>
      <c r="N1998" s="194"/>
    </row>
    <row r="1999">
      <c r="A1999" s="193" t="s">
        <v>19365</v>
      </c>
      <c r="B1999" s="7" t="s">
        <v>16817</v>
      </c>
      <c r="C1999" s="7" t="s">
        <v>16582</v>
      </c>
      <c r="D1999" s="194">
        <v>2014.0</v>
      </c>
      <c r="E1999" s="193"/>
      <c r="F1999" s="195" t="s">
        <v>19366</v>
      </c>
      <c r="G1999" s="200">
        <v>4.839461233E9</v>
      </c>
      <c r="H1999" s="197">
        <v>89.54</v>
      </c>
      <c r="I1999" s="7" t="s">
        <v>16815</v>
      </c>
      <c r="J1999" s="7" t="s">
        <v>16817</v>
      </c>
      <c r="K1999" s="7" t="s">
        <v>16582</v>
      </c>
      <c r="L1999" s="201" t="s">
        <v>16835</v>
      </c>
      <c r="M1999" s="194"/>
      <c r="N1999" s="194"/>
    </row>
    <row r="2000">
      <c r="A2000" s="193" t="s">
        <v>19367</v>
      </c>
      <c r="B2000" s="7" t="s">
        <v>175</v>
      </c>
      <c r="C2000" s="7" t="s">
        <v>16975</v>
      </c>
      <c r="D2000" s="194">
        <v>2006.0</v>
      </c>
      <c r="E2000" s="193"/>
      <c r="F2000" s="195" t="s">
        <v>19368</v>
      </c>
      <c r="G2000" s="196">
        <v>4.826554187E9</v>
      </c>
      <c r="H2000" s="197">
        <v>79.69</v>
      </c>
      <c r="I2000" s="7" t="s">
        <v>16908</v>
      </c>
      <c r="J2000" s="7" t="s">
        <v>175</v>
      </c>
      <c r="K2000" s="7" t="s">
        <v>16975</v>
      </c>
      <c r="L2000" s="198" t="s">
        <v>65</v>
      </c>
      <c r="M2000" s="194"/>
      <c r="N2000" s="194"/>
    </row>
    <row r="2001">
      <c r="A2001" s="193" t="s">
        <v>19369</v>
      </c>
      <c r="B2001" s="7" t="s">
        <v>16885</v>
      </c>
      <c r="C2001" s="7" t="s">
        <v>17726</v>
      </c>
      <c r="D2001" s="199"/>
      <c r="E2001" s="193"/>
      <c r="F2001" s="195" t="s">
        <v>19370</v>
      </c>
      <c r="G2001" s="196">
        <v>4.807844358E9</v>
      </c>
      <c r="H2001" s="197">
        <v>23.53</v>
      </c>
      <c r="I2001" s="7" t="s">
        <v>16888</v>
      </c>
      <c r="J2001" s="7" t="s">
        <v>16885</v>
      </c>
      <c r="K2001" s="7" t="s">
        <v>17726</v>
      </c>
      <c r="L2001" s="198" t="s">
        <v>65</v>
      </c>
      <c r="M2001" s="199"/>
      <c r="N2001" s="199"/>
    </row>
    <row r="2002">
      <c r="A2002" s="193" t="s">
        <v>19371</v>
      </c>
      <c r="B2002" s="7" t="s">
        <v>175</v>
      </c>
      <c r="C2002" s="7" t="s">
        <v>16861</v>
      </c>
      <c r="D2002" s="199"/>
      <c r="E2002" s="193"/>
      <c r="F2002" s="195" t="s">
        <v>19372</v>
      </c>
      <c r="G2002" s="196">
        <v>4.802275422E9</v>
      </c>
      <c r="H2002" s="197">
        <v>292.38</v>
      </c>
      <c r="I2002" s="7" t="s">
        <v>16908</v>
      </c>
      <c r="J2002" s="7" t="s">
        <v>175</v>
      </c>
      <c r="K2002" s="7" t="s">
        <v>16861</v>
      </c>
      <c r="L2002" s="198" t="s">
        <v>65</v>
      </c>
      <c r="M2002" s="199"/>
      <c r="N2002" s="199"/>
    </row>
    <row r="2003">
      <c r="A2003" s="193" t="s">
        <v>19371</v>
      </c>
      <c r="B2003" s="7" t="s">
        <v>16861</v>
      </c>
      <c r="C2003" s="7" t="s">
        <v>175</v>
      </c>
      <c r="D2003" s="199"/>
      <c r="E2003" s="193"/>
      <c r="F2003" s="195" t="s">
        <v>19372</v>
      </c>
      <c r="G2003" s="200">
        <v>4.802275422E9</v>
      </c>
      <c r="H2003" s="197">
        <v>292.38</v>
      </c>
      <c r="I2003" s="7" t="s">
        <v>16815</v>
      </c>
      <c r="J2003" s="7" t="s">
        <v>16861</v>
      </c>
      <c r="K2003" s="7" t="s">
        <v>175</v>
      </c>
      <c r="L2003" s="201" t="s">
        <v>16835</v>
      </c>
      <c r="M2003" s="199"/>
      <c r="N2003" s="199"/>
    </row>
    <row r="2004">
      <c r="A2004" s="193" t="s">
        <v>19373</v>
      </c>
      <c r="B2004" s="7" t="s">
        <v>16838</v>
      </c>
      <c r="C2004" s="7" t="s">
        <v>17019</v>
      </c>
      <c r="D2004" s="199"/>
      <c r="E2004" s="193"/>
      <c r="F2004" s="195" t="s">
        <v>19374</v>
      </c>
      <c r="G2004" s="196">
        <v>4.800632539E9</v>
      </c>
      <c r="H2004" s="197">
        <v>80.33</v>
      </c>
      <c r="I2004" s="7" t="s">
        <v>16815</v>
      </c>
      <c r="J2004" s="7" t="s">
        <v>16838</v>
      </c>
      <c r="K2004" s="7" t="s">
        <v>17019</v>
      </c>
      <c r="L2004" s="198" t="s">
        <v>65</v>
      </c>
      <c r="M2004" s="199"/>
      <c r="N2004" s="199"/>
    </row>
    <row r="2005">
      <c r="A2005" s="193" t="s">
        <v>19375</v>
      </c>
      <c r="B2005" s="7" t="s">
        <v>16945</v>
      </c>
      <c r="C2005" s="7" t="s">
        <v>169</v>
      </c>
      <c r="D2005" s="199"/>
      <c r="E2005" s="193"/>
      <c r="F2005" s="195" t="s">
        <v>19376</v>
      </c>
      <c r="G2005" s="200">
        <v>4.793732879E9</v>
      </c>
      <c r="H2005" s="197">
        <v>499.86</v>
      </c>
      <c r="I2005" s="7" t="s">
        <v>16815</v>
      </c>
      <c r="J2005" s="7" t="s">
        <v>16945</v>
      </c>
      <c r="K2005" s="7" t="s">
        <v>169</v>
      </c>
      <c r="L2005" s="201" t="s">
        <v>16835</v>
      </c>
      <c r="M2005" s="199"/>
      <c r="N2005" s="199"/>
    </row>
    <row r="2006">
      <c r="A2006" s="193" t="s">
        <v>19375</v>
      </c>
      <c r="B2006" s="7" t="s">
        <v>169</v>
      </c>
      <c r="C2006" s="7" t="s">
        <v>16945</v>
      </c>
      <c r="D2006" s="199"/>
      <c r="E2006" s="193"/>
      <c r="F2006" s="195" t="s">
        <v>19376</v>
      </c>
      <c r="G2006" s="196">
        <v>4.793732879E9</v>
      </c>
      <c r="H2006" s="197">
        <v>499.86</v>
      </c>
      <c r="I2006" s="7" t="s">
        <v>16815</v>
      </c>
      <c r="J2006" s="7" t="s">
        <v>169</v>
      </c>
      <c r="K2006" s="7" t="s">
        <v>16945</v>
      </c>
      <c r="L2006" s="198" t="s">
        <v>65</v>
      </c>
      <c r="M2006" s="199"/>
      <c r="N2006" s="199"/>
    </row>
    <row r="2007">
      <c r="A2007" s="193" t="s">
        <v>19377</v>
      </c>
      <c r="B2007" s="7" t="s">
        <v>175</v>
      </c>
      <c r="C2007" s="7" t="s">
        <v>16890</v>
      </c>
      <c r="D2007" s="194">
        <v>2004.0</v>
      </c>
      <c r="E2007" s="193"/>
      <c r="F2007" s="195" t="s">
        <v>19378</v>
      </c>
      <c r="G2007" s="196">
        <v>4.793033451E9</v>
      </c>
      <c r="H2007" s="197">
        <v>75.89</v>
      </c>
      <c r="I2007" s="7" t="s">
        <v>174</v>
      </c>
      <c r="J2007" s="7" t="s">
        <v>175</v>
      </c>
      <c r="K2007" s="7" t="s">
        <v>16890</v>
      </c>
      <c r="L2007" s="198" t="s">
        <v>65</v>
      </c>
      <c r="M2007" s="194"/>
      <c r="N2007" s="194"/>
    </row>
    <row r="2008">
      <c r="A2008" s="193" t="s">
        <v>19379</v>
      </c>
      <c r="B2008" s="7" t="s">
        <v>16838</v>
      </c>
      <c r="C2008" s="7" t="s">
        <v>16867</v>
      </c>
      <c r="D2008" s="199"/>
      <c r="E2008" s="193"/>
      <c r="F2008" s="195" t="s">
        <v>19380</v>
      </c>
      <c r="G2008" s="196">
        <v>4.777668141E9</v>
      </c>
      <c r="H2008" s="197">
        <v>78.02</v>
      </c>
      <c r="I2008" s="7" t="s">
        <v>16815</v>
      </c>
      <c r="J2008" s="7" t="s">
        <v>16838</v>
      </c>
      <c r="K2008" s="7" t="s">
        <v>16867</v>
      </c>
      <c r="L2008" s="198" t="s">
        <v>65</v>
      </c>
      <c r="M2008" s="199"/>
      <c r="N2008" s="199"/>
    </row>
    <row r="2009">
      <c r="A2009" s="193" t="s">
        <v>19381</v>
      </c>
      <c r="B2009" s="7" t="s">
        <v>169</v>
      </c>
      <c r="C2009" s="7" t="s">
        <v>16899</v>
      </c>
      <c r="D2009" s="194">
        <v>2010.0</v>
      </c>
      <c r="E2009" s="193"/>
      <c r="F2009" s="195" t="s">
        <v>19382</v>
      </c>
      <c r="G2009" s="196">
        <v>4.775250408E9</v>
      </c>
      <c r="H2009" s="197">
        <v>31.55</v>
      </c>
      <c r="I2009" s="7" t="s">
        <v>16815</v>
      </c>
      <c r="J2009" s="7" t="s">
        <v>169</v>
      </c>
      <c r="K2009" s="7" t="s">
        <v>16899</v>
      </c>
      <c r="L2009" s="198" t="s">
        <v>65</v>
      </c>
      <c r="M2009" s="194"/>
      <c r="N2009" s="194"/>
    </row>
    <row r="2010">
      <c r="A2010" s="193" t="s">
        <v>19381</v>
      </c>
      <c r="B2010" s="7" t="s">
        <v>16899</v>
      </c>
      <c r="C2010" s="7" t="s">
        <v>169</v>
      </c>
      <c r="D2010" s="194">
        <v>2010.0</v>
      </c>
      <c r="E2010" s="193"/>
      <c r="F2010" s="195" t="s">
        <v>19382</v>
      </c>
      <c r="G2010" s="200">
        <v>4.775250408E9</v>
      </c>
      <c r="H2010" s="197">
        <v>31.55</v>
      </c>
      <c r="I2010" s="7" t="s">
        <v>16815</v>
      </c>
      <c r="J2010" s="7" t="s">
        <v>16899</v>
      </c>
      <c r="K2010" s="7" t="s">
        <v>169</v>
      </c>
      <c r="L2010" s="201" t="s">
        <v>16835</v>
      </c>
      <c r="M2010" s="194"/>
      <c r="N2010" s="194"/>
    </row>
    <row r="2011">
      <c r="A2011" s="193" t="s">
        <v>19383</v>
      </c>
      <c r="B2011" s="7" t="s">
        <v>175</v>
      </c>
      <c r="C2011" s="7" t="s">
        <v>17233</v>
      </c>
      <c r="D2011" s="199"/>
      <c r="E2011" s="193"/>
      <c r="F2011" s="195" t="s">
        <v>19384</v>
      </c>
      <c r="G2011" s="196">
        <v>4.775199E9</v>
      </c>
      <c r="H2011" s="197">
        <v>21.45</v>
      </c>
      <c r="I2011" s="7" t="s">
        <v>16908</v>
      </c>
      <c r="J2011" s="7" t="s">
        <v>175</v>
      </c>
      <c r="K2011" s="7" t="s">
        <v>17233</v>
      </c>
      <c r="L2011" s="198" t="s">
        <v>65</v>
      </c>
      <c r="M2011" s="199"/>
      <c r="N2011" s="199"/>
    </row>
    <row r="2012">
      <c r="A2012" s="193" t="s">
        <v>19383</v>
      </c>
      <c r="B2012" s="7" t="s">
        <v>17233</v>
      </c>
      <c r="C2012" s="7" t="s">
        <v>175</v>
      </c>
      <c r="D2012" s="199"/>
      <c r="E2012" s="193"/>
      <c r="F2012" s="195" t="s">
        <v>19384</v>
      </c>
      <c r="G2012" s="200">
        <v>4.775199E9</v>
      </c>
      <c r="H2012" s="197">
        <v>21.45</v>
      </c>
      <c r="I2012" s="7" t="s">
        <v>16815</v>
      </c>
      <c r="J2012" s="7" t="s">
        <v>17233</v>
      </c>
      <c r="K2012" s="7" t="s">
        <v>175</v>
      </c>
      <c r="L2012" s="201" t="s">
        <v>16835</v>
      </c>
      <c r="M2012" s="199"/>
      <c r="N2012" s="199"/>
    </row>
    <row r="2013">
      <c r="A2013" s="193" t="s">
        <v>19385</v>
      </c>
      <c r="B2013" s="7" t="s">
        <v>169</v>
      </c>
      <c r="C2013" s="7" t="s">
        <v>16899</v>
      </c>
      <c r="D2013" s="199"/>
      <c r="E2013" s="193"/>
      <c r="F2013" s="195" t="s">
        <v>19386</v>
      </c>
      <c r="G2013" s="196">
        <v>4.769885554E9</v>
      </c>
      <c r="H2013" s="197">
        <v>58.71</v>
      </c>
      <c r="I2013" s="7" t="s">
        <v>16815</v>
      </c>
      <c r="J2013" s="7" t="s">
        <v>169</v>
      </c>
      <c r="K2013" s="7" t="s">
        <v>16899</v>
      </c>
      <c r="L2013" s="198" t="s">
        <v>65</v>
      </c>
      <c r="M2013" s="199"/>
      <c r="N2013" s="199"/>
    </row>
    <row r="2014">
      <c r="A2014" s="193" t="s">
        <v>19387</v>
      </c>
      <c r="B2014" s="7" t="s">
        <v>16919</v>
      </c>
      <c r="C2014" s="7" t="s">
        <v>17048</v>
      </c>
      <c r="D2014" s="199"/>
      <c r="E2014" s="193"/>
      <c r="F2014" s="195" t="s">
        <v>19388</v>
      </c>
      <c r="G2014" s="196">
        <v>4.76896763E9</v>
      </c>
      <c r="H2014" s="197">
        <v>94.22</v>
      </c>
      <c r="I2014" s="7" t="s">
        <v>16815</v>
      </c>
      <c r="J2014" s="7" t="s">
        <v>16919</v>
      </c>
      <c r="K2014" s="7" t="s">
        <v>17048</v>
      </c>
      <c r="L2014" s="198" t="s">
        <v>65</v>
      </c>
      <c r="M2014" s="199"/>
      <c r="N2014" s="199"/>
    </row>
    <row r="2015">
      <c r="A2015" s="193" t="s">
        <v>19387</v>
      </c>
      <c r="B2015" s="7" t="s">
        <v>17048</v>
      </c>
      <c r="C2015" s="7" t="s">
        <v>16919</v>
      </c>
      <c r="D2015" s="199"/>
      <c r="E2015" s="193"/>
      <c r="F2015" s="195" t="s">
        <v>19388</v>
      </c>
      <c r="G2015" s="200">
        <v>4.76896763E9</v>
      </c>
      <c r="H2015" s="197">
        <v>94.22</v>
      </c>
      <c r="I2015" s="7" t="s">
        <v>16815</v>
      </c>
      <c r="J2015" s="7" t="s">
        <v>17048</v>
      </c>
      <c r="K2015" s="7" t="s">
        <v>16919</v>
      </c>
      <c r="L2015" s="201" t="s">
        <v>16835</v>
      </c>
      <c r="M2015" s="199"/>
      <c r="N2015" s="199"/>
    </row>
    <row r="2016">
      <c r="A2016" s="193" t="s">
        <v>19389</v>
      </c>
      <c r="B2016" s="7" t="s">
        <v>175</v>
      </c>
      <c r="C2016" s="7" t="s">
        <v>16957</v>
      </c>
      <c r="D2016" s="199"/>
      <c r="E2016" s="193"/>
      <c r="F2016" s="195" t="s">
        <v>19390</v>
      </c>
      <c r="G2016" s="196">
        <v>4.76584871E9</v>
      </c>
      <c r="H2016" s="197">
        <v>19.39</v>
      </c>
      <c r="I2016" s="7" t="s">
        <v>16908</v>
      </c>
      <c r="J2016" s="7" t="s">
        <v>175</v>
      </c>
      <c r="K2016" s="7" t="s">
        <v>16957</v>
      </c>
      <c r="L2016" s="198" t="s">
        <v>65</v>
      </c>
      <c r="M2016" s="199"/>
      <c r="N2016" s="199"/>
    </row>
    <row r="2017">
      <c r="A2017" s="193" t="s">
        <v>19391</v>
      </c>
      <c r="B2017" s="7" t="s">
        <v>175</v>
      </c>
      <c r="C2017" s="7" t="s">
        <v>17350</v>
      </c>
      <c r="D2017" s="194">
        <v>2012.0</v>
      </c>
      <c r="E2017" s="193"/>
      <c r="F2017" s="195" t="s">
        <v>19392</v>
      </c>
      <c r="G2017" s="196">
        <v>4.751638207E9</v>
      </c>
      <c r="H2017" s="197">
        <v>53.1</v>
      </c>
      <c r="I2017" s="7" t="s">
        <v>16826</v>
      </c>
      <c r="J2017" s="7" t="s">
        <v>175</v>
      </c>
      <c r="K2017" s="7" t="s">
        <v>17350</v>
      </c>
      <c r="L2017" s="198" t="s">
        <v>65</v>
      </c>
      <c r="M2017" s="194"/>
      <c r="N2017" s="194"/>
    </row>
    <row r="2018">
      <c r="A2018" s="193" t="s">
        <v>19391</v>
      </c>
      <c r="B2018" s="7" t="s">
        <v>17350</v>
      </c>
      <c r="C2018" s="7" t="s">
        <v>175</v>
      </c>
      <c r="D2018" s="194">
        <v>2012.0</v>
      </c>
      <c r="E2018" s="193"/>
      <c r="F2018" s="195" t="s">
        <v>19392</v>
      </c>
      <c r="G2018" s="200">
        <v>4.751638207E9</v>
      </c>
      <c r="H2018" s="197">
        <v>53.1</v>
      </c>
      <c r="I2018" s="7" t="s">
        <v>16815</v>
      </c>
      <c r="J2018" s="7" t="s">
        <v>17350</v>
      </c>
      <c r="K2018" s="7" t="s">
        <v>175</v>
      </c>
      <c r="L2018" s="201" t="s">
        <v>16835</v>
      </c>
      <c r="M2018" s="194"/>
      <c r="N2018" s="194"/>
    </row>
    <row r="2019">
      <c r="A2019" s="193" t="s">
        <v>19393</v>
      </c>
      <c r="B2019" s="7" t="s">
        <v>169</v>
      </c>
      <c r="C2019" s="7" t="s">
        <v>16899</v>
      </c>
      <c r="D2019" s="194">
        <v>1999.0</v>
      </c>
      <c r="E2019" s="193"/>
      <c r="F2019" s="195" t="s">
        <v>19394</v>
      </c>
      <c r="G2019" s="196">
        <v>4.745698005E9</v>
      </c>
      <c r="H2019" s="197">
        <v>70.96</v>
      </c>
      <c r="I2019" s="7" t="s">
        <v>16815</v>
      </c>
      <c r="J2019" s="7" t="s">
        <v>169</v>
      </c>
      <c r="K2019" s="7" t="s">
        <v>16899</v>
      </c>
      <c r="L2019" s="198" t="s">
        <v>65</v>
      </c>
      <c r="M2019" s="194"/>
      <c r="N2019" s="194"/>
    </row>
    <row r="2020">
      <c r="A2020" s="193" t="s">
        <v>19395</v>
      </c>
      <c r="B2020" s="7" t="s">
        <v>175</v>
      </c>
      <c r="C2020" s="7" t="s">
        <v>17218</v>
      </c>
      <c r="D2020" s="194">
        <v>2013.0</v>
      </c>
      <c r="E2020" s="193"/>
      <c r="F2020" s="195" t="s">
        <v>19396</v>
      </c>
      <c r="G2020" s="196">
        <v>4.73720036E9</v>
      </c>
      <c r="H2020" s="197">
        <v>81.81</v>
      </c>
      <c r="I2020" s="7" t="s">
        <v>174</v>
      </c>
      <c r="J2020" s="7" t="s">
        <v>175</v>
      </c>
      <c r="K2020" s="7" t="s">
        <v>17218</v>
      </c>
      <c r="L2020" s="198" t="s">
        <v>65</v>
      </c>
      <c r="M2020" s="194"/>
      <c r="N2020" s="194"/>
    </row>
    <row r="2021">
      <c r="A2021" s="193" t="s">
        <v>19395</v>
      </c>
      <c r="B2021" s="7" t="s">
        <v>17218</v>
      </c>
      <c r="C2021" s="7" t="s">
        <v>175</v>
      </c>
      <c r="D2021" s="194">
        <v>2013.0</v>
      </c>
      <c r="E2021" s="193"/>
      <c r="F2021" s="195" t="s">
        <v>19396</v>
      </c>
      <c r="G2021" s="200">
        <v>4.73720036E9</v>
      </c>
      <c r="H2021" s="197">
        <v>81.81</v>
      </c>
      <c r="I2021" s="7" t="s">
        <v>16815</v>
      </c>
      <c r="J2021" s="7" t="s">
        <v>17218</v>
      </c>
      <c r="K2021" s="7" t="s">
        <v>175</v>
      </c>
      <c r="L2021" s="201" t="s">
        <v>16835</v>
      </c>
      <c r="M2021" s="194"/>
      <c r="N2021" s="194"/>
    </row>
    <row r="2022">
      <c r="A2022" s="193" t="s">
        <v>19397</v>
      </c>
      <c r="B2022" s="7" t="s">
        <v>16582</v>
      </c>
      <c r="C2022" s="7" t="s">
        <v>17183</v>
      </c>
      <c r="D2022" s="199"/>
      <c r="E2022" s="193"/>
      <c r="F2022" s="195" t="s">
        <v>19398</v>
      </c>
      <c r="G2022" s="196">
        <v>4.734663153E9</v>
      </c>
      <c r="H2022" s="197">
        <v>33.97</v>
      </c>
      <c r="I2022" s="7" t="s">
        <v>16815</v>
      </c>
      <c r="J2022" s="7" t="s">
        <v>16582</v>
      </c>
      <c r="K2022" s="7" t="s">
        <v>17183</v>
      </c>
      <c r="L2022" s="198" t="s">
        <v>65</v>
      </c>
      <c r="M2022" s="199"/>
      <c r="N2022" s="199"/>
    </row>
    <row r="2023">
      <c r="A2023" s="193" t="s">
        <v>19397</v>
      </c>
      <c r="B2023" s="7" t="s">
        <v>17183</v>
      </c>
      <c r="C2023" s="7" t="s">
        <v>16582</v>
      </c>
      <c r="D2023" s="199"/>
      <c r="E2023" s="193"/>
      <c r="F2023" s="195" t="s">
        <v>19398</v>
      </c>
      <c r="G2023" s="200">
        <v>4.734663153E9</v>
      </c>
      <c r="H2023" s="197">
        <v>33.97</v>
      </c>
      <c r="I2023" s="7" t="s">
        <v>16815</v>
      </c>
      <c r="J2023" s="7" t="s">
        <v>17183</v>
      </c>
      <c r="K2023" s="7" t="s">
        <v>16582</v>
      </c>
      <c r="L2023" s="201" t="s">
        <v>16835</v>
      </c>
      <c r="M2023" s="199"/>
      <c r="N2023" s="199"/>
    </row>
    <row r="2024">
      <c r="A2024" s="193" t="s">
        <v>19399</v>
      </c>
      <c r="B2024" s="7" t="s">
        <v>17111</v>
      </c>
      <c r="C2024" s="7" t="s">
        <v>17112</v>
      </c>
      <c r="D2024" s="199"/>
      <c r="E2024" s="193"/>
      <c r="F2024" s="195" t="s">
        <v>19400</v>
      </c>
      <c r="G2024" s="200">
        <v>4.725833517E9</v>
      </c>
      <c r="H2024" s="197">
        <v>9.78</v>
      </c>
      <c r="I2024" s="7" t="s">
        <v>16815</v>
      </c>
      <c r="J2024" s="7" t="s">
        <v>17111</v>
      </c>
      <c r="K2024" s="7" t="s">
        <v>17112</v>
      </c>
      <c r="L2024" s="201" t="s">
        <v>16835</v>
      </c>
      <c r="M2024" s="199"/>
      <c r="N2024" s="199"/>
    </row>
    <row r="2025">
      <c r="A2025" s="193" t="s">
        <v>19399</v>
      </c>
      <c r="B2025" s="7" t="s">
        <v>17112</v>
      </c>
      <c r="C2025" s="7" t="s">
        <v>17111</v>
      </c>
      <c r="D2025" s="199"/>
      <c r="E2025" s="193"/>
      <c r="F2025" s="195" t="s">
        <v>19400</v>
      </c>
      <c r="G2025" s="196">
        <v>4.725833517E9</v>
      </c>
      <c r="H2025" s="197">
        <v>9.78</v>
      </c>
      <c r="I2025" s="7" t="s">
        <v>16815</v>
      </c>
      <c r="J2025" s="7" t="s">
        <v>17112</v>
      </c>
      <c r="K2025" s="7" t="s">
        <v>17111</v>
      </c>
      <c r="L2025" s="198" t="s">
        <v>65</v>
      </c>
      <c r="M2025" s="199"/>
      <c r="N2025" s="199"/>
    </row>
    <row r="2026">
      <c r="A2026" s="193" t="s">
        <v>19401</v>
      </c>
      <c r="B2026" s="7" t="s">
        <v>187</v>
      </c>
      <c r="C2026" s="7" t="s">
        <v>16846</v>
      </c>
      <c r="D2026" s="194">
        <v>2019.0</v>
      </c>
      <c r="E2026" s="193"/>
      <c r="F2026" s="195" t="s">
        <v>19402</v>
      </c>
      <c r="G2026" s="196">
        <v>4.714507109E9</v>
      </c>
      <c r="H2026" s="197">
        <v>27.1</v>
      </c>
      <c r="I2026" s="7" t="s">
        <v>16815</v>
      </c>
      <c r="J2026" s="7" t="s">
        <v>187</v>
      </c>
      <c r="K2026" s="7" t="s">
        <v>16846</v>
      </c>
      <c r="L2026" s="198" t="s">
        <v>65</v>
      </c>
      <c r="M2026" s="194"/>
      <c r="N2026" s="194"/>
    </row>
    <row r="2027">
      <c r="A2027" s="193" t="s">
        <v>19403</v>
      </c>
      <c r="B2027" s="7" t="s">
        <v>16582</v>
      </c>
      <c r="C2027" s="7" t="s">
        <v>16930</v>
      </c>
      <c r="D2027" s="194">
        <v>2020.0</v>
      </c>
      <c r="E2027" s="193"/>
      <c r="F2027" s="195" t="s">
        <v>19404</v>
      </c>
      <c r="G2027" s="196">
        <v>4.704401708E9</v>
      </c>
      <c r="H2027" s="197">
        <v>57.33</v>
      </c>
      <c r="I2027" s="7" t="s">
        <v>16815</v>
      </c>
      <c r="J2027" s="7" t="s">
        <v>16582</v>
      </c>
      <c r="K2027" s="7" t="s">
        <v>16930</v>
      </c>
      <c r="L2027" s="198" t="s">
        <v>65</v>
      </c>
      <c r="M2027" s="194"/>
      <c r="N2027" s="194"/>
    </row>
    <row r="2028">
      <c r="A2028" s="193" t="s">
        <v>19403</v>
      </c>
      <c r="B2028" s="7" t="s">
        <v>16930</v>
      </c>
      <c r="C2028" s="7" t="s">
        <v>16582</v>
      </c>
      <c r="D2028" s="194">
        <v>2020.0</v>
      </c>
      <c r="E2028" s="193"/>
      <c r="F2028" s="195" t="s">
        <v>19404</v>
      </c>
      <c r="G2028" s="200">
        <v>4.704401708E9</v>
      </c>
      <c r="H2028" s="197">
        <v>57.33</v>
      </c>
      <c r="I2028" s="7" t="s">
        <v>16815</v>
      </c>
      <c r="J2028" s="7" t="s">
        <v>16930</v>
      </c>
      <c r="K2028" s="7" t="s">
        <v>16582</v>
      </c>
      <c r="L2028" s="201" t="s">
        <v>16835</v>
      </c>
      <c r="M2028" s="194"/>
      <c r="N2028" s="194"/>
    </row>
    <row r="2029">
      <c r="A2029" s="193" t="s">
        <v>19405</v>
      </c>
      <c r="B2029" s="7" t="s">
        <v>16582</v>
      </c>
      <c r="C2029" s="7" t="s">
        <v>16817</v>
      </c>
      <c r="D2029" s="194">
        <v>2021.0</v>
      </c>
      <c r="E2029" s="193"/>
      <c r="F2029" s="195" t="s">
        <v>19406</v>
      </c>
      <c r="G2029" s="196">
        <v>4.691845544E9</v>
      </c>
      <c r="H2029" s="197">
        <v>19.24</v>
      </c>
      <c r="I2029" s="7" t="s">
        <v>16815</v>
      </c>
      <c r="J2029" s="7" t="s">
        <v>16582</v>
      </c>
      <c r="K2029" s="7" t="s">
        <v>16817</v>
      </c>
      <c r="L2029" s="198" t="s">
        <v>65</v>
      </c>
      <c r="M2029" s="194"/>
      <c r="N2029" s="194"/>
    </row>
    <row r="2030">
      <c r="A2030" s="193" t="s">
        <v>19405</v>
      </c>
      <c r="B2030" s="7" t="s">
        <v>16817</v>
      </c>
      <c r="C2030" s="7" t="s">
        <v>16582</v>
      </c>
      <c r="D2030" s="194">
        <v>2021.0</v>
      </c>
      <c r="E2030" s="193"/>
      <c r="F2030" s="195" t="s">
        <v>19406</v>
      </c>
      <c r="G2030" s="200">
        <v>4.691845544E9</v>
      </c>
      <c r="H2030" s="197">
        <v>19.24</v>
      </c>
      <c r="I2030" s="7" t="s">
        <v>16815</v>
      </c>
      <c r="J2030" s="7" t="s">
        <v>16817</v>
      </c>
      <c r="K2030" s="7" t="s">
        <v>16582</v>
      </c>
      <c r="L2030" s="201" t="s">
        <v>16835</v>
      </c>
      <c r="M2030" s="194"/>
      <c r="N2030" s="194"/>
    </row>
    <row r="2031">
      <c r="A2031" s="193" t="s">
        <v>19407</v>
      </c>
      <c r="B2031" s="7" t="s">
        <v>16582</v>
      </c>
      <c r="C2031" s="7" t="s">
        <v>16930</v>
      </c>
      <c r="D2031" s="194">
        <v>1995.0</v>
      </c>
      <c r="E2031" s="193"/>
      <c r="F2031" s="195" t="s">
        <v>19408</v>
      </c>
      <c r="G2031" s="196">
        <v>4.688131749E9</v>
      </c>
      <c r="H2031" s="197">
        <v>143.91</v>
      </c>
      <c r="I2031" s="7" t="s">
        <v>16815</v>
      </c>
      <c r="J2031" s="7" t="s">
        <v>16582</v>
      </c>
      <c r="K2031" s="7" t="s">
        <v>16930</v>
      </c>
      <c r="L2031" s="198" t="s">
        <v>65</v>
      </c>
      <c r="M2031" s="194"/>
      <c r="N2031" s="194"/>
    </row>
    <row r="2032">
      <c r="A2032" s="193" t="s">
        <v>19409</v>
      </c>
      <c r="B2032" s="7" t="s">
        <v>17347</v>
      </c>
      <c r="C2032" s="7" t="s">
        <v>16838</v>
      </c>
      <c r="D2032" s="194">
        <v>2022.0</v>
      </c>
      <c r="E2032" s="193"/>
      <c r="F2032" s="195" t="s">
        <v>19410</v>
      </c>
      <c r="G2032" s="200">
        <v>4.686048458E9</v>
      </c>
      <c r="H2032" s="197">
        <v>37.34</v>
      </c>
      <c r="I2032" s="7" t="s">
        <v>16815</v>
      </c>
      <c r="J2032" s="7" t="s">
        <v>17347</v>
      </c>
      <c r="K2032" s="7" t="s">
        <v>16838</v>
      </c>
      <c r="L2032" s="201" t="s">
        <v>16835</v>
      </c>
      <c r="M2032" s="194"/>
      <c r="N2032" s="194"/>
    </row>
    <row r="2033">
      <c r="A2033" s="193" t="s">
        <v>19409</v>
      </c>
      <c r="B2033" s="7" t="s">
        <v>16838</v>
      </c>
      <c r="C2033" s="7" t="s">
        <v>17347</v>
      </c>
      <c r="D2033" s="194">
        <v>2022.0</v>
      </c>
      <c r="E2033" s="193"/>
      <c r="F2033" s="195" t="s">
        <v>19410</v>
      </c>
      <c r="G2033" s="196">
        <v>4.686048458E9</v>
      </c>
      <c r="H2033" s="197">
        <v>37.34</v>
      </c>
      <c r="I2033" s="7" t="s">
        <v>16815</v>
      </c>
      <c r="J2033" s="7" t="s">
        <v>16838</v>
      </c>
      <c r="K2033" s="7" t="s">
        <v>17347</v>
      </c>
      <c r="L2033" s="198" t="s">
        <v>65</v>
      </c>
      <c r="M2033" s="194"/>
      <c r="N2033" s="194"/>
    </row>
    <row r="2034">
      <c r="A2034" s="193" t="s">
        <v>19411</v>
      </c>
      <c r="B2034" s="7" t="s">
        <v>16919</v>
      </c>
      <c r="C2034" s="7" t="s">
        <v>17048</v>
      </c>
      <c r="D2034" s="194">
        <v>2017.0</v>
      </c>
      <c r="E2034" s="193"/>
      <c r="F2034" s="195" t="s">
        <v>19412</v>
      </c>
      <c r="G2034" s="196">
        <v>4.68413569E9</v>
      </c>
      <c r="H2034" s="197">
        <v>22.71</v>
      </c>
      <c r="I2034" s="7" t="s">
        <v>16815</v>
      </c>
      <c r="J2034" s="7" t="s">
        <v>16919</v>
      </c>
      <c r="K2034" s="7" t="s">
        <v>17048</v>
      </c>
      <c r="L2034" s="198" t="s">
        <v>65</v>
      </c>
      <c r="M2034" s="194"/>
      <c r="N2034" s="194"/>
    </row>
    <row r="2035">
      <c r="A2035" s="193" t="s">
        <v>19411</v>
      </c>
      <c r="B2035" s="7" t="s">
        <v>17048</v>
      </c>
      <c r="C2035" s="7" t="s">
        <v>16919</v>
      </c>
      <c r="D2035" s="194">
        <v>2017.0</v>
      </c>
      <c r="E2035" s="193"/>
      <c r="F2035" s="195" t="s">
        <v>19412</v>
      </c>
      <c r="G2035" s="200">
        <v>4.68413569E9</v>
      </c>
      <c r="H2035" s="197">
        <v>22.71</v>
      </c>
      <c r="I2035" s="7" t="s">
        <v>16815</v>
      </c>
      <c r="J2035" s="7" t="s">
        <v>17048</v>
      </c>
      <c r="K2035" s="7" t="s">
        <v>16919</v>
      </c>
      <c r="L2035" s="201" t="s">
        <v>16835</v>
      </c>
      <c r="M2035" s="194"/>
      <c r="N2035" s="194"/>
    </row>
    <row r="2036">
      <c r="A2036" s="193" t="s">
        <v>19413</v>
      </c>
      <c r="B2036" s="7" t="s">
        <v>16945</v>
      </c>
      <c r="C2036" s="7" t="s">
        <v>169</v>
      </c>
      <c r="D2036" s="199"/>
      <c r="E2036" s="193"/>
      <c r="F2036" s="195" t="s">
        <v>19414</v>
      </c>
      <c r="G2036" s="200">
        <v>4.671047757E9</v>
      </c>
      <c r="H2036" s="197">
        <v>32.34</v>
      </c>
      <c r="I2036" s="7" t="s">
        <v>16815</v>
      </c>
      <c r="J2036" s="7" t="s">
        <v>16945</v>
      </c>
      <c r="K2036" s="7" t="s">
        <v>169</v>
      </c>
      <c r="L2036" s="201" t="s">
        <v>16835</v>
      </c>
      <c r="M2036" s="199"/>
      <c r="N2036" s="199"/>
    </row>
    <row r="2037">
      <c r="A2037" s="193" t="s">
        <v>19413</v>
      </c>
      <c r="B2037" s="7" t="s">
        <v>169</v>
      </c>
      <c r="C2037" s="7" t="s">
        <v>16945</v>
      </c>
      <c r="D2037" s="199"/>
      <c r="E2037" s="193"/>
      <c r="F2037" s="195" t="s">
        <v>19414</v>
      </c>
      <c r="G2037" s="196">
        <v>4.671047757E9</v>
      </c>
      <c r="H2037" s="197">
        <v>32.34</v>
      </c>
      <c r="I2037" s="7" t="s">
        <v>16815</v>
      </c>
      <c r="J2037" s="7" t="s">
        <v>169</v>
      </c>
      <c r="K2037" s="7" t="s">
        <v>16945</v>
      </c>
      <c r="L2037" s="198" t="s">
        <v>65</v>
      </c>
      <c r="M2037" s="199"/>
      <c r="N2037" s="199"/>
    </row>
    <row r="2038">
      <c r="A2038" s="193" t="s">
        <v>19415</v>
      </c>
      <c r="B2038" s="7" t="s">
        <v>16919</v>
      </c>
      <c r="C2038" s="7" t="s">
        <v>17176</v>
      </c>
      <c r="D2038" s="194">
        <v>2016.0</v>
      </c>
      <c r="E2038" s="193"/>
      <c r="F2038" s="195" t="s">
        <v>19416</v>
      </c>
      <c r="G2038" s="196">
        <v>4.662981282E9</v>
      </c>
      <c r="H2038" s="197">
        <v>22.05</v>
      </c>
      <c r="I2038" s="7" t="s">
        <v>16815</v>
      </c>
      <c r="J2038" s="7" t="s">
        <v>16919</v>
      </c>
      <c r="K2038" s="7" t="s">
        <v>17176</v>
      </c>
      <c r="L2038" s="198" t="s">
        <v>65</v>
      </c>
      <c r="M2038" s="194"/>
      <c r="N2038" s="194"/>
    </row>
    <row r="2039">
      <c r="A2039" s="193" t="s">
        <v>19415</v>
      </c>
      <c r="B2039" s="7" t="s">
        <v>17176</v>
      </c>
      <c r="C2039" s="7" t="s">
        <v>16919</v>
      </c>
      <c r="D2039" s="194">
        <v>2016.0</v>
      </c>
      <c r="E2039" s="193"/>
      <c r="F2039" s="195" t="s">
        <v>19416</v>
      </c>
      <c r="G2039" s="200">
        <v>4.662981282E9</v>
      </c>
      <c r="H2039" s="197">
        <v>22.05</v>
      </c>
      <c r="I2039" s="7" t="s">
        <v>16815</v>
      </c>
      <c r="J2039" s="7" t="s">
        <v>17176</v>
      </c>
      <c r="K2039" s="7" t="s">
        <v>16919</v>
      </c>
      <c r="L2039" s="201" t="s">
        <v>16835</v>
      </c>
      <c r="M2039" s="194"/>
      <c r="N2039" s="194"/>
    </row>
    <row r="2040">
      <c r="A2040" s="193" t="s">
        <v>19417</v>
      </c>
      <c r="B2040" s="7" t="s">
        <v>16945</v>
      </c>
      <c r="C2040" s="7" t="s">
        <v>169</v>
      </c>
      <c r="D2040" s="194">
        <v>2014.0</v>
      </c>
      <c r="E2040" s="193"/>
      <c r="F2040" s="195" t="s">
        <v>19418</v>
      </c>
      <c r="G2040" s="200">
        <v>4.654019371E9</v>
      </c>
      <c r="H2040" s="197">
        <v>19.27</v>
      </c>
      <c r="I2040" s="7" t="s">
        <v>16815</v>
      </c>
      <c r="J2040" s="7" t="s">
        <v>16945</v>
      </c>
      <c r="K2040" s="7" t="s">
        <v>169</v>
      </c>
      <c r="L2040" s="201" t="s">
        <v>16835</v>
      </c>
      <c r="M2040" s="194"/>
      <c r="N2040" s="194"/>
    </row>
    <row r="2041">
      <c r="A2041" s="193" t="s">
        <v>19417</v>
      </c>
      <c r="B2041" s="7" t="s">
        <v>169</v>
      </c>
      <c r="C2041" s="7" t="s">
        <v>16945</v>
      </c>
      <c r="D2041" s="194">
        <v>2014.0</v>
      </c>
      <c r="E2041" s="193"/>
      <c r="F2041" s="195" t="s">
        <v>19418</v>
      </c>
      <c r="G2041" s="196">
        <v>4.654019371E9</v>
      </c>
      <c r="H2041" s="197">
        <v>19.27</v>
      </c>
      <c r="I2041" s="7" t="s">
        <v>16815</v>
      </c>
      <c r="J2041" s="7" t="s">
        <v>169</v>
      </c>
      <c r="K2041" s="7" t="s">
        <v>16945</v>
      </c>
      <c r="L2041" s="198" t="s">
        <v>65</v>
      </c>
      <c r="M2041" s="194"/>
      <c r="N2041" s="194"/>
    </row>
    <row r="2042">
      <c r="A2042" s="193" t="s">
        <v>19419</v>
      </c>
      <c r="B2042" s="7" t="s">
        <v>158</v>
      </c>
      <c r="C2042" s="7" t="s">
        <v>16864</v>
      </c>
      <c r="D2042" s="199"/>
      <c r="E2042" s="193"/>
      <c r="F2042" s="195" t="s">
        <v>19420</v>
      </c>
      <c r="G2042" s="196">
        <v>4.646975077E9</v>
      </c>
      <c r="H2042" s="197">
        <v>50.61</v>
      </c>
      <c r="I2042" s="7" t="s">
        <v>17098</v>
      </c>
      <c r="J2042" s="7" t="s">
        <v>158</v>
      </c>
      <c r="K2042" s="7" t="s">
        <v>16864</v>
      </c>
      <c r="L2042" s="198" t="s">
        <v>65</v>
      </c>
      <c r="M2042" s="199"/>
      <c r="N2042" s="199"/>
    </row>
    <row r="2043">
      <c r="A2043" s="193" t="s">
        <v>19419</v>
      </c>
      <c r="B2043" s="7" t="s">
        <v>16864</v>
      </c>
      <c r="C2043" s="7" t="s">
        <v>158</v>
      </c>
      <c r="D2043" s="199"/>
      <c r="E2043" s="193"/>
      <c r="F2043" s="195" t="s">
        <v>19420</v>
      </c>
      <c r="G2043" s="200">
        <v>4.646975077E9</v>
      </c>
      <c r="H2043" s="197">
        <v>50.61</v>
      </c>
      <c r="I2043" s="7" t="s">
        <v>16815</v>
      </c>
      <c r="J2043" s="7" t="s">
        <v>16864</v>
      </c>
      <c r="K2043" s="7" t="s">
        <v>158</v>
      </c>
      <c r="L2043" s="201" t="s">
        <v>16835</v>
      </c>
      <c r="M2043" s="199"/>
      <c r="N2043" s="199"/>
    </row>
    <row r="2044">
      <c r="A2044" s="193" t="s">
        <v>19421</v>
      </c>
      <c r="B2044" s="7" t="s">
        <v>17495</v>
      </c>
      <c r="C2044" s="7" t="s">
        <v>169</v>
      </c>
      <c r="D2044" s="194">
        <v>2022.0</v>
      </c>
      <c r="E2044" s="193"/>
      <c r="F2044" s="195" t="s">
        <v>19422</v>
      </c>
      <c r="G2044" s="200">
        <v>4.640872544E9</v>
      </c>
      <c r="H2044" s="197">
        <v>77.0</v>
      </c>
      <c r="I2044" s="7" t="s">
        <v>16815</v>
      </c>
      <c r="J2044" s="7" t="s">
        <v>17495</v>
      </c>
      <c r="K2044" s="7" t="s">
        <v>169</v>
      </c>
      <c r="L2044" s="201" t="s">
        <v>16835</v>
      </c>
      <c r="M2044" s="194"/>
      <c r="N2044" s="194"/>
    </row>
    <row r="2045">
      <c r="A2045" s="193" t="s">
        <v>19421</v>
      </c>
      <c r="B2045" s="7" t="s">
        <v>169</v>
      </c>
      <c r="C2045" s="7" t="s">
        <v>17495</v>
      </c>
      <c r="D2045" s="194">
        <v>2022.0</v>
      </c>
      <c r="E2045" s="193"/>
      <c r="F2045" s="195" t="s">
        <v>19422</v>
      </c>
      <c r="G2045" s="196">
        <v>4.640872544E9</v>
      </c>
      <c r="H2045" s="197">
        <v>77.0</v>
      </c>
      <c r="I2045" s="7" t="s">
        <v>16815</v>
      </c>
      <c r="J2045" s="7" t="s">
        <v>169</v>
      </c>
      <c r="K2045" s="7" t="s">
        <v>17495</v>
      </c>
      <c r="L2045" s="198" t="s">
        <v>65</v>
      </c>
      <c r="M2045" s="194"/>
      <c r="N2045" s="194"/>
    </row>
    <row r="2046">
      <c r="A2046" s="193" t="s">
        <v>19423</v>
      </c>
      <c r="B2046" s="7" t="s">
        <v>16582</v>
      </c>
      <c r="C2046" s="7" t="s">
        <v>17435</v>
      </c>
      <c r="D2046" s="194">
        <v>2021.0</v>
      </c>
      <c r="E2046" s="193"/>
      <c r="F2046" s="195" t="s">
        <v>19424</v>
      </c>
      <c r="G2046" s="196">
        <v>4.639993442E9</v>
      </c>
      <c r="H2046" s="197">
        <v>23.83</v>
      </c>
      <c r="I2046" s="7" t="s">
        <v>16815</v>
      </c>
      <c r="J2046" s="7" t="s">
        <v>16582</v>
      </c>
      <c r="K2046" s="7" t="s">
        <v>17435</v>
      </c>
      <c r="L2046" s="198" t="s">
        <v>65</v>
      </c>
      <c r="M2046" s="194"/>
      <c r="N2046" s="194"/>
    </row>
    <row r="2047">
      <c r="A2047" s="193" t="s">
        <v>19423</v>
      </c>
      <c r="B2047" s="7" t="s">
        <v>17435</v>
      </c>
      <c r="C2047" s="7" t="s">
        <v>16582</v>
      </c>
      <c r="D2047" s="194">
        <v>2021.0</v>
      </c>
      <c r="E2047" s="193"/>
      <c r="F2047" s="195" t="s">
        <v>19424</v>
      </c>
      <c r="G2047" s="200">
        <v>4.639993442E9</v>
      </c>
      <c r="H2047" s="197">
        <v>23.83</v>
      </c>
      <c r="I2047" s="7" t="s">
        <v>16815</v>
      </c>
      <c r="J2047" s="7" t="s">
        <v>17435</v>
      </c>
      <c r="K2047" s="7" t="s">
        <v>16582</v>
      </c>
      <c r="L2047" s="201" t="s">
        <v>16835</v>
      </c>
      <c r="M2047" s="194"/>
      <c r="N2047" s="194"/>
    </row>
    <row r="2048">
      <c r="A2048" s="193" t="s">
        <v>19425</v>
      </c>
      <c r="B2048" s="7" t="s">
        <v>16582</v>
      </c>
      <c r="C2048" s="7" t="s">
        <v>16930</v>
      </c>
      <c r="D2048" s="194">
        <v>2021.0</v>
      </c>
      <c r="E2048" s="193"/>
      <c r="F2048" s="195" t="s">
        <v>19426</v>
      </c>
      <c r="G2048" s="196">
        <v>4.636165686E9</v>
      </c>
      <c r="H2048" s="197">
        <v>15.68</v>
      </c>
      <c r="I2048" s="7" t="s">
        <v>16815</v>
      </c>
      <c r="J2048" s="7" t="s">
        <v>16582</v>
      </c>
      <c r="K2048" s="7" t="s">
        <v>16930</v>
      </c>
      <c r="L2048" s="198" t="s">
        <v>65</v>
      </c>
      <c r="M2048" s="194"/>
      <c r="N2048" s="194"/>
    </row>
    <row r="2049">
      <c r="A2049" s="193" t="s">
        <v>19425</v>
      </c>
      <c r="B2049" s="7" t="s">
        <v>16930</v>
      </c>
      <c r="C2049" s="7" t="s">
        <v>16582</v>
      </c>
      <c r="D2049" s="194">
        <v>2021.0</v>
      </c>
      <c r="E2049" s="193"/>
      <c r="F2049" s="195" t="s">
        <v>19426</v>
      </c>
      <c r="G2049" s="200">
        <v>4.636165686E9</v>
      </c>
      <c r="H2049" s="197">
        <v>15.68</v>
      </c>
      <c r="I2049" s="7" t="s">
        <v>16815</v>
      </c>
      <c r="J2049" s="7" t="s">
        <v>16930</v>
      </c>
      <c r="K2049" s="7" t="s">
        <v>16582</v>
      </c>
      <c r="L2049" s="201" t="s">
        <v>16835</v>
      </c>
      <c r="M2049" s="194"/>
      <c r="N2049" s="194"/>
    </row>
    <row r="2050">
      <c r="A2050" s="193" t="s">
        <v>19427</v>
      </c>
      <c r="B2050" s="7" t="s">
        <v>17112</v>
      </c>
      <c r="C2050" s="7" t="s">
        <v>16838</v>
      </c>
      <c r="D2050" s="194">
        <v>2010.0</v>
      </c>
      <c r="E2050" s="193"/>
      <c r="F2050" s="195" t="s">
        <v>19428</v>
      </c>
      <c r="G2050" s="200">
        <v>4.627916051E9</v>
      </c>
      <c r="H2050" s="197">
        <v>54.2</v>
      </c>
      <c r="I2050" s="7" t="s">
        <v>16815</v>
      </c>
      <c r="J2050" s="7" t="s">
        <v>17112</v>
      </c>
      <c r="K2050" s="7" t="s">
        <v>16838</v>
      </c>
      <c r="L2050" s="201" t="s">
        <v>16835</v>
      </c>
      <c r="M2050" s="194"/>
      <c r="N2050" s="194"/>
    </row>
    <row r="2051">
      <c r="A2051" s="193" t="s">
        <v>19427</v>
      </c>
      <c r="B2051" s="7" t="s">
        <v>16838</v>
      </c>
      <c r="C2051" s="7" t="s">
        <v>17112</v>
      </c>
      <c r="D2051" s="194">
        <v>2010.0</v>
      </c>
      <c r="E2051" s="193"/>
      <c r="F2051" s="195" t="s">
        <v>19428</v>
      </c>
      <c r="G2051" s="196">
        <v>4.627916051E9</v>
      </c>
      <c r="H2051" s="197">
        <v>54.2</v>
      </c>
      <c r="I2051" s="7" t="s">
        <v>16815</v>
      </c>
      <c r="J2051" s="7" t="s">
        <v>16838</v>
      </c>
      <c r="K2051" s="7" t="s">
        <v>17112</v>
      </c>
      <c r="L2051" s="198" t="s">
        <v>65</v>
      </c>
      <c r="M2051" s="194"/>
      <c r="N2051" s="194"/>
    </row>
    <row r="2052">
      <c r="A2052" s="193" t="s">
        <v>19429</v>
      </c>
      <c r="B2052" s="7" t="s">
        <v>175</v>
      </c>
      <c r="C2052" s="7" t="s">
        <v>17457</v>
      </c>
      <c r="D2052" s="194">
        <v>2013.0</v>
      </c>
      <c r="E2052" s="193"/>
      <c r="F2052" s="195" t="s">
        <v>19430</v>
      </c>
      <c r="G2052" s="196">
        <v>4.622436062E9</v>
      </c>
      <c r="H2052" s="197">
        <v>43.02</v>
      </c>
      <c r="I2052" s="7" t="s">
        <v>16903</v>
      </c>
      <c r="J2052" s="7" t="s">
        <v>175</v>
      </c>
      <c r="K2052" s="7" t="s">
        <v>17457</v>
      </c>
      <c r="L2052" s="198" t="s">
        <v>65</v>
      </c>
      <c r="M2052" s="194"/>
      <c r="N2052" s="194"/>
    </row>
    <row r="2053">
      <c r="A2053" s="193" t="s">
        <v>19429</v>
      </c>
      <c r="B2053" s="7" t="s">
        <v>17457</v>
      </c>
      <c r="C2053" s="7" t="s">
        <v>175</v>
      </c>
      <c r="D2053" s="194">
        <v>2013.0</v>
      </c>
      <c r="E2053" s="193"/>
      <c r="F2053" s="195" t="s">
        <v>19430</v>
      </c>
      <c r="G2053" s="200">
        <v>4.622436062E9</v>
      </c>
      <c r="H2053" s="197">
        <v>43.02</v>
      </c>
      <c r="I2053" s="7" t="s">
        <v>16815</v>
      </c>
      <c r="J2053" s="7" t="s">
        <v>17457</v>
      </c>
      <c r="K2053" s="7" t="s">
        <v>175</v>
      </c>
      <c r="L2053" s="201" t="s">
        <v>16835</v>
      </c>
      <c r="M2053" s="194"/>
      <c r="N2053" s="194"/>
    </row>
    <row r="2054">
      <c r="A2054" s="193" t="s">
        <v>19431</v>
      </c>
      <c r="B2054" s="7" t="s">
        <v>175</v>
      </c>
      <c r="C2054" s="7" t="s">
        <v>17318</v>
      </c>
      <c r="D2054" s="199"/>
      <c r="E2054" s="193"/>
      <c r="F2054" s="195" t="s">
        <v>19432</v>
      </c>
      <c r="G2054" s="196">
        <v>4.621299258E9</v>
      </c>
      <c r="H2054" s="197">
        <v>76.48</v>
      </c>
      <c r="I2054" s="193" t="s">
        <v>168</v>
      </c>
      <c r="J2054" s="7" t="s">
        <v>175</v>
      </c>
      <c r="K2054" s="7" t="s">
        <v>17318</v>
      </c>
      <c r="L2054" s="198" t="s">
        <v>65</v>
      </c>
      <c r="M2054" s="199"/>
      <c r="N2054" s="199"/>
    </row>
    <row r="2055">
      <c r="A2055" s="193" t="s">
        <v>19431</v>
      </c>
      <c r="B2055" s="7" t="s">
        <v>17318</v>
      </c>
      <c r="C2055" s="7" t="s">
        <v>175</v>
      </c>
      <c r="D2055" s="199"/>
      <c r="E2055" s="193"/>
      <c r="F2055" s="195" t="s">
        <v>19432</v>
      </c>
      <c r="G2055" s="200">
        <v>4.621299258E9</v>
      </c>
      <c r="H2055" s="197">
        <v>76.48</v>
      </c>
      <c r="I2055" s="7" t="s">
        <v>16815</v>
      </c>
      <c r="J2055" s="7" t="s">
        <v>17318</v>
      </c>
      <c r="K2055" s="7" t="s">
        <v>175</v>
      </c>
      <c r="L2055" s="201" t="s">
        <v>16835</v>
      </c>
      <c r="M2055" s="199"/>
      <c r="N2055" s="199"/>
    </row>
    <row r="2056">
      <c r="A2056" s="193" t="s">
        <v>19433</v>
      </c>
      <c r="B2056" s="7" t="s">
        <v>175</v>
      </c>
      <c r="C2056" s="7" t="s">
        <v>16854</v>
      </c>
      <c r="D2056" s="194">
        <v>1997.0</v>
      </c>
      <c r="E2056" s="193"/>
      <c r="F2056" s="195" t="s">
        <v>19434</v>
      </c>
      <c r="G2056" s="196">
        <v>4.620770868E9</v>
      </c>
      <c r="H2056" s="197">
        <v>76.02</v>
      </c>
      <c r="I2056" s="7" t="s">
        <v>168</v>
      </c>
      <c r="J2056" s="7" t="s">
        <v>175</v>
      </c>
      <c r="K2056" s="7" t="s">
        <v>16854</v>
      </c>
      <c r="L2056" s="198" t="s">
        <v>65</v>
      </c>
      <c r="M2056" s="194"/>
      <c r="N2056" s="194"/>
    </row>
    <row r="2057">
      <c r="A2057" s="193" t="s">
        <v>19433</v>
      </c>
      <c r="B2057" s="7" t="s">
        <v>16854</v>
      </c>
      <c r="C2057" s="7" t="s">
        <v>175</v>
      </c>
      <c r="D2057" s="194">
        <v>1997.0</v>
      </c>
      <c r="E2057" s="193"/>
      <c r="F2057" s="195" t="s">
        <v>19434</v>
      </c>
      <c r="G2057" s="200">
        <v>4.620770868E9</v>
      </c>
      <c r="H2057" s="197">
        <v>76.02</v>
      </c>
      <c r="I2057" s="7" t="s">
        <v>16815</v>
      </c>
      <c r="J2057" s="7" t="s">
        <v>16854</v>
      </c>
      <c r="K2057" s="7" t="s">
        <v>175</v>
      </c>
      <c r="L2057" s="201" t="s">
        <v>16835</v>
      </c>
      <c r="M2057" s="194"/>
      <c r="N2057" s="194"/>
    </row>
    <row r="2058">
      <c r="A2058" s="193" t="s">
        <v>19435</v>
      </c>
      <c r="B2058" s="7" t="s">
        <v>175</v>
      </c>
      <c r="C2058" s="7" t="s">
        <v>17318</v>
      </c>
      <c r="D2058" s="194">
        <v>1998.0</v>
      </c>
      <c r="E2058" s="193"/>
      <c r="F2058" s="195" t="s">
        <v>19436</v>
      </c>
      <c r="G2058" s="196">
        <v>4.619768469E9</v>
      </c>
      <c r="H2058" s="197">
        <v>76.35</v>
      </c>
      <c r="I2058" s="7" t="s">
        <v>16908</v>
      </c>
      <c r="J2058" s="7" t="s">
        <v>175</v>
      </c>
      <c r="K2058" s="7" t="s">
        <v>17318</v>
      </c>
      <c r="L2058" s="198" t="s">
        <v>65</v>
      </c>
      <c r="M2058" s="194"/>
      <c r="N2058" s="194"/>
    </row>
    <row r="2059">
      <c r="A2059" s="193" t="s">
        <v>19437</v>
      </c>
      <c r="B2059" s="7" t="s">
        <v>16910</v>
      </c>
      <c r="C2059" s="7" t="s">
        <v>17119</v>
      </c>
      <c r="D2059" s="199"/>
      <c r="E2059" s="193"/>
      <c r="F2059" s="195" t="s">
        <v>19438</v>
      </c>
      <c r="G2059" s="196">
        <v>4.61294988E9</v>
      </c>
      <c r="H2059" s="197">
        <v>167.64</v>
      </c>
      <c r="I2059" s="7" t="s">
        <v>17650</v>
      </c>
      <c r="J2059" s="7" t="s">
        <v>16910</v>
      </c>
      <c r="K2059" s="7" t="s">
        <v>17119</v>
      </c>
      <c r="L2059" s="198" t="s">
        <v>65</v>
      </c>
      <c r="M2059" s="199"/>
      <c r="N2059" s="199"/>
    </row>
    <row r="2060">
      <c r="A2060" s="193" t="s">
        <v>19439</v>
      </c>
      <c r="B2060" s="7" t="s">
        <v>16838</v>
      </c>
      <c r="C2060" s="7" t="s">
        <v>16867</v>
      </c>
      <c r="D2060" s="199"/>
      <c r="E2060" s="193"/>
      <c r="F2060" s="195" t="s">
        <v>19440</v>
      </c>
      <c r="G2060" s="196">
        <v>4.609671768E9</v>
      </c>
      <c r="H2060" s="197">
        <v>70.2</v>
      </c>
      <c r="I2060" s="7" t="s">
        <v>16815</v>
      </c>
      <c r="J2060" s="7" t="s">
        <v>16838</v>
      </c>
      <c r="K2060" s="7" t="s">
        <v>16867</v>
      </c>
      <c r="L2060" s="198" t="s">
        <v>65</v>
      </c>
      <c r="M2060" s="199"/>
      <c r="N2060" s="199"/>
    </row>
    <row r="2061">
      <c r="A2061" s="193" t="s">
        <v>19441</v>
      </c>
      <c r="B2061" s="7" t="s">
        <v>16582</v>
      </c>
      <c r="C2061" s="7" t="s">
        <v>16930</v>
      </c>
      <c r="D2061" s="194">
        <v>2014.0</v>
      </c>
      <c r="E2061" s="193"/>
      <c r="F2061" s="195" t="s">
        <v>19442</v>
      </c>
      <c r="G2061" s="196">
        <v>4.602379645E9</v>
      </c>
      <c r="H2061" s="197">
        <v>63.31</v>
      </c>
      <c r="I2061" s="7" t="s">
        <v>16815</v>
      </c>
      <c r="J2061" s="7" t="s">
        <v>16582</v>
      </c>
      <c r="K2061" s="7" t="s">
        <v>16930</v>
      </c>
      <c r="L2061" s="198" t="s">
        <v>65</v>
      </c>
      <c r="M2061" s="194"/>
      <c r="N2061" s="194"/>
    </row>
    <row r="2062">
      <c r="A2062" s="193" t="s">
        <v>19443</v>
      </c>
      <c r="B2062" s="7" t="s">
        <v>19444</v>
      </c>
      <c r="C2062" s="7" t="s">
        <v>187</v>
      </c>
      <c r="D2062" s="194">
        <v>2021.0</v>
      </c>
      <c r="E2062" s="193"/>
      <c r="F2062" s="195" t="s">
        <v>19445</v>
      </c>
      <c r="G2062" s="200">
        <v>4.59638326E9</v>
      </c>
      <c r="H2062" s="197">
        <v>11.32</v>
      </c>
      <c r="I2062" s="7" t="s">
        <v>16815</v>
      </c>
      <c r="J2062" s="7" t="s">
        <v>19444</v>
      </c>
      <c r="K2062" s="7" t="s">
        <v>187</v>
      </c>
      <c r="L2062" s="201" t="s">
        <v>16835</v>
      </c>
      <c r="M2062" s="194"/>
      <c r="N2062" s="194"/>
    </row>
    <row r="2063">
      <c r="A2063" s="193" t="s">
        <v>19443</v>
      </c>
      <c r="B2063" s="7" t="s">
        <v>187</v>
      </c>
      <c r="C2063" s="7" t="s">
        <v>19444</v>
      </c>
      <c r="D2063" s="194">
        <v>2021.0</v>
      </c>
      <c r="E2063" s="193"/>
      <c r="F2063" s="195" t="s">
        <v>19445</v>
      </c>
      <c r="G2063" s="196">
        <v>4.59638326E9</v>
      </c>
      <c r="H2063" s="197">
        <v>11.32</v>
      </c>
      <c r="I2063" s="7" t="s">
        <v>16815</v>
      </c>
      <c r="J2063" s="7" t="s">
        <v>187</v>
      </c>
      <c r="K2063" s="7" t="s">
        <v>19444</v>
      </c>
      <c r="L2063" s="198" t="s">
        <v>65</v>
      </c>
      <c r="M2063" s="194"/>
      <c r="N2063" s="194"/>
    </row>
    <row r="2064">
      <c r="A2064" s="193" t="s">
        <v>19446</v>
      </c>
      <c r="B2064" s="7" t="s">
        <v>187</v>
      </c>
      <c r="C2064" s="7" t="s">
        <v>17122</v>
      </c>
      <c r="D2064" s="194">
        <v>2007.0</v>
      </c>
      <c r="E2064" s="193"/>
      <c r="F2064" s="195" t="s">
        <v>19447</v>
      </c>
      <c r="G2064" s="196">
        <v>4.595075883E9</v>
      </c>
      <c r="H2064" s="197">
        <v>86.96</v>
      </c>
      <c r="I2064" s="7" t="s">
        <v>16815</v>
      </c>
      <c r="J2064" s="7" t="s">
        <v>187</v>
      </c>
      <c r="K2064" s="7" t="s">
        <v>17122</v>
      </c>
      <c r="L2064" s="198" t="s">
        <v>65</v>
      </c>
      <c r="M2064" s="194"/>
      <c r="N2064" s="194"/>
    </row>
    <row r="2065">
      <c r="A2065" s="193" t="s">
        <v>19448</v>
      </c>
      <c r="B2065" s="7" t="s">
        <v>16838</v>
      </c>
      <c r="C2065" s="7" t="s">
        <v>17127</v>
      </c>
      <c r="D2065" s="194">
        <v>2003.0</v>
      </c>
      <c r="E2065" s="193"/>
      <c r="F2065" s="195" t="s">
        <v>19449</v>
      </c>
      <c r="G2065" s="196">
        <v>4.587706572E9</v>
      </c>
      <c r="H2065" s="197">
        <v>53.82</v>
      </c>
      <c r="I2065" s="7" t="s">
        <v>16924</v>
      </c>
      <c r="J2065" s="7" t="s">
        <v>16838</v>
      </c>
      <c r="K2065" s="7" t="s">
        <v>17127</v>
      </c>
      <c r="L2065" s="198" t="s">
        <v>65</v>
      </c>
      <c r="M2065" s="194"/>
      <c r="N2065" s="194"/>
    </row>
    <row r="2066">
      <c r="A2066" s="193" t="s">
        <v>19448</v>
      </c>
      <c r="B2066" s="7" t="s">
        <v>17127</v>
      </c>
      <c r="C2066" s="7" t="s">
        <v>16838</v>
      </c>
      <c r="D2066" s="194">
        <v>2003.0</v>
      </c>
      <c r="E2066" s="193"/>
      <c r="F2066" s="195" t="s">
        <v>19449</v>
      </c>
      <c r="G2066" s="200">
        <v>4.587706572E9</v>
      </c>
      <c r="H2066" s="197">
        <v>53.82</v>
      </c>
      <c r="I2066" s="7" t="s">
        <v>16815</v>
      </c>
      <c r="J2066" s="7" t="s">
        <v>17127</v>
      </c>
      <c r="K2066" s="7" t="s">
        <v>16838</v>
      </c>
      <c r="L2066" s="201" t="s">
        <v>16835</v>
      </c>
      <c r="M2066" s="194"/>
      <c r="N2066" s="194"/>
    </row>
    <row r="2067">
      <c r="A2067" s="193" t="s">
        <v>19450</v>
      </c>
      <c r="B2067" s="7" t="s">
        <v>175</v>
      </c>
      <c r="C2067" s="7" t="s">
        <v>18500</v>
      </c>
      <c r="D2067" s="199"/>
      <c r="E2067" s="193"/>
      <c r="F2067" s="195" t="s">
        <v>19451</v>
      </c>
      <c r="G2067" s="196">
        <v>4.586908928E9</v>
      </c>
      <c r="H2067" s="197">
        <v>103.49</v>
      </c>
      <c r="I2067" s="7" t="s">
        <v>17239</v>
      </c>
      <c r="J2067" s="7" t="s">
        <v>175</v>
      </c>
      <c r="K2067" s="7" t="s">
        <v>18500</v>
      </c>
      <c r="L2067" s="198" t="s">
        <v>65</v>
      </c>
      <c r="M2067" s="199"/>
      <c r="N2067" s="199"/>
    </row>
    <row r="2068">
      <c r="A2068" s="193" t="s">
        <v>19450</v>
      </c>
      <c r="B2068" s="7" t="s">
        <v>18500</v>
      </c>
      <c r="C2068" s="7" t="s">
        <v>175</v>
      </c>
      <c r="D2068" s="199"/>
      <c r="E2068" s="193"/>
      <c r="F2068" s="195" t="s">
        <v>19451</v>
      </c>
      <c r="G2068" s="200">
        <v>4.586908928E9</v>
      </c>
      <c r="H2068" s="197">
        <v>103.49</v>
      </c>
      <c r="I2068" s="7" t="s">
        <v>16815</v>
      </c>
      <c r="J2068" s="7" t="s">
        <v>18500</v>
      </c>
      <c r="K2068" s="7" t="s">
        <v>175</v>
      </c>
      <c r="L2068" s="201" t="s">
        <v>16835</v>
      </c>
      <c r="M2068" s="199"/>
      <c r="N2068" s="199"/>
    </row>
    <row r="2069">
      <c r="A2069" s="193" t="s">
        <v>19452</v>
      </c>
      <c r="B2069" s="7" t="s">
        <v>187</v>
      </c>
      <c r="C2069" s="7" t="s">
        <v>16846</v>
      </c>
      <c r="D2069" s="194">
        <v>2020.0</v>
      </c>
      <c r="E2069" s="193"/>
      <c r="F2069" s="195" t="s">
        <v>19453</v>
      </c>
      <c r="G2069" s="196">
        <v>4.580709179E9</v>
      </c>
      <c r="H2069" s="197">
        <v>48.14</v>
      </c>
      <c r="I2069" s="7" t="s">
        <v>16815</v>
      </c>
      <c r="J2069" s="7" t="s">
        <v>187</v>
      </c>
      <c r="K2069" s="7" t="s">
        <v>16846</v>
      </c>
      <c r="L2069" s="198" t="s">
        <v>65</v>
      </c>
      <c r="M2069" s="194"/>
      <c r="N2069" s="194"/>
    </row>
    <row r="2070">
      <c r="A2070" s="193" t="s">
        <v>19454</v>
      </c>
      <c r="B2070" s="7" t="s">
        <v>16582</v>
      </c>
      <c r="C2070" s="7" t="s">
        <v>16817</v>
      </c>
      <c r="D2070" s="194">
        <v>2021.0</v>
      </c>
      <c r="E2070" s="193"/>
      <c r="F2070" s="195" t="s">
        <v>19455</v>
      </c>
      <c r="G2070" s="196">
        <v>4.577535896E9</v>
      </c>
      <c r="H2070" s="197">
        <v>46.3</v>
      </c>
      <c r="I2070" s="7" t="s">
        <v>16815</v>
      </c>
      <c r="J2070" s="7" t="s">
        <v>16582</v>
      </c>
      <c r="K2070" s="7" t="s">
        <v>16817</v>
      </c>
      <c r="L2070" s="198" t="s">
        <v>65</v>
      </c>
      <c r="M2070" s="194"/>
      <c r="N2070" s="194"/>
    </row>
    <row r="2071">
      <c r="A2071" s="193" t="s">
        <v>19456</v>
      </c>
      <c r="B2071" s="7" t="s">
        <v>17111</v>
      </c>
      <c r="C2071" s="7" t="s">
        <v>17112</v>
      </c>
      <c r="D2071" s="194">
        <v>2004.0</v>
      </c>
      <c r="E2071" s="193"/>
      <c r="F2071" s="195" t="s">
        <v>19457</v>
      </c>
      <c r="G2071" s="200">
        <v>4.569838396E9</v>
      </c>
      <c r="H2071" s="197">
        <v>20.83</v>
      </c>
      <c r="I2071" s="7" t="s">
        <v>16815</v>
      </c>
      <c r="J2071" s="7" t="s">
        <v>17111</v>
      </c>
      <c r="K2071" s="7" t="s">
        <v>17112</v>
      </c>
      <c r="L2071" s="201" t="s">
        <v>16835</v>
      </c>
      <c r="M2071" s="194"/>
      <c r="N2071" s="194"/>
    </row>
    <row r="2072">
      <c r="A2072" s="193" t="s">
        <v>19456</v>
      </c>
      <c r="B2072" s="7" t="s">
        <v>17112</v>
      </c>
      <c r="C2072" s="7" t="s">
        <v>17111</v>
      </c>
      <c r="D2072" s="194">
        <v>2004.0</v>
      </c>
      <c r="E2072" s="193"/>
      <c r="F2072" s="195" t="s">
        <v>19457</v>
      </c>
      <c r="G2072" s="196">
        <v>4.569838396E9</v>
      </c>
      <c r="H2072" s="197">
        <v>20.83</v>
      </c>
      <c r="I2072" s="7" t="s">
        <v>16815</v>
      </c>
      <c r="J2072" s="7" t="s">
        <v>17112</v>
      </c>
      <c r="K2072" s="7" t="s">
        <v>17111</v>
      </c>
      <c r="L2072" s="198" t="s">
        <v>65</v>
      </c>
      <c r="M2072" s="194"/>
      <c r="N2072" s="194"/>
    </row>
    <row r="2073">
      <c r="A2073" s="193" t="s">
        <v>19458</v>
      </c>
      <c r="B2073" s="7" t="s">
        <v>16582</v>
      </c>
      <c r="C2073" s="7" t="s">
        <v>16930</v>
      </c>
      <c r="D2073" s="199"/>
      <c r="E2073" s="193"/>
      <c r="F2073" s="195" t="s">
        <v>19459</v>
      </c>
      <c r="G2073" s="196">
        <v>4.56726E9</v>
      </c>
      <c r="H2073" s="197">
        <v>46.7</v>
      </c>
      <c r="I2073" s="7" t="s">
        <v>16815</v>
      </c>
      <c r="J2073" s="7" t="s">
        <v>16582</v>
      </c>
      <c r="K2073" s="7" t="s">
        <v>16930</v>
      </c>
      <c r="L2073" s="198" t="s">
        <v>65</v>
      </c>
      <c r="M2073" s="199"/>
      <c r="N2073" s="199"/>
    </row>
    <row r="2074">
      <c r="A2074" s="193" t="s">
        <v>19458</v>
      </c>
      <c r="B2074" s="7" t="s">
        <v>16930</v>
      </c>
      <c r="C2074" s="7" t="s">
        <v>16582</v>
      </c>
      <c r="D2074" s="199"/>
      <c r="E2074" s="193"/>
      <c r="F2074" s="195" t="s">
        <v>19459</v>
      </c>
      <c r="G2074" s="200">
        <v>4.56726E9</v>
      </c>
      <c r="H2074" s="197">
        <v>46.7</v>
      </c>
      <c r="I2074" s="7" t="s">
        <v>16815</v>
      </c>
      <c r="J2074" s="7" t="s">
        <v>16930</v>
      </c>
      <c r="K2074" s="7" t="s">
        <v>16582</v>
      </c>
      <c r="L2074" s="201" t="s">
        <v>16835</v>
      </c>
      <c r="M2074" s="199"/>
      <c r="N2074" s="199"/>
    </row>
    <row r="2075">
      <c r="A2075" s="193" t="s">
        <v>19460</v>
      </c>
      <c r="B2075" s="7" t="s">
        <v>16919</v>
      </c>
      <c r="C2075" s="7" t="s">
        <v>110</v>
      </c>
      <c r="D2075" s="194">
        <v>1997.0</v>
      </c>
      <c r="E2075" s="193"/>
      <c r="F2075" s="195" t="s">
        <v>19461</v>
      </c>
      <c r="G2075" s="196">
        <v>4.563820206E9</v>
      </c>
      <c r="H2075" s="197">
        <v>78.71</v>
      </c>
      <c r="I2075" s="7" t="s">
        <v>16815</v>
      </c>
      <c r="J2075" s="7" t="s">
        <v>16919</v>
      </c>
      <c r="K2075" s="7" t="s">
        <v>110</v>
      </c>
      <c r="L2075" s="198" t="s">
        <v>65</v>
      </c>
      <c r="M2075" s="194"/>
      <c r="N2075" s="194"/>
    </row>
    <row r="2076">
      <c r="A2076" s="193" t="s">
        <v>19462</v>
      </c>
      <c r="D2076" s="194">
        <v>2016.0</v>
      </c>
      <c r="E2076" s="193"/>
      <c r="F2076" s="195" t="s">
        <v>19463</v>
      </c>
      <c r="G2076" s="196">
        <v>4.538212168E9</v>
      </c>
      <c r="H2076" s="197">
        <v>21.46</v>
      </c>
      <c r="I2076" s="7" t="s">
        <v>16815</v>
      </c>
      <c r="L2076" s="198" t="s">
        <v>65</v>
      </c>
      <c r="M2076" s="194"/>
      <c r="N2076" s="194"/>
    </row>
    <row r="2077">
      <c r="A2077" s="193" t="s">
        <v>19462</v>
      </c>
      <c r="D2077" s="194">
        <v>2016.0</v>
      </c>
      <c r="E2077" s="193"/>
      <c r="F2077" s="195" t="s">
        <v>19463</v>
      </c>
      <c r="G2077" s="200">
        <v>4.538212168E9</v>
      </c>
      <c r="H2077" s="197">
        <v>21.46</v>
      </c>
      <c r="L2077" s="201" t="s">
        <v>16835</v>
      </c>
      <c r="M2077" s="194"/>
      <c r="N2077" s="194"/>
    </row>
    <row r="2078">
      <c r="A2078" s="193" t="s">
        <v>19464</v>
      </c>
      <c r="B2078" s="7" t="s">
        <v>16910</v>
      </c>
      <c r="C2078" s="7" t="s">
        <v>16911</v>
      </c>
      <c r="D2078" s="199"/>
      <c r="E2078" s="193"/>
      <c r="F2078" s="195" t="s">
        <v>19465</v>
      </c>
      <c r="G2078" s="196">
        <v>4.537011496E9</v>
      </c>
      <c r="H2078" s="197">
        <v>48.6</v>
      </c>
      <c r="I2078" s="7" t="s">
        <v>127</v>
      </c>
      <c r="J2078" s="7" t="s">
        <v>16910</v>
      </c>
      <c r="K2078" s="7" t="s">
        <v>16911</v>
      </c>
      <c r="L2078" s="198" t="s">
        <v>65</v>
      </c>
      <c r="M2078" s="199"/>
      <c r="N2078" s="199"/>
    </row>
    <row r="2079">
      <c r="A2079" s="193" t="s">
        <v>19466</v>
      </c>
      <c r="B2079" s="7" t="s">
        <v>175</v>
      </c>
      <c r="C2079" s="7" t="s">
        <v>17233</v>
      </c>
      <c r="D2079" s="199"/>
      <c r="E2079" s="193"/>
      <c r="F2079" s="195" t="s">
        <v>19467</v>
      </c>
      <c r="G2079" s="196">
        <v>4.524105E9</v>
      </c>
      <c r="H2079" s="197">
        <v>76.55</v>
      </c>
      <c r="I2079" s="7" t="s">
        <v>168</v>
      </c>
      <c r="J2079" s="7" t="s">
        <v>175</v>
      </c>
      <c r="K2079" s="7" t="s">
        <v>17233</v>
      </c>
      <c r="L2079" s="198" t="s">
        <v>65</v>
      </c>
      <c r="M2079" s="199"/>
      <c r="N2079" s="199"/>
    </row>
    <row r="2080">
      <c r="A2080" s="193" t="s">
        <v>19466</v>
      </c>
      <c r="B2080" s="7" t="s">
        <v>17233</v>
      </c>
      <c r="C2080" s="7" t="s">
        <v>175</v>
      </c>
      <c r="D2080" s="199"/>
      <c r="E2080" s="193"/>
      <c r="F2080" s="195" t="s">
        <v>19467</v>
      </c>
      <c r="G2080" s="200">
        <v>4.524105E9</v>
      </c>
      <c r="H2080" s="197">
        <v>76.55</v>
      </c>
      <c r="I2080" s="7" t="s">
        <v>16815</v>
      </c>
      <c r="J2080" s="7" t="s">
        <v>17233</v>
      </c>
      <c r="K2080" s="7" t="s">
        <v>175</v>
      </c>
      <c r="L2080" s="201" t="s">
        <v>16835</v>
      </c>
      <c r="M2080" s="199"/>
      <c r="N2080" s="199"/>
    </row>
    <row r="2081">
      <c r="A2081" s="193" t="s">
        <v>19468</v>
      </c>
      <c r="B2081" s="7" t="s">
        <v>16838</v>
      </c>
      <c r="C2081" s="7" t="s">
        <v>17384</v>
      </c>
      <c r="D2081" s="194">
        <v>2018.0</v>
      </c>
      <c r="E2081" s="193"/>
      <c r="F2081" s="195" t="s">
        <v>19469</v>
      </c>
      <c r="G2081" s="196">
        <v>4.521158074E9</v>
      </c>
      <c r="H2081" s="197">
        <v>23.18</v>
      </c>
      <c r="I2081" s="7" t="s">
        <v>16815</v>
      </c>
      <c r="J2081" s="7" t="s">
        <v>16838</v>
      </c>
      <c r="K2081" s="7" t="s">
        <v>17384</v>
      </c>
      <c r="L2081" s="198" t="s">
        <v>65</v>
      </c>
      <c r="M2081" s="194"/>
      <c r="N2081" s="194"/>
    </row>
    <row r="2082">
      <c r="A2082" s="193" t="s">
        <v>19468</v>
      </c>
      <c r="B2082" s="7" t="s">
        <v>17384</v>
      </c>
      <c r="C2082" s="7" t="s">
        <v>16838</v>
      </c>
      <c r="D2082" s="194">
        <v>2018.0</v>
      </c>
      <c r="E2082" s="193"/>
      <c r="F2082" s="195" t="s">
        <v>19469</v>
      </c>
      <c r="G2082" s="200">
        <v>4.521158074E9</v>
      </c>
      <c r="H2082" s="197">
        <v>23.18</v>
      </c>
      <c r="I2082" s="7" t="s">
        <v>16815</v>
      </c>
      <c r="J2082" s="7" t="s">
        <v>17384</v>
      </c>
      <c r="K2082" s="7" t="s">
        <v>16838</v>
      </c>
      <c r="L2082" s="201" t="s">
        <v>16835</v>
      </c>
      <c r="M2082" s="194"/>
      <c r="N2082" s="194"/>
    </row>
    <row r="2083">
      <c r="A2083" s="193" t="s">
        <v>19470</v>
      </c>
      <c r="B2083" s="7" t="s">
        <v>16838</v>
      </c>
      <c r="C2083" s="7" t="s">
        <v>17112</v>
      </c>
      <c r="D2083" s="199"/>
      <c r="E2083" s="193"/>
      <c r="F2083" s="195" t="s">
        <v>19471</v>
      </c>
      <c r="G2083" s="196">
        <v>4.513650902E9</v>
      </c>
      <c r="H2083" s="197">
        <v>95.67</v>
      </c>
      <c r="I2083" s="7" t="s">
        <v>16815</v>
      </c>
      <c r="J2083" s="7" t="s">
        <v>16838</v>
      </c>
      <c r="K2083" s="7" t="s">
        <v>17112</v>
      </c>
      <c r="L2083" s="198" t="s">
        <v>65</v>
      </c>
      <c r="M2083" s="199"/>
      <c r="N2083" s="199"/>
    </row>
    <row r="2084">
      <c r="A2084" s="193" t="s">
        <v>19472</v>
      </c>
      <c r="B2084" s="7" t="s">
        <v>16945</v>
      </c>
      <c r="C2084" s="7" t="s">
        <v>169</v>
      </c>
      <c r="D2084" s="194">
        <v>2016.0</v>
      </c>
      <c r="E2084" s="193"/>
      <c r="F2084" s="195" t="s">
        <v>19473</v>
      </c>
      <c r="G2084" s="200">
        <v>4.506538758E9</v>
      </c>
      <c r="H2084" s="197">
        <v>32.5</v>
      </c>
      <c r="I2084" s="7" t="s">
        <v>16815</v>
      </c>
      <c r="J2084" s="7" t="s">
        <v>16945</v>
      </c>
      <c r="K2084" s="7" t="s">
        <v>169</v>
      </c>
      <c r="L2084" s="201" t="s">
        <v>16835</v>
      </c>
      <c r="M2084" s="194"/>
      <c r="N2084" s="194"/>
    </row>
    <row r="2085">
      <c r="A2085" s="193" t="s">
        <v>19472</v>
      </c>
      <c r="B2085" s="7" t="s">
        <v>169</v>
      </c>
      <c r="C2085" s="7" t="s">
        <v>16945</v>
      </c>
      <c r="D2085" s="194">
        <v>2016.0</v>
      </c>
      <c r="E2085" s="193"/>
      <c r="F2085" s="195" t="s">
        <v>19473</v>
      </c>
      <c r="G2085" s="196">
        <v>4.506538758E9</v>
      </c>
      <c r="H2085" s="197">
        <v>32.5</v>
      </c>
      <c r="I2085" s="7" t="s">
        <v>16815</v>
      </c>
      <c r="J2085" s="7" t="s">
        <v>169</v>
      </c>
      <c r="K2085" s="7" t="s">
        <v>16945</v>
      </c>
      <c r="L2085" s="198" t="s">
        <v>65</v>
      </c>
      <c r="M2085" s="194"/>
      <c r="N2085" s="194"/>
    </row>
    <row r="2086">
      <c r="A2086" s="193" t="s">
        <v>19474</v>
      </c>
      <c r="B2086" s="7" t="s">
        <v>16838</v>
      </c>
      <c r="C2086" s="7" t="s">
        <v>17202</v>
      </c>
      <c r="D2086" s="199"/>
      <c r="E2086" s="193"/>
      <c r="F2086" s="195" t="s">
        <v>19475</v>
      </c>
      <c r="G2086" s="196">
        <v>4.477277665E9</v>
      </c>
      <c r="H2086" s="197">
        <v>132.43</v>
      </c>
      <c r="I2086" s="7" t="s">
        <v>16924</v>
      </c>
      <c r="J2086" s="7" t="s">
        <v>16838</v>
      </c>
      <c r="K2086" s="7" t="s">
        <v>17202</v>
      </c>
      <c r="L2086" s="198" t="s">
        <v>65</v>
      </c>
      <c r="M2086" s="199"/>
      <c r="N2086" s="199"/>
    </row>
    <row r="2087">
      <c r="A2087" s="193" t="s">
        <v>19474</v>
      </c>
      <c r="B2087" s="7" t="s">
        <v>17202</v>
      </c>
      <c r="C2087" s="7" t="s">
        <v>16838</v>
      </c>
      <c r="D2087" s="199"/>
      <c r="E2087" s="193"/>
      <c r="F2087" s="195" t="s">
        <v>19475</v>
      </c>
      <c r="G2087" s="200">
        <v>4.477277665E9</v>
      </c>
      <c r="H2087" s="197">
        <v>132.43</v>
      </c>
      <c r="I2087" s="7" t="s">
        <v>16815</v>
      </c>
      <c r="J2087" s="7" t="s">
        <v>17202</v>
      </c>
      <c r="K2087" s="7" t="s">
        <v>16838</v>
      </c>
      <c r="L2087" s="201" t="s">
        <v>16835</v>
      </c>
      <c r="M2087" s="199"/>
      <c r="N2087" s="199"/>
    </row>
    <row r="2088">
      <c r="A2088" s="193" t="s">
        <v>19476</v>
      </c>
      <c r="B2088" s="7" t="s">
        <v>17016</v>
      </c>
      <c r="C2088" s="7" t="s">
        <v>16838</v>
      </c>
      <c r="D2088" s="194">
        <v>2013.0</v>
      </c>
      <c r="E2088" s="193"/>
      <c r="F2088" s="195" t="s">
        <v>19477</v>
      </c>
      <c r="G2088" s="200">
        <v>4.477219915E9</v>
      </c>
      <c r="H2088" s="197">
        <v>37.34</v>
      </c>
      <c r="I2088" s="7" t="s">
        <v>16815</v>
      </c>
      <c r="J2088" s="7" t="s">
        <v>17016</v>
      </c>
      <c r="K2088" s="7" t="s">
        <v>16838</v>
      </c>
      <c r="L2088" s="201" t="s">
        <v>16835</v>
      </c>
      <c r="M2088" s="194"/>
      <c r="N2088" s="194"/>
    </row>
    <row r="2089">
      <c r="A2089" s="193" t="s">
        <v>19476</v>
      </c>
      <c r="B2089" s="7" t="s">
        <v>16838</v>
      </c>
      <c r="C2089" s="7" t="s">
        <v>17016</v>
      </c>
      <c r="D2089" s="194">
        <v>2013.0</v>
      </c>
      <c r="E2089" s="193"/>
      <c r="F2089" s="195" t="s">
        <v>19477</v>
      </c>
      <c r="G2089" s="196">
        <v>4.477219915E9</v>
      </c>
      <c r="H2089" s="197">
        <v>37.34</v>
      </c>
      <c r="I2089" s="7" t="s">
        <v>16815</v>
      </c>
      <c r="J2089" s="7" t="s">
        <v>16838</v>
      </c>
      <c r="K2089" s="7" t="s">
        <v>17016</v>
      </c>
      <c r="L2089" s="198" t="s">
        <v>65</v>
      </c>
      <c r="M2089" s="194"/>
      <c r="N2089" s="194"/>
    </row>
    <row r="2090">
      <c r="A2090" s="193" t="s">
        <v>19478</v>
      </c>
      <c r="B2090" s="7" t="s">
        <v>16926</v>
      </c>
      <c r="C2090" s="7" t="s">
        <v>16957</v>
      </c>
      <c r="D2090" s="199"/>
      <c r="E2090" s="193"/>
      <c r="F2090" s="195" t="s">
        <v>19479</v>
      </c>
      <c r="G2090" s="196">
        <v>4.435088768E9</v>
      </c>
      <c r="H2090" s="197">
        <v>35.81</v>
      </c>
      <c r="I2090" s="7" t="s">
        <v>16815</v>
      </c>
      <c r="J2090" s="7" t="s">
        <v>16926</v>
      </c>
      <c r="K2090" s="7" t="s">
        <v>16957</v>
      </c>
      <c r="L2090" s="198" t="s">
        <v>65</v>
      </c>
      <c r="M2090" s="199"/>
      <c r="N2090" s="199"/>
    </row>
    <row r="2091">
      <c r="A2091" s="193" t="s">
        <v>19480</v>
      </c>
      <c r="B2091" s="7" t="s">
        <v>175</v>
      </c>
      <c r="C2091" s="7" t="s">
        <v>17168</v>
      </c>
      <c r="D2091" s="194">
        <v>2016.0</v>
      </c>
      <c r="E2091" s="193"/>
      <c r="F2091" s="195" t="s">
        <v>19481</v>
      </c>
      <c r="G2091" s="196">
        <v>4.431832432E9</v>
      </c>
      <c r="H2091" s="197">
        <v>42.46</v>
      </c>
      <c r="I2091" s="7" t="s">
        <v>17222</v>
      </c>
      <c r="J2091" s="7" t="s">
        <v>175</v>
      </c>
      <c r="K2091" s="7" t="s">
        <v>17168</v>
      </c>
      <c r="L2091" s="198" t="s">
        <v>65</v>
      </c>
      <c r="M2091" s="194"/>
      <c r="N2091" s="194"/>
    </row>
    <row r="2092">
      <c r="A2092" s="193" t="s">
        <v>19482</v>
      </c>
      <c r="B2092" s="7" t="s">
        <v>16919</v>
      </c>
      <c r="C2092" s="7" t="s">
        <v>17048</v>
      </c>
      <c r="D2092" s="194">
        <v>2016.0</v>
      </c>
      <c r="E2092" s="193"/>
      <c r="F2092" s="195" t="s">
        <v>19483</v>
      </c>
      <c r="G2092" s="196">
        <v>4.4303609E9</v>
      </c>
      <c r="H2092" s="197">
        <v>20.95</v>
      </c>
      <c r="I2092" s="7" t="s">
        <v>16815</v>
      </c>
      <c r="J2092" s="7" t="s">
        <v>16919</v>
      </c>
      <c r="K2092" s="7" t="s">
        <v>17048</v>
      </c>
      <c r="L2092" s="198" t="s">
        <v>65</v>
      </c>
      <c r="M2092" s="194"/>
      <c r="N2092" s="194"/>
    </row>
    <row r="2093">
      <c r="A2093" s="193" t="s">
        <v>19482</v>
      </c>
      <c r="B2093" s="7" t="s">
        <v>17048</v>
      </c>
      <c r="C2093" s="7" t="s">
        <v>16919</v>
      </c>
      <c r="D2093" s="194">
        <v>2016.0</v>
      </c>
      <c r="E2093" s="193"/>
      <c r="F2093" s="195" t="s">
        <v>19483</v>
      </c>
      <c r="G2093" s="200">
        <v>4.4303609E9</v>
      </c>
      <c r="H2093" s="197">
        <v>20.95</v>
      </c>
      <c r="I2093" s="7" t="s">
        <v>16815</v>
      </c>
      <c r="J2093" s="7" t="s">
        <v>17048</v>
      </c>
      <c r="K2093" s="7" t="s">
        <v>16919</v>
      </c>
      <c r="L2093" s="201" t="s">
        <v>16835</v>
      </c>
      <c r="M2093" s="194"/>
      <c r="N2093" s="194"/>
    </row>
    <row r="2094">
      <c r="A2094" s="193" t="s">
        <v>19484</v>
      </c>
      <c r="B2094" s="7" t="s">
        <v>175</v>
      </c>
      <c r="C2094" s="7" t="s">
        <v>16854</v>
      </c>
      <c r="D2094" s="194">
        <v>2006.0</v>
      </c>
      <c r="E2094" s="193"/>
      <c r="F2094" s="195" t="s">
        <v>19485</v>
      </c>
      <c r="G2094" s="196">
        <v>4.429825522E9</v>
      </c>
      <c r="H2094" s="197">
        <v>26.86</v>
      </c>
      <c r="I2094" s="7" t="s">
        <v>16908</v>
      </c>
      <c r="J2094" s="7" t="s">
        <v>175</v>
      </c>
      <c r="K2094" s="7" t="s">
        <v>16854</v>
      </c>
      <c r="L2094" s="198" t="s">
        <v>65</v>
      </c>
      <c r="M2094" s="194"/>
      <c r="N2094" s="194"/>
    </row>
    <row r="2095">
      <c r="A2095" s="193" t="s">
        <v>19486</v>
      </c>
      <c r="B2095" s="7" t="s">
        <v>16838</v>
      </c>
      <c r="C2095" s="7" t="s">
        <v>17104</v>
      </c>
      <c r="D2095" s="194">
        <v>2021.0</v>
      </c>
      <c r="E2095" s="193"/>
      <c r="F2095" s="195" t="s">
        <v>19487</v>
      </c>
      <c r="G2095" s="196">
        <v>4.418992442E9</v>
      </c>
      <c r="H2095" s="197">
        <v>27.67</v>
      </c>
      <c r="I2095" s="7" t="s">
        <v>16872</v>
      </c>
      <c r="J2095" s="7" t="s">
        <v>16838</v>
      </c>
      <c r="K2095" s="7" t="s">
        <v>17104</v>
      </c>
      <c r="L2095" s="198" t="s">
        <v>65</v>
      </c>
      <c r="M2095" s="194"/>
      <c r="N2095" s="194"/>
    </row>
    <row r="2096">
      <c r="A2096" s="193" t="s">
        <v>19488</v>
      </c>
      <c r="D2096" s="199"/>
      <c r="E2096" s="193"/>
      <c r="F2096" s="195" t="s">
        <v>19489</v>
      </c>
      <c r="G2096" s="196">
        <v>4.413628103E9</v>
      </c>
      <c r="H2096" s="197">
        <v>123.25</v>
      </c>
      <c r="I2096" s="7" t="s">
        <v>16815</v>
      </c>
      <c r="L2096" s="198" t="s">
        <v>65</v>
      </c>
      <c r="M2096" s="199"/>
      <c r="N2096" s="199"/>
    </row>
    <row r="2097">
      <c r="A2097" s="193" t="s">
        <v>19490</v>
      </c>
      <c r="B2097" s="7" t="s">
        <v>175</v>
      </c>
      <c r="C2097" s="7" t="s">
        <v>17069</v>
      </c>
      <c r="D2097" s="194">
        <v>2010.0</v>
      </c>
      <c r="E2097" s="193"/>
      <c r="F2097" s="195" t="s">
        <v>19491</v>
      </c>
      <c r="G2097" s="196">
        <v>4.412905067E9</v>
      </c>
      <c r="H2097" s="197">
        <v>41.58</v>
      </c>
      <c r="I2097" s="7" t="s">
        <v>168</v>
      </c>
      <c r="J2097" s="7" t="s">
        <v>175</v>
      </c>
      <c r="K2097" s="7" t="s">
        <v>17069</v>
      </c>
      <c r="L2097" s="198" t="s">
        <v>65</v>
      </c>
      <c r="M2097" s="194"/>
      <c r="N2097" s="194"/>
    </row>
    <row r="2098">
      <c r="A2098" s="193" t="s">
        <v>19492</v>
      </c>
      <c r="B2098" s="7" t="s">
        <v>158</v>
      </c>
      <c r="C2098" s="7" t="s">
        <v>16864</v>
      </c>
      <c r="D2098" s="194">
        <v>2017.0</v>
      </c>
      <c r="E2098" s="193"/>
      <c r="F2098" s="195" t="s">
        <v>19493</v>
      </c>
      <c r="G2098" s="196">
        <v>4.399817451E9</v>
      </c>
      <c r="H2098" s="197">
        <v>21.25</v>
      </c>
      <c r="I2098" s="7" t="s">
        <v>17098</v>
      </c>
      <c r="J2098" s="7" t="s">
        <v>158</v>
      </c>
      <c r="K2098" s="7" t="s">
        <v>16864</v>
      </c>
      <c r="L2098" s="198" t="s">
        <v>65</v>
      </c>
      <c r="M2098" s="194"/>
      <c r="N2098" s="194"/>
    </row>
    <row r="2099">
      <c r="A2099" s="193" t="s">
        <v>19492</v>
      </c>
      <c r="B2099" s="7" t="s">
        <v>16864</v>
      </c>
      <c r="C2099" s="7" t="s">
        <v>158</v>
      </c>
      <c r="D2099" s="194">
        <v>2017.0</v>
      </c>
      <c r="E2099" s="193"/>
      <c r="F2099" s="195" t="s">
        <v>19493</v>
      </c>
      <c r="G2099" s="200">
        <v>4.399817451E9</v>
      </c>
      <c r="H2099" s="197">
        <v>21.25</v>
      </c>
      <c r="I2099" s="7" t="s">
        <v>16815</v>
      </c>
      <c r="J2099" s="7" t="s">
        <v>16864</v>
      </c>
      <c r="K2099" s="7" t="s">
        <v>158</v>
      </c>
      <c r="L2099" s="201" t="s">
        <v>16835</v>
      </c>
      <c r="M2099" s="194"/>
      <c r="N2099" s="194"/>
    </row>
    <row r="2100">
      <c r="A2100" s="193" t="s">
        <v>19494</v>
      </c>
      <c r="B2100" s="7" t="s">
        <v>169</v>
      </c>
      <c r="C2100" s="7" t="s">
        <v>116</v>
      </c>
      <c r="D2100" s="194">
        <v>2016.0</v>
      </c>
      <c r="E2100" s="193"/>
      <c r="F2100" s="195" t="s">
        <v>19495</v>
      </c>
      <c r="G2100" s="196">
        <v>4.397547813E9</v>
      </c>
      <c r="H2100" s="197">
        <v>24.64</v>
      </c>
      <c r="I2100" s="7" t="s">
        <v>16815</v>
      </c>
      <c r="J2100" s="7" t="s">
        <v>169</v>
      </c>
      <c r="K2100" s="7" t="s">
        <v>116</v>
      </c>
      <c r="L2100" s="198" t="s">
        <v>65</v>
      </c>
      <c r="M2100" s="194"/>
      <c r="N2100" s="194"/>
    </row>
    <row r="2101">
      <c r="A2101" s="193" t="s">
        <v>19494</v>
      </c>
      <c r="B2101" s="7" t="s">
        <v>116</v>
      </c>
      <c r="C2101" s="7" t="s">
        <v>169</v>
      </c>
      <c r="D2101" s="194">
        <v>2016.0</v>
      </c>
      <c r="E2101" s="193"/>
      <c r="F2101" s="195" t="s">
        <v>19495</v>
      </c>
      <c r="G2101" s="200">
        <v>4.397547813E9</v>
      </c>
      <c r="H2101" s="197">
        <v>24.64</v>
      </c>
      <c r="I2101" s="7" t="s">
        <v>16815</v>
      </c>
      <c r="J2101" s="7" t="s">
        <v>116</v>
      </c>
      <c r="K2101" s="7" t="s">
        <v>169</v>
      </c>
      <c r="L2101" s="201" t="s">
        <v>16835</v>
      </c>
      <c r="M2101" s="194"/>
      <c r="N2101" s="194"/>
    </row>
    <row r="2102">
      <c r="A2102" s="193" t="s">
        <v>19496</v>
      </c>
      <c r="B2102" s="7" t="s">
        <v>175</v>
      </c>
      <c r="C2102" s="7" t="s">
        <v>17031</v>
      </c>
      <c r="D2102" s="199"/>
      <c r="E2102" s="193"/>
      <c r="F2102" s="195" t="s">
        <v>19497</v>
      </c>
      <c r="G2102" s="196">
        <v>4.387098418E9</v>
      </c>
      <c r="H2102" s="197">
        <v>34.26</v>
      </c>
      <c r="I2102" s="7" t="s">
        <v>16826</v>
      </c>
      <c r="J2102" s="7" t="s">
        <v>175</v>
      </c>
      <c r="K2102" s="7" t="s">
        <v>17031</v>
      </c>
      <c r="L2102" s="198" t="s">
        <v>65</v>
      </c>
      <c r="M2102" s="199"/>
      <c r="N2102" s="199"/>
    </row>
    <row r="2103">
      <c r="A2103" s="193" t="s">
        <v>19496</v>
      </c>
      <c r="B2103" s="7" t="s">
        <v>17031</v>
      </c>
      <c r="C2103" s="7" t="s">
        <v>175</v>
      </c>
      <c r="D2103" s="199"/>
      <c r="E2103" s="193"/>
      <c r="F2103" s="195" t="s">
        <v>19497</v>
      </c>
      <c r="G2103" s="200">
        <v>4.387098418E9</v>
      </c>
      <c r="H2103" s="197">
        <v>34.26</v>
      </c>
      <c r="I2103" s="7" t="s">
        <v>16815</v>
      </c>
      <c r="J2103" s="7" t="s">
        <v>17031</v>
      </c>
      <c r="K2103" s="7" t="s">
        <v>175</v>
      </c>
      <c r="L2103" s="201" t="s">
        <v>16835</v>
      </c>
      <c r="M2103" s="199"/>
      <c r="N2103" s="199"/>
    </row>
    <row r="2104">
      <c r="A2104" s="193" t="s">
        <v>19498</v>
      </c>
      <c r="B2104" s="7" t="s">
        <v>16969</v>
      </c>
      <c r="C2104" s="7" t="s">
        <v>187</v>
      </c>
      <c r="D2104" s="194">
        <v>1991.0</v>
      </c>
      <c r="E2104" s="193"/>
      <c r="F2104" s="195" t="s">
        <v>19499</v>
      </c>
      <c r="G2104" s="200">
        <v>4.369942119E9</v>
      </c>
      <c r="H2104" s="197">
        <v>86.12</v>
      </c>
      <c r="I2104" s="7" t="s">
        <v>16815</v>
      </c>
      <c r="J2104" s="7" t="s">
        <v>16969</v>
      </c>
      <c r="K2104" s="7" t="s">
        <v>187</v>
      </c>
      <c r="L2104" s="201" t="s">
        <v>16835</v>
      </c>
      <c r="M2104" s="194"/>
      <c r="N2104" s="194"/>
    </row>
    <row r="2105">
      <c r="A2105" s="193" t="s">
        <v>19498</v>
      </c>
      <c r="B2105" s="7" t="s">
        <v>187</v>
      </c>
      <c r="C2105" s="7" t="s">
        <v>16969</v>
      </c>
      <c r="D2105" s="194">
        <v>1991.0</v>
      </c>
      <c r="E2105" s="193"/>
      <c r="F2105" s="195" t="s">
        <v>19499</v>
      </c>
      <c r="G2105" s="196">
        <v>4.369942119E9</v>
      </c>
      <c r="H2105" s="197">
        <v>86.12</v>
      </c>
      <c r="I2105" s="7" t="s">
        <v>16815</v>
      </c>
      <c r="J2105" s="7" t="s">
        <v>187</v>
      </c>
      <c r="K2105" s="7" t="s">
        <v>16969</v>
      </c>
      <c r="L2105" s="198" t="s">
        <v>65</v>
      </c>
      <c r="M2105" s="194"/>
      <c r="N2105" s="194"/>
    </row>
    <row r="2106">
      <c r="A2106" s="193" t="s">
        <v>19500</v>
      </c>
      <c r="B2106" s="7" t="s">
        <v>187</v>
      </c>
      <c r="C2106" s="7" t="s">
        <v>16846</v>
      </c>
      <c r="D2106" s="194">
        <v>2020.0</v>
      </c>
      <c r="E2106" s="193"/>
      <c r="F2106" s="195" t="s">
        <v>19501</v>
      </c>
      <c r="G2106" s="196">
        <v>4.366335049E9</v>
      </c>
      <c r="H2106" s="197">
        <v>24.22</v>
      </c>
      <c r="I2106" s="7" t="s">
        <v>16815</v>
      </c>
      <c r="J2106" s="7" t="s">
        <v>187</v>
      </c>
      <c r="K2106" s="7" t="s">
        <v>16846</v>
      </c>
      <c r="L2106" s="198" t="s">
        <v>65</v>
      </c>
      <c r="M2106" s="194"/>
      <c r="N2106" s="194"/>
    </row>
    <row r="2107">
      <c r="A2107" s="193" t="s">
        <v>19502</v>
      </c>
      <c r="B2107" s="7" t="s">
        <v>16582</v>
      </c>
      <c r="C2107" s="7" t="s">
        <v>16930</v>
      </c>
      <c r="D2107" s="194">
        <v>2019.0</v>
      </c>
      <c r="E2107" s="193"/>
      <c r="F2107" s="195" t="s">
        <v>19503</v>
      </c>
      <c r="G2107" s="196">
        <v>4.361973335E9</v>
      </c>
      <c r="H2107" s="197">
        <v>6.57</v>
      </c>
      <c r="I2107" s="7" t="s">
        <v>16815</v>
      </c>
      <c r="J2107" s="7" t="s">
        <v>16582</v>
      </c>
      <c r="K2107" s="7" t="s">
        <v>16930</v>
      </c>
      <c r="L2107" s="198" t="s">
        <v>65</v>
      </c>
      <c r="M2107" s="194"/>
      <c r="N2107" s="194"/>
    </row>
    <row r="2108">
      <c r="A2108" s="193" t="s">
        <v>19502</v>
      </c>
      <c r="B2108" s="7" t="s">
        <v>16930</v>
      </c>
      <c r="C2108" s="7" t="s">
        <v>16582</v>
      </c>
      <c r="D2108" s="194">
        <v>2019.0</v>
      </c>
      <c r="E2108" s="193"/>
      <c r="F2108" s="195" t="s">
        <v>19503</v>
      </c>
      <c r="G2108" s="200">
        <v>4.361973335E9</v>
      </c>
      <c r="H2108" s="197">
        <v>6.57</v>
      </c>
      <c r="I2108" s="7" t="s">
        <v>16815</v>
      </c>
      <c r="J2108" s="7" t="s">
        <v>16930</v>
      </c>
      <c r="K2108" s="7" t="s">
        <v>16582</v>
      </c>
      <c r="L2108" s="201" t="s">
        <v>16835</v>
      </c>
      <c r="M2108" s="194"/>
      <c r="N2108" s="194"/>
    </row>
    <row r="2109">
      <c r="A2109" s="193" t="s">
        <v>19504</v>
      </c>
      <c r="B2109" s="7" t="s">
        <v>16910</v>
      </c>
      <c r="C2109" s="7" t="s">
        <v>17119</v>
      </c>
      <c r="D2109" s="199"/>
      <c r="E2109" s="193"/>
      <c r="F2109" s="195" t="s">
        <v>19505</v>
      </c>
      <c r="G2109" s="196">
        <v>4.359527639E9</v>
      </c>
      <c r="H2109" s="197">
        <v>20.63</v>
      </c>
      <c r="I2109" s="7" t="s">
        <v>127</v>
      </c>
      <c r="J2109" s="7" t="s">
        <v>16910</v>
      </c>
      <c r="K2109" s="7" t="s">
        <v>17119</v>
      </c>
      <c r="L2109" s="198" t="s">
        <v>65</v>
      </c>
      <c r="M2109" s="199"/>
      <c r="N2109" s="199"/>
    </row>
    <row r="2110">
      <c r="A2110" s="193" t="s">
        <v>19504</v>
      </c>
      <c r="B2110" s="7" t="s">
        <v>17119</v>
      </c>
      <c r="C2110" s="7" t="s">
        <v>16910</v>
      </c>
      <c r="D2110" s="199"/>
      <c r="E2110" s="193"/>
      <c r="F2110" s="195" t="s">
        <v>19505</v>
      </c>
      <c r="G2110" s="200">
        <v>4.359527639E9</v>
      </c>
      <c r="H2110" s="197">
        <v>20.63</v>
      </c>
      <c r="I2110" s="7" t="s">
        <v>16815</v>
      </c>
      <c r="J2110" s="7" t="s">
        <v>17119</v>
      </c>
      <c r="K2110" s="7" t="s">
        <v>16910</v>
      </c>
      <c r="L2110" s="201" t="s">
        <v>16835</v>
      </c>
      <c r="M2110" s="199"/>
      <c r="N2110" s="199"/>
    </row>
    <row r="2111">
      <c r="A2111" s="193" t="s">
        <v>19506</v>
      </c>
      <c r="B2111" s="7" t="s">
        <v>169</v>
      </c>
      <c r="C2111" s="7" t="s">
        <v>17475</v>
      </c>
      <c r="D2111" s="194">
        <v>2022.0</v>
      </c>
      <c r="E2111" s="193"/>
      <c r="F2111" s="195" t="s">
        <v>19507</v>
      </c>
      <c r="G2111" s="196">
        <v>4.356851017E9</v>
      </c>
      <c r="H2111" s="197">
        <v>40.91</v>
      </c>
      <c r="I2111" s="7" t="s">
        <v>16815</v>
      </c>
      <c r="J2111" s="7" t="s">
        <v>169</v>
      </c>
      <c r="K2111" s="7" t="s">
        <v>17475</v>
      </c>
      <c r="L2111" s="198" t="s">
        <v>65</v>
      </c>
      <c r="M2111" s="194"/>
      <c r="N2111" s="194"/>
    </row>
    <row r="2112">
      <c r="A2112" s="193" t="s">
        <v>19506</v>
      </c>
      <c r="B2112" s="7" t="s">
        <v>17475</v>
      </c>
      <c r="C2112" s="7" t="s">
        <v>169</v>
      </c>
      <c r="D2112" s="194">
        <v>2022.0</v>
      </c>
      <c r="E2112" s="193"/>
      <c r="F2112" s="195" t="s">
        <v>19507</v>
      </c>
      <c r="G2112" s="200">
        <v>4.356851017E9</v>
      </c>
      <c r="H2112" s="197">
        <v>40.91</v>
      </c>
      <c r="I2112" s="7" t="s">
        <v>16815</v>
      </c>
      <c r="J2112" s="7" t="s">
        <v>17475</v>
      </c>
      <c r="K2112" s="7" t="s">
        <v>169</v>
      </c>
      <c r="L2112" s="201" t="s">
        <v>16835</v>
      </c>
      <c r="M2112" s="194"/>
      <c r="N2112" s="194"/>
    </row>
    <row r="2113">
      <c r="A2113" s="193" t="s">
        <v>19508</v>
      </c>
      <c r="B2113" s="7" t="s">
        <v>17321</v>
      </c>
      <c r="C2113" s="7" t="s">
        <v>169</v>
      </c>
      <c r="D2113" s="199"/>
      <c r="E2113" s="193"/>
      <c r="F2113" s="195" t="s">
        <v>19509</v>
      </c>
      <c r="G2113" s="200">
        <v>4.347041109E9</v>
      </c>
      <c r="H2113" s="197">
        <v>38.29</v>
      </c>
      <c r="I2113" s="7" t="s">
        <v>16815</v>
      </c>
      <c r="J2113" s="7" t="s">
        <v>17321</v>
      </c>
      <c r="K2113" s="7" t="s">
        <v>169</v>
      </c>
      <c r="L2113" s="201" t="s">
        <v>16835</v>
      </c>
      <c r="M2113" s="199"/>
      <c r="N2113" s="199"/>
    </row>
    <row r="2114">
      <c r="A2114" s="193" t="s">
        <v>19508</v>
      </c>
      <c r="B2114" s="7" t="s">
        <v>169</v>
      </c>
      <c r="C2114" s="7" t="s">
        <v>17321</v>
      </c>
      <c r="D2114" s="199"/>
      <c r="E2114" s="193"/>
      <c r="F2114" s="195" t="s">
        <v>19509</v>
      </c>
      <c r="G2114" s="196">
        <v>4.347041109E9</v>
      </c>
      <c r="H2114" s="197">
        <v>38.29</v>
      </c>
      <c r="I2114" s="7" t="s">
        <v>16815</v>
      </c>
      <c r="J2114" s="7" t="s">
        <v>169</v>
      </c>
      <c r="K2114" s="7" t="s">
        <v>17321</v>
      </c>
      <c r="L2114" s="198" t="s">
        <v>65</v>
      </c>
      <c r="M2114" s="199"/>
      <c r="N2114" s="199"/>
    </row>
    <row r="2115">
      <c r="A2115" s="193" t="s">
        <v>19510</v>
      </c>
      <c r="B2115" s="7" t="s">
        <v>187</v>
      </c>
      <c r="C2115" s="7" t="s">
        <v>17564</v>
      </c>
      <c r="D2115" s="194">
        <v>2015.0</v>
      </c>
      <c r="E2115" s="193"/>
      <c r="F2115" s="195" t="s">
        <v>19511</v>
      </c>
      <c r="G2115" s="196">
        <v>4.347006541E9</v>
      </c>
      <c r="H2115" s="197">
        <v>63.47</v>
      </c>
      <c r="I2115" s="7" t="s">
        <v>16815</v>
      </c>
      <c r="J2115" s="7" t="s">
        <v>187</v>
      </c>
      <c r="K2115" s="7" t="s">
        <v>17564</v>
      </c>
      <c r="L2115" s="198" t="s">
        <v>65</v>
      </c>
      <c r="M2115" s="194"/>
      <c r="N2115" s="194"/>
    </row>
    <row r="2116">
      <c r="A2116" s="193" t="s">
        <v>19512</v>
      </c>
      <c r="B2116" s="7" t="s">
        <v>175</v>
      </c>
      <c r="C2116" s="7" t="s">
        <v>16842</v>
      </c>
      <c r="D2116" s="199"/>
      <c r="E2116" s="193"/>
      <c r="F2116" s="195" t="s">
        <v>19513</v>
      </c>
      <c r="G2116" s="196">
        <v>4.34648052E9</v>
      </c>
      <c r="H2116" s="197">
        <v>2.06</v>
      </c>
      <c r="I2116" s="7" t="s">
        <v>168</v>
      </c>
      <c r="J2116" s="7" t="s">
        <v>175</v>
      </c>
      <c r="K2116" s="7" t="s">
        <v>16842</v>
      </c>
      <c r="L2116" s="198" t="s">
        <v>65</v>
      </c>
      <c r="M2116" s="199"/>
      <c r="N2116" s="199"/>
    </row>
    <row r="2117">
      <c r="A2117" s="193" t="s">
        <v>19514</v>
      </c>
      <c r="B2117" s="7" t="s">
        <v>17111</v>
      </c>
      <c r="C2117" s="7" t="s">
        <v>17112</v>
      </c>
      <c r="D2117" s="194">
        <v>2020.0</v>
      </c>
      <c r="E2117" s="193"/>
      <c r="F2117" s="195" t="s">
        <v>19515</v>
      </c>
      <c r="G2117" s="200">
        <v>4.340694756E9</v>
      </c>
      <c r="H2117" s="197">
        <v>29.53</v>
      </c>
      <c r="I2117" s="7" t="s">
        <v>16815</v>
      </c>
      <c r="J2117" s="7" t="s">
        <v>17111</v>
      </c>
      <c r="K2117" s="7" t="s">
        <v>17112</v>
      </c>
      <c r="L2117" s="201" t="s">
        <v>16835</v>
      </c>
      <c r="M2117" s="194"/>
      <c r="N2117" s="194"/>
    </row>
    <row r="2118">
      <c r="A2118" s="193" t="s">
        <v>19514</v>
      </c>
      <c r="B2118" s="7" t="s">
        <v>17112</v>
      </c>
      <c r="C2118" s="7" t="s">
        <v>17111</v>
      </c>
      <c r="D2118" s="194">
        <v>2020.0</v>
      </c>
      <c r="E2118" s="193"/>
      <c r="F2118" s="195" t="s">
        <v>19515</v>
      </c>
      <c r="G2118" s="196">
        <v>4.340694756E9</v>
      </c>
      <c r="H2118" s="197">
        <v>29.53</v>
      </c>
      <c r="I2118" s="7" t="s">
        <v>16815</v>
      </c>
      <c r="J2118" s="7" t="s">
        <v>17112</v>
      </c>
      <c r="K2118" s="7" t="s">
        <v>17111</v>
      </c>
      <c r="L2118" s="198" t="s">
        <v>65</v>
      </c>
      <c r="M2118" s="194"/>
      <c r="N2118" s="194"/>
    </row>
    <row r="2119">
      <c r="A2119" s="193" t="s">
        <v>19516</v>
      </c>
      <c r="B2119" s="7" t="s">
        <v>16919</v>
      </c>
      <c r="C2119" s="7" t="s">
        <v>17048</v>
      </c>
      <c r="D2119" s="194">
        <v>2015.0</v>
      </c>
      <c r="E2119" s="193"/>
      <c r="F2119" s="195" t="s">
        <v>19517</v>
      </c>
      <c r="G2119" s="196">
        <v>4.338653306E9</v>
      </c>
      <c r="H2119" s="197">
        <v>21.47</v>
      </c>
      <c r="I2119" s="7" t="s">
        <v>16815</v>
      </c>
      <c r="J2119" s="7" t="s">
        <v>16919</v>
      </c>
      <c r="K2119" s="7" t="s">
        <v>17048</v>
      </c>
      <c r="L2119" s="198" t="s">
        <v>65</v>
      </c>
      <c r="M2119" s="194"/>
      <c r="N2119" s="194"/>
    </row>
    <row r="2120">
      <c r="A2120" s="193" t="s">
        <v>19516</v>
      </c>
      <c r="B2120" s="7" t="s">
        <v>17048</v>
      </c>
      <c r="C2120" s="7" t="s">
        <v>16919</v>
      </c>
      <c r="D2120" s="194">
        <v>2015.0</v>
      </c>
      <c r="E2120" s="193"/>
      <c r="F2120" s="195" t="s">
        <v>19517</v>
      </c>
      <c r="G2120" s="200">
        <v>4.338653306E9</v>
      </c>
      <c r="H2120" s="197">
        <v>21.47</v>
      </c>
      <c r="I2120" s="7" t="s">
        <v>16815</v>
      </c>
      <c r="J2120" s="7" t="s">
        <v>17048</v>
      </c>
      <c r="K2120" s="7" t="s">
        <v>16919</v>
      </c>
      <c r="L2120" s="201" t="s">
        <v>16835</v>
      </c>
      <c r="M2120" s="194"/>
      <c r="N2120" s="194"/>
    </row>
    <row r="2121">
      <c r="A2121" s="193" t="s">
        <v>19518</v>
      </c>
      <c r="B2121" s="7" t="s">
        <v>175</v>
      </c>
      <c r="C2121" s="7" t="s">
        <v>16939</v>
      </c>
      <c r="D2121" s="194">
        <v>2018.0</v>
      </c>
      <c r="E2121" s="193"/>
      <c r="F2121" s="195" t="s">
        <v>19519</v>
      </c>
      <c r="G2121" s="196">
        <v>4.33842932E9</v>
      </c>
      <c r="H2121" s="197">
        <v>4.83</v>
      </c>
      <c r="I2121" s="7" t="s">
        <v>168</v>
      </c>
      <c r="J2121" s="7" t="s">
        <v>175</v>
      </c>
      <c r="K2121" s="7" t="s">
        <v>16939</v>
      </c>
      <c r="L2121" s="198" t="s">
        <v>65</v>
      </c>
      <c r="M2121" s="194"/>
      <c r="N2121" s="194"/>
    </row>
    <row r="2122">
      <c r="A2122" s="193" t="s">
        <v>19520</v>
      </c>
      <c r="B2122" s="7" t="s">
        <v>16582</v>
      </c>
      <c r="C2122" s="7" t="s">
        <v>16817</v>
      </c>
      <c r="D2122" s="194">
        <v>2021.0</v>
      </c>
      <c r="E2122" s="193"/>
      <c r="F2122" s="195" t="s">
        <v>19521</v>
      </c>
      <c r="G2122" s="196">
        <v>4.337659332E9</v>
      </c>
      <c r="H2122" s="197">
        <v>21.56</v>
      </c>
      <c r="I2122" s="7" t="s">
        <v>16815</v>
      </c>
      <c r="J2122" s="7" t="s">
        <v>16582</v>
      </c>
      <c r="K2122" s="7" t="s">
        <v>16817</v>
      </c>
      <c r="L2122" s="198" t="s">
        <v>65</v>
      </c>
      <c r="M2122" s="194"/>
      <c r="N2122" s="194"/>
    </row>
    <row r="2123">
      <c r="A2123" s="193" t="s">
        <v>19520</v>
      </c>
      <c r="B2123" s="7" t="s">
        <v>16817</v>
      </c>
      <c r="C2123" s="7" t="s">
        <v>16582</v>
      </c>
      <c r="D2123" s="194">
        <v>2021.0</v>
      </c>
      <c r="E2123" s="193"/>
      <c r="F2123" s="195" t="s">
        <v>19521</v>
      </c>
      <c r="G2123" s="200">
        <v>4.337659332E9</v>
      </c>
      <c r="H2123" s="197">
        <v>21.56</v>
      </c>
      <c r="I2123" s="7" t="s">
        <v>16815</v>
      </c>
      <c r="J2123" s="7" t="s">
        <v>16817</v>
      </c>
      <c r="K2123" s="7" t="s">
        <v>16582</v>
      </c>
      <c r="L2123" s="201" t="s">
        <v>16835</v>
      </c>
      <c r="M2123" s="194"/>
      <c r="N2123" s="194"/>
    </row>
    <row r="2124">
      <c r="A2124" s="193" t="s">
        <v>19522</v>
      </c>
      <c r="B2124" s="7" t="s">
        <v>16582</v>
      </c>
      <c r="C2124" s="7" t="s">
        <v>16817</v>
      </c>
      <c r="D2124" s="194">
        <v>2018.0</v>
      </c>
      <c r="E2124" s="193"/>
      <c r="F2124" s="195" t="s">
        <v>19523</v>
      </c>
      <c r="G2124" s="196">
        <v>4.326055551E9</v>
      </c>
      <c r="H2124" s="197">
        <v>37.41</v>
      </c>
      <c r="I2124" s="7" t="s">
        <v>16815</v>
      </c>
      <c r="J2124" s="7" t="s">
        <v>16582</v>
      </c>
      <c r="K2124" s="7" t="s">
        <v>16817</v>
      </c>
      <c r="L2124" s="198" t="s">
        <v>65</v>
      </c>
      <c r="M2124" s="194"/>
      <c r="N2124" s="194"/>
    </row>
    <row r="2125">
      <c r="A2125" s="193" t="s">
        <v>19524</v>
      </c>
      <c r="B2125" s="7" t="s">
        <v>175</v>
      </c>
      <c r="C2125" s="7" t="s">
        <v>17218</v>
      </c>
      <c r="D2125" s="199"/>
      <c r="E2125" s="193"/>
      <c r="F2125" s="195" t="s">
        <v>19525</v>
      </c>
      <c r="G2125" s="196">
        <v>4.323651875E9</v>
      </c>
      <c r="H2125" s="197">
        <v>10.32</v>
      </c>
      <c r="I2125" s="7" t="s">
        <v>17785</v>
      </c>
      <c r="J2125" s="7" t="s">
        <v>175</v>
      </c>
      <c r="K2125" s="7" t="s">
        <v>17218</v>
      </c>
      <c r="L2125" s="198" t="s">
        <v>65</v>
      </c>
      <c r="M2125" s="199"/>
      <c r="N2125" s="199"/>
    </row>
    <row r="2126">
      <c r="A2126" s="193" t="s">
        <v>19526</v>
      </c>
      <c r="B2126" s="7" t="s">
        <v>16582</v>
      </c>
      <c r="C2126" s="7" t="s">
        <v>17435</v>
      </c>
      <c r="D2126" s="194">
        <v>2020.0</v>
      </c>
      <c r="E2126" s="193"/>
      <c r="F2126" s="195" t="s">
        <v>19527</v>
      </c>
      <c r="G2126" s="196">
        <v>4.32106087E9</v>
      </c>
      <c r="H2126" s="197">
        <v>19.67</v>
      </c>
      <c r="I2126" s="7" t="s">
        <v>16815</v>
      </c>
      <c r="J2126" s="7" t="s">
        <v>16582</v>
      </c>
      <c r="K2126" s="7" t="s">
        <v>17435</v>
      </c>
      <c r="L2126" s="198" t="s">
        <v>65</v>
      </c>
      <c r="M2126" s="194"/>
      <c r="N2126" s="194"/>
    </row>
    <row r="2127">
      <c r="A2127" s="193" t="s">
        <v>19526</v>
      </c>
      <c r="B2127" s="7" t="s">
        <v>17435</v>
      </c>
      <c r="C2127" s="7" t="s">
        <v>16582</v>
      </c>
      <c r="D2127" s="194">
        <v>2020.0</v>
      </c>
      <c r="E2127" s="193"/>
      <c r="F2127" s="195" t="s">
        <v>19527</v>
      </c>
      <c r="G2127" s="200">
        <v>4.32106087E9</v>
      </c>
      <c r="H2127" s="197">
        <v>19.67</v>
      </c>
      <c r="I2127" s="7" t="s">
        <v>16815</v>
      </c>
      <c r="J2127" s="7" t="s">
        <v>17435</v>
      </c>
      <c r="K2127" s="7" t="s">
        <v>16582</v>
      </c>
      <c r="L2127" s="201" t="s">
        <v>16835</v>
      </c>
      <c r="M2127" s="194"/>
      <c r="N2127" s="194"/>
    </row>
    <row r="2128">
      <c r="A2128" s="193" t="s">
        <v>19528</v>
      </c>
      <c r="B2128" s="7" t="s">
        <v>16919</v>
      </c>
      <c r="C2128" s="7" t="s">
        <v>16920</v>
      </c>
      <c r="D2128" s="199"/>
      <c r="E2128" s="193"/>
      <c r="F2128" s="195" t="s">
        <v>19529</v>
      </c>
      <c r="G2128" s="196">
        <v>4.31945232E9</v>
      </c>
      <c r="H2128" s="197">
        <v>20.62</v>
      </c>
      <c r="I2128" s="7" t="s">
        <v>16815</v>
      </c>
      <c r="J2128" s="7" t="s">
        <v>16919</v>
      </c>
      <c r="K2128" s="7" t="s">
        <v>16920</v>
      </c>
      <c r="L2128" s="198" t="s">
        <v>65</v>
      </c>
      <c r="M2128" s="199"/>
      <c r="N2128" s="199"/>
    </row>
    <row r="2129">
      <c r="A2129" s="193" t="s">
        <v>19528</v>
      </c>
      <c r="B2129" s="7" t="s">
        <v>16920</v>
      </c>
      <c r="C2129" s="7" t="s">
        <v>16919</v>
      </c>
      <c r="D2129" s="199"/>
      <c r="E2129" s="193"/>
      <c r="F2129" s="195" t="s">
        <v>19529</v>
      </c>
      <c r="G2129" s="200">
        <v>4.31945232E9</v>
      </c>
      <c r="H2129" s="197">
        <v>20.62</v>
      </c>
      <c r="I2129" s="7" t="s">
        <v>16815</v>
      </c>
      <c r="J2129" s="7" t="s">
        <v>16920</v>
      </c>
      <c r="K2129" s="7" t="s">
        <v>16919</v>
      </c>
      <c r="L2129" s="201" t="s">
        <v>16835</v>
      </c>
      <c r="M2129" s="199"/>
      <c r="N2129" s="199"/>
    </row>
    <row r="2130">
      <c r="A2130" s="193" t="s">
        <v>19530</v>
      </c>
      <c r="B2130" s="7" t="s">
        <v>16919</v>
      </c>
      <c r="C2130" s="7" t="s">
        <v>17176</v>
      </c>
      <c r="D2130" s="199"/>
      <c r="E2130" s="193"/>
      <c r="F2130" s="195" t="s">
        <v>19531</v>
      </c>
      <c r="G2130" s="196">
        <v>4.318280171E9</v>
      </c>
      <c r="H2130" s="197">
        <v>20.42</v>
      </c>
      <c r="I2130" s="7" t="s">
        <v>16815</v>
      </c>
      <c r="J2130" s="7" t="s">
        <v>16919</v>
      </c>
      <c r="K2130" s="7" t="s">
        <v>17176</v>
      </c>
      <c r="L2130" s="198" t="s">
        <v>65</v>
      </c>
      <c r="M2130" s="199"/>
      <c r="N2130" s="199"/>
    </row>
    <row r="2131">
      <c r="A2131" s="193" t="s">
        <v>19530</v>
      </c>
      <c r="B2131" s="7" t="s">
        <v>17176</v>
      </c>
      <c r="C2131" s="7" t="s">
        <v>16919</v>
      </c>
      <c r="D2131" s="199"/>
      <c r="E2131" s="193"/>
      <c r="F2131" s="195" t="s">
        <v>19531</v>
      </c>
      <c r="G2131" s="200">
        <v>4.318280171E9</v>
      </c>
      <c r="H2131" s="197">
        <v>20.42</v>
      </c>
      <c r="I2131" s="7" t="s">
        <v>16815</v>
      </c>
      <c r="J2131" s="7" t="s">
        <v>17176</v>
      </c>
      <c r="K2131" s="7" t="s">
        <v>16919</v>
      </c>
      <c r="L2131" s="201" t="s">
        <v>16835</v>
      </c>
      <c r="M2131" s="199"/>
      <c r="N2131" s="199"/>
    </row>
    <row r="2132">
      <c r="A2132" s="193" t="s">
        <v>19532</v>
      </c>
      <c r="B2132" s="7" t="s">
        <v>16582</v>
      </c>
      <c r="C2132" s="7" t="s">
        <v>16899</v>
      </c>
      <c r="D2132" s="194">
        <v>2000.0</v>
      </c>
      <c r="E2132" s="193"/>
      <c r="F2132" s="195" t="s">
        <v>19533</v>
      </c>
      <c r="G2132" s="196">
        <v>4.300068841E9</v>
      </c>
      <c r="H2132" s="197">
        <v>131.31</v>
      </c>
      <c r="I2132" s="7" t="s">
        <v>16815</v>
      </c>
      <c r="J2132" s="7" t="s">
        <v>16582</v>
      </c>
      <c r="K2132" s="7" t="s">
        <v>16899</v>
      </c>
      <c r="L2132" s="198" t="s">
        <v>65</v>
      </c>
      <c r="M2132" s="194"/>
      <c r="N2132" s="194"/>
    </row>
    <row r="2133">
      <c r="A2133" s="193" t="s">
        <v>16346</v>
      </c>
      <c r="B2133" s="7" t="s">
        <v>175</v>
      </c>
      <c r="C2133" s="7" t="s">
        <v>17480</v>
      </c>
      <c r="D2133" s="194">
        <v>2012.0</v>
      </c>
      <c r="E2133" s="193"/>
      <c r="F2133" s="195" t="s">
        <v>19534</v>
      </c>
      <c r="G2133" s="196">
        <v>4.296812836E9</v>
      </c>
      <c r="H2133" s="197">
        <v>233.52</v>
      </c>
      <c r="I2133" s="7" t="s">
        <v>17222</v>
      </c>
      <c r="J2133" s="7" t="s">
        <v>175</v>
      </c>
      <c r="K2133" s="7" t="s">
        <v>17480</v>
      </c>
      <c r="L2133" s="198" t="s">
        <v>65</v>
      </c>
      <c r="M2133" s="194"/>
      <c r="N2133" s="194"/>
    </row>
    <row r="2134">
      <c r="A2134" s="193" t="s">
        <v>16346</v>
      </c>
      <c r="B2134" s="7" t="s">
        <v>17480</v>
      </c>
      <c r="C2134" s="7" t="s">
        <v>175</v>
      </c>
      <c r="D2134" s="194">
        <v>2012.0</v>
      </c>
      <c r="E2134" s="193"/>
      <c r="F2134" s="195" t="s">
        <v>19534</v>
      </c>
      <c r="G2134" s="200">
        <v>4.296812836E9</v>
      </c>
      <c r="H2134" s="197">
        <v>233.52</v>
      </c>
      <c r="I2134" s="7" t="s">
        <v>16815</v>
      </c>
      <c r="J2134" s="7" t="s">
        <v>17480</v>
      </c>
      <c r="K2134" s="7" t="s">
        <v>175</v>
      </c>
      <c r="L2134" s="201" t="s">
        <v>16835</v>
      </c>
      <c r="M2134" s="194"/>
      <c r="N2134" s="194"/>
    </row>
    <row r="2135">
      <c r="A2135" s="193" t="s">
        <v>19535</v>
      </c>
      <c r="B2135" s="7" t="s">
        <v>16838</v>
      </c>
      <c r="C2135" s="7" t="s">
        <v>17202</v>
      </c>
      <c r="D2135" s="199"/>
      <c r="E2135" s="193"/>
      <c r="F2135" s="195" t="s">
        <v>19536</v>
      </c>
      <c r="G2135" s="196">
        <v>4.29661736E9</v>
      </c>
      <c r="H2135" s="197">
        <v>24.7501</v>
      </c>
      <c r="I2135" s="7" t="s">
        <v>16815</v>
      </c>
      <c r="J2135" s="7" t="s">
        <v>16838</v>
      </c>
      <c r="K2135" s="7" t="s">
        <v>17202</v>
      </c>
      <c r="L2135" s="198" t="s">
        <v>65</v>
      </c>
      <c r="M2135" s="199"/>
      <c r="N2135" s="199"/>
    </row>
    <row r="2136">
      <c r="A2136" s="193" t="s">
        <v>19537</v>
      </c>
      <c r="B2136" s="7" t="s">
        <v>16838</v>
      </c>
      <c r="C2136" s="7" t="s">
        <v>16867</v>
      </c>
      <c r="D2136" s="199"/>
      <c r="E2136" s="193"/>
      <c r="F2136" s="195" t="s">
        <v>19538</v>
      </c>
      <c r="G2136" s="196">
        <v>4.289793586E9</v>
      </c>
      <c r="H2136" s="197">
        <v>20.72</v>
      </c>
      <c r="I2136" s="7" t="s">
        <v>16815</v>
      </c>
      <c r="J2136" s="7" t="s">
        <v>16838</v>
      </c>
      <c r="K2136" s="7" t="s">
        <v>16867</v>
      </c>
      <c r="L2136" s="198" t="s">
        <v>65</v>
      </c>
      <c r="M2136" s="199"/>
      <c r="N2136" s="199"/>
    </row>
    <row r="2137">
      <c r="A2137" s="193" t="s">
        <v>19539</v>
      </c>
      <c r="B2137" s="7" t="s">
        <v>175</v>
      </c>
      <c r="C2137" s="7" t="s">
        <v>16854</v>
      </c>
      <c r="D2137" s="199"/>
      <c r="E2137" s="193"/>
      <c r="F2137" s="195" t="s">
        <v>19540</v>
      </c>
      <c r="G2137" s="196">
        <v>4.281218344E9</v>
      </c>
      <c r="H2137" s="197">
        <v>11.75</v>
      </c>
      <c r="I2137" s="7" t="s">
        <v>16856</v>
      </c>
      <c r="J2137" s="7" t="s">
        <v>175</v>
      </c>
      <c r="K2137" s="7" t="s">
        <v>16854</v>
      </c>
      <c r="L2137" s="198" t="s">
        <v>65</v>
      </c>
      <c r="M2137" s="199"/>
      <c r="N2137" s="199"/>
    </row>
    <row r="2138">
      <c r="A2138" s="193" t="s">
        <v>19539</v>
      </c>
      <c r="B2138" s="7" t="s">
        <v>16854</v>
      </c>
      <c r="C2138" s="7" t="s">
        <v>175</v>
      </c>
      <c r="D2138" s="199"/>
      <c r="E2138" s="193"/>
      <c r="F2138" s="195" t="s">
        <v>19540</v>
      </c>
      <c r="G2138" s="200">
        <v>4.281218344E9</v>
      </c>
      <c r="H2138" s="197">
        <v>11.75</v>
      </c>
      <c r="I2138" s="7" t="s">
        <v>16815</v>
      </c>
      <c r="J2138" s="7" t="s">
        <v>16854</v>
      </c>
      <c r="K2138" s="7" t="s">
        <v>175</v>
      </c>
      <c r="L2138" s="201" t="s">
        <v>16835</v>
      </c>
      <c r="M2138" s="199"/>
      <c r="N2138" s="199"/>
    </row>
    <row r="2139">
      <c r="A2139" s="193" t="s">
        <v>19541</v>
      </c>
      <c r="B2139" s="7" t="s">
        <v>16945</v>
      </c>
      <c r="C2139" s="7" t="s">
        <v>169</v>
      </c>
      <c r="D2139" s="194">
        <v>2005.0</v>
      </c>
      <c r="E2139" s="193"/>
      <c r="F2139" s="195" t="s">
        <v>19542</v>
      </c>
      <c r="G2139" s="200">
        <v>4.278755744E9</v>
      </c>
      <c r="H2139" s="197">
        <v>24.55</v>
      </c>
      <c r="I2139" s="7" t="s">
        <v>16815</v>
      </c>
      <c r="J2139" s="7" t="s">
        <v>16945</v>
      </c>
      <c r="K2139" s="7" t="s">
        <v>169</v>
      </c>
      <c r="L2139" s="201" t="s">
        <v>16835</v>
      </c>
      <c r="M2139" s="194"/>
      <c r="N2139" s="194"/>
    </row>
    <row r="2140">
      <c r="A2140" s="193" t="s">
        <v>19541</v>
      </c>
      <c r="B2140" s="7" t="s">
        <v>169</v>
      </c>
      <c r="C2140" s="7" t="s">
        <v>16945</v>
      </c>
      <c r="D2140" s="194">
        <v>2005.0</v>
      </c>
      <c r="E2140" s="193"/>
      <c r="F2140" s="195" t="s">
        <v>19542</v>
      </c>
      <c r="G2140" s="196">
        <v>4.278755744E9</v>
      </c>
      <c r="H2140" s="197">
        <v>24.55</v>
      </c>
      <c r="I2140" s="7" t="s">
        <v>16815</v>
      </c>
      <c r="J2140" s="7" t="s">
        <v>169</v>
      </c>
      <c r="K2140" s="7" t="s">
        <v>16945</v>
      </c>
      <c r="L2140" s="198" t="s">
        <v>65</v>
      </c>
      <c r="M2140" s="194"/>
      <c r="N2140" s="194"/>
    </row>
    <row r="2141">
      <c r="A2141" s="193" t="s">
        <v>19543</v>
      </c>
      <c r="B2141" s="7" t="s">
        <v>18732</v>
      </c>
      <c r="C2141" s="7" t="s">
        <v>169</v>
      </c>
      <c r="D2141" s="194">
        <v>2020.0</v>
      </c>
      <c r="E2141" s="193"/>
      <c r="F2141" s="195" t="s">
        <v>19544</v>
      </c>
      <c r="G2141" s="200">
        <v>4.276173164E9</v>
      </c>
      <c r="H2141" s="197">
        <v>28.63</v>
      </c>
      <c r="I2141" s="7" t="s">
        <v>16815</v>
      </c>
      <c r="J2141" s="7" t="s">
        <v>18732</v>
      </c>
      <c r="K2141" s="7" t="s">
        <v>169</v>
      </c>
      <c r="L2141" s="201" t="s">
        <v>16835</v>
      </c>
      <c r="M2141" s="194"/>
      <c r="N2141" s="194"/>
    </row>
    <row r="2142">
      <c r="A2142" s="193" t="s">
        <v>19543</v>
      </c>
      <c r="B2142" s="7" t="s">
        <v>169</v>
      </c>
      <c r="C2142" s="7" t="s">
        <v>18732</v>
      </c>
      <c r="D2142" s="194">
        <v>2020.0</v>
      </c>
      <c r="E2142" s="193"/>
      <c r="F2142" s="195" t="s">
        <v>19544</v>
      </c>
      <c r="G2142" s="196">
        <v>4.276173164E9</v>
      </c>
      <c r="H2142" s="197">
        <v>28.63</v>
      </c>
      <c r="I2142" s="7" t="s">
        <v>16815</v>
      </c>
      <c r="J2142" s="7" t="s">
        <v>169</v>
      </c>
      <c r="K2142" s="7" t="s">
        <v>18732</v>
      </c>
      <c r="L2142" s="198" t="s">
        <v>65</v>
      </c>
      <c r="M2142" s="194"/>
      <c r="N2142" s="194"/>
    </row>
    <row r="2143">
      <c r="A2143" s="193" t="s">
        <v>19545</v>
      </c>
      <c r="B2143" s="7" t="s">
        <v>158</v>
      </c>
      <c r="C2143" s="7" t="s">
        <v>16864</v>
      </c>
      <c r="D2143" s="199"/>
      <c r="E2143" s="193"/>
      <c r="F2143" s="195" t="s">
        <v>19546</v>
      </c>
      <c r="G2143" s="196">
        <v>4.275698486E9</v>
      </c>
      <c r="H2143" s="197">
        <v>36.76</v>
      </c>
      <c r="I2143" s="7" t="s">
        <v>180</v>
      </c>
      <c r="J2143" s="7" t="s">
        <v>158</v>
      </c>
      <c r="K2143" s="7" t="s">
        <v>16864</v>
      </c>
      <c r="L2143" s="198" t="s">
        <v>65</v>
      </c>
      <c r="M2143" s="199"/>
      <c r="N2143" s="199"/>
    </row>
    <row r="2144">
      <c r="A2144" s="193" t="s">
        <v>19545</v>
      </c>
      <c r="B2144" s="7" t="s">
        <v>16864</v>
      </c>
      <c r="C2144" s="7" t="s">
        <v>158</v>
      </c>
      <c r="D2144" s="199"/>
      <c r="E2144" s="193"/>
      <c r="F2144" s="195" t="s">
        <v>19546</v>
      </c>
      <c r="G2144" s="200">
        <v>4.275698486E9</v>
      </c>
      <c r="H2144" s="197">
        <v>36.76</v>
      </c>
      <c r="I2144" s="7" t="s">
        <v>16815</v>
      </c>
      <c r="J2144" s="7" t="s">
        <v>16864</v>
      </c>
      <c r="K2144" s="7" t="s">
        <v>158</v>
      </c>
      <c r="L2144" s="201" t="s">
        <v>16835</v>
      </c>
      <c r="M2144" s="199"/>
      <c r="N2144" s="199"/>
    </row>
    <row r="2145">
      <c r="A2145" s="193" t="s">
        <v>19547</v>
      </c>
      <c r="B2145" s="7" t="s">
        <v>16838</v>
      </c>
      <c r="C2145" s="7" t="s">
        <v>16837</v>
      </c>
      <c r="D2145" s="194">
        <v>1992.0</v>
      </c>
      <c r="E2145" s="193"/>
      <c r="F2145" s="195" t="s">
        <v>19548</v>
      </c>
      <c r="G2145" s="196">
        <v>4.273717855E9</v>
      </c>
      <c r="H2145" s="197">
        <v>20.49</v>
      </c>
      <c r="I2145" s="7" t="s">
        <v>16815</v>
      </c>
      <c r="J2145" s="7" t="s">
        <v>16838</v>
      </c>
      <c r="K2145" s="7" t="s">
        <v>16837</v>
      </c>
      <c r="L2145" s="198" t="s">
        <v>65</v>
      </c>
      <c r="M2145" s="194"/>
      <c r="N2145" s="194"/>
    </row>
    <row r="2146">
      <c r="A2146" s="193" t="s">
        <v>19549</v>
      </c>
      <c r="B2146" s="7" t="s">
        <v>187</v>
      </c>
      <c r="C2146" s="7" t="s">
        <v>16858</v>
      </c>
      <c r="D2146" s="194">
        <v>2019.0</v>
      </c>
      <c r="E2146" s="193"/>
      <c r="F2146" s="195" t="s">
        <v>19550</v>
      </c>
      <c r="G2146" s="196">
        <v>4.263816494E9</v>
      </c>
      <c r="H2146" s="197">
        <v>32.63</v>
      </c>
      <c r="I2146" s="7" t="s">
        <v>16815</v>
      </c>
      <c r="J2146" s="7" t="s">
        <v>187</v>
      </c>
      <c r="K2146" s="7" t="s">
        <v>16858</v>
      </c>
      <c r="L2146" s="198" t="s">
        <v>65</v>
      </c>
      <c r="M2146" s="194"/>
      <c r="N2146" s="194"/>
    </row>
    <row r="2147">
      <c r="A2147" s="193" t="s">
        <v>19551</v>
      </c>
      <c r="B2147" s="7" t="s">
        <v>16582</v>
      </c>
      <c r="C2147" s="7" t="s">
        <v>16828</v>
      </c>
      <c r="D2147" s="194">
        <v>2006.0</v>
      </c>
      <c r="E2147" s="193"/>
      <c r="F2147" s="195" t="s">
        <v>19552</v>
      </c>
      <c r="G2147" s="196">
        <v>4.260089599E9</v>
      </c>
      <c r="H2147" s="197">
        <v>90.79</v>
      </c>
      <c r="I2147" s="7" t="s">
        <v>16815</v>
      </c>
      <c r="J2147" s="7" t="s">
        <v>16582</v>
      </c>
      <c r="K2147" s="7" t="s">
        <v>16828</v>
      </c>
      <c r="L2147" s="198" t="s">
        <v>65</v>
      </c>
      <c r="M2147" s="194"/>
      <c r="N2147" s="194"/>
    </row>
    <row r="2148">
      <c r="A2148" s="193" t="s">
        <v>19553</v>
      </c>
      <c r="B2148" s="7" t="s">
        <v>16838</v>
      </c>
      <c r="C2148" s="7" t="s">
        <v>17347</v>
      </c>
      <c r="D2148" s="194">
        <v>2003.0</v>
      </c>
      <c r="E2148" s="193"/>
      <c r="F2148" s="195" t="s">
        <v>19554</v>
      </c>
      <c r="G2148" s="196">
        <v>4.247584398E9</v>
      </c>
      <c r="H2148" s="197">
        <v>53.75</v>
      </c>
      <c r="I2148" s="7" t="s">
        <v>186</v>
      </c>
      <c r="J2148" s="7" t="s">
        <v>16838</v>
      </c>
      <c r="K2148" s="7" t="s">
        <v>17347</v>
      </c>
      <c r="L2148" s="198" t="s">
        <v>65</v>
      </c>
      <c r="M2148" s="194"/>
      <c r="N2148" s="194"/>
    </row>
    <row r="2149">
      <c r="A2149" s="193" t="s">
        <v>19553</v>
      </c>
      <c r="B2149" s="7" t="s">
        <v>17347</v>
      </c>
      <c r="C2149" s="7" t="s">
        <v>16838</v>
      </c>
      <c r="D2149" s="194">
        <v>2003.0</v>
      </c>
      <c r="E2149" s="193"/>
      <c r="F2149" s="195" t="s">
        <v>19554</v>
      </c>
      <c r="G2149" s="200">
        <v>4.247584398E9</v>
      </c>
      <c r="H2149" s="197">
        <v>53.75</v>
      </c>
      <c r="I2149" s="7" t="s">
        <v>16815</v>
      </c>
      <c r="J2149" s="7" t="s">
        <v>17347</v>
      </c>
      <c r="K2149" s="7" t="s">
        <v>16838</v>
      </c>
      <c r="L2149" s="201" t="s">
        <v>16835</v>
      </c>
      <c r="M2149" s="194"/>
      <c r="N2149" s="194"/>
    </row>
    <row r="2150">
      <c r="A2150" s="193" t="s">
        <v>19555</v>
      </c>
      <c r="B2150" s="7" t="s">
        <v>16919</v>
      </c>
      <c r="C2150" s="7" t="s">
        <v>17048</v>
      </c>
      <c r="D2150" s="194">
        <v>2016.0</v>
      </c>
      <c r="E2150" s="193"/>
      <c r="F2150" s="195" t="s">
        <v>19556</v>
      </c>
      <c r="G2150" s="196">
        <v>4.238473221E9</v>
      </c>
      <c r="H2150" s="197">
        <v>21.17</v>
      </c>
      <c r="I2150" s="7" t="s">
        <v>16815</v>
      </c>
      <c r="J2150" s="7" t="s">
        <v>16919</v>
      </c>
      <c r="K2150" s="7" t="s">
        <v>17048</v>
      </c>
      <c r="L2150" s="198" t="s">
        <v>65</v>
      </c>
      <c r="M2150" s="194"/>
      <c r="N2150" s="194"/>
    </row>
    <row r="2151">
      <c r="A2151" s="193" t="s">
        <v>19555</v>
      </c>
      <c r="B2151" s="7" t="s">
        <v>17048</v>
      </c>
      <c r="C2151" s="7" t="s">
        <v>16919</v>
      </c>
      <c r="D2151" s="194">
        <v>2016.0</v>
      </c>
      <c r="E2151" s="193"/>
      <c r="F2151" s="195" t="s">
        <v>19556</v>
      </c>
      <c r="G2151" s="200">
        <v>4.238473221E9</v>
      </c>
      <c r="H2151" s="197">
        <v>21.17</v>
      </c>
      <c r="I2151" s="7" t="s">
        <v>16815</v>
      </c>
      <c r="J2151" s="7" t="s">
        <v>17048</v>
      </c>
      <c r="K2151" s="7" t="s">
        <v>16919</v>
      </c>
      <c r="L2151" s="201" t="s">
        <v>16835</v>
      </c>
      <c r="M2151" s="194"/>
      <c r="N2151" s="194"/>
    </row>
    <row r="2152">
      <c r="A2152" s="193" t="s">
        <v>19557</v>
      </c>
      <c r="B2152" s="7" t="s">
        <v>16582</v>
      </c>
      <c r="C2152" s="7" t="s">
        <v>16930</v>
      </c>
      <c r="D2152" s="199"/>
      <c r="E2152" s="193"/>
      <c r="F2152" s="195" t="s">
        <v>19558</v>
      </c>
      <c r="G2152" s="196">
        <v>4.233048222E9</v>
      </c>
      <c r="H2152" s="197">
        <v>21.86</v>
      </c>
      <c r="I2152" s="7" t="s">
        <v>16815</v>
      </c>
      <c r="J2152" s="7" t="s">
        <v>16582</v>
      </c>
      <c r="K2152" s="7" t="s">
        <v>16930</v>
      </c>
      <c r="L2152" s="198" t="s">
        <v>65</v>
      </c>
      <c r="M2152" s="199"/>
      <c r="N2152" s="199"/>
    </row>
    <row r="2153">
      <c r="A2153" s="193" t="s">
        <v>19557</v>
      </c>
      <c r="B2153" s="7" t="s">
        <v>16930</v>
      </c>
      <c r="C2153" s="7" t="s">
        <v>16582</v>
      </c>
      <c r="D2153" s="199"/>
      <c r="E2153" s="193"/>
      <c r="F2153" s="195" t="s">
        <v>19558</v>
      </c>
      <c r="G2153" s="200">
        <v>4.233048222E9</v>
      </c>
      <c r="H2153" s="197">
        <v>21.86</v>
      </c>
      <c r="I2153" s="7" t="s">
        <v>16815</v>
      </c>
      <c r="J2153" s="7" t="s">
        <v>16930</v>
      </c>
      <c r="K2153" s="7" t="s">
        <v>16582</v>
      </c>
      <c r="L2153" s="201" t="s">
        <v>16835</v>
      </c>
      <c r="M2153" s="199"/>
      <c r="N2153" s="199"/>
    </row>
    <row r="2154">
      <c r="A2154" s="193" t="s">
        <v>19559</v>
      </c>
      <c r="B2154" s="7" t="s">
        <v>17111</v>
      </c>
      <c r="C2154" s="7" t="s">
        <v>17112</v>
      </c>
      <c r="D2154" s="199"/>
      <c r="E2154" s="193"/>
      <c r="F2154" s="195" t="s">
        <v>19560</v>
      </c>
      <c r="G2154" s="200">
        <v>4.229309487E9</v>
      </c>
      <c r="H2154" s="197">
        <v>28.52</v>
      </c>
      <c r="I2154" s="7" t="s">
        <v>16815</v>
      </c>
      <c r="J2154" s="7" t="s">
        <v>17111</v>
      </c>
      <c r="K2154" s="7" t="s">
        <v>17112</v>
      </c>
      <c r="L2154" s="201" t="s">
        <v>16835</v>
      </c>
      <c r="M2154" s="199"/>
      <c r="N2154" s="199"/>
    </row>
    <row r="2155">
      <c r="A2155" s="193" t="s">
        <v>19559</v>
      </c>
      <c r="B2155" s="7" t="s">
        <v>17112</v>
      </c>
      <c r="C2155" s="7" t="s">
        <v>17111</v>
      </c>
      <c r="D2155" s="199"/>
      <c r="E2155" s="193"/>
      <c r="F2155" s="195" t="s">
        <v>19560</v>
      </c>
      <c r="G2155" s="196">
        <v>4.229309487E9</v>
      </c>
      <c r="H2155" s="197">
        <v>28.52</v>
      </c>
      <c r="I2155" s="7" t="s">
        <v>16815</v>
      </c>
      <c r="J2155" s="7" t="s">
        <v>17112</v>
      </c>
      <c r="K2155" s="7" t="s">
        <v>17111</v>
      </c>
      <c r="L2155" s="198" t="s">
        <v>65</v>
      </c>
      <c r="M2155" s="199"/>
      <c r="N2155" s="199"/>
    </row>
    <row r="2156">
      <c r="A2156" s="193" t="s">
        <v>19561</v>
      </c>
      <c r="B2156" s="7" t="s">
        <v>187</v>
      </c>
      <c r="C2156" s="7" t="s">
        <v>16858</v>
      </c>
      <c r="D2156" s="194">
        <v>2016.0</v>
      </c>
      <c r="E2156" s="193"/>
      <c r="F2156" s="195" t="s">
        <v>19562</v>
      </c>
      <c r="G2156" s="196">
        <v>4.222628829E9</v>
      </c>
      <c r="H2156" s="197">
        <v>53.16</v>
      </c>
      <c r="I2156" s="7" t="s">
        <v>16815</v>
      </c>
      <c r="J2156" s="7" t="s">
        <v>187</v>
      </c>
      <c r="K2156" s="7" t="s">
        <v>16858</v>
      </c>
      <c r="L2156" s="198" t="s">
        <v>65</v>
      </c>
      <c r="M2156" s="194"/>
      <c r="N2156" s="194"/>
    </row>
    <row r="2157">
      <c r="A2157" s="193" t="s">
        <v>19563</v>
      </c>
      <c r="B2157" s="7" t="s">
        <v>16582</v>
      </c>
      <c r="C2157" s="7" t="s">
        <v>17183</v>
      </c>
      <c r="D2157" s="199"/>
      <c r="E2157" s="193"/>
      <c r="F2157" s="195" t="s">
        <v>19564</v>
      </c>
      <c r="G2157" s="196">
        <v>4.217522769E9</v>
      </c>
      <c r="H2157" s="197">
        <v>46.61</v>
      </c>
      <c r="I2157" s="7" t="s">
        <v>16815</v>
      </c>
      <c r="J2157" s="7" t="s">
        <v>16582</v>
      </c>
      <c r="K2157" s="7" t="s">
        <v>17183</v>
      </c>
      <c r="L2157" s="198" t="s">
        <v>65</v>
      </c>
      <c r="M2157" s="199"/>
      <c r="N2157" s="199"/>
    </row>
    <row r="2158">
      <c r="A2158" s="193" t="s">
        <v>19565</v>
      </c>
      <c r="B2158" s="7" t="s">
        <v>17321</v>
      </c>
      <c r="C2158" s="7" t="s">
        <v>169</v>
      </c>
      <c r="D2158" s="199"/>
      <c r="E2158" s="193"/>
      <c r="F2158" s="195" t="s">
        <v>19566</v>
      </c>
      <c r="G2158" s="200">
        <v>4.214889272E9</v>
      </c>
      <c r="H2158" s="197">
        <v>201.76</v>
      </c>
      <c r="I2158" s="7" t="s">
        <v>16815</v>
      </c>
      <c r="J2158" s="7" t="s">
        <v>17321</v>
      </c>
      <c r="K2158" s="7" t="s">
        <v>169</v>
      </c>
      <c r="L2158" s="201" t="s">
        <v>16835</v>
      </c>
      <c r="M2158" s="199"/>
      <c r="N2158" s="199"/>
    </row>
    <row r="2159">
      <c r="A2159" s="193" t="s">
        <v>19565</v>
      </c>
      <c r="B2159" s="7" t="s">
        <v>169</v>
      </c>
      <c r="C2159" s="7" t="s">
        <v>17321</v>
      </c>
      <c r="D2159" s="199"/>
      <c r="E2159" s="193"/>
      <c r="F2159" s="195" t="s">
        <v>19566</v>
      </c>
      <c r="G2159" s="196">
        <v>4.214889272E9</v>
      </c>
      <c r="H2159" s="197">
        <v>201.76</v>
      </c>
      <c r="I2159" s="7" t="s">
        <v>16815</v>
      </c>
      <c r="J2159" s="7" t="s">
        <v>169</v>
      </c>
      <c r="K2159" s="7" t="s">
        <v>17321</v>
      </c>
      <c r="L2159" s="198" t="s">
        <v>65</v>
      </c>
      <c r="M2159" s="199"/>
      <c r="N2159" s="199"/>
    </row>
    <row r="2160">
      <c r="A2160" s="193" t="s">
        <v>19567</v>
      </c>
      <c r="B2160" s="7" t="s">
        <v>16885</v>
      </c>
      <c r="C2160" s="7" t="s">
        <v>18805</v>
      </c>
      <c r="D2160" s="199"/>
      <c r="E2160" s="193"/>
      <c r="F2160" s="195" t="s">
        <v>19568</v>
      </c>
      <c r="G2160" s="196">
        <v>4.205729479E9</v>
      </c>
      <c r="H2160" s="197">
        <v>58.32</v>
      </c>
      <c r="I2160" s="7" t="s">
        <v>19569</v>
      </c>
      <c r="J2160" s="7" t="s">
        <v>16885</v>
      </c>
      <c r="K2160" s="7" t="s">
        <v>18805</v>
      </c>
      <c r="L2160" s="198" t="s">
        <v>65</v>
      </c>
      <c r="M2160" s="199"/>
      <c r="N2160" s="199"/>
    </row>
    <row r="2161">
      <c r="A2161" s="193" t="s">
        <v>19567</v>
      </c>
      <c r="B2161" s="7" t="s">
        <v>18805</v>
      </c>
      <c r="C2161" s="7" t="s">
        <v>16885</v>
      </c>
      <c r="D2161" s="199"/>
      <c r="E2161" s="193"/>
      <c r="F2161" s="195" t="s">
        <v>19568</v>
      </c>
      <c r="G2161" s="200">
        <v>4.205729479E9</v>
      </c>
      <c r="H2161" s="197">
        <v>58.32</v>
      </c>
      <c r="I2161" s="7" t="s">
        <v>16815</v>
      </c>
      <c r="J2161" s="7" t="s">
        <v>18805</v>
      </c>
      <c r="K2161" s="7" t="s">
        <v>16885</v>
      </c>
      <c r="L2161" s="201" t="s">
        <v>16835</v>
      </c>
      <c r="M2161" s="199"/>
      <c r="N2161" s="199"/>
    </row>
    <row r="2162">
      <c r="A2162" s="193" t="s">
        <v>19570</v>
      </c>
      <c r="B2162" s="7" t="s">
        <v>169</v>
      </c>
      <c r="C2162" s="7" t="s">
        <v>17827</v>
      </c>
      <c r="D2162" s="194">
        <v>2019.0</v>
      </c>
      <c r="E2162" s="193"/>
      <c r="F2162" s="195" t="s">
        <v>19571</v>
      </c>
      <c r="G2162" s="196">
        <v>4.194041163E9</v>
      </c>
      <c r="H2162" s="197">
        <v>35.48</v>
      </c>
      <c r="I2162" s="7" t="s">
        <v>16815</v>
      </c>
      <c r="J2162" s="7" t="s">
        <v>169</v>
      </c>
      <c r="K2162" s="7" t="s">
        <v>17827</v>
      </c>
      <c r="L2162" s="198" t="s">
        <v>65</v>
      </c>
      <c r="M2162" s="194"/>
      <c r="N2162" s="194"/>
    </row>
    <row r="2163">
      <c r="A2163" s="193" t="s">
        <v>19572</v>
      </c>
      <c r="B2163" s="7" t="s">
        <v>16867</v>
      </c>
      <c r="C2163" s="7" t="s">
        <v>16838</v>
      </c>
      <c r="D2163" s="194">
        <v>2006.0</v>
      </c>
      <c r="E2163" s="193"/>
      <c r="F2163" s="195" t="s">
        <v>19573</v>
      </c>
      <c r="G2163" s="200">
        <v>4.190792082E9</v>
      </c>
      <c r="H2163" s="197">
        <v>20.77</v>
      </c>
      <c r="I2163" s="7" t="s">
        <v>16815</v>
      </c>
      <c r="J2163" s="7" t="s">
        <v>16867</v>
      </c>
      <c r="K2163" s="7" t="s">
        <v>16838</v>
      </c>
      <c r="L2163" s="201" t="s">
        <v>16835</v>
      </c>
      <c r="M2163" s="194"/>
      <c r="N2163" s="194"/>
    </row>
    <row r="2164">
      <c r="A2164" s="193" t="s">
        <v>19572</v>
      </c>
      <c r="B2164" s="7" t="s">
        <v>16838</v>
      </c>
      <c r="C2164" s="7" t="s">
        <v>16867</v>
      </c>
      <c r="D2164" s="194">
        <v>2006.0</v>
      </c>
      <c r="E2164" s="193"/>
      <c r="F2164" s="195" t="s">
        <v>19573</v>
      </c>
      <c r="G2164" s="196">
        <v>4.190792082E9</v>
      </c>
      <c r="H2164" s="197">
        <v>20.77</v>
      </c>
      <c r="I2164" s="7" t="s">
        <v>16815</v>
      </c>
      <c r="J2164" s="7" t="s">
        <v>16838</v>
      </c>
      <c r="K2164" s="7" t="s">
        <v>16867</v>
      </c>
      <c r="L2164" s="198" t="s">
        <v>65</v>
      </c>
      <c r="M2164" s="194"/>
      <c r="N2164" s="194"/>
    </row>
    <row r="2165">
      <c r="A2165" s="193" t="s">
        <v>19574</v>
      </c>
      <c r="B2165" s="7" t="s">
        <v>169</v>
      </c>
      <c r="C2165" s="7" t="s">
        <v>16899</v>
      </c>
      <c r="D2165" s="194">
        <v>1971.0</v>
      </c>
      <c r="E2165" s="193"/>
      <c r="F2165" s="195" t="s">
        <v>19575</v>
      </c>
      <c r="G2165" s="196">
        <v>4.176647108E9</v>
      </c>
      <c r="H2165" s="197">
        <v>142.32</v>
      </c>
      <c r="I2165" s="7" t="s">
        <v>16815</v>
      </c>
      <c r="J2165" s="7" t="s">
        <v>169</v>
      </c>
      <c r="K2165" s="7" t="s">
        <v>16899</v>
      </c>
      <c r="L2165" s="198" t="s">
        <v>65</v>
      </c>
      <c r="M2165" s="194"/>
      <c r="N2165" s="194"/>
    </row>
    <row r="2166">
      <c r="A2166" s="193" t="s">
        <v>19574</v>
      </c>
      <c r="B2166" s="7" t="s">
        <v>16899</v>
      </c>
      <c r="C2166" s="7" t="s">
        <v>169</v>
      </c>
      <c r="D2166" s="194">
        <v>1971.0</v>
      </c>
      <c r="E2166" s="193"/>
      <c r="F2166" s="195" t="s">
        <v>19575</v>
      </c>
      <c r="G2166" s="200">
        <v>4.176647108E9</v>
      </c>
      <c r="H2166" s="197">
        <v>142.32</v>
      </c>
      <c r="I2166" s="7" t="s">
        <v>16815</v>
      </c>
      <c r="J2166" s="7" t="s">
        <v>16899</v>
      </c>
      <c r="K2166" s="7" t="s">
        <v>169</v>
      </c>
      <c r="L2166" s="201" t="s">
        <v>16835</v>
      </c>
      <c r="M2166" s="194"/>
      <c r="N2166" s="194"/>
    </row>
    <row r="2167">
      <c r="A2167" s="193" t="s">
        <v>19576</v>
      </c>
      <c r="B2167" s="7" t="s">
        <v>175</v>
      </c>
      <c r="C2167" s="7" t="s">
        <v>16890</v>
      </c>
      <c r="D2167" s="194">
        <v>2013.0</v>
      </c>
      <c r="E2167" s="193"/>
      <c r="F2167" s="195" t="s">
        <v>19577</v>
      </c>
      <c r="G2167" s="196">
        <v>4.168808573E9</v>
      </c>
      <c r="H2167" s="197">
        <v>105.3</v>
      </c>
      <c r="I2167" s="7" t="s">
        <v>174</v>
      </c>
      <c r="J2167" s="7" t="s">
        <v>175</v>
      </c>
      <c r="K2167" s="7" t="s">
        <v>16890</v>
      </c>
      <c r="L2167" s="198" t="s">
        <v>65</v>
      </c>
      <c r="M2167" s="194"/>
      <c r="N2167" s="194"/>
    </row>
    <row r="2168">
      <c r="A2168" s="193" t="s">
        <v>19576</v>
      </c>
      <c r="B2168" s="7" t="s">
        <v>16890</v>
      </c>
      <c r="C2168" s="7" t="s">
        <v>175</v>
      </c>
      <c r="D2168" s="194">
        <v>2013.0</v>
      </c>
      <c r="E2168" s="193"/>
      <c r="F2168" s="195" t="s">
        <v>19577</v>
      </c>
      <c r="G2168" s="200">
        <v>4.168808573E9</v>
      </c>
      <c r="H2168" s="197">
        <v>105.3</v>
      </c>
      <c r="I2168" s="7" t="s">
        <v>16815</v>
      </c>
      <c r="J2168" s="7" t="s">
        <v>16890</v>
      </c>
      <c r="K2168" s="7" t="s">
        <v>175</v>
      </c>
      <c r="L2168" s="201" t="s">
        <v>16835</v>
      </c>
      <c r="M2168" s="194"/>
      <c r="N2168" s="194"/>
    </row>
    <row r="2169">
      <c r="A2169" s="193" t="s">
        <v>19578</v>
      </c>
      <c r="B2169" s="7" t="s">
        <v>19579</v>
      </c>
      <c r="C2169" s="7" t="s">
        <v>16838</v>
      </c>
      <c r="D2169" s="194">
        <v>2012.0</v>
      </c>
      <c r="E2169" s="193"/>
      <c r="F2169" s="195" t="s">
        <v>19580</v>
      </c>
      <c r="G2169" s="200">
        <v>4.1641317E9</v>
      </c>
      <c r="H2169" s="197">
        <v>17.13</v>
      </c>
      <c r="I2169" s="193" t="s">
        <v>16815</v>
      </c>
      <c r="J2169" s="7" t="s">
        <v>19579</v>
      </c>
      <c r="K2169" s="7" t="s">
        <v>16838</v>
      </c>
      <c r="L2169" s="201" t="s">
        <v>16835</v>
      </c>
      <c r="M2169" s="194"/>
      <c r="N2169" s="194"/>
    </row>
    <row r="2170">
      <c r="A2170" s="193" t="s">
        <v>19578</v>
      </c>
      <c r="B2170" s="7" t="s">
        <v>16838</v>
      </c>
      <c r="C2170" s="7" t="s">
        <v>19579</v>
      </c>
      <c r="D2170" s="194">
        <v>2012.0</v>
      </c>
      <c r="E2170" s="193"/>
      <c r="F2170" s="195" t="s">
        <v>19580</v>
      </c>
      <c r="G2170" s="196">
        <v>4.1641317E9</v>
      </c>
      <c r="H2170" s="197">
        <v>17.13</v>
      </c>
      <c r="I2170" s="7" t="s">
        <v>16815</v>
      </c>
      <c r="J2170" s="7" t="s">
        <v>16838</v>
      </c>
      <c r="K2170" s="7" t="s">
        <v>19579</v>
      </c>
      <c r="L2170" s="198" t="s">
        <v>65</v>
      </c>
      <c r="M2170" s="194"/>
      <c r="N2170" s="194"/>
    </row>
    <row r="2171">
      <c r="A2171" s="193" t="s">
        <v>19581</v>
      </c>
      <c r="B2171" s="7" t="s">
        <v>16919</v>
      </c>
      <c r="C2171" s="7" t="s">
        <v>17048</v>
      </c>
      <c r="D2171" s="194">
        <v>2016.0</v>
      </c>
      <c r="E2171" s="193"/>
      <c r="F2171" s="195" t="s">
        <v>19582</v>
      </c>
      <c r="G2171" s="196">
        <v>4.163826743E9</v>
      </c>
      <c r="H2171" s="197">
        <v>3.01</v>
      </c>
      <c r="I2171" s="7" t="s">
        <v>16815</v>
      </c>
      <c r="J2171" s="7" t="s">
        <v>16919</v>
      </c>
      <c r="K2171" s="7" t="s">
        <v>17048</v>
      </c>
      <c r="L2171" s="198" t="s">
        <v>65</v>
      </c>
      <c r="M2171" s="194"/>
      <c r="N2171" s="194"/>
    </row>
    <row r="2172">
      <c r="A2172" s="193" t="s">
        <v>19581</v>
      </c>
      <c r="B2172" s="7" t="s">
        <v>17048</v>
      </c>
      <c r="C2172" s="7" t="s">
        <v>16919</v>
      </c>
      <c r="D2172" s="194">
        <v>2016.0</v>
      </c>
      <c r="E2172" s="193"/>
      <c r="F2172" s="195" t="s">
        <v>19582</v>
      </c>
      <c r="G2172" s="200">
        <v>4.163826743E9</v>
      </c>
      <c r="H2172" s="197">
        <v>3.01</v>
      </c>
      <c r="I2172" s="7" t="s">
        <v>16815</v>
      </c>
      <c r="J2172" s="7" t="s">
        <v>17048</v>
      </c>
      <c r="K2172" s="7" t="s">
        <v>16919</v>
      </c>
      <c r="L2172" s="201" t="s">
        <v>16835</v>
      </c>
      <c r="M2172" s="194"/>
      <c r="N2172" s="194"/>
    </row>
    <row r="2173">
      <c r="A2173" s="193" t="s">
        <v>19583</v>
      </c>
      <c r="B2173" s="7" t="s">
        <v>16945</v>
      </c>
      <c r="C2173" s="7" t="s">
        <v>169</v>
      </c>
      <c r="D2173" s="199"/>
      <c r="E2173" s="193"/>
      <c r="F2173" s="195" t="s">
        <v>19584</v>
      </c>
      <c r="G2173" s="200">
        <v>4.16171161E9</v>
      </c>
      <c r="H2173" s="197">
        <v>74.4</v>
      </c>
      <c r="I2173" s="7" t="s">
        <v>16815</v>
      </c>
      <c r="J2173" s="7" t="s">
        <v>16945</v>
      </c>
      <c r="K2173" s="7" t="s">
        <v>169</v>
      </c>
      <c r="L2173" s="201" t="s">
        <v>16835</v>
      </c>
      <c r="M2173" s="199"/>
      <c r="N2173" s="199"/>
    </row>
    <row r="2174">
      <c r="A2174" s="193" t="s">
        <v>19583</v>
      </c>
      <c r="B2174" s="7" t="s">
        <v>169</v>
      </c>
      <c r="C2174" s="7" t="s">
        <v>16945</v>
      </c>
      <c r="D2174" s="199"/>
      <c r="E2174" s="193"/>
      <c r="F2174" s="195" t="s">
        <v>19584</v>
      </c>
      <c r="G2174" s="196">
        <v>4.16171161E9</v>
      </c>
      <c r="H2174" s="197">
        <v>74.4</v>
      </c>
      <c r="I2174" s="7" t="s">
        <v>16815</v>
      </c>
      <c r="J2174" s="7" t="s">
        <v>169</v>
      </c>
      <c r="K2174" s="7" t="s">
        <v>16945</v>
      </c>
      <c r="L2174" s="198" t="s">
        <v>65</v>
      </c>
      <c r="M2174" s="199"/>
      <c r="N2174" s="199"/>
    </row>
    <row r="2175">
      <c r="A2175" s="193" t="s">
        <v>19585</v>
      </c>
      <c r="B2175" s="7" t="s">
        <v>16910</v>
      </c>
      <c r="C2175" s="7" t="s">
        <v>17648</v>
      </c>
      <c r="D2175" s="194">
        <v>2013.0</v>
      </c>
      <c r="E2175" s="193"/>
      <c r="F2175" s="195" t="s">
        <v>19586</v>
      </c>
      <c r="G2175" s="196">
        <v>4.158914842E9</v>
      </c>
      <c r="H2175" s="197">
        <v>40.95</v>
      </c>
      <c r="I2175" s="7" t="s">
        <v>19587</v>
      </c>
      <c r="J2175" s="7" t="s">
        <v>16910</v>
      </c>
      <c r="K2175" s="7" t="s">
        <v>17648</v>
      </c>
      <c r="L2175" s="198" t="s">
        <v>65</v>
      </c>
      <c r="M2175" s="194"/>
      <c r="N2175" s="194"/>
    </row>
    <row r="2176">
      <c r="A2176" s="193" t="s">
        <v>19588</v>
      </c>
      <c r="B2176" s="7" t="s">
        <v>16582</v>
      </c>
      <c r="C2176" s="7" t="s">
        <v>16828</v>
      </c>
      <c r="D2176" s="194">
        <v>1997.0</v>
      </c>
      <c r="E2176" s="193"/>
      <c r="F2176" s="195" t="s">
        <v>19589</v>
      </c>
      <c r="G2176" s="196">
        <v>4.155720741E9</v>
      </c>
      <c r="H2176" s="197">
        <v>73.09</v>
      </c>
      <c r="I2176" s="7" t="s">
        <v>16815</v>
      </c>
      <c r="J2176" s="7" t="s">
        <v>16582</v>
      </c>
      <c r="K2176" s="7" t="s">
        <v>16828</v>
      </c>
      <c r="L2176" s="198" t="s">
        <v>65</v>
      </c>
      <c r="M2176" s="194"/>
      <c r="N2176" s="194"/>
    </row>
    <row r="2177">
      <c r="A2177" s="193" t="s">
        <v>19590</v>
      </c>
      <c r="B2177" s="7" t="s">
        <v>175</v>
      </c>
      <c r="C2177" s="7" t="s">
        <v>17394</v>
      </c>
      <c r="D2177" s="194">
        <v>2002.0</v>
      </c>
      <c r="E2177" s="193"/>
      <c r="F2177" s="195" t="s">
        <v>19591</v>
      </c>
      <c r="G2177" s="196">
        <v>4.148809743E9</v>
      </c>
      <c r="H2177" s="197">
        <v>201.62</v>
      </c>
      <c r="I2177" s="7" t="s">
        <v>16826</v>
      </c>
      <c r="J2177" s="7" t="s">
        <v>175</v>
      </c>
      <c r="K2177" s="7" t="s">
        <v>17394</v>
      </c>
      <c r="L2177" s="198" t="s">
        <v>65</v>
      </c>
      <c r="M2177" s="194"/>
      <c r="N2177" s="194"/>
    </row>
    <row r="2178">
      <c r="A2178" s="193" t="s">
        <v>19590</v>
      </c>
      <c r="B2178" s="7" t="s">
        <v>17394</v>
      </c>
      <c r="C2178" s="7" t="s">
        <v>175</v>
      </c>
      <c r="D2178" s="194">
        <v>2002.0</v>
      </c>
      <c r="E2178" s="193"/>
      <c r="F2178" s="195" t="s">
        <v>19591</v>
      </c>
      <c r="G2178" s="200">
        <v>4.148809743E9</v>
      </c>
      <c r="H2178" s="197">
        <v>201.62</v>
      </c>
      <c r="I2178" s="7" t="s">
        <v>16815</v>
      </c>
      <c r="J2178" s="7" t="s">
        <v>17394</v>
      </c>
      <c r="K2178" s="7" t="s">
        <v>175</v>
      </c>
      <c r="L2178" s="201" t="s">
        <v>16835</v>
      </c>
      <c r="M2178" s="194"/>
      <c r="N2178" s="194"/>
    </row>
    <row r="2179">
      <c r="A2179" s="193" t="s">
        <v>19592</v>
      </c>
      <c r="B2179" s="7" t="s">
        <v>175</v>
      </c>
      <c r="C2179" s="7" t="s">
        <v>17452</v>
      </c>
      <c r="D2179" s="194">
        <v>2011.0</v>
      </c>
      <c r="E2179" s="193"/>
      <c r="F2179" s="195" t="s">
        <v>19593</v>
      </c>
      <c r="G2179" s="196">
        <v>4.147978135E9</v>
      </c>
      <c r="H2179" s="197">
        <v>37.36</v>
      </c>
      <c r="I2179" s="7" t="s">
        <v>16826</v>
      </c>
      <c r="J2179" s="7" t="s">
        <v>175</v>
      </c>
      <c r="K2179" s="7" t="s">
        <v>17452</v>
      </c>
      <c r="L2179" s="198" t="s">
        <v>65</v>
      </c>
      <c r="M2179" s="194"/>
      <c r="N2179" s="194"/>
    </row>
    <row r="2180">
      <c r="A2180" s="193" t="s">
        <v>19592</v>
      </c>
      <c r="B2180" s="7" t="s">
        <v>17452</v>
      </c>
      <c r="C2180" s="7" t="s">
        <v>175</v>
      </c>
      <c r="D2180" s="194">
        <v>2011.0</v>
      </c>
      <c r="E2180" s="193"/>
      <c r="F2180" s="195" t="s">
        <v>19593</v>
      </c>
      <c r="G2180" s="200">
        <v>4.147978135E9</v>
      </c>
      <c r="H2180" s="197">
        <v>37.36</v>
      </c>
      <c r="I2180" s="7" t="s">
        <v>16815</v>
      </c>
      <c r="J2180" s="7" t="s">
        <v>17452</v>
      </c>
      <c r="K2180" s="7" t="s">
        <v>175</v>
      </c>
      <c r="L2180" s="201" t="s">
        <v>16835</v>
      </c>
      <c r="M2180" s="194"/>
      <c r="N2180" s="194"/>
    </row>
    <row r="2181">
      <c r="A2181" s="193" t="s">
        <v>19594</v>
      </c>
      <c r="B2181" s="7" t="s">
        <v>16582</v>
      </c>
      <c r="C2181" s="7" t="s">
        <v>16817</v>
      </c>
      <c r="D2181" s="194">
        <v>2020.0</v>
      </c>
      <c r="E2181" s="193"/>
      <c r="F2181" s="195" t="s">
        <v>19595</v>
      </c>
      <c r="G2181" s="196">
        <v>4.132146842E9</v>
      </c>
      <c r="H2181" s="197">
        <v>27.17</v>
      </c>
      <c r="I2181" s="7" t="s">
        <v>16815</v>
      </c>
      <c r="J2181" s="7" t="s">
        <v>16582</v>
      </c>
      <c r="K2181" s="7" t="s">
        <v>16817</v>
      </c>
      <c r="L2181" s="198" t="s">
        <v>65</v>
      </c>
      <c r="M2181" s="194"/>
      <c r="N2181" s="194"/>
    </row>
    <row r="2182">
      <c r="A2182" s="193" t="s">
        <v>19596</v>
      </c>
      <c r="B2182" s="7" t="s">
        <v>16919</v>
      </c>
      <c r="C2182" s="7" t="s">
        <v>16864</v>
      </c>
      <c r="D2182" s="199"/>
      <c r="E2182" s="193"/>
      <c r="F2182" s="195" t="s">
        <v>19597</v>
      </c>
      <c r="G2182" s="196">
        <v>4.130938884E9</v>
      </c>
      <c r="H2182" s="197">
        <v>57.76</v>
      </c>
      <c r="I2182" s="7" t="s">
        <v>16815</v>
      </c>
      <c r="J2182" s="7" t="s">
        <v>16919</v>
      </c>
      <c r="K2182" s="7" t="s">
        <v>16864</v>
      </c>
      <c r="L2182" s="198" t="s">
        <v>65</v>
      </c>
      <c r="M2182" s="199"/>
      <c r="N2182" s="199"/>
    </row>
    <row r="2183">
      <c r="A2183" s="193" t="s">
        <v>19596</v>
      </c>
      <c r="B2183" s="7" t="s">
        <v>16864</v>
      </c>
      <c r="C2183" s="7" t="s">
        <v>16919</v>
      </c>
      <c r="D2183" s="199"/>
      <c r="E2183" s="193"/>
      <c r="F2183" s="195" t="s">
        <v>19597</v>
      </c>
      <c r="G2183" s="200">
        <v>4.130938884E9</v>
      </c>
      <c r="H2183" s="197">
        <v>57.76</v>
      </c>
      <c r="I2183" s="7" t="s">
        <v>16815</v>
      </c>
      <c r="J2183" s="7" t="s">
        <v>16864</v>
      </c>
      <c r="K2183" s="7" t="s">
        <v>16919</v>
      </c>
      <c r="L2183" s="201" t="s">
        <v>16835</v>
      </c>
      <c r="M2183" s="199"/>
      <c r="N2183" s="199"/>
    </row>
    <row r="2184">
      <c r="A2184" s="193" t="s">
        <v>19598</v>
      </c>
      <c r="B2184" s="7" t="s">
        <v>16957</v>
      </c>
      <c r="C2184" s="7" t="s">
        <v>16926</v>
      </c>
      <c r="D2184" s="199"/>
      <c r="E2184" s="193"/>
      <c r="F2184" s="195" t="s">
        <v>19599</v>
      </c>
      <c r="G2184" s="200">
        <v>4.1272E9</v>
      </c>
      <c r="H2184" s="197">
        <v>4.69</v>
      </c>
      <c r="I2184" s="7" t="s">
        <v>16815</v>
      </c>
      <c r="J2184" s="7" t="s">
        <v>16957</v>
      </c>
      <c r="K2184" s="7" t="s">
        <v>16926</v>
      </c>
      <c r="L2184" s="201" t="s">
        <v>16835</v>
      </c>
      <c r="M2184" s="199"/>
      <c r="N2184" s="199"/>
    </row>
    <row r="2185">
      <c r="A2185" s="193" t="s">
        <v>19598</v>
      </c>
      <c r="B2185" s="7" t="s">
        <v>16926</v>
      </c>
      <c r="C2185" s="7" t="s">
        <v>16957</v>
      </c>
      <c r="D2185" s="199"/>
      <c r="E2185" s="193"/>
      <c r="F2185" s="195" t="s">
        <v>19599</v>
      </c>
      <c r="G2185" s="196">
        <v>4.1272E9</v>
      </c>
      <c r="H2185" s="197">
        <v>4.69</v>
      </c>
      <c r="I2185" s="7" t="s">
        <v>16815</v>
      </c>
      <c r="J2185" s="7" t="s">
        <v>16926</v>
      </c>
      <c r="K2185" s="7" t="s">
        <v>16957</v>
      </c>
      <c r="L2185" s="198" t="s">
        <v>65</v>
      </c>
      <c r="M2185" s="199"/>
      <c r="N2185" s="199"/>
    </row>
    <row r="2186">
      <c r="A2186" s="193" t="s">
        <v>19600</v>
      </c>
      <c r="B2186" s="7" t="s">
        <v>17016</v>
      </c>
      <c r="C2186" s="7" t="s">
        <v>16838</v>
      </c>
      <c r="D2186" s="194">
        <v>2020.0</v>
      </c>
      <c r="E2186" s="193"/>
      <c r="F2186" s="195" t="s">
        <v>19601</v>
      </c>
      <c r="G2186" s="200">
        <v>4.126219939E9</v>
      </c>
      <c r="H2186" s="197">
        <v>9.4</v>
      </c>
      <c r="I2186" s="7" t="s">
        <v>16815</v>
      </c>
      <c r="J2186" s="7" t="s">
        <v>17016</v>
      </c>
      <c r="K2186" s="7" t="s">
        <v>16838</v>
      </c>
      <c r="L2186" s="201" t="s">
        <v>16835</v>
      </c>
      <c r="M2186" s="194"/>
      <c r="N2186" s="194"/>
    </row>
    <row r="2187">
      <c r="A2187" s="193" t="s">
        <v>19600</v>
      </c>
      <c r="B2187" s="7" t="s">
        <v>16838</v>
      </c>
      <c r="C2187" s="7" t="s">
        <v>17016</v>
      </c>
      <c r="D2187" s="194">
        <v>2020.0</v>
      </c>
      <c r="E2187" s="193"/>
      <c r="F2187" s="195" t="s">
        <v>19601</v>
      </c>
      <c r="G2187" s="196">
        <v>4.126219939E9</v>
      </c>
      <c r="H2187" s="197">
        <v>9.4</v>
      </c>
      <c r="I2187" s="7" t="s">
        <v>16815</v>
      </c>
      <c r="J2187" s="7" t="s">
        <v>16838</v>
      </c>
      <c r="K2187" s="7" t="s">
        <v>17016</v>
      </c>
      <c r="L2187" s="198" t="s">
        <v>65</v>
      </c>
      <c r="M2187" s="194"/>
      <c r="N2187" s="194"/>
    </row>
    <row r="2188">
      <c r="A2188" s="193" t="s">
        <v>19602</v>
      </c>
      <c r="B2188" s="7" t="s">
        <v>169</v>
      </c>
      <c r="C2188" s="7" t="s">
        <v>18903</v>
      </c>
      <c r="D2188" s="199"/>
      <c r="E2188" s="193"/>
      <c r="F2188" s="195" t="s">
        <v>19603</v>
      </c>
      <c r="G2188" s="196">
        <v>4.11677774E9</v>
      </c>
      <c r="H2188" s="197">
        <v>41.07</v>
      </c>
      <c r="I2188" s="7" t="s">
        <v>16815</v>
      </c>
      <c r="J2188" s="7" t="s">
        <v>169</v>
      </c>
      <c r="K2188" s="7" t="s">
        <v>18903</v>
      </c>
      <c r="L2188" s="198" t="s">
        <v>65</v>
      </c>
      <c r="M2188" s="199"/>
      <c r="N2188" s="199"/>
    </row>
    <row r="2189">
      <c r="A2189" s="193" t="s">
        <v>19604</v>
      </c>
      <c r="B2189" s="7" t="s">
        <v>16838</v>
      </c>
      <c r="C2189" s="7" t="s">
        <v>17127</v>
      </c>
      <c r="D2189" s="199"/>
      <c r="E2189" s="193"/>
      <c r="F2189" s="195" t="s">
        <v>19605</v>
      </c>
      <c r="G2189" s="196">
        <v>4.114728179E9</v>
      </c>
      <c r="H2189" s="197">
        <v>256.54</v>
      </c>
      <c r="I2189" s="7" t="s">
        <v>16815</v>
      </c>
      <c r="J2189" s="7" t="s">
        <v>16838</v>
      </c>
      <c r="K2189" s="7" t="s">
        <v>17127</v>
      </c>
      <c r="L2189" s="198" t="s">
        <v>65</v>
      </c>
      <c r="M2189" s="199"/>
      <c r="N2189" s="199"/>
    </row>
    <row r="2190">
      <c r="A2190" s="193" t="s">
        <v>19606</v>
      </c>
      <c r="B2190" s="7" t="s">
        <v>17112</v>
      </c>
      <c r="C2190" s="7" t="s">
        <v>17218</v>
      </c>
      <c r="D2190" s="194">
        <v>2008.0</v>
      </c>
      <c r="E2190" s="193"/>
      <c r="F2190" s="195" t="s">
        <v>19607</v>
      </c>
      <c r="G2190" s="196">
        <v>4.106341641E9</v>
      </c>
      <c r="H2190" s="197">
        <v>136.83</v>
      </c>
      <c r="I2190" s="7" t="s">
        <v>16815</v>
      </c>
      <c r="J2190" s="7" t="s">
        <v>17112</v>
      </c>
      <c r="K2190" s="7" t="s">
        <v>17218</v>
      </c>
      <c r="L2190" s="198" t="s">
        <v>65</v>
      </c>
      <c r="M2190" s="194"/>
      <c r="N2190" s="194"/>
    </row>
    <row r="2191">
      <c r="A2191" s="193" t="s">
        <v>19608</v>
      </c>
      <c r="B2191" s="7" t="s">
        <v>16910</v>
      </c>
      <c r="C2191" s="7" t="s">
        <v>16911</v>
      </c>
      <c r="D2191" s="199"/>
      <c r="E2191" s="193"/>
      <c r="F2191" s="195" t="s">
        <v>19609</v>
      </c>
      <c r="G2191" s="196">
        <v>4.104727208E9</v>
      </c>
      <c r="H2191" s="197">
        <v>336.7</v>
      </c>
      <c r="I2191" s="7" t="s">
        <v>16917</v>
      </c>
      <c r="J2191" s="7" t="s">
        <v>16910</v>
      </c>
      <c r="K2191" s="7" t="s">
        <v>16911</v>
      </c>
      <c r="L2191" s="198" t="s">
        <v>65</v>
      </c>
      <c r="M2191" s="199"/>
      <c r="N2191" s="199"/>
    </row>
    <row r="2192">
      <c r="A2192" s="193" t="s">
        <v>19608</v>
      </c>
      <c r="B2192" s="7" t="s">
        <v>16911</v>
      </c>
      <c r="C2192" s="7" t="s">
        <v>16910</v>
      </c>
      <c r="D2192" s="199"/>
      <c r="E2192" s="193"/>
      <c r="F2192" s="195" t="s">
        <v>19609</v>
      </c>
      <c r="G2192" s="200">
        <v>4.104727208E9</v>
      </c>
      <c r="H2192" s="197">
        <v>336.7</v>
      </c>
      <c r="I2192" s="7" t="s">
        <v>16815</v>
      </c>
      <c r="J2192" s="7" t="s">
        <v>16911</v>
      </c>
      <c r="K2192" s="7" t="s">
        <v>16910</v>
      </c>
      <c r="L2192" s="201" t="s">
        <v>16835</v>
      </c>
      <c r="M2192" s="199"/>
      <c r="N2192" s="199"/>
    </row>
    <row r="2193">
      <c r="A2193" s="193" t="s">
        <v>19610</v>
      </c>
      <c r="D2193" s="194">
        <v>2023.0</v>
      </c>
      <c r="E2193" s="193"/>
      <c r="F2193" s="195" t="s">
        <v>19611</v>
      </c>
      <c r="G2193" s="196">
        <v>4.092006803E9</v>
      </c>
      <c r="H2193" s="197">
        <v>16.63</v>
      </c>
      <c r="I2193" s="7" t="s">
        <v>16815</v>
      </c>
      <c r="L2193" s="198" t="s">
        <v>65</v>
      </c>
      <c r="M2193" s="194"/>
      <c r="N2193" s="194"/>
    </row>
    <row r="2194">
      <c r="A2194" s="193" t="s">
        <v>19610</v>
      </c>
      <c r="D2194" s="194">
        <v>2023.0</v>
      </c>
      <c r="E2194" s="193"/>
      <c r="F2194" s="195" t="s">
        <v>19611</v>
      </c>
      <c r="G2194" s="200">
        <v>4.092006803E9</v>
      </c>
      <c r="H2194" s="197">
        <v>16.63</v>
      </c>
      <c r="L2194" s="201" t="s">
        <v>16835</v>
      </c>
      <c r="M2194" s="194"/>
      <c r="N2194" s="194"/>
    </row>
    <row r="2195">
      <c r="A2195" s="193" t="s">
        <v>19612</v>
      </c>
      <c r="B2195" s="7" t="s">
        <v>175</v>
      </c>
      <c r="C2195" s="7" t="s">
        <v>16972</v>
      </c>
      <c r="D2195" s="194">
        <v>2015.0</v>
      </c>
      <c r="E2195" s="193"/>
      <c r="F2195" s="195" t="s">
        <v>19613</v>
      </c>
      <c r="G2195" s="196">
        <v>4.083837944E9</v>
      </c>
      <c r="H2195" s="197">
        <v>170.63</v>
      </c>
      <c r="I2195" s="7" t="s">
        <v>168</v>
      </c>
      <c r="J2195" s="7" t="s">
        <v>175</v>
      </c>
      <c r="K2195" s="7" t="s">
        <v>16972</v>
      </c>
      <c r="L2195" s="198" t="s">
        <v>65</v>
      </c>
      <c r="M2195" s="194"/>
      <c r="N2195" s="194"/>
    </row>
    <row r="2196">
      <c r="A2196" s="193" t="s">
        <v>19612</v>
      </c>
      <c r="B2196" s="7" t="s">
        <v>16972</v>
      </c>
      <c r="C2196" s="7" t="s">
        <v>175</v>
      </c>
      <c r="D2196" s="194">
        <v>2015.0</v>
      </c>
      <c r="E2196" s="193"/>
      <c r="F2196" s="195" t="s">
        <v>19613</v>
      </c>
      <c r="G2196" s="200">
        <v>4.083837944E9</v>
      </c>
      <c r="H2196" s="197">
        <v>170.63</v>
      </c>
      <c r="I2196" s="7" t="s">
        <v>16815</v>
      </c>
      <c r="J2196" s="7" t="s">
        <v>16972</v>
      </c>
      <c r="K2196" s="7" t="s">
        <v>175</v>
      </c>
      <c r="L2196" s="201" t="s">
        <v>16835</v>
      </c>
      <c r="M2196" s="194"/>
      <c r="N2196" s="194"/>
    </row>
    <row r="2197">
      <c r="A2197" s="193" t="s">
        <v>19614</v>
      </c>
      <c r="B2197" s="7" t="s">
        <v>16838</v>
      </c>
      <c r="C2197" s="7" t="s">
        <v>16867</v>
      </c>
      <c r="D2197" s="199"/>
      <c r="E2197" s="193"/>
      <c r="F2197" s="195" t="s">
        <v>19615</v>
      </c>
      <c r="G2197" s="196">
        <v>4.07621053E9</v>
      </c>
      <c r="H2197" s="197">
        <v>13.93</v>
      </c>
      <c r="I2197" s="7" t="s">
        <v>16815</v>
      </c>
      <c r="J2197" s="7" t="s">
        <v>16838</v>
      </c>
      <c r="K2197" s="7" t="s">
        <v>16867</v>
      </c>
      <c r="L2197" s="198" t="s">
        <v>65</v>
      </c>
      <c r="M2197" s="199"/>
      <c r="N2197" s="199"/>
    </row>
    <row r="2198">
      <c r="A2198" s="193" t="s">
        <v>19616</v>
      </c>
      <c r="B2198" s="7" t="s">
        <v>17111</v>
      </c>
      <c r="C2198" s="7" t="s">
        <v>17112</v>
      </c>
      <c r="D2198" s="194">
        <v>2021.0</v>
      </c>
      <c r="E2198" s="193"/>
      <c r="F2198" s="195" t="s">
        <v>19617</v>
      </c>
      <c r="G2198" s="200">
        <v>4.070748422E9</v>
      </c>
      <c r="H2198" s="197">
        <v>23.65</v>
      </c>
      <c r="I2198" s="7" t="s">
        <v>16815</v>
      </c>
      <c r="J2198" s="7" t="s">
        <v>17111</v>
      </c>
      <c r="K2198" s="7" t="s">
        <v>17112</v>
      </c>
      <c r="L2198" s="201" t="s">
        <v>16835</v>
      </c>
      <c r="M2198" s="194"/>
      <c r="N2198" s="194"/>
    </row>
    <row r="2199">
      <c r="A2199" s="193" t="s">
        <v>19616</v>
      </c>
      <c r="B2199" s="7" t="s">
        <v>17112</v>
      </c>
      <c r="C2199" s="7" t="s">
        <v>17111</v>
      </c>
      <c r="D2199" s="194">
        <v>2021.0</v>
      </c>
      <c r="E2199" s="193"/>
      <c r="F2199" s="195" t="s">
        <v>19617</v>
      </c>
      <c r="G2199" s="196">
        <v>4.070748422E9</v>
      </c>
      <c r="H2199" s="197">
        <v>23.65</v>
      </c>
      <c r="I2199" s="7" t="s">
        <v>16815</v>
      </c>
      <c r="J2199" s="7" t="s">
        <v>17112</v>
      </c>
      <c r="K2199" s="7" t="s">
        <v>17111</v>
      </c>
      <c r="L2199" s="198" t="s">
        <v>65</v>
      </c>
      <c r="M2199" s="194"/>
      <c r="N2199" s="194"/>
    </row>
    <row r="2200">
      <c r="A2200" s="193" t="s">
        <v>19618</v>
      </c>
      <c r="B2200" s="7" t="s">
        <v>16919</v>
      </c>
      <c r="C2200" s="7" t="s">
        <v>17048</v>
      </c>
      <c r="D2200" s="199"/>
      <c r="E2200" s="193"/>
      <c r="F2200" s="195" t="s">
        <v>19619</v>
      </c>
      <c r="G2200" s="196">
        <v>4.070237096E9</v>
      </c>
      <c r="H2200" s="197">
        <v>40.25</v>
      </c>
      <c r="I2200" s="7" t="s">
        <v>16815</v>
      </c>
      <c r="J2200" s="7" t="s">
        <v>16919</v>
      </c>
      <c r="K2200" s="7" t="s">
        <v>17048</v>
      </c>
      <c r="L2200" s="198" t="s">
        <v>65</v>
      </c>
      <c r="M2200" s="199"/>
      <c r="N2200" s="199"/>
    </row>
    <row r="2201">
      <c r="A2201" s="193" t="s">
        <v>19618</v>
      </c>
      <c r="B2201" s="7" t="s">
        <v>17048</v>
      </c>
      <c r="C2201" s="7" t="s">
        <v>16919</v>
      </c>
      <c r="D2201" s="199"/>
      <c r="E2201" s="193"/>
      <c r="F2201" s="195" t="s">
        <v>19619</v>
      </c>
      <c r="G2201" s="200">
        <v>4.070237096E9</v>
      </c>
      <c r="H2201" s="197">
        <v>40.25</v>
      </c>
      <c r="I2201" s="7" t="s">
        <v>16815</v>
      </c>
      <c r="J2201" s="7" t="s">
        <v>17048</v>
      </c>
      <c r="K2201" s="7" t="s">
        <v>16919</v>
      </c>
      <c r="L2201" s="201" t="s">
        <v>16835</v>
      </c>
      <c r="M2201" s="199"/>
      <c r="N2201" s="199"/>
    </row>
    <row r="2202">
      <c r="A2202" s="193" t="s">
        <v>19620</v>
      </c>
      <c r="B2202" s="7" t="s">
        <v>17127</v>
      </c>
      <c r="C2202" s="7" t="s">
        <v>16838</v>
      </c>
      <c r="D2202" s="199"/>
      <c r="E2202" s="193"/>
      <c r="F2202" s="195" t="s">
        <v>19621</v>
      </c>
      <c r="G2202" s="200">
        <v>4.064875371E9</v>
      </c>
      <c r="H2202" s="197">
        <v>26.54</v>
      </c>
      <c r="I2202" s="7" t="s">
        <v>16815</v>
      </c>
      <c r="J2202" s="7" t="s">
        <v>17127</v>
      </c>
      <c r="K2202" s="7" t="s">
        <v>16838</v>
      </c>
      <c r="L2202" s="201" t="s">
        <v>16835</v>
      </c>
      <c r="M2202" s="199"/>
      <c r="N2202" s="199"/>
    </row>
    <row r="2203">
      <c r="A2203" s="193" t="s">
        <v>19620</v>
      </c>
      <c r="B2203" s="7" t="s">
        <v>16838</v>
      </c>
      <c r="C2203" s="7" t="s">
        <v>17127</v>
      </c>
      <c r="D2203" s="199"/>
      <c r="E2203" s="193"/>
      <c r="F2203" s="195" t="s">
        <v>19621</v>
      </c>
      <c r="G2203" s="196">
        <v>4.064875371E9</v>
      </c>
      <c r="H2203" s="197">
        <v>26.54</v>
      </c>
      <c r="I2203" s="7" t="s">
        <v>16815</v>
      </c>
      <c r="J2203" s="7" t="s">
        <v>16838</v>
      </c>
      <c r="K2203" s="7" t="s">
        <v>17127</v>
      </c>
      <c r="L2203" s="198" t="s">
        <v>65</v>
      </c>
      <c r="M2203" s="199"/>
      <c r="N2203" s="199"/>
    </row>
    <row r="2204">
      <c r="A2204" s="193" t="s">
        <v>19622</v>
      </c>
      <c r="B2204" s="7" t="s">
        <v>17111</v>
      </c>
      <c r="C2204" s="7" t="s">
        <v>17112</v>
      </c>
      <c r="D2204" s="194">
        <v>2019.0</v>
      </c>
      <c r="E2204" s="193"/>
      <c r="F2204" s="195" t="s">
        <v>19623</v>
      </c>
      <c r="G2204" s="200">
        <v>4.062142188E9</v>
      </c>
      <c r="H2204" s="197">
        <v>23.6</v>
      </c>
      <c r="I2204" s="7" t="s">
        <v>16815</v>
      </c>
      <c r="J2204" s="7" t="s">
        <v>17111</v>
      </c>
      <c r="K2204" s="7" t="s">
        <v>17112</v>
      </c>
      <c r="L2204" s="201" t="s">
        <v>16835</v>
      </c>
      <c r="M2204" s="194"/>
      <c r="N2204" s="194"/>
    </row>
    <row r="2205">
      <c r="A2205" s="193" t="s">
        <v>19622</v>
      </c>
      <c r="B2205" s="7" t="s">
        <v>17112</v>
      </c>
      <c r="C2205" s="7" t="s">
        <v>17111</v>
      </c>
      <c r="D2205" s="194">
        <v>2019.0</v>
      </c>
      <c r="E2205" s="193"/>
      <c r="F2205" s="195" t="s">
        <v>19623</v>
      </c>
      <c r="G2205" s="196">
        <v>4.062142188E9</v>
      </c>
      <c r="H2205" s="197">
        <v>23.6</v>
      </c>
      <c r="I2205" s="7" t="s">
        <v>16815</v>
      </c>
      <c r="J2205" s="7" t="s">
        <v>17112</v>
      </c>
      <c r="K2205" s="7" t="s">
        <v>17111</v>
      </c>
      <c r="L2205" s="198" t="s">
        <v>65</v>
      </c>
      <c r="M2205" s="194"/>
      <c r="N2205" s="194"/>
    </row>
    <row r="2206">
      <c r="A2206" s="193" t="s">
        <v>19624</v>
      </c>
      <c r="B2206" s="7" t="s">
        <v>175</v>
      </c>
      <c r="C2206" s="7" t="s">
        <v>17812</v>
      </c>
      <c r="D2206" s="194">
        <v>1992.0</v>
      </c>
      <c r="E2206" s="193"/>
      <c r="F2206" s="195" t="s">
        <v>19625</v>
      </c>
      <c r="G2206" s="196">
        <v>4.059672E9</v>
      </c>
      <c r="H2206" s="197">
        <v>86.01</v>
      </c>
      <c r="I2206" s="7" t="s">
        <v>174</v>
      </c>
      <c r="J2206" s="7" t="s">
        <v>175</v>
      </c>
      <c r="K2206" s="7" t="s">
        <v>17812</v>
      </c>
      <c r="L2206" s="198" t="s">
        <v>65</v>
      </c>
      <c r="M2206" s="194"/>
      <c r="N2206" s="194"/>
    </row>
    <row r="2207">
      <c r="A2207" s="193" t="s">
        <v>19624</v>
      </c>
      <c r="B2207" s="7" t="s">
        <v>17812</v>
      </c>
      <c r="C2207" s="7" t="s">
        <v>175</v>
      </c>
      <c r="D2207" s="194">
        <v>1992.0</v>
      </c>
      <c r="E2207" s="193"/>
      <c r="F2207" s="195" t="s">
        <v>19625</v>
      </c>
      <c r="G2207" s="200">
        <v>4.059672E9</v>
      </c>
      <c r="H2207" s="197">
        <v>86.01</v>
      </c>
      <c r="I2207" s="7" t="s">
        <v>16815</v>
      </c>
      <c r="J2207" s="7" t="s">
        <v>17812</v>
      </c>
      <c r="K2207" s="7" t="s">
        <v>175</v>
      </c>
      <c r="L2207" s="201" t="s">
        <v>16835</v>
      </c>
      <c r="M2207" s="194"/>
      <c r="N2207" s="194"/>
    </row>
    <row r="2208">
      <c r="A2208" s="193" t="s">
        <v>19626</v>
      </c>
      <c r="B2208" s="7" t="s">
        <v>158</v>
      </c>
      <c r="C2208" s="7" t="s">
        <v>16870</v>
      </c>
      <c r="D2208" s="194">
        <v>1993.0</v>
      </c>
      <c r="E2208" s="193"/>
      <c r="F2208" s="195" t="s">
        <v>19627</v>
      </c>
      <c r="G2208" s="196">
        <v>4.058453345E9</v>
      </c>
      <c r="H2208" s="197">
        <v>10.32</v>
      </c>
      <c r="I2208" s="7" t="s">
        <v>16872</v>
      </c>
      <c r="J2208" s="7" t="s">
        <v>158</v>
      </c>
      <c r="K2208" s="7" t="s">
        <v>16870</v>
      </c>
      <c r="L2208" s="198" t="s">
        <v>65</v>
      </c>
      <c r="M2208" s="194"/>
      <c r="N2208" s="194"/>
    </row>
    <row r="2209">
      <c r="A2209" s="193" t="s">
        <v>19626</v>
      </c>
      <c r="B2209" s="7" t="s">
        <v>16870</v>
      </c>
      <c r="C2209" s="7" t="s">
        <v>158</v>
      </c>
      <c r="D2209" s="194">
        <v>1993.0</v>
      </c>
      <c r="E2209" s="193"/>
      <c r="F2209" s="195" t="s">
        <v>19627</v>
      </c>
      <c r="G2209" s="200">
        <v>4.058453345E9</v>
      </c>
      <c r="H2209" s="197">
        <v>10.32</v>
      </c>
      <c r="I2209" s="7" t="s">
        <v>16815</v>
      </c>
      <c r="J2209" s="7" t="s">
        <v>16870</v>
      </c>
      <c r="K2209" s="7" t="s">
        <v>158</v>
      </c>
      <c r="L2209" s="201" t="s">
        <v>16835</v>
      </c>
      <c r="M2209" s="194"/>
      <c r="N2209" s="194"/>
    </row>
    <row r="2210">
      <c r="A2210" s="193" t="s">
        <v>19628</v>
      </c>
      <c r="B2210" s="7" t="s">
        <v>16582</v>
      </c>
      <c r="C2210" s="7" t="s">
        <v>16828</v>
      </c>
      <c r="D2210" s="199"/>
      <c r="E2210" s="193"/>
      <c r="F2210" s="195" t="s">
        <v>19629</v>
      </c>
      <c r="G2210" s="196">
        <v>4.0580337E9</v>
      </c>
      <c r="H2210" s="197">
        <v>32.38</v>
      </c>
      <c r="I2210" s="7" t="s">
        <v>16815</v>
      </c>
      <c r="J2210" s="7" t="s">
        <v>16582</v>
      </c>
      <c r="K2210" s="7" t="s">
        <v>16828</v>
      </c>
      <c r="L2210" s="198" t="s">
        <v>65</v>
      </c>
      <c r="M2210" s="199"/>
      <c r="N2210" s="199"/>
    </row>
    <row r="2211">
      <c r="A2211" s="193" t="s">
        <v>19628</v>
      </c>
      <c r="B2211" s="7" t="s">
        <v>16828</v>
      </c>
      <c r="C2211" s="7" t="s">
        <v>16582</v>
      </c>
      <c r="D2211" s="199"/>
      <c r="E2211" s="193"/>
      <c r="F2211" s="195" t="s">
        <v>19629</v>
      </c>
      <c r="G2211" s="200">
        <v>4.0580337E9</v>
      </c>
      <c r="H2211" s="197">
        <v>32.38</v>
      </c>
      <c r="I2211" s="7" t="s">
        <v>16815</v>
      </c>
      <c r="J2211" s="7" t="s">
        <v>16828</v>
      </c>
      <c r="K2211" s="7" t="s">
        <v>16582</v>
      </c>
      <c r="L2211" s="201" t="s">
        <v>16835</v>
      </c>
      <c r="M2211" s="199"/>
      <c r="N2211" s="199"/>
    </row>
    <row r="2212">
      <c r="A2212" s="193" t="s">
        <v>19630</v>
      </c>
      <c r="B2212" s="7" t="s">
        <v>17202</v>
      </c>
      <c r="C2212" s="7" t="s">
        <v>16838</v>
      </c>
      <c r="D2212" s="194">
        <v>2017.0</v>
      </c>
      <c r="E2212" s="193"/>
      <c r="F2212" s="195" t="s">
        <v>19631</v>
      </c>
      <c r="G2212" s="200">
        <v>4.056962093E9</v>
      </c>
      <c r="H2212" s="197">
        <v>24.49</v>
      </c>
      <c r="I2212" s="7" t="s">
        <v>16815</v>
      </c>
      <c r="J2212" s="7" t="s">
        <v>17202</v>
      </c>
      <c r="K2212" s="7" t="s">
        <v>16838</v>
      </c>
      <c r="L2212" s="201" t="s">
        <v>16835</v>
      </c>
      <c r="M2212" s="194"/>
      <c r="N2212" s="194"/>
    </row>
    <row r="2213">
      <c r="A2213" s="193" t="s">
        <v>19630</v>
      </c>
      <c r="B2213" s="7" t="s">
        <v>16838</v>
      </c>
      <c r="C2213" s="7" t="s">
        <v>17202</v>
      </c>
      <c r="D2213" s="194">
        <v>2017.0</v>
      </c>
      <c r="E2213" s="193"/>
      <c r="F2213" s="195" t="s">
        <v>19631</v>
      </c>
      <c r="G2213" s="196">
        <v>4.056962093E9</v>
      </c>
      <c r="H2213" s="197">
        <v>24.49</v>
      </c>
      <c r="I2213" s="7" t="s">
        <v>16815</v>
      </c>
      <c r="J2213" s="7" t="s">
        <v>16838</v>
      </c>
      <c r="K2213" s="7" t="s">
        <v>17202</v>
      </c>
      <c r="L2213" s="198" t="s">
        <v>65</v>
      </c>
      <c r="M2213" s="194"/>
      <c r="N2213" s="194"/>
    </row>
    <row r="2214">
      <c r="A2214" s="193" t="s">
        <v>19632</v>
      </c>
      <c r="B2214" s="7" t="s">
        <v>175</v>
      </c>
      <c r="C2214" s="7" t="s">
        <v>17457</v>
      </c>
      <c r="D2214" s="194">
        <v>1986.0</v>
      </c>
      <c r="E2214" s="193"/>
      <c r="F2214" s="195" t="s">
        <v>19633</v>
      </c>
      <c r="G2214" s="196">
        <v>4.054770564E9</v>
      </c>
      <c r="H2214" s="197">
        <v>51.12</v>
      </c>
      <c r="I2214" s="7" t="s">
        <v>168</v>
      </c>
      <c r="J2214" s="7" t="s">
        <v>175</v>
      </c>
      <c r="K2214" s="7" t="s">
        <v>17457</v>
      </c>
      <c r="L2214" s="198" t="s">
        <v>65</v>
      </c>
      <c r="M2214" s="194"/>
      <c r="N2214" s="194"/>
    </row>
    <row r="2215">
      <c r="A2215" s="193" t="s">
        <v>19632</v>
      </c>
      <c r="B2215" s="7" t="s">
        <v>17457</v>
      </c>
      <c r="C2215" s="7" t="s">
        <v>175</v>
      </c>
      <c r="D2215" s="194">
        <v>1986.0</v>
      </c>
      <c r="E2215" s="193"/>
      <c r="F2215" s="195" t="s">
        <v>19633</v>
      </c>
      <c r="G2215" s="200">
        <v>4.054770564E9</v>
      </c>
      <c r="H2215" s="197">
        <v>51.12</v>
      </c>
      <c r="I2215" s="7" t="s">
        <v>16815</v>
      </c>
      <c r="J2215" s="7" t="s">
        <v>17457</v>
      </c>
      <c r="K2215" s="7" t="s">
        <v>175</v>
      </c>
      <c r="L2215" s="201" t="s">
        <v>16835</v>
      </c>
      <c r="M2215" s="194"/>
      <c r="N2215" s="194"/>
    </row>
    <row r="2216">
      <c r="A2216" s="193" t="s">
        <v>19634</v>
      </c>
      <c r="B2216" s="7" t="s">
        <v>16582</v>
      </c>
      <c r="C2216" s="7" t="s">
        <v>16930</v>
      </c>
      <c r="D2216" s="194">
        <v>2021.0</v>
      </c>
      <c r="E2216" s="193"/>
      <c r="F2216" s="195" t="s">
        <v>19635</v>
      </c>
      <c r="G2216" s="196">
        <v>4.054627095E9</v>
      </c>
      <c r="H2216" s="197">
        <v>17.67</v>
      </c>
      <c r="I2216" s="7" t="s">
        <v>16815</v>
      </c>
      <c r="J2216" s="7" t="s">
        <v>16582</v>
      </c>
      <c r="K2216" s="7" t="s">
        <v>16930</v>
      </c>
      <c r="L2216" s="198" t="s">
        <v>65</v>
      </c>
      <c r="M2216" s="194"/>
      <c r="N2216" s="194"/>
    </row>
    <row r="2217">
      <c r="A2217" s="193" t="s">
        <v>19634</v>
      </c>
      <c r="B2217" s="7" t="s">
        <v>16930</v>
      </c>
      <c r="C2217" s="7" t="s">
        <v>16582</v>
      </c>
      <c r="D2217" s="194">
        <v>2021.0</v>
      </c>
      <c r="E2217" s="193"/>
      <c r="F2217" s="195" t="s">
        <v>19635</v>
      </c>
      <c r="G2217" s="200">
        <v>4.054627095E9</v>
      </c>
      <c r="H2217" s="197">
        <v>17.67</v>
      </c>
      <c r="I2217" s="7" t="s">
        <v>16815</v>
      </c>
      <c r="J2217" s="7" t="s">
        <v>16930</v>
      </c>
      <c r="K2217" s="7" t="s">
        <v>16582</v>
      </c>
      <c r="L2217" s="201" t="s">
        <v>16835</v>
      </c>
      <c r="M2217" s="194"/>
      <c r="N2217" s="194"/>
    </row>
    <row r="2218">
      <c r="A2218" s="193" t="s">
        <v>19636</v>
      </c>
      <c r="B2218" s="7" t="s">
        <v>17127</v>
      </c>
      <c r="C2218" s="7" t="s">
        <v>16838</v>
      </c>
      <c r="D2218" s="199"/>
      <c r="E2218" s="193"/>
      <c r="F2218" s="195" t="s">
        <v>15739</v>
      </c>
      <c r="G2218" s="200">
        <v>4.0497378E9</v>
      </c>
      <c r="H2218" s="197">
        <v>113.24</v>
      </c>
      <c r="I2218" s="7" t="s">
        <v>16815</v>
      </c>
      <c r="J2218" s="7" t="s">
        <v>17127</v>
      </c>
      <c r="K2218" s="7" t="s">
        <v>16838</v>
      </c>
      <c r="L2218" s="201" t="s">
        <v>16835</v>
      </c>
      <c r="M2218" s="199"/>
      <c r="N2218" s="199"/>
    </row>
    <row r="2219">
      <c r="A2219" s="193" t="s">
        <v>19636</v>
      </c>
      <c r="B2219" s="7" t="s">
        <v>16838</v>
      </c>
      <c r="C2219" s="7" t="s">
        <v>17127</v>
      </c>
      <c r="D2219" s="199"/>
      <c r="E2219" s="193"/>
      <c r="F2219" s="195" t="s">
        <v>15739</v>
      </c>
      <c r="G2219" s="196">
        <v>4.0497378E9</v>
      </c>
      <c r="H2219" s="197">
        <v>113.24</v>
      </c>
      <c r="I2219" s="7" t="s">
        <v>16815</v>
      </c>
      <c r="J2219" s="7" t="s">
        <v>16838</v>
      </c>
      <c r="K2219" s="7" t="s">
        <v>17127</v>
      </c>
      <c r="L2219" s="198" t="s">
        <v>65</v>
      </c>
      <c r="M2219" s="199"/>
      <c r="N2219" s="199"/>
    </row>
    <row r="2220">
      <c r="A2220" s="193" t="s">
        <v>19637</v>
      </c>
      <c r="B2220" s="7" t="s">
        <v>175</v>
      </c>
      <c r="C2220" s="7" t="s">
        <v>17812</v>
      </c>
      <c r="D2220" s="199"/>
      <c r="E2220" s="193"/>
      <c r="F2220" s="195" t="s">
        <v>19638</v>
      </c>
      <c r="G2220" s="196">
        <v>4.048677178E9</v>
      </c>
      <c r="H2220" s="197">
        <v>108.6</v>
      </c>
      <c r="I2220" s="7" t="s">
        <v>168</v>
      </c>
      <c r="J2220" s="7" t="s">
        <v>175</v>
      </c>
      <c r="K2220" s="7" t="s">
        <v>17812</v>
      </c>
      <c r="L2220" s="198" t="s">
        <v>65</v>
      </c>
      <c r="M2220" s="199"/>
      <c r="N2220" s="199"/>
    </row>
    <row r="2221">
      <c r="A2221" s="193" t="s">
        <v>19637</v>
      </c>
      <c r="B2221" s="7" t="s">
        <v>17812</v>
      </c>
      <c r="C2221" s="7" t="s">
        <v>175</v>
      </c>
      <c r="D2221" s="199"/>
      <c r="E2221" s="193"/>
      <c r="F2221" s="195" t="s">
        <v>19638</v>
      </c>
      <c r="G2221" s="200">
        <v>4.048677178E9</v>
      </c>
      <c r="H2221" s="197">
        <v>108.6</v>
      </c>
      <c r="I2221" s="7" t="s">
        <v>16815</v>
      </c>
      <c r="J2221" s="7" t="s">
        <v>17812</v>
      </c>
      <c r="K2221" s="7" t="s">
        <v>175</v>
      </c>
      <c r="L2221" s="201" t="s">
        <v>16835</v>
      </c>
      <c r="M2221" s="199"/>
      <c r="N2221" s="199"/>
    </row>
    <row r="2222">
      <c r="A2222" s="193" t="s">
        <v>19639</v>
      </c>
      <c r="B2222" s="7" t="s">
        <v>16919</v>
      </c>
      <c r="C2222" s="7" t="s">
        <v>17048</v>
      </c>
      <c r="D2222" s="194">
        <v>2020.0</v>
      </c>
      <c r="E2222" s="193"/>
      <c r="F2222" s="195" t="s">
        <v>19640</v>
      </c>
      <c r="G2222" s="196">
        <v>4.047125303E9</v>
      </c>
      <c r="H2222" s="197">
        <v>23.5</v>
      </c>
      <c r="I2222" s="7" t="s">
        <v>16815</v>
      </c>
      <c r="J2222" s="7" t="s">
        <v>16919</v>
      </c>
      <c r="K2222" s="7" t="s">
        <v>17048</v>
      </c>
      <c r="L2222" s="198" t="s">
        <v>65</v>
      </c>
      <c r="M2222" s="194"/>
      <c r="N2222" s="194"/>
    </row>
    <row r="2223">
      <c r="A2223" s="193" t="s">
        <v>19639</v>
      </c>
      <c r="B2223" s="7" t="s">
        <v>17048</v>
      </c>
      <c r="C2223" s="7" t="s">
        <v>16919</v>
      </c>
      <c r="D2223" s="194">
        <v>2020.0</v>
      </c>
      <c r="E2223" s="193"/>
      <c r="F2223" s="195" t="s">
        <v>19640</v>
      </c>
      <c r="G2223" s="200">
        <v>4.047125303E9</v>
      </c>
      <c r="H2223" s="197">
        <v>23.5</v>
      </c>
      <c r="I2223" s="7" t="s">
        <v>16815</v>
      </c>
      <c r="J2223" s="7" t="s">
        <v>17048</v>
      </c>
      <c r="K2223" s="7" t="s">
        <v>16919</v>
      </c>
      <c r="L2223" s="201" t="s">
        <v>16835</v>
      </c>
      <c r="M2223" s="194"/>
      <c r="N2223" s="194"/>
    </row>
    <row r="2224">
      <c r="A2224" s="193" t="s">
        <v>19641</v>
      </c>
      <c r="B2224" s="7" t="s">
        <v>16582</v>
      </c>
      <c r="C2224" s="7" t="s">
        <v>16828</v>
      </c>
      <c r="D2224" s="194">
        <v>2015.0</v>
      </c>
      <c r="E2224" s="193"/>
      <c r="F2224" s="195" t="s">
        <v>19642</v>
      </c>
      <c r="G2224" s="196">
        <v>4.041550831E9</v>
      </c>
      <c r="H2224" s="197">
        <v>71.14</v>
      </c>
      <c r="I2224" s="7" t="s">
        <v>16815</v>
      </c>
      <c r="J2224" s="7" t="s">
        <v>16582</v>
      </c>
      <c r="K2224" s="7" t="s">
        <v>16828</v>
      </c>
      <c r="L2224" s="198" t="s">
        <v>65</v>
      </c>
      <c r="M2224" s="194"/>
      <c r="N2224" s="194"/>
    </row>
    <row r="2225">
      <c r="A2225" s="193" t="s">
        <v>19643</v>
      </c>
      <c r="B2225" s="7" t="s">
        <v>16838</v>
      </c>
      <c r="C2225" s="7" t="s">
        <v>19644</v>
      </c>
      <c r="D2225" s="199"/>
      <c r="E2225" s="193"/>
      <c r="F2225" s="195" t="s">
        <v>19645</v>
      </c>
      <c r="G2225" s="196">
        <v>4.034464E9</v>
      </c>
      <c r="H2225" s="197">
        <v>23.24</v>
      </c>
      <c r="I2225" s="7" t="s">
        <v>16815</v>
      </c>
      <c r="J2225" s="7" t="s">
        <v>16838</v>
      </c>
      <c r="K2225" s="7" t="s">
        <v>19644</v>
      </c>
      <c r="L2225" s="198" t="s">
        <v>65</v>
      </c>
      <c r="M2225" s="199"/>
      <c r="N2225" s="199"/>
    </row>
    <row r="2226">
      <c r="A2226" s="193" t="s">
        <v>19646</v>
      </c>
      <c r="B2226" s="7" t="s">
        <v>175</v>
      </c>
      <c r="C2226" s="7" t="s">
        <v>17321</v>
      </c>
      <c r="D2226" s="199"/>
      <c r="E2226" s="193"/>
      <c r="F2226" s="195" t="s">
        <v>19647</v>
      </c>
      <c r="G2226" s="196">
        <v>4.031598212E9</v>
      </c>
      <c r="H2226" s="197">
        <v>87.4</v>
      </c>
      <c r="I2226" s="7" t="s">
        <v>16908</v>
      </c>
      <c r="J2226" s="7" t="s">
        <v>175</v>
      </c>
      <c r="K2226" s="7" t="s">
        <v>17321</v>
      </c>
      <c r="L2226" s="198" t="s">
        <v>65</v>
      </c>
      <c r="M2226" s="199"/>
      <c r="N2226" s="199"/>
    </row>
    <row r="2227">
      <c r="A2227" s="193" t="s">
        <v>19648</v>
      </c>
      <c r="B2227" s="7" t="s">
        <v>16919</v>
      </c>
      <c r="C2227" s="7" t="s">
        <v>17048</v>
      </c>
      <c r="D2227" s="194">
        <v>2020.0</v>
      </c>
      <c r="E2227" s="193"/>
      <c r="F2227" s="195" t="s">
        <v>19649</v>
      </c>
      <c r="G2227" s="196">
        <v>4.022045177E9</v>
      </c>
      <c r="H2227" s="197">
        <v>19.5</v>
      </c>
      <c r="I2227" s="7" t="s">
        <v>16815</v>
      </c>
      <c r="J2227" s="7" t="s">
        <v>16919</v>
      </c>
      <c r="K2227" s="7" t="s">
        <v>17048</v>
      </c>
      <c r="L2227" s="198" t="s">
        <v>65</v>
      </c>
      <c r="M2227" s="194"/>
      <c r="N2227" s="194"/>
    </row>
    <row r="2228">
      <c r="A2228" s="193" t="s">
        <v>19648</v>
      </c>
      <c r="B2228" s="7" t="s">
        <v>17048</v>
      </c>
      <c r="C2228" s="7" t="s">
        <v>16919</v>
      </c>
      <c r="D2228" s="194">
        <v>2020.0</v>
      </c>
      <c r="E2228" s="193"/>
      <c r="F2228" s="195" t="s">
        <v>19649</v>
      </c>
      <c r="G2228" s="200">
        <v>4.022045177E9</v>
      </c>
      <c r="H2228" s="197">
        <v>19.5</v>
      </c>
      <c r="I2228" s="7" t="s">
        <v>16815</v>
      </c>
      <c r="J2228" s="7" t="s">
        <v>17048</v>
      </c>
      <c r="K2228" s="7" t="s">
        <v>16919</v>
      </c>
      <c r="L2228" s="201" t="s">
        <v>16835</v>
      </c>
      <c r="M2228" s="194"/>
      <c r="N2228" s="194"/>
    </row>
    <row r="2229">
      <c r="A2229" s="193" t="s">
        <v>19650</v>
      </c>
      <c r="B2229" s="7" t="s">
        <v>187</v>
      </c>
      <c r="C2229" s="7" t="s">
        <v>16969</v>
      </c>
      <c r="D2229" s="199"/>
      <c r="E2229" s="193"/>
      <c r="F2229" s="195" t="s">
        <v>19651</v>
      </c>
      <c r="G2229" s="196">
        <v>4.021742174E9</v>
      </c>
      <c r="H2229" s="197">
        <v>69.64</v>
      </c>
      <c r="I2229" s="7" t="s">
        <v>16815</v>
      </c>
      <c r="J2229" s="7" t="s">
        <v>187</v>
      </c>
      <c r="K2229" s="7" t="s">
        <v>16969</v>
      </c>
      <c r="L2229" s="198" t="s">
        <v>65</v>
      </c>
      <c r="M2229" s="199"/>
      <c r="N2229" s="199"/>
    </row>
    <row r="2230">
      <c r="A2230" s="193" t="s">
        <v>19652</v>
      </c>
      <c r="B2230" s="7" t="s">
        <v>16867</v>
      </c>
      <c r="C2230" s="7" t="s">
        <v>16838</v>
      </c>
      <c r="D2230" s="199"/>
      <c r="E2230" s="193"/>
      <c r="F2230" s="195" t="s">
        <v>19653</v>
      </c>
      <c r="G2230" s="200">
        <v>4.0194881E9</v>
      </c>
      <c r="H2230" s="197">
        <v>22.01</v>
      </c>
      <c r="I2230" s="7" t="s">
        <v>16815</v>
      </c>
      <c r="J2230" s="7" t="s">
        <v>16867</v>
      </c>
      <c r="K2230" s="7" t="s">
        <v>16838</v>
      </c>
      <c r="L2230" s="201" t="s">
        <v>16835</v>
      </c>
      <c r="M2230" s="199"/>
      <c r="N2230" s="199"/>
    </row>
    <row r="2231">
      <c r="A2231" s="193" t="s">
        <v>19652</v>
      </c>
      <c r="B2231" s="7" t="s">
        <v>16838</v>
      </c>
      <c r="C2231" s="7" t="s">
        <v>16867</v>
      </c>
      <c r="D2231" s="199"/>
      <c r="E2231" s="193"/>
      <c r="F2231" s="195" t="s">
        <v>19653</v>
      </c>
      <c r="G2231" s="196">
        <v>4.0194881E9</v>
      </c>
      <c r="H2231" s="197">
        <v>22.01</v>
      </c>
      <c r="I2231" s="7" t="s">
        <v>16815</v>
      </c>
      <c r="J2231" s="7" t="s">
        <v>16838</v>
      </c>
      <c r="K2231" s="7" t="s">
        <v>16867</v>
      </c>
      <c r="L2231" s="198" t="s">
        <v>65</v>
      </c>
      <c r="M2231" s="199"/>
      <c r="N2231" s="199"/>
    </row>
    <row r="2232">
      <c r="A2232" s="193" t="s">
        <v>19654</v>
      </c>
      <c r="B2232" s="7" t="s">
        <v>17112</v>
      </c>
      <c r="C2232" s="7" t="s">
        <v>17111</v>
      </c>
      <c r="D2232" s="194">
        <v>2021.0</v>
      </c>
      <c r="E2232" s="193"/>
      <c r="F2232" s="195" t="s">
        <v>19655</v>
      </c>
      <c r="G2232" s="196">
        <v>4.016168E9</v>
      </c>
      <c r="H2232" s="197">
        <v>33.58</v>
      </c>
      <c r="I2232" s="7" t="s">
        <v>16815</v>
      </c>
      <c r="J2232" s="7" t="s">
        <v>17112</v>
      </c>
      <c r="K2232" s="7" t="s">
        <v>17111</v>
      </c>
      <c r="L2232" s="198" t="s">
        <v>65</v>
      </c>
      <c r="M2232" s="194"/>
      <c r="N2232" s="194"/>
    </row>
    <row r="2233">
      <c r="A2233" s="193" t="s">
        <v>19656</v>
      </c>
      <c r="B2233" s="7" t="s">
        <v>16867</v>
      </c>
      <c r="C2233" s="7" t="s">
        <v>16838</v>
      </c>
      <c r="D2233" s="199"/>
      <c r="E2233" s="193"/>
      <c r="F2233" s="195" t="s">
        <v>19657</v>
      </c>
      <c r="G2233" s="200">
        <v>4.0117031E9</v>
      </c>
      <c r="H2233" s="197">
        <v>11.18</v>
      </c>
      <c r="I2233" s="7" t="s">
        <v>16815</v>
      </c>
      <c r="J2233" s="7" t="s">
        <v>16867</v>
      </c>
      <c r="K2233" s="7" t="s">
        <v>16838</v>
      </c>
      <c r="L2233" s="201" t="s">
        <v>16835</v>
      </c>
      <c r="M2233" s="199"/>
      <c r="N2233" s="199"/>
    </row>
    <row r="2234">
      <c r="A2234" s="193" t="s">
        <v>19656</v>
      </c>
      <c r="B2234" s="7" t="s">
        <v>16838</v>
      </c>
      <c r="C2234" s="7" t="s">
        <v>16867</v>
      </c>
      <c r="D2234" s="199"/>
      <c r="E2234" s="193"/>
      <c r="F2234" s="195" t="s">
        <v>19657</v>
      </c>
      <c r="G2234" s="196">
        <v>4.0117031E9</v>
      </c>
      <c r="H2234" s="197">
        <v>11.18</v>
      </c>
      <c r="I2234" s="7" t="s">
        <v>16815</v>
      </c>
      <c r="J2234" s="7" t="s">
        <v>16838</v>
      </c>
      <c r="K2234" s="7" t="s">
        <v>16867</v>
      </c>
      <c r="L2234" s="198" t="s">
        <v>65</v>
      </c>
      <c r="M2234" s="199"/>
      <c r="N2234" s="199"/>
    </row>
    <row r="2235">
      <c r="A2235" s="193" t="s">
        <v>19658</v>
      </c>
      <c r="B2235" s="7" t="s">
        <v>16838</v>
      </c>
      <c r="C2235" s="7" t="s">
        <v>16867</v>
      </c>
      <c r="D2235" s="199"/>
      <c r="E2235" s="193"/>
      <c r="F2235" s="195" t="s">
        <v>19659</v>
      </c>
      <c r="G2235" s="196">
        <v>4.010314375E9</v>
      </c>
      <c r="H2235" s="197">
        <v>7.9</v>
      </c>
      <c r="I2235" s="7" t="s">
        <v>16815</v>
      </c>
      <c r="J2235" s="7" t="s">
        <v>16838</v>
      </c>
      <c r="K2235" s="7" t="s">
        <v>16867</v>
      </c>
      <c r="L2235" s="198" t="s">
        <v>65</v>
      </c>
      <c r="M2235" s="199"/>
      <c r="N2235" s="199"/>
    </row>
    <row r="2236">
      <c r="A2236" s="193" t="s">
        <v>19660</v>
      </c>
      <c r="B2236" s="7" t="s">
        <v>17702</v>
      </c>
      <c r="C2236" s="7" t="s">
        <v>169</v>
      </c>
      <c r="D2236" s="194">
        <v>2015.0</v>
      </c>
      <c r="E2236" s="193"/>
      <c r="F2236" s="195" t="s">
        <v>19661</v>
      </c>
      <c r="G2236" s="200">
        <v>4.009100622E9</v>
      </c>
      <c r="H2236" s="197">
        <v>33.56</v>
      </c>
      <c r="I2236" s="7" t="s">
        <v>16815</v>
      </c>
      <c r="J2236" s="7" t="s">
        <v>17702</v>
      </c>
      <c r="K2236" s="7" t="s">
        <v>169</v>
      </c>
      <c r="L2236" s="201" t="s">
        <v>16835</v>
      </c>
      <c r="M2236" s="194"/>
      <c r="N2236" s="194"/>
    </row>
    <row r="2237">
      <c r="A2237" s="193" t="s">
        <v>19660</v>
      </c>
      <c r="B2237" s="7" t="s">
        <v>169</v>
      </c>
      <c r="C2237" s="7" t="s">
        <v>17702</v>
      </c>
      <c r="D2237" s="194">
        <v>2015.0</v>
      </c>
      <c r="E2237" s="193"/>
      <c r="F2237" s="195" t="s">
        <v>19661</v>
      </c>
      <c r="G2237" s="196">
        <v>4.009100622E9</v>
      </c>
      <c r="H2237" s="197">
        <v>33.56</v>
      </c>
      <c r="I2237" s="7" t="s">
        <v>16815</v>
      </c>
      <c r="J2237" s="7" t="s">
        <v>169</v>
      </c>
      <c r="K2237" s="7" t="s">
        <v>17702</v>
      </c>
      <c r="L2237" s="198" t="s">
        <v>65</v>
      </c>
      <c r="M2237" s="194"/>
      <c r="N2237" s="194"/>
    </row>
    <row r="2238">
      <c r="A2238" s="193" t="s">
        <v>19662</v>
      </c>
      <c r="B2238" s="7" t="s">
        <v>16838</v>
      </c>
      <c r="C2238" s="7" t="s">
        <v>17202</v>
      </c>
      <c r="D2238" s="199"/>
      <c r="E2238" s="193"/>
      <c r="F2238" s="195" t="s">
        <v>19663</v>
      </c>
      <c r="G2238" s="196">
        <v>4.008424E9</v>
      </c>
      <c r="H2238" s="197">
        <v>23.09</v>
      </c>
      <c r="I2238" s="7" t="s">
        <v>16815</v>
      </c>
      <c r="J2238" s="7" t="s">
        <v>16838</v>
      </c>
      <c r="K2238" s="7" t="s">
        <v>17202</v>
      </c>
      <c r="L2238" s="198" t="s">
        <v>65</v>
      </c>
      <c r="M2238" s="199"/>
      <c r="N2238" s="199"/>
    </row>
    <row r="2239">
      <c r="A2239" s="193" t="s">
        <v>19664</v>
      </c>
      <c r="B2239" s="7" t="s">
        <v>16919</v>
      </c>
      <c r="C2239" s="7" t="s">
        <v>17413</v>
      </c>
      <c r="D2239" s="199"/>
      <c r="E2239" s="193"/>
      <c r="F2239" s="195" t="s">
        <v>19665</v>
      </c>
      <c r="G2239" s="196">
        <v>4.002965824E9</v>
      </c>
      <c r="H2239" s="197">
        <v>41.03</v>
      </c>
      <c r="I2239" s="7" t="s">
        <v>16815</v>
      </c>
      <c r="J2239" s="7" t="s">
        <v>16919</v>
      </c>
      <c r="K2239" s="7" t="s">
        <v>17413</v>
      </c>
      <c r="L2239" s="198" t="s">
        <v>65</v>
      </c>
      <c r="M2239" s="199"/>
      <c r="N2239" s="199"/>
    </row>
    <row r="2240">
      <c r="A2240" s="193" t="s">
        <v>19664</v>
      </c>
      <c r="B2240" s="7" t="s">
        <v>17413</v>
      </c>
      <c r="C2240" s="7" t="s">
        <v>16919</v>
      </c>
      <c r="D2240" s="199"/>
      <c r="E2240" s="193"/>
      <c r="F2240" s="195" t="s">
        <v>19665</v>
      </c>
      <c r="G2240" s="200">
        <v>4.002965824E9</v>
      </c>
      <c r="H2240" s="197">
        <v>41.03</v>
      </c>
      <c r="I2240" s="7" t="s">
        <v>16815</v>
      </c>
      <c r="J2240" s="7" t="s">
        <v>17413</v>
      </c>
      <c r="K2240" s="7" t="s">
        <v>16919</v>
      </c>
      <c r="L2240" s="201" t="s">
        <v>16835</v>
      </c>
      <c r="M2240" s="199"/>
      <c r="N2240" s="199"/>
    </row>
    <row r="2241">
      <c r="A2241" s="193" t="s">
        <v>19666</v>
      </c>
      <c r="B2241" s="7" t="s">
        <v>16919</v>
      </c>
      <c r="C2241" s="7" t="s">
        <v>17048</v>
      </c>
      <c r="D2241" s="194">
        <v>2021.0</v>
      </c>
      <c r="E2241" s="193"/>
      <c r="F2241" s="195" t="s">
        <v>19667</v>
      </c>
      <c r="G2241" s="196">
        <v>4.001419304E9</v>
      </c>
      <c r="H2241" s="197">
        <v>19.4</v>
      </c>
      <c r="I2241" s="7" t="s">
        <v>16815</v>
      </c>
      <c r="J2241" s="7" t="s">
        <v>16919</v>
      </c>
      <c r="K2241" s="7" t="s">
        <v>17048</v>
      </c>
      <c r="L2241" s="198" t="s">
        <v>65</v>
      </c>
      <c r="M2241" s="194"/>
      <c r="N2241" s="194"/>
    </row>
    <row r="2242">
      <c r="A2242" s="193" t="s">
        <v>19666</v>
      </c>
      <c r="B2242" s="7" t="s">
        <v>17048</v>
      </c>
      <c r="C2242" s="7" t="s">
        <v>16919</v>
      </c>
      <c r="D2242" s="194">
        <v>2021.0</v>
      </c>
      <c r="E2242" s="193"/>
      <c r="F2242" s="195" t="s">
        <v>19667</v>
      </c>
      <c r="G2242" s="200">
        <v>4.001419304E9</v>
      </c>
      <c r="H2242" s="197">
        <v>19.4</v>
      </c>
      <c r="I2242" s="7" t="s">
        <v>16815</v>
      </c>
      <c r="J2242" s="7" t="s">
        <v>17048</v>
      </c>
      <c r="K2242" s="7" t="s">
        <v>16919</v>
      </c>
      <c r="L2242" s="201" t="s">
        <v>16835</v>
      </c>
      <c r="M2242" s="194"/>
      <c r="N2242" s="194"/>
    </row>
    <row r="2243">
      <c r="A2243" s="193" t="s">
        <v>19668</v>
      </c>
      <c r="B2243" s="7" t="s">
        <v>16867</v>
      </c>
      <c r="C2243" s="7" t="s">
        <v>16838</v>
      </c>
      <c r="D2243" s="199"/>
      <c r="E2243" s="193"/>
      <c r="F2243" s="195" t="s">
        <v>19669</v>
      </c>
      <c r="G2243" s="200">
        <v>3.996790854E9</v>
      </c>
      <c r="H2243" s="197">
        <v>27.33</v>
      </c>
      <c r="I2243" s="7" t="s">
        <v>16815</v>
      </c>
      <c r="J2243" s="7" t="s">
        <v>16867</v>
      </c>
      <c r="K2243" s="7" t="s">
        <v>16838</v>
      </c>
      <c r="L2243" s="201" t="s">
        <v>16835</v>
      </c>
      <c r="M2243" s="199"/>
      <c r="N2243" s="199"/>
    </row>
    <row r="2244">
      <c r="A2244" s="193" t="s">
        <v>19668</v>
      </c>
      <c r="B2244" s="7" t="s">
        <v>16838</v>
      </c>
      <c r="C2244" s="7" t="s">
        <v>16867</v>
      </c>
      <c r="D2244" s="199"/>
      <c r="E2244" s="193"/>
      <c r="F2244" s="195" t="s">
        <v>19669</v>
      </c>
      <c r="G2244" s="196">
        <v>3.996790854E9</v>
      </c>
      <c r="H2244" s="197">
        <v>27.33</v>
      </c>
      <c r="I2244" s="7" t="s">
        <v>16815</v>
      </c>
      <c r="J2244" s="7" t="s">
        <v>16838</v>
      </c>
      <c r="K2244" s="7" t="s">
        <v>16867</v>
      </c>
      <c r="L2244" s="198" t="s">
        <v>65</v>
      </c>
      <c r="M2244" s="199"/>
      <c r="N2244" s="199"/>
    </row>
    <row r="2245">
      <c r="A2245" s="193" t="s">
        <v>19670</v>
      </c>
      <c r="B2245" s="7" t="s">
        <v>175</v>
      </c>
      <c r="C2245" s="7" t="s">
        <v>16842</v>
      </c>
      <c r="D2245" s="199"/>
      <c r="E2245" s="193"/>
      <c r="F2245" s="195" t="s">
        <v>19671</v>
      </c>
      <c r="G2245" s="196">
        <v>3.992055828E9</v>
      </c>
      <c r="H2245" s="197">
        <v>65.52</v>
      </c>
      <c r="I2245" s="7" t="s">
        <v>16908</v>
      </c>
      <c r="J2245" s="7" t="s">
        <v>175</v>
      </c>
      <c r="K2245" s="7" t="s">
        <v>16842</v>
      </c>
      <c r="L2245" s="198" t="s">
        <v>65</v>
      </c>
      <c r="M2245" s="199"/>
      <c r="N2245" s="199"/>
    </row>
    <row r="2246">
      <c r="A2246" s="193" t="s">
        <v>19670</v>
      </c>
      <c r="B2246" s="7" t="s">
        <v>16842</v>
      </c>
      <c r="C2246" s="7" t="s">
        <v>175</v>
      </c>
      <c r="D2246" s="199"/>
      <c r="E2246" s="193"/>
      <c r="F2246" s="195" t="s">
        <v>19671</v>
      </c>
      <c r="G2246" s="200">
        <v>3.992055828E9</v>
      </c>
      <c r="H2246" s="197">
        <v>65.52</v>
      </c>
      <c r="I2246" s="7" t="s">
        <v>16815</v>
      </c>
      <c r="J2246" s="7" t="s">
        <v>16842</v>
      </c>
      <c r="K2246" s="7" t="s">
        <v>175</v>
      </c>
      <c r="L2246" s="201" t="s">
        <v>16835</v>
      </c>
      <c r="M2246" s="199"/>
      <c r="N2246" s="199"/>
    </row>
    <row r="2247">
      <c r="A2247" s="193" t="s">
        <v>19672</v>
      </c>
      <c r="B2247" s="7" t="s">
        <v>16838</v>
      </c>
      <c r="C2247" s="7" t="s">
        <v>16867</v>
      </c>
      <c r="D2247" s="199"/>
      <c r="E2247" s="193"/>
      <c r="F2247" s="195" t="s">
        <v>19673</v>
      </c>
      <c r="G2247" s="196">
        <v>3.991341804E9</v>
      </c>
      <c r="H2247" s="197">
        <v>29.58</v>
      </c>
      <c r="I2247" s="7" t="s">
        <v>16815</v>
      </c>
      <c r="J2247" s="7" t="s">
        <v>16838</v>
      </c>
      <c r="K2247" s="7" t="s">
        <v>16867</v>
      </c>
      <c r="L2247" s="198" t="s">
        <v>65</v>
      </c>
      <c r="M2247" s="199"/>
      <c r="N2247" s="199"/>
    </row>
    <row r="2248">
      <c r="A2248" s="193" t="s">
        <v>19674</v>
      </c>
      <c r="B2248" s="7" t="s">
        <v>16919</v>
      </c>
      <c r="C2248" s="7" t="s">
        <v>110</v>
      </c>
      <c r="D2248" s="194">
        <v>1996.0</v>
      </c>
      <c r="E2248" s="193"/>
      <c r="F2248" s="195" t="s">
        <v>19675</v>
      </c>
      <c r="G2248" s="196">
        <v>3.982206749E9</v>
      </c>
      <c r="H2248" s="197">
        <v>43.04</v>
      </c>
      <c r="I2248" s="7" t="s">
        <v>16815</v>
      </c>
      <c r="J2248" s="7" t="s">
        <v>16919</v>
      </c>
      <c r="K2248" s="7" t="s">
        <v>110</v>
      </c>
      <c r="L2248" s="198" t="s">
        <v>65</v>
      </c>
      <c r="M2248" s="194"/>
      <c r="N2248" s="194"/>
    </row>
    <row r="2249">
      <c r="A2249" s="193" t="s">
        <v>19676</v>
      </c>
      <c r="B2249" s="7" t="s">
        <v>187</v>
      </c>
      <c r="C2249" s="7" t="s">
        <v>16846</v>
      </c>
      <c r="D2249" s="194">
        <v>1991.0</v>
      </c>
      <c r="E2249" s="193"/>
      <c r="F2249" s="195" t="s">
        <v>19677</v>
      </c>
      <c r="G2249" s="196">
        <v>3.971774607E9</v>
      </c>
      <c r="H2249" s="197">
        <v>23.8</v>
      </c>
      <c r="I2249" s="7" t="s">
        <v>16815</v>
      </c>
      <c r="J2249" s="7" t="s">
        <v>187</v>
      </c>
      <c r="K2249" s="7" t="s">
        <v>16846</v>
      </c>
      <c r="L2249" s="198" t="s">
        <v>65</v>
      </c>
      <c r="M2249" s="194"/>
      <c r="N2249" s="194"/>
    </row>
    <row r="2250">
      <c r="A2250" s="193" t="s">
        <v>19678</v>
      </c>
      <c r="B2250" s="7" t="s">
        <v>17111</v>
      </c>
      <c r="C2250" s="7" t="s">
        <v>17112</v>
      </c>
      <c r="D2250" s="199"/>
      <c r="E2250" s="193"/>
      <c r="F2250" s="195" t="s">
        <v>19679</v>
      </c>
      <c r="G2250" s="200">
        <v>3.967888086E9</v>
      </c>
      <c r="H2250" s="197">
        <v>70.57</v>
      </c>
      <c r="I2250" s="7" t="s">
        <v>16815</v>
      </c>
      <c r="J2250" s="7" t="s">
        <v>17111</v>
      </c>
      <c r="K2250" s="7" t="s">
        <v>17112</v>
      </c>
      <c r="L2250" s="201" t="s">
        <v>16835</v>
      </c>
      <c r="M2250" s="199"/>
      <c r="N2250" s="199"/>
    </row>
    <row r="2251">
      <c r="A2251" s="193" t="s">
        <v>19678</v>
      </c>
      <c r="B2251" s="7" t="s">
        <v>17112</v>
      </c>
      <c r="C2251" s="7" t="s">
        <v>17111</v>
      </c>
      <c r="D2251" s="199"/>
      <c r="E2251" s="193"/>
      <c r="F2251" s="195" t="s">
        <v>19679</v>
      </c>
      <c r="G2251" s="196">
        <v>3.967888086E9</v>
      </c>
      <c r="H2251" s="197">
        <v>70.57</v>
      </c>
      <c r="I2251" s="7" t="s">
        <v>16815</v>
      </c>
      <c r="J2251" s="7" t="s">
        <v>17112</v>
      </c>
      <c r="K2251" s="7" t="s">
        <v>17111</v>
      </c>
      <c r="L2251" s="198" t="s">
        <v>65</v>
      </c>
      <c r="M2251" s="199"/>
      <c r="N2251" s="199"/>
    </row>
    <row r="2252">
      <c r="A2252" s="193" t="s">
        <v>19680</v>
      </c>
      <c r="B2252" s="7" t="s">
        <v>187</v>
      </c>
      <c r="C2252" s="7" t="s">
        <v>16851</v>
      </c>
      <c r="D2252" s="199"/>
      <c r="E2252" s="193"/>
      <c r="F2252" s="195" t="s">
        <v>19681</v>
      </c>
      <c r="G2252" s="196">
        <v>3.964354539E9</v>
      </c>
      <c r="H2252" s="197">
        <v>59.33</v>
      </c>
      <c r="I2252" s="7" t="s">
        <v>16815</v>
      </c>
      <c r="J2252" s="7" t="s">
        <v>187</v>
      </c>
      <c r="K2252" s="7" t="s">
        <v>16851</v>
      </c>
      <c r="L2252" s="198" t="s">
        <v>65</v>
      </c>
      <c r="M2252" s="199"/>
      <c r="N2252" s="199"/>
    </row>
    <row r="2253">
      <c r="A2253" s="193" t="s">
        <v>19682</v>
      </c>
      <c r="B2253" s="7" t="s">
        <v>16838</v>
      </c>
      <c r="C2253" s="7" t="s">
        <v>17202</v>
      </c>
      <c r="D2253" s="199"/>
      <c r="E2253" s="193"/>
      <c r="F2253" s="195" t="s">
        <v>19683</v>
      </c>
      <c r="G2253" s="196">
        <v>3.963288E9</v>
      </c>
      <c r="H2253" s="197">
        <v>22.83</v>
      </c>
      <c r="I2253" s="7" t="s">
        <v>16815</v>
      </c>
      <c r="J2253" s="7" t="s">
        <v>16838</v>
      </c>
      <c r="K2253" s="7" t="s">
        <v>17202</v>
      </c>
      <c r="L2253" s="198" t="s">
        <v>65</v>
      </c>
      <c r="M2253" s="199"/>
      <c r="N2253" s="199"/>
    </row>
    <row r="2254">
      <c r="A2254" s="193" t="s">
        <v>19684</v>
      </c>
      <c r="B2254" s="7" t="s">
        <v>175</v>
      </c>
      <c r="C2254" s="7" t="s">
        <v>17233</v>
      </c>
      <c r="D2254" s="194">
        <v>2015.0</v>
      </c>
      <c r="E2254" s="193"/>
      <c r="F2254" s="195" t="s">
        <v>19685</v>
      </c>
      <c r="G2254" s="196">
        <v>3.962645081E9</v>
      </c>
      <c r="H2254" s="197">
        <v>18.01</v>
      </c>
      <c r="I2254" s="7" t="s">
        <v>16908</v>
      </c>
      <c r="J2254" s="7" t="s">
        <v>175</v>
      </c>
      <c r="K2254" s="7" t="s">
        <v>17233</v>
      </c>
      <c r="L2254" s="198" t="s">
        <v>65</v>
      </c>
      <c r="M2254" s="194"/>
      <c r="N2254" s="194"/>
    </row>
    <row r="2255">
      <c r="A2255" s="193" t="s">
        <v>19684</v>
      </c>
      <c r="B2255" s="7" t="s">
        <v>17233</v>
      </c>
      <c r="C2255" s="7" t="s">
        <v>175</v>
      </c>
      <c r="D2255" s="194">
        <v>2015.0</v>
      </c>
      <c r="E2255" s="193"/>
      <c r="F2255" s="195" t="s">
        <v>19685</v>
      </c>
      <c r="G2255" s="200">
        <v>3.962645081E9</v>
      </c>
      <c r="H2255" s="197">
        <v>18.01</v>
      </c>
      <c r="I2255" s="7" t="s">
        <v>16815</v>
      </c>
      <c r="J2255" s="7" t="s">
        <v>17233</v>
      </c>
      <c r="K2255" s="7" t="s">
        <v>175</v>
      </c>
      <c r="L2255" s="201" t="s">
        <v>16835</v>
      </c>
      <c r="M2255" s="194"/>
      <c r="N2255" s="194"/>
    </row>
    <row r="2256">
      <c r="A2256" s="193" t="s">
        <v>19686</v>
      </c>
      <c r="B2256" s="7" t="s">
        <v>16582</v>
      </c>
      <c r="C2256" s="7" t="s">
        <v>16817</v>
      </c>
      <c r="D2256" s="194">
        <v>2021.0</v>
      </c>
      <c r="E2256" s="193"/>
      <c r="F2256" s="195" t="s">
        <v>19687</v>
      </c>
      <c r="G2256" s="196">
        <v>3.95669854E9</v>
      </c>
      <c r="H2256" s="197">
        <v>29.1</v>
      </c>
      <c r="I2256" s="7" t="s">
        <v>16815</v>
      </c>
      <c r="J2256" s="7" t="s">
        <v>16582</v>
      </c>
      <c r="K2256" s="7" t="s">
        <v>16817</v>
      </c>
      <c r="L2256" s="198" t="s">
        <v>65</v>
      </c>
      <c r="M2256" s="194"/>
      <c r="N2256" s="194"/>
    </row>
    <row r="2257">
      <c r="A2257" s="193" t="s">
        <v>19686</v>
      </c>
      <c r="B2257" s="7" t="s">
        <v>16817</v>
      </c>
      <c r="C2257" s="7" t="s">
        <v>16582</v>
      </c>
      <c r="D2257" s="194">
        <v>2021.0</v>
      </c>
      <c r="E2257" s="193"/>
      <c r="F2257" s="195" t="s">
        <v>19687</v>
      </c>
      <c r="G2257" s="200">
        <v>3.95669854E9</v>
      </c>
      <c r="H2257" s="197">
        <v>29.1</v>
      </c>
      <c r="I2257" s="7" t="s">
        <v>16815</v>
      </c>
      <c r="J2257" s="7" t="s">
        <v>16817</v>
      </c>
      <c r="K2257" s="7" t="s">
        <v>16582</v>
      </c>
      <c r="L2257" s="201" t="s">
        <v>16835</v>
      </c>
      <c r="M2257" s="194"/>
      <c r="N2257" s="194"/>
    </row>
    <row r="2258">
      <c r="A2258" s="193" t="s">
        <v>19688</v>
      </c>
      <c r="B2258" s="7" t="s">
        <v>187</v>
      </c>
      <c r="C2258" s="7" t="s">
        <v>16846</v>
      </c>
      <c r="D2258" s="199"/>
      <c r="E2258" s="193"/>
      <c r="F2258" s="195" t="s">
        <v>19689</v>
      </c>
      <c r="G2258" s="196">
        <v>3.948614371E9</v>
      </c>
      <c r="H2258" s="197">
        <v>56.29</v>
      </c>
      <c r="I2258" s="7" t="s">
        <v>16815</v>
      </c>
      <c r="J2258" s="7" t="s">
        <v>187</v>
      </c>
      <c r="K2258" s="7" t="s">
        <v>16846</v>
      </c>
      <c r="L2258" s="198" t="s">
        <v>65</v>
      </c>
      <c r="M2258" s="199"/>
      <c r="N2258" s="199"/>
    </row>
    <row r="2259">
      <c r="A2259" s="193" t="s">
        <v>19690</v>
      </c>
      <c r="B2259" s="7" t="s">
        <v>16582</v>
      </c>
      <c r="C2259" s="7" t="s">
        <v>16817</v>
      </c>
      <c r="D2259" s="194">
        <v>2021.0</v>
      </c>
      <c r="E2259" s="193"/>
      <c r="F2259" s="195" t="s">
        <v>19691</v>
      </c>
      <c r="G2259" s="196">
        <v>3.943859883E9</v>
      </c>
      <c r="H2259" s="197">
        <v>21.3</v>
      </c>
      <c r="I2259" s="7" t="s">
        <v>16815</v>
      </c>
      <c r="J2259" s="7" t="s">
        <v>16582</v>
      </c>
      <c r="K2259" s="7" t="s">
        <v>16817</v>
      </c>
      <c r="L2259" s="198" t="s">
        <v>65</v>
      </c>
      <c r="M2259" s="194"/>
      <c r="N2259" s="194"/>
    </row>
    <row r="2260">
      <c r="A2260" s="193" t="s">
        <v>19692</v>
      </c>
      <c r="B2260" s="7" t="s">
        <v>16838</v>
      </c>
      <c r="C2260" s="7" t="s">
        <v>19644</v>
      </c>
      <c r="D2260" s="199"/>
      <c r="E2260" s="193"/>
      <c r="F2260" s="195" t="s">
        <v>19693</v>
      </c>
      <c r="G2260" s="196">
        <v>3.9393312E9</v>
      </c>
      <c r="H2260" s="197">
        <v>22.692</v>
      </c>
      <c r="I2260" s="7" t="s">
        <v>16815</v>
      </c>
      <c r="J2260" s="7" t="s">
        <v>16838</v>
      </c>
      <c r="K2260" s="7" t="s">
        <v>19644</v>
      </c>
      <c r="L2260" s="198" t="s">
        <v>65</v>
      </c>
      <c r="M2260" s="199"/>
      <c r="N2260" s="199"/>
    </row>
    <row r="2261">
      <c r="A2261" s="193" t="s">
        <v>19694</v>
      </c>
      <c r="B2261" s="7" t="s">
        <v>16582</v>
      </c>
      <c r="C2261" s="7" t="s">
        <v>16828</v>
      </c>
      <c r="D2261" s="194">
        <v>1989.0</v>
      </c>
      <c r="E2261" s="193"/>
      <c r="F2261" s="195" t="s">
        <v>19695</v>
      </c>
      <c r="G2261" s="196">
        <v>3.936148082E9</v>
      </c>
      <c r="H2261" s="197">
        <v>73.03</v>
      </c>
      <c r="I2261" s="7" t="s">
        <v>16815</v>
      </c>
      <c r="J2261" s="7" t="s">
        <v>16582</v>
      </c>
      <c r="K2261" s="7" t="s">
        <v>16828</v>
      </c>
      <c r="L2261" s="198" t="s">
        <v>65</v>
      </c>
      <c r="M2261" s="194"/>
      <c r="N2261" s="194"/>
    </row>
    <row r="2262">
      <c r="A2262" s="193" t="s">
        <v>19696</v>
      </c>
      <c r="B2262" s="7" t="s">
        <v>187</v>
      </c>
      <c r="C2262" s="7" t="s">
        <v>16846</v>
      </c>
      <c r="D2262" s="194">
        <v>1989.0</v>
      </c>
      <c r="E2262" s="193"/>
      <c r="F2262" s="195" t="s">
        <v>19697</v>
      </c>
      <c r="G2262" s="196">
        <v>3.930060684E9</v>
      </c>
      <c r="H2262" s="197">
        <v>14.76</v>
      </c>
      <c r="I2262" s="7" t="s">
        <v>16815</v>
      </c>
      <c r="J2262" s="7" t="s">
        <v>187</v>
      </c>
      <c r="K2262" s="7" t="s">
        <v>16846</v>
      </c>
      <c r="L2262" s="198" t="s">
        <v>65</v>
      </c>
      <c r="M2262" s="194"/>
      <c r="N2262" s="194"/>
    </row>
    <row r="2263">
      <c r="A2263" s="193" t="s">
        <v>19698</v>
      </c>
      <c r="B2263" s="7" t="s">
        <v>175</v>
      </c>
      <c r="C2263" s="7" t="s">
        <v>16878</v>
      </c>
      <c r="D2263" s="199"/>
      <c r="E2263" s="193"/>
      <c r="F2263" s="195" t="s">
        <v>19699</v>
      </c>
      <c r="G2263" s="196">
        <v>3.922765541E9</v>
      </c>
      <c r="H2263" s="197">
        <v>122.66</v>
      </c>
      <c r="I2263" s="7" t="s">
        <v>168</v>
      </c>
      <c r="J2263" s="7" t="s">
        <v>175</v>
      </c>
      <c r="K2263" s="7" t="s">
        <v>16878</v>
      </c>
      <c r="L2263" s="198" t="s">
        <v>65</v>
      </c>
      <c r="M2263" s="199"/>
      <c r="N2263" s="199"/>
    </row>
    <row r="2264">
      <c r="A2264" s="193" t="s">
        <v>19700</v>
      </c>
      <c r="B2264" s="7" t="s">
        <v>16582</v>
      </c>
      <c r="C2264" s="7" t="s">
        <v>16817</v>
      </c>
      <c r="D2264" s="194">
        <v>2004.0</v>
      </c>
      <c r="E2264" s="193"/>
      <c r="F2264" s="195" t="s">
        <v>19701</v>
      </c>
      <c r="G2264" s="196">
        <v>3.911315427E9</v>
      </c>
      <c r="H2264" s="197">
        <v>72.63</v>
      </c>
      <c r="I2264" s="7" t="s">
        <v>16815</v>
      </c>
      <c r="J2264" s="7" t="s">
        <v>16582</v>
      </c>
      <c r="K2264" s="7" t="s">
        <v>16817</v>
      </c>
      <c r="L2264" s="198" t="s">
        <v>65</v>
      </c>
      <c r="M2264" s="194"/>
      <c r="N2264" s="194"/>
    </row>
    <row r="2265">
      <c r="A2265" s="193" t="s">
        <v>19702</v>
      </c>
      <c r="B2265" s="7" t="s">
        <v>16582</v>
      </c>
      <c r="C2265" s="7" t="s">
        <v>16930</v>
      </c>
      <c r="D2265" s="194">
        <v>2021.0</v>
      </c>
      <c r="E2265" s="193"/>
      <c r="F2265" s="195" t="s">
        <v>19703</v>
      </c>
      <c r="G2265" s="196">
        <v>3.910715716E9</v>
      </c>
      <c r="H2265" s="197">
        <v>20.17</v>
      </c>
      <c r="I2265" s="7" t="s">
        <v>16815</v>
      </c>
      <c r="J2265" s="7" t="s">
        <v>16582</v>
      </c>
      <c r="K2265" s="7" t="s">
        <v>16930</v>
      </c>
      <c r="L2265" s="198" t="s">
        <v>65</v>
      </c>
      <c r="M2265" s="194"/>
      <c r="N2265" s="194"/>
    </row>
    <row r="2266">
      <c r="A2266" s="193" t="s">
        <v>19704</v>
      </c>
      <c r="B2266" s="7" t="s">
        <v>16582</v>
      </c>
      <c r="C2266" s="7" t="s">
        <v>16817</v>
      </c>
      <c r="D2266" s="194">
        <v>2021.0</v>
      </c>
      <c r="E2266" s="193"/>
      <c r="F2266" s="195" t="s">
        <v>19705</v>
      </c>
      <c r="G2266" s="196">
        <v>3.908348433E9</v>
      </c>
      <c r="H2266" s="197">
        <v>14.45</v>
      </c>
      <c r="I2266" s="7" t="s">
        <v>16815</v>
      </c>
      <c r="J2266" s="7" t="s">
        <v>16582</v>
      </c>
      <c r="K2266" s="7" t="s">
        <v>16817</v>
      </c>
      <c r="L2266" s="198" t="s">
        <v>65</v>
      </c>
      <c r="M2266" s="194"/>
      <c r="N2266" s="194"/>
    </row>
    <row r="2267">
      <c r="A2267" s="193" t="s">
        <v>19704</v>
      </c>
      <c r="B2267" s="7" t="s">
        <v>16817</v>
      </c>
      <c r="C2267" s="7" t="s">
        <v>16582</v>
      </c>
      <c r="D2267" s="194">
        <v>2021.0</v>
      </c>
      <c r="E2267" s="193"/>
      <c r="F2267" s="195" t="s">
        <v>19705</v>
      </c>
      <c r="G2267" s="200">
        <v>3.908348433E9</v>
      </c>
      <c r="H2267" s="197">
        <v>14.45</v>
      </c>
      <c r="I2267" s="7" t="s">
        <v>16815</v>
      </c>
      <c r="J2267" s="7" t="s">
        <v>16817</v>
      </c>
      <c r="K2267" s="7" t="s">
        <v>16582</v>
      </c>
      <c r="L2267" s="201" t="s">
        <v>16835</v>
      </c>
      <c r="M2267" s="194"/>
      <c r="N2267" s="194"/>
    </row>
    <row r="2268">
      <c r="A2268" s="193" t="s">
        <v>19706</v>
      </c>
      <c r="B2268" s="7" t="s">
        <v>169</v>
      </c>
      <c r="C2268" s="7" t="s">
        <v>18570</v>
      </c>
      <c r="D2268" s="199"/>
      <c r="E2268" s="193"/>
      <c r="F2268" s="195" t="s">
        <v>19707</v>
      </c>
      <c r="G2268" s="196">
        <v>3.907915165E9</v>
      </c>
      <c r="H2268" s="197">
        <v>72.34</v>
      </c>
      <c r="I2268" s="7" t="s">
        <v>16815</v>
      </c>
      <c r="J2268" s="7" t="s">
        <v>169</v>
      </c>
      <c r="K2268" s="7" t="s">
        <v>18570</v>
      </c>
      <c r="L2268" s="198" t="s">
        <v>65</v>
      </c>
      <c r="M2268" s="199"/>
      <c r="N2268" s="199"/>
    </row>
    <row r="2269">
      <c r="A2269" s="193" t="s">
        <v>19706</v>
      </c>
      <c r="B2269" s="7" t="s">
        <v>18570</v>
      </c>
      <c r="C2269" s="7" t="s">
        <v>169</v>
      </c>
      <c r="D2269" s="199"/>
      <c r="E2269" s="193"/>
      <c r="F2269" s="195" t="s">
        <v>19707</v>
      </c>
      <c r="G2269" s="200">
        <v>3.907915165E9</v>
      </c>
      <c r="H2269" s="197">
        <v>72.34</v>
      </c>
      <c r="I2269" s="7" t="s">
        <v>16815</v>
      </c>
      <c r="J2269" s="7" t="s">
        <v>18570</v>
      </c>
      <c r="K2269" s="7" t="s">
        <v>169</v>
      </c>
      <c r="L2269" s="201" t="s">
        <v>16835</v>
      </c>
      <c r="M2269" s="199"/>
      <c r="N2269" s="199"/>
    </row>
    <row r="2270">
      <c r="A2270" s="193" t="s">
        <v>19708</v>
      </c>
      <c r="B2270" s="7" t="s">
        <v>17111</v>
      </c>
      <c r="C2270" s="7" t="s">
        <v>17112</v>
      </c>
      <c r="D2270" s="199"/>
      <c r="E2270" s="193"/>
      <c r="F2270" s="195" t="s">
        <v>19709</v>
      </c>
      <c r="G2270" s="200">
        <v>3.903499216E9</v>
      </c>
      <c r="H2270" s="197">
        <v>20.51</v>
      </c>
      <c r="I2270" s="7" t="s">
        <v>16815</v>
      </c>
      <c r="J2270" s="7" t="s">
        <v>17111</v>
      </c>
      <c r="K2270" s="7" t="s">
        <v>17112</v>
      </c>
      <c r="L2270" s="201" t="s">
        <v>16835</v>
      </c>
      <c r="M2270" s="199"/>
      <c r="N2270" s="199"/>
    </row>
    <row r="2271">
      <c r="A2271" s="193" t="s">
        <v>19708</v>
      </c>
      <c r="B2271" s="7" t="s">
        <v>17112</v>
      </c>
      <c r="C2271" s="7" t="s">
        <v>17111</v>
      </c>
      <c r="D2271" s="199"/>
      <c r="E2271" s="193"/>
      <c r="F2271" s="195" t="s">
        <v>19709</v>
      </c>
      <c r="G2271" s="196">
        <v>3.903499216E9</v>
      </c>
      <c r="H2271" s="197">
        <v>20.51</v>
      </c>
      <c r="I2271" s="7" t="s">
        <v>16815</v>
      </c>
      <c r="J2271" s="7" t="s">
        <v>17112</v>
      </c>
      <c r="K2271" s="7" t="s">
        <v>17111</v>
      </c>
      <c r="L2271" s="198" t="s">
        <v>65</v>
      </c>
      <c r="M2271" s="199"/>
      <c r="N2271" s="199"/>
    </row>
    <row r="2272">
      <c r="A2272" s="193" t="s">
        <v>19710</v>
      </c>
      <c r="B2272" s="7" t="s">
        <v>17043</v>
      </c>
      <c r="C2272" s="7" t="s">
        <v>169</v>
      </c>
      <c r="D2272" s="194">
        <v>2017.0</v>
      </c>
      <c r="E2272" s="193"/>
      <c r="F2272" s="195" t="s">
        <v>19711</v>
      </c>
      <c r="G2272" s="200">
        <v>3.903000009E9</v>
      </c>
      <c r="H2272" s="197">
        <v>22.12</v>
      </c>
      <c r="I2272" s="7" t="s">
        <v>16815</v>
      </c>
      <c r="J2272" s="7" t="s">
        <v>17043</v>
      </c>
      <c r="K2272" s="7" t="s">
        <v>169</v>
      </c>
      <c r="L2272" s="201" t="s">
        <v>16835</v>
      </c>
      <c r="M2272" s="194"/>
      <c r="N2272" s="194"/>
    </row>
    <row r="2273">
      <c r="A2273" s="193" t="s">
        <v>19710</v>
      </c>
      <c r="B2273" s="7" t="s">
        <v>169</v>
      </c>
      <c r="C2273" s="7" t="s">
        <v>17043</v>
      </c>
      <c r="D2273" s="194">
        <v>2017.0</v>
      </c>
      <c r="E2273" s="193"/>
      <c r="F2273" s="195" t="s">
        <v>19711</v>
      </c>
      <c r="G2273" s="196">
        <v>3.903000009E9</v>
      </c>
      <c r="H2273" s="197">
        <v>22.12</v>
      </c>
      <c r="I2273" s="7" t="s">
        <v>16815</v>
      </c>
      <c r="J2273" s="7" t="s">
        <v>169</v>
      </c>
      <c r="K2273" s="7" t="s">
        <v>17043</v>
      </c>
      <c r="L2273" s="198" t="s">
        <v>65</v>
      </c>
      <c r="M2273" s="194"/>
      <c r="N2273" s="194"/>
    </row>
    <row r="2274">
      <c r="A2274" s="193" t="s">
        <v>19712</v>
      </c>
      <c r="B2274" s="7" t="s">
        <v>175</v>
      </c>
      <c r="C2274" s="7" t="s">
        <v>16942</v>
      </c>
      <c r="D2274" s="199"/>
      <c r="E2274" s="193"/>
      <c r="F2274" s="195" t="s">
        <v>19713</v>
      </c>
      <c r="G2274" s="196">
        <v>3.90036567E9</v>
      </c>
      <c r="H2274" s="197">
        <v>18.91</v>
      </c>
      <c r="I2274" s="7" t="s">
        <v>16856</v>
      </c>
      <c r="J2274" s="7" t="s">
        <v>175</v>
      </c>
      <c r="K2274" s="7" t="s">
        <v>16942</v>
      </c>
      <c r="L2274" s="198" t="s">
        <v>65</v>
      </c>
      <c r="M2274" s="199"/>
      <c r="N2274" s="199"/>
    </row>
    <row r="2275">
      <c r="A2275" s="193" t="s">
        <v>19714</v>
      </c>
      <c r="B2275" s="7" t="s">
        <v>16885</v>
      </c>
      <c r="C2275" s="7" t="s">
        <v>17726</v>
      </c>
      <c r="D2275" s="199"/>
      <c r="E2275" s="193"/>
      <c r="F2275" s="195" t="s">
        <v>19715</v>
      </c>
      <c r="G2275" s="196">
        <v>3.89923226E9</v>
      </c>
      <c r="H2275" s="197">
        <v>3.01</v>
      </c>
      <c r="I2275" s="7" t="s">
        <v>16888</v>
      </c>
      <c r="J2275" s="7" t="s">
        <v>16885</v>
      </c>
      <c r="K2275" s="7" t="s">
        <v>17726</v>
      </c>
      <c r="L2275" s="198" t="s">
        <v>65</v>
      </c>
      <c r="M2275" s="199"/>
      <c r="N2275" s="199"/>
    </row>
    <row r="2276">
      <c r="A2276" s="193" t="s">
        <v>19714</v>
      </c>
      <c r="B2276" s="202" t="s">
        <v>17726</v>
      </c>
      <c r="C2276" s="193" t="s">
        <v>16885</v>
      </c>
      <c r="D2276" s="206"/>
      <c r="E2276" s="193"/>
      <c r="F2276" s="203" t="s">
        <v>19715</v>
      </c>
      <c r="G2276" s="200">
        <v>3.89923226E9</v>
      </c>
      <c r="H2276" s="205">
        <v>32.4</v>
      </c>
      <c r="J2276" s="202" t="s">
        <v>17726</v>
      </c>
      <c r="K2276" s="193" t="s">
        <v>16885</v>
      </c>
      <c r="L2276" s="193" t="s">
        <v>17471</v>
      </c>
      <c r="M2276" s="206"/>
      <c r="N2276" s="206"/>
    </row>
    <row r="2277">
      <c r="A2277" s="193" t="s">
        <v>19716</v>
      </c>
      <c r="B2277" s="7" t="s">
        <v>16582</v>
      </c>
      <c r="C2277" s="7" t="s">
        <v>16583</v>
      </c>
      <c r="D2277" s="199"/>
      <c r="E2277" s="193"/>
      <c r="F2277" s="195" t="s">
        <v>19717</v>
      </c>
      <c r="G2277" s="196">
        <v>3.895932947E9</v>
      </c>
      <c r="H2277" s="197">
        <v>45.38</v>
      </c>
      <c r="I2277" s="7" t="s">
        <v>16815</v>
      </c>
      <c r="J2277" s="7" t="s">
        <v>16582</v>
      </c>
      <c r="K2277" s="7" t="s">
        <v>16583</v>
      </c>
      <c r="L2277" s="198" t="s">
        <v>65</v>
      </c>
      <c r="M2277" s="199"/>
      <c r="N2277" s="199"/>
    </row>
    <row r="2278">
      <c r="A2278" s="193" t="s">
        <v>19718</v>
      </c>
      <c r="B2278" s="7" t="s">
        <v>19719</v>
      </c>
      <c r="C2278" s="7" t="s">
        <v>169</v>
      </c>
      <c r="D2278" s="199"/>
      <c r="E2278" s="193"/>
      <c r="F2278" s="195" t="s">
        <v>19720</v>
      </c>
      <c r="G2278" s="200">
        <v>3.882826793E9</v>
      </c>
      <c r="H2278" s="197">
        <v>49.26</v>
      </c>
      <c r="I2278" s="193" t="s">
        <v>16815</v>
      </c>
      <c r="J2278" s="7" t="s">
        <v>19719</v>
      </c>
      <c r="K2278" s="7" t="s">
        <v>169</v>
      </c>
      <c r="L2278" s="201" t="s">
        <v>16835</v>
      </c>
      <c r="M2278" s="199"/>
      <c r="N2278" s="199"/>
    </row>
    <row r="2279">
      <c r="A2279" s="193" t="s">
        <v>19718</v>
      </c>
      <c r="B2279" s="7" t="s">
        <v>169</v>
      </c>
      <c r="C2279" s="7" t="s">
        <v>19719</v>
      </c>
      <c r="D2279" s="199"/>
      <c r="E2279" s="193"/>
      <c r="F2279" s="195" t="s">
        <v>19720</v>
      </c>
      <c r="G2279" s="196">
        <v>3.882826793E9</v>
      </c>
      <c r="H2279" s="197">
        <v>49.26</v>
      </c>
      <c r="I2279" s="7" t="s">
        <v>16815</v>
      </c>
      <c r="J2279" s="7" t="s">
        <v>169</v>
      </c>
      <c r="K2279" s="7" t="s">
        <v>19719</v>
      </c>
      <c r="L2279" s="198" t="s">
        <v>65</v>
      </c>
      <c r="M2279" s="199"/>
      <c r="N2279" s="199"/>
    </row>
    <row r="2280">
      <c r="A2280" s="193" t="s">
        <v>19721</v>
      </c>
      <c r="B2280" s="7" t="s">
        <v>175</v>
      </c>
      <c r="C2280" s="7" t="s">
        <v>16854</v>
      </c>
      <c r="D2280" s="194">
        <v>2019.0</v>
      </c>
      <c r="E2280" s="193"/>
      <c r="F2280" s="195" t="s">
        <v>19722</v>
      </c>
      <c r="G2280" s="196">
        <v>3.874538547E9</v>
      </c>
      <c r="H2280" s="197">
        <v>10.26</v>
      </c>
      <c r="I2280" s="7" t="s">
        <v>168</v>
      </c>
      <c r="J2280" s="7" t="s">
        <v>175</v>
      </c>
      <c r="K2280" s="7" t="s">
        <v>16854</v>
      </c>
      <c r="L2280" s="198" t="s">
        <v>65</v>
      </c>
      <c r="M2280" s="194"/>
      <c r="N2280" s="194"/>
    </row>
    <row r="2281">
      <c r="A2281" s="193" t="s">
        <v>19723</v>
      </c>
      <c r="B2281" s="7" t="s">
        <v>16582</v>
      </c>
      <c r="C2281" s="7" t="s">
        <v>16817</v>
      </c>
      <c r="D2281" s="194">
        <v>2014.0</v>
      </c>
      <c r="E2281" s="193"/>
      <c r="F2281" s="195" t="s">
        <v>19724</v>
      </c>
      <c r="G2281" s="196">
        <v>3.874370742E9</v>
      </c>
      <c r="H2281" s="197">
        <v>35.56</v>
      </c>
      <c r="I2281" s="7" t="s">
        <v>16815</v>
      </c>
      <c r="J2281" s="7" t="s">
        <v>16582</v>
      </c>
      <c r="K2281" s="7" t="s">
        <v>16817</v>
      </c>
      <c r="L2281" s="198" t="s">
        <v>65</v>
      </c>
      <c r="M2281" s="194"/>
      <c r="N2281" s="194"/>
    </row>
    <row r="2282">
      <c r="A2282" s="193" t="s">
        <v>19725</v>
      </c>
      <c r="B2282" s="7" t="s">
        <v>175</v>
      </c>
      <c r="C2282" s="7" t="s">
        <v>16878</v>
      </c>
      <c r="D2282" s="194">
        <v>2020.0</v>
      </c>
      <c r="E2282" s="193"/>
      <c r="F2282" s="195" t="s">
        <v>19726</v>
      </c>
      <c r="G2282" s="196">
        <v>3.872533179E9</v>
      </c>
      <c r="H2282" s="197">
        <v>5.64</v>
      </c>
      <c r="I2282" s="7" t="s">
        <v>168</v>
      </c>
      <c r="J2282" s="7" t="s">
        <v>175</v>
      </c>
      <c r="K2282" s="7" t="s">
        <v>16878</v>
      </c>
      <c r="L2282" s="198" t="s">
        <v>65</v>
      </c>
      <c r="M2282" s="194"/>
      <c r="N2282" s="194"/>
    </row>
    <row r="2283">
      <c r="A2283" s="193" t="s">
        <v>19725</v>
      </c>
      <c r="B2283" s="7" t="s">
        <v>16878</v>
      </c>
      <c r="C2283" s="7" t="s">
        <v>175</v>
      </c>
      <c r="D2283" s="194">
        <v>2020.0</v>
      </c>
      <c r="E2283" s="193"/>
      <c r="F2283" s="195" t="s">
        <v>19726</v>
      </c>
      <c r="G2283" s="200">
        <v>3.872533179E9</v>
      </c>
      <c r="H2283" s="197">
        <v>5.64</v>
      </c>
      <c r="I2283" s="7" t="s">
        <v>16815</v>
      </c>
      <c r="J2283" s="7" t="s">
        <v>16878</v>
      </c>
      <c r="K2283" s="7" t="s">
        <v>175</v>
      </c>
      <c r="L2283" s="201" t="s">
        <v>16835</v>
      </c>
      <c r="M2283" s="194"/>
      <c r="N2283" s="194"/>
    </row>
    <row r="2284">
      <c r="A2284" s="193" t="s">
        <v>19727</v>
      </c>
      <c r="B2284" s="7" t="s">
        <v>17127</v>
      </c>
      <c r="C2284" s="7" t="s">
        <v>16838</v>
      </c>
      <c r="D2284" s="199"/>
      <c r="E2284" s="193"/>
      <c r="F2284" s="195" t="s">
        <v>19728</v>
      </c>
      <c r="G2284" s="200">
        <v>3.866205706E9</v>
      </c>
      <c r="H2284" s="197">
        <v>1509.97</v>
      </c>
      <c r="I2284" s="7" t="s">
        <v>16815</v>
      </c>
      <c r="J2284" s="7" t="s">
        <v>17127</v>
      </c>
      <c r="K2284" s="7" t="s">
        <v>16838</v>
      </c>
      <c r="L2284" s="201" t="s">
        <v>16835</v>
      </c>
      <c r="M2284" s="199"/>
      <c r="N2284" s="199"/>
    </row>
    <row r="2285">
      <c r="A2285" s="193" t="s">
        <v>19727</v>
      </c>
      <c r="B2285" s="7" t="s">
        <v>16838</v>
      </c>
      <c r="C2285" s="7" t="s">
        <v>17127</v>
      </c>
      <c r="D2285" s="199"/>
      <c r="E2285" s="193"/>
      <c r="F2285" s="195" t="s">
        <v>19728</v>
      </c>
      <c r="G2285" s="196">
        <v>3.866205706E9</v>
      </c>
      <c r="H2285" s="197">
        <v>1509.97</v>
      </c>
      <c r="I2285" s="7" t="s">
        <v>16815</v>
      </c>
      <c r="J2285" s="7" t="s">
        <v>16838</v>
      </c>
      <c r="K2285" s="7" t="s">
        <v>17127</v>
      </c>
      <c r="L2285" s="198" t="s">
        <v>65</v>
      </c>
      <c r="M2285" s="199"/>
      <c r="N2285" s="199"/>
    </row>
    <row r="2286">
      <c r="A2286" s="193" t="s">
        <v>19729</v>
      </c>
      <c r="B2286" s="7" t="s">
        <v>16919</v>
      </c>
      <c r="C2286" s="7" t="s">
        <v>17048</v>
      </c>
      <c r="D2286" s="194">
        <v>2016.0</v>
      </c>
      <c r="E2286" s="193"/>
      <c r="F2286" s="195" t="s">
        <v>19730</v>
      </c>
      <c r="G2286" s="196">
        <v>3.86393854E9</v>
      </c>
      <c r="H2286" s="197">
        <v>5.61</v>
      </c>
      <c r="I2286" s="7" t="s">
        <v>16815</v>
      </c>
      <c r="J2286" s="7" t="s">
        <v>16919</v>
      </c>
      <c r="K2286" s="7" t="s">
        <v>17048</v>
      </c>
      <c r="L2286" s="198" t="s">
        <v>65</v>
      </c>
      <c r="M2286" s="194"/>
      <c r="N2286" s="194"/>
    </row>
    <row r="2287">
      <c r="A2287" s="193" t="s">
        <v>19729</v>
      </c>
      <c r="B2287" s="7" t="s">
        <v>17048</v>
      </c>
      <c r="C2287" s="7" t="s">
        <v>16919</v>
      </c>
      <c r="D2287" s="194">
        <v>2016.0</v>
      </c>
      <c r="E2287" s="193"/>
      <c r="F2287" s="195" t="s">
        <v>19730</v>
      </c>
      <c r="G2287" s="200">
        <v>3.86393854E9</v>
      </c>
      <c r="H2287" s="197">
        <v>5.61</v>
      </c>
      <c r="I2287" s="7" t="s">
        <v>16815</v>
      </c>
      <c r="J2287" s="7" t="s">
        <v>17048</v>
      </c>
      <c r="K2287" s="7" t="s">
        <v>16919</v>
      </c>
      <c r="L2287" s="201" t="s">
        <v>16835</v>
      </c>
      <c r="M2287" s="194"/>
      <c r="N2287" s="194"/>
    </row>
    <row r="2288">
      <c r="A2288" s="193" t="s">
        <v>19731</v>
      </c>
      <c r="B2288" s="7" t="s">
        <v>187</v>
      </c>
      <c r="C2288" s="7" t="s">
        <v>16846</v>
      </c>
      <c r="D2288" s="199"/>
      <c r="E2288" s="193"/>
      <c r="F2288" s="195" t="s">
        <v>19732</v>
      </c>
      <c r="G2288" s="196">
        <v>3.848384288E9</v>
      </c>
      <c r="H2288" s="197">
        <v>28.4</v>
      </c>
      <c r="I2288" s="7" t="s">
        <v>16815</v>
      </c>
      <c r="J2288" s="7" t="s">
        <v>187</v>
      </c>
      <c r="K2288" s="7" t="s">
        <v>16846</v>
      </c>
      <c r="L2288" s="198" t="s">
        <v>65</v>
      </c>
      <c r="M2288" s="199"/>
      <c r="N2288" s="199"/>
    </row>
    <row r="2289">
      <c r="A2289" s="193" t="s">
        <v>19731</v>
      </c>
      <c r="B2289" s="7" t="s">
        <v>16846</v>
      </c>
      <c r="C2289" s="7" t="s">
        <v>187</v>
      </c>
      <c r="D2289" s="199"/>
      <c r="E2289" s="193"/>
      <c r="F2289" s="195" t="s">
        <v>19732</v>
      </c>
      <c r="G2289" s="200">
        <v>3.848384288E9</v>
      </c>
      <c r="H2289" s="197">
        <v>28.4</v>
      </c>
      <c r="I2289" s="7" t="s">
        <v>16815</v>
      </c>
      <c r="J2289" s="7" t="s">
        <v>16846</v>
      </c>
      <c r="K2289" s="7" t="s">
        <v>187</v>
      </c>
      <c r="L2289" s="201" t="s">
        <v>16835</v>
      </c>
      <c r="M2289" s="199"/>
      <c r="N2289" s="199"/>
    </row>
    <row r="2290">
      <c r="A2290" s="193" t="s">
        <v>19733</v>
      </c>
      <c r="B2290" s="7" t="s">
        <v>16582</v>
      </c>
      <c r="C2290" s="7" t="s">
        <v>16930</v>
      </c>
      <c r="D2290" s="194">
        <v>2021.0</v>
      </c>
      <c r="E2290" s="193"/>
      <c r="F2290" s="195" t="s">
        <v>19734</v>
      </c>
      <c r="G2290" s="196">
        <v>3.829246038E9</v>
      </c>
      <c r="H2290" s="197">
        <v>22.78</v>
      </c>
      <c r="I2290" s="7" t="s">
        <v>16815</v>
      </c>
      <c r="J2290" s="7" t="s">
        <v>16582</v>
      </c>
      <c r="K2290" s="7" t="s">
        <v>16930</v>
      </c>
      <c r="L2290" s="198" t="s">
        <v>65</v>
      </c>
      <c r="M2290" s="194"/>
      <c r="N2290" s="194"/>
    </row>
    <row r="2291">
      <c r="A2291" s="193" t="s">
        <v>19733</v>
      </c>
      <c r="B2291" s="7" t="s">
        <v>16930</v>
      </c>
      <c r="C2291" s="7" t="s">
        <v>16582</v>
      </c>
      <c r="D2291" s="194">
        <v>2021.0</v>
      </c>
      <c r="E2291" s="193"/>
      <c r="F2291" s="195" t="s">
        <v>19734</v>
      </c>
      <c r="G2291" s="200">
        <v>3.829246038E9</v>
      </c>
      <c r="H2291" s="197">
        <v>22.78</v>
      </c>
      <c r="I2291" s="7" t="s">
        <v>16815</v>
      </c>
      <c r="J2291" s="7" t="s">
        <v>16930</v>
      </c>
      <c r="K2291" s="7" t="s">
        <v>16582</v>
      </c>
      <c r="L2291" s="201" t="s">
        <v>16835</v>
      </c>
      <c r="M2291" s="194"/>
      <c r="N2291" s="194"/>
    </row>
    <row r="2292">
      <c r="A2292" s="193" t="s">
        <v>19735</v>
      </c>
      <c r="B2292" s="7" t="s">
        <v>175</v>
      </c>
      <c r="C2292" s="7" t="s">
        <v>19736</v>
      </c>
      <c r="D2292" s="194">
        <v>2002.0</v>
      </c>
      <c r="E2292" s="193"/>
      <c r="F2292" s="195" t="s">
        <v>19737</v>
      </c>
      <c r="G2292" s="196">
        <v>3.827725827E9</v>
      </c>
      <c r="H2292" s="197">
        <v>12.54</v>
      </c>
      <c r="I2292" s="7" t="s">
        <v>16908</v>
      </c>
      <c r="J2292" s="7" t="s">
        <v>175</v>
      </c>
      <c r="K2292" s="7" t="s">
        <v>19736</v>
      </c>
      <c r="L2292" s="198" t="s">
        <v>65</v>
      </c>
      <c r="M2292" s="194"/>
      <c r="N2292" s="194"/>
    </row>
    <row r="2293">
      <c r="A2293" s="193" t="s">
        <v>19735</v>
      </c>
      <c r="B2293" s="7" t="s">
        <v>19736</v>
      </c>
      <c r="C2293" s="7" t="s">
        <v>175</v>
      </c>
      <c r="D2293" s="194">
        <v>2002.0</v>
      </c>
      <c r="E2293" s="193"/>
      <c r="F2293" s="195" t="s">
        <v>19737</v>
      </c>
      <c r="G2293" s="200">
        <v>3.827725827E9</v>
      </c>
      <c r="H2293" s="197">
        <v>12.54</v>
      </c>
      <c r="I2293" s="7" t="s">
        <v>16815</v>
      </c>
      <c r="J2293" s="7" t="s">
        <v>19736</v>
      </c>
      <c r="K2293" s="7" t="s">
        <v>175</v>
      </c>
      <c r="L2293" s="201" t="s">
        <v>16835</v>
      </c>
      <c r="M2293" s="194"/>
      <c r="N2293" s="194"/>
    </row>
    <row r="2294">
      <c r="A2294" s="193" t="s">
        <v>19738</v>
      </c>
      <c r="B2294" s="7" t="s">
        <v>169</v>
      </c>
      <c r="C2294" s="7" t="s">
        <v>16899</v>
      </c>
      <c r="D2294" s="199"/>
      <c r="E2294" s="193"/>
      <c r="F2294" s="195" t="s">
        <v>19739</v>
      </c>
      <c r="G2294" s="196">
        <v>3.823029966E9</v>
      </c>
      <c r="H2294" s="197">
        <v>83.75</v>
      </c>
      <c r="I2294" s="7" t="s">
        <v>16815</v>
      </c>
      <c r="J2294" s="7" t="s">
        <v>169</v>
      </c>
      <c r="K2294" s="7" t="s">
        <v>16899</v>
      </c>
      <c r="L2294" s="198" t="s">
        <v>65</v>
      </c>
      <c r="M2294" s="199"/>
      <c r="N2294" s="199"/>
    </row>
    <row r="2295">
      <c r="A2295" s="193" t="s">
        <v>19738</v>
      </c>
      <c r="B2295" s="7" t="s">
        <v>16899</v>
      </c>
      <c r="C2295" s="7" t="s">
        <v>169</v>
      </c>
      <c r="D2295" s="199"/>
      <c r="E2295" s="193"/>
      <c r="F2295" s="195" t="s">
        <v>19739</v>
      </c>
      <c r="G2295" s="200">
        <v>3.823029966E9</v>
      </c>
      <c r="H2295" s="197">
        <v>83.75</v>
      </c>
      <c r="I2295" s="7" t="s">
        <v>16815</v>
      </c>
      <c r="J2295" s="7" t="s">
        <v>16899</v>
      </c>
      <c r="K2295" s="7" t="s">
        <v>169</v>
      </c>
      <c r="L2295" s="201" t="s">
        <v>16835</v>
      </c>
      <c r="M2295" s="199"/>
      <c r="N2295" s="199"/>
    </row>
    <row r="2296">
      <c r="A2296" s="193" t="s">
        <v>19740</v>
      </c>
      <c r="B2296" s="7" t="s">
        <v>175</v>
      </c>
      <c r="C2296" s="7" t="s">
        <v>17069</v>
      </c>
      <c r="D2296" s="199"/>
      <c r="E2296" s="193"/>
      <c r="F2296" s="195" t="s">
        <v>19741</v>
      </c>
      <c r="G2296" s="196">
        <v>3.815185E9</v>
      </c>
      <c r="H2296" s="197">
        <v>107.47</v>
      </c>
      <c r="I2296" s="7" t="s">
        <v>16908</v>
      </c>
      <c r="J2296" s="7" t="s">
        <v>175</v>
      </c>
      <c r="K2296" s="7" t="s">
        <v>17069</v>
      </c>
      <c r="L2296" s="198" t="s">
        <v>65</v>
      </c>
      <c r="M2296" s="199"/>
      <c r="N2296" s="199"/>
    </row>
    <row r="2297">
      <c r="A2297" s="193" t="s">
        <v>19740</v>
      </c>
      <c r="B2297" s="7" t="s">
        <v>17069</v>
      </c>
      <c r="C2297" s="7" t="s">
        <v>175</v>
      </c>
      <c r="D2297" s="199"/>
      <c r="E2297" s="193"/>
      <c r="F2297" s="195" t="s">
        <v>19741</v>
      </c>
      <c r="G2297" s="200">
        <v>3.815185E9</v>
      </c>
      <c r="H2297" s="197">
        <v>107.47</v>
      </c>
      <c r="I2297" s="7" t="s">
        <v>16815</v>
      </c>
      <c r="J2297" s="7" t="s">
        <v>17069</v>
      </c>
      <c r="K2297" s="7" t="s">
        <v>175</v>
      </c>
      <c r="L2297" s="201" t="s">
        <v>16835</v>
      </c>
      <c r="M2297" s="199"/>
      <c r="N2297" s="199"/>
    </row>
    <row r="2298">
      <c r="A2298" s="193" t="s">
        <v>19742</v>
      </c>
      <c r="B2298" s="7" t="s">
        <v>169</v>
      </c>
      <c r="C2298" s="7" t="s">
        <v>16945</v>
      </c>
      <c r="D2298" s="199"/>
      <c r="E2298" s="193"/>
      <c r="F2298" s="195" t="s">
        <v>19743</v>
      </c>
      <c r="G2298" s="196">
        <v>3.814439335E9</v>
      </c>
      <c r="H2298" s="197">
        <v>118.31</v>
      </c>
      <c r="I2298" s="7" t="s">
        <v>16815</v>
      </c>
      <c r="J2298" s="7" t="s">
        <v>169</v>
      </c>
      <c r="K2298" s="7" t="s">
        <v>16945</v>
      </c>
      <c r="L2298" s="198" t="s">
        <v>65</v>
      </c>
      <c r="M2298" s="199"/>
      <c r="N2298" s="199"/>
    </row>
    <row r="2299">
      <c r="A2299" s="193" t="s">
        <v>19744</v>
      </c>
      <c r="B2299" s="7" t="s">
        <v>16582</v>
      </c>
      <c r="C2299" s="7" t="s">
        <v>16930</v>
      </c>
      <c r="D2299" s="194">
        <v>2021.0</v>
      </c>
      <c r="E2299" s="193"/>
      <c r="F2299" s="195" t="s">
        <v>19745</v>
      </c>
      <c r="G2299" s="196">
        <v>3.80966836E9</v>
      </c>
      <c r="H2299" s="197">
        <v>6.89</v>
      </c>
      <c r="I2299" s="7" t="s">
        <v>16815</v>
      </c>
      <c r="J2299" s="7" t="s">
        <v>16582</v>
      </c>
      <c r="K2299" s="7" t="s">
        <v>16930</v>
      </c>
      <c r="L2299" s="198" t="s">
        <v>65</v>
      </c>
      <c r="M2299" s="194"/>
      <c r="N2299" s="194"/>
    </row>
    <row r="2300">
      <c r="A2300" s="193" t="s">
        <v>19744</v>
      </c>
      <c r="B2300" s="7" t="s">
        <v>16930</v>
      </c>
      <c r="C2300" s="7" t="s">
        <v>16582</v>
      </c>
      <c r="D2300" s="194">
        <v>2021.0</v>
      </c>
      <c r="E2300" s="193"/>
      <c r="F2300" s="195" t="s">
        <v>19745</v>
      </c>
      <c r="G2300" s="200">
        <v>3.80966836E9</v>
      </c>
      <c r="H2300" s="197">
        <v>6.89</v>
      </c>
      <c r="I2300" s="7" t="s">
        <v>16815</v>
      </c>
      <c r="J2300" s="7" t="s">
        <v>16930</v>
      </c>
      <c r="K2300" s="7" t="s">
        <v>16582</v>
      </c>
      <c r="L2300" s="201" t="s">
        <v>16835</v>
      </c>
      <c r="M2300" s="194"/>
      <c r="N2300" s="194"/>
    </row>
    <row r="2301">
      <c r="A2301" s="193" t="s">
        <v>19746</v>
      </c>
      <c r="B2301" s="7" t="s">
        <v>158</v>
      </c>
      <c r="C2301" s="7" t="s">
        <v>16864</v>
      </c>
      <c r="D2301" s="194">
        <v>2015.0</v>
      </c>
      <c r="E2301" s="193"/>
      <c r="F2301" s="195" t="s">
        <v>19747</v>
      </c>
      <c r="G2301" s="196">
        <v>3.806454302E9</v>
      </c>
      <c r="H2301" s="197">
        <v>16.94</v>
      </c>
      <c r="I2301" s="7" t="s">
        <v>17095</v>
      </c>
      <c r="J2301" s="7" t="s">
        <v>158</v>
      </c>
      <c r="K2301" s="7" t="s">
        <v>16864</v>
      </c>
      <c r="L2301" s="198" t="s">
        <v>65</v>
      </c>
      <c r="M2301" s="194"/>
      <c r="N2301" s="194"/>
    </row>
    <row r="2302">
      <c r="A2302" s="193" t="s">
        <v>19746</v>
      </c>
      <c r="B2302" s="7" t="s">
        <v>16864</v>
      </c>
      <c r="C2302" s="7" t="s">
        <v>158</v>
      </c>
      <c r="D2302" s="194">
        <v>2015.0</v>
      </c>
      <c r="E2302" s="193"/>
      <c r="F2302" s="195" t="s">
        <v>19747</v>
      </c>
      <c r="G2302" s="200">
        <v>3.806454302E9</v>
      </c>
      <c r="H2302" s="197">
        <v>16.94</v>
      </c>
      <c r="I2302" s="7" t="s">
        <v>16815</v>
      </c>
      <c r="J2302" s="7" t="s">
        <v>16864</v>
      </c>
      <c r="K2302" s="7" t="s">
        <v>158</v>
      </c>
      <c r="L2302" s="201" t="s">
        <v>16835</v>
      </c>
      <c r="M2302" s="194"/>
      <c r="N2302" s="194"/>
    </row>
    <row r="2303">
      <c r="A2303" s="193" t="s">
        <v>19748</v>
      </c>
      <c r="B2303" s="7" t="s">
        <v>16910</v>
      </c>
      <c r="C2303" s="7" t="s">
        <v>17119</v>
      </c>
      <c r="D2303" s="199"/>
      <c r="E2303" s="193"/>
      <c r="F2303" s="195" t="s">
        <v>19749</v>
      </c>
      <c r="G2303" s="196">
        <v>3.793911789E9</v>
      </c>
      <c r="H2303" s="197">
        <v>38.09</v>
      </c>
      <c r="I2303" s="7" t="s">
        <v>17063</v>
      </c>
      <c r="J2303" s="7" t="s">
        <v>16910</v>
      </c>
      <c r="K2303" s="7" t="s">
        <v>17119</v>
      </c>
      <c r="L2303" s="198" t="s">
        <v>65</v>
      </c>
      <c r="M2303" s="199"/>
      <c r="N2303" s="199"/>
    </row>
    <row r="2304">
      <c r="A2304" s="193" t="s">
        <v>19750</v>
      </c>
      <c r="B2304" s="7" t="s">
        <v>16582</v>
      </c>
      <c r="C2304" s="7" t="s">
        <v>16828</v>
      </c>
      <c r="D2304" s="194">
        <v>2002.0</v>
      </c>
      <c r="E2304" s="193"/>
      <c r="F2304" s="195" t="s">
        <v>19751</v>
      </c>
      <c r="G2304" s="196">
        <v>3.781637736E9</v>
      </c>
      <c r="H2304" s="197">
        <v>98.01</v>
      </c>
      <c r="I2304" s="7" t="s">
        <v>16815</v>
      </c>
      <c r="J2304" s="7" t="s">
        <v>16582</v>
      </c>
      <c r="K2304" s="7" t="s">
        <v>16828</v>
      </c>
      <c r="L2304" s="198" t="s">
        <v>65</v>
      </c>
      <c r="M2304" s="194"/>
      <c r="N2304" s="194"/>
    </row>
    <row r="2305">
      <c r="A2305" s="193" t="s">
        <v>19752</v>
      </c>
      <c r="B2305" s="7" t="s">
        <v>16582</v>
      </c>
      <c r="C2305" s="7" t="s">
        <v>16930</v>
      </c>
      <c r="D2305" s="194">
        <v>1996.0</v>
      </c>
      <c r="E2305" s="193"/>
      <c r="F2305" s="195" t="s">
        <v>19753</v>
      </c>
      <c r="G2305" s="196">
        <v>3.77589198E9</v>
      </c>
      <c r="H2305" s="197">
        <v>45.19</v>
      </c>
      <c r="I2305" s="7" t="s">
        <v>16815</v>
      </c>
      <c r="J2305" s="7" t="s">
        <v>16582</v>
      </c>
      <c r="K2305" s="7" t="s">
        <v>16930</v>
      </c>
      <c r="L2305" s="198" t="s">
        <v>65</v>
      </c>
      <c r="M2305" s="194"/>
      <c r="N2305" s="194"/>
    </row>
    <row r="2306">
      <c r="A2306" s="193" t="s">
        <v>19754</v>
      </c>
      <c r="B2306" s="7" t="s">
        <v>158</v>
      </c>
      <c r="C2306" s="7" t="s">
        <v>16864</v>
      </c>
      <c r="D2306" s="199"/>
      <c r="E2306" s="193"/>
      <c r="F2306" s="195" t="s">
        <v>19755</v>
      </c>
      <c r="G2306" s="196">
        <v>3.766290214E9</v>
      </c>
      <c r="H2306" s="197">
        <v>37.88</v>
      </c>
      <c r="I2306" s="7" t="s">
        <v>17625</v>
      </c>
      <c r="J2306" s="7" t="s">
        <v>158</v>
      </c>
      <c r="K2306" s="7" t="s">
        <v>16864</v>
      </c>
      <c r="L2306" s="198" t="s">
        <v>65</v>
      </c>
      <c r="M2306" s="199"/>
      <c r="N2306" s="199"/>
    </row>
    <row r="2307">
      <c r="A2307" s="193" t="s">
        <v>19754</v>
      </c>
      <c r="B2307" s="7" t="s">
        <v>16864</v>
      </c>
      <c r="C2307" s="7" t="s">
        <v>158</v>
      </c>
      <c r="D2307" s="199"/>
      <c r="E2307" s="193"/>
      <c r="F2307" s="195" t="s">
        <v>19755</v>
      </c>
      <c r="G2307" s="200">
        <v>3.766290214E9</v>
      </c>
      <c r="H2307" s="197">
        <v>37.88</v>
      </c>
      <c r="I2307" s="7" t="s">
        <v>16815</v>
      </c>
      <c r="J2307" s="7" t="s">
        <v>16864</v>
      </c>
      <c r="K2307" s="7" t="s">
        <v>158</v>
      </c>
      <c r="L2307" s="201" t="s">
        <v>16835</v>
      </c>
      <c r="M2307" s="199"/>
      <c r="N2307" s="199"/>
    </row>
    <row r="2308">
      <c r="A2308" s="193" t="s">
        <v>19756</v>
      </c>
      <c r="B2308" s="7" t="s">
        <v>16919</v>
      </c>
      <c r="C2308" s="7" t="s">
        <v>16920</v>
      </c>
      <c r="D2308" s="194">
        <v>2018.0</v>
      </c>
      <c r="E2308" s="193"/>
      <c r="F2308" s="195" t="s">
        <v>19757</v>
      </c>
      <c r="G2308" s="196">
        <v>3.76503809E9</v>
      </c>
      <c r="H2308" s="197">
        <v>8.69</v>
      </c>
      <c r="I2308" s="7" t="s">
        <v>16815</v>
      </c>
      <c r="J2308" s="7" t="s">
        <v>16919</v>
      </c>
      <c r="K2308" s="7" t="s">
        <v>16920</v>
      </c>
      <c r="L2308" s="198" t="s">
        <v>65</v>
      </c>
      <c r="M2308" s="194"/>
      <c r="N2308" s="194"/>
    </row>
    <row r="2309">
      <c r="A2309" s="193" t="s">
        <v>19756</v>
      </c>
      <c r="B2309" s="7" t="s">
        <v>16920</v>
      </c>
      <c r="C2309" s="7" t="s">
        <v>16919</v>
      </c>
      <c r="D2309" s="194">
        <v>2018.0</v>
      </c>
      <c r="E2309" s="193"/>
      <c r="F2309" s="195" t="s">
        <v>19757</v>
      </c>
      <c r="G2309" s="200">
        <v>3.76503809E9</v>
      </c>
      <c r="H2309" s="197">
        <v>8.69</v>
      </c>
      <c r="I2309" s="7" t="s">
        <v>16815</v>
      </c>
      <c r="J2309" s="7" t="s">
        <v>16920</v>
      </c>
      <c r="K2309" s="7" t="s">
        <v>16919</v>
      </c>
      <c r="L2309" s="201" t="s">
        <v>16835</v>
      </c>
      <c r="M2309" s="194"/>
      <c r="N2309" s="194"/>
    </row>
    <row r="2310">
      <c r="A2310" s="193" t="s">
        <v>19758</v>
      </c>
      <c r="D2310" s="194">
        <v>2011.0</v>
      </c>
      <c r="E2310" s="193"/>
      <c r="F2310" s="195" t="s">
        <v>19759</v>
      </c>
      <c r="G2310" s="196">
        <v>3.759540682E9</v>
      </c>
      <c r="H2310" s="197">
        <v>45.46</v>
      </c>
      <c r="I2310" s="7" t="s">
        <v>16815</v>
      </c>
      <c r="L2310" s="198" t="s">
        <v>65</v>
      </c>
      <c r="M2310" s="194"/>
      <c r="N2310" s="194"/>
    </row>
    <row r="2311">
      <c r="A2311" s="193" t="s">
        <v>19758</v>
      </c>
      <c r="D2311" s="194">
        <v>2011.0</v>
      </c>
      <c r="E2311" s="193"/>
      <c r="F2311" s="195" t="s">
        <v>19759</v>
      </c>
      <c r="G2311" s="200">
        <v>3.759540682E9</v>
      </c>
      <c r="H2311" s="197">
        <v>45.46</v>
      </c>
      <c r="L2311" s="201" t="s">
        <v>16835</v>
      </c>
      <c r="M2311" s="194"/>
      <c r="N2311" s="194"/>
    </row>
    <row r="2312">
      <c r="A2312" s="193" t="s">
        <v>19760</v>
      </c>
      <c r="B2312" s="7" t="s">
        <v>16582</v>
      </c>
      <c r="C2312" s="7" t="s">
        <v>16930</v>
      </c>
      <c r="D2312" s="194">
        <v>1997.0</v>
      </c>
      <c r="E2312" s="193"/>
      <c r="F2312" s="195" t="s">
        <v>19761</v>
      </c>
      <c r="G2312" s="196">
        <v>3.758896953E9</v>
      </c>
      <c r="H2312" s="197">
        <v>81.5</v>
      </c>
      <c r="I2312" s="7" t="s">
        <v>16815</v>
      </c>
      <c r="J2312" s="7" t="s">
        <v>16582</v>
      </c>
      <c r="K2312" s="7" t="s">
        <v>16930</v>
      </c>
      <c r="L2312" s="198" t="s">
        <v>65</v>
      </c>
      <c r="M2312" s="194"/>
      <c r="N2312" s="194"/>
    </row>
    <row r="2313">
      <c r="A2313" s="193" t="s">
        <v>19762</v>
      </c>
      <c r="B2313" s="7" t="s">
        <v>16838</v>
      </c>
      <c r="C2313" s="7" t="s">
        <v>16867</v>
      </c>
      <c r="D2313" s="199"/>
      <c r="E2313" s="193"/>
      <c r="F2313" s="195" t="s">
        <v>19763</v>
      </c>
      <c r="G2313" s="196">
        <v>3.745201639E9</v>
      </c>
      <c r="H2313" s="197">
        <v>25.28</v>
      </c>
      <c r="I2313" s="7" t="s">
        <v>16815</v>
      </c>
      <c r="J2313" s="7" t="s">
        <v>16838</v>
      </c>
      <c r="K2313" s="7" t="s">
        <v>16867</v>
      </c>
      <c r="L2313" s="198" t="s">
        <v>65</v>
      </c>
      <c r="M2313" s="199"/>
      <c r="N2313" s="199"/>
    </row>
    <row r="2314">
      <c r="A2314" s="193" t="s">
        <v>19764</v>
      </c>
      <c r="B2314" s="7" t="s">
        <v>175</v>
      </c>
      <c r="C2314" s="7" t="s">
        <v>17812</v>
      </c>
      <c r="D2314" s="199"/>
      <c r="E2314" s="193"/>
      <c r="F2314" s="195" t="s">
        <v>19765</v>
      </c>
      <c r="G2314" s="196">
        <v>3.734923476E9</v>
      </c>
      <c r="H2314" s="197">
        <v>73.78</v>
      </c>
      <c r="I2314" s="7" t="s">
        <v>16908</v>
      </c>
      <c r="J2314" s="7" t="s">
        <v>175</v>
      </c>
      <c r="K2314" s="7" t="s">
        <v>17812</v>
      </c>
      <c r="L2314" s="198" t="s">
        <v>65</v>
      </c>
      <c r="M2314" s="199"/>
      <c r="N2314" s="199"/>
    </row>
    <row r="2315">
      <c r="A2315" s="193" t="s">
        <v>19766</v>
      </c>
      <c r="B2315" s="7" t="s">
        <v>17702</v>
      </c>
      <c r="C2315" s="7" t="s">
        <v>169</v>
      </c>
      <c r="D2315" s="199"/>
      <c r="E2315" s="193"/>
      <c r="F2315" s="195" t="s">
        <v>19767</v>
      </c>
      <c r="G2315" s="200">
        <v>3.734727761E9</v>
      </c>
      <c r="H2315" s="197">
        <v>18.34</v>
      </c>
      <c r="I2315" s="7" t="s">
        <v>16815</v>
      </c>
      <c r="J2315" s="7" t="s">
        <v>17702</v>
      </c>
      <c r="K2315" s="7" t="s">
        <v>169</v>
      </c>
      <c r="L2315" s="201" t="s">
        <v>16835</v>
      </c>
      <c r="M2315" s="199"/>
      <c r="N2315" s="199"/>
    </row>
    <row r="2316">
      <c r="A2316" s="193" t="s">
        <v>19766</v>
      </c>
      <c r="B2316" s="7" t="s">
        <v>169</v>
      </c>
      <c r="C2316" s="7" t="s">
        <v>17702</v>
      </c>
      <c r="D2316" s="199"/>
      <c r="E2316" s="193"/>
      <c r="F2316" s="195" t="s">
        <v>19767</v>
      </c>
      <c r="G2316" s="196">
        <v>3.734727761E9</v>
      </c>
      <c r="H2316" s="197">
        <v>18.34</v>
      </c>
      <c r="I2316" s="7" t="s">
        <v>16815</v>
      </c>
      <c r="J2316" s="7" t="s">
        <v>169</v>
      </c>
      <c r="K2316" s="7" t="s">
        <v>17702</v>
      </c>
      <c r="L2316" s="198" t="s">
        <v>65</v>
      </c>
      <c r="M2316" s="199"/>
      <c r="N2316" s="199"/>
    </row>
    <row r="2317">
      <c r="A2317" s="193" t="s">
        <v>19768</v>
      </c>
      <c r="B2317" s="7" t="s">
        <v>17347</v>
      </c>
      <c r="C2317" s="7" t="s">
        <v>16838</v>
      </c>
      <c r="D2317" s="199"/>
      <c r="E2317" s="193"/>
      <c r="F2317" s="195" t="s">
        <v>19769</v>
      </c>
      <c r="G2317" s="200">
        <v>3.734257803E9</v>
      </c>
      <c r="H2317" s="197">
        <v>22.01</v>
      </c>
      <c r="I2317" s="7" t="s">
        <v>16815</v>
      </c>
      <c r="J2317" s="7" t="s">
        <v>17347</v>
      </c>
      <c r="K2317" s="7" t="s">
        <v>16838</v>
      </c>
      <c r="L2317" s="201" t="s">
        <v>16835</v>
      </c>
      <c r="M2317" s="199"/>
      <c r="N2317" s="199"/>
    </row>
    <row r="2318">
      <c r="A2318" s="193" t="s">
        <v>19768</v>
      </c>
      <c r="B2318" s="7" t="s">
        <v>16838</v>
      </c>
      <c r="C2318" s="7" t="s">
        <v>17347</v>
      </c>
      <c r="D2318" s="199"/>
      <c r="E2318" s="193"/>
      <c r="F2318" s="195" t="s">
        <v>19769</v>
      </c>
      <c r="G2318" s="196">
        <v>3.734257803E9</v>
      </c>
      <c r="H2318" s="197">
        <v>22.01</v>
      </c>
      <c r="I2318" s="7" t="s">
        <v>16815</v>
      </c>
      <c r="J2318" s="7" t="s">
        <v>16838</v>
      </c>
      <c r="K2318" s="7" t="s">
        <v>17347</v>
      </c>
      <c r="L2318" s="198" t="s">
        <v>65</v>
      </c>
      <c r="M2318" s="199"/>
      <c r="N2318" s="199"/>
    </row>
    <row r="2319">
      <c r="A2319" s="193" t="s">
        <v>19770</v>
      </c>
      <c r="B2319" s="7" t="s">
        <v>16838</v>
      </c>
      <c r="C2319" s="7" t="s">
        <v>17127</v>
      </c>
      <c r="D2319" s="194">
        <v>2004.0</v>
      </c>
      <c r="E2319" s="193"/>
      <c r="F2319" s="195" t="s">
        <v>19771</v>
      </c>
      <c r="G2319" s="196">
        <v>3.729120599E9</v>
      </c>
      <c r="H2319" s="197">
        <v>65.13</v>
      </c>
      <c r="I2319" s="7" t="s">
        <v>186</v>
      </c>
      <c r="J2319" s="7" t="s">
        <v>16838</v>
      </c>
      <c r="K2319" s="7" t="s">
        <v>17127</v>
      </c>
      <c r="L2319" s="198" t="s">
        <v>65</v>
      </c>
      <c r="M2319" s="194"/>
      <c r="N2319" s="194"/>
    </row>
    <row r="2320">
      <c r="A2320" s="193" t="s">
        <v>19770</v>
      </c>
      <c r="B2320" s="7" t="s">
        <v>17127</v>
      </c>
      <c r="C2320" s="7" t="s">
        <v>16838</v>
      </c>
      <c r="D2320" s="194">
        <v>2004.0</v>
      </c>
      <c r="E2320" s="193"/>
      <c r="F2320" s="195" t="s">
        <v>19771</v>
      </c>
      <c r="G2320" s="200">
        <v>3.729120599E9</v>
      </c>
      <c r="H2320" s="197">
        <v>65.13</v>
      </c>
      <c r="I2320" s="7" t="s">
        <v>16815</v>
      </c>
      <c r="J2320" s="7" t="s">
        <v>17127</v>
      </c>
      <c r="K2320" s="7" t="s">
        <v>16838</v>
      </c>
      <c r="L2320" s="201" t="s">
        <v>16835</v>
      </c>
      <c r="M2320" s="194"/>
      <c r="N2320" s="194"/>
    </row>
    <row r="2321">
      <c r="A2321" s="193" t="s">
        <v>19772</v>
      </c>
      <c r="B2321" s="7" t="s">
        <v>16838</v>
      </c>
      <c r="C2321" s="7" t="s">
        <v>16867</v>
      </c>
      <c r="D2321" s="199"/>
      <c r="E2321" s="193"/>
      <c r="F2321" s="195" t="s">
        <v>19773</v>
      </c>
      <c r="G2321" s="196">
        <v>3.727438598E9</v>
      </c>
      <c r="H2321" s="197">
        <v>25.1601</v>
      </c>
      <c r="I2321" s="7" t="s">
        <v>16815</v>
      </c>
      <c r="J2321" s="7" t="s">
        <v>16838</v>
      </c>
      <c r="K2321" s="7" t="s">
        <v>16867</v>
      </c>
      <c r="L2321" s="198" t="s">
        <v>65</v>
      </c>
      <c r="M2321" s="199"/>
      <c r="N2321" s="199"/>
    </row>
    <row r="2322">
      <c r="A2322" s="193" t="s">
        <v>19774</v>
      </c>
      <c r="B2322" s="7" t="s">
        <v>158</v>
      </c>
      <c r="C2322" s="7" t="s">
        <v>16864</v>
      </c>
      <c r="D2322" s="199"/>
      <c r="E2322" s="193"/>
      <c r="F2322" s="195" t="s">
        <v>19775</v>
      </c>
      <c r="G2322" s="196">
        <v>3.716991146E9</v>
      </c>
      <c r="H2322" s="197">
        <v>7.06</v>
      </c>
      <c r="I2322" s="7" t="s">
        <v>16897</v>
      </c>
      <c r="J2322" s="7" t="s">
        <v>158</v>
      </c>
      <c r="K2322" s="7" t="s">
        <v>16864</v>
      </c>
      <c r="L2322" s="198" t="s">
        <v>65</v>
      </c>
      <c r="M2322" s="199"/>
      <c r="N2322" s="199"/>
    </row>
    <row r="2323">
      <c r="A2323" s="193" t="s">
        <v>19774</v>
      </c>
      <c r="B2323" s="7" t="s">
        <v>16864</v>
      </c>
      <c r="C2323" s="7" t="s">
        <v>158</v>
      </c>
      <c r="D2323" s="199"/>
      <c r="E2323" s="193"/>
      <c r="F2323" s="195" t="s">
        <v>19775</v>
      </c>
      <c r="G2323" s="200">
        <v>3.716991146E9</v>
      </c>
      <c r="H2323" s="197">
        <v>7.06</v>
      </c>
      <c r="I2323" s="7" t="s">
        <v>16815</v>
      </c>
      <c r="J2323" s="7" t="s">
        <v>16864</v>
      </c>
      <c r="K2323" s="7" t="s">
        <v>158</v>
      </c>
      <c r="L2323" s="201" t="s">
        <v>16835</v>
      </c>
      <c r="M2323" s="199"/>
      <c r="N2323" s="199"/>
    </row>
    <row r="2324">
      <c r="A2324" s="193" t="s">
        <v>19776</v>
      </c>
      <c r="B2324" s="7" t="s">
        <v>175</v>
      </c>
      <c r="C2324" s="7" t="s">
        <v>17545</v>
      </c>
      <c r="D2324" s="199"/>
      <c r="E2324" s="193"/>
      <c r="F2324" s="195" t="s">
        <v>19777</v>
      </c>
      <c r="G2324" s="196">
        <v>3.712411609E9</v>
      </c>
      <c r="H2324" s="197">
        <v>72.45</v>
      </c>
      <c r="I2324" s="7" t="s">
        <v>174</v>
      </c>
      <c r="J2324" s="7" t="s">
        <v>175</v>
      </c>
      <c r="K2324" s="7" t="s">
        <v>17545</v>
      </c>
      <c r="L2324" s="198" t="s">
        <v>65</v>
      </c>
      <c r="M2324" s="199"/>
      <c r="N2324" s="199"/>
    </row>
    <row r="2325">
      <c r="A2325" s="193" t="s">
        <v>19776</v>
      </c>
      <c r="B2325" s="7" t="s">
        <v>17545</v>
      </c>
      <c r="C2325" s="7" t="s">
        <v>175</v>
      </c>
      <c r="D2325" s="199"/>
      <c r="E2325" s="193"/>
      <c r="F2325" s="195" t="s">
        <v>19777</v>
      </c>
      <c r="G2325" s="200">
        <v>3.712411609E9</v>
      </c>
      <c r="H2325" s="197">
        <v>72.45</v>
      </c>
      <c r="I2325" s="7" t="s">
        <v>16815</v>
      </c>
      <c r="J2325" s="7" t="s">
        <v>17545</v>
      </c>
      <c r="K2325" s="7" t="s">
        <v>175</v>
      </c>
      <c r="L2325" s="201" t="s">
        <v>16835</v>
      </c>
      <c r="M2325" s="199"/>
      <c r="N2325" s="199"/>
    </row>
    <row r="2326">
      <c r="A2326" s="193" t="s">
        <v>19778</v>
      </c>
      <c r="B2326" s="7" t="s">
        <v>16969</v>
      </c>
      <c r="C2326" s="7" t="s">
        <v>187</v>
      </c>
      <c r="D2326" s="194">
        <v>1998.0</v>
      </c>
      <c r="E2326" s="193"/>
      <c r="F2326" s="195" t="s">
        <v>19779</v>
      </c>
      <c r="G2326" s="200">
        <v>3.711190557E9</v>
      </c>
      <c r="H2326" s="197">
        <v>125.7</v>
      </c>
      <c r="I2326" s="7" t="s">
        <v>16815</v>
      </c>
      <c r="J2326" s="7" t="s">
        <v>16969</v>
      </c>
      <c r="K2326" s="7" t="s">
        <v>187</v>
      </c>
      <c r="L2326" s="201" t="s">
        <v>16835</v>
      </c>
      <c r="M2326" s="194"/>
      <c r="N2326" s="194"/>
    </row>
    <row r="2327">
      <c r="A2327" s="193" t="s">
        <v>19778</v>
      </c>
      <c r="B2327" s="7" t="s">
        <v>187</v>
      </c>
      <c r="C2327" s="7" t="s">
        <v>16969</v>
      </c>
      <c r="D2327" s="194">
        <v>1998.0</v>
      </c>
      <c r="E2327" s="193"/>
      <c r="F2327" s="195" t="s">
        <v>19779</v>
      </c>
      <c r="G2327" s="196">
        <v>3.711190557E9</v>
      </c>
      <c r="H2327" s="197">
        <v>125.7</v>
      </c>
      <c r="I2327" s="7" t="s">
        <v>16815</v>
      </c>
      <c r="J2327" s="7" t="s">
        <v>187</v>
      </c>
      <c r="K2327" s="7" t="s">
        <v>16969</v>
      </c>
      <c r="L2327" s="198" t="s">
        <v>65</v>
      </c>
      <c r="M2327" s="194"/>
      <c r="N2327" s="194"/>
    </row>
    <row r="2328">
      <c r="A2328" s="193" t="s">
        <v>19780</v>
      </c>
      <c r="B2328" s="7" t="s">
        <v>175</v>
      </c>
      <c r="C2328" s="7" t="s">
        <v>18352</v>
      </c>
      <c r="D2328" s="199"/>
      <c r="E2328" s="193"/>
      <c r="F2328" s="195" t="s">
        <v>19781</v>
      </c>
      <c r="G2328" s="196">
        <v>3.710142197E9</v>
      </c>
      <c r="H2328" s="197">
        <v>26.64</v>
      </c>
      <c r="I2328" s="7" t="s">
        <v>16892</v>
      </c>
      <c r="J2328" s="7" t="s">
        <v>175</v>
      </c>
      <c r="K2328" s="7" t="s">
        <v>18352</v>
      </c>
      <c r="L2328" s="198" t="s">
        <v>65</v>
      </c>
      <c r="M2328" s="199"/>
      <c r="N2328" s="199"/>
    </row>
    <row r="2329">
      <c r="A2329" s="193" t="s">
        <v>19780</v>
      </c>
      <c r="B2329" s="7" t="s">
        <v>18352</v>
      </c>
      <c r="C2329" s="7" t="s">
        <v>175</v>
      </c>
      <c r="D2329" s="199"/>
      <c r="E2329" s="193"/>
      <c r="F2329" s="195" t="s">
        <v>19781</v>
      </c>
      <c r="G2329" s="200">
        <v>3.710142197E9</v>
      </c>
      <c r="H2329" s="197">
        <v>26.64</v>
      </c>
      <c r="I2329" s="7" t="s">
        <v>16815</v>
      </c>
      <c r="J2329" s="7" t="s">
        <v>18352</v>
      </c>
      <c r="K2329" s="7" t="s">
        <v>175</v>
      </c>
      <c r="L2329" s="201" t="s">
        <v>16835</v>
      </c>
      <c r="M2329" s="199"/>
      <c r="N2329" s="199"/>
    </row>
    <row r="2330">
      <c r="A2330" s="193" t="s">
        <v>19782</v>
      </c>
      <c r="B2330" s="7" t="s">
        <v>16969</v>
      </c>
      <c r="C2330" s="7" t="s">
        <v>187</v>
      </c>
      <c r="D2330" s="194">
        <v>2019.0</v>
      </c>
      <c r="E2330" s="193"/>
      <c r="F2330" s="195" t="s">
        <v>19783</v>
      </c>
      <c r="G2330" s="200">
        <v>3.697149121E9</v>
      </c>
      <c r="H2330" s="197">
        <v>21.57</v>
      </c>
      <c r="I2330" s="7" t="s">
        <v>16815</v>
      </c>
      <c r="J2330" s="7" t="s">
        <v>16969</v>
      </c>
      <c r="K2330" s="7" t="s">
        <v>187</v>
      </c>
      <c r="L2330" s="201" t="s">
        <v>16835</v>
      </c>
      <c r="M2330" s="194"/>
      <c r="N2330" s="194"/>
    </row>
    <row r="2331">
      <c r="A2331" s="193" t="s">
        <v>19782</v>
      </c>
      <c r="B2331" s="7" t="s">
        <v>187</v>
      </c>
      <c r="C2331" s="7" t="s">
        <v>16969</v>
      </c>
      <c r="D2331" s="194">
        <v>2019.0</v>
      </c>
      <c r="E2331" s="193"/>
      <c r="F2331" s="195" t="s">
        <v>19783</v>
      </c>
      <c r="G2331" s="196">
        <v>3.697149121E9</v>
      </c>
      <c r="H2331" s="197">
        <v>21.57</v>
      </c>
      <c r="I2331" s="7" t="s">
        <v>16815</v>
      </c>
      <c r="J2331" s="7" t="s">
        <v>187</v>
      </c>
      <c r="K2331" s="7" t="s">
        <v>16969</v>
      </c>
      <c r="L2331" s="198" t="s">
        <v>65</v>
      </c>
      <c r="M2331" s="194"/>
      <c r="N2331" s="194"/>
    </row>
    <row r="2332">
      <c r="A2332" s="193" t="s">
        <v>19784</v>
      </c>
      <c r="B2332" s="7" t="s">
        <v>16838</v>
      </c>
      <c r="C2332" s="7" t="s">
        <v>17016</v>
      </c>
      <c r="D2332" s="199"/>
      <c r="E2332" s="193"/>
      <c r="F2332" s="195" t="s">
        <v>19785</v>
      </c>
      <c r="G2332" s="196">
        <v>3.683568984E9</v>
      </c>
      <c r="H2332" s="197">
        <v>55.93</v>
      </c>
      <c r="I2332" s="7" t="s">
        <v>16815</v>
      </c>
      <c r="J2332" s="7" t="s">
        <v>16838</v>
      </c>
      <c r="K2332" s="7" t="s">
        <v>17016</v>
      </c>
      <c r="L2332" s="198" t="s">
        <v>65</v>
      </c>
      <c r="M2332" s="199"/>
      <c r="N2332" s="199"/>
    </row>
    <row r="2333">
      <c r="A2333" s="193" t="s">
        <v>19786</v>
      </c>
      <c r="B2333" s="7" t="s">
        <v>16582</v>
      </c>
      <c r="C2333" s="7" t="s">
        <v>16817</v>
      </c>
      <c r="D2333" s="194">
        <v>2015.0</v>
      </c>
      <c r="E2333" s="193"/>
      <c r="F2333" s="195" t="s">
        <v>19787</v>
      </c>
      <c r="G2333" s="196">
        <v>3.683242361E9</v>
      </c>
      <c r="H2333" s="197">
        <v>25.57</v>
      </c>
      <c r="I2333" s="7" t="s">
        <v>16815</v>
      </c>
      <c r="J2333" s="7" t="s">
        <v>16582</v>
      </c>
      <c r="K2333" s="7" t="s">
        <v>16817</v>
      </c>
      <c r="L2333" s="198" t="s">
        <v>65</v>
      </c>
      <c r="M2333" s="194"/>
      <c r="N2333" s="194"/>
    </row>
    <row r="2334">
      <c r="A2334" s="193" t="s">
        <v>19786</v>
      </c>
      <c r="B2334" s="7" t="s">
        <v>16817</v>
      </c>
      <c r="C2334" s="7" t="s">
        <v>16582</v>
      </c>
      <c r="D2334" s="194">
        <v>2015.0</v>
      </c>
      <c r="E2334" s="193"/>
      <c r="F2334" s="195" t="s">
        <v>19787</v>
      </c>
      <c r="G2334" s="200">
        <v>3.683242361E9</v>
      </c>
      <c r="H2334" s="197">
        <v>25.57</v>
      </c>
      <c r="I2334" s="7" t="s">
        <v>16815</v>
      </c>
      <c r="J2334" s="7" t="s">
        <v>16817</v>
      </c>
      <c r="K2334" s="7" t="s">
        <v>16582</v>
      </c>
      <c r="L2334" s="201" t="s">
        <v>16835</v>
      </c>
      <c r="M2334" s="194"/>
      <c r="N2334" s="194"/>
    </row>
    <row r="2335">
      <c r="A2335" s="193" t="s">
        <v>19788</v>
      </c>
      <c r="B2335" s="7" t="s">
        <v>17111</v>
      </c>
      <c r="C2335" s="7" t="s">
        <v>17112</v>
      </c>
      <c r="D2335" s="199"/>
      <c r="E2335" s="193"/>
      <c r="F2335" s="195" t="s">
        <v>19789</v>
      </c>
      <c r="G2335" s="200">
        <v>3.678552885E9</v>
      </c>
      <c r="H2335" s="197">
        <v>21.35</v>
      </c>
      <c r="I2335" s="7" t="s">
        <v>16815</v>
      </c>
      <c r="J2335" s="7" t="s">
        <v>17111</v>
      </c>
      <c r="K2335" s="7" t="s">
        <v>17112</v>
      </c>
      <c r="L2335" s="201" t="s">
        <v>16835</v>
      </c>
      <c r="M2335" s="199"/>
      <c r="N2335" s="199"/>
    </row>
    <row r="2336">
      <c r="A2336" s="193" t="s">
        <v>19788</v>
      </c>
      <c r="B2336" s="7" t="s">
        <v>17112</v>
      </c>
      <c r="C2336" s="7" t="s">
        <v>17111</v>
      </c>
      <c r="D2336" s="199"/>
      <c r="E2336" s="193"/>
      <c r="F2336" s="195" t="s">
        <v>19789</v>
      </c>
      <c r="G2336" s="196">
        <v>3.678552885E9</v>
      </c>
      <c r="H2336" s="197">
        <v>21.35</v>
      </c>
      <c r="I2336" s="7" t="s">
        <v>16815</v>
      </c>
      <c r="J2336" s="7" t="s">
        <v>17112</v>
      </c>
      <c r="K2336" s="7" t="s">
        <v>17111</v>
      </c>
      <c r="L2336" s="198" t="s">
        <v>65</v>
      </c>
      <c r="M2336" s="199"/>
      <c r="N2336" s="199"/>
    </row>
    <row r="2337">
      <c r="A2337" s="193" t="s">
        <v>19790</v>
      </c>
      <c r="B2337" s="7" t="s">
        <v>175</v>
      </c>
      <c r="C2337" s="7" t="s">
        <v>17084</v>
      </c>
      <c r="D2337" s="199"/>
      <c r="E2337" s="193"/>
      <c r="F2337" s="195" t="s">
        <v>19791</v>
      </c>
      <c r="G2337" s="196">
        <v>3.669244025E9</v>
      </c>
      <c r="H2337" s="197">
        <v>18.58</v>
      </c>
      <c r="I2337" s="7" t="s">
        <v>16826</v>
      </c>
      <c r="J2337" s="7" t="s">
        <v>175</v>
      </c>
      <c r="K2337" s="7" t="s">
        <v>17084</v>
      </c>
      <c r="L2337" s="198" t="s">
        <v>65</v>
      </c>
      <c r="M2337" s="199"/>
      <c r="N2337" s="199"/>
    </row>
    <row r="2338">
      <c r="A2338" s="193" t="s">
        <v>19790</v>
      </c>
      <c r="B2338" s="7" t="s">
        <v>17084</v>
      </c>
      <c r="C2338" s="7" t="s">
        <v>175</v>
      </c>
      <c r="D2338" s="199"/>
      <c r="E2338" s="193"/>
      <c r="F2338" s="195" t="s">
        <v>19791</v>
      </c>
      <c r="G2338" s="200">
        <v>3.669244025E9</v>
      </c>
      <c r="H2338" s="197">
        <v>18.58</v>
      </c>
      <c r="I2338" s="7" t="s">
        <v>16815</v>
      </c>
      <c r="J2338" s="7" t="s">
        <v>17084</v>
      </c>
      <c r="K2338" s="7" t="s">
        <v>175</v>
      </c>
      <c r="L2338" s="201" t="s">
        <v>16835</v>
      </c>
      <c r="M2338" s="199"/>
      <c r="N2338" s="199"/>
    </row>
    <row r="2339">
      <c r="A2339" s="193" t="s">
        <v>19792</v>
      </c>
      <c r="B2339" s="7" t="s">
        <v>175</v>
      </c>
      <c r="C2339" s="7" t="s">
        <v>17394</v>
      </c>
      <c r="D2339" s="194">
        <v>1997.0</v>
      </c>
      <c r="E2339" s="193"/>
      <c r="F2339" s="195" t="s">
        <v>19793</v>
      </c>
      <c r="G2339" s="196">
        <v>3.668417765E9</v>
      </c>
      <c r="H2339" s="197">
        <v>265.39</v>
      </c>
      <c r="I2339" s="193" t="s">
        <v>16908</v>
      </c>
      <c r="J2339" s="7" t="s">
        <v>175</v>
      </c>
      <c r="K2339" s="7" t="s">
        <v>17394</v>
      </c>
      <c r="L2339" s="198" t="s">
        <v>65</v>
      </c>
      <c r="M2339" s="194"/>
      <c r="N2339" s="194"/>
    </row>
    <row r="2340">
      <c r="A2340" s="193" t="s">
        <v>19792</v>
      </c>
      <c r="B2340" s="7" t="s">
        <v>17394</v>
      </c>
      <c r="C2340" s="7" t="s">
        <v>175</v>
      </c>
      <c r="D2340" s="194">
        <v>1997.0</v>
      </c>
      <c r="E2340" s="193"/>
      <c r="F2340" s="195" t="s">
        <v>19793</v>
      </c>
      <c r="G2340" s="200">
        <v>3.668417765E9</v>
      </c>
      <c r="H2340" s="197">
        <v>265.39</v>
      </c>
      <c r="I2340" s="7" t="s">
        <v>16815</v>
      </c>
      <c r="J2340" s="7" t="s">
        <v>17394</v>
      </c>
      <c r="K2340" s="7" t="s">
        <v>175</v>
      </c>
      <c r="L2340" s="201" t="s">
        <v>16835</v>
      </c>
      <c r="M2340" s="194"/>
      <c r="N2340" s="194"/>
    </row>
    <row r="2341">
      <c r="A2341" s="193" t="s">
        <v>19794</v>
      </c>
      <c r="B2341" s="7" t="s">
        <v>16838</v>
      </c>
      <c r="C2341" s="7" t="s">
        <v>17202</v>
      </c>
      <c r="D2341" s="199"/>
      <c r="E2341" s="193"/>
      <c r="F2341" s="195" t="s">
        <v>19795</v>
      </c>
      <c r="G2341" s="196">
        <v>3.664696E9</v>
      </c>
      <c r="H2341" s="197">
        <v>21.11</v>
      </c>
      <c r="I2341" s="7" t="s">
        <v>16815</v>
      </c>
      <c r="J2341" s="7" t="s">
        <v>16838</v>
      </c>
      <c r="K2341" s="7" t="s">
        <v>17202</v>
      </c>
      <c r="L2341" s="198" t="s">
        <v>65</v>
      </c>
      <c r="M2341" s="199"/>
      <c r="N2341" s="199"/>
    </row>
    <row r="2342">
      <c r="A2342" s="193" t="s">
        <v>19796</v>
      </c>
      <c r="B2342" s="7" t="s">
        <v>16919</v>
      </c>
      <c r="C2342" s="7" t="s">
        <v>17048</v>
      </c>
      <c r="D2342" s="194">
        <v>2004.0</v>
      </c>
      <c r="E2342" s="193"/>
      <c r="F2342" s="195" t="s">
        <v>19797</v>
      </c>
      <c r="G2342" s="196">
        <v>3.663828307E9</v>
      </c>
      <c r="H2342" s="197">
        <v>60.8</v>
      </c>
      <c r="I2342" s="7" t="s">
        <v>16815</v>
      </c>
      <c r="J2342" s="7" t="s">
        <v>16919</v>
      </c>
      <c r="K2342" s="7" t="s">
        <v>17048</v>
      </c>
      <c r="L2342" s="198" t="s">
        <v>65</v>
      </c>
      <c r="M2342" s="194"/>
      <c r="N2342" s="194"/>
    </row>
    <row r="2343">
      <c r="A2343" s="193" t="s">
        <v>19796</v>
      </c>
      <c r="B2343" s="7" t="s">
        <v>17048</v>
      </c>
      <c r="C2343" s="7" t="s">
        <v>16919</v>
      </c>
      <c r="D2343" s="194">
        <v>2004.0</v>
      </c>
      <c r="E2343" s="193"/>
      <c r="F2343" s="195" t="s">
        <v>19797</v>
      </c>
      <c r="G2343" s="200">
        <v>3.663828307E9</v>
      </c>
      <c r="H2343" s="197">
        <v>60.8</v>
      </c>
      <c r="I2343" s="7" t="s">
        <v>16815</v>
      </c>
      <c r="J2343" s="7" t="s">
        <v>17048</v>
      </c>
      <c r="K2343" s="7" t="s">
        <v>16919</v>
      </c>
      <c r="L2343" s="201" t="s">
        <v>16835</v>
      </c>
      <c r="M2343" s="194"/>
      <c r="N2343" s="194"/>
    </row>
    <row r="2344">
      <c r="A2344" s="193" t="s">
        <v>19798</v>
      </c>
      <c r="B2344" s="7" t="s">
        <v>187</v>
      </c>
      <c r="C2344" s="7" t="s">
        <v>16851</v>
      </c>
      <c r="D2344" s="194">
        <v>2020.0</v>
      </c>
      <c r="E2344" s="193"/>
      <c r="F2344" s="195" t="s">
        <v>19799</v>
      </c>
      <c r="G2344" s="196">
        <v>3.659962942E9</v>
      </c>
      <c r="H2344" s="197">
        <v>12.95</v>
      </c>
      <c r="I2344" s="7" t="s">
        <v>16815</v>
      </c>
      <c r="J2344" s="7" t="s">
        <v>187</v>
      </c>
      <c r="K2344" s="7" t="s">
        <v>16851</v>
      </c>
      <c r="L2344" s="198" t="s">
        <v>65</v>
      </c>
      <c r="M2344" s="194"/>
      <c r="N2344" s="194"/>
    </row>
    <row r="2345">
      <c r="A2345" s="193" t="s">
        <v>19800</v>
      </c>
      <c r="B2345" s="7" t="s">
        <v>158</v>
      </c>
      <c r="C2345" s="7" t="s">
        <v>16864</v>
      </c>
      <c r="D2345" s="194">
        <v>2022.0</v>
      </c>
      <c r="E2345" s="193"/>
      <c r="F2345" s="195" t="s">
        <v>19801</v>
      </c>
      <c r="G2345" s="196">
        <v>3.652447565E9</v>
      </c>
      <c r="H2345" s="197">
        <v>36.34</v>
      </c>
      <c r="I2345" s="7" t="s">
        <v>17098</v>
      </c>
      <c r="J2345" s="7" t="s">
        <v>158</v>
      </c>
      <c r="K2345" s="7" t="s">
        <v>16864</v>
      </c>
      <c r="L2345" s="198" t="s">
        <v>65</v>
      </c>
      <c r="M2345" s="194"/>
      <c r="N2345" s="194"/>
    </row>
    <row r="2346">
      <c r="A2346" s="193" t="s">
        <v>19800</v>
      </c>
      <c r="B2346" s="7" t="s">
        <v>16864</v>
      </c>
      <c r="C2346" s="7" t="s">
        <v>158</v>
      </c>
      <c r="D2346" s="194">
        <v>2022.0</v>
      </c>
      <c r="E2346" s="193"/>
      <c r="F2346" s="195" t="s">
        <v>19801</v>
      </c>
      <c r="G2346" s="200">
        <v>3.652447565E9</v>
      </c>
      <c r="H2346" s="197">
        <v>36.34</v>
      </c>
      <c r="I2346" s="7" t="s">
        <v>16815</v>
      </c>
      <c r="J2346" s="7" t="s">
        <v>16864</v>
      </c>
      <c r="K2346" s="7" t="s">
        <v>158</v>
      </c>
      <c r="L2346" s="201" t="s">
        <v>16835</v>
      </c>
      <c r="M2346" s="194"/>
      <c r="N2346" s="194"/>
    </row>
    <row r="2347">
      <c r="A2347" s="193" t="s">
        <v>19802</v>
      </c>
      <c r="B2347" s="7" t="s">
        <v>169</v>
      </c>
      <c r="C2347" s="7" t="s">
        <v>16899</v>
      </c>
      <c r="D2347" s="194">
        <v>2023.0</v>
      </c>
      <c r="E2347" s="193"/>
      <c r="F2347" s="195" t="s">
        <v>19803</v>
      </c>
      <c r="G2347" s="196">
        <v>3.650041091E9</v>
      </c>
      <c r="H2347" s="197">
        <v>37.04</v>
      </c>
      <c r="I2347" s="7" t="s">
        <v>16815</v>
      </c>
      <c r="J2347" s="7" t="s">
        <v>169</v>
      </c>
      <c r="K2347" s="7" t="s">
        <v>16899</v>
      </c>
      <c r="L2347" s="198" t="s">
        <v>65</v>
      </c>
      <c r="M2347" s="194"/>
      <c r="N2347" s="194"/>
    </row>
    <row r="2348">
      <c r="A2348" s="193" t="s">
        <v>19802</v>
      </c>
      <c r="B2348" s="7" t="s">
        <v>16899</v>
      </c>
      <c r="C2348" s="7" t="s">
        <v>169</v>
      </c>
      <c r="D2348" s="194">
        <v>2023.0</v>
      </c>
      <c r="E2348" s="193"/>
      <c r="F2348" s="195" t="s">
        <v>19803</v>
      </c>
      <c r="G2348" s="200">
        <v>3.650041091E9</v>
      </c>
      <c r="H2348" s="197">
        <v>37.04</v>
      </c>
      <c r="I2348" s="7" t="s">
        <v>16815</v>
      </c>
      <c r="J2348" s="7" t="s">
        <v>16899</v>
      </c>
      <c r="K2348" s="7" t="s">
        <v>169</v>
      </c>
      <c r="L2348" s="201" t="s">
        <v>16835</v>
      </c>
      <c r="M2348" s="194"/>
      <c r="N2348" s="194"/>
    </row>
    <row r="2349">
      <c r="A2349" s="193" t="s">
        <v>19804</v>
      </c>
      <c r="B2349" s="7" t="s">
        <v>187</v>
      </c>
      <c r="C2349" s="7" t="s">
        <v>16846</v>
      </c>
      <c r="D2349" s="194">
        <v>1985.0</v>
      </c>
      <c r="E2349" s="193"/>
      <c r="F2349" s="195" t="s">
        <v>19805</v>
      </c>
      <c r="G2349" s="196">
        <v>3.644804369E9</v>
      </c>
      <c r="H2349" s="197">
        <v>22.2</v>
      </c>
      <c r="I2349" s="7" t="s">
        <v>16815</v>
      </c>
      <c r="J2349" s="7" t="s">
        <v>187</v>
      </c>
      <c r="K2349" s="7" t="s">
        <v>16846</v>
      </c>
      <c r="L2349" s="198" t="s">
        <v>65</v>
      </c>
      <c r="M2349" s="194"/>
      <c r="N2349" s="194"/>
    </row>
    <row r="2350">
      <c r="A2350" s="193" t="s">
        <v>19806</v>
      </c>
      <c r="B2350" s="7" t="s">
        <v>175</v>
      </c>
      <c r="C2350" s="7" t="s">
        <v>17948</v>
      </c>
      <c r="D2350" s="199"/>
      <c r="E2350" s="193"/>
      <c r="F2350" s="195" t="s">
        <v>19807</v>
      </c>
      <c r="G2350" s="196">
        <v>3.643597711E9</v>
      </c>
      <c r="H2350" s="197">
        <v>12.85</v>
      </c>
      <c r="I2350" s="193" t="s">
        <v>16908</v>
      </c>
      <c r="J2350" s="7" t="s">
        <v>175</v>
      </c>
      <c r="K2350" s="7" t="s">
        <v>17948</v>
      </c>
      <c r="L2350" s="198" t="s">
        <v>65</v>
      </c>
      <c r="M2350" s="199"/>
      <c r="N2350" s="199"/>
    </row>
    <row r="2351">
      <c r="A2351" s="193" t="s">
        <v>19808</v>
      </c>
      <c r="B2351" s="7" t="s">
        <v>175</v>
      </c>
      <c r="C2351" s="7" t="s">
        <v>17233</v>
      </c>
      <c r="D2351" s="199"/>
      <c r="E2351" s="193"/>
      <c r="F2351" s="195" t="s">
        <v>19809</v>
      </c>
      <c r="G2351" s="196">
        <v>3.640692385E9</v>
      </c>
      <c r="H2351" s="197">
        <v>18.71</v>
      </c>
      <c r="I2351" s="7" t="s">
        <v>18320</v>
      </c>
      <c r="J2351" s="7" t="s">
        <v>175</v>
      </c>
      <c r="K2351" s="7" t="s">
        <v>17233</v>
      </c>
      <c r="L2351" s="198" t="s">
        <v>65</v>
      </c>
      <c r="M2351" s="199"/>
      <c r="N2351" s="199"/>
    </row>
    <row r="2352">
      <c r="A2352" s="193" t="s">
        <v>19810</v>
      </c>
      <c r="B2352" s="7" t="s">
        <v>16582</v>
      </c>
      <c r="C2352" s="7" t="s">
        <v>16899</v>
      </c>
      <c r="D2352" s="194">
        <v>2004.0</v>
      </c>
      <c r="E2352" s="193"/>
      <c r="F2352" s="195" t="s">
        <v>19811</v>
      </c>
      <c r="G2352" s="196">
        <v>3.635407512E9</v>
      </c>
      <c r="H2352" s="197">
        <v>5.08</v>
      </c>
      <c r="I2352" s="7" t="s">
        <v>16815</v>
      </c>
      <c r="J2352" s="7" t="s">
        <v>16582</v>
      </c>
      <c r="K2352" s="7" t="s">
        <v>16899</v>
      </c>
      <c r="L2352" s="198" t="s">
        <v>65</v>
      </c>
      <c r="M2352" s="194"/>
      <c r="N2352" s="194"/>
    </row>
    <row r="2353">
      <c r="A2353" s="193" t="s">
        <v>19810</v>
      </c>
      <c r="B2353" s="7" t="s">
        <v>16899</v>
      </c>
      <c r="C2353" s="7" t="s">
        <v>16582</v>
      </c>
      <c r="D2353" s="194">
        <v>2004.0</v>
      </c>
      <c r="E2353" s="193"/>
      <c r="F2353" s="195" t="s">
        <v>19811</v>
      </c>
      <c r="G2353" s="200">
        <v>3.635407512E9</v>
      </c>
      <c r="H2353" s="197">
        <v>5.08</v>
      </c>
      <c r="I2353" s="7" t="s">
        <v>16815</v>
      </c>
      <c r="J2353" s="7" t="s">
        <v>16899</v>
      </c>
      <c r="K2353" s="7" t="s">
        <v>16582</v>
      </c>
      <c r="L2353" s="201" t="s">
        <v>16835</v>
      </c>
      <c r="M2353" s="194"/>
      <c r="N2353" s="194"/>
    </row>
    <row r="2354">
      <c r="A2354" s="193" t="s">
        <v>19812</v>
      </c>
      <c r="B2354" s="7" t="s">
        <v>17111</v>
      </c>
      <c r="C2354" s="7" t="s">
        <v>17112</v>
      </c>
      <c r="D2354" s="194">
        <v>2015.0</v>
      </c>
      <c r="E2354" s="193"/>
      <c r="F2354" s="195" t="s">
        <v>19813</v>
      </c>
      <c r="G2354" s="200">
        <v>3.633458368E9</v>
      </c>
      <c r="H2354" s="197">
        <v>15.88</v>
      </c>
      <c r="I2354" s="7" t="s">
        <v>16815</v>
      </c>
      <c r="J2354" s="7" t="s">
        <v>17111</v>
      </c>
      <c r="K2354" s="7" t="s">
        <v>17112</v>
      </c>
      <c r="L2354" s="201" t="s">
        <v>16835</v>
      </c>
      <c r="M2354" s="194"/>
      <c r="N2354" s="194"/>
    </row>
    <row r="2355">
      <c r="A2355" s="193" t="s">
        <v>19812</v>
      </c>
      <c r="B2355" s="7" t="s">
        <v>17112</v>
      </c>
      <c r="C2355" s="7" t="s">
        <v>17111</v>
      </c>
      <c r="D2355" s="194">
        <v>2015.0</v>
      </c>
      <c r="E2355" s="193"/>
      <c r="F2355" s="195" t="s">
        <v>19813</v>
      </c>
      <c r="G2355" s="196">
        <v>3.633458368E9</v>
      </c>
      <c r="H2355" s="197">
        <v>15.88</v>
      </c>
      <c r="I2355" s="7" t="s">
        <v>16815</v>
      </c>
      <c r="J2355" s="7" t="s">
        <v>17112</v>
      </c>
      <c r="K2355" s="7" t="s">
        <v>17111</v>
      </c>
      <c r="L2355" s="198" t="s">
        <v>65</v>
      </c>
      <c r="M2355" s="194"/>
      <c r="N2355" s="194"/>
    </row>
    <row r="2356">
      <c r="A2356" s="193" t="s">
        <v>19814</v>
      </c>
      <c r="B2356" s="7" t="s">
        <v>175</v>
      </c>
      <c r="C2356" s="7" t="s">
        <v>17168</v>
      </c>
      <c r="D2356" s="194">
        <v>2016.0</v>
      </c>
      <c r="E2356" s="193"/>
      <c r="F2356" s="195" t="s">
        <v>19815</v>
      </c>
      <c r="G2356" s="196">
        <v>3.631502593E9</v>
      </c>
      <c r="H2356" s="197">
        <v>33.63</v>
      </c>
      <c r="I2356" s="7" t="s">
        <v>16892</v>
      </c>
      <c r="J2356" s="7" t="s">
        <v>175</v>
      </c>
      <c r="K2356" s="7" t="s">
        <v>17168</v>
      </c>
      <c r="L2356" s="198" t="s">
        <v>65</v>
      </c>
      <c r="M2356" s="194"/>
      <c r="N2356" s="194"/>
    </row>
    <row r="2357">
      <c r="A2357" s="193" t="s">
        <v>19814</v>
      </c>
      <c r="B2357" s="7" t="s">
        <v>17168</v>
      </c>
      <c r="C2357" s="7" t="s">
        <v>175</v>
      </c>
      <c r="D2357" s="194">
        <v>2016.0</v>
      </c>
      <c r="E2357" s="193"/>
      <c r="F2357" s="195" t="s">
        <v>19815</v>
      </c>
      <c r="G2357" s="200">
        <v>3.631502593E9</v>
      </c>
      <c r="H2357" s="197">
        <v>33.63</v>
      </c>
      <c r="I2357" s="7" t="s">
        <v>16815</v>
      </c>
      <c r="J2357" s="7" t="s">
        <v>17168</v>
      </c>
      <c r="K2357" s="7" t="s">
        <v>175</v>
      </c>
      <c r="L2357" s="201" t="s">
        <v>16835</v>
      </c>
      <c r="M2357" s="194"/>
      <c r="N2357" s="194"/>
    </row>
    <row r="2358">
      <c r="A2358" s="193" t="s">
        <v>19816</v>
      </c>
      <c r="B2358" s="7" t="s">
        <v>158</v>
      </c>
      <c r="C2358" s="7" t="s">
        <v>16864</v>
      </c>
      <c r="D2358" s="194">
        <v>2022.0</v>
      </c>
      <c r="E2358" s="193"/>
      <c r="F2358" s="195" t="s">
        <v>19817</v>
      </c>
      <c r="G2358" s="196">
        <v>3.627689127E9</v>
      </c>
      <c r="H2358" s="197">
        <v>23.08</v>
      </c>
      <c r="I2358" s="7" t="s">
        <v>180</v>
      </c>
      <c r="J2358" s="7" t="s">
        <v>158</v>
      </c>
      <c r="K2358" s="7" t="s">
        <v>16864</v>
      </c>
      <c r="L2358" s="198" t="s">
        <v>65</v>
      </c>
      <c r="M2358" s="194"/>
      <c r="N2358" s="194"/>
    </row>
    <row r="2359">
      <c r="A2359" s="193" t="s">
        <v>19816</v>
      </c>
      <c r="B2359" s="7" t="s">
        <v>16864</v>
      </c>
      <c r="C2359" s="7" t="s">
        <v>158</v>
      </c>
      <c r="D2359" s="194">
        <v>2022.0</v>
      </c>
      <c r="E2359" s="193"/>
      <c r="F2359" s="195" t="s">
        <v>19817</v>
      </c>
      <c r="G2359" s="200">
        <v>3.627689127E9</v>
      </c>
      <c r="H2359" s="197">
        <v>23.08</v>
      </c>
      <c r="I2359" s="7" t="s">
        <v>16815</v>
      </c>
      <c r="J2359" s="7" t="s">
        <v>16864</v>
      </c>
      <c r="K2359" s="7" t="s">
        <v>158</v>
      </c>
      <c r="L2359" s="201" t="s">
        <v>16835</v>
      </c>
      <c r="M2359" s="194"/>
      <c r="N2359" s="194"/>
    </row>
    <row r="2360">
      <c r="A2360" s="193" t="s">
        <v>19818</v>
      </c>
      <c r="B2360" s="7" t="s">
        <v>17202</v>
      </c>
      <c r="C2360" s="7" t="s">
        <v>16838</v>
      </c>
      <c r="D2360" s="194">
        <v>2018.0</v>
      </c>
      <c r="E2360" s="193"/>
      <c r="F2360" s="195" t="s">
        <v>19819</v>
      </c>
      <c r="G2360" s="200">
        <v>3.627347448E9</v>
      </c>
      <c r="H2360" s="197">
        <v>24.0</v>
      </c>
      <c r="I2360" s="7" t="s">
        <v>16815</v>
      </c>
      <c r="J2360" s="7" t="s">
        <v>17202</v>
      </c>
      <c r="K2360" s="7" t="s">
        <v>16838</v>
      </c>
      <c r="L2360" s="201" t="s">
        <v>16835</v>
      </c>
      <c r="M2360" s="194"/>
      <c r="N2360" s="194"/>
    </row>
    <row r="2361">
      <c r="A2361" s="193" t="s">
        <v>19818</v>
      </c>
      <c r="B2361" s="7" t="s">
        <v>16838</v>
      </c>
      <c r="C2361" s="7" t="s">
        <v>17202</v>
      </c>
      <c r="D2361" s="194">
        <v>2018.0</v>
      </c>
      <c r="E2361" s="193"/>
      <c r="F2361" s="195" t="s">
        <v>19819</v>
      </c>
      <c r="G2361" s="196">
        <v>3.627347448E9</v>
      </c>
      <c r="H2361" s="197">
        <v>24.0</v>
      </c>
      <c r="I2361" s="7" t="s">
        <v>16815</v>
      </c>
      <c r="J2361" s="7" t="s">
        <v>16838</v>
      </c>
      <c r="K2361" s="7" t="s">
        <v>17202</v>
      </c>
      <c r="L2361" s="198" t="s">
        <v>65</v>
      </c>
      <c r="M2361" s="194"/>
      <c r="N2361" s="194"/>
    </row>
    <row r="2362">
      <c r="A2362" s="193" t="s">
        <v>19820</v>
      </c>
      <c r="B2362" s="7" t="s">
        <v>16945</v>
      </c>
      <c r="C2362" s="7" t="s">
        <v>169</v>
      </c>
      <c r="D2362" s="194">
        <v>2015.0</v>
      </c>
      <c r="E2362" s="193"/>
      <c r="F2362" s="195" t="s">
        <v>19821</v>
      </c>
      <c r="G2362" s="200">
        <v>3.6248627E9</v>
      </c>
      <c r="H2362" s="197">
        <v>24.42</v>
      </c>
      <c r="I2362" s="7" t="s">
        <v>16815</v>
      </c>
      <c r="J2362" s="7" t="s">
        <v>16945</v>
      </c>
      <c r="K2362" s="7" t="s">
        <v>169</v>
      </c>
      <c r="L2362" s="201" t="s">
        <v>16835</v>
      </c>
      <c r="M2362" s="194"/>
      <c r="N2362" s="194"/>
    </row>
    <row r="2363">
      <c r="A2363" s="193" t="s">
        <v>19820</v>
      </c>
      <c r="B2363" s="7" t="s">
        <v>169</v>
      </c>
      <c r="C2363" s="7" t="s">
        <v>16945</v>
      </c>
      <c r="D2363" s="194">
        <v>2015.0</v>
      </c>
      <c r="E2363" s="193"/>
      <c r="F2363" s="195" t="s">
        <v>19821</v>
      </c>
      <c r="G2363" s="196">
        <v>3.6248627E9</v>
      </c>
      <c r="H2363" s="197">
        <v>24.42</v>
      </c>
      <c r="I2363" s="7" t="s">
        <v>16815</v>
      </c>
      <c r="J2363" s="7" t="s">
        <v>169</v>
      </c>
      <c r="K2363" s="7" t="s">
        <v>16945</v>
      </c>
      <c r="L2363" s="198" t="s">
        <v>65</v>
      </c>
      <c r="M2363" s="194"/>
      <c r="N2363" s="194"/>
    </row>
    <row r="2364">
      <c r="A2364" s="193" t="s">
        <v>19822</v>
      </c>
      <c r="B2364" s="7" t="s">
        <v>16919</v>
      </c>
      <c r="C2364" s="7" t="s">
        <v>17048</v>
      </c>
      <c r="D2364" s="199"/>
      <c r="E2364" s="193"/>
      <c r="F2364" s="195" t="s">
        <v>19823</v>
      </c>
      <c r="G2364" s="196">
        <v>3.618798288E9</v>
      </c>
      <c r="H2364" s="197">
        <v>42.16</v>
      </c>
      <c r="I2364" s="7" t="s">
        <v>16815</v>
      </c>
      <c r="J2364" s="7" t="s">
        <v>16919</v>
      </c>
      <c r="K2364" s="7" t="s">
        <v>17048</v>
      </c>
      <c r="L2364" s="198" t="s">
        <v>65</v>
      </c>
      <c r="M2364" s="199"/>
      <c r="N2364" s="199"/>
    </row>
    <row r="2365">
      <c r="A2365" s="193" t="s">
        <v>19822</v>
      </c>
      <c r="B2365" s="7" t="s">
        <v>17048</v>
      </c>
      <c r="C2365" s="7" t="s">
        <v>16919</v>
      </c>
      <c r="D2365" s="199"/>
      <c r="E2365" s="193"/>
      <c r="F2365" s="195" t="s">
        <v>19823</v>
      </c>
      <c r="G2365" s="200">
        <v>3.618798288E9</v>
      </c>
      <c r="H2365" s="197">
        <v>42.16</v>
      </c>
      <c r="I2365" s="7" t="s">
        <v>16815</v>
      </c>
      <c r="J2365" s="7" t="s">
        <v>17048</v>
      </c>
      <c r="K2365" s="7" t="s">
        <v>16919</v>
      </c>
      <c r="L2365" s="201" t="s">
        <v>16835</v>
      </c>
      <c r="M2365" s="199"/>
      <c r="N2365" s="199"/>
    </row>
    <row r="2366">
      <c r="A2366" s="193" t="s">
        <v>19824</v>
      </c>
      <c r="B2366" s="7" t="s">
        <v>175</v>
      </c>
      <c r="C2366" s="7" t="s">
        <v>17457</v>
      </c>
      <c r="D2366" s="194">
        <v>2014.0</v>
      </c>
      <c r="E2366" s="193"/>
      <c r="F2366" s="195" t="s">
        <v>19825</v>
      </c>
      <c r="G2366" s="196">
        <v>3.617896211E9</v>
      </c>
      <c r="H2366" s="197">
        <v>127.35</v>
      </c>
      <c r="I2366" s="7" t="s">
        <v>16892</v>
      </c>
      <c r="J2366" s="7" t="s">
        <v>175</v>
      </c>
      <c r="K2366" s="7" t="s">
        <v>17457</v>
      </c>
      <c r="L2366" s="198" t="s">
        <v>65</v>
      </c>
      <c r="M2366" s="194"/>
      <c r="N2366" s="194"/>
    </row>
    <row r="2367">
      <c r="A2367" s="193" t="s">
        <v>19824</v>
      </c>
      <c r="B2367" s="7" t="s">
        <v>17457</v>
      </c>
      <c r="C2367" s="7" t="s">
        <v>175</v>
      </c>
      <c r="D2367" s="194">
        <v>2014.0</v>
      </c>
      <c r="E2367" s="193"/>
      <c r="F2367" s="195" t="s">
        <v>19825</v>
      </c>
      <c r="G2367" s="200">
        <v>3.617896211E9</v>
      </c>
      <c r="H2367" s="197">
        <v>127.35</v>
      </c>
      <c r="I2367" s="7" t="s">
        <v>16815</v>
      </c>
      <c r="J2367" s="7" t="s">
        <v>17457</v>
      </c>
      <c r="K2367" s="7" t="s">
        <v>175</v>
      </c>
      <c r="L2367" s="201" t="s">
        <v>16835</v>
      </c>
      <c r="M2367" s="194"/>
      <c r="N2367" s="194"/>
    </row>
    <row r="2368">
      <c r="A2368" s="193" t="s">
        <v>19826</v>
      </c>
      <c r="B2368" s="7" t="s">
        <v>175</v>
      </c>
      <c r="C2368" s="7" t="s">
        <v>17022</v>
      </c>
      <c r="D2368" s="194">
        <v>2020.0</v>
      </c>
      <c r="E2368" s="193"/>
      <c r="F2368" s="195" t="s">
        <v>19827</v>
      </c>
      <c r="G2368" s="196">
        <v>3.61389792E9</v>
      </c>
      <c r="H2368" s="197">
        <v>5.19</v>
      </c>
      <c r="I2368" s="7" t="s">
        <v>168</v>
      </c>
      <c r="J2368" s="7" t="s">
        <v>175</v>
      </c>
      <c r="K2368" s="7" t="s">
        <v>17022</v>
      </c>
      <c r="L2368" s="198" t="s">
        <v>65</v>
      </c>
      <c r="M2368" s="194"/>
      <c r="N2368" s="194"/>
    </row>
    <row r="2369">
      <c r="A2369" s="193" t="s">
        <v>19826</v>
      </c>
      <c r="B2369" s="7" t="s">
        <v>17022</v>
      </c>
      <c r="C2369" s="7" t="s">
        <v>175</v>
      </c>
      <c r="D2369" s="194">
        <v>2020.0</v>
      </c>
      <c r="E2369" s="193"/>
      <c r="F2369" s="195" t="s">
        <v>19827</v>
      </c>
      <c r="G2369" s="200">
        <v>3.61389792E9</v>
      </c>
      <c r="H2369" s="197">
        <v>5.19</v>
      </c>
      <c r="I2369" s="7" t="s">
        <v>16815</v>
      </c>
      <c r="J2369" s="7" t="s">
        <v>17022</v>
      </c>
      <c r="K2369" s="7" t="s">
        <v>175</v>
      </c>
      <c r="L2369" s="201" t="s">
        <v>16835</v>
      </c>
      <c r="M2369" s="194"/>
      <c r="N2369" s="194"/>
    </row>
    <row r="2370">
      <c r="A2370" s="193" t="s">
        <v>19828</v>
      </c>
      <c r="B2370" s="7" t="s">
        <v>16582</v>
      </c>
      <c r="C2370" s="7" t="s">
        <v>16930</v>
      </c>
      <c r="D2370" s="199"/>
      <c r="E2370" s="193"/>
      <c r="F2370" s="195" t="s">
        <v>19829</v>
      </c>
      <c r="G2370" s="196">
        <v>3.610768245E9</v>
      </c>
      <c r="H2370" s="197">
        <v>6.745</v>
      </c>
      <c r="I2370" s="7" t="s">
        <v>16815</v>
      </c>
      <c r="J2370" s="7" t="s">
        <v>16582</v>
      </c>
      <c r="K2370" s="7" t="s">
        <v>16930</v>
      </c>
      <c r="L2370" s="198" t="s">
        <v>65</v>
      </c>
      <c r="M2370" s="199"/>
      <c r="N2370" s="199"/>
    </row>
    <row r="2371">
      <c r="A2371" s="193" t="s">
        <v>19830</v>
      </c>
      <c r="B2371" s="7" t="s">
        <v>175</v>
      </c>
      <c r="C2371" s="7" t="s">
        <v>17812</v>
      </c>
      <c r="D2371" s="199"/>
      <c r="E2371" s="193"/>
      <c r="F2371" s="195" t="s">
        <v>19831</v>
      </c>
      <c r="G2371" s="196">
        <v>3.604042161E9</v>
      </c>
      <c r="H2371" s="197">
        <v>73.84</v>
      </c>
      <c r="I2371" s="7" t="s">
        <v>168</v>
      </c>
      <c r="J2371" s="7" t="s">
        <v>175</v>
      </c>
      <c r="K2371" s="7" t="s">
        <v>17812</v>
      </c>
      <c r="L2371" s="198" t="s">
        <v>65</v>
      </c>
      <c r="M2371" s="199"/>
      <c r="N2371" s="199"/>
    </row>
    <row r="2372">
      <c r="A2372" s="193" t="s">
        <v>19830</v>
      </c>
      <c r="B2372" s="7" t="s">
        <v>17812</v>
      </c>
      <c r="C2372" s="7" t="s">
        <v>175</v>
      </c>
      <c r="D2372" s="199"/>
      <c r="E2372" s="193"/>
      <c r="F2372" s="195" t="s">
        <v>19831</v>
      </c>
      <c r="G2372" s="200">
        <v>3.604042161E9</v>
      </c>
      <c r="H2372" s="197">
        <v>73.84</v>
      </c>
      <c r="I2372" s="7" t="s">
        <v>16815</v>
      </c>
      <c r="J2372" s="7" t="s">
        <v>17812</v>
      </c>
      <c r="K2372" s="7" t="s">
        <v>175</v>
      </c>
      <c r="L2372" s="201" t="s">
        <v>16835</v>
      </c>
      <c r="M2372" s="199"/>
      <c r="N2372" s="199"/>
    </row>
    <row r="2373">
      <c r="A2373" s="193" t="s">
        <v>19832</v>
      </c>
      <c r="B2373" s="7" t="s">
        <v>175</v>
      </c>
      <c r="C2373" s="7" t="s">
        <v>17168</v>
      </c>
      <c r="D2373" s="194">
        <v>1994.0</v>
      </c>
      <c r="E2373" s="193"/>
      <c r="F2373" s="195" t="s">
        <v>19833</v>
      </c>
      <c r="G2373" s="196">
        <v>3.595168057E9</v>
      </c>
      <c r="H2373" s="197">
        <v>23.69</v>
      </c>
      <c r="I2373" s="7" t="s">
        <v>168</v>
      </c>
      <c r="J2373" s="7" t="s">
        <v>175</v>
      </c>
      <c r="K2373" s="7" t="s">
        <v>17168</v>
      </c>
      <c r="L2373" s="198" t="s">
        <v>65</v>
      </c>
      <c r="M2373" s="194"/>
      <c r="N2373" s="194"/>
    </row>
    <row r="2374">
      <c r="A2374" s="193" t="s">
        <v>19834</v>
      </c>
      <c r="B2374" s="7" t="s">
        <v>17016</v>
      </c>
      <c r="C2374" s="7" t="s">
        <v>16838</v>
      </c>
      <c r="D2374" s="194">
        <v>2013.0</v>
      </c>
      <c r="E2374" s="193"/>
      <c r="F2374" s="195" t="s">
        <v>19835</v>
      </c>
      <c r="G2374" s="200">
        <v>3.593156371E9</v>
      </c>
      <c r="H2374" s="197">
        <v>71.97</v>
      </c>
      <c r="I2374" s="7" t="s">
        <v>16815</v>
      </c>
      <c r="J2374" s="7" t="s">
        <v>17016</v>
      </c>
      <c r="K2374" s="7" t="s">
        <v>16838</v>
      </c>
      <c r="L2374" s="201" t="s">
        <v>16835</v>
      </c>
      <c r="M2374" s="194"/>
      <c r="N2374" s="194"/>
    </row>
    <row r="2375">
      <c r="A2375" s="193" t="s">
        <v>19834</v>
      </c>
      <c r="B2375" s="7" t="s">
        <v>16838</v>
      </c>
      <c r="C2375" s="7" t="s">
        <v>17016</v>
      </c>
      <c r="D2375" s="194">
        <v>2013.0</v>
      </c>
      <c r="E2375" s="193"/>
      <c r="F2375" s="195" t="s">
        <v>19835</v>
      </c>
      <c r="G2375" s="196">
        <v>3.593156371E9</v>
      </c>
      <c r="H2375" s="197">
        <v>71.97</v>
      </c>
      <c r="I2375" s="7" t="s">
        <v>16815</v>
      </c>
      <c r="J2375" s="7" t="s">
        <v>16838</v>
      </c>
      <c r="K2375" s="7" t="s">
        <v>17016</v>
      </c>
      <c r="L2375" s="198" t="s">
        <v>65</v>
      </c>
      <c r="M2375" s="194"/>
      <c r="N2375" s="194"/>
    </row>
    <row r="2376">
      <c r="A2376" s="193" t="s">
        <v>19836</v>
      </c>
      <c r="B2376" s="7" t="s">
        <v>187</v>
      </c>
      <c r="C2376" s="7" t="s">
        <v>16846</v>
      </c>
      <c r="D2376" s="194">
        <v>2015.0</v>
      </c>
      <c r="E2376" s="193"/>
      <c r="F2376" s="195" t="s">
        <v>19837</v>
      </c>
      <c r="G2376" s="196">
        <v>3.577474551E9</v>
      </c>
      <c r="H2376" s="197">
        <v>58.85</v>
      </c>
      <c r="I2376" s="7" t="s">
        <v>16815</v>
      </c>
      <c r="J2376" s="7" t="s">
        <v>187</v>
      </c>
      <c r="K2376" s="7" t="s">
        <v>16846</v>
      </c>
      <c r="L2376" s="198" t="s">
        <v>65</v>
      </c>
      <c r="M2376" s="194"/>
      <c r="N2376" s="194"/>
    </row>
    <row r="2377">
      <c r="A2377" s="193" t="s">
        <v>19838</v>
      </c>
      <c r="B2377" s="7" t="s">
        <v>17112</v>
      </c>
      <c r="C2377" s="7" t="s">
        <v>17111</v>
      </c>
      <c r="D2377" s="199"/>
      <c r="E2377" s="193"/>
      <c r="F2377" s="195" t="s">
        <v>19839</v>
      </c>
      <c r="G2377" s="196">
        <v>3.57693548E9</v>
      </c>
      <c r="H2377" s="197">
        <v>45.07</v>
      </c>
      <c r="I2377" s="7" t="s">
        <v>16815</v>
      </c>
      <c r="J2377" s="7" t="s">
        <v>17112</v>
      </c>
      <c r="K2377" s="7" t="s">
        <v>17111</v>
      </c>
      <c r="L2377" s="198" t="s">
        <v>65</v>
      </c>
      <c r="M2377" s="199"/>
      <c r="N2377" s="199"/>
    </row>
    <row r="2378">
      <c r="A2378" s="193" t="s">
        <v>19840</v>
      </c>
      <c r="B2378" s="7" t="s">
        <v>18732</v>
      </c>
      <c r="C2378" s="7" t="s">
        <v>169</v>
      </c>
      <c r="D2378" s="199"/>
      <c r="E2378" s="193"/>
      <c r="F2378" s="195" t="s">
        <v>19841</v>
      </c>
      <c r="G2378" s="200">
        <v>3.575068662E9</v>
      </c>
      <c r="H2378" s="197">
        <v>80.92</v>
      </c>
      <c r="I2378" s="7" t="s">
        <v>16815</v>
      </c>
      <c r="J2378" s="7" t="s">
        <v>18732</v>
      </c>
      <c r="K2378" s="7" t="s">
        <v>169</v>
      </c>
      <c r="L2378" s="201" t="s">
        <v>16835</v>
      </c>
      <c r="M2378" s="199"/>
      <c r="N2378" s="199"/>
    </row>
    <row r="2379">
      <c r="A2379" s="193" t="s">
        <v>19840</v>
      </c>
      <c r="B2379" s="7" t="s">
        <v>169</v>
      </c>
      <c r="C2379" s="7" t="s">
        <v>18732</v>
      </c>
      <c r="D2379" s="199"/>
      <c r="E2379" s="193"/>
      <c r="F2379" s="195" t="s">
        <v>19841</v>
      </c>
      <c r="G2379" s="196">
        <v>3.575068662E9</v>
      </c>
      <c r="H2379" s="197">
        <v>80.92</v>
      </c>
      <c r="I2379" s="7" t="s">
        <v>16815</v>
      </c>
      <c r="J2379" s="7" t="s">
        <v>169</v>
      </c>
      <c r="K2379" s="7" t="s">
        <v>18732</v>
      </c>
      <c r="L2379" s="198" t="s">
        <v>65</v>
      </c>
      <c r="M2379" s="199"/>
      <c r="N2379" s="199"/>
    </row>
    <row r="2380">
      <c r="A2380" s="193" t="s">
        <v>19842</v>
      </c>
      <c r="B2380" s="7" t="s">
        <v>175</v>
      </c>
      <c r="C2380" s="7" t="s">
        <v>19006</v>
      </c>
      <c r="D2380" s="194">
        <v>2018.0</v>
      </c>
      <c r="E2380" s="193"/>
      <c r="F2380" s="195" t="s">
        <v>19843</v>
      </c>
      <c r="G2380" s="196">
        <v>3.553593012E9</v>
      </c>
      <c r="H2380" s="197">
        <v>40.97</v>
      </c>
      <c r="I2380" s="7" t="s">
        <v>16856</v>
      </c>
      <c r="J2380" s="7" t="s">
        <v>175</v>
      </c>
      <c r="K2380" s="7" t="s">
        <v>19006</v>
      </c>
      <c r="L2380" s="198" t="s">
        <v>65</v>
      </c>
      <c r="M2380" s="194"/>
      <c r="N2380" s="194"/>
    </row>
    <row r="2381">
      <c r="A2381" s="193" t="s">
        <v>19842</v>
      </c>
      <c r="B2381" s="7" t="s">
        <v>19006</v>
      </c>
      <c r="C2381" s="7" t="s">
        <v>175</v>
      </c>
      <c r="D2381" s="194">
        <v>2018.0</v>
      </c>
      <c r="E2381" s="193"/>
      <c r="F2381" s="195" t="s">
        <v>19843</v>
      </c>
      <c r="G2381" s="200">
        <v>3.553593012E9</v>
      </c>
      <c r="H2381" s="197">
        <v>40.97</v>
      </c>
      <c r="I2381" s="7" t="s">
        <v>16815</v>
      </c>
      <c r="J2381" s="7" t="s">
        <v>19006</v>
      </c>
      <c r="K2381" s="7" t="s">
        <v>175</v>
      </c>
      <c r="L2381" s="201" t="s">
        <v>16835</v>
      </c>
      <c r="M2381" s="194"/>
      <c r="N2381" s="194"/>
    </row>
    <row r="2382">
      <c r="A2382" s="193" t="s">
        <v>19844</v>
      </c>
      <c r="B2382" s="7" t="s">
        <v>16582</v>
      </c>
      <c r="C2382" s="7" t="s">
        <v>16817</v>
      </c>
      <c r="D2382" s="194">
        <v>2021.0</v>
      </c>
      <c r="E2382" s="193"/>
      <c r="F2382" s="195" t="s">
        <v>19845</v>
      </c>
      <c r="G2382" s="196">
        <v>3.542161899E9</v>
      </c>
      <c r="H2382" s="197">
        <v>24.48</v>
      </c>
      <c r="I2382" s="7" t="s">
        <v>16815</v>
      </c>
      <c r="J2382" s="7" t="s">
        <v>16582</v>
      </c>
      <c r="K2382" s="7" t="s">
        <v>16817</v>
      </c>
      <c r="L2382" s="198" t="s">
        <v>65</v>
      </c>
      <c r="M2382" s="194"/>
      <c r="N2382" s="194"/>
    </row>
    <row r="2383">
      <c r="A2383" s="193" t="s">
        <v>19844</v>
      </c>
      <c r="B2383" s="7" t="s">
        <v>16817</v>
      </c>
      <c r="C2383" s="7" t="s">
        <v>16582</v>
      </c>
      <c r="D2383" s="194">
        <v>2021.0</v>
      </c>
      <c r="E2383" s="193"/>
      <c r="F2383" s="195" t="s">
        <v>19845</v>
      </c>
      <c r="G2383" s="200">
        <v>3.542161899E9</v>
      </c>
      <c r="H2383" s="197">
        <v>24.48</v>
      </c>
      <c r="I2383" s="7" t="s">
        <v>16815</v>
      </c>
      <c r="J2383" s="7" t="s">
        <v>16817</v>
      </c>
      <c r="K2383" s="7" t="s">
        <v>16582</v>
      </c>
      <c r="L2383" s="201" t="s">
        <v>16835</v>
      </c>
      <c r="M2383" s="194"/>
      <c r="N2383" s="194"/>
    </row>
    <row r="2384">
      <c r="A2384" s="193" t="s">
        <v>19846</v>
      </c>
      <c r="B2384" s="7" t="s">
        <v>17111</v>
      </c>
      <c r="C2384" s="7" t="s">
        <v>17112</v>
      </c>
      <c r="D2384" s="194">
        <v>2018.0</v>
      </c>
      <c r="E2384" s="193"/>
      <c r="F2384" s="195" t="s">
        <v>19847</v>
      </c>
      <c r="G2384" s="200">
        <v>3.538629355E9</v>
      </c>
      <c r="H2384" s="197">
        <v>22.68</v>
      </c>
      <c r="I2384" s="7" t="s">
        <v>16815</v>
      </c>
      <c r="J2384" s="7" t="s">
        <v>17111</v>
      </c>
      <c r="K2384" s="7" t="s">
        <v>17112</v>
      </c>
      <c r="L2384" s="201" t="s">
        <v>16835</v>
      </c>
      <c r="M2384" s="194"/>
      <c r="N2384" s="194"/>
    </row>
    <row r="2385">
      <c r="A2385" s="193" t="s">
        <v>19846</v>
      </c>
      <c r="B2385" s="7" t="s">
        <v>17112</v>
      </c>
      <c r="C2385" s="7" t="s">
        <v>17111</v>
      </c>
      <c r="D2385" s="194">
        <v>2018.0</v>
      </c>
      <c r="E2385" s="193"/>
      <c r="F2385" s="195" t="s">
        <v>19847</v>
      </c>
      <c r="G2385" s="196">
        <v>3.538629355E9</v>
      </c>
      <c r="H2385" s="197">
        <v>22.68</v>
      </c>
      <c r="I2385" s="7" t="s">
        <v>16815</v>
      </c>
      <c r="J2385" s="7" t="s">
        <v>17112</v>
      </c>
      <c r="K2385" s="7" t="s">
        <v>17111</v>
      </c>
      <c r="L2385" s="198" t="s">
        <v>65</v>
      </c>
      <c r="M2385" s="194"/>
      <c r="N2385" s="194"/>
    </row>
    <row r="2386">
      <c r="A2386" s="193" t="s">
        <v>19848</v>
      </c>
      <c r="B2386" s="7" t="s">
        <v>175</v>
      </c>
      <c r="C2386" s="7" t="s">
        <v>19006</v>
      </c>
      <c r="D2386" s="194">
        <v>2016.0</v>
      </c>
      <c r="E2386" s="193"/>
      <c r="F2386" s="195" t="s">
        <v>19849</v>
      </c>
      <c r="G2386" s="196">
        <v>3.534974348E9</v>
      </c>
      <c r="H2386" s="197">
        <v>54.07</v>
      </c>
      <c r="I2386" s="193" t="s">
        <v>16908</v>
      </c>
      <c r="J2386" s="7" t="s">
        <v>175</v>
      </c>
      <c r="K2386" s="7" t="s">
        <v>19006</v>
      </c>
      <c r="L2386" s="198" t="s">
        <v>65</v>
      </c>
      <c r="M2386" s="194"/>
      <c r="N2386" s="194"/>
    </row>
    <row r="2387">
      <c r="A2387" s="193" t="s">
        <v>19848</v>
      </c>
      <c r="B2387" s="7" t="s">
        <v>19006</v>
      </c>
      <c r="C2387" s="7" t="s">
        <v>175</v>
      </c>
      <c r="D2387" s="194">
        <v>2016.0</v>
      </c>
      <c r="E2387" s="193"/>
      <c r="F2387" s="195" t="s">
        <v>19849</v>
      </c>
      <c r="G2387" s="200">
        <v>3.534974348E9</v>
      </c>
      <c r="H2387" s="197">
        <v>54.07</v>
      </c>
      <c r="I2387" s="7" t="s">
        <v>16815</v>
      </c>
      <c r="J2387" s="7" t="s">
        <v>19006</v>
      </c>
      <c r="K2387" s="7" t="s">
        <v>175</v>
      </c>
      <c r="L2387" s="201" t="s">
        <v>16835</v>
      </c>
      <c r="M2387" s="194"/>
      <c r="N2387" s="194"/>
    </row>
    <row r="2388">
      <c r="A2388" s="193" t="s">
        <v>19850</v>
      </c>
      <c r="B2388" s="7" t="s">
        <v>16957</v>
      </c>
      <c r="C2388" s="7" t="s">
        <v>16926</v>
      </c>
      <c r="D2388" s="194">
        <v>1988.0</v>
      </c>
      <c r="E2388" s="193"/>
      <c r="F2388" s="195" t="s">
        <v>19851</v>
      </c>
      <c r="G2388" s="200">
        <v>3.5309E9</v>
      </c>
      <c r="H2388" s="197">
        <v>41.54</v>
      </c>
      <c r="I2388" s="7" t="s">
        <v>16815</v>
      </c>
      <c r="J2388" s="7" t="s">
        <v>16957</v>
      </c>
      <c r="K2388" s="7" t="s">
        <v>16926</v>
      </c>
      <c r="L2388" s="201" t="s">
        <v>16835</v>
      </c>
      <c r="M2388" s="194"/>
      <c r="N2388" s="194"/>
    </row>
    <row r="2389">
      <c r="A2389" s="193" t="s">
        <v>19850</v>
      </c>
      <c r="B2389" s="7" t="s">
        <v>16926</v>
      </c>
      <c r="C2389" s="7" t="s">
        <v>16957</v>
      </c>
      <c r="D2389" s="194">
        <v>1988.0</v>
      </c>
      <c r="E2389" s="193"/>
      <c r="F2389" s="195" t="s">
        <v>19851</v>
      </c>
      <c r="G2389" s="196">
        <v>3.5309E9</v>
      </c>
      <c r="H2389" s="197">
        <v>41.54</v>
      </c>
      <c r="I2389" s="7" t="s">
        <v>16815</v>
      </c>
      <c r="J2389" s="7" t="s">
        <v>16926</v>
      </c>
      <c r="K2389" s="7" t="s">
        <v>16957</v>
      </c>
      <c r="L2389" s="198" t="s">
        <v>65</v>
      </c>
      <c r="M2389" s="194"/>
      <c r="N2389" s="194"/>
    </row>
    <row r="2390">
      <c r="A2390" s="193" t="s">
        <v>19852</v>
      </c>
      <c r="B2390" s="7" t="s">
        <v>175</v>
      </c>
      <c r="C2390" s="7" t="s">
        <v>16942</v>
      </c>
      <c r="D2390" s="194">
        <v>2023.0</v>
      </c>
      <c r="E2390" s="193"/>
      <c r="F2390" s="195" t="s">
        <v>19853</v>
      </c>
      <c r="G2390" s="196">
        <v>3.529909274E9</v>
      </c>
      <c r="H2390" s="197">
        <v>31.07</v>
      </c>
      <c r="I2390" s="7" t="s">
        <v>16908</v>
      </c>
      <c r="J2390" s="7" t="s">
        <v>175</v>
      </c>
      <c r="K2390" s="7" t="s">
        <v>16942</v>
      </c>
      <c r="L2390" s="198" t="s">
        <v>65</v>
      </c>
      <c r="M2390" s="194"/>
      <c r="N2390" s="194"/>
    </row>
    <row r="2391">
      <c r="A2391" s="193" t="s">
        <v>19852</v>
      </c>
      <c r="B2391" s="7" t="s">
        <v>16942</v>
      </c>
      <c r="C2391" s="7" t="s">
        <v>175</v>
      </c>
      <c r="D2391" s="194">
        <v>2023.0</v>
      </c>
      <c r="E2391" s="193"/>
      <c r="F2391" s="195" t="s">
        <v>19853</v>
      </c>
      <c r="G2391" s="200">
        <v>3.529909274E9</v>
      </c>
      <c r="H2391" s="197">
        <v>31.07</v>
      </c>
      <c r="I2391" s="7" t="s">
        <v>16815</v>
      </c>
      <c r="J2391" s="7" t="s">
        <v>16942</v>
      </c>
      <c r="K2391" s="7" t="s">
        <v>175</v>
      </c>
      <c r="L2391" s="201" t="s">
        <v>16835</v>
      </c>
      <c r="M2391" s="194"/>
      <c r="N2391" s="194"/>
    </row>
    <row r="2392">
      <c r="A2392" s="193" t="s">
        <v>19854</v>
      </c>
      <c r="B2392" s="7" t="s">
        <v>16838</v>
      </c>
      <c r="C2392" s="7" t="s">
        <v>16867</v>
      </c>
      <c r="D2392" s="199"/>
      <c r="E2392" s="193"/>
      <c r="F2392" s="195" t="s">
        <v>19855</v>
      </c>
      <c r="G2392" s="196">
        <v>3.523492963E9</v>
      </c>
      <c r="H2392" s="197">
        <v>24.69</v>
      </c>
      <c r="I2392" s="7" t="s">
        <v>16815</v>
      </c>
      <c r="J2392" s="7" t="s">
        <v>16838</v>
      </c>
      <c r="K2392" s="7" t="s">
        <v>16867</v>
      </c>
      <c r="L2392" s="198" t="s">
        <v>65</v>
      </c>
      <c r="M2392" s="199"/>
      <c r="N2392" s="199"/>
    </row>
    <row r="2393">
      <c r="A2393" s="193" t="s">
        <v>19856</v>
      </c>
      <c r="B2393" s="7" t="s">
        <v>17321</v>
      </c>
      <c r="C2393" s="7" t="s">
        <v>169</v>
      </c>
      <c r="D2393" s="194">
        <v>2018.0</v>
      </c>
      <c r="E2393" s="193"/>
      <c r="F2393" s="195" t="s">
        <v>19857</v>
      </c>
      <c r="G2393" s="200">
        <v>3.520319783E9</v>
      </c>
      <c r="H2393" s="197">
        <v>44.32</v>
      </c>
      <c r="I2393" s="7" t="s">
        <v>16815</v>
      </c>
      <c r="J2393" s="7" t="s">
        <v>17321</v>
      </c>
      <c r="K2393" s="7" t="s">
        <v>169</v>
      </c>
      <c r="L2393" s="201" t="s">
        <v>16835</v>
      </c>
      <c r="M2393" s="194"/>
      <c r="N2393" s="194"/>
    </row>
    <row r="2394">
      <c r="A2394" s="193" t="s">
        <v>19856</v>
      </c>
      <c r="B2394" s="7" t="s">
        <v>169</v>
      </c>
      <c r="C2394" s="7" t="s">
        <v>17321</v>
      </c>
      <c r="D2394" s="194">
        <v>2018.0</v>
      </c>
      <c r="E2394" s="193"/>
      <c r="F2394" s="195" t="s">
        <v>19857</v>
      </c>
      <c r="G2394" s="196">
        <v>3.520319783E9</v>
      </c>
      <c r="H2394" s="197">
        <v>44.32</v>
      </c>
      <c r="I2394" s="7" t="s">
        <v>16815</v>
      </c>
      <c r="J2394" s="7" t="s">
        <v>169</v>
      </c>
      <c r="K2394" s="7" t="s">
        <v>17321</v>
      </c>
      <c r="L2394" s="198" t="s">
        <v>65</v>
      </c>
      <c r="M2394" s="194"/>
      <c r="N2394" s="194"/>
    </row>
    <row r="2395">
      <c r="A2395" s="193" t="s">
        <v>19858</v>
      </c>
      <c r="B2395" s="7" t="s">
        <v>16582</v>
      </c>
      <c r="C2395" s="7" t="s">
        <v>16817</v>
      </c>
      <c r="D2395" s="194">
        <v>2022.0</v>
      </c>
      <c r="E2395" s="193"/>
      <c r="F2395" s="195" t="s">
        <v>19859</v>
      </c>
      <c r="G2395" s="196">
        <v>3.516012441E9</v>
      </c>
      <c r="H2395" s="197">
        <v>37.34</v>
      </c>
      <c r="I2395" s="7" t="s">
        <v>16815</v>
      </c>
      <c r="J2395" s="7" t="s">
        <v>16582</v>
      </c>
      <c r="K2395" s="7" t="s">
        <v>16817</v>
      </c>
      <c r="L2395" s="198" t="s">
        <v>65</v>
      </c>
      <c r="M2395" s="194"/>
      <c r="N2395" s="194"/>
    </row>
    <row r="2396">
      <c r="A2396" s="193" t="s">
        <v>19860</v>
      </c>
      <c r="B2396" s="7" t="s">
        <v>175</v>
      </c>
      <c r="C2396" s="7" t="s">
        <v>17069</v>
      </c>
      <c r="D2396" s="194">
        <v>2017.0</v>
      </c>
      <c r="E2396" s="193"/>
      <c r="F2396" s="195" t="s">
        <v>19861</v>
      </c>
      <c r="G2396" s="196">
        <v>3.513882164E9</v>
      </c>
      <c r="H2396" s="197">
        <v>20.71</v>
      </c>
      <c r="I2396" s="7" t="s">
        <v>16856</v>
      </c>
      <c r="J2396" s="7" t="s">
        <v>175</v>
      </c>
      <c r="K2396" s="7" t="s">
        <v>17069</v>
      </c>
      <c r="L2396" s="198" t="s">
        <v>65</v>
      </c>
      <c r="M2396" s="194"/>
      <c r="N2396" s="194"/>
    </row>
    <row r="2397">
      <c r="A2397" s="193" t="s">
        <v>19862</v>
      </c>
      <c r="B2397" s="7" t="s">
        <v>16838</v>
      </c>
      <c r="C2397" s="7" t="s">
        <v>16837</v>
      </c>
      <c r="D2397" s="194">
        <v>2007.0</v>
      </c>
      <c r="E2397" s="193"/>
      <c r="F2397" s="195" t="s">
        <v>19863</v>
      </c>
      <c r="G2397" s="196">
        <v>3.501310434E9</v>
      </c>
      <c r="H2397" s="197">
        <v>12.49</v>
      </c>
      <c r="I2397" s="7" t="s">
        <v>16815</v>
      </c>
      <c r="J2397" s="7" t="s">
        <v>16838</v>
      </c>
      <c r="K2397" s="7" t="s">
        <v>16837</v>
      </c>
      <c r="L2397" s="198" t="s">
        <v>65</v>
      </c>
      <c r="M2397" s="194"/>
      <c r="N2397" s="194"/>
    </row>
    <row r="2398">
      <c r="A2398" s="193" t="s">
        <v>19864</v>
      </c>
      <c r="B2398" s="7" t="s">
        <v>17347</v>
      </c>
      <c r="C2398" s="7" t="s">
        <v>16838</v>
      </c>
      <c r="D2398" s="194">
        <v>2021.0</v>
      </c>
      <c r="E2398" s="193"/>
      <c r="F2398" s="195" t="s">
        <v>19865</v>
      </c>
      <c r="G2398" s="200">
        <v>3.491642855E9</v>
      </c>
      <c r="H2398" s="197">
        <v>43.92</v>
      </c>
      <c r="I2398" s="7" t="s">
        <v>16815</v>
      </c>
      <c r="J2398" s="7" t="s">
        <v>17347</v>
      </c>
      <c r="K2398" s="7" t="s">
        <v>16838</v>
      </c>
      <c r="L2398" s="201" t="s">
        <v>16835</v>
      </c>
      <c r="M2398" s="194"/>
      <c r="N2398" s="194"/>
    </row>
    <row r="2399">
      <c r="A2399" s="193" t="s">
        <v>19864</v>
      </c>
      <c r="B2399" s="7" t="s">
        <v>16838</v>
      </c>
      <c r="C2399" s="7" t="s">
        <v>17347</v>
      </c>
      <c r="D2399" s="194">
        <v>2021.0</v>
      </c>
      <c r="E2399" s="193"/>
      <c r="F2399" s="195" t="s">
        <v>19865</v>
      </c>
      <c r="G2399" s="196">
        <v>3.491642855E9</v>
      </c>
      <c r="H2399" s="197">
        <v>43.92</v>
      </c>
      <c r="I2399" s="7" t="s">
        <v>16815</v>
      </c>
      <c r="J2399" s="7" t="s">
        <v>16838</v>
      </c>
      <c r="K2399" s="7" t="s">
        <v>17347</v>
      </c>
      <c r="L2399" s="198" t="s">
        <v>65</v>
      </c>
      <c r="M2399" s="194"/>
      <c r="N2399" s="194"/>
    </row>
    <row r="2400">
      <c r="A2400" s="193" t="s">
        <v>19866</v>
      </c>
      <c r="B2400" s="7" t="s">
        <v>17112</v>
      </c>
      <c r="C2400" s="7" t="s">
        <v>17111</v>
      </c>
      <c r="D2400" s="199"/>
      <c r="E2400" s="193"/>
      <c r="F2400" s="195" t="s">
        <v>19867</v>
      </c>
      <c r="G2400" s="196">
        <v>3.476912047E9</v>
      </c>
      <c r="H2400" s="197">
        <v>14.46</v>
      </c>
      <c r="I2400" s="7" t="s">
        <v>16815</v>
      </c>
      <c r="J2400" s="7" t="s">
        <v>17112</v>
      </c>
      <c r="K2400" s="7" t="s">
        <v>17111</v>
      </c>
      <c r="L2400" s="198" t="s">
        <v>65</v>
      </c>
      <c r="M2400" s="199"/>
      <c r="N2400" s="199"/>
    </row>
    <row r="2401">
      <c r="A2401" s="193" t="s">
        <v>19868</v>
      </c>
      <c r="B2401" s="7" t="s">
        <v>16910</v>
      </c>
      <c r="C2401" s="7" t="s">
        <v>17648</v>
      </c>
      <c r="D2401" s="194">
        <v>2021.0</v>
      </c>
      <c r="E2401" s="193"/>
      <c r="F2401" s="195" t="s">
        <v>19869</v>
      </c>
      <c r="G2401" s="196">
        <v>3.4701425E9</v>
      </c>
      <c r="H2401" s="197">
        <v>12.85</v>
      </c>
      <c r="I2401" s="7" t="s">
        <v>16856</v>
      </c>
      <c r="J2401" s="7" t="s">
        <v>16910</v>
      </c>
      <c r="K2401" s="7" t="s">
        <v>17648</v>
      </c>
      <c r="L2401" s="198" t="s">
        <v>65</v>
      </c>
      <c r="M2401" s="194"/>
      <c r="N2401" s="194"/>
    </row>
    <row r="2402">
      <c r="A2402" s="193" t="s">
        <v>19868</v>
      </c>
      <c r="B2402" s="7" t="s">
        <v>17648</v>
      </c>
      <c r="C2402" s="7" t="s">
        <v>16910</v>
      </c>
      <c r="D2402" s="194">
        <v>2021.0</v>
      </c>
      <c r="E2402" s="193"/>
      <c r="F2402" s="195" t="s">
        <v>19869</v>
      </c>
      <c r="G2402" s="200">
        <v>3.4701425E9</v>
      </c>
      <c r="H2402" s="197">
        <v>12.85</v>
      </c>
      <c r="I2402" s="7" t="s">
        <v>16815</v>
      </c>
      <c r="J2402" s="7" t="s">
        <v>17648</v>
      </c>
      <c r="K2402" s="7" t="s">
        <v>16910</v>
      </c>
      <c r="L2402" s="201" t="s">
        <v>16835</v>
      </c>
      <c r="M2402" s="194"/>
      <c r="N2402" s="194"/>
    </row>
    <row r="2403">
      <c r="A2403" s="193" t="s">
        <v>19870</v>
      </c>
      <c r="B2403" s="7" t="s">
        <v>16582</v>
      </c>
      <c r="C2403" s="7" t="s">
        <v>16899</v>
      </c>
      <c r="D2403" s="194">
        <v>2004.0</v>
      </c>
      <c r="E2403" s="193"/>
      <c r="F2403" s="195" t="s">
        <v>19871</v>
      </c>
      <c r="G2403" s="196">
        <v>3.457761622E9</v>
      </c>
      <c r="H2403" s="197">
        <v>85.59</v>
      </c>
      <c r="I2403" s="7" t="s">
        <v>16815</v>
      </c>
      <c r="J2403" s="7" t="s">
        <v>16582</v>
      </c>
      <c r="K2403" s="7" t="s">
        <v>16899</v>
      </c>
      <c r="L2403" s="198" t="s">
        <v>65</v>
      </c>
      <c r="M2403" s="194"/>
      <c r="N2403" s="194"/>
    </row>
    <row r="2404">
      <c r="A2404" s="193" t="s">
        <v>19870</v>
      </c>
      <c r="B2404" s="7" t="s">
        <v>16899</v>
      </c>
      <c r="C2404" s="7" t="s">
        <v>16582</v>
      </c>
      <c r="D2404" s="194">
        <v>2004.0</v>
      </c>
      <c r="E2404" s="193"/>
      <c r="F2404" s="195" t="s">
        <v>19871</v>
      </c>
      <c r="G2404" s="200">
        <v>3.457761622E9</v>
      </c>
      <c r="H2404" s="197">
        <v>85.59</v>
      </c>
      <c r="I2404" s="7" t="s">
        <v>16815</v>
      </c>
      <c r="J2404" s="7" t="s">
        <v>16899</v>
      </c>
      <c r="K2404" s="7" t="s">
        <v>16582</v>
      </c>
      <c r="L2404" s="201" t="s">
        <v>16835</v>
      </c>
      <c r="M2404" s="194"/>
      <c r="N2404" s="194"/>
    </row>
    <row r="2405">
      <c r="A2405" s="193" t="s">
        <v>19872</v>
      </c>
      <c r="B2405" s="7" t="s">
        <v>158</v>
      </c>
      <c r="C2405" s="7" t="s">
        <v>16864</v>
      </c>
      <c r="D2405" s="194">
        <v>2020.0</v>
      </c>
      <c r="E2405" s="193"/>
      <c r="F2405" s="195" t="s">
        <v>19873</v>
      </c>
      <c r="G2405" s="196">
        <v>3.452950902E9</v>
      </c>
      <c r="H2405" s="197">
        <v>50.32</v>
      </c>
      <c r="I2405" s="7" t="s">
        <v>16897</v>
      </c>
      <c r="J2405" s="7" t="s">
        <v>158</v>
      </c>
      <c r="K2405" s="7" t="s">
        <v>16864</v>
      </c>
      <c r="L2405" s="198" t="s">
        <v>65</v>
      </c>
      <c r="M2405" s="194"/>
      <c r="N2405" s="194"/>
    </row>
    <row r="2406">
      <c r="A2406" s="193" t="s">
        <v>19872</v>
      </c>
      <c r="B2406" s="7" t="s">
        <v>16864</v>
      </c>
      <c r="C2406" s="7" t="s">
        <v>158</v>
      </c>
      <c r="D2406" s="194">
        <v>2020.0</v>
      </c>
      <c r="E2406" s="193"/>
      <c r="F2406" s="195" t="s">
        <v>19873</v>
      </c>
      <c r="G2406" s="200">
        <v>3.452950902E9</v>
      </c>
      <c r="H2406" s="197">
        <v>50.32</v>
      </c>
      <c r="I2406" s="7" t="s">
        <v>16815</v>
      </c>
      <c r="J2406" s="7" t="s">
        <v>16864</v>
      </c>
      <c r="K2406" s="7" t="s">
        <v>158</v>
      </c>
      <c r="L2406" s="201" t="s">
        <v>16835</v>
      </c>
      <c r="M2406" s="194"/>
      <c r="N2406" s="194"/>
    </row>
    <row r="2407">
      <c r="A2407" s="193" t="s">
        <v>19874</v>
      </c>
      <c r="B2407" s="7" t="s">
        <v>175</v>
      </c>
      <c r="C2407" s="7" t="s">
        <v>17480</v>
      </c>
      <c r="D2407" s="199"/>
      <c r="E2407" s="193"/>
      <c r="F2407" s="195" t="s">
        <v>19875</v>
      </c>
      <c r="G2407" s="196">
        <v>3.445002626E9</v>
      </c>
      <c r="H2407" s="197">
        <v>42.66</v>
      </c>
      <c r="I2407" s="7" t="s">
        <v>17033</v>
      </c>
      <c r="J2407" s="7" t="s">
        <v>175</v>
      </c>
      <c r="K2407" s="7" t="s">
        <v>17480</v>
      </c>
      <c r="L2407" s="198" t="s">
        <v>65</v>
      </c>
      <c r="M2407" s="199"/>
      <c r="N2407" s="199"/>
    </row>
    <row r="2408">
      <c r="A2408" s="193" t="s">
        <v>19876</v>
      </c>
      <c r="B2408" s="7" t="s">
        <v>158</v>
      </c>
      <c r="C2408" s="7" t="s">
        <v>16864</v>
      </c>
      <c r="D2408" s="194">
        <v>2023.0</v>
      </c>
      <c r="E2408" s="193"/>
      <c r="F2408" s="195" t="s">
        <v>19877</v>
      </c>
      <c r="G2408" s="196">
        <v>3.4321616E9</v>
      </c>
      <c r="H2408" s="197">
        <v>4.06</v>
      </c>
      <c r="I2408" s="7" t="s">
        <v>17095</v>
      </c>
      <c r="J2408" s="7" t="s">
        <v>158</v>
      </c>
      <c r="K2408" s="7" t="s">
        <v>16864</v>
      </c>
      <c r="L2408" s="198" t="s">
        <v>65</v>
      </c>
      <c r="M2408" s="194"/>
      <c r="N2408" s="194"/>
    </row>
    <row r="2409">
      <c r="A2409" s="193" t="s">
        <v>19876</v>
      </c>
      <c r="B2409" s="7" t="s">
        <v>16864</v>
      </c>
      <c r="C2409" s="7" t="s">
        <v>158</v>
      </c>
      <c r="D2409" s="194">
        <v>2023.0</v>
      </c>
      <c r="E2409" s="193"/>
      <c r="F2409" s="195" t="s">
        <v>19877</v>
      </c>
      <c r="G2409" s="200">
        <v>3.4321616E9</v>
      </c>
      <c r="H2409" s="197">
        <v>4.06</v>
      </c>
      <c r="I2409" s="7" t="s">
        <v>16815</v>
      </c>
      <c r="J2409" s="7" t="s">
        <v>16864</v>
      </c>
      <c r="K2409" s="7" t="s">
        <v>158</v>
      </c>
      <c r="L2409" s="201" t="s">
        <v>16835</v>
      </c>
      <c r="M2409" s="194"/>
      <c r="N2409" s="194"/>
    </row>
    <row r="2410">
      <c r="A2410" s="193" t="s">
        <v>19878</v>
      </c>
      <c r="B2410" s="7" t="s">
        <v>16867</v>
      </c>
      <c r="C2410" s="7" t="s">
        <v>16838</v>
      </c>
      <c r="D2410" s="199"/>
      <c r="E2410" s="193"/>
      <c r="F2410" s="195" t="s">
        <v>19879</v>
      </c>
      <c r="G2410" s="200">
        <v>3.404090417E9</v>
      </c>
      <c r="H2410" s="197">
        <v>30.7</v>
      </c>
      <c r="I2410" s="7" t="s">
        <v>16815</v>
      </c>
      <c r="J2410" s="7" t="s">
        <v>16867</v>
      </c>
      <c r="K2410" s="7" t="s">
        <v>16838</v>
      </c>
      <c r="L2410" s="201" t="s">
        <v>16835</v>
      </c>
      <c r="M2410" s="199"/>
      <c r="N2410" s="199"/>
    </row>
    <row r="2411">
      <c r="A2411" s="193" t="s">
        <v>19878</v>
      </c>
      <c r="B2411" s="7" t="s">
        <v>16838</v>
      </c>
      <c r="C2411" s="7" t="s">
        <v>16867</v>
      </c>
      <c r="D2411" s="199"/>
      <c r="E2411" s="193"/>
      <c r="F2411" s="195" t="s">
        <v>19879</v>
      </c>
      <c r="G2411" s="196">
        <v>3.404090417E9</v>
      </c>
      <c r="H2411" s="197">
        <v>30.7</v>
      </c>
      <c r="I2411" s="7" t="s">
        <v>16815</v>
      </c>
      <c r="J2411" s="7" t="s">
        <v>16838</v>
      </c>
      <c r="K2411" s="7" t="s">
        <v>16867</v>
      </c>
      <c r="L2411" s="198" t="s">
        <v>65</v>
      </c>
      <c r="M2411" s="199"/>
      <c r="N2411" s="199"/>
    </row>
    <row r="2412">
      <c r="A2412" s="193" t="s">
        <v>19880</v>
      </c>
      <c r="B2412" s="7" t="s">
        <v>175</v>
      </c>
      <c r="C2412" s="7" t="s">
        <v>19006</v>
      </c>
      <c r="D2412" s="194">
        <v>2020.0</v>
      </c>
      <c r="E2412" s="193"/>
      <c r="F2412" s="195" t="s">
        <v>19881</v>
      </c>
      <c r="G2412" s="196">
        <v>3.404004042E9</v>
      </c>
      <c r="H2412" s="197">
        <v>45.67</v>
      </c>
      <c r="I2412" s="7" t="s">
        <v>174</v>
      </c>
      <c r="J2412" s="7" t="s">
        <v>175</v>
      </c>
      <c r="K2412" s="7" t="s">
        <v>19006</v>
      </c>
      <c r="L2412" s="198" t="s">
        <v>65</v>
      </c>
      <c r="M2412" s="194"/>
      <c r="N2412" s="194"/>
    </row>
    <row r="2413">
      <c r="A2413" s="193" t="s">
        <v>19882</v>
      </c>
      <c r="B2413" s="7" t="s">
        <v>169</v>
      </c>
      <c r="C2413" s="7" t="s">
        <v>17662</v>
      </c>
      <c r="D2413" s="194">
        <v>1996.0</v>
      </c>
      <c r="E2413" s="193"/>
      <c r="F2413" s="195" t="s">
        <v>19883</v>
      </c>
      <c r="G2413" s="196">
        <v>3.403547775E9</v>
      </c>
      <c r="H2413" s="197">
        <v>3505.0</v>
      </c>
      <c r="I2413" s="7" t="s">
        <v>16815</v>
      </c>
      <c r="J2413" s="7" t="s">
        <v>169</v>
      </c>
      <c r="K2413" s="7" t="s">
        <v>17662</v>
      </c>
      <c r="L2413" s="198" t="s">
        <v>65</v>
      </c>
      <c r="M2413" s="194"/>
      <c r="N2413" s="194"/>
    </row>
    <row r="2414">
      <c r="A2414" s="193" t="s">
        <v>19882</v>
      </c>
      <c r="B2414" s="202" t="s">
        <v>17662</v>
      </c>
      <c r="C2414" s="193" t="s">
        <v>169</v>
      </c>
      <c r="D2414" s="193">
        <v>1996.0</v>
      </c>
      <c r="E2414" s="193"/>
      <c r="F2414" s="203" t="s">
        <v>19883</v>
      </c>
      <c r="G2414" s="200">
        <v>3.403547775E9</v>
      </c>
      <c r="H2414" s="205">
        <v>3.01</v>
      </c>
      <c r="J2414" s="202" t="s">
        <v>17662</v>
      </c>
      <c r="K2414" s="193" t="s">
        <v>169</v>
      </c>
      <c r="L2414" s="193" t="s">
        <v>17471</v>
      </c>
      <c r="M2414" s="193"/>
      <c r="N2414" s="193"/>
    </row>
    <row r="2415">
      <c r="A2415" s="193" t="s">
        <v>19884</v>
      </c>
      <c r="B2415" s="7" t="s">
        <v>16838</v>
      </c>
      <c r="C2415" s="7" t="s">
        <v>17104</v>
      </c>
      <c r="D2415" s="199"/>
      <c r="E2415" s="193"/>
      <c r="F2415" s="195" t="s">
        <v>19885</v>
      </c>
      <c r="G2415" s="196">
        <v>3.403039192E9</v>
      </c>
      <c r="H2415" s="197">
        <v>198.94</v>
      </c>
      <c r="I2415" s="7" t="s">
        <v>16815</v>
      </c>
      <c r="J2415" s="7" t="s">
        <v>16838</v>
      </c>
      <c r="K2415" s="7" t="s">
        <v>17104</v>
      </c>
      <c r="L2415" s="198" t="s">
        <v>65</v>
      </c>
      <c r="M2415" s="199"/>
      <c r="N2415" s="199"/>
    </row>
    <row r="2416">
      <c r="A2416" s="193" t="s">
        <v>19886</v>
      </c>
      <c r="B2416" s="7" t="s">
        <v>187</v>
      </c>
      <c r="C2416" s="7" t="s">
        <v>16846</v>
      </c>
      <c r="D2416" s="199"/>
      <c r="E2416" s="193"/>
      <c r="F2416" s="195" t="s">
        <v>19887</v>
      </c>
      <c r="G2416" s="196">
        <v>3.397724044E9</v>
      </c>
      <c r="H2416" s="197">
        <v>23.75</v>
      </c>
      <c r="I2416" s="7" t="s">
        <v>16815</v>
      </c>
      <c r="J2416" s="7" t="s">
        <v>187</v>
      </c>
      <c r="K2416" s="7" t="s">
        <v>16846</v>
      </c>
      <c r="L2416" s="198" t="s">
        <v>65</v>
      </c>
      <c r="M2416" s="199"/>
      <c r="N2416" s="199"/>
    </row>
    <row r="2417">
      <c r="A2417" s="193" t="s">
        <v>19888</v>
      </c>
      <c r="B2417" s="7" t="s">
        <v>17111</v>
      </c>
      <c r="C2417" s="7" t="s">
        <v>17112</v>
      </c>
      <c r="D2417" s="194">
        <v>1997.0</v>
      </c>
      <c r="E2417" s="193"/>
      <c r="F2417" s="195" t="s">
        <v>19889</v>
      </c>
      <c r="G2417" s="200">
        <v>3.396604179E9</v>
      </c>
      <c r="H2417" s="197">
        <v>45.09</v>
      </c>
      <c r="I2417" s="7" t="s">
        <v>16815</v>
      </c>
      <c r="J2417" s="7" t="s">
        <v>17111</v>
      </c>
      <c r="K2417" s="7" t="s">
        <v>17112</v>
      </c>
      <c r="L2417" s="201" t="s">
        <v>16835</v>
      </c>
      <c r="M2417" s="194"/>
      <c r="N2417" s="194"/>
    </row>
    <row r="2418">
      <c r="A2418" s="193" t="s">
        <v>19888</v>
      </c>
      <c r="B2418" s="7" t="s">
        <v>17112</v>
      </c>
      <c r="C2418" s="7" t="s">
        <v>17111</v>
      </c>
      <c r="D2418" s="194">
        <v>1997.0</v>
      </c>
      <c r="E2418" s="193"/>
      <c r="F2418" s="195" t="s">
        <v>19889</v>
      </c>
      <c r="G2418" s="196">
        <v>3.396604179E9</v>
      </c>
      <c r="H2418" s="197">
        <v>45.09</v>
      </c>
      <c r="I2418" s="7" t="s">
        <v>16815</v>
      </c>
      <c r="J2418" s="7" t="s">
        <v>17112</v>
      </c>
      <c r="K2418" s="7" t="s">
        <v>17111</v>
      </c>
      <c r="L2418" s="198" t="s">
        <v>65</v>
      </c>
      <c r="M2418" s="194"/>
      <c r="N2418" s="194"/>
    </row>
    <row r="2419">
      <c r="A2419" s="193" t="s">
        <v>19890</v>
      </c>
      <c r="D2419" s="199"/>
      <c r="E2419" s="193"/>
      <c r="F2419" s="195" t="s">
        <v>19891</v>
      </c>
      <c r="G2419" s="196">
        <v>3.390167708E9</v>
      </c>
      <c r="H2419" s="197">
        <v>16.26</v>
      </c>
      <c r="I2419" s="7" t="s">
        <v>16815</v>
      </c>
      <c r="L2419" s="198" t="s">
        <v>65</v>
      </c>
      <c r="M2419" s="199"/>
      <c r="N2419" s="199"/>
    </row>
    <row r="2420">
      <c r="A2420" s="193" t="s">
        <v>19890</v>
      </c>
      <c r="D2420" s="199"/>
      <c r="E2420" s="193"/>
      <c r="F2420" s="195" t="s">
        <v>19891</v>
      </c>
      <c r="G2420" s="200">
        <v>3.390167708E9</v>
      </c>
      <c r="H2420" s="197">
        <v>16.26</v>
      </c>
      <c r="L2420" s="201" t="s">
        <v>16835</v>
      </c>
      <c r="M2420" s="199"/>
      <c r="N2420" s="199"/>
    </row>
    <row r="2421">
      <c r="A2421" s="193" t="s">
        <v>19892</v>
      </c>
      <c r="B2421" s="7" t="s">
        <v>17321</v>
      </c>
      <c r="C2421" s="7" t="s">
        <v>169</v>
      </c>
      <c r="D2421" s="194">
        <v>2018.0</v>
      </c>
      <c r="E2421" s="193"/>
      <c r="F2421" s="195" t="s">
        <v>19893</v>
      </c>
      <c r="G2421" s="200">
        <v>3.379065644E9</v>
      </c>
      <c r="H2421" s="197">
        <v>69.3</v>
      </c>
      <c r="I2421" s="7" t="s">
        <v>16815</v>
      </c>
      <c r="J2421" s="7" t="s">
        <v>17321</v>
      </c>
      <c r="K2421" s="7" t="s">
        <v>169</v>
      </c>
      <c r="L2421" s="201" t="s">
        <v>16835</v>
      </c>
      <c r="M2421" s="194"/>
      <c r="N2421" s="194"/>
    </row>
    <row r="2422">
      <c r="A2422" s="193" t="s">
        <v>19892</v>
      </c>
      <c r="B2422" s="7" t="s">
        <v>169</v>
      </c>
      <c r="C2422" s="7" t="s">
        <v>17321</v>
      </c>
      <c r="D2422" s="194">
        <v>2018.0</v>
      </c>
      <c r="E2422" s="193"/>
      <c r="F2422" s="195" t="s">
        <v>19893</v>
      </c>
      <c r="G2422" s="196">
        <v>3.379065644E9</v>
      </c>
      <c r="H2422" s="197">
        <v>69.3</v>
      </c>
      <c r="I2422" s="7" t="s">
        <v>16815</v>
      </c>
      <c r="J2422" s="7" t="s">
        <v>169</v>
      </c>
      <c r="K2422" s="7" t="s">
        <v>17321</v>
      </c>
      <c r="L2422" s="198" t="s">
        <v>65</v>
      </c>
      <c r="M2422" s="194"/>
      <c r="N2422" s="194"/>
    </row>
    <row r="2423">
      <c r="A2423" s="193" t="s">
        <v>19894</v>
      </c>
      <c r="B2423" s="7" t="s">
        <v>18679</v>
      </c>
      <c r="C2423" s="7" t="s">
        <v>16838</v>
      </c>
      <c r="D2423" s="194">
        <v>2007.0</v>
      </c>
      <c r="E2423" s="193"/>
      <c r="F2423" s="195" t="s">
        <v>19895</v>
      </c>
      <c r="G2423" s="200">
        <v>3.37493015E9</v>
      </c>
      <c r="H2423" s="197">
        <v>40.3</v>
      </c>
      <c r="I2423" s="7" t="s">
        <v>16815</v>
      </c>
      <c r="J2423" s="7" t="s">
        <v>18679</v>
      </c>
      <c r="K2423" s="7" t="s">
        <v>16838</v>
      </c>
      <c r="L2423" s="201" t="s">
        <v>16835</v>
      </c>
      <c r="M2423" s="194"/>
      <c r="N2423" s="194"/>
    </row>
    <row r="2424">
      <c r="A2424" s="193" t="s">
        <v>19894</v>
      </c>
      <c r="B2424" s="7" t="s">
        <v>16838</v>
      </c>
      <c r="C2424" s="7" t="s">
        <v>18679</v>
      </c>
      <c r="D2424" s="194">
        <v>2007.0</v>
      </c>
      <c r="E2424" s="193"/>
      <c r="F2424" s="195" t="s">
        <v>19895</v>
      </c>
      <c r="G2424" s="196">
        <v>3.37493015E9</v>
      </c>
      <c r="H2424" s="197">
        <v>40.3</v>
      </c>
      <c r="I2424" s="7" t="s">
        <v>16815</v>
      </c>
      <c r="J2424" s="7" t="s">
        <v>16838</v>
      </c>
      <c r="K2424" s="7" t="s">
        <v>18679</v>
      </c>
      <c r="L2424" s="198" t="s">
        <v>65</v>
      </c>
      <c r="M2424" s="194"/>
      <c r="N2424" s="194"/>
    </row>
    <row r="2425">
      <c r="A2425" s="193" t="s">
        <v>19896</v>
      </c>
      <c r="B2425" s="7" t="s">
        <v>175</v>
      </c>
      <c r="C2425" s="7" t="s">
        <v>17084</v>
      </c>
      <c r="D2425" s="199"/>
      <c r="E2425" s="193"/>
      <c r="F2425" s="195" t="s">
        <v>19897</v>
      </c>
      <c r="G2425" s="196">
        <v>3.372413045E9</v>
      </c>
      <c r="H2425" s="197">
        <v>66.97</v>
      </c>
      <c r="I2425" s="7" t="s">
        <v>16826</v>
      </c>
      <c r="J2425" s="7" t="s">
        <v>175</v>
      </c>
      <c r="K2425" s="7" t="s">
        <v>17084</v>
      </c>
      <c r="L2425" s="198" t="s">
        <v>65</v>
      </c>
      <c r="M2425" s="199"/>
      <c r="N2425" s="199"/>
    </row>
    <row r="2426">
      <c r="A2426" s="193" t="s">
        <v>19896</v>
      </c>
      <c r="B2426" s="7" t="s">
        <v>17084</v>
      </c>
      <c r="C2426" s="7" t="s">
        <v>175</v>
      </c>
      <c r="D2426" s="199"/>
      <c r="E2426" s="193"/>
      <c r="F2426" s="195" t="s">
        <v>19897</v>
      </c>
      <c r="G2426" s="200">
        <v>3.372413045E9</v>
      </c>
      <c r="H2426" s="197">
        <v>66.97</v>
      </c>
      <c r="I2426" s="7" t="s">
        <v>16815</v>
      </c>
      <c r="J2426" s="7" t="s">
        <v>17084</v>
      </c>
      <c r="K2426" s="7" t="s">
        <v>175</v>
      </c>
      <c r="L2426" s="201" t="s">
        <v>16835</v>
      </c>
      <c r="M2426" s="199"/>
      <c r="N2426" s="199"/>
    </row>
    <row r="2427">
      <c r="A2427" s="193" t="s">
        <v>19898</v>
      </c>
      <c r="B2427" s="7" t="s">
        <v>17532</v>
      </c>
      <c r="C2427" s="7" t="s">
        <v>169</v>
      </c>
      <c r="D2427" s="199"/>
      <c r="E2427" s="193"/>
      <c r="F2427" s="195" t="s">
        <v>19899</v>
      </c>
      <c r="G2427" s="200">
        <v>3.368278625E9</v>
      </c>
      <c r="H2427" s="197">
        <v>2.54</v>
      </c>
      <c r="I2427" s="7" t="s">
        <v>16815</v>
      </c>
      <c r="J2427" s="7" t="s">
        <v>17532</v>
      </c>
      <c r="K2427" s="7" t="s">
        <v>169</v>
      </c>
      <c r="L2427" s="201" t="s">
        <v>16835</v>
      </c>
      <c r="M2427" s="199"/>
      <c r="N2427" s="199"/>
    </row>
    <row r="2428">
      <c r="A2428" s="193" t="s">
        <v>19898</v>
      </c>
      <c r="B2428" s="7" t="s">
        <v>169</v>
      </c>
      <c r="C2428" s="7" t="s">
        <v>17532</v>
      </c>
      <c r="D2428" s="199"/>
      <c r="E2428" s="193"/>
      <c r="F2428" s="195" t="s">
        <v>19899</v>
      </c>
      <c r="G2428" s="196">
        <v>3.368278625E9</v>
      </c>
      <c r="H2428" s="197">
        <v>2.54</v>
      </c>
      <c r="I2428" s="7" t="s">
        <v>16815</v>
      </c>
      <c r="J2428" s="7" t="s">
        <v>169</v>
      </c>
      <c r="K2428" s="7" t="s">
        <v>17532</v>
      </c>
      <c r="L2428" s="198" t="s">
        <v>65</v>
      </c>
      <c r="M2428" s="199"/>
      <c r="N2428" s="199"/>
    </row>
    <row r="2429">
      <c r="A2429" s="193" t="s">
        <v>19900</v>
      </c>
      <c r="B2429" s="7" t="s">
        <v>16838</v>
      </c>
      <c r="C2429" s="7" t="s">
        <v>17016</v>
      </c>
      <c r="D2429" s="199"/>
      <c r="E2429" s="193"/>
      <c r="F2429" s="195" t="s">
        <v>19901</v>
      </c>
      <c r="G2429" s="196">
        <v>3.364650618E9</v>
      </c>
      <c r="H2429" s="197">
        <v>14.87</v>
      </c>
      <c r="I2429" s="7" t="s">
        <v>16815</v>
      </c>
      <c r="J2429" s="7" t="s">
        <v>16838</v>
      </c>
      <c r="K2429" s="7" t="s">
        <v>17016</v>
      </c>
      <c r="L2429" s="198" t="s">
        <v>65</v>
      </c>
      <c r="M2429" s="199"/>
      <c r="N2429" s="199"/>
    </row>
    <row r="2430">
      <c r="A2430" s="193" t="s">
        <v>19902</v>
      </c>
      <c r="B2430" s="7" t="s">
        <v>16582</v>
      </c>
      <c r="C2430" s="7" t="s">
        <v>16817</v>
      </c>
      <c r="D2430" s="194">
        <v>2021.0</v>
      </c>
      <c r="E2430" s="193"/>
      <c r="F2430" s="195" t="s">
        <v>19903</v>
      </c>
      <c r="G2430" s="196">
        <v>3.356861069E9</v>
      </c>
      <c r="H2430" s="197">
        <v>18.98</v>
      </c>
      <c r="I2430" s="7" t="s">
        <v>16815</v>
      </c>
      <c r="J2430" s="7" t="s">
        <v>16582</v>
      </c>
      <c r="K2430" s="7" t="s">
        <v>16817</v>
      </c>
      <c r="L2430" s="198" t="s">
        <v>65</v>
      </c>
      <c r="M2430" s="194"/>
      <c r="N2430" s="194"/>
    </row>
    <row r="2431">
      <c r="A2431" s="193" t="s">
        <v>19904</v>
      </c>
      <c r="B2431" s="7" t="s">
        <v>17112</v>
      </c>
      <c r="C2431" s="7" t="s">
        <v>17111</v>
      </c>
      <c r="D2431" s="199"/>
      <c r="E2431" s="193"/>
      <c r="F2431" s="195" t="s">
        <v>19905</v>
      </c>
      <c r="G2431" s="196">
        <v>3.356686872E9</v>
      </c>
      <c r="H2431" s="197">
        <v>13.96</v>
      </c>
      <c r="I2431" s="7" t="s">
        <v>16815</v>
      </c>
      <c r="J2431" s="7" t="s">
        <v>17112</v>
      </c>
      <c r="K2431" s="7" t="s">
        <v>17111</v>
      </c>
      <c r="L2431" s="198" t="s">
        <v>65</v>
      </c>
      <c r="M2431" s="199"/>
      <c r="N2431" s="199"/>
    </row>
    <row r="2432">
      <c r="A2432" s="193" t="s">
        <v>19906</v>
      </c>
      <c r="B2432" s="7" t="s">
        <v>16885</v>
      </c>
      <c r="C2432" s="7" t="s">
        <v>17726</v>
      </c>
      <c r="D2432" s="199"/>
      <c r="E2432" s="193"/>
      <c r="F2432" s="195" t="s">
        <v>19907</v>
      </c>
      <c r="G2432" s="196">
        <v>3.3471372E9</v>
      </c>
      <c r="H2432" s="197">
        <v>4.73</v>
      </c>
      <c r="I2432" s="7" t="s">
        <v>16826</v>
      </c>
      <c r="J2432" s="7" t="s">
        <v>16885</v>
      </c>
      <c r="K2432" s="7" t="s">
        <v>17726</v>
      </c>
      <c r="L2432" s="198" t="s">
        <v>65</v>
      </c>
      <c r="M2432" s="199"/>
      <c r="N2432" s="199"/>
    </row>
    <row r="2433">
      <c r="A2433" s="193" t="s">
        <v>19906</v>
      </c>
      <c r="B2433" s="7" t="s">
        <v>17726</v>
      </c>
      <c r="C2433" s="7" t="s">
        <v>16885</v>
      </c>
      <c r="D2433" s="199"/>
      <c r="E2433" s="193"/>
      <c r="F2433" s="195" t="s">
        <v>19907</v>
      </c>
      <c r="G2433" s="200">
        <v>3.3471372E9</v>
      </c>
      <c r="H2433" s="197">
        <v>4.73</v>
      </c>
      <c r="I2433" s="7" t="s">
        <v>16815</v>
      </c>
      <c r="J2433" s="7" t="s">
        <v>17726</v>
      </c>
      <c r="K2433" s="7" t="s">
        <v>16885</v>
      </c>
      <c r="L2433" s="201" t="s">
        <v>16835</v>
      </c>
      <c r="M2433" s="199"/>
      <c r="N2433" s="199"/>
    </row>
    <row r="2434">
      <c r="A2434" s="193" t="s">
        <v>19908</v>
      </c>
      <c r="B2434" s="7" t="s">
        <v>16919</v>
      </c>
      <c r="C2434" s="7" t="s">
        <v>17413</v>
      </c>
      <c r="D2434" s="194">
        <v>2014.0</v>
      </c>
      <c r="E2434" s="193"/>
      <c r="F2434" s="195" t="s">
        <v>19909</v>
      </c>
      <c r="G2434" s="196">
        <v>3.345542837E9</v>
      </c>
      <c r="H2434" s="197">
        <v>60.33</v>
      </c>
      <c r="I2434" s="7" t="s">
        <v>16815</v>
      </c>
      <c r="J2434" s="7" t="s">
        <v>16919</v>
      </c>
      <c r="K2434" s="7" t="s">
        <v>17413</v>
      </c>
      <c r="L2434" s="198" t="s">
        <v>65</v>
      </c>
      <c r="M2434" s="194"/>
      <c r="N2434" s="194"/>
    </row>
    <row r="2435">
      <c r="A2435" s="193" t="s">
        <v>19908</v>
      </c>
      <c r="B2435" s="7" t="s">
        <v>17413</v>
      </c>
      <c r="C2435" s="7" t="s">
        <v>16919</v>
      </c>
      <c r="D2435" s="194">
        <v>2014.0</v>
      </c>
      <c r="E2435" s="193"/>
      <c r="F2435" s="195" t="s">
        <v>19909</v>
      </c>
      <c r="G2435" s="200">
        <v>3.345542837E9</v>
      </c>
      <c r="H2435" s="197">
        <v>60.33</v>
      </c>
      <c r="I2435" s="7" t="s">
        <v>16815</v>
      </c>
      <c r="J2435" s="7" t="s">
        <v>17413</v>
      </c>
      <c r="K2435" s="7" t="s">
        <v>16919</v>
      </c>
      <c r="L2435" s="201" t="s">
        <v>16835</v>
      </c>
      <c r="M2435" s="194"/>
      <c r="N2435" s="194"/>
    </row>
    <row r="2436">
      <c r="A2436" s="193" t="s">
        <v>19910</v>
      </c>
      <c r="B2436" s="7" t="s">
        <v>17111</v>
      </c>
      <c r="C2436" s="7" t="s">
        <v>17112</v>
      </c>
      <c r="D2436" s="194">
        <v>1997.0</v>
      </c>
      <c r="E2436" s="193"/>
      <c r="F2436" s="195" t="s">
        <v>19911</v>
      </c>
      <c r="G2436" s="200">
        <v>3.34484459E9</v>
      </c>
      <c r="H2436" s="197">
        <v>28.53</v>
      </c>
      <c r="I2436" s="7" t="s">
        <v>16815</v>
      </c>
      <c r="J2436" s="7" t="s">
        <v>17111</v>
      </c>
      <c r="K2436" s="7" t="s">
        <v>17112</v>
      </c>
      <c r="L2436" s="201" t="s">
        <v>16835</v>
      </c>
      <c r="M2436" s="194"/>
      <c r="N2436" s="194"/>
    </row>
    <row r="2437">
      <c r="A2437" s="193" t="s">
        <v>19910</v>
      </c>
      <c r="B2437" s="7" t="s">
        <v>17112</v>
      </c>
      <c r="C2437" s="7" t="s">
        <v>17111</v>
      </c>
      <c r="D2437" s="194">
        <v>1997.0</v>
      </c>
      <c r="E2437" s="193"/>
      <c r="F2437" s="195" t="s">
        <v>19911</v>
      </c>
      <c r="G2437" s="196">
        <v>3.34484459E9</v>
      </c>
      <c r="H2437" s="197">
        <v>28.53</v>
      </c>
      <c r="I2437" s="7" t="s">
        <v>16815</v>
      </c>
      <c r="J2437" s="7" t="s">
        <v>17112</v>
      </c>
      <c r="K2437" s="7" t="s">
        <v>17111</v>
      </c>
      <c r="L2437" s="198" t="s">
        <v>65</v>
      </c>
      <c r="M2437" s="194"/>
      <c r="N2437" s="194"/>
    </row>
    <row r="2438">
      <c r="A2438" s="193" t="s">
        <v>19912</v>
      </c>
      <c r="B2438" s="7" t="s">
        <v>18903</v>
      </c>
      <c r="C2438" s="7" t="s">
        <v>169</v>
      </c>
      <c r="D2438" s="194">
        <v>2016.0</v>
      </c>
      <c r="E2438" s="193"/>
      <c r="F2438" s="195" t="s">
        <v>19913</v>
      </c>
      <c r="G2438" s="200">
        <v>3.342091472E9</v>
      </c>
      <c r="H2438" s="197">
        <v>118.23</v>
      </c>
      <c r="I2438" s="7" t="s">
        <v>16815</v>
      </c>
      <c r="J2438" s="7" t="s">
        <v>18903</v>
      </c>
      <c r="K2438" s="7" t="s">
        <v>169</v>
      </c>
      <c r="L2438" s="201" t="s">
        <v>16835</v>
      </c>
      <c r="M2438" s="194"/>
      <c r="N2438" s="194"/>
    </row>
    <row r="2439">
      <c r="A2439" s="193" t="s">
        <v>19912</v>
      </c>
      <c r="B2439" s="7" t="s">
        <v>169</v>
      </c>
      <c r="C2439" s="7" t="s">
        <v>18903</v>
      </c>
      <c r="D2439" s="194">
        <v>2016.0</v>
      </c>
      <c r="E2439" s="193"/>
      <c r="F2439" s="195" t="s">
        <v>19913</v>
      </c>
      <c r="G2439" s="196">
        <v>3.342091472E9</v>
      </c>
      <c r="H2439" s="197">
        <v>118.23</v>
      </c>
      <c r="I2439" s="7" t="s">
        <v>16815</v>
      </c>
      <c r="J2439" s="7" t="s">
        <v>169</v>
      </c>
      <c r="K2439" s="7" t="s">
        <v>18903</v>
      </c>
      <c r="L2439" s="198" t="s">
        <v>65</v>
      </c>
      <c r="M2439" s="194"/>
      <c r="N2439" s="194"/>
    </row>
    <row r="2440">
      <c r="A2440" s="193" t="s">
        <v>19914</v>
      </c>
      <c r="B2440" s="7" t="s">
        <v>16919</v>
      </c>
      <c r="C2440" s="7" t="s">
        <v>17048</v>
      </c>
      <c r="D2440" s="199"/>
      <c r="E2440" s="193"/>
      <c r="F2440" s="195" t="s">
        <v>19915</v>
      </c>
      <c r="G2440" s="196">
        <v>3.341109337E9</v>
      </c>
      <c r="H2440" s="197">
        <v>49.14</v>
      </c>
      <c r="I2440" s="7" t="s">
        <v>16815</v>
      </c>
      <c r="J2440" s="7" t="s">
        <v>16919</v>
      </c>
      <c r="K2440" s="7" t="s">
        <v>17048</v>
      </c>
      <c r="L2440" s="198" t="s">
        <v>65</v>
      </c>
      <c r="M2440" s="199"/>
      <c r="N2440" s="199"/>
    </row>
    <row r="2441">
      <c r="A2441" s="193" t="s">
        <v>19914</v>
      </c>
      <c r="B2441" s="7" t="s">
        <v>17048</v>
      </c>
      <c r="C2441" s="7" t="s">
        <v>16919</v>
      </c>
      <c r="D2441" s="199"/>
      <c r="E2441" s="193"/>
      <c r="F2441" s="195" t="s">
        <v>19915</v>
      </c>
      <c r="G2441" s="200">
        <v>3.341109337E9</v>
      </c>
      <c r="H2441" s="197">
        <v>49.14</v>
      </c>
      <c r="I2441" s="7" t="s">
        <v>16815</v>
      </c>
      <c r="J2441" s="7" t="s">
        <v>17048</v>
      </c>
      <c r="K2441" s="7" t="s">
        <v>16919</v>
      </c>
      <c r="L2441" s="201" t="s">
        <v>16835</v>
      </c>
      <c r="M2441" s="199"/>
      <c r="N2441" s="199"/>
    </row>
    <row r="2442">
      <c r="A2442" s="193" t="s">
        <v>19916</v>
      </c>
      <c r="B2442" s="7" t="s">
        <v>16919</v>
      </c>
      <c r="C2442" s="7" t="s">
        <v>17176</v>
      </c>
      <c r="D2442" s="194">
        <v>2020.0</v>
      </c>
      <c r="E2442" s="193"/>
      <c r="F2442" s="195" t="s">
        <v>19917</v>
      </c>
      <c r="G2442" s="196">
        <v>3.340765957E9</v>
      </c>
      <c r="H2442" s="197">
        <v>29.62</v>
      </c>
      <c r="I2442" s="7" t="s">
        <v>16815</v>
      </c>
      <c r="J2442" s="7" t="s">
        <v>16919</v>
      </c>
      <c r="K2442" s="7" t="s">
        <v>17176</v>
      </c>
      <c r="L2442" s="198" t="s">
        <v>65</v>
      </c>
      <c r="M2442" s="194"/>
      <c r="N2442" s="194"/>
    </row>
    <row r="2443">
      <c r="A2443" s="193" t="s">
        <v>19916</v>
      </c>
      <c r="B2443" s="7" t="s">
        <v>17176</v>
      </c>
      <c r="C2443" s="7" t="s">
        <v>16919</v>
      </c>
      <c r="D2443" s="194">
        <v>2020.0</v>
      </c>
      <c r="E2443" s="193"/>
      <c r="F2443" s="195" t="s">
        <v>19917</v>
      </c>
      <c r="G2443" s="200">
        <v>3.340765957E9</v>
      </c>
      <c r="H2443" s="197">
        <v>29.62</v>
      </c>
      <c r="I2443" s="7" t="s">
        <v>16815</v>
      </c>
      <c r="J2443" s="7" t="s">
        <v>17176</v>
      </c>
      <c r="K2443" s="7" t="s">
        <v>16919</v>
      </c>
      <c r="L2443" s="201" t="s">
        <v>16835</v>
      </c>
      <c r="M2443" s="194"/>
      <c r="N2443" s="194"/>
    </row>
    <row r="2444">
      <c r="A2444" s="193" t="s">
        <v>19918</v>
      </c>
      <c r="B2444" s="7" t="s">
        <v>175</v>
      </c>
      <c r="C2444" s="7" t="s">
        <v>18063</v>
      </c>
      <c r="D2444" s="199"/>
      <c r="E2444" s="193"/>
      <c r="F2444" s="195" t="s">
        <v>19919</v>
      </c>
      <c r="G2444" s="196">
        <v>3.339641082E9</v>
      </c>
      <c r="H2444" s="197">
        <v>74.13</v>
      </c>
      <c r="I2444" s="7" t="s">
        <v>174</v>
      </c>
      <c r="J2444" s="7" t="s">
        <v>175</v>
      </c>
      <c r="K2444" s="7" t="s">
        <v>18063</v>
      </c>
      <c r="L2444" s="198" t="s">
        <v>65</v>
      </c>
      <c r="M2444" s="199"/>
      <c r="N2444" s="199"/>
    </row>
    <row r="2445">
      <c r="A2445" s="193" t="s">
        <v>19918</v>
      </c>
      <c r="B2445" s="7" t="s">
        <v>18063</v>
      </c>
      <c r="C2445" s="7" t="s">
        <v>175</v>
      </c>
      <c r="D2445" s="199"/>
      <c r="E2445" s="193"/>
      <c r="F2445" s="195" t="s">
        <v>19919</v>
      </c>
      <c r="G2445" s="200">
        <v>3.339641082E9</v>
      </c>
      <c r="H2445" s="197">
        <v>74.13</v>
      </c>
      <c r="I2445" s="7" t="s">
        <v>16815</v>
      </c>
      <c r="J2445" s="7" t="s">
        <v>18063</v>
      </c>
      <c r="K2445" s="7" t="s">
        <v>175</v>
      </c>
      <c r="L2445" s="201" t="s">
        <v>16835</v>
      </c>
      <c r="M2445" s="199"/>
      <c r="N2445" s="199"/>
    </row>
    <row r="2446">
      <c r="A2446" s="193" t="s">
        <v>19920</v>
      </c>
      <c r="B2446" s="7" t="s">
        <v>175</v>
      </c>
      <c r="C2446" s="7" t="s">
        <v>17286</v>
      </c>
      <c r="D2446" s="199"/>
      <c r="E2446" s="193"/>
      <c r="F2446" s="195" t="s">
        <v>19921</v>
      </c>
      <c r="G2446" s="196">
        <v>3.33806575E9</v>
      </c>
      <c r="H2446" s="197">
        <v>56.13</v>
      </c>
      <c r="I2446" s="7" t="s">
        <v>16826</v>
      </c>
      <c r="J2446" s="7" t="s">
        <v>175</v>
      </c>
      <c r="K2446" s="7" t="s">
        <v>17286</v>
      </c>
      <c r="L2446" s="198" t="s">
        <v>65</v>
      </c>
      <c r="M2446" s="199"/>
      <c r="N2446" s="199"/>
    </row>
    <row r="2447">
      <c r="A2447" s="193" t="s">
        <v>19920</v>
      </c>
      <c r="B2447" s="7" t="s">
        <v>17286</v>
      </c>
      <c r="C2447" s="7" t="s">
        <v>175</v>
      </c>
      <c r="D2447" s="199"/>
      <c r="E2447" s="193"/>
      <c r="F2447" s="195" t="s">
        <v>19921</v>
      </c>
      <c r="G2447" s="200">
        <v>3.33806575E9</v>
      </c>
      <c r="H2447" s="197">
        <v>56.13</v>
      </c>
      <c r="I2447" s="7" t="s">
        <v>16815</v>
      </c>
      <c r="J2447" s="7" t="s">
        <v>17286</v>
      </c>
      <c r="K2447" s="7" t="s">
        <v>175</v>
      </c>
      <c r="L2447" s="201" t="s">
        <v>16835</v>
      </c>
      <c r="M2447" s="199"/>
      <c r="N2447" s="199"/>
    </row>
    <row r="2448">
      <c r="A2448" s="193" t="s">
        <v>19922</v>
      </c>
      <c r="B2448" s="7" t="s">
        <v>16582</v>
      </c>
      <c r="C2448" s="7" t="s">
        <v>16899</v>
      </c>
      <c r="D2448" s="194">
        <v>1995.0</v>
      </c>
      <c r="E2448" s="193"/>
      <c r="F2448" s="195" t="s">
        <v>19923</v>
      </c>
      <c r="G2448" s="196">
        <v>3.334754769E9</v>
      </c>
      <c r="H2448" s="197">
        <v>89.45</v>
      </c>
      <c r="I2448" s="7" t="s">
        <v>16815</v>
      </c>
      <c r="J2448" s="7" t="s">
        <v>16582</v>
      </c>
      <c r="K2448" s="7" t="s">
        <v>16899</v>
      </c>
      <c r="L2448" s="198" t="s">
        <v>65</v>
      </c>
      <c r="M2448" s="194"/>
      <c r="N2448" s="194"/>
    </row>
    <row r="2449">
      <c r="A2449" s="193" t="s">
        <v>19924</v>
      </c>
      <c r="B2449" s="7" t="s">
        <v>158</v>
      </c>
      <c r="C2449" s="7" t="s">
        <v>16864</v>
      </c>
      <c r="D2449" s="194">
        <v>1999.0</v>
      </c>
      <c r="E2449" s="193"/>
      <c r="F2449" s="195" t="s">
        <v>19925</v>
      </c>
      <c r="G2449" s="196">
        <v>3.321621688E9</v>
      </c>
      <c r="H2449" s="197">
        <v>20.91</v>
      </c>
      <c r="I2449" s="7" t="s">
        <v>16897</v>
      </c>
      <c r="J2449" s="7" t="s">
        <v>158</v>
      </c>
      <c r="K2449" s="7" t="s">
        <v>16864</v>
      </c>
      <c r="L2449" s="198" t="s">
        <v>65</v>
      </c>
      <c r="M2449" s="194"/>
      <c r="N2449" s="194"/>
    </row>
    <row r="2450">
      <c r="A2450" s="193" t="s">
        <v>19924</v>
      </c>
      <c r="B2450" s="7" t="s">
        <v>16864</v>
      </c>
      <c r="C2450" s="7" t="s">
        <v>158</v>
      </c>
      <c r="D2450" s="194">
        <v>1999.0</v>
      </c>
      <c r="E2450" s="193"/>
      <c r="F2450" s="195" t="s">
        <v>19925</v>
      </c>
      <c r="G2450" s="200">
        <v>3.321621688E9</v>
      </c>
      <c r="H2450" s="197">
        <v>20.91</v>
      </c>
      <c r="I2450" s="7" t="s">
        <v>16815</v>
      </c>
      <c r="J2450" s="7" t="s">
        <v>16864</v>
      </c>
      <c r="K2450" s="7" t="s">
        <v>158</v>
      </c>
      <c r="L2450" s="201" t="s">
        <v>16835</v>
      </c>
      <c r="M2450" s="194"/>
      <c r="N2450" s="194"/>
    </row>
    <row r="2451">
      <c r="A2451" s="193" t="s">
        <v>19926</v>
      </c>
      <c r="B2451" s="7" t="s">
        <v>187</v>
      </c>
      <c r="C2451" s="7" t="s">
        <v>17259</v>
      </c>
      <c r="D2451" s="194">
        <v>2015.0</v>
      </c>
      <c r="E2451" s="193"/>
      <c r="F2451" s="195" t="s">
        <v>19927</v>
      </c>
      <c r="G2451" s="196">
        <v>3.311594044E9</v>
      </c>
      <c r="H2451" s="197">
        <v>26.18</v>
      </c>
      <c r="I2451" s="7" t="s">
        <v>16815</v>
      </c>
      <c r="J2451" s="7" t="s">
        <v>187</v>
      </c>
      <c r="K2451" s="7" t="s">
        <v>17259</v>
      </c>
      <c r="L2451" s="198" t="s">
        <v>65</v>
      </c>
      <c r="M2451" s="194"/>
      <c r="N2451" s="194"/>
    </row>
    <row r="2452">
      <c r="A2452" s="193" t="s">
        <v>19928</v>
      </c>
      <c r="B2452" s="7" t="s">
        <v>169</v>
      </c>
      <c r="C2452" s="7" t="s">
        <v>17025</v>
      </c>
      <c r="D2452" s="199"/>
      <c r="E2452" s="193"/>
      <c r="F2452" s="195" t="s">
        <v>19929</v>
      </c>
      <c r="G2452" s="196">
        <v>3.31116E9</v>
      </c>
      <c r="H2452" s="197">
        <v>49.2</v>
      </c>
      <c r="I2452" s="7" t="s">
        <v>16815</v>
      </c>
      <c r="J2452" s="7" t="s">
        <v>169</v>
      </c>
      <c r="K2452" s="7" t="s">
        <v>17025</v>
      </c>
      <c r="L2452" s="198" t="s">
        <v>65</v>
      </c>
      <c r="M2452" s="199"/>
      <c r="N2452" s="199"/>
    </row>
    <row r="2453">
      <c r="A2453" s="193" t="s">
        <v>19928</v>
      </c>
      <c r="B2453" s="7" t="s">
        <v>17025</v>
      </c>
      <c r="C2453" s="7" t="s">
        <v>169</v>
      </c>
      <c r="D2453" s="199"/>
      <c r="E2453" s="193"/>
      <c r="F2453" s="195" t="s">
        <v>19929</v>
      </c>
      <c r="G2453" s="200">
        <v>3.31116E9</v>
      </c>
      <c r="H2453" s="197">
        <v>49.2</v>
      </c>
      <c r="I2453" s="7" t="s">
        <v>16815</v>
      </c>
      <c r="J2453" s="7" t="s">
        <v>17025</v>
      </c>
      <c r="K2453" s="7" t="s">
        <v>169</v>
      </c>
      <c r="L2453" s="201" t="s">
        <v>16835</v>
      </c>
      <c r="M2453" s="199"/>
      <c r="N2453" s="199"/>
    </row>
    <row r="2454">
      <c r="A2454" s="193" t="s">
        <v>19930</v>
      </c>
      <c r="B2454" s="7" t="s">
        <v>16582</v>
      </c>
      <c r="C2454" s="7" t="s">
        <v>16930</v>
      </c>
      <c r="D2454" s="194">
        <v>2013.0</v>
      </c>
      <c r="E2454" s="193"/>
      <c r="F2454" s="195" t="s">
        <v>19931</v>
      </c>
      <c r="G2454" s="196">
        <v>3.309997529E9</v>
      </c>
      <c r="H2454" s="197">
        <v>26.87</v>
      </c>
      <c r="I2454" s="7" t="s">
        <v>16815</v>
      </c>
      <c r="J2454" s="7" t="s">
        <v>16582</v>
      </c>
      <c r="K2454" s="7" t="s">
        <v>16930</v>
      </c>
      <c r="L2454" s="198" t="s">
        <v>65</v>
      </c>
      <c r="M2454" s="194"/>
      <c r="N2454" s="194"/>
    </row>
    <row r="2455">
      <c r="A2455" s="193" t="s">
        <v>19930</v>
      </c>
      <c r="B2455" s="7" t="s">
        <v>16930</v>
      </c>
      <c r="C2455" s="7" t="s">
        <v>16582</v>
      </c>
      <c r="D2455" s="194">
        <v>2013.0</v>
      </c>
      <c r="E2455" s="193"/>
      <c r="F2455" s="195" t="s">
        <v>19931</v>
      </c>
      <c r="G2455" s="200">
        <v>3.309997529E9</v>
      </c>
      <c r="H2455" s="197">
        <v>26.87</v>
      </c>
      <c r="I2455" s="7" t="s">
        <v>16815</v>
      </c>
      <c r="J2455" s="7" t="s">
        <v>16930</v>
      </c>
      <c r="K2455" s="7" t="s">
        <v>16582</v>
      </c>
      <c r="L2455" s="201" t="s">
        <v>16835</v>
      </c>
      <c r="M2455" s="194"/>
      <c r="N2455" s="194"/>
    </row>
    <row r="2456">
      <c r="A2456" s="193" t="s">
        <v>19932</v>
      </c>
      <c r="B2456" s="7" t="s">
        <v>187</v>
      </c>
      <c r="C2456" s="7" t="s">
        <v>16846</v>
      </c>
      <c r="D2456" s="194">
        <v>2021.0</v>
      </c>
      <c r="E2456" s="193"/>
      <c r="F2456" s="195" t="s">
        <v>19933</v>
      </c>
      <c r="G2456" s="196">
        <v>3.301936505E9</v>
      </c>
      <c r="H2456" s="197">
        <v>9.33</v>
      </c>
      <c r="I2456" s="7" t="s">
        <v>16815</v>
      </c>
      <c r="J2456" s="7" t="s">
        <v>187</v>
      </c>
      <c r="K2456" s="7" t="s">
        <v>16846</v>
      </c>
      <c r="L2456" s="198" t="s">
        <v>65</v>
      </c>
      <c r="M2456" s="194"/>
      <c r="N2456" s="194"/>
    </row>
    <row r="2457">
      <c r="A2457" s="193" t="s">
        <v>19934</v>
      </c>
      <c r="B2457" s="7" t="s">
        <v>187</v>
      </c>
      <c r="C2457" s="7" t="s">
        <v>16846</v>
      </c>
      <c r="D2457" s="194">
        <v>2016.0</v>
      </c>
      <c r="E2457" s="193"/>
      <c r="F2457" s="195" t="s">
        <v>19935</v>
      </c>
      <c r="G2457" s="196">
        <v>3.289605393E9</v>
      </c>
      <c r="H2457" s="197">
        <v>19.02</v>
      </c>
      <c r="I2457" s="7" t="s">
        <v>16815</v>
      </c>
      <c r="J2457" s="7" t="s">
        <v>187</v>
      </c>
      <c r="K2457" s="7" t="s">
        <v>16846</v>
      </c>
      <c r="L2457" s="198" t="s">
        <v>65</v>
      </c>
      <c r="M2457" s="194"/>
      <c r="N2457" s="194"/>
    </row>
    <row r="2458">
      <c r="A2458" s="193" t="s">
        <v>19936</v>
      </c>
      <c r="B2458" s="7" t="s">
        <v>169</v>
      </c>
      <c r="C2458" s="7" t="s">
        <v>16899</v>
      </c>
      <c r="D2458" s="199"/>
      <c r="E2458" s="193"/>
      <c r="F2458" s="195" t="s">
        <v>19937</v>
      </c>
      <c r="G2458" s="196">
        <v>3.289260849E9</v>
      </c>
      <c r="H2458" s="197">
        <v>103.31</v>
      </c>
      <c r="I2458" s="7" t="s">
        <v>16815</v>
      </c>
      <c r="J2458" s="7" t="s">
        <v>169</v>
      </c>
      <c r="K2458" s="7" t="s">
        <v>16899</v>
      </c>
      <c r="L2458" s="198" t="s">
        <v>65</v>
      </c>
      <c r="M2458" s="199"/>
      <c r="N2458" s="199"/>
    </row>
    <row r="2459">
      <c r="A2459" s="193" t="s">
        <v>19936</v>
      </c>
      <c r="B2459" s="7" t="s">
        <v>16899</v>
      </c>
      <c r="C2459" s="7" t="s">
        <v>169</v>
      </c>
      <c r="D2459" s="199"/>
      <c r="E2459" s="193"/>
      <c r="F2459" s="195" t="s">
        <v>19937</v>
      </c>
      <c r="G2459" s="200">
        <v>3.289260849E9</v>
      </c>
      <c r="H2459" s="197">
        <v>103.31</v>
      </c>
      <c r="I2459" s="7" t="s">
        <v>16815</v>
      </c>
      <c r="J2459" s="7" t="s">
        <v>16899</v>
      </c>
      <c r="K2459" s="7" t="s">
        <v>169</v>
      </c>
      <c r="L2459" s="201" t="s">
        <v>16835</v>
      </c>
      <c r="M2459" s="199"/>
      <c r="N2459" s="199"/>
    </row>
    <row r="2460">
      <c r="A2460" s="193" t="s">
        <v>19938</v>
      </c>
      <c r="B2460" s="7" t="s">
        <v>17532</v>
      </c>
      <c r="C2460" s="7" t="s">
        <v>169</v>
      </c>
      <c r="D2460" s="199"/>
      <c r="E2460" s="193"/>
      <c r="F2460" s="195" t="s">
        <v>19939</v>
      </c>
      <c r="G2460" s="200">
        <v>3.289230144E9</v>
      </c>
      <c r="H2460" s="197">
        <v>66.71</v>
      </c>
      <c r="I2460" s="7" t="s">
        <v>16815</v>
      </c>
      <c r="J2460" s="7" t="s">
        <v>17532</v>
      </c>
      <c r="K2460" s="7" t="s">
        <v>169</v>
      </c>
      <c r="L2460" s="201" t="s">
        <v>16835</v>
      </c>
      <c r="M2460" s="199"/>
      <c r="N2460" s="199"/>
    </row>
    <row r="2461">
      <c r="A2461" s="193" t="s">
        <v>19938</v>
      </c>
      <c r="B2461" s="7" t="s">
        <v>169</v>
      </c>
      <c r="C2461" s="7" t="s">
        <v>17532</v>
      </c>
      <c r="D2461" s="199"/>
      <c r="E2461" s="193"/>
      <c r="F2461" s="195" t="s">
        <v>19939</v>
      </c>
      <c r="G2461" s="196">
        <v>3.289230144E9</v>
      </c>
      <c r="H2461" s="197">
        <v>66.71</v>
      </c>
      <c r="I2461" s="7" t="s">
        <v>16815</v>
      </c>
      <c r="J2461" s="7" t="s">
        <v>169</v>
      </c>
      <c r="K2461" s="7" t="s">
        <v>17532</v>
      </c>
      <c r="L2461" s="198" t="s">
        <v>65</v>
      </c>
      <c r="M2461" s="199"/>
      <c r="N2461" s="199"/>
    </row>
    <row r="2462">
      <c r="A2462" s="193" t="s">
        <v>19940</v>
      </c>
      <c r="B2462" s="7" t="s">
        <v>175</v>
      </c>
      <c r="C2462" s="7" t="s">
        <v>17084</v>
      </c>
      <c r="D2462" s="194">
        <v>1993.0</v>
      </c>
      <c r="E2462" s="193"/>
      <c r="F2462" s="195" t="s">
        <v>19941</v>
      </c>
      <c r="G2462" s="196">
        <v>3.284213583E9</v>
      </c>
      <c r="H2462" s="197">
        <v>35.4</v>
      </c>
      <c r="I2462" s="7" t="s">
        <v>16856</v>
      </c>
      <c r="J2462" s="7" t="s">
        <v>175</v>
      </c>
      <c r="K2462" s="7" t="s">
        <v>17084</v>
      </c>
      <c r="L2462" s="198" t="s">
        <v>65</v>
      </c>
      <c r="M2462" s="194"/>
      <c r="N2462" s="194"/>
    </row>
    <row r="2463">
      <c r="A2463" s="193" t="s">
        <v>19942</v>
      </c>
      <c r="B2463" s="7" t="s">
        <v>17112</v>
      </c>
      <c r="C2463" s="7" t="s">
        <v>17111</v>
      </c>
      <c r="D2463" s="199"/>
      <c r="E2463" s="193"/>
      <c r="F2463" s="195" t="s">
        <v>19943</v>
      </c>
      <c r="G2463" s="196">
        <v>3.269444055E9</v>
      </c>
      <c r="H2463" s="197">
        <v>14.14</v>
      </c>
      <c r="I2463" s="7" t="s">
        <v>16815</v>
      </c>
      <c r="J2463" s="7" t="s">
        <v>17112</v>
      </c>
      <c r="K2463" s="7" t="s">
        <v>17111</v>
      </c>
      <c r="L2463" s="198" t="s">
        <v>65</v>
      </c>
      <c r="M2463" s="199"/>
      <c r="N2463" s="199"/>
    </row>
    <row r="2464">
      <c r="A2464" s="193" t="s">
        <v>19944</v>
      </c>
      <c r="B2464" s="7" t="s">
        <v>187</v>
      </c>
      <c r="C2464" s="7" t="s">
        <v>17564</v>
      </c>
      <c r="D2464" s="194">
        <v>1989.0</v>
      </c>
      <c r="E2464" s="193"/>
      <c r="F2464" s="195" t="s">
        <v>19945</v>
      </c>
      <c r="G2464" s="196">
        <v>3.266289788E9</v>
      </c>
      <c r="H2464" s="197">
        <v>15.1</v>
      </c>
      <c r="I2464" s="7" t="s">
        <v>16815</v>
      </c>
      <c r="J2464" s="7" t="s">
        <v>187</v>
      </c>
      <c r="K2464" s="7" t="s">
        <v>17564</v>
      </c>
      <c r="L2464" s="198" t="s">
        <v>65</v>
      </c>
      <c r="M2464" s="194"/>
      <c r="N2464" s="194"/>
    </row>
    <row r="2465">
      <c r="A2465" s="193" t="s">
        <v>19946</v>
      </c>
      <c r="B2465" s="7" t="s">
        <v>175</v>
      </c>
      <c r="C2465" s="7" t="s">
        <v>17168</v>
      </c>
      <c r="D2465" s="194">
        <v>2006.0</v>
      </c>
      <c r="E2465" s="193"/>
      <c r="F2465" s="195" t="s">
        <v>19947</v>
      </c>
      <c r="G2465" s="196">
        <v>3.265290943E9</v>
      </c>
      <c r="H2465" s="197">
        <v>7.15</v>
      </c>
      <c r="I2465" s="7" t="s">
        <v>168</v>
      </c>
      <c r="J2465" s="7" t="s">
        <v>175</v>
      </c>
      <c r="K2465" s="7" t="s">
        <v>17168</v>
      </c>
      <c r="L2465" s="198" t="s">
        <v>65</v>
      </c>
      <c r="M2465" s="194"/>
      <c r="N2465" s="194"/>
    </row>
    <row r="2466">
      <c r="A2466" s="193" t="s">
        <v>19948</v>
      </c>
      <c r="B2466" s="7" t="s">
        <v>16926</v>
      </c>
      <c r="C2466" s="7" t="s">
        <v>16960</v>
      </c>
      <c r="D2466" s="199"/>
      <c r="E2466" s="193"/>
      <c r="F2466" s="195" t="s">
        <v>19949</v>
      </c>
      <c r="G2466" s="196">
        <v>3.242667886E9</v>
      </c>
      <c r="H2466" s="197">
        <v>22.2</v>
      </c>
      <c r="I2466" s="7" t="s">
        <v>16815</v>
      </c>
      <c r="J2466" s="7" t="s">
        <v>16926</v>
      </c>
      <c r="K2466" s="7" t="s">
        <v>16960</v>
      </c>
      <c r="L2466" s="198" t="s">
        <v>65</v>
      </c>
      <c r="M2466" s="199"/>
      <c r="N2466" s="199"/>
    </row>
    <row r="2467">
      <c r="A2467" s="193" t="s">
        <v>19950</v>
      </c>
      <c r="B2467" s="7" t="s">
        <v>187</v>
      </c>
      <c r="C2467" s="7" t="s">
        <v>16846</v>
      </c>
      <c r="D2467" s="194">
        <v>2021.0</v>
      </c>
      <c r="E2467" s="193"/>
      <c r="F2467" s="195" t="s">
        <v>19951</v>
      </c>
      <c r="G2467" s="196">
        <v>3.241859539E9</v>
      </c>
      <c r="H2467" s="197">
        <v>56.85</v>
      </c>
      <c r="I2467" s="7" t="s">
        <v>16815</v>
      </c>
      <c r="J2467" s="7" t="s">
        <v>187</v>
      </c>
      <c r="K2467" s="7" t="s">
        <v>16846</v>
      </c>
      <c r="L2467" s="198" t="s">
        <v>65</v>
      </c>
      <c r="M2467" s="194"/>
      <c r="N2467" s="194"/>
    </row>
    <row r="2468">
      <c r="A2468" s="193" t="s">
        <v>19952</v>
      </c>
      <c r="B2468" s="7" t="s">
        <v>175</v>
      </c>
      <c r="C2468" s="7" t="s">
        <v>17233</v>
      </c>
      <c r="D2468" s="194">
        <v>2010.0</v>
      </c>
      <c r="E2468" s="193"/>
      <c r="F2468" s="195" t="s">
        <v>19953</v>
      </c>
      <c r="G2468" s="196">
        <v>3.241330986E9</v>
      </c>
      <c r="H2468" s="197">
        <v>58.58</v>
      </c>
      <c r="I2468" s="7" t="s">
        <v>17270</v>
      </c>
      <c r="J2468" s="7" t="s">
        <v>175</v>
      </c>
      <c r="K2468" s="7" t="s">
        <v>17233</v>
      </c>
      <c r="L2468" s="198" t="s">
        <v>65</v>
      </c>
      <c r="M2468" s="194"/>
      <c r="N2468" s="194"/>
    </row>
    <row r="2469">
      <c r="A2469" s="193" t="s">
        <v>19952</v>
      </c>
      <c r="B2469" s="7" t="s">
        <v>17233</v>
      </c>
      <c r="C2469" s="7" t="s">
        <v>175</v>
      </c>
      <c r="D2469" s="194">
        <v>2010.0</v>
      </c>
      <c r="E2469" s="193"/>
      <c r="F2469" s="195" t="s">
        <v>19953</v>
      </c>
      <c r="G2469" s="200">
        <v>3.241330986E9</v>
      </c>
      <c r="H2469" s="197">
        <v>58.58</v>
      </c>
      <c r="I2469" s="7" t="s">
        <v>16815</v>
      </c>
      <c r="J2469" s="7" t="s">
        <v>17233</v>
      </c>
      <c r="K2469" s="7" t="s">
        <v>175</v>
      </c>
      <c r="L2469" s="201" t="s">
        <v>16835</v>
      </c>
      <c r="M2469" s="194"/>
      <c r="N2469" s="194"/>
    </row>
    <row r="2470">
      <c r="A2470" s="193" t="s">
        <v>19954</v>
      </c>
      <c r="B2470" s="7" t="s">
        <v>16919</v>
      </c>
      <c r="C2470" s="7" t="s">
        <v>17048</v>
      </c>
      <c r="D2470" s="199"/>
      <c r="E2470" s="193"/>
      <c r="F2470" s="195" t="s">
        <v>19955</v>
      </c>
      <c r="G2470" s="196">
        <v>3.23840485E9</v>
      </c>
      <c r="H2470" s="197">
        <v>77.64</v>
      </c>
      <c r="I2470" s="7" t="s">
        <v>16815</v>
      </c>
      <c r="J2470" s="7" t="s">
        <v>16919</v>
      </c>
      <c r="K2470" s="7" t="s">
        <v>17048</v>
      </c>
      <c r="L2470" s="198" t="s">
        <v>65</v>
      </c>
      <c r="M2470" s="199"/>
      <c r="N2470" s="199"/>
    </row>
    <row r="2471">
      <c r="A2471" s="193" t="s">
        <v>19956</v>
      </c>
      <c r="B2471" s="7" t="s">
        <v>16910</v>
      </c>
      <c r="C2471" s="7" t="s">
        <v>17119</v>
      </c>
      <c r="D2471" s="194">
        <v>2014.0</v>
      </c>
      <c r="E2471" s="193"/>
      <c r="F2471" s="195" t="s">
        <v>19957</v>
      </c>
      <c r="G2471" s="196">
        <v>3.233654423E9</v>
      </c>
      <c r="H2471" s="197">
        <v>67.03</v>
      </c>
      <c r="I2471" s="7" t="s">
        <v>127</v>
      </c>
      <c r="J2471" s="7" t="s">
        <v>16910</v>
      </c>
      <c r="K2471" s="7" t="s">
        <v>17119</v>
      </c>
      <c r="L2471" s="198" t="s">
        <v>65</v>
      </c>
      <c r="M2471" s="194"/>
      <c r="N2471" s="194"/>
    </row>
    <row r="2472">
      <c r="A2472" s="193" t="s">
        <v>19958</v>
      </c>
      <c r="B2472" s="7" t="s">
        <v>175</v>
      </c>
      <c r="C2472" s="7" t="s">
        <v>17318</v>
      </c>
      <c r="D2472" s="199"/>
      <c r="E2472" s="193"/>
      <c r="F2472" s="195" t="s">
        <v>19959</v>
      </c>
      <c r="G2472" s="196">
        <v>3.233570409E9</v>
      </c>
      <c r="H2472" s="197">
        <v>7.38</v>
      </c>
      <c r="I2472" s="7" t="s">
        <v>16844</v>
      </c>
      <c r="J2472" s="7" t="s">
        <v>175</v>
      </c>
      <c r="K2472" s="7" t="s">
        <v>17318</v>
      </c>
      <c r="L2472" s="198" t="s">
        <v>65</v>
      </c>
      <c r="M2472" s="199"/>
      <c r="N2472" s="199"/>
    </row>
    <row r="2473">
      <c r="A2473" s="193" t="s">
        <v>19958</v>
      </c>
      <c r="B2473" s="7" t="s">
        <v>17318</v>
      </c>
      <c r="C2473" s="7" t="s">
        <v>175</v>
      </c>
      <c r="D2473" s="199"/>
      <c r="E2473" s="193"/>
      <c r="F2473" s="195" t="s">
        <v>19959</v>
      </c>
      <c r="G2473" s="200">
        <v>3.233570409E9</v>
      </c>
      <c r="H2473" s="197">
        <v>7.38</v>
      </c>
      <c r="I2473" s="7" t="s">
        <v>16815</v>
      </c>
      <c r="J2473" s="7" t="s">
        <v>17318</v>
      </c>
      <c r="K2473" s="7" t="s">
        <v>175</v>
      </c>
      <c r="L2473" s="201" t="s">
        <v>16835</v>
      </c>
      <c r="M2473" s="199"/>
      <c r="N2473" s="199"/>
    </row>
    <row r="2474">
      <c r="A2474" s="193" t="s">
        <v>19960</v>
      </c>
      <c r="B2474" s="7" t="s">
        <v>16838</v>
      </c>
      <c r="C2474" s="7" t="s">
        <v>16867</v>
      </c>
      <c r="D2474" s="199"/>
      <c r="E2474" s="193"/>
      <c r="F2474" s="195" t="s">
        <v>19961</v>
      </c>
      <c r="G2474" s="196">
        <v>3.228753991E9</v>
      </c>
      <c r="H2474" s="197">
        <v>66.53</v>
      </c>
      <c r="I2474" s="7" t="s">
        <v>16815</v>
      </c>
      <c r="J2474" s="7" t="s">
        <v>16838</v>
      </c>
      <c r="K2474" s="7" t="s">
        <v>16867</v>
      </c>
      <c r="L2474" s="198" t="s">
        <v>65</v>
      </c>
      <c r="M2474" s="199"/>
      <c r="N2474" s="199"/>
    </row>
    <row r="2475">
      <c r="A2475" s="193" t="s">
        <v>19962</v>
      </c>
      <c r="B2475" s="7" t="s">
        <v>158</v>
      </c>
      <c r="C2475" s="7" t="s">
        <v>16864</v>
      </c>
      <c r="D2475" s="194">
        <v>2022.0</v>
      </c>
      <c r="E2475" s="193"/>
      <c r="F2475" s="195" t="s">
        <v>19963</v>
      </c>
      <c r="G2475" s="196">
        <v>3.2283454E9</v>
      </c>
      <c r="H2475" s="197">
        <v>40.42</v>
      </c>
      <c r="I2475" s="7" t="s">
        <v>180</v>
      </c>
      <c r="J2475" s="7" t="s">
        <v>158</v>
      </c>
      <c r="K2475" s="7" t="s">
        <v>16864</v>
      </c>
      <c r="L2475" s="198" t="s">
        <v>65</v>
      </c>
      <c r="M2475" s="194"/>
      <c r="N2475" s="194"/>
    </row>
    <row r="2476">
      <c r="A2476" s="193" t="s">
        <v>19962</v>
      </c>
      <c r="B2476" s="7" t="s">
        <v>16864</v>
      </c>
      <c r="C2476" s="7" t="s">
        <v>158</v>
      </c>
      <c r="D2476" s="194">
        <v>2022.0</v>
      </c>
      <c r="E2476" s="193"/>
      <c r="F2476" s="195" t="s">
        <v>19963</v>
      </c>
      <c r="G2476" s="200">
        <v>3.2283454E9</v>
      </c>
      <c r="H2476" s="197">
        <v>40.42</v>
      </c>
      <c r="I2476" s="7" t="s">
        <v>16815</v>
      </c>
      <c r="J2476" s="7" t="s">
        <v>16864</v>
      </c>
      <c r="K2476" s="7" t="s">
        <v>158</v>
      </c>
      <c r="L2476" s="201" t="s">
        <v>16835</v>
      </c>
      <c r="M2476" s="194"/>
      <c r="N2476" s="194"/>
    </row>
    <row r="2477">
      <c r="A2477" s="193" t="s">
        <v>19964</v>
      </c>
      <c r="B2477" s="7" t="s">
        <v>169</v>
      </c>
      <c r="C2477" s="7" t="s">
        <v>17619</v>
      </c>
      <c r="D2477" s="199"/>
      <c r="E2477" s="193"/>
      <c r="F2477" s="195" t="s">
        <v>19965</v>
      </c>
      <c r="G2477" s="196">
        <v>3.223574456E9</v>
      </c>
      <c r="H2477" s="197">
        <v>35.16</v>
      </c>
      <c r="I2477" s="7" t="s">
        <v>16815</v>
      </c>
      <c r="J2477" s="7" t="s">
        <v>169</v>
      </c>
      <c r="K2477" s="7" t="s">
        <v>17619</v>
      </c>
      <c r="L2477" s="198" t="s">
        <v>65</v>
      </c>
      <c r="M2477" s="199"/>
      <c r="N2477" s="199"/>
    </row>
    <row r="2478">
      <c r="A2478" s="193" t="s">
        <v>19966</v>
      </c>
      <c r="B2478" s="7" t="s">
        <v>16838</v>
      </c>
      <c r="C2478" s="7" t="s">
        <v>16867</v>
      </c>
      <c r="D2478" s="199"/>
      <c r="E2478" s="193"/>
      <c r="F2478" s="195" t="s">
        <v>19967</v>
      </c>
      <c r="G2478" s="196">
        <v>3.220330548E9</v>
      </c>
      <c r="H2478" s="197">
        <v>37.38</v>
      </c>
      <c r="I2478" s="7" t="s">
        <v>16815</v>
      </c>
      <c r="J2478" s="7" t="s">
        <v>16838</v>
      </c>
      <c r="K2478" s="7" t="s">
        <v>16867</v>
      </c>
      <c r="L2478" s="198" t="s">
        <v>65</v>
      </c>
      <c r="M2478" s="199"/>
      <c r="N2478" s="199"/>
    </row>
    <row r="2479">
      <c r="A2479" s="193" t="s">
        <v>19968</v>
      </c>
      <c r="B2479" s="7" t="s">
        <v>175</v>
      </c>
      <c r="C2479" s="7" t="s">
        <v>17218</v>
      </c>
      <c r="D2479" s="194">
        <v>2015.0</v>
      </c>
      <c r="E2479" s="193"/>
      <c r="F2479" s="195" t="s">
        <v>19969</v>
      </c>
      <c r="G2479" s="196">
        <v>3.218871292E9</v>
      </c>
      <c r="H2479" s="197">
        <v>28.0</v>
      </c>
      <c r="I2479" s="7" t="s">
        <v>16908</v>
      </c>
      <c r="J2479" s="7" t="s">
        <v>175</v>
      </c>
      <c r="K2479" s="7" t="s">
        <v>17218</v>
      </c>
      <c r="L2479" s="198" t="s">
        <v>65</v>
      </c>
      <c r="M2479" s="194"/>
      <c r="N2479" s="194"/>
    </row>
    <row r="2480">
      <c r="A2480" s="193" t="s">
        <v>19968</v>
      </c>
      <c r="B2480" s="7" t="s">
        <v>17218</v>
      </c>
      <c r="C2480" s="7" t="s">
        <v>175</v>
      </c>
      <c r="D2480" s="194">
        <v>2015.0</v>
      </c>
      <c r="E2480" s="193"/>
      <c r="F2480" s="195" t="s">
        <v>19969</v>
      </c>
      <c r="G2480" s="200">
        <v>3.218871292E9</v>
      </c>
      <c r="H2480" s="197">
        <v>28.0</v>
      </c>
      <c r="I2480" s="7" t="s">
        <v>16815</v>
      </c>
      <c r="J2480" s="7" t="s">
        <v>17218</v>
      </c>
      <c r="K2480" s="7" t="s">
        <v>175</v>
      </c>
      <c r="L2480" s="201" t="s">
        <v>16835</v>
      </c>
      <c r="M2480" s="194"/>
      <c r="N2480" s="194"/>
    </row>
    <row r="2481">
      <c r="A2481" s="193" t="s">
        <v>19970</v>
      </c>
      <c r="B2481" s="7" t="s">
        <v>175</v>
      </c>
      <c r="C2481" s="7" t="s">
        <v>17457</v>
      </c>
      <c r="D2481" s="199"/>
      <c r="E2481" s="193"/>
      <c r="F2481" s="195" t="s">
        <v>19971</v>
      </c>
      <c r="G2481" s="196">
        <v>3.217947372E9</v>
      </c>
      <c r="H2481" s="197">
        <v>55.85</v>
      </c>
      <c r="I2481" s="7" t="s">
        <v>17242</v>
      </c>
      <c r="J2481" s="7" t="s">
        <v>175</v>
      </c>
      <c r="K2481" s="7" t="s">
        <v>17457</v>
      </c>
      <c r="L2481" s="198" t="s">
        <v>65</v>
      </c>
      <c r="M2481" s="199"/>
      <c r="N2481" s="199"/>
    </row>
    <row r="2482">
      <c r="A2482" s="193" t="s">
        <v>19970</v>
      </c>
      <c r="B2482" s="7" t="s">
        <v>17457</v>
      </c>
      <c r="C2482" s="7" t="s">
        <v>175</v>
      </c>
      <c r="D2482" s="199"/>
      <c r="E2482" s="193"/>
      <c r="F2482" s="195" t="s">
        <v>19971</v>
      </c>
      <c r="G2482" s="200">
        <v>3.217947372E9</v>
      </c>
      <c r="H2482" s="197">
        <v>55.85</v>
      </c>
      <c r="I2482" s="7" t="s">
        <v>16815</v>
      </c>
      <c r="J2482" s="7" t="s">
        <v>17457</v>
      </c>
      <c r="K2482" s="7" t="s">
        <v>175</v>
      </c>
      <c r="L2482" s="201" t="s">
        <v>16835</v>
      </c>
      <c r="M2482" s="199"/>
      <c r="N2482" s="199"/>
    </row>
    <row r="2483">
      <c r="A2483" s="193" t="s">
        <v>19972</v>
      </c>
      <c r="B2483" s="7" t="s">
        <v>16945</v>
      </c>
      <c r="C2483" s="7" t="s">
        <v>169</v>
      </c>
      <c r="D2483" s="199"/>
      <c r="E2483" s="193"/>
      <c r="F2483" s="195" t="s">
        <v>7181</v>
      </c>
      <c r="G2483" s="200">
        <v>3.21673361E9</v>
      </c>
      <c r="H2483" s="197">
        <v>8.07</v>
      </c>
      <c r="I2483" s="7" t="s">
        <v>16815</v>
      </c>
      <c r="J2483" s="7" t="s">
        <v>16945</v>
      </c>
      <c r="K2483" s="7" t="s">
        <v>169</v>
      </c>
      <c r="L2483" s="201" t="s">
        <v>16835</v>
      </c>
      <c r="M2483" s="199"/>
      <c r="N2483" s="199"/>
    </row>
    <row r="2484">
      <c r="A2484" s="193" t="s">
        <v>19972</v>
      </c>
      <c r="B2484" s="7" t="s">
        <v>169</v>
      </c>
      <c r="C2484" s="7" t="s">
        <v>16945</v>
      </c>
      <c r="D2484" s="199"/>
      <c r="E2484" s="193"/>
      <c r="F2484" s="195" t="s">
        <v>7181</v>
      </c>
      <c r="G2484" s="196">
        <v>3.21673361E9</v>
      </c>
      <c r="H2484" s="197">
        <v>8.07</v>
      </c>
      <c r="I2484" s="7" t="s">
        <v>16815</v>
      </c>
      <c r="J2484" s="7" t="s">
        <v>169</v>
      </c>
      <c r="K2484" s="7" t="s">
        <v>16945</v>
      </c>
      <c r="L2484" s="198" t="s">
        <v>65</v>
      </c>
      <c r="M2484" s="199"/>
      <c r="N2484" s="199"/>
    </row>
    <row r="2485">
      <c r="A2485" s="193" t="s">
        <v>19973</v>
      </c>
      <c r="B2485" s="7" t="s">
        <v>158</v>
      </c>
      <c r="C2485" s="7" t="s">
        <v>16864</v>
      </c>
      <c r="D2485" s="194">
        <v>2011.0</v>
      </c>
      <c r="E2485" s="193"/>
      <c r="F2485" s="195" t="s">
        <v>19974</v>
      </c>
      <c r="G2485" s="196">
        <v>3.21630668E9</v>
      </c>
      <c r="H2485" s="197">
        <v>6.99</v>
      </c>
      <c r="I2485" s="7" t="s">
        <v>17098</v>
      </c>
      <c r="J2485" s="7" t="s">
        <v>158</v>
      </c>
      <c r="K2485" s="7" t="s">
        <v>16864</v>
      </c>
      <c r="L2485" s="198" t="s">
        <v>65</v>
      </c>
      <c r="M2485" s="194"/>
      <c r="N2485" s="194"/>
    </row>
    <row r="2486">
      <c r="A2486" s="193" t="s">
        <v>19973</v>
      </c>
      <c r="B2486" s="7" t="s">
        <v>16864</v>
      </c>
      <c r="C2486" s="7" t="s">
        <v>158</v>
      </c>
      <c r="D2486" s="194">
        <v>2011.0</v>
      </c>
      <c r="E2486" s="193"/>
      <c r="F2486" s="195" t="s">
        <v>19974</v>
      </c>
      <c r="G2486" s="200">
        <v>3.21630668E9</v>
      </c>
      <c r="H2486" s="197">
        <v>6.99</v>
      </c>
      <c r="I2486" s="7" t="s">
        <v>16815</v>
      </c>
      <c r="J2486" s="7" t="s">
        <v>16864</v>
      </c>
      <c r="K2486" s="7" t="s">
        <v>158</v>
      </c>
      <c r="L2486" s="201" t="s">
        <v>16835</v>
      </c>
      <c r="M2486" s="194"/>
      <c r="N2486" s="194"/>
    </row>
    <row r="2487">
      <c r="A2487" s="193" t="s">
        <v>19975</v>
      </c>
      <c r="B2487" s="7" t="s">
        <v>16838</v>
      </c>
      <c r="C2487" s="7" t="s">
        <v>17019</v>
      </c>
      <c r="D2487" s="194">
        <v>2020.0</v>
      </c>
      <c r="E2487" s="193"/>
      <c r="F2487" s="195" t="s">
        <v>19976</v>
      </c>
      <c r="G2487" s="196">
        <v>3.215522666E9</v>
      </c>
      <c r="H2487" s="197">
        <v>8.8</v>
      </c>
      <c r="I2487" s="7" t="s">
        <v>16815</v>
      </c>
      <c r="J2487" s="7" t="s">
        <v>16838</v>
      </c>
      <c r="K2487" s="7" t="s">
        <v>17019</v>
      </c>
      <c r="L2487" s="198" t="s">
        <v>65</v>
      </c>
      <c r="M2487" s="194"/>
      <c r="N2487" s="194"/>
    </row>
    <row r="2488">
      <c r="A2488" s="193" t="s">
        <v>19977</v>
      </c>
      <c r="B2488" s="7" t="s">
        <v>16582</v>
      </c>
      <c r="C2488" s="7" t="s">
        <v>17183</v>
      </c>
      <c r="D2488" s="194">
        <v>2000.0</v>
      </c>
      <c r="E2488" s="193"/>
      <c r="F2488" s="195" t="s">
        <v>19978</v>
      </c>
      <c r="G2488" s="196">
        <v>3.20946E9</v>
      </c>
      <c r="H2488" s="197">
        <v>111.75</v>
      </c>
      <c r="I2488" s="7" t="s">
        <v>16815</v>
      </c>
      <c r="J2488" s="7" t="s">
        <v>16582</v>
      </c>
      <c r="K2488" s="7" t="s">
        <v>17183</v>
      </c>
      <c r="L2488" s="198" t="s">
        <v>65</v>
      </c>
      <c r="M2488" s="194"/>
      <c r="N2488" s="194"/>
    </row>
    <row r="2489">
      <c r="A2489" s="193" t="s">
        <v>19979</v>
      </c>
      <c r="B2489" s="7" t="s">
        <v>16582</v>
      </c>
      <c r="C2489" s="7" t="s">
        <v>16817</v>
      </c>
      <c r="D2489" s="194">
        <v>2016.0</v>
      </c>
      <c r="E2489" s="193"/>
      <c r="F2489" s="195" t="s">
        <v>19980</v>
      </c>
      <c r="G2489" s="196">
        <v>3.203798469E9</v>
      </c>
      <c r="H2489" s="197">
        <v>52.29</v>
      </c>
      <c r="I2489" s="7" t="s">
        <v>16815</v>
      </c>
      <c r="J2489" s="7" t="s">
        <v>16582</v>
      </c>
      <c r="K2489" s="7" t="s">
        <v>16817</v>
      </c>
      <c r="L2489" s="198" t="s">
        <v>65</v>
      </c>
      <c r="M2489" s="194"/>
      <c r="N2489" s="194"/>
    </row>
    <row r="2490">
      <c r="A2490" s="193" t="s">
        <v>19981</v>
      </c>
      <c r="B2490" s="7" t="s">
        <v>17016</v>
      </c>
      <c r="C2490" s="7" t="s">
        <v>16838</v>
      </c>
      <c r="D2490" s="194">
        <v>2003.0</v>
      </c>
      <c r="E2490" s="193"/>
      <c r="F2490" s="195" t="s">
        <v>19982</v>
      </c>
      <c r="G2490" s="200">
        <v>3.202737601E9</v>
      </c>
      <c r="H2490" s="197">
        <v>85.81</v>
      </c>
      <c r="I2490" s="7" t="s">
        <v>16815</v>
      </c>
      <c r="J2490" s="7" t="s">
        <v>17016</v>
      </c>
      <c r="K2490" s="7" t="s">
        <v>16838</v>
      </c>
      <c r="L2490" s="201" t="s">
        <v>16835</v>
      </c>
      <c r="M2490" s="194"/>
      <c r="N2490" s="194"/>
    </row>
    <row r="2491">
      <c r="A2491" s="193" t="s">
        <v>19981</v>
      </c>
      <c r="B2491" s="7" t="s">
        <v>16838</v>
      </c>
      <c r="C2491" s="7" t="s">
        <v>17016</v>
      </c>
      <c r="D2491" s="194">
        <v>2003.0</v>
      </c>
      <c r="E2491" s="193"/>
      <c r="F2491" s="195" t="s">
        <v>19982</v>
      </c>
      <c r="G2491" s="196">
        <v>3.202737601E9</v>
      </c>
      <c r="H2491" s="197">
        <v>85.81</v>
      </c>
      <c r="I2491" s="7" t="s">
        <v>16815</v>
      </c>
      <c r="J2491" s="7" t="s">
        <v>16838</v>
      </c>
      <c r="K2491" s="7" t="s">
        <v>17016</v>
      </c>
      <c r="L2491" s="198" t="s">
        <v>65</v>
      </c>
      <c r="M2491" s="194"/>
      <c r="N2491" s="194"/>
    </row>
    <row r="2492">
      <c r="A2492" s="193" t="s">
        <v>19983</v>
      </c>
      <c r="B2492" s="7" t="s">
        <v>16582</v>
      </c>
      <c r="C2492" s="7" t="s">
        <v>16817</v>
      </c>
      <c r="D2492" s="194">
        <v>2020.0</v>
      </c>
      <c r="E2492" s="193"/>
      <c r="F2492" s="195" t="s">
        <v>19984</v>
      </c>
      <c r="G2492" s="196">
        <v>3.199903266E9</v>
      </c>
      <c r="H2492" s="197">
        <v>28.34</v>
      </c>
      <c r="I2492" s="7" t="s">
        <v>16815</v>
      </c>
      <c r="J2492" s="7" t="s">
        <v>16582</v>
      </c>
      <c r="K2492" s="7" t="s">
        <v>16817</v>
      </c>
      <c r="L2492" s="198" t="s">
        <v>65</v>
      </c>
      <c r="M2492" s="194"/>
      <c r="N2492" s="194"/>
    </row>
    <row r="2493">
      <c r="A2493" s="193" t="s">
        <v>19985</v>
      </c>
      <c r="B2493" s="7" t="s">
        <v>169</v>
      </c>
      <c r="C2493" s="7" t="s">
        <v>17022</v>
      </c>
      <c r="D2493" s="194">
        <v>2007.0</v>
      </c>
      <c r="E2493" s="193"/>
      <c r="F2493" s="195" t="s">
        <v>19986</v>
      </c>
      <c r="G2493" s="196">
        <v>3.1966546E9</v>
      </c>
      <c r="H2493" s="197">
        <v>121.59</v>
      </c>
      <c r="I2493" s="7" t="s">
        <v>16815</v>
      </c>
      <c r="J2493" s="7" t="s">
        <v>169</v>
      </c>
      <c r="K2493" s="7" t="s">
        <v>17022</v>
      </c>
      <c r="L2493" s="198" t="s">
        <v>65</v>
      </c>
      <c r="M2493" s="194"/>
      <c r="N2493" s="194"/>
    </row>
    <row r="2494">
      <c r="A2494" s="193" t="s">
        <v>19987</v>
      </c>
      <c r="B2494" s="7" t="s">
        <v>175</v>
      </c>
      <c r="C2494" s="7" t="s">
        <v>17233</v>
      </c>
      <c r="D2494" s="194">
        <v>2017.0</v>
      </c>
      <c r="E2494" s="193"/>
      <c r="F2494" s="195" t="s">
        <v>19988</v>
      </c>
      <c r="G2494" s="196">
        <v>3.189004923E9</v>
      </c>
      <c r="H2494" s="197">
        <v>60.35</v>
      </c>
      <c r="I2494" s="7" t="s">
        <v>17270</v>
      </c>
      <c r="J2494" s="7" t="s">
        <v>175</v>
      </c>
      <c r="K2494" s="7" t="s">
        <v>17233</v>
      </c>
      <c r="L2494" s="198" t="s">
        <v>65</v>
      </c>
      <c r="M2494" s="194"/>
      <c r="N2494" s="194"/>
    </row>
    <row r="2495">
      <c r="A2495" s="193" t="s">
        <v>19987</v>
      </c>
      <c r="B2495" s="7" t="s">
        <v>17233</v>
      </c>
      <c r="C2495" s="7" t="s">
        <v>175</v>
      </c>
      <c r="D2495" s="194">
        <v>2017.0</v>
      </c>
      <c r="E2495" s="193"/>
      <c r="F2495" s="195" t="s">
        <v>19988</v>
      </c>
      <c r="G2495" s="200">
        <v>3.189004923E9</v>
      </c>
      <c r="H2495" s="197">
        <v>60.35</v>
      </c>
      <c r="I2495" s="7" t="s">
        <v>16815</v>
      </c>
      <c r="J2495" s="7" t="s">
        <v>17233</v>
      </c>
      <c r="K2495" s="7" t="s">
        <v>175</v>
      </c>
      <c r="L2495" s="201" t="s">
        <v>16835</v>
      </c>
      <c r="M2495" s="194"/>
      <c r="N2495" s="194"/>
    </row>
    <row r="2496">
      <c r="A2496" s="193" t="s">
        <v>19989</v>
      </c>
      <c r="B2496" s="7" t="s">
        <v>158</v>
      </c>
      <c r="C2496" s="7" t="s">
        <v>17171</v>
      </c>
      <c r="D2496" s="194">
        <v>2018.0</v>
      </c>
      <c r="E2496" s="193"/>
      <c r="F2496" s="195" t="s">
        <v>19990</v>
      </c>
      <c r="G2496" s="196">
        <v>3.188383464E9</v>
      </c>
      <c r="H2496" s="197">
        <v>18.91</v>
      </c>
      <c r="I2496" s="7" t="s">
        <v>17098</v>
      </c>
      <c r="J2496" s="7" t="s">
        <v>158</v>
      </c>
      <c r="K2496" s="7" t="s">
        <v>17171</v>
      </c>
      <c r="L2496" s="198" t="s">
        <v>65</v>
      </c>
      <c r="M2496" s="194"/>
      <c r="N2496" s="194"/>
    </row>
    <row r="2497">
      <c r="A2497" s="193" t="s">
        <v>19989</v>
      </c>
      <c r="B2497" s="7" t="s">
        <v>17171</v>
      </c>
      <c r="C2497" s="7" t="s">
        <v>158</v>
      </c>
      <c r="D2497" s="194">
        <v>2018.0</v>
      </c>
      <c r="E2497" s="193"/>
      <c r="F2497" s="195" t="s">
        <v>19990</v>
      </c>
      <c r="G2497" s="200">
        <v>3.188383464E9</v>
      </c>
      <c r="H2497" s="197">
        <v>18.91</v>
      </c>
      <c r="I2497" s="7" t="s">
        <v>16815</v>
      </c>
      <c r="J2497" s="7" t="s">
        <v>17171</v>
      </c>
      <c r="K2497" s="7" t="s">
        <v>158</v>
      </c>
      <c r="L2497" s="201" t="s">
        <v>16835</v>
      </c>
      <c r="M2497" s="194"/>
      <c r="N2497" s="194"/>
    </row>
    <row r="2498">
      <c r="A2498" s="193" t="s">
        <v>19991</v>
      </c>
      <c r="B2498" s="7" t="s">
        <v>187</v>
      </c>
      <c r="C2498" s="7" t="s">
        <v>16846</v>
      </c>
      <c r="D2498" s="194">
        <v>2004.0</v>
      </c>
      <c r="E2498" s="193"/>
      <c r="F2498" s="195" t="s">
        <v>19992</v>
      </c>
      <c r="G2498" s="196">
        <v>3.186743528E9</v>
      </c>
      <c r="H2498" s="197">
        <v>32.5</v>
      </c>
      <c r="I2498" s="7" t="s">
        <v>16815</v>
      </c>
      <c r="J2498" s="7" t="s">
        <v>187</v>
      </c>
      <c r="K2498" s="7" t="s">
        <v>16846</v>
      </c>
      <c r="L2498" s="198" t="s">
        <v>65</v>
      </c>
      <c r="M2498" s="194"/>
      <c r="N2498" s="194"/>
    </row>
    <row r="2499">
      <c r="A2499" s="193" t="s">
        <v>19993</v>
      </c>
      <c r="B2499" s="7" t="s">
        <v>175</v>
      </c>
      <c r="C2499" s="7" t="s">
        <v>16957</v>
      </c>
      <c r="D2499" s="199"/>
      <c r="E2499" s="193"/>
      <c r="F2499" s="195" t="s">
        <v>19994</v>
      </c>
      <c r="G2499" s="196">
        <v>3.186277305E9</v>
      </c>
      <c r="H2499" s="197">
        <v>65.18</v>
      </c>
      <c r="I2499" s="7" t="s">
        <v>16908</v>
      </c>
      <c r="J2499" s="7" t="s">
        <v>175</v>
      </c>
      <c r="K2499" s="7" t="s">
        <v>16957</v>
      </c>
      <c r="L2499" s="198" t="s">
        <v>65</v>
      </c>
      <c r="M2499" s="199"/>
      <c r="N2499" s="199"/>
    </row>
    <row r="2500">
      <c r="A2500" s="193" t="s">
        <v>19995</v>
      </c>
      <c r="B2500" s="7" t="s">
        <v>175</v>
      </c>
      <c r="C2500" s="7" t="s">
        <v>19996</v>
      </c>
      <c r="D2500" s="199"/>
      <c r="E2500" s="193"/>
      <c r="F2500" s="195" t="s">
        <v>19997</v>
      </c>
      <c r="G2500" s="196">
        <v>3.177941261E9</v>
      </c>
      <c r="H2500" s="197">
        <v>70.8</v>
      </c>
      <c r="I2500" s="7" t="s">
        <v>17242</v>
      </c>
      <c r="J2500" s="7" t="s">
        <v>175</v>
      </c>
      <c r="K2500" s="7" t="s">
        <v>19996</v>
      </c>
      <c r="L2500" s="198" t="s">
        <v>65</v>
      </c>
      <c r="M2500" s="199"/>
      <c r="N2500" s="199"/>
    </row>
    <row r="2501">
      <c r="A2501" s="193" t="s">
        <v>19995</v>
      </c>
      <c r="B2501" s="7" t="s">
        <v>19996</v>
      </c>
      <c r="C2501" s="7" t="s">
        <v>175</v>
      </c>
      <c r="D2501" s="199"/>
      <c r="E2501" s="193"/>
      <c r="F2501" s="195" t="s">
        <v>19997</v>
      </c>
      <c r="G2501" s="200">
        <v>3.177941261E9</v>
      </c>
      <c r="H2501" s="197">
        <v>70.8</v>
      </c>
      <c r="I2501" s="7" t="s">
        <v>16815</v>
      </c>
      <c r="J2501" s="7" t="s">
        <v>19996</v>
      </c>
      <c r="K2501" s="7" t="s">
        <v>175</v>
      </c>
      <c r="L2501" s="201" t="s">
        <v>16835</v>
      </c>
      <c r="M2501" s="199"/>
      <c r="N2501" s="199"/>
    </row>
    <row r="2502">
      <c r="A2502" s="193" t="s">
        <v>19998</v>
      </c>
      <c r="B2502" s="7" t="s">
        <v>175</v>
      </c>
      <c r="C2502" s="7" t="s">
        <v>17233</v>
      </c>
      <c r="D2502" s="199"/>
      <c r="E2502" s="193"/>
      <c r="F2502" s="195" t="s">
        <v>19999</v>
      </c>
      <c r="G2502" s="196">
        <v>3.175929941E9</v>
      </c>
      <c r="H2502" s="197">
        <v>90.91</v>
      </c>
      <c r="I2502" s="7" t="s">
        <v>168</v>
      </c>
      <c r="J2502" s="7" t="s">
        <v>175</v>
      </c>
      <c r="K2502" s="7" t="s">
        <v>17233</v>
      </c>
      <c r="L2502" s="198" t="s">
        <v>65</v>
      </c>
      <c r="M2502" s="199"/>
      <c r="N2502" s="199"/>
    </row>
    <row r="2503">
      <c r="A2503" s="193" t="s">
        <v>19998</v>
      </c>
      <c r="B2503" s="7" t="s">
        <v>17233</v>
      </c>
      <c r="C2503" s="7" t="s">
        <v>175</v>
      </c>
      <c r="D2503" s="199"/>
      <c r="E2503" s="193"/>
      <c r="F2503" s="195" t="s">
        <v>19999</v>
      </c>
      <c r="G2503" s="200">
        <v>3.175929941E9</v>
      </c>
      <c r="H2503" s="197">
        <v>90.91</v>
      </c>
      <c r="I2503" s="7" t="s">
        <v>16815</v>
      </c>
      <c r="J2503" s="7" t="s">
        <v>17233</v>
      </c>
      <c r="K2503" s="7" t="s">
        <v>175</v>
      </c>
      <c r="L2503" s="201" t="s">
        <v>16835</v>
      </c>
      <c r="M2503" s="199"/>
      <c r="N2503" s="199"/>
    </row>
    <row r="2504">
      <c r="A2504" s="193" t="s">
        <v>20000</v>
      </c>
      <c r="B2504" s="7" t="s">
        <v>175</v>
      </c>
      <c r="C2504" s="7" t="s">
        <v>17350</v>
      </c>
      <c r="D2504" s="199"/>
      <c r="E2504" s="193"/>
      <c r="F2504" s="195" t="s">
        <v>20001</v>
      </c>
      <c r="G2504" s="196">
        <v>3.173536374E9</v>
      </c>
      <c r="H2504" s="197">
        <v>114.11</v>
      </c>
      <c r="I2504" s="7" t="s">
        <v>16856</v>
      </c>
      <c r="J2504" s="7" t="s">
        <v>175</v>
      </c>
      <c r="K2504" s="7" t="s">
        <v>17350</v>
      </c>
      <c r="L2504" s="198" t="s">
        <v>65</v>
      </c>
      <c r="M2504" s="199"/>
      <c r="N2504" s="199"/>
    </row>
    <row r="2505">
      <c r="A2505" s="193" t="s">
        <v>20002</v>
      </c>
      <c r="D2505" s="194">
        <v>2023.0</v>
      </c>
      <c r="E2505" s="193"/>
      <c r="F2505" s="195" t="s">
        <v>20003</v>
      </c>
      <c r="G2505" s="196">
        <v>3.16940497E9</v>
      </c>
      <c r="H2505" s="197">
        <v>56.03</v>
      </c>
      <c r="I2505" s="7" t="s">
        <v>16815</v>
      </c>
      <c r="L2505" s="198" t="s">
        <v>65</v>
      </c>
      <c r="M2505" s="194"/>
      <c r="N2505" s="194"/>
    </row>
    <row r="2506">
      <c r="A2506" s="193" t="s">
        <v>20002</v>
      </c>
      <c r="D2506" s="194">
        <v>2023.0</v>
      </c>
      <c r="E2506" s="193"/>
      <c r="F2506" s="195" t="s">
        <v>20003</v>
      </c>
      <c r="G2506" s="200">
        <v>3.16940497E9</v>
      </c>
      <c r="H2506" s="197">
        <v>56.03</v>
      </c>
      <c r="L2506" s="201" t="s">
        <v>16835</v>
      </c>
      <c r="M2506" s="194"/>
      <c r="N2506" s="194"/>
    </row>
    <row r="2507">
      <c r="A2507" s="193" t="s">
        <v>20004</v>
      </c>
      <c r="B2507" s="7" t="s">
        <v>17532</v>
      </c>
      <c r="C2507" s="7" t="s">
        <v>169</v>
      </c>
      <c r="D2507" s="199"/>
      <c r="E2507" s="193"/>
      <c r="F2507" s="195" t="s">
        <v>20005</v>
      </c>
      <c r="G2507" s="200">
        <v>3.169307923E9</v>
      </c>
      <c r="H2507" s="197">
        <v>63.43</v>
      </c>
      <c r="I2507" s="7" t="s">
        <v>16815</v>
      </c>
      <c r="J2507" s="7" t="s">
        <v>17532</v>
      </c>
      <c r="K2507" s="7" t="s">
        <v>169</v>
      </c>
      <c r="L2507" s="201" t="s">
        <v>16835</v>
      </c>
      <c r="M2507" s="199"/>
      <c r="N2507" s="199"/>
    </row>
    <row r="2508">
      <c r="A2508" s="193" t="s">
        <v>20004</v>
      </c>
      <c r="B2508" s="7" t="s">
        <v>169</v>
      </c>
      <c r="C2508" s="7" t="s">
        <v>17532</v>
      </c>
      <c r="D2508" s="199"/>
      <c r="E2508" s="193"/>
      <c r="F2508" s="195" t="s">
        <v>20005</v>
      </c>
      <c r="G2508" s="196">
        <v>3.169307923E9</v>
      </c>
      <c r="H2508" s="197">
        <v>63.43</v>
      </c>
      <c r="I2508" s="7" t="s">
        <v>16815</v>
      </c>
      <c r="J2508" s="7" t="s">
        <v>169</v>
      </c>
      <c r="K2508" s="7" t="s">
        <v>17532</v>
      </c>
      <c r="L2508" s="198" t="s">
        <v>65</v>
      </c>
      <c r="M2508" s="199"/>
      <c r="N2508" s="199"/>
    </row>
    <row r="2509">
      <c r="A2509" s="193" t="s">
        <v>20006</v>
      </c>
      <c r="B2509" s="7" t="s">
        <v>16582</v>
      </c>
      <c r="C2509" s="7" t="s">
        <v>16817</v>
      </c>
      <c r="D2509" s="194">
        <v>2020.0</v>
      </c>
      <c r="E2509" s="193"/>
      <c r="F2509" s="195" t="s">
        <v>20007</v>
      </c>
      <c r="G2509" s="196">
        <v>3.158351134E9</v>
      </c>
      <c r="H2509" s="197">
        <v>26.72</v>
      </c>
      <c r="I2509" s="7" t="s">
        <v>16815</v>
      </c>
      <c r="J2509" s="7" t="s">
        <v>16582</v>
      </c>
      <c r="K2509" s="7" t="s">
        <v>16817</v>
      </c>
      <c r="L2509" s="198" t="s">
        <v>65</v>
      </c>
      <c r="M2509" s="194"/>
      <c r="N2509" s="194"/>
    </row>
    <row r="2510">
      <c r="A2510" s="193" t="s">
        <v>20006</v>
      </c>
      <c r="B2510" s="7" t="s">
        <v>16817</v>
      </c>
      <c r="C2510" s="7" t="s">
        <v>16582</v>
      </c>
      <c r="D2510" s="194">
        <v>2020.0</v>
      </c>
      <c r="E2510" s="193"/>
      <c r="F2510" s="195" t="s">
        <v>20007</v>
      </c>
      <c r="G2510" s="200">
        <v>3.158351134E9</v>
      </c>
      <c r="H2510" s="197">
        <v>26.72</v>
      </c>
      <c r="I2510" s="7" t="s">
        <v>16815</v>
      </c>
      <c r="J2510" s="7" t="s">
        <v>16817</v>
      </c>
      <c r="K2510" s="7" t="s">
        <v>16582</v>
      </c>
      <c r="L2510" s="201" t="s">
        <v>16835</v>
      </c>
      <c r="M2510" s="194"/>
      <c r="N2510" s="194"/>
    </row>
    <row r="2511">
      <c r="A2511" s="193" t="s">
        <v>20008</v>
      </c>
      <c r="B2511" s="7" t="s">
        <v>158</v>
      </c>
      <c r="C2511" s="7" t="s">
        <v>16864</v>
      </c>
      <c r="D2511" s="194">
        <v>2022.0</v>
      </c>
      <c r="E2511" s="193"/>
      <c r="F2511" s="195" t="s">
        <v>20009</v>
      </c>
      <c r="G2511" s="196">
        <v>3.158073322E9</v>
      </c>
      <c r="H2511" s="197">
        <v>47.1</v>
      </c>
      <c r="I2511" s="7" t="s">
        <v>17098</v>
      </c>
      <c r="J2511" s="7" t="s">
        <v>158</v>
      </c>
      <c r="K2511" s="7" t="s">
        <v>16864</v>
      </c>
      <c r="L2511" s="198" t="s">
        <v>65</v>
      </c>
      <c r="M2511" s="194"/>
      <c r="N2511" s="194"/>
    </row>
    <row r="2512">
      <c r="A2512" s="193" t="s">
        <v>20008</v>
      </c>
      <c r="B2512" s="7" t="s">
        <v>16864</v>
      </c>
      <c r="C2512" s="7" t="s">
        <v>158</v>
      </c>
      <c r="D2512" s="194">
        <v>2022.0</v>
      </c>
      <c r="E2512" s="193"/>
      <c r="F2512" s="195" t="s">
        <v>20009</v>
      </c>
      <c r="G2512" s="200">
        <v>3.158073322E9</v>
      </c>
      <c r="H2512" s="197">
        <v>47.1</v>
      </c>
      <c r="I2512" s="7" t="s">
        <v>16815</v>
      </c>
      <c r="J2512" s="7" t="s">
        <v>16864</v>
      </c>
      <c r="K2512" s="7" t="s">
        <v>158</v>
      </c>
      <c r="L2512" s="201" t="s">
        <v>16835</v>
      </c>
      <c r="M2512" s="194"/>
      <c r="N2512" s="194"/>
    </row>
    <row r="2513">
      <c r="A2513" s="193" t="s">
        <v>20010</v>
      </c>
      <c r="B2513" s="7" t="s">
        <v>169</v>
      </c>
      <c r="C2513" s="7" t="s">
        <v>17619</v>
      </c>
      <c r="D2513" s="199"/>
      <c r="E2513" s="193"/>
      <c r="F2513" s="195" t="s">
        <v>20011</v>
      </c>
      <c r="G2513" s="196">
        <v>3.146560732E9</v>
      </c>
      <c r="H2513" s="197">
        <v>34.32</v>
      </c>
      <c r="I2513" s="7" t="s">
        <v>16815</v>
      </c>
      <c r="J2513" s="7" t="s">
        <v>169</v>
      </c>
      <c r="K2513" s="7" t="s">
        <v>17619</v>
      </c>
      <c r="L2513" s="198" t="s">
        <v>65</v>
      </c>
      <c r="M2513" s="199"/>
      <c r="N2513" s="199"/>
    </row>
    <row r="2514">
      <c r="A2514" s="193" t="s">
        <v>20012</v>
      </c>
      <c r="B2514" s="7" t="s">
        <v>175</v>
      </c>
      <c r="C2514" s="7" t="s">
        <v>17457</v>
      </c>
      <c r="D2514" s="199"/>
      <c r="E2514" s="193"/>
      <c r="F2514" s="195" t="s">
        <v>20013</v>
      </c>
      <c r="G2514" s="196">
        <v>3.143248266E9</v>
      </c>
      <c r="H2514" s="197">
        <v>42.1</v>
      </c>
      <c r="I2514" s="7" t="s">
        <v>168</v>
      </c>
      <c r="J2514" s="7" t="s">
        <v>175</v>
      </c>
      <c r="K2514" s="7" t="s">
        <v>17457</v>
      </c>
      <c r="L2514" s="198" t="s">
        <v>65</v>
      </c>
      <c r="M2514" s="199"/>
      <c r="N2514" s="199"/>
    </row>
    <row r="2515">
      <c r="A2515" s="193" t="s">
        <v>20012</v>
      </c>
      <c r="B2515" s="7" t="s">
        <v>17457</v>
      </c>
      <c r="C2515" s="7" t="s">
        <v>175</v>
      </c>
      <c r="D2515" s="199"/>
      <c r="E2515" s="193"/>
      <c r="F2515" s="195" t="s">
        <v>20013</v>
      </c>
      <c r="G2515" s="200">
        <v>3.143248266E9</v>
      </c>
      <c r="H2515" s="197">
        <v>42.1</v>
      </c>
      <c r="I2515" s="7" t="s">
        <v>16815</v>
      </c>
      <c r="J2515" s="7" t="s">
        <v>17457</v>
      </c>
      <c r="K2515" s="7" t="s">
        <v>175</v>
      </c>
      <c r="L2515" s="201" t="s">
        <v>16835</v>
      </c>
      <c r="M2515" s="199"/>
      <c r="N2515" s="199"/>
    </row>
    <row r="2516">
      <c r="A2516" s="193" t="s">
        <v>20014</v>
      </c>
      <c r="B2516" s="7" t="s">
        <v>16838</v>
      </c>
      <c r="C2516" s="7" t="s">
        <v>17019</v>
      </c>
      <c r="D2516" s="199"/>
      <c r="E2516" s="193"/>
      <c r="F2516" s="195" t="s">
        <v>20015</v>
      </c>
      <c r="G2516" s="196">
        <v>3.14251715E9</v>
      </c>
      <c r="H2516" s="197">
        <v>6.3</v>
      </c>
      <c r="I2516" s="7" t="s">
        <v>16924</v>
      </c>
      <c r="J2516" s="7" t="s">
        <v>16838</v>
      </c>
      <c r="K2516" s="7" t="s">
        <v>17019</v>
      </c>
      <c r="L2516" s="198" t="s">
        <v>65</v>
      </c>
      <c r="M2516" s="199"/>
      <c r="N2516" s="199"/>
    </row>
    <row r="2517">
      <c r="A2517" s="193" t="s">
        <v>20016</v>
      </c>
      <c r="B2517" s="7" t="s">
        <v>16582</v>
      </c>
      <c r="C2517" s="7" t="s">
        <v>16930</v>
      </c>
      <c r="D2517" s="194">
        <v>2018.0</v>
      </c>
      <c r="E2517" s="193"/>
      <c r="F2517" s="195" t="s">
        <v>20017</v>
      </c>
      <c r="G2517" s="196">
        <v>3.122595975E9</v>
      </c>
      <c r="H2517" s="197">
        <v>54.07</v>
      </c>
      <c r="I2517" s="7" t="s">
        <v>16815</v>
      </c>
      <c r="J2517" s="7" t="s">
        <v>16582</v>
      </c>
      <c r="K2517" s="7" t="s">
        <v>16930</v>
      </c>
      <c r="L2517" s="198" t="s">
        <v>65</v>
      </c>
      <c r="M2517" s="194"/>
      <c r="N2517" s="194"/>
    </row>
    <row r="2518">
      <c r="A2518" s="193" t="s">
        <v>20016</v>
      </c>
      <c r="B2518" s="7" t="s">
        <v>16930</v>
      </c>
      <c r="C2518" s="7" t="s">
        <v>16582</v>
      </c>
      <c r="D2518" s="194">
        <v>2018.0</v>
      </c>
      <c r="E2518" s="193"/>
      <c r="F2518" s="195" t="s">
        <v>20017</v>
      </c>
      <c r="G2518" s="200">
        <v>3.122595975E9</v>
      </c>
      <c r="H2518" s="197">
        <v>54.07</v>
      </c>
      <c r="I2518" s="7" t="s">
        <v>16815</v>
      </c>
      <c r="J2518" s="7" t="s">
        <v>16930</v>
      </c>
      <c r="K2518" s="7" t="s">
        <v>16582</v>
      </c>
      <c r="L2518" s="201" t="s">
        <v>16835</v>
      </c>
      <c r="M2518" s="194"/>
      <c r="N2518" s="194"/>
    </row>
    <row r="2519">
      <c r="A2519" s="193" t="s">
        <v>20018</v>
      </c>
      <c r="B2519" s="7" t="s">
        <v>16910</v>
      </c>
      <c r="C2519" s="7" t="s">
        <v>17502</v>
      </c>
      <c r="D2519" s="194">
        <v>1986.0</v>
      </c>
      <c r="E2519" s="193"/>
      <c r="F2519" s="195" t="s">
        <v>20019</v>
      </c>
      <c r="G2519" s="196">
        <v>3.107007925E9</v>
      </c>
      <c r="H2519" s="197">
        <v>161.07</v>
      </c>
      <c r="I2519" s="7" t="s">
        <v>127</v>
      </c>
      <c r="J2519" s="7" t="s">
        <v>16910</v>
      </c>
      <c r="K2519" s="7" t="s">
        <v>17502</v>
      </c>
      <c r="L2519" s="198" t="s">
        <v>65</v>
      </c>
      <c r="M2519" s="194"/>
      <c r="N2519" s="194"/>
    </row>
    <row r="2520">
      <c r="A2520" s="193" t="s">
        <v>20020</v>
      </c>
      <c r="B2520" s="7" t="s">
        <v>175</v>
      </c>
      <c r="C2520" s="7" t="s">
        <v>16854</v>
      </c>
      <c r="D2520" s="199"/>
      <c r="E2520" s="193"/>
      <c r="F2520" s="195" t="s">
        <v>20021</v>
      </c>
      <c r="G2520" s="196">
        <v>3.099236709E9</v>
      </c>
      <c r="H2520" s="197">
        <v>165.78</v>
      </c>
      <c r="I2520" s="7" t="s">
        <v>16856</v>
      </c>
      <c r="J2520" s="7" t="s">
        <v>175</v>
      </c>
      <c r="K2520" s="7" t="s">
        <v>16854</v>
      </c>
      <c r="L2520" s="198" t="s">
        <v>65</v>
      </c>
      <c r="M2520" s="199"/>
      <c r="N2520" s="199"/>
    </row>
    <row r="2521">
      <c r="A2521" s="193" t="s">
        <v>20020</v>
      </c>
      <c r="B2521" s="7" t="s">
        <v>16854</v>
      </c>
      <c r="C2521" s="7" t="s">
        <v>175</v>
      </c>
      <c r="D2521" s="199"/>
      <c r="E2521" s="193"/>
      <c r="F2521" s="195" t="s">
        <v>20021</v>
      </c>
      <c r="G2521" s="200">
        <v>3.099236709E9</v>
      </c>
      <c r="H2521" s="197">
        <v>165.78</v>
      </c>
      <c r="I2521" s="7" t="s">
        <v>16815</v>
      </c>
      <c r="J2521" s="7" t="s">
        <v>16854</v>
      </c>
      <c r="K2521" s="7" t="s">
        <v>175</v>
      </c>
      <c r="L2521" s="201" t="s">
        <v>16835</v>
      </c>
      <c r="M2521" s="199"/>
      <c r="N2521" s="199"/>
    </row>
    <row r="2522">
      <c r="A2522" s="193" t="s">
        <v>20022</v>
      </c>
      <c r="B2522" s="7" t="s">
        <v>16919</v>
      </c>
      <c r="C2522" s="7" t="s">
        <v>17176</v>
      </c>
      <c r="D2522" s="199"/>
      <c r="E2522" s="193"/>
      <c r="F2522" s="195" t="s">
        <v>20023</v>
      </c>
      <c r="G2522" s="196">
        <v>3.096882581E9</v>
      </c>
      <c r="H2522" s="197">
        <v>53.88</v>
      </c>
      <c r="I2522" s="7" t="s">
        <v>16815</v>
      </c>
      <c r="J2522" s="7" t="s">
        <v>16919</v>
      </c>
      <c r="K2522" s="7" t="s">
        <v>17176</v>
      </c>
      <c r="L2522" s="198" t="s">
        <v>65</v>
      </c>
      <c r="M2522" s="199"/>
      <c r="N2522" s="199"/>
    </row>
    <row r="2523">
      <c r="A2523" s="193" t="s">
        <v>20022</v>
      </c>
      <c r="B2523" s="7" t="s">
        <v>17176</v>
      </c>
      <c r="C2523" s="7" t="s">
        <v>16919</v>
      </c>
      <c r="D2523" s="199"/>
      <c r="E2523" s="193"/>
      <c r="F2523" s="195" t="s">
        <v>20023</v>
      </c>
      <c r="G2523" s="200">
        <v>3.096882581E9</v>
      </c>
      <c r="H2523" s="197">
        <v>53.88</v>
      </c>
      <c r="I2523" s="7" t="s">
        <v>16815</v>
      </c>
      <c r="J2523" s="7" t="s">
        <v>17176</v>
      </c>
      <c r="K2523" s="7" t="s">
        <v>16919</v>
      </c>
      <c r="L2523" s="201" t="s">
        <v>16835</v>
      </c>
      <c r="M2523" s="199"/>
      <c r="N2523" s="199"/>
    </row>
    <row r="2524">
      <c r="A2524" s="193" t="s">
        <v>20024</v>
      </c>
      <c r="B2524" s="7" t="s">
        <v>16582</v>
      </c>
      <c r="C2524" s="7" t="s">
        <v>16817</v>
      </c>
      <c r="D2524" s="194">
        <v>2015.0</v>
      </c>
      <c r="E2524" s="193"/>
      <c r="F2524" s="195" t="s">
        <v>20025</v>
      </c>
      <c r="G2524" s="196">
        <v>3.0956985E9</v>
      </c>
      <c r="H2524" s="197">
        <v>50.38</v>
      </c>
      <c r="I2524" s="7" t="s">
        <v>16815</v>
      </c>
      <c r="J2524" s="7" t="s">
        <v>16582</v>
      </c>
      <c r="K2524" s="7" t="s">
        <v>16817</v>
      </c>
      <c r="L2524" s="198" t="s">
        <v>65</v>
      </c>
      <c r="M2524" s="194"/>
      <c r="N2524" s="194"/>
    </row>
    <row r="2525">
      <c r="A2525" s="193" t="s">
        <v>20026</v>
      </c>
      <c r="B2525" s="7" t="s">
        <v>158</v>
      </c>
      <c r="C2525" s="7" t="s">
        <v>16864</v>
      </c>
      <c r="D2525" s="199"/>
      <c r="E2525" s="193"/>
      <c r="F2525" s="195" t="s">
        <v>20027</v>
      </c>
      <c r="G2525" s="196">
        <v>3.09356397E9</v>
      </c>
      <c r="H2525" s="197">
        <v>15.75</v>
      </c>
      <c r="I2525" s="7" t="s">
        <v>17098</v>
      </c>
      <c r="J2525" s="7" t="s">
        <v>158</v>
      </c>
      <c r="K2525" s="7" t="s">
        <v>16864</v>
      </c>
      <c r="L2525" s="198" t="s">
        <v>65</v>
      </c>
      <c r="M2525" s="199"/>
      <c r="N2525" s="199"/>
    </row>
    <row r="2526">
      <c r="A2526" s="193" t="s">
        <v>20028</v>
      </c>
      <c r="B2526" s="7" t="s">
        <v>16582</v>
      </c>
      <c r="C2526" s="7" t="s">
        <v>16817</v>
      </c>
      <c r="D2526" s="194">
        <v>2006.0</v>
      </c>
      <c r="E2526" s="193"/>
      <c r="F2526" s="195" t="s">
        <v>20029</v>
      </c>
      <c r="G2526" s="196">
        <v>3.080799139E9</v>
      </c>
      <c r="H2526" s="197">
        <v>70.35</v>
      </c>
      <c r="I2526" s="7" t="s">
        <v>16815</v>
      </c>
      <c r="J2526" s="7" t="s">
        <v>16582</v>
      </c>
      <c r="K2526" s="7" t="s">
        <v>16817</v>
      </c>
      <c r="L2526" s="198" t="s">
        <v>65</v>
      </c>
      <c r="M2526" s="194"/>
      <c r="N2526" s="194"/>
    </row>
    <row r="2527">
      <c r="A2527" s="193" t="s">
        <v>20030</v>
      </c>
      <c r="B2527" s="7" t="s">
        <v>169</v>
      </c>
      <c r="C2527" s="7" t="s">
        <v>17619</v>
      </c>
      <c r="D2527" s="199"/>
      <c r="E2527" s="193"/>
      <c r="F2527" s="195" t="s">
        <v>20031</v>
      </c>
      <c r="G2527" s="196">
        <v>3.076639176E9</v>
      </c>
      <c r="H2527" s="197">
        <v>15.62</v>
      </c>
      <c r="I2527" s="7" t="s">
        <v>16815</v>
      </c>
      <c r="J2527" s="7" t="s">
        <v>169</v>
      </c>
      <c r="K2527" s="7" t="s">
        <v>17619</v>
      </c>
      <c r="L2527" s="198" t="s">
        <v>65</v>
      </c>
      <c r="M2527" s="199"/>
      <c r="N2527" s="199"/>
    </row>
    <row r="2528">
      <c r="A2528" s="193" t="s">
        <v>20030</v>
      </c>
      <c r="B2528" s="7" t="s">
        <v>17619</v>
      </c>
      <c r="C2528" s="7" t="s">
        <v>169</v>
      </c>
      <c r="D2528" s="199"/>
      <c r="E2528" s="193"/>
      <c r="F2528" s="195" t="s">
        <v>20031</v>
      </c>
      <c r="G2528" s="200">
        <v>3.076639176E9</v>
      </c>
      <c r="H2528" s="197">
        <v>15.62</v>
      </c>
      <c r="I2528" s="7" t="s">
        <v>16815</v>
      </c>
      <c r="J2528" s="7" t="s">
        <v>17619</v>
      </c>
      <c r="K2528" s="7" t="s">
        <v>169</v>
      </c>
      <c r="L2528" s="201" t="s">
        <v>16835</v>
      </c>
      <c r="M2528" s="199"/>
      <c r="N2528" s="199"/>
    </row>
    <row r="2529">
      <c r="A2529" s="193" t="s">
        <v>20032</v>
      </c>
      <c r="B2529" s="7" t="s">
        <v>17321</v>
      </c>
      <c r="C2529" s="7" t="s">
        <v>169</v>
      </c>
      <c r="D2529" s="194">
        <v>2022.0</v>
      </c>
      <c r="E2529" s="193"/>
      <c r="F2529" s="195" t="s">
        <v>20033</v>
      </c>
      <c r="G2529" s="200">
        <v>3.075879805E9</v>
      </c>
      <c r="H2529" s="197">
        <v>105.86</v>
      </c>
      <c r="I2529" s="7" t="s">
        <v>16815</v>
      </c>
      <c r="J2529" s="7" t="s">
        <v>17321</v>
      </c>
      <c r="K2529" s="7" t="s">
        <v>169</v>
      </c>
      <c r="L2529" s="201" t="s">
        <v>16835</v>
      </c>
      <c r="M2529" s="194"/>
      <c r="N2529" s="194"/>
    </row>
    <row r="2530">
      <c r="A2530" s="193" t="s">
        <v>20032</v>
      </c>
      <c r="B2530" s="7" t="s">
        <v>169</v>
      </c>
      <c r="C2530" s="7" t="s">
        <v>17321</v>
      </c>
      <c r="D2530" s="194">
        <v>2022.0</v>
      </c>
      <c r="E2530" s="193"/>
      <c r="F2530" s="195" t="s">
        <v>20033</v>
      </c>
      <c r="G2530" s="196">
        <v>3.075879805E9</v>
      </c>
      <c r="H2530" s="197">
        <v>105.86</v>
      </c>
      <c r="I2530" s="7" t="s">
        <v>16815</v>
      </c>
      <c r="J2530" s="7" t="s">
        <v>169</v>
      </c>
      <c r="K2530" s="7" t="s">
        <v>17321</v>
      </c>
      <c r="L2530" s="198" t="s">
        <v>65</v>
      </c>
      <c r="M2530" s="194"/>
      <c r="N2530" s="194"/>
    </row>
    <row r="2531">
      <c r="A2531" s="193" t="s">
        <v>20034</v>
      </c>
      <c r="B2531" s="7" t="s">
        <v>175</v>
      </c>
      <c r="C2531" s="7" t="s">
        <v>18570</v>
      </c>
      <c r="D2531" s="199"/>
      <c r="E2531" s="193"/>
      <c r="F2531" s="195" t="s">
        <v>20035</v>
      </c>
      <c r="G2531" s="196">
        <v>3.071679575E9</v>
      </c>
      <c r="H2531" s="197">
        <v>23.04</v>
      </c>
      <c r="I2531" s="7" t="s">
        <v>168</v>
      </c>
      <c r="J2531" s="7" t="s">
        <v>175</v>
      </c>
      <c r="K2531" s="7" t="s">
        <v>18570</v>
      </c>
      <c r="L2531" s="198" t="s">
        <v>65</v>
      </c>
      <c r="M2531" s="199"/>
      <c r="N2531" s="199"/>
    </row>
    <row r="2532">
      <c r="A2532" s="193" t="s">
        <v>20034</v>
      </c>
      <c r="B2532" s="7" t="s">
        <v>18570</v>
      </c>
      <c r="C2532" s="7" t="s">
        <v>175</v>
      </c>
      <c r="D2532" s="199"/>
      <c r="E2532" s="193"/>
      <c r="F2532" s="195" t="s">
        <v>20035</v>
      </c>
      <c r="G2532" s="200">
        <v>3.071679575E9</v>
      </c>
      <c r="H2532" s="197">
        <v>23.04</v>
      </c>
      <c r="I2532" s="7" t="s">
        <v>16815</v>
      </c>
      <c r="J2532" s="7" t="s">
        <v>18570</v>
      </c>
      <c r="K2532" s="7" t="s">
        <v>175</v>
      </c>
      <c r="L2532" s="201" t="s">
        <v>16835</v>
      </c>
      <c r="M2532" s="199"/>
      <c r="N2532" s="199"/>
    </row>
    <row r="2533">
      <c r="A2533" s="193" t="s">
        <v>20036</v>
      </c>
      <c r="B2533" s="7" t="s">
        <v>187</v>
      </c>
      <c r="C2533" s="7" t="s">
        <v>16969</v>
      </c>
      <c r="D2533" s="194">
        <v>2020.0</v>
      </c>
      <c r="E2533" s="193"/>
      <c r="F2533" s="195" t="s">
        <v>20037</v>
      </c>
      <c r="G2533" s="196">
        <v>3.067843964E9</v>
      </c>
      <c r="H2533" s="197">
        <v>53.27</v>
      </c>
      <c r="I2533" s="7" t="s">
        <v>16815</v>
      </c>
      <c r="J2533" s="7" t="s">
        <v>187</v>
      </c>
      <c r="K2533" s="7" t="s">
        <v>16969</v>
      </c>
      <c r="L2533" s="198" t="s">
        <v>65</v>
      </c>
      <c r="M2533" s="194"/>
      <c r="N2533" s="194"/>
    </row>
    <row r="2534">
      <c r="A2534" s="193" t="s">
        <v>20038</v>
      </c>
      <c r="B2534" s="7" t="s">
        <v>175</v>
      </c>
      <c r="C2534" s="7" t="s">
        <v>17394</v>
      </c>
      <c r="D2534" s="199"/>
      <c r="E2534" s="193"/>
      <c r="F2534" s="195" t="s">
        <v>20039</v>
      </c>
      <c r="G2534" s="196">
        <v>3.065454751E9</v>
      </c>
      <c r="H2534" s="197">
        <v>37.96</v>
      </c>
      <c r="I2534" s="7" t="s">
        <v>17033</v>
      </c>
      <c r="J2534" s="7" t="s">
        <v>175</v>
      </c>
      <c r="K2534" s="7" t="s">
        <v>17394</v>
      </c>
      <c r="L2534" s="198" t="s">
        <v>65</v>
      </c>
      <c r="M2534" s="199"/>
      <c r="N2534" s="199"/>
    </row>
    <row r="2535">
      <c r="A2535" s="193" t="s">
        <v>20040</v>
      </c>
      <c r="B2535" s="7" t="s">
        <v>16582</v>
      </c>
      <c r="C2535" s="7" t="s">
        <v>16817</v>
      </c>
      <c r="D2535" s="194">
        <v>2021.0</v>
      </c>
      <c r="E2535" s="193"/>
      <c r="F2535" s="195" t="s">
        <v>20041</v>
      </c>
      <c r="G2535" s="196">
        <v>3.063266456E9</v>
      </c>
      <c r="H2535" s="197">
        <v>5.87</v>
      </c>
      <c r="I2535" s="7" t="s">
        <v>16815</v>
      </c>
      <c r="J2535" s="7" t="s">
        <v>16582</v>
      </c>
      <c r="K2535" s="7" t="s">
        <v>16817</v>
      </c>
      <c r="L2535" s="198" t="s">
        <v>65</v>
      </c>
      <c r="M2535" s="194"/>
      <c r="N2535" s="194"/>
    </row>
    <row r="2536">
      <c r="A2536" s="193" t="s">
        <v>20042</v>
      </c>
      <c r="B2536" s="7" t="s">
        <v>187</v>
      </c>
      <c r="C2536" s="7" t="s">
        <v>16846</v>
      </c>
      <c r="D2536" s="194">
        <v>2007.0</v>
      </c>
      <c r="E2536" s="193"/>
      <c r="F2536" s="195" t="s">
        <v>20043</v>
      </c>
      <c r="G2536" s="196">
        <v>3.052688133E9</v>
      </c>
      <c r="H2536" s="197">
        <v>10.41</v>
      </c>
      <c r="I2536" s="7" t="s">
        <v>16815</v>
      </c>
      <c r="J2536" s="7" t="s">
        <v>187</v>
      </c>
      <c r="K2536" s="7" t="s">
        <v>16846</v>
      </c>
      <c r="L2536" s="198" t="s">
        <v>65</v>
      </c>
      <c r="M2536" s="194"/>
      <c r="N2536" s="194"/>
    </row>
    <row r="2537">
      <c r="A2537" s="193" t="s">
        <v>20044</v>
      </c>
      <c r="D2537" s="199"/>
      <c r="E2537" s="193"/>
      <c r="F2537" s="195" t="s">
        <v>20045</v>
      </c>
      <c r="G2537" s="196">
        <v>3.051242787E9</v>
      </c>
      <c r="H2537" s="197">
        <v>65.19</v>
      </c>
      <c r="I2537" s="7" t="s">
        <v>16815</v>
      </c>
      <c r="L2537" s="198" t="s">
        <v>65</v>
      </c>
      <c r="M2537" s="199"/>
      <c r="N2537" s="199"/>
    </row>
    <row r="2538">
      <c r="A2538" s="193" t="s">
        <v>20044</v>
      </c>
      <c r="D2538" s="199"/>
      <c r="E2538" s="193"/>
      <c r="F2538" s="195" t="s">
        <v>20045</v>
      </c>
      <c r="G2538" s="200">
        <v>3.051242787E9</v>
      </c>
      <c r="H2538" s="197">
        <v>65.19</v>
      </c>
      <c r="L2538" s="201" t="s">
        <v>16835</v>
      </c>
      <c r="M2538" s="199"/>
      <c r="N2538" s="199"/>
    </row>
    <row r="2539">
      <c r="A2539" s="193" t="s">
        <v>20046</v>
      </c>
      <c r="B2539" s="7" t="s">
        <v>17202</v>
      </c>
      <c r="C2539" s="7" t="s">
        <v>16838</v>
      </c>
      <c r="D2539" s="194">
        <v>2005.0</v>
      </c>
      <c r="E2539" s="193"/>
      <c r="F2539" s="195" t="s">
        <v>20047</v>
      </c>
      <c r="G2539" s="200">
        <v>3.050322762E9</v>
      </c>
      <c r="H2539" s="197">
        <v>27.05</v>
      </c>
      <c r="I2539" s="7" t="s">
        <v>16815</v>
      </c>
      <c r="J2539" s="7" t="s">
        <v>17202</v>
      </c>
      <c r="K2539" s="7" t="s">
        <v>16838</v>
      </c>
      <c r="L2539" s="201" t="s">
        <v>16835</v>
      </c>
      <c r="M2539" s="194"/>
      <c r="N2539" s="194"/>
    </row>
    <row r="2540">
      <c r="A2540" s="193" t="s">
        <v>20046</v>
      </c>
      <c r="B2540" s="7" t="s">
        <v>16838</v>
      </c>
      <c r="C2540" s="7" t="s">
        <v>17202</v>
      </c>
      <c r="D2540" s="194">
        <v>2005.0</v>
      </c>
      <c r="E2540" s="193"/>
      <c r="F2540" s="195" t="s">
        <v>20047</v>
      </c>
      <c r="G2540" s="196">
        <v>3.050322762E9</v>
      </c>
      <c r="H2540" s="197">
        <v>27.05</v>
      </c>
      <c r="I2540" s="7" t="s">
        <v>16815</v>
      </c>
      <c r="J2540" s="7" t="s">
        <v>16838</v>
      </c>
      <c r="K2540" s="7" t="s">
        <v>17202</v>
      </c>
      <c r="L2540" s="198" t="s">
        <v>65</v>
      </c>
      <c r="M2540" s="194"/>
      <c r="N2540" s="194"/>
    </row>
    <row r="2541">
      <c r="A2541" s="193" t="s">
        <v>20048</v>
      </c>
      <c r="B2541" s="7" t="s">
        <v>187</v>
      </c>
      <c r="C2541" s="7" t="s">
        <v>18633</v>
      </c>
      <c r="D2541" s="199"/>
      <c r="E2541" s="193"/>
      <c r="F2541" s="195" t="s">
        <v>20049</v>
      </c>
      <c r="G2541" s="196">
        <v>3.043059608E9</v>
      </c>
      <c r="H2541" s="197">
        <v>93.25</v>
      </c>
      <c r="I2541" s="7" t="s">
        <v>16815</v>
      </c>
      <c r="J2541" s="7" t="s">
        <v>187</v>
      </c>
      <c r="K2541" s="7" t="s">
        <v>18633</v>
      </c>
      <c r="L2541" s="198" t="s">
        <v>65</v>
      </c>
      <c r="M2541" s="199"/>
      <c r="N2541" s="199"/>
    </row>
    <row r="2542">
      <c r="A2542" s="193" t="s">
        <v>20050</v>
      </c>
      <c r="B2542" s="7" t="s">
        <v>158</v>
      </c>
      <c r="C2542" s="7" t="s">
        <v>16870</v>
      </c>
      <c r="D2542" s="194">
        <v>2007.0</v>
      </c>
      <c r="E2542" s="193"/>
      <c r="F2542" s="195" t="s">
        <v>20051</v>
      </c>
      <c r="G2542" s="196">
        <v>3.042055926E9</v>
      </c>
      <c r="H2542" s="197">
        <v>30.26</v>
      </c>
      <c r="I2542" s="7" t="s">
        <v>16897</v>
      </c>
      <c r="J2542" s="7" t="s">
        <v>158</v>
      </c>
      <c r="K2542" s="7" t="s">
        <v>16870</v>
      </c>
      <c r="L2542" s="198" t="s">
        <v>65</v>
      </c>
      <c r="M2542" s="194"/>
      <c r="N2542" s="194"/>
    </row>
    <row r="2543">
      <c r="A2543" s="193" t="s">
        <v>20050</v>
      </c>
      <c r="B2543" s="7" t="s">
        <v>16870</v>
      </c>
      <c r="C2543" s="7" t="s">
        <v>158</v>
      </c>
      <c r="D2543" s="194">
        <v>2007.0</v>
      </c>
      <c r="E2543" s="193"/>
      <c r="F2543" s="195" t="s">
        <v>20051</v>
      </c>
      <c r="G2543" s="200">
        <v>3.042055926E9</v>
      </c>
      <c r="H2543" s="197">
        <v>30.26</v>
      </c>
      <c r="I2543" s="7" t="s">
        <v>16815</v>
      </c>
      <c r="J2543" s="7" t="s">
        <v>16870</v>
      </c>
      <c r="K2543" s="7" t="s">
        <v>158</v>
      </c>
      <c r="L2543" s="201" t="s">
        <v>16835</v>
      </c>
      <c r="M2543" s="194"/>
      <c r="N2543" s="194"/>
    </row>
    <row r="2544">
      <c r="A2544" s="193" t="s">
        <v>20052</v>
      </c>
      <c r="D2544" s="194">
        <v>1998.0</v>
      </c>
      <c r="E2544" s="193"/>
      <c r="F2544" s="195" t="s">
        <v>20053</v>
      </c>
      <c r="G2544" s="196">
        <v>3.04032456E9</v>
      </c>
      <c r="H2544" s="197">
        <v>25.48</v>
      </c>
      <c r="I2544" s="7" t="s">
        <v>16815</v>
      </c>
      <c r="L2544" s="198" t="s">
        <v>65</v>
      </c>
      <c r="M2544" s="194"/>
      <c r="N2544" s="194"/>
    </row>
    <row r="2545">
      <c r="A2545" s="193" t="s">
        <v>20052</v>
      </c>
      <c r="D2545" s="194">
        <v>1998.0</v>
      </c>
      <c r="E2545" s="193"/>
      <c r="F2545" s="195" t="s">
        <v>20053</v>
      </c>
      <c r="G2545" s="200">
        <v>3.04032456E9</v>
      </c>
      <c r="H2545" s="197">
        <v>25.48</v>
      </c>
      <c r="L2545" s="201" t="s">
        <v>16835</v>
      </c>
      <c r="M2545" s="194"/>
      <c r="N2545" s="194"/>
    </row>
    <row r="2546">
      <c r="A2546" s="193" t="s">
        <v>20054</v>
      </c>
      <c r="B2546" s="7" t="s">
        <v>17629</v>
      </c>
      <c r="C2546" s="7" t="s">
        <v>16899</v>
      </c>
      <c r="D2546" s="194">
        <v>2021.0</v>
      </c>
      <c r="E2546" s="193"/>
      <c r="F2546" s="195" t="s">
        <v>20055</v>
      </c>
      <c r="G2546" s="196">
        <v>3.037158258E9</v>
      </c>
      <c r="H2546" s="197">
        <v>17.15</v>
      </c>
      <c r="I2546" s="7" t="s">
        <v>16815</v>
      </c>
      <c r="J2546" s="7" t="s">
        <v>17629</v>
      </c>
      <c r="K2546" s="7" t="s">
        <v>16899</v>
      </c>
      <c r="L2546" s="198" t="s">
        <v>65</v>
      </c>
      <c r="M2546" s="194"/>
      <c r="N2546" s="194"/>
    </row>
    <row r="2547">
      <c r="A2547" s="193" t="s">
        <v>20056</v>
      </c>
      <c r="B2547" s="7" t="s">
        <v>175</v>
      </c>
      <c r="C2547" s="7" t="s">
        <v>17318</v>
      </c>
      <c r="D2547" s="194">
        <v>2016.0</v>
      </c>
      <c r="E2547" s="193"/>
      <c r="F2547" s="195" t="s">
        <v>20057</v>
      </c>
      <c r="G2547" s="196">
        <v>3.036401482E9</v>
      </c>
      <c r="H2547" s="197">
        <v>6.93</v>
      </c>
      <c r="I2547" s="7" t="s">
        <v>16844</v>
      </c>
      <c r="J2547" s="7" t="s">
        <v>175</v>
      </c>
      <c r="K2547" s="7" t="s">
        <v>17318</v>
      </c>
      <c r="L2547" s="198" t="s">
        <v>65</v>
      </c>
      <c r="M2547" s="194"/>
      <c r="N2547" s="194"/>
    </row>
    <row r="2548">
      <c r="A2548" s="193" t="s">
        <v>20056</v>
      </c>
      <c r="B2548" s="7" t="s">
        <v>17318</v>
      </c>
      <c r="C2548" s="7" t="s">
        <v>175</v>
      </c>
      <c r="D2548" s="194">
        <v>2016.0</v>
      </c>
      <c r="E2548" s="193"/>
      <c r="F2548" s="195" t="s">
        <v>20057</v>
      </c>
      <c r="G2548" s="200">
        <v>3.036401482E9</v>
      </c>
      <c r="H2548" s="197">
        <v>6.93</v>
      </c>
      <c r="I2548" s="7" t="s">
        <v>16815</v>
      </c>
      <c r="J2548" s="7" t="s">
        <v>17318</v>
      </c>
      <c r="K2548" s="7" t="s">
        <v>175</v>
      </c>
      <c r="L2548" s="201" t="s">
        <v>16835</v>
      </c>
      <c r="M2548" s="194"/>
      <c r="N2548" s="194"/>
    </row>
    <row r="2549">
      <c r="A2549" s="193" t="s">
        <v>20058</v>
      </c>
      <c r="B2549" s="7" t="s">
        <v>187</v>
      </c>
      <c r="C2549" s="7" t="s">
        <v>17122</v>
      </c>
      <c r="D2549" s="194">
        <v>1987.0</v>
      </c>
      <c r="E2549" s="193"/>
      <c r="F2549" s="195" t="s">
        <v>20059</v>
      </c>
      <c r="G2549" s="196">
        <v>3.029706645E9</v>
      </c>
      <c r="H2549" s="197">
        <v>98.52</v>
      </c>
      <c r="I2549" s="7" t="s">
        <v>16815</v>
      </c>
      <c r="J2549" s="7" t="s">
        <v>187</v>
      </c>
      <c r="K2549" s="7" t="s">
        <v>17122</v>
      </c>
      <c r="L2549" s="198" t="s">
        <v>65</v>
      </c>
      <c r="M2549" s="194"/>
      <c r="N2549" s="194"/>
    </row>
    <row r="2550">
      <c r="A2550" s="193" t="s">
        <v>20058</v>
      </c>
      <c r="B2550" s="7" t="s">
        <v>17122</v>
      </c>
      <c r="C2550" s="7" t="s">
        <v>187</v>
      </c>
      <c r="D2550" s="194">
        <v>1987.0</v>
      </c>
      <c r="E2550" s="193"/>
      <c r="F2550" s="195" t="s">
        <v>20059</v>
      </c>
      <c r="G2550" s="200">
        <v>3.029706645E9</v>
      </c>
      <c r="H2550" s="197">
        <v>98.52</v>
      </c>
      <c r="I2550" s="7" t="s">
        <v>16815</v>
      </c>
      <c r="J2550" s="7" t="s">
        <v>17122</v>
      </c>
      <c r="K2550" s="7" t="s">
        <v>187</v>
      </c>
      <c r="L2550" s="201" t="s">
        <v>16835</v>
      </c>
      <c r="M2550" s="194"/>
      <c r="N2550" s="194"/>
    </row>
    <row r="2551">
      <c r="A2551" s="193" t="s">
        <v>20060</v>
      </c>
      <c r="B2551" s="7" t="s">
        <v>16582</v>
      </c>
      <c r="C2551" s="7" t="s">
        <v>17339</v>
      </c>
      <c r="D2551" s="199"/>
      <c r="E2551" s="193"/>
      <c r="F2551" s="195" t="s">
        <v>20061</v>
      </c>
      <c r="G2551" s="196">
        <v>3.025402787E9</v>
      </c>
      <c r="H2551" s="197">
        <v>21.87</v>
      </c>
      <c r="I2551" s="7" t="s">
        <v>16815</v>
      </c>
      <c r="J2551" s="7" t="s">
        <v>16582</v>
      </c>
      <c r="K2551" s="7" t="s">
        <v>17339</v>
      </c>
      <c r="L2551" s="198" t="s">
        <v>65</v>
      </c>
      <c r="M2551" s="199"/>
      <c r="N2551" s="199"/>
    </row>
    <row r="2552">
      <c r="A2552" s="193" t="s">
        <v>20060</v>
      </c>
      <c r="B2552" s="7" t="s">
        <v>17339</v>
      </c>
      <c r="C2552" s="7" t="s">
        <v>16582</v>
      </c>
      <c r="D2552" s="199"/>
      <c r="E2552" s="193"/>
      <c r="F2552" s="195" t="s">
        <v>20061</v>
      </c>
      <c r="G2552" s="200">
        <v>3.025402787E9</v>
      </c>
      <c r="H2552" s="197">
        <v>21.87</v>
      </c>
      <c r="I2552" s="7" t="s">
        <v>16815</v>
      </c>
      <c r="J2552" s="7" t="s">
        <v>17339</v>
      </c>
      <c r="K2552" s="7" t="s">
        <v>16582</v>
      </c>
      <c r="L2552" s="201" t="s">
        <v>16835</v>
      </c>
      <c r="M2552" s="199"/>
      <c r="N2552" s="199"/>
    </row>
    <row r="2553">
      <c r="A2553" s="193" t="s">
        <v>20062</v>
      </c>
      <c r="B2553" s="7" t="s">
        <v>16582</v>
      </c>
      <c r="C2553" s="7" t="s">
        <v>16817</v>
      </c>
      <c r="D2553" s="194">
        <v>2017.0</v>
      </c>
      <c r="E2553" s="193"/>
      <c r="F2553" s="195" t="s">
        <v>20063</v>
      </c>
      <c r="G2553" s="196">
        <v>3.022137656E9</v>
      </c>
      <c r="H2553" s="197">
        <v>36.21</v>
      </c>
      <c r="I2553" s="7" t="s">
        <v>16815</v>
      </c>
      <c r="J2553" s="7" t="s">
        <v>16582</v>
      </c>
      <c r="K2553" s="7" t="s">
        <v>16817</v>
      </c>
      <c r="L2553" s="198" t="s">
        <v>65</v>
      </c>
      <c r="M2553" s="194"/>
      <c r="N2553" s="194"/>
    </row>
    <row r="2554">
      <c r="A2554" s="193" t="s">
        <v>20064</v>
      </c>
      <c r="B2554" s="7" t="s">
        <v>158</v>
      </c>
      <c r="C2554" s="7" t="s">
        <v>16864</v>
      </c>
      <c r="D2554" s="199"/>
      <c r="E2554" s="193"/>
      <c r="F2554" s="195" t="s">
        <v>20065</v>
      </c>
      <c r="G2554" s="196">
        <v>3.020959674E9</v>
      </c>
      <c r="H2554" s="197">
        <v>10.85</v>
      </c>
      <c r="I2554" s="7" t="s">
        <v>16897</v>
      </c>
      <c r="J2554" s="7" t="s">
        <v>158</v>
      </c>
      <c r="K2554" s="7" t="s">
        <v>16864</v>
      </c>
      <c r="L2554" s="198" t="s">
        <v>65</v>
      </c>
      <c r="M2554" s="199"/>
      <c r="N2554" s="199"/>
    </row>
    <row r="2555">
      <c r="A2555" s="193" t="s">
        <v>20064</v>
      </c>
      <c r="B2555" s="7" t="s">
        <v>16864</v>
      </c>
      <c r="C2555" s="7" t="s">
        <v>158</v>
      </c>
      <c r="D2555" s="199"/>
      <c r="E2555" s="193"/>
      <c r="F2555" s="195" t="s">
        <v>20065</v>
      </c>
      <c r="G2555" s="200">
        <v>3.020959674E9</v>
      </c>
      <c r="H2555" s="197">
        <v>10.85</v>
      </c>
      <c r="I2555" s="7" t="s">
        <v>16815</v>
      </c>
      <c r="J2555" s="7" t="s">
        <v>16864</v>
      </c>
      <c r="K2555" s="7" t="s">
        <v>158</v>
      </c>
      <c r="L2555" s="201" t="s">
        <v>16835</v>
      </c>
      <c r="M2555" s="199"/>
      <c r="N2555" s="199"/>
    </row>
    <row r="2556">
      <c r="A2556" s="193" t="s">
        <v>20066</v>
      </c>
      <c r="B2556" s="7" t="s">
        <v>16838</v>
      </c>
      <c r="C2556" s="7" t="s">
        <v>17347</v>
      </c>
      <c r="D2556" s="199"/>
      <c r="E2556" s="193"/>
      <c r="F2556" s="195" t="s">
        <v>20067</v>
      </c>
      <c r="G2556" s="196">
        <v>3.015699362E9</v>
      </c>
      <c r="H2556" s="197">
        <v>46.97</v>
      </c>
      <c r="I2556" s="7" t="s">
        <v>16815</v>
      </c>
      <c r="J2556" s="7" t="s">
        <v>16838</v>
      </c>
      <c r="K2556" s="7" t="s">
        <v>17347</v>
      </c>
      <c r="L2556" s="198" t="s">
        <v>65</v>
      </c>
      <c r="M2556" s="199"/>
      <c r="N2556" s="199"/>
    </row>
    <row r="2557">
      <c r="A2557" s="193" t="s">
        <v>20068</v>
      </c>
      <c r="B2557" s="7" t="s">
        <v>16582</v>
      </c>
      <c r="C2557" s="7" t="s">
        <v>16930</v>
      </c>
      <c r="D2557" s="194">
        <v>2018.0</v>
      </c>
      <c r="E2557" s="193"/>
      <c r="F2557" s="195" t="s">
        <v>20069</v>
      </c>
      <c r="G2557" s="196">
        <v>3.0145712E9</v>
      </c>
      <c r="H2557" s="197">
        <v>10.72</v>
      </c>
      <c r="I2557" s="7" t="s">
        <v>16815</v>
      </c>
      <c r="J2557" s="7" t="s">
        <v>16582</v>
      </c>
      <c r="K2557" s="7" t="s">
        <v>16930</v>
      </c>
      <c r="L2557" s="198" t="s">
        <v>65</v>
      </c>
      <c r="M2557" s="194"/>
      <c r="N2557" s="194"/>
    </row>
    <row r="2558">
      <c r="A2558" s="193" t="s">
        <v>20070</v>
      </c>
      <c r="B2558" s="7" t="s">
        <v>175</v>
      </c>
      <c r="C2558" s="7" t="s">
        <v>17218</v>
      </c>
      <c r="D2558" s="194">
        <v>2012.0</v>
      </c>
      <c r="E2558" s="193"/>
      <c r="F2558" s="195" t="s">
        <v>20071</v>
      </c>
      <c r="G2558" s="196">
        <v>3.012117196E9</v>
      </c>
      <c r="H2558" s="197">
        <v>43.99</v>
      </c>
      <c r="I2558" s="7" t="s">
        <v>16856</v>
      </c>
      <c r="J2558" s="7" t="s">
        <v>175</v>
      </c>
      <c r="K2558" s="7" t="s">
        <v>17218</v>
      </c>
      <c r="L2558" s="198" t="s">
        <v>65</v>
      </c>
      <c r="M2558" s="194"/>
      <c r="N2558" s="194"/>
    </row>
    <row r="2559">
      <c r="A2559" s="193" t="s">
        <v>20070</v>
      </c>
      <c r="B2559" s="7" t="s">
        <v>17218</v>
      </c>
      <c r="C2559" s="7" t="s">
        <v>175</v>
      </c>
      <c r="D2559" s="194">
        <v>2012.0</v>
      </c>
      <c r="E2559" s="193"/>
      <c r="F2559" s="195" t="s">
        <v>20071</v>
      </c>
      <c r="G2559" s="200">
        <v>3.012117196E9</v>
      </c>
      <c r="H2559" s="197">
        <v>43.99</v>
      </c>
      <c r="I2559" s="7" t="s">
        <v>16815</v>
      </c>
      <c r="J2559" s="7" t="s">
        <v>17218</v>
      </c>
      <c r="K2559" s="7" t="s">
        <v>175</v>
      </c>
      <c r="L2559" s="201" t="s">
        <v>16835</v>
      </c>
      <c r="M2559" s="194"/>
      <c r="N2559" s="194"/>
    </row>
    <row r="2560">
      <c r="A2560" s="193" t="s">
        <v>20072</v>
      </c>
      <c r="B2560" s="7" t="s">
        <v>16582</v>
      </c>
      <c r="C2560" s="7" t="s">
        <v>16828</v>
      </c>
      <c r="D2560" s="194">
        <v>2000.0</v>
      </c>
      <c r="E2560" s="193"/>
      <c r="F2560" s="195" t="s">
        <v>20073</v>
      </c>
      <c r="G2560" s="196">
        <v>3.011727578E9</v>
      </c>
      <c r="H2560" s="197">
        <v>94.77</v>
      </c>
      <c r="I2560" s="7" t="s">
        <v>16815</v>
      </c>
      <c r="J2560" s="7" t="s">
        <v>16582</v>
      </c>
      <c r="K2560" s="7" t="s">
        <v>16828</v>
      </c>
      <c r="L2560" s="198" t="s">
        <v>65</v>
      </c>
      <c r="M2560" s="194"/>
      <c r="N2560" s="194"/>
    </row>
    <row r="2561">
      <c r="A2561" s="193" t="s">
        <v>20074</v>
      </c>
      <c r="B2561" s="7" t="s">
        <v>169</v>
      </c>
      <c r="C2561" s="7" t="s">
        <v>16899</v>
      </c>
      <c r="D2561" s="194">
        <v>2018.0</v>
      </c>
      <c r="E2561" s="193"/>
      <c r="F2561" s="195" t="s">
        <v>20075</v>
      </c>
      <c r="G2561" s="196">
        <v>3.00291684E9</v>
      </c>
      <c r="H2561" s="197">
        <v>11.37</v>
      </c>
      <c r="I2561" s="7" t="s">
        <v>16815</v>
      </c>
      <c r="J2561" s="7" t="s">
        <v>169</v>
      </c>
      <c r="K2561" s="7" t="s">
        <v>16899</v>
      </c>
      <c r="L2561" s="198" t="s">
        <v>65</v>
      </c>
      <c r="M2561" s="194"/>
      <c r="N2561" s="194"/>
    </row>
    <row r="2562">
      <c r="A2562" s="193" t="s">
        <v>20074</v>
      </c>
      <c r="B2562" s="7" t="s">
        <v>16899</v>
      </c>
      <c r="C2562" s="7" t="s">
        <v>169</v>
      </c>
      <c r="D2562" s="194">
        <v>2018.0</v>
      </c>
      <c r="E2562" s="193"/>
      <c r="F2562" s="195" t="s">
        <v>20075</v>
      </c>
      <c r="G2562" s="200">
        <v>3.00291684E9</v>
      </c>
      <c r="H2562" s="197">
        <v>11.37</v>
      </c>
      <c r="I2562" s="7" t="s">
        <v>16815</v>
      </c>
      <c r="J2562" s="7" t="s">
        <v>16899</v>
      </c>
      <c r="K2562" s="7" t="s">
        <v>169</v>
      </c>
      <c r="L2562" s="201" t="s">
        <v>16835</v>
      </c>
      <c r="M2562" s="194"/>
      <c r="N2562" s="194"/>
    </row>
    <row r="2563">
      <c r="A2563" s="193" t="s">
        <v>20076</v>
      </c>
      <c r="B2563" s="7" t="s">
        <v>175</v>
      </c>
      <c r="C2563" s="7" t="s">
        <v>16861</v>
      </c>
      <c r="D2563" s="199"/>
      <c r="E2563" s="193"/>
      <c r="F2563" s="195" t="s">
        <v>20077</v>
      </c>
      <c r="G2563" s="196">
        <v>3.001767295E9</v>
      </c>
      <c r="H2563" s="197">
        <v>10.97</v>
      </c>
      <c r="I2563" s="7" t="s">
        <v>168</v>
      </c>
      <c r="J2563" s="7" t="s">
        <v>175</v>
      </c>
      <c r="K2563" s="7" t="s">
        <v>16861</v>
      </c>
      <c r="L2563" s="198" t="s">
        <v>65</v>
      </c>
      <c r="M2563" s="199"/>
      <c r="N2563" s="199"/>
    </row>
    <row r="2564">
      <c r="A2564" s="193" t="s">
        <v>20076</v>
      </c>
      <c r="B2564" s="7" t="s">
        <v>16861</v>
      </c>
      <c r="C2564" s="7" t="s">
        <v>175</v>
      </c>
      <c r="D2564" s="199"/>
      <c r="E2564" s="193"/>
      <c r="F2564" s="195" t="s">
        <v>20077</v>
      </c>
      <c r="G2564" s="200">
        <v>3.001767295E9</v>
      </c>
      <c r="H2564" s="197">
        <v>10.97</v>
      </c>
      <c r="I2564" s="7" t="s">
        <v>16815</v>
      </c>
      <c r="J2564" s="7" t="s">
        <v>16861</v>
      </c>
      <c r="K2564" s="7" t="s">
        <v>175</v>
      </c>
      <c r="L2564" s="201" t="s">
        <v>16835</v>
      </c>
      <c r="M2564" s="199"/>
      <c r="N2564" s="199"/>
    </row>
    <row r="2565">
      <c r="A2565" s="193" t="s">
        <v>20078</v>
      </c>
      <c r="B2565" s="7" t="s">
        <v>187</v>
      </c>
      <c r="C2565" s="7" t="s">
        <v>17122</v>
      </c>
      <c r="D2565" s="194">
        <v>2013.0</v>
      </c>
      <c r="E2565" s="193"/>
      <c r="F2565" s="195" t="s">
        <v>20079</v>
      </c>
      <c r="G2565" s="196">
        <v>2.996419439E9</v>
      </c>
      <c r="H2565" s="197">
        <v>46.84</v>
      </c>
      <c r="I2565" s="7" t="s">
        <v>16815</v>
      </c>
      <c r="J2565" s="7" t="s">
        <v>187</v>
      </c>
      <c r="K2565" s="7" t="s">
        <v>17122</v>
      </c>
      <c r="L2565" s="198" t="s">
        <v>65</v>
      </c>
      <c r="M2565" s="194"/>
      <c r="N2565" s="194"/>
    </row>
    <row r="2566">
      <c r="A2566" s="193" t="s">
        <v>20078</v>
      </c>
      <c r="B2566" s="7" t="s">
        <v>17122</v>
      </c>
      <c r="C2566" s="7" t="s">
        <v>187</v>
      </c>
      <c r="D2566" s="194">
        <v>2013.0</v>
      </c>
      <c r="E2566" s="193"/>
      <c r="F2566" s="195" t="s">
        <v>20079</v>
      </c>
      <c r="G2566" s="200">
        <v>2.996419439E9</v>
      </c>
      <c r="H2566" s="197">
        <v>46.84</v>
      </c>
      <c r="I2566" s="7" t="s">
        <v>16815</v>
      </c>
      <c r="J2566" s="7" t="s">
        <v>17122</v>
      </c>
      <c r="K2566" s="7" t="s">
        <v>187</v>
      </c>
      <c r="L2566" s="201" t="s">
        <v>16835</v>
      </c>
      <c r="M2566" s="194"/>
      <c r="N2566" s="194"/>
    </row>
    <row r="2567">
      <c r="A2567" s="193" t="s">
        <v>20080</v>
      </c>
      <c r="B2567" s="7" t="s">
        <v>16919</v>
      </c>
      <c r="C2567" s="7" t="s">
        <v>17413</v>
      </c>
      <c r="D2567" s="199"/>
      <c r="E2567" s="193"/>
      <c r="F2567" s="195" t="s">
        <v>20081</v>
      </c>
      <c r="G2567" s="196">
        <v>2.994170615E9</v>
      </c>
      <c r="H2567" s="197">
        <v>56.92</v>
      </c>
      <c r="I2567" s="7" t="s">
        <v>16815</v>
      </c>
      <c r="J2567" s="7" t="s">
        <v>16919</v>
      </c>
      <c r="K2567" s="7" t="s">
        <v>17413</v>
      </c>
      <c r="L2567" s="198" t="s">
        <v>65</v>
      </c>
      <c r="M2567" s="199"/>
      <c r="N2567" s="199"/>
    </row>
    <row r="2568">
      <c r="A2568" s="193" t="s">
        <v>20080</v>
      </c>
      <c r="B2568" s="7" t="s">
        <v>17413</v>
      </c>
      <c r="C2568" s="7" t="s">
        <v>16919</v>
      </c>
      <c r="D2568" s="199"/>
      <c r="E2568" s="193"/>
      <c r="F2568" s="195" t="s">
        <v>20081</v>
      </c>
      <c r="G2568" s="200">
        <v>2.994170615E9</v>
      </c>
      <c r="H2568" s="197">
        <v>56.92</v>
      </c>
      <c r="I2568" s="7" t="s">
        <v>16815</v>
      </c>
      <c r="J2568" s="7" t="s">
        <v>17413</v>
      </c>
      <c r="K2568" s="7" t="s">
        <v>16919</v>
      </c>
      <c r="L2568" s="201" t="s">
        <v>16835</v>
      </c>
      <c r="M2568" s="199"/>
      <c r="N2568" s="199"/>
    </row>
    <row r="2569">
      <c r="A2569" s="193" t="s">
        <v>20082</v>
      </c>
      <c r="B2569" s="7" t="s">
        <v>169</v>
      </c>
      <c r="C2569" s="7" t="s">
        <v>18098</v>
      </c>
      <c r="D2569" s="199"/>
      <c r="E2569" s="193"/>
      <c r="F2569" s="195" t="s">
        <v>20083</v>
      </c>
      <c r="G2569" s="196">
        <v>2.981976243E9</v>
      </c>
      <c r="H2569" s="197">
        <v>25.28</v>
      </c>
      <c r="I2569" s="7" t="s">
        <v>16815</v>
      </c>
      <c r="J2569" s="7" t="s">
        <v>169</v>
      </c>
      <c r="K2569" s="7" t="s">
        <v>18098</v>
      </c>
      <c r="L2569" s="198" t="s">
        <v>65</v>
      </c>
      <c r="M2569" s="199"/>
      <c r="N2569" s="199"/>
    </row>
    <row r="2570">
      <c r="A2570" s="193" t="s">
        <v>20084</v>
      </c>
      <c r="B2570" s="7" t="s">
        <v>175</v>
      </c>
      <c r="C2570" s="7" t="s">
        <v>16972</v>
      </c>
      <c r="D2570" s="194">
        <v>2012.0</v>
      </c>
      <c r="E2570" s="193"/>
      <c r="F2570" s="195" t="s">
        <v>20085</v>
      </c>
      <c r="G2570" s="196">
        <v>2.981884011E9</v>
      </c>
      <c r="H2570" s="197">
        <v>18.1</v>
      </c>
      <c r="I2570" s="7" t="s">
        <v>168</v>
      </c>
      <c r="J2570" s="7" t="s">
        <v>175</v>
      </c>
      <c r="K2570" s="7" t="s">
        <v>16972</v>
      </c>
      <c r="L2570" s="198" t="s">
        <v>65</v>
      </c>
      <c r="M2570" s="194"/>
      <c r="N2570" s="194"/>
    </row>
    <row r="2571">
      <c r="A2571" s="193" t="s">
        <v>20084</v>
      </c>
      <c r="B2571" s="7" t="s">
        <v>16972</v>
      </c>
      <c r="C2571" s="7" t="s">
        <v>175</v>
      </c>
      <c r="D2571" s="194">
        <v>2012.0</v>
      </c>
      <c r="E2571" s="193"/>
      <c r="F2571" s="195" t="s">
        <v>20085</v>
      </c>
      <c r="G2571" s="200">
        <v>2.981884011E9</v>
      </c>
      <c r="H2571" s="197">
        <v>18.1</v>
      </c>
      <c r="I2571" s="7" t="s">
        <v>16815</v>
      </c>
      <c r="J2571" s="7" t="s">
        <v>16972</v>
      </c>
      <c r="K2571" s="7" t="s">
        <v>175</v>
      </c>
      <c r="L2571" s="201" t="s">
        <v>16835</v>
      </c>
      <c r="M2571" s="194"/>
      <c r="N2571" s="194"/>
    </row>
    <row r="2572">
      <c r="A2572" s="193" t="s">
        <v>20086</v>
      </c>
      <c r="B2572" s="7" t="s">
        <v>17016</v>
      </c>
      <c r="C2572" s="7" t="s">
        <v>16838</v>
      </c>
      <c r="D2572" s="194">
        <v>2020.0</v>
      </c>
      <c r="E2572" s="193"/>
      <c r="F2572" s="195" t="s">
        <v>20087</v>
      </c>
      <c r="G2572" s="200">
        <v>2.980078822E9</v>
      </c>
      <c r="H2572" s="197">
        <v>13.61</v>
      </c>
      <c r="I2572" s="7" t="s">
        <v>16815</v>
      </c>
      <c r="J2572" s="7" t="s">
        <v>17016</v>
      </c>
      <c r="K2572" s="7" t="s">
        <v>16838</v>
      </c>
      <c r="L2572" s="201" t="s">
        <v>16835</v>
      </c>
      <c r="M2572" s="194"/>
      <c r="N2572" s="194"/>
    </row>
    <row r="2573">
      <c r="A2573" s="193" t="s">
        <v>20086</v>
      </c>
      <c r="B2573" s="7" t="s">
        <v>16838</v>
      </c>
      <c r="C2573" s="7" t="s">
        <v>17016</v>
      </c>
      <c r="D2573" s="194">
        <v>2020.0</v>
      </c>
      <c r="E2573" s="193"/>
      <c r="F2573" s="195" t="s">
        <v>20087</v>
      </c>
      <c r="G2573" s="196">
        <v>2.980078822E9</v>
      </c>
      <c r="H2573" s="197">
        <v>13.61</v>
      </c>
      <c r="I2573" s="7" t="s">
        <v>16815</v>
      </c>
      <c r="J2573" s="7" t="s">
        <v>16838</v>
      </c>
      <c r="K2573" s="7" t="s">
        <v>17016</v>
      </c>
      <c r="L2573" s="198" t="s">
        <v>65</v>
      </c>
      <c r="M2573" s="194"/>
      <c r="N2573" s="194"/>
    </row>
    <row r="2574">
      <c r="A2574" s="193" t="s">
        <v>20088</v>
      </c>
      <c r="B2574" s="7" t="s">
        <v>16926</v>
      </c>
      <c r="C2574" s="7" t="s">
        <v>16960</v>
      </c>
      <c r="D2574" s="194">
        <v>2015.0</v>
      </c>
      <c r="E2574" s="193"/>
      <c r="F2574" s="195" t="s">
        <v>20089</v>
      </c>
      <c r="G2574" s="196">
        <v>2.978664784E9</v>
      </c>
      <c r="H2574" s="197">
        <v>530.32</v>
      </c>
      <c r="I2574" s="7" t="s">
        <v>16815</v>
      </c>
      <c r="J2574" s="7" t="s">
        <v>16926</v>
      </c>
      <c r="K2574" s="7" t="s">
        <v>16960</v>
      </c>
      <c r="L2574" s="198" t="s">
        <v>65</v>
      </c>
      <c r="M2574" s="194"/>
      <c r="N2574" s="194"/>
    </row>
    <row r="2575">
      <c r="A2575" s="193" t="s">
        <v>20088</v>
      </c>
      <c r="B2575" s="7" t="s">
        <v>16960</v>
      </c>
      <c r="C2575" s="7" t="s">
        <v>16926</v>
      </c>
      <c r="D2575" s="194">
        <v>2015.0</v>
      </c>
      <c r="E2575" s="193"/>
      <c r="F2575" s="195" t="s">
        <v>20089</v>
      </c>
      <c r="G2575" s="200">
        <v>2.978664784E9</v>
      </c>
      <c r="H2575" s="197">
        <v>530.32</v>
      </c>
      <c r="I2575" s="7" t="s">
        <v>16815</v>
      </c>
      <c r="J2575" s="7" t="s">
        <v>16960</v>
      </c>
      <c r="K2575" s="7" t="s">
        <v>16926</v>
      </c>
      <c r="L2575" s="201" t="s">
        <v>16835</v>
      </c>
      <c r="M2575" s="194"/>
      <c r="N2575" s="194"/>
    </row>
    <row r="2576">
      <c r="A2576" s="193" t="s">
        <v>20090</v>
      </c>
      <c r="B2576" s="7" t="s">
        <v>16919</v>
      </c>
      <c r="C2576" s="7" t="s">
        <v>17176</v>
      </c>
      <c r="D2576" s="199"/>
      <c r="E2576" s="193"/>
      <c r="F2576" s="195" t="s">
        <v>20091</v>
      </c>
      <c r="G2576" s="196">
        <v>2.978210034E9</v>
      </c>
      <c r="H2576" s="197">
        <v>48.63</v>
      </c>
      <c r="I2576" s="7" t="s">
        <v>16815</v>
      </c>
      <c r="J2576" s="7" t="s">
        <v>16919</v>
      </c>
      <c r="K2576" s="7" t="s">
        <v>17176</v>
      </c>
      <c r="L2576" s="198" t="s">
        <v>65</v>
      </c>
      <c r="M2576" s="199"/>
      <c r="N2576" s="199"/>
    </row>
    <row r="2577">
      <c r="A2577" s="193" t="s">
        <v>20092</v>
      </c>
      <c r="B2577" s="7" t="s">
        <v>17202</v>
      </c>
      <c r="C2577" s="7" t="s">
        <v>16838</v>
      </c>
      <c r="D2577" s="194">
        <v>1999.0</v>
      </c>
      <c r="E2577" s="193"/>
      <c r="F2577" s="195" t="s">
        <v>20093</v>
      </c>
      <c r="G2577" s="200">
        <v>2.97781063E9</v>
      </c>
      <c r="H2577" s="197">
        <v>9.85</v>
      </c>
      <c r="I2577" s="7" t="s">
        <v>16815</v>
      </c>
      <c r="J2577" s="7" t="s">
        <v>17202</v>
      </c>
      <c r="K2577" s="7" t="s">
        <v>16838</v>
      </c>
      <c r="L2577" s="201" t="s">
        <v>16835</v>
      </c>
      <c r="M2577" s="194"/>
      <c r="N2577" s="194"/>
    </row>
    <row r="2578">
      <c r="A2578" s="193" t="s">
        <v>20092</v>
      </c>
      <c r="B2578" s="7" t="s">
        <v>16838</v>
      </c>
      <c r="C2578" s="7" t="s">
        <v>17202</v>
      </c>
      <c r="D2578" s="194">
        <v>1999.0</v>
      </c>
      <c r="E2578" s="193"/>
      <c r="F2578" s="195" t="s">
        <v>20093</v>
      </c>
      <c r="G2578" s="196">
        <v>2.97781063E9</v>
      </c>
      <c r="H2578" s="197">
        <v>9.85</v>
      </c>
      <c r="I2578" s="7" t="s">
        <v>16815</v>
      </c>
      <c r="J2578" s="7" t="s">
        <v>16838</v>
      </c>
      <c r="K2578" s="7" t="s">
        <v>17202</v>
      </c>
      <c r="L2578" s="198" t="s">
        <v>65</v>
      </c>
      <c r="M2578" s="194"/>
      <c r="N2578" s="194"/>
    </row>
    <row r="2579">
      <c r="A2579" s="193" t="s">
        <v>20094</v>
      </c>
      <c r="B2579" s="7" t="s">
        <v>16945</v>
      </c>
      <c r="C2579" s="7" t="s">
        <v>169</v>
      </c>
      <c r="D2579" s="199"/>
      <c r="E2579" s="193"/>
      <c r="F2579" s="195" t="s">
        <v>20095</v>
      </c>
      <c r="G2579" s="200">
        <v>2.976420885E9</v>
      </c>
      <c r="H2579" s="197">
        <v>32.65</v>
      </c>
      <c r="I2579" s="7" t="s">
        <v>16815</v>
      </c>
      <c r="J2579" s="7" t="s">
        <v>16945</v>
      </c>
      <c r="K2579" s="7" t="s">
        <v>169</v>
      </c>
      <c r="L2579" s="201" t="s">
        <v>16835</v>
      </c>
      <c r="M2579" s="199"/>
      <c r="N2579" s="199"/>
    </row>
    <row r="2580">
      <c r="A2580" s="193" t="s">
        <v>20094</v>
      </c>
      <c r="B2580" s="7" t="s">
        <v>169</v>
      </c>
      <c r="C2580" s="7" t="s">
        <v>16945</v>
      </c>
      <c r="D2580" s="199"/>
      <c r="E2580" s="193"/>
      <c r="F2580" s="195" t="s">
        <v>20095</v>
      </c>
      <c r="G2580" s="196">
        <v>2.976420885E9</v>
      </c>
      <c r="H2580" s="197">
        <v>32.65</v>
      </c>
      <c r="I2580" s="7" t="s">
        <v>16815</v>
      </c>
      <c r="J2580" s="7" t="s">
        <v>169</v>
      </c>
      <c r="K2580" s="7" t="s">
        <v>16945</v>
      </c>
      <c r="L2580" s="198" t="s">
        <v>65</v>
      </c>
      <c r="M2580" s="199"/>
      <c r="N2580" s="199"/>
    </row>
    <row r="2581">
      <c r="A2581" s="193" t="s">
        <v>20096</v>
      </c>
      <c r="B2581" s="7" t="s">
        <v>16838</v>
      </c>
      <c r="C2581" s="7" t="s">
        <v>17202</v>
      </c>
      <c r="D2581" s="199"/>
      <c r="E2581" s="193"/>
      <c r="F2581" s="195" t="s">
        <v>20097</v>
      </c>
      <c r="G2581" s="196">
        <v>2.976032759E9</v>
      </c>
      <c r="H2581" s="197">
        <v>26.62</v>
      </c>
      <c r="I2581" s="7" t="s">
        <v>16872</v>
      </c>
      <c r="J2581" s="7" t="s">
        <v>16838</v>
      </c>
      <c r="K2581" s="7" t="s">
        <v>17202</v>
      </c>
      <c r="L2581" s="198" t="s">
        <v>65</v>
      </c>
      <c r="M2581" s="199"/>
      <c r="N2581" s="199"/>
    </row>
    <row r="2582">
      <c r="A2582" s="193" t="s">
        <v>20096</v>
      </c>
      <c r="B2582" s="7" t="s">
        <v>17202</v>
      </c>
      <c r="C2582" s="7" t="s">
        <v>16838</v>
      </c>
      <c r="D2582" s="199"/>
      <c r="E2582" s="193"/>
      <c r="F2582" s="195" t="s">
        <v>20098</v>
      </c>
      <c r="G2582" s="200">
        <v>2.976032759E9</v>
      </c>
      <c r="H2582" s="197">
        <v>26.62</v>
      </c>
      <c r="I2582" s="7" t="s">
        <v>16815</v>
      </c>
      <c r="J2582" s="7" t="s">
        <v>17202</v>
      </c>
      <c r="K2582" s="7" t="s">
        <v>16838</v>
      </c>
      <c r="L2582" s="201" t="s">
        <v>16835</v>
      </c>
      <c r="M2582" s="199"/>
      <c r="N2582" s="199"/>
    </row>
    <row r="2583">
      <c r="A2583" s="193" t="s">
        <v>20099</v>
      </c>
      <c r="B2583" s="7" t="s">
        <v>158</v>
      </c>
      <c r="C2583" s="7" t="s">
        <v>20100</v>
      </c>
      <c r="D2583" s="194">
        <v>2017.0</v>
      </c>
      <c r="E2583" s="193"/>
      <c r="F2583" s="195" t="s">
        <v>20101</v>
      </c>
      <c r="G2583" s="196">
        <v>2.974659E9</v>
      </c>
      <c r="H2583" s="197">
        <v>22.69</v>
      </c>
      <c r="I2583" s="7" t="s">
        <v>17095</v>
      </c>
      <c r="J2583" s="7" t="s">
        <v>158</v>
      </c>
      <c r="K2583" s="7" t="s">
        <v>20100</v>
      </c>
      <c r="L2583" s="198" t="s">
        <v>65</v>
      </c>
      <c r="M2583" s="194"/>
      <c r="N2583" s="194"/>
    </row>
    <row r="2584">
      <c r="A2584" s="193" t="s">
        <v>20099</v>
      </c>
      <c r="B2584" s="7" t="s">
        <v>20100</v>
      </c>
      <c r="C2584" s="7" t="s">
        <v>158</v>
      </c>
      <c r="D2584" s="194">
        <v>2017.0</v>
      </c>
      <c r="E2584" s="193"/>
      <c r="F2584" s="195" t="s">
        <v>20101</v>
      </c>
      <c r="G2584" s="200">
        <v>2.974659E9</v>
      </c>
      <c r="H2584" s="197">
        <v>22.69</v>
      </c>
      <c r="I2584" s="7" t="s">
        <v>16815</v>
      </c>
      <c r="J2584" s="7" t="s">
        <v>20100</v>
      </c>
      <c r="K2584" s="7" t="s">
        <v>158</v>
      </c>
      <c r="L2584" s="201" t="s">
        <v>16835</v>
      </c>
      <c r="M2584" s="194"/>
      <c r="N2584" s="194"/>
    </row>
    <row r="2585">
      <c r="A2585" s="193" t="s">
        <v>20102</v>
      </c>
      <c r="B2585" s="7" t="s">
        <v>175</v>
      </c>
      <c r="C2585" s="7" t="s">
        <v>17350</v>
      </c>
      <c r="D2585" s="194">
        <v>2016.0</v>
      </c>
      <c r="E2585" s="193"/>
      <c r="F2585" s="195" t="s">
        <v>20103</v>
      </c>
      <c r="G2585" s="196">
        <v>2.968916883E9</v>
      </c>
      <c r="H2585" s="197">
        <v>31.7</v>
      </c>
      <c r="I2585" s="7" t="s">
        <v>16826</v>
      </c>
      <c r="J2585" s="7" t="s">
        <v>175</v>
      </c>
      <c r="K2585" s="7" t="s">
        <v>17350</v>
      </c>
      <c r="L2585" s="198" t="s">
        <v>65</v>
      </c>
      <c r="M2585" s="194"/>
      <c r="N2585" s="194"/>
    </row>
    <row r="2586">
      <c r="A2586" s="193" t="s">
        <v>20102</v>
      </c>
      <c r="B2586" s="7" t="s">
        <v>17350</v>
      </c>
      <c r="C2586" s="7" t="s">
        <v>175</v>
      </c>
      <c r="D2586" s="194">
        <v>2016.0</v>
      </c>
      <c r="E2586" s="193"/>
      <c r="F2586" s="195" t="s">
        <v>20103</v>
      </c>
      <c r="G2586" s="200">
        <v>2.968916883E9</v>
      </c>
      <c r="H2586" s="197">
        <v>31.7</v>
      </c>
      <c r="I2586" s="7" t="s">
        <v>16815</v>
      </c>
      <c r="J2586" s="7" t="s">
        <v>17350</v>
      </c>
      <c r="K2586" s="7" t="s">
        <v>175</v>
      </c>
      <c r="L2586" s="201" t="s">
        <v>16835</v>
      </c>
      <c r="M2586" s="194"/>
      <c r="N2586" s="194"/>
    </row>
    <row r="2587">
      <c r="A2587" s="193" t="s">
        <v>20104</v>
      </c>
      <c r="B2587" s="7" t="s">
        <v>158</v>
      </c>
      <c r="C2587" s="7" t="s">
        <v>20100</v>
      </c>
      <c r="D2587" s="194">
        <v>2018.0</v>
      </c>
      <c r="E2587" s="193"/>
      <c r="F2587" s="195" t="s">
        <v>20105</v>
      </c>
      <c r="G2587" s="196">
        <v>2.966757884E9</v>
      </c>
      <c r="H2587" s="197">
        <v>223.34</v>
      </c>
      <c r="I2587" s="7" t="s">
        <v>18397</v>
      </c>
      <c r="J2587" s="7" t="s">
        <v>158</v>
      </c>
      <c r="K2587" s="7" t="s">
        <v>20100</v>
      </c>
      <c r="L2587" s="198" t="s">
        <v>65</v>
      </c>
      <c r="M2587" s="194"/>
      <c r="N2587" s="194"/>
    </row>
    <row r="2588">
      <c r="A2588" s="193" t="s">
        <v>20104</v>
      </c>
      <c r="B2588" s="7" t="s">
        <v>20100</v>
      </c>
      <c r="C2588" s="7" t="s">
        <v>158</v>
      </c>
      <c r="D2588" s="194">
        <v>2018.0</v>
      </c>
      <c r="E2588" s="193"/>
      <c r="F2588" s="195" t="s">
        <v>20105</v>
      </c>
      <c r="G2588" s="200">
        <v>2.966757884E9</v>
      </c>
      <c r="H2588" s="197">
        <v>223.34</v>
      </c>
      <c r="I2588" s="7" t="s">
        <v>16815</v>
      </c>
      <c r="J2588" s="7" t="s">
        <v>20100</v>
      </c>
      <c r="K2588" s="7" t="s">
        <v>158</v>
      </c>
      <c r="L2588" s="201" t="s">
        <v>16835</v>
      </c>
      <c r="M2588" s="194"/>
      <c r="N2588" s="194"/>
    </row>
    <row r="2589">
      <c r="A2589" s="193" t="s">
        <v>20106</v>
      </c>
      <c r="B2589" s="7" t="s">
        <v>158</v>
      </c>
      <c r="C2589" s="7" t="s">
        <v>20100</v>
      </c>
      <c r="D2589" s="194">
        <v>2017.0</v>
      </c>
      <c r="E2589" s="193"/>
      <c r="F2589" s="195" t="s">
        <v>20107</v>
      </c>
      <c r="G2589" s="196">
        <v>2.962682215E9</v>
      </c>
      <c r="H2589" s="197">
        <v>95.54</v>
      </c>
      <c r="I2589" s="7" t="s">
        <v>17095</v>
      </c>
      <c r="J2589" s="7" t="s">
        <v>158</v>
      </c>
      <c r="K2589" s="7" t="s">
        <v>20100</v>
      </c>
      <c r="L2589" s="198" t="s">
        <v>65</v>
      </c>
      <c r="M2589" s="194"/>
      <c r="N2589" s="194"/>
    </row>
    <row r="2590">
      <c r="A2590" s="193" t="s">
        <v>20106</v>
      </c>
      <c r="B2590" s="7" t="s">
        <v>20100</v>
      </c>
      <c r="C2590" s="7" t="s">
        <v>158</v>
      </c>
      <c r="D2590" s="194">
        <v>2017.0</v>
      </c>
      <c r="E2590" s="193"/>
      <c r="F2590" s="195" t="s">
        <v>20107</v>
      </c>
      <c r="G2590" s="200">
        <v>2.962682215E9</v>
      </c>
      <c r="H2590" s="197">
        <v>95.54</v>
      </c>
      <c r="I2590" s="7" t="s">
        <v>16815</v>
      </c>
      <c r="J2590" s="7" t="s">
        <v>20100</v>
      </c>
      <c r="K2590" s="7" t="s">
        <v>158</v>
      </c>
      <c r="L2590" s="201" t="s">
        <v>16835</v>
      </c>
      <c r="M2590" s="194"/>
      <c r="N2590" s="194"/>
    </row>
    <row r="2591">
      <c r="A2591" s="193" t="s">
        <v>20108</v>
      </c>
      <c r="B2591" s="7" t="s">
        <v>169</v>
      </c>
      <c r="C2591" s="7" t="s">
        <v>16945</v>
      </c>
      <c r="D2591" s="194">
        <v>1973.0</v>
      </c>
      <c r="E2591" s="193"/>
      <c r="F2591" s="195" t="s">
        <v>20109</v>
      </c>
      <c r="G2591" s="196">
        <v>2.960779786E9</v>
      </c>
      <c r="H2591" s="197">
        <v>218.4</v>
      </c>
      <c r="I2591" s="7" t="s">
        <v>16815</v>
      </c>
      <c r="J2591" s="7" t="s">
        <v>169</v>
      </c>
      <c r="K2591" s="7" t="s">
        <v>16945</v>
      </c>
      <c r="L2591" s="198" t="s">
        <v>65</v>
      </c>
      <c r="M2591" s="194"/>
      <c r="N2591" s="194"/>
    </row>
    <row r="2592">
      <c r="A2592" s="193" t="s">
        <v>20110</v>
      </c>
      <c r="B2592" s="7" t="s">
        <v>169</v>
      </c>
      <c r="C2592" s="7" t="s">
        <v>17827</v>
      </c>
      <c r="D2592" s="194">
        <v>2021.0</v>
      </c>
      <c r="E2592" s="193"/>
      <c r="F2592" s="195" t="s">
        <v>20111</v>
      </c>
      <c r="G2592" s="196">
        <v>2.958397251E9</v>
      </c>
      <c r="H2592" s="197">
        <v>24.84</v>
      </c>
      <c r="I2592" s="7" t="s">
        <v>16815</v>
      </c>
      <c r="J2592" s="7" t="s">
        <v>169</v>
      </c>
      <c r="K2592" s="7" t="s">
        <v>17827</v>
      </c>
      <c r="L2592" s="198" t="s">
        <v>65</v>
      </c>
      <c r="M2592" s="194"/>
      <c r="N2592" s="194"/>
    </row>
    <row r="2593">
      <c r="A2593" s="193" t="s">
        <v>20112</v>
      </c>
      <c r="B2593" s="7" t="s">
        <v>17202</v>
      </c>
      <c r="C2593" s="7" t="s">
        <v>16838</v>
      </c>
      <c r="D2593" s="194">
        <v>2014.0</v>
      </c>
      <c r="E2593" s="193"/>
      <c r="F2593" s="195" t="s">
        <v>20113</v>
      </c>
      <c r="G2593" s="200">
        <v>2.957893313E9</v>
      </c>
      <c r="H2593" s="197">
        <v>41.57</v>
      </c>
      <c r="I2593" s="7" t="s">
        <v>16815</v>
      </c>
      <c r="J2593" s="7" t="s">
        <v>17202</v>
      </c>
      <c r="K2593" s="7" t="s">
        <v>16838</v>
      </c>
      <c r="L2593" s="201" t="s">
        <v>16835</v>
      </c>
      <c r="M2593" s="194"/>
      <c r="N2593" s="194"/>
    </row>
    <row r="2594">
      <c r="A2594" s="193" t="s">
        <v>20112</v>
      </c>
      <c r="B2594" s="7" t="s">
        <v>16838</v>
      </c>
      <c r="C2594" s="7" t="s">
        <v>17202</v>
      </c>
      <c r="D2594" s="194">
        <v>2014.0</v>
      </c>
      <c r="E2594" s="193"/>
      <c r="F2594" s="195" t="s">
        <v>20113</v>
      </c>
      <c r="G2594" s="196">
        <v>2.957893313E9</v>
      </c>
      <c r="H2594" s="197">
        <v>41.57</v>
      </c>
      <c r="I2594" s="7" t="s">
        <v>16815</v>
      </c>
      <c r="J2594" s="7" t="s">
        <v>16838</v>
      </c>
      <c r="K2594" s="7" t="s">
        <v>17202</v>
      </c>
      <c r="L2594" s="198" t="s">
        <v>65</v>
      </c>
      <c r="M2594" s="194"/>
      <c r="N2594" s="194"/>
    </row>
    <row r="2595">
      <c r="A2595" s="193" t="s">
        <v>20114</v>
      </c>
      <c r="B2595" s="7" t="s">
        <v>16969</v>
      </c>
      <c r="C2595" s="7" t="s">
        <v>187</v>
      </c>
      <c r="D2595" s="194">
        <v>2015.0</v>
      </c>
      <c r="E2595" s="193"/>
      <c r="F2595" s="195" t="s">
        <v>20115</v>
      </c>
      <c r="G2595" s="200">
        <v>2.954326634E9</v>
      </c>
      <c r="H2595" s="197">
        <v>60.54</v>
      </c>
      <c r="I2595" s="7" t="s">
        <v>16815</v>
      </c>
      <c r="J2595" s="7" t="s">
        <v>16969</v>
      </c>
      <c r="K2595" s="7" t="s">
        <v>187</v>
      </c>
      <c r="L2595" s="201" t="s">
        <v>16835</v>
      </c>
      <c r="M2595" s="194"/>
      <c r="N2595" s="194"/>
    </row>
    <row r="2596">
      <c r="A2596" s="193" t="s">
        <v>20114</v>
      </c>
      <c r="B2596" s="7" t="s">
        <v>187</v>
      </c>
      <c r="C2596" s="7" t="s">
        <v>16969</v>
      </c>
      <c r="D2596" s="194">
        <v>2015.0</v>
      </c>
      <c r="E2596" s="193"/>
      <c r="F2596" s="195" t="s">
        <v>20115</v>
      </c>
      <c r="G2596" s="196">
        <v>2.954326634E9</v>
      </c>
      <c r="H2596" s="197">
        <v>60.54</v>
      </c>
      <c r="I2596" s="7" t="s">
        <v>16815</v>
      </c>
      <c r="J2596" s="7" t="s">
        <v>187</v>
      </c>
      <c r="K2596" s="7" t="s">
        <v>16969</v>
      </c>
      <c r="L2596" s="198" t="s">
        <v>65</v>
      </c>
      <c r="M2596" s="194"/>
      <c r="N2596" s="194"/>
    </row>
    <row r="2597">
      <c r="A2597" s="193" t="s">
        <v>20116</v>
      </c>
      <c r="B2597" s="7" t="s">
        <v>16945</v>
      </c>
      <c r="C2597" s="7" t="s">
        <v>169</v>
      </c>
      <c r="D2597" s="199"/>
      <c r="E2597" s="193"/>
      <c r="F2597" s="195" t="s">
        <v>20117</v>
      </c>
      <c r="G2597" s="200">
        <v>2.95042547E9</v>
      </c>
      <c r="H2597" s="197">
        <v>164.05</v>
      </c>
      <c r="I2597" s="7" t="s">
        <v>16815</v>
      </c>
      <c r="J2597" s="7" t="s">
        <v>16945</v>
      </c>
      <c r="K2597" s="7" t="s">
        <v>169</v>
      </c>
      <c r="L2597" s="201" t="s">
        <v>16835</v>
      </c>
      <c r="M2597" s="199"/>
      <c r="N2597" s="199"/>
    </row>
    <row r="2598">
      <c r="A2598" s="193" t="s">
        <v>20116</v>
      </c>
      <c r="B2598" s="7" t="s">
        <v>169</v>
      </c>
      <c r="C2598" s="7" t="s">
        <v>16945</v>
      </c>
      <c r="D2598" s="199"/>
      <c r="E2598" s="193"/>
      <c r="F2598" s="195" t="s">
        <v>20117</v>
      </c>
      <c r="G2598" s="196">
        <v>2.95042547E9</v>
      </c>
      <c r="H2598" s="197">
        <v>164.05</v>
      </c>
      <c r="I2598" s="7" t="s">
        <v>16815</v>
      </c>
      <c r="J2598" s="7" t="s">
        <v>169</v>
      </c>
      <c r="K2598" s="7" t="s">
        <v>16945</v>
      </c>
      <c r="L2598" s="198" t="s">
        <v>65</v>
      </c>
      <c r="M2598" s="199"/>
      <c r="N2598" s="199"/>
    </row>
    <row r="2599">
      <c r="A2599" s="193" t="s">
        <v>20118</v>
      </c>
      <c r="B2599" s="7" t="s">
        <v>16885</v>
      </c>
      <c r="C2599" s="7" t="s">
        <v>20119</v>
      </c>
      <c r="D2599" s="194">
        <v>2017.0</v>
      </c>
      <c r="E2599" s="193"/>
      <c r="F2599" s="195" t="s">
        <v>20120</v>
      </c>
      <c r="G2599" s="196">
        <v>2.94273362E9</v>
      </c>
      <c r="H2599" s="197">
        <v>5.99</v>
      </c>
      <c r="I2599" s="7" t="s">
        <v>16826</v>
      </c>
      <c r="J2599" s="7" t="s">
        <v>16885</v>
      </c>
      <c r="K2599" s="7" t="s">
        <v>20119</v>
      </c>
      <c r="L2599" s="198" t="s">
        <v>65</v>
      </c>
      <c r="M2599" s="194"/>
      <c r="N2599" s="194"/>
    </row>
    <row r="2600">
      <c r="A2600" s="193" t="s">
        <v>20118</v>
      </c>
      <c r="B2600" s="7" t="s">
        <v>20119</v>
      </c>
      <c r="C2600" s="7" t="s">
        <v>16885</v>
      </c>
      <c r="D2600" s="194">
        <v>2017.0</v>
      </c>
      <c r="E2600" s="193"/>
      <c r="F2600" s="195" t="s">
        <v>20120</v>
      </c>
      <c r="G2600" s="200">
        <v>2.94273362E9</v>
      </c>
      <c r="H2600" s="197">
        <v>5.99</v>
      </c>
      <c r="I2600" s="7" t="s">
        <v>16815</v>
      </c>
      <c r="J2600" s="7" t="s">
        <v>20119</v>
      </c>
      <c r="K2600" s="7" t="s">
        <v>16885</v>
      </c>
      <c r="L2600" s="201" t="s">
        <v>16835</v>
      </c>
      <c r="M2600" s="194"/>
      <c r="N2600" s="194"/>
    </row>
    <row r="2601">
      <c r="A2601" s="193" t="s">
        <v>20121</v>
      </c>
      <c r="B2601" s="7" t="s">
        <v>16582</v>
      </c>
      <c r="C2601" s="7" t="s">
        <v>16817</v>
      </c>
      <c r="D2601" s="194">
        <v>2021.0</v>
      </c>
      <c r="E2601" s="193"/>
      <c r="F2601" s="195" t="s">
        <v>20122</v>
      </c>
      <c r="G2601" s="196">
        <v>2.940702882E9</v>
      </c>
      <c r="H2601" s="197">
        <v>19.5</v>
      </c>
      <c r="I2601" s="7" t="s">
        <v>16815</v>
      </c>
      <c r="J2601" s="7" t="s">
        <v>16582</v>
      </c>
      <c r="K2601" s="7" t="s">
        <v>16817</v>
      </c>
      <c r="L2601" s="198" t="s">
        <v>65</v>
      </c>
      <c r="M2601" s="194"/>
      <c r="N2601" s="194"/>
    </row>
    <row r="2602">
      <c r="A2602" s="193" t="s">
        <v>20121</v>
      </c>
      <c r="B2602" s="7" t="s">
        <v>16817</v>
      </c>
      <c r="C2602" s="7" t="s">
        <v>16582</v>
      </c>
      <c r="D2602" s="194">
        <v>2021.0</v>
      </c>
      <c r="E2602" s="193"/>
      <c r="F2602" s="195" t="s">
        <v>20122</v>
      </c>
      <c r="G2602" s="200">
        <v>2.940702882E9</v>
      </c>
      <c r="H2602" s="197">
        <v>19.5</v>
      </c>
      <c r="I2602" s="7" t="s">
        <v>16815</v>
      </c>
      <c r="J2602" s="7" t="s">
        <v>16817</v>
      </c>
      <c r="K2602" s="7" t="s">
        <v>16582</v>
      </c>
      <c r="L2602" s="201" t="s">
        <v>16835</v>
      </c>
      <c r="M2602" s="194"/>
      <c r="N2602" s="194"/>
    </row>
    <row r="2603">
      <c r="A2603" s="193" t="s">
        <v>20123</v>
      </c>
      <c r="B2603" s="7" t="s">
        <v>169</v>
      </c>
      <c r="C2603" s="7" t="s">
        <v>17321</v>
      </c>
      <c r="D2603" s="194">
        <v>1992.0</v>
      </c>
      <c r="E2603" s="193"/>
      <c r="F2603" s="195" t="s">
        <v>20124</v>
      </c>
      <c r="G2603" s="196">
        <v>2.939757046E9</v>
      </c>
      <c r="H2603" s="197">
        <v>186.34</v>
      </c>
      <c r="I2603" s="7" t="s">
        <v>16815</v>
      </c>
      <c r="J2603" s="7" t="s">
        <v>169</v>
      </c>
      <c r="K2603" s="7" t="s">
        <v>17321</v>
      </c>
      <c r="L2603" s="198" t="s">
        <v>65</v>
      </c>
      <c r="M2603" s="194"/>
      <c r="N2603" s="194"/>
    </row>
    <row r="2604">
      <c r="A2604" s="193" t="s">
        <v>20125</v>
      </c>
      <c r="B2604" s="7" t="s">
        <v>16582</v>
      </c>
      <c r="C2604" s="7" t="s">
        <v>16828</v>
      </c>
      <c r="D2604" s="194">
        <v>2003.0</v>
      </c>
      <c r="E2604" s="193"/>
      <c r="F2604" s="195" t="s">
        <v>20126</v>
      </c>
      <c r="G2604" s="196">
        <v>2.936200278E9</v>
      </c>
      <c r="H2604" s="197">
        <v>37.72</v>
      </c>
      <c r="I2604" s="7" t="s">
        <v>16815</v>
      </c>
      <c r="J2604" s="7" t="s">
        <v>16582</v>
      </c>
      <c r="K2604" s="7" t="s">
        <v>16828</v>
      </c>
      <c r="L2604" s="198" t="s">
        <v>65</v>
      </c>
      <c r="M2604" s="194"/>
      <c r="N2604" s="194"/>
    </row>
    <row r="2605">
      <c r="A2605" s="193" t="s">
        <v>20127</v>
      </c>
      <c r="B2605" s="7" t="s">
        <v>187</v>
      </c>
      <c r="C2605" s="7" t="s">
        <v>16851</v>
      </c>
      <c r="D2605" s="194">
        <v>1992.0</v>
      </c>
      <c r="E2605" s="193"/>
      <c r="F2605" s="195" t="s">
        <v>20128</v>
      </c>
      <c r="G2605" s="196">
        <v>2.923425E9</v>
      </c>
      <c r="H2605" s="197">
        <v>30.5</v>
      </c>
      <c r="I2605" s="7" t="s">
        <v>16815</v>
      </c>
      <c r="J2605" s="7" t="s">
        <v>187</v>
      </c>
      <c r="K2605" s="7" t="s">
        <v>16851</v>
      </c>
      <c r="L2605" s="198" t="s">
        <v>65</v>
      </c>
      <c r="M2605" s="194"/>
      <c r="N2605" s="194"/>
    </row>
    <row r="2606">
      <c r="A2606" s="193" t="s">
        <v>20129</v>
      </c>
      <c r="B2606" s="7" t="s">
        <v>17111</v>
      </c>
      <c r="C2606" s="7" t="s">
        <v>17112</v>
      </c>
      <c r="D2606" s="194">
        <v>2013.0</v>
      </c>
      <c r="E2606" s="193"/>
      <c r="F2606" s="195" t="s">
        <v>20130</v>
      </c>
      <c r="G2606" s="200">
        <v>2.9167439E9</v>
      </c>
      <c r="H2606" s="197">
        <v>12.98</v>
      </c>
      <c r="I2606" s="7" t="s">
        <v>16815</v>
      </c>
      <c r="J2606" s="7" t="s">
        <v>17111</v>
      </c>
      <c r="K2606" s="7" t="s">
        <v>17112</v>
      </c>
      <c r="L2606" s="201" t="s">
        <v>16835</v>
      </c>
      <c r="M2606" s="194"/>
      <c r="N2606" s="194"/>
    </row>
    <row r="2607">
      <c r="A2607" s="193" t="s">
        <v>20129</v>
      </c>
      <c r="B2607" s="7" t="s">
        <v>17112</v>
      </c>
      <c r="C2607" s="7" t="s">
        <v>17111</v>
      </c>
      <c r="D2607" s="194">
        <v>2013.0</v>
      </c>
      <c r="E2607" s="193"/>
      <c r="F2607" s="195" t="s">
        <v>20130</v>
      </c>
      <c r="G2607" s="196">
        <v>2.9167439E9</v>
      </c>
      <c r="H2607" s="197">
        <v>12.98</v>
      </c>
      <c r="I2607" s="7" t="s">
        <v>16815</v>
      </c>
      <c r="J2607" s="7" t="s">
        <v>17112</v>
      </c>
      <c r="K2607" s="7" t="s">
        <v>17111</v>
      </c>
      <c r="L2607" s="198" t="s">
        <v>65</v>
      </c>
      <c r="M2607" s="194"/>
      <c r="N2607" s="194"/>
    </row>
    <row r="2608">
      <c r="A2608" s="193" t="s">
        <v>20131</v>
      </c>
      <c r="B2608" s="7" t="s">
        <v>16838</v>
      </c>
      <c r="C2608" s="7" t="s">
        <v>17202</v>
      </c>
      <c r="D2608" s="194">
        <v>2013.0</v>
      </c>
      <c r="E2608" s="193"/>
      <c r="F2608" s="195" t="s">
        <v>20132</v>
      </c>
      <c r="G2608" s="196">
        <v>2.912974385E9</v>
      </c>
      <c r="H2608" s="197">
        <v>36.43</v>
      </c>
      <c r="I2608" s="7" t="s">
        <v>16924</v>
      </c>
      <c r="J2608" s="7" t="s">
        <v>16838</v>
      </c>
      <c r="K2608" s="7" t="s">
        <v>17202</v>
      </c>
      <c r="L2608" s="198" t="s">
        <v>65</v>
      </c>
      <c r="M2608" s="194"/>
      <c r="N2608" s="194"/>
    </row>
    <row r="2609">
      <c r="A2609" s="193" t="s">
        <v>20131</v>
      </c>
      <c r="B2609" s="7" t="s">
        <v>17202</v>
      </c>
      <c r="C2609" s="7" t="s">
        <v>16838</v>
      </c>
      <c r="D2609" s="194">
        <v>2013.0</v>
      </c>
      <c r="E2609" s="193"/>
      <c r="F2609" s="195" t="s">
        <v>20132</v>
      </c>
      <c r="G2609" s="200">
        <v>2.912974385E9</v>
      </c>
      <c r="H2609" s="197">
        <v>36.43</v>
      </c>
      <c r="I2609" s="7" t="s">
        <v>16815</v>
      </c>
      <c r="J2609" s="7" t="s">
        <v>17202</v>
      </c>
      <c r="K2609" s="7" t="s">
        <v>16838</v>
      </c>
      <c r="L2609" s="201" t="s">
        <v>16835</v>
      </c>
      <c r="M2609" s="194"/>
      <c r="N2609" s="194"/>
    </row>
    <row r="2610">
      <c r="A2610" s="193" t="s">
        <v>20133</v>
      </c>
      <c r="B2610" s="7" t="s">
        <v>16838</v>
      </c>
      <c r="C2610" s="7" t="s">
        <v>18679</v>
      </c>
      <c r="D2610" s="194">
        <v>2020.0</v>
      </c>
      <c r="E2610" s="193"/>
      <c r="F2610" s="195" t="s">
        <v>20134</v>
      </c>
      <c r="G2610" s="196">
        <v>2.904189753E9</v>
      </c>
      <c r="H2610" s="197">
        <v>26.31</v>
      </c>
      <c r="I2610" s="7" t="s">
        <v>16815</v>
      </c>
      <c r="J2610" s="7" t="s">
        <v>16838</v>
      </c>
      <c r="K2610" s="7" t="s">
        <v>18679</v>
      </c>
      <c r="L2610" s="198" t="s">
        <v>65</v>
      </c>
      <c r="M2610" s="194"/>
      <c r="N2610" s="194"/>
    </row>
    <row r="2611">
      <c r="A2611" s="193" t="s">
        <v>20135</v>
      </c>
      <c r="B2611" s="7" t="s">
        <v>169</v>
      </c>
      <c r="C2611" s="7" t="s">
        <v>16899</v>
      </c>
      <c r="D2611" s="194">
        <v>1992.0</v>
      </c>
      <c r="E2611" s="193"/>
      <c r="F2611" s="195" t="s">
        <v>20136</v>
      </c>
      <c r="G2611" s="196">
        <v>2.903359808E9</v>
      </c>
      <c r="H2611" s="197">
        <v>248.0</v>
      </c>
      <c r="I2611" s="7" t="s">
        <v>16815</v>
      </c>
      <c r="J2611" s="7" t="s">
        <v>169</v>
      </c>
      <c r="K2611" s="7" t="s">
        <v>16899</v>
      </c>
      <c r="L2611" s="198" t="s">
        <v>65</v>
      </c>
      <c r="M2611" s="194"/>
      <c r="N2611" s="194"/>
    </row>
    <row r="2612">
      <c r="A2612" s="193" t="s">
        <v>20135</v>
      </c>
      <c r="B2612" s="7" t="s">
        <v>16899</v>
      </c>
      <c r="C2612" s="7" t="s">
        <v>169</v>
      </c>
      <c r="D2612" s="194">
        <v>1992.0</v>
      </c>
      <c r="E2612" s="193"/>
      <c r="F2612" s="195" t="s">
        <v>20136</v>
      </c>
      <c r="G2612" s="200">
        <v>2.903359808E9</v>
      </c>
      <c r="H2612" s="197">
        <v>248.0</v>
      </c>
      <c r="I2612" s="7" t="s">
        <v>16815</v>
      </c>
      <c r="J2612" s="7" t="s">
        <v>16899</v>
      </c>
      <c r="K2612" s="7" t="s">
        <v>169</v>
      </c>
      <c r="L2612" s="201" t="s">
        <v>16835</v>
      </c>
      <c r="M2612" s="194"/>
      <c r="N2612" s="194"/>
    </row>
    <row r="2613">
      <c r="A2613" s="193" t="s">
        <v>20137</v>
      </c>
      <c r="B2613" s="7" t="s">
        <v>17321</v>
      </c>
      <c r="C2613" s="7" t="s">
        <v>169</v>
      </c>
      <c r="D2613" s="199"/>
      <c r="E2613" s="193"/>
      <c r="F2613" s="195" t="s">
        <v>20138</v>
      </c>
      <c r="G2613" s="200">
        <v>2.900368941E9</v>
      </c>
      <c r="H2613" s="197">
        <v>51.06</v>
      </c>
      <c r="I2613" s="7" t="s">
        <v>16815</v>
      </c>
      <c r="J2613" s="7" t="s">
        <v>17321</v>
      </c>
      <c r="K2613" s="7" t="s">
        <v>169</v>
      </c>
      <c r="L2613" s="201" t="s">
        <v>16835</v>
      </c>
      <c r="M2613" s="199"/>
      <c r="N2613" s="199"/>
    </row>
    <row r="2614">
      <c r="A2614" s="193" t="s">
        <v>20137</v>
      </c>
      <c r="B2614" s="7" t="s">
        <v>169</v>
      </c>
      <c r="C2614" s="7" t="s">
        <v>17321</v>
      </c>
      <c r="D2614" s="199"/>
      <c r="E2614" s="193"/>
      <c r="F2614" s="195" t="s">
        <v>20138</v>
      </c>
      <c r="G2614" s="196">
        <v>2.900368941E9</v>
      </c>
      <c r="H2614" s="197">
        <v>51.06</v>
      </c>
      <c r="I2614" s="7" t="s">
        <v>16815</v>
      </c>
      <c r="J2614" s="7" t="s">
        <v>169</v>
      </c>
      <c r="K2614" s="7" t="s">
        <v>17321</v>
      </c>
      <c r="L2614" s="198" t="s">
        <v>65</v>
      </c>
      <c r="M2614" s="199"/>
      <c r="N2614" s="199"/>
    </row>
    <row r="2615">
      <c r="A2615" s="193" t="s">
        <v>20139</v>
      </c>
      <c r="B2615" s="7" t="s">
        <v>16582</v>
      </c>
      <c r="C2615" s="7" t="s">
        <v>16828</v>
      </c>
      <c r="D2615" s="199"/>
      <c r="E2615" s="193"/>
      <c r="F2615" s="195" t="s">
        <v>20140</v>
      </c>
      <c r="G2615" s="196">
        <v>2.894108679E9</v>
      </c>
      <c r="H2615" s="197">
        <v>63.0</v>
      </c>
      <c r="I2615" s="7" t="s">
        <v>16815</v>
      </c>
      <c r="J2615" s="7" t="s">
        <v>16582</v>
      </c>
      <c r="K2615" s="7" t="s">
        <v>16828</v>
      </c>
      <c r="L2615" s="198" t="s">
        <v>65</v>
      </c>
      <c r="M2615" s="199"/>
      <c r="N2615" s="199"/>
    </row>
    <row r="2616">
      <c r="A2616" s="193" t="s">
        <v>20141</v>
      </c>
      <c r="B2616" s="7" t="s">
        <v>175</v>
      </c>
      <c r="C2616" s="7" t="s">
        <v>16854</v>
      </c>
      <c r="D2616" s="194">
        <v>2021.0</v>
      </c>
      <c r="E2616" s="193"/>
      <c r="F2616" s="195" t="s">
        <v>20142</v>
      </c>
      <c r="G2616" s="196">
        <v>2.8936635E9</v>
      </c>
      <c r="H2616" s="197">
        <v>17.85</v>
      </c>
      <c r="I2616" s="7" t="s">
        <v>16908</v>
      </c>
      <c r="J2616" s="7" t="s">
        <v>175</v>
      </c>
      <c r="K2616" s="7" t="s">
        <v>16854</v>
      </c>
      <c r="L2616" s="198" t="s">
        <v>65</v>
      </c>
      <c r="M2616" s="194"/>
      <c r="N2616" s="194"/>
    </row>
    <row r="2617">
      <c r="A2617" s="193" t="s">
        <v>20143</v>
      </c>
      <c r="B2617" s="7" t="s">
        <v>187</v>
      </c>
      <c r="C2617" s="7" t="s">
        <v>18529</v>
      </c>
      <c r="D2617" s="194">
        <v>2019.0</v>
      </c>
      <c r="E2617" s="193"/>
      <c r="F2617" s="195" t="s">
        <v>20144</v>
      </c>
      <c r="G2617" s="196">
        <v>2.892337361E9</v>
      </c>
      <c r="H2617" s="197">
        <v>30.18</v>
      </c>
      <c r="I2617" s="7" t="s">
        <v>16815</v>
      </c>
      <c r="J2617" s="7" t="s">
        <v>187</v>
      </c>
      <c r="K2617" s="7" t="s">
        <v>18529</v>
      </c>
      <c r="L2617" s="198" t="s">
        <v>65</v>
      </c>
      <c r="M2617" s="194"/>
      <c r="N2617" s="194"/>
    </row>
    <row r="2618">
      <c r="A2618" s="193" t="s">
        <v>20145</v>
      </c>
      <c r="B2618" s="7" t="s">
        <v>187</v>
      </c>
      <c r="C2618" s="7" t="s">
        <v>16846</v>
      </c>
      <c r="D2618" s="199"/>
      <c r="E2618" s="193"/>
      <c r="F2618" s="195" t="s">
        <v>20146</v>
      </c>
      <c r="G2618" s="196">
        <v>2.889920611E9</v>
      </c>
      <c r="H2618" s="197">
        <v>26.96</v>
      </c>
      <c r="I2618" s="7" t="s">
        <v>16815</v>
      </c>
      <c r="J2618" s="7" t="s">
        <v>187</v>
      </c>
      <c r="K2618" s="7" t="s">
        <v>16846</v>
      </c>
      <c r="L2618" s="198" t="s">
        <v>65</v>
      </c>
      <c r="M2618" s="199"/>
      <c r="N2618" s="199"/>
    </row>
    <row r="2619">
      <c r="A2619" s="193" t="s">
        <v>20147</v>
      </c>
      <c r="B2619" s="7" t="s">
        <v>16582</v>
      </c>
      <c r="C2619" s="7" t="s">
        <v>16930</v>
      </c>
      <c r="D2619" s="194">
        <v>2021.0</v>
      </c>
      <c r="E2619" s="193"/>
      <c r="F2619" s="195" t="s">
        <v>20148</v>
      </c>
      <c r="G2619" s="196">
        <v>2.886408574E9</v>
      </c>
      <c r="H2619" s="197">
        <v>7.86</v>
      </c>
      <c r="I2619" s="7" t="s">
        <v>16815</v>
      </c>
      <c r="J2619" s="7" t="s">
        <v>16582</v>
      </c>
      <c r="K2619" s="7" t="s">
        <v>16930</v>
      </c>
      <c r="L2619" s="198" t="s">
        <v>65</v>
      </c>
      <c r="M2619" s="194"/>
      <c r="N2619" s="194"/>
    </row>
    <row r="2620">
      <c r="A2620" s="193" t="s">
        <v>20149</v>
      </c>
      <c r="D2620" s="194">
        <v>2023.0</v>
      </c>
      <c r="E2620" s="193"/>
      <c r="F2620" s="195" t="s">
        <v>20150</v>
      </c>
      <c r="G2620" s="196">
        <v>2.885949825E9</v>
      </c>
      <c r="H2620" s="197">
        <v>34.51</v>
      </c>
      <c r="I2620" s="7" t="s">
        <v>16815</v>
      </c>
      <c r="L2620" s="198" t="s">
        <v>65</v>
      </c>
      <c r="M2620" s="194"/>
      <c r="N2620" s="194"/>
    </row>
    <row r="2621">
      <c r="A2621" s="193" t="s">
        <v>20149</v>
      </c>
      <c r="D2621" s="194">
        <v>2023.0</v>
      </c>
      <c r="E2621" s="193"/>
      <c r="F2621" s="195" t="s">
        <v>20150</v>
      </c>
      <c r="G2621" s="200">
        <v>2.885949825E9</v>
      </c>
      <c r="H2621" s="197">
        <v>34.51</v>
      </c>
      <c r="L2621" s="201" t="s">
        <v>16835</v>
      </c>
      <c r="M2621" s="194"/>
      <c r="N2621" s="194"/>
    </row>
    <row r="2622">
      <c r="A2622" s="193" t="s">
        <v>20151</v>
      </c>
      <c r="B2622" s="7" t="s">
        <v>169</v>
      </c>
      <c r="C2622" s="7" t="s">
        <v>17339</v>
      </c>
      <c r="D2622" s="194">
        <v>1993.0</v>
      </c>
      <c r="E2622" s="193"/>
      <c r="F2622" s="195" t="s">
        <v>20152</v>
      </c>
      <c r="G2622" s="196">
        <v>2.881512052E9</v>
      </c>
      <c r="H2622" s="197">
        <v>63.34</v>
      </c>
      <c r="I2622" s="7" t="s">
        <v>16815</v>
      </c>
      <c r="J2622" s="7" t="s">
        <v>169</v>
      </c>
      <c r="K2622" s="7" t="s">
        <v>17339</v>
      </c>
      <c r="L2622" s="198" t="s">
        <v>65</v>
      </c>
      <c r="M2622" s="194"/>
      <c r="N2622" s="194"/>
    </row>
    <row r="2623">
      <c r="A2623" s="193" t="s">
        <v>20153</v>
      </c>
      <c r="B2623" s="7" t="s">
        <v>16582</v>
      </c>
      <c r="C2623" s="7" t="s">
        <v>16930</v>
      </c>
      <c r="D2623" s="194">
        <v>2012.0</v>
      </c>
      <c r="E2623" s="193"/>
      <c r="F2623" s="195" t="s">
        <v>20154</v>
      </c>
      <c r="G2623" s="196">
        <v>2.873112415E9</v>
      </c>
      <c r="H2623" s="197">
        <v>41.26</v>
      </c>
      <c r="I2623" s="7" t="s">
        <v>16815</v>
      </c>
      <c r="J2623" s="7" t="s">
        <v>16582</v>
      </c>
      <c r="K2623" s="7" t="s">
        <v>16930</v>
      </c>
      <c r="L2623" s="198" t="s">
        <v>65</v>
      </c>
      <c r="M2623" s="194"/>
      <c r="N2623" s="194"/>
    </row>
    <row r="2624">
      <c r="A2624" s="193" t="s">
        <v>20155</v>
      </c>
      <c r="B2624" s="7" t="s">
        <v>169</v>
      </c>
      <c r="C2624" s="7" t="s">
        <v>17022</v>
      </c>
      <c r="D2624" s="194">
        <v>2000.0</v>
      </c>
      <c r="E2624" s="193"/>
      <c r="F2624" s="195" t="s">
        <v>20156</v>
      </c>
      <c r="G2624" s="196">
        <v>2.866904533E9</v>
      </c>
      <c r="H2624" s="197">
        <v>15.61</v>
      </c>
      <c r="I2624" s="7" t="s">
        <v>16815</v>
      </c>
      <c r="J2624" s="7" t="s">
        <v>169</v>
      </c>
      <c r="K2624" s="7" t="s">
        <v>17022</v>
      </c>
      <c r="L2624" s="198" t="s">
        <v>65</v>
      </c>
      <c r="M2624" s="194"/>
      <c r="N2624" s="194"/>
    </row>
    <row r="2625">
      <c r="A2625" s="193" t="s">
        <v>20155</v>
      </c>
      <c r="B2625" s="7" t="s">
        <v>17022</v>
      </c>
      <c r="C2625" s="7" t="s">
        <v>169</v>
      </c>
      <c r="D2625" s="194">
        <v>2000.0</v>
      </c>
      <c r="E2625" s="193"/>
      <c r="F2625" s="195" t="s">
        <v>20156</v>
      </c>
      <c r="G2625" s="200">
        <v>2.866904533E9</v>
      </c>
      <c r="H2625" s="197">
        <v>15.61</v>
      </c>
      <c r="I2625" s="7" t="s">
        <v>16815</v>
      </c>
      <c r="J2625" s="7" t="s">
        <v>17022</v>
      </c>
      <c r="K2625" s="7" t="s">
        <v>169</v>
      </c>
      <c r="L2625" s="201" t="s">
        <v>16835</v>
      </c>
      <c r="M2625" s="194"/>
      <c r="N2625" s="194"/>
    </row>
    <row r="2626">
      <c r="A2626" s="193" t="s">
        <v>20157</v>
      </c>
      <c r="B2626" s="7" t="s">
        <v>17794</v>
      </c>
      <c r="C2626" s="7" t="s">
        <v>16919</v>
      </c>
      <c r="D2626" s="199"/>
      <c r="E2626" s="193"/>
      <c r="F2626" s="195" t="s">
        <v>20158</v>
      </c>
      <c r="G2626" s="200">
        <v>2.86599588E9</v>
      </c>
      <c r="H2626" s="197">
        <v>77.5</v>
      </c>
      <c r="I2626" s="193" t="s">
        <v>16815</v>
      </c>
      <c r="J2626" s="7" t="s">
        <v>17794</v>
      </c>
      <c r="K2626" s="7" t="s">
        <v>16919</v>
      </c>
      <c r="L2626" s="201" t="s">
        <v>16835</v>
      </c>
      <c r="M2626" s="199"/>
      <c r="N2626" s="199"/>
    </row>
    <row r="2627">
      <c r="A2627" s="193" t="s">
        <v>20157</v>
      </c>
      <c r="B2627" s="7" t="s">
        <v>16919</v>
      </c>
      <c r="C2627" s="7" t="s">
        <v>17794</v>
      </c>
      <c r="D2627" s="199"/>
      <c r="E2627" s="193"/>
      <c r="F2627" s="195" t="s">
        <v>20158</v>
      </c>
      <c r="G2627" s="196">
        <v>2.86599588E9</v>
      </c>
      <c r="H2627" s="197">
        <v>77.5</v>
      </c>
      <c r="I2627" s="7" t="s">
        <v>16815</v>
      </c>
      <c r="J2627" s="7" t="s">
        <v>16919</v>
      </c>
      <c r="K2627" s="7" t="s">
        <v>17794</v>
      </c>
      <c r="L2627" s="198" t="s">
        <v>65</v>
      </c>
      <c r="M2627" s="199"/>
      <c r="N2627" s="199"/>
    </row>
    <row r="2628">
      <c r="A2628" s="193" t="s">
        <v>20159</v>
      </c>
      <c r="B2628" s="7" t="s">
        <v>187</v>
      </c>
      <c r="C2628" s="7" t="s">
        <v>16846</v>
      </c>
      <c r="D2628" s="194">
        <v>2014.0</v>
      </c>
      <c r="E2628" s="193"/>
      <c r="F2628" s="195" t="s">
        <v>20160</v>
      </c>
      <c r="G2628" s="196">
        <v>2.864969672E9</v>
      </c>
      <c r="H2628" s="197">
        <v>34.89</v>
      </c>
      <c r="I2628" s="7" t="s">
        <v>16815</v>
      </c>
      <c r="J2628" s="7" t="s">
        <v>187</v>
      </c>
      <c r="K2628" s="7" t="s">
        <v>16846</v>
      </c>
      <c r="L2628" s="198" t="s">
        <v>65</v>
      </c>
      <c r="M2628" s="194"/>
      <c r="N2628" s="194"/>
    </row>
    <row r="2629">
      <c r="A2629" s="193" t="s">
        <v>20161</v>
      </c>
      <c r="B2629" s="7" t="s">
        <v>16582</v>
      </c>
      <c r="C2629" s="7" t="s">
        <v>17183</v>
      </c>
      <c r="D2629" s="194">
        <v>2000.0</v>
      </c>
      <c r="E2629" s="193"/>
      <c r="F2629" s="195" t="s">
        <v>20162</v>
      </c>
      <c r="G2629" s="196">
        <v>2.8647624E9</v>
      </c>
      <c r="H2629" s="197">
        <v>64.29</v>
      </c>
      <c r="I2629" s="7" t="s">
        <v>16815</v>
      </c>
      <c r="J2629" s="7" t="s">
        <v>16582</v>
      </c>
      <c r="K2629" s="7" t="s">
        <v>17183</v>
      </c>
      <c r="L2629" s="198" t="s">
        <v>65</v>
      </c>
      <c r="M2629" s="194"/>
      <c r="N2629" s="194"/>
    </row>
    <row r="2630">
      <c r="A2630" s="193" t="s">
        <v>20163</v>
      </c>
      <c r="B2630" s="7" t="s">
        <v>187</v>
      </c>
      <c r="C2630" s="7" t="s">
        <v>16846</v>
      </c>
      <c r="D2630" s="194">
        <v>2005.0</v>
      </c>
      <c r="E2630" s="193"/>
      <c r="F2630" s="195" t="s">
        <v>20164</v>
      </c>
      <c r="G2630" s="196">
        <v>2.862496169E9</v>
      </c>
      <c r="H2630" s="197">
        <v>57.69</v>
      </c>
      <c r="I2630" s="7" t="s">
        <v>16815</v>
      </c>
      <c r="J2630" s="7" t="s">
        <v>187</v>
      </c>
      <c r="K2630" s="7" t="s">
        <v>16846</v>
      </c>
      <c r="L2630" s="198" t="s">
        <v>65</v>
      </c>
      <c r="M2630" s="194"/>
      <c r="N2630" s="194"/>
    </row>
    <row r="2631">
      <c r="A2631" s="193" t="s">
        <v>20163</v>
      </c>
      <c r="B2631" s="7" t="s">
        <v>16846</v>
      </c>
      <c r="C2631" s="7" t="s">
        <v>187</v>
      </c>
      <c r="D2631" s="194">
        <v>2005.0</v>
      </c>
      <c r="E2631" s="193"/>
      <c r="F2631" s="195" t="s">
        <v>20164</v>
      </c>
      <c r="G2631" s="200">
        <v>2.862496169E9</v>
      </c>
      <c r="H2631" s="197">
        <v>57.69</v>
      </c>
      <c r="I2631" s="7" t="s">
        <v>16815</v>
      </c>
      <c r="J2631" s="7" t="s">
        <v>16846</v>
      </c>
      <c r="K2631" s="7" t="s">
        <v>187</v>
      </c>
      <c r="L2631" s="201" t="s">
        <v>16835</v>
      </c>
      <c r="M2631" s="194"/>
      <c r="N2631" s="194"/>
    </row>
    <row r="2632">
      <c r="A2632" s="193" t="s">
        <v>20165</v>
      </c>
      <c r="B2632" s="7" t="s">
        <v>187</v>
      </c>
      <c r="C2632" s="7" t="s">
        <v>16969</v>
      </c>
      <c r="D2632" s="199"/>
      <c r="E2632" s="193"/>
      <c r="F2632" s="195" t="s">
        <v>20166</v>
      </c>
      <c r="G2632" s="196">
        <v>2.859114487E9</v>
      </c>
      <c r="H2632" s="197">
        <v>47.53</v>
      </c>
      <c r="I2632" s="7" t="s">
        <v>16815</v>
      </c>
      <c r="J2632" s="7" t="s">
        <v>187</v>
      </c>
      <c r="K2632" s="7" t="s">
        <v>16969</v>
      </c>
      <c r="L2632" s="198" t="s">
        <v>65</v>
      </c>
      <c r="M2632" s="199"/>
      <c r="N2632" s="199"/>
    </row>
    <row r="2633">
      <c r="A2633" s="193" t="s">
        <v>20167</v>
      </c>
      <c r="B2633" s="7" t="s">
        <v>175</v>
      </c>
      <c r="C2633" s="7" t="s">
        <v>17318</v>
      </c>
      <c r="D2633" s="194">
        <v>2021.0</v>
      </c>
      <c r="E2633" s="193"/>
      <c r="F2633" s="195" t="s">
        <v>20168</v>
      </c>
      <c r="G2633" s="196">
        <v>2.8559544E9</v>
      </c>
      <c r="H2633" s="197">
        <v>11.49</v>
      </c>
      <c r="I2633" s="7" t="s">
        <v>16856</v>
      </c>
      <c r="J2633" s="7" t="s">
        <v>175</v>
      </c>
      <c r="K2633" s="7" t="s">
        <v>17318</v>
      </c>
      <c r="L2633" s="198" t="s">
        <v>65</v>
      </c>
      <c r="M2633" s="194"/>
      <c r="N2633" s="194"/>
    </row>
    <row r="2634">
      <c r="A2634" s="193" t="s">
        <v>20167</v>
      </c>
      <c r="B2634" s="7" t="s">
        <v>17318</v>
      </c>
      <c r="C2634" s="7" t="s">
        <v>175</v>
      </c>
      <c r="D2634" s="194">
        <v>2021.0</v>
      </c>
      <c r="E2634" s="193"/>
      <c r="F2634" s="195" t="s">
        <v>20168</v>
      </c>
      <c r="G2634" s="200">
        <v>2.8559544E9</v>
      </c>
      <c r="H2634" s="197">
        <v>11.49</v>
      </c>
      <c r="I2634" s="7" t="s">
        <v>16815</v>
      </c>
      <c r="J2634" s="7" t="s">
        <v>17318</v>
      </c>
      <c r="K2634" s="7" t="s">
        <v>175</v>
      </c>
      <c r="L2634" s="201" t="s">
        <v>16835</v>
      </c>
      <c r="M2634" s="194"/>
      <c r="N2634" s="194"/>
    </row>
    <row r="2635">
      <c r="A2635" s="193" t="s">
        <v>20169</v>
      </c>
      <c r="B2635" s="7" t="s">
        <v>16582</v>
      </c>
      <c r="C2635" s="7" t="s">
        <v>16817</v>
      </c>
      <c r="D2635" s="194">
        <v>2021.0</v>
      </c>
      <c r="E2635" s="193"/>
      <c r="F2635" s="195" t="s">
        <v>20170</v>
      </c>
      <c r="G2635" s="196">
        <v>2.84653941E9</v>
      </c>
      <c r="H2635" s="197">
        <v>18.66</v>
      </c>
      <c r="I2635" s="7" t="s">
        <v>16815</v>
      </c>
      <c r="J2635" s="7" t="s">
        <v>16582</v>
      </c>
      <c r="K2635" s="7" t="s">
        <v>16817</v>
      </c>
      <c r="L2635" s="198" t="s">
        <v>65</v>
      </c>
      <c r="M2635" s="194"/>
      <c r="N2635" s="194"/>
    </row>
    <row r="2636">
      <c r="A2636" s="193" t="s">
        <v>20169</v>
      </c>
      <c r="B2636" s="7" t="s">
        <v>16817</v>
      </c>
      <c r="C2636" s="7" t="s">
        <v>16582</v>
      </c>
      <c r="D2636" s="194">
        <v>2021.0</v>
      </c>
      <c r="E2636" s="193"/>
      <c r="F2636" s="195" t="s">
        <v>20170</v>
      </c>
      <c r="G2636" s="200">
        <v>2.84653941E9</v>
      </c>
      <c r="H2636" s="197">
        <v>18.66</v>
      </c>
      <c r="I2636" s="7" t="s">
        <v>16815</v>
      </c>
      <c r="J2636" s="7" t="s">
        <v>16817</v>
      </c>
      <c r="K2636" s="7" t="s">
        <v>16582</v>
      </c>
      <c r="L2636" s="201" t="s">
        <v>16835</v>
      </c>
      <c r="M2636" s="194"/>
      <c r="N2636" s="194"/>
    </row>
    <row r="2637">
      <c r="A2637" s="193" t="s">
        <v>20171</v>
      </c>
      <c r="B2637" s="7" t="s">
        <v>169</v>
      </c>
      <c r="C2637" s="7" t="s">
        <v>16945</v>
      </c>
      <c r="D2637" s="199"/>
      <c r="E2637" s="193"/>
      <c r="F2637" s="195" t="s">
        <v>20172</v>
      </c>
      <c r="G2637" s="196">
        <v>2.845351487E9</v>
      </c>
      <c r="H2637" s="197">
        <v>42.23</v>
      </c>
      <c r="I2637" s="7" t="s">
        <v>16815</v>
      </c>
      <c r="J2637" s="7" t="s">
        <v>169</v>
      </c>
      <c r="K2637" s="7" t="s">
        <v>16945</v>
      </c>
      <c r="L2637" s="198" t="s">
        <v>65</v>
      </c>
      <c r="M2637" s="199"/>
      <c r="N2637" s="199"/>
    </row>
    <row r="2638">
      <c r="A2638" s="193" t="s">
        <v>20173</v>
      </c>
      <c r="B2638" s="7" t="s">
        <v>17104</v>
      </c>
      <c r="C2638" s="7" t="s">
        <v>16838</v>
      </c>
      <c r="D2638" s="194">
        <v>2021.0</v>
      </c>
      <c r="E2638" s="193"/>
      <c r="F2638" s="195" t="s">
        <v>20174</v>
      </c>
      <c r="G2638" s="200">
        <v>2.842722084E9</v>
      </c>
      <c r="H2638" s="197">
        <v>8.47</v>
      </c>
      <c r="I2638" s="7" t="s">
        <v>16815</v>
      </c>
      <c r="J2638" s="7" t="s">
        <v>17104</v>
      </c>
      <c r="K2638" s="7" t="s">
        <v>16838</v>
      </c>
      <c r="L2638" s="201" t="s">
        <v>16835</v>
      </c>
      <c r="M2638" s="194"/>
      <c r="N2638" s="194"/>
    </row>
    <row r="2639">
      <c r="A2639" s="193" t="s">
        <v>20173</v>
      </c>
      <c r="B2639" s="7" t="s">
        <v>16838</v>
      </c>
      <c r="C2639" s="7" t="s">
        <v>17104</v>
      </c>
      <c r="D2639" s="194">
        <v>2021.0</v>
      </c>
      <c r="E2639" s="193"/>
      <c r="F2639" s="195" t="s">
        <v>20174</v>
      </c>
      <c r="G2639" s="196">
        <v>2.842722084E9</v>
      </c>
      <c r="H2639" s="197">
        <v>8.47</v>
      </c>
      <c r="I2639" s="7" t="s">
        <v>16815</v>
      </c>
      <c r="J2639" s="7" t="s">
        <v>16838</v>
      </c>
      <c r="K2639" s="7" t="s">
        <v>17104</v>
      </c>
      <c r="L2639" s="198" t="s">
        <v>65</v>
      </c>
      <c r="M2639" s="194"/>
      <c r="N2639" s="194"/>
    </row>
    <row r="2640">
      <c r="A2640" s="193" t="s">
        <v>20175</v>
      </c>
      <c r="B2640" s="7" t="s">
        <v>187</v>
      </c>
      <c r="C2640" s="7" t="s">
        <v>16846</v>
      </c>
      <c r="D2640" s="194">
        <v>2021.0</v>
      </c>
      <c r="E2640" s="193"/>
      <c r="F2640" s="195" t="s">
        <v>20176</v>
      </c>
      <c r="G2640" s="196">
        <v>2.842343846E9</v>
      </c>
      <c r="H2640" s="197">
        <v>11.12</v>
      </c>
      <c r="I2640" s="7" t="s">
        <v>16815</v>
      </c>
      <c r="J2640" s="7" t="s">
        <v>187</v>
      </c>
      <c r="K2640" s="7" t="s">
        <v>16846</v>
      </c>
      <c r="L2640" s="198" t="s">
        <v>65</v>
      </c>
      <c r="M2640" s="194"/>
      <c r="N2640" s="194"/>
    </row>
    <row r="2641">
      <c r="A2641" s="193" t="s">
        <v>20175</v>
      </c>
      <c r="B2641" s="7" t="s">
        <v>16846</v>
      </c>
      <c r="C2641" s="7" t="s">
        <v>187</v>
      </c>
      <c r="D2641" s="194">
        <v>2021.0</v>
      </c>
      <c r="E2641" s="193"/>
      <c r="F2641" s="195" t="s">
        <v>20176</v>
      </c>
      <c r="G2641" s="200">
        <v>2.842343846E9</v>
      </c>
      <c r="H2641" s="197">
        <v>11.12</v>
      </c>
      <c r="I2641" s="7" t="s">
        <v>16815</v>
      </c>
      <c r="J2641" s="7" t="s">
        <v>16846</v>
      </c>
      <c r="K2641" s="7" t="s">
        <v>187</v>
      </c>
      <c r="L2641" s="201" t="s">
        <v>16835</v>
      </c>
      <c r="M2641" s="194"/>
      <c r="N2641" s="194"/>
    </row>
    <row r="2642">
      <c r="A2642" s="193" t="s">
        <v>20177</v>
      </c>
      <c r="B2642" s="7" t="s">
        <v>17112</v>
      </c>
      <c r="C2642" s="7" t="s">
        <v>17457</v>
      </c>
      <c r="D2642" s="199"/>
      <c r="E2642" s="193"/>
      <c r="F2642" s="195" t="s">
        <v>20178</v>
      </c>
      <c r="G2642" s="196">
        <v>2.840967187E9</v>
      </c>
      <c r="H2642" s="197">
        <v>48.67</v>
      </c>
      <c r="I2642" s="7" t="s">
        <v>16815</v>
      </c>
      <c r="J2642" s="7" t="s">
        <v>17112</v>
      </c>
      <c r="K2642" s="7" t="s">
        <v>17457</v>
      </c>
      <c r="L2642" s="198" t="s">
        <v>65</v>
      </c>
      <c r="M2642" s="199"/>
      <c r="N2642" s="199"/>
    </row>
    <row r="2643">
      <c r="A2643" s="193" t="s">
        <v>20177</v>
      </c>
      <c r="B2643" s="7" t="s">
        <v>17457</v>
      </c>
      <c r="C2643" s="7" t="s">
        <v>17112</v>
      </c>
      <c r="D2643" s="199"/>
      <c r="E2643" s="193"/>
      <c r="F2643" s="195" t="s">
        <v>20178</v>
      </c>
      <c r="G2643" s="200">
        <v>2.840967187E9</v>
      </c>
      <c r="H2643" s="197">
        <v>48.67</v>
      </c>
      <c r="I2643" s="7" t="s">
        <v>16815</v>
      </c>
      <c r="J2643" s="7" t="s">
        <v>17457</v>
      </c>
      <c r="K2643" s="7" t="s">
        <v>17112</v>
      </c>
      <c r="L2643" s="201" t="s">
        <v>16835</v>
      </c>
      <c r="M2643" s="199"/>
      <c r="N2643" s="199"/>
    </row>
    <row r="2644">
      <c r="A2644" s="193" t="s">
        <v>20179</v>
      </c>
      <c r="B2644" s="7" t="s">
        <v>16582</v>
      </c>
      <c r="C2644" s="7" t="s">
        <v>16817</v>
      </c>
      <c r="D2644" s="199"/>
      <c r="E2644" s="193"/>
      <c r="F2644" s="195" t="s">
        <v>20180</v>
      </c>
      <c r="G2644" s="196">
        <v>2.837658164E9</v>
      </c>
      <c r="H2644" s="197">
        <v>26.1</v>
      </c>
      <c r="I2644" s="7" t="s">
        <v>16815</v>
      </c>
      <c r="J2644" s="7" t="s">
        <v>16582</v>
      </c>
      <c r="K2644" s="7" t="s">
        <v>16817</v>
      </c>
      <c r="L2644" s="198" t="s">
        <v>65</v>
      </c>
      <c r="M2644" s="199"/>
      <c r="N2644" s="199"/>
    </row>
    <row r="2645">
      <c r="A2645" s="193" t="s">
        <v>20181</v>
      </c>
      <c r="B2645" s="7" t="s">
        <v>169</v>
      </c>
      <c r="C2645" s="7" t="s">
        <v>18732</v>
      </c>
      <c r="D2645" s="199"/>
      <c r="E2645" s="193"/>
      <c r="F2645" s="195" t="s">
        <v>20182</v>
      </c>
      <c r="G2645" s="196">
        <v>2.833128E9</v>
      </c>
      <c r="H2645" s="197">
        <v>6.84</v>
      </c>
      <c r="I2645" s="7" t="s">
        <v>16815</v>
      </c>
      <c r="J2645" s="7" t="s">
        <v>169</v>
      </c>
      <c r="K2645" s="7" t="s">
        <v>18732</v>
      </c>
      <c r="L2645" s="198" t="s">
        <v>65</v>
      </c>
      <c r="M2645" s="199"/>
      <c r="N2645" s="199"/>
    </row>
    <row r="2646">
      <c r="A2646" s="193" t="s">
        <v>20183</v>
      </c>
      <c r="B2646" s="7" t="s">
        <v>17794</v>
      </c>
      <c r="C2646" s="7" t="s">
        <v>16919</v>
      </c>
      <c r="D2646" s="199"/>
      <c r="E2646" s="193"/>
      <c r="F2646" s="195" t="s">
        <v>20184</v>
      </c>
      <c r="G2646" s="200">
        <v>2.82841611E9</v>
      </c>
      <c r="H2646" s="197">
        <v>49.01</v>
      </c>
      <c r="I2646" s="193" t="s">
        <v>16815</v>
      </c>
      <c r="J2646" s="7" t="s">
        <v>17794</v>
      </c>
      <c r="K2646" s="7" t="s">
        <v>16919</v>
      </c>
      <c r="L2646" s="201" t="s">
        <v>16835</v>
      </c>
      <c r="M2646" s="199"/>
      <c r="N2646" s="199"/>
    </row>
    <row r="2647">
      <c r="A2647" s="193" t="s">
        <v>20183</v>
      </c>
      <c r="B2647" s="7" t="s">
        <v>16919</v>
      </c>
      <c r="C2647" s="7" t="s">
        <v>17794</v>
      </c>
      <c r="D2647" s="199"/>
      <c r="E2647" s="193"/>
      <c r="F2647" s="195" t="s">
        <v>20184</v>
      </c>
      <c r="G2647" s="196">
        <v>2.82841611E9</v>
      </c>
      <c r="H2647" s="197">
        <v>49.01</v>
      </c>
      <c r="I2647" s="7" t="s">
        <v>16815</v>
      </c>
      <c r="J2647" s="7" t="s">
        <v>16919</v>
      </c>
      <c r="K2647" s="7" t="s">
        <v>17794</v>
      </c>
      <c r="L2647" s="198" t="s">
        <v>65</v>
      </c>
      <c r="M2647" s="199"/>
      <c r="N2647" s="199"/>
    </row>
    <row r="2648">
      <c r="A2648" s="193" t="s">
        <v>20185</v>
      </c>
      <c r="B2648" s="7" t="s">
        <v>187</v>
      </c>
      <c r="C2648" s="7" t="s">
        <v>16969</v>
      </c>
      <c r="D2648" s="199"/>
      <c r="E2648" s="193"/>
      <c r="F2648" s="195" t="s">
        <v>20186</v>
      </c>
      <c r="G2648" s="196">
        <v>2.826837036E9</v>
      </c>
      <c r="H2648" s="197">
        <v>36.16</v>
      </c>
      <c r="I2648" s="7" t="s">
        <v>16815</v>
      </c>
      <c r="J2648" s="7" t="s">
        <v>187</v>
      </c>
      <c r="K2648" s="7" t="s">
        <v>16969</v>
      </c>
      <c r="L2648" s="198" t="s">
        <v>65</v>
      </c>
      <c r="M2648" s="199"/>
      <c r="N2648" s="199"/>
    </row>
    <row r="2649">
      <c r="A2649" s="193" t="s">
        <v>20187</v>
      </c>
      <c r="B2649" s="7" t="s">
        <v>17202</v>
      </c>
      <c r="C2649" s="7" t="s">
        <v>16838</v>
      </c>
      <c r="D2649" s="199"/>
      <c r="E2649" s="193"/>
      <c r="F2649" s="195" t="s">
        <v>20188</v>
      </c>
      <c r="G2649" s="200">
        <v>2.826571435E9</v>
      </c>
      <c r="H2649" s="197">
        <v>32.77</v>
      </c>
      <c r="I2649" s="7" t="s">
        <v>16815</v>
      </c>
      <c r="J2649" s="7" t="s">
        <v>17202</v>
      </c>
      <c r="K2649" s="7" t="s">
        <v>16838</v>
      </c>
      <c r="L2649" s="201" t="s">
        <v>16835</v>
      </c>
      <c r="M2649" s="199"/>
      <c r="N2649" s="199"/>
    </row>
    <row r="2650">
      <c r="A2650" s="193" t="s">
        <v>20187</v>
      </c>
      <c r="B2650" s="7" t="s">
        <v>16838</v>
      </c>
      <c r="C2650" s="7" t="s">
        <v>17202</v>
      </c>
      <c r="D2650" s="199"/>
      <c r="E2650" s="193"/>
      <c r="F2650" s="195" t="s">
        <v>20188</v>
      </c>
      <c r="G2650" s="196">
        <v>2.826571435E9</v>
      </c>
      <c r="H2650" s="197">
        <v>32.77</v>
      </c>
      <c r="I2650" s="7" t="s">
        <v>16815</v>
      </c>
      <c r="J2650" s="7" t="s">
        <v>16838</v>
      </c>
      <c r="K2650" s="7" t="s">
        <v>17202</v>
      </c>
      <c r="L2650" s="198" t="s">
        <v>65</v>
      </c>
      <c r="M2650" s="199"/>
      <c r="N2650" s="199"/>
    </row>
    <row r="2651">
      <c r="A2651" s="193" t="s">
        <v>20189</v>
      </c>
      <c r="B2651" s="7" t="s">
        <v>16582</v>
      </c>
      <c r="C2651" s="7" t="s">
        <v>16817</v>
      </c>
      <c r="D2651" s="194">
        <v>2015.0</v>
      </c>
      <c r="E2651" s="193"/>
      <c r="F2651" s="195" t="s">
        <v>20190</v>
      </c>
      <c r="G2651" s="196">
        <v>2.824188576E9</v>
      </c>
      <c r="H2651" s="197">
        <v>56.59</v>
      </c>
      <c r="I2651" s="7" t="s">
        <v>16815</v>
      </c>
      <c r="J2651" s="7" t="s">
        <v>16582</v>
      </c>
      <c r="K2651" s="7" t="s">
        <v>16817</v>
      </c>
      <c r="L2651" s="198" t="s">
        <v>65</v>
      </c>
      <c r="M2651" s="194"/>
      <c r="N2651" s="194"/>
    </row>
    <row r="2652">
      <c r="A2652" s="193" t="s">
        <v>20191</v>
      </c>
      <c r="B2652" s="7" t="s">
        <v>175</v>
      </c>
      <c r="C2652" s="7" t="s">
        <v>17391</v>
      </c>
      <c r="D2652" s="199"/>
      <c r="E2652" s="193"/>
      <c r="F2652" s="195" t="s">
        <v>20192</v>
      </c>
      <c r="G2652" s="196">
        <v>2.823831133E9</v>
      </c>
      <c r="H2652" s="197">
        <v>60.75</v>
      </c>
      <c r="I2652" s="7" t="s">
        <v>16856</v>
      </c>
      <c r="J2652" s="7" t="s">
        <v>175</v>
      </c>
      <c r="K2652" s="7" t="s">
        <v>17391</v>
      </c>
      <c r="L2652" s="198" t="s">
        <v>65</v>
      </c>
      <c r="M2652" s="199"/>
      <c r="N2652" s="199"/>
    </row>
    <row r="2653">
      <c r="A2653" s="193" t="s">
        <v>20193</v>
      </c>
      <c r="B2653" s="7" t="s">
        <v>16969</v>
      </c>
      <c r="C2653" s="7" t="s">
        <v>187</v>
      </c>
      <c r="D2653" s="199"/>
      <c r="E2653" s="193"/>
      <c r="F2653" s="195" t="s">
        <v>20194</v>
      </c>
      <c r="G2653" s="200">
        <v>2.820434136E9</v>
      </c>
      <c r="H2653" s="197">
        <v>84.63</v>
      </c>
      <c r="I2653" s="7" t="s">
        <v>16815</v>
      </c>
      <c r="J2653" s="7" t="s">
        <v>16969</v>
      </c>
      <c r="K2653" s="7" t="s">
        <v>187</v>
      </c>
      <c r="L2653" s="201" t="s">
        <v>16835</v>
      </c>
      <c r="M2653" s="199"/>
      <c r="N2653" s="199"/>
    </row>
    <row r="2654">
      <c r="A2654" s="193" t="s">
        <v>20193</v>
      </c>
      <c r="B2654" s="7" t="s">
        <v>187</v>
      </c>
      <c r="C2654" s="7" t="s">
        <v>16969</v>
      </c>
      <c r="D2654" s="199"/>
      <c r="E2654" s="193"/>
      <c r="F2654" s="195" t="s">
        <v>20194</v>
      </c>
      <c r="G2654" s="196">
        <v>2.820434136E9</v>
      </c>
      <c r="H2654" s="197">
        <v>84.63</v>
      </c>
      <c r="I2654" s="7" t="s">
        <v>16815</v>
      </c>
      <c r="J2654" s="7" t="s">
        <v>187</v>
      </c>
      <c r="K2654" s="7" t="s">
        <v>16969</v>
      </c>
      <c r="L2654" s="198" t="s">
        <v>65</v>
      </c>
      <c r="M2654" s="199"/>
      <c r="N2654" s="199"/>
    </row>
    <row r="2655">
      <c r="A2655" s="193" t="s">
        <v>20195</v>
      </c>
      <c r="B2655" s="7" t="s">
        <v>17111</v>
      </c>
      <c r="C2655" s="7" t="s">
        <v>17112</v>
      </c>
      <c r="D2655" s="199"/>
      <c r="E2655" s="193"/>
      <c r="F2655" s="195" t="s">
        <v>20196</v>
      </c>
      <c r="G2655" s="200">
        <v>2.818438983E9</v>
      </c>
      <c r="H2655" s="197">
        <v>18.57</v>
      </c>
      <c r="I2655" s="7" t="s">
        <v>16815</v>
      </c>
      <c r="J2655" s="7" t="s">
        <v>17111</v>
      </c>
      <c r="K2655" s="7" t="s">
        <v>17112</v>
      </c>
      <c r="L2655" s="201" t="s">
        <v>16835</v>
      </c>
      <c r="M2655" s="199"/>
      <c r="N2655" s="199"/>
    </row>
    <row r="2656">
      <c r="A2656" s="193" t="s">
        <v>20195</v>
      </c>
      <c r="B2656" s="7" t="s">
        <v>17112</v>
      </c>
      <c r="C2656" s="7" t="s">
        <v>17111</v>
      </c>
      <c r="D2656" s="199"/>
      <c r="E2656" s="193"/>
      <c r="F2656" s="195" t="s">
        <v>20196</v>
      </c>
      <c r="G2656" s="196">
        <v>2.818438983E9</v>
      </c>
      <c r="H2656" s="197">
        <v>18.57</v>
      </c>
      <c r="I2656" s="7" t="s">
        <v>16815</v>
      </c>
      <c r="J2656" s="7" t="s">
        <v>17112</v>
      </c>
      <c r="K2656" s="7" t="s">
        <v>17111</v>
      </c>
      <c r="L2656" s="198" t="s">
        <v>65</v>
      </c>
      <c r="M2656" s="199"/>
      <c r="N2656" s="199"/>
    </row>
    <row r="2657">
      <c r="A2657" s="193" t="s">
        <v>20197</v>
      </c>
      <c r="B2657" s="7" t="s">
        <v>17259</v>
      </c>
      <c r="C2657" s="7" t="s">
        <v>187</v>
      </c>
      <c r="D2657" s="194">
        <v>2009.0</v>
      </c>
      <c r="E2657" s="193"/>
      <c r="F2657" s="195" t="s">
        <v>20198</v>
      </c>
      <c r="G2657" s="200">
        <v>2.809158618E9</v>
      </c>
      <c r="H2657" s="197">
        <v>21.91</v>
      </c>
      <c r="I2657" s="7" t="s">
        <v>16815</v>
      </c>
      <c r="J2657" s="7" t="s">
        <v>17259</v>
      </c>
      <c r="K2657" s="7" t="s">
        <v>187</v>
      </c>
      <c r="L2657" s="201" t="s">
        <v>16835</v>
      </c>
      <c r="M2657" s="194"/>
      <c r="N2657" s="194"/>
    </row>
    <row r="2658">
      <c r="A2658" s="193" t="s">
        <v>20197</v>
      </c>
      <c r="B2658" s="7" t="s">
        <v>187</v>
      </c>
      <c r="C2658" s="7" t="s">
        <v>17259</v>
      </c>
      <c r="D2658" s="194">
        <v>2009.0</v>
      </c>
      <c r="E2658" s="193"/>
      <c r="F2658" s="195" t="s">
        <v>20198</v>
      </c>
      <c r="G2658" s="196">
        <v>2.809158618E9</v>
      </c>
      <c r="H2658" s="197">
        <v>21.91</v>
      </c>
      <c r="I2658" s="7" t="s">
        <v>16815</v>
      </c>
      <c r="J2658" s="7" t="s">
        <v>187</v>
      </c>
      <c r="K2658" s="7" t="s">
        <v>17259</v>
      </c>
      <c r="L2658" s="198" t="s">
        <v>65</v>
      </c>
      <c r="M2658" s="194"/>
      <c r="N2658" s="194"/>
    </row>
    <row r="2659">
      <c r="A2659" s="193" t="s">
        <v>20199</v>
      </c>
      <c r="B2659" s="7" t="s">
        <v>169</v>
      </c>
      <c r="C2659" s="7" t="s">
        <v>17738</v>
      </c>
      <c r="D2659" s="194">
        <v>1992.0</v>
      </c>
      <c r="E2659" s="193"/>
      <c r="F2659" s="195" t="s">
        <v>20200</v>
      </c>
      <c r="G2659" s="196">
        <v>2.80780755E9</v>
      </c>
      <c r="H2659" s="197">
        <v>50.0</v>
      </c>
      <c r="I2659" s="7" t="s">
        <v>16815</v>
      </c>
      <c r="J2659" s="7" t="s">
        <v>169</v>
      </c>
      <c r="K2659" s="7" t="s">
        <v>17738</v>
      </c>
      <c r="L2659" s="198" t="s">
        <v>65</v>
      </c>
      <c r="M2659" s="194"/>
      <c r="N2659" s="194"/>
    </row>
    <row r="2660">
      <c r="A2660" s="193" t="s">
        <v>20199</v>
      </c>
      <c r="B2660" s="7" t="s">
        <v>17738</v>
      </c>
      <c r="C2660" s="7" t="s">
        <v>169</v>
      </c>
      <c r="D2660" s="194">
        <v>1992.0</v>
      </c>
      <c r="E2660" s="193"/>
      <c r="F2660" s="195" t="s">
        <v>20200</v>
      </c>
      <c r="G2660" s="200">
        <v>2.80780755E9</v>
      </c>
      <c r="H2660" s="197">
        <v>50.0</v>
      </c>
      <c r="I2660" s="7" t="s">
        <v>16815</v>
      </c>
      <c r="J2660" s="7" t="s">
        <v>17738</v>
      </c>
      <c r="K2660" s="7" t="s">
        <v>169</v>
      </c>
      <c r="L2660" s="201" t="s">
        <v>16835</v>
      </c>
      <c r="M2660" s="194"/>
      <c r="N2660" s="194"/>
    </row>
    <row r="2661">
      <c r="A2661" s="193" t="s">
        <v>20201</v>
      </c>
      <c r="B2661" s="7" t="s">
        <v>175</v>
      </c>
      <c r="C2661" s="7" t="s">
        <v>16854</v>
      </c>
      <c r="D2661" s="199"/>
      <c r="E2661" s="193"/>
      <c r="F2661" s="195" t="s">
        <v>20202</v>
      </c>
      <c r="G2661" s="196">
        <v>2.806095142E9</v>
      </c>
      <c r="H2661" s="197">
        <v>56.3</v>
      </c>
      <c r="I2661" s="7" t="s">
        <v>16908</v>
      </c>
      <c r="J2661" s="7" t="s">
        <v>175</v>
      </c>
      <c r="K2661" s="7" t="s">
        <v>16854</v>
      </c>
      <c r="L2661" s="198" t="s">
        <v>65</v>
      </c>
      <c r="M2661" s="199"/>
      <c r="N2661" s="199"/>
    </row>
    <row r="2662">
      <c r="A2662" s="193" t="s">
        <v>20201</v>
      </c>
      <c r="B2662" s="7" t="s">
        <v>16854</v>
      </c>
      <c r="C2662" s="7" t="s">
        <v>175</v>
      </c>
      <c r="D2662" s="199"/>
      <c r="E2662" s="193"/>
      <c r="F2662" s="195" t="s">
        <v>20202</v>
      </c>
      <c r="G2662" s="200">
        <v>2.806095142E9</v>
      </c>
      <c r="H2662" s="197">
        <v>56.3</v>
      </c>
      <c r="I2662" s="7" t="s">
        <v>16815</v>
      </c>
      <c r="J2662" s="7" t="s">
        <v>16854</v>
      </c>
      <c r="K2662" s="7" t="s">
        <v>175</v>
      </c>
      <c r="L2662" s="201" t="s">
        <v>16835</v>
      </c>
      <c r="M2662" s="199"/>
      <c r="N2662" s="199"/>
    </row>
    <row r="2663">
      <c r="A2663" s="193" t="s">
        <v>20203</v>
      </c>
      <c r="B2663" s="7" t="s">
        <v>158</v>
      </c>
      <c r="C2663" s="7" t="s">
        <v>20100</v>
      </c>
      <c r="D2663" s="194">
        <v>1999.0</v>
      </c>
      <c r="E2663" s="193"/>
      <c r="F2663" s="195" t="s">
        <v>20204</v>
      </c>
      <c r="G2663" s="196">
        <v>2.793581478E9</v>
      </c>
      <c r="H2663" s="197">
        <v>21.975</v>
      </c>
      <c r="I2663" s="7" t="s">
        <v>18397</v>
      </c>
      <c r="J2663" s="7" t="s">
        <v>158</v>
      </c>
      <c r="K2663" s="7" t="s">
        <v>20100</v>
      </c>
      <c r="L2663" s="198" t="s">
        <v>65</v>
      </c>
      <c r="M2663" s="194"/>
      <c r="N2663" s="194"/>
    </row>
    <row r="2664">
      <c r="A2664" s="193" t="s">
        <v>20205</v>
      </c>
      <c r="B2664" s="7" t="s">
        <v>16926</v>
      </c>
      <c r="C2664" s="7" t="s">
        <v>16957</v>
      </c>
      <c r="D2664" s="199"/>
      <c r="E2664" s="193"/>
      <c r="F2664" s="195" t="s">
        <v>20206</v>
      </c>
      <c r="G2664" s="196">
        <v>2.791462E9</v>
      </c>
      <c r="H2664" s="197">
        <v>16.22</v>
      </c>
      <c r="I2664" s="7" t="s">
        <v>16815</v>
      </c>
      <c r="J2664" s="7" t="s">
        <v>16926</v>
      </c>
      <c r="K2664" s="7" t="s">
        <v>16957</v>
      </c>
      <c r="L2664" s="198" t="s">
        <v>65</v>
      </c>
      <c r="M2664" s="199"/>
      <c r="N2664" s="199"/>
    </row>
    <row r="2665">
      <c r="A2665" s="193" t="s">
        <v>20207</v>
      </c>
      <c r="B2665" s="7" t="s">
        <v>158</v>
      </c>
      <c r="C2665" s="7" t="s">
        <v>16899</v>
      </c>
      <c r="D2665" s="194">
        <v>2021.0</v>
      </c>
      <c r="E2665" s="193"/>
      <c r="F2665" s="195" t="s">
        <v>20208</v>
      </c>
      <c r="G2665" s="196">
        <v>2.789648074E9</v>
      </c>
      <c r="H2665" s="197">
        <v>13.28</v>
      </c>
      <c r="I2665" s="7" t="s">
        <v>17098</v>
      </c>
      <c r="J2665" s="7" t="s">
        <v>158</v>
      </c>
      <c r="K2665" s="7" t="s">
        <v>16899</v>
      </c>
      <c r="L2665" s="198" t="s">
        <v>65</v>
      </c>
      <c r="M2665" s="194"/>
      <c r="N2665" s="194"/>
    </row>
    <row r="2666">
      <c r="A2666" s="193" t="s">
        <v>20207</v>
      </c>
      <c r="B2666" s="7" t="s">
        <v>16899</v>
      </c>
      <c r="C2666" s="7" t="s">
        <v>158</v>
      </c>
      <c r="D2666" s="194">
        <v>2021.0</v>
      </c>
      <c r="E2666" s="193"/>
      <c r="F2666" s="195" t="s">
        <v>20208</v>
      </c>
      <c r="G2666" s="200">
        <v>2.789648074E9</v>
      </c>
      <c r="H2666" s="197">
        <v>13.28</v>
      </c>
      <c r="I2666" s="7" t="s">
        <v>16815</v>
      </c>
      <c r="J2666" s="7" t="s">
        <v>16899</v>
      </c>
      <c r="K2666" s="7" t="s">
        <v>158</v>
      </c>
      <c r="L2666" s="201" t="s">
        <v>16835</v>
      </c>
      <c r="M2666" s="194"/>
      <c r="N2666" s="194"/>
    </row>
    <row r="2667">
      <c r="A2667" s="193" t="s">
        <v>20209</v>
      </c>
      <c r="B2667" s="7" t="s">
        <v>17112</v>
      </c>
      <c r="C2667" s="7" t="s">
        <v>17218</v>
      </c>
      <c r="D2667" s="199"/>
      <c r="E2667" s="193"/>
      <c r="F2667" s="195" t="s">
        <v>20210</v>
      </c>
      <c r="G2667" s="196">
        <v>2.786904939E9</v>
      </c>
      <c r="H2667" s="197">
        <v>613.27</v>
      </c>
      <c r="I2667" s="7" t="s">
        <v>16815</v>
      </c>
      <c r="J2667" s="7" t="s">
        <v>17112</v>
      </c>
      <c r="K2667" s="7" t="s">
        <v>17218</v>
      </c>
      <c r="L2667" s="198" t="s">
        <v>65</v>
      </c>
      <c r="M2667" s="199"/>
      <c r="N2667" s="199"/>
    </row>
    <row r="2668">
      <c r="A2668" s="193" t="s">
        <v>20209</v>
      </c>
      <c r="B2668" s="7" t="s">
        <v>17218</v>
      </c>
      <c r="C2668" s="7" t="s">
        <v>17112</v>
      </c>
      <c r="D2668" s="199"/>
      <c r="E2668" s="193"/>
      <c r="F2668" s="195" t="s">
        <v>20210</v>
      </c>
      <c r="G2668" s="200">
        <v>2.786904939E9</v>
      </c>
      <c r="H2668" s="197">
        <v>613.27</v>
      </c>
      <c r="I2668" s="7" t="s">
        <v>16815</v>
      </c>
      <c r="J2668" s="7" t="s">
        <v>17218</v>
      </c>
      <c r="K2668" s="7" t="s">
        <v>17112</v>
      </c>
      <c r="L2668" s="201" t="s">
        <v>16835</v>
      </c>
      <c r="M2668" s="199"/>
      <c r="N2668" s="199"/>
    </row>
    <row r="2669">
      <c r="A2669" s="193" t="s">
        <v>20211</v>
      </c>
      <c r="B2669" s="7" t="s">
        <v>187</v>
      </c>
      <c r="C2669" s="7" t="s">
        <v>16846</v>
      </c>
      <c r="D2669" s="194">
        <v>2017.0</v>
      </c>
      <c r="E2669" s="193"/>
      <c r="F2669" s="195" t="s">
        <v>20212</v>
      </c>
      <c r="G2669" s="196">
        <v>2.78428739E9</v>
      </c>
      <c r="H2669" s="197">
        <v>28.17</v>
      </c>
      <c r="I2669" s="7" t="s">
        <v>16815</v>
      </c>
      <c r="J2669" s="7" t="s">
        <v>187</v>
      </c>
      <c r="K2669" s="7" t="s">
        <v>16846</v>
      </c>
      <c r="L2669" s="198" t="s">
        <v>65</v>
      </c>
      <c r="M2669" s="194"/>
      <c r="N2669" s="194"/>
    </row>
    <row r="2670">
      <c r="A2670" s="193" t="s">
        <v>20213</v>
      </c>
      <c r="B2670" s="7" t="s">
        <v>16582</v>
      </c>
      <c r="C2670" s="7" t="s">
        <v>17339</v>
      </c>
      <c r="D2670" s="199"/>
      <c r="E2670" s="193"/>
      <c r="F2670" s="195" t="s">
        <v>20214</v>
      </c>
      <c r="G2670" s="196">
        <v>2.780542251E9</v>
      </c>
      <c r="H2670" s="197">
        <v>101.18</v>
      </c>
      <c r="I2670" s="7" t="s">
        <v>16815</v>
      </c>
      <c r="J2670" s="7" t="s">
        <v>16582</v>
      </c>
      <c r="K2670" s="7" t="s">
        <v>17339</v>
      </c>
      <c r="L2670" s="198" t="s">
        <v>65</v>
      </c>
      <c r="M2670" s="199"/>
      <c r="N2670" s="199"/>
    </row>
    <row r="2671">
      <c r="A2671" s="193" t="s">
        <v>20215</v>
      </c>
      <c r="B2671" s="7" t="s">
        <v>187</v>
      </c>
      <c r="C2671" s="7" t="s">
        <v>16858</v>
      </c>
      <c r="D2671" s="194">
        <v>2017.0</v>
      </c>
      <c r="E2671" s="193"/>
      <c r="F2671" s="195" t="s">
        <v>20216</v>
      </c>
      <c r="G2671" s="196">
        <v>2.780015885E9</v>
      </c>
      <c r="H2671" s="197">
        <v>98.56</v>
      </c>
      <c r="I2671" s="7" t="s">
        <v>16815</v>
      </c>
      <c r="J2671" s="7" t="s">
        <v>187</v>
      </c>
      <c r="K2671" s="7" t="s">
        <v>16858</v>
      </c>
      <c r="L2671" s="198" t="s">
        <v>65</v>
      </c>
      <c r="M2671" s="194"/>
      <c r="N2671" s="194"/>
    </row>
    <row r="2672">
      <c r="A2672" s="193" t="s">
        <v>20217</v>
      </c>
      <c r="B2672" s="7" t="s">
        <v>17629</v>
      </c>
      <c r="C2672" s="7" t="s">
        <v>16899</v>
      </c>
      <c r="D2672" s="199"/>
      <c r="E2672" s="193"/>
      <c r="F2672" s="195" t="s">
        <v>20218</v>
      </c>
      <c r="G2672" s="196">
        <v>2.773277791E9</v>
      </c>
      <c r="H2672" s="197">
        <v>77.74</v>
      </c>
      <c r="I2672" s="7" t="s">
        <v>16815</v>
      </c>
      <c r="J2672" s="7" t="s">
        <v>17629</v>
      </c>
      <c r="K2672" s="7" t="s">
        <v>16899</v>
      </c>
      <c r="L2672" s="198" t="s">
        <v>65</v>
      </c>
      <c r="M2672" s="199"/>
      <c r="N2672" s="199"/>
    </row>
    <row r="2673">
      <c r="A2673" s="193" t="s">
        <v>20217</v>
      </c>
      <c r="B2673" s="7" t="s">
        <v>16899</v>
      </c>
      <c r="C2673" s="7" t="s">
        <v>17629</v>
      </c>
      <c r="D2673" s="199"/>
      <c r="E2673" s="193"/>
      <c r="F2673" s="195" t="s">
        <v>20218</v>
      </c>
      <c r="G2673" s="200">
        <v>2.773277791E9</v>
      </c>
      <c r="H2673" s="197">
        <v>77.74</v>
      </c>
      <c r="I2673" s="7" t="s">
        <v>16815</v>
      </c>
      <c r="J2673" s="7" t="s">
        <v>16899</v>
      </c>
      <c r="K2673" s="7" t="s">
        <v>17629</v>
      </c>
      <c r="L2673" s="201" t="s">
        <v>16835</v>
      </c>
      <c r="M2673" s="199"/>
      <c r="N2673" s="199"/>
    </row>
    <row r="2674">
      <c r="A2674" s="193" t="s">
        <v>20219</v>
      </c>
      <c r="B2674" s="7" t="s">
        <v>16838</v>
      </c>
      <c r="C2674" s="7" t="s">
        <v>17019</v>
      </c>
      <c r="D2674" s="194">
        <v>2015.0</v>
      </c>
      <c r="E2674" s="193"/>
      <c r="F2674" s="195" t="s">
        <v>20220</v>
      </c>
      <c r="G2674" s="196">
        <v>2.76489742E9</v>
      </c>
      <c r="H2674" s="197">
        <v>17.37</v>
      </c>
      <c r="I2674" s="7" t="s">
        <v>16815</v>
      </c>
      <c r="J2674" s="7" t="s">
        <v>16838</v>
      </c>
      <c r="K2674" s="7" t="s">
        <v>17019</v>
      </c>
      <c r="L2674" s="198" t="s">
        <v>65</v>
      </c>
      <c r="M2674" s="194"/>
      <c r="N2674" s="194"/>
    </row>
    <row r="2675">
      <c r="A2675" s="193" t="s">
        <v>20221</v>
      </c>
      <c r="B2675" s="7" t="s">
        <v>16582</v>
      </c>
      <c r="C2675" s="7" t="s">
        <v>16817</v>
      </c>
      <c r="D2675" s="194">
        <v>2019.0</v>
      </c>
      <c r="E2675" s="193"/>
      <c r="F2675" s="195" t="s">
        <v>20222</v>
      </c>
      <c r="G2675" s="196">
        <v>2.764424521E9</v>
      </c>
      <c r="H2675" s="197">
        <v>49.37</v>
      </c>
      <c r="I2675" s="7" t="s">
        <v>16815</v>
      </c>
      <c r="J2675" s="7" t="s">
        <v>16582</v>
      </c>
      <c r="K2675" s="7" t="s">
        <v>16817</v>
      </c>
      <c r="L2675" s="198" t="s">
        <v>65</v>
      </c>
      <c r="M2675" s="194"/>
      <c r="N2675" s="194"/>
    </row>
    <row r="2676">
      <c r="A2676" s="193" t="s">
        <v>20223</v>
      </c>
      <c r="B2676" s="7" t="s">
        <v>16910</v>
      </c>
      <c r="C2676" s="7" t="s">
        <v>17119</v>
      </c>
      <c r="D2676" s="194">
        <v>2016.0</v>
      </c>
      <c r="E2676" s="193"/>
      <c r="F2676" s="195" t="s">
        <v>20224</v>
      </c>
      <c r="G2676" s="196">
        <v>2.764251E9</v>
      </c>
      <c r="H2676" s="197">
        <v>16.02</v>
      </c>
      <c r="I2676" s="7" t="s">
        <v>16917</v>
      </c>
      <c r="J2676" s="7" t="s">
        <v>16910</v>
      </c>
      <c r="K2676" s="7" t="s">
        <v>17119</v>
      </c>
      <c r="L2676" s="198" t="s">
        <v>65</v>
      </c>
      <c r="M2676" s="194"/>
      <c r="N2676" s="194"/>
    </row>
    <row r="2677">
      <c r="A2677" s="193" t="s">
        <v>20223</v>
      </c>
      <c r="B2677" s="7" t="s">
        <v>17119</v>
      </c>
      <c r="C2677" s="7" t="s">
        <v>16910</v>
      </c>
      <c r="D2677" s="194">
        <v>2016.0</v>
      </c>
      <c r="E2677" s="193"/>
      <c r="F2677" s="195" t="s">
        <v>20224</v>
      </c>
      <c r="G2677" s="200">
        <v>2.764251E9</v>
      </c>
      <c r="H2677" s="197">
        <v>16.02</v>
      </c>
      <c r="I2677" s="7" t="s">
        <v>16815</v>
      </c>
      <c r="J2677" s="7" t="s">
        <v>17119</v>
      </c>
      <c r="K2677" s="7" t="s">
        <v>16910</v>
      </c>
      <c r="L2677" s="201" t="s">
        <v>16835</v>
      </c>
      <c r="M2677" s="194"/>
      <c r="N2677" s="194"/>
    </row>
    <row r="2678">
      <c r="A2678" s="193" t="s">
        <v>20225</v>
      </c>
      <c r="B2678" s="7" t="s">
        <v>175</v>
      </c>
      <c r="C2678" s="7" t="s">
        <v>17168</v>
      </c>
      <c r="D2678" s="194">
        <v>2016.0</v>
      </c>
      <c r="E2678" s="193"/>
      <c r="F2678" s="195" t="s">
        <v>20226</v>
      </c>
      <c r="G2678" s="196">
        <v>2.763385808E9</v>
      </c>
      <c r="H2678" s="197">
        <v>13.16</v>
      </c>
      <c r="I2678" s="7" t="s">
        <v>168</v>
      </c>
      <c r="J2678" s="7" t="s">
        <v>175</v>
      </c>
      <c r="K2678" s="7" t="s">
        <v>17168</v>
      </c>
      <c r="L2678" s="198" t="s">
        <v>65</v>
      </c>
      <c r="M2678" s="194"/>
      <c r="N2678" s="194"/>
    </row>
    <row r="2679">
      <c r="A2679" s="193" t="s">
        <v>20225</v>
      </c>
      <c r="B2679" s="7" t="s">
        <v>17168</v>
      </c>
      <c r="C2679" s="7" t="s">
        <v>175</v>
      </c>
      <c r="D2679" s="194">
        <v>2016.0</v>
      </c>
      <c r="E2679" s="193"/>
      <c r="F2679" s="195" t="s">
        <v>20226</v>
      </c>
      <c r="G2679" s="200">
        <v>2.763385808E9</v>
      </c>
      <c r="H2679" s="197">
        <v>13.16</v>
      </c>
      <c r="I2679" s="7" t="s">
        <v>16815</v>
      </c>
      <c r="J2679" s="7" t="s">
        <v>17168</v>
      </c>
      <c r="K2679" s="7" t="s">
        <v>175</v>
      </c>
      <c r="L2679" s="201" t="s">
        <v>16835</v>
      </c>
      <c r="M2679" s="194"/>
      <c r="N2679" s="194"/>
    </row>
    <row r="2680">
      <c r="A2680" s="193" t="s">
        <v>20227</v>
      </c>
      <c r="B2680" s="7" t="s">
        <v>16885</v>
      </c>
      <c r="C2680" s="7" t="s">
        <v>17726</v>
      </c>
      <c r="D2680" s="199"/>
      <c r="E2680" s="193"/>
      <c r="F2680" s="195" t="s">
        <v>20228</v>
      </c>
      <c r="G2680" s="196">
        <v>2.762781715E9</v>
      </c>
      <c r="H2680" s="197">
        <v>4.47</v>
      </c>
      <c r="I2680" s="7" t="s">
        <v>17372</v>
      </c>
      <c r="J2680" s="7" t="s">
        <v>16885</v>
      </c>
      <c r="K2680" s="7" t="s">
        <v>17726</v>
      </c>
      <c r="L2680" s="198" t="s">
        <v>65</v>
      </c>
      <c r="M2680" s="199"/>
      <c r="N2680" s="199"/>
    </row>
    <row r="2681">
      <c r="A2681" s="193" t="s">
        <v>20227</v>
      </c>
      <c r="B2681" s="7" t="s">
        <v>17726</v>
      </c>
      <c r="C2681" s="7" t="s">
        <v>16885</v>
      </c>
      <c r="D2681" s="199"/>
      <c r="E2681" s="193"/>
      <c r="F2681" s="195" t="s">
        <v>20228</v>
      </c>
      <c r="G2681" s="200">
        <v>2.762781715E9</v>
      </c>
      <c r="H2681" s="197">
        <v>4.47</v>
      </c>
      <c r="I2681" s="7" t="s">
        <v>16815</v>
      </c>
      <c r="J2681" s="7" t="s">
        <v>17726</v>
      </c>
      <c r="K2681" s="7" t="s">
        <v>16885</v>
      </c>
      <c r="L2681" s="201" t="s">
        <v>16835</v>
      </c>
      <c r="M2681" s="199"/>
      <c r="N2681" s="199"/>
    </row>
    <row r="2682">
      <c r="A2682" s="193" t="s">
        <v>20229</v>
      </c>
      <c r="B2682" s="7" t="s">
        <v>16838</v>
      </c>
      <c r="C2682" s="7" t="s">
        <v>16867</v>
      </c>
      <c r="D2682" s="199"/>
      <c r="E2682" s="193"/>
      <c r="F2682" s="195" t="s">
        <v>20230</v>
      </c>
      <c r="G2682" s="196">
        <v>2.761601604E9</v>
      </c>
      <c r="H2682" s="197">
        <v>44.5</v>
      </c>
      <c r="I2682" s="7" t="s">
        <v>16815</v>
      </c>
      <c r="J2682" s="7" t="s">
        <v>16838</v>
      </c>
      <c r="K2682" s="7" t="s">
        <v>16867</v>
      </c>
      <c r="L2682" s="198" t="s">
        <v>65</v>
      </c>
      <c r="M2682" s="199"/>
      <c r="N2682" s="199"/>
    </row>
    <row r="2683">
      <c r="A2683" s="193" t="s">
        <v>20231</v>
      </c>
      <c r="B2683" s="7" t="s">
        <v>175</v>
      </c>
      <c r="C2683" s="7" t="s">
        <v>17350</v>
      </c>
      <c r="D2683" s="194">
        <v>1995.0</v>
      </c>
      <c r="E2683" s="193"/>
      <c r="F2683" s="195" t="s">
        <v>15569</v>
      </c>
      <c r="G2683" s="196">
        <v>2.75860639E9</v>
      </c>
      <c r="H2683" s="197">
        <v>108.93</v>
      </c>
      <c r="I2683" s="7" t="s">
        <v>168</v>
      </c>
      <c r="J2683" s="7" t="s">
        <v>175</v>
      </c>
      <c r="K2683" s="7" t="s">
        <v>17350</v>
      </c>
      <c r="L2683" s="198" t="s">
        <v>65</v>
      </c>
      <c r="M2683" s="194"/>
      <c r="N2683" s="194"/>
    </row>
    <row r="2684">
      <c r="A2684" s="193" t="s">
        <v>20231</v>
      </c>
      <c r="B2684" s="7" t="s">
        <v>17350</v>
      </c>
      <c r="C2684" s="7" t="s">
        <v>175</v>
      </c>
      <c r="D2684" s="194">
        <v>1995.0</v>
      </c>
      <c r="E2684" s="193"/>
      <c r="F2684" s="195" t="s">
        <v>15569</v>
      </c>
      <c r="G2684" s="200">
        <v>2.75860639E9</v>
      </c>
      <c r="H2684" s="197">
        <v>108.93</v>
      </c>
      <c r="I2684" s="7" t="s">
        <v>16815</v>
      </c>
      <c r="J2684" s="7" t="s">
        <v>17350</v>
      </c>
      <c r="K2684" s="7" t="s">
        <v>175</v>
      </c>
      <c r="L2684" s="201" t="s">
        <v>16835</v>
      </c>
      <c r="M2684" s="194"/>
      <c r="N2684" s="194"/>
    </row>
    <row r="2685">
      <c r="A2685" s="193" t="s">
        <v>20232</v>
      </c>
      <c r="B2685" s="7" t="s">
        <v>16582</v>
      </c>
      <c r="C2685" s="7" t="s">
        <v>16930</v>
      </c>
      <c r="D2685" s="194">
        <v>2021.0</v>
      </c>
      <c r="E2685" s="193"/>
      <c r="F2685" s="195" t="s">
        <v>20233</v>
      </c>
      <c r="G2685" s="196">
        <v>2.758416656E9</v>
      </c>
      <c r="H2685" s="197">
        <v>1.815</v>
      </c>
      <c r="I2685" s="7" t="s">
        <v>16815</v>
      </c>
      <c r="J2685" s="7" t="s">
        <v>16582</v>
      </c>
      <c r="K2685" s="7" t="s">
        <v>16930</v>
      </c>
      <c r="L2685" s="198" t="s">
        <v>65</v>
      </c>
      <c r="M2685" s="194"/>
      <c r="N2685" s="194"/>
    </row>
    <row r="2686">
      <c r="A2686" s="193" t="s">
        <v>20234</v>
      </c>
      <c r="B2686" s="7" t="s">
        <v>16838</v>
      </c>
      <c r="C2686" s="7" t="s">
        <v>16867</v>
      </c>
      <c r="D2686" s="199"/>
      <c r="E2686" s="193"/>
      <c r="F2686" s="195" t="s">
        <v>20235</v>
      </c>
      <c r="G2686" s="196">
        <v>2.749641709E9</v>
      </c>
      <c r="H2686" s="197">
        <v>18.56</v>
      </c>
      <c r="I2686" s="7" t="s">
        <v>16815</v>
      </c>
      <c r="J2686" s="7" t="s">
        <v>16838</v>
      </c>
      <c r="K2686" s="7" t="s">
        <v>16867</v>
      </c>
      <c r="L2686" s="198" t="s">
        <v>65</v>
      </c>
      <c r="M2686" s="199"/>
      <c r="N2686" s="199"/>
    </row>
    <row r="2687">
      <c r="A2687" s="193" t="s">
        <v>20236</v>
      </c>
      <c r="B2687" s="7" t="s">
        <v>175</v>
      </c>
      <c r="C2687" s="7" t="s">
        <v>16854</v>
      </c>
      <c r="D2687" s="194">
        <v>2006.0</v>
      </c>
      <c r="E2687" s="193"/>
      <c r="F2687" s="195" t="s">
        <v>20237</v>
      </c>
      <c r="G2687" s="196">
        <v>2.747378014E9</v>
      </c>
      <c r="H2687" s="197">
        <v>56.81</v>
      </c>
      <c r="I2687" s="7" t="s">
        <v>16856</v>
      </c>
      <c r="J2687" s="7" t="s">
        <v>175</v>
      </c>
      <c r="K2687" s="7" t="s">
        <v>16854</v>
      </c>
      <c r="L2687" s="198" t="s">
        <v>65</v>
      </c>
      <c r="M2687" s="194"/>
      <c r="N2687" s="194"/>
    </row>
    <row r="2688">
      <c r="A2688" s="193" t="s">
        <v>20236</v>
      </c>
      <c r="B2688" s="7" t="s">
        <v>16854</v>
      </c>
      <c r="C2688" s="7" t="s">
        <v>175</v>
      </c>
      <c r="D2688" s="194">
        <v>2006.0</v>
      </c>
      <c r="E2688" s="193"/>
      <c r="F2688" s="195" t="s">
        <v>20237</v>
      </c>
      <c r="G2688" s="200">
        <v>2.747378014E9</v>
      </c>
      <c r="H2688" s="197">
        <v>56.81</v>
      </c>
      <c r="I2688" s="7" t="s">
        <v>16815</v>
      </c>
      <c r="J2688" s="7" t="s">
        <v>16854</v>
      </c>
      <c r="K2688" s="7" t="s">
        <v>175</v>
      </c>
      <c r="L2688" s="201" t="s">
        <v>16835</v>
      </c>
      <c r="M2688" s="194"/>
      <c r="N2688" s="194"/>
    </row>
    <row r="2689">
      <c r="A2689" s="193" t="s">
        <v>20238</v>
      </c>
      <c r="B2689" s="7" t="s">
        <v>175</v>
      </c>
      <c r="C2689" s="7" t="s">
        <v>17318</v>
      </c>
      <c r="D2689" s="194">
        <v>2019.0</v>
      </c>
      <c r="E2689" s="193"/>
      <c r="F2689" s="195" t="s">
        <v>20239</v>
      </c>
      <c r="G2689" s="196">
        <v>2.746647631E9</v>
      </c>
      <c r="H2689" s="197">
        <v>48.89</v>
      </c>
      <c r="I2689" s="7" t="s">
        <v>168</v>
      </c>
      <c r="J2689" s="7" t="s">
        <v>175</v>
      </c>
      <c r="K2689" s="7" t="s">
        <v>17318</v>
      </c>
      <c r="L2689" s="198" t="s">
        <v>65</v>
      </c>
      <c r="M2689" s="194"/>
      <c r="N2689" s="194"/>
    </row>
    <row r="2690">
      <c r="A2690" s="193" t="s">
        <v>20238</v>
      </c>
      <c r="B2690" s="7" t="s">
        <v>17318</v>
      </c>
      <c r="C2690" s="7" t="s">
        <v>175</v>
      </c>
      <c r="D2690" s="194">
        <v>2019.0</v>
      </c>
      <c r="E2690" s="193"/>
      <c r="F2690" s="195" t="s">
        <v>20239</v>
      </c>
      <c r="G2690" s="200">
        <v>2.746647631E9</v>
      </c>
      <c r="H2690" s="197">
        <v>48.89</v>
      </c>
      <c r="I2690" s="7" t="s">
        <v>16815</v>
      </c>
      <c r="J2690" s="7" t="s">
        <v>17318</v>
      </c>
      <c r="K2690" s="7" t="s">
        <v>175</v>
      </c>
      <c r="L2690" s="201" t="s">
        <v>16835</v>
      </c>
      <c r="M2690" s="194"/>
      <c r="N2690" s="194"/>
    </row>
    <row r="2691">
      <c r="A2691" s="193" t="s">
        <v>20240</v>
      </c>
      <c r="B2691" s="7" t="s">
        <v>17347</v>
      </c>
      <c r="C2691" s="7" t="s">
        <v>16838</v>
      </c>
      <c r="D2691" s="199"/>
      <c r="E2691" s="193"/>
      <c r="F2691" s="195" t="s">
        <v>20241</v>
      </c>
      <c r="G2691" s="200">
        <v>2.745937414E9</v>
      </c>
      <c r="H2691" s="197">
        <v>24.48</v>
      </c>
      <c r="I2691" s="7" t="s">
        <v>16815</v>
      </c>
      <c r="J2691" s="7" t="s">
        <v>17347</v>
      </c>
      <c r="K2691" s="7" t="s">
        <v>16838</v>
      </c>
      <c r="L2691" s="201" t="s">
        <v>16835</v>
      </c>
      <c r="M2691" s="199"/>
      <c r="N2691" s="199"/>
    </row>
    <row r="2692">
      <c r="A2692" s="193" t="s">
        <v>20240</v>
      </c>
      <c r="B2692" s="7" t="s">
        <v>16838</v>
      </c>
      <c r="C2692" s="7" t="s">
        <v>17347</v>
      </c>
      <c r="D2692" s="199"/>
      <c r="E2692" s="193"/>
      <c r="F2692" s="195" t="s">
        <v>20241</v>
      </c>
      <c r="G2692" s="196">
        <v>2.745937414E9</v>
      </c>
      <c r="H2692" s="197">
        <v>24.48</v>
      </c>
      <c r="I2692" s="7" t="s">
        <v>16815</v>
      </c>
      <c r="J2692" s="7" t="s">
        <v>16838</v>
      </c>
      <c r="K2692" s="7" t="s">
        <v>17347</v>
      </c>
      <c r="L2692" s="198" t="s">
        <v>65</v>
      </c>
      <c r="M2692" s="199"/>
      <c r="N2692" s="199"/>
    </row>
    <row r="2693">
      <c r="A2693" s="193" t="s">
        <v>20242</v>
      </c>
      <c r="B2693" s="7" t="s">
        <v>187</v>
      </c>
      <c r="C2693" s="7" t="s">
        <v>16846</v>
      </c>
      <c r="D2693" s="194">
        <v>2007.0</v>
      </c>
      <c r="E2693" s="193"/>
      <c r="F2693" s="195" t="s">
        <v>20243</v>
      </c>
      <c r="G2693" s="196">
        <v>2.741068971E9</v>
      </c>
      <c r="H2693" s="197">
        <v>138.84</v>
      </c>
      <c r="I2693" s="7" t="s">
        <v>16815</v>
      </c>
      <c r="J2693" s="7" t="s">
        <v>187</v>
      </c>
      <c r="K2693" s="7" t="s">
        <v>16846</v>
      </c>
      <c r="L2693" s="198" t="s">
        <v>65</v>
      </c>
      <c r="M2693" s="194"/>
      <c r="N2693" s="194"/>
    </row>
    <row r="2694">
      <c r="A2694" s="193" t="s">
        <v>20244</v>
      </c>
      <c r="B2694" s="7" t="s">
        <v>16582</v>
      </c>
      <c r="C2694" s="7" t="s">
        <v>16817</v>
      </c>
      <c r="D2694" s="194">
        <v>2020.0</v>
      </c>
      <c r="E2694" s="193"/>
      <c r="F2694" s="195" t="s">
        <v>20245</v>
      </c>
      <c r="G2694" s="196">
        <v>2.737551379E9</v>
      </c>
      <c r="H2694" s="197">
        <v>26.1</v>
      </c>
      <c r="I2694" s="7" t="s">
        <v>16815</v>
      </c>
      <c r="J2694" s="7" t="s">
        <v>16582</v>
      </c>
      <c r="K2694" s="7" t="s">
        <v>16817</v>
      </c>
      <c r="L2694" s="198" t="s">
        <v>65</v>
      </c>
      <c r="M2694" s="194"/>
      <c r="N2694" s="194"/>
    </row>
    <row r="2695">
      <c r="A2695" s="193" t="s">
        <v>20246</v>
      </c>
      <c r="B2695" s="7" t="s">
        <v>169</v>
      </c>
      <c r="C2695" s="7" t="s">
        <v>17043</v>
      </c>
      <c r="D2695" s="199"/>
      <c r="E2695" s="193"/>
      <c r="F2695" s="195" t="s">
        <v>20247</v>
      </c>
      <c r="G2695" s="196">
        <v>2.736021797E9</v>
      </c>
      <c r="H2695" s="197">
        <v>115.63</v>
      </c>
      <c r="I2695" s="7" t="s">
        <v>16815</v>
      </c>
      <c r="J2695" s="7" t="s">
        <v>169</v>
      </c>
      <c r="K2695" s="7" t="s">
        <v>17043</v>
      </c>
      <c r="L2695" s="198" t="s">
        <v>65</v>
      </c>
      <c r="M2695" s="199"/>
      <c r="N2695" s="199"/>
    </row>
    <row r="2696">
      <c r="A2696" s="193" t="s">
        <v>20248</v>
      </c>
      <c r="B2696" s="7" t="s">
        <v>16838</v>
      </c>
      <c r="C2696" s="7" t="s">
        <v>16867</v>
      </c>
      <c r="D2696" s="199"/>
      <c r="E2696" s="193"/>
      <c r="F2696" s="195" t="s">
        <v>20249</v>
      </c>
      <c r="G2696" s="196">
        <v>2.734156976E9</v>
      </c>
      <c r="H2696" s="197">
        <v>22.98</v>
      </c>
      <c r="I2696" s="7" t="s">
        <v>16815</v>
      </c>
      <c r="J2696" s="7" t="s">
        <v>16838</v>
      </c>
      <c r="K2696" s="7" t="s">
        <v>16867</v>
      </c>
      <c r="L2696" s="198" t="s">
        <v>65</v>
      </c>
      <c r="M2696" s="199"/>
      <c r="N2696" s="199"/>
    </row>
    <row r="2697">
      <c r="A2697" s="193" t="s">
        <v>20250</v>
      </c>
      <c r="B2697" s="7" t="s">
        <v>175</v>
      </c>
      <c r="C2697" s="7" t="s">
        <v>17457</v>
      </c>
      <c r="D2697" s="194">
        <v>2013.0</v>
      </c>
      <c r="E2697" s="193"/>
      <c r="F2697" s="195" t="s">
        <v>20251</v>
      </c>
      <c r="G2697" s="196">
        <v>2.733959206E9</v>
      </c>
      <c r="H2697" s="197">
        <v>28.17</v>
      </c>
      <c r="I2697" s="7" t="s">
        <v>16844</v>
      </c>
      <c r="J2697" s="7" t="s">
        <v>175</v>
      </c>
      <c r="K2697" s="7" t="s">
        <v>17457</v>
      </c>
      <c r="L2697" s="198" t="s">
        <v>65</v>
      </c>
      <c r="M2697" s="194"/>
      <c r="N2697" s="194"/>
    </row>
    <row r="2698">
      <c r="A2698" s="193" t="s">
        <v>20250</v>
      </c>
      <c r="B2698" s="7" t="s">
        <v>17457</v>
      </c>
      <c r="C2698" s="7" t="s">
        <v>175</v>
      </c>
      <c r="D2698" s="194">
        <v>2013.0</v>
      </c>
      <c r="E2698" s="193"/>
      <c r="F2698" s="195" t="s">
        <v>20251</v>
      </c>
      <c r="G2698" s="200">
        <v>2.733959206E9</v>
      </c>
      <c r="H2698" s="197">
        <v>28.17</v>
      </c>
      <c r="I2698" s="7" t="s">
        <v>16815</v>
      </c>
      <c r="J2698" s="7" t="s">
        <v>17457</v>
      </c>
      <c r="K2698" s="7" t="s">
        <v>175</v>
      </c>
      <c r="L2698" s="201" t="s">
        <v>16835</v>
      </c>
      <c r="M2698" s="194"/>
      <c r="N2698" s="194"/>
    </row>
    <row r="2699">
      <c r="A2699" s="193" t="s">
        <v>20252</v>
      </c>
      <c r="B2699" s="7" t="s">
        <v>16838</v>
      </c>
      <c r="C2699" s="7" t="s">
        <v>17452</v>
      </c>
      <c r="D2699" s="199"/>
      <c r="E2699" s="193"/>
      <c r="F2699" s="195" t="s">
        <v>20253</v>
      </c>
      <c r="G2699" s="196">
        <v>2.733414197E9</v>
      </c>
      <c r="H2699" s="197">
        <v>34.33</v>
      </c>
      <c r="I2699" s="7" t="s">
        <v>16815</v>
      </c>
      <c r="J2699" s="7" t="s">
        <v>16838</v>
      </c>
      <c r="K2699" s="7" t="s">
        <v>17452</v>
      </c>
      <c r="L2699" s="198" t="s">
        <v>65</v>
      </c>
      <c r="M2699" s="199"/>
      <c r="N2699" s="199"/>
    </row>
    <row r="2700">
      <c r="A2700" s="193" t="s">
        <v>20254</v>
      </c>
      <c r="B2700" s="7" t="s">
        <v>175</v>
      </c>
      <c r="C2700" s="7" t="s">
        <v>18268</v>
      </c>
      <c r="D2700" s="199"/>
      <c r="E2700" s="193"/>
      <c r="F2700" s="195" t="s">
        <v>20255</v>
      </c>
      <c r="G2700" s="196">
        <v>2.732988647E9</v>
      </c>
      <c r="H2700" s="197">
        <v>39.09</v>
      </c>
      <c r="I2700" s="7" t="s">
        <v>16892</v>
      </c>
      <c r="J2700" s="7" t="s">
        <v>175</v>
      </c>
      <c r="K2700" s="7" t="s">
        <v>18268</v>
      </c>
      <c r="L2700" s="198" t="s">
        <v>65</v>
      </c>
      <c r="M2700" s="199"/>
      <c r="N2700" s="199"/>
    </row>
    <row r="2701">
      <c r="A2701" s="193" t="s">
        <v>20254</v>
      </c>
      <c r="B2701" s="7" t="s">
        <v>18268</v>
      </c>
      <c r="C2701" s="7" t="s">
        <v>175</v>
      </c>
      <c r="D2701" s="199"/>
      <c r="E2701" s="193"/>
      <c r="F2701" s="195" t="s">
        <v>20255</v>
      </c>
      <c r="G2701" s="200">
        <v>2.732988647E9</v>
      </c>
      <c r="H2701" s="197">
        <v>39.09</v>
      </c>
      <c r="I2701" s="7" t="s">
        <v>16815</v>
      </c>
      <c r="J2701" s="7" t="s">
        <v>18268</v>
      </c>
      <c r="K2701" s="7" t="s">
        <v>175</v>
      </c>
      <c r="L2701" s="201" t="s">
        <v>16835</v>
      </c>
      <c r="M2701" s="199"/>
      <c r="N2701" s="199"/>
    </row>
    <row r="2702">
      <c r="A2702" s="193" t="s">
        <v>20256</v>
      </c>
      <c r="B2702" s="7" t="s">
        <v>17111</v>
      </c>
      <c r="C2702" s="7" t="s">
        <v>17112</v>
      </c>
      <c r="D2702" s="199"/>
      <c r="E2702" s="193"/>
      <c r="F2702" s="195" t="s">
        <v>20257</v>
      </c>
      <c r="G2702" s="200">
        <v>2.731594067E9</v>
      </c>
      <c r="H2702" s="197">
        <v>13.05</v>
      </c>
      <c r="I2702" s="7" t="s">
        <v>16815</v>
      </c>
      <c r="J2702" s="7" t="s">
        <v>17111</v>
      </c>
      <c r="K2702" s="7" t="s">
        <v>17112</v>
      </c>
      <c r="L2702" s="201" t="s">
        <v>16835</v>
      </c>
      <c r="M2702" s="199"/>
      <c r="N2702" s="199"/>
    </row>
    <row r="2703">
      <c r="A2703" s="193" t="s">
        <v>20256</v>
      </c>
      <c r="B2703" s="7" t="s">
        <v>17112</v>
      </c>
      <c r="C2703" s="7" t="s">
        <v>17111</v>
      </c>
      <c r="D2703" s="199"/>
      <c r="E2703" s="193"/>
      <c r="F2703" s="195" t="s">
        <v>20257</v>
      </c>
      <c r="G2703" s="196">
        <v>2.731594067E9</v>
      </c>
      <c r="H2703" s="197">
        <v>13.05</v>
      </c>
      <c r="I2703" s="7" t="s">
        <v>16815</v>
      </c>
      <c r="J2703" s="7" t="s">
        <v>17112</v>
      </c>
      <c r="K2703" s="7" t="s">
        <v>17111</v>
      </c>
      <c r="L2703" s="198" t="s">
        <v>65</v>
      </c>
      <c r="M2703" s="199"/>
      <c r="N2703" s="199"/>
    </row>
    <row r="2704">
      <c r="A2704" s="193" t="s">
        <v>20258</v>
      </c>
      <c r="B2704" s="7" t="s">
        <v>16582</v>
      </c>
      <c r="C2704" s="7" t="s">
        <v>17339</v>
      </c>
      <c r="D2704" s="194">
        <v>1993.0</v>
      </c>
      <c r="E2704" s="193"/>
      <c r="F2704" s="195" t="s">
        <v>20259</v>
      </c>
      <c r="G2704" s="196">
        <v>2.730870006E9</v>
      </c>
      <c r="H2704" s="197">
        <v>47.72</v>
      </c>
      <c r="I2704" s="7" t="s">
        <v>16815</v>
      </c>
      <c r="J2704" s="7" t="s">
        <v>16582</v>
      </c>
      <c r="K2704" s="7" t="s">
        <v>17339</v>
      </c>
      <c r="L2704" s="198" t="s">
        <v>65</v>
      </c>
      <c r="M2704" s="194"/>
      <c r="N2704" s="194"/>
    </row>
    <row r="2705">
      <c r="A2705" s="193" t="s">
        <v>20260</v>
      </c>
      <c r="B2705" s="7" t="s">
        <v>16838</v>
      </c>
      <c r="C2705" s="7" t="s">
        <v>16867</v>
      </c>
      <c r="D2705" s="194">
        <v>1994.0</v>
      </c>
      <c r="E2705" s="193"/>
      <c r="F2705" s="195" t="s">
        <v>20261</v>
      </c>
      <c r="G2705" s="196">
        <v>2.724103806E9</v>
      </c>
      <c r="H2705" s="197">
        <v>39.45</v>
      </c>
      <c r="I2705" s="7" t="s">
        <v>16872</v>
      </c>
      <c r="J2705" s="7" t="s">
        <v>16838</v>
      </c>
      <c r="K2705" s="7" t="s">
        <v>16867</v>
      </c>
      <c r="L2705" s="198" t="s">
        <v>65</v>
      </c>
      <c r="M2705" s="194"/>
      <c r="N2705" s="194"/>
    </row>
    <row r="2706">
      <c r="A2706" s="193" t="s">
        <v>20262</v>
      </c>
      <c r="B2706" s="7" t="s">
        <v>16910</v>
      </c>
      <c r="C2706" s="7" t="s">
        <v>17648</v>
      </c>
      <c r="D2706" s="194">
        <v>2019.0</v>
      </c>
      <c r="E2706" s="193"/>
      <c r="F2706" s="195" t="s">
        <v>20263</v>
      </c>
      <c r="G2706" s="196">
        <v>2.723947836E9</v>
      </c>
      <c r="H2706" s="197">
        <v>27.44</v>
      </c>
      <c r="I2706" s="7" t="s">
        <v>127</v>
      </c>
      <c r="J2706" s="7" t="s">
        <v>16910</v>
      </c>
      <c r="K2706" s="7" t="s">
        <v>17648</v>
      </c>
      <c r="L2706" s="198" t="s">
        <v>65</v>
      </c>
      <c r="M2706" s="194"/>
      <c r="N2706" s="194"/>
    </row>
    <row r="2707">
      <c r="A2707" s="193" t="s">
        <v>20264</v>
      </c>
      <c r="B2707" s="7" t="s">
        <v>17111</v>
      </c>
      <c r="C2707" s="7" t="s">
        <v>17112</v>
      </c>
      <c r="D2707" s="194">
        <v>2020.0</v>
      </c>
      <c r="E2707" s="193"/>
      <c r="F2707" s="195" t="s">
        <v>20265</v>
      </c>
      <c r="G2707" s="200">
        <v>2.72084389E9</v>
      </c>
      <c r="H2707" s="197">
        <v>14.53</v>
      </c>
      <c r="I2707" s="7" t="s">
        <v>16815</v>
      </c>
      <c r="J2707" s="7" t="s">
        <v>17111</v>
      </c>
      <c r="K2707" s="7" t="s">
        <v>17112</v>
      </c>
      <c r="L2707" s="201" t="s">
        <v>16835</v>
      </c>
      <c r="M2707" s="194"/>
      <c r="N2707" s="194"/>
    </row>
    <row r="2708">
      <c r="A2708" s="193" t="s">
        <v>20264</v>
      </c>
      <c r="B2708" s="7" t="s">
        <v>17112</v>
      </c>
      <c r="C2708" s="7" t="s">
        <v>17111</v>
      </c>
      <c r="D2708" s="194">
        <v>2020.0</v>
      </c>
      <c r="E2708" s="193"/>
      <c r="F2708" s="195" t="s">
        <v>20265</v>
      </c>
      <c r="G2708" s="196">
        <v>2.72084389E9</v>
      </c>
      <c r="H2708" s="197">
        <v>14.53</v>
      </c>
      <c r="I2708" s="7" t="s">
        <v>16815</v>
      </c>
      <c r="J2708" s="7" t="s">
        <v>17112</v>
      </c>
      <c r="K2708" s="7" t="s">
        <v>17111</v>
      </c>
      <c r="L2708" s="198" t="s">
        <v>65</v>
      </c>
      <c r="M2708" s="194"/>
      <c r="N2708" s="194"/>
    </row>
    <row r="2709">
      <c r="A2709" s="193" t="s">
        <v>20266</v>
      </c>
      <c r="B2709" s="7" t="s">
        <v>187</v>
      </c>
      <c r="C2709" s="7" t="s">
        <v>16846</v>
      </c>
      <c r="D2709" s="194">
        <v>2015.0</v>
      </c>
      <c r="E2709" s="193"/>
      <c r="F2709" s="195" t="s">
        <v>20267</v>
      </c>
      <c r="G2709" s="196">
        <v>2.717088389E9</v>
      </c>
      <c r="H2709" s="197">
        <v>57.42</v>
      </c>
      <c r="I2709" s="7" t="s">
        <v>16815</v>
      </c>
      <c r="J2709" s="7" t="s">
        <v>187</v>
      </c>
      <c r="K2709" s="7" t="s">
        <v>16846</v>
      </c>
      <c r="L2709" s="198" t="s">
        <v>65</v>
      </c>
      <c r="M2709" s="194"/>
      <c r="N2709" s="194"/>
    </row>
    <row r="2710">
      <c r="A2710" s="193" t="s">
        <v>20268</v>
      </c>
      <c r="B2710" s="7" t="s">
        <v>16926</v>
      </c>
      <c r="C2710" s="7" t="s">
        <v>16957</v>
      </c>
      <c r="D2710" s="199"/>
      <c r="E2710" s="193"/>
      <c r="F2710" s="195" t="s">
        <v>20269</v>
      </c>
      <c r="G2710" s="196">
        <v>2.71618E9</v>
      </c>
      <c r="H2710" s="197">
        <v>40.54</v>
      </c>
      <c r="I2710" s="7" t="s">
        <v>16815</v>
      </c>
      <c r="J2710" s="7" t="s">
        <v>16926</v>
      </c>
      <c r="K2710" s="7" t="s">
        <v>16957</v>
      </c>
      <c r="L2710" s="198" t="s">
        <v>65</v>
      </c>
      <c r="M2710" s="199"/>
      <c r="N2710" s="199"/>
    </row>
    <row r="2711">
      <c r="A2711" s="193" t="s">
        <v>20270</v>
      </c>
      <c r="B2711" s="7" t="s">
        <v>16838</v>
      </c>
      <c r="C2711" s="7" t="s">
        <v>17104</v>
      </c>
      <c r="D2711" s="194">
        <v>2018.0</v>
      </c>
      <c r="E2711" s="193"/>
      <c r="F2711" s="195" t="s">
        <v>20271</v>
      </c>
      <c r="G2711" s="196">
        <v>2.715847152E9</v>
      </c>
      <c r="H2711" s="197">
        <v>72.05</v>
      </c>
      <c r="I2711" s="7" t="s">
        <v>16815</v>
      </c>
      <c r="J2711" s="7" t="s">
        <v>16838</v>
      </c>
      <c r="K2711" s="7" t="s">
        <v>17104</v>
      </c>
      <c r="L2711" s="198" t="s">
        <v>65</v>
      </c>
      <c r="M2711" s="194"/>
      <c r="N2711" s="194"/>
    </row>
    <row r="2712">
      <c r="A2712" s="193" t="s">
        <v>20272</v>
      </c>
      <c r="B2712" s="7" t="s">
        <v>158</v>
      </c>
      <c r="C2712" s="7" t="s">
        <v>20100</v>
      </c>
      <c r="D2712" s="194">
        <v>2016.0</v>
      </c>
      <c r="E2712" s="193"/>
      <c r="F2712" s="195" t="s">
        <v>20273</v>
      </c>
      <c r="G2712" s="196">
        <v>2.715557272E9</v>
      </c>
      <c r="H2712" s="197">
        <v>147.83</v>
      </c>
      <c r="I2712" s="7" t="s">
        <v>18397</v>
      </c>
      <c r="J2712" s="7" t="s">
        <v>158</v>
      </c>
      <c r="K2712" s="7" t="s">
        <v>20100</v>
      </c>
      <c r="L2712" s="198" t="s">
        <v>65</v>
      </c>
      <c r="M2712" s="194"/>
      <c r="N2712" s="194"/>
    </row>
    <row r="2713">
      <c r="A2713" s="193" t="s">
        <v>20272</v>
      </c>
      <c r="B2713" s="7" t="s">
        <v>20100</v>
      </c>
      <c r="C2713" s="7" t="s">
        <v>158</v>
      </c>
      <c r="D2713" s="194">
        <v>2016.0</v>
      </c>
      <c r="E2713" s="193"/>
      <c r="F2713" s="195" t="s">
        <v>20273</v>
      </c>
      <c r="G2713" s="200">
        <v>2.715557272E9</v>
      </c>
      <c r="H2713" s="197">
        <v>147.83</v>
      </c>
      <c r="I2713" s="7" t="s">
        <v>16815</v>
      </c>
      <c r="J2713" s="7" t="s">
        <v>20100</v>
      </c>
      <c r="K2713" s="7" t="s">
        <v>158</v>
      </c>
      <c r="L2713" s="201" t="s">
        <v>16835</v>
      </c>
      <c r="M2713" s="194"/>
      <c r="N2713" s="194"/>
    </row>
    <row r="2714">
      <c r="A2714" s="193" t="s">
        <v>20274</v>
      </c>
      <c r="B2714" s="7" t="s">
        <v>175</v>
      </c>
      <c r="C2714" s="7" t="s">
        <v>17168</v>
      </c>
      <c r="D2714" s="199"/>
      <c r="E2714" s="193"/>
      <c r="F2714" s="195" t="s">
        <v>20275</v>
      </c>
      <c r="G2714" s="196">
        <v>2.715290169E9</v>
      </c>
      <c r="H2714" s="197">
        <v>76.45</v>
      </c>
      <c r="I2714" s="7" t="s">
        <v>16856</v>
      </c>
      <c r="J2714" s="7" t="s">
        <v>175</v>
      </c>
      <c r="K2714" s="7" t="s">
        <v>17168</v>
      </c>
      <c r="L2714" s="198" t="s">
        <v>65</v>
      </c>
      <c r="M2714" s="199"/>
      <c r="N2714" s="199"/>
    </row>
    <row r="2715">
      <c r="A2715" s="193" t="s">
        <v>20274</v>
      </c>
      <c r="B2715" s="7" t="s">
        <v>17168</v>
      </c>
      <c r="C2715" s="7" t="s">
        <v>175</v>
      </c>
      <c r="D2715" s="199"/>
      <c r="E2715" s="193"/>
      <c r="F2715" s="195" t="s">
        <v>20275</v>
      </c>
      <c r="G2715" s="200">
        <v>2.715290169E9</v>
      </c>
      <c r="H2715" s="197">
        <v>76.45</v>
      </c>
      <c r="I2715" s="7" t="s">
        <v>16815</v>
      </c>
      <c r="J2715" s="7" t="s">
        <v>17168</v>
      </c>
      <c r="K2715" s="7" t="s">
        <v>175</v>
      </c>
      <c r="L2715" s="201" t="s">
        <v>16835</v>
      </c>
      <c r="M2715" s="199"/>
      <c r="N2715" s="199"/>
    </row>
    <row r="2716">
      <c r="A2716" s="193" t="s">
        <v>20276</v>
      </c>
      <c r="B2716" s="7" t="s">
        <v>187</v>
      </c>
      <c r="C2716" s="7" t="s">
        <v>16858</v>
      </c>
      <c r="D2716" s="194">
        <v>2021.0</v>
      </c>
      <c r="E2716" s="193"/>
      <c r="F2716" s="195" t="s">
        <v>20277</v>
      </c>
      <c r="G2716" s="196">
        <v>2.711598792E9</v>
      </c>
      <c r="H2716" s="197">
        <v>1.28</v>
      </c>
      <c r="I2716" s="7" t="s">
        <v>16815</v>
      </c>
      <c r="J2716" s="7" t="s">
        <v>187</v>
      </c>
      <c r="K2716" s="7" t="s">
        <v>16858</v>
      </c>
      <c r="L2716" s="198" t="s">
        <v>65</v>
      </c>
      <c r="M2716" s="194"/>
      <c r="N2716" s="194"/>
    </row>
    <row r="2717">
      <c r="A2717" s="193" t="s">
        <v>20276</v>
      </c>
      <c r="B2717" s="7" t="s">
        <v>16858</v>
      </c>
      <c r="C2717" s="7" t="s">
        <v>187</v>
      </c>
      <c r="D2717" s="194">
        <v>2021.0</v>
      </c>
      <c r="E2717" s="193"/>
      <c r="F2717" s="195" t="s">
        <v>20277</v>
      </c>
      <c r="G2717" s="200">
        <v>2.711598792E9</v>
      </c>
      <c r="H2717" s="197">
        <v>1.28</v>
      </c>
      <c r="I2717" s="7" t="s">
        <v>16815</v>
      </c>
      <c r="J2717" s="7" t="s">
        <v>16858</v>
      </c>
      <c r="K2717" s="7" t="s">
        <v>187</v>
      </c>
      <c r="L2717" s="201" t="s">
        <v>16835</v>
      </c>
      <c r="M2717" s="194"/>
      <c r="N2717" s="194"/>
    </row>
    <row r="2718">
      <c r="A2718" s="193" t="s">
        <v>20278</v>
      </c>
      <c r="B2718" s="7" t="s">
        <v>16838</v>
      </c>
      <c r="C2718" s="7" t="s">
        <v>16867</v>
      </c>
      <c r="D2718" s="194">
        <v>1993.0</v>
      </c>
      <c r="E2718" s="193"/>
      <c r="F2718" s="195" t="s">
        <v>20279</v>
      </c>
      <c r="G2718" s="196">
        <v>2.699554226E9</v>
      </c>
      <c r="H2718" s="197">
        <v>82.0</v>
      </c>
      <c r="I2718" s="7" t="s">
        <v>16924</v>
      </c>
      <c r="J2718" s="7" t="s">
        <v>16838</v>
      </c>
      <c r="K2718" s="7" t="s">
        <v>16867</v>
      </c>
      <c r="L2718" s="198" t="s">
        <v>65</v>
      </c>
      <c r="M2718" s="194"/>
      <c r="N2718" s="194"/>
    </row>
    <row r="2719">
      <c r="A2719" s="193" t="s">
        <v>20280</v>
      </c>
      <c r="B2719" s="7" t="s">
        <v>16582</v>
      </c>
      <c r="C2719" s="7" t="s">
        <v>16828</v>
      </c>
      <c r="D2719" s="194">
        <v>1994.0</v>
      </c>
      <c r="E2719" s="193"/>
      <c r="F2719" s="195" t="s">
        <v>20281</v>
      </c>
      <c r="G2719" s="196">
        <v>2.6995265E9</v>
      </c>
      <c r="H2719" s="197">
        <v>24.53</v>
      </c>
      <c r="I2719" s="7" t="s">
        <v>16815</v>
      </c>
      <c r="J2719" s="7" t="s">
        <v>16582</v>
      </c>
      <c r="K2719" s="7" t="s">
        <v>16828</v>
      </c>
      <c r="L2719" s="198" t="s">
        <v>65</v>
      </c>
      <c r="M2719" s="194"/>
      <c r="N2719" s="194"/>
    </row>
    <row r="2720">
      <c r="A2720" s="193" t="s">
        <v>20282</v>
      </c>
      <c r="B2720" s="7" t="s">
        <v>16957</v>
      </c>
      <c r="C2720" s="7" t="s">
        <v>16926</v>
      </c>
      <c r="D2720" s="199"/>
      <c r="E2720" s="193"/>
      <c r="F2720" s="195" t="s">
        <v>20283</v>
      </c>
      <c r="G2720" s="200">
        <v>2.698884248E9</v>
      </c>
      <c r="H2720" s="197">
        <v>64.75</v>
      </c>
      <c r="I2720" s="7" t="s">
        <v>16815</v>
      </c>
      <c r="J2720" s="7" t="s">
        <v>16957</v>
      </c>
      <c r="K2720" s="7" t="s">
        <v>16926</v>
      </c>
      <c r="L2720" s="201" t="s">
        <v>16835</v>
      </c>
      <c r="M2720" s="199"/>
      <c r="N2720" s="199"/>
    </row>
    <row r="2721">
      <c r="A2721" s="193" t="s">
        <v>20282</v>
      </c>
      <c r="B2721" s="7" t="s">
        <v>16926</v>
      </c>
      <c r="C2721" s="7" t="s">
        <v>16957</v>
      </c>
      <c r="D2721" s="199"/>
      <c r="E2721" s="193"/>
      <c r="F2721" s="195" t="s">
        <v>20283</v>
      </c>
      <c r="G2721" s="196">
        <v>2.698884248E9</v>
      </c>
      <c r="H2721" s="197">
        <v>64.75</v>
      </c>
      <c r="I2721" s="7" t="s">
        <v>16815</v>
      </c>
      <c r="J2721" s="7" t="s">
        <v>16926</v>
      </c>
      <c r="K2721" s="7" t="s">
        <v>16957</v>
      </c>
      <c r="L2721" s="198" t="s">
        <v>65</v>
      </c>
      <c r="M2721" s="199"/>
      <c r="N2721" s="199"/>
    </row>
    <row r="2722">
      <c r="A2722" s="193" t="s">
        <v>20284</v>
      </c>
      <c r="B2722" s="7" t="s">
        <v>16838</v>
      </c>
      <c r="C2722" s="7" t="s">
        <v>17002</v>
      </c>
      <c r="D2722" s="194">
        <v>2014.0</v>
      </c>
      <c r="E2722" s="193"/>
      <c r="F2722" s="195" t="s">
        <v>20285</v>
      </c>
      <c r="G2722" s="196">
        <v>2.694884499E9</v>
      </c>
      <c r="H2722" s="197">
        <v>2.27</v>
      </c>
      <c r="I2722" s="7" t="s">
        <v>16924</v>
      </c>
      <c r="J2722" s="7" t="s">
        <v>16838</v>
      </c>
      <c r="K2722" s="7" t="s">
        <v>17002</v>
      </c>
      <c r="L2722" s="198" t="s">
        <v>65</v>
      </c>
      <c r="M2722" s="194"/>
      <c r="N2722" s="194"/>
    </row>
    <row r="2723">
      <c r="A2723" s="193" t="s">
        <v>20284</v>
      </c>
      <c r="B2723" s="7" t="s">
        <v>17002</v>
      </c>
      <c r="C2723" s="7" t="s">
        <v>16838</v>
      </c>
      <c r="D2723" s="194">
        <v>2014.0</v>
      </c>
      <c r="E2723" s="193"/>
      <c r="F2723" s="195" t="s">
        <v>20285</v>
      </c>
      <c r="G2723" s="200">
        <v>2.694884499E9</v>
      </c>
      <c r="H2723" s="197">
        <v>2.27</v>
      </c>
      <c r="I2723" s="7" t="s">
        <v>16815</v>
      </c>
      <c r="J2723" s="7" t="s">
        <v>17002</v>
      </c>
      <c r="K2723" s="7" t="s">
        <v>16838</v>
      </c>
      <c r="L2723" s="201" t="s">
        <v>16835</v>
      </c>
      <c r="M2723" s="194"/>
      <c r="N2723" s="194"/>
    </row>
    <row r="2724">
      <c r="A2724" s="193" t="s">
        <v>20286</v>
      </c>
      <c r="B2724" s="7" t="s">
        <v>175</v>
      </c>
      <c r="C2724" s="7" t="s">
        <v>17168</v>
      </c>
      <c r="D2724" s="194">
        <v>2021.0</v>
      </c>
      <c r="E2724" s="193"/>
      <c r="F2724" s="195" t="s">
        <v>20287</v>
      </c>
      <c r="G2724" s="196">
        <v>2.694730122E9</v>
      </c>
      <c r="H2724" s="197">
        <v>13.72</v>
      </c>
      <c r="I2724" s="7" t="s">
        <v>168</v>
      </c>
      <c r="J2724" s="7" t="s">
        <v>175</v>
      </c>
      <c r="K2724" s="7" t="s">
        <v>17168</v>
      </c>
      <c r="L2724" s="198" t="s">
        <v>65</v>
      </c>
      <c r="M2724" s="194"/>
      <c r="N2724" s="194"/>
    </row>
    <row r="2725">
      <c r="A2725" s="193" t="s">
        <v>20286</v>
      </c>
      <c r="B2725" s="7" t="s">
        <v>17168</v>
      </c>
      <c r="C2725" s="7" t="s">
        <v>175</v>
      </c>
      <c r="D2725" s="194">
        <v>2021.0</v>
      </c>
      <c r="E2725" s="193"/>
      <c r="F2725" s="195" t="s">
        <v>20287</v>
      </c>
      <c r="G2725" s="200">
        <v>2.694730122E9</v>
      </c>
      <c r="H2725" s="197">
        <v>13.72</v>
      </c>
      <c r="I2725" s="7" t="s">
        <v>16815</v>
      </c>
      <c r="J2725" s="7" t="s">
        <v>17168</v>
      </c>
      <c r="K2725" s="7" t="s">
        <v>175</v>
      </c>
      <c r="L2725" s="201" t="s">
        <v>16835</v>
      </c>
      <c r="M2725" s="194"/>
      <c r="N2725" s="194"/>
    </row>
    <row r="2726">
      <c r="A2726" s="193" t="s">
        <v>20288</v>
      </c>
      <c r="B2726" s="7" t="s">
        <v>16582</v>
      </c>
      <c r="C2726" s="7" t="s">
        <v>16817</v>
      </c>
      <c r="D2726" s="194">
        <v>2021.0</v>
      </c>
      <c r="E2726" s="193"/>
      <c r="F2726" s="195" t="s">
        <v>20289</v>
      </c>
      <c r="G2726" s="196">
        <v>2.690082414E9</v>
      </c>
      <c r="H2726" s="197">
        <v>38.66</v>
      </c>
      <c r="I2726" s="7" t="s">
        <v>16815</v>
      </c>
      <c r="J2726" s="7" t="s">
        <v>16582</v>
      </c>
      <c r="K2726" s="7" t="s">
        <v>16817</v>
      </c>
      <c r="L2726" s="198" t="s">
        <v>65</v>
      </c>
      <c r="M2726" s="194"/>
      <c r="N2726" s="194"/>
    </row>
    <row r="2727">
      <c r="A2727" s="193" t="s">
        <v>20290</v>
      </c>
      <c r="B2727" s="7" t="s">
        <v>175</v>
      </c>
      <c r="C2727" s="7" t="s">
        <v>17350</v>
      </c>
      <c r="D2727" s="194">
        <v>2020.0</v>
      </c>
      <c r="E2727" s="193"/>
      <c r="F2727" s="195" t="s">
        <v>20291</v>
      </c>
      <c r="G2727" s="196">
        <v>2.677900234E9</v>
      </c>
      <c r="H2727" s="197">
        <v>5.47</v>
      </c>
      <c r="I2727" s="7" t="s">
        <v>17872</v>
      </c>
      <c r="J2727" s="7" t="s">
        <v>175</v>
      </c>
      <c r="K2727" s="7" t="s">
        <v>17350</v>
      </c>
      <c r="L2727" s="198" t="s">
        <v>65</v>
      </c>
      <c r="M2727" s="194"/>
      <c r="N2727" s="194"/>
    </row>
    <row r="2728">
      <c r="A2728" s="193" t="s">
        <v>20290</v>
      </c>
      <c r="B2728" s="7" t="s">
        <v>17350</v>
      </c>
      <c r="C2728" s="7" t="s">
        <v>175</v>
      </c>
      <c r="D2728" s="194">
        <v>2020.0</v>
      </c>
      <c r="E2728" s="193"/>
      <c r="F2728" s="195" t="s">
        <v>20291</v>
      </c>
      <c r="G2728" s="200">
        <v>2.677900234E9</v>
      </c>
      <c r="H2728" s="197">
        <v>5.47</v>
      </c>
      <c r="I2728" s="7" t="s">
        <v>16815</v>
      </c>
      <c r="J2728" s="7" t="s">
        <v>17350</v>
      </c>
      <c r="K2728" s="7" t="s">
        <v>175</v>
      </c>
      <c r="L2728" s="201" t="s">
        <v>16835</v>
      </c>
      <c r="M2728" s="194"/>
      <c r="N2728" s="194"/>
    </row>
    <row r="2729">
      <c r="A2729" s="193" t="s">
        <v>20292</v>
      </c>
      <c r="B2729" s="7" t="s">
        <v>175</v>
      </c>
      <c r="C2729" s="7" t="s">
        <v>17457</v>
      </c>
      <c r="D2729" s="194">
        <v>1993.0</v>
      </c>
      <c r="E2729" s="193"/>
      <c r="F2729" s="195" t="s">
        <v>20293</v>
      </c>
      <c r="G2729" s="196">
        <v>2.672622656E9</v>
      </c>
      <c r="H2729" s="197">
        <v>95.97</v>
      </c>
      <c r="I2729" s="7" t="s">
        <v>168</v>
      </c>
      <c r="J2729" s="7" t="s">
        <v>175</v>
      </c>
      <c r="K2729" s="7" t="s">
        <v>17457</v>
      </c>
      <c r="L2729" s="198" t="s">
        <v>65</v>
      </c>
      <c r="M2729" s="194"/>
      <c r="N2729" s="194"/>
    </row>
    <row r="2730">
      <c r="A2730" s="193" t="s">
        <v>20292</v>
      </c>
      <c r="B2730" s="7" t="s">
        <v>17457</v>
      </c>
      <c r="C2730" s="7" t="s">
        <v>175</v>
      </c>
      <c r="D2730" s="194">
        <v>1993.0</v>
      </c>
      <c r="E2730" s="193"/>
      <c r="F2730" s="195" t="s">
        <v>20293</v>
      </c>
      <c r="G2730" s="200">
        <v>2.672622656E9</v>
      </c>
      <c r="H2730" s="197">
        <v>95.97</v>
      </c>
      <c r="I2730" s="7" t="s">
        <v>16815</v>
      </c>
      <c r="J2730" s="7" t="s">
        <v>17457</v>
      </c>
      <c r="K2730" s="7" t="s">
        <v>175</v>
      </c>
      <c r="L2730" s="201" t="s">
        <v>16835</v>
      </c>
      <c r="M2730" s="194"/>
      <c r="N2730" s="194"/>
    </row>
    <row r="2731">
      <c r="A2731" s="193" t="s">
        <v>20294</v>
      </c>
      <c r="B2731" s="7" t="s">
        <v>16838</v>
      </c>
      <c r="C2731" s="7" t="s">
        <v>16867</v>
      </c>
      <c r="D2731" s="199"/>
      <c r="E2731" s="193"/>
      <c r="F2731" s="195" t="s">
        <v>20295</v>
      </c>
      <c r="G2731" s="196">
        <v>2.662769065E9</v>
      </c>
      <c r="H2731" s="197">
        <v>22.38</v>
      </c>
      <c r="I2731" s="7" t="s">
        <v>16815</v>
      </c>
      <c r="J2731" s="7" t="s">
        <v>16838</v>
      </c>
      <c r="K2731" s="7" t="s">
        <v>16867</v>
      </c>
      <c r="L2731" s="198" t="s">
        <v>65</v>
      </c>
      <c r="M2731" s="199"/>
      <c r="N2731" s="199"/>
    </row>
    <row r="2732">
      <c r="A2732" s="193" t="s">
        <v>20296</v>
      </c>
      <c r="B2732" s="7" t="s">
        <v>16582</v>
      </c>
      <c r="C2732" s="7" t="s">
        <v>16817</v>
      </c>
      <c r="D2732" s="194">
        <v>2017.0</v>
      </c>
      <c r="E2732" s="193"/>
      <c r="F2732" s="195" t="s">
        <v>20297</v>
      </c>
      <c r="G2732" s="196">
        <v>2.658761165E9</v>
      </c>
      <c r="H2732" s="197">
        <v>37.04</v>
      </c>
      <c r="I2732" s="7" t="s">
        <v>16815</v>
      </c>
      <c r="J2732" s="7" t="s">
        <v>16582</v>
      </c>
      <c r="K2732" s="7" t="s">
        <v>16817</v>
      </c>
      <c r="L2732" s="198" t="s">
        <v>65</v>
      </c>
      <c r="M2732" s="194"/>
      <c r="N2732" s="194"/>
    </row>
    <row r="2733">
      <c r="A2733" s="193" t="s">
        <v>20296</v>
      </c>
      <c r="B2733" s="7" t="s">
        <v>16817</v>
      </c>
      <c r="C2733" s="7" t="s">
        <v>16582</v>
      </c>
      <c r="D2733" s="194">
        <v>2017.0</v>
      </c>
      <c r="E2733" s="193"/>
      <c r="F2733" s="195" t="s">
        <v>20297</v>
      </c>
      <c r="G2733" s="200">
        <v>2.658761165E9</v>
      </c>
      <c r="H2733" s="197">
        <v>37.04</v>
      </c>
      <c r="I2733" s="7" t="s">
        <v>16815</v>
      </c>
      <c r="J2733" s="7" t="s">
        <v>16817</v>
      </c>
      <c r="K2733" s="7" t="s">
        <v>16582</v>
      </c>
      <c r="L2733" s="201" t="s">
        <v>16835</v>
      </c>
      <c r="M2733" s="194"/>
      <c r="N2733" s="194"/>
    </row>
    <row r="2734">
      <c r="A2734" s="193" t="s">
        <v>20298</v>
      </c>
      <c r="B2734" s="7" t="s">
        <v>16885</v>
      </c>
      <c r="C2734" s="7" t="s">
        <v>16886</v>
      </c>
      <c r="D2734" s="194">
        <v>2020.0</v>
      </c>
      <c r="E2734" s="193"/>
      <c r="F2734" s="195" t="s">
        <v>20299</v>
      </c>
      <c r="G2734" s="196">
        <v>2.656556967E9</v>
      </c>
      <c r="H2734" s="197">
        <v>14.94</v>
      </c>
      <c r="I2734" s="7" t="s">
        <v>19569</v>
      </c>
      <c r="J2734" s="7" t="s">
        <v>16885</v>
      </c>
      <c r="K2734" s="7" t="s">
        <v>16886</v>
      </c>
      <c r="L2734" s="198" t="s">
        <v>65</v>
      </c>
      <c r="M2734" s="194"/>
      <c r="N2734" s="194"/>
    </row>
    <row r="2735">
      <c r="A2735" s="193" t="s">
        <v>20298</v>
      </c>
      <c r="B2735" s="7" t="s">
        <v>16886</v>
      </c>
      <c r="C2735" s="7" t="s">
        <v>16885</v>
      </c>
      <c r="D2735" s="194">
        <v>2020.0</v>
      </c>
      <c r="E2735" s="193"/>
      <c r="F2735" s="195" t="s">
        <v>20299</v>
      </c>
      <c r="G2735" s="200">
        <v>2.656556967E9</v>
      </c>
      <c r="H2735" s="197">
        <v>14.94</v>
      </c>
      <c r="I2735" s="7" t="s">
        <v>16815</v>
      </c>
      <c r="J2735" s="7" t="s">
        <v>16886</v>
      </c>
      <c r="K2735" s="7" t="s">
        <v>16885</v>
      </c>
      <c r="L2735" s="201" t="s">
        <v>16835</v>
      </c>
      <c r="M2735" s="194"/>
      <c r="N2735" s="194"/>
    </row>
    <row r="2736">
      <c r="A2736" s="193" t="s">
        <v>20300</v>
      </c>
      <c r="B2736" s="7" t="s">
        <v>17111</v>
      </c>
      <c r="C2736" s="7" t="s">
        <v>17112</v>
      </c>
      <c r="D2736" s="199"/>
      <c r="E2736" s="193"/>
      <c r="F2736" s="195" t="s">
        <v>20301</v>
      </c>
      <c r="G2736" s="200">
        <v>2.648214204E9</v>
      </c>
      <c r="H2736" s="197">
        <v>23.53</v>
      </c>
      <c r="I2736" s="7" t="s">
        <v>16815</v>
      </c>
      <c r="J2736" s="7" t="s">
        <v>17111</v>
      </c>
      <c r="K2736" s="7" t="s">
        <v>17112</v>
      </c>
      <c r="L2736" s="201" t="s">
        <v>16835</v>
      </c>
      <c r="M2736" s="199"/>
      <c r="N2736" s="199"/>
    </row>
    <row r="2737">
      <c r="A2737" s="193" t="s">
        <v>20300</v>
      </c>
      <c r="B2737" s="7" t="s">
        <v>17112</v>
      </c>
      <c r="C2737" s="7" t="s">
        <v>17111</v>
      </c>
      <c r="D2737" s="199"/>
      <c r="E2737" s="193"/>
      <c r="F2737" s="195" t="s">
        <v>20301</v>
      </c>
      <c r="G2737" s="196">
        <v>2.648214204E9</v>
      </c>
      <c r="H2737" s="197">
        <v>23.53</v>
      </c>
      <c r="I2737" s="7" t="s">
        <v>16815</v>
      </c>
      <c r="J2737" s="7" t="s">
        <v>17112</v>
      </c>
      <c r="K2737" s="7" t="s">
        <v>17111</v>
      </c>
      <c r="L2737" s="198" t="s">
        <v>65</v>
      </c>
      <c r="M2737" s="199"/>
      <c r="N2737" s="199"/>
    </row>
    <row r="2738">
      <c r="A2738" s="193" t="s">
        <v>20302</v>
      </c>
      <c r="B2738" s="7" t="s">
        <v>175</v>
      </c>
      <c r="C2738" s="7" t="s">
        <v>17457</v>
      </c>
      <c r="D2738" s="194">
        <v>2013.0</v>
      </c>
      <c r="E2738" s="193"/>
      <c r="F2738" s="195" t="s">
        <v>20303</v>
      </c>
      <c r="G2738" s="196">
        <v>2.648107486E9</v>
      </c>
      <c r="H2738" s="197">
        <v>112.38</v>
      </c>
      <c r="I2738" s="7" t="s">
        <v>168</v>
      </c>
      <c r="J2738" s="7" t="s">
        <v>175</v>
      </c>
      <c r="K2738" s="7" t="s">
        <v>17457</v>
      </c>
      <c r="L2738" s="198" t="s">
        <v>65</v>
      </c>
      <c r="M2738" s="194"/>
      <c r="N2738" s="194"/>
    </row>
    <row r="2739">
      <c r="A2739" s="193" t="s">
        <v>20304</v>
      </c>
      <c r="B2739" s="7" t="s">
        <v>17019</v>
      </c>
      <c r="C2739" s="7" t="s">
        <v>16838</v>
      </c>
      <c r="D2739" s="194">
        <v>2004.0</v>
      </c>
      <c r="E2739" s="193"/>
      <c r="F2739" s="195" t="s">
        <v>20305</v>
      </c>
      <c r="G2739" s="200">
        <v>2.647971984E9</v>
      </c>
      <c r="H2739" s="197">
        <v>17.8</v>
      </c>
      <c r="I2739" s="7" t="s">
        <v>16815</v>
      </c>
      <c r="J2739" s="7" t="s">
        <v>17019</v>
      </c>
      <c r="K2739" s="7" t="s">
        <v>16838</v>
      </c>
      <c r="L2739" s="201" t="s">
        <v>16835</v>
      </c>
      <c r="M2739" s="194"/>
      <c r="N2739" s="194"/>
    </row>
    <row r="2740">
      <c r="A2740" s="193" t="s">
        <v>20304</v>
      </c>
      <c r="B2740" s="7" t="s">
        <v>16838</v>
      </c>
      <c r="C2740" s="7" t="s">
        <v>17019</v>
      </c>
      <c r="D2740" s="194">
        <v>2004.0</v>
      </c>
      <c r="E2740" s="193"/>
      <c r="F2740" s="195" t="s">
        <v>20305</v>
      </c>
      <c r="G2740" s="196">
        <v>2.647971984E9</v>
      </c>
      <c r="H2740" s="197">
        <v>17.8</v>
      </c>
      <c r="I2740" s="7" t="s">
        <v>16815</v>
      </c>
      <c r="J2740" s="7" t="s">
        <v>16838</v>
      </c>
      <c r="K2740" s="7" t="s">
        <v>17019</v>
      </c>
      <c r="L2740" s="198" t="s">
        <v>65</v>
      </c>
      <c r="M2740" s="194"/>
      <c r="N2740" s="194"/>
    </row>
    <row r="2741">
      <c r="A2741" s="193" t="s">
        <v>20306</v>
      </c>
      <c r="B2741" s="7" t="s">
        <v>175</v>
      </c>
      <c r="C2741" s="7" t="s">
        <v>18500</v>
      </c>
      <c r="D2741" s="199"/>
      <c r="E2741" s="193"/>
      <c r="F2741" s="195" t="s">
        <v>20307</v>
      </c>
      <c r="G2741" s="196">
        <v>2.641033524E9</v>
      </c>
      <c r="H2741" s="197">
        <v>8.58</v>
      </c>
      <c r="I2741" s="7" t="s">
        <v>16892</v>
      </c>
      <c r="J2741" s="7" t="s">
        <v>175</v>
      </c>
      <c r="K2741" s="7" t="s">
        <v>18500</v>
      </c>
      <c r="L2741" s="198" t="s">
        <v>65</v>
      </c>
      <c r="M2741" s="199"/>
      <c r="N2741" s="199"/>
    </row>
    <row r="2742">
      <c r="A2742" s="193" t="s">
        <v>20308</v>
      </c>
      <c r="B2742" s="7" t="s">
        <v>18633</v>
      </c>
      <c r="C2742" s="7" t="s">
        <v>187</v>
      </c>
      <c r="D2742" s="194">
        <v>2015.0</v>
      </c>
      <c r="E2742" s="193"/>
      <c r="F2742" s="195" t="s">
        <v>20309</v>
      </c>
      <c r="G2742" s="200">
        <v>2.640639015E9</v>
      </c>
      <c r="H2742" s="197">
        <v>15.95</v>
      </c>
      <c r="I2742" s="7" t="s">
        <v>16815</v>
      </c>
      <c r="J2742" s="7" t="s">
        <v>18633</v>
      </c>
      <c r="K2742" s="7" t="s">
        <v>187</v>
      </c>
      <c r="L2742" s="201" t="s">
        <v>16835</v>
      </c>
      <c r="M2742" s="194"/>
      <c r="N2742" s="194"/>
    </row>
    <row r="2743">
      <c r="A2743" s="193" t="s">
        <v>20308</v>
      </c>
      <c r="B2743" s="7" t="s">
        <v>187</v>
      </c>
      <c r="C2743" s="7" t="s">
        <v>18633</v>
      </c>
      <c r="D2743" s="194">
        <v>2015.0</v>
      </c>
      <c r="E2743" s="193"/>
      <c r="F2743" s="195" t="s">
        <v>20309</v>
      </c>
      <c r="G2743" s="196">
        <v>2.640639015E9</v>
      </c>
      <c r="H2743" s="197">
        <v>15.95</v>
      </c>
      <c r="I2743" s="7" t="s">
        <v>16815</v>
      </c>
      <c r="J2743" s="7" t="s">
        <v>187</v>
      </c>
      <c r="K2743" s="7" t="s">
        <v>18633</v>
      </c>
      <c r="L2743" s="198" t="s">
        <v>65</v>
      </c>
      <c r="M2743" s="194"/>
      <c r="N2743" s="194"/>
    </row>
    <row r="2744">
      <c r="A2744" s="193" t="s">
        <v>20310</v>
      </c>
      <c r="B2744" s="7" t="s">
        <v>16582</v>
      </c>
      <c r="C2744" s="7" t="s">
        <v>16583</v>
      </c>
      <c r="D2744" s="194">
        <v>2014.0</v>
      </c>
      <c r="E2744" s="193"/>
      <c r="F2744" s="195" t="s">
        <v>20311</v>
      </c>
      <c r="G2744" s="196">
        <v>2.634596933E9</v>
      </c>
      <c r="H2744" s="197">
        <v>11.25</v>
      </c>
      <c r="I2744" s="7" t="s">
        <v>16815</v>
      </c>
      <c r="J2744" s="7" t="s">
        <v>16582</v>
      </c>
      <c r="K2744" s="7" t="s">
        <v>16583</v>
      </c>
      <c r="L2744" s="198" t="s">
        <v>65</v>
      </c>
      <c r="M2744" s="194"/>
      <c r="N2744" s="194"/>
    </row>
    <row r="2745">
      <c r="A2745" s="193" t="s">
        <v>20312</v>
      </c>
      <c r="B2745" s="7" t="s">
        <v>169</v>
      </c>
      <c r="C2745" s="7" t="s">
        <v>18570</v>
      </c>
      <c r="D2745" s="199"/>
      <c r="E2745" s="193"/>
      <c r="F2745" s="195" t="s">
        <v>20313</v>
      </c>
      <c r="G2745" s="196">
        <v>2.630564701E9</v>
      </c>
      <c r="H2745" s="197">
        <v>169.16</v>
      </c>
      <c r="I2745" s="7" t="s">
        <v>16815</v>
      </c>
      <c r="J2745" s="7" t="s">
        <v>169</v>
      </c>
      <c r="K2745" s="7" t="s">
        <v>18570</v>
      </c>
      <c r="L2745" s="198" t="s">
        <v>65</v>
      </c>
      <c r="M2745" s="199"/>
      <c r="N2745" s="199"/>
    </row>
    <row r="2746">
      <c r="A2746" s="193" t="s">
        <v>20314</v>
      </c>
      <c r="B2746" s="7" t="s">
        <v>158</v>
      </c>
      <c r="C2746" s="7" t="s">
        <v>16920</v>
      </c>
      <c r="D2746" s="194">
        <v>2004.0</v>
      </c>
      <c r="E2746" s="193"/>
      <c r="F2746" s="195" t="s">
        <v>20315</v>
      </c>
      <c r="G2746" s="196">
        <v>2.623634171E9</v>
      </c>
      <c r="H2746" s="197">
        <v>20.75</v>
      </c>
      <c r="I2746" s="7" t="s">
        <v>17419</v>
      </c>
      <c r="J2746" s="7" t="s">
        <v>158</v>
      </c>
      <c r="K2746" s="7" t="s">
        <v>16920</v>
      </c>
      <c r="L2746" s="198" t="s">
        <v>65</v>
      </c>
      <c r="M2746" s="194"/>
      <c r="N2746" s="194"/>
    </row>
    <row r="2747">
      <c r="A2747" s="193" t="s">
        <v>20314</v>
      </c>
      <c r="B2747" s="7" t="s">
        <v>16920</v>
      </c>
      <c r="C2747" s="7" t="s">
        <v>158</v>
      </c>
      <c r="D2747" s="194">
        <v>2004.0</v>
      </c>
      <c r="E2747" s="193"/>
      <c r="F2747" s="195" t="s">
        <v>20315</v>
      </c>
      <c r="G2747" s="200">
        <v>2.623634171E9</v>
      </c>
      <c r="H2747" s="197">
        <v>20.75</v>
      </c>
      <c r="I2747" s="7" t="s">
        <v>16815</v>
      </c>
      <c r="J2747" s="7" t="s">
        <v>16920</v>
      </c>
      <c r="K2747" s="7" t="s">
        <v>158</v>
      </c>
      <c r="L2747" s="201" t="s">
        <v>16835</v>
      </c>
      <c r="M2747" s="194"/>
      <c r="N2747" s="194"/>
    </row>
    <row r="2748">
      <c r="A2748" s="193" t="s">
        <v>20316</v>
      </c>
      <c r="B2748" s="7" t="s">
        <v>17111</v>
      </c>
      <c r="C2748" s="7" t="s">
        <v>17112</v>
      </c>
      <c r="D2748" s="194">
        <v>2013.0</v>
      </c>
      <c r="E2748" s="193"/>
      <c r="F2748" s="195" t="s">
        <v>20317</v>
      </c>
      <c r="G2748" s="200">
        <v>2.623361928E9</v>
      </c>
      <c r="H2748" s="197">
        <v>11.0</v>
      </c>
      <c r="I2748" s="7" t="s">
        <v>16815</v>
      </c>
      <c r="J2748" s="7" t="s">
        <v>17111</v>
      </c>
      <c r="K2748" s="7" t="s">
        <v>17112</v>
      </c>
      <c r="L2748" s="201" t="s">
        <v>16835</v>
      </c>
      <c r="M2748" s="194"/>
      <c r="N2748" s="194"/>
    </row>
    <row r="2749">
      <c r="A2749" s="193" t="s">
        <v>20316</v>
      </c>
      <c r="B2749" s="7" t="s">
        <v>17112</v>
      </c>
      <c r="C2749" s="7" t="s">
        <v>17111</v>
      </c>
      <c r="D2749" s="194">
        <v>2013.0</v>
      </c>
      <c r="E2749" s="193"/>
      <c r="F2749" s="195" t="s">
        <v>20317</v>
      </c>
      <c r="G2749" s="196">
        <v>2.623361928E9</v>
      </c>
      <c r="H2749" s="197">
        <v>11.0</v>
      </c>
      <c r="I2749" s="7" t="s">
        <v>16815</v>
      </c>
      <c r="J2749" s="7" t="s">
        <v>17112</v>
      </c>
      <c r="K2749" s="7" t="s">
        <v>17111</v>
      </c>
      <c r="L2749" s="198" t="s">
        <v>65</v>
      </c>
      <c r="M2749" s="194"/>
      <c r="N2749" s="194"/>
    </row>
    <row r="2750">
      <c r="A2750" s="193" t="s">
        <v>20318</v>
      </c>
      <c r="B2750" s="7" t="s">
        <v>16838</v>
      </c>
      <c r="C2750" s="7" t="s">
        <v>17452</v>
      </c>
      <c r="D2750" s="199"/>
      <c r="E2750" s="193"/>
      <c r="F2750" s="195" t="s">
        <v>20319</v>
      </c>
      <c r="G2750" s="196">
        <v>2.620630838E9</v>
      </c>
      <c r="H2750" s="197">
        <v>39.99</v>
      </c>
      <c r="I2750" s="7" t="s">
        <v>16872</v>
      </c>
      <c r="J2750" s="7" t="s">
        <v>16838</v>
      </c>
      <c r="K2750" s="7" t="s">
        <v>17452</v>
      </c>
      <c r="L2750" s="198" t="s">
        <v>65</v>
      </c>
      <c r="M2750" s="199"/>
      <c r="N2750" s="199"/>
    </row>
    <row r="2751">
      <c r="A2751" s="193" t="s">
        <v>20318</v>
      </c>
      <c r="B2751" s="7" t="s">
        <v>17452</v>
      </c>
      <c r="C2751" s="7" t="s">
        <v>16838</v>
      </c>
      <c r="D2751" s="199"/>
      <c r="E2751" s="193"/>
      <c r="F2751" s="195" t="s">
        <v>20319</v>
      </c>
      <c r="G2751" s="200">
        <v>2.620630838E9</v>
      </c>
      <c r="H2751" s="197">
        <v>39.99</v>
      </c>
      <c r="I2751" s="7" t="s">
        <v>16815</v>
      </c>
      <c r="J2751" s="7" t="s">
        <v>17452</v>
      </c>
      <c r="K2751" s="7" t="s">
        <v>16838</v>
      </c>
      <c r="L2751" s="201" t="s">
        <v>16835</v>
      </c>
      <c r="M2751" s="199"/>
      <c r="N2751" s="199"/>
    </row>
    <row r="2752">
      <c r="A2752" s="193" t="s">
        <v>20320</v>
      </c>
      <c r="B2752" s="7" t="s">
        <v>16838</v>
      </c>
      <c r="C2752" s="7" t="s">
        <v>16867</v>
      </c>
      <c r="D2752" s="194">
        <v>2003.0</v>
      </c>
      <c r="E2752" s="193"/>
      <c r="F2752" s="195" t="s">
        <v>20321</v>
      </c>
      <c r="G2752" s="196">
        <v>2.620475847E9</v>
      </c>
      <c r="H2752" s="197">
        <v>54.57</v>
      </c>
      <c r="I2752" s="7" t="s">
        <v>16815</v>
      </c>
      <c r="J2752" s="7" t="s">
        <v>16838</v>
      </c>
      <c r="K2752" s="7" t="s">
        <v>16867</v>
      </c>
      <c r="L2752" s="198" t="s">
        <v>65</v>
      </c>
      <c r="M2752" s="194"/>
      <c r="N2752" s="194"/>
    </row>
    <row r="2753">
      <c r="A2753" s="193" t="s">
        <v>20322</v>
      </c>
      <c r="B2753" s="7" t="s">
        <v>169</v>
      </c>
      <c r="C2753" s="7" t="s">
        <v>17805</v>
      </c>
      <c r="D2753" s="199"/>
      <c r="E2753" s="193"/>
      <c r="F2753" s="195" t="s">
        <v>20323</v>
      </c>
      <c r="G2753" s="196">
        <v>2.612875684E9</v>
      </c>
      <c r="H2753" s="197">
        <v>47.86</v>
      </c>
      <c r="I2753" s="7" t="s">
        <v>16815</v>
      </c>
      <c r="J2753" s="7" t="s">
        <v>169</v>
      </c>
      <c r="K2753" s="7" t="s">
        <v>17805</v>
      </c>
      <c r="L2753" s="198" t="s">
        <v>65</v>
      </c>
      <c r="M2753" s="199"/>
      <c r="N2753" s="199"/>
    </row>
    <row r="2754">
      <c r="A2754" s="193" t="s">
        <v>20322</v>
      </c>
      <c r="B2754" s="7" t="s">
        <v>17805</v>
      </c>
      <c r="C2754" s="7" t="s">
        <v>169</v>
      </c>
      <c r="D2754" s="199"/>
      <c r="E2754" s="193"/>
      <c r="F2754" s="195" t="s">
        <v>20323</v>
      </c>
      <c r="G2754" s="200">
        <v>2.612875684E9</v>
      </c>
      <c r="H2754" s="197">
        <v>47.86</v>
      </c>
      <c r="I2754" s="7" t="s">
        <v>16815</v>
      </c>
      <c r="J2754" s="7" t="s">
        <v>17805</v>
      </c>
      <c r="K2754" s="7" t="s">
        <v>169</v>
      </c>
      <c r="L2754" s="201" t="s">
        <v>16835</v>
      </c>
      <c r="M2754" s="199"/>
      <c r="N2754" s="199"/>
    </row>
    <row r="2755">
      <c r="A2755" s="193" t="s">
        <v>20324</v>
      </c>
      <c r="B2755" s="7" t="s">
        <v>16910</v>
      </c>
      <c r="C2755" s="7" t="s">
        <v>17996</v>
      </c>
      <c r="D2755" s="199"/>
      <c r="E2755" s="193"/>
      <c r="F2755" s="195" t="s">
        <v>20325</v>
      </c>
      <c r="G2755" s="196">
        <v>2.609042775E9</v>
      </c>
      <c r="H2755" s="197">
        <v>2.42</v>
      </c>
      <c r="I2755" s="7" t="s">
        <v>16856</v>
      </c>
      <c r="J2755" s="7" t="s">
        <v>16910</v>
      </c>
      <c r="K2755" s="7" t="s">
        <v>17996</v>
      </c>
      <c r="L2755" s="198" t="s">
        <v>65</v>
      </c>
      <c r="M2755" s="199"/>
      <c r="N2755" s="199"/>
    </row>
    <row r="2756">
      <c r="A2756" s="193" t="s">
        <v>20324</v>
      </c>
      <c r="B2756" s="7" t="s">
        <v>17996</v>
      </c>
      <c r="C2756" s="7" t="s">
        <v>16910</v>
      </c>
      <c r="D2756" s="199"/>
      <c r="E2756" s="193"/>
      <c r="F2756" s="195" t="s">
        <v>20325</v>
      </c>
      <c r="G2756" s="200">
        <v>2.609042775E9</v>
      </c>
      <c r="H2756" s="197">
        <v>2.42</v>
      </c>
      <c r="I2756" s="7" t="s">
        <v>16815</v>
      </c>
      <c r="J2756" s="7" t="s">
        <v>17996</v>
      </c>
      <c r="K2756" s="7" t="s">
        <v>16910</v>
      </c>
      <c r="L2756" s="201" t="s">
        <v>16835</v>
      </c>
      <c r="M2756" s="199"/>
      <c r="N2756" s="199"/>
    </row>
    <row r="2757">
      <c r="A2757" s="193" t="s">
        <v>20326</v>
      </c>
      <c r="B2757" s="7" t="s">
        <v>175</v>
      </c>
      <c r="C2757" s="7" t="s">
        <v>16824</v>
      </c>
      <c r="D2757" s="199"/>
      <c r="E2757" s="193"/>
      <c r="F2757" s="195" t="s">
        <v>20327</v>
      </c>
      <c r="G2757" s="196">
        <v>2.60506874E9</v>
      </c>
      <c r="H2757" s="197">
        <v>6.69</v>
      </c>
      <c r="I2757" s="7" t="s">
        <v>17872</v>
      </c>
      <c r="J2757" s="7" t="s">
        <v>175</v>
      </c>
      <c r="K2757" s="7" t="s">
        <v>16824</v>
      </c>
      <c r="L2757" s="198" t="s">
        <v>65</v>
      </c>
      <c r="M2757" s="199"/>
      <c r="N2757" s="199"/>
    </row>
    <row r="2758">
      <c r="A2758" s="193" t="s">
        <v>20328</v>
      </c>
      <c r="B2758" s="7" t="s">
        <v>175</v>
      </c>
      <c r="C2758" s="7" t="s">
        <v>16957</v>
      </c>
      <c r="D2758" s="194">
        <v>2006.0</v>
      </c>
      <c r="E2758" s="193"/>
      <c r="F2758" s="195" t="s">
        <v>20329</v>
      </c>
      <c r="G2758" s="196">
        <v>2.603E9</v>
      </c>
      <c r="H2758" s="197">
        <v>1.37</v>
      </c>
      <c r="I2758" s="193" t="s">
        <v>16908</v>
      </c>
      <c r="J2758" s="7" t="s">
        <v>175</v>
      </c>
      <c r="K2758" s="7" t="s">
        <v>16957</v>
      </c>
      <c r="L2758" s="198" t="s">
        <v>65</v>
      </c>
      <c r="M2758" s="194"/>
      <c r="N2758" s="194"/>
    </row>
    <row r="2759">
      <c r="A2759" s="193" t="s">
        <v>20328</v>
      </c>
      <c r="B2759" s="202" t="s">
        <v>16957</v>
      </c>
      <c r="C2759" s="193" t="s">
        <v>175</v>
      </c>
      <c r="D2759" s="193">
        <v>2006.0</v>
      </c>
      <c r="E2759" s="193"/>
      <c r="F2759" s="203" t="s">
        <v>20329</v>
      </c>
      <c r="G2759" s="200">
        <v>2.603E9</v>
      </c>
      <c r="H2759" s="205">
        <v>3505.0</v>
      </c>
      <c r="J2759" s="202" t="s">
        <v>16957</v>
      </c>
      <c r="K2759" s="193" t="s">
        <v>175</v>
      </c>
      <c r="L2759" s="193" t="s">
        <v>17471</v>
      </c>
      <c r="M2759" s="193"/>
      <c r="N2759" s="193"/>
    </row>
    <row r="2760">
      <c r="A2760" s="193" t="s">
        <v>20330</v>
      </c>
      <c r="B2760" s="7" t="s">
        <v>175</v>
      </c>
      <c r="C2760" s="7" t="s">
        <v>17233</v>
      </c>
      <c r="D2760" s="199"/>
      <c r="E2760" s="193"/>
      <c r="F2760" s="195" t="s">
        <v>20331</v>
      </c>
      <c r="G2760" s="196">
        <v>2.6011365E9</v>
      </c>
      <c r="H2760" s="197">
        <v>31.17</v>
      </c>
      <c r="I2760" s="7" t="s">
        <v>16844</v>
      </c>
      <c r="J2760" s="7" t="s">
        <v>175</v>
      </c>
      <c r="K2760" s="7" t="s">
        <v>17233</v>
      </c>
      <c r="L2760" s="198" t="s">
        <v>65</v>
      </c>
      <c r="M2760" s="199"/>
      <c r="N2760" s="199"/>
    </row>
    <row r="2761">
      <c r="A2761" s="193" t="s">
        <v>20332</v>
      </c>
      <c r="B2761" s="7" t="s">
        <v>175</v>
      </c>
      <c r="C2761" s="7" t="s">
        <v>18268</v>
      </c>
      <c r="D2761" s="199"/>
      <c r="E2761" s="193"/>
      <c r="F2761" s="195" t="s">
        <v>20333</v>
      </c>
      <c r="G2761" s="196">
        <v>2.600522117E9</v>
      </c>
      <c r="H2761" s="197">
        <v>53.77</v>
      </c>
      <c r="I2761" s="7" t="s">
        <v>16908</v>
      </c>
      <c r="J2761" s="7" t="s">
        <v>175</v>
      </c>
      <c r="K2761" s="7" t="s">
        <v>18268</v>
      </c>
      <c r="L2761" s="198" t="s">
        <v>65</v>
      </c>
      <c r="M2761" s="199"/>
      <c r="N2761" s="199"/>
    </row>
    <row r="2762">
      <c r="A2762" s="193" t="s">
        <v>20332</v>
      </c>
      <c r="B2762" s="7" t="s">
        <v>18268</v>
      </c>
      <c r="C2762" s="7" t="s">
        <v>175</v>
      </c>
      <c r="D2762" s="199"/>
      <c r="E2762" s="193"/>
      <c r="F2762" s="195" t="s">
        <v>20333</v>
      </c>
      <c r="G2762" s="200">
        <v>2.600522117E9</v>
      </c>
      <c r="H2762" s="197">
        <v>53.77</v>
      </c>
      <c r="I2762" s="7" t="s">
        <v>16815</v>
      </c>
      <c r="J2762" s="7" t="s">
        <v>18268</v>
      </c>
      <c r="K2762" s="7" t="s">
        <v>175</v>
      </c>
      <c r="L2762" s="201" t="s">
        <v>16835</v>
      </c>
      <c r="M2762" s="199"/>
      <c r="N2762" s="199"/>
    </row>
    <row r="2763">
      <c r="A2763" s="193" t="s">
        <v>20334</v>
      </c>
      <c r="B2763" s="7" t="s">
        <v>16957</v>
      </c>
      <c r="C2763" s="7" t="s">
        <v>16926</v>
      </c>
      <c r="D2763" s="199"/>
      <c r="E2763" s="193"/>
      <c r="F2763" s="195" t="s">
        <v>20335</v>
      </c>
      <c r="G2763" s="200">
        <v>2.595530617E9</v>
      </c>
      <c r="H2763" s="197">
        <v>100.67</v>
      </c>
      <c r="I2763" s="7" t="s">
        <v>16815</v>
      </c>
      <c r="J2763" s="7" t="s">
        <v>16957</v>
      </c>
      <c r="K2763" s="7" t="s">
        <v>16926</v>
      </c>
      <c r="L2763" s="201" t="s">
        <v>16835</v>
      </c>
      <c r="M2763" s="199"/>
      <c r="N2763" s="199"/>
    </row>
    <row r="2764">
      <c r="A2764" s="193" t="s">
        <v>20334</v>
      </c>
      <c r="B2764" s="7" t="s">
        <v>16926</v>
      </c>
      <c r="C2764" s="7" t="s">
        <v>16957</v>
      </c>
      <c r="D2764" s="199"/>
      <c r="E2764" s="193"/>
      <c r="F2764" s="195" t="s">
        <v>20335</v>
      </c>
      <c r="G2764" s="196">
        <v>2.595530617E9</v>
      </c>
      <c r="H2764" s="197">
        <v>100.67</v>
      </c>
      <c r="I2764" s="7" t="s">
        <v>16815</v>
      </c>
      <c r="J2764" s="7" t="s">
        <v>16926</v>
      </c>
      <c r="K2764" s="7" t="s">
        <v>16957</v>
      </c>
      <c r="L2764" s="198" t="s">
        <v>65</v>
      </c>
      <c r="M2764" s="199"/>
      <c r="N2764" s="199"/>
    </row>
    <row r="2765">
      <c r="A2765" s="193" t="s">
        <v>20336</v>
      </c>
      <c r="B2765" s="7" t="s">
        <v>17202</v>
      </c>
      <c r="C2765" s="7" t="s">
        <v>16838</v>
      </c>
      <c r="D2765" s="194">
        <v>2004.0</v>
      </c>
      <c r="E2765" s="193"/>
      <c r="F2765" s="195" t="s">
        <v>20337</v>
      </c>
      <c r="G2765" s="200">
        <v>2.595502331E9</v>
      </c>
      <c r="H2765" s="197">
        <v>52.82</v>
      </c>
      <c r="I2765" s="7" t="s">
        <v>16815</v>
      </c>
      <c r="J2765" s="7" t="s">
        <v>17202</v>
      </c>
      <c r="K2765" s="7" t="s">
        <v>16838</v>
      </c>
      <c r="L2765" s="201" t="s">
        <v>16835</v>
      </c>
      <c r="M2765" s="194"/>
      <c r="N2765" s="194"/>
    </row>
    <row r="2766">
      <c r="A2766" s="193" t="s">
        <v>20336</v>
      </c>
      <c r="B2766" s="7" t="s">
        <v>16838</v>
      </c>
      <c r="C2766" s="7" t="s">
        <v>17202</v>
      </c>
      <c r="D2766" s="194">
        <v>2004.0</v>
      </c>
      <c r="E2766" s="193"/>
      <c r="F2766" s="195" t="s">
        <v>20337</v>
      </c>
      <c r="G2766" s="196">
        <v>2.595502331E9</v>
      </c>
      <c r="H2766" s="197">
        <v>52.82</v>
      </c>
      <c r="I2766" s="7" t="s">
        <v>16815</v>
      </c>
      <c r="J2766" s="7" t="s">
        <v>16838</v>
      </c>
      <c r="K2766" s="7" t="s">
        <v>17202</v>
      </c>
      <c r="L2766" s="198" t="s">
        <v>65</v>
      </c>
      <c r="M2766" s="194"/>
      <c r="N2766" s="194"/>
    </row>
    <row r="2767">
      <c r="A2767" s="193" t="s">
        <v>20338</v>
      </c>
      <c r="B2767" s="7" t="s">
        <v>17111</v>
      </c>
      <c r="C2767" s="7" t="s">
        <v>17112</v>
      </c>
      <c r="D2767" s="194">
        <v>1993.0</v>
      </c>
      <c r="E2767" s="193"/>
      <c r="F2767" s="195" t="s">
        <v>20339</v>
      </c>
      <c r="G2767" s="200">
        <v>2.590621885E9</v>
      </c>
      <c r="H2767" s="197">
        <v>24.59</v>
      </c>
      <c r="I2767" s="7" t="s">
        <v>16815</v>
      </c>
      <c r="J2767" s="7" t="s">
        <v>17111</v>
      </c>
      <c r="K2767" s="7" t="s">
        <v>17112</v>
      </c>
      <c r="L2767" s="201" t="s">
        <v>16835</v>
      </c>
      <c r="M2767" s="194"/>
      <c r="N2767" s="194"/>
    </row>
    <row r="2768">
      <c r="A2768" s="193" t="s">
        <v>20338</v>
      </c>
      <c r="B2768" s="7" t="s">
        <v>17112</v>
      </c>
      <c r="C2768" s="7" t="s">
        <v>17111</v>
      </c>
      <c r="D2768" s="194">
        <v>1993.0</v>
      </c>
      <c r="E2768" s="193"/>
      <c r="F2768" s="195" t="s">
        <v>20339</v>
      </c>
      <c r="G2768" s="196">
        <v>2.590621885E9</v>
      </c>
      <c r="H2768" s="197">
        <v>24.59</v>
      </c>
      <c r="I2768" s="7" t="s">
        <v>16815</v>
      </c>
      <c r="J2768" s="7" t="s">
        <v>17112</v>
      </c>
      <c r="K2768" s="7" t="s">
        <v>17111</v>
      </c>
      <c r="L2768" s="198" t="s">
        <v>65</v>
      </c>
      <c r="M2768" s="194"/>
      <c r="N2768" s="194"/>
    </row>
    <row r="2769">
      <c r="A2769" s="193" t="s">
        <v>20340</v>
      </c>
      <c r="B2769" s="7" t="s">
        <v>158</v>
      </c>
      <c r="C2769" s="7" t="s">
        <v>17048</v>
      </c>
      <c r="D2769" s="199"/>
      <c r="E2769" s="193"/>
      <c r="F2769" s="195" t="s">
        <v>14602</v>
      </c>
      <c r="G2769" s="196">
        <v>2.588935658E9</v>
      </c>
      <c r="H2769" s="197">
        <v>71.59</v>
      </c>
      <c r="I2769" s="7" t="s">
        <v>17098</v>
      </c>
      <c r="J2769" s="7" t="s">
        <v>158</v>
      </c>
      <c r="K2769" s="7" t="s">
        <v>17048</v>
      </c>
      <c r="L2769" s="198" t="s">
        <v>65</v>
      </c>
      <c r="M2769" s="199"/>
      <c r="N2769" s="199"/>
    </row>
    <row r="2770">
      <c r="A2770" s="193" t="s">
        <v>20341</v>
      </c>
      <c r="B2770" s="7" t="s">
        <v>16919</v>
      </c>
      <c r="C2770" s="7" t="s">
        <v>17176</v>
      </c>
      <c r="D2770" s="199"/>
      <c r="E2770" s="193"/>
      <c r="F2770" s="195" t="s">
        <v>20342</v>
      </c>
      <c r="G2770" s="196">
        <v>2.588720298E9</v>
      </c>
      <c r="H2770" s="197">
        <v>33.46</v>
      </c>
      <c r="I2770" s="7" t="s">
        <v>16815</v>
      </c>
      <c r="J2770" s="7" t="s">
        <v>16919</v>
      </c>
      <c r="K2770" s="7" t="s">
        <v>17176</v>
      </c>
      <c r="L2770" s="198" t="s">
        <v>65</v>
      </c>
      <c r="M2770" s="199"/>
      <c r="N2770" s="199"/>
    </row>
    <row r="2771">
      <c r="A2771" s="193" t="s">
        <v>20341</v>
      </c>
      <c r="B2771" s="7" t="s">
        <v>17176</v>
      </c>
      <c r="C2771" s="7" t="s">
        <v>16919</v>
      </c>
      <c r="D2771" s="199"/>
      <c r="E2771" s="193"/>
      <c r="F2771" s="195" t="s">
        <v>20342</v>
      </c>
      <c r="G2771" s="200">
        <v>2.588720298E9</v>
      </c>
      <c r="H2771" s="197">
        <v>33.46</v>
      </c>
      <c r="I2771" s="7" t="s">
        <v>16815</v>
      </c>
      <c r="J2771" s="7" t="s">
        <v>17176</v>
      </c>
      <c r="K2771" s="7" t="s">
        <v>16919</v>
      </c>
      <c r="L2771" s="201" t="s">
        <v>16835</v>
      </c>
      <c r="M2771" s="199"/>
      <c r="N2771" s="199"/>
    </row>
    <row r="2772">
      <c r="A2772" s="193" t="s">
        <v>20343</v>
      </c>
      <c r="B2772" s="7" t="s">
        <v>175</v>
      </c>
      <c r="C2772" s="7" t="s">
        <v>20344</v>
      </c>
      <c r="D2772" s="199"/>
      <c r="E2772" s="193"/>
      <c r="F2772" s="195" t="s">
        <v>20345</v>
      </c>
      <c r="G2772" s="196">
        <v>2.585856E9</v>
      </c>
      <c r="H2772" s="197">
        <v>82.88</v>
      </c>
      <c r="I2772" s="7" t="s">
        <v>16826</v>
      </c>
      <c r="J2772" s="7" t="s">
        <v>175</v>
      </c>
      <c r="K2772" s="7" t="s">
        <v>20344</v>
      </c>
      <c r="L2772" s="198" t="s">
        <v>65</v>
      </c>
      <c r="M2772" s="199"/>
      <c r="N2772" s="199"/>
    </row>
    <row r="2773">
      <c r="A2773" s="193" t="s">
        <v>20343</v>
      </c>
      <c r="B2773" s="7" t="s">
        <v>20344</v>
      </c>
      <c r="C2773" s="7" t="s">
        <v>175</v>
      </c>
      <c r="D2773" s="199"/>
      <c r="E2773" s="193"/>
      <c r="F2773" s="195" t="s">
        <v>20345</v>
      </c>
      <c r="G2773" s="200">
        <v>2.585856E9</v>
      </c>
      <c r="H2773" s="197">
        <v>82.88</v>
      </c>
      <c r="I2773" s="7" t="s">
        <v>16815</v>
      </c>
      <c r="J2773" s="7" t="s">
        <v>20344</v>
      </c>
      <c r="K2773" s="7" t="s">
        <v>175</v>
      </c>
      <c r="L2773" s="201" t="s">
        <v>16835</v>
      </c>
      <c r="M2773" s="199"/>
      <c r="N2773" s="199"/>
    </row>
    <row r="2774">
      <c r="A2774" s="193" t="s">
        <v>20346</v>
      </c>
      <c r="B2774" s="7" t="s">
        <v>16582</v>
      </c>
      <c r="C2774" s="7" t="s">
        <v>16930</v>
      </c>
      <c r="D2774" s="194">
        <v>2013.0</v>
      </c>
      <c r="E2774" s="193"/>
      <c r="F2774" s="195" t="s">
        <v>20347</v>
      </c>
      <c r="G2774" s="196">
        <v>2.582731668E9</v>
      </c>
      <c r="H2774" s="197">
        <v>27.55</v>
      </c>
      <c r="I2774" s="7" t="s">
        <v>16815</v>
      </c>
      <c r="J2774" s="7" t="s">
        <v>16582</v>
      </c>
      <c r="K2774" s="7" t="s">
        <v>16930</v>
      </c>
      <c r="L2774" s="198" t="s">
        <v>65</v>
      </c>
      <c r="M2774" s="194"/>
      <c r="N2774" s="194"/>
    </row>
    <row r="2775">
      <c r="A2775" s="193" t="s">
        <v>20346</v>
      </c>
      <c r="B2775" s="7" t="s">
        <v>16930</v>
      </c>
      <c r="C2775" s="7" t="s">
        <v>16582</v>
      </c>
      <c r="D2775" s="194">
        <v>2013.0</v>
      </c>
      <c r="E2775" s="193"/>
      <c r="F2775" s="195" t="s">
        <v>20347</v>
      </c>
      <c r="G2775" s="200">
        <v>2.582731668E9</v>
      </c>
      <c r="H2775" s="197">
        <v>27.55</v>
      </c>
      <c r="I2775" s="7" t="s">
        <v>16815</v>
      </c>
      <c r="J2775" s="7" t="s">
        <v>16930</v>
      </c>
      <c r="K2775" s="7" t="s">
        <v>16582</v>
      </c>
      <c r="L2775" s="201" t="s">
        <v>16835</v>
      </c>
      <c r="M2775" s="194"/>
      <c r="N2775" s="194"/>
    </row>
    <row r="2776">
      <c r="A2776" s="193" t="s">
        <v>20348</v>
      </c>
      <c r="D2776" s="194">
        <v>2016.0</v>
      </c>
      <c r="E2776" s="193"/>
      <c r="F2776" s="195" t="s">
        <v>20349</v>
      </c>
      <c r="G2776" s="196">
        <v>2.582124229E9</v>
      </c>
      <c r="H2776" s="197">
        <v>63.61</v>
      </c>
      <c r="I2776" s="7" t="s">
        <v>16815</v>
      </c>
      <c r="L2776" s="198" t="s">
        <v>65</v>
      </c>
      <c r="M2776" s="194"/>
      <c r="N2776" s="194"/>
    </row>
    <row r="2777">
      <c r="A2777" s="193" t="s">
        <v>20348</v>
      </c>
      <c r="D2777" s="194">
        <v>2016.0</v>
      </c>
      <c r="E2777" s="193"/>
      <c r="F2777" s="195" t="s">
        <v>20349</v>
      </c>
      <c r="G2777" s="200">
        <v>2.582124229E9</v>
      </c>
      <c r="H2777" s="197">
        <v>63.61</v>
      </c>
      <c r="L2777" s="201" t="s">
        <v>16835</v>
      </c>
      <c r="M2777" s="194"/>
      <c r="N2777" s="194"/>
    </row>
    <row r="2778">
      <c r="A2778" s="193" t="s">
        <v>20350</v>
      </c>
      <c r="B2778" s="7" t="s">
        <v>187</v>
      </c>
      <c r="C2778" s="7" t="s">
        <v>16846</v>
      </c>
      <c r="D2778" s="194">
        <v>2004.0</v>
      </c>
      <c r="E2778" s="193"/>
      <c r="F2778" s="195" t="s">
        <v>20351</v>
      </c>
      <c r="G2778" s="196">
        <v>2.580126366E9</v>
      </c>
      <c r="H2778" s="197">
        <v>25.03</v>
      </c>
      <c r="I2778" s="7" t="s">
        <v>16815</v>
      </c>
      <c r="J2778" s="7" t="s">
        <v>187</v>
      </c>
      <c r="K2778" s="7" t="s">
        <v>16846</v>
      </c>
      <c r="L2778" s="198" t="s">
        <v>65</v>
      </c>
      <c r="M2778" s="194"/>
      <c r="N2778" s="194"/>
    </row>
    <row r="2779">
      <c r="A2779" s="193" t="s">
        <v>20352</v>
      </c>
      <c r="B2779" s="7" t="s">
        <v>175</v>
      </c>
      <c r="C2779" s="7" t="s">
        <v>16854</v>
      </c>
      <c r="D2779" s="199"/>
      <c r="E2779" s="193"/>
      <c r="F2779" s="195" t="s">
        <v>20353</v>
      </c>
      <c r="G2779" s="196">
        <v>2.579680904E9</v>
      </c>
      <c r="H2779" s="197">
        <v>18.56</v>
      </c>
      <c r="I2779" s="7" t="s">
        <v>168</v>
      </c>
      <c r="J2779" s="7" t="s">
        <v>175</v>
      </c>
      <c r="K2779" s="7" t="s">
        <v>16854</v>
      </c>
      <c r="L2779" s="198" t="s">
        <v>65</v>
      </c>
      <c r="M2779" s="199"/>
      <c r="N2779" s="199"/>
    </row>
    <row r="2780">
      <c r="A2780" s="193" t="s">
        <v>20354</v>
      </c>
      <c r="B2780" s="7" t="s">
        <v>16992</v>
      </c>
      <c r="C2780" s="7" t="s">
        <v>187</v>
      </c>
      <c r="D2780" s="194">
        <v>2021.0</v>
      </c>
      <c r="E2780" s="193"/>
      <c r="F2780" s="195" t="s">
        <v>20355</v>
      </c>
      <c r="G2780" s="200">
        <v>2.576096535E9</v>
      </c>
      <c r="H2780" s="197">
        <v>1.64</v>
      </c>
      <c r="I2780" s="7" t="s">
        <v>16815</v>
      </c>
      <c r="J2780" s="7" t="s">
        <v>16992</v>
      </c>
      <c r="K2780" s="7" t="s">
        <v>187</v>
      </c>
      <c r="L2780" s="201" t="s">
        <v>16835</v>
      </c>
      <c r="M2780" s="194"/>
      <c r="N2780" s="194"/>
    </row>
    <row r="2781">
      <c r="A2781" s="193" t="s">
        <v>20354</v>
      </c>
      <c r="B2781" s="7" t="s">
        <v>187</v>
      </c>
      <c r="C2781" s="7" t="s">
        <v>16992</v>
      </c>
      <c r="D2781" s="194">
        <v>2021.0</v>
      </c>
      <c r="E2781" s="193"/>
      <c r="F2781" s="195" t="s">
        <v>20355</v>
      </c>
      <c r="G2781" s="196">
        <v>2.576096535E9</v>
      </c>
      <c r="H2781" s="197">
        <v>1.64</v>
      </c>
      <c r="I2781" s="7" t="s">
        <v>16815</v>
      </c>
      <c r="J2781" s="7" t="s">
        <v>187</v>
      </c>
      <c r="K2781" s="7" t="s">
        <v>16992</v>
      </c>
      <c r="L2781" s="198" t="s">
        <v>65</v>
      </c>
      <c r="M2781" s="194"/>
      <c r="N2781" s="194"/>
    </row>
    <row r="2782">
      <c r="A2782" s="193" t="s">
        <v>20356</v>
      </c>
      <c r="B2782" s="7" t="s">
        <v>16582</v>
      </c>
      <c r="C2782" s="7" t="s">
        <v>17435</v>
      </c>
      <c r="D2782" s="194">
        <v>2021.0</v>
      </c>
      <c r="E2782" s="193"/>
      <c r="F2782" s="195" t="s">
        <v>20357</v>
      </c>
      <c r="G2782" s="196">
        <v>2.572622818E9</v>
      </c>
      <c r="H2782" s="197">
        <v>21.79</v>
      </c>
      <c r="I2782" s="7" t="s">
        <v>16815</v>
      </c>
      <c r="J2782" s="7" t="s">
        <v>16582</v>
      </c>
      <c r="K2782" s="7" t="s">
        <v>17435</v>
      </c>
      <c r="L2782" s="198" t="s">
        <v>65</v>
      </c>
      <c r="M2782" s="194"/>
      <c r="N2782" s="194"/>
    </row>
    <row r="2783">
      <c r="A2783" s="193" t="s">
        <v>20358</v>
      </c>
      <c r="B2783" s="7" t="s">
        <v>16867</v>
      </c>
      <c r="C2783" s="7" t="s">
        <v>16838</v>
      </c>
      <c r="D2783" s="199"/>
      <c r="E2783" s="193"/>
      <c r="F2783" s="195" t="s">
        <v>20359</v>
      </c>
      <c r="G2783" s="200">
        <v>2.561174749E9</v>
      </c>
      <c r="H2783" s="197">
        <v>47.05</v>
      </c>
      <c r="I2783" s="7" t="s">
        <v>16815</v>
      </c>
      <c r="J2783" s="7" t="s">
        <v>16867</v>
      </c>
      <c r="K2783" s="7" t="s">
        <v>16838</v>
      </c>
      <c r="L2783" s="201" t="s">
        <v>16835</v>
      </c>
      <c r="M2783" s="199"/>
      <c r="N2783" s="199"/>
    </row>
    <row r="2784">
      <c r="A2784" s="193" t="s">
        <v>20358</v>
      </c>
      <c r="B2784" s="7" t="s">
        <v>16838</v>
      </c>
      <c r="C2784" s="7" t="s">
        <v>16867</v>
      </c>
      <c r="D2784" s="199"/>
      <c r="E2784" s="193"/>
      <c r="F2784" s="195" t="s">
        <v>20359</v>
      </c>
      <c r="G2784" s="196">
        <v>2.561174749E9</v>
      </c>
      <c r="H2784" s="197">
        <v>47.05</v>
      </c>
      <c r="I2784" s="7" t="s">
        <v>16815</v>
      </c>
      <c r="J2784" s="7" t="s">
        <v>16838</v>
      </c>
      <c r="K2784" s="7" t="s">
        <v>16867</v>
      </c>
      <c r="L2784" s="198" t="s">
        <v>65</v>
      </c>
      <c r="M2784" s="199"/>
      <c r="N2784" s="199"/>
    </row>
    <row r="2785">
      <c r="A2785" s="193" t="s">
        <v>20360</v>
      </c>
      <c r="B2785" s="7" t="s">
        <v>17057</v>
      </c>
      <c r="C2785" s="7" t="s">
        <v>169</v>
      </c>
      <c r="D2785" s="194">
        <v>2006.0</v>
      </c>
      <c r="E2785" s="193"/>
      <c r="F2785" s="195" t="s">
        <v>20361</v>
      </c>
      <c r="G2785" s="200">
        <v>2.560095732E9</v>
      </c>
      <c r="H2785" s="197">
        <v>24.25</v>
      </c>
      <c r="I2785" s="7" t="s">
        <v>16815</v>
      </c>
      <c r="J2785" s="7" t="s">
        <v>17057</v>
      </c>
      <c r="K2785" s="7" t="s">
        <v>169</v>
      </c>
      <c r="L2785" s="201" t="s">
        <v>16835</v>
      </c>
      <c r="M2785" s="194"/>
      <c r="N2785" s="194"/>
    </row>
    <row r="2786">
      <c r="A2786" s="193" t="s">
        <v>20360</v>
      </c>
      <c r="B2786" s="7" t="s">
        <v>169</v>
      </c>
      <c r="C2786" s="7" t="s">
        <v>17057</v>
      </c>
      <c r="D2786" s="194">
        <v>2006.0</v>
      </c>
      <c r="E2786" s="193"/>
      <c r="F2786" s="195" t="s">
        <v>20361</v>
      </c>
      <c r="G2786" s="196">
        <v>2.560095732E9</v>
      </c>
      <c r="H2786" s="197">
        <v>24.25</v>
      </c>
      <c r="I2786" s="7" t="s">
        <v>16815</v>
      </c>
      <c r="J2786" s="7" t="s">
        <v>169</v>
      </c>
      <c r="K2786" s="7" t="s">
        <v>17057</v>
      </c>
      <c r="L2786" s="198" t="s">
        <v>65</v>
      </c>
      <c r="M2786" s="194"/>
      <c r="N2786" s="194"/>
    </row>
    <row r="2787">
      <c r="A2787" s="193" t="s">
        <v>20362</v>
      </c>
      <c r="B2787" s="7" t="s">
        <v>16838</v>
      </c>
      <c r="C2787" s="7" t="s">
        <v>16867</v>
      </c>
      <c r="D2787" s="199"/>
      <c r="E2787" s="193"/>
      <c r="F2787" s="195" t="s">
        <v>20363</v>
      </c>
      <c r="G2787" s="196">
        <v>2.558428118E9</v>
      </c>
      <c r="H2787" s="197">
        <v>16.95</v>
      </c>
      <c r="I2787" s="7" t="s">
        <v>16924</v>
      </c>
      <c r="J2787" s="7" t="s">
        <v>16838</v>
      </c>
      <c r="K2787" s="7" t="s">
        <v>16867</v>
      </c>
      <c r="L2787" s="198" t="s">
        <v>65</v>
      </c>
      <c r="M2787" s="199"/>
      <c r="N2787" s="199"/>
    </row>
    <row r="2788">
      <c r="A2788" s="193" t="s">
        <v>20362</v>
      </c>
      <c r="B2788" s="7" t="s">
        <v>16867</v>
      </c>
      <c r="C2788" s="7" t="s">
        <v>16838</v>
      </c>
      <c r="D2788" s="199"/>
      <c r="E2788" s="193"/>
      <c r="F2788" s="195" t="s">
        <v>20363</v>
      </c>
      <c r="G2788" s="200">
        <v>2.558428118E9</v>
      </c>
      <c r="H2788" s="197">
        <v>16.95</v>
      </c>
      <c r="I2788" s="7" t="s">
        <v>16815</v>
      </c>
      <c r="J2788" s="7" t="s">
        <v>16867</v>
      </c>
      <c r="K2788" s="7" t="s">
        <v>16838</v>
      </c>
      <c r="L2788" s="201" t="s">
        <v>16835</v>
      </c>
      <c r="M2788" s="199"/>
      <c r="N2788" s="199"/>
    </row>
    <row r="2789">
      <c r="A2789" s="193" t="s">
        <v>20364</v>
      </c>
      <c r="B2789" s="7" t="s">
        <v>187</v>
      </c>
      <c r="C2789" s="7" t="s">
        <v>16969</v>
      </c>
      <c r="D2789" s="194">
        <v>2018.0</v>
      </c>
      <c r="E2789" s="193"/>
      <c r="F2789" s="195" t="s">
        <v>20365</v>
      </c>
      <c r="G2789" s="196">
        <v>2.553872831E9</v>
      </c>
      <c r="H2789" s="197">
        <v>50.41</v>
      </c>
      <c r="I2789" s="7" t="s">
        <v>16815</v>
      </c>
      <c r="J2789" s="7" t="s">
        <v>187</v>
      </c>
      <c r="K2789" s="7" t="s">
        <v>16969</v>
      </c>
      <c r="L2789" s="198" t="s">
        <v>65</v>
      </c>
      <c r="M2789" s="194"/>
      <c r="N2789" s="194"/>
    </row>
    <row r="2790">
      <c r="A2790" s="193" t="s">
        <v>20366</v>
      </c>
      <c r="B2790" s="7" t="s">
        <v>16919</v>
      </c>
      <c r="C2790" s="7" t="s">
        <v>16920</v>
      </c>
      <c r="D2790" s="194">
        <v>2013.0</v>
      </c>
      <c r="E2790" s="193"/>
      <c r="F2790" s="195" t="s">
        <v>20367</v>
      </c>
      <c r="G2790" s="196">
        <v>2.548899423E9</v>
      </c>
      <c r="H2790" s="197">
        <v>25.93</v>
      </c>
      <c r="I2790" s="7" t="s">
        <v>16815</v>
      </c>
      <c r="J2790" s="7" t="s">
        <v>16919</v>
      </c>
      <c r="K2790" s="7" t="s">
        <v>16920</v>
      </c>
      <c r="L2790" s="198" t="s">
        <v>65</v>
      </c>
      <c r="M2790" s="194"/>
      <c r="N2790" s="194"/>
    </row>
    <row r="2791">
      <c r="A2791" s="193" t="s">
        <v>20366</v>
      </c>
      <c r="B2791" s="7" t="s">
        <v>16920</v>
      </c>
      <c r="C2791" s="7" t="s">
        <v>16919</v>
      </c>
      <c r="D2791" s="194">
        <v>2013.0</v>
      </c>
      <c r="E2791" s="193"/>
      <c r="F2791" s="195" t="s">
        <v>20367</v>
      </c>
      <c r="G2791" s="200">
        <v>2.548899423E9</v>
      </c>
      <c r="H2791" s="197">
        <v>25.93</v>
      </c>
      <c r="I2791" s="7" t="s">
        <v>16815</v>
      </c>
      <c r="J2791" s="7" t="s">
        <v>16920</v>
      </c>
      <c r="K2791" s="7" t="s">
        <v>16919</v>
      </c>
      <c r="L2791" s="201" t="s">
        <v>16835</v>
      </c>
      <c r="M2791" s="194"/>
      <c r="N2791" s="194"/>
    </row>
    <row r="2792">
      <c r="A2792" s="193" t="s">
        <v>20368</v>
      </c>
      <c r="B2792" s="7" t="s">
        <v>17347</v>
      </c>
      <c r="C2792" s="7" t="s">
        <v>16838</v>
      </c>
      <c r="D2792" s="194">
        <v>2004.0</v>
      </c>
      <c r="E2792" s="193"/>
      <c r="F2792" s="195" t="s">
        <v>20369</v>
      </c>
      <c r="G2792" s="200">
        <v>2.546980233E9</v>
      </c>
      <c r="H2792" s="197">
        <v>5.5</v>
      </c>
      <c r="I2792" s="7" t="s">
        <v>16815</v>
      </c>
      <c r="J2792" s="7" t="s">
        <v>17347</v>
      </c>
      <c r="K2792" s="7" t="s">
        <v>16838</v>
      </c>
      <c r="L2792" s="201" t="s">
        <v>16835</v>
      </c>
      <c r="M2792" s="194"/>
      <c r="N2792" s="194"/>
    </row>
    <row r="2793">
      <c r="A2793" s="193" t="s">
        <v>20368</v>
      </c>
      <c r="B2793" s="7" t="s">
        <v>16838</v>
      </c>
      <c r="C2793" s="7" t="s">
        <v>17347</v>
      </c>
      <c r="D2793" s="194">
        <v>2004.0</v>
      </c>
      <c r="E2793" s="193"/>
      <c r="F2793" s="195" t="s">
        <v>20369</v>
      </c>
      <c r="G2793" s="196">
        <v>2.546980233E9</v>
      </c>
      <c r="H2793" s="197">
        <v>5.5</v>
      </c>
      <c r="I2793" s="7" t="s">
        <v>16815</v>
      </c>
      <c r="J2793" s="7" t="s">
        <v>16838</v>
      </c>
      <c r="K2793" s="7" t="s">
        <v>17347</v>
      </c>
      <c r="L2793" s="198" t="s">
        <v>65</v>
      </c>
      <c r="M2793" s="194"/>
      <c r="N2793" s="194"/>
    </row>
    <row r="2794">
      <c r="A2794" s="193" t="s">
        <v>20370</v>
      </c>
      <c r="B2794" s="7" t="s">
        <v>187</v>
      </c>
      <c r="C2794" s="7" t="s">
        <v>16851</v>
      </c>
      <c r="D2794" s="194">
        <v>2018.0</v>
      </c>
      <c r="E2794" s="193"/>
      <c r="F2794" s="195" t="s">
        <v>20371</v>
      </c>
      <c r="G2794" s="196">
        <v>2.546272539E9</v>
      </c>
      <c r="H2794" s="197">
        <v>21.58</v>
      </c>
      <c r="I2794" s="7" t="s">
        <v>16815</v>
      </c>
      <c r="J2794" s="7" t="s">
        <v>187</v>
      </c>
      <c r="K2794" s="7" t="s">
        <v>16851</v>
      </c>
      <c r="L2794" s="198" t="s">
        <v>65</v>
      </c>
      <c r="M2794" s="194"/>
      <c r="N2794" s="194"/>
    </row>
    <row r="2795">
      <c r="A2795" s="193" t="s">
        <v>20372</v>
      </c>
      <c r="B2795" s="7" t="s">
        <v>17111</v>
      </c>
      <c r="C2795" s="7" t="s">
        <v>17112</v>
      </c>
      <c r="D2795" s="194">
        <v>2014.0</v>
      </c>
      <c r="E2795" s="193"/>
      <c r="F2795" s="195" t="s">
        <v>20373</v>
      </c>
      <c r="G2795" s="200">
        <v>2.545942118E9</v>
      </c>
      <c r="H2795" s="197">
        <v>15.58</v>
      </c>
      <c r="I2795" s="7" t="s">
        <v>16815</v>
      </c>
      <c r="J2795" s="7" t="s">
        <v>17111</v>
      </c>
      <c r="K2795" s="7" t="s">
        <v>17112</v>
      </c>
      <c r="L2795" s="201" t="s">
        <v>16835</v>
      </c>
      <c r="M2795" s="194"/>
      <c r="N2795" s="194"/>
    </row>
    <row r="2796">
      <c r="A2796" s="193" t="s">
        <v>20372</v>
      </c>
      <c r="B2796" s="7" t="s">
        <v>17112</v>
      </c>
      <c r="C2796" s="7" t="s">
        <v>17111</v>
      </c>
      <c r="D2796" s="194">
        <v>2014.0</v>
      </c>
      <c r="E2796" s="193"/>
      <c r="F2796" s="195" t="s">
        <v>20373</v>
      </c>
      <c r="G2796" s="196">
        <v>2.545942118E9</v>
      </c>
      <c r="H2796" s="197">
        <v>15.58</v>
      </c>
      <c r="I2796" s="7" t="s">
        <v>16815</v>
      </c>
      <c r="J2796" s="7" t="s">
        <v>17112</v>
      </c>
      <c r="K2796" s="7" t="s">
        <v>17111</v>
      </c>
      <c r="L2796" s="198" t="s">
        <v>65</v>
      </c>
      <c r="M2796" s="194"/>
      <c r="N2796" s="194"/>
    </row>
    <row r="2797">
      <c r="A2797" s="193" t="s">
        <v>20374</v>
      </c>
      <c r="B2797" s="7" t="s">
        <v>16838</v>
      </c>
      <c r="C2797" s="7" t="s">
        <v>16867</v>
      </c>
      <c r="D2797" s="199"/>
      <c r="E2797" s="193"/>
      <c r="F2797" s="195" t="s">
        <v>20375</v>
      </c>
      <c r="G2797" s="196">
        <v>2.53980425E9</v>
      </c>
      <c r="H2797" s="197">
        <v>34.96</v>
      </c>
      <c r="I2797" s="7" t="s">
        <v>16815</v>
      </c>
      <c r="J2797" s="7" t="s">
        <v>16838</v>
      </c>
      <c r="K2797" s="7" t="s">
        <v>16867</v>
      </c>
      <c r="L2797" s="198" t="s">
        <v>65</v>
      </c>
      <c r="M2797" s="199"/>
      <c r="N2797" s="199"/>
    </row>
    <row r="2798">
      <c r="A2798" s="193" t="s">
        <v>20376</v>
      </c>
      <c r="B2798" s="7" t="s">
        <v>175</v>
      </c>
      <c r="C2798" s="7" t="s">
        <v>17452</v>
      </c>
      <c r="D2798" s="194">
        <v>1999.0</v>
      </c>
      <c r="E2798" s="193"/>
      <c r="F2798" s="195" t="s">
        <v>20377</v>
      </c>
      <c r="G2798" s="196">
        <v>2.539309025E9</v>
      </c>
      <c r="H2798" s="197">
        <v>48.18</v>
      </c>
      <c r="I2798" s="7" t="s">
        <v>168</v>
      </c>
      <c r="J2798" s="7" t="s">
        <v>175</v>
      </c>
      <c r="K2798" s="7" t="s">
        <v>17452</v>
      </c>
      <c r="L2798" s="198" t="s">
        <v>65</v>
      </c>
      <c r="M2798" s="194"/>
      <c r="N2798" s="194"/>
    </row>
    <row r="2799">
      <c r="A2799" s="193" t="s">
        <v>20376</v>
      </c>
      <c r="B2799" s="7" t="s">
        <v>17452</v>
      </c>
      <c r="C2799" s="7" t="s">
        <v>175</v>
      </c>
      <c r="D2799" s="194">
        <v>1999.0</v>
      </c>
      <c r="E2799" s="193"/>
      <c r="F2799" s="195" t="s">
        <v>20377</v>
      </c>
      <c r="G2799" s="200">
        <v>2.539309025E9</v>
      </c>
      <c r="H2799" s="197">
        <v>48.18</v>
      </c>
      <c r="I2799" s="7" t="s">
        <v>16815</v>
      </c>
      <c r="J2799" s="7" t="s">
        <v>17452</v>
      </c>
      <c r="K2799" s="7" t="s">
        <v>175</v>
      </c>
      <c r="L2799" s="201" t="s">
        <v>16835</v>
      </c>
      <c r="M2799" s="194"/>
      <c r="N2799" s="194"/>
    </row>
    <row r="2800">
      <c r="A2800" s="193" t="s">
        <v>20378</v>
      </c>
      <c r="B2800" s="7" t="s">
        <v>158</v>
      </c>
      <c r="C2800" s="7" t="s">
        <v>16864</v>
      </c>
      <c r="D2800" s="194">
        <v>1993.0</v>
      </c>
      <c r="E2800" s="193"/>
      <c r="F2800" s="195" t="s">
        <v>20379</v>
      </c>
      <c r="G2800" s="196">
        <v>2.537521786E9</v>
      </c>
      <c r="H2800" s="197">
        <v>12.2</v>
      </c>
      <c r="I2800" s="7" t="s">
        <v>17316</v>
      </c>
      <c r="J2800" s="7" t="s">
        <v>158</v>
      </c>
      <c r="K2800" s="7" t="s">
        <v>16864</v>
      </c>
      <c r="L2800" s="198" t="s">
        <v>65</v>
      </c>
      <c r="M2800" s="194"/>
      <c r="N2800" s="194"/>
    </row>
    <row r="2801">
      <c r="A2801" s="193" t="s">
        <v>20380</v>
      </c>
      <c r="B2801" s="7" t="s">
        <v>17111</v>
      </c>
      <c r="C2801" s="7" t="s">
        <v>17112</v>
      </c>
      <c r="D2801" s="194">
        <v>2005.0</v>
      </c>
      <c r="E2801" s="193"/>
      <c r="F2801" s="195" t="s">
        <v>20381</v>
      </c>
      <c r="G2801" s="200">
        <v>2.537216E9</v>
      </c>
      <c r="H2801" s="197">
        <v>4.24</v>
      </c>
      <c r="I2801" s="7" t="s">
        <v>16815</v>
      </c>
      <c r="J2801" s="7" t="s">
        <v>17111</v>
      </c>
      <c r="K2801" s="7" t="s">
        <v>17112</v>
      </c>
      <c r="L2801" s="201" t="s">
        <v>16835</v>
      </c>
      <c r="M2801" s="194"/>
      <c r="N2801" s="194"/>
    </row>
    <row r="2802">
      <c r="A2802" s="193" t="s">
        <v>20380</v>
      </c>
      <c r="B2802" s="7" t="s">
        <v>17112</v>
      </c>
      <c r="C2802" s="7" t="s">
        <v>17111</v>
      </c>
      <c r="D2802" s="194">
        <v>2005.0</v>
      </c>
      <c r="E2802" s="193"/>
      <c r="F2802" s="195" t="s">
        <v>20381</v>
      </c>
      <c r="G2802" s="196">
        <v>2.537216E9</v>
      </c>
      <c r="H2802" s="197">
        <v>4.24</v>
      </c>
      <c r="I2802" s="7" t="s">
        <v>16815</v>
      </c>
      <c r="J2802" s="7" t="s">
        <v>17112</v>
      </c>
      <c r="K2802" s="7" t="s">
        <v>17111</v>
      </c>
      <c r="L2802" s="198" t="s">
        <v>65</v>
      </c>
      <c r="M2802" s="194"/>
      <c r="N2802" s="194"/>
    </row>
    <row r="2803">
      <c r="A2803" s="193" t="s">
        <v>20382</v>
      </c>
      <c r="B2803" s="7" t="s">
        <v>16582</v>
      </c>
      <c r="C2803" s="7" t="s">
        <v>16828</v>
      </c>
      <c r="D2803" s="199"/>
      <c r="E2803" s="193"/>
      <c r="F2803" s="195" t="s">
        <v>20383</v>
      </c>
      <c r="G2803" s="196">
        <v>2.536215768E9</v>
      </c>
      <c r="H2803" s="197">
        <v>44.91</v>
      </c>
      <c r="I2803" s="7" t="s">
        <v>16815</v>
      </c>
      <c r="J2803" s="7" t="s">
        <v>16582</v>
      </c>
      <c r="K2803" s="7" t="s">
        <v>16828</v>
      </c>
      <c r="L2803" s="198" t="s">
        <v>65</v>
      </c>
      <c r="M2803" s="199"/>
      <c r="N2803" s="199"/>
    </row>
    <row r="2804">
      <c r="A2804" s="193" t="s">
        <v>20384</v>
      </c>
      <c r="B2804" s="7" t="s">
        <v>17321</v>
      </c>
      <c r="C2804" s="7" t="s">
        <v>169</v>
      </c>
      <c r="D2804" s="194">
        <v>2013.0</v>
      </c>
      <c r="E2804" s="193"/>
      <c r="F2804" s="195" t="s">
        <v>20385</v>
      </c>
      <c r="G2804" s="200">
        <v>2.535351E9</v>
      </c>
      <c r="H2804" s="197">
        <v>17.57</v>
      </c>
      <c r="I2804" s="7" t="s">
        <v>16815</v>
      </c>
      <c r="J2804" s="7" t="s">
        <v>17321</v>
      </c>
      <c r="K2804" s="7" t="s">
        <v>169</v>
      </c>
      <c r="L2804" s="201" t="s">
        <v>16835</v>
      </c>
      <c r="M2804" s="194"/>
      <c r="N2804" s="194"/>
    </row>
    <row r="2805">
      <c r="A2805" s="193" t="s">
        <v>20384</v>
      </c>
      <c r="B2805" s="7" t="s">
        <v>169</v>
      </c>
      <c r="C2805" s="7" t="s">
        <v>17321</v>
      </c>
      <c r="D2805" s="194">
        <v>2013.0</v>
      </c>
      <c r="E2805" s="193"/>
      <c r="F2805" s="195" t="s">
        <v>20385</v>
      </c>
      <c r="G2805" s="196">
        <v>2.535351E9</v>
      </c>
      <c r="H2805" s="197">
        <v>17.57</v>
      </c>
      <c r="I2805" s="7" t="s">
        <v>16815</v>
      </c>
      <c r="J2805" s="7" t="s">
        <v>169</v>
      </c>
      <c r="K2805" s="7" t="s">
        <v>17321</v>
      </c>
      <c r="L2805" s="198" t="s">
        <v>65</v>
      </c>
      <c r="M2805" s="194"/>
      <c r="N2805" s="194"/>
    </row>
    <row r="2806">
      <c r="A2806" s="193" t="s">
        <v>20386</v>
      </c>
      <c r="B2806" s="7" t="s">
        <v>175</v>
      </c>
      <c r="C2806" s="7" t="s">
        <v>17318</v>
      </c>
      <c r="D2806" s="194">
        <v>2003.0</v>
      </c>
      <c r="E2806" s="193"/>
      <c r="F2806" s="195" t="s">
        <v>20387</v>
      </c>
      <c r="G2806" s="196">
        <v>2.524708836E9</v>
      </c>
      <c r="H2806" s="197">
        <v>68.56</v>
      </c>
      <c r="I2806" s="7" t="s">
        <v>16908</v>
      </c>
      <c r="J2806" s="7" t="s">
        <v>175</v>
      </c>
      <c r="K2806" s="7" t="s">
        <v>17318</v>
      </c>
      <c r="L2806" s="198" t="s">
        <v>65</v>
      </c>
      <c r="M2806" s="194"/>
      <c r="N2806" s="194"/>
    </row>
    <row r="2807">
      <c r="A2807" s="193" t="s">
        <v>20386</v>
      </c>
      <c r="B2807" s="7" t="s">
        <v>17318</v>
      </c>
      <c r="C2807" s="7" t="s">
        <v>175</v>
      </c>
      <c r="D2807" s="194">
        <v>2003.0</v>
      </c>
      <c r="E2807" s="193"/>
      <c r="F2807" s="195" t="s">
        <v>20387</v>
      </c>
      <c r="G2807" s="200">
        <v>2.524708836E9</v>
      </c>
      <c r="H2807" s="197">
        <v>68.56</v>
      </c>
      <c r="I2807" s="7" t="s">
        <v>16815</v>
      </c>
      <c r="J2807" s="7" t="s">
        <v>17318</v>
      </c>
      <c r="K2807" s="7" t="s">
        <v>175</v>
      </c>
      <c r="L2807" s="201" t="s">
        <v>16835</v>
      </c>
      <c r="M2807" s="194"/>
      <c r="N2807" s="194"/>
    </row>
    <row r="2808">
      <c r="A2808" s="193" t="s">
        <v>20388</v>
      </c>
      <c r="B2808" s="7" t="s">
        <v>169</v>
      </c>
      <c r="C2808" s="7" t="s">
        <v>16945</v>
      </c>
      <c r="D2808" s="199"/>
      <c r="E2808" s="193"/>
      <c r="F2808" s="195" t="s">
        <v>20389</v>
      </c>
      <c r="G2808" s="196">
        <v>2.524375914E9</v>
      </c>
      <c r="H2808" s="197">
        <v>101.52</v>
      </c>
      <c r="I2808" s="7" t="s">
        <v>16815</v>
      </c>
      <c r="J2808" s="7" t="s">
        <v>169</v>
      </c>
      <c r="K2808" s="7" t="s">
        <v>16945</v>
      </c>
      <c r="L2808" s="198" t="s">
        <v>65</v>
      </c>
      <c r="M2808" s="199"/>
      <c r="N2808" s="199"/>
    </row>
    <row r="2809">
      <c r="A2809" s="193" t="s">
        <v>20390</v>
      </c>
      <c r="B2809" s="7" t="s">
        <v>17019</v>
      </c>
      <c r="C2809" s="7" t="s">
        <v>16838</v>
      </c>
      <c r="D2809" s="199"/>
      <c r="E2809" s="193"/>
      <c r="F2809" s="195" t="s">
        <v>20391</v>
      </c>
      <c r="G2809" s="200">
        <v>2.522550866E9</v>
      </c>
      <c r="H2809" s="197">
        <v>142.44</v>
      </c>
      <c r="I2809" s="7" t="s">
        <v>16815</v>
      </c>
      <c r="J2809" s="7" t="s">
        <v>17019</v>
      </c>
      <c r="K2809" s="7" t="s">
        <v>16838</v>
      </c>
      <c r="L2809" s="201" t="s">
        <v>16835</v>
      </c>
      <c r="M2809" s="199"/>
      <c r="N2809" s="199"/>
    </row>
    <row r="2810">
      <c r="A2810" s="193" t="s">
        <v>20390</v>
      </c>
      <c r="B2810" s="7" t="s">
        <v>16838</v>
      </c>
      <c r="C2810" s="7" t="s">
        <v>17019</v>
      </c>
      <c r="D2810" s="199"/>
      <c r="E2810" s="193"/>
      <c r="F2810" s="195" t="s">
        <v>20391</v>
      </c>
      <c r="G2810" s="196">
        <v>2.522550866E9</v>
      </c>
      <c r="H2810" s="197">
        <v>142.44</v>
      </c>
      <c r="I2810" s="7" t="s">
        <v>16815</v>
      </c>
      <c r="J2810" s="7" t="s">
        <v>16838</v>
      </c>
      <c r="K2810" s="7" t="s">
        <v>17019</v>
      </c>
      <c r="L2810" s="198" t="s">
        <v>65</v>
      </c>
      <c r="M2810" s="199"/>
      <c r="N2810" s="199"/>
    </row>
    <row r="2811">
      <c r="A2811" s="193" t="s">
        <v>20392</v>
      </c>
      <c r="B2811" s="7" t="s">
        <v>17111</v>
      </c>
      <c r="C2811" s="7" t="s">
        <v>17112</v>
      </c>
      <c r="D2811" s="194">
        <v>2015.0</v>
      </c>
      <c r="E2811" s="193"/>
      <c r="F2811" s="195" t="s">
        <v>20393</v>
      </c>
      <c r="G2811" s="200">
        <v>2.522321916E9</v>
      </c>
      <c r="H2811" s="197">
        <v>30.36</v>
      </c>
      <c r="I2811" s="7" t="s">
        <v>16815</v>
      </c>
      <c r="J2811" s="7" t="s">
        <v>17111</v>
      </c>
      <c r="K2811" s="7" t="s">
        <v>17112</v>
      </c>
      <c r="L2811" s="201" t="s">
        <v>16835</v>
      </c>
      <c r="M2811" s="194"/>
      <c r="N2811" s="194"/>
    </row>
    <row r="2812">
      <c r="A2812" s="193" t="s">
        <v>20392</v>
      </c>
      <c r="B2812" s="7" t="s">
        <v>17112</v>
      </c>
      <c r="C2812" s="7" t="s">
        <v>17111</v>
      </c>
      <c r="D2812" s="194">
        <v>2015.0</v>
      </c>
      <c r="E2812" s="193"/>
      <c r="F2812" s="195" t="s">
        <v>20393</v>
      </c>
      <c r="G2812" s="196">
        <v>2.522321916E9</v>
      </c>
      <c r="H2812" s="197">
        <v>30.36</v>
      </c>
      <c r="I2812" s="7" t="s">
        <v>16815</v>
      </c>
      <c r="J2812" s="7" t="s">
        <v>17112</v>
      </c>
      <c r="K2812" s="7" t="s">
        <v>17111</v>
      </c>
      <c r="L2812" s="198" t="s">
        <v>65</v>
      </c>
      <c r="M2812" s="194"/>
      <c r="N2812" s="194"/>
    </row>
    <row r="2813">
      <c r="A2813" s="193" t="s">
        <v>20394</v>
      </c>
      <c r="B2813" s="7" t="s">
        <v>16838</v>
      </c>
      <c r="C2813" s="7" t="s">
        <v>16867</v>
      </c>
      <c r="D2813" s="199"/>
      <c r="E2813" s="193"/>
      <c r="F2813" s="195" t="s">
        <v>20395</v>
      </c>
      <c r="G2813" s="196">
        <v>2.521128927E9</v>
      </c>
      <c r="H2813" s="197">
        <v>15.37</v>
      </c>
      <c r="I2813" s="7" t="s">
        <v>16815</v>
      </c>
      <c r="J2813" s="7" t="s">
        <v>16838</v>
      </c>
      <c r="K2813" s="7" t="s">
        <v>16867</v>
      </c>
      <c r="L2813" s="198" t="s">
        <v>65</v>
      </c>
      <c r="M2813" s="199"/>
      <c r="N2813" s="199"/>
    </row>
    <row r="2814">
      <c r="A2814" s="193" t="s">
        <v>20396</v>
      </c>
      <c r="B2814" s="7" t="s">
        <v>175</v>
      </c>
      <c r="C2814" s="7" t="s">
        <v>17812</v>
      </c>
      <c r="D2814" s="194">
        <v>2006.0</v>
      </c>
      <c r="E2814" s="193"/>
      <c r="F2814" s="195" t="s">
        <v>20397</v>
      </c>
      <c r="G2814" s="196">
        <v>2.519396615E9</v>
      </c>
      <c r="H2814" s="197">
        <v>133.89</v>
      </c>
      <c r="I2814" s="7" t="s">
        <v>16892</v>
      </c>
      <c r="J2814" s="7" t="s">
        <v>175</v>
      </c>
      <c r="K2814" s="7" t="s">
        <v>17812</v>
      </c>
      <c r="L2814" s="198" t="s">
        <v>65</v>
      </c>
      <c r="M2814" s="194"/>
      <c r="N2814" s="194"/>
    </row>
    <row r="2815">
      <c r="A2815" s="193" t="s">
        <v>20398</v>
      </c>
      <c r="B2815" s="7" t="s">
        <v>175</v>
      </c>
      <c r="C2815" s="7" t="s">
        <v>17168</v>
      </c>
      <c r="D2815" s="199"/>
      <c r="E2815" s="193"/>
      <c r="F2815" s="195" t="s">
        <v>20399</v>
      </c>
      <c r="G2815" s="196">
        <v>2.518045938E9</v>
      </c>
      <c r="H2815" s="197">
        <v>34.77</v>
      </c>
      <c r="I2815" s="7" t="s">
        <v>16903</v>
      </c>
      <c r="J2815" s="7" t="s">
        <v>175</v>
      </c>
      <c r="K2815" s="7" t="s">
        <v>17168</v>
      </c>
      <c r="L2815" s="198" t="s">
        <v>65</v>
      </c>
      <c r="M2815" s="199"/>
      <c r="N2815" s="199"/>
    </row>
    <row r="2816">
      <c r="A2816" s="193" t="s">
        <v>20398</v>
      </c>
      <c r="B2816" s="7" t="s">
        <v>17168</v>
      </c>
      <c r="C2816" s="7" t="s">
        <v>175</v>
      </c>
      <c r="D2816" s="199"/>
      <c r="E2816" s="193"/>
      <c r="F2816" s="195" t="s">
        <v>20400</v>
      </c>
      <c r="G2816" s="200">
        <v>2.518045938E9</v>
      </c>
      <c r="H2816" s="197">
        <v>34.77</v>
      </c>
      <c r="I2816" s="7" t="s">
        <v>16815</v>
      </c>
      <c r="J2816" s="7" t="s">
        <v>17168</v>
      </c>
      <c r="K2816" s="7" t="s">
        <v>175</v>
      </c>
      <c r="L2816" s="201" t="s">
        <v>16835</v>
      </c>
      <c r="M2816" s="199"/>
      <c r="N2816" s="199"/>
    </row>
    <row r="2817">
      <c r="A2817" s="193" t="s">
        <v>20401</v>
      </c>
      <c r="B2817" s="7" t="s">
        <v>187</v>
      </c>
      <c r="C2817" s="7" t="s">
        <v>16846</v>
      </c>
      <c r="D2817" s="194">
        <v>2014.0</v>
      </c>
      <c r="E2817" s="193"/>
      <c r="F2817" s="195" t="s">
        <v>20402</v>
      </c>
      <c r="G2817" s="196">
        <v>2.518013522E9</v>
      </c>
      <c r="H2817" s="197">
        <v>52.56</v>
      </c>
      <c r="I2817" s="7" t="s">
        <v>16815</v>
      </c>
      <c r="J2817" s="7" t="s">
        <v>187</v>
      </c>
      <c r="K2817" s="7" t="s">
        <v>16846</v>
      </c>
      <c r="L2817" s="198" t="s">
        <v>65</v>
      </c>
      <c r="M2817" s="194"/>
      <c r="N2817" s="194"/>
    </row>
    <row r="2818">
      <c r="A2818" s="193" t="s">
        <v>20403</v>
      </c>
      <c r="B2818" s="7" t="s">
        <v>17127</v>
      </c>
      <c r="C2818" s="7" t="s">
        <v>16838</v>
      </c>
      <c r="D2818" s="199"/>
      <c r="E2818" s="193"/>
      <c r="F2818" s="195" t="s">
        <v>20404</v>
      </c>
      <c r="G2818" s="200">
        <v>2.512857073E9</v>
      </c>
      <c r="H2818" s="197">
        <v>39.21</v>
      </c>
      <c r="I2818" s="7" t="s">
        <v>16815</v>
      </c>
      <c r="J2818" s="7" t="s">
        <v>17127</v>
      </c>
      <c r="K2818" s="7" t="s">
        <v>16838</v>
      </c>
      <c r="L2818" s="201" t="s">
        <v>16835</v>
      </c>
      <c r="M2818" s="199"/>
      <c r="N2818" s="199"/>
    </row>
    <row r="2819">
      <c r="A2819" s="193" t="s">
        <v>20403</v>
      </c>
      <c r="B2819" s="7" t="s">
        <v>16838</v>
      </c>
      <c r="C2819" s="7" t="s">
        <v>17127</v>
      </c>
      <c r="D2819" s="199"/>
      <c r="E2819" s="193"/>
      <c r="F2819" s="195" t="s">
        <v>20404</v>
      </c>
      <c r="G2819" s="196">
        <v>2.512857073E9</v>
      </c>
      <c r="H2819" s="197">
        <v>39.21</v>
      </c>
      <c r="I2819" s="7" t="s">
        <v>16815</v>
      </c>
      <c r="J2819" s="7" t="s">
        <v>16838</v>
      </c>
      <c r="K2819" s="7" t="s">
        <v>17127</v>
      </c>
      <c r="L2819" s="198" t="s">
        <v>65</v>
      </c>
      <c r="M2819" s="199"/>
      <c r="N2819" s="199"/>
    </row>
    <row r="2820">
      <c r="A2820" s="193" t="s">
        <v>20405</v>
      </c>
      <c r="D2820" s="199"/>
      <c r="E2820" s="193"/>
      <c r="F2820" s="195" t="s">
        <v>20406</v>
      </c>
      <c r="G2820" s="196">
        <v>2.512019785E9</v>
      </c>
      <c r="H2820" s="197">
        <v>120.15</v>
      </c>
      <c r="I2820" s="7" t="s">
        <v>16815</v>
      </c>
      <c r="L2820" s="198" t="s">
        <v>65</v>
      </c>
      <c r="M2820" s="199"/>
      <c r="N2820" s="199"/>
    </row>
    <row r="2821">
      <c r="A2821" s="193" t="s">
        <v>20405</v>
      </c>
      <c r="D2821" s="199"/>
      <c r="E2821" s="193"/>
      <c r="F2821" s="195" t="s">
        <v>20406</v>
      </c>
      <c r="G2821" s="200">
        <v>2.512019785E9</v>
      </c>
      <c r="H2821" s="197">
        <v>120.15</v>
      </c>
      <c r="L2821" s="201" t="s">
        <v>16835</v>
      </c>
      <c r="M2821" s="199"/>
      <c r="N2821" s="199"/>
    </row>
    <row r="2822">
      <c r="A2822" s="193" t="s">
        <v>20407</v>
      </c>
      <c r="B2822" s="7" t="s">
        <v>175</v>
      </c>
      <c r="C2822" s="7" t="s">
        <v>16975</v>
      </c>
      <c r="D2822" s="194">
        <v>1993.0</v>
      </c>
      <c r="E2822" s="193"/>
      <c r="F2822" s="195" t="s">
        <v>20408</v>
      </c>
      <c r="G2822" s="196">
        <v>2.507974482E9</v>
      </c>
      <c r="H2822" s="197">
        <v>33.3</v>
      </c>
      <c r="I2822" s="7" t="s">
        <v>17242</v>
      </c>
      <c r="J2822" s="7" t="s">
        <v>175</v>
      </c>
      <c r="K2822" s="7" t="s">
        <v>16975</v>
      </c>
      <c r="L2822" s="198" t="s">
        <v>65</v>
      </c>
      <c r="M2822" s="194"/>
      <c r="N2822" s="194"/>
    </row>
    <row r="2823">
      <c r="A2823" s="193" t="s">
        <v>20409</v>
      </c>
      <c r="B2823" s="7" t="s">
        <v>175</v>
      </c>
      <c r="C2823" s="7" t="s">
        <v>17031</v>
      </c>
      <c r="D2823" s="194">
        <v>2005.0</v>
      </c>
      <c r="E2823" s="193"/>
      <c r="F2823" s="195" t="s">
        <v>20410</v>
      </c>
      <c r="G2823" s="196">
        <v>2.5073792E9</v>
      </c>
      <c r="H2823" s="197">
        <v>88.04</v>
      </c>
      <c r="I2823" s="7" t="s">
        <v>16908</v>
      </c>
      <c r="J2823" s="7" t="s">
        <v>175</v>
      </c>
      <c r="K2823" s="7" t="s">
        <v>17031</v>
      </c>
      <c r="L2823" s="198" t="s">
        <v>65</v>
      </c>
      <c r="M2823" s="194"/>
      <c r="N2823" s="194"/>
    </row>
    <row r="2824">
      <c r="A2824" s="193" t="s">
        <v>20409</v>
      </c>
      <c r="B2824" s="7" t="s">
        <v>17031</v>
      </c>
      <c r="C2824" s="7" t="s">
        <v>175</v>
      </c>
      <c r="D2824" s="194">
        <v>2005.0</v>
      </c>
      <c r="E2824" s="193"/>
      <c r="F2824" s="195" t="s">
        <v>20410</v>
      </c>
      <c r="G2824" s="200">
        <v>2.5073792E9</v>
      </c>
      <c r="H2824" s="197">
        <v>88.04</v>
      </c>
      <c r="I2824" s="7" t="s">
        <v>16815</v>
      </c>
      <c r="J2824" s="7" t="s">
        <v>17031</v>
      </c>
      <c r="K2824" s="7" t="s">
        <v>175</v>
      </c>
      <c r="L2824" s="201" t="s">
        <v>16835</v>
      </c>
      <c r="M2824" s="194"/>
      <c r="N2824" s="194"/>
    </row>
    <row r="2825">
      <c r="A2825" s="193" t="s">
        <v>20411</v>
      </c>
      <c r="B2825" s="7" t="s">
        <v>187</v>
      </c>
      <c r="C2825" s="7" t="s">
        <v>16851</v>
      </c>
      <c r="D2825" s="199"/>
      <c r="E2825" s="193"/>
      <c r="F2825" s="195" t="s">
        <v>20412</v>
      </c>
      <c r="G2825" s="196">
        <v>2.505048E9</v>
      </c>
      <c r="H2825" s="197">
        <v>28.21</v>
      </c>
      <c r="I2825" s="7" t="s">
        <v>16815</v>
      </c>
      <c r="J2825" s="7" t="s">
        <v>187</v>
      </c>
      <c r="K2825" s="7" t="s">
        <v>16851</v>
      </c>
      <c r="L2825" s="198" t="s">
        <v>65</v>
      </c>
      <c r="M2825" s="199"/>
      <c r="N2825" s="199"/>
    </row>
    <row r="2826">
      <c r="A2826" s="193" t="s">
        <v>20413</v>
      </c>
      <c r="B2826" s="7" t="s">
        <v>16838</v>
      </c>
      <c r="C2826" s="7" t="s">
        <v>17016</v>
      </c>
      <c r="D2826" s="194">
        <v>2010.0</v>
      </c>
      <c r="E2826" s="193"/>
      <c r="F2826" s="195" t="s">
        <v>20414</v>
      </c>
      <c r="G2826" s="196">
        <v>2.501522445E9</v>
      </c>
      <c r="H2826" s="197">
        <v>14.75</v>
      </c>
      <c r="I2826" s="7" t="s">
        <v>16815</v>
      </c>
      <c r="J2826" s="7" t="s">
        <v>16838</v>
      </c>
      <c r="K2826" s="7" t="s">
        <v>17016</v>
      </c>
      <c r="L2826" s="198" t="s">
        <v>65</v>
      </c>
      <c r="M2826" s="194"/>
      <c r="N2826" s="194"/>
    </row>
    <row r="2827">
      <c r="A2827" s="193" t="s">
        <v>20415</v>
      </c>
      <c r="B2827" s="7" t="s">
        <v>16582</v>
      </c>
      <c r="C2827" s="7" t="s">
        <v>16817</v>
      </c>
      <c r="D2827" s="194">
        <v>2021.0</v>
      </c>
      <c r="E2827" s="193"/>
      <c r="F2827" s="195" t="s">
        <v>20416</v>
      </c>
      <c r="G2827" s="196">
        <v>2.500493011E9</v>
      </c>
      <c r="H2827" s="197">
        <v>13.7</v>
      </c>
      <c r="I2827" s="7" t="s">
        <v>16815</v>
      </c>
      <c r="J2827" s="7" t="s">
        <v>16582</v>
      </c>
      <c r="K2827" s="7" t="s">
        <v>16817</v>
      </c>
      <c r="L2827" s="198" t="s">
        <v>65</v>
      </c>
      <c r="M2827" s="194"/>
      <c r="N2827" s="194"/>
    </row>
    <row r="2828">
      <c r="A2828" s="193" t="s">
        <v>20415</v>
      </c>
      <c r="B2828" s="7" t="s">
        <v>16817</v>
      </c>
      <c r="C2828" s="7" t="s">
        <v>16582</v>
      </c>
      <c r="D2828" s="194">
        <v>2021.0</v>
      </c>
      <c r="E2828" s="193"/>
      <c r="F2828" s="195" t="s">
        <v>20416</v>
      </c>
      <c r="G2828" s="200">
        <v>2.500493011E9</v>
      </c>
      <c r="H2828" s="197">
        <v>13.7</v>
      </c>
      <c r="I2828" s="7" t="s">
        <v>16815</v>
      </c>
      <c r="J2828" s="7" t="s">
        <v>16817</v>
      </c>
      <c r="K2828" s="7" t="s">
        <v>16582</v>
      </c>
      <c r="L2828" s="201" t="s">
        <v>16835</v>
      </c>
      <c r="M2828" s="194"/>
      <c r="N2828" s="194"/>
    </row>
    <row r="2829">
      <c r="A2829" s="193" t="s">
        <v>20417</v>
      </c>
      <c r="B2829" s="7" t="s">
        <v>187</v>
      </c>
      <c r="C2829" s="7" t="s">
        <v>16846</v>
      </c>
      <c r="D2829" s="199"/>
      <c r="E2829" s="193"/>
      <c r="F2829" s="195" t="s">
        <v>20418</v>
      </c>
      <c r="G2829" s="196">
        <v>2.486978277E9</v>
      </c>
      <c r="H2829" s="197">
        <v>6.81</v>
      </c>
      <c r="I2829" s="7" t="s">
        <v>16815</v>
      </c>
      <c r="J2829" s="7" t="s">
        <v>187</v>
      </c>
      <c r="K2829" s="7" t="s">
        <v>16846</v>
      </c>
      <c r="L2829" s="198" t="s">
        <v>65</v>
      </c>
      <c r="M2829" s="199"/>
      <c r="N2829" s="199"/>
    </row>
    <row r="2830">
      <c r="A2830" s="193" t="s">
        <v>20417</v>
      </c>
      <c r="B2830" s="7" t="s">
        <v>16846</v>
      </c>
      <c r="C2830" s="7" t="s">
        <v>187</v>
      </c>
      <c r="D2830" s="199"/>
      <c r="E2830" s="193"/>
      <c r="F2830" s="195" t="s">
        <v>20418</v>
      </c>
      <c r="G2830" s="200">
        <v>2.486978277E9</v>
      </c>
      <c r="H2830" s="197">
        <v>6.81</v>
      </c>
      <c r="I2830" s="7" t="s">
        <v>16815</v>
      </c>
      <c r="J2830" s="7" t="s">
        <v>16846</v>
      </c>
      <c r="K2830" s="7" t="s">
        <v>187</v>
      </c>
      <c r="L2830" s="201" t="s">
        <v>16835</v>
      </c>
      <c r="M2830" s="199"/>
      <c r="N2830" s="199"/>
    </row>
    <row r="2831">
      <c r="A2831" s="193" t="s">
        <v>20419</v>
      </c>
      <c r="B2831" s="7" t="s">
        <v>16582</v>
      </c>
      <c r="C2831" s="7" t="s">
        <v>16817</v>
      </c>
      <c r="D2831" s="194">
        <v>2020.0</v>
      </c>
      <c r="E2831" s="193"/>
      <c r="F2831" s="195" t="s">
        <v>20420</v>
      </c>
      <c r="G2831" s="196">
        <v>2.479891158E9</v>
      </c>
      <c r="H2831" s="197">
        <v>5.31</v>
      </c>
      <c r="I2831" s="7" t="s">
        <v>16815</v>
      </c>
      <c r="J2831" s="7" t="s">
        <v>16582</v>
      </c>
      <c r="K2831" s="7" t="s">
        <v>16817</v>
      </c>
      <c r="L2831" s="198" t="s">
        <v>65</v>
      </c>
      <c r="M2831" s="194"/>
      <c r="N2831" s="194"/>
    </row>
    <row r="2832">
      <c r="A2832" s="193" t="s">
        <v>20419</v>
      </c>
      <c r="B2832" s="7" t="s">
        <v>16817</v>
      </c>
      <c r="C2832" s="7" t="s">
        <v>16582</v>
      </c>
      <c r="D2832" s="194">
        <v>2020.0</v>
      </c>
      <c r="E2832" s="193"/>
      <c r="F2832" s="195" t="s">
        <v>20420</v>
      </c>
      <c r="G2832" s="200">
        <v>2.479891158E9</v>
      </c>
      <c r="H2832" s="197">
        <v>5.31</v>
      </c>
      <c r="I2832" s="7" t="s">
        <v>16815</v>
      </c>
      <c r="J2832" s="7" t="s">
        <v>16817</v>
      </c>
      <c r="K2832" s="7" t="s">
        <v>16582</v>
      </c>
      <c r="L2832" s="201" t="s">
        <v>16835</v>
      </c>
      <c r="M2832" s="194"/>
      <c r="N2832" s="194"/>
    </row>
    <row r="2833">
      <c r="A2833" s="193" t="s">
        <v>20421</v>
      </c>
      <c r="B2833" s="7" t="s">
        <v>16838</v>
      </c>
      <c r="C2833" s="7" t="s">
        <v>17016</v>
      </c>
      <c r="D2833" s="194">
        <v>2018.0</v>
      </c>
      <c r="E2833" s="193"/>
      <c r="F2833" s="195" t="s">
        <v>20422</v>
      </c>
      <c r="G2833" s="196">
        <v>2.479043052E9</v>
      </c>
      <c r="H2833" s="197">
        <v>15.36</v>
      </c>
      <c r="I2833" s="7" t="s">
        <v>16815</v>
      </c>
      <c r="J2833" s="7" t="s">
        <v>16838</v>
      </c>
      <c r="K2833" s="7" t="s">
        <v>17016</v>
      </c>
      <c r="L2833" s="198" t="s">
        <v>65</v>
      </c>
      <c r="M2833" s="194"/>
      <c r="N2833" s="194"/>
    </row>
    <row r="2834">
      <c r="A2834" s="193" t="s">
        <v>20423</v>
      </c>
      <c r="B2834" s="7" t="s">
        <v>16945</v>
      </c>
      <c r="C2834" s="7" t="s">
        <v>169</v>
      </c>
      <c r="D2834" s="194">
        <v>2018.0</v>
      </c>
      <c r="E2834" s="193"/>
      <c r="F2834" s="195" t="s">
        <v>20424</v>
      </c>
      <c r="G2834" s="200">
        <v>2.471086599E9</v>
      </c>
      <c r="H2834" s="197">
        <v>13.75</v>
      </c>
      <c r="I2834" s="7" t="s">
        <v>16815</v>
      </c>
      <c r="J2834" s="7" t="s">
        <v>16945</v>
      </c>
      <c r="K2834" s="7" t="s">
        <v>169</v>
      </c>
      <c r="L2834" s="201" t="s">
        <v>16835</v>
      </c>
      <c r="M2834" s="194"/>
      <c r="N2834" s="194"/>
    </row>
    <row r="2835">
      <c r="A2835" s="193" t="s">
        <v>20423</v>
      </c>
      <c r="B2835" s="7" t="s">
        <v>169</v>
      </c>
      <c r="C2835" s="7" t="s">
        <v>16945</v>
      </c>
      <c r="D2835" s="194">
        <v>2018.0</v>
      </c>
      <c r="E2835" s="193"/>
      <c r="F2835" s="195" t="s">
        <v>20424</v>
      </c>
      <c r="G2835" s="196">
        <v>2.471086599E9</v>
      </c>
      <c r="H2835" s="197">
        <v>13.75</v>
      </c>
      <c r="I2835" s="7" t="s">
        <v>16815</v>
      </c>
      <c r="J2835" s="7" t="s">
        <v>169</v>
      </c>
      <c r="K2835" s="7" t="s">
        <v>16945</v>
      </c>
      <c r="L2835" s="198" t="s">
        <v>65</v>
      </c>
      <c r="M2835" s="194"/>
      <c r="N2835" s="194"/>
    </row>
    <row r="2836">
      <c r="A2836" s="193" t="s">
        <v>20425</v>
      </c>
      <c r="B2836" s="7" t="s">
        <v>187</v>
      </c>
      <c r="C2836" s="7" t="s">
        <v>17122</v>
      </c>
      <c r="D2836" s="199"/>
      <c r="E2836" s="193"/>
      <c r="F2836" s="195" t="s">
        <v>20426</v>
      </c>
      <c r="G2836" s="196">
        <v>2.467283831E9</v>
      </c>
      <c r="H2836" s="197">
        <v>45.8</v>
      </c>
      <c r="I2836" s="7" t="s">
        <v>16815</v>
      </c>
      <c r="J2836" s="7" t="s">
        <v>187</v>
      </c>
      <c r="K2836" s="7" t="s">
        <v>17122</v>
      </c>
      <c r="L2836" s="198" t="s">
        <v>65</v>
      </c>
      <c r="M2836" s="199"/>
      <c r="N2836" s="199"/>
    </row>
    <row r="2837">
      <c r="A2837" s="193" t="s">
        <v>20427</v>
      </c>
      <c r="B2837" s="7" t="s">
        <v>169</v>
      </c>
      <c r="C2837" s="7" t="s">
        <v>18903</v>
      </c>
      <c r="D2837" s="199"/>
      <c r="E2837" s="193"/>
      <c r="F2837" s="195" t="s">
        <v>20428</v>
      </c>
      <c r="G2837" s="196">
        <v>2.465856645E9</v>
      </c>
      <c r="H2837" s="197">
        <v>24.6</v>
      </c>
      <c r="I2837" s="7" t="s">
        <v>16815</v>
      </c>
      <c r="J2837" s="7" t="s">
        <v>169</v>
      </c>
      <c r="K2837" s="7" t="s">
        <v>18903</v>
      </c>
      <c r="L2837" s="198" t="s">
        <v>65</v>
      </c>
      <c r="M2837" s="199"/>
      <c r="N2837" s="199"/>
    </row>
    <row r="2838">
      <c r="A2838" s="193" t="s">
        <v>20429</v>
      </c>
      <c r="B2838" s="7" t="s">
        <v>16838</v>
      </c>
      <c r="C2838" s="7" t="s">
        <v>16867</v>
      </c>
      <c r="D2838" s="199"/>
      <c r="E2838" s="193"/>
      <c r="F2838" s="195" t="s">
        <v>20430</v>
      </c>
      <c r="G2838" s="196">
        <v>2.465689762E9</v>
      </c>
      <c r="H2838" s="197">
        <v>20.8</v>
      </c>
      <c r="I2838" s="7" t="s">
        <v>16815</v>
      </c>
      <c r="J2838" s="7" t="s">
        <v>16838</v>
      </c>
      <c r="K2838" s="7" t="s">
        <v>16867</v>
      </c>
      <c r="L2838" s="198" t="s">
        <v>65</v>
      </c>
      <c r="M2838" s="199"/>
      <c r="N2838" s="199"/>
    </row>
    <row r="2839">
      <c r="A2839" s="193" t="s">
        <v>20431</v>
      </c>
      <c r="B2839" s="7" t="s">
        <v>158</v>
      </c>
      <c r="C2839" s="7" t="s">
        <v>20100</v>
      </c>
      <c r="D2839" s="194">
        <v>2017.0</v>
      </c>
      <c r="E2839" s="193"/>
      <c r="F2839" s="195" t="s">
        <v>20432</v>
      </c>
      <c r="G2839" s="196">
        <v>2.464136383E9</v>
      </c>
      <c r="H2839" s="197">
        <v>47.37</v>
      </c>
      <c r="I2839" s="7" t="s">
        <v>17419</v>
      </c>
      <c r="J2839" s="7" t="s">
        <v>158</v>
      </c>
      <c r="K2839" s="7" t="s">
        <v>20100</v>
      </c>
      <c r="L2839" s="198" t="s">
        <v>65</v>
      </c>
      <c r="M2839" s="194"/>
      <c r="N2839" s="194"/>
    </row>
    <row r="2840">
      <c r="A2840" s="193" t="s">
        <v>20431</v>
      </c>
      <c r="B2840" s="7" t="s">
        <v>20100</v>
      </c>
      <c r="C2840" s="7" t="s">
        <v>158</v>
      </c>
      <c r="D2840" s="194">
        <v>2017.0</v>
      </c>
      <c r="E2840" s="193"/>
      <c r="F2840" s="195" t="s">
        <v>20432</v>
      </c>
      <c r="G2840" s="200">
        <v>2.464136383E9</v>
      </c>
      <c r="H2840" s="197">
        <v>47.37</v>
      </c>
      <c r="I2840" s="7" t="s">
        <v>16815</v>
      </c>
      <c r="J2840" s="7" t="s">
        <v>20100</v>
      </c>
      <c r="K2840" s="7" t="s">
        <v>158</v>
      </c>
      <c r="L2840" s="201" t="s">
        <v>16835</v>
      </c>
      <c r="M2840" s="194"/>
      <c r="N2840" s="194"/>
    </row>
    <row r="2841">
      <c r="A2841" s="193" t="s">
        <v>20433</v>
      </c>
      <c r="B2841" s="7" t="s">
        <v>17111</v>
      </c>
      <c r="C2841" s="7" t="s">
        <v>17112</v>
      </c>
      <c r="D2841" s="194">
        <v>2004.0</v>
      </c>
      <c r="E2841" s="193"/>
      <c r="F2841" s="195" t="s">
        <v>20434</v>
      </c>
      <c r="G2841" s="200">
        <v>2.461831445E9</v>
      </c>
      <c r="H2841" s="197">
        <v>13.06</v>
      </c>
      <c r="I2841" s="7" t="s">
        <v>16815</v>
      </c>
      <c r="J2841" s="7" t="s">
        <v>17111</v>
      </c>
      <c r="K2841" s="7" t="s">
        <v>17112</v>
      </c>
      <c r="L2841" s="201" t="s">
        <v>16835</v>
      </c>
      <c r="M2841" s="194"/>
      <c r="N2841" s="194"/>
    </row>
    <row r="2842">
      <c r="A2842" s="193" t="s">
        <v>20433</v>
      </c>
      <c r="B2842" s="7" t="s">
        <v>17112</v>
      </c>
      <c r="C2842" s="7" t="s">
        <v>17111</v>
      </c>
      <c r="D2842" s="194">
        <v>2004.0</v>
      </c>
      <c r="E2842" s="193"/>
      <c r="F2842" s="195" t="s">
        <v>20434</v>
      </c>
      <c r="G2842" s="196">
        <v>2.461831445E9</v>
      </c>
      <c r="H2842" s="197">
        <v>13.06</v>
      </c>
      <c r="I2842" s="7" t="s">
        <v>16815</v>
      </c>
      <c r="J2842" s="7" t="s">
        <v>17112</v>
      </c>
      <c r="K2842" s="7" t="s">
        <v>17111</v>
      </c>
      <c r="L2842" s="198" t="s">
        <v>65</v>
      </c>
      <c r="M2842" s="194"/>
      <c r="N2842" s="194"/>
    </row>
    <row r="2843">
      <c r="A2843" s="193" t="s">
        <v>20435</v>
      </c>
      <c r="B2843" s="7" t="s">
        <v>175</v>
      </c>
      <c r="C2843" s="7" t="s">
        <v>17452</v>
      </c>
      <c r="D2843" s="194">
        <v>1984.0</v>
      </c>
      <c r="E2843" s="193"/>
      <c r="F2843" s="195" t="s">
        <v>20436</v>
      </c>
      <c r="G2843" s="196">
        <v>2.452128128E9</v>
      </c>
      <c r="H2843" s="197">
        <v>100.13</v>
      </c>
      <c r="I2843" s="7" t="s">
        <v>168</v>
      </c>
      <c r="J2843" s="7" t="s">
        <v>175</v>
      </c>
      <c r="K2843" s="7" t="s">
        <v>17452</v>
      </c>
      <c r="L2843" s="198" t="s">
        <v>65</v>
      </c>
      <c r="M2843" s="194"/>
      <c r="N2843" s="194"/>
    </row>
    <row r="2844">
      <c r="A2844" s="193" t="s">
        <v>20437</v>
      </c>
      <c r="B2844" s="7" t="s">
        <v>16838</v>
      </c>
      <c r="C2844" s="7" t="s">
        <v>16867</v>
      </c>
      <c r="D2844" s="194">
        <v>2010.0</v>
      </c>
      <c r="E2844" s="193"/>
      <c r="F2844" s="195" t="s">
        <v>20438</v>
      </c>
      <c r="G2844" s="196">
        <v>2.447500256E9</v>
      </c>
      <c r="H2844" s="197">
        <v>23.31</v>
      </c>
      <c r="I2844" s="7" t="s">
        <v>16815</v>
      </c>
      <c r="J2844" s="7" t="s">
        <v>16838</v>
      </c>
      <c r="K2844" s="7" t="s">
        <v>16867</v>
      </c>
      <c r="L2844" s="198" t="s">
        <v>65</v>
      </c>
      <c r="M2844" s="194"/>
      <c r="N2844" s="194"/>
    </row>
    <row r="2845">
      <c r="A2845" s="193" t="s">
        <v>20439</v>
      </c>
      <c r="B2845" s="7" t="s">
        <v>19719</v>
      </c>
      <c r="C2845" s="7" t="s">
        <v>169</v>
      </c>
      <c r="D2845" s="199"/>
      <c r="E2845" s="193"/>
      <c r="F2845" s="195" t="s">
        <v>20440</v>
      </c>
      <c r="G2845" s="200">
        <v>2.445526475E9</v>
      </c>
      <c r="H2845" s="197">
        <v>83.37</v>
      </c>
      <c r="I2845" s="193" t="s">
        <v>16815</v>
      </c>
      <c r="J2845" s="7" t="s">
        <v>19719</v>
      </c>
      <c r="K2845" s="7" t="s">
        <v>169</v>
      </c>
      <c r="L2845" s="201" t="s">
        <v>16835</v>
      </c>
      <c r="M2845" s="199"/>
      <c r="N2845" s="199"/>
    </row>
    <row r="2846">
      <c r="A2846" s="193" t="s">
        <v>20439</v>
      </c>
      <c r="B2846" s="7" t="s">
        <v>169</v>
      </c>
      <c r="C2846" s="7" t="s">
        <v>19719</v>
      </c>
      <c r="D2846" s="199"/>
      <c r="E2846" s="193"/>
      <c r="F2846" s="195" t="s">
        <v>20440</v>
      </c>
      <c r="G2846" s="196">
        <v>2.445526475E9</v>
      </c>
      <c r="H2846" s="197">
        <v>83.37</v>
      </c>
      <c r="I2846" s="7" t="s">
        <v>16815</v>
      </c>
      <c r="J2846" s="7" t="s">
        <v>169</v>
      </c>
      <c r="K2846" s="7" t="s">
        <v>19719</v>
      </c>
      <c r="L2846" s="198" t="s">
        <v>65</v>
      </c>
      <c r="M2846" s="199"/>
      <c r="N2846" s="199"/>
    </row>
    <row r="2847">
      <c r="A2847" s="193" t="s">
        <v>20441</v>
      </c>
      <c r="B2847" s="7" t="s">
        <v>16910</v>
      </c>
      <c r="C2847" s="7" t="s">
        <v>17662</v>
      </c>
      <c r="D2847" s="194">
        <v>1996.0</v>
      </c>
      <c r="E2847" s="193"/>
      <c r="F2847" s="195" t="s">
        <v>20442</v>
      </c>
      <c r="G2847" s="196">
        <v>2.43394604E9</v>
      </c>
      <c r="H2847" s="197">
        <v>49.69</v>
      </c>
      <c r="I2847" s="7" t="s">
        <v>16856</v>
      </c>
      <c r="J2847" s="7" t="s">
        <v>16910</v>
      </c>
      <c r="K2847" s="7" t="s">
        <v>17662</v>
      </c>
      <c r="L2847" s="198" t="s">
        <v>65</v>
      </c>
      <c r="M2847" s="194"/>
      <c r="N2847" s="194"/>
    </row>
    <row r="2848">
      <c r="A2848" s="193" t="s">
        <v>20443</v>
      </c>
      <c r="B2848" s="7" t="s">
        <v>16945</v>
      </c>
      <c r="C2848" s="7" t="s">
        <v>169</v>
      </c>
      <c r="D2848" s="199"/>
      <c r="E2848" s="193"/>
      <c r="F2848" s="195" t="s">
        <v>20444</v>
      </c>
      <c r="G2848" s="200">
        <v>2.432304233E9</v>
      </c>
      <c r="H2848" s="197">
        <v>57.57</v>
      </c>
      <c r="I2848" s="7" t="s">
        <v>16815</v>
      </c>
      <c r="J2848" s="7" t="s">
        <v>16945</v>
      </c>
      <c r="K2848" s="7" t="s">
        <v>169</v>
      </c>
      <c r="L2848" s="201" t="s">
        <v>16835</v>
      </c>
      <c r="M2848" s="199"/>
      <c r="N2848" s="199"/>
    </row>
    <row r="2849">
      <c r="A2849" s="193" t="s">
        <v>20443</v>
      </c>
      <c r="B2849" s="7" t="s">
        <v>169</v>
      </c>
      <c r="C2849" s="7" t="s">
        <v>16945</v>
      </c>
      <c r="D2849" s="199"/>
      <c r="E2849" s="193"/>
      <c r="F2849" s="195" t="s">
        <v>20444</v>
      </c>
      <c r="G2849" s="196">
        <v>2.432304233E9</v>
      </c>
      <c r="H2849" s="197">
        <v>57.57</v>
      </c>
      <c r="I2849" s="7" t="s">
        <v>16815</v>
      </c>
      <c r="J2849" s="7" t="s">
        <v>169</v>
      </c>
      <c r="K2849" s="7" t="s">
        <v>16945</v>
      </c>
      <c r="L2849" s="198" t="s">
        <v>65</v>
      </c>
      <c r="M2849" s="199"/>
      <c r="N2849" s="199"/>
    </row>
    <row r="2850">
      <c r="A2850" s="193" t="s">
        <v>20445</v>
      </c>
      <c r="B2850" s="7" t="s">
        <v>169</v>
      </c>
      <c r="C2850" s="7" t="s">
        <v>18903</v>
      </c>
      <c r="D2850" s="199"/>
      <c r="E2850" s="193"/>
      <c r="F2850" s="195" t="s">
        <v>20446</v>
      </c>
      <c r="G2850" s="196">
        <v>2.430773319E9</v>
      </c>
      <c r="H2850" s="197">
        <v>24.25</v>
      </c>
      <c r="I2850" s="7" t="s">
        <v>16815</v>
      </c>
      <c r="J2850" s="7" t="s">
        <v>169</v>
      </c>
      <c r="K2850" s="7" t="s">
        <v>18903</v>
      </c>
      <c r="L2850" s="198" t="s">
        <v>65</v>
      </c>
      <c r="M2850" s="199"/>
      <c r="N2850" s="199"/>
    </row>
    <row r="2851">
      <c r="A2851" s="193" t="s">
        <v>20447</v>
      </c>
      <c r="B2851" s="7" t="s">
        <v>17629</v>
      </c>
      <c r="C2851" s="7" t="s">
        <v>16899</v>
      </c>
      <c r="D2851" s="194">
        <v>2015.0</v>
      </c>
      <c r="E2851" s="193"/>
      <c r="F2851" s="195" t="s">
        <v>20448</v>
      </c>
      <c r="G2851" s="196">
        <v>2.429067266E9</v>
      </c>
      <c r="H2851" s="197">
        <v>33.98</v>
      </c>
      <c r="I2851" s="7" t="s">
        <v>16815</v>
      </c>
      <c r="J2851" s="7" t="s">
        <v>17629</v>
      </c>
      <c r="K2851" s="7" t="s">
        <v>16899</v>
      </c>
      <c r="L2851" s="198" t="s">
        <v>65</v>
      </c>
      <c r="M2851" s="194"/>
      <c r="N2851" s="194"/>
    </row>
    <row r="2852">
      <c r="A2852" s="193" t="s">
        <v>20447</v>
      </c>
      <c r="B2852" s="7" t="s">
        <v>16899</v>
      </c>
      <c r="C2852" s="7" t="s">
        <v>17629</v>
      </c>
      <c r="D2852" s="194">
        <v>2015.0</v>
      </c>
      <c r="E2852" s="193"/>
      <c r="F2852" s="195" t="s">
        <v>20448</v>
      </c>
      <c r="G2852" s="200">
        <v>2.429067266E9</v>
      </c>
      <c r="H2852" s="197">
        <v>33.98</v>
      </c>
      <c r="I2852" s="7" t="s">
        <v>16815</v>
      </c>
      <c r="J2852" s="7" t="s">
        <v>16899</v>
      </c>
      <c r="K2852" s="7" t="s">
        <v>17629</v>
      </c>
      <c r="L2852" s="201" t="s">
        <v>16835</v>
      </c>
      <c r="M2852" s="194"/>
      <c r="N2852" s="194"/>
    </row>
    <row r="2853">
      <c r="A2853" s="193" t="s">
        <v>20449</v>
      </c>
      <c r="B2853" s="7" t="s">
        <v>17112</v>
      </c>
      <c r="C2853" s="7" t="s">
        <v>17218</v>
      </c>
      <c r="D2853" s="199"/>
      <c r="E2853" s="193"/>
      <c r="F2853" s="195" t="s">
        <v>20450</v>
      </c>
      <c r="G2853" s="196">
        <v>2.427283432E9</v>
      </c>
      <c r="H2853" s="197">
        <v>56.0</v>
      </c>
      <c r="I2853" s="7" t="s">
        <v>16815</v>
      </c>
      <c r="J2853" s="7" t="s">
        <v>17112</v>
      </c>
      <c r="K2853" s="7" t="s">
        <v>17218</v>
      </c>
      <c r="L2853" s="198" t="s">
        <v>65</v>
      </c>
      <c r="M2853" s="199"/>
      <c r="N2853" s="199"/>
    </row>
    <row r="2854">
      <c r="A2854" s="193" t="s">
        <v>20449</v>
      </c>
      <c r="B2854" s="7" t="s">
        <v>17218</v>
      </c>
      <c r="C2854" s="7" t="s">
        <v>17112</v>
      </c>
      <c r="D2854" s="199"/>
      <c r="E2854" s="193"/>
      <c r="F2854" s="195" t="s">
        <v>20450</v>
      </c>
      <c r="G2854" s="200">
        <v>2.427283432E9</v>
      </c>
      <c r="H2854" s="197">
        <v>56.0</v>
      </c>
      <c r="I2854" s="7" t="s">
        <v>16815</v>
      </c>
      <c r="J2854" s="7" t="s">
        <v>17218</v>
      </c>
      <c r="K2854" s="7" t="s">
        <v>17112</v>
      </c>
      <c r="L2854" s="201" t="s">
        <v>16835</v>
      </c>
      <c r="M2854" s="199"/>
      <c r="N2854" s="199"/>
    </row>
    <row r="2855">
      <c r="A2855" s="193" t="s">
        <v>20451</v>
      </c>
      <c r="B2855" s="7" t="s">
        <v>16582</v>
      </c>
      <c r="C2855" s="7" t="s">
        <v>16828</v>
      </c>
      <c r="D2855" s="194">
        <v>2019.0</v>
      </c>
      <c r="E2855" s="193"/>
      <c r="F2855" s="195" t="s">
        <v>20452</v>
      </c>
      <c r="G2855" s="196">
        <v>2.425291956E9</v>
      </c>
      <c r="H2855" s="197">
        <v>108.0</v>
      </c>
      <c r="I2855" s="7" t="s">
        <v>16815</v>
      </c>
      <c r="J2855" s="7" t="s">
        <v>16582</v>
      </c>
      <c r="K2855" s="7" t="s">
        <v>16828</v>
      </c>
      <c r="L2855" s="198" t="s">
        <v>65</v>
      </c>
      <c r="M2855" s="194"/>
      <c r="N2855" s="194"/>
    </row>
    <row r="2856">
      <c r="A2856" s="193" t="s">
        <v>20453</v>
      </c>
      <c r="B2856" s="7" t="s">
        <v>17202</v>
      </c>
      <c r="C2856" s="7" t="s">
        <v>16838</v>
      </c>
      <c r="D2856" s="194">
        <v>2012.0</v>
      </c>
      <c r="E2856" s="193"/>
      <c r="F2856" s="195" t="s">
        <v>20454</v>
      </c>
      <c r="G2856" s="200">
        <v>2.422765816E9</v>
      </c>
      <c r="H2856" s="197">
        <v>16.03</v>
      </c>
      <c r="I2856" s="7" t="s">
        <v>16815</v>
      </c>
      <c r="J2856" s="7" t="s">
        <v>17202</v>
      </c>
      <c r="K2856" s="7" t="s">
        <v>16838</v>
      </c>
      <c r="L2856" s="201" t="s">
        <v>16835</v>
      </c>
      <c r="M2856" s="194"/>
      <c r="N2856" s="194"/>
    </row>
    <row r="2857">
      <c r="A2857" s="193" t="s">
        <v>20453</v>
      </c>
      <c r="B2857" s="7" t="s">
        <v>16838</v>
      </c>
      <c r="C2857" s="7" t="s">
        <v>17202</v>
      </c>
      <c r="D2857" s="194">
        <v>2012.0</v>
      </c>
      <c r="E2857" s="193"/>
      <c r="F2857" s="195" t="s">
        <v>20454</v>
      </c>
      <c r="G2857" s="196">
        <v>2.422765816E9</v>
      </c>
      <c r="H2857" s="197">
        <v>16.03</v>
      </c>
      <c r="I2857" s="7" t="s">
        <v>16815</v>
      </c>
      <c r="J2857" s="7" t="s">
        <v>16838</v>
      </c>
      <c r="K2857" s="7" t="s">
        <v>17202</v>
      </c>
      <c r="L2857" s="198" t="s">
        <v>65</v>
      </c>
      <c r="M2857" s="194"/>
      <c r="N2857" s="194"/>
    </row>
    <row r="2858">
      <c r="A2858" s="193" t="s">
        <v>20455</v>
      </c>
      <c r="D2858" s="194">
        <v>2022.0</v>
      </c>
      <c r="E2858" s="193"/>
      <c r="F2858" s="195" t="s">
        <v>20456</v>
      </c>
      <c r="G2858" s="196">
        <v>2.421118351E9</v>
      </c>
      <c r="H2858" s="197">
        <v>11.99</v>
      </c>
      <c r="I2858" s="7" t="s">
        <v>16815</v>
      </c>
      <c r="L2858" s="198" t="s">
        <v>65</v>
      </c>
      <c r="M2858" s="194"/>
      <c r="N2858" s="194"/>
    </row>
    <row r="2859">
      <c r="A2859" s="193" t="s">
        <v>20455</v>
      </c>
      <c r="D2859" s="194">
        <v>2022.0</v>
      </c>
      <c r="E2859" s="193"/>
      <c r="F2859" s="195" t="s">
        <v>20456</v>
      </c>
      <c r="G2859" s="200">
        <v>2.421118351E9</v>
      </c>
      <c r="H2859" s="197">
        <v>11.99</v>
      </c>
      <c r="L2859" s="201" t="s">
        <v>16835</v>
      </c>
      <c r="M2859" s="194"/>
      <c r="N2859" s="194"/>
    </row>
    <row r="2860">
      <c r="A2860" s="193" t="s">
        <v>20457</v>
      </c>
      <c r="B2860" s="7" t="s">
        <v>17111</v>
      </c>
      <c r="C2860" s="7" t="s">
        <v>17112</v>
      </c>
      <c r="D2860" s="199"/>
      <c r="E2860" s="193"/>
      <c r="F2860" s="195" t="s">
        <v>20458</v>
      </c>
      <c r="G2860" s="200">
        <v>2.41716159E9</v>
      </c>
      <c r="H2860" s="197">
        <v>8.26</v>
      </c>
      <c r="I2860" s="7" t="s">
        <v>16815</v>
      </c>
      <c r="J2860" s="7" t="s">
        <v>17111</v>
      </c>
      <c r="K2860" s="7" t="s">
        <v>17112</v>
      </c>
      <c r="L2860" s="201" t="s">
        <v>16835</v>
      </c>
      <c r="M2860" s="199"/>
      <c r="N2860" s="199"/>
    </row>
    <row r="2861">
      <c r="A2861" s="193" t="s">
        <v>20457</v>
      </c>
      <c r="B2861" s="7" t="s">
        <v>17112</v>
      </c>
      <c r="C2861" s="7" t="s">
        <v>17111</v>
      </c>
      <c r="D2861" s="199"/>
      <c r="E2861" s="193"/>
      <c r="F2861" s="195" t="s">
        <v>20458</v>
      </c>
      <c r="G2861" s="196">
        <v>2.41716159E9</v>
      </c>
      <c r="H2861" s="197">
        <v>8.26</v>
      </c>
      <c r="I2861" s="7" t="s">
        <v>16815</v>
      </c>
      <c r="J2861" s="7" t="s">
        <v>17112</v>
      </c>
      <c r="K2861" s="7" t="s">
        <v>17111</v>
      </c>
      <c r="L2861" s="198" t="s">
        <v>65</v>
      </c>
      <c r="M2861" s="199"/>
      <c r="N2861" s="199"/>
    </row>
    <row r="2862">
      <c r="A2862" s="193" t="s">
        <v>20459</v>
      </c>
      <c r="B2862" s="7" t="s">
        <v>16582</v>
      </c>
      <c r="C2862" s="7" t="s">
        <v>16817</v>
      </c>
      <c r="D2862" s="194">
        <v>2021.0</v>
      </c>
      <c r="E2862" s="193"/>
      <c r="F2862" s="195" t="s">
        <v>20460</v>
      </c>
      <c r="G2862" s="196">
        <v>2.414908309E9</v>
      </c>
      <c r="H2862" s="197">
        <v>19.89</v>
      </c>
      <c r="I2862" s="7" t="s">
        <v>16815</v>
      </c>
      <c r="J2862" s="7" t="s">
        <v>16582</v>
      </c>
      <c r="K2862" s="7" t="s">
        <v>16817</v>
      </c>
      <c r="L2862" s="198" t="s">
        <v>65</v>
      </c>
      <c r="M2862" s="194"/>
      <c r="N2862" s="194"/>
    </row>
    <row r="2863">
      <c r="A2863" s="193" t="s">
        <v>20461</v>
      </c>
      <c r="B2863" s="7" t="s">
        <v>187</v>
      </c>
      <c r="C2863" s="7" t="s">
        <v>16858</v>
      </c>
      <c r="D2863" s="194">
        <v>2021.0</v>
      </c>
      <c r="E2863" s="193"/>
      <c r="F2863" s="195" t="s">
        <v>20462</v>
      </c>
      <c r="G2863" s="196">
        <v>2.413554086E9</v>
      </c>
      <c r="H2863" s="197">
        <v>50.19</v>
      </c>
      <c r="I2863" s="7" t="s">
        <v>16815</v>
      </c>
      <c r="J2863" s="7" t="s">
        <v>187</v>
      </c>
      <c r="K2863" s="7" t="s">
        <v>16858</v>
      </c>
      <c r="L2863" s="198" t="s">
        <v>65</v>
      </c>
      <c r="M2863" s="194"/>
      <c r="N2863" s="194"/>
    </row>
    <row r="2864">
      <c r="A2864" s="193" t="s">
        <v>20463</v>
      </c>
      <c r="B2864" s="7" t="s">
        <v>175</v>
      </c>
      <c r="C2864" s="7" t="s">
        <v>16861</v>
      </c>
      <c r="D2864" s="194">
        <v>1992.0</v>
      </c>
      <c r="E2864" s="193"/>
      <c r="F2864" s="195" t="s">
        <v>20464</v>
      </c>
      <c r="G2864" s="196">
        <v>2.40969498E9</v>
      </c>
      <c r="H2864" s="197">
        <v>21.77</v>
      </c>
      <c r="I2864" s="7" t="s">
        <v>168</v>
      </c>
      <c r="J2864" s="7" t="s">
        <v>175</v>
      </c>
      <c r="K2864" s="7" t="s">
        <v>16861</v>
      </c>
      <c r="L2864" s="198" t="s">
        <v>65</v>
      </c>
      <c r="M2864" s="194"/>
      <c r="N2864" s="194"/>
    </row>
    <row r="2865">
      <c r="A2865" s="193" t="s">
        <v>20463</v>
      </c>
      <c r="B2865" s="7" t="s">
        <v>16861</v>
      </c>
      <c r="C2865" s="7" t="s">
        <v>175</v>
      </c>
      <c r="D2865" s="194">
        <v>1992.0</v>
      </c>
      <c r="E2865" s="193"/>
      <c r="F2865" s="195" t="s">
        <v>20464</v>
      </c>
      <c r="G2865" s="200">
        <v>2.40969498E9</v>
      </c>
      <c r="H2865" s="197">
        <v>21.77</v>
      </c>
      <c r="I2865" s="7" t="s">
        <v>16815</v>
      </c>
      <c r="J2865" s="7" t="s">
        <v>16861</v>
      </c>
      <c r="K2865" s="7" t="s">
        <v>175</v>
      </c>
      <c r="L2865" s="201" t="s">
        <v>16835</v>
      </c>
      <c r="M2865" s="194"/>
      <c r="N2865" s="194"/>
    </row>
    <row r="2866">
      <c r="A2866" s="193" t="s">
        <v>20465</v>
      </c>
      <c r="B2866" s="7" t="s">
        <v>16582</v>
      </c>
      <c r="C2866" s="7" t="s">
        <v>16828</v>
      </c>
      <c r="D2866" s="194">
        <v>2022.0</v>
      </c>
      <c r="E2866" s="193"/>
      <c r="F2866" s="195" t="s">
        <v>20466</v>
      </c>
      <c r="G2866" s="196">
        <v>2.407961229E9</v>
      </c>
      <c r="H2866" s="197">
        <v>16.05</v>
      </c>
      <c r="I2866" s="7" t="s">
        <v>16815</v>
      </c>
      <c r="J2866" s="7" t="s">
        <v>16582</v>
      </c>
      <c r="K2866" s="7" t="s">
        <v>16828</v>
      </c>
      <c r="L2866" s="198" t="s">
        <v>65</v>
      </c>
      <c r="M2866" s="194"/>
      <c r="N2866" s="194"/>
    </row>
    <row r="2867">
      <c r="A2867" s="193" t="s">
        <v>20467</v>
      </c>
      <c r="B2867" s="7" t="s">
        <v>16582</v>
      </c>
      <c r="C2867" s="7" t="s">
        <v>16583</v>
      </c>
      <c r="D2867" s="199"/>
      <c r="E2867" s="193"/>
      <c r="F2867" s="195" t="s">
        <v>20468</v>
      </c>
      <c r="G2867" s="196">
        <v>2.405997768E9</v>
      </c>
      <c r="H2867" s="197">
        <v>17.37</v>
      </c>
      <c r="I2867" s="7" t="s">
        <v>16815</v>
      </c>
      <c r="J2867" s="7" t="s">
        <v>16582</v>
      </c>
      <c r="K2867" s="7" t="s">
        <v>16583</v>
      </c>
      <c r="L2867" s="198" t="s">
        <v>65</v>
      </c>
      <c r="M2867" s="199"/>
      <c r="N2867" s="199"/>
    </row>
    <row r="2868">
      <c r="A2868" s="193" t="s">
        <v>20469</v>
      </c>
      <c r="B2868" s="7" t="s">
        <v>169</v>
      </c>
      <c r="C2868" s="7" t="s">
        <v>19139</v>
      </c>
      <c r="D2868" s="199"/>
      <c r="E2868" s="193"/>
      <c r="F2868" s="195" t="s">
        <v>20470</v>
      </c>
      <c r="G2868" s="196">
        <v>2.397658171E9</v>
      </c>
      <c r="H2868" s="197">
        <v>43.91</v>
      </c>
      <c r="I2868" s="7" t="s">
        <v>16815</v>
      </c>
      <c r="J2868" s="7" t="s">
        <v>169</v>
      </c>
      <c r="K2868" s="7" t="s">
        <v>19139</v>
      </c>
      <c r="L2868" s="198" t="s">
        <v>65</v>
      </c>
      <c r="M2868" s="199"/>
      <c r="N2868" s="199"/>
    </row>
    <row r="2869">
      <c r="A2869" s="193" t="s">
        <v>20469</v>
      </c>
      <c r="B2869" s="7" t="s">
        <v>19139</v>
      </c>
      <c r="C2869" s="7" t="s">
        <v>169</v>
      </c>
      <c r="D2869" s="199"/>
      <c r="E2869" s="193"/>
      <c r="F2869" s="195" t="s">
        <v>20470</v>
      </c>
      <c r="G2869" s="200">
        <v>2.397658171E9</v>
      </c>
      <c r="H2869" s="197">
        <v>43.91</v>
      </c>
      <c r="I2869" s="7" t="s">
        <v>16815</v>
      </c>
      <c r="J2869" s="7" t="s">
        <v>19139</v>
      </c>
      <c r="K2869" s="7" t="s">
        <v>169</v>
      </c>
      <c r="L2869" s="201" t="s">
        <v>16835</v>
      </c>
      <c r="M2869" s="199"/>
      <c r="N2869" s="199"/>
    </row>
    <row r="2870">
      <c r="A2870" s="193" t="s">
        <v>20471</v>
      </c>
      <c r="B2870" s="7" t="s">
        <v>187</v>
      </c>
      <c r="C2870" s="7" t="s">
        <v>16846</v>
      </c>
      <c r="D2870" s="194">
        <v>2015.0</v>
      </c>
      <c r="E2870" s="193"/>
      <c r="F2870" s="195" t="s">
        <v>20472</v>
      </c>
      <c r="G2870" s="196">
        <v>2.39246247E9</v>
      </c>
      <c r="H2870" s="197">
        <v>36.34</v>
      </c>
      <c r="I2870" s="7" t="s">
        <v>16815</v>
      </c>
      <c r="J2870" s="7" t="s">
        <v>187</v>
      </c>
      <c r="K2870" s="7" t="s">
        <v>16846</v>
      </c>
      <c r="L2870" s="198" t="s">
        <v>65</v>
      </c>
      <c r="M2870" s="194"/>
      <c r="N2870" s="194"/>
    </row>
    <row r="2871">
      <c r="A2871" s="193" t="s">
        <v>20473</v>
      </c>
      <c r="B2871" s="7" t="s">
        <v>169</v>
      </c>
      <c r="C2871" s="7" t="s">
        <v>17726</v>
      </c>
      <c r="D2871" s="199"/>
      <c r="E2871" s="193"/>
      <c r="F2871" s="195" t="s">
        <v>20474</v>
      </c>
      <c r="G2871" s="196">
        <v>2.383492453E9</v>
      </c>
      <c r="H2871" s="197">
        <v>11.69</v>
      </c>
      <c r="I2871" s="7" t="s">
        <v>16815</v>
      </c>
      <c r="J2871" s="7" t="s">
        <v>169</v>
      </c>
      <c r="K2871" s="7" t="s">
        <v>17726</v>
      </c>
      <c r="L2871" s="198" t="s">
        <v>65</v>
      </c>
      <c r="M2871" s="199"/>
      <c r="N2871" s="199"/>
    </row>
    <row r="2872">
      <c r="A2872" s="193" t="s">
        <v>20475</v>
      </c>
      <c r="B2872" s="7" t="s">
        <v>17016</v>
      </c>
      <c r="C2872" s="7" t="s">
        <v>16838</v>
      </c>
      <c r="D2872" s="194">
        <v>2010.0</v>
      </c>
      <c r="E2872" s="193"/>
      <c r="F2872" s="195" t="s">
        <v>20476</v>
      </c>
      <c r="G2872" s="200">
        <v>2.383477869E9</v>
      </c>
      <c r="H2872" s="197">
        <v>71.48</v>
      </c>
      <c r="I2872" s="7" t="s">
        <v>16815</v>
      </c>
      <c r="J2872" s="7" t="s">
        <v>17016</v>
      </c>
      <c r="K2872" s="7" t="s">
        <v>16838</v>
      </c>
      <c r="L2872" s="201" t="s">
        <v>16835</v>
      </c>
      <c r="M2872" s="194"/>
      <c r="N2872" s="194"/>
    </row>
    <row r="2873">
      <c r="A2873" s="193" t="s">
        <v>20475</v>
      </c>
      <c r="B2873" s="7" t="s">
        <v>16838</v>
      </c>
      <c r="C2873" s="7" t="s">
        <v>17016</v>
      </c>
      <c r="D2873" s="194">
        <v>2010.0</v>
      </c>
      <c r="E2873" s="193"/>
      <c r="F2873" s="195" t="s">
        <v>20476</v>
      </c>
      <c r="G2873" s="196">
        <v>2.383477869E9</v>
      </c>
      <c r="H2873" s="197">
        <v>71.48</v>
      </c>
      <c r="I2873" s="7" t="s">
        <v>16815</v>
      </c>
      <c r="J2873" s="7" t="s">
        <v>16838</v>
      </c>
      <c r="K2873" s="7" t="s">
        <v>17016</v>
      </c>
      <c r="L2873" s="198" t="s">
        <v>65</v>
      </c>
      <c r="M2873" s="194"/>
      <c r="N2873" s="194"/>
    </row>
    <row r="2874">
      <c r="A2874" s="193" t="s">
        <v>20477</v>
      </c>
      <c r="B2874" s="7" t="s">
        <v>16885</v>
      </c>
      <c r="C2874" s="7" t="s">
        <v>16886</v>
      </c>
      <c r="D2874" s="199"/>
      <c r="E2874" s="193"/>
      <c r="F2874" s="195" t="s">
        <v>20478</v>
      </c>
      <c r="G2874" s="196">
        <v>2.38088149E9</v>
      </c>
      <c r="H2874" s="197">
        <v>21.765</v>
      </c>
      <c r="I2874" s="7" t="s">
        <v>16826</v>
      </c>
      <c r="J2874" s="7" t="s">
        <v>16885</v>
      </c>
      <c r="K2874" s="7" t="s">
        <v>16886</v>
      </c>
      <c r="L2874" s="198" t="s">
        <v>65</v>
      </c>
      <c r="M2874" s="199"/>
      <c r="N2874" s="199"/>
    </row>
    <row r="2875">
      <c r="A2875" s="193" t="s">
        <v>20479</v>
      </c>
      <c r="B2875" s="7" t="s">
        <v>187</v>
      </c>
      <c r="C2875" s="7" t="s">
        <v>16858</v>
      </c>
      <c r="D2875" s="199"/>
      <c r="E2875" s="193"/>
      <c r="F2875" s="195" t="s">
        <v>20480</v>
      </c>
      <c r="G2875" s="196">
        <v>2.3742251E9</v>
      </c>
      <c r="H2875" s="197">
        <v>9.01</v>
      </c>
      <c r="I2875" s="7" t="s">
        <v>16815</v>
      </c>
      <c r="J2875" s="7" t="s">
        <v>187</v>
      </c>
      <c r="K2875" s="7" t="s">
        <v>16858</v>
      </c>
      <c r="L2875" s="198" t="s">
        <v>65</v>
      </c>
      <c r="M2875" s="199"/>
      <c r="N2875" s="199"/>
    </row>
    <row r="2876">
      <c r="A2876" s="193" t="s">
        <v>20481</v>
      </c>
      <c r="D2876" s="199"/>
      <c r="E2876" s="193"/>
      <c r="F2876" s="195" t="s">
        <v>20482</v>
      </c>
      <c r="G2876" s="196">
        <v>2.372208558E9</v>
      </c>
      <c r="H2876" s="197">
        <v>15.55</v>
      </c>
      <c r="I2876" s="7" t="s">
        <v>16815</v>
      </c>
      <c r="L2876" s="198" t="s">
        <v>65</v>
      </c>
      <c r="M2876" s="199"/>
      <c r="N2876" s="199"/>
    </row>
    <row r="2877">
      <c r="A2877" s="193" t="s">
        <v>20481</v>
      </c>
      <c r="D2877" s="199"/>
      <c r="E2877" s="193"/>
      <c r="F2877" s="195" t="s">
        <v>20482</v>
      </c>
      <c r="G2877" s="200">
        <v>2.372208558E9</v>
      </c>
      <c r="H2877" s="197">
        <v>15.55</v>
      </c>
      <c r="L2877" s="201" t="s">
        <v>16835</v>
      </c>
      <c r="M2877" s="199"/>
      <c r="N2877" s="199"/>
    </row>
    <row r="2878">
      <c r="A2878" s="193" t="s">
        <v>20483</v>
      </c>
      <c r="B2878" s="7" t="s">
        <v>175</v>
      </c>
      <c r="C2878" s="7" t="s">
        <v>18352</v>
      </c>
      <c r="D2878" s="194">
        <v>2013.0</v>
      </c>
      <c r="E2878" s="193"/>
      <c r="F2878" s="195" t="s">
        <v>20484</v>
      </c>
      <c r="G2878" s="196">
        <v>2.367822783E9</v>
      </c>
      <c r="H2878" s="197">
        <v>55.87</v>
      </c>
      <c r="I2878" s="7" t="s">
        <v>16908</v>
      </c>
      <c r="J2878" s="7" t="s">
        <v>175</v>
      </c>
      <c r="K2878" s="7" t="s">
        <v>18352</v>
      </c>
      <c r="L2878" s="198" t="s">
        <v>65</v>
      </c>
      <c r="M2878" s="194"/>
      <c r="N2878" s="194"/>
    </row>
    <row r="2879">
      <c r="A2879" s="193" t="s">
        <v>20485</v>
      </c>
      <c r="B2879" s="7" t="s">
        <v>158</v>
      </c>
      <c r="C2879" s="7" t="s">
        <v>16864</v>
      </c>
      <c r="D2879" s="194">
        <v>2019.0</v>
      </c>
      <c r="E2879" s="193"/>
      <c r="F2879" s="195" t="s">
        <v>20486</v>
      </c>
      <c r="G2879" s="196">
        <v>2.365757405E9</v>
      </c>
      <c r="H2879" s="197">
        <v>26.76</v>
      </c>
      <c r="I2879" s="7" t="s">
        <v>17450</v>
      </c>
      <c r="J2879" s="7" t="s">
        <v>158</v>
      </c>
      <c r="K2879" s="7" t="s">
        <v>16864</v>
      </c>
      <c r="L2879" s="198" t="s">
        <v>65</v>
      </c>
      <c r="M2879" s="194"/>
      <c r="N2879" s="194"/>
    </row>
    <row r="2880">
      <c r="A2880" s="193" t="s">
        <v>20485</v>
      </c>
      <c r="B2880" s="7" t="s">
        <v>16864</v>
      </c>
      <c r="C2880" s="7" t="s">
        <v>158</v>
      </c>
      <c r="D2880" s="194">
        <v>2019.0</v>
      </c>
      <c r="E2880" s="193"/>
      <c r="F2880" s="195" t="s">
        <v>20486</v>
      </c>
      <c r="G2880" s="200">
        <v>2.365757405E9</v>
      </c>
      <c r="H2880" s="197">
        <v>26.76</v>
      </c>
      <c r="I2880" s="7" t="s">
        <v>16815</v>
      </c>
      <c r="J2880" s="7" t="s">
        <v>16864</v>
      </c>
      <c r="K2880" s="7" t="s">
        <v>158</v>
      </c>
      <c r="L2880" s="201" t="s">
        <v>16835</v>
      </c>
      <c r="M2880" s="194"/>
      <c r="N2880" s="194"/>
    </row>
    <row r="2881">
      <c r="A2881" s="193" t="s">
        <v>20487</v>
      </c>
      <c r="B2881" s="7" t="s">
        <v>158</v>
      </c>
      <c r="C2881" s="7" t="s">
        <v>16899</v>
      </c>
      <c r="D2881" s="194">
        <v>2018.0</v>
      </c>
      <c r="E2881" s="193"/>
      <c r="F2881" s="195" t="s">
        <v>20488</v>
      </c>
      <c r="G2881" s="196">
        <v>2.361474025E9</v>
      </c>
      <c r="H2881" s="197">
        <v>10.54</v>
      </c>
      <c r="I2881" s="193" t="s">
        <v>18397</v>
      </c>
      <c r="J2881" s="7" t="s">
        <v>158</v>
      </c>
      <c r="K2881" s="7" t="s">
        <v>16899</v>
      </c>
      <c r="L2881" s="198" t="s">
        <v>65</v>
      </c>
      <c r="M2881" s="194"/>
      <c r="N2881" s="194"/>
    </row>
    <row r="2882">
      <c r="A2882" s="193" t="s">
        <v>20487</v>
      </c>
      <c r="B2882" s="7" t="s">
        <v>16899</v>
      </c>
      <c r="C2882" s="7" t="s">
        <v>158</v>
      </c>
      <c r="D2882" s="194">
        <v>2018.0</v>
      </c>
      <c r="E2882" s="193"/>
      <c r="F2882" s="195" t="s">
        <v>20488</v>
      </c>
      <c r="G2882" s="200">
        <v>2.361474025E9</v>
      </c>
      <c r="H2882" s="197">
        <v>10.54</v>
      </c>
      <c r="I2882" s="7" t="s">
        <v>16815</v>
      </c>
      <c r="J2882" s="7" t="s">
        <v>16899</v>
      </c>
      <c r="K2882" s="7" t="s">
        <v>158</v>
      </c>
      <c r="L2882" s="201" t="s">
        <v>16835</v>
      </c>
      <c r="M2882" s="194"/>
      <c r="N2882" s="194"/>
    </row>
    <row r="2883">
      <c r="A2883" s="193" t="s">
        <v>20489</v>
      </c>
      <c r="B2883" s="7" t="s">
        <v>175</v>
      </c>
      <c r="C2883" s="7" t="s">
        <v>17233</v>
      </c>
      <c r="D2883" s="199"/>
      <c r="E2883" s="193"/>
      <c r="F2883" s="195" t="s">
        <v>20490</v>
      </c>
      <c r="G2883" s="196">
        <v>2.3601323E9</v>
      </c>
      <c r="H2883" s="197">
        <v>22.01</v>
      </c>
      <c r="I2883" s="7" t="s">
        <v>16908</v>
      </c>
      <c r="J2883" s="7" t="s">
        <v>175</v>
      </c>
      <c r="K2883" s="7" t="s">
        <v>17233</v>
      </c>
      <c r="L2883" s="198" t="s">
        <v>65</v>
      </c>
      <c r="M2883" s="199"/>
      <c r="N2883" s="199"/>
    </row>
    <row r="2884">
      <c r="A2884" s="193" t="s">
        <v>20491</v>
      </c>
      <c r="B2884" s="7" t="s">
        <v>175</v>
      </c>
      <c r="C2884" s="7" t="s">
        <v>17350</v>
      </c>
      <c r="D2884" s="199"/>
      <c r="E2884" s="193"/>
      <c r="F2884" s="195" t="s">
        <v>20492</v>
      </c>
      <c r="G2884" s="196">
        <v>2.359260823E9</v>
      </c>
      <c r="H2884" s="197">
        <v>45.16</v>
      </c>
      <c r="I2884" s="7" t="s">
        <v>168</v>
      </c>
      <c r="J2884" s="7" t="s">
        <v>175</v>
      </c>
      <c r="K2884" s="7" t="s">
        <v>17350</v>
      </c>
      <c r="L2884" s="198" t="s">
        <v>65</v>
      </c>
      <c r="M2884" s="199"/>
      <c r="N2884" s="199"/>
    </row>
    <row r="2885">
      <c r="A2885" s="193" t="s">
        <v>20491</v>
      </c>
      <c r="B2885" s="7" t="s">
        <v>17350</v>
      </c>
      <c r="C2885" s="7" t="s">
        <v>175</v>
      </c>
      <c r="D2885" s="199"/>
      <c r="E2885" s="193"/>
      <c r="F2885" s="195" t="s">
        <v>20492</v>
      </c>
      <c r="G2885" s="200">
        <v>2.359260823E9</v>
      </c>
      <c r="H2885" s="197">
        <v>45.16</v>
      </c>
      <c r="I2885" s="7" t="s">
        <v>16815</v>
      </c>
      <c r="J2885" s="7" t="s">
        <v>17350</v>
      </c>
      <c r="K2885" s="7" t="s">
        <v>175</v>
      </c>
      <c r="L2885" s="201" t="s">
        <v>16835</v>
      </c>
      <c r="M2885" s="199"/>
      <c r="N2885" s="199"/>
    </row>
    <row r="2886">
      <c r="A2886" s="193" t="s">
        <v>20493</v>
      </c>
      <c r="B2886" s="7" t="s">
        <v>169</v>
      </c>
      <c r="C2886" s="7" t="s">
        <v>18903</v>
      </c>
      <c r="D2886" s="199"/>
      <c r="E2886" s="193"/>
      <c r="F2886" s="195" t="s">
        <v>20494</v>
      </c>
      <c r="G2886" s="196">
        <v>2.355594763E9</v>
      </c>
      <c r="H2886" s="197">
        <v>23.5</v>
      </c>
      <c r="I2886" s="7" t="s">
        <v>16815</v>
      </c>
      <c r="J2886" s="7" t="s">
        <v>169</v>
      </c>
      <c r="K2886" s="7" t="s">
        <v>18903</v>
      </c>
      <c r="L2886" s="198" t="s">
        <v>65</v>
      </c>
      <c r="M2886" s="199"/>
      <c r="N2886" s="199"/>
    </row>
    <row r="2887">
      <c r="A2887" s="193" t="s">
        <v>20495</v>
      </c>
      <c r="B2887" s="7" t="s">
        <v>16885</v>
      </c>
      <c r="C2887" s="7" t="s">
        <v>17726</v>
      </c>
      <c r="D2887" s="194">
        <v>2016.0</v>
      </c>
      <c r="E2887" s="193"/>
      <c r="F2887" s="195" t="s">
        <v>20496</v>
      </c>
      <c r="G2887" s="196">
        <v>2.351998566E9</v>
      </c>
      <c r="H2887" s="197">
        <v>12.71</v>
      </c>
      <c r="I2887" s="7" t="s">
        <v>16826</v>
      </c>
      <c r="J2887" s="7" t="s">
        <v>16885</v>
      </c>
      <c r="K2887" s="7" t="s">
        <v>17726</v>
      </c>
      <c r="L2887" s="198" t="s">
        <v>65</v>
      </c>
      <c r="M2887" s="194"/>
      <c r="N2887" s="194"/>
    </row>
    <row r="2888">
      <c r="A2888" s="193" t="s">
        <v>20495</v>
      </c>
      <c r="B2888" s="7" t="s">
        <v>17726</v>
      </c>
      <c r="C2888" s="7" t="s">
        <v>16885</v>
      </c>
      <c r="D2888" s="194">
        <v>2016.0</v>
      </c>
      <c r="E2888" s="193"/>
      <c r="F2888" s="195" t="s">
        <v>20496</v>
      </c>
      <c r="G2888" s="200">
        <v>2.351998566E9</v>
      </c>
      <c r="H2888" s="197">
        <v>12.71</v>
      </c>
      <c r="I2888" s="7" t="s">
        <v>16815</v>
      </c>
      <c r="J2888" s="7" t="s">
        <v>17726</v>
      </c>
      <c r="K2888" s="7" t="s">
        <v>16885</v>
      </c>
      <c r="L2888" s="201" t="s">
        <v>16835</v>
      </c>
      <c r="M2888" s="194"/>
      <c r="N2888" s="194"/>
    </row>
    <row r="2889">
      <c r="A2889" s="193" t="s">
        <v>20497</v>
      </c>
      <c r="B2889" s="7" t="s">
        <v>187</v>
      </c>
      <c r="C2889" s="7" t="s">
        <v>16846</v>
      </c>
      <c r="D2889" s="194">
        <v>2020.0</v>
      </c>
      <c r="E2889" s="193"/>
      <c r="F2889" s="195" t="s">
        <v>20498</v>
      </c>
      <c r="G2889" s="196">
        <v>2.351092088E9</v>
      </c>
      <c r="H2889" s="197">
        <v>37.65</v>
      </c>
      <c r="I2889" s="7" t="s">
        <v>16815</v>
      </c>
      <c r="J2889" s="7" t="s">
        <v>187</v>
      </c>
      <c r="K2889" s="7" t="s">
        <v>16846</v>
      </c>
      <c r="L2889" s="198" t="s">
        <v>65</v>
      </c>
      <c r="M2889" s="194"/>
      <c r="N2889" s="194"/>
    </row>
    <row r="2890">
      <c r="A2890" s="193" t="s">
        <v>20499</v>
      </c>
      <c r="B2890" s="7" t="s">
        <v>175</v>
      </c>
      <c r="C2890" s="7" t="s">
        <v>18570</v>
      </c>
      <c r="D2890" s="199"/>
      <c r="E2890" s="193"/>
      <c r="F2890" s="195" t="s">
        <v>20500</v>
      </c>
      <c r="G2890" s="196">
        <v>2.348395106E9</v>
      </c>
      <c r="H2890" s="197">
        <v>98.91</v>
      </c>
      <c r="I2890" s="7" t="s">
        <v>16892</v>
      </c>
      <c r="J2890" s="7" t="s">
        <v>175</v>
      </c>
      <c r="K2890" s="7" t="s">
        <v>18570</v>
      </c>
      <c r="L2890" s="198" t="s">
        <v>65</v>
      </c>
      <c r="M2890" s="199"/>
      <c r="N2890" s="199"/>
    </row>
    <row r="2891">
      <c r="A2891" s="193" t="s">
        <v>20501</v>
      </c>
      <c r="B2891" s="7" t="s">
        <v>16582</v>
      </c>
      <c r="C2891" s="7" t="s">
        <v>17342</v>
      </c>
      <c r="D2891" s="194">
        <v>1996.0</v>
      </c>
      <c r="E2891" s="193"/>
      <c r="F2891" s="195" t="s">
        <v>20502</v>
      </c>
      <c r="G2891" s="196">
        <v>2.348356512E9</v>
      </c>
      <c r="H2891" s="197">
        <v>18.93</v>
      </c>
      <c r="I2891" s="7" t="s">
        <v>16815</v>
      </c>
      <c r="J2891" s="7" t="s">
        <v>16582</v>
      </c>
      <c r="K2891" s="7" t="s">
        <v>17342</v>
      </c>
      <c r="L2891" s="198" t="s">
        <v>65</v>
      </c>
      <c r="M2891" s="194"/>
      <c r="N2891" s="194"/>
    </row>
    <row r="2892">
      <c r="A2892" s="193" t="s">
        <v>20503</v>
      </c>
      <c r="B2892" s="7" t="s">
        <v>16582</v>
      </c>
      <c r="C2892" s="7" t="s">
        <v>17183</v>
      </c>
      <c r="D2892" s="194">
        <v>2021.0</v>
      </c>
      <c r="E2892" s="193"/>
      <c r="F2892" s="195" t="s">
        <v>20504</v>
      </c>
      <c r="G2892" s="196">
        <v>2.346415657E9</v>
      </c>
      <c r="H2892" s="197">
        <v>10.98</v>
      </c>
      <c r="I2892" s="7" t="s">
        <v>16815</v>
      </c>
      <c r="J2892" s="7" t="s">
        <v>16582</v>
      </c>
      <c r="K2892" s="7" t="s">
        <v>17183</v>
      </c>
      <c r="L2892" s="198" t="s">
        <v>65</v>
      </c>
      <c r="M2892" s="194"/>
      <c r="N2892" s="194"/>
    </row>
    <row r="2893">
      <c r="A2893" s="193" t="s">
        <v>20503</v>
      </c>
      <c r="B2893" s="7" t="s">
        <v>17183</v>
      </c>
      <c r="C2893" s="7" t="s">
        <v>16582</v>
      </c>
      <c r="D2893" s="194">
        <v>2021.0</v>
      </c>
      <c r="E2893" s="193"/>
      <c r="F2893" s="195" t="s">
        <v>20504</v>
      </c>
      <c r="G2893" s="200">
        <v>2.346415657E9</v>
      </c>
      <c r="H2893" s="197">
        <v>10.98</v>
      </c>
      <c r="I2893" s="7" t="s">
        <v>16815</v>
      </c>
      <c r="J2893" s="7" t="s">
        <v>17183</v>
      </c>
      <c r="K2893" s="7" t="s">
        <v>16582</v>
      </c>
      <c r="L2893" s="201" t="s">
        <v>16835</v>
      </c>
      <c r="M2893" s="194"/>
      <c r="N2893" s="194"/>
    </row>
    <row r="2894">
      <c r="A2894" s="193" t="s">
        <v>20505</v>
      </c>
      <c r="B2894" s="7" t="s">
        <v>17702</v>
      </c>
      <c r="C2894" s="7" t="s">
        <v>169</v>
      </c>
      <c r="D2894" s="199"/>
      <c r="E2894" s="193"/>
      <c r="F2894" s="195" t="s">
        <v>20506</v>
      </c>
      <c r="G2894" s="200">
        <v>2.343102581E9</v>
      </c>
      <c r="H2894" s="197">
        <v>3.79</v>
      </c>
      <c r="I2894" s="7" t="s">
        <v>16815</v>
      </c>
      <c r="J2894" s="7" t="s">
        <v>17702</v>
      </c>
      <c r="K2894" s="7" t="s">
        <v>169</v>
      </c>
      <c r="L2894" s="201" t="s">
        <v>16835</v>
      </c>
      <c r="M2894" s="199"/>
      <c r="N2894" s="199"/>
    </row>
    <row r="2895">
      <c r="A2895" s="193" t="s">
        <v>20505</v>
      </c>
      <c r="B2895" s="7" t="s">
        <v>169</v>
      </c>
      <c r="C2895" s="7" t="s">
        <v>17702</v>
      </c>
      <c r="D2895" s="199"/>
      <c r="E2895" s="193"/>
      <c r="F2895" s="195" t="s">
        <v>20506</v>
      </c>
      <c r="G2895" s="196">
        <v>2.343102581E9</v>
      </c>
      <c r="H2895" s="197">
        <v>3.79</v>
      </c>
      <c r="I2895" s="7" t="s">
        <v>16815</v>
      </c>
      <c r="J2895" s="7" t="s">
        <v>169</v>
      </c>
      <c r="K2895" s="7" t="s">
        <v>17702</v>
      </c>
      <c r="L2895" s="198" t="s">
        <v>65</v>
      </c>
      <c r="M2895" s="199"/>
      <c r="N2895" s="199"/>
    </row>
    <row r="2896">
      <c r="A2896" s="193" t="s">
        <v>20507</v>
      </c>
      <c r="B2896" s="7" t="s">
        <v>16910</v>
      </c>
      <c r="C2896" s="7" t="s">
        <v>17662</v>
      </c>
      <c r="D2896" s="199"/>
      <c r="E2896" s="193"/>
      <c r="F2896" s="195" t="s">
        <v>20508</v>
      </c>
      <c r="G2896" s="196">
        <v>2.34011449E9</v>
      </c>
      <c r="H2896" s="197">
        <v>14.68</v>
      </c>
      <c r="I2896" s="7" t="s">
        <v>16917</v>
      </c>
      <c r="J2896" s="7" t="s">
        <v>16910</v>
      </c>
      <c r="K2896" s="7" t="s">
        <v>17662</v>
      </c>
      <c r="L2896" s="198" t="s">
        <v>65</v>
      </c>
      <c r="M2896" s="199"/>
      <c r="N2896" s="199"/>
    </row>
    <row r="2897">
      <c r="A2897" s="193" t="s">
        <v>20507</v>
      </c>
      <c r="B2897" s="7" t="s">
        <v>17662</v>
      </c>
      <c r="C2897" s="7" t="s">
        <v>16910</v>
      </c>
      <c r="D2897" s="199"/>
      <c r="E2897" s="193"/>
      <c r="F2897" s="195" t="s">
        <v>20508</v>
      </c>
      <c r="G2897" s="200">
        <v>2.34011449E9</v>
      </c>
      <c r="H2897" s="197">
        <v>14.68</v>
      </c>
      <c r="I2897" s="7" t="s">
        <v>16815</v>
      </c>
      <c r="J2897" s="7" t="s">
        <v>17662</v>
      </c>
      <c r="K2897" s="7" t="s">
        <v>16910</v>
      </c>
      <c r="L2897" s="201" t="s">
        <v>16835</v>
      </c>
      <c r="M2897" s="199"/>
      <c r="N2897" s="199"/>
    </row>
    <row r="2898">
      <c r="A2898" s="193" t="s">
        <v>20509</v>
      </c>
      <c r="B2898" s="7" t="s">
        <v>169</v>
      </c>
      <c r="C2898" s="7" t="s">
        <v>17043</v>
      </c>
      <c r="D2898" s="194">
        <v>1986.0</v>
      </c>
      <c r="E2898" s="193"/>
      <c r="F2898" s="195" t="s">
        <v>20510</v>
      </c>
      <c r="G2898" s="196">
        <v>2.331032128E9</v>
      </c>
      <c r="H2898" s="197">
        <v>36.77</v>
      </c>
      <c r="I2898" s="7" t="s">
        <v>16815</v>
      </c>
      <c r="J2898" s="7" t="s">
        <v>169</v>
      </c>
      <c r="K2898" s="7" t="s">
        <v>17043</v>
      </c>
      <c r="L2898" s="198" t="s">
        <v>65</v>
      </c>
      <c r="M2898" s="194"/>
      <c r="N2898" s="194"/>
    </row>
    <row r="2899">
      <c r="A2899" s="193" t="s">
        <v>20511</v>
      </c>
      <c r="B2899" s="7" t="s">
        <v>16582</v>
      </c>
      <c r="C2899" s="7" t="s">
        <v>16899</v>
      </c>
      <c r="D2899" s="194">
        <v>1960.0</v>
      </c>
      <c r="E2899" s="193"/>
      <c r="F2899" s="195" t="s">
        <v>20512</v>
      </c>
      <c r="G2899" s="196">
        <v>2.328181866E9</v>
      </c>
      <c r="H2899" s="197">
        <v>125.06</v>
      </c>
      <c r="I2899" s="7" t="s">
        <v>16815</v>
      </c>
      <c r="J2899" s="7" t="s">
        <v>16582</v>
      </c>
      <c r="K2899" s="7" t="s">
        <v>16899</v>
      </c>
      <c r="L2899" s="198" t="s">
        <v>65</v>
      </c>
      <c r="M2899" s="194"/>
      <c r="N2899" s="194"/>
    </row>
    <row r="2900">
      <c r="A2900" s="193" t="s">
        <v>20511</v>
      </c>
      <c r="B2900" s="7" t="s">
        <v>16899</v>
      </c>
      <c r="C2900" s="7" t="s">
        <v>16582</v>
      </c>
      <c r="D2900" s="194">
        <v>1960.0</v>
      </c>
      <c r="E2900" s="193"/>
      <c r="F2900" s="195" t="s">
        <v>20512</v>
      </c>
      <c r="G2900" s="200">
        <v>2.328181866E9</v>
      </c>
      <c r="H2900" s="197">
        <v>125.06</v>
      </c>
      <c r="I2900" s="7" t="s">
        <v>16815</v>
      </c>
      <c r="J2900" s="7" t="s">
        <v>16899</v>
      </c>
      <c r="K2900" s="7" t="s">
        <v>16582</v>
      </c>
      <c r="L2900" s="201" t="s">
        <v>16835</v>
      </c>
      <c r="M2900" s="194"/>
      <c r="N2900" s="194"/>
    </row>
    <row r="2901">
      <c r="A2901" s="193" t="s">
        <v>20513</v>
      </c>
      <c r="B2901" s="7" t="s">
        <v>175</v>
      </c>
      <c r="C2901" s="7" t="s">
        <v>17233</v>
      </c>
      <c r="D2901" s="194">
        <v>2016.0</v>
      </c>
      <c r="E2901" s="193"/>
      <c r="F2901" s="195" t="s">
        <v>20514</v>
      </c>
      <c r="G2901" s="196">
        <v>2.328068828E9</v>
      </c>
      <c r="H2901" s="197">
        <v>47.6</v>
      </c>
      <c r="I2901" s="7" t="s">
        <v>18320</v>
      </c>
      <c r="J2901" s="7" t="s">
        <v>175</v>
      </c>
      <c r="K2901" s="7" t="s">
        <v>17233</v>
      </c>
      <c r="L2901" s="198" t="s">
        <v>65</v>
      </c>
      <c r="M2901" s="194"/>
      <c r="N2901" s="194"/>
    </row>
    <row r="2902">
      <c r="A2902" s="193" t="s">
        <v>20513</v>
      </c>
      <c r="B2902" s="7" t="s">
        <v>17233</v>
      </c>
      <c r="C2902" s="7" t="s">
        <v>175</v>
      </c>
      <c r="D2902" s="194">
        <v>2016.0</v>
      </c>
      <c r="E2902" s="193"/>
      <c r="F2902" s="195" t="s">
        <v>20514</v>
      </c>
      <c r="G2902" s="200">
        <v>2.328068828E9</v>
      </c>
      <c r="H2902" s="197">
        <v>47.6</v>
      </c>
      <c r="I2902" s="7" t="s">
        <v>16815</v>
      </c>
      <c r="J2902" s="7" t="s">
        <v>17233</v>
      </c>
      <c r="K2902" s="7" t="s">
        <v>175</v>
      </c>
      <c r="L2902" s="201" t="s">
        <v>16835</v>
      </c>
      <c r="M2902" s="194"/>
      <c r="N2902" s="194"/>
    </row>
    <row r="2903">
      <c r="A2903" s="193" t="s">
        <v>20515</v>
      </c>
      <c r="B2903" s="7" t="s">
        <v>175</v>
      </c>
      <c r="C2903" s="7" t="s">
        <v>16942</v>
      </c>
      <c r="D2903" s="194">
        <v>2015.0</v>
      </c>
      <c r="E2903" s="193"/>
      <c r="F2903" s="195" t="s">
        <v>20516</v>
      </c>
      <c r="G2903" s="196">
        <v>2.327899641E9</v>
      </c>
      <c r="H2903" s="197">
        <v>55.03</v>
      </c>
      <c r="I2903" s="7" t="s">
        <v>17242</v>
      </c>
      <c r="J2903" s="7" t="s">
        <v>175</v>
      </c>
      <c r="K2903" s="7" t="s">
        <v>16942</v>
      </c>
      <c r="L2903" s="198" t="s">
        <v>65</v>
      </c>
      <c r="M2903" s="194"/>
      <c r="N2903" s="194"/>
    </row>
    <row r="2904">
      <c r="A2904" s="193" t="s">
        <v>20515</v>
      </c>
      <c r="B2904" s="7" t="s">
        <v>16942</v>
      </c>
      <c r="C2904" s="7" t="s">
        <v>175</v>
      </c>
      <c r="D2904" s="194">
        <v>2015.0</v>
      </c>
      <c r="E2904" s="193"/>
      <c r="F2904" s="195" t="s">
        <v>20516</v>
      </c>
      <c r="G2904" s="200">
        <v>2.327899641E9</v>
      </c>
      <c r="H2904" s="197">
        <v>55.03</v>
      </c>
      <c r="I2904" s="7" t="s">
        <v>16815</v>
      </c>
      <c r="J2904" s="7" t="s">
        <v>16942</v>
      </c>
      <c r="K2904" s="7" t="s">
        <v>175</v>
      </c>
      <c r="L2904" s="201" t="s">
        <v>16835</v>
      </c>
      <c r="M2904" s="194"/>
      <c r="N2904" s="194"/>
    </row>
    <row r="2905">
      <c r="A2905" s="193" t="s">
        <v>20517</v>
      </c>
      <c r="B2905" s="7" t="s">
        <v>16838</v>
      </c>
      <c r="C2905" s="7" t="s">
        <v>16867</v>
      </c>
      <c r="D2905" s="194">
        <v>2016.0</v>
      </c>
      <c r="E2905" s="193"/>
      <c r="F2905" s="195" t="s">
        <v>20518</v>
      </c>
      <c r="G2905" s="196">
        <v>2.325092152E9</v>
      </c>
      <c r="H2905" s="197">
        <v>18.22</v>
      </c>
      <c r="I2905" s="7" t="s">
        <v>16815</v>
      </c>
      <c r="J2905" s="7" t="s">
        <v>16838</v>
      </c>
      <c r="K2905" s="7" t="s">
        <v>16867</v>
      </c>
      <c r="L2905" s="198" t="s">
        <v>65</v>
      </c>
      <c r="M2905" s="194"/>
      <c r="N2905" s="194"/>
    </row>
    <row r="2906">
      <c r="A2906" s="193" t="s">
        <v>20519</v>
      </c>
      <c r="B2906" s="7" t="s">
        <v>175</v>
      </c>
      <c r="C2906" s="7" t="s">
        <v>19996</v>
      </c>
      <c r="D2906" s="194">
        <v>1993.0</v>
      </c>
      <c r="E2906" s="193"/>
      <c r="F2906" s="195" t="s">
        <v>20520</v>
      </c>
      <c r="G2906" s="196">
        <v>2.31986008E9</v>
      </c>
      <c r="H2906" s="197">
        <v>43.22</v>
      </c>
      <c r="I2906" s="7" t="s">
        <v>16908</v>
      </c>
      <c r="J2906" s="7" t="s">
        <v>175</v>
      </c>
      <c r="K2906" s="7" t="s">
        <v>19996</v>
      </c>
      <c r="L2906" s="198" t="s">
        <v>65</v>
      </c>
      <c r="M2906" s="194"/>
      <c r="N2906" s="194"/>
    </row>
    <row r="2907">
      <c r="A2907" s="193" t="s">
        <v>20521</v>
      </c>
      <c r="B2907" s="7" t="s">
        <v>175</v>
      </c>
      <c r="C2907" s="7" t="s">
        <v>16957</v>
      </c>
      <c r="D2907" s="194">
        <v>2010.0</v>
      </c>
      <c r="E2907" s="193"/>
      <c r="F2907" s="195" t="s">
        <v>20522</v>
      </c>
      <c r="G2907" s="196">
        <v>2.315226597E9</v>
      </c>
      <c r="H2907" s="197">
        <v>35.15</v>
      </c>
      <c r="I2907" s="7" t="s">
        <v>16908</v>
      </c>
      <c r="J2907" s="7" t="s">
        <v>175</v>
      </c>
      <c r="K2907" s="7" t="s">
        <v>16957</v>
      </c>
      <c r="L2907" s="198" t="s">
        <v>65</v>
      </c>
      <c r="M2907" s="194"/>
      <c r="N2907" s="194"/>
    </row>
    <row r="2908">
      <c r="A2908" s="193" t="s">
        <v>20521</v>
      </c>
      <c r="B2908" s="7" t="s">
        <v>16957</v>
      </c>
      <c r="C2908" s="7" t="s">
        <v>175</v>
      </c>
      <c r="D2908" s="194">
        <v>2010.0</v>
      </c>
      <c r="E2908" s="193"/>
      <c r="F2908" s="195" t="s">
        <v>20522</v>
      </c>
      <c r="G2908" s="200">
        <v>2.315226597E9</v>
      </c>
      <c r="H2908" s="197">
        <v>35.15</v>
      </c>
      <c r="I2908" s="7" t="s">
        <v>16815</v>
      </c>
      <c r="J2908" s="7" t="s">
        <v>16957</v>
      </c>
      <c r="K2908" s="7" t="s">
        <v>175</v>
      </c>
      <c r="L2908" s="201" t="s">
        <v>16835</v>
      </c>
      <c r="M2908" s="194"/>
      <c r="N2908" s="194"/>
    </row>
    <row r="2909">
      <c r="A2909" s="193" t="s">
        <v>20523</v>
      </c>
      <c r="B2909" s="7" t="s">
        <v>16838</v>
      </c>
      <c r="C2909" s="7" t="s">
        <v>17104</v>
      </c>
      <c r="D2909" s="194">
        <v>2019.0</v>
      </c>
      <c r="E2909" s="193"/>
      <c r="F2909" s="195" t="s">
        <v>20524</v>
      </c>
      <c r="G2909" s="196">
        <v>2.315133721E9</v>
      </c>
      <c r="H2909" s="197">
        <v>19.83</v>
      </c>
      <c r="I2909" s="7" t="s">
        <v>16815</v>
      </c>
      <c r="J2909" s="7" t="s">
        <v>16838</v>
      </c>
      <c r="K2909" s="7" t="s">
        <v>17104</v>
      </c>
      <c r="L2909" s="198" t="s">
        <v>65</v>
      </c>
      <c r="M2909" s="194"/>
      <c r="N2909" s="194"/>
    </row>
    <row r="2910">
      <c r="A2910" s="193" t="s">
        <v>20525</v>
      </c>
      <c r="B2910" s="7" t="s">
        <v>16838</v>
      </c>
      <c r="C2910" s="7" t="s">
        <v>17016</v>
      </c>
      <c r="D2910" s="194">
        <v>2004.0</v>
      </c>
      <c r="E2910" s="193"/>
      <c r="F2910" s="195" t="s">
        <v>20526</v>
      </c>
      <c r="G2910" s="196">
        <v>2.314576177E9</v>
      </c>
      <c r="H2910" s="197">
        <v>5.64</v>
      </c>
      <c r="I2910" s="7" t="s">
        <v>16815</v>
      </c>
      <c r="J2910" s="7" t="s">
        <v>16838</v>
      </c>
      <c r="K2910" s="7" t="s">
        <v>17016</v>
      </c>
      <c r="L2910" s="198" t="s">
        <v>65</v>
      </c>
      <c r="M2910" s="194"/>
      <c r="N2910" s="194"/>
    </row>
    <row r="2911">
      <c r="A2911" s="193" t="s">
        <v>20527</v>
      </c>
      <c r="B2911" s="7" t="s">
        <v>17016</v>
      </c>
      <c r="C2911" s="7" t="s">
        <v>16838</v>
      </c>
      <c r="D2911" s="194">
        <v>2020.0</v>
      </c>
      <c r="E2911" s="193"/>
      <c r="F2911" s="195" t="s">
        <v>20528</v>
      </c>
      <c r="G2911" s="200">
        <v>2.3129E9</v>
      </c>
      <c r="H2911" s="197">
        <v>1.01</v>
      </c>
      <c r="I2911" s="7" t="s">
        <v>16815</v>
      </c>
      <c r="J2911" s="7" t="s">
        <v>17016</v>
      </c>
      <c r="K2911" s="7" t="s">
        <v>16838</v>
      </c>
      <c r="L2911" s="201" t="s">
        <v>16835</v>
      </c>
      <c r="M2911" s="194"/>
      <c r="N2911" s="194"/>
    </row>
    <row r="2912">
      <c r="A2912" s="193" t="s">
        <v>20527</v>
      </c>
      <c r="B2912" s="7" t="s">
        <v>16838</v>
      </c>
      <c r="C2912" s="7" t="s">
        <v>17016</v>
      </c>
      <c r="D2912" s="194">
        <v>2020.0</v>
      </c>
      <c r="E2912" s="193"/>
      <c r="F2912" s="195" t="s">
        <v>20528</v>
      </c>
      <c r="G2912" s="196">
        <v>2.3129E9</v>
      </c>
      <c r="H2912" s="197">
        <v>1.01</v>
      </c>
      <c r="I2912" s="7" t="s">
        <v>16815</v>
      </c>
      <c r="J2912" s="7" t="s">
        <v>16838</v>
      </c>
      <c r="K2912" s="7" t="s">
        <v>17016</v>
      </c>
      <c r="L2912" s="198" t="s">
        <v>65</v>
      </c>
      <c r="M2912" s="194"/>
      <c r="N2912" s="194"/>
    </row>
    <row r="2913">
      <c r="A2913" s="193" t="s">
        <v>20529</v>
      </c>
      <c r="B2913" s="7" t="s">
        <v>158</v>
      </c>
      <c r="C2913" s="7" t="s">
        <v>16864</v>
      </c>
      <c r="D2913" s="194">
        <v>2021.0</v>
      </c>
      <c r="E2913" s="193"/>
      <c r="F2913" s="195" t="s">
        <v>20530</v>
      </c>
      <c r="G2913" s="196">
        <v>2.312769808E9</v>
      </c>
      <c r="H2913" s="197">
        <v>124.17</v>
      </c>
      <c r="I2913" s="7" t="s">
        <v>20531</v>
      </c>
      <c r="J2913" s="7" t="s">
        <v>158</v>
      </c>
      <c r="K2913" s="7" t="s">
        <v>16864</v>
      </c>
      <c r="L2913" s="198" t="s">
        <v>65</v>
      </c>
      <c r="M2913" s="194"/>
      <c r="N2913" s="194"/>
    </row>
    <row r="2914">
      <c r="A2914" s="193" t="s">
        <v>20529</v>
      </c>
      <c r="B2914" s="7" t="s">
        <v>16864</v>
      </c>
      <c r="C2914" s="7" t="s">
        <v>158</v>
      </c>
      <c r="D2914" s="194">
        <v>2021.0</v>
      </c>
      <c r="E2914" s="193"/>
      <c r="F2914" s="195" t="s">
        <v>20530</v>
      </c>
      <c r="G2914" s="200">
        <v>2.312769808E9</v>
      </c>
      <c r="H2914" s="197">
        <v>124.17</v>
      </c>
      <c r="I2914" s="7" t="s">
        <v>16815</v>
      </c>
      <c r="J2914" s="7" t="s">
        <v>16864</v>
      </c>
      <c r="K2914" s="7" t="s">
        <v>158</v>
      </c>
      <c r="L2914" s="201" t="s">
        <v>16835</v>
      </c>
      <c r="M2914" s="194"/>
      <c r="N2914" s="194"/>
    </row>
    <row r="2915">
      <c r="A2915" s="193" t="s">
        <v>20532</v>
      </c>
      <c r="B2915" s="7" t="s">
        <v>16957</v>
      </c>
      <c r="C2915" s="7" t="s">
        <v>16926</v>
      </c>
      <c r="D2915" s="199"/>
      <c r="E2915" s="193"/>
      <c r="F2915" s="195" t="s">
        <v>7622</v>
      </c>
      <c r="G2915" s="200">
        <v>2.308753547E9</v>
      </c>
      <c r="H2915" s="197">
        <v>5.36</v>
      </c>
      <c r="I2915" s="7" t="s">
        <v>16815</v>
      </c>
      <c r="J2915" s="7" t="s">
        <v>16957</v>
      </c>
      <c r="K2915" s="7" t="s">
        <v>16926</v>
      </c>
      <c r="L2915" s="201" t="s">
        <v>16835</v>
      </c>
      <c r="M2915" s="199"/>
      <c r="N2915" s="199"/>
    </row>
    <row r="2916">
      <c r="A2916" s="193" t="s">
        <v>20532</v>
      </c>
      <c r="B2916" s="7" t="s">
        <v>16926</v>
      </c>
      <c r="C2916" s="7" t="s">
        <v>16957</v>
      </c>
      <c r="D2916" s="199"/>
      <c r="E2916" s="193"/>
      <c r="F2916" s="195" t="s">
        <v>7622</v>
      </c>
      <c r="G2916" s="196">
        <v>2.308753547E9</v>
      </c>
      <c r="H2916" s="197">
        <v>5.36</v>
      </c>
      <c r="I2916" s="7" t="s">
        <v>16815</v>
      </c>
      <c r="J2916" s="7" t="s">
        <v>16926</v>
      </c>
      <c r="K2916" s="7" t="s">
        <v>16957</v>
      </c>
      <c r="L2916" s="198" t="s">
        <v>65</v>
      </c>
      <c r="M2916" s="199"/>
      <c r="N2916" s="199"/>
    </row>
    <row r="2917">
      <c r="A2917" s="193" t="s">
        <v>20533</v>
      </c>
      <c r="B2917" s="7" t="s">
        <v>20534</v>
      </c>
      <c r="C2917" s="7" t="s">
        <v>169</v>
      </c>
      <c r="D2917" s="194">
        <v>2018.0</v>
      </c>
      <c r="E2917" s="193"/>
      <c r="F2917" s="195" t="s">
        <v>20535</v>
      </c>
      <c r="G2917" s="200">
        <v>2.308190274E9</v>
      </c>
      <c r="H2917" s="197">
        <v>15.8</v>
      </c>
      <c r="I2917" s="193" t="s">
        <v>16815</v>
      </c>
      <c r="J2917" s="7" t="s">
        <v>20534</v>
      </c>
      <c r="K2917" s="7" t="s">
        <v>169</v>
      </c>
      <c r="L2917" s="201" t="s">
        <v>16835</v>
      </c>
      <c r="M2917" s="194"/>
      <c r="N2917" s="194"/>
    </row>
    <row r="2918">
      <c r="A2918" s="193" t="s">
        <v>20533</v>
      </c>
      <c r="B2918" s="7" t="s">
        <v>169</v>
      </c>
      <c r="C2918" s="7" t="s">
        <v>20534</v>
      </c>
      <c r="D2918" s="194">
        <v>2018.0</v>
      </c>
      <c r="E2918" s="193"/>
      <c r="F2918" s="195" t="s">
        <v>20535</v>
      </c>
      <c r="G2918" s="196">
        <v>2.308190274E9</v>
      </c>
      <c r="H2918" s="197">
        <v>15.8</v>
      </c>
      <c r="I2918" s="7" t="s">
        <v>16815</v>
      </c>
      <c r="J2918" s="7" t="s">
        <v>169</v>
      </c>
      <c r="K2918" s="7" t="s">
        <v>20534</v>
      </c>
      <c r="L2918" s="198" t="s">
        <v>65</v>
      </c>
      <c r="M2918" s="194"/>
      <c r="N2918" s="194"/>
    </row>
    <row r="2919">
      <c r="A2919" s="193" t="s">
        <v>20536</v>
      </c>
      <c r="B2919" s="7" t="s">
        <v>16910</v>
      </c>
      <c r="C2919" s="7" t="s">
        <v>18381</v>
      </c>
      <c r="D2919" s="194">
        <v>2014.0</v>
      </c>
      <c r="E2919" s="193"/>
      <c r="F2919" s="195" t="s">
        <v>20537</v>
      </c>
      <c r="G2919" s="196">
        <v>2.301558468E9</v>
      </c>
      <c r="H2919" s="197">
        <v>169.64</v>
      </c>
      <c r="I2919" s="7" t="s">
        <v>17063</v>
      </c>
      <c r="J2919" s="7" t="s">
        <v>16910</v>
      </c>
      <c r="K2919" s="7" t="s">
        <v>18381</v>
      </c>
      <c r="L2919" s="198" t="s">
        <v>65</v>
      </c>
      <c r="M2919" s="194"/>
      <c r="N2919" s="194"/>
    </row>
    <row r="2920">
      <c r="A2920" s="193" t="s">
        <v>20536</v>
      </c>
      <c r="B2920" s="7" t="s">
        <v>18381</v>
      </c>
      <c r="C2920" s="7" t="s">
        <v>16910</v>
      </c>
      <c r="D2920" s="194">
        <v>2014.0</v>
      </c>
      <c r="E2920" s="193"/>
      <c r="F2920" s="195" t="s">
        <v>20537</v>
      </c>
      <c r="G2920" s="200">
        <v>2.301558468E9</v>
      </c>
      <c r="H2920" s="197">
        <v>169.64</v>
      </c>
      <c r="I2920" s="7" t="s">
        <v>16815</v>
      </c>
      <c r="J2920" s="7" t="s">
        <v>18381</v>
      </c>
      <c r="K2920" s="7" t="s">
        <v>16910</v>
      </c>
      <c r="L2920" s="201" t="s">
        <v>16835</v>
      </c>
      <c r="M2920" s="194"/>
      <c r="N2920" s="194"/>
    </row>
    <row r="2921">
      <c r="A2921" s="193" t="s">
        <v>20538</v>
      </c>
      <c r="B2921" s="7" t="s">
        <v>16838</v>
      </c>
      <c r="C2921" s="7" t="s">
        <v>17127</v>
      </c>
      <c r="D2921" s="194">
        <v>2013.0</v>
      </c>
      <c r="E2921" s="193"/>
      <c r="F2921" s="195" t="s">
        <v>20539</v>
      </c>
      <c r="G2921" s="196">
        <v>2.298637675E9</v>
      </c>
      <c r="H2921" s="197">
        <v>28.35</v>
      </c>
      <c r="I2921" s="7" t="s">
        <v>16815</v>
      </c>
      <c r="J2921" s="7" t="s">
        <v>16838</v>
      </c>
      <c r="K2921" s="7" t="s">
        <v>17127</v>
      </c>
      <c r="L2921" s="198" t="s">
        <v>65</v>
      </c>
      <c r="M2921" s="194"/>
      <c r="N2921" s="194"/>
    </row>
    <row r="2922">
      <c r="A2922" s="193" t="s">
        <v>20540</v>
      </c>
      <c r="B2922" s="7" t="s">
        <v>175</v>
      </c>
      <c r="C2922" s="7" t="s">
        <v>17218</v>
      </c>
      <c r="D2922" s="194">
        <v>2013.0</v>
      </c>
      <c r="E2922" s="193"/>
      <c r="F2922" s="195" t="s">
        <v>20541</v>
      </c>
      <c r="G2922" s="196">
        <v>2.297711059E9</v>
      </c>
      <c r="H2922" s="197">
        <v>19.2</v>
      </c>
      <c r="I2922" s="7" t="s">
        <v>168</v>
      </c>
      <c r="J2922" s="7" t="s">
        <v>175</v>
      </c>
      <c r="K2922" s="7" t="s">
        <v>17218</v>
      </c>
      <c r="L2922" s="198" t="s">
        <v>65</v>
      </c>
      <c r="M2922" s="194"/>
      <c r="N2922" s="194"/>
    </row>
    <row r="2923">
      <c r="A2923" s="193" t="s">
        <v>20542</v>
      </c>
      <c r="B2923" s="7" t="s">
        <v>187</v>
      </c>
      <c r="C2923" s="7" t="s">
        <v>20543</v>
      </c>
      <c r="D2923" s="199"/>
      <c r="E2923" s="193"/>
      <c r="F2923" s="195" t="s">
        <v>20544</v>
      </c>
      <c r="G2923" s="196">
        <v>2.283975622E9</v>
      </c>
      <c r="H2923" s="197">
        <v>60.44</v>
      </c>
      <c r="I2923" s="7" t="s">
        <v>16815</v>
      </c>
      <c r="J2923" s="7" t="s">
        <v>187</v>
      </c>
      <c r="K2923" s="7" t="s">
        <v>20543</v>
      </c>
      <c r="L2923" s="198" t="s">
        <v>65</v>
      </c>
      <c r="M2923" s="199"/>
      <c r="N2923" s="199"/>
    </row>
    <row r="2924">
      <c r="A2924" s="193" t="s">
        <v>20542</v>
      </c>
      <c r="B2924" s="7" t="s">
        <v>20543</v>
      </c>
      <c r="C2924" s="7" t="s">
        <v>187</v>
      </c>
      <c r="D2924" s="199"/>
      <c r="E2924" s="193"/>
      <c r="F2924" s="195" t="s">
        <v>20544</v>
      </c>
      <c r="G2924" s="200">
        <v>2.283975622E9</v>
      </c>
      <c r="H2924" s="197">
        <v>60.44</v>
      </c>
      <c r="I2924" s="7" t="s">
        <v>16815</v>
      </c>
      <c r="J2924" s="7" t="s">
        <v>20543</v>
      </c>
      <c r="K2924" s="7" t="s">
        <v>187</v>
      </c>
      <c r="L2924" s="201" t="s">
        <v>16835</v>
      </c>
      <c r="M2924" s="199"/>
      <c r="N2924" s="199"/>
    </row>
    <row r="2925">
      <c r="A2925" s="193" t="s">
        <v>20545</v>
      </c>
      <c r="B2925" s="7" t="s">
        <v>169</v>
      </c>
      <c r="C2925" s="7" t="s">
        <v>17619</v>
      </c>
      <c r="D2925" s="199"/>
      <c r="E2925" s="193"/>
      <c r="F2925" s="195" t="s">
        <v>20546</v>
      </c>
      <c r="G2925" s="196">
        <v>2.283164435E9</v>
      </c>
      <c r="H2925" s="197">
        <v>36.99</v>
      </c>
      <c r="I2925" s="7" t="s">
        <v>16815</v>
      </c>
      <c r="J2925" s="7" t="s">
        <v>169</v>
      </c>
      <c r="K2925" s="7" t="s">
        <v>17619</v>
      </c>
      <c r="L2925" s="198" t="s">
        <v>65</v>
      </c>
      <c r="M2925" s="199"/>
      <c r="N2925" s="199"/>
    </row>
    <row r="2926">
      <c r="A2926" s="193" t="s">
        <v>20547</v>
      </c>
      <c r="B2926" s="7" t="s">
        <v>16582</v>
      </c>
      <c r="C2926" s="7" t="s">
        <v>16828</v>
      </c>
      <c r="D2926" s="194">
        <v>2021.0</v>
      </c>
      <c r="E2926" s="193"/>
      <c r="F2926" s="195" t="s">
        <v>20548</v>
      </c>
      <c r="G2926" s="196">
        <v>2.282171583E9</v>
      </c>
      <c r="H2926" s="197">
        <v>13.42</v>
      </c>
      <c r="I2926" s="7" t="s">
        <v>16815</v>
      </c>
      <c r="J2926" s="7" t="s">
        <v>16582</v>
      </c>
      <c r="K2926" s="7" t="s">
        <v>16828</v>
      </c>
      <c r="L2926" s="198" t="s">
        <v>65</v>
      </c>
      <c r="M2926" s="194"/>
      <c r="N2926" s="194"/>
    </row>
    <row r="2927">
      <c r="A2927" s="193" t="s">
        <v>20549</v>
      </c>
      <c r="B2927" s="7" t="s">
        <v>16582</v>
      </c>
      <c r="C2927" s="7" t="s">
        <v>16817</v>
      </c>
      <c r="D2927" s="194">
        <v>1991.0</v>
      </c>
      <c r="E2927" s="193"/>
      <c r="F2927" s="195" t="s">
        <v>20550</v>
      </c>
      <c r="G2927" s="196">
        <v>2.276724982E9</v>
      </c>
      <c r="H2927" s="197">
        <v>52.26</v>
      </c>
      <c r="I2927" s="7" t="s">
        <v>16815</v>
      </c>
      <c r="J2927" s="7" t="s">
        <v>16582</v>
      </c>
      <c r="K2927" s="7" t="s">
        <v>16817</v>
      </c>
      <c r="L2927" s="198" t="s">
        <v>65</v>
      </c>
      <c r="M2927" s="194"/>
      <c r="N2927" s="194"/>
    </row>
    <row r="2928">
      <c r="A2928" s="193" t="s">
        <v>20551</v>
      </c>
      <c r="B2928" s="7" t="s">
        <v>16838</v>
      </c>
      <c r="C2928" s="7" t="s">
        <v>16867</v>
      </c>
      <c r="D2928" s="199"/>
      <c r="E2928" s="193"/>
      <c r="F2928" s="195" t="s">
        <v>20552</v>
      </c>
      <c r="G2928" s="196">
        <v>2.27116277E9</v>
      </c>
      <c r="H2928" s="197">
        <v>51.79</v>
      </c>
      <c r="I2928" s="7" t="s">
        <v>16815</v>
      </c>
      <c r="J2928" s="7" t="s">
        <v>16838</v>
      </c>
      <c r="K2928" s="7" t="s">
        <v>16867</v>
      </c>
      <c r="L2928" s="198" t="s">
        <v>65</v>
      </c>
      <c r="M2928" s="199"/>
      <c r="N2928" s="199"/>
    </row>
    <row r="2929">
      <c r="A2929" s="193" t="s">
        <v>20553</v>
      </c>
      <c r="B2929" s="7" t="s">
        <v>16926</v>
      </c>
      <c r="C2929" s="7" t="s">
        <v>16957</v>
      </c>
      <c r="D2929" s="199"/>
      <c r="E2929" s="193"/>
      <c r="F2929" s="195" t="s">
        <v>20554</v>
      </c>
      <c r="G2929" s="196">
        <v>2.269331643E9</v>
      </c>
      <c r="H2929" s="197">
        <v>88.29</v>
      </c>
      <c r="I2929" s="7" t="s">
        <v>16815</v>
      </c>
      <c r="J2929" s="7" t="s">
        <v>16926</v>
      </c>
      <c r="K2929" s="7" t="s">
        <v>16957</v>
      </c>
      <c r="L2929" s="198" t="s">
        <v>65</v>
      </c>
      <c r="M2929" s="199"/>
      <c r="N2929" s="199"/>
    </row>
    <row r="2930">
      <c r="A2930" s="193" t="s">
        <v>20555</v>
      </c>
      <c r="B2930" s="7" t="s">
        <v>16838</v>
      </c>
      <c r="C2930" s="7" t="s">
        <v>16867</v>
      </c>
      <c r="D2930" s="199"/>
      <c r="E2930" s="193"/>
      <c r="F2930" s="195" t="s">
        <v>20556</v>
      </c>
      <c r="G2930" s="196">
        <v>2.268522648E9</v>
      </c>
      <c r="H2930" s="197">
        <v>16.28</v>
      </c>
      <c r="I2930" s="7" t="s">
        <v>16815</v>
      </c>
      <c r="J2930" s="7" t="s">
        <v>16838</v>
      </c>
      <c r="K2930" s="7" t="s">
        <v>16867</v>
      </c>
      <c r="L2930" s="198" t="s">
        <v>65</v>
      </c>
      <c r="M2930" s="199"/>
      <c r="N2930" s="199"/>
    </row>
    <row r="2931">
      <c r="A2931" s="193" t="s">
        <v>20557</v>
      </c>
      <c r="B2931" s="7" t="s">
        <v>175</v>
      </c>
      <c r="C2931" s="7" t="s">
        <v>16854</v>
      </c>
      <c r="D2931" s="194">
        <v>2021.0</v>
      </c>
      <c r="E2931" s="193"/>
      <c r="F2931" s="207"/>
      <c r="G2931" s="196">
        <v>2.264989366E9</v>
      </c>
      <c r="H2931" s="197">
        <v>14.03</v>
      </c>
      <c r="I2931" s="7" t="s">
        <v>16826</v>
      </c>
      <c r="J2931" s="7" t="s">
        <v>175</v>
      </c>
      <c r="K2931" s="7" t="s">
        <v>16854</v>
      </c>
      <c r="L2931" s="198" t="s">
        <v>65</v>
      </c>
      <c r="M2931" s="194"/>
      <c r="N2931" s="194"/>
    </row>
    <row r="2932">
      <c r="A2932" s="193" t="s">
        <v>20558</v>
      </c>
      <c r="B2932" s="7" t="s">
        <v>16885</v>
      </c>
      <c r="C2932" s="7" t="s">
        <v>16886</v>
      </c>
      <c r="D2932" s="194">
        <v>1996.0</v>
      </c>
      <c r="E2932" s="193"/>
      <c r="F2932" s="195" t="s">
        <v>20559</v>
      </c>
      <c r="G2932" s="196">
        <v>2.263139495E9</v>
      </c>
      <c r="H2932" s="197">
        <v>8.92</v>
      </c>
      <c r="I2932" s="7" t="s">
        <v>16888</v>
      </c>
      <c r="J2932" s="7" t="s">
        <v>16885</v>
      </c>
      <c r="K2932" s="7" t="s">
        <v>16886</v>
      </c>
      <c r="L2932" s="198" t="s">
        <v>65</v>
      </c>
      <c r="M2932" s="194"/>
      <c r="N2932" s="194"/>
    </row>
    <row r="2933">
      <c r="A2933" s="193" t="s">
        <v>20558</v>
      </c>
      <c r="B2933" s="7" t="s">
        <v>16886</v>
      </c>
      <c r="C2933" s="7" t="s">
        <v>16885</v>
      </c>
      <c r="D2933" s="194">
        <v>1996.0</v>
      </c>
      <c r="E2933" s="193"/>
      <c r="F2933" s="195" t="s">
        <v>20559</v>
      </c>
      <c r="G2933" s="200">
        <v>2.263139495E9</v>
      </c>
      <c r="H2933" s="197">
        <v>8.92</v>
      </c>
      <c r="I2933" s="7" t="s">
        <v>16815</v>
      </c>
      <c r="J2933" s="7" t="s">
        <v>16886</v>
      </c>
      <c r="K2933" s="7" t="s">
        <v>16885</v>
      </c>
      <c r="L2933" s="201" t="s">
        <v>16835</v>
      </c>
      <c r="M2933" s="194"/>
      <c r="N2933" s="194"/>
    </row>
    <row r="2934">
      <c r="A2934" s="193" t="s">
        <v>20560</v>
      </c>
      <c r="B2934" s="7" t="s">
        <v>169</v>
      </c>
      <c r="C2934" s="7" t="s">
        <v>17022</v>
      </c>
      <c r="D2934" s="199"/>
      <c r="E2934" s="193"/>
      <c r="F2934" s="195" t="s">
        <v>20561</v>
      </c>
      <c r="G2934" s="196">
        <v>2.260644558E9</v>
      </c>
      <c r="H2934" s="197">
        <v>64.05</v>
      </c>
      <c r="I2934" s="7" t="s">
        <v>16815</v>
      </c>
      <c r="J2934" s="7" t="s">
        <v>169</v>
      </c>
      <c r="K2934" s="7" t="s">
        <v>17022</v>
      </c>
      <c r="L2934" s="198" t="s">
        <v>65</v>
      </c>
      <c r="M2934" s="199"/>
      <c r="N2934" s="199"/>
    </row>
    <row r="2935">
      <c r="A2935" s="193" t="s">
        <v>20560</v>
      </c>
      <c r="B2935" s="7" t="s">
        <v>17022</v>
      </c>
      <c r="C2935" s="7" t="s">
        <v>169</v>
      </c>
      <c r="D2935" s="199"/>
      <c r="E2935" s="193"/>
      <c r="F2935" s="195" t="s">
        <v>20561</v>
      </c>
      <c r="G2935" s="200">
        <v>2.260644558E9</v>
      </c>
      <c r="H2935" s="197">
        <v>64.05</v>
      </c>
      <c r="I2935" s="7" t="s">
        <v>16815</v>
      </c>
      <c r="J2935" s="7" t="s">
        <v>17022</v>
      </c>
      <c r="K2935" s="7" t="s">
        <v>169</v>
      </c>
      <c r="L2935" s="201" t="s">
        <v>16835</v>
      </c>
      <c r="M2935" s="199"/>
      <c r="N2935" s="199"/>
    </row>
    <row r="2936">
      <c r="A2936" s="193" t="s">
        <v>20562</v>
      </c>
      <c r="B2936" s="7" t="s">
        <v>175</v>
      </c>
      <c r="C2936" s="7" t="s">
        <v>17475</v>
      </c>
      <c r="D2936" s="199"/>
      <c r="E2936" s="193"/>
      <c r="F2936" s="195" t="s">
        <v>20563</v>
      </c>
      <c r="G2936" s="196">
        <v>2.259018332E9</v>
      </c>
      <c r="H2936" s="197">
        <v>14.6</v>
      </c>
      <c r="I2936" s="7" t="s">
        <v>168</v>
      </c>
      <c r="J2936" s="7" t="s">
        <v>175</v>
      </c>
      <c r="K2936" s="7" t="s">
        <v>17475</v>
      </c>
      <c r="L2936" s="198" t="s">
        <v>65</v>
      </c>
      <c r="M2936" s="199"/>
      <c r="N2936" s="199"/>
    </row>
    <row r="2937">
      <c r="A2937" s="193" t="s">
        <v>20562</v>
      </c>
      <c r="B2937" s="7" t="s">
        <v>17475</v>
      </c>
      <c r="C2937" s="7" t="s">
        <v>175</v>
      </c>
      <c r="D2937" s="199"/>
      <c r="E2937" s="193"/>
      <c r="F2937" s="195" t="s">
        <v>20563</v>
      </c>
      <c r="G2937" s="200">
        <v>2.259018332E9</v>
      </c>
      <c r="H2937" s="197">
        <v>14.6</v>
      </c>
      <c r="I2937" s="7" t="s">
        <v>16815</v>
      </c>
      <c r="J2937" s="7" t="s">
        <v>17475</v>
      </c>
      <c r="K2937" s="7" t="s">
        <v>175</v>
      </c>
      <c r="L2937" s="201" t="s">
        <v>16835</v>
      </c>
      <c r="M2937" s="199"/>
      <c r="N2937" s="199"/>
    </row>
    <row r="2938">
      <c r="A2938" s="193" t="s">
        <v>20564</v>
      </c>
      <c r="B2938" s="7" t="s">
        <v>175</v>
      </c>
      <c r="C2938" s="7" t="s">
        <v>18063</v>
      </c>
      <c r="D2938" s="194">
        <v>1996.0</v>
      </c>
      <c r="E2938" s="193"/>
      <c r="F2938" s="195" t="s">
        <v>20565</v>
      </c>
      <c r="G2938" s="196">
        <v>2.257671593E9</v>
      </c>
      <c r="H2938" s="197">
        <v>71.07</v>
      </c>
      <c r="I2938" s="7" t="s">
        <v>16892</v>
      </c>
      <c r="J2938" s="7" t="s">
        <v>175</v>
      </c>
      <c r="K2938" s="7" t="s">
        <v>18063</v>
      </c>
      <c r="L2938" s="198" t="s">
        <v>65</v>
      </c>
      <c r="M2938" s="194"/>
      <c r="N2938" s="194"/>
    </row>
    <row r="2939">
      <c r="A2939" s="193" t="s">
        <v>20566</v>
      </c>
      <c r="B2939" s="7" t="s">
        <v>169</v>
      </c>
      <c r="C2939" s="7" t="s">
        <v>17057</v>
      </c>
      <c r="D2939" s="199"/>
      <c r="E2939" s="193"/>
      <c r="F2939" s="195" t="s">
        <v>20567</v>
      </c>
      <c r="G2939" s="196">
        <v>2.253847113E9</v>
      </c>
      <c r="H2939" s="197">
        <v>17.48</v>
      </c>
      <c r="I2939" s="7" t="s">
        <v>16815</v>
      </c>
      <c r="J2939" s="7" t="s">
        <v>169</v>
      </c>
      <c r="K2939" s="7" t="s">
        <v>17057</v>
      </c>
      <c r="L2939" s="198" t="s">
        <v>65</v>
      </c>
      <c r="M2939" s="199"/>
      <c r="N2939" s="199"/>
    </row>
    <row r="2940">
      <c r="A2940" s="193" t="s">
        <v>20568</v>
      </c>
      <c r="D2940" s="199"/>
      <c r="E2940" s="193"/>
      <c r="F2940" s="195" t="s">
        <v>20569</v>
      </c>
      <c r="G2940" s="196">
        <v>2.243128E9</v>
      </c>
      <c r="H2940" s="197">
        <v>15.92</v>
      </c>
      <c r="I2940" s="7" t="s">
        <v>16815</v>
      </c>
      <c r="L2940" s="198" t="s">
        <v>65</v>
      </c>
      <c r="M2940" s="199"/>
      <c r="N2940" s="199"/>
    </row>
    <row r="2941">
      <c r="A2941" s="193" t="s">
        <v>20568</v>
      </c>
      <c r="D2941" s="199"/>
      <c r="E2941" s="193"/>
      <c r="F2941" s="195" t="s">
        <v>20569</v>
      </c>
      <c r="G2941" s="200">
        <v>2.243128E9</v>
      </c>
      <c r="H2941" s="197">
        <v>15.92</v>
      </c>
      <c r="L2941" s="201" t="s">
        <v>16835</v>
      </c>
      <c r="M2941" s="199"/>
      <c r="N2941" s="199"/>
    </row>
    <row r="2942">
      <c r="A2942" s="193" t="s">
        <v>20570</v>
      </c>
      <c r="B2942" s="7" t="s">
        <v>187</v>
      </c>
      <c r="C2942" s="7" t="s">
        <v>16858</v>
      </c>
      <c r="D2942" s="194">
        <v>2017.0</v>
      </c>
      <c r="E2942" s="193"/>
      <c r="F2942" s="195" t="s">
        <v>20571</v>
      </c>
      <c r="G2942" s="196">
        <v>2.241552875E9</v>
      </c>
      <c r="H2942" s="197">
        <v>16.22</v>
      </c>
      <c r="I2942" s="7" t="s">
        <v>16815</v>
      </c>
      <c r="J2942" s="7" t="s">
        <v>187</v>
      </c>
      <c r="K2942" s="7" t="s">
        <v>16858</v>
      </c>
      <c r="L2942" s="198" t="s">
        <v>65</v>
      </c>
      <c r="M2942" s="194"/>
      <c r="N2942" s="194"/>
    </row>
    <row r="2943">
      <c r="A2943" s="193" t="s">
        <v>20572</v>
      </c>
      <c r="B2943" s="7" t="s">
        <v>16838</v>
      </c>
      <c r="C2943" s="7" t="s">
        <v>16867</v>
      </c>
      <c r="D2943" s="199"/>
      <c r="E2943" s="193"/>
      <c r="F2943" s="195" t="s">
        <v>20573</v>
      </c>
      <c r="G2943" s="196">
        <v>2.233981811E9</v>
      </c>
      <c r="H2943" s="197">
        <v>29.78</v>
      </c>
      <c r="I2943" s="7" t="s">
        <v>16924</v>
      </c>
      <c r="J2943" s="7" t="s">
        <v>16838</v>
      </c>
      <c r="K2943" s="7" t="s">
        <v>16867</v>
      </c>
      <c r="L2943" s="198" t="s">
        <v>65</v>
      </c>
      <c r="M2943" s="199"/>
      <c r="N2943" s="199"/>
    </row>
    <row r="2944">
      <c r="A2944" s="193" t="s">
        <v>20572</v>
      </c>
      <c r="B2944" s="7" t="s">
        <v>16867</v>
      </c>
      <c r="C2944" s="7" t="s">
        <v>16838</v>
      </c>
      <c r="D2944" s="199"/>
      <c r="E2944" s="193"/>
      <c r="F2944" s="195" t="s">
        <v>20573</v>
      </c>
      <c r="G2944" s="200">
        <v>2.233981811E9</v>
      </c>
      <c r="H2944" s="197">
        <v>29.78</v>
      </c>
      <c r="I2944" s="7" t="s">
        <v>16815</v>
      </c>
      <c r="J2944" s="7" t="s">
        <v>16867</v>
      </c>
      <c r="K2944" s="7" t="s">
        <v>16838</v>
      </c>
      <c r="L2944" s="201" t="s">
        <v>16835</v>
      </c>
      <c r="M2944" s="199"/>
      <c r="N2944" s="199"/>
    </row>
    <row r="2945">
      <c r="A2945" s="193" t="s">
        <v>20574</v>
      </c>
      <c r="B2945" s="7" t="s">
        <v>17111</v>
      </c>
      <c r="C2945" s="7" t="s">
        <v>17112</v>
      </c>
      <c r="D2945" s="194">
        <v>1994.0</v>
      </c>
      <c r="E2945" s="193"/>
      <c r="F2945" s="195" t="s">
        <v>20575</v>
      </c>
      <c r="G2945" s="200">
        <v>2.225579668E9</v>
      </c>
      <c r="H2945" s="197">
        <v>10.33</v>
      </c>
      <c r="I2945" s="7" t="s">
        <v>16815</v>
      </c>
      <c r="J2945" s="7" t="s">
        <v>17111</v>
      </c>
      <c r="K2945" s="7" t="s">
        <v>17112</v>
      </c>
      <c r="L2945" s="201" t="s">
        <v>16835</v>
      </c>
      <c r="M2945" s="194"/>
      <c r="N2945" s="194"/>
    </row>
    <row r="2946">
      <c r="A2946" s="193" t="s">
        <v>20574</v>
      </c>
      <c r="B2946" s="7" t="s">
        <v>17112</v>
      </c>
      <c r="C2946" s="7" t="s">
        <v>17111</v>
      </c>
      <c r="D2946" s="194">
        <v>1994.0</v>
      </c>
      <c r="E2946" s="193"/>
      <c r="F2946" s="195" t="s">
        <v>20575</v>
      </c>
      <c r="G2946" s="196">
        <v>2.225579668E9</v>
      </c>
      <c r="H2946" s="197">
        <v>10.33</v>
      </c>
      <c r="I2946" s="7" t="s">
        <v>16815</v>
      </c>
      <c r="J2946" s="7" t="s">
        <v>17112</v>
      </c>
      <c r="K2946" s="7" t="s">
        <v>17111</v>
      </c>
      <c r="L2946" s="198" t="s">
        <v>65</v>
      </c>
      <c r="M2946" s="194"/>
      <c r="N2946" s="194"/>
    </row>
    <row r="2947">
      <c r="A2947" s="193" t="s">
        <v>20576</v>
      </c>
      <c r="B2947" s="7" t="s">
        <v>187</v>
      </c>
      <c r="C2947" s="7" t="s">
        <v>16969</v>
      </c>
      <c r="D2947" s="194">
        <v>2016.0</v>
      </c>
      <c r="E2947" s="193"/>
      <c r="F2947" s="195" t="s">
        <v>20577</v>
      </c>
      <c r="G2947" s="196">
        <v>2.220034402E9</v>
      </c>
      <c r="H2947" s="197">
        <v>72.43</v>
      </c>
      <c r="I2947" s="7" t="s">
        <v>16815</v>
      </c>
      <c r="J2947" s="7" t="s">
        <v>187</v>
      </c>
      <c r="K2947" s="7" t="s">
        <v>16969</v>
      </c>
      <c r="L2947" s="198" t="s">
        <v>65</v>
      </c>
      <c r="M2947" s="194"/>
      <c r="N2947" s="194"/>
    </row>
    <row r="2948">
      <c r="A2948" s="193" t="s">
        <v>20578</v>
      </c>
      <c r="B2948" s="7" t="s">
        <v>17112</v>
      </c>
      <c r="C2948" s="7" t="s">
        <v>17218</v>
      </c>
      <c r="D2948" s="199"/>
      <c r="E2948" s="193"/>
      <c r="F2948" s="195" t="s">
        <v>20579</v>
      </c>
      <c r="G2948" s="196">
        <v>2.215656896E9</v>
      </c>
      <c r="H2948" s="197">
        <v>55.63</v>
      </c>
      <c r="I2948" s="7" t="s">
        <v>16815</v>
      </c>
      <c r="J2948" s="7" t="s">
        <v>17112</v>
      </c>
      <c r="K2948" s="7" t="s">
        <v>17218</v>
      </c>
      <c r="L2948" s="198" t="s">
        <v>65</v>
      </c>
      <c r="M2948" s="199"/>
      <c r="N2948" s="199"/>
    </row>
    <row r="2949">
      <c r="A2949" s="193" t="s">
        <v>20578</v>
      </c>
      <c r="B2949" s="7" t="s">
        <v>17218</v>
      </c>
      <c r="C2949" s="7" t="s">
        <v>17112</v>
      </c>
      <c r="D2949" s="199"/>
      <c r="E2949" s="193"/>
      <c r="F2949" s="195" t="s">
        <v>20579</v>
      </c>
      <c r="G2949" s="200">
        <v>2.215656896E9</v>
      </c>
      <c r="H2949" s="197">
        <v>55.63</v>
      </c>
      <c r="I2949" s="7" t="s">
        <v>16815</v>
      </c>
      <c r="J2949" s="7" t="s">
        <v>17218</v>
      </c>
      <c r="K2949" s="7" t="s">
        <v>17112</v>
      </c>
      <c r="L2949" s="201" t="s">
        <v>16835</v>
      </c>
      <c r="M2949" s="199"/>
      <c r="N2949" s="199"/>
    </row>
    <row r="2950">
      <c r="A2950" s="193" t="s">
        <v>20580</v>
      </c>
      <c r="B2950" s="7" t="s">
        <v>17111</v>
      </c>
      <c r="C2950" s="7" t="s">
        <v>17112</v>
      </c>
      <c r="D2950" s="194">
        <v>2022.0</v>
      </c>
      <c r="E2950" s="193"/>
      <c r="F2950" s="195" t="s">
        <v>20581</v>
      </c>
      <c r="G2950" s="200">
        <v>2.21036303E9</v>
      </c>
      <c r="H2950" s="197">
        <v>22.22</v>
      </c>
      <c r="I2950" s="7" t="s">
        <v>16815</v>
      </c>
      <c r="J2950" s="7" t="s">
        <v>17111</v>
      </c>
      <c r="K2950" s="7" t="s">
        <v>17112</v>
      </c>
      <c r="L2950" s="201" t="s">
        <v>16835</v>
      </c>
      <c r="M2950" s="194"/>
      <c r="N2950" s="194"/>
    </row>
    <row r="2951">
      <c r="A2951" s="193" t="s">
        <v>20580</v>
      </c>
      <c r="B2951" s="7" t="s">
        <v>17112</v>
      </c>
      <c r="C2951" s="7" t="s">
        <v>17111</v>
      </c>
      <c r="D2951" s="194">
        <v>2022.0</v>
      </c>
      <c r="E2951" s="193"/>
      <c r="F2951" s="195" t="s">
        <v>20581</v>
      </c>
      <c r="G2951" s="196">
        <v>2.21036303E9</v>
      </c>
      <c r="H2951" s="197">
        <v>22.22</v>
      </c>
      <c r="I2951" s="7" t="s">
        <v>16815</v>
      </c>
      <c r="J2951" s="7" t="s">
        <v>17112</v>
      </c>
      <c r="K2951" s="7" t="s">
        <v>17111</v>
      </c>
      <c r="L2951" s="198" t="s">
        <v>65</v>
      </c>
      <c r="M2951" s="194"/>
      <c r="N2951" s="194"/>
    </row>
    <row r="2952">
      <c r="A2952" s="193" t="s">
        <v>20582</v>
      </c>
      <c r="B2952" s="7" t="s">
        <v>16867</v>
      </c>
      <c r="C2952" s="7" t="s">
        <v>16838</v>
      </c>
      <c r="D2952" s="199"/>
      <c r="E2952" s="193"/>
      <c r="F2952" s="195" t="s">
        <v>20583</v>
      </c>
      <c r="G2952" s="200">
        <v>2.207980995E9</v>
      </c>
      <c r="H2952" s="197">
        <v>41.25</v>
      </c>
      <c r="I2952" s="7" t="s">
        <v>16815</v>
      </c>
      <c r="J2952" s="7" t="s">
        <v>16867</v>
      </c>
      <c r="K2952" s="7" t="s">
        <v>16838</v>
      </c>
      <c r="L2952" s="201" t="s">
        <v>16835</v>
      </c>
      <c r="M2952" s="199"/>
      <c r="N2952" s="199"/>
    </row>
    <row r="2953">
      <c r="A2953" s="193" t="s">
        <v>20582</v>
      </c>
      <c r="B2953" s="7" t="s">
        <v>16838</v>
      </c>
      <c r="C2953" s="7" t="s">
        <v>16867</v>
      </c>
      <c r="D2953" s="199"/>
      <c r="E2953" s="193"/>
      <c r="F2953" s="195" t="s">
        <v>20583</v>
      </c>
      <c r="G2953" s="196">
        <v>2.207980995E9</v>
      </c>
      <c r="H2953" s="197">
        <v>41.25</v>
      </c>
      <c r="I2953" s="7" t="s">
        <v>16815</v>
      </c>
      <c r="J2953" s="7" t="s">
        <v>16838</v>
      </c>
      <c r="K2953" s="7" t="s">
        <v>16867</v>
      </c>
      <c r="L2953" s="198" t="s">
        <v>65</v>
      </c>
      <c r="M2953" s="199"/>
      <c r="N2953" s="199"/>
    </row>
    <row r="2954">
      <c r="A2954" s="193" t="s">
        <v>20584</v>
      </c>
      <c r="B2954" s="7" t="s">
        <v>17111</v>
      </c>
      <c r="C2954" s="7" t="s">
        <v>17112</v>
      </c>
      <c r="D2954" s="199"/>
      <c r="E2954" s="193"/>
      <c r="F2954" s="195" t="s">
        <v>20585</v>
      </c>
      <c r="G2954" s="200">
        <v>2.206956316E9</v>
      </c>
      <c r="H2954" s="197">
        <v>50.84</v>
      </c>
      <c r="I2954" s="7" t="s">
        <v>16815</v>
      </c>
      <c r="J2954" s="7" t="s">
        <v>17111</v>
      </c>
      <c r="K2954" s="7" t="s">
        <v>17112</v>
      </c>
      <c r="L2954" s="201" t="s">
        <v>16835</v>
      </c>
      <c r="M2954" s="199"/>
      <c r="N2954" s="199"/>
    </row>
    <row r="2955">
      <c r="A2955" s="193" t="s">
        <v>20584</v>
      </c>
      <c r="B2955" s="7" t="s">
        <v>17112</v>
      </c>
      <c r="C2955" s="7" t="s">
        <v>17111</v>
      </c>
      <c r="D2955" s="199"/>
      <c r="E2955" s="193"/>
      <c r="F2955" s="195" t="s">
        <v>20585</v>
      </c>
      <c r="G2955" s="196">
        <v>2.206956316E9</v>
      </c>
      <c r="H2955" s="197">
        <v>50.84</v>
      </c>
      <c r="I2955" s="7" t="s">
        <v>16815</v>
      </c>
      <c r="J2955" s="7" t="s">
        <v>17112</v>
      </c>
      <c r="K2955" s="7" t="s">
        <v>17111</v>
      </c>
      <c r="L2955" s="198" t="s">
        <v>65</v>
      </c>
      <c r="M2955" s="199"/>
      <c r="N2955" s="199"/>
    </row>
    <row r="2956">
      <c r="A2956" s="193" t="s">
        <v>20586</v>
      </c>
      <c r="B2956" s="7" t="s">
        <v>16838</v>
      </c>
      <c r="C2956" s="7" t="s">
        <v>16867</v>
      </c>
      <c r="D2956" s="199"/>
      <c r="E2956" s="193"/>
      <c r="F2956" s="195" t="s">
        <v>20587</v>
      </c>
      <c r="G2956" s="196">
        <v>2.206389346E9</v>
      </c>
      <c r="H2956" s="197">
        <v>36.33</v>
      </c>
      <c r="I2956" s="7" t="s">
        <v>16815</v>
      </c>
      <c r="J2956" s="7" t="s">
        <v>16838</v>
      </c>
      <c r="K2956" s="7" t="s">
        <v>16867</v>
      </c>
      <c r="L2956" s="198" t="s">
        <v>65</v>
      </c>
      <c r="M2956" s="199"/>
      <c r="N2956" s="199"/>
    </row>
    <row r="2957">
      <c r="A2957" s="193" t="s">
        <v>20588</v>
      </c>
      <c r="B2957" s="7" t="s">
        <v>16919</v>
      </c>
      <c r="C2957" s="7" t="s">
        <v>17048</v>
      </c>
      <c r="D2957" s="194">
        <v>2014.0</v>
      </c>
      <c r="E2957" s="193"/>
      <c r="F2957" s="195" t="s">
        <v>20589</v>
      </c>
      <c r="G2957" s="196">
        <v>2.205942199E9</v>
      </c>
      <c r="H2957" s="197">
        <v>23.61</v>
      </c>
      <c r="I2957" s="7" t="s">
        <v>16815</v>
      </c>
      <c r="J2957" s="7" t="s">
        <v>16919</v>
      </c>
      <c r="K2957" s="7" t="s">
        <v>17048</v>
      </c>
      <c r="L2957" s="198" t="s">
        <v>65</v>
      </c>
      <c r="M2957" s="194"/>
      <c r="N2957" s="194"/>
    </row>
    <row r="2958">
      <c r="A2958" s="193" t="s">
        <v>20588</v>
      </c>
      <c r="B2958" s="7" t="s">
        <v>17048</v>
      </c>
      <c r="C2958" s="7" t="s">
        <v>16919</v>
      </c>
      <c r="D2958" s="194">
        <v>2014.0</v>
      </c>
      <c r="E2958" s="193"/>
      <c r="F2958" s="195" t="s">
        <v>20589</v>
      </c>
      <c r="G2958" s="200">
        <v>2.205942199E9</v>
      </c>
      <c r="H2958" s="197">
        <v>23.61</v>
      </c>
      <c r="I2958" s="7" t="s">
        <v>16815</v>
      </c>
      <c r="J2958" s="7" t="s">
        <v>17048</v>
      </c>
      <c r="K2958" s="7" t="s">
        <v>16919</v>
      </c>
      <c r="L2958" s="201" t="s">
        <v>16835</v>
      </c>
      <c r="M2958" s="194"/>
      <c r="N2958" s="194"/>
    </row>
    <row r="2959">
      <c r="A2959" s="193" t="s">
        <v>20590</v>
      </c>
      <c r="B2959" s="7" t="s">
        <v>16582</v>
      </c>
      <c r="C2959" s="7" t="s">
        <v>16930</v>
      </c>
      <c r="D2959" s="194">
        <v>2018.0</v>
      </c>
      <c r="E2959" s="193"/>
      <c r="F2959" s="195" t="s">
        <v>20591</v>
      </c>
      <c r="G2959" s="196">
        <v>2.204440809E9</v>
      </c>
      <c r="H2959" s="197">
        <v>33.65</v>
      </c>
      <c r="I2959" s="7" t="s">
        <v>16815</v>
      </c>
      <c r="J2959" s="7" t="s">
        <v>16582</v>
      </c>
      <c r="K2959" s="7" t="s">
        <v>16930</v>
      </c>
      <c r="L2959" s="198" t="s">
        <v>65</v>
      </c>
      <c r="M2959" s="194"/>
      <c r="N2959" s="194"/>
    </row>
    <row r="2960">
      <c r="A2960" s="193" t="s">
        <v>20590</v>
      </c>
      <c r="B2960" s="7" t="s">
        <v>16930</v>
      </c>
      <c r="C2960" s="7" t="s">
        <v>16582</v>
      </c>
      <c r="D2960" s="194">
        <v>2018.0</v>
      </c>
      <c r="E2960" s="193"/>
      <c r="F2960" s="195" t="s">
        <v>20591</v>
      </c>
      <c r="G2960" s="200">
        <v>2.204440809E9</v>
      </c>
      <c r="H2960" s="197">
        <v>33.65</v>
      </c>
      <c r="I2960" s="7" t="s">
        <v>16815</v>
      </c>
      <c r="J2960" s="7" t="s">
        <v>16930</v>
      </c>
      <c r="K2960" s="7" t="s">
        <v>16582</v>
      </c>
      <c r="L2960" s="201" t="s">
        <v>16835</v>
      </c>
      <c r="M2960" s="194"/>
      <c r="N2960" s="194"/>
    </row>
    <row r="2961">
      <c r="A2961" s="193" t="s">
        <v>20592</v>
      </c>
      <c r="B2961" s="7" t="s">
        <v>16838</v>
      </c>
      <c r="C2961" s="7" t="s">
        <v>16867</v>
      </c>
      <c r="D2961" s="199"/>
      <c r="E2961" s="193"/>
      <c r="F2961" s="195" t="s">
        <v>20593</v>
      </c>
      <c r="G2961" s="196">
        <v>2.202912263E9</v>
      </c>
      <c r="H2961" s="197">
        <v>13.43</v>
      </c>
      <c r="I2961" s="7" t="s">
        <v>16815</v>
      </c>
      <c r="J2961" s="7" t="s">
        <v>16838</v>
      </c>
      <c r="K2961" s="7" t="s">
        <v>16867</v>
      </c>
      <c r="L2961" s="198" t="s">
        <v>65</v>
      </c>
      <c r="M2961" s="199"/>
      <c r="N2961" s="199"/>
    </row>
    <row r="2962">
      <c r="A2962" s="193" t="s">
        <v>20594</v>
      </c>
      <c r="B2962" s="7" t="s">
        <v>16582</v>
      </c>
      <c r="C2962" s="7" t="s">
        <v>16930</v>
      </c>
      <c r="D2962" s="199"/>
      <c r="E2962" s="193"/>
      <c r="F2962" s="195" t="s">
        <v>20595</v>
      </c>
      <c r="G2962" s="196">
        <v>2.202146971E9</v>
      </c>
      <c r="H2962" s="197">
        <v>86.79</v>
      </c>
      <c r="I2962" s="7" t="s">
        <v>16815</v>
      </c>
      <c r="J2962" s="7" t="s">
        <v>16582</v>
      </c>
      <c r="K2962" s="7" t="s">
        <v>16930</v>
      </c>
      <c r="L2962" s="198" t="s">
        <v>65</v>
      </c>
      <c r="M2962" s="199"/>
      <c r="N2962" s="199"/>
    </row>
    <row r="2963">
      <c r="A2963" s="193" t="s">
        <v>20596</v>
      </c>
      <c r="B2963" s="7" t="s">
        <v>187</v>
      </c>
      <c r="C2963" s="7" t="s">
        <v>16846</v>
      </c>
      <c r="D2963" s="199"/>
      <c r="E2963" s="193"/>
      <c r="F2963" s="195" t="s">
        <v>20597</v>
      </c>
      <c r="G2963" s="196">
        <v>2.201231514E9</v>
      </c>
      <c r="H2963" s="197">
        <v>15.965</v>
      </c>
      <c r="I2963" s="7" t="s">
        <v>16815</v>
      </c>
      <c r="J2963" s="7" t="s">
        <v>187</v>
      </c>
      <c r="K2963" s="7" t="s">
        <v>16846</v>
      </c>
      <c r="L2963" s="198" t="s">
        <v>65</v>
      </c>
      <c r="M2963" s="199"/>
      <c r="N2963" s="199"/>
    </row>
    <row r="2964">
      <c r="A2964" s="193" t="s">
        <v>20598</v>
      </c>
      <c r="B2964" s="7" t="s">
        <v>187</v>
      </c>
      <c r="C2964" s="7" t="s">
        <v>16846</v>
      </c>
      <c r="D2964" s="194">
        <v>2022.0</v>
      </c>
      <c r="E2964" s="193"/>
      <c r="F2964" s="195" t="s">
        <v>20599</v>
      </c>
      <c r="G2964" s="196">
        <v>2.200817225E9</v>
      </c>
      <c r="H2964" s="197">
        <v>45.51</v>
      </c>
      <c r="I2964" s="7" t="s">
        <v>16815</v>
      </c>
      <c r="J2964" s="7" t="s">
        <v>187</v>
      </c>
      <c r="K2964" s="7" t="s">
        <v>16846</v>
      </c>
      <c r="L2964" s="198" t="s">
        <v>65</v>
      </c>
      <c r="M2964" s="194"/>
      <c r="N2964" s="194"/>
    </row>
    <row r="2965">
      <c r="A2965" s="193" t="s">
        <v>20600</v>
      </c>
      <c r="B2965" s="7" t="s">
        <v>175</v>
      </c>
      <c r="C2965" s="7" t="s">
        <v>17457</v>
      </c>
      <c r="D2965" s="194">
        <v>2014.0</v>
      </c>
      <c r="E2965" s="193"/>
      <c r="F2965" s="195" t="s">
        <v>20601</v>
      </c>
      <c r="G2965" s="196">
        <v>2.199121104E9</v>
      </c>
      <c r="H2965" s="197">
        <v>69.21</v>
      </c>
      <c r="I2965" s="7" t="s">
        <v>16908</v>
      </c>
      <c r="J2965" s="7" t="s">
        <v>175</v>
      </c>
      <c r="K2965" s="7" t="s">
        <v>17457</v>
      </c>
      <c r="L2965" s="198" t="s">
        <v>65</v>
      </c>
      <c r="M2965" s="194"/>
      <c r="N2965" s="194"/>
    </row>
    <row r="2966">
      <c r="A2966" s="193" t="s">
        <v>20600</v>
      </c>
      <c r="B2966" s="7" t="s">
        <v>17457</v>
      </c>
      <c r="C2966" s="7" t="s">
        <v>175</v>
      </c>
      <c r="D2966" s="194">
        <v>2014.0</v>
      </c>
      <c r="E2966" s="193"/>
      <c r="F2966" s="195" t="s">
        <v>20601</v>
      </c>
      <c r="G2966" s="200">
        <v>2.199121104E9</v>
      </c>
      <c r="H2966" s="197">
        <v>69.21</v>
      </c>
      <c r="I2966" s="7" t="s">
        <v>16815</v>
      </c>
      <c r="J2966" s="7" t="s">
        <v>17457</v>
      </c>
      <c r="K2966" s="7" t="s">
        <v>175</v>
      </c>
      <c r="L2966" s="201" t="s">
        <v>16835</v>
      </c>
      <c r="M2966" s="194"/>
      <c r="N2966" s="194"/>
    </row>
    <row r="2967">
      <c r="A2967" s="193" t="s">
        <v>20602</v>
      </c>
      <c r="B2967" s="7" t="s">
        <v>175</v>
      </c>
      <c r="C2967" s="7" t="s">
        <v>17084</v>
      </c>
      <c r="D2967" s="194">
        <v>2014.0</v>
      </c>
      <c r="E2967" s="193"/>
      <c r="F2967" s="195" t="s">
        <v>20603</v>
      </c>
      <c r="G2967" s="196">
        <v>2.196182336E9</v>
      </c>
      <c r="H2967" s="197">
        <v>72.52</v>
      </c>
      <c r="I2967" s="7" t="s">
        <v>16908</v>
      </c>
      <c r="J2967" s="7" t="s">
        <v>175</v>
      </c>
      <c r="K2967" s="7" t="s">
        <v>17084</v>
      </c>
      <c r="L2967" s="198" t="s">
        <v>65</v>
      </c>
      <c r="M2967" s="194"/>
      <c r="N2967" s="194"/>
    </row>
    <row r="2968">
      <c r="A2968" s="193" t="s">
        <v>20602</v>
      </c>
      <c r="B2968" s="7" t="s">
        <v>17084</v>
      </c>
      <c r="C2968" s="7" t="s">
        <v>175</v>
      </c>
      <c r="D2968" s="194">
        <v>2014.0</v>
      </c>
      <c r="E2968" s="193"/>
      <c r="F2968" s="195" t="s">
        <v>20603</v>
      </c>
      <c r="G2968" s="200">
        <v>2.196182336E9</v>
      </c>
      <c r="H2968" s="197">
        <v>72.52</v>
      </c>
      <c r="I2968" s="7" t="s">
        <v>16815</v>
      </c>
      <c r="J2968" s="7" t="s">
        <v>17084</v>
      </c>
      <c r="K2968" s="7" t="s">
        <v>175</v>
      </c>
      <c r="L2968" s="201" t="s">
        <v>16835</v>
      </c>
      <c r="M2968" s="194"/>
      <c r="N2968" s="194"/>
    </row>
    <row r="2969">
      <c r="A2969" s="193" t="s">
        <v>20604</v>
      </c>
      <c r="B2969" s="7" t="s">
        <v>169</v>
      </c>
      <c r="C2969" s="7" t="s">
        <v>17509</v>
      </c>
      <c r="D2969" s="199"/>
      <c r="E2969" s="193"/>
      <c r="F2969" s="195" t="s">
        <v>20605</v>
      </c>
      <c r="G2969" s="196">
        <v>2.190571064E9</v>
      </c>
      <c r="H2969" s="197">
        <v>106.12</v>
      </c>
      <c r="I2969" s="7" t="s">
        <v>16815</v>
      </c>
      <c r="J2969" s="7" t="s">
        <v>169</v>
      </c>
      <c r="K2969" s="7" t="s">
        <v>17509</v>
      </c>
      <c r="L2969" s="198" t="s">
        <v>65</v>
      </c>
      <c r="M2969" s="199"/>
      <c r="N2969" s="199"/>
    </row>
    <row r="2970">
      <c r="A2970" s="193" t="s">
        <v>20604</v>
      </c>
      <c r="B2970" s="7" t="s">
        <v>17509</v>
      </c>
      <c r="C2970" s="7" t="s">
        <v>169</v>
      </c>
      <c r="D2970" s="199"/>
      <c r="E2970" s="193"/>
      <c r="F2970" s="195" t="s">
        <v>20605</v>
      </c>
      <c r="G2970" s="200">
        <v>2.190571064E9</v>
      </c>
      <c r="H2970" s="197">
        <v>106.12</v>
      </c>
      <c r="I2970" s="7" t="s">
        <v>16815</v>
      </c>
      <c r="J2970" s="7" t="s">
        <v>17509</v>
      </c>
      <c r="K2970" s="7" t="s">
        <v>169</v>
      </c>
      <c r="L2970" s="201" t="s">
        <v>16835</v>
      </c>
      <c r="M2970" s="199"/>
      <c r="N2970" s="199"/>
    </row>
    <row r="2971">
      <c r="A2971" s="193" t="s">
        <v>20606</v>
      </c>
      <c r="B2971" s="7" t="s">
        <v>158</v>
      </c>
      <c r="C2971" s="7" t="s">
        <v>16864</v>
      </c>
      <c r="D2971" s="199"/>
      <c r="E2971" s="193"/>
      <c r="F2971" s="195" t="s">
        <v>20607</v>
      </c>
      <c r="G2971" s="196">
        <v>2.190450767E9</v>
      </c>
      <c r="H2971" s="197">
        <v>32.32</v>
      </c>
      <c r="I2971" s="7" t="s">
        <v>16897</v>
      </c>
      <c r="J2971" s="7" t="s">
        <v>158</v>
      </c>
      <c r="K2971" s="7" t="s">
        <v>16864</v>
      </c>
      <c r="L2971" s="198" t="s">
        <v>65</v>
      </c>
      <c r="M2971" s="199"/>
      <c r="N2971" s="199"/>
    </row>
    <row r="2972">
      <c r="A2972" s="193" t="s">
        <v>20606</v>
      </c>
      <c r="B2972" s="7" t="s">
        <v>16864</v>
      </c>
      <c r="C2972" s="7" t="s">
        <v>158</v>
      </c>
      <c r="D2972" s="199"/>
      <c r="E2972" s="193"/>
      <c r="F2972" s="195" t="s">
        <v>20607</v>
      </c>
      <c r="G2972" s="200">
        <v>2.190450767E9</v>
      </c>
      <c r="H2972" s="197">
        <v>32.32</v>
      </c>
      <c r="I2972" s="7" t="s">
        <v>16815</v>
      </c>
      <c r="J2972" s="7" t="s">
        <v>16864</v>
      </c>
      <c r="K2972" s="7" t="s">
        <v>158</v>
      </c>
      <c r="L2972" s="201" t="s">
        <v>16835</v>
      </c>
      <c r="M2972" s="199"/>
      <c r="N2972" s="199"/>
    </row>
    <row r="2973">
      <c r="A2973" s="193" t="s">
        <v>20608</v>
      </c>
      <c r="B2973" s="7" t="s">
        <v>16910</v>
      </c>
      <c r="C2973" s="7" t="s">
        <v>17119</v>
      </c>
      <c r="D2973" s="194">
        <v>2021.0</v>
      </c>
      <c r="E2973" s="193"/>
      <c r="F2973" s="195" t="s">
        <v>20609</v>
      </c>
      <c r="G2973" s="196">
        <v>2.188392007E9</v>
      </c>
      <c r="H2973" s="197">
        <v>21.57</v>
      </c>
      <c r="I2973" s="7" t="s">
        <v>17063</v>
      </c>
      <c r="J2973" s="7" t="s">
        <v>16910</v>
      </c>
      <c r="K2973" s="7" t="s">
        <v>17119</v>
      </c>
      <c r="L2973" s="198" t="s">
        <v>65</v>
      </c>
      <c r="M2973" s="194"/>
      <c r="N2973" s="194"/>
    </row>
    <row r="2974">
      <c r="A2974" s="193" t="s">
        <v>20610</v>
      </c>
      <c r="B2974" s="7" t="s">
        <v>175</v>
      </c>
      <c r="C2974" s="7" t="s">
        <v>17084</v>
      </c>
      <c r="D2974" s="199"/>
      <c r="E2974" s="193"/>
      <c r="F2974" s="195" t="s">
        <v>20611</v>
      </c>
      <c r="G2974" s="196">
        <v>2.185892171E9</v>
      </c>
      <c r="H2974" s="197">
        <v>13.52</v>
      </c>
      <c r="I2974" s="7" t="s">
        <v>168</v>
      </c>
      <c r="J2974" s="7" t="s">
        <v>175</v>
      </c>
      <c r="K2974" s="7" t="s">
        <v>17084</v>
      </c>
      <c r="L2974" s="198" t="s">
        <v>65</v>
      </c>
      <c r="M2974" s="199"/>
      <c r="N2974" s="199"/>
    </row>
    <row r="2975">
      <c r="A2975" s="193" t="s">
        <v>20610</v>
      </c>
      <c r="B2975" s="7" t="s">
        <v>17084</v>
      </c>
      <c r="C2975" s="7" t="s">
        <v>175</v>
      </c>
      <c r="D2975" s="199"/>
      <c r="E2975" s="193"/>
      <c r="F2975" s="195" t="s">
        <v>20611</v>
      </c>
      <c r="G2975" s="200">
        <v>2.185892171E9</v>
      </c>
      <c r="H2975" s="197">
        <v>13.52</v>
      </c>
      <c r="I2975" s="7" t="s">
        <v>16815</v>
      </c>
      <c r="J2975" s="7" t="s">
        <v>17084</v>
      </c>
      <c r="K2975" s="7" t="s">
        <v>175</v>
      </c>
      <c r="L2975" s="201" t="s">
        <v>16835</v>
      </c>
      <c r="M2975" s="199"/>
      <c r="N2975" s="199"/>
    </row>
    <row r="2976">
      <c r="A2976" s="193" t="s">
        <v>20612</v>
      </c>
      <c r="B2976" s="7" t="s">
        <v>17019</v>
      </c>
      <c r="C2976" s="7" t="s">
        <v>16838</v>
      </c>
      <c r="D2976" s="194">
        <v>2017.0</v>
      </c>
      <c r="E2976" s="193"/>
      <c r="F2976" s="195" t="s">
        <v>20613</v>
      </c>
      <c r="G2976" s="200">
        <v>2.176594171E9</v>
      </c>
      <c r="H2976" s="197">
        <v>21.34</v>
      </c>
      <c r="I2976" s="7" t="s">
        <v>16815</v>
      </c>
      <c r="J2976" s="7" t="s">
        <v>17019</v>
      </c>
      <c r="K2976" s="7" t="s">
        <v>16838</v>
      </c>
      <c r="L2976" s="201" t="s">
        <v>16835</v>
      </c>
      <c r="M2976" s="194"/>
      <c r="N2976" s="194"/>
    </row>
    <row r="2977">
      <c r="A2977" s="193" t="s">
        <v>20612</v>
      </c>
      <c r="B2977" s="7" t="s">
        <v>16838</v>
      </c>
      <c r="C2977" s="7" t="s">
        <v>17019</v>
      </c>
      <c r="D2977" s="194">
        <v>2017.0</v>
      </c>
      <c r="E2977" s="193"/>
      <c r="F2977" s="195" t="s">
        <v>20613</v>
      </c>
      <c r="G2977" s="196">
        <v>2.176594171E9</v>
      </c>
      <c r="H2977" s="197">
        <v>21.34</v>
      </c>
      <c r="I2977" s="7" t="s">
        <v>16815</v>
      </c>
      <c r="J2977" s="7" t="s">
        <v>16838</v>
      </c>
      <c r="K2977" s="7" t="s">
        <v>17019</v>
      </c>
      <c r="L2977" s="198" t="s">
        <v>65</v>
      </c>
      <c r="M2977" s="194"/>
      <c r="N2977" s="194"/>
    </row>
    <row r="2978">
      <c r="A2978" s="193" t="s">
        <v>20614</v>
      </c>
      <c r="B2978" s="7" t="s">
        <v>16885</v>
      </c>
      <c r="C2978" s="7" t="s">
        <v>20119</v>
      </c>
      <c r="D2978" s="199"/>
      <c r="E2978" s="193"/>
      <c r="F2978" s="195" t="s">
        <v>20615</v>
      </c>
      <c r="G2978" s="196">
        <v>2.176185219E9</v>
      </c>
      <c r="H2978" s="197">
        <v>5.64</v>
      </c>
      <c r="I2978" s="7" t="s">
        <v>16826</v>
      </c>
      <c r="J2978" s="7" t="s">
        <v>16885</v>
      </c>
      <c r="K2978" s="7" t="s">
        <v>20119</v>
      </c>
      <c r="L2978" s="198" t="s">
        <v>65</v>
      </c>
      <c r="M2978" s="199"/>
      <c r="N2978" s="199"/>
    </row>
    <row r="2979">
      <c r="A2979" s="193" t="s">
        <v>20614</v>
      </c>
      <c r="B2979" s="202" t="s">
        <v>20119</v>
      </c>
      <c r="C2979" s="193" t="s">
        <v>16885</v>
      </c>
      <c r="D2979" s="206"/>
      <c r="E2979" s="193"/>
      <c r="F2979" s="203" t="s">
        <v>20615</v>
      </c>
      <c r="G2979" s="200">
        <v>2.176185219E9</v>
      </c>
      <c r="H2979" s="205">
        <v>1.37</v>
      </c>
      <c r="J2979" s="202" t="s">
        <v>20119</v>
      </c>
      <c r="K2979" s="193" t="s">
        <v>16885</v>
      </c>
      <c r="L2979" s="193" t="s">
        <v>17471</v>
      </c>
      <c r="M2979" s="206"/>
      <c r="N2979" s="206"/>
    </row>
    <row r="2980">
      <c r="A2980" s="193" t="s">
        <v>20616</v>
      </c>
      <c r="B2980" s="7" t="s">
        <v>16919</v>
      </c>
      <c r="C2980" s="7" t="s">
        <v>17048</v>
      </c>
      <c r="D2980" s="199"/>
      <c r="E2980" s="193"/>
      <c r="F2980" s="195" t="s">
        <v>20617</v>
      </c>
      <c r="G2980" s="196">
        <v>2.175684E9</v>
      </c>
      <c r="H2980" s="197">
        <v>8.26</v>
      </c>
      <c r="I2980" s="7" t="s">
        <v>16815</v>
      </c>
      <c r="J2980" s="7" t="s">
        <v>16919</v>
      </c>
      <c r="K2980" s="7" t="s">
        <v>17048</v>
      </c>
      <c r="L2980" s="198" t="s">
        <v>65</v>
      </c>
      <c r="M2980" s="199"/>
      <c r="N2980" s="199"/>
    </row>
    <row r="2981">
      <c r="A2981" s="193" t="s">
        <v>20616</v>
      </c>
      <c r="B2981" s="7" t="s">
        <v>17048</v>
      </c>
      <c r="C2981" s="7" t="s">
        <v>16919</v>
      </c>
      <c r="D2981" s="199"/>
      <c r="E2981" s="193"/>
      <c r="F2981" s="195" t="s">
        <v>20617</v>
      </c>
      <c r="G2981" s="200">
        <v>2.175684E9</v>
      </c>
      <c r="H2981" s="197">
        <v>8.26</v>
      </c>
      <c r="I2981" s="7" t="s">
        <v>16815</v>
      </c>
      <c r="J2981" s="7" t="s">
        <v>17048</v>
      </c>
      <c r="K2981" s="7" t="s">
        <v>16919</v>
      </c>
      <c r="L2981" s="201" t="s">
        <v>16835</v>
      </c>
      <c r="M2981" s="199"/>
      <c r="N2981" s="199"/>
    </row>
    <row r="2982">
      <c r="A2982" s="193" t="s">
        <v>20618</v>
      </c>
      <c r="B2982" s="7" t="s">
        <v>158</v>
      </c>
      <c r="C2982" s="7" t="s">
        <v>17171</v>
      </c>
      <c r="D2982" s="199"/>
      <c r="E2982" s="193"/>
      <c r="F2982" s="195" t="s">
        <v>20619</v>
      </c>
      <c r="G2982" s="196">
        <v>2.170633598E9</v>
      </c>
      <c r="H2982" s="197">
        <v>21.55</v>
      </c>
      <c r="I2982" s="7" t="s">
        <v>17098</v>
      </c>
      <c r="J2982" s="7" t="s">
        <v>158</v>
      </c>
      <c r="K2982" s="7" t="s">
        <v>17171</v>
      </c>
      <c r="L2982" s="198" t="s">
        <v>65</v>
      </c>
      <c r="M2982" s="199"/>
      <c r="N2982" s="199"/>
    </row>
    <row r="2983">
      <c r="A2983" s="193" t="s">
        <v>20618</v>
      </c>
      <c r="B2983" s="7" t="s">
        <v>17171</v>
      </c>
      <c r="C2983" s="7" t="s">
        <v>158</v>
      </c>
      <c r="D2983" s="199"/>
      <c r="E2983" s="193"/>
      <c r="F2983" s="195" t="s">
        <v>20619</v>
      </c>
      <c r="G2983" s="200">
        <v>2.170633598E9</v>
      </c>
      <c r="H2983" s="197">
        <v>21.55</v>
      </c>
      <c r="I2983" s="7" t="s">
        <v>16815</v>
      </c>
      <c r="J2983" s="7" t="s">
        <v>17171</v>
      </c>
      <c r="K2983" s="7" t="s">
        <v>158</v>
      </c>
      <c r="L2983" s="201" t="s">
        <v>16835</v>
      </c>
      <c r="M2983" s="199"/>
      <c r="N2983" s="199"/>
    </row>
    <row r="2984">
      <c r="A2984" s="193" t="s">
        <v>20620</v>
      </c>
      <c r="B2984" s="7" t="s">
        <v>16910</v>
      </c>
      <c r="C2984" s="7" t="s">
        <v>16911</v>
      </c>
      <c r="D2984" s="199"/>
      <c r="E2984" s="193"/>
      <c r="F2984" s="195" t="s">
        <v>20621</v>
      </c>
      <c r="G2984" s="196">
        <v>2.168981859E9</v>
      </c>
      <c r="H2984" s="197">
        <v>11.74</v>
      </c>
      <c r="I2984" s="7" t="s">
        <v>16856</v>
      </c>
      <c r="J2984" s="7" t="s">
        <v>16910</v>
      </c>
      <c r="K2984" s="7" t="s">
        <v>16911</v>
      </c>
      <c r="L2984" s="198" t="s">
        <v>65</v>
      </c>
      <c r="M2984" s="199"/>
      <c r="N2984" s="199"/>
    </row>
    <row r="2985">
      <c r="A2985" s="193" t="s">
        <v>20620</v>
      </c>
      <c r="B2985" s="7" t="s">
        <v>16911</v>
      </c>
      <c r="C2985" s="7" t="s">
        <v>16910</v>
      </c>
      <c r="D2985" s="199"/>
      <c r="E2985" s="193"/>
      <c r="F2985" s="195" t="s">
        <v>20621</v>
      </c>
      <c r="G2985" s="200">
        <v>2.168981859E9</v>
      </c>
      <c r="H2985" s="197">
        <v>11.74</v>
      </c>
      <c r="I2985" s="7" t="s">
        <v>16815</v>
      </c>
      <c r="J2985" s="7" t="s">
        <v>16911</v>
      </c>
      <c r="K2985" s="7" t="s">
        <v>16910</v>
      </c>
      <c r="L2985" s="201" t="s">
        <v>16835</v>
      </c>
      <c r="M2985" s="199"/>
      <c r="N2985" s="199"/>
    </row>
    <row r="2986">
      <c r="A2986" s="193" t="s">
        <v>20622</v>
      </c>
      <c r="B2986" s="7" t="s">
        <v>16582</v>
      </c>
      <c r="C2986" s="7" t="s">
        <v>17435</v>
      </c>
      <c r="D2986" s="194">
        <v>2021.0</v>
      </c>
      <c r="E2986" s="193"/>
      <c r="F2986" s="195" t="s">
        <v>20623</v>
      </c>
      <c r="G2986" s="196">
        <v>2.167425162E9</v>
      </c>
      <c r="H2986" s="197">
        <v>25.2</v>
      </c>
      <c r="I2986" s="7" t="s">
        <v>16815</v>
      </c>
      <c r="J2986" s="7" t="s">
        <v>16582</v>
      </c>
      <c r="K2986" s="7" t="s">
        <v>17435</v>
      </c>
      <c r="L2986" s="198" t="s">
        <v>65</v>
      </c>
      <c r="M2986" s="194"/>
      <c r="N2986" s="194"/>
    </row>
    <row r="2987">
      <c r="A2987" s="193" t="s">
        <v>20622</v>
      </c>
      <c r="B2987" s="7" t="s">
        <v>17435</v>
      </c>
      <c r="C2987" s="7" t="s">
        <v>16582</v>
      </c>
      <c r="D2987" s="194">
        <v>2021.0</v>
      </c>
      <c r="E2987" s="193"/>
      <c r="F2987" s="195" t="s">
        <v>20623</v>
      </c>
      <c r="G2987" s="200">
        <v>2.167425162E9</v>
      </c>
      <c r="H2987" s="197">
        <v>25.2</v>
      </c>
      <c r="I2987" s="7" t="s">
        <v>16815</v>
      </c>
      <c r="J2987" s="7" t="s">
        <v>17435</v>
      </c>
      <c r="K2987" s="7" t="s">
        <v>16582</v>
      </c>
      <c r="L2987" s="201" t="s">
        <v>16835</v>
      </c>
      <c r="M2987" s="194"/>
      <c r="N2987" s="194"/>
    </row>
    <row r="2988">
      <c r="A2988" s="193" t="s">
        <v>20624</v>
      </c>
      <c r="B2988" s="7" t="s">
        <v>158</v>
      </c>
      <c r="C2988" s="7" t="s">
        <v>16920</v>
      </c>
      <c r="D2988" s="199"/>
      <c r="E2988" s="193"/>
      <c r="F2988" s="195" t="s">
        <v>20625</v>
      </c>
      <c r="G2988" s="196">
        <v>2.164144384E9</v>
      </c>
      <c r="H2988" s="197">
        <v>17.19</v>
      </c>
      <c r="I2988" s="7" t="s">
        <v>17098</v>
      </c>
      <c r="J2988" s="7" t="s">
        <v>158</v>
      </c>
      <c r="K2988" s="7" t="s">
        <v>16920</v>
      </c>
      <c r="L2988" s="198" t="s">
        <v>65</v>
      </c>
      <c r="M2988" s="199"/>
      <c r="N2988" s="199"/>
    </row>
    <row r="2989">
      <c r="A2989" s="193" t="s">
        <v>20624</v>
      </c>
      <c r="B2989" s="7" t="s">
        <v>16920</v>
      </c>
      <c r="C2989" s="7" t="s">
        <v>158</v>
      </c>
      <c r="D2989" s="199"/>
      <c r="E2989" s="193"/>
      <c r="F2989" s="195" t="s">
        <v>20626</v>
      </c>
      <c r="G2989" s="200">
        <v>2.164144384E9</v>
      </c>
      <c r="H2989" s="197">
        <v>17.19</v>
      </c>
      <c r="I2989" s="7" t="s">
        <v>16815</v>
      </c>
      <c r="J2989" s="7" t="s">
        <v>16920</v>
      </c>
      <c r="K2989" s="7" t="s">
        <v>158</v>
      </c>
      <c r="L2989" s="201" t="s">
        <v>16835</v>
      </c>
      <c r="M2989" s="199"/>
      <c r="N2989" s="199"/>
    </row>
    <row r="2990">
      <c r="A2990" s="193" t="s">
        <v>20627</v>
      </c>
      <c r="B2990" s="7" t="s">
        <v>169</v>
      </c>
      <c r="C2990" s="7" t="s">
        <v>16899</v>
      </c>
      <c r="D2990" s="199"/>
      <c r="E2990" s="193"/>
      <c r="F2990" s="195" t="s">
        <v>20628</v>
      </c>
      <c r="G2990" s="196">
        <v>2.163922347E9</v>
      </c>
      <c r="H2990" s="197">
        <v>180.15</v>
      </c>
      <c r="I2990" s="7" t="s">
        <v>16815</v>
      </c>
      <c r="J2990" s="7" t="s">
        <v>169</v>
      </c>
      <c r="K2990" s="7" t="s">
        <v>16899</v>
      </c>
      <c r="L2990" s="198" t="s">
        <v>65</v>
      </c>
      <c r="M2990" s="199"/>
      <c r="N2990" s="199"/>
    </row>
    <row r="2991">
      <c r="A2991" s="193" t="s">
        <v>20627</v>
      </c>
      <c r="B2991" s="7" t="s">
        <v>16899</v>
      </c>
      <c r="C2991" s="7" t="s">
        <v>169</v>
      </c>
      <c r="D2991" s="199"/>
      <c r="E2991" s="193"/>
      <c r="F2991" s="195" t="s">
        <v>20628</v>
      </c>
      <c r="G2991" s="200">
        <v>2.163922347E9</v>
      </c>
      <c r="H2991" s="197">
        <v>180.15</v>
      </c>
      <c r="I2991" s="7" t="s">
        <v>16815</v>
      </c>
      <c r="J2991" s="7" t="s">
        <v>16899</v>
      </c>
      <c r="K2991" s="7" t="s">
        <v>169</v>
      </c>
      <c r="L2991" s="201" t="s">
        <v>16835</v>
      </c>
      <c r="M2991" s="199"/>
      <c r="N2991" s="199"/>
    </row>
    <row r="2992">
      <c r="A2992" s="193" t="s">
        <v>20629</v>
      </c>
      <c r="B2992" s="7" t="s">
        <v>20534</v>
      </c>
      <c r="C2992" s="7" t="s">
        <v>169</v>
      </c>
      <c r="D2992" s="194">
        <v>2021.0</v>
      </c>
      <c r="E2992" s="193"/>
      <c r="F2992" s="195" t="s">
        <v>20630</v>
      </c>
      <c r="G2992" s="200">
        <v>2.159666516E9</v>
      </c>
      <c r="H2992" s="197">
        <v>10.66</v>
      </c>
      <c r="I2992" s="193" t="s">
        <v>16815</v>
      </c>
      <c r="J2992" s="7" t="s">
        <v>20534</v>
      </c>
      <c r="K2992" s="7" t="s">
        <v>169</v>
      </c>
      <c r="L2992" s="201" t="s">
        <v>16835</v>
      </c>
      <c r="M2992" s="194"/>
      <c r="N2992" s="194"/>
    </row>
    <row r="2993">
      <c r="A2993" s="193" t="s">
        <v>20629</v>
      </c>
      <c r="B2993" s="7" t="s">
        <v>169</v>
      </c>
      <c r="C2993" s="7" t="s">
        <v>20534</v>
      </c>
      <c r="D2993" s="194">
        <v>2021.0</v>
      </c>
      <c r="E2993" s="193"/>
      <c r="F2993" s="195" t="s">
        <v>20630</v>
      </c>
      <c r="G2993" s="196">
        <v>2.159666516E9</v>
      </c>
      <c r="H2993" s="197">
        <v>10.66</v>
      </c>
      <c r="I2993" s="7" t="s">
        <v>16815</v>
      </c>
      <c r="J2993" s="7" t="s">
        <v>169</v>
      </c>
      <c r="K2993" s="7" t="s">
        <v>20534</v>
      </c>
      <c r="L2993" s="198" t="s">
        <v>65</v>
      </c>
      <c r="M2993" s="194"/>
      <c r="N2993" s="194"/>
    </row>
    <row r="2994">
      <c r="A2994" s="193" t="s">
        <v>20631</v>
      </c>
      <c r="B2994" s="7" t="s">
        <v>187</v>
      </c>
      <c r="C2994" s="7" t="s">
        <v>16858</v>
      </c>
      <c r="D2994" s="194">
        <v>2020.0</v>
      </c>
      <c r="E2994" s="193"/>
      <c r="F2994" s="195" t="s">
        <v>20632</v>
      </c>
      <c r="G2994" s="196">
        <v>2.159520138E9</v>
      </c>
      <c r="H2994" s="197">
        <v>19.71</v>
      </c>
      <c r="I2994" s="7" t="s">
        <v>16815</v>
      </c>
      <c r="J2994" s="7" t="s">
        <v>187</v>
      </c>
      <c r="K2994" s="7" t="s">
        <v>16858</v>
      </c>
      <c r="L2994" s="198" t="s">
        <v>65</v>
      </c>
      <c r="M2994" s="194"/>
      <c r="N2994" s="194"/>
    </row>
    <row r="2995">
      <c r="A2995" s="193" t="s">
        <v>20633</v>
      </c>
      <c r="B2995" s="7" t="s">
        <v>16838</v>
      </c>
      <c r="C2995" s="7" t="s">
        <v>17002</v>
      </c>
      <c r="D2995" s="194">
        <v>2019.0</v>
      </c>
      <c r="E2995" s="193"/>
      <c r="F2995" s="195" t="s">
        <v>20634</v>
      </c>
      <c r="G2995" s="196">
        <v>2.1583097E9</v>
      </c>
      <c r="H2995" s="197">
        <v>18.7</v>
      </c>
      <c r="I2995" s="7" t="s">
        <v>16815</v>
      </c>
      <c r="J2995" s="7" t="s">
        <v>16838</v>
      </c>
      <c r="K2995" s="7" t="s">
        <v>17002</v>
      </c>
      <c r="L2995" s="198" t="s">
        <v>65</v>
      </c>
      <c r="M2995" s="194"/>
      <c r="N2995" s="194"/>
    </row>
    <row r="2996">
      <c r="A2996" s="193" t="s">
        <v>20633</v>
      </c>
      <c r="B2996" s="7" t="s">
        <v>17002</v>
      </c>
      <c r="C2996" s="7" t="s">
        <v>16838</v>
      </c>
      <c r="D2996" s="194">
        <v>2019.0</v>
      </c>
      <c r="E2996" s="193"/>
      <c r="F2996" s="195" t="s">
        <v>20634</v>
      </c>
      <c r="G2996" s="200">
        <v>2.1583097E9</v>
      </c>
      <c r="H2996" s="197">
        <v>18.7</v>
      </c>
      <c r="I2996" s="7" t="s">
        <v>16815</v>
      </c>
      <c r="J2996" s="7" t="s">
        <v>17002</v>
      </c>
      <c r="K2996" s="7" t="s">
        <v>16838</v>
      </c>
      <c r="L2996" s="201" t="s">
        <v>16835</v>
      </c>
      <c r="M2996" s="194"/>
      <c r="N2996" s="194"/>
    </row>
    <row r="2997">
      <c r="A2997" s="193" t="s">
        <v>20635</v>
      </c>
      <c r="B2997" s="7" t="s">
        <v>16582</v>
      </c>
      <c r="C2997" s="7" t="s">
        <v>17435</v>
      </c>
      <c r="D2997" s="194">
        <v>2020.0</v>
      </c>
      <c r="E2997" s="193"/>
      <c r="F2997" s="195" t="s">
        <v>20636</v>
      </c>
      <c r="G2997" s="196">
        <v>2.15790453E9</v>
      </c>
      <c r="H2997" s="197">
        <v>13.5</v>
      </c>
      <c r="I2997" s="7" t="s">
        <v>16815</v>
      </c>
      <c r="J2997" s="7" t="s">
        <v>16582</v>
      </c>
      <c r="K2997" s="7" t="s">
        <v>17435</v>
      </c>
      <c r="L2997" s="198" t="s">
        <v>65</v>
      </c>
      <c r="M2997" s="194"/>
      <c r="N2997" s="194"/>
    </row>
    <row r="2998">
      <c r="A2998" s="193" t="s">
        <v>20637</v>
      </c>
      <c r="B2998" s="7" t="s">
        <v>16910</v>
      </c>
      <c r="C2998" s="7" t="s">
        <v>17648</v>
      </c>
      <c r="D2998" s="194">
        <v>2021.0</v>
      </c>
      <c r="E2998" s="193"/>
      <c r="F2998" s="195" t="s">
        <v>20638</v>
      </c>
      <c r="G2998" s="196">
        <v>2.156324E9</v>
      </c>
      <c r="H2998" s="197">
        <v>12.82</v>
      </c>
      <c r="I2998" s="7" t="s">
        <v>20639</v>
      </c>
      <c r="J2998" s="7" t="s">
        <v>16910</v>
      </c>
      <c r="K2998" s="7" t="s">
        <v>17648</v>
      </c>
      <c r="L2998" s="198" t="s">
        <v>65</v>
      </c>
      <c r="M2998" s="194"/>
      <c r="N2998" s="194"/>
    </row>
    <row r="2999">
      <c r="A2999" s="193" t="s">
        <v>20640</v>
      </c>
      <c r="B2999" s="7" t="s">
        <v>16582</v>
      </c>
      <c r="C2999" s="7" t="s">
        <v>16583</v>
      </c>
      <c r="D2999" s="194">
        <v>2021.0</v>
      </c>
      <c r="E2999" s="193"/>
      <c r="F2999" s="195" t="s">
        <v>20641</v>
      </c>
      <c r="G2999" s="196">
        <v>2.156239619E9</v>
      </c>
      <c r="H2999" s="197">
        <v>13.66</v>
      </c>
      <c r="I2999" s="7" t="s">
        <v>16815</v>
      </c>
      <c r="J2999" s="7" t="s">
        <v>16582</v>
      </c>
      <c r="K2999" s="7" t="s">
        <v>16583</v>
      </c>
      <c r="L2999" s="198" t="s">
        <v>65</v>
      </c>
      <c r="M2999" s="194"/>
      <c r="N2999" s="194"/>
    </row>
    <row r="3000">
      <c r="A3000" s="193" t="s">
        <v>20642</v>
      </c>
      <c r="B3000" s="7" t="s">
        <v>175</v>
      </c>
      <c r="C3000" s="7" t="s">
        <v>17457</v>
      </c>
      <c r="D3000" s="199"/>
      <c r="E3000" s="193"/>
      <c r="F3000" s="195" t="s">
        <v>20643</v>
      </c>
      <c r="G3000" s="196">
        <v>2.153937915E9</v>
      </c>
      <c r="H3000" s="197">
        <v>258.72</v>
      </c>
      <c r="I3000" s="7" t="s">
        <v>16908</v>
      </c>
      <c r="J3000" s="7" t="s">
        <v>175</v>
      </c>
      <c r="K3000" s="7" t="s">
        <v>17457</v>
      </c>
      <c r="L3000" s="198" t="s">
        <v>65</v>
      </c>
      <c r="M3000" s="199"/>
      <c r="N3000" s="199"/>
    </row>
    <row r="3001">
      <c r="A3001" s="193" t="s">
        <v>20644</v>
      </c>
      <c r="B3001" s="7" t="s">
        <v>16838</v>
      </c>
      <c r="C3001" s="7" t="s">
        <v>19644</v>
      </c>
      <c r="D3001" s="194">
        <v>2004.0</v>
      </c>
      <c r="E3001" s="193"/>
      <c r="F3001" s="195" t="s">
        <v>20645</v>
      </c>
      <c r="G3001" s="196">
        <v>2.152927278E9</v>
      </c>
      <c r="H3001" s="197">
        <v>13.55</v>
      </c>
      <c r="I3001" s="7" t="s">
        <v>16815</v>
      </c>
      <c r="J3001" s="7" t="s">
        <v>16838</v>
      </c>
      <c r="K3001" s="7" t="s">
        <v>19644</v>
      </c>
      <c r="L3001" s="198" t="s">
        <v>65</v>
      </c>
      <c r="M3001" s="194"/>
      <c r="N3001" s="194"/>
    </row>
    <row r="3002">
      <c r="A3002" s="193" t="s">
        <v>20646</v>
      </c>
      <c r="B3002" s="7" t="s">
        <v>175</v>
      </c>
      <c r="C3002" s="7" t="s">
        <v>17457</v>
      </c>
      <c r="D3002" s="194">
        <v>2022.0</v>
      </c>
      <c r="E3002" s="193"/>
      <c r="F3002" s="195" t="s">
        <v>20647</v>
      </c>
      <c r="G3002" s="196">
        <v>2.152663364E9</v>
      </c>
      <c r="H3002" s="197">
        <v>23.12</v>
      </c>
      <c r="I3002" s="7" t="s">
        <v>16908</v>
      </c>
      <c r="J3002" s="7" t="s">
        <v>175</v>
      </c>
      <c r="K3002" s="7" t="s">
        <v>17457</v>
      </c>
      <c r="L3002" s="198" t="s">
        <v>65</v>
      </c>
      <c r="M3002" s="194"/>
      <c r="N3002" s="194"/>
    </row>
    <row r="3003">
      <c r="A3003" s="193" t="s">
        <v>20646</v>
      </c>
      <c r="B3003" s="7" t="s">
        <v>17457</v>
      </c>
      <c r="C3003" s="7" t="s">
        <v>175</v>
      </c>
      <c r="D3003" s="194">
        <v>2022.0</v>
      </c>
      <c r="E3003" s="193"/>
      <c r="F3003" s="195" t="s">
        <v>20647</v>
      </c>
      <c r="G3003" s="200">
        <v>2.152663364E9</v>
      </c>
      <c r="H3003" s="197">
        <v>23.12</v>
      </c>
      <c r="I3003" s="7" t="s">
        <v>16815</v>
      </c>
      <c r="J3003" s="7" t="s">
        <v>17457</v>
      </c>
      <c r="K3003" s="7" t="s">
        <v>175</v>
      </c>
      <c r="L3003" s="201" t="s">
        <v>16835</v>
      </c>
      <c r="M3003" s="194"/>
      <c r="N3003" s="194"/>
    </row>
    <row r="3004">
      <c r="A3004" s="193" t="s">
        <v>20648</v>
      </c>
      <c r="B3004" s="7" t="s">
        <v>16926</v>
      </c>
      <c r="C3004" s="7" t="s">
        <v>16957</v>
      </c>
      <c r="D3004" s="194">
        <v>1999.0</v>
      </c>
      <c r="E3004" s="193"/>
      <c r="F3004" s="195" t="s">
        <v>20649</v>
      </c>
      <c r="G3004" s="196">
        <v>2.150293423E9</v>
      </c>
      <c r="H3004" s="197">
        <v>16.59</v>
      </c>
      <c r="I3004" s="7" t="s">
        <v>16815</v>
      </c>
      <c r="J3004" s="7" t="s">
        <v>16926</v>
      </c>
      <c r="K3004" s="7" t="s">
        <v>16957</v>
      </c>
      <c r="L3004" s="198" t="s">
        <v>65</v>
      </c>
      <c r="M3004" s="194"/>
      <c r="N3004" s="194"/>
    </row>
    <row r="3005">
      <c r="A3005" s="193" t="s">
        <v>20650</v>
      </c>
      <c r="B3005" s="7" t="s">
        <v>158</v>
      </c>
      <c r="C3005" s="7" t="s">
        <v>16864</v>
      </c>
      <c r="D3005" s="199"/>
      <c r="E3005" s="193"/>
      <c r="F3005" s="195" t="s">
        <v>20651</v>
      </c>
      <c r="G3005" s="196">
        <v>2.14893458E9</v>
      </c>
      <c r="H3005" s="197">
        <v>13.13</v>
      </c>
      <c r="I3005" s="7" t="s">
        <v>16953</v>
      </c>
      <c r="J3005" s="7" t="s">
        <v>158</v>
      </c>
      <c r="K3005" s="7" t="s">
        <v>16864</v>
      </c>
      <c r="L3005" s="198" t="s">
        <v>65</v>
      </c>
      <c r="M3005" s="199"/>
      <c r="N3005" s="199"/>
    </row>
    <row r="3006">
      <c r="A3006" s="193" t="s">
        <v>20650</v>
      </c>
      <c r="B3006" s="7" t="s">
        <v>16864</v>
      </c>
      <c r="C3006" s="7" t="s">
        <v>158</v>
      </c>
      <c r="D3006" s="199"/>
      <c r="E3006" s="193"/>
      <c r="F3006" s="195" t="s">
        <v>20651</v>
      </c>
      <c r="G3006" s="200">
        <v>2.14893458E9</v>
      </c>
      <c r="H3006" s="197">
        <v>13.13</v>
      </c>
      <c r="I3006" s="7" t="s">
        <v>16815</v>
      </c>
      <c r="J3006" s="7" t="s">
        <v>16864</v>
      </c>
      <c r="K3006" s="7" t="s">
        <v>158</v>
      </c>
      <c r="L3006" s="201" t="s">
        <v>16835</v>
      </c>
      <c r="M3006" s="199"/>
      <c r="N3006" s="199"/>
    </row>
    <row r="3007">
      <c r="A3007" s="193" t="s">
        <v>20652</v>
      </c>
      <c r="B3007" s="7" t="s">
        <v>158</v>
      </c>
      <c r="C3007" s="7" t="s">
        <v>16864</v>
      </c>
      <c r="D3007" s="199"/>
      <c r="E3007" s="193"/>
      <c r="F3007" s="195" t="s">
        <v>20653</v>
      </c>
      <c r="G3007" s="196">
        <v>2.147357956E9</v>
      </c>
      <c r="H3007" s="197">
        <v>13.76</v>
      </c>
      <c r="I3007" s="7" t="s">
        <v>18397</v>
      </c>
      <c r="J3007" s="7" t="s">
        <v>158</v>
      </c>
      <c r="K3007" s="7" t="s">
        <v>16864</v>
      </c>
      <c r="L3007" s="198" t="s">
        <v>65</v>
      </c>
      <c r="M3007" s="199"/>
      <c r="N3007" s="199"/>
    </row>
    <row r="3008">
      <c r="A3008" s="193" t="s">
        <v>20652</v>
      </c>
      <c r="B3008" s="7" t="s">
        <v>16864</v>
      </c>
      <c r="C3008" s="7" t="s">
        <v>158</v>
      </c>
      <c r="D3008" s="199"/>
      <c r="E3008" s="193"/>
      <c r="F3008" s="195" t="s">
        <v>20653</v>
      </c>
      <c r="G3008" s="200">
        <v>2.147357956E9</v>
      </c>
      <c r="H3008" s="197">
        <v>13.76</v>
      </c>
      <c r="I3008" s="7" t="s">
        <v>16815</v>
      </c>
      <c r="J3008" s="7" t="s">
        <v>16864</v>
      </c>
      <c r="K3008" s="7" t="s">
        <v>158</v>
      </c>
      <c r="L3008" s="201" t="s">
        <v>16835</v>
      </c>
      <c r="M3008" s="199"/>
      <c r="N3008" s="199"/>
    </row>
    <row r="3009">
      <c r="A3009" s="193" t="s">
        <v>20654</v>
      </c>
      <c r="B3009" s="7" t="s">
        <v>16582</v>
      </c>
      <c r="C3009" s="7" t="s">
        <v>16817</v>
      </c>
      <c r="D3009" s="194">
        <v>2019.0</v>
      </c>
      <c r="E3009" s="193"/>
      <c r="F3009" s="195" t="s">
        <v>20655</v>
      </c>
      <c r="G3009" s="196">
        <v>2.14512E9</v>
      </c>
      <c r="H3009" s="197">
        <v>16.4</v>
      </c>
      <c r="I3009" s="7" t="s">
        <v>16815</v>
      </c>
      <c r="J3009" s="7" t="s">
        <v>16582</v>
      </c>
      <c r="K3009" s="7" t="s">
        <v>16817</v>
      </c>
      <c r="L3009" s="198" t="s">
        <v>65</v>
      </c>
      <c r="M3009" s="194"/>
      <c r="N3009" s="194"/>
    </row>
    <row r="3010">
      <c r="A3010" s="193" t="s">
        <v>20654</v>
      </c>
      <c r="B3010" s="7" t="s">
        <v>16817</v>
      </c>
      <c r="C3010" s="7" t="s">
        <v>16582</v>
      </c>
      <c r="D3010" s="194">
        <v>2019.0</v>
      </c>
      <c r="E3010" s="193"/>
      <c r="F3010" s="195" t="s">
        <v>20655</v>
      </c>
      <c r="G3010" s="200">
        <v>2.14512E9</v>
      </c>
      <c r="H3010" s="197">
        <v>16.4</v>
      </c>
      <c r="I3010" s="7" t="s">
        <v>16815</v>
      </c>
      <c r="J3010" s="7" t="s">
        <v>16817</v>
      </c>
      <c r="K3010" s="7" t="s">
        <v>16582</v>
      </c>
      <c r="L3010" s="201" t="s">
        <v>16835</v>
      </c>
      <c r="M3010" s="194"/>
      <c r="N3010" s="194"/>
    </row>
    <row r="3011">
      <c r="A3011" s="193" t="s">
        <v>20656</v>
      </c>
      <c r="B3011" s="7" t="s">
        <v>16910</v>
      </c>
      <c r="C3011" s="7" t="s">
        <v>17119</v>
      </c>
      <c r="D3011" s="199"/>
      <c r="E3011" s="193"/>
      <c r="F3011" s="195" t="s">
        <v>20657</v>
      </c>
      <c r="G3011" s="196">
        <v>2.144534E9</v>
      </c>
      <c r="H3011" s="197">
        <v>38.78</v>
      </c>
      <c r="I3011" s="7" t="s">
        <v>17063</v>
      </c>
      <c r="J3011" s="7" t="s">
        <v>16910</v>
      </c>
      <c r="K3011" s="7" t="s">
        <v>17119</v>
      </c>
      <c r="L3011" s="198" t="s">
        <v>65</v>
      </c>
      <c r="M3011" s="199"/>
      <c r="N3011" s="199"/>
    </row>
    <row r="3012">
      <c r="A3012" s="193" t="s">
        <v>20656</v>
      </c>
      <c r="B3012" s="7" t="s">
        <v>17119</v>
      </c>
      <c r="C3012" s="7" t="s">
        <v>16910</v>
      </c>
      <c r="D3012" s="199"/>
      <c r="E3012" s="193"/>
      <c r="F3012" s="195" t="s">
        <v>20657</v>
      </c>
      <c r="G3012" s="200">
        <v>2.144534E9</v>
      </c>
      <c r="H3012" s="197">
        <v>38.78</v>
      </c>
      <c r="I3012" s="7" t="s">
        <v>16815</v>
      </c>
      <c r="J3012" s="7" t="s">
        <v>17119</v>
      </c>
      <c r="K3012" s="7" t="s">
        <v>16910</v>
      </c>
      <c r="L3012" s="201" t="s">
        <v>16835</v>
      </c>
      <c r="M3012" s="199"/>
      <c r="N3012" s="199"/>
    </row>
    <row r="3013">
      <c r="A3013" s="193" t="s">
        <v>20658</v>
      </c>
      <c r="B3013" s="7" t="s">
        <v>16582</v>
      </c>
      <c r="C3013" s="7" t="s">
        <v>16930</v>
      </c>
      <c r="D3013" s="194">
        <v>2017.0</v>
      </c>
      <c r="E3013" s="193"/>
      <c r="F3013" s="195" t="s">
        <v>20659</v>
      </c>
      <c r="G3013" s="196">
        <v>2.14322151E9</v>
      </c>
      <c r="H3013" s="197">
        <v>19.09</v>
      </c>
      <c r="I3013" s="7" t="s">
        <v>16815</v>
      </c>
      <c r="J3013" s="7" t="s">
        <v>16582</v>
      </c>
      <c r="K3013" s="7" t="s">
        <v>16930</v>
      </c>
      <c r="L3013" s="198" t="s">
        <v>65</v>
      </c>
      <c r="M3013" s="194"/>
      <c r="N3013" s="194"/>
    </row>
    <row r="3014">
      <c r="A3014" s="193" t="s">
        <v>20660</v>
      </c>
      <c r="B3014" s="7" t="s">
        <v>16582</v>
      </c>
      <c r="C3014" s="7" t="s">
        <v>16828</v>
      </c>
      <c r="D3014" s="194">
        <v>2023.0</v>
      </c>
      <c r="E3014" s="193"/>
      <c r="F3014" s="195" t="s">
        <v>20661</v>
      </c>
      <c r="G3014" s="196">
        <v>2.141707423E9</v>
      </c>
      <c r="H3014" s="197">
        <v>34.49</v>
      </c>
      <c r="I3014" s="7" t="s">
        <v>16815</v>
      </c>
      <c r="J3014" s="7" t="s">
        <v>16582</v>
      </c>
      <c r="K3014" s="7" t="s">
        <v>16828</v>
      </c>
      <c r="L3014" s="198" t="s">
        <v>65</v>
      </c>
      <c r="M3014" s="194"/>
      <c r="N3014" s="194"/>
    </row>
    <row r="3015">
      <c r="A3015" s="193" t="s">
        <v>20662</v>
      </c>
      <c r="B3015" s="7" t="s">
        <v>175</v>
      </c>
      <c r="C3015" s="7" t="s">
        <v>17233</v>
      </c>
      <c r="D3015" s="199"/>
      <c r="E3015" s="193"/>
      <c r="F3015" s="195" t="s">
        <v>20663</v>
      </c>
      <c r="G3015" s="196">
        <v>2.140901E9</v>
      </c>
      <c r="H3015" s="197">
        <v>11.46</v>
      </c>
      <c r="I3015" s="7" t="s">
        <v>16908</v>
      </c>
      <c r="J3015" s="7" t="s">
        <v>175</v>
      </c>
      <c r="K3015" s="7" t="s">
        <v>17233</v>
      </c>
      <c r="L3015" s="198" t="s">
        <v>65</v>
      </c>
      <c r="M3015" s="199"/>
      <c r="N3015" s="199"/>
    </row>
    <row r="3016">
      <c r="A3016" s="193" t="s">
        <v>20662</v>
      </c>
      <c r="B3016" s="7" t="s">
        <v>17233</v>
      </c>
      <c r="C3016" s="7" t="s">
        <v>175</v>
      </c>
      <c r="D3016" s="199"/>
      <c r="E3016" s="193"/>
      <c r="F3016" s="195" t="s">
        <v>20663</v>
      </c>
      <c r="G3016" s="200">
        <v>2.140901E9</v>
      </c>
      <c r="H3016" s="197">
        <v>11.46</v>
      </c>
      <c r="I3016" s="7" t="s">
        <v>16815</v>
      </c>
      <c r="J3016" s="7" t="s">
        <v>17233</v>
      </c>
      <c r="K3016" s="7" t="s">
        <v>175</v>
      </c>
      <c r="L3016" s="201" t="s">
        <v>16835</v>
      </c>
      <c r="M3016" s="199"/>
      <c r="N3016" s="199"/>
    </row>
    <row r="3017">
      <c r="A3017" s="193" t="s">
        <v>20664</v>
      </c>
      <c r="B3017" s="7" t="s">
        <v>17112</v>
      </c>
      <c r="C3017" s="7" t="s">
        <v>17218</v>
      </c>
      <c r="D3017" s="194">
        <v>1996.0</v>
      </c>
      <c r="E3017" s="193"/>
      <c r="F3017" s="195" t="s">
        <v>20665</v>
      </c>
      <c r="G3017" s="196">
        <v>2.139560497E9</v>
      </c>
      <c r="H3017" s="197">
        <v>87.63</v>
      </c>
      <c r="I3017" s="7" t="s">
        <v>16815</v>
      </c>
      <c r="J3017" s="7" t="s">
        <v>17112</v>
      </c>
      <c r="K3017" s="7" t="s">
        <v>17218</v>
      </c>
      <c r="L3017" s="198" t="s">
        <v>65</v>
      </c>
      <c r="M3017" s="194"/>
      <c r="N3017" s="194"/>
    </row>
    <row r="3018">
      <c r="A3018" s="193" t="s">
        <v>20666</v>
      </c>
      <c r="B3018" s="7" t="s">
        <v>16582</v>
      </c>
      <c r="C3018" s="7" t="s">
        <v>17435</v>
      </c>
      <c r="D3018" s="199"/>
      <c r="E3018" s="193"/>
      <c r="F3018" s="195" t="s">
        <v>20667</v>
      </c>
      <c r="G3018" s="196">
        <v>2.139499699E9</v>
      </c>
      <c r="H3018" s="197">
        <v>10.36</v>
      </c>
      <c r="I3018" s="7" t="s">
        <v>16815</v>
      </c>
      <c r="J3018" s="7" t="s">
        <v>16582</v>
      </c>
      <c r="K3018" s="7" t="s">
        <v>17435</v>
      </c>
      <c r="L3018" s="198" t="s">
        <v>65</v>
      </c>
      <c r="M3018" s="199"/>
      <c r="N3018" s="199"/>
    </row>
    <row r="3019">
      <c r="A3019" s="193" t="s">
        <v>20668</v>
      </c>
      <c r="B3019" s="7" t="s">
        <v>16582</v>
      </c>
      <c r="C3019" s="7" t="s">
        <v>16930</v>
      </c>
      <c r="D3019" s="194">
        <v>1999.0</v>
      </c>
      <c r="E3019" s="193"/>
      <c r="F3019" s="195" t="s">
        <v>20669</v>
      </c>
      <c r="G3019" s="196">
        <v>2.139497594E9</v>
      </c>
      <c r="H3019" s="197">
        <v>61.53</v>
      </c>
      <c r="I3019" s="7" t="s">
        <v>16815</v>
      </c>
      <c r="J3019" s="7" t="s">
        <v>16582</v>
      </c>
      <c r="K3019" s="7" t="s">
        <v>16930</v>
      </c>
      <c r="L3019" s="198" t="s">
        <v>65</v>
      </c>
      <c r="M3019" s="194"/>
      <c r="N3019" s="194"/>
    </row>
    <row r="3020">
      <c r="A3020" s="193" t="s">
        <v>20670</v>
      </c>
      <c r="B3020" s="7" t="s">
        <v>16582</v>
      </c>
      <c r="C3020" s="7" t="s">
        <v>16930</v>
      </c>
      <c r="D3020" s="199"/>
      <c r="E3020" s="193"/>
      <c r="F3020" s="195" t="s">
        <v>20671</v>
      </c>
      <c r="G3020" s="196">
        <v>2.139426855E9</v>
      </c>
      <c r="H3020" s="197">
        <v>9.61</v>
      </c>
      <c r="I3020" s="7" t="s">
        <v>16815</v>
      </c>
      <c r="J3020" s="7" t="s">
        <v>16582</v>
      </c>
      <c r="K3020" s="7" t="s">
        <v>16930</v>
      </c>
      <c r="L3020" s="198" t="s">
        <v>65</v>
      </c>
      <c r="M3020" s="199"/>
      <c r="N3020" s="199"/>
    </row>
    <row r="3021">
      <c r="A3021" s="193" t="s">
        <v>20672</v>
      </c>
      <c r="B3021" s="7" t="s">
        <v>187</v>
      </c>
      <c r="C3021" s="7" t="s">
        <v>17564</v>
      </c>
      <c r="D3021" s="194">
        <v>2016.0</v>
      </c>
      <c r="E3021" s="193"/>
      <c r="F3021" s="195" t="s">
        <v>20673</v>
      </c>
      <c r="G3021" s="196">
        <v>2.135286624E9</v>
      </c>
      <c r="H3021" s="197">
        <v>24.13</v>
      </c>
      <c r="I3021" s="7" t="s">
        <v>16815</v>
      </c>
      <c r="J3021" s="7" t="s">
        <v>187</v>
      </c>
      <c r="K3021" s="7" t="s">
        <v>17564</v>
      </c>
      <c r="L3021" s="198" t="s">
        <v>65</v>
      </c>
      <c r="M3021" s="194"/>
      <c r="N3021" s="194"/>
    </row>
    <row r="3022">
      <c r="A3022" s="193" t="s">
        <v>20674</v>
      </c>
      <c r="B3022" s="7" t="s">
        <v>17112</v>
      </c>
      <c r="C3022" s="7" t="s">
        <v>17218</v>
      </c>
      <c r="D3022" s="194">
        <v>2017.0</v>
      </c>
      <c r="E3022" s="193"/>
      <c r="F3022" s="195" t="s">
        <v>20675</v>
      </c>
      <c r="G3022" s="196">
        <v>2.132327809E9</v>
      </c>
      <c r="H3022" s="197">
        <v>13.55</v>
      </c>
      <c r="I3022" s="7" t="s">
        <v>16815</v>
      </c>
      <c r="J3022" s="7" t="s">
        <v>17112</v>
      </c>
      <c r="K3022" s="7" t="s">
        <v>17218</v>
      </c>
      <c r="L3022" s="198" t="s">
        <v>65</v>
      </c>
      <c r="M3022" s="194"/>
      <c r="N3022" s="194"/>
    </row>
    <row r="3023">
      <c r="A3023" s="193" t="s">
        <v>20676</v>
      </c>
      <c r="B3023" s="7" t="s">
        <v>16910</v>
      </c>
      <c r="C3023" s="7" t="s">
        <v>17502</v>
      </c>
      <c r="D3023" s="199"/>
      <c r="E3023" s="193"/>
      <c r="F3023" s="195" t="s">
        <v>20677</v>
      </c>
      <c r="G3023" s="196">
        <v>2.131893984E9</v>
      </c>
      <c r="H3023" s="197">
        <v>30.62</v>
      </c>
      <c r="I3023" s="7" t="s">
        <v>17063</v>
      </c>
      <c r="J3023" s="7" t="s">
        <v>16910</v>
      </c>
      <c r="K3023" s="7" t="s">
        <v>17502</v>
      </c>
      <c r="L3023" s="198" t="s">
        <v>65</v>
      </c>
      <c r="M3023" s="199"/>
      <c r="N3023" s="199"/>
    </row>
    <row r="3024">
      <c r="A3024" s="193" t="s">
        <v>20676</v>
      </c>
      <c r="B3024" s="7" t="s">
        <v>17502</v>
      </c>
      <c r="C3024" s="7" t="s">
        <v>16910</v>
      </c>
      <c r="D3024" s="199"/>
      <c r="E3024" s="193"/>
      <c r="F3024" s="195" t="s">
        <v>20677</v>
      </c>
      <c r="G3024" s="200">
        <v>2.131893984E9</v>
      </c>
      <c r="H3024" s="197">
        <v>30.62</v>
      </c>
      <c r="I3024" s="7" t="s">
        <v>16815</v>
      </c>
      <c r="J3024" s="7" t="s">
        <v>17502</v>
      </c>
      <c r="K3024" s="7" t="s">
        <v>16910</v>
      </c>
      <c r="L3024" s="201" t="s">
        <v>16835</v>
      </c>
      <c r="M3024" s="199"/>
      <c r="N3024" s="199"/>
    </row>
    <row r="3025">
      <c r="A3025" s="193" t="s">
        <v>20678</v>
      </c>
      <c r="B3025" s="7" t="s">
        <v>17111</v>
      </c>
      <c r="C3025" s="7" t="s">
        <v>17112</v>
      </c>
      <c r="D3025" s="194">
        <v>2013.0</v>
      </c>
      <c r="E3025" s="193"/>
      <c r="F3025" s="195" t="s">
        <v>20679</v>
      </c>
      <c r="G3025" s="200">
        <v>2.130191602E9</v>
      </c>
      <c r="H3025" s="197">
        <v>19.14</v>
      </c>
      <c r="I3025" s="7" t="s">
        <v>16815</v>
      </c>
      <c r="J3025" s="7" t="s">
        <v>17111</v>
      </c>
      <c r="K3025" s="7" t="s">
        <v>17112</v>
      </c>
      <c r="L3025" s="201" t="s">
        <v>16835</v>
      </c>
      <c r="M3025" s="194"/>
      <c r="N3025" s="194"/>
    </row>
    <row r="3026">
      <c r="A3026" s="193" t="s">
        <v>20678</v>
      </c>
      <c r="B3026" s="7" t="s">
        <v>17112</v>
      </c>
      <c r="C3026" s="7" t="s">
        <v>17111</v>
      </c>
      <c r="D3026" s="194">
        <v>2013.0</v>
      </c>
      <c r="E3026" s="193"/>
      <c r="F3026" s="195" t="s">
        <v>20679</v>
      </c>
      <c r="G3026" s="196">
        <v>2.130191602E9</v>
      </c>
      <c r="H3026" s="197">
        <v>19.14</v>
      </c>
      <c r="I3026" s="7" t="s">
        <v>16815</v>
      </c>
      <c r="J3026" s="7" t="s">
        <v>17112</v>
      </c>
      <c r="K3026" s="7" t="s">
        <v>17111</v>
      </c>
      <c r="L3026" s="198" t="s">
        <v>65</v>
      </c>
      <c r="M3026" s="194"/>
      <c r="N3026" s="194"/>
    </row>
    <row r="3027">
      <c r="A3027" s="193" t="s">
        <v>20680</v>
      </c>
      <c r="B3027" s="7" t="s">
        <v>16582</v>
      </c>
      <c r="C3027" s="7" t="s">
        <v>16930</v>
      </c>
      <c r="D3027" s="194">
        <v>2013.0</v>
      </c>
      <c r="E3027" s="193"/>
      <c r="F3027" s="195" t="s">
        <v>20681</v>
      </c>
      <c r="G3027" s="196">
        <v>2.128296261E9</v>
      </c>
      <c r="H3027" s="197">
        <v>32.93</v>
      </c>
      <c r="I3027" s="7" t="s">
        <v>16815</v>
      </c>
      <c r="J3027" s="7" t="s">
        <v>16582</v>
      </c>
      <c r="K3027" s="7" t="s">
        <v>16930</v>
      </c>
      <c r="L3027" s="198" t="s">
        <v>65</v>
      </c>
      <c r="M3027" s="194"/>
      <c r="N3027" s="194"/>
    </row>
    <row r="3028">
      <c r="A3028" s="193" t="s">
        <v>20680</v>
      </c>
      <c r="B3028" s="7" t="s">
        <v>16930</v>
      </c>
      <c r="C3028" s="7" t="s">
        <v>16582</v>
      </c>
      <c r="D3028" s="194">
        <v>2013.0</v>
      </c>
      <c r="E3028" s="193"/>
      <c r="F3028" s="195" t="s">
        <v>20681</v>
      </c>
      <c r="G3028" s="200">
        <v>2.128296261E9</v>
      </c>
      <c r="H3028" s="197">
        <v>32.93</v>
      </c>
      <c r="I3028" s="7" t="s">
        <v>16815</v>
      </c>
      <c r="J3028" s="7" t="s">
        <v>16930</v>
      </c>
      <c r="K3028" s="7" t="s">
        <v>16582</v>
      </c>
      <c r="L3028" s="201" t="s">
        <v>16835</v>
      </c>
      <c r="M3028" s="194"/>
      <c r="N3028" s="194"/>
    </row>
    <row r="3029">
      <c r="A3029" s="193" t="s">
        <v>20682</v>
      </c>
      <c r="B3029" s="7" t="s">
        <v>17111</v>
      </c>
      <c r="C3029" s="7" t="s">
        <v>17112</v>
      </c>
      <c r="D3029" s="194">
        <v>2016.0</v>
      </c>
      <c r="E3029" s="193"/>
      <c r="F3029" s="195" t="s">
        <v>20683</v>
      </c>
      <c r="G3029" s="200">
        <v>2.125419114E9</v>
      </c>
      <c r="H3029" s="197">
        <v>75.8</v>
      </c>
      <c r="I3029" s="7" t="s">
        <v>16815</v>
      </c>
      <c r="J3029" s="7" t="s">
        <v>17111</v>
      </c>
      <c r="K3029" s="7" t="s">
        <v>17112</v>
      </c>
      <c r="L3029" s="201" t="s">
        <v>16835</v>
      </c>
      <c r="M3029" s="194"/>
      <c r="N3029" s="194"/>
    </row>
    <row r="3030">
      <c r="A3030" s="193" t="s">
        <v>20682</v>
      </c>
      <c r="B3030" s="7" t="s">
        <v>17112</v>
      </c>
      <c r="C3030" s="7" t="s">
        <v>17111</v>
      </c>
      <c r="D3030" s="194">
        <v>2016.0</v>
      </c>
      <c r="E3030" s="193"/>
      <c r="F3030" s="195" t="s">
        <v>20683</v>
      </c>
      <c r="G3030" s="196">
        <v>2.125419114E9</v>
      </c>
      <c r="H3030" s="197">
        <v>75.8</v>
      </c>
      <c r="I3030" s="7" t="s">
        <v>16815</v>
      </c>
      <c r="J3030" s="7" t="s">
        <v>17112</v>
      </c>
      <c r="K3030" s="7" t="s">
        <v>17111</v>
      </c>
      <c r="L3030" s="198" t="s">
        <v>65</v>
      </c>
      <c r="M3030" s="194"/>
      <c r="N3030" s="194"/>
    </row>
    <row r="3031">
      <c r="A3031" s="193" t="s">
        <v>20684</v>
      </c>
      <c r="B3031" s="7" t="s">
        <v>158</v>
      </c>
      <c r="C3031" s="7" t="s">
        <v>16899</v>
      </c>
      <c r="D3031" s="194">
        <v>1999.0</v>
      </c>
      <c r="E3031" s="193"/>
      <c r="F3031" s="195" t="s">
        <v>20685</v>
      </c>
      <c r="G3031" s="196">
        <v>2.124962138E9</v>
      </c>
      <c r="H3031" s="197">
        <v>3.53</v>
      </c>
      <c r="I3031" s="7" t="s">
        <v>17098</v>
      </c>
      <c r="J3031" s="7" t="s">
        <v>158</v>
      </c>
      <c r="K3031" s="7" t="s">
        <v>16899</v>
      </c>
      <c r="L3031" s="198" t="s">
        <v>65</v>
      </c>
      <c r="M3031" s="194"/>
      <c r="N3031" s="194"/>
    </row>
    <row r="3032">
      <c r="A3032" s="193" t="s">
        <v>20686</v>
      </c>
      <c r="B3032" s="7" t="s">
        <v>16582</v>
      </c>
      <c r="C3032" s="7" t="s">
        <v>16817</v>
      </c>
      <c r="D3032" s="199"/>
      <c r="E3032" s="193"/>
      <c r="F3032" s="195" t="s">
        <v>20687</v>
      </c>
      <c r="G3032" s="196">
        <v>2.124611416E9</v>
      </c>
      <c r="H3032" s="197">
        <v>3.64</v>
      </c>
      <c r="I3032" s="7" t="s">
        <v>16815</v>
      </c>
      <c r="J3032" s="7" t="s">
        <v>16582</v>
      </c>
      <c r="K3032" s="7" t="s">
        <v>16817</v>
      </c>
      <c r="L3032" s="198" t="s">
        <v>65</v>
      </c>
      <c r="M3032" s="199"/>
      <c r="N3032" s="199"/>
    </row>
    <row r="3033">
      <c r="A3033" s="193" t="s">
        <v>20686</v>
      </c>
      <c r="B3033" s="7" t="s">
        <v>16817</v>
      </c>
      <c r="C3033" s="7" t="s">
        <v>16582</v>
      </c>
      <c r="D3033" s="199"/>
      <c r="E3033" s="193"/>
      <c r="F3033" s="195" t="s">
        <v>20687</v>
      </c>
      <c r="G3033" s="200">
        <v>2.124611416E9</v>
      </c>
      <c r="H3033" s="197">
        <v>3.64</v>
      </c>
      <c r="I3033" s="7" t="s">
        <v>16815</v>
      </c>
      <c r="J3033" s="7" t="s">
        <v>16817</v>
      </c>
      <c r="K3033" s="7" t="s">
        <v>16582</v>
      </c>
      <c r="L3033" s="201" t="s">
        <v>16835</v>
      </c>
      <c r="M3033" s="199"/>
      <c r="N3033" s="199"/>
    </row>
    <row r="3034">
      <c r="A3034" s="193" t="s">
        <v>20688</v>
      </c>
      <c r="B3034" s="7" t="s">
        <v>187</v>
      </c>
      <c r="C3034" s="7" t="s">
        <v>18633</v>
      </c>
      <c r="D3034" s="194">
        <v>2021.0</v>
      </c>
      <c r="E3034" s="193"/>
      <c r="F3034" s="195" t="s">
        <v>20689</v>
      </c>
      <c r="G3034" s="196">
        <v>2.123988025E9</v>
      </c>
      <c r="H3034" s="197">
        <v>5.61</v>
      </c>
      <c r="I3034" s="7" t="s">
        <v>16815</v>
      </c>
      <c r="J3034" s="7" t="s">
        <v>187</v>
      </c>
      <c r="K3034" s="7" t="s">
        <v>18633</v>
      </c>
      <c r="L3034" s="198" t="s">
        <v>65</v>
      </c>
      <c r="M3034" s="194"/>
      <c r="N3034" s="194"/>
    </row>
    <row r="3035">
      <c r="A3035" s="193" t="s">
        <v>20690</v>
      </c>
      <c r="B3035" s="7" t="s">
        <v>169</v>
      </c>
      <c r="C3035" s="7" t="s">
        <v>17022</v>
      </c>
      <c r="D3035" s="194">
        <v>2020.0</v>
      </c>
      <c r="E3035" s="193"/>
      <c r="F3035" s="195" t="s">
        <v>20691</v>
      </c>
      <c r="G3035" s="196">
        <v>2.123326159E9</v>
      </c>
      <c r="H3035" s="197">
        <v>4.37</v>
      </c>
      <c r="I3035" s="7" t="s">
        <v>16815</v>
      </c>
      <c r="J3035" s="7" t="s">
        <v>169</v>
      </c>
      <c r="K3035" s="7" t="s">
        <v>17022</v>
      </c>
      <c r="L3035" s="198" t="s">
        <v>65</v>
      </c>
      <c r="M3035" s="194"/>
      <c r="N3035" s="194"/>
    </row>
    <row r="3036">
      <c r="A3036" s="193" t="s">
        <v>20692</v>
      </c>
      <c r="B3036" s="7" t="s">
        <v>158</v>
      </c>
      <c r="C3036" s="7" t="s">
        <v>16920</v>
      </c>
      <c r="D3036" s="194">
        <v>2012.0</v>
      </c>
      <c r="E3036" s="193"/>
      <c r="F3036" s="195" t="s">
        <v>20693</v>
      </c>
      <c r="G3036" s="196">
        <v>2.119659107E9</v>
      </c>
      <c r="H3036" s="197">
        <v>48.62</v>
      </c>
      <c r="I3036" s="7" t="s">
        <v>16897</v>
      </c>
      <c r="J3036" s="7" t="s">
        <v>158</v>
      </c>
      <c r="K3036" s="7" t="s">
        <v>16920</v>
      </c>
      <c r="L3036" s="198" t="s">
        <v>65</v>
      </c>
      <c r="M3036" s="194"/>
      <c r="N3036" s="194"/>
    </row>
    <row r="3037">
      <c r="A3037" s="193" t="s">
        <v>20692</v>
      </c>
      <c r="B3037" s="7" t="s">
        <v>16920</v>
      </c>
      <c r="C3037" s="7" t="s">
        <v>158</v>
      </c>
      <c r="D3037" s="194">
        <v>2012.0</v>
      </c>
      <c r="E3037" s="193"/>
      <c r="F3037" s="195" t="s">
        <v>20693</v>
      </c>
      <c r="G3037" s="200">
        <v>2.119659107E9</v>
      </c>
      <c r="H3037" s="197">
        <v>48.62</v>
      </c>
      <c r="I3037" s="7" t="s">
        <v>16815</v>
      </c>
      <c r="J3037" s="7" t="s">
        <v>16920</v>
      </c>
      <c r="K3037" s="7" t="s">
        <v>158</v>
      </c>
      <c r="L3037" s="201" t="s">
        <v>16835</v>
      </c>
      <c r="M3037" s="194"/>
      <c r="N3037" s="194"/>
    </row>
    <row r="3038">
      <c r="A3038" s="193" t="s">
        <v>20694</v>
      </c>
      <c r="B3038" s="7" t="s">
        <v>16582</v>
      </c>
      <c r="C3038" s="7" t="s">
        <v>16828</v>
      </c>
      <c r="D3038" s="194">
        <v>2020.0</v>
      </c>
      <c r="E3038" s="193"/>
      <c r="F3038" s="195" t="s">
        <v>20695</v>
      </c>
      <c r="G3038" s="196">
        <v>2.118542885E9</v>
      </c>
      <c r="H3038" s="197">
        <v>14.01</v>
      </c>
      <c r="I3038" s="7" t="s">
        <v>16815</v>
      </c>
      <c r="J3038" s="7" t="s">
        <v>16582</v>
      </c>
      <c r="K3038" s="7" t="s">
        <v>16828</v>
      </c>
      <c r="L3038" s="198" t="s">
        <v>65</v>
      </c>
      <c r="M3038" s="194"/>
      <c r="N3038" s="194"/>
    </row>
    <row r="3039">
      <c r="A3039" s="193" t="s">
        <v>20696</v>
      </c>
      <c r="B3039" s="7" t="s">
        <v>16885</v>
      </c>
      <c r="C3039" s="7" t="s">
        <v>17726</v>
      </c>
      <c r="D3039" s="199"/>
      <c r="E3039" s="193"/>
      <c r="F3039" s="195" t="s">
        <v>20697</v>
      </c>
      <c r="G3039" s="196">
        <v>2.113875359E9</v>
      </c>
      <c r="H3039" s="197">
        <v>10.42</v>
      </c>
      <c r="I3039" s="7" t="s">
        <v>16888</v>
      </c>
      <c r="J3039" s="7" t="s">
        <v>16885</v>
      </c>
      <c r="K3039" s="7" t="s">
        <v>17726</v>
      </c>
      <c r="L3039" s="198" t="s">
        <v>65</v>
      </c>
      <c r="M3039" s="199"/>
      <c r="N3039" s="199"/>
    </row>
    <row r="3040">
      <c r="A3040" s="193" t="s">
        <v>20696</v>
      </c>
      <c r="B3040" s="7" t="s">
        <v>17726</v>
      </c>
      <c r="C3040" s="7" t="s">
        <v>16885</v>
      </c>
      <c r="D3040" s="199"/>
      <c r="E3040" s="193"/>
      <c r="F3040" s="195" t="s">
        <v>20697</v>
      </c>
      <c r="G3040" s="200">
        <v>2.113875359E9</v>
      </c>
      <c r="H3040" s="197">
        <v>10.42</v>
      </c>
      <c r="I3040" s="7" t="s">
        <v>16815</v>
      </c>
      <c r="J3040" s="7" t="s">
        <v>17726</v>
      </c>
      <c r="K3040" s="7" t="s">
        <v>16885</v>
      </c>
      <c r="L3040" s="201" t="s">
        <v>16835</v>
      </c>
      <c r="M3040" s="199"/>
      <c r="N3040" s="199"/>
    </row>
    <row r="3041">
      <c r="A3041" s="193" t="s">
        <v>20698</v>
      </c>
      <c r="B3041" s="7" t="s">
        <v>187</v>
      </c>
      <c r="C3041" s="7" t="s">
        <v>16846</v>
      </c>
      <c r="D3041" s="199"/>
      <c r="E3041" s="193"/>
      <c r="F3041" s="195" t="s">
        <v>20699</v>
      </c>
      <c r="G3041" s="196">
        <v>2.113405052E9</v>
      </c>
      <c r="H3041" s="197">
        <v>1.78</v>
      </c>
      <c r="I3041" s="7" t="s">
        <v>16815</v>
      </c>
      <c r="J3041" s="7" t="s">
        <v>187</v>
      </c>
      <c r="K3041" s="7" t="s">
        <v>16846</v>
      </c>
      <c r="L3041" s="198" t="s">
        <v>65</v>
      </c>
      <c r="M3041" s="199"/>
      <c r="N3041" s="199"/>
    </row>
    <row r="3042">
      <c r="A3042" s="193" t="s">
        <v>20700</v>
      </c>
      <c r="B3042" s="7" t="s">
        <v>169</v>
      </c>
      <c r="C3042" s="7" t="s">
        <v>17619</v>
      </c>
      <c r="D3042" s="199"/>
      <c r="E3042" s="193"/>
      <c r="F3042" s="195" t="s">
        <v>20701</v>
      </c>
      <c r="G3042" s="196">
        <v>2.112806667E9</v>
      </c>
      <c r="H3042" s="197">
        <v>34.23</v>
      </c>
      <c r="I3042" s="7" t="s">
        <v>16815</v>
      </c>
      <c r="J3042" s="7" t="s">
        <v>169</v>
      </c>
      <c r="K3042" s="7" t="s">
        <v>17619</v>
      </c>
      <c r="L3042" s="198" t="s">
        <v>65</v>
      </c>
      <c r="M3042" s="199"/>
      <c r="N3042" s="199"/>
    </row>
    <row r="3043">
      <c r="A3043" s="193" t="s">
        <v>20702</v>
      </c>
      <c r="B3043" s="7" t="s">
        <v>175</v>
      </c>
      <c r="C3043" s="7" t="s">
        <v>16942</v>
      </c>
      <c r="D3043" s="194">
        <v>1993.0</v>
      </c>
      <c r="E3043" s="193"/>
      <c r="F3043" s="195" t="s">
        <v>20703</v>
      </c>
      <c r="G3043" s="196">
        <v>2.111115048E9</v>
      </c>
      <c r="H3043" s="197">
        <v>64.45</v>
      </c>
      <c r="I3043" s="7" t="s">
        <v>17872</v>
      </c>
      <c r="J3043" s="7" t="s">
        <v>175</v>
      </c>
      <c r="K3043" s="7" t="s">
        <v>16942</v>
      </c>
      <c r="L3043" s="198" t="s">
        <v>65</v>
      </c>
      <c r="M3043" s="194"/>
      <c r="N3043" s="194"/>
    </row>
    <row r="3044">
      <c r="A3044" s="193" t="s">
        <v>20704</v>
      </c>
      <c r="D3044" s="194">
        <v>2022.0</v>
      </c>
      <c r="E3044" s="193"/>
      <c r="F3044" s="195" t="s">
        <v>20705</v>
      </c>
      <c r="G3044" s="196">
        <v>2.109528697E9</v>
      </c>
      <c r="H3044" s="197">
        <v>18.03</v>
      </c>
      <c r="I3044" s="7" t="s">
        <v>16815</v>
      </c>
      <c r="L3044" s="198" t="s">
        <v>65</v>
      </c>
      <c r="M3044" s="194"/>
      <c r="N3044" s="194"/>
    </row>
    <row r="3045">
      <c r="A3045" s="193" t="s">
        <v>20704</v>
      </c>
      <c r="D3045" s="194">
        <v>2022.0</v>
      </c>
      <c r="E3045" s="193"/>
      <c r="F3045" s="195" t="s">
        <v>20705</v>
      </c>
      <c r="G3045" s="200">
        <v>2.109528697E9</v>
      </c>
      <c r="H3045" s="197">
        <v>18.03</v>
      </c>
      <c r="L3045" s="201" t="s">
        <v>16835</v>
      </c>
      <c r="M3045" s="194"/>
      <c r="N3045" s="194"/>
    </row>
    <row r="3046">
      <c r="A3046" s="193" t="s">
        <v>20706</v>
      </c>
      <c r="B3046" s="7" t="s">
        <v>175</v>
      </c>
      <c r="C3046" s="7" t="s">
        <v>17350</v>
      </c>
      <c r="D3046" s="199"/>
      <c r="E3046" s="193"/>
      <c r="F3046" s="195" t="s">
        <v>20707</v>
      </c>
      <c r="G3046" s="196">
        <v>2.106240012E9</v>
      </c>
      <c r="H3046" s="197">
        <v>66.89</v>
      </c>
      <c r="I3046" s="7" t="s">
        <v>16908</v>
      </c>
      <c r="J3046" s="7" t="s">
        <v>175</v>
      </c>
      <c r="K3046" s="7" t="s">
        <v>17350</v>
      </c>
      <c r="L3046" s="198" t="s">
        <v>65</v>
      </c>
      <c r="M3046" s="199"/>
      <c r="N3046" s="199"/>
    </row>
    <row r="3047">
      <c r="A3047" s="193" t="s">
        <v>20708</v>
      </c>
      <c r="B3047" s="7" t="s">
        <v>175</v>
      </c>
      <c r="C3047" s="7" t="s">
        <v>19996</v>
      </c>
      <c r="D3047" s="199"/>
      <c r="E3047" s="193"/>
      <c r="F3047" s="195" t="s">
        <v>20709</v>
      </c>
      <c r="G3047" s="196">
        <v>2.104084108E9</v>
      </c>
      <c r="H3047" s="197">
        <v>39.2</v>
      </c>
      <c r="I3047" s="7" t="s">
        <v>16908</v>
      </c>
      <c r="J3047" s="7" t="s">
        <v>175</v>
      </c>
      <c r="K3047" s="7" t="s">
        <v>19996</v>
      </c>
      <c r="L3047" s="198" t="s">
        <v>65</v>
      </c>
      <c r="M3047" s="199"/>
      <c r="N3047" s="199"/>
    </row>
    <row r="3048">
      <c r="A3048" s="193" t="s">
        <v>20710</v>
      </c>
      <c r="B3048" s="7" t="s">
        <v>16582</v>
      </c>
      <c r="C3048" s="7" t="s">
        <v>16828</v>
      </c>
      <c r="D3048" s="194">
        <v>2010.0</v>
      </c>
      <c r="E3048" s="193"/>
      <c r="F3048" s="195" t="s">
        <v>20711</v>
      </c>
      <c r="G3048" s="196">
        <v>2.102141395E9</v>
      </c>
      <c r="H3048" s="197">
        <v>26.88</v>
      </c>
      <c r="I3048" s="7" t="s">
        <v>16815</v>
      </c>
      <c r="J3048" s="7" t="s">
        <v>16582</v>
      </c>
      <c r="K3048" s="7" t="s">
        <v>16828</v>
      </c>
      <c r="L3048" s="198" t="s">
        <v>65</v>
      </c>
      <c r="M3048" s="194"/>
      <c r="N3048" s="194"/>
    </row>
    <row r="3049">
      <c r="A3049" s="193" t="s">
        <v>20710</v>
      </c>
      <c r="B3049" s="7" t="s">
        <v>16828</v>
      </c>
      <c r="C3049" s="7" t="s">
        <v>16582</v>
      </c>
      <c r="D3049" s="194">
        <v>2010.0</v>
      </c>
      <c r="E3049" s="193"/>
      <c r="F3049" s="195" t="s">
        <v>20711</v>
      </c>
      <c r="G3049" s="200">
        <v>2.102141395E9</v>
      </c>
      <c r="H3049" s="197">
        <v>26.88</v>
      </c>
      <c r="I3049" s="7" t="s">
        <v>16815</v>
      </c>
      <c r="J3049" s="7" t="s">
        <v>16828</v>
      </c>
      <c r="K3049" s="7" t="s">
        <v>16582</v>
      </c>
      <c r="L3049" s="201" t="s">
        <v>16835</v>
      </c>
      <c r="M3049" s="194"/>
      <c r="N3049" s="194"/>
    </row>
    <row r="3050">
      <c r="A3050" s="193" t="s">
        <v>20712</v>
      </c>
      <c r="B3050" s="7" t="s">
        <v>169</v>
      </c>
      <c r="C3050" s="7" t="s">
        <v>17475</v>
      </c>
      <c r="D3050" s="199"/>
      <c r="E3050" s="193"/>
      <c r="F3050" s="195" t="s">
        <v>20713</v>
      </c>
      <c r="G3050" s="196">
        <v>2.0975409E9</v>
      </c>
      <c r="H3050" s="197">
        <v>3.51</v>
      </c>
      <c r="I3050" s="7" t="s">
        <v>16815</v>
      </c>
      <c r="J3050" s="7" t="s">
        <v>169</v>
      </c>
      <c r="K3050" s="7" t="s">
        <v>17475</v>
      </c>
      <c r="L3050" s="198" t="s">
        <v>65</v>
      </c>
      <c r="M3050" s="199"/>
      <c r="N3050" s="199"/>
    </row>
    <row r="3051">
      <c r="A3051" s="193" t="s">
        <v>20712</v>
      </c>
      <c r="B3051" s="7" t="s">
        <v>17475</v>
      </c>
      <c r="C3051" s="7" t="s">
        <v>169</v>
      </c>
      <c r="D3051" s="199"/>
      <c r="E3051" s="193"/>
      <c r="F3051" s="195" t="s">
        <v>20713</v>
      </c>
      <c r="G3051" s="200">
        <v>2.0975409E9</v>
      </c>
      <c r="H3051" s="197">
        <v>3.51</v>
      </c>
      <c r="I3051" s="7" t="s">
        <v>16815</v>
      </c>
      <c r="J3051" s="7" t="s">
        <v>17475</v>
      </c>
      <c r="K3051" s="7" t="s">
        <v>169</v>
      </c>
      <c r="L3051" s="201" t="s">
        <v>16835</v>
      </c>
      <c r="M3051" s="199"/>
      <c r="N3051" s="199"/>
    </row>
    <row r="3052">
      <c r="A3052" s="193" t="s">
        <v>20714</v>
      </c>
      <c r="B3052" s="7" t="s">
        <v>16838</v>
      </c>
      <c r="C3052" s="7" t="s">
        <v>16837</v>
      </c>
      <c r="D3052" s="194">
        <v>2018.0</v>
      </c>
      <c r="E3052" s="193"/>
      <c r="F3052" s="195" t="s">
        <v>20715</v>
      </c>
      <c r="G3052" s="196">
        <v>2.09163641E9</v>
      </c>
      <c r="H3052" s="197">
        <v>36.23</v>
      </c>
      <c r="I3052" s="7" t="s">
        <v>16924</v>
      </c>
      <c r="J3052" s="7" t="s">
        <v>16838</v>
      </c>
      <c r="K3052" s="7" t="s">
        <v>16837</v>
      </c>
      <c r="L3052" s="198" t="s">
        <v>65</v>
      </c>
      <c r="M3052" s="194"/>
      <c r="N3052" s="194"/>
    </row>
    <row r="3053">
      <c r="A3053" s="193" t="s">
        <v>20714</v>
      </c>
      <c r="B3053" s="7" t="s">
        <v>16837</v>
      </c>
      <c r="C3053" s="7" t="s">
        <v>16838</v>
      </c>
      <c r="D3053" s="194">
        <v>2018.0</v>
      </c>
      <c r="E3053" s="193"/>
      <c r="F3053" s="195" t="s">
        <v>20715</v>
      </c>
      <c r="G3053" s="200">
        <v>2.09163641E9</v>
      </c>
      <c r="H3053" s="197">
        <v>36.23</v>
      </c>
      <c r="I3053" s="7" t="s">
        <v>16815</v>
      </c>
      <c r="J3053" s="7" t="s">
        <v>16837</v>
      </c>
      <c r="K3053" s="7" t="s">
        <v>16838</v>
      </c>
      <c r="L3053" s="201" t="s">
        <v>16835</v>
      </c>
      <c r="M3053" s="194"/>
      <c r="N3053" s="194"/>
    </row>
    <row r="3054">
      <c r="A3054" s="193" t="s">
        <v>20716</v>
      </c>
      <c r="B3054" s="7" t="s">
        <v>175</v>
      </c>
      <c r="C3054" s="7" t="s">
        <v>17452</v>
      </c>
      <c r="D3054" s="194">
        <v>2007.0</v>
      </c>
      <c r="E3054" s="193"/>
      <c r="F3054" s="195" t="s">
        <v>20717</v>
      </c>
      <c r="G3054" s="196">
        <v>2.088624E9</v>
      </c>
      <c r="H3054" s="197">
        <v>49.26</v>
      </c>
      <c r="I3054" s="7" t="s">
        <v>17270</v>
      </c>
      <c r="J3054" s="7" t="s">
        <v>175</v>
      </c>
      <c r="K3054" s="7" t="s">
        <v>17452</v>
      </c>
      <c r="L3054" s="198" t="s">
        <v>65</v>
      </c>
      <c r="M3054" s="194"/>
      <c r="N3054" s="194"/>
    </row>
    <row r="3055">
      <c r="A3055" s="193" t="s">
        <v>20716</v>
      </c>
      <c r="B3055" s="7" t="s">
        <v>17452</v>
      </c>
      <c r="C3055" s="7" t="s">
        <v>175</v>
      </c>
      <c r="D3055" s="194">
        <v>2007.0</v>
      </c>
      <c r="E3055" s="193"/>
      <c r="F3055" s="195" t="s">
        <v>20717</v>
      </c>
      <c r="G3055" s="200">
        <v>2.088624E9</v>
      </c>
      <c r="H3055" s="197">
        <v>49.26</v>
      </c>
      <c r="I3055" s="7" t="s">
        <v>16815</v>
      </c>
      <c r="J3055" s="7" t="s">
        <v>17452</v>
      </c>
      <c r="K3055" s="7" t="s">
        <v>175</v>
      </c>
      <c r="L3055" s="201" t="s">
        <v>16835</v>
      </c>
      <c r="M3055" s="194"/>
      <c r="N3055" s="194"/>
    </row>
    <row r="3056">
      <c r="A3056" s="193" t="s">
        <v>20718</v>
      </c>
      <c r="B3056" s="7" t="s">
        <v>16910</v>
      </c>
      <c r="C3056" s="7" t="s">
        <v>16911</v>
      </c>
      <c r="D3056" s="199"/>
      <c r="E3056" s="193"/>
      <c r="F3056" s="195" t="s">
        <v>20719</v>
      </c>
      <c r="G3056" s="196">
        <v>2.088228318E9</v>
      </c>
      <c r="H3056" s="197">
        <v>94.85</v>
      </c>
      <c r="I3056" s="7" t="s">
        <v>16917</v>
      </c>
      <c r="J3056" s="7" t="s">
        <v>16910</v>
      </c>
      <c r="K3056" s="7" t="s">
        <v>16911</v>
      </c>
      <c r="L3056" s="198" t="s">
        <v>65</v>
      </c>
      <c r="M3056" s="199"/>
      <c r="N3056" s="199"/>
    </row>
    <row r="3057">
      <c r="A3057" s="193" t="s">
        <v>20720</v>
      </c>
      <c r="B3057" s="7" t="s">
        <v>169</v>
      </c>
      <c r="C3057" s="7" t="s">
        <v>17757</v>
      </c>
      <c r="D3057" s="194">
        <v>2018.0</v>
      </c>
      <c r="E3057" s="193"/>
      <c r="F3057" s="195" t="s">
        <v>20721</v>
      </c>
      <c r="G3057" s="196">
        <v>2.084818502E9</v>
      </c>
      <c r="H3057" s="197">
        <v>39.54</v>
      </c>
      <c r="I3057" s="7" t="s">
        <v>16815</v>
      </c>
      <c r="J3057" s="7" t="s">
        <v>169</v>
      </c>
      <c r="K3057" s="7" t="s">
        <v>17757</v>
      </c>
      <c r="L3057" s="198" t="s">
        <v>65</v>
      </c>
      <c r="M3057" s="194"/>
      <c r="N3057" s="194"/>
    </row>
    <row r="3058">
      <c r="A3058" s="193" t="s">
        <v>20722</v>
      </c>
      <c r="B3058" s="7" t="s">
        <v>16582</v>
      </c>
      <c r="C3058" s="7" t="s">
        <v>16583</v>
      </c>
      <c r="D3058" s="194">
        <v>2016.0</v>
      </c>
      <c r="E3058" s="193"/>
      <c r="F3058" s="195" t="s">
        <v>20723</v>
      </c>
      <c r="G3058" s="196">
        <v>2.084662117E9</v>
      </c>
      <c r="H3058" s="197">
        <v>10.94</v>
      </c>
      <c r="I3058" s="7" t="s">
        <v>16815</v>
      </c>
      <c r="J3058" s="7" t="s">
        <v>16582</v>
      </c>
      <c r="K3058" s="7" t="s">
        <v>16583</v>
      </c>
      <c r="L3058" s="198" t="s">
        <v>65</v>
      </c>
      <c r="M3058" s="194"/>
      <c r="N3058" s="194"/>
    </row>
    <row r="3059">
      <c r="A3059" s="193" t="s">
        <v>20724</v>
      </c>
      <c r="B3059" s="7" t="s">
        <v>16867</v>
      </c>
      <c r="C3059" s="7" t="s">
        <v>16838</v>
      </c>
      <c r="D3059" s="199"/>
      <c r="E3059" s="193"/>
      <c r="F3059" s="195" t="s">
        <v>20725</v>
      </c>
      <c r="G3059" s="200">
        <v>2.069414622E9</v>
      </c>
      <c r="H3059" s="197">
        <v>52.06</v>
      </c>
      <c r="I3059" s="7" t="s">
        <v>16815</v>
      </c>
      <c r="J3059" s="7" t="s">
        <v>16867</v>
      </c>
      <c r="K3059" s="7" t="s">
        <v>16838</v>
      </c>
      <c r="L3059" s="201" t="s">
        <v>16835</v>
      </c>
      <c r="M3059" s="199"/>
      <c r="N3059" s="199"/>
    </row>
    <row r="3060">
      <c r="A3060" s="193" t="s">
        <v>20724</v>
      </c>
      <c r="B3060" s="7" t="s">
        <v>16838</v>
      </c>
      <c r="C3060" s="7" t="s">
        <v>16867</v>
      </c>
      <c r="D3060" s="199"/>
      <c r="E3060" s="193"/>
      <c r="F3060" s="195" t="s">
        <v>20725</v>
      </c>
      <c r="G3060" s="196">
        <v>2.069414622E9</v>
      </c>
      <c r="H3060" s="197">
        <v>52.06</v>
      </c>
      <c r="I3060" s="7" t="s">
        <v>16815</v>
      </c>
      <c r="J3060" s="7" t="s">
        <v>16838</v>
      </c>
      <c r="K3060" s="7" t="s">
        <v>16867</v>
      </c>
      <c r="L3060" s="198" t="s">
        <v>65</v>
      </c>
      <c r="M3060" s="199"/>
      <c r="N3060" s="199"/>
    </row>
    <row r="3061">
      <c r="A3061" s="193" t="s">
        <v>20726</v>
      </c>
      <c r="B3061" s="7" t="s">
        <v>175</v>
      </c>
      <c r="C3061" s="7" t="s">
        <v>16842</v>
      </c>
      <c r="D3061" s="199"/>
      <c r="E3061" s="193"/>
      <c r="F3061" s="195" t="s">
        <v>20727</v>
      </c>
      <c r="G3061" s="196">
        <v>2.0632458E9</v>
      </c>
      <c r="H3061" s="197">
        <v>8.14</v>
      </c>
      <c r="I3061" s="7" t="s">
        <v>168</v>
      </c>
      <c r="J3061" s="7" t="s">
        <v>175</v>
      </c>
      <c r="K3061" s="7" t="s">
        <v>16842</v>
      </c>
      <c r="L3061" s="198" t="s">
        <v>65</v>
      </c>
      <c r="M3061" s="199"/>
      <c r="N3061" s="199"/>
    </row>
    <row r="3062">
      <c r="A3062" s="193" t="s">
        <v>20728</v>
      </c>
      <c r="B3062" s="7" t="s">
        <v>16919</v>
      </c>
      <c r="C3062" s="7" t="s">
        <v>17048</v>
      </c>
      <c r="D3062" s="194">
        <v>2014.0</v>
      </c>
      <c r="E3062" s="193"/>
      <c r="F3062" s="195" t="s">
        <v>20729</v>
      </c>
      <c r="G3062" s="196">
        <v>2.0612256E9</v>
      </c>
      <c r="H3062" s="197">
        <v>17.76</v>
      </c>
      <c r="I3062" s="7" t="s">
        <v>16815</v>
      </c>
      <c r="J3062" s="7" t="s">
        <v>16919</v>
      </c>
      <c r="K3062" s="7" t="s">
        <v>17048</v>
      </c>
      <c r="L3062" s="198" t="s">
        <v>65</v>
      </c>
      <c r="M3062" s="194"/>
      <c r="N3062" s="194"/>
    </row>
    <row r="3063">
      <c r="A3063" s="193" t="s">
        <v>20730</v>
      </c>
      <c r="B3063" s="7" t="s">
        <v>16838</v>
      </c>
      <c r="C3063" s="7" t="s">
        <v>17019</v>
      </c>
      <c r="D3063" s="199"/>
      <c r="E3063" s="193"/>
      <c r="F3063" s="195" t="s">
        <v>20731</v>
      </c>
      <c r="G3063" s="196">
        <v>2.058681636E9</v>
      </c>
      <c r="H3063" s="197">
        <v>99.0</v>
      </c>
      <c r="I3063" s="7" t="s">
        <v>16815</v>
      </c>
      <c r="J3063" s="7" t="s">
        <v>16838</v>
      </c>
      <c r="K3063" s="7" t="s">
        <v>17019</v>
      </c>
      <c r="L3063" s="198" t="s">
        <v>65</v>
      </c>
      <c r="M3063" s="199"/>
      <c r="N3063" s="199"/>
    </row>
    <row r="3064">
      <c r="A3064" s="193" t="s">
        <v>20732</v>
      </c>
      <c r="B3064" s="7" t="s">
        <v>17629</v>
      </c>
      <c r="C3064" s="7" t="s">
        <v>16899</v>
      </c>
      <c r="D3064" s="194">
        <v>2015.0</v>
      </c>
      <c r="E3064" s="193"/>
      <c r="F3064" s="195" t="s">
        <v>20733</v>
      </c>
      <c r="G3064" s="196">
        <v>2.056776797E9</v>
      </c>
      <c r="H3064" s="197">
        <v>9.44</v>
      </c>
      <c r="I3064" s="7" t="s">
        <v>16815</v>
      </c>
      <c r="J3064" s="7" t="s">
        <v>17629</v>
      </c>
      <c r="K3064" s="7" t="s">
        <v>16899</v>
      </c>
      <c r="L3064" s="198" t="s">
        <v>65</v>
      </c>
      <c r="M3064" s="194"/>
      <c r="N3064" s="194"/>
    </row>
    <row r="3065">
      <c r="A3065" s="193" t="s">
        <v>20734</v>
      </c>
      <c r="B3065" s="7" t="s">
        <v>169</v>
      </c>
      <c r="C3065" s="7" t="s">
        <v>17057</v>
      </c>
      <c r="D3065" s="199"/>
      <c r="E3065" s="193"/>
      <c r="F3065" s="195" t="s">
        <v>20735</v>
      </c>
      <c r="G3065" s="196">
        <v>2.052591058E9</v>
      </c>
      <c r="H3065" s="197">
        <v>66.56</v>
      </c>
      <c r="I3065" s="7" t="s">
        <v>16815</v>
      </c>
      <c r="J3065" s="7" t="s">
        <v>169</v>
      </c>
      <c r="K3065" s="7" t="s">
        <v>17057</v>
      </c>
      <c r="L3065" s="198" t="s">
        <v>65</v>
      </c>
      <c r="M3065" s="199"/>
      <c r="N3065" s="199"/>
    </row>
    <row r="3066">
      <c r="A3066" s="193" t="s">
        <v>20736</v>
      </c>
      <c r="B3066" s="7" t="s">
        <v>16838</v>
      </c>
      <c r="C3066" s="7" t="s">
        <v>17202</v>
      </c>
      <c r="D3066" s="194">
        <v>2021.0</v>
      </c>
      <c r="E3066" s="193"/>
      <c r="F3066" s="195" t="s">
        <v>20737</v>
      </c>
      <c r="G3066" s="196">
        <v>2.050397097E9</v>
      </c>
      <c r="H3066" s="197">
        <v>13.93</v>
      </c>
      <c r="I3066" s="7" t="s">
        <v>16815</v>
      </c>
      <c r="J3066" s="7" t="s">
        <v>16838</v>
      </c>
      <c r="K3066" s="7" t="s">
        <v>17202</v>
      </c>
      <c r="L3066" s="198" t="s">
        <v>65</v>
      </c>
      <c r="M3066" s="194"/>
      <c r="N3066" s="194"/>
    </row>
    <row r="3067">
      <c r="A3067" s="193" t="s">
        <v>20738</v>
      </c>
      <c r="B3067" s="7" t="s">
        <v>16838</v>
      </c>
      <c r="C3067" s="7" t="s">
        <v>17016</v>
      </c>
      <c r="D3067" s="199"/>
      <c r="E3067" s="193"/>
      <c r="F3067" s="195" t="s">
        <v>20739</v>
      </c>
      <c r="G3067" s="196">
        <v>2.047465278E9</v>
      </c>
      <c r="H3067" s="197">
        <v>17.4147</v>
      </c>
      <c r="I3067" s="7" t="s">
        <v>16815</v>
      </c>
      <c r="J3067" s="7" t="s">
        <v>16838</v>
      </c>
      <c r="K3067" s="7" t="s">
        <v>17016</v>
      </c>
      <c r="L3067" s="198" t="s">
        <v>65</v>
      </c>
      <c r="M3067" s="199"/>
      <c r="N3067" s="199"/>
    </row>
    <row r="3068">
      <c r="A3068" s="193" t="s">
        <v>20740</v>
      </c>
      <c r="B3068" s="7" t="s">
        <v>16582</v>
      </c>
      <c r="C3068" s="7" t="s">
        <v>16817</v>
      </c>
      <c r="D3068" s="194">
        <v>2020.0</v>
      </c>
      <c r="E3068" s="193"/>
      <c r="F3068" s="195" t="s">
        <v>20741</v>
      </c>
      <c r="G3068" s="196">
        <v>2.045439253E9</v>
      </c>
      <c r="H3068" s="197">
        <v>16.26</v>
      </c>
      <c r="I3068" s="7" t="s">
        <v>16815</v>
      </c>
      <c r="J3068" s="7" t="s">
        <v>16582</v>
      </c>
      <c r="K3068" s="7" t="s">
        <v>16817</v>
      </c>
      <c r="L3068" s="198" t="s">
        <v>65</v>
      </c>
      <c r="M3068" s="194"/>
      <c r="N3068" s="194"/>
    </row>
    <row r="3069">
      <c r="A3069" s="193" t="s">
        <v>20742</v>
      </c>
      <c r="B3069" s="7" t="s">
        <v>16582</v>
      </c>
      <c r="C3069" s="7" t="s">
        <v>16930</v>
      </c>
      <c r="D3069" s="194">
        <v>2021.0</v>
      </c>
      <c r="E3069" s="193"/>
      <c r="F3069" s="195" t="s">
        <v>20743</v>
      </c>
      <c r="G3069" s="196">
        <v>2.040963816E9</v>
      </c>
      <c r="H3069" s="197">
        <v>10.86</v>
      </c>
      <c r="I3069" s="7" t="s">
        <v>16815</v>
      </c>
      <c r="J3069" s="7" t="s">
        <v>16582</v>
      </c>
      <c r="K3069" s="7" t="s">
        <v>16930</v>
      </c>
      <c r="L3069" s="198" t="s">
        <v>65</v>
      </c>
      <c r="M3069" s="194"/>
      <c r="N3069" s="194"/>
    </row>
    <row r="3070">
      <c r="A3070" s="193" t="s">
        <v>20744</v>
      </c>
      <c r="B3070" s="7" t="s">
        <v>16838</v>
      </c>
      <c r="C3070" s="7" t="s">
        <v>16867</v>
      </c>
      <c r="D3070" s="194">
        <v>2004.0</v>
      </c>
      <c r="E3070" s="193"/>
      <c r="F3070" s="195" t="s">
        <v>20745</v>
      </c>
      <c r="G3070" s="196">
        <v>2.03829124E9</v>
      </c>
      <c r="H3070" s="197">
        <v>37.55</v>
      </c>
      <c r="I3070" s="7" t="s">
        <v>16815</v>
      </c>
      <c r="J3070" s="7" t="s">
        <v>16838</v>
      </c>
      <c r="K3070" s="7" t="s">
        <v>16867</v>
      </c>
      <c r="L3070" s="198" t="s">
        <v>65</v>
      </c>
      <c r="M3070" s="194"/>
      <c r="N3070" s="194"/>
    </row>
    <row r="3071">
      <c r="A3071" s="193" t="s">
        <v>20746</v>
      </c>
      <c r="B3071" s="7" t="s">
        <v>16838</v>
      </c>
      <c r="C3071" s="7" t="s">
        <v>17202</v>
      </c>
      <c r="D3071" s="194">
        <v>2018.0</v>
      </c>
      <c r="E3071" s="193"/>
      <c r="F3071" s="195" t="s">
        <v>20747</v>
      </c>
      <c r="G3071" s="196">
        <v>2.03511399E9</v>
      </c>
      <c r="H3071" s="197">
        <v>30.84</v>
      </c>
      <c r="I3071" s="7" t="s">
        <v>16815</v>
      </c>
      <c r="J3071" s="7" t="s">
        <v>16838</v>
      </c>
      <c r="K3071" s="7" t="s">
        <v>17202</v>
      </c>
      <c r="L3071" s="198" t="s">
        <v>65</v>
      </c>
      <c r="M3071" s="194"/>
      <c r="N3071" s="194"/>
    </row>
    <row r="3072">
      <c r="A3072" s="193" t="s">
        <v>20748</v>
      </c>
      <c r="D3072" s="194">
        <v>2021.0</v>
      </c>
      <c r="E3072" s="193"/>
      <c r="F3072" s="195" t="s">
        <v>20749</v>
      </c>
      <c r="G3072" s="196">
        <v>2.028891528E9</v>
      </c>
      <c r="H3072" s="197">
        <v>6.46</v>
      </c>
      <c r="I3072" s="7" t="s">
        <v>16815</v>
      </c>
      <c r="L3072" s="198" t="s">
        <v>65</v>
      </c>
      <c r="M3072" s="194"/>
      <c r="N3072" s="194"/>
    </row>
    <row r="3073">
      <c r="A3073" s="193" t="s">
        <v>20748</v>
      </c>
      <c r="D3073" s="194">
        <v>2021.0</v>
      </c>
      <c r="E3073" s="193"/>
      <c r="F3073" s="195" t="s">
        <v>20749</v>
      </c>
      <c r="G3073" s="200">
        <v>2.028891528E9</v>
      </c>
      <c r="H3073" s="197">
        <v>6.46</v>
      </c>
      <c r="L3073" s="201" t="s">
        <v>16835</v>
      </c>
      <c r="M3073" s="194"/>
      <c r="N3073" s="194"/>
    </row>
    <row r="3074">
      <c r="A3074" s="193" t="s">
        <v>20750</v>
      </c>
      <c r="B3074" s="7" t="s">
        <v>175</v>
      </c>
      <c r="C3074" s="7" t="s">
        <v>17457</v>
      </c>
      <c r="D3074" s="194">
        <v>2021.0</v>
      </c>
      <c r="E3074" s="193"/>
      <c r="F3074" s="195" t="s">
        <v>20751</v>
      </c>
      <c r="G3074" s="196">
        <v>2.026143953E9</v>
      </c>
      <c r="H3074" s="197">
        <v>44.65</v>
      </c>
      <c r="I3074" s="193" t="s">
        <v>16908</v>
      </c>
      <c r="J3074" s="7" t="s">
        <v>175</v>
      </c>
      <c r="K3074" s="7" t="s">
        <v>17457</v>
      </c>
      <c r="L3074" s="198" t="s">
        <v>65</v>
      </c>
      <c r="M3074" s="194"/>
      <c r="N3074" s="194"/>
    </row>
    <row r="3075">
      <c r="A3075" s="193" t="s">
        <v>20750</v>
      </c>
      <c r="B3075" s="7" t="s">
        <v>17457</v>
      </c>
      <c r="C3075" s="7" t="s">
        <v>175</v>
      </c>
      <c r="D3075" s="194">
        <v>2021.0</v>
      </c>
      <c r="E3075" s="193"/>
      <c r="F3075" s="195" t="s">
        <v>20751</v>
      </c>
      <c r="G3075" s="200">
        <v>2.026143953E9</v>
      </c>
      <c r="H3075" s="197">
        <v>44.65</v>
      </c>
      <c r="I3075" s="7" t="s">
        <v>16815</v>
      </c>
      <c r="J3075" s="7" t="s">
        <v>17457</v>
      </c>
      <c r="K3075" s="7" t="s">
        <v>175</v>
      </c>
      <c r="L3075" s="201" t="s">
        <v>16835</v>
      </c>
      <c r="M3075" s="194"/>
      <c r="N3075" s="194"/>
    </row>
    <row r="3076">
      <c r="A3076" s="193" t="s">
        <v>20752</v>
      </c>
      <c r="B3076" s="7" t="s">
        <v>16957</v>
      </c>
      <c r="C3076" s="7" t="s">
        <v>16926</v>
      </c>
      <c r="D3076" s="199"/>
      <c r="E3076" s="193"/>
      <c r="F3076" s="195" t="s">
        <v>20753</v>
      </c>
      <c r="G3076" s="200">
        <v>2.02496E9</v>
      </c>
      <c r="H3076" s="197">
        <v>17.92</v>
      </c>
      <c r="I3076" s="7" t="s">
        <v>16815</v>
      </c>
      <c r="J3076" s="7" t="s">
        <v>16957</v>
      </c>
      <c r="K3076" s="7" t="s">
        <v>16926</v>
      </c>
      <c r="L3076" s="201" t="s">
        <v>16835</v>
      </c>
      <c r="M3076" s="199"/>
      <c r="N3076" s="199"/>
    </row>
    <row r="3077">
      <c r="A3077" s="193" t="s">
        <v>20752</v>
      </c>
      <c r="B3077" s="7" t="s">
        <v>16926</v>
      </c>
      <c r="C3077" s="7" t="s">
        <v>16957</v>
      </c>
      <c r="D3077" s="199"/>
      <c r="E3077" s="193"/>
      <c r="F3077" s="195" t="s">
        <v>20753</v>
      </c>
      <c r="G3077" s="196">
        <v>2.02496E9</v>
      </c>
      <c r="H3077" s="197">
        <v>17.92</v>
      </c>
      <c r="I3077" s="7" t="s">
        <v>16815</v>
      </c>
      <c r="J3077" s="7" t="s">
        <v>16926</v>
      </c>
      <c r="K3077" s="7" t="s">
        <v>16957</v>
      </c>
      <c r="L3077" s="198" t="s">
        <v>65</v>
      </c>
      <c r="M3077" s="199"/>
      <c r="N3077" s="199"/>
    </row>
    <row r="3078">
      <c r="A3078" s="193" t="s">
        <v>20754</v>
      </c>
      <c r="B3078" s="7" t="s">
        <v>158</v>
      </c>
      <c r="C3078" s="7" t="s">
        <v>16864</v>
      </c>
      <c r="D3078" s="194">
        <v>2017.0</v>
      </c>
      <c r="E3078" s="193"/>
      <c r="F3078" s="195" t="s">
        <v>20755</v>
      </c>
      <c r="G3078" s="196">
        <v>2.024094978E9</v>
      </c>
      <c r="H3078" s="197">
        <v>29.61</v>
      </c>
      <c r="I3078" s="7" t="s">
        <v>17419</v>
      </c>
      <c r="J3078" s="7" t="s">
        <v>158</v>
      </c>
      <c r="K3078" s="7" t="s">
        <v>16864</v>
      </c>
      <c r="L3078" s="198" t="s">
        <v>65</v>
      </c>
      <c r="M3078" s="194"/>
      <c r="N3078" s="194"/>
    </row>
    <row r="3079">
      <c r="A3079" s="193" t="s">
        <v>20754</v>
      </c>
      <c r="B3079" s="7" t="s">
        <v>16864</v>
      </c>
      <c r="C3079" s="7" t="s">
        <v>158</v>
      </c>
      <c r="D3079" s="194">
        <v>2017.0</v>
      </c>
      <c r="E3079" s="193"/>
      <c r="F3079" s="195" t="s">
        <v>20755</v>
      </c>
      <c r="G3079" s="200">
        <v>2.024094978E9</v>
      </c>
      <c r="H3079" s="197">
        <v>29.61</v>
      </c>
      <c r="I3079" s="7" t="s">
        <v>16815</v>
      </c>
      <c r="J3079" s="7" t="s">
        <v>16864</v>
      </c>
      <c r="K3079" s="7" t="s">
        <v>158</v>
      </c>
      <c r="L3079" s="201" t="s">
        <v>16835</v>
      </c>
      <c r="M3079" s="194"/>
      <c r="N3079" s="194"/>
    </row>
    <row r="3080">
      <c r="A3080" s="193" t="s">
        <v>20756</v>
      </c>
      <c r="B3080" s="7" t="s">
        <v>16582</v>
      </c>
      <c r="C3080" s="7" t="s">
        <v>17435</v>
      </c>
      <c r="D3080" s="194">
        <v>2019.0</v>
      </c>
      <c r="E3080" s="193"/>
      <c r="F3080" s="195" t="s">
        <v>20757</v>
      </c>
      <c r="G3080" s="196">
        <v>2.023921837E9</v>
      </c>
      <c r="H3080" s="197">
        <v>21.69</v>
      </c>
      <c r="I3080" s="7" t="s">
        <v>16815</v>
      </c>
      <c r="J3080" s="7" t="s">
        <v>16582</v>
      </c>
      <c r="K3080" s="7" t="s">
        <v>17435</v>
      </c>
      <c r="L3080" s="198" t="s">
        <v>65</v>
      </c>
      <c r="M3080" s="194"/>
      <c r="N3080" s="194"/>
    </row>
    <row r="3081">
      <c r="A3081" s="193" t="s">
        <v>20756</v>
      </c>
      <c r="B3081" s="7" t="s">
        <v>17435</v>
      </c>
      <c r="C3081" s="7" t="s">
        <v>16582</v>
      </c>
      <c r="D3081" s="194">
        <v>2019.0</v>
      </c>
      <c r="E3081" s="193"/>
      <c r="F3081" s="195" t="s">
        <v>20757</v>
      </c>
      <c r="G3081" s="200">
        <v>2.023921837E9</v>
      </c>
      <c r="H3081" s="197">
        <v>21.69</v>
      </c>
      <c r="I3081" s="7" t="s">
        <v>16815</v>
      </c>
      <c r="J3081" s="7" t="s">
        <v>17435</v>
      </c>
      <c r="K3081" s="7" t="s">
        <v>16582</v>
      </c>
      <c r="L3081" s="201" t="s">
        <v>16835</v>
      </c>
      <c r="M3081" s="194"/>
      <c r="N3081" s="194"/>
    </row>
    <row r="3082">
      <c r="A3082" s="193" t="s">
        <v>20758</v>
      </c>
      <c r="B3082" s="7" t="s">
        <v>17111</v>
      </c>
      <c r="C3082" s="7" t="s">
        <v>17112</v>
      </c>
      <c r="D3082" s="199"/>
      <c r="E3082" s="193"/>
      <c r="F3082" s="195" t="s">
        <v>20759</v>
      </c>
      <c r="G3082" s="200">
        <v>2.022193272E9</v>
      </c>
      <c r="H3082" s="197">
        <v>18.95</v>
      </c>
      <c r="I3082" s="7" t="s">
        <v>16815</v>
      </c>
      <c r="J3082" s="7" t="s">
        <v>17111</v>
      </c>
      <c r="K3082" s="7" t="s">
        <v>17112</v>
      </c>
      <c r="L3082" s="201" t="s">
        <v>16835</v>
      </c>
      <c r="M3082" s="199"/>
      <c r="N3082" s="199"/>
    </row>
    <row r="3083">
      <c r="A3083" s="193" t="s">
        <v>20758</v>
      </c>
      <c r="B3083" s="7" t="s">
        <v>17112</v>
      </c>
      <c r="C3083" s="7" t="s">
        <v>17111</v>
      </c>
      <c r="D3083" s="199"/>
      <c r="E3083" s="193"/>
      <c r="F3083" s="195" t="s">
        <v>20759</v>
      </c>
      <c r="G3083" s="196">
        <v>2.022193272E9</v>
      </c>
      <c r="H3083" s="197">
        <v>18.95</v>
      </c>
      <c r="I3083" s="7" t="s">
        <v>16815</v>
      </c>
      <c r="J3083" s="7" t="s">
        <v>17112</v>
      </c>
      <c r="K3083" s="7" t="s">
        <v>17111</v>
      </c>
      <c r="L3083" s="198" t="s">
        <v>65</v>
      </c>
      <c r="M3083" s="199"/>
      <c r="N3083" s="199"/>
    </row>
    <row r="3084">
      <c r="A3084" s="193" t="s">
        <v>20760</v>
      </c>
      <c r="B3084" s="7" t="s">
        <v>16838</v>
      </c>
      <c r="C3084" s="7" t="s">
        <v>17384</v>
      </c>
      <c r="D3084" s="194">
        <v>2020.0</v>
      </c>
      <c r="E3084" s="193"/>
      <c r="F3084" s="195" t="s">
        <v>20761</v>
      </c>
      <c r="G3084" s="196">
        <v>2.02185334E9</v>
      </c>
      <c r="H3084" s="197">
        <v>11.46</v>
      </c>
      <c r="I3084" s="7" t="s">
        <v>16815</v>
      </c>
      <c r="J3084" s="7" t="s">
        <v>16838</v>
      </c>
      <c r="K3084" s="7" t="s">
        <v>17384</v>
      </c>
      <c r="L3084" s="198" t="s">
        <v>65</v>
      </c>
      <c r="M3084" s="194"/>
      <c r="N3084" s="194"/>
    </row>
    <row r="3085">
      <c r="A3085" s="193" t="s">
        <v>20762</v>
      </c>
      <c r="B3085" s="7" t="s">
        <v>16582</v>
      </c>
      <c r="C3085" s="7" t="s">
        <v>16583</v>
      </c>
      <c r="D3085" s="194">
        <v>2021.0</v>
      </c>
      <c r="E3085" s="193"/>
      <c r="F3085" s="195" t="s">
        <v>20763</v>
      </c>
      <c r="G3085" s="196">
        <v>2.0167875E9</v>
      </c>
      <c r="H3085" s="197">
        <v>9.75</v>
      </c>
      <c r="I3085" s="7" t="s">
        <v>16815</v>
      </c>
      <c r="J3085" s="7" t="s">
        <v>16582</v>
      </c>
      <c r="K3085" s="7" t="s">
        <v>16583</v>
      </c>
      <c r="L3085" s="198" t="s">
        <v>65</v>
      </c>
      <c r="M3085" s="194"/>
      <c r="N3085" s="194"/>
    </row>
    <row r="3086">
      <c r="A3086" s="193" t="s">
        <v>20764</v>
      </c>
      <c r="B3086" s="7" t="s">
        <v>169</v>
      </c>
      <c r="C3086" s="7" t="s">
        <v>17532</v>
      </c>
      <c r="D3086" s="194">
        <v>1993.0</v>
      </c>
      <c r="E3086" s="193"/>
      <c r="F3086" s="195" t="s">
        <v>20765</v>
      </c>
      <c r="G3086" s="196">
        <v>2.016414018E9</v>
      </c>
      <c r="H3086" s="197">
        <v>66.25</v>
      </c>
      <c r="I3086" s="7" t="s">
        <v>16815</v>
      </c>
      <c r="J3086" s="7" t="s">
        <v>169</v>
      </c>
      <c r="K3086" s="7" t="s">
        <v>17532</v>
      </c>
      <c r="L3086" s="198" t="s">
        <v>65</v>
      </c>
      <c r="M3086" s="194"/>
      <c r="N3086" s="194"/>
    </row>
    <row r="3087">
      <c r="A3087" s="193" t="s">
        <v>20766</v>
      </c>
      <c r="B3087" s="7" t="s">
        <v>17321</v>
      </c>
      <c r="C3087" s="7" t="s">
        <v>169</v>
      </c>
      <c r="D3087" s="194">
        <v>2006.0</v>
      </c>
      <c r="E3087" s="193"/>
      <c r="F3087" s="195" t="s">
        <v>20767</v>
      </c>
      <c r="G3087" s="200">
        <v>2.013967806E9</v>
      </c>
      <c r="H3087" s="197">
        <v>12.87</v>
      </c>
      <c r="I3087" s="7" t="s">
        <v>16815</v>
      </c>
      <c r="J3087" s="7" t="s">
        <v>17321</v>
      </c>
      <c r="K3087" s="7" t="s">
        <v>169</v>
      </c>
      <c r="L3087" s="201" t="s">
        <v>16835</v>
      </c>
      <c r="M3087" s="194"/>
      <c r="N3087" s="194"/>
    </row>
    <row r="3088">
      <c r="A3088" s="193" t="s">
        <v>20766</v>
      </c>
      <c r="B3088" s="7" t="s">
        <v>169</v>
      </c>
      <c r="C3088" s="7" t="s">
        <v>17321</v>
      </c>
      <c r="D3088" s="194">
        <v>2006.0</v>
      </c>
      <c r="E3088" s="193"/>
      <c r="F3088" s="195" t="s">
        <v>20767</v>
      </c>
      <c r="G3088" s="196">
        <v>2.013967806E9</v>
      </c>
      <c r="H3088" s="197">
        <v>12.87</v>
      </c>
      <c r="I3088" s="7" t="s">
        <v>16815</v>
      </c>
      <c r="J3088" s="7" t="s">
        <v>169</v>
      </c>
      <c r="K3088" s="7" t="s">
        <v>17321</v>
      </c>
      <c r="L3088" s="198" t="s">
        <v>65</v>
      </c>
      <c r="M3088" s="194"/>
      <c r="N3088" s="194"/>
    </row>
    <row r="3089">
      <c r="A3089" s="193" t="s">
        <v>20768</v>
      </c>
      <c r="B3089" s="7" t="s">
        <v>16582</v>
      </c>
      <c r="C3089" s="7" t="s">
        <v>16817</v>
      </c>
      <c r="D3089" s="194">
        <v>2021.0</v>
      </c>
      <c r="E3089" s="193"/>
      <c r="F3089" s="195" t="s">
        <v>20769</v>
      </c>
      <c r="G3089" s="196">
        <v>2.012555787E9</v>
      </c>
      <c r="H3089" s="197">
        <v>16.27</v>
      </c>
      <c r="I3089" s="7" t="s">
        <v>16815</v>
      </c>
      <c r="J3089" s="7" t="s">
        <v>16582</v>
      </c>
      <c r="K3089" s="7" t="s">
        <v>16817</v>
      </c>
      <c r="L3089" s="198" t="s">
        <v>65</v>
      </c>
      <c r="M3089" s="194"/>
      <c r="N3089" s="194"/>
    </row>
    <row r="3090">
      <c r="A3090" s="193" t="s">
        <v>20768</v>
      </c>
      <c r="B3090" s="7" t="s">
        <v>16817</v>
      </c>
      <c r="C3090" s="7" t="s">
        <v>16582</v>
      </c>
      <c r="D3090" s="194">
        <v>2021.0</v>
      </c>
      <c r="E3090" s="193"/>
      <c r="F3090" s="195" t="s">
        <v>20769</v>
      </c>
      <c r="G3090" s="200">
        <v>2.012555787E9</v>
      </c>
      <c r="H3090" s="197">
        <v>16.27</v>
      </c>
      <c r="I3090" s="7" t="s">
        <v>16815</v>
      </c>
      <c r="J3090" s="7" t="s">
        <v>16817</v>
      </c>
      <c r="K3090" s="7" t="s">
        <v>16582</v>
      </c>
      <c r="L3090" s="201" t="s">
        <v>16835</v>
      </c>
      <c r="M3090" s="194"/>
      <c r="N3090" s="194"/>
    </row>
    <row r="3091">
      <c r="A3091" s="193" t="s">
        <v>20770</v>
      </c>
      <c r="B3091" s="7" t="s">
        <v>17202</v>
      </c>
      <c r="C3091" s="7" t="s">
        <v>16838</v>
      </c>
      <c r="D3091" s="194">
        <v>2015.0</v>
      </c>
      <c r="E3091" s="193"/>
      <c r="F3091" s="195" t="s">
        <v>20771</v>
      </c>
      <c r="G3091" s="200">
        <v>2.012452537E9</v>
      </c>
      <c r="H3091" s="197">
        <v>83.02</v>
      </c>
      <c r="I3091" s="7" t="s">
        <v>16815</v>
      </c>
      <c r="J3091" s="7" t="s">
        <v>17202</v>
      </c>
      <c r="K3091" s="7" t="s">
        <v>16838</v>
      </c>
      <c r="L3091" s="201" t="s">
        <v>16835</v>
      </c>
      <c r="M3091" s="194"/>
      <c r="N3091" s="194"/>
    </row>
    <row r="3092">
      <c r="A3092" s="193" t="s">
        <v>20770</v>
      </c>
      <c r="B3092" s="7" t="s">
        <v>16838</v>
      </c>
      <c r="C3092" s="7" t="s">
        <v>17202</v>
      </c>
      <c r="D3092" s="194">
        <v>2015.0</v>
      </c>
      <c r="E3092" s="193"/>
      <c r="F3092" s="195" t="s">
        <v>20771</v>
      </c>
      <c r="G3092" s="196">
        <v>2.012452537E9</v>
      </c>
      <c r="H3092" s="197">
        <v>83.02</v>
      </c>
      <c r="I3092" s="7" t="s">
        <v>16815</v>
      </c>
      <c r="J3092" s="7" t="s">
        <v>16838</v>
      </c>
      <c r="K3092" s="7" t="s">
        <v>17202</v>
      </c>
      <c r="L3092" s="198" t="s">
        <v>65</v>
      </c>
      <c r="M3092" s="194"/>
      <c r="N3092" s="194"/>
    </row>
    <row r="3093">
      <c r="A3093" s="193" t="s">
        <v>20772</v>
      </c>
      <c r="B3093" s="7" t="s">
        <v>158</v>
      </c>
      <c r="C3093" s="7" t="s">
        <v>16864</v>
      </c>
      <c r="D3093" s="199"/>
      <c r="E3093" s="193"/>
      <c r="F3093" s="195" t="s">
        <v>20773</v>
      </c>
      <c r="G3093" s="196">
        <v>2.011071654E9</v>
      </c>
      <c r="H3093" s="197">
        <v>15.66</v>
      </c>
      <c r="I3093" s="7" t="s">
        <v>17625</v>
      </c>
      <c r="J3093" s="7" t="s">
        <v>158</v>
      </c>
      <c r="K3093" s="7" t="s">
        <v>16864</v>
      </c>
      <c r="L3093" s="198" t="s">
        <v>65</v>
      </c>
      <c r="M3093" s="199"/>
      <c r="N3093" s="199"/>
    </row>
    <row r="3094">
      <c r="A3094" s="193" t="s">
        <v>20774</v>
      </c>
      <c r="B3094" s="7" t="s">
        <v>187</v>
      </c>
      <c r="C3094" s="7" t="s">
        <v>20775</v>
      </c>
      <c r="D3094" s="199"/>
      <c r="E3094" s="193"/>
      <c r="F3094" s="195" t="s">
        <v>20776</v>
      </c>
      <c r="G3094" s="196">
        <v>2.008861323E9</v>
      </c>
      <c r="H3094" s="197">
        <v>15.76</v>
      </c>
      <c r="I3094" s="7" t="s">
        <v>16815</v>
      </c>
      <c r="J3094" s="7" t="s">
        <v>187</v>
      </c>
      <c r="K3094" s="7" t="s">
        <v>20775</v>
      </c>
      <c r="L3094" s="198" t="s">
        <v>65</v>
      </c>
      <c r="M3094" s="199"/>
      <c r="N3094" s="199"/>
    </row>
    <row r="3095">
      <c r="A3095" s="193" t="s">
        <v>20777</v>
      </c>
      <c r="B3095" s="7" t="s">
        <v>16582</v>
      </c>
      <c r="C3095" s="7" t="s">
        <v>16930</v>
      </c>
      <c r="D3095" s="194">
        <v>2021.0</v>
      </c>
      <c r="E3095" s="193"/>
      <c r="F3095" s="195" t="s">
        <v>20778</v>
      </c>
      <c r="G3095" s="196">
        <v>2.008319234E9</v>
      </c>
      <c r="H3095" s="197">
        <v>21.06</v>
      </c>
      <c r="I3095" s="7" t="s">
        <v>16815</v>
      </c>
      <c r="J3095" s="7" t="s">
        <v>16582</v>
      </c>
      <c r="K3095" s="7" t="s">
        <v>16930</v>
      </c>
      <c r="L3095" s="198" t="s">
        <v>65</v>
      </c>
      <c r="M3095" s="194"/>
      <c r="N3095" s="194"/>
    </row>
    <row r="3096">
      <c r="A3096" s="193" t="s">
        <v>20779</v>
      </c>
      <c r="B3096" s="7" t="s">
        <v>17111</v>
      </c>
      <c r="C3096" s="7" t="s">
        <v>17112</v>
      </c>
      <c r="D3096" s="194">
        <v>1997.0</v>
      </c>
      <c r="E3096" s="193"/>
      <c r="F3096" s="195" t="s">
        <v>20780</v>
      </c>
      <c r="G3096" s="200">
        <v>2.007723187E9</v>
      </c>
      <c r="H3096" s="197">
        <v>31.02</v>
      </c>
      <c r="I3096" s="7" t="s">
        <v>16815</v>
      </c>
      <c r="J3096" s="7" t="s">
        <v>17111</v>
      </c>
      <c r="K3096" s="7" t="s">
        <v>17112</v>
      </c>
      <c r="L3096" s="201" t="s">
        <v>16835</v>
      </c>
      <c r="M3096" s="194"/>
      <c r="N3096" s="194"/>
    </row>
    <row r="3097">
      <c r="A3097" s="193" t="s">
        <v>20779</v>
      </c>
      <c r="B3097" s="7" t="s">
        <v>17112</v>
      </c>
      <c r="C3097" s="7" t="s">
        <v>17111</v>
      </c>
      <c r="D3097" s="194">
        <v>1997.0</v>
      </c>
      <c r="E3097" s="193"/>
      <c r="F3097" s="195" t="s">
        <v>20780</v>
      </c>
      <c r="G3097" s="196">
        <v>2.007723187E9</v>
      </c>
      <c r="H3097" s="197">
        <v>31.02</v>
      </c>
      <c r="I3097" s="7" t="s">
        <v>16815</v>
      </c>
      <c r="J3097" s="7" t="s">
        <v>17112</v>
      </c>
      <c r="K3097" s="7" t="s">
        <v>17111</v>
      </c>
      <c r="L3097" s="198" t="s">
        <v>65</v>
      </c>
      <c r="M3097" s="194"/>
      <c r="N3097" s="194"/>
    </row>
    <row r="3098">
      <c r="A3098" s="193" t="s">
        <v>20781</v>
      </c>
      <c r="B3098" s="7" t="s">
        <v>17112</v>
      </c>
      <c r="C3098" s="7" t="s">
        <v>17111</v>
      </c>
      <c r="D3098" s="199"/>
      <c r="E3098" s="193"/>
      <c r="F3098" s="195" t="s">
        <v>20782</v>
      </c>
      <c r="G3098" s="196">
        <v>2.006819836E9</v>
      </c>
      <c r="H3098" s="197">
        <v>22.13</v>
      </c>
      <c r="I3098" s="7" t="s">
        <v>16815</v>
      </c>
      <c r="J3098" s="7" t="s">
        <v>17112</v>
      </c>
      <c r="K3098" s="7" t="s">
        <v>17111</v>
      </c>
      <c r="L3098" s="198" t="s">
        <v>65</v>
      </c>
      <c r="M3098" s="199"/>
      <c r="N3098" s="199"/>
    </row>
    <row r="3099">
      <c r="A3099" s="193" t="s">
        <v>20783</v>
      </c>
      <c r="B3099" s="7" t="s">
        <v>16582</v>
      </c>
      <c r="C3099" s="7" t="s">
        <v>16828</v>
      </c>
      <c r="D3099" s="194">
        <v>2012.0</v>
      </c>
      <c r="E3099" s="193"/>
      <c r="F3099" s="195" t="s">
        <v>20784</v>
      </c>
      <c r="G3099" s="196">
        <v>2.001887196E9</v>
      </c>
      <c r="H3099" s="197">
        <v>50.2</v>
      </c>
      <c r="I3099" s="7" t="s">
        <v>16815</v>
      </c>
      <c r="J3099" s="7" t="s">
        <v>16582</v>
      </c>
      <c r="K3099" s="7" t="s">
        <v>16828</v>
      </c>
      <c r="L3099" s="198" t="s">
        <v>65</v>
      </c>
      <c r="M3099" s="194"/>
      <c r="N3099" s="194"/>
    </row>
    <row r="3100">
      <c r="A3100" s="193" t="s">
        <v>20785</v>
      </c>
      <c r="B3100" s="7" t="s">
        <v>17127</v>
      </c>
      <c r="C3100" s="7" t="s">
        <v>16838</v>
      </c>
      <c r="D3100" s="199"/>
      <c r="E3100" s="193"/>
      <c r="F3100" s="195" t="s">
        <v>20786</v>
      </c>
      <c r="G3100" s="200">
        <v>1.99668284E9</v>
      </c>
      <c r="H3100" s="197">
        <v>36.06</v>
      </c>
      <c r="I3100" s="7" t="s">
        <v>16815</v>
      </c>
      <c r="J3100" s="7" t="s">
        <v>17127</v>
      </c>
      <c r="K3100" s="7" t="s">
        <v>16838</v>
      </c>
      <c r="L3100" s="201" t="s">
        <v>16835</v>
      </c>
      <c r="M3100" s="199"/>
      <c r="N3100" s="199"/>
    </row>
    <row r="3101">
      <c r="A3101" s="193" t="s">
        <v>20785</v>
      </c>
      <c r="B3101" s="7" t="s">
        <v>16838</v>
      </c>
      <c r="C3101" s="7" t="s">
        <v>17127</v>
      </c>
      <c r="D3101" s="199"/>
      <c r="E3101" s="193"/>
      <c r="F3101" s="195" t="s">
        <v>20786</v>
      </c>
      <c r="G3101" s="196">
        <v>1.99668284E9</v>
      </c>
      <c r="H3101" s="197">
        <v>36.06</v>
      </c>
      <c r="I3101" s="7" t="s">
        <v>16815</v>
      </c>
      <c r="J3101" s="7" t="s">
        <v>16838</v>
      </c>
      <c r="K3101" s="7" t="s">
        <v>17127</v>
      </c>
      <c r="L3101" s="198" t="s">
        <v>65</v>
      </c>
      <c r="M3101" s="199"/>
      <c r="N3101" s="199"/>
    </row>
    <row r="3102">
      <c r="A3102" s="193" t="s">
        <v>20787</v>
      </c>
      <c r="B3102" s="7" t="s">
        <v>17112</v>
      </c>
      <c r="C3102" s="7" t="s">
        <v>17218</v>
      </c>
      <c r="D3102" s="194">
        <v>2021.0</v>
      </c>
      <c r="E3102" s="193"/>
      <c r="F3102" s="195" t="s">
        <v>20788</v>
      </c>
      <c r="G3102" s="196">
        <v>1.989449406E9</v>
      </c>
      <c r="H3102" s="197">
        <v>12.975</v>
      </c>
      <c r="I3102" s="7" t="s">
        <v>16815</v>
      </c>
      <c r="J3102" s="7" t="s">
        <v>17112</v>
      </c>
      <c r="K3102" s="7" t="s">
        <v>17218</v>
      </c>
      <c r="L3102" s="198" t="s">
        <v>65</v>
      </c>
      <c r="M3102" s="194"/>
      <c r="N3102" s="194"/>
    </row>
    <row r="3103">
      <c r="A3103" s="193" t="s">
        <v>20789</v>
      </c>
      <c r="B3103" s="7" t="s">
        <v>158</v>
      </c>
      <c r="C3103" s="7" t="s">
        <v>16870</v>
      </c>
      <c r="D3103" s="199"/>
      <c r="E3103" s="193"/>
      <c r="F3103" s="195" t="s">
        <v>20790</v>
      </c>
      <c r="G3103" s="196">
        <v>1.988624416E9</v>
      </c>
      <c r="H3103" s="197">
        <v>32.87</v>
      </c>
      <c r="I3103" s="7" t="s">
        <v>17098</v>
      </c>
      <c r="J3103" s="7" t="s">
        <v>158</v>
      </c>
      <c r="K3103" s="7" t="s">
        <v>16870</v>
      </c>
      <c r="L3103" s="198" t="s">
        <v>65</v>
      </c>
      <c r="M3103" s="199"/>
      <c r="N3103" s="199"/>
    </row>
    <row r="3104">
      <c r="A3104" s="193" t="s">
        <v>20789</v>
      </c>
      <c r="B3104" s="7" t="s">
        <v>16870</v>
      </c>
      <c r="C3104" s="7" t="s">
        <v>158</v>
      </c>
      <c r="D3104" s="199"/>
      <c r="E3104" s="193"/>
      <c r="F3104" s="195" t="s">
        <v>20791</v>
      </c>
      <c r="G3104" s="200">
        <v>1.988624416E9</v>
      </c>
      <c r="H3104" s="197">
        <v>32.87</v>
      </c>
      <c r="I3104" s="7" t="s">
        <v>16815</v>
      </c>
      <c r="J3104" s="7" t="s">
        <v>16870</v>
      </c>
      <c r="K3104" s="7" t="s">
        <v>158</v>
      </c>
      <c r="L3104" s="201" t="s">
        <v>16835</v>
      </c>
      <c r="M3104" s="199"/>
      <c r="N3104" s="199"/>
    </row>
    <row r="3105">
      <c r="A3105" s="193" t="s">
        <v>20792</v>
      </c>
      <c r="B3105" s="7" t="s">
        <v>175</v>
      </c>
      <c r="C3105" s="7" t="s">
        <v>17168</v>
      </c>
      <c r="D3105" s="194">
        <v>2004.0</v>
      </c>
      <c r="E3105" s="193"/>
      <c r="F3105" s="195" t="s">
        <v>20793</v>
      </c>
      <c r="G3105" s="196">
        <v>1.982534851E9</v>
      </c>
      <c r="H3105" s="197">
        <v>9.65</v>
      </c>
      <c r="I3105" s="7" t="s">
        <v>17242</v>
      </c>
      <c r="J3105" s="7" t="s">
        <v>175</v>
      </c>
      <c r="K3105" s="7" t="s">
        <v>17168</v>
      </c>
      <c r="L3105" s="198" t="s">
        <v>65</v>
      </c>
      <c r="M3105" s="194"/>
      <c r="N3105" s="194"/>
    </row>
    <row r="3106">
      <c r="A3106" s="193" t="s">
        <v>20792</v>
      </c>
      <c r="B3106" s="7" t="s">
        <v>17168</v>
      </c>
      <c r="C3106" s="7" t="s">
        <v>175</v>
      </c>
      <c r="D3106" s="194">
        <v>2004.0</v>
      </c>
      <c r="E3106" s="193"/>
      <c r="F3106" s="195" t="s">
        <v>20793</v>
      </c>
      <c r="G3106" s="200">
        <v>1.982534851E9</v>
      </c>
      <c r="H3106" s="197">
        <v>9.65</v>
      </c>
      <c r="I3106" s="7" t="s">
        <v>16815</v>
      </c>
      <c r="J3106" s="7" t="s">
        <v>17168</v>
      </c>
      <c r="K3106" s="7" t="s">
        <v>175</v>
      </c>
      <c r="L3106" s="201" t="s">
        <v>16835</v>
      </c>
      <c r="M3106" s="194"/>
      <c r="N3106" s="194"/>
    </row>
    <row r="3107">
      <c r="A3107" s="193" t="s">
        <v>20794</v>
      </c>
      <c r="B3107" s="7" t="s">
        <v>17111</v>
      </c>
      <c r="C3107" s="7" t="s">
        <v>17112</v>
      </c>
      <c r="D3107" s="194">
        <v>2015.0</v>
      </c>
      <c r="E3107" s="193"/>
      <c r="F3107" s="195" t="s">
        <v>20795</v>
      </c>
      <c r="G3107" s="200">
        <v>1.980660815E9</v>
      </c>
      <c r="H3107" s="197">
        <v>21.87</v>
      </c>
      <c r="I3107" s="7" t="s">
        <v>16815</v>
      </c>
      <c r="J3107" s="7" t="s">
        <v>17111</v>
      </c>
      <c r="K3107" s="7" t="s">
        <v>17112</v>
      </c>
      <c r="L3107" s="201" t="s">
        <v>16835</v>
      </c>
      <c r="M3107" s="194"/>
      <c r="N3107" s="194"/>
    </row>
    <row r="3108">
      <c r="A3108" s="193" t="s">
        <v>20794</v>
      </c>
      <c r="B3108" s="7" t="s">
        <v>17112</v>
      </c>
      <c r="C3108" s="7" t="s">
        <v>17111</v>
      </c>
      <c r="D3108" s="194">
        <v>2015.0</v>
      </c>
      <c r="E3108" s="193"/>
      <c r="F3108" s="195" t="s">
        <v>20795</v>
      </c>
      <c r="G3108" s="196">
        <v>1.980660815E9</v>
      </c>
      <c r="H3108" s="197">
        <v>21.87</v>
      </c>
      <c r="I3108" s="7" t="s">
        <v>16815</v>
      </c>
      <c r="J3108" s="7" t="s">
        <v>17112</v>
      </c>
      <c r="K3108" s="7" t="s">
        <v>17111</v>
      </c>
      <c r="L3108" s="198" t="s">
        <v>65</v>
      </c>
      <c r="M3108" s="194"/>
      <c r="N3108" s="194"/>
    </row>
    <row r="3109">
      <c r="A3109" s="193" t="s">
        <v>20796</v>
      </c>
      <c r="B3109" s="7" t="s">
        <v>16885</v>
      </c>
      <c r="C3109" s="7" t="s">
        <v>18381</v>
      </c>
      <c r="D3109" s="194">
        <v>2021.0</v>
      </c>
      <c r="E3109" s="193"/>
      <c r="F3109" s="195" t="s">
        <v>20797</v>
      </c>
      <c r="G3109" s="196">
        <v>1.978937184E9</v>
      </c>
      <c r="H3109" s="197">
        <v>47.27</v>
      </c>
      <c r="I3109" s="7" t="s">
        <v>16826</v>
      </c>
      <c r="J3109" s="7" t="s">
        <v>16885</v>
      </c>
      <c r="K3109" s="7" t="s">
        <v>18381</v>
      </c>
      <c r="L3109" s="198" t="s">
        <v>65</v>
      </c>
      <c r="M3109" s="194"/>
      <c r="N3109" s="194"/>
    </row>
    <row r="3110">
      <c r="A3110" s="193" t="s">
        <v>20796</v>
      </c>
      <c r="B3110" s="7" t="s">
        <v>18381</v>
      </c>
      <c r="C3110" s="7" t="s">
        <v>16885</v>
      </c>
      <c r="D3110" s="194">
        <v>2021.0</v>
      </c>
      <c r="E3110" s="193"/>
      <c r="F3110" s="195" t="s">
        <v>20797</v>
      </c>
      <c r="G3110" s="200">
        <v>1.978937184E9</v>
      </c>
      <c r="H3110" s="197">
        <v>47.27</v>
      </c>
      <c r="I3110" s="7" t="s">
        <v>16815</v>
      </c>
      <c r="J3110" s="7" t="s">
        <v>18381</v>
      </c>
      <c r="K3110" s="7" t="s">
        <v>16885</v>
      </c>
      <c r="L3110" s="201" t="s">
        <v>16835</v>
      </c>
      <c r="M3110" s="194"/>
      <c r="N3110" s="194"/>
    </row>
    <row r="3111">
      <c r="A3111" s="193" t="s">
        <v>20798</v>
      </c>
      <c r="B3111" s="7" t="s">
        <v>175</v>
      </c>
      <c r="C3111" s="7" t="s">
        <v>16854</v>
      </c>
      <c r="D3111" s="194">
        <v>2021.0</v>
      </c>
      <c r="E3111" s="193"/>
      <c r="F3111" s="195" t="s">
        <v>20799</v>
      </c>
      <c r="G3111" s="196">
        <v>1.97892164E9</v>
      </c>
      <c r="H3111" s="197">
        <v>13.63</v>
      </c>
      <c r="I3111" s="7" t="s">
        <v>16908</v>
      </c>
      <c r="J3111" s="7" t="s">
        <v>175</v>
      </c>
      <c r="K3111" s="7" t="s">
        <v>16854</v>
      </c>
      <c r="L3111" s="198" t="s">
        <v>65</v>
      </c>
      <c r="M3111" s="194"/>
      <c r="N3111" s="194"/>
    </row>
    <row r="3112">
      <c r="A3112" s="193" t="s">
        <v>20800</v>
      </c>
      <c r="B3112" s="7" t="s">
        <v>16919</v>
      </c>
      <c r="C3112" s="7" t="s">
        <v>17048</v>
      </c>
      <c r="D3112" s="199"/>
      <c r="E3112" s="193"/>
      <c r="F3112" s="195" t="s">
        <v>14018</v>
      </c>
      <c r="G3112" s="196">
        <v>1.978032072E9</v>
      </c>
      <c r="H3112" s="197">
        <v>35.84</v>
      </c>
      <c r="I3112" s="7" t="s">
        <v>16815</v>
      </c>
      <c r="J3112" s="7" t="s">
        <v>16919</v>
      </c>
      <c r="K3112" s="7" t="s">
        <v>17048</v>
      </c>
      <c r="L3112" s="198" t="s">
        <v>65</v>
      </c>
      <c r="M3112" s="199"/>
      <c r="N3112" s="199"/>
    </row>
    <row r="3113">
      <c r="A3113" s="193" t="s">
        <v>20800</v>
      </c>
      <c r="B3113" s="7" t="s">
        <v>17048</v>
      </c>
      <c r="C3113" s="7" t="s">
        <v>16919</v>
      </c>
      <c r="D3113" s="199"/>
      <c r="E3113" s="193"/>
      <c r="F3113" s="195" t="s">
        <v>14018</v>
      </c>
      <c r="G3113" s="200">
        <v>1.978032072E9</v>
      </c>
      <c r="H3113" s="197">
        <v>35.84</v>
      </c>
      <c r="I3113" s="7" t="s">
        <v>16815</v>
      </c>
      <c r="J3113" s="7" t="s">
        <v>17048</v>
      </c>
      <c r="K3113" s="7" t="s">
        <v>16919</v>
      </c>
      <c r="L3113" s="201" t="s">
        <v>16835</v>
      </c>
      <c r="M3113" s="199"/>
      <c r="N3113" s="199"/>
    </row>
    <row r="3114">
      <c r="A3114" s="193" t="s">
        <v>20801</v>
      </c>
      <c r="B3114" s="7" t="s">
        <v>187</v>
      </c>
      <c r="C3114" s="7" t="s">
        <v>16851</v>
      </c>
      <c r="D3114" s="199"/>
      <c r="E3114" s="193"/>
      <c r="F3114" s="195" t="s">
        <v>20802</v>
      </c>
      <c r="G3114" s="196">
        <v>1.977605256E9</v>
      </c>
      <c r="H3114" s="197">
        <v>29.18</v>
      </c>
      <c r="I3114" s="7" t="s">
        <v>16815</v>
      </c>
      <c r="J3114" s="7" t="s">
        <v>187</v>
      </c>
      <c r="K3114" s="7" t="s">
        <v>16851</v>
      </c>
      <c r="L3114" s="198" t="s">
        <v>65</v>
      </c>
      <c r="M3114" s="199"/>
      <c r="N3114" s="199"/>
    </row>
    <row r="3115">
      <c r="A3115" s="193" t="s">
        <v>20803</v>
      </c>
      <c r="B3115" s="7" t="s">
        <v>187</v>
      </c>
      <c r="C3115" s="7" t="s">
        <v>16969</v>
      </c>
      <c r="D3115" s="194">
        <v>1992.0</v>
      </c>
      <c r="E3115" s="193"/>
      <c r="F3115" s="195" t="s">
        <v>20804</v>
      </c>
      <c r="G3115" s="196">
        <v>1.977313625E9</v>
      </c>
      <c r="H3115" s="197">
        <v>81.91</v>
      </c>
      <c r="I3115" s="7" t="s">
        <v>16815</v>
      </c>
      <c r="J3115" s="7" t="s">
        <v>187</v>
      </c>
      <c r="K3115" s="7" t="s">
        <v>16969</v>
      </c>
      <c r="L3115" s="198" t="s">
        <v>65</v>
      </c>
      <c r="M3115" s="194"/>
      <c r="N3115" s="194"/>
    </row>
    <row r="3116">
      <c r="A3116" s="193" t="s">
        <v>20805</v>
      </c>
      <c r="B3116" s="7" t="s">
        <v>175</v>
      </c>
      <c r="C3116" s="7" t="s">
        <v>16861</v>
      </c>
      <c r="D3116" s="199"/>
      <c r="E3116" s="193"/>
      <c r="F3116" s="195" t="s">
        <v>20806</v>
      </c>
      <c r="G3116" s="196">
        <v>1.977111627E9</v>
      </c>
      <c r="H3116" s="197">
        <v>65.55</v>
      </c>
      <c r="I3116" s="7" t="s">
        <v>168</v>
      </c>
      <c r="J3116" s="7" t="s">
        <v>175</v>
      </c>
      <c r="K3116" s="7" t="s">
        <v>16861</v>
      </c>
      <c r="L3116" s="198" t="s">
        <v>65</v>
      </c>
      <c r="M3116" s="199"/>
      <c r="N3116" s="199"/>
    </row>
    <row r="3117">
      <c r="A3117" s="193" t="s">
        <v>20807</v>
      </c>
      <c r="B3117" s="7" t="s">
        <v>175</v>
      </c>
      <c r="C3117" s="7" t="s">
        <v>16942</v>
      </c>
      <c r="D3117" s="194">
        <v>2012.0</v>
      </c>
      <c r="E3117" s="193"/>
      <c r="F3117" s="195" t="s">
        <v>20808</v>
      </c>
      <c r="G3117" s="196">
        <v>1.974151338E9</v>
      </c>
      <c r="H3117" s="197">
        <v>22.74</v>
      </c>
      <c r="I3117" s="7" t="s">
        <v>16908</v>
      </c>
      <c r="J3117" s="7" t="s">
        <v>175</v>
      </c>
      <c r="K3117" s="7" t="s">
        <v>16942</v>
      </c>
      <c r="L3117" s="198" t="s">
        <v>65</v>
      </c>
      <c r="M3117" s="194"/>
      <c r="N3117" s="194"/>
    </row>
    <row r="3118">
      <c r="A3118" s="193" t="s">
        <v>20809</v>
      </c>
      <c r="B3118" s="7" t="s">
        <v>17794</v>
      </c>
      <c r="C3118" s="7" t="s">
        <v>16919</v>
      </c>
      <c r="D3118" s="194">
        <v>1972.0</v>
      </c>
      <c r="E3118" s="193"/>
      <c r="F3118" s="195" t="s">
        <v>20810</v>
      </c>
      <c r="G3118" s="200">
        <v>1.971862935E9</v>
      </c>
      <c r="H3118" s="197">
        <v>61.75</v>
      </c>
      <c r="I3118" s="193" t="s">
        <v>16815</v>
      </c>
      <c r="J3118" s="7" t="s">
        <v>17794</v>
      </c>
      <c r="K3118" s="7" t="s">
        <v>16919</v>
      </c>
      <c r="L3118" s="201" t="s">
        <v>16835</v>
      </c>
      <c r="M3118" s="194"/>
      <c r="N3118" s="194"/>
    </row>
    <row r="3119">
      <c r="A3119" s="193" t="s">
        <v>20809</v>
      </c>
      <c r="B3119" s="7" t="s">
        <v>16919</v>
      </c>
      <c r="C3119" s="7" t="s">
        <v>17794</v>
      </c>
      <c r="D3119" s="194">
        <v>1972.0</v>
      </c>
      <c r="E3119" s="193"/>
      <c r="F3119" s="195" t="s">
        <v>20810</v>
      </c>
      <c r="G3119" s="196">
        <v>1.971862935E9</v>
      </c>
      <c r="H3119" s="197">
        <v>61.75</v>
      </c>
      <c r="I3119" s="7" t="s">
        <v>16815</v>
      </c>
      <c r="J3119" s="7" t="s">
        <v>16919</v>
      </c>
      <c r="K3119" s="7" t="s">
        <v>17794</v>
      </c>
      <c r="L3119" s="198" t="s">
        <v>65</v>
      </c>
      <c r="M3119" s="194"/>
      <c r="N3119" s="194"/>
    </row>
    <row r="3120">
      <c r="A3120" s="193" t="s">
        <v>20811</v>
      </c>
      <c r="B3120" s="7" t="s">
        <v>16582</v>
      </c>
      <c r="C3120" s="7" t="s">
        <v>16930</v>
      </c>
      <c r="D3120" s="194">
        <v>2014.0</v>
      </c>
      <c r="E3120" s="193"/>
      <c r="F3120" s="195" t="s">
        <v>20812</v>
      </c>
      <c r="G3120" s="196">
        <v>1.970722518E9</v>
      </c>
      <c r="H3120" s="197">
        <v>33.61</v>
      </c>
      <c r="I3120" s="7" t="s">
        <v>16815</v>
      </c>
      <c r="J3120" s="7" t="s">
        <v>16582</v>
      </c>
      <c r="K3120" s="7" t="s">
        <v>16930</v>
      </c>
      <c r="L3120" s="198" t="s">
        <v>65</v>
      </c>
      <c r="M3120" s="194"/>
      <c r="N3120" s="194"/>
    </row>
    <row r="3121">
      <c r="A3121" s="193" t="s">
        <v>20811</v>
      </c>
      <c r="B3121" s="7" t="s">
        <v>16930</v>
      </c>
      <c r="C3121" s="7" t="s">
        <v>16582</v>
      </c>
      <c r="D3121" s="194">
        <v>2014.0</v>
      </c>
      <c r="E3121" s="193"/>
      <c r="F3121" s="195" t="s">
        <v>20812</v>
      </c>
      <c r="G3121" s="200">
        <v>1.970722518E9</v>
      </c>
      <c r="H3121" s="197">
        <v>33.61</v>
      </c>
      <c r="I3121" s="7" t="s">
        <v>16815</v>
      </c>
      <c r="J3121" s="7" t="s">
        <v>16930</v>
      </c>
      <c r="K3121" s="7" t="s">
        <v>16582</v>
      </c>
      <c r="L3121" s="201" t="s">
        <v>16835</v>
      </c>
      <c r="M3121" s="194"/>
      <c r="N3121" s="194"/>
    </row>
    <row r="3122">
      <c r="A3122" s="193" t="s">
        <v>20813</v>
      </c>
      <c r="B3122" s="7" t="s">
        <v>17057</v>
      </c>
      <c r="C3122" s="7" t="s">
        <v>169</v>
      </c>
      <c r="D3122" s="199"/>
      <c r="E3122" s="193"/>
      <c r="F3122" s="195" t="s">
        <v>20814</v>
      </c>
      <c r="G3122" s="200">
        <v>1.969091133E9</v>
      </c>
      <c r="H3122" s="197">
        <v>44.82</v>
      </c>
      <c r="I3122" s="7" t="s">
        <v>16815</v>
      </c>
      <c r="J3122" s="7" t="s">
        <v>17057</v>
      </c>
      <c r="K3122" s="7" t="s">
        <v>169</v>
      </c>
      <c r="L3122" s="201" t="s">
        <v>16835</v>
      </c>
      <c r="M3122" s="199"/>
      <c r="N3122" s="199"/>
    </row>
    <row r="3123">
      <c r="A3123" s="193" t="s">
        <v>20813</v>
      </c>
      <c r="B3123" s="7" t="s">
        <v>169</v>
      </c>
      <c r="C3123" s="7" t="s">
        <v>17057</v>
      </c>
      <c r="D3123" s="199"/>
      <c r="E3123" s="193"/>
      <c r="F3123" s="195" t="s">
        <v>20814</v>
      </c>
      <c r="G3123" s="196">
        <v>1.969091133E9</v>
      </c>
      <c r="H3123" s="197">
        <v>44.82</v>
      </c>
      <c r="I3123" s="7" t="s">
        <v>16815</v>
      </c>
      <c r="J3123" s="7" t="s">
        <v>169</v>
      </c>
      <c r="K3123" s="7" t="s">
        <v>17057</v>
      </c>
      <c r="L3123" s="198" t="s">
        <v>65</v>
      </c>
      <c r="M3123" s="199"/>
      <c r="N3123" s="199"/>
    </row>
    <row r="3124">
      <c r="A3124" s="193" t="s">
        <v>20815</v>
      </c>
      <c r="B3124" s="7" t="s">
        <v>187</v>
      </c>
      <c r="C3124" s="7" t="s">
        <v>16846</v>
      </c>
      <c r="D3124" s="194">
        <v>2020.0</v>
      </c>
      <c r="E3124" s="193"/>
      <c r="F3124" s="195" t="s">
        <v>20816</v>
      </c>
      <c r="G3124" s="196">
        <v>1.968655467E9</v>
      </c>
      <c r="H3124" s="197">
        <v>27.33</v>
      </c>
      <c r="I3124" s="7" t="s">
        <v>16815</v>
      </c>
      <c r="J3124" s="7" t="s">
        <v>187</v>
      </c>
      <c r="K3124" s="7" t="s">
        <v>16846</v>
      </c>
      <c r="L3124" s="198" t="s">
        <v>65</v>
      </c>
      <c r="M3124" s="194"/>
      <c r="N3124" s="194"/>
    </row>
    <row r="3125">
      <c r="A3125" s="193" t="s">
        <v>20817</v>
      </c>
      <c r="B3125" s="7" t="s">
        <v>16582</v>
      </c>
      <c r="C3125" s="7" t="s">
        <v>16930</v>
      </c>
      <c r="D3125" s="199"/>
      <c r="E3125" s="193"/>
      <c r="F3125" s="195" t="s">
        <v>20818</v>
      </c>
      <c r="G3125" s="196">
        <v>1.968238071E9</v>
      </c>
      <c r="H3125" s="197">
        <v>5.44</v>
      </c>
      <c r="I3125" s="7" t="s">
        <v>16815</v>
      </c>
      <c r="J3125" s="7" t="s">
        <v>16582</v>
      </c>
      <c r="K3125" s="7" t="s">
        <v>16930</v>
      </c>
      <c r="L3125" s="198" t="s">
        <v>65</v>
      </c>
      <c r="M3125" s="199"/>
      <c r="N3125" s="199"/>
    </row>
    <row r="3126">
      <c r="A3126" s="193" t="s">
        <v>20819</v>
      </c>
      <c r="B3126" s="7" t="s">
        <v>175</v>
      </c>
      <c r="C3126" s="7" t="s">
        <v>17812</v>
      </c>
      <c r="D3126" s="194">
        <v>2004.0</v>
      </c>
      <c r="E3126" s="193"/>
      <c r="F3126" s="195" t="s">
        <v>20820</v>
      </c>
      <c r="G3126" s="196">
        <v>1.959339371E9</v>
      </c>
      <c r="H3126" s="197">
        <v>104.51</v>
      </c>
      <c r="I3126" s="7" t="s">
        <v>16892</v>
      </c>
      <c r="J3126" s="7" t="s">
        <v>175</v>
      </c>
      <c r="K3126" s="7" t="s">
        <v>17812</v>
      </c>
      <c r="L3126" s="198" t="s">
        <v>65</v>
      </c>
      <c r="M3126" s="194"/>
      <c r="N3126" s="194"/>
    </row>
    <row r="3127">
      <c r="A3127" s="193" t="s">
        <v>20821</v>
      </c>
      <c r="B3127" s="7" t="s">
        <v>16838</v>
      </c>
      <c r="C3127" s="7" t="s">
        <v>17127</v>
      </c>
      <c r="D3127" s="194">
        <v>2019.0</v>
      </c>
      <c r="E3127" s="193"/>
      <c r="F3127" s="195" t="s">
        <v>20822</v>
      </c>
      <c r="G3127" s="196">
        <v>1.95621184E9</v>
      </c>
      <c r="H3127" s="197">
        <v>23.35</v>
      </c>
      <c r="I3127" s="7" t="s">
        <v>186</v>
      </c>
      <c r="J3127" s="7" t="s">
        <v>16838</v>
      </c>
      <c r="K3127" s="7" t="s">
        <v>17127</v>
      </c>
      <c r="L3127" s="198" t="s">
        <v>65</v>
      </c>
      <c r="M3127" s="194"/>
      <c r="N3127" s="194"/>
    </row>
    <row r="3128">
      <c r="A3128" s="193" t="s">
        <v>20821</v>
      </c>
      <c r="B3128" s="7" t="s">
        <v>17127</v>
      </c>
      <c r="C3128" s="7" t="s">
        <v>16838</v>
      </c>
      <c r="D3128" s="194">
        <v>2019.0</v>
      </c>
      <c r="E3128" s="193"/>
      <c r="F3128" s="195" t="s">
        <v>20822</v>
      </c>
      <c r="G3128" s="200">
        <v>1.95621184E9</v>
      </c>
      <c r="H3128" s="197">
        <v>23.35</v>
      </c>
      <c r="I3128" s="7" t="s">
        <v>16815</v>
      </c>
      <c r="J3128" s="7" t="s">
        <v>17127</v>
      </c>
      <c r="K3128" s="7" t="s">
        <v>16838</v>
      </c>
      <c r="L3128" s="201" t="s">
        <v>16835</v>
      </c>
      <c r="M3128" s="194"/>
      <c r="N3128" s="194"/>
    </row>
    <row r="3129">
      <c r="A3129" s="193" t="s">
        <v>20823</v>
      </c>
      <c r="B3129" s="7" t="s">
        <v>187</v>
      </c>
      <c r="C3129" s="7" t="s">
        <v>16846</v>
      </c>
      <c r="D3129" s="194">
        <v>2022.0</v>
      </c>
      <c r="E3129" s="193"/>
      <c r="F3129" s="195" t="s">
        <v>20824</v>
      </c>
      <c r="G3129" s="196">
        <v>1.953868431E9</v>
      </c>
      <c r="H3129" s="197">
        <v>28.6</v>
      </c>
      <c r="I3129" s="7" t="s">
        <v>16815</v>
      </c>
      <c r="J3129" s="7" t="s">
        <v>187</v>
      </c>
      <c r="K3129" s="7" t="s">
        <v>16846</v>
      </c>
      <c r="L3129" s="198" t="s">
        <v>65</v>
      </c>
      <c r="M3129" s="194"/>
      <c r="N3129" s="194"/>
    </row>
    <row r="3130">
      <c r="A3130" s="193" t="s">
        <v>20823</v>
      </c>
      <c r="B3130" s="7" t="s">
        <v>16846</v>
      </c>
      <c r="C3130" s="7" t="s">
        <v>187</v>
      </c>
      <c r="D3130" s="194">
        <v>2022.0</v>
      </c>
      <c r="E3130" s="193"/>
      <c r="F3130" s="195" t="s">
        <v>20824</v>
      </c>
      <c r="G3130" s="200">
        <v>1.953868431E9</v>
      </c>
      <c r="H3130" s="197">
        <v>28.6</v>
      </c>
      <c r="I3130" s="7" t="s">
        <v>16815</v>
      </c>
      <c r="J3130" s="7" t="s">
        <v>16846</v>
      </c>
      <c r="K3130" s="7" t="s">
        <v>187</v>
      </c>
      <c r="L3130" s="201" t="s">
        <v>16835</v>
      </c>
      <c r="M3130" s="194"/>
      <c r="N3130" s="194"/>
    </row>
    <row r="3131">
      <c r="A3131" s="193" t="s">
        <v>20825</v>
      </c>
      <c r="B3131" s="7" t="s">
        <v>175</v>
      </c>
      <c r="C3131" s="7" t="s">
        <v>17480</v>
      </c>
      <c r="D3131" s="194">
        <v>2023.0</v>
      </c>
      <c r="E3131" s="193"/>
      <c r="F3131" s="195" t="s">
        <v>20826</v>
      </c>
      <c r="G3131" s="196">
        <v>1.949500961E9</v>
      </c>
      <c r="H3131" s="197">
        <v>12.15</v>
      </c>
      <c r="I3131" s="7" t="s">
        <v>17270</v>
      </c>
      <c r="J3131" s="7" t="s">
        <v>175</v>
      </c>
      <c r="K3131" s="7" t="s">
        <v>17480</v>
      </c>
      <c r="L3131" s="198" t="s">
        <v>65</v>
      </c>
      <c r="M3131" s="194"/>
      <c r="N3131" s="194"/>
    </row>
    <row r="3132">
      <c r="A3132" s="193" t="s">
        <v>20825</v>
      </c>
      <c r="B3132" s="7" t="s">
        <v>17480</v>
      </c>
      <c r="C3132" s="7" t="s">
        <v>175</v>
      </c>
      <c r="D3132" s="194">
        <v>2023.0</v>
      </c>
      <c r="E3132" s="193"/>
      <c r="F3132" s="195" t="s">
        <v>20826</v>
      </c>
      <c r="G3132" s="200">
        <v>1.949500961E9</v>
      </c>
      <c r="H3132" s="197">
        <v>12.15</v>
      </c>
      <c r="I3132" s="7" t="s">
        <v>16815</v>
      </c>
      <c r="J3132" s="7" t="s">
        <v>17480</v>
      </c>
      <c r="K3132" s="7" t="s">
        <v>175</v>
      </c>
      <c r="L3132" s="201" t="s">
        <v>16835</v>
      </c>
      <c r="M3132" s="194"/>
      <c r="N3132" s="194"/>
    </row>
    <row r="3133">
      <c r="A3133" s="193" t="s">
        <v>20827</v>
      </c>
      <c r="B3133" s="7" t="s">
        <v>16582</v>
      </c>
      <c r="C3133" s="7" t="s">
        <v>16817</v>
      </c>
      <c r="D3133" s="194">
        <v>2021.0</v>
      </c>
      <c r="E3133" s="193"/>
      <c r="F3133" s="195" t="s">
        <v>20828</v>
      </c>
      <c r="G3133" s="196">
        <v>1.948707122E9</v>
      </c>
      <c r="H3133" s="197">
        <v>14.25</v>
      </c>
      <c r="I3133" s="7" t="s">
        <v>16815</v>
      </c>
      <c r="J3133" s="7" t="s">
        <v>16582</v>
      </c>
      <c r="K3133" s="7" t="s">
        <v>16817</v>
      </c>
      <c r="L3133" s="198" t="s">
        <v>65</v>
      </c>
      <c r="M3133" s="194"/>
      <c r="N3133" s="194"/>
    </row>
    <row r="3134">
      <c r="A3134" s="193" t="s">
        <v>20829</v>
      </c>
      <c r="B3134" s="7" t="s">
        <v>16838</v>
      </c>
      <c r="C3134" s="7" t="s">
        <v>17019</v>
      </c>
      <c r="D3134" s="199"/>
      <c r="E3134" s="193"/>
      <c r="F3134" s="195" t="s">
        <v>20830</v>
      </c>
      <c r="G3134" s="196">
        <v>1.944625845E9</v>
      </c>
      <c r="H3134" s="197">
        <v>16.54</v>
      </c>
      <c r="I3134" s="7" t="s">
        <v>16815</v>
      </c>
      <c r="J3134" s="7" t="s">
        <v>16838</v>
      </c>
      <c r="K3134" s="7" t="s">
        <v>17019</v>
      </c>
      <c r="L3134" s="198" t="s">
        <v>65</v>
      </c>
      <c r="M3134" s="199"/>
      <c r="N3134" s="199"/>
    </row>
    <row r="3135">
      <c r="A3135" s="193" t="s">
        <v>20831</v>
      </c>
      <c r="B3135" s="7" t="s">
        <v>16582</v>
      </c>
      <c r="C3135" s="7" t="s">
        <v>16899</v>
      </c>
      <c r="D3135" s="194">
        <v>2016.0</v>
      </c>
      <c r="E3135" s="193"/>
      <c r="F3135" s="195" t="s">
        <v>20832</v>
      </c>
      <c r="G3135" s="196">
        <v>1.94098754E9</v>
      </c>
      <c r="H3135" s="197">
        <v>71.74</v>
      </c>
      <c r="I3135" s="7" t="s">
        <v>16815</v>
      </c>
      <c r="J3135" s="7" t="s">
        <v>16582</v>
      </c>
      <c r="K3135" s="7" t="s">
        <v>16899</v>
      </c>
      <c r="L3135" s="198" t="s">
        <v>65</v>
      </c>
      <c r="M3135" s="194"/>
      <c r="N3135" s="194"/>
    </row>
    <row r="3136">
      <c r="A3136" s="193" t="s">
        <v>20833</v>
      </c>
      <c r="B3136" s="7" t="s">
        <v>175</v>
      </c>
      <c r="C3136" s="7" t="s">
        <v>16972</v>
      </c>
      <c r="D3136" s="199"/>
      <c r="E3136" s="193"/>
      <c r="F3136" s="195" t="s">
        <v>20834</v>
      </c>
      <c r="G3136" s="196">
        <v>1.937656854E9</v>
      </c>
      <c r="H3136" s="197">
        <v>23.2</v>
      </c>
      <c r="I3136" s="7" t="s">
        <v>17242</v>
      </c>
      <c r="J3136" s="7" t="s">
        <v>175</v>
      </c>
      <c r="K3136" s="7" t="s">
        <v>16972</v>
      </c>
      <c r="L3136" s="198" t="s">
        <v>65</v>
      </c>
      <c r="M3136" s="199"/>
      <c r="N3136" s="199"/>
    </row>
    <row r="3137">
      <c r="A3137" s="193" t="s">
        <v>20833</v>
      </c>
      <c r="B3137" s="7" t="s">
        <v>16972</v>
      </c>
      <c r="C3137" s="7" t="s">
        <v>175</v>
      </c>
      <c r="D3137" s="199"/>
      <c r="E3137" s="193"/>
      <c r="F3137" s="195" t="s">
        <v>20834</v>
      </c>
      <c r="G3137" s="200">
        <v>1.937656854E9</v>
      </c>
      <c r="H3137" s="197">
        <v>23.2</v>
      </c>
      <c r="I3137" s="7" t="s">
        <v>16815</v>
      </c>
      <c r="J3137" s="7" t="s">
        <v>16972</v>
      </c>
      <c r="K3137" s="7" t="s">
        <v>175</v>
      </c>
      <c r="L3137" s="201" t="s">
        <v>16835</v>
      </c>
      <c r="M3137" s="199"/>
      <c r="N3137" s="199"/>
    </row>
    <row r="3138">
      <c r="A3138" s="193" t="s">
        <v>20835</v>
      </c>
      <c r="B3138" s="7" t="s">
        <v>16838</v>
      </c>
      <c r="C3138" s="7" t="s">
        <v>16867</v>
      </c>
      <c r="D3138" s="199"/>
      <c r="E3138" s="193"/>
      <c r="F3138" s="195" t="s">
        <v>20836</v>
      </c>
      <c r="G3138" s="196">
        <v>1.931509119E9</v>
      </c>
      <c r="H3138" s="197">
        <v>22.42</v>
      </c>
      <c r="I3138" s="7" t="s">
        <v>16815</v>
      </c>
      <c r="J3138" s="7" t="s">
        <v>16838</v>
      </c>
      <c r="K3138" s="7" t="s">
        <v>16867</v>
      </c>
      <c r="L3138" s="198" t="s">
        <v>65</v>
      </c>
      <c r="M3138" s="199"/>
      <c r="N3138" s="199"/>
    </row>
    <row r="3139">
      <c r="A3139" s="193" t="s">
        <v>20837</v>
      </c>
      <c r="B3139" s="7" t="s">
        <v>16945</v>
      </c>
      <c r="C3139" s="7" t="s">
        <v>169</v>
      </c>
      <c r="D3139" s="194">
        <v>1992.0</v>
      </c>
      <c r="E3139" s="193"/>
      <c r="F3139" s="195" t="s">
        <v>20838</v>
      </c>
      <c r="G3139" s="200">
        <v>1.929525459E9</v>
      </c>
      <c r="H3139" s="197">
        <v>59.29</v>
      </c>
      <c r="I3139" s="7" t="s">
        <v>16815</v>
      </c>
      <c r="J3139" s="7" t="s">
        <v>16945</v>
      </c>
      <c r="K3139" s="7" t="s">
        <v>169</v>
      </c>
      <c r="L3139" s="201" t="s">
        <v>16835</v>
      </c>
      <c r="M3139" s="194"/>
      <c r="N3139" s="194"/>
    </row>
    <row r="3140">
      <c r="A3140" s="193" t="s">
        <v>20837</v>
      </c>
      <c r="B3140" s="7" t="s">
        <v>169</v>
      </c>
      <c r="C3140" s="7" t="s">
        <v>16945</v>
      </c>
      <c r="D3140" s="194">
        <v>1992.0</v>
      </c>
      <c r="E3140" s="193"/>
      <c r="F3140" s="195" t="s">
        <v>20838</v>
      </c>
      <c r="G3140" s="196">
        <v>1.929525459E9</v>
      </c>
      <c r="H3140" s="197">
        <v>59.29</v>
      </c>
      <c r="I3140" s="7" t="s">
        <v>16815</v>
      </c>
      <c r="J3140" s="7" t="s">
        <v>169</v>
      </c>
      <c r="K3140" s="7" t="s">
        <v>16945</v>
      </c>
      <c r="L3140" s="198" t="s">
        <v>65</v>
      </c>
      <c r="M3140" s="194"/>
      <c r="N3140" s="194"/>
    </row>
    <row r="3141">
      <c r="A3141" s="193" t="s">
        <v>20839</v>
      </c>
      <c r="B3141" s="7" t="s">
        <v>175</v>
      </c>
      <c r="C3141" s="7" t="s">
        <v>17475</v>
      </c>
      <c r="D3141" s="194">
        <v>2020.0</v>
      </c>
      <c r="E3141" s="193"/>
      <c r="F3141" s="195" t="s">
        <v>20840</v>
      </c>
      <c r="G3141" s="196">
        <v>1.927320005E9</v>
      </c>
      <c r="H3141" s="197">
        <v>10.8</v>
      </c>
      <c r="I3141" s="193" t="s">
        <v>168</v>
      </c>
      <c r="J3141" s="7" t="s">
        <v>175</v>
      </c>
      <c r="K3141" s="7" t="s">
        <v>17475</v>
      </c>
      <c r="L3141" s="198" t="s">
        <v>65</v>
      </c>
      <c r="M3141" s="194"/>
      <c r="N3141" s="194"/>
    </row>
    <row r="3142">
      <c r="A3142" s="193" t="s">
        <v>20841</v>
      </c>
      <c r="B3142" s="7" t="s">
        <v>169</v>
      </c>
      <c r="C3142" s="7" t="s">
        <v>19719</v>
      </c>
      <c r="D3142" s="194">
        <v>2008.0</v>
      </c>
      <c r="E3142" s="193"/>
      <c r="F3142" s="195" t="s">
        <v>20842</v>
      </c>
      <c r="G3142" s="196">
        <v>1.927277652E9</v>
      </c>
      <c r="H3142" s="197">
        <v>115.34</v>
      </c>
      <c r="I3142" s="7" t="s">
        <v>16815</v>
      </c>
      <c r="J3142" s="7" t="s">
        <v>169</v>
      </c>
      <c r="K3142" s="7" t="s">
        <v>19719</v>
      </c>
      <c r="L3142" s="198" t="s">
        <v>65</v>
      </c>
      <c r="M3142" s="194"/>
      <c r="N3142" s="194"/>
    </row>
    <row r="3143">
      <c r="A3143" s="193" t="s">
        <v>20843</v>
      </c>
      <c r="B3143" s="7" t="s">
        <v>175</v>
      </c>
      <c r="C3143" s="7" t="s">
        <v>17084</v>
      </c>
      <c r="D3143" s="199"/>
      <c r="E3143" s="193"/>
      <c r="F3143" s="195" t="s">
        <v>20844</v>
      </c>
      <c r="G3143" s="196">
        <v>1.925554618E9</v>
      </c>
      <c r="H3143" s="197">
        <v>20.45</v>
      </c>
      <c r="I3143" s="7" t="s">
        <v>16908</v>
      </c>
      <c r="J3143" s="7" t="s">
        <v>175</v>
      </c>
      <c r="K3143" s="7" t="s">
        <v>17084</v>
      </c>
      <c r="L3143" s="198" t="s">
        <v>65</v>
      </c>
      <c r="M3143" s="199"/>
      <c r="N3143" s="199"/>
    </row>
    <row r="3144">
      <c r="A3144" s="193" t="s">
        <v>20843</v>
      </c>
      <c r="B3144" s="7" t="s">
        <v>17084</v>
      </c>
      <c r="C3144" s="7" t="s">
        <v>175</v>
      </c>
      <c r="D3144" s="199"/>
      <c r="E3144" s="193"/>
      <c r="F3144" s="195" t="s">
        <v>20844</v>
      </c>
      <c r="G3144" s="200">
        <v>1.925554618E9</v>
      </c>
      <c r="H3144" s="197">
        <v>20.45</v>
      </c>
      <c r="I3144" s="7" t="s">
        <v>16815</v>
      </c>
      <c r="J3144" s="7" t="s">
        <v>17084</v>
      </c>
      <c r="K3144" s="7" t="s">
        <v>175</v>
      </c>
      <c r="L3144" s="201" t="s">
        <v>16835</v>
      </c>
      <c r="M3144" s="199"/>
      <c r="N3144" s="199"/>
    </row>
    <row r="3145">
      <c r="A3145" s="193" t="s">
        <v>20845</v>
      </c>
      <c r="B3145" s="7" t="s">
        <v>175</v>
      </c>
      <c r="C3145" s="7" t="s">
        <v>16972</v>
      </c>
      <c r="D3145" s="194">
        <v>1987.0</v>
      </c>
      <c r="E3145" s="193"/>
      <c r="F3145" s="195" t="s">
        <v>20846</v>
      </c>
      <c r="G3145" s="196">
        <v>1.921743563E9</v>
      </c>
      <c r="H3145" s="197">
        <v>37.67</v>
      </c>
      <c r="I3145" s="7" t="s">
        <v>16908</v>
      </c>
      <c r="J3145" s="7" t="s">
        <v>175</v>
      </c>
      <c r="K3145" s="7" t="s">
        <v>16972</v>
      </c>
      <c r="L3145" s="198" t="s">
        <v>65</v>
      </c>
      <c r="M3145" s="194"/>
      <c r="N3145" s="194"/>
    </row>
    <row r="3146">
      <c r="A3146" s="193" t="s">
        <v>20845</v>
      </c>
      <c r="B3146" s="7" t="s">
        <v>16972</v>
      </c>
      <c r="C3146" s="7" t="s">
        <v>175</v>
      </c>
      <c r="D3146" s="194">
        <v>1987.0</v>
      </c>
      <c r="E3146" s="193"/>
      <c r="F3146" s="195" t="s">
        <v>20846</v>
      </c>
      <c r="G3146" s="200">
        <v>1.921743563E9</v>
      </c>
      <c r="H3146" s="197">
        <v>37.67</v>
      </c>
      <c r="I3146" s="7" t="s">
        <v>16815</v>
      </c>
      <c r="J3146" s="7" t="s">
        <v>16972</v>
      </c>
      <c r="K3146" s="7" t="s">
        <v>175</v>
      </c>
      <c r="L3146" s="201" t="s">
        <v>16835</v>
      </c>
      <c r="M3146" s="194"/>
      <c r="N3146" s="194"/>
    </row>
    <row r="3147">
      <c r="A3147" s="193" t="s">
        <v>20847</v>
      </c>
      <c r="B3147" s="7" t="s">
        <v>17112</v>
      </c>
      <c r="C3147" s="7" t="s">
        <v>16838</v>
      </c>
      <c r="D3147" s="194">
        <v>2021.0</v>
      </c>
      <c r="E3147" s="193"/>
      <c r="F3147" s="195" t="s">
        <v>20848</v>
      </c>
      <c r="G3147" s="200">
        <v>1.918805684E9</v>
      </c>
      <c r="H3147" s="197">
        <v>7.05</v>
      </c>
      <c r="I3147" s="7" t="s">
        <v>16815</v>
      </c>
      <c r="J3147" s="7" t="s">
        <v>17112</v>
      </c>
      <c r="K3147" s="7" t="s">
        <v>16838</v>
      </c>
      <c r="L3147" s="201" t="s">
        <v>16835</v>
      </c>
      <c r="M3147" s="194"/>
      <c r="N3147" s="194"/>
    </row>
    <row r="3148">
      <c r="A3148" s="193" t="s">
        <v>20847</v>
      </c>
      <c r="B3148" s="7" t="s">
        <v>16838</v>
      </c>
      <c r="C3148" s="7" t="s">
        <v>17112</v>
      </c>
      <c r="D3148" s="194">
        <v>2021.0</v>
      </c>
      <c r="E3148" s="193"/>
      <c r="F3148" s="195" t="s">
        <v>20848</v>
      </c>
      <c r="G3148" s="196">
        <v>1.918805684E9</v>
      </c>
      <c r="H3148" s="197">
        <v>7.05</v>
      </c>
      <c r="I3148" s="7" t="s">
        <v>16815</v>
      </c>
      <c r="J3148" s="7" t="s">
        <v>16838</v>
      </c>
      <c r="K3148" s="7" t="s">
        <v>17112</v>
      </c>
      <c r="L3148" s="198" t="s">
        <v>65</v>
      </c>
      <c r="M3148" s="194"/>
      <c r="N3148" s="194"/>
    </row>
    <row r="3149">
      <c r="A3149" s="193" t="s">
        <v>20849</v>
      </c>
      <c r="D3149" s="194">
        <v>1998.0</v>
      </c>
      <c r="E3149" s="193"/>
      <c r="F3149" s="195" t="s">
        <v>20850</v>
      </c>
      <c r="G3149" s="196">
        <v>1.91820537E9</v>
      </c>
      <c r="H3149" s="197">
        <v>32.36</v>
      </c>
      <c r="I3149" s="7" t="s">
        <v>16815</v>
      </c>
      <c r="L3149" s="198" t="s">
        <v>65</v>
      </c>
      <c r="M3149" s="194"/>
      <c r="N3149" s="194"/>
    </row>
    <row r="3150">
      <c r="A3150" s="193" t="s">
        <v>20851</v>
      </c>
      <c r="B3150" s="7" t="s">
        <v>17009</v>
      </c>
      <c r="C3150" s="7" t="s">
        <v>169</v>
      </c>
      <c r="D3150" s="199"/>
      <c r="E3150" s="193"/>
      <c r="F3150" s="195" t="s">
        <v>20852</v>
      </c>
      <c r="G3150" s="200">
        <v>1.912518076E9</v>
      </c>
      <c r="H3150" s="197">
        <v>23.36</v>
      </c>
      <c r="I3150" s="7" t="s">
        <v>16815</v>
      </c>
      <c r="J3150" s="7" t="s">
        <v>17009</v>
      </c>
      <c r="K3150" s="7" t="s">
        <v>169</v>
      </c>
      <c r="L3150" s="201" t="s">
        <v>16835</v>
      </c>
      <c r="M3150" s="199"/>
      <c r="N3150" s="199"/>
    </row>
    <row r="3151">
      <c r="A3151" s="193" t="s">
        <v>20851</v>
      </c>
      <c r="B3151" s="7" t="s">
        <v>169</v>
      </c>
      <c r="C3151" s="7" t="s">
        <v>17009</v>
      </c>
      <c r="D3151" s="199"/>
      <c r="E3151" s="193"/>
      <c r="F3151" s="195" t="s">
        <v>20852</v>
      </c>
      <c r="G3151" s="196">
        <v>1.912518076E9</v>
      </c>
      <c r="H3151" s="197">
        <v>23.36</v>
      </c>
      <c r="I3151" s="7" t="s">
        <v>16815</v>
      </c>
      <c r="J3151" s="7" t="s">
        <v>169</v>
      </c>
      <c r="K3151" s="7" t="s">
        <v>17009</v>
      </c>
      <c r="L3151" s="198" t="s">
        <v>65</v>
      </c>
      <c r="M3151" s="199"/>
      <c r="N3151" s="199"/>
    </row>
    <row r="3152">
      <c r="A3152" s="193" t="s">
        <v>20853</v>
      </c>
      <c r="B3152" s="7" t="s">
        <v>16582</v>
      </c>
      <c r="C3152" s="7" t="s">
        <v>17435</v>
      </c>
      <c r="D3152" s="194">
        <v>2020.0</v>
      </c>
      <c r="E3152" s="193"/>
      <c r="F3152" s="195" t="s">
        <v>20854</v>
      </c>
      <c r="G3152" s="196">
        <v>1.905679107E9</v>
      </c>
      <c r="H3152" s="197">
        <v>4.79</v>
      </c>
      <c r="I3152" s="7" t="s">
        <v>16815</v>
      </c>
      <c r="J3152" s="7" t="s">
        <v>16582</v>
      </c>
      <c r="K3152" s="7" t="s">
        <v>17435</v>
      </c>
      <c r="L3152" s="198" t="s">
        <v>65</v>
      </c>
      <c r="M3152" s="194"/>
      <c r="N3152" s="194"/>
    </row>
    <row r="3153">
      <c r="A3153" s="193" t="s">
        <v>20855</v>
      </c>
      <c r="B3153" s="7" t="s">
        <v>16582</v>
      </c>
      <c r="C3153" s="7" t="s">
        <v>16828</v>
      </c>
      <c r="D3153" s="194">
        <v>2005.0</v>
      </c>
      <c r="E3153" s="193"/>
      <c r="F3153" s="195" t="s">
        <v>20856</v>
      </c>
      <c r="G3153" s="196">
        <v>1.904567619E9</v>
      </c>
      <c r="H3153" s="197">
        <v>57.62</v>
      </c>
      <c r="I3153" s="7" t="s">
        <v>16815</v>
      </c>
      <c r="J3153" s="7" t="s">
        <v>16582</v>
      </c>
      <c r="K3153" s="7" t="s">
        <v>16828</v>
      </c>
      <c r="L3153" s="198" t="s">
        <v>65</v>
      </c>
      <c r="M3153" s="194"/>
      <c r="N3153" s="194"/>
    </row>
    <row r="3154">
      <c r="A3154" s="193" t="s">
        <v>20857</v>
      </c>
      <c r="B3154" s="7" t="s">
        <v>175</v>
      </c>
      <c r="C3154" s="7" t="s">
        <v>17948</v>
      </c>
      <c r="D3154" s="194">
        <v>2021.0</v>
      </c>
      <c r="E3154" s="193"/>
      <c r="F3154" s="195" t="s">
        <v>20858</v>
      </c>
      <c r="G3154" s="196">
        <v>1.901492536E9</v>
      </c>
      <c r="H3154" s="197">
        <v>11.35</v>
      </c>
      <c r="I3154" s="7" t="s">
        <v>16908</v>
      </c>
      <c r="J3154" s="7" t="s">
        <v>175</v>
      </c>
      <c r="K3154" s="7" t="s">
        <v>17948</v>
      </c>
      <c r="L3154" s="198" t="s">
        <v>65</v>
      </c>
      <c r="M3154" s="194"/>
      <c r="N3154" s="194"/>
    </row>
    <row r="3155">
      <c r="A3155" s="193" t="s">
        <v>20859</v>
      </c>
      <c r="B3155" s="7" t="s">
        <v>17111</v>
      </c>
      <c r="C3155" s="7" t="s">
        <v>17112</v>
      </c>
      <c r="D3155" s="194">
        <v>1994.0</v>
      </c>
      <c r="E3155" s="193"/>
      <c r="F3155" s="195" t="s">
        <v>20860</v>
      </c>
      <c r="G3155" s="200">
        <v>1.901421765E9</v>
      </c>
      <c r="H3155" s="197">
        <v>17.99</v>
      </c>
      <c r="I3155" s="7" t="s">
        <v>16815</v>
      </c>
      <c r="J3155" s="7" t="s">
        <v>17111</v>
      </c>
      <c r="K3155" s="7" t="s">
        <v>17112</v>
      </c>
      <c r="L3155" s="201" t="s">
        <v>16835</v>
      </c>
      <c r="M3155" s="194"/>
      <c r="N3155" s="194"/>
    </row>
    <row r="3156">
      <c r="A3156" s="193" t="s">
        <v>20859</v>
      </c>
      <c r="B3156" s="7" t="s">
        <v>17112</v>
      </c>
      <c r="C3156" s="7" t="s">
        <v>17111</v>
      </c>
      <c r="D3156" s="194">
        <v>1994.0</v>
      </c>
      <c r="E3156" s="193"/>
      <c r="F3156" s="195" t="s">
        <v>20860</v>
      </c>
      <c r="G3156" s="196">
        <v>1.901421765E9</v>
      </c>
      <c r="H3156" s="197">
        <v>17.99</v>
      </c>
      <c r="I3156" s="7" t="s">
        <v>16815</v>
      </c>
      <c r="J3156" s="7" t="s">
        <v>17112</v>
      </c>
      <c r="K3156" s="7" t="s">
        <v>17111</v>
      </c>
      <c r="L3156" s="198" t="s">
        <v>65</v>
      </c>
      <c r="M3156" s="194"/>
      <c r="N3156" s="194"/>
    </row>
    <row r="3157">
      <c r="A3157" s="193" t="s">
        <v>20861</v>
      </c>
      <c r="B3157" s="7" t="s">
        <v>17112</v>
      </c>
      <c r="C3157" s="7" t="s">
        <v>16838</v>
      </c>
      <c r="D3157" s="194">
        <v>2015.0</v>
      </c>
      <c r="E3157" s="193"/>
      <c r="F3157" s="195" t="s">
        <v>20862</v>
      </c>
      <c r="G3157" s="200">
        <v>1.901102509E9</v>
      </c>
      <c r="H3157" s="197">
        <v>16.16</v>
      </c>
      <c r="I3157" s="7" t="s">
        <v>16815</v>
      </c>
      <c r="J3157" s="7" t="s">
        <v>17112</v>
      </c>
      <c r="K3157" s="7" t="s">
        <v>16838</v>
      </c>
      <c r="L3157" s="201" t="s">
        <v>16835</v>
      </c>
      <c r="M3157" s="194"/>
      <c r="N3157" s="194"/>
    </row>
    <row r="3158">
      <c r="A3158" s="193" t="s">
        <v>20861</v>
      </c>
      <c r="B3158" s="7" t="s">
        <v>16838</v>
      </c>
      <c r="C3158" s="7" t="s">
        <v>17112</v>
      </c>
      <c r="D3158" s="194">
        <v>2015.0</v>
      </c>
      <c r="E3158" s="193"/>
      <c r="F3158" s="195" t="s">
        <v>20862</v>
      </c>
      <c r="G3158" s="196">
        <v>1.901102509E9</v>
      </c>
      <c r="H3158" s="197">
        <v>16.16</v>
      </c>
      <c r="I3158" s="7" t="s">
        <v>16815</v>
      </c>
      <c r="J3158" s="7" t="s">
        <v>16838</v>
      </c>
      <c r="K3158" s="7" t="s">
        <v>17112</v>
      </c>
      <c r="L3158" s="198" t="s">
        <v>65</v>
      </c>
      <c r="M3158" s="194"/>
      <c r="N3158" s="194"/>
    </row>
    <row r="3159">
      <c r="A3159" s="193" t="s">
        <v>20863</v>
      </c>
      <c r="B3159" s="7" t="s">
        <v>169</v>
      </c>
      <c r="C3159" s="7" t="s">
        <v>17022</v>
      </c>
      <c r="D3159" s="194">
        <v>2022.0</v>
      </c>
      <c r="E3159" s="193"/>
      <c r="F3159" s="195" t="s">
        <v>20864</v>
      </c>
      <c r="G3159" s="196">
        <v>1.896287508E9</v>
      </c>
      <c r="H3159" s="197">
        <v>7.04</v>
      </c>
      <c r="I3159" s="7" t="s">
        <v>16815</v>
      </c>
      <c r="J3159" s="7" t="s">
        <v>169</v>
      </c>
      <c r="K3159" s="7" t="s">
        <v>17022</v>
      </c>
      <c r="L3159" s="198" t="s">
        <v>65</v>
      </c>
      <c r="M3159" s="194"/>
      <c r="N3159" s="194"/>
    </row>
    <row r="3160">
      <c r="A3160" s="193" t="s">
        <v>20863</v>
      </c>
      <c r="B3160" s="7" t="s">
        <v>17022</v>
      </c>
      <c r="C3160" s="7" t="s">
        <v>169</v>
      </c>
      <c r="D3160" s="194">
        <v>2022.0</v>
      </c>
      <c r="E3160" s="193"/>
      <c r="F3160" s="195" t="s">
        <v>20864</v>
      </c>
      <c r="G3160" s="200">
        <v>1.896287508E9</v>
      </c>
      <c r="H3160" s="197">
        <v>7.04</v>
      </c>
      <c r="I3160" s="7" t="s">
        <v>16815</v>
      </c>
      <c r="J3160" s="7" t="s">
        <v>17022</v>
      </c>
      <c r="K3160" s="7" t="s">
        <v>169</v>
      </c>
      <c r="L3160" s="201" t="s">
        <v>16835</v>
      </c>
      <c r="M3160" s="194"/>
      <c r="N3160" s="194"/>
    </row>
    <row r="3161">
      <c r="A3161" s="193" t="s">
        <v>20865</v>
      </c>
      <c r="B3161" s="7" t="s">
        <v>187</v>
      </c>
      <c r="C3161" s="7" t="s">
        <v>16846</v>
      </c>
      <c r="D3161" s="194">
        <v>2019.0</v>
      </c>
      <c r="E3161" s="193"/>
      <c r="F3161" s="195" t="s">
        <v>20866</v>
      </c>
      <c r="G3161" s="196">
        <v>1.894463882E9</v>
      </c>
      <c r="H3161" s="197">
        <v>29.39</v>
      </c>
      <c r="I3161" s="7" t="s">
        <v>16815</v>
      </c>
      <c r="J3161" s="7" t="s">
        <v>187</v>
      </c>
      <c r="K3161" s="7" t="s">
        <v>16846</v>
      </c>
      <c r="L3161" s="198" t="s">
        <v>65</v>
      </c>
      <c r="M3161" s="194"/>
      <c r="N3161" s="194"/>
    </row>
    <row r="3162">
      <c r="A3162" s="193" t="s">
        <v>20867</v>
      </c>
      <c r="B3162" s="7" t="s">
        <v>175</v>
      </c>
      <c r="C3162" s="7" t="s">
        <v>17233</v>
      </c>
      <c r="D3162" s="199"/>
      <c r="E3162" s="193"/>
      <c r="F3162" s="195" t="s">
        <v>20868</v>
      </c>
      <c r="G3162" s="196">
        <v>1.892624E9</v>
      </c>
      <c r="H3162" s="197">
        <v>18.4</v>
      </c>
      <c r="I3162" s="7" t="s">
        <v>17033</v>
      </c>
      <c r="J3162" s="7" t="s">
        <v>175</v>
      </c>
      <c r="K3162" s="7" t="s">
        <v>17233</v>
      </c>
      <c r="L3162" s="198" t="s">
        <v>65</v>
      </c>
      <c r="M3162" s="199"/>
      <c r="N3162" s="199"/>
    </row>
    <row r="3163">
      <c r="A3163" s="193" t="s">
        <v>20869</v>
      </c>
      <c r="B3163" s="7" t="s">
        <v>16582</v>
      </c>
      <c r="C3163" s="7" t="s">
        <v>16899</v>
      </c>
      <c r="D3163" s="194">
        <v>1997.0</v>
      </c>
      <c r="E3163" s="193"/>
      <c r="F3163" s="195" t="s">
        <v>20870</v>
      </c>
      <c r="G3163" s="196">
        <v>1.891766085E9</v>
      </c>
      <c r="H3163" s="197">
        <v>111.36</v>
      </c>
      <c r="I3163" s="7" t="s">
        <v>16815</v>
      </c>
      <c r="J3163" s="7" t="s">
        <v>16582</v>
      </c>
      <c r="K3163" s="7" t="s">
        <v>16899</v>
      </c>
      <c r="L3163" s="198" t="s">
        <v>65</v>
      </c>
      <c r="M3163" s="194"/>
      <c r="N3163" s="194"/>
    </row>
    <row r="3164">
      <c r="A3164" s="193" t="s">
        <v>20871</v>
      </c>
      <c r="B3164" s="7" t="s">
        <v>158</v>
      </c>
      <c r="C3164" s="7" t="s">
        <v>16864</v>
      </c>
      <c r="D3164" s="194">
        <v>2021.0</v>
      </c>
      <c r="E3164" s="193"/>
      <c r="F3164" s="195" t="s">
        <v>20872</v>
      </c>
      <c r="G3164" s="196">
        <v>1.88999084E9</v>
      </c>
      <c r="H3164" s="197">
        <v>10.52</v>
      </c>
      <c r="I3164" s="7" t="s">
        <v>16897</v>
      </c>
      <c r="J3164" s="7" t="s">
        <v>158</v>
      </c>
      <c r="K3164" s="7" t="s">
        <v>16864</v>
      </c>
      <c r="L3164" s="198" t="s">
        <v>65</v>
      </c>
      <c r="M3164" s="194"/>
      <c r="N3164" s="194"/>
    </row>
    <row r="3165">
      <c r="A3165" s="193" t="s">
        <v>20871</v>
      </c>
      <c r="B3165" s="7" t="s">
        <v>16864</v>
      </c>
      <c r="C3165" s="7" t="s">
        <v>158</v>
      </c>
      <c r="D3165" s="194">
        <v>2021.0</v>
      </c>
      <c r="E3165" s="193"/>
      <c r="F3165" s="195" t="s">
        <v>20872</v>
      </c>
      <c r="G3165" s="200">
        <v>1.88999084E9</v>
      </c>
      <c r="H3165" s="197">
        <v>10.52</v>
      </c>
      <c r="I3165" s="7" t="s">
        <v>16815</v>
      </c>
      <c r="J3165" s="7" t="s">
        <v>16864</v>
      </c>
      <c r="K3165" s="7" t="s">
        <v>158</v>
      </c>
      <c r="L3165" s="201" t="s">
        <v>16835</v>
      </c>
      <c r="M3165" s="194"/>
      <c r="N3165" s="194"/>
    </row>
    <row r="3166">
      <c r="A3166" s="193" t="s">
        <v>20873</v>
      </c>
      <c r="B3166" s="7" t="s">
        <v>16582</v>
      </c>
      <c r="C3166" s="7" t="s">
        <v>16817</v>
      </c>
      <c r="D3166" s="194">
        <v>2018.0</v>
      </c>
      <c r="E3166" s="193"/>
      <c r="F3166" s="195" t="s">
        <v>20874</v>
      </c>
      <c r="G3166" s="196">
        <v>1.888981384E9</v>
      </c>
      <c r="H3166" s="197">
        <v>11.39</v>
      </c>
      <c r="I3166" s="7" t="s">
        <v>16815</v>
      </c>
      <c r="J3166" s="7" t="s">
        <v>16582</v>
      </c>
      <c r="K3166" s="7" t="s">
        <v>16817</v>
      </c>
      <c r="L3166" s="198" t="s">
        <v>65</v>
      </c>
      <c r="M3166" s="194"/>
      <c r="N3166" s="194"/>
    </row>
    <row r="3167">
      <c r="A3167" s="193" t="s">
        <v>20873</v>
      </c>
      <c r="B3167" s="7" t="s">
        <v>16817</v>
      </c>
      <c r="C3167" s="7" t="s">
        <v>16582</v>
      </c>
      <c r="D3167" s="194">
        <v>2018.0</v>
      </c>
      <c r="E3167" s="193"/>
      <c r="F3167" s="195" t="s">
        <v>20874</v>
      </c>
      <c r="G3167" s="200">
        <v>1.888981384E9</v>
      </c>
      <c r="H3167" s="197">
        <v>11.39</v>
      </c>
      <c r="I3167" s="7" t="s">
        <v>16815</v>
      </c>
      <c r="J3167" s="7" t="s">
        <v>16817</v>
      </c>
      <c r="K3167" s="7" t="s">
        <v>16582</v>
      </c>
      <c r="L3167" s="201" t="s">
        <v>16835</v>
      </c>
      <c r="M3167" s="194"/>
      <c r="N3167" s="194"/>
    </row>
    <row r="3168">
      <c r="A3168" s="193" t="s">
        <v>20875</v>
      </c>
      <c r="B3168" s="7" t="s">
        <v>16838</v>
      </c>
      <c r="C3168" s="7" t="s">
        <v>16867</v>
      </c>
      <c r="D3168" s="199"/>
      <c r="E3168" s="193"/>
      <c r="F3168" s="195" t="s">
        <v>20876</v>
      </c>
      <c r="G3168" s="196">
        <v>1.887311449E9</v>
      </c>
      <c r="H3168" s="197">
        <v>19.68</v>
      </c>
      <c r="I3168" s="7" t="s">
        <v>16815</v>
      </c>
      <c r="J3168" s="7" t="s">
        <v>16838</v>
      </c>
      <c r="K3168" s="7" t="s">
        <v>16867</v>
      </c>
      <c r="L3168" s="198" t="s">
        <v>65</v>
      </c>
      <c r="M3168" s="199"/>
      <c r="N3168" s="199"/>
    </row>
    <row r="3169">
      <c r="A3169" s="193" t="s">
        <v>20877</v>
      </c>
      <c r="B3169" s="7" t="s">
        <v>187</v>
      </c>
      <c r="C3169" s="7" t="s">
        <v>16846</v>
      </c>
      <c r="D3169" s="194">
        <v>2014.0</v>
      </c>
      <c r="E3169" s="193"/>
      <c r="F3169" s="195" t="s">
        <v>20878</v>
      </c>
      <c r="G3169" s="196">
        <v>1.886338568E9</v>
      </c>
      <c r="H3169" s="197">
        <v>28.83</v>
      </c>
      <c r="I3169" s="7" t="s">
        <v>16815</v>
      </c>
      <c r="J3169" s="7" t="s">
        <v>187</v>
      </c>
      <c r="K3169" s="7" t="s">
        <v>16846</v>
      </c>
      <c r="L3169" s="198" t="s">
        <v>65</v>
      </c>
      <c r="M3169" s="194"/>
      <c r="N3169" s="194"/>
    </row>
    <row r="3170">
      <c r="A3170" s="193" t="s">
        <v>20879</v>
      </c>
      <c r="B3170" s="7" t="s">
        <v>16582</v>
      </c>
      <c r="C3170" s="7" t="s">
        <v>16930</v>
      </c>
      <c r="D3170" s="194">
        <v>2021.0</v>
      </c>
      <c r="E3170" s="193"/>
      <c r="F3170" s="195" t="s">
        <v>20880</v>
      </c>
      <c r="G3170" s="196">
        <v>1.886030316E9</v>
      </c>
      <c r="H3170" s="197">
        <v>9.33</v>
      </c>
      <c r="I3170" s="7" t="s">
        <v>16815</v>
      </c>
      <c r="J3170" s="7" t="s">
        <v>16582</v>
      </c>
      <c r="K3170" s="7" t="s">
        <v>16930</v>
      </c>
      <c r="L3170" s="198" t="s">
        <v>65</v>
      </c>
      <c r="M3170" s="194"/>
      <c r="N3170" s="194"/>
    </row>
    <row r="3171">
      <c r="A3171" s="193" t="s">
        <v>20881</v>
      </c>
      <c r="B3171" s="7" t="s">
        <v>17111</v>
      </c>
      <c r="C3171" s="7" t="s">
        <v>17112</v>
      </c>
      <c r="D3171" s="194">
        <v>2014.0</v>
      </c>
      <c r="E3171" s="193"/>
      <c r="F3171" s="195" t="s">
        <v>20882</v>
      </c>
      <c r="G3171" s="200">
        <v>1.884866044E9</v>
      </c>
      <c r="H3171" s="197">
        <v>11.42</v>
      </c>
      <c r="I3171" s="7" t="s">
        <v>16815</v>
      </c>
      <c r="J3171" s="7" t="s">
        <v>17111</v>
      </c>
      <c r="K3171" s="7" t="s">
        <v>17112</v>
      </c>
      <c r="L3171" s="201" t="s">
        <v>16835</v>
      </c>
      <c r="M3171" s="194"/>
      <c r="N3171" s="194"/>
    </row>
    <row r="3172">
      <c r="A3172" s="193" t="s">
        <v>20881</v>
      </c>
      <c r="B3172" s="7" t="s">
        <v>17112</v>
      </c>
      <c r="C3172" s="7" t="s">
        <v>17111</v>
      </c>
      <c r="D3172" s="194">
        <v>2014.0</v>
      </c>
      <c r="E3172" s="193"/>
      <c r="F3172" s="195" t="s">
        <v>20882</v>
      </c>
      <c r="G3172" s="196">
        <v>1.884866044E9</v>
      </c>
      <c r="H3172" s="197">
        <v>11.42</v>
      </c>
      <c r="I3172" s="7" t="s">
        <v>16815</v>
      </c>
      <c r="J3172" s="7" t="s">
        <v>17112</v>
      </c>
      <c r="K3172" s="7" t="s">
        <v>17111</v>
      </c>
      <c r="L3172" s="198" t="s">
        <v>65</v>
      </c>
      <c r="M3172" s="194"/>
      <c r="N3172" s="194"/>
    </row>
    <row r="3173">
      <c r="A3173" s="193" t="s">
        <v>20883</v>
      </c>
      <c r="B3173" s="7" t="s">
        <v>16582</v>
      </c>
      <c r="C3173" s="7" t="s">
        <v>16930</v>
      </c>
      <c r="D3173" s="194">
        <v>2010.0</v>
      </c>
      <c r="E3173" s="193"/>
      <c r="F3173" s="195" t="s">
        <v>20884</v>
      </c>
      <c r="G3173" s="196">
        <v>1.884701295E9</v>
      </c>
      <c r="H3173" s="197">
        <v>34.56</v>
      </c>
      <c r="I3173" s="7" t="s">
        <v>16815</v>
      </c>
      <c r="J3173" s="7" t="s">
        <v>16582</v>
      </c>
      <c r="K3173" s="7" t="s">
        <v>16930</v>
      </c>
      <c r="L3173" s="198" t="s">
        <v>65</v>
      </c>
      <c r="M3173" s="194"/>
      <c r="N3173" s="194"/>
    </row>
    <row r="3174">
      <c r="A3174" s="193" t="s">
        <v>20883</v>
      </c>
      <c r="B3174" s="7" t="s">
        <v>16930</v>
      </c>
      <c r="C3174" s="7" t="s">
        <v>16582</v>
      </c>
      <c r="D3174" s="194">
        <v>2010.0</v>
      </c>
      <c r="E3174" s="193"/>
      <c r="F3174" s="195" t="s">
        <v>20884</v>
      </c>
      <c r="G3174" s="200">
        <v>1.884701295E9</v>
      </c>
      <c r="H3174" s="197">
        <v>34.56</v>
      </c>
      <c r="I3174" s="7" t="s">
        <v>16815</v>
      </c>
      <c r="J3174" s="7" t="s">
        <v>16930</v>
      </c>
      <c r="K3174" s="7" t="s">
        <v>16582</v>
      </c>
      <c r="L3174" s="201" t="s">
        <v>16835</v>
      </c>
      <c r="M3174" s="194"/>
      <c r="N3174" s="194"/>
    </row>
    <row r="3175">
      <c r="A3175" s="193" t="s">
        <v>20885</v>
      </c>
      <c r="B3175" s="7" t="s">
        <v>17111</v>
      </c>
      <c r="C3175" s="7" t="s">
        <v>17112</v>
      </c>
      <c r="D3175" s="194">
        <v>2006.0</v>
      </c>
      <c r="E3175" s="193"/>
      <c r="F3175" s="195" t="s">
        <v>20886</v>
      </c>
      <c r="G3175" s="200">
        <v>1.884136349E9</v>
      </c>
      <c r="H3175" s="197">
        <v>11.3</v>
      </c>
      <c r="I3175" s="7" t="s">
        <v>16815</v>
      </c>
      <c r="J3175" s="7" t="s">
        <v>17111</v>
      </c>
      <c r="K3175" s="7" t="s">
        <v>17112</v>
      </c>
      <c r="L3175" s="201" t="s">
        <v>16835</v>
      </c>
      <c r="M3175" s="194"/>
      <c r="N3175" s="194"/>
    </row>
    <row r="3176">
      <c r="A3176" s="193" t="s">
        <v>20885</v>
      </c>
      <c r="B3176" s="7" t="s">
        <v>17112</v>
      </c>
      <c r="C3176" s="7" t="s">
        <v>17111</v>
      </c>
      <c r="D3176" s="194">
        <v>2006.0</v>
      </c>
      <c r="E3176" s="193"/>
      <c r="F3176" s="195" t="s">
        <v>20886</v>
      </c>
      <c r="G3176" s="196">
        <v>1.884136349E9</v>
      </c>
      <c r="H3176" s="197">
        <v>11.3</v>
      </c>
      <c r="I3176" s="7" t="s">
        <v>16815</v>
      </c>
      <c r="J3176" s="7" t="s">
        <v>17112</v>
      </c>
      <c r="K3176" s="7" t="s">
        <v>17111</v>
      </c>
      <c r="L3176" s="198" t="s">
        <v>65</v>
      </c>
      <c r="M3176" s="194"/>
      <c r="N3176" s="194"/>
    </row>
    <row r="3177">
      <c r="A3177" s="193" t="s">
        <v>20887</v>
      </c>
      <c r="B3177" s="7" t="s">
        <v>175</v>
      </c>
      <c r="C3177" s="7" t="s">
        <v>17022</v>
      </c>
      <c r="D3177" s="194">
        <v>2018.0</v>
      </c>
      <c r="E3177" s="193"/>
      <c r="F3177" s="195" t="s">
        <v>20888</v>
      </c>
      <c r="G3177" s="196">
        <v>1.881828E9</v>
      </c>
      <c r="H3177" s="197">
        <v>11.7</v>
      </c>
      <c r="I3177" s="7" t="s">
        <v>16908</v>
      </c>
      <c r="J3177" s="7" t="s">
        <v>175</v>
      </c>
      <c r="K3177" s="7" t="s">
        <v>17022</v>
      </c>
      <c r="L3177" s="198" t="s">
        <v>65</v>
      </c>
      <c r="M3177" s="194"/>
      <c r="N3177" s="194"/>
    </row>
    <row r="3178">
      <c r="A3178" s="193" t="s">
        <v>20887</v>
      </c>
      <c r="B3178" s="7" t="s">
        <v>17022</v>
      </c>
      <c r="C3178" s="7" t="s">
        <v>175</v>
      </c>
      <c r="D3178" s="194">
        <v>2018.0</v>
      </c>
      <c r="E3178" s="193"/>
      <c r="F3178" s="195" t="s">
        <v>20888</v>
      </c>
      <c r="G3178" s="200">
        <v>1.881828E9</v>
      </c>
      <c r="H3178" s="197">
        <v>11.7</v>
      </c>
      <c r="I3178" s="7" t="s">
        <v>16815</v>
      </c>
      <c r="J3178" s="7" t="s">
        <v>17022</v>
      </c>
      <c r="K3178" s="7" t="s">
        <v>175</v>
      </c>
      <c r="L3178" s="201" t="s">
        <v>16835</v>
      </c>
      <c r="M3178" s="194"/>
      <c r="N3178" s="194"/>
    </row>
    <row r="3179">
      <c r="A3179" s="193" t="s">
        <v>20889</v>
      </c>
      <c r="B3179" s="7" t="s">
        <v>16838</v>
      </c>
      <c r="C3179" s="7" t="s">
        <v>17112</v>
      </c>
      <c r="D3179" s="199"/>
      <c r="E3179" s="193"/>
      <c r="F3179" s="195" t="s">
        <v>20890</v>
      </c>
      <c r="G3179" s="196">
        <v>1.879421519E9</v>
      </c>
      <c r="H3179" s="197">
        <v>12.22</v>
      </c>
      <c r="I3179" s="7" t="s">
        <v>16815</v>
      </c>
      <c r="J3179" s="7" t="s">
        <v>16838</v>
      </c>
      <c r="K3179" s="7" t="s">
        <v>17112</v>
      </c>
      <c r="L3179" s="198" t="s">
        <v>65</v>
      </c>
      <c r="M3179" s="199"/>
      <c r="N3179" s="199"/>
    </row>
    <row r="3180">
      <c r="A3180" s="193" t="s">
        <v>20891</v>
      </c>
      <c r="B3180" s="7" t="s">
        <v>16582</v>
      </c>
      <c r="C3180" s="7" t="s">
        <v>16930</v>
      </c>
      <c r="D3180" s="194">
        <v>2018.0</v>
      </c>
      <c r="E3180" s="193"/>
      <c r="F3180" s="195" t="s">
        <v>20892</v>
      </c>
      <c r="G3180" s="196">
        <v>1.878311059E9</v>
      </c>
      <c r="H3180" s="197">
        <v>13.8</v>
      </c>
      <c r="I3180" s="7" t="s">
        <v>16815</v>
      </c>
      <c r="J3180" s="7" t="s">
        <v>16582</v>
      </c>
      <c r="K3180" s="7" t="s">
        <v>16930</v>
      </c>
      <c r="L3180" s="198" t="s">
        <v>65</v>
      </c>
      <c r="M3180" s="194"/>
      <c r="N3180" s="194"/>
    </row>
    <row r="3181">
      <c r="A3181" s="193" t="s">
        <v>20893</v>
      </c>
      <c r="B3181" s="7" t="s">
        <v>16867</v>
      </c>
      <c r="C3181" s="7" t="s">
        <v>16838</v>
      </c>
      <c r="D3181" s="199"/>
      <c r="E3181" s="193"/>
      <c r="F3181" s="195" t="s">
        <v>12881</v>
      </c>
      <c r="G3181" s="200">
        <v>1.874284052E9</v>
      </c>
      <c r="H3181" s="197">
        <v>28.76</v>
      </c>
      <c r="I3181" s="7" t="s">
        <v>16815</v>
      </c>
      <c r="J3181" s="7" t="s">
        <v>16867</v>
      </c>
      <c r="K3181" s="7" t="s">
        <v>16838</v>
      </c>
      <c r="L3181" s="201" t="s">
        <v>16835</v>
      </c>
      <c r="M3181" s="199"/>
      <c r="N3181" s="199"/>
    </row>
    <row r="3182">
      <c r="A3182" s="193" t="s">
        <v>20893</v>
      </c>
      <c r="B3182" s="7" t="s">
        <v>16838</v>
      </c>
      <c r="C3182" s="7" t="s">
        <v>16867</v>
      </c>
      <c r="D3182" s="199"/>
      <c r="E3182" s="193"/>
      <c r="F3182" s="195" t="s">
        <v>12881</v>
      </c>
      <c r="G3182" s="196">
        <v>1.874284052E9</v>
      </c>
      <c r="H3182" s="197">
        <v>28.76</v>
      </c>
      <c r="I3182" s="7" t="s">
        <v>16815</v>
      </c>
      <c r="J3182" s="7" t="s">
        <v>16838</v>
      </c>
      <c r="K3182" s="7" t="s">
        <v>16867</v>
      </c>
      <c r="L3182" s="198" t="s">
        <v>65</v>
      </c>
      <c r="M3182" s="199"/>
      <c r="N3182" s="199"/>
    </row>
    <row r="3183">
      <c r="A3183" s="193" t="s">
        <v>20894</v>
      </c>
      <c r="B3183" s="7" t="s">
        <v>187</v>
      </c>
      <c r="C3183" s="7" t="s">
        <v>17122</v>
      </c>
      <c r="D3183" s="194">
        <v>2019.0</v>
      </c>
      <c r="E3183" s="193"/>
      <c r="F3183" s="195" t="s">
        <v>20895</v>
      </c>
      <c r="G3183" s="196">
        <v>1.872998434E9</v>
      </c>
      <c r="H3183" s="197">
        <v>57.37</v>
      </c>
      <c r="I3183" s="7" t="s">
        <v>16815</v>
      </c>
      <c r="J3183" s="7" t="s">
        <v>187</v>
      </c>
      <c r="K3183" s="7" t="s">
        <v>17122</v>
      </c>
      <c r="L3183" s="198" t="s">
        <v>65</v>
      </c>
      <c r="M3183" s="194"/>
      <c r="N3183" s="194"/>
    </row>
    <row r="3184">
      <c r="A3184" s="193" t="s">
        <v>20896</v>
      </c>
      <c r="B3184" s="7" t="s">
        <v>16838</v>
      </c>
      <c r="C3184" s="7" t="s">
        <v>17002</v>
      </c>
      <c r="D3184" s="199"/>
      <c r="E3184" s="193"/>
      <c r="F3184" s="195" t="s">
        <v>20897</v>
      </c>
      <c r="G3184" s="196">
        <v>1.869202656E9</v>
      </c>
      <c r="H3184" s="197">
        <v>2.88</v>
      </c>
      <c r="I3184" s="7" t="s">
        <v>16815</v>
      </c>
      <c r="J3184" s="7" t="s">
        <v>16838</v>
      </c>
      <c r="K3184" s="7" t="s">
        <v>17002</v>
      </c>
      <c r="L3184" s="198" t="s">
        <v>65</v>
      </c>
      <c r="M3184" s="199"/>
      <c r="N3184" s="199"/>
    </row>
    <row r="3185">
      <c r="A3185" s="193" t="s">
        <v>20896</v>
      </c>
      <c r="B3185" s="7" t="s">
        <v>17002</v>
      </c>
      <c r="C3185" s="7" t="s">
        <v>16838</v>
      </c>
      <c r="D3185" s="199"/>
      <c r="E3185" s="193"/>
      <c r="F3185" s="195" t="s">
        <v>20897</v>
      </c>
      <c r="G3185" s="200">
        <v>1.869202656E9</v>
      </c>
      <c r="H3185" s="197">
        <v>2.88</v>
      </c>
      <c r="I3185" s="7" t="s">
        <v>16815</v>
      </c>
      <c r="J3185" s="7" t="s">
        <v>17002</v>
      </c>
      <c r="K3185" s="7" t="s">
        <v>16838</v>
      </c>
      <c r="L3185" s="201" t="s">
        <v>16835</v>
      </c>
      <c r="M3185" s="199"/>
      <c r="N3185" s="199"/>
    </row>
    <row r="3186">
      <c r="A3186" s="193" t="s">
        <v>20898</v>
      </c>
      <c r="D3186" s="194">
        <v>2022.0</v>
      </c>
      <c r="E3186" s="193"/>
      <c r="F3186" s="195" t="s">
        <v>20899</v>
      </c>
      <c r="G3186" s="196">
        <v>1.861377044E9</v>
      </c>
      <c r="H3186" s="197">
        <v>9.19</v>
      </c>
      <c r="I3186" s="7" t="s">
        <v>16815</v>
      </c>
      <c r="L3186" s="198" t="s">
        <v>65</v>
      </c>
      <c r="M3186" s="194"/>
      <c r="N3186" s="194"/>
    </row>
    <row r="3187">
      <c r="A3187" s="193" t="s">
        <v>20898</v>
      </c>
      <c r="D3187" s="194">
        <v>2022.0</v>
      </c>
      <c r="E3187" s="193"/>
      <c r="F3187" s="195" t="s">
        <v>20899</v>
      </c>
      <c r="G3187" s="200">
        <v>1.861377044E9</v>
      </c>
      <c r="H3187" s="197">
        <v>9.19</v>
      </c>
      <c r="L3187" s="201" t="s">
        <v>16835</v>
      </c>
      <c r="M3187" s="194"/>
      <c r="N3187" s="194"/>
    </row>
    <row r="3188">
      <c r="A3188" s="193" t="s">
        <v>20900</v>
      </c>
      <c r="B3188" s="7" t="s">
        <v>17111</v>
      </c>
      <c r="C3188" s="7" t="s">
        <v>17112</v>
      </c>
      <c r="D3188" s="194">
        <v>2015.0</v>
      </c>
      <c r="E3188" s="193"/>
      <c r="F3188" s="195" t="s">
        <v>20901</v>
      </c>
      <c r="G3188" s="200">
        <v>1.861137617E9</v>
      </c>
      <c r="H3188" s="197">
        <v>8.08</v>
      </c>
      <c r="I3188" s="7" t="s">
        <v>16815</v>
      </c>
      <c r="J3188" s="7" t="s">
        <v>17111</v>
      </c>
      <c r="K3188" s="7" t="s">
        <v>17112</v>
      </c>
      <c r="L3188" s="201" t="s">
        <v>16835</v>
      </c>
      <c r="M3188" s="194"/>
      <c r="N3188" s="194"/>
    </row>
    <row r="3189">
      <c r="A3189" s="193" t="s">
        <v>20900</v>
      </c>
      <c r="B3189" s="7" t="s">
        <v>17112</v>
      </c>
      <c r="C3189" s="7" t="s">
        <v>17111</v>
      </c>
      <c r="D3189" s="194">
        <v>2015.0</v>
      </c>
      <c r="E3189" s="193"/>
      <c r="F3189" s="195" t="s">
        <v>20901</v>
      </c>
      <c r="G3189" s="196">
        <v>1.861137617E9</v>
      </c>
      <c r="H3189" s="197">
        <v>8.08</v>
      </c>
      <c r="I3189" s="7" t="s">
        <v>16815</v>
      </c>
      <c r="J3189" s="7" t="s">
        <v>17112</v>
      </c>
      <c r="K3189" s="7" t="s">
        <v>17111</v>
      </c>
      <c r="L3189" s="198" t="s">
        <v>65</v>
      </c>
      <c r="M3189" s="194"/>
      <c r="N3189" s="194"/>
    </row>
    <row r="3190">
      <c r="A3190" s="193" t="s">
        <v>20902</v>
      </c>
      <c r="B3190" s="7" t="s">
        <v>16919</v>
      </c>
      <c r="C3190" s="7" t="s">
        <v>17413</v>
      </c>
      <c r="D3190" s="194">
        <v>2022.0</v>
      </c>
      <c r="E3190" s="193"/>
      <c r="F3190" s="195" t="s">
        <v>20903</v>
      </c>
      <c r="G3190" s="196">
        <v>1.859091297E9</v>
      </c>
      <c r="H3190" s="197">
        <v>17.17</v>
      </c>
      <c r="I3190" s="7" t="s">
        <v>16815</v>
      </c>
      <c r="J3190" s="7" t="s">
        <v>16919</v>
      </c>
      <c r="K3190" s="7" t="s">
        <v>17413</v>
      </c>
      <c r="L3190" s="198" t="s">
        <v>65</v>
      </c>
      <c r="M3190" s="194"/>
      <c r="N3190" s="194"/>
    </row>
    <row r="3191">
      <c r="A3191" s="193" t="s">
        <v>20902</v>
      </c>
      <c r="B3191" s="7" t="s">
        <v>17413</v>
      </c>
      <c r="C3191" s="7" t="s">
        <v>16919</v>
      </c>
      <c r="D3191" s="194">
        <v>2022.0</v>
      </c>
      <c r="E3191" s="193"/>
      <c r="F3191" s="195" t="s">
        <v>20903</v>
      </c>
      <c r="G3191" s="200">
        <v>1.859091297E9</v>
      </c>
      <c r="H3191" s="197">
        <v>17.17</v>
      </c>
      <c r="I3191" s="7" t="s">
        <v>16815</v>
      </c>
      <c r="J3191" s="7" t="s">
        <v>17413</v>
      </c>
      <c r="K3191" s="7" t="s">
        <v>16919</v>
      </c>
      <c r="L3191" s="201" t="s">
        <v>16835</v>
      </c>
      <c r="M3191" s="194"/>
      <c r="N3191" s="194"/>
    </row>
    <row r="3192">
      <c r="A3192" s="193" t="s">
        <v>20904</v>
      </c>
      <c r="B3192" s="7" t="s">
        <v>16838</v>
      </c>
      <c r="C3192" s="7" t="s">
        <v>16867</v>
      </c>
      <c r="D3192" s="199"/>
      <c r="E3192" s="193"/>
      <c r="F3192" s="195" t="s">
        <v>20905</v>
      </c>
      <c r="G3192" s="196">
        <v>1.858753665E9</v>
      </c>
      <c r="H3192" s="197">
        <v>14.85</v>
      </c>
      <c r="I3192" s="7" t="s">
        <v>16815</v>
      </c>
      <c r="J3192" s="7" t="s">
        <v>16838</v>
      </c>
      <c r="K3192" s="7" t="s">
        <v>16867</v>
      </c>
      <c r="L3192" s="198" t="s">
        <v>65</v>
      </c>
      <c r="M3192" s="199"/>
      <c r="N3192" s="199"/>
    </row>
    <row r="3193">
      <c r="A3193" s="193" t="s">
        <v>20906</v>
      </c>
      <c r="B3193" s="7" t="s">
        <v>16838</v>
      </c>
      <c r="C3193" s="7" t="s">
        <v>18679</v>
      </c>
      <c r="D3193" s="194">
        <v>2019.0</v>
      </c>
      <c r="E3193" s="193"/>
      <c r="F3193" s="195" t="s">
        <v>20907</v>
      </c>
      <c r="G3193" s="196">
        <v>1.854405989E9</v>
      </c>
      <c r="H3193" s="197">
        <v>24.97</v>
      </c>
      <c r="I3193" s="7" t="s">
        <v>16924</v>
      </c>
      <c r="J3193" s="7" t="s">
        <v>16838</v>
      </c>
      <c r="K3193" s="7" t="s">
        <v>18679</v>
      </c>
      <c r="L3193" s="198" t="s">
        <v>65</v>
      </c>
      <c r="M3193" s="194"/>
      <c r="N3193" s="194"/>
    </row>
    <row r="3194">
      <c r="A3194" s="193" t="s">
        <v>20906</v>
      </c>
      <c r="B3194" s="7" t="s">
        <v>18679</v>
      </c>
      <c r="C3194" s="7" t="s">
        <v>16838</v>
      </c>
      <c r="D3194" s="194">
        <v>2019.0</v>
      </c>
      <c r="E3194" s="193"/>
      <c r="F3194" s="195" t="s">
        <v>20907</v>
      </c>
      <c r="G3194" s="200">
        <v>1.854405989E9</v>
      </c>
      <c r="H3194" s="197">
        <v>24.97</v>
      </c>
      <c r="I3194" s="7" t="s">
        <v>16815</v>
      </c>
      <c r="J3194" s="7" t="s">
        <v>18679</v>
      </c>
      <c r="K3194" s="7" t="s">
        <v>16838</v>
      </c>
      <c r="L3194" s="201" t="s">
        <v>16835</v>
      </c>
      <c r="M3194" s="194"/>
      <c r="N3194" s="194"/>
    </row>
    <row r="3195">
      <c r="A3195" s="193" t="s">
        <v>20908</v>
      </c>
      <c r="B3195" s="7" t="s">
        <v>175</v>
      </c>
      <c r="C3195" s="7" t="s">
        <v>19006</v>
      </c>
      <c r="D3195" s="199"/>
      <c r="E3195" s="193"/>
      <c r="F3195" s="195" t="s">
        <v>20909</v>
      </c>
      <c r="G3195" s="196">
        <v>1.854396332E9</v>
      </c>
      <c r="H3195" s="197">
        <v>10.05</v>
      </c>
      <c r="I3195" s="7" t="s">
        <v>168</v>
      </c>
      <c r="J3195" s="7" t="s">
        <v>175</v>
      </c>
      <c r="K3195" s="7" t="s">
        <v>19006</v>
      </c>
      <c r="L3195" s="198" t="s">
        <v>65</v>
      </c>
      <c r="M3195" s="199"/>
      <c r="N3195" s="199"/>
    </row>
    <row r="3196">
      <c r="A3196" s="193" t="s">
        <v>20908</v>
      </c>
      <c r="B3196" s="7" t="s">
        <v>19006</v>
      </c>
      <c r="C3196" s="7" t="s">
        <v>175</v>
      </c>
      <c r="D3196" s="199"/>
      <c r="E3196" s="193"/>
      <c r="F3196" s="195" t="s">
        <v>20909</v>
      </c>
      <c r="G3196" s="200">
        <v>1.854396332E9</v>
      </c>
      <c r="H3196" s="197">
        <v>10.05</v>
      </c>
      <c r="I3196" s="7" t="s">
        <v>16815</v>
      </c>
      <c r="J3196" s="7" t="s">
        <v>19006</v>
      </c>
      <c r="K3196" s="7" t="s">
        <v>175</v>
      </c>
      <c r="L3196" s="201" t="s">
        <v>16835</v>
      </c>
      <c r="M3196" s="199"/>
      <c r="N3196" s="199"/>
    </row>
    <row r="3197">
      <c r="A3197" s="193" t="s">
        <v>20910</v>
      </c>
      <c r="B3197" s="7" t="s">
        <v>16838</v>
      </c>
      <c r="C3197" s="7" t="s">
        <v>16867</v>
      </c>
      <c r="D3197" s="199"/>
      <c r="E3197" s="193"/>
      <c r="F3197" s="195" t="s">
        <v>20911</v>
      </c>
      <c r="G3197" s="196">
        <v>1.853494477E9</v>
      </c>
      <c r="H3197" s="197">
        <v>24.84</v>
      </c>
      <c r="I3197" s="7" t="s">
        <v>16815</v>
      </c>
      <c r="J3197" s="7" t="s">
        <v>16838</v>
      </c>
      <c r="K3197" s="7" t="s">
        <v>16867</v>
      </c>
      <c r="L3197" s="198" t="s">
        <v>65</v>
      </c>
      <c r="M3197" s="199"/>
      <c r="N3197" s="199"/>
    </row>
    <row r="3198">
      <c r="A3198" s="193" t="s">
        <v>20912</v>
      </c>
      <c r="B3198" s="7" t="s">
        <v>187</v>
      </c>
      <c r="C3198" s="7" t="s">
        <v>16846</v>
      </c>
      <c r="D3198" s="199"/>
      <c r="E3198" s="193"/>
      <c r="F3198" s="195" t="s">
        <v>20913</v>
      </c>
      <c r="G3198" s="196">
        <v>1.848474654E9</v>
      </c>
      <c r="H3198" s="197">
        <v>16.3</v>
      </c>
      <c r="I3198" s="7" t="s">
        <v>16815</v>
      </c>
      <c r="J3198" s="7" t="s">
        <v>187</v>
      </c>
      <c r="K3198" s="7" t="s">
        <v>16846</v>
      </c>
      <c r="L3198" s="198" t="s">
        <v>65</v>
      </c>
      <c r="M3198" s="199"/>
      <c r="N3198" s="199"/>
    </row>
    <row r="3199">
      <c r="A3199" s="193" t="s">
        <v>20914</v>
      </c>
      <c r="D3199" s="194">
        <v>2020.0</v>
      </c>
      <c r="E3199" s="193"/>
      <c r="F3199" s="195" t="s">
        <v>20915</v>
      </c>
      <c r="G3199" s="196">
        <v>1.84310342E9</v>
      </c>
      <c r="H3199" s="197">
        <v>21.9999</v>
      </c>
      <c r="I3199" s="7" t="s">
        <v>16815</v>
      </c>
      <c r="L3199" s="198" t="s">
        <v>65</v>
      </c>
      <c r="M3199" s="194"/>
      <c r="N3199" s="194"/>
    </row>
    <row r="3200">
      <c r="A3200" s="193" t="s">
        <v>20914</v>
      </c>
      <c r="D3200" s="194">
        <v>2020.0</v>
      </c>
      <c r="E3200" s="193"/>
      <c r="F3200" s="195" t="s">
        <v>20915</v>
      </c>
      <c r="G3200" s="200">
        <v>1.84310342E9</v>
      </c>
      <c r="H3200" s="197">
        <v>21.9999</v>
      </c>
      <c r="I3200" s="193" t="s">
        <v>16815</v>
      </c>
      <c r="L3200" s="201" t="s">
        <v>16835</v>
      </c>
      <c r="M3200" s="194"/>
      <c r="N3200" s="194"/>
    </row>
    <row r="3201">
      <c r="A3201" s="193" t="s">
        <v>20916</v>
      </c>
      <c r="B3201" s="7" t="s">
        <v>16926</v>
      </c>
      <c r="C3201" s="7" t="s">
        <v>16960</v>
      </c>
      <c r="D3201" s="194">
        <v>1995.0</v>
      </c>
      <c r="E3201" s="193"/>
      <c r="F3201" s="195" t="s">
        <v>20917</v>
      </c>
      <c r="G3201" s="196">
        <v>1.838301992E9</v>
      </c>
      <c r="H3201" s="197">
        <v>3.44</v>
      </c>
      <c r="I3201" s="7" t="s">
        <v>16815</v>
      </c>
      <c r="J3201" s="7" t="s">
        <v>16926</v>
      </c>
      <c r="K3201" s="7" t="s">
        <v>16960</v>
      </c>
      <c r="L3201" s="198" t="s">
        <v>65</v>
      </c>
      <c r="M3201" s="194"/>
      <c r="N3201" s="194"/>
    </row>
    <row r="3202">
      <c r="A3202" s="193" t="s">
        <v>20918</v>
      </c>
      <c r="B3202" s="7" t="s">
        <v>16582</v>
      </c>
      <c r="C3202" s="7" t="s">
        <v>16899</v>
      </c>
      <c r="D3202" s="194">
        <v>2020.0</v>
      </c>
      <c r="E3202" s="193"/>
      <c r="F3202" s="195" t="s">
        <v>20919</v>
      </c>
      <c r="G3202" s="196">
        <v>1.838049753E9</v>
      </c>
      <c r="H3202" s="197">
        <v>8.14</v>
      </c>
      <c r="I3202" s="7" t="s">
        <v>16815</v>
      </c>
      <c r="J3202" s="7" t="s">
        <v>16582</v>
      </c>
      <c r="K3202" s="7" t="s">
        <v>16899</v>
      </c>
      <c r="L3202" s="198" t="s">
        <v>65</v>
      </c>
      <c r="M3202" s="194"/>
      <c r="N3202" s="194"/>
    </row>
    <row r="3203">
      <c r="A3203" s="193" t="s">
        <v>20918</v>
      </c>
      <c r="B3203" s="7" t="s">
        <v>16899</v>
      </c>
      <c r="C3203" s="7" t="s">
        <v>16582</v>
      </c>
      <c r="D3203" s="194">
        <v>2020.0</v>
      </c>
      <c r="E3203" s="193"/>
      <c r="F3203" s="195" t="s">
        <v>20919</v>
      </c>
      <c r="G3203" s="200">
        <v>1.838049753E9</v>
      </c>
      <c r="H3203" s="197">
        <v>8.14</v>
      </c>
      <c r="I3203" s="7" t="s">
        <v>16815</v>
      </c>
      <c r="J3203" s="7" t="s">
        <v>16899</v>
      </c>
      <c r="K3203" s="7" t="s">
        <v>16582</v>
      </c>
      <c r="L3203" s="201" t="s">
        <v>16835</v>
      </c>
      <c r="M3203" s="194"/>
      <c r="N3203" s="194"/>
    </row>
    <row r="3204">
      <c r="A3204" s="193" t="s">
        <v>20920</v>
      </c>
      <c r="B3204" s="7" t="s">
        <v>16838</v>
      </c>
      <c r="C3204" s="7" t="s">
        <v>16867</v>
      </c>
      <c r="D3204" s="199"/>
      <c r="E3204" s="193"/>
      <c r="F3204" s="195" t="s">
        <v>20921</v>
      </c>
      <c r="G3204" s="196">
        <v>1.830141258E9</v>
      </c>
      <c r="H3204" s="197">
        <v>19.24</v>
      </c>
      <c r="I3204" s="7" t="s">
        <v>16815</v>
      </c>
      <c r="J3204" s="7" t="s">
        <v>16838</v>
      </c>
      <c r="K3204" s="7" t="s">
        <v>16867</v>
      </c>
      <c r="L3204" s="198" t="s">
        <v>65</v>
      </c>
      <c r="M3204" s="199"/>
      <c r="N3204" s="199"/>
    </row>
    <row r="3205">
      <c r="A3205" s="193" t="s">
        <v>20922</v>
      </c>
      <c r="B3205" s="7" t="s">
        <v>16957</v>
      </c>
      <c r="C3205" s="7" t="s">
        <v>16926</v>
      </c>
      <c r="D3205" s="194">
        <v>2021.0</v>
      </c>
      <c r="E3205" s="193"/>
      <c r="F3205" s="195" t="s">
        <v>20923</v>
      </c>
      <c r="G3205" s="200">
        <v>1.8288792E9</v>
      </c>
      <c r="H3205" s="197">
        <v>5.51</v>
      </c>
      <c r="I3205" s="7" t="s">
        <v>16815</v>
      </c>
      <c r="J3205" s="7" t="s">
        <v>16957</v>
      </c>
      <c r="K3205" s="7" t="s">
        <v>16926</v>
      </c>
      <c r="L3205" s="201" t="s">
        <v>16835</v>
      </c>
      <c r="M3205" s="194"/>
      <c r="N3205" s="194"/>
    </row>
    <row r="3206">
      <c r="A3206" s="193" t="s">
        <v>20922</v>
      </c>
      <c r="B3206" s="7" t="s">
        <v>16926</v>
      </c>
      <c r="C3206" s="7" t="s">
        <v>16957</v>
      </c>
      <c r="D3206" s="194">
        <v>2021.0</v>
      </c>
      <c r="E3206" s="193"/>
      <c r="F3206" s="195" t="s">
        <v>20923</v>
      </c>
      <c r="G3206" s="196">
        <v>1.8288792E9</v>
      </c>
      <c r="H3206" s="197">
        <v>5.51</v>
      </c>
      <c r="I3206" s="7" t="s">
        <v>16815</v>
      </c>
      <c r="J3206" s="7" t="s">
        <v>16926</v>
      </c>
      <c r="K3206" s="7" t="s">
        <v>16957</v>
      </c>
      <c r="L3206" s="198" t="s">
        <v>65</v>
      </c>
      <c r="M3206" s="194"/>
      <c r="N3206" s="194"/>
    </row>
    <row r="3207">
      <c r="A3207" s="193" t="s">
        <v>20924</v>
      </c>
      <c r="B3207" s="7" t="s">
        <v>169</v>
      </c>
      <c r="C3207" s="7" t="s">
        <v>17457</v>
      </c>
      <c r="D3207" s="199"/>
      <c r="E3207" s="193"/>
      <c r="F3207" s="195" t="s">
        <v>20925</v>
      </c>
      <c r="G3207" s="196">
        <v>1.826694112E9</v>
      </c>
      <c r="H3207" s="197">
        <v>61.12</v>
      </c>
      <c r="I3207" s="7" t="s">
        <v>16815</v>
      </c>
      <c r="J3207" s="7" t="s">
        <v>169</v>
      </c>
      <c r="K3207" s="7" t="s">
        <v>17457</v>
      </c>
      <c r="L3207" s="198" t="s">
        <v>65</v>
      </c>
      <c r="M3207" s="199"/>
      <c r="N3207" s="199"/>
    </row>
    <row r="3208">
      <c r="A3208" s="193" t="s">
        <v>20924</v>
      </c>
      <c r="B3208" s="7" t="s">
        <v>17457</v>
      </c>
      <c r="C3208" s="7" t="s">
        <v>169</v>
      </c>
      <c r="D3208" s="199"/>
      <c r="E3208" s="193"/>
      <c r="F3208" s="195" t="s">
        <v>20925</v>
      </c>
      <c r="G3208" s="200">
        <v>1.826694112E9</v>
      </c>
      <c r="H3208" s="197">
        <v>61.12</v>
      </c>
      <c r="I3208" s="7" t="s">
        <v>16815</v>
      </c>
      <c r="J3208" s="7" t="s">
        <v>17457</v>
      </c>
      <c r="K3208" s="7" t="s">
        <v>169</v>
      </c>
      <c r="L3208" s="201" t="s">
        <v>16835</v>
      </c>
      <c r="M3208" s="199"/>
      <c r="N3208" s="199"/>
    </row>
    <row r="3209">
      <c r="A3209" s="193" t="s">
        <v>20926</v>
      </c>
      <c r="B3209" s="7" t="s">
        <v>16838</v>
      </c>
      <c r="C3209" s="7" t="s">
        <v>16867</v>
      </c>
      <c r="D3209" s="199"/>
      <c r="E3209" s="193"/>
      <c r="F3209" s="195" t="s">
        <v>20927</v>
      </c>
      <c r="G3209" s="196">
        <v>1.826464926E9</v>
      </c>
      <c r="H3209" s="197">
        <v>21.45</v>
      </c>
      <c r="I3209" s="7" t="s">
        <v>16815</v>
      </c>
      <c r="J3209" s="7" t="s">
        <v>16838</v>
      </c>
      <c r="K3209" s="7" t="s">
        <v>16867</v>
      </c>
      <c r="L3209" s="198" t="s">
        <v>65</v>
      </c>
      <c r="M3209" s="199"/>
      <c r="N3209" s="199"/>
    </row>
    <row r="3210">
      <c r="A3210" s="193" t="s">
        <v>20928</v>
      </c>
      <c r="B3210" s="7" t="s">
        <v>16582</v>
      </c>
      <c r="C3210" s="7" t="s">
        <v>16828</v>
      </c>
      <c r="D3210" s="194">
        <v>2010.0</v>
      </c>
      <c r="E3210" s="193"/>
      <c r="F3210" s="195" t="s">
        <v>20929</v>
      </c>
      <c r="G3210" s="196">
        <v>1.819182536E9</v>
      </c>
      <c r="H3210" s="197">
        <v>36.12</v>
      </c>
      <c r="I3210" s="7" t="s">
        <v>16815</v>
      </c>
      <c r="J3210" s="7" t="s">
        <v>16582</v>
      </c>
      <c r="K3210" s="7" t="s">
        <v>16828</v>
      </c>
      <c r="L3210" s="198" t="s">
        <v>65</v>
      </c>
      <c r="M3210" s="194"/>
      <c r="N3210" s="194"/>
    </row>
    <row r="3211">
      <c r="A3211" s="193" t="s">
        <v>20928</v>
      </c>
      <c r="B3211" s="7" t="s">
        <v>16828</v>
      </c>
      <c r="C3211" s="7" t="s">
        <v>16582</v>
      </c>
      <c r="D3211" s="194">
        <v>2010.0</v>
      </c>
      <c r="E3211" s="193"/>
      <c r="F3211" s="195" t="s">
        <v>20929</v>
      </c>
      <c r="G3211" s="200">
        <v>1.819182536E9</v>
      </c>
      <c r="H3211" s="197">
        <v>36.12</v>
      </c>
      <c r="I3211" s="7" t="s">
        <v>16815</v>
      </c>
      <c r="J3211" s="7" t="s">
        <v>16828</v>
      </c>
      <c r="K3211" s="7" t="s">
        <v>16582</v>
      </c>
      <c r="L3211" s="201" t="s">
        <v>16835</v>
      </c>
      <c r="M3211" s="194"/>
      <c r="N3211" s="194"/>
    </row>
    <row r="3212">
      <c r="A3212" s="193" t="s">
        <v>20930</v>
      </c>
      <c r="B3212" s="7" t="s">
        <v>169</v>
      </c>
      <c r="C3212" s="7" t="s">
        <v>16899</v>
      </c>
      <c r="D3212" s="199"/>
      <c r="E3212" s="193"/>
      <c r="F3212" s="195" t="s">
        <v>20931</v>
      </c>
      <c r="G3212" s="196">
        <v>1.81654742E9</v>
      </c>
      <c r="H3212" s="197">
        <v>22.82</v>
      </c>
      <c r="I3212" s="7" t="s">
        <v>16815</v>
      </c>
      <c r="J3212" s="7" t="s">
        <v>169</v>
      </c>
      <c r="K3212" s="7" t="s">
        <v>16899</v>
      </c>
      <c r="L3212" s="198" t="s">
        <v>65</v>
      </c>
      <c r="M3212" s="199"/>
      <c r="N3212" s="199"/>
    </row>
    <row r="3213">
      <c r="A3213" s="193" t="s">
        <v>20930</v>
      </c>
      <c r="B3213" s="7" t="s">
        <v>16899</v>
      </c>
      <c r="C3213" s="7" t="s">
        <v>169</v>
      </c>
      <c r="D3213" s="199"/>
      <c r="E3213" s="193"/>
      <c r="F3213" s="195" t="s">
        <v>20931</v>
      </c>
      <c r="G3213" s="200">
        <v>1.81654742E9</v>
      </c>
      <c r="H3213" s="197">
        <v>22.82</v>
      </c>
      <c r="I3213" s="7" t="s">
        <v>16815</v>
      </c>
      <c r="J3213" s="7" t="s">
        <v>16899</v>
      </c>
      <c r="K3213" s="7" t="s">
        <v>169</v>
      </c>
      <c r="L3213" s="201" t="s">
        <v>16835</v>
      </c>
      <c r="M3213" s="199"/>
      <c r="N3213" s="199"/>
    </row>
    <row r="3214">
      <c r="A3214" s="193" t="s">
        <v>20932</v>
      </c>
      <c r="B3214" s="7" t="s">
        <v>17127</v>
      </c>
      <c r="C3214" s="7" t="s">
        <v>16838</v>
      </c>
      <c r="D3214" s="194">
        <v>2013.0</v>
      </c>
      <c r="E3214" s="193"/>
      <c r="F3214" s="195" t="s">
        <v>20933</v>
      </c>
      <c r="G3214" s="200">
        <v>1.813878143E9</v>
      </c>
      <c r="H3214" s="197">
        <v>17.97</v>
      </c>
      <c r="I3214" s="7" t="s">
        <v>16815</v>
      </c>
      <c r="J3214" s="7" t="s">
        <v>17127</v>
      </c>
      <c r="K3214" s="7" t="s">
        <v>16838</v>
      </c>
      <c r="L3214" s="201" t="s">
        <v>16835</v>
      </c>
      <c r="M3214" s="194"/>
      <c r="N3214" s="194"/>
    </row>
    <row r="3215">
      <c r="A3215" s="193" t="s">
        <v>20932</v>
      </c>
      <c r="B3215" s="7" t="s">
        <v>16838</v>
      </c>
      <c r="C3215" s="7" t="s">
        <v>17127</v>
      </c>
      <c r="D3215" s="194">
        <v>2013.0</v>
      </c>
      <c r="E3215" s="193"/>
      <c r="F3215" s="195" t="s">
        <v>20933</v>
      </c>
      <c r="G3215" s="196">
        <v>1.813878143E9</v>
      </c>
      <c r="H3215" s="197">
        <v>17.97</v>
      </c>
      <c r="I3215" s="7" t="s">
        <v>16815</v>
      </c>
      <c r="J3215" s="7" t="s">
        <v>16838</v>
      </c>
      <c r="K3215" s="7" t="s">
        <v>17127</v>
      </c>
      <c r="L3215" s="198" t="s">
        <v>65</v>
      </c>
      <c r="M3215" s="194"/>
      <c r="N3215" s="194"/>
    </row>
    <row r="3216">
      <c r="A3216" s="193" t="s">
        <v>20934</v>
      </c>
      <c r="B3216" s="7" t="s">
        <v>16582</v>
      </c>
      <c r="C3216" s="7" t="s">
        <v>16930</v>
      </c>
      <c r="D3216" s="194">
        <v>2021.0</v>
      </c>
      <c r="E3216" s="193"/>
      <c r="F3216" s="195" t="s">
        <v>20935</v>
      </c>
      <c r="G3216" s="196">
        <v>1.81114E9</v>
      </c>
      <c r="H3216" s="197">
        <v>6.61</v>
      </c>
      <c r="I3216" s="7" t="s">
        <v>16815</v>
      </c>
      <c r="J3216" s="7" t="s">
        <v>16582</v>
      </c>
      <c r="K3216" s="7" t="s">
        <v>16930</v>
      </c>
      <c r="L3216" s="198" t="s">
        <v>65</v>
      </c>
      <c r="M3216" s="194"/>
      <c r="N3216" s="194"/>
    </row>
    <row r="3217">
      <c r="A3217" s="193" t="s">
        <v>20934</v>
      </c>
      <c r="B3217" s="7" t="s">
        <v>16930</v>
      </c>
      <c r="C3217" s="7" t="s">
        <v>16582</v>
      </c>
      <c r="D3217" s="194">
        <v>2021.0</v>
      </c>
      <c r="E3217" s="193"/>
      <c r="F3217" s="195" t="s">
        <v>20935</v>
      </c>
      <c r="G3217" s="200">
        <v>1.81114E9</v>
      </c>
      <c r="H3217" s="197">
        <v>6.61</v>
      </c>
      <c r="I3217" s="7" t="s">
        <v>16815</v>
      </c>
      <c r="J3217" s="7" t="s">
        <v>16930</v>
      </c>
      <c r="K3217" s="7" t="s">
        <v>16582</v>
      </c>
      <c r="L3217" s="201" t="s">
        <v>16835</v>
      </c>
      <c r="M3217" s="194"/>
      <c r="N3217" s="194"/>
    </row>
    <row r="3218">
      <c r="A3218" s="193" t="s">
        <v>20936</v>
      </c>
      <c r="B3218" s="7" t="s">
        <v>17202</v>
      </c>
      <c r="C3218" s="7" t="s">
        <v>16838</v>
      </c>
      <c r="D3218" s="194">
        <v>2014.0</v>
      </c>
      <c r="E3218" s="193"/>
      <c r="F3218" s="195" t="s">
        <v>20937</v>
      </c>
      <c r="G3218" s="200">
        <v>1.810461579E9</v>
      </c>
      <c r="H3218" s="197">
        <v>20.68</v>
      </c>
      <c r="I3218" s="7" t="s">
        <v>16815</v>
      </c>
      <c r="J3218" s="7" t="s">
        <v>17202</v>
      </c>
      <c r="K3218" s="7" t="s">
        <v>16838</v>
      </c>
      <c r="L3218" s="201" t="s">
        <v>16835</v>
      </c>
      <c r="M3218" s="194"/>
      <c r="N3218" s="194"/>
    </row>
    <row r="3219">
      <c r="A3219" s="193" t="s">
        <v>20936</v>
      </c>
      <c r="B3219" s="7" t="s">
        <v>16838</v>
      </c>
      <c r="C3219" s="7" t="s">
        <v>17202</v>
      </c>
      <c r="D3219" s="194">
        <v>2014.0</v>
      </c>
      <c r="E3219" s="193"/>
      <c r="F3219" s="195" t="s">
        <v>20937</v>
      </c>
      <c r="G3219" s="196">
        <v>1.810461579E9</v>
      </c>
      <c r="H3219" s="197">
        <v>20.68</v>
      </c>
      <c r="I3219" s="7" t="s">
        <v>16815</v>
      </c>
      <c r="J3219" s="7" t="s">
        <v>16838</v>
      </c>
      <c r="K3219" s="7" t="s">
        <v>17202</v>
      </c>
      <c r="L3219" s="198" t="s">
        <v>65</v>
      </c>
      <c r="M3219" s="194"/>
      <c r="N3219" s="194"/>
    </row>
    <row r="3220">
      <c r="A3220" s="193" t="s">
        <v>20938</v>
      </c>
      <c r="B3220" s="7" t="s">
        <v>16582</v>
      </c>
      <c r="C3220" s="7" t="s">
        <v>16817</v>
      </c>
      <c r="D3220" s="194">
        <v>2021.0</v>
      </c>
      <c r="E3220" s="193"/>
      <c r="F3220" s="195" t="s">
        <v>20939</v>
      </c>
      <c r="G3220" s="196">
        <v>1.809982439E9</v>
      </c>
      <c r="H3220" s="197">
        <v>4.69</v>
      </c>
      <c r="I3220" s="7" t="s">
        <v>16815</v>
      </c>
      <c r="J3220" s="7" t="s">
        <v>16582</v>
      </c>
      <c r="K3220" s="7" t="s">
        <v>16817</v>
      </c>
      <c r="L3220" s="198" t="s">
        <v>65</v>
      </c>
      <c r="M3220" s="194"/>
      <c r="N3220" s="194"/>
    </row>
    <row r="3221">
      <c r="A3221" s="193" t="s">
        <v>20940</v>
      </c>
      <c r="B3221" s="7" t="s">
        <v>16885</v>
      </c>
      <c r="C3221" s="7" t="s">
        <v>18805</v>
      </c>
      <c r="D3221" s="199"/>
      <c r="E3221" s="193"/>
      <c r="F3221" s="195" t="s">
        <v>20941</v>
      </c>
      <c r="G3221" s="196">
        <v>1.809421475E9</v>
      </c>
      <c r="H3221" s="197">
        <v>82.6</v>
      </c>
      <c r="I3221" s="7" t="s">
        <v>16888</v>
      </c>
      <c r="J3221" s="7" t="s">
        <v>16885</v>
      </c>
      <c r="K3221" s="7" t="s">
        <v>18805</v>
      </c>
      <c r="L3221" s="198" t="s">
        <v>65</v>
      </c>
      <c r="M3221" s="199"/>
      <c r="N3221" s="199"/>
    </row>
    <row r="3222">
      <c r="A3222" s="193" t="s">
        <v>20940</v>
      </c>
      <c r="B3222" s="7" t="s">
        <v>18805</v>
      </c>
      <c r="C3222" s="7" t="s">
        <v>16885</v>
      </c>
      <c r="D3222" s="199"/>
      <c r="E3222" s="193"/>
      <c r="F3222" s="195" t="s">
        <v>20941</v>
      </c>
      <c r="G3222" s="200">
        <v>1.809421475E9</v>
      </c>
      <c r="H3222" s="197">
        <v>82.6</v>
      </c>
      <c r="I3222" s="7" t="s">
        <v>16815</v>
      </c>
      <c r="J3222" s="7" t="s">
        <v>18805</v>
      </c>
      <c r="K3222" s="7" t="s">
        <v>16885</v>
      </c>
      <c r="L3222" s="201" t="s">
        <v>16835</v>
      </c>
      <c r="M3222" s="199"/>
      <c r="N3222" s="199"/>
    </row>
    <row r="3223">
      <c r="A3223" s="193" t="s">
        <v>20942</v>
      </c>
      <c r="B3223" s="7" t="s">
        <v>187</v>
      </c>
      <c r="C3223" s="7" t="s">
        <v>16858</v>
      </c>
      <c r="D3223" s="194">
        <v>2020.0</v>
      </c>
      <c r="E3223" s="193"/>
      <c r="F3223" s="195" t="s">
        <v>20943</v>
      </c>
      <c r="G3223" s="196">
        <v>1.806129903E9</v>
      </c>
      <c r="H3223" s="197">
        <v>22.16</v>
      </c>
      <c r="I3223" s="7" t="s">
        <v>16815</v>
      </c>
      <c r="J3223" s="7" t="s">
        <v>187</v>
      </c>
      <c r="K3223" s="7" t="s">
        <v>16858</v>
      </c>
      <c r="L3223" s="198" t="s">
        <v>65</v>
      </c>
      <c r="M3223" s="194"/>
      <c r="N3223" s="194"/>
    </row>
    <row r="3224">
      <c r="A3224" s="193" t="s">
        <v>20944</v>
      </c>
      <c r="B3224" s="7" t="s">
        <v>187</v>
      </c>
      <c r="C3224" s="7" t="s">
        <v>16846</v>
      </c>
      <c r="D3224" s="194">
        <v>2018.0</v>
      </c>
      <c r="E3224" s="193"/>
      <c r="F3224" s="195" t="s">
        <v>20945</v>
      </c>
      <c r="G3224" s="196">
        <v>1.798903991E9</v>
      </c>
      <c r="H3224" s="197">
        <v>26.93</v>
      </c>
      <c r="I3224" s="7" t="s">
        <v>16815</v>
      </c>
      <c r="J3224" s="7" t="s">
        <v>187</v>
      </c>
      <c r="K3224" s="7" t="s">
        <v>16846</v>
      </c>
      <c r="L3224" s="198" t="s">
        <v>65</v>
      </c>
      <c r="M3224" s="194"/>
      <c r="N3224" s="194"/>
    </row>
    <row r="3225">
      <c r="A3225" s="193" t="s">
        <v>20946</v>
      </c>
      <c r="B3225" s="7" t="s">
        <v>16838</v>
      </c>
      <c r="C3225" s="7" t="s">
        <v>16867</v>
      </c>
      <c r="D3225" s="199"/>
      <c r="E3225" s="193"/>
      <c r="F3225" s="195" t="s">
        <v>20947</v>
      </c>
      <c r="G3225" s="196">
        <v>1.796701829E9</v>
      </c>
      <c r="H3225" s="197">
        <v>24.91</v>
      </c>
      <c r="I3225" s="7" t="s">
        <v>16815</v>
      </c>
      <c r="J3225" s="7" t="s">
        <v>16838</v>
      </c>
      <c r="K3225" s="7" t="s">
        <v>16867</v>
      </c>
      <c r="L3225" s="198" t="s">
        <v>65</v>
      </c>
      <c r="M3225" s="199"/>
      <c r="N3225" s="199"/>
    </row>
    <row r="3226">
      <c r="A3226" s="193" t="s">
        <v>20948</v>
      </c>
      <c r="B3226" s="7" t="s">
        <v>17112</v>
      </c>
      <c r="C3226" s="7" t="s">
        <v>17111</v>
      </c>
      <c r="D3226" s="199"/>
      <c r="E3226" s="193"/>
      <c r="F3226" s="195" t="s">
        <v>20949</v>
      </c>
      <c r="G3226" s="196">
        <v>1.795527914E9</v>
      </c>
      <c r="H3226" s="197">
        <v>19.8</v>
      </c>
      <c r="I3226" s="7" t="s">
        <v>16815</v>
      </c>
      <c r="J3226" s="7" t="s">
        <v>17112</v>
      </c>
      <c r="K3226" s="7" t="s">
        <v>17111</v>
      </c>
      <c r="L3226" s="198" t="s">
        <v>65</v>
      </c>
      <c r="M3226" s="199"/>
      <c r="N3226" s="199"/>
    </row>
    <row r="3227">
      <c r="A3227" s="193" t="s">
        <v>20950</v>
      </c>
      <c r="B3227" s="7" t="s">
        <v>16838</v>
      </c>
      <c r="C3227" s="7" t="s">
        <v>16867</v>
      </c>
      <c r="D3227" s="199"/>
      <c r="E3227" s="193"/>
      <c r="F3227" s="195" t="s">
        <v>20951</v>
      </c>
      <c r="G3227" s="196">
        <v>1.792677547E9</v>
      </c>
      <c r="H3227" s="197">
        <v>23.35</v>
      </c>
      <c r="I3227" s="7" t="s">
        <v>16815</v>
      </c>
      <c r="J3227" s="7" t="s">
        <v>16838</v>
      </c>
      <c r="K3227" s="7" t="s">
        <v>16867</v>
      </c>
      <c r="L3227" s="198" t="s">
        <v>65</v>
      </c>
      <c r="M3227" s="199"/>
      <c r="N3227" s="199"/>
    </row>
    <row r="3228">
      <c r="A3228" s="193" t="s">
        <v>20952</v>
      </c>
      <c r="B3228" s="7" t="s">
        <v>187</v>
      </c>
      <c r="C3228" s="7" t="s">
        <v>16846</v>
      </c>
      <c r="D3228" s="199"/>
      <c r="E3228" s="193"/>
      <c r="F3228" s="195" t="s">
        <v>20953</v>
      </c>
      <c r="G3228" s="196">
        <v>1.788129429E9</v>
      </c>
      <c r="H3228" s="197">
        <v>33.32</v>
      </c>
      <c r="I3228" s="7" t="s">
        <v>16815</v>
      </c>
      <c r="J3228" s="7" t="s">
        <v>187</v>
      </c>
      <c r="K3228" s="7" t="s">
        <v>16846</v>
      </c>
      <c r="L3228" s="198" t="s">
        <v>65</v>
      </c>
      <c r="M3228" s="199"/>
      <c r="N3228" s="199"/>
    </row>
    <row r="3229">
      <c r="A3229" s="193" t="s">
        <v>20954</v>
      </c>
      <c r="B3229" s="7" t="s">
        <v>17019</v>
      </c>
      <c r="C3229" s="7" t="s">
        <v>16838</v>
      </c>
      <c r="D3229" s="194">
        <v>2003.0</v>
      </c>
      <c r="E3229" s="193"/>
      <c r="F3229" s="195" t="s">
        <v>20955</v>
      </c>
      <c r="G3229" s="200">
        <v>1.786637277E9</v>
      </c>
      <c r="H3229" s="197">
        <v>12.01</v>
      </c>
      <c r="I3229" s="7" t="s">
        <v>16815</v>
      </c>
      <c r="J3229" s="7" t="s">
        <v>17019</v>
      </c>
      <c r="K3229" s="7" t="s">
        <v>16838</v>
      </c>
      <c r="L3229" s="201" t="s">
        <v>16835</v>
      </c>
      <c r="M3229" s="194"/>
      <c r="N3229" s="194"/>
    </row>
    <row r="3230">
      <c r="A3230" s="193" t="s">
        <v>20954</v>
      </c>
      <c r="B3230" s="7" t="s">
        <v>16838</v>
      </c>
      <c r="C3230" s="7" t="s">
        <v>17019</v>
      </c>
      <c r="D3230" s="194">
        <v>2003.0</v>
      </c>
      <c r="E3230" s="193"/>
      <c r="F3230" s="195" t="s">
        <v>20956</v>
      </c>
      <c r="G3230" s="196">
        <v>1.786637277E9</v>
      </c>
      <c r="H3230" s="197">
        <v>12.01</v>
      </c>
      <c r="I3230" s="7" t="s">
        <v>16815</v>
      </c>
      <c r="J3230" s="7" t="s">
        <v>16838</v>
      </c>
      <c r="K3230" s="7" t="s">
        <v>17019</v>
      </c>
      <c r="L3230" s="198" t="s">
        <v>65</v>
      </c>
      <c r="M3230" s="194"/>
      <c r="N3230" s="194"/>
    </row>
    <row r="3231">
      <c r="A3231" s="193" t="s">
        <v>20957</v>
      </c>
      <c r="B3231" s="7" t="s">
        <v>175</v>
      </c>
      <c r="C3231" s="7" t="s">
        <v>17350</v>
      </c>
      <c r="D3231" s="199"/>
      <c r="E3231" s="193"/>
      <c r="F3231" s="195" t="s">
        <v>20958</v>
      </c>
      <c r="G3231" s="196">
        <v>1.781785265E9</v>
      </c>
      <c r="H3231" s="197">
        <v>7.35</v>
      </c>
      <c r="I3231" s="193" t="s">
        <v>16908</v>
      </c>
      <c r="J3231" s="7" t="s">
        <v>175</v>
      </c>
      <c r="K3231" s="7" t="s">
        <v>17350</v>
      </c>
      <c r="L3231" s="198" t="s">
        <v>65</v>
      </c>
      <c r="M3231" s="199"/>
      <c r="N3231" s="199"/>
    </row>
    <row r="3232">
      <c r="A3232" s="193" t="s">
        <v>20959</v>
      </c>
      <c r="B3232" s="7" t="s">
        <v>175</v>
      </c>
      <c r="C3232" s="7" t="s">
        <v>17495</v>
      </c>
      <c r="D3232" s="199"/>
      <c r="E3232" s="193"/>
      <c r="F3232" s="195" t="s">
        <v>20960</v>
      </c>
      <c r="G3232" s="196">
        <v>1.777563615E9</v>
      </c>
      <c r="H3232" s="197">
        <v>24.19</v>
      </c>
      <c r="I3232" s="7" t="s">
        <v>168</v>
      </c>
      <c r="J3232" s="7" t="s">
        <v>175</v>
      </c>
      <c r="K3232" s="7" t="s">
        <v>17495</v>
      </c>
      <c r="L3232" s="198" t="s">
        <v>65</v>
      </c>
      <c r="M3232" s="199"/>
      <c r="N3232" s="199"/>
    </row>
    <row r="3233">
      <c r="A3233" s="193" t="s">
        <v>20961</v>
      </c>
      <c r="B3233" s="7" t="s">
        <v>16838</v>
      </c>
      <c r="C3233" s="7" t="s">
        <v>17016</v>
      </c>
      <c r="D3233" s="194">
        <v>2020.0</v>
      </c>
      <c r="E3233" s="193"/>
      <c r="F3233" s="195" t="s">
        <v>20962</v>
      </c>
      <c r="G3233" s="196">
        <v>1.775146206E9</v>
      </c>
      <c r="H3233" s="197">
        <v>20.87</v>
      </c>
      <c r="I3233" s="7" t="s">
        <v>16815</v>
      </c>
      <c r="J3233" s="7" t="s">
        <v>16838</v>
      </c>
      <c r="K3233" s="7" t="s">
        <v>17016</v>
      </c>
      <c r="L3233" s="198" t="s">
        <v>65</v>
      </c>
      <c r="M3233" s="194"/>
      <c r="N3233" s="194"/>
    </row>
    <row r="3234">
      <c r="A3234" s="193" t="s">
        <v>20963</v>
      </c>
      <c r="B3234" s="7" t="s">
        <v>175</v>
      </c>
      <c r="C3234" s="7" t="s">
        <v>17495</v>
      </c>
      <c r="D3234" s="199"/>
      <c r="E3234" s="193"/>
      <c r="F3234" s="195" t="s">
        <v>20964</v>
      </c>
      <c r="G3234" s="196">
        <v>1.768621413E9</v>
      </c>
      <c r="H3234" s="197">
        <v>37.97</v>
      </c>
      <c r="I3234" s="7" t="s">
        <v>16892</v>
      </c>
      <c r="J3234" s="7" t="s">
        <v>175</v>
      </c>
      <c r="K3234" s="7" t="s">
        <v>17495</v>
      </c>
      <c r="L3234" s="198" t="s">
        <v>65</v>
      </c>
      <c r="M3234" s="199"/>
      <c r="N3234" s="199"/>
    </row>
    <row r="3235">
      <c r="A3235" s="193" t="s">
        <v>20963</v>
      </c>
      <c r="B3235" s="7" t="s">
        <v>17495</v>
      </c>
      <c r="C3235" s="7" t="s">
        <v>175</v>
      </c>
      <c r="D3235" s="199"/>
      <c r="E3235" s="193"/>
      <c r="F3235" s="195" t="s">
        <v>20964</v>
      </c>
      <c r="G3235" s="200">
        <v>1.768621413E9</v>
      </c>
      <c r="H3235" s="197">
        <v>37.97</v>
      </c>
      <c r="I3235" s="7" t="s">
        <v>16815</v>
      </c>
      <c r="J3235" s="7" t="s">
        <v>17495</v>
      </c>
      <c r="K3235" s="7" t="s">
        <v>175</v>
      </c>
      <c r="L3235" s="201" t="s">
        <v>16835</v>
      </c>
      <c r="M3235" s="199"/>
      <c r="N3235" s="199"/>
    </row>
    <row r="3236">
      <c r="A3236" s="193" t="s">
        <v>20965</v>
      </c>
      <c r="D3236" s="194">
        <v>2023.0</v>
      </c>
      <c r="E3236" s="193"/>
      <c r="F3236" s="195" t="s">
        <v>20966</v>
      </c>
      <c r="G3236" s="196">
        <v>1.768304399E9</v>
      </c>
      <c r="H3236" s="197">
        <v>11.58</v>
      </c>
      <c r="I3236" s="7" t="s">
        <v>16815</v>
      </c>
      <c r="L3236" s="198" t="s">
        <v>65</v>
      </c>
      <c r="M3236" s="194"/>
      <c r="N3236" s="194"/>
    </row>
    <row r="3237">
      <c r="A3237" s="193" t="s">
        <v>20967</v>
      </c>
      <c r="B3237" s="7" t="s">
        <v>175</v>
      </c>
      <c r="C3237" s="7" t="s">
        <v>18723</v>
      </c>
      <c r="D3237" s="194">
        <v>2007.0</v>
      </c>
      <c r="E3237" s="193"/>
      <c r="F3237" s="195" t="s">
        <v>20968</v>
      </c>
      <c r="G3237" s="196">
        <v>1.767277517E9</v>
      </c>
      <c r="H3237" s="197">
        <v>14.51</v>
      </c>
      <c r="I3237" s="7" t="s">
        <v>16908</v>
      </c>
      <c r="J3237" s="7" t="s">
        <v>175</v>
      </c>
      <c r="K3237" s="7" t="s">
        <v>18723</v>
      </c>
      <c r="L3237" s="198" t="s">
        <v>65</v>
      </c>
      <c r="M3237" s="194"/>
      <c r="N3237" s="194"/>
    </row>
    <row r="3238">
      <c r="A3238" s="193" t="s">
        <v>20967</v>
      </c>
      <c r="B3238" s="7" t="s">
        <v>18723</v>
      </c>
      <c r="C3238" s="7" t="s">
        <v>175</v>
      </c>
      <c r="D3238" s="194">
        <v>2007.0</v>
      </c>
      <c r="E3238" s="193"/>
      <c r="F3238" s="195" t="s">
        <v>20968</v>
      </c>
      <c r="G3238" s="200">
        <v>1.767277517E9</v>
      </c>
      <c r="H3238" s="197">
        <v>14.51</v>
      </c>
      <c r="I3238" s="7" t="s">
        <v>16815</v>
      </c>
      <c r="J3238" s="7" t="s">
        <v>18723</v>
      </c>
      <c r="K3238" s="7" t="s">
        <v>175</v>
      </c>
      <c r="L3238" s="201" t="s">
        <v>16835</v>
      </c>
      <c r="M3238" s="194"/>
      <c r="N3238" s="194"/>
    </row>
    <row r="3239">
      <c r="A3239" s="193" t="s">
        <v>20969</v>
      </c>
      <c r="B3239" s="7" t="s">
        <v>16582</v>
      </c>
      <c r="C3239" s="7" t="s">
        <v>16930</v>
      </c>
      <c r="D3239" s="194">
        <v>2021.0</v>
      </c>
      <c r="E3239" s="193"/>
      <c r="F3239" s="195" t="s">
        <v>20970</v>
      </c>
      <c r="G3239" s="196">
        <v>1.765646855E9</v>
      </c>
      <c r="H3239" s="197">
        <v>8.24</v>
      </c>
      <c r="I3239" s="7" t="s">
        <v>16815</v>
      </c>
      <c r="J3239" s="7" t="s">
        <v>16582</v>
      </c>
      <c r="K3239" s="7" t="s">
        <v>16930</v>
      </c>
      <c r="L3239" s="198" t="s">
        <v>65</v>
      </c>
      <c r="M3239" s="194"/>
      <c r="N3239" s="194"/>
    </row>
    <row r="3240">
      <c r="A3240" s="193" t="s">
        <v>20969</v>
      </c>
      <c r="B3240" s="7" t="s">
        <v>16930</v>
      </c>
      <c r="C3240" s="7" t="s">
        <v>16582</v>
      </c>
      <c r="D3240" s="194">
        <v>2021.0</v>
      </c>
      <c r="E3240" s="193"/>
      <c r="F3240" s="195" t="s">
        <v>20970</v>
      </c>
      <c r="G3240" s="200">
        <v>1.765646855E9</v>
      </c>
      <c r="H3240" s="197">
        <v>8.24</v>
      </c>
      <c r="I3240" s="7" t="s">
        <v>16815</v>
      </c>
      <c r="J3240" s="7" t="s">
        <v>16930</v>
      </c>
      <c r="K3240" s="7" t="s">
        <v>16582</v>
      </c>
      <c r="L3240" s="201" t="s">
        <v>16835</v>
      </c>
      <c r="M3240" s="194"/>
      <c r="N3240" s="194"/>
    </row>
    <row r="3241">
      <c r="A3241" s="193" t="s">
        <v>20971</v>
      </c>
      <c r="B3241" s="7" t="s">
        <v>17321</v>
      </c>
      <c r="C3241" s="7" t="s">
        <v>169</v>
      </c>
      <c r="D3241" s="194">
        <v>2023.0</v>
      </c>
      <c r="E3241" s="193"/>
      <c r="F3241" s="195" t="s">
        <v>20972</v>
      </c>
      <c r="G3241" s="200">
        <v>1.757E9</v>
      </c>
      <c r="H3241" s="197">
        <v>17.57</v>
      </c>
      <c r="I3241" s="7" t="s">
        <v>16815</v>
      </c>
      <c r="J3241" s="7" t="s">
        <v>17321</v>
      </c>
      <c r="K3241" s="7" t="s">
        <v>169</v>
      </c>
      <c r="L3241" s="201" t="s">
        <v>16835</v>
      </c>
      <c r="M3241" s="194"/>
      <c r="N3241" s="194"/>
    </row>
    <row r="3242">
      <c r="A3242" s="193" t="s">
        <v>20971</v>
      </c>
      <c r="B3242" s="7" t="s">
        <v>169</v>
      </c>
      <c r="C3242" s="7" t="s">
        <v>17321</v>
      </c>
      <c r="D3242" s="194">
        <v>2023.0</v>
      </c>
      <c r="E3242" s="193"/>
      <c r="F3242" s="195" t="s">
        <v>20972</v>
      </c>
      <c r="G3242" s="196">
        <v>1.757E9</v>
      </c>
      <c r="H3242" s="197">
        <v>17.57</v>
      </c>
      <c r="I3242" s="7" t="s">
        <v>16815</v>
      </c>
      <c r="J3242" s="7" t="s">
        <v>169</v>
      </c>
      <c r="K3242" s="7" t="s">
        <v>17321</v>
      </c>
      <c r="L3242" s="198" t="s">
        <v>65</v>
      </c>
      <c r="M3242" s="194"/>
      <c r="N3242" s="194"/>
    </row>
    <row r="3243">
      <c r="A3243" s="193" t="s">
        <v>20973</v>
      </c>
      <c r="B3243" s="7" t="s">
        <v>158</v>
      </c>
      <c r="C3243" s="7" t="s">
        <v>16864</v>
      </c>
      <c r="D3243" s="194">
        <v>2018.0</v>
      </c>
      <c r="E3243" s="193"/>
      <c r="F3243" s="195" t="s">
        <v>20974</v>
      </c>
      <c r="G3243" s="196">
        <v>1.755737108E9</v>
      </c>
      <c r="H3243" s="197">
        <v>14.15</v>
      </c>
      <c r="I3243" s="7" t="s">
        <v>180</v>
      </c>
      <c r="J3243" s="7" t="s">
        <v>158</v>
      </c>
      <c r="K3243" s="7" t="s">
        <v>16864</v>
      </c>
      <c r="L3243" s="198" t="s">
        <v>65</v>
      </c>
      <c r="M3243" s="194"/>
      <c r="N3243" s="194"/>
    </row>
    <row r="3244">
      <c r="A3244" s="193" t="s">
        <v>20973</v>
      </c>
      <c r="B3244" s="7" t="s">
        <v>16864</v>
      </c>
      <c r="C3244" s="7" t="s">
        <v>158</v>
      </c>
      <c r="D3244" s="194">
        <v>2018.0</v>
      </c>
      <c r="E3244" s="193"/>
      <c r="F3244" s="195" t="s">
        <v>20974</v>
      </c>
      <c r="G3244" s="200">
        <v>1.755737108E9</v>
      </c>
      <c r="H3244" s="197">
        <v>14.15</v>
      </c>
      <c r="I3244" s="7" t="s">
        <v>16815</v>
      </c>
      <c r="J3244" s="7" t="s">
        <v>16864</v>
      </c>
      <c r="K3244" s="7" t="s">
        <v>158</v>
      </c>
      <c r="L3244" s="201" t="s">
        <v>16835</v>
      </c>
      <c r="M3244" s="194"/>
      <c r="N3244" s="194"/>
    </row>
    <row r="3245">
      <c r="A3245" s="193" t="s">
        <v>20975</v>
      </c>
      <c r="B3245" s="7" t="s">
        <v>175</v>
      </c>
      <c r="C3245" s="7" t="s">
        <v>17031</v>
      </c>
      <c r="D3245" s="194">
        <v>1986.0</v>
      </c>
      <c r="E3245" s="193"/>
      <c r="F3245" s="195" t="s">
        <v>20976</v>
      </c>
      <c r="G3245" s="196">
        <v>1.749932969E9</v>
      </c>
      <c r="H3245" s="197">
        <v>42.74</v>
      </c>
      <c r="I3245" s="7" t="s">
        <v>17242</v>
      </c>
      <c r="J3245" s="7" t="s">
        <v>175</v>
      </c>
      <c r="K3245" s="7" t="s">
        <v>17031</v>
      </c>
      <c r="L3245" s="198" t="s">
        <v>65</v>
      </c>
      <c r="M3245" s="194"/>
      <c r="N3245" s="194"/>
    </row>
    <row r="3246">
      <c r="A3246" s="193" t="s">
        <v>20977</v>
      </c>
      <c r="B3246" s="7" t="s">
        <v>16945</v>
      </c>
      <c r="C3246" s="7" t="s">
        <v>169</v>
      </c>
      <c r="D3246" s="199"/>
      <c r="E3246" s="193"/>
      <c r="F3246" s="195" t="s">
        <v>20978</v>
      </c>
      <c r="G3246" s="200">
        <v>1.748250368E9</v>
      </c>
      <c r="H3246" s="197">
        <v>11.15</v>
      </c>
      <c r="I3246" s="7" t="s">
        <v>16815</v>
      </c>
      <c r="J3246" s="7" t="s">
        <v>16945</v>
      </c>
      <c r="K3246" s="7" t="s">
        <v>169</v>
      </c>
      <c r="L3246" s="201" t="s">
        <v>16835</v>
      </c>
      <c r="M3246" s="199"/>
      <c r="N3246" s="199"/>
    </row>
    <row r="3247">
      <c r="A3247" s="193" t="s">
        <v>20977</v>
      </c>
      <c r="B3247" s="7" t="s">
        <v>169</v>
      </c>
      <c r="C3247" s="7" t="s">
        <v>16945</v>
      </c>
      <c r="D3247" s="199"/>
      <c r="E3247" s="193"/>
      <c r="F3247" s="195" t="s">
        <v>20978</v>
      </c>
      <c r="G3247" s="196">
        <v>1.748250368E9</v>
      </c>
      <c r="H3247" s="197">
        <v>11.15</v>
      </c>
      <c r="I3247" s="7" t="s">
        <v>16815</v>
      </c>
      <c r="J3247" s="7" t="s">
        <v>169</v>
      </c>
      <c r="K3247" s="7" t="s">
        <v>16945</v>
      </c>
      <c r="L3247" s="198" t="s">
        <v>65</v>
      </c>
      <c r="M3247" s="199"/>
      <c r="N3247" s="199"/>
    </row>
    <row r="3248">
      <c r="A3248" s="193" t="s">
        <v>20979</v>
      </c>
      <c r="B3248" s="7" t="s">
        <v>169</v>
      </c>
      <c r="C3248" s="7" t="s">
        <v>17827</v>
      </c>
      <c r="D3248" s="194">
        <v>2010.0</v>
      </c>
      <c r="E3248" s="193"/>
      <c r="F3248" s="195" t="s">
        <v>20980</v>
      </c>
      <c r="G3248" s="196">
        <v>1.743734143E9</v>
      </c>
      <c r="H3248" s="197">
        <v>6.52</v>
      </c>
      <c r="I3248" s="7" t="s">
        <v>16815</v>
      </c>
      <c r="J3248" s="7" t="s">
        <v>169</v>
      </c>
      <c r="K3248" s="7" t="s">
        <v>17827</v>
      </c>
      <c r="L3248" s="198" t="s">
        <v>65</v>
      </c>
      <c r="M3248" s="194"/>
      <c r="N3248" s="194"/>
    </row>
    <row r="3249">
      <c r="A3249" s="193" t="s">
        <v>20981</v>
      </c>
      <c r="B3249" s="7" t="s">
        <v>16582</v>
      </c>
      <c r="C3249" s="7" t="s">
        <v>16828</v>
      </c>
      <c r="D3249" s="199"/>
      <c r="E3249" s="193"/>
      <c r="F3249" s="195" t="s">
        <v>20982</v>
      </c>
      <c r="G3249" s="196">
        <v>1.743573437E9</v>
      </c>
      <c r="H3249" s="197">
        <v>7.84</v>
      </c>
      <c r="I3249" s="7" t="s">
        <v>16815</v>
      </c>
      <c r="J3249" s="7" t="s">
        <v>16582</v>
      </c>
      <c r="K3249" s="7" t="s">
        <v>16828</v>
      </c>
      <c r="L3249" s="198" t="s">
        <v>65</v>
      </c>
      <c r="M3249" s="199"/>
      <c r="N3249" s="199"/>
    </row>
    <row r="3250">
      <c r="A3250" s="193" t="s">
        <v>20983</v>
      </c>
      <c r="B3250" s="7" t="s">
        <v>175</v>
      </c>
      <c r="C3250" s="7" t="s">
        <v>16878</v>
      </c>
      <c r="D3250" s="199"/>
      <c r="E3250" s="193"/>
      <c r="F3250" s="195" t="s">
        <v>20984</v>
      </c>
      <c r="G3250" s="196">
        <v>1.73878291E9</v>
      </c>
      <c r="H3250" s="197">
        <v>34.22</v>
      </c>
      <c r="I3250" s="7" t="s">
        <v>16908</v>
      </c>
      <c r="J3250" s="7" t="s">
        <v>175</v>
      </c>
      <c r="K3250" s="7" t="s">
        <v>16878</v>
      </c>
      <c r="L3250" s="198" t="s">
        <v>65</v>
      </c>
      <c r="M3250" s="199"/>
      <c r="N3250" s="199"/>
    </row>
    <row r="3251">
      <c r="A3251" s="193" t="s">
        <v>20983</v>
      </c>
      <c r="B3251" s="7" t="s">
        <v>16878</v>
      </c>
      <c r="C3251" s="7" t="s">
        <v>175</v>
      </c>
      <c r="D3251" s="199"/>
      <c r="E3251" s="193"/>
      <c r="F3251" s="195" t="s">
        <v>20984</v>
      </c>
      <c r="G3251" s="200">
        <v>1.73878291E9</v>
      </c>
      <c r="H3251" s="197">
        <v>34.22</v>
      </c>
      <c r="I3251" s="7" t="s">
        <v>16815</v>
      </c>
      <c r="J3251" s="7" t="s">
        <v>16878</v>
      </c>
      <c r="K3251" s="7" t="s">
        <v>175</v>
      </c>
      <c r="L3251" s="201" t="s">
        <v>16835</v>
      </c>
      <c r="M3251" s="199"/>
      <c r="N3251" s="199"/>
    </row>
    <row r="3252">
      <c r="A3252" s="193" t="s">
        <v>20985</v>
      </c>
      <c r="B3252" s="7" t="s">
        <v>16838</v>
      </c>
      <c r="C3252" s="7" t="s">
        <v>17002</v>
      </c>
      <c r="D3252" s="199"/>
      <c r="E3252" s="193"/>
      <c r="F3252" s="195" t="s">
        <v>20986</v>
      </c>
      <c r="G3252" s="196">
        <v>1.737187282E9</v>
      </c>
      <c r="H3252" s="197">
        <v>11.78</v>
      </c>
      <c r="I3252" s="7" t="s">
        <v>16815</v>
      </c>
      <c r="J3252" s="7" t="s">
        <v>16838</v>
      </c>
      <c r="K3252" s="7" t="s">
        <v>17002</v>
      </c>
      <c r="L3252" s="198" t="s">
        <v>65</v>
      </c>
      <c r="M3252" s="199"/>
      <c r="N3252" s="199"/>
    </row>
    <row r="3253">
      <c r="A3253" s="193" t="s">
        <v>20987</v>
      </c>
      <c r="B3253" s="7" t="s">
        <v>16838</v>
      </c>
      <c r="C3253" s="7" t="s">
        <v>17347</v>
      </c>
      <c r="D3253" s="199"/>
      <c r="E3253" s="193"/>
      <c r="F3253" s="195" t="s">
        <v>20988</v>
      </c>
      <c r="G3253" s="196">
        <v>1.73619955E9</v>
      </c>
      <c r="H3253" s="197">
        <v>477.5</v>
      </c>
      <c r="I3253" s="7" t="s">
        <v>16815</v>
      </c>
      <c r="J3253" s="7" t="s">
        <v>16838</v>
      </c>
      <c r="K3253" s="7" t="s">
        <v>17347</v>
      </c>
      <c r="L3253" s="198" t="s">
        <v>65</v>
      </c>
      <c r="M3253" s="199"/>
      <c r="N3253" s="199"/>
    </row>
    <row r="3254">
      <c r="A3254" s="193" t="s">
        <v>20989</v>
      </c>
      <c r="B3254" s="7" t="s">
        <v>175</v>
      </c>
      <c r="C3254" s="7" t="s">
        <v>17350</v>
      </c>
      <c r="D3254" s="199"/>
      <c r="E3254" s="193"/>
      <c r="F3254" s="195" t="s">
        <v>20990</v>
      </c>
      <c r="G3254" s="196">
        <v>1.732534752E9</v>
      </c>
      <c r="H3254" s="197">
        <v>78.0</v>
      </c>
      <c r="I3254" s="7" t="s">
        <v>168</v>
      </c>
      <c r="J3254" s="7" t="s">
        <v>175</v>
      </c>
      <c r="K3254" s="7" t="s">
        <v>17350</v>
      </c>
      <c r="L3254" s="198" t="s">
        <v>65</v>
      </c>
      <c r="M3254" s="199"/>
      <c r="N3254" s="199"/>
    </row>
    <row r="3255">
      <c r="A3255" s="193" t="s">
        <v>20991</v>
      </c>
      <c r="B3255" s="7" t="s">
        <v>17202</v>
      </c>
      <c r="C3255" s="7" t="s">
        <v>16838</v>
      </c>
      <c r="D3255" s="194">
        <v>2003.0</v>
      </c>
      <c r="E3255" s="193"/>
      <c r="F3255" s="195" t="s">
        <v>20992</v>
      </c>
      <c r="G3255" s="200">
        <v>1.732520912E9</v>
      </c>
      <c r="H3255" s="197">
        <v>19.21</v>
      </c>
      <c r="I3255" s="7" t="s">
        <v>16815</v>
      </c>
      <c r="J3255" s="7" t="s">
        <v>17202</v>
      </c>
      <c r="K3255" s="7" t="s">
        <v>16838</v>
      </c>
      <c r="L3255" s="201" t="s">
        <v>16835</v>
      </c>
      <c r="M3255" s="194"/>
      <c r="N3255" s="194"/>
    </row>
    <row r="3256">
      <c r="A3256" s="193" t="s">
        <v>20991</v>
      </c>
      <c r="B3256" s="7" t="s">
        <v>16838</v>
      </c>
      <c r="C3256" s="7" t="s">
        <v>17202</v>
      </c>
      <c r="D3256" s="194">
        <v>2003.0</v>
      </c>
      <c r="E3256" s="193"/>
      <c r="F3256" s="195" t="s">
        <v>20992</v>
      </c>
      <c r="G3256" s="196">
        <v>1.732520912E9</v>
      </c>
      <c r="H3256" s="197">
        <v>19.21</v>
      </c>
      <c r="I3256" s="7" t="s">
        <v>16815</v>
      </c>
      <c r="J3256" s="7" t="s">
        <v>16838</v>
      </c>
      <c r="K3256" s="7" t="s">
        <v>17202</v>
      </c>
      <c r="L3256" s="198" t="s">
        <v>65</v>
      </c>
      <c r="M3256" s="194"/>
      <c r="N3256" s="194"/>
    </row>
    <row r="3257">
      <c r="A3257" s="193" t="s">
        <v>20993</v>
      </c>
      <c r="B3257" s="7" t="s">
        <v>169</v>
      </c>
      <c r="C3257" s="7" t="s">
        <v>19139</v>
      </c>
      <c r="D3257" s="194">
        <v>2006.0</v>
      </c>
      <c r="E3257" s="193"/>
      <c r="F3257" s="195" t="s">
        <v>20994</v>
      </c>
      <c r="G3257" s="196">
        <v>1.726329823E9</v>
      </c>
      <c r="H3257" s="197">
        <v>30.26</v>
      </c>
      <c r="I3257" s="7" t="s">
        <v>16815</v>
      </c>
      <c r="J3257" s="7" t="s">
        <v>169</v>
      </c>
      <c r="K3257" s="7" t="s">
        <v>19139</v>
      </c>
      <c r="L3257" s="198" t="s">
        <v>65</v>
      </c>
      <c r="M3257" s="194"/>
      <c r="N3257" s="194"/>
    </row>
    <row r="3258">
      <c r="A3258" s="193" t="s">
        <v>20993</v>
      </c>
      <c r="B3258" s="7" t="s">
        <v>19139</v>
      </c>
      <c r="C3258" s="7" t="s">
        <v>169</v>
      </c>
      <c r="D3258" s="194">
        <v>2006.0</v>
      </c>
      <c r="E3258" s="193"/>
      <c r="F3258" s="195" t="s">
        <v>20994</v>
      </c>
      <c r="G3258" s="200">
        <v>1.726329823E9</v>
      </c>
      <c r="H3258" s="197">
        <v>30.26</v>
      </c>
      <c r="I3258" s="7" t="s">
        <v>16815</v>
      </c>
      <c r="J3258" s="7" t="s">
        <v>19139</v>
      </c>
      <c r="K3258" s="7" t="s">
        <v>169</v>
      </c>
      <c r="L3258" s="201" t="s">
        <v>16835</v>
      </c>
      <c r="M3258" s="194"/>
      <c r="N3258" s="194"/>
    </row>
    <row r="3259">
      <c r="A3259" s="193" t="s">
        <v>20995</v>
      </c>
      <c r="B3259" s="7" t="s">
        <v>16910</v>
      </c>
      <c r="C3259" s="7" t="s">
        <v>17119</v>
      </c>
      <c r="D3259" s="194">
        <v>2018.0</v>
      </c>
      <c r="E3259" s="193"/>
      <c r="F3259" s="195" t="s">
        <v>20996</v>
      </c>
      <c r="G3259" s="196">
        <v>1.722412512E9</v>
      </c>
      <c r="H3259" s="197">
        <v>12.26</v>
      </c>
      <c r="I3259" s="7" t="s">
        <v>17063</v>
      </c>
      <c r="J3259" s="7" t="s">
        <v>16910</v>
      </c>
      <c r="K3259" s="7" t="s">
        <v>17119</v>
      </c>
      <c r="L3259" s="198" t="s">
        <v>65</v>
      </c>
      <c r="M3259" s="194"/>
      <c r="N3259" s="194"/>
    </row>
    <row r="3260">
      <c r="A3260" s="193" t="s">
        <v>20995</v>
      </c>
      <c r="B3260" s="7" t="s">
        <v>17119</v>
      </c>
      <c r="C3260" s="7" t="s">
        <v>16910</v>
      </c>
      <c r="D3260" s="194">
        <v>2018.0</v>
      </c>
      <c r="E3260" s="193"/>
      <c r="F3260" s="195" t="s">
        <v>20996</v>
      </c>
      <c r="G3260" s="200">
        <v>1.722412512E9</v>
      </c>
      <c r="H3260" s="197">
        <v>12.26</v>
      </c>
      <c r="I3260" s="7" t="s">
        <v>16815</v>
      </c>
      <c r="J3260" s="7" t="s">
        <v>17119</v>
      </c>
      <c r="K3260" s="7" t="s">
        <v>16910</v>
      </c>
      <c r="L3260" s="201" t="s">
        <v>16835</v>
      </c>
      <c r="M3260" s="194"/>
      <c r="N3260" s="194"/>
    </row>
    <row r="3261">
      <c r="A3261" s="193" t="s">
        <v>20997</v>
      </c>
      <c r="B3261" s="7" t="s">
        <v>175</v>
      </c>
      <c r="C3261" s="7" t="s">
        <v>17350</v>
      </c>
      <c r="D3261" s="199"/>
      <c r="E3261" s="193"/>
      <c r="F3261" s="195" t="s">
        <v>20998</v>
      </c>
      <c r="G3261" s="196">
        <v>1.720510772E9</v>
      </c>
      <c r="H3261" s="197">
        <v>11.92</v>
      </c>
      <c r="I3261" s="7" t="s">
        <v>16908</v>
      </c>
      <c r="J3261" s="7" t="s">
        <v>175</v>
      </c>
      <c r="K3261" s="7" t="s">
        <v>17350</v>
      </c>
      <c r="L3261" s="198" t="s">
        <v>65</v>
      </c>
      <c r="M3261" s="199"/>
      <c r="N3261" s="199"/>
    </row>
    <row r="3262">
      <c r="A3262" s="193" t="s">
        <v>20997</v>
      </c>
      <c r="B3262" s="7" t="s">
        <v>17350</v>
      </c>
      <c r="C3262" s="7" t="s">
        <v>175</v>
      </c>
      <c r="D3262" s="199"/>
      <c r="E3262" s="193"/>
      <c r="F3262" s="195" t="s">
        <v>20998</v>
      </c>
      <c r="G3262" s="200">
        <v>1.720510772E9</v>
      </c>
      <c r="H3262" s="197">
        <v>11.92</v>
      </c>
      <c r="I3262" s="7" t="s">
        <v>16815</v>
      </c>
      <c r="J3262" s="7" t="s">
        <v>17350</v>
      </c>
      <c r="K3262" s="7" t="s">
        <v>175</v>
      </c>
      <c r="L3262" s="201" t="s">
        <v>16835</v>
      </c>
      <c r="M3262" s="199"/>
      <c r="N3262" s="199"/>
    </row>
    <row r="3263">
      <c r="A3263" s="193" t="s">
        <v>20999</v>
      </c>
      <c r="B3263" s="7" t="s">
        <v>17111</v>
      </c>
      <c r="C3263" s="7" t="s">
        <v>17112</v>
      </c>
      <c r="D3263" s="194">
        <v>2005.0</v>
      </c>
      <c r="E3263" s="193"/>
      <c r="F3263" s="195" t="s">
        <v>21000</v>
      </c>
      <c r="G3263" s="200">
        <v>1.716846743E9</v>
      </c>
      <c r="H3263" s="197">
        <v>8.19</v>
      </c>
      <c r="I3263" s="7" t="s">
        <v>16815</v>
      </c>
      <c r="J3263" s="7" t="s">
        <v>17111</v>
      </c>
      <c r="K3263" s="7" t="s">
        <v>17112</v>
      </c>
      <c r="L3263" s="201" t="s">
        <v>16835</v>
      </c>
      <c r="M3263" s="194"/>
      <c r="N3263" s="194"/>
    </row>
    <row r="3264">
      <c r="A3264" s="193" t="s">
        <v>20999</v>
      </c>
      <c r="B3264" s="7" t="s">
        <v>17112</v>
      </c>
      <c r="C3264" s="7" t="s">
        <v>17111</v>
      </c>
      <c r="D3264" s="194">
        <v>2005.0</v>
      </c>
      <c r="E3264" s="193"/>
      <c r="F3264" s="195" t="s">
        <v>21000</v>
      </c>
      <c r="G3264" s="196">
        <v>1.716846743E9</v>
      </c>
      <c r="H3264" s="197">
        <v>8.19</v>
      </c>
      <c r="I3264" s="7" t="s">
        <v>16815</v>
      </c>
      <c r="J3264" s="7" t="s">
        <v>17112</v>
      </c>
      <c r="K3264" s="7" t="s">
        <v>17111</v>
      </c>
      <c r="L3264" s="198" t="s">
        <v>65</v>
      </c>
      <c r="M3264" s="194"/>
      <c r="N3264" s="194"/>
    </row>
    <row r="3265">
      <c r="A3265" s="193" t="s">
        <v>21001</v>
      </c>
      <c r="B3265" s="7" t="s">
        <v>17347</v>
      </c>
      <c r="C3265" s="7" t="s">
        <v>16838</v>
      </c>
      <c r="D3265" s="194">
        <v>2022.0</v>
      </c>
      <c r="E3265" s="193"/>
      <c r="F3265" s="195" t="s">
        <v>21002</v>
      </c>
      <c r="G3265" s="200">
        <v>1.716845178E9</v>
      </c>
      <c r="H3265" s="197">
        <v>26.05</v>
      </c>
      <c r="I3265" s="7" t="s">
        <v>16815</v>
      </c>
      <c r="J3265" s="7" t="s">
        <v>17347</v>
      </c>
      <c r="K3265" s="7" t="s">
        <v>16838</v>
      </c>
      <c r="L3265" s="201" t="s">
        <v>16835</v>
      </c>
      <c r="M3265" s="194"/>
      <c r="N3265" s="194"/>
    </row>
    <row r="3266">
      <c r="A3266" s="193" t="s">
        <v>21001</v>
      </c>
      <c r="B3266" s="7" t="s">
        <v>16838</v>
      </c>
      <c r="C3266" s="7" t="s">
        <v>17347</v>
      </c>
      <c r="D3266" s="194">
        <v>2022.0</v>
      </c>
      <c r="E3266" s="193"/>
      <c r="F3266" s="195" t="s">
        <v>21002</v>
      </c>
      <c r="G3266" s="196">
        <v>1.716845178E9</v>
      </c>
      <c r="H3266" s="197">
        <v>26.05</v>
      </c>
      <c r="I3266" s="7" t="s">
        <v>16815</v>
      </c>
      <c r="J3266" s="7" t="s">
        <v>16838</v>
      </c>
      <c r="K3266" s="7" t="s">
        <v>17347</v>
      </c>
      <c r="L3266" s="198" t="s">
        <v>65</v>
      </c>
      <c r="M3266" s="194"/>
      <c r="N3266" s="194"/>
    </row>
    <row r="3267">
      <c r="A3267" s="193" t="s">
        <v>21003</v>
      </c>
      <c r="B3267" s="7" t="s">
        <v>17112</v>
      </c>
      <c r="C3267" s="7" t="s">
        <v>16838</v>
      </c>
      <c r="D3267" s="194">
        <v>2018.0</v>
      </c>
      <c r="E3267" s="193"/>
      <c r="F3267" s="195" t="s">
        <v>21004</v>
      </c>
      <c r="G3267" s="200">
        <v>1.715762793E9</v>
      </c>
      <c r="H3267" s="197">
        <v>7.55</v>
      </c>
      <c r="I3267" s="7" t="s">
        <v>16815</v>
      </c>
      <c r="J3267" s="7" t="s">
        <v>17112</v>
      </c>
      <c r="K3267" s="7" t="s">
        <v>16838</v>
      </c>
      <c r="L3267" s="201" t="s">
        <v>16835</v>
      </c>
      <c r="M3267" s="194"/>
      <c r="N3267" s="194"/>
    </row>
    <row r="3268">
      <c r="A3268" s="193" t="s">
        <v>21003</v>
      </c>
      <c r="B3268" s="7" t="s">
        <v>16838</v>
      </c>
      <c r="C3268" s="7" t="s">
        <v>17112</v>
      </c>
      <c r="D3268" s="194">
        <v>2018.0</v>
      </c>
      <c r="E3268" s="193"/>
      <c r="F3268" s="195" t="s">
        <v>21004</v>
      </c>
      <c r="G3268" s="196">
        <v>1.715762793E9</v>
      </c>
      <c r="H3268" s="197">
        <v>7.55</v>
      </c>
      <c r="I3268" s="7" t="s">
        <v>16815</v>
      </c>
      <c r="J3268" s="7" t="s">
        <v>16838</v>
      </c>
      <c r="K3268" s="7" t="s">
        <v>17112</v>
      </c>
      <c r="L3268" s="198" t="s">
        <v>65</v>
      </c>
      <c r="M3268" s="194"/>
      <c r="N3268" s="194"/>
    </row>
    <row r="3269">
      <c r="A3269" s="193" t="s">
        <v>21005</v>
      </c>
      <c r="B3269" s="7" t="s">
        <v>16838</v>
      </c>
      <c r="C3269" s="7" t="s">
        <v>19644</v>
      </c>
      <c r="D3269" s="199"/>
      <c r="E3269" s="193"/>
      <c r="F3269" s="195" t="s">
        <v>21006</v>
      </c>
      <c r="G3269" s="196">
        <v>1.714372335E9</v>
      </c>
      <c r="H3269" s="197">
        <v>158.14</v>
      </c>
      <c r="I3269" s="7" t="s">
        <v>186</v>
      </c>
      <c r="J3269" s="7" t="s">
        <v>16838</v>
      </c>
      <c r="K3269" s="7" t="s">
        <v>19644</v>
      </c>
      <c r="L3269" s="198" t="s">
        <v>65</v>
      </c>
      <c r="M3269" s="199"/>
      <c r="N3269" s="199"/>
    </row>
    <row r="3270">
      <c r="A3270" s="193" t="s">
        <v>21005</v>
      </c>
      <c r="B3270" s="7" t="s">
        <v>19644</v>
      </c>
      <c r="C3270" s="7" t="s">
        <v>16838</v>
      </c>
      <c r="D3270" s="199"/>
      <c r="E3270" s="193"/>
      <c r="F3270" s="195" t="s">
        <v>21006</v>
      </c>
      <c r="G3270" s="200">
        <v>1.714372335E9</v>
      </c>
      <c r="H3270" s="197">
        <v>158.14</v>
      </c>
      <c r="I3270" s="7" t="s">
        <v>16815</v>
      </c>
      <c r="J3270" s="7" t="s">
        <v>19644</v>
      </c>
      <c r="K3270" s="7" t="s">
        <v>16838</v>
      </c>
      <c r="L3270" s="201" t="s">
        <v>16835</v>
      </c>
      <c r="M3270" s="199"/>
      <c r="N3270" s="199"/>
    </row>
    <row r="3271">
      <c r="A3271" s="193" t="s">
        <v>21007</v>
      </c>
      <c r="B3271" s="7" t="s">
        <v>16838</v>
      </c>
      <c r="C3271" s="7" t="s">
        <v>16867</v>
      </c>
      <c r="D3271" s="199"/>
      <c r="E3271" s="193"/>
      <c r="F3271" s="195" t="s">
        <v>21008</v>
      </c>
      <c r="G3271" s="196">
        <v>1.713417377E9</v>
      </c>
      <c r="H3271" s="197">
        <v>28.63</v>
      </c>
      <c r="I3271" s="7" t="s">
        <v>16815</v>
      </c>
      <c r="J3271" s="7" t="s">
        <v>16838</v>
      </c>
      <c r="K3271" s="7" t="s">
        <v>16867</v>
      </c>
      <c r="L3271" s="198" t="s">
        <v>65</v>
      </c>
      <c r="M3271" s="199"/>
      <c r="N3271" s="199"/>
    </row>
    <row r="3272">
      <c r="A3272" s="193" t="s">
        <v>21009</v>
      </c>
      <c r="B3272" s="7" t="s">
        <v>16919</v>
      </c>
      <c r="C3272" s="7" t="s">
        <v>16864</v>
      </c>
      <c r="D3272" s="194">
        <v>2021.0</v>
      </c>
      <c r="E3272" s="193"/>
      <c r="F3272" s="195" t="s">
        <v>21010</v>
      </c>
      <c r="G3272" s="196">
        <v>1.712114356E9</v>
      </c>
      <c r="H3272" s="197">
        <v>15.18</v>
      </c>
      <c r="I3272" s="7" t="s">
        <v>16815</v>
      </c>
      <c r="J3272" s="7" t="s">
        <v>16919</v>
      </c>
      <c r="K3272" s="7" t="s">
        <v>16864</v>
      </c>
      <c r="L3272" s="198" t="s">
        <v>65</v>
      </c>
      <c r="M3272" s="194"/>
      <c r="N3272" s="194"/>
    </row>
    <row r="3273">
      <c r="A3273" s="193" t="s">
        <v>21009</v>
      </c>
      <c r="B3273" s="7" t="s">
        <v>16864</v>
      </c>
      <c r="C3273" s="7" t="s">
        <v>16919</v>
      </c>
      <c r="D3273" s="194">
        <v>2021.0</v>
      </c>
      <c r="E3273" s="193"/>
      <c r="F3273" s="195" t="s">
        <v>21010</v>
      </c>
      <c r="G3273" s="200">
        <v>1.712114356E9</v>
      </c>
      <c r="H3273" s="197">
        <v>15.18</v>
      </c>
      <c r="I3273" s="7" t="s">
        <v>16815</v>
      </c>
      <c r="J3273" s="7" t="s">
        <v>16864</v>
      </c>
      <c r="K3273" s="7" t="s">
        <v>16919</v>
      </c>
      <c r="L3273" s="201" t="s">
        <v>16835</v>
      </c>
      <c r="M3273" s="194"/>
      <c r="N3273" s="194"/>
    </row>
    <row r="3274">
      <c r="A3274" s="193" t="s">
        <v>21011</v>
      </c>
      <c r="B3274" s="7" t="s">
        <v>187</v>
      </c>
      <c r="C3274" s="7" t="s">
        <v>16846</v>
      </c>
      <c r="D3274" s="194">
        <v>2004.0</v>
      </c>
      <c r="E3274" s="193"/>
      <c r="F3274" s="195" t="s">
        <v>21012</v>
      </c>
      <c r="G3274" s="196">
        <v>1.70624322E9</v>
      </c>
      <c r="H3274" s="197">
        <v>13.2</v>
      </c>
      <c r="I3274" s="7" t="s">
        <v>16815</v>
      </c>
      <c r="J3274" s="7" t="s">
        <v>187</v>
      </c>
      <c r="K3274" s="7" t="s">
        <v>16846</v>
      </c>
      <c r="L3274" s="198" t="s">
        <v>65</v>
      </c>
      <c r="M3274" s="194"/>
      <c r="N3274" s="194"/>
    </row>
    <row r="3275">
      <c r="A3275" s="193" t="s">
        <v>21013</v>
      </c>
      <c r="B3275" s="7" t="s">
        <v>16838</v>
      </c>
      <c r="C3275" s="7" t="s">
        <v>16837</v>
      </c>
      <c r="D3275" s="194">
        <v>2018.0</v>
      </c>
      <c r="E3275" s="193"/>
      <c r="F3275" s="195" t="s">
        <v>21014</v>
      </c>
      <c r="G3275" s="196">
        <v>1.705980014E9</v>
      </c>
      <c r="H3275" s="197">
        <v>16.19</v>
      </c>
      <c r="I3275" s="7" t="s">
        <v>16815</v>
      </c>
      <c r="J3275" s="7" t="s">
        <v>16838</v>
      </c>
      <c r="K3275" s="7" t="s">
        <v>16837</v>
      </c>
      <c r="L3275" s="198" t="s">
        <v>65</v>
      </c>
      <c r="M3275" s="194"/>
      <c r="N3275" s="194"/>
    </row>
    <row r="3276">
      <c r="A3276" s="193" t="s">
        <v>21015</v>
      </c>
      <c r="B3276" s="7" t="s">
        <v>175</v>
      </c>
      <c r="C3276" s="7" t="s">
        <v>16972</v>
      </c>
      <c r="D3276" s="194">
        <v>2022.0</v>
      </c>
      <c r="E3276" s="193"/>
      <c r="F3276" s="195" t="s">
        <v>21016</v>
      </c>
      <c r="G3276" s="196">
        <v>1.7049042E9</v>
      </c>
      <c r="H3276" s="197">
        <v>3.42</v>
      </c>
      <c r="I3276" s="7" t="s">
        <v>17242</v>
      </c>
      <c r="J3276" s="7" t="s">
        <v>175</v>
      </c>
      <c r="K3276" s="7" t="s">
        <v>16972</v>
      </c>
      <c r="L3276" s="198" t="s">
        <v>65</v>
      </c>
      <c r="M3276" s="194"/>
      <c r="N3276" s="194"/>
    </row>
    <row r="3277">
      <c r="A3277" s="193" t="s">
        <v>21015</v>
      </c>
      <c r="B3277" s="7" t="s">
        <v>16972</v>
      </c>
      <c r="C3277" s="7" t="s">
        <v>175</v>
      </c>
      <c r="D3277" s="194">
        <v>2022.0</v>
      </c>
      <c r="E3277" s="193"/>
      <c r="F3277" s="195" t="s">
        <v>21016</v>
      </c>
      <c r="G3277" s="200">
        <v>1.7049042E9</v>
      </c>
      <c r="H3277" s="197">
        <v>3.42</v>
      </c>
      <c r="I3277" s="7" t="s">
        <v>16815</v>
      </c>
      <c r="J3277" s="7" t="s">
        <v>16972</v>
      </c>
      <c r="K3277" s="7" t="s">
        <v>175</v>
      </c>
      <c r="L3277" s="201" t="s">
        <v>16835</v>
      </c>
      <c r="M3277" s="194"/>
      <c r="N3277" s="194"/>
    </row>
    <row r="3278">
      <c r="A3278" s="193" t="s">
        <v>21017</v>
      </c>
      <c r="B3278" s="7" t="s">
        <v>16582</v>
      </c>
      <c r="C3278" s="7" t="s">
        <v>16930</v>
      </c>
      <c r="D3278" s="194">
        <v>2023.0</v>
      </c>
      <c r="E3278" s="193"/>
      <c r="F3278" s="195" t="s">
        <v>21018</v>
      </c>
      <c r="G3278" s="196">
        <v>1.702383502E9</v>
      </c>
      <c r="H3278" s="197">
        <v>21.27</v>
      </c>
      <c r="I3278" s="7" t="s">
        <v>16815</v>
      </c>
      <c r="J3278" s="7" t="s">
        <v>16582</v>
      </c>
      <c r="K3278" s="7" t="s">
        <v>16930</v>
      </c>
      <c r="L3278" s="198" t="s">
        <v>65</v>
      </c>
      <c r="M3278" s="194"/>
      <c r="N3278" s="194"/>
    </row>
    <row r="3279">
      <c r="A3279" s="193" t="s">
        <v>21017</v>
      </c>
      <c r="B3279" s="7" t="s">
        <v>16930</v>
      </c>
      <c r="C3279" s="7" t="s">
        <v>16582</v>
      </c>
      <c r="D3279" s="194">
        <v>2023.0</v>
      </c>
      <c r="E3279" s="193"/>
      <c r="F3279" s="195" t="s">
        <v>21018</v>
      </c>
      <c r="G3279" s="200">
        <v>1.702383502E9</v>
      </c>
      <c r="H3279" s="197">
        <v>21.27</v>
      </c>
      <c r="I3279" s="7" t="s">
        <v>16815</v>
      </c>
      <c r="J3279" s="7" t="s">
        <v>16930</v>
      </c>
      <c r="K3279" s="7" t="s">
        <v>16582</v>
      </c>
      <c r="L3279" s="201" t="s">
        <v>16835</v>
      </c>
      <c r="M3279" s="194"/>
      <c r="N3279" s="194"/>
    </row>
    <row r="3280">
      <c r="A3280" s="193" t="s">
        <v>21019</v>
      </c>
      <c r="B3280" s="7" t="s">
        <v>17112</v>
      </c>
      <c r="C3280" s="7" t="s">
        <v>17111</v>
      </c>
      <c r="D3280" s="199"/>
      <c r="E3280" s="193"/>
      <c r="F3280" s="195" t="s">
        <v>21020</v>
      </c>
      <c r="G3280" s="196">
        <v>1.700310525E9</v>
      </c>
      <c r="H3280" s="197">
        <v>18.75</v>
      </c>
      <c r="I3280" s="7" t="s">
        <v>16815</v>
      </c>
      <c r="J3280" s="7" t="s">
        <v>17112</v>
      </c>
      <c r="K3280" s="7" t="s">
        <v>17111</v>
      </c>
      <c r="L3280" s="198" t="s">
        <v>65</v>
      </c>
      <c r="M3280" s="199"/>
      <c r="N3280" s="199"/>
    </row>
    <row r="3281">
      <c r="A3281" s="193" t="s">
        <v>21021</v>
      </c>
      <c r="B3281" s="7" t="s">
        <v>16838</v>
      </c>
      <c r="C3281" s="7" t="s">
        <v>19579</v>
      </c>
      <c r="D3281" s="194">
        <v>2004.0</v>
      </c>
      <c r="E3281" s="193"/>
      <c r="F3281" s="195" t="s">
        <v>21022</v>
      </c>
      <c r="G3281" s="196">
        <v>1.698895011E9</v>
      </c>
      <c r="H3281" s="197">
        <v>12.53</v>
      </c>
      <c r="I3281" s="7" t="s">
        <v>16924</v>
      </c>
      <c r="J3281" s="7" t="s">
        <v>16838</v>
      </c>
      <c r="K3281" s="7" t="s">
        <v>19579</v>
      </c>
      <c r="L3281" s="198" t="s">
        <v>65</v>
      </c>
      <c r="M3281" s="194"/>
      <c r="N3281" s="194"/>
    </row>
    <row r="3282">
      <c r="A3282" s="193" t="s">
        <v>21021</v>
      </c>
      <c r="B3282" s="7" t="s">
        <v>19579</v>
      </c>
      <c r="C3282" s="7" t="s">
        <v>16838</v>
      </c>
      <c r="D3282" s="194">
        <v>2004.0</v>
      </c>
      <c r="E3282" s="193"/>
      <c r="F3282" s="195" t="s">
        <v>21022</v>
      </c>
      <c r="G3282" s="200">
        <v>1.698895011E9</v>
      </c>
      <c r="H3282" s="197">
        <v>12.53</v>
      </c>
      <c r="I3282" s="7" t="s">
        <v>16815</v>
      </c>
      <c r="J3282" s="7" t="s">
        <v>19579</v>
      </c>
      <c r="K3282" s="7" t="s">
        <v>16838</v>
      </c>
      <c r="L3282" s="201" t="s">
        <v>16835</v>
      </c>
      <c r="M3282" s="194"/>
      <c r="N3282" s="194"/>
    </row>
    <row r="3283">
      <c r="A3283" s="193" t="s">
        <v>21023</v>
      </c>
      <c r="B3283" s="7" t="s">
        <v>17127</v>
      </c>
      <c r="C3283" s="7" t="s">
        <v>16838</v>
      </c>
      <c r="D3283" s="194">
        <v>2013.0</v>
      </c>
      <c r="E3283" s="193"/>
      <c r="F3283" s="195" t="s">
        <v>21024</v>
      </c>
      <c r="G3283" s="200">
        <v>1.695911553E9</v>
      </c>
      <c r="H3283" s="197">
        <v>10.12</v>
      </c>
      <c r="I3283" s="7" t="s">
        <v>16815</v>
      </c>
      <c r="J3283" s="7" t="s">
        <v>17127</v>
      </c>
      <c r="K3283" s="7" t="s">
        <v>16838</v>
      </c>
      <c r="L3283" s="201" t="s">
        <v>16835</v>
      </c>
      <c r="M3283" s="194"/>
      <c r="N3283" s="194"/>
    </row>
    <row r="3284">
      <c r="A3284" s="193" t="s">
        <v>21023</v>
      </c>
      <c r="B3284" s="7" t="s">
        <v>16838</v>
      </c>
      <c r="C3284" s="7" t="s">
        <v>17127</v>
      </c>
      <c r="D3284" s="194">
        <v>2013.0</v>
      </c>
      <c r="E3284" s="193"/>
      <c r="F3284" s="195" t="s">
        <v>21024</v>
      </c>
      <c r="G3284" s="196">
        <v>1.695911553E9</v>
      </c>
      <c r="H3284" s="197">
        <v>10.12</v>
      </c>
      <c r="I3284" s="7" t="s">
        <v>16815</v>
      </c>
      <c r="J3284" s="7" t="s">
        <v>16838</v>
      </c>
      <c r="K3284" s="7" t="s">
        <v>17127</v>
      </c>
      <c r="L3284" s="198" t="s">
        <v>65</v>
      </c>
      <c r="M3284" s="194"/>
      <c r="N3284" s="194"/>
    </row>
    <row r="3285">
      <c r="A3285" s="193" t="s">
        <v>21025</v>
      </c>
      <c r="B3285" s="7" t="s">
        <v>16838</v>
      </c>
      <c r="C3285" s="7" t="s">
        <v>16867</v>
      </c>
      <c r="D3285" s="194">
        <v>1994.0</v>
      </c>
      <c r="E3285" s="193"/>
      <c r="F3285" s="195" t="s">
        <v>21026</v>
      </c>
      <c r="G3285" s="196">
        <v>1.690940977E9</v>
      </c>
      <c r="H3285" s="197">
        <v>104.92</v>
      </c>
      <c r="I3285" s="7" t="s">
        <v>16815</v>
      </c>
      <c r="J3285" s="7" t="s">
        <v>16838</v>
      </c>
      <c r="K3285" s="7" t="s">
        <v>16867</v>
      </c>
      <c r="L3285" s="198" t="s">
        <v>65</v>
      </c>
      <c r="M3285" s="194"/>
      <c r="N3285" s="194"/>
    </row>
    <row r="3286">
      <c r="A3286" s="193" t="s">
        <v>21025</v>
      </c>
      <c r="B3286" s="202" t="s">
        <v>16867</v>
      </c>
      <c r="C3286" s="193" t="s">
        <v>16838</v>
      </c>
      <c r="D3286" s="193">
        <v>1994.0</v>
      </c>
      <c r="E3286" s="193"/>
      <c r="F3286" s="203" t="s">
        <v>21026</v>
      </c>
      <c r="G3286" s="200">
        <v>1.690940977E9</v>
      </c>
      <c r="H3286" s="205">
        <v>5.64</v>
      </c>
      <c r="J3286" s="202" t="s">
        <v>16867</v>
      </c>
      <c r="K3286" s="193" t="s">
        <v>16838</v>
      </c>
      <c r="L3286" s="193" t="s">
        <v>17471</v>
      </c>
      <c r="M3286" s="193"/>
      <c r="N3286" s="193"/>
    </row>
    <row r="3287">
      <c r="A3287" s="193" t="s">
        <v>21027</v>
      </c>
      <c r="B3287" s="7" t="s">
        <v>16837</v>
      </c>
      <c r="C3287" s="7" t="s">
        <v>16838</v>
      </c>
      <c r="D3287" s="194">
        <v>2011.0</v>
      </c>
      <c r="E3287" s="193"/>
      <c r="F3287" s="195" t="s">
        <v>21028</v>
      </c>
      <c r="G3287" s="200">
        <v>1.685499315E9</v>
      </c>
      <c r="H3287" s="197">
        <v>22.66</v>
      </c>
      <c r="I3287" s="7" t="s">
        <v>16815</v>
      </c>
      <c r="J3287" s="7" t="s">
        <v>16837</v>
      </c>
      <c r="K3287" s="7" t="s">
        <v>16838</v>
      </c>
      <c r="L3287" s="201" t="s">
        <v>16835</v>
      </c>
      <c r="M3287" s="194"/>
      <c r="N3287" s="194"/>
    </row>
    <row r="3288">
      <c r="A3288" s="193" t="s">
        <v>21027</v>
      </c>
      <c r="B3288" s="7" t="s">
        <v>16838</v>
      </c>
      <c r="C3288" s="7" t="s">
        <v>16837</v>
      </c>
      <c r="D3288" s="194">
        <v>2011.0</v>
      </c>
      <c r="E3288" s="193"/>
      <c r="F3288" s="195" t="s">
        <v>21028</v>
      </c>
      <c r="G3288" s="196">
        <v>1.685499315E9</v>
      </c>
      <c r="H3288" s="197">
        <v>22.66</v>
      </c>
      <c r="I3288" s="7" t="s">
        <v>16815</v>
      </c>
      <c r="J3288" s="7" t="s">
        <v>16838</v>
      </c>
      <c r="K3288" s="7" t="s">
        <v>16837</v>
      </c>
      <c r="L3288" s="198" t="s">
        <v>65</v>
      </c>
      <c r="M3288" s="194"/>
      <c r="N3288" s="194"/>
    </row>
    <row r="3289">
      <c r="A3289" s="193" t="s">
        <v>21029</v>
      </c>
      <c r="B3289" s="7" t="s">
        <v>175</v>
      </c>
      <c r="C3289" s="7" t="s">
        <v>17264</v>
      </c>
      <c r="D3289" s="194">
        <v>2005.0</v>
      </c>
      <c r="E3289" s="193"/>
      <c r="F3289" s="195" t="s">
        <v>21030</v>
      </c>
      <c r="G3289" s="196">
        <v>1.682351641E9</v>
      </c>
      <c r="H3289" s="197">
        <v>63.27</v>
      </c>
      <c r="I3289" s="7" t="s">
        <v>16908</v>
      </c>
      <c r="J3289" s="7" t="s">
        <v>175</v>
      </c>
      <c r="K3289" s="7" t="s">
        <v>17264</v>
      </c>
      <c r="L3289" s="198" t="s">
        <v>65</v>
      </c>
      <c r="M3289" s="194"/>
      <c r="N3289" s="194"/>
    </row>
    <row r="3290">
      <c r="A3290" s="193" t="s">
        <v>21031</v>
      </c>
      <c r="B3290" s="7" t="s">
        <v>187</v>
      </c>
      <c r="C3290" s="7" t="s">
        <v>16846</v>
      </c>
      <c r="D3290" s="194">
        <v>2017.0</v>
      </c>
      <c r="E3290" s="193"/>
      <c r="F3290" s="195" t="s">
        <v>21032</v>
      </c>
      <c r="G3290" s="196">
        <v>1.681885081E9</v>
      </c>
      <c r="H3290" s="197">
        <v>28.46</v>
      </c>
      <c r="I3290" s="7" t="s">
        <v>16815</v>
      </c>
      <c r="J3290" s="7" t="s">
        <v>187</v>
      </c>
      <c r="K3290" s="7" t="s">
        <v>16846</v>
      </c>
      <c r="L3290" s="198" t="s">
        <v>65</v>
      </c>
      <c r="M3290" s="194"/>
      <c r="N3290" s="194"/>
    </row>
    <row r="3291">
      <c r="A3291" s="193" t="s">
        <v>21033</v>
      </c>
      <c r="B3291" s="7" t="s">
        <v>17111</v>
      </c>
      <c r="C3291" s="7" t="s">
        <v>17112</v>
      </c>
      <c r="D3291" s="194">
        <v>2013.0</v>
      </c>
      <c r="E3291" s="193"/>
      <c r="F3291" s="195" t="s">
        <v>21034</v>
      </c>
      <c r="G3291" s="200">
        <v>1.678215523E9</v>
      </c>
      <c r="H3291" s="197">
        <v>9.75</v>
      </c>
      <c r="I3291" s="7" t="s">
        <v>16815</v>
      </c>
      <c r="J3291" s="7" t="s">
        <v>17111</v>
      </c>
      <c r="K3291" s="7" t="s">
        <v>17112</v>
      </c>
      <c r="L3291" s="201" t="s">
        <v>16835</v>
      </c>
      <c r="M3291" s="194"/>
      <c r="N3291" s="194"/>
    </row>
    <row r="3292">
      <c r="A3292" s="193" t="s">
        <v>21033</v>
      </c>
      <c r="B3292" s="7" t="s">
        <v>17112</v>
      </c>
      <c r="C3292" s="7" t="s">
        <v>17111</v>
      </c>
      <c r="D3292" s="194">
        <v>2013.0</v>
      </c>
      <c r="E3292" s="193"/>
      <c r="F3292" s="195" t="s">
        <v>21034</v>
      </c>
      <c r="G3292" s="196">
        <v>1.678215523E9</v>
      </c>
      <c r="H3292" s="197">
        <v>9.75</v>
      </c>
      <c r="I3292" s="7" t="s">
        <v>16815</v>
      </c>
      <c r="J3292" s="7" t="s">
        <v>17112</v>
      </c>
      <c r="K3292" s="7" t="s">
        <v>17111</v>
      </c>
      <c r="L3292" s="198" t="s">
        <v>65</v>
      </c>
      <c r="M3292" s="194"/>
      <c r="N3292" s="194"/>
    </row>
    <row r="3293">
      <c r="A3293" s="193" t="s">
        <v>21035</v>
      </c>
      <c r="B3293" s="7" t="s">
        <v>175</v>
      </c>
      <c r="C3293" s="7" t="s">
        <v>17084</v>
      </c>
      <c r="D3293" s="199"/>
      <c r="E3293" s="193"/>
      <c r="F3293" s="195" t="s">
        <v>21036</v>
      </c>
      <c r="G3293" s="196">
        <v>1.673795825E9</v>
      </c>
      <c r="H3293" s="197">
        <v>33.18</v>
      </c>
      <c r="I3293" s="7" t="s">
        <v>16908</v>
      </c>
      <c r="J3293" s="7" t="s">
        <v>175</v>
      </c>
      <c r="K3293" s="7" t="s">
        <v>17084</v>
      </c>
      <c r="L3293" s="198" t="s">
        <v>65</v>
      </c>
      <c r="M3293" s="199"/>
      <c r="N3293" s="199"/>
    </row>
    <row r="3294">
      <c r="A3294" s="193" t="s">
        <v>21035</v>
      </c>
      <c r="B3294" s="7" t="s">
        <v>17084</v>
      </c>
      <c r="C3294" s="7" t="s">
        <v>175</v>
      </c>
      <c r="D3294" s="199"/>
      <c r="E3294" s="193"/>
      <c r="F3294" s="195" t="s">
        <v>21036</v>
      </c>
      <c r="G3294" s="200">
        <v>1.673795825E9</v>
      </c>
      <c r="H3294" s="197">
        <v>33.18</v>
      </c>
      <c r="I3294" s="7" t="s">
        <v>16815</v>
      </c>
      <c r="J3294" s="7" t="s">
        <v>17084</v>
      </c>
      <c r="K3294" s="7" t="s">
        <v>175</v>
      </c>
      <c r="L3294" s="201" t="s">
        <v>16835</v>
      </c>
      <c r="M3294" s="199"/>
      <c r="N3294" s="199"/>
    </row>
    <row r="3295">
      <c r="A3295" s="193" t="s">
        <v>21037</v>
      </c>
      <c r="B3295" s="7" t="s">
        <v>175</v>
      </c>
      <c r="C3295" s="7" t="s">
        <v>17480</v>
      </c>
      <c r="D3295" s="199"/>
      <c r="E3295" s="193"/>
      <c r="F3295" s="195" t="s">
        <v>21038</v>
      </c>
      <c r="G3295" s="196">
        <v>1.672669035E9</v>
      </c>
      <c r="H3295" s="197">
        <v>44.75</v>
      </c>
      <c r="I3295" s="7" t="s">
        <v>168</v>
      </c>
      <c r="J3295" s="7" t="s">
        <v>175</v>
      </c>
      <c r="K3295" s="7" t="s">
        <v>17480</v>
      </c>
      <c r="L3295" s="198" t="s">
        <v>65</v>
      </c>
      <c r="M3295" s="199"/>
      <c r="N3295" s="199"/>
    </row>
    <row r="3296">
      <c r="A3296" s="193" t="s">
        <v>21039</v>
      </c>
      <c r="B3296" s="7" t="s">
        <v>187</v>
      </c>
      <c r="C3296" s="7" t="s">
        <v>16846</v>
      </c>
      <c r="D3296" s="194">
        <v>2015.0</v>
      </c>
      <c r="E3296" s="193"/>
      <c r="F3296" s="195" t="s">
        <v>21040</v>
      </c>
      <c r="G3296" s="196">
        <v>1.672447502E9</v>
      </c>
      <c r="H3296" s="197">
        <v>18.55</v>
      </c>
      <c r="I3296" s="7" t="s">
        <v>16815</v>
      </c>
      <c r="J3296" s="7" t="s">
        <v>187</v>
      </c>
      <c r="K3296" s="7" t="s">
        <v>16846</v>
      </c>
      <c r="L3296" s="198" t="s">
        <v>65</v>
      </c>
      <c r="M3296" s="194"/>
      <c r="N3296" s="194"/>
    </row>
    <row r="3297">
      <c r="A3297" s="193" t="s">
        <v>21041</v>
      </c>
      <c r="B3297" s="7" t="s">
        <v>17629</v>
      </c>
      <c r="C3297" s="7" t="s">
        <v>16899</v>
      </c>
      <c r="D3297" s="194">
        <v>2021.0</v>
      </c>
      <c r="E3297" s="193"/>
      <c r="F3297" s="195" t="s">
        <v>21042</v>
      </c>
      <c r="G3297" s="196">
        <v>1.671725243E9</v>
      </c>
      <c r="H3297" s="197">
        <v>10.44</v>
      </c>
      <c r="I3297" s="7" t="s">
        <v>16815</v>
      </c>
      <c r="J3297" s="7" t="s">
        <v>17629</v>
      </c>
      <c r="K3297" s="7" t="s">
        <v>16899</v>
      </c>
      <c r="L3297" s="198" t="s">
        <v>65</v>
      </c>
      <c r="M3297" s="194"/>
      <c r="N3297" s="194"/>
    </row>
    <row r="3298">
      <c r="A3298" s="193" t="s">
        <v>21043</v>
      </c>
      <c r="B3298" s="7" t="s">
        <v>175</v>
      </c>
      <c r="C3298" s="7" t="s">
        <v>16878</v>
      </c>
      <c r="D3298" s="199"/>
      <c r="E3298" s="193"/>
      <c r="F3298" s="195" t="s">
        <v>21044</v>
      </c>
      <c r="G3298" s="196">
        <v>1.668382949E9</v>
      </c>
      <c r="H3298" s="197">
        <v>74.59</v>
      </c>
      <c r="I3298" s="7" t="s">
        <v>17033</v>
      </c>
      <c r="J3298" s="7" t="s">
        <v>175</v>
      </c>
      <c r="K3298" s="7" t="s">
        <v>16878</v>
      </c>
      <c r="L3298" s="198" t="s">
        <v>65</v>
      </c>
      <c r="M3298" s="199"/>
      <c r="N3298" s="199"/>
    </row>
    <row r="3299">
      <c r="A3299" s="193" t="s">
        <v>21043</v>
      </c>
      <c r="B3299" s="7" t="s">
        <v>16878</v>
      </c>
      <c r="C3299" s="7" t="s">
        <v>175</v>
      </c>
      <c r="D3299" s="199"/>
      <c r="E3299" s="193"/>
      <c r="F3299" s="195" t="s">
        <v>21044</v>
      </c>
      <c r="G3299" s="200">
        <v>1.668382949E9</v>
      </c>
      <c r="H3299" s="197">
        <v>74.59</v>
      </c>
      <c r="I3299" s="7" t="s">
        <v>16815</v>
      </c>
      <c r="J3299" s="7" t="s">
        <v>16878</v>
      </c>
      <c r="K3299" s="7" t="s">
        <v>175</v>
      </c>
      <c r="L3299" s="201" t="s">
        <v>16835</v>
      </c>
      <c r="M3299" s="199"/>
      <c r="N3299" s="199"/>
    </row>
    <row r="3300">
      <c r="A3300" s="193" t="s">
        <v>21045</v>
      </c>
      <c r="D3300" s="194">
        <v>2023.0</v>
      </c>
      <c r="E3300" s="193"/>
      <c r="F3300" s="195" t="s">
        <v>21046</v>
      </c>
      <c r="G3300" s="196">
        <v>1.668277E9</v>
      </c>
      <c r="H3300" s="197">
        <v>14.18</v>
      </c>
      <c r="I3300" s="7" t="s">
        <v>16815</v>
      </c>
      <c r="L3300" s="198" t="s">
        <v>65</v>
      </c>
      <c r="M3300" s="194"/>
      <c r="N3300" s="194"/>
    </row>
    <row r="3301">
      <c r="A3301" s="193" t="s">
        <v>21047</v>
      </c>
      <c r="B3301" s="7" t="s">
        <v>175</v>
      </c>
      <c r="C3301" s="7" t="s">
        <v>18676</v>
      </c>
      <c r="D3301" s="199"/>
      <c r="E3301" s="193"/>
      <c r="F3301" s="195" t="s">
        <v>21048</v>
      </c>
      <c r="G3301" s="196">
        <v>1.667300505E9</v>
      </c>
      <c r="H3301" s="197">
        <v>30.2</v>
      </c>
      <c r="I3301" s="7" t="s">
        <v>16856</v>
      </c>
      <c r="J3301" s="7" t="s">
        <v>175</v>
      </c>
      <c r="K3301" s="7" t="s">
        <v>18676</v>
      </c>
      <c r="L3301" s="198" t="s">
        <v>65</v>
      </c>
      <c r="M3301" s="199"/>
      <c r="N3301" s="199"/>
    </row>
    <row r="3302">
      <c r="A3302" s="193" t="s">
        <v>21047</v>
      </c>
      <c r="B3302" s="7" t="s">
        <v>18676</v>
      </c>
      <c r="C3302" s="7" t="s">
        <v>175</v>
      </c>
      <c r="D3302" s="199"/>
      <c r="E3302" s="193"/>
      <c r="F3302" s="195" t="s">
        <v>21048</v>
      </c>
      <c r="G3302" s="200">
        <v>1.667300505E9</v>
      </c>
      <c r="H3302" s="197">
        <v>30.2</v>
      </c>
      <c r="I3302" s="7" t="s">
        <v>16815</v>
      </c>
      <c r="J3302" s="7" t="s">
        <v>18676</v>
      </c>
      <c r="K3302" s="7" t="s">
        <v>175</v>
      </c>
      <c r="L3302" s="201" t="s">
        <v>16835</v>
      </c>
      <c r="M3302" s="199"/>
      <c r="N3302" s="199"/>
    </row>
    <row r="3303">
      <c r="A3303" s="193" t="s">
        <v>21049</v>
      </c>
      <c r="B3303" s="7" t="s">
        <v>175</v>
      </c>
      <c r="C3303" s="7" t="s">
        <v>17394</v>
      </c>
      <c r="D3303" s="194">
        <v>1997.0</v>
      </c>
      <c r="E3303" s="193"/>
      <c r="F3303" s="195" t="s">
        <v>21050</v>
      </c>
      <c r="G3303" s="196">
        <v>1.667223377E9</v>
      </c>
      <c r="H3303" s="197">
        <v>49.2</v>
      </c>
      <c r="I3303" s="7" t="s">
        <v>17033</v>
      </c>
      <c r="J3303" s="7" t="s">
        <v>175</v>
      </c>
      <c r="K3303" s="7" t="s">
        <v>17394</v>
      </c>
      <c r="L3303" s="198" t="s">
        <v>65</v>
      </c>
      <c r="M3303" s="194"/>
      <c r="N3303" s="194"/>
    </row>
    <row r="3304">
      <c r="A3304" s="193" t="s">
        <v>21049</v>
      </c>
      <c r="B3304" s="7" t="s">
        <v>17394</v>
      </c>
      <c r="C3304" s="7" t="s">
        <v>175</v>
      </c>
      <c r="D3304" s="194">
        <v>1997.0</v>
      </c>
      <c r="E3304" s="193"/>
      <c r="F3304" s="195" t="s">
        <v>21050</v>
      </c>
      <c r="G3304" s="200">
        <v>1.667223377E9</v>
      </c>
      <c r="H3304" s="197">
        <v>49.2</v>
      </c>
      <c r="I3304" s="7" t="s">
        <v>16815</v>
      </c>
      <c r="J3304" s="7" t="s">
        <v>17394</v>
      </c>
      <c r="K3304" s="7" t="s">
        <v>175</v>
      </c>
      <c r="L3304" s="201" t="s">
        <v>16835</v>
      </c>
      <c r="M3304" s="194"/>
      <c r="N3304" s="194"/>
    </row>
    <row r="3305">
      <c r="A3305" s="193" t="s">
        <v>21051</v>
      </c>
      <c r="B3305" s="7" t="s">
        <v>187</v>
      </c>
      <c r="C3305" s="7" t="s">
        <v>16969</v>
      </c>
      <c r="D3305" s="194">
        <v>2005.0</v>
      </c>
      <c r="E3305" s="193"/>
      <c r="F3305" s="195" t="s">
        <v>21052</v>
      </c>
      <c r="G3305" s="196">
        <v>1.662145526E9</v>
      </c>
      <c r="H3305" s="197">
        <v>35.07</v>
      </c>
      <c r="I3305" s="7" t="s">
        <v>16815</v>
      </c>
      <c r="J3305" s="7" t="s">
        <v>187</v>
      </c>
      <c r="K3305" s="7" t="s">
        <v>16969</v>
      </c>
      <c r="L3305" s="198" t="s">
        <v>65</v>
      </c>
      <c r="M3305" s="194"/>
      <c r="N3305" s="194"/>
    </row>
    <row r="3306">
      <c r="A3306" s="193" t="s">
        <v>21053</v>
      </c>
      <c r="B3306" s="7" t="s">
        <v>169</v>
      </c>
      <c r="C3306" s="7" t="s">
        <v>17662</v>
      </c>
      <c r="D3306" s="199"/>
      <c r="E3306" s="193"/>
      <c r="F3306" s="195" t="s">
        <v>21054</v>
      </c>
      <c r="G3306" s="196">
        <v>1.661626763E9</v>
      </c>
      <c r="H3306" s="197">
        <v>49.23</v>
      </c>
      <c r="I3306" s="7" t="s">
        <v>16815</v>
      </c>
      <c r="J3306" s="7" t="s">
        <v>169</v>
      </c>
      <c r="K3306" s="7" t="s">
        <v>17662</v>
      </c>
      <c r="L3306" s="198" t="s">
        <v>65</v>
      </c>
      <c r="M3306" s="199"/>
      <c r="N3306" s="199"/>
    </row>
    <row r="3307">
      <c r="A3307" s="193" t="s">
        <v>21055</v>
      </c>
      <c r="D3307" s="194">
        <v>2023.0</v>
      </c>
      <c r="E3307" s="193"/>
      <c r="F3307" s="195" t="s">
        <v>21056</v>
      </c>
      <c r="G3307" s="196">
        <v>1.66155E9</v>
      </c>
      <c r="H3307" s="197">
        <v>17.49</v>
      </c>
      <c r="I3307" s="7" t="s">
        <v>16815</v>
      </c>
      <c r="L3307" s="198" t="s">
        <v>65</v>
      </c>
      <c r="M3307" s="194"/>
      <c r="N3307" s="194"/>
    </row>
    <row r="3308">
      <c r="A3308" s="193" t="s">
        <v>21055</v>
      </c>
      <c r="D3308" s="194">
        <v>2023.0</v>
      </c>
      <c r="E3308" s="193"/>
      <c r="F3308" s="195" t="s">
        <v>21056</v>
      </c>
      <c r="G3308" s="200">
        <v>1.66155E9</v>
      </c>
      <c r="H3308" s="197">
        <v>17.49</v>
      </c>
      <c r="L3308" s="201" t="s">
        <v>16835</v>
      </c>
      <c r="M3308" s="194"/>
      <c r="N3308" s="194"/>
    </row>
    <row r="3309">
      <c r="A3309" s="193" t="s">
        <v>21057</v>
      </c>
      <c r="B3309" s="7" t="s">
        <v>17347</v>
      </c>
      <c r="C3309" s="7" t="s">
        <v>16838</v>
      </c>
      <c r="D3309" s="194">
        <v>2016.0</v>
      </c>
      <c r="E3309" s="193"/>
      <c r="F3309" s="195" t="s">
        <v>21058</v>
      </c>
      <c r="G3309" s="200">
        <v>1.660825278E9</v>
      </c>
      <c r="H3309" s="197">
        <v>25.2</v>
      </c>
      <c r="I3309" s="7" t="s">
        <v>16815</v>
      </c>
      <c r="J3309" s="7" t="s">
        <v>17347</v>
      </c>
      <c r="K3309" s="7" t="s">
        <v>16838</v>
      </c>
      <c r="L3309" s="201" t="s">
        <v>16835</v>
      </c>
      <c r="M3309" s="194"/>
      <c r="N3309" s="194"/>
    </row>
    <row r="3310">
      <c r="A3310" s="193" t="s">
        <v>21057</v>
      </c>
      <c r="B3310" s="7" t="s">
        <v>16838</v>
      </c>
      <c r="C3310" s="7" t="s">
        <v>17347</v>
      </c>
      <c r="D3310" s="194">
        <v>2016.0</v>
      </c>
      <c r="E3310" s="193"/>
      <c r="F3310" s="195" t="s">
        <v>21058</v>
      </c>
      <c r="G3310" s="196">
        <v>1.660825278E9</v>
      </c>
      <c r="H3310" s="197">
        <v>25.2</v>
      </c>
      <c r="I3310" s="7" t="s">
        <v>16815</v>
      </c>
      <c r="J3310" s="7" t="s">
        <v>16838</v>
      </c>
      <c r="K3310" s="7" t="s">
        <v>17347</v>
      </c>
      <c r="L3310" s="198" t="s">
        <v>65</v>
      </c>
      <c r="M3310" s="194"/>
      <c r="N3310" s="194"/>
    </row>
    <row r="3311">
      <c r="A3311" s="193" t="s">
        <v>21059</v>
      </c>
      <c r="B3311" s="7" t="s">
        <v>17127</v>
      </c>
      <c r="C3311" s="7" t="s">
        <v>16838</v>
      </c>
      <c r="D3311" s="194">
        <v>2021.0</v>
      </c>
      <c r="E3311" s="193"/>
      <c r="F3311" s="195" t="s">
        <v>21060</v>
      </c>
      <c r="G3311" s="200">
        <v>1.659864468E9</v>
      </c>
      <c r="H3311" s="197">
        <v>32.05</v>
      </c>
      <c r="I3311" s="7" t="s">
        <v>16815</v>
      </c>
      <c r="J3311" s="7" t="s">
        <v>17127</v>
      </c>
      <c r="K3311" s="7" t="s">
        <v>16838</v>
      </c>
      <c r="L3311" s="201" t="s">
        <v>16835</v>
      </c>
      <c r="M3311" s="194"/>
      <c r="N3311" s="194"/>
    </row>
    <row r="3312">
      <c r="A3312" s="193" t="s">
        <v>21059</v>
      </c>
      <c r="B3312" s="7" t="s">
        <v>16838</v>
      </c>
      <c r="C3312" s="7" t="s">
        <v>17127</v>
      </c>
      <c r="D3312" s="194">
        <v>2021.0</v>
      </c>
      <c r="E3312" s="193"/>
      <c r="F3312" s="195" t="s">
        <v>21060</v>
      </c>
      <c r="G3312" s="196">
        <v>1.659864468E9</v>
      </c>
      <c r="H3312" s="197">
        <v>32.05</v>
      </c>
      <c r="I3312" s="7" t="s">
        <v>16815</v>
      </c>
      <c r="J3312" s="7" t="s">
        <v>16838</v>
      </c>
      <c r="K3312" s="7" t="s">
        <v>17127</v>
      </c>
      <c r="L3312" s="198" t="s">
        <v>65</v>
      </c>
      <c r="M3312" s="194"/>
      <c r="N3312" s="194"/>
    </row>
    <row r="3313">
      <c r="A3313" s="193" t="s">
        <v>21061</v>
      </c>
      <c r="B3313" s="7" t="s">
        <v>16910</v>
      </c>
      <c r="C3313" s="7" t="s">
        <v>17648</v>
      </c>
      <c r="D3313" s="199"/>
      <c r="E3313" s="193"/>
      <c r="F3313" s="195" t="s">
        <v>21062</v>
      </c>
      <c r="G3313" s="196">
        <v>1.659364949E9</v>
      </c>
      <c r="H3313" s="197">
        <v>61.69</v>
      </c>
      <c r="I3313" s="7" t="s">
        <v>18397</v>
      </c>
      <c r="J3313" s="7" t="s">
        <v>16910</v>
      </c>
      <c r="K3313" s="7" t="s">
        <v>17648</v>
      </c>
      <c r="L3313" s="198" t="s">
        <v>65</v>
      </c>
      <c r="M3313" s="199"/>
      <c r="N3313" s="199"/>
    </row>
    <row r="3314">
      <c r="A3314" s="193" t="s">
        <v>21061</v>
      </c>
      <c r="B3314" s="7" t="s">
        <v>17648</v>
      </c>
      <c r="C3314" s="7" t="s">
        <v>16910</v>
      </c>
      <c r="D3314" s="199"/>
      <c r="E3314" s="193"/>
      <c r="F3314" s="195" t="s">
        <v>21062</v>
      </c>
      <c r="G3314" s="200">
        <v>1.659364949E9</v>
      </c>
      <c r="H3314" s="197">
        <v>61.69</v>
      </c>
      <c r="I3314" s="7" t="s">
        <v>16815</v>
      </c>
      <c r="J3314" s="7" t="s">
        <v>17648</v>
      </c>
      <c r="K3314" s="7" t="s">
        <v>16910</v>
      </c>
      <c r="L3314" s="201" t="s">
        <v>16835</v>
      </c>
      <c r="M3314" s="199"/>
      <c r="N3314" s="199"/>
    </row>
    <row r="3315">
      <c r="A3315" s="193" t="s">
        <v>21063</v>
      </c>
      <c r="B3315" s="7" t="s">
        <v>175</v>
      </c>
      <c r="C3315" s="7" t="s">
        <v>18063</v>
      </c>
      <c r="D3315" s="199"/>
      <c r="E3315" s="193"/>
      <c r="F3315" s="195" t="s">
        <v>21064</v>
      </c>
      <c r="G3315" s="196">
        <v>1.65917193E9</v>
      </c>
      <c r="H3315" s="197">
        <v>64.57</v>
      </c>
      <c r="I3315" s="7" t="s">
        <v>16908</v>
      </c>
      <c r="J3315" s="7" t="s">
        <v>175</v>
      </c>
      <c r="K3315" s="7" t="s">
        <v>18063</v>
      </c>
      <c r="L3315" s="198" t="s">
        <v>65</v>
      </c>
      <c r="M3315" s="199"/>
      <c r="N3315" s="199"/>
    </row>
    <row r="3316">
      <c r="A3316" s="193" t="s">
        <v>21065</v>
      </c>
      <c r="B3316" s="7" t="s">
        <v>16838</v>
      </c>
      <c r="C3316" s="7" t="s">
        <v>17127</v>
      </c>
      <c r="D3316" s="194">
        <v>2019.0</v>
      </c>
      <c r="E3316" s="193"/>
      <c r="F3316" s="195" t="s">
        <v>21066</v>
      </c>
      <c r="G3316" s="196">
        <v>1.658800618E9</v>
      </c>
      <c r="H3316" s="197">
        <v>19.8</v>
      </c>
      <c r="I3316" s="7" t="s">
        <v>186</v>
      </c>
      <c r="J3316" s="7" t="s">
        <v>16838</v>
      </c>
      <c r="K3316" s="7" t="s">
        <v>17127</v>
      </c>
      <c r="L3316" s="198" t="s">
        <v>65</v>
      </c>
      <c r="M3316" s="194"/>
      <c r="N3316" s="194"/>
    </row>
    <row r="3317">
      <c r="A3317" s="193" t="s">
        <v>21065</v>
      </c>
      <c r="B3317" s="7" t="s">
        <v>17127</v>
      </c>
      <c r="C3317" s="7" t="s">
        <v>16838</v>
      </c>
      <c r="D3317" s="194">
        <v>2019.0</v>
      </c>
      <c r="E3317" s="193"/>
      <c r="F3317" s="195" t="s">
        <v>21066</v>
      </c>
      <c r="G3317" s="200">
        <v>1.658800618E9</v>
      </c>
      <c r="H3317" s="197">
        <v>19.8</v>
      </c>
      <c r="I3317" s="7" t="s">
        <v>16815</v>
      </c>
      <c r="J3317" s="7" t="s">
        <v>17127</v>
      </c>
      <c r="K3317" s="7" t="s">
        <v>16838</v>
      </c>
      <c r="L3317" s="201" t="s">
        <v>16835</v>
      </c>
      <c r="M3317" s="194"/>
      <c r="N3317" s="194"/>
    </row>
    <row r="3318">
      <c r="A3318" s="193" t="s">
        <v>21067</v>
      </c>
      <c r="D3318" s="194">
        <v>2023.0</v>
      </c>
      <c r="E3318" s="193"/>
      <c r="F3318" s="195" t="s">
        <v>21068</v>
      </c>
      <c r="G3318" s="196">
        <v>1.658555893E9</v>
      </c>
      <c r="H3318" s="197">
        <v>23.49</v>
      </c>
      <c r="I3318" s="7" t="s">
        <v>16815</v>
      </c>
      <c r="L3318" s="198" t="s">
        <v>65</v>
      </c>
      <c r="M3318" s="194"/>
      <c r="N3318" s="194"/>
    </row>
    <row r="3319">
      <c r="A3319" s="193" t="s">
        <v>21067</v>
      </c>
      <c r="D3319" s="194">
        <v>2023.0</v>
      </c>
      <c r="E3319" s="193"/>
      <c r="F3319" s="195" t="s">
        <v>21068</v>
      </c>
      <c r="G3319" s="200">
        <v>1.658555893E9</v>
      </c>
      <c r="H3319" s="197">
        <v>23.49</v>
      </c>
      <c r="L3319" s="201" t="s">
        <v>16835</v>
      </c>
      <c r="M3319" s="194"/>
      <c r="N3319" s="194"/>
    </row>
    <row r="3320">
      <c r="A3320" s="193" t="s">
        <v>21069</v>
      </c>
      <c r="B3320" s="7" t="s">
        <v>17019</v>
      </c>
      <c r="C3320" s="7" t="s">
        <v>16838</v>
      </c>
      <c r="D3320" s="199"/>
      <c r="E3320" s="193"/>
      <c r="F3320" s="195" t="s">
        <v>21070</v>
      </c>
      <c r="G3320" s="200">
        <v>1.654238678E9</v>
      </c>
      <c r="H3320" s="197">
        <v>11.12</v>
      </c>
      <c r="I3320" s="7" t="s">
        <v>16815</v>
      </c>
      <c r="J3320" s="7" t="s">
        <v>17019</v>
      </c>
      <c r="K3320" s="7" t="s">
        <v>16838</v>
      </c>
      <c r="L3320" s="201" t="s">
        <v>16835</v>
      </c>
      <c r="M3320" s="199"/>
      <c r="N3320" s="199"/>
    </row>
    <row r="3321">
      <c r="A3321" s="193" t="s">
        <v>21069</v>
      </c>
      <c r="B3321" s="7" t="s">
        <v>16838</v>
      </c>
      <c r="C3321" s="7" t="s">
        <v>17019</v>
      </c>
      <c r="D3321" s="199"/>
      <c r="E3321" s="193"/>
      <c r="F3321" s="195" t="s">
        <v>21070</v>
      </c>
      <c r="G3321" s="196">
        <v>1.654238678E9</v>
      </c>
      <c r="H3321" s="197">
        <v>11.12</v>
      </c>
      <c r="I3321" s="7" t="s">
        <v>16815</v>
      </c>
      <c r="J3321" s="7" t="s">
        <v>16838</v>
      </c>
      <c r="K3321" s="7" t="s">
        <v>17019</v>
      </c>
      <c r="L3321" s="198" t="s">
        <v>65</v>
      </c>
      <c r="M3321" s="199"/>
      <c r="N3321" s="199"/>
    </row>
    <row r="3322">
      <c r="A3322" s="193" t="s">
        <v>21071</v>
      </c>
      <c r="B3322" s="7" t="s">
        <v>17111</v>
      </c>
      <c r="C3322" s="7" t="s">
        <v>17112</v>
      </c>
      <c r="D3322" s="194">
        <v>2021.0</v>
      </c>
      <c r="E3322" s="193"/>
      <c r="F3322" s="195" t="s">
        <v>21072</v>
      </c>
      <c r="G3322" s="200">
        <v>1.652491767E9</v>
      </c>
      <c r="H3322" s="197">
        <v>24.47</v>
      </c>
      <c r="I3322" s="7" t="s">
        <v>16815</v>
      </c>
      <c r="J3322" s="7" t="s">
        <v>17111</v>
      </c>
      <c r="K3322" s="7" t="s">
        <v>17112</v>
      </c>
      <c r="L3322" s="201" t="s">
        <v>16835</v>
      </c>
      <c r="M3322" s="194"/>
      <c r="N3322" s="194"/>
    </row>
    <row r="3323">
      <c r="A3323" s="193" t="s">
        <v>21071</v>
      </c>
      <c r="B3323" s="7" t="s">
        <v>17112</v>
      </c>
      <c r="C3323" s="7" t="s">
        <v>17111</v>
      </c>
      <c r="D3323" s="194">
        <v>2021.0</v>
      </c>
      <c r="E3323" s="193"/>
      <c r="F3323" s="195" t="s">
        <v>21072</v>
      </c>
      <c r="G3323" s="196">
        <v>1.652491767E9</v>
      </c>
      <c r="H3323" s="197">
        <v>24.47</v>
      </c>
      <c r="I3323" s="7" t="s">
        <v>16815</v>
      </c>
      <c r="J3323" s="7" t="s">
        <v>17112</v>
      </c>
      <c r="K3323" s="7" t="s">
        <v>17111</v>
      </c>
      <c r="L3323" s="198" t="s">
        <v>65</v>
      </c>
      <c r="M3323" s="194"/>
      <c r="N3323" s="194"/>
    </row>
    <row r="3324">
      <c r="A3324" s="193" t="s">
        <v>21073</v>
      </c>
      <c r="B3324" s="7" t="s">
        <v>175</v>
      </c>
      <c r="C3324" s="7" t="s">
        <v>17233</v>
      </c>
      <c r="D3324" s="194">
        <v>2019.0</v>
      </c>
      <c r="E3324" s="193"/>
      <c r="F3324" s="195" t="s">
        <v>21074</v>
      </c>
      <c r="G3324" s="196">
        <v>1.6522704E9</v>
      </c>
      <c r="H3324" s="197">
        <v>30.78</v>
      </c>
      <c r="I3324" s="7" t="s">
        <v>16908</v>
      </c>
      <c r="J3324" s="7" t="s">
        <v>175</v>
      </c>
      <c r="K3324" s="7" t="s">
        <v>17233</v>
      </c>
      <c r="L3324" s="198" t="s">
        <v>65</v>
      </c>
      <c r="M3324" s="194"/>
      <c r="N3324" s="194"/>
    </row>
    <row r="3325">
      <c r="A3325" s="193" t="s">
        <v>21073</v>
      </c>
      <c r="B3325" s="7" t="s">
        <v>17233</v>
      </c>
      <c r="C3325" s="7" t="s">
        <v>175</v>
      </c>
      <c r="D3325" s="194">
        <v>2019.0</v>
      </c>
      <c r="E3325" s="193"/>
      <c r="F3325" s="195" t="s">
        <v>21074</v>
      </c>
      <c r="G3325" s="200">
        <v>1.6522704E9</v>
      </c>
      <c r="H3325" s="197">
        <v>30.78</v>
      </c>
      <c r="I3325" s="7" t="s">
        <v>16815</v>
      </c>
      <c r="J3325" s="7" t="s">
        <v>17233</v>
      </c>
      <c r="K3325" s="7" t="s">
        <v>175</v>
      </c>
      <c r="L3325" s="201" t="s">
        <v>16835</v>
      </c>
      <c r="M3325" s="194"/>
      <c r="N3325" s="194"/>
    </row>
    <row r="3326">
      <c r="A3326" s="193" t="s">
        <v>21075</v>
      </c>
      <c r="D3326" s="194">
        <v>2023.0</v>
      </c>
      <c r="E3326" s="193"/>
      <c r="F3326" s="195" t="s">
        <v>21076</v>
      </c>
      <c r="G3326" s="196">
        <v>1.651985704E9</v>
      </c>
      <c r="H3326" s="197">
        <v>14.01</v>
      </c>
      <c r="I3326" s="7" t="s">
        <v>16815</v>
      </c>
      <c r="L3326" s="198" t="s">
        <v>65</v>
      </c>
      <c r="M3326" s="194"/>
      <c r="N3326" s="194"/>
    </row>
    <row r="3327">
      <c r="A3327" s="193" t="s">
        <v>21075</v>
      </c>
      <c r="D3327" s="194">
        <v>2023.0</v>
      </c>
      <c r="E3327" s="193"/>
      <c r="F3327" s="195" t="s">
        <v>21076</v>
      </c>
      <c r="G3327" s="200">
        <v>1.651985704E9</v>
      </c>
      <c r="H3327" s="197">
        <v>14.01</v>
      </c>
      <c r="L3327" s="201" t="s">
        <v>16835</v>
      </c>
      <c r="M3327" s="194"/>
      <c r="N3327" s="194"/>
    </row>
    <row r="3328">
      <c r="A3328" s="193" t="s">
        <v>21077</v>
      </c>
      <c r="B3328" s="7" t="s">
        <v>175</v>
      </c>
      <c r="C3328" s="7" t="s">
        <v>18676</v>
      </c>
      <c r="D3328" s="199"/>
      <c r="E3328" s="193"/>
      <c r="F3328" s="195" t="s">
        <v>21048</v>
      </c>
      <c r="G3328" s="196">
        <v>1.651290004E9</v>
      </c>
      <c r="H3328" s="197">
        <v>29.91</v>
      </c>
      <c r="I3328" s="7" t="s">
        <v>16856</v>
      </c>
      <c r="J3328" s="7" t="s">
        <v>175</v>
      </c>
      <c r="K3328" s="7" t="s">
        <v>18676</v>
      </c>
      <c r="L3328" s="198" t="s">
        <v>65</v>
      </c>
      <c r="M3328" s="199"/>
      <c r="N3328" s="199"/>
    </row>
    <row r="3329">
      <c r="A3329" s="193" t="s">
        <v>21077</v>
      </c>
      <c r="B3329" s="7" t="s">
        <v>18676</v>
      </c>
      <c r="C3329" s="7" t="s">
        <v>175</v>
      </c>
      <c r="D3329" s="199"/>
      <c r="E3329" s="193"/>
      <c r="F3329" s="195" t="s">
        <v>21048</v>
      </c>
      <c r="G3329" s="200">
        <v>1.651290004E9</v>
      </c>
      <c r="H3329" s="197">
        <v>29.91</v>
      </c>
      <c r="I3329" s="7" t="s">
        <v>16815</v>
      </c>
      <c r="J3329" s="7" t="s">
        <v>18676</v>
      </c>
      <c r="K3329" s="7" t="s">
        <v>175</v>
      </c>
      <c r="L3329" s="201" t="s">
        <v>16835</v>
      </c>
      <c r="M3329" s="199"/>
      <c r="N3329" s="199"/>
    </row>
    <row r="3330">
      <c r="A3330" s="193" t="s">
        <v>21078</v>
      </c>
      <c r="B3330" s="7" t="s">
        <v>169</v>
      </c>
      <c r="C3330" s="7" t="s">
        <v>20534</v>
      </c>
      <c r="D3330" s="194">
        <v>2021.0</v>
      </c>
      <c r="E3330" s="193"/>
      <c r="F3330" s="195" t="s">
        <v>21079</v>
      </c>
      <c r="G3330" s="196">
        <v>1.650327668E9</v>
      </c>
      <c r="H3330" s="197">
        <v>7.53</v>
      </c>
      <c r="I3330" s="7" t="s">
        <v>16815</v>
      </c>
      <c r="J3330" s="7" t="s">
        <v>169</v>
      </c>
      <c r="K3330" s="7" t="s">
        <v>20534</v>
      </c>
      <c r="L3330" s="198" t="s">
        <v>65</v>
      </c>
      <c r="M3330" s="194"/>
      <c r="N3330" s="194"/>
    </row>
    <row r="3331">
      <c r="A3331" s="193" t="s">
        <v>21080</v>
      </c>
      <c r="B3331" s="7" t="s">
        <v>175</v>
      </c>
      <c r="C3331" s="7" t="s">
        <v>17233</v>
      </c>
      <c r="D3331" s="194">
        <v>2005.0</v>
      </c>
      <c r="E3331" s="193"/>
      <c r="F3331" s="195" t="s">
        <v>21081</v>
      </c>
      <c r="G3331" s="196">
        <v>1.6443915E9</v>
      </c>
      <c r="H3331" s="197">
        <v>10.11</v>
      </c>
      <c r="I3331" s="7" t="s">
        <v>16908</v>
      </c>
      <c r="J3331" s="7" t="s">
        <v>175</v>
      </c>
      <c r="K3331" s="7" t="s">
        <v>17233</v>
      </c>
      <c r="L3331" s="198" t="s">
        <v>65</v>
      </c>
      <c r="M3331" s="194"/>
      <c r="N3331" s="194"/>
    </row>
    <row r="3332">
      <c r="A3332" s="193" t="s">
        <v>21080</v>
      </c>
      <c r="B3332" s="7" t="s">
        <v>17233</v>
      </c>
      <c r="C3332" s="7" t="s">
        <v>175</v>
      </c>
      <c r="D3332" s="194">
        <v>2005.0</v>
      </c>
      <c r="E3332" s="193"/>
      <c r="F3332" s="195" t="s">
        <v>21081</v>
      </c>
      <c r="G3332" s="200">
        <v>1.6443915E9</v>
      </c>
      <c r="H3332" s="197">
        <v>10.11</v>
      </c>
      <c r="I3332" s="7" t="s">
        <v>16815</v>
      </c>
      <c r="J3332" s="7" t="s">
        <v>17233</v>
      </c>
      <c r="K3332" s="7" t="s">
        <v>175</v>
      </c>
      <c r="L3332" s="201" t="s">
        <v>16835</v>
      </c>
      <c r="M3332" s="194"/>
      <c r="N3332" s="194"/>
    </row>
    <row r="3333">
      <c r="A3333" s="193" t="s">
        <v>21082</v>
      </c>
      <c r="B3333" s="7" t="s">
        <v>16582</v>
      </c>
      <c r="C3333" s="7" t="s">
        <v>16995</v>
      </c>
      <c r="D3333" s="199"/>
      <c r="E3333" s="193"/>
      <c r="F3333" s="195" t="s">
        <v>21083</v>
      </c>
      <c r="G3333" s="196">
        <v>1.642024147E9</v>
      </c>
      <c r="H3333" s="197">
        <v>13.36</v>
      </c>
      <c r="I3333" s="7" t="s">
        <v>16815</v>
      </c>
      <c r="J3333" s="7" t="s">
        <v>16582</v>
      </c>
      <c r="K3333" s="7" t="s">
        <v>16995</v>
      </c>
      <c r="L3333" s="198" t="s">
        <v>65</v>
      </c>
      <c r="M3333" s="199"/>
      <c r="N3333" s="199"/>
    </row>
    <row r="3334">
      <c r="A3334" s="193" t="s">
        <v>21084</v>
      </c>
      <c r="B3334" s="7" t="s">
        <v>16910</v>
      </c>
      <c r="C3334" s="7" t="s">
        <v>16911</v>
      </c>
      <c r="D3334" s="194">
        <v>2021.0</v>
      </c>
      <c r="E3334" s="193"/>
      <c r="F3334" s="195" t="s">
        <v>21085</v>
      </c>
      <c r="G3334" s="196">
        <v>1.640816105E9</v>
      </c>
      <c r="H3334" s="197">
        <v>28.91</v>
      </c>
      <c r="I3334" s="7" t="s">
        <v>16856</v>
      </c>
      <c r="J3334" s="7" t="s">
        <v>16910</v>
      </c>
      <c r="K3334" s="7" t="s">
        <v>16911</v>
      </c>
      <c r="L3334" s="198" t="s">
        <v>65</v>
      </c>
      <c r="M3334" s="194"/>
      <c r="N3334" s="194"/>
    </row>
    <row r="3335">
      <c r="A3335" s="193" t="s">
        <v>21086</v>
      </c>
      <c r="B3335" s="7" t="s">
        <v>158</v>
      </c>
      <c r="C3335" s="7" t="s">
        <v>16870</v>
      </c>
      <c r="D3335" s="194">
        <v>2017.0</v>
      </c>
      <c r="E3335" s="193"/>
      <c r="F3335" s="195" t="s">
        <v>21087</v>
      </c>
      <c r="G3335" s="196">
        <v>1.638616143E9</v>
      </c>
      <c r="H3335" s="197">
        <v>25.63</v>
      </c>
      <c r="I3335" s="7" t="s">
        <v>16897</v>
      </c>
      <c r="J3335" s="7" t="s">
        <v>158</v>
      </c>
      <c r="K3335" s="7" t="s">
        <v>16870</v>
      </c>
      <c r="L3335" s="198" t="s">
        <v>65</v>
      </c>
      <c r="M3335" s="194"/>
      <c r="N3335" s="194"/>
    </row>
    <row r="3336">
      <c r="A3336" s="193" t="s">
        <v>21086</v>
      </c>
      <c r="B3336" s="7" t="s">
        <v>16870</v>
      </c>
      <c r="C3336" s="7" t="s">
        <v>158</v>
      </c>
      <c r="D3336" s="194">
        <v>2017.0</v>
      </c>
      <c r="E3336" s="193"/>
      <c r="F3336" s="195" t="s">
        <v>21087</v>
      </c>
      <c r="G3336" s="200">
        <v>1.638616143E9</v>
      </c>
      <c r="H3336" s="197">
        <v>25.63</v>
      </c>
      <c r="I3336" s="7" t="s">
        <v>16815</v>
      </c>
      <c r="J3336" s="7" t="s">
        <v>16870</v>
      </c>
      <c r="K3336" s="7" t="s">
        <v>158</v>
      </c>
      <c r="L3336" s="201" t="s">
        <v>16835</v>
      </c>
      <c r="M3336" s="194"/>
      <c r="N3336" s="194"/>
    </row>
    <row r="3337">
      <c r="A3337" s="193" t="s">
        <v>21088</v>
      </c>
      <c r="B3337" s="7" t="s">
        <v>187</v>
      </c>
      <c r="C3337" s="7" t="s">
        <v>17552</v>
      </c>
      <c r="D3337" s="199"/>
      <c r="E3337" s="193"/>
      <c r="F3337" s="195" t="s">
        <v>21089</v>
      </c>
      <c r="G3337" s="196">
        <v>1.634897171E9</v>
      </c>
      <c r="H3337" s="197">
        <v>33.49</v>
      </c>
      <c r="I3337" s="7" t="s">
        <v>16815</v>
      </c>
      <c r="J3337" s="7" t="s">
        <v>187</v>
      </c>
      <c r="K3337" s="7" t="s">
        <v>17552</v>
      </c>
      <c r="L3337" s="198" t="s">
        <v>65</v>
      </c>
      <c r="M3337" s="199"/>
      <c r="N3337" s="199"/>
    </row>
    <row r="3338">
      <c r="A3338" s="193" t="s">
        <v>21090</v>
      </c>
      <c r="B3338" s="7" t="s">
        <v>17112</v>
      </c>
      <c r="C3338" s="7" t="s">
        <v>17218</v>
      </c>
      <c r="D3338" s="194">
        <v>2019.0</v>
      </c>
      <c r="E3338" s="193"/>
      <c r="F3338" s="195" t="s">
        <v>21091</v>
      </c>
      <c r="G3338" s="196">
        <v>1.634526155E9</v>
      </c>
      <c r="H3338" s="197">
        <v>17.44</v>
      </c>
      <c r="I3338" s="7" t="s">
        <v>16815</v>
      </c>
      <c r="J3338" s="7" t="s">
        <v>17112</v>
      </c>
      <c r="K3338" s="7" t="s">
        <v>17218</v>
      </c>
      <c r="L3338" s="198" t="s">
        <v>65</v>
      </c>
      <c r="M3338" s="194"/>
      <c r="N3338" s="194"/>
    </row>
    <row r="3339">
      <c r="A3339" s="193" t="s">
        <v>21092</v>
      </c>
      <c r="B3339" s="7" t="s">
        <v>19579</v>
      </c>
      <c r="C3339" s="7" t="s">
        <v>16838</v>
      </c>
      <c r="D3339" s="194">
        <v>2021.0</v>
      </c>
      <c r="E3339" s="193"/>
      <c r="F3339" s="195" t="s">
        <v>21093</v>
      </c>
      <c r="G3339" s="200">
        <v>1.63391985E9</v>
      </c>
      <c r="H3339" s="197">
        <v>15.11</v>
      </c>
      <c r="I3339" s="7" t="s">
        <v>16815</v>
      </c>
      <c r="J3339" s="7" t="s">
        <v>19579</v>
      </c>
      <c r="K3339" s="7" t="s">
        <v>16838</v>
      </c>
      <c r="L3339" s="201" t="s">
        <v>16835</v>
      </c>
      <c r="M3339" s="194"/>
      <c r="N3339" s="194"/>
    </row>
    <row r="3340">
      <c r="A3340" s="193" t="s">
        <v>21092</v>
      </c>
      <c r="B3340" s="7" t="s">
        <v>16838</v>
      </c>
      <c r="C3340" s="7" t="s">
        <v>19579</v>
      </c>
      <c r="D3340" s="194">
        <v>2021.0</v>
      </c>
      <c r="E3340" s="193"/>
      <c r="F3340" s="195" t="s">
        <v>21093</v>
      </c>
      <c r="G3340" s="196">
        <v>1.63391985E9</v>
      </c>
      <c r="H3340" s="197">
        <v>15.11</v>
      </c>
      <c r="I3340" s="7" t="s">
        <v>16815</v>
      </c>
      <c r="J3340" s="7" t="s">
        <v>16838</v>
      </c>
      <c r="K3340" s="7" t="s">
        <v>19579</v>
      </c>
      <c r="L3340" s="198" t="s">
        <v>65</v>
      </c>
      <c r="M3340" s="194"/>
      <c r="N3340" s="194"/>
    </row>
    <row r="3341">
      <c r="A3341" s="193" t="s">
        <v>21094</v>
      </c>
      <c r="B3341" s="7" t="s">
        <v>175</v>
      </c>
      <c r="C3341" s="7" t="s">
        <v>19006</v>
      </c>
      <c r="D3341" s="194">
        <v>2019.0</v>
      </c>
      <c r="E3341" s="193"/>
      <c r="F3341" s="195" t="s">
        <v>21095</v>
      </c>
      <c r="G3341" s="196">
        <v>1.63283836E9</v>
      </c>
      <c r="H3341" s="197">
        <v>4.53</v>
      </c>
      <c r="I3341" s="7" t="s">
        <v>168</v>
      </c>
      <c r="J3341" s="7" t="s">
        <v>175</v>
      </c>
      <c r="K3341" s="7" t="s">
        <v>19006</v>
      </c>
      <c r="L3341" s="198" t="s">
        <v>65</v>
      </c>
      <c r="M3341" s="194"/>
      <c r="N3341" s="194"/>
    </row>
    <row r="3342">
      <c r="A3342" s="193" t="s">
        <v>21096</v>
      </c>
      <c r="B3342" s="7" t="s">
        <v>158</v>
      </c>
      <c r="C3342" s="7" t="s">
        <v>17171</v>
      </c>
      <c r="D3342" s="194">
        <v>2013.0</v>
      </c>
      <c r="E3342" s="193"/>
      <c r="F3342" s="195" t="s">
        <v>21097</v>
      </c>
      <c r="G3342" s="196">
        <v>1.631305693E9</v>
      </c>
      <c r="H3342" s="197">
        <v>14.74</v>
      </c>
      <c r="I3342" s="7" t="s">
        <v>16872</v>
      </c>
      <c r="J3342" s="7" t="s">
        <v>158</v>
      </c>
      <c r="K3342" s="7" t="s">
        <v>17171</v>
      </c>
      <c r="L3342" s="198" t="s">
        <v>65</v>
      </c>
      <c r="M3342" s="194"/>
      <c r="N3342" s="194"/>
    </row>
    <row r="3343">
      <c r="A3343" s="193" t="s">
        <v>21096</v>
      </c>
      <c r="B3343" s="7" t="s">
        <v>17171</v>
      </c>
      <c r="C3343" s="7" t="s">
        <v>158</v>
      </c>
      <c r="D3343" s="194">
        <v>2013.0</v>
      </c>
      <c r="E3343" s="193"/>
      <c r="F3343" s="195" t="s">
        <v>21097</v>
      </c>
      <c r="G3343" s="200">
        <v>1.631305693E9</v>
      </c>
      <c r="H3343" s="197">
        <v>14.74</v>
      </c>
      <c r="I3343" s="7" t="s">
        <v>16815</v>
      </c>
      <c r="J3343" s="7" t="s">
        <v>17171</v>
      </c>
      <c r="K3343" s="7" t="s">
        <v>158</v>
      </c>
      <c r="L3343" s="201" t="s">
        <v>16835</v>
      </c>
      <c r="M3343" s="194"/>
      <c r="N3343" s="194"/>
    </row>
    <row r="3344">
      <c r="A3344" s="193" t="s">
        <v>21098</v>
      </c>
      <c r="B3344" s="7" t="s">
        <v>175</v>
      </c>
      <c r="C3344" s="7" t="s">
        <v>17350</v>
      </c>
      <c r="D3344" s="194">
        <v>2023.0</v>
      </c>
      <c r="E3344" s="193"/>
      <c r="F3344" s="195" t="s">
        <v>21099</v>
      </c>
      <c r="G3344" s="196">
        <v>1.626805956E9</v>
      </c>
      <c r="H3344" s="197">
        <v>19.53</v>
      </c>
      <c r="I3344" s="7" t="s">
        <v>174</v>
      </c>
      <c r="J3344" s="7" t="s">
        <v>175</v>
      </c>
      <c r="K3344" s="7" t="s">
        <v>17350</v>
      </c>
      <c r="L3344" s="198" t="s">
        <v>65</v>
      </c>
      <c r="M3344" s="194"/>
      <c r="N3344" s="194"/>
    </row>
    <row r="3345">
      <c r="A3345" s="193" t="s">
        <v>21098</v>
      </c>
      <c r="B3345" s="7" t="s">
        <v>17350</v>
      </c>
      <c r="C3345" s="7" t="s">
        <v>175</v>
      </c>
      <c r="D3345" s="194">
        <v>2023.0</v>
      </c>
      <c r="E3345" s="193"/>
      <c r="F3345" s="195" t="s">
        <v>21099</v>
      </c>
      <c r="G3345" s="200">
        <v>1.626805956E9</v>
      </c>
      <c r="H3345" s="197">
        <v>19.53</v>
      </c>
      <c r="I3345" s="7" t="s">
        <v>16815</v>
      </c>
      <c r="J3345" s="7" t="s">
        <v>17350</v>
      </c>
      <c r="K3345" s="7" t="s">
        <v>175</v>
      </c>
      <c r="L3345" s="201" t="s">
        <v>16835</v>
      </c>
      <c r="M3345" s="194"/>
      <c r="N3345" s="194"/>
    </row>
    <row r="3346">
      <c r="A3346" s="193" t="s">
        <v>21100</v>
      </c>
      <c r="B3346" s="7" t="s">
        <v>16838</v>
      </c>
      <c r="C3346" s="7" t="s">
        <v>18679</v>
      </c>
      <c r="D3346" s="199"/>
      <c r="E3346" s="193"/>
      <c r="F3346" s="195" t="s">
        <v>21101</v>
      </c>
      <c r="G3346" s="196">
        <v>1.626320138E9</v>
      </c>
      <c r="H3346" s="197">
        <v>8.74</v>
      </c>
      <c r="I3346" s="7" t="s">
        <v>16815</v>
      </c>
      <c r="J3346" s="7" t="s">
        <v>16838</v>
      </c>
      <c r="K3346" s="7" t="s">
        <v>18679</v>
      </c>
      <c r="L3346" s="198" t="s">
        <v>65</v>
      </c>
      <c r="M3346" s="199"/>
      <c r="N3346" s="199"/>
    </row>
    <row r="3347">
      <c r="A3347" s="193" t="s">
        <v>21102</v>
      </c>
      <c r="B3347" s="7" t="s">
        <v>19719</v>
      </c>
      <c r="C3347" s="7" t="s">
        <v>169</v>
      </c>
      <c r="D3347" s="199"/>
      <c r="E3347" s="193"/>
      <c r="F3347" s="195" t="s">
        <v>21103</v>
      </c>
      <c r="G3347" s="200">
        <v>1.625891723E9</v>
      </c>
      <c r="H3347" s="197">
        <v>30.47</v>
      </c>
      <c r="I3347" s="193" t="s">
        <v>16815</v>
      </c>
      <c r="J3347" s="7" t="s">
        <v>19719</v>
      </c>
      <c r="K3347" s="7" t="s">
        <v>169</v>
      </c>
      <c r="L3347" s="201" t="s">
        <v>16835</v>
      </c>
      <c r="M3347" s="199"/>
      <c r="N3347" s="199"/>
    </row>
    <row r="3348">
      <c r="A3348" s="193" t="s">
        <v>21102</v>
      </c>
      <c r="B3348" s="7" t="s">
        <v>169</v>
      </c>
      <c r="C3348" s="7" t="s">
        <v>19719</v>
      </c>
      <c r="D3348" s="199"/>
      <c r="E3348" s="193"/>
      <c r="F3348" s="195" t="s">
        <v>21103</v>
      </c>
      <c r="G3348" s="196">
        <v>1.625891723E9</v>
      </c>
      <c r="H3348" s="197">
        <v>30.47</v>
      </c>
      <c r="I3348" s="7" t="s">
        <v>16815</v>
      </c>
      <c r="J3348" s="7" t="s">
        <v>169</v>
      </c>
      <c r="K3348" s="7" t="s">
        <v>19719</v>
      </c>
      <c r="L3348" s="198" t="s">
        <v>65</v>
      </c>
      <c r="M3348" s="199"/>
      <c r="N3348" s="199"/>
    </row>
    <row r="3349">
      <c r="A3349" s="193" t="s">
        <v>21104</v>
      </c>
      <c r="B3349" s="7" t="s">
        <v>16838</v>
      </c>
      <c r="C3349" s="7" t="s">
        <v>16867</v>
      </c>
      <c r="D3349" s="199"/>
      <c r="E3349" s="193"/>
      <c r="F3349" s="195" t="s">
        <v>21105</v>
      </c>
      <c r="G3349" s="196">
        <v>1.625358448E9</v>
      </c>
      <c r="H3349" s="197">
        <v>25.11</v>
      </c>
      <c r="I3349" s="7" t="s">
        <v>16815</v>
      </c>
      <c r="J3349" s="7" t="s">
        <v>16838</v>
      </c>
      <c r="K3349" s="7" t="s">
        <v>16867</v>
      </c>
      <c r="L3349" s="198" t="s">
        <v>65</v>
      </c>
      <c r="M3349" s="199"/>
      <c r="N3349" s="199"/>
    </row>
    <row r="3350">
      <c r="A3350" s="193" t="s">
        <v>21106</v>
      </c>
      <c r="B3350" s="7" t="s">
        <v>16582</v>
      </c>
      <c r="C3350" s="7" t="s">
        <v>16899</v>
      </c>
      <c r="D3350" s="199"/>
      <c r="E3350" s="193"/>
      <c r="F3350" s="195" t="s">
        <v>21107</v>
      </c>
      <c r="G3350" s="196">
        <v>1.62243522E9</v>
      </c>
      <c r="H3350" s="197">
        <v>36.5</v>
      </c>
      <c r="I3350" s="7" t="s">
        <v>16815</v>
      </c>
      <c r="J3350" s="7" t="s">
        <v>16582</v>
      </c>
      <c r="K3350" s="7" t="s">
        <v>16899</v>
      </c>
      <c r="L3350" s="198" t="s">
        <v>65</v>
      </c>
      <c r="M3350" s="199"/>
      <c r="N3350" s="199"/>
    </row>
    <row r="3351">
      <c r="A3351" s="193" t="s">
        <v>21108</v>
      </c>
      <c r="B3351" s="7" t="s">
        <v>187</v>
      </c>
      <c r="C3351" s="7" t="s">
        <v>16851</v>
      </c>
      <c r="D3351" s="194">
        <v>2013.0</v>
      </c>
      <c r="E3351" s="193"/>
      <c r="F3351" s="195" t="s">
        <v>21109</v>
      </c>
      <c r="G3351" s="196">
        <v>1.621480696E9</v>
      </c>
      <c r="H3351" s="197">
        <v>22.2</v>
      </c>
      <c r="I3351" s="7" t="s">
        <v>16815</v>
      </c>
      <c r="J3351" s="7" t="s">
        <v>187</v>
      </c>
      <c r="K3351" s="7" t="s">
        <v>16851</v>
      </c>
      <c r="L3351" s="198" t="s">
        <v>65</v>
      </c>
      <c r="M3351" s="194"/>
      <c r="N3351" s="194"/>
    </row>
    <row r="3352">
      <c r="A3352" s="193" t="s">
        <v>21110</v>
      </c>
      <c r="B3352" s="7" t="s">
        <v>16992</v>
      </c>
      <c r="C3352" s="7" t="s">
        <v>187</v>
      </c>
      <c r="D3352" s="199"/>
      <c r="E3352" s="193"/>
      <c r="F3352" s="195" t="s">
        <v>21111</v>
      </c>
      <c r="G3352" s="200">
        <v>1.620144078E9</v>
      </c>
      <c r="H3352" s="197">
        <v>10.39</v>
      </c>
      <c r="I3352" s="7" t="s">
        <v>16815</v>
      </c>
      <c r="J3352" s="7" t="s">
        <v>16992</v>
      </c>
      <c r="K3352" s="7" t="s">
        <v>187</v>
      </c>
      <c r="L3352" s="201" t="s">
        <v>16835</v>
      </c>
      <c r="M3352" s="199"/>
      <c r="N3352" s="199"/>
    </row>
    <row r="3353">
      <c r="A3353" s="193" t="s">
        <v>21110</v>
      </c>
      <c r="B3353" s="7" t="s">
        <v>187</v>
      </c>
      <c r="C3353" s="7" t="s">
        <v>16992</v>
      </c>
      <c r="D3353" s="199"/>
      <c r="E3353" s="193"/>
      <c r="F3353" s="195" t="s">
        <v>21111</v>
      </c>
      <c r="G3353" s="196">
        <v>1.620144078E9</v>
      </c>
      <c r="H3353" s="197">
        <v>10.39</v>
      </c>
      <c r="I3353" s="7" t="s">
        <v>16815</v>
      </c>
      <c r="J3353" s="7" t="s">
        <v>187</v>
      </c>
      <c r="K3353" s="7" t="s">
        <v>16992</v>
      </c>
      <c r="L3353" s="198" t="s">
        <v>65</v>
      </c>
      <c r="M3353" s="199"/>
      <c r="N3353" s="199"/>
    </row>
    <row r="3354">
      <c r="A3354" s="193" t="s">
        <v>21112</v>
      </c>
      <c r="B3354" s="7" t="s">
        <v>187</v>
      </c>
      <c r="C3354" s="7" t="s">
        <v>17122</v>
      </c>
      <c r="D3354" s="194">
        <v>2019.0</v>
      </c>
      <c r="E3354" s="193"/>
      <c r="F3354" s="195" t="s">
        <v>21113</v>
      </c>
      <c r="G3354" s="196">
        <v>1.619865E9</v>
      </c>
      <c r="H3354" s="197">
        <v>19.5</v>
      </c>
      <c r="I3354" s="7" t="s">
        <v>16815</v>
      </c>
      <c r="J3354" s="7" t="s">
        <v>187</v>
      </c>
      <c r="K3354" s="7" t="s">
        <v>17122</v>
      </c>
      <c r="L3354" s="198" t="s">
        <v>65</v>
      </c>
      <c r="M3354" s="194"/>
      <c r="N3354" s="194"/>
    </row>
    <row r="3355">
      <c r="A3355" s="193" t="s">
        <v>21114</v>
      </c>
      <c r="B3355" s="7" t="s">
        <v>187</v>
      </c>
      <c r="C3355" s="7" t="s">
        <v>16858</v>
      </c>
      <c r="D3355" s="199"/>
      <c r="E3355" s="193"/>
      <c r="F3355" s="195" t="s">
        <v>21115</v>
      </c>
      <c r="G3355" s="196">
        <v>1.618339253E9</v>
      </c>
      <c r="H3355" s="197">
        <v>33.91</v>
      </c>
      <c r="I3355" s="7" t="s">
        <v>16815</v>
      </c>
      <c r="J3355" s="7" t="s">
        <v>187</v>
      </c>
      <c r="K3355" s="7" t="s">
        <v>16858</v>
      </c>
      <c r="L3355" s="198" t="s">
        <v>65</v>
      </c>
      <c r="M3355" s="199"/>
      <c r="N3355" s="199"/>
    </row>
    <row r="3356">
      <c r="A3356" s="193" t="s">
        <v>21116</v>
      </c>
      <c r="B3356" s="7" t="s">
        <v>16582</v>
      </c>
      <c r="C3356" s="7" t="s">
        <v>16930</v>
      </c>
      <c r="D3356" s="194">
        <v>2007.0</v>
      </c>
      <c r="E3356" s="193"/>
      <c r="F3356" s="195" t="s">
        <v>21117</v>
      </c>
      <c r="G3356" s="196">
        <v>1.608047237E9</v>
      </c>
      <c r="H3356" s="197">
        <v>34.76</v>
      </c>
      <c r="I3356" s="7" t="s">
        <v>16815</v>
      </c>
      <c r="J3356" s="7" t="s">
        <v>16582</v>
      </c>
      <c r="K3356" s="7" t="s">
        <v>16930</v>
      </c>
      <c r="L3356" s="198" t="s">
        <v>65</v>
      </c>
      <c r="M3356" s="194"/>
      <c r="N3356" s="194"/>
    </row>
    <row r="3357">
      <c r="A3357" s="193" t="s">
        <v>21116</v>
      </c>
      <c r="B3357" s="7" t="s">
        <v>16930</v>
      </c>
      <c r="C3357" s="7" t="s">
        <v>16582</v>
      </c>
      <c r="D3357" s="194">
        <v>2007.0</v>
      </c>
      <c r="E3357" s="193"/>
      <c r="F3357" s="195" t="s">
        <v>21117</v>
      </c>
      <c r="G3357" s="200">
        <v>1.608047237E9</v>
      </c>
      <c r="H3357" s="197">
        <v>34.76</v>
      </c>
      <c r="I3357" s="7" t="s">
        <v>16815</v>
      </c>
      <c r="J3357" s="7" t="s">
        <v>16930</v>
      </c>
      <c r="K3357" s="7" t="s">
        <v>16582</v>
      </c>
      <c r="L3357" s="201" t="s">
        <v>16835</v>
      </c>
      <c r="M3357" s="194"/>
      <c r="N3357" s="194"/>
    </row>
    <row r="3358">
      <c r="A3358" s="193" t="s">
        <v>21118</v>
      </c>
      <c r="B3358" s="7" t="s">
        <v>16582</v>
      </c>
      <c r="C3358" s="7" t="s">
        <v>17435</v>
      </c>
      <c r="D3358" s="194">
        <v>1996.0</v>
      </c>
      <c r="E3358" s="193"/>
      <c r="F3358" s="195" t="s">
        <v>21119</v>
      </c>
      <c r="G3358" s="196">
        <v>1.607843146E9</v>
      </c>
      <c r="H3358" s="197">
        <v>59.7</v>
      </c>
      <c r="I3358" s="7" t="s">
        <v>16815</v>
      </c>
      <c r="J3358" s="7" t="s">
        <v>16582</v>
      </c>
      <c r="K3358" s="7" t="s">
        <v>17435</v>
      </c>
      <c r="L3358" s="198" t="s">
        <v>65</v>
      </c>
      <c r="M3358" s="194"/>
      <c r="N3358" s="194"/>
    </row>
    <row r="3359">
      <c r="A3359" s="193" t="s">
        <v>21120</v>
      </c>
      <c r="B3359" s="7" t="s">
        <v>16838</v>
      </c>
      <c r="C3359" s="7" t="s">
        <v>17384</v>
      </c>
      <c r="D3359" s="194">
        <v>2021.0</v>
      </c>
      <c r="E3359" s="193"/>
      <c r="F3359" s="195" t="s">
        <v>21121</v>
      </c>
      <c r="G3359" s="196">
        <v>1.607651066E9</v>
      </c>
      <c r="H3359" s="197">
        <v>7.11</v>
      </c>
      <c r="I3359" s="7" t="s">
        <v>16815</v>
      </c>
      <c r="J3359" s="7" t="s">
        <v>16838</v>
      </c>
      <c r="K3359" s="7" t="s">
        <v>17384</v>
      </c>
      <c r="L3359" s="198" t="s">
        <v>65</v>
      </c>
      <c r="M3359" s="194"/>
      <c r="N3359" s="194"/>
    </row>
    <row r="3360">
      <c r="A3360" s="193" t="s">
        <v>21120</v>
      </c>
      <c r="B3360" s="7" t="s">
        <v>17384</v>
      </c>
      <c r="C3360" s="7" t="s">
        <v>16838</v>
      </c>
      <c r="D3360" s="194">
        <v>2021.0</v>
      </c>
      <c r="E3360" s="193"/>
      <c r="F3360" s="195" t="s">
        <v>21121</v>
      </c>
      <c r="G3360" s="200">
        <v>1.607651066E9</v>
      </c>
      <c r="H3360" s="197">
        <v>7.11</v>
      </c>
      <c r="I3360" s="7" t="s">
        <v>16815</v>
      </c>
      <c r="J3360" s="7" t="s">
        <v>17384</v>
      </c>
      <c r="K3360" s="7" t="s">
        <v>16838</v>
      </c>
      <c r="L3360" s="201" t="s">
        <v>16835</v>
      </c>
      <c r="M3360" s="194"/>
      <c r="N3360" s="194"/>
    </row>
    <row r="3361">
      <c r="A3361" s="193" t="s">
        <v>21122</v>
      </c>
      <c r="B3361" s="7" t="s">
        <v>17112</v>
      </c>
      <c r="C3361" s="7" t="s">
        <v>17111</v>
      </c>
      <c r="D3361" s="199"/>
      <c r="E3361" s="193"/>
      <c r="F3361" s="195" t="s">
        <v>21123</v>
      </c>
      <c r="G3361" s="196">
        <v>1.605876182E9</v>
      </c>
      <c r="H3361" s="197">
        <v>14.39</v>
      </c>
      <c r="I3361" s="7" t="s">
        <v>16815</v>
      </c>
      <c r="J3361" s="7" t="s">
        <v>17112</v>
      </c>
      <c r="K3361" s="7" t="s">
        <v>17111</v>
      </c>
      <c r="L3361" s="198" t="s">
        <v>65</v>
      </c>
      <c r="M3361" s="199"/>
      <c r="N3361" s="199"/>
    </row>
    <row r="3362">
      <c r="A3362" s="193" t="s">
        <v>21124</v>
      </c>
      <c r="D3362" s="194">
        <v>2023.0</v>
      </c>
      <c r="E3362" s="193"/>
      <c r="F3362" s="195" t="s">
        <v>21125</v>
      </c>
      <c r="G3362" s="196">
        <v>1.605182609E9</v>
      </c>
      <c r="H3362" s="197">
        <v>28.39</v>
      </c>
      <c r="I3362" s="7" t="s">
        <v>16815</v>
      </c>
      <c r="L3362" s="198" t="s">
        <v>65</v>
      </c>
      <c r="M3362" s="194"/>
      <c r="N3362" s="194"/>
    </row>
    <row r="3363">
      <c r="A3363" s="193" t="s">
        <v>21126</v>
      </c>
      <c r="B3363" s="7" t="s">
        <v>169</v>
      </c>
      <c r="C3363" s="7" t="s">
        <v>16899</v>
      </c>
      <c r="D3363" s="199"/>
      <c r="E3363" s="193"/>
      <c r="F3363" s="195" t="s">
        <v>21127</v>
      </c>
      <c r="G3363" s="196">
        <v>1.604777224E9</v>
      </c>
      <c r="H3363" s="197">
        <v>134.86</v>
      </c>
      <c r="I3363" s="7" t="s">
        <v>16815</v>
      </c>
      <c r="J3363" s="7" t="s">
        <v>169</v>
      </c>
      <c r="K3363" s="7" t="s">
        <v>16899</v>
      </c>
      <c r="L3363" s="198" t="s">
        <v>65</v>
      </c>
      <c r="M3363" s="199"/>
      <c r="N3363" s="199"/>
    </row>
    <row r="3364">
      <c r="A3364" s="193" t="s">
        <v>21126</v>
      </c>
      <c r="B3364" s="7" t="s">
        <v>16899</v>
      </c>
      <c r="C3364" s="7" t="s">
        <v>169</v>
      </c>
      <c r="D3364" s="199"/>
      <c r="E3364" s="193"/>
      <c r="F3364" s="195" t="s">
        <v>21127</v>
      </c>
      <c r="G3364" s="200">
        <v>1.604777224E9</v>
      </c>
      <c r="H3364" s="197">
        <v>134.86</v>
      </c>
      <c r="I3364" s="7" t="s">
        <v>16815</v>
      </c>
      <c r="J3364" s="7" t="s">
        <v>16899</v>
      </c>
      <c r="K3364" s="7" t="s">
        <v>169</v>
      </c>
      <c r="L3364" s="201" t="s">
        <v>16835</v>
      </c>
      <c r="M3364" s="199"/>
      <c r="N3364" s="199"/>
    </row>
    <row r="3365">
      <c r="A3365" s="193" t="s">
        <v>21128</v>
      </c>
      <c r="B3365" s="7" t="s">
        <v>17016</v>
      </c>
      <c r="C3365" s="7" t="s">
        <v>16838</v>
      </c>
      <c r="D3365" s="194">
        <v>2015.0</v>
      </c>
      <c r="E3365" s="193"/>
      <c r="F3365" s="195" t="s">
        <v>21129</v>
      </c>
      <c r="G3365" s="200">
        <v>1.602914371E9</v>
      </c>
      <c r="H3365" s="197">
        <v>14.63</v>
      </c>
      <c r="I3365" s="7" t="s">
        <v>16815</v>
      </c>
      <c r="J3365" s="7" t="s">
        <v>17016</v>
      </c>
      <c r="K3365" s="7" t="s">
        <v>16838</v>
      </c>
      <c r="L3365" s="201" t="s">
        <v>16835</v>
      </c>
      <c r="M3365" s="194"/>
      <c r="N3365" s="194"/>
    </row>
    <row r="3366">
      <c r="A3366" s="193" t="s">
        <v>21128</v>
      </c>
      <c r="B3366" s="7" t="s">
        <v>16838</v>
      </c>
      <c r="C3366" s="7" t="s">
        <v>17016</v>
      </c>
      <c r="D3366" s="194">
        <v>2015.0</v>
      </c>
      <c r="E3366" s="193"/>
      <c r="F3366" s="195" t="s">
        <v>21129</v>
      </c>
      <c r="G3366" s="196">
        <v>1.602914371E9</v>
      </c>
      <c r="H3366" s="197">
        <v>14.63</v>
      </c>
      <c r="I3366" s="7" t="s">
        <v>16815</v>
      </c>
      <c r="J3366" s="7" t="s">
        <v>16838</v>
      </c>
      <c r="K3366" s="7" t="s">
        <v>17016</v>
      </c>
      <c r="L3366" s="198" t="s">
        <v>65</v>
      </c>
      <c r="M3366" s="194"/>
      <c r="N3366" s="194"/>
    </row>
    <row r="3367">
      <c r="A3367" s="193" t="s">
        <v>21130</v>
      </c>
      <c r="D3367" s="194">
        <v>2021.0</v>
      </c>
      <c r="E3367" s="193"/>
      <c r="F3367" s="195" t="s">
        <v>21131</v>
      </c>
      <c r="G3367" s="196">
        <v>1.601056021E9</v>
      </c>
      <c r="H3367" s="197">
        <v>6.79</v>
      </c>
      <c r="I3367" s="7" t="s">
        <v>16815</v>
      </c>
      <c r="L3367" s="198" t="s">
        <v>65</v>
      </c>
      <c r="M3367" s="194"/>
      <c r="N3367" s="194"/>
    </row>
    <row r="3368">
      <c r="A3368" s="193" t="s">
        <v>21130</v>
      </c>
      <c r="D3368" s="194">
        <v>2021.0</v>
      </c>
      <c r="E3368" s="193"/>
      <c r="F3368" s="195" t="s">
        <v>21131</v>
      </c>
      <c r="G3368" s="200">
        <v>1.601056021E9</v>
      </c>
      <c r="H3368" s="197">
        <v>6.79</v>
      </c>
      <c r="I3368" s="193" t="s">
        <v>16815</v>
      </c>
      <c r="L3368" s="201" t="s">
        <v>16835</v>
      </c>
      <c r="M3368" s="194"/>
      <c r="N3368" s="194"/>
    </row>
    <row r="3369">
      <c r="A3369" s="193" t="s">
        <v>21132</v>
      </c>
      <c r="B3369" s="7" t="s">
        <v>17019</v>
      </c>
      <c r="C3369" s="7" t="s">
        <v>16838</v>
      </c>
      <c r="D3369" s="194">
        <v>1997.0</v>
      </c>
      <c r="E3369" s="193"/>
      <c r="F3369" s="195" t="s">
        <v>21133</v>
      </c>
      <c r="G3369" s="200">
        <v>1.596221314E9</v>
      </c>
      <c r="H3369" s="197">
        <v>10.73</v>
      </c>
      <c r="I3369" s="7" t="s">
        <v>16815</v>
      </c>
      <c r="J3369" s="7" t="s">
        <v>17019</v>
      </c>
      <c r="K3369" s="7" t="s">
        <v>16838</v>
      </c>
      <c r="L3369" s="201" t="s">
        <v>16835</v>
      </c>
      <c r="M3369" s="194"/>
      <c r="N3369" s="194"/>
    </row>
    <row r="3370">
      <c r="A3370" s="193" t="s">
        <v>21132</v>
      </c>
      <c r="B3370" s="7" t="s">
        <v>16838</v>
      </c>
      <c r="C3370" s="7" t="s">
        <v>17019</v>
      </c>
      <c r="D3370" s="194">
        <v>1997.0</v>
      </c>
      <c r="E3370" s="193"/>
      <c r="F3370" s="195" t="s">
        <v>21133</v>
      </c>
      <c r="G3370" s="196">
        <v>1.596221314E9</v>
      </c>
      <c r="H3370" s="197">
        <v>10.73</v>
      </c>
      <c r="I3370" s="7" t="s">
        <v>16815</v>
      </c>
      <c r="J3370" s="7" t="s">
        <v>16838</v>
      </c>
      <c r="K3370" s="7" t="s">
        <v>17019</v>
      </c>
      <c r="L3370" s="198" t="s">
        <v>65</v>
      </c>
      <c r="M3370" s="194"/>
      <c r="N3370" s="194"/>
    </row>
    <row r="3371">
      <c r="A3371" s="193" t="s">
        <v>21134</v>
      </c>
      <c r="B3371" s="7" t="s">
        <v>169</v>
      </c>
      <c r="C3371" s="7" t="s">
        <v>16899</v>
      </c>
      <c r="D3371" s="194">
        <v>2022.0</v>
      </c>
      <c r="E3371" s="193"/>
      <c r="F3371" s="195" t="s">
        <v>21135</v>
      </c>
      <c r="G3371" s="196">
        <v>1.595703288E9</v>
      </c>
      <c r="H3371" s="197">
        <v>4.0</v>
      </c>
      <c r="I3371" s="7" t="s">
        <v>16815</v>
      </c>
      <c r="J3371" s="7" t="s">
        <v>169</v>
      </c>
      <c r="K3371" s="7" t="s">
        <v>16899</v>
      </c>
      <c r="L3371" s="198" t="s">
        <v>65</v>
      </c>
      <c r="M3371" s="194"/>
      <c r="N3371" s="194"/>
    </row>
    <row r="3372">
      <c r="A3372" s="193" t="s">
        <v>21134</v>
      </c>
      <c r="B3372" s="7" t="s">
        <v>16899</v>
      </c>
      <c r="C3372" s="7" t="s">
        <v>169</v>
      </c>
      <c r="D3372" s="194">
        <v>2022.0</v>
      </c>
      <c r="E3372" s="193"/>
      <c r="F3372" s="195" t="s">
        <v>21135</v>
      </c>
      <c r="G3372" s="200">
        <v>1.595703288E9</v>
      </c>
      <c r="H3372" s="197">
        <v>4.0</v>
      </c>
      <c r="I3372" s="7" t="s">
        <v>16815</v>
      </c>
      <c r="J3372" s="7" t="s">
        <v>16899</v>
      </c>
      <c r="K3372" s="7" t="s">
        <v>169</v>
      </c>
      <c r="L3372" s="201" t="s">
        <v>16835</v>
      </c>
      <c r="M3372" s="194"/>
      <c r="N3372" s="194"/>
    </row>
    <row r="3373">
      <c r="A3373" s="193" t="s">
        <v>21136</v>
      </c>
      <c r="B3373" s="7" t="s">
        <v>158</v>
      </c>
      <c r="C3373" s="7" t="s">
        <v>17171</v>
      </c>
      <c r="D3373" s="199"/>
      <c r="E3373" s="193"/>
      <c r="F3373" s="195" t="s">
        <v>21137</v>
      </c>
      <c r="G3373" s="196">
        <v>1.589278534E9</v>
      </c>
      <c r="H3373" s="197">
        <v>7.35</v>
      </c>
      <c r="I3373" s="7" t="s">
        <v>17316</v>
      </c>
      <c r="J3373" s="7" t="s">
        <v>158</v>
      </c>
      <c r="K3373" s="7" t="s">
        <v>17171</v>
      </c>
      <c r="L3373" s="198" t="s">
        <v>65</v>
      </c>
      <c r="M3373" s="199"/>
      <c r="N3373" s="199"/>
    </row>
    <row r="3374">
      <c r="A3374" s="193" t="s">
        <v>21136</v>
      </c>
      <c r="B3374" s="7" t="s">
        <v>17171</v>
      </c>
      <c r="C3374" s="7" t="s">
        <v>158</v>
      </c>
      <c r="D3374" s="199"/>
      <c r="E3374" s="193"/>
      <c r="F3374" s="195" t="s">
        <v>21137</v>
      </c>
      <c r="G3374" s="200">
        <v>1.589278534E9</v>
      </c>
      <c r="H3374" s="197">
        <v>7.35</v>
      </c>
      <c r="I3374" s="7" t="s">
        <v>16815</v>
      </c>
      <c r="J3374" s="7" t="s">
        <v>17171</v>
      </c>
      <c r="K3374" s="7" t="s">
        <v>158</v>
      </c>
      <c r="L3374" s="201" t="s">
        <v>16835</v>
      </c>
      <c r="M3374" s="199"/>
      <c r="N3374" s="199"/>
    </row>
    <row r="3375">
      <c r="A3375" s="193" t="s">
        <v>21138</v>
      </c>
      <c r="B3375" s="7" t="s">
        <v>175</v>
      </c>
      <c r="C3375" s="7" t="s">
        <v>18723</v>
      </c>
      <c r="D3375" s="194">
        <v>2013.0</v>
      </c>
      <c r="E3375" s="193"/>
      <c r="F3375" s="195" t="s">
        <v>21139</v>
      </c>
      <c r="G3375" s="196">
        <v>1.588838753E9</v>
      </c>
      <c r="H3375" s="197">
        <v>8.01</v>
      </c>
      <c r="I3375" s="7" t="s">
        <v>16826</v>
      </c>
      <c r="J3375" s="7" t="s">
        <v>175</v>
      </c>
      <c r="K3375" s="7" t="s">
        <v>18723</v>
      </c>
      <c r="L3375" s="198" t="s">
        <v>65</v>
      </c>
      <c r="M3375" s="194"/>
      <c r="N3375" s="194"/>
    </row>
    <row r="3376">
      <c r="A3376" s="193" t="s">
        <v>21138</v>
      </c>
      <c r="B3376" s="7" t="s">
        <v>18723</v>
      </c>
      <c r="C3376" s="7" t="s">
        <v>175</v>
      </c>
      <c r="D3376" s="194">
        <v>2013.0</v>
      </c>
      <c r="E3376" s="193"/>
      <c r="F3376" s="195" t="s">
        <v>21139</v>
      </c>
      <c r="G3376" s="200">
        <v>1.588838753E9</v>
      </c>
      <c r="H3376" s="197">
        <v>8.01</v>
      </c>
      <c r="I3376" s="7" t="s">
        <v>16815</v>
      </c>
      <c r="J3376" s="7" t="s">
        <v>18723</v>
      </c>
      <c r="K3376" s="7" t="s">
        <v>175</v>
      </c>
      <c r="L3376" s="201" t="s">
        <v>16835</v>
      </c>
      <c r="M3376" s="194"/>
      <c r="N3376" s="194"/>
    </row>
    <row r="3377">
      <c r="A3377" s="193" t="s">
        <v>21140</v>
      </c>
      <c r="B3377" s="7" t="s">
        <v>175</v>
      </c>
      <c r="C3377" s="7" t="s">
        <v>17218</v>
      </c>
      <c r="D3377" s="194">
        <v>2016.0</v>
      </c>
      <c r="E3377" s="193"/>
      <c r="F3377" s="195" t="s">
        <v>21141</v>
      </c>
      <c r="G3377" s="196">
        <v>1.585784227E9</v>
      </c>
      <c r="H3377" s="197">
        <v>54.48</v>
      </c>
      <c r="I3377" s="7" t="s">
        <v>16908</v>
      </c>
      <c r="J3377" s="7" t="s">
        <v>175</v>
      </c>
      <c r="K3377" s="7" t="s">
        <v>17218</v>
      </c>
      <c r="L3377" s="198" t="s">
        <v>65</v>
      </c>
      <c r="M3377" s="194"/>
      <c r="N3377" s="194"/>
    </row>
    <row r="3378">
      <c r="A3378" s="193" t="s">
        <v>21140</v>
      </c>
      <c r="B3378" s="7" t="s">
        <v>17218</v>
      </c>
      <c r="C3378" s="7" t="s">
        <v>175</v>
      </c>
      <c r="D3378" s="194">
        <v>2016.0</v>
      </c>
      <c r="E3378" s="193"/>
      <c r="F3378" s="195" t="s">
        <v>21141</v>
      </c>
      <c r="G3378" s="200">
        <v>1.585784227E9</v>
      </c>
      <c r="H3378" s="197">
        <v>54.48</v>
      </c>
      <c r="I3378" s="7" t="s">
        <v>16815</v>
      </c>
      <c r="J3378" s="7" t="s">
        <v>17218</v>
      </c>
      <c r="K3378" s="7" t="s">
        <v>175</v>
      </c>
      <c r="L3378" s="201" t="s">
        <v>16835</v>
      </c>
      <c r="M3378" s="194"/>
      <c r="N3378" s="194"/>
    </row>
    <row r="3379">
      <c r="A3379" s="193" t="s">
        <v>21142</v>
      </c>
      <c r="B3379" s="7" t="s">
        <v>16838</v>
      </c>
      <c r="C3379" s="7" t="s">
        <v>18679</v>
      </c>
      <c r="D3379" s="194">
        <v>2020.0</v>
      </c>
      <c r="E3379" s="193"/>
      <c r="F3379" s="195" t="s">
        <v>21143</v>
      </c>
      <c r="G3379" s="196">
        <v>1.58417775E9</v>
      </c>
      <c r="H3379" s="197">
        <v>14.65</v>
      </c>
      <c r="I3379" s="7" t="s">
        <v>16924</v>
      </c>
      <c r="J3379" s="7" t="s">
        <v>16838</v>
      </c>
      <c r="K3379" s="7" t="s">
        <v>18679</v>
      </c>
      <c r="L3379" s="198" t="s">
        <v>65</v>
      </c>
      <c r="M3379" s="194"/>
      <c r="N3379" s="194"/>
    </row>
    <row r="3380">
      <c r="A3380" s="193" t="s">
        <v>21142</v>
      </c>
      <c r="B3380" s="7" t="s">
        <v>18679</v>
      </c>
      <c r="C3380" s="7" t="s">
        <v>16838</v>
      </c>
      <c r="D3380" s="194">
        <v>2020.0</v>
      </c>
      <c r="E3380" s="193"/>
      <c r="F3380" s="195" t="s">
        <v>21143</v>
      </c>
      <c r="G3380" s="200">
        <v>1.58417775E9</v>
      </c>
      <c r="H3380" s="197">
        <v>14.65</v>
      </c>
      <c r="I3380" s="7" t="s">
        <v>16815</v>
      </c>
      <c r="J3380" s="7" t="s">
        <v>18679</v>
      </c>
      <c r="K3380" s="7" t="s">
        <v>16838</v>
      </c>
      <c r="L3380" s="201" t="s">
        <v>16835</v>
      </c>
      <c r="M3380" s="194"/>
      <c r="N3380" s="194"/>
    </row>
    <row r="3381">
      <c r="A3381" s="193" t="s">
        <v>21144</v>
      </c>
      <c r="B3381" s="7" t="s">
        <v>16582</v>
      </c>
      <c r="C3381" s="7" t="s">
        <v>16930</v>
      </c>
      <c r="D3381" s="194">
        <v>2018.0</v>
      </c>
      <c r="E3381" s="193"/>
      <c r="F3381" s="195" t="s">
        <v>21145</v>
      </c>
      <c r="G3381" s="196">
        <v>1.5836814E9</v>
      </c>
      <c r="H3381" s="197">
        <v>7.77</v>
      </c>
      <c r="I3381" s="7" t="s">
        <v>16815</v>
      </c>
      <c r="J3381" s="7" t="s">
        <v>16582</v>
      </c>
      <c r="K3381" s="7" t="s">
        <v>16930</v>
      </c>
      <c r="L3381" s="198" t="s">
        <v>65</v>
      </c>
      <c r="M3381" s="194"/>
      <c r="N3381" s="194"/>
    </row>
    <row r="3382">
      <c r="A3382" s="193" t="s">
        <v>21144</v>
      </c>
      <c r="B3382" s="7" t="s">
        <v>16930</v>
      </c>
      <c r="C3382" s="7" t="s">
        <v>16582</v>
      </c>
      <c r="D3382" s="194">
        <v>2018.0</v>
      </c>
      <c r="E3382" s="193"/>
      <c r="F3382" s="195" t="s">
        <v>21145</v>
      </c>
      <c r="G3382" s="200">
        <v>1.5836814E9</v>
      </c>
      <c r="H3382" s="197">
        <v>7.77</v>
      </c>
      <c r="I3382" s="7" t="s">
        <v>16815</v>
      </c>
      <c r="J3382" s="7" t="s">
        <v>16930</v>
      </c>
      <c r="K3382" s="7" t="s">
        <v>16582</v>
      </c>
      <c r="L3382" s="201" t="s">
        <v>16835</v>
      </c>
      <c r="M3382" s="194"/>
      <c r="N3382" s="194"/>
    </row>
    <row r="3383">
      <c r="A3383" s="193" t="s">
        <v>21146</v>
      </c>
      <c r="B3383" s="7" t="s">
        <v>169</v>
      </c>
      <c r="C3383" s="7" t="s">
        <v>19139</v>
      </c>
      <c r="D3383" s="194">
        <v>2021.0</v>
      </c>
      <c r="E3383" s="193"/>
      <c r="F3383" s="195" t="s">
        <v>21147</v>
      </c>
      <c r="G3383" s="196">
        <v>1.576736497E9</v>
      </c>
      <c r="H3383" s="197">
        <v>17.7</v>
      </c>
      <c r="I3383" s="7" t="s">
        <v>16815</v>
      </c>
      <c r="J3383" s="7" t="s">
        <v>169</v>
      </c>
      <c r="K3383" s="7" t="s">
        <v>19139</v>
      </c>
      <c r="L3383" s="198" t="s">
        <v>65</v>
      </c>
      <c r="M3383" s="194"/>
      <c r="N3383" s="194"/>
    </row>
    <row r="3384">
      <c r="A3384" s="193" t="s">
        <v>21146</v>
      </c>
      <c r="B3384" s="7" t="s">
        <v>19139</v>
      </c>
      <c r="C3384" s="7" t="s">
        <v>169</v>
      </c>
      <c r="D3384" s="194">
        <v>2021.0</v>
      </c>
      <c r="E3384" s="193"/>
      <c r="F3384" s="195" t="s">
        <v>21147</v>
      </c>
      <c r="G3384" s="200">
        <v>1.576736497E9</v>
      </c>
      <c r="H3384" s="197">
        <v>17.7</v>
      </c>
      <c r="I3384" s="7" t="s">
        <v>16815</v>
      </c>
      <c r="J3384" s="7" t="s">
        <v>19139</v>
      </c>
      <c r="K3384" s="7" t="s">
        <v>169</v>
      </c>
      <c r="L3384" s="201" t="s">
        <v>16835</v>
      </c>
      <c r="M3384" s="194"/>
      <c r="N3384" s="194"/>
    </row>
    <row r="3385">
      <c r="A3385" s="193" t="s">
        <v>21148</v>
      </c>
      <c r="B3385" s="7" t="s">
        <v>17019</v>
      </c>
      <c r="C3385" s="7" t="s">
        <v>16838</v>
      </c>
      <c r="D3385" s="194">
        <v>1992.0</v>
      </c>
      <c r="E3385" s="193"/>
      <c r="F3385" s="195" t="s">
        <v>21149</v>
      </c>
      <c r="G3385" s="200">
        <v>1.575394568E9</v>
      </c>
      <c r="H3385" s="197">
        <v>10.59</v>
      </c>
      <c r="I3385" s="7" t="s">
        <v>16815</v>
      </c>
      <c r="J3385" s="7" t="s">
        <v>17019</v>
      </c>
      <c r="K3385" s="7" t="s">
        <v>16838</v>
      </c>
      <c r="L3385" s="201" t="s">
        <v>16835</v>
      </c>
      <c r="M3385" s="194"/>
      <c r="N3385" s="194"/>
    </row>
    <row r="3386">
      <c r="A3386" s="193" t="s">
        <v>21148</v>
      </c>
      <c r="B3386" s="7" t="s">
        <v>16838</v>
      </c>
      <c r="C3386" s="7" t="s">
        <v>17019</v>
      </c>
      <c r="D3386" s="194">
        <v>1992.0</v>
      </c>
      <c r="E3386" s="193"/>
      <c r="F3386" s="195" t="s">
        <v>21149</v>
      </c>
      <c r="G3386" s="196">
        <v>1.575394568E9</v>
      </c>
      <c r="H3386" s="197">
        <v>10.59</v>
      </c>
      <c r="I3386" s="7" t="s">
        <v>16815</v>
      </c>
      <c r="J3386" s="7" t="s">
        <v>16838</v>
      </c>
      <c r="K3386" s="7" t="s">
        <v>17019</v>
      </c>
      <c r="L3386" s="198" t="s">
        <v>65</v>
      </c>
      <c r="M3386" s="194"/>
      <c r="N3386" s="194"/>
    </row>
    <row r="3387">
      <c r="A3387" s="193" t="s">
        <v>21150</v>
      </c>
      <c r="B3387" s="7" t="s">
        <v>17112</v>
      </c>
      <c r="C3387" s="7" t="s">
        <v>16838</v>
      </c>
      <c r="D3387" s="199"/>
      <c r="E3387" s="193"/>
      <c r="F3387" s="195" t="s">
        <v>21151</v>
      </c>
      <c r="G3387" s="200">
        <v>1.57372255E9</v>
      </c>
      <c r="H3387" s="197">
        <v>11.29</v>
      </c>
      <c r="I3387" s="7" t="s">
        <v>16815</v>
      </c>
      <c r="J3387" s="7" t="s">
        <v>17112</v>
      </c>
      <c r="K3387" s="7" t="s">
        <v>16838</v>
      </c>
      <c r="L3387" s="201" t="s">
        <v>16835</v>
      </c>
      <c r="M3387" s="199"/>
      <c r="N3387" s="199"/>
    </row>
    <row r="3388">
      <c r="A3388" s="193" t="s">
        <v>21150</v>
      </c>
      <c r="B3388" s="7" t="s">
        <v>16838</v>
      </c>
      <c r="C3388" s="7" t="s">
        <v>17112</v>
      </c>
      <c r="D3388" s="199"/>
      <c r="E3388" s="193"/>
      <c r="F3388" s="195" t="s">
        <v>21151</v>
      </c>
      <c r="G3388" s="196">
        <v>1.57372255E9</v>
      </c>
      <c r="H3388" s="197">
        <v>11.29</v>
      </c>
      <c r="I3388" s="7" t="s">
        <v>16815</v>
      </c>
      <c r="J3388" s="7" t="s">
        <v>16838</v>
      </c>
      <c r="K3388" s="7" t="s">
        <v>17112</v>
      </c>
      <c r="L3388" s="198" t="s">
        <v>65</v>
      </c>
      <c r="M3388" s="199"/>
      <c r="N3388" s="199"/>
    </row>
    <row r="3389">
      <c r="A3389" s="193" t="s">
        <v>21152</v>
      </c>
      <c r="B3389" s="7" t="s">
        <v>169</v>
      </c>
      <c r="C3389" s="7" t="s">
        <v>18903</v>
      </c>
      <c r="D3389" s="194">
        <v>2006.0</v>
      </c>
      <c r="E3389" s="193"/>
      <c r="F3389" s="195" t="s">
        <v>21153</v>
      </c>
      <c r="G3389" s="196">
        <v>1.573178806E9</v>
      </c>
      <c r="H3389" s="197">
        <v>43.16</v>
      </c>
      <c r="I3389" s="7" t="s">
        <v>16815</v>
      </c>
      <c r="J3389" s="7" t="s">
        <v>169</v>
      </c>
      <c r="K3389" s="7" t="s">
        <v>18903</v>
      </c>
      <c r="L3389" s="198" t="s">
        <v>65</v>
      </c>
      <c r="M3389" s="194"/>
      <c r="N3389" s="194"/>
    </row>
    <row r="3390">
      <c r="A3390" s="193" t="s">
        <v>21154</v>
      </c>
      <c r="B3390" s="7" t="s">
        <v>175</v>
      </c>
      <c r="C3390" s="7" t="s">
        <v>17394</v>
      </c>
      <c r="D3390" s="194">
        <v>2016.0</v>
      </c>
      <c r="E3390" s="193"/>
      <c r="F3390" s="195" t="s">
        <v>21155</v>
      </c>
      <c r="G3390" s="196">
        <v>1.570366596E9</v>
      </c>
      <c r="H3390" s="197">
        <v>18.64</v>
      </c>
      <c r="I3390" s="7" t="s">
        <v>16908</v>
      </c>
      <c r="J3390" s="7" t="s">
        <v>175</v>
      </c>
      <c r="K3390" s="7" t="s">
        <v>17394</v>
      </c>
      <c r="L3390" s="198" t="s">
        <v>65</v>
      </c>
      <c r="M3390" s="194"/>
      <c r="N3390" s="194"/>
    </row>
    <row r="3391">
      <c r="A3391" s="193" t="s">
        <v>21154</v>
      </c>
      <c r="B3391" s="7" t="s">
        <v>17394</v>
      </c>
      <c r="C3391" s="7" t="s">
        <v>175</v>
      </c>
      <c r="D3391" s="194">
        <v>2016.0</v>
      </c>
      <c r="E3391" s="193"/>
      <c r="F3391" s="195" t="s">
        <v>21155</v>
      </c>
      <c r="G3391" s="200">
        <v>1.570366596E9</v>
      </c>
      <c r="H3391" s="197">
        <v>18.64</v>
      </c>
      <c r="I3391" s="7" t="s">
        <v>16815</v>
      </c>
      <c r="J3391" s="7" t="s">
        <v>17394</v>
      </c>
      <c r="K3391" s="7" t="s">
        <v>175</v>
      </c>
      <c r="L3391" s="201" t="s">
        <v>16835</v>
      </c>
      <c r="M3391" s="194"/>
      <c r="N3391" s="194"/>
    </row>
    <row r="3392">
      <c r="A3392" s="193" t="s">
        <v>21156</v>
      </c>
      <c r="B3392" s="7" t="s">
        <v>175</v>
      </c>
      <c r="C3392" s="7" t="s">
        <v>17394</v>
      </c>
      <c r="D3392" s="194">
        <v>2009.0</v>
      </c>
      <c r="E3392" s="193"/>
      <c r="F3392" s="195" t="s">
        <v>21157</v>
      </c>
      <c r="G3392" s="196">
        <v>1.56842801E9</v>
      </c>
      <c r="H3392" s="197">
        <v>14.52</v>
      </c>
      <c r="I3392" s="7" t="s">
        <v>168</v>
      </c>
      <c r="J3392" s="7" t="s">
        <v>175</v>
      </c>
      <c r="K3392" s="7" t="s">
        <v>17394</v>
      </c>
      <c r="L3392" s="198" t="s">
        <v>65</v>
      </c>
      <c r="M3392" s="194"/>
      <c r="N3392" s="194"/>
    </row>
    <row r="3393">
      <c r="A3393" s="193" t="s">
        <v>21156</v>
      </c>
      <c r="B3393" s="7" t="s">
        <v>17394</v>
      </c>
      <c r="C3393" s="7" t="s">
        <v>175</v>
      </c>
      <c r="D3393" s="194">
        <v>2009.0</v>
      </c>
      <c r="E3393" s="193"/>
      <c r="F3393" s="195" t="s">
        <v>21157</v>
      </c>
      <c r="G3393" s="200">
        <v>1.56842801E9</v>
      </c>
      <c r="H3393" s="197">
        <v>14.52</v>
      </c>
      <c r="I3393" s="7" t="s">
        <v>16815</v>
      </c>
      <c r="J3393" s="7" t="s">
        <v>17394</v>
      </c>
      <c r="K3393" s="7" t="s">
        <v>175</v>
      </c>
      <c r="L3393" s="201" t="s">
        <v>16835</v>
      </c>
      <c r="M3393" s="194"/>
      <c r="N3393" s="194"/>
    </row>
    <row r="3394">
      <c r="A3394" s="193" t="s">
        <v>21158</v>
      </c>
      <c r="B3394" s="7" t="s">
        <v>187</v>
      </c>
      <c r="C3394" s="7" t="s">
        <v>16851</v>
      </c>
      <c r="D3394" s="194">
        <v>2021.0</v>
      </c>
      <c r="E3394" s="193"/>
      <c r="F3394" s="195" t="s">
        <v>21159</v>
      </c>
      <c r="G3394" s="196">
        <v>1.565457251E9</v>
      </c>
      <c r="H3394" s="197">
        <v>31.0</v>
      </c>
      <c r="I3394" s="7" t="s">
        <v>16815</v>
      </c>
      <c r="J3394" s="7" t="s">
        <v>187</v>
      </c>
      <c r="K3394" s="7" t="s">
        <v>16851</v>
      </c>
      <c r="L3394" s="198" t="s">
        <v>65</v>
      </c>
      <c r="M3394" s="194"/>
      <c r="N3394" s="194"/>
    </row>
    <row r="3395">
      <c r="A3395" s="193" t="s">
        <v>21160</v>
      </c>
      <c r="B3395" s="7" t="s">
        <v>16582</v>
      </c>
      <c r="C3395" s="7" t="s">
        <v>16899</v>
      </c>
      <c r="D3395" s="194">
        <v>1994.0</v>
      </c>
      <c r="E3395" s="193"/>
      <c r="F3395" s="195" t="s">
        <v>21161</v>
      </c>
      <c r="G3395" s="196">
        <v>1.565173482E9</v>
      </c>
      <c r="H3395" s="197">
        <v>27.78</v>
      </c>
      <c r="I3395" s="7" t="s">
        <v>16815</v>
      </c>
      <c r="J3395" s="7" t="s">
        <v>16582</v>
      </c>
      <c r="K3395" s="7" t="s">
        <v>16899</v>
      </c>
      <c r="L3395" s="198" t="s">
        <v>65</v>
      </c>
      <c r="M3395" s="194"/>
      <c r="N3395" s="194"/>
    </row>
    <row r="3396">
      <c r="A3396" s="193" t="s">
        <v>21162</v>
      </c>
      <c r="B3396" s="7" t="s">
        <v>175</v>
      </c>
      <c r="C3396" s="7" t="s">
        <v>17233</v>
      </c>
      <c r="D3396" s="194">
        <v>2007.0</v>
      </c>
      <c r="E3396" s="193"/>
      <c r="F3396" s="195" t="s">
        <v>21163</v>
      </c>
      <c r="G3396" s="196">
        <v>1.5648609E9</v>
      </c>
      <c r="H3396" s="197">
        <v>53.39</v>
      </c>
      <c r="I3396" s="7" t="s">
        <v>16903</v>
      </c>
      <c r="J3396" s="7" t="s">
        <v>175</v>
      </c>
      <c r="K3396" s="7" t="s">
        <v>17233</v>
      </c>
      <c r="L3396" s="198" t="s">
        <v>65</v>
      </c>
      <c r="M3396" s="194"/>
      <c r="N3396" s="194"/>
    </row>
    <row r="3397">
      <c r="A3397" s="193" t="s">
        <v>21162</v>
      </c>
      <c r="B3397" s="7" t="s">
        <v>17233</v>
      </c>
      <c r="C3397" s="7" t="s">
        <v>175</v>
      </c>
      <c r="D3397" s="194">
        <v>2007.0</v>
      </c>
      <c r="E3397" s="193"/>
      <c r="F3397" s="195" t="s">
        <v>21163</v>
      </c>
      <c r="G3397" s="200">
        <v>1.5648609E9</v>
      </c>
      <c r="H3397" s="197">
        <v>53.39</v>
      </c>
      <c r="I3397" s="7" t="s">
        <v>16815</v>
      </c>
      <c r="J3397" s="7" t="s">
        <v>17233</v>
      </c>
      <c r="K3397" s="7" t="s">
        <v>175</v>
      </c>
      <c r="L3397" s="201" t="s">
        <v>16835</v>
      </c>
      <c r="M3397" s="194"/>
      <c r="N3397" s="194"/>
    </row>
    <row r="3398">
      <c r="A3398" s="193" t="s">
        <v>21164</v>
      </c>
      <c r="B3398" s="7" t="s">
        <v>169</v>
      </c>
      <c r="C3398" s="7" t="s">
        <v>16899</v>
      </c>
      <c r="D3398" s="199"/>
      <c r="E3398" s="193"/>
      <c r="F3398" s="195" t="s">
        <v>21165</v>
      </c>
      <c r="G3398" s="196">
        <v>1.563160642E9</v>
      </c>
      <c r="H3398" s="197">
        <v>83.68</v>
      </c>
      <c r="I3398" s="7" t="s">
        <v>16815</v>
      </c>
      <c r="J3398" s="7" t="s">
        <v>169</v>
      </c>
      <c r="K3398" s="7" t="s">
        <v>16899</v>
      </c>
      <c r="L3398" s="198" t="s">
        <v>65</v>
      </c>
      <c r="M3398" s="199"/>
      <c r="N3398" s="199"/>
    </row>
    <row r="3399">
      <c r="A3399" s="193" t="s">
        <v>21164</v>
      </c>
      <c r="B3399" s="7" t="s">
        <v>16899</v>
      </c>
      <c r="C3399" s="7" t="s">
        <v>169</v>
      </c>
      <c r="D3399" s="199"/>
      <c r="E3399" s="193"/>
      <c r="F3399" s="195" t="s">
        <v>21165</v>
      </c>
      <c r="G3399" s="200">
        <v>1.563160642E9</v>
      </c>
      <c r="H3399" s="197">
        <v>83.68</v>
      </c>
      <c r="I3399" s="7" t="s">
        <v>16815</v>
      </c>
      <c r="J3399" s="7" t="s">
        <v>16899</v>
      </c>
      <c r="K3399" s="7" t="s">
        <v>169</v>
      </c>
      <c r="L3399" s="201" t="s">
        <v>16835</v>
      </c>
      <c r="M3399" s="199"/>
      <c r="N3399" s="199"/>
    </row>
    <row r="3400">
      <c r="A3400" s="193" t="s">
        <v>21166</v>
      </c>
      <c r="B3400" s="7" t="s">
        <v>175</v>
      </c>
      <c r="C3400" s="7" t="s">
        <v>16942</v>
      </c>
      <c r="D3400" s="194">
        <v>1992.0</v>
      </c>
      <c r="E3400" s="193"/>
      <c r="F3400" s="195" t="s">
        <v>21167</v>
      </c>
      <c r="G3400" s="196">
        <v>1.561273532E9</v>
      </c>
      <c r="H3400" s="197">
        <v>30.75</v>
      </c>
      <c r="I3400" s="7" t="s">
        <v>16908</v>
      </c>
      <c r="J3400" s="7" t="s">
        <v>175</v>
      </c>
      <c r="K3400" s="7" t="s">
        <v>16942</v>
      </c>
      <c r="L3400" s="198" t="s">
        <v>65</v>
      </c>
      <c r="M3400" s="194"/>
      <c r="N3400" s="194"/>
    </row>
    <row r="3401">
      <c r="A3401" s="193" t="s">
        <v>21168</v>
      </c>
      <c r="B3401" s="7" t="s">
        <v>169</v>
      </c>
      <c r="C3401" s="7" t="s">
        <v>17738</v>
      </c>
      <c r="D3401" s="194">
        <v>2022.0</v>
      </c>
      <c r="E3401" s="193"/>
      <c r="F3401" s="195" t="s">
        <v>21169</v>
      </c>
      <c r="G3401" s="196">
        <v>1.560444085E9</v>
      </c>
      <c r="H3401" s="197">
        <v>12.31</v>
      </c>
      <c r="I3401" s="7" t="s">
        <v>16815</v>
      </c>
      <c r="J3401" s="7" t="s">
        <v>169</v>
      </c>
      <c r="K3401" s="7" t="s">
        <v>17738</v>
      </c>
      <c r="L3401" s="198" t="s">
        <v>65</v>
      </c>
      <c r="M3401" s="194"/>
      <c r="N3401" s="194"/>
    </row>
    <row r="3402">
      <c r="A3402" s="193" t="s">
        <v>21168</v>
      </c>
      <c r="B3402" s="7" t="s">
        <v>17738</v>
      </c>
      <c r="C3402" s="7" t="s">
        <v>169</v>
      </c>
      <c r="D3402" s="194">
        <v>2022.0</v>
      </c>
      <c r="E3402" s="193"/>
      <c r="F3402" s="195" t="s">
        <v>21169</v>
      </c>
      <c r="G3402" s="200">
        <v>1.560444085E9</v>
      </c>
      <c r="H3402" s="197">
        <v>12.31</v>
      </c>
      <c r="I3402" s="7" t="s">
        <v>16815</v>
      </c>
      <c r="J3402" s="7" t="s">
        <v>17738</v>
      </c>
      <c r="K3402" s="7" t="s">
        <v>169</v>
      </c>
      <c r="L3402" s="201" t="s">
        <v>16835</v>
      </c>
      <c r="M3402" s="194"/>
      <c r="N3402" s="194"/>
    </row>
    <row r="3403">
      <c r="A3403" s="193" t="s">
        <v>21170</v>
      </c>
      <c r="B3403" s="7" t="s">
        <v>17019</v>
      </c>
      <c r="C3403" s="7" t="s">
        <v>16838</v>
      </c>
      <c r="D3403" s="194">
        <v>2003.0</v>
      </c>
      <c r="E3403" s="193"/>
      <c r="F3403" s="195" t="s">
        <v>21171</v>
      </c>
      <c r="G3403" s="200">
        <v>1.559030696E9</v>
      </c>
      <c r="H3403" s="197">
        <v>10.48</v>
      </c>
      <c r="I3403" s="7" t="s">
        <v>16815</v>
      </c>
      <c r="J3403" s="7" t="s">
        <v>17019</v>
      </c>
      <c r="K3403" s="7" t="s">
        <v>16838</v>
      </c>
      <c r="L3403" s="201" t="s">
        <v>16835</v>
      </c>
      <c r="M3403" s="194"/>
      <c r="N3403" s="194"/>
    </row>
    <row r="3404">
      <c r="A3404" s="193" t="s">
        <v>21170</v>
      </c>
      <c r="B3404" s="7" t="s">
        <v>16838</v>
      </c>
      <c r="C3404" s="7" t="s">
        <v>17019</v>
      </c>
      <c r="D3404" s="194">
        <v>2003.0</v>
      </c>
      <c r="E3404" s="193"/>
      <c r="F3404" s="195" t="s">
        <v>21171</v>
      </c>
      <c r="G3404" s="196">
        <v>1.559030696E9</v>
      </c>
      <c r="H3404" s="197">
        <v>10.48</v>
      </c>
      <c r="I3404" s="7" t="s">
        <v>16815</v>
      </c>
      <c r="J3404" s="7" t="s">
        <v>16838</v>
      </c>
      <c r="K3404" s="7" t="s">
        <v>17019</v>
      </c>
      <c r="L3404" s="198" t="s">
        <v>65</v>
      </c>
      <c r="M3404" s="194"/>
      <c r="N3404" s="194"/>
    </row>
    <row r="3405">
      <c r="A3405" s="193" t="s">
        <v>21172</v>
      </c>
      <c r="B3405" s="7" t="s">
        <v>17019</v>
      </c>
      <c r="C3405" s="7" t="s">
        <v>16838</v>
      </c>
      <c r="D3405" s="194">
        <v>1998.0</v>
      </c>
      <c r="E3405" s="193"/>
      <c r="F3405" s="195" t="s">
        <v>21173</v>
      </c>
      <c r="G3405" s="200">
        <v>1.557543071E9</v>
      </c>
      <c r="H3405" s="197">
        <v>10.47</v>
      </c>
      <c r="I3405" s="7" t="s">
        <v>16815</v>
      </c>
      <c r="J3405" s="7" t="s">
        <v>17019</v>
      </c>
      <c r="K3405" s="7" t="s">
        <v>16838</v>
      </c>
      <c r="L3405" s="201" t="s">
        <v>16835</v>
      </c>
      <c r="M3405" s="194"/>
      <c r="N3405" s="194"/>
    </row>
    <row r="3406">
      <c r="A3406" s="193" t="s">
        <v>21172</v>
      </c>
      <c r="B3406" s="7" t="s">
        <v>16838</v>
      </c>
      <c r="C3406" s="7" t="s">
        <v>17019</v>
      </c>
      <c r="D3406" s="194">
        <v>1998.0</v>
      </c>
      <c r="E3406" s="193"/>
      <c r="F3406" s="195" t="s">
        <v>21173</v>
      </c>
      <c r="G3406" s="196">
        <v>1.557543071E9</v>
      </c>
      <c r="H3406" s="197">
        <v>10.47</v>
      </c>
      <c r="I3406" s="7" t="s">
        <v>16815</v>
      </c>
      <c r="J3406" s="7" t="s">
        <v>16838</v>
      </c>
      <c r="K3406" s="7" t="s">
        <v>17019</v>
      </c>
      <c r="L3406" s="198" t="s">
        <v>65</v>
      </c>
      <c r="M3406" s="194"/>
      <c r="N3406" s="194"/>
    </row>
    <row r="3407">
      <c r="A3407" s="193" t="s">
        <v>21174</v>
      </c>
      <c r="B3407" s="7" t="s">
        <v>175</v>
      </c>
      <c r="C3407" s="7" t="s">
        <v>17183</v>
      </c>
      <c r="D3407" s="194">
        <v>2022.0</v>
      </c>
      <c r="E3407" s="193"/>
      <c r="F3407" s="195" t="s">
        <v>21175</v>
      </c>
      <c r="G3407" s="196">
        <v>1.55474238E9</v>
      </c>
      <c r="H3407" s="197">
        <v>33.01</v>
      </c>
      <c r="I3407" s="7" t="s">
        <v>17270</v>
      </c>
      <c r="J3407" s="7" t="s">
        <v>175</v>
      </c>
      <c r="K3407" s="7" t="s">
        <v>17183</v>
      </c>
      <c r="L3407" s="198" t="s">
        <v>65</v>
      </c>
      <c r="M3407" s="194"/>
      <c r="N3407" s="194"/>
    </row>
    <row r="3408">
      <c r="A3408" s="193" t="s">
        <v>21174</v>
      </c>
      <c r="B3408" s="7" t="s">
        <v>17183</v>
      </c>
      <c r="C3408" s="7" t="s">
        <v>175</v>
      </c>
      <c r="D3408" s="194">
        <v>2022.0</v>
      </c>
      <c r="E3408" s="193"/>
      <c r="F3408" s="195" t="s">
        <v>21175</v>
      </c>
      <c r="G3408" s="200">
        <v>1.55474238E9</v>
      </c>
      <c r="H3408" s="197">
        <v>33.01</v>
      </c>
      <c r="I3408" s="7" t="s">
        <v>16815</v>
      </c>
      <c r="J3408" s="7" t="s">
        <v>17183</v>
      </c>
      <c r="K3408" s="7" t="s">
        <v>175</v>
      </c>
      <c r="L3408" s="201" t="s">
        <v>16835</v>
      </c>
      <c r="M3408" s="194"/>
      <c r="N3408" s="194"/>
    </row>
    <row r="3409">
      <c r="A3409" s="193" t="s">
        <v>21176</v>
      </c>
      <c r="B3409" s="7" t="s">
        <v>169</v>
      </c>
      <c r="C3409" s="7" t="s">
        <v>16945</v>
      </c>
      <c r="D3409" s="199"/>
      <c r="E3409" s="193"/>
      <c r="F3409" s="195" t="s">
        <v>21177</v>
      </c>
      <c r="G3409" s="196">
        <v>1.549080154E9</v>
      </c>
      <c r="H3409" s="197">
        <v>26.03</v>
      </c>
      <c r="I3409" s="7" t="s">
        <v>16815</v>
      </c>
      <c r="J3409" s="7" t="s">
        <v>169</v>
      </c>
      <c r="K3409" s="7" t="s">
        <v>16945</v>
      </c>
      <c r="L3409" s="198" t="s">
        <v>65</v>
      </c>
      <c r="M3409" s="199"/>
      <c r="N3409" s="199"/>
    </row>
    <row r="3410">
      <c r="A3410" s="193" t="s">
        <v>21178</v>
      </c>
      <c r="D3410" s="194">
        <v>2023.0</v>
      </c>
      <c r="E3410" s="193"/>
      <c r="F3410" s="195" t="s">
        <v>21179</v>
      </c>
      <c r="G3410" s="196">
        <v>1.548872061E9</v>
      </c>
      <c r="H3410" s="197">
        <v>54.87</v>
      </c>
      <c r="I3410" s="7" t="s">
        <v>16815</v>
      </c>
      <c r="L3410" s="198" t="s">
        <v>65</v>
      </c>
      <c r="M3410" s="194"/>
      <c r="N3410" s="194"/>
    </row>
    <row r="3411">
      <c r="A3411" s="193" t="s">
        <v>21180</v>
      </c>
      <c r="B3411" s="7" t="s">
        <v>17111</v>
      </c>
      <c r="C3411" s="7" t="s">
        <v>17112</v>
      </c>
      <c r="D3411" s="199"/>
      <c r="E3411" s="193"/>
      <c r="F3411" s="195" t="s">
        <v>21181</v>
      </c>
      <c r="G3411" s="200">
        <v>1.548438072E9</v>
      </c>
      <c r="H3411" s="197">
        <v>13.63</v>
      </c>
      <c r="I3411" s="7" t="s">
        <v>16815</v>
      </c>
      <c r="J3411" s="7" t="s">
        <v>17111</v>
      </c>
      <c r="K3411" s="7" t="s">
        <v>17112</v>
      </c>
      <c r="L3411" s="201" t="s">
        <v>16835</v>
      </c>
      <c r="M3411" s="199"/>
      <c r="N3411" s="199"/>
    </row>
    <row r="3412">
      <c r="A3412" s="193" t="s">
        <v>21180</v>
      </c>
      <c r="B3412" s="7" t="s">
        <v>17112</v>
      </c>
      <c r="C3412" s="7" t="s">
        <v>17111</v>
      </c>
      <c r="D3412" s="199"/>
      <c r="E3412" s="193"/>
      <c r="F3412" s="195" t="s">
        <v>21181</v>
      </c>
      <c r="G3412" s="196">
        <v>1.548438072E9</v>
      </c>
      <c r="H3412" s="197">
        <v>13.63</v>
      </c>
      <c r="I3412" s="7" t="s">
        <v>16815</v>
      </c>
      <c r="J3412" s="7" t="s">
        <v>17112</v>
      </c>
      <c r="K3412" s="7" t="s">
        <v>17111</v>
      </c>
      <c r="L3412" s="198" t="s">
        <v>65</v>
      </c>
      <c r="M3412" s="199"/>
      <c r="N3412" s="199"/>
    </row>
    <row r="3413">
      <c r="A3413" s="193" t="s">
        <v>21182</v>
      </c>
      <c r="B3413" s="7" t="s">
        <v>187</v>
      </c>
      <c r="C3413" s="7" t="s">
        <v>16846</v>
      </c>
      <c r="D3413" s="199"/>
      <c r="E3413" s="193"/>
      <c r="F3413" s="195" t="s">
        <v>21183</v>
      </c>
      <c r="G3413" s="196">
        <v>1.547410946E9</v>
      </c>
      <c r="H3413" s="197">
        <v>10.22</v>
      </c>
      <c r="I3413" s="7" t="s">
        <v>16815</v>
      </c>
      <c r="J3413" s="7" t="s">
        <v>187</v>
      </c>
      <c r="K3413" s="7" t="s">
        <v>16846</v>
      </c>
      <c r="L3413" s="198" t="s">
        <v>65</v>
      </c>
      <c r="M3413" s="199"/>
      <c r="N3413" s="199"/>
    </row>
    <row r="3414">
      <c r="A3414" s="193" t="s">
        <v>21184</v>
      </c>
      <c r="B3414" s="7" t="s">
        <v>175</v>
      </c>
      <c r="C3414" s="7" t="s">
        <v>17452</v>
      </c>
      <c r="D3414" s="199"/>
      <c r="E3414" s="193"/>
      <c r="F3414" s="195" t="s">
        <v>21185</v>
      </c>
      <c r="G3414" s="196">
        <v>1.546860333E9</v>
      </c>
      <c r="H3414" s="197">
        <v>28.49</v>
      </c>
      <c r="I3414" s="7" t="s">
        <v>16856</v>
      </c>
      <c r="J3414" s="7" t="s">
        <v>175</v>
      </c>
      <c r="K3414" s="7" t="s">
        <v>17452</v>
      </c>
      <c r="L3414" s="198" t="s">
        <v>65</v>
      </c>
      <c r="M3414" s="199"/>
      <c r="N3414" s="199"/>
    </row>
    <row r="3415">
      <c r="A3415" s="193" t="s">
        <v>21186</v>
      </c>
      <c r="B3415" s="7" t="s">
        <v>175</v>
      </c>
      <c r="C3415" s="7" t="s">
        <v>16972</v>
      </c>
      <c r="D3415" s="194">
        <v>2021.0</v>
      </c>
      <c r="E3415" s="193"/>
      <c r="F3415" s="195" t="s">
        <v>21187</v>
      </c>
      <c r="G3415" s="196">
        <v>1.546161132E9</v>
      </c>
      <c r="H3415" s="197">
        <v>10.22</v>
      </c>
      <c r="I3415" s="7" t="s">
        <v>16908</v>
      </c>
      <c r="J3415" s="7" t="s">
        <v>175</v>
      </c>
      <c r="K3415" s="7" t="s">
        <v>16972</v>
      </c>
      <c r="L3415" s="198" t="s">
        <v>65</v>
      </c>
      <c r="M3415" s="194"/>
      <c r="N3415" s="194"/>
    </row>
    <row r="3416">
      <c r="A3416" s="193" t="s">
        <v>21186</v>
      </c>
      <c r="B3416" s="7" t="s">
        <v>16972</v>
      </c>
      <c r="C3416" s="7" t="s">
        <v>175</v>
      </c>
      <c r="D3416" s="194">
        <v>2021.0</v>
      </c>
      <c r="E3416" s="193"/>
      <c r="F3416" s="195" t="s">
        <v>21187</v>
      </c>
      <c r="G3416" s="200">
        <v>1.546161132E9</v>
      </c>
      <c r="H3416" s="197">
        <v>10.22</v>
      </c>
      <c r="I3416" s="7" t="s">
        <v>16815</v>
      </c>
      <c r="J3416" s="7" t="s">
        <v>16972</v>
      </c>
      <c r="K3416" s="7" t="s">
        <v>175</v>
      </c>
      <c r="L3416" s="201" t="s">
        <v>16835</v>
      </c>
      <c r="M3416" s="194"/>
      <c r="N3416" s="194"/>
    </row>
    <row r="3417">
      <c r="A3417" s="193" t="s">
        <v>21188</v>
      </c>
      <c r="B3417" s="7" t="s">
        <v>16582</v>
      </c>
      <c r="C3417" s="7" t="s">
        <v>17435</v>
      </c>
      <c r="D3417" s="199"/>
      <c r="E3417" s="193"/>
      <c r="F3417" s="195" t="s">
        <v>21189</v>
      </c>
      <c r="G3417" s="196">
        <v>1.545290865E9</v>
      </c>
      <c r="H3417" s="197">
        <v>58.82</v>
      </c>
      <c r="I3417" s="7" t="s">
        <v>16815</v>
      </c>
      <c r="J3417" s="7" t="s">
        <v>16582</v>
      </c>
      <c r="K3417" s="7" t="s">
        <v>17435</v>
      </c>
      <c r="L3417" s="198" t="s">
        <v>65</v>
      </c>
      <c r="M3417" s="199"/>
      <c r="N3417" s="199"/>
    </row>
    <row r="3418">
      <c r="A3418" s="193" t="s">
        <v>21190</v>
      </c>
      <c r="B3418" s="7" t="s">
        <v>16919</v>
      </c>
      <c r="C3418" s="7" t="s">
        <v>16864</v>
      </c>
      <c r="D3418" s="199"/>
      <c r="E3418" s="193"/>
      <c r="F3418" s="195" t="s">
        <v>21191</v>
      </c>
      <c r="G3418" s="196">
        <v>1.543155412E9</v>
      </c>
      <c r="H3418" s="197">
        <v>86.71</v>
      </c>
      <c r="I3418" s="7" t="s">
        <v>16815</v>
      </c>
      <c r="J3418" s="7" t="s">
        <v>16919</v>
      </c>
      <c r="K3418" s="7" t="s">
        <v>16864</v>
      </c>
      <c r="L3418" s="198" t="s">
        <v>65</v>
      </c>
      <c r="M3418" s="199"/>
      <c r="N3418" s="199"/>
    </row>
    <row r="3419">
      <c r="A3419" s="193" t="s">
        <v>21190</v>
      </c>
      <c r="B3419" s="7" t="s">
        <v>16864</v>
      </c>
      <c r="C3419" s="7" t="s">
        <v>16919</v>
      </c>
      <c r="D3419" s="199"/>
      <c r="E3419" s="193"/>
      <c r="F3419" s="195" t="s">
        <v>21191</v>
      </c>
      <c r="G3419" s="200">
        <v>1.543155412E9</v>
      </c>
      <c r="H3419" s="197">
        <v>86.71</v>
      </c>
      <c r="I3419" s="7" t="s">
        <v>16815</v>
      </c>
      <c r="J3419" s="7" t="s">
        <v>16864</v>
      </c>
      <c r="K3419" s="7" t="s">
        <v>16919</v>
      </c>
      <c r="L3419" s="201" t="s">
        <v>16835</v>
      </c>
      <c r="M3419" s="199"/>
      <c r="N3419" s="199"/>
    </row>
    <row r="3420">
      <c r="A3420" s="193" t="s">
        <v>21192</v>
      </c>
      <c r="B3420" s="7" t="s">
        <v>17111</v>
      </c>
      <c r="C3420" s="7" t="s">
        <v>17112</v>
      </c>
      <c r="D3420" s="194">
        <v>2011.0</v>
      </c>
      <c r="E3420" s="193"/>
      <c r="F3420" s="195" t="s">
        <v>21193</v>
      </c>
      <c r="G3420" s="200">
        <v>1.542859144E9</v>
      </c>
      <c r="H3420" s="197">
        <v>9.9</v>
      </c>
      <c r="I3420" s="7" t="s">
        <v>16815</v>
      </c>
      <c r="J3420" s="7" t="s">
        <v>17111</v>
      </c>
      <c r="K3420" s="7" t="s">
        <v>17112</v>
      </c>
      <c r="L3420" s="201" t="s">
        <v>16835</v>
      </c>
      <c r="M3420" s="194"/>
      <c r="N3420" s="194"/>
    </row>
    <row r="3421">
      <c r="A3421" s="193" t="s">
        <v>21192</v>
      </c>
      <c r="B3421" s="7" t="s">
        <v>17112</v>
      </c>
      <c r="C3421" s="7" t="s">
        <v>17111</v>
      </c>
      <c r="D3421" s="194">
        <v>2011.0</v>
      </c>
      <c r="E3421" s="193"/>
      <c r="F3421" s="195" t="s">
        <v>21193</v>
      </c>
      <c r="G3421" s="196">
        <v>1.542859144E9</v>
      </c>
      <c r="H3421" s="197">
        <v>9.9</v>
      </c>
      <c r="I3421" s="7" t="s">
        <v>16815</v>
      </c>
      <c r="J3421" s="7" t="s">
        <v>17112</v>
      </c>
      <c r="K3421" s="7" t="s">
        <v>17111</v>
      </c>
      <c r="L3421" s="198" t="s">
        <v>65</v>
      </c>
      <c r="M3421" s="194"/>
      <c r="N3421" s="194"/>
    </row>
    <row r="3422">
      <c r="A3422" s="193" t="s">
        <v>21194</v>
      </c>
      <c r="B3422" s="7" t="s">
        <v>16919</v>
      </c>
      <c r="C3422" s="7" t="s">
        <v>16920</v>
      </c>
      <c r="D3422" s="199"/>
      <c r="E3422" s="193"/>
      <c r="F3422" s="195" t="s">
        <v>21195</v>
      </c>
      <c r="G3422" s="196">
        <v>1.540149129E9</v>
      </c>
      <c r="H3422" s="197">
        <v>10.23</v>
      </c>
      <c r="I3422" s="7" t="s">
        <v>16815</v>
      </c>
      <c r="J3422" s="7" t="s">
        <v>16919</v>
      </c>
      <c r="K3422" s="7" t="s">
        <v>16920</v>
      </c>
      <c r="L3422" s="198" t="s">
        <v>65</v>
      </c>
      <c r="M3422" s="199"/>
      <c r="N3422" s="199"/>
    </row>
    <row r="3423">
      <c r="A3423" s="193" t="s">
        <v>21194</v>
      </c>
      <c r="B3423" s="7" t="s">
        <v>16920</v>
      </c>
      <c r="C3423" s="7" t="s">
        <v>16919</v>
      </c>
      <c r="D3423" s="199"/>
      <c r="E3423" s="193"/>
      <c r="F3423" s="195" t="s">
        <v>21195</v>
      </c>
      <c r="G3423" s="200">
        <v>1.540149129E9</v>
      </c>
      <c r="H3423" s="197">
        <v>10.23</v>
      </c>
      <c r="I3423" s="7" t="s">
        <v>16815</v>
      </c>
      <c r="J3423" s="7" t="s">
        <v>16920</v>
      </c>
      <c r="K3423" s="7" t="s">
        <v>16919</v>
      </c>
      <c r="L3423" s="201" t="s">
        <v>16835</v>
      </c>
      <c r="M3423" s="199"/>
      <c r="N3423" s="199"/>
    </row>
    <row r="3424">
      <c r="A3424" s="193" t="s">
        <v>21196</v>
      </c>
      <c r="B3424" s="7" t="s">
        <v>175</v>
      </c>
      <c r="C3424" s="7" t="s">
        <v>17480</v>
      </c>
      <c r="D3424" s="199"/>
      <c r="E3424" s="193"/>
      <c r="F3424" s="195" t="s">
        <v>21197</v>
      </c>
      <c r="G3424" s="196">
        <v>1.528394246E9</v>
      </c>
      <c r="H3424" s="197">
        <v>438.25</v>
      </c>
      <c r="I3424" s="7" t="s">
        <v>16856</v>
      </c>
      <c r="J3424" s="7" t="s">
        <v>175</v>
      </c>
      <c r="K3424" s="7" t="s">
        <v>17480</v>
      </c>
      <c r="L3424" s="198" t="s">
        <v>65</v>
      </c>
      <c r="M3424" s="199"/>
      <c r="N3424" s="199"/>
    </row>
    <row r="3425">
      <c r="A3425" s="193" t="s">
        <v>21198</v>
      </c>
      <c r="B3425" s="7" t="s">
        <v>158</v>
      </c>
      <c r="C3425" s="7" t="s">
        <v>16864</v>
      </c>
      <c r="D3425" s="194">
        <v>2019.0</v>
      </c>
      <c r="E3425" s="193"/>
      <c r="F3425" s="195" t="s">
        <v>21199</v>
      </c>
      <c r="G3425" s="196">
        <v>1.5281026E9</v>
      </c>
      <c r="H3425" s="197">
        <v>6.01</v>
      </c>
      <c r="I3425" s="7" t="s">
        <v>17095</v>
      </c>
      <c r="J3425" s="7" t="s">
        <v>158</v>
      </c>
      <c r="K3425" s="7" t="s">
        <v>16864</v>
      </c>
      <c r="L3425" s="198" t="s">
        <v>65</v>
      </c>
      <c r="M3425" s="194"/>
      <c r="N3425" s="194"/>
    </row>
    <row r="3426">
      <c r="A3426" s="193" t="s">
        <v>21198</v>
      </c>
      <c r="B3426" s="7" t="s">
        <v>16864</v>
      </c>
      <c r="C3426" s="7" t="s">
        <v>158</v>
      </c>
      <c r="D3426" s="194">
        <v>2019.0</v>
      </c>
      <c r="E3426" s="193"/>
      <c r="F3426" s="195" t="s">
        <v>21199</v>
      </c>
      <c r="G3426" s="200">
        <v>1.5281026E9</v>
      </c>
      <c r="H3426" s="197">
        <v>6.01</v>
      </c>
      <c r="I3426" s="7" t="s">
        <v>16815</v>
      </c>
      <c r="J3426" s="7" t="s">
        <v>16864</v>
      </c>
      <c r="K3426" s="7" t="s">
        <v>158</v>
      </c>
      <c r="L3426" s="201" t="s">
        <v>16835</v>
      </c>
      <c r="M3426" s="194"/>
      <c r="N3426" s="194"/>
    </row>
    <row r="3427">
      <c r="A3427" s="193" t="s">
        <v>21200</v>
      </c>
      <c r="B3427" s="7" t="s">
        <v>175</v>
      </c>
      <c r="C3427" s="7" t="s">
        <v>17233</v>
      </c>
      <c r="D3427" s="194">
        <v>2020.0</v>
      </c>
      <c r="E3427" s="193"/>
      <c r="F3427" s="195" t="s">
        <v>21201</v>
      </c>
      <c r="G3427" s="196">
        <v>1.526669923E9</v>
      </c>
      <c r="H3427" s="197">
        <v>24.92</v>
      </c>
      <c r="I3427" s="7" t="s">
        <v>17033</v>
      </c>
      <c r="J3427" s="7" t="s">
        <v>175</v>
      </c>
      <c r="K3427" s="7" t="s">
        <v>17233</v>
      </c>
      <c r="L3427" s="198" t="s">
        <v>65</v>
      </c>
      <c r="M3427" s="194"/>
      <c r="N3427" s="194"/>
    </row>
    <row r="3428">
      <c r="A3428" s="193" t="s">
        <v>21200</v>
      </c>
      <c r="B3428" s="7" t="s">
        <v>17233</v>
      </c>
      <c r="C3428" s="7" t="s">
        <v>175</v>
      </c>
      <c r="D3428" s="194">
        <v>2020.0</v>
      </c>
      <c r="E3428" s="193"/>
      <c r="F3428" s="195" t="s">
        <v>21201</v>
      </c>
      <c r="G3428" s="200">
        <v>1.526669923E9</v>
      </c>
      <c r="H3428" s="197">
        <v>24.92</v>
      </c>
      <c r="I3428" s="7" t="s">
        <v>16815</v>
      </c>
      <c r="J3428" s="7" t="s">
        <v>17233</v>
      </c>
      <c r="K3428" s="7" t="s">
        <v>175</v>
      </c>
      <c r="L3428" s="201" t="s">
        <v>16835</v>
      </c>
      <c r="M3428" s="194"/>
      <c r="N3428" s="194"/>
    </row>
    <row r="3429">
      <c r="A3429" s="193" t="s">
        <v>21202</v>
      </c>
      <c r="B3429" s="7" t="s">
        <v>16910</v>
      </c>
      <c r="C3429" s="7" t="s">
        <v>17648</v>
      </c>
      <c r="D3429" s="194">
        <v>1987.0</v>
      </c>
      <c r="E3429" s="193"/>
      <c r="F3429" s="195" t="s">
        <v>21203</v>
      </c>
      <c r="G3429" s="196">
        <v>1.524868505E9</v>
      </c>
      <c r="H3429" s="197">
        <v>80.28</v>
      </c>
      <c r="I3429" s="7" t="s">
        <v>127</v>
      </c>
      <c r="J3429" s="7" t="s">
        <v>16910</v>
      </c>
      <c r="K3429" s="7" t="s">
        <v>17648</v>
      </c>
      <c r="L3429" s="198" t="s">
        <v>65</v>
      </c>
      <c r="M3429" s="194"/>
      <c r="N3429" s="194"/>
    </row>
    <row r="3430">
      <c r="A3430" s="193" t="s">
        <v>21204</v>
      </c>
      <c r="B3430" s="7" t="s">
        <v>169</v>
      </c>
      <c r="C3430" s="7" t="s">
        <v>16899</v>
      </c>
      <c r="D3430" s="199"/>
      <c r="E3430" s="193"/>
      <c r="F3430" s="195" t="s">
        <v>21205</v>
      </c>
      <c r="G3430" s="196">
        <v>1.52321352E9</v>
      </c>
      <c r="H3430" s="197">
        <v>28.03</v>
      </c>
      <c r="I3430" s="7" t="s">
        <v>16815</v>
      </c>
      <c r="J3430" s="7" t="s">
        <v>169</v>
      </c>
      <c r="K3430" s="7" t="s">
        <v>16899</v>
      </c>
      <c r="L3430" s="198" t="s">
        <v>65</v>
      </c>
      <c r="M3430" s="199"/>
      <c r="N3430" s="199"/>
    </row>
    <row r="3431">
      <c r="A3431" s="193" t="s">
        <v>21204</v>
      </c>
      <c r="B3431" s="7" t="s">
        <v>16899</v>
      </c>
      <c r="C3431" s="7" t="s">
        <v>169</v>
      </c>
      <c r="D3431" s="199"/>
      <c r="E3431" s="193"/>
      <c r="F3431" s="195" t="s">
        <v>21205</v>
      </c>
      <c r="G3431" s="200">
        <v>1.52321352E9</v>
      </c>
      <c r="H3431" s="197">
        <v>28.03</v>
      </c>
      <c r="I3431" s="7" t="s">
        <v>16815</v>
      </c>
      <c r="J3431" s="7" t="s">
        <v>16899</v>
      </c>
      <c r="K3431" s="7" t="s">
        <v>169</v>
      </c>
      <c r="L3431" s="201" t="s">
        <v>16835</v>
      </c>
      <c r="M3431" s="199"/>
      <c r="N3431" s="199"/>
    </row>
    <row r="3432">
      <c r="A3432" s="193" t="s">
        <v>21206</v>
      </c>
      <c r="B3432" s="7" t="s">
        <v>17019</v>
      </c>
      <c r="C3432" s="7" t="s">
        <v>16838</v>
      </c>
      <c r="D3432" s="194">
        <v>1992.0</v>
      </c>
      <c r="E3432" s="193"/>
      <c r="F3432" s="195" t="s">
        <v>21207</v>
      </c>
      <c r="G3432" s="200">
        <v>1.521840078E9</v>
      </c>
      <c r="H3432" s="197">
        <v>10.23</v>
      </c>
      <c r="I3432" s="7" t="s">
        <v>16815</v>
      </c>
      <c r="J3432" s="7" t="s">
        <v>17019</v>
      </c>
      <c r="K3432" s="7" t="s">
        <v>16838</v>
      </c>
      <c r="L3432" s="201" t="s">
        <v>16835</v>
      </c>
      <c r="M3432" s="194"/>
      <c r="N3432" s="194"/>
    </row>
    <row r="3433">
      <c r="A3433" s="193" t="s">
        <v>21206</v>
      </c>
      <c r="B3433" s="7" t="s">
        <v>16838</v>
      </c>
      <c r="C3433" s="7" t="s">
        <v>17019</v>
      </c>
      <c r="D3433" s="194">
        <v>1992.0</v>
      </c>
      <c r="E3433" s="193"/>
      <c r="F3433" s="195" t="s">
        <v>21207</v>
      </c>
      <c r="G3433" s="196">
        <v>1.521840078E9</v>
      </c>
      <c r="H3433" s="197">
        <v>10.23</v>
      </c>
      <c r="I3433" s="7" t="s">
        <v>16815</v>
      </c>
      <c r="J3433" s="7" t="s">
        <v>16838</v>
      </c>
      <c r="K3433" s="7" t="s">
        <v>17019</v>
      </c>
      <c r="L3433" s="198" t="s">
        <v>65</v>
      </c>
      <c r="M3433" s="194"/>
      <c r="N3433" s="194"/>
    </row>
    <row r="3434">
      <c r="A3434" s="193" t="s">
        <v>21208</v>
      </c>
      <c r="B3434" s="7" t="s">
        <v>16838</v>
      </c>
      <c r="C3434" s="7" t="s">
        <v>17016</v>
      </c>
      <c r="D3434" s="199"/>
      <c r="E3434" s="193"/>
      <c r="F3434" s="195" t="s">
        <v>21209</v>
      </c>
      <c r="G3434" s="196">
        <v>1.520784671E9</v>
      </c>
      <c r="H3434" s="197">
        <v>19.73</v>
      </c>
      <c r="I3434" s="7" t="s">
        <v>16815</v>
      </c>
      <c r="J3434" s="7" t="s">
        <v>16838</v>
      </c>
      <c r="K3434" s="7" t="s">
        <v>17016</v>
      </c>
      <c r="L3434" s="198" t="s">
        <v>65</v>
      </c>
      <c r="M3434" s="199"/>
      <c r="N3434" s="199"/>
    </row>
    <row r="3435">
      <c r="A3435" s="193" t="s">
        <v>21210</v>
      </c>
      <c r="B3435" s="7" t="s">
        <v>187</v>
      </c>
      <c r="C3435" s="7" t="s">
        <v>16846</v>
      </c>
      <c r="D3435" s="194">
        <v>2010.0</v>
      </c>
      <c r="E3435" s="193"/>
      <c r="F3435" s="195" t="s">
        <v>21211</v>
      </c>
      <c r="G3435" s="196">
        <v>1.519724272E9</v>
      </c>
      <c r="H3435" s="197">
        <v>9.74</v>
      </c>
      <c r="I3435" s="7" t="s">
        <v>16815</v>
      </c>
      <c r="J3435" s="7" t="s">
        <v>187</v>
      </c>
      <c r="K3435" s="7" t="s">
        <v>16846</v>
      </c>
      <c r="L3435" s="198" t="s">
        <v>65</v>
      </c>
      <c r="M3435" s="194"/>
      <c r="N3435" s="194"/>
    </row>
    <row r="3436">
      <c r="A3436" s="193" t="s">
        <v>21212</v>
      </c>
      <c r="B3436" s="7" t="s">
        <v>175</v>
      </c>
      <c r="C3436" s="7" t="s">
        <v>16942</v>
      </c>
      <c r="D3436" s="194">
        <v>2014.0</v>
      </c>
      <c r="E3436" s="193"/>
      <c r="F3436" s="195" t="s">
        <v>21213</v>
      </c>
      <c r="G3436" s="196">
        <v>1.518976216E9</v>
      </c>
      <c r="H3436" s="197">
        <v>35.37</v>
      </c>
      <c r="I3436" s="7" t="s">
        <v>168</v>
      </c>
      <c r="J3436" s="7" t="s">
        <v>175</v>
      </c>
      <c r="K3436" s="7" t="s">
        <v>16942</v>
      </c>
      <c r="L3436" s="198" t="s">
        <v>65</v>
      </c>
      <c r="M3436" s="194"/>
      <c r="N3436" s="194"/>
    </row>
    <row r="3437">
      <c r="A3437" s="193" t="s">
        <v>21214</v>
      </c>
      <c r="B3437" s="7" t="s">
        <v>16582</v>
      </c>
      <c r="C3437" s="7" t="s">
        <v>16817</v>
      </c>
      <c r="D3437" s="194">
        <v>2019.0</v>
      </c>
      <c r="E3437" s="193"/>
      <c r="F3437" s="195" t="s">
        <v>21215</v>
      </c>
      <c r="G3437" s="196">
        <v>1.518409432E9</v>
      </c>
      <c r="H3437" s="197">
        <v>8.19</v>
      </c>
      <c r="I3437" s="7" t="s">
        <v>16815</v>
      </c>
      <c r="J3437" s="7" t="s">
        <v>16582</v>
      </c>
      <c r="K3437" s="7" t="s">
        <v>16817</v>
      </c>
      <c r="L3437" s="198" t="s">
        <v>65</v>
      </c>
      <c r="M3437" s="194"/>
      <c r="N3437" s="194"/>
    </row>
    <row r="3438">
      <c r="A3438" s="193" t="s">
        <v>21216</v>
      </c>
      <c r="B3438" s="7" t="s">
        <v>17112</v>
      </c>
      <c r="C3438" s="7" t="s">
        <v>17111</v>
      </c>
      <c r="D3438" s="199"/>
      <c r="E3438" s="193"/>
      <c r="F3438" s="195" t="s">
        <v>21217</v>
      </c>
      <c r="G3438" s="196">
        <v>1.514541576E9</v>
      </c>
      <c r="H3438" s="197">
        <v>12.02</v>
      </c>
      <c r="I3438" s="7" t="s">
        <v>16815</v>
      </c>
      <c r="J3438" s="7" t="s">
        <v>17112</v>
      </c>
      <c r="K3438" s="7" t="s">
        <v>17111</v>
      </c>
      <c r="L3438" s="198" t="s">
        <v>65</v>
      </c>
      <c r="M3438" s="199"/>
      <c r="N3438" s="199"/>
    </row>
    <row r="3439">
      <c r="A3439" s="193" t="s">
        <v>21218</v>
      </c>
      <c r="B3439" s="7" t="s">
        <v>16838</v>
      </c>
      <c r="C3439" s="7" t="s">
        <v>16867</v>
      </c>
      <c r="D3439" s="194">
        <v>2014.0</v>
      </c>
      <c r="E3439" s="193"/>
      <c r="F3439" s="195" t="s">
        <v>21219</v>
      </c>
      <c r="G3439" s="196">
        <v>1.514194132E9</v>
      </c>
      <c r="H3439" s="197">
        <v>65.01</v>
      </c>
      <c r="I3439" s="7" t="s">
        <v>16815</v>
      </c>
      <c r="J3439" s="7" t="s">
        <v>16838</v>
      </c>
      <c r="K3439" s="7" t="s">
        <v>16867</v>
      </c>
      <c r="L3439" s="198" t="s">
        <v>65</v>
      </c>
      <c r="M3439" s="194"/>
      <c r="N3439" s="194"/>
    </row>
    <row r="3440">
      <c r="A3440" s="193" t="s">
        <v>21220</v>
      </c>
      <c r="B3440" s="7" t="s">
        <v>17019</v>
      </c>
      <c r="C3440" s="7" t="s">
        <v>16838</v>
      </c>
      <c r="D3440" s="199"/>
      <c r="E3440" s="193"/>
      <c r="F3440" s="195" t="s">
        <v>21221</v>
      </c>
      <c r="G3440" s="200">
        <v>1.51291433E9</v>
      </c>
      <c r="H3440" s="197">
        <v>10.17</v>
      </c>
      <c r="I3440" s="7" t="s">
        <v>16815</v>
      </c>
      <c r="J3440" s="7" t="s">
        <v>17019</v>
      </c>
      <c r="K3440" s="7" t="s">
        <v>16838</v>
      </c>
      <c r="L3440" s="201" t="s">
        <v>16835</v>
      </c>
      <c r="M3440" s="199"/>
      <c r="N3440" s="199"/>
    </row>
    <row r="3441">
      <c r="A3441" s="193" t="s">
        <v>21220</v>
      </c>
      <c r="B3441" s="7" t="s">
        <v>16838</v>
      </c>
      <c r="C3441" s="7" t="s">
        <v>17019</v>
      </c>
      <c r="D3441" s="199"/>
      <c r="E3441" s="193"/>
      <c r="F3441" s="195" t="s">
        <v>21221</v>
      </c>
      <c r="G3441" s="196">
        <v>1.51291433E9</v>
      </c>
      <c r="H3441" s="197">
        <v>10.17</v>
      </c>
      <c r="I3441" s="7" t="s">
        <v>16815</v>
      </c>
      <c r="J3441" s="7" t="s">
        <v>16838</v>
      </c>
      <c r="K3441" s="7" t="s">
        <v>17019</v>
      </c>
      <c r="L3441" s="198" t="s">
        <v>65</v>
      </c>
      <c r="M3441" s="199"/>
      <c r="N3441" s="199"/>
    </row>
    <row r="3442">
      <c r="A3442" s="193" t="s">
        <v>21222</v>
      </c>
      <c r="B3442" s="7" t="s">
        <v>16926</v>
      </c>
      <c r="C3442" s="7" t="s">
        <v>16960</v>
      </c>
      <c r="D3442" s="199"/>
      <c r="E3442" s="193"/>
      <c r="F3442" s="195" t="s">
        <v>21223</v>
      </c>
      <c r="G3442" s="196">
        <v>1.512880613E9</v>
      </c>
      <c r="H3442" s="197">
        <v>7.28</v>
      </c>
      <c r="I3442" s="7" t="s">
        <v>16815</v>
      </c>
      <c r="J3442" s="7" t="s">
        <v>16926</v>
      </c>
      <c r="K3442" s="7" t="s">
        <v>16960</v>
      </c>
      <c r="L3442" s="198" t="s">
        <v>65</v>
      </c>
      <c r="M3442" s="199"/>
      <c r="N3442" s="199"/>
    </row>
    <row r="3443">
      <c r="A3443" s="193" t="s">
        <v>21224</v>
      </c>
      <c r="B3443" s="7" t="s">
        <v>175</v>
      </c>
      <c r="C3443" s="7" t="s">
        <v>17084</v>
      </c>
      <c r="D3443" s="194">
        <v>2021.0</v>
      </c>
      <c r="E3443" s="193"/>
      <c r="F3443" s="195" t="s">
        <v>21225</v>
      </c>
      <c r="G3443" s="196">
        <v>1.51224263E9</v>
      </c>
      <c r="H3443" s="197">
        <v>19.57</v>
      </c>
      <c r="I3443" s="7" t="s">
        <v>16856</v>
      </c>
      <c r="J3443" s="7" t="s">
        <v>175</v>
      </c>
      <c r="K3443" s="7" t="s">
        <v>17084</v>
      </c>
      <c r="L3443" s="198" t="s">
        <v>65</v>
      </c>
      <c r="M3443" s="194"/>
      <c r="N3443" s="194"/>
    </row>
    <row r="3444">
      <c r="A3444" s="193" t="s">
        <v>21224</v>
      </c>
      <c r="B3444" s="7" t="s">
        <v>17084</v>
      </c>
      <c r="C3444" s="7" t="s">
        <v>175</v>
      </c>
      <c r="D3444" s="194">
        <v>2021.0</v>
      </c>
      <c r="E3444" s="193"/>
      <c r="F3444" s="195" t="s">
        <v>21225</v>
      </c>
      <c r="G3444" s="200">
        <v>1.51224263E9</v>
      </c>
      <c r="H3444" s="197">
        <v>19.57</v>
      </c>
      <c r="I3444" s="7" t="s">
        <v>16815</v>
      </c>
      <c r="J3444" s="7" t="s">
        <v>17084</v>
      </c>
      <c r="K3444" s="7" t="s">
        <v>175</v>
      </c>
      <c r="L3444" s="201" t="s">
        <v>16835</v>
      </c>
      <c r="M3444" s="194"/>
      <c r="N3444" s="194"/>
    </row>
    <row r="3445">
      <c r="A3445" s="193" t="s">
        <v>21226</v>
      </c>
      <c r="B3445" s="7" t="s">
        <v>16957</v>
      </c>
      <c r="C3445" s="7" t="s">
        <v>16926</v>
      </c>
      <c r="D3445" s="194">
        <v>2020.0</v>
      </c>
      <c r="E3445" s="193"/>
      <c r="F3445" s="195" t="s">
        <v>21227</v>
      </c>
      <c r="G3445" s="200">
        <v>1.50875E9</v>
      </c>
      <c r="H3445" s="197">
        <v>17.75</v>
      </c>
      <c r="I3445" s="7" t="s">
        <v>16815</v>
      </c>
      <c r="J3445" s="7" t="s">
        <v>16957</v>
      </c>
      <c r="K3445" s="7" t="s">
        <v>16926</v>
      </c>
      <c r="L3445" s="201" t="s">
        <v>16835</v>
      </c>
      <c r="M3445" s="194"/>
      <c r="N3445" s="194"/>
    </row>
    <row r="3446">
      <c r="A3446" s="193" t="s">
        <v>21226</v>
      </c>
      <c r="B3446" s="7" t="s">
        <v>16926</v>
      </c>
      <c r="C3446" s="7" t="s">
        <v>16957</v>
      </c>
      <c r="D3446" s="194">
        <v>2020.0</v>
      </c>
      <c r="E3446" s="193"/>
      <c r="F3446" s="195" t="s">
        <v>21227</v>
      </c>
      <c r="G3446" s="196">
        <v>1.50875E9</v>
      </c>
      <c r="H3446" s="197">
        <v>17.75</v>
      </c>
      <c r="I3446" s="7" t="s">
        <v>16815</v>
      </c>
      <c r="J3446" s="7" t="s">
        <v>16926</v>
      </c>
      <c r="K3446" s="7" t="s">
        <v>16957</v>
      </c>
      <c r="L3446" s="198" t="s">
        <v>65</v>
      </c>
      <c r="M3446" s="194"/>
      <c r="N3446" s="194"/>
    </row>
    <row r="3447">
      <c r="A3447" s="193" t="s">
        <v>21228</v>
      </c>
      <c r="B3447" s="7" t="s">
        <v>17127</v>
      </c>
      <c r="C3447" s="7" t="s">
        <v>16838</v>
      </c>
      <c r="D3447" s="194">
        <v>2016.0</v>
      </c>
      <c r="E3447" s="193"/>
      <c r="F3447" s="195" t="s">
        <v>21229</v>
      </c>
      <c r="G3447" s="200">
        <v>1.505014162E9</v>
      </c>
      <c r="H3447" s="197">
        <v>14.9101</v>
      </c>
      <c r="I3447" s="7" t="s">
        <v>16815</v>
      </c>
      <c r="J3447" s="7" t="s">
        <v>17127</v>
      </c>
      <c r="K3447" s="7" t="s">
        <v>16838</v>
      </c>
      <c r="L3447" s="201" t="s">
        <v>16835</v>
      </c>
      <c r="M3447" s="194"/>
      <c r="N3447" s="194"/>
    </row>
    <row r="3448">
      <c r="A3448" s="193" t="s">
        <v>21228</v>
      </c>
      <c r="B3448" s="7" t="s">
        <v>16838</v>
      </c>
      <c r="C3448" s="7" t="s">
        <v>17127</v>
      </c>
      <c r="D3448" s="194">
        <v>2016.0</v>
      </c>
      <c r="E3448" s="193"/>
      <c r="F3448" s="195" t="s">
        <v>21229</v>
      </c>
      <c r="G3448" s="196">
        <v>1.505014162E9</v>
      </c>
      <c r="H3448" s="197">
        <v>14.9101</v>
      </c>
      <c r="I3448" s="7" t="s">
        <v>16815</v>
      </c>
      <c r="J3448" s="7" t="s">
        <v>16838</v>
      </c>
      <c r="K3448" s="7" t="s">
        <v>17127</v>
      </c>
      <c r="L3448" s="198" t="s">
        <v>65</v>
      </c>
      <c r="M3448" s="194"/>
      <c r="N3448" s="194"/>
    </row>
    <row r="3449">
      <c r="A3449" s="193" t="s">
        <v>21230</v>
      </c>
      <c r="B3449" s="7" t="s">
        <v>175</v>
      </c>
      <c r="C3449" s="7" t="s">
        <v>16942</v>
      </c>
      <c r="D3449" s="199"/>
      <c r="E3449" s="193"/>
      <c r="F3449" s="195" t="s">
        <v>21231</v>
      </c>
      <c r="G3449" s="196">
        <v>1.500695347E9</v>
      </c>
      <c r="H3449" s="197">
        <v>33.95</v>
      </c>
      <c r="I3449" s="7" t="s">
        <v>16908</v>
      </c>
      <c r="J3449" s="7" t="s">
        <v>175</v>
      </c>
      <c r="K3449" s="7" t="s">
        <v>16942</v>
      </c>
      <c r="L3449" s="198" t="s">
        <v>65</v>
      </c>
      <c r="M3449" s="199"/>
      <c r="N3449" s="199"/>
    </row>
    <row r="3450">
      <c r="A3450" s="193" t="s">
        <v>21230</v>
      </c>
      <c r="B3450" s="7" t="s">
        <v>16942</v>
      </c>
      <c r="C3450" s="7" t="s">
        <v>175</v>
      </c>
      <c r="D3450" s="199"/>
      <c r="E3450" s="193"/>
      <c r="F3450" s="195" t="s">
        <v>21231</v>
      </c>
      <c r="G3450" s="200">
        <v>1.500695347E9</v>
      </c>
      <c r="H3450" s="197">
        <v>33.95</v>
      </c>
      <c r="I3450" s="7" t="s">
        <v>16815</v>
      </c>
      <c r="J3450" s="7" t="s">
        <v>16942</v>
      </c>
      <c r="K3450" s="7" t="s">
        <v>175</v>
      </c>
      <c r="L3450" s="201" t="s">
        <v>16835</v>
      </c>
      <c r="M3450" s="199"/>
      <c r="N3450" s="199"/>
    </row>
    <row r="3451">
      <c r="A3451" s="193" t="s">
        <v>21232</v>
      </c>
      <c r="B3451" s="7" t="s">
        <v>16582</v>
      </c>
      <c r="C3451" s="7" t="s">
        <v>16930</v>
      </c>
      <c r="D3451" s="194">
        <v>2021.0</v>
      </c>
      <c r="E3451" s="193"/>
      <c r="F3451" s="195" t="s">
        <v>21233</v>
      </c>
      <c r="G3451" s="196">
        <v>1.499836037E9</v>
      </c>
      <c r="H3451" s="197">
        <v>7.95</v>
      </c>
      <c r="I3451" s="7" t="s">
        <v>16815</v>
      </c>
      <c r="J3451" s="7" t="s">
        <v>16582</v>
      </c>
      <c r="K3451" s="7" t="s">
        <v>16930</v>
      </c>
      <c r="L3451" s="198" t="s">
        <v>65</v>
      </c>
      <c r="M3451" s="194"/>
      <c r="N3451" s="194"/>
    </row>
    <row r="3452">
      <c r="A3452" s="193" t="s">
        <v>21234</v>
      </c>
      <c r="B3452" s="7" t="s">
        <v>16926</v>
      </c>
      <c r="C3452" s="7" t="s">
        <v>16960</v>
      </c>
      <c r="D3452" s="199"/>
      <c r="E3452" s="193"/>
      <c r="F3452" s="195" t="s">
        <v>21235</v>
      </c>
      <c r="G3452" s="196">
        <v>1.494177418E9</v>
      </c>
      <c r="H3452" s="197">
        <v>7.19</v>
      </c>
      <c r="I3452" s="7" t="s">
        <v>16815</v>
      </c>
      <c r="J3452" s="7" t="s">
        <v>16926</v>
      </c>
      <c r="K3452" s="7" t="s">
        <v>16960</v>
      </c>
      <c r="L3452" s="198" t="s">
        <v>65</v>
      </c>
      <c r="M3452" s="199"/>
      <c r="N3452" s="199"/>
    </row>
    <row r="3453">
      <c r="A3453" s="193" t="s">
        <v>21236</v>
      </c>
      <c r="D3453" s="199"/>
      <c r="E3453" s="193"/>
      <c r="F3453" s="195" t="s">
        <v>21237</v>
      </c>
      <c r="G3453" s="196">
        <v>1.493704109E9</v>
      </c>
      <c r="H3453" s="197">
        <v>45.65</v>
      </c>
      <c r="I3453" s="7" t="s">
        <v>16815</v>
      </c>
      <c r="L3453" s="198" t="s">
        <v>65</v>
      </c>
      <c r="M3453" s="199"/>
      <c r="N3453" s="199"/>
    </row>
    <row r="3454">
      <c r="A3454" s="193" t="s">
        <v>21238</v>
      </c>
      <c r="D3454" s="194">
        <v>2020.0</v>
      </c>
      <c r="E3454" s="193"/>
      <c r="F3454" s="195" t="s">
        <v>21239</v>
      </c>
      <c r="G3454" s="196">
        <v>1.492082778E9</v>
      </c>
      <c r="H3454" s="197">
        <v>17.81</v>
      </c>
      <c r="I3454" s="7" t="s">
        <v>16815</v>
      </c>
      <c r="L3454" s="198" t="s">
        <v>65</v>
      </c>
      <c r="M3454" s="194"/>
      <c r="N3454" s="194"/>
    </row>
    <row r="3455">
      <c r="A3455" s="193" t="s">
        <v>21238</v>
      </c>
      <c r="D3455" s="194">
        <v>2020.0</v>
      </c>
      <c r="E3455" s="193"/>
      <c r="F3455" s="195" t="s">
        <v>21239</v>
      </c>
      <c r="G3455" s="200">
        <v>1.492082778E9</v>
      </c>
      <c r="H3455" s="197">
        <v>17.81</v>
      </c>
      <c r="I3455" s="193" t="s">
        <v>16815</v>
      </c>
      <c r="L3455" s="201" t="s">
        <v>16835</v>
      </c>
      <c r="M3455" s="194"/>
      <c r="N3455" s="194"/>
    </row>
    <row r="3456">
      <c r="A3456" s="193" t="s">
        <v>21240</v>
      </c>
      <c r="B3456" s="7" t="s">
        <v>16838</v>
      </c>
      <c r="C3456" s="7" t="s">
        <v>16867</v>
      </c>
      <c r="D3456" s="199"/>
      <c r="E3456" s="193"/>
      <c r="F3456" s="195" t="s">
        <v>21241</v>
      </c>
      <c r="G3456" s="196">
        <v>1.488658197E9</v>
      </c>
      <c r="H3456" s="197">
        <v>24.31</v>
      </c>
      <c r="I3456" s="7" t="s">
        <v>16815</v>
      </c>
      <c r="J3456" s="7" t="s">
        <v>16838</v>
      </c>
      <c r="K3456" s="7" t="s">
        <v>16867</v>
      </c>
      <c r="L3456" s="198" t="s">
        <v>65</v>
      </c>
      <c r="M3456" s="199"/>
      <c r="N3456" s="199"/>
    </row>
    <row r="3457">
      <c r="A3457" s="193" t="s">
        <v>21242</v>
      </c>
      <c r="B3457" s="7" t="s">
        <v>16838</v>
      </c>
      <c r="C3457" s="7" t="s">
        <v>16867</v>
      </c>
      <c r="D3457" s="199"/>
      <c r="E3457" s="193"/>
      <c r="F3457" s="195" t="s">
        <v>21243</v>
      </c>
      <c r="G3457" s="196">
        <v>1.485987773E9</v>
      </c>
      <c r="H3457" s="197">
        <v>25.03</v>
      </c>
      <c r="I3457" s="7" t="s">
        <v>16815</v>
      </c>
      <c r="J3457" s="7" t="s">
        <v>16838</v>
      </c>
      <c r="K3457" s="7" t="s">
        <v>16867</v>
      </c>
      <c r="L3457" s="198" t="s">
        <v>65</v>
      </c>
      <c r="M3457" s="199"/>
      <c r="N3457" s="199"/>
    </row>
    <row r="3458">
      <c r="A3458" s="193" t="s">
        <v>21244</v>
      </c>
      <c r="B3458" s="7" t="s">
        <v>16838</v>
      </c>
      <c r="C3458" s="7" t="s">
        <v>16867</v>
      </c>
      <c r="D3458" s="194">
        <v>2013.0</v>
      </c>
      <c r="E3458" s="193"/>
      <c r="F3458" s="195" t="s">
        <v>21245</v>
      </c>
      <c r="G3458" s="196">
        <v>1.484955913E9</v>
      </c>
      <c r="H3458" s="197">
        <v>35.97</v>
      </c>
      <c r="I3458" s="7" t="s">
        <v>16815</v>
      </c>
      <c r="J3458" s="7" t="s">
        <v>16838</v>
      </c>
      <c r="K3458" s="7" t="s">
        <v>16867</v>
      </c>
      <c r="L3458" s="198" t="s">
        <v>65</v>
      </c>
      <c r="M3458" s="194"/>
      <c r="N3458" s="194"/>
    </row>
    <row r="3459">
      <c r="A3459" s="193" t="s">
        <v>21246</v>
      </c>
      <c r="B3459" s="7" t="s">
        <v>158</v>
      </c>
      <c r="C3459" s="7" t="s">
        <v>16864</v>
      </c>
      <c r="D3459" s="194">
        <v>2017.0</v>
      </c>
      <c r="E3459" s="193"/>
      <c r="F3459" s="195" t="s">
        <v>21247</v>
      </c>
      <c r="G3459" s="196">
        <v>1.48392946E9</v>
      </c>
      <c r="H3459" s="197">
        <v>15.67</v>
      </c>
      <c r="I3459" s="7" t="s">
        <v>17098</v>
      </c>
      <c r="J3459" s="7" t="s">
        <v>158</v>
      </c>
      <c r="K3459" s="7" t="s">
        <v>16864</v>
      </c>
      <c r="L3459" s="198" t="s">
        <v>65</v>
      </c>
      <c r="M3459" s="194"/>
      <c r="N3459" s="194"/>
    </row>
    <row r="3460">
      <c r="A3460" s="193" t="s">
        <v>21246</v>
      </c>
      <c r="B3460" s="7" t="s">
        <v>16864</v>
      </c>
      <c r="C3460" s="7" t="s">
        <v>158</v>
      </c>
      <c r="D3460" s="194">
        <v>2017.0</v>
      </c>
      <c r="E3460" s="193"/>
      <c r="F3460" s="195" t="s">
        <v>21247</v>
      </c>
      <c r="G3460" s="200">
        <v>1.48392946E9</v>
      </c>
      <c r="H3460" s="197">
        <v>15.67</v>
      </c>
      <c r="I3460" s="7" t="s">
        <v>16815</v>
      </c>
      <c r="J3460" s="7" t="s">
        <v>16864</v>
      </c>
      <c r="K3460" s="7" t="s">
        <v>158</v>
      </c>
      <c r="L3460" s="201" t="s">
        <v>16835</v>
      </c>
      <c r="M3460" s="194"/>
      <c r="N3460" s="194"/>
    </row>
    <row r="3461">
      <c r="A3461" s="193" t="s">
        <v>21248</v>
      </c>
      <c r="B3461" s="7" t="s">
        <v>169</v>
      </c>
      <c r="C3461" s="7" t="s">
        <v>17339</v>
      </c>
      <c r="D3461" s="199"/>
      <c r="E3461" s="193"/>
      <c r="F3461" s="195" t="s">
        <v>21249</v>
      </c>
      <c r="G3461" s="196">
        <v>1.482160118E9</v>
      </c>
      <c r="H3461" s="197">
        <v>31.2</v>
      </c>
      <c r="I3461" s="7" t="s">
        <v>16815</v>
      </c>
      <c r="J3461" s="7" t="s">
        <v>169</v>
      </c>
      <c r="K3461" s="7" t="s">
        <v>17339</v>
      </c>
      <c r="L3461" s="198" t="s">
        <v>65</v>
      </c>
      <c r="M3461" s="199"/>
      <c r="N3461" s="199"/>
    </row>
    <row r="3462">
      <c r="A3462" s="193" t="s">
        <v>21250</v>
      </c>
      <c r="B3462" s="7" t="s">
        <v>175</v>
      </c>
      <c r="C3462" s="7" t="s">
        <v>17233</v>
      </c>
      <c r="D3462" s="199"/>
      <c r="E3462" s="193"/>
      <c r="F3462" s="195" t="s">
        <v>21251</v>
      </c>
      <c r="G3462" s="196">
        <v>1.4816211E9</v>
      </c>
      <c r="H3462" s="197">
        <v>7.39</v>
      </c>
      <c r="I3462" s="193" t="s">
        <v>16908</v>
      </c>
      <c r="J3462" s="7" t="s">
        <v>175</v>
      </c>
      <c r="K3462" s="7" t="s">
        <v>17233</v>
      </c>
      <c r="L3462" s="198" t="s">
        <v>65</v>
      </c>
      <c r="M3462" s="199"/>
      <c r="N3462" s="199"/>
    </row>
    <row r="3463">
      <c r="A3463" s="193" t="s">
        <v>21252</v>
      </c>
      <c r="B3463" s="7" t="s">
        <v>16582</v>
      </c>
      <c r="C3463" s="7" t="s">
        <v>16930</v>
      </c>
      <c r="D3463" s="194">
        <v>1996.0</v>
      </c>
      <c r="E3463" s="193"/>
      <c r="F3463" s="195" t="s">
        <v>21253</v>
      </c>
      <c r="G3463" s="196">
        <v>1.479401295E9</v>
      </c>
      <c r="H3463" s="197">
        <v>49.86</v>
      </c>
      <c r="I3463" s="7" t="s">
        <v>16815</v>
      </c>
      <c r="J3463" s="7" t="s">
        <v>16582</v>
      </c>
      <c r="K3463" s="7" t="s">
        <v>16930</v>
      </c>
      <c r="L3463" s="198" t="s">
        <v>65</v>
      </c>
      <c r="M3463" s="194"/>
      <c r="N3463" s="194"/>
    </row>
    <row r="3464">
      <c r="A3464" s="193" t="s">
        <v>21254</v>
      </c>
      <c r="B3464" s="7" t="s">
        <v>17111</v>
      </c>
      <c r="C3464" s="7" t="s">
        <v>17112</v>
      </c>
      <c r="D3464" s="194">
        <v>2021.0</v>
      </c>
      <c r="E3464" s="193"/>
      <c r="F3464" s="195" t="s">
        <v>21255</v>
      </c>
      <c r="G3464" s="200">
        <v>1.477460549E9</v>
      </c>
      <c r="H3464" s="197">
        <v>10.65</v>
      </c>
      <c r="I3464" s="7" t="s">
        <v>16815</v>
      </c>
      <c r="J3464" s="7" t="s">
        <v>17111</v>
      </c>
      <c r="K3464" s="7" t="s">
        <v>17112</v>
      </c>
      <c r="L3464" s="201" t="s">
        <v>16835</v>
      </c>
      <c r="M3464" s="194"/>
      <c r="N3464" s="194"/>
    </row>
    <row r="3465">
      <c r="A3465" s="193" t="s">
        <v>21254</v>
      </c>
      <c r="B3465" s="7" t="s">
        <v>17112</v>
      </c>
      <c r="C3465" s="7" t="s">
        <v>17111</v>
      </c>
      <c r="D3465" s="194">
        <v>2021.0</v>
      </c>
      <c r="E3465" s="193"/>
      <c r="F3465" s="195" t="s">
        <v>21255</v>
      </c>
      <c r="G3465" s="196">
        <v>1.477460549E9</v>
      </c>
      <c r="H3465" s="197">
        <v>10.65</v>
      </c>
      <c r="I3465" s="7" t="s">
        <v>16815</v>
      </c>
      <c r="J3465" s="7" t="s">
        <v>17112</v>
      </c>
      <c r="K3465" s="7" t="s">
        <v>17111</v>
      </c>
      <c r="L3465" s="198" t="s">
        <v>65</v>
      </c>
      <c r="M3465" s="194"/>
      <c r="N3465" s="194"/>
    </row>
    <row r="3466">
      <c r="A3466" s="193" t="s">
        <v>21256</v>
      </c>
      <c r="B3466" s="7" t="s">
        <v>16867</v>
      </c>
      <c r="C3466" s="7" t="s">
        <v>16838</v>
      </c>
      <c r="D3466" s="199"/>
      <c r="E3466" s="193"/>
      <c r="F3466" s="195" t="s">
        <v>21257</v>
      </c>
      <c r="G3466" s="200">
        <v>1.476203374E9</v>
      </c>
      <c r="H3466" s="197">
        <v>31.37</v>
      </c>
      <c r="I3466" s="7" t="s">
        <v>16815</v>
      </c>
      <c r="J3466" s="7" t="s">
        <v>16867</v>
      </c>
      <c r="K3466" s="7" t="s">
        <v>16838</v>
      </c>
      <c r="L3466" s="201" t="s">
        <v>16835</v>
      </c>
      <c r="M3466" s="199"/>
      <c r="N3466" s="199"/>
    </row>
    <row r="3467">
      <c r="A3467" s="193" t="s">
        <v>21256</v>
      </c>
      <c r="B3467" s="7" t="s">
        <v>16838</v>
      </c>
      <c r="C3467" s="7" t="s">
        <v>16867</v>
      </c>
      <c r="D3467" s="199"/>
      <c r="E3467" s="193"/>
      <c r="F3467" s="195" t="s">
        <v>21257</v>
      </c>
      <c r="G3467" s="196">
        <v>1.476203374E9</v>
      </c>
      <c r="H3467" s="197">
        <v>31.37</v>
      </c>
      <c r="I3467" s="7" t="s">
        <v>16815</v>
      </c>
      <c r="J3467" s="7" t="s">
        <v>16838</v>
      </c>
      <c r="K3467" s="7" t="s">
        <v>16867</v>
      </c>
      <c r="L3467" s="198" t="s">
        <v>65</v>
      </c>
      <c r="M3467" s="199"/>
      <c r="N3467" s="199"/>
    </row>
    <row r="3468">
      <c r="A3468" s="193" t="s">
        <v>21258</v>
      </c>
      <c r="B3468" s="7" t="s">
        <v>17019</v>
      </c>
      <c r="C3468" s="7" t="s">
        <v>16838</v>
      </c>
      <c r="D3468" s="194">
        <v>1998.0</v>
      </c>
      <c r="E3468" s="193"/>
      <c r="F3468" s="195" t="s">
        <v>21259</v>
      </c>
      <c r="G3468" s="200">
        <v>1.475723712E9</v>
      </c>
      <c r="H3468" s="197">
        <v>9.92</v>
      </c>
      <c r="I3468" s="7" t="s">
        <v>16815</v>
      </c>
      <c r="J3468" s="7" t="s">
        <v>17019</v>
      </c>
      <c r="K3468" s="7" t="s">
        <v>16838</v>
      </c>
      <c r="L3468" s="201" t="s">
        <v>16835</v>
      </c>
      <c r="M3468" s="194"/>
      <c r="N3468" s="194"/>
    </row>
    <row r="3469">
      <c r="A3469" s="193" t="s">
        <v>21258</v>
      </c>
      <c r="B3469" s="7" t="s">
        <v>16838</v>
      </c>
      <c r="C3469" s="7" t="s">
        <v>17019</v>
      </c>
      <c r="D3469" s="194">
        <v>1998.0</v>
      </c>
      <c r="E3469" s="193"/>
      <c r="F3469" s="195" t="s">
        <v>21260</v>
      </c>
      <c r="G3469" s="196">
        <v>1.475723712E9</v>
      </c>
      <c r="H3469" s="197">
        <v>9.92</v>
      </c>
      <c r="I3469" s="7" t="s">
        <v>16815</v>
      </c>
      <c r="J3469" s="7" t="s">
        <v>16838</v>
      </c>
      <c r="K3469" s="7" t="s">
        <v>17019</v>
      </c>
      <c r="L3469" s="198" t="s">
        <v>65</v>
      </c>
      <c r="M3469" s="194"/>
      <c r="N3469" s="194"/>
    </row>
    <row r="3470">
      <c r="A3470" s="193" t="s">
        <v>21261</v>
      </c>
      <c r="B3470" s="7" t="s">
        <v>16838</v>
      </c>
      <c r="C3470" s="7" t="s">
        <v>17127</v>
      </c>
      <c r="D3470" s="194">
        <v>2019.0</v>
      </c>
      <c r="E3470" s="193"/>
      <c r="F3470" s="195" t="s">
        <v>21262</v>
      </c>
      <c r="G3470" s="196">
        <v>1.47398548E9</v>
      </c>
      <c r="H3470" s="197">
        <v>59.6</v>
      </c>
      <c r="I3470" s="7" t="s">
        <v>16815</v>
      </c>
      <c r="J3470" s="7" t="s">
        <v>16838</v>
      </c>
      <c r="K3470" s="7" t="s">
        <v>17127</v>
      </c>
      <c r="L3470" s="198" t="s">
        <v>65</v>
      </c>
      <c r="M3470" s="194"/>
      <c r="N3470" s="194"/>
    </row>
    <row r="3471">
      <c r="A3471" s="193" t="s">
        <v>21263</v>
      </c>
      <c r="B3471" s="7" t="s">
        <v>17112</v>
      </c>
      <c r="C3471" s="7" t="s">
        <v>16838</v>
      </c>
      <c r="D3471" s="194">
        <v>2017.0</v>
      </c>
      <c r="E3471" s="193"/>
      <c r="F3471" s="195" t="s">
        <v>21264</v>
      </c>
      <c r="G3471" s="200">
        <v>1.472159534E9</v>
      </c>
      <c r="H3471" s="197">
        <v>29.5</v>
      </c>
      <c r="I3471" s="7" t="s">
        <v>16815</v>
      </c>
      <c r="J3471" s="7" t="s">
        <v>17112</v>
      </c>
      <c r="K3471" s="7" t="s">
        <v>16838</v>
      </c>
      <c r="L3471" s="201" t="s">
        <v>16835</v>
      </c>
      <c r="M3471" s="194"/>
      <c r="N3471" s="194"/>
    </row>
    <row r="3472">
      <c r="A3472" s="193" t="s">
        <v>21263</v>
      </c>
      <c r="B3472" s="7" t="s">
        <v>16838</v>
      </c>
      <c r="C3472" s="7" t="s">
        <v>17112</v>
      </c>
      <c r="D3472" s="194">
        <v>2017.0</v>
      </c>
      <c r="E3472" s="193"/>
      <c r="F3472" s="195" t="s">
        <v>21264</v>
      </c>
      <c r="G3472" s="196">
        <v>1.472159534E9</v>
      </c>
      <c r="H3472" s="197">
        <v>29.5</v>
      </c>
      <c r="I3472" s="7" t="s">
        <v>16815</v>
      </c>
      <c r="J3472" s="7" t="s">
        <v>16838</v>
      </c>
      <c r="K3472" s="7" t="s">
        <v>17112</v>
      </c>
      <c r="L3472" s="198" t="s">
        <v>65</v>
      </c>
      <c r="M3472" s="194"/>
      <c r="N3472" s="194"/>
    </row>
    <row r="3473">
      <c r="A3473" s="193" t="s">
        <v>21265</v>
      </c>
      <c r="B3473" s="7" t="s">
        <v>169</v>
      </c>
      <c r="C3473" s="7" t="s">
        <v>17043</v>
      </c>
      <c r="D3473" s="194">
        <v>1986.0</v>
      </c>
      <c r="E3473" s="193"/>
      <c r="F3473" s="195" t="s">
        <v>21266</v>
      </c>
      <c r="G3473" s="196">
        <v>1.471692321E9</v>
      </c>
      <c r="H3473" s="197">
        <v>18.1</v>
      </c>
      <c r="I3473" s="7" t="s">
        <v>16815</v>
      </c>
      <c r="J3473" s="7" t="s">
        <v>169</v>
      </c>
      <c r="K3473" s="7" t="s">
        <v>17043</v>
      </c>
      <c r="L3473" s="198" t="s">
        <v>65</v>
      </c>
      <c r="M3473" s="194"/>
      <c r="N3473" s="194"/>
    </row>
    <row r="3474">
      <c r="A3474" s="193" t="s">
        <v>21267</v>
      </c>
      <c r="B3474" s="7" t="s">
        <v>169</v>
      </c>
      <c r="C3474" s="7" t="s">
        <v>19139</v>
      </c>
      <c r="D3474" s="194">
        <v>2021.0</v>
      </c>
      <c r="E3474" s="193"/>
      <c r="F3474" s="195" t="s">
        <v>21268</v>
      </c>
      <c r="G3474" s="196">
        <v>1.471220748E9</v>
      </c>
      <c r="H3474" s="197">
        <v>10.02</v>
      </c>
      <c r="I3474" s="7" t="s">
        <v>16815</v>
      </c>
      <c r="J3474" s="7" t="s">
        <v>169</v>
      </c>
      <c r="K3474" s="7" t="s">
        <v>19139</v>
      </c>
      <c r="L3474" s="198" t="s">
        <v>65</v>
      </c>
      <c r="M3474" s="194"/>
      <c r="N3474" s="194"/>
    </row>
    <row r="3475">
      <c r="A3475" s="193" t="s">
        <v>21267</v>
      </c>
      <c r="B3475" s="7" t="s">
        <v>19139</v>
      </c>
      <c r="C3475" s="7" t="s">
        <v>169</v>
      </c>
      <c r="D3475" s="194">
        <v>2021.0</v>
      </c>
      <c r="E3475" s="193"/>
      <c r="F3475" s="195" t="s">
        <v>21268</v>
      </c>
      <c r="G3475" s="200">
        <v>1.471220748E9</v>
      </c>
      <c r="H3475" s="197">
        <v>10.02</v>
      </c>
      <c r="I3475" s="7" t="s">
        <v>16815</v>
      </c>
      <c r="J3475" s="7" t="s">
        <v>19139</v>
      </c>
      <c r="K3475" s="7" t="s">
        <v>169</v>
      </c>
      <c r="L3475" s="201" t="s">
        <v>16835</v>
      </c>
      <c r="M3475" s="194"/>
      <c r="N3475" s="194"/>
    </row>
    <row r="3476">
      <c r="A3476" s="193" t="s">
        <v>21269</v>
      </c>
      <c r="B3476" s="7" t="s">
        <v>17112</v>
      </c>
      <c r="C3476" s="7" t="s">
        <v>17111</v>
      </c>
      <c r="D3476" s="199"/>
      <c r="E3476" s="193"/>
      <c r="F3476" s="195" t="s">
        <v>21270</v>
      </c>
      <c r="G3476" s="196">
        <v>1.470881958E9</v>
      </c>
      <c r="H3476" s="197">
        <v>16.22</v>
      </c>
      <c r="I3476" s="7" t="s">
        <v>16815</v>
      </c>
      <c r="J3476" s="7" t="s">
        <v>17112</v>
      </c>
      <c r="K3476" s="7" t="s">
        <v>17111</v>
      </c>
      <c r="L3476" s="198" t="s">
        <v>65</v>
      </c>
      <c r="M3476" s="199"/>
      <c r="N3476" s="199"/>
    </row>
    <row r="3477">
      <c r="A3477" s="193" t="s">
        <v>21271</v>
      </c>
      <c r="B3477" s="7" t="s">
        <v>175</v>
      </c>
      <c r="C3477" s="7" t="s">
        <v>17233</v>
      </c>
      <c r="D3477" s="194">
        <v>2014.0</v>
      </c>
      <c r="E3477" s="193"/>
      <c r="F3477" s="195" t="s">
        <v>21272</v>
      </c>
      <c r="G3477" s="196">
        <v>1.469599611E9</v>
      </c>
      <c r="H3477" s="197">
        <v>36.19</v>
      </c>
      <c r="I3477" s="7" t="s">
        <v>168</v>
      </c>
      <c r="J3477" s="7" t="s">
        <v>175</v>
      </c>
      <c r="K3477" s="7" t="s">
        <v>17233</v>
      </c>
      <c r="L3477" s="198" t="s">
        <v>65</v>
      </c>
      <c r="M3477" s="194"/>
      <c r="N3477" s="194"/>
    </row>
    <row r="3478">
      <c r="A3478" s="193" t="s">
        <v>21271</v>
      </c>
      <c r="B3478" s="7" t="s">
        <v>17233</v>
      </c>
      <c r="C3478" s="7" t="s">
        <v>175</v>
      </c>
      <c r="D3478" s="194">
        <v>2014.0</v>
      </c>
      <c r="E3478" s="193"/>
      <c r="F3478" s="195" t="s">
        <v>21272</v>
      </c>
      <c r="G3478" s="200">
        <v>1.469599611E9</v>
      </c>
      <c r="H3478" s="197">
        <v>36.19</v>
      </c>
      <c r="I3478" s="7" t="s">
        <v>16815</v>
      </c>
      <c r="J3478" s="7" t="s">
        <v>17233</v>
      </c>
      <c r="K3478" s="7" t="s">
        <v>175</v>
      </c>
      <c r="L3478" s="201" t="s">
        <v>16835</v>
      </c>
      <c r="M3478" s="194"/>
      <c r="N3478" s="194"/>
    </row>
    <row r="3479">
      <c r="A3479" s="193" t="s">
        <v>21273</v>
      </c>
      <c r="B3479" s="7" t="s">
        <v>17111</v>
      </c>
      <c r="C3479" s="7" t="s">
        <v>17112</v>
      </c>
      <c r="D3479" s="194">
        <v>2009.0</v>
      </c>
      <c r="E3479" s="193"/>
      <c r="F3479" s="195" t="s">
        <v>21274</v>
      </c>
      <c r="G3479" s="200">
        <v>1.468715906E9</v>
      </c>
      <c r="H3479" s="197">
        <v>10.39</v>
      </c>
      <c r="I3479" s="7" t="s">
        <v>16815</v>
      </c>
      <c r="J3479" s="7" t="s">
        <v>17111</v>
      </c>
      <c r="K3479" s="7" t="s">
        <v>17112</v>
      </c>
      <c r="L3479" s="201" t="s">
        <v>16835</v>
      </c>
      <c r="M3479" s="194"/>
      <c r="N3479" s="194"/>
    </row>
    <row r="3480">
      <c r="A3480" s="193" t="s">
        <v>21273</v>
      </c>
      <c r="B3480" s="7" t="s">
        <v>17112</v>
      </c>
      <c r="C3480" s="7" t="s">
        <v>17111</v>
      </c>
      <c r="D3480" s="194">
        <v>2009.0</v>
      </c>
      <c r="E3480" s="193"/>
      <c r="F3480" s="195" t="s">
        <v>21274</v>
      </c>
      <c r="G3480" s="196">
        <v>1.468715906E9</v>
      </c>
      <c r="H3480" s="197">
        <v>10.39</v>
      </c>
      <c r="I3480" s="7" t="s">
        <v>16815</v>
      </c>
      <c r="J3480" s="7" t="s">
        <v>17112</v>
      </c>
      <c r="K3480" s="7" t="s">
        <v>17111</v>
      </c>
      <c r="L3480" s="198" t="s">
        <v>65</v>
      </c>
      <c r="M3480" s="194"/>
      <c r="N3480" s="194"/>
    </row>
    <row r="3481">
      <c r="A3481" s="193" t="s">
        <v>21275</v>
      </c>
      <c r="D3481" s="194">
        <v>2019.0</v>
      </c>
      <c r="E3481" s="193"/>
      <c r="F3481" s="195" t="s">
        <v>21276</v>
      </c>
      <c r="G3481" s="196">
        <v>1.465947715E9</v>
      </c>
      <c r="H3481" s="197">
        <v>31.45</v>
      </c>
      <c r="I3481" s="7" t="s">
        <v>16815</v>
      </c>
      <c r="L3481" s="198" t="s">
        <v>65</v>
      </c>
      <c r="M3481" s="194"/>
      <c r="N3481" s="194"/>
    </row>
    <row r="3482">
      <c r="A3482" s="193" t="s">
        <v>21277</v>
      </c>
      <c r="B3482" s="7" t="s">
        <v>175</v>
      </c>
      <c r="C3482" s="7" t="s">
        <v>17218</v>
      </c>
      <c r="D3482" s="194">
        <v>2013.0</v>
      </c>
      <c r="E3482" s="193"/>
      <c r="F3482" s="195" t="s">
        <v>21278</v>
      </c>
      <c r="G3482" s="196">
        <v>1.465446432E9</v>
      </c>
      <c r="H3482" s="197">
        <v>92.19</v>
      </c>
      <c r="I3482" s="7" t="s">
        <v>168</v>
      </c>
      <c r="J3482" s="7" t="s">
        <v>175</v>
      </c>
      <c r="K3482" s="7" t="s">
        <v>17218</v>
      </c>
      <c r="L3482" s="198" t="s">
        <v>65</v>
      </c>
      <c r="M3482" s="194"/>
      <c r="N3482" s="194"/>
    </row>
    <row r="3483">
      <c r="A3483" s="193" t="s">
        <v>21279</v>
      </c>
      <c r="B3483" s="7" t="s">
        <v>16838</v>
      </c>
      <c r="C3483" s="7" t="s">
        <v>16867</v>
      </c>
      <c r="D3483" s="199"/>
      <c r="E3483" s="193"/>
      <c r="F3483" s="195" t="s">
        <v>21280</v>
      </c>
      <c r="G3483" s="196">
        <v>1.465443939E9</v>
      </c>
      <c r="H3483" s="197">
        <v>34.27</v>
      </c>
      <c r="I3483" s="7" t="s">
        <v>16815</v>
      </c>
      <c r="J3483" s="7" t="s">
        <v>16838</v>
      </c>
      <c r="K3483" s="7" t="s">
        <v>16867</v>
      </c>
      <c r="L3483" s="198" t="s">
        <v>65</v>
      </c>
      <c r="M3483" s="199"/>
      <c r="N3483" s="199"/>
    </row>
    <row r="3484">
      <c r="A3484" s="193" t="s">
        <v>21281</v>
      </c>
      <c r="B3484" s="7" t="s">
        <v>17112</v>
      </c>
      <c r="C3484" s="7" t="s">
        <v>16838</v>
      </c>
      <c r="D3484" s="199"/>
      <c r="E3484" s="193"/>
      <c r="F3484" s="195" t="s">
        <v>21282</v>
      </c>
      <c r="G3484" s="200">
        <v>1.464582049E9</v>
      </c>
      <c r="H3484" s="197">
        <v>27.79</v>
      </c>
      <c r="I3484" s="7" t="s">
        <v>16815</v>
      </c>
      <c r="J3484" s="7" t="s">
        <v>17112</v>
      </c>
      <c r="K3484" s="7" t="s">
        <v>16838</v>
      </c>
      <c r="L3484" s="201" t="s">
        <v>16835</v>
      </c>
      <c r="M3484" s="199"/>
      <c r="N3484" s="199"/>
    </row>
    <row r="3485">
      <c r="A3485" s="193" t="s">
        <v>21281</v>
      </c>
      <c r="B3485" s="7" t="s">
        <v>16838</v>
      </c>
      <c r="C3485" s="7" t="s">
        <v>17112</v>
      </c>
      <c r="D3485" s="199"/>
      <c r="E3485" s="193"/>
      <c r="F3485" s="195" t="s">
        <v>21282</v>
      </c>
      <c r="G3485" s="196">
        <v>1.464582049E9</v>
      </c>
      <c r="H3485" s="197">
        <v>27.79</v>
      </c>
      <c r="I3485" s="7" t="s">
        <v>16815</v>
      </c>
      <c r="J3485" s="7" t="s">
        <v>16838</v>
      </c>
      <c r="K3485" s="7" t="s">
        <v>17112</v>
      </c>
      <c r="L3485" s="198" t="s">
        <v>65</v>
      </c>
      <c r="M3485" s="199"/>
      <c r="N3485" s="199"/>
    </row>
    <row r="3486">
      <c r="A3486" s="193" t="s">
        <v>21283</v>
      </c>
      <c r="B3486" s="7" t="s">
        <v>16582</v>
      </c>
      <c r="C3486" s="7" t="s">
        <v>16817</v>
      </c>
      <c r="D3486" s="194">
        <v>2021.0</v>
      </c>
      <c r="E3486" s="193"/>
      <c r="F3486" s="195" t="s">
        <v>21284</v>
      </c>
      <c r="G3486" s="196">
        <v>1.464410693E9</v>
      </c>
      <c r="H3486" s="197">
        <v>18.54</v>
      </c>
      <c r="I3486" s="7" t="s">
        <v>16815</v>
      </c>
      <c r="J3486" s="7" t="s">
        <v>16582</v>
      </c>
      <c r="K3486" s="7" t="s">
        <v>16817</v>
      </c>
      <c r="L3486" s="198" t="s">
        <v>65</v>
      </c>
      <c r="M3486" s="194"/>
      <c r="N3486" s="194"/>
    </row>
    <row r="3487">
      <c r="A3487" s="193" t="s">
        <v>21283</v>
      </c>
      <c r="B3487" s="7" t="s">
        <v>16817</v>
      </c>
      <c r="C3487" s="7" t="s">
        <v>16582</v>
      </c>
      <c r="D3487" s="194">
        <v>2021.0</v>
      </c>
      <c r="E3487" s="193"/>
      <c r="F3487" s="195" t="s">
        <v>21284</v>
      </c>
      <c r="G3487" s="200">
        <v>1.464410693E9</v>
      </c>
      <c r="H3487" s="197">
        <v>18.54</v>
      </c>
      <c r="I3487" s="7" t="s">
        <v>16815</v>
      </c>
      <c r="J3487" s="7" t="s">
        <v>16817</v>
      </c>
      <c r="K3487" s="7" t="s">
        <v>16582</v>
      </c>
      <c r="L3487" s="201" t="s">
        <v>16835</v>
      </c>
      <c r="M3487" s="194"/>
      <c r="N3487" s="194"/>
    </row>
    <row r="3488">
      <c r="A3488" s="193" t="s">
        <v>21285</v>
      </c>
      <c r="B3488" s="7" t="s">
        <v>158</v>
      </c>
      <c r="C3488" s="7" t="s">
        <v>17171</v>
      </c>
      <c r="D3488" s="199"/>
      <c r="E3488" s="193"/>
      <c r="F3488" s="195" t="s">
        <v>21286</v>
      </c>
      <c r="G3488" s="196">
        <v>1.461898921E9</v>
      </c>
      <c r="H3488" s="197">
        <v>9.7</v>
      </c>
      <c r="I3488" s="7" t="s">
        <v>17419</v>
      </c>
      <c r="J3488" s="7" t="s">
        <v>158</v>
      </c>
      <c r="K3488" s="7" t="s">
        <v>17171</v>
      </c>
      <c r="L3488" s="198" t="s">
        <v>65</v>
      </c>
      <c r="M3488" s="199"/>
      <c r="N3488" s="199"/>
    </row>
    <row r="3489">
      <c r="A3489" s="193" t="s">
        <v>21285</v>
      </c>
      <c r="B3489" s="7" t="s">
        <v>17171</v>
      </c>
      <c r="C3489" s="7" t="s">
        <v>158</v>
      </c>
      <c r="D3489" s="199"/>
      <c r="E3489" s="193"/>
      <c r="F3489" s="195" t="s">
        <v>21286</v>
      </c>
      <c r="G3489" s="200">
        <v>1.461898921E9</v>
      </c>
      <c r="H3489" s="197">
        <v>9.7</v>
      </c>
      <c r="I3489" s="7" t="s">
        <v>16815</v>
      </c>
      <c r="J3489" s="7" t="s">
        <v>17171</v>
      </c>
      <c r="K3489" s="7" t="s">
        <v>158</v>
      </c>
      <c r="L3489" s="201" t="s">
        <v>16835</v>
      </c>
      <c r="M3489" s="199"/>
      <c r="N3489" s="199"/>
    </row>
    <row r="3490">
      <c r="A3490" s="193" t="s">
        <v>21287</v>
      </c>
      <c r="B3490" s="7" t="s">
        <v>175</v>
      </c>
      <c r="C3490" s="7" t="s">
        <v>16942</v>
      </c>
      <c r="D3490" s="194">
        <v>1981.0</v>
      </c>
      <c r="E3490" s="193"/>
      <c r="F3490" s="195" t="s">
        <v>21288</v>
      </c>
      <c r="G3490" s="196">
        <v>1.46174116E9</v>
      </c>
      <c r="H3490" s="197">
        <v>65.97</v>
      </c>
      <c r="I3490" s="7" t="s">
        <v>16908</v>
      </c>
      <c r="J3490" s="7" t="s">
        <v>175</v>
      </c>
      <c r="K3490" s="7" t="s">
        <v>16942</v>
      </c>
      <c r="L3490" s="198" t="s">
        <v>65</v>
      </c>
      <c r="M3490" s="194"/>
      <c r="N3490" s="194"/>
    </row>
    <row r="3491">
      <c r="A3491" s="193" t="s">
        <v>21289</v>
      </c>
      <c r="B3491" s="7" t="s">
        <v>187</v>
      </c>
      <c r="C3491" s="7" t="s">
        <v>16846</v>
      </c>
      <c r="D3491" s="194">
        <v>2012.0</v>
      </c>
      <c r="E3491" s="193"/>
      <c r="F3491" s="195" t="s">
        <v>21290</v>
      </c>
      <c r="G3491" s="196">
        <v>1.455965373E9</v>
      </c>
      <c r="H3491" s="197">
        <v>26.65</v>
      </c>
      <c r="I3491" s="7" t="s">
        <v>16815</v>
      </c>
      <c r="J3491" s="7" t="s">
        <v>187</v>
      </c>
      <c r="K3491" s="7" t="s">
        <v>16846</v>
      </c>
      <c r="L3491" s="198" t="s">
        <v>65</v>
      </c>
      <c r="M3491" s="194"/>
      <c r="N3491" s="194"/>
    </row>
    <row r="3492">
      <c r="A3492" s="193" t="s">
        <v>21291</v>
      </c>
      <c r="B3492" s="7" t="s">
        <v>16582</v>
      </c>
      <c r="C3492" s="7" t="s">
        <v>17339</v>
      </c>
      <c r="D3492" s="194">
        <v>2000.0</v>
      </c>
      <c r="E3492" s="193"/>
      <c r="F3492" s="195" t="s">
        <v>21292</v>
      </c>
      <c r="G3492" s="196">
        <v>1.455963417E9</v>
      </c>
      <c r="H3492" s="197">
        <v>14.24</v>
      </c>
      <c r="I3492" s="7" t="s">
        <v>16815</v>
      </c>
      <c r="J3492" s="7" t="s">
        <v>16582</v>
      </c>
      <c r="K3492" s="7" t="s">
        <v>17339</v>
      </c>
      <c r="L3492" s="198" t="s">
        <v>65</v>
      </c>
      <c r="M3492" s="194"/>
      <c r="N3492" s="194"/>
    </row>
    <row r="3493">
      <c r="A3493" s="193" t="s">
        <v>21293</v>
      </c>
      <c r="B3493" s="7" t="s">
        <v>16582</v>
      </c>
      <c r="C3493" s="7" t="s">
        <v>16930</v>
      </c>
      <c r="D3493" s="194">
        <v>2012.0</v>
      </c>
      <c r="E3493" s="193"/>
      <c r="F3493" s="195" t="s">
        <v>21294</v>
      </c>
      <c r="G3493" s="196">
        <v>1.455645861E9</v>
      </c>
      <c r="H3493" s="197">
        <v>40.76</v>
      </c>
      <c r="I3493" s="7" t="s">
        <v>16815</v>
      </c>
      <c r="J3493" s="7" t="s">
        <v>16582</v>
      </c>
      <c r="K3493" s="7" t="s">
        <v>16930</v>
      </c>
      <c r="L3493" s="198" t="s">
        <v>65</v>
      </c>
      <c r="M3493" s="194"/>
      <c r="N3493" s="194"/>
    </row>
    <row r="3494">
      <c r="A3494" s="193" t="s">
        <v>21293</v>
      </c>
      <c r="B3494" s="7" t="s">
        <v>16930</v>
      </c>
      <c r="C3494" s="7" t="s">
        <v>16582</v>
      </c>
      <c r="D3494" s="194">
        <v>2012.0</v>
      </c>
      <c r="E3494" s="193"/>
      <c r="F3494" s="195" t="s">
        <v>21294</v>
      </c>
      <c r="G3494" s="200">
        <v>1.455645861E9</v>
      </c>
      <c r="H3494" s="197">
        <v>40.76</v>
      </c>
      <c r="I3494" s="7" t="s">
        <v>16815</v>
      </c>
      <c r="J3494" s="7" t="s">
        <v>16930</v>
      </c>
      <c r="K3494" s="7" t="s">
        <v>16582</v>
      </c>
      <c r="L3494" s="201" t="s">
        <v>16835</v>
      </c>
      <c r="M3494" s="194"/>
      <c r="N3494" s="194"/>
    </row>
    <row r="3495">
      <c r="A3495" s="193" t="s">
        <v>21295</v>
      </c>
      <c r="B3495" s="7" t="s">
        <v>16838</v>
      </c>
      <c r="C3495" s="7" t="s">
        <v>16867</v>
      </c>
      <c r="D3495" s="199"/>
      <c r="E3495" s="193"/>
      <c r="F3495" s="195" t="s">
        <v>21296</v>
      </c>
      <c r="G3495" s="196">
        <v>1.455328743E9</v>
      </c>
      <c r="H3495" s="197">
        <v>42.37</v>
      </c>
      <c r="I3495" s="7" t="s">
        <v>16924</v>
      </c>
      <c r="J3495" s="7" t="s">
        <v>16838</v>
      </c>
      <c r="K3495" s="7" t="s">
        <v>16867</v>
      </c>
      <c r="L3495" s="198" t="s">
        <v>65</v>
      </c>
      <c r="M3495" s="199"/>
      <c r="N3495" s="199"/>
    </row>
    <row r="3496">
      <c r="A3496" s="193" t="s">
        <v>21297</v>
      </c>
      <c r="D3496" s="199"/>
      <c r="E3496" s="193"/>
      <c r="F3496" s="195" t="s">
        <v>21298</v>
      </c>
      <c r="G3496" s="196">
        <v>1.452327E9</v>
      </c>
      <c r="H3496" s="197">
        <v>5.1</v>
      </c>
      <c r="I3496" s="7" t="s">
        <v>16815</v>
      </c>
      <c r="L3496" s="198" t="s">
        <v>65</v>
      </c>
      <c r="M3496" s="199"/>
      <c r="N3496" s="199"/>
    </row>
    <row r="3497">
      <c r="A3497" s="193" t="s">
        <v>21299</v>
      </c>
      <c r="B3497" s="7" t="s">
        <v>175</v>
      </c>
      <c r="C3497" s="7" t="s">
        <v>17218</v>
      </c>
      <c r="D3497" s="194">
        <v>2021.0</v>
      </c>
      <c r="E3497" s="193"/>
      <c r="F3497" s="195" t="s">
        <v>21300</v>
      </c>
      <c r="G3497" s="196">
        <v>1.451605827E9</v>
      </c>
      <c r="H3497" s="197">
        <v>8.09</v>
      </c>
      <c r="I3497" s="7" t="s">
        <v>17222</v>
      </c>
      <c r="J3497" s="7" t="s">
        <v>175</v>
      </c>
      <c r="K3497" s="7" t="s">
        <v>17218</v>
      </c>
      <c r="L3497" s="198" t="s">
        <v>65</v>
      </c>
      <c r="M3497" s="194"/>
      <c r="N3497" s="194"/>
    </row>
    <row r="3498">
      <c r="A3498" s="193" t="s">
        <v>21301</v>
      </c>
      <c r="B3498" s="7" t="s">
        <v>16582</v>
      </c>
      <c r="C3498" s="7" t="s">
        <v>16930</v>
      </c>
      <c r="D3498" s="194">
        <v>1999.0</v>
      </c>
      <c r="E3498" s="193"/>
      <c r="F3498" s="195" t="s">
        <v>21302</v>
      </c>
      <c r="G3498" s="196">
        <v>1.451160856E9</v>
      </c>
      <c r="H3498" s="197">
        <v>20.44</v>
      </c>
      <c r="I3498" s="7" t="s">
        <v>16815</v>
      </c>
      <c r="J3498" s="7" t="s">
        <v>16582</v>
      </c>
      <c r="K3498" s="7" t="s">
        <v>16930</v>
      </c>
      <c r="L3498" s="198" t="s">
        <v>65</v>
      </c>
      <c r="M3498" s="194"/>
      <c r="N3498" s="194"/>
    </row>
    <row r="3499">
      <c r="A3499" s="193" t="s">
        <v>21303</v>
      </c>
      <c r="B3499" s="7" t="s">
        <v>19579</v>
      </c>
      <c r="C3499" s="7" t="s">
        <v>16838</v>
      </c>
      <c r="D3499" s="194">
        <v>2022.0</v>
      </c>
      <c r="E3499" s="193"/>
      <c r="F3499" s="195" t="s">
        <v>21304</v>
      </c>
      <c r="G3499" s="200">
        <v>1.447868858E9</v>
      </c>
      <c r="H3499" s="197">
        <v>23.8676</v>
      </c>
      <c r="I3499" s="7" t="s">
        <v>16815</v>
      </c>
      <c r="J3499" s="7" t="s">
        <v>19579</v>
      </c>
      <c r="K3499" s="7" t="s">
        <v>16838</v>
      </c>
      <c r="L3499" s="201" t="s">
        <v>16835</v>
      </c>
      <c r="M3499" s="194"/>
      <c r="N3499" s="194"/>
    </row>
    <row r="3500">
      <c r="A3500" s="193" t="s">
        <v>21303</v>
      </c>
      <c r="B3500" s="7" t="s">
        <v>16838</v>
      </c>
      <c r="C3500" s="7" t="s">
        <v>19579</v>
      </c>
      <c r="D3500" s="194">
        <v>2022.0</v>
      </c>
      <c r="E3500" s="193"/>
      <c r="F3500" s="195" t="s">
        <v>21304</v>
      </c>
      <c r="G3500" s="196">
        <v>1.447868858E9</v>
      </c>
      <c r="H3500" s="197">
        <v>23.8676</v>
      </c>
      <c r="I3500" s="7" t="s">
        <v>16815</v>
      </c>
      <c r="J3500" s="7" t="s">
        <v>16838</v>
      </c>
      <c r="K3500" s="7" t="s">
        <v>19579</v>
      </c>
      <c r="L3500" s="198" t="s">
        <v>65</v>
      </c>
      <c r="M3500" s="194"/>
      <c r="N3500" s="194"/>
    </row>
    <row r="3501">
      <c r="A3501" s="193" t="s">
        <v>21305</v>
      </c>
      <c r="B3501" s="7" t="s">
        <v>169</v>
      </c>
      <c r="C3501" s="7" t="s">
        <v>16899</v>
      </c>
      <c r="D3501" s="199"/>
      <c r="E3501" s="193"/>
      <c r="F3501" s="195" t="s">
        <v>21306</v>
      </c>
      <c r="G3501" s="196">
        <v>1.447539268E9</v>
      </c>
      <c r="H3501" s="197">
        <v>7.37</v>
      </c>
      <c r="I3501" s="7" t="s">
        <v>16815</v>
      </c>
      <c r="J3501" s="7" t="s">
        <v>169</v>
      </c>
      <c r="K3501" s="7" t="s">
        <v>16899</v>
      </c>
      <c r="L3501" s="198" t="s">
        <v>65</v>
      </c>
      <c r="M3501" s="199"/>
      <c r="N3501" s="199"/>
    </row>
    <row r="3502">
      <c r="A3502" s="193" t="s">
        <v>21307</v>
      </c>
      <c r="B3502" s="7" t="s">
        <v>16867</v>
      </c>
      <c r="C3502" s="7" t="s">
        <v>16838</v>
      </c>
      <c r="D3502" s="194">
        <v>2023.0</v>
      </c>
      <c r="E3502" s="193"/>
      <c r="F3502" s="195" t="s">
        <v>21308</v>
      </c>
      <c r="G3502" s="200">
        <v>1.446767615E9</v>
      </c>
      <c r="H3502" s="197">
        <v>25.77</v>
      </c>
      <c r="I3502" s="7" t="s">
        <v>16815</v>
      </c>
      <c r="J3502" s="7" t="s">
        <v>16867</v>
      </c>
      <c r="K3502" s="7" t="s">
        <v>16838</v>
      </c>
      <c r="L3502" s="201" t="s">
        <v>16835</v>
      </c>
      <c r="M3502" s="194"/>
      <c r="N3502" s="194"/>
    </row>
    <row r="3503">
      <c r="A3503" s="193" t="s">
        <v>21307</v>
      </c>
      <c r="B3503" s="7" t="s">
        <v>16838</v>
      </c>
      <c r="C3503" s="7" t="s">
        <v>16867</v>
      </c>
      <c r="D3503" s="194">
        <v>2023.0</v>
      </c>
      <c r="E3503" s="193"/>
      <c r="F3503" s="195" t="s">
        <v>21308</v>
      </c>
      <c r="G3503" s="196">
        <v>1.446767615E9</v>
      </c>
      <c r="H3503" s="197">
        <v>25.77</v>
      </c>
      <c r="I3503" s="7" t="s">
        <v>16815</v>
      </c>
      <c r="J3503" s="7" t="s">
        <v>16838</v>
      </c>
      <c r="K3503" s="7" t="s">
        <v>16867</v>
      </c>
      <c r="L3503" s="198" t="s">
        <v>65</v>
      </c>
      <c r="M3503" s="194"/>
      <c r="N3503" s="194"/>
    </row>
    <row r="3504">
      <c r="A3504" s="193" t="s">
        <v>21309</v>
      </c>
      <c r="B3504" s="7" t="s">
        <v>17019</v>
      </c>
      <c r="C3504" s="7" t="s">
        <v>16838</v>
      </c>
      <c r="D3504" s="194">
        <v>1993.0</v>
      </c>
      <c r="E3504" s="193"/>
      <c r="F3504" s="195" t="s">
        <v>21310</v>
      </c>
      <c r="G3504" s="200">
        <v>1.445971218E9</v>
      </c>
      <c r="H3504" s="197">
        <v>9.72</v>
      </c>
      <c r="I3504" s="7" t="s">
        <v>16815</v>
      </c>
      <c r="J3504" s="7" t="s">
        <v>17019</v>
      </c>
      <c r="K3504" s="7" t="s">
        <v>16838</v>
      </c>
      <c r="L3504" s="201" t="s">
        <v>16835</v>
      </c>
      <c r="M3504" s="194"/>
      <c r="N3504" s="194"/>
    </row>
    <row r="3505">
      <c r="A3505" s="193" t="s">
        <v>21309</v>
      </c>
      <c r="B3505" s="7" t="s">
        <v>16838</v>
      </c>
      <c r="C3505" s="7" t="s">
        <v>17019</v>
      </c>
      <c r="D3505" s="194">
        <v>1993.0</v>
      </c>
      <c r="E3505" s="193"/>
      <c r="F3505" s="195" t="s">
        <v>21311</v>
      </c>
      <c r="G3505" s="196">
        <v>1.445971218E9</v>
      </c>
      <c r="H3505" s="197">
        <v>9.72</v>
      </c>
      <c r="I3505" s="7" t="s">
        <v>16815</v>
      </c>
      <c r="J3505" s="7" t="s">
        <v>16838</v>
      </c>
      <c r="K3505" s="7" t="s">
        <v>17019</v>
      </c>
      <c r="L3505" s="198" t="s">
        <v>65</v>
      </c>
      <c r="M3505" s="194"/>
      <c r="N3505" s="194"/>
    </row>
    <row r="3506">
      <c r="A3506" s="193" t="s">
        <v>21312</v>
      </c>
      <c r="B3506" s="7" t="s">
        <v>19644</v>
      </c>
      <c r="C3506" s="7" t="s">
        <v>16838</v>
      </c>
      <c r="D3506" s="199"/>
      <c r="E3506" s="193"/>
      <c r="F3506" s="195" t="s">
        <v>21313</v>
      </c>
      <c r="G3506" s="200">
        <v>1.445191362E9</v>
      </c>
      <c r="H3506" s="197">
        <v>26.59</v>
      </c>
      <c r="I3506" s="7" t="s">
        <v>16815</v>
      </c>
      <c r="J3506" s="7" t="s">
        <v>19644</v>
      </c>
      <c r="K3506" s="7" t="s">
        <v>16838</v>
      </c>
      <c r="L3506" s="201" t="s">
        <v>16835</v>
      </c>
      <c r="M3506" s="199"/>
      <c r="N3506" s="199"/>
    </row>
    <row r="3507">
      <c r="A3507" s="193" t="s">
        <v>21312</v>
      </c>
      <c r="B3507" s="7" t="s">
        <v>16838</v>
      </c>
      <c r="C3507" s="7" t="s">
        <v>19644</v>
      </c>
      <c r="D3507" s="199"/>
      <c r="E3507" s="193"/>
      <c r="F3507" s="195" t="s">
        <v>21313</v>
      </c>
      <c r="G3507" s="196">
        <v>1.445191362E9</v>
      </c>
      <c r="H3507" s="197">
        <v>26.59</v>
      </c>
      <c r="I3507" s="7" t="s">
        <v>16815</v>
      </c>
      <c r="J3507" s="7" t="s">
        <v>16838</v>
      </c>
      <c r="K3507" s="7" t="s">
        <v>19644</v>
      </c>
      <c r="L3507" s="198" t="s">
        <v>65</v>
      </c>
      <c r="M3507" s="199"/>
      <c r="N3507" s="199"/>
    </row>
    <row r="3508">
      <c r="A3508" s="193" t="s">
        <v>21314</v>
      </c>
      <c r="B3508" s="7" t="s">
        <v>18633</v>
      </c>
      <c r="C3508" s="7" t="s">
        <v>187</v>
      </c>
      <c r="D3508" s="194">
        <v>2019.0</v>
      </c>
      <c r="E3508" s="193"/>
      <c r="F3508" s="195" t="s">
        <v>21315</v>
      </c>
      <c r="G3508" s="200">
        <v>1.443675789E9</v>
      </c>
      <c r="H3508" s="197">
        <v>6.81</v>
      </c>
      <c r="I3508" s="7" t="s">
        <v>16815</v>
      </c>
      <c r="J3508" s="7" t="s">
        <v>18633</v>
      </c>
      <c r="K3508" s="7" t="s">
        <v>187</v>
      </c>
      <c r="L3508" s="201" t="s">
        <v>16835</v>
      </c>
      <c r="M3508" s="194"/>
      <c r="N3508" s="194"/>
    </row>
    <row r="3509">
      <c r="A3509" s="193" t="s">
        <v>21314</v>
      </c>
      <c r="B3509" s="7" t="s">
        <v>187</v>
      </c>
      <c r="C3509" s="7" t="s">
        <v>18633</v>
      </c>
      <c r="D3509" s="194">
        <v>2019.0</v>
      </c>
      <c r="E3509" s="193"/>
      <c r="F3509" s="195" t="s">
        <v>21315</v>
      </c>
      <c r="G3509" s="196">
        <v>1.443675789E9</v>
      </c>
      <c r="H3509" s="197">
        <v>6.81</v>
      </c>
      <c r="I3509" s="7" t="s">
        <v>16815</v>
      </c>
      <c r="J3509" s="7" t="s">
        <v>187</v>
      </c>
      <c r="K3509" s="7" t="s">
        <v>18633</v>
      </c>
      <c r="L3509" s="198" t="s">
        <v>65</v>
      </c>
      <c r="M3509" s="194"/>
      <c r="N3509" s="194"/>
    </row>
    <row r="3510">
      <c r="A3510" s="193" t="s">
        <v>21316</v>
      </c>
      <c r="B3510" s="7" t="s">
        <v>187</v>
      </c>
      <c r="C3510" s="7" t="s">
        <v>17552</v>
      </c>
      <c r="D3510" s="194">
        <v>2017.0</v>
      </c>
      <c r="E3510" s="193"/>
      <c r="F3510" s="195" t="s">
        <v>21317</v>
      </c>
      <c r="G3510" s="196">
        <v>1.440448033E9</v>
      </c>
      <c r="H3510" s="197">
        <v>18.43</v>
      </c>
      <c r="I3510" s="7" t="s">
        <v>16815</v>
      </c>
      <c r="J3510" s="7" t="s">
        <v>187</v>
      </c>
      <c r="K3510" s="7" t="s">
        <v>17552</v>
      </c>
      <c r="L3510" s="198" t="s">
        <v>65</v>
      </c>
      <c r="M3510" s="194"/>
      <c r="N3510" s="194"/>
    </row>
    <row r="3511">
      <c r="A3511" s="193" t="s">
        <v>21318</v>
      </c>
      <c r="B3511" s="7" t="s">
        <v>18098</v>
      </c>
      <c r="C3511" s="7" t="s">
        <v>169</v>
      </c>
      <c r="D3511" s="194">
        <v>2015.0</v>
      </c>
      <c r="E3511" s="193"/>
      <c r="F3511" s="195" t="s">
        <v>21319</v>
      </c>
      <c r="G3511" s="200">
        <v>1.439598137E9</v>
      </c>
      <c r="H3511" s="197">
        <v>24.79</v>
      </c>
      <c r="I3511" s="7" t="s">
        <v>16815</v>
      </c>
      <c r="J3511" s="7" t="s">
        <v>18098</v>
      </c>
      <c r="K3511" s="7" t="s">
        <v>169</v>
      </c>
      <c r="L3511" s="201" t="s">
        <v>16835</v>
      </c>
      <c r="M3511" s="194"/>
      <c r="N3511" s="194"/>
    </row>
    <row r="3512">
      <c r="A3512" s="193" t="s">
        <v>21318</v>
      </c>
      <c r="B3512" s="7" t="s">
        <v>169</v>
      </c>
      <c r="C3512" s="7" t="s">
        <v>18098</v>
      </c>
      <c r="D3512" s="194">
        <v>2015.0</v>
      </c>
      <c r="E3512" s="193"/>
      <c r="F3512" s="195" t="s">
        <v>21319</v>
      </c>
      <c r="G3512" s="196">
        <v>1.439598137E9</v>
      </c>
      <c r="H3512" s="197">
        <v>24.79</v>
      </c>
      <c r="I3512" s="7" t="s">
        <v>16815</v>
      </c>
      <c r="J3512" s="7" t="s">
        <v>169</v>
      </c>
      <c r="K3512" s="7" t="s">
        <v>18098</v>
      </c>
      <c r="L3512" s="198" t="s">
        <v>65</v>
      </c>
      <c r="M3512" s="194"/>
      <c r="N3512" s="194"/>
    </row>
    <row r="3513">
      <c r="A3513" s="193" t="s">
        <v>21320</v>
      </c>
      <c r="B3513" s="7" t="s">
        <v>16867</v>
      </c>
      <c r="C3513" s="7" t="s">
        <v>16838</v>
      </c>
      <c r="D3513" s="194">
        <v>2016.0</v>
      </c>
      <c r="E3513" s="193"/>
      <c r="F3513" s="195" t="s">
        <v>21321</v>
      </c>
      <c r="G3513" s="200">
        <v>1.436218644E9</v>
      </c>
      <c r="H3513" s="197">
        <v>30.66</v>
      </c>
      <c r="I3513" s="7" t="s">
        <v>16815</v>
      </c>
      <c r="J3513" s="7" t="s">
        <v>16867</v>
      </c>
      <c r="K3513" s="7" t="s">
        <v>16838</v>
      </c>
      <c r="L3513" s="201" t="s">
        <v>16835</v>
      </c>
      <c r="M3513" s="194"/>
      <c r="N3513" s="194"/>
    </row>
    <row r="3514">
      <c r="A3514" s="193" t="s">
        <v>21320</v>
      </c>
      <c r="B3514" s="7" t="s">
        <v>16838</v>
      </c>
      <c r="C3514" s="7" t="s">
        <v>16867</v>
      </c>
      <c r="D3514" s="194">
        <v>2016.0</v>
      </c>
      <c r="E3514" s="193"/>
      <c r="F3514" s="195" t="s">
        <v>21321</v>
      </c>
      <c r="G3514" s="196">
        <v>1.436218644E9</v>
      </c>
      <c r="H3514" s="197">
        <v>30.66</v>
      </c>
      <c r="I3514" s="7" t="s">
        <v>16815</v>
      </c>
      <c r="J3514" s="7" t="s">
        <v>16838</v>
      </c>
      <c r="K3514" s="7" t="s">
        <v>16867</v>
      </c>
      <c r="L3514" s="198" t="s">
        <v>65</v>
      </c>
      <c r="M3514" s="194"/>
      <c r="N3514" s="194"/>
    </row>
    <row r="3515">
      <c r="A3515" s="193" t="s">
        <v>21322</v>
      </c>
      <c r="B3515" s="7" t="s">
        <v>16885</v>
      </c>
      <c r="C3515" s="7" t="s">
        <v>16886</v>
      </c>
      <c r="D3515" s="199"/>
      <c r="E3515" s="193"/>
      <c r="F3515" s="195" t="s">
        <v>21323</v>
      </c>
      <c r="G3515" s="196">
        <v>1.433367492E9</v>
      </c>
      <c r="H3515" s="197">
        <v>4.14</v>
      </c>
      <c r="I3515" s="7" t="s">
        <v>17372</v>
      </c>
      <c r="J3515" s="7" t="s">
        <v>16885</v>
      </c>
      <c r="K3515" s="7" t="s">
        <v>16886</v>
      </c>
      <c r="L3515" s="198" t="s">
        <v>65</v>
      </c>
      <c r="M3515" s="199"/>
      <c r="N3515" s="199"/>
    </row>
    <row r="3516">
      <c r="A3516" s="193" t="s">
        <v>21322</v>
      </c>
      <c r="B3516" s="7" t="s">
        <v>16886</v>
      </c>
      <c r="C3516" s="7" t="s">
        <v>16885</v>
      </c>
      <c r="D3516" s="199"/>
      <c r="E3516" s="193"/>
      <c r="F3516" s="195" t="s">
        <v>21323</v>
      </c>
      <c r="G3516" s="200">
        <v>1.433367492E9</v>
      </c>
      <c r="H3516" s="197">
        <v>4.14</v>
      </c>
      <c r="I3516" s="7" t="s">
        <v>16815</v>
      </c>
      <c r="J3516" s="7" t="s">
        <v>16886</v>
      </c>
      <c r="K3516" s="7" t="s">
        <v>16885</v>
      </c>
      <c r="L3516" s="201" t="s">
        <v>16835</v>
      </c>
      <c r="M3516" s="199"/>
      <c r="N3516" s="199"/>
    </row>
    <row r="3517">
      <c r="A3517" s="193" t="s">
        <v>21324</v>
      </c>
      <c r="B3517" s="7" t="s">
        <v>16582</v>
      </c>
      <c r="C3517" s="7" t="s">
        <v>16817</v>
      </c>
      <c r="D3517" s="199"/>
      <c r="E3517" s="193"/>
      <c r="F3517" s="195" t="s">
        <v>21325</v>
      </c>
      <c r="G3517" s="196">
        <v>1.4329184E9</v>
      </c>
      <c r="H3517" s="197">
        <v>7.36</v>
      </c>
      <c r="I3517" s="7" t="s">
        <v>16815</v>
      </c>
      <c r="J3517" s="7" t="s">
        <v>16582</v>
      </c>
      <c r="K3517" s="7" t="s">
        <v>16817</v>
      </c>
      <c r="L3517" s="198" t="s">
        <v>65</v>
      </c>
      <c r="M3517" s="199"/>
      <c r="N3517" s="199"/>
    </row>
    <row r="3518">
      <c r="A3518" s="193" t="s">
        <v>21326</v>
      </c>
      <c r="B3518" s="7" t="s">
        <v>169</v>
      </c>
      <c r="C3518" s="7" t="s">
        <v>19139</v>
      </c>
      <c r="D3518" s="194">
        <v>2021.0</v>
      </c>
      <c r="E3518" s="193"/>
      <c r="F3518" s="195" t="s">
        <v>21327</v>
      </c>
      <c r="G3518" s="196">
        <v>1.432425021E9</v>
      </c>
      <c r="H3518" s="197">
        <v>16.08</v>
      </c>
      <c r="I3518" s="7" t="s">
        <v>16815</v>
      </c>
      <c r="J3518" s="7" t="s">
        <v>169</v>
      </c>
      <c r="K3518" s="7" t="s">
        <v>19139</v>
      </c>
      <c r="L3518" s="198" t="s">
        <v>65</v>
      </c>
      <c r="M3518" s="194"/>
      <c r="N3518" s="194"/>
    </row>
    <row r="3519">
      <c r="A3519" s="193" t="s">
        <v>21326</v>
      </c>
      <c r="B3519" s="7" t="s">
        <v>19139</v>
      </c>
      <c r="C3519" s="7" t="s">
        <v>169</v>
      </c>
      <c r="D3519" s="194">
        <v>2021.0</v>
      </c>
      <c r="E3519" s="193"/>
      <c r="F3519" s="195" t="s">
        <v>21327</v>
      </c>
      <c r="G3519" s="200">
        <v>1.432425021E9</v>
      </c>
      <c r="H3519" s="197">
        <v>16.08</v>
      </c>
      <c r="I3519" s="7" t="s">
        <v>16815</v>
      </c>
      <c r="J3519" s="7" t="s">
        <v>19139</v>
      </c>
      <c r="K3519" s="7" t="s">
        <v>169</v>
      </c>
      <c r="L3519" s="201" t="s">
        <v>16835</v>
      </c>
      <c r="M3519" s="194"/>
      <c r="N3519" s="194"/>
    </row>
    <row r="3520">
      <c r="A3520" s="193" t="s">
        <v>21328</v>
      </c>
      <c r="B3520" s="7" t="s">
        <v>175</v>
      </c>
      <c r="C3520" s="7" t="s">
        <v>17812</v>
      </c>
      <c r="D3520" s="199"/>
      <c r="E3520" s="193"/>
      <c r="F3520" s="195" t="s">
        <v>21329</v>
      </c>
      <c r="G3520" s="196">
        <v>1.427340758E9</v>
      </c>
      <c r="H3520" s="197">
        <v>30.2</v>
      </c>
      <c r="I3520" s="7" t="s">
        <v>16826</v>
      </c>
      <c r="J3520" s="7" t="s">
        <v>175</v>
      </c>
      <c r="K3520" s="7" t="s">
        <v>17812</v>
      </c>
      <c r="L3520" s="198" t="s">
        <v>65</v>
      </c>
      <c r="M3520" s="199"/>
      <c r="N3520" s="199"/>
    </row>
    <row r="3521">
      <c r="A3521" s="193" t="s">
        <v>21330</v>
      </c>
      <c r="B3521" s="7" t="s">
        <v>16885</v>
      </c>
      <c r="C3521" s="7" t="s">
        <v>17726</v>
      </c>
      <c r="D3521" s="199"/>
      <c r="E3521" s="193"/>
      <c r="F3521" s="195" t="s">
        <v>21331</v>
      </c>
      <c r="G3521" s="196">
        <v>1.427193054E9</v>
      </c>
      <c r="H3521" s="197">
        <v>4.56</v>
      </c>
      <c r="I3521" s="7" t="s">
        <v>17372</v>
      </c>
      <c r="J3521" s="7" t="s">
        <v>16885</v>
      </c>
      <c r="K3521" s="7" t="s">
        <v>17726</v>
      </c>
      <c r="L3521" s="198" t="s">
        <v>65</v>
      </c>
      <c r="M3521" s="199"/>
      <c r="N3521" s="199"/>
    </row>
    <row r="3522">
      <c r="A3522" s="193" t="s">
        <v>21330</v>
      </c>
      <c r="B3522" s="202" t="s">
        <v>17726</v>
      </c>
      <c r="C3522" s="193" t="s">
        <v>16885</v>
      </c>
      <c r="D3522" s="206"/>
      <c r="E3522" s="193"/>
      <c r="F3522" s="203" t="s">
        <v>21331</v>
      </c>
      <c r="G3522" s="200">
        <v>1.427193054E9</v>
      </c>
      <c r="H3522" s="205">
        <v>104.92</v>
      </c>
      <c r="J3522" s="202" t="s">
        <v>17726</v>
      </c>
      <c r="K3522" s="193" t="s">
        <v>16885</v>
      </c>
      <c r="L3522" s="193" t="s">
        <v>17471</v>
      </c>
      <c r="M3522" s="206"/>
      <c r="N3522" s="206"/>
    </row>
    <row r="3523">
      <c r="A3523" s="193" t="s">
        <v>21332</v>
      </c>
      <c r="B3523" s="7" t="s">
        <v>17019</v>
      </c>
      <c r="C3523" s="7" t="s">
        <v>16838</v>
      </c>
      <c r="D3523" s="194">
        <v>1991.0</v>
      </c>
      <c r="E3523" s="193"/>
      <c r="F3523" s="195" t="s">
        <v>21333</v>
      </c>
      <c r="G3523" s="200">
        <v>1.423656847E9</v>
      </c>
      <c r="H3523" s="197">
        <v>9.57</v>
      </c>
      <c r="I3523" s="7" t="s">
        <v>16815</v>
      </c>
      <c r="J3523" s="7" t="s">
        <v>17019</v>
      </c>
      <c r="K3523" s="7" t="s">
        <v>16838</v>
      </c>
      <c r="L3523" s="201" t="s">
        <v>16835</v>
      </c>
      <c r="M3523" s="194"/>
      <c r="N3523" s="194"/>
    </row>
    <row r="3524">
      <c r="A3524" s="193" t="s">
        <v>21332</v>
      </c>
      <c r="B3524" s="7" t="s">
        <v>16838</v>
      </c>
      <c r="C3524" s="7" t="s">
        <v>17019</v>
      </c>
      <c r="D3524" s="194">
        <v>1991.0</v>
      </c>
      <c r="E3524" s="193"/>
      <c r="F3524" s="195" t="s">
        <v>21334</v>
      </c>
      <c r="G3524" s="196">
        <v>1.423656847E9</v>
      </c>
      <c r="H3524" s="197">
        <v>9.57</v>
      </c>
      <c r="I3524" s="7" t="s">
        <v>16815</v>
      </c>
      <c r="J3524" s="7" t="s">
        <v>16838</v>
      </c>
      <c r="K3524" s="7" t="s">
        <v>17019</v>
      </c>
      <c r="L3524" s="198" t="s">
        <v>65</v>
      </c>
      <c r="M3524" s="194"/>
      <c r="N3524" s="194"/>
    </row>
    <row r="3525">
      <c r="A3525" s="193" t="s">
        <v>21335</v>
      </c>
      <c r="B3525" s="7" t="s">
        <v>175</v>
      </c>
      <c r="C3525" s="7" t="s">
        <v>17350</v>
      </c>
      <c r="D3525" s="199"/>
      <c r="E3525" s="193"/>
      <c r="F3525" s="195" t="s">
        <v>21336</v>
      </c>
      <c r="G3525" s="196">
        <v>1.423031327E9</v>
      </c>
      <c r="H3525" s="197">
        <v>43.39</v>
      </c>
      <c r="I3525" s="7" t="s">
        <v>17270</v>
      </c>
      <c r="J3525" s="7" t="s">
        <v>175</v>
      </c>
      <c r="K3525" s="7" t="s">
        <v>17350</v>
      </c>
      <c r="L3525" s="198" t="s">
        <v>65</v>
      </c>
      <c r="M3525" s="199"/>
      <c r="N3525" s="199"/>
    </row>
    <row r="3526">
      <c r="A3526" s="193" t="s">
        <v>21337</v>
      </c>
      <c r="B3526" s="7" t="s">
        <v>158</v>
      </c>
      <c r="C3526" s="7" t="s">
        <v>18063</v>
      </c>
      <c r="D3526" s="194">
        <v>2001.0</v>
      </c>
      <c r="E3526" s="193"/>
      <c r="F3526" s="195" t="s">
        <v>21338</v>
      </c>
      <c r="G3526" s="196">
        <v>1.420586089E9</v>
      </c>
      <c r="H3526" s="197">
        <v>11.6</v>
      </c>
      <c r="I3526" s="7" t="s">
        <v>21339</v>
      </c>
      <c r="J3526" s="7" t="s">
        <v>158</v>
      </c>
      <c r="K3526" s="7" t="s">
        <v>18063</v>
      </c>
      <c r="L3526" s="198" t="s">
        <v>65</v>
      </c>
      <c r="M3526" s="194"/>
      <c r="N3526" s="194"/>
    </row>
    <row r="3527">
      <c r="A3527" s="193" t="s">
        <v>21337</v>
      </c>
      <c r="B3527" s="7" t="s">
        <v>18063</v>
      </c>
      <c r="C3527" s="7" t="s">
        <v>158</v>
      </c>
      <c r="D3527" s="194">
        <v>2001.0</v>
      </c>
      <c r="E3527" s="193"/>
      <c r="F3527" s="195" t="s">
        <v>21338</v>
      </c>
      <c r="G3527" s="200">
        <v>1.420586089E9</v>
      </c>
      <c r="H3527" s="197">
        <v>11.6</v>
      </c>
      <c r="I3527" s="7" t="s">
        <v>16815</v>
      </c>
      <c r="J3527" s="7" t="s">
        <v>18063</v>
      </c>
      <c r="K3527" s="7" t="s">
        <v>158</v>
      </c>
      <c r="L3527" s="201" t="s">
        <v>16835</v>
      </c>
      <c r="M3527" s="194"/>
      <c r="N3527" s="194"/>
    </row>
    <row r="3528">
      <c r="A3528" s="193" t="s">
        <v>21340</v>
      </c>
      <c r="B3528" s="7" t="s">
        <v>17202</v>
      </c>
      <c r="C3528" s="7" t="s">
        <v>16838</v>
      </c>
      <c r="D3528" s="194">
        <v>1986.0</v>
      </c>
      <c r="E3528" s="193"/>
      <c r="F3528" s="195" t="s">
        <v>21341</v>
      </c>
      <c r="G3528" s="200">
        <v>1.419137139E9</v>
      </c>
      <c r="H3528" s="197">
        <v>4.83</v>
      </c>
      <c r="I3528" s="7" t="s">
        <v>16815</v>
      </c>
      <c r="J3528" s="7" t="s">
        <v>17202</v>
      </c>
      <c r="K3528" s="7" t="s">
        <v>16838</v>
      </c>
      <c r="L3528" s="201" t="s">
        <v>16835</v>
      </c>
      <c r="M3528" s="194"/>
      <c r="N3528" s="194"/>
    </row>
    <row r="3529">
      <c r="A3529" s="193" t="s">
        <v>21340</v>
      </c>
      <c r="B3529" s="7" t="s">
        <v>16838</v>
      </c>
      <c r="C3529" s="7" t="s">
        <v>17202</v>
      </c>
      <c r="D3529" s="194">
        <v>1986.0</v>
      </c>
      <c r="E3529" s="193"/>
      <c r="F3529" s="195" t="s">
        <v>21341</v>
      </c>
      <c r="G3529" s="196">
        <v>1.419137139E9</v>
      </c>
      <c r="H3529" s="197">
        <v>4.83</v>
      </c>
      <c r="I3529" s="7" t="s">
        <v>16815</v>
      </c>
      <c r="J3529" s="7" t="s">
        <v>16838</v>
      </c>
      <c r="K3529" s="7" t="s">
        <v>17202</v>
      </c>
      <c r="L3529" s="198" t="s">
        <v>65</v>
      </c>
      <c r="M3529" s="194"/>
      <c r="N3529" s="194"/>
    </row>
    <row r="3530">
      <c r="A3530" s="193" t="s">
        <v>21342</v>
      </c>
      <c r="B3530" s="7" t="s">
        <v>187</v>
      </c>
      <c r="C3530" s="7" t="s">
        <v>16858</v>
      </c>
      <c r="D3530" s="194">
        <v>2015.0</v>
      </c>
      <c r="E3530" s="193"/>
      <c r="F3530" s="195" t="s">
        <v>21343</v>
      </c>
      <c r="G3530" s="196">
        <v>1.418929308E9</v>
      </c>
      <c r="H3530" s="197">
        <v>3.11</v>
      </c>
      <c r="I3530" s="7" t="s">
        <v>16815</v>
      </c>
      <c r="J3530" s="7" t="s">
        <v>187</v>
      </c>
      <c r="K3530" s="7" t="s">
        <v>16858</v>
      </c>
      <c r="L3530" s="198" t="s">
        <v>65</v>
      </c>
      <c r="M3530" s="194"/>
      <c r="N3530" s="194"/>
    </row>
    <row r="3531">
      <c r="A3531" s="193" t="s">
        <v>21344</v>
      </c>
      <c r="B3531" s="7" t="s">
        <v>158</v>
      </c>
      <c r="C3531" s="7" t="s">
        <v>16864</v>
      </c>
      <c r="D3531" s="199"/>
      <c r="E3531" s="193"/>
      <c r="F3531" s="195" t="s">
        <v>21345</v>
      </c>
      <c r="G3531" s="196">
        <v>1.411345944E9</v>
      </c>
      <c r="H3531" s="197">
        <v>10.99</v>
      </c>
      <c r="I3531" s="7" t="s">
        <v>17625</v>
      </c>
      <c r="J3531" s="7" t="s">
        <v>158</v>
      </c>
      <c r="K3531" s="7" t="s">
        <v>16864</v>
      </c>
      <c r="L3531" s="198" t="s">
        <v>65</v>
      </c>
      <c r="M3531" s="199"/>
      <c r="N3531" s="199"/>
    </row>
    <row r="3532">
      <c r="A3532" s="193" t="s">
        <v>21346</v>
      </c>
      <c r="B3532" s="7" t="s">
        <v>16582</v>
      </c>
      <c r="C3532" s="7" t="s">
        <v>16930</v>
      </c>
      <c r="D3532" s="199"/>
      <c r="E3532" s="193"/>
      <c r="F3532" s="195" t="s">
        <v>21347</v>
      </c>
      <c r="G3532" s="196">
        <v>1.410543708E9</v>
      </c>
      <c r="H3532" s="197">
        <v>12.91</v>
      </c>
      <c r="I3532" s="7" t="s">
        <v>16815</v>
      </c>
      <c r="J3532" s="7" t="s">
        <v>16582</v>
      </c>
      <c r="K3532" s="7" t="s">
        <v>16930</v>
      </c>
      <c r="L3532" s="198" t="s">
        <v>65</v>
      </c>
      <c r="M3532" s="199"/>
      <c r="N3532" s="199"/>
    </row>
    <row r="3533">
      <c r="A3533" s="193" t="s">
        <v>21348</v>
      </c>
      <c r="B3533" s="7" t="s">
        <v>17019</v>
      </c>
      <c r="C3533" s="7" t="s">
        <v>16838</v>
      </c>
      <c r="D3533" s="194">
        <v>1997.0</v>
      </c>
      <c r="E3533" s="193"/>
      <c r="F3533" s="195" t="s">
        <v>21349</v>
      </c>
      <c r="G3533" s="200">
        <v>1.410268225E9</v>
      </c>
      <c r="H3533" s="197">
        <v>9.48</v>
      </c>
      <c r="I3533" s="7" t="s">
        <v>16815</v>
      </c>
      <c r="J3533" s="7" t="s">
        <v>17019</v>
      </c>
      <c r="K3533" s="7" t="s">
        <v>16838</v>
      </c>
      <c r="L3533" s="201" t="s">
        <v>16835</v>
      </c>
      <c r="M3533" s="194"/>
      <c r="N3533" s="194"/>
    </row>
    <row r="3534">
      <c r="A3534" s="193" t="s">
        <v>21348</v>
      </c>
      <c r="B3534" s="7" t="s">
        <v>16838</v>
      </c>
      <c r="C3534" s="7" t="s">
        <v>17019</v>
      </c>
      <c r="D3534" s="194">
        <v>1997.0</v>
      </c>
      <c r="E3534" s="193"/>
      <c r="F3534" s="195" t="s">
        <v>21349</v>
      </c>
      <c r="G3534" s="196">
        <v>1.410268225E9</v>
      </c>
      <c r="H3534" s="197">
        <v>9.48</v>
      </c>
      <c r="I3534" s="7" t="s">
        <v>16815</v>
      </c>
      <c r="J3534" s="7" t="s">
        <v>16838</v>
      </c>
      <c r="K3534" s="7" t="s">
        <v>17019</v>
      </c>
      <c r="L3534" s="198" t="s">
        <v>65</v>
      </c>
      <c r="M3534" s="194"/>
      <c r="N3534" s="194"/>
    </row>
    <row r="3535">
      <c r="A3535" s="193" t="s">
        <v>21350</v>
      </c>
      <c r="B3535" s="7" t="s">
        <v>175</v>
      </c>
      <c r="C3535" s="7" t="s">
        <v>17084</v>
      </c>
      <c r="D3535" s="199"/>
      <c r="E3535" s="193"/>
      <c r="F3535" s="195" t="s">
        <v>21351</v>
      </c>
      <c r="G3535" s="196">
        <v>1.406544237E9</v>
      </c>
      <c r="H3535" s="197">
        <v>4.02</v>
      </c>
      <c r="I3535" s="7" t="s">
        <v>16892</v>
      </c>
      <c r="J3535" s="7" t="s">
        <v>175</v>
      </c>
      <c r="K3535" s="7" t="s">
        <v>17084</v>
      </c>
      <c r="L3535" s="198" t="s">
        <v>65</v>
      </c>
      <c r="M3535" s="199"/>
      <c r="N3535" s="199"/>
    </row>
    <row r="3536">
      <c r="A3536" s="193" t="s">
        <v>21350</v>
      </c>
      <c r="B3536" s="7" t="s">
        <v>17084</v>
      </c>
      <c r="C3536" s="7" t="s">
        <v>175</v>
      </c>
      <c r="D3536" s="199"/>
      <c r="E3536" s="193"/>
      <c r="F3536" s="195" t="s">
        <v>21351</v>
      </c>
      <c r="G3536" s="200">
        <v>1.406544237E9</v>
      </c>
      <c r="H3536" s="197">
        <v>4.02</v>
      </c>
      <c r="I3536" s="7" t="s">
        <v>16815</v>
      </c>
      <c r="J3536" s="7" t="s">
        <v>17084</v>
      </c>
      <c r="K3536" s="7" t="s">
        <v>175</v>
      </c>
      <c r="L3536" s="201" t="s">
        <v>16835</v>
      </c>
      <c r="M3536" s="199"/>
      <c r="N3536" s="199"/>
    </row>
    <row r="3537">
      <c r="A3537" s="193" t="s">
        <v>21352</v>
      </c>
      <c r="B3537" s="7" t="s">
        <v>17111</v>
      </c>
      <c r="C3537" s="7" t="s">
        <v>17112</v>
      </c>
      <c r="D3537" s="194">
        <v>2009.0</v>
      </c>
      <c r="E3537" s="193"/>
      <c r="F3537" s="195" t="s">
        <v>21353</v>
      </c>
      <c r="G3537" s="200">
        <v>1.403846681E9</v>
      </c>
      <c r="H3537" s="197">
        <v>11.65</v>
      </c>
      <c r="I3537" s="7" t="s">
        <v>16815</v>
      </c>
      <c r="J3537" s="7" t="s">
        <v>17111</v>
      </c>
      <c r="K3537" s="7" t="s">
        <v>17112</v>
      </c>
      <c r="L3537" s="201" t="s">
        <v>16835</v>
      </c>
      <c r="M3537" s="194"/>
      <c r="N3537" s="194"/>
    </row>
    <row r="3538">
      <c r="A3538" s="193" t="s">
        <v>21352</v>
      </c>
      <c r="B3538" s="7" t="s">
        <v>17112</v>
      </c>
      <c r="C3538" s="7" t="s">
        <v>17111</v>
      </c>
      <c r="D3538" s="194">
        <v>2009.0</v>
      </c>
      <c r="E3538" s="193"/>
      <c r="F3538" s="195" t="s">
        <v>21353</v>
      </c>
      <c r="G3538" s="196">
        <v>1.403846681E9</v>
      </c>
      <c r="H3538" s="197">
        <v>11.65</v>
      </c>
      <c r="I3538" s="7" t="s">
        <v>16815</v>
      </c>
      <c r="J3538" s="7" t="s">
        <v>17112</v>
      </c>
      <c r="K3538" s="7" t="s">
        <v>17111</v>
      </c>
      <c r="L3538" s="198" t="s">
        <v>65</v>
      </c>
      <c r="M3538" s="194"/>
      <c r="N3538" s="194"/>
    </row>
    <row r="3539">
      <c r="A3539" s="193" t="s">
        <v>21354</v>
      </c>
      <c r="B3539" s="7" t="s">
        <v>175</v>
      </c>
      <c r="C3539" s="7" t="s">
        <v>18500</v>
      </c>
      <c r="D3539" s="199"/>
      <c r="E3539" s="193"/>
      <c r="F3539" s="195" t="s">
        <v>21355</v>
      </c>
      <c r="G3539" s="196">
        <v>1.400548081E9</v>
      </c>
      <c r="H3539" s="197">
        <v>4.55</v>
      </c>
      <c r="I3539" s="7" t="s">
        <v>16892</v>
      </c>
      <c r="J3539" s="7" t="s">
        <v>175</v>
      </c>
      <c r="K3539" s="7" t="s">
        <v>18500</v>
      </c>
      <c r="L3539" s="198" t="s">
        <v>65</v>
      </c>
      <c r="M3539" s="199"/>
      <c r="N3539" s="199"/>
    </row>
    <row r="3540">
      <c r="A3540" s="193" t="s">
        <v>21356</v>
      </c>
      <c r="B3540" s="7" t="s">
        <v>187</v>
      </c>
      <c r="C3540" s="7" t="s">
        <v>16846</v>
      </c>
      <c r="D3540" s="194">
        <v>2013.0</v>
      </c>
      <c r="E3540" s="193"/>
      <c r="F3540" s="195" t="s">
        <v>21357</v>
      </c>
      <c r="G3540" s="196">
        <v>1.399086708E9</v>
      </c>
      <c r="H3540" s="197">
        <v>18.54</v>
      </c>
      <c r="I3540" s="7" t="s">
        <v>16815</v>
      </c>
      <c r="J3540" s="7" t="s">
        <v>187</v>
      </c>
      <c r="K3540" s="7" t="s">
        <v>16846</v>
      </c>
      <c r="L3540" s="198" t="s">
        <v>65</v>
      </c>
      <c r="M3540" s="194"/>
      <c r="N3540" s="194"/>
    </row>
    <row r="3541">
      <c r="A3541" s="193" t="s">
        <v>21358</v>
      </c>
      <c r="B3541" s="7" t="s">
        <v>16582</v>
      </c>
      <c r="C3541" s="7" t="s">
        <v>16813</v>
      </c>
      <c r="D3541" s="194">
        <v>2001.0</v>
      </c>
      <c r="E3541" s="193"/>
      <c r="F3541" s="195" t="s">
        <v>21359</v>
      </c>
      <c r="G3541" s="196">
        <v>1.398638006E9</v>
      </c>
      <c r="H3541" s="197">
        <v>30.76</v>
      </c>
      <c r="I3541" s="7" t="s">
        <v>16815</v>
      </c>
      <c r="J3541" s="7" t="s">
        <v>16582</v>
      </c>
      <c r="K3541" s="7" t="s">
        <v>16813</v>
      </c>
      <c r="L3541" s="198" t="s">
        <v>65</v>
      </c>
      <c r="M3541" s="194"/>
      <c r="N3541" s="194"/>
    </row>
    <row r="3542">
      <c r="A3542" s="193" t="s">
        <v>21360</v>
      </c>
      <c r="B3542" s="7" t="s">
        <v>17019</v>
      </c>
      <c r="C3542" s="7" t="s">
        <v>16838</v>
      </c>
      <c r="D3542" s="194">
        <v>1993.0</v>
      </c>
      <c r="E3542" s="193"/>
      <c r="F3542" s="195" t="s">
        <v>21361</v>
      </c>
      <c r="G3542" s="200">
        <v>1.398367227E9</v>
      </c>
      <c r="H3542" s="197">
        <v>9.4</v>
      </c>
      <c r="I3542" s="7" t="s">
        <v>16815</v>
      </c>
      <c r="J3542" s="7" t="s">
        <v>17019</v>
      </c>
      <c r="K3542" s="7" t="s">
        <v>16838</v>
      </c>
      <c r="L3542" s="201" t="s">
        <v>16835</v>
      </c>
      <c r="M3542" s="194"/>
      <c r="N3542" s="194"/>
    </row>
    <row r="3543">
      <c r="A3543" s="193" t="s">
        <v>21360</v>
      </c>
      <c r="B3543" s="7" t="s">
        <v>16838</v>
      </c>
      <c r="C3543" s="7" t="s">
        <v>17019</v>
      </c>
      <c r="D3543" s="194">
        <v>1993.0</v>
      </c>
      <c r="E3543" s="193"/>
      <c r="F3543" s="195" t="s">
        <v>21361</v>
      </c>
      <c r="G3543" s="196">
        <v>1.398367227E9</v>
      </c>
      <c r="H3543" s="197">
        <v>9.4</v>
      </c>
      <c r="I3543" s="7" t="s">
        <v>16815</v>
      </c>
      <c r="J3543" s="7" t="s">
        <v>16838</v>
      </c>
      <c r="K3543" s="7" t="s">
        <v>17019</v>
      </c>
      <c r="L3543" s="198" t="s">
        <v>65</v>
      </c>
      <c r="M3543" s="194"/>
      <c r="N3543" s="194"/>
    </row>
    <row r="3544">
      <c r="A3544" s="193" t="s">
        <v>21362</v>
      </c>
      <c r="B3544" s="7" t="s">
        <v>16838</v>
      </c>
      <c r="C3544" s="7" t="s">
        <v>17112</v>
      </c>
      <c r="D3544" s="199"/>
      <c r="E3544" s="193"/>
      <c r="F3544" s="195" t="s">
        <v>21363</v>
      </c>
      <c r="G3544" s="196">
        <v>1.393664875E9</v>
      </c>
      <c r="H3544" s="197">
        <v>2.08</v>
      </c>
      <c r="I3544" s="7" t="s">
        <v>16815</v>
      </c>
      <c r="J3544" s="7" t="s">
        <v>16838</v>
      </c>
      <c r="K3544" s="7" t="s">
        <v>17112</v>
      </c>
      <c r="L3544" s="198" t="s">
        <v>65</v>
      </c>
      <c r="M3544" s="199"/>
      <c r="N3544" s="199"/>
    </row>
    <row r="3545">
      <c r="A3545" s="193" t="s">
        <v>21364</v>
      </c>
      <c r="B3545" s="7" t="s">
        <v>187</v>
      </c>
      <c r="C3545" s="7" t="s">
        <v>16846</v>
      </c>
      <c r="D3545" s="194">
        <v>2020.0</v>
      </c>
      <c r="E3545" s="193"/>
      <c r="F3545" s="195" t="s">
        <v>21365</v>
      </c>
      <c r="G3545" s="196">
        <v>1.392840828E9</v>
      </c>
      <c r="H3545" s="197">
        <v>23.78</v>
      </c>
      <c r="I3545" s="7" t="s">
        <v>16815</v>
      </c>
      <c r="J3545" s="7" t="s">
        <v>187</v>
      </c>
      <c r="K3545" s="7" t="s">
        <v>16846</v>
      </c>
      <c r="L3545" s="198" t="s">
        <v>65</v>
      </c>
      <c r="M3545" s="194"/>
      <c r="N3545" s="194"/>
    </row>
    <row r="3546">
      <c r="A3546" s="193" t="s">
        <v>21366</v>
      </c>
      <c r="B3546" s="7" t="s">
        <v>16910</v>
      </c>
      <c r="C3546" s="7" t="s">
        <v>17013</v>
      </c>
      <c r="D3546" s="194">
        <v>2014.0</v>
      </c>
      <c r="E3546" s="193"/>
      <c r="F3546" s="195" t="s">
        <v>21367</v>
      </c>
      <c r="G3546" s="196">
        <v>1.391765191E9</v>
      </c>
      <c r="H3546" s="197">
        <v>15.42</v>
      </c>
      <c r="I3546" s="7" t="s">
        <v>127</v>
      </c>
      <c r="J3546" s="7" t="s">
        <v>16910</v>
      </c>
      <c r="K3546" s="7" t="s">
        <v>17013</v>
      </c>
      <c r="L3546" s="198" t="s">
        <v>65</v>
      </c>
      <c r="M3546" s="194"/>
      <c r="N3546" s="194"/>
    </row>
    <row r="3547">
      <c r="A3547" s="193" t="s">
        <v>21366</v>
      </c>
      <c r="B3547" s="7" t="s">
        <v>17013</v>
      </c>
      <c r="C3547" s="7" t="s">
        <v>16910</v>
      </c>
      <c r="D3547" s="194">
        <v>2014.0</v>
      </c>
      <c r="E3547" s="193"/>
      <c r="F3547" s="195" t="s">
        <v>21367</v>
      </c>
      <c r="G3547" s="200">
        <v>1.391765191E9</v>
      </c>
      <c r="H3547" s="197">
        <v>15.42</v>
      </c>
      <c r="I3547" s="7" t="s">
        <v>16815</v>
      </c>
      <c r="J3547" s="7" t="s">
        <v>17013</v>
      </c>
      <c r="K3547" s="7" t="s">
        <v>16910</v>
      </c>
      <c r="L3547" s="201" t="s">
        <v>16835</v>
      </c>
      <c r="M3547" s="194"/>
      <c r="N3547" s="194"/>
    </row>
    <row r="3548">
      <c r="A3548" s="193" t="s">
        <v>21368</v>
      </c>
      <c r="B3548" s="7" t="s">
        <v>16838</v>
      </c>
      <c r="C3548" s="7" t="s">
        <v>16867</v>
      </c>
      <c r="D3548" s="199"/>
      <c r="E3548" s="193"/>
      <c r="F3548" s="195" t="s">
        <v>21369</v>
      </c>
      <c r="G3548" s="196">
        <v>1.390482844E9</v>
      </c>
      <c r="H3548" s="197">
        <v>93.75</v>
      </c>
      <c r="I3548" s="7" t="s">
        <v>16815</v>
      </c>
      <c r="J3548" s="7" t="s">
        <v>16838</v>
      </c>
      <c r="K3548" s="7" t="s">
        <v>16867</v>
      </c>
      <c r="L3548" s="198" t="s">
        <v>65</v>
      </c>
      <c r="M3548" s="199"/>
      <c r="N3548" s="199"/>
    </row>
    <row r="3549">
      <c r="A3549" s="193" t="s">
        <v>21370</v>
      </c>
      <c r="B3549" s="7" t="s">
        <v>187</v>
      </c>
      <c r="C3549" s="7" t="s">
        <v>16969</v>
      </c>
      <c r="D3549" s="194">
        <v>2006.0</v>
      </c>
      <c r="E3549" s="193"/>
      <c r="F3549" s="195" t="s">
        <v>21371</v>
      </c>
      <c r="G3549" s="196">
        <v>1.390266773E9</v>
      </c>
      <c r="H3549" s="197">
        <v>10.2</v>
      </c>
      <c r="I3549" s="7" t="s">
        <v>16815</v>
      </c>
      <c r="J3549" s="7" t="s">
        <v>187</v>
      </c>
      <c r="K3549" s="7" t="s">
        <v>16969</v>
      </c>
      <c r="L3549" s="198" t="s">
        <v>65</v>
      </c>
      <c r="M3549" s="194"/>
      <c r="N3549" s="194"/>
    </row>
    <row r="3550">
      <c r="A3550" s="193" t="s">
        <v>21372</v>
      </c>
      <c r="B3550" s="7" t="s">
        <v>19579</v>
      </c>
      <c r="C3550" s="7" t="s">
        <v>16838</v>
      </c>
      <c r="D3550" s="194">
        <v>2021.0</v>
      </c>
      <c r="E3550" s="193"/>
      <c r="F3550" s="195" t="s">
        <v>21373</v>
      </c>
      <c r="G3550" s="200">
        <v>1.3891718E9</v>
      </c>
      <c r="H3550" s="197">
        <v>22.9</v>
      </c>
      <c r="I3550" s="7" t="s">
        <v>16815</v>
      </c>
      <c r="J3550" s="7" t="s">
        <v>19579</v>
      </c>
      <c r="K3550" s="7" t="s">
        <v>16838</v>
      </c>
      <c r="L3550" s="201" t="s">
        <v>16835</v>
      </c>
      <c r="M3550" s="194"/>
      <c r="N3550" s="194"/>
    </row>
    <row r="3551">
      <c r="A3551" s="193" t="s">
        <v>21372</v>
      </c>
      <c r="B3551" s="7" t="s">
        <v>16838</v>
      </c>
      <c r="C3551" s="7" t="s">
        <v>19579</v>
      </c>
      <c r="D3551" s="194">
        <v>2021.0</v>
      </c>
      <c r="E3551" s="193"/>
      <c r="F3551" s="195" t="s">
        <v>21373</v>
      </c>
      <c r="G3551" s="196">
        <v>1.3891718E9</v>
      </c>
      <c r="H3551" s="197">
        <v>22.9</v>
      </c>
      <c r="I3551" s="7" t="s">
        <v>16815</v>
      </c>
      <c r="J3551" s="7" t="s">
        <v>16838</v>
      </c>
      <c r="K3551" s="7" t="s">
        <v>19579</v>
      </c>
      <c r="L3551" s="198" t="s">
        <v>65</v>
      </c>
      <c r="M3551" s="194"/>
      <c r="N3551" s="194"/>
    </row>
    <row r="3552">
      <c r="A3552" s="193" t="s">
        <v>21374</v>
      </c>
      <c r="B3552" s="7" t="s">
        <v>16838</v>
      </c>
      <c r="C3552" s="7" t="s">
        <v>16867</v>
      </c>
      <c r="D3552" s="199"/>
      <c r="E3552" s="193"/>
      <c r="F3552" s="195" t="s">
        <v>21375</v>
      </c>
      <c r="G3552" s="196">
        <v>1.388526391E9</v>
      </c>
      <c r="H3552" s="197">
        <v>23.2013</v>
      </c>
      <c r="I3552" s="7" t="s">
        <v>16815</v>
      </c>
      <c r="J3552" s="7" t="s">
        <v>16838</v>
      </c>
      <c r="K3552" s="7" t="s">
        <v>16867</v>
      </c>
      <c r="L3552" s="198" t="s">
        <v>65</v>
      </c>
      <c r="M3552" s="199"/>
      <c r="N3552" s="199"/>
    </row>
    <row r="3553">
      <c r="A3553" s="193" t="s">
        <v>21376</v>
      </c>
      <c r="B3553" s="7" t="s">
        <v>16838</v>
      </c>
      <c r="C3553" s="7" t="s">
        <v>17202</v>
      </c>
      <c r="D3553" s="199"/>
      <c r="E3553" s="193"/>
      <c r="F3553" s="195" t="s">
        <v>21377</v>
      </c>
      <c r="G3553" s="196">
        <v>1.388499124E9</v>
      </c>
      <c r="H3553" s="197">
        <v>193.25</v>
      </c>
      <c r="I3553" s="7" t="s">
        <v>16815</v>
      </c>
      <c r="J3553" s="7" t="s">
        <v>16838</v>
      </c>
      <c r="K3553" s="7" t="s">
        <v>17202</v>
      </c>
      <c r="L3553" s="198" t="s">
        <v>65</v>
      </c>
      <c r="M3553" s="199"/>
      <c r="N3553" s="199"/>
    </row>
    <row r="3554">
      <c r="A3554" s="193" t="s">
        <v>21378</v>
      </c>
      <c r="B3554" s="7" t="s">
        <v>187</v>
      </c>
      <c r="C3554" s="7" t="s">
        <v>16846</v>
      </c>
      <c r="D3554" s="194">
        <v>2020.0</v>
      </c>
      <c r="E3554" s="193"/>
      <c r="F3554" s="195" t="s">
        <v>21379</v>
      </c>
      <c r="G3554" s="196">
        <v>1.387649316E9</v>
      </c>
      <c r="H3554" s="197">
        <v>13.12</v>
      </c>
      <c r="I3554" s="7" t="s">
        <v>16815</v>
      </c>
      <c r="J3554" s="7" t="s">
        <v>187</v>
      </c>
      <c r="K3554" s="7" t="s">
        <v>16846</v>
      </c>
      <c r="L3554" s="198" t="s">
        <v>65</v>
      </c>
      <c r="M3554" s="194"/>
      <c r="N3554" s="194"/>
    </row>
    <row r="3555">
      <c r="A3555" s="193" t="s">
        <v>21380</v>
      </c>
      <c r="B3555" s="7" t="s">
        <v>169</v>
      </c>
      <c r="C3555" s="7" t="s">
        <v>16899</v>
      </c>
      <c r="D3555" s="199"/>
      <c r="E3555" s="193"/>
      <c r="F3555" s="195" t="s">
        <v>21381</v>
      </c>
      <c r="G3555" s="196">
        <v>1.384755369E9</v>
      </c>
      <c r="H3555" s="197">
        <v>36.38</v>
      </c>
      <c r="I3555" s="7" t="s">
        <v>16815</v>
      </c>
      <c r="J3555" s="7" t="s">
        <v>169</v>
      </c>
      <c r="K3555" s="7" t="s">
        <v>16899</v>
      </c>
      <c r="L3555" s="198" t="s">
        <v>65</v>
      </c>
      <c r="M3555" s="199"/>
      <c r="N3555" s="199"/>
    </row>
    <row r="3556">
      <c r="A3556" s="193" t="s">
        <v>21380</v>
      </c>
      <c r="B3556" s="7" t="s">
        <v>16899</v>
      </c>
      <c r="C3556" s="7" t="s">
        <v>169</v>
      </c>
      <c r="D3556" s="199"/>
      <c r="E3556" s="193"/>
      <c r="F3556" s="195" t="s">
        <v>21381</v>
      </c>
      <c r="G3556" s="200">
        <v>1.384755369E9</v>
      </c>
      <c r="H3556" s="197">
        <v>36.38</v>
      </c>
      <c r="I3556" s="7" t="s">
        <v>16815</v>
      </c>
      <c r="J3556" s="7" t="s">
        <v>16899</v>
      </c>
      <c r="K3556" s="7" t="s">
        <v>169</v>
      </c>
      <c r="L3556" s="201" t="s">
        <v>16835</v>
      </c>
      <c r="M3556" s="199"/>
      <c r="N3556" s="199"/>
    </row>
    <row r="3557">
      <c r="A3557" s="193" t="s">
        <v>21382</v>
      </c>
      <c r="B3557" s="7" t="s">
        <v>17019</v>
      </c>
      <c r="C3557" s="7" t="s">
        <v>16838</v>
      </c>
      <c r="D3557" s="194">
        <v>1992.0</v>
      </c>
      <c r="E3557" s="193"/>
      <c r="F3557" s="195" t="s">
        <v>21383</v>
      </c>
      <c r="G3557" s="200">
        <v>1.38349098E9</v>
      </c>
      <c r="H3557" s="197">
        <v>9.3</v>
      </c>
      <c r="I3557" s="7" t="s">
        <v>16815</v>
      </c>
      <c r="J3557" s="7" t="s">
        <v>17019</v>
      </c>
      <c r="K3557" s="7" t="s">
        <v>16838</v>
      </c>
      <c r="L3557" s="201" t="s">
        <v>16835</v>
      </c>
      <c r="M3557" s="194"/>
      <c r="N3557" s="194"/>
    </row>
    <row r="3558">
      <c r="A3558" s="193" t="s">
        <v>21382</v>
      </c>
      <c r="B3558" s="7" t="s">
        <v>16838</v>
      </c>
      <c r="C3558" s="7" t="s">
        <v>17019</v>
      </c>
      <c r="D3558" s="194">
        <v>1992.0</v>
      </c>
      <c r="E3558" s="193"/>
      <c r="F3558" s="195" t="s">
        <v>21383</v>
      </c>
      <c r="G3558" s="196">
        <v>1.38349098E9</v>
      </c>
      <c r="H3558" s="197">
        <v>9.3</v>
      </c>
      <c r="I3558" s="7" t="s">
        <v>16815</v>
      </c>
      <c r="J3558" s="7" t="s">
        <v>16838</v>
      </c>
      <c r="K3558" s="7" t="s">
        <v>17019</v>
      </c>
      <c r="L3558" s="198" t="s">
        <v>65</v>
      </c>
      <c r="M3558" s="194"/>
      <c r="N3558" s="194"/>
    </row>
    <row r="3559">
      <c r="A3559" s="193" t="s">
        <v>21384</v>
      </c>
      <c r="B3559" s="7" t="s">
        <v>17111</v>
      </c>
      <c r="C3559" s="7" t="s">
        <v>17112</v>
      </c>
      <c r="D3559" s="194">
        <v>2013.0</v>
      </c>
      <c r="E3559" s="193"/>
      <c r="F3559" s="195" t="s">
        <v>21385</v>
      </c>
      <c r="G3559" s="200">
        <v>1.382704085E9</v>
      </c>
      <c r="H3559" s="197">
        <v>8.51</v>
      </c>
      <c r="I3559" s="7" t="s">
        <v>16815</v>
      </c>
      <c r="J3559" s="7" t="s">
        <v>17111</v>
      </c>
      <c r="K3559" s="7" t="s">
        <v>17112</v>
      </c>
      <c r="L3559" s="201" t="s">
        <v>16835</v>
      </c>
      <c r="M3559" s="194"/>
      <c r="N3559" s="194"/>
    </row>
    <row r="3560">
      <c r="A3560" s="193" t="s">
        <v>21384</v>
      </c>
      <c r="B3560" s="7" t="s">
        <v>17112</v>
      </c>
      <c r="C3560" s="7" t="s">
        <v>17111</v>
      </c>
      <c r="D3560" s="194">
        <v>2013.0</v>
      </c>
      <c r="E3560" s="193"/>
      <c r="F3560" s="195" t="s">
        <v>21385</v>
      </c>
      <c r="G3560" s="196">
        <v>1.382704085E9</v>
      </c>
      <c r="H3560" s="197">
        <v>8.51</v>
      </c>
      <c r="I3560" s="7" t="s">
        <v>16815</v>
      </c>
      <c r="J3560" s="7" t="s">
        <v>17112</v>
      </c>
      <c r="K3560" s="7" t="s">
        <v>17111</v>
      </c>
      <c r="L3560" s="198" t="s">
        <v>65</v>
      </c>
      <c r="M3560" s="194"/>
      <c r="N3560" s="194"/>
    </row>
    <row r="3561">
      <c r="A3561" s="193" t="s">
        <v>21386</v>
      </c>
      <c r="B3561" s="7" t="s">
        <v>17019</v>
      </c>
      <c r="C3561" s="7" t="s">
        <v>16838</v>
      </c>
      <c r="D3561" s="199"/>
      <c r="E3561" s="193"/>
      <c r="F3561" s="195" t="s">
        <v>21387</v>
      </c>
      <c r="G3561" s="200">
        <v>1.380515731E9</v>
      </c>
      <c r="H3561" s="197">
        <v>9.28</v>
      </c>
      <c r="I3561" s="7" t="s">
        <v>16815</v>
      </c>
      <c r="J3561" s="7" t="s">
        <v>17019</v>
      </c>
      <c r="K3561" s="7" t="s">
        <v>16838</v>
      </c>
      <c r="L3561" s="201" t="s">
        <v>16835</v>
      </c>
      <c r="M3561" s="199"/>
      <c r="N3561" s="199"/>
    </row>
    <row r="3562">
      <c r="A3562" s="193" t="s">
        <v>21386</v>
      </c>
      <c r="B3562" s="7" t="s">
        <v>16838</v>
      </c>
      <c r="C3562" s="7" t="s">
        <v>17019</v>
      </c>
      <c r="D3562" s="199"/>
      <c r="E3562" s="193"/>
      <c r="F3562" s="195" t="s">
        <v>21387</v>
      </c>
      <c r="G3562" s="196">
        <v>1.380515731E9</v>
      </c>
      <c r="H3562" s="197">
        <v>9.28</v>
      </c>
      <c r="I3562" s="7" t="s">
        <v>16815</v>
      </c>
      <c r="J3562" s="7" t="s">
        <v>16838</v>
      </c>
      <c r="K3562" s="7" t="s">
        <v>17019</v>
      </c>
      <c r="L3562" s="198" t="s">
        <v>65</v>
      </c>
      <c r="M3562" s="199"/>
      <c r="N3562" s="199"/>
    </row>
    <row r="3563">
      <c r="A3563" s="193" t="s">
        <v>21388</v>
      </c>
      <c r="B3563" s="7" t="s">
        <v>169</v>
      </c>
      <c r="C3563" s="7" t="s">
        <v>16899</v>
      </c>
      <c r="D3563" s="199"/>
      <c r="E3563" s="193"/>
      <c r="F3563" s="195" t="s">
        <v>21389</v>
      </c>
      <c r="G3563" s="196">
        <v>1.379367723E9</v>
      </c>
      <c r="H3563" s="197">
        <v>22.24</v>
      </c>
      <c r="I3563" s="7" t="s">
        <v>16815</v>
      </c>
      <c r="J3563" s="7" t="s">
        <v>169</v>
      </c>
      <c r="K3563" s="7" t="s">
        <v>16899</v>
      </c>
      <c r="L3563" s="198" t="s">
        <v>65</v>
      </c>
      <c r="M3563" s="199"/>
      <c r="N3563" s="199"/>
    </row>
    <row r="3564">
      <c r="A3564" s="193" t="s">
        <v>21390</v>
      </c>
      <c r="B3564" s="7" t="s">
        <v>16945</v>
      </c>
      <c r="C3564" s="7" t="s">
        <v>169</v>
      </c>
      <c r="D3564" s="194">
        <v>2016.0</v>
      </c>
      <c r="E3564" s="193"/>
      <c r="F3564" s="195" t="s">
        <v>21391</v>
      </c>
      <c r="G3564" s="200">
        <v>1.374251919E9</v>
      </c>
      <c r="H3564" s="197">
        <v>37.93</v>
      </c>
      <c r="I3564" s="7" t="s">
        <v>16815</v>
      </c>
      <c r="J3564" s="7" t="s">
        <v>16945</v>
      </c>
      <c r="K3564" s="7" t="s">
        <v>169</v>
      </c>
      <c r="L3564" s="201" t="s">
        <v>16835</v>
      </c>
      <c r="M3564" s="194"/>
      <c r="N3564" s="194"/>
    </row>
    <row r="3565">
      <c r="A3565" s="193" t="s">
        <v>21390</v>
      </c>
      <c r="B3565" s="7" t="s">
        <v>169</v>
      </c>
      <c r="C3565" s="7" t="s">
        <v>16945</v>
      </c>
      <c r="D3565" s="194">
        <v>2016.0</v>
      </c>
      <c r="E3565" s="193"/>
      <c r="F3565" s="195" t="s">
        <v>21391</v>
      </c>
      <c r="G3565" s="196">
        <v>1.374251919E9</v>
      </c>
      <c r="H3565" s="197">
        <v>37.93</v>
      </c>
      <c r="I3565" s="7" t="s">
        <v>16815</v>
      </c>
      <c r="J3565" s="7" t="s">
        <v>169</v>
      </c>
      <c r="K3565" s="7" t="s">
        <v>16945</v>
      </c>
      <c r="L3565" s="198" t="s">
        <v>65</v>
      </c>
      <c r="M3565" s="194"/>
      <c r="N3565" s="194"/>
    </row>
    <row r="3566">
      <c r="A3566" s="193" t="s">
        <v>21392</v>
      </c>
      <c r="B3566" s="7" t="s">
        <v>17112</v>
      </c>
      <c r="C3566" s="7" t="s">
        <v>17111</v>
      </c>
      <c r="D3566" s="199"/>
      <c r="E3566" s="193"/>
      <c r="F3566" s="195" t="s">
        <v>21393</v>
      </c>
      <c r="G3566" s="196">
        <v>1.37152316E9</v>
      </c>
      <c r="H3566" s="197">
        <v>12.29</v>
      </c>
      <c r="I3566" s="7" t="s">
        <v>16815</v>
      </c>
      <c r="J3566" s="7" t="s">
        <v>17112</v>
      </c>
      <c r="K3566" s="7" t="s">
        <v>17111</v>
      </c>
      <c r="L3566" s="198" t="s">
        <v>65</v>
      </c>
      <c r="M3566" s="199"/>
      <c r="N3566" s="199"/>
    </row>
    <row r="3567">
      <c r="A3567" s="193" t="s">
        <v>21394</v>
      </c>
      <c r="B3567" s="7" t="s">
        <v>16838</v>
      </c>
      <c r="C3567" s="7" t="s">
        <v>16867</v>
      </c>
      <c r="D3567" s="199"/>
      <c r="E3567" s="193"/>
      <c r="F3567" s="195" t="s">
        <v>21395</v>
      </c>
      <c r="G3567" s="196">
        <v>1.371407014E9</v>
      </c>
      <c r="H3567" s="197">
        <v>23.1</v>
      </c>
      <c r="I3567" s="7" t="s">
        <v>16815</v>
      </c>
      <c r="J3567" s="7" t="s">
        <v>16838</v>
      </c>
      <c r="K3567" s="7" t="s">
        <v>16867</v>
      </c>
      <c r="L3567" s="198" t="s">
        <v>65</v>
      </c>
      <c r="M3567" s="199"/>
      <c r="N3567" s="199"/>
    </row>
    <row r="3568">
      <c r="A3568" s="193" t="s">
        <v>21396</v>
      </c>
      <c r="B3568" s="7" t="s">
        <v>17111</v>
      </c>
      <c r="C3568" s="7" t="s">
        <v>17112</v>
      </c>
      <c r="D3568" s="199"/>
      <c r="E3568" s="193"/>
      <c r="F3568" s="195" t="s">
        <v>21397</v>
      </c>
      <c r="G3568" s="200">
        <v>1.370998978E9</v>
      </c>
      <c r="H3568" s="197">
        <v>14.38</v>
      </c>
      <c r="I3568" s="7" t="s">
        <v>16815</v>
      </c>
      <c r="J3568" s="7" t="s">
        <v>17111</v>
      </c>
      <c r="K3568" s="7" t="s">
        <v>17112</v>
      </c>
      <c r="L3568" s="201" t="s">
        <v>16835</v>
      </c>
      <c r="M3568" s="199"/>
      <c r="N3568" s="199"/>
    </row>
    <row r="3569">
      <c r="A3569" s="193" t="s">
        <v>21396</v>
      </c>
      <c r="B3569" s="7" t="s">
        <v>17112</v>
      </c>
      <c r="C3569" s="7" t="s">
        <v>17111</v>
      </c>
      <c r="D3569" s="199"/>
      <c r="E3569" s="193"/>
      <c r="F3569" s="195" t="s">
        <v>21397</v>
      </c>
      <c r="G3569" s="196">
        <v>1.370998978E9</v>
      </c>
      <c r="H3569" s="197">
        <v>14.38</v>
      </c>
      <c r="I3569" s="7" t="s">
        <v>16815</v>
      </c>
      <c r="J3569" s="7" t="s">
        <v>17112</v>
      </c>
      <c r="K3569" s="7" t="s">
        <v>17111</v>
      </c>
      <c r="L3569" s="198" t="s">
        <v>65</v>
      </c>
      <c r="M3569" s="199"/>
      <c r="N3569" s="199"/>
    </row>
    <row r="3570">
      <c r="A3570" s="193" t="s">
        <v>21398</v>
      </c>
      <c r="B3570" s="7" t="s">
        <v>187</v>
      </c>
      <c r="C3570" s="7" t="s">
        <v>16846</v>
      </c>
      <c r="D3570" s="194">
        <v>2006.0</v>
      </c>
      <c r="E3570" s="193"/>
      <c r="F3570" s="195" t="s">
        <v>21399</v>
      </c>
      <c r="G3570" s="196">
        <v>1.36995721E9</v>
      </c>
      <c r="H3570" s="197">
        <v>12.85</v>
      </c>
      <c r="I3570" s="7" t="s">
        <v>16815</v>
      </c>
      <c r="J3570" s="7" t="s">
        <v>187</v>
      </c>
      <c r="K3570" s="7" t="s">
        <v>16846</v>
      </c>
      <c r="L3570" s="198" t="s">
        <v>65</v>
      </c>
      <c r="M3570" s="194"/>
      <c r="N3570" s="194"/>
    </row>
    <row r="3571">
      <c r="A3571" s="193" t="s">
        <v>21400</v>
      </c>
      <c r="B3571" s="7" t="s">
        <v>175</v>
      </c>
      <c r="C3571" s="7" t="s">
        <v>16939</v>
      </c>
      <c r="D3571" s="194">
        <v>2018.0</v>
      </c>
      <c r="E3571" s="193"/>
      <c r="F3571" s="195" t="s">
        <v>21401</v>
      </c>
      <c r="G3571" s="196">
        <v>1.369797117E9</v>
      </c>
      <c r="H3571" s="197">
        <v>10.68</v>
      </c>
      <c r="I3571" s="7" t="s">
        <v>17242</v>
      </c>
      <c r="J3571" s="7" t="s">
        <v>175</v>
      </c>
      <c r="K3571" s="7" t="s">
        <v>16939</v>
      </c>
      <c r="L3571" s="198" t="s">
        <v>65</v>
      </c>
      <c r="M3571" s="194"/>
      <c r="N3571" s="194"/>
    </row>
    <row r="3572">
      <c r="A3572" s="193" t="s">
        <v>21402</v>
      </c>
      <c r="D3572" s="194">
        <v>2023.0</v>
      </c>
      <c r="E3572" s="193"/>
      <c r="F3572" s="195" t="s">
        <v>21403</v>
      </c>
      <c r="G3572" s="196">
        <v>1.367658E9</v>
      </c>
      <c r="H3572" s="197">
        <v>17.67</v>
      </c>
      <c r="I3572" s="7" t="s">
        <v>16815</v>
      </c>
      <c r="L3572" s="198" t="s">
        <v>65</v>
      </c>
      <c r="M3572" s="194"/>
      <c r="N3572" s="194"/>
    </row>
    <row r="3573">
      <c r="A3573" s="193" t="s">
        <v>21402</v>
      </c>
      <c r="D3573" s="194">
        <v>2023.0</v>
      </c>
      <c r="E3573" s="193"/>
      <c r="F3573" s="195" t="s">
        <v>21403</v>
      </c>
      <c r="G3573" s="200">
        <v>1.367658E9</v>
      </c>
      <c r="H3573" s="197">
        <v>17.67</v>
      </c>
      <c r="L3573" s="201" t="s">
        <v>16835</v>
      </c>
      <c r="M3573" s="194"/>
      <c r="N3573" s="194"/>
    </row>
    <row r="3574">
      <c r="A3574" s="193" t="s">
        <v>21404</v>
      </c>
      <c r="B3574" s="7" t="s">
        <v>16838</v>
      </c>
      <c r="C3574" s="7" t="s">
        <v>16867</v>
      </c>
      <c r="D3574" s="194">
        <v>2017.0</v>
      </c>
      <c r="E3574" s="193"/>
      <c r="F3574" s="195" t="s">
        <v>21405</v>
      </c>
      <c r="G3574" s="196">
        <v>1.36629868E9</v>
      </c>
      <c r="H3574" s="197">
        <v>31.6</v>
      </c>
      <c r="I3574" s="7" t="s">
        <v>16815</v>
      </c>
      <c r="J3574" s="7" t="s">
        <v>16838</v>
      </c>
      <c r="K3574" s="7" t="s">
        <v>16867</v>
      </c>
      <c r="L3574" s="198" t="s">
        <v>65</v>
      </c>
      <c r="M3574" s="194"/>
      <c r="N3574" s="194"/>
    </row>
    <row r="3575">
      <c r="A3575" s="193" t="s">
        <v>21406</v>
      </c>
      <c r="B3575" s="7" t="s">
        <v>17321</v>
      </c>
      <c r="C3575" s="7" t="s">
        <v>169</v>
      </c>
      <c r="D3575" s="194">
        <v>2021.0</v>
      </c>
      <c r="E3575" s="193"/>
      <c r="F3575" s="195" t="s">
        <v>21407</v>
      </c>
      <c r="G3575" s="200">
        <v>1.362774736E9</v>
      </c>
      <c r="H3575" s="197">
        <v>41.23</v>
      </c>
      <c r="I3575" s="7" t="s">
        <v>16815</v>
      </c>
      <c r="J3575" s="7" t="s">
        <v>17321</v>
      </c>
      <c r="K3575" s="7" t="s">
        <v>169</v>
      </c>
      <c r="L3575" s="201" t="s">
        <v>16835</v>
      </c>
      <c r="M3575" s="194"/>
      <c r="N3575" s="194"/>
    </row>
    <row r="3576">
      <c r="A3576" s="193" t="s">
        <v>21406</v>
      </c>
      <c r="B3576" s="7" t="s">
        <v>169</v>
      </c>
      <c r="C3576" s="7" t="s">
        <v>17321</v>
      </c>
      <c r="D3576" s="194">
        <v>2021.0</v>
      </c>
      <c r="E3576" s="193"/>
      <c r="F3576" s="195" t="s">
        <v>21407</v>
      </c>
      <c r="G3576" s="196">
        <v>1.362774736E9</v>
      </c>
      <c r="H3576" s="197">
        <v>41.23</v>
      </c>
      <c r="I3576" s="7" t="s">
        <v>16815</v>
      </c>
      <c r="J3576" s="7" t="s">
        <v>169</v>
      </c>
      <c r="K3576" s="7" t="s">
        <v>17321</v>
      </c>
      <c r="L3576" s="198" t="s">
        <v>65</v>
      </c>
      <c r="M3576" s="194"/>
      <c r="N3576" s="194"/>
    </row>
    <row r="3577">
      <c r="A3577" s="193" t="s">
        <v>21408</v>
      </c>
      <c r="D3577" s="194">
        <v>2006.0</v>
      </c>
      <c r="E3577" s="193"/>
      <c r="F3577" s="195" t="s">
        <v>21409</v>
      </c>
      <c r="G3577" s="196">
        <v>1.3619648E9</v>
      </c>
      <c r="H3577" s="197">
        <v>21.07</v>
      </c>
      <c r="I3577" s="7" t="s">
        <v>16815</v>
      </c>
      <c r="L3577" s="198" t="s">
        <v>65</v>
      </c>
      <c r="M3577" s="194"/>
      <c r="N3577" s="194"/>
    </row>
    <row r="3578">
      <c r="A3578" s="193" t="s">
        <v>21410</v>
      </c>
      <c r="B3578" s="7" t="s">
        <v>175</v>
      </c>
      <c r="C3578" s="7" t="s">
        <v>16854</v>
      </c>
      <c r="D3578" s="199"/>
      <c r="E3578" s="193"/>
      <c r="F3578" s="195" t="s">
        <v>21411</v>
      </c>
      <c r="G3578" s="196">
        <v>1.36152525E9</v>
      </c>
      <c r="H3578" s="197">
        <v>27.6</v>
      </c>
      <c r="I3578" s="7" t="s">
        <v>174</v>
      </c>
      <c r="J3578" s="7" t="s">
        <v>175</v>
      </c>
      <c r="K3578" s="7" t="s">
        <v>16854</v>
      </c>
      <c r="L3578" s="198" t="s">
        <v>65</v>
      </c>
      <c r="M3578" s="199"/>
      <c r="N3578" s="199"/>
    </row>
    <row r="3579">
      <c r="A3579" s="193" t="s">
        <v>21410</v>
      </c>
      <c r="B3579" s="7" t="s">
        <v>16854</v>
      </c>
      <c r="C3579" s="7" t="s">
        <v>175</v>
      </c>
      <c r="D3579" s="199"/>
      <c r="E3579" s="193"/>
      <c r="F3579" s="195" t="s">
        <v>21411</v>
      </c>
      <c r="G3579" s="200">
        <v>1.36152525E9</v>
      </c>
      <c r="H3579" s="197">
        <v>27.6</v>
      </c>
      <c r="I3579" s="7" t="s">
        <v>16815</v>
      </c>
      <c r="J3579" s="7" t="s">
        <v>16854</v>
      </c>
      <c r="K3579" s="7" t="s">
        <v>175</v>
      </c>
      <c r="L3579" s="201" t="s">
        <v>16835</v>
      </c>
      <c r="M3579" s="199"/>
      <c r="N3579" s="199"/>
    </row>
    <row r="3580">
      <c r="A3580" s="193" t="s">
        <v>21412</v>
      </c>
      <c r="B3580" s="7" t="s">
        <v>16582</v>
      </c>
      <c r="C3580" s="7" t="s">
        <v>16817</v>
      </c>
      <c r="D3580" s="194">
        <v>1992.0</v>
      </c>
      <c r="E3580" s="193"/>
      <c r="F3580" s="195" t="s">
        <v>21413</v>
      </c>
      <c r="G3580" s="196">
        <v>1.3613488E9</v>
      </c>
      <c r="H3580" s="197">
        <v>24.68</v>
      </c>
      <c r="I3580" s="7" t="s">
        <v>16815</v>
      </c>
      <c r="J3580" s="7" t="s">
        <v>16582</v>
      </c>
      <c r="K3580" s="7" t="s">
        <v>16817</v>
      </c>
      <c r="L3580" s="198" t="s">
        <v>65</v>
      </c>
      <c r="M3580" s="194"/>
      <c r="N3580" s="194"/>
    </row>
    <row r="3581">
      <c r="A3581" s="193" t="s">
        <v>21414</v>
      </c>
      <c r="B3581" s="7" t="s">
        <v>16838</v>
      </c>
      <c r="C3581" s="7" t="s">
        <v>16867</v>
      </c>
      <c r="D3581" s="199"/>
      <c r="E3581" s="193"/>
      <c r="F3581" s="195" t="s">
        <v>21415</v>
      </c>
      <c r="G3581" s="196">
        <v>1.36078828E9</v>
      </c>
      <c r="H3581" s="197">
        <v>22.9</v>
      </c>
      <c r="I3581" s="7" t="s">
        <v>16815</v>
      </c>
      <c r="J3581" s="7" t="s">
        <v>16838</v>
      </c>
      <c r="K3581" s="7" t="s">
        <v>16867</v>
      </c>
      <c r="L3581" s="198" t="s">
        <v>65</v>
      </c>
      <c r="M3581" s="199"/>
      <c r="N3581" s="199"/>
    </row>
    <row r="3582">
      <c r="A3582" s="193" t="s">
        <v>21416</v>
      </c>
      <c r="B3582" s="7" t="s">
        <v>16582</v>
      </c>
      <c r="C3582" s="7" t="s">
        <v>16930</v>
      </c>
      <c r="D3582" s="194">
        <v>2010.0</v>
      </c>
      <c r="E3582" s="193"/>
      <c r="F3582" s="195" t="s">
        <v>21417</v>
      </c>
      <c r="G3582" s="196">
        <v>1.358691646E9</v>
      </c>
      <c r="H3582" s="197">
        <v>21.14</v>
      </c>
      <c r="I3582" s="7" t="s">
        <v>16815</v>
      </c>
      <c r="J3582" s="7" t="s">
        <v>16582</v>
      </c>
      <c r="K3582" s="7" t="s">
        <v>16930</v>
      </c>
      <c r="L3582" s="198" t="s">
        <v>65</v>
      </c>
      <c r="M3582" s="194"/>
      <c r="N3582" s="194"/>
    </row>
    <row r="3583">
      <c r="A3583" s="193" t="s">
        <v>21418</v>
      </c>
      <c r="B3583" s="7" t="s">
        <v>16582</v>
      </c>
      <c r="C3583" s="7" t="s">
        <v>16828</v>
      </c>
      <c r="D3583" s="194">
        <v>2010.0</v>
      </c>
      <c r="E3583" s="193"/>
      <c r="F3583" s="195" t="s">
        <v>21419</v>
      </c>
      <c r="G3583" s="196">
        <v>1.357985672E9</v>
      </c>
      <c r="H3583" s="197">
        <v>16.65</v>
      </c>
      <c r="I3583" s="7" t="s">
        <v>16815</v>
      </c>
      <c r="J3583" s="7" t="s">
        <v>16582</v>
      </c>
      <c r="K3583" s="7" t="s">
        <v>16828</v>
      </c>
      <c r="L3583" s="198" t="s">
        <v>65</v>
      </c>
      <c r="M3583" s="194"/>
      <c r="N3583" s="194"/>
    </row>
    <row r="3584">
      <c r="A3584" s="193" t="s">
        <v>21420</v>
      </c>
      <c r="B3584" s="7" t="s">
        <v>16838</v>
      </c>
      <c r="C3584" s="7" t="s">
        <v>17347</v>
      </c>
      <c r="D3584" s="199"/>
      <c r="E3584" s="193"/>
      <c r="F3584" s="195" t="s">
        <v>21421</v>
      </c>
      <c r="G3584" s="196">
        <v>1.354721238E9</v>
      </c>
      <c r="H3584" s="197">
        <v>21.1</v>
      </c>
      <c r="I3584" s="7" t="s">
        <v>16815</v>
      </c>
      <c r="J3584" s="7" t="s">
        <v>16838</v>
      </c>
      <c r="K3584" s="7" t="s">
        <v>17347</v>
      </c>
      <c r="L3584" s="198" t="s">
        <v>65</v>
      </c>
      <c r="M3584" s="199"/>
      <c r="N3584" s="199"/>
    </row>
    <row r="3585">
      <c r="A3585" s="193" t="s">
        <v>21422</v>
      </c>
      <c r="B3585" s="7" t="s">
        <v>175</v>
      </c>
      <c r="C3585" s="7" t="s">
        <v>16899</v>
      </c>
      <c r="D3585" s="194">
        <v>2020.0</v>
      </c>
      <c r="E3585" s="193"/>
      <c r="F3585" s="195" t="s">
        <v>21423</v>
      </c>
      <c r="G3585" s="196">
        <v>1.354575843E9</v>
      </c>
      <c r="H3585" s="197">
        <v>6.95</v>
      </c>
      <c r="I3585" s="7" t="s">
        <v>16892</v>
      </c>
      <c r="J3585" s="7" t="s">
        <v>175</v>
      </c>
      <c r="K3585" s="7" t="s">
        <v>16899</v>
      </c>
      <c r="L3585" s="198" t="s">
        <v>65</v>
      </c>
      <c r="M3585" s="194"/>
      <c r="N3585" s="194"/>
    </row>
    <row r="3586">
      <c r="A3586" s="193" t="s">
        <v>21424</v>
      </c>
      <c r="B3586" s="7" t="s">
        <v>16838</v>
      </c>
      <c r="C3586" s="7" t="s">
        <v>16867</v>
      </c>
      <c r="D3586" s="199"/>
      <c r="E3586" s="193"/>
      <c r="F3586" s="195" t="s">
        <v>21425</v>
      </c>
      <c r="G3586" s="196">
        <v>1.353734423E9</v>
      </c>
      <c r="H3586" s="197">
        <v>36.21</v>
      </c>
      <c r="I3586" s="7" t="s">
        <v>16815</v>
      </c>
      <c r="J3586" s="7" t="s">
        <v>16838</v>
      </c>
      <c r="K3586" s="7" t="s">
        <v>16867</v>
      </c>
      <c r="L3586" s="198" t="s">
        <v>65</v>
      </c>
      <c r="M3586" s="199"/>
      <c r="N3586" s="199"/>
    </row>
    <row r="3587">
      <c r="A3587" s="193" t="s">
        <v>21426</v>
      </c>
      <c r="B3587" s="7" t="s">
        <v>169</v>
      </c>
      <c r="C3587" s="7" t="s">
        <v>16899</v>
      </c>
      <c r="D3587" s="199"/>
      <c r="E3587" s="193"/>
      <c r="F3587" s="195" t="s">
        <v>21427</v>
      </c>
      <c r="G3587" s="196">
        <v>1.353386936E9</v>
      </c>
      <c r="H3587" s="197">
        <v>122.92</v>
      </c>
      <c r="I3587" s="7" t="s">
        <v>16815</v>
      </c>
      <c r="J3587" s="7" t="s">
        <v>169</v>
      </c>
      <c r="K3587" s="7" t="s">
        <v>16899</v>
      </c>
      <c r="L3587" s="198" t="s">
        <v>65</v>
      </c>
      <c r="M3587" s="199"/>
      <c r="N3587" s="199"/>
    </row>
    <row r="3588">
      <c r="A3588" s="193" t="s">
        <v>21426</v>
      </c>
      <c r="B3588" s="7" t="s">
        <v>16899</v>
      </c>
      <c r="C3588" s="7" t="s">
        <v>169</v>
      </c>
      <c r="D3588" s="199"/>
      <c r="E3588" s="193"/>
      <c r="F3588" s="195" t="s">
        <v>21427</v>
      </c>
      <c r="G3588" s="200">
        <v>1.353386936E9</v>
      </c>
      <c r="H3588" s="197">
        <v>122.92</v>
      </c>
      <c r="I3588" s="7" t="s">
        <v>16815</v>
      </c>
      <c r="J3588" s="7" t="s">
        <v>16899</v>
      </c>
      <c r="K3588" s="7" t="s">
        <v>169</v>
      </c>
      <c r="L3588" s="201" t="s">
        <v>16835</v>
      </c>
      <c r="M3588" s="199"/>
      <c r="N3588" s="199"/>
    </row>
    <row r="3589">
      <c r="A3589" s="193" t="s">
        <v>21428</v>
      </c>
      <c r="B3589" s="7" t="s">
        <v>16838</v>
      </c>
      <c r="C3589" s="7" t="s">
        <v>16867</v>
      </c>
      <c r="D3589" s="194">
        <v>2009.0</v>
      </c>
      <c r="E3589" s="193"/>
      <c r="F3589" s="195" t="s">
        <v>21429</v>
      </c>
      <c r="G3589" s="196">
        <v>1.352391433E9</v>
      </c>
      <c r="H3589" s="197">
        <v>10.64</v>
      </c>
      <c r="I3589" s="7" t="s">
        <v>16815</v>
      </c>
      <c r="J3589" s="7" t="s">
        <v>16838</v>
      </c>
      <c r="K3589" s="7" t="s">
        <v>16867</v>
      </c>
      <c r="L3589" s="198" t="s">
        <v>65</v>
      </c>
      <c r="M3589" s="194"/>
      <c r="N3589" s="194"/>
    </row>
    <row r="3590">
      <c r="A3590" s="193" t="s">
        <v>21430</v>
      </c>
      <c r="B3590" s="7" t="s">
        <v>16957</v>
      </c>
      <c r="C3590" s="7" t="s">
        <v>16926</v>
      </c>
      <c r="D3590" s="194">
        <v>2020.0</v>
      </c>
      <c r="E3590" s="193"/>
      <c r="F3590" s="195" t="s">
        <v>11138</v>
      </c>
      <c r="G3590" s="200">
        <v>1.35235E9</v>
      </c>
      <c r="H3590" s="197">
        <v>15.91</v>
      </c>
      <c r="I3590" s="7" t="s">
        <v>16815</v>
      </c>
      <c r="J3590" s="7" t="s">
        <v>16957</v>
      </c>
      <c r="K3590" s="7" t="s">
        <v>16926</v>
      </c>
      <c r="L3590" s="201" t="s">
        <v>16835</v>
      </c>
      <c r="M3590" s="194"/>
      <c r="N3590" s="194"/>
    </row>
    <row r="3591">
      <c r="A3591" s="193" t="s">
        <v>21430</v>
      </c>
      <c r="B3591" s="7" t="s">
        <v>16926</v>
      </c>
      <c r="C3591" s="7" t="s">
        <v>16957</v>
      </c>
      <c r="D3591" s="194">
        <v>2020.0</v>
      </c>
      <c r="E3591" s="193"/>
      <c r="F3591" s="195" t="s">
        <v>11138</v>
      </c>
      <c r="G3591" s="196">
        <v>1.35235E9</v>
      </c>
      <c r="H3591" s="197">
        <v>15.91</v>
      </c>
      <c r="I3591" s="7" t="s">
        <v>16815</v>
      </c>
      <c r="J3591" s="7" t="s">
        <v>16926</v>
      </c>
      <c r="K3591" s="7" t="s">
        <v>16957</v>
      </c>
      <c r="L3591" s="198" t="s">
        <v>65</v>
      </c>
      <c r="M3591" s="194"/>
      <c r="N3591" s="194"/>
    </row>
    <row r="3592">
      <c r="A3592" s="193" t="s">
        <v>21431</v>
      </c>
      <c r="B3592" s="7" t="s">
        <v>187</v>
      </c>
      <c r="C3592" s="7" t="s">
        <v>17564</v>
      </c>
      <c r="D3592" s="194">
        <v>1995.0</v>
      </c>
      <c r="E3592" s="193"/>
      <c r="F3592" s="195" t="s">
        <v>21432</v>
      </c>
      <c r="G3592" s="196">
        <v>1.352160439E9</v>
      </c>
      <c r="H3592" s="197">
        <v>16.45</v>
      </c>
      <c r="I3592" s="7" t="s">
        <v>16815</v>
      </c>
      <c r="J3592" s="7" t="s">
        <v>187</v>
      </c>
      <c r="K3592" s="7" t="s">
        <v>17564</v>
      </c>
      <c r="L3592" s="198" t="s">
        <v>65</v>
      </c>
      <c r="M3592" s="194"/>
      <c r="N3592" s="194"/>
    </row>
    <row r="3593">
      <c r="A3593" s="193" t="s">
        <v>21433</v>
      </c>
      <c r="B3593" s="7" t="s">
        <v>16957</v>
      </c>
      <c r="C3593" s="7" t="s">
        <v>16926</v>
      </c>
      <c r="D3593" s="194">
        <v>2021.0</v>
      </c>
      <c r="E3593" s="193"/>
      <c r="F3593" s="195" t="s">
        <v>11138</v>
      </c>
      <c r="G3593" s="200">
        <v>1.35065E9</v>
      </c>
      <c r="H3593" s="197">
        <v>15.89</v>
      </c>
      <c r="I3593" s="7" t="s">
        <v>16815</v>
      </c>
      <c r="J3593" s="7" t="s">
        <v>16957</v>
      </c>
      <c r="K3593" s="7" t="s">
        <v>16926</v>
      </c>
      <c r="L3593" s="201" t="s">
        <v>16835</v>
      </c>
      <c r="M3593" s="194"/>
      <c r="N3593" s="194"/>
    </row>
    <row r="3594">
      <c r="A3594" s="193" t="s">
        <v>21433</v>
      </c>
      <c r="B3594" s="7" t="s">
        <v>16926</v>
      </c>
      <c r="C3594" s="7" t="s">
        <v>16957</v>
      </c>
      <c r="D3594" s="194">
        <v>2021.0</v>
      </c>
      <c r="E3594" s="193"/>
      <c r="F3594" s="195" t="s">
        <v>11138</v>
      </c>
      <c r="G3594" s="196">
        <v>1.35065E9</v>
      </c>
      <c r="H3594" s="197">
        <v>15.89</v>
      </c>
      <c r="I3594" s="7" t="s">
        <v>16815</v>
      </c>
      <c r="J3594" s="7" t="s">
        <v>16926</v>
      </c>
      <c r="K3594" s="7" t="s">
        <v>16957</v>
      </c>
      <c r="L3594" s="198" t="s">
        <v>65</v>
      </c>
      <c r="M3594" s="194"/>
      <c r="N3594" s="194"/>
    </row>
    <row r="3595">
      <c r="A3595" s="193" t="s">
        <v>21434</v>
      </c>
      <c r="B3595" s="7" t="s">
        <v>16885</v>
      </c>
      <c r="C3595" s="7" t="s">
        <v>17726</v>
      </c>
      <c r="D3595" s="199"/>
      <c r="E3595" s="193"/>
      <c r="F3595" s="195" t="s">
        <v>21435</v>
      </c>
      <c r="G3595" s="196">
        <v>1.350450831E9</v>
      </c>
      <c r="H3595" s="197">
        <v>4.56</v>
      </c>
      <c r="I3595" s="7" t="s">
        <v>16826</v>
      </c>
      <c r="J3595" s="7" t="s">
        <v>16885</v>
      </c>
      <c r="K3595" s="7" t="s">
        <v>17726</v>
      </c>
      <c r="L3595" s="198" t="s">
        <v>65</v>
      </c>
      <c r="M3595" s="199"/>
      <c r="N3595" s="199"/>
    </row>
    <row r="3596">
      <c r="A3596" s="193" t="s">
        <v>21434</v>
      </c>
      <c r="B3596" s="7" t="s">
        <v>17726</v>
      </c>
      <c r="C3596" s="7" t="s">
        <v>16885</v>
      </c>
      <c r="D3596" s="199"/>
      <c r="E3596" s="193"/>
      <c r="F3596" s="195" t="s">
        <v>21435</v>
      </c>
      <c r="G3596" s="200">
        <v>1.350450831E9</v>
      </c>
      <c r="H3596" s="197">
        <v>4.56</v>
      </c>
      <c r="I3596" s="7" t="s">
        <v>16815</v>
      </c>
      <c r="J3596" s="7" t="s">
        <v>17726</v>
      </c>
      <c r="K3596" s="7" t="s">
        <v>16885</v>
      </c>
      <c r="L3596" s="201" t="s">
        <v>16835</v>
      </c>
      <c r="M3596" s="199"/>
      <c r="N3596" s="199"/>
    </row>
    <row r="3597">
      <c r="A3597" s="193" t="s">
        <v>21436</v>
      </c>
      <c r="B3597" s="7" t="s">
        <v>169</v>
      </c>
      <c r="C3597" s="7" t="s">
        <v>17619</v>
      </c>
      <c r="D3597" s="194">
        <v>1993.0</v>
      </c>
      <c r="E3597" s="193"/>
      <c r="F3597" s="195" t="s">
        <v>21437</v>
      </c>
      <c r="G3597" s="196">
        <v>1.350111E9</v>
      </c>
      <c r="H3597" s="197">
        <v>2.39</v>
      </c>
      <c r="I3597" s="7" t="s">
        <v>16815</v>
      </c>
      <c r="J3597" s="7" t="s">
        <v>169</v>
      </c>
      <c r="K3597" s="7" t="s">
        <v>17619</v>
      </c>
      <c r="L3597" s="198" t="s">
        <v>65</v>
      </c>
      <c r="M3597" s="194"/>
      <c r="N3597" s="194"/>
    </row>
    <row r="3598">
      <c r="A3598" s="193" t="s">
        <v>21436</v>
      </c>
      <c r="B3598" s="7" t="s">
        <v>17619</v>
      </c>
      <c r="C3598" s="7" t="s">
        <v>169</v>
      </c>
      <c r="D3598" s="194">
        <v>1993.0</v>
      </c>
      <c r="E3598" s="193"/>
      <c r="F3598" s="195" t="s">
        <v>21437</v>
      </c>
      <c r="G3598" s="200">
        <v>1.350111E9</v>
      </c>
      <c r="H3598" s="197">
        <v>2.39</v>
      </c>
      <c r="I3598" s="7" t="s">
        <v>16815</v>
      </c>
      <c r="J3598" s="7" t="s">
        <v>17619</v>
      </c>
      <c r="K3598" s="7" t="s">
        <v>169</v>
      </c>
      <c r="L3598" s="201" t="s">
        <v>16835</v>
      </c>
      <c r="M3598" s="194"/>
      <c r="N3598" s="194"/>
    </row>
    <row r="3599">
      <c r="A3599" s="193" t="s">
        <v>21438</v>
      </c>
      <c r="B3599" s="7" t="s">
        <v>17016</v>
      </c>
      <c r="C3599" s="7" t="s">
        <v>16838</v>
      </c>
      <c r="D3599" s="194">
        <v>2017.0</v>
      </c>
      <c r="E3599" s="193"/>
      <c r="F3599" s="195" t="s">
        <v>21439</v>
      </c>
      <c r="G3599" s="200">
        <v>1.348189719E9</v>
      </c>
      <c r="H3599" s="197">
        <v>4.77</v>
      </c>
      <c r="I3599" s="7" t="s">
        <v>16815</v>
      </c>
      <c r="J3599" s="7" t="s">
        <v>17016</v>
      </c>
      <c r="K3599" s="7" t="s">
        <v>16838</v>
      </c>
      <c r="L3599" s="201" t="s">
        <v>16835</v>
      </c>
      <c r="M3599" s="194"/>
      <c r="N3599" s="194"/>
    </row>
    <row r="3600">
      <c r="A3600" s="193" t="s">
        <v>21438</v>
      </c>
      <c r="B3600" s="7" t="s">
        <v>16838</v>
      </c>
      <c r="C3600" s="7" t="s">
        <v>17016</v>
      </c>
      <c r="D3600" s="194">
        <v>2017.0</v>
      </c>
      <c r="E3600" s="193"/>
      <c r="F3600" s="195" t="s">
        <v>21439</v>
      </c>
      <c r="G3600" s="196">
        <v>1.348189719E9</v>
      </c>
      <c r="H3600" s="197">
        <v>4.77</v>
      </c>
      <c r="I3600" s="7" t="s">
        <v>16815</v>
      </c>
      <c r="J3600" s="7" t="s">
        <v>16838</v>
      </c>
      <c r="K3600" s="7" t="s">
        <v>17016</v>
      </c>
      <c r="L3600" s="198" t="s">
        <v>65</v>
      </c>
      <c r="M3600" s="194"/>
      <c r="N3600" s="194"/>
    </row>
    <row r="3601">
      <c r="A3601" s="193" t="s">
        <v>21440</v>
      </c>
      <c r="B3601" s="7" t="s">
        <v>158</v>
      </c>
      <c r="C3601" s="7" t="s">
        <v>20100</v>
      </c>
      <c r="D3601" s="199"/>
      <c r="E3601" s="193"/>
      <c r="F3601" s="195" t="s">
        <v>21441</v>
      </c>
      <c r="G3601" s="196">
        <v>1.346127172E9</v>
      </c>
      <c r="H3601" s="197">
        <v>25.55</v>
      </c>
      <c r="I3601" s="7" t="s">
        <v>17098</v>
      </c>
      <c r="J3601" s="7" t="s">
        <v>158</v>
      </c>
      <c r="K3601" s="7" t="s">
        <v>20100</v>
      </c>
      <c r="L3601" s="198" t="s">
        <v>65</v>
      </c>
      <c r="M3601" s="199"/>
      <c r="N3601" s="199"/>
    </row>
    <row r="3602">
      <c r="A3602" s="193" t="s">
        <v>21442</v>
      </c>
      <c r="B3602" s="7" t="s">
        <v>19579</v>
      </c>
      <c r="C3602" s="7" t="s">
        <v>16838</v>
      </c>
      <c r="D3602" s="194">
        <v>2002.0</v>
      </c>
      <c r="E3602" s="193"/>
      <c r="F3602" s="195" t="s">
        <v>21443</v>
      </c>
      <c r="G3602" s="200">
        <v>1.344347084E9</v>
      </c>
      <c r="H3602" s="197">
        <v>10.01</v>
      </c>
      <c r="I3602" s="193" t="s">
        <v>16815</v>
      </c>
      <c r="J3602" s="7" t="s">
        <v>19579</v>
      </c>
      <c r="K3602" s="7" t="s">
        <v>16838</v>
      </c>
      <c r="L3602" s="201" t="s">
        <v>16835</v>
      </c>
      <c r="M3602" s="194"/>
      <c r="N3602" s="194"/>
    </row>
    <row r="3603">
      <c r="A3603" s="193" t="s">
        <v>21442</v>
      </c>
      <c r="B3603" s="7" t="s">
        <v>16838</v>
      </c>
      <c r="C3603" s="7" t="s">
        <v>19579</v>
      </c>
      <c r="D3603" s="194">
        <v>2002.0</v>
      </c>
      <c r="E3603" s="193"/>
      <c r="F3603" s="195" t="s">
        <v>21443</v>
      </c>
      <c r="G3603" s="196">
        <v>1.344347084E9</v>
      </c>
      <c r="H3603" s="197">
        <v>10.01</v>
      </c>
      <c r="I3603" s="7" t="s">
        <v>16815</v>
      </c>
      <c r="J3603" s="7" t="s">
        <v>16838</v>
      </c>
      <c r="K3603" s="7" t="s">
        <v>19579</v>
      </c>
      <c r="L3603" s="198" t="s">
        <v>65</v>
      </c>
      <c r="M3603" s="194"/>
      <c r="N3603" s="194"/>
    </row>
    <row r="3604">
      <c r="A3604" s="193" t="s">
        <v>21444</v>
      </c>
      <c r="B3604" s="7" t="s">
        <v>175</v>
      </c>
      <c r="C3604" s="7" t="s">
        <v>17318</v>
      </c>
      <c r="D3604" s="199"/>
      <c r="E3604" s="193"/>
      <c r="F3604" s="195" t="s">
        <v>21445</v>
      </c>
      <c r="G3604" s="196">
        <v>1.340694984E9</v>
      </c>
      <c r="H3604" s="197">
        <v>85.83</v>
      </c>
      <c r="I3604" s="7" t="s">
        <v>168</v>
      </c>
      <c r="J3604" s="7" t="s">
        <v>175</v>
      </c>
      <c r="K3604" s="7" t="s">
        <v>17318</v>
      </c>
      <c r="L3604" s="198" t="s">
        <v>65</v>
      </c>
      <c r="M3604" s="199"/>
      <c r="N3604" s="199"/>
    </row>
    <row r="3605">
      <c r="A3605" s="193" t="s">
        <v>21444</v>
      </c>
      <c r="B3605" s="7" t="s">
        <v>17318</v>
      </c>
      <c r="C3605" s="7" t="s">
        <v>175</v>
      </c>
      <c r="D3605" s="199"/>
      <c r="E3605" s="193"/>
      <c r="F3605" s="195" t="s">
        <v>21445</v>
      </c>
      <c r="G3605" s="200">
        <v>1.340694984E9</v>
      </c>
      <c r="H3605" s="197">
        <v>85.83</v>
      </c>
      <c r="I3605" s="7" t="s">
        <v>16815</v>
      </c>
      <c r="J3605" s="7" t="s">
        <v>17318</v>
      </c>
      <c r="K3605" s="7" t="s">
        <v>175</v>
      </c>
      <c r="L3605" s="201" t="s">
        <v>16835</v>
      </c>
      <c r="M3605" s="199"/>
      <c r="N3605" s="199"/>
    </row>
    <row r="3606">
      <c r="A3606" s="193" t="s">
        <v>21446</v>
      </c>
      <c r="B3606" s="7" t="s">
        <v>19579</v>
      </c>
      <c r="C3606" s="7" t="s">
        <v>16838</v>
      </c>
      <c r="D3606" s="194">
        <v>1986.0</v>
      </c>
      <c r="E3606" s="193"/>
      <c r="F3606" s="195" t="s">
        <v>21447</v>
      </c>
      <c r="G3606" s="200">
        <v>1.336504132E9</v>
      </c>
      <c r="H3606" s="197">
        <v>12.38</v>
      </c>
      <c r="I3606" s="193" t="s">
        <v>16815</v>
      </c>
      <c r="J3606" s="7" t="s">
        <v>19579</v>
      </c>
      <c r="K3606" s="7" t="s">
        <v>16838</v>
      </c>
      <c r="L3606" s="201" t="s">
        <v>16835</v>
      </c>
      <c r="M3606" s="194"/>
      <c r="N3606" s="194"/>
    </row>
    <row r="3607">
      <c r="A3607" s="193" t="s">
        <v>21446</v>
      </c>
      <c r="B3607" s="7" t="s">
        <v>16838</v>
      </c>
      <c r="C3607" s="7" t="s">
        <v>19579</v>
      </c>
      <c r="D3607" s="194">
        <v>1986.0</v>
      </c>
      <c r="E3607" s="193"/>
      <c r="F3607" s="195" t="s">
        <v>21447</v>
      </c>
      <c r="G3607" s="196">
        <v>1.336504132E9</v>
      </c>
      <c r="H3607" s="197">
        <v>12.38</v>
      </c>
      <c r="I3607" s="7" t="s">
        <v>16815</v>
      </c>
      <c r="J3607" s="7" t="s">
        <v>16838</v>
      </c>
      <c r="K3607" s="7" t="s">
        <v>19579</v>
      </c>
      <c r="L3607" s="198" t="s">
        <v>65</v>
      </c>
      <c r="M3607" s="194"/>
      <c r="N3607" s="194"/>
    </row>
    <row r="3608">
      <c r="A3608" s="193" t="s">
        <v>21448</v>
      </c>
      <c r="B3608" s="7" t="s">
        <v>187</v>
      </c>
      <c r="C3608" s="7" t="s">
        <v>18633</v>
      </c>
      <c r="D3608" s="194">
        <v>2009.0</v>
      </c>
      <c r="E3608" s="193"/>
      <c r="F3608" s="195" t="s">
        <v>21449</v>
      </c>
      <c r="G3608" s="196">
        <v>1.335438821E9</v>
      </c>
      <c r="H3608" s="197">
        <v>82.36</v>
      </c>
      <c r="I3608" s="7" t="s">
        <v>16815</v>
      </c>
      <c r="J3608" s="7" t="s">
        <v>187</v>
      </c>
      <c r="K3608" s="7" t="s">
        <v>18633</v>
      </c>
      <c r="L3608" s="198" t="s">
        <v>65</v>
      </c>
      <c r="M3608" s="194"/>
      <c r="N3608" s="194"/>
    </row>
    <row r="3609">
      <c r="A3609" s="193" t="s">
        <v>21450</v>
      </c>
      <c r="B3609" s="7" t="s">
        <v>187</v>
      </c>
      <c r="C3609" s="7" t="s">
        <v>16846</v>
      </c>
      <c r="D3609" s="194">
        <v>2015.0</v>
      </c>
      <c r="E3609" s="193"/>
      <c r="F3609" s="195" t="s">
        <v>21451</v>
      </c>
      <c r="G3609" s="196">
        <v>1.335105721E9</v>
      </c>
      <c r="H3609" s="197">
        <v>1.905</v>
      </c>
      <c r="I3609" s="7" t="s">
        <v>16815</v>
      </c>
      <c r="J3609" s="7" t="s">
        <v>187</v>
      </c>
      <c r="K3609" s="7" t="s">
        <v>16846</v>
      </c>
      <c r="L3609" s="198" t="s">
        <v>65</v>
      </c>
      <c r="M3609" s="194"/>
      <c r="N3609" s="194"/>
    </row>
    <row r="3610">
      <c r="A3610" s="193" t="s">
        <v>21452</v>
      </c>
      <c r="B3610" s="7" t="s">
        <v>187</v>
      </c>
      <c r="C3610" s="7" t="s">
        <v>16846</v>
      </c>
      <c r="D3610" s="194">
        <v>2019.0</v>
      </c>
      <c r="E3610" s="193"/>
      <c r="F3610" s="195" t="s">
        <v>21453</v>
      </c>
      <c r="G3610" s="196">
        <v>1.333634379E9</v>
      </c>
      <c r="H3610" s="197">
        <v>28.61</v>
      </c>
      <c r="I3610" s="7" t="s">
        <v>16815</v>
      </c>
      <c r="J3610" s="7" t="s">
        <v>187</v>
      </c>
      <c r="K3610" s="7" t="s">
        <v>16846</v>
      </c>
      <c r="L3610" s="198" t="s">
        <v>65</v>
      </c>
      <c r="M3610" s="194"/>
      <c r="N3610" s="194"/>
    </row>
    <row r="3611">
      <c r="A3611" s="193" t="s">
        <v>21454</v>
      </c>
      <c r="B3611" s="7" t="s">
        <v>175</v>
      </c>
      <c r="C3611" s="7" t="s">
        <v>18570</v>
      </c>
      <c r="D3611" s="194">
        <v>2006.0</v>
      </c>
      <c r="E3611" s="193"/>
      <c r="F3611" s="195" t="s">
        <v>21455</v>
      </c>
      <c r="G3611" s="196">
        <v>1.332267103E9</v>
      </c>
      <c r="H3611" s="197">
        <v>18.55</v>
      </c>
      <c r="I3611" s="7" t="s">
        <v>16908</v>
      </c>
      <c r="J3611" s="7" t="s">
        <v>175</v>
      </c>
      <c r="K3611" s="7" t="s">
        <v>18570</v>
      </c>
      <c r="L3611" s="198" t="s">
        <v>65</v>
      </c>
      <c r="M3611" s="194"/>
      <c r="N3611" s="194"/>
    </row>
    <row r="3612">
      <c r="A3612" s="193" t="s">
        <v>21454</v>
      </c>
      <c r="B3612" s="7" t="s">
        <v>18570</v>
      </c>
      <c r="C3612" s="7" t="s">
        <v>175</v>
      </c>
      <c r="D3612" s="194">
        <v>2006.0</v>
      </c>
      <c r="E3612" s="193"/>
      <c r="F3612" s="195" t="s">
        <v>21455</v>
      </c>
      <c r="G3612" s="200">
        <v>1.332267103E9</v>
      </c>
      <c r="H3612" s="197">
        <v>18.55</v>
      </c>
      <c r="I3612" s="7" t="s">
        <v>16815</v>
      </c>
      <c r="J3612" s="7" t="s">
        <v>18570</v>
      </c>
      <c r="K3612" s="7" t="s">
        <v>175</v>
      </c>
      <c r="L3612" s="201" t="s">
        <v>16835</v>
      </c>
      <c r="M3612" s="194"/>
      <c r="N3612" s="194"/>
    </row>
    <row r="3613">
      <c r="A3613" s="193" t="s">
        <v>21456</v>
      </c>
      <c r="B3613" s="7" t="s">
        <v>16919</v>
      </c>
      <c r="C3613" s="7" t="s">
        <v>17413</v>
      </c>
      <c r="D3613" s="199"/>
      <c r="E3613" s="193"/>
      <c r="F3613" s="195" t="s">
        <v>21457</v>
      </c>
      <c r="G3613" s="196">
        <v>1.33137341E9</v>
      </c>
      <c r="H3613" s="197">
        <v>36.2</v>
      </c>
      <c r="I3613" s="7" t="s">
        <v>16815</v>
      </c>
      <c r="J3613" s="7" t="s">
        <v>16919</v>
      </c>
      <c r="K3613" s="7" t="s">
        <v>17413</v>
      </c>
      <c r="L3613" s="198" t="s">
        <v>65</v>
      </c>
      <c r="M3613" s="199"/>
      <c r="N3613" s="199"/>
    </row>
    <row r="3614">
      <c r="A3614" s="193" t="s">
        <v>21456</v>
      </c>
      <c r="B3614" s="7" t="s">
        <v>17413</v>
      </c>
      <c r="C3614" s="7" t="s">
        <v>16919</v>
      </c>
      <c r="D3614" s="199"/>
      <c r="E3614" s="193"/>
      <c r="F3614" s="195" t="s">
        <v>21457</v>
      </c>
      <c r="G3614" s="200">
        <v>1.33137341E9</v>
      </c>
      <c r="H3614" s="197">
        <v>36.2</v>
      </c>
      <c r="I3614" s="7" t="s">
        <v>16815</v>
      </c>
      <c r="J3614" s="7" t="s">
        <v>17413</v>
      </c>
      <c r="K3614" s="7" t="s">
        <v>16919</v>
      </c>
      <c r="L3614" s="201" t="s">
        <v>16835</v>
      </c>
      <c r="M3614" s="199"/>
      <c r="N3614" s="199"/>
    </row>
    <row r="3615">
      <c r="A3615" s="193" t="s">
        <v>21458</v>
      </c>
      <c r="B3615" s="7" t="s">
        <v>16885</v>
      </c>
      <c r="C3615" s="7" t="s">
        <v>20119</v>
      </c>
      <c r="D3615" s="199"/>
      <c r="E3615" s="193"/>
      <c r="F3615" s="195" t="s">
        <v>21459</v>
      </c>
      <c r="G3615" s="196">
        <v>1.328902157E9</v>
      </c>
      <c r="H3615" s="197">
        <v>1.59</v>
      </c>
      <c r="I3615" s="7" t="s">
        <v>16888</v>
      </c>
      <c r="J3615" s="7" t="s">
        <v>16885</v>
      </c>
      <c r="K3615" s="7" t="s">
        <v>20119</v>
      </c>
      <c r="L3615" s="198" t="s">
        <v>65</v>
      </c>
      <c r="M3615" s="199"/>
      <c r="N3615" s="199"/>
    </row>
    <row r="3616">
      <c r="A3616" s="193" t="s">
        <v>21458</v>
      </c>
      <c r="B3616" s="202" t="s">
        <v>20119</v>
      </c>
      <c r="C3616" s="193" t="s">
        <v>16885</v>
      </c>
      <c r="D3616" s="206"/>
      <c r="E3616" s="193"/>
      <c r="F3616" s="203" t="s">
        <v>21459</v>
      </c>
      <c r="G3616" s="200">
        <v>1.328902157E9</v>
      </c>
      <c r="H3616" s="205">
        <v>4.56</v>
      </c>
      <c r="J3616" s="202" t="s">
        <v>20119</v>
      </c>
      <c r="K3616" s="193" t="s">
        <v>16885</v>
      </c>
      <c r="L3616" s="193" t="s">
        <v>17471</v>
      </c>
      <c r="M3616" s="206"/>
      <c r="N3616" s="206"/>
    </row>
    <row r="3617">
      <c r="A3617" s="193" t="s">
        <v>21460</v>
      </c>
      <c r="B3617" s="7" t="s">
        <v>17019</v>
      </c>
      <c r="C3617" s="7" t="s">
        <v>16838</v>
      </c>
      <c r="D3617" s="194">
        <v>2005.0</v>
      </c>
      <c r="E3617" s="193"/>
      <c r="F3617" s="195" t="s">
        <v>21461</v>
      </c>
      <c r="G3617" s="200">
        <v>1.32761044E9</v>
      </c>
      <c r="H3617" s="197">
        <v>12.15</v>
      </c>
      <c r="I3617" s="7" t="s">
        <v>16815</v>
      </c>
      <c r="J3617" s="7" t="s">
        <v>17019</v>
      </c>
      <c r="K3617" s="7" t="s">
        <v>16838</v>
      </c>
      <c r="L3617" s="201" t="s">
        <v>16835</v>
      </c>
      <c r="M3617" s="194"/>
      <c r="N3617" s="194"/>
    </row>
    <row r="3618">
      <c r="A3618" s="193" t="s">
        <v>21460</v>
      </c>
      <c r="B3618" s="7" t="s">
        <v>16838</v>
      </c>
      <c r="C3618" s="7" t="s">
        <v>17019</v>
      </c>
      <c r="D3618" s="194">
        <v>2005.0</v>
      </c>
      <c r="E3618" s="193"/>
      <c r="F3618" s="195" t="s">
        <v>21461</v>
      </c>
      <c r="G3618" s="196">
        <v>1.32761044E9</v>
      </c>
      <c r="H3618" s="197">
        <v>12.15</v>
      </c>
      <c r="I3618" s="7" t="s">
        <v>16815</v>
      </c>
      <c r="J3618" s="7" t="s">
        <v>16838</v>
      </c>
      <c r="K3618" s="7" t="s">
        <v>17019</v>
      </c>
      <c r="L3618" s="198" t="s">
        <v>65</v>
      </c>
      <c r="M3618" s="194"/>
      <c r="N3618" s="194"/>
    </row>
    <row r="3619">
      <c r="A3619" s="193" t="s">
        <v>21462</v>
      </c>
      <c r="B3619" s="7" t="s">
        <v>16867</v>
      </c>
      <c r="C3619" s="7" t="s">
        <v>16838</v>
      </c>
      <c r="D3619" s="194">
        <v>2022.0</v>
      </c>
      <c r="E3619" s="193"/>
      <c r="F3619" s="195" t="s">
        <v>21463</v>
      </c>
      <c r="G3619" s="200">
        <v>1.326443847E9</v>
      </c>
      <c r="H3619" s="197">
        <v>29.82</v>
      </c>
      <c r="I3619" s="7" t="s">
        <v>16815</v>
      </c>
      <c r="J3619" s="7" t="s">
        <v>16867</v>
      </c>
      <c r="K3619" s="7" t="s">
        <v>16838</v>
      </c>
      <c r="L3619" s="201" t="s">
        <v>16835</v>
      </c>
      <c r="M3619" s="194"/>
      <c r="N3619" s="194"/>
    </row>
    <row r="3620">
      <c r="A3620" s="193" t="s">
        <v>21462</v>
      </c>
      <c r="B3620" s="7" t="s">
        <v>16838</v>
      </c>
      <c r="C3620" s="7" t="s">
        <v>16867</v>
      </c>
      <c r="D3620" s="194">
        <v>2022.0</v>
      </c>
      <c r="E3620" s="193"/>
      <c r="F3620" s="195" t="s">
        <v>21463</v>
      </c>
      <c r="G3620" s="196">
        <v>1.326443847E9</v>
      </c>
      <c r="H3620" s="197">
        <v>29.82</v>
      </c>
      <c r="I3620" s="7" t="s">
        <v>16815</v>
      </c>
      <c r="J3620" s="7" t="s">
        <v>16838</v>
      </c>
      <c r="K3620" s="7" t="s">
        <v>16867</v>
      </c>
      <c r="L3620" s="198" t="s">
        <v>65</v>
      </c>
      <c r="M3620" s="194"/>
      <c r="N3620" s="194"/>
    </row>
    <row r="3621">
      <c r="A3621" s="193" t="s">
        <v>21464</v>
      </c>
      <c r="B3621" s="7" t="s">
        <v>17111</v>
      </c>
      <c r="C3621" s="7" t="s">
        <v>17112</v>
      </c>
      <c r="D3621" s="194">
        <v>2014.0</v>
      </c>
      <c r="E3621" s="193"/>
      <c r="F3621" s="195" t="s">
        <v>21465</v>
      </c>
      <c r="G3621" s="200">
        <v>1.32622715E9</v>
      </c>
      <c r="H3621" s="197">
        <v>10.45</v>
      </c>
      <c r="I3621" s="7" t="s">
        <v>16815</v>
      </c>
      <c r="J3621" s="7" t="s">
        <v>17111</v>
      </c>
      <c r="K3621" s="7" t="s">
        <v>17112</v>
      </c>
      <c r="L3621" s="201" t="s">
        <v>16835</v>
      </c>
      <c r="M3621" s="194"/>
      <c r="N3621" s="194"/>
    </row>
    <row r="3622">
      <c r="A3622" s="193" t="s">
        <v>21464</v>
      </c>
      <c r="B3622" s="7" t="s">
        <v>17112</v>
      </c>
      <c r="C3622" s="7" t="s">
        <v>17111</v>
      </c>
      <c r="D3622" s="194">
        <v>2014.0</v>
      </c>
      <c r="E3622" s="193"/>
      <c r="F3622" s="195" t="s">
        <v>21465</v>
      </c>
      <c r="G3622" s="196">
        <v>1.32622715E9</v>
      </c>
      <c r="H3622" s="197">
        <v>10.45</v>
      </c>
      <c r="I3622" s="7" t="s">
        <v>16815</v>
      </c>
      <c r="J3622" s="7" t="s">
        <v>17112</v>
      </c>
      <c r="K3622" s="7" t="s">
        <v>17111</v>
      </c>
      <c r="L3622" s="198" t="s">
        <v>65</v>
      </c>
      <c r="M3622" s="194"/>
      <c r="N3622" s="194"/>
    </row>
    <row r="3623">
      <c r="A3623" s="193" t="s">
        <v>21466</v>
      </c>
      <c r="B3623" s="7" t="s">
        <v>16582</v>
      </c>
      <c r="C3623" s="7" t="s">
        <v>16583</v>
      </c>
      <c r="D3623" s="199"/>
      <c r="E3623" s="193"/>
      <c r="F3623" s="195" t="s">
        <v>21467</v>
      </c>
      <c r="G3623" s="196">
        <v>1.32567146E9</v>
      </c>
      <c r="H3623" s="197">
        <v>3.86</v>
      </c>
      <c r="I3623" s="7" t="s">
        <v>16815</v>
      </c>
      <c r="J3623" s="7" t="s">
        <v>16582</v>
      </c>
      <c r="K3623" s="7" t="s">
        <v>16583</v>
      </c>
      <c r="L3623" s="198" t="s">
        <v>65</v>
      </c>
      <c r="M3623" s="199"/>
      <c r="N3623" s="199"/>
    </row>
    <row r="3624">
      <c r="A3624" s="193" t="s">
        <v>21468</v>
      </c>
      <c r="B3624" s="7" t="s">
        <v>187</v>
      </c>
      <c r="C3624" s="7" t="s">
        <v>16846</v>
      </c>
      <c r="D3624" s="194">
        <v>2011.0</v>
      </c>
      <c r="E3624" s="193"/>
      <c r="F3624" s="195" t="s">
        <v>21469</v>
      </c>
      <c r="G3624" s="196">
        <v>1.32254581E9</v>
      </c>
      <c r="H3624" s="197">
        <v>28.48</v>
      </c>
      <c r="I3624" s="7" t="s">
        <v>16815</v>
      </c>
      <c r="J3624" s="7" t="s">
        <v>187</v>
      </c>
      <c r="K3624" s="7" t="s">
        <v>16846</v>
      </c>
      <c r="L3624" s="198" t="s">
        <v>65</v>
      </c>
      <c r="M3624" s="194"/>
      <c r="N3624" s="194"/>
    </row>
    <row r="3625">
      <c r="A3625" s="193" t="s">
        <v>21470</v>
      </c>
      <c r="B3625" s="7" t="s">
        <v>187</v>
      </c>
      <c r="C3625" s="7" t="s">
        <v>16846</v>
      </c>
      <c r="D3625" s="194">
        <v>2016.0</v>
      </c>
      <c r="E3625" s="193"/>
      <c r="F3625" s="195" t="s">
        <v>21471</v>
      </c>
      <c r="G3625" s="196">
        <v>1.322081441E9</v>
      </c>
      <c r="H3625" s="197">
        <v>22.9</v>
      </c>
      <c r="I3625" s="7" t="s">
        <v>16815</v>
      </c>
      <c r="J3625" s="7" t="s">
        <v>187</v>
      </c>
      <c r="K3625" s="7" t="s">
        <v>16846</v>
      </c>
      <c r="L3625" s="198" t="s">
        <v>65</v>
      </c>
      <c r="M3625" s="194"/>
      <c r="N3625" s="194"/>
    </row>
    <row r="3626">
      <c r="A3626" s="193" t="s">
        <v>21472</v>
      </c>
      <c r="B3626" s="7" t="s">
        <v>16582</v>
      </c>
      <c r="C3626" s="7" t="s">
        <v>16930</v>
      </c>
      <c r="D3626" s="199"/>
      <c r="E3626" s="193"/>
      <c r="F3626" s="195" t="s">
        <v>21473</v>
      </c>
      <c r="G3626" s="196">
        <v>1.319216014E9</v>
      </c>
      <c r="H3626" s="197">
        <v>3.91</v>
      </c>
      <c r="I3626" s="7" t="s">
        <v>16815</v>
      </c>
      <c r="J3626" s="7" t="s">
        <v>16582</v>
      </c>
      <c r="K3626" s="7" t="s">
        <v>16930</v>
      </c>
      <c r="L3626" s="198" t="s">
        <v>65</v>
      </c>
      <c r="M3626" s="199"/>
      <c r="N3626" s="199"/>
    </row>
    <row r="3627">
      <c r="A3627" s="193" t="s">
        <v>21474</v>
      </c>
      <c r="B3627" s="7" t="s">
        <v>16838</v>
      </c>
      <c r="C3627" s="7" t="s">
        <v>16867</v>
      </c>
      <c r="D3627" s="199"/>
      <c r="E3627" s="193"/>
      <c r="F3627" s="195" t="s">
        <v>21475</v>
      </c>
      <c r="G3627" s="196">
        <v>1.319063837E9</v>
      </c>
      <c r="H3627" s="197">
        <v>21.5405</v>
      </c>
      <c r="I3627" s="7" t="s">
        <v>16815</v>
      </c>
      <c r="J3627" s="7" t="s">
        <v>16838</v>
      </c>
      <c r="K3627" s="7" t="s">
        <v>16867</v>
      </c>
      <c r="L3627" s="198" t="s">
        <v>65</v>
      </c>
      <c r="M3627" s="199"/>
      <c r="N3627" s="199"/>
    </row>
    <row r="3628">
      <c r="A3628" s="193" t="s">
        <v>21476</v>
      </c>
      <c r="B3628" s="7" t="s">
        <v>19579</v>
      </c>
      <c r="C3628" s="7" t="s">
        <v>16838</v>
      </c>
      <c r="D3628" s="194">
        <v>2022.0</v>
      </c>
      <c r="E3628" s="193"/>
      <c r="F3628" s="195" t="s">
        <v>21477</v>
      </c>
      <c r="G3628" s="200">
        <v>1.318803272E9</v>
      </c>
      <c r="H3628" s="197">
        <v>21.74</v>
      </c>
      <c r="I3628" s="7" t="s">
        <v>16815</v>
      </c>
      <c r="J3628" s="7" t="s">
        <v>19579</v>
      </c>
      <c r="K3628" s="7" t="s">
        <v>16838</v>
      </c>
      <c r="L3628" s="201" t="s">
        <v>16835</v>
      </c>
      <c r="M3628" s="194"/>
      <c r="N3628" s="194"/>
    </row>
    <row r="3629">
      <c r="A3629" s="193" t="s">
        <v>21476</v>
      </c>
      <c r="B3629" s="7" t="s">
        <v>16838</v>
      </c>
      <c r="C3629" s="7" t="s">
        <v>19579</v>
      </c>
      <c r="D3629" s="194">
        <v>2022.0</v>
      </c>
      <c r="E3629" s="193"/>
      <c r="F3629" s="195" t="s">
        <v>21477</v>
      </c>
      <c r="G3629" s="196">
        <v>1.318803272E9</v>
      </c>
      <c r="H3629" s="197">
        <v>21.74</v>
      </c>
      <c r="I3629" s="7" t="s">
        <v>16815</v>
      </c>
      <c r="J3629" s="7" t="s">
        <v>16838</v>
      </c>
      <c r="K3629" s="7" t="s">
        <v>19579</v>
      </c>
      <c r="L3629" s="198" t="s">
        <v>65</v>
      </c>
      <c r="M3629" s="194"/>
      <c r="N3629" s="194"/>
    </row>
    <row r="3630">
      <c r="A3630" s="193" t="s">
        <v>21478</v>
      </c>
      <c r="B3630" s="7" t="s">
        <v>175</v>
      </c>
      <c r="C3630" s="7" t="s">
        <v>16842</v>
      </c>
      <c r="D3630" s="194">
        <v>2018.0</v>
      </c>
      <c r="E3630" s="193"/>
      <c r="F3630" s="195" t="s">
        <v>21479</v>
      </c>
      <c r="G3630" s="196">
        <v>1.317842749E9</v>
      </c>
      <c r="H3630" s="197">
        <v>3.84</v>
      </c>
      <c r="I3630" s="7" t="s">
        <v>16908</v>
      </c>
      <c r="J3630" s="7" t="s">
        <v>175</v>
      </c>
      <c r="K3630" s="7" t="s">
        <v>16842</v>
      </c>
      <c r="L3630" s="198" t="s">
        <v>65</v>
      </c>
      <c r="M3630" s="194"/>
      <c r="N3630" s="194"/>
    </row>
    <row r="3631">
      <c r="A3631" s="193" t="s">
        <v>21478</v>
      </c>
      <c r="B3631" s="7" t="s">
        <v>16842</v>
      </c>
      <c r="C3631" s="7" t="s">
        <v>175</v>
      </c>
      <c r="D3631" s="194">
        <v>2018.0</v>
      </c>
      <c r="E3631" s="193"/>
      <c r="F3631" s="195" t="s">
        <v>21479</v>
      </c>
      <c r="G3631" s="200">
        <v>1.317842749E9</v>
      </c>
      <c r="H3631" s="197">
        <v>3.84</v>
      </c>
      <c r="I3631" s="7" t="s">
        <v>16815</v>
      </c>
      <c r="J3631" s="7" t="s">
        <v>16842</v>
      </c>
      <c r="K3631" s="7" t="s">
        <v>175</v>
      </c>
      <c r="L3631" s="201" t="s">
        <v>16835</v>
      </c>
      <c r="M3631" s="194"/>
      <c r="N3631" s="194"/>
    </row>
    <row r="3632">
      <c r="A3632" s="193" t="s">
        <v>21480</v>
      </c>
      <c r="B3632" s="7" t="s">
        <v>16851</v>
      </c>
      <c r="C3632" s="7" t="s">
        <v>187</v>
      </c>
      <c r="D3632" s="199"/>
      <c r="E3632" s="193"/>
      <c r="F3632" s="195" t="s">
        <v>21481</v>
      </c>
      <c r="G3632" s="200">
        <v>1.31734796E9</v>
      </c>
      <c r="H3632" s="197">
        <v>17.22</v>
      </c>
      <c r="I3632" s="7" t="s">
        <v>16815</v>
      </c>
      <c r="J3632" s="7" t="s">
        <v>16851</v>
      </c>
      <c r="K3632" s="7" t="s">
        <v>187</v>
      </c>
      <c r="L3632" s="201" t="s">
        <v>16835</v>
      </c>
      <c r="M3632" s="199"/>
      <c r="N3632" s="199"/>
    </row>
    <row r="3633">
      <c r="A3633" s="193" t="s">
        <v>21480</v>
      </c>
      <c r="B3633" s="7" t="s">
        <v>187</v>
      </c>
      <c r="C3633" s="7" t="s">
        <v>16851</v>
      </c>
      <c r="D3633" s="199"/>
      <c r="E3633" s="193"/>
      <c r="F3633" s="195" t="s">
        <v>21481</v>
      </c>
      <c r="G3633" s="196">
        <v>1.31734796E9</v>
      </c>
      <c r="H3633" s="197">
        <v>17.22</v>
      </c>
      <c r="I3633" s="7" t="s">
        <v>16815</v>
      </c>
      <c r="J3633" s="7" t="s">
        <v>187</v>
      </c>
      <c r="K3633" s="7" t="s">
        <v>16851</v>
      </c>
      <c r="L3633" s="198" t="s">
        <v>65</v>
      </c>
      <c r="M3633" s="199"/>
      <c r="N3633" s="199"/>
    </row>
    <row r="3634">
      <c r="A3634" s="193" t="s">
        <v>21482</v>
      </c>
      <c r="B3634" s="7" t="s">
        <v>16838</v>
      </c>
      <c r="C3634" s="7" t="s">
        <v>17347</v>
      </c>
      <c r="D3634" s="199"/>
      <c r="E3634" s="193"/>
      <c r="F3634" s="195" t="s">
        <v>21483</v>
      </c>
      <c r="G3634" s="196">
        <v>1.316198359E9</v>
      </c>
      <c r="H3634" s="197">
        <v>20.5</v>
      </c>
      <c r="I3634" s="7" t="s">
        <v>16815</v>
      </c>
      <c r="J3634" s="7" t="s">
        <v>16838</v>
      </c>
      <c r="K3634" s="7" t="s">
        <v>17347</v>
      </c>
      <c r="L3634" s="198" t="s">
        <v>65</v>
      </c>
      <c r="M3634" s="199"/>
      <c r="N3634" s="199"/>
    </row>
    <row r="3635">
      <c r="A3635" s="193" t="s">
        <v>21484</v>
      </c>
      <c r="B3635" s="7" t="s">
        <v>17127</v>
      </c>
      <c r="C3635" s="7" t="s">
        <v>16838</v>
      </c>
      <c r="D3635" s="194">
        <v>1991.0</v>
      </c>
      <c r="E3635" s="193"/>
      <c r="F3635" s="195" t="s">
        <v>21485</v>
      </c>
      <c r="G3635" s="200">
        <v>1.314895436E9</v>
      </c>
      <c r="H3635" s="197">
        <v>32.2</v>
      </c>
      <c r="I3635" s="7" t="s">
        <v>16815</v>
      </c>
      <c r="J3635" s="7" t="s">
        <v>17127</v>
      </c>
      <c r="K3635" s="7" t="s">
        <v>16838</v>
      </c>
      <c r="L3635" s="201" t="s">
        <v>16835</v>
      </c>
      <c r="M3635" s="194"/>
      <c r="N3635" s="194"/>
    </row>
    <row r="3636">
      <c r="A3636" s="193" t="s">
        <v>21484</v>
      </c>
      <c r="B3636" s="7" t="s">
        <v>16838</v>
      </c>
      <c r="C3636" s="7" t="s">
        <v>17127</v>
      </c>
      <c r="D3636" s="194">
        <v>1991.0</v>
      </c>
      <c r="E3636" s="193"/>
      <c r="F3636" s="195" t="s">
        <v>21485</v>
      </c>
      <c r="G3636" s="196">
        <v>1.314895436E9</v>
      </c>
      <c r="H3636" s="197">
        <v>32.2</v>
      </c>
      <c r="I3636" s="7" t="s">
        <v>16815</v>
      </c>
      <c r="J3636" s="7" t="s">
        <v>16838</v>
      </c>
      <c r="K3636" s="7" t="s">
        <v>17127</v>
      </c>
      <c r="L3636" s="198" t="s">
        <v>65</v>
      </c>
      <c r="M3636" s="194"/>
      <c r="N3636" s="194"/>
    </row>
    <row r="3637">
      <c r="A3637" s="193" t="s">
        <v>21486</v>
      </c>
      <c r="B3637" s="7" t="s">
        <v>16885</v>
      </c>
      <c r="C3637" s="7" t="s">
        <v>17726</v>
      </c>
      <c r="D3637" s="199"/>
      <c r="E3637" s="193"/>
      <c r="F3637" s="195" t="s">
        <v>21487</v>
      </c>
      <c r="G3637" s="196">
        <v>1.314153648E9</v>
      </c>
      <c r="H3637" s="197">
        <v>4.58</v>
      </c>
      <c r="I3637" s="7" t="s">
        <v>16888</v>
      </c>
      <c r="J3637" s="7" t="s">
        <v>16885</v>
      </c>
      <c r="K3637" s="7" t="s">
        <v>17726</v>
      </c>
      <c r="L3637" s="198" t="s">
        <v>65</v>
      </c>
      <c r="M3637" s="199"/>
      <c r="N3637" s="199"/>
    </row>
    <row r="3638">
      <c r="A3638" s="193" t="s">
        <v>21486</v>
      </c>
      <c r="B3638" s="7" t="s">
        <v>17726</v>
      </c>
      <c r="C3638" s="7" t="s">
        <v>16885</v>
      </c>
      <c r="D3638" s="199"/>
      <c r="E3638" s="193"/>
      <c r="F3638" s="195" t="s">
        <v>21487</v>
      </c>
      <c r="G3638" s="200">
        <v>1.314153648E9</v>
      </c>
      <c r="H3638" s="197">
        <v>4.58</v>
      </c>
      <c r="I3638" s="7" t="s">
        <v>16815</v>
      </c>
      <c r="J3638" s="7" t="s">
        <v>17726</v>
      </c>
      <c r="K3638" s="7" t="s">
        <v>16885</v>
      </c>
      <c r="L3638" s="201" t="s">
        <v>16835</v>
      </c>
      <c r="M3638" s="199"/>
      <c r="N3638" s="199"/>
    </row>
    <row r="3639">
      <c r="A3639" s="193" t="s">
        <v>21488</v>
      </c>
      <c r="B3639" s="7" t="s">
        <v>16838</v>
      </c>
      <c r="C3639" s="7" t="s">
        <v>17002</v>
      </c>
      <c r="D3639" s="194">
        <v>2016.0</v>
      </c>
      <c r="E3639" s="193"/>
      <c r="F3639" s="195" t="s">
        <v>21489</v>
      </c>
      <c r="G3639" s="196">
        <v>1.3136312E9</v>
      </c>
      <c r="H3639" s="197">
        <v>26.32</v>
      </c>
      <c r="I3639" s="7" t="s">
        <v>16815</v>
      </c>
      <c r="J3639" s="7" t="s">
        <v>16838</v>
      </c>
      <c r="K3639" s="7" t="s">
        <v>17002</v>
      </c>
      <c r="L3639" s="198" t="s">
        <v>65</v>
      </c>
      <c r="M3639" s="194"/>
      <c r="N3639" s="194"/>
    </row>
    <row r="3640">
      <c r="A3640" s="193" t="s">
        <v>21488</v>
      </c>
      <c r="B3640" s="7" t="s">
        <v>17002</v>
      </c>
      <c r="C3640" s="7" t="s">
        <v>16838</v>
      </c>
      <c r="D3640" s="194">
        <v>2016.0</v>
      </c>
      <c r="E3640" s="193"/>
      <c r="F3640" s="195" t="s">
        <v>21489</v>
      </c>
      <c r="G3640" s="200">
        <v>1.3136312E9</v>
      </c>
      <c r="H3640" s="197">
        <v>26.32</v>
      </c>
      <c r="I3640" s="7" t="s">
        <v>16815</v>
      </c>
      <c r="J3640" s="7" t="s">
        <v>17002</v>
      </c>
      <c r="K3640" s="7" t="s">
        <v>16838</v>
      </c>
      <c r="L3640" s="201" t="s">
        <v>16835</v>
      </c>
      <c r="M3640" s="194"/>
      <c r="N3640" s="194"/>
    </row>
    <row r="3641">
      <c r="A3641" s="193" t="s">
        <v>21490</v>
      </c>
      <c r="B3641" s="7" t="s">
        <v>187</v>
      </c>
      <c r="C3641" s="7" t="s">
        <v>16846</v>
      </c>
      <c r="D3641" s="199"/>
      <c r="E3641" s="193"/>
      <c r="F3641" s="195" t="s">
        <v>21491</v>
      </c>
      <c r="G3641" s="196">
        <v>1.3119178E9</v>
      </c>
      <c r="H3641" s="197">
        <v>34.91</v>
      </c>
      <c r="I3641" s="7" t="s">
        <v>16815</v>
      </c>
      <c r="J3641" s="7" t="s">
        <v>187</v>
      </c>
      <c r="K3641" s="7" t="s">
        <v>16846</v>
      </c>
      <c r="L3641" s="198" t="s">
        <v>65</v>
      </c>
      <c r="M3641" s="199"/>
      <c r="N3641" s="199"/>
    </row>
    <row r="3642">
      <c r="A3642" s="193" t="s">
        <v>21490</v>
      </c>
      <c r="B3642" s="7" t="s">
        <v>16846</v>
      </c>
      <c r="C3642" s="7" t="s">
        <v>187</v>
      </c>
      <c r="D3642" s="199"/>
      <c r="E3642" s="193"/>
      <c r="F3642" s="195" t="s">
        <v>21491</v>
      </c>
      <c r="G3642" s="200">
        <v>1.3119178E9</v>
      </c>
      <c r="H3642" s="197">
        <v>34.91</v>
      </c>
      <c r="I3642" s="7" t="s">
        <v>16815</v>
      </c>
      <c r="J3642" s="7" t="s">
        <v>16846</v>
      </c>
      <c r="K3642" s="7" t="s">
        <v>187</v>
      </c>
      <c r="L3642" s="201" t="s">
        <v>16835</v>
      </c>
      <c r="M3642" s="199"/>
      <c r="N3642" s="199"/>
    </row>
    <row r="3643">
      <c r="A3643" s="193" t="s">
        <v>21492</v>
      </c>
      <c r="B3643" s="7" t="s">
        <v>16910</v>
      </c>
      <c r="C3643" s="7" t="s">
        <v>17013</v>
      </c>
      <c r="D3643" s="194">
        <v>2021.0</v>
      </c>
      <c r="E3643" s="193"/>
      <c r="F3643" s="195" t="s">
        <v>21493</v>
      </c>
      <c r="G3643" s="196">
        <v>1.311497513E9</v>
      </c>
      <c r="H3643" s="197">
        <v>6.68</v>
      </c>
      <c r="I3643" s="7" t="s">
        <v>17986</v>
      </c>
      <c r="J3643" s="7" t="s">
        <v>16910</v>
      </c>
      <c r="K3643" s="7" t="s">
        <v>17013</v>
      </c>
      <c r="L3643" s="198" t="s">
        <v>65</v>
      </c>
      <c r="M3643" s="194"/>
      <c r="N3643" s="194"/>
    </row>
    <row r="3644">
      <c r="A3644" s="193" t="s">
        <v>21492</v>
      </c>
      <c r="B3644" s="7" t="s">
        <v>17013</v>
      </c>
      <c r="C3644" s="7" t="s">
        <v>16910</v>
      </c>
      <c r="D3644" s="194">
        <v>2021.0</v>
      </c>
      <c r="E3644" s="193"/>
      <c r="F3644" s="195" t="s">
        <v>21493</v>
      </c>
      <c r="G3644" s="200">
        <v>1.311497513E9</v>
      </c>
      <c r="H3644" s="197">
        <v>6.68</v>
      </c>
      <c r="I3644" s="7" t="s">
        <v>16815</v>
      </c>
      <c r="J3644" s="7" t="s">
        <v>17013</v>
      </c>
      <c r="K3644" s="7" t="s">
        <v>16910</v>
      </c>
      <c r="L3644" s="201" t="s">
        <v>16835</v>
      </c>
      <c r="M3644" s="194"/>
      <c r="N3644" s="194"/>
    </row>
    <row r="3645">
      <c r="A3645" s="193" t="s">
        <v>21494</v>
      </c>
      <c r="B3645" s="7" t="s">
        <v>175</v>
      </c>
      <c r="C3645" s="7" t="s">
        <v>16942</v>
      </c>
      <c r="D3645" s="199"/>
      <c r="E3645" s="193"/>
      <c r="F3645" s="195" t="s">
        <v>21495</v>
      </c>
      <c r="G3645" s="196">
        <v>1.309832775E9</v>
      </c>
      <c r="H3645" s="197">
        <v>65.14</v>
      </c>
      <c r="I3645" s="7" t="s">
        <v>168</v>
      </c>
      <c r="J3645" s="7" t="s">
        <v>175</v>
      </c>
      <c r="K3645" s="7" t="s">
        <v>16942</v>
      </c>
      <c r="L3645" s="198" t="s">
        <v>65</v>
      </c>
      <c r="M3645" s="199"/>
      <c r="N3645" s="199"/>
    </row>
    <row r="3646">
      <c r="A3646" s="193" t="s">
        <v>21496</v>
      </c>
      <c r="B3646" s="7" t="s">
        <v>17111</v>
      </c>
      <c r="C3646" s="7" t="s">
        <v>17112</v>
      </c>
      <c r="D3646" s="199"/>
      <c r="E3646" s="193"/>
      <c r="F3646" s="195" t="s">
        <v>21497</v>
      </c>
      <c r="G3646" s="200">
        <v>1.308609499E9</v>
      </c>
      <c r="H3646" s="197">
        <v>31.6</v>
      </c>
      <c r="I3646" s="7" t="s">
        <v>16815</v>
      </c>
      <c r="J3646" s="7" t="s">
        <v>17111</v>
      </c>
      <c r="K3646" s="7" t="s">
        <v>17112</v>
      </c>
      <c r="L3646" s="201" t="s">
        <v>16835</v>
      </c>
      <c r="M3646" s="199"/>
      <c r="N3646" s="199"/>
    </row>
    <row r="3647">
      <c r="A3647" s="193" t="s">
        <v>21496</v>
      </c>
      <c r="B3647" s="7" t="s">
        <v>17112</v>
      </c>
      <c r="C3647" s="7" t="s">
        <v>17111</v>
      </c>
      <c r="D3647" s="199"/>
      <c r="E3647" s="193"/>
      <c r="F3647" s="195" t="s">
        <v>21497</v>
      </c>
      <c r="G3647" s="196">
        <v>1.308609499E9</v>
      </c>
      <c r="H3647" s="197">
        <v>31.6</v>
      </c>
      <c r="I3647" s="7" t="s">
        <v>16815</v>
      </c>
      <c r="J3647" s="7" t="s">
        <v>17112</v>
      </c>
      <c r="K3647" s="7" t="s">
        <v>17111</v>
      </c>
      <c r="L3647" s="198" t="s">
        <v>65</v>
      </c>
      <c r="M3647" s="199"/>
      <c r="N3647" s="199"/>
    </row>
    <row r="3648">
      <c r="A3648" s="193" t="s">
        <v>21498</v>
      </c>
      <c r="B3648" s="7" t="s">
        <v>16582</v>
      </c>
      <c r="C3648" s="7" t="s">
        <v>16817</v>
      </c>
      <c r="D3648" s="194">
        <v>2014.0</v>
      </c>
      <c r="E3648" s="193"/>
      <c r="F3648" s="195" t="s">
        <v>21499</v>
      </c>
      <c r="G3648" s="196">
        <v>1.308090536E9</v>
      </c>
      <c r="H3648" s="197">
        <v>6.94</v>
      </c>
      <c r="I3648" s="7" t="s">
        <v>16815</v>
      </c>
      <c r="J3648" s="7" t="s">
        <v>16582</v>
      </c>
      <c r="K3648" s="7" t="s">
        <v>16817</v>
      </c>
      <c r="L3648" s="198" t="s">
        <v>65</v>
      </c>
      <c r="M3648" s="194"/>
      <c r="N3648" s="194"/>
    </row>
    <row r="3649">
      <c r="A3649" s="193" t="s">
        <v>21500</v>
      </c>
      <c r="B3649" s="7" t="s">
        <v>175</v>
      </c>
      <c r="C3649" s="7" t="s">
        <v>17391</v>
      </c>
      <c r="D3649" s="194">
        <v>2013.0</v>
      </c>
      <c r="E3649" s="193"/>
      <c r="F3649" s="195" t="s">
        <v>21501</v>
      </c>
      <c r="G3649" s="196">
        <v>1.306131843E9</v>
      </c>
      <c r="H3649" s="197">
        <v>23.15</v>
      </c>
      <c r="I3649" s="7" t="s">
        <v>16908</v>
      </c>
      <c r="J3649" s="7" t="s">
        <v>175</v>
      </c>
      <c r="K3649" s="7" t="s">
        <v>17391</v>
      </c>
      <c r="L3649" s="198" t="s">
        <v>65</v>
      </c>
      <c r="M3649" s="194"/>
      <c r="N3649" s="194"/>
    </row>
    <row r="3650">
      <c r="A3650" s="193" t="s">
        <v>21502</v>
      </c>
      <c r="B3650" s="7" t="s">
        <v>175</v>
      </c>
      <c r="C3650" s="7" t="s">
        <v>17452</v>
      </c>
      <c r="D3650" s="194">
        <v>2014.0</v>
      </c>
      <c r="E3650" s="193"/>
      <c r="F3650" s="195" t="s">
        <v>21503</v>
      </c>
      <c r="G3650" s="196">
        <v>1.305674599E9</v>
      </c>
      <c r="H3650" s="197">
        <v>41.86</v>
      </c>
      <c r="I3650" s="7" t="s">
        <v>16856</v>
      </c>
      <c r="J3650" s="7" t="s">
        <v>175</v>
      </c>
      <c r="K3650" s="7" t="s">
        <v>17452</v>
      </c>
      <c r="L3650" s="198" t="s">
        <v>65</v>
      </c>
      <c r="M3650" s="194"/>
      <c r="N3650" s="194"/>
    </row>
    <row r="3651">
      <c r="A3651" s="193" t="s">
        <v>21502</v>
      </c>
      <c r="B3651" s="7" t="s">
        <v>17452</v>
      </c>
      <c r="C3651" s="7" t="s">
        <v>175</v>
      </c>
      <c r="D3651" s="194">
        <v>2014.0</v>
      </c>
      <c r="E3651" s="193"/>
      <c r="F3651" s="195" t="s">
        <v>21503</v>
      </c>
      <c r="G3651" s="200">
        <v>1.305674599E9</v>
      </c>
      <c r="H3651" s="197">
        <v>41.86</v>
      </c>
      <c r="I3651" s="7" t="s">
        <v>16815</v>
      </c>
      <c r="J3651" s="7" t="s">
        <v>17452</v>
      </c>
      <c r="K3651" s="7" t="s">
        <v>175</v>
      </c>
      <c r="L3651" s="201" t="s">
        <v>16835</v>
      </c>
      <c r="M3651" s="194"/>
      <c r="N3651" s="194"/>
    </row>
    <row r="3652">
      <c r="A3652" s="193" t="s">
        <v>21504</v>
      </c>
      <c r="B3652" s="7" t="s">
        <v>16838</v>
      </c>
      <c r="C3652" s="7" t="s">
        <v>16867</v>
      </c>
      <c r="D3652" s="199"/>
      <c r="E3652" s="193"/>
      <c r="F3652" s="195" t="s">
        <v>21505</v>
      </c>
      <c r="G3652" s="196">
        <v>1.301595634E9</v>
      </c>
      <c r="H3652" s="197">
        <v>51.18</v>
      </c>
      <c r="I3652" s="7" t="s">
        <v>16815</v>
      </c>
      <c r="J3652" s="7" t="s">
        <v>16838</v>
      </c>
      <c r="K3652" s="7" t="s">
        <v>16867</v>
      </c>
      <c r="L3652" s="198" t="s">
        <v>65</v>
      </c>
      <c r="M3652" s="199"/>
      <c r="N3652" s="199"/>
    </row>
    <row r="3653">
      <c r="A3653" s="193" t="s">
        <v>21506</v>
      </c>
      <c r="B3653" s="7" t="s">
        <v>16582</v>
      </c>
      <c r="C3653" s="7" t="s">
        <v>16930</v>
      </c>
      <c r="D3653" s="194">
        <v>2006.0</v>
      </c>
      <c r="E3653" s="193"/>
      <c r="F3653" s="195" t="s">
        <v>21507</v>
      </c>
      <c r="G3653" s="196">
        <v>1.2997688E9</v>
      </c>
      <c r="H3653" s="197">
        <v>27.94</v>
      </c>
      <c r="I3653" s="7" t="s">
        <v>16815</v>
      </c>
      <c r="J3653" s="7" t="s">
        <v>16582</v>
      </c>
      <c r="K3653" s="7" t="s">
        <v>16930</v>
      </c>
      <c r="L3653" s="198" t="s">
        <v>65</v>
      </c>
      <c r="M3653" s="194"/>
      <c r="N3653" s="194"/>
    </row>
    <row r="3654">
      <c r="A3654" s="193" t="s">
        <v>21508</v>
      </c>
      <c r="B3654" s="7" t="s">
        <v>175</v>
      </c>
      <c r="C3654" s="7" t="s">
        <v>16957</v>
      </c>
      <c r="D3654" s="194">
        <v>2013.0</v>
      </c>
      <c r="E3654" s="193"/>
      <c r="F3654" s="195" t="s">
        <v>21509</v>
      </c>
      <c r="G3654" s="196">
        <v>1.29872103E9</v>
      </c>
      <c r="H3654" s="197">
        <v>10.08</v>
      </c>
      <c r="I3654" s="193" t="s">
        <v>16908</v>
      </c>
      <c r="J3654" s="7" t="s">
        <v>175</v>
      </c>
      <c r="K3654" s="7" t="s">
        <v>16957</v>
      </c>
      <c r="L3654" s="198" t="s">
        <v>65</v>
      </c>
      <c r="M3654" s="194"/>
      <c r="N3654" s="194"/>
    </row>
    <row r="3655">
      <c r="A3655" s="193" t="s">
        <v>21510</v>
      </c>
      <c r="B3655" s="7" t="s">
        <v>175</v>
      </c>
      <c r="C3655" s="7" t="s">
        <v>17495</v>
      </c>
      <c r="D3655" s="194">
        <v>1998.0</v>
      </c>
      <c r="E3655" s="193"/>
      <c r="F3655" s="195" t="s">
        <v>21511</v>
      </c>
      <c r="G3655" s="196">
        <v>1.29802251E9</v>
      </c>
      <c r="H3655" s="197">
        <v>11.38</v>
      </c>
      <c r="I3655" s="7" t="s">
        <v>17033</v>
      </c>
      <c r="J3655" s="7" t="s">
        <v>175</v>
      </c>
      <c r="K3655" s="7" t="s">
        <v>17495</v>
      </c>
      <c r="L3655" s="198" t="s">
        <v>65</v>
      </c>
      <c r="M3655" s="194"/>
      <c r="N3655" s="194"/>
    </row>
    <row r="3656">
      <c r="A3656" s="193" t="s">
        <v>21510</v>
      </c>
      <c r="B3656" s="7" t="s">
        <v>17495</v>
      </c>
      <c r="C3656" s="7" t="s">
        <v>175</v>
      </c>
      <c r="D3656" s="194">
        <v>1998.0</v>
      </c>
      <c r="E3656" s="193"/>
      <c r="F3656" s="195" t="s">
        <v>21511</v>
      </c>
      <c r="G3656" s="200">
        <v>1.29802251E9</v>
      </c>
      <c r="H3656" s="197">
        <v>11.38</v>
      </c>
      <c r="I3656" s="7" t="s">
        <v>16815</v>
      </c>
      <c r="J3656" s="7" t="s">
        <v>17495</v>
      </c>
      <c r="K3656" s="7" t="s">
        <v>175</v>
      </c>
      <c r="L3656" s="201" t="s">
        <v>16835</v>
      </c>
      <c r="M3656" s="194"/>
      <c r="N3656" s="194"/>
    </row>
    <row r="3657">
      <c r="A3657" s="193" t="s">
        <v>21512</v>
      </c>
      <c r="B3657" s="7" t="s">
        <v>16867</v>
      </c>
      <c r="C3657" s="7" t="s">
        <v>16838</v>
      </c>
      <c r="D3657" s="199"/>
      <c r="E3657" s="193"/>
      <c r="F3657" s="195" t="s">
        <v>21513</v>
      </c>
      <c r="G3657" s="200">
        <v>1.294214827E9</v>
      </c>
      <c r="H3657" s="197">
        <v>41.36</v>
      </c>
      <c r="I3657" s="7" t="s">
        <v>16815</v>
      </c>
      <c r="J3657" s="7" t="s">
        <v>16867</v>
      </c>
      <c r="K3657" s="7" t="s">
        <v>16838</v>
      </c>
      <c r="L3657" s="201" t="s">
        <v>16835</v>
      </c>
      <c r="M3657" s="199"/>
      <c r="N3657" s="199"/>
    </row>
    <row r="3658">
      <c r="A3658" s="193" t="s">
        <v>21512</v>
      </c>
      <c r="B3658" s="7" t="s">
        <v>16838</v>
      </c>
      <c r="C3658" s="7" t="s">
        <v>16867</v>
      </c>
      <c r="D3658" s="199"/>
      <c r="E3658" s="193"/>
      <c r="F3658" s="195" t="s">
        <v>21513</v>
      </c>
      <c r="G3658" s="196">
        <v>1.294214827E9</v>
      </c>
      <c r="H3658" s="197">
        <v>41.36</v>
      </c>
      <c r="I3658" s="7" t="s">
        <v>16815</v>
      </c>
      <c r="J3658" s="7" t="s">
        <v>16838</v>
      </c>
      <c r="K3658" s="7" t="s">
        <v>16867</v>
      </c>
      <c r="L3658" s="198" t="s">
        <v>65</v>
      </c>
      <c r="M3658" s="199"/>
      <c r="N3658" s="199"/>
    </row>
    <row r="3659">
      <c r="A3659" s="193" t="s">
        <v>21514</v>
      </c>
      <c r="B3659" s="7" t="s">
        <v>175</v>
      </c>
      <c r="C3659" s="7" t="s">
        <v>18570</v>
      </c>
      <c r="D3659" s="199"/>
      <c r="E3659" s="193"/>
      <c r="F3659" s="195" t="s">
        <v>21515</v>
      </c>
      <c r="G3659" s="196">
        <v>1.293781076E9</v>
      </c>
      <c r="H3659" s="197">
        <v>29.99</v>
      </c>
      <c r="I3659" s="7" t="s">
        <v>168</v>
      </c>
      <c r="J3659" s="7" t="s">
        <v>175</v>
      </c>
      <c r="K3659" s="7" t="s">
        <v>18570</v>
      </c>
      <c r="L3659" s="198" t="s">
        <v>65</v>
      </c>
      <c r="M3659" s="199"/>
      <c r="N3659" s="199"/>
    </row>
    <row r="3660">
      <c r="A3660" s="193" t="s">
        <v>21514</v>
      </c>
      <c r="B3660" s="7" t="s">
        <v>18570</v>
      </c>
      <c r="C3660" s="7" t="s">
        <v>175</v>
      </c>
      <c r="D3660" s="199"/>
      <c r="E3660" s="193"/>
      <c r="F3660" s="195" t="s">
        <v>21515</v>
      </c>
      <c r="G3660" s="200">
        <v>1.293781076E9</v>
      </c>
      <c r="H3660" s="197">
        <v>29.99</v>
      </c>
      <c r="I3660" s="7" t="s">
        <v>16815</v>
      </c>
      <c r="J3660" s="7" t="s">
        <v>18570</v>
      </c>
      <c r="K3660" s="7" t="s">
        <v>175</v>
      </c>
      <c r="L3660" s="201" t="s">
        <v>16835</v>
      </c>
      <c r="M3660" s="199"/>
      <c r="N3660" s="199"/>
    </row>
    <row r="3661">
      <c r="A3661" s="193" t="s">
        <v>21516</v>
      </c>
      <c r="B3661" s="7" t="s">
        <v>187</v>
      </c>
      <c r="C3661" s="7" t="s">
        <v>16846</v>
      </c>
      <c r="D3661" s="194">
        <v>2018.0</v>
      </c>
      <c r="E3661" s="193"/>
      <c r="F3661" s="195" t="s">
        <v>21517</v>
      </c>
      <c r="G3661" s="196">
        <v>1.292636007E9</v>
      </c>
      <c r="H3661" s="197">
        <v>4.22</v>
      </c>
      <c r="I3661" s="7" t="s">
        <v>16815</v>
      </c>
      <c r="J3661" s="7" t="s">
        <v>187</v>
      </c>
      <c r="K3661" s="7" t="s">
        <v>16846</v>
      </c>
      <c r="L3661" s="198" t="s">
        <v>65</v>
      </c>
      <c r="M3661" s="194"/>
      <c r="N3661" s="194"/>
    </row>
    <row r="3662">
      <c r="A3662" s="193" t="s">
        <v>21516</v>
      </c>
      <c r="B3662" s="7" t="s">
        <v>16846</v>
      </c>
      <c r="C3662" s="7" t="s">
        <v>187</v>
      </c>
      <c r="D3662" s="194">
        <v>2018.0</v>
      </c>
      <c r="E3662" s="193"/>
      <c r="F3662" s="195" t="s">
        <v>21517</v>
      </c>
      <c r="G3662" s="200">
        <v>1.292636007E9</v>
      </c>
      <c r="H3662" s="197">
        <v>4.22</v>
      </c>
      <c r="I3662" s="7" t="s">
        <v>16815</v>
      </c>
      <c r="J3662" s="7" t="s">
        <v>16846</v>
      </c>
      <c r="K3662" s="7" t="s">
        <v>187</v>
      </c>
      <c r="L3662" s="201" t="s">
        <v>16835</v>
      </c>
      <c r="M3662" s="194"/>
      <c r="N3662" s="194"/>
    </row>
    <row r="3663">
      <c r="A3663" s="193" t="s">
        <v>21518</v>
      </c>
      <c r="B3663" s="7" t="s">
        <v>158</v>
      </c>
      <c r="C3663" s="7" t="s">
        <v>16864</v>
      </c>
      <c r="D3663" s="194">
        <v>2022.0</v>
      </c>
      <c r="E3663" s="193"/>
      <c r="F3663" s="195" t="s">
        <v>21519</v>
      </c>
      <c r="G3663" s="196">
        <v>1.290280445E9</v>
      </c>
      <c r="H3663" s="197">
        <v>12.61</v>
      </c>
      <c r="I3663" s="7" t="s">
        <v>16897</v>
      </c>
      <c r="J3663" s="7" t="s">
        <v>158</v>
      </c>
      <c r="K3663" s="7" t="s">
        <v>16864</v>
      </c>
      <c r="L3663" s="198" t="s">
        <v>65</v>
      </c>
      <c r="M3663" s="194"/>
      <c r="N3663" s="194"/>
    </row>
    <row r="3664">
      <c r="A3664" s="193" t="s">
        <v>21518</v>
      </c>
      <c r="B3664" s="7" t="s">
        <v>16864</v>
      </c>
      <c r="C3664" s="7" t="s">
        <v>158</v>
      </c>
      <c r="D3664" s="194">
        <v>2022.0</v>
      </c>
      <c r="E3664" s="193"/>
      <c r="F3664" s="195" t="s">
        <v>21519</v>
      </c>
      <c r="G3664" s="200">
        <v>1.290280445E9</v>
      </c>
      <c r="H3664" s="197">
        <v>12.61</v>
      </c>
      <c r="I3664" s="7" t="s">
        <v>16815</v>
      </c>
      <c r="J3664" s="7" t="s">
        <v>16864</v>
      </c>
      <c r="K3664" s="7" t="s">
        <v>158</v>
      </c>
      <c r="L3664" s="201" t="s">
        <v>16835</v>
      </c>
      <c r="M3664" s="194"/>
      <c r="N3664" s="194"/>
    </row>
    <row r="3665">
      <c r="A3665" s="193" t="s">
        <v>21520</v>
      </c>
      <c r="B3665" s="7" t="s">
        <v>175</v>
      </c>
      <c r="C3665" s="7" t="s">
        <v>17233</v>
      </c>
      <c r="D3665" s="194">
        <v>2006.0</v>
      </c>
      <c r="E3665" s="193"/>
      <c r="F3665" s="195" t="s">
        <v>21521</v>
      </c>
      <c r="G3665" s="196">
        <v>1.29019E9</v>
      </c>
      <c r="H3665" s="197">
        <v>63.4</v>
      </c>
      <c r="I3665" s="7" t="s">
        <v>16908</v>
      </c>
      <c r="J3665" s="7" t="s">
        <v>175</v>
      </c>
      <c r="K3665" s="7" t="s">
        <v>17233</v>
      </c>
      <c r="L3665" s="198" t="s">
        <v>65</v>
      </c>
      <c r="M3665" s="194"/>
      <c r="N3665" s="194"/>
    </row>
    <row r="3666">
      <c r="A3666" s="193" t="s">
        <v>21520</v>
      </c>
      <c r="B3666" s="7" t="s">
        <v>17233</v>
      </c>
      <c r="C3666" s="7" t="s">
        <v>175</v>
      </c>
      <c r="D3666" s="194">
        <v>2006.0</v>
      </c>
      <c r="E3666" s="193"/>
      <c r="F3666" s="195" t="s">
        <v>21521</v>
      </c>
      <c r="G3666" s="200">
        <v>1.29019E9</v>
      </c>
      <c r="H3666" s="197">
        <v>63.4</v>
      </c>
      <c r="I3666" s="7" t="s">
        <v>16815</v>
      </c>
      <c r="J3666" s="7" t="s">
        <v>17233</v>
      </c>
      <c r="K3666" s="7" t="s">
        <v>175</v>
      </c>
      <c r="L3666" s="201" t="s">
        <v>16835</v>
      </c>
      <c r="M3666" s="194"/>
      <c r="N3666" s="194"/>
    </row>
    <row r="3667">
      <c r="A3667" s="193" t="s">
        <v>21522</v>
      </c>
      <c r="B3667" s="7" t="s">
        <v>175</v>
      </c>
      <c r="C3667" s="7" t="s">
        <v>17031</v>
      </c>
      <c r="D3667" s="194">
        <v>2002.0</v>
      </c>
      <c r="E3667" s="193"/>
      <c r="F3667" s="195" t="s">
        <v>21523</v>
      </c>
      <c r="G3667" s="196">
        <v>1.289829692E9</v>
      </c>
      <c r="H3667" s="197">
        <v>3.87</v>
      </c>
      <c r="I3667" s="7" t="s">
        <v>168</v>
      </c>
      <c r="J3667" s="7" t="s">
        <v>175</v>
      </c>
      <c r="K3667" s="7" t="s">
        <v>17031</v>
      </c>
      <c r="L3667" s="198" t="s">
        <v>65</v>
      </c>
      <c r="M3667" s="194"/>
      <c r="N3667" s="194"/>
    </row>
    <row r="3668">
      <c r="A3668" s="193" t="s">
        <v>21524</v>
      </c>
      <c r="B3668" s="7" t="s">
        <v>187</v>
      </c>
      <c r="C3668" s="7" t="s">
        <v>16846</v>
      </c>
      <c r="D3668" s="194">
        <v>2020.0</v>
      </c>
      <c r="E3668" s="193"/>
      <c r="F3668" s="195" t="s">
        <v>21525</v>
      </c>
      <c r="G3668" s="196">
        <v>1.289080036E9</v>
      </c>
      <c r="H3668" s="197">
        <v>5.13</v>
      </c>
      <c r="I3668" s="7" t="s">
        <v>16815</v>
      </c>
      <c r="J3668" s="7" t="s">
        <v>187</v>
      </c>
      <c r="K3668" s="7" t="s">
        <v>16846</v>
      </c>
      <c r="L3668" s="198" t="s">
        <v>65</v>
      </c>
      <c r="M3668" s="194"/>
      <c r="N3668" s="194"/>
    </row>
    <row r="3669">
      <c r="A3669" s="193" t="s">
        <v>21526</v>
      </c>
      <c r="B3669" s="7" t="s">
        <v>16838</v>
      </c>
      <c r="C3669" s="7" t="s">
        <v>16867</v>
      </c>
      <c r="D3669" s="199"/>
      <c r="E3669" s="193"/>
      <c r="F3669" s="195" t="s">
        <v>21527</v>
      </c>
      <c r="G3669" s="196">
        <v>1.288586221E9</v>
      </c>
      <c r="H3669" s="197">
        <v>21.1</v>
      </c>
      <c r="I3669" s="7" t="s">
        <v>16815</v>
      </c>
      <c r="J3669" s="7" t="s">
        <v>16838</v>
      </c>
      <c r="K3669" s="7" t="s">
        <v>16867</v>
      </c>
      <c r="L3669" s="198" t="s">
        <v>65</v>
      </c>
      <c r="M3669" s="199"/>
      <c r="N3669" s="199"/>
    </row>
    <row r="3670">
      <c r="A3670" s="193" t="s">
        <v>21528</v>
      </c>
      <c r="B3670" s="7" t="s">
        <v>16838</v>
      </c>
      <c r="C3670" s="7" t="s">
        <v>17347</v>
      </c>
      <c r="D3670" s="199"/>
      <c r="E3670" s="193"/>
      <c r="F3670" s="195" t="s">
        <v>21529</v>
      </c>
      <c r="G3670" s="196">
        <v>1.287948248E9</v>
      </c>
      <c r="H3670" s="197">
        <v>20.06</v>
      </c>
      <c r="I3670" s="7" t="s">
        <v>16815</v>
      </c>
      <c r="J3670" s="7" t="s">
        <v>16838</v>
      </c>
      <c r="K3670" s="7" t="s">
        <v>17347</v>
      </c>
      <c r="L3670" s="198" t="s">
        <v>65</v>
      </c>
      <c r="M3670" s="199"/>
      <c r="N3670" s="199"/>
    </row>
    <row r="3671">
      <c r="A3671" s="193" t="s">
        <v>21530</v>
      </c>
      <c r="B3671" s="7" t="s">
        <v>17111</v>
      </c>
      <c r="C3671" s="7" t="s">
        <v>17112</v>
      </c>
      <c r="D3671" s="199"/>
      <c r="E3671" s="193"/>
      <c r="F3671" s="195" t="s">
        <v>21531</v>
      </c>
      <c r="G3671" s="200">
        <v>1.286490288E9</v>
      </c>
      <c r="H3671" s="197">
        <v>13.95</v>
      </c>
      <c r="I3671" s="7" t="s">
        <v>16815</v>
      </c>
      <c r="J3671" s="7" t="s">
        <v>17111</v>
      </c>
      <c r="K3671" s="7" t="s">
        <v>17112</v>
      </c>
      <c r="L3671" s="201" t="s">
        <v>16835</v>
      </c>
      <c r="M3671" s="199"/>
      <c r="N3671" s="199"/>
    </row>
    <row r="3672">
      <c r="A3672" s="193" t="s">
        <v>21530</v>
      </c>
      <c r="B3672" s="7" t="s">
        <v>17112</v>
      </c>
      <c r="C3672" s="7" t="s">
        <v>17111</v>
      </c>
      <c r="D3672" s="199"/>
      <c r="E3672" s="193"/>
      <c r="F3672" s="195" t="s">
        <v>21531</v>
      </c>
      <c r="G3672" s="196">
        <v>1.286490288E9</v>
      </c>
      <c r="H3672" s="197">
        <v>13.95</v>
      </c>
      <c r="I3672" s="7" t="s">
        <v>16815</v>
      </c>
      <c r="J3672" s="7" t="s">
        <v>17112</v>
      </c>
      <c r="K3672" s="7" t="s">
        <v>17111</v>
      </c>
      <c r="L3672" s="198" t="s">
        <v>65</v>
      </c>
      <c r="M3672" s="199"/>
      <c r="N3672" s="199"/>
    </row>
    <row r="3673">
      <c r="A3673" s="193" t="s">
        <v>21532</v>
      </c>
      <c r="B3673" s="7" t="s">
        <v>16945</v>
      </c>
      <c r="C3673" s="7" t="s">
        <v>169</v>
      </c>
      <c r="D3673" s="194">
        <v>2014.0</v>
      </c>
      <c r="E3673" s="193"/>
      <c r="F3673" s="195" t="s">
        <v>21533</v>
      </c>
      <c r="G3673" s="200">
        <v>1.285677701E9</v>
      </c>
      <c r="H3673" s="197">
        <v>22.15</v>
      </c>
      <c r="I3673" s="7" t="s">
        <v>16815</v>
      </c>
      <c r="J3673" s="7" t="s">
        <v>16945</v>
      </c>
      <c r="K3673" s="7" t="s">
        <v>169</v>
      </c>
      <c r="L3673" s="201" t="s">
        <v>16835</v>
      </c>
      <c r="M3673" s="194"/>
      <c r="N3673" s="194"/>
    </row>
    <row r="3674">
      <c r="A3674" s="193" t="s">
        <v>21532</v>
      </c>
      <c r="B3674" s="7" t="s">
        <v>169</v>
      </c>
      <c r="C3674" s="7" t="s">
        <v>16945</v>
      </c>
      <c r="D3674" s="194">
        <v>2014.0</v>
      </c>
      <c r="E3674" s="193"/>
      <c r="F3674" s="195" t="s">
        <v>21533</v>
      </c>
      <c r="G3674" s="196">
        <v>1.285677701E9</v>
      </c>
      <c r="H3674" s="197">
        <v>22.15</v>
      </c>
      <c r="I3674" s="7" t="s">
        <v>16815</v>
      </c>
      <c r="J3674" s="7" t="s">
        <v>169</v>
      </c>
      <c r="K3674" s="7" t="s">
        <v>16945</v>
      </c>
      <c r="L3674" s="198" t="s">
        <v>65</v>
      </c>
      <c r="M3674" s="194"/>
      <c r="N3674" s="194"/>
    </row>
    <row r="3675">
      <c r="A3675" s="193" t="s">
        <v>21534</v>
      </c>
      <c r="B3675" s="7" t="s">
        <v>16838</v>
      </c>
      <c r="C3675" s="7" t="s">
        <v>18679</v>
      </c>
      <c r="D3675" s="199"/>
      <c r="E3675" s="193"/>
      <c r="F3675" s="195" t="s">
        <v>21535</v>
      </c>
      <c r="G3675" s="196">
        <v>1.284225956E9</v>
      </c>
      <c r="H3675" s="197">
        <v>12.66</v>
      </c>
      <c r="I3675" s="7" t="s">
        <v>16815</v>
      </c>
      <c r="J3675" s="7" t="s">
        <v>16838</v>
      </c>
      <c r="K3675" s="7" t="s">
        <v>18679</v>
      </c>
      <c r="L3675" s="198" t="s">
        <v>65</v>
      </c>
      <c r="M3675" s="199"/>
      <c r="N3675" s="199"/>
    </row>
    <row r="3676">
      <c r="A3676" s="193" t="s">
        <v>21536</v>
      </c>
      <c r="B3676" s="7" t="s">
        <v>17256</v>
      </c>
      <c r="C3676" s="7" t="s">
        <v>187</v>
      </c>
      <c r="D3676" s="194">
        <v>2004.0</v>
      </c>
      <c r="E3676" s="193"/>
      <c r="F3676" s="195" t="s">
        <v>21537</v>
      </c>
      <c r="G3676" s="200">
        <v>1.280532867E9</v>
      </c>
      <c r="H3676" s="197">
        <v>12.92</v>
      </c>
      <c r="I3676" s="7" t="s">
        <v>16815</v>
      </c>
      <c r="J3676" s="7" t="s">
        <v>17256</v>
      </c>
      <c r="K3676" s="7" t="s">
        <v>187</v>
      </c>
      <c r="L3676" s="201" t="s">
        <v>16835</v>
      </c>
      <c r="M3676" s="194"/>
      <c r="N3676" s="194"/>
    </row>
    <row r="3677">
      <c r="A3677" s="193" t="s">
        <v>21536</v>
      </c>
      <c r="B3677" s="7" t="s">
        <v>187</v>
      </c>
      <c r="C3677" s="7" t="s">
        <v>17256</v>
      </c>
      <c r="D3677" s="194">
        <v>2004.0</v>
      </c>
      <c r="E3677" s="193"/>
      <c r="F3677" s="195" t="s">
        <v>21537</v>
      </c>
      <c r="G3677" s="196">
        <v>1.280532867E9</v>
      </c>
      <c r="H3677" s="197">
        <v>12.92</v>
      </c>
      <c r="I3677" s="7" t="s">
        <v>16815</v>
      </c>
      <c r="J3677" s="7" t="s">
        <v>187</v>
      </c>
      <c r="K3677" s="7" t="s">
        <v>17256</v>
      </c>
      <c r="L3677" s="198" t="s">
        <v>65</v>
      </c>
      <c r="M3677" s="194"/>
      <c r="N3677" s="194"/>
    </row>
    <row r="3678">
      <c r="A3678" s="193" t="s">
        <v>21538</v>
      </c>
      <c r="B3678" s="7" t="s">
        <v>16582</v>
      </c>
      <c r="C3678" s="7" t="s">
        <v>16817</v>
      </c>
      <c r="D3678" s="194">
        <v>2020.0</v>
      </c>
      <c r="E3678" s="193"/>
      <c r="F3678" s="195" t="s">
        <v>21539</v>
      </c>
      <c r="G3678" s="196">
        <v>1.276038835E9</v>
      </c>
      <c r="H3678" s="197">
        <v>5.03</v>
      </c>
      <c r="I3678" s="7" t="s">
        <v>16815</v>
      </c>
      <c r="J3678" s="7" t="s">
        <v>16582</v>
      </c>
      <c r="K3678" s="7" t="s">
        <v>16817</v>
      </c>
      <c r="L3678" s="198" t="s">
        <v>65</v>
      </c>
      <c r="M3678" s="194"/>
      <c r="N3678" s="194"/>
    </row>
    <row r="3679">
      <c r="A3679" s="193" t="s">
        <v>21540</v>
      </c>
      <c r="B3679" s="7" t="s">
        <v>16582</v>
      </c>
      <c r="C3679" s="7" t="s">
        <v>16583</v>
      </c>
      <c r="D3679" s="194">
        <v>2014.0</v>
      </c>
      <c r="E3679" s="193"/>
      <c r="F3679" s="195" t="s">
        <v>21541</v>
      </c>
      <c r="G3679" s="196">
        <v>1.27505699E9</v>
      </c>
      <c r="H3679" s="197">
        <v>3.36</v>
      </c>
      <c r="I3679" s="7" t="s">
        <v>16815</v>
      </c>
      <c r="J3679" s="7" t="s">
        <v>16582</v>
      </c>
      <c r="K3679" s="7" t="s">
        <v>16583</v>
      </c>
      <c r="L3679" s="198" t="s">
        <v>65</v>
      </c>
      <c r="M3679" s="194"/>
      <c r="N3679" s="194"/>
    </row>
    <row r="3680">
      <c r="A3680" s="193" t="s">
        <v>21542</v>
      </c>
      <c r="B3680" s="7" t="s">
        <v>19579</v>
      </c>
      <c r="C3680" s="7" t="s">
        <v>16838</v>
      </c>
      <c r="D3680" s="199"/>
      <c r="E3680" s="193"/>
      <c r="F3680" s="195" t="s">
        <v>21543</v>
      </c>
      <c r="G3680" s="200">
        <v>1.273913004E9</v>
      </c>
      <c r="H3680" s="197">
        <v>21.0</v>
      </c>
      <c r="I3680" s="7" t="s">
        <v>16815</v>
      </c>
      <c r="J3680" s="7" t="s">
        <v>19579</v>
      </c>
      <c r="K3680" s="7" t="s">
        <v>16838</v>
      </c>
      <c r="L3680" s="201" t="s">
        <v>16835</v>
      </c>
      <c r="M3680" s="199"/>
      <c r="N3680" s="199"/>
    </row>
    <row r="3681">
      <c r="A3681" s="193" t="s">
        <v>21542</v>
      </c>
      <c r="B3681" s="7" t="s">
        <v>16838</v>
      </c>
      <c r="C3681" s="7" t="s">
        <v>19579</v>
      </c>
      <c r="D3681" s="199"/>
      <c r="E3681" s="193"/>
      <c r="F3681" s="195" t="s">
        <v>21543</v>
      </c>
      <c r="G3681" s="196">
        <v>1.273913004E9</v>
      </c>
      <c r="H3681" s="197">
        <v>21.0</v>
      </c>
      <c r="I3681" s="7" t="s">
        <v>16815</v>
      </c>
      <c r="J3681" s="7" t="s">
        <v>16838</v>
      </c>
      <c r="K3681" s="7" t="s">
        <v>19579</v>
      </c>
      <c r="L3681" s="198" t="s">
        <v>65</v>
      </c>
      <c r="M3681" s="199"/>
      <c r="N3681" s="199"/>
    </row>
    <row r="3682">
      <c r="A3682" s="193" t="s">
        <v>21544</v>
      </c>
      <c r="B3682" s="7" t="s">
        <v>169</v>
      </c>
      <c r="C3682" s="7" t="s">
        <v>17702</v>
      </c>
      <c r="D3682" s="199"/>
      <c r="E3682" s="193"/>
      <c r="F3682" s="195" t="s">
        <v>21545</v>
      </c>
      <c r="G3682" s="196">
        <v>1.273890342E9</v>
      </c>
      <c r="H3682" s="197">
        <v>7.9</v>
      </c>
      <c r="I3682" s="7" t="s">
        <v>16815</v>
      </c>
      <c r="J3682" s="7" t="s">
        <v>169</v>
      </c>
      <c r="K3682" s="7" t="s">
        <v>17702</v>
      </c>
      <c r="L3682" s="198" t="s">
        <v>65</v>
      </c>
      <c r="M3682" s="199"/>
      <c r="N3682" s="199"/>
    </row>
    <row r="3683">
      <c r="A3683" s="193" t="s">
        <v>21544</v>
      </c>
      <c r="B3683" s="202" t="s">
        <v>17702</v>
      </c>
      <c r="C3683" s="193" t="s">
        <v>169</v>
      </c>
      <c r="D3683" s="206"/>
      <c r="E3683" s="193"/>
      <c r="F3683" s="203" t="s">
        <v>21545</v>
      </c>
      <c r="G3683" s="200">
        <v>1.273890342E9</v>
      </c>
      <c r="H3683" s="205">
        <v>1.59</v>
      </c>
      <c r="J3683" s="202" t="s">
        <v>17702</v>
      </c>
      <c r="K3683" s="193" t="s">
        <v>169</v>
      </c>
      <c r="L3683" s="193" t="s">
        <v>17471</v>
      </c>
      <c r="M3683" s="206"/>
      <c r="N3683" s="206"/>
    </row>
    <row r="3684">
      <c r="A3684" s="193" t="s">
        <v>21546</v>
      </c>
      <c r="B3684" s="7" t="s">
        <v>187</v>
      </c>
      <c r="C3684" s="7" t="s">
        <v>17564</v>
      </c>
      <c r="D3684" s="199"/>
      <c r="E3684" s="193"/>
      <c r="F3684" s="195" t="s">
        <v>21547</v>
      </c>
      <c r="G3684" s="196">
        <v>1.273297467E9</v>
      </c>
      <c r="H3684" s="197">
        <v>26.94</v>
      </c>
      <c r="I3684" s="7" t="s">
        <v>16815</v>
      </c>
      <c r="J3684" s="7" t="s">
        <v>187</v>
      </c>
      <c r="K3684" s="7" t="s">
        <v>17564</v>
      </c>
      <c r="L3684" s="198" t="s">
        <v>65</v>
      </c>
      <c r="M3684" s="199"/>
      <c r="N3684" s="199"/>
    </row>
    <row r="3685">
      <c r="A3685" s="193" t="s">
        <v>21548</v>
      </c>
      <c r="B3685" s="7" t="s">
        <v>16919</v>
      </c>
      <c r="C3685" s="7" t="s">
        <v>17048</v>
      </c>
      <c r="D3685" s="199"/>
      <c r="E3685" s="193"/>
      <c r="F3685" s="195" t="s">
        <v>21549</v>
      </c>
      <c r="G3685" s="196">
        <v>1.272590664E9</v>
      </c>
      <c r="H3685" s="197">
        <v>11.61</v>
      </c>
      <c r="I3685" s="7" t="s">
        <v>16815</v>
      </c>
      <c r="J3685" s="7" t="s">
        <v>16919</v>
      </c>
      <c r="K3685" s="7" t="s">
        <v>17048</v>
      </c>
      <c r="L3685" s="198" t="s">
        <v>65</v>
      </c>
      <c r="M3685" s="199"/>
      <c r="N3685" s="199"/>
    </row>
    <row r="3686">
      <c r="A3686" s="193" t="s">
        <v>21548</v>
      </c>
      <c r="B3686" s="7" t="s">
        <v>17048</v>
      </c>
      <c r="C3686" s="7" t="s">
        <v>16919</v>
      </c>
      <c r="D3686" s="199"/>
      <c r="E3686" s="193"/>
      <c r="F3686" s="195" t="s">
        <v>21549</v>
      </c>
      <c r="G3686" s="200">
        <v>1.272590664E9</v>
      </c>
      <c r="H3686" s="197">
        <v>11.61</v>
      </c>
      <c r="I3686" s="7" t="s">
        <v>16815</v>
      </c>
      <c r="J3686" s="7" t="s">
        <v>17048</v>
      </c>
      <c r="K3686" s="7" t="s">
        <v>16919</v>
      </c>
      <c r="L3686" s="201" t="s">
        <v>16835</v>
      </c>
      <c r="M3686" s="199"/>
      <c r="N3686" s="199"/>
    </row>
    <row r="3687">
      <c r="A3687" s="193" t="s">
        <v>21550</v>
      </c>
      <c r="B3687" s="7" t="s">
        <v>175</v>
      </c>
      <c r="C3687" s="7" t="s">
        <v>16942</v>
      </c>
      <c r="D3687" s="194">
        <v>2011.0</v>
      </c>
      <c r="E3687" s="193"/>
      <c r="F3687" s="195" t="s">
        <v>21551</v>
      </c>
      <c r="G3687" s="196">
        <v>1.2719466E9</v>
      </c>
      <c r="H3687" s="197">
        <v>9.74</v>
      </c>
      <c r="I3687" s="7" t="s">
        <v>16826</v>
      </c>
      <c r="J3687" s="7" t="s">
        <v>175</v>
      </c>
      <c r="K3687" s="7" t="s">
        <v>16942</v>
      </c>
      <c r="L3687" s="198" t="s">
        <v>65</v>
      </c>
      <c r="M3687" s="194"/>
      <c r="N3687" s="194"/>
    </row>
    <row r="3688">
      <c r="A3688" s="193" t="s">
        <v>21550</v>
      </c>
      <c r="B3688" s="7" t="s">
        <v>16942</v>
      </c>
      <c r="C3688" s="7" t="s">
        <v>175</v>
      </c>
      <c r="D3688" s="194">
        <v>2011.0</v>
      </c>
      <c r="E3688" s="193"/>
      <c r="F3688" s="195" t="s">
        <v>21551</v>
      </c>
      <c r="G3688" s="200">
        <v>1.2719466E9</v>
      </c>
      <c r="H3688" s="197">
        <v>9.74</v>
      </c>
      <c r="I3688" s="7" t="s">
        <v>16815</v>
      </c>
      <c r="J3688" s="7" t="s">
        <v>16942</v>
      </c>
      <c r="K3688" s="7" t="s">
        <v>175</v>
      </c>
      <c r="L3688" s="201" t="s">
        <v>16835</v>
      </c>
      <c r="M3688" s="194"/>
      <c r="N3688" s="194"/>
    </row>
    <row r="3689">
      <c r="A3689" s="193" t="s">
        <v>21552</v>
      </c>
      <c r="B3689" s="7" t="s">
        <v>158</v>
      </c>
      <c r="C3689" s="7" t="s">
        <v>17171</v>
      </c>
      <c r="D3689" s="194">
        <v>2022.0</v>
      </c>
      <c r="E3689" s="193"/>
      <c r="F3689" s="195" t="s">
        <v>21553</v>
      </c>
      <c r="G3689" s="196">
        <v>1.271917381E9</v>
      </c>
      <c r="H3689" s="197">
        <v>7.98</v>
      </c>
      <c r="I3689" s="7" t="s">
        <v>18397</v>
      </c>
      <c r="J3689" s="7" t="s">
        <v>158</v>
      </c>
      <c r="K3689" s="7" t="s">
        <v>17171</v>
      </c>
      <c r="L3689" s="198" t="s">
        <v>65</v>
      </c>
      <c r="M3689" s="194"/>
      <c r="N3689" s="194"/>
    </row>
    <row r="3690">
      <c r="A3690" s="193" t="s">
        <v>21554</v>
      </c>
      <c r="B3690" s="7" t="s">
        <v>169</v>
      </c>
      <c r="C3690" s="7" t="s">
        <v>17022</v>
      </c>
      <c r="D3690" s="194">
        <v>2020.0</v>
      </c>
      <c r="E3690" s="193"/>
      <c r="F3690" s="195" t="s">
        <v>21555</v>
      </c>
      <c r="G3690" s="196">
        <v>1.271008556E9</v>
      </c>
      <c r="H3690" s="197">
        <v>4.97</v>
      </c>
      <c r="I3690" s="7" t="s">
        <v>16815</v>
      </c>
      <c r="J3690" s="7" t="s">
        <v>169</v>
      </c>
      <c r="K3690" s="7" t="s">
        <v>17022</v>
      </c>
      <c r="L3690" s="198" t="s">
        <v>65</v>
      </c>
      <c r="M3690" s="194"/>
      <c r="N3690" s="194"/>
    </row>
    <row r="3691">
      <c r="A3691" s="193" t="s">
        <v>21554</v>
      </c>
      <c r="B3691" s="7" t="s">
        <v>17022</v>
      </c>
      <c r="C3691" s="7" t="s">
        <v>169</v>
      </c>
      <c r="D3691" s="194">
        <v>2020.0</v>
      </c>
      <c r="E3691" s="193"/>
      <c r="F3691" s="195" t="s">
        <v>21555</v>
      </c>
      <c r="G3691" s="200">
        <v>1.271008556E9</v>
      </c>
      <c r="H3691" s="197">
        <v>4.97</v>
      </c>
      <c r="I3691" s="7" t="s">
        <v>16815</v>
      </c>
      <c r="J3691" s="7" t="s">
        <v>17022</v>
      </c>
      <c r="K3691" s="7" t="s">
        <v>169</v>
      </c>
      <c r="L3691" s="201" t="s">
        <v>16835</v>
      </c>
      <c r="M3691" s="194"/>
      <c r="N3691" s="194"/>
    </row>
    <row r="3692">
      <c r="A3692" s="193" t="s">
        <v>21556</v>
      </c>
      <c r="B3692" s="7" t="s">
        <v>19579</v>
      </c>
      <c r="C3692" s="7" t="s">
        <v>16838</v>
      </c>
      <c r="D3692" s="194">
        <v>2021.0</v>
      </c>
      <c r="E3692" s="193"/>
      <c r="F3692" s="195" t="s">
        <v>21557</v>
      </c>
      <c r="G3692" s="200">
        <v>1.269761918E9</v>
      </c>
      <c r="H3692" s="197">
        <v>11.51</v>
      </c>
      <c r="I3692" s="193" t="s">
        <v>16815</v>
      </c>
      <c r="J3692" s="7" t="s">
        <v>19579</v>
      </c>
      <c r="K3692" s="7" t="s">
        <v>16838</v>
      </c>
      <c r="L3692" s="201" t="s">
        <v>16835</v>
      </c>
      <c r="M3692" s="194"/>
      <c r="N3692" s="194"/>
    </row>
    <row r="3693">
      <c r="A3693" s="193" t="s">
        <v>21556</v>
      </c>
      <c r="B3693" s="7" t="s">
        <v>16838</v>
      </c>
      <c r="C3693" s="7" t="s">
        <v>19579</v>
      </c>
      <c r="D3693" s="194">
        <v>2021.0</v>
      </c>
      <c r="E3693" s="193"/>
      <c r="F3693" s="195" t="s">
        <v>21557</v>
      </c>
      <c r="G3693" s="196">
        <v>1.269761918E9</v>
      </c>
      <c r="H3693" s="197">
        <v>11.51</v>
      </c>
      <c r="I3693" s="7" t="s">
        <v>16815</v>
      </c>
      <c r="J3693" s="7" t="s">
        <v>16838</v>
      </c>
      <c r="K3693" s="7" t="s">
        <v>19579</v>
      </c>
      <c r="L3693" s="198" t="s">
        <v>65</v>
      </c>
      <c r="M3693" s="194"/>
      <c r="N3693" s="194"/>
    </row>
    <row r="3694">
      <c r="A3694" s="193" t="s">
        <v>21558</v>
      </c>
      <c r="B3694" s="7" t="s">
        <v>16838</v>
      </c>
      <c r="C3694" s="7" t="s">
        <v>16867</v>
      </c>
      <c r="D3694" s="199"/>
      <c r="E3694" s="193"/>
      <c r="F3694" s="195" t="s">
        <v>21559</v>
      </c>
      <c r="G3694" s="196">
        <v>1.26787874E9</v>
      </c>
      <c r="H3694" s="197">
        <v>43.24</v>
      </c>
      <c r="I3694" s="7" t="s">
        <v>16815</v>
      </c>
      <c r="J3694" s="7" t="s">
        <v>16838</v>
      </c>
      <c r="K3694" s="7" t="s">
        <v>16867</v>
      </c>
      <c r="L3694" s="198" t="s">
        <v>65</v>
      </c>
      <c r="M3694" s="199"/>
      <c r="N3694" s="199"/>
    </row>
    <row r="3695">
      <c r="A3695" s="193" t="s">
        <v>21560</v>
      </c>
      <c r="B3695" s="7" t="s">
        <v>16867</v>
      </c>
      <c r="C3695" s="7" t="s">
        <v>16838</v>
      </c>
      <c r="D3695" s="199"/>
      <c r="E3695" s="193"/>
      <c r="F3695" s="195" t="s">
        <v>21561</v>
      </c>
      <c r="G3695" s="200">
        <v>1.267202958E9</v>
      </c>
      <c r="H3695" s="197">
        <v>12.41</v>
      </c>
      <c r="I3695" s="7" t="s">
        <v>16815</v>
      </c>
      <c r="J3695" s="7" t="s">
        <v>16867</v>
      </c>
      <c r="K3695" s="7" t="s">
        <v>16838</v>
      </c>
      <c r="L3695" s="201" t="s">
        <v>16835</v>
      </c>
      <c r="M3695" s="199"/>
      <c r="N3695" s="199"/>
    </row>
    <row r="3696">
      <c r="A3696" s="193" t="s">
        <v>21560</v>
      </c>
      <c r="B3696" s="7" t="s">
        <v>16838</v>
      </c>
      <c r="C3696" s="7" t="s">
        <v>16867</v>
      </c>
      <c r="D3696" s="199"/>
      <c r="E3696" s="193"/>
      <c r="F3696" s="195" t="s">
        <v>21561</v>
      </c>
      <c r="G3696" s="196">
        <v>1.267202958E9</v>
      </c>
      <c r="H3696" s="197">
        <v>12.41</v>
      </c>
      <c r="I3696" s="7" t="s">
        <v>16815</v>
      </c>
      <c r="J3696" s="7" t="s">
        <v>16838</v>
      </c>
      <c r="K3696" s="7" t="s">
        <v>16867</v>
      </c>
      <c r="L3696" s="198" t="s">
        <v>65</v>
      </c>
      <c r="M3696" s="199"/>
      <c r="N3696" s="199"/>
    </row>
    <row r="3697">
      <c r="A3697" s="193" t="s">
        <v>21562</v>
      </c>
      <c r="B3697" s="7" t="s">
        <v>175</v>
      </c>
      <c r="C3697" s="7" t="s">
        <v>17545</v>
      </c>
      <c r="D3697" s="199"/>
      <c r="E3697" s="193"/>
      <c r="F3697" s="195" t="s">
        <v>21563</v>
      </c>
      <c r="G3697" s="196">
        <v>1.266259125E9</v>
      </c>
      <c r="H3697" s="197">
        <v>60.46</v>
      </c>
      <c r="I3697" s="7" t="s">
        <v>16892</v>
      </c>
      <c r="J3697" s="7" t="s">
        <v>175</v>
      </c>
      <c r="K3697" s="7" t="s">
        <v>17545</v>
      </c>
      <c r="L3697" s="198" t="s">
        <v>65</v>
      </c>
      <c r="M3697" s="199"/>
      <c r="N3697" s="199"/>
    </row>
    <row r="3698">
      <c r="A3698" s="193" t="s">
        <v>21564</v>
      </c>
      <c r="B3698" s="7" t="s">
        <v>16582</v>
      </c>
      <c r="C3698" s="7" t="s">
        <v>16828</v>
      </c>
      <c r="D3698" s="194">
        <v>1987.0</v>
      </c>
      <c r="E3698" s="193"/>
      <c r="F3698" s="195" t="s">
        <v>21565</v>
      </c>
      <c r="G3698" s="196">
        <v>1.265981519E9</v>
      </c>
      <c r="H3698" s="197">
        <v>20.24</v>
      </c>
      <c r="I3698" s="7" t="s">
        <v>16815</v>
      </c>
      <c r="J3698" s="7" t="s">
        <v>16582</v>
      </c>
      <c r="K3698" s="7" t="s">
        <v>16828</v>
      </c>
      <c r="L3698" s="198" t="s">
        <v>65</v>
      </c>
      <c r="M3698" s="194"/>
      <c r="N3698" s="194"/>
    </row>
    <row r="3699">
      <c r="A3699" s="193" t="s">
        <v>21566</v>
      </c>
      <c r="B3699" s="7" t="s">
        <v>16582</v>
      </c>
      <c r="C3699" s="7" t="s">
        <v>16813</v>
      </c>
      <c r="D3699" s="194">
        <v>2020.0</v>
      </c>
      <c r="E3699" s="193"/>
      <c r="F3699" s="195" t="s">
        <v>21567</v>
      </c>
      <c r="G3699" s="196">
        <v>1.265606613E9</v>
      </c>
      <c r="H3699" s="197">
        <v>12.29</v>
      </c>
      <c r="I3699" s="7" t="s">
        <v>16815</v>
      </c>
      <c r="J3699" s="7" t="s">
        <v>16582</v>
      </c>
      <c r="K3699" s="7" t="s">
        <v>16813</v>
      </c>
      <c r="L3699" s="198" t="s">
        <v>65</v>
      </c>
      <c r="M3699" s="194"/>
      <c r="N3699" s="194"/>
    </row>
    <row r="3700">
      <c r="A3700" s="193" t="s">
        <v>21568</v>
      </c>
      <c r="B3700" s="7" t="s">
        <v>175</v>
      </c>
      <c r="C3700" s="7" t="s">
        <v>17168</v>
      </c>
      <c r="D3700" s="194">
        <v>2021.0</v>
      </c>
      <c r="E3700" s="193"/>
      <c r="F3700" s="195" t="s">
        <v>21569</v>
      </c>
      <c r="G3700" s="196">
        <v>1.263917297E9</v>
      </c>
      <c r="H3700" s="197">
        <v>6.43</v>
      </c>
      <c r="I3700" s="7" t="s">
        <v>17242</v>
      </c>
      <c r="J3700" s="7" t="s">
        <v>175</v>
      </c>
      <c r="K3700" s="7" t="s">
        <v>17168</v>
      </c>
      <c r="L3700" s="198" t="s">
        <v>65</v>
      </c>
      <c r="M3700" s="194"/>
      <c r="N3700" s="194"/>
    </row>
    <row r="3701">
      <c r="A3701" s="193" t="s">
        <v>21568</v>
      </c>
      <c r="B3701" s="7" t="s">
        <v>17168</v>
      </c>
      <c r="C3701" s="7" t="s">
        <v>175</v>
      </c>
      <c r="D3701" s="194">
        <v>2021.0</v>
      </c>
      <c r="E3701" s="193"/>
      <c r="F3701" s="195" t="s">
        <v>21569</v>
      </c>
      <c r="G3701" s="200">
        <v>1.263917297E9</v>
      </c>
      <c r="H3701" s="197">
        <v>6.43</v>
      </c>
      <c r="I3701" s="7" t="s">
        <v>16815</v>
      </c>
      <c r="J3701" s="7" t="s">
        <v>17168</v>
      </c>
      <c r="K3701" s="7" t="s">
        <v>175</v>
      </c>
      <c r="L3701" s="201" t="s">
        <v>16835</v>
      </c>
      <c r="M3701" s="194"/>
      <c r="N3701" s="194"/>
    </row>
    <row r="3702">
      <c r="A3702" s="193" t="s">
        <v>21570</v>
      </c>
      <c r="B3702" s="7" t="s">
        <v>17111</v>
      </c>
      <c r="C3702" s="7" t="s">
        <v>17112</v>
      </c>
      <c r="D3702" s="194">
        <v>2017.0</v>
      </c>
      <c r="E3702" s="193"/>
      <c r="F3702" s="195" t="s">
        <v>21571</v>
      </c>
      <c r="G3702" s="200">
        <v>1.262286298E9</v>
      </c>
      <c r="H3702" s="197">
        <v>13.19</v>
      </c>
      <c r="I3702" s="7" t="s">
        <v>16815</v>
      </c>
      <c r="J3702" s="7" t="s">
        <v>17111</v>
      </c>
      <c r="K3702" s="7" t="s">
        <v>17112</v>
      </c>
      <c r="L3702" s="201" t="s">
        <v>16835</v>
      </c>
      <c r="M3702" s="194"/>
      <c r="N3702" s="194"/>
    </row>
    <row r="3703">
      <c r="A3703" s="193" t="s">
        <v>21570</v>
      </c>
      <c r="B3703" s="7" t="s">
        <v>17112</v>
      </c>
      <c r="C3703" s="7" t="s">
        <v>17111</v>
      </c>
      <c r="D3703" s="194">
        <v>2017.0</v>
      </c>
      <c r="E3703" s="193"/>
      <c r="F3703" s="195" t="s">
        <v>21571</v>
      </c>
      <c r="G3703" s="196">
        <v>1.262286298E9</v>
      </c>
      <c r="H3703" s="197">
        <v>13.19</v>
      </c>
      <c r="I3703" s="7" t="s">
        <v>16815</v>
      </c>
      <c r="J3703" s="7" t="s">
        <v>17112</v>
      </c>
      <c r="K3703" s="7" t="s">
        <v>17111</v>
      </c>
      <c r="L3703" s="198" t="s">
        <v>65</v>
      </c>
      <c r="M3703" s="194"/>
      <c r="N3703" s="194"/>
    </row>
    <row r="3704">
      <c r="A3704" s="193" t="s">
        <v>21572</v>
      </c>
      <c r="B3704" s="7" t="s">
        <v>175</v>
      </c>
      <c r="C3704" s="7" t="s">
        <v>16972</v>
      </c>
      <c r="D3704" s="194">
        <v>2020.0</v>
      </c>
      <c r="E3704" s="193"/>
      <c r="F3704" s="195" t="s">
        <v>21573</v>
      </c>
      <c r="G3704" s="196">
        <v>1.262217981E9</v>
      </c>
      <c r="H3704" s="197">
        <v>35.95</v>
      </c>
      <c r="I3704" s="7" t="s">
        <v>17242</v>
      </c>
      <c r="J3704" s="7" t="s">
        <v>175</v>
      </c>
      <c r="K3704" s="7" t="s">
        <v>16972</v>
      </c>
      <c r="L3704" s="198" t="s">
        <v>65</v>
      </c>
      <c r="M3704" s="194"/>
      <c r="N3704" s="194"/>
    </row>
    <row r="3705">
      <c r="A3705" s="193" t="s">
        <v>21572</v>
      </c>
      <c r="B3705" s="7" t="s">
        <v>16972</v>
      </c>
      <c r="C3705" s="7" t="s">
        <v>175</v>
      </c>
      <c r="D3705" s="194">
        <v>2020.0</v>
      </c>
      <c r="E3705" s="193"/>
      <c r="F3705" s="195" t="s">
        <v>21573</v>
      </c>
      <c r="G3705" s="200">
        <v>1.262217981E9</v>
      </c>
      <c r="H3705" s="197">
        <v>35.95</v>
      </c>
      <c r="I3705" s="7" t="s">
        <v>16815</v>
      </c>
      <c r="J3705" s="7" t="s">
        <v>16972</v>
      </c>
      <c r="K3705" s="7" t="s">
        <v>175</v>
      </c>
      <c r="L3705" s="201" t="s">
        <v>16835</v>
      </c>
      <c r="M3705" s="194"/>
      <c r="N3705" s="194"/>
    </row>
    <row r="3706">
      <c r="A3706" s="193" t="s">
        <v>21574</v>
      </c>
      <c r="B3706" s="7" t="s">
        <v>17111</v>
      </c>
      <c r="C3706" s="7" t="s">
        <v>17112</v>
      </c>
      <c r="D3706" s="194">
        <v>2015.0</v>
      </c>
      <c r="E3706" s="193"/>
      <c r="F3706" s="195" t="s">
        <v>21575</v>
      </c>
      <c r="G3706" s="200">
        <v>1.261360697E9</v>
      </c>
      <c r="H3706" s="197">
        <v>11.99</v>
      </c>
      <c r="I3706" s="7" t="s">
        <v>16815</v>
      </c>
      <c r="J3706" s="7" t="s">
        <v>17111</v>
      </c>
      <c r="K3706" s="7" t="s">
        <v>17112</v>
      </c>
      <c r="L3706" s="201" t="s">
        <v>16835</v>
      </c>
      <c r="M3706" s="194"/>
      <c r="N3706" s="194"/>
    </row>
    <row r="3707">
      <c r="A3707" s="193" t="s">
        <v>21574</v>
      </c>
      <c r="B3707" s="7" t="s">
        <v>17112</v>
      </c>
      <c r="C3707" s="7" t="s">
        <v>17111</v>
      </c>
      <c r="D3707" s="194">
        <v>2015.0</v>
      </c>
      <c r="E3707" s="193"/>
      <c r="F3707" s="195" t="s">
        <v>21575</v>
      </c>
      <c r="G3707" s="196">
        <v>1.261360697E9</v>
      </c>
      <c r="H3707" s="197">
        <v>11.99</v>
      </c>
      <c r="I3707" s="7" t="s">
        <v>16815</v>
      </c>
      <c r="J3707" s="7" t="s">
        <v>17112</v>
      </c>
      <c r="K3707" s="7" t="s">
        <v>17111</v>
      </c>
      <c r="L3707" s="198" t="s">
        <v>65</v>
      </c>
      <c r="M3707" s="194"/>
      <c r="N3707" s="194"/>
    </row>
    <row r="3708">
      <c r="A3708" s="193" t="s">
        <v>21576</v>
      </c>
      <c r="B3708" s="7" t="s">
        <v>175</v>
      </c>
      <c r="C3708" s="7" t="s">
        <v>17452</v>
      </c>
      <c r="D3708" s="199"/>
      <c r="E3708" s="193"/>
      <c r="F3708" s="195" t="s">
        <v>21577</v>
      </c>
      <c r="G3708" s="196">
        <v>1.260720566E9</v>
      </c>
      <c r="H3708" s="197">
        <v>28.19</v>
      </c>
      <c r="I3708" s="7" t="s">
        <v>168</v>
      </c>
      <c r="J3708" s="7" t="s">
        <v>175</v>
      </c>
      <c r="K3708" s="7" t="s">
        <v>17452</v>
      </c>
      <c r="L3708" s="198" t="s">
        <v>65</v>
      </c>
      <c r="M3708" s="199"/>
      <c r="N3708" s="199"/>
    </row>
    <row r="3709">
      <c r="A3709" s="193" t="s">
        <v>21576</v>
      </c>
      <c r="B3709" s="7" t="s">
        <v>17452</v>
      </c>
      <c r="C3709" s="7" t="s">
        <v>175</v>
      </c>
      <c r="D3709" s="199"/>
      <c r="E3709" s="193"/>
      <c r="F3709" s="195" t="s">
        <v>21577</v>
      </c>
      <c r="G3709" s="200">
        <v>1.260720566E9</v>
      </c>
      <c r="H3709" s="197">
        <v>28.19</v>
      </c>
      <c r="I3709" s="7" t="s">
        <v>16815</v>
      </c>
      <c r="J3709" s="7" t="s">
        <v>17452</v>
      </c>
      <c r="K3709" s="7" t="s">
        <v>175</v>
      </c>
      <c r="L3709" s="201" t="s">
        <v>16835</v>
      </c>
      <c r="M3709" s="199"/>
      <c r="N3709" s="199"/>
    </row>
    <row r="3710">
      <c r="A3710" s="193" t="s">
        <v>21578</v>
      </c>
      <c r="B3710" s="7" t="s">
        <v>169</v>
      </c>
      <c r="C3710" s="7" t="s">
        <v>17662</v>
      </c>
      <c r="D3710" s="199"/>
      <c r="E3710" s="193"/>
      <c r="F3710" s="195" t="s">
        <v>21579</v>
      </c>
      <c r="G3710" s="196">
        <v>1.257430067E9</v>
      </c>
      <c r="H3710" s="197">
        <v>51.2</v>
      </c>
      <c r="I3710" s="7" t="s">
        <v>16815</v>
      </c>
      <c r="J3710" s="7" t="s">
        <v>169</v>
      </c>
      <c r="K3710" s="7" t="s">
        <v>17662</v>
      </c>
      <c r="L3710" s="198" t="s">
        <v>65</v>
      </c>
      <c r="M3710" s="199"/>
      <c r="N3710" s="199"/>
    </row>
    <row r="3711">
      <c r="A3711" s="193" t="s">
        <v>21578</v>
      </c>
      <c r="B3711" s="7" t="s">
        <v>17662</v>
      </c>
      <c r="C3711" s="7" t="s">
        <v>169</v>
      </c>
      <c r="D3711" s="199"/>
      <c r="E3711" s="193"/>
      <c r="F3711" s="195" t="s">
        <v>21579</v>
      </c>
      <c r="G3711" s="200">
        <v>1.257430067E9</v>
      </c>
      <c r="H3711" s="197">
        <v>51.2</v>
      </c>
      <c r="I3711" s="7" t="s">
        <v>16815</v>
      </c>
      <c r="J3711" s="7" t="s">
        <v>17662</v>
      </c>
      <c r="K3711" s="7" t="s">
        <v>169</v>
      </c>
      <c r="L3711" s="201" t="s">
        <v>16835</v>
      </c>
      <c r="M3711" s="199"/>
      <c r="N3711" s="199"/>
    </row>
    <row r="3712">
      <c r="A3712" s="193" t="s">
        <v>21580</v>
      </c>
      <c r="B3712" s="7" t="s">
        <v>175</v>
      </c>
      <c r="C3712" s="7" t="s">
        <v>17168</v>
      </c>
      <c r="D3712" s="194">
        <v>2017.0</v>
      </c>
      <c r="E3712" s="193"/>
      <c r="F3712" s="195" t="s">
        <v>21581</v>
      </c>
      <c r="G3712" s="196">
        <v>1.253810451E9</v>
      </c>
      <c r="H3712" s="197">
        <v>73.59</v>
      </c>
      <c r="I3712" s="7" t="s">
        <v>16908</v>
      </c>
      <c r="J3712" s="7" t="s">
        <v>175</v>
      </c>
      <c r="K3712" s="7" t="s">
        <v>17168</v>
      </c>
      <c r="L3712" s="198" t="s">
        <v>65</v>
      </c>
      <c r="M3712" s="194"/>
      <c r="N3712" s="194"/>
    </row>
    <row r="3713">
      <c r="A3713" s="193" t="s">
        <v>21580</v>
      </c>
      <c r="B3713" s="7" t="s">
        <v>17168</v>
      </c>
      <c r="C3713" s="7" t="s">
        <v>175</v>
      </c>
      <c r="D3713" s="194">
        <v>2017.0</v>
      </c>
      <c r="E3713" s="193"/>
      <c r="F3713" s="195" t="s">
        <v>21581</v>
      </c>
      <c r="G3713" s="200">
        <v>1.253810451E9</v>
      </c>
      <c r="H3713" s="197">
        <v>73.59</v>
      </c>
      <c r="I3713" s="7" t="s">
        <v>16815</v>
      </c>
      <c r="J3713" s="7" t="s">
        <v>17168</v>
      </c>
      <c r="K3713" s="7" t="s">
        <v>175</v>
      </c>
      <c r="L3713" s="201" t="s">
        <v>16835</v>
      </c>
      <c r="M3713" s="194"/>
      <c r="N3713" s="194"/>
    </row>
    <row r="3714">
      <c r="A3714" s="193" t="s">
        <v>21582</v>
      </c>
      <c r="B3714" s="7" t="s">
        <v>175</v>
      </c>
      <c r="C3714" s="7" t="s">
        <v>16942</v>
      </c>
      <c r="D3714" s="194">
        <v>2017.0</v>
      </c>
      <c r="E3714" s="193"/>
      <c r="F3714" s="195" t="s">
        <v>21583</v>
      </c>
      <c r="G3714" s="196">
        <v>1.253016179E9</v>
      </c>
      <c r="H3714" s="197">
        <v>17.72</v>
      </c>
      <c r="I3714" s="7" t="s">
        <v>16908</v>
      </c>
      <c r="J3714" s="7" t="s">
        <v>175</v>
      </c>
      <c r="K3714" s="7" t="s">
        <v>16942</v>
      </c>
      <c r="L3714" s="198" t="s">
        <v>65</v>
      </c>
      <c r="M3714" s="194"/>
      <c r="N3714" s="194"/>
    </row>
    <row r="3715">
      <c r="A3715" s="193" t="s">
        <v>21582</v>
      </c>
      <c r="B3715" s="7" t="s">
        <v>16942</v>
      </c>
      <c r="C3715" s="7" t="s">
        <v>175</v>
      </c>
      <c r="D3715" s="194">
        <v>2017.0</v>
      </c>
      <c r="E3715" s="193"/>
      <c r="F3715" s="195" t="s">
        <v>21583</v>
      </c>
      <c r="G3715" s="200">
        <v>1.253016179E9</v>
      </c>
      <c r="H3715" s="197">
        <v>17.72</v>
      </c>
      <c r="I3715" s="7" t="s">
        <v>16815</v>
      </c>
      <c r="J3715" s="7" t="s">
        <v>16942</v>
      </c>
      <c r="K3715" s="7" t="s">
        <v>175</v>
      </c>
      <c r="L3715" s="201" t="s">
        <v>16835</v>
      </c>
      <c r="M3715" s="194"/>
      <c r="N3715" s="194"/>
    </row>
    <row r="3716">
      <c r="A3716" s="193" t="s">
        <v>21584</v>
      </c>
      <c r="B3716" s="7" t="s">
        <v>16838</v>
      </c>
      <c r="C3716" s="7" t="s">
        <v>16867</v>
      </c>
      <c r="D3716" s="199"/>
      <c r="E3716" s="193"/>
      <c r="F3716" s="195" t="s">
        <v>21585</v>
      </c>
      <c r="G3716" s="196">
        <v>1.25090575E9</v>
      </c>
      <c r="H3716" s="197">
        <v>46.94</v>
      </c>
      <c r="I3716" s="7" t="s">
        <v>16815</v>
      </c>
      <c r="J3716" s="7" t="s">
        <v>16838</v>
      </c>
      <c r="K3716" s="7" t="s">
        <v>16867</v>
      </c>
      <c r="L3716" s="198" t="s">
        <v>65</v>
      </c>
      <c r="M3716" s="199"/>
      <c r="N3716" s="199"/>
    </row>
    <row r="3717">
      <c r="A3717" s="193" t="s">
        <v>21586</v>
      </c>
      <c r="B3717" s="7" t="s">
        <v>17111</v>
      </c>
      <c r="C3717" s="7" t="s">
        <v>17112</v>
      </c>
      <c r="D3717" s="199"/>
      <c r="E3717" s="193"/>
      <c r="F3717" s="195" t="s">
        <v>9766</v>
      </c>
      <c r="G3717" s="200">
        <v>1.249480457E9</v>
      </c>
      <c r="H3717" s="197">
        <v>12.99</v>
      </c>
      <c r="I3717" s="7" t="s">
        <v>16815</v>
      </c>
      <c r="J3717" s="7" t="s">
        <v>17111</v>
      </c>
      <c r="K3717" s="7" t="s">
        <v>17112</v>
      </c>
      <c r="L3717" s="201" t="s">
        <v>16835</v>
      </c>
      <c r="M3717" s="199"/>
      <c r="N3717" s="199"/>
    </row>
    <row r="3718">
      <c r="A3718" s="193" t="s">
        <v>21586</v>
      </c>
      <c r="B3718" s="7" t="s">
        <v>17112</v>
      </c>
      <c r="C3718" s="7" t="s">
        <v>17111</v>
      </c>
      <c r="D3718" s="199"/>
      <c r="E3718" s="193"/>
      <c r="F3718" s="195" t="s">
        <v>9766</v>
      </c>
      <c r="G3718" s="196">
        <v>1.249480457E9</v>
      </c>
      <c r="H3718" s="197">
        <v>12.99</v>
      </c>
      <c r="I3718" s="7" t="s">
        <v>16815</v>
      </c>
      <c r="J3718" s="7" t="s">
        <v>17112</v>
      </c>
      <c r="K3718" s="7" t="s">
        <v>17111</v>
      </c>
      <c r="L3718" s="198" t="s">
        <v>65</v>
      </c>
      <c r="M3718" s="199"/>
      <c r="N3718" s="199"/>
    </row>
    <row r="3719">
      <c r="A3719" s="193" t="s">
        <v>21587</v>
      </c>
      <c r="B3719" s="7" t="s">
        <v>16838</v>
      </c>
      <c r="C3719" s="7" t="s">
        <v>17002</v>
      </c>
      <c r="D3719" s="199"/>
      <c r="E3719" s="193"/>
      <c r="F3719" s="195" t="s">
        <v>21588</v>
      </c>
      <c r="G3719" s="196">
        <v>1.24877439E9</v>
      </c>
      <c r="H3719" s="197">
        <v>19.53</v>
      </c>
      <c r="I3719" s="7" t="s">
        <v>16815</v>
      </c>
      <c r="J3719" s="7" t="s">
        <v>16838</v>
      </c>
      <c r="K3719" s="7" t="s">
        <v>17002</v>
      </c>
      <c r="L3719" s="198" t="s">
        <v>65</v>
      </c>
      <c r="M3719" s="199"/>
      <c r="N3719" s="199"/>
    </row>
    <row r="3720">
      <c r="A3720" s="193" t="s">
        <v>21587</v>
      </c>
      <c r="B3720" s="7" t="s">
        <v>17002</v>
      </c>
      <c r="C3720" s="7" t="s">
        <v>16838</v>
      </c>
      <c r="D3720" s="199"/>
      <c r="E3720" s="193"/>
      <c r="F3720" s="195" t="s">
        <v>21589</v>
      </c>
      <c r="G3720" s="200">
        <v>1.24877439E9</v>
      </c>
      <c r="H3720" s="197">
        <v>19.53</v>
      </c>
      <c r="I3720" s="7" t="s">
        <v>16815</v>
      </c>
      <c r="J3720" s="7" t="s">
        <v>17002</v>
      </c>
      <c r="K3720" s="7" t="s">
        <v>16838</v>
      </c>
      <c r="L3720" s="201" t="s">
        <v>16835</v>
      </c>
      <c r="M3720" s="199"/>
      <c r="N3720" s="199"/>
    </row>
    <row r="3721">
      <c r="A3721" s="193" t="s">
        <v>21590</v>
      </c>
      <c r="B3721" s="7" t="s">
        <v>16926</v>
      </c>
      <c r="C3721" s="7" t="s">
        <v>16957</v>
      </c>
      <c r="D3721" s="199"/>
      <c r="E3721" s="193"/>
      <c r="F3721" s="195" t="s">
        <v>21591</v>
      </c>
      <c r="G3721" s="196">
        <v>1.247279099E9</v>
      </c>
      <c r="H3721" s="197">
        <v>17.75</v>
      </c>
      <c r="I3721" s="7" t="s">
        <v>16815</v>
      </c>
      <c r="J3721" s="7" t="s">
        <v>16926</v>
      </c>
      <c r="K3721" s="7" t="s">
        <v>16957</v>
      </c>
      <c r="L3721" s="198" t="s">
        <v>65</v>
      </c>
      <c r="M3721" s="199"/>
      <c r="N3721" s="199"/>
    </row>
    <row r="3722">
      <c r="A3722" s="193" t="s">
        <v>21592</v>
      </c>
      <c r="B3722" s="7" t="s">
        <v>16838</v>
      </c>
      <c r="C3722" s="7" t="s">
        <v>16867</v>
      </c>
      <c r="D3722" s="194">
        <v>1993.0</v>
      </c>
      <c r="E3722" s="193"/>
      <c r="F3722" s="195" t="s">
        <v>21593</v>
      </c>
      <c r="G3722" s="196">
        <v>1.247025521E9</v>
      </c>
      <c r="H3722" s="197">
        <v>47.55</v>
      </c>
      <c r="I3722" s="7" t="s">
        <v>16815</v>
      </c>
      <c r="J3722" s="7" t="s">
        <v>16838</v>
      </c>
      <c r="K3722" s="7" t="s">
        <v>16867</v>
      </c>
      <c r="L3722" s="198" t="s">
        <v>65</v>
      </c>
      <c r="M3722" s="194"/>
      <c r="N3722" s="194"/>
    </row>
    <row r="3723">
      <c r="A3723" s="193" t="s">
        <v>21594</v>
      </c>
      <c r="D3723" s="194">
        <v>2017.0</v>
      </c>
      <c r="E3723" s="193"/>
      <c r="F3723" s="195" t="s">
        <v>21595</v>
      </c>
      <c r="G3723" s="196">
        <v>1.245775221E9</v>
      </c>
      <c r="H3723" s="197">
        <v>18.81</v>
      </c>
      <c r="I3723" s="7" t="s">
        <v>16815</v>
      </c>
      <c r="L3723" s="198" t="s">
        <v>65</v>
      </c>
      <c r="M3723" s="194"/>
      <c r="N3723" s="194"/>
    </row>
    <row r="3724">
      <c r="A3724" s="193" t="s">
        <v>21594</v>
      </c>
      <c r="D3724" s="194">
        <v>2017.0</v>
      </c>
      <c r="E3724" s="193"/>
      <c r="F3724" s="195" t="s">
        <v>21595</v>
      </c>
      <c r="G3724" s="200">
        <v>1.245775221E9</v>
      </c>
      <c r="H3724" s="197">
        <v>18.81</v>
      </c>
      <c r="I3724" s="193" t="s">
        <v>16815</v>
      </c>
      <c r="L3724" s="201" t="s">
        <v>16835</v>
      </c>
      <c r="M3724" s="194"/>
      <c r="N3724" s="194"/>
    </row>
    <row r="3725">
      <c r="A3725" s="193" t="s">
        <v>21596</v>
      </c>
      <c r="B3725" s="7" t="s">
        <v>169</v>
      </c>
      <c r="C3725" s="7" t="s">
        <v>17757</v>
      </c>
      <c r="D3725" s="199"/>
      <c r="E3725" s="193"/>
      <c r="F3725" s="195" t="s">
        <v>21597</v>
      </c>
      <c r="G3725" s="196">
        <v>1.245416593E9</v>
      </c>
      <c r="H3725" s="197">
        <v>61.68</v>
      </c>
      <c r="I3725" s="7" t="s">
        <v>16815</v>
      </c>
      <c r="J3725" s="7" t="s">
        <v>169</v>
      </c>
      <c r="K3725" s="7" t="s">
        <v>17757</v>
      </c>
      <c r="L3725" s="198" t="s">
        <v>65</v>
      </c>
      <c r="M3725" s="199"/>
      <c r="N3725" s="199"/>
    </row>
    <row r="3726">
      <c r="A3726" s="193" t="s">
        <v>21598</v>
      </c>
      <c r="B3726" s="7" t="s">
        <v>175</v>
      </c>
      <c r="C3726" s="7" t="s">
        <v>17350</v>
      </c>
      <c r="D3726" s="194">
        <v>2019.0</v>
      </c>
      <c r="E3726" s="193"/>
      <c r="F3726" s="195" t="s">
        <v>21599</v>
      </c>
      <c r="G3726" s="196">
        <v>1.241407859E9</v>
      </c>
      <c r="H3726" s="197">
        <v>3.18</v>
      </c>
      <c r="I3726" s="7" t="s">
        <v>168</v>
      </c>
      <c r="J3726" s="7" t="s">
        <v>175</v>
      </c>
      <c r="K3726" s="7" t="s">
        <v>17350</v>
      </c>
      <c r="L3726" s="198" t="s">
        <v>65</v>
      </c>
      <c r="M3726" s="194"/>
      <c r="N3726" s="194"/>
    </row>
    <row r="3727">
      <c r="A3727" s="193" t="s">
        <v>21600</v>
      </c>
      <c r="D3727" s="194">
        <v>2023.0</v>
      </c>
      <c r="E3727" s="193"/>
      <c r="F3727" s="195" t="s">
        <v>21601</v>
      </c>
      <c r="G3727" s="196">
        <v>1.2389811E9</v>
      </c>
      <c r="H3727" s="197">
        <v>9.87</v>
      </c>
      <c r="I3727" s="7" t="s">
        <v>16815</v>
      </c>
      <c r="L3727" s="198" t="s">
        <v>65</v>
      </c>
      <c r="M3727" s="194"/>
      <c r="N3727" s="194"/>
    </row>
    <row r="3728">
      <c r="A3728" s="193" t="s">
        <v>21602</v>
      </c>
      <c r="B3728" s="7" t="s">
        <v>18633</v>
      </c>
      <c r="C3728" s="7" t="s">
        <v>187</v>
      </c>
      <c r="D3728" s="194">
        <v>1992.0</v>
      </c>
      <c r="E3728" s="193"/>
      <c r="F3728" s="195" t="s">
        <v>21603</v>
      </c>
      <c r="G3728" s="200">
        <v>1.23448265E9</v>
      </c>
      <c r="H3728" s="197">
        <v>82.37</v>
      </c>
      <c r="I3728" s="7" t="s">
        <v>16815</v>
      </c>
      <c r="J3728" s="7" t="s">
        <v>18633</v>
      </c>
      <c r="K3728" s="7" t="s">
        <v>187</v>
      </c>
      <c r="L3728" s="201" t="s">
        <v>16835</v>
      </c>
      <c r="M3728" s="194"/>
      <c r="N3728" s="194"/>
    </row>
    <row r="3729">
      <c r="A3729" s="193" t="s">
        <v>21602</v>
      </c>
      <c r="B3729" s="7" t="s">
        <v>187</v>
      </c>
      <c r="C3729" s="7" t="s">
        <v>18633</v>
      </c>
      <c r="D3729" s="194">
        <v>1992.0</v>
      </c>
      <c r="E3729" s="193"/>
      <c r="F3729" s="195" t="s">
        <v>21603</v>
      </c>
      <c r="G3729" s="196">
        <v>1.23448265E9</v>
      </c>
      <c r="H3729" s="197">
        <v>82.37</v>
      </c>
      <c r="I3729" s="7" t="s">
        <v>16815</v>
      </c>
      <c r="J3729" s="7" t="s">
        <v>187</v>
      </c>
      <c r="K3729" s="7" t="s">
        <v>18633</v>
      </c>
      <c r="L3729" s="198" t="s">
        <v>65</v>
      </c>
      <c r="M3729" s="194"/>
      <c r="N3729" s="194"/>
    </row>
    <row r="3730">
      <c r="A3730" s="193" t="s">
        <v>21604</v>
      </c>
      <c r="B3730" s="7" t="s">
        <v>175</v>
      </c>
      <c r="C3730" s="7" t="s">
        <v>17812</v>
      </c>
      <c r="D3730" s="194">
        <v>1995.0</v>
      </c>
      <c r="E3730" s="193"/>
      <c r="F3730" s="195" t="s">
        <v>21605</v>
      </c>
      <c r="G3730" s="196">
        <v>1.23177606E9</v>
      </c>
      <c r="H3730" s="197">
        <v>62.34</v>
      </c>
      <c r="I3730" s="7" t="s">
        <v>168</v>
      </c>
      <c r="J3730" s="7" t="s">
        <v>175</v>
      </c>
      <c r="K3730" s="7" t="s">
        <v>17812</v>
      </c>
      <c r="L3730" s="198" t="s">
        <v>65</v>
      </c>
      <c r="M3730" s="194"/>
      <c r="N3730" s="194"/>
    </row>
    <row r="3731">
      <c r="A3731" s="193" t="s">
        <v>21606</v>
      </c>
      <c r="B3731" s="7" t="s">
        <v>17321</v>
      </c>
      <c r="C3731" s="7" t="s">
        <v>169</v>
      </c>
      <c r="D3731" s="199"/>
      <c r="E3731" s="193"/>
      <c r="F3731" s="195" t="s">
        <v>21607</v>
      </c>
      <c r="G3731" s="200">
        <v>1.229879726E9</v>
      </c>
      <c r="H3731" s="197">
        <v>24.27</v>
      </c>
      <c r="I3731" s="7" t="s">
        <v>16815</v>
      </c>
      <c r="J3731" s="7" t="s">
        <v>17321</v>
      </c>
      <c r="K3731" s="7" t="s">
        <v>169</v>
      </c>
      <c r="L3731" s="201" t="s">
        <v>16835</v>
      </c>
      <c r="M3731" s="199"/>
      <c r="N3731" s="199"/>
    </row>
    <row r="3732">
      <c r="A3732" s="193" t="s">
        <v>21606</v>
      </c>
      <c r="B3732" s="7" t="s">
        <v>169</v>
      </c>
      <c r="C3732" s="7" t="s">
        <v>17321</v>
      </c>
      <c r="D3732" s="199"/>
      <c r="E3732" s="193"/>
      <c r="F3732" s="195" t="s">
        <v>21607</v>
      </c>
      <c r="G3732" s="196">
        <v>1.229879726E9</v>
      </c>
      <c r="H3732" s="197">
        <v>24.27</v>
      </c>
      <c r="I3732" s="7" t="s">
        <v>16815</v>
      </c>
      <c r="J3732" s="7" t="s">
        <v>169</v>
      </c>
      <c r="K3732" s="7" t="s">
        <v>17321</v>
      </c>
      <c r="L3732" s="198" t="s">
        <v>65</v>
      </c>
      <c r="M3732" s="199"/>
      <c r="N3732" s="199"/>
    </row>
    <row r="3733">
      <c r="A3733" s="193" t="s">
        <v>21608</v>
      </c>
      <c r="B3733" s="7" t="s">
        <v>175</v>
      </c>
      <c r="C3733" s="7" t="s">
        <v>16972</v>
      </c>
      <c r="D3733" s="194">
        <v>2023.0</v>
      </c>
      <c r="E3733" s="193"/>
      <c r="F3733" s="195" t="s">
        <v>21609</v>
      </c>
      <c r="G3733" s="196">
        <v>1.2290625E9</v>
      </c>
      <c r="H3733" s="197">
        <v>23.75</v>
      </c>
      <c r="I3733" s="7" t="s">
        <v>16908</v>
      </c>
      <c r="J3733" s="7" t="s">
        <v>175</v>
      </c>
      <c r="K3733" s="7" t="s">
        <v>16972</v>
      </c>
      <c r="L3733" s="198" t="s">
        <v>65</v>
      </c>
      <c r="M3733" s="194"/>
      <c r="N3733" s="194"/>
    </row>
    <row r="3734">
      <c r="A3734" s="193" t="s">
        <v>21610</v>
      </c>
      <c r="B3734" s="7" t="s">
        <v>169</v>
      </c>
      <c r="C3734" s="7" t="s">
        <v>17509</v>
      </c>
      <c r="D3734" s="199"/>
      <c r="E3734" s="193"/>
      <c r="F3734" s="195" t="s">
        <v>21611</v>
      </c>
      <c r="G3734" s="196">
        <v>1.22838325E9</v>
      </c>
      <c r="H3734" s="197">
        <v>44.46</v>
      </c>
      <c r="I3734" s="7" t="s">
        <v>16815</v>
      </c>
      <c r="J3734" s="7" t="s">
        <v>169</v>
      </c>
      <c r="K3734" s="7" t="s">
        <v>17509</v>
      </c>
      <c r="L3734" s="198" t="s">
        <v>65</v>
      </c>
      <c r="M3734" s="199"/>
      <c r="N3734" s="199"/>
    </row>
    <row r="3735">
      <c r="A3735" s="193" t="s">
        <v>21612</v>
      </c>
      <c r="B3735" s="7" t="s">
        <v>17104</v>
      </c>
      <c r="C3735" s="7" t="s">
        <v>16838</v>
      </c>
      <c r="D3735" s="199"/>
      <c r="E3735" s="193"/>
      <c r="F3735" s="195" t="s">
        <v>21613</v>
      </c>
      <c r="G3735" s="200">
        <v>1.225555133E9</v>
      </c>
      <c r="H3735" s="197">
        <v>44.79</v>
      </c>
      <c r="I3735" s="7" t="s">
        <v>16815</v>
      </c>
      <c r="J3735" s="7" t="s">
        <v>17104</v>
      </c>
      <c r="K3735" s="7" t="s">
        <v>16838</v>
      </c>
      <c r="L3735" s="201" t="s">
        <v>16835</v>
      </c>
      <c r="M3735" s="199"/>
      <c r="N3735" s="199"/>
    </row>
    <row r="3736">
      <c r="A3736" s="193" t="s">
        <v>21612</v>
      </c>
      <c r="B3736" s="7" t="s">
        <v>16838</v>
      </c>
      <c r="C3736" s="7" t="s">
        <v>17104</v>
      </c>
      <c r="D3736" s="199"/>
      <c r="E3736" s="193"/>
      <c r="F3736" s="195" t="s">
        <v>21613</v>
      </c>
      <c r="G3736" s="196">
        <v>1.225555133E9</v>
      </c>
      <c r="H3736" s="197">
        <v>44.79</v>
      </c>
      <c r="I3736" s="7" t="s">
        <v>16815</v>
      </c>
      <c r="J3736" s="7" t="s">
        <v>16838</v>
      </c>
      <c r="K3736" s="7" t="s">
        <v>17104</v>
      </c>
      <c r="L3736" s="198" t="s">
        <v>65</v>
      </c>
      <c r="M3736" s="199"/>
      <c r="N3736" s="199"/>
    </row>
    <row r="3737">
      <c r="A3737" s="193" t="s">
        <v>21614</v>
      </c>
      <c r="B3737" s="7" t="s">
        <v>16582</v>
      </c>
      <c r="C3737" s="7" t="s">
        <v>16930</v>
      </c>
      <c r="D3737" s="194">
        <v>2021.0</v>
      </c>
      <c r="E3737" s="193"/>
      <c r="F3737" s="195" t="s">
        <v>21615</v>
      </c>
      <c r="G3737" s="196">
        <v>1.224624794E9</v>
      </c>
      <c r="H3737" s="197">
        <v>8.55</v>
      </c>
      <c r="I3737" s="7" t="s">
        <v>16815</v>
      </c>
      <c r="J3737" s="7" t="s">
        <v>16582</v>
      </c>
      <c r="K3737" s="7" t="s">
        <v>16930</v>
      </c>
      <c r="L3737" s="198" t="s">
        <v>65</v>
      </c>
      <c r="M3737" s="194"/>
      <c r="N3737" s="194"/>
    </row>
    <row r="3738">
      <c r="A3738" s="193" t="s">
        <v>21614</v>
      </c>
      <c r="B3738" s="7" t="s">
        <v>16930</v>
      </c>
      <c r="C3738" s="7" t="s">
        <v>16582</v>
      </c>
      <c r="D3738" s="194">
        <v>2021.0</v>
      </c>
      <c r="E3738" s="193"/>
      <c r="F3738" s="195" t="s">
        <v>21615</v>
      </c>
      <c r="G3738" s="200">
        <v>1.224624794E9</v>
      </c>
      <c r="H3738" s="197">
        <v>8.55</v>
      </c>
      <c r="I3738" s="7" t="s">
        <v>16815</v>
      </c>
      <c r="J3738" s="7" t="s">
        <v>16930</v>
      </c>
      <c r="K3738" s="7" t="s">
        <v>16582</v>
      </c>
      <c r="L3738" s="201" t="s">
        <v>16835</v>
      </c>
      <c r="M3738" s="194"/>
      <c r="N3738" s="194"/>
    </row>
    <row r="3739">
      <c r="A3739" s="193" t="s">
        <v>21616</v>
      </c>
      <c r="B3739" s="7" t="s">
        <v>16582</v>
      </c>
      <c r="C3739" s="7" t="s">
        <v>16930</v>
      </c>
      <c r="D3739" s="199"/>
      <c r="E3739" s="193"/>
      <c r="F3739" s="195" t="s">
        <v>21617</v>
      </c>
      <c r="G3739" s="196">
        <v>1.222644506E9</v>
      </c>
      <c r="H3739" s="197">
        <v>10.27</v>
      </c>
      <c r="I3739" s="7" t="s">
        <v>16815</v>
      </c>
      <c r="J3739" s="7" t="s">
        <v>16582</v>
      </c>
      <c r="K3739" s="7" t="s">
        <v>16930</v>
      </c>
      <c r="L3739" s="198" t="s">
        <v>65</v>
      </c>
      <c r="M3739" s="199"/>
      <c r="N3739" s="199"/>
    </row>
    <row r="3740">
      <c r="A3740" s="193" t="s">
        <v>21618</v>
      </c>
      <c r="B3740" s="7" t="s">
        <v>187</v>
      </c>
      <c r="C3740" s="7" t="s">
        <v>16846</v>
      </c>
      <c r="D3740" s="194">
        <v>2018.0</v>
      </c>
      <c r="E3740" s="193"/>
      <c r="F3740" s="195" t="s">
        <v>21619</v>
      </c>
      <c r="G3740" s="196">
        <v>1.219583587E9</v>
      </c>
      <c r="H3740" s="197">
        <v>1.67</v>
      </c>
      <c r="I3740" s="7" t="s">
        <v>16815</v>
      </c>
      <c r="J3740" s="7" t="s">
        <v>187</v>
      </c>
      <c r="K3740" s="7" t="s">
        <v>16846</v>
      </c>
      <c r="L3740" s="198" t="s">
        <v>65</v>
      </c>
      <c r="M3740" s="194"/>
      <c r="N3740" s="194"/>
    </row>
    <row r="3741">
      <c r="A3741" s="193" t="s">
        <v>21620</v>
      </c>
      <c r="B3741" s="7" t="s">
        <v>16885</v>
      </c>
      <c r="C3741" s="7" t="s">
        <v>18805</v>
      </c>
      <c r="D3741" s="194">
        <v>2017.0</v>
      </c>
      <c r="E3741" s="193"/>
      <c r="F3741" s="195" t="s">
        <v>21621</v>
      </c>
      <c r="G3741" s="196">
        <v>1.21857573E9</v>
      </c>
      <c r="H3741" s="197">
        <v>14.3</v>
      </c>
      <c r="I3741" s="7" t="s">
        <v>17372</v>
      </c>
      <c r="J3741" s="7" t="s">
        <v>16885</v>
      </c>
      <c r="K3741" s="7" t="s">
        <v>18805</v>
      </c>
      <c r="L3741" s="198" t="s">
        <v>65</v>
      </c>
      <c r="M3741" s="194"/>
      <c r="N3741" s="194"/>
    </row>
    <row r="3742">
      <c r="A3742" s="193" t="s">
        <v>21620</v>
      </c>
      <c r="B3742" s="7" t="s">
        <v>18805</v>
      </c>
      <c r="C3742" s="7" t="s">
        <v>16885</v>
      </c>
      <c r="D3742" s="194">
        <v>2017.0</v>
      </c>
      <c r="E3742" s="193"/>
      <c r="F3742" s="195" t="s">
        <v>21621</v>
      </c>
      <c r="G3742" s="200">
        <v>1.21857573E9</v>
      </c>
      <c r="H3742" s="197">
        <v>14.3</v>
      </c>
      <c r="I3742" s="7" t="s">
        <v>16815</v>
      </c>
      <c r="J3742" s="7" t="s">
        <v>18805</v>
      </c>
      <c r="K3742" s="7" t="s">
        <v>16885</v>
      </c>
      <c r="L3742" s="201" t="s">
        <v>16835</v>
      </c>
      <c r="M3742" s="194"/>
      <c r="N3742" s="194"/>
    </row>
    <row r="3743">
      <c r="A3743" s="193" t="s">
        <v>21622</v>
      </c>
      <c r="B3743" s="7" t="s">
        <v>175</v>
      </c>
      <c r="C3743" s="7" t="s">
        <v>19139</v>
      </c>
      <c r="D3743" s="194">
        <v>1995.0</v>
      </c>
      <c r="E3743" s="193"/>
      <c r="F3743" s="195" t="s">
        <v>21623</v>
      </c>
      <c r="G3743" s="196">
        <v>1.211488479E9</v>
      </c>
      <c r="H3743" s="197">
        <v>127.44</v>
      </c>
      <c r="I3743" s="7" t="s">
        <v>16908</v>
      </c>
      <c r="J3743" s="7" t="s">
        <v>175</v>
      </c>
      <c r="K3743" s="7" t="s">
        <v>19139</v>
      </c>
      <c r="L3743" s="198" t="s">
        <v>65</v>
      </c>
      <c r="M3743" s="194"/>
      <c r="N3743" s="194"/>
    </row>
    <row r="3744">
      <c r="A3744" s="193" t="s">
        <v>21622</v>
      </c>
      <c r="B3744" s="202" t="s">
        <v>19139</v>
      </c>
      <c r="C3744" s="193" t="s">
        <v>175</v>
      </c>
      <c r="D3744" s="193">
        <v>1995.0</v>
      </c>
      <c r="E3744" s="193"/>
      <c r="F3744" s="203" t="s">
        <v>21623</v>
      </c>
      <c r="G3744" s="200">
        <v>1.211488479E9</v>
      </c>
      <c r="H3744" s="205">
        <v>7.9</v>
      </c>
      <c r="J3744" s="202" t="s">
        <v>19139</v>
      </c>
      <c r="K3744" s="193" t="s">
        <v>175</v>
      </c>
      <c r="L3744" s="193" t="s">
        <v>17471</v>
      </c>
      <c r="M3744" s="193"/>
      <c r="N3744" s="193"/>
    </row>
    <row r="3745">
      <c r="A3745" s="193" t="s">
        <v>21624</v>
      </c>
      <c r="B3745" s="7" t="s">
        <v>187</v>
      </c>
      <c r="C3745" s="7" t="s">
        <v>16846</v>
      </c>
      <c r="D3745" s="194">
        <v>2020.0</v>
      </c>
      <c r="E3745" s="193"/>
      <c r="F3745" s="195" t="s">
        <v>21625</v>
      </c>
      <c r="G3745" s="196">
        <v>1.210983056E9</v>
      </c>
      <c r="H3745" s="197">
        <v>5.41</v>
      </c>
      <c r="I3745" s="7" t="s">
        <v>16815</v>
      </c>
      <c r="J3745" s="7" t="s">
        <v>187</v>
      </c>
      <c r="K3745" s="7" t="s">
        <v>16846</v>
      </c>
      <c r="L3745" s="198" t="s">
        <v>65</v>
      </c>
      <c r="M3745" s="194"/>
      <c r="N3745" s="194"/>
    </row>
    <row r="3746">
      <c r="A3746" s="193" t="s">
        <v>21626</v>
      </c>
      <c r="B3746" s="7" t="s">
        <v>16582</v>
      </c>
      <c r="C3746" s="7" t="s">
        <v>16930</v>
      </c>
      <c r="D3746" s="194">
        <v>2021.0</v>
      </c>
      <c r="E3746" s="193"/>
      <c r="F3746" s="195" t="s">
        <v>21627</v>
      </c>
      <c r="G3746" s="196">
        <v>1.21001698E9</v>
      </c>
      <c r="H3746" s="197">
        <v>3.8</v>
      </c>
      <c r="I3746" s="7" t="s">
        <v>16815</v>
      </c>
      <c r="J3746" s="7" t="s">
        <v>16582</v>
      </c>
      <c r="K3746" s="7" t="s">
        <v>16930</v>
      </c>
      <c r="L3746" s="198" t="s">
        <v>65</v>
      </c>
      <c r="M3746" s="194"/>
      <c r="N3746" s="194"/>
    </row>
    <row r="3747">
      <c r="A3747" s="193" t="s">
        <v>21628</v>
      </c>
      <c r="B3747" s="7" t="s">
        <v>175</v>
      </c>
      <c r="C3747" s="7" t="s">
        <v>17318</v>
      </c>
      <c r="D3747" s="194">
        <v>1996.0</v>
      </c>
      <c r="E3747" s="193"/>
      <c r="F3747" s="195" t="s">
        <v>21629</v>
      </c>
      <c r="G3747" s="196">
        <v>1.209464955E9</v>
      </c>
      <c r="H3747" s="197">
        <v>22.57</v>
      </c>
      <c r="I3747" s="7" t="s">
        <v>16908</v>
      </c>
      <c r="J3747" s="7" t="s">
        <v>175</v>
      </c>
      <c r="K3747" s="7" t="s">
        <v>17318</v>
      </c>
      <c r="L3747" s="198" t="s">
        <v>65</v>
      </c>
      <c r="M3747" s="194"/>
      <c r="N3747" s="194"/>
    </row>
    <row r="3748">
      <c r="A3748" s="193" t="s">
        <v>21628</v>
      </c>
      <c r="B3748" s="7" t="s">
        <v>17318</v>
      </c>
      <c r="C3748" s="7" t="s">
        <v>175</v>
      </c>
      <c r="D3748" s="194">
        <v>1996.0</v>
      </c>
      <c r="E3748" s="193"/>
      <c r="F3748" s="195" t="s">
        <v>21629</v>
      </c>
      <c r="G3748" s="200">
        <v>1.209464955E9</v>
      </c>
      <c r="H3748" s="197">
        <v>22.57</v>
      </c>
      <c r="I3748" s="7" t="s">
        <v>16815</v>
      </c>
      <c r="J3748" s="7" t="s">
        <v>17318</v>
      </c>
      <c r="K3748" s="7" t="s">
        <v>175</v>
      </c>
      <c r="L3748" s="201" t="s">
        <v>16835</v>
      </c>
      <c r="M3748" s="194"/>
      <c r="N3748" s="194"/>
    </row>
    <row r="3749">
      <c r="A3749" s="193" t="s">
        <v>21630</v>
      </c>
      <c r="B3749" s="7" t="s">
        <v>175</v>
      </c>
      <c r="C3749" s="7" t="s">
        <v>17452</v>
      </c>
      <c r="D3749" s="194">
        <v>2017.0</v>
      </c>
      <c r="E3749" s="193"/>
      <c r="F3749" s="195" t="s">
        <v>21631</v>
      </c>
      <c r="G3749" s="196">
        <v>1.207115325E9</v>
      </c>
      <c r="H3749" s="197">
        <v>4.97</v>
      </c>
      <c r="I3749" s="7" t="s">
        <v>16908</v>
      </c>
      <c r="J3749" s="7" t="s">
        <v>175</v>
      </c>
      <c r="K3749" s="7" t="s">
        <v>17452</v>
      </c>
      <c r="L3749" s="198" t="s">
        <v>65</v>
      </c>
      <c r="M3749" s="194"/>
      <c r="N3749" s="194"/>
    </row>
    <row r="3750">
      <c r="A3750" s="193" t="s">
        <v>21630</v>
      </c>
      <c r="B3750" s="7" t="s">
        <v>17452</v>
      </c>
      <c r="C3750" s="7" t="s">
        <v>175</v>
      </c>
      <c r="D3750" s="194">
        <v>2017.0</v>
      </c>
      <c r="E3750" s="193"/>
      <c r="F3750" s="195" t="s">
        <v>21631</v>
      </c>
      <c r="G3750" s="200">
        <v>1.207115325E9</v>
      </c>
      <c r="H3750" s="197">
        <v>4.97</v>
      </c>
      <c r="I3750" s="7" t="s">
        <v>16815</v>
      </c>
      <c r="J3750" s="7" t="s">
        <v>17452</v>
      </c>
      <c r="K3750" s="7" t="s">
        <v>175</v>
      </c>
      <c r="L3750" s="201" t="s">
        <v>16835</v>
      </c>
      <c r="M3750" s="194"/>
      <c r="N3750" s="194"/>
    </row>
    <row r="3751">
      <c r="A3751" s="193" t="s">
        <v>21632</v>
      </c>
      <c r="B3751" s="7" t="s">
        <v>175</v>
      </c>
      <c r="C3751" s="7" t="s">
        <v>18676</v>
      </c>
      <c r="D3751" s="194">
        <v>1992.0</v>
      </c>
      <c r="E3751" s="193"/>
      <c r="F3751" s="195" t="s">
        <v>21633</v>
      </c>
      <c r="G3751" s="196">
        <v>1.204977894E9</v>
      </c>
      <c r="H3751" s="197">
        <v>38.85</v>
      </c>
      <c r="I3751" s="7" t="s">
        <v>17033</v>
      </c>
      <c r="J3751" s="7" t="s">
        <v>175</v>
      </c>
      <c r="K3751" s="7" t="s">
        <v>18676</v>
      </c>
      <c r="L3751" s="198" t="s">
        <v>65</v>
      </c>
      <c r="M3751" s="194"/>
      <c r="N3751" s="194"/>
    </row>
    <row r="3752">
      <c r="A3752" s="193" t="s">
        <v>21634</v>
      </c>
      <c r="B3752" s="7" t="s">
        <v>16838</v>
      </c>
      <c r="C3752" s="7" t="s">
        <v>16867</v>
      </c>
      <c r="D3752" s="199"/>
      <c r="E3752" s="193"/>
      <c r="F3752" s="195" t="s">
        <v>21635</v>
      </c>
      <c r="G3752" s="196">
        <v>1.204763697E9</v>
      </c>
      <c r="H3752" s="197">
        <v>28.24</v>
      </c>
      <c r="I3752" s="7" t="s">
        <v>16815</v>
      </c>
      <c r="J3752" s="7" t="s">
        <v>16838</v>
      </c>
      <c r="K3752" s="7" t="s">
        <v>16867</v>
      </c>
      <c r="L3752" s="198" t="s">
        <v>65</v>
      </c>
      <c r="M3752" s="199"/>
      <c r="N3752" s="199"/>
    </row>
    <row r="3753">
      <c r="A3753" s="193" t="s">
        <v>21636</v>
      </c>
      <c r="B3753" s="7" t="s">
        <v>16910</v>
      </c>
      <c r="C3753" s="7" t="s">
        <v>16911</v>
      </c>
      <c r="D3753" s="194">
        <v>2021.0</v>
      </c>
      <c r="E3753" s="193"/>
      <c r="F3753" s="195" t="s">
        <v>21637</v>
      </c>
      <c r="G3753" s="196">
        <v>1.203902256E9</v>
      </c>
      <c r="H3753" s="197">
        <v>10.44</v>
      </c>
      <c r="I3753" s="7" t="s">
        <v>16917</v>
      </c>
      <c r="J3753" s="7" t="s">
        <v>16910</v>
      </c>
      <c r="K3753" s="7" t="s">
        <v>16911</v>
      </c>
      <c r="L3753" s="198" t="s">
        <v>65</v>
      </c>
      <c r="M3753" s="194"/>
      <c r="N3753" s="194"/>
    </row>
    <row r="3754">
      <c r="A3754" s="193" t="s">
        <v>21636</v>
      </c>
      <c r="B3754" s="7" t="s">
        <v>16911</v>
      </c>
      <c r="C3754" s="7" t="s">
        <v>16910</v>
      </c>
      <c r="D3754" s="194">
        <v>2021.0</v>
      </c>
      <c r="E3754" s="193"/>
      <c r="F3754" s="195" t="s">
        <v>21637</v>
      </c>
      <c r="G3754" s="200">
        <v>1.203902256E9</v>
      </c>
      <c r="H3754" s="197">
        <v>10.44</v>
      </c>
      <c r="I3754" s="7" t="s">
        <v>16815</v>
      </c>
      <c r="J3754" s="7" t="s">
        <v>16911</v>
      </c>
      <c r="K3754" s="7" t="s">
        <v>16910</v>
      </c>
      <c r="L3754" s="201" t="s">
        <v>16835</v>
      </c>
      <c r="M3754" s="194"/>
      <c r="N3754" s="194"/>
    </row>
    <row r="3755">
      <c r="A3755" s="193" t="s">
        <v>21638</v>
      </c>
      <c r="B3755" s="7" t="s">
        <v>17016</v>
      </c>
      <c r="C3755" s="7" t="s">
        <v>16838</v>
      </c>
      <c r="D3755" s="194">
        <v>2014.0</v>
      </c>
      <c r="E3755" s="193"/>
      <c r="F3755" s="195" t="s">
        <v>21639</v>
      </c>
      <c r="G3755" s="200">
        <v>1.203412582E9</v>
      </c>
      <c r="H3755" s="197">
        <v>40.29</v>
      </c>
      <c r="I3755" s="7" t="s">
        <v>16815</v>
      </c>
      <c r="J3755" s="7" t="s">
        <v>17016</v>
      </c>
      <c r="K3755" s="7" t="s">
        <v>16838</v>
      </c>
      <c r="L3755" s="201" t="s">
        <v>16835</v>
      </c>
      <c r="M3755" s="194"/>
      <c r="N3755" s="194"/>
    </row>
    <row r="3756">
      <c r="A3756" s="193" t="s">
        <v>21638</v>
      </c>
      <c r="B3756" s="7" t="s">
        <v>16838</v>
      </c>
      <c r="C3756" s="7" t="s">
        <v>17016</v>
      </c>
      <c r="D3756" s="194">
        <v>2014.0</v>
      </c>
      <c r="E3756" s="193"/>
      <c r="F3756" s="195" t="s">
        <v>21639</v>
      </c>
      <c r="G3756" s="196">
        <v>1.203412582E9</v>
      </c>
      <c r="H3756" s="197">
        <v>40.29</v>
      </c>
      <c r="I3756" s="7" t="s">
        <v>16815</v>
      </c>
      <c r="J3756" s="7" t="s">
        <v>16838</v>
      </c>
      <c r="K3756" s="7" t="s">
        <v>17016</v>
      </c>
      <c r="L3756" s="198" t="s">
        <v>65</v>
      </c>
      <c r="M3756" s="194"/>
      <c r="N3756" s="194"/>
    </row>
    <row r="3757">
      <c r="A3757" s="193" t="s">
        <v>21640</v>
      </c>
      <c r="B3757" s="7" t="s">
        <v>16582</v>
      </c>
      <c r="C3757" s="7" t="s">
        <v>17342</v>
      </c>
      <c r="D3757" s="194">
        <v>1995.0</v>
      </c>
      <c r="E3757" s="193"/>
      <c r="F3757" s="195" t="s">
        <v>21641</v>
      </c>
      <c r="G3757" s="196">
        <v>1.20267606E9</v>
      </c>
      <c r="H3757" s="197">
        <v>10.72</v>
      </c>
      <c r="I3757" s="7" t="s">
        <v>16815</v>
      </c>
      <c r="J3757" s="7" t="s">
        <v>16582</v>
      </c>
      <c r="K3757" s="7" t="s">
        <v>17342</v>
      </c>
      <c r="L3757" s="198" t="s">
        <v>65</v>
      </c>
      <c r="M3757" s="194"/>
      <c r="N3757" s="194"/>
    </row>
    <row r="3758">
      <c r="A3758" s="193" t="s">
        <v>21642</v>
      </c>
      <c r="B3758" s="7" t="s">
        <v>17111</v>
      </c>
      <c r="C3758" s="7" t="s">
        <v>17112</v>
      </c>
      <c r="D3758" s="194">
        <v>2023.0</v>
      </c>
      <c r="E3758" s="193"/>
      <c r="F3758" s="195" t="s">
        <v>21643</v>
      </c>
      <c r="G3758" s="200">
        <v>1.20244315E9</v>
      </c>
      <c r="H3758" s="197">
        <v>16.92</v>
      </c>
      <c r="I3758" s="7" t="s">
        <v>16815</v>
      </c>
      <c r="J3758" s="7" t="s">
        <v>17111</v>
      </c>
      <c r="K3758" s="7" t="s">
        <v>17112</v>
      </c>
      <c r="L3758" s="201" t="s">
        <v>16835</v>
      </c>
      <c r="M3758" s="194"/>
      <c r="N3758" s="194"/>
    </row>
    <row r="3759">
      <c r="A3759" s="193" t="s">
        <v>21642</v>
      </c>
      <c r="B3759" s="7" t="s">
        <v>17112</v>
      </c>
      <c r="C3759" s="7" t="s">
        <v>17111</v>
      </c>
      <c r="D3759" s="194">
        <v>2023.0</v>
      </c>
      <c r="E3759" s="193"/>
      <c r="F3759" s="195" t="s">
        <v>21643</v>
      </c>
      <c r="G3759" s="196">
        <v>1.20244315E9</v>
      </c>
      <c r="H3759" s="197">
        <v>16.92</v>
      </c>
      <c r="I3759" s="7" t="s">
        <v>16815</v>
      </c>
      <c r="J3759" s="7" t="s">
        <v>17112</v>
      </c>
      <c r="K3759" s="7" t="s">
        <v>17111</v>
      </c>
      <c r="L3759" s="198" t="s">
        <v>65</v>
      </c>
      <c r="M3759" s="194"/>
      <c r="N3759" s="194"/>
    </row>
    <row r="3760">
      <c r="A3760" s="193" t="s">
        <v>21644</v>
      </c>
      <c r="B3760" s="7" t="s">
        <v>16582</v>
      </c>
      <c r="C3760" s="7" t="s">
        <v>16817</v>
      </c>
      <c r="D3760" s="194">
        <v>2021.0</v>
      </c>
      <c r="E3760" s="193"/>
      <c r="F3760" s="195" t="s">
        <v>21645</v>
      </c>
      <c r="G3760" s="196">
        <v>1.202121095E9</v>
      </c>
      <c r="H3760" s="197">
        <v>9.43</v>
      </c>
      <c r="I3760" s="7" t="s">
        <v>16815</v>
      </c>
      <c r="J3760" s="7" t="s">
        <v>16582</v>
      </c>
      <c r="K3760" s="7" t="s">
        <v>16817</v>
      </c>
      <c r="L3760" s="198" t="s">
        <v>65</v>
      </c>
      <c r="M3760" s="194"/>
      <c r="N3760" s="194"/>
    </row>
    <row r="3761">
      <c r="A3761" s="193" t="s">
        <v>21644</v>
      </c>
      <c r="B3761" s="7" t="s">
        <v>16817</v>
      </c>
      <c r="C3761" s="7" t="s">
        <v>16582</v>
      </c>
      <c r="D3761" s="194">
        <v>2021.0</v>
      </c>
      <c r="E3761" s="193"/>
      <c r="F3761" s="195" t="s">
        <v>21645</v>
      </c>
      <c r="G3761" s="200">
        <v>1.202121095E9</v>
      </c>
      <c r="H3761" s="197">
        <v>9.43</v>
      </c>
      <c r="I3761" s="7" t="s">
        <v>16815</v>
      </c>
      <c r="J3761" s="7" t="s">
        <v>16817</v>
      </c>
      <c r="K3761" s="7" t="s">
        <v>16582</v>
      </c>
      <c r="L3761" s="201" t="s">
        <v>16835</v>
      </c>
      <c r="M3761" s="194"/>
      <c r="N3761" s="194"/>
    </row>
    <row r="3762">
      <c r="A3762" s="193" t="s">
        <v>21646</v>
      </c>
      <c r="B3762" s="7" t="s">
        <v>16867</v>
      </c>
      <c r="C3762" s="7" t="s">
        <v>16838</v>
      </c>
      <c r="D3762" s="194">
        <v>2012.0</v>
      </c>
      <c r="E3762" s="193"/>
      <c r="F3762" s="195" t="s">
        <v>21647</v>
      </c>
      <c r="G3762" s="200">
        <v>1.2011818E9</v>
      </c>
      <c r="H3762" s="197">
        <v>31.81</v>
      </c>
      <c r="I3762" s="7" t="s">
        <v>16815</v>
      </c>
      <c r="J3762" s="7" t="s">
        <v>16867</v>
      </c>
      <c r="K3762" s="7" t="s">
        <v>16838</v>
      </c>
      <c r="L3762" s="201" t="s">
        <v>16835</v>
      </c>
      <c r="M3762" s="194"/>
      <c r="N3762" s="194"/>
    </row>
    <row r="3763">
      <c r="A3763" s="193" t="s">
        <v>21646</v>
      </c>
      <c r="B3763" s="7" t="s">
        <v>16838</v>
      </c>
      <c r="C3763" s="7" t="s">
        <v>16867</v>
      </c>
      <c r="D3763" s="194">
        <v>2012.0</v>
      </c>
      <c r="E3763" s="193"/>
      <c r="F3763" s="195" t="s">
        <v>21647</v>
      </c>
      <c r="G3763" s="196">
        <v>1.2011818E9</v>
      </c>
      <c r="H3763" s="197">
        <v>31.81</v>
      </c>
      <c r="I3763" s="7" t="s">
        <v>16815</v>
      </c>
      <c r="J3763" s="7" t="s">
        <v>16838</v>
      </c>
      <c r="K3763" s="7" t="s">
        <v>16867</v>
      </c>
      <c r="L3763" s="198" t="s">
        <v>65</v>
      </c>
      <c r="M3763" s="194"/>
      <c r="N3763" s="194"/>
    </row>
    <row r="3764">
      <c r="A3764" s="193" t="s">
        <v>21648</v>
      </c>
      <c r="B3764" s="7" t="s">
        <v>158</v>
      </c>
      <c r="C3764" s="7" t="s">
        <v>18063</v>
      </c>
      <c r="D3764" s="199"/>
      <c r="E3764" s="193"/>
      <c r="F3764" s="195" t="s">
        <v>21649</v>
      </c>
      <c r="G3764" s="196">
        <v>1.201026608E9</v>
      </c>
      <c r="H3764" s="197">
        <v>19.95</v>
      </c>
      <c r="I3764" s="7" t="s">
        <v>17450</v>
      </c>
      <c r="J3764" s="7" t="s">
        <v>158</v>
      </c>
      <c r="K3764" s="7" t="s">
        <v>18063</v>
      </c>
      <c r="L3764" s="198" t="s">
        <v>65</v>
      </c>
      <c r="M3764" s="199"/>
      <c r="N3764" s="199"/>
    </row>
    <row r="3765">
      <c r="A3765" s="193" t="s">
        <v>21648</v>
      </c>
      <c r="B3765" s="7" t="s">
        <v>18063</v>
      </c>
      <c r="C3765" s="7" t="s">
        <v>158</v>
      </c>
      <c r="D3765" s="199"/>
      <c r="E3765" s="193"/>
      <c r="F3765" s="195" t="s">
        <v>21649</v>
      </c>
      <c r="G3765" s="200">
        <v>1.201026608E9</v>
      </c>
      <c r="H3765" s="197">
        <v>19.95</v>
      </c>
      <c r="I3765" s="7" t="s">
        <v>16815</v>
      </c>
      <c r="J3765" s="7" t="s">
        <v>18063</v>
      </c>
      <c r="K3765" s="7" t="s">
        <v>158</v>
      </c>
      <c r="L3765" s="201" t="s">
        <v>16835</v>
      </c>
      <c r="M3765" s="199"/>
      <c r="N3765" s="199"/>
    </row>
    <row r="3766">
      <c r="A3766" s="193" t="s">
        <v>21650</v>
      </c>
      <c r="B3766" s="7" t="s">
        <v>16957</v>
      </c>
      <c r="C3766" s="7" t="s">
        <v>16926</v>
      </c>
      <c r="D3766" s="199"/>
      <c r="E3766" s="193"/>
      <c r="F3766" s="195" t="s">
        <v>21651</v>
      </c>
      <c r="G3766" s="200">
        <v>1.200589265E9</v>
      </c>
      <c r="H3766" s="197">
        <v>1.19</v>
      </c>
      <c r="I3766" s="7" t="s">
        <v>16815</v>
      </c>
      <c r="J3766" s="7" t="s">
        <v>16957</v>
      </c>
      <c r="K3766" s="7" t="s">
        <v>16926</v>
      </c>
      <c r="L3766" s="201" t="s">
        <v>16835</v>
      </c>
      <c r="M3766" s="199"/>
      <c r="N3766" s="199"/>
    </row>
    <row r="3767">
      <c r="A3767" s="193" t="s">
        <v>21650</v>
      </c>
      <c r="B3767" s="7" t="s">
        <v>16926</v>
      </c>
      <c r="C3767" s="7" t="s">
        <v>16957</v>
      </c>
      <c r="D3767" s="199"/>
      <c r="E3767" s="193"/>
      <c r="F3767" s="195" t="s">
        <v>21651</v>
      </c>
      <c r="G3767" s="196">
        <v>1.200589265E9</v>
      </c>
      <c r="H3767" s="197">
        <v>1.19</v>
      </c>
      <c r="I3767" s="7" t="s">
        <v>16815</v>
      </c>
      <c r="J3767" s="7" t="s">
        <v>16926</v>
      </c>
      <c r="K3767" s="7" t="s">
        <v>16957</v>
      </c>
      <c r="L3767" s="198" t="s">
        <v>65</v>
      </c>
      <c r="M3767" s="199"/>
      <c r="N3767" s="199"/>
    </row>
    <row r="3768">
      <c r="A3768" s="193" t="s">
        <v>21652</v>
      </c>
      <c r="B3768" s="7" t="s">
        <v>175</v>
      </c>
      <c r="C3768" s="7" t="s">
        <v>17168</v>
      </c>
      <c r="D3768" s="194">
        <v>1993.0</v>
      </c>
      <c r="E3768" s="193"/>
      <c r="F3768" s="195" t="s">
        <v>21653</v>
      </c>
      <c r="G3768" s="196">
        <v>1.199728484E9</v>
      </c>
      <c r="H3768" s="197">
        <v>62.92</v>
      </c>
      <c r="I3768" s="7" t="s">
        <v>168</v>
      </c>
      <c r="J3768" s="7" t="s">
        <v>175</v>
      </c>
      <c r="K3768" s="7" t="s">
        <v>17168</v>
      </c>
      <c r="L3768" s="198" t="s">
        <v>65</v>
      </c>
      <c r="M3768" s="194"/>
      <c r="N3768" s="194"/>
    </row>
    <row r="3769">
      <c r="A3769" s="193" t="s">
        <v>21654</v>
      </c>
      <c r="B3769" s="7" t="s">
        <v>16582</v>
      </c>
      <c r="C3769" s="7" t="s">
        <v>17339</v>
      </c>
      <c r="D3769" s="199"/>
      <c r="E3769" s="193"/>
      <c r="F3769" s="195" t="s">
        <v>21655</v>
      </c>
      <c r="G3769" s="196">
        <v>1.198960994E9</v>
      </c>
      <c r="H3769" s="197">
        <v>38.48</v>
      </c>
      <c r="I3769" s="7" t="s">
        <v>16815</v>
      </c>
      <c r="J3769" s="7" t="s">
        <v>16582</v>
      </c>
      <c r="K3769" s="7" t="s">
        <v>17339</v>
      </c>
      <c r="L3769" s="198" t="s">
        <v>65</v>
      </c>
      <c r="M3769" s="199"/>
      <c r="N3769" s="199"/>
    </row>
    <row r="3770">
      <c r="A3770" s="193" t="s">
        <v>21654</v>
      </c>
      <c r="B3770" s="7" t="s">
        <v>17339</v>
      </c>
      <c r="C3770" s="7" t="s">
        <v>16582</v>
      </c>
      <c r="D3770" s="199"/>
      <c r="E3770" s="193"/>
      <c r="F3770" s="195" t="s">
        <v>21655</v>
      </c>
      <c r="G3770" s="200">
        <v>1.198960994E9</v>
      </c>
      <c r="H3770" s="197">
        <v>38.48</v>
      </c>
      <c r="I3770" s="7" t="s">
        <v>16815</v>
      </c>
      <c r="J3770" s="7" t="s">
        <v>17339</v>
      </c>
      <c r="K3770" s="7" t="s">
        <v>16582</v>
      </c>
      <c r="L3770" s="201" t="s">
        <v>16835</v>
      </c>
      <c r="M3770" s="199"/>
      <c r="N3770" s="199"/>
    </row>
    <row r="3771">
      <c r="A3771" s="193" t="s">
        <v>21656</v>
      </c>
      <c r="B3771" s="7" t="s">
        <v>175</v>
      </c>
      <c r="C3771" s="7" t="s">
        <v>17318</v>
      </c>
      <c r="D3771" s="194">
        <v>1989.0</v>
      </c>
      <c r="E3771" s="193"/>
      <c r="F3771" s="195" t="s">
        <v>21657</v>
      </c>
      <c r="G3771" s="196">
        <v>1.198804672E9</v>
      </c>
      <c r="H3771" s="197">
        <v>26.22</v>
      </c>
      <c r="I3771" s="7" t="s">
        <v>16908</v>
      </c>
      <c r="J3771" s="7" t="s">
        <v>175</v>
      </c>
      <c r="K3771" s="7" t="s">
        <v>17318</v>
      </c>
      <c r="L3771" s="198" t="s">
        <v>65</v>
      </c>
      <c r="M3771" s="194"/>
      <c r="N3771" s="194"/>
    </row>
    <row r="3772">
      <c r="A3772" s="193" t="s">
        <v>21658</v>
      </c>
      <c r="B3772" s="7" t="s">
        <v>158</v>
      </c>
      <c r="C3772" s="7" t="s">
        <v>16870</v>
      </c>
      <c r="D3772" s="194">
        <v>2006.0</v>
      </c>
      <c r="E3772" s="193"/>
      <c r="F3772" s="195" t="s">
        <v>21659</v>
      </c>
      <c r="G3772" s="196">
        <v>1.198574347E9</v>
      </c>
      <c r="H3772" s="197">
        <v>14.99</v>
      </c>
      <c r="I3772" s="7" t="s">
        <v>16897</v>
      </c>
      <c r="J3772" s="7" t="s">
        <v>158</v>
      </c>
      <c r="K3772" s="7" t="s">
        <v>16870</v>
      </c>
      <c r="L3772" s="198" t="s">
        <v>65</v>
      </c>
      <c r="M3772" s="194"/>
      <c r="N3772" s="194"/>
    </row>
    <row r="3773">
      <c r="A3773" s="193" t="s">
        <v>21660</v>
      </c>
      <c r="B3773" s="7" t="s">
        <v>16885</v>
      </c>
      <c r="C3773" s="7" t="s">
        <v>17726</v>
      </c>
      <c r="D3773" s="194">
        <v>2003.0</v>
      </c>
      <c r="E3773" s="193"/>
      <c r="F3773" s="195" t="s">
        <v>21661</v>
      </c>
      <c r="G3773" s="196">
        <v>1.196368513E9</v>
      </c>
      <c r="H3773" s="197">
        <v>3.58</v>
      </c>
      <c r="I3773" s="7" t="s">
        <v>16826</v>
      </c>
      <c r="J3773" s="7" t="s">
        <v>16885</v>
      </c>
      <c r="K3773" s="7" t="s">
        <v>17726</v>
      </c>
      <c r="L3773" s="198" t="s">
        <v>65</v>
      </c>
      <c r="M3773" s="194"/>
      <c r="N3773" s="194"/>
    </row>
    <row r="3774">
      <c r="A3774" s="193" t="s">
        <v>21660</v>
      </c>
      <c r="B3774" s="202" t="s">
        <v>17726</v>
      </c>
      <c r="C3774" s="193" t="s">
        <v>16885</v>
      </c>
      <c r="D3774" s="193">
        <v>2003.0</v>
      </c>
      <c r="E3774" s="193"/>
      <c r="F3774" s="203" t="s">
        <v>21661</v>
      </c>
      <c r="G3774" s="200">
        <v>1.196368513E9</v>
      </c>
      <c r="H3774" s="205">
        <v>127.44</v>
      </c>
      <c r="J3774" s="202" t="s">
        <v>17726</v>
      </c>
      <c r="K3774" s="193" t="s">
        <v>16885</v>
      </c>
      <c r="L3774" s="193" t="s">
        <v>17471</v>
      </c>
      <c r="M3774" s="193"/>
      <c r="N3774" s="193"/>
    </row>
    <row r="3775">
      <c r="A3775" s="193" t="s">
        <v>21662</v>
      </c>
      <c r="B3775" s="7" t="s">
        <v>16885</v>
      </c>
      <c r="C3775" s="7" t="s">
        <v>17726</v>
      </c>
      <c r="D3775" s="194">
        <v>2021.0</v>
      </c>
      <c r="E3775" s="193"/>
      <c r="F3775" s="195" t="s">
        <v>21663</v>
      </c>
      <c r="G3775" s="196">
        <v>1.195249454E9</v>
      </c>
      <c r="H3775" s="197">
        <v>5.54</v>
      </c>
      <c r="I3775" s="7" t="s">
        <v>16888</v>
      </c>
      <c r="J3775" s="7" t="s">
        <v>16885</v>
      </c>
      <c r="K3775" s="7" t="s">
        <v>17726</v>
      </c>
      <c r="L3775" s="198" t="s">
        <v>65</v>
      </c>
      <c r="M3775" s="194"/>
      <c r="N3775" s="194"/>
    </row>
    <row r="3776">
      <c r="A3776" s="193" t="s">
        <v>21662</v>
      </c>
      <c r="B3776" s="7" t="s">
        <v>17726</v>
      </c>
      <c r="C3776" s="7" t="s">
        <v>16885</v>
      </c>
      <c r="D3776" s="194">
        <v>2021.0</v>
      </c>
      <c r="E3776" s="193"/>
      <c r="F3776" s="195" t="s">
        <v>21663</v>
      </c>
      <c r="G3776" s="200">
        <v>1.195249454E9</v>
      </c>
      <c r="H3776" s="197">
        <v>5.54</v>
      </c>
      <c r="I3776" s="7" t="s">
        <v>16815</v>
      </c>
      <c r="J3776" s="7" t="s">
        <v>17726</v>
      </c>
      <c r="K3776" s="7" t="s">
        <v>16885</v>
      </c>
      <c r="L3776" s="201" t="s">
        <v>16835</v>
      </c>
      <c r="M3776" s="194"/>
      <c r="N3776" s="194"/>
    </row>
    <row r="3777">
      <c r="A3777" s="193" t="s">
        <v>21664</v>
      </c>
      <c r="B3777" s="7" t="s">
        <v>175</v>
      </c>
      <c r="C3777" s="7" t="s">
        <v>19139</v>
      </c>
      <c r="D3777" s="194">
        <v>1986.0</v>
      </c>
      <c r="E3777" s="193"/>
      <c r="F3777" s="195" t="s">
        <v>21665</v>
      </c>
      <c r="G3777" s="196">
        <v>1.191972661E9</v>
      </c>
      <c r="H3777" s="197">
        <v>72.59</v>
      </c>
      <c r="I3777" s="7" t="s">
        <v>16826</v>
      </c>
      <c r="J3777" s="7" t="s">
        <v>175</v>
      </c>
      <c r="K3777" s="7" t="s">
        <v>19139</v>
      </c>
      <c r="L3777" s="198" t="s">
        <v>65</v>
      </c>
      <c r="M3777" s="194"/>
      <c r="N3777" s="194"/>
    </row>
    <row r="3778">
      <c r="A3778" s="193" t="s">
        <v>21666</v>
      </c>
      <c r="B3778" s="7" t="s">
        <v>187</v>
      </c>
      <c r="C3778" s="7" t="s">
        <v>16969</v>
      </c>
      <c r="D3778" s="194">
        <v>2015.0</v>
      </c>
      <c r="E3778" s="193"/>
      <c r="F3778" s="195" t="s">
        <v>21667</v>
      </c>
      <c r="G3778" s="196">
        <v>1.189364188E9</v>
      </c>
      <c r="H3778" s="197">
        <v>11.13</v>
      </c>
      <c r="I3778" s="7" t="s">
        <v>16815</v>
      </c>
      <c r="J3778" s="7" t="s">
        <v>187</v>
      </c>
      <c r="K3778" s="7" t="s">
        <v>16969</v>
      </c>
      <c r="L3778" s="198" t="s">
        <v>65</v>
      </c>
      <c r="M3778" s="194"/>
      <c r="N3778" s="194"/>
    </row>
    <row r="3779">
      <c r="A3779" s="193" t="s">
        <v>21668</v>
      </c>
      <c r="B3779" s="7" t="s">
        <v>175</v>
      </c>
      <c r="C3779" s="7" t="s">
        <v>17480</v>
      </c>
      <c r="D3779" s="194">
        <v>2021.0</v>
      </c>
      <c r="E3779" s="193"/>
      <c r="F3779" s="195" t="s">
        <v>21669</v>
      </c>
      <c r="G3779" s="196">
        <v>1.185390556E9</v>
      </c>
      <c r="H3779" s="197">
        <v>8.45</v>
      </c>
      <c r="I3779" s="7" t="s">
        <v>16826</v>
      </c>
      <c r="J3779" s="7" t="s">
        <v>175</v>
      </c>
      <c r="K3779" s="7" t="s">
        <v>17480</v>
      </c>
      <c r="L3779" s="198" t="s">
        <v>65</v>
      </c>
      <c r="M3779" s="194"/>
      <c r="N3779" s="194"/>
    </row>
    <row r="3780">
      <c r="A3780" s="193" t="s">
        <v>21670</v>
      </c>
      <c r="B3780" s="7" t="s">
        <v>187</v>
      </c>
      <c r="C3780" s="7" t="s">
        <v>16858</v>
      </c>
      <c r="D3780" s="194">
        <v>2019.0</v>
      </c>
      <c r="E3780" s="193"/>
      <c r="F3780" s="195" t="s">
        <v>21671</v>
      </c>
      <c r="G3780" s="196">
        <v>1.18524393E9</v>
      </c>
      <c r="H3780" s="197">
        <v>18.94</v>
      </c>
      <c r="I3780" s="7" t="s">
        <v>16815</v>
      </c>
      <c r="J3780" s="7" t="s">
        <v>187</v>
      </c>
      <c r="K3780" s="7" t="s">
        <v>16858</v>
      </c>
      <c r="L3780" s="198" t="s">
        <v>65</v>
      </c>
      <c r="M3780" s="194"/>
      <c r="N3780" s="194"/>
    </row>
    <row r="3781">
      <c r="A3781" s="193" t="s">
        <v>21672</v>
      </c>
      <c r="B3781" s="7" t="s">
        <v>175</v>
      </c>
      <c r="C3781" s="7" t="s">
        <v>17391</v>
      </c>
      <c r="D3781" s="199"/>
      <c r="E3781" s="193"/>
      <c r="F3781" s="195" t="s">
        <v>21673</v>
      </c>
      <c r="G3781" s="196">
        <v>1.184431341E9</v>
      </c>
      <c r="H3781" s="197">
        <v>4.35</v>
      </c>
      <c r="I3781" s="7" t="s">
        <v>17270</v>
      </c>
      <c r="J3781" s="7" t="s">
        <v>175</v>
      </c>
      <c r="K3781" s="7" t="s">
        <v>17391</v>
      </c>
      <c r="L3781" s="198" t="s">
        <v>65</v>
      </c>
      <c r="M3781" s="199"/>
      <c r="N3781" s="199"/>
    </row>
    <row r="3782">
      <c r="A3782" s="193" t="s">
        <v>21674</v>
      </c>
      <c r="B3782" s="7" t="s">
        <v>17016</v>
      </c>
      <c r="C3782" s="7" t="s">
        <v>16838</v>
      </c>
      <c r="D3782" s="194">
        <v>2017.0</v>
      </c>
      <c r="E3782" s="193"/>
      <c r="F3782" s="195" t="s">
        <v>21675</v>
      </c>
      <c r="G3782" s="200">
        <v>1.184349933E9</v>
      </c>
      <c r="H3782" s="197">
        <v>3.72</v>
      </c>
      <c r="I3782" s="7" t="s">
        <v>16815</v>
      </c>
      <c r="J3782" s="7" t="s">
        <v>17016</v>
      </c>
      <c r="K3782" s="7" t="s">
        <v>16838</v>
      </c>
      <c r="L3782" s="201" t="s">
        <v>16835</v>
      </c>
      <c r="M3782" s="194"/>
      <c r="N3782" s="194"/>
    </row>
    <row r="3783">
      <c r="A3783" s="193" t="s">
        <v>21674</v>
      </c>
      <c r="B3783" s="7" t="s">
        <v>16838</v>
      </c>
      <c r="C3783" s="7" t="s">
        <v>17016</v>
      </c>
      <c r="D3783" s="194">
        <v>2017.0</v>
      </c>
      <c r="E3783" s="193"/>
      <c r="F3783" s="195" t="s">
        <v>21675</v>
      </c>
      <c r="G3783" s="196">
        <v>1.184349933E9</v>
      </c>
      <c r="H3783" s="197">
        <v>3.72</v>
      </c>
      <c r="I3783" s="7" t="s">
        <v>16815</v>
      </c>
      <c r="J3783" s="7" t="s">
        <v>16838</v>
      </c>
      <c r="K3783" s="7" t="s">
        <v>17016</v>
      </c>
      <c r="L3783" s="198" t="s">
        <v>65</v>
      </c>
      <c r="M3783" s="194"/>
      <c r="N3783" s="194"/>
    </row>
    <row r="3784">
      <c r="A3784" s="193" t="s">
        <v>21676</v>
      </c>
      <c r="B3784" s="7" t="s">
        <v>17552</v>
      </c>
      <c r="C3784" s="7" t="s">
        <v>187</v>
      </c>
      <c r="D3784" s="194">
        <v>2021.0</v>
      </c>
      <c r="E3784" s="193"/>
      <c r="F3784" s="195" t="s">
        <v>21677</v>
      </c>
      <c r="G3784" s="200">
        <v>1.183456438E9</v>
      </c>
      <c r="H3784" s="197">
        <v>10.06</v>
      </c>
      <c r="I3784" s="7" t="s">
        <v>16815</v>
      </c>
      <c r="J3784" s="7" t="s">
        <v>17552</v>
      </c>
      <c r="K3784" s="7" t="s">
        <v>187</v>
      </c>
      <c r="L3784" s="201" t="s">
        <v>16835</v>
      </c>
      <c r="M3784" s="194"/>
      <c r="N3784" s="194"/>
    </row>
    <row r="3785">
      <c r="A3785" s="193" t="s">
        <v>21676</v>
      </c>
      <c r="B3785" s="7" t="s">
        <v>187</v>
      </c>
      <c r="C3785" s="7" t="s">
        <v>17552</v>
      </c>
      <c r="D3785" s="194">
        <v>2021.0</v>
      </c>
      <c r="E3785" s="193"/>
      <c r="F3785" s="195" t="s">
        <v>21677</v>
      </c>
      <c r="G3785" s="196">
        <v>1.183456438E9</v>
      </c>
      <c r="H3785" s="197">
        <v>10.06</v>
      </c>
      <c r="I3785" s="7" t="s">
        <v>16815</v>
      </c>
      <c r="J3785" s="7" t="s">
        <v>187</v>
      </c>
      <c r="K3785" s="7" t="s">
        <v>17552</v>
      </c>
      <c r="L3785" s="198" t="s">
        <v>65</v>
      </c>
      <c r="M3785" s="194"/>
      <c r="N3785" s="194"/>
    </row>
    <row r="3786">
      <c r="A3786" s="193" t="s">
        <v>21678</v>
      </c>
      <c r="B3786" s="7" t="s">
        <v>16838</v>
      </c>
      <c r="C3786" s="7" t="s">
        <v>17112</v>
      </c>
      <c r="D3786" s="194">
        <v>2017.0</v>
      </c>
      <c r="E3786" s="193"/>
      <c r="F3786" s="195" t="s">
        <v>21679</v>
      </c>
      <c r="G3786" s="196">
        <v>1.183388157E9</v>
      </c>
      <c r="H3786" s="197">
        <v>6.82</v>
      </c>
      <c r="I3786" s="7" t="s">
        <v>16815</v>
      </c>
      <c r="J3786" s="7" t="s">
        <v>16838</v>
      </c>
      <c r="K3786" s="7" t="s">
        <v>17112</v>
      </c>
      <c r="L3786" s="198" t="s">
        <v>65</v>
      </c>
      <c r="M3786" s="194"/>
      <c r="N3786" s="194"/>
    </row>
    <row r="3787">
      <c r="A3787" s="193" t="s">
        <v>21680</v>
      </c>
      <c r="B3787" s="7" t="s">
        <v>187</v>
      </c>
      <c r="C3787" s="7" t="s">
        <v>16846</v>
      </c>
      <c r="D3787" s="194">
        <v>2019.0</v>
      </c>
      <c r="E3787" s="193"/>
      <c r="F3787" s="195" t="s">
        <v>21681</v>
      </c>
      <c r="G3787" s="196">
        <v>1.182442095E9</v>
      </c>
      <c r="H3787" s="197">
        <v>8.79</v>
      </c>
      <c r="I3787" s="7" t="s">
        <v>16815</v>
      </c>
      <c r="J3787" s="7" t="s">
        <v>187</v>
      </c>
      <c r="K3787" s="7" t="s">
        <v>16846</v>
      </c>
      <c r="L3787" s="198" t="s">
        <v>65</v>
      </c>
      <c r="M3787" s="194"/>
      <c r="N3787" s="194"/>
    </row>
    <row r="3788">
      <c r="A3788" s="193" t="s">
        <v>21682</v>
      </c>
      <c r="B3788" s="7" t="s">
        <v>187</v>
      </c>
      <c r="C3788" s="7" t="s">
        <v>16846</v>
      </c>
      <c r="D3788" s="194">
        <v>2013.0</v>
      </c>
      <c r="E3788" s="193"/>
      <c r="F3788" s="195" t="s">
        <v>21683</v>
      </c>
      <c r="G3788" s="196">
        <v>1.181541744E9</v>
      </c>
      <c r="H3788" s="197">
        <v>21.14</v>
      </c>
      <c r="I3788" s="7" t="s">
        <v>16815</v>
      </c>
      <c r="J3788" s="7" t="s">
        <v>187</v>
      </c>
      <c r="K3788" s="7" t="s">
        <v>16846</v>
      </c>
      <c r="L3788" s="198" t="s">
        <v>65</v>
      </c>
      <c r="M3788" s="194"/>
      <c r="N3788" s="194"/>
    </row>
    <row r="3789">
      <c r="A3789" s="193" t="s">
        <v>21684</v>
      </c>
      <c r="B3789" s="7" t="s">
        <v>16885</v>
      </c>
      <c r="C3789" s="7" t="s">
        <v>16886</v>
      </c>
      <c r="D3789" s="194">
        <v>2023.0</v>
      </c>
      <c r="E3789" s="193"/>
      <c r="F3789" s="195" t="s">
        <v>21685</v>
      </c>
      <c r="G3789" s="196">
        <v>1.17859566E9</v>
      </c>
      <c r="H3789" s="197">
        <v>7.37</v>
      </c>
      <c r="I3789" s="7" t="s">
        <v>17372</v>
      </c>
      <c r="J3789" s="7" t="s">
        <v>16885</v>
      </c>
      <c r="K3789" s="7" t="s">
        <v>16886</v>
      </c>
      <c r="L3789" s="198" t="s">
        <v>65</v>
      </c>
      <c r="M3789" s="194"/>
      <c r="N3789" s="194"/>
    </row>
    <row r="3790">
      <c r="A3790" s="193" t="s">
        <v>21684</v>
      </c>
      <c r="B3790" s="7" t="s">
        <v>16886</v>
      </c>
      <c r="C3790" s="7" t="s">
        <v>16885</v>
      </c>
      <c r="D3790" s="194">
        <v>2023.0</v>
      </c>
      <c r="E3790" s="193"/>
      <c r="F3790" s="195" t="s">
        <v>21685</v>
      </c>
      <c r="G3790" s="200">
        <v>1.17859566E9</v>
      </c>
      <c r="H3790" s="197">
        <v>7.37</v>
      </c>
      <c r="I3790" s="7" t="s">
        <v>16815</v>
      </c>
      <c r="J3790" s="7" t="s">
        <v>16886</v>
      </c>
      <c r="K3790" s="7" t="s">
        <v>16885</v>
      </c>
      <c r="L3790" s="201" t="s">
        <v>16835</v>
      </c>
      <c r="M3790" s="194"/>
      <c r="N3790" s="194"/>
    </row>
    <row r="3791">
      <c r="A3791" s="193" t="s">
        <v>21686</v>
      </c>
      <c r="B3791" s="7" t="s">
        <v>16926</v>
      </c>
      <c r="C3791" s="7" t="s">
        <v>16957</v>
      </c>
      <c r="D3791" s="199"/>
      <c r="E3791" s="193"/>
      <c r="F3791" s="195" t="s">
        <v>21687</v>
      </c>
      <c r="G3791" s="196">
        <v>1.178199083E9</v>
      </c>
      <c r="H3791" s="197">
        <v>23.44</v>
      </c>
      <c r="I3791" s="7" t="s">
        <v>16815</v>
      </c>
      <c r="J3791" s="7" t="s">
        <v>16926</v>
      </c>
      <c r="K3791" s="7" t="s">
        <v>16957</v>
      </c>
      <c r="L3791" s="198" t="s">
        <v>65</v>
      </c>
      <c r="M3791" s="199"/>
      <c r="N3791" s="199"/>
    </row>
    <row r="3792">
      <c r="A3792" s="193" t="s">
        <v>21688</v>
      </c>
      <c r="D3792" s="194">
        <v>2023.0</v>
      </c>
      <c r="E3792" s="193"/>
      <c r="F3792" s="195" t="s">
        <v>21689</v>
      </c>
      <c r="G3792" s="196">
        <v>1.17787441E9</v>
      </c>
      <c r="H3792" s="197">
        <v>20.24</v>
      </c>
      <c r="I3792" s="7" t="s">
        <v>16815</v>
      </c>
      <c r="L3792" s="198" t="s">
        <v>65</v>
      </c>
      <c r="M3792" s="194"/>
      <c r="N3792" s="194"/>
    </row>
    <row r="3793">
      <c r="A3793" s="193" t="s">
        <v>21690</v>
      </c>
      <c r="B3793" s="7" t="s">
        <v>175</v>
      </c>
      <c r="C3793" s="7" t="s">
        <v>17457</v>
      </c>
      <c r="D3793" s="199"/>
      <c r="E3793" s="193"/>
      <c r="F3793" s="195" t="s">
        <v>21691</v>
      </c>
      <c r="G3793" s="196">
        <v>1.177814713E9</v>
      </c>
      <c r="H3793" s="197">
        <v>9.34</v>
      </c>
      <c r="I3793" s="7" t="s">
        <v>16908</v>
      </c>
      <c r="J3793" s="7" t="s">
        <v>175</v>
      </c>
      <c r="K3793" s="7" t="s">
        <v>17457</v>
      </c>
      <c r="L3793" s="198" t="s">
        <v>65</v>
      </c>
      <c r="M3793" s="199"/>
      <c r="N3793" s="199"/>
    </row>
    <row r="3794">
      <c r="A3794" s="193" t="s">
        <v>21690</v>
      </c>
      <c r="B3794" s="7" t="s">
        <v>17457</v>
      </c>
      <c r="C3794" s="7" t="s">
        <v>175</v>
      </c>
      <c r="D3794" s="199"/>
      <c r="E3794" s="193"/>
      <c r="F3794" s="195" t="s">
        <v>21691</v>
      </c>
      <c r="G3794" s="200">
        <v>1.177814713E9</v>
      </c>
      <c r="H3794" s="197">
        <v>9.34</v>
      </c>
      <c r="I3794" s="7" t="s">
        <v>16815</v>
      </c>
      <c r="J3794" s="7" t="s">
        <v>17457</v>
      </c>
      <c r="K3794" s="7" t="s">
        <v>175</v>
      </c>
      <c r="L3794" s="201" t="s">
        <v>16835</v>
      </c>
      <c r="M3794" s="199"/>
      <c r="N3794" s="199"/>
    </row>
    <row r="3795">
      <c r="A3795" s="193" t="s">
        <v>21692</v>
      </c>
      <c r="B3795" s="7" t="s">
        <v>187</v>
      </c>
      <c r="C3795" s="7" t="s">
        <v>16846</v>
      </c>
      <c r="D3795" s="194">
        <v>2021.0</v>
      </c>
      <c r="E3795" s="193"/>
      <c r="F3795" s="195" t="s">
        <v>21693</v>
      </c>
      <c r="G3795" s="196">
        <v>1.177111965E9</v>
      </c>
      <c r="H3795" s="197">
        <v>5.46</v>
      </c>
      <c r="I3795" s="7" t="s">
        <v>16815</v>
      </c>
      <c r="J3795" s="7" t="s">
        <v>187</v>
      </c>
      <c r="K3795" s="7" t="s">
        <v>16846</v>
      </c>
      <c r="L3795" s="198" t="s">
        <v>65</v>
      </c>
      <c r="M3795" s="194"/>
      <c r="N3795" s="194"/>
    </row>
    <row r="3796">
      <c r="A3796" s="193" t="s">
        <v>21694</v>
      </c>
      <c r="B3796" s="7" t="s">
        <v>17127</v>
      </c>
      <c r="C3796" s="7" t="s">
        <v>16838</v>
      </c>
      <c r="D3796" s="194">
        <v>2022.0</v>
      </c>
      <c r="E3796" s="193"/>
      <c r="F3796" s="195" t="s">
        <v>21695</v>
      </c>
      <c r="G3796" s="200">
        <v>1.175358294E9</v>
      </c>
      <c r="H3796" s="197">
        <v>18.34</v>
      </c>
      <c r="I3796" s="7" t="s">
        <v>16815</v>
      </c>
      <c r="J3796" s="7" t="s">
        <v>17127</v>
      </c>
      <c r="K3796" s="7" t="s">
        <v>16838</v>
      </c>
      <c r="L3796" s="201" t="s">
        <v>16835</v>
      </c>
      <c r="M3796" s="194"/>
      <c r="N3796" s="194"/>
    </row>
    <row r="3797">
      <c r="A3797" s="193" t="s">
        <v>21694</v>
      </c>
      <c r="B3797" s="7" t="s">
        <v>16838</v>
      </c>
      <c r="C3797" s="7" t="s">
        <v>17127</v>
      </c>
      <c r="D3797" s="194">
        <v>2022.0</v>
      </c>
      <c r="E3797" s="193"/>
      <c r="F3797" s="195" t="s">
        <v>21695</v>
      </c>
      <c r="G3797" s="196">
        <v>1.175358294E9</v>
      </c>
      <c r="H3797" s="197">
        <v>18.34</v>
      </c>
      <c r="I3797" s="7" t="s">
        <v>16815</v>
      </c>
      <c r="J3797" s="7" t="s">
        <v>16838</v>
      </c>
      <c r="K3797" s="7" t="s">
        <v>17127</v>
      </c>
      <c r="L3797" s="198" t="s">
        <v>65</v>
      </c>
      <c r="M3797" s="194"/>
      <c r="N3797" s="194"/>
    </row>
    <row r="3798">
      <c r="A3798" s="193" t="s">
        <v>21696</v>
      </c>
      <c r="B3798" s="7" t="s">
        <v>19579</v>
      </c>
      <c r="C3798" s="7" t="s">
        <v>16838</v>
      </c>
      <c r="D3798" s="194">
        <v>2013.0</v>
      </c>
      <c r="E3798" s="193"/>
      <c r="F3798" s="195" t="s">
        <v>21697</v>
      </c>
      <c r="G3798" s="200">
        <v>1.17398349E9</v>
      </c>
      <c r="H3798" s="197">
        <v>11.51</v>
      </c>
      <c r="I3798" s="7" t="s">
        <v>16815</v>
      </c>
      <c r="J3798" s="7" t="s">
        <v>19579</v>
      </c>
      <c r="K3798" s="7" t="s">
        <v>16838</v>
      </c>
      <c r="L3798" s="201" t="s">
        <v>16835</v>
      </c>
      <c r="M3798" s="194"/>
      <c r="N3798" s="194"/>
    </row>
    <row r="3799">
      <c r="A3799" s="193" t="s">
        <v>21696</v>
      </c>
      <c r="B3799" s="7" t="s">
        <v>16838</v>
      </c>
      <c r="C3799" s="7" t="s">
        <v>19579</v>
      </c>
      <c r="D3799" s="194">
        <v>2013.0</v>
      </c>
      <c r="E3799" s="193"/>
      <c r="F3799" s="195" t="s">
        <v>21697</v>
      </c>
      <c r="G3799" s="196">
        <v>1.17398349E9</v>
      </c>
      <c r="H3799" s="197">
        <v>11.51</v>
      </c>
      <c r="I3799" s="7" t="s">
        <v>16815</v>
      </c>
      <c r="J3799" s="7" t="s">
        <v>16838</v>
      </c>
      <c r="K3799" s="7" t="s">
        <v>19579</v>
      </c>
      <c r="L3799" s="198" t="s">
        <v>65</v>
      </c>
      <c r="M3799" s="194"/>
      <c r="N3799" s="194"/>
    </row>
    <row r="3800">
      <c r="A3800" s="193" t="s">
        <v>21698</v>
      </c>
      <c r="B3800" s="7" t="s">
        <v>17111</v>
      </c>
      <c r="C3800" s="7" t="s">
        <v>17112</v>
      </c>
      <c r="D3800" s="194">
        <v>2009.0</v>
      </c>
      <c r="E3800" s="193"/>
      <c r="F3800" s="195" t="s">
        <v>21699</v>
      </c>
      <c r="G3800" s="200">
        <v>1.173755796E9</v>
      </c>
      <c r="H3800" s="197">
        <v>13.55</v>
      </c>
      <c r="I3800" s="7" t="s">
        <v>16815</v>
      </c>
      <c r="J3800" s="7" t="s">
        <v>17111</v>
      </c>
      <c r="K3800" s="7" t="s">
        <v>17112</v>
      </c>
      <c r="L3800" s="201" t="s">
        <v>16835</v>
      </c>
      <c r="M3800" s="194"/>
      <c r="N3800" s="194"/>
    </row>
    <row r="3801">
      <c r="A3801" s="193" t="s">
        <v>21698</v>
      </c>
      <c r="B3801" s="7" t="s">
        <v>17112</v>
      </c>
      <c r="C3801" s="7" t="s">
        <v>17111</v>
      </c>
      <c r="D3801" s="194">
        <v>2009.0</v>
      </c>
      <c r="E3801" s="193"/>
      <c r="F3801" s="195" t="s">
        <v>21699</v>
      </c>
      <c r="G3801" s="196">
        <v>1.173755796E9</v>
      </c>
      <c r="H3801" s="197">
        <v>13.55</v>
      </c>
      <c r="I3801" s="7" t="s">
        <v>16815</v>
      </c>
      <c r="J3801" s="7" t="s">
        <v>17112</v>
      </c>
      <c r="K3801" s="7" t="s">
        <v>17111</v>
      </c>
      <c r="L3801" s="198" t="s">
        <v>65</v>
      </c>
      <c r="M3801" s="194"/>
      <c r="N3801" s="194"/>
    </row>
    <row r="3802">
      <c r="A3802" s="193" t="s">
        <v>21700</v>
      </c>
      <c r="B3802" s="7" t="s">
        <v>169</v>
      </c>
      <c r="C3802" s="7" t="s">
        <v>17509</v>
      </c>
      <c r="D3802" s="199"/>
      <c r="E3802" s="193"/>
      <c r="F3802" s="195" t="s">
        <v>21701</v>
      </c>
      <c r="G3802" s="196">
        <v>1.169836032E9</v>
      </c>
      <c r="H3802" s="197">
        <v>46.65</v>
      </c>
      <c r="I3802" s="7" t="s">
        <v>16815</v>
      </c>
      <c r="J3802" s="7" t="s">
        <v>169</v>
      </c>
      <c r="K3802" s="7" t="s">
        <v>17509</v>
      </c>
      <c r="L3802" s="198" t="s">
        <v>65</v>
      </c>
      <c r="M3802" s="199"/>
      <c r="N3802" s="199"/>
    </row>
    <row r="3803">
      <c r="A3803" s="193" t="s">
        <v>21700</v>
      </c>
      <c r="B3803" s="7" t="s">
        <v>17509</v>
      </c>
      <c r="C3803" s="7" t="s">
        <v>169</v>
      </c>
      <c r="D3803" s="199"/>
      <c r="E3803" s="193"/>
      <c r="F3803" s="195" t="s">
        <v>21701</v>
      </c>
      <c r="G3803" s="200">
        <v>1.169836032E9</v>
      </c>
      <c r="H3803" s="197">
        <v>46.65</v>
      </c>
      <c r="I3803" s="7" t="s">
        <v>16815</v>
      </c>
      <c r="J3803" s="7" t="s">
        <v>17509</v>
      </c>
      <c r="K3803" s="7" t="s">
        <v>169</v>
      </c>
      <c r="L3803" s="201" t="s">
        <v>16835</v>
      </c>
      <c r="M3803" s="199"/>
      <c r="N3803" s="199"/>
    </row>
    <row r="3804">
      <c r="A3804" s="193" t="s">
        <v>21702</v>
      </c>
      <c r="B3804" s="7" t="s">
        <v>17111</v>
      </c>
      <c r="C3804" s="7" t="s">
        <v>17112</v>
      </c>
      <c r="D3804" s="199"/>
      <c r="E3804" s="193"/>
      <c r="F3804" s="195" t="s">
        <v>21703</v>
      </c>
      <c r="G3804" s="200">
        <v>1.169285398E9</v>
      </c>
      <c r="H3804" s="197">
        <v>16.12</v>
      </c>
      <c r="I3804" s="7" t="s">
        <v>16815</v>
      </c>
      <c r="J3804" s="7" t="s">
        <v>17111</v>
      </c>
      <c r="K3804" s="7" t="s">
        <v>17112</v>
      </c>
      <c r="L3804" s="201" t="s">
        <v>16835</v>
      </c>
      <c r="M3804" s="199"/>
      <c r="N3804" s="199"/>
    </row>
    <row r="3805">
      <c r="A3805" s="193" t="s">
        <v>21702</v>
      </c>
      <c r="B3805" s="7" t="s">
        <v>17112</v>
      </c>
      <c r="C3805" s="7" t="s">
        <v>17111</v>
      </c>
      <c r="D3805" s="199"/>
      <c r="E3805" s="193"/>
      <c r="F3805" s="195" t="s">
        <v>21703</v>
      </c>
      <c r="G3805" s="196">
        <v>1.169285398E9</v>
      </c>
      <c r="H3805" s="197">
        <v>16.12</v>
      </c>
      <c r="I3805" s="7" t="s">
        <v>16815</v>
      </c>
      <c r="J3805" s="7" t="s">
        <v>17112</v>
      </c>
      <c r="K3805" s="7" t="s">
        <v>17111</v>
      </c>
      <c r="L3805" s="198" t="s">
        <v>65</v>
      </c>
      <c r="M3805" s="199"/>
      <c r="N3805" s="199"/>
    </row>
    <row r="3806">
      <c r="A3806" s="193" t="s">
        <v>21704</v>
      </c>
      <c r="B3806" s="7" t="s">
        <v>187</v>
      </c>
      <c r="C3806" s="7" t="s">
        <v>16846</v>
      </c>
      <c r="D3806" s="194">
        <v>2020.0</v>
      </c>
      <c r="E3806" s="193"/>
      <c r="F3806" s="195" t="s">
        <v>21705</v>
      </c>
      <c r="G3806" s="196">
        <v>1.168997703E9</v>
      </c>
      <c r="H3806" s="197">
        <v>4.04</v>
      </c>
      <c r="I3806" s="7" t="s">
        <v>16815</v>
      </c>
      <c r="J3806" s="7" t="s">
        <v>187</v>
      </c>
      <c r="K3806" s="7" t="s">
        <v>16846</v>
      </c>
      <c r="L3806" s="198" t="s">
        <v>65</v>
      </c>
      <c r="M3806" s="194"/>
      <c r="N3806" s="194"/>
    </row>
    <row r="3807">
      <c r="A3807" s="193" t="s">
        <v>21706</v>
      </c>
      <c r="B3807" s="7" t="s">
        <v>16867</v>
      </c>
      <c r="C3807" s="7" t="s">
        <v>16838</v>
      </c>
      <c r="D3807" s="199"/>
      <c r="E3807" s="193"/>
      <c r="F3807" s="195" t="s">
        <v>21707</v>
      </c>
      <c r="G3807" s="200">
        <v>1.166442465E9</v>
      </c>
      <c r="H3807" s="197">
        <v>21.9</v>
      </c>
      <c r="I3807" s="7" t="s">
        <v>16815</v>
      </c>
      <c r="J3807" s="7" t="s">
        <v>16867</v>
      </c>
      <c r="K3807" s="7" t="s">
        <v>16838</v>
      </c>
      <c r="L3807" s="201" t="s">
        <v>16835</v>
      </c>
      <c r="M3807" s="199"/>
      <c r="N3807" s="199"/>
    </row>
    <row r="3808">
      <c r="A3808" s="193" t="s">
        <v>21706</v>
      </c>
      <c r="B3808" s="7" t="s">
        <v>16838</v>
      </c>
      <c r="C3808" s="7" t="s">
        <v>16867</v>
      </c>
      <c r="D3808" s="199"/>
      <c r="E3808" s="193"/>
      <c r="F3808" s="195" t="s">
        <v>21707</v>
      </c>
      <c r="G3808" s="196">
        <v>1.166442465E9</v>
      </c>
      <c r="H3808" s="197">
        <v>21.9</v>
      </c>
      <c r="I3808" s="7" t="s">
        <v>16815</v>
      </c>
      <c r="J3808" s="7" t="s">
        <v>16838</v>
      </c>
      <c r="K3808" s="7" t="s">
        <v>16867</v>
      </c>
      <c r="L3808" s="198" t="s">
        <v>65</v>
      </c>
      <c r="M3808" s="199"/>
      <c r="N3808" s="199"/>
    </row>
    <row r="3809">
      <c r="A3809" s="193" t="s">
        <v>21708</v>
      </c>
      <c r="B3809" s="7" t="s">
        <v>17112</v>
      </c>
      <c r="C3809" s="7" t="s">
        <v>17111</v>
      </c>
      <c r="D3809" s="199"/>
      <c r="E3809" s="193"/>
      <c r="F3809" s="195" t="s">
        <v>21709</v>
      </c>
      <c r="G3809" s="196">
        <v>1.165364787E9</v>
      </c>
      <c r="H3809" s="197">
        <v>7.03</v>
      </c>
      <c r="I3809" s="7" t="s">
        <v>16815</v>
      </c>
      <c r="J3809" s="7" t="s">
        <v>17112</v>
      </c>
      <c r="K3809" s="7" t="s">
        <v>17111</v>
      </c>
      <c r="L3809" s="198" t="s">
        <v>65</v>
      </c>
      <c r="M3809" s="199"/>
      <c r="N3809" s="199"/>
    </row>
    <row r="3810">
      <c r="A3810" s="193" t="s">
        <v>21710</v>
      </c>
      <c r="B3810" s="7" t="s">
        <v>175</v>
      </c>
      <c r="C3810" s="7" t="s">
        <v>17757</v>
      </c>
      <c r="D3810" s="194">
        <v>2010.0</v>
      </c>
      <c r="E3810" s="193"/>
      <c r="F3810" s="195" t="s">
        <v>21711</v>
      </c>
      <c r="G3810" s="196">
        <v>1.164307562E9</v>
      </c>
      <c r="H3810" s="197">
        <v>22.29</v>
      </c>
      <c r="I3810" s="7" t="s">
        <v>16826</v>
      </c>
      <c r="J3810" s="7" t="s">
        <v>175</v>
      </c>
      <c r="K3810" s="7" t="s">
        <v>17757</v>
      </c>
      <c r="L3810" s="198" t="s">
        <v>65</v>
      </c>
      <c r="M3810" s="194"/>
      <c r="N3810" s="194"/>
    </row>
    <row r="3811">
      <c r="A3811" s="193" t="s">
        <v>21710</v>
      </c>
      <c r="B3811" s="7" t="s">
        <v>17757</v>
      </c>
      <c r="C3811" s="7" t="s">
        <v>175</v>
      </c>
      <c r="D3811" s="194">
        <v>2010.0</v>
      </c>
      <c r="E3811" s="193"/>
      <c r="F3811" s="195" t="s">
        <v>21711</v>
      </c>
      <c r="G3811" s="200">
        <v>1.164307562E9</v>
      </c>
      <c r="H3811" s="197">
        <v>22.29</v>
      </c>
      <c r="I3811" s="7" t="s">
        <v>16815</v>
      </c>
      <c r="J3811" s="7" t="s">
        <v>17757</v>
      </c>
      <c r="K3811" s="7" t="s">
        <v>175</v>
      </c>
      <c r="L3811" s="201" t="s">
        <v>16835</v>
      </c>
      <c r="M3811" s="194"/>
      <c r="N3811" s="194"/>
    </row>
    <row r="3812">
      <c r="A3812" s="193" t="s">
        <v>21712</v>
      </c>
      <c r="B3812" s="7" t="s">
        <v>175</v>
      </c>
      <c r="C3812" s="7" t="s">
        <v>17452</v>
      </c>
      <c r="D3812" s="194">
        <v>2021.0</v>
      </c>
      <c r="E3812" s="193"/>
      <c r="F3812" s="195" t="s">
        <v>21713</v>
      </c>
      <c r="G3812" s="196">
        <v>1.163266552E9</v>
      </c>
      <c r="H3812" s="197">
        <v>11.77</v>
      </c>
      <c r="I3812" s="7" t="s">
        <v>16856</v>
      </c>
      <c r="J3812" s="7" t="s">
        <v>175</v>
      </c>
      <c r="K3812" s="7" t="s">
        <v>17452</v>
      </c>
      <c r="L3812" s="198" t="s">
        <v>65</v>
      </c>
      <c r="M3812" s="194"/>
      <c r="N3812" s="194"/>
    </row>
    <row r="3813">
      <c r="A3813" s="193" t="s">
        <v>21712</v>
      </c>
      <c r="B3813" s="7" t="s">
        <v>17452</v>
      </c>
      <c r="C3813" s="7" t="s">
        <v>175</v>
      </c>
      <c r="D3813" s="194">
        <v>2021.0</v>
      </c>
      <c r="E3813" s="193"/>
      <c r="F3813" s="195" t="s">
        <v>21713</v>
      </c>
      <c r="G3813" s="200">
        <v>1.163266552E9</v>
      </c>
      <c r="H3813" s="197">
        <v>11.77</v>
      </c>
      <c r="I3813" s="7" t="s">
        <v>16815</v>
      </c>
      <c r="J3813" s="7" t="s">
        <v>17452</v>
      </c>
      <c r="K3813" s="7" t="s">
        <v>175</v>
      </c>
      <c r="L3813" s="201" t="s">
        <v>16835</v>
      </c>
      <c r="M3813" s="194"/>
      <c r="N3813" s="194"/>
    </row>
    <row r="3814">
      <c r="A3814" s="193" t="s">
        <v>21714</v>
      </c>
      <c r="B3814" s="7" t="s">
        <v>175</v>
      </c>
      <c r="C3814" s="7" t="s">
        <v>17168</v>
      </c>
      <c r="D3814" s="194">
        <v>2018.0</v>
      </c>
      <c r="E3814" s="193"/>
      <c r="F3814" s="195" t="s">
        <v>21715</v>
      </c>
      <c r="G3814" s="196">
        <v>1.163006542E9</v>
      </c>
      <c r="H3814" s="197">
        <v>11.44</v>
      </c>
      <c r="I3814" s="7" t="s">
        <v>17270</v>
      </c>
      <c r="J3814" s="7" t="s">
        <v>175</v>
      </c>
      <c r="K3814" s="7" t="s">
        <v>17168</v>
      </c>
      <c r="L3814" s="198" t="s">
        <v>65</v>
      </c>
      <c r="M3814" s="194"/>
      <c r="N3814" s="194"/>
    </row>
    <row r="3815">
      <c r="A3815" s="193" t="s">
        <v>21716</v>
      </c>
      <c r="B3815" s="7" t="s">
        <v>17111</v>
      </c>
      <c r="C3815" s="7" t="s">
        <v>17112</v>
      </c>
      <c r="D3815" s="194">
        <v>2000.0</v>
      </c>
      <c r="E3815" s="193"/>
      <c r="F3815" s="195" t="s">
        <v>21717</v>
      </c>
      <c r="G3815" s="200">
        <v>1.159390426E9</v>
      </c>
      <c r="H3815" s="197">
        <v>13.2</v>
      </c>
      <c r="I3815" s="7" t="s">
        <v>16815</v>
      </c>
      <c r="J3815" s="7" t="s">
        <v>17111</v>
      </c>
      <c r="K3815" s="7" t="s">
        <v>17112</v>
      </c>
      <c r="L3815" s="201" t="s">
        <v>16835</v>
      </c>
      <c r="M3815" s="194"/>
      <c r="N3815" s="194"/>
    </row>
    <row r="3816">
      <c r="A3816" s="193" t="s">
        <v>21716</v>
      </c>
      <c r="B3816" s="7" t="s">
        <v>17112</v>
      </c>
      <c r="C3816" s="7" t="s">
        <v>17111</v>
      </c>
      <c r="D3816" s="194">
        <v>2000.0</v>
      </c>
      <c r="E3816" s="193"/>
      <c r="F3816" s="195" t="s">
        <v>21717</v>
      </c>
      <c r="G3816" s="196">
        <v>1.159390426E9</v>
      </c>
      <c r="H3816" s="197">
        <v>13.2</v>
      </c>
      <c r="I3816" s="7" t="s">
        <v>16815</v>
      </c>
      <c r="J3816" s="7" t="s">
        <v>17112</v>
      </c>
      <c r="K3816" s="7" t="s">
        <v>17111</v>
      </c>
      <c r="L3816" s="198" t="s">
        <v>65</v>
      </c>
      <c r="M3816" s="194"/>
      <c r="N3816" s="194"/>
    </row>
    <row r="3817">
      <c r="A3817" s="193" t="s">
        <v>21718</v>
      </c>
      <c r="B3817" s="7" t="s">
        <v>17509</v>
      </c>
      <c r="C3817" s="7" t="s">
        <v>187</v>
      </c>
      <c r="D3817" s="194">
        <v>2021.0</v>
      </c>
      <c r="E3817" s="193"/>
      <c r="F3817" s="195" t="s">
        <v>21719</v>
      </c>
      <c r="G3817" s="200">
        <v>1.158025615E9</v>
      </c>
      <c r="H3817" s="197">
        <v>30.81</v>
      </c>
      <c r="I3817" s="7" t="s">
        <v>16815</v>
      </c>
      <c r="J3817" s="7" t="s">
        <v>17509</v>
      </c>
      <c r="K3817" s="7" t="s">
        <v>187</v>
      </c>
      <c r="L3817" s="201" t="s">
        <v>16835</v>
      </c>
      <c r="M3817" s="194"/>
      <c r="N3817" s="194"/>
    </row>
    <row r="3818">
      <c r="A3818" s="193" t="s">
        <v>21718</v>
      </c>
      <c r="B3818" s="7" t="s">
        <v>187</v>
      </c>
      <c r="C3818" s="7" t="s">
        <v>17509</v>
      </c>
      <c r="D3818" s="194">
        <v>2021.0</v>
      </c>
      <c r="E3818" s="193"/>
      <c r="F3818" s="195" t="s">
        <v>21719</v>
      </c>
      <c r="G3818" s="196">
        <v>1.158025615E9</v>
      </c>
      <c r="H3818" s="197">
        <v>30.81</v>
      </c>
      <c r="I3818" s="7" t="s">
        <v>16815</v>
      </c>
      <c r="J3818" s="7" t="s">
        <v>187</v>
      </c>
      <c r="K3818" s="7" t="s">
        <v>17509</v>
      </c>
      <c r="L3818" s="198" t="s">
        <v>65</v>
      </c>
      <c r="M3818" s="194"/>
      <c r="N3818" s="194"/>
    </row>
    <row r="3819">
      <c r="A3819" s="193" t="s">
        <v>21720</v>
      </c>
      <c r="B3819" s="7" t="s">
        <v>16582</v>
      </c>
      <c r="C3819" s="7" t="s">
        <v>16828</v>
      </c>
      <c r="D3819" s="194">
        <v>2004.0</v>
      </c>
      <c r="E3819" s="193"/>
      <c r="F3819" s="195" t="s">
        <v>21721</v>
      </c>
      <c r="G3819" s="196">
        <v>1.155737483E9</v>
      </c>
      <c r="H3819" s="197">
        <v>25.78</v>
      </c>
      <c r="I3819" s="7" t="s">
        <v>16815</v>
      </c>
      <c r="J3819" s="7" t="s">
        <v>16582</v>
      </c>
      <c r="K3819" s="7" t="s">
        <v>16828</v>
      </c>
      <c r="L3819" s="198" t="s">
        <v>65</v>
      </c>
      <c r="M3819" s="194"/>
      <c r="N3819" s="194"/>
    </row>
    <row r="3820">
      <c r="A3820" s="193" t="s">
        <v>21722</v>
      </c>
      <c r="B3820" s="7" t="s">
        <v>16838</v>
      </c>
      <c r="C3820" s="7" t="s">
        <v>17127</v>
      </c>
      <c r="D3820" s="194">
        <v>2023.0</v>
      </c>
      <c r="E3820" s="193"/>
      <c r="F3820" s="195" t="s">
        <v>21723</v>
      </c>
      <c r="G3820" s="196">
        <v>1.149812403E9</v>
      </c>
      <c r="H3820" s="197">
        <v>30.52</v>
      </c>
      <c r="I3820" s="7" t="s">
        <v>16815</v>
      </c>
      <c r="J3820" s="7" t="s">
        <v>16838</v>
      </c>
      <c r="K3820" s="7" t="s">
        <v>17127</v>
      </c>
      <c r="L3820" s="198" t="s">
        <v>65</v>
      </c>
      <c r="M3820" s="194"/>
      <c r="N3820" s="194"/>
    </row>
    <row r="3821">
      <c r="A3821" s="193" t="s">
        <v>21724</v>
      </c>
      <c r="B3821" s="7" t="s">
        <v>16838</v>
      </c>
      <c r="C3821" s="7" t="s">
        <v>16867</v>
      </c>
      <c r="D3821" s="199"/>
      <c r="E3821" s="193"/>
      <c r="F3821" s="195" t="s">
        <v>21725</v>
      </c>
      <c r="G3821" s="196">
        <v>1.14792261E9</v>
      </c>
      <c r="H3821" s="197">
        <v>46.99</v>
      </c>
      <c r="I3821" s="7" t="s">
        <v>16815</v>
      </c>
      <c r="J3821" s="7" t="s">
        <v>16838</v>
      </c>
      <c r="K3821" s="7" t="s">
        <v>16867</v>
      </c>
      <c r="L3821" s="198" t="s">
        <v>65</v>
      </c>
      <c r="M3821" s="199"/>
      <c r="N3821" s="199"/>
    </row>
    <row r="3822">
      <c r="A3822" s="193" t="s">
        <v>21726</v>
      </c>
      <c r="B3822" s="7" t="s">
        <v>19579</v>
      </c>
      <c r="C3822" s="7" t="s">
        <v>16838</v>
      </c>
      <c r="D3822" s="194">
        <v>2022.0</v>
      </c>
      <c r="E3822" s="193"/>
      <c r="F3822" s="195" t="s">
        <v>21727</v>
      </c>
      <c r="G3822" s="200">
        <v>1.146497102E9</v>
      </c>
      <c r="H3822" s="197">
        <v>5.78</v>
      </c>
      <c r="I3822" s="7" t="s">
        <v>16815</v>
      </c>
      <c r="J3822" s="7" t="s">
        <v>19579</v>
      </c>
      <c r="K3822" s="7" t="s">
        <v>16838</v>
      </c>
      <c r="L3822" s="201" t="s">
        <v>16835</v>
      </c>
      <c r="M3822" s="194"/>
      <c r="N3822" s="194"/>
    </row>
    <row r="3823">
      <c r="A3823" s="193" t="s">
        <v>21726</v>
      </c>
      <c r="B3823" s="7" t="s">
        <v>16838</v>
      </c>
      <c r="C3823" s="7" t="s">
        <v>19579</v>
      </c>
      <c r="D3823" s="194">
        <v>2022.0</v>
      </c>
      <c r="E3823" s="193"/>
      <c r="F3823" s="195" t="s">
        <v>21727</v>
      </c>
      <c r="G3823" s="196">
        <v>1.146497102E9</v>
      </c>
      <c r="H3823" s="197">
        <v>5.78</v>
      </c>
      <c r="I3823" s="7" t="s">
        <v>16815</v>
      </c>
      <c r="J3823" s="7" t="s">
        <v>16838</v>
      </c>
      <c r="K3823" s="7" t="s">
        <v>19579</v>
      </c>
      <c r="L3823" s="198" t="s">
        <v>65</v>
      </c>
      <c r="M3823" s="194"/>
      <c r="N3823" s="194"/>
    </row>
    <row r="3824">
      <c r="A3824" s="193" t="s">
        <v>21728</v>
      </c>
      <c r="B3824" s="7" t="s">
        <v>17112</v>
      </c>
      <c r="C3824" s="7" t="s">
        <v>16838</v>
      </c>
      <c r="D3824" s="194">
        <v>2013.0</v>
      </c>
      <c r="E3824" s="193"/>
      <c r="F3824" s="195" t="s">
        <v>21729</v>
      </c>
      <c r="G3824" s="200">
        <v>1.141940928E9</v>
      </c>
      <c r="H3824" s="197">
        <v>29.75</v>
      </c>
      <c r="I3824" s="7" t="s">
        <v>16815</v>
      </c>
      <c r="J3824" s="7" t="s">
        <v>17112</v>
      </c>
      <c r="K3824" s="7" t="s">
        <v>16838</v>
      </c>
      <c r="L3824" s="201" t="s">
        <v>16835</v>
      </c>
      <c r="M3824" s="194"/>
      <c r="N3824" s="194"/>
    </row>
    <row r="3825">
      <c r="A3825" s="193" t="s">
        <v>21728</v>
      </c>
      <c r="B3825" s="7" t="s">
        <v>16838</v>
      </c>
      <c r="C3825" s="7" t="s">
        <v>17112</v>
      </c>
      <c r="D3825" s="194">
        <v>2013.0</v>
      </c>
      <c r="E3825" s="193"/>
      <c r="F3825" s="195" t="s">
        <v>21729</v>
      </c>
      <c r="G3825" s="196">
        <v>1.141940928E9</v>
      </c>
      <c r="H3825" s="197">
        <v>29.75</v>
      </c>
      <c r="I3825" s="7" t="s">
        <v>16815</v>
      </c>
      <c r="J3825" s="7" t="s">
        <v>16838</v>
      </c>
      <c r="K3825" s="7" t="s">
        <v>17112</v>
      </c>
      <c r="L3825" s="198" t="s">
        <v>65</v>
      </c>
      <c r="M3825" s="194"/>
      <c r="N3825" s="194"/>
    </row>
    <row r="3826">
      <c r="A3826" s="193" t="s">
        <v>21730</v>
      </c>
      <c r="B3826" s="7" t="s">
        <v>175</v>
      </c>
      <c r="C3826" s="7" t="s">
        <v>16878</v>
      </c>
      <c r="D3826" s="194">
        <v>2021.0</v>
      </c>
      <c r="E3826" s="193"/>
      <c r="F3826" s="195" t="s">
        <v>21731</v>
      </c>
      <c r="G3826" s="196">
        <v>1.13923551E9</v>
      </c>
      <c r="H3826" s="197">
        <v>1.74</v>
      </c>
      <c r="I3826" s="7" t="s">
        <v>168</v>
      </c>
      <c r="J3826" s="7" t="s">
        <v>175</v>
      </c>
      <c r="K3826" s="7" t="s">
        <v>16878</v>
      </c>
      <c r="L3826" s="198" t="s">
        <v>65</v>
      </c>
      <c r="M3826" s="194"/>
      <c r="N3826" s="194"/>
    </row>
    <row r="3827">
      <c r="A3827" s="193" t="s">
        <v>21732</v>
      </c>
      <c r="B3827" s="7" t="s">
        <v>16926</v>
      </c>
      <c r="C3827" s="7" t="s">
        <v>17321</v>
      </c>
      <c r="D3827" s="194">
        <v>1994.0</v>
      </c>
      <c r="E3827" s="193"/>
      <c r="F3827" s="195" t="s">
        <v>21733</v>
      </c>
      <c r="G3827" s="196">
        <v>1.135834439E9</v>
      </c>
      <c r="H3827" s="197">
        <v>37.28</v>
      </c>
      <c r="I3827" s="7" t="s">
        <v>16815</v>
      </c>
      <c r="J3827" s="7" t="s">
        <v>16926</v>
      </c>
      <c r="K3827" s="7" t="s">
        <v>17321</v>
      </c>
      <c r="L3827" s="198" t="s">
        <v>65</v>
      </c>
      <c r="M3827" s="194"/>
      <c r="N3827" s="194"/>
    </row>
    <row r="3828">
      <c r="A3828" s="193" t="s">
        <v>21734</v>
      </c>
      <c r="D3828" s="194">
        <v>2023.0</v>
      </c>
      <c r="E3828" s="193"/>
      <c r="F3828" s="195" t="s">
        <v>21735</v>
      </c>
      <c r="G3828" s="196">
        <v>1.135386909E9</v>
      </c>
      <c r="H3828" s="197">
        <v>24.32</v>
      </c>
      <c r="I3828" s="7" t="s">
        <v>16815</v>
      </c>
      <c r="L3828" s="198" t="s">
        <v>65</v>
      </c>
      <c r="M3828" s="194"/>
      <c r="N3828" s="194"/>
    </row>
    <row r="3829">
      <c r="A3829" s="193" t="s">
        <v>21734</v>
      </c>
      <c r="D3829" s="194">
        <v>2023.0</v>
      </c>
      <c r="E3829" s="193"/>
      <c r="F3829" s="195" t="s">
        <v>21735</v>
      </c>
      <c r="G3829" s="200">
        <v>1.135386909E9</v>
      </c>
      <c r="H3829" s="197">
        <v>24.32</v>
      </c>
      <c r="L3829" s="201" t="s">
        <v>16835</v>
      </c>
      <c r="M3829" s="194"/>
      <c r="N3829" s="194"/>
    </row>
    <row r="3830">
      <c r="A3830" s="193" t="s">
        <v>21736</v>
      </c>
      <c r="B3830" s="7" t="s">
        <v>16910</v>
      </c>
      <c r="C3830" s="7" t="s">
        <v>17662</v>
      </c>
      <c r="D3830" s="194">
        <v>1997.0</v>
      </c>
      <c r="E3830" s="193"/>
      <c r="F3830" s="195" t="s">
        <v>21737</v>
      </c>
      <c r="G3830" s="196">
        <v>1.134847299E9</v>
      </c>
      <c r="H3830" s="197">
        <v>23.58</v>
      </c>
      <c r="I3830" s="7" t="s">
        <v>127</v>
      </c>
      <c r="J3830" s="7" t="s">
        <v>16910</v>
      </c>
      <c r="K3830" s="7" t="s">
        <v>17662</v>
      </c>
      <c r="L3830" s="198" t="s">
        <v>65</v>
      </c>
      <c r="M3830" s="194"/>
      <c r="N3830" s="194"/>
    </row>
    <row r="3831">
      <c r="A3831" s="193" t="s">
        <v>21736</v>
      </c>
      <c r="B3831" s="7" t="s">
        <v>17662</v>
      </c>
      <c r="C3831" s="7" t="s">
        <v>16910</v>
      </c>
      <c r="D3831" s="194">
        <v>1997.0</v>
      </c>
      <c r="E3831" s="193"/>
      <c r="F3831" s="195" t="s">
        <v>21737</v>
      </c>
      <c r="G3831" s="200">
        <v>1.134847299E9</v>
      </c>
      <c r="H3831" s="197">
        <v>23.58</v>
      </c>
      <c r="I3831" s="7" t="s">
        <v>16815</v>
      </c>
      <c r="J3831" s="7" t="s">
        <v>17662</v>
      </c>
      <c r="K3831" s="7" t="s">
        <v>16910</v>
      </c>
      <c r="L3831" s="201" t="s">
        <v>16835</v>
      </c>
      <c r="M3831" s="194"/>
      <c r="N3831" s="194"/>
    </row>
    <row r="3832">
      <c r="A3832" s="193" t="s">
        <v>21738</v>
      </c>
      <c r="B3832" s="7" t="s">
        <v>187</v>
      </c>
      <c r="C3832" s="7" t="s">
        <v>16851</v>
      </c>
      <c r="D3832" s="194">
        <v>2021.0</v>
      </c>
      <c r="E3832" s="193"/>
      <c r="F3832" s="195" t="s">
        <v>21739</v>
      </c>
      <c r="G3832" s="196">
        <v>1.134598722E9</v>
      </c>
      <c r="H3832" s="197">
        <v>6.0</v>
      </c>
      <c r="I3832" s="7" t="s">
        <v>16815</v>
      </c>
      <c r="J3832" s="7" t="s">
        <v>187</v>
      </c>
      <c r="K3832" s="7" t="s">
        <v>16851</v>
      </c>
      <c r="L3832" s="198" t="s">
        <v>65</v>
      </c>
      <c r="M3832" s="194"/>
      <c r="N3832" s="194"/>
    </row>
    <row r="3833">
      <c r="A3833" s="193" t="s">
        <v>21740</v>
      </c>
      <c r="B3833" s="7" t="s">
        <v>169</v>
      </c>
      <c r="C3833" s="7" t="s">
        <v>16899</v>
      </c>
      <c r="D3833" s="199"/>
      <c r="E3833" s="193"/>
      <c r="F3833" s="195" t="s">
        <v>21741</v>
      </c>
      <c r="G3833" s="196">
        <v>1.131330176E9</v>
      </c>
      <c r="H3833" s="197">
        <v>24.15</v>
      </c>
      <c r="I3833" s="7" t="s">
        <v>16815</v>
      </c>
      <c r="J3833" s="7" t="s">
        <v>169</v>
      </c>
      <c r="K3833" s="7" t="s">
        <v>16899</v>
      </c>
      <c r="L3833" s="198" t="s">
        <v>65</v>
      </c>
      <c r="M3833" s="199"/>
      <c r="N3833" s="199"/>
    </row>
    <row r="3834">
      <c r="A3834" s="193" t="s">
        <v>21742</v>
      </c>
      <c r="B3834" s="7" t="s">
        <v>17112</v>
      </c>
      <c r="C3834" s="7" t="s">
        <v>17111</v>
      </c>
      <c r="D3834" s="199"/>
      <c r="E3834" s="193"/>
      <c r="F3834" s="195" t="s">
        <v>21743</v>
      </c>
      <c r="G3834" s="196">
        <v>1.131305763E9</v>
      </c>
      <c r="H3834" s="197">
        <v>4.74</v>
      </c>
      <c r="I3834" s="7" t="s">
        <v>16815</v>
      </c>
      <c r="J3834" s="7" t="s">
        <v>17112</v>
      </c>
      <c r="K3834" s="7" t="s">
        <v>17111</v>
      </c>
      <c r="L3834" s="198" t="s">
        <v>65</v>
      </c>
      <c r="M3834" s="199"/>
      <c r="N3834" s="199"/>
    </row>
    <row r="3835">
      <c r="A3835" s="193" t="s">
        <v>21744</v>
      </c>
      <c r="B3835" s="7" t="s">
        <v>17009</v>
      </c>
      <c r="C3835" s="7" t="s">
        <v>169</v>
      </c>
      <c r="D3835" s="194">
        <v>1994.0</v>
      </c>
      <c r="E3835" s="193"/>
      <c r="F3835" s="195" t="s">
        <v>21745</v>
      </c>
      <c r="G3835" s="200">
        <v>1.131207728E9</v>
      </c>
      <c r="H3835" s="197">
        <v>36.34</v>
      </c>
      <c r="I3835" s="7" t="s">
        <v>16815</v>
      </c>
      <c r="J3835" s="7" t="s">
        <v>17009</v>
      </c>
      <c r="K3835" s="7" t="s">
        <v>169</v>
      </c>
      <c r="L3835" s="201" t="s">
        <v>16835</v>
      </c>
      <c r="M3835" s="194"/>
      <c r="N3835" s="194"/>
    </row>
    <row r="3836">
      <c r="A3836" s="193" t="s">
        <v>21744</v>
      </c>
      <c r="B3836" s="7" t="s">
        <v>169</v>
      </c>
      <c r="C3836" s="7" t="s">
        <v>17009</v>
      </c>
      <c r="D3836" s="194">
        <v>1994.0</v>
      </c>
      <c r="E3836" s="193"/>
      <c r="F3836" s="195" t="s">
        <v>21745</v>
      </c>
      <c r="G3836" s="196">
        <v>1.131207728E9</v>
      </c>
      <c r="H3836" s="197">
        <v>36.34</v>
      </c>
      <c r="I3836" s="7" t="s">
        <v>16815</v>
      </c>
      <c r="J3836" s="7" t="s">
        <v>169</v>
      </c>
      <c r="K3836" s="7" t="s">
        <v>17009</v>
      </c>
      <c r="L3836" s="198" t="s">
        <v>65</v>
      </c>
      <c r="M3836" s="194"/>
      <c r="N3836" s="194"/>
    </row>
    <row r="3837">
      <c r="A3837" s="193" t="s">
        <v>21746</v>
      </c>
      <c r="D3837" s="194">
        <v>2022.0</v>
      </c>
      <c r="E3837" s="193"/>
      <c r="F3837" s="195" t="s">
        <v>21747</v>
      </c>
      <c r="G3837" s="196">
        <v>1.130811568E9</v>
      </c>
      <c r="H3837" s="197">
        <v>15.5</v>
      </c>
      <c r="I3837" s="7" t="s">
        <v>16815</v>
      </c>
      <c r="L3837" s="198" t="s">
        <v>65</v>
      </c>
      <c r="M3837" s="194"/>
      <c r="N3837" s="194"/>
    </row>
    <row r="3838">
      <c r="A3838" s="193" t="s">
        <v>21746</v>
      </c>
      <c r="D3838" s="194">
        <v>2022.0</v>
      </c>
      <c r="E3838" s="193"/>
      <c r="F3838" s="195" t="s">
        <v>21747</v>
      </c>
      <c r="G3838" s="200">
        <v>1.130811568E9</v>
      </c>
      <c r="H3838" s="197">
        <v>15.5</v>
      </c>
      <c r="I3838" s="193" t="s">
        <v>16815</v>
      </c>
      <c r="L3838" s="201" t="s">
        <v>16835</v>
      </c>
      <c r="M3838" s="194"/>
      <c r="N3838" s="194"/>
    </row>
    <row r="3839">
      <c r="A3839" s="193" t="s">
        <v>21748</v>
      </c>
      <c r="B3839" s="7" t="s">
        <v>16582</v>
      </c>
      <c r="C3839" s="7" t="s">
        <v>17435</v>
      </c>
      <c r="D3839" s="194">
        <v>2021.0</v>
      </c>
      <c r="E3839" s="193"/>
      <c r="F3839" s="195" t="s">
        <v>21749</v>
      </c>
      <c r="G3839" s="196">
        <v>1.130787035E9</v>
      </c>
      <c r="H3839" s="197">
        <v>12.66</v>
      </c>
      <c r="I3839" s="7" t="s">
        <v>16815</v>
      </c>
      <c r="J3839" s="7" t="s">
        <v>16582</v>
      </c>
      <c r="K3839" s="7" t="s">
        <v>17435</v>
      </c>
      <c r="L3839" s="198" t="s">
        <v>65</v>
      </c>
      <c r="M3839" s="194"/>
      <c r="N3839" s="194"/>
    </row>
    <row r="3840">
      <c r="A3840" s="193" t="s">
        <v>21750</v>
      </c>
      <c r="B3840" s="7" t="s">
        <v>175</v>
      </c>
      <c r="C3840" s="7" t="s">
        <v>17218</v>
      </c>
      <c r="D3840" s="199"/>
      <c r="E3840" s="193"/>
      <c r="F3840" s="195" t="s">
        <v>21751</v>
      </c>
      <c r="G3840" s="196">
        <v>1.130489206E9</v>
      </c>
      <c r="H3840" s="197">
        <v>17.21</v>
      </c>
      <c r="I3840" s="7" t="s">
        <v>168</v>
      </c>
      <c r="J3840" s="7" t="s">
        <v>175</v>
      </c>
      <c r="K3840" s="7" t="s">
        <v>17218</v>
      </c>
      <c r="L3840" s="198" t="s">
        <v>65</v>
      </c>
      <c r="M3840" s="199"/>
      <c r="N3840" s="199"/>
    </row>
    <row r="3841">
      <c r="A3841" s="193" t="s">
        <v>21752</v>
      </c>
      <c r="B3841" s="7" t="s">
        <v>17112</v>
      </c>
      <c r="C3841" s="7" t="s">
        <v>17111</v>
      </c>
      <c r="D3841" s="194">
        <v>2019.0</v>
      </c>
      <c r="E3841" s="193"/>
      <c r="F3841" s="195" t="s">
        <v>21753</v>
      </c>
      <c r="G3841" s="196">
        <v>1.126904107E9</v>
      </c>
      <c r="H3841" s="197">
        <v>24.851</v>
      </c>
      <c r="I3841" s="7" t="s">
        <v>16815</v>
      </c>
      <c r="J3841" s="7" t="s">
        <v>17112</v>
      </c>
      <c r="K3841" s="7" t="s">
        <v>17111</v>
      </c>
      <c r="L3841" s="198" t="s">
        <v>65</v>
      </c>
      <c r="M3841" s="194"/>
      <c r="N3841" s="194"/>
    </row>
    <row r="3842">
      <c r="A3842" s="193" t="s">
        <v>21752</v>
      </c>
      <c r="B3842" s="202" t="s">
        <v>17111</v>
      </c>
      <c r="C3842" s="193" t="s">
        <v>17112</v>
      </c>
      <c r="D3842" s="193">
        <v>2019.0</v>
      </c>
      <c r="E3842" s="193"/>
      <c r="F3842" s="203" t="s">
        <v>21753</v>
      </c>
      <c r="G3842" s="200">
        <v>1.126904107E9</v>
      </c>
      <c r="H3842" s="205">
        <v>3.58</v>
      </c>
      <c r="J3842" s="202" t="s">
        <v>17111</v>
      </c>
      <c r="K3842" s="193" t="s">
        <v>17112</v>
      </c>
      <c r="L3842" s="193" t="s">
        <v>17471</v>
      </c>
      <c r="M3842" s="193"/>
      <c r="N3842" s="193"/>
    </row>
    <row r="3843">
      <c r="A3843" s="193" t="s">
        <v>21754</v>
      </c>
      <c r="B3843" s="7" t="s">
        <v>169</v>
      </c>
      <c r="C3843" s="7" t="s">
        <v>17702</v>
      </c>
      <c r="D3843" s="199"/>
      <c r="E3843" s="193"/>
      <c r="F3843" s="195" t="s">
        <v>21755</v>
      </c>
      <c r="G3843" s="196">
        <v>1.126086863E9</v>
      </c>
      <c r="H3843" s="197">
        <v>197.56</v>
      </c>
      <c r="I3843" s="7" t="s">
        <v>16815</v>
      </c>
      <c r="J3843" s="7" t="s">
        <v>169</v>
      </c>
      <c r="K3843" s="7" t="s">
        <v>17702</v>
      </c>
      <c r="L3843" s="198" t="s">
        <v>65</v>
      </c>
      <c r="M3843" s="199"/>
      <c r="N3843" s="199"/>
    </row>
    <row r="3844">
      <c r="A3844" s="193" t="s">
        <v>21756</v>
      </c>
      <c r="B3844" s="7" t="s">
        <v>16838</v>
      </c>
      <c r="C3844" s="7" t="s">
        <v>17127</v>
      </c>
      <c r="D3844" s="194">
        <v>2002.0</v>
      </c>
      <c r="E3844" s="193"/>
      <c r="F3844" s="195" t="s">
        <v>21757</v>
      </c>
      <c r="G3844" s="196">
        <v>1.125220365E9</v>
      </c>
      <c r="H3844" s="197">
        <v>76.07</v>
      </c>
      <c r="I3844" s="7" t="s">
        <v>16815</v>
      </c>
      <c r="J3844" s="7" t="s">
        <v>16838</v>
      </c>
      <c r="K3844" s="7" t="s">
        <v>17127</v>
      </c>
      <c r="L3844" s="198" t="s">
        <v>65</v>
      </c>
      <c r="M3844" s="194"/>
      <c r="N3844" s="194"/>
    </row>
    <row r="3845">
      <c r="A3845" s="193" t="s">
        <v>21758</v>
      </c>
      <c r="B3845" s="7" t="s">
        <v>16838</v>
      </c>
      <c r="C3845" s="7" t="s">
        <v>16867</v>
      </c>
      <c r="D3845" s="199"/>
      <c r="E3845" s="193"/>
      <c r="F3845" s="195" t="s">
        <v>21759</v>
      </c>
      <c r="G3845" s="196">
        <v>1.121135037E9</v>
      </c>
      <c r="H3845" s="197">
        <v>33.7</v>
      </c>
      <c r="I3845" s="7" t="s">
        <v>16815</v>
      </c>
      <c r="J3845" s="7" t="s">
        <v>16838</v>
      </c>
      <c r="K3845" s="7" t="s">
        <v>16867</v>
      </c>
      <c r="L3845" s="198" t="s">
        <v>65</v>
      </c>
      <c r="M3845" s="199"/>
      <c r="N3845" s="199"/>
    </row>
    <row r="3846">
      <c r="A3846" s="193" t="s">
        <v>21760</v>
      </c>
      <c r="B3846" s="7" t="s">
        <v>17111</v>
      </c>
      <c r="C3846" s="7" t="s">
        <v>17112</v>
      </c>
      <c r="D3846" s="194">
        <v>2011.0</v>
      </c>
      <c r="E3846" s="193"/>
      <c r="F3846" s="195" t="s">
        <v>21761</v>
      </c>
      <c r="G3846" s="200">
        <v>1.117333192E9</v>
      </c>
      <c r="H3846" s="197">
        <v>18.4</v>
      </c>
      <c r="I3846" s="7" t="s">
        <v>16815</v>
      </c>
      <c r="J3846" s="7" t="s">
        <v>17111</v>
      </c>
      <c r="K3846" s="7" t="s">
        <v>17112</v>
      </c>
      <c r="L3846" s="201" t="s">
        <v>16835</v>
      </c>
      <c r="M3846" s="194"/>
      <c r="N3846" s="194"/>
    </row>
    <row r="3847">
      <c r="A3847" s="193" t="s">
        <v>21760</v>
      </c>
      <c r="B3847" s="7" t="s">
        <v>17112</v>
      </c>
      <c r="C3847" s="7" t="s">
        <v>17111</v>
      </c>
      <c r="D3847" s="194">
        <v>2011.0</v>
      </c>
      <c r="E3847" s="193"/>
      <c r="F3847" s="195" t="s">
        <v>21761</v>
      </c>
      <c r="G3847" s="196">
        <v>1.117333192E9</v>
      </c>
      <c r="H3847" s="197">
        <v>18.4</v>
      </c>
      <c r="I3847" s="7" t="s">
        <v>16815</v>
      </c>
      <c r="J3847" s="7" t="s">
        <v>17112</v>
      </c>
      <c r="K3847" s="7" t="s">
        <v>17111</v>
      </c>
      <c r="L3847" s="198" t="s">
        <v>65</v>
      </c>
      <c r="M3847" s="194"/>
      <c r="N3847" s="194"/>
    </row>
    <row r="3848">
      <c r="A3848" s="193" t="s">
        <v>21762</v>
      </c>
      <c r="B3848" s="7" t="s">
        <v>158</v>
      </c>
      <c r="C3848" s="7" t="s">
        <v>16864</v>
      </c>
      <c r="D3848" s="199"/>
      <c r="E3848" s="193"/>
      <c r="F3848" s="195" t="s">
        <v>21763</v>
      </c>
      <c r="G3848" s="196">
        <v>1.11585162E9</v>
      </c>
      <c r="H3848" s="197">
        <v>28.19</v>
      </c>
      <c r="I3848" s="7" t="s">
        <v>16897</v>
      </c>
      <c r="J3848" s="7" t="s">
        <v>158</v>
      </c>
      <c r="K3848" s="7" t="s">
        <v>16864</v>
      </c>
      <c r="L3848" s="198" t="s">
        <v>65</v>
      </c>
      <c r="M3848" s="199"/>
      <c r="N3848" s="199"/>
    </row>
    <row r="3849">
      <c r="A3849" s="193" t="s">
        <v>21764</v>
      </c>
      <c r="B3849" s="7" t="s">
        <v>175</v>
      </c>
      <c r="C3849" s="7" t="s">
        <v>17168</v>
      </c>
      <c r="D3849" s="199"/>
      <c r="E3849" s="193"/>
      <c r="F3849" s="195" t="s">
        <v>21765</v>
      </c>
      <c r="G3849" s="196">
        <v>1.114005799E9</v>
      </c>
      <c r="H3849" s="197">
        <v>11.15</v>
      </c>
      <c r="I3849" s="7" t="s">
        <v>168</v>
      </c>
      <c r="J3849" s="7" t="s">
        <v>175</v>
      </c>
      <c r="K3849" s="7" t="s">
        <v>17168</v>
      </c>
      <c r="L3849" s="198" t="s">
        <v>65</v>
      </c>
      <c r="M3849" s="199"/>
      <c r="N3849" s="199"/>
    </row>
    <row r="3850">
      <c r="A3850" s="193" t="s">
        <v>21766</v>
      </c>
      <c r="B3850" s="7" t="s">
        <v>16910</v>
      </c>
      <c r="C3850" s="7" t="s">
        <v>17662</v>
      </c>
      <c r="D3850" s="194">
        <v>2011.0</v>
      </c>
      <c r="E3850" s="193"/>
      <c r="F3850" s="195" t="s">
        <v>21767</v>
      </c>
      <c r="G3850" s="196">
        <v>1.112205721E9</v>
      </c>
      <c r="H3850" s="197">
        <v>10.28</v>
      </c>
      <c r="I3850" s="7" t="s">
        <v>16856</v>
      </c>
      <c r="J3850" s="7" t="s">
        <v>16910</v>
      </c>
      <c r="K3850" s="7" t="s">
        <v>17662</v>
      </c>
      <c r="L3850" s="198" t="s">
        <v>65</v>
      </c>
      <c r="M3850" s="194"/>
      <c r="N3850" s="194"/>
    </row>
    <row r="3851">
      <c r="A3851" s="193" t="s">
        <v>21766</v>
      </c>
      <c r="B3851" s="7" t="s">
        <v>17662</v>
      </c>
      <c r="C3851" s="7" t="s">
        <v>16910</v>
      </c>
      <c r="D3851" s="194">
        <v>2011.0</v>
      </c>
      <c r="E3851" s="193"/>
      <c r="F3851" s="195" t="s">
        <v>21767</v>
      </c>
      <c r="G3851" s="200">
        <v>1.112205721E9</v>
      </c>
      <c r="H3851" s="197">
        <v>10.28</v>
      </c>
      <c r="I3851" s="7" t="s">
        <v>16815</v>
      </c>
      <c r="J3851" s="7" t="s">
        <v>17662</v>
      </c>
      <c r="K3851" s="7" t="s">
        <v>16910</v>
      </c>
      <c r="L3851" s="201" t="s">
        <v>16835</v>
      </c>
      <c r="M3851" s="194"/>
      <c r="N3851" s="194"/>
    </row>
    <row r="3852">
      <c r="A3852" s="193" t="s">
        <v>21768</v>
      </c>
      <c r="B3852" s="7" t="s">
        <v>187</v>
      </c>
      <c r="C3852" s="7" t="s">
        <v>16846</v>
      </c>
      <c r="D3852" s="199"/>
      <c r="E3852" s="193"/>
      <c r="F3852" s="195" t="s">
        <v>21769</v>
      </c>
      <c r="G3852" s="196">
        <v>1.111527189E9</v>
      </c>
      <c r="H3852" s="197">
        <v>7.74</v>
      </c>
      <c r="I3852" s="7" t="s">
        <v>16815</v>
      </c>
      <c r="J3852" s="7" t="s">
        <v>187</v>
      </c>
      <c r="K3852" s="7" t="s">
        <v>16846</v>
      </c>
      <c r="L3852" s="198" t="s">
        <v>65</v>
      </c>
      <c r="M3852" s="199"/>
      <c r="N3852" s="199"/>
    </row>
    <row r="3853">
      <c r="A3853" s="193" t="s">
        <v>21770</v>
      </c>
      <c r="B3853" s="7" t="s">
        <v>16919</v>
      </c>
      <c r="C3853" s="7" t="s">
        <v>17048</v>
      </c>
      <c r="D3853" s="194">
        <v>2015.0</v>
      </c>
      <c r="E3853" s="193"/>
      <c r="F3853" s="195" t="s">
        <v>21771</v>
      </c>
      <c r="G3853" s="196">
        <v>1.1112118E9</v>
      </c>
      <c r="H3853" s="197">
        <v>20.62</v>
      </c>
      <c r="I3853" s="7" t="s">
        <v>16815</v>
      </c>
      <c r="J3853" s="7" t="s">
        <v>16919</v>
      </c>
      <c r="K3853" s="7" t="s">
        <v>17048</v>
      </c>
      <c r="L3853" s="198" t="s">
        <v>65</v>
      </c>
      <c r="M3853" s="194"/>
      <c r="N3853" s="194"/>
    </row>
    <row r="3854">
      <c r="A3854" s="193" t="s">
        <v>21770</v>
      </c>
      <c r="B3854" s="7" t="s">
        <v>17048</v>
      </c>
      <c r="C3854" s="7" t="s">
        <v>16919</v>
      </c>
      <c r="D3854" s="194">
        <v>2015.0</v>
      </c>
      <c r="E3854" s="193"/>
      <c r="F3854" s="195" t="s">
        <v>21771</v>
      </c>
      <c r="G3854" s="200">
        <v>1.1112118E9</v>
      </c>
      <c r="H3854" s="197">
        <v>20.62</v>
      </c>
      <c r="I3854" s="7" t="s">
        <v>16815</v>
      </c>
      <c r="J3854" s="7" t="s">
        <v>17048</v>
      </c>
      <c r="K3854" s="7" t="s">
        <v>16919</v>
      </c>
      <c r="L3854" s="201" t="s">
        <v>16835</v>
      </c>
      <c r="M3854" s="194"/>
      <c r="N3854" s="194"/>
    </row>
    <row r="3855">
      <c r="A3855" s="193" t="s">
        <v>21772</v>
      </c>
      <c r="B3855" s="7" t="s">
        <v>187</v>
      </c>
      <c r="C3855" s="7" t="s">
        <v>16846</v>
      </c>
      <c r="D3855" s="199"/>
      <c r="E3855" s="193"/>
      <c r="F3855" s="195" t="s">
        <v>21773</v>
      </c>
      <c r="G3855" s="196">
        <v>1.111162701E9</v>
      </c>
      <c r="H3855" s="197">
        <v>48.57</v>
      </c>
      <c r="I3855" s="7" t="s">
        <v>16815</v>
      </c>
      <c r="J3855" s="7" t="s">
        <v>187</v>
      </c>
      <c r="K3855" s="7" t="s">
        <v>16846</v>
      </c>
      <c r="L3855" s="198" t="s">
        <v>65</v>
      </c>
      <c r="M3855" s="199"/>
      <c r="N3855" s="199"/>
    </row>
    <row r="3856">
      <c r="A3856" s="193" t="s">
        <v>21774</v>
      </c>
      <c r="B3856" s="7" t="s">
        <v>16582</v>
      </c>
      <c r="C3856" s="7" t="s">
        <v>16930</v>
      </c>
      <c r="D3856" s="194">
        <v>2018.0</v>
      </c>
      <c r="E3856" s="193"/>
      <c r="F3856" s="195" t="s">
        <v>21775</v>
      </c>
      <c r="G3856" s="196">
        <v>1.108545E9</v>
      </c>
      <c r="H3856" s="197">
        <v>7.89</v>
      </c>
      <c r="I3856" s="7" t="s">
        <v>16815</v>
      </c>
      <c r="J3856" s="7" t="s">
        <v>16582</v>
      </c>
      <c r="K3856" s="7" t="s">
        <v>16930</v>
      </c>
      <c r="L3856" s="198" t="s">
        <v>65</v>
      </c>
      <c r="M3856" s="194"/>
      <c r="N3856" s="194"/>
    </row>
    <row r="3857">
      <c r="A3857" s="193" t="s">
        <v>21774</v>
      </c>
      <c r="B3857" s="7" t="s">
        <v>16930</v>
      </c>
      <c r="C3857" s="7" t="s">
        <v>16582</v>
      </c>
      <c r="D3857" s="194">
        <v>2018.0</v>
      </c>
      <c r="E3857" s="193"/>
      <c r="F3857" s="195" t="s">
        <v>21775</v>
      </c>
      <c r="G3857" s="200">
        <v>1.108545E9</v>
      </c>
      <c r="H3857" s="197">
        <v>7.89</v>
      </c>
      <c r="I3857" s="7" t="s">
        <v>16815</v>
      </c>
      <c r="J3857" s="7" t="s">
        <v>16930</v>
      </c>
      <c r="K3857" s="7" t="s">
        <v>16582</v>
      </c>
      <c r="L3857" s="201" t="s">
        <v>16835</v>
      </c>
      <c r="M3857" s="194"/>
      <c r="N3857" s="194"/>
    </row>
    <row r="3858">
      <c r="A3858" s="193" t="s">
        <v>21776</v>
      </c>
      <c r="B3858" s="7" t="s">
        <v>16582</v>
      </c>
      <c r="C3858" s="7" t="s">
        <v>16817</v>
      </c>
      <c r="D3858" s="194">
        <v>2001.0</v>
      </c>
      <c r="E3858" s="193"/>
      <c r="F3858" s="195" t="s">
        <v>21777</v>
      </c>
      <c r="G3858" s="196">
        <v>1.106902389E9</v>
      </c>
      <c r="H3858" s="197">
        <v>28.93</v>
      </c>
      <c r="I3858" s="7" t="s">
        <v>16815</v>
      </c>
      <c r="J3858" s="7" t="s">
        <v>16582</v>
      </c>
      <c r="K3858" s="7" t="s">
        <v>16817</v>
      </c>
      <c r="L3858" s="198" t="s">
        <v>65</v>
      </c>
      <c r="M3858" s="194"/>
      <c r="N3858" s="194"/>
    </row>
    <row r="3859">
      <c r="A3859" s="193" t="s">
        <v>21778</v>
      </c>
      <c r="B3859" s="7" t="s">
        <v>175</v>
      </c>
      <c r="C3859" s="7" t="s">
        <v>17168</v>
      </c>
      <c r="D3859" s="194">
        <v>2018.0</v>
      </c>
      <c r="E3859" s="193"/>
      <c r="F3859" s="195" t="s">
        <v>21779</v>
      </c>
      <c r="G3859" s="196">
        <v>1.106259604E9</v>
      </c>
      <c r="H3859" s="197">
        <v>5.25</v>
      </c>
      <c r="I3859" s="7" t="s">
        <v>168</v>
      </c>
      <c r="J3859" s="7" t="s">
        <v>175</v>
      </c>
      <c r="K3859" s="7" t="s">
        <v>17168</v>
      </c>
      <c r="L3859" s="198" t="s">
        <v>65</v>
      </c>
      <c r="M3859" s="194"/>
      <c r="N3859" s="194"/>
    </row>
    <row r="3860">
      <c r="A3860" s="193" t="s">
        <v>21778</v>
      </c>
      <c r="B3860" s="7" t="s">
        <v>17168</v>
      </c>
      <c r="C3860" s="7" t="s">
        <v>175</v>
      </c>
      <c r="D3860" s="194">
        <v>2018.0</v>
      </c>
      <c r="E3860" s="193"/>
      <c r="F3860" s="195" t="s">
        <v>21780</v>
      </c>
      <c r="G3860" s="200">
        <v>1.106259604E9</v>
      </c>
      <c r="H3860" s="197">
        <v>5.25</v>
      </c>
      <c r="I3860" s="7" t="s">
        <v>16815</v>
      </c>
      <c r="J3860" s="7" t="s">
        <v>17168</v>
      </c>
      <c r="K3860" s="7" t="s">
        <v>175</v>
      </c>
      <c r="L3860" s="201" t="s">
        <v>16835</v>
      </c>
      <c r="M3860" s="194"/>
      <c r="N3860" s="194"/>
    </row>
    <row r="3861">
      <c r="A3861" s="193" t="s">
        <v>21781</v>
      </c>
      <c r="B3861" s="7" t="s">
        <v>18679</v>
      </c>
      <c r="C3861" s="7" t="s">
        <v>16838</v>
      </c>
      <c r="D3861" s="194">
        <v>2004.0</v>
      </c>
      <c r="E3861" s="193"/>
      <c r="F3861" s="195" t="s">
        <v>21782</v>
      </c>
      <c r="G3861" s="200">
        <v>1.105388024E9</v>
      </c>
      <c r="H3861" s="197">
        <v>8.12</v>
      </c>
      <c r="I3861" s="7" t="s">
        <v>16815</v>
      </c>
      <c r="J3861" s="7" t="s">
        <v>18679</v>
      </c>
      <c r="K3861" s="7" t="s">
        <v>16838</v>
      </c>
      <c r="L3861" s="201" t="s">
        <v>16835</v>
      </c>
      <c r="M3861" s="194"/>
      <c r="N3861" s="194"/>
    </row>
    <row r="3862">
      <c r="A3862" s="193" t="s">
        <v>21781</v>
      </c>
      <c r="B3862" s="7" t="s">
        <v>16838</v>
      </c>
      <c r="C3862" s="7" t="s">
        <v>18679</v>
      </c>
      <c r="D3862" s="194">
        <v>2004.0</v>
      </c>
      <c r="E3862" s="193"/>
      <c r="F3862" s="195" t="s">
        <v>21782</v>
      </c>
      <c r="G3862" s="196">
        <v>1.105388024E9</v>
      </c>
      <c r="H3862" s="197">
        <v>8.12</v>
      </c>
      <c r="I3862" s="7" t="s">
        <v>16815</v>
      </c>
      <c r="J3862" s="7" t="s">
        <v>16838</v>
      </c>
      <c r="K3862" s="7" t="s">
        <v>18679</v>
      </c>
      <c r="L3862" s="198" t="s">
        <v>65</v>
      </c>
      <c r="M3862" s="194"/>
      <c r="N3862" s="194"/>
    </row>
    <row r="3863">
      <c r="A3863" s="193" t="s">
        <v>21783</v>
      </c>
      <c r="B3863" s="7" t="s">
        <v>16838</v>
      </c>
      <c r="C3863" s="7" t="s">
        <v>18679</v>
      </c>
      <c r="D3863" s="199"/>
      <c r="E3863" s="193"/>
      <c r="F3863" s="195" t="s">
        <v>21784</v>
      </c>
      <c r="G3863" s="196">
        <v>1.104868201E9</v>
      </c>
      <c r="H3863" s="197">
        <v>25.326</v>
      </c>
      <c r="I3863" s="7" t="s">
        <v>16815</v>
      </c>
      <c r="J3863" s="7" t="s">
        <v>16838</v>
      </c>
      <c r="K3863" s="7" t="s">
        <v>18679</v>
      </c>
      <c r="L3863" s="198" t="s">
        <v>65</v>
      </c>
      <c r="M3863" s="199"/>
      <c r="N3863" s="199"/>
    </row>
    <row r="3864">
      <c r="A3864" s="193" t="s">
        <v>21785</v>
      </c>
      <c r="B3864" s="7" t="s">
        <v>158</v>
      </c>
      <c r="C3864" s="7" t="s">
        <v>18063</v>
      </c>
      <c r="D3864" s="194">
        <v>2005.0</v>
      </c>
      <c r="E3864" s="193"/>
      <c r="F3864" s="195" t="s">
        <v>21786</v>
      </c>
      <c r="G3864" s="196">
        <v>1.104175886E9</v>
      </c>
      <c r="H3864" s="197">
        <v>32.48</v>
      </c>
      <c r="I3864" s="7" t="s">
        <v>20531</v>
      </c>
      <c r="J3864" s="7" t="s">
        <v>158</v>
      </c>
      <c r="K3864" s="7" t="s">
        <v>18063</v>
      </c>
      <c r="L3864" s="198" t="s">
        <v>65</v>
      </c>
      <c r="M3864" s="194"/>
      <c r="N3864" s="194"/>
    </row>
    <row r="3865">
      <c r="A3865" s="193" t="s">
        <v>21785</v>
      </c>
      <c r="B3865" s="7" t="s">
        <v>18063</v>
      </c>
      <c r="C3865" s="7" t="s">
        <v>158</v>
      </c>
      <c r="D3865" s="194">
        <v>2005.0</v>
      </c>
      <c r="E3865" s="193"/>
      <c r="F3865" s="195" t="s">
        <v>21786</v>
      </c>
      <c r="G3865" s="200">
        <v>1.104175886E9</v>
      </c>
      <c r="H3865" s="197">
        <v>32.48</v>
      </c>
      <c r="I3865" s="7" t="s">
        <v>16815</v>
      </c>
      <c r="J3865" s="7" t="s">
        <v>18063</v>
      </c>
      <c r="K3865" s="7" t="s">
        <v>158</v>
      </c>
      <c r="L3865" s="201" t="s">
        <v>16835</v>
      </c>
      <c r="M3865" s="194"/>
      <c r="N3865" s="194"/>
    </row>
    <row r="3866">
      <c r="A3866" s="193" t="s">
        <v>21787</v>
      </c>
      <c r="B3866" s="7" t="s">
        <v>17202</v>
      </c>
      <c r="C3866" s="7" t="s">
        <v>16838</v>
      </c>
      <c r="D3866" s="194">
        <v>2021.0</v>
      </c>
      <c r="E3866" s="193"/>
      <c r="F3866" s="195" t="s">
        <v>21788</v>
      </c>
      <c r="G3866" s="200">
        <v>1.1016941E9</v>
      </c>
      <c r="H3866" s="197">
        <v>9.49</v>
      </c>
      <c r="I3866" s="7" t="s">
        <v>16815</v>
      </c>
      <c r="J3866" s="7" t="s">
        <v>17202</v>
      </c>
      <c r="K3866" s="7" t="s">
        <v>16838</v>
      </c>
      <c r="L3866" s="201" t="s">
        <v>16835</v>
      </c>
      <c r="M3866" s="194"/>
      <c r="N3866" s="194"/>
    </row>
    <row r="3867">
      <c r="A3867" s="193" t="s">
        <v>21787</v>
      </c>
      <c r="B3867" s="7" t="s">
        <v>16838</v>
      </c>
      <c r="C3867" s="7" t="s">
        <v>17202</v>
      </c>
      <c r="D3867" s="194">
        <v>2021.0</v>
      </c>
      <c r="E3867" s="193"/>
      <c r="F3867" s="195" t="s">
        <v>21788</v>
      </c>
      <c r="G3867" s="196">
        <v>1.1016941E9</v>
      </c>
      <c r="H3867" s="197">
        <v>9.49</v>
      </c>
      <c r="I3867" s="7" t="s">
        <v>16815</v>
      </c>
      <c r="J3867" s="7" t="s">
        <v>16838</v>
      </c>
      <c r="K3867" s="7" t="s">
        <v>17202</v>
      </c>
      <c r="L3867" s="198" t="s">
        <v>65</v>
      </c>
      <c r="M3867" s="194"/>
      <c r="N3867" s="194"/>
    </row>
    <row r="3868">
      <c r="A3868" s="193" t="s">
        <v>21789</v>
      </c>
      <c r="B3868" s="7" t="s">
        <v>187</v>
      </c>
      <c r="C3868" s="7" t="s">
        <v>17259</v>
      </c>
      <c r="D3868" s="194">
        <v>1986.0</v>
      </c>
      <c r="E3868" s="193"/>
      <c r="F3868" s="195" t="s">
        <v>21790</v>
      </c>
      <c r="G3868" s="196">
        <v>1.100150162E9</v>
      </c>
      <c r="H3868" s="197">
        <v>71.79</v>
      </c>
      <c r="I3868" s="7" t="s">
        <v>16815</v>
      </c>
      <c r="J3868" s="7" t="s">
        <v>187</v>
      </c>
      <c r="K3868" s="7" t="s">
        <v>17259</v>
      </c>
      <c r="L3868" s="198" t="s">
        <v>65</v>
      </c>
      <c r="M3868" s="194"/>
      <c r="N3868" s="194"/>
    </row>
    <row r="3869">
      <c r="A3869" s="193" t="s">
        <v>21789</v>
      </c>
      <c r="B3869" s="202" t="s">
        <v>17259</v>
      </c>
      <c r="C3869" s="193" t="s">
        <v>187</v>
      </c>
      <c r="D3869" s="193">
        <v>1986.0</v>
      </c>
      <c r="E3869" s="193"/>
      <c r="F3869" s="203" t="s">
        <v>21790</v>
      </c>
      <c r="G3869" s="200">
        <v>1.100150162E9</v>
      </c>
      <c r="H3869" s="205">
        <v>24.851</v>
      </c>
      <c r="J3869" s="202" t="s">
        <v>17259</v>
      </c>
      <c r="K3869" s="193" t="s">
        <v>187</v>
      </c>
      <c r="L3869" s="193" t="s">
        <v>17471</v>
      </c>
      <c r="M3869" s="193"/>
      <c r="N3869" s="193"/>
    </row>
    <row r="3870">
      <c r="A3870" s="193" t="s">
        <v>21791</v>
      </c>
      <c r="B3870" s="7" t="s">
        <v>16838</v>
      </c>
      <c r="C3870" s="7" t="s">
        <v>16867</v>
      </c>
      <c r="D3870" s="199"/>
      <c r="E3870" s="193"/>
      <c r="F3870" s="195" t="s">
        <v>21792</v>
      </c>
      <c r="G3870" s="196">
        <v>1.09898734E9</v>
      </c>
      <c r="H3870" s="197">
        <v>9.15</v>
      </c>
      <c r="I3870" s="7" t="s">
        <v>16815</v>
      </c>
      <c r="J3870" s="7" t="s">
        <v>16838</v>
      </c>
      <c r="K3870" s="7" t="s">
        <v>16867</v>
      </c>
      <c r="L3870" s="198" t="s">
        <v>65</v>
      </c>
      <c r="M3870" s="199"/>
      <c r="N3870" s="199"/>
    </row>
    <row r="3871">
      <c r="A3871" s="193" t="s">
        <v>21793</v>
      </c>
      <c r="B3871" s="7" t="s">
        <v>16885</v>
      </c>
      <c r="C3871" s="7" t="s">
        <v>16886</v>
      </c>
      <c r="D3871" s="194">
        <v>2021.0</v>
      </c>
      <c r="E3871" s="193"/>
      <c r="F3871" s="195" t="s">
        <v>21794</v>
      </c>
      <c r="G3871" s="196">
        <v>1.097891506E9</v>
      </c>
      <c r="H3871" s="197">
        <v>11.75</v>
      </c>
      <c r="I3871" s="7" t="s">
        <v>17372</v>
      </c>
      <c r="J3871" s="7" t="s">
        <v>16885</v>
      </c>
      <c r="K3871" s="7" t="s">
        <v>16886</v>
      </c>
      <c r="L3871" s="198" t="s">
        <v>65</v>
      </c>
      <c r="M3871" s="194"/>
      <c r="N3871" s="194"/>
    </row>
    <row r="3872">
      <c r="A3872" s="193" t="s">
        <v>21793</v>
      </c>
      <c r="B3872" s="7" t="s">
        <v>16886</v>
      </c>
      <c r="C3872" s="7" t="s">
        <v>16885</v>
      </c>
      <c r="D3872" s="194">
        <v>2021.0</v>
      </c>
      <c r="E3872" s="193"/>
      <c r="F3872" s="195" t="s">
        <v>21794</v>
      </c>
      <c r="G3872" s="200">
        <v>1.097891506E9</v>
      </c>
      <c r="H3872" s="197">
        <v>11.75</v>
      </c>
      <c r="I3872" s="7" t="s">
        <v>16815</v>
      </c>
      <c r="J3872" s="7" t="s">
        <v>16886</v>
      </c>
      <c r="K3872" s="7" t="s">
        <v>16885</v>
      </c>
      <c r="L3872" s="201" t="s">
        <v>16835</v>
      </c>
      <c r="M3872" s="194"/>
      <c r="N3872" s="194"/>
    </row>
    <row r="3873">
      <c r="A3873" s="193" t="s">
        <v>21795</v>
      </c>
      <c r="B3873" s="7" t="s">
        <v>16885</v>
      </c>
      <c r="C3873" s="7" t="s">
        <v>17726</v>
      </c>
      <c r="D3873" s="199"/>
      <c r="E3873" s="193"/>
      <c r="F3873" s="195" t="s">
        <v>21796</v>
      </c>
      <c r="G3873" s="196">
        <v>1.096908E9</v>
      </c>
      <c r="H3873" s="197">
        <v>2.28</v>
      </c>
      <c r="I3873" s="7" t="s">
        <v>17372</v>
      </c>
      <c r="J3873" s="7" t="s">
        <v>16885</v>
      </c>
      <c r="K3873" s="7" t="s">
        <v>17726</v>
      </c>
      <c r="L3873" s="198" t="s">
        <v>65</v>
      </c>
      <c r="M3873" s="199"/>
      <c r="N3873" s="199"/>
    </row>
    <row r="3874">
      <c r="A3874" s="193" t="s">
        <v>21795</v>
      </c>
      <c r="B3874" s="7" t="s">
        <v>17726</v>
      </c>
      <c r="C3874" s="7" t="s">
        <v>16885</v>
      </c>
      <c r="D3874" s="199"/>
      <c r="E3874" s="193"/>
      <c r="F3874" s="195" t="s">
        <v>21796</v>
      </c>
      <c r="G3874" s="200">
        <v>1.096908E9</v>
      </c>
      <c r="H3874" s="197">
        <v>2.28</v>
      </c>
      <c r="I3874" s="7" t="s">
        <v>16815</v>
      </c>
      <c r="J3874" s="7" t="s">
        <v>17726</v>
      </c>
      <c r="K3874" s="7" t="s">
        <v>16885</v>
      </c>
      <c r="L3874" s="201" t="s">
        <v>16835</v>
      </c>
      <c r="M3874" s="199"/>
      <c r="N3874" s="199"/>
    </row>
    <row r="3875">
      <c r="A3875" s="193" t="s">
        <v>21797</v>
      </c>
      <c r="B3875" s="7" t="s">
        <v>187</v>
      </c>
      <c r="C3875" s="7" t="s">
        <v>16846</v>
      </c>
      <c r="D3875" s="194">
        <v>2017.0</v>
      </c>
      <c r="E3875" s="193"/>
      <c r="F3875" s="195" t="s">
        <v>21798</v>
      </c>
      <c r="G3875" s="196">
        <v>1.096776896E9</v>
      </c>
      <c r="H3875" s="197">
        <v>13.72</v>
      </c>
      <c r="I3875" s="7" t="s">
        <v>16815</v>
      </c>
      <c r="J3875" s="7" t="s">
        <v>187</v>
      </c>
      <c r="K3875" s="7" t="s">
        <v>16846</v>
      </c>
      <c r="L3875" s="198" t="s">
        <v>65</v>
      </c>
      <c r="M3875" s="194"/>
      <c r="N3875" s="194"/>
    </row>
    <row r="3876">
      <c r="A3876" s="193" t="s">
        <v>21799</v>
      </c>
      <c r="B3876" s="7" t="s">
        <v>16838</v>
      </c>
      <c r="C3876" s="7" t="s">
        <v>16867</v>
      </c>
      <c r="D3876" s="199"/>
      <c r="E3876" s="193"/>
      <c r="F3876" s="195" t="s">
        <v>21800</v>
      </c>
      <c r="G3876" s="196">
        <v>1.096336655E9</v>
      </c>
      <c r="H3876" s="197">
        <v>19.84</v>
      </c>
      <c r="I3876" s="7" t="s">
        <v>16815</v>
      </c>
      <c r="J3876" s="7" t="s">
        <v>16838</v>
      </c>
      <c r="K3876" s="7" t="s">
        <v>16867</v>
      </c>
      <c r="L3876" s="198" t="s">
        <v>65</v>
      </c>
      <c r="M3876" s="199"/>
      <c r="N3876" s="199"/>
    </row>
    <row r="3877">
      <c r="A3877" s="193" t="s">
        <v>21801</v>
      </c>
      <c r="B3877" s="7" t="s">
        <v>16919</v>
      </c>
      <c r="C3877" s="7" t="s">
        <v>17794</v>
      </c>
      <c r="D3877" s="199"/>
      <c r="E3877" s="193"/>
      <c r="F3877" s="195" t="s">
        <v>21802</v>
      </c>
      <c r="G3877" s="196">
        <v>1.094681713E9</v>
      </c>
      <c r="H3877" s="197">
        <v>61.68</v>
      </c>
      <c r="I3877" s="7" t="s">
        <v>16815</v>
      </c>
      <c r="J3877" s="7" t="s">
        <v>16919</v>
      </c>
      <c r="K3877" s="7" t="s">
        <v>17794</v>
      </c>
      <c r="L3877" s="198" t="s">
        <v>65</v>
      </c>
      <c r="M3877" s="199"/>
      <c r="N3877" s="199"/>
    </row>
    <row r="3878">
      <c r="A3878" s="193" t="s">
        <v>21803</v>
      </c>
      <c r="B3878" s="7" t="s">
        <v>17321</v>
      </c>
      <c r="C3878" s="7" t="s">
        <v>169</v>
      </c>
      <c r="D3878" s="194">
        <v>2014.0</v>
      </c>
      <c r="E3878" s="193"/>
      <c r="F3878" s="195" t="s">
        <v>21804</v>
      </c>
      <c r="G3878" s="200">
        <v>1.094147626E9</v>
      </c>
      <c r="H3878" s="197">
        <v>10.29</v>
      </c>
      <c r="I3878" s="7" t="s">
        <v>16815</v>
      </c>
      <c r="J3878" s="7" t="s">
        <v>17321</v>
      </c>
      <c r="K3878" s="7" t="s">
        <v>169</v>
      </c>
      <c r="L3878" s="201" t="s">
        <v>16835</v>
      </c>
      <c r="M3878" s="194"/>
      <c r="N3878" s="194"/>
    </row>
    <row r="3879">
      <c r="A3879" s="193" t="s">
        <v>21803</v>
      </c>
      <c r="B3879" s="7" t="s">
        <v>169</v>
      </c>
      <c r="C3879" s="7" t="s">
        <v>17321</v>
      </c>
      <c r="D3879" s="194">
        <v>2014.0</v>
      </c>
      <c r="E3879" s="193"/>
      <c r="F3879" s="195" t="s">
        <v>21804</v>
      </c>
      <c r="G3879" s="196">
        <v>1.094147626E9</v>
      </c>
      <c r="H3879" s="197">
        <v>10.29</v>
      </c>
      <c r="I3879" s="7" t="s">
        <v>16815</v>
      </c>
      <c r="J3879" s="7" t="s">
        <v>169</v>
      </c>
      <c r="K3879" s="7" t="s">
        <v>17321</v>
      </c>
      <c r="L3879" s="198" t="s">
        <v>65</v>
      </c>
      <c r="M3879" s="194"/>
      <c r="N3879" s="194"/>
    </row>
    <row r="3880">
      <c r="A3880" s="193" t="s">
        <v>21805</v>
      </c>
      <c r="B3880" s="7" t="s">
        <v>16910</v>
      </c>
      <c r="C3880" s="7" t="s">
        <v>17662</v>
      </c>
      <c r="D3880" s="194">
        <v>2021.0</v>
      </c>
      <c r="E3880" s="193"/>
      <c r="F3880" s="195" t="s">
        <v>21806</v>
      </c>
      <c r="G3880" s="196">
        <v>1.093248E9</v>
      </c>
      <c r="H3880" s="197">
        <v>11.52</v>
      </c>
      <c r="I3880" s="7" t="s">
        <v>20639</v>
      </c>
      <c r="J3880" s="7" t="s">
        <v>16910</v>
      </c>
      <c r="K3880" s="7" t="s">
        <v>17662</v>
      </c>
      <c r="L3880" s="198" t="s">
        <v>65</v>
      </c>
      <c r="M3880" s="194"/>
      <c r="N3880" s="194"/>
    </row>
    <row r="3881">
      <c r="A3881" s="193" t="s">
        <v>21805</v>
      </c>
      <c r="B3881" s="7" t="s">
        <v>17662</v>
      </c>
      <c r="C3881" s="7" t="s">
        <v>16910</v>
      </c>
      <c r="D3881" s="194">
        <v>2021.0</v>
      </c>
      <c r="E3881" s="193"/>
      <c r="F3881" s="195" t="s">
        <v>21806</v>
      </c>
      <c r="G3881" s="200">
        <v>1.093248E9</v>
      </c>
      <c r="H3881" s="197">
        <v>11.52</v>
      </c>
      <c r="I3881" s="7" t="s">
        <v>16815</v>
      </c>
      <c r="J3881" s="7" t="s">
        <v>17662</v>
      </c>
      <c r="K3881" s="7" t="s">
        <v>16910</v>
      </c>
      <c r="L3881" s="201" t="s">
        <v>16835</v>
      </c>
      <c r="M3881" s="194"/>
      <c r="N3881" s="194"/>
    </row>
    <row r="3882">
      <c r="A3882" s="193" t="s">
        <v>21807</v>
      </c>
      <c r="B3882" s="7" t="s">
        <v>17112</v>
      </c>
      <c r="C3882" s="7" t="s">
        <v>17111</v>
      </c>
      <c r="D3882" s="194">
        <v>2019.0</v>
      </c>
      <c r="E3882" s="193"/>
      <c r="F3882" s="195" t="s">
        <v>21808</v>
      </c>
      <c r="G3882" s="196">
        <v>1.091035082E9</v>
      </c>
      <c r="H3882" s="197">
        <v>24.06</v>
      </c>
      <c r="I3882" s="7" t="s">
        <v>16815</v>
      </c>
      <c r="J3882" s="7" t="s">
        <v>17112</v>
      </c>
      <c r="K3882" s="7" t="s">
        <v>17111</v>
      </c>
      <c r="L3882" s="198" t="s">
        <v>65</v>
      </c>
      <c r="M3882" s="194"/>
      <c r="N3882" s="194"/>
    </row>
    <row r="3883">
      <c r="A3883" s="193" t="s">
        <v>21807</v>
      </c>
      <c r="B3883" s="202" t="s">
        <v>17111</v>
      </c>
      <c r="C3883" s="193" t="s">
        <v>17112</v>
      </c>
      <c r="D3883" s="193">
        <v>2019.0</v>
      </c>
      <c r="E3883" s="193"/>
      <c r="F3883" s="203" t="s">
        <v>21808</v>
      </c>
      <c r="G3883" s="200">
        <v>1.091035082E9</v>
      </c>
      <c r="H3883" s="205">
        <v>71.79</v>
      </c>
      <c r="J3883" s="202" t="s">
        <v>17111</v>
      </c>
      <c r="K3883" s="193" t="s">
        <v>17112</v>
      </c>
      <c r="L3883" s="193" t="s">
        <v>17471</v>
      </c>
      <c r="M3883" s="193"/>
      <c r="N3883" s="193"/>
    </row>
    <row r="3884">
      <c r="A3884" s="193" t="s">
        <v>21809</v>
      </c>
      <c r="B3884" s="7" t="s">
        <v>187</v>
      </c>
      <c r="C3884" s="7" t="s">
        <v>16969</v>
      </c>
      <c r="D3884" s="194">
        <v>1993.0</v>
      </c>
      <c r="E3884" s="193"/>
      <c r="F3884" s="195" t="s">
        <v>21810</v>
      </c>
      <c r="G3884" s="196">
        <v>1.090058472E9</v>
      </c>
      <c r="H3884" s="197">
        <v>142.7</v>
      </c>
      <c r="I3884" s="7" t="s">
        <v>16815</v>
      </c>
      <c r="J3884" s="7" t="s">
        <v>187</v>
      </c>
      <c r="K3884" s="7" t="s">
        <v>16969</v>
      </c>
      <c r="L3884" s="198" t="s">
        <v>65</v>
      </c>
      <c r="M3884" s="194"/>
      <c r="N3884" s="194"/>
    </row>
    <row r="3885">
      <c r="A3885" s="193" t="s">
        <v>21811</v>
      </c>
      <c r="B3885" s="7" t="s">
        <v>175</v>
      </c>
      <c r="C3885" s="7" t="s">
        <v>17757</v>
      </c>
      <c r="D3885" s="194">
        <v>2016.0</v>
      </c>
      <c r="E3885" s="193"/>
      <c r="F3885" s="195" t="s">
        <v>21812</v>
      </c>
      <c r="G3885" s="196">
        <v>1.089351683E9</v>
      </c>
      <c r="H3885" s="197">
        <v>14.6</v>
      </c>
      <c r="I3885" s="7" t="s">
        <v>174</v>
      </c>
      <c r="J3885" s="7" t="s">
        <v>175</v>
      </c>
      <c r="K3885" s="7" t="s">
        <v>17757</v>
      </c>
      <c r="L3885" s="198" t="s">
        <v>65</v>
      </c>
      <c r="M3885" s="194"/>
      <c r="N3885" s="194"/>
    </row>
    <row r="3886">
      <c r="A3886" s="193" t="s">
        <v>21811</v>
      </c>
      <c r="B3886" s="7" t="s">
        <v>17757</v>
      </c>
      <c r="C3886" s="7" t="s">
        <v>175</v>
      </c>
      <c r="D3886" s="194">
        <v>2016.0</v>
      </c>
      <c r="E3886" s="193"/>
      <c r="F3886" s="195" t="s">
        <v>21812</v>
      </c>
      <c r="G3886" s="200">
        <v>1.089351683E9</v>
      </c>
      <c r="H3886" s="197">
        <v>14.6</v>
      </c>
      <c r="I3886" s="7" t="s">
        <v>16815</v>
      </c>
      <c r="J3886" s="7" t="s">
        <v>17757</v>
      </c>
      <c r="K3886" s="7" t="s">
        <v>175</v>
      </c>
      <c r="L3886" s="201" t="s">
        <v>16835</v>
      </c>
      <c r="M3886" s="194"/>
      <c r="N3886" s="194"/>
    </row>
    <row r="3887">
      <c r="A3887" s="193" t="s">
        <v>21813</v>
      </c>
      <c r="B3887" s="7" t="s">
        <v>175</v>
      </c>
      <c r="C3887" s="7" t="s">
        <v>16972</v>
      </c>
      <c r="D3887" s="194">
        <v>2021.0</v>
      </c>
      <c r="E3887" s="193"/>
      <c r="F3887" s="195" t="s">
        <v>21814</v>
      </c>
      <c r="G3887" s="196">
        <v>1.0888874E9</v>
      </c>
      <c r="H3887" s="197">
        <v>5.27</v>
      </c>
      <c r="I3887" s="7" t="s">
        <v>16908</v>
      </c>
      <c r="J3887" s="7" t="s">
        <v>175</v>
      </c>
      <c r="K3887" s="7" t="s">
        <v>16972</v>
      </c>
      <c r="L3887" s="198" t="s">
        <v>65</v>
      </c>
      <c r="M3887" s="194"/>
      <c r="N3887" s="194"/>
    </row>
    <row r="3888">
      <c r="A3888" s="193" t="s">
        <v>21813</v>
      </c>
      <c r="B3888" s="7" t="s">
        <v>16972</v>
      </c>
      <c r="C3888" s="7" t="s">
        <v>175</v>
      </c>
      <c r="D3888" s="194">
        <v>2021.0</v>
      </c>
      <c r="E3888" s="193"/>
      <c r="F3888" s="195" t="s">
        <v>21814</v>
      </c>
      <c r="G3888" s="200">
        <v>1.0888874E9</v>
      </c>
      <c r="H3888" s="197">
        <v>5.27</v>
      </c>
      <c r="I3888" s="7" t="s">
        <v>16815</v>
      </c>
      <c r="J3888" s="7" t="s">
        <v>16972</v>
      </c>
      <c r="K3888" s="7" t="s">
        <v>175</v>
      </c>
      <c r="L3888" s="201" t="s">
        <v>16835</v>
      </c>
      <c r="M3888" s="194"/>
      <c r="N3888" s="194"/>
    </row>
    <row r="3889">
      <c r="A3889" s="193" t="s">
        <v>21815</v>
      </c>
      <c r="B3889" s="7" t="s">
        <v>16582</v>
      </c>
      <c r="C3889" s="7" t="s">
        <v>16828</v>
      </c>
      <c r="D3889" s="199"/>
      <c r="E3889" s="193"/>
      <c r="F3889" s="195" t="s">
        <v>21816</v>
      </c>
      <c r="G3889" s="196">
        <v>1.087486336E9</v>
      </c>
      <c r="H3889" s="197">
        <v>6.26</v>
      </c>
      <c r="I3889" s="7" t="s">
        <v>16815</v>
      </c>
      <c r="J3889" s="7" t="s">
        <v>16582</v>
      </c>
      <c r="K3889" s="7" t="s">
        <v>16828</v>
      </c>
      <c r="L3889" s="198" t="s">
        <v>65</v>
      </c>
      <c r="M3889" s="199"/>
      <c r="N3889" s="199"/>
    </row>
    <row r="3890">
      <c r="A3890" s="193" t="s">
        <v>21817</v>
      </c>
      <c r="B3890" s="7" t="s">
        <v>17112</v>
      </c>
      <c r="C3890" s="7" t="s">
        <v>17111</v>
      </c>
      <c r="D3890" s="194">
        <v>2020.0</v>
      </c>
      <c r="E3890" s="193"/>
      <c r="F3890" s="195" t="s">
        <v>21818</v>
      </c>
      <c r="G3890" s="196">
        <v>1.083779653E9</v>
      </c>
      <c r="H3890" s="197">
        <v>23.9</v>
      </c>
      <c r="I3890" s="7" t="s">
        <v>16815</v>
      </c>
      <c r="J3890" s="7" t="s">
        <v>17112</v>
      </c>
      <c r="K3890" s="7" t="s">
        <v>17111</v>
      </c>
      <c r="L3890" s="198" t="s">
        <v>65</v>
      </c>
      <c r="M3890" s="194"/>
      <c r="N3890" s="194"/>
    </row>
    <row r="3891">
      <c r="A3891" s="193" t="s">
        <v>21817</v>
      </c>
      <c r="B3891" s="202" t="s">
        <v>17111</v>
      </c>
      <c r="C3891" s="193" t="s">
        <v>17112</v>
      </c>
      <c r="D3891" s="193">
        <v>2020.0</v>
      </c>
      <c r="E3891" s="193"/>
      <c r="F3891" s="203" t="s">
        <v>21818</v>
      </c>
      <c r="G3891" s="200">
        <v>1.083779653E9</v>
      </c>
      <c r="H3891" s="205">
        <v>24.06</v>
      </c>
      <c r="J3891" s="202" t="s">
        <v>17111</v>
      </c>
      <c r="K3891" s="193" t="s">
        <v>17112</v>
      </c>
      <c r="L3891" s="193" t="s">
        <v>17471</v>
      </c>
      <c r="M3891" s="193"/>
      <c r="N3891" s="193"/>
    </row>
    <row r="3892">
      <c r="A3892" s="193" t="s">
        <v>21819</v>
      </c>
      <c r="B3892" s="7" t="s">
        <v>187</v>
      </c>
      <c r="C3892" s="7" t="s">
        <v>16969</v>
      </c>
      <c r="D3892" s="194">
        <v>2006.0</v>
      </c>
      <c r="E3892" s="193"/>
      <c r="F3892" s="195" t="s">
        <v>21820</v>
      </c>
      <c r="G3892" s="196">
        <v>1.080880059E9</v>
      </c>
      <c r="H3892" s="197">
        <v>48.55</v>
      </c>
      <c r="I3892" s="7" t="s">
        <v>16815</v>
      </c>
      <c r="J3892" s="7" t="s">
        <v>187</v>
      </c>
      <c r="K3892" s="7" t="s">
        <v>16969</v>
      </c>
      <c r="L3892" s="198" t="s">
        <v>65</v>
      </c>
      <c r="M3892" s="194"/>
      <c r="N3892" s="194"/>
    </row>
    <row r="3893">
      <c r="A3893" s="193" t="s">
        <v>21821</v>
      </c>
      <c r="B3893" s="7" t="s">
        <v>16837</v>
      </c>
      <c r="C3893" s="7" t="s">
        <v>16838</v>
      </c>
      <c r="D3893" s="194">
        <v>2003.0</v>
      </c>
      <c r="E3893" s="193"/>
      <c r="F3893" s="195" t="s">
        <v>21822</v>
      </c>
      <c r="G3893" s="200">
        <v>1.079661291E9</v>
      </c>
      <c r="H3893" s="197">
        <v>14.28</v>
      </c>
      <c r="I3893" s="7" t="s">
        <v>16815</v>
      </c>
      <c r="J3893" s="7" t="s">
        <v>16837</v>
      </c>
      <c r="K3893" s="7" t="s">
        <v>16838</v>
      </c>
      <c r="L3893" s="201" t="s">
        <v>16835</v>
      </c>
      <c r="M3893" s="194"/>
      <c r="N3893" s="194"/>
    </row>
    <row r="3894">
      <c r="A3894" s="193" t="s">
        <v>21821</v>
      </c>
      <c r="B3894" s="7" t="s">
        <v>16838</v>
      </c>
      <c r="C3894" s="7" t="s">
        <v>16837</v>
      </c>
      <c r="D3894" s="194">
        <v>2003.0</v>
      </c>
      <c r="E3894" s="193"/>
      <c r="F3894" s="195" t="s">
        <v>21822</v>
      </c>
      <c r="G3894" s="196">
        <v>1.079661291E9</v>
      </c>
      <c r="H3894" s="197">
        <v>14.28</v>
      </c>
      <c r="I3894" s="7" t="s">
        <v>16815</v>
      </c>
      <c r="J3894" s="7" t="s">
        <v>16838</v>
      </c>
      <c r="K3894" s="7" t="s">
        <v>16837</v>
      </c>
      <c r="L3894" s="198" t="s">
        <v>65</v>
      </c>
      <c r="M3894" s="194"/>
      <c r="N3894" s="194"/>
    </row>
    <row r="3895">
      <c r="A3895" s="193" t="s">
        <v>21823</v>
      </c>
      <c r="B3895" s="7" t="s">
        <v>16867</v>
      </c>
      <c r="C3895" s="7" t="s">
        <v>16838</v>
      </c>
      <c r="D3895" s="194">
        <v>2022.0</v>
      </c>
      <c r="E3895" s="193"/>
      <c r="F3895" s="195" t="s">
        <v>21824</v>
      </c>
      <c r="G3895" s="200">
        <v>1.077414733E9</v>
      </c>
      <c r="H3895" s="197">
        <v>72.99</v>
      </c>
      <c r="I3895" s="7" t="s">
        <v>16815</v>
      </c>
      <c r="J3895" s="7" t="s">
        <v>16867</v>
      </c>
      <c r="K3895" s="7" t="s">
        <v>16838</v>
      </c>
      <c r="L3895" s="201" t="s">
        <v>16835</v>
      </c>
      <c r="M3895" s="194"/>
      <c r="N3895" s="194"/>
    </row>
    <row r="3896">
      <c r="A3896" s="193" t="s">
        <v>21823</v>
      </c>
      <c r="B3896" s="7" t="s">
        <v>16838</v>
      </c>
      <c r="C3896" s="7" t="s">
        <v>16867</v>
      </c>
      <c r="D3896" s="194">
        <v>2022.0</v>
      </c>
      <c r="E3896" s="193"/>
      <c r="F3896" s="195" t="s">
        <v>21824</v>
      </c>
      <c r="G3896" s="196">
        <v>1.077414733E9</v>
      </c>
      <c r="H3896" s="197">
        <v>72.99</v>
      </c>
      <c r="I3896" s="7" t="s">
        <v>16815</v>
      </c>
      <c r="J3896" s="7" t="s">
        <v>16838</v>
      </c>
      <c r="K3896" s="7" t="s">
        <v>16867</v>
      </c>
      <c r="L3896" s="198" t="s">
        <v>65</v>
      </c>
      <c r="M3896" s="194"/>
      <c r="N3896" s="194"/>
    </row>
    <row r="3897">
      <c r="A3897" s="193" t="s">
        <v>21825</v>
      </c>
      <c r="B3897" s="7" t="s">
        <v>175</v>
      </c>
      <c r="C3897" s="7" t="s">
        <v>17480</v>
      </c>
      <c r="D3897" s="194">
        <v>2021.0</v>
      </c>
      <c r="E3897" s="193"/>
      <c r="F3897" s="195" t="s">
        <v>21826</v>
      </c>
      <c r="G3897" s="196">
        <v>1.07555686E9</v>
      </c>
      <c r="H3897" s="197">
        <v>3.52</v>
      </c>
      <c r="I3897" s="7" t="s">
        <v>16856</v>
      </c>
      <c r="J3897" s="7" t="s">
        <v>175</v>
      </c>
      <c r="K3897" s="7" t="s">
        <v>17480</v>
      </c>
      <c r="L3897" s="198" t="s">
        <v>65</v>
      </c>
      <c r="M3897" s="194"/>
      <c r="N3897" s="194"/>
    </row>
    <row r="3898">
      <c r="A3898" s="193" t="s">
        <v>21827</v>
      </c>
      <c r="B3898" s="7" t="s">
        <v>16582</v>
      </c>
      <c r="C3898" s="7" t="s">
        <v>16817</v>
      </c>
      <c r="D3898" s="194">
        <v>2018.0</v>
      </c>
      <c r="E3898" s="193"/>
      <c r="F3898" s="195" t="s">
        <v>21828</v>
      </c>
      <c r="G3898" s="196">
        <v>1.070581452E9</v>
      </c>
      <c r="H3898" s="197">
        <v>12.0</v>
      </c>
      <c r="I3898" s="7" t="s">
        <v>16815</v>
      </c>
      <c r="J3898" s="7" t="s">
        <v>16582</v>
      </c>
      <c r="K3898" s="7" t="s">
        <v>16817</v>
      </c>
      <c r="L3898" s="198" t="s">
        <v>65</v>
      </c>
      <c r="M3898" s="194"/>
      <c r="N3898" s="194"/>
    </row>
    <row r="3899">
      <c r="A3899" s="193" t="s">
        <v>21829</v>
      </c>
      <c r="B3899" s="7" t="s">
        <v>17111</v>
      </c>
      <c r="C3899" s="7" t="s">
        <v>17112</v>
      </c>
      <c r="D3899" s="194">
        <v>2007.0</v>
      </c>
      <c r="E3899" s="193"/>
      <c r="F3899" s="195" t="s">
        <v>21830</v>
      </c>
      <c r="G3899" s="200">
        <v>1.070317768E9</v>
      </c>
      <c r="H3899" s="197">
        <v>4.72</v>
      </c>
      <c r="I3899" s="7" t="s">
        <v>16815</v>
      </c>
      <c r="J3899" s="7" t="s">
        <v>17111</v>
      </c>
      <c r="K3899" s="7" t="s">
        <v>17112</v>
      </c>
      <c r="L3899" s="201" t="s">
        <v>16835</v>
      </c>
      <c r="M3899" s="194"/>
      <c r="N3899" s="194"/>
    </row>
    <row r="3900">
      <c r="A3900" s="193" t="s">
        <v>21829</v>
      </c>
      <c r="B3900" s="7" t="s">
        <v>17112</v>
      </c>
      <c r="C3900" s="7" t="s">
        <v>17111</v>
      </c>
      <c r="D3900" s="194">
        <v>2007.0</v>
      </c>
      <c r="E3900" s="193"/>
      <c r="F3900" s="195" t="s">
        <v>21830</v>
      </c>
      <c r="G3900" s="196">
        <v>1.070317768E9</v>
      </c>
      <c r="H3900" s="197">
        <v>4.72</v>
      </c>
      <c r="I3900" s="7" t="s">
        <v>16815</v>
      </c>
      <c r="J3900" s="7" t="s">
        <v>17112</v>
      </c>
      <c r="K3900" s="7" t="s">
        <v>17111</v>
      </c>
      <c r="L3900" s="198" t="s">
        <v>65</v>
      </c>
      <c r="M3900" s="194"/>
      <c r="N3900" s="194"/>
    </row>
    <row r="3901">
      <c r="A3901" s="193" t="s">
        <v>21831</v>
      </c>
      <c r="B3901" s="7" t="s">
        <v>175</v>
      </c>
      <c r="C3901" s="7" t="s">
        <v>17480</v>
      </c>
      <c r="D3901" s="194">
        <v>1996.0</v>
      </c>
      <c r="E3901" s="193"/>
      <c r="F3901" s="195" t="s">
        <v>21832</v>
      </c>
      <c r="G3901" s="196">
        <v>1.070203806E9</v>
      </c>
      <c r="H3901" s="197">
        <v>16.85</v>
      </c>
      <c r="I3901" s="7" t="s">
        <v>17242</v>
      </c>
      <c r="J3901" s="7" t="s">
        <v>175</v>
      </c>
      <c r="K3901" s="7" t="s">
        <v>17480</v>
      </c>
      <c r="L3901" s="198" t="s">
        <v>65</v>
      </c>
      <c r="M3901" s="194"/>
      <c r="N3901" s="194"/>
    </row>
    <row r="3902">
      <c r="A3902" s="193" t="s">
        <v>21831</v>
      </c>
      <c r="B3902" s="7" t="s">
        <v>17480</v>
      </c>
      <c r="C3902" s="7" t="s">
        <v>175</v>
      </c>
      <c r="D3902" s="194">
        <v>1996.0</v>
      </c>
      <c r="E3902" s="193"/>
      <c r="F3902" s="195" t="s">
        <v>21832</v>
      </c>
      <c r="G3902" s="200">
        <v>1.070203806E9</v>
      </c>
      <c r="H3902" s="197">
        <v>16.85</v>
      </c>
      <c r="I3902" s="7" t="s">
        <v>16815</v>
      </c>
      <c r="J3902" s="7" t="s">
        <v>17480</v>
      </c>
      <c r="K3902" s="7" t="s">
        <v>175</v>
      </c>
      <c r="L3902" s="201" t="s">
        <v>16835</v>
      </c>
      <c r="M3902" s="194"/>
      <c r="N3902" s="194"/>
    </row>
    <row r="3903">
      <c r="A3903" s="193" t="s">
        <v>21833</v>
      </c>
      <c r="B3903" s="7" t="s">
        <v>175</v>
      </c>
      <c r="C3903" s="7" t="s">
        <v>17233</v>
      </c>
      <c r="D3903" s="194">
        <v>2010.0</v>
      </c>
      <c r="E3903" s="193"/>
      <c r="F3903" s="195" t="s">
        <v>21834</v>
      </c>
      <c r="G3903" s="196">
        <v>1.0686299E9</v>
      </c>
      <c r="H3903" s="197">
        <v>8.71</v>
      </c>
      <c r="I3903" s="7" t="s">
        <v>16908</v>
      </c>
      <c r="J3903" s="7" t="s">
        <v>175</v>
      </c>
      <c r="K3903" s="7" t="s">
        <v>17233</v>
      </c>
      <c r="L3903" s="198" t="s">
        <v>65</v>
      </c>
      <c r="M3903" s="194"/>
      <c r="N3903" s="194"/>
    </row>
    <row r="3904">
      <c r="A3904" s="193" t="s">
        <v>21833</v>
      </c>
      <c r="B3904" s="7" t="s">
        <v>17233</v>
      </c>
      <c r="C3904" s="7" t="s">
        <v>175</v>
      </c>
      <c r="D3904" s="194">
        <v>2010.0</v>
      </c>
      <c r="E3904" s="193"/>
      <c r="F3904" s="195" t="s">
        <v>21834</v>
      </c>
      <c r="G3904" s="200">
        <v>1.0686299E9</v>
      </c>
      <c r="H3904" s="197">
        <v>8.71</v>
      </c>
      <c r="I3904" s="7" t="s">
        <v>16815</v>
      </c>
      <c r="J3904" s="7" t="s">
        <v>17233</v>
      </c>
      <c r="K3904" s="7" t="s">
        <v>175</v>
      </c>
      <c r="L3904" s="201" t="s">
        <v>16835</v>
      </c>
      <c r="M3904" s="194"/>
      <c r="N3904" s="194"/>
    </row>
    <row r="3905">
      <c r="A3905" s="193" t="s">
        <v>21835</v>
      </c>
      <c r="B3905" s="7" t="s">
        <v>175</v>
      </c>
      <c r="C3905" s="7" t="s">
        <v>17233</v>
      </c>
      <c r="D3905" s="194">
        <v>2013.0</v>
      </c>
      <c r="E3905" s="193"/>
      <c r="F3905" s="195" t="s">
        <v>21836</v>
      </c>
      <c r="G3905" s="196">
        <v>1.06657063E9</v>
      </c>
      <c r="H3905" s="197">
        <v>14.28</v>
      </c>
      <c r="I3905" s="7" t="s">
        <v>168</v>
      </c>
      <c r="J3905" s="7" t="s">
        <v>175</v>
      </c>
      <c r="K3905" s="7" t="s">
        <v>17233</v>
      </c>
      <c r="L3905" s="198" t="s">
        <v>65</v>
      </c>
      <c r="M3905" s="194"/>
      <c r="N3905" s="194"/>
    </row>
    <row r="3906">
      <c r="A3906" s="193" t="s">
        <v>21835</v>
      </c>
      <c r="B3906" s="7" t="s">
        <v>17233</v>
      </c>
      <c r="C3906" s="7" t="s">
        <v>175</v>
      </c>
      <c r="D3906" s="194">
        <v>2013.0</v>
      </c>
      <c r="E3906" s="193"/>
      <c r="F3906" s="195" t="s">
        <v>21836</v>
      </c>
      <c r="G3906" s="200">
        <v>1.06657063E9</v>
      </c>
      <c r="H3906" s="197">
        <v>14.28</v>
      </c>
      <c r="I3906" s="7" t="s">
        <v>16815</v>
      </c>
      <c r="J3906" s="7" t="s">
        <v>17233</v>
      </c>
      <c r="K3906" s="7" t="s">
        <v>175</v>
      </c>
      <c r="L3906" s="201" t="s">
        <v>16835</v>
      </c>
      <c r="M3906" s="194"/>
      <c r="N3906" s="194"/>
    </row>
    <row r="3907">
      <c r="A3907" s="193" t="s">
        <v>21837</v>
      </c>
      <c r="B3907" s="7" t="s">
        <v>175</v>
      </c>
      <c r="C3907" s="7" t="s">
        <v>17031</v>
      </c>
      <c r="D3907" s="199"/>
      <c r="E3907" s="193"/>
      <c r="F3907" s="195" t="s">
        <v>21838</v>
      </c>
      <c r="G3907" s="196">
        <v>1.060711033E9</v>
      </c>
      <c r="H3907" s="197">
        <v>14.99</v>
      </c>
      <c r="I3907" s="7" t="s">
        <v>174</v>
      </c>
      <c r="J3907" s="7" t="s">
        <v>175</v>
      </c>
      <c r="K3907" s="7" t="s">
        <v>17031</v>
      </c>
      <c r="L3907" s="198" t="s">
        <v>65</v>
      </c>
      <c r="M3907" s="199"/>
      <c r="N3907" s="199"/>
    </row>
    <row r="3908">
      <c r="A3908" s="193" t="s">
        <v>21839</v>
      </c>
      <c r="B3908" s="7" t="s">
        <v>158</v>
      </c>
      <c r="C3908" s="7" t="s">
        <v>16899</v>
      </c>
      <c r="D3908" s="194">
        <v>2011.0</v>
      </c>
      <c r="E3908" s="193"/>
      <c r="F3908" s="195" t="s">
        <v>21840</v>
      </c>
      <c r="G3908" s="196">
        <v>1.060437037E9</v>
      </c>
      <c r="H3908" s="197">
        <v>31.47</v>
      </c>
      <c r="I3908" s="7" t="s">
        <v>16953</v>
      </c>
      <c r="J3908" s="7" t="s">
        <v>158</v>
      </c>
      <c r="K3908" s="7" t="s">
        <v>16899</v>
      </c>
      <c r="L3908" s="198" t="s">
        <v>65</v>
      </c>
      <c r="M3908" s="194"/>
      <c r="N3908" s="194"/>
    </row>
    <row r="3909">
      <c r="A3909" s="193" t="s">
        <v>21839</v>
      </c>
      <c r="B3909" s="7" t="s">
        <v>16899</v>
      </c>
      <c r="C3909" s="7" t="s">
        <v>158</v>
      </c>
      <c r="D3909" s="194">
        <v>2011.0</v>
      </c>
      <c r="E3909" s="193"/>
      <c r="F3909" s="195" t="s">
        <v>21840</v>
      </c>
      <c r="G3909" s="200">
        <v>1.060437037E9</v>
      </c>
      <c r="H3909" s="197">
        <v>31.47</v>
      </c>
      <c r="I3909" s="7" t="s">
        <v>16815</v>
      </c>
      <c r="J3909" s="7" t="s">
        <v>16899</v>
      </c>
      <c r="K3909" s="7" t="s">
        <v>158</v>
      </c>
      <c r="L3909" s="201" t="s">
        <v>16835</v>
      </c>
      <c r="M3909" s="194"/>
      <c r="N3909" s="194"/>
    </row>
    <row r="3910">
      <c r="A3910" s="193" t="s">
        <v>21841</v>
      </c>
      <c r="B3910" s="7" t="s">
        <v>16919</v>
      </c>
      <c r="C3910" s="7" t="s">
        <v>17048</v>
      </c>
      <c r="D3910" s="194">
        <v>2019.0</v>
      </c>
      <c r="E3910" s="193"/>
      <c r="F3910" s="195" t="s">
        <v>21842</v>
      </c>
      <c r="G3910" s="196">
        <v>1.060125669E9</v>
      </c>
      <c r="H3910" s="197">
        <v>8.66</v>
      </c>
      <c r="I3910" s="7" t="s">
        <v>16815</v>
      </c>
      <c r="J3910" s="7" t="s">
        <v>16919</v>
      </c>
      <c r="K3910" s="7" t="s">
        <v>17048</v>
      </c>
      <c r="L3910" s="198" t="s">
        <v>65</v>
      </c>
      <c r="M3910" s="194"/>
      <c r="N3910" s="194"/>
    </row>
    <row r="3911">
      <c r="A3911" s="193" t="s">
        <v>21841</v>
      </c>
      <c r="B3911" s="7" t="s">
        <v>17048</v>
      </c>
      <c r="C3911" s="7" t="s">
        <v>16919</v>
      </c>
      <c r="D3911" s="194">
        <v>2019.0</v>
      </c>
      <c r="E3911" s="193"/>
      <c r="F3911" s="195" t="s">
        <v>21842</v>
      </c>
      <c r="G3911" s="200">
        <v>1.060125669E9</v>
      </c>
      <c r="H3911" s="197">
        <v>8.66</v>
      </c>
      <c r="I3911" s="7" t="s">
        <v>16815</v>
      </c>
      <c r="J3911" s="7" t="s">
        <v>17048</v>
      </c>
      <c r="K3911" s="7" t="s">
        <v>16919</v>
      </c>
      <c r="L3911" s="201" t="s">
        <v>16835</v>
      </c>
      <c r="M3911" s="194"/>
      <c r="N3911" s="194"/>
    </row>
    <row r="3912">
      <c r="A3912" s="193" t="s">
        <v>21843</v>
      </c>
      <c r="B3912" s="7" t="s">
        <v>16910</v>
      </c>
      <c r="C3912" s="7" t="s">
        <v>17502</v>
      </c>
      <c r="D3912" s="194">
        <v>1991.0</v>
      </c>
      <c r="E3912" s="193"/>
      <c r="F3912" s="195" t="s">
        <v>21844</v>
      </c>
      <c r="G3912" s="196">
        <v>1.059275338E9</v>
      </c>
      <c r="H3912" s="197">
        <v>91.55</v>
      </c>
      <c r="I3912" s="7" t="s">
        <v>127</v>
      </c>
      <c r="J3912" s="7" t="s">
        <v>16910</v>
      </c>
      <c r="K3912" s="7" t="s">
        <v>17502</v>
      </c>
      <c r="L3912" s="198" t="s">
        <v>65</v>
      </c>
      <c r="M3912" s="194"/>
      <c r="N3912" s="194"/>
    </row>
    <row r="3913">
      <c r="A3913" s="193" t="s">
        <v>21845</v>
      </c>
      <c r="B3913" s="7" t="s">
        <v>187</v>
      </c>
      <c r="C3913" s="7" t="s">
        <v>16846</v>
      </c>
      <c r="D3913" s="194">
        <v>2022.0</v>
      </c>
      <c r="E3913" s="193"/>
      <c r="F3913" s="195" t="s">
        <v>21846</v>
      </c>
      <c r="G3913" s="196">
        <v>1.058825872E9</v>
      </c>
      <c r="H3913" s="197">
        <v>39.34</v>
      </c>
      <c r="I3913" s="7" t="s">
        <v>16815</v>
      </c>
      <c r="J3913" s="7" t="s">
        <v>187</v>
      </c>
      <c r="K3913" s="7" t="s">
        <v>16846</v>
      </c>
      <c r="L3913" s="198" t="s">
        <v>65</v>
      </c>
      <c r="M3913" s="194"/>
      <c r="N3913" s="194"/>
    </row>
    <row r="3914">
      <c r="A3914" s="193" t="s">
        <v>21847</v>
      </c>
      <c r="B3914" s="7" t="s">
        <v>187</v>
      </c>
      <c r="C3914" s="7" t="s">
        <v>16846</v>
      </c>
      <c r="D3914" s="199"/>
      <c r="E3914" s="193"/>
      <c r="F3914" s="195" t="s">
        <v>21848</v>
      </c>
      <c r="G3914" s="196">
        <v>1.058192088E9</v>
      </c>
      <c r="H3914" s="197">
        <v>52.16</v>
      </c>
      <c r="I3914" s="7" t="s">
        <v>16815</v>
      </c>
      <c r="J3914" s="7" t="s">
        <v>187</v>
      </c>
      <c r="K3914" s="7" t="s">
        <v>16846</v>
      </c>
      <c r="L3914" s="198" t="s">
        <v>65</v>
      </c>
      <c r="M3914" s="199"/>
      <c r="N3914" s="199"/>
    </row>
    <row r="3915">
      <c r="A3915" s="193" t="s">
        <v>21849</v>
      </c>
      <c r="B3915" s="7" t="s">
        <v>16838</v>
      </c>
      <c r="C3915" s="7" t="s">
        <v>16867</v>
      </c>
      <c r="D3915" s="199"/>
      <c r="E3915" s="193"/>
      <c r="F3915" s="195" t="s">
        <v>21850</v>
      </c>
      <c r="G3915" s="196">
        <v>1.057151985E9</v>
      </c>
      <c r="H3915" s="197">
        <v>24.45</v>
      </c>
      <c r="I3915" s="7" t="s">
        <v>16815</v>
      </c>
      <c r="J3915" s="7" t="s">
        <v>16838</v>
      </c>
      <c r="K3915" s="7" t="s">
        <v>16867</v>
      </c>
      <c r="L3915" s="198" t="s">
        <v>65</v>
      </c>
      <c r="M3915" s="199"/>
      <c r="N3915" s="199"/>
    </row>
    <row r="3916">
      <c r="A3916" s="193" t="s">
        <v>21851</v>
      </c>
      <c r="B3916" s="7" t="s">
        <v>16838</v>
      </c>
      <c r="C3916" s="7" t="s">
        <v>17104</v>
      </c>
      <c r="D3916" s="199"/>
      <c r="E3916" s="193"/>
      <c r="F3916" s="195" t="s">
        <v>21852</v>
      </c>
      <c r="G3916" s="196">
        <v>1.055245004E9</v>
      </c>
      <c r="H3916" s="197">
        <v>29.98</v>
      </c>
      <c r="I3916" s="7" t="s">
        <v>16924</v>
      </c>
      <c r="J3916" s="7" t="s">
        <v>16838</v>
      </c>
      <c r="K3916" s="7" t="s">
        <v>17104</v>
      </c>
      <c r="L3916" s="198" t="s">
        <v>65</v>
      </c>
      <c r="M3916" s="199"/>
      <c r="N3916" s="199"/>
    </row>
    <row r="3917">
      <c r="A3917" s="193" t="s">
        <v>21851</v>
      </c>
      <c r="B3917" s="7" t="s">
        <v>17104</v>
      </c>
      <c r="C3917" s="7" t="s">
        <v>16838</v>
      </c>
      <c r="D3917" s="199"/>
      <c r="E3917" s="193"/>
      <c r="F3917" s="195" t="s">
        <v>21852</v>
      </c>
      <c r="G3917" s="200">
        <v>1.055245004E9</v>
      </c>
      <c r="H3917" s="197">
        <v>29.98</v>
      </c>
      <c r="I3917" s="7" t="s">
        <v>16815</v>
      </c>
      <c r="J3917" s="7" t="s">
        <v>17104</v>
      </c>
      <c r="K3917" s="7" t="s">
        <v>16838</v>
      </c>
      <c r="L3917" s="201" t="s">
        <v>16835</v>
      </c>
      <c r="M3917" s="199"/>
      <c r="N3917" s="199"/>
    </row>
    <row r="3918">
      <c r="A3918" s="193" t="s">
        <v>21853</v>
      </c>
      <c r="B3918" s="7" t="s">
        <v>17111</v>
      </c>
      <c r="C3918" s="7" t="s">
        <v>17112</v>
      </c>
      <c r="D3918" s="194">
        <v>2021.0</v>
      </c>
      <c r="E3918" s="193"/>
      <c r="F3918" s="195" t="s">
        <v>21854</v>
      </c>
      <c r="G3918" s="200">
        <v>1.054640363E9</v>
      </c>
      <c r="H3918" s="197">
        <v>12.85</v>
      </c>
      <c r="I3918" s="7" t="s">
        <v>16815</v>
      </c>
      <c r="J3918" s="7" t="s">
        <v>17111</v>
      </c>
      <c r="K3918" s="7" t="s">
        <v>17112</v>
      </c>
      <c r="L3918" s="201" t="s">
        <v>16835</v>
      </c>
      <c r="M3918" s="194"/>
      <c r="N3918" s="194"/>
    </row>
    <row r="3919">
      <c r="A3919" s="193" t="s">
        <v>21853</v>
      </c>
      <c r="B3919" s="7" t="s">
        <v>17112</v>
      </c>
      <c r="C3919" s="7" t="s">
        <v>17111</v>
      </c>
      <c r="D3919" s="194">
        <v>2021.0</v>
      </c>
      <c r="E3919" s="193"/>
      <c r="F3919" s="195" t="s">
        <v>21854</v>
      </c>
      <c r="G3919" s="196">
        <v>1.054640363E9</v>
      </c>
      <c r="H3919" s="197">
        <v>12.85</v>
      </c>
      <c r="I3919" s="7" t="s">
        <v>16815</v>
      </c>
      <c r="J3919" s="7" t="s">
        <v>17112</v>
      </c>
      <c r="K3919" s="7" t="s">
        <v>17111</v>
      </c>
      <c r="L3919" s="198" t="s">
        <v>65</v>
      </c>
      <c r="M3919" s="194"/>
      <c r="N3919" s="194"/>
    </row>
    <row r="3920">
      <c r="A3920" s="193" t="s">
        <v>21855</v>
      </c>
      <c r="B3920" s="7" t="s">
        <v>175</v>
      </c>
      <c r="C3920" s="7" t="s">
        <v>17031</v>
      </c>
      <c r="D3920" s="194">
        <v>2006.0</v>
      </c>
      <c r="E3920" s="193"/>
      <c r="F3920" s="195" t="s">
        <v>21856</v>
      </c>
      <c r="G3920" s="196">
        <v>1.05401959E9</v>
      </c>
      <c r="H3920" s="197">
        <v>57.28</v>
      </c>
      <c r="I3920" s="7" t="s">
        <v>16826</v>
      </c>
      <c r="J3920" s="7" t="s">
        <v>175</v>
      </c>
      <c r="K3920" s="7" t="s">
        <v>17031</v>
      </c>
      <c r="L3920" s="198" t="s">
        <v>65</v>
      </c>
      <c r="M3920" s="194"/>
      <c r="N3920" s="194"/>
    </row>
    <row r="3921">
      <c r="A3921" s="193" t="s">
        <v>21857</v>
      </c>
      <c r="B3921" s="7" t="s">
        <v>16838</v>
      </c>
      <c r="C3921" s="7" t="s">
        <v>17127</v>
      </c>
      <c r="D3921" s="194">
        <v>2020.0</v>
      </c>
      <c r="E3921" s="193"/>
      <c r="F3921" s="195" t="s">
        <v>21858</v>
      </c>
      <c r="G3921" s="196">
        <v>1.046027432E9</v>
      </c>
      <c r="H3921" s="197">
        <v>19.89</v>
      </c>
      <c r="I3921" s="7" t="s">
        <v>17327</v>
      </c>
      <c r="J3921" s="7" t="s">
        <v>16838</v>
      </c>
      <c r="K3921" s="7" t="s">
        <v>17127</v>
      </c>
      <c r="L3921" s="198" t="s">
        <v>65</v>
      </c>
      <c r="M3921" s="194"/>
      <c r="N3921" s="194"/>
    </row>
    <row r="3922">
      <c r="A3922" s="193" t="s">
        <v>21857</v>
      </c>
      <c r="B3922" s="7" t="s">
        <v>17127</v>
      </c>
      <c r="C3922" s="7" t="s">
        <v>16838</v>
      </c>
      <c r="D3922" s="194">
        <v>2020.0</v>
      </c>
      <c r="E3922" s="193"/>
      <c r="F3922" s="195" t="s">
        <v>21858</v>
      </c>
      <c r="G3922" s="200">
        <v>1.046027432E9</v>
      </c>
      <c r="H3922" s="197">
        <v>19.89</v>
      </c>
      <c r="I3922" s="7" t="s">
        <v>16815</v>
      </c>
      <c r="J3922" s="7" t="s">
        <v>17127</v>
      </c>
      <c r="K3922" s="7" t="s">
        <v>16838</v>
      </c>
      <c r="L3922" s="201" t="s">
        <v>16835</v>
      </c>
      <c r="M3922" s="194"/>
      <c r="N3922" s="194"/>
    </row>
    <row r="3923">
      <c r="A3923" s="193" t="s">
        <v>21859</v>
      </c>
      <c r="B3923" s="7" t="s">
        <v>175</v>
      </c>
      <c r="C3923" s="7" t="s">
        <v>17031</v>
      </c>
      <c r="D3923" s="194">
        <v>2017.0</v>
      </c>
      <c r="E3923" s="193"/>
      <c r="F3923" s="195" t="s">
        <v>21860</v>
      </c>
      <c r="G3923" s="196">
        <v>1.041551306E9</v>
      </c>
      <c r="H3923" s="197">
        <v>9.31</v>
      </c>
      <c r="I3923" s="7" t="s">
        <v>174</v>
      </c>
      <c r="J3923" s="7" t="s">
        <v>175</v>
      </c>
      <c r="K3923" s="7" t="s">
        <v>17031</v>
      </c>
      <c r="L3923" s="198" t="s">
        <v>65</v>
      </c>
      <c r="M3923" s="194"/>
      <c r="N3923" s="194"/>
    </row>
    <row r="3924">
      <c r="A3924" s="193" t="s">
        <v>21859</v>
      </c>
      <c r="B3924" s="7" t="s">
        <v>17031</v>
      </c>
      <c r="C3924" s="7" t="s">
        <v>175</v>
      </c>
      <c r="D3924" s="194">
        <v>2017.0</v>
      </c>
      <c r="E3924" s="193"/>
      <c r="F3924" s="195" t="s">
        <v>21860</v>
      </c>
      <c r="G3924" s="200">
        <v>1.041551306E9</v>
      </c>
      <c r="H3924" s="197">
        <v>9.31</v>
      </c>
      <c r="I3924" s="7" t="s">
        <v>16815</v>
      </c>
      <c r="J3924" s="7" t="s">
        <v>17031</v>
      </c>
      <c r="K3924" s="7" t="s">
        <v>175</v>
      </c>
      <c r="L3924" s="201" t="s">
        <v>16835</v>
      </c>
      <c r="M3924" s="194"/>
      <c r="N3924" s="194"/>
    </row>
    <row r="3925">
      <c r="A3925" s="193" t="s">
        <v>21861</v>
      </c>
      <c r="B3925" s="7" t="s">
        <v>187</v>
      </c>
      <c r="C3925" s="7" t="s">
        <v>16846</v>
      </c>
      <c r="D3925" s="194">
        <v>2018.0</v>
      </c>
      <c r="E3925" s="193"/>
      <c r="F3925" s="195" t="s">
        <v>21862</v>
      </c>
      <c r="G3925" s="196">
        <v>1.040651067E9</v>
      </c>
      <c r="H3925" s="197">
        <v>7.6</v>
      </c>
      <c r="I3925" s="7" t="s">
        <v>16815</v>
      </c>
      <c r="J3925" s="7" t="s">
        <v>187</v>
      </c>
      <c r="K3925" s="7" t="s">
        <v>16846</v>
      </c>
      <c r="L3925" s="198" t="s">
        <v>65</v>
      </c>
      <c r="M3925" s="194"/>
      <c r="N3925" s="194"/>
    </row>
    <row r="3926">
      <c r="A3926" s="193" t="s">
        <v>21863</v>
      </c>
      <c r="B3926" s="7" t="s">
        <v>175</v>
      </c>
      <c r="C3926" s="7" t="s">
        <v>17318</v>
      </c>
      <c r="D3926" s="194">
        <v>2021.0</v>
      </c>
      <c r="E3926" s="193"/>
      <c r="F3926" s="195" t="s">
        <v>21864</v>
      </c>
      <c r="G3926" s="196">
        <v>1.04017961E9</v>
      </c>
      <c r="H3926" s="197">
        <v>6.15</v>
      </c>
      <c r="I3926" s="7" t="s">
        <v>16908</v>
      </c>
      <c r="J3926" s="7" t="s">
        <v>175</v>
      </c>
      <c r="K3926" s="7" t="s">
        <v>17318</v>
      </c>
      <c r="L3926" s="198" t="s">
        <v>65</v>
      </c>
      <c r="M3926" s="194"/>
      <c r="N3926" s="194"/>
    </row>
    <row r="3927">
      <c r="A3927" s="193" t="s">
        <v>21863</v>
      </c>
      <c r="B3927" s="7" t="s">
        <v>17318</v>
      </c>
      <c r="C3927" s="7" t="s">
        <v>175</v>
      </c>
      <c r="D3927" s="194">
        <v>2021.0</v>
      </c>
      <c r="E3927" s="193"/>
      <c r="F3927" s="195" t="s">
        <v>21864</v>
      </c>
      <c r="G3927" s="200">
        <v>1.04017961E9</v>
      </c>
      <c r="H3927" s="197">
        <v>6.15</v>
      </c>
      <c r="I3927" s="7" t="s">
        <v>16815</v>
      </c>
      <c r="J3927" s="7" t="s">
        <v>17318</v>
      </c>
      <c r="K3927" s="7" t="s">
        <v>175</v>
      </c>
      <c r="L3927" s="201" t="s">
        <v>16835</v>
      </c>
      <c r="M3927" s="194"/>
      <c r="N3927" s="194"/>
    </row>
    <row r="3928">
      <c r="A3928" s="193" t="s">
        <v>21865</v>
      </c>
      <c r="B3928" s="7" t="s">
        <v>17111</v>
      </c>
      <c r="C3928" s="7" t="s">
        <v>17112</v>
      </c>
      <c r="D3928" s="194">
        <v>2015.0</v>
      </c>
      <c r="E3928" s="193"/>
      <c r="F3928" s="195" t="s">
        <v>21866</v>
      </c>
      <c r="G3928" s="200">
        <v>1.039594134E9</v>
      </c>
      <c r="H3928" s="197">
        <v>10.92</v>
      </c>
      <c r="I3928" s="7" t="s">
        <v>16815</v>
      </c>
      <c r="J3928" s="7" t="s">
        <v>17111</v>
      </c>
      <c r="K3928" s="7" t="s">
        <v>17112</v>
      </c>
      <c r="L3928" s="201" t="s">
        <v>16835</v>
      </c>
      <c r="M3928" s="194"/>
      <c r="N3928" s="194"/>
    </row>
    <row r="3929">
      <c r="A3929" s="193" t="s">
        <v>21865</v>
      </c>
      <c r="B3929" s="7" t="s">
        <v>17112</v>
      </c>
      <c r="C3929" s="7" t="s">
        <v>17111</v>
      </c>
      <c r="D3929" s="194">
        <v>2015.0</v>
      </c>
      <c r="E3929" s="193"/>
      <c r="F3929" s="195" t="s">
        <v>21866</v>
      </c>
      <c r="G3929" s="196">
        <v>1.039594134E9</v>
      </c>
      <c r="H3929" s="197">
        <v>10.92</v>
      </c>
      <c r="I3929" s="7" t="s">
        <v>16815</v>
      </c>
      <c r="J3929" s="7" t="s">
        <v>17112</v>
      </c>
      <c r="K3929" s="7" t="s">
        <v>17111</v>
      </c>
      <c r="L3929" s="198" t="s">
        <v>65</v>
      </c>
      <c r="M3929" s="194"/>
      <c r="N3929" s="194"/>
    </row>
    <row r="3930">
      <c r="A3930" s="193" t="s">
        <v>21867</v>
      </c>
      <c r="B3930" s="7" t="s">
        <v>16838</v>
      </c>
      <c r="C3930" s="7" t="s">
        <v>17347</v>
      </c>
      <c r="D3930" s="199"/>
      <c r="E3930" s="193"/>
      <c r="F3930" s="195" t="s">
        <v>21868</v>
      </c>
      <c r="G3930" s="196">
        <v>1.038833632E9</v>
      </c>
      <c r="H3930" s="197">
        <v>16.18</v>
      </c>
      <c r="I3930" s="7" t="s">
        <v>16815</v>
      </c>
      <c r="J3930" s="7" t="s">
        <v>16838</v>
      </c>
      <c r="K3930" s="7" t="s">
        <v>17347</v>
      </c>
      <c r="L3930" s="198" t="s">
        <v>65</v>
      </c>
      <c r="M3930" s="199"/>
      <c r="N3930" s="199"/>
    </row>
    <row r="3931">
      <c r="A3931" s="193" t="s">
        <v>21869</v>
      </c>
      <c r="B3931" s="7" t="s">
        <v>187</v>
      </c>
      <c r="C3931" s="7" t="s">
        <v>16846</v>
      </c>
      <c r="D3931" s="194">
        <v>2013.0</v>
      </c>
      <c r="E3931" s="193"/>
      <c r="F3931" s="195" t="s">
        <v>21870</v>
      </c>
      <c r="G3931" s="196">
        <v>1.038530878E9</v>
      </c>
      <c r="H3931" s="197">
        <v>17.06</v>
      </c>
      <c r="I3931" s="7" t="s">
        <v>16815</v>
      </c>
      <c r="J3931" s="7" t="s">
        <v>187</v>
      </c>
      <c r="K3931" s="7" t="s">
        <v>16846</v>
      </c>
      <c r="L3931" s="198" t="s">
        <v>65</v>
      </c>
      <c r="M3931" s="194"/>
      <c r="N3931" s="194"/>
    </row>
    <row r="3932">
      <c r="A3932" s="193" t="s">
        <v>21871</v>
      </c>
      <c r="B3932" s="7" t="s">
        <v>17111</v>
      </c>
      <c r="C3932" s="7" t="s">
        <v>17112</v>
      </c>
      <c r="D3932" s="194">
        <v>2020.0</v>
      </c>
      <c r="E3932" s="193"/>
      <c r="F3932" s="195" t="s">
        <v>21872</v>
      </c>
      <c r="G3932" s="200">
        <v>1.037388467E9</v>
      </c>
      <c r="H3932" s="197">
        <v>15.1</v>
      </c>
      <c r="I3932" s="7" t="s">
        <v>16815</v>
      </c>
      <c r="J3932" s="7" t="s">
        <v>17111</v>
      </c>
      <c r="K3932" s="7" t="s">
        <v>17112</v>
      </c>
      <c r="L3932" s="201" t="s">
        <v>16835</v>
      </c>
      <c r="M3932" s="194"/>
      <c r="N3932" s="194"/>
    </row>
    <row r="3933">
      <c r="A3933" s="193" t="s">
        <v>21871</v>
      </c>
      <c r="B3933" s="7" t="s">
        <v>17112</v>
      </c>
      <c r="C3933" s="7" t="s">
        <v>17111</v>
      </c>
      <c r="D3933" s="194">
        <v>2020.0</v>
      </c>
      <c r="E3933" s="193"/>
      <c r="F3933" s="195" t="s">
        <v>21872</v>
      </c>
      <c r="G3933" s="196">
        <v>1.037388467E9</v>
      </c>
      <c r="H3933" s="197">
        <v>15.1</v>
      </c>
      <c r="I3933" s="7" t="s">
        <v>16815</v>
      </c>
      <c r="J3933" s="7" t="s">
        <v>17112</v>
      </c>
      <c r="K3933" s="7" t="s">
        <v>17111</v>
      </c>
      <c r="L3933" s="198" t="s">
        <v>65</v>
      </c>
      <c r="M3933" s="194"/>
      <c r="N3933" s="194"/>
    </row>
    <row r="3934">
      <c r="A3934" s="193" t="s">
        <v>21873</v>
      </c>
      <c r="B3934" s="7" t="s">
        <v>16838</v>
      </c>
      <c r="C3934" s="7" t="s">
        <v>16867</v>
      </c>
      <c r="D3934" s="199"/>
      <c r="E3934" s="193"/>
      <c r="F3934" s="195" t="s">
        <v>21874</v>
      </c>
      <c r="G3934" s="196">
        <v>1.032939097E9</v>
      </c>
      <c r="H3934" s="197">
        <v>23.89</v>
      </c>
      <c r="I3934" s="7" t="s">
        <v>16815</v>
      </c>
      <c r="J3934" s="7" t="s">
        <v>16838</v>
      </c>
      <c r="K3934" s="7" t="s">
        <v>16867</v>
      </c>
      <c r="L3934" s="198" t="s">
        <v>65</v>
      </c>
      <c r="M3934" s="199"/>
      <c r="N3934" s="199"/>
    </row>
    <row r="3935">
      <c r="A3935" s="193" t="s">
        <v>21875</v>
      </c>
      <c r="B3935" s="7" t="s">
        <v>175</v>
      </c>
      <c r="C3935" s="7" t="s">
        <v>16972</v>
      </c>
      <c r="D3935" s="199"/>
      <c r="E3935" s="193"/>
      <c r="F3935" s="195" t="s">
        <v>21876</v>
      </c>
      <c r="G3935" s="196">
        <v>1.032486892E9</v>
      </c>
      <c r="H3935" s="197">
        <v>36.08</v>
      </c>
      <c r="I3935" s="7" t="s">
        <v>16908</v>
      </c>
      <c r="J3935" s="7" t="s">
        <v>175</v>
      </c>
      <c r="K3935" s="7" t="s">
        <v>16972</v>
      </c>
      <c r="L3935" s="198" t="s">
        <v>65</v>
      </c>
      <c r="M3935" s="199"/>
      <c r="N3935" s="199"/>
    </row>
    <row r="3936">
      <c r="A3936" s="193" t="s">
        <v>21877</v>
      </c>
      <c r="B3936" s="7" t="s">
        <v>16582</v>
      </c>
      <c r="C3936" s="7" t="s">
        <v>16899</v>
      </c>
      <c r="D3936" s="194">
        <v>2017.0</v>
      </c>
      <c r="E3936" s="193"/>
      <c r="F3936" s="195" t="s">
        <v>21878</v>
      </c>
      <c r="G3936" s="196">
        <v>1.032150749E9</v>
      </c>
      <c r="H3936" s="197">
        <v>17.03</v>
      </c>
      <c r="I3936" s="7" t="s">
        <v>16815</v>
      </c>
      <c r="J3936" s="7" t="s">
        <v>16582</v>
      </c>
      <c r="K3936" s="7" t="s">
        <v>16899</v>
      </c>
      <c r="L3936" s="198" t="s">
        <v>65</v>
      </c>
      <c r="M3936" s="194"/>
      <c r="N3936" s="194"/>
    </row>
    <row r="3937">
      <c r="A3937" s="193" t="s">
        <v>21879</v>
      </c>
      <c r="B3937" s="7" t="s">
        <v>175</v>
      </c>
      <c r="C3937" s="7" t="s">
        <v>17318</v>
      </c>
      <c r="D3937" s="194">
        <v>2017.0</v>
      </c>
      <c r="E3937" s="193"/>
      <c r="F3937" s="195" t="s">
        <v>21880</v>
      </c>
      <c r="G3937" s="196">
        <v>1.031563397E9</v>
      </c>
      <c r="H3937" s="197">
        <v>10.13</v>
      </c>
      <c r="I3937" s="193" t="s">
        <v>16908</v>
      </c>
      <c r="J3937" s="7" t="s">
        <v>175</v>
      </c>
      <c r="K3937" s="7" t="s">
        <v>17318</v>
      </c>
      <c r="L3937" s="198" t="s">
        <v>65</v>
      </c>
      <c r="M3937" s="194"/>
      <c r="N3937" s="194"/>
    </row>
    <row r="3938">
      <c r="A3938" s="193" t="s">
        <v>21879</v>
      </c>
      <c r="B3938" s="7" t="s">
        <v>17318</v>
      </c>
      <c r="C3938" s="7" t="s">
        <v>175</v>
      </c>
      <c r="D3938" s="194">
        <v>2017.0</v>
      </c>
      <c r="E3938" s="193"/>
      <c r="F3938" s="195" t="s">
        <v>21880</v>
      </c>
      <c r="G3938" s="200">
        <v>1.031563397E9</v>
      </c>
      <c r="H3938" s="197">
        <v>10.13</v>
      </c>
      <c r="I3938" s="7" t="s">
        <v>16815</v>
      </c>
      <c r="J3938" s="7" t="s">
        <v>17318</v>
      </c>
      <c r="K3938" s="7" t="s">
        <v>175</v>
      </c>
      <c r="L3938" s="201" t="s">
        <v>16835</v>
      </c>
      <c r="M3938" s="194"/>
      <c r="N3938" s="194"/>
    </row>
    <row r="3939">
      <c r="A3939" s="193" t="s">
        <v>21881</v>
      </c>
      <c r="B3939" s="7" t="s">
        <v>16919</v>
      </c>
      <c r="C3939" s="7" t="s">
        <v>16864</v>
      </c>
      <c r="D3939" s="194">
        <v>2015.0</v>
      </c>
      <c r="E3939" s="193"/>
      <c r="F3939" s="195" t="s">
        <v>21882</v>
      </c>
      <c r="G3939" s="196">
        <v>1.030898457E9</v>
      </c>
      <c r="H3939" s="197">
        <v>4.27</v>
      </c>
      <c r="I3939" s="7" t="s">
        <v>16815</v>
      </c>
      <c r="J3939" s="7" t="s">
        <v>16919</v>
      </c>
      <c r="K3939" s="7" t="s">
        <v>16864</v>
      </c>
      <c r="L3939" s="198" t="s">
        <v>65</v>
      </c>
      <c r="M3939" s="194"/>
      <c r="N3939" s="194"/>
    </row>
    <row r="3940">
      <c r="A3940" s="193" t="s">
        <v>21883</v>
      </c>
      <c r="B3940" s="7" t="s">
        <v>16919</v>
      </c>
      <c r="C3940" s="7" t="s">
        <v>17794</v>
      </c>
      <c r="D3940" s="199"/>
      <c r="E3940" s="193"/>
      <c r="F3940" s="195" t="s">
        <v>21884</v>
      </c>
      <c r="G3940" s="196">
        <v>1.030234025E9</v>
      </c>
      <c r="H3940" s="197">
        <v>15.47</v>
      </c>
      <c r="I3940" s="7" t="s">
        <v>16815</v>
      </c>
      <c r="J3940" s="7" t="s">
        <v>16919</v>
      </c>
      <c r="K3940" s="7" t="s">
        <v>17794</v>
      </c>
      <c r="L3940" s="198" t="s">
        <v>65</v>
      </c>
      <c r="M3940" s="199"/>
      <c r="N3940" s="199"/>
    </row>
    <row r="3941">
      <c r="A3941" s="193" t="s">
        <v>21885</v>
      </c>
      <c r="B3941" s="7" t="s">
        <v>16885</v>
      </c>
      <c r="C3941" s="7" t="s">
        <v>16886</v>
      </c>
      <c r="D3941" s="194">
        <v>2022.0</v>
      </c>
      <c r="E3941" s="193"/>
      <c r="F3941" s="195" t="s">
        <v>21886</v>
      </c>
      <c r="G3941" s="196">
        <v>1.029536338E9</v>
      </c>
      <c r="H3941" s="197">
        <v>9.92</v>
      </c>
      <c r="I3941" s="7" t="s">
        <v>17372</v>
      </c>
      <c r="J3941" s="7" t="s">
        <v>16885</v>
      </c>
      <c r="K3941" s="7" t="s">
        <v>16886</v>
      </c>
      <c r="L3941" s="198" t="s">
        <v>65</v>
      </c>
      <c r="M3941" s="194"/>
      <c r="N3941" s="194"/>
    </row>
    <row r="3942">
      <c r="A3942" s="193" t="s">
        <v>21885</v>
      </c>
      <c r="B3942" s="202" t="s">
        <v>16886</v>
      </c>
      <c r="C3942" s="193" t="s">
        <v>16885</v>
      </c>
      <c r="D3942" s="193">
        <v>2022.0</v>
      </c>
      <c r="E3942" s="193"/>
      <c r="F3942" s="203" t="s">
        <v>21886</v>
      </c>
      <c r="G3942" s="200">
        <v>1.029536338E9</v>
      </c>
      <c r="H3942" s="205">
        <v>23.9</v>
      </c>
      <c r="J3942" s="202" t="s">
        <v>16886</v>
      </c>
      <c r="K3942" s="193" t="s">
        <v>16885</v>
      </c>
      <c r="L3942" s="193" t="s">
        <v>17471</v>
      </c>
      <c r="M3942" s="193"/>
      <c r="N3942" s="193"/>
    </row>
    <row r="3943">
      <c r="A3943" s="193" t="s">
        <v>21887</v>
      </c>
      <c r="B3943" s="7" t="s">
        <v>19644</v>
      </c>
      <c r="C3943" s="7" t="s">
        <v>16838</v>
      </c>
      <c r="D3943" s="194">
        <v>2006.0</v>
      </c>
      <c r="E3943" s="193"/>
      <c r="F3943" s="195" t="s">
        <v>21888</v>
      </c>
      <c r="G3943" s="200">
        <v>1.02836385E9</v>
      </c>
      <c r="H3943" s="197">
        <v>9.51</v>
      </c>
      <c r="I3943" s="7" t="s">
        <v>16815</v>
      </c>
      <c r="J3943" s="7" t="s">
        <v>19644</v>
      </c>
      <c r="K3943" s="7" t="s">
        <v>16838</v>
      </c>
      <c r="L3943" s="201" t="s">
        <v>16835</v>
      </c>
      <c r="M3943" s="194"/>
      <c r="N3943" s="194"/>
    </row>
    <row r="3944">
      <c r="A3944" s="193" t="s">
        <v>21887</v>
      </c>
      <c r="B3944" s="7" t="s">
        <v>16838</v>
      </c>
      <c r="C3944" s="7" t="s">
        <v>19644</v>
      </c>
      <c r="D3944" s="194">
        <v>2006.0</v>
      </c>
      <c r="E3944" s="193"/>
      <c r="F3944" s="195" t="s">
        <v>21888</v>
      </c>
      <c r="G3944" s="196">
        <v>1.02836385E9</v>
      </c>
      <c r="H3944" s="197">
        <v>9.51</v>
      </c>
      <c r="I3944" s="7" t="s">
        <v>16815</v>
      </c>
      <c r="J3944" s="7" t="s">
        <v>16838</v>
      </c>
      <c r="K3944" s="7" t="s">
        <v>19644</v>
      </c>
      <c r="L3944" s="198" t="s">
        <v>65</v>
      </c>
      <c r="M3944" s="194"/>
      <c r="N3944" s="194"/>
    </row>
    <row r="3945">
      <c r="A3945" s="193" t="s">
        <v>21889</v>
      </c>
      <c r="B3945" s="7" t="s">
        <v>16926</v>
      </c>
      <c r="C3945" s="7" t="s">
        <v>16960</v>
      </c>
      <c r="D3945" s="194">
        <v>2017.0</v>
      </c>
      <c r="E3945" s="193"/>
      <c r="F3945" s="195" t="s">
        <v>21890</v>
      </c>
      <c r="G3945" s="196">
        <v>1.027763551E9</v>
      </c>
      <c r="H3945" s="197">
        <v>2.26</v>
      </c>
      <c r="I3945" s="7" t="s">
        <v>16815</v>
      </c>
      <c r="J3945" s="7" t="s">
        <v>16926</v>
      </c>
      <c r="K3945" s="7" t="s">
        <v>16960</v>
      </c>
      <c r="L3945" s="198" t="s">
        <v>65</v>
      </c>
      <c r="M3945" s="194"/>
      <c r="N3945" s="194"/>
    </row>
    <row r="3946">
      <c r="A3946" s="193" t="s">
        <v>21889</v>
      </c>
      <c r="B3946" s="7" t="s">
        <v>16960</v>
      </c>
      <c r="C3946" s="7" t="s">
        <v>16926</v>
      </c>
      <c r="D3946" s="194">
        <v>2017.0</v>
      </c>
      <c r="E3946" s="193"/>
      <c r="F3946" s="195" t="s">
        <v>21890</v>
      </c>
      <c r="G3946" s="200">
        <v>1.027763551E9</v>
      </c>
      <c r="H3946" s="197">
        <v>2.26</v>
      </c>
      <c r="I3946" s="7" t="s">
        <v>16815</v>
      </c>
      <c r="J3946" s="7" t="s">
        <v>16960</v>
      </c>
      <c r="K3946" s="7" t="s">
        <v>16926</v>
      </c>
      <c r="L3946" s="201" t="s">
        <v>16835</v>
      </c>
      <c r="M3946" s="194"/>
      <c r="N3946" s="194"/>
    </row>
    <row r="3947">
      <c r="A3947" s="193" t="s">
        <v>21891</v>
      </c>
      <c r="B3947" s="7" t="s">
        <v>16582</v>
      </c>
      <c r="C3947" s="7" t="s">
        <v>16817</v>
      </c>
      <c r="D3947" s="194">
        <v>2021.0</v>
      </c>
      <c r="E3947" s="193"/>
      <c r="F3947" s="195" t="s">
        <v>21892</v>
      </c>
      <c r="G3947" s="196">
        <v>1.027707645E9</v>
      </c>
      <c r="H3947" s="197">
        <v>10.9</v>
      </c>
      <c r="I3947" s="7" t="s">
        <v>16815</v>
      </c>
      <c r="J3947" s="7" t="s">
        <v>16582</v>
      </c>
      <c r="K3947" s="7" t="s">
        <v>16817</v>
      </c>
      <c r="L3947" s="198" t="s">
        <v>65</v>
      </c>
      <c r="M3947" s="194"/>
      <c r="N3947" s="194"/>
    </row>
    <row r="3948">
      <c r="A3948" s="193" t="s">
        <v>21893</v>
      </c>
      <c r="B3948" s="7" t="s">
        <v>187</v>
      </c>
      <c r="C3948" s="7" t="s">
        <v>17559</v>
      </c>
      <c r="D3948" s="199"/>
      <c r="E3948" s="193"/>
      <c r="F3948" s="195" t="s">
        <v>21894</v>
      </c>
      <c r="G3948" s="196">
        <v>1.027177795E9</v>
      </c>
      <c r="H3948" s="197">
        <v>41.81</v>
      </c>
      <c r="I3948" s="7" t="s">
        <v>16815</v>
      </c>
      <c r="J3948" s="7" t="s">
        <v>187</v>
      </c>
      <c r="K3948" s="7" t="s">
        <v>17559</v>
      </c>
      <c r="L3948" s="198" t="s">
        <v>65</v>
      </c>
      <c r="M3948" s="199"/>
      <c r="N3948" s="199"/>
    </row>
    <row r="3949">
      <c r="A3949" s="193" t="s">
        <v>21895</v>
      </c>
      <c r="B3949" s="7" t="s">
        <v>17112</v>
      </c>
      <c r="C3949" s="7" t="s">
        <v>17111</v>
      </c>
      <c r="D3949" s="194">
        <v>2022.0</v>
      </c>
      <c r="E3949" s="193"/>
      <c r="F3949" s="195" t="s">
        <v>21896</v>
      </c>
      <c r="G3949" s="196">
        <v>1.027101151E9</v>
      </c>
      <c r="H3949" s="197">
        <v>22.6501</v>
      </c>
      <c r="I3949" s="7" t="s">
        <v>16815</v>
      </c>
      <c r="J3949" s="7" t="s">
        <v>17112</v>
      </c>
      <c r="K3949" s="7" t="s">
        <v>17111</v>
      </c>
      <c r="L3949" s="198" t="s">
        <v>65</v>
      </c>
      <c r="M3949" s="194"/>
      <c r="N3949" s="194"/>
    </row>
    <row r="3950">
      <c r="A3950" s="193" t="s">
        <v>21895</v>
      </c>
      <c r="B3950" s="202" t="s">
        <v>17111</v>
      </c>
      <c r="C3950" s="193" t="s">
        <v>17112</v>
      </c>
      <c r="D3950" s="193">
        <v>2022.0</v>
      </c>
      <c r="E3950" s="193"/>
      <c r="F3950" s="203" t="s">
        <v>21896</v>
      </c>
      <c r="G3950" s="200">
        <v>1.027101151E9</v>
      </c>
      <c r="H3950" s="205">
        <v>9.92</v>
      </c>
      <c r="J3950" s="202" t="s">
        <v>17111</v>
      </c>
      <c r="K3950" s="193" t="s">
        <v>17112</v>
      </c>
      <c r="L3950" s="193" t="s">
        <v>17471</v>
      </c>
      <c r="M3950" s="193"/>
      <c r="N3950" s="193"/>
    </row>
    <row r="3951">
      <c r="A3951" s="193" t="s">
        <v>21897</v>
      </c>
      <c r="B3951" s="7" t="s">
        <v>187</v>
      </c>
      <c r="C3951" s="7" t="s">
        <v>16846</v>
      </c>
      <c r="D3951" s="194">
        <v>2014.0</v>
      </c>
      <c r="E3951" s="193"/>
      <c r="F3951" s="195" t="s">
        <v>21898</v>
      </c>
      <c r="G3951" s="196">
        <v>1.025444524E9</v>
      </c>
      <c r="H3951" s="197">
        <v>17.1</v>
      </c>
      <c r="I3951" s="7" t="s">
        <v>16815</v>
      </c>
      <c r="J3951" s="7" t="s">
        <v>187</v>
      </c>
      <c r="K3951" s="7" t="s">
        <v>16846</v>
      </c>
      <c r="L3951" s="198" t="s">
        <v>65</v>
      </c>
      <c r="M3951" s="194"/>
      <c r="N3951" s="194"/>
    </row>
    <row r="3952">
      <c r="A3952" s="193" t="s">
        <v>21899</v>
      </c>
      <c r="B3952" s="7" t="s">
        <v>16945</v>
      </c>
      <c r="C3952" s="7" t="s">
        <v>169</v>
      </c>
      <c r="D3952" s="194">
        <v>2017.0</v>
      </c>
      <c r="E3952" s="193"/>
      <c r="F3952" s="195" t="s">
        <v>21900</v>
      </c>
      <c r="G3952" s="200">
        <v>1.025312183E9</v>
      </c>
      <c r="H3952" s="197">
        <v>8.83</v>
      </c>
      <c r="I3952" s="7" t="s">
        <v>16815</v>
      </c>
      <c r="J3952" s="7" t="s">
        <v>16945</v>
      </c>
      <c r="K3952" s="7" t="s">
        <v>169</v>
      </c>
      <c r="L3952" s="201" t="s">
        <v>16835</v>
      </c>
      <c r="M3952" s="194"/>
      <c r="N3952" s="194"/>
    </row>
    <row r="3953">
      <c r="A3953" s="193" t="s">
        <v>21899</v>
      </c>
      <c r="B3953" s="7" t="s">
        <v>169</v>
      </c>
      <c r="C3953" s="7" t="s">
        <v>16945</v>
      </c>
      <c r="D3953" s="194">
        <v>2017.0</v>
      </c>
      <c r="E3953" s="193"/>
      <c r="F3953" s="195" t="s">
        <v>21900</v>
      </c>
      <c r="G3953" s="196">
        <v>1.025312183E9</v>
      </c>
      <c r="H3953" s="197">
        <v>8.83</v>
      </c>
      <c r="I3953" s="7" t="s">
        <v>16815</v>
      </c>
      <c r="J3953" s="7" t="s">
        <v>169</v>
      </c>
      <c r="K3953" s="7" t="s">
        <v>16945</v>
      </c>
      <c r="L3953" s="198" t="s">
        <v>65</v>
      </c>
      <c r="M3953" s="194"/>
      <c r="N3953" s="194"/>
    </row>
    <row r="3954">
      <c r="A3954" s="193" t="s">
        <v>21901</v>
      </c>
      <c r="B3954" s="7" t="s">
        <v>16838</v>
      </c>
      <c r="C3954" s="7" t="s">
        <v>16867</v>
      </c>
      <c r="D3954" s="199"/>
      <c r="E3954" s="193"/>
      <c r="F3954" s="195" t="s">
        <v>21902</v>
      </c>
      <c r="G3954" s="196">
        <v>1.02469256E9</v>
      </c>
      <c r="H3954" s="197">
        <v>26.8</v>
      </c>
      <c r="I3954" s="7" t="s">
        <v>16815</v>
      </c>
      <c r="J3954" s="7" t="s">
        <v>16838</v>
      </c>
      <c r="K3954" s="7" t="s">
        <v>16867</v>
      </c>
      <c r="L3954" s="198" t="s">
        <v>65</v>
      </c>
      <c r="M3954" s="199"/>
      <c r="N3954" s="199"/>
    </row>
    <row r="3955">
      <c r="A3955" s="193" t="s">
        <v>21903</v>
      </c>
      <c r="B3955" s="7" t="s">
        <v>175</v>
      </c>
      <c r="C3955" s="7" t="s">
        <v>16972</v>
      </c>
      <c r="D3955" s="194">
        <v>2023.0</v>
      </c>
      <c r="E3955" s="193"/>
      <c r="F3955" s="195" t="s">
        <v>21904</v>
      </c>
      <c r="G3955" s="196">
        <v>1.024169639E9</v>
      </c>
      <c r="H3955" s="197">
        <v>29.17</v>
      </c>
      <c r="I3955" s="7" t="s">
        <v>168</v>
      </c>
      <c r="J3955" s="7" t="s">
        <v>175</v>
      </c>
      <c r="K3955" s="7" t="s">
        <v>16972</v>
      </c>
      <c r="L3955" s="198" t="s">
        <v>65</v>
      </c>
      <c r="M3955" s="194"/>
      <c r="N3955" s="194"/>
    </row>
    <row r="3956">
      <c r="A3956" s="193" t="s">
        <v>21903</v>
      </c>
      <c r="B3956" s="7" t="s">
        <v>16972</v>
      </c>
      <c r="C3956" s="7" t="s">
        <v>175</v>
      </c>
      <c r="D3956" s="194">
        <v>2023.0</v>
      </c>
      <c r="E3956" s="193"/>
      <c r="F3956" s="195" t="s">
        <v>21904</v>
      </c>
      <c r="G3956" s="200">
        <v>1.024169639E9</v>
      </c>
      <c r="H3956" s="197">
        <v>29.17</v>
      </c>
      <c r="I3956" s="7" t="s">
        <v>16815</v>
      </c>
      <c r="J3956" s="7" t="s">
        <v>16972</v>
      </c>
      <c r="K3956" s="7" t="s">
        <v>175</v>
      </c>
      <c r="L3956" s="201" t="s">
        <v>16835</v>
      </c>
      <c r="M3956" s="194"/>
      <c r="N3956" s="194"/>
    </row>
    <row r="3957">
      <c r="A3957" s="193" t="s">
        <v>21905</v>
      </c>
      <c r="B3957" s="7" t="s">
        <v>187</v>
      </c>
      <c r="C3957" s="7" t="s">
        <v>16858</v>
      </c>
      <c r="D3957" s="194">
        <v>1994.0</v>
      </c>
      <c r="E3957" s="193"/>
      <c r="F3957" s="195" t="s">
        <v>21906</v>
      </c>
      <c r="G3957" s="196">
        <v>1.019950712E9</v>
      </c>
      <c r="H3957" s="197">
        <v>4.98</v>
      </c>
      <c r="I3957" s="7" t="s">
        <v>16815</v>
      </c>
      <c r="J3957" s="7" t="s">
        <v>187</v>
      </c>
      <c r="K3957" s="7" t="s">
        <v>16858</v>
      </c>
      <c r="L3957" s="198" t="s">
        <v>65</v>
      </c>
      <c r="M3957" s="194"/>
      <c r="N3957" s="194"/>
    </row>
    <row r="3958">
      <c r="A3958" s="193" t="s">
        <v>21907</v>
      </c>
      <c r="B3958" s="7" t="s">
        <v>187</v>
      </c>
      <c r="C3958" s="7" t="s">
        <v>16846</v>
      </c>
      <c r="D3958" s="194">
        <v>2019.0</v>
      </c>
      <c r="E3958" s="193"/>
      <c r="F3958" s="195" t="s">
        <v>21908</v>
      </c>
      <c r="G3958" s="196">
        <v>1.019233373E9</v>
      </c>
      <c r="H3958" s="197">
        <v>20.49</v>
      </c>
      <c r="I3958" s="7" t="s">
        <v>16815</v>
      </c>
      <c r="J3958" s="7" t="s">
        <v>187</v>
      </c>
      <c r="K3958" s="7" t="s">
        <v>16846</v>
      </c>
      <c r="L3958" s="198" t="s">
        <v>65</v>
      </c>
      <c r="M3958" s="194"/>
      <c r="N3958" s="194"/>
    </row>
    <row r="3959">
      <c r="A3959" s="193" t="s">
        <v>21909</v>
      </c>
      <c r="B3959" s="7" t="s">
        <v>16885</v>
      </c>
      <c r="C3959" s="7" t="s">
        <v>17726</v>
      </c>
      <c r="D3959" s="199"/>
      <c r="E3959" s="193"/>
      <c r="F3959" s="195" t="s">
        <v>21910</v>
      </c>
      <c r="G3959" s="196">
        <v>1.018113114E9</v>
      </c>
      <c r="H3959" s="197">
        <v>9.89</v>
      </c>
      <c r="I3959" s="7" t="s">
        <v>19569</v>
      </c>
      <c r="J3959" s="7" t="s">
        <v>16885</v>
      </c>
      <c r="K3959" s="7" t="s">
        <v>17726</v>
      </c>
      <c r="L3959" s="198" t="s">
        <v>65</v>
      </c>
      <c r="M3959" s="199"/>
      <c r="N3959" s="199"/>
    </row>
    <row r="3960">
      <c r="A3960" s="193" t="s">
        <v>21909</v>
      </c>
      <c r="B3960" s="202" t="s">
        <v>17726</v>
      </c>
      <c r="C3960" s="193" t="s">
        <v>16885</v>
      </c>
      <c r="D3960" s="206"/>
      <c r="E3960" s="193"/>
      <c r="F3960" s="203" t="s">
        <v>21910</v>
      </c>
      <c r="G3960" s="200">
        <v>1.018113114E9</v>
      </c>
      <c r="H3960" s="205">
        <v>22.6501</v>
      </c>
      <c r="J3960" s="202" t="s">
        <v>17726</v>
      </c>
      <c r="K3960" s="193" t="s">
        <v>16885</v>
      </c>
      <c r="L3960" s="193" t="s">
        <v>17471</v>
      </c>
      <c r="M3960" s="206"/>
      <c r="N3960" s="206"/>
    </row>
    <row r="3961">
      <c r="A3961" s="193" t="s">
        <v>21911</v>
      </c>
      <c r="B3961" s="7" t="s">
        <v>187</v>
      </c>
      <c r="C3961" s="7" t="s">
        <v>16858</v>
      </c>
      <c r="D3961" s="199"/>
      <c r="E3961" s="193"/>
      <c r="F3961" s="195" t="s">
        <v>21912</v>
      </c>
      <c r="G3961" s="196">
        <v>1.015996239E9</v>
      </c>
      <c r="H3961" s="197">
        <v>3.97</v>
      </c>
      <c r="I3961" s="7" t="s">
        <v>16815</v>
      </c>
      <c r="J3961" s="7" t="s">
        <v>187</v>
      </c>
      <c r="K3961" s="7" t="s">
        <v>16858</v>
      </c>
      <c r="L3961" s="198" t="s">
        <v>65</v>
      </c>
      <c r="M3961" s="199"/>
      <c r="N3961" s="199"/>
    </row>
    <row r="3962">
      <c r="A3962" s="193" t="s">
        <v>21913</v>
      </c>
      <c r="B3962" s="7" t="s">
        <v>187</v>
      </c>
      <c r="C3962" s="7" t="s">
        <v>16846</v>
      </c>
      <c r="D3962" s="194">
        <v>2018.0</v>
      </c>
      <c r="E3962" s="193"/>
      <c r="F3962" s="195" t="s">
        <v>21914</v>
      </c>
      <c r="G3962" s="196">
        <v>1.015685832E9</v>
      </c>
      <c r="H3962" s="197">
        <v>14.44</v>
      </c>
      <c r="I3962" s="7" t="s">
        <v>16815</v>
      </c>
      <c r="J3962" s="7" t="s">
        <v>187</v>
      </c>
      <c r="K3962" s="7" t="s">
        <v>16846</v>
      </c>
      <c r="L3962" s="198" t="s">
        <v>65</v>
      </c>
      <c r="M3962" s="194"/>
      <c r="N3962" s="194"/>
    </row>
    <row r="3963">
      <c r="A3963" s="193" t="s">
        <v>21915</v>
      </c>
      <c r="B3963" s="7" t="s">
        <v>16582</v>
      </c>
      <c r="C3963" s="7" t="s">
        <v>16899</v>
      </c>
      <c r="D3963" s="194">
        <v>2008.0</v>
      </c>
      <c r="E3963" s="193"/>
      <c r="F3963" s="195" t="s">
        <v>21916</v>
      </c>
      <c r="G3963" s="196">
        <v>1.015627256E9</v>
      </c>
      <c r="H3963" s="197">
        <v>17.97</v>
      </c>
      <c r="I3963" s="7" t="s">
        <v>16815</v>
      </c>
      <c r="J3963" s="7" t="s">
        <v>16582</v>
      </c>
      <c r="K3963" s="7" t="s">
        <v>16899</v>
      </c>
      <c r="L3963" s="198" t="s">
        <v>65</v>
      </c>
      <c r="M3963" s="194"/>
      <c r="N3963" s="194"/>
    </row>
    <row r="3964">
      <c r="A3964" s="193" t="s">
        <v>21917</v>
      </c>
      <c r="B3964" s="7" t="s">
        <v>187</v>
      </c>
      <c r="C3964" s="7" t="s">
        <v>16846</v>
      </c>
      <c r="D3964" s="194">
        <v>2018.0</v>
      </c>
      <c r="E3964" s="193"/>
      <c r="F3964" s="195" t="s">
        <v>21918</v>
      </c>
      <c r="G3964" s="196">
        <v>1.01354435E9</v>
      </c>
      <c r="H3964" s="197">
        <v>13.54</v>
      </c>
      <c r="I3964" s="7" t="s">
        <v>16815</v>
      </c>
      <c r="J3964" s="7" t="s">
        <v>187</v>
      </c>
      <c r="K3964" s="7" t="s">
        <v>16846</v>
      </c>
      <c r="L3964" s="198" t="s">
        <v>65</v>
      </c>
      <c r="M3964" s="194"/>
      <c r="N3964" s="194"/>
    </row>
    <row r="3965">
      <c r="A3965" s="193" t="s">
        <v>21917</v>
      </c>
      <c r="B3965" s="7" t="s">
        <v>16846</v>
      </c>
      <c r="C3965" s="7" t="s">
        <v>187</v>
      </c>
      <c r="D3965" s="194">
        <v>2018.0</v>
      </c>
      <c r="E3965" s="193"/>
      <c r="F3965" s="195" t="s">
        <v>21918</v>
      </c>
      <c r="G3965" s="200">
        <v>1.01354435E9</v>
      </c>
      <c r="H3965" s="197">
        <v>13.54</v>
      </c>
      <c r="I3965" s="7" t="s">
        <v>16815</v>
      </c>
      <c r="J3965" s="7" t="s">
        <v>16846</v>
      </c>
      <c r="K3965" s="7" t="s">
        <v>187</v>
      </c>
      <c r="L3965" s="201" t="s">
        <v>16835</v>
      </c>
      <c r="M3965" s="194"/>
      <c r="N3965" s="194"/>
    </row>
    <row r="3966">
      <c r="A3966" s="193" t="s">
        <v>21919</v>
      </c>
      <c r="B3966" s="7" t="s">
        <v>175</v>
      </c>
      <c r="C3966" s="7" t="s">
        <v>16942</v>
      </c>
      <c r="D3966" s="194">
        <v>2021.0</v>
      </c>
      <c r="E3966" s="193"/>
      <c r="F3966" s="195" t="s">
        <v>21920</v>
      </c>
      <c r="G3966" s="196">
        <v>1.012712459E9</v>
      </c>
      <c r="H3966" s="197">
        <v>16.93</v>
      </c>
      <c r="I3966" s="7" t="s">
        <v>16908</v>
      </c>
      <c r="J3966" s="7" t="s">
        <v>175</v>
      </c>
      <c r="K3966" s="7" t="s">
        <v>16942</v>
      </c>
      <c r="L3966" s="198" t="s">
        <v>65</v>
      </c>
      <c r="M3966" s="194"/>
      <c r="N3966" s="194"/>
    </row>
    <row r="3967">
      <c r="A3967" s="193" t="s">
        <v>21921</v>
      </c>
      <c r="B3967" s="7" t="s">
        <v>16582</v>
      </c>
      <c r="C3967" s="7" t="s">
        <v>16817</v>
      </c>
      <c r="D3967" s="194">
        <v>2021.0</v>
      </c>
      <c r="E3967" s="193"/>
      <c r="F3967" s="195" t="s">
        <v>21922</v>
      </c>
      <c r="G3967" s="196">
        <v>1.011325703E9</v>
      </c>
      <c r="H3967" s="197">
        <v>5.81</v>
      </c>
      <c r="I3967" s="7" t="s">
        <v>16815</v>
      </c>
      <c r="J3967" s="7" t="s">
        <v>16582</v>
      </c>
      <c r="K3967" s="7" t="s">
        <v>16817</v>
      </c>
      <c r="L3967" s="198" t="s">
        <v>65</v>
      </c>
      <c r="M3967" s="194"/>
      <c r="N3967" s="194"/>
    </row>
    <row r="3968">
      <c r="A3968" s="193" t="s">
        <v>21921</v>
      </c>
      <c r="B3968" s="7" t="s">
        <v>16817</v>
      </c>
      <c r="C3968" s="7" t="s">
        <v>16582</v>
      </c>
      <c r="D3968" s="194">
        <v>2021.0</v>
      </c>
      <c r="E3968" s="193"/>
      <c r="F3968" s="195" t="s">
        <v>21922</v>
      </c>
      <c r="G3968" s="200">
        <v>1.011325703E9</v>
      </c>
      <c r="H3968" s="197">
        <v>5.81</v>
      </c>
      <c r="I3968" s="7" t="s">
        <v>16815</v>
      </c>
      <c r="J3968" s="7" t="s">
        <v>16817</v>
      </c>
      <c r="K3968" s="7" t="s">
        <v>16582</v>
      </c>
      <c r="L3968" s="201" t="s">
        <v>16835</v>
      </c>
      <c r="M3968" s="194"/>
      <c r="N3968" s="194"/>
    </row>
    <row r="3969">
      <c r="A3969" s="193" t="s">
        <v>21923</v>
      </c>
      <c r="B3969" s="7" t="s">
        <v>16582</v>
      </c>
      <c r="C3969" s="7" t="s">
        <v>16583</v>
      </c>
      <c r="D3969" s="199"/>
      <c r="E3969" s="193"/>
      <c r="F3969" s="195" t="s">
        <v>21924</v>
      </c>
      <c r="G3969" s="196">
        <v>1.010448065E9</v>
      </c>
      <c r="H3969" s="197">
        <v>7.33</v>
      </c>
      <c r="I3969" s="7" t="s">
        <v>16815</v>
      </c>
      <c r="J3969" s="7" t="s">
        <v>16582</v>
      </c>
      <c r="K3969" s="7" t="s">
        <v>16583</v>
      </c>
      <c r="L3969" s="198" t="s">
        <v>65</v>
      </c>
      <c r="M3969" s="199"/>
      <c r="N3969" s="199"/>
    </row>
    <row r="3970">
      <c r="A3970" s="193" t="s">
        <v>21925</v>
      </c>
      <c r="B3970" s="7" t="s">
        <v>16919</v>
      </c>
      <c r="C3970" s="7" t="s">
        <v>16920</v>
      </c>
      <c r="D3970" s="194">
        <v>2021.0</v>
      </c>
      <c r="E3970" s="193"/>
      <c r="F3970" s="195" t="s">
        <v>21926</v>
      </c>
      <c r="G3970" s="196">
        <v>1.010188076E9</v>
      </c>
      <c r="H3970" s="197">
        <v>5.87</v>
      </c>
      <c r="I3970" s="7" t="s">
        <v>16815</v>
      </c>
      <c r="J3970" s="7" t="s">
        <v>16919</v>
      </c>
      <c r="K3970" s="7" t="s">
        <v>16920</v>
      </c>
      <c r="L3970" s="198" t="s">
        <v>65</v>
      </c>
      <c r="M3970" s="194"/>
      <c r="N3970" s="194"/>
    </row>
    <row r="3971">
      <c r="A3971" s="193" t="s">
        <v>21927</v>
      </c>
      <c r="B3971" s="7" t="s">
        <v>158</v>
      </c>
      <c r="C3971" s="7" t="s">
        <v>17171</v>
      </c>
      <c r="D3971" s="194">
        <v>2017.0</v>
      </c>
      <c r="E3971" s="193"/>
      <c r="F3971" s="195" t="s">
        <v>21928</v>
      </c>
      <c r="G3971" s="196">
        <v>1.008674982E9</v>
      </c>
      <c r="H3971" s="197">
        <v>9.15</v>
      </c>
      <c r="I3971" s="7" t="s">
        <v>17316</v>
      </c>
      <c r="J3971" s="7" t="s">
        <v>158</v>
      </c>
      <c r="K3971" s="7" t="s">
        <v>17171</v>
      </c>
      <c r="L3971" s="198" t="s">
        <v>65</v>
      </c>
      <c r="M3971" s="194"/>
      <c r="N3971" s="194"/>
    </row>
    <row r="3972">
      <c r="A3972" s="193" t="s">
        <v>21927</v>
      </c>
      <c r="B3972" s="7" t="s">
        <v>17171</v>
      </c>
      <c r="C3972" s="7" t="s">
        <v>158</v>
      </c>
      <c r="D3972" s="194">
        <v>2017.0</v>
      </c>
      <c r="E3972" s="193"/>
      <c r="F3972" s="195" t="s">
        <v>21928</v>
      </c>
      <c r="G3972" s="200">
        <v>1.008674982E9</v>
      </c>
      <c r="H3972" s="197">
        <v>9.15</v>
      </c>
      <c r="I3972" s="7" t="s">
        <v>16815</v>
      </c>
      <c r="J3972" s="7" t="s">
        <v>17171</v>
      </c>
      <c r="K3972" s="7" t="s">
        <v>158</v>
      </c>
      <c r="L3972" s="201" t="s">
        <v>16835</v>
      </c>
      <c r="M3972" s="194"/>
      <c r="N3972" s="194"/>
    </row>
    <row r="3973">
      <c r="A3973" s="193" t="s">
        <v>21929</v>
      </c>
      <c r="D3973" s="199"/>
      <c r="E3973" s="193"/>
      <c r="F3973" s="195" t="s">
        <v>21930</v>
      </c>
      <c r="G3973" s="196">
        <v>1.007870613E9</v>
      </c>
      <c r="H3973" s="197">
        <v>24.88</v>
      </c>
      <c r="I3973" s="7" t="s">
        <v>16815</v>
      </c>
      <c r="L3973" s="198" t="s">
        <v>65</v>
      </c>
      <c r="M3973" s="199"/>
      <c r="N3973" s="199"/>
    </row>
    <row r="3974">
      <c r="A3974" s="193" t="s">
        <v>21931</v>
      </c>
      <c r="B3974" s="7" t="s">
        <v>16582</v>
      </c>
      <c r="C3974" s="7" t="s">
        <v>16817</v>
      </c>
      <c r="D3974" s="194">
        <v>2021.0</v>
      </c>
      <c r="E3974" s="193"/>
      <c r="F3974" s="195" t="s">
        <v>21932</v>
      </c>
      <c r="G3974" s="196">
        <v>1.006671014E9</v>
      </c>
      <c r="H3974" s="197">
        <v>1.74</v>
      </c>
      <c r="I3974" s="7" t="s">
        <v>16815</v>
      </c>
      <c r="J3974" s="7" t="s">
        <v>16582</v>
      </c>
      <c r="K3974" s="7" t="s">
        <v>16817</v>
      </c>
      <c r="L3974" s="198" t="s">
        <v>65</v>
      </c>
      <c r="M3974" s="194"/>
      <c r="N3974" s="194"/>
    </row>
    <row r="3975">
      <c r="A3975" s="193" t="s">
        <v>21931</v>
      </c>
      <c r="B3975" s="7" t="s">
        <v>16817</v>
      </c>
      <c r="C3975" s="7" t="s">
        <v>16582</v>
      </c>
      <c r="D3975" s="194">
        <v>2021.0</v>
      </c>
      <c r="E3975" s="193"/>
      <c r="F3975" s="195" t="s">
        <v>21932</v>
      </c>
      <c r="G3975" s="200">
        <v>1.006671014E9</v>
      </c>
      <c r="H3975" s="197">
        <v>1.74</v>
      </c>
      <c r="I3975" s="7" t="s">
        <v>16815</v>
      </c>
      <c r="J3975" s="7" t="s">
        <v>16817</v>
      </c>
      <c r="K3975" s="7" t="s">
        <v>16582</v>
      </c>
      <c r="L3975" s="201" t="s">
        <v>16835</v>
      </c>
      <c r="M3975" s="194"/>
      <c r="N3975" s="194"/>
    </row>
    <row r="3976">
      <c r="A3976" s="193" t="s">
        <v>21933</v>
      </c>
      <c r="B3976" s="7" t="s">
        <v>175</v>
      </c>
      <c r="C3976" s="7" t="s">
        <v>17168</v>
      </c>
      <c r="D3976" s="199"/>
      <c r="E3976" s="193"/>
      <c r="F3976" s="195" t="s">
        <v>21934</v>
      </c>
      <c r="G3976" s="196">
        <v>1.005182647E9</v>
      </c>
      <c r="H3976" s="197">
        <v>7.26</v>
      </c>
      <c r="I3976" s="7" t="s">
        <v>168</v>
      </c>
      <c r="J3976" s="7" t="s">
        <v>175</v>
      </c>
      <c r="K3976" s="7" t="s">
        <v>17168</v>
      </c>
      <c r="L3976" s="198" t="s">
        <v>65</v>
      </c>
      <c r="M3976" s="199"/>
      <c r="N3976" s="199"/>
    </row>
    <row r="3977">
      <c r="A3977" s="193" t="s">
        <v>21935</v>
      </c>
      <c r="B3977" s="7" t="s">
        <v>16582</v>
      </c>
      <c r="C3977" s="7" t="s">
        <v>16930</v>
      </c>
      <c r="D3977" s="194">
        <v>2000.0</v>
      </c>
      <c r="E3977" s="193"/>
      <c r="F3977" s="195" t="s">
        <v>21936</v>
      </c>
      <c r="G3977" s="196">
        <v>1.003679635E9</v>
      </c>
      <c r="H3977" s="197">
        <v>5.29</v>
      </c>
      <c r="I3977" s="7" t="s">
        <v>16815</v>
      </c>
      <c r="J3977" s="7" t="s">
        <v>16582</v>
      </c>
      <c r="K3977" s="7" t="s">
        <v>16930</v>
      </c>
      <c r="L3977" s="198" t="s">
        <v>65</v>
      </c>
      <c r="M3977" s="194"/>
      <c r="N3977" s="194"/>
    </row>
    <row r="3978">
      <c r="A3978" s="193" t="s">
        <v>21935</v>
      </c>
      <c r="B3978" s="7" t="s">
        <v>16930</v>
      </c>
      <c r="C3978" s="7" t="s">
        <v>16582</v>
      </c>
      <c r="D3978" s="194">
        <v>2000.0</v>
      </c>
      <c r="E3978" s="193"/>
      <c r="F3978" s="195" t="s">
        <v>21936</v>
      </c>
      <c r="G3978" s="200">
        <v>1.003679635E9</v>
      </c>
      <c r="H3978" s="197">
        <v>5.29</v>
      </c>
      <c r="I3978" s="7" t="s">
        <v>16815</v>
      </c>
      <c r="J3978" s="7" t="s">
        <v>16930</v>
      </c>
      <c r="K3978" s="7" t="s">
        <v>16582</v>
      </c>
      <c r="L3978" s="201" t="s">
        <v>16835</v>
      </c>
      <c r="M3978" s="194"/>
      <c r="N3978" s="194"/>
    </row>
    <row r="3979">
      <c r="A3979" s="193" t="s">
        <v>21937</v>
      </c>
      <c r="B3979" s="7" t="s">
        <v>175</v>
      </c>
      <c r="C3979" s="7" t="s">
        <v>16942</v>
      </c>
      <c r="D3979" s="194">
        <v>2021.0</v>
      </c>
      <c r="E3979" s="193"/>
      <c r="F3979" s="195" t="s">
        <v>21938</v>
      </c>
      <c r="G3979" s="196">
        <v>1.002839331E9</v>
      </c>
      <c r="H3979" s="197">
        <v>8.92</v>
      </c>
      <c r="I3979" s="7" t="s">
        <v>17242</v>
      </c>
      <c r="J3979" s="7" t="s">
        <v>175</v>
      </c>
      <c r="K3979" s="7" t="s">
        <v>16942</v>
      </c>
      <c r="L3979" s="198" t="s">
        <v>65</v>
      </c>
      <c r="M3979" s="194"/>
      <c r="N3979" s="194"/>
    </row>
    <row r="3980">
      <c r="A3980" s="193" t="s">
        <v>21937</v>
      </c>
      <c r="B3980" s="7" t="s">
        <v>16942</v>
      </c>
      <c r="C3980" s="7" t="s">
        <v>175</v>
      </c>
      <c r="D3980" s="194">
        <v>2021.0</v>
      </c>
      <c r="E3980" s="193"/>
      <c r="F3980" s="195" t="s">
        <v>21938</v>
      </c>
      <c r="G3980" s="200">
        <v>1.002839331E9</v>
      </c>
      <c r="H3980" s="197">
        <v>8.92</v>
      </c>
      <c r="I3980" s="7" t="s">
        <v>16815</v>
      </c>
      <c r="J3980" s="7" t="s">
        <v>16942</v>
      </c>
      <c r="K3980" s="7" t="s">
        <v>175</v>
      </c>
      <c r="L3980" s="201" t="s">
        <v>16835</v>
      </c>
      <c r="M3980" s="194"/>
      <c r="N3980" s="194"/>
    </row>
    <row r="3981">
      <c r="A3981" s="193" t="s">
        <v>21939</v>
      </c>
      <c r="B3981" s="7" t="s">
        <v>169</v>
      </c>
      <c r="C3981" s="7" t="s">
        <v>17495</v>
      </c>
      <c r="D3981" s="199"/>
      <c r="E3981" s="193"/>
      <c r="F3981" s="195" t="s">
        <v>21940</v>
      </c>
      <c r="G3981" s="196">
        <v>1.001152641E9</v>
      </c>
      <c r="H3981" s="197">
        <v>11.16</v>
      </c>
      <c r="I3981" s="7" t="s">
        <v>16815</v>
      </c>
      <c r="J3981" s="7" t="s">
        <v>169</v>
      </c>
      <c r="K3981" s="7" t="s">
        <v>17495</v>
      </c>
      <c r="L3981" s="198" t="s">
        <v>65</v>
      </c>
      <c r="M3981" s="199"/>
      <c r="N3981" s="199"/>
    </row>
    <row r="3982">
      <c r="A3982" s="193" t="s">
        <v>21941</v>
      </c>
      <c r="B3982" s="7" t="s">
        <v>16582</v>
      </c>
      <c r="C3982" s="7" t="s">
        <v>16828</v>
      </c>
      <c r="D3982" s="194">
        <v>2006.0</v>
      </c>
      <c r="E3982" s="193"/>
      <c r="F3982" s="195" t="s">
        <v>21942</v>
      </c>
      <c r="G3982" s="196">
        <v>1.001150854E9</v>
      </c>
      <c r="H3982" s="197">
        <v>5.74</v>
      </c>
      <c r="I3982" s="7" t="s">
        <v>16815</v>
      </c>
      <c r="J3982" s="7" t="s">
        <v>16582</v>
      </c>
      <c r="K3982" s="7" t="s">
        <v>16828</v>
      </c>
      <c r="L3982" s="198" t="s">
        <v>65</v>
      </c>
      <c r="M3982" s="194"/>
      <c r="N3982" s="194"/>
    </row>
    <row r="3983">
      <c r="A3983" s="193" t="s">
        <v>21943</v>
      </c>
      <c r="B3983" s="7" t="s">
        <v>187</v>
      </c>
      <c r="C3983" s="7" t="s">
        <v>16992</v>
      </c>
      <c r="D3983" s="194">
        <v>2021.0</v>
      </c>
      <c r="E3983" s="193"/>
      <c r="F3983" s="195" t="s">
        <v>21944</v>
      </c>
      <c r="G3983" s="196">
        <v>1.000918144E9</v>
      </c>
      <c r="H3983" s="197">
        <v>15.7</v>
      </c>
      <c r="I3983" s="7" t="s">
        <v>16815</v>
      </c>
      <c r="J3983" s="7" t="s">
        <v>187</v>
      </c>
      <c r="K3983" s="7" t="s">
        <v>16992</v>
      </c>
      <c r="L3983" s="198" t="s">
        <v>65</v>
      </c>
      <c r="M3983" s="194"/>
      <c r="N3983" s="194"/>
    </row>
    <row r="3984">
      <c r="A3984" s="193" t="s">
        <v>21945</v>
      </c>
      <c r="B3984" s="7" t="s">
        <v>16838</v>
      </c>
      <c r="C3984" s="7" t="s">
        <v>16867</v>
      </c>
      <c r="D3984" s="199"/>
      <c r="E3984" s="193"/>
      <c r="F3984" s="195" t="s">
        <v>21946</v>
      </c>
      <c r="G3984" s="196">
        <v>9.99393705E8</v>
      </c>
      <c r="H3984" s="197">
        <v>28.26</v>
      </c>
      <c r="I3984" s="7" t="s">
        <v>16815</v>
      </c>
      <c r="J3984" s="7" t="s">
        <v>16838</v>
      </c>
      <c r="K3984" s="7" t="s">
        <v>16867</v>
      </c>
      <c r="L3984" s="198" t="s">
        <v>65</v>
      </c>
      <c r="M3984" s="199"/>
      <c r="N3984" s="199"/>
    </row>
    <row r="3985">
      <c r="A3985" s="193" t="s">
        <v>21947</v>
      </c>
      <c r="B3985" s="7" t="s">
        <v>175</v>
      </c>
      <c r="C3985" s="7" t="s">
        <v>18500</v>
      </c>
      <c r="D3985" s="194">
        <v>2004.0</v>
      </c>
      <c r="E3985" s="193"/>
      <c r="F3985" s="195" t="s">
        <v>21948</v>
      </c>
      <c r="G3985" s="196">
        <v>9.98200239E8</v>
      </c>
      <c r="H3985" s="197">
        <v>50.8</v>
      </c>
      <c r="I3985" s="7" t="s">
        <v>17242</v>
      </c>
      <c r="J3985" s="7" t="s">
        <v>175</v>
      </c>
      <c r="K3985" s="7" t="s">
        <v>18500</v>
      </c>
      <c r="L3985" s="198" t="s">
        <v>65</v>
      </c>
      <c r="M3985" s="194"/>
      <c r="N3985" s="194"/>
    </row>
    <row r="3986">
      <c r="A3986" s="193" t="s">
        <v>21949</v>
      </c>
      <c r="B3986" s="7" t="s">
        <v>16838</v>
      </c>
      <c r="C3986" s="7" t="s">
        <v>16867</v>
      </c>
      <c r="D3986" s="199"/>
      <c r="E3986" s="193"/>
      <c r="F3986" s="195" t="s">
        <v>21950</v>
      </c>
      <c r="G3986" s="196">
        <v>9.94868605E8</v>
      </c>
      <c r="H3986" s="197">
        <v>23.32</v>
      </c>
      <c r="I3986" s="7" t="s">
        <v>16815</v>
      </c>
      <c r="J3986" s="7" t="s">
        <v>16838</v>
      </c>
      <c r="K3986" s="7" t="s">
        <v>16867</v>
      </c>
      <c r="L3986" s="198" t="s">
        <v>65</v>
      </c>
      <c r="M3986" s="199"/>
      <c r="N3986" s="199"/>
    </row>
    <row r="3987">
      <c r="A3987" s="193" t="s">
        <v>21951</v>
      </c>
      <c r="B3987" s="7" t="s">
        <v>158</v>
      </c>
      <c r="C3987" s="7" t="s">
        <v>17339</v>
      </c>
      <c r="D3987" s="199"/>
      <c r="E3987" s="193"/>
      <c r="F3987" s="195" t="s">
        <v>21952</v>
      </c>
      <c r="G3987" s="196">
        <v>9.9462849E8</v>
      </c>
      <c r="H3987" s="197">
        <v>83.86</v>
      </c>
      <c r="I3987" s="193" t="s">
        <v>17098</v>
      </c>
      <c r="J3987" s="7" t="s">
        <v>158</v>
      </c>
      <c r="K3987" s="7" t="s">
        <v>17339</v>
      </c>
      <c r="L3987" s="198" t="s">
        <v>65</v>
      </c>
      <c r="M3987" s="199"/>
      <c r="N3987" s="199"/>
    </row>
    <row r="3988">
      <c r="A3988" s="193" t="s">
        <v>21953</v>
      </c>
      <c r="B3988" s="7" t="s">
        <v>17127</v>
      </c>
      <c r="C3988" s="7" t="s">
        <v>16838</v>
      </c>
      <c r="D3988" s="194">
        <v>2020.0</v>
      </c>
      <c r="E3988" s="193"/>
      <c r="F3988" s="195" t="s">
        <v>21954</v>
      </c>
      <c r="G3988" s="200">
        <v>9.94313151E8</v>
      </c>
      <c r="H3988" s="197">
        <v>14.22</v>
      </c>
      <c r="I3988" s="7" t="s">
        <v>16815</v>
      </c>
      <c r="J3988" s="7" t="s">
        <v>17127</v>
      </c>
      <c r="K3988" s="7" t="s">
        <v>16838</v>
      </c>
      <c r="L3988" s="201" t="s">
        <v>16835</v>
      </c>
      <c r="M3988" s="194"/>
      <c r="N3988" s="194"/>
    </row>
    <row r="3989">
      <c r="A3989" s="193" t="s">
        <v>21953</v>
      </c>
      <c r="B3989" s="7" t="s">
        <v>16838</v>
      </c>
      <c r="C3989" s="7" t="s">
        <v>17127</v>
      </c>
      <c r="D3989" s="194">
        <v>2020.0</v>
      </c>
      <c r="E3989" s="193"/>
      <c r="F3989" s="195" t="s">
        <v>21954</v>
      </c>
      <c r="G3989" s="196">
        <v>9.94313151E8</v>
      </c>
      <c r="H3989" s="197">
        <v>14.22</v>
      </c>
      <c r="I3989" s="7" t="s">
        <v>16815</v>
      </c>
      <c r="J3989" s="7" t="s">
        <v>16838</v>
      </c>
      <c r="K3989" s="7" t="s">
        <v>17127</v>
      </c>
      <c r="L3989" s="198" t="s">
        <v>65</v>
      </c>
      <c r="M3989" s="194"/>
      <c r="N3989" s="194"/>
    </row>
    <row r="3990">
      <c r="A3990" s="193" t="s">
        <v>21955</v>
      </c>
      <c r="D3990" s="199"/>
      <c r="E3990" s="193"/>
      <c r="F3990" s="195" t="s">
        <v>21956</v>
      </c>
      <c r="G3990" s="196">
        <v>9.94146072E8</v>
      </c>
      <c r="H3990" s="197">
        <v>24.5412</v>
      </c>
      <c r="I3990" s="7" t="s">
        <v>16815</v>
      </c>
      <c r="L3990" s="198" t="s">
        <v>65</v>
      </c>
      <c r="M3990" s="199"/>
      <c r="N3990" s="199"/>
    </row>
    <row r="3991">
      <c r="A3991" s="193" t="s">
        <v>21957</v>
      </c>
      <c r="B3991" s="7" t="s">
        <v>17111</v>
      </c>
      <c r="C3991" s="7" t="s">
        <v>17112</v>
      </c>
      <c r="D3991" s="199"/>
      <c r="E3991" s="193"/>
      <c r="F3991" s="195" t="s">
        <v>21958</v>
      </c>
      <c r="G3991" s="200">
        <v>9.93679021E8</v>
      </c>
      <c r="H3991" s="197">
        <v>9.75</v>
      </c>
      <c r="I3991" s="7" t="s">
        <v>16815</v>
      </c>
      <c r="J3991" s="7" t="s">
        <v>17111</v>
      </c>
      <c r="K3991" s="7" t="s">
        <v>17112</v>
      </c>
      <c r="L3991" s="201" t="s">
        <v>16835</v>
      </c>
      <c r="M3991" s="199"/>
      <c r="N3991" s="199"/>
    </row>
    <row r="3992">
      <c r="A3992" s="193" t="s">
        <v>21957</v>
      </c>
      <c r="B3992" s="7" t="s">
        <v>17112</v>
      </c>
      <c r="C3992" s="7" t="s">
        <v>17111</v>
      </c>
      <c r="D3992" s="199"/>
      <c r="E3992" s="193"/>
      <c r="F3992" s="195" t="s">
        <v>21958</v>
      </c>
      <c r="G3992" s="196">
        <v>9.93679021E8</v>
      </c>
      <c r="H3992" s="197">
        <v>9.75</v>
      </c>
      <c r="I3992" s="7" t="s">
        <v>16815</v>
      </c>
      <c r="J3992" s="7" t="s">
        <v>17112</v>
      </c>
      <c r="K3992" s="7" t="s">
        <v>17111</v>
      </c>
      <c r="L3992" s="198" t="s">
        <v>65</v>
      </c>
      <c r="M3992" s="199"/>
      <c r="N3992" s="199"/>
    </row>
    <row r="3993">
      <c r="A3993" s="193" t="s">
        <v>21959</v>
      </c>
      <c r="B3993" s="7" t="s">
        <v>16582</v>
      </c>
      <c r="C3993" s="7" t="s">
        <v>16817</v>
      </c>
      <c r="D3993" s="194">
        <v>2003.0</v>
      </c>
      <c r="E3993" s="193"/>
      <c r="F3993" s="195" t="s">
        <v>21960</v>
      </c>
      <c r="G3993" s="196">
        <v>9.93491754E8</v>
      </c>
      <c r="H3993" s="197">
        <v>9.27</v>
      </c>
      <c r="I3993" s="7" t="s">
        <v>16815</v>
      </c>
      <c r="J3993" s="7" t="s">
        <v>16582</v>
      </c>
      <c r="K3993" s="7" t="s">
        <v>16817</v>
      </c>
      <c r="L3993" s="198" t="s">
        <v>65</v>
      </c>
      <c r="M3993" s="194"/>
      <c r="N3993" s="194"/>
    </row>
    <row r="3994">
      <c r="A3994" s="193" t="s">
        <v>21961</v>
      </c>
      <c r="B3994" s="7" t="s">
        <v>17019</v>
      </c>
      <c r="C3994" s="7" t="s">
        <v>16838</v>
      </c>
      <c r="D3994" s="194">
        <v>2022.0</v>
      </c>
      <c r="E3994" s="193"/>
      <c r="F3994" s="195" t="s">
        <v>21962</v>
      </c>
      <c r="G3994" s="200">
        <v>9.92213363E8</v>
      </c>
      <c r="H3994" s="197">
        <v>6.6</v>
      </c>
      <c r="I3994" s="7" t="s">
        <v>16815</v>
      </c>
      <c r="J3994" s="7" t="s">
        <v>17019</v>
      </c>
      <c r="K3994" s="7" t="s">
        <v>16838</v>
      </c>
      <c r="L3994" s="201" t="s">
        <v>16835</v>
      </c>
      <c r="M3994" s="194"/>
      <c r="N3994" s="194"/>
    </row>
    <row r="3995">
      <c r="A3995" s="193" t="s">
        <v>21961</v>
      </c>
      <c r="B3995" s="7" t="s">
        <v>16838</v>
      </c>
      <c r="C3995" s="7" t="s">
        <v>17019</v>
      </c>
      <c r="D3995" s="194">
        <v>2022.0</v>
      </c>
      <c r="E3995" s="193"/>
      <c r="F3995" s="195" t="s">
        <v>21962</v>
      </c>
      <c r="G3995" s="196">
        <v>9.92213363E8</v>
      </c>
      <c r="H3995" s="197">
        <v>6.6</v>
      </c>
      <c r="I3995" s="7" t="s">
        <v>16815</v>
      </c>
      <c r="J3995" s="7" t="s">
        <v>16838</v>
      </c>
      <c r="K3995" s="7" t="s">
        <v>17019</v>
      </c>
      <c r="L3995" s="198" t="s">
        <v>65</v>
      </c>
      <c r="M3995" s="194"/>
      <c r="N3995" s="194"/>
    </row>
    <row r="3996">
      <c r="A3996" s="193" t="s">
        <v>21963</v>
      </c>
      <c r="B3996" s="7" t="s">
        <v>158</v>
      </c>
      <c r="C3996" s="7" t="s">
        <v>16899</v>
      </c>
      <c r="D3996" s="199"/>
      <c r="E3996" s="193"/>
      <c r="F3996" s="195" t="s">
        <v>21964</v>
      </c>
      <c r="G3996" s="196">
        <v>9.91691875E8</v>
      </c>
      <c r="H3996" s="197">
        <v>3.32</v>
      </c>
      <c r="I3996" s="7" t="s">
        <v>17095</v>
      </c>
      <c r="J3996" s="7" t="s">
        <v>158</v>
      </c>
      <c r="K3996" s="7" t="s">
        <v>16899</v>
      </c>
      <c r="L3996" s="198" t="s">
        <v>65</v>
      </c>
      <c r="M3996" s="199"/>
      <c r="N3996" s="199"/>
    </row>
    <row r="3997">
      <c r="A3997" s="193" t="s">
        <v>21965</v>
      </c>
      <c r="B3997" s="7" t="s">
        <v>16838</v>
      </c>
      <c r="C3997" s="7" t="s">
        <v>18679</v>
      </c>
      <c r="D3997" s="194">
        <v>2018.0</v>
      </c>
      <c r="E3997" s="193"/>
      <c r="F3997" s="195" t="s">
        <v>21966</v>
      </c>
      <c r="G3997" s="196">
        <v>9.88448277E8</v>
      </c>
      <c r="H3997" s="197">
        <v>15.31</v>
      </c>
      <c r="I3997" s="7" t="s">
        <v>16924</v>
      </c>
      <c r="J3997" s="7" t="s">
        <v>16838</v>
      </c>
      <c r="K3997" s="7" t="s">
        <v>18679</v>
      </c>
      <c r="L3997" s="198" t="s">
        <v>65</v>
      </c>
      <c r="M3997" s="194"/>
      <c r="N3997" s="194"/>
    </row>
    <row r="3998">
      <c r="A3998" s="193" t="s">
        <v>21965</v>
      </c>
      <c r="B3998" s="7" t="s">
        <v>18679</v>
      </c>
      <c r="C3998" s="7" t="s">
        <v>16838</v>
      </c>
      <c r="D3998" s="194">
        <v>2018.0</v>
      </c>
      <c r="E3998" s="193"/>
      <c r="F3998" s="195" t="s">
        <v>21966</v>
      </c>
      <c r="G3998" s="200">
        <v>9.88448277E8</v>
      </c>
      <c r="H3998" s="197">
        <v>15.31</v>
      </c>
      <c r="I3998" s="7" t="s">
        <v>16815</v>
      </c>
      <c r="J3998" s="7" t="s">
        <v>18679</v>
      </c>
      <c r="K3998" s="7" t="s">
        <v>16838</v>
      </c>
      <c r="L3998" s="201" t="s">
        <v>16835</v>
      </c>
      <c r="M3998" s="194"/>
      <c r="N3998" s="194"/>
    </row>
    <row r="3999">
      <c r="A3999" s="193" t="s">
        <v>21967</v>
      </c>
      <c r="B3999" s="7" t="s">
        <v>187</v>
      </c>
      <c r="C3999" s="7" t="s">
        <v>16846</v>
      </c>
      <c r="D3999" s="194">
        <v>2021.0</v>
      </c>
      <c r="E3999" s="193"/>
      <c r="F3999" s="195" t="s">
        <v>21968</v>
      </c>
      <c r="G3999" s="196">
        <v>9.8793729E8</v>
      </c>
      <c r="H3999" s="197">
        <v>11.35</v>
      </c>
      <c r="I3999" s="7" t="s">
        <v>16815</v>
      </c>
      <c r="J3999" s="7" t="s">
        <v>187</v>
      </c>
      <c r="K3999" s="7" t="s">
        <v>16846</v>
      </c>
      <c r="L3999" s="198" t="s">
        <v>65</v>
      </c>
      <c r="M3999" s="194"/>
      <c r="N3999" s="194"/>
    </row>
    <row r="4000">
      <c r="A4000" s="193" t="s">
        <v>21969</v>
      </c>
      <c r="B4000" s="7" t="s">
        <v>16838</v>
      </c>
      <c r="C4000" s="7" t="s">
        <v>17127</v>
      </c>
      <c r="D4000" s="199"/>
      <c r="E4000" s="193"/>
      <c r="F4000" s="195" t="s">
        <v>21970</v>
      </c>
      <c r="G4000" s="196">
        <v>9.86986567E8</v>
      </c>
      <c r="H4000" s="197">
        <v>16.29</v>
      </c>
      <c r="I4000" s="7" t="s">
        <v>16815</v>
      </c>
      <c r="J4000" s="7" t="s">
        <v>16838</v>
      </c>
      <c r="K4000" s="7" t="s">
        <v>17127</v>
      </c>
      <c r="L4000" s="198" t="s">
        <v>65</v>
      </c>
      <c r="M4000" s="199"/>
      <c r="N4000" s="199"/>
    </row>
    <row r="4001">
      <c r="A4001" s="193" t="s">
        <v>21971</v>
      </c>
      <c r="B4001" s="7" t="s">
        <v>169</v>
      </c>
      <c r="C4001" s="7" t="s">
        <v>17025</v>
      </c>
      <c r="D4001" s="194">
        <v>1996.0</v>
      </c>
      <c r="E4001" s="193"/>
      <c r="F4001" s="195" t="s">
        <v>21972</v>
      </c>
      <c r="G4001" s="196">
        <v>9.86577737E8</v>
      </c>
      <c r="H4001" s="197">
        <v>34.33</v>
      </c>
      <c r="I4001" s="7" t="s">
        <v>16815</v>
      </c>
      <c r="J4001" s="7" t="s">
        <v>169</v>
      </c>
      <c r="K4001" s="7" t="s">
        <v>17025</v>
      </c>
      <c r="L4001" s="198" t="s">
        <v>65</v>
      </c>
      <c r="M4001" s="194"/>
      <c r="N4001" s="194"/>
    </row>
    <row r="4002">
      <c r="A4002" s="193" t="s">
        <v>21973</v>
      </c>
      <c r="B4002" s="7" t="s">
        <v>175</v>
      </c>
      <c r="C4002" s="7" t="s">
        <v>17350</v>
      </c>
      <c r="D4002" s="199"/>
      <c r="E4002" s="193"/>
      <c r="F4002" s="195" t="s">
        <v>21974</v>
      </c>
      <c r="G4002" s="196">
        <v>9.8553074E8</v>
      </c>
      <c r="H4002" s="197">
        <v>44.65</v>
      </c>
      <c r="I4002" s="7" t="s">
        <v>16826</v>
      </c>
      <c r="J4002" s="7" t="s">
        <v>175</v>
      </c>
      <c r="K4002" s="7" t="s">
        <v>17350</v>
      </c>
      <c r="L4002" s="198" t="s">
        <v>65</v>
      </c>
      <c r="M4002" s="199"/>
      <c r="N4002" s="199"/>
    </row>
    <row r="4003">
      <c r="A4003" s="193" t="s">
        <v>21975</v>
      </c>
      <c r="B4003" s="7" t="s">
        <v>16885</v>
      </c>
      <c r="C4003" s="7" t="s">
        <v>20119</v>
      </c>
      <c r="D4003" s="194">
        <v>2003.0</v>
      </c>
      <c r="E4003" s="193"/>
      <c r="F4003" s="195" t="s">
        <v>21976</v>
      </c>
      <c r="G4003" s="196">
        <v>9.85145579E8</v>
      </c>
      <c r="H4003" s="197">
        <v>23.94</v>
      </c>
      <c r="I4003" s="7" t="s">
        <v>16888</v>
      </c>
      <c r="J4003" s="7" t="s">
        <v>16885</v>
      </c>
      <c r="K4003" s="7" t="s">
        <v>20119</v>
      </c>
      <c r="L4003" s="198" t="s">
        <v>65</v>
      </c>
      <c r="M4003" s="194"/>
      <c r="N4003" s="194"/>
    </row>
    <row r="4004">
      <c r="A4004" s="193" t="s">
        <v>21975</v>
      </c>
      <c r="B4004" s="7" t="s">
        <v>20119</v>
      </c>
      <c r="C4004" s="7" t="s">
        <v>16885</v>
      </c>
      <c r="D4004" s="194">
        <v>2003.0</v>
      </c>
      <c r="E4004" s="193"/>
      <c r="F4004" s="195" t="s">
        <v>21976</v>
      </c>
      <c r="G4004" s="200">
        <v>9.85145579E8</v>
      </c>
      <c r="H4004" s="197">
        <v>23.94</v>
      </c>
      <c r="I4004" s="7" t="s">
        <v>16815</v>
      </c>
      <c r="J4004" s="7" t="s">
        <v>20119</v>
      </c>
      <c r="K4004" s="7" t="s">
        <v>16885</v>
      </c>
      <c r="L4004" s="201" t="s">
        <v>16835</v>
      </c>
      <c r="M4004" s="194"/>
      <c r="N4004" s="194"/>
    </row>
    <row r="4005">
      <c r="A4005" s="193" t="s">
        <v>21977</v>
      </c>
      <c r="B4005" s="7" t="s">
        <v>169</v>
      </c>
      <c r="C4005" s="7" t="s">
        <v>17043</v>
      </c>
      <c r="D4005" s="194">
        <v>1986.0</v>
      </c>
      <c r="E4005" s="193"/>
      <c r="F4005" s="195" t="s">
        <v>21978</v>
      </c>
      <c r="G4005" s="196">
        <v>9.84682089E8</v>
      </c>
      <c r="H4005" s="197">
        <v>12.46</v>
      </c>
      <c r="I4005" s="7" t="s">
        <v>16815</v>
      </c>
      <c r="J4005" s="7" t="s">
        <v>169</v>
      </c>
      <c r="K4005" s="7" t="s">
        <v>17043</v>
      </c>
      <c r="L4005" s="198" t="s">
        <v>65</v>
      </c>
      <c r="M4005" s="194"/>
      <c r="N4005" s="194"/>
    </row>
    <row r="4006">
      <c r="A4006" s="193" t="s">
        <v>21979</v>
      </c>
      <c r="B4006" s="7" t="s">
        <v>175</v>
      </c>
      <c r="C4006" s="7" t="s">
        <v>16842</v>
      </c>
      <c r="D4006" s="194">
        <v>2018.0</v>
      </c>
      <c r="E4006" s="193"/>
      <c r="F4006" s="195" t="s">
        <v>21980</v>
      </c>
      <c r="G4006" s="196">
        <v>9.81547019E8</v>
      </c>
      <c r="H4006" s="197">
        <v>0.9657</v>
      </c>
      <c r="I4006" s="7" t="s">
        <v>168</v>
      </c>
      <c r="J4006" s="7" t="s">
        <v>175</v>
      </c>
      <c r="K4006" s="7" t="s">
        <v>16842</v>
      </c>
      <c r="L4006" s="198" t="s">
        <v>65</v>
      </c>
      <c r="M4006" s="194"/>
      <c r="N4006" s="194"/>
    </row>
    <row r="4007">
      <c r="A4007" s="193" t="s">
        <v>21981</v>
      </c>
      <c r="B4007" s="7" t="s">
        <v>169</v>
      </c>
      <c r="C4007" s="7" t="s">
        <v>17509</v>
      </c>
      <c r="D4007" s="194">
        <v>2007.0</v>
      </c>
      <c r="E4007" s="193"/>
      <c r="F4007" s="195" t="s">
        <v>21982</v>
      </c>
      <c r="G4007" s="196">
        <v>9.81521754E8</v>
      </c>
      <c r="H4007" s="197">
        <v>23.7</v>
      </c>
      <c r="I4007" s="7" t="s">
        <v>16815</v>
      </c>
      <c r="J4007" s="7" t="s">
        <v>169</v>
      </c>
      <c r="K4007" s="7" t="s">
        <v>17509</v>
      </c>
      <c r="L4007" s="198" t="s">
        <v>65</v>
      </c>
      <c r="M4007" s="194"/>
      <c r="N4007" s="194"/>
    </row>
    <row r="4008">
      <c r="A4008" s="193" t="s">
        <v>21983</v>
      </c>
      <c r="B4008" s="7" t="s">
        <v>16582</v>
      </c>
      <c r="C4008" s="7" t="s">
        <v>16930</v>
      </c>
      <c r="D4008" s="194">
        <v>2020.0</v>
      </c>
      <c r="E4008" s="193"/>
      <c r="F4008" s="195" t="s">
        <v>21984</v>
      </c>
      <c r="G4008" s="196">
        <v>9.79670286E8</v>
      </c>
      <c r="H4008" s="197">
        <v>3.23</v>
      </c>
      <c r="I4008" s="7" t="s">
        <v>16815</v>
      </c>
      <c r="J4008" s="7" t="s">
        <v>16582</v>
      </c>
      <c r="K4008" s="7" t="s">
        <v>16930</v>
      </c>
      <c r="L4008" s="198" t="s">
        <v>65</v>
      </c>
      <c r="M4008" s="194"/>
      <c r="N4008" s="194"/>
    </row>
    <row r="4009">
      <c r="A4009" s="193" t="s">
        <v>21983</v>
      </c>
      <c r="B4009" s="7" t="s">
        <v>16930</v>
      </c>
      <c r="C4009" s="7" t="s">
        <v>16582</v>
      </c>
      <c r="D4009" s="194">
        <v>2020.0</v>
      </c>
      <c r="E4009" s="193"/>
      <c r="F4009" s="195" t="s">
        <v>21984</v>
      </c>
      <c r="G4009" s="200">
        <v>9.79670286E8</v>
      </c>
      <c r="H4009" s="197">
        <v>3.23</v>
      </c>
      <c r="I4009" s="7" t="s">
        <v>16815</v>
      </c>
      <c r="J4009" s="7" t="s">
        <v>16930</v>
      </c>
      <c r="K4009" s="7" t="s">
        <v>16582</v>
      </c>
      <c r="L4009" s="201" t="s">
        <v>16835</v>
      </c>
      <c r="M4009" s="194"/>
      <c r="N4009" s="194"/>
    </row>
    <row r="4010">
      <c r="A4010" s="193" t="s">
        <v>21985</v>
      </c>
      <c r="B4010" s="7" t="s">
        <v>175</v>
      </c>
      <c r="C4010" s="7" t="s">
        <v>16972</v>
      </c>
      <c r="D4010" s="199"/>
      <c r="E4010" s="193"/>
      <c r="F4010" s="195" t="s">
        <v>21986</v>
      </c>
      <c r="G4010" s="196">
        <v>9.78881504E8</v>
      </c>
      <c r="H4010" s="197">
        <v>11.44</v>
      </c>
      <c r="I4010" s="7" t="s">
        <v>16908</v>
      </c>
      <c r="J4010" s="7" t="s">
        <v>175</v>
      </c>
      <c r="K4010" s="7" t="s">
        <v>16972</v>
      </c>
      <c r="L4010" s="198" t="s">
        <v>65</v>
      </c>
      <c r="M4010" s="199"/>
      <c r="N4010" s="199"/>
    </row>
    <row r="4011">
      <c r="A4011" s="193" t="s">
        <v>21985</v>
      </c>
      <c r="B4011" s="7" t="s">
        <v>16972</v>
      </c>
      <c r="C4011" s="7" t="s">
        <v>175</v>
      </c>
      <c r="D4011" s="199"/>
      <c r="E4011" s="193"/>
      <c r="F4011" s="195" t="s">
        <v>21986</v>
      </c>
      <c r="G4011" s="200">
        <v>9.78881504E8</v>
      </c>
      <c r="H4011" s="197">
        <v>11.44</v>
      </c>
      <c r="I4011" s="7" t="s">
        <v>16815</v>
      </c>
      <c r="J4011" s="7" t="s">
        <v>16972</v>
      </c>
      <c r="K4011" s="7" t="s">
        <v>175</v>
      </c>
      <c r="L4011" s="201" t="s">
        <v>16835</v>
      </c>
      <c r="M4011" s="199"/>
      <c r="N4011" s="199"/>
    </row>
    <row r="4012">
      <c r="A4012" s="193" t="s">
        <v>21987</v>
      </c>
      <c r="B4012" s="7" t="s">
        <v>17112</v>
      </c>
      <c r="C4012" s="7" t="s">
        <v>17111</v>
      </c>
      <c r="D4012" s="194">
        <v>2022.0</v>
      </c>
      <c r="E4012" s="193"/>
      <c r="F4012" s="195" t="s">
        <v>21988</v>
      </c>
      <c r="G4012" s="196">
        <v>9.78575938E8</v>
      </c>
      <c r="H4012" s="197">
        <v>21.58</v>
      </c>
      <c r="I4012" s="7" t="s">
        <v>16815</v>
      </c>
      <c r="J4012" s="7" t="s">
        <v>17112</v>
      </c>
      <c r="K4012" s="7" t="s">
        <v>17111</v>
      </c>
      <c r="L4012" s="198" t="s">
        <v>65</v>
      </c>
      <c r="M4012" s="194"/>
      <c r="N4012" s="194"/>
    </row>
    <row r="4013">
      <c r="A4013" s="193" t="s">
        <v>21987</v>
      </c>
      <c r="B4013" s="202" t="s">
        <v>17111</v>
      </c>
      <c r="C4013" s="193" t="s">
        <v>17112</v>
      </c>
      <c r="D4013" s="193">
        <v>2022.0</v>
      </c>
      <c r="E4013" s="193"/>
      <c r="F4013" s="203" t="s">
        <v>21988</v>
      </c>
      <c r="G4013" s="200">
        <v>9.78575938E8</v>
      </c>
      <c r="H4013" s="205">
        <v>9.89</v>
      </c>
      <c r="J4013" s="202" t="s">
        <v>17111</v>
      </c>
      <c r="K4013" s="193" t="s">
        <v>17112</v>
      </c>
      <c r="L4013" s="193" t="s">
        <v>17471</v>
      </c>
      <c r="M4013" s="193"/>
      <c r="N4013" s="193"/>
    </row>
    <row r="4014">
      <c r="A4014" s="193" t="s">
        <v>21989</v>
      </c>
      <c r="B4014" s="7" t="s">
        <v>17111</v>
      </c>
      <c r="C4014" s="7" t="s">
        <v>17112</v>
      </c>
      <c r="D4014" s="199"/>
      <c r="E4014" s="193"/>
      <c r="F4014" s="195" t="s">
        <v>21990</v>
      </c>
      <c r="G4014" s="200">
        <v>9.78403545E8</v>
      </c>
      <c r="H4014" s="197">
        <v>191.57</v>
      </c>
      <c r="I4014" s="7" t="s">
        <v>16815</v>
      </c>
      <c r="J4014" s="7" t="s">
        <v>17111</v>
      </c>
      <c r="K4014" s="7" t="s">
        <v>17112</v>
      </c>
      <c r="L4014" s="201" t="s">
        <v>16835</v>
      </c>
      <c r="M4014" s="199"/>
      <c r="N4014" s="199"/>
    </row>
    <row r="4015">
      <c r="A4015" s="193" t="s">
        <v>21989</v>
      </c>
      <c r="B4015" s="7" t="s">
        <v>17112</v>
      </c>
      <c r="C4015" s="7" t="s">
        <v>17111</v>
      </c>
      <c r="D4015" s="199"/>
      <c r="E4015" s="193"/>
      <c r="F4015" s="195" t="s">
        <v>21990</v>
      </c>
      <c r="G4015" s="196">
        <v>9.78403545E8</v>
      </c>
      <c r="H4015" s="197">
        <v>191.57</v>
      </c>
      <c r="I4015" s="7" t="s">
        <v>16815</v>
      </c>
      <c r="J4015" s="7" t="s">
        <v>17112</v>
      </c>
      <c r="K4015" s="7" t="s">
        <v>17111</v>
      </c>
      <c r="L4015" s="198" t="s">
        <v>65</v>
      </c>
      <c r="M4015" s="199"/>
      <c r="N4015" s="199"/>
    </row>
    <row r="4016">
      <c r="A4016" s="193" t="s">
        <v>21991</v>
      </c>
      <c r="B4016" s="7" t="s">
        <v>187</v>
      </c>
      <c r="C4016" s="7" t="s">
        <v>16846</v>
      </c>
      <c r="D4016" s="194">
        <v>2015.0</v>
      </c>
      <c r="E4016" s="193"/>
      <c r="F4016" s="195" t="s">
        <v>21992</v>
      </c>
      <c r="G4016" s="196">
        <v>9.7828316E8</v>
      </c>
      <c r="H4016" s="197">
        <v>9.78</v>
      </c>
      <c r="I4016" s="7" t="s">
        <v>16815</v>
      </c>
      <c r="J4016" s="7" t="s">
        <v>187</v>
      </c>
      <c r="K4016" s="7" t="s">
        <v>16846</v>
      </c>
      <c r="L4016" s="198" t="s">
        <v>65</v>
      </c>
      <c r="M4016" s="194"/>
      <c r="N4016" s="194"/>
    </row>
    <row r="4017">
      <c r="A4017" s="193" t="s">
        <v>21993</v>
      </c>
      <c r="B4017" s="7" t="s">
        <v>17127</v>
      </c>
      <c r="C4017" s="7" t="s">
        <v>16838</v>
      </c>
      <c r="D4017" s="194">
        <v>2007.0</v>
      </c>
      <c r="E4017" s="193"/>
      <c r="F4017" s="195" t="s">
        <v>21994</v>
      </c>
      <c r="G4017" s="200">
        <v>9.78157346E8</v>
      </c>
      <c r="H4017" s="197">
        <v>38.03</v>
      </c>
      <c r="I4017" s="7" t="s">
        <v>16815</v>
      </c>
      <c r="J4017" s="7" t="s">
        <v>17127</v>
      </c>
      <c r="K4017" s="7" t="s">
        <v>16838</v>
      </c>
      <c r="L4017" s="201" t="s">
        <v>16835</v>
      </c>
      <c r="M4017" s="194"/>
      <c r="N4017" s="194"/>
    </row>
    <row r="4018">
      <c r="A4018" s="193" t="s">
        <v>21993</v>
      </c>
      <c r="B4018" s="7" t="s">
        <v>16838</v>
      </c>
      <c r="C4018" s="7" t="s">
        <v>17127</v>
      </c>
      <c r="D4018" s="194">
        <v>2007.0</v>
      </c>
      <c r="E4018" s="193"/>
      <c r="F4018" s="195" t="s">
        <v>21994</v>
      </c>
      <c r="G4018" s="196">
        <v>9.78157346E8</v>
      </c>
      <c r="H4018" s="197">
        <v>38.03</v>
      </c>
      <c r="I4018" s="7" t="s">
        <v>16815</v>
      </c>
      <c r="J4018" s="7" t="s">
        <v>16838</v>
      </c>
      <c r="K4018" s="7" t="s">
        <v>17127</v>
      </c>
      <c r="L4018" s="198" t="s">
        <v>65</v>
      </c>
      <c r="M4018" s="194"/>
      <c r="N4018" s="194"/>
    </row>
    <row r="4019">
      <c r="A4019" s="193" t="s">
        <v>21995</v>
      </c>
      <c r="B4019" s="7" t="s">
        <v>17112</v>
      </c>
      <c r="C4019" s="7" t="s">
        <v>17218</v>
      </c>
      <c r="D4019" s="194">
        <v>2013.0</v>
      </c>
      <c r="E4019" s="193"/>
      <c r="F4019" s="195" t="s">
        <v>21996</v>
      </c>
      <c r="G4019" s="196">
        <v>9.77478026E8</v>
      </c>
      <c r="H4019" s="197">
        <v>8.44</v>
      </c>
      <c r="I4019" s="7" t="s">
        <v>16815</v>
      </c>
      <c r="J4019" s="7" t="s">
        <v>17112</v>
      </c>
      <c r="K4019" s="7" t="s">
        <v>17218</v>
      </c>
      <c r="L4019" s="198" t="s">
        <v>65</v>
      </c>
      <c r="M4019" s="194"/>
      <c r="N4019" s="194"/>
    </row>
    <row r="4020">
      <c r="A4020" s="193" t="s">
        <v>21995</v>
      </c>
      <c r="B4020" s="7" t="s">
        <v>17218</v>
      </c>
      <c r="C4020" s="7" t="s">
        <v>17112</v>
      </c>
      <c r="D4020" s="194">
        <v>2013.0</v>
      </c>
      <c r="E4020" s="193"/>
      <c r="F4020" s="195" t="s">
        <v>21996</v>
      </c>
      <c r="G4020" s="200">
        <v>9.77478026E8</v>
      </c>
      <c r="H4020" s="197">
        <v>8.44</v>
      </c>
      <c r="I4020" s="7" t="s">
        <v>16815</v>
      </c>
      <c r="J4020" s="7" t="s">
        <v>17218</v>
      </c>
      <c r="K4020" s="7" t="s">
        <v>17112</v>
      </c>
      <c r="L4020" s="201" t="s">
        <v>16835</v>
      </c>
      <c r="M4020" s="194"/>
      <c r="N4020" s="194"/>
    </row>
    <row r="4021">
      <c r="A4021" s="193" t="s">
        <v>21997</v>
      </c>
      <c r="B4021" s="7" t="s">
        <v>175</v>
      </c>
      <c r="C4021" s="7" t="s">
        <v>17509</v>
      </c>
      <c r="D4021" s="194">
        <v>2019.0</v>
      </c>
      <c r="E4021" s="193"/>
      <c r="F4021" s="195" t="s">
        <v>21998</v>
      </c>
      <c r="G4021" s="196">
        <v>9.75746302E8</v>
      </c>
      <c r="H4021" s="197">
        <v>2.71</v>
      </c>
      <c r="I4021" s="7" t="s">
        <v>16908</v>
      </c>
      <c r="J4021" s="7" t="s">
        <v>175</v>
      </c>
      <c r="K4021" s="7" t="s">
        <v>17509</v>
      </c>
      <c r="L4021" s="198" t="s">
        <v>65</v>
      </c>
      <c r="M4021" s="194"/>
      <c r="N4021" s="194"/>
    </row>
    <row r="4022">
      <c r="A4022" s="193" t="s">
        <v>21997</v>
      </c>
      <c r="B4022" s="7" t="s">
        <v>17509</v>
      </c>
      <c r="C4022" s="7" t="s">
        <v>175</v>
      </c>
      <c r="D4022" s="194">
        <v>2019.0</v>
      </c>
      <c r="E4022" s="193"/>
      <c r="F4022" s="195" t="s">
        <v>21998</v>
      </c>
      <c r="G4022" s="200">
        <v>9.75746302E8</v>
      </c>
      <c r="H4022" s="197">
        <v>2.71</v>
      </c>
      <c r="I4022" s="7" t="s">
        <v>16815</v>
      </c>
      <c r="J4022" s="7" t="s">
        <v>17509</v>
      </c>
      <c r="K4022" s="7" t="s">
        <v>175</v>
      </c>
      <c r="L4022" s="201" t="s">
        <v>16835</v>
      </c>
      <c r="M4022" s="194"/>
      <c r="N4022" s="194"/>
    </row>
    <row r="4023">
      <c r="A4023" s="193" t="s">
        <v>21999</v>
      </c>
      <c r="B4023" s="7" t="s">
        <v>175</v>
      </c>
      <c r="C4023" s="7" t="s">
        <v>17475</v>
      </c>
      <c r="D4023" s="194">
        <v>2021.0</v>
      </c>
      <c r="E4023" s="193"/>
      <c r="F4023" s="195" t="s">
        <v>22000</v>
      </c>
      <c r="G4023" s="196">
        <v>9.75601E8</v>
      </c>
      <c r="H4023" s="197">
        <v>28.61</v>
      </c>
      <c r="I4023" s="7" t="s">
        <v>17270</v>
      </c>
      <c r="J4023" s="7" t="s">
        <v>175</v>
      </c>
      <c r="K4023" s="7" t="s">
        <v>17475</v>
      </c>
      <c r="L4023" s="198" t="s">
        <v>65</v>
      </c>
      <c r="M4023" s="194"/>
      <c r="N4023" s="194"/>
    </row>
    <row r="4024">
      <c r="A4024" s="193" t="s">
        <v>21999</v>
      </c>
      <c r="B4024" s="7" t="s">
        <v>17475</v>
      </c>
      <c r="C4024" s="7" t="s">
        <v>175</v>
      </c>
      <c r="D4024" s="194">
        <v>2021.0</v>
      </c>
      <c r="E4024" s="193"/>
      <c r="F4024" s="195" t="s">
        <v>22000</v>
      </c>
      <c r="G4024" s="200">
        <v>9.75601E8</v>
      </c>
      <c r="H4024" s="197">
        <v>28.61</v>
      </c>
      <c r="I4024" s="7" t="s">
        <v>16815</v>
      </c>
      <c r="J4024" s="7" t="s">
        <v>17475</v>
      </c>
      <c r="K4024" s="7" t="s">
        <v>175</v>
      </c>
      <c r="L4024" s="201" t="s">
        <v>16835</v>
      </c>
      <c r="M4024" s="194"/>
      <c r="N4024" s="194"/>
    </row>
    <row r="4025">
      <c r="A4025" s="193" t="s">
        <v>22001</v>
      </c>
      <c r="B4025" s="7" t="s">
        <v>187</v>
      </c>
      <c r="C4025" s="7" t="s">
        <v>16846</v>
      </c>
      <c r="D4025" s="199"/>
      <c r="E4025" s="193"/>
      <c r="F4025" s="195" t="s">
        <v>22002</v>
      </c>
      <c r="G4025" s="196">
        <v>9.74051232E8</v>
      </c>
      <c r="H4025" s="197">
        <v>1.26</v>
      </c>
      <c r="I4025" s="7" t="s">
        <v>16815</v>
      </c>
      <c r="J4025" s="7" t="s">
        <v>187</v>
      </c>
      <c r="K4025" s="7" t="s">
        <v>16846</v>
      </c>
      <c r="L4025" s="198" t="s">
        <v>65</v>
      </c>
      <c r="M4025" s="199"/>
      <c r="N4025" s="199"/>
    </row>
    <row r="4026">
      <c r="A4026" s="193" t="s">
        <v>22003</v>
      </c>
      <c r="B4026" s="7" t="s">
        <v>169</v>
      </c>
      <c r="C4026" s="7" t="s">
        <v>17025</v>
      </c>
      <c r="D4026" s="194">
        <v>1991.0</v>
      </c>
      <c r="E4026" s="193"/>
      <c r="F4026" s="195" t="s">
        <v>22004</v>
      </c>
      <c r="G4026" s="196">
        <v>9.72442093E8</v>
      </c>
      <c r="H4026" s="197">
        <v>21.1</v>
      </c>
      <c r="I4026" s="7" t="s">
        <v>16815</v>
      </c>
      <c r="J4026" s="7" t="s">
        <v>169</v>
      </c>
      <c r="K4026" s="7" t="s">
        <v>17025</v>
      </c>
      <c r="L4026" s="198" t="s">
        <v>65</v>
      </c>
      <c r="M4026" s="194"/>
      <c r="N4026" s="194"/>
    </row>
    <row r="4027">
      <c r="A4027" s="193" t="s">
        <v>22003</v>
      </c>
      <c r="B4027" s="7" t="s">
        <v>17025</v>
      </c>
      <c r="C4027" s="7" t="s">
        <v>169</v>
      </c>
      <c r="D4027" s="194">
        <v>1991.0</v>
      </c>
      <c r="E4027" s="193"/>
      <c r="F4027" s="195" t="s">
        <v>22004</v>
      </c>
      <c r="G4027" s="200">
        <v>9.72442093E8</v>
      </c>
      <c r="H4027" s="197">
        <v>21.1</v>
      </c>
      <c r="I4027" s="7" t="s">
        <v>16815</v>
      </c>
      <c r="J4027" s="7" t="s">
        <v>17025</v>
      </c>
      <c r="K4027" s="7" t="s">
        <v>169</v>
      </c>
      <c r="L4027" s="201" t="s">
        <v>16835</v>
      </c>
      <c r="M4027" s="194"/>
      <c r="N4027" s="194"/>
    </row>
    <row r="4028">
      <c r="A4028" s="193" t="s">
        <v>22005</v>
      </c>
      <c r="B4028" s="7" t="s">
        <v>16838</v>
      </c>
      <c r="C4028" s="7" t="s">
        <v>16867</v>
      </c>
      <c r="D4028" s="194">
        <v>2014.0</v>
      </c>
      <c r="E4028" s="193"/>
      <c r="F4028" s="195" t="s">
        <v>22006</v>
      </c>
      <c r="G4028" s="196">
        <v>9.68568891E8</v>
      </c>
      <c r="H4028" s="197">
        <v>17.83</v>
      </c>
      <c r="I4028" s="7" t="s">
        <v>16815</v>
      </c>
      <c r="J4028" s="7" t="s">
        <v>16838</v>
      </c>
      <c r="K4028" s="7" t="s">
        <v>16867</v>
      </c>
      <c r="L4028" s="198" t="s">
        <v>65</v>
      </c>
      <c r="M4028" s="194"/>
      <c r="N4028" s="194"/>
    </row>
    <row r="4029">
      <c r="A4029" s="193" t="s">
        <v>22007</v>
      </c>
      <c r="B4029" s="7" t="s">
        <v>187</v>
      </c>
      <c r="C4029" s="7" t="s">
        <v>16858</v>
      </c>
      <c r="D4029" s="194">
        <v>2018.0</v>
      </c>
      <c r="E4029" s="193"/>
      <c r="F4029" s="195" t="s">
        <v>22008</v>
      </c>
      <c r="G4029" s="196">
        <v>9.6827273E8</v>
      </c>
      <c r="H4029" s="197">
        <v>16.87</v>
      </c>
      <c r="I4029" s="7" t="s">
        <v>16815</v>
      </c>
      <c r="J4029" s="7" t="s">
        <v>187</v>
      </c>
      <c r="K4029" s="7" t="s">
        <v>16858</v>
      </c>
      <c r="L4029" s="198" t="s">
        <v>65</v>
      </c>
      <c r="M4029" s="194"/>
      <c r="N4029" s="194"/>
    </row>
    <row r="4030">
      <c r="A4030" s="193" t="s">
        <v>22009</v>
      </c>
      <c r="B4030" s="7" t="s">
        <v>16838</v>
      </c>
      <c r="C4030" s="7" t="s">
        <v>17127</v>
      </c>
      <c r="D4030" s="194">
        <v>2005.0</v>
      </c>
      <c r="E4030" s="193"/>
      <c r="F4030" s="195" t="s">
        <v>22010</v>
      </c>
      <c r="G4030" s="196">
        <v>9.66376515E8</v>
      </c>
      <c r="H4030" s="197">
        <v>50.38</v>
      </c>
      <c r="I4030" s="7" t="s">
        <v>16924</v>
      </c>
      <c r="J4030" s="7" t="s">
        <v>16838</v>
      </c>
      <c r="K4030" s="7" t="s">
        <v>17127</v>
      </c>
      <c r="L4030" s="198" t="s">
        <v>65</v>
      </c>
      <c r="M4030" s="194"/>
      <c r="N4030" s="194"/>
    </row>
    <row r="4031">
      <c r="A4031" s="193" t="s">
        <v>22011</v>
      </c>
      <c r="B4031" s="7" t="s">
        <v>175</v>
      </c>
      <c r="C4031" s="7" t="s">
        <v>16972</v>
      </c>
      <c r="D4031" s="194">
        <v>2020.0</v>
      </c>
      <c r="E4031" s="193"/>
      <c r="F4031" s="195" t="s">
        <v>22012</v>
      </c>
      <c r="G4031" s="196">
        <v>9.64629384E8</v>
      </c>
      <c r="H4031" s="197">
        <v>4.34</v>
      </c>
      <c r="I4031" s="7" t="s">
        <v>17033</v>
      </c>
      <c r="J4031" s="7" t="s">
        <v>175</v>
      </c>
      <c r="K4031" s="7" t="s">
        <v>16972</v>
      </c>
      <c r="L4031" s="198" t="s">
        <v>65</v>
      </c>
      <c r="M4031" s="194"/>
      <c r="N4031" s="194"/>
    </row>
    <row r="4032">
      <c r="A4032" s="193" t="s">
        <v>22011</v>
      </c>
      <c r="B4032" s="7" t="s">
        <v>16972</v>
      </c>
      <c r="C4032" s="7" t="s">
        <v>175</v>
      </c>
      <c r="D4032" s="194">
        <v>2020.0</v>
      </c>
      <c r="E4032" s="193"/>
      <c r="F4032" s="195" t="s">
        <v>22012</v>
      </c>
      <c r="G4032" s="200">
        <v>9.64629384E8</v>
      </c>
      <c r="H4032" s="197">
        <v>4.34</v>
      </c>
      <c r="I4032" s="7" t="s">
        <v>16815</v>
      </c>
      <c r="J4032" s="7" t="s">
        <v>16972</v>
      </c>
      <c r="K4032" s="7" t="s">
        <v>175</v>
      </c>
      <c r="L4032" s="201" t="s">
        <v>16835</v>
      </c>
      <c r="M4032" s="194"/>
      <c r="N4032" s="194"/>
    </row>
    <row r="4033">
      <c r="A4033" s="193" t="s">
        <v>22013</v>
      </c>
      <c r="B4033" s="7" t="s">
        <v>17321</v>
      </c>
      <c r="C4033" s="7" t="s">
        <v>169</v>
      </c>
      <c r="D4033" s="194">
        <v>2014.0</v>
      </c>
      <c r="E4033" s="193"/>
      <c r="F4033" s="195" t="s">
        <v>22014</v>
      </c>
      <c r="G4033" s="200">
        <v>9.63631619E8</v>
      </c>
      <c r="H4033" s="197">
        <v>28.2</v>
      </c>
      <c r="I4033" s="7" t="s">
        <v>16815</v>
      </c>
      <c r="J4033" s="7" t="s">
        <v>17321</v>
      </c>
      <c r="K4033" s="7" t="s">
        <v>169</v>
      </c>
      <c r="L4033" s="201" t="s">
        <v>16835</v>
      </c>
      <c r="M4033" s="194"/>
      <c r="N4033" s="194"/>
    </row>
    <row r="4034">
      <c r="A4034" s="193" t="s">
        <v>22013</v>
      </c>
      <c r="B4034" s="7" t="s">
        <v>169</v>
      </c>
      <c r="C4034" s="7" t="s">
        <v>17321</v>
      </c>
      <c r="D4034" s="194">
        <v>2014.0</v>
      </c>
      <c r="E4034" s="193"/>
      <c r="F4034" s="195" t="s">
        <v>22014</v>
      </c>
      <c r="G4034" s="196">
        <v>9.63631619E8</v>
      </c>
      <c r="H4034" s="197">
        <v>28.2</v>
      </c>
      <c r="I4034" s="7" t="s">
        <v>16815</v>
      </c>
      <c r="J4034" s="7" t="s">
        <v>169</v>
      </c>
      <c r="K4034" s="7" t="s">
        <v>17321</v>
      </c>
      <c r="L4034" s="198" t="s">
        <v>65</v>
      </c>
      <c r="M4034" s="194"/>
      <c r="N4034" s="194"/>
    </row>
    <row r="4035">
      <c r="A4035" s="193" t="s">
        <v>22015</v>
      </c>
      <c r="B4035" s="7" t="s">
        <v>16867</v>
      </c>
      <c r="C4035" s="7" t="s">
        <v>16838</v>
      </c>
      <c r="D4035" s="199"/>
      <c r="E4035" s="193"/>
      <c r="F4035" s="195" t="s">
        <v>22016</v>
      </c>
      <c r="G4035" s="200">
        <v>9.63053271E8</v>
      </c>
      <c r="H4035" s="197">
        <v>31.16</v>
      </c>
      <c r="I4035" s="7" t="s">
        <v>16815</v>
      </c>
      <c r="J4035" s="7" t="s">
        <v>16867</v>
      </c>
      <c r="K4035" s="7" t="s">
        <v>16838</v>
      </c>
      <c r="L4035" s="201" t="s">
        <v>16835</v>
      </c>
      <c r="M4035" s="199"/>
      <c r="N4035" s="199"/>
    </row>
    <row r="4036">
      <c r="A4036" s="193" t="s">
        <v>22015</v>
      </c>
      <c r="B4036" s="7" t="s">
        <v>16838</v>
      </c>
      <c r="C4036" s="7" t="s">
        <v>16867</v>
      </c>
      <c r="D4036" s="199"/>
      <c r="E4036" s="193"/>
      <c r="F4036" s="195" t="s">
        <v>22016</v>
      </c>
      <c r="G4036" s="196">
        <v>9.63053271E8</v>
      </c>
      <c r="H4036" s="197">
        <v>31.16</v>
      </c>
      <c r="I4036" s="7" t="s">
        <v>16815</v>
      </c>
      <c r="J4036" s="7" t="s">
        <v>16838</v>
      </c>
      <c r="K4036" s="7" t="s">
        <v>16867</v>
      </c>
      <c r="L4036" s="198" t="s">
        <v>65</v>
      </c>
      <c r="M4036" s="199"/>
      <c r="N4036" s="199"/>
    </row>
    <row r="4037">
      <c r="A4037" s="193" t="s">
        <v>22017</v>
      </c>
      <c r="B4037" s="7" t="s">
        <v>16838</v>
      </c>
      <c r="C4037" s="7" t="s">
        <v>19644</v>
      </c>
      <c r="D4037" s="199"/>
      <c r="E4037" s="193"/>
      <c r="F4037" s="195" t="s">
        <v>22018</v>
      </c>
      <c r="G4037" s="196">
        <v>9.62790189E8</v>
      </c>
      <c r="H4037" s="197">
        <v>40.92</v>
      </c>
      <c r="I4037" s="7" t="s">
        <v>16815</v>
      </c>
      <c r="J4037" s="7" t="s">
        <v>16838</v>
      </c>
      <c r="K4037" s="7" t="s">
        <v>19644</v>
      </c>
      <c r="L4037" s="198" t="s">
        <v>65</v>
      </c>
      <c r="M4037" s="199"/>
      <c r="N4037" s="199"/>
    </row>
    <row r="4038">
      <c r="A4038" s="193" t="s">
        <v>22019</v>
      </c>
      <c r="B4038" s="7" t="s">
        <v>17111</v>
      </c>
      <c r="C4038" s="7" t="s">
        <v>17112</v>
      </c>
      <c r="D4038" s="194">
        <v>1994.0</v>
      </c>
      <c r="E4038" s="193"/>
      <c r="F4038" s="195" t="s">
        <v>22020</v>
      </c>
      <c r="G4038" s="200">
        <v>9.62773059E8</v>
      </c>
      <c r="H4038" s="197">
        <v>14.5</v>
      </c>
      <c r="I4038" s="7" t="s">
        <v>16815</v>
      </c>
      <c r="J4038" s="7" t="s">
        <v>17111</v>
      </c>
      <c r="K4038" s="7" t="s">
        <v>17112</v>
      </c>
      <c r="L4038" s="201" t="s">
        <v>16835</v>
      </c>
      <c r="M4038" s="194"/>
      <c r="N4038" s="194"/>
    </row>
    <row r="4039">
      <c r="A4039" s="193" t="s">
        <v>22019</v>
      </c>
      <c r="B4039" s="7" t="s">
        <v>17112</v>
      </c>
      <c r="C4039" s="7" t="s">
        <v>17111</v>
      </c>
      <c r="D4039" s="194">
        <v>1994.0</v>
      </c>
      <c r="E4039" s="193"/>
      <c r="F4039" s="195" t="s">
        <v>22020</v>
      </c>
      <c r="G4039" s="196">
        <v>9.62773059E8</v>
      </c>
      <c r="H4039" s="197">
        <v>14.5</v>
      </c>
      <c r="I4039" s="7" t="s">
        <v>16815</v>
      </c>
      <c r="J4039" s="7" t="s">
        <v>17112</v>
      </c>
      <c r="K4039" s="7" t="s">
        <v>17111</v>
      </c>
      <c r="L4039" s="198" t="s">
        <v>65</v>
      </c>
      <c r="M4039" s="194"/>
      <c r="N4039" s="194"/>
    </row>
    <row r="4040">
      <c r="A4040" s="193" t="s">
        <v>22021</v>
      </c>
      <c r="B4040" s="7" t="s">
        <v>187</v>
      </c>
      <c r="C4040" s="7" t="s">
        <v>16846</v>
      </c>
      <c r="D4040" s="199"/>
      <c r="E4040" s="193"/>
      <c r="F4040" s="195" t="s">
        <v>22022</v>
      </c>
      <c r="G4040" s="196">
        <v>9.61134133E8</v>
      </c>
      <c r="H4040" s="197">
        <v>55.38</v>
      </c>
      <c r="I4040" s="7" t="s">
        <v>16815</v>
      </c>
      <c r="J4040" s="7" t="s">
        <v>187</v>
      </c>
      <c r="K4040" s="7" t="s">
        <v>16846</v>
      </c>
      <c r="L4040" s="198" t="s">
        <v>65</v>
      </c>
      <c r="M4040" s="199"/>
      <c r="N4040" s="199"/>
    </row>
    <row r="4041">
      <c r="A4041" s="193" t="s">
        <v>22023</v>
      </c>
      <c r="B4041" s="7" t="s">
        <v>175</v>
      </c>
      <c r="C4041" s="7" t="s">
        <v>17031</v>
      </c>
      <c r="D4041" s="199"/>
      <c r="E4041" s="193"/>
      <c r="F4041" s="195" t="s">
        <v>22024</v>
      </c>
      <c r="G4041" s="196">
        <v>9.58491177E8</v>
      </c>
      <c r="H4041" s="197">
        <v>8.78</v>
      </c>
      <c r="I4041" s="7" t="s">
        <v>17033</v>
      </c>
      <c r="J4041" s="7" t="s">
        <v>175</v>
      </c>
      <c r="K4041" s="7" t="s">
        <v>17031</v>
      </c>
      <c r="L4041" s="198" t="s">
        <v>65</v>
      </c>
      <c r="M4041" s="199"/>
      <c r="N4041" s="199"/>
    </row>
    <row r="4042">
      <c r="A4042" s="193" t="s">
        <v>22023</v>
      </c>
      <c r="B4042" s="7" t="s">
        <v>17031</v>
      </c>
      <c r="C4042" s="7" t="s">
        <v>175</v>
      </c>
      <c r="D4042" s="199"/>
      <c r="E4042" s="193"/>
      <c r="F4042" s="195" t="s">
        <v>22024</v>
      </c>
      <c r="G4042" s="200">
        <v>9.58491177E8</v>
      </c>
      <c r="H4042" s="197">
        <v>8.78</v>
      </c>
      <c r="I4042" s="7" t="s">
        <v>16815</v>
      </c>
      <c r="J4042" s="7" t="s">
        <v>17031</v>
      </c>
      <c r="K4042" s="7" t="s">
        <v>175</v>
      </c>
      <c r="L4042" s="201" t="s">
        <v>16835</v>
      </c>
      <c r="M4042" s="199"/>
      <c r="N4042" s="199"/>
    </row>
    <row r="4043">
      <c r="A4043" s="193" t="s">
        <v>22025</v>
      </c>
      <c r="B4043" s="7" t="s">
        <v>175</v>
      </c>
      <c r="C4043" s="7" t="s">
        <v>16899</v>
      </c>
      <c r="D4043" s="199"/>
      <c r="E4043" s="193"/>
      <c r="F4043" s="195" t="s">
        <v>22026</v>
      </c>
      <c r="G4043" s="196">
        <v>9.58354517E8</v>
      </c>
      <c r="H4043" s="197">
        <v>17.55</v>
      </c>
      <c r="I4043" s="7" t="s">
        <v>18320</v>
      </c>
      <c r="J4043" s="7" t="s">
        <v>175</v>
      </c>
      <c r="K4043" s="7" t="s">
        <v>16899</v>
      </c>
      <c r="L4043" s="198" t="s">
        <v>65</v>
      </c>
      <c r="M4043" s="199"/>
      <c r="N4043" s="199"/>
    </row>
    <row r="4044">
      <c r="A4044" s="193" t="s">
        <v>22025</v>
      </c>
      <c r="B4044" s="7" t="s">
        <v>16899</v>
      </c>
      <c r="C4044" s="7" t="s">
        <v>175</v>
      </c>
      <c r="D4044" s="199"/>
      <c r="E4044" s="193"/>
      <c r="F4044" s="195" t="s">
        <v>22026</v>
      </c>
      <c r="G4044" s="200">
        <v>9.58354517E8</v>
      </c>
      <c r="H4044" s="197">
        <v>17.55</v>
      </c>
      <c r="I4044" s="7" t="s">
        <v>16815</v>
      </c>
      <c r="J4044" s="7" t="s">
        <v>16899</v>
      </c>
      <c r="K4044" s="7" t="s">
        <v>175</v>
      </c>
      <c r="L4044" s="201" t="s">
        <v>16835</v>
      </c>
      <c r="M4044" s="199"/>
      <c r="N4044" s="199"/>
    </row>
    <row r="4045">
      <c r="A4045" s="193" t="s">
        <v>22027</v>
      </c>
      <c r="B4045" s="7" t="s">
        <v>17112</v>
      </c>
      <c r="C4045" s="7" t="s">
        <v>17111</v>
      </c>
      <c r="D4045" s="199"/>
      <c r="E4045" s="193"/>
      <c r="F4045" s="195" t="s">
        <v>22028</v>
      </c>
      <c r="G4045" s="196">
        <v>9.5771658E8</v>
      </c>
      <c r="H4045" s="197">
        <v>21.12</v>
      </c>
      <c r="I4045" s="7" t="s">
        <v>16815</v>
      </c>
      <c r="J4045" s="7" t="s">
        <v>17112</v>
      </c>
      <c r="K4045" s="7" t="s">
        <v>17111</v>
      </c>
      <c r="L4045" s="198" t="s">
        <v>65</v>
      </c>
      <c r="M4045" s="199"/>
      <c r="N4045" s="199"/>
    </row>
    <row r="4046">
      <c r="A4046" s="193" t="s">
        <v>22027</v>
      </c>
      <c r="B4046" s="202" t="s">
        <v>17111</v>
      </c>
      <c r="C4046" s="193" t="s">
        <v>17112</v>
      </c>
      <c r="D4046" s="206"/>
      <c r="E4046" s="193"/>
      <c r="F4046" s="203" t="s">
        <v>22028</v>
      </c>
      <c r="G4046" s="200">
        <v>9.5771658E8</v>
      </c>
      <c r="H4046" s="205">
        <v>21.58</v>
      </c>
      <c r="J4046" s="202" t="s">
        <v>17111</v>
      </c>
      <c r="K4046" s="193" t="s">
        <v>17112</v>
      </c>
      <c r="L4046" s="193" t="s">
        <v>17471</v>
      </c>
      <c r="M4046" s="206"/>
      <c r="N4046" s="206"/>
    </row>
    <row r="4047">
      <c r="A4047" s="193" t="s">
        <v>22029</v>
      </c>
      <c r="B4047" s="7" t="s">
        <v>187</v>
      </c>
      <c r="C4047" s="7" t="s">
        <v>16846</v>
      </c>
      <c r="D4047" s="199"/>
      <c r="E4047" s="193"/>
      <c r="F4047" s="195" t="s">
        <v>22030</v>
      </c>
      <c r="G4047" s="196">
        <v>9.57328261E8</v>
      </c>
      <c r="H4047" s="197">
        <v>10.66</v>
      </c>
      <c r="I4047" s="7" t="s">
        <v>16815</v>
      </c>
      <c r="J4047" s="7" t="s">
        <v>187</v>
      </c>
      <c r="K4047" s="7" t="s">
        <v>16846</v>
      </c>
      <c r="L4047" s="198" t="s">
        <v>65</v>
      </c>
      <c r="M4047" s="199"/>
      <c r="N4047" s="199"/>
    </row>
    <row r="4048">
      <c r="A4048" s="193" t="s">
        <v>22031</v>
      </c>
      <c r="B4048" s="7" t="s">
        <v>17111</v>
      </c>
      <c r="C4048" s="7" t="s">
        <v>17112</v>
      </c>
      <c r="D4048" s="194">
        <v>2014.0</v>
      </c>
      <c r="E4048" s="193"/>
      <c r="F4048" s="195" t="s">
        <v>22032</v>
      </c>
      <c r="G4048" s="200">
        <v>9.56355431E8</v>
      </c>
      <c r="H4048" s="197">
        <v>4.4</v>
      </c>
      <c r="I4048" s="7" t="s">
        <v>16815</v>
      </c>
      <c r="J4048" s="7" t="s">
        <v>17111</v>
      </c>
      <c r="K4048" s="7" t="s">
        <v>17112</v>
      </c>
      <c r="L4048" s="201" t="s">
        <v>16835</v>
      </c>
      <c r="M4048" s="194"/>
      <c r="N4048" s="194"/>
    </row>
    <row r="4049">
      <c r="A4049" s="193" t="s">
        <v>22031</v>
      </c>
      <c r="B4049" s="7" t="s">
        <v>17112</v>
      </c>
      <c r="C4049" s="7" t="s">
        <v>17111</v>
      </c>
      <c r="D4049" s="194">
        <v>2014.0</v>
      </c>
      <c r="E4049" s="193"/>
      <c r="F4049" s="195" t="s">
        <v>22032</v>
      </c>
      <c r="G4049" s="196">
        <v>9.56355431E8</v>
      </c>
      <c r="H4049" s="197">
        <v>4.4</v>
      </c>
      <c r="I4049" s="7" t="s">
        <v>16815</v>
      </c>
      <c r="J4049" s="7" t="s">
        <v>17112</v>
      </c>
      <c r="K4049" s="7" t="s">
        <v>17111</v>
      </c>
      <c r="L4049" s="198" t="s">
        <v>65</v>
      </c>
      <c r="M4049" s="194"/>
      <c r="N4049" s="194"/>
    </row>
    <row r="4050">
      <c r="A4050" s="193" t="s">
        <v>22033</v>
      </c>
      <c r="B4050" s="7" t="s">
        <v>175</v>
      </c>
      <c r="C4050" s="7" t="s">
        <v>17233</v>
      </c>
      <c r="D4050" s="194">
        <v>1995.0</v>
      </c>
      <c r="E4050" s="193"/>
      <c r="F4050" s="195" t="s">
        <v>22034</v>
      </c>
      <c r="G4050" s="196">
        <v>9.56304E8</v>
      </c>
      <c r="H4050" s="197">
        <v>4.58</v>
      </c>
      <c r="I4050" s="7" t="s">
        <v>168</v>
      </c>
      <c r="J4050" s="7" t="s">
        <v>175</v>
      </c>
      <c r="K4050" s="7" t="s">
        <v>17233</v>
      </c>
      <c r="L4050" s="198" t="s">
        <v>65</v>
      </c>
      <c r="M4050" s="194"/>
      <c r="N4050" s="194"/>
    </row>
    <row r="4051">
      <c r="A4051" s="193" t="s">
        <v>22033</v>
      </c>
      <c r="B4051" s="7" t="s">
        <v>17233</v>
      </c>
      <c r="C4051" s="7" t="s">
        <v>175</v>
      </c>
      <c r="D4051" s="194">
        <v>1995.0</v>
      </c>
      <c r="E4051" s="193"/>
      <c r="F4051" s="195" t="s">
        <v>22034</v>
      </c>
      <c r="G4051" s="200">
        <v>9.56304E8</v>
      </c>
      <c r="H4051" s="197">
        <v>4.58</v>
      </c>
      <c r="I4051" s="7" t="s">
        <v>16815</v>
      </c>
      <c r="J4051" s="7" t="s">
        <v>17233</v>
      </c>
      <c r="K4051" s="7" t="s">
        <v>175</v>
      </c>
      <c r="L4051" s="201" t="s">
        <v>16835</v>
      </c>
      <c r="M4051" s="194"/>
      <c r="N4051" s="194"/>
    </row>
    <row r="4052">
      <c r="A4052" s="193" t="s">
        <v>22035</v>
      </c>
      <c r="B4052" s="7" t="s">
        <v>187</v>
      </c>
      <c r="C4052" s="7" t="s">
        <v>16858</v>
      </c>
      <c r="D4052" s="194">
        <v>2021.0</v>
      </c>
      <c r="E4052" s="193"/>
      <c r="F4052" s="195" t="s">
        <v>22036</v>
      </c>
      <c r="G4052" s="196">
        <v>9.56119301E8</v>
      </c>
      <c r="H4052" s="197">
        <v>13.82</v>
      </c>
      <c r="I4052" s="7" t="s">
        <v>16815</v>
      </c>
      <c r="J4052" s="7" t="s">
        <v>187</v>
      </c>
      <c r="K4052" s="7" t="s">
        <v>16858</v>
      </c>
      <c r="L4052" s="198" t="s">
        <v>65</v>
      </c>
      <c r="M4052" s="194"/>
      <c r="N4052" s="194"/>
    </row>
    <row r="4053">
      <c r="A4053" s="193" t="s">
        <v>22037</v>
      </c>
      <c r="B4053" s="7" t="s">
        <v>19579</v>
      </c>
      <c r="C4053" s="7" t="s">
        <v>16838</v>
      </c>
      <c r="D4053" s="194">
        <v>2020.0</v>
      </c>
      <c r="E4053" s="193"/>
      <c r="F4053" s="195" t="s">
        <v>22038</v>
      </c>
      <c r="G4053" s="200">
        <v>9.55678072E8</v>
      </c>
      <c r="H4053" s="197">
        <v>17.29</v>
      </c>
      <c r="I4053" s="193" t="s">
        <v>16815</v>
      </c>
      <c r="J4053" s="7" t="s">
        <v>19579</v>
      </c>
      <c r="K4053" s="7" t="s">
        <v>16838</v>
      </c>
      <c r="L4053" s="201" t="s">
        <v>16835</v>
      </c>
      <c r="M4053" s="194"/>
      <c r="N4053" s="194"/>
    </row>
    <row r="4054">
      <c r="A4054" s="193" t="s">
        <v>22037</v>
      </c>
      <c r="B4054" s="7" t="s">
        <v>16838</v>
      </c>
      <c r="C4054" s="7" t="s">
        <v>19579</v>
      </c>
      <c r="D4054" s="194">
        <v>2020.0</v>
      </c>
      <c r="E4054" s="193"/>
      <c r="F4054" s="195" t="s">
        <v>22038</v>
      </c>
      <c r="G4054" s="196">
        <v>9.55678072E8</v>
      </c>
      <c r="H4054" s="197">
        <v>17.29</v>
      </c>
      <c r="I4054" s="7" t="s">
        <v>16815</v>
      </c>
      <c r="J4054" s="7" t="s">
        <v>16838</v>
      </c>
      <c r="K4054" s="7" t="s">
        <v>19579</v>
      </c>
      <c r="L4054" s="198" t="s">
        <v>65</v>
      </c>
      <c r="M4054" s="194"/>
      <c r="N4054" s="194"/>
    </row>
    <row r="4055">
      <c r="A4055" s="193" t="s">
        <v>22039</v>
      </c>
      <c r="B4055" s="7" t="s">
        <v>16838</v>
      </c>
      <c r="C4055" s="7" t="s">
        <v>17016</v>
      </c>
      <c r="D4055" s="199"/>
      <c r="E4055" s="193"/>
      <c r="F4055" s="195" t="s">
        <v>22040</v>
      </c>
      <c r="G4055" s="196">
        <v>9.54161441E8</v>
      </c>
      <c r="H4055" s="197">
        <v>25.92</v>
      </c>
      <c r="I4055" s="7" t="s">
        <v>16924</v>
      </c>
      <c r="J4055" s="7" t="s">
        <v>16838</v>
      </c>
      <c r="K4055" s="7" t="s">
        <v>17016</v>
      </c>
      <c r="L4055" s="198" t="s">
        <v>65</v>
      </c>
      <c r="M4055" s="199"/>
      <c r="N4055" s="199"/>
    </row>
    <row r="4056">
      <c r="A4056" s="193" t="s">
        <v>22041</v>
      </c>
      <c r="B4056" s="7" t="s">
        <v>17509</v>
      </c>
      <c r="C4056" s="7" t="s">
        <v>187</v>
      </c>
      <c r="D4056" s="194">
        <v>2014.0</v>
      </c>
      <c r="E4056" s="193"/>
      <c r="F4056" s="195" t="s">
        <v>22042</v>
      </c>
      <c r="G4056" s="200">
        <v>9.53581187E8</v>
      </c>
      <c r="H4056" s="197">
        <v>20.54</v>
      </c>
      <c r="I4056" s="7" t="s">
        <v>16815</v>
      </c>
      <c r="J4056" s="7" t="s">
        <v>17509</v>
      </c>
      <c r="K4056" s="7" t="s">
        <v>187</v>
      </c>
      <c r="L4056" s="201" t="s">
        <v>16835</v>
      </c>
      <c r="M4056" s="194"/>
      <c r="N4056" s="194"/>
    </row>
    <row r="4057">
      <c r="A4057" s="193" t="s">
        <v>22041</v>
      </c>
      <c r="B4057" s="7" t="s">
        <v>187</v>
      </c>
      <c r="C4057" s="7" t="s">
        <v>17509</v>
      </c>
      <c r="D4057" s="194">
        <v>2014.0</v>
      </c>
      <c r="E4057" s="193"/>
      <c r="F4057" s="195" t="s">
        <v>22042</v>
      </c>
      <c r="G4057" s="196">
        <v>9.53581187E8</v>
      </c>
      <c r="H4057" s="197">
        <v>20.54</v>
      </c>
      <c r="I4057" s="7" t="s">
        <v>16815</v>
      </c>
      <c r="J4057" s="7" t="s">
        <v>187</v>
      </c>
      <c r="K4057" s="7" t="s">
        <v>17509</v>
      </c>
      <c r="L4057" s="198" t="s">
        <v>65</v>
      </c>
      <c r="M4057" s="194"/>
      <c r="N4057" s="194"/>
    </row>
    <row r="4058">
      <c r="A4058" s="193" t="s">
        <v>22043</v>
      </c>
      <c r="B4058" s="7" t="s">
        <v>17019</v>
      </c>
      <c r="C4058" s="7" t="s">
        <v>16838</v>
      </c>
      <c r="D4058" s="194">
        <v>1988.0</v>
      </c>
      <c r="E4058" s="193"/>
      <c r="F4058" s="195" t="s">
        <v>22044</v>
      </c>
      <c r="G4058" s="200">
        <v>9.53567439E8</v>
      </c>
      <c r="H4058" s="197">
        <v>6.41</v>
      </c>
      <c r="I4058" s="7" t="s">
        <v>16815</v>
      </c>
      <c r="J4058" s="7" t="s">
        <v>17019</v>
      </c>
      <c r="K4058" s="7" t="s">
        <v>16838</v>
      </c>
      <c r="L4058" s="201" t="s">
        <v>16835</v>
      </c>
      <c r="M4058" s="194"/>
      <c r="N4058" s="194"/>
    </row>
    <row r="4059">
      <c r="A4059" s="193" t="s">
        <v>22043</v>
      </c>
      <c r="B4059" s="7" t="s">
        <v>16838</v>
      </c>
      <c r="C4059" s="7" t="s">
        <v>17019</v>
      </c>
      <c r="D4059" s="194">
        <v>1988.0</v>
      </c>
      <c r="E4059" s="193"/>
      <c r="F4059" s="195" t="s">
        <v>22044</v>
      </c>
      <c r="G4059" s="196">
        <v>9.53567439E8</v>
      </c>
      <c r="H4059" s="197">
        <v>6.41</v>
      </c>
      <c r="I4059" s="7" t="s">
        <v>16815</v>
      </c>
      <c r="J4059" s="7" t="s">
        <v>16838</v>
      </c>
      <c r="K4059" s="7" t="s">
        <v>17019</v>
      </c>
      <c r="L4059" s="198" t="s">
        <v>65</v>
      </c>
      <c r="M4059" s="194"/>
      <c r="N4059" s="194"/>
    </row>
    <row r="4060">
      <c r="A4060" s="193" t="s">
        <v>22045</v>
      </c>
      <c r="B4060" s="7" t="s">
        <v>16838</v>
      </c>
      <c r="C4060" s="7" t="s">
        <v>17838</v>
      </c>
      <c r="D4060" s="199"/>
      <c r="E4060" s="193"/>
      <c r="F4060" s="195" t="s">
        <v>22046</v>
      </c>
      <c r="G4060" s="196">
        <v>9.52254524E8</v>
      </c>
      <c r="H4060" s="197">
        <v>8.94</v>
      </c>
      <c r="I4060" s="7" t="s">
        <v>16924</v>
      </c>
      <c r="J4060" s="7" t="s">
        <v>16838</v>
      </c>
      <c r="K4060" s="7" t="s">
        <v>17838</v>
      </c>
      <c r="L4060" s="198" t="s">
        <v>65</v>
      </c>
      <c r="M4060" s="199"/>
      <c r="N4060" s="199"/>
    </row>
    <row r="4061">
      <c r="A4061" s="193" t="s">
        <v>22045</v>
      </c>
      <c r="B4061" s="7" t="s">
        <v>17838</v>
      </c>
      <c r="C4061" s="7" t="s">
        <v>16838</v>
      </c>
      <c r="D4061" s="199"/>
      <c r="E4061" s="193"/>
      <c r="F4061" s="195" t="s">
        <v>22046</v>
      </c>
      <c r="G4061" s="200">
        <v>9.52254524E8</v>
      </c>
      <c r="H4061" s="197">
        <v>8.94</v>
      </c>
      <c r="I4061" s="7" t="s">
        <v>16815</v>
      </c>
      <c r="J4061" s="7" t="s">
        <v>17838</v>
      </c>
      <c r="K4061" s="7" t="s">
        <v>16838</v>
      </c>
      <c r="L4061" s="201" t="s">
        <v>16835</v>
      </c>
      <c r="M4061" s="199"/>
      <c r="N4061" s="199"/>
    </row>
    <row r="4062">
      <c r="A4062" s="193" t="s">
        <v>22047</v>
      </c>
      <c r="B4062" s="7" t="s">
        <v>17321</v>
      </c>
      <c r="C4062" s="7" t="s">
        <v>169</v>
      </c>
      <c r="D4062" s="199"/>
      <c r="E4062" s="193"/>
      <c r="F4062" s="195" t="s">
        <v>22048</v>
      </c>
      <c r="G4062" s="200">
        <v>9.51325815E8</v>
      </c>
      <c r="H4062" s="197">
        <v>28.84</v>
      </c>
      <c r="I4062" s="7" t="s">
        <v>16815</v>
      </c>
      <c r="J4062" s="7" t="s">
        <v>17321</v>
      </c>
      <c r="K4062" s="7" t="s">
        <v>169</v>
      </c>
      <c r="L4062" s="201" t="s">
        <v>16835</v>
      </c>
      <c r="M4062" s="199"/>
      <c r="N4062" s="199"/>
    </row>
    <row r="4063">
      <c r="A4063" s="193" t="s">
        <v>22047</v>
      </c>
      <c r="B4063" s="7" t="s">
        <v>169</v>
      </c>
      <c r="C4063" s="7" t="s">
        <v>17321</v>
      </c>
      <c r="D4063" s="199"/>
      <c r="E4063" s="193"/>
      <c r="F4063" s="195" t="s">
        <v>22048</v>
      </c>
      <c r="G4063" s="196">
        <v>9.51325815E8</v>
      </c>
      <c r="H4063" s="197">
        <v>28.84</v>
      </c>
      <c r="I4063" s="7" t="s">
        <v>16815</v>
      </c>
      <c r="J4063" s="7" t="s">
        <v>169</v>
      </c>
      <c r="K4063" s="7" t="s">
        <v>17321</v>
      </c>
      <c r="L4063" s="198" t="s">
        <v>65</v>
      </c>
      <c r="M4063" s="199"/>
      <c r="N4063" s="199"/>
    </row>
    <row r="4064">
      <c r="A4064" s="193" t="s">
        <v>22049</v>
      </c>
      <c r="B4064" s="7" t="s">
        <v>17111</v>
      </c>
      <c r="C4064" s="7" t="s">
        <v>17112</v>
      </c>
      <c r="D4064" s="194">
        <v>2017.0</v>
      </c>
      <c r="E4064" s="193"/>
      <c r="F4064" s="195" t="s">
        <v>22050</v>
      </c>
      <c r="G4064" s="200">
        <v>9.50706366E8</v>
      </c>
      <c r="H4064" s="197">
        <v>21.01</v>
      </c>
      <c r="I4064" s="7" t="s">
        <v>16815</v>
      </c>
      <c r="J4064" s="7" t="s">
        <v>17111</v>
      </c>
      <c r="K4064" s="7" t="s">
        <v>17112</v>
      </c>
      <c r="L4064" s="201" t="s">
        <v>16835</v>
      </c>
      <c r="M4064" s="194"/>
      <c r="N4064" s="194"/>
    </row>
    <row r="4065">
      <c r="A4065" s="193" t="s">
        <v>22049</v>
      </c>
      <c r="B4065" s="7" t="s">
        <v>17112</v>
      </c>
      <c r="C4065" s="7" t="s">
        <v>17111</v>
      </c>
      <c r="D4065" s="194">
        <v>2017.0</v>
      </c>
      <c r="E4065" s="193"/>
      <c r="F4065" s="195" t="s">
        <v>22050</v>
      </c>
      <c r="G4065" s="196">
        <v>9.50706366E8</v>
      </c>
      <c r="H4065" s="197">
        <v>21.01</v>
      </c>
      <c r="I4065" s="7" t="s">
        <v>16815</v>
      </c>
      <c r="J4065" s="7" t="s">
        <v>17112</v>
      </c>
      <c r="K4065" s="7" t="s">
        <v>17111</v>
      </c>
      <c r="L4065" s="198" t="s">
        <v>65</v>
      </c>
      <c r="M4065" s="194"/>
      <c r="N4065" s="194"/>
    </row>
    <row r="4066">
      <c r="A4066" s="193" t="s">
        <v>22051</v>
      </c>
      <c r="B4066" s="7" t="s">
        <v>175</v>
      </c>
      <c r="C4066" s="7" t="s">
        <v>17606</v>
      </c>
      <c r="D4066" s="194">
        <v>2011.0</v>
      </c>
      <c r="E4066" s="193"/>
      <c r="F4066" s="195" t="s">
        <v>22052</v>
      </c>
      <c r="G4066" s="196">
        <v>9.50378887E8</v>
      </c>
      <c r="H4066" s="197">
        <v>23.96</v>
      </c>
      <c r="I4066" s="7" t="s">
        <v>16908</v>
      </c>
      <c r="J4066" s="7" t="s">
        <v>175</v>
      </c>
      <c r="K4066" s="7" t="s">
        <v>17606</v>
      </c>
      <c r="L4066" s="198" t="s">
        <v>65</v>
      </c>
      <c r="M4066" s="194"/>
      <c r="N4066" s="194"/>
    </row>
    <row r="4067">
      <c r="A4067" s="193" t="s">
        <v>22053</v>
      </c>
      <c r="B4067" s="7" t="s">
        <v>175</v>
      </c>
      <c r="C4067" s="7" t="s">
        <v>16824</v>
      </c>
      <c r="D4067" s="194">
        <v>2019.0</v>
      </c>
      <c r="E4067" s="193"/>
      <c r="F4067" s="195" t="s">
        <v>22054</v>
      </c>
      <c r="G4067" s="196">
        <v>9.48822917E8</v>
      </c>
      <c r="H4067" s="197">
        <v>13.15</v>
      </c>
      <c r="I4067" s="7" t="s">
        <v>17033</v>
      </c>
      <c r="J4067" s="7" t="s">
        <v>175</v>
      </c>
      <c r="K4067" s="7" t="s">
        <v>16824</v>
      </c>
      <c r="L4067" s="198" t="s">
        <v>65</v>
      </c>
      <c r="M4067" s="194"/>
      <c r="N4067" s="194"/>
    </row>
    <row r="4068">
      <c r="A4068" s="193" t="s">
        <v>22053</v>
      </c>
      <c r="B4068" s="7" t="s">
        <v>16824</v>
      </c>
      <c r="C4068" s="7" t="s">
        <v>175</v>
      </c>
      <c r="D4068" s="194">
        <v>2019.0</v>
      </c>
      <c r="E4068" s="193"/>
      <c r="F4068" s="195" t="s">
        <v>22054</v>
      </c>
      <c r="G4068" s="200">
        <v>9.48822917E8</v>
      </c>
      <c r="H4068" s="197">
        <v>13.15</v>
      </c>
      <c r="I4068" s="7" t="s">
        <v>16815</v>
      </c>
      <c r="J4068" s="7" t="s">
        <v>16824</v>
      </c>
      <c r="K4068" s="7" t="s">
        <v>175</v>
      </c>
      <c r="L4068" s="201" t="s">
        <v>16835</v>
      </c>
      <c r="M4068" s="194"/>
      <c r="N4068" s="194"/>
    </row>
    <row r="4069">
      <c r="A4069" s="193" t="s">
        <v>22055</v>
      </c>
      <c r="B4069" s="7" t="s">
        <v>16838</v>
      </c>
      <c r="C4069" s="7" t="s">
        <v>17202</v>
      </c>
      <c r="D4069" s="194">
        <v>2021.0</v>
      </c>
      <c r="E4069" s="193"/>
      <c r="F4069" s="195" t="s">
        <v>22056</v>
      </c>
      <c r="G4069" s="196">
        <v>9.48644593E8</v>
      </c>
      <c r="H4069" s="197">
        <v>8.04</v>
      </c>
      <c r="I4069" s="7" t="s">
        <v>16924</v>
      </c>
      <c r="J4069" s="7" t="s">
        <v>16838</v>
      </c>
      <c r="K4069" s="7" t="s">
        <v>17202</v>
      </c>
      <c r="L4069" s="198" t="s">
        <v>65</v>
      </c>
      <c r="M4069" s="194"/>
      <c r="N4069" s="194"/>
    </row>
    <row r="4070">
      <c r="A4070" s="193" t="s">
        <v>22057</v>
      </c>
      <c r="B4070" s="7" t="s">
        <v>17495</v>
      </c>
      <c r="C4070" s="7" t="s">
        <v>17629</v>
      </c>
      <c r="D4070" s="199"/>
      <c r="E4070" s="193"/>
      <c r="F4070" s="195" t="s">
        <v>22058</v>
      </c>
      <c r="G4070" s="200">
        <v>9.47677784E8</v>
      </c>
      <c r="H4070" s="197">
        <v>34.53</v>
      </c>
      <c r="I4070" s="7" t="s">
        <v>16815</v>
      </c>
      <c r="J4070" s="7" t="s">
        <v>17495</v>
      </c>
      <c r="K4070" s="7" t="s">
        <v>17629</v>
      </c>
      <c r="L4070" s="201" t="s">
        <v>16835</v>
      </c>
      <c r="M4070" s="199"/>
      <c r="N4070" s="199"/>
    </row>
    <row r="4071">
      <c r="A4071" s="193" t="s">
        <v>22057</v>
      </c>
      <c r="B4071" s="7" t="s">
        <v>17629</v>
      </c>
      <c r="C4071" s="7" t="s">
        <v>17495</v>
      </c>
      <c r="D4071" s="199"/>
      <c r="E4071" s="193"/>
      <c r="F4071" s="195" t="s">
        <v>22058</v>
      </c>
      <c r="G4071" s="196">
        <v>9.47677784E8</v>
      </c>
      <c r="H4071" s="197">
        <v>34.53</v>
      </c>
      <c r="I4071" s="7" t="s">
        <v>16815</v>
      </c>
      <c r="J4071" s="7" t="s">
        <v>17629</v>
      </c>
      <c r="K4071" s="7" t="s">
        <v>17495</v>
      </c>
      <c r="L4071" s="198" t="s">
        <v>65</v>
      </c>
      <c r="M4071" s="199"/>
      <c r="N4071" s="199"/>
    </row>
    <row r="4072">
      <c r="A4072" s="193" t="s">
        <v>22059</v>
      </c>
      <c r="B4072" s="7" t="s">
        <v>17202</v>
      </c>
      <c r="C4072" s="7" t="s">
        <v>16838</v>
      </c>
      <c r="D4072" s="199"/>
      <c r="E4072" s="193"/>
      <c r="F4072" s="195" t="s">
        <v>22060</v>
      </c>
      <c r="G4072" s="200">
        <v>9.47036595E8</v>
      </c>
      <c r="H4072" s="197">
        <v>39.5</v>
      </c>
      <c r="I4072" s="7" t="s">
        <v>16815</v>
      </c>
      <c r="J4072" s="7" t="s">
        <v>17202</v>
      </c>
      <c r="K4072" s="7" t="s">
        <v>16838</v>
      </c>
      <c r="L4072" s="201" t="s">
        <v>16835</v>
      </c>
      <c r="M4072" s="199"/>
      <c r="N4072" s="199"/>
    </row>
    <row r="4073">
      <c r="A4073" s="193" t="s">
        <v>22059</v>
      </c>
      <c r="B4073" s="7" t="s">
        <v>16838</v>
      </c>
      <c r="C4073" s="7" t="s">
        <v>17202</v>
      </c>
      <c r="D4073" s="199"/>
      <c r="E4073" s="193"/>
      <c r="F4073" s="195" t="s">
        <v>22060</v>
      </c>
      <c r="G4073" s="196">
        <v>9.47036595E8</v>
      </c>
      <c r="H4073" s="197">
        <v>39.5</v>
      </c>
      <c r="I4073" s="7" t="s">
        <v>16815</v>
      </c>
      <c r="J4073" s="7" t="s">
        <v>16838</v>
      </c>
      <c r="K4073" s="7" t="s">
        <v>17202</v>
      </c>
      <c r="L4073" s="198" t="s">
        <v>65</v>
      </c>
      <c r="M4073" s="199"/>
      <c r="N4073" s="199"/>
    </row>
    <row r="4074">
      <c r="A4074" s="193" t="s">
        <v>22061</v>
      </c>
      <c r="B4074" s="7" t="s">
        <v>16582</v>
      </c>
      <c r="C4074" s="7" t="s">
        <v>16930</v>
      </c>
      <c r="D4074" s="194">
        <v>2021.0</v>
      </c>
      <c r="E4074" s="193"/>
      <c r="F4074" s="195" t="s">
        <v>22062</v>
      </c>
      <c r="G4074" s="196">
        <v>9.46767149E8</v>
      </c>
      <c r="H4074" s="197">
        <v>1.96</v>
      </c>
      <c r="I4074" s="7" t="s">
        <v>16815</v>
      </c>
      <c r="J4074" s="7" t="s">
        <v>16582</v>
      </c>
      <c r="K4074" s="7" t="s">
        <v>16930</v>
      </c>
      <c r="L4074" s="198" t="s">
        <v>65</v>
      </c>
      <c r="M4074" s="194"/>
      <c r="N4074" s="194"/>
    </row>
    <row r="4075">
      <c r="A4075" s="193" t="s">
        <v>22061</v>
      </c>
      <c r="B4075" s="7" t="s">
        <v>16930</v>
      </c>
      <c r="C4075" s="7" t="s">
        <v>16582</v>
      </c>
      <c r="D4075" s="194">
        <v>2021.0</v>
      </c>
      <c r="E4075" s="193"/>
      <c r="F4075" s="195" t="s">
        <v>22062</v>
      </c>
      <c r="G4075" s="200">
        <v>9.46767149E8</v>
      </c>
      <c r="H4075" s="197">
        <v>1.96</v>
      </c>
      <c r="I4075" s="7" t="s">
        <v>16815</v>
      </c>
      <c r="J4075" s="7" t="s">
        <v>16930</v>
      </c>
      <c r="K4075" s="7" t="s">
        <v>16582</v>
      </c>
      <c r="L4075" s="201" t="s">
        <v>16835</v>
      </c>
      <c r="M4075" s="194"/>
      <c r="N4075" s="194"/>
    </row>
    <row r="4076">
      <c r="A4076" s="193" t="s">
        <v>22063</v>
      </c>
      <c r="B4076" s="7" t="s">
        <v>187</v>
      </c>
      <c r="C4076" s="7" t="s">
        <v>16846</v>
      </c>
      <c r="D4076" s="194">
        <v>1996.0</v>
      </c>
      <c r="E4076" s="193"/>
      <c r="F4076" s="195" t="s">
        <v>22064</v>
      </c>
      <c r="G4076" s="196">
        <v>9.44931273E8</v>
      </c>
      <c r="H4076" s="197">
        <v>1.74</v>
      </c>
      <c r="I4076" s="7" t="s">
        <v>16815</v>
      </c>
      <c r="J4076" s="7" t="s">
        <v>187</v>
      </c>
      <c r="K4076" s="7" t="s">
        <v>16846</v>
      </c>
      <c r="L4076" s="198" t="s">
        <v>65</v>
      </c>
      <c r="M4076" s="194"/>
      <c r="N4076" s="194"/>
    </row>
    <row r="4077">
      <c r="A4077" s="193" t="s">
        <v>22065</v>
      </c>
      <c r="B4077" s="7" t="s">
        <v>17112</v>
      </c>
      <c r="C4077" s="7" t="s">
        <v>17111</v>
      </c>
      <c r="D4077" s="194">
        <v>2022.0</v>
      </c>
      <c r="E4077" s="193"/>
      <c r="F4077" s="195" t="s">
        <v>22066</v>
      </c>
      <c r="G4077" s="196">
        <v>9.44443681E8</v>
      </c>
      <c r="H4077" s="197">
        <v>20.8273</v>
      </c>
      <c r="I4077" s="7" t="s">
        <v>16815</v>
      </c>
      <c r="J4077" s="7" t="s">
        <v>17112</v>
      </c>
      <c r="K4077" s="7" t="s">
        <v>17111</v>
      </c>
      <c r="L4077" s="198" t="s">
        <v>65</v>
      </c>
      <c r="M4077" s="194"/>
      <c r="N4077" s="194"/>
    </row>
    <row r="4078">
      <c r="A4078" s="193" t="s">
        <v>22065</v>
      </c>
      <c r="B4078" s="202" t="s">
        <v>17111</v>
      </c>
      <c r="C4078" s="193" t="s">
        <v>17112</v>
      </c>
      <c r="D4078" s="193">
        <v>2022.0</v>
      </c>
      <c r="E4078" s="193"/>
      <c r="F4078" s="203" t="s">
        <v>22066</v>
      </c>
      <c r="G4078" s="200">
        <v>9.44443681E8</v>
      </c>
      <c r="H4078" s="205">
        <v>21.12</v>
      </c>
      <c r="J4078" s="202" t="s">
        <v>17111</v>
      </c>
      <c r="K4078" s="193" t="s">
        <v>17112</v>
      </c>
      <c r="L4078" s="193" t="s">
        <v>17471</v>
      </c>
      <c r="M4078" s="193"/>
      <c r="N4078" s="193"/>
    </row>
    <row r="4079">
      <c r="A4079" s="193" t="s">
        <v>22067</v>
      </c>
      <c r="B4079" s="7" t="s">
        <v>187</v>
      </c>
      <c r="C4079" s="7" t="s">
        <v>16858</v>
      </c>
      <c r="D4079" s="194">
        <v>2020.0</v>
      </c>
      <c r="E4079" s="193"/>
      <c r="F4079" s="195" t="s">
        <v>22068</v>
      </c>
      <c r="G4079" s="196">
        <v>9.44238548E8</v>
      </c>
      <c r="H4079" s="197">
        <v>7.66</v>
      </c>
      <c r="I4079" s="7" t="s">
        <v>16815</v>
      </c>
      <c r="J4079" s="7" t="s">
        <v>187</v>
      </c>
      <c r="K4079" s="7" t="s">
        <v>16858</v>
      </c>
      <c r="L4079" s="198" t="s">
        <v>65</v>
      </c>
      <c r="M4079" s="194"/>
      <c r="N4079" s="194"/>
    </row>
    <row r="4080">
      <c r="A4080" s="193" t="s">
        <v>22069</v>
      </c>
      <c r="B4080" s="7" t="s">
        <v>187</v>
      </c>
      <c r="C4080" s="7" t="s">
        <v>16846</v>
      </c>
      <c r="D4080" s="194">
        <v>2016.0</v>
      </c>
      <c r="E4080" s="193"/>
      <c r="F4080" s="195" t="s">
        <v>22070</v>
      </c>
      <c r="G4080" s="196">
        <v>9.43631051E8</v>
      </c>
      <c r="H4080" s="197">
        <v>13.55</v>
      </c>
      <c r="I4080" s="7" t="s">
        <v>16815</v>
      </c>
      <c r="J4080" s="7" t="s">
        <v>187</v>
      </c>
      <c r="K4080" s="7" t="s">
        <v>16846</v>
      </c>
      <c r="L4080" s="198" t="s">
        <v>65</v>
      </c>
      <c r="M4080" s="194"/>
      <c r="N4080" s="194"/>
    </row>
    <row r="4081">
      <c r="A4081" s="193" t="s">
        <v>22071</v>
      </c>
      <c r="B4081" s="7" t="s">
        <v>16838</v>
      </c>
      <c r="C4081" s="7" t="s">
        <v>16867</v>
      </c>
      <c r="D4081" s="199"/>
      <c r="E4081" s="193"/>
      <c r="F4081" s="195" t="s">
        <v>22072</v>
      </c>
      <c r="G4081" s="196">
        <v>9.41451463E8</v>
      </c>
      <c r="H4081" s="197">
        <v>20.97</v>
      </c>
      <c r="I4081" s="7" t="s">
        <v>16815</v>
      </c>
      <c r="J4081" s="7" t="s">
        <v>16838</v>
      </c>
      <c r="K4081" s="7" t="s">
        <v>16867</v>
      </c>
      <c r="L4081" s="198" t="s">
        <v>65</v>
      </c>
      <c r="M4081" s="199"/>
      <c r="N4081" s="199"/>
    </row>
    <row r="4082">
      <c r="A4082" s="193" t="s">
        <v>22073</v>
      </c>
      <c r="B4082" s="7" t="s">
        <v>187</v>
      </c>
      <c r="C4082" s="7" t="s">
        <v>18633</v>
      </c>
      <c r="D4082" s="194">
        <v>2018.0</v>
      </c>
      <c r="E4082" s="193"/>
      <c r="F4082" s="195" t="s">
        <v>22074</v>
      </c>
      <c r="G4082" s="196">
        <v>9.38360826E8</v>
      </c>
      <c r="H4082" s="197">
        <v>6.88</v>
      </c>
      <c r="I4082" s="7" t="s">
        <v>16815</v>
      </c>
      <c r="J4082" s="7" t="s">
        <v>187</v>
      </c>
      <c r="K4082" s="7" t="s">
        <v>18633</v>
      </c>
      <c r="L4082" s="198" t="s">
        <v>65</v>
      </c>
      <c r="M4082" s="194"/>
      <c r="N4082" s="194"/>
    </row>
    <row r="4083">
      <c r="A4083" s="193" t="s">
        <v>22075</v>
      </c>
      <c r="B4083" s="7" t="s">
        <v>175</v>
      </c>
      <c r="C4083" s="7" t="s">
        <v>16957</v>
      </c>
      <c r="D4083" s="194">
        <v>2019.0</v>
      </c>
      <c r="E4083" s="193"/>
      <c r="F4083" s="195" t="s">
        <v>22076</v>
      </c>
      <c r="G4083" s="196">
        <v>9.38180159E8</v>
      </c>
      <c r="H4083" s="197">
        <v>4.31</v>
      </c>
      <c r="I4083" s="7" t="s">
        <v>174</v>
      </c>
      <c r="J4083" s="7" t="s">
        <v>175</v>
      </c>
      <c r="K4083" s="7" t="s">
        <v>16957</v>
      </c>
      <c r="L4083" s="198" t="s">
        <v>65</v>
      </c>
      <c r="M4083" s="194"/>
      <c r="N4083" s="194"/>
    </row>
    <row r="4084">
      <c r="A4084" s="193" t="s">
        <v>22077</v>
      </c>
      <c r="B4084" s="7" t="s">
        <v>16926</v>
      </c>
      <c r="C4084" s="7" t="s">
        <v>16957</v>
      </c>
      <c r="D4084" s="199"/>
      <c r="E4084" s="193"/>
      <c r="F4084" s="195" t="s">
        <v>22078</v>
      </c>
      <c r="G4084" s="196">
        <v>9.37269773E8</v>
      </c>
      <c r="H4084" s="197">
        <v>25.49</v>
      </c>
      <c r="I4084" s="7" t="s">
        <v>16815</v>
      </c>
      <c r="J4084" s="7" t="s">
        <v>16926</v>
      </c>
      <c r="K4084" s="7" t="s">
        <v>16957</v>
      </c>
      <c r="L4084" s="198" t="s">
        <v>65</v>
      </c>
      <c r="M4084" s="199"/>
      <c r="N4084" s="199"/>
    </row>
    <row r="4085">
      <c r="A4085" s="193" t="s">
        <v>22079</v>
      </c>
      <c r="B4085" s="7" t="s">
        <v>16582</v>
      </c>
      <c r="C4085" s="7" t="s">
        <v>16828</v>
      </c>
      <c r="D4085" s="199"/>
      <c r="E4085" s="193"/>
      <c r="F4085" s="195" t="s">
        <v>22080</v>
      </c>
      <c r="G4085" s="196">
        <v>9.36946328E8</v>
      </c>
      <c r="H4085" s="197">
        <v>14.6</v>
      </c>
      <c r="I4085" s="7" t="s">
        <v>16815</v>
      </c>
      <c r="J4085" s="7" t="s">
        <v>16582</v>
      </c>
      <c r="K4085" s="7" t="s">
        <v>16828</v>
      </c>
      <c r="L4085" s="198" t="s">
        <v>65</v>
      </c>
      <c r="M4085" s="199"/>
      <c r="N4085" s="199"/>
    </row>
    <row r="4086">
      <c r="A4086" s="193" t="s">
        <v>22081</v>
      </c>
      <c r="B4086" s="7" t="s">
        <v>175</v>
      </c>
      <c r="C4086" s="7" t="s">
        <v>17057</v>
      </c>
      <c r="D4086" s="199"/>
      <c r="E4086" s="193"/>
      <c r="F4086" s="195" t="s">
        <v>22082</v>
      </c>
      <c r="G4086" s="196">
        <v>9.35388967E8</v>
      </c>
      <c r="H4086" s="197">
        <v>59.4</v>
      </c>
      <c r="I4086" s="7" t="s">
        <v>16856</v>
      </c>
      <c r="J4086" s="7" t="s">
        <v>175</v>
      </c>
      <c r="K4086" s="7" t="s">
        <v>17057</v>
      </c>
      <c r="L4086" s="198" t="s">
        <v>65</v>
      </c>
      <c r="M4086" s="199"/>
      <c r="N4086" s="199"/>
    </row>
    <row r="4087">
      <c r="A4087" s="193" t="s">
        <v>22083</v>
      </c>
      <c r="B4087" s="7" t="s">
        <v>16582</v>
      </c>
      <c r="C4087" s="7" t="s">
        <v>16583</v>
      </c>
      <c r="D4087" s="194">
        <v>2020.0</v>
      </c>
      <c r="E4087" s="193"/>
      <c r="F4087" s="195" t="s">
        <v>22084</v>
      </c>
      <c r="G4087" s="196">
        <v>9.35059768E8</v>
      </c>
      <c r="H4087" s="197">
        <v>3.66</v>
      </c>
      <c r="I4087" s="7" t="s">
        <v>16815</v>
      </c>
      <c r="J4087" s="7" t="s">
        <v>16582</v>
      </c>
      <c r="K4087" s="7" t="s">
        <v>16583</v>
      </c>
      <c r="L4087" s="198" t="s">
        <v>65</v>
      </c>
      <c r="M4087" s="194"/>
      <c r="N4087" s="194"/>
    </row>
    <row r="4088">
      <c r="A4088" s="193" t="s">
        <v>22085</v>
      </c>
      <c r="B4088" s="7" t="s">
        <v>17111</v>
      </c>
      <c r="C4088" s="7" t="s">
        <v>17112</v>
      </c>
      <c r="D4088" s="199"/>
      <c r="E4088" s="193"/>
      <c r="F4088" s="195" t="s">
        <v>22086</v>
      </c>
      <c r="G4088" s="200">
        <v>9.33575475E8</v>
      </c>
      <c r="H4088" s="197">
        <v>10.76</v>
      </c>
      <c r="I4088" s="7" t="s">
        <v>16815</v>
      </c>
      <c r="J4088" s="7" t="s">
        <v>17111</v>
      </c>
      <c r="K4088" s="7" t="s">
        <v>17112</v>
      </c>
      <c r="L4088" s="201" t="s">
        <v>16835</v>
      </c>
      <c r="M4088" s="199"/>
      <c r="N4088" s="199"/>
    </row>
    <row r="4089">
      <c r="A4089" s="193" t="s">
        <v>22085</v>
      </c>
      <c r="B4089" s="7" t="s">
        <v>17112</v>
      </c>
      <c r="C4089" s="7" t="s">
        <v>17111</v>
      </c>
      <c r="D4089" s="199"/>
      <c r="E4089" s="193"/>
      <c r="F4089" s="195" t="s">
        <v>22086</v>
      </c>
      <c r="G4089" s="196">
        <v>9.33575475E8</v>
      </c>
      <c r="H4089" s="197">
        <v>10.76</v>
      </c>
      <c r="I4089" s="7" t="s">
        <v>16815</v>
      </c>
      <c r="J4089" s="7" t="s">
        <v>17112</v>
      </c>
      <c r="K4089" s="7" t="s">
        <v>17111</v>
      </c>
      <c r="L4089" s="198" t="s">
        <v>65</v>
      </c>
      <c r="M4089" s="199"/>
      <c r="N4089" s="199"/>
    </row>
    <row r="4090">
      <c r="A4090" s="193" t="s">
        <v>22087</v>
      </c>
      <c r="B4090" s="7" t="s">
        <v>187</v>
      </c>
      <c r="C4090" s="7" t="s">
        <v>16969</v>
      </c>
      <c r="D4090" s="194">
        <v>2013.0</v>
      </c>
      <c r="E4090" s="193"/>
      <c r="F4090" s="195" t="s">
        <v>22088</v>
      </c>
      <c r="G4090" s="196">
        <v>9.31194559E8</v>
      </c>
      <c r="H4090" s="197">
        <v>14.28</v>
      </c>
      <c r="I4090" s="7" t="s">
        <v>16815</v>
      </c>
      <c r="J4090" s="7" t="s">
        <v>187</v>
      </c>
      <c r="K4090" s="7" t="s">
        <v>16969</v>
      </c>
      <c r="L4090" s="198" t="s">
        <v>65</v>
      </c>
      <c r="M4090" s="194"/>
      <c r="N4090" s="194"/>
    </row>
    <row r="4091">
      <c r="A4091" s="193" t="s">
        <v>22089</v>
      </c>
      <c r="B4091" s="7" t="s">
        <v>16919</v>
      </c>
      <c r="C4091" s="7" t="s">
        <v>16920</v>
      </c>
      <c r="D4091" s="194">
        <v>2021.0</v>
      </c>
      <c r="E4091" s="193"/>
      <c r="F4091" s="195" t="s">
        <v>22090</v>
      </c>
      <c r="G4091" s="196">
        <v>9.29491322E8</v>
      </c>
      <c r="H4091" s="197">
        <v>6.47</v>
      </c>
      <c r="I4091" s="7" t="s">
        <v>16815</v>
      </c>
      <c r="J4091" s="7" t="s">
        <v>16919</v>
      </c>
      <c r="K4091" s="7" t="s">
        <v>16920</v>
      </c>
      <c r="L4091" s="198" t="s">
        <v>65</v>
      </c>
      <c r="M4091" s="194"/>
      <c r="N4091" s="194"/>
    </row>
    <row r="4092">
      <c r="A4092" s="193" t="s">
        <v>22091</v>
      </c>
      <c r="B4092" s="7" t="s">
        <v>16582</v>
      </c>
      <c r="C4092" s="7" t="s">
        <v>16828</v>
      </c>
      <c r="D4092" s="199"/>
      <c r="E4092" s="193"/>
      <c r="F4092" s="195" t="s">
        <v>22092</v>
      </c>
      <c r="G4092" s="196">
        <v>9.29406666E8</v>
      </c>
      <c r="H4092" s="197">
        <v>5.64</v>
      </c>
      <c r="I4092" s="7" t="s">
        <v>16815</v>
      </c>
      <c r="J4092" s="7" t="s">
        <v>16582</v>
      </c>
      <c r="K4092" s="7" t="s">
        <v>16828</v>
      </c>
      <c r="L4092" s="198" t="s">
        <v>65</v>
      </c>
      <c r="M4092" s="199"/>
      <c r="N4092" s="199"/>
    </row>
    <row r="4093">
      <c r="A4093" s="193" t="s">
        <v>22093</v>
      </c>
      <c r="B4093" s="7" t="s">
        <v>16885</v>
      </c>
      <c r="C4093" s="7" t="s">
        <v>17726</v>
      </c>
      <c r="D4093" s="194">
        <v>2020.0</v>
      </c>
      <c r="E4093" s="193"/>
      <c r="F4093" s="195" t="s">
        <v>22094</v>
      </c>
      <c r="G4093" s="196">
        <v>9.27836568E8</v>
      </c>
      <c r="H4093" s="197">
        <v>2.96</v>
      </c>
      <c r="I4093" s="7" t="s">
        <v>16826</v>
      </c>
      <c r="J4093" s="7" t="s">
        <v>16885</v>
      </c>
      <c r="K4093" s="7" t="s">
        <v>17726</v>
      </c>
      <c r="L4093" s="198" t="s">
        <v>65</v>
      </c>
      <c r="M4093" s="194"/>
      <c r="N4093" s="194"/>
    </row>
    <row r="4094">
      <c r="A4094" s="193" t="s">
        <v>22093</v>
      </c>
      <c r="B4094" s="202" t="s">
        <v>17726</v>
      </c>
      <c r="C4094" s="193" t="s">
        <v>16885</v>
      </c>
      <c r="D4094" s="193">
        <v>2020.0</v>
      </c>
      <c r="E4094" s="193"/>
      <c r="F4094" s="203" t="s">
        <v>22094</v>
      </c>
      <c r="G4094" s="200">
        <v>9.27836568E8</v>
      </c>
      <c r="H4094" s="205">
        <v>20.8273</v>
      </c>
      <c r="J4094" s="202" t="s">
        <v>17726</v>
      </c>
      <c r="K4094" s="193" t="s">
        <v>16885</v>
      </c>
      <c r="L4094" s="193" t="s">
        <v>17471</v>
      </c>
      <c r="M4094" s="193"/>
      <c r="N4094" s="193"/>
    </row>
    <row r="4095">
      <c r="A4095" s="193" t="s">
        <v>22095</v>
      </c>
      <c r="B4095" s="7" t="s">
        <v>175</v>
      </c>
      <c r="C4095" s="7" t="s">
        <v>17084</v>
      </c>
      <c r="D4095" s="199"/>
      <c r="E4095" s="193"/>
      <c r="F4095" s="195" t="s">
        <v>22096</v>
      </c>
      <c r="G4095" s="196">
        <v>9.2578254E8</v>
      </c>
      <c r="H4095" s="197">
        <v>7.5</v>
      </c>
      <c r="I4095" s="7" t="s">
        <v>16908</v>
      </c>
      <c r="J4095" s="7" t="s">
        <v>175</v>
      </c>
      <c r="K4095" s="7" t="s">
        <v>17084</v>
      </c>
      <c r="L4095" s="198" t="s">
        <v>65</v>
      </c>
      <c r="M4095" s="199"/>
      <c r="N4095" s="199"/>
    </row>
    <row r="4096">
      <c r="A4096" s="193" t="s">
        <v>22095</v>
      </c>
      <c r="B4096" s="7" t="s">
        <v>17084</v>
      </c>
      <c r="C4096" s="7" t="s">
        <v>175</v>
      </c>
      <c r="D4096" s="199"/>
      <c r="E4096" s="193"/>
      <c r="F4096" s="195" t="s">
        <v>22096</v>
      </c>
      <c r="G4096" s="200">
        <v>9.2578254E8</v>
      </c>
      <c r="H4096" s="197">
        <v>7.5</v>
      </c>
      <c r="I4096" s="7" t="s">
        <v>16815</v>
      </c>
      <c r="J4096" s="7" t="s">
        <v>17084</v>
      </c>
      <c r="K4096" s="7" t="s">
        <v>175</v>
      </c>
      <c r="L4096" s="201" t="s">
        <v>16835</v>
      </c>
      <c r="M4096" s="199"/>
      <c r="N4096" s="199"/>
    </row>
    <row r="4097">
      <c r="A4097" s="193" t="s">
        <v>22097</v>
      </c>
      <c r="B4097" s="7" t="s">
        <v>187</v>
      </c>
      <c r="C4097" s="7" t="s">
        <v>16846</v>
      </c>
      <c r="D4097" s="194">
        <v>2004.0</v>
      </c>
      <c r="E4097" s="193"/>
      <c r="F4097" s="195" t="s">
        <v>22098</v>
      </c>
      <c r="G4097" s="196">
        <v>9.24641063E8</v>
      </c>
      <c r="H4097" s="197">
        <v>3.43</v>
      </c>
      <c r="I4097" s="7" t="s">
        <v>16815</v>
      </c>
      <c r="J4097" s="7" t="s">
        <v>187</v>
      </c>
      <c r="K4097" s="7" t="s">
        <v>16846</v>
      </c>
      <c r="L4097" s="198" t="s">
        <v>65</v>
      </c>
      <c r="M4097" s="194"/>
      <c r="N4097" s="194"/>
    </row>
    <row r="4098">
      <c r="A4098" s="193" t="s">
        <v>22099</v>
      </c>
      <c r="B4098" s="7" t="s">
        <v>175</v>
      </c>
      <c r="C4098" s="7" t="s">
        <v>16975</v>
      </c>
      <c r="D4098" s="199"/>
      <c r="E4098" s="193"/>
      <c r="F4098" s="195" t="s">
        <v>22100</v>
      </c>
      <c r="G4098" s="196">
        <v>9.23667525E8</v>
      </c>
      <c r="H4098" s="197">
        <v>25.99</v>
      </c>
      <c r="I4098" s="7" t="s">
        <v>16908</v>
      </c>
      <c r="J4098" s="7" t="s">
        <v>175</v>
      </c>
      <c r="K4098" s="7" t="s">
        <v>16975</v>
      </c>
      <c r="L4098" s="198" t="s">
        <v>65</v>
      </c>
      <c r="M4098" s="199"/>
      <c r="N4098" s="199"/>
    </row>
    <row r="4099">
      <c r="A4099" s="193" t="s">
        <v>22099</v>
      </c>
      <c r="B4099" s="7" t="s">
        <v>16975</v>
      </c>
      <c r="C4099" s="7" t="s">
        <v>175</v>
      </c>
      <c r="D4099" s="199"/>
      <c r="E4099" s="193"/>
      <c r="F4099" s="195" t="s">
        <v>22100</v>
      </c>
      <c r="G4099" s="200">
        <v>9.23667525E8</v>
      </c>
      <c r="H4099" s="197">
        <v>25.99</v>
      </c>
      <c r="I4099" s="7" t="s">
        <v>16815</v>
      </c>
      <c r="J4099" s="7" t="s">
        <v>16975</v>
      </c>
      <c r="K4099" s="7" t="s">
        <v>175</v>
      </c>
      <c r="L4099" s="201" t="s">
        <v>16835</v>
      </c>
      <c r="M4099" s="199"/>
      <c r="N4099" s="199"/>
    </row>
    <row r="4100">
      <c r="A4100" s="193" t="s">
        <v>22101</v>
      </c>
      <c r="B4100" s="7" t="s">
        <v>187</v>
      </c>
      <c r="C4100" s="7" t="s">
        <v>16846</v>
      </c>
      <c r="D4100" s="194">
        <v>2017.0</v>
      </c>
      <c r="E4100" s="193"/>
      <c r="F4100" s="195" t="s">
        <v>22102</v>
      </c>
      <c r="G4100" s="196">
        <v>9.22217318E8</v>
      </c>
      <c r="H4100" s="197">
        <v>11.51</v>
      </c>
      <c r="I4100" s="7" t="s">
        <v>16815</v>
      </c>
      <c r="J4100" s="7" t="s">
        <v>187</v>
      </c>
      <c r="K4100" s="7" t="s">
        <v>16846</v>
      </c>
      <c r="L4100" s="198" t="s">
        <v>65</v>
      </c>
      <c r="M4100" s="194"/>
      <c r="N4100" s="194"/>
    </row>
    <row r="4101">
      <c r="A4101" s="193" t="s">
        <v>22103</v>
      </c>
      <c r="B4101" s="7" t="s">
        <v>17111</v>
      </c>
      <c r="C4101" s="7" t="s">
        <v>17112</v>
      </c>
      <c r="D4101" s="194">
        <v>1994.0</v>
      </c>
      <c r="E4101" s="193"/>
      <c r="F4101" s="195" t="s">
        <v>22104</v>
      </c>
      <c r="G4101" s="200">
        <v>9.21201127E8</v>
      </c>
      <c r="H4101" s="197">
        <v>6.32</v>
      </c>
      <c r="I4101" s="7" t="s">
        <v>16815</v>
      </c>
      <c r="J4101" s="7" t="s">
        <v>17111</v>
      </c>
      <c r="K4101" s="7" t="s">
        <v>17112</v>
      </c>
      <c r="L4101" s="201" t="s">
        <v>16835</v>
      </c>
      <c r="M4101" s="194"/>
      <c r="N4101" s="194"/>
    </row>
    <row r="4102">
      <c r="A4102" s="193" t="s">
        <v>22103</v>
      </c>
      <c r="B4102" s="7" t="s">
        <v>17112</v>
      </c>
      <c r="C4102" s="7" t="s">
        <v>17111</v>
      </c>
      <c r="D4102" s="194">
        <v>1994.0</v>
      </c>
      <c r="E4102" s="193"/>
      <c r="F4102" s="195" t="s">
        <v>22104</v>
      </c>
      <c r="G4102" s="196">
        <v>9.21201127E8</v>
      </c>
      <c r="H4102" s="197">
        <v>6.32</v>
      </c>
      <c r="I4102" s="7" t="s">
        <v>16815</v>
      </c>
      <c r="J4102" s="7" t="s">
        <v>17112</v>
      </c>
      <c r="K4102" s="7" t="s">
        <v>17111</v>
      </c>
      <c r="L4102" s="198" t="s">
        <v>65</v>
      </c>
      <c r="M4102" s="194"/>
      <c r="N4102" s="194"/>
    </row>
    <row r="4103">
      <c r="A4103" s="193" t="s">
        <v>22105</v>
      </c>
      <c r="B4103" s="7" t="s">
        <v>158</v>
      </c>
      <c r="C4103" s="7" t="s">
        <v>20100</v>
      </c>
      <c r="D4103" s="194">
        <v>2017.0</v>
      </c>
      <c r="E4103" s="193"/>
      <c r="F4103" s="195" t="s">
        <v>22106</v>
      </c>
      <c r="G4103" s="196">
        <v>9.20424333E8</v>
      </c>
      <c r="H4103" s="197">
        <v>17.47</v>
      </c>
      <c r="I4103" s="7" t="s">
        <v>17098</v>
      </c>
      <c r="J4103" s="7" t="s">
        <v>158</v>
      </c>
      <c r="K4103" s="7" t="s">
        <v>20100</v>
      </c>
      <c r="L4103" s="198" t="s">
        <v>65</v>
      </c>
      <c r="M4103" s="194"/>
      <c r="N4103" s="194"/>
    </row>
    <row r="4104">
      <c r="A4104" s="193" t="s">
        <v>22107</v>
      </c>
      <c r="D4104" s="194">
        <v>2023.0</v>
      </c>
      <c r="E4104" s="193"/>
      <c r="F4104" s="195" t="s">
        <v>22108</v>
      </c>
      <c r="G4104" s="196">
        <v>9.195285E8</v>
      </c>
      <c r="H4104" s="197">
        <v>5.75</v>
      </c>
      <c r="I4104" s="7" t="s">
        <v>16815</v>
      </c>
      <c r="L4104" s="198" t="s">
        <v>65</v>
      </c>
      <c r="M4104" s="194"/>
      <c r="N4104" s="194"/>
    </row>
    <row r="4105">
      <c r="A4105" s="193" t="s">
        <v>22107</v>
      </c>
      <c r="D4105" s="194">
        <v>2023.0</v>
      </c>
      <c r="E4105" s="193"/>
      <c r="F4105" s="195" t="s">
        <v>22108</v>
      </c>
      <c r="G4105" s="200">
        <v>9.195285E8</v>
      </c>
      <c r="H4105" s="197">
        <v>5.75</v>
      </c>
      <c r="L4105" s="201" t="s">
        <v>16835</v>
      </c>
      <c r="M4105" s="194"/>
      <c r="N4105" s="194"/>
    </row>
    <row r="4106">
      <c r="A4106" s="193" t="s">
        <v>22109</v>
      </c>
      <c r="D4106" s="194">
        <v>2022.0</v>
      </c>
      <c r="E4106" s="193"/>
      <c r="F4106" s="195" t="s">
        <v>22110</v>
      </c>
      <c r="G4106" s="196">
        <v>9.17387342E8</v>
      </c>
      <c r="H4106" s="197">
        <v>1.18</v>
      </c>
      <c r="I4106" s="7" t="s">
        <v>16815</v>
      </c>
      <c r="L4106" s="198" t="s">
        <v>65</v>
      </c>
      <c r="M4106" s="194"/>
      <c r="N4106" s="194"/>
    </row>
    <row r="4107">
      <c r="A4107" s="193" t="s">
        <v>22109</v>
      </c>
      <c r="B4107" s="208"/>
      <c r="C4107" s="206"/>
      <c r="D4107" s="193">
        <v>2022.0</v>
      </c>
      <c r="E4107" s="193"/>
      <c r="F4107" s="203" t="s">
        <v>22110</v>
      </c>
      <c r="G4107" s="200">
        <v>9.17387342E8</v>
      </c>
      <c r="H4107" s="205">
        <v>2.96</v>
      </c>
      <c r="J4107" s="208"/>
      <c r="K4107" s="206"/>
      <c r="L4107" s="193" t="s">
        <v>17471</v>
      </c>
      <c r="M4107" s="193"/>
      <c r="N4107" s="193"/>
    </row>
    <row r="4108">
      <c r="A4108" s="193" t="s">
        <v>22111</v>
      </c>
      <c r="B4108" s="7" t="s">
        <v>16838</v>
      </c>
      <c r="C4108" s="7" t="s">
        <v>16867</v>
      </c>
      <c r="D4108" s="199"/>
      <c r="E4108" s="193"/>
      <c r="F4108" s="195" t="s">
        <v>22112</v>
      </c>
      <c r="G4108" s="196">
        <v>9.1663076E8</v>
      </c>
      <c r="H4108" s="197">
        <v>21.2</v>
      </c>
      <c r="I4108" s="7" t="s">
        <v>16815</v>
      </c>
      <c r="J4108" s="7" t="s">
        <v>16838</v>
      </c>
      <c r="K4108" s="7" t="s">
        <v>16867</v>
      </c>
      <c r="L4108" s="198" t="s">
        <v>65</v>
      </c>
      <c r="M4108" s="199"/>
      <c r="N4108" s="199"/>
    </row>
    <row r="4109">
      <c r="A4109" s="193" t="s">
        <v>22113</v>
      </c>
      <c r="B4109" s="7" t="s">
        <v>17202</v>
      </c>
      <c r="C4109" s="7" t="s">
        <v>16838</v>
      </c>
      <c r="D4109" s="194">
        <v>2021.0</v>
      </c>
      <c r="E4109" s="193"/>
      <c r="F4109" s="195" t="s">
        <v>22114</v>
      </c>
      <c r="G4109" s="200">
        <v>9.15954541E8</v>
      </c>
      <c r="H4109" s="197">
        <v>7.74</v>
      </c>
      <c r="I4109" s="7" t="s">
        <v>16815</v>
      </c>
      <c r="J4109" s="7" t="s">
        <v>17202</v>
      </c>
      <c r="K4109" s="7" t="s">
        <v>16838</v>
      </c>
      <c r="L4109" s="201" t="s">
        <v>16835</v>
      </c>
      <c r="M4109" s="194"/>
      <c r="N4109" s="194"/>
    </row>
    <row r="4110">
      <c r="A4110" s="193" t="s">
        <v>22113</v>
      </c>
      <c r="B4110" s="7" t="s">
        <v>16838</v>
      </c>
      <c r="C4110" s="7" t="s">
        <v>17202</v>
      </c>
      <c r="D4110" s="194">
        <v>2021.0</v>
      </c>
      <c r="E4110" s="193"/>
      <c r="F4110" s="195" t="s">
        <v>22114</v>
      </c>
      <c r="G4110" s="196">
        <v>9.15954541E8</v>
      </c>
      <c r="H4110" s="197">
        <v>7.74</v>
      </c>
      <c r="I4110" s="7" t="s">
        <v>16815</v>
      </c>
      <c r="J4110" s="7" t="s">
        <v>16838</v>
      </c>
      <c r="K4110" s="7" t="s">
        <v>17202</v>
      </c>
      <c r="L4110" s="198" t="s">
        <v>65</v>
      </c>
      <c r="M4110" s="194"/>
      <c r="N4110" s="194"/>
    </row>
    <row r="4111">
      <c r="A4111" s="193" t="s">
        <v>22115</v>
      </c>
      <c r="B4111" s="7" t="s">
        <v>16838</v>
      </c>
      <c r="C4111" s="7" t="s">
        <v>16867</v>
      </c>
      <c r="D4111" s="199"/>
      <c r="E4111" s="193"/>
      <c r="F4111" s="195" t="s">
        <v>22116</v>
      </c>
      <c r="G4111" s="196">
        <v>9.13025852E8</v>
      </c>
      <c r="H4111" s="197">
        <v>20.82</v>
      </c>
      <c r="I4111" s="7" t="s">
        <v>16815</v>
      </c>
      <c r="J4111" s="7" t="s">
        <v>16838</v>
      </c>
      <c r="K4111" s="7" t="s">
        <v>16867</v>
      </c>
      <c r="L4111" s="198" t="s">
        <v>65</v>
      </c>
      <c r="M4111" s="199"/>
      <c r="N4111" s="199"/>
    </row>
    <row r="4112">
      <c r="A4112" s="193" t="s">
        <v>22117</v>
      </c>
      <c r="B4112" s="7" t="s">
        <v>175</v>
      </c>
      <c r="C4112" s="7" t="s">
        <v>17457</v>
      </c>
      <c r="D4112" s="194">
        <v>1994.0</v>
      </c>
      <c r="E4112" s="193"/>
      <c r="F4112" s="195" t="s">
        <v>22118</v>
      </c>
      <c r="G4112" s="196">
        <v>9.11030951E8</v>
      </c>
      <c r="H4112" s="197">
        <v>29.07</v>
      </c>
      <c r="I4112" s="7" t="s">
        <v>16908</v>
      </c>
      <c r="J4112" s="7" t="s">
        <v>175</v>
      </c>
      <c r="K4112" s="7" t="s">
        <v>17457</v>
      </c>
      <c r="L4112" s="198" t="s">
        <v>65</v>
      </c>
      <c r="M4112" s="194"/>
      <c r="N4112" s="194"/>
    </row>
    <row r="4113">
      <c r="A4113" s="193" t="s">
        <v>22117</v>
      </c>
      <c r="B4113" s="7" t="s">
        <v>17457</v>
      </c>
      <c r="C4113" s="7" t="s">
        <v>175</v>
      </c>
      <c r="D4113" s="194">
        <v>1994.0</v>
      </c>
      <c r="E4113" s="193"/>
      <c r="F4113" s="195" t="s">
        <v>22118</v>
      </c>
      <c r="G4113" s="200">
        <v>9.11030951E8</v>
      </c>
      <c r="H4113" s="197">
        <v>29.07</v>
      </c>
      <c r="I4113" s="7" t="s">
        <v>16815</v>
      </c>
      <c r="J4113" s="7" t="s">
        <v>17457</v>
      </c>
      <c r="K4113" s="7" t="s">
        <v>175</v>
      </c>
      <c r="L4113" s="201" t="s">
        <v>16835</v>
      </c>
      <c r="M4113" s="194"/>
      <c r="N4113" s="194"/>
    </row>
    <row r="4114">
      <c r="A4114" s="193" t="s">
        <v>22119</v>
      </c>
      <c r="B4114" s="7" t="s">
        <v>175</v>
      </c>
      <c r="C4114" s="7" t="s">
        <v>16972</v>
      </c>
      <c r="D4114" s="194">
        <v>2017.0</v>
      </c>
      <c r="E4114" s="193"/>
      <c r="F4114" s="195" t="s">
        <v>22120</v>
      </c>
      <c r="G4114" s="196">
        <v>9.1078727E8</v>
      </c>
      <c r="H4114" s="197">
        <v>10.74</v>
      </c>
      <c r="I4114" s="7" t="s">
        <v>16826</v>
      </c>
      <c r="J4114" s="7" t="s">
        <v>175</v>
      </c>
      <c r="K4114" s="7" t="s">
        <v>16972</v>
      </c>
      <c r="L4114" s="198" t="s">
        <v>65</v>
      </c>
      <c r="M4114" s="194"/>
      <c r="N4114" s="194"/>
    </row>
    <row r="4115">
      <c r="A4115" s="193" t="s">
        <v>22119</v>
      </c>
      <c r="B4115" s="7" t="s">
        <v>16972</v>
      </c>
      <c r="C4115" s="7" t="s">
        <v>175</v>
      </c>
      <c r="D4115" s="194">
        <v>2017.0</v>
      </c>
      <c r="E4115" s="193"/>
      <c r="F4115" s="195" t="s">
        <v>22120</v>
      </c>
      <c r="G4115" s="200">
        <v>9.1078727E8</v>
      </c>
      <c r="H4115" s="197">
        <v>10.74</v>
      </c>
      <c r="I4115" s="7" t="s">
        <v>16815</v>
      </c>
      <c r="J4115" s="7" t="s">
        <v>16972</v>
      </c>
      <c r="K4115" s="7" t="s">
        <v>175</v>
      </c>
      <c r="L4115" s="201" t="s">
        <v>16835</v>
      </c>
      <c r="M4115" s="194"/>
      <c r="N4115" s="194"/>
    </row>
    <row r="4116">
      <c r="A4116" s="193" t="s">
        <v>22121</v>
      </c>
      <c r="B4116" s="7" t="s">
        <v>17629</v>
      </c>
      <c r="C4116" s="7" t="s">
        <v>16899</v>
      </c>
      <c r="D4116" s="199"/>
      <c r="E4116" s="193"/>
      <c r="F4116" s="195" t="s">
        <v>22122</v>
      </c>
      <c r="G4116" s="196">
        <v>9.10518334E8</v>
      </c>
      <c r="H4116" s="197">
        <v>1.87</v>
      </c>
      <c r="I4116" s="7" t="s">
        <v>16815</v>
      </c>
      <c r="J4116" s="7" t="s">
        <v>17629</v>
      </c>
      <c r="K4116" s="7" t="s">
        <v>16899</v>
      </c>
      <c r="L4116" s="198" t="s">
        <v>65</v>
      </c>
      <c r="M4116" s="199"/>
      <c r="N4116" s="199"/>
    </row>
    <row r="4117">
      <c r="A4117" s="193" t="s">
        <v>22123</v>
      </c>
      <c r="B4117" s="7" t="s">
        <v>16582</v>
      </c>
      <c r="C4117" s="7" t="s">
        <v>16930</v>
      </c>
      <c r="D4117" s="199"/>
      <c r="E4117" s="193"/>
      <c r="F4117" s="195" t="s">
        <v>22124</v>
      </c>
      <c r="G4117" s="196">
        <v>9.0757177E8</v>
      </c>
      <c r="H4117" s="197">
        <v>59.25</v>
      </c>
      <c r="I4117" s="7" t="s">
        <v>16815</v>
      </c>
      <c r="J4117" s="7" t="s">
        <v>16582</v>
      </c>
      <c r="K4117" s="7" t="s">
        <v>16930</v>
      </c>
      <c r="L4117" s="198" t="s">
        <v>65</v>
      </c>
      <c r="M4117" s="199"/>
      <c r="N4117" s="199"/>
    </row>
    <row r="4118">
      <c r="A4118" s="193" t="s">
        <v>22125</v>
      </c>
      <c r="B4118" s="7" t="s">
        <v>158</v>
      </c>
      <c r="C4118" s="7" t="s">
        <v>20100</v>
      </c>
      <c r="D4118" s="194">
        <v>2002.0</v>
      </c>
      <c r="E4118" s="193"/>
      <c r="F4118" s="195" t="s">
        <v>22126</v>
      </c>
      <c r="G4118" s="196">
        <v>9.07293642E8</v>
      </c>
      <c r="H4118" s="197">
        <v>71.81</v>
      </c>
      <c r="I4118" s="7" t="s">
        <v>17098</v>
      </c>
      <c r="J4118" s="7" t="s">
        <v>158</v>
      </c>
      <c r="K4118" s="7" t="s">
        <v>20100</v>
      </c>
      <c r="L4118" s="198" t="s">
        <v>65</v>
      </c>
      <c r="M4118" s="194"/>
      <c r="N4118" s="194"/>
    </row>
    <row r="4119">
      <c r="A4119" s="193" t="s">
        <v>22125</v>
      </c>
      <c r="B4119" s="7" t="s">
        <v>20100</v>
      </c>
      <c r="C4119" s="7" t="s">
        <v>158</v>
      </c>
      <c r="D4119" s="194">
        <v>2002.0</v>
      </c>
      <c r="E4119" s="193"/>
      <c r="F4119" s="195" t="s">
        <v>22126</v>
      </c>
      <c r="G4119" s="200">
        <v>9.07293642E8</v>
      </c>
      <c r="H4119" s="197">
        <v>71.81</v>
      </c>
      <c r="I4119" s="7" t="s">
        <v>16815</v>
      </c>
      <c r="J4119" s="7" t="s">
        <v>20100</v>
      </c>
      <c r="K4119" s="7" t="s">
        <v>158</v>
      </c>
      <c r="L4119" s="201" t="s">
        <v>16835</v>
      </c>
      <c r="M4119" s="194"/>
      <c r="N4119" s="194"/>
    </row>
    <row r="4120">
      <c r="A4120" s="193" t="s">
        <v>22127</v>
      </c>
      <c r="B4120" s="7" t="s">
        <v>16910</v>
      </c>
      <c r="C4120" s="7" t="s">
        <v>17119</v>
      </c>
      <c r="D4120" s="194">
        <v>2023.0</v>
      </c>
      <c r="E4120" s="193"/>
      <c r="F4120" s="195" t="s">
        <v>22128</v>
      </c>
      <c r="G4120" s="196">
        <v>9.05979196E8</v>
      </c>
      <c r="H4120" s="197">
        <v>10.58</v>
      </c>
      <c r="I4120" s="7" t="s">
        <v>127</v>
      </c>
      <c r="J4120" s="7" t="s">
        <v>16910</v>
      </c>
      <c r="K4120" s="7" t="s">
        <v>17119</v>
      </c>
      <c r="L4120" s="198" t="s">
        <v>65</v>
      </c>
      <c r="M4120" s="194"/>
      <c r="N4120" s="194"/>
    </row>
    <row r="4121">
      <c r="A4121" s="193" t="s">
        <v>22127</v>
      </c>
      <c r="B4121" s="7" t="s">
        <v>17119</v>
      </c>
      <c r="C4121" s="7" t="s">
        <v>16910</v>
      </c>
      <c r="D4121" s="194">
        <v>2023.0</v>
      </c>
      <c r="E4121" s="193"/>
      <c r="F4121" s="195" t="s">
        <v>22128</v>
      </c>
      <c r="G4121" s="200">
        <v>9.05979196E8</v>
      </c>
      <c r="H4121" s="197">
        <v>10.58</v>
      </c>
      <c r="I4121" s="7" t="s">
        <v>16815</v>
      </c>
      <c r="J4121" s="7" t="s">
        <v>17119</v>
      </c>
      <c r="K4121" s="7" t="s">
        <v>16910</v>
      </c>
      <c r="L4121" s="201" t="s">
        <v>16835</v>
      </c>
      <c r="M4121" s="194"/>
      <c r="N4121" s="194"/>
    </row>
    <row r="4122">
      <c r="A4122" s="193" t="s">
        <v>22129</v>
      </c>
      <c r="B4122" s="7" t="s">
        <v>16919</v>
      </c>
      <c r="C4122" s="7" t="s">
        <v>16957</v>
      </c>
      <c r="D4122" s="194">
        <v>2007.0</v>
      </c>
      <c r="E4122" s="193"/>
      <c r="F4122" s="195" t="s">
        <v>22130</v>
      </c>
      <c r="G4122" s="196">
        <v>9.05425842E8</v>
      </c>
      <c r="H4122" s="197">
        <v>3.99</v>
      </c>
      <c r="I4122" s="7" t="s">
        <v>16815</v>
      </c>
      <c r="J4122" s="7" t="s">
        <v>16919</v>
      </c>
      <c r="K4122" s="7" t="s">
        <v>16957</v>
      </c>
      <c r="L4122" s="198" t="s">
        <v>65</v>
      </c>
      <c r="M4122" s="194"/>
      <c r="N4122" s="194"/>
    </row>
    <row r="4123">
      <c r="A4123" s="193" t="s">
        <v>22131</v>
      </c>
      <c r="B4123" s="7" t="s">
        <v>175</v>
      </c>
      <c r="C4123" s="7" t="s">
        <v>16972</v>
      </c>
      <c r="D4123" s="194">
        <v>2020.0</v>
      </c>
      <c r="E4123" s="193"/>
      <c r="F4123" s="195" t="s">
        <v>22132</v>
      </c>
      <c r="G4123" s="196">
        <v>9.050514E8</v>
      </c>
      <c r="H4123" s="197">
        <v>26.51</v>
      </c>
      <c r="I4123" s="7" t="s">
        <v>168</v>
      </c>
      <c r="J4123" s="7" t="s">
        <v>175</v>
      </c>
      <c r="K4123" s="7" t="s">
        <v>16972</v>
      </c>
      <c r="L4123" s="198" t="s">
        <v>65</v>
      </c>
      <c r="M4123" s="194"/>
      <c r="N4123" s="194"/>
    </row>
    <row r="4124">
      <c r="A4124" s="193" t="s">
        <v>22133</v>
      </c>
      <c r="D4124" s="194">
        <v>2023.0</v>
      </c>
      <c r="E4124" s="193"/>
      <c r="F4124" s="195" t="s">
        <v>22134</v>
      </c>
      <c r="G4124" s="196">
        <v>9.0388968E8</v>
      </c>
      <c r="H4124" s="197">
        <v>19.37</v>
      </c>
      <c r="I4124" s="7" t="s">
        <v>16815</v>
      </c>
      <c r="L4124" s="198" t="s">
        <v>65</v>
      </c>
      <c r="M4124" s="194"/>
      <c r="N4124" s="194"/>
    </row>
    <row r="4125">
      <c r="A4125" s="193" t="s">
        <v>22133</v>
      </c>
      <c r="D4125" s="194">
        <v>2023.0</v>
      </c>
      <c r="E4125" s="193"/>
      <c r="F4125" s="195" t="s">
        <v>22134</v>
      </c>
      <c r="G4125" s="200">
        <v>9.0388968E8</v>
      </c>
      <c r="H4125" s="197">
        <v>19.37</v>
      </c>
      <c r="I4125" s="7" t="s">
        <v>22135</v>
      </c>
      <c r="L4125" s="201" t="s">
        <v>16835</v>
      </c>
      <c r="M4125" s="194"/>
      <c r="N4125" s="194"/>
    </row>
    <row r="4126">
      <c r="A4126" s="193" t="s">
        <v>22136</v>
      </c>
      <c r="B4126" s="7" t="s">
        <v>175</v>
      </c>
      <c r="C4126" s="7" t="s">
        <v>16854</v>
      </c>
      <c r="D4126" s="194">
        <v>2020.0</v>
      </c>
      <c r="E4126" s="193"/>
      <c r="F4126" s="195" t="s">
        <v>22137</v>
      </c>
      <c r="G4126" s="196">
        <v>9.02785894E8</v>
      </c>
      <c r="H4126" s="197">
        <v>1.39</v>
      </c>
      <c r="I4126" s="7" t="s">
        <v>168</v>
      </c>
      <c r="J4126" s="7" t="s">
        <v>175</v>
      </c>
      <c r="K4126" s="7" t="s">
        <v>16854</v>
      </c>
      <c r="L4126" s="198" t="s">
        <v>65</v>
      </c>
      <c r="M4126" s="194"/>
      <c r="N4126" s="194"/>
    </row>
    <row r="4127">
      <c r="A4127" s="193" t="s">
        <v>22136</v>
      </c>
      <c r="B4127" s="7" t="s">
        <v>16854</v>
      </c>
      <c r="C4127" s="7" t="s">
        <v>175</v>
      </c>
      <c r="D4127" s="194">
        <v>2020.0</v>
      </c>
      <c r="E4127" s="193"/>
      <c r="F4127" s="195" t="s">
        <v>22137</v>
      </c>
      <c r="G4127" s="200">
        <v>9.02785894E8</v>
      </c>
      <c r="H4127" s="197">
        <v>1.39</v>
      </c>
      <c r="I4127" s="7" t="s">
        <v>16815</v>
      </c>
      <c r="J4127" s="7" t="s">
        <v>16854</v>
      </c>
      <c r="K4127" s="7" t="s">
        <v>175</v>
      </c>
      <c r="L4127" s="201" t="s">
        <v>16835</v>
      </c>
      <c r="M4127" s="194"/>
      <c r="N4127" s="194"/>
    </row>
    <row r="4128">
      <c r="A4128" s="193" t="s">
        <v>22138</v>
      </c>
      <c r="B4128" s="7" t="s">
        <v>16885</v>
      </c>
      <c r="C4128" s="7" t="s">
        <v>17726</v>
      </c>
      <c r="D4128" s="199"/>
      <c r="E4128" s="193"/>
      <c r="F4128" s="195" t="s">
        <v>22139</v>
      </c>
      <c r="G4128" s="196">
        <v>9.01642184E8</v>
      </c>
      <c r="H4128" s="197">
        <v>10.87</v>
      </c>
      <c r="I4128" s="7" t="s">
        <v>16826</v>
      </c>
      <c r="J4128" s="7" t="s">
        <v>16885</v>
      </c>
      <c r="K4128" s="7" t="s">
        <v>17726</v>
      </c>
      <c r="L4128" s="198" t="s">
        <v>65</v>
      </c>
      <c r="M4128" s="199"/>
      <c r="N4128" s="199"/>
    </row>
    <row r="4129">
      <c r="A4129" s="193" t="s">
        <v>22138</v>
      </c>
      <c r="B4129" s="7" t="s">
        <v>17726</v>
      </c>
      <c r="C4129" s="7" t="s">
        <v>16885</v>
      </c>
      <c r="D4129" s="199"/>
      <c r="E4129" s="193"/>
      <c r="F4129" s="195" t="s">
        <v>22139</v>
      </c>
      <c r="G4129" s="200">
        <v>9.01642184E8</v>
      </c>
      <c r="H4129" s="197">
        <v>10.87</v>
      </c>
      <c r="I4129" s="7" t="s">
        <v>16815</v>
      </c>
      <c r="J4129" s="7" t="s">
        <v>17726</v>
      </c>
      <c r="K4129" s="7" t="s">
        <v>16885</v>
      </c>
      <c r="L4129" s="201" t="s">
        <v>16835</v>
      </c>
      <c r="M4129" s="199"/>
      <c r="N4129" s="199"/>
    </row>
    <row r="4130">
      <c r="A4130" s="193" t="s">
        <v>22140</v>
      </c>
      <c r="B4130" s="7" t="s">
        <v>187</v>
      </c>
      <c r="C4130" s="7" t="s">
        <v>17122</v>
      </c>
      <c r="D4130" s="194">
        <v>2021.0</v>
      </c>
      <c r="E4130" s="193"/>
      <c r="F4130" s="195" t="s">
        <v>22141</v>
      </c>
      <c r="G4130" s="196">
        <v>9.01071952E8</v>
      </c>
      <c r="H4130" s="197">
        <v>25.28</v>
      </c>
      <c r="I4130" s="7" t="s">
        <v>16815</v>
      </c>
      <c r="J4130" s="7" t="s">
        <v>187</v>
      </c>
      <c r="K4130" s="7" t="s">
        <v>17122</v>
      </c>
      <c r="L4130" s="198" t="s">
        <v>65</v>
      </c>
      <c r="M4130" s="194"/>
      <c r="N4130" s="194"/>
    </row>
    <row r="4131">
      <c r="A4131" s="193" t="s">
        <v>22142</v>
      </c>
      <c r="B4131" s="7" t="s">
        <v>16919</v>
      </c>
      <c r="C4131" s="7" t="s">
        <v>17048</v>
      </c>
      <c r="D4131" s="194">
        <v>2018.0</v>
      </c>
      <c r="E4131" s="193"/>
      <c r="F4131" s="195" t="s">
        <v>22143</v>
      </c>
      <c r="G4131" s="196">
        <v>9.00843245E8</v>
      </c>
      <c r="H4131" s="197">
        <v>5.95</v>
      </c>
      <c r="I4131" s="7" t="s">
        <v>16815</v>
      </c>
      <c r="J4131" s="7" t="s">
        <v>16919</v>
      </c>
      <c r="K4131" s="7" t="s">
        <v>17048</v>
      </c>
      <c r="L4131" s="198" t="s">
        <v>65</v>
      </c>
      <c r="M4131" s="194"/>
      <c r="N4131" s="194"/>
    </row>
    <row r="4132">
      <c r="A4132" s="193" t="s">
        <v>22142</v>
      </c>
      <c r="B4132" s="7" t="s">
        <v>17048</v>
      </c>
      <c r="C4132" s="7" t="s">
        <v>16919</v>
      </c>
      <c r="D4132" s="194">
        <v>2018.0</v>
      </c>
      <c r="E4132" s="193"/>
      <c r="F4132" s="195" t="s">
        <v>22143</v>
      </c>
      <c r="G4132" s="200">
        <v>9.00843245E8</v>
      </c>
      <c r="H4132" s="197">
        <v>5.95</v>
      </c>
      <c r="I4132" s="7" t="s">
        <v>16815</v>
      </c>
      <c r="J4132" s="7" t="s">
        <v>17048</v>
      </c>
      <c r="K4132" s="7" t="s">
        <v>16919</v>
      </c>
      <c r="L4132" s="201" t="s">
        <v>16835</v>
      </c>
      <c r="M4132" s="194"/>
      <c r="N4132" s="194"/>
    </row>
    <row r="4133">
      <c r="A4133" s="193" t="s">
        <v>22144</v>
      </c>
      <c r="B4133" s="7" t="s">
        <v>175</v>
      </c>
      <c r="C4133" s="7" t="s">
        <v>16842</v>
      </c>
      <c r="D4133" s="194">
        <v>2017.0</v>
      </c>
      <c r="E4133" s="193"/>
      <c r="F4133" s="195" t="s">
        <v>22145</v>
      </c>
      <c r="G4133" s="196">
        <v>9.00312244E8</v>
      </c>
      <c r="H4133" s="197">
        <v>15.18</v>
      </c>
      <c r="I4133" s="7" t="s">
        <v>17222</v>
      </c>
      <c r="J4133" s="7" t="s">
        <v>175</v>
      </c>
      <c r="K4133" s="7" t="s">
        <v>16842</v>
      </c>
      <c r="L4133" s="198" t="s">
        <v>65</v>
      </c>
      <c r="M4133" s="194"/>
      <c r="N4133" s="194"/>
    </row>
    <row r="4134">
      <c r="A4134" s="193" t="s">
        <v>22144</v>
      </c>
      <c r="B4134" s="7" t="s">
        <v>16842</v>
      </c>
      <c r="C4134" s="7" t="s">
        <v>175</v>
      </c>
      <c r="D4134" s="194">
        <v>2017.0</v>
      </c>
      <c r="E4134" s="193"/>
      <c r="F4134" s="195" t="s">
        <v>22145</v>
      </c>
      <c r="G4134" s="200">
        <v>9.00312244E8</v>
      </c>
      <c r="H4134" s="197">
        <v>15.18</v>
      </c>
      <c r="I4134" s="7" t="s">
        <v>16815</v>
      </c>
      <c r="J4134" s="7" t="s">
        <v>16842</v>
      </c>
      <c r="K4134" s="7" t="s">
        <v>175</v>
      </c>
      <c r="L4134" s="201" t="s">
        <v>16835</v>
      </c>
      <c r="M4134" s="194"/>
      <c r="N4134" s="194"/>
    </row>
    <row r="4135">
      <c r="A4135" s="193" t="s">
        <v>22146</v>
      </c>
      <c r="B4135" s="7" t="s">
        <v>187</v>
      </c>
      <c r="C4135" s="7" t="s">
        <v>16851</v>
      </c>
      <c r="D4135" s="199"/>
      <c r="E4135" s="193"/>
      <c r="F4135" s="195" t="s">
        <v>22147</v>
      </c>
      <c r="G4135" s="196">
        <v>9.00284007E8</v>
      </c>
      <c r="H4135" s="197">
        <v>21.67</v>
      </c>
      <c r="I4135" s="7" t="s">
        <v>16815</v>
      </c>
      <c r="J4135" s="7" t="s">
        <v>187</v>
      </c>
      <c r="K4135" s="7" t="s">
        <v>16851</v>
      </c>
      <c r="L4135" s="198" t="s">
        <v>65</v>
      </c>
      <c r="M4135" s="199"/>
      <c r="N4135" s="199"/>
    </row>
    <row r="4136">
      <c r="A4136" s="193" t="s">
        <v>22148</v>
      </c>
      <c r="B4136" s="7" t="s">
        <v>175</v>
      </c>
      <c r="C4136" s="7" t="s">
        <v>17606</v>
      </c>
      <c r="D4136" s="194">
        <v>2019.0</v>
      </c>
      <c r="E4136" s="193"/>
      <c r="F4136" s="195" t="s">
        <v>22149</v>
      </c>
      <c r="G4136" s="196">
        <v>8.97974048E8</v>
      </c>
      <c r="H4136" s="197">
        <v>15.35</v>
      </c>
      <c r="I4136" s="7" t="s">
        <v>16856</v>
      </c>
      <c r="J4136" s="7" t="s">
        <v>175</v>
      </c>
      <c r="K4136" s="7" t="s">
        <v>17606</v>
      </c>
      <c r="L4136" s="198" t="s">
        <v>65</v>
      </c>
      <c r="M4136" s="194"/>
      <c r="N4136" s="194"/>
    </row>
    <row r="4137">
      <c r="A4137" s="193" t="s">
        <v>22148</v>
      </c>
      <c r="B4137" s="7" t="s">
        <v>17606</v>
      </c>
      <c r="C4137" s="7" t="s">
        <v>175</v>
      </c>
      <c r="D4137" s="194">
        <v>2019.0</v>
      </c>
      <c r="E4137" s="193"/>
      <c r="F4137" s="195" t="s">
        <v>22149</v>
      </c>
      <c r="G4137" s="200">
        <v>8.97974048E8</v>
      </c>
      <c r="H4137" s="197">
        <v>15.35</v>
      </c>
      <c r="I4137" s="7" t="s">
        <v>16815</v>
      </c>
      <c r="J4137" s="7" t="s">
        <v>17606</v>
      </c>
      <c r="K4137" s="7" t="s">
        <v>175</v>
      </c>
      <c r="L4137" s="201" t="s">
        <v>16835</v>
      </c>
      <c r="M4137" s="194"/>
      <c r="N4137" s="194"/>
    </row>
    <row r="4138">
      <c r="A4138" s="193" t="s">
        <v>22150</v>
      </c>
      <c r="B4138" s="7" t="s">
        <v>175</v>
      </c>
      <c r="C4138" s="7" t="s">
        <v>17480</v>
      </c>
      <c r="D4138" s="199"/>
      <c r="E4138" s="193"/>
      <c r="F4138" s="195" t="s">
        <v>22151</v>
      </c>
      <c r="G4138" s="196">
        <v>8.96642681E8</v>
      </c>
      <c r="H4138" s="197">
        <v>8.32</v>
      </c>
      <c r="I4138" s="7" t="s">
        <v>17033</v>
      </c>
      <c r="J4138" s="7" t="s">
        <v>175</v>
      </c>
      <c r="K4138" s="7" t="s">
        <v>17480</v>
      </c>
      <c r="L4138" s="198" t="s">
        <v>65</v>
      </c>
      <c r="M4138" s="199"/>
      <c r="N4138" s="199"/>
    </row>
    <row r="4139">
      <c r="A4139" s="193" t="s">
        <v>22150</v>
      </c>
      <c r="B4139" s="7" t="s">
        <v>17480</v>
      </c>
      <c r="C4139" s="7" t="s">
        <v>175</v>
      </c>
      <c r="D4139" s="199"/>
      <c r="E4139" s="193"/>
      <c r="F4139" s="195" t="s">
        <v>22151</v>
      </c>
      <c r="G4139" s="200">
        <v>8.96642681E8</v>
      </c>
      <c r="H4139" s="197">
        <v>8.32</v>
      </c>
      <c r="I4139" s="7" t="s">
        <v>16815</v>
      </c>
      <c r="J4139" s="7" t="s">
        <v>17480</v>
      </c>
      <c r="K4139" s="7" t="s">
        <v>175</v>
      </c>
      <c r="L4139" s="201" t="s">
        <v>16835</v>
      </c>
      <c r="M4139" s="199"/>
      <c r="N4139" s="199"/>
    </row>
    <row r="4140">
      <c r="A4140" s="193" t="s">
        <v>22152</v>
      </c>
      <c r="B4140" s="7" t="s">
        <v>16945</v>
      </c>
      <c r="C4140" s="7" t="s">
        <v>169</v>
      </c>
      <c r="D4140" s="199"/>
      <c r="E4140" s="193"/>
      <c r="F4140" s="195" t="s">
        <v>22153</v>
      </c>
      <c r="G4140" s="200">
        <v>8.94910184E8</v>
      </c>
      <c r="H4140" s="197">
        <v>7.78</v>
      </c>
      <c r="I4140" s="7" t="s">
        <v>16815</v>
      </c>
      <c r="J4140" s="7" t="s">
        <v>16945</v>
      </c>
      <c r="K4140" s="7" t="s">
        <v>169</v>
      </c>
      <c r="L4140" s="201" t="s">
        <v>16835</v>
      </c>
      <c r="M4140" s="199"/>
      <c r="N4140" s="199"/>
    </row>
    <row r="4141">
      <c r="A4141" s="193" t="s">
        <v>22152</v>
      </c>
      <c r="B4141" s="7" t="s">
        <v>169</v>
      </c>
      <c r="C4141" s="7" t="s">
        <v>16945</v>
      </c>
      <c r="D4141" s="199"/>
      <c r="E4141" s="193"/>
      <c r="F4141" s="195" t="s">
        <v>22153</v>
      </c>
      <c r="G4141" s="196">
        <v>8.94910184E8</v>
      </c>
      <c r="H4141" s="197">
        <v>7.78</v>
      </c>
      <c r="I4141" s="7" t="s">
        <v>16815</v>
      </c>
      <c r="J4141" s="7" t="s">
        <v>169</v>
      </c>
      <c r="K4141" s="7" t="s">
        <v>16945</v>
      </c>
      <c r="L4141" s="198" t="s">
        <v>65</v>
      </c>
      <c r="M4141" s="199"/>
      <c r="N4141" s="199"/>
    </row>
    <row r="4142">
      <c r="A4142" s="193" t="s">
        <v>22154</v>
      </c>
      <c r="B4142" s="7" t="s">
        <v>16838</v>
      </c>
      <c r="C4142" s="7" t="s">
        <v>18956</v>
      </c>
      <c r="D4142" s="199"/>
      <c r="E4142" s="193"/>
      <c r="F4142" s="195" t="s">
        <v>22155</v>
      </c>
      <c r="G4142" s="196">
        <v>8.94263855E8</v>
      </c>
      <c r="H4142" s="197">
        <v>20.32</v>
      </c>
      <c r="I4142" s="7" t="s">
        <v>16815</v>
      </c>
      <c r="J4142" s="7" t="s">
        <v>16838</v>
      </c>
      <c r="K4142" s="7" t="s">
        <v>18956</v>
      </c>
      <c r="L4142" s="198" t="s">
        <v>65</v>
      </c>
      <c r="M4142" s="199"/>
      <c r="N4142" s="199"/>
    </row>
    <row r="4143">
      <c r="A4143" s="193" t="s">
        <v>22154</v>
      </c>
      <c r="B4143" s="7" t="s">
        <v>18956</v>
      </c>
      <c r="C4143" s="7" t="s">
        <v>16838</v>
      </c>
      <c r="D4143" s="199"/>
      <c r="E4143" s="193"/>
      <c r="F4143" s="195" t="s">
        <v>22155</v>
      </c>
      <c r="G4143" s="200">
        <v>8.94263855E8</v>
      </c>
      <c r="H4143" s="197">
        <v>20.32</v>
      </c>
      <c r="I4143" s="7" t="s">
        <v>16815</v>
      </c>
      <c r="J4143" s="7" t="s">
        <v>18956</v>
      </c>
      <c r="K4143" s="7" t="s">
        <v>16838</v>
      </c>
      <c r="L4143" s="201" t="s">
        <v>16835</v>
      </c>
      <c r="M4143" s="199"/>
      <c r="N4143" s="199"/>
    </row>
    <row r="4144">
      <c r="A4144" s="193" t="s">
        <v>22156</v>
      </c>
      <c r="B4144" s="7" t="s">
        <v>187</v>
      </c>
      <c r="C4144" s="7" t="s">
        <v>16846</v>
      </c>
      <c r="D4144" s="194">
        <v>2016.0</v>
      </c>
      <c r="E4144" s="193"/>
      <c r="F4144" s="195" t="s">
        <v>22157</v>
      </c>
      <c r="G4144" s="196">
        <v>8.9343411E8</v>
      </c>
      <c r="H4144" s="197">
        <v>15.49</v>
      </c>
      <c r="I4144" s="7" t="s">
        <v>16815</v>
      </c>
      <c r="J4144" s="7" t="s">
        <v>187</v>
      </c>
      <c r="K4144" s="7" t="s">
        <v>16846</v>
      </c>
      <c r="L4144" s="198" t="s">
        <v>65</v>
      </c>
      <c r="M4144" s="194"/>
      <c r="N4144" s="194"/>
    </row>
    <row r="4145">
      <c r="A4145" s="193" t="s">
        <v>22158</v>
      </c>
      <c r="B4145" s="7" t="s">
        <v>169</v>
      </c>
      <c r="C4145" s="7" t="s">
        <v>17321</v>
      </c>
      <c r="D4145" s="199"/>
      <c r="E4145" s="193"/>
      <c r="F4145" s="195" t="s">
        <v>22159</v>
      </c>
      <c r="G4145" s="196">
        <v>8.92486636E8</v>
      </c>
      <c r="H4145" s="197">
        <v>55.73</v>
      </c>
      <c r="I4145" s="7" t="s">
        <v>16815</v>
      </c>
      <c r="J4145" s="7" t="s">
        <v>169</v>
      </c>
      <c r="K4145" s="7" t="s">
        <v>17321</v>
      </c>
      <c r="L4145" s="198" t="s">
        <v>65</v>
      </c>
      <c r="M4145" s="199"/>
      <c r="N4145" s="199"/>
    </row>
    <row r="4146">
      <c r="A4146" s="193" t="s">
        <v>22160</v>
      </c>
      <c r="B4146" s="7" t="s">
        <v>17495</v>
      </c>
      <c r="C4146" s="7" t="s">
        <v>169</v>
      </c>
      <c r="D4146" s="194">
        <v>2012.0</v>
      </c>
      <c r="E4146" s="193"/>
      <c r="F4146" s="195" t="s">
        <v>22161</v>
      </c>
      <c r="G4146" s="200">
        <v>8.91676526E8</v>
      </c>
      <c r="H4146" s="197">
        <v>34.58</v>
      </c>
      <c r="I4146" s="7" t="s">
        <v>16815</v>
      </c>
      <c r="J4146" s="7" t="s">
        <v>17495</v>
      </c>
      <c r="K4146" s="7" t="s">
        <v>169</v>
      </c>
      <c r="L4146" s="201" t="s">
        <v>16835</v>
      </c>
      <c r="M4146" s="194"/>
      <c r="N4146" s="194"/>
    </row>
    <row r="4147">
      <c r="A4147" s="193" t="s">
        <v>22160</v>
      </c>
      <c r="B4147" s="7" t="s">
        <v>169</v>
      </c>
      <c r="C4147" s="7" t="s">
        <v>17495</v>
      </c>
      <c r="D4147" s="194">
        <v>2012.0</v>
      </c>
      <c r="E4147" s="193"/>
      <c r="F4147" s="195" t="s">
        <v>22161</v>
      </c>
      <c r="G4147" s="196">
        <v>8.91676526E8</v>
      </c>
      <c r="H4147" s="197">
        <v>34.58</v>
      </c>
      <c r="I4147" s="7" t="s">
        <v>16815</v>
      </c>
      <c r="J4147" s="7" t="s">
        <v>169</v>
      </c>
      <c r="K4147" s="7" t="s">
        <v>17495</v>
      </c>
      <c r="L4147" s="198" t="s">
        <v>65</v>
      </c>
      <c r="M4147" s="194"/>
      <c r="N4147" s="194"/>
    </row>
    <row r="4148">
      <c r="A4148" s="193" t="s">
        <v>22162</v>
      </c>
      <c r="B4148" s="7" t="s">
        <v>16582</v>
      </c>
      <c r="C4148" s="7" t="s">
        <v>16930</v>
      </c>
      <c r="D4148" s="194">
        <v>2014.0</v>
      </c>
      <c r="E4148" s="193"/>
      <c r="F4148" s="195" t="s">
        <v>22163</v>
      </c>
      <c r="G4148" s="196">
        <v>8.91141452E8</v>
      </c>
      <c r="H4148" s="197">
        <v>12.02</v>
      </c>
      <c r="I4148" s="7" t="s">
        <v>16815</v>
      </c>
      <c r="J4148" s="7" t="s">
        <v>16582</v>
      </c>
      <c r="K4148" s="7" t="s">
        <v>16930</v>
      </c>
      <c r="L4148" s="198" t="s">
        <v>65</v>
      </c>
      <c r="M4148" s="194"/>
      <c r="N4148" s="194"/>
    </row>
    <row r="4149">
      <c r="A4149" s="193" t="s">
        <v>22162</v>
      </c>
      <c r="B4149" s="7" t="s">
        <v>16930</v>
      </c>
      <c r="C4149" s="7" t="s">
        <v>16582</v>
      </c>
      <c r="D4149" s="194">
        <v>2014.0</v>
      </c>
      <c r="E4149" s="193"/>
      <c r="F4149" s="195" t="s">
        <v>22163</v>
      </c>
      <c r="G4149" s="200">
        <v>8.91141452E8</v>
      </c>
      <c r="H4149" s="197">
        <v>12.02</v>
      </c>
      <c r="I4149" s="7" t="s">
        <v>16815</v>
      </c>
      <c r="J4149" s="7" t="s">
        <v>16930</v>
      </c>
      <c r="K4149" s="7" t="s">
        <v>16582</v>
      </c>
      <c r="L4149" s="201" t="s">
        <v>16835</v>
      </c>
      <c r="M4149" s="194"/>
      <c r="N4149" s="194"/>
    </row>
    <row r="4150">
      <c r="A4150" s="193" t="s">
        <v>22164</v>
      </c>
      <c r="B4150" s="7" t="s">
        <v>16838</v>
      </c>
      <c r="C4150" s="7" t="s">
        <v>17016</v>
      </c>
      <c r="D4150" s="194">
        <v>2020.0</v>
      </c>
      <c r="E4150" s="193"/>
      <c r="F4150" s="195" t="s">
        <v>22165</v>
      </c>
      <c r="G4150" s="196">
        <v>8.89915338E8</v>
      </c>
      <c r="H4150" s="197">
        <v>10.33</v>
      </c>
      <c r="I4150" s="7" t="s">
        <v>16815</v>
      </c>
      <c r="J4150" s="7" t="s">
        <v>16838</v>
      </c>
      <c r="K4150" s="7" t="s">
        <v>17016</v>
      </c>
      <c r="L4150" s="198" t="s">
        <v>65</v>
      </c>
      <c r="M4150" s="194"/>
      <c r="N4150" s="194"/>
    </row>
    <row r="4151">
      <c r="A4151" s="193" t="s">
        <v>22166</v>
      </c>
      <c r="B4151" s="7" t="s">
        <v>16838</v>
      </c>
      <c r="C4151" s="7" t="s">
        <v>16867</v>
      </c>
      <c r="D4151" s="194">
        <v>1998.0</v>
      </c>
      <c r="E4151" s="193"/>
      <c r="F4151" s="195" t="s">
        <v>22167</v>
      </c>
      <c r="G4151" s="196">
        <v>8.89090856E8</v>
      </c>
      <c r="H4151" s="197">
        <v>45.88</v>
      </c>
      <c r="I4151" s="7" t="s">
        <v>16815</v>
      </c>
      <c r="J4151" s="7" t="s">
        <v>16838</v>
      </c>
      <c r="K4151" s="7" t="s">
        <v>16867</v>
      </c>
      <c r="L4151" s="198" t="s">
        <v>65</v>
      </c>
      <c r="M4151" s="194"/>
      <c r="N4151" s="194"/>
    </row>
    <row r="4152">
      <c r="A4152" s="193" t="s">
        <v>22168</v>
      </c>
      <c r="B4152" s="7" t="s">
        <v>187</v>
      </c>
      <c r="C4152" s="7" t="s">
        <v>16846</v>
      </c>
      <c r="D4152" s="199"/>
      <c r="E4152" s="193"/>
      <c r="F4152" s="195" t="s">
        <v>22169</v>
      </c>
      <c r="G4152" s="196">
        <v>8.88415926E8</v>
      </c>
      <c r="H4152" s="197">
        <v>25.3</v>
      </c>
      <c r="I4152" s="7" t="s">
        <v>16815</v>
      </c>
      <c r="J4152" s="7" t="s">
        <v>187</v>
      </c>
      <c r="K4152" s="7" t="s">
        <v>16846</v>
      </c>
      <c r="L4152" s="198" t="s">
        <v>65</v>
      </c>
      <c r="M4152" s="199"/>
      <c r="N4152" s="199"/>
    </row>
    <row r="4153">
      <c r="A4153" s="193" t="s">
        <v>22170</v>
      </c>
      <c r="B4153" s="7" t="s">
        <v>175</v>
      </c>
      <c r="C4153" s="7" t="s">
        <v>17233</v>
      </c>
      <c r="D4153" s="194">
        <v>2021.0</v>
      </c>
      <c r="E4153" s="193"/>
      <c r="F4153" s="195" t="s">
        <v>22171</v>
      </c>
      <c r="G4153" s="196">
        <v>8.881302E8</v>
      </c>
      <c r="H4153" s="197">
        <v>7.39</v>
      </c>
      <c r="I4153" s="7" t="s">
        <v>16856</v>
      </c>
      <c r="J4153" s="7" t="s">
        <v>175</v>
      </c>
      <c r="K4153" s="7" t="s">
        <v>17233</v>
      </c>
      <c r="L4153" s="198" t="s">
        <v>65</v>
      </c>
      <c r="M4153" s="194"/>
      <c r="N4153" s="194"/>
    </row>
    <row r="4154">
      <c r="A4154" s="193" t="s">
        <v>22170</v>
      </c>
      <c r="B4154" s="7" t="s">
        <v>17233</v>
      </c>
      <c r="C4154" s="7" t="s">
        <v>175</v>
      </c>
      <c r="D4154" s="194">
        <v>2021.0</v>
      </c>
      <c r="E4154" s="193"/>
      <c r="F4154" s="195" t="s">
        <v>22171</v>
      </c>
      <c r="G4154" s="200">
        <v>8.881302E8</v>
      </c>
      <c r="H4154" s="197">
        <v>7.39</v>
      </c>
      <c r="I4154" s="7" t="s">
        <v>16815</v>
      </c>
      <c r="J4154" s="7" t="s">
        <v>17233</v>
      </c>
      <c r="K4154" s="7" t="s">
        <v>175</v>
      </c>
      <c r="L4154" s="201" t="s">
        <v>16835</v>
      </c>
      <c r="M4154" s="194"/>
      <c r="N4154" s="194"/>
    </row>
    <row r="4155">
      <c r="A4155" s="193" t="s">
        <v>22172</v>
      </c>
      <c r="B4155" s="7" t="s">
        <v>16582</v>
      </c>
      <c r="C4155" s="7" t="s">
        <v>16930</v>
      </c>
      <c r="D4155" s="199"/>
      <c r="E4155" s="193"/>
      <c r="F4155" s="195" t="s">
        <v>22173</v>
      </c>
      <c r="G4155" s="196">
        <v>8.87521682E8</v>
      </c>
      <c r="H4155" s="197">
        <v>1.75</v>
      </c>
      <c r="I4155" s="7" t="s">
        <v>16815</v>
      </c>
      <c r="J4155" s="7" t="s">
        <v>16582</v>
      </c>
      <c r="K4155" s="7" t="s">
        <v>16930</v>
      </c>
      <c r="L4155" s="198" t="s">
        <v>65</v>
      </c>
      <c r="M4155" s="199"/>
      <c r="N4155" s="199"/>
    </row>
    <row r="4156">
      <c r="A4156" s="193" t="s">
        <v>22174</v>
      </c>
      <c r="B4156" s="7" t="s">
        <v>187</v>
      </c>
      <c r="C4156" s="7" t="s">
        <v>16846</v>
      </c>
      <c r="D4156" s="194">
        <v>2020.0</v>
      </c>
      <c r="E4156" s="193"/>
      <c r="F4156" s="195" t="s">
        <v>22175</v>
      </c>
      <c r="G4156" s="196">
        <v>8.85898807E8</v>
      </c>
      <c r="H4156" s="197">
        <v>29.57</v>
      </c>
      <c r="I4156" s="7" t="s">
        <v>16815</v>
      </c>
      <c r="J4156" s="7" t="s">
        <v>187</v>
      </c>
      <c r="K4156" s="7" t="s">
        <v>16846</v>
      </c>
      <c r="L4156" s="198" t="s">
        <v>65</v>
      </c>
      <c r="M4156" s="194"/>
      <c r="N4156" s="194"/>
    </row>
    <row r="4157">
      <c r="A4157" s="193" t="s">
        <v>22176</v>
      </c>
      <c r="B4157" s="7" t="s">
        <v>158</v>
      </c>
      <c r="C4157" s="7" t="s">
        <v>18063</v>
      </c>
      <c r="D4157" s="199"/>
      <c r="E4157" s="193"/>
      <c r="F4157" s="195" t="s">
        <v>22177</v>
      </c>
      <c r="G4157" s="196">
        <v>8.85413751E8</v>
      </c>
      <c r="H4157" s="197">
        <v>7.58</v>
      </c>
      <c r="I4157" s="7" t="s">
        <v>18397</v>
      </c>
      <c r="J4157" s="7" t="s">
        <v>158</v>
      </c>
      <c r="K4157" s="7" t="s">
        <v>18063</v>
      </c>
      <c r="L4157" s="198" t="s">
        <v>65</v>
      </c>
      <c r="M4157" s="199"/>
      <c r="N4157" s="199"/>
    </row>
    <row r="4158">
      <c r="A4158" s="193" t="s">
        <v>22178</v>
      </c>
      <c r="B4158" s="7" t="s">
        <v>169</v>
      </c>
      <c r="C4158" s="7" t="s">
        <v>16899</v>
      </c>
      <c r="D4158" s="194">
        <v>2012.0</v>
      </c>
      <c r="E4158" s="193"/>
      <c r="F4158" s="195" t="s">
        <v>22179</v>
      </c>
      <c r="G4158" s="196">
        <v>8.85169971E8</v>
      </c>
      <c r="H4158" s="197">
        <v>10.5</v>
      </c>
      <c r="I4158" s="7" t="s">
        <v>16815</v>
      </c>
      <c r="J4158" s="7" t="s">
        <v>169</v>
      </c>
      <c r="K4158" s="7" t="s">
        <v>16899</v>
      </c>
      <c r="L4158" s="198" t="s">
        <v>65</v>
      </c>
      <c r="M4158" s="194"/>
      <c r="N4158" s="194"/>
    </row>
    <row r="4159">
      <c r="A4159" s="193" t="s">
        <v>22178</v>
      </c>
      <c r="B4159" s="7" t="s">
        <v>16899</v>
      </c>
      <c r="C4159" s="7" t="s">
        <v>169</v>
      </c>
      <c r="D4159" s="194">
        <v>2012.0</v>
      </c>
      <c r="E4159" s="193"/>
      <c r="F4159" s="195" t="s">
        <v>22179</v>
      </c>
      <c r="G4159" s="200">
        <v>8.85169971E8</v>
      </c>
      <c r="H4159" s="197">
        <v>10.5</v>
      </c>
      <c r="I4159" s="7" t="s">
        <v>16815</v>
      </c>
      <c r="J4159" s="7" t="s">
        <v>16899</v>
      </c>
      <c r="K4159" s="7" t="s">
        <v>169</v>
      </c>
      <c r="L4159" s="201" t="s">
        <v>16835</v>
      </c>
      <c r="M4159" s="194"/>
      <c r="N4159" s="194"/>
    </row>
    <row r="4160">
      <c r="A4160" s="193" t="s">
        <v>22180</v>
      </c>
      <c r="B4160" s="7" t="s">
        <v>17202</v>
      </c>
      <c r="C4160" s="7" t="s">
        <v>16838</v>
      </c>
      <c r="D4160" s="194">
        <v>2010.0</v>
      </c>
      <c r="E4160" s="193"/>
      <c r="F4160" s="195" t="s">
        <v>22181</v>
      </c>
      <c r="G4160" s="200">
        <v>8.84495304E8</v>
      </c>
      <c r="H4160" s="197">
        <v>18.0</v>
      </c>
      <c r="I4160" s="7" t="s">
        <v>16815</v>
      </c>
      <c r="J4160" s="7" t="s">
        <v>17202</v>
      </c>
      <c r="K4160" s="7" t="s">
        <v>16838</v>
      </c>
      <c r="L4160" s="201" t="s">
        <v>16835</v>
      </c>
      <c r="M4160" s="194"/>
      <c r="N4160" s="194"/>
    </row>
    <row r="4161">
      <c r="A4161" s="193" t="s">
        <v>22180</v>
      </c>
      <c r="B4161" s="7" t="s">
        <v>16838</v>
      </c>
      <c r="C4161" s="7" t="s">
        <v>17202</v>
      </c>
      <c r="D4161" s="194">
        <v>2010.0</v>
      </c>
      <c r="E4161" s="193"/>
      <c r="F4161" s="195" t="s">
        <v>22181</v>
      </c>
      <c r="G4161" s="196">
        <v>8.84495304E8</v>
      </c>
      <c r="H4161" s="197">
        <v>18.0</v>
      </c>
      <c r="I4161" s="7" t="s">
        <v>16815</v>
      </c>
      <c r="J4161" s="7" t="s">
        <v>16838</v>
      </c>
      <c r="K4161" s="7" t="s">
        <v>17202</v>
      </c>
      <c r="L4161" s="198" t="s">
        <v>65</v>
      </c>
      <c r="M4161" s="194"/>
      <c r="N4161" s="194"/>
    </row>
    <row r="4162">
      <c r="A4162" s="193" t="s">
        <v>22182</v>
      </c>
      <c r="B4162" s="7" t="s">
        <v>169</v>
      </c>
      <c r="C4162" s="7" t="s">
        <v>17233</v>
      </c>
      <c r="D4162" s="194">
        <v>2014.0</v>
      </c>
      <c r="E4162" s="193"/>
      <c r="F4162" s="195" t="s">
        <v>22183</v>
      </c>
      <c r="G4162" s="196">
        <v>8.81367981E8</v>
      </c>
      <c r="H4162" s="197">
        <v>43.21</v>
      </c>
      <c r="I4162" s="7" t="s">
        <v>16815</v>
      </c>
      <c r="J4162" s="7" t="s">
        <v>169</v>
      </c>
      <c r="K4162" s="7" t="s">
        <v>17233</v>
      </c>
      <c r="L4162" s="198" t="s">
        <v>65</v>
      </c>
      <c r="M4162" s="194"/>
      <c r="N4162" s="194"/>
    </row>
    <row r="4163">
      <c r="A4163" s="193" t="s">
        <v>22184</v>
      </c>
      <c r="B4163" s="7" t="s">
        <v>158</v>
      </c>
      <c r="C4163" s="7" t="s">
        <v>17171</v>
      </c>
      <c r="D4163" s="194">
        <v>2017.0</v>
      </c>
      <c r="E4163" s="193"/>
      <c r="F4163" s="195" t="s">
        <v>22185</v>
      </c>
      <c r="G4163" s="196">
        <v>8.80611591E8</v>
      </c>
      <c r="H4163" s="197">
        <v>7.33</v>
      </c>
      <c r="I4163" s="7" t="s">
        <v>17450</v>
      </c>
      <c r="J4163" s="7" t="s">
        <v>158</v>
      </c>
      <c r="K4163" s="7" t="s">
        <v>17171</v>
      </c>
      <c r="L4163" s="198" t="s">
        <v>65</v>
      </c>
      <c r="M4163" s="194"/>
      <c r="N4163" s="194"/>
    </row>
    <row r="4164">
      <c r="A4164" s="193" t="s">
        <v>22184</v>
      </c>
      <c r="B4164" s="7" t="s">
        <v>17171</v>
      </c>
      <c r="C4164" s="7" t="s">
        <v>158</v>
      </c>
      <c r="D4164" s="194">
        <v>2017.0</v>
      </c>
      <c r="E4164" s="193"/>
      <c r="F4164" s="195" t="s">
        <v>22185</v>
      </c>
      <c r="G4164" s="200">
        <v>8.80611591E8</v>
      </c>
      <c r="H4164" s="197">
        <v>7.33</v>
      </c>
      <c r="I4164" s="7" t="s">
        <v>16815</v>
      </c>
      <c r="J4164" s="7" t="s">
        <v>17171</v>
      </c>
      <c r="K4164" s="7" t="s">
        <v>158</v>
      </c>
      <c r="L4164" s="201" t="s">
        <v>16835</v>
      </c>
      <c r="M4164" s="194"/>
      <c r="N4164" s="194"/>
    </row>
    <row r="4165">
      <c r="A4165" s="193" t="s">
        <v>22186</v>
      </c>
      <c r="B4165" s="7" t="s">
        <v>18679</v>
      </c>
      <c r="C4165" s="7" t="s">
        <v>16838</v>
      </c>
      <c r="D4165" s="194">
        <v>2019.0</v>
      </c>
      <c r="E4165" s="193"/>
      <c r="F4165" s="195" t="s">
        <v>22187</v>
      </c>
      <c r="G4165" s="200">
        <v>8.79163155E8</v>
      </c>
      <c r="H4165" s="197">
        <v>19.665</v>
      </c>
      <c r="I4165" s="7" t="s">
        <v>16815</v>
      </c>
      <c r="J4165" s="7" t="s">
        <v>18679</v>
      </c>
      <c r="K4165" s="7" t="s">
        <v>16838</v>
      </c>
      <c r="L4165" s="201" t="s">
        <v>16835</v>
      </c>
      <c r="M4165" s="194"/>
      <c r="N4165" s="194"/>
    </row>
    <row r="4166">
      <c r="A4166" s="193" t="s">
        <v>22186</v>
      </c>
      <c r="B4166" s="7" t="s">
        <v>16838</v>
      </c>
      <c r="C4166" s="7" t="s">
        <v>18679</v>
      </c>
      <c r="D4166" s="194">
        <v>2019.0</v>
      </c>
      <c r="E4166" s="193"/>
      <c r="F4166" s="195" t="s">
        <v>22187</v>
      </c>
      <c r="G4166" s="196">
        <v>8.79163155E8</v>
      </c>
      <c r="H4166" s="197">
        <v>19.665</v>
      </c>
      <c r="I4166" s="7" t="s">
        <v>16815</v>
      </c>
      <c r="J4166" s="7" t="s">
        <v>16838</v>
      </c>
      <c r="K4166" s="7" t="s">
        <v>18679</v>
      </c>
      <c r="L4166" s="198" t="s">
        <v>65</v>
      </c>
      <c r="M4166" s="194"/>
      <c r="N4166" s="194"/>
    </row>
    <row r="4167">
      <c r="A4167" s="193" t="s">
        <v>22188</v>
      </c>
      <c r="B4167" s="7" t="s">
        <v>16838</v>
      </c>
      <c r="C4167" s="7" t="s">
        <v>17202</v>
      </c>
      <c r="D4167" s="194">
        <v>2011.0</v>
      </c>
      <c r="E4167" s="193"/>
      <c r="F4167" s="195" t="s">
        <v>22189</v>
      </c>
      <c r="G4167" s="196">
        <v>8.78416E8</v>
      </c>
      <c r="H4167" s="197">
        <v>5.06</v>
      </c>
      <c r="I4167" s="7" t="s">
        <v>16815</v>
      </c>
      <c r="J4167" s="7" t="s">
        <v>16838</v>
      </c>
      <c r="K4167" s="7" t="s">
        <v>17202</v>
      </c>
      <c r="L4167" s="198" t="s">
        <v>65</v>
      </c>
      <c r="M4167" s="194"/>
      <c r="N4167" s="194"/>
    </row>
    <row r="4168">
      <c r="A4168" s="193" t="s">
        <v>22190</v>
      </c>
      <c r="B4168" s="7" t="s">
        <v>158</v>
      </c>
      <c r="C4168" s="7" t="s">
        <v>16864</v>
      </c>
      <c r="D4168" s="199"/>
      <c r="E4168" s="193"/>
      <c r="F4168" s="195" t="s">
        <v>22191</v>
      </c>
      <c r="G4168" s="196">
        <v>8.76072841E8</v>
      </c>
      <c r="H4168" s="197">
        <v>60.09</v>
      </c>
      <c r="I4168" s="7" t="s">
        <v>180</v>
      </c>
      <c r="J4168" s="7" t="s">
        <v>158</v>
      </c>
      <c r="K4168" s="7" t="s">
        <v>16864</v>
      </c>
      <c r="L4168" s="198" t="s">
        <v>65</v>
      </c>
      <c r="M4168" s="199"/>
      <c r="N4168" s="199"/>
    </row>
    <row r="4169">
      <c r="A4169" s="193" t="s">
        <v>22190</v>
      </c>
      <c r="B4169" s="7" t="s">
        <v>16864</v>
      </c>
      <c r="C4169" s="7" t="s">
        <v>158</v>
      </c>
      <c r="D4169" s="199"/>
      <c r="E4169" s="193"/>
      <c r="F4169" s="195" t="s">
        <v>22191</v>
      </c>
      <c r="G4169" s="200">
        <v>8.76072841E8</v>
      </c>
      <c r="H4169" s="197">
        <v>60.09</v>
      </c>
      <c r="I4169" s="7" t="s">
        <v>16815</v>
      </c>
      <c r="J4169" s="7" t="s">
        <v>16864</v>
      </c>
      <c r="K4169" s="7" t="s">
        <v>158</v>
      </c>
      <c r="L4169" s="201" t="s">
        <v>16835</v>
      </c>
      <c r="M4169" s="199"/>
      <c r="N4169" s="199"/>
    </row>
    <row r="4170">
      <c r="A4170" s="193" t="s">
        <v>22192</v>
      </c>
      <c r="B4170" s="7" t="s">
        <v>16838</v>
      </c>
      <c r="C4170" s="7" t="s">
        <v>16867</v>
      </c>
      <c r="D4170" s="199"/>
      <c r="E4170" s="193"/>
      <c r="F4170" s="195" t="s">
        <v>22193</v>
      </c>
      <c r="G4170" s="196">
        <v>8.7575931E8</v>
      </c>
      <c r="H4170" s="197">
        <v>61.0</v>
      </c>
      <c r="I4170" s="7" t="s">
        <v>16815</v>
      </c>
      <c r="J4170" s="7" t="s">
        <v>16838</v>
      </c>
      <c r="K4170" s="7" t="s">
        <v>16867</v>
      </c>
      <c r="L4170" s="198" t="s">
        <v>65</v>
      </c>
      <c r="M4170" s="199"/>
      <c r="N4170" s="199"/>
    </row>
    <row r="4171">
      <c r="A4171" s="193" t="s">
        <v>22194</v>
      </c>
      <c r="B4171" s="7" t="s">
        <v>175</v>
      </c>
      <c r="C4171" s="7" t="s">
        <v>16878</v>
      </c>
      <c r="D4171" s="194">
        <v>2021.0</v>
      </c>
      <c r="E4171" s="193"/>
      <c r="F4171" s="195" t="s">
        <v>22195</v>
      </c>
      <c r="G4171" s="196">
        <v>8.70199232E8</v>
      </c>
      <c r="H4171" s="197">
        <v>8.09</v>
      </c>
      <c r="I4171" s="7" t="s">
        <v>16856</v>
      </c>
      <c r="J4171" s="7" t="s">
        <v>175</v>
      </c>
      <c r="K4171" s="7" t="s">
        <v>16878</v>
      </c>
      <c r="L4171" s="198" t="s">
        <v>65</v>
      </c>
      <c r="M4171" s="194"/>
      <c r="N4171" s="194"/>
    </row>
    <row r="4172">
      <c r="A4172" s="193" t="s">
        <v>22196</v>
      </c>
      <c r="B4172" s="7" t="s">
        <v>16838</v>
      </c>
      <c r="C4172" s="7" t="s">
        <v>17347</v>
      </c>
      <c r="D4172" s="199"/>
      <c r="E4172" s="193"/>
      <c r="F4172" s="195" t="s">
        <v>22197</v>
      </c>
      <c r="G4172" s="196">
        <v>8.69975013E8</v>
      </c>
      <c r="H4172" s="197">
        <v>13.55</v>
      </c>
      <c r="I4172" s="7" t="s">
        <v>16815</v>
      </c>
      <c r="J4172" s="7" t="s">
        <v>16838</v>
      </c>
      <c r="K4172" s="7" t="s">
        <v>17347</v>
      </c>
      <c r="L4172" s="198" t="s">
        <v>65</v>
      </c>
      <c r="M4172" s="199"/>
      <c r="N4172" s="199"/>
    </row>
    <row r="4173">
      <c r="A4173" s="193" t="s">
        <v>22198</v>
      </c>
      <c r="D4173" s="199"/>
      <c r="E4173" s="193"/>
      <c r="F4173" s="195" t="s">
        <v>22199</v>
      </c>
      <c r="G4173" s="196">
        <v>8.69739121E8</v>
      </c>
      <c r="H4173" s="197">
        <v>2.99</v>
      </c>
      <c r="I4173" s="7" t="s">
        <v>16815</v>
      </c>
      <c r="L4173" s="198" t="s">
        <v>65</v>
      </c>
      <c r="M4173" s="199"/>
      <c r="N4173" s="199"/>
    </row>
    <row r="4174">
      <c r="A4174" s="193" t="s">
        <v>22198</v>
      </c>
      <c r="D4174" s="199"/>
      <c r="E4174" s="193"/>
      <c r="F4174" s="195" t="s">
        <v>22199</v>
      </c>
      <c r="G4174" s="200">
        <v>8.69739121E8</v>
      </c>
      <c r="H4174" s="197">
        <v>2.99</v>
      </c>
      <c r="L4174" s="201" t="s">
        <v>16835</v>
      </c>
      <c r="M4174" s="199"/>
      <c r="N4174" s="199"/>
    </row>
    <row r="4175">
      <c r="A4175" s="193" t="s">
        <v>22200</v>
      </c>
      <c r="B4175" s="7" t="s">
        <v>17532</v>
      </c>
      <c r="C4175" s="7" t="s">
        <v>169</v>
      </c>
      <c r="D4175" s="194">
        <v>2014.0</v>
      </c>
      <c r="E4175" s="193"/>
      <c r="F4175" s="195" t="s">
        <v>22201</v>
      </c>
      <c r="G4175" s="200">
        <v>8.68706446E8</v>
      </c>
      <c r="H4175" s="197">
        <v>20.13</v>
      </c>
      <c r="I4175" s="7" t="s">
        <v>16815</v>
      </c>
      <c r="J4175" s="7" t="s">
        <v>17532</v>
      </c>
      <c r="K4175" s="7" t="s">
        <v>169</v>
      </c>
      <c r="L4175" s="201" t="s">
        <v>16835</v>
      </c>
      <c r="M4175" s="194"/>
      <c r="N4175" s="194"/>
    </row>
    <row r="4176">
      <c r="A4176" s="193" t="s">
        <v>22200</v>
      </c>
      <c r="B4176" s="7" t="s">
        <v>169</v>
      </c>
      <c r="C4176" s="7" t="s">
        <v>17532</v>
      </c>
      <c r="D4176" s="194">
        <v>2014.0</v>
      </c>
      <c r="E4176" s="193"/>
      <c r="F4176" s="195" t="s">
        <v>22201</v>
      </c>
      <c r="G4176" s="196">
        <v>8.68706446E8</v>
      </c>
      <c r="H4176" s="197">
        <v>20.13</v>
      </c>
      <c r="I4176" s="7" t="s">
        <v>16815</v>
      </c>
      <c r="J4176" s="7" t="s">
        <v>169</v>
      </c>
      <c r="K4176" s="7" t="s">
        <v>17532</v>
      </c>
      <c r="L4176" s="198" t="s">
        <v>65</v>
      </c>
      <c r="M4176" s="194"/>
      <c r="N4176" s="194"/>
    </row>
    <row r="4177">
      <c r="A4177" s="193" t="s">
        <v>22202</v>
      </c>
      <c r="B4177" s="7" t="s">
        <v>16582</v>
      </c>
      <c r="C4177" s="7" t="s">
        <v>16583</v>
      </c>
      <c r="D4177" s="194">
        <v>2020.0</v>
      </c>
      <c r="E4177" s="193"/>
      <c r="F4177" s="195" t="s">
        <v>22203</v>
      </c>
      <c r="G4177" s="196">
        <v>8.68686527E8</v>
      </c>
      <c r="H4177" s="197">
        <v>5.56</v>
      </c>
      <c r="I4177" s="7" t="s">
        <v>16815</v>
      </c>
      <c r="J4177" s="7" t="s">
        <v>16582</v>
      </c>
      <c r="K4177" s="7" t="s">
        <v>16583</v>
      </c>
      <c r="L4177" s="198" t="s">
        <v>65</v>
      </c>
      <c r="M4177" s="194"/>
      <c r="N4177" s="194"/>
    </row>
    <row r="4178">
      <c r="A4178" s="193" t="s">
        <v>22202</v>
      </c>
      <c r="B4178" s="7" t="s">
        <v>16583</v>
      </c>
      <c r="C4178" s="7" t="s">
        <v>16582</v>
      </c>
      <c r="D4178" s="194">
        <v>2020.0</v>
      </c>
      <c r="E4178" s="193"/>
      <c r="F4178" s="195" t="s">
        <v>22203</v>
      </c>
      <c r="G4178" s="200">
        <v>8.68686527E8</v>
      </c>
      <c r="H4178" s="197">
        <v>5.56</v>
      </c>
      <c r="I4178" s="7" t="s">
        <v>16815</v>
      </c>
      <c r="J4178" s="7" t="s">
        <v>16583</v>
      </c>
      <c r="K4178" s="7" t="s">
        <v>16582</v>
      </c>
      <c r="L4178" s="201" t="s">
        <v>16835</v>
      </c>
      <c r="M4178" s="194"/>
      <c r="N4178" s="194"/>
    </row>
    <row r="4179">
      <c r="A4179" s="193" t="s">
        <v>22204</v>
      </c>
      <c r="B4179" s="7" t="s">
        <v>16838</v>
      </c>
      <c r="C4179" s="7" t="s">
        <v>18679</v>
      </c>
      <c r="D4179" s="199"/>
      <c r="E4179" s="193"/>
      <c r="F4179" s="195" t="s">
        <v>22205</v>
      </c>
      <c r="G4179" s="196">
        <v>8.68537305E8</v>
      </c>
      <c r="H4179" s="197">
        <v>21.74</v>
      </c>
      <c r="I4179" s="7" t="s">
        <v>16815</v>
      </c>
      <c r="J4179" s="7" t="s">
        <v>16838</v>
      </c>
      <c r="K4179" s="7" t="s">
        <v>18679</v>
      </c>
      <c r="L4179" s="198" t="s">
        <v>65</v>
      </c>
      <c r="M4179" s="199"/>
      <c r="N4179" s="199"/>
    </row>
    <row r="4180">
      <c r="A4180" s="193" t="s">
        <v>22206</v>
      </c>
      <c r="B4180" s="7" t="s">
        <v>16582</v>
      </c>
      <c r="C4180" s="7" t="s">
        <v>17339</v>
      </c>
      <c r="D4180" s="199"/>
      <c r="E4180" s="193"/>
      <c r="F4180" s="195" t="s">
        <v>22207</v>
      </c>
      <c r="G4180" s="196">
        <v>8.67425798E8</v>
      </c>
      <c r="H4180" s="197">
        <v>24.31</v>
      </c>
      <c r="I4180" s="7" t="s">
        <v>16815</v>
      </c>
      <c r="J4180" s="7" t="s">
        <v>16582</v>
      </c>
      <c r="K4180" s="7" t="s">
        <v>17339</v>
      </c>
      <c r="L4180" s="198" t="s">
        <v>65</v>
      </c>
      <c r="M4180" s="199"/>
      <c r="N4180" s="199"/>
    </row>
    <row r="4181">
      <c r="A4181" s="193" t="s">
        <v>22206</v>
      </c>
      <c r="B4181" s="7" t="s">
        <v>17339</v>
      </c>
      <c r="C4181" s="7" t="s">
        <v>16582</v>
      </c>
      <c r="D4181" s="199"/>
      <c r="E4181" s="193"/>
      <c r="F4181" s="195" t="s">
        <v>22207</v>
      </c>
      <c r="G4181" s="200">
        <v>8.67425798E8</v>
      </c>
      <c r="H4181" s="197">
        <v>24.31</v>
      </c>
      <c r="I4181" s="7" t="s">
        <v>16815</v>
      </c>
      <c r="J4181" s="7" t="s">
        <v>17339</v>
      </c>
      <c r="K4181" s="7" t="s">
        <v>16582</v>
      </c>
      <c r="L4181" s="201" t="s">
        <v>16835</v>
      </c>
      <c r="M4181" s="199"/>
      <c r="N4181" s="199"/>
    </row>
    <row r="4182">
      <c r="A4182" s="193" t="s">
        <v>22208</v>
      </c>
      <c r="B4182" s="7" t="s">
        <v>16838</v>
      </c>
      <c r="C4182" s="7" t="s">
        <v>16867</v>
      </c>
      <c r="D4182" s="199"/>
      <c r="E4182" s="193"/>
      <c r="F4182" s="195" t="s">
        <v>22209</v>
      </c>
      <c r="G4182" s="196">
        <v>8.67375675E8</v>
      </c>
      <c r="H4182" s="197">
        <v>13.4</v>
      </c>
      <c r="I4182" s="7" t="s">
        <v>16815</v>
      </c>
      <c r="J4182" s="7" t="s">
        <v>16838</v>
      </c>
      <c r="K4182" s="7" t="s">
        <v>16867</v>
      </c>
      <c r="L4182" s="198" t="s">
        <v>65</v>
      </c>
      <c r="M4182" s="199"/>
      <c r="N4182" s="199"/>
    </row>
    <row r="4183">
      <c r="A4183" s="193" t="s">
        <v>22210</v>
      </c>
      <c r="B4183" s="7" t="s">
        <v>187</v>
      </c>
      <c r="C4183" s="7" t="s">
        <v>16846</v>
      </c>
      <c r="D4183" s="194">
        <v>2020.0</v>
      </c>
      <c r="E4183" s="193"/>
      <c r="F4183" s="195" t="s">
        <v>22211</v>
      </c>
      <c r="G4183" s="196">
        <v>8.67005934E8</v>
      </c>
      <c r="H4183" s="197">
        <v>15.83</v>
      </c>
      <c r="I4183" s="7" t="s">
        <v>16815</v>
      </c>
      <c r="J4183" s="7" t="s">
        <v>187</v>
      </c>
      <c r="K4183" s="7" t="s">
        <v>16846</v>
      </c>
      <c r="L4183" s="198" t="s">
        <v>65</v>
      </c>
      <c r="M4183" s="194"/>
      <c r="N4183" s="194"/>
    </row>
    <row r="4184">
      <c r="A4184" s="193" t="s">
        <v>22212</v>
      </c>
      <c r="B4184" s="7" t="s">
        <v>16992</v>
      </c>
      <c r="C4184" s="7" t="s">
        <v>187</v>
      </c>
      <c r="D4184" s="199"/>
      <c r="E4184" s="193"/>
      <c r="F4184" s="195" t="s">
        <v>22213</v>
      </c>
      <c r="G4184" s="200">
        <v>8.66006318E8</v>
      </c>
      <c r="H4184" s="197">
        <v>45.27</v>
      </c>
      <c r="I4184" s="7" t="s">
        <v>16815</v>
      </c>
      <c r="J4184" s="7" t="s">
        <v>16992</v>
      </c>
      <c r="K4184" s="7" t="s">
        <v>187</v>
      </c>
      <c r="L4184" s="201" t="s">
        <v>16835</v>
      </c>
      <c r="M4184" s="199"/>
      <c r="N4184" s="199"/>
    </row>
    <row r="4185">
      <c r="A4185" s="193" t="s">
        <v>22212</v>
      </c>
      <c r="B4185" s="7" t="s">
        <v>187</v>
      </c>
      <c r="C4185" s="7" t="s">
        <v>16992</v>
      </c>
      <c r="D4185" s="199"/>
      <c r="E4185" s="193"/>
      <c r="F4185" s="195" t="s">
        <v>22213</v>
      </c>
      <c r="G4185" s="196">
        <v>8.66006318E8</v>
      </c>
      <c r="H4185" s="197">
        <v>45.27</v>
      </c>
      <c r="I4185" s="7" t="s">
        <v>16815</v>
      </c>
      <c r="J4185" s="7" t="s">
        <v>187</v>
      </c>
      <c r="K4185" s="7" t="s">
        <v>16992</v>
      </c>
      <c r="L4185" s="198" t="s">
        <v>65</v>
      </c>
      <c r="M4185" s="199"/>
      <c r="N4185" s="199"/>
    </row>
    <row r="4186">
      <c r="A4186" s="193" t="s">
        <v>22214</v>
      </c>
      <c r="B4186" s="7" t="s">
        <v>16838</v>
      </c>
      <c r="C4186" s="7" t="s">
        <v>16867</v>
      </c>
      <c r="D4186" s="199"/>
      <c r="E4186" s="193"/>
      <c r="F4186" s="195" t="s">
        <v>22215</v>
      </c>
      <c r="G4186" s="196">
        <v>8.64176844E8</v>
      </c>
      <c r="H4186" s="197">
        <v>7.29</v>
      </c>
      <c r="I4186" s="7" t="s">
        <v>16815</v>
      </c>
      <c r="J4186" s="7" t="s">
        <v>16838</v>
      </c>
      <c r="K4186" s="7" t="s">
        <v>16867</v>
      </c>
      <c r="L4186" s="198" t="s">
        <v>65</v>
      </c>
      <c r="M4186" s="199"/>
      <c r="N4186" s="199"/>
    </row>
    <row r="4187">
      <c r="A4187" s="193" t="s">
        <v>22216</v>
      </c>
      <c r="B4187" s="7" t="s">
        <v>17112</v>
      </c>
      <c r="C4187" s="7" t="s">
        <v>16838</v>
      </c>
      <c r="D4187" s="194">
        <v>2010.0</v>
      </c>
      <c r="E4187" s="193"/>
      <c r="F4187" s="195" t="s">
        <v>22217</v>
      </c>
      <c r="G4187" s="200">
        <v>8.63817221E8</v>
      </c>
      <c r="H4187" s="197">
        <v>12.7</v>
      </c>
      <c r="I4187" s="7" t="s">
        <v>16815</v>
      </c>
      <c r="J4187" s="7" t="s">
        <v>17112</v>
      </c>
      <c r="K4187" s="7" t="s">
        <v>16838</v>
      </c>
      <c r="L4187" s="201" t="s">
        <v>16835</v>
      </c>
      <c r="M4187" s="194"/>
      <c r="N4187" s="194"/>
    </row>
    <row r="4188">
      <c r="A4188" s="193" t="s">
        <v>22216</v>
      </c>
      <c r="B4188" s="7" t="s">
        <v>16838</v>
      </c>
      <c r="C4188" s="7" t="s">
        <v>17112</v>
      </c>
      <c r="D4188" s="194">
        <v>2010.0</v>
      </c>
      <c r="E4188" s="193"/>
      <c r="F4188" s="195" t="s">
        <v>22217</v>
      </c>
      <c r="G4188" s="196">
        <v>8.63817221E8</v>
      </c>
      <c r="H4188" s="197">
        <v>12.7</v>
      </c>
      <c r="I4188" s="7" t="s">
        <v>16815</v>
      </c>
      <c r="J4188" s="7" t="s">
        <v>16838</v>
      </c>
      <c r="K4188" s="7" t="s">
        <v>17112</v>
      </c>
      <c r="L4188" s="198" t="s">
        <v>65</v>
      </c>
      <c r="M4188" s="194"/>
      <c r="N4188" s="194"/>
    </row>
    <row r="4189">
      <c r="A4189" s="193" t="s">
        <v>22218</v>
      </c>
      <c r="B4189" s="7" t="s">
        <v>187</v>
      </c>
      <c r="C4189" s="7" t="s">
        <v>16846</v>
      </c>
      <c r="D4189" s="194">
        <v>2004.0</v>
      </c>
      <c r="E4189" s="193"/>
      <c r="F4189" s="195" t="s">
        <v>22219</v>
      </c>
      <c r="G4189" s="196">
        <v>8.63247512E8</v>
      </c>
      <c r="H4189" s="197">
        <v>13.47</v>
      </c>
      <c r="I4189" s="7" t="s">
        <v>16815</v>
      </c>
      <c r="J4189" s="7" t="s">
        <v>187</v>
      </c>
      <c r="K4189" s="7" t="s">
        <v>16846</v>
      </c>
      <c r="L4189" s="198" t="s">
        <v>65</v>
      </c>
      <c r="M4189" s="194"/>
      <c r="N4189" s="194"/>
    </row>
    <row r="4190">
      <c r="A4190" s="193" t="s">
        <v>22220</v>
      </c>
      <c r="B4190" s="7" t="s">
        <v>19444</v>
      </c>
      <c r="C4190" s="7" t="s">
        <v>187</v>
      </c>
      <c r="D4190" s="194">
        <v>2021.0</v>
      </c>
      <c r="E4190" s="193"/>
      <c r="F4190" s="195" t="s">
        <v>22221</v>
      </c>
      <c r="G4190" s="200">
        <v>8.63004397E8</v>
      </c>
      <c r="H4190" s="197">
        <v>6.4</v>
      </c>
      <c r="I4190" s="7" t="s">
        <v>16815</v>
      </c>
      <c r="J4190" s="7" t="s">
        <v>19444</v>
      </c>
      <c r="K4190" s="7" t="s">
        <v>187</v>
      </c>
      <c r="L4190" s="201" t="s">
        <v>16835</v>
      </c>
      <c r="M4190" s="194"/>
      <c r="N4190" s="194"/>
    </row>
    <row r="4191">
      <c r="A4191" s="193" t="s">
        <v>22220</v>
      </c>
      <c r="B4191" s="7" t="s">
        <v>187</v>
      </c>
      <c r="C4191" s="7" t="s">
        <v>19444</v>
      </c>
      <c r="D4191" s="194">
        <v>2021.0</v>
      </c>
      <c r="E4191" s="193"/>
      <c r="F4191" s="195" t="s">
        <v>22221</v>
      </c>
      <c r="G4191" s="196">
        <v>8.63004397E8</v>
      </c>
      <c r="H4191" s="197">
        <v>6.4</v>
      </c>
      <c r="I4191" s="7" t="s">
        <v>16815</v>
      </c>
      <c r="J4191" s="7" t="s">
        <v>187</v>
      </c>
      <c r="K4191" s="7" t="s">
        <v>19444</v>
      </c>
      <c r="L4191" s="198" t="s">
        <v>65</v>
      </c>
      <c r="M4191" s="194"/>
      <c r="N4191" s="194"/>
    </row>
    <row r="4192">
      <c r="A4192" s="193" t="s">
        <v>22222</v>
      </c>
      <c r="B4192" s="7" t="s">
        <v>169</v>
      </c>
      <c r="C4192" s="7" t="s">
        <v>17619</v>
      </c>
      <c r="D4192" s="194">
        <v>1995.0</v>
      </c>
      <c r="E4192" s="193"/>
      <c r="F4192" s="195" t="s">
        <v>22223</v>
      </c>
      <c r="G4192" s="196">
        <v>8.61936441E8</v>
      </c>
      <c r="H4192" s="197">
        <v>13.59</v>
      </c>
      <c r="I4192" s="7" t="s">
        <v>16815</v>
      </c>
      <c r="J4192" s="7" t="s">
        <v>169</v>
      </c>
      <c r="K4192" s="7" t="s">
        <v>17619</v>
      </c>
      <c r="L4192" s="198" t="s">
        <v>65</v>
      </c>
      <c r="M4192" s="194"/>
      <c r="N4192" s="194"/>
    </row>
    <row r="4193">
      <c r="A4193" s="193" t="s">
        <v>22224</v>
      </c>
      <c r="B4193" s="7" t="s">
        <v>16885</v>
      </c>
      <c r="C4193" s="7" t="s">
        <v>18805</v>
      </c>
      <c r="D4193" s="194">
        <v>2006.0</v>
      </c>
      <c r="E4193" s="193"/>
      <c r="F4193" s="195" t="s">
        <v>22225</v>
      </c>
      <c r="G4193" s="196">
        <v>8.6124201E8</v>
      </c>
      <c r="H4193" s="197">
        <v>41.36</v>
      </c>
      <c r="I4193" s="7" t="s">
        <v>17372</v>
      </c>
      <c r="J4193" s="7" t="s">
        <v>16885</v>
      </c>
      <c r="K4193" s="7" t="s">
        <v>18805</v>
      </c>
      <c r="L4193" s="198" t="s">
        <v>65</v>
      </c>
      <c r="M4193" s="194"/>
      <c r="N4193" s="194"/>
    </row>
    <row r="4194">
      <c r="A4194" s="193" t="s">
        <v>22224</v>
      </c>
      <c r="B4194" s="7" t="s">
        <v>18805</v>
      </c>
      <c r="C4194" s="7" t="s">
        <v>16885</v>
      </c>
      <c r="D4194" s="194">
        <v>2006.0</v>
      </c>
      <c r="E4194" s="193"/>
      <c r="F4194" s="195" t="s">
        <v>22225</v>
      </c>
      <c r="G4194" s="200">
        <v>8.6124201E8</v>
      </c>
      <c r="H4194" s="197">
        <v>41.36</v>
      </c>
      <c r="I4194" s="7" t="s">
        <v>16815</v>
      </c>
      <c r="J4194" s="7" t="s">
        <v>18805</v>
      </c>
      <c r="K4194" s="7" t="s">
        <v>16885</v>
      </c>
      <c r="L4194" s="201" t="s">
        <v>16835</v>
      </c>
      <c r="M4194" s="194"/>
      <c r="N4194" s="194"/>
    </row>
    <row r="4195">
      <c r="A4195" s="193" t="s">
        <v>22226</v>
      </c>
      <c r="B4195" s="7" t="s">
        <v>16838</v>
      </c>
      <c r="C4195" s="7" t="s">
        <v>17002</v>
      </c>
      <c r="D4195" s="199"/>
      <c r="E4195" s="193"/>
      <c r="F4195" s="195" t="s">
        <v>22227</v>
      </c>
      <c r="G4195" s="196">
        <v>8.59836478E8</v>
      </c>
      <c r="H4195" s="197">
        <v>4.21</v>
      </c>
      <c r="I4195" s="7" t="s">
        <v>16924</v>
      </c>
      <c r="J4195" s="7" t="s">
        <v>16838</v>
      </c>
      <c r="K4195" s="7" t="s">
        <v>17002</v>
      </c>
      <c r="L4195" s="198" t="s">
        <v>65</v>
      </c>
      <c r="M4195" s="199"/>
      <c r="N4195" s="199"/>
    </row>
    <row r="4196">
      <c r="A4196" s="193" t="s">
        <v>22226</v>
      </c>
      <c r="B4196" s="7" t="s">
        <v>17002</v>
      </c>
      <c r="C4196" s="7" t="s">
        <v>16838</v>
      </c>
      <c r="D4196" s="199"/>
      <c r="E4196" s="193"/>
      <c r="F4196" s="195" t="s">
        <v>22227</v>
      </c>
      <c r="G4196" s="200">
        <v>8.59836478E8</v>
      </c>
      <c r="H4196" s="197">
        <v>4.21</v>
      </c>
      <c r="I4196" s="7" t="s">
        <v>16815</v>
      </c>
      <c r="J4196" s="7" t="s">
        <v>17002</v>
      </c>
      <c r="K4196" s="7" t="s">
        <v>16838</v>
      </c>
      <c r="L4196" s="201" t="s">
        <v>16835</v>
      </c>
      <c r="M4196" s="199"/>
      <c r="N4196" s="199"/>
    </row>
    <row r="4197">
      <c r="A4197" s="193" t="s">
        <v>22228</v>
      </c>
      <c r="B4197" s="7" t="s">
        <v>16838</v>
      </c>
      <c r="C4197" s="7" t="s">
        <v>18679</v>
      </c>
      <c r="D4197" s="194">
        <v>2004.0</v>
      </c>
      <c r="E4197" s="193"/>
      <c r="F4197" s="195" t="s">
        <v>22229</v>
      </c>
      <c r="G4197" s="196">
        <v>8.58733099E8</v>
      </c>
      <c r="H4197" s="197">
        <v>13.16</v>
      </c>
      <c r="I4197" s="7" t="s">
        <v>16815</v>
      </c>
      <c r="J4197" s="7" t="s">
        <v>16838</v>
      </c>
      <c r="K4197" s="7" t="s">
        <v>18679</v>
      </c>
      <c r="L4197" s="198" t="s">
        <v>65</v>
      </c>
      <c r="M4197" s="194"/>
      <c r="N4197" s="194"/>
    </row>
    <row r="4198">
      <c r="A4198" s="193" t="s">
        <v>22230</v>
      </c>
      <c r="B4198" s="7" t="s">
        <v>16582</v>
      </c>
      <c r="C4198" s="7" t="s">
        <v>16828</v>
      </c>
      <c r="D4198" s="199"/>
      <c r="E4198" s="193"/>
      <c r="F4198" s="195" t="s">
        <v>22231</v>
      </c>
      <c r="G4198" s="196">
        <v>8.54143521E8</v>
      </c>
      <c r="H4198" s="197">
        <v>23.49</v>
      </c>
      <c r="I4198" s="7" t="s">
        <v>16815</v>
      </c>
      <c r="J4198" s="7" t="s">
        <v>16582</v>
      </c>
      <c r="K4198" s="7" t="s">
        <v>16828</v>
      </c>
      <c r="L4198" s="198" t="s">
        <v>65</v>
      </c>
      <c r="M4198" s="199"/>
      <c r="N4198" s="199"/>
    </row>
    <row r="4199">
      <c r="A4199" s="193" t="s">
        <v>22232</v>
      </c>
      <c r="B4199" s="7" t="s">
        <v>17112</v>
      </c>
      <c r="C4199" s="7" t="s">
        <v>17111</v>
      </c>
      <c r="D4199" s="199"/>
      <c r="E4199" s="193"/>
      <c r="F4199" s="195" t="s">
        <v>22233</v>
      </c>
      <c r="G4199" s="196">
        <v>8.53134112E8</v>
      </c>
      <c r="H4199" s="197">
        <v>23.805</v>
      </c>
      <c r="I4199" s="7" t="s">
        <v>16815</v>
      </c>
      <c r="J4199" s="7" t="s">
        <v>17112</v>
      </c>
      <c r="K4199" s="7" t="s">
        <v>17111</v>
      </c>
      <c r="L4199" s="198" t="s">
        <v>65</v>
      </c>
      <c r="M4199" s="199"/>
      <c r="N4199" s="199"/>
    </row>
    <row r="4200">
      <c r="A4200" s="193" t="s">
        <v>22234</v>
      </c>
      <c r="B4200" s="7" t="s">
        <v>16582</v>
      </c>
      <c r="C4200" s="7" t="s">
        <v>16817</v>
      </c>
      <c r="D4200" s="194">
        <v>2016.0</v>
      </c>
      <c r="E4200" s="193"/>
      <c r="F4200" s="195" t="s">
        <v>22235</v>
      </c>
      <c r="G4200" s="196">
        <v>8.53121409E8</v>
      </c>
      <c r="H4200" s="197">
        <v>20.93</v>
      </c>
      <c r="I4200" s="7" t="s">
        <v>16815</v>
      </c>
      <c r="J4200" s="7" t="s">
        <v>16582</v>
      </c>
      <c r="K4200" s="7" t="s">
        <v>16817</v>
      </c>
      <c r="L4200" s="198" t="s">
        <v>65</v>
      </c>
      <c r="M4200" s="194"/>
      <c r="N4200" s="194"/>
    </row>
    <row r="4201">
      <c r="A4201" s="193" t="s">
        <v>22236</v>
      </c>
      <c r="B4201" s="7" t="s">
        <v>187</v>
      </c>
      <c r="C4201" s="7" t="s">
        <v>16846</v>
      </c>
      <c r="D4201" s="194">
        <v>2020.0</v>
      </c>
      <c r="E4201" s="193"/>
      <c r="F4201" s="195" t="s">
        <v>22237</v>
      </c>
      <c r="G4201" s="196">
        <v>8.52633859E8</v>
      </c>
      <c r="H4201" s="197">
        <v>8.36</v>
      </c>
      <c r="I4201" s="7" t="s">
        <v>16815</v>
      </c>
      <c r="J4201" s="7" t="s">
        <v>187</v>
      </c>
      <c r="K4201" s="7" t="s">
        <v>16846</v>
      </c>
      <c r="L4201" s="198" t="s">
        <v>65</v>
      </c>
      <c r="M4201" s="194"/>
      <c r="N4201" s="194"/>
    </row>
    <row r="4202">
      <c r="A4202" s="193" t="s">
        <v>22238</v>
      </c>
      <c r="B4202" s="7" t="s">
        <v>16867</v>
      </c>
      <c r="C4202" s="7" t="s">
        <v>16838</v>
      </c>
      <c r="D4202" s="194">
        <v>2017.0</v>
      </c>
      <c r="E4202" s="193"/>
      <c r="F4202" s="195" t="s">
        <v>22239</v>
      </c>
      <c r="G4202" s="200">
        <v>8.52475904E8</v>
      </c>
      <c r="H4202" s="197">
        <v>19.5</v>
      </c>
      <c r="I4202" s="7" t="s">
        <v>16815</v>
      </c>
      <c r="J4202" s="7" t="s">
        <v>16867</v>
      </c>
      <c r="K4202" s="7" t="s">
        <v>16838</v>
      </c>
      <c r="L4202" s="201" t="s">
        <v>16835</v>
      </c>
      <c r="M4202" s="194"/>
      <c r="N4202" s="194"/>
    </row>
    <row r="4203">
      <c r="A4203" s="193" t="s">
        <v>22238</v>
      </c>
      <c r="B4203" s="7" t="s">
        <v>16838</v>
      </c>
      <c r="C4203" s="7" t="s">
        <v>16867</v>
      </c>
      <c r="D4203" s="194">
        <v>2017.0</v>
      </c>
      <c r="E4203" s="193"/>
      <c r="F4203" s="195" t="s">
        <v>22239</v>
      </c>
      <c r="G4203" s="196">
        <v>8.52475904E8</v>
      </c>
      <c r="H4203" s="197">
        <v>19.5</v>
      </c>
      <c r="I4203" s="7" t="s">
        <v>16815</v>
      </c>
      <c r="J4203" s="7" t="s">
        <v>16838</v>
      </c>
      <c r="K4203" s="7" t="s">
        <v>16867</v>
      </c>
      <c r="L4203" s="198" t="s">
        <v>65</v>
      </c>
      <c r="M4203" s="194"/>
      <c r="N4203" s="194"/>
    </row>
    <row r="4204">
      <c r="A4204" s="193" t="s">
        <v>22240</v>
      </c>
      <c r="B4204" s="7" t="s">
        <v>17629</v>
      </c>
      <c r="C4204" s="7" t="s">
        <v>17452</v>
      </c>
      <c r="D4204" s="194">
        <v>2020.0</v>
      </c>
      <c r="E4204" s="193"/>
      <c r="F4204" s="195" t="s">
        <v>22241</v>
      </c>
      <c r="G4204" s="196">
        <v>8.51942854E8</v>
      </c>
      <c r="H4204" s="197">
        <v>4.63</v>
      </c>
      <c r="I4204" s="7" t="s">
        <v>16815</v>
      </c>
      <c r="J4204" s="7" t="s">
        <v>17629</v>
      </c>
      <c r="K4204" s="7" t="s">
        <v>17452</v>
      </c>
      <c r="L4204" s="198" t="s">
        <v>65</v>
      </c>
      <c r="M4204" s="194"/>
      <c r="N4204" s="194"/>
    </row>
    <row r="4205">
      <c r="A4205" s="193" t="s">
        <v>22242</v>
      </c>
      <c r="B4205" s="7" t="s">
        <v>187</v>
      </c>
      <c r="C4205" s="7" t="s">
        <v>16858</v>
      </c>
      <c r="D4205" s="199"/>
      <c r="E4205" s="193"/>
      <c r="F4205" s="195" t="s">
        <v>22243</v>
      </c>
      <c r="G4205" s="196">
        <v>8.51898108E8</v>
      </c>
      <c r="H4205" s="197">
        <v>3.77</v>
      </c>
      <c r="I4205" s="7" t="s">
        <v>16815</v>
      </c>
      <c r="J4205" s="7" t="s">
        <v>187</v>
      </c>
      <c r="K4205" s="7" t="s">
        <v>16858</v>
      </c>
      <c r="L4205" s="198" t="s">
        <v>65</v>
      </c>
      <c r="M4205" s="199"/>
      <c r="N4205" s="199"/>
    </row>
    <row r="4206">
      <c r="A4206" s="193" t="s">
        <v>22244</v>
      </c>
      <c r="B4206" s="7" t="s">
        <v>16838</v>
      </c>
      <c r="C4206" s="7" t="s">
        <v>16867</v>
      </c>
      <c r="D4206" s="199"/>
      <c r="E4206" s="193"/>
      <c r="F4206" s="195" t="s">
        <v>22245</v>
      </c>
      <c r="G4206" s="196">
        <v>8.50306061E8</v>
      </c>
      <c r="H4206" s="197">
        <v>81.84</v>
      </c>
      <c r="I4206" s="7" t="s">
        <v>16924</v>
      </c>
      <c r="J4206" s="7" t="s">
        <v>16838</v>
      </c>
      <c r="K4206" s="7" t="s">
        <v>16867</v>
      </c>
      <c r="L4206" s="198" t="s">
        <v>65</v>
      </c>
      <c r="M4206" s="199"/>
      <c r="N4206" s="199"/>
    </row>
    <row r="4207">
      <c r="A4207" s="193" t="s">
        <v>22246</v>
      </c>
      <c r="B4207" s="7" t="s">
        <v>17202</v>
      </c>
      <c r="C4207" s="7" t="s">
        <v>16838</v>
      </c>
      <c r="D4207" s="199"/>
      <c r="E4207" s="193"/>
      <c r="F4207" s="195" t="s">
        <v>22247</v>
      </c>
      <c r="G4207" s="200">
        <v>8.49144528E8</v>
      </c>
      <c r="H4207" s="197">
        <v>12.67</v>
      </c>
      <c r="I4207" s="7" t="s">
        <v>16815</v>
      </c>
      <c r="J4207" s="7" t="s">
        <v>17202</v>
      </c>
      <c r="K4207" s="7" t="s">
        <v>16838</v>
      </c>
      <c r="L4207" s="201" t="s">
        <v>16835</v>
      </c>
      <c r="M4207" s="199"/>
      <c r="N4207" s="199"/>
    </row>
    <row r="4208">
      <c r="A4208" s="193" t="s">
        <v>22246</v>
      </c>
      <c r="B4208" s="7" t="s">
        <v>16838</v>
      </c>
      <c r="C4208" s="7" t="s">
        <v>17202</v>
      </c>
      <c r="D4208" s="199"/>
      <c r="E4208" s="193"/>
      <c r="F4208" s="195" t="s">
        <v>22247</v>
      </c>
      <c r="G4208" s="196">
        <v>8.49144528E8</v>
      </c>
      <c r="H4208" s="197">
        <v>12.67</v>
      </c>
      <c r="I4208" s="7" t="s">
        <v>16815</v>
      </c>
      <c r="J4208" s="7" t="s">
        <v>16838</v>
      </c>
      <c r="K4208" s="7" t="s">
        <v>17202</v>
      </c>
      <c r="L4208" s="198" t="s">
        <v>65</v>
      </c>
      <c r="M4208" s="199"/>
      <c r="N4208" s="199"/>
    </row>
    <row r="4209">
      <c r="A4209" s="193" t="s">
        <v>22248</v>
      </c>
      <c r="B4209" s="7" t="s">
        <v>187</v>
      </c>
      <c r="C4209" s="7" t="s">
        <v>16969</v>
      </c>
      <c r="D4209" s="199"/>
      <c r="E4209" s="193"/>
      <c r="F4209" s="195" t="s">
        <v>22249</v>
      </c>
      <c r="G4209" s="196">
        <v>8.48665664E8</v>
      </c>
      <c r="H4209" s="197">
        <v>14.81</v>
      </c>
      <c r="I4209" s="7" t="s">
        <v>16815</v>
      </c>
      <c r="J4209" s="7" t="s">
        <v>187</v>
      </c>
      <c r="K4209" s="7" t="s">
        <v>16969</v>
      </c>
      <c r="L4209" s="198" t="s">
        <v>65</v>
      </c>
      <c r="M4209" s="199"/>
      <c r="N4209" s="199"/>
    </row>
    <row r="4210">
      <c r="A4210" s="193" t="s">
        <v>22250</v>
      </c>
      <c r="B4210" s="7" t="s">
        <v>17202</v>
      </c>
      <c r="C4210" s="7" t="s">
        <v>16838</v>
      </c>
      <c r="D4210" s="194">
        <v>2002.0</v>
      </c>
      <c r="E4210" s="193"/>
      <c r="F4210" s="195" t="s">
        <v>22251</v>
      </c>
      <c r="G4210" s="200">
        <v>8.46160079E8</v>
      </c>
      <c r="H4210" s="197">
        <v>9.81</v>
      </c>
      <c r="I4210" s="7" t="s">
        <v>16815</v>
      </c>
      <c r="J4210" s="7" t="s">
        <v>17202</v>
      </c>
      <c r="K4210" s="7" t="s">
        <v>16838</v>
      </c>
      <c r="L4210" s="201" t="s">
        <v>16835</v>
      </c>
      <c r="M4210" s="194"/>
      <c r="N4210" s="194"/>
    </row>
    <row r="4211">
      <c r="A4211" s="193" t="s">
        <v>22250</v>
      </c>
      <c r="B4211" s="7" t="s">
        <v>16838</v>
      </c>
      <c r="C4211" s="7" t="s">
        <v>17202</v>
      </c>
      <c r="D4211" s="194">
        <v>2002.0</v>
      </c>
      <c r="E4211" s="193"/>
      <c r="F4211" s="195" t="s">
        <v>22251</v>
      </c>
      <c r="G4211" s="196">
        <v>8.46160079E8</v>
      </c>
      <c r="H4211" s="197">
        <v>9.81</v>
      </c>
      <c r="I4211" s="7" t="s">
        <v>16815</v>
      </c>
      <c r="J4211" s="7" t="s">
        <v>16838</v>
      </c>
      <c r="K4211" s="7" t="s">
        <v>17202</v>
      </c>
      <c r="L4211" s="198" t="s">
        <v>65</v>
      </c>
      <c r="M4211" s="194"/>
      <c r="N4211" s="194"/>
    </row>
    <row r="4212">
      <c r="A4212" s="193" t="s">
        <v>22252</v>
      </c>
      <c r="B4212" s="7" t="s">
        <v>175</v>
      </c>
      <c r="C4212" s="7" t="s">
        <v>17948</v>
      </c>
      <c r="D4212" s="194">
        <v>1991.0</v>
      </c>
      <c r="E4212" s="193"/>
      <c r="F4212" s="195" t="s">
        <v>22253</v>
      </c>
      <c r="G4212" s="196">
        <v>8.45575088E8</v>
      </c>
      <c r="H4212" s="197">
        <v>26.89</v>
      </c>
      <c r="I4212" s="7" t="s">
        <v>168</v>
      </c>
      <c r="J4212" s="7" t="s">
        <v>175</v>
      </c>
      <c r="K4212" s="7" t="s">
        <v>17948</v>
      </c>
      <c r="L4212" s="198" t="s">
        <v>65</v>
      </c>
      <c r="M4212" s="194"/>
      <c r="N4212" s="194"/>
    </row>
    <row r="4213">
      <c r="A4213" s="193" t="s">
        <v>22254</v>
      </c>
      <c r="B4213" s="7" t="s">
        <v>158</v>
      </c>
      <c r="C4213" s="7" t="s">
        <v>16864</v>
      </c>
      <c r="D4213" s="194">
        <v>1951.0</v>
      </c>
      <c r="E4213" s="193"/>
      <c r="F4213" s="195" t="s">
        <v>14958</v>
      </c>
      <c r="G4213" s="196">
        <v>8.45517919E8</v>
      </c>
      <c r="H4213" s="197">
        <v>89.33</v>
      </c>
      <c r="I4213" s="7" t="s">
        <v>17098</v>
      </c>
      <c r="J4213" s="7" t="s">
        <v>158</v>
      </c>
      <c r="K4213" s="7" t="s">
        <v>16864</v>
      </c>
      <c r="L4213" s="198" t="s">
        <v>65</v>
      </c>
      <c r="M4213" s="194"/>
      <c r="N4213" s="194"/>
    </row>
    <row r="4214">
      <c r="A4214" s="193" t="s">
        <v>22254</v>
      </c>
      <c r="B4214" s="7" t="s">
        <v>16864</v>
      </c>
      <c r="C4214" s="7" t="s">
        <v>158</v>
      </c>
      <c r="D4214" s="194">
        <v>1951.0</v>
      </c>
      <c r="E4214" s="193"/>
      <c r="F4214" s="195" t="s">
        <v>14958</v>
      </c>
      <c r="G4214" s="200">
        <v>8.45517919E8</v>
      </c>
      <c r="H4214" s="197">
        <v>89.33</v>
      </c>
      <c r="I4214" s="7" t="s">
        <v>16815</v>
      </c>
      <c r="J4214" s="7" t="s">
        <v>16864</v>
      </c>
      <c r="K4214" s="7" t="s">
        <v>158</v>
      </c>
      <c r="L4214" s="201" t="s">
        <v>16835</v>
      </c>
      <c r="M4214" s="194"/>
      <c r="N4214" s="194"/>
    </row>
    <row r="4215">
      <c r="A4215" s="193" t="s">
        <v>22255</v>
      </c>
      <c r="B4215" s="7" t="s">
        <v>16919</v>
      </c>
      <c r="C4215" s="7" t="s">
        <v>17048</v>
      </c>
      <c r="D4215" s="194">
        <v>2021.0</v>
      </c>
      <c r="E4215" s="193"/>
      <c r="F4215" s="195" t="s">
        <v>22256</v>
      </c>
      <c r="G4215" s="196">
        <v>8.41580028E8</v>
      </c>
      <c r="H4215" s="197">
        <v>5.26</v>
      </c>
      <c r="I4215" s="7" t="s">
        <v>16815</v>
      </c>
      <c r="J4215" s="7" t="s">
        <v>16919</v>
      </c>
      <c r="K4215" s="7" t="s">
        <v>17048</v>
      </c>
      <c r="L4215" s="198" t="s">
        <v>65</v>
      </c>
      <c r="M4215" s="194"/>
      <c r="N4215" s="194"/>
    </row>
    <row r="4216">
      <c r="A4216" s="193" t="s">
        <v>22255</v>
      </c>
      <c r="B4216" s="7" t="s">
        <v>17048</v>
      </c>
      <c r="C4216" s="7" t="s">
        <v>16919</v>
      </c>
      <c r="D4216" s="194">
        <v>2021.0</v>
      </c>
      <c r="E4216" s="193"/>
      <c r="F4216" s="195" t="s">
        <v>22256</v>
      </c>
      <c r="G4216" s="200">
        <v>8.41580028E8</v>
      </c>
      <c r="H4216" s="197">
        <v>5.26</v>
      </c>
      <c r="I4216" s="7" t="s">
        <v>16815</v>
      </c>
      <c r="J4216" s="7" t="s">
        <v>17048</v>
      </c>
      <c r="K4216" s="7" t="s">
        <v>16919</v>
      </c>
      <c r="L4216" s="201" t="s">
        <v>16835</v>
      </c>
      <c r="M4216" s="194"/>
      <c r="N4216" s="194"/>
    </row>
    <row r="4217">
      <c r="A4217" s="193" t="s">
        <v>22257</v>
      </c>
      <c r="B4217" s="7" t="s">
        <v>17111</v>
      </c>
      <c r="C4217" s="7" t="s">
        <v>17112</v>
      </c>
      <c r="D4217" s="194">
        <v>1993.0</v>
      </c>
      <c r="E4217" s="193"/>
      <c r="F4217" s="195" t="s">
        <v>22258</v>
      </c>
      <c r="G4217" s="200">
        <v>8.40906818E8</v>
      </c>
      <c r="H4217" s="197">
        <v>35.12</v>
      </c>
      <c r="I4217" s="7" t="s">
        <v>16815</v>
      </c>
      <c r="J4217" s="7" t="s">
        <v>17111</v>
      </c>
      <c r="K4217" s="7" t="s">
        <v>17112</v>
      </c>
      <c r="L4217" s="201" t="s">
        <v>16835</v>
      </c>
      <c r="M4217" s="194"/>
      <c r="N4217" s="194"/>
    </row>
    <row r="4218">
      <c r="A4218" s="193" t="s">
        <v>22257</v>
      </c>
      <c r="B4218" s="7" t="s">
        <v>17112</v>
      </c>
      <c r="C4218" s="7" t="s">
        <v>17111</v>
      </c>
      <c r="D4218" s="194">
        <v>1993.0</v>
      </c>
      <c r="E4218" s="193"/>
      <c r="F4218" s="195" t="s">
        <v>22258</v>
      </c>
      <c r="G4218" s="196">
        <v>8.40906818E8</v>
      </c>
      <c r="H4218" s="197">
        <v>35.12</v>
      </c>
      <c r="I4218" s="7" t="s">
        <v>16815</v>
      </c>
      <c r="J4218" s="7" t="s">
        <v>17112</v>
      </c>
      <c r="K4218" s="7" t="s">
        <v>17111</v>
      </c>
      <c r="L4218" s="198" t="s">
        <v>65</v>
      </c>
      <c r="M4218" s="194"/>
      <c r="N4218" s="194"/>
    </row>
    <row r="4219">
      <c r="A4219" s="193" t="s">
        <v>22259</v>
      </c>
      <c r="B4219" s="7" t="s">
        <v>187</v>
      </c>
      <c r="C4219" s="7" t="s">
        <v>16846</v>
      </c>
      <c r="D4219" s="194">
        <v>2022.0</v>
      </c>
      <c r="E4219" s="193"/>
      <c r="F4219" s="195" t="s">
        <v>22260</v>
      </c>
      <c r="G4219" s="196">
        <v>8.40874233E8</v>
      </c>
      <c r="H4219" s="197">
        <v>12.48</v>
      </c>
      <c r="I4219" s="7" t="s">
        <v>16815</v>
      </c>
      <c r="J4219" s="7" t="s">
        <v>187</v>
      </c>
      <c r="K4219" s="7" t="s">
        <v>16846</v>
      </c>
      <c r="L4219" s="198" t="s">
        <v>65</v>
      </c>
      <c r="M4219" s="194"/>
      <c r="N4219" s="194"/>
    </row>
    <row r="4220">
      <c r="A4220" s="193" t="s">
        <v>22261</v>
      </c>
      <c r="B4220" s="7" t="s">
        <v>17702</v>
      </c>
      <c r="C4220" s="7" t="s">
        <v>169</v>
      </c>
      <c r="D4220" s="194">
        <v>2012.0</v>
      </c>
      <c r="E4220" s="193"/>
      <c r="F4220" s="195" t="s">
        <v>22262</v>
      </c>
      <c r="G4220" s="200">
        <v>8.38668458E8</v>
      </c>
      <c r="H4220" s="197">
        <v>10.87</v>
      </c>
      <c r="I4220" s="7" t="s">
        <v>16815</v>
      </c>
      <c r="J4220" s="7" t="s">
        <v>17702</v>
      </c>
      <c r="K4220" s="7" t="s">
        <v>169</v>
      </c>
      <c r="L4220" s="201" t="s">
        <v>16835</v>
      </c>
      <c r="M4220" s="194"/>
      <c r="N4220" s="194"/>
    </row>
    <row r="4221">
      <c r="A4221" s="193" t="s">
        <v>22261</v>
      </c>
      <c r="B4221" s="7" t="s">
        <v>169</v>
      </c>
      <c r="C4221" s="7" t="s">
        <v>17702</v>
      </c>
      <c r="D4221" s="194">
        <v>2012.0</v>
      </c>
      <c r="E4221" s="193"/>
      <c r="F4221" s="195" t="s">
        <v>22262</v>
      </c>
      <c r="G4221" s="196">
        <v>8.38668458E8</v>
      </c>
      <c r="H4221" s="197">
        <v>10.87</v>
      </c>
      <c r="I4221" s="7" t="s">
        <v>16815</v>
      </c>
      <c r="J4221" s="7" t="s">
        <v>169</v>
      </c>
      <c r="K4221" s="7" t="s">
        <v>17702</v>
      </c>
      <c r="L4221" s="198" t="s">
        <v>65</v>
      </c>
      <c r="M4221" s="194"/>
      <c r="N4221" s="194"/>
    </row>
    <row r="4222">
      <c r="A4222" s="193" t="s">
        <v>22263</v>
      </c>
      <c r="B4222" s="7" t="s">
        <v>175</v>
      </c>
      <c r="C4222" s="7" t="s">
        <v>16957</v>
      </c>
      <c r="D4222" s="199"/>
      <c r="E4222" s="193"/>
      <c r="F4222" s="195" t="s">
        <v>22264</v>
      </c>
      <c r="G4222" s="196">
        <v>8.37390283E8</v>
      </c>
      <c r="H4222" s="197">
        <v>9.98</v>
      </c>
      <c r="I4222" s="7" t="s">
        <v>17033</v>
      </c>
      <c r="J4222" s="7" t="s">
        <v>175</v>
      </c>
      <c r="K4222" s="7" t="s">
        <v>16957</v>
      </c>
      <c r="L4222" s="198" t="s">
        <v>65</v>
      </c>
      <c r="M4222" s="199"/>
      <c r="N4222" s="199"/>
    </row>
    <row r="4223">
      <c r="A4223" s="193" t="s">
        <v>22265</v>
      </c>
      <c r="B4223" s="7" t="s">
        <v>16582</v>
      </c>
      <c r="C4223" s="7" t="s">
        <v>16817</v>
      </c>
      <c r="D4223" s="194">
        <v>2021.0</v>
      </c>
      <c r="E4223" s="193"/>
      <c r="F4223" s="195" t="s">
        <v>22266</v>
      </c>
      <c r="G4223" s="196">
        <v>8.35235679E8</v>
      </c>
      <c r="H4223" s="197">
        <v>7.18</v>
      </c>
      <c r="I4223" s="7" t="s">
        <v>16815</v>
      </c>
      <c r="J4223" s="7" t="s">
        <v>16582</v>
      </c>
      <c r="K4223" s="7" t="s">
        <v>16817</v>
      </c>
      <c r="L4223" s="198" t="s">
        <v>65</v>
      </c>
      <c r="M4223" s="194"/>
      <c r="N4223" s="194"/>
    </row>
    <row r="4224">
      <c r="A4224" s="193" t="s">
        <v>22267</v>
      </c>
      <c r="B4224" s="7" t="s">
        <v>17202</v>
      </c>
      <c r="C4224" s="7" t="s">
        <v>16838</v>
      </c>
      <c r="D4224" s="194">
        <v>2003.0</v>
      </c>
      <c r="E4224" s="193"/>
      <c r="F4224" s="195" t="s">
        <v>22268</v>
      </c>
      <c r="G4224" s="200">
        <v>8.34373903E8</v>
      </c>
      <c r="H4224" s="197">
        <v>16.98</v>
      </c>
      <c r="I4224" s="7" t="s">
        <v>16815</v>
      </c>
      <c r="J4224" s="7" t="s">
        <v>17202</v>
      </c>
      <c r="K4224" s="7" t="s">
        <v>16838</v>
      </c>
      <c r="L4224" s="201" t="s">
        <v>16835</v>
      </c>
      <c r="M4224" s="194"/>
      <c r="N4224" s="194"/>
    </row>
    <row r="4225">
      <c r="A4225" s="193" t="s">
        <v>22267</v>
      </c>
      <c r="B4225" s="7" t="s">
        <v>16838</v>
      </c>
      <c r="C4225" s="7" t="s">
        <v>17202</v>
      </c>
      <c r="D4225" s="194">
        <v>2003.0</v>
      </c>
      <c r="E4225" s="193"/>
      <c r="F4225" s="195" t="s">
        <v>22268</v>
      </c>
      <c r="G4225" s="196">
        <v>8.34373903E8</v>
      </c>
      <c r="H4225" s="197">
        <v>16.98</v>
      </c>
      <c r="I4225" s="7" t="s">
        <v>16815</v>
      </c>
      <c r="J4225" s="7" t="s">
        <v>16838</v>
      </c>
      <c r="K4225" s="7" t="s">
        <v>17202</v>
      </c>
      <c r="L4225" s="198" t="s">
        <v>65</v>
      </c>
      <c r="M4225" s="194"/>
      <c r="N4225" s="194"/>
    </row>
    <row r="4226">
      <c r="A4226" s="193" t="s">
        <v>22269</v>
      </c>
      <c r="B4226" s="7" t="s">
        <v>187</v>
      </c>
      <c r="C4226" s="7" t="s">
        <v>16846</v>
      </c>
      <c r="D4226" s="194">
        <v>2020.0</v>
      </c>
      <c r="E4226" s="193"/>
      <c r="F4226" s="195" t="s">
        <v>22270</v>
      </c>
      <c r="G4226" s="196">
        <v>8.34061722E8</v>
      </c>
      <c r="H4226" s="197">
        <v>19.1</v>
      </c>
      <c r="I4226" s="7" t="s">
        <v>16815</v>
      </c>
      <c r="J4226" s="7" t="s">
        <v>187</v>
      </c>
      <c r="K4226" s="7" t="s">
        <v>16846</v>
      </c>
      <c r="L4226" s="198" t="s">
        <v>65</v>
      </c>
      <c r="M4226" s="194"/>
      <c r="N4226" s="194"/>
    </row>
    <row r="4227">
      <c r="A4227" s="193" t="s">
        <v>22271</v>
      </c>
      <c r="B4227" s="7" t="s">
        <v>16582</v>
      </c>
      <c r="C4227" s="7" t="s">
        <v>16930</v>
      </c>
      <c r="D4227" s="194">
        <v>2021.0</v>
      </c>
      <c r="E4227" s="193"/>
      <c r="F4227" s="195" t="s">
        <v>22272</v>
      </c>
      <c r="G4227" s="196">
        <v>8.339625E8</v>
      </c>
      <c r="H4227" s="197">
        <v>9.45</v>
      </c>
      <c r="I4227" s="7" t="s">
        <v>16815</v>
      </c>
      <c r="J4227" s="7" t="s">
        <v>16582</v>
      </c>
      <c r="K4227" s="7" t="s">
        <v>16930</v>
      </c>
      <c r="L4227" s="198" t="s">
        <v>65</v>
      </c>
      <c r="M4227" s="194"/>
      <c r="N4227" s="194"/>
    </row>
    <row r="4228">
      <c r="A4228" s="193" t="s">
        <v>22273</v>
      </c>
      <c r="B4228" s="7" t="s">
        <v>187</v>
      </c>
      <c r="C4228" s="7" t="s">
        <v>16846</v>
      </c>
      <c r="D4228" s="199"/>
      <c r="E4228" s="193"/>
      <c r="F4228" s="195" t="s">
        <v>22274</v>
      </c>
      <c r="G4228" s="196">
        <v>8.3223152E8</v>
      </c>
      <c r="H4228" s="197">
        <v>23.7</v>
      </c>
      <c r="I4228" s="7" t="s">
        <v>16815</v>
      </c>
      <c r="J4228" s="7" t="s">
        <v>187</v>
      </c>
      <c r="K4228" s="7" t="s">
        <v>16846</v>
      </c>
      <c r="L4228" s="198" t="s">
        <v>65</v>
      </c>
      <c r="M4228" s="199"/>
      <c r="N4228" s="199"/>
    </row>
    <row r="4229">
      <c r="A4229" s="193" t="s">
        <v>22275</v>
      </c>
      <c r="B4229" s="7" t="s">
        <v>158</v>
      </c>
      <c r="C4229" s="7" t="s">
        <v>18063</v>
      </c>
      <c r="D4229" s="194">
        <v>2012.0</v>
      </c>
      <c r="E4229" s="193"/>
      <c r="F4229" s="195" t="s">
        <v>22276</v>
      </c>
      <c r="G4229" s="196">
        <v>8.31938475E8</v>
      </c>
      <c r="H4229" s="197">
        <v>21.91</v>
      </c>
      <c r="I4229" s="7" t="s">
        <v>17095</v>
      </c>
      <c r="J4229" s="7" t="s">
        <v>158</v>
      </c>
      <c r="K4229" s="7" t="s">
        <v>18063</v>
      </c>
      <c r="L4229" s="198" t="s">
        <v>65</v>
      </c>
      <c r="M4229" s="194"/>
      <c r="N4229" s="194"/>
    </row>
    <row r="4230">
      <c r="A4230" s="193" t="s">
        <v>22275</v>
      </c>
      <c r="B4230" s="7" t="s">
        <v>18063</v>
      </c>
      <c r="C4230" s="7" t="s">
        <v>158</v>
      </c>
      <c r="D4230" s="194">
        <v>2012.0</v>
      </c>
      <c r="E4230" s="193"/>
      <c r="F4230" s="195" t="s">
        <v>22276</v>
      </c>
      <c r="G4230" s="200">
        <v>8.31938475E8</v>
      </c>
      <c r="H4230" s="197">
        <v>21.91</v>
      </c>
      <c r="I4230" s="7" t="s">
        <v>16815</v>
      </c>
      <c r="J4230" s="7" t="s">
        <v>18063</v>
      </c>
      <c r="K4230" s="7" t="s">
        <v>158</v>
      </c>
      <c r="L4230" s="201" t="s">
        <v>16835</v>
      </c>
      <c r="M4230" s="194"/>
      <c r="N4230" s="194"/>
    </row>
    <row r="4231">
      <c r="A4231" s="193" t="s">
        <v>22277</v>
      </c>
      <c r="B4231" s="7" t="s">
        <v>16582</v>
      </c>
      <c r="C4231" s="7" t="s">
        <v>17339</v>
      </c>
      <c r="D4231" s="199"/>
      <c r="E4231" s="193"/>
      <c r="F4231" s="195" t="s">
        <v>22278</v>
      </c>
      <c r="G4231" s="196">
        <v>8.31099999E8</v>
      </c>
      <c r="H4231" s="197">
        <v>23.08</v>
      </c>
      <c r="I4231" s="7" t="s">
        <v>16815</v>
      </c>
      <c r="J4231" s="7" t="s">
        <v>16582</v>
      </c>
      <c r="K4231" s="7" t="s">
        <v>17339</v>
      </c>
      <c r="L4231" s="198" t="s">
        <v>65</v>
      </c>
      <c r="M4231" s="199"/>
      <c r="N4231" s="199"/>
    </row>
    <row r="4232">
      <c r="A4232" s="193" t="s">
        <v>22277</v>
      </c>
      <c r="B4232" s="7" t="s">
        <v>17339</v>
      </c>
      <c r="C4232" s="7" t="s">
        <v>16582</v>
      </c>
      <c r="D4232" s="199"/>
      <c r="E4232" s="193"/>
      <c r="F4232" s="195" t="s">
        <v>22278</v>
      </c>
      <c r="G4232" s="200">
        <v>8.31099999E8</v>
      </c>
      <c r="H4232" s="197">
        <v>23.08</v>
      </c>
      <c r="I4232" s="7" t="s">
        <v>16815</v>
      </c>
      <c r="J4232" s="7" t="s">
        <v>17339</v>
      </c>
      <c r="K4232" s="7" t="s">
        <v>16582</v>
      </c>
      <c r="L4232" s="201" t="s">
        <v>16835</v>
      </c>
      <c r="M4232" s="199"/>
      <c r="N4232" s="199"/>
    </row>
    <row r="4233">
      <c r="A4233" s="193" t="s">
        <v>22279</v>
      </c>
      <c r="B4233" s="7" t="s">
        <v>16838</v>
      </c>
      <c r="C4233" s="7" t="s">
        <v>16867</v>
      </c>
      <c r="D4233" s="199"/>
      <c r="E4233" s="193"/>
      <c r="F4233" s="195" t="s">
        <v>22280</v>
      </c>
      <c r="G4233" s="196">
        <v>8.31070173E8</v>
      </c>
      <c r="H4233" s="197">
        <v>28.1</v>
      </c>
      <c r="I4233" s="7" t="s">
        <v>16815</v>
      </c>
      <c r="J4233" s="7" t="s">
        <v>16838</v>
      </c>
      <c r="K4233" s="7" t="s">
        <v>16867</v>
      </c>
      <c r="L4233" s="198" t="s">
        <v>65</v>
      </c>
      <c r="M4233" s="199"/>
      <c r="N4233" s="199"/>
    </row>
    <row r="4234">
      <c r="A4234" s="193" t="s">
        <v>22281</v>
      </c>
      <c r="B4234" s="7" t="s">
        <v>16885</v>
      </c>
      <c r="C4234" s="7" t="s">
        <v>16886</v>
      </c>
      <c r="D4234" s="199"/>
      <c r="E4234" s="193"/>
      <c r="F4234" s="195" t="s">
        <v>22282</v>
      </c>
      <c r="G4234" s="196">
        <v>8.303149E8</v>
      </c>
      <c r="H4234" s="197">
        <v>4.43</v>
      </c>
      <c r="I4234" s="7" t="s">
        <v>17372</v>
      </c>
      <c r="J4234" s="7" t="s">
        <v>16885</v>
      </c>
      <c r="K4234" s="7" t="s">
        <v>16886</v>
      </c>
      <c r="L4234" s="198" t="s">
        <v>65</v>
      </c>
      <c r="M4234" s="199"/>
      <c r="N4234" s="199"/>
    </row>
    <row r="4235">
      <c r="A4235" s="193" t="s">
        <v>22283</v>
      </c>
      <c r="B4235" s="7" t="s">
        <v>16582</v>
      </c>
      <c r="C4235" s="7" t="s">
        <v>16817</v>
      </c>
      <c r="D4235" s="194">
        <v>2018.0</v>
      </c>
      <c r="E4235" s="193"/>
      <c r="F4235" s="195" t="s">
        <v>22284</v>
      </c>
      <c r="G4235" s="196">
        <v>8.27709985E8</v>
      </c>
      <c r="H4235" s="197">
        <v>10.95</v>
      </c>
      <c r="I4235" s="7" t="s">
        <v>16815</v>
      </c>
      <c r="J4235" s="7" t="s">
        <v>16582</v>
      </c>
      <c r="K4235" s="7" t="s">
        <v>16817</v>
      </c>
      <c r="L4235" s="198" t="s">
        <v>65</v>
      </c>
      <c r="M4235" s="194"/>
      <c r="N4235" s="194"/>
    </row>
    <row r="4236">
      <c r="A4236" s="193" t="s">
        <v>22285</v>
      </c>
      <c r="B4236" s="7" t="s">
        <v>187</v>
      </c>
      <c r="C4236" s="7" t="s">
        <v>16846</v>
      </c>
      <c r="D4236" s="194">
        <v>2020.0</v>
      </c>
      <c r="E4236" s="193"/>
      <c r="F4236" s="195" t="s">
        <v>22286</v>
      </c>
      <c r="G4236" s="196">
        <v>8.27505575E8</v>
      </c>
      <c r="H4236" s="197">
        <v>13.83</v>
      </c>
      <c r="I4236" s="7" t="s">
        <v>16815</v>
      </c>
      <c r="J4236" s="7" t="s">
        <v>187</v>
      </c>
      <c r="K4236" s="7" t="s">
        <v>16846</v>
      </c>
      <c r="L4236" s="198" t="s">
        <v>65</v>
      </c>
      <c r="M4236" s="194"/>
      <c r="N4236" s="194"/>
    </row>
    <row r="4237">
      <c r="A4237" s="193" t="s">
        <v>22287</v>
      </c>
      <c r="B4237" s="7" t="s">
        <v>187</v>
      </c>
      <c r="C4237" s="7" t="s">
        <v>16846</v>
      </c>
      <c r="D4237" s="199"/>
      <c r="E4237" s="193"/>
      <c r="F4237" s="195" t="s">
        <v>22288</v>
      </c>
      <c r="G4237" s="196">
        <v>8.27455096E8</v>
      </c>
      <c r="H4237" s="197">
        <v>19.62</v>
      </c>
      <c r="I4237" s="7" t="s">
        <v>16815</v>
      </c>
      <c r="J4237" s="7" t="s">
        <v>187</v>
      </c>
      <c r="K4237" s="7" t="s">
        <v>16846</v>
      </c>
      <c r="L4237" s="198" t="s">
        <v>65</v>
      </c>
      <c r="M4237" s="199"/>
      <c r="N4237" s="199"/>
    </row>
    <row r="4238">
      <c r="A4238" s="193" t="s">
        <v>22289</v>
      </c>
      <c r="B4238" s="7" t="s">
        <v>187</v>
      </c>
      <c r="C4238" s="7" t="s">
        <v>16846</v>
      </c>
      <c r="D4238" s="194">
        <v>2014.0</v>
      </c>
      <c r="E4238" s="193"/>
      <c r="F4238" s="195" t="s">
        <v>22290</v>
      </c>
      <c r="G4238" s="196">
        <v>8.26410244E8</v>
      </c>
      <c r="H4238" s="197">
        <v>3.56</v>
      </c>
      <c r="I4238" s="7" t="s">
        <v>16815</v>
      </c>
      <c r="J4238" s="7" t="s">
        <v>187</v>
      </c>
      <c r="K4238" s="7" t="s">
        <v>16846</v>
      </c>
      <c r="L4238" s="198" t="s">
        <v>65</v>
      </c>
      <c r="M4238" s="194"/>
      <c r="N4238" s="194"/>
    </row>
    <row r="4239">
      <c r="A4239" s="193" t="s">
        <v>22291</v>
      </c>
      <c r="B4239" s="7" t="s">
        <v>16838</v>
      </c>
      <c r="C4239" s="7" t="s">
        <v>16867</v>
      </c>
      <c r="D4239" s="199"/>
      <c r="E4239" s="193"/>
      <c r="F4239" s="195" t="s">
        <v>22292</v>
      </c>
      <c r="G4239" s="196">
        <v>8.25877393E8</v>
      </c>
      <c r="H4239" s="197">
        <v>27.35</v>
      </c>
      <c r="I4239" s="7" t="s">
        <v>16815</v>
      </c>
      <c r="J4239" s="7" t="s">
        <v>16838</v>
      </c>
      <c r="K4239" s="7" t="s">
        <v>16867</v>
      </c>
      <c r="L4239" s="198" t="s">
        <v>65</v>
      </c>
      <c r="M4239" s="199"/>
      <c r="N4239" s="199"/>
    </row>
    <row r="4240">
      <c r="A4240" s="193" t="s">
        <v>22293</v>
      </c>
      <c r="B4240" s="7" t="s">
        <v>175</v>
      </c>
      <c r="C4240" s="7" t="s">
        <v>16854</v>
      </c>
      <c r="D4240" s="194">
        <v>2019.0</v>
      </c>
      <c r="E4240" s="193"/>
      <c r="F4240" s="195" t="s">
        <v>22294</v>
      </c>
      <c r="G4240" s="196">
        <v>8.25369676E8</v>
      </c>
      <c r="H4240" s="197">
        <v>14.95</v>
      </c>
      <c r="I4240" s="7" t="s">
        <v>168</v>
      </c>
      <c r="J4240" s="7" t="s">
        <v>175</v>
      </c>
      <c r="K4240" s="7" t="s">
        <v>16854</v>
      </c>
      <c r="L4240" s="198" t="s">
        <v>65</v>
      </c>
      <c r="M4240" s="194"/>
      <c r="N4240" s="194"/>
    </row>
    <row r="4241">
      <c r="A4241" s="193" t="s">
        <v>22293</v>
      </c>
      <c r="B4241" s="7" t="s">
        <v>16854</v>
      </c>
      <c r="C4241" s="7" t="s">
        <v>175</v>
      </c>
      <c r="D4241" s="194">
        <v>2019.0</v>
      </c>
      <c r="E4241" s="193"/>
      <c r="F4241" s="195" t="s">
        <v>22294</v>
      </c>
      <c r="G4241" s="200">
        <v>8.25369676E8</v>
      </c>
      <c r="H4241" s="197">
        <v>14.95</v>
      </c>
      <c r="I4241" s="7" t="s">
        <v>16815</v>
      </c>
      <c r="J4241" s="7" t="s">
        <v>16854</v>
      </c>
      <c r="K4241" s="7" t="s">
        <v>175</v>
      </c>
      <c r="L4241" s="201" t="s">
        <v>16835</v>
      </c>
      <c r="M4241" s="194"/>
      <c r="N4241" s="194"/>
    </row>
    <row r="4242">
      <c r="A4242" s="193" t="s">
        <v>22295</v>
      </c>
      <c r="B4242" s="7" t="s">
        <v>175</v>
      </c>
      <c r="C4242" s="7" t="s">
        <v>16854</v>
      </c>
      <c r="D4242" s="194">
        <v>2019.0</v>
      </c>
      <c r="E4242" s="193"/>
      <c r="F4242" s="195" t="s">
        <v>22296</v>
      </c>
      <c r="G4242" s="196">
        <v>8.25056E8</v>
      </c>
      <c r="H4242" s="197">
        <v>21.85</v>
      </c>
      <c r="I4242" s="7" t="s">
        <v>16908</v>
      </c>
      <c r="J4242" s="7" t="s">
        <v>175</v>
      </c>
      <c r="K4242" s="7" t="s">
        <v>16854</v>
      </c>
      <c r="L4242" s="198" t="s">
        <v>65</v>
      </c>
      <c r="M4242" s="194"/>
      <c r="N4242" s="194"/>
    </row>
    <row r="4243">
      <c r="A4243" s="193" t="s">
        <v>22295</v>
      </c>
      <c r="B4243" s="7" t="s">
        <v>16854</v>
      </c>
      <c r="C4243" s="7" t="s">
        <v>175</v>
      </c>
      <c r="D4243" s="194">
        <v>2019.0</v>
      </c>
      <c r="E4243" s="193"/>
      <c r="F4243" s="195" t="s">
        <v>22296</v>
      </c>
      <c r="G4243" s="200">
        <v>8.25056E8</v>
      </c>
      <c r="H4243" s="197">
        <v>21.85</v>
      </c>
      <c r="I4243" s="7" t="s">
        <v>16815</v>
      </c>
      <c r="J4243" s="7" t="s">
        <v>16854</v>
      </c>
      <c r="K4243" s="7" t="s">
        <v>175</v>
      </c>
      <c r="L4243" s="201" t="s">
        <v>16835</v>
      </c>
      <c r="M4243" s="194"/>
      <c r="N4243" s="194"/>
    </row>
    <row r="4244">
      <c r="A4244" s="193" t="s">
        <v>22297</v>
      </c>
      <c r="B4244" s="7" t="s">
        <v>187</v>
      </c>
      <c r="C4244" s="7" t="s">
        <v>16846</v>
      </c>
      <c r="D4244" s="194">
        <v>2018.0</v>
      </c>
      <c r="E4244" s="193"/>
      <c r="F4244" s="195" t="s">
        <v>22298</v>
      </c>
      <c r="G4244" s="196">
        <v>8.24832305E8</v>
      </c>
      <c r="H4244" s="197">
        <v>14.99</v>
      </c>
      <c r="I4244" s="7" t="s">
        <v>16815</v>
      </c>
      <c r="J4244" s="7" t="s">
        <v>187</v>
      </c>
      <c r="K4244" s="7" t="s">
        <v>16846</v>
      </c>
      <c r="L4244" s="198" t="s">
        <v>65</v>
      </c>
      <c r="M4244" s="194"/>
      <c r="N4244" s="194"/>
    </row>
    <row r="4245">
      <c r="A4245" s="193" t="s">
        <v>22299</v>
      </c>
      <c r="B4245" s="7" t="s">
        <v>16582</v>
      </c>
      <c r="C4245" s="7" t="s">
        <v>16930</v>
      </c>
      <c r="D4245" s="194">
        <v>2013.0</v>
      </c>
      <c r="E4245" s="193"/>
      <c r="F4245" s="195" t="s">
        <v>22300</v>
      </c>
      <c r="G4245" s="196">
        <v>8.23721497E8</v>
      </c>
      <c r="H4245" s="197">
        <v>21.43</v>
      </c>
      <c r="I4245" s="7" t="s">
        <v>16815</v>
      </c>
      <c r="J4245" s="7" t="s">
        <v>16582</v>
      </c>
      <c r="K4245" s="7" t="s">
        <v>16930</v>
      </c>
      <c r="L4245" s="198" t="s">
        <v>65</v>
      </c>
      <c r="M4245" s="194"/>
      <c r="N4245" s="194"/>
    </row>
    <row r="4246">
      <c r="A4246" s="193" t="s">
        <v>22299</v>
      </c>
      <c r="B4246" s="7" t="s">
        <v>16930</v>
      </c>
      <c r="C4246" s="7" t="s">
        <v>16582</v>
      </c>
      <c r="D4246" s="194">
        <v>2013.0</v>
      </c>
      <c r="E4246" s="193"/>
      <c r="F4246" s="195" t="s">
        <v>22300</v>
      </c>
      <c r="G4246" s="200">
        <v>8.23721497E8</v>
      </c>
      <c r="H4246" s="197">
        <v>21.43</v>
      </c>
      <c r="I4246" s="7" t="s">
        <v>16815</v>
      </c>
      <c r="J4246" s="7" t="s">
        <v>16930</v>
      </c>
      <c r="K4246" s="7" t="s">
        <v>16582</v>
      </c>
      <c r="L4246" s="201" t="s">
        <v>16835</v>
      </c>
      <c r="M4246" s="194"/>
      <c r="N4246" s="194"/>
    </row>
    <row r="4247">
      <c r="A4247" s="193" t="s">
        <v>22301</v>
      </c>
      <c r="B4247" s="7" t="s">
        <v>169</v>
      </c>
      <c r="C4247" s="7" t="s">
        <v>17509</v>
      </c>
      <c r="D4247" s="199"/>
      <c r="E4247" s="193"/>
      <c r="F4247" s="195" t="s">
        <v>22302</v>
      </c>
      <c r="G4247" s="196">
        <v>8.23534359E8</v>
      </c>
      <c r="H4247" s="197">
        <v>38.55</v>
      </c>
      <c r="I4247" s="7" t="s">
        <v>16815</v>
      </c>
      <c r="J4247" s="7" t="s">
        <v>169</v>
      </c>
      <c r="K4247" s="7" t="s">
        <v>17509</v>
      </c>
      <c r="L4247" s="198" t="s">
        <v>65</v>
      </c>
      <c r="M4247" s="199"/>
      <c r="N4247" s="199"/>
    </row>
    <row r="4248">
      <c r="A4248" s="193" t="s">
        <v>22301</v>
      </c>
      <c r="B4248" s="7" t="s">
        <v>17509</v>
      </c>
      <c r="C4248" s="7" t="s">
        <v>169</v>
      </c>
      <c r="D4248" s="199"/>
      <c r="E4248" s="193"/>
      <c r="F4248" s="195" t="s">
        <v>22302</v>
      </c>
      <c r="G4248" s="200">
        <v>8.23534359E8</v>
      </c>
      <c r="H4248" s="197">
        <v>38.55</v>
      </c>
      <c r="I4248" s="7" t="s">
        <v>16815</v>
      </c>
      <c r="J4248" s="7" t="s">
        <v>17509</v>
      </c>
      <c r="K4248" s="7" t="s">
        <v>169</v>
      </c>
      <c r="L4248" s="201" t="s">
        <v>16835</v>
      </c>
      <c r="M4248" s="199"/>
      <c r="N4248" s="199"/>
    </row>
    <row r="4249">
      <c r="A4249" s="193" t="s">
        <v>22303</v>
      </c>
      <c r="B4249" s="7" t="s">
        <v>16582</v>
      </c>
      <c r="C4249" s="7" t="s">
        <v>16930</v>
      </c>
      <c r="D4249" s="194">
        <v>2021.0</v>
      </c>
      <c r="E4249" s="193"/>
      <c r="F4249" s="195" t="s">
        <v>22304</v>
      </c>
      <c r="G4249" s="196">
        <v>8.22913304E8</v>
      </c>
      <c r="H4249" s="197">
        <v>10.81</v>
      </c>
      <c r="I4249" s="7" t="s">
        <v>16815</v>
      </c>
      <c r="J4249" s="7" t="s">
        <v>16582</v>
      </c>
      <c r="K4249" s="7" t="s">
        <v>16930</v>
      </c>
      <c r="L4249" s="198" t="s">
        <v>65</v>
      </c>
      <c r="M4249" s="194"/>
      <c r="N4249" s="194"/>
    </row>
    <row r="4250">
      <c r="A4250" s="193" t="s">
        <v>22305</v>
      </c>
      <c r="B4250" s="7" t="s">
        <v>169</v>
      </c>
      <c r="C4250" s="7" t="s">
        <v>17738</v>
      </c>
      <c r="D4250" s="194">
        <v>2011.0</v>
      </c>
      <c r="E4250" s="193"/>
      <c r="F4250" s="195" t="s">
        <v>22306</v>
      </c>
      <c r="G4250" s="196">
        <v>8.22317759E8</v>
      </c>
      <c r="H4250" s="197">
        <v>77.8</v>
      </c>
      <c r="I4250" s="7" t="s">
        <v>16815</v>
      </c>
      <c r="J4250" s="7" t="s">
        <v>169</v>
      </c>
      <c r="K4250" s="7" t="s">
        <v>17738</v>
      </c>
      <c r="L4250" s="198" t="s">
        <v>65</v>
      </c>
      <c r="M4250" s="194"/>
      <c r="N4250" s="194"/>
    </row>
    <row r="4251">
      <c r="A4251" s="193" t="s">
        <v>22305</v>
      </c>
      <c r="B4251" s="7" t="s">
        <v>17738</v>
      </c>
      <c r="C4251" s="7" t="s">
        <v>169</v>
      </c>
      <c r="D4251" s="194">
        <v>2011.0</v>
      </c>
      <c r="E4251" s="193"/>
      <c r="F4251" s="195" t="s">
        <v>22306</v>
      </c>
      <c r="G4251" s="200">
        <v>8.22317759E8</v>
      </c>
      <c r="H4251" s="197">
        <v>77.8</v>
      </c>
      <c r="I4251" s="7" t="s">
        <v>16815</v>
      </c>
      <c r="J4251" s="7" t="s">
        <v>17738</v>
      </c>
      <c r="K4251" s="7" t="s">
        <v>169</v>
      </c>
      <c r="L4251" s="201" t="s">
        <v>16835</v>
      </c>
      <c r="M4251" s="194"/>
      <c r="N4251" s="194"/>
    </row>
    <row r="4252">
      <c r="A4252" s="193" t="s">
        <v>22307</v>
      </c>
      <c r="B4252" s="7" t="s">
        <v>16838</v>
      </c>
      <c r="C4252" s="7" t="s">
        <v>16867</v>
      </c>
      <c r="D4252" s="199"/>
      <c r="E4252" s="193"/>
      <c r="F4252" s="195" t="s">
        <v>22308</v>
      </c>
      <c r="G4252" s="196">
        <v>8.21727378E8</v>
      </c>
      <c r="H4252" s="197">
        <v>49.11</v>
      </c>
      <c r="I4252" s="7" t="s">
        <v>16815</v>
      </c>
      <c r="J4252" s="7" t="s">
        <v>16838</v>
      </c>
      <c r="K4252" s="7" t="s">
        <v>16867</v>
      </c>
      <c r="L4252" s="198" t="s">
        <v>65</v>
      </c>
      <c r="M4252" s="199"/>
      <c r="N4252" s="199"/>
    </row>
    <row r="4253">
      <c r="A4253" s="193" t="s">
        <v>22309</v>
      </c>
      <c r="B4253" s="7" t="s">
        <v>17111</v>
      </c>
      <c r="C4253" s="7" t="s">
        <v>17112</v>
      </c>
      <c r="D4253" s="194">
        <v>2018.0</v>
      </c>
      <c r="E4253" s="193"/>
      <c r="F4253" s="195" t="s">
        <v>22310</v>
      </c>
      <c r="G4253" s="200">
        <v>8.21505876E8</v>
      </c>
      <c r="H4253" s="197">
        <v>6.32</v>
      </c>
      <c r="I4253" s="7" t="s">
        <v>16815</v>
      </c>
      <c r="J4253" s="7" t="s">
        <v>17111</v>
      </c>
      <c r="K4253" s="7" t="s">
        <v>17112</v>
      </c>
      <c r="L4253" s="201" t="s">
        <v>16835</v>
      </c>
      <c r="M4253" s="194"/>
      <c r="N4253" s="194"/>
    </row>
    <row r="4254">
      <c r="A4254" s="193" t="s">
        <v>22309</v>
      </c>
      <c r="B4254" s="7" t="s">
        <v>17112</v>
      </c>
      <c r="C4254" s="7" t="s">
        <v>17111</v>
      </c>
      <c r="D4254" s="194">
        <v>2018.0</v>
      </c>
      <c r="E4254" s="193"/>
      <c r="F4254" s="195" t="s">
        <v>22310</v>
      </c>
      <c r="G4254" s="196">
        <v>8.21505876E8</v>
      </c>
      <c r="H4254" s="197">
        <v>6.32</v>
      </c>
      <c r="I4254" s="7" t="s">
        <v>16815</v>
      </c>
      <c r="J4254" s="7" t="s">
        <v>17112</v>
      </c>
      <c r="K4254" s="7" t="s">
        <v>17111</v>
      </c>
      <c r="L4254" s="198" t="s">
        <v>65</v>
      </c>
      <c r="M4254" s="194"/>
      <c r="N4254" s="194"/>
    </row>
    <row r="4255">
      <c r="A4255" s="193" t="s">
        <v>22311</v>
      </c>
      <c r="B4255" s="7" t="s">
        <v>17256</v>
      </c>
      <c r="C4255" s="7" t="s">
        <v>187</v>
      </c>
      <c r="D4255" s="194">
        <v>1996.0</v>
      </c>
      <c r="E4255" s="193"/>
      <c r="F4255" s="195" t="s">
        <v>22312</v>
      </c>
      <c r="G4255" s="200">
        <v>8.16241107E8</v>
      </c>
      <c r="H4255" s="197">
        <v>16.52</v>
      </c>
      <c r="I4255" s="7" t="s">
        <v>16815</v>
      </c>
      <c r="J4255" s="7" t="s">
        <v>17256</v>
      </c>
      <c r="K4255" s="7" t="s">
        <v>187</v>
      </c>
      <c r="L4255" s="201" t="s">
        <v>16835</v>
      </c>
      <c r="M4255" s="194"/>
      <c r="N4255" s="194"/>
    </row>
    <row r="4256">
      <c r="A4256" s="193" t="s">
        <v>22311</v>
      </c>
      <c r="B4256" s="7" t="s">
        <v>187</v>
      </c>
      <c r="C4256" s="7" t="s">
        <v>17256</v>
      </c>
      <c r="D4256" s="194">
        <v>1996.0</v>
      </c>
      <c r="E4256" s="193"/>
      <c r="F4256" s="195" t="s">
        <v>22312</v>
      </c>
      <c r="G4256" s="196">
        <v>8.16241107E8</v>
      </c>
      <c r="H4256" s="197">
        <v>16.52</v>
      </c>
      <c r="I4256" s="7" t="s">
        <v>16815</v>
      </c>
      <c r="J4256" s="7" t="s">
        <v>187</v>
      </c>
      <c r="K4256" s="7" t="s">
        <v>17256</v>
      </c>
      <c r="L4256" s="198" t="s">
        <v>65</v>
      </c>
      <c r="M4256" s="194"/>
      <c r="N4256" s="194"/>
    </row>
    <row r="4257">
      <c r="A4257" s="193" t="s">
        <v>22313</v>
      </c>
      <c r="B4257" s="7" t="s">
        <v>175</v>
      </c>
      <c r="C4257" s="7" t="s">
        <v>16942</v>
      </c>
      <c r="D4257" s="194">
        <v>2021.0</v>
      </c>
      <c r="E4257" s="193"/>
      <c r="F4257" s="195" t="s">
        <v>22314</v>
      </c>
      <c r="G4257" s="196">
        <v>8.15555836E8</v>
      </c>
      <c r="H4257" s="197">
        <v>14.71</v>
      </c>
      <c r="I4257" s="7" t="s">
        <v>168</v>
      </c>
      <c r="J4257" s="7" t="s">
        <v>175</v>
      </c>
      <c r="K4257" s="7" t="s">
        <v>16942</v>
      </c>
      <c r="L4257" s="198" t="s">
        <v>65</v>
      </c>
      <c r="M4257" s="194"/>
      <c r="N4257" s="194"/>
    </row>
    <row r="4258">
      <c r="A4258" s="193" t="s">
        <v>22315</v>
      </c>
      <c r="B4258" s="7" t="s">
        <v>16838</v>
      </c>
      <c r="C4258" s="7" t="s">
        <v>16867</v>
      </c>
      <c r="D4258" s="199"/>
      <c r="E4258" s="193"/>
      <c r="F4258" s="195" t="s">
        <v>22316</v>
      </c>
      <c r="G4258" s="196">
        <v>8.14907003E8</v>
      </c>
      <c r="H4258" s="197">
        <v>16.97</v>
      </c>
      <c r="I4258" s="7" t="s">
        <v>16815</v>
      </c>
      <c r="J4258" s="7" t="s">
        <v>16838</v>
      </c>
      <c r="K4258" s="7" t="s">
        <v>16867</v>
      </c>
      <c r="L4258" s="198" t="s">
        <v>65</v>
      </c>
      <c r="M4258" s="199"/>
      <c r="N4258" s="199"/>
    </row>
    <row r="4259">
      <c r="A4259" s="193" t="s">
        <v>22317</v>
      </c>
      <c r="B4259" s="7" t="s">
        <v>187</v>
      </c>
      <c r="C4259" s="7" t="s">
        <v>16846</v>
      </c>
      <c r="D4259" s="199"/>
      <c r="E4259" s="193"/>
      <c r="F4259" s="195" t="s">
        <v>22318</v>
      </c>
      <c r="G4259" s="196">
        <v>8.14782202E8</v>
      </c>
      <c r="H4259" s="197">
        <v>9.99</v>
      </c>
      <c r="I4259" s="7" t="s">
        <v>16815</v>
      </c>
      <c r="J4259" s="7" t="s">
        <v>187</v>
      </c>
      <c r="K4259" s="7" t="s">
        <v>16846</v>
      </c>
      <c r="L4259" s="198" t="s">
        <v>65</v>
      </c>
      <c r="M4259" s="199"/>
      <c r="N4259" s="199"/>
    </row>
    <row r="4260">
      <c r="A4260" s="193" t="s">
        <v>22319</v>
      </c>
      <c r="B4260" s="7" t="s">
        <v>175</v>
      </c>
      <c r="C4260" s="7" t="s">
        <v>17168</v>
      </c>
      <c r="D4260" s="194">
        <v>2022.0</v>
      </c>
      <c r="E4260" s="193"/>
      <c r="F4260" s="195" t="s">
        <v>22320</v>
      </c>
      <c r="G4260" s="196">
        <v>8.14688042E8</v>
      </c>
      <c r="H4260" s="197">
        <v>18.64</v>
      </c>
      <c r="I4260" s="7" t="s">
        <v>174</v>
      </c>
      <c r="J4260" s="7" t="s">
        <v>175</v>
      </c>
      <c r="K4260" s="7" t="s">
        <v>17168</v>
      </c>
      <c r="L4260" s="198" t="s">
        <v>65</v>
      </c>
      <c r="M4260" s="194"/>
      <c r="N4260" s="194"/>
    </row>
    <row r="4261">
      <c r="A4261" s="193" t="s">
        <v>22321</v>
      </c>
      <c r="B4261" s="7" t="s">
        <v>17019</v>
      </c>
      <c r="C4261" s="7" t="s">
        <v>16838</v>
      </c>
      <c r="D4261" s="194">
        <v>2005.0</v>
      </c>
      <c r="E4261" s="193"/>
      <c r="F4261" s="195" t="s">
        <v>22322</v>
      </c>
      <c r="G4261" s="200">
        <v>8.1431155E8</v>
      </c>
      <c r="H4261" s="197">
        <v>7.43</v>
      </c>
      <c r="I4261" s="7" t="s">
        <v>16815</v>
      </c>
      <c r="J4261" s="7" t="s">
        <v>17019</v>
      </c>
      <c r="K4261" s="7" t="s">
        <v>16838</v>
      </c>
      <c r="L4261" s="201" t="s">
        <v>16835</v>
      </c>
      <c r="M4261" s="194"/>
      <c r="N4261" s="194"/>
    </row>
    <row r="4262">
      <c r="A4262" s="193" t="s">
        <v>22321</v>
      </c>
      <c r="B4262" s="7" t="s">
        <v>16838</v>
      </c>
      <c r="C4262" s="7" t="s">
        <v>17019</v>
      </c>
      <c r="D4262" s="194">
        <v>2005.0</v>
      </c>
      <c r="E4262" s="193"/>
      <c r="F4262" s="195" t="s">
        <v>22322</v>
      </c>
      <c r="G4262" s="196">
        <v>8.1431155E8</v>
      </c>
      <c r="H4262" s="197">
        <v>7.43</v>
      </c>
      <c r="I4262" s="7" t="s">
        <v>16815</v>
      </c>
      <c r="J4262" s="7" t="s">
        <v>16838</v>
      </c>
      <c r="K4262" s="7" t="s">
        <v>17019</v>
      </c>
      <c r="L4262" s="198" t="s">
        <v>65</v>
      </c>
      <c r="M4262" s="194"/>
      <c r="N4262" s="194"/>
    </row>
    <row r="4263">
      <c r="A4263" s="193" t="s">
        <v>22323</v>
      </c>
      <c r="B4263" s="7" t="s">
        <v>158</v>
      </c>
      <c r="C4263" s="7" t="s">
        <v>16864</v>
      </c>
      <c r="D4263" s="199"/>
      <c r="E4263" s="193"/>
      <c r="F4263" s="195" t="s">
        <v>22324</v>
      </c>
      <c r="G4263" s="196">
        <v>8.11204559E8</v>
      </c>
      <c r="H4263" s="197">
        <v>31.9</v>
      </c>
      <c r="I4263" s="7" t="s">
        <v>180</v>
      </c>
      <c r="J4263" s="7" t="s">
        <v>158</v>
      </c>
      <c r="K4263" s="7" t="s">
        <v>16864</v>
      </c>
      <c r="L4263" s="198" t="s">
        <v>65</v>
      </c>
      <c r="M4263" s="199"/>
      <c r="N4263" s="199"/>
    </row>
    <row r="4264">
      <c r="A4264" s="193" t="s">
        <v>22323</v>
      </c>
      <c r="B4264" s="7" t="s">
        <v>16864</v>
      </c>
      <c r="C4264" s="7" t="s">
        <v>158</v>
      </c>
      <c r="D4264" s="199"/>
      <c r="E4264" s="193"/>
      <c r="F4264" s="195" t="s">
        <v>22324</v>
      </c>
      <c r="G4264" s="200">
        <v>8.11204559E8</v>
      </c>
      <c r="H4264" s="197">
        <v>31.9</v>
      </c>
      <c r="I4264" s="7" t="s">
        <v>16815</v>
      </c>
      <c r="J4264" s="7" t="s">
        <v>16864</v>
      </c>
      <c r="K4264" s="7" t="s">
        <v>158</v>
      </c>
      <c r="L4264" s="201" t="s">
        <v>16835</v>
      </c>
      <c r="M4264" s="199"/>
      <c r="N4264" s="199"/>
    </row>
    <row r="4265">
      <c r="A4265" s="193" t="s">
        <v>22325</v>
      </c>
      <c r="B4265" s="7" t="s">
        <v>158</v>
      </c>
      <c r="C4265" s="7" t="s">
        <v>16864</v>
      </c>
      <c r="D4265" s="199"/>
      <c r="E4265" s="193"/>
      <c r="F4265" s="195" t="s">
        <v>22326</v>
      </c>
      <c r="G4265" s="196">
        <v>8.10060874E8</v>
      </c>
      <c r="H4265" s="197">
        <v>17.38</v>
      </c>
      <c r="I4265" s="7" t="s">
        <v>17098</v>
      </c>
      <c r="J4265" s="7" t="s">
        <v>158</v>
      </c>
      <c r="K4265" s="7" t="s">
        <v>16864</v>
      </c>
      <c r="L4265" s="198" t="s">
        <v>65</v>
      </c>
      <c r="M4265" s="199"/>
      <c r="N4265" s="199"/>
    </row>
    <row r="4266">
      <c r="A4266" s="193" t="s">
        <v>22325</v>
      </c>
      <c r="B4266" s="7" t="s">
        <v>16864</v>
      </c>
      <c r="C4266" s="7" t="s">
        <v>158</v>
      </c>
      <c r="D4266" s="199"/>
      <c r="E4266" s="193"/>
      <c r="F4266" s="195" t="s">
        <v>22326</v>
      </c>
      <c r="G4266" s="200">
        <v>8.10060874E8</v>
      </c>
      <c r="H4266" s="197">
        <v>17.38</v>
      </c>
      <c r="I4266" s="7" t="s">
        <v>16815</v>
      </c>
      <c r="J4266" s="7" t="s">
        <v>16864</v>
      </c>
      <c r="K4266" s="7" t="s">
        <v>158</v>
      </c>
      <c r="L4266" s="201" t="s">
        <v>16835</v>
      </c>
      <c r="M4266" s="199"/>
      <c r="N4266" s="199"/>
    </row>
    <row r="4267">
      <c r="A4267" s="193" t="s">
        <v>22327</v>
      </c>
      <c r="B4267" s="7" t="s">
        <v>158</v>
      </c>
      <c r="C4267" s="7" t="s">
        <v>16864</v>
      </c>
      <c r="D4267" s="199"/>
      <c r="E4267" s="193"/>
      <c r="F4267" s="195" t="s">
        <v>22328</v>
      </c>
      <c r="G4267" s="196">
        <v>8.0948043E8</v>
      </c>
      <c r="H4267" s="197">
        <v>59.49</v>
      </c>
      <c r="I4267" s="7" t="s">
        <v>17098</v>
      </c>
      <c r="J4267" s="7" t="s">
        <v>158</v>
      </c>
      <c r="K4267" s="7" t="s">
        <v>16864</v>
      </c>
      <c r="L4267" s="198" t="s">
        <v>65</v>
      </c>
      <c r="M4267" s="199"/>
      <c r="N4267" s="199"/>
    </row>
    <row r="4268">
      <c r="A4268" s="193" t="s">
        <v>22327</v>
      </c>
      <c r="B4268" s="7" t="s">
        <v>16864</v>
      </c>
      <c r="C4268" s="7" t="s">
        <v>158</v>
      </c>
      <c r="D4268" s="199"/>
      <c r="E4268" s="193"/>
      <c r="F4268" s="195" t="s">
        <v>22328</v>
      </c>
      <c r="G4268" s="200">
        <v>8.0948043E8</v>
      </c>
      <c r="H4268" s="197">
        <v>59.49</v>
      </c>
      <c r="I4268" s="7" t="s">
        <v>16815</v>
      </c>
      <c r="J4268" s="7" t="s">
        <v>16864</v>
      </c>
      <c r="K4268" s="7" t="s">
        <v>158</v>
      </c>
      <c r="L4268" s="201" t="s">
        <v>16835</v>
      </c>
      <c r="M4268" s="199"/>
      <c r="N4268" s="199"/>
    </row>
    <row r="4269">
      <c r="A4269" s="193" t="s">
        <v>22329</v>
      </c>
      <c r="B4269" s="7" t="s">
        <v>16885</v>
      </c>
      <c r="C4269" s="7" t="s">
        <v>17726</v>
      </c>
      <c r="D4269" s="199"/>
      <c r="E4269" s="193"/>
      <c r="F4269" s="195" t="s">
        <v>22330</v>
      </c>
      <c r="G4269" s="196">
        <v>8.07306418E8</v>
      </c>
      <c r="H4269" s="197">
        <v>2.11</v>
      </c>
      <c r="I4269" s="7" t="s">
        <v>16888</v>
      </c>
      <c r="J4269" s="7" t="s">
        <v>16885</v>
      </c>
      <c r="K4269" s="7" t="s">
        <v>17726</v>
      </c>
      <c r="L4269" s="198" t="s">
        <v>65</v>
      </c>
      <c r="M4269" s="199"/>
      <c r="N4269" s="199"/>
    </row>
    <row r="4270">
      <c r="A4270" s="193" t="s">
        <v>22329</v>
      </c>
      <c r="B4270" s="7" t="s">
        <v>17726</v>
      </c>
      <c r="C4270" s="7" t="s">
        <v>16885</v>
      </c>
      <c r="D4270" s="199"/>
      <c r="E4270" s="193"/>
      <c r="F4270" s="195" t="s">
        <v>22330</v>
      </c>
      <c r="G4270" s="200">
        <v>8.07306418E8</v>
      </c>
      <c r="H4270" s="197">
        <v>2.11</v>
      </c>
      <c r="I4270" s="7" t="s">
        <v>16815</v>
      </c>
      <c r="J4270" s="7" t="s">
        <v>17726</v>
      </c>
      <c r="K4270" s="7" t="s">
        <v>16885</v>
      </c>
      <c r="L4270" s="201" t="s">
        <v>16835</v>
      </c>
      <c r="M4270" s="199"/>
      <c r="N4270" s="199"/>
    </row>
    <row r="4271">
      <c r="A4271" s="193" t="s">
        <v>22331</v>
      </c>
      <c r="B4271" s="7" t="s">
        <v>16838</v>
      </c>
      <c r="C4271" s="7" t="s">
        <v>18219</v>
      </c>
      <c r="D4271" s="194">
        <v>2022.0</v>
      </c>
      <c r="E4271" s="193"/>
      <c r="F4271" s="195" t="s">
        <v>22332</v>
      </c>
      <c r="G4271" s="196">
        <v>8.06355034E8</v>
      </c>
      <c r="H4271" s="197">
        <v>5.98</v>
      </c>
      <c r="I4271" s="7" t="s">
        <v>16815</v>
      </c>
      <c r="J4271" s="7" t="s">
        <v>16838</v>
      </c>
      <c r="K4271" s="7" t="s">
        <v>18219</v>
      </c>
      <c r="L4271" s="198" t="s">
        <v>65</v>
      </c>
      <c r="M4271" s="194"/>
      <c r="N4271" s="194"/>
    </row>
    <row r="4272">
      <c r="A4272" s="193" t="s">
        <v>22331</v>
      </c>
      <c r="B4272" s="7" t="s">
        <v>18219</v>
      </c>
      <c r="C4272" s="7" t="s">
        <v>16838</v>
      </c>
      <c r="D4272" s="194">
        <v>2022.0</v>
      </c>
      <c r="E4272" s="193"/>
      <c r="F4272" s="195" t="s">
        <v>22332</v>
      </c>
      <c r="G4272" s="200">
        <v>8.06355034E8</v>
      </c>
      <c r="H4272" s="197">
        <v>5.98</v>
      </c>
      <c r="I4272" s="7" t="s">
        <v>16815</v>
      </c>
      <c r="J4272" s="7" t="s">
        <v>18219</v>
      </c>
      <c r="K4272" s="7" t="s">
        <v>16838</v>
      </c>
      <c r="L4272" s="201" t="s">
        <v>16835</v>
      </c>
      <c r="M4272" s="194"/>
      <c r="N4272" s="194"/>
    </row>
    <row r="4273">
      <c r="A4273" s="193" t="s">
        <v>22333</v>
      </c>
      <c r="B4273" s="7" t="s">
        <v>187</v>
      </c>
      <c r="C4273" s="7" t="s">
        <v>16992</v>
      </c>
      <c r="D4273" s="194">
        <v>2020.0</v>
      </c>
      <c r="E4273" s="193"/>
      <c r="F4273" s="195" t="s">
        <v>22334</v>
      </c>
      <c r="G4273" s="196">
        <v>8.05676656E8</v>
      </c>
      <c r="H4273" s="197">
        <v>14.52</v>
      </c>
      <c r="I4273" s="7" t="s">
        <v>16815</v>
      </c>
      <c r="J4273" s="7" t="s">
        <v>187</v>
      </c>
      <c r="K4273" s="7" t="s">
        <v>16992</v>
      </c>
      <c r="L4273" s="198" t="s">
        <v>65</v>
      </c>
      <c r="M4273" s="194"/>
      <c r="N4273" s="194"/>
    </row>
    <row r="4274">
      <c r="A4274" s="193" t="s">
        <v>22335</v>
      </c>
      <c r="B4274" s="7" t="s">
        <v>16838</v>
      </c>
      <c r="C4274" s="7" t="s">
        <v>18679</v>
      </c>
      <c r="D4274" s="194">
        <v>2010.0</v>
      </c>
      <c r="E4274" s="193"/>
      <c r="F4274" s="195" t="s">
        <v>22336</v>
      </c>
      <c r="G4274" s="196">
        <v>8.05226398E8</v>
      </c>
      <c r="H4274" s="197">
        <v>14.76</v>
      </c>
      <c r="I4274" s="7" t="s">
        <v>16815</v>
      </c>
      <c r="J4274" s="7" t="s">
        <v>16838</v>
      </c>
      <c r="K4274" s="7" t="s">
        <v>18679</v>
      </c>
      <c r="L4274" s="198" t="s">
        <v>65</v>
      </c>
      <c r="M4274" s="194"/>
      <c r="N4274" s="194"/>
    </row>
    <row r="4275">
      <c r="A4275" s="193" t="s">
        <v>22337</v>
      </c>
      <c r="B4275" s="7" t="s">
        <v>16582</v>
      </c>
      <c r="C4275" s="7" t="s">
        <v>16828</v>
      </c>
      <c r="D4275" s="194">
        <v>2017.0</v>
      </c>
      <c r="E4275" s="193"/>
      <c r="F4275" s="195" t="s">
        <v>22338</v>
      </c>
      <c r="G4275" s="196">
        <v>8.04222057E8</v>
      </c>
      <c r="H4275" s="197">
        <v>15.49</v>
      </c>
      <c r="I4275" s="7" t="s">
        <v>16815</v>
      </c>
      <c r="J4275" s="7" t="s">
        <v>16582</v>
      </c>
      <c r="K4275" s="7" t="s">
        <v>16828</v>
      </c>
      <c r="L4275" s="198" t="s">
        <v>65</v>
      </c>
      <c r="M4275" s="194"/>
      <c r="N4275" s="194"/>
    </row>
    <row r="4276">
      <c r="A4276" s="193" t="s">
        <v>22339</v>
      </c>
      <c r="B4276" s="7" t="s">
        <v>16582</v>
      </c>
      <c r="C4276" s="7" t="s">
        <v>16583</v>
      </c>
      <c r="D4276" s="194">
        <v>2018.0</v>
      </c>
      <c r="E4276" s="193"/>
      <c r="F4276" s="195" t="s">
        <v>22340</v>
      </c>
      <c r="G4276" s="196">
        <v>8.03289803E8</v>
      </c>
      <c r="H4276" s="197">
        <v>3.35</v>
      </c>
      <c r="I4276" s="7" t="s">
        <v>16815</v>
      </c>
      <c r="J4276" s="7" t="s">
        <v>16582</v>
      </c>
      <c r="K4276" s="7" t="s">
        <v>16583</v>
      </c>
      <c r="L4276" s="198" t="s">
        <v>65</v>
      </c>
      <c r="M4276" s="194"/>
      <c r="N4276" s="194"/>
    </row>
    <row r="4277">
      <c r="A4277" s="193" t="s">
        <v>22339</v>
      </c>
      <c r="B4277" s="7" t="s">
        <v>16583</v>
      </c>
      <c r="C4277" s="7" t="s">
        <v>16582</v>
      </c>
      <c r="D4277" s="194">
        <v>2018.0</v>
      </c>
      <c r="E4277" s="193"/>
      <c r="F4277" s="195" t="s">
        <v>22341</v>
      </c>
      <c r="G4277" s="200">
        <v>8.03289803E8</v>
      </c>
      <c r="H4277" s="197">
        <v>3.35</v>
      </c>
      <c r="I4277" s="7" t="s">
        <v>16815</v>
      </c>
      <c r="J4277" s="7" t="s">
        <v>16583</v>
      </c>
      <c r="K4277" s="7" t="s">
        <v>16582</v>
      </c>
      <c r="L4277" s="201" t="s">
        <v>16835</v>
      </c>
      <c r="M4277" s="194"/>
      <c r="N4277" s="194"/>
    </row>
    <row r="4278">
      <c r="A4278" s="193" t="s">
        <v>22342</v>
      </c>
      <c r="B4278" s="7" t="s">
        <v>169</v>
      </c>
      <c r="C4278" s="7" t="s">
        <v>17805</v>
      </c>
      <c r="D4278" s="194">
        <v>1971.0</v>
      </c>
      <c r="E4278" s="193"/>
      <c r="F4278" s="195" t="s">
        <v>22343</v>
      </c>
      <c r="G4278" s="196">
        <v>8.03107979E8</v>
      </c>
      <c r="H4278" s="197">
        <v>30.66</v>
      </c>
      <c r="I4278" s="7" t="s">
        <v>16815</v>
      </c>
      <c r="J4278" s="7" t="s">
        <v>169</v>
      </c>
      <c r="K4278" s="7" t="s">
        <v>17805</v>
      </c>
      <c r="L4278" s="198" t="s">
        <v>65</v>
      </c>
      <c r="M4278" s="194"/>
      <c r="N4278" s="194"/>
    </row>
    <row r="4279">
      <c r="A4279" s="193" t="s">
        <v>22342</v>
      </c>
      <c r="B4279" s="7" t="s">
        <v>17805</v>
      </c>
      <c r="C4279" s="7" t="s">
        <v>169</v>
      </c>
      <c r="D4279" s="194">
        <v>1971.0</v>
      </c>
      <c r="E4279" s="193"/>
      <c r="F4279" s="195" t="s">
        <v>22343</v>
      </c>
      <c r="G4279" s="200">
        <v>8.03107979E8</v>
      </c>
      <c r="H4279" s="197">
        <v>30.66</v>
      </c>
      <c r="I4279" s="7" t="s">
        <v>16815</v>
      </c>
      <c r="J4279" s="7" t="s">
        <v>17805</v>
      </c>
      <c r="K4279" s="7" t="s">
        <v>169</v>
      </c>
      <c r="L4279" s="201" t="s">
        <v>16835</v>
      </c>
      <c r="M4279" s="194"/>
      <c r="N4279" s="194"/>
    </row>
    <row r="4280">
      <c r="A4280" s="193" t="s">
        <v>22344</v>
      </c>
      <c r="B4280" s="7" t="s">
        <v>175</v>
      </c>
      <c r="C4280" s="7" t="s">
        <v>17031</v>
      </c>
      <c r="D4280" s="194">
        <v>2021.0</v>
      </c>
      <c r="E4280" s="193"/>
      <c r="F4280" s="195" t="s">
        <v>22345</v>
      </c>
      <c r="G4280" s="196">
        <v>8.02461307E8</v>
      </c>
      <c r="H4280" s="197">
        <v>3.63</v>
      </c>
      <c r="I4280" s="7" t="s">
        <v>17029</v>
      </c>
      <c r="J4280" s="7" t="s">
        <v>175</v>
      </c>
      <c r="K4280" s="7" t="s">
        <v>17031</v>
      </c>
      <c r="L4280" s="198" t="s">
        <v>65</v>
      </c>
      <c r="M4280" s="194"/>
      <c r="N4280" s="194"/>
    </row>
    <row r="4281">
      <c r="A4281" s="193" t="s">
        <v>22346</v>
      </c>
      <c r="B4281" s="7" t="s">
        <v>169</v>
      </c>
      <c r="C4281" s="7" t="s">
        <v>16899</v>
      </c>
      <c r="D4281" s="194">
        <v>2015.0</v>
      </c>
      <c r="E4281" s="193"/>
      <c r="F4281" s="195" t="s">
        <v>22347</v>
      </c>
      <c r="G4281" s="196">
        <v>8.02E8</v>
      </c>
      <c r="H4281" s="197">
        <v>16.04</v>
      </c>
      <c r="I4281" s="7" t="s">
        <v>16815</v>
      </c>
      <c r="J4281" s="7" t="s">
        <v>169</v>
      </c>
      <c r="K4281" s="7" t="s">
        <v>16899</v>
      </c>
      <c r="L4281" s="198" t="s">
        <v>65</v>
      </c>
      <c r="M4281" s="194"/>
      <c r="N4281" s="194"/>
    </row>
    <row r="4282">
      <c r="A4282" s="193" t="s">
        <v>22348</v>
      </c>
      <c r="B4282" s="7" t="s">
        <v>16926</v>
      </c>
      <c r="C4282" s="7" t="s">
        <v>16957</v>
      </c>
      <c r="D4282" s="194">
        <v>2007.0</v>
      </c>
      <c r="E4282" s="193"/>
      <c r="F4282" s="195" t="s">
        <v>22349</v>
      </c>
      <c r="G4282" s="196">
        <v>8.01853622E8</v>
      </c>
      <c r="H4282" s="197">
        <v>28.25</v>
      </c>
      <c r="I4282" s="7" t="s">
        <v>16815</v>
      </c>
      <c r="J4282" s="7" t="s">
        <v>16926</v>
      </c>
      <c r="K4282" s="7" t="s">
        <v>16957</v>
      </c>
      <c r="L4282" s="198" t="s">
        <v>65</v>
      </c>
      <c r="M4282" s="194"/>
      <c r="N4282" s="194"/>
    </row>
    <row r="4283">
      <c r="A4283" s="193" t="s">
        <v>22350</v>
      </c>
      <c r="B4283" s="7" t="s">
        <v>16582</v>
      </c>
      <c r="C4283" s="7" t="s">
        <v>16930</v>
      </c>
      <c r="D4283" s="194">
        <v>2017.0</v>
      </c>
      <c r="E4283" s="193"/>
      <c r="F4283" s="195" t="s">
        <v>22351</v>
      </c>
      <c r="G4283" s="196">
        <v>8.01672439E8</v>
      </c>
      <c r="H4283" s="197">
        <v>6.44</v>
      </c>
      <c r="I4283" s="7" t="s">
        <v>16815</v>
      </c>
      <c r="J4283" s="7" t="s">
        <v>16582</v>
      </c>
      <c r="K4283" s="7" t="s">
        <v>16930</v>
      </c>
      <c r="L4283" s="198" t="s">
        <v>65</v>
      </c>
      <c r="M4283" s="194"/>
      <c r="N4283" s="194"/>
    </row>
    <row r="4284">
      <c r="A4284" s="193" t="s">
        <v>22350</v>
      </c>
      <c r="B4284" s="7" t="s">
        <v>16930</v>
      </c>
      <c r="C4284" s="7" t="s">
        <v>16582</v>
      </c>
      <c r="D4284" s="194">
        <v>2017.0</v>
      </c>
      <c r="E4284" s="193"/>
      <c r="F4284" s="195" t="s">
        <v>22351</v>
      </c>
      <c r="G4284" s="200">
        <v>8.01672439E8</v>
      </c>
      <c r="H4284" s="197">
        <v>6.44</v>
      </c>
      <c r="I4284" s="7" t="s">
        <v>16815</v>
      </c>
      <c r="J4284" s="7" t="s">
        <v>16930</v>
      </c>
      <c r="K4284" s="7" t="s">
        <v>16582</v>
      </c>
      <c r="L4284" s="201" t="s">
        <v>16835</v>
      </c>
      <c r="M4284" s="194"/>
      <c r="N4284" s="194"/>
    </row>
    <row r="4285">
      <c r="A4285" s="193" t="s">
        <v>22352</v>
      </c>
      <c r="B4285" s="7" t="s">
        <v>17111</v>
      </c>
      <c r="C4285" s="7" t="s">
        <v>17112</v>
      </c>
      <c r="D4285" s="199"/>
      <c r="E4285" s="193"/>
      <c r="F4285" s="195" t="s">
        <v>22353</v>
      </c>
      <c r="G4285" s="200">
        <v>8.01564482E8</v>
      </c>
      <c r="H4285" s="197">
        <v>16.36</v>
      </c>
      <c r="I4285" s="7" t="s">
        <v>16815</v>
      </c>
      <c r="J4285" s="7" t="s">
        <v>17111</v>
      </c>
      <c r="K4285" s="7" t="s">
        <v>17112</v>
      </c>
      <c r="L4285" s="201" t="s">
        <v>16835</v>
      </c>
      <c r="M4285" s="199"/>
      <c r="N4285" s="199"/>
    </row>
    <row r="4286">
      <c r="A4286" s="193" t="s">
        <v>22352</v>
      </c>
      <c r="B4286" s="7" t="s">
        <v>17112</v>
      </c>
      <c r="C4286" s="7" t="s">
        <v>17111</v>
      </c>
      <c r="D4286" s="199"/>
      <c r="E4286" s="193"/>
      <c r="F4286" s="195" t="s">
        <v>22353</v>
      </c>
      <c r="G4286" s="196">
        <v>8.01564482E8</v>
      </c>
      <c r="H4286" s="197">
        <v>16.36</v>
      </c>
      <c r="I4286" s="7" t="s">
        <v>16815</v>
      </c>
      <c r="J4286" s="7" t="s">
        <v>17112</v>
      </c>
      <c r="K4286" s="7" t="s">
        <v>17111</v>
      </c>
      <c r="L4286" s="198" t="s">
        <v>65</v>
      </c>
      <c r="M4286" s="199"/>
      <c r="N4286" s="199"/>
    </row>
    <row r="4287">
      <c r="A4287" s="193" t="s">
        <v>22354</v>
      </c>
      <c r="B4287" s="7" t="s">
        <v>16582</v>
      </c>
      <c r="C4287" s="7" t="s">
        <v>16995</v>
      </c>
      <c r="D4287" s="194">
        <v>1989.0</v>
      </c>
      <c r="E4287" s="193"/>
      <c r="F4287" s="195" t="s">
        <v>22355</v>
      </c>
      <c r="G4287" s="196">
        <v>8.0067969E8</v>
      </c>
      <c r="H4287" s="197">
        <v>22.26</v>
      </c>
      <c r="I4287" s="7" t="s">
        <v>16815</v>
      </c>
      <c r="J4287" s="7" t="s">
        <v>16582</v>
      </c>
      <c r="K4287" s="7" t="s">
        <v>16995</v>
      </c>
      <c r="L4287" s="198" t="s">
        <v>65</v>
      </c>
      <c r="M4287" s="194"/>
      <c r="N4287" s="194"/>
    </row>
    <row r="4288">
      <c r="A4288" s="193" t="s">
        <v>22356</v>
      </c>
      <c r="B4288" s="7" t="s">
        <v>18098</v>
      </c>
      <c r="C4288" s="7" t="s">
        <v>169</v>
      </c>
      <c r="D4288" s="199"/>
      <c r="E4288" s="193"/>
      <c r="F4288" s="195" t="s">
        <v>22357</v>
      </c>
      <c r="G4288" s="200">
        <v>8.00001865E8</v>
      </c>
      <c r="H4288" s="197">
        <v>45.14</v>
      </c>
      <c r="I4288" s="7" t="s">
        <v>16815</v>
      </c>
      <c r="J4288" s="7" t="s">
        <v>18098</v>
      </c>
      <c r="K4288" s="7" t="s">
        <v>169</v>
      </c>
      <c r="L4288" s="201" t="s">
        <v>16835</v>
      </c>
      <c r="M4288" s="199"/>
      <c r="N4288" s="199"/>
    </row>
    <row r="4289">
      <c r="A4289" s="193" t="s">
        <v>22356</v>
      </c>
      <c r="B4289" s="7" t="s">
        <v>169</v>
      </c>
      <c r="C4289" s="7" t="s">
        <v>18098</v>
      </c>
      <c r="D4289" s="199"/>
      <c r="E4289" s="193"/>
      <c r="F4289" s="195" t="s">
        <v>22357</v>
      </c>
      <c r="G4289" s="196">
        <v>8.00001865E8</v>
      </c>
      <c r="H4289" s="197">
        <v>45.14</v>
      </c>
      <c r="I4289" s="7" t="s">
        <v>16815</v>
      </c>
      <c r="J4289" s="7" t="s">
        <v>169</v>
      </c>
      <c r="K4289" s="7" t="s">
        <v>18098</v>
      </c>
      <c r="L4289" s="198" t="s">
        <v>65</v>
      </c>
      <c r="M4289" s="199"/>
      <c r="N4289" s="199"/>
    </row>
    <row r="4290">
      <c r="A4290" s="193" t="s">
        <v>22358</v>
      </c>
      <c r="B4290" s="7" t="s">
        <v>18679</v>
      </c>
      <c r="C4290" s="7" t="s">
        <v>16838</v>
      </c>
      <c r="D4290" s="199"/>
      <c r="E4290" s="193"/>
      <c r="F4290" s="195" t="s">
        <v>22359</v>
      </c>
      <c r="G4290" s="200">
        <v>7.99599391E8</v>
      </c>
      <c r="H4290" s="197">
        <v>23.99</v>
      </c>
      <c r="I4290" s="7" t="s">
        <v>16815</v>
      </c>
      <c r="J4290" s="7" t="s">
        <v>18679</v>
      </c>
      <c r="K4290" s="7" t="s">
        <v>16838</v>
      </c>
      <c r="L4290" s="201" t="s">
        <v>16835</v>
      </c>
      <c r="M4290" s="199"/>
      <c r="N4290" s="199"/>
    </row>
    <row r="4291">
      <c r="A4291" s="193" t="s">
        <v>22358</v>
      </c>
      <c r="B4291" s="7" t="s">
        <v>16838</v>
      </c>
      <c r="C4291" s="7" t="s">
        <v>18679</v>
      </c>
      <c r="D4291" s="199"/>
      <c r="E4291" s="193"/>
      <c r="F4291" s="195" t="s">
        <v>22359</v>
      </c>
      <c r="G4291" s="196">
        <v>7.99599391E8</v>
      </c>
      <c r="H4291" s="197">
        <v>23.99</v>
      </c>
      <c r="I4291" s="7" t="s">
        <v>16815</v>
      </c>
      <c r="J4291" s="7" t="s">
        <v>16838</v>
      </c>
      <c r="K4291" s="7" t="s">
        <v>18679</v>
      </c>
      <c r="L4291" s="198" t="s">
        <v>65</v>
      </c>
      <c r="M4291" s="199"/>
      <c r="N4291" s="199"/>
    </row>
    <row r="4292">
      <c r="A4292" s="193" t="s">
        <v>22360</v>
      </c>
      <c r="B4292" s="7" t="s">
        <v>17112</v>
      </c>
      <c r="C4292" s="7" t="s">
        <v>17111</v>
      </c>
      <c r="D4292" s="199"/>
      <c r="E4292" s="193"/>
      <c r="F4292" s="195" t="s">
        <v>22361</v>
      </c>
      <c r="G4292" s="196">
        <v>7.9896841E8</v>
      </c>
      <c r="H4292" s="197">
        <v>19.9998</v>
      </c>
      <c r="I4292" s="7" t="s">
        <v>16815</v>
      </c>
      <c r="J4292" s="7" t="s">
        <v>17112</v>
      </c>
      <c r="K4292" s="7" t="s">
        <v>17111</v>
      </c>
      <c r="L4292" s="198" t="s">
        <v>65</v>
      </c>
      <c r="M4292" s="199"/>
      <c r="N4292" s="199"/>
    </row>
    <row r="4293">
      <c r="A4293" s="193" t="s">
        <v>22362</v>
      </c>
      <c r="B4293" s="7" t="s">
        <v>187</v>
      </c>
      <c r="C4293" s="7" t="s">
        <v>16846</v>
      </c>
      <c r="D4293" s="194">
        <v>2015.0</v>
      </c>
      <c r="E4293" s="193"/>
      <c r="F4293" s="195" t="s">
        <v>22363</v>
      </c>
      <c r="G4293" s="196">
        <v>7.98314171E8</v>
      </c>
      <c r="H4293" s="197">
        <v>24.48</v>
      </c>
      <c r="I4293" s="7" t="s">
        <v>16815</v>
      </c>
      <c r="J4293" s="7" t="s">
        <v>187</v>
      </c>
      <c r="K4293" s="7" t="s">
        <v>16846</v>
      </c>
      <c r="L4293" s="198" t="s">
        <v>65</v>
      </c>
      <c r="M4293" s="194"/>
      <c r="N4293" s="194"/>
    </row>
    <row r="4294">
      <c r="A4294" s="193" t="s">
        <v>22364</v>
      </c>
      <c r="B4294" s="7" t="s">
        <v>175</v>
      </c>
      <c r="C4294" s="7" t="s">
        <v>17013</v>
      </c>
      <c r="D4294" s="194">
        <v>2005.0</v>
      </c>
      <c r="E4294" s="193"/>
      <c r="F4294" s="195" t="s">
        <v>22365</v>
      </c>
      <c r="G4294" s="196">
        <v>7.96956303E8</v>
      </c>
      <c r="H4294" s="197">
        <v>28.6</v>
      </c>
      <c r="I4294" s="7" t="s">
        <v>168</v>
      </c>
      <c r="J4294" s="7" t="s">
        <v>175</v>
      </c>
      <c r="K4294" s="7" t="s">
        <v>17013</v>
      </c>
      <c r="L4294" s="198" t="s">
        <v>65</v>
      </c>
      <c r="M4294" s="194"/>
      <c r="N4294" s="194"/>
    </row>
    <row r="4295">
      <c r="A4295" s="193" t="s">
        <v>22366</v>
      </c>
      <c r="B4295" s="7" t="s">
        <v>16838</v>
      </c>
      <c r="C4295" s="7" t="s">
        <v>17016</v>
      </c>
      <c r="D4295" s="199"/>
      <c r="E4295" s="193"/>
      <c r="F4295" s="195" t="s">
        <v>12066</v>
      </c>
      <c r="G4295" s="196">
        <v>7.96209406E8</v>
      </c>
      <c r="H4295" s="197">
        <v>23.49</v>
      </c>
      <c r="I4295" s="7" t="s">
        <v>16815</v>
      </c>
      <c r="J4295" s="7" t="s">
        <v>16838</v>
      </c>
      <c r="K4295" s="7" t="s">
        <v>17016</v>
      </c>
      <c r="L4295" s="198" t="s">
        <v>65</v>
      </c>
      <c r="M4295" s="199"/>
      <c r="N4295" s="199"/>
    </row>
    <row r="4296">
      <c r="A4296" s="193" t="s">
        <v>22367</v>
      </c>
      <c r="B4296" s="7" t="s">
        <v>175</v>
      </c>
      <c r="C4296" s="7" t="s">
        <v>16854</v>
      </c>
      <c r="D4296" s="199"/>
      <c r="E4296" s="193"/>
      <c r="F4296" s="195" t="s">
        <v>22368</v>
      </c>
      <c r="G4296" s="196">
        <v>7.93116007E8</v>
      </c>
      <c r="H4296" s="197">
        <v>0.204</v>
      </c>
      <c r="I4296" s="193" t="s">
        <v>16908</v>
      </c>
      <c r="J4296" s="7" t="s">
        <v>175</v>
      </c>
      <c r="K4296" s="7" t="s">
        <v>16854</v>
      </c>
      <c r="L4296" s="198" t="s">
        <v>65</v>
      </c>
      <c r="M4296" s="199"/>
      <c r="N4296" s="199"/>
    </row>
    <row r="4297">
      <c r="A4297" s="193" t="s">
        <v>22369</v>
      </c>
      <c r="B4297" s="7" t="s">
        <v>17016</v>
      </c>
      <c r="C4297" s="7" t="s">
        <v>16838</v>
      </c>
      <c r="D4297" s="194">
        <v>2022.0</v>
      </c>
      <c r="E4297" s="193"/>
      <c r="F4297" s="195" t="s">
        <v>22370</v>
      </c>
      <c r="G4297" s="200">
        <v>7.92933285E8</v>
      </c>
      <c r="H4297" s="197">
        <v>23.79</v>
      </c>
      <c r="I4297" s="7" t="s">
        <v>16815</v>
      </c>
      <c r="J4297" s="7" t="s">
        <v>17016</v>
      </c>
      <c r="K4297" s="7" t="s">
        <v>16838</v>
      </c>
      <c r="L4297" s="201" t="s">
        <v>16835</v>
      </c>
      <c r="M4297" s="194"/>
      <c r="N4297" s="194"/>
    </row>
    <row r="4298">
      <c r="A4298" s="193" t="s">
        <v>22369</v>
      </c>
      <c r="B4298" s="7" t="s">
        <v>16838</v>
      </c>
      <c r="C4298" s="7" t="s">
        <v>17016</v>
      </c>
      <c r="D4298" s="194">
        <v>2022.0</v>
      </c>
      <c r="E4298" s="193"/>
      <c r="F4298" s="195" t="s">
        <v>22370</v>
      </c>
      <c r="G4298" s="196">
        <v>7.92933285E8</v>
      </c>
      <c r="H4298" s="197">
        <v>23.79</v>
      </c>
      <c r="I4298" s="7" t="s">
        <v>16815</v>
      </c>
      <c r="J4298" s="7" t="s">
        <v>16838</v>
      </c>
      <c r="K4298" s="7" t="s">
        <v>17016</v>
      </c>
      <c r="L4298" s="198" t="s">
        <v>65</v>
      </c>
      <c r="M4298" s="194"/>
      <c r="N4298" s="194"/>
    </row>
    <row r="4299">
      <c r="A4299" s="193" t="s">
        <v>22371</v>
      </c>
      <c r="B4299" s="7" t="s">
        <v>17111</v>
      </c>
      <c r="C4299" s="7" t="s">
        <v>17112</v>
      </c>
      <c r="D4299" s="194">
        <v>2017.0</v>
      </c>
      <c r="E4299" s="193"/>
      <c r="F4299" s="195" t="s">
        <v>22372</v>
      </c>
      <c r="G4299" s="200">
        <v>7.9225742E8</v>
      </c>
      <c r="H4299" s="197">
        <v>11.43</v>
      </c>
      <c r="I4299" s="7" t="s">
        <v>16815</v>
      </c>
      <c r="J4299" s="7" t="s">
        <v>17111</v>
      </c>
      <c r="K4299" s="7" t="s">
        <v>17112</v>
      </c>
      <c r="L4299" s="201" t="s">
        <v>16835</v>
      </c>
      <c r="M4299" s="194"/>
      <c r="N4299" s="194"/>
    </row>
    <row r="4300">
      <c r="A4300" s="193" t="s">
        <v>22371</v>
      </c>
      <c r="B4300" s="7" t="s">
        <v>17112</v>
      </c>
      <c r="C4300" s="7" t="s">
        <v>17111</v>
      </c>
      <c r="D4300" s="194">
        <v>2017.0</v>
      </c>
      <c r="E4300" s="193"/>
      <c r="F4300" s="195" t="s">
        <v>22372</v>
      </c>
      <c r="G4300" s="196">
        <v>7.9225742E8</v>
      </c>
      <c r="H4300" s="197">
        <v>11.43</v>
      </c>
      <c r="I4300" s="7" t="s">
        <v>16815</v>
      </c>
      <c r="J4300" s="7" t="s">
        <v>17112</v>
      </c>
      <c r="K4300" s="7" t="s">
        <v>17111</v>
      </c>
      <c r="L4300" s="198" t="s">
        <v>65</v>
      </c>
      <c r="M4300" s="194"/>
      <c r="N4300" s="194"/>
    </row>
    <row r="4301">
      <c r="A4301" s="193" t="s">
        <v>22373</v>
      </c>
      <c r="B4301" s="7" t="s">
        <v>175</v>
      </c>
      <c r="C4301" s="7" t="s">
        <v>17812</v>
      </c>
      <c r="D4301" s="194">
        <v>1996.0</v>
      </c>
      <c r="E4301" s="193"/>
      <c r="F4301" s="195" t="s">
        <v>22374</v>
      </c>
      <c r="G4301" s="196">
        <v>7.90090021E8</v>
      </c>
      <c r="H4301" s="197">
        <v>16.66</v>
      </c>
      <c r="I4301" s="7" t="s">
        <v>16844</v>
      </c>
      <c r="J4301" s="7" t="s">
        <v>175</v>
      </c>
      <c r="K4301" s="7" t="s">
        <v>17812</v>
      </c>
      <c r="L4301" s="198" t="s">
        <v>65</v>
      </c>
      <c r="M4301" s="194"/>
      <c r="N4301" s="194"/>
    </row>
    <row r="4302">
      <c r="A4302" s="193" t="s">
        <v>22375</v>
      </c>
      <c r="B4302" s="7" t="s">
        <v>16582</v>
      </c>
      <c r="C4302" s="7" t="s">
        <v>16817</v>
      </c>
      <c r="D4302" s="199"/>
      <c r="E4302" s="193"/>
      <c r="F4302" s="195" t="s">
        <v>22376</v>
      </c>
      <c r="G4302" s="196">
        <v>7.88848406E8</v>
      </c>
      <c r="H4302" s="197">
        <v>2.41</v>
      </c>
      <c r="I4302" s="7" t="s">
        <v>16815</v>
      </c>
      <c r="J4302" s="7" t="s">
        <v>16582</v>
      </c>
      <c r="K4302" s="7" t="s">
        <v>16817</v>
      </c>
      <c r="L4302" s="198" t="s">
        <v>65</v>
      </c>
      <c r="M4302" s="199"/>
      <c r="N4302" s="199"/>
    </row>
    <row r="4303">
      <c r="A4303" s="193" t="s">
        <v>22377</v>
      </c>
      <c r="B4303" s="7" t="s">
        <v>187</v>
      </c>
      <c r="C4303" s="7" t="s">
        <v>16846</v>
      </c>
      <c r="D4303" s="194">
        <v>2019.0</v>
      </c>
      <c r="E4303" s="193"/>
      <c r="F4303" s="195" t="s">
        <v>22378</v>
      </c>
      <c r="G4303" s="196">
        <v>7.87326798E8</v>
      </c>
      <c r="H4303" s="197">
        <v>14.16</v>
      </c>
      <c r="I4303" s="7" t="s">
        <v>16815</v>
      </c>
      <c r="J4303" s="7" t="s">
        <v>187</v>
      </c>
      <c r="K4303" s="7" t="s">
        <v>16846</v>
      </c>
      <c r="L4303" s="198" t="s">
        <v>65</v>
      </c>
      <c r="M4303" s="194"/>
      <c r="N4303" s="194"/>
    </row>
    <row r="4304">
      <c r="A4304" s="193" t="s">
        <v>22379</v>
      </c>
      <c r="B4304" s="7" t="s">
        <v>16919</v>
      </c>
      <c r="C4304" s="7" t="s">
        <v>110</v>
      </c>
      <c r="D4304" s="199"/>
      <c r="E4304" s="193"/>
      <c r="F4304" s="195" t="s">
        <v>22380</v>
      </c>
      <c r="G4304" s="196">
        <v>7.8716125E8</v>
      </c>
      <c r="H4304" s="197">
        <v>4.8</v>
      </c>
      <c r="I4304" s="7" t="s">
        <v>16815</v>
      </c>
      <c r="J4304" s="7" t="s">
        <v>16919</v>
      </c>
      <c r="K4304" s="7" t="s">
        <v>110</v>
      </c>
      <c r="L4304" s="198" t="s">
        <v>65</v>
      </c>
      <c r="M4304" s="199"/>
      <c r="N4304" s="199"/>
    </row>
    <row r="4305">
      <c r="A4305" s="193" t="s">
        <v>22381</v>
      </c>
      <c r="B4305" s="7" t="s">
        <v>17259</v>
      </c>
      <c r="C4305" s="7" t="s">
        <v>187</v>
      </c>
      <c r="D4305" s="194">
        <v>2005.0</v>
      </c>
      <c r="E4305" s="193"/>
      <c r="F4305" s="195" t="s">
        <v>22382</v>
      </c>
      <c r="G4305" s="200">
        <v>7.86835383E8</v>
      </c>
      <c r="H4305" s="197">
        <v>4.18</v>
      </c>
      <c r="I4305" s="7" t="s">
        <v>16815</v>
      </c>
      <c r="J4305" s="7" t="s">
        <v>17259</v>
      </c>
      <c r="K4305" s="7" t="s">
        <v>187</v>
      </c>
      <c r="L4305" s="201" t="s">
        <v>16835</v>
      </c>
      <c r="M4305" s="194"/>
      <c r="N4305" s="194"/>
    </row>
    <row r="4306">
      <c r="A4306" s="193" t="s">
        <v>22381</v>
      </c>
      <c r="B4306" s="7" t="s">
        <v>187</v>
      </c>
      <c r="C4306" s="7" t="s">
        <v>17259</v>
      </c>
      <c r="D4306" s="194">
        <v>2005.0</v>
      </c>
      <c r="E4306" s="193"/>
      <c r="F4306" s="195" t="s">
        <v>22382</v>
      </c>
      <c r="G4306" s="196">
        <v>7.86835383E8</v>
      </c>
      <c r="H4306" s="197">
        <v>4.18</v>
      </c>
      <c r="I4306" s="7" t="s">
        <v>16815</v>
      </c>
      <c r="J4306" s="7" t="s">
        <v>187</v>
      </c>
      <c r="K4306" s="7" t="s">
        <v>17259</v>
      </c>
      <c r="L4306" s="198" t="s">
        <v>65</v>
      </c>
      <c r="M4306" s="194"/>
      <c r="N4306" s="194"/>
    </row>
    <row r="4307">
      <c r="A4307" s="193" t="s">
        <v>22383</v>
      </c>
      <c r="B4307" s="7" t="s">
        <v>187</v>
      </c>
      <c r="C4307" s="7" t="s">
        <v>16992</v>
      </c>
      <c r="D4307" s="199"/>
      <c r="E4307" s="193"/>
      <c r="F4307" s="195" t="s">
        <v>22384</v>
      </c>
      <c r="G4307" s="196">
        <v>7.85044075E8</v>
      </c>
      <c r="H4307" s="197">
        <v>2.06</v>
      </c>
      <c r="I4307" s="7" t="s">
        <v>16815</v>
      </c>
      <c r="J4307" s="7" t="s">
        <v>187</v>
      </c>
      <c r="K4307" s="7" t="s">
        <v>16992</v>
      </c>
      <c r="L4307" s="198" t="s">
        <v>65</v>
      </c>
      <c r="M4307" s="199"/>
      <c r="N4307" s="199"/>
    </row>
    <row r="4308">
      <c r="A4308" s="193" t="s">
        <v>22385</v>
      </c>
      <c r="B4308" s="7" t="s">
        <v>16838</v>
      </c>
      <c r="C4308" s="7" t="s">
        <v>16867</v>
      </c>
      <c r="D4308" s="199"/>
      <c r="E4308" s="193"/>
      <c r="F4308" s="195" t="s">
        <v>22386</v>
      </c>
      <c r="G4308" s="196">
        <v>7.84857815E8</v>
      </c>
      <c r="H4308" s="197">
        <v>25.24</v>
      </c>
      <c r="I4308" s="7" t="s">
        <v>16815</v>
      </c>
      <c r="J4308" s="7" t="s">
        <v>16838</v>
      </c>
      <c r="K4308" s="7" t="s">
        <v>16867</v>
      </c>
      <c r="L4308" s="198" t="s">
        <v>65</v>
      </c>
      <c r="M4308" s="199"/>
      <c r="N4308" s="199"/>
    </row>
    <row r="4309">
      <c r="A4309" s="193" t="s">
        <v>22387</v>
      </c>
      <c r="B4309" s="7" t="s">
        <v>187</v>
      </c>
      <c r="C4309" s="7" t="s">
        <v>16858</v>
      </c>
      <c r="D4309" s="194">
        <v>2015.0</v>
      </c>
      <c r="E4309" s="193"/>
      <c r="F4309" s="195" t="s">
        <v>22388</v>
      </c>
      <c r="G4309" s="196">
        <v>7.84816923E8</v>
      </c>
      <c r="H4309" s="197">
        <v>17.84</v>
      </c>
      <c r="I4309" s="7" t="s">
        <v>16815</v>
      </c>
      <c r="J4309" s="7" t="s">
        <v>187</v>
      </c>
      <c r="K4309" s="7" t="s">
        <v>16858</v>
      </c>
      <c r="L4309" s="198" t="s">
        <v>65</v>
      </c>
      <c r="M4309" s="194"/>
      <c r="N4309" s="194"/>
    </row>
    <row r="4310">
      <c r="A4310" s="193" t="s">
        <v>22389</v>
      </c>
      <c r="B4310" s="7" t="s">
        <v>169</v>
      </c>
      <c r="C4310" s="7" t="s">
        <v>17702</v>
      </c>
      <c r="D4310" s="194">
        <v>2014.0</v>
      </c>
      <c r="E4310" s="193"/>
      <c r="F4310" s="195" t="s">
        <v>22390</v>
      </c>
      <c r="G4310" s="196">
        <v>7.84551771E8</v>
      </c>
      <c r="H4310" s="197">
        <v>50.53</v>
      </c>
      <c r="I4310" s="7" t="s">
        <v>16815</v>
      </c>
      <c r="J4310" s="7" t="s">
        <v>169</v>
      </c>
      <c r="K4310" s="7" t="s">
        <v>17702</v>
      </c>
      <c r="L4310" s="198" t="s">
        <v>65</v>
      </c>
      <c r="M4310" s="194"/>
      <c r="N4310" s="194"/>
    </row>
    <row r="4311">
      <c r="A4311" s="193" t="s">
        <v>22389</v>
      </c>
      <c r="B4311" s="202" t="s">
        <v>17702</v>
      </c>
      <c r="C4311" s="193" t="s">
        <v>169</v>
      </c>
      <c r="D4311" s="193">
        <v>2014.0</v>
      </c>
      <c r="E4311" s="193"/>
      <c r="F4311" s="203" t="s">
        <v>22390</v>
      </c>
      <c r="G4311" s="200">
        <v>7.84551771E8</v>
      </c>
      <c r="H4311" s="205">
        <v>1.18</v>
      </c>
      <c r="J4311" s="202" t="s">
        <v>17702</v>
      </c>
      <c r="K4311" s="193" t="s">
        <v>169</v>
      </c>
      <c r="L4311" s="193" t="s">
        <v>17471</v>
      </c>
      <c r="M4311" s="193"/>
      <c r="N4311" s="193"/>
    </row>
    <row r="4312">
      <c r="A4312" s="193" t="s">
        <v>22391</v>
      </c>
      <c r="B4312" s="7" t="s">
        <v>16838</v>
      </c>
      <c r="C4312" s="7" t="s">
        <v>16867</v>
      </c>
      <c r="D4312" s="199"/>
      <c r="E4312" s="193"/>
      <c r="F4312" s="195" t="s">
        <v>22392</v>
      </c>
      <c r="G4312" s="196">
        <v>7.8379028E8</v>
      </c>
      <c r="H4312" s="197">
        <v>13.19</v>
      </c>
      <c r="I4312" s="7" t="s">
        <v>16815</v>
      </c>
      <c r="J4312" s="7" t="s">
        <v>16838</v>
      </c>
      <c r="K4312" s="7" t="s">
        <v>16867</v>
      </c>
      <c r="L4312" s="198" t="s">
        <v>65</v>
      </c>
      <c r="M4312" s="199"/>
      <c r="N4312" s="199"/>
    </row>
    <row r="4313">
      <c r="A4313" s="193" t="s">
        <v>22393</v>
      </c>
      <c r="B4313" s="7" t="s">
        <v>175</v>
      </c>
      <c r="C4313" s="7" t="s">
        <v>17391</v>
      </c>
      <c r="D4313" s="199"/>
      <c r="E4313" s="193"/>
      <c r="F4313" s="195" t="s">
        <v>22394</v>
      </c>
      <c r="G4313" s="196">
        <v>7.83407332E8</v>
      </c>
      <c r="H4313" s="197">
        <v>17.93</v>
      </c>
      <c r="I4313" s="7" t="s">
        <v>16908</v>
      </c>
      <c r="J4313" s="7" t="s">
        <v>175</v>
      </c>
      <c r="K4313" s="7" t="s">
        <v>17391</v>
      </c>
      <c r="L4313" s="198" t="s">
        <v>65</v>
      </c>
      <c r="M4313" s="199"/>
      <c r="N4313" s="199"/>
    </row>
    <row r="4314">
      <c r="A4314" s="193" t="s">
        <v>22393</v>
      </c>
      <c r="B4314" s="7" t="s">
        <v>17391</v>
      </c>
      <c r="C4314" s="7" t="s">
        <v>175</v>
      </c>
      <c r="D4314" s="199"/>
      <c r="E4314" s="193"/>
      <c r="F4314" s="195" t="s">
        <v>22394</v>
      </c>
      <c r="G4314" s="200">
        <v>7.83407332E8</v>
      </c>
      <c r="H4314" s="197">
        <v>17.93</v>
      </c>
      <c r="I4314" s="7" t="s">
        <v>16815</v>
      </c>
      <c r="J4314" s="7" t="s">
        <v>17391</v>
      </c>
      <c r="K4314" s="7" t="s">
        <v>175</v>
      </c>
      <c r="L4314" s="201" t="s">
        <v>16835</v>
      </c>
      <c r="M4314" s="199"/>
      <c r="N4314" s="199"/>
    </row>
    <row r="4315">
      <c r="A4315" s="193" t="s">
        <v>22395</v>
      </c>
      <c r="B4315" s="7" t="s">
        <v>169</v>
      </c>
      <c r="C4315" s="7" t="s">
        <v>17339</v>
      </c>
      <c r="D4315" s="199"/>
      <c r="E4315" s="193"/>
      <c r="F4315" s="195" t="s">
        <v>22396</v>
      </c>
      <c r="G4315" s="196">
        <v>7.82718412E8</v>
      </c>
      <c r="H4315" s="197">
        <v>88.68</v>
      </c>
      <c r="I4315" s="7" t="s">
        <v>16815</v>
      </c>
      <c r="J4315" s="7" t="s">
        <v>169</v>
      </c>
      <c r="K4315" s="7" t="s">
        <v>17339</v>
      </c>
      <c r="L4315" s="198" t="s">
        <v>65</v>
      </c>
      <c r="M4315" s="199"/>
      <c r="N4315" s="199"/>
    </row>
    <row r="4316">
      <c r="A4316" s="193" t="s">
        <v>22397</v>
      </c>
      <c r="B4316" s="7" t="s">
        <v>16838</v>
      </c>
      <c r="C4316" s="7" t="s">
        <v>17202</v>
      </c>
      <c r="D4316" s="199"/>
      <c r="E4316" s="193"/>
      <c r="F4316" s="195" t="s">
        <v>22398</v>
      </c>
      <c r="G4316" s="196">
        <v>7.82637542E8</v>
      </c>
      <c r="H4316" s="197">
        <v>25.6</v>
      </c>
      <c r="I4316" s="7" t="s">
        <v>16815</v>
      </c>
      <c r="J4316" s="7" t="s">
        <v>16838</v>
      </c>
      <c r="K4316" s="7" t="s">
        <v>17202</v>
      </c>
      <c r="L4316" s="198" t="s">
        <v>65</v>
      </c>
      <c r="M4316" s="199"/>
      <c r="N4316" s="199"/>
    </row>
    <row r="4317">
      <c r="A4317" s="193" t="s">
        <v>22399</v>
      </c>
      <c r="B4317" s="7" t="s">
        <v>169</v>
      </c>
      <c r="C4317" s="7" t="s">
        <v>17022</v>
      </c>
      <c r="D4317" s="194">
        <v>1996.0</v>
      </c>
      <c r="E4317" s="193"/>
      <c r="F4317" s="195" t="s">
        <v>22400</v>
      </c>
      <c r="G4317" s="196">
        <v>7.8162492E8</v>
      </c>
      <c r="H4317" s="197">
        <v>10.17</v>
      </c>
      <c r="I4317" s="7" t="s">
        <v>16815</v>
      </c>
      <c r="J4317" s="7" t="s">
        <v>169</v>
      </c>
      <c r="K4317" s="7" t="s">
        <v>17022</v>
      </c>
      <c r="L4317" s="198" t="s">
        <v>65</v>
      </c>
      <c r="M4317" s="194"/>
      <c r="N4317" s="194"/>
    </row>
    <row r="4318">
      <c r="A4318" s="193" t="s">
        <v>22399</v>
      </c>
      <c r="B4318" s="7" t="s">
        <v>17022</v>
      </c>
      <c r="C4318" s="7" t="s">
        <v>169</v>
      </c>
      <c r="D4318" s="194">
        <v>1996.0</v>
      </c>
      <c r="E4318" s="193"/>
      <c r="F4318" s="195" t="s">
        <v>22400</v>
      </c>
      <c r="G4318" s="200">
        <v>7.8162492E8</v>
      </c>
      <c r="H4318" s="197">
        <v>10.17</v>
      </c>
      <c r="I4318" s="7" t="s">
        <v>16815</v>
      </c>
      <c r="J4318" s="7" t="s">
        <v>17022</v>
      </c>
      <c r="K4318" s="7" t="s">
        <v>169</v>
      </c>
      <c r="L4318" s="201" t="s">
        <v>16835</v>
      </c>
      <c r="M4318" s="194"/>
      <c r="N4318" s="194"/>
    </row>
    <row r="4319">
      <c r="A4319" s="193" t="s">
        <v>22401</v>
      </c>
      <c r="B4319" s="7" t="s">
        <v>175</v>
      </c>
      <c r="C4319" s="7" t="s">
        <v>17350</v>
      </c>
      <c r="D4319" s="199"/>
      <c r="E4319" s="193"/>
      <c r="F4319" s="195" t="s">
        <v>22402</v>
      </c>
      <c r="G4319" s="196">
        <v>7.8079719E8</v>
      </c>
      <c r="H4319" s="197">
        <v>6.67</v>
      </c>
      <c r="I4319" s="7" t="s">
        <v>174</v>
      </c>
      <c r="J4319" s="7" t="s">
        <v>175</v>
      </c>
      <c r="K4319" s="7" t="s">
        <v>17350</v>
      </c>
      <c r="L4319" s="198" t="s">
        <v>65</v>
      </c>
      <c r="M4319" s="199"/>
      <c r="N4319" s="199"/>
    </row>
    <row r="4320">
      <c r="A4320" s="193" t="s">
        <v>22401</v>
      </c>
      <c r="B4320" s="7" t="s">
        <v>17350</v>
      </c>
      <c r="C4320" s="7" t="s">
        <v>175</v>
      </c>
      <c r="D4320" s="199"/>
      <c r="E4320" s="193"/>
      <c r="F4320" s="195" t="s">
        <v>22402</v>
      </c>
      <c r="G4320" s="200">
        <v>7.8079719E8</v>
      </c>
      <c r="H4320" s="197">
        <v>6.67</v>
      </c>
      <c r="I4320" s="7" t="s">
        <v>16815</v>
      </c>
      <c r="J4320" s="7" t="s">
        <v>17350</v>
      </c>
      <c r="K4320" s="7" t="s">
        <v>175</v>
      </c>
      <c r="L4320" s="201" t="s">
        <v>16835</v>
      </c>
      <c r="M4320" s="199"/>
      <c r="N4320" s="199"/>
    </row>
    <row r="4321">
      <c r="A4321" s="193" t="s">
        <v>22403</v>
      </c>
      <c r="B4321" s="7" t="s">
        <v>17111</v>
      </c>
      <c r="C4321" s="7" t="s">
        <v>17112</v>
      </c>
      <c r="D4321" s="194">
        <v>1995.0</v>
      </c>
      <c r="E4321" s="193"/>
      <c r="F4321" s="195" t="s">
        <v>22404</v>
      </c>
      <c r="G4321" s="200">
        <v>7.80626867E8</v>
      </c>
      <c r="H4321" s="197">
        <v>6.58</v>
      </c>
      <c r="I4321" s="7" t="s">
        <v>16815</v>
      </c>
      <c r="J4321" s="7" t="s">
        <v>17111</v>
      </c>
      <c r="K4321" s="7" t="s">
        <v>17112</v>
      </c>
      <c r="L4321" s="201" t="s">
        <v>16835</v>
      </c>
      <c r="M4321" s="194"/>
      <c r="N4321" s="194"/>
    </row>
    <row r="4322">
      <c r="A4322" s="193" t="s">
        <v>22403</v>
      </c>
      <c r="B4322" s="7" t="s">
        <v>17112</v>
      </c>
      <c r="C4322" s="7" t="s">
        <v>17111</v>
      </c>
      <c r="D4322" s="194">
        <v>1995.0</v>
      </c>
      <c r="E4322" s="193"/>
      <c r="F4322" s="195" t="s">
        <v>22404</v>
      </c>
      <c r="G4322" s="196">
        <v>7.80626867E8</v>
      </c>
      <c r="H4322" s="197">
        <v>6.58</v>
      </c>
      <c r="I4322" s="7" t="s">
        <v>16815</v>
      </c>
      <c r="J4322" s="7" t="s">
        <v>17112</v>
      </c>
      <c r="K4322" s="7" t="s">
        <v>17111</v>
      </c>
      <c r="L4322" s="198" t="s">
        <v>65</v>
      </c>
      <c r="M4322" s="194"/>
      <c r="N4322" s="194"/>
    </row>
    <row r="4323">
      <c r="A4323" s="193" t="s">
        <v>22405</v>
      </c>
      <c r="D4323" s="199"/>
      <c r="E4323" s="193"/>
      <c r="F4323" s="195" t="s">
        <v>22406</v>
      </c>
      <c r="G4323" s="196">
        <v>7.8033798E8</v>
      </c>
      <c r="H4323" s="197">
        <v>1.14</v>
      </c>
      <c r="I4323" s="7" t="s">
        <v>16815</v>
      </c>
      <c r="L4323" s="198" t="s">
        <v>65</v>
      </c>
      <c r="M4323" s="199"/>
      <c r="N4323" s="199"/>
    </row>
    <row r="4324">
      <c r="A4324" s="193" t="s">
        <v>22405</v>
      </c>
      <c r="B4324" s="208"/>
      <c r="C4324" s="206"/>
      <c r="D4324" s="206"/>
      <c r="E4324" s="193"/>
      <c r="F4324" s="203" t="s">
        <v>22406</v>
      </c>
      <c r="G4324" s="200">
        <v>7.8033798E8</v>
      </c>
      <c r="H4324" s="205">
        <v>50.53</v>
      </c>
      <c r="J4324" s="208"/>
      <c r="K4324" s="206"/>
      <c r="L4324" s="193" t="s">
        <v>17471</v>
      </c>
      <c r="M4324" s="206"/>
      <c r="N4324" s="206"/>
    </row>
    <row r="4325">
      <c r="A4325" s="193" t="s">
        <v>22407</v>
      </c>
      <c r="B4325" s="7" t="s">
        <v>187</v>
      </c>
      <c r="C4325" s="7" t="s">
        <v>16846</v>
      </c>
      <c r="D4325" s="194">
        <v>2023.0</v>
      </c>
      <c r="E4325" s="193"/>
      <c r="F4325" s="195" t="s">
        <v>22408</v>
      </c>
      <c r="G4325" s="196">
        <v>7.7986816E8</v>
      </c>
      <c r="H4325" s="197">
        <v>8.02</v>
      </c>
      <c r="I4325" s="7" t="s">
        <v>16815</v>
      </c>
      <c r="J4325" s="7" t="s">
        <v>187</v>
      </c>
      <c r="K4325" s="7" t="s">
        <v>16846</v>
      </c>
      <c r="L4325" s="198" t="s">
        <v>65</v>
      </c>
      <c r="M4325" s="194"/>
      <c r="N4325" s="194"/>
    </row>
    <row r="4326">
      <c r="A4326" s="193" t="s">
        <v>22409</v>
      </c>
      <c r="B4326" s="7" t="s">
        <v>175</v>
      </c>
      <c r="C4326" s="7" t="s">
        <v>17812</v>
      </c>
      <c r="D4326" s="194">
        <v>2020.0</v>
      </c>
      <c r="E4326" s="193"/>
      <c r="F4326" s="195" t="s">
        <v>22410</v>
      </c>
      <c r="G4326" s="196">
        <v>7.77950223E8</v>
      </c>
      <c r="H4326" s="197">
        <v>25.77</v>
      </c>
      <c r="I4326" s="7" t="s">
        <v>168</v>
      </c>
      <c r="J4326" s="7" t="s">
        <v>175</v>
      </c>
      <c r="K4326" s="7" t="s">
        <v>17812</v>
      </c>
      <c r="L4326" s="198" t="s">
        <v>65</v>
      </c>
      <c r="M4326" s="194"/>
      <c r="N4326" s="194"/>
    </row>
    <row r="4327">
      <c r="A4327" s="193" t="s">
        <v>22409</v>
      </c>
      <c r="B4327" s="7" t="s">
        <v>17812</v>
      </c>
      <c r="C4327" s="7" t="s">
        <v>175</v>
      </c>
      <c r="D4327" s="194">
        <v>2020.0</v>
      </c>
      <c r="E4327" s="193"/>
      <c r="F4327" s="195" t="s">
        <v>22410</v>
      </c>
      <c r="G4327" s="200">
        <v>7.77950223E8</v>
      </c>
      <c r="H4327" s="197">
        <v>25.77</v>
      </c>
      <c r="I4327" s="7" t="s">
        <v>16815</v>
      </c>
      <c r="J4327" s="7" t="s">
        <v>17812</v>
      </c>
      <c r="K4327" s="7" t="s">
        <v>175</v>
      </c>
      <c r="L4327" s="201" t="s">
        <v>16835</v>
      </c>
      <c r="M4327" s="194"/>
      <c r="N4327" s="194"/>
    </row>
    <row r="4328">
      <c r="A4328" s="193" t="s">
        <v>22411</v>
      </c>
      <c r="B4328" s="7" t="s">
        <v>16919</v>
      </c>
      <c r="C4328" s="7" t="s">
        <v>17176</v>
      </c>
      <c r="D4328" s="194">
        <v>1985.0</v>
      </c>
      <c r="E4328" s="193"/>
      <c r="F4328" s="195" t="s">
        <v>22412</v>
      </c>
      <c r="G4328" s="196">
        <v>7.76418308E8</v>
      </c>
      <c r="H4328" s="197">
        <v>48.23</v>
      </c>
      <c r="I4328" s="7" t="s">
        <v>16815</v>
      </c>
      <c r="J4328" s="7" t="s">
        <v>16919</v>
      </c>
      <c r="K4328" s="7" t="s">
        <v>17176</v>
      </c>
      <c r="L4328" s="198" t="s">
        <v>65</v>
      </c>
      <c r="M4328" s="194"/>
      <c r="N4328" s="194"/>
    </row>
    <row r="4329">
      <c r="A4329" s="193" t="s">
        <v>22411</v>
      </c>
      <c r="B4329" s="7" t="s">
        <v>17176</v>
      </c>
      <c r="C4329" s="7" t="s">
        <v>16919</v>
      </c>
      <c r="D4329" s="194">
        <v>1985.0</v>
      </c>
      <c r="E4329" s="193"/>
      <c r="F4329" s="195" t="s">
        <v>22412</v>
      </c>
      <c r="G4329" s="200">
        <v>7.76418308E8</v>
      </c>
      <c r="H4329" s="197">
        <v>48.23</v>
      </c>
      <c r="I4329" s="7" t="s">
        <v>16815</v>
      </c>
      <c r="J4329" s="7" t="s">
        <v>17176</v>
      </c>
      <c r="K4329" s="7" t="s">
        <v>16919</v>
      </c>
      <c r="L4329" s="201" t="s">
        <v>16835</v>
      </c>
      <c r="M4329" s="194"/>
      <c r="N4329" s="194"/>
    </row>
    <row r="4330">
      <c r="A4330" s="193" t="s">
        <v>22413</v>
      </c>
      <c r="B4330" s="7" t="s">
        <v>16838</v>
      </c>
      <c r="C4330" s="7" t="s">
        <v>17019</v>
      </c>
      <c r="D4330" s="194">
        <v>2019.0</v>
      </c>
      <c r="E4330" s="193"/>
      <c r="F4330" s="195" t="s">
        <v>22414</v>
      </c>
      <c r="G4330" s="196">
        <v>7.76259358E8</v>
      </c>
      <c r="H4330" s="197">
        <v>4.71</v>
      </c>
      <c r="I4330" s="7" t="s">
        <v>16815</v>
      </c>
      <c r="J4330" s="7" t="s">
        <v>16838</v>
      </c>
      <c r="K4330" s="7" t="s">
        <v>17019</v>
      </c>
      <c r="L4330" s="198" t="s">
        <v>65</v>
      </c>
      <c r="M4330" s="194"/>
      <c r="N4330" s="194"/>
    </row>
    <row r="4331">
      <c r="A4331" s="193" t="s">
        <v>22415</v>
      </c>
      <c r="B4331" s="7" t="s">
        <v>187</v>
      </c>
      <c r="C4331" s="7" t="s">
        <v>16851</v>
      </c>
      <c r="D4331" s="194">
        <v>2016.0</v>
      </c>
      <c r="E4331" s="193"/>
      <c r="F4331" s="195" t="s">
        <v>22416</v>
      </c>
      <c r="G4331" s="196">
        <v>7.76089763E8</v>
      </c>
      <c r="H4331" s="197">
        <v>26.19</v>
      </c>
      <c r="I4331" s="7" t="s">
        <v>16815</v>
      </c>
      <c r="J4331" s="7" t="s">
        <v>187</v>
      </c>
      <c r="K4331" s="7" t="s">
        <v>16851</v>
      </c>
      <c r="L4331" s="198" t="s">
        <v>65</v>
      </c>
      <c r="M4331" s="194"/>
      <c r="N4331" s="194"/>
    </row>
    <row r="4332">
      <c r="A4332" s="193" t="s">
        <v>22417</v>
      </c>
      <c r="B4332" s="7" t="s">
        <v>16582</v>
      </c>
      <c r="C4332" s="7" t="s">
        <v>16930</v>
      </c>
      <c r="D4332" s="194">
        <v>2021.0</v>
      </c>
      <c r="E4332" s="193"/>
      <c r="F4332" s="195" t="s">
        <v>22418</v>
      </c>
      <c r="G4332" s="196">
        <v>7.75788238E8</v>
      </c>
      <c r="H4332" s="197">
        <v>16.48</v>
      </c>
      <c r="I4332" s="7" t="s">
        <v>16815</v>
      </c>
      <c r="J4332" s="7" t="s">
        <v>16582</v>
      </c>
      <c r="K4332" s="7" t="s">
        <v>16930</v>
      </c>
      <c r="L4332" s="198" t="s">
        <v>65</v>
      </c>
      <c r="M4332" s="194"/>
      <c r="N4332" s="194"/>
    </row>
    <row r="4333">
      <c r="A4333" s="193" t="s">
        <v>22419</v>
      </c>
      <c r="B4333" s="7" t="s">
        <v>169</v>
      </c>
      <c r="C4333" s="7" t="s">
        <v>17827</v>
      </c>
      <c r="D4333" s="194">
        <v>2017.0</v>
      </c>
      <c r="E4333" s="193"/>
      <c r="F4333" s="195" t="s">
        <v>22420</v>
      </c>
      <c r="G4333" s="196">
        <v>7.75509793E8</v>
      </c>
      <c r="H4333" s="197">
        <v>20.5</v>
      </c>
      <c r="I4333" s="7" t="s">
        <v>16815</v>
      </c>
      <c r="J4333" s="7" t="s">
        <v>169</v>
      </c>
      <c r="K4333" s="7" t="s">
        <v>17827</v>
      </c>
      <c r="L4333" s="198" t="s">
        <v>65</v>
      </c>
      <c r="M4333" s="194"/>
      <c r="N4333" s="194"/>
    </row>
    <row r="4334">
      <c r="A4334" s="193" t="s">
        <v>22421</v>
      </c>
      <c r="B4334" s="7" t="s">
        <v>17532</v>
      </c>
      <c r="C4334" s="7" t="s">
        <v>169</v>
      </c>
      <c r="D4334" s="199"/>
      <c r="E4334" s="193"/>
      <c r="F4334" s="195" t="s">
        <v>22422</v>
      </c>
      <c r="G4334" s="200">
        <v>7.75478918E8</v>
      </c>
      <c r="H4334" s="197">
        <v>12.53</v>
      </c>
      <c r="I4334" s="7" t="s">
        <v>16815</v>
      </c>
      <c r="J4334" s="7" t="s">
        <v>17532</v>
      </c>
      <c r="K4334" s="7" t="s">
        <v>169</v>
      </c>
      <c r="L4334" s="201" t="s">
        <v>16835</v>
      </c>
      <c r="M4334" s="199"/>
      <c r="N4334" s="199"/>
    </row>
    <row r="4335">
      <c r="A4335" s="193" t="s">
        <v>22421</v>
      </c>
      <c r="B4335" s="7" t="s">
        <v>169</v>
      </c>
      <c r="C4335" s="7" t="s">
        <v>17532</v>
      </c>
      <c r="D4335" s="199"/>
      <c r="E4335" s="193"/>
      <c r="F4335" s="195" t="s">
        <v>22422</v>
      </c>
      <c r="G4335" s="196">
        <v>7.75478918E8</v>
      </c>
      <c r="H4335" s="197">
        <v>12.53</v>
      </c>
      <c r="I4335" s="7" t="s">
        <v>16815</v>
      </c>
      <c r="J4335" s="7" t="s">
        <v>169</v>
      </c>
      <c r="K4335" s="7" t="s">
        <v>17532</v>
      </c>
      <c r="L4335" s="198" t="s">
        <v>65</v>
      </c>
      <c r="M4335" s="199"/>
      <c r="N4335" s="199"/>
    </row>
    <row r="4336">
      <c r="A4336" s="193" t="s">
        <v>22423</v>
      </c>
      <c r="B4336" s="7" t="s">
        <v>169</v>
      </c>
      <c r="C4336" s="7" t="s">
        <v>17025</v>
      </c>
      <c r="D4336" s="199"/>
      <c r="E4336" s="193"/>
      <c r="F4336" s="195" t="s">
        <v>22424</v>
      </c>
      <c r="G4336" s="196">
        <v>7.75243769E8</v>
      </c>
      <c r="H4336" s="197">
        <v>45.11</v>
      </c>
      <c r="I4336" s="7" t="s">
        <v>16815</v>
      </c>
      <c r="J4336" s="7" t="s">
        <v>169</v>
      </c>
      <c r="K4336" s="7" t="s">
        <v>17025</v>
      </c>
      <c r="L4336" s="198" t="s">
        <v>65</v>
      </c>
      <c r="M4336" s="199"/>
      <c r="N4336" s="199"/>
    </row>
    <row r="4337">
      <c r="A4337" s="193" t="s">
        <v>22423</v>
      </c>
      <c r="B4337" s="7" t="s">
        <v>17025</v>
      </c>
      <c r="C4337" s="7" t="s">
        <v>169</v>
      </c>
      <c r="D4337" s="199"/>
      <c r="E4337" s="193"/>
      <c r="F4337" s="195" t="s">
        <v>22424</v>
      </c>
      <c r="G4337" s="200">
        <v>7.75243769E8</v>
      </c>
      <c r="H4337" s="197">
        <v>45.11</v>
      </c>
      <c r="I4337" s="7" t="s">
        <v>16815</v>
      </c>
      <c r="J4337" s="7" t="s">
        <v>17025</v>
      </c>
      <c r="K4337" s="7" t="s">
        <v>169</v>
      </c>
      <c r="L4337" s="201" t="s">
        <v>16835</v>
      </c>
      <c r="M4337" s="199"/>
      <c r="N4337" s="199"/>
    </row>
    <row r="4338">
      <c r="A4338" s="193" t="s">
        <v>22425</v>
      </c>
      <c r="B4338" s="7" t="s">
        <v>16867</v>
      </c>
      <c r="C4338" s="7" t="s">
        <v>16838</v>
      </c>
      <c r="D4338" s="194">
        <v>2021.0</v>
      </c>
      <c r="E4338" s="193"/>
      <c r="F4338" s="195" t="s">
        <v>22426</v>
      </c>
      <c r="G4338" s="200">
        <v>7.74924078E8</v>
      </c>
      <c r="H4338" s="197">
        <v>4.72</v>
      </c>
      <c r="I4338" s="7" t="s">
        <v>16815</v>
      </c>
      <c r="J4338" s="7" t="s">
        <v>16867</v>
      </c>
      <c r="K4338" s="7" t="s">
        <v>16838</v>
      </c>
      <c r="L4338" s="201" t="s">
        <v>16835</v>
      </c>
      <c r="M4338" s="194"/>
      <c r="N4338" s="194"/>
    </row>
    <row r="4339">
      <c r="A4339" s="193" t="s">
        <v>22425</v>
      </c>
      <c r="B4339" s="7" t="s">
        <v>16838</v>
      </c>
      <c r="C4339" s="7" t="s">
        <v>16867</v>
      </c>
      <c r="D4339" s="194">
        <v>2021.0</v>
      </c>
      <c r="E4339" s="193"/>
      <c r="F4339" s="195" t="s">
        <v>22426</v>
      </c>
      <c r="G4339" s="196">
        <v>7.74924078E8</v>
      </c>
      <c r="H4339" s="197">
        <v>4.72</v>
      </c>
      <c r="I4339" s="7" t="s">
        <v>16815</v>
      </c>
      <c r="J4339" s="7" t="s">
        <v>16838</v>
      </c>
      <c r="K4339" s="7" t="s">
        <v>16867</v>
      </c>
      <c r="L4339" s="198" t="s">
        <v>65</v>
      </c>
      <c r="M4339" s="194"/>
      <c r="N4339" s="194"/>
    </row>
    <row r="4340">
      <c r="A4340" s="193" t="s">
        <v>22427</v>
      </c>
      <c r="B4340" s="7" t="s">
        <v>158</v>
      </c>
      <c r="C4340" s="7" t="s">
        <v>20100</v>
      </c>
      <c r="D4340" s="199"/>
      <c r="E4340" s="193"/>
      <c r="F4340" s="195" t="s">
        <v>22428</v>
      </c>
      <c r="G4340" s="196">
        <v>7.74484127E8</v>
      </c>
      <c r="H4340" s="197">
        <v>14.7</v>
      </c>
      <c r="I4340" s="7" t="s">
        <v>17098</v>
      </c>
      <c r="J4340" s="7" t="s">
        <v>158</v>
      </c>
      <c r="K4340" s="7" t="s">
        <v>20100</v>
      </c>
      <c r="L4340" s="198" t="s">
        <v>65</v>
      </c>
      <c r="M4340" s="199"/>
      <c r="N4340" s="199"/>
    </row>
    <row r="4341">
      <c r="A4341" s="193" t="s">
        <v>22429</v>
      </c>
      <c r="B4341" s="7" t="s">
        <v>17259</v>
      </c>
      <c r="C4341" s="7" t="s">
        <v>187</v>
      </c>
      <c r="D4341" s="199"/>
      <c r="E4341" s="193"/>
      <c r="F4341" s="195" t="s">
        <v>22430</v>
      </c>
      <c r="G4341" s="200">
        <v>7.73860266E8</v>
      </c>
      <c r="H4341" s="197">
        <v>9.21</v>
      </c>
      <c r="I4341" s="7" t="s">
        <v>16815</v>
      </c>
      <c r="J4341" s="7" t="s">
        <v>17259</v>
      </c>
      <c r="K4341" s="7" t="s">
        <v>187</v>
      </c>
      <c r="L4341" s="201" t="s">
        <v>16835</v>
      </c>
      <c r="M4341" s="199"/>
      <c r="N4341" s="199"/>
    </row>
    <row r="4342">
      <c r="A4342" s="193" t="s">
        <v>22429</v>
      </c>
      <c r="B4342" s="7" t="s">
        <v>187</v>
      </c>
      <c r="C4342" s="7" t="s">
        <v>17259</v>
      </c>
      <c r="D4342" s="199"/>
      <c r="E4342" s="193"/>
      <c r="F4342" s="195" t="s">
        <v>22430</v>
      </c>
      <c r="G4342" s="196">
        <v>7.73860266E8</v>
      </c>
      <c r="H4342" s="197">
        <v>9.21</v>
      </c>
      <c r="I4342" s="7" t="s">
        <v>16815</v>
      </c>
      <c r="J4342" s="7" t="s">
        <v>187</v>
      </c>
      <c r="K4342" s="7" t="s">
        <v>17259</v>
      </c>
      <c r="L4342" s="198" t="s">
        <v>65</v>
      </c>
      <c r="M4342" s="199"/>
      <c r="N4342" s="199"/>
    </row>
    <row r="4343">
      <c r="A4343" s="193" t="s">
        <v>22431</v>
      </c>
      <c r="B4343" s="7" t="s">
        <v>16910</v>
      </c>
      <c r="C4343" s="7" t="s">
        <v>17013</v>
      </c>
      <c r="D4343" s="194">
        <v>2018.0</v>
      </c>
      <c r="E4343" s="193"/>
      <c r="F4343" s="195" t="s">
        <v>22432</v>
      </c>
      <c r="G4343" s="196">
        <v>7.73131631E8</v>
      </c>
      <c r="H4343" s="197">
        <v>8.22</v>
      </c>
      <c r="I4343" s="7" t="s">
        <v>16856</v>
      </c>
      <c r="J4343" s="7" t="s">
        <v>16910</v>
      </c>
      <c r="K4343" s="7" t="s">
        <v>17013</v>
      </c>
      <c r="L4343" s="198" t="s">
        <v>65</v>
      </c>
      <c r="M4343" s="194"/>
      <c r="N4343" s="194"/>
    </row>
    <row r="4344">
      <c r="A4344" s="193" t="s">
        <v>22431</v>
      </c>
      <c r="B4344" s="7" t="s">
        <v>17013</v>
      </c>
      <c r="C4344" s="7" t="s">
        <v>16910</v>
      </c>
      <c r="D4344" s="194">
        <v>2018.0</v>
      </c>
      <c r="E4344" s="193"/>
      <c r="F4344" s="195" t="s">
        <v>22432</v>
      </c>
      <c r="G4344" s="200">
        <v>7.73131631E8</v>
      </c>
      <c r="H4344" s="197">
        <v>8.22</v>
      </c>
      <c r="I4344" s="7" t="s">
        <v>16815</v>
      </c>
      <c r="J4344" s="7" t="s">
        <v>17013</v>
      </c>
      <c r="K4344" s="7" t="s">
        <v>16910</v>
      </c>
      <c r="L4344" s="201" t="s">
        <v>16835</v>
      </c>
      <c r="M4344" s="194"/>
      <c r="N4344" s="194"/>
    </row>
    <row r="4345">
      <c r="A4345" s="193" t="s">
        <v>22433</v>
      </c>
      <c r="B4345" s="7" t="s">
        <v>16885</v>
      </c>
      <c r="C4345" s="7" t="s">
        <v>16886</v>
      </c>
      <c r="D4345" s="199"/>
      <c r="E4345" s="193"/>
      <c r="F4345" s="195" t="s">
        <v>22434</v>
      </c>
      <c r="G4345" s="196">
        <v>7.72742968E8</v>
      </c>
      <c r="H4345" s="197">
        <v>9.73</v>
      </c>
      <c r="I4345" s="7" t="s">
        <v>19569</v>
      </c>
      <c r="J4345" s="7" t="s">
        <v>16885</v>
      </c>
      <c r="K4345" s="7" t="s">
        <v>16886</v>
      </c>
      <c r="L4345" s="198" t="s">
        <v>65</v>
      </c>
      <c r="M4345" s="199"/>
      <c r="N4345" s="199"/>
    </row>
    <row r="4346">
      <c r="A4346" s="193" t="s">
        <v>22433</v>
      </c>
      <c r="B4346" s="7" t="s">
        <v>16886</v>
      </c>
      <c r="C4346" s="7" t="s">
        <v>16885</v>
      </c>
      <c r="D4346" s="199"/>
      <c r="E4346" s="193"/>
      <c r="F4346" s="195" t="s">
        <v>22434</v>
      </c>
      <c r="G4346" s="200">
        <v>7.72742968E8</v>
      </c>
      <c r="H4346" s="197">
        <v>9.73</v>
      </c>
      <c r="I4346" s="7" t="s">
        <v>16815</v>
      </c>
      <c r="J4346" s="7" t="s">
        <v>16886</v>
      </c>
      <c r="K4346" s="7" t="s">
        <v>16885</v>
      </c>
      <c r="L4346" s="201" t="s">
        <v>16835</v>
      </c>
      <c r="M4346" s="199"/>
      <c r="N4346" s="199"/>
    </row>
    <row r="4347">
      <c r="A4347" s="193" t="s">
        <v>22435</v>
      </c>
      <c r="B4347" s="7" t="s">
        <v>17111</v>
      </c>
      <c r="C4347" s="7" t="s">
        <v>17112</v>
      </c>
      <c r="D4347" s="199"/>
      <c r="E4347" s="193"/>
      <c r="F4347" s="195" t="s">
        <v>22436</v>
      </c>
      <c r="G4347" s="200">
        <v>7.72496815E8</v>
      </c>
      <c r="H4347" s="197">
        <v>51.32</v>
      </c>
      <c r="I4347" s="7" t="s">
        <v>16815</v>
      </c>
      <c r="J4347" s="7" t="s">
        <v>17111</v>
      </c>
      <c r="K4347" s="7" t="s">
        <v>17112</v>
      </c>
      <c r="L4347" s="201" t="s">
        <v>16835</v>
      </c>
      <c r="M4347" s="199"/>
      <c r="N4347" s="199"/>
    </row>
    <row r="4348">
      <c r="A4348" s="193" t="s">
        <v>22435</v>
      </c>
      <c r="B4348" s="7" t="s">
        <v>17112</v>
      </c>
      <c r="C4348" s="7" t="s">
        <v>17111</v>
      </c>
      <c r="D4348" s="199"/>
      <c r="E4348" s="193"/>
      <c r="F4348" s="195" t="s">
        <v>22436</v>
      </c>
      <c r="G4348" s="196">
        <v>7.72496815E8</v>
      </c>
      <c r="H4348" s="197">
        <v>51.32</v>
      </c>
      <c r="I4348" s="7" t="s">
        <v>16815</v>
      </c>
      <c r="J4348" s="7" t="s">
        <v>17112</v>
      </c>
      <c r="K4348" s="7" t="s">
        <v>17111</v>
      </c>
      <c r="L4348" s="198" t="s">
        <v>65</v>
      </c>
      <c r="M4348" s="199"/>
      <c r="N4348" s="199"/>
    </row>
    <row r="4349">
      <c r="A4349" s="193" t="s">
        <v>22437</v>
      </c>
      <c r="B4349" s="7" t="s">
        <v>17111</v>
      </c>
      <c r="C4349" s="7" t="s">
        <v>17112</v>
      </c>
      <c r="D4349" s="194">
        <v>2015.0</v>
      </c>
      <c r="E4349" s="193"/>
      <c r="F4349" s="195" t="s">
        <v>22438</v>
      </c>
      <c r="G4349" s="200">
        <v>7.72026592E8</v>
      </c>
      <c r="H4349" s="197">
        <v>30.07</v>
      </c>
      <c r="I4349" s="7" t="s">
        <v>16815</v>
      </c>
      <c r="J4349" s="7" t="s">
        <v>17111</v>
      </c>
      <c r="K4349" s="7" t="s">
        <v>17112</v>
      </c>
      <c r="L4349" s="201" t="s">
        <v>16835</v>
      </c>
      <c r="M4349" s="194"/>
      <c r="N4349" s="194"/>
    </row>
    <row r="4350">
      <c r="A4350" s="193" t="s">
        <v>22437</v>
      </c>
      <c r="B4350" s="7" t="s">
        <v>17112</v>
      </c>
      <c r="C4350" s="7" t="s">
        <v>17111</v>
      </c>
      <c r="D4350" s="194">
        <v>2015.0</v>
      </c>
      <c r="E4350" s="193"/>
      <c r="F4350" s="195" t="s">
        <v>22438</v>
      </c>
      <c r="G4350" s="196">
        <v>7.72026592E8</v>
      </c>
      <c r="H4350" s="197">
        <v>30.07</v>
      </c>
      <c r="I4350" s="7" t="s">
        <v>16815</v>
      </c>
      <c r="J4350" s="7" t="s">
        <v>17112</v>
      </c>
      <c r="K4350" s="7" t="s">
        <v>17111</v>
      </c>
      <c r="L4350" s="198" t="s">
        <v>65</v>
      </c>
      <c r="M4350" s="194"/>
      <c r="N4350" s="194"/>
    </row>
    <row r="4351">
      <c r="A4351" s="193" t="s">
        <v>22439</v>
      </c>
      <c r="B4351" s="7" t="s">
        <v>16838</v>
      </c>
      <c r="C4351" s="7" t="s">
        <v>17016</v>
      </c>
      <c r="D4351" s="199"/>
      <c r="E4351" s="193"/>
      <c r="F4351" s="195" t="s">
        <v>22440</v>
      </c>
      <c r="G4351" s="196">
        <v>7.7078765E8</v>
      </c>
      <c r="H4351" s="197">
        <v>22.74</v>
      </c>
      <c r="I4351" s="7" t="s">
        <v>16815</v>
      </c>
      <c r="J4351" s="7" t="s">
        <v>16838</v>
      </c>
      <c r="K4351" s="7" t="s">
        <v>17016</v>
      </c>
      <c r="L4351" s="198" t="s">
        <v>65</v>
      </c>
      <c r="M4351" s="199"/>
      <c r="N4351" s="199"/>
    </row>
    <row r="4352">
      <c r="A4352" s="193" t="s">
        <v>22441</v>
      </c>
      <c r="B4352" s="7" t="s">
        <v>16838</v>
      </c>
      <c r="C4352" s="7" t="s">
        <v>17104</v>
      </c>
      <c r="D4352" s="199"/>
      <c r="E4352" s="193"/>
      <c r="F4352" s="195" t="s">
        <v>22442</v>
      </c>
      <c r="G4352" s="196">
        <v>7.69786799E8</v>
      </c>
      <c r="H4352" s="197">
        <v>21.87</v>
      </c>
      <c r="I4352" s="7" t="s">
        <v>16924</v>
      </c>
      <c r="J4352" s="7" t="s">
        <v>16838</v>
      </c>
      <c r="K4352" s="7" t="s">
        <v>17104</v>
      </c>
      <c r="L4352" s="198" t="s">
        <v>65</v>
      </c>
      <c r="M4352" s="199"/>
      <c r="N4352" s="199"/>
    </row>
    <row r="4353">
      <c r="A4353" s="193" t="s">
        <v>22441</v>
      </c>
      <c r="B4353" s="7" t="s">
        <v>17104</v>
      </c>
      <c r="C4353" s="7" t="s">
        <v>16838</v>
      </c>
      <c r="D4353" s="199"/>
      <c r="E4353" s="193"/>
      <c r="F4353" s="195" t="s">
        <v>22442</v>
      </c>
      <c r="G4353" s="200">
        <v>7.69786799E8</v>
      </c>
      <c r="H4353" s="197">
        <v>21.87</v>
      </c>
      <c r="I4353" s="7" t="s">
        <v>16815</v>
      </c>
      <c r="J4353" s="7" t="s">
        <v>17104</v>
      </c>
      <c r="K4353" s="7" t="s">
        <v>16838</v>
      </c>
      <c r="L4353" s="201" t="s">
        <v>16835</v>
      </c>
      <c r="M4353" s="199"/>
      <c r="N4353" s="199"/>
    </row>
    <row r="4354">
      <c r="A4354" s="193" t="s">
        <v>22443</v>
      </c>
      <c r="B4354" s="7" t="s">
        <v>187</v>
      </c>
      <c r="C4354" s="7" t="s">
        <v>16858</v>
      </c>
      <c r="D4354" s="194">
        <v>2023.0</v>
      </c>
      <c r="E4354" s="193"/>
      <c r="F4354" s="195" t="s">
        <v>22444</v>
      </c>
      <c r="G4354" s="196">
        <v>7.6872907E8</v>
      </c>
      <c r="H4354" s="197">
        <v>15.17</v>
      </c>
      <c r="I4354" s="7" t="s">
        <v>16815</v>
      </c>
      <c r="J4354" s="7" t="s">
        <v>187</v>
      </c>
      <c r="K4354" s="7" t="s">
        <v>16858</v>
      </c>
      <c r="L4354" s="198" t="s">
        <v>65</v>
      </c>
      <c r="M4354" s="194"/>
      <c r="N4354" s="194"/>
    </row>
    <row r="4355">
      <c r="A4355" s="193" t="s">
        <v>22445</v>
      </c>
      <c r="B4355" s="7" t="s">
        <v>175</v>
      </c>
      <c r="C4355" s="7" t="s">
        <v>17350</v>
      </c>
      <c r="D4355" s="199"/>
      <c r="E4355" s="193"/>
      <c r="F4355" s="195" t="s">
        <v>22446</v>
      </c>
      <c r="G4355" s="196">
        <v>7.65305664E8</v>
      </c>
      <c r="H4355" s="197">
        <v>35.22</v>
      </c>
      <c r="I4355" s="7" t="s">
        <v>17242</v>
      </c>
      <c r="J4355" s="7" t="s">
        <v>175</v>
      </c>
      <c r="K4355" s="7" t="s">
        <v>17350</v>
      </c>
      <c r="L4355" s="198" t="s">
        <v>65</v>
      </c>
      <c r="M4355" s="199"/>
      <c r="N4355" s="199"/>
    </row>
    <row r="4356">
      <c r="A4356" s="193" t="s">
        <v>22445</v>
      </c>
      <c r="B4356" s="7" t="s">
        <v>17350</v>
      </c>
      <c r="C4356" s="7" t="s">
        <v>175</v>
      </c>
      <c r="D4356" s="199"/>
      <c r="E4356" s="193"/>
      <c r="F4356" s="195" t="s">
        <v>22446</v>
      </c>
      <c r="G4356" s="200">
        <v>7.65305664E8</v>
      </c>
      <c r="H4356" s="197">
        <v>35.22</v>
      </c>
      <c r="I4356" s="7" t="s">
        <v>16815</v>
      </c>
      <c r="J4356" s="7" t="s">
        <v>17350</v>
      </c>
      <c r="K4356" s="7" t="s">
        <v>175</v>
      </c>
      <c r="L4356" s="201" t="s">
        <v>16835</v>
      </c>
      <c r="M4356" s="199"/>
      <c r="N4356" s="199"/>
    </row>
    <row r="4357">
      <c r="A4357" s="193" t="s">
        <v>22447</v>
      </c>
      <c r="B4357" s="7" t="s">
        <v>16838</v>
      </c>
      <c r="C4357" s="7" t="s">
        <v>16867</v>
      </c>
      <c r="D4357" s="199"/>
      <c r="E4357" s="193"/>
      <c r="F4357" s="195" t="s">
        <v>22448</v>
      </c>
      <c r="G4357" s="196">
        <v>7.64435464E8</v>
      </c>
      <c r="H4357" s="197">
        <v>17.68</v>
      </c>
      <c r="I4357" s="7" t="s">
        <v>16815</v>
      </c>
      <c r="J4357" s="7" t="s">
        <v>16838</v>
      </c>
      <c r="K4357" s="7" t="s">
        <v>16867</v>
      </c>
      <c r="L4357" s="198" t="s">
        <v>65</v>
      </c>
      <c r="M4357" s="199"/>
      <c r="N4357" s="199"/>
    </row>
    <row r="4358">
      <c r="A4358" s="193" t="s">
        <v>22449</v>
      </c>
      <c r="B4358" s="7" t="s">
        <v>17321</v>
      </c>
      <c r="C4358" s="7" t="s">
        <v>169</v>
      </c>
      <c r="D4358" s="194">
        <v>1997.0</v>
      </c>
      <c r="E4358" s="193"/>
      <c r="F4358" s="195" t="s">
        <v>22450</v>
      </c>
      <c r="G4358" s="200">
        <v>7.63649404E8</v>
      </c>
      <c r="H4358" s="197">
        <v>22.34</v>
      </c>
      <c r="I4358" s="7" t="s">
        <v>16815</v>
      </c>
      <c r="J4358" s="7" t="s">
        <v>17321</v>
      </c>
      <c r="K4358" s="7" t="s">
        <v>169</v>
      </c>
      <c r="L4358" s="201" t="s">
        <v>16835</v>
      </c>
      <c r="M4358" s="194"/>
      <c r="N4358" s="194"/>
    </row>
    <row r="4359">
      <c r="A4359" s="193" t="s">
        <v>22449</v>
      </c>
      <c r="B4359" s="7" t="s">
        <v>169</v>
      </c>
      <c r="C4359" s="7" t="s">
        <v>17321</v>
      </c>
      <c r="D4359" s="194">
        <v>1997.0</v>
      </c>
      <c r="E4359" s="193"/>
      <c r="F4359" s="195" t="s">
        <v>22450</v>
      </c>
      <c r="G4359" s="196">
        <v>7.63649404E8</v>
      </c>
      <c r="H4359" s="197">
        <v>22.34</v>
      </c>
      <c r="I4359" s="7" t="s">
        <v>16815</v>
      </c>
      <c r="J4359" s="7" t="s">
        <v>169</v>
      </c>
      <c r="K4359" s="7" t="s">
        <v>17321</v>
      </c>
      <c r="L4359" s="198" t="s">
        <v>65</v>
      </c>
      <c r="M4359" s="194"/>
      <c r="N4359" s="194"/>
    </row>
    <row r="4360">
      <c r="A4360" s="193" t="s">
        <v>22451</v>
      </c>
      <c r="B4360" s="7" t="s">
        <v>175</v>
      </c>
      <c r="C4360" s="7" t="s">
        <v>17069</v>
      </c>
      <c r="D4360" s="199"/>
      <c r="E4360" s="193"/>
      <c r="F4360" s="195" t="s">
        <v>22452</v>
      </c>
      <c r="G4360" s="196">
        <v>7.62642E8</v>
      </c>
      <c r="H4360" s="197">
        <v>27.0</v>
      </c>
      <c r="I4360" s="7" t="s">
        <v>16856</v>
      </c>
      <c r="J4360" s="7" t="s">
        <v>175</v>
      </c>
      <c r="K4360" s="7" t="s">
        <v>17069</v>
      </c>
      <c r="L4360" s="198" t="s">
        <v>65</v>
      </c>
      <c r="M4360" s="199"/>
      <c r="N4360" s="199"/>
    </row>
    <row r="4361">
      <c r="A4361" s="193" t="s">
        <v>22451</v>
      </c>
      <c r="B4361" s="7" t="s">
        <v>17069</v>
      </c>
      <c r="C4361" s="7" t="s">
        <v>175</v>
      </c>
      <c r="D4361" s="199"/>
      <c r="E4361" s="193"/>
      <c r="F4361" s="195" t="s">
        <v>22452</v>
      </c>
      <c r="G4361" s="200">
        <v>7.62642E8</v>
      </c>
      <c r="H4361" s="197">
        <v>27.0</v>
      </c>
      <c r="I4361" s="7" t="s">
        <v>16815</v>
      </c>
      <c r="J4361" s="7" t="s">
        <v>17069</v>
      </c>
      <c r="K4361" s="7" t="s">
        <v>175</v>
      </c>
      <c r="L4361" s="201" t="s">
        <v>16835</v>
      </c>
      <c r="M4361" s="199"/>
      <c r="N4361" s="199"/>
    </row>
    <row r="4362">
      <c r="A4362" s="193" t="s">
        <v>22453</v>
      </c>
      <c r="B4362" s="7" t="s">
        <v>16885</v>
      </c>
      <c r="C4362" s="7" t="s">
        <v>17726</v>
      </c>
      <c r="D4362" s="194">
        <v>2018.0</v>
      </c>
      <c r="E4362" s="193"/>
      <c r="F4362" s="195" t="s">
        <v>22454</v>
      </c>
      <c r="G4362" s="196">
        <v>7.6118427E8</v>
      </c>
      <c r="H4362" s="197">
        <v>5.17</v>
      </c>
      <c r="I4362" s="7" t="s">
        <v>16826</v>
      </c>
      <c r="J4362" s="7" t="s">
        <v>16885</v>
      </c>
      <c r="K4362" s="7" t="s">
        <v>17726</v>
      </c>
      <c r="L4362" s="198" t="s">
        <v>65</v>
      </c>
      <c r="M4362" s="194"/>
      <c r="N4362" s="194"/>
    </row>
    <row r="4363">
      <c r="A4363" s="193" t="s">
        <v>22453</v>
      </c>
      <c r="B4363" s="202" t="s">
        <v>17726</v>
      </c>
      <c r="C4363" s="193" t="s">
        <v>16885</v>
      </c>
      <c r="D4363" s="193">
        <v>2018.0</v>
      </c>
      <c r="E4363" s="193"/>
      <c r="F4363" s="203" t="s">
        <v>22454</v>
      </c>
      <c r="G4363" s="200">
        <v>7.6118427E8</v>
      </c>
      <c r="H4363" s="205">
        <v>1.14</v>
      </c>
      <c r="J4363" s="202" t="s">
        <v>17726</v>
      </c>
      <c r="K4363" s="193" t="s">
        <v>16885</v>
      </c>
      <c r="L4363" s="193" t="s">
        <v>17471</v>
      </c>
      <c r="M4363" s="193"/>
      <c r="N4363" s="193"/>
    </row>
    <row r="4364">
      <c r="A4364" s="193" t="s">
        <v>22455</v>
      </c>
      <c r="B4364" s="7" t="s">
        <v>16838</v>
      </c>
      <c r="C4364" s="7" t="s">
        <v>16837</v>
      </c>
      <c r="D4364" s="199"/>
      <c r="E4364" s="193"/>
      <c r="F4364" s="195" t="s">
        <v>22456</v>
      </c>
      <c r="G4364" s="196">
        <v>7.60694972E8</v>
      </c>
      <c r="H4364" s="197">
        <v>8.56</v>
      </c>
      <c r="I4364" s="7" t="s">
        <v>16815</v>
      </c>
      <c r="J4364" s="7" t="s">
        <v>16838</v>
      </c>
      <c r="K4364" s="7" t="s">
        <v>16837</v>
      </c>
      <c r="L4364" s="198" t="s">
        <v>65</v>
      </c>
      <c r="M4364" s="199"/>
      <c r="N4364" s="199"/>
    </row>
    <row r="4365">
      <c r="A4365" s="193" t="s">
        <v>22457</v>
      </c>
      <c r="B4365" s="7" t="s">
        <v>169</v>
      </c>
      <c r="C4365" s="7" t="s">
        <v>17532</v>
      </c>
      <c r="D4365" s="199"/>
      <c r="E4365" s="193"/>
      <c r="F4365" s="195" t="s">
        <v>22458</v>
      </c>
      <c r="G4365" s="196">
        <v>7.6044795E8</v>
      </c>
      <c r="H4365" s="197">
        <v>7.34</v>
      </c>
      <c r="I4365" s="7" t="s">
        <v>16815</v>
      </c>
      <c r="J4365" s="7" t="s">
        <v>169</v>
      </c>
      <c r="K4365" s="7" t="s">
        <v>17532</v>
      </c>
      <c r="L4365" s="198" t="s">
        <v>65</v>
      </c>
      <c r="M4365" s="199"/>
      <c r="N4365" s="199"/>
    </row>
    <row r="4366">
      <c r="A4366" s="193" t="s">
        <v>22459</v>
      </c>
      <c r="B4366" s="7" t="s">
        <v>175</v>
      </c>
      <c r="C4366" s="7" t="s">
        <v>16854</v>
      </c>
      <c r="D4366" s="194">
        <v>2000.0</v>
      </c>
      <c r="E4366" s="193"/>
      <c r="F4366" s="195" t="s">
        <v>22460</v>
      </c>
      <c r="G4366" s="196">
        <v>7.59859055E8</v>
      </c>
      <c r="H4366" s="197">
        <v>25.09</v>
      </c>
      <c r="I4366" s="7" t="s">
        <v>16892</v>
      </c>
      <c r="J4366" s="7" t="s">
        <v>175</v>
      </c>
      <c r="K4366" s="7" t="s">
        <v>16854</v>
      </c>
      <c r="L4366" s="198" t="s">
        <v>65</v>
      </c>
      <c r="M4366" s="194"/>
      <c r="N4366" s="194"/>
    </row>
    <row r="4367">
      <c r="A4367" s="193" t="s">
        <v>22461</v>
      </c>
      <c r="B4367" s="7" t="s">
        <v>16582</v>
      </c>
      <c r="C4367" s="7" t="s">
        <v>16817</v>
      </c>
      <c r="D4367" s="194">
        <v>2020.0</v>
      </c>
      <c r="E4367" s="193"/>
      <c r="F4367" s="195" t="s">
        <v>22462</v>
      </c>
      <c r="G4367" s="196">
        <v>7.59148477E8</v>
      </c>
      <c r="H4367" s="197">
        <v>14.955</v>
      </c>
      <c r="I4367" s="7" t="s">
        <v>16815</v>
      </c>
      <c r="J4367" s="7" t="s">
        <v>16582</v>
      </c>
      <c r="K4367" s="7" t="s">
        <v>16817</v>
      </c>
      <c r="L4367" s="198" t="s">
        <v>65</v>
      </c>
      <c r="M4367" s="194"/>
      <c r="N4367" s="194"/>
    </row>
    <row r="4368">
      <c r="A4368" s="193" t="s">
        <v>22463</v>
      </c>
      <c r="B4368" s="7" t="s">
        <v>16838</v>
      </c>
      <c r="C4368" s="7" t="s">
        <v>17019</v>
      </c>
      <c r="D4368" s="194">
        <v>2020.0</v>
      </c>
      <c r="E4368" s="193"/>
      <c r="F4368" s="195" t="s">
        <v>22464</v>
      </c>
      <c r="G4368" s="196">
        <v>7.58887015E8</v>
      </c>
      <c r="H4368" s="197">
        <v>2.98</v>
      </c>
      <c r="I4368" s="7" t="s">
        <v>16815</v>
      </c>
      <c r="J4368" s="7" t="s">
        <v>16838</v>
      </c>
      <c r="K4368" s="7" t="s">
        <v>17019</v>
      </c>
      <c r="L4368" s="198" t="s">
        <v>65</v>
      </c>
      <c r="M4368" s="194"/>
      <c r="N4368" s="194"/>
    </row>
    <row r="4369">
      <c r="A4369" s="193" t="s">
        <v>22465</v>
      </c>
      <c r="B4369" s="7" t="s">
        <v>175</v>
      </c>
      <c r="C4369" s="7" t="s">
        <v>17606</v>
      </c>
      <c r="D4369" s="199"/>
      <c r="E4369" s="193"/>
      <c r="F4369" s="195" t="s">
        <v>22466</v>
      </c>
      <c r="G4369" s="196">
        <v>7.58445236E8</v>
      </c>
      <c r="H4369" s="197">
        <v>21.91</v>
      </c>
      <c r="I4369" s="7" t="s">
        <v>17242</v>
      </c>
      <c r="J4369" s="7" t="s">
        <v>175</v>
      </c>
      <c r="K4369" s="7" t="s">
        <v>17606</v>
      </c>
      <c r="L4369" s="198" t="s">
        <v>65</v>
      </c>
      <c r="M4369" s="199"/>
      <c r="N4369" s="199"/>
    </row>
    <row r="4370">
      <c r="A4370" s="193" t="s">
        <v>22467</v>
      </c>
      <c r="B4370" s="7" t="s">
        <v>16582</v>
      </c>
      <c r="C4370" s="7" t="s">
        <v>16817</v>
      </c>
      <c r="D4370" s="194">
        <v>2021.0</v>
      </c>
      <c r="E4370" s="193"/>
      <c r="F4370" s="195" t="s">
        <v>22468</v>
      </c>
      <c r="G4370" s="196">
        <v>7.58037621E8</v>
      </c>
      <c r="H4370" s="197">
        <v>2.48</v>
      </c>
      <c r="I4370" s="7" t="s">
        <v>16815</v>
      </c>
      <c r="J4370" s="7" t="s">
        <v>16582</v>
      </c>
      <c r="K4370" s="7" t="s">
        <v>16817</v>
      </c>
      <c r="L4370" s="198" t="s">
        <v>65</v>
      </c>
      <c r="M4370" s="194"/>
      <c r="N4370" s="194"/>
    </row>
    <row r="4371">
      <c r="A4371" s="193" t="s">
        <v>22469</v>
      </c>
      <c r="B4371" s="7" t="s">
        <v>16885</v>
      </c>
      <c r="C4371" s="7" t="s">
        <v>16886</v>
      </c>
      <c r="D4371" s="194">
        <v>2017.0</v>
      </c>
      <c r="E4371" s="193"/>
      <c r="F4371" s="195" t="s">
        <v>22470</v>
      </c>
      <c r="G4371" s="196">
        <v>7.5755108E8</v>
      </c>
      <c r="H4371" s="197">
        <v>5.72</v>
      </c>
      <c r="I4371" s="7" t="s">
        <v>16826</v>
      </c>
      <c r="J4371" s="7" t="s">
        <v>16885</v>
      </c>
      <c r="K4371" s="7" t="s">
        <v>16886</v>
      </c>
      <c r="L4371" s="198" t="s">
        <v>65</v>
      </c>
      <c r="M4371" s="194"/>
      <c r="N4371" s="194"/>
    </row>
    <row r="4372">
      <c r="A4372" s="193" t="s">
        <v>22469</v>
      </c>
      <c r="B4372" s="7" t="s">
        <v>16886</v>
      </c>
      <c r="C4372" s="7" t="s">
        <v>16885</v>
      </c>
      <c r="D4372" s="194">
        <v>2017.0</v>
      </c>
      <c r="E4372" s="193"/>
      <c r="F4372" s="195" t="s">
        <v>22470</v>
      </c>
      <c r="G4372" s="200">
        <v>7.5755108E8</v>
      </c>
      <c r="H4372" s="197">
        <v>5.72</v>
      </c>
      <c r="I4372" s="7" t="s">
        <v>16815</v>
      </c>
      <c r="J4372" s="7" t="s">
        <v>16886</v>
      </c>
      <c r="K4372" s="7" t="s">
        <v>16885</v>
      </c>
      <c r="L4372" s="201" t="s">
        <v>16835</v>
      </c>
      <c r="M4372" s="194"/>
      <c r="N4372" s="194"/>
    </row>
    <row r="4373">
      <c r="A4373" s="193" t="s">
        <v>22471</v>
      </c>
      <c r="B4373" s="7" t="s">
        <v>16838</v>
      </c>
      <c r="C4373" s="7" t="s">
        <v>16867</v>
      </c>
      <c r="D4373" s="199"/>
      <c r="E4373" s="193"/>
      <c r="F4373" s="195" t="s">
        <v>22472</v>
      </c>
      <c r="G4373" s="196">
        <v>7.56952401E8</v>
      </c>
      <c r="H4373" s="197">
        <v>11.64</v>
      </c>
      <c r="I4373" s="7" t="s">
        <v>16815</v>
      </c>
      <c r="J4373" s="7" t="s">
        <v>16838</v>
      </c>
      <c r="K4373" s="7" t="s">
        <v>16867</v>
      </c>
      <c r="L4373" s="198" t="s">
        <v>65</v>
      </c>
      <c r="M4373" s="199"/>
      <c r="N4373" s="199"/>
    </row>
    <row r="4374">
      <c r="A4374" s="193" t="s">
        <v>22473</v>
      </c>
      <c r="B4374" s="7" t="s">
        <v>169</v>
      </c>
      <c r="C4374" s="7" t="s">
        <v>17057</v>
      </c>
      <c r="D4374" s="194">
        <v>2019.0</v>
      </c>
      <c r="E4374" s="193"/>
      <c r="F4374" s="195" t="s">
        <v>22474</v>
      </c>
      <c r="G4374" s="196">
        <v>7.56381382E8</v>
      </c>
      <c r="H4374" s="197">
        <v>12.99</v>
      </c>
      <c r="I4374" s="7" t="s">
        <v>16815</v>
      </c>
      <c r="J4374" s="7" t="s">
        <v>169</v>
      </c>
      <c r="K4374" s="7" t="s">
        <v>17057</v>
      </c>
      <c r="L4374" s="198" t="s">
        <v>65</v>
      </c>
      <c r="M4374" s="194"/>
      <c r="N4374" s="194"/>
    </row>
    <row r="4375">
      <c r="A4375" s="193" t="s">
        <v>22475</v>
      </c>
      <c r="B4375" s="7" t="s">
        <v>175</v>
      </c>
      <c r="C4375" s="7" t="s">
        <v>16878</v>
      </c>
      <c r="D4375" s="194">
        <v>2021.0</v>
      </c>
      <c r="E4375" s="193"/>
      <c r="F4375" s="195" t="s">
        <v>22476</v>
      </c>
      <c r="G4375" s="196">
        <v>7.55540807E8</v>
      </c>
      <c r="H4375" s="197">
        <v>12.1</v>
      </c>
      <c r="I4375" s="7" t="s">
        <v>16908</v>
      </c>
      <c r="J4375" s="7" t="s">
        <v>175</v>
      </c>
      <c r="K4375" s="7" t="s">
        <v>16878</v>
      </c>
      <c r="L4375" s="198" t="s">
        <v>65</v>
      </c>
      <c r="M4375" s="194"/>
      <c r="N4375" s="194"/>
    </row>
    <row r="4376">
      <c r="A4376" s="193" t="s">
        <v>22477</v>
      </c>
      <c r="B4376" s="7" t="s">
        <v>175</v>
      </c>
      <c r="C4376" s="7" t="s">
        <v>17480</v>
      </c>
      <c r="D4376" s="199"/>
      <c r="E4376" s="193"/>
      <c r="F4376" s="195" t="s">
        <v>22478</v>
      </c>
      <c r="G4376" s="196">
        <v>7.54371823E8</v>
      </c>
      <c r="H4376" s="197">
        <v>2.52</v>
      </c>
      <c r="I4376" s="7" t="s">
        <v>16908</v>
      </c>
      <c r="J4376" s="7" t="s">
        <v>175</v>
      </c>
      <c r="K4376" s="7" t="s">
        <v>17480</v>
      </c>
      <c r="L4376" s="198" t="s">
        <v>65</v>
      </c>
      <c r="M4376" s="199"/>
      <c r="N4376" s="199"/>
    </row>
    <row r="4377">
      <c r="A4377" s="193" t="s">
        <v>22479</v>
      </c>
      <c r="B4377" s="7" t="s">
        <v>187</v>
      </c>
      <c r="C4377" s="7" t="s">
        <v>18633</v>
      </c>
      <c r="D4377" s="194">
        <v>2021.0</v>
      </c>
      <c r="E4377" s="193"/>
      <c r="F4377" s="195" t="s">
        <v>22480</v>
      </c>
      <c r="G4377" s="196">
        <v>7.54160862E8</v>
      </c>
      <c r="H4377" s="197">
        <v>5.55</v>
      </c>
      <c r="I4377" s="7" t="s">
        <v>16815</v>
      </c>
      <c r="J4377" s="7" t="s">
        <v>187</v>
      </c>
      <c r="K4377" s="7" t="s">
        <v>18633</v>
      </c>
      <c r="L4377" s="198" t="s">
        <v>65</v>
      </c>
      <c r="M4377" s="194"/>
      <c r="N4377" s="194"/>
    </row>
    <row r="4378">
      <c r="A4378" s="193" t="s">
        <v>22481</v>
      </c>
      <c r="B4378" s="7" t="s">
        <v>16838</v>
      </c>
      <c r="C4378" s="7" t="s">
        <v>16867</v>
      </c>
      <c r="D4378" s="199"/>
      <c r="E4378" s="193"/>
      <c r="F4378" s="195" t="s">
        <v>22482</v>
      </c>
      <c r="G4378" s="196">
        <v>7.53513397E8</v>
      </c>
      <c r="H4378" s="197">
        <v>19.41</v>
      </c>
      <c r="I4378" s="7" t="s">
        <v>16815</v>
      </c>
      <c r="J4378" s="7" t="s">
        <v>16838</v>
      </c>
      <c r="K4378" s="7" t="s">
        <v>16867</v>
      </c>
      <c r="L4378" s="198" t="s">
        <v>65</v>
      </c>
      <c r="M4378" s="199"/>
      <c r="N4378" s="199"/>
    </row>
    <row r="4379">
      <c r="A4379" s="193" t="s">
        <v>22483</v>
      </c>
      <c r="B4379" s="7" t="s">
        <v>16582</v>
      </c>
      <c r="C4379" s="7" t="s">
        <v>16899</v>
      </c>
      <c r="D4379" s="199"/>
      <c r="E4379" s="193"/>
      <c r="F4379" s="195" t="s">
        <v>22484</v>
      </c>
      <c r="G4379" s="196">
        <v>7.51844E8</v>
      </c>
      <c r="H4379" s="197">
        <v>18.61</v>
      </c>
      <c r="I4379" s="7" t="s">
        <v>16815</v>
      </c>
      <c r="J4379" s="7" t="s">
        <v>16582</v>
      </c>
      <c r="K4379" s="7" t="s">
        <v>16899</v>
      </c>
      <c r="L4379" s="198" t="s">
        <v>65</v>
      </c>
      <c r="M4379" s="199"/>
      <c r="N4379" s="199"/>
    </row>
    <row r="4380">
      <c r="A4380" s="193" t="s">
        <v>22485</v>
      </c>
      <c r="B4380" s="7" t="s">
        <v>16919</v>
      </c>
      <c r="C4380" s="7" t="s">
        <v>16920</v>
      </c>
      <c r="D4380" s="194">
        <v>2007.0</v>
      </c>
      <c r="E4380" s="193"/>
      <c r="F4380" s="195" t="s">
        <v>22486</v>
      </c>
      <c r="G4380" s="196">
        <v>7.5139818E8</v>
      </c>
      <c r="H4380" s="197">
        <v>3.37</v>
      </c>
      <c r="I4380" s="7" t="s">
        <v>16815</v>
      </c>
      <c r="J4380" s="7" t="s">
        <v>16919</v>
      </c>
      <c r="K4380" s="7" t="s">
        <v>16920</v>
      </c>
      <c r="L4380" s="198" t="s">
        <v>65</v>
      </c>
      <c r="M4380" s="194"/>
      <c r="N4380" s="194"/>
    </row>
    <row r="4381">
      <c r="A4381" s="193" t="s">
        <v>22487</v>
      </c>
      <c r="B4381" s="7" t="s">
        <v>169</v>
      </c>
      <c r="C4381" s="7" t="s">
        <v>16945</v>
      </c>
      <c r="D4381" s="194">
        <v>2021.0</v>
      </c>
      <c r="E4381" s="193"/>
      <c r="F4381" s="195" t="s">
        <v>22488</v>
      </c>
      <c r="G4381" s="196">
        <v>7.51390088E8</v>
      </c>
      <c r="H4381" s="197">
        <v>3.84</v>
      </c>
      <c r="I4381" s="7" t="s">
        <v>16815</v>
      </c>
      <c r="J4381" s="7" t="s">
        <v>169</v>
      </c>
      <c r="K4381" s="7" t="s">
        <v>16945</v>
      </c>
      <c r="L4381" s="198" t="s">
        <v>65</v>
      </c>
      <c r="M4381" s="194"/>
      <c r="N4381" s="194"/>
    </row>
    <row r="4382">
      <c r="A4382" s="193" t="s">
        <v>22489</v>
      </c>
      <c r="B4382" s="7" t="s">
        <v>16945</v>
      </c>
      <c r="C4382" s="7" t="s">
        <v>169</v>
      </c>
      <c r="D4382" s="194">
        <v>2014.0</v>
      </c>
      <c r="E4382" s="193"/>
      <c r="F4382" s="195" t="s">
        <v>22490</v>
      </c>
      <c r="G4382" s="200">
        <v>7.49654692E8</v>
      </c>
      <c r="H4382" s="197">
        <v>21.28</v>
      </c>
      <c r="I4382" s="7" t="s">
        <v>16815</v>
      </c>
      <c r="J4382" s="7" t="s">
        <v>16945</v>
      </c>
      <c r="K4382" s="7" t="s">
        <v>169</v>
      </c>
      <c r="L4382" s="201" t="s">
        <v>16835</v>
      </c>
      <c r="M4382" s="194"/>
      <c r="N4382" s="194"/>
    </row>
    <row r="4383">
      <c r="A4383" s="193" t="s">
        <v>22489</v>
      </c>
      <c r="B4383" s="7" t="s">
        <v>169</v>
      </c>
      <c r="C4383" s="7" t="s">
        <v>16945</v>
      </c>
      <c r="D4383" s="194">
        <v>2014.0</v>
      </c>
      <c r="E4383" s="193"/>
      <c r="F4383" s="195" t="s">
        <v>22490</v>
      </c>
      <c r="G4383" s="196">
        <v>7.49654692E8</v>
      </c>
      <c r="H4383" s="197">
        <v>21.28</v>
      </c>
      <c r="I4383" s="7" t="s">
        <v>16815</v>
      </c>
      <c r="J4383" s="7" t="s">
        <v>169</v>
      </c>
      <c r="K4383" s="7" t="s">
        <v>16945</v>
      </c>
      <c r="L4383" s="198" t="s">
        <v>65</v>
      </c>
      <c r="M4383" s="194"/>
      <c r="N4383" s="194"/>
    </row>
    <row r="4384">
      <c r="A4384" s="193" t="s">
        <v>22491</v>
      </c>
      <c r="B4384" s="7" t="s">
        <v>169</v>
      </c>
      <c r="C4384" s="7" t="s">
        <v>17619</v>
      </c>
      <c r="D4384" s="194">
        <v>2020.0</v>
      </c>
      <c r="E4384" s="193"/>
      <c r="F4384" s="195" t="s">
        <v>22492</v>
      </c>
      <c r="G4384" s="196">
        <v>7.49582134E8</v>
      </c>
      <c r="H4384" s="197">
        <v>2.56</v>
      </c>
      <c r="I4384" s="7" t="s">
        <v>16815</v>
      </c>
      <c r="J4384" s="7" t="s">
        <v>169</v>
      </c>
      <c r="K4384" s="7" t="s">
        <v>17619</v>
      </c>
      <c r="L4384" s="198" t="s">
        <v>65</v>
      </c>
      <c r="M4384" s="194"/>
      <c r="N4384" s="194"/>
    </row>
    <row r="4385">
      <c r="A4385" s="193" t="s">
        <v>22491</v>
      </c>
      <c r="B4385" s="7" t="s">
        <v>17619</v>
      </c>
      <c r="C4385" s="7" t="s">
        <v>169</v>
      </c>
      <c r="D4385" s="194">
        <v>2020.0</v>
      </c>
      <c r="E4385" s="193"/>
      <c r="F4385" s="195" t="s">
        <v>22492</v>
      </c>
      <c r="G4385" s="200">
        <v>7.49582134E8</v>
      </c>
      <c r="H4385" s="197">
        <v>2.56</v>
      </c>
      <c r="I4385" s="7" t="s">
        <v>16815</v>
      </c>
      <c r="J4385" s="7" t="s">
        <v>17619</v>
      </c>
      <c r="K4385" s="7" t="s">
        <v>169</v>
      </c>
      <c r="L4385" s="201" t="s">
        <v>16835</v>
      </c>
      <c r="M4385" s="194"/>
      <c r="N4385" s="194"/>
    </row>
    <row r="4386">
      <c r="A4386" s="193" t="s">
        <v>22493</v>
      </c>
      <c r="B4386" s="7" t="s">
        <v>16582</v>
      </c>
      <c r="C4386" s="7" t="s">
        <v>17435</v>
      </c>
      <c r="D4386" s="199"/>
      <c r="E4386" s="193"/>
      <c r="F4386" s="195" t="s">
        <v>22494</v>
      </c>
      <c r="G4386" s="196">
        <v>7.48735693E8</v>
      </c>
      <c r="H4386" s="197">
        <v>30.07</v>
      </c>
      <c r="I4386" s="7" t="s">
        <v>16815</v>
      </c>
      <c r="J4386" s="7" t="s">
        <v>16582</v>
      </c>
      <c r="K4386" s="7" t="s">
        <v>17435</v>
      </c>
      <c r="L4386" s="198" t="s">
        <v>65</v>
      </c>
      <c r="M4386" s="199"/>
      <c r="N4386" s="199"/>
    </row>
    <row r="4387">
      <c r="A4387" s="193" t="s">
        <v>22495</v>
      </c>
      <c r="B4387" s="7" t="s">
        <v>16582</v>
      </c>
      <c r="C4387" s="7" t="s">
        <v>16817</v>
      </c>
      <c r="D4387" s="194">
        <v>2021.0</v>
      </c>
      <c r="E4387" s="193"/>
      <c r="F4387" s="195" t="s">
        <v>22496</v>
      </c>
      <c r="G4387" s="196">
        <v>7.42826544E8</v>
      </c>
      <c r="H4387" s="197">
        <v>24.0</v>
      </c>
      <c r="I4387" s="7" t="s">
        <v>16815</v>
      </c>
      <c r="J4387" s="7" t="s">
        <v>16582</v>
      </c>
      <c r="K4387" s="7" t="s">
        <v>16817</v>
      </c>
      <c r="L4387" s="198" t="s">
        <v>65</v>
      </c>
      <c r="M4387" s="194"/>
      <c r="N4387" s="194"/>
    </row>
    <row r="4388">
      <c r="A4388" s="193" t="s">
        <v>22497</v>
      </c>
      <c r="B4388" s="7" t="s">
        <v>17111</v>
      </c>
      <c r="C4388" s="7" t="s">
        <v>17112</v>
      </c>
      <c r="D4388" s="194">
        <v>2010.0</v>
      </c>
      <c r="E4388" s="193"/>
      <c r="F4388" s="195" t="s">
        <v>22498</v>
      </c>
      <c r="G4388" s="200">
        <v>7.4274169E8</v>
      </c>
      <c r="H4388" s="197">
        <v>5.27</v>
      </c>
      <c r="I4388" s="7" t="s">
        <v>16815</v>
      </c>
      <c r="J4388" s="7" t="s">
        <v>17111</v>
      </c>
      <c r="K4388" s="7" t="s">
        <v>17112</v>
      </c>
      <c r="L4388" s="201" t="s">
        <v>16835</v>
      </c>
      <c r="M4388" s="194"/>
      <c r="N4388" s="194"/>
    </row>
    <row r="4389">
      <c r="A4389" s="193" t="s">
        <v>22497</v>
      </c>
      <c r="B4389" s="7" t="s">
        <v>17112</v>
      </c>
      <c r="C4389" s="7" t="s">
        <v>17111</v>
      </c>
      <c r="D4389" s="194">
        <v>2010.0</v>
      </c>
      <c r="E4389" s="193"/>
      <c r="F4389" s="195" t="s">
        <v>22498</v>
      </c>
      <c r="G4389" s="196">
        <v>7.4274169E8</v>
      </c>
      <c r="H4389" s="197">
        <v>5.27</v>
      </c>
      <c r="I4389" s="7" t="s">
        <v>16815</v>
      </c>
      <c r="J4389" s="7" t="s">
        <v>17112</v>
      </c>
      <c r="K4389" s="7" t="s">
        <v>17111</v>
      </c>
      <c r="L4389" s="198" t="s">
        <v>65</v>
      </c>
      <c r="M4389" s="194"/>
      <c r="N4389" s="194"/>
    </row>
    <row r="4390">
      <c r="A4390" s="193" t="s">
        <v>22499</v>
      </c>
      <c r="B4390" s="7" t="s">
        <v>16885</v>
      </c>
      <c r="C4390" s="7" t="s">
        <v>18381</v>
      </c>
      <c r="D4390" s="199"/>
      <c r="E4390" s="193"/>
      <c r="F4390" s="195" t="s">
        <v>22500</v>
      </c>
      <c r="G4390" s="196">
        <v>7.41287628E8</v>
      </c>
      <c r="H4390" s="197">
        <v>13.55</v>
      </c>
      <c r="I4390" s="7" t="s">
        <v>19569</v>
      </c>
      <c r="J4390" s="7" t="s">
        <v>16885</v>
      </c>
      <c r="K4390" s="7" t="s">
        <v>18381</v>
      </c>
      <c r="L4390" s="198" t="s">
        <v>65</v>
      </c>
      <c r="M4390" s="199"/>
      <c r="N4390" s="199"/>
    </row>
    <row r="4391">
      <c r="A4391" s="193" t="s">
        <v>22499</v>
      </c>
      <c r="B4391" s="7" t="s">
        <v>18381</v>
      </c>
      <c r="C4391" s="7" t="s">
        <v>16885</v>
      </c>
      <c r="D4391" s="199"/>
      <c r="E4391" s="193"/>
      <c r="F4391" s="195" t="s">
        <v>22500</v>
      </c>
      <c r="G4391" s="200">
        <v>7.41287628E8</v>
      </c>
      <c r="H4391" s="197">
        <v>13.55</v>
      </c>
      <c r="I4391" s="7" t="s">
        <v>16815</v>
      </c>
      <c r="J4391" s="7" t="s">
        <v>18381</v>
      </c>
      <c r="K4391" s="7" t="s">
        <v>16885</v>
      </c>
      <c r="L4391" s="201" t="s">
        <v>16835</v>
      </c>
      <c r="M4391" s="199"/>
      <c r="N4391" s="199"/>
    </row>
    <row r="4392">
      <c r="A4392" s="193" t="s">
        <v>22501</v>
      </c>
      <c r="B4392" s="7" t="s">
        <v>17016</v>
      </c>
      <c r="C4392" s="7" t="s">
        <v>16838</v>
      </c>
      <c r="D4392" s="194">
        <v>2020.0</v>
      </c>
      <c r="E4392" s="193"/>
      <c r="F4392" s="195" t="s">
        <v>22502</v>
      </c>
      <c r="G4392" s="200">
        <v>7.41256576E8</v>
      </c>
      <c r="H4392" s="197">
        <v>12.16</v>
      </c>
      <c r="I4392" s="7" t="s">
        <v>16815</v>
      </c>
      <c r="J4392" s="7" t="s">
        <v>17016</v>
      </c>
      <c r="K4392" s="7" t="s">
        <v>16838</v>
      </c>
      <c r="L4392" s="201" t="s">
        <v>16835</v>
      </c>
      <c r="M4392" s="194"/>
      <c r="N4392" s="194"/>
    </row>
    <row r="4393">
      <c r="A4393" s="193" t="s">
        <v>22501</v>
      </c>
      <c r="B4393" s="7" t="s">
        <v>16838</v>
      </c>
      <c r="C4393" s="7" t="s">
        <v>17016</v>
      </c>
      <c r="D4393" s="194">
        <v>2020.0</v>
      </c>
      <c r="E4393" s="193"/>
      <c r="F4393" s="195" t="s">
        <v>22502</v>
      </c>
      <c r="G4393" s="196">
        <v>7.41256576E8</v>
      </c>
      <c r="H4393" s="197">
        <v>12.16</v>
      </c>
      <c r="I4393" s="7" t="s">
        <v>16815</v>
      </c>
      <c r="J4393" s="7" t="s">
        <v>16838</v>
      </c>
      <c r="K4393" s="7" t="s">
        <v>17016</v>
      </c>
      <c r="L4393" s="198" t="s">
        <v>65</v>
      </c>
      <c r="M4393" s="194"/>
      <c r="N4393" s="194"/>
    </row>
    <row r="4394">
      <c r="A4394" s="193" t="s">
        <v>22503</v>
      </c>
      <c r="B4394" s="7" t="s">
        <v>175</v>
      </c>
      <c r="C4394" s="7" t="s">
        <v>19996</v>
      </c>
      <c r="D4394" s="199"/>
      <c r="E4394" s="193"/>
      <c r="F4394" s="195" t="s">
        <v>22504</v>
      </c>
      <c r="G4394" s="196">
        <v>7.3975E8</v>
      </c>
      <c r="H4394" s="197">
        <v>14.1</v>
      </c>
      <c r="I4394" s="7" t="s">
        <v>16908</v>
      </c>
      <c r="J4394" s="7" t="s">
        <v>175</v>
      </c>
      <c r="K4394" s="7" t="s">
        <v>19996</v>
      </c>
      <c r="L4394" s="198" t="s">
        <v>65</v>
      </c>
      <c r="M4394" s="199"/>
      <c r="N4394" s="199"/>
    </row>
    <row r="4395">
      <c r="A4395" s="193" t="s">
        <v>22505</v>
      </c>
      <c r="D4395" s="194">
        <v>2023.0</v>
      </c>
      <c r="E4395" s="193"/>
      <c r="F4395" s="195" t="s">
        <v>22506</v>
      </c>
      <c r="G4395" s="196">
        <v>7.39290094E8</v>
      </c>
      <c r="H4395" s="197">
        <v>13.77</v>
      </c>
      <c r="I4395" s="7" t="s">
        <v>16815</v>
      </c>
      <c r="L4395" s="198" t="s">
        <v>65</v>
      </c>
      <c r="M4395" s="194"/>
      <c r="N4395" s="194"/>
    </row>
    <row r="4396">
      <c r="A4396" s="193" t="s">
        <v>22505</v>
      </c>
      <c r="D4396" s="194">
        <v>2023.0</v>
      </c>
      <c r="E4396" s="193"/>
      <c r="F4396" s="195" t="s">
        <v>22506</v>
      </c>
      <c r="G4396" s="200">
        <v>7.39290094E8</v>
      </c>
      <c r="H4396" s="197">
        <v>13.77</v>
      </c>
      <c r="I4396" s="7" t="s">
        <v>22135</v>
      </c>
      <c r="L4396" s="201" t="s">
        <v>16835</v>
      </c>
      <c r="M4396" s="194"/>
      <c r="N4396" s="194"/>
    </row>
    <row r="4397">
      <c r="A4397" s="193" t="s">
        <v>22507</v>
      </c>
      <c r="D4397" s="194">
        <v>2020.0</v>
      </c>
      <c r="E4397" s="193"/>
      <c r="F4397" s="195" t="s">
        <v>22508</v>
      </c>
      <c r="G4397" s="196">
        <v>7.34143938E8</v>
      </c>
      <c r="H4397" s="197">
        <v>29.17</v>
      </c>
      <c r="I4397" s="7" t="s">
        <v>16815</v>
      </c>
      <c r="L4397" s="198" t="s">
        <v>65</v>
      </c>
      <c r="M4397" s="194"/>
      <c r="N4397" s="194"/>
    </row>
    <row r="4398">
      <c r="A4398" s="193" t="s">
        <v>22507</v>
      </c>
      <c r="D4398" s="194">
        <v>2020.0</v>
      </c>
      <c r="E4398" s="193"/>
      <c r="F4398" s="195" t="s">
        <v>22508</v>
      </c>
      <c r="G4398" s="200">
        <v>7.34143938E8</v>
      </c>
      <c r="H4398" s="197">
        <v>29.17</v>
      </c>
      <c r="L4398" s="201" t="s">
        <v>16835</v>
      </c>
      <c r="M4398" s="194"/>
      <c r="N4398" s="194"/>
    </row>
    <row r="4399">
      <c r="A4399" s="193" t="s">
        <v>22509</v>
      </c>
      <c r="B4399" s="7" t="s">
        <v>19644</v>
      </c>
      <c r="C4399" s="7" t="s">
        <v>16838</v>
      </c>
      <c r="D4399" s="194">
        <v>2014.0</v>
      </c>
      <c r="E4399" s="193"/>
      <c r="F4399" s="195" t="s">
        <v>22510</v>
      </c>
      <c r="G4399" s="200">
        <v>7.33424173E8</v>
      </c>
      <c r="H4399" s="197">
        <v>33.1</v>
      </c>
      <c r="I4399" s="7" t="s">
        <v>16815</v>
      </c>
      <c r="J4399" s="7" t="s">
        <v>19644</v>
      </c>
      <c r="K4399" s="7" t="s">
        <v>16838</v>
      </c>
      <c r="L4399" s="201" t="s">
        <v>16835</v>
      </c>
      <c r="M4399" s="194"/>
      <c r="N4399" s="194"/>
    </row>
    <row r="4400">
      <c r="A4400" s="193" t="s">
        <v>22509</v>
      </c>
      <c r="B4400" s="7" t="s">
        <v>16838</v>
      </c>
      <c r="C4400" s="7" t="s">
        <v>19644</v>
      </c>
      <c r="D4400" s="194">
        <v>2014.0</v>
      </c>
      <c r="E4400" s="193"/>
      <c r="F4400" s="195" t="s">
        <v>22510</v>
      </c>
      <c r="G4400" s="196">
        <v>7.33424173E8</v>
      </c>
      <c r="H4400" s="197">
        <v>33.1</v>
      </c>
      <c r="I4400" s="7" t="s">
        <v>16815</v>
      </c>
      <c r="J4400" s="7" t="s">
        <v>16838</v>
      </c>
      <c r="K4400" s="7" t="s">
        <v>19644</v>
      </c>
      <c r="L4400" s="198" t="s">
        <v>65</v>
      </c>
      <c r="M4400" s="194"/>
      <c r="N4400" s="194"/>
    </row>
    <row r="4401">
      <c r="A4401" s="193" t="s">
        <v>22511</v>
      </c>
      <c r="B4401" s="7" t="s">
        <v>17532</v>
      </c>
      <c r="C4401" s="7" t="s">
        <v>169</v>
      </c>
      <c r="D4401" s="194">
        <v>2011.0</v>
      </c>
      <c r="E4401" s="193"/>
      <c r="F4401" s="195" t="s">
        <v>22512</v>
      </c>
      <c r="G4401" s="200">
        <v>7.31191774E8</v>
      </c>
      <c r="H4401" s="197">
        <v>8.73</v>
      </c>
      <c r="I4401" s="7" t="s">
        <v>16815</v>
      </c>
      <c r="J4401" s="7" t="s">
        <v>17532</v>
      </c>
      <c r="K4401" s="7" t="s">
        <v>169</v>
      </c>
      <c r="L4401" s="201" t="s">
        <v>16835</v>
      </c>
      <c r="M4401" s="194"/>
      <c r="N4401" s="194"/>
    </row>
    <row r="4402">
      <c r="A4402" s="193" t="s">
        <v>22511</v>
      </c>
      <c r="B4402" s="7" t="s">
        <v>169</v>
      </c>
      <c r="C4402" s="7" t="s">
        <v>17532</v>
      </c>
      <c r="D4402" s="194">
        <v>2011.0</v>
      </c>
      <c r="E4402" s="193"/>
      <c r="F4402" s="195" t="s">
        <v>22512</v>
      </c>
      <c r="G4402" s="196">
        <v>7.31191774E8</v>
      </c>
      <c r="H4402" s="197">
        <v>8.73</v>
      </c>
      <c r="I4402" s="7" t="s">
        <v>16815</v>
      </c>
      <c r="J4402" s="7" t="s">
        <v>169</v>
      </c>
      <c r="K4402" s="7" t="s">
        <v>17532</v>
      </c>
      <c r="L4402" s="198" t="s">
        <v>65</v>
      </c>
      <c r="M4402" s="194"/>
      <c r="N4402" s="194"/>
    </row>
    <row r="4403">
      <c r="A4403" s="193" t="s">
        <v>22513</v>
      </c>
      <c r="B4403" s="7" t="s">
        <v>16582</v>
      </c>
      <c r="C4403" s="7" t="s">
        <v>16817</v>
      </c>
      <c r="D4403" s="194">
        <v>2020.0</v>
      </c>
      <c r="E4403" s="193"/>
      <c r="F4403" s="195" t="s">
        <v>22514</v>
      </c>
      <c r="G4403" s="196">
        <v>7.30456779E8</v>
      </c>
      <c r="H4403" s="197">
        <v>5.31</v>
      </c>
      <c r="I4403" s="7" t="s">
        <v>16815</v>
      </c>
      <c r="J4403" s="7" t="s">
        <v>16582</v>
      </c>
      <c r="K4403" s="7" t="s">
        <v>16817</v>
      </c>
      <c r="L4403" s="198" t="s">
        <v>65</v>
      </c>
      <c r="M4403" s="194"/>
      <c r="N4403" s="194"/>
    </row>
    <row r="4404">
      <c r="A4404" s="193" t="s">
        <v>22515</v>
      </c>
      <c r="B4404" s="7" t="s">
        <v>16838</v>
      </c>
      <c r="C4404" s="7" t="s">
        <v>16867</v>
      </c>
      <c r="D4404" s="194">
        <v>1997.0</v>
      </c>
      <c r="E4404" s="193"/>
      <c r="F4404" s="195" t="s">
        <v>22516</v>
      </c>
      <c r="G4404" s="196">
        <v>7.30424009E8</v>
      </c>
      <c r="H4404" s="197">
        <v>50.9</v>
      </c>
      <c r="I4404" s="7" t="s">
        <v>16815</v>
      </c>
      <c r="J4404" s="7" t="s">
        <v>16838</v>
      </c>
      <c r="K4404" s="7" t="s">
        <v>16867</v>
      </c>
      <c r="L4404" s="198" t="s">
        <v>65</v>
      </c>
      <c r="M4404" s="194"/>
      <c r="N4404" s="194"/>
    </row>
    <row r="4405">
      <c r="A4405" s="193" t="s">
        <v>22515</v>
      </c>
      <c r="B4405" s="202" t="s">
        <v>16867</v>
      </c>
      <c r="C4405" s="193" t="s">
        <v>16838</v>
      </c>
      <c r="D4405" s="193">
        <v>1997.0</v>
      </c>
      <c r="E4405" s="193"/>
      <c r="F4405" s="203" t="s">
        <v>22516</v>
      </c>
      <c r="G4405" s="200">
        <v>7.30424009E8</v>
      </c>
      <c r="H4405" s="205">
        <v>5.17</v>
      </c>
      <c r="J4405" s="202" t="s">
        <v>16867</v>
      </c>
      <c r="K4405" s="193" t="s">
        <v>16838</v>
      </c>
      <c r="L4405" s="193" t="s">
        <v>17471</v>
      </c>
      <c r="M4405" s="193"/>
      <c r="N4405" s="193"/>
    </row>
    <row r="4406">
      <c r="A4406" s="193" t="s">
        <v>22517</v>
      </c>
      <c r="B4406" s="7" t="s">
        <v>16838</v>
      </c>
      <c r="C4406" s="7" t="s">
        <v>17019</v>
      </c>
      <c r="D4406" s="194">
        <v>2015.0</v>
      </c>
      <c r="E4406" s="193"/>
      <c r="F4406" s="195" t="s">
        <v>22518</v>
      </c>
      <c r="G4406" s="196">
        <v>7.2874573E8</v>
      </c>
      <c r="H4406" s="197">
        <v>33.6</v>
      </c>
      <c r="I4406" s="7" t="s">
        <v>16872</v>
      </c>
      <c r="J4406" s="7" t="s">
        <v>16838</v>
      </c>
      <c r="K4406" s="7" t="s">
        <v>17019</v>
      </c>
      <c r="L4406" s="198" t="s">
        <v>65</v>
      </c>
      <c r="M4406" s="194"/>
      <c r="N4406" s="194"/>
    </row>
    <row r="4407">
      <c r="A4407" s="193" t="s">
        <v>22517</v>
      </c>
      <c r="B4407" s="7" t="s">
        <v>17019</v>
      </c>
      <c r="C4407" s="7" t="s">
        <v>16838</v>
      </c>
      <c r="D4407" s="194">
        <v>2015.0</v>
      </c>
      <c r="E4407" s="193"/>
      <c r="F4407" s="195" t="s">
        <v>22518</v>
      </c>
      <c r="G4407" s="200">
        <v>7.2874573E8</v>
      </c>
      <c r="H4407" s="197">
        <v>33.6</v>
      </c>
      <c r="I4407" s="7" t="s">
        <v>16815</v>
      </c>
      <c r="J4407" s="7" t="s">
        <v>17019</v>
      </c>
      <c r="K4407" s="7" t="s">
        <v>16838</v>
      </c>
      <c r="L4407" s="201" t="s">
        <v>16835</v>
      </c>
      <c r="M4407" s="194"/>
      <c r="N4407" s="194"/>
    </row>
    <row r="4408">
      <c r="A4408" s="193" t="s">
        <v>22519</v>
      </c>
      <c r="B4408" s="7" t="s">
        <v>17202</v>
      </c>
      <c r="C4408" s="7" t="s">
        <v>16838</v>
      </c>
      <c r="D4408" s="194">
        <v>2010.0</v>
      </c>
      <c r="E4408" s="193"/>
      <c r="F4408" s="195" t="s">
        <v>22520</v>
      </c>
      <c r="G4408" s="200">
        <v>7.27720199E8</v>
      </c>
      <c r="H4408" s="197">
        <v>11.39</v>
      </c>
      <c r="I4408" s="7" t="s">
        <v>16815</v>
      </c>
      <c r="J4408" s="7" t="s">
        <v>17202</v>
      </c>
      <c r="K4408" s="7" t="s">
        <v>16838</v>
      </c>
      <c r="L4408" s="201" t="s">
        <v>16835</v>
      </c>
      <c r="M4408" s="194"/>
      <c r="N4408" s="194"/>
    </row>
    <row r="4409">
      <c r="A4409" s="193" t="s">
        <v>22519</v>
      </c>
      <c r="B4409" s="7" t="s">
        <v>16838</v>
      </c>
      <c r="C4409" s="7" t="s">
        <v>17202</v>
      </c>
      <c r="D4409" s="194">
        <v>2010.0</v>
      </c>
      <c r="E4409" s="193"/>
      <c r="F4409" s="195" t="s">
        <v>22520</v>
      </c>
      <c r="G4409" s="196">
        <v>7.27720199E8</v>
      </c>
      <c r="H4409" s="197">
        <v>11.39</v>
      </c>
      <c r="I4409" s="7" t="s">
        <v>16815</v>
      </c>
      <c r="J4409" s="7" t="s">
        <v>16838</v>
      </c>
      <c r="K4409" s="7" t="s">
        <v>17202</v>
      </c>
      <c r="L4409" s="198" t="s">
        <v>65</v>
      </c>
      <c r="M4409" s="194"/>
      <c r="N4409" s="194"/>
    </row>
    <row r="4410">
      <c r="A4410" s="193" t="s">
        <v>22521</v>
      </c>
      <c r="B4410" s="7" t="s">
        <v>16582</v>
      </c>
      <c r="C4410" s="7" t="s">
        <v>16583</v>
      </c>
      <c r="D4410" s="194">
        <v>2018.0</v>
      </c>
      <c r="E4410" s="193"/>
      <c r="F4410" s="195" t="s">
        <v>22522</v>
      </c>
      <c r="G4410" s="196">
        <v>7.27505722E8</v>
      </c>
      <c r="H4410" s="197">
        <v>7.23</v>
      </c>
      <c r="I4410" s="7" t="s">
        <v>16815</v>
      </c>
      <c r="J4410" s="7" t="s">
        <v>16582</v>
      </c>
      <c r="K4410" s="7" t="s">
        <v>16583</v>
      </c>
      <c r="L4410" s="198" t="s">
        <v>65</v>
      </c>
      <c r="M4410" s="194"/>
      <c r="N4410" s="194"/>
    </row>
    <row r="4411">
      <c r="A4411" s="193" t="s">
        <v>22521</v>
      </c>
      <c r="B4411" s="7" t="s">
        <v>16583</v>
      </c>
      <c r="C4411" s="7" t="s">
        <v>16582</v>
      </c>
      <c r="D4411" s="194">
        <v>2018.0</v>
      </c>
      <c r="E4411" s="193"/>
      <c r="F4411" s="195" t="s">
        <v>22522</v>
      </c>
      <c r="G4411" s="200">
        <v>7.27505722E8</v>
      </c>
      <c r="H4411" s="197">
        <v>7.23</v>
      </c>
      <c r="I4411" s="7" t="s">
        <v>16815</v>
      </c>
      <c r="J4411" s="7" t="s">
        <v>16583</v>
      </c>
      <c r="K4411" s="7" t="s">
        <v>16582</v>
      </c>
      <c r="L4411" s="201" t="s">
        <v>16835</v>
      </c>
      <c r="M4411" s="194"/>
      <c r="N4411" s="194"/>
    </row>
    <row r="4412">
      <c r="A4412" s="193" t="s">
        <v>22523</v>
      </c>
      <c r="B4412" s="7" t="s">
        <v>187</v>
      </c>
      <c r="C4412" s="7" t="s">
        <v>16846</v>
      </c>
      <c r="D4412" s="194">
        <v>2018.0</v>
      </c>
      <c r="E4412" s="193"/>
      <c r="F4412" s="195" t="s">
        <v>22524</v>
      </c>
      <c r="G4412" s="196">
        <v>7.24679027E8</v>
      </c>
      <c r="H4412" s="197">
        <v>10.045</v>
      </c>
      <c r="I4412" s="7" t="s">
        <v>16815</v>
      </c>
      <c r="J4412" s="7" t="s">
        <v>187</v>
      </c>
      <c r="K4412" s="7" t="s">
        <v>16846</v>
      </c>
      <c r="L4412" s="198" t="s">
        <v>65</v>
      </c>
      <c r="M4412" s="194"/>
      <c r="N4412" s="194"/>
    </row>
    <row r="4413">
      <c r="A4413" s="193" t="s">
        <v>22525</v>
      </c>
      <c r="B4413" s="7" t="s">
        <v>175</v>
      </c>
      <c r="C4413" s="7" t="s">
        <v>17812</v>
      </c>
      <c r="D4413" s="199"/>
      <c r="E4413" s="193"/>
      <c r="F4413" s="195" t="s">
        <v>22526</v>
      </c>
      <c r="G4413" s="196">
        <v>7.23918899E8</v>
      </c>
      <c r="H4413" s="197">
        <v>22.9</v>
      </c>
      <c r="I4413" s="7" t="s">
        <v>17222</v>
      </c>
      <c r="J4413" s="7" t="s">
        <v>175</v>
      </c>
      <c r="K4413" s="7" t="s">
        <v>17812</v>
      </c>
      <c r="L4413" s="198" t="s">
        <v>65</v>
      </c>
      <c r="M4413" s="199"/>
      <c r="N4413" s="199"/>
    </row>
    <row r="4414">
      <c r="A4414" s="193" t="s">
        <v>22527</v>
      </c>
      <c r="B4414" s="7" t="s">
        <v>16838</v>
      </c>
      <c r="C4414" s="7" t="s">
        <v>17016</v>
      </c>
      <c r="D4414" s="194">
        <v>2017.0</v>
      </c>
      <c r="E4414" s="193"/>
      <c r="F4414" s="195" t="s">
        <v>22528</v>
      </c>
      <c r="G4414" s="196">
        <v>7.23827909E8</v>
      </c>
      <c r="H4414" s="197">
        <v>14.25</v>
      </c>
      <c r="I4414" s="7" t="s">
        <v>16815</v>
      </c>
      <c r="J4414" s="7" t="s">
        <v>16838</v>
      </c>
      <c r="K4414" s="7" t="s">
        <v>17016</v>
      </c>
      <c r="L4414" s="198" t="s">
        <v>65</v>
      </c>
      <c r="M4414" s="194"/>
      <c r="N4414" s="194"/>
    </row>
    <row r="4415">
      <c r="A4415" s="193" t="s">
        <v>22529</v>
      </c>
      <c r="B4415" s="7" t="s">
        <v>187</v>
      </c>
      <c r="C4415" s="7" t="s">
        <v>16846</v>
      </c>
      <c r="D4415" s="199"/>
      <c r="E4415" s="193"/>
      <c r="F4415" s="195" t="s">
        <v>22530</v>
      </c>
      <c r="G4415" s="196">
        <v>7.225863E8</v>
      </c>
      <c r="H4415" s="197">
        <v>11.01</v>
      </c>
      <c r="I4415" s="7" t="s">
        <v>16815</v>
      </c>
      <c r="J4415" s="7" t="s">
        <v>187</v>
      </c>
      <c r="K4415" s="7" t="s">
        <v>16846</v>
      </c>
      <c r="L4415" s="198" t="s">
        <v>65</v>
      </c>
      <c r="M4415" s="199"/>
      <c r="N4415" s="199"/>
    </row>
    <row r="4416">
      <c r="A4416" s="193" t="s">
        <v>22531</v>
      </c>
      <c r="B4416" s="7" t="s">
        <v>187</v>
      </c>
      <c r="C4416" s="7" t="s">
        <v>16858</v>
      </c>
      <c r="D4416" s="199"/>
      <c r="E4416" s="193"/>
      <c r="F4416" s="195" t="s">
        <v>22532</v>
      </c>
      <c r="G4416" s="196">
        <v>7.222314E8</v>
      </c>
      <c r="H4416" s="197">
        <v>9.42</v>
      </c>
      <c r="I4416" s="7" t="s">
        <v>16815</v>
      </c>
      <c r="J4416" s="7" t="s">
        <v>187</v>
      </c>
      <c r="K4416" s="7" t="s">
        <v>16858</v>
      </c>
      <c r="L4416" s="198" t="s">
        <v>65</v>
      </c>
      <c r="M4416" s="199"/>
      <c r="N4416" s="199"/>
    </row>
    <row r="4417">
      <c r="A4417" s="193" t="s">
        <v>22533</v>
      </c>
      <c r="B4417" s="7" t="s">
        <v>16885</v>
      </c>
      <c r="C4417" s="7" t="s">
        <v>17726</v>
      </c>
      <c r="D4417" s="199"/>
      <c r="E4417" s="193"/>
      <c r="F4417" s="195" t="s">
        <v>22534</v>
      </c>
      <c r="G4417" s="196">
        <v>7.21066984E8</v>
      </c>
      <c r="H4417" s="197">
        <v>8.34</v>
      </c>
      <c r="I4417" s="7" t="s">
        <v>16888</v>
      </c>
      <c r="J4417" s="7" t="s">
        <v>16885</v>
      </c>
      <c r="K4417" s="7" t="s">
        <v>17726</v>
      </c>
      <c r="L4417" s="198" t="s">
        <v>65</v>
      </c>
      <c r="M4417" s="199"/>
      <c r="N4417" s="199"/>
    </row>
    <row r="4418">
      <c r="A4418" s="193" t="s">
        <v>22533</v>
      </c>
      <c r="B4418" s="7" t="s">
        <v>17726</v>
      </c>
      <c r="C4418" s="7" t="s">
        <v>16885</v>
      </c>
      <c r="D4418" s="199"/>
      <c r="E4418" s="193"/>
      <c r="F4418" s="195" t="s">
        <v>22534</v>
      </c>
      <c r="G4418" s="200">
        <v>7.21066984E8</v>
      </c>
      <c r="H4418" s="197">
        <v>8.34</v>
      </c>
      <c r="I4418" s="7" t="s">
        <v>16815</v>
      </c>
      <c r="J4418" s="7" t="s">
        <v>17726</v>
      </c>
      <c r="K4418" s="7" t="s">
        <v>16885</v>
      </c>
      <c r="L4418" s="201" t="s">
        <v>16835</v>
      </c>
      <c r="M4418" s="199"/>
      <c r="N4418" s="199"/>
    </row>
    <row r="4419">
      <c r="A4419" s="193" t="s">
        <v>22535</v>
      </c>
      <c r="B4419" s="7" t="s">
        <v>16582</v>
      </c>
      <c r="C4419" s="7" t="s">
        <v>16899</v>
      </c>
      <c r="D4419" s="194">
        <v>2021.0</v>
      </c>
      <c r="E4419" s="193"/>
      <c r="F4419" s="195" t="s">
        <v>22536</v>
      </c>
      <c r="G4419" s="196">
        <v>7.21054132E8</v>
      </c>
      <c r="H4419" s="197">
        <v>15.92</v>
      </c>
      <c r="I4419" s="7" t="s">
        <v>16815</v>
      </c>
      <c r="J4419" s="7" t="s">
        <v>16582</v>
      </c>
      <c r="K4419" s="7" t="s">
        <v>16899</v>
      </c>
      <c r="L4419" s="198" t="s">
        <v>65</v>
      </c>
      <c r="M4419" s="194"/>
      <c r="N4419" s="194"/>
    </row>
    <row r="4420">
      <c r="A4420" s="193" t="s">
        <v>22537</v>
      </c>
      <c r="B4420" s="7" t="s">
        <v>16838</v>
      </c>
      <c r="C4420" s="7" t="s">
        <v>17112</v>
      </c>
      <c r="D4420" s="199"/>
      <c r="E4420" s="193"/>
      <c r="F4420" s="195" t="s">
        <v>22538</v>
      </c>
      <c r="G4420" s="196">
        <v>7.19149319E8</v>
      </c>
      <c r="H4420" s="197">
        <v>14.75</v>
      </c>
      <c r="I4420" s="7" t="s">
        <v>16815</v>
      </c>
      <c r="J4420" s="7" t="s">
        <v>16838</v>
      </c>
      <c r="K4420" s="7" t="s">
        <v>17112</v>
      </c>
      <c r="L4420" s="198" t="s">
        <v>65</v>
      </c>
      <c r="M4420" s="199"/>
      <c r="N4420" s="199"/>
    </row>
    <row r="4421">
      <c r="A4421" s="193" t="s">
        <v>22539</v>
      </c>
      <c r="B4421" s="7" t="s">
        <v>17112</v>
      </c>
      <c r="C4421" s="7" t="s">
        <v>17111</v>
      </c>
      <c r="D4421" s="199"/>
      <c r="E4421" s="193"/>
      <c r="F4421" s="195" t="s">
        <v>22540</v>
      </c>
      <c r="G4421" s="196">
        <v>7.19117998E8</v>
      </c>
      <c r="H4421" s="197">
        <v>7.93</v>
      </c>
      <c r="I4421" s="7" t="s">
        <v>16815</v>
      </c>
      <c r="J4421" s="7" t="s">
        <v>17112</v>
      </c>
      <c r="K4421" s="7" t="s">
        <v>17111</v>
      </c>
      <c r="L4421" s="198" t="s">
        <v>65</v>
      </c>
      <c r="M4421" s="199"/>
      <c r="N4421" s="199"/>
    </row>
    <row r="4422">
      <c r="A4422" s="193" t="s">
        <v>22541</v>
      </c>
      <c r="B4422" s="7" t="s">
        <v>16838</v>
      </c>
      <c r="C4422" s="7" t="s">
        <v>18679</v>
      </c>
      <c r="D4422" s="194">
        <v>2011.0</v>
      </c>
      <c r="E4422" s="193"/>
      <c r="F4422" s="195" t="s">
        <v>22542</v>
      </c>
      <c r="G4422" s="196">
        <v>7.18747345E8</v>
      </c>
      <c r="H4422" s="197">
        <v>8.47</v>
      </c>
      <c r="I4422" s="7" t="s">
        <v>16924</v>
      </c>
      <c r="J4422" s="7" t="s">
        <v>16838</v>
      </c>
      <c r="K4422" s="7" t="s">
        <v>18679</v>
      </c>
      <c r="L4422" s="198" t="s">
        <v>65</v>
      </c>
      <c r="M4422" s="194"/>
      <c r="N4422" s="194"/>
    </row>
    <row r="4423">
      <c r="A4423" s="193" t="s">
        <v>22541</v>
      </c>
      <c r="B4423" s="7" t="s">
        <v>18679</v>
      </c>
      <c r="C4423" s="7" t="s">
        <v>16838</v>
      </c>
      <c r="D4423" s="194">
        <v>2011.0</v>
      </c>
      <c r="E4423" s="193"/>
      <c r="F4423" s="195" t="s">
        <v>22542</v>
      </c>
      <c r="G4423" s="200">
        <v>7.18747345E8</v>
      </c>
      <c r="H4423" s="197">
        <v>8.47</v>
      </c>
      <c r="I4423" s="7" t="s">
        <v>16815</v>
      </c>
      <c r="J4423" s="7" t="s">
        <v>18679</v>
      </c>
      <c r="K4423" s="7" t="s">
        <v>16838</v>
      </c>
      <c r="L4423" s="201" t="s">
        <v>16835</v>
      </c>
      <c r="M4423" s="194"/>
      <c r="N4423" s="194"/>
    </row>
    <row r="4424">
      <c r="A4424" s="193" t="s">
        <v>22543</v>
      </c>
      <c r="B4424" s="7" t="s">
        <v>16838</v>
      </c>
      <c r="C4424" s="7" t="s">
        <v>17202</v>
      </c>
      <c r="D4424" s="199"/>
      <c r="E4424" s="193"/>
      <c r="F4424" s="195" t="s">
        <v>22544</v>
      </c>
      <c r="G4424" s="196">
        <v>7.18742524E8</v>
      </c>
      <c r="H4424" s="197">
        <v>23.51</v>
      </c>
      <c r="I4424" s="7" t="s">
        <v>16815</v>
      </c>
      <c r="J4424" s="7" t="s">
        <v>16838</v>
      </c>
      <c r="K4424" s="7" t="s">
        <v>17202</v>
      </c>
      <c r="L4424" s="198" t="s">
        <v>65</v>
      </c>
      <c r="M4424" s="199"/>
      <c r="N4424" s="199"/>
    </row>
    <row r="4425">
      <c r="A4425" s="193" t="s">
        <v>22545</v>
      </c>
      <c r="B4425" s="7" t="s">
        <v>187</v>
      </c>
      <c r="C4425" s="7" t="s">
        <v>16846</v>
      </c>
      <c r="D4425" s="194">
        <v>2021.0</v>
      </c>
      <c r="E4425" s="193"/>
      <c r="F4425" s="195" t="s">
        <v>22546</v>
      </c>
      <c r="G4425" s="196">
        <v>7.18483322E8</v>
      </c>
      <c r="H4425" s="197">
        <v>17.6</v>
      </c>
      <c r="I4425" s="7" t="s">
        <v>16815</v>
      </c>
      <c r="J4425" s="7" t="s">
        <v>187</v>
      </c>
      <c r="K4425" s="7" t="s">
        <v>16846</v>
      </c>
      <c r="L4425" s="198" t="s">
        <v>65</v>
      </c>
      <c r="M4425" s="194"/>
      <c r="N4425" s="194"/>
    </row>
    <row r="4426">
      <c r="A4426" s="193" t="s">
        <v>22547</v>
      </c>
      <c r="B4426" s="7" t="s">
        <v>175</v>
      </c>
      <c r="C4426" s="7" t="s">
        <v>16824</v>
      </c>
      <c r="D4426" s="199"/>
      <c r="E4426" s="193"/>
      <c r="F4426" s="195" t="s">
        <v>22548</v>
      </c>
      <c r="G4426" s="196">
        <v>7.17630345E8</v>
      </c>
      <c r="H4426" s="197">
        <v>15.84</v>
      </c>
      <c r="I4426" s="7" t="s">
        <v>16908</v>
      </c>
      <c r="J4426" s="7" t="s">
        <v>175</v>
      </c>
      <c r="K4426" s="7" t="s">
        <v>16824</v>
      </c>
      <c r="L4426" s="198" t="s">
        <v>65</v>
      </c>
      <c r="M4426" s="199"/>
      <c r="N4426" s="199"/>
    </row>
    <row r="4427">
      <c r="A4427" s="193" t="s">
        <v>22547</v>
      </c>
      <c r="B4427" s="7" t="s">
        <v>16824</v>
      </c>
      <c r="C4427" s="7" t="s">
        <v>175</v>
      </c>
      <c r="D4427" s="199"/>
      <c r="E4427" s="193"/>
      <c r="F4427" s="195" t="s">
        <v>22548</v>
      </c>
      <c r="G4427" s="200">
        <v>7.17630345E8</v>
      </c>
      <c r="H4427" s="197">
        <v>15.84</v>
      </c>
      <c r="I4427" s="7" t="s">
        <v>16815</v>
      </c>
      <c r="J4427" s="7" t="s">
        <v>16824</v>
      </c>
      <c r="K4427" s="7" t="s">
        <v>175</v>
      </c>
      <c r="L4427" s="201" t="s">
        <v>16835</v>
      </c>
      <c r="M4427" s="199"/>
      <c r="N4427" s="199"/>
    </row>
    <row r="4428">
      <c r="A4428" s="193" t="s">
        <v>22549</v>
      </c>
      <c r="B4428" s="7" t="s">
        <v>17016</v>
      </c>
      <c r="C4428" s="7" t="s">
        <v>16838</v>
      </c>
      <c r="D4428" s="194">
        <v>2022.0</v>
      </c>
      <c r="E4428" s="193"/>
      <c r="F4428" s="195" t="s">
        <v>22550</v>
      </c>
      <c r="G4428" s="200">
        <v>7.16005631E8</v>
      </c>
      <c r="H4428" s="197">
        <v>3.74</v>
      </c>
      <c r="I4428" s="7" t="s">
        <v>16815</v>
      </c>
      <c r="J4428" s="7" t="s">
        <v>17016</v>
      </c>
      <c r="K4428" s="7" t="s">
        <v>16838</v>
      </c>
      <c r="L4428" s="201" t="s">
        <v>16835</v>
      </c>
      <c r="M4428" s="194"/>
      <c r="N4428" s="194"/>
    </row>
    <row r="4429">
      <c r="A4429" s="193" t="s">
        <v>22549</v>
      </c>
      <c r="B4429" s="7" t="s">
        <v>16838</v>
      </c>
      <c r="C4429" s="7" t="s">
        <v>17016</v>
      </c>
      <c r="D4429" s="194">
        <v>2022.0</v>
      </c>
      <c r="E4429" s="193"/>
      <c r="F4429" s="195" t="s">
        <v>22550</v>
      </c>
      <c r="G4429" s="196">
        <v>7.16005631E8</v>
      </c>
      <c r="H4429" s="197">
        <v>3.74</v>
      </c>
      <c r="I4429" s="7" t="s">
        <v>16815</v>
      </c>
      <c r="J4429" s="7" t="s">
        <v>16838</v>
      </c>
      <c r="K4429" s="7" t="s">
        <v>17016</v>
      </c>
      <c r="L4429" s="198" t="s">
        <v>65</v>
      </c>
      <c r="M4429" s="194"/>
      <c r="N4429" s="194"/>
    </row>
    <row r="4430">
      <c r="A4430" s="193" t="s">
        <v>22551</v>
      </c>
      <c r="B4430" s="7" t="s">
        <v>17112</v>
      </c>
      <c r="C4430" s="7" t="s">
        <v>17111</v>
      </c>
      <c r="D4430" s="199"/>
      <c r="E4430" s="193"/>
      <c r="F4430" s="195" t="s">
        <v>22552</v>
      </c>
      <c r="G4430" s="196">
        <v>7.12686949E8</v>
      </c>
      <c r="H4430" s="197">
        <v>17.84</v>
      </c>
      <c r="I4430" s="7" t="s">
        <v>16815</v>
      </c>
      <c r="J4430" s="7" t="s">
        <v>17112</v>
      </c>
      <c r="K4430" s="7" t="s">
        <v>17111</v>
      </c>
      <c r="L4430" s="198" t="s">
        <v>65</v>
      </c>
      <c r="M4430" s="199"/>
      <c r="N4430" s="199"/>
    </row>
    <row r="4431">
      <c r="A4431" s="193" t="s">
        <v>22553</v>
      </c>
      <c r="B4431" s="7" t="s">
        <v>16910</v>
      </c>
      <c r="C4431" s="7" t="s">
        <v>17119</v>
      </c>
      <c r="D4431" s="199"/>
      <c r="E4431" s="193"/>
      <c r="F4431" s="195" t="s">
        <v>22554</v>
      </c>
      <c r="G4431" s="196">
        <v>7.12376171E8</v>
      </c>
      <c r="H4431" s="197">
        <v>65.4</v>
      </c>
      <c r="I4431" s="7" t="s">
        <v>16917</v>
      </c>
      <c r="J4431" s="7" t="s">
        <v>16910</v>
      </c>
      <c r="K4431" s="7" t="s">
        <v>17119</v>
      </c>
      <c r="L4431" s="198" t="s">
        <v>65</v>
      </c>
      <c r="M4431" s="199"/>
      <c r="N4431" s="199"/>
    </row>
    <row r="4432">
      <c r="A4432" s="193" t="s">
        <v>22553</v>
      </c>
      <c r="B4432" s="7" t="s">
        <v>17119</v>
      </c>
      <c r="C4432" s="7" t="s">
        <v>16910</v>
      </c>
      <c r="D4432" s="199"/>
      <c r="E4432" s="193"/>
      <c r="F4432" s="195" t="s">
        <v>22554</v>
      </c>
      <c r="G4432" s="200">
        <v>7.12376171E8</v>
      </c>
      <c r="H4432" s="197">
        <v>65.4</v>
      </c>
      <c r="I4432" s="7" t="s">
        <v>16815</v>
      </c>
      <c r="J4432" s="7" t="s">
        <v>17119</v>
      </c>
      <c r="K4432" s="7" t="s">
        <v>16910</v>
      </c>
      <c r="L4432" s="201" t="s">
        <v>16835</v>
      </c>
      <c r="M4432" s="199"/>
      <c r="N4432" s="199"/>
    </row>
    <row r="4433">
      <c r="A4433" s="193" t="s">
        <v>22555</v>
      </c>
      <c r="B4433" s="7" t="s">
        <v>17111</v>
      </c>
      <c r="C4433" s="7" t="s">
        <v>17112</v>
      </c>
      <c r="D4433" s="194">
        <v>2015.0</v>
      </c>
      <c r="E4433" s="193"/>
      <c r="F4433" s="195" t="s">
        <v>22556</v>
      </c>
      <c r="G4433" s="200">
        <v>7.1214733E8</v>
      </c>
      <c r="H4433" s="197">
        <v>26.12</v>
      </c>
      <c r="I4433" s="7" t="s">
        <v>16815</v>
      </c>
      <c r="J4433" s="7" t="s">
        <v>17111</v>
      </c>
      <c r="K4433" s="7" t="s">
        <v>17112</v>
      </c>
      <c r="L4433" s="201" t="s">
        <v>16835</v>
      </c>
      <c r="M4433" s="194"/>
      <c r="N4433" s="194"/>
    </row>
    <row r="4434">
      <c r="A4434" s="193" t="s">
        <v>22555</v>
      </c>
      <c r="B4434" s="7" t="s">
        <v>17112</v>
      </c>
      <c r="C4434" s="7" t="s">
        <v>17111</v>
      </c>
      <c r="D4434" s="194">
        <v>2015.0</v>
      </c>
      <c r="E4434" s="193"/>
      <c r="F4434" s="195" t="s">
        <v>22556</v>
      </c>
      <c r="G4434" s="196">
        <v>7.1214733E8</v>
      </c>
      <c r="H4434" s="197">
        <v>26.12</v>
      </c>
      <c r="I4434" s="7" t="s">
        <v>16815</v>
      </c>
      <c r="J4434" s="7" t="s">
        <v>17112</v>
      </c>
      <c r="K4434" s="7" t="s">
        <v>17111</v>
      </c>
      <c r="L4434" s="198" t="s">
        <v>65</v>
      </c>
      <c r="M4434" s="194"/>
      <c r="N4434" s="194"/>
    </row>
    <row r="4435">
      <c r="A4435" s="193" t="s">
        <v>22557</v>
      </c>
      <c r="B4435" s="7" t="s">
        <v>187</v>
      </c>
      <c r="C4435" s="7" t="s">
        <v>16858</v>
      </c>
      <c r="D4435" s="194">
        <v>2019.0</v>
      </c>
      <c r="E4435" s="193"/>
      <c r="F4435" s="195" t="s">
        <v>22558</v>
      </c>
      <c r="G4435" s="196">
        <v>7.11713972E8</v>
      </c>
      <c r="H4435" s="197">
        <v>17.88</v>
      </c>
      <c r="I4435" s="7" t="s">
        <v>16815</v>
      </c>
      <c r="J4435" s="7" t="s">
        <v>187</v>
      </c>
      <c r="K4435" s="7" t="s">
        <v>16858</v>
      </c>
      <c r="L4435" s="198" t="s">
        <v>65</v>
      </c>
      <c r="M4435" s="194"/>
      <c r="N4435" s="194"/>
    </row>
    <row r="4436">
      <c r="A4436" s="193" t="s">
        <v>22559</v>
      </c>
      <c r="B4436" s="7" t="s">
        <v>16582</v>
      </c>
      <c r="C4436" s="7" t="s">
        <v>16930</v>
      </c>
      <c r="D4436" s="199"/>
      <c r="E4436" s="193"/>
      <c r="F4436" s="195" t="s">
        <v>22560</v>
      </c>
      <c r="G4436" s="196">
        <v>7.11002702E8</v>
      </c>
      <c r="H4436" s="197">
        <v>35.66</v>
      </c>
      <c r="I4436" s="7" t="s">
        <v>16815</v>
      </c>
      <c r="J4436" s="7" t="s">
        <v>16582</v>
      </c>
      <c r="K4436" s="7" t="s">
        <v>16930</v>
      </c>
      <c r="L4436" s="198" t="s">
        <v>65</v>
      </c>
      <c r="M4436" s="199"/>
      <c r="N4436" s="199"/>
    </row>
    <row r="4437">
      <c r="A4437" s="193" t="s">
        <v>22561</v>
      </c>
      <c r="B4437" s="7" t="s">
        <v>17202</v>
      </c>
      <c r="C4437" s="7" t="s">
        <v>16838</v>
      </c>
      <c r="D4437" s="194">
        <v>2019.0</v>
      </c>
      <c r="E4437" s="193"/>
      <c r="F4437" s="195" t="s">
        <v>22562</v>
      </c>
      <c r="G4437" s="200">
        <v>7.10657529E8</v>
      </c>
      <c r="H4437" s="197">
        <v>21.02</v>
      </c>
      <c r="I4437" s="7" t="s">
        <v>16815</v>
      </c>
      <c r="J4437" s="7" t="s">
        <v>17202</v>
      </c>
      <c r="K4437" s="7" t="s">
        <v>16838</v>
      </c>
      <c r="L4437" s="201" t="s">
        <v>16835</v>
      </c>
      <c r="M4437" s="194"/>
      <c r="N4437" s="194"/>
    </row>
    <row r="4438">
      <c r="A4438" s="193" t="s">
        <v>22561</v>
      </c>
      <c r="B4438" s="7" t="s">
        <v>16838</v>
      </c>
      <c r="C4438" s="7" t="s">
        <v>17202</v>
      </c>
      <c r="D4438" s="194">
        <v>2019.0</v>
      </c>
      <c r="E4438" s="193"/>
      <c r="F4438" s="195" t="s">
        <v>22562</v>
      </c>
      <c r="G4438" s="196">
        <v>7.10657529E8</v>
      </c>
      <c r="H4438" s="197">
        <v>21.02</v>
      </c>
      <c r="I4438" s="7" t="s">
        <v>16815</v>
      </c>
      <c r="J4438" s="7" t="s">
        <v>16838</v>
      </c>
      <c r="K4438" s="7" t="s">
        <v>17202</v>
      </c>
      <c r="L4438" s="198" t="s">
        <v>65</v>
      </c>
      <c r="M4438" s="194"/>
      <c r="N4438" s="194"/>
    </row>
    <row r="4439">
      <c r="A4439" s="193" t="s">
        <v>22563</v>
      </c>
      <c r="B4439" s="7" t="s">
        <v>17495</v>
      </c>
      <c r="C4439" s="7" t="s">
        <v>17629</v>
      </c>
      <c r="D4439" s="199"/>
      <c r="E4439" s="193"/>
      <c r="F4439" s="195" t="s">
        <v>22564</v>
      </c>
      <c r="G4439" s="200">
        <v>7.10614881E8</v>
      </c>
      <c r="H4439" s="197">
        <v>4.03</v>
      </c>
      <c r="I4439" s="7" t="s">
        <v>16815</v>
      </c>
      <c r="J4439" s="7" t="s">
        <v>17495</v>
      </c>
      <c r="K4439" s="7" t="s">
        <v>17629</v>
      </c>
      <c r="L4439" s="201" t="s">
        <v>16835</v>
      </c>
      <c r="M4439" s="199"/>
      <c r="N4439" s="199"/>
    </row>
    <row r="4440">
      <c r="A4440" s="193" t="s">
        <v>22563</v>
      </c>
      <c r="B4440" s="7" t="s">
        <v>17629</v>
      </c>
      <c r="C4440" s="7" t="s">
        <v>17495</v>
      </c>
      <c r="D4440" s="199"/>
      <c r="E4440" s="193"/>
      <c r="F4440" s="195" t="s">
        <v>22564</v>
      </c>
      <c r="G4440" s="196">
        <v>7.10614881E8</v>
      </c>
      <c r="H4440" s="197">
        <v>4.03</v>
      </c>
      <c r="I4440" s="7" t="s">
        <v>16815</v>
      </c>
      <c r="J4440" s="7" t="s">
        <v>17629</v>
      </c>
      <c r="K4440" s="7" t="s">
        <v>17495</v>
      </c>
      <c r="L4440" s="198" t="s">
        <v>65</v>
      </c>
      <c r="M4440" s="199"/>
      <c r="N4440" s="199"/>
    </row>
    <row r="4441">
      <c r="A4441" s="193" t="s">
        <v>22565</v>
      </c>
      <c r="B4441" s="7" t="s">
        <v>169</v>
      </c>
      <c r="C4441" s="7" t="s">
        <v>17025</v>
      </c>
      <c r="D4441" s="194">
        <v>1986.0</v>
      </c>
      <c r="E4441" s="193"/>
      <c r="F4441" s="195" t="s">
        <v>22566</v>
      </c>
      <c r="G4441" s="196">
        <v>7.09920821E8</v>
      </c>
      <c r="H4441" s="197">
        <v>31.22</v>
      </c>
      <c r="I4441" s="7" t="s">
        <v>16815</v>
      </c>
      <c r="J4441" s="7" t="s">
        <v>169</v>
      </c>
      <c r="K4441" s="7" t="s">
        <v>17025</v>
      </c>
      <c r="L4441" s="198" t="s">
        <v>65</v>
      </c>
      <c r="M4441" s="194"/>
      <c r="N4441" s="194"/>
    </row>
    <row r="4442">
      <c r="A4442" s="193" t="s">
        <v>22567</v>
      </c>
      <c r="B4442" s="7" t="s">
        <v>16957</v>
      </c>
      <c r="C4442" s="7" t="s">
        <v>16926</v>
      </c>
      <c r="D4442" s="199"/>
      <c r="E4442" s="193"/>
      <c r="F4442" s="195" t="s">
        <v>22568</v>
      </c>
      <c r="G4442" s="200">
        <v>7.08801427E8</v>
      </c>
      <c r="H4442" s="197">
        <v>28.17</v>
      </c>
      <c r="I4442" s="7" t="s">
        <v>16815</v>
      </c>
      <c r="J4442" s="7" t="s">
        <v>16957</v>
      </c>
      <c r="K4442" s="7" t="s">
        <v>16926</v>
      </c>
      <c r="L4442" s="201" t="s">
        <v>16835</v>
      </c>
      <c r="M4442" s="199"/>
      <c r="N4442" s="199"/>
    </row>
    <row r="4443">
      <c r="A4443" s="193" t="s">
        <v>22567</v>
      </c>
      <c r="B4443" s="7" t="s">
        <v>16926</v>
      </c>
      <c r="C4443" s="7" t="s">
        <v>16957</v>
      </c>
      <c r="D4443" s="199"/>
      <c r="E4443" s="193"/>
      <c r="F4443" s="195" t="s">
        <v>22568</v>
      </c>
      <c r="G4443" s="196">
        <v>7.08801427E8</v>
      </c>
      <c r="H4443" s="197">
        <v>28.17</v>
      </c>
      <c r="I4443" s="7" t="s">
        <v>16815</v>
      </c>
      <c r="J4443" s="7" t="s">
        <v>16926</v>
      </c>
      <c r="K4443" s="7" t="s">
        <v>16957</v>
      </c>
      <c r="L4443" s="198" t="s">
        <v>65</v>
      </c>
      <c r="M4443" s="199"/>
      <c r="N4443" s="199"/>
    </row>
    <row r="4444">
      <c r="A4444" s="193" t="s">
        <v>22569</v>
      </c>
      <c r="B4444" s="7" t="s">
        <v>16582</v>
      </c>
      <c r="C4444" s="7" t="s">
        <v>16995</v>
      </c>
      <c r="D4444" s="194">
        <v>1994.0</v>
      </c>
      <c r="E4444" s="193"/>
      <c r="F4444" s="195" t="s">
        <v>22570</v>
      </c>
      <c r="G4444" s="196">
        <v>7.07756435E8</v>
      </c>
      <c r="H4444" s="197">
        <v>10.55</v>
      </c>
      <c r="I4444" s="7" t="s">
        <v>16815</v>
      </c>
      <c r="J4444" s="7" t="s">
        <v>16582</v>
      </c>
      <c r="K4444" s="7" t="s">
        <v>16995</v>
      </c>
      <c r="L4444" s="198" t="s">
        <v>65</v>
      </c>
      <c r="M4444" s="194"/>
      <c r="N4444" s="194"/>
    </row>
    <row r="4445">
      <c r="A4445" s="193" t="s">
        <v>22571</v>
      </c>
      <c r="B4445" s="7" t="s">
        <v>17111</v>
      </c>
      <c r="C4445" s="7" t="s">
        <v>17112</v>
      </c>
      <c r="D4445" s="194">
        <v>2015.0</v>
      </c>
      <c r="E4445" s="193"/>
      <c r="F4445" s="195" t="s">
        <v>22572</v>
      </c>
      <c r="G4445" s="200">
        <v>7.07687086E8</v>
      </c>
      <c r="H4445" s="197">
        <v>24.17</v>
      </c>
      <c r="I4445" s="7" t="s">
        <v>16815</v>
      </c>
      <c r="J4445" s="7" t="s">
        <v>17111</v>
      </c>
      <c r="K4445" s="7" t="s">
        <v>17112</v>
      </c>
      <c r="L4445" s="201" t="s">
        <v>16835</v>
      </c>
      <c r="M4445" s="194"/>
      <c r="N4445" s="194"/>
    </row>
    <row r="4446">
      <c r="A4446" s="193" t="s">
        <v>22571</v>
      </c>
      <c r="B4446" s="7" t="s">
        <v>17112</v>
      </c>
      <c r="C4446" s="7" t="s">
        <v>17111</v>
      </c>
      <c r="D4446" s="194">
        <v>2015.0</v>
      </c>
      <c r="E4446" s="193"/>
      <c r="F4446" s="195" t="s">
        <v>22572</v>
      </c>
      <c r="G4446" s="196">
        <v>7.07687086E8</v>
      </c>
      <c r="H4446" s="197">
        <v>24.17</v>
      </c>
      <c r="I4446" s="7" t="s">
        <v>16815</v>
      </c>
      <c r="J4446" s="7" t="s">
        <v>17112</v>
      </c>
      <c r="K4446" s="7" t="s">
        <v>17111</v>
      </c>
      <c r="L4446" s="198" t="s">
        <v>65</v>
      </c>
      <c r="M4446" s="194"/>
      <c r="N4446" s="194"/>
    </row>
    <row r="4447">
      <c r="A4447" s="193" t="s">
        <v>22573</v>
      </c>
      <c r="B4447" s="7" t="s">
        <v>187</v>
      </c>
      <c r="C4447" s="7" t="s">
        <v>17122</v>
      </c>
      <c r="D4447" s="194">
        <v>2021.0</v>
      </c>
      <c r="E4447" s="193"/>
      <c r="F4447" s="195" t="s">
        <v>22574</v>
      </c>
      <c r="G4447" s="196">
        <v>7.06268308E8</v>
      </c>
      <c r="H4447" s="197">
        <v>8.54</v>
      </c>
      <c r="I4447" s="7" t="s">
        <v>16815</v>
      </c>
      <c r="J4447" s="7" t="s">
        <v>187</v>
      </c>
      <c r="K4447" s="7" t="s">
        <v>17122</v>
      </c>
      <c r="L4447" s="198" t="s">
        <v>65</v>
      </c>
      <c r="M4447" s="194"/>
      <c r="N4447" s="194"/>
    </row>
    <row r="4448">
      <c r="A4448" s="193" t="s">
        <v>22573</v>
      </c>
      <c r="B4448" s="7" t="s">
        <v>17122</v>
      </c>
      <c r="C4448" s="7" t="s">
        <v>187</v>
      </c>
      <c r="D4448" s="194">
        <v>2021.0</v>
      </c>
      <c r="E4448" s="193"/>
      <c r="F4448" s="195" t="s">
        <v>22574</v>
      </c>
      <c r="G4448" s="200">
        <v>7.06268308E8</v>
      </c>
      <c r="H4448" s="197">
        <v>8.54</v>
      </c>
      <c r="I4448" s="7" t="s">
        <v>16815</v>
      </c>
      <c r="J4448" s="7" t="s">
        <v>17122</v>
      </c>
      <c r="K4448" s="7" t="s">
        <v>187</v>
      </c>
      <c r="L4448" s="201" t="s">
        <v>16835</v>
      </c>
      <c r="M4448" s="194"/>
      <c r="N4448" s="194"/>
    </row>
    <row r="4449">
      <c r="A4449" s="193" t="s">
        <v>22575</v>
      </c>
      <c r="B4449" s="7" t="s">
        <v>169</v>
      </c>
      <c r="C4449" s="7" t="s">
        <v>17442</v>
      </c>
      <c r="D4449" s="194">
        <v>2017.0</v>
      </c>
      <c r="E4449" s="193"/>
      <c r="F4449" s="195" t="s">
        <v>22576</v>
      </c>
      <c r="G4449" s="196">
        <v>7.06245734E8</v>
      </c>
      <c r="H4449" s="197">
        <v>6.05</v>
      </c>
      <c r="I4449" s="7" t="s">
        <v>16815</v>
      </c>
      <c r="J4449" s="7" t="s">
        <v>169</v>
      </c>
      <c r="K4449" s="7" t="s">
        <v>17442</v>
      </c>
      <c r="L4449" s="198" t="s">
        <v>65</v>
      </c>
      <c r="M4449" s="194"/>
      <c r="N4449" s="194"/>
    </row>
    <row r="4450">
      <c r="A4450" s="193" t="s">
        <v>22575</v>
      </c>
      <c r="B4450" s="7" t="s">
        <v>17442</v>
      </c>
      <c r="C4450" s="7" t="s">
        <v>169</v>
      </c>
      <c r="D4450" s="194">
        <v>2017.0</v>
      </c>
      <c r="E4450" s="193"/>
      <c r="F4450" s="195" t="s">
        <v>22576</v>
      </c>
      <c r="G4450" s="200">
        <v>7.06245734E8</v>
      </c>
      <c r="H4450" s="197">
        <v>6.05</v>
      </c>
      <c r="I4450" s="7" t="s">
        <v>16815</v>
      </c>
      <c r="J4450" s="7" t="s">
        <v>17442</v>
      </c>
      <c r="K4450" s="7" t="s">
        <v>169</v>
      </c>
      <c r="L4450" s="201" t="s">
        <v>16835</v>
      </c>
      <c r="M4450" s="194"/>
      <c r="N4450" s="194"/>
    </row>
    <row r="4451">
      <c r="A4451" s="193" t="s">
        <v>22577</v>
      </c>
      <c r="B4451" s="7" t="s">
        <v>169</v>
      </c>
      <c r="C4451" s="7" t="s">
        <v>17339</v>
      </c>
      <c r="D4451" s="194">
        <v>1997.0</v>
      </c>
      <c r="E4451" s="193"/>
      <c r="F4451" s="195" t="s">
        <v>22578</v>
      </c>
      <c r="G4451" s="196">
        <v>7.05583169E8</v>
      </c>
      <c r="H4451" s="197">
        <v>24.5</v>
      </c>
      <c r="I4451" s="7" t="s">
        <v>16815</v>
      </c>
      <c r="J4451" s="7" t="s">
        <v>169</v>
      </c>
      <c r="K4451" s="7" t="s">
        <v>17339</v>
      </c>
      <c r="L4451" s="198" t="s">
        <v>65</v>
      </c>
      <c r="M4451" s="194"/>
      <c r="N4451" s="194"/>
    </row>
    <row r="4452">
      <c r="A4452" s="193" t="s">
        <v>22579</v>
      </c>
      <c r="B4452" s="7" t="s">
        <v>19644</v>
      </c>
      <c r="C4452" s="7" t="s">
        <v>16838</v>
      </c>
      <c r="D4452" s="194">
        <v>1987.0</v>
      </c>
      <c r="E4452" s="193"/>
      <c r="F4452" s="195" t="s">
        <v>22580</v>
      </c>
      <c r="G4452" s="200">
        <v>7.05421517E8</v>
      </c>
      <c r="H4452" s="197">
        <v>14.9</v>
      </c>
      <c r="I4452" s="7" t="s">
        <v>16815</v>
      </c>
      <c r="J4452" s="7" t="s">
        <v>19644</v>
      </c>
      <c r="K4452" s="7" t="s">
        <v>16838</v>
      </c>
      <c r="L4452" s="201" t="s">
        <v>16835</v>
      </c>
      <c r="M4452" s="194"/>
      <c r="N4452" s="194"/>
    </row>
    <row r="4453">
      <c r="A4453" s="193" t="s">
        <v>22579</v>
      </c>
      <c r="B4453" s="7" t="s">
        <v>16838</v>
      </c>
      <c r="C4453" s="7" t="s">
        <v>19644</v>
      </c>
      <c r="D4453" s="194">
        <v>1987.0</v>
      </c>
      <c r="E4453" s="193"/>
      <c r="F4453" s="195" t="s">
        <v>22580</v>
      </c>
      <c r="G4453" s="196">
        <v>7.05421517E8</v>
      </c>
      <c r="H4453" s="197">
        <v>14.9</v>
      </c>
      <c r="I4453" s="7" t="s">
        <v>16815</v>
      </c>
      <c r="J4453" s="7" t="s">
        <v>16838</v>
      </c>
      <c r="K4453" s="7" t="s">
        <v>19644</v>
      </c>
      <c r="L4453" s="198" t="s">
        <v>65</v>
      </c>
      <c r="M4453" s="194"/>
      <c r="N4453" s="194"/>
    </row>
    <row r="4454">
      <c r="A4454" s="193" t="s">
        <v>22581</v>
      </c>
      <c r="B4454" s="7" t="s">
        <v>17016</v>
      </c>
      <c r="C4454" s="7" t="s">
        <v>16838</v>
      </c>
      <c r="D4454" s="194">
        <v>2023.0</v>
      </c>
      <c r="E4454" s="193"/>
      <c r="F4454" s="195" t="s">
        <v>22582</v>
      </c>
      <c r="G4454" s="200">
        <v>7.04304695E8</v>
      </c>
      <c r="H4454" s="197">
        <v>23.538</v>
      </c>
      <c r="I4454" s="7" t="s">
        <v>16815</v>
      </c>
      <c r="J4454" s="7" t="s">
        <v>17016</v>
      </c>
      <c r="K4454" s="7" t="s">
        <v>16838</v>
      </c>
      <c r="L4454" s="201" t="s">
        <v>16835</v>
      </c>
      <c r="M4454" s="194"/>
      <c r="N4454" s="194"/>
    </row>
    <row r="4455">
      <c r="A4455" s="193" t="s">
        <v>22581</v>
      </c>
      <c r="B4455" s="7" t="s">
        <v>16838</v>
      </c>
      <c r="C4455" s="7" t="s">
        <v>17016</v>
      </c>
      <c r="D4455" s="194">
        <v>2023.0</v>
      </c>
      <c r="E4455" s="193"/>
      <c r="F4455" s="195" t="s">
        <v>22582</v>
      </c>
      <c r="G4455" s="196">
        <v>7.04304695E8</v>
      </c>
      <c r="H4455" s="197">
        <v>23.538</v>
      </c>
      <c r="I4455" s="7" t="s">
        <v>16815</v>
      </c>
      <c r="J4455" s="7" t="s">
        <v>16838</v>
      </c>
      <c r="K4455" s="7" t="s">
        <v>17016</v>
      </c>
      <c r="L4455" s="198" t="s">
        <v>65</v>
      </c>
      <c r="M4455" s="194"/>
      <c r="N4455" s="194"/>
    </row>
    <row r="4456">
      <c r="A4456" s="193" t="s">
        <v>22583</v>
      </c>
      <c r="B4456" s="7" t="s">
        <v>187</v>
      </c>
      <c r="C4456" s="7" t="s">
        <v>17259</v>
      </c>
      <c r="D4456" s="194">
        <v>1983.0</v>
      </c>
      <c r="E4456" s="193"/>
      <c r="F4456" s="195" t="s">
        <v>22584</v>
      </c>
      <c r="G4456" s="196">
        <v>7.0378097E8</v>
      </c>
      <c r="H4456" s="197">
        <v>9.53</v>
      </c>
      <c r="I4456" s="7" t="s">
        <v>16815</v>
      </c>
      <c r="J4456" s="7" t="s">
        <v>187</v>
      </c>
      <c r="K4456" s="7" t="s">
        <v>17259</v>
      </c>
      <c r="L4456" s="198" t="s">
        <v>65</v>
      </c>
      <c r="M4456" s="194"/>
      <c r="N4456" s="194"/>
    </row>
    <row r="4457">
      <c r="A4457" s="193" t="s">
        <v>22585</v>
      </c>
      <c r="B4457" s="7" t="s">
        <v>175</v>
      </c>
      <c r="C4457" s="7" t="s">
        <v>20534</v>
      </c>
      <c r="D4457" s="194">
        <v>2004.0</v>
      </c>
      <c r="E4457" s="193"/>
      <c r="F4457" s="195" t="s">
        <v>22586</v>
      </c>
      <c r="G4457" s="196">
        <v>7.01989784E8</v>
      </c>
      <c r="H4457" s="197">
        <v>80.07</v>
      </c>
      <c r="I4457" s="7" t="s">
        <v>16908</v>
      </c>
      <c r="J4457" s="7" t="s">
        <v>175</v>
      </c>
      <c r="K4457" s="7" t="s">
        <v>20534</v>
      </c>
      <c r="L4457" s="198" t="s">
        <v>65</v>
      </c>
      <c r="M4457" s="194"/>
      <c r="N4457" s="194"/>
    </row>
    <row r="4458">
      <c r="A4458" s="193" t="s">
        <v>22585</v>
      </c>
      <c r="B4458" s="7" t="s">
        <v>20534</v>
      </c>
      <c r="C4458" s="7" t="s">
        <v>175</v>
      </c>
      <c r="D4458" s="194">
        <v>2004.0</v>
      </c>
      <c r="E4458" s="193"/>
      <c r="F4458" s="195" t="s">
        <v>22586</v>
      </c>
      <c r="G4458" s="200">
        <v>7.01989784E8</v>
      </c>
      <c r="H4458" s="197">
        <v>80.07</v>
      </c>
      <c r="I4458" s="193" t="s">
        <v>16815</v>
      </c>
      <c r="J4458" s="7" t="s">
        <v>20534</v>
      </c>
      <c r="K4458" s="7" t="s">
        <v>175</v>
      </c>
      <c r="L4458" s="201" t="s">
        <v>16835</v>
      </c>
      <c r="M4458" s="194"/>
      <c r="N4458" s="194"/>
    </row>
    <row r="4459">
      <c r="A4459" s="193" t="s">
        <v>22587</v>
      </c>
      <c r="B4459" s="7" t="s">
        <v>169</v>
      </c>
      <c r="C4459" s="7" t="s">
        <v>17619</v>
      </c>
      <c r="D4459" s="199"/>
      <c r="E4459" s="193"/>
      <c r="F4459" s="195" t="s">
        <v>22588</v>
      </c>
      <c r="G4459" s="196">
        <v>7.01592986E8</v>
      </c>
      <c r="H4459" s="197">
        <v>7.35</v>
      </c>
      <c r="I4459" s="7" t="s">
        <v>16815</v>
      </c>
      <c r="J4459" s="7" t="s">
        <v>169</v>
      </c>
      <c r="K4459" s="7" t="s">
        <v>17619</v>
      </c>
      <c r="L4459" s="198" t="s">
        <v>65</v>
      </c>
      <c r="M4459" s="199"/>
      <c r="N4459" s="199"/>
    </row>
    <row r="4460">
      <c r="A4460" s="193" t="s">
        <v>22587</v>
      </c>
      <c r="B4460" s="7" t="s">
        <v>17619</v>
      </c>
      <c r="C4460" s="7" t="s">
        <v>169</v>
      </c>
      <c r="D4460" s="199"/>
      <c r="E4460" s="193"/>
      <c r="F4460" s="195" t="s">
        <v>22588</v>
      </c>
      <c r="G4460" s="200">
        <v>7.01592986E8</v>
      </c>
      <c r="H4460" s="197">
        <v>7.35</v>
      </c>
      <c r="I4460" s="7" t="s">
        <v>16815</v>
      </c>
      <c r="J4460" s="7" t="s">
        <v>17619</v>
      </c>
      <c r="K4460" s="7" t="s">
        <v>169</v>
      </c>
      <c r="L4460" s="201" t="s">
        <v>16835</v>
      </c>
      <c r="M4460" s="199"/>
      <c r="N4460" s="199"/>
    </row>
    <row r="4461">
      <c r="A4461" s="193" t="s">
        <v>22589</v>
      </c>
      <c r="B4461" s="7" t="s">
        <v>16838</v>
      </c>
      <c r="C4461" s="7" t="s">
        <v>16867</v>
      </c>
      <c r="D4461" s="199"/>
      <c r="E4461" s="193"/>
      <c r="F4461" s="195" t="s">
        <v>22590</v>
      </c>
      <c r="G4461" s="196">
        <v>7.01093768E8</v>
      </c>
      <c r="H4461" s="197">
        <v>38.95</v>
      </c>
      <c r="I4461" s="7" t="s">
        <v>16815</v>
      </c>
      <c r="J4461" s="7" t="s">
        <v>16838</v>
      </c>
      <c r="K4461" s="7" t="s">
        <v>16867</v>
      </c>
      <c r="L4461" s="198" t="s">
        <v>65</v>
      </c>
      <c r="M4461" s="199"/>
      <c r="N4461" s="199"/>
    </row>
    <row r="4462">
      <c r="A4462" s="193" t="s">
        <v>22591</v>
      </c>
      <c r="B4462" s="7" t="s">
        <v>16838</v>
      </c>
      <c r="C4462" s="7" t="s">
        <v>16867</v>
      </c>
      <c r="D4462" s="199"/>
      <c r="E4462" s="193"/>
      <c r="F4462" s="195" t="s">
        <v>22592</v>
      </c>
      <c r="G4462" s="196">
        <v>7.00426986E8</v>
      </c>
      <c r="H4462" s="197">
        <v>29.38</v>
      </c>
      <c r="I4462" s="7" t="s">
        <v>16815</v>
      </c>
      <c r="J4462" s="7" t="s">
        <v>16838</v>
      </c>
      <c r="K4462" s="7" t="s">
        <v>16867</v>
      </c>
      <c r="L4462" s="198" t="s">
        <v>65</v>
      </c>
      <c r="M4462" s="199"/>
      <c r="N4462" s="199"/>
    </row>
    <row r="4463">
      <c r="A4463" s="193" t="s">
        <v>22593</v>
      </c>
      <c r="B4463" s="7" t="s">
        <v>16582</v>
      </c>
      <c r="C4463" s="7" t="s">
        <v>16828</v>
      </c>
      <c r="D4463" s="194">
        <v>2016.0</v>
      </c>
      <c r="E4463" s="193"/>
      <c r="F4463" s="195" t="s">
        <v>22594</v>
      </c>
      <c r="G4463" s="196">
        <v>6.99538395E8</v>
      </c>
      <c r="H4463" s="197">
        <v>23.81</v>
      </c>
      <c r="I4463" s="7" t="s">
        <v>16815</v>
      </c>
      <c r="J4463" s="7" t="s">
        <v>16582</v>
      </c>
      <c r="K4463" s="7" t="s">
        <v>16828</v>
      </c>
      <c r="L4463" s="198" t="s">
        <v>65</v>
      </c>
      <c r="M4463" s="194"/>
      <c r="N4463" s="194"/>
    </row>
    <row r="4464">
      <c r="A4464" s="193" t="s">
        <v>22595</v>
      </c>
      <c r="B4464" s="7" t="s">
        <v>175</v>
      </c>
      <c r="C4464" s="7" t="s">
        <v>16854</v>
      </c>
      <c r="D4464" s="194">
        <v>2017.0</v>
      </c>
      <c r="E4464" s="193"/>
      <c r="F4464" s="195" t="s">
        <v>22596</v>
      </c>
      <c r="G4464" s="196">
        <v>6.98735141E8</v>
      </c>
      <c r="H4464" s="197">
        <v>20.04</v>
      </c>
      <c r="I4464" s="7" t="s">
        <v>18320</v>
      </c>
      <c r="J4464" s="7" t="s">
        <v>175</v>
      </c>
      <c r="K4464" s="7" t="s">
        <v>16854</v>
      </c>
      <c r="L4464" s="198" t="s">
        <v>65</v>
      </c>
      <c r="M4464" s="194"/>
      <c r="N4464" s="194"/>
    </row>
    <row r="4465">
      <c r="A4465" s="193" t="s">
        <v>22597</v>
      </c>
      <c r="B4465" s="7" t="s">
        <v>16582</v>
      </c>
      <c r="C4465" s="7" t="s">
        <v>16930</v>
      </c>
      <c r="D4465" s="194">
        <v>2021.0</v>
      </c>
      <c r="E4465" s="193"/>
      <c r="F4465" s="195" t="s">
        <v>22598</v>
      </c>
      <c r="G4465" s="196">
        <v>6.9850717E8</v>
      </c>
      <c r="H4465" s="197">
        <v>4.82</v>
      </c>
      <c r="I4465" s="7" t="s">
        <v>16815</v>
      </c>
      <c r="J4465" s="7" t="s">
        <v>16582</v>
      </c>
      <c r="K4465" s="7" t="s">
        <v>16930</v>
      </c>
      <c r="L4465" s="198" t="s">
        <v>65</v>
      </c>
      <c r="M4465" s="194"/>
      <c r="N4465" s="194"/>
    </row>
    <row r="4466">
      <c r="A4466" s="193" t="s">
        <v>22597</v>
      </c>
      <c r="B4466" s="7" t="s">
        <v>16930</v>
      </c>
      <c r="C4466" s="7" t="s">
        <v>16582</v>
      </c>
      <c r="D4466" s="194">
        <v>2021.0</v>
      </c>
      <c r="E4466" s="193"/>
      <c r="F4466" s="195" t="s">
        <v>22598</v>
      </c>
      <c r="G4466" s="200">
        <v>6.9850717E8</v>
      </c>
      <c r="H4466" s="197">
        <v>4.82</v>
      </c>
      <c r="I4466" s="7" t="s">
        <v>16815</v>
      </c>
      <c r="J4466" s="7" t="s">
        <v>16930</v>
      </c>
      <c r="K4466" s="7" t="s">
        <v>16582</v>
      </c>
      <c r="L4466" s="201" t="s">
        <v>16835</v>
      </c>
      <c r="M4466" s="194"/>
      <c r="N4466" s="194"/>
    </row>
    <row r="4467">
      <c r="A4467" s="193" t="s">
        <v>22599</v>
      </c>
      <c r="B4467" s="7" t="s">
        <v>17111</v>
      </c>
      <c r="C4467" s="7" t="s">
        <v>17112</v>
      </c>
      <c r="D4467" s="194">
        <v>2021.0</v>
      </c>
      <c r="E4467" s="193"/>
      <c r="F4467" s="195" t="s">
        <v>22600</v>
      </c>
      <c r="G4467" s="200">
        <v>6.98465834E8</v>
      </c>
      <c r="H4467" s="197">
        <v>21.79</v>
      </c>
      <c r="I4467" s="7" t="s">
        <v>16815</v>
      </c>
      <c r="J4467" s="7" t="s">
        <v>17111</v>
      </c>
      <c r="K4467" s="7" t="s">
        <v>17112</v>
      </c>
      <c r="L4467" s="201" t="s">
        <v>16835</v>
      </c>
      <c r="M4467" s="194"/>
      <c r="N4467" s="194"/>
    </row>
    <row r="4468">
      <c r="A4468" s="193" t="s">
        <v>22599</v>
      </c>
      <c r="B4468" s="7" t="s">
        <v>17112</v>
      </c>
      <c r="C4468" s="7" t="s">
        <v>17111</v>
      </c>
      <c r="D4468" s="194">
        <v>2021.0</v>
      </c>
      <c r="E4468" s="193"/>
      <c r="F4468" s="195" t="s">
        <v>22600</v>
      </c>
      <c r="G4468" s="196">
        <v>6.98465834E8</v>
      </c>
      <c r="H4468" s="197">
        <v>21.79</v>
      </c>
      <c r="I4468" s="7" t="s">
        <v>16815</v>
      </c>
      <c r="J4468" s="7" t="s">
        <v>17112</v>
      </c>
      <c r="K4468" s="7" t="s">
        <v>17111</v>
      </c>
      <c r="L4468" s="198" t="s">
        <v>65</v>
      </c>
      <c r="M4468" s="194"/>
      <c r="N4468" s="194"/>
    </row>
    <row r="4469">
      <c r="A4469" s="193" t="s">
        <v>22601</v>
      </c>
      <c r="B4469" s="7" t="s">
        <v>175</v>
      </c>
      <c r="C4469" s="7" t="s">
        <v>17812</v>
      </c>
      <c r="D4469" s="199"/>
      <c r="E4469" s="193"/>
      <c r="F4469" s="195" t="s">
        <v>22602</v>
      </c>
      <c r="G4469" s="196">
        <v>6.98337096E8</v>
      </c>
      <c r="H4469" s="197">
        <v>19.73</v>
      </c>
      <c r="I4469" s="7" t="s">
        <v>168</v>
      </c>
      <c r="J4469" s="7" t="s">
        <v>175</v>
      </c>
      <c r="K4469" s="7" t="s">
        <v>17812</v>
      </c>
      <c r="L4469" s="198" t="s">
        <v>65</v>
      </c>
      <c r="M4469" s="199"/>
      <c r="N4469" s="199"/>
    </row>
    <row r="4470">
      <c r="A4470" s="193" t="s">
        <v>22603</v>
      </c>
      <c r="B4470" s="7" t="s">
        <v>17057</v>
      </c>
      <c r="C4470" s="7" t="s">
        <v>169</v>
      </c>
      <c r="D4470" s="199"/>
      <c r="E4470" s="193"/>
      <c r="F4470" s="195" t="s">
        <v>22604</v>
      </c>
      <c r="G4470" s="200">
        <v>6.97269025E8</v>
      </c>
      <c r="H4470" s="197">
        <v>47.77</v>
      </c>
      <c r="I4470" s="7" t="s">
        <v>16815</v>
      </c>
      <c r="J4470" s="7" t="s">
        <v>17057</v>
      </c>
      <c r="K4470" s="7" t="s">
        <v>169</v>
      </c>
      <c r="L4470" s="201" t="s">
        <v>16835</v>
      </c>
      <c r="M4470" s="199"/>
      <c r="N4470" s="199"/>
    </row>
    <row r="4471">
      <c r="A4471" s="193" t="s">
        <v>22603</v>
      </c>
      <c r="B4471" s="7" t="s">
        <v>169</v>
      </c>
      <c r="C4471" s="7" t="s">
        <v>17057</v>
      </c>
      <c r="D4471" s="199"/>
      <c r="E4471" s="193"/>
      <c r="F4471" s="195" t="s">
        <v>22604</v>
      </c>
      <c r="G4471" s="196">
        <v>6.97269025E8</v>
      </c>
      <c r="H4471" s="197">
        <v>47.77</v>
      </c>
      <c r="I4471" s="7" t="s">
        <v>16815</v>
      </c>
      <c r="J4471" s="7" t="s">
        <v>169</v>
      </c>
      <c r="K4471" s="7" t="s">
        <v>17057</v>
      </c>
      <c r="L4471" s="198" t="s">
        <v>65</v>
      </c>
      <c r="M4471" s="199"/>
      <c r="N4471" s="199"/>
    </row>
    <row r="4472">
      <c r="A4472" s="193" t="s">
        <v>22605</v>
      </c>
      <c r="B4472" s="7" t="s">
        <v>187</v>
      </c>
      <c r="C4472" s="7" t="s">
        <v>16846</v>
      </c>
      <c r="D4472" s="194">
        <v>2020.0</v>
      </c>
      <c r="E4472" s="193"/>
      <c r="F4472" s="195" t="s">
        <v>22606</v>
      </c>
      <c r="G4472" s="196">
        <v>6.96335187E8</v>
      </c>
      <c r="H4472" s="197">
        <v>9.84</v>
      </c>
      <c r="I4472" s="7" t="s">
        <v>16815</v>
      </c>
      <c r="J4472" s="7" t="s">
        <v>187</v>
      </c>
      <c r="K4472" s="7" t="s">
        <v>16846</v>
      </c>
      <c r="L4472" s="198" t="s">
        <v>65</v>
      </c>
      <c r="M4472" s="194"/>
      <c r="N4472" s="194"/>
    </row>
    <row r="4473">
      <c r="A4473" s="193" t="s">
        <v>22607</v>
      </c>
      <c r="B4473" s="7" t="s">
        <v>17112</v>
      </c>
      <c r="C4473" s="7" t="s">
        <v>17787</v>
      </c>
      <c r="D4473" s="199"/>
      <c r="E4473" s="193"/>
      <c r="F4473" s="195" t="s">
        <v>22608</v>
      </c>
      <c r="G4473" s="196">
        <v>6.95269437E8</v>
      </c>
      <c r="H4473" s="197">
        <v>5.62</v>
      </c>
      <c r="I4473" s="7" t="s">
        <v>16815</v>
      </c>
      <c r="J4473" s="7" t="s">
        <v>17112</v>
      </c>
      <c r="K4473" s="7" t="s">
        <v>17787</v>
      </c>
      <c r="L4473" s="198" t="s">
        <v>65</v>
      </c>
      <c r="M4473" s="199"/>
      <c r="N4473" s="199"/>
    </row>
    <row r="4474">
      <c r="A4474" s="193" t="s">
        <v>22607</v>
      </c>
      <c r="B4474" s="7" t="s">
        <v>17787</v>
      </c>
      <c r="C4474" s="7" t="s">
        <v>17112</v>
      </c>
      <c r="D4474" s="199"/>
      <c r="E4474" s="193"/>
      <c r="F4474" s="195" t="s">
        <v>22608</v>
      </c>
      <c r="G4474" s="200">
        <v>6.95269437E8</v>
      </c>
      <c r="H4474" s="197">
        <v>5.62</v>
      </c>
      <c r="I4474" s="7" t="s">
        <v>16815</v>
      </c>
      <c r="J4474" s="7" t="s">
        <v>17787</v>
      </c>
      <c r="K4474" s="7" t="s">
        <v>17112</v>
      </c>
      <c r="L4474" s="201" t="s">
        <v>16835</v>
      </c>
      <c r="M4474" s="199"/>
      <c r="N4474" s="199"/>
    </row>
    <row r="4475">
      <c r="A4475" s="193" t="s">
        <v>22609</v>
      </c>
      <c r="B4475" s="7" t="s">
        <v>175</v>
      </c>
      <c r="C4475" s="7" t="s">
        <v>17812</v>
      </c>
      <c r="D4475" s="194">
        <v>1993.0</v>
      </c>
      <c r="E4475" s="193"/>
      <c r="F4475" s="195" t="s">
        <v>22610</v>
      </c>
      <c r="G4475" s="196">
        <v>6.93954567E8</v>
      </c>
      <c r="H4475" s="197">
        <v>104.88</v>
      </c>
      <c r="I4475" s="7" t="s">
        <v>174</v>
      </c>
      <c r="J4475" s="7" t="s">
        <v>175</v>
      </c>
      <c r="K4475" s="7" t="s">
        <v>17812</v>
      </c>
      <c r="L4475" s="198" t="s">
        <v>65</v>
      </c>
      <c r="M4475" s="194"/>
      <c r="N4475" s="194"/>
    </row>
    <row r="4476">
      <c r="A4476" s="193" t="s">
        <v>22611</v>
      </c>
      <c r="B4476" s="7" t="s">
        <v>175</v>
      </c>
      <c r="C4476" s="7" t="s">
        <v>17031</v>
      </c>
      <c r="D4476" s="194">
        <v>2013.0</v>
      </c>
      <c r="E4476" s="193"/>
      <c r="F4476" s="195" t="s">
        <v>22612</v>
      </c>
      <c r="G4476" s="196">
        <v>6.93897713E8</v>
      </c>
      <c r="H4476" s="197">
        <v>6.26</v>
      </c>
      <c r="I4476" s="7" t="s">
        <v>16856</v>
      </c>
      <c r="J4476" s="7" t="s">
        <v>175</v>
      </c>
      <c r="K4476" s="7" t="s">
        <v>17031</v>
      </c>
      <c r="L4476" s="198" t="s">
        <v>65</v>
      </c>
      <c r="M4476" s="194"/>
      <c r="N4476" s="194"/>
    </row>
    <row r="4477">
      <c r="A4477" s="193" t="s">
        <v>22611</v>
      </c>
      <c r="B4477" s="7" t="s">
        <v>17031</v>
      </c>
      <c r="C4477" s="7" t="s">
        <v>175</v>
      </c>
      <c r="D4477" s="194">
        <v>2013.0</v>
      </c>
      <c r="E4477" s="193"/>
      <c r="F4477" s="195" t="s">
        <v>22612</v>
      </c>
      <c r="G4477" s="200">
        <v>6.93897713E8</v>
      </c>
      <c r="H4477" s="197">
        <v>6.26</v>
      </c>
      <c r="I4477" s="7" t="s">
        <v>16815</v>
      </c>
      <c r="J4477" s="7" t="s">
        <v>17031</v>
      </c>
      <c r="K4477" s="7" t="s">
        <v>175</v>
      </c>
      <c r="L4477" s="201" t="s">
        <v>16835</v>
      </c>
      <c r="M4477" s="194"/>
      <c r="N4477" s="194"/>
    </row>
    <row r="4478">
      <c r="A4478" s="193" t="s">
        <v>22613</v>
      </c>
      <c r="B4478" s="7" t="s">
        <v>16838</v>
      </c>
      <c r="C4478" s="7" t="s">
        <v>17112</v>
      </c>
      <c r="D4478" s="194">
        <v>2013.0</v>
      </c>
      <c r="E4478" s="193"/>
      <c r="F4478" s="195" t="s">
        <v>22614</v>
      </c>
      <c r="G4478" s="196">
        <v>6.92883596E8</v>
      </c>
      <c r="H4478" s="197">
        <v>10.28</v>
      </c>
      <c r="I4478" s="7" t="s">
        <v>186</v>
      </c>
      <c r="J4478" s="7" t="s">
        <v>16838</v>
      </c>
      <c r="K4478" s="7" t="s">
        <v>17112</v>
      </c>
      <c r="L4478" s="198" t="s">
        <v>65</v>
      </c>
      <c r="M4478" s="194"/>
      <c r="N4478" s="194"/>
    </row>
    <row r="4479">
      <c r="A4479" s="193" t="s">
        <v>22613</v>
      </c>
      <c r="B4479" s="7" t="s">
        <v>17112</v>
      </c>
      <c r="C4479" s="7" t="s">
        <v>16838</v>
      </c>
      <c r="D4479" s="194">
        <v>2013.0</v>
      </c>
      <c r="E4479" s="193"/>
      <c r="F4479" s="195" t="s">
        <v>22614</v>
      </c>
      <c r="G4479" s="200">
        <v>6.92883596E8</v>
      </c>
      <c r="H4479" s="197">
        <v>10.28</v>
      </c>
      <c r="I4479" s="7" t="s">
        <v>16815</v>
      </c>
      <c r="J4479" s="7" t="s">
        <v>17112</v>
      </c>
      <c r="K4479" s="7" t="s">
        <v>16838</v>
      </c>
      <c r="L4479" s="201" t="s">
        <v>16835</v>
      </c>
      <c r="M4479" s="194"/>
      <c r="N4479" s="194"/>
    </row>
    <row r="4480">
      <c r="A4480" s="193" t="s">
        <v>22615</v>
      </c>
      <c r="B4480" s="7" t="s">
        <v>16838</v>
      </c>
      <c r="C4480" s="7" t="s">
        <v>16837</v>
      </c>
      <c r="D4480" s="199"/>
      <c r="E4480" s="193"/>
      <c r="F4480" s="195" t="s">
        <v>22616</v>
      </c>
      <c r="G4480" s="196">
        <v>6.91829803E8</v>
      </c>
      <c r="H4480" s="197">
        <v>5.08</v>
      </c>
      <c r="I4480" s="7" t="s">
        <v>16815</v>
      </c>
      <c r="J4480" s="7" t="s">
        <v>16838</v>
      </c>
      <c r="K4480" s="7" t="s">
        <v>16837</v>
      </c>
      <c r="L4480" s="198" t="s">
        <v>65</v>
      </c>
      <c r="M4480" s="199"/>
      <c r="N4480" s="199"/>
    </row>
    <row r="4481">
      <c r="A4481" s="193" t="s">
        <v>22617</v>
      </c>
      <c r="B4481" s="7" t="s">
        <v>16919</v>
      </c>
      <c r="C4481" s="7" t="s">
        <v>17176</v>
      </c>
      <c r="D4481" s="194">
        <v>2017.0</v>
      </c>
      <c r="E4481" s="193"/>
      <c r="F4481" s="195" t="s">
        <v>22618</v>
      </c>
      <c r="G4481" s="196">
        <v>6.91674375E8</v>
      </c>
      <c r="H4481" s="197">
        <v>22.65</v>
      </c>
      <c r="I4481" s="7" t="s">
        <v>16815</v>
      </c>
      <c r="J4481" s="7" t="s">
        <v>16919</v>
      </c>
      <c r="K4481" s="7" t="s">
        <v>17176</v>
      </c>
      <c r="L4481" s="198" t="s">
        <v>65</v>
      </c>
      <c r="M4481" s="194"/>
      <c r="N4481" s="194"/>
    </row>
    <row r="4482">
      <c r="A4482" s="193" t="s">
        <v>22617</v>
      </c>
      <c r="B4482" s="7" t="s">
        <v>17176</v>
      </c>
      <c r="C4482" s="7" t="s">
        <v>16919</v>
      </c>
      <c r="D4482" s="194">
        <v>2017.0</v>
      </c>
      <c r="E4482" s="193"/>
      <c r="F4482" s="195" t="s">
        <v>22618</v>
      </c>
      <c r="G4482" s="200">
        <v>6.91674375E8</v>
      </c>
      <c r="H4482" s="197">
        <v>22.65</v>
      </c>
      <c r="I4482" s="7" t="s">
        <v>16815</v>
      </c>
      <c r="J4482" s="7" t="s">
        <v>17176</v>
      </c>
      <c r="K4482" s="7" t="s">
        <v>16919</v>
      </c>
      <c r="L4482" s="201" t="s">
        <v>16835</v>
      </c>
      <c r="M4482" s="194"/>
      <c r="N4482" s="194"/>
    </row>
    <row r="4483">
      <c r="A4483" s="193" t="s">
        <v>22619</v>
      </c>
      <c r="B4483" s="7" t="s">
        <v>187</v>
      </c>
      <c r="C4483" s="7" t="s">
        <v>16846</v>
      </c>
      <c r="D4483" s="199"/>
      <c r="E4483" s="193"/>
      <c r="F4483" s="195" t="s">
        <v>22620</v>
      </c>
      <c r="G4483" s="196">
        <v>6.91276903E8</v>
      </c>
      <c r="H4483" s="197">
        <v>5.94</v>
      </c>
      <c r="I4483" s="7" t="s">
        <v>16815</v>
      </c>
      <c r="J4483" s="7" t="s">
        <v>187</v>
      </c>
      <c r="K4483" s="7" t="s">
        <v>16846</v>
      </c>
      <c r="L4483" s="198" t="s">
        <v>65</v>
      </c>
      <c r="M4483" s="199"/>
      <c r="N4483" s="199"/>
    </row>
    <row r="4484">
      <c r="A4484" s="193" t="s">
        <v>22621</v>
      </c>
      <c r="B4484" s="7" t="s">
        <v>16838</v>
      </c>
      <c r="C4484" s="7" t="s">
        <v>17016</v>
      </c>
      <c r="D4484" s="199"/>
      <c r="E4484" s="193"/>
      <c r="F4484" s="195" t="s">
        <v>22622</v>
      </c>
      <c r="G4484" s="196">
        <v>6.89781525E8</v>
      </c>
      <c r="H4484" s="197">
        <v>5.76</v>
      </c>
      <c r="I4484" s="7" t="s">
        <v>16815</v>
      </c>
      <c r="J4484" s="7" t="s">
        <v>16838</v>
      </c>
      <c r="K4484" s="7" t="s">
        <v>17016</v>
      </c>
      <c r="L4484" s="198" t="s">
        <v>65</v>
      </c>
      <c r="M4484" s="199"/>
      <c r="N4484" s="199"/>
    </row>
    <row r="4485">
      <c r="A4485" s="193" t="s">
        <v>22623</v>
      </c>
      <c r="B4485" s="7" t="s">
        <v>175</v>
      </c>
      <c r="C4485" s="7" t="s">
        <v>18723</v>
      </c>
      <c r="D4485" s="199"/>
      <c r="E4485" s="193"/>
      <c r="F4485" s="195" t="s">
        <v>22624</v>
      </c>
      <c r="G4485" s="196">
        <v>6.88840936E8</v>
      </c>
      <c r="H4485" s="197">
        <v>21.95</v>
      </c>
      <c r="I4485" s="7" t="s">
        <v>16908</v>
      </c>
      <c r="J4485" s="7" t="s">
        <v>175</v>
      </c>
      <c r="K4485" s="7" t="s">
        <v>18723</v>
      </c>
      <c r="L4485" s="198" t="s">
        <v>65</v>
      </c>
      <c r="M4485" s="199"/>
      <c r="N4485" s="199"/>
    </row>
    <row r="4486">
      <c r="A4486" s="193" t="s">
        <v>22625</v>
      </c>
      <c r="B4486" s="7" t="s">
        <v>175</v>
      </c>
      <c r="C4486" s="7" t="s">
        <v>17031</v>
      </c>
      <c r="D4486" s="194">
        <v>2021.0</v>
      </c>
      <c r="E4486" s="193"/>
      <c r="F4486" s="195" t="s">
        <v>22626</v>
      </c>
      <c r="G4486" s="196">
        <v>6.88582585E8</v>
      </c>
      <c r="H4486" s="197">
        <v>12.72</v>
      </c>
      <c r="I4486" s="7" t="s">
        <v>17242</v>
      </c>
      <c r="J4486" s="7" t="s">
        <v>175</v>
      </c>
      <c r="K4486" s="7" t="s">
        <v>17031</v>
      </c>
      <c r="L4486" s="198" t="s">
        <v>65</v>
      </c>
      <c r="M4486" s="194"/>
      <c r="N4486" s="194"/>
    </row>
    <row r="4487">
      <c r="A4487" s="193" t="s">
        <v>22627</v>
      </c>
      <c r="B4487" s="7" t="s">
        <v>16910</v>
      </c>
      <c r="C4487" s="7" t="s">
        <v>16911</v>
      </c>
      <c r="D4487" s="194">
        <v>2022.0</v>
      </c>
      <c r="E4487" s="193"/>
      <c r="F4487" s="195" t="s">
        <v>22628</v>
      </c>
      <c r="G4487" s="196">
        <v>6.88581049E8</v>
      </c>
      <c r="H4487" s="197">
        <v>3.25</v>
      </c>
      <c r="I4487" s="7" t="s">
        <v>16856</v>
      </c>
      <c r="J4487" s="7" t="s">
        <v>16910</v>
      </c>
      <c r="K4487" s="7" t="s">
        <v>16911</v>
      </c>
      <c r="L4487" s="198" t="s">
        <v>65</v>
      </c>
      <c r="M4487" s="194"/>
      <c r="N4487" s="194"/>
    </row>
    <row r="4488">
      <c r="A4488" s="193" t="s">
        <v>22627</v>
      </c>
      <c r="B4488" s="7" t="s">
        <v>16911</v>
      </c>
      <c r="C4488" s="7" t="s">
        <v>16910</v>
      </c>
      <c r="D4488" s="194">
        <v>2022.0</v>
      </c>
      <c r="E4488" s="193"/>
      <c r="F4488" s="195" t="s">
        <v>22628</v>
      </c>
      <c r="G4488" s="200">
        <v>6.88581049E8</v>
      </c>
      <c r="H4488" s="197">
        <v>3.25</v>
      </c>
      <c r="I4488" s="7" t="s">
        <v>16815</v>
      </c>
      <c r="J4488" s="7" t="s">
        <v>16911</v>
      </c>
      <c r="K4488" s="7" t="s">
        <v>16910</v>
      </c>
      <c r="L4488" s="201" t="s">
        <v>16835</v>
      </c>
      <c r="M4488" s="194"/>
      <c r="N4488" s="194"/>
    </row>
    <row r="4489">
      <c r="A4489" s="193" t="s">
        <v>22629</v>
      </c>
      <c r="B4489" s="7" t="s">
        <v>175</v>
      </c>
      <c r="C4489" s="7" t="s">
        <v>17233</v>
      </c>
      <c r="D4489" s="199"/>
      <c r="E4489" s="193"/>
      <c r="F4489" s="195" t="s">
        <v>22630</v>
      </c>
      <c r="G4489" s="196">
        <v>6.88515884E8</v>
      </c>
      <c r="H4489" s="197">
        <v>7.17</v>
      </c>
      <c r="I4489" s="7" t="s">
        <v>16903</v>
      </c>
      <c r="J4489" s="7" t="s">
        <v>175</v>
      </c>
      <c r="K4489" s="7" t="s">
        <v>17233</v>
      </c>
      <c r="L4489" s="198" t="s">
        <v>65</v>
      </c>
      <c r="M4489" s="199"/>
      <c r="N4489" s="199"/>
    </row>
    <row r="4490">
      <c r="A4490" s="193" t="s">
        <v>22629</v>
      </c>
      <c r="B4490" s="7" t="s">
        <v>17233</v>
      </c>
      <c r="C4490" s="7" t="s">
        <v>175</v>
      </c>
      <c r="D4490" s="199"/>
      <c r="E4490" s="193"/>
      <c r="F4490" s="195" t="s">
        <v>22630</v>
      </c>
      <c r="G4490" s="200">
        <v>6.88515884E8</v>
      </c>
      <c r="H4490" s="197">
        <v>7.17</v>
      </c>
      <c r="I4490" s="7" t="s">
        <v>16815</v>
      </c>
      <c r="J4490" s="7" t="s">
        <v>17233</v>
      </c>
      <c r="K4490" s="7" t="s">
        <v>175</v>
      </c>
      <c r="L4490" s="201" t="s">
        <v>16835</v>
      </c>
      <c r="M4490" s="199"/>
      <c r="N4490" s="199"/>
    </row>
    <row r="4491">
      <c r="A4491" s="193" t="s">
        <v>22631</v>
      </c>
      <c r="B4491" s="7" t="s">
        <v>175</v>
      </c>
      <c r="C4491" s="7" t="s">
        <v>17509</v>
      </c>
      <c r="D4491" s="194">
        <v>2019.0</v>
      </c>
      <c r="E4491" s="193"/>
      <c r="F4491" s="195" t="s">
        <v>22632</v>
      </c>
      <c r="G4491" s="196">
        <v>6.87292632E8</v>
      </c>
      <c r="H4491" s="197">
        <v>13.39</v>
      </c>
      <c r="I4491" s="7" t="s">
        <v>174</v>
      </c>
      <c r="J4491" s="7" t="s">
        <v>175</v>
      </c>
      <c r="K4491" s="7" t="s">
        <v>17509</v>
      </c>
      <c r="L4491" s="198" t="s">
        <v>65</v>
      </c>
      <c r="M4491" s="194"/>
      <c r="N4491" s="194"/>
    </row>
    <row r="4492">
      <c r="A4492" s="193" t="s">
        <v>22633</v>
      </c>
      <c r="B4492" s="7" t="s">
        <v>175</v>
      </c>
      <c r="C4492" s="7" t="s">
        <v>17812</v>
      </c>
      <c r="D4492" s="199"/>
      <c r="E4492" s="193"/>
      <c r="F4492" s="195" t="s">
        <v>22634</v>
      </c>
      <c r="G4492" s="196">
        <v>6.8665685E8</v>
      </c>
      <c r="H4492" s="197">
        <v>19.4</v>
      </c>
      <c r="I4492" s="7" t="s">
        <v>168</v>
      </c>
      <c r="J4492" s="7" t="s">
        <v>175</v>
      </c>
      <c r="K4492" s="7" t="s">
        <v>17812</v>
      </c>
      <c r="L4492" s="198" t="s">
        <v>65</v>
      </c>
      <c r="M4492" s="199"/>
      <c r="N4492" s="199"/>
    </row>
    <row r="4493">
      <c r="A4493" s="193" t="s">
        <v>22635</v>
      </c>
      <c r="B4493" s="7" t="s">
        <v>17111</v>
      </c>
      <c r="C4493" s="7" t="s">
        <v>17112</v>
      </c>
      <c r="D4493" s="199"/>
      <c r="E4493" s="193"/>
      <c r="F4493" s="195" t="s">
        <v>22636</v>
      </c>
      <c r="G4493" s="200">
        <v>6.86605799E8</v>
      </c>
      <c r="H4493" s="197">
        <v>23.45</v>
      </c>
      <c r="I4493" s="7" t="s">
        <v>16815</v>
      </c>
      <c r="J4493" s="7" t="s">
        <v>17111</v>
      </c>
      <c r="K4493" s="7" t="s">
        <v>17112</v>
      </c>
      <c r="L4493" s="201" t="s">
        <v>16835</v>
      </c>
      <c r="M4493" s="199"/>
      <c r="N4493" s="199"/>
    </row>
    <row r="4494">
      <c r="A4494" s="193" t="s">
        <v>22635</v>
      </c>
      <c r="B4494" s="7" t="s">
        <v>17112</v>
      </c>
      <c r="C4494" s="7" t="s">
        <v>17111</v>
      </c>
      <c r="D4494" s="199"/>
      <c r="E4494" s="193"/>
      <c r="F4494" s="195" t="s">
        <v>22636</v>
      </c>
      <c r="G4494" s="196">
        <v>6.86605799E8</v>
      </c>
      <c r="H4494" s="197">
        <v>23.45</v>
      </c>
      <c r="I4494" s="7" t="s">
        <v>16815</v>
      </c>
      <c r="J4494" s="7" t="s">
        <v>17112</v>
      </c>
      <c r="K4494" s="7" t="s">
        <v>17111</v>
      </c>
      <c r="L4494" s="198" t="s">
        <v>65</v>
      </c>
      <c r="M4494" s="199"/>
      <c r="N4494" s="199"/>
    </row>
    <row r="4495">
      <c r="A4495" s="193" t="s">
        <v>22637</v>
      </c>
      <c r="B4495" s="7" t="s">
        <v>16838</v>
      </c>
      <c r="C4495" s="7" t="s">
        <v>16867</v>
      </c>
      <c r="D4495" s="199"/>
      <c r="E4495" s="193"/>
      <c r="F4495" s="195" t="s">
        <v>22638</v>
      </c>
      <c r="G4495" s="196">
        <v>6.83718813E8</v>
      </c>
      <c r="H4495" s="197">
        <v>17.71</v>
      </c>
      <c r="I4495" s="7" t="s">
        <v>16815</v>
      </c>
      <c r="J4495" s="7" t="s">
        <v>16838</v>
      </c>
      <c r="K4495" s="7" t="s">
        <v>16867</v>
      </c>
      <c r="L4495" s="198" t="s">
        <v>65</v>
      </c>
      <c r="M4495" s="199"/>
      <c r="N4495" s="199"/>
    </row>
    <row r="4496">
      <c r="A4496" s="193" t="s">
        <v>22639</v>
      </c>
      <c r="B4496" s="7" t="s">
        <v>175</v>
      </c>
      <c r="C4496" s="7" t="s">
        <v>17350</v>
      </c>
      <c r="D4496" s="194">
        <v>2021.0</v>
      </c>
      <c r="E4496" s="193"/>
      <c r="F4496" s="195" t="s">
        <v>22640</v>
      </c>
      <c r="G4496" s="196">
        <v>6.82354982E8</v>
      </c>
      <c r="H4496" s="197">
        <v>1.94</v>
      </c>
      <c r="I4496" s="7" t="s">
        <v>17242</v>
      </c>
      <c r="J4496" s="7" t="s">
        <v>175</v>
      </c>
      <c r="K4496" s="7" t="s">
        <v>17350</v>
      </c>
      <c r="L4496" s="198" t="s">
        <v>65</v>
      </c>
      <c r="M4496" s="194"/>
      <c r="N4496" s="194"/>
    </row>
    <row r="4497">
      <c r="A4497" s="193" t="s">
        <v>22639</v>
      </c>
      <c r="B4497" s="7" t="s">
        <v>17350</v>
      </c>
      <c r="C4497" s="7" t="s">
        <v>175</v>
      </c>
      <c r="D4497" s="194">
        <v>2021.0</v>
      </c>
      <c r="E4497" s="193"/>
      <c r="F4497" s="195" t="s">
        <v>22640</v>
      </c>
      <c r="G4497" s="200">
        <v>6.82354982E8</v>
      </c>
      <c r="H4497" s="197">
        <v>1.94</v>
      </c>
      <c r="I4497" s="7" t="s">
        <v>16815</v>
      </c>
      <c r="J4497" s="7" t="s">
        <v>17350</v>
      </c>
      <c r="K4497" s="7" t="s">
        <v>175</v>
      </c>
      <c r="L4497" s="201" t="s">
        <v>16835</v>
      </c>
      <c r="M4497" s="194"/>
      <c r="N4497" s="194"/>
    </row>
    <row r="4498">
      <c r="A4498" s="193" t="s">
        <v>22641</v>
      </c>
      <c r="B4498" s="7" t="s">
        <v>16838</v>
      </c>
      <c r="C4498" s="7" t="s">
        <v>16867</v>
      </c>
      <c r="D4498" s="199"/>
      <c r="E4498" s="193"/>
      <c r="F4498" s="195" t="s">
        <v>22642</v>
      </c>
      <c r="G4498" s="196">
        <v>6.82174558E8</v>
      </c>
      <c r="H4498" s="197">
        <v>17.67</v>
      </c>
      <c r="I4498" s="7" t="s">
        <v>16815</v>
      </c>
      <c r="J4498" s="7" t="s">
        <v>16838</v>
      </c>
      <c r="K4498" s="7" t="s">
        <v>16867</v>
      </c>
      <c r="L4498" s="198" t="s">
        <v>65</v>
      </c>
      <c r="M4498" s="199"/>
      <c r="N4498" s="199"/>
    </row>
    <row r="4499">
      <c r="A4499" s="193" t="s">
        <v>22643</v>
      </c>
      <c r="B4499" s="7" t="s">
        <v>187</v>
      </c>
      <c r="C4499" s="7" t="s">
        <v>18633</v>
      </c>
      <c r="D4499" s="199"/>
      <c r="E4499" s="193"/>
      <c r="F4499" s="195" t="s">
        <v>22644</v>
      </c>
      <c r="G4499" s="196">
        <v>6.80580168E8</v>
      </c>
      <c r="H4499" s="197">
        <v>17.92</v>
      </c>
      <c r="I4499" s="7" t="s">
        <v>16815</v>
      </c>
      <c r="J4499" s="7" t="s">
        <v>187</v>
      </c>
      <c r="K4499" s="7" t="s">
        <v>18633</v>
      </c>
      <c r="L4499" s="198" t="s">
        <v>65</v>
      </c>
      <c r="M4499" s="199"/>
      <c r="N4499" s="199"/>
    </row>
    <row r="4500">
      <c r="A4500" s="193" t="s">
        <v>22645</v>
      </c>
      <c r="B4500" s="7" t="s">
        <v>16582</v>
      </c>
      <c r="C4500" s="7" t="s">
        <v>16930</v>
      </c>
      <c r="D4500" s="194">
        <v>2021.0</v>
      </c>
      <c r="E4500" s="193"/>
      <c r="F4500" s="195" t="s">
        <v>22646</v>
      </c>
      <c r="G4500" s="196">
        <v>6.80317584E8</v>
      </c>
      <c r="H4500" s="197">
        <v>3.93</v>
      </c>
      <c r="I4500" s="7" t="s">
        <v>16815</v>
      </c>
      <c r="J4500" s="7" t="s">
        <v>16582</v>
      </c>
      <c r="K4500" s="7" t="s">
        <v>16930</v>
      </c>
      <c r="L4500" s="198" t="s">
        <v>65</v>
      </c>
      <c r="M4500" s="194"/>
      <c r="N4500" s="194"/>
    </row>
    <row r="4501">
      <c r="A4501" s="193" t="s">
        <v>22645</v>
      </c>
      <c r="B4501" s="7" t="s">
        <v>16930</v>
      </c>
      <c r="C4501" s="7" t="s">
        <v>16582</v>
      </c>
      <c r="D4501" s="194">
        <v>2021.0</v>
      </c>
      <c r="E4501" s="193"/>
      <c r="F4501" s="195" t="s">
        <v>22646</v>
      </c>
      <c r="G4501" s="200">
        <v>6.80317584E8</v>
      </c>
      <c r="H4501" s="197">
        <v>3.93</v>
      </c>
      <c r="I4501" s="7" t="s">
        <v>16815</v>
      </c>
      <c r="J4501" s="7" t="s">
        <v>16930</v>
      </c>
      <c r="K4501" s="7" t="s">
        <v>16582</v>
      </c>
      <c r="L4501" s="201" t="s">
        <v>16835</v>
      </c>
      <c r="M4501" s="194"/>
      <c r="N4501" s="194"/>
    </row>
    <row r="4502">
      <c r="A4502" s="193" t="s">
        <v>22647</v>
      </c>
      <c r="B4502" s="7" t="s">
        <v>17202</v>
      </c>
      <c r="C4502" s="7" t="s">
        <v>16838</v>
      </c>
      <c r="D4502" s="194">
        <v>2020.0</v>
      </c>
      <c r="E4502" s="193"/>
      <c r="F4502" s="195" t="s">
        <v>22648</v>
      </c>
      <c r="G4502" s="200">
        <v>6.79391688E8</v>
      </c>
      <c r="H4502" s="197">
        <v>14.17</v>
      </c>
      <c r="I4502" s="7" t="s">
        <v>16815</v>
      </c>
      <c r="J4502" s="7" t="s">
        <v>17202</v>
      </c>
      <c r="K4502" s="7" t="s">
        <v>16838</v>
      </c>
      <c r="L4502" s="201" t="s">
        <v>16835</v>
      </c>
      <c r="M4502" s="194"/>
      <c r="N4502" s="194"/>
    </row>
    <row r="4503">
      <c r="A4503" s="193" t="s">
        <v>22647</v>
      </c>
      <c r="B4503" s="7" t="s">
        <v>16838</v>
      </c>
      <c r="C4503" s="7" t="s">
        <v>17202</v>
      </c>
      <c r="D4503" s="194">
        <v>2020.0</v>
      </c>
      <c r="E4503" s="193"/>
      <c r="F4503" s="195" t="s">
        <v>22648</v>
      </c>
      <c r="G4503" s="196">
        <v>6.79391688E8</v>
      </c>
      <c r="H4503" s="197">
        <v>14.17</v>
      </c>
      <c r="I4503" s="7" t="s">
        <v>16815</v>
      </c>
      <c r="J4503" s="7" t="s">
        <v>16838</v>
      </c>
      <c r="K4503" s="7" t="s">
        <v>17202</v>
      </c>
      <c r="L4503" s="198" t="s">
        <v>65</v>
      </c>
      <c r="M4503" s="194"/>
      <c r="N4503" s="194"/>
    </row>
    <row r="4504">
      <c r="A4504" s="193" t="s">
        <v>22649</v>
      </c>
      <c r="B4504" s="7" t="s">
        <v>16838</v>
      </c>
      <c r="C4504" s="7" t="s">
        <v>17202</v>
      </c>
      <c r="D4504" s="199"/>
      <c r="E4504" s="193"/>
      <c r="F4504" s="195" t="s">
        <v>22650</v>
      </c>
      <c r="G4504" s="196">
        <v>6.78999212E8</v>
      </c>
      <c r="H4504" s="197">
        <v>22.21</v>
      </c>
      <c r="I4504" s="7" t="s">
        <v>16815</v>
      </c>
      <c r="J4504" s="7" t="s">
        <v>16838</v>
      </c>
      <c r="K4504" s="7" t="s">
        <v>17202</v>
      </c>
      <c r="L4504" s="198" t="s">
        <v>65</v>
      </c>
      <c r="M4504" s="199"/>
      <c r="N4504" s="199"/>
    </row>
    <row r="4505">
      <c r="A4505" s="193" t="s">
        <v>22651</v>
      </c>
      <c r="B4505" s="7" t="s">
        <v>169</v>
      </c>
      <c r="C4505" s="7" t="s">
        <v>18862</v>
      </c>
      <c r="D4505" s="194">
        <v>1998.0</v>
      </c>
      <c r="E4505" s="193"/>
      <c r="F4505" s="195" t="s">
        <v>22652</v>
      </c>
      <c r="G4505" s="196">
        <v>6.77800134E8</v>
      </c>
      <c r="H4505" s="197">
        <v>19.47</v>
      </c>
      <c r="I4505" s="7" t="s">
        <v>16815</v>
      </c>
      <c r="J4505" s="7" t="s">
        <v>169</v>
      </c>
      <c r="K4505" s="7" t="s">
        <v>18862</v>
      </c>
      <c r="L4505" s="198" t="s">
        <v>65</v>
      </c>
      <c r="M4505" s="194"/>
      <c r="N4505" s="194"/>
    </row>
    <row r="4506">
      <c r="A4506" s="193" t="s">
        <v>22653</v>
      </c>
      <c r="B4506" s="7" t="s">
        <v>17202</v>
      </c>
      <c r="C4506" s="7" t="s">
        <v>16838</v>
      </c>
      <c r="D4506" s="194">
        <v>2014.0</v>
      </c>
      <c r="E4506" s="193"/>
      <c r="F4506" s="195" t="s">
        <v>22654</v>
      </c>
      <c r="G4506" s="200">
        <v>6.72847014E8</v>
      </c>
      <c r="H4506" s="197">
        <v>16.21</v>
      </c>
      <c r="I4506" s="7" t="s">
        <v>16815</v>
      </c>
      <c r="J4506" s="7" t="s">
        <v>17202</v>
      </c>
      <c r="K4506" s="7" t="s">
        <v>16838</v>
      </c>
      <c r="L4506" s="201" t="s">
        <v>16835</v>
      </c>
      <c r="M4506" s="194"/>
      <c r="N4506" s="194"/>
    </row>
    <row r="4507">
      <c r="A4507" s="193" t="s">
        <v>22653</v>
      </c>
      <c r="B4507" s="7" t="s">
        <v>16838</v>
      </c>
      <c r="C4507" s="7" t="s">
        <v>17202</v>
      </c>
      <c r="D4507" s="194">
        <v>2014.0</v>
      </c>
      <c r="E4507" s="193"/>
      <c r="F4507" s="195" t="s">
        <v>22654</v>
      </c>
      <c r="G4507" s="196">
        <v>6.72847014E8</v>
      </c>
      <c r="H4507" s="197">
        <v>16.21</v>
      </c>
      <c r="I4507" s="7" t="s">
        <v>16815</v>
      </c>
      <c r="J4507" s="7" t="s">
        <v>16838</v>
      </c>
      <c r="K4507" s="7" t="s">
        <v>17202</v>
      </c>
      <c r="L4507" s="198" t="s">
        <v>65</v>
      </c>
      <c r="M4507" s="194"/>
      <c r="N4507" s="194"/>
    </row>
    <row r="4508">
      <c r="A4508" s="193" t="s">
        <v>22655</v>
      </c>
      <c r="B4508" s="7" t="s">
        <v>187</v>
      </c>
      <c r="C4508" s="7" t="s">
        <v>16846</v>
      </c>
      <c r="D4508" s="194">
        <v>2014.0</v>
      </c>
      <c r="E4508" s="193"/>
      <c r="F4508" s="195" t="s">
        <v>22656</v>
      </c>
      <c r="G4508" s="196">
        <v>6.70985744E8</v>
      </c>
      <c r="H4508" s="197">
        <v>22.0</v>
      </c>
      <c r="I4508" s="7" t="s">
        <v>16815</v>
      </c>
      <c r="J4508" s="7" t="s">
        <v>187</v>
      </c>
      <c r="K4508" s="7" t="s">
        <v>16846</v>
      </c>
      <c r="L4508" s="198" t="s">
        <v>65</v>
      </c>
      <c r="M4508" s="194"/>
      <c r="N4508" s="194"/>
    </row>
    <row r="4509">
      <c r="A4509" s="193" t="s">
        <v>22657</v>
      </c>
      <c r="B4509" s="7" t="s">
        <v>175</v>
      </c>
      <c r="C4509" s="7" t="s">
        <v>16854</v>
      </c>
      <c r="D4509" s="194">
        <v>1999.0</v>
      </c>
      <c r="E4509" s="193"/>
      <c r="F4509" s="195" t="s">
        <v>22658</v>
      </c>
      <c r="G4509" s="196">
        <v>6.70006271E8</v>
      </c>
      <c r="H4509" s="197">
        <v>15.29</v>
      </c>
      <c r="I4509" s="7" t="s">
        <v>17785</v>
      </c>
      <c r="J4509" s="7" t="s">
        <v>175</v>
      </c>
      <c r="K4509" s="7" t="s">
        <v>16854</v>
      </c>
      <c r="L4509" s="198" t="s">
        <v>65</v>
      </c>
      <c r="M4509" s="194"/>
      <c r="N4509" s="194"/>
    </row>
    <row r="4510">
      <c r="A4510" s="193" t="s">
        <v>22659</v>
      </c>
      <c r="B4510" s="7" t="s">
        <v>175</v>
      </c>
      <c r="C4510" s="7" t="s">
        <v>16854</v>
      </c>
      <c r="D4510" s="194">
        <v>2018.0</v>
      </c>
      <c r="E4510" s="193"/>
      <c r="F4510" s="195" t="s">
        <v>22660</v>
      </c>
      <c r="G4510" s="196">
        <v>6.69678E8</v>
      </c>
      <c r="H4510" s="197">
        <v>7.17</v>
      </c>
      <c r="I4510" s="7" t="s">
        <v>16908</v>
      </c>
      <c r="J4510" s="7" t="s">
        <v>175</v>
      </c>
      <c r="K4510" s="7" t="s">
        <v>16854</v>
      </c>
      <c r="L4510" s="198" t="s">
        <v>65</v>
      </c>
      <c r="M4510" s="194"/>
      <c r="N4510" s="194"/>
    </row>
    <row r="4511">
      <c r="A4511" s="193" t="s">
        <v>22659</v>
      </c>
      <c r="B4511" s="7" t="s">
        <v>16854</v>
      </c>
      <c r="C4511" s="7" t="s">
        <v>175</v>
      </c>
      <c r="D4511" s="194">
        <v>2018.0</v>
      </c>
      <c r="E4511" s="193"/>
      <c r="F4511" s="195" t="s">
        <v>22660</v>
      </c>
      <c r="G4511" s="200">
        <v>6.69678E8</v>
      </c>
      <c r="H4511" s="197">
        <v>7.17</v>
      </c>
      <c r="I4511" s="7" t="s">
        <v>16815</v>
      </c>
      <c r="J4511" s="7" t="s">
        <v>16854</v>
      </c>
      <c r="K4511" s="7" t="s">
        <v>175</v>
      </c>
      <c r="L4511" s="201" t="s">
        <v>16835</v>
      </c>
      <c r="M4511" s="194"/>
      <c r="N4511" s="194"/>
    </row>
    <row r="4512">
      <c r="A4512" s="193" t="s">
        <v>22661</v>
      </c>
      <c r="B4512" s="7" t="s">
        <v>187</v>
      </c>
      <c r="C4512" s="7" t="s">
        <v>17122</v>
      </c>
      <c r="D4512" s="194">
        <v>2021.0</v>
      </c>
      <c r="E4512" s="193"/>
      <c r="F4512" s="195" t="s">
        <v>22662</v>
      </c>
      <c r="G4512" s="196">
        <v>6.68165019E8</v>
      </c>
      <c r="H4512" s="197">
        <v>4.9</v>
      </c>
      <c r="I4512" s="7" t="s">
        <v>16815</v>
      </c>
      <c r="J4512" s="7" t="s">
        <v>187</v>
      </c>
      <c r="K4512" s="7" t="s">
        <v>17122</v>
      </c>
      <c r="L4512" s="198" t="s">
        <v>65</v>
      </c>
      <c r="M4512" s="194"/>
      <c r="N4512" s="194"/>
    </row>
    <row r="4513">
      <c r="A4513" s="193" t="s">
        <v>22663</v>
      </c>
      <c r="B4513" s="7" t="s">
        <v>16582</v>
      </c>
      <c r="C4513" s="7" t="s">
        <v>16817</v>
      </c>
      <c r="D4513" s="199"/>
      <c r="E4513" s="193"/>
      <c r="F4513" s="195" t="s">
        <v>22664</v>
      </c>
      <c r="G4513" s="196">
        <v>6.67918488E8</v>
      </c>
      <c r="H4513" s="197">
        <v>16.56</v>
      </c>
      <c r="I4513" s="7" t="s">
        <v>16815</v>
      </c>
      <c r="J4513" s="7" t="s">
        <v>16582</v>
      </c>
      <c r="K4513" s="7" t="s">
        <v>16817</v>
      </c>
      <c r="L4513" s="198" t="s">
        <v>65</v>
      </c>
      <c r="M4513" s="199"/>
      <c r="N4513" s="199"/>
    </row>
    <row r="4514">
      <c r="A4514" s="193" t="s">
        <v>22665</v>
      </c>
      <c r="B4514" s="7" t="s">
        <v>17111</v>
      </c>
      <c r="C4514" s="7" t="s">
        <v>17112</v>
      </c>
      <c r="D4514" s="194">
        <v>2017.0</v>
      </c>
      <c r="E4514" s="193"/>
      <c r="F4514" s="195" t="s">
        <v>22666</v>
      </c>
      <c r="G4514" s="200">
        <v>6.67506736E8</v>
      </c>
      <c r="H4514" s="197">
        <v>24.3</v>
      </c>
      <c r="I4514" s="7" t="s">
        <v>16815</v>
      </c>
      <c r="J4514" s="7" t="s">
        <v>17111</v>
      </c>
      <c r="K4514" s="7" t="s">
        <v>17112</v>
      </c>
      <c r="L4514" s="201" t="s">
        <v>16835</v>
      </c>
      <c r="M4514" s="194"/>
      <c r="N4514" s="194"/>
    </row>
    <row r="4515">
      <c r="A4515" s="193" t="s">
        <v>22665</v>
      </c>
      <c r="B4515" s="7" t="s">
        <v>17112</v>
      </c>
      <c r="C4515" s="7" t="s">
        <v>17111</v>
      </c>
      <c r="D4515" s="194">
        <v>2017.0</v>
      </c>
      <c r="E4515" s="193"/>
      <c r="F4515" s="195" t="s">
        <v>22666</v>
      </c>
      <c r="G4515" s="196">
        <v>6.67506736E8</v>
      </c>
      <c r="H4515" s="197">
        <v>24.3</v>
      </c>
      <c r="I4515" s="7" t="s">
        <v>16815</v>
      </c>
      <c r="J4515" s="7" t="s">
        <v>17112</v>
      </c>
      <c r="K4515" s="7" t="s">
        <v>17111</v>
      </c>
      <c r="L4515" s="198" t="s">
        <v>65</v>
      </c>
      <c r="M4515" s="194"/>
      <c r="N4515" s="194"/>
    </row>
    <row r="4516">
      <c r="A4516" s="193" t="s">
        <v>22667</v>
      </c>
      <c r="B4516" s="7" t="s">
        <v>175</v>
      </c>
      <c r="C4516" s="7" t="s">
        <v>16975</v>
      </c>
      <c r="D4516" s="199"/>
      <c r="E4516" s="193"/>
      <c r="F4516" s="195" t="s">
        <v>22668</v>
      </c>
      <c r="G4516" s="196">
        <v>6.67128325E8</v>
      </c>
      <c r="H4516" s="197">
        <v>8.39</v>
      </c>
      <c r="I4516" s="7" t="s">
        <v>16856</v>
      </c>
      <c r="J4516" s="7" t="s">
        <v>175</v>
      </c>
      <c r="K4516" s="7" t="s">
        <v>16975</v>
      </c>
      <c r="L4516" s="198" t="s">
        <v>65</v>
      </c>
      <c r="M4516" s="199"/>
      <c r="N4516" s="199"/>
    </row>
    <row r="4517">
      <c r="A4517" s="193" t="s">
        <v>22667</v>
      </c>
      <c r="B4517" s="7" t="s">
        <v>16975</v>
      </c>
      <c r="C4517" s="7" t="s">
        <v>175</v>
      </c>
      <c r="D4517" s="199"/>
      <c r="E4517" s="193"/>
      <c r="F4517" s="195" t="s">
        <v>22668</v>
      </c>
      <c r="G4517" s="200">
        <v>6.67128325E8</v>
      </c>
      <c r="H4517" s="197">
        <v>8.39</v>
      </c>
      <c r="I4517" s="7" t="s">
        <v>16815</v>
      </c>
      <c r="J4517" s="7" t="s">
        <v>16975</v>
      </c>
      <c r="K4517" s="7" t="s">
        <v>175</v>
      </c>
      <c r="L4517" s="201" t="s">
        <v>16835</v>
      </c>
      <c r="M4517" s="199"/>
      <c r="N4517" s="199"/>
    </row>
    <row r="4518">
      <c r="A4518" s="193" t="s">
        <v>22669</v>
      </c>
      <c r="B4518" s="7" t="s">
        <v>16919</v>
      </c>
      <c r="C4518" s="7" t="s">
        <v>17176</v>
      </c>
      <c r="D4518" s="194">
        <v>2011.0</v>
      </c>
      <c r="E4518" s="193"/>
      <c r="F4518" s="195" t="s">
        <v>22670</v>
      </c>
      <c r="G4518" s="196">
        <v>6.65160462E8</v>
      </c>
      <c r="H4518" s="197">
        <v>24.26</v>
      </c>
      <c r="I4518" s="7" t="s">
        <v>16815</v>
      </c>
      <c r="J4518" s="7" t="s">
        <v>16919</v>
      </c>
      <c r="K4518" s="7" t="s">
        <v>17176</v>
      </c>
      <c r="L4518" s="198" t="s">
        <v>65</v>
      </c>
      <c r="M4518" s="194"/>
      <c r="N4518" s="194"/>
    </row>
    <row r="4519">
      <c r="A4519" s="193" t="s">
        <v>22669</v>
      </c>
      <c r="B4519" s="7" t="s">
        <v>17176</v>
      </c>
      <c r="C4519" s="7" t="s">
        <v>16919</v>
      </c>
      <c r="D4519" s="194">
        <v>2011.0</v>
      </c>
      <c r="E4519" s="193"/>
      <c r="F4519" s="195" t="s">
        <v>22670</v>
      </c>
      <c r="G4519" s="200">
        <v>6.65160462E8</v>
      </c>
      <c r="H4519" s="197">
        <v>24.26</v>
      </c>
      <c r="I4519" s="7" t="s">
        <v>16815</v>
      </c>
      <c r="J4519" s="7" t="s">
        <v>17176</v>
      </c>
      <c r="K4519" s="7" t="s">
        <v>16919</v>
      </c>
      <c r="L4519" s="201" t="s">
        <v>16835</v>
      </c>
      <c r="M4519" s="194"/>
      <c r="N4519" s="194"/>
    </row>
    <row r="4520">
      <c r="A4520" s="193" t="s">
        <v>22671</v>
      </c>
      <c r="B4520" s="7" t="s">
        <v>187</v>
      </c>
      <c r="C4520" s="7" t="s">
        <v>16992</v>
      </c>
      <c r="D4520" s="194">
        <v>2021.0</v>
      </c>
      <c r="E4520" s="193"/>
      <c r="F4520" s="195" t="s">
        <v>22672</v>
      </c>
      <c r="G4520" s="196">
        <v>6.64338911E8</v>
      </c>
      <c r="H4520" s="197">
        <v>3.37</v>
      </c>
      <c r="I4520" s="7" t="s">
        <v>16815</v>
      </c>
      <c r="J4520" s="7" t="s">
        <v>187</v>
      </c>
      <c r="K4520" s="7" t="s">
        <v>16992</v>
      </c>
      <c r="L4520" s="198" t="s">
        <v>65</v>
      </c>
      <c r="M4520" s="194"/>
      <c r="N4520" s="194"/>
    </row>
    <row r="4521">
      <c r="A4521" s="193" t="s">
        <v>22673</v>
      </c>
      <c r="B4521" s="7" t="s">
        <v>17127</v>
      </c>
      <c r="C4521" s="7" t="s">
        <v>16838</v>
      </c>
      <c r="D4521" s="199"/>
      <c r="E4521" s="193"/>
      <c r="F4521" s="195" t="s">
        <v>22674</v>
      </c>
      <c r="G4521" s="200">
        <v>6.64130539E8</v>
      </c>
      <c r="H4521" s="197">
        <v>13.03</v>
      </c>
      <c r="I4521" s="7" t="s">
        <v>16815</v>
      </c>
      <c r="J4521" s="7" t="s">
        <v>17127</v>
      </c>
      <c r="K4521" s="7" t="s">
        <v>16838</v>
      </c>
      <c r="L4521" s="201" t="s">
        <v>16835</v>
      </c>
      <c r="M4521" s="199"/>
      <c r="N4521" s="199"/>
    </row>
    <row r="4522">
      <c r="A4522" s="193" t="s">
        <v>22673</v>
      </c>
      <c r="B4522" s="7" t="s">
        <v>16838</v>
      </c>
      <c r="C4522" s="7" t="s">
        <v>17127</v>
      </c>
      <c r="D4522" s="199"/>
      <c r="E4522" s="193"/>
      <c r="F4522" s="195" t="s">
        <v>22674</v>
      </c>
      <c r="G4522" s="196">
        <v>6.64130539E8</v>
      </c>
      <c r="H4522" s="197">
        <v>13.03</v>
      </c>
      <c r="I4522" s="7" t="s">
        <v>16815</v>
      </c>
      <c r="J4522" s="7" t="s">
        <v>16838</v>
      </c>
      <c r="K4522" s="7" t="s">
        <v>17127</v>
      </c>
      <c r="L4522" s="198" t="s">
        <v>65</v>
      </c>
      <c r="M4522" s="199"/>
      <c r="N4522" s="199"/>
    </row>
    <row r="4523">
      <c r="A4523" s="193" t="s">
        <v>22675</v>
      </c>
      <c r="B4523" s="7" t="s">
        <v>16582</v>
      </c>
      <c r="C4523" s="7" t="s">
        <v>16828</v>
      </c>
      <c r="D4523" s="194">
        <v>2005.0</v>
      </c>
      <c r="E4523" s="193"/>
      <c r="F4523" s="195" t="s">
        <v>22676</v>
      </c>
      <c r="G4523" s="196">
        <v>6.6397657E8</v>
      </c>
      <c r="H4523" s="197">
        <v>3.79</v>
      </c>
      <c r="I4523" s="7" t="s">
        <v>16815</v>
      </c>
      <c r="J4523" s="7" t="s">
        <v>16582</v>
      </c>
      <c r="K4523" s="7" t="s">
        <v>16828</v>
      </c>
      <c r="L4523" s="198" t="s">
        <v>65</v>
      </c>
      <c r="M4523" s="194"/>
      <c r="N4523" s="194"/>
    </row>
    <row r="4524">
      <c r="A4524" s="193" t="s">
        <v>22677</v>
      </c>
      <c r="B4524" s="7" t="s">
        <v>16945</v>
      </c>
      <c r="C4524" s="7" t="s">
        <v>169</v>
      </c>
      <c r="D4524" s="194">
        <v>2016.0</v>
      </c>
      <c r="E4524" s="193"/>
      <c r="F4524" s="195" t="s">
        <v>22678</v>
      </c>
      <c r="G4524" s="200">
        <v>6.63060528E8</v>
      </c>
      <c r="H4524" s="197">
        <v>24.6</v>
      </c>
      <c r="I4524" s="7" t="s">
        <v>16815</v>
      </c>
      <c r="J4524" s="7" t="s">
        <v>16945</v>
      </c>
      <c r="K4524" s="7" t="s">
        <v>169</v>
      </c>
      <c r="L4524" s="201" t="s">
        <v>16835</v>
      </c>
      <c r="M4524" s="194"/>
      <c r="N4524" s="194"/>
    </row>
    <row r="4525">
      <c r="A4525" s="193" t="s">
        <v>22677</v>
      </c>
      <c r="B4525" s="7" t="s">
        <v>169</v>
      </c>
      <c r="C4525" s="7" t="s">
        <v>16945</v>
      </c>
      <c r="D4525" s="194">
        <v>2016.0</v>
      </c>
      <c r="E4525" s="193"/>
      <c r="F4525" s="195" t="s">
        <v>22678</v>
      </c>
      <c r="G4525" s="196">
        <v>6.63060528E8</v>
      </c>
      <c r="H4525" s="197">
        <v>24.6</v>
      </c>
      <c r="I4525" s="7" t="s">
        <v>16815</v>
      </c>
      <c r="J4525" s="7" t="s">
        <v>169</v>
      </c>
      <c r="K4525" s="7" t="s">
        <v>16945</v>
      </c>
      <c r="L4525" s="198" t="s">
        <v>65</v>
      </c>
      <c r="M4525" s="194"/>
      <c r="N4525" s="194"/>
    </row>
    <row r="4526">
      <c r="A4526" s="193" t="s">
        <v>22679</v>
      </c>
      <c r="B4526" s="7" t="s">
        <v>187</v>
      </c>
      <c r="C4526" s="7" t="s">
        <v>16992</v>
      </c>
      <c r="D4526" s="194">
        <v>2022.0</v>
      </c>
      <c r="E4526" s="193"/>
      <c r="F4526" s="195" t="s">
        <v>22680</v>
      </c>
      <c r="G4526" s="196">
        <v>6.62291868E8</v>
      </c>
      <c r="H4526" s="197">
        <v>6.805</v>
      </c>
      <c r="I4526" s="7" t="s">
        <v>16815</v>
      </c>
      <c r="J4526" s="7" t="s">
        <v>187</v>
      </c>
      <c r="K4526" s="7" t="s">
        <v>16992</v>
      </c>
      <c r="L4526" s="198" t="s">
        <v>65</v>
      </c>
      <c r="M4526" s="194"/>
      <c r="N4526" s="194"/>
    </row>
    <row r="4527">
      <c r="A4527" s="193" t="s">
        <v>22681</v>
      </c>
      <c r="B4527" s="7" t="s">
        <v>16838</v>
      </c>
      <c r="C4527" s="7" t="s">
        <v>17127</v>
      </c>
      <c r="D4527" s="199"/>
      <c r="E4527" s="193"/>
      <c r="F4527" s="195" t="s">
        <v>22682</v>
      </c>
      <c r="G4527" s="196">
        <v>6.61648022E8</v>
      </c>
      <c r="H4527" s="197">
        <v>14.64</v>
      </c>
      <c r="I4527" s="7" t="s">
        <v>16924</v>
      </c>
      <c r="J4527" s="7" t="s">
        <v>16838</v>
      </c>
      <c r="K4527" s="7" t="s">
        <v>17127</v>
      </c>
      <c r="L4527" s="198" t="s">
        <v>65</v>
      </c>
      <c r="M4527" s="199"/>
      <c r="N4527" s="199"/>
    </row>
    <row r="4528">
      <c r="A4528" s="193" t="s">
        <v>22681</v>
      </c>
      <c r="B4528" s="7" t="s">
        <v>17127</v>
      </c>
      <c r="C4528" s="7" t="s">
        <v>16838</v>
      </c>
      <c r="D4528" s="199"/>
      <c r="E4528" s="193"/>
      <c r="F4528" s="195" t="s">
        <v>22682</v>
      </c>
      <c r="G4528" s="200">
        <v>6.61648022E8</v>
      </c>
      <c r="H4528" s="197">
        <v>14.64</v>
      </c>
      <c r="I4528" s="7" t="s">
        <v>16815</v>
      </c>
      <c r="J4528" s="7" t="s">
        <v>17127</v>
      </c>
      <c r="K4528" s="7" t="s">
        <v>16838</v>
      </c>
      <c r="L4528" s="201" t="s">
        <v>16835</v>
      </c>
      <c r="M4528" s="199"/>
      <c r="N4528" s="199"/>
    </row>
    <row r="4529">
      <c r="A4529" s="193" t="s">
        <v>22683</v>
      </c>
      <c r="B4529" s="7" t="s">
        <v>17111</v>
      </c>
      <c r="C4529" s="7" t="s">
        <v>17112</v>
      </c>
      <c r="D4529" s="199"/>
      <c r="E4529" s="193"/>
      <c r="F4529" s="195" t="s">
        <v>22684</v>
      </c>
      <c r="G4529" s="200">
        <v>6.60855018E8</v>
      </c>
      <c r="H4529" s="197">
        <v>3.84</v>
      </c>
      <c r="I4529" s="7" t="s">
        <v>16815</v>
      </c>
      <c r="J4529" s="7" t="s">
        <v>17111</v>
      </c>
      <c r="K4529" s="7" t="s">
        <v>17112</v>
      </c>
      <c r="L4529" s="201" t="s">
        <v>16835</v>
      </c>
      <c r="M4529" s="199"/>
      <c r="N4529" s="199"/>
    </row>
    <row r="4530">
      <c r="A4530" s="193" t="s">
        <v>22683</v>
      </c>
      <c r="B4530" s="7" t="s">
        <v>17112</v>
      </c>
      <c r="C4530" s="7" t="s">
        <v>17111</v>
      </c>
      <c r="D4530" s="199"/>
      <c r="E4530" s="193"/>
      <c r="F4530" s="195" t="s">
        <v>22684</v>
      </c>
      <c r="G4530" s="196">
        <v>6.60855018E8</v>
      </c>
      <c r="H4530" s="197">
        <v>3.84</v>
      </c>
      <c r="I4530" s="7" t="s">
        <v>16815</v>
      </c>
      <c r="J4530" s="7" t="s">
        <v>17112</v>
      </c>
      <c r="K4530" s="7" t="s">
        <v>17111</v>
      </c>
      <c r="L4530" s="198" t="s">
        <v>65</v>
      </c>
      <c r="M4530" s="199"/>
      <c r="N4530" s="199"/>
    </row>
    <row r="4531">
      <c r="A4531" s="193" t="s">
        <v>22685</v>
      </c>
      <c r="B4531" s="7" t="s">
        <v>16838</v>
      </c>
      <c r="C4531" s="7" t="s">
        <v>17002</v>
      </c>
      <c r="D4531" s="194">
        <v>1992.0</v>
      </c>
      <c r="E4531" s="193"/>
      <c r="F4531" s="195" t="s">
        <v>22686</v>
      </c>
      <c r="G4531" s="196">
        <v>6.590407E8</v>
      </c>
      <c r="H4531" s="197">
        <v>23.63</v>
      </c>
      <c r="I4531" s="7" t="s">
        <v>16815</v>
      </c>
      <c r="J4531" s="7" t="s">
        <v>16838</v>
      </c>
      <c r="K4531" s="7" t="s">
        <v>17002</v>
      </c>
      <c r="L4531" s="198" t="s">
        <v>65</v>
      </c>
      <c r="M4531" s="194"/>
      <c r="N4531" s="194"/>
    </row>
    <row r="4532">
      <c r="A4532" s="193" t="s">
        <v>22685</v>
      </c>
      <c r="B4532" s="7" t="s">
        <v>17002</v>
      </c>
      <c r="C4532" s="7" t="s">
        <v>16838</v>
      </c>
      <c r="D4532" s="194">
        <v>1992.0</v>
      </c>
      <c r="E4532" s="193"/>
      <c r="F4532" s="195" t="s">
        <v>22686</v>
      </c>
      <c r="G4532" s="200">
        <v>6.590407E8</v>
      </c>
      <c r="H4532" s="197">
        <v>23.63</v>
      </c>
      <c r="I4532" s="7" t="s">
        <v>16815</v>
      </c>
      <c r="J4532" s="7" t="s">
        <v>17002</v>
      </c>
      <c r="K4532" s="7" t="s">
        <v>16838</v>
      </c>
      <c r="L4532" s="201" t="s">
        <v>16835</v>
      </c>
      <c r="M4532" s="194"/>
      <c r="N4532" s="194"/>
    </row>
    <row r="4533">
      <c r="A4533" s="193" t="s">
        <v>22687</v>
      </c>
      <c r="B4533" s="7" t="s">
        <v>16838</v>
      </c>
      <c r="C4533" s="7" t="s">
        <v>16867</v>
      </c>
      <c r="D4533" s="199"/>
      <c r="E4533" s="193"/>
      <c r="F4533" s="195" t="s">
        <v>22688</v>
      </c>
      <c r="G4533" s="196">
        <v>6.58864648E8</v>
      </c>
      <c r="H4533" s="197">
        <v>18.44</v>
      </c>
      <c r="I4533" s="7" t="s">
        <v>16815</v>
      </c>
      <c r="J4533" s="7" t="s">
        <v>16838</v>
      </c>
      <c r="K4533" s="7" t="s">
        <v>16867</v>
      </c>
      <c r="L4533" s="198" t="s">
        <v>65</v>
      </c>
      <c r="M4533" s="199"/>
      <c r="N4533" s="199"/>
    </row>
    <row r="4534">
      <c r="A4534" s="193" t="s">
        <v>22689</v>
      </c>
      <c r="B4534" s="7" t="s">
        <v>16838</v>
      </c>
      <c r="C4534" s="7" t="s">
        <v>17016</v>
      </c>
      <c r="D4534" s="199"/>
      <c r="E4534" s="193"/>
      <c r="F4534" s="195" t="s">
        <v>22690</v>
      </c>
      <c r="G4534" s="196">
        <v>6.577084E8</v>
      </c>
      <c r="H4534" s="197">
        <v>1.24</v>
      </c>
      <c r="I4534" s="7" t="s">
        <v>16815</v>
      </c>
      <c r="J4534" s="7" t="s">
        <v>16838</v>
      </c>
      <c r="K4534" s="7" t="s">
        <v>17016</v>
      </c>
      <c r="L4534" s="198" t="s">
        <v>65</v>
      </c>
      <c r="M4534" s="199"/>
      <c r="N4534" s="199"/>
    </row>
    <row r="4535">
      <c r="A4535" s="193" t="s">
        <v>22691</v>
      </c>
      <c r="B4535" s="7" t="s">
        <v>175</v>
      </c>
      <c r="C4535" s="7" t="s">
        <v>17069</v>
      </c>
      <c r="D4535" s="194">
        <v>2017.0</v>
      </c>
      <c r="E4535" s="193"/>
      <c r="F4535" s="195" t="s">
        <v>22692</v>
      </c>
      <c r="G4535" s="196">
        <v>6.5717451E8</v>
      </c>
      <c r="H4535" s="197">
        <v>1.79</v>
      </c>
      <c r="I4535" s="7" t="s">
        <v>17242</v>
      </c>
      <c r="J4535" s="7" t="s">
        <v>175</v>
      </c>
      <c r="K4535" s="7" t="s">
        <v>17069</v>
      </c>
      <c r="L4535" s="198" t="s">
        <v>65</v>
      </c>
      <c r="M4535" s="194"/>
      <c r="N4535" s="194"/>
    </row>
    <row r="4536">
      <c r="A4536" s="193" t="s">
        <v>22691</v>
      </c>
      <c r="B4536" s="7" t="s">
        <v>17069</v>
      </c>
      <c r="C4536" s="7" t="s">
        <v>175</v>
      </c>
      <c r="D4536" s="194">
        <v>2017.0</v>
      </c>
      <c r="E4536" s="193"/>
      <c r="F4536" s="195" t="s">
        <v>22692</v>
      </c>
      <c r="G4536" s="200">
        <v>6.5717451E8</v>
      </c>
      <c r="H4536" s="197">
        <v>1.79</v>
      </c>
      <c r="I4536" s="7" t="s">
        <v>16815</v>
      </c>
      <c r="J4536" s="7" t="s">
        <v>17069</v>
      </c>
      <c r="K4536" s="7" t="s">
        <v>175</v>
      </c>
      <c r="L4536" s="201" t="s">
        <v>16835</v>
      </c>
      <c r="M4536" s="194"/>
      <c r="N4536" s="194"/>
    </row>
    <row r="4537">
      <c r="A4537" s="193" t="s">
        <v>22693</v>
      </c>
      <c r="B4537" s="7" t="s">
        <v>175</v>
      </c>
      <c r="C4537" s="7" t="s">
        <v>16942</v>
      </c>
      <c r="D4537" s="199"/>
      <c r="E4537" s="193"/>
      <c r="F4537" s="195" t="s">
        <v>22694</v>
      </c>
      <c r="G4537" s="196">
        <v>6.57099905E8</v>
      </c>
      <c r="H4537" s="197">
        <v>42.55</v>
      </c>
      <c r="I4537" s="7" t="s">
        <v>16908</v>
      </c>
      <c r="J4537" s="7" t="s">
        <v>175</v>
      </c>
      <c r="K4537" s="7" t="s">
        <v>16942</v>
      </c>
      <c r="L4537" s="198" t="s">
        <v>65</v>
      </c>
      <c r="M4537" s="199"/>
      <c r="N4537" s="199"/>
    </row>
    <row r="4538">
      <c r="A4538" s="193" t="s">
        <v>22693</v>
      </c>
      <c r="B4538" s="7" t="s">
        <v>16942</v>
      </c>
      <c r="C4538" s="7" t="s">
        <v>175</v>
      </c>
      <c r="D4538" s="199"/>
      <c r="E4538" s="193"/>
      <c r="F4538" s="195" t="s">
        <v>22694</v>
      </c>
      <c r="G4538" s="200">
        <v>6.57099905E8</v>
      </c>
      <c r="H4538" s="197">
        <v>42.55</v>
      </c>
      <c r="I4538" s="7" t="s">
        <v>16815</v>
      </c>
      <c r="J4538" s="7" t="s">
        <v>16942</v>
      </c>
      <c r="K4538" s="7" t="s">
        <v>175</v>
      </c>
      <c r="L4538" s="201" t="s">
        <v>16835</v>
      </c>
      <c r="M4538" s="199"/>
      <c r="N4538" s="199"/>
    </row>
    <row r="4539">
      <c r="A4539" s="193" t="s">
        <v>22695</v>
      </c>
      <c r="D4539" s="199"/>
      <c r="E4539" s="193"/>
      <c r="F4539" s="195" t="s">
        <v>22696</v>
      </c>
      <c r="G4539" s="196">
        <v>6.56626462E8</v>
      </c>
      <c r="H4539" s="197">
        <v>51.41</v>
      </c>
      <c r="I4539" s="7" t="s">
        <v>16815</v>
      </c>
      <c r="L4539" s="198" t="s">
        <v>65</v>
      </c>
      <c r="M4539" s="199"/>
      <c r="N4539" s="199"/>
    </row>
    <row r="4540">
      <c r="A4540" s="193" t="s">
        <v>22697</v>
      </c>
      <c r="B4540" s="7" t="s">
        <v>187</v>
      </c>
      <c r="C4540" s="7" t="s">
        <v>16858</v>
      </c>
      <c r="D4540" s="194">
        <v>2018.0</v>
      </c>
      <c r="E4540" s="193"/>
      <c r="F4540" s="195" t="s">
        <v>22698</v>
      </c>
      <c r="G4540" s="196">
        <v>6.56149301E8</v>
      </c>
      <c r="H4540" s="197">
        <v>11.11</v>
      </c>
      <c r="I4540" s="7" t="s">
        <v>16815</v>
      </c>
      <c r="J4540" s="7" t="s">
        <v>187</v>
      </c>
      <c r="K4540" s="7" t="s">
        <v>16858</v>
      </c>
      <c r="L4540" s="198" t="s">
        <v>65</v>
      </c>
      <c r="M4540" s="194"/>
      <c r="N4540" s="194"/>
    </row>
    <row r="4541">
      <c r="A4541" s="193" t="s">
        <v>22699</v>
      </c>
      <c r="B4541" s="7" t="s">
        <v>169</v>
      </c>
      <c r="C4541" s="7" t="s">
        <v>17509</v>
      </c>
      <c r="D4541" s="199"/>
      <c r="E4541" s="193"/>
      <c r="F4541" s="195" t="s">
        <v>22700</v>
      </c>
      <c r="G4541" s="196">
        <v>6.55424327E8</v>
      </c>
      <c r="H4541" s="197">
        <v>64.93</v>
      </c>
      <c r="I4541" s="7" t="s">
        <v>16815</v>
      </c>
      <c r="J4541" s="7" t="s">
        <v>169</v>
      </c>
      <c r="K4541" s="7" t="s">
        <v>17509</v>
      </c>
      <c r="L4541" s="198" t="s">
        <v>65</v>
      </c>
      <c r="M4541" s="199"/>
      <c r="N4541" s="199"/>
    </row>
    <row r="4542">
      <c r="A4542" s="193" t="s">
        <v>22701</v>
      </c>
      <c r="B4542" s="7" t="s">
        <v>16838</v>
      </c>
      <c r="C4542" s="7" t="s">
        <v>18679</v>
      </c>
      <c r="D4542" s="194">
        <v>2012.0</v>
      </c>
      <c r="E4542" s="193"/>
      <c r="F4542" s="195" t="s">
        <v>22702</v>
      </c>
      <c r="G4542" s="196">
        <v>6.54503101E8</v>
      </c>
      <c r="H4542" s="197">
        <v>11.33</v>
      </c>
      <c r="I4542" s="7" t="s">
        <v>16815</v>
      </c>
      <c r="J4542" s="7" t="s">
        <v>16838</v>
      </c>
      <c r="K4542" s="7" t="s">
        <v>18679</v>
      </c>
      <c r="L4542" s="198" t="s">
        <v>65</v>
      </c>
      <c r="M4542" s="194"/>
      <c r="N4542" s="194"/>
    </row>
    <row r="4543">
      <c r="A4543" s="193" t="s">
        <v>22703</v>
      </c>
      <c r="B4543" s="7" t="s">
        <v>169</v>
      </c>
      <c r="C4543" s="7" t="s">
        <v>17738</v>
      </c>
      <c r="D4543" s="199"/>
      <c r="E4543" s="193"/>
      <c r="F4543" s="195" t="s">
        <v>22704</v>
      </c>
      <c r="G4543" s="196">
        <v>6.541989E8</v>
      </c>
      <c r="H4543" s="197">
        <v>10.33</v>
      </c>
      <c r="I4543" s="7" t="s">
        <v>16815</v>
      </c>
      <c r="J4543" s="7" t="s">
        <v>169</v>
      </c>
      <c r="K4543" s="7" t="s">
        <v>17738</v>
      </c>
      <c r="L4543" s="198" t="s">
        <v>65</v>
      </c>
      <c r="M4543" s="199"/>
      <c r="N4543" s="199"/>
    </row>
    <row r="4544">
      <c r="A4544" s="193" t="s">
        <v>22705</v>
      </c>
      <c r="D4544" s="199"/>
      <c r="E4544" s="193"/>
      <c r="F4544" s="195" t="s">
        <v>22706</v>
      </c>
      <c r="G4544" s="196">
        <v>6.53305651E8</v>
      </c>
      <c r="H4544" s="197">
        <v>51.15</v>
      </c>
      <c r="I4544" s="7" t="s">
        <v>16815</v>
      </c>
      <c r="L4544" s="198" t="s">
        <v>65</v>
      </c>
      <c r="M4544" s="199"/>
      <c r="N4544" s="199"/>
    </row>
    <row r="4545">
      <c r="A4545" s="193" t="s">
        <v>22707</v>
      </c>
      <c r="B4545" s="7" t="s">
        <v>175</v>
      </c>
      <c r="C4545" s="7" t="s">
        <v>18570</v>
      </c>
      <c r="D4545" s="199"/>
      <c r="E4545" s="193"/>
      <c r="F4545" s="195" t="s">
        <v>22708</v>
      </c>
      <c r="G4545" s="196">
        <v>6.52760828E8</v>
      </c>
      <c r="H4545" s="197">
        <v>25.7</v>
      </c>
      <c r="I4545" s="7" t="s">
        <v>16908</v>
      </c>
      <c r="J4545" s="7" t="s">
        <v>175</v>
      </c>
      <c r="K4545" s="7" t="s">
        <v>18570</v>
      </c>
      <c r="L4545" s="198" t="s">
        <v>65</v>
      </c>
      <c r="M4545" s="199"/>
      <c r="N4545" s="199"/>
    </row>
    <row r="4546">
      <c r="A4546" s="193" t="s">
        <v>22707</v>
      </c>
      <c r="B4546" s="7" t="s">
        <v>18570</v>
      </c>
      <c r="C4546" s="7" t="s">
        <v>175</v>
      </c>
      <c r="D4546" s="199"/>
      <c r="E4546" s="193"/>
      <c r="F4546" s="195" t="s">
        <v>22708</v>
      </c>
      <c r="G4546" s="200">
        <v>6.52760828E8</v>
      </c>
      <c r="H4546" s="197">
        <v>25.7</v>
      </c>
      <c r="I4546" s="7" t="s">
        <v>16815</v>
      </c>
      <c r="J4546" s="7" t="s">
        <v>18570</v>
      </c>
      <c r="K4546" s="7" t="s">
        <v>175</v>
      </c>
      <c r="L4546" s="201" t="s">
        <v>16835</v>
      </c>
      <c r="M4546" s="199"/>
      <c r="N4546" s="199"/>
    </row>
    <row r="4547">
      <c r="A4547" s="193" t="s">
        <v>22709</v>
      </c>
      <c r="B4547" s="7" t="s">
        <v>16910</v>
      </c>
      <c r="C4547" s="7" t="s">
        <v>16911</v>
      </c>
      <c r="D4547" s="199"/>
      <c r="E4547" s="193"/>
      <c r="F4547" s="195" t="s">
        <v>22710</v>
      </c>
      <c r="G4547" s="196">
        <v>6.51389012E8</v>
      </c>
      <c r="H4547" s="197">
        <v>7.435</v>
      </c>
      <c r="I4547" s="7" t="s">
        <v>17986</v>
      </c>
      <c r="J4547" s="7" t="s">
        <v>16910</v>
      </c>
      <c r="K4547" s="7" t="s">
        <v>16911</v>
      </c>
      <c r="L4547" s="198" t="s">
        <v>65</v>
      </c>
      <c r="M4547" s="199"/>
      <c r="N4547" s="199"/>
    </row>
    <row r="4548">
      <c r="A4548" s="193" t="s">
        <v>22711</v>
      </c>
      <c r="B4548" s="7" t="s">
        <v>17127</v>
      </c>
      <c r="C4548" s="7" t="s">
        <v>16838</v>
      </c>
      <c r="D4548" s="199"/>
      <c r="E4548" s="193"/>
      <c r="F4548" s="195" t="s">
        <v>22712</v>
      </c>
      <c r="G4548" s="200">
        <v>6.50125453E8</v>
      </c>
      <c r="H4548" s="197">
        <v>75.7</v>
      </c>
      <c r="I4548" s="7" t="s">
        <v>16815</v>
      </c>
      <c r="J4548" s="7" t="s">
        <v>17127</v>
      </c>
      <c r="K4548" s="7" t="s">
        <v>16838</v>
      </c>
      <c r="L4548" s="201" t="s">
        <v>16835</v>
      </c>
      <c r="M4548" s="199"/>
      <c r="N4548" s="199"/>
    </row>
    <row r="4549">
      <c r="A4549" s="193" t="s">
        <v>22711</v>
      </c>
      <c r="B4549" s="7" t="s">
        <v>16838</v>
      </c>
      <c r="C4549" s="7" t="s">
        <v>17127</v>
      </c>
      <c r="D4549" s="199"/>
      <c r="E4549" s="193"/>
      <c r="F4549" s="195" t="s">
        <v>22712</v>
      </c>
      <c r="G4549" s="196">
        <v>6.50125453E8</v>
      </c>
      <c r="H4549" s="197">
        <v>75.7</v>
      </c>
      <c r="I4549" s="7" t="s">
        <v>16815</v>
      </c>
      <c r="J4549" s="7" t="s">
        <v>16838</v>
      </c>
      <c r="K4549" s="7" t="s">
        <v>17127</v>
      </c>
      <c r="L4549" s="198" t="s">
        <v>65</v>
      </c>
      <c r="M4549" s="199"/>
      <c r="N4549" s="199"/>
    </row>
    <row r="4550">
      <c r="A4550" s="193" t="s">
        <v>22713</v>
      </c>
      <c r="B4550" s="7" t="s">
        <v>16838</v>
      </c>
      <c r="C4550" s="7" t="s">
        <v>16867</v>
      </c>
      <c r="D4550" s="199"/>
      <c r="E4550" s="193"/>
      <c r="F4550" s="195" t="s">
        <v>22714</v>
      </c>
      <c r="G4550" s="196">
        <v>6.49575226E8</v>
      </c>
      <c r="H4550" s="197">
        <v>11.31</v>
      </c>
      <c r="I4550" s="7" t="s">
        <v>16924</v>
      </c>
      <c r="J4550" s="7" t="s">
        <v>16838</v>
      </c>
      <c r="K4550" s="7" t="s">
        <v>16867</v>
      </c>
      <c r="L4550" s="198" t="s">
        <v>65</v>
      </c>
      <c r="M4550" s="199"/>
      <c r="N4550" s="199"/>
    </row>
    <row r="4551">
      <c r="A4551" s="193" t="s">
        <v>22713</v>
      </c>
      <c r="B4551" s="7" t="s">
        <v>16867</v>
      </c>
      <c r="C4551" s="7" t="s">
        <v>16838</v>
      </c>
      <c r="D4551" s="199"/>
      <c r="E4551" s="193"/>
      <c r="F4551" s="195" t="s">
        <v>22714</v>
      </c>
      <c r="G4551" s="200">
        <v>6.49575226E8</v>
      </c>
      <c r="H4551" s="197">
        <v>11.31</v>
      </c>
      <c r="I4551" s="7" t="s">
        <v>16815</v>
      </c>
      <c r="J4551" s="7" t="s">
        <v>16867</v>
      </c>
      <c r="K4551" s="7" t="s">
        <v>16838</v>
      </c>
      <c r="L4551" s="201" t="s">
        <v>16835</v>
      </c>
      <c r="M4551" s="199"/>
      <c r="N4551" s="199"/>
    </row>
    <row r="4552">
      <c r="A4552" s="193" t="s">
        <v>22715</v>
      </c>
      <c r="B4552" s="7" t="s">
        <v>16919</v>
      </c>
      <c r="C4552" s="7" t="s">
        <v>17176</v>
      </c>
      <c r="D4552" s="194">
        <v>2020.0</v>
      </c>
      <c r="E4552" s="193"/>
      <c r="F4552" s="195" t="s">
        <v>22716</v>
      </c>
      <c r="G4552" s="196">
        <v>6.48921875E8</v>
      </c>
      <c r="H4552" s="197">
        <v>21.25</v>
      </c>
      <c r="I4552" s="7" t="s">
        <v>16815</v>
      </c>
      <c r="J4552" s="7" t="s">
        <v>16919</v>
      </c>
      <c r="K4552" s="7" t="s">
        <v>17176</v>
      </c>
      <c r="L4552" s="198" t="s">
        <v>65</v>
      </c>
      <c r="M4552" s="194"/>
      <c r="N4552" s="194"/>
    </row>
    <row r="4553">
      <c r="A4553" s="193" t="s">
        <v>22715</v>
      </c>
      <c r="B4553" s="7" t="s">
        <v>17176</v>
      </c>
      <c r="C4553" s="7" t="s">
        <v>16919</v>
      </c>
      <c r="D4553" s="194">
        <v>2020.0</v>
      </c>
      <c r="E4553" s="193"/>
      <c r="F4553" s="195" t="s">
        <v>22716</v>
      </c>
      <c r="G4553" s="200">
        <v>6.48921875E8</v>
      </c>
      <c r="H4553" s="197">
        <v>21.25</v>
      </c>
      <c r="I4553" s="7" t="s">
        <v>16815</v>
      </c>
      <c r="J4553" s="7" t="s">
        <v>17176</v>
      </c>
      <c r="K4553" s="7" t="s">
        <v>16919</v>
      </c>
      <c r="L4553" s="201" t="s">
        <v>16835</v>
      </c>
      <c r="M4553" s="194"/>
      <c r="N4553" s="194"/>
    </row>
    <row r="4554">
      <c r="A4554" s="193" t="s">
        <v>22717</v>
      </c>
      <c r="B4554" s="7" t="s">
        <v>175</v>
      </c>
      <c r="C4554" s="7" t="s">
        <v>17233</v>
      </c>
      <c r="D4554" s="194">
        <v>2007.0</v>
      </c>
      <c r="E4554" s="193"/>
      <c r="F4554" s="195" t="s">
        <v>22718</v>
      </c>
      <c r="G4554" s="196">
        <v>6.482664E8</v>
      </c>
      <c r="H4554" s="197">
        <v>21.48</v>
      </c>
      <c r="I4554" s="7" t="s">
        <v>168</v>
      </c>
      <c r="J4554" s="7" t="s">
        <v>175</v>
      </c>
      <c r="K4554" s="7" t="s">
        <v>17233</v>
      </c>
      <c r="L4554" s="198" t="s">
        <v>65</v>
      </c>
      <c r="M4554" s="194"/>
      <c r="N4554" s="194"/>
    </row>
    <row r="4555">
      <c r="A4555" s="193" t="s">
        <v>22717</v>
      </c>
      <c r="B4555" s="7" t="s">
        <v>17233</v>
      </c>
      <c r="C4555" s="7" t="s">
        <v>175</v>
      </c>
      <c r="D4555" s="194">
        <v>2007.0</v>
      </c>
      <c r="E4555" s="193"/>
      <c r="F4555" s="195" t="s">
        <v>22718</v>
      </c>
      <c r="G4555" s="200">
        <v>6.482664E8</v>
      </c>
      <c r="H4555" s="197">
        <v>21.48</v>
      </c>
      <c r="I4555" s="7" t="s">
        <v>16815</v>
      </c>
      <c r="J4555" s="7" t="s">
        <v>17233</v>
      </c>
      <c r="K4555" s="7" t="s">
        <v>175</v>
      </c>
      <c r="L4555" s="201" t="s">
        <v>16835</v>
      </c>
      <c r="M4555" s="194"/>
      <c r="N4555" s="194"/>
    </row>
    <row r="4556">
      <c r="A4556" s="193" t="s">
        <v>22719</v>
      </c>
      <c r="B4556" s="7" t="s">
        <v>187</v>
      </c>
      <c r="C4556" s="7" t="s">
        <v>16858</v>
      </c>
      <c r="D4556" s="194">
        <v>2021.0</v>
      </c>
      <c r="E4556" s="193"/>
      <c r="F4556" s="195" t="s">
        <v>22720</v>
      </c>
      <c r="G4556" s="196">
        <v>6.467696E8</v>
      </c>
      <c r="H4556" s="197">
        <v>5.26</v>
      </c>
      <c r="I4556" s="7" t="s">
        <v>16815</v>
      </c>
      <c r="J4556" s="7" t="s">
        <v>187</v>
      </c>
      <c r="K4556" s="7" t="s">
        <v>16858</v>
      </c>
      <c r="L4556" s="198" t="s">
        <v>65</v>
      </c>
      <c r="M4556" s="194"/>
      <c r="N4556" s="194"/>
    </row>
    <row r="4557">
      <c r="A4557" s="193" t="s">
        <v>22721</v>
      </c>
      <c r="B4557" s="7" t="s">
        <v>175</v>
      </c>
      <c r="C4557" s="7" t="s">
        <v>16854</v>
      </c>
      <c r="D4557" s="194">
        <v>2019.0</v>
      </c>
      <c r="E4557" s="193"/>
      <c r="F4557" s="195" t="s">
        <v>22722</v>
      </c>
      <c r="G4557" s="196">
        <v>6.46259324E8</v>
      </c>
      <c r="H4557" s="197">
        <v>1.98</v>
      </c>
      <c r="I4557" s="7" t="s">
        <v>16826</v>
      </c>
      <c r="J4557" s="7" t="s">
        <v>175</v>
      </c>
      <c r="K4557" s="7" t="s">
        <v>16854</v>
      </c>
      <c r="L4557" s="198" t="s">
        <v>65</v>
      </c>
      <c r="M4557" s="194"/>
      <c r="N4557" s="194"/>
    </row>
    <row r="4558">
      <c r="A4558" s="193" t="s">
        <v>22723</v>
      </c>
      <c r="B4558" s="7" t="s">
        <v>16945</v>
      </c>
      <c r="C4558" s="7" t="s">
        <v>169</v>
      </c>
      <c r="D4558" s="199"/>
      <c r="E4558" s="193"/>
      <c r="F4558" s="195" t="s">
        <v>22724</v>
      </c>
      <c r="G4558" s="200">
        <v>6.45363078E8</v>
      </c>
      <c r="H4558" s="197">
        <v>36.87</v>
      </c>
      <c r="I4558" s="7" t="s">
        <v>16815</v>
      </c>
      <c r="J4558" s="7" t="s">
        <v>16945</v>
      </c>
      <c r="K4558" s="7" t="s">
        <v>169</v>
      </c>
      <c r="L4558" s="201" t="s">
        <v>16835</v>
      </c>
      <c r="M4558" s="199"/>
      <c r="N4558" s="199"/>
    </row>
    <row r="4559">
      <c r="A4559" s="193" t="s">
        <v>22723</v>
      </c>
      <c r="B4559" s="7" t="s">
        <v>169</v>
      </c>
      <c r="C4559" s="7" t="s">
        <v>16945</v>
      </c>
      <c r="D4559" s="199"/>
      <c r="E4559" s="193"/>
      <c r="F4559" s="195" t="s">
        <v>22724</v>
      </c>
      <c r="G4559" s="196">
        <v>6.45363078E8</v>
      </c>
      <c r="H4559" s="197">
        <v>36.87</v>
      </c>
      <c r="I4559" s="7" t="s">
        <v>16815</v>
      </c>
      <c r="J4559" s="7" t="s">
        <v>169</v>
      </c>
      <c r="K4559" s="7" t="s">
        <v>16945</v>
      </c>
      <c r="L4559" s="198" t="s">
        <v>65</v>
      </c>
      <c r="M4559" s="199"/>
      <c r="N4559" s="199"/>
    </row>
    <row r="4560">
      <c r="A4560" s="193" t="s">
        <v>22725</v>
      </c>
      <c r="B4560" s="7" t="s">
        <v>16838</v>
      </c>
      <c r="C4560" s="7" t="s">
        <v>17202</v>
      </c>
      <c r="D4560" s="199"/>
      <c r="E4560" s="193"/>
      <c r="F4560" s="195" t="s">
        <v>22726</v>
      </c>
      <c r="G4560" s="196">
        <v>6.45064537E8</v>
      </c>
      <c r="H4560" s="197">
        <v>21.1</v>
      </c>
      <c r="I4560" s="7" t="s">
        <v>16815</v>
      </c>
      <c r="J4560" s="7" t="s">
        <v>16838</v>
      </c>
      <c r="K4560" s="7" t="s">
        <v>17202</v>
      </c>
      <c r="L4560" s="198" t="s">
        <v>65</v>
      </c>
      <c r="M4560" s="199"/>
      <c r="N4560" s="199"/>
    </row>
    <row r="4561">
      <c r="A4561" s="193" t="s">
        <v>22727</v>
      </c>
      <c r="B4561" s="7" t="s">
        <v>175</v>
      </c>
      <c r="C4561" s="7" t="s">
        <v>17233</v>
      </c>
      <c r="D4561" s="194">
        <v>2002.0</v>
      </c>
      <c r="E4561" s="193"/>
      <c r="F4561" s="195" t="s">
        <v>22728</v>
      </c>
      <c r="G4561" s="196">
        <v>6.444984E8</v>
      </c>
      <c r="H4561" s="197">
        <v>21.84</v>
      </c>
      <c r="I4561" s="7" t="s">
        <v>18657</v>
      </c>
      <c r="J4561" s="7" t="s">
        <v>175</v>
      </c>
      <c r="K4561" s="7" t="s">
        <v>17233</v>
      </c>
      <c r="L4561" s="198" t="s">
        <v>65</v>
      </c>
      <c r="M4561" s="194"/>
      <c r="N4561" s="194"/>
    </row>
    <row r="4562">
      <c r="A4562" s="193" t="s">
        <v>22727</v>
      </c>
      <c r="B4562" s="7" t="s">
        <v>17233</v>
      </c>
      <c r="C4562" s="7" t="s">
        <v>175</v>
      </c>
      <c r="D4562" s="194">
        <v>2002.0</v>
      </c>
      <c r="E4562" s="193"/>
      <c r="F4562" s="195" t="s">
        <v>22728</v>
      </c>
      <c r="G4562" s="200">
        <v>6.444984E8</v>
      </c>
      <c r="H4562" s="197">
        <v>21.84</v>
      </c>
      <c r="I4562" s="7" t="s">
        <v>16815</v>
      </c>
      <c r="J4562" s="7" t="s">
        <v>17233</v>
      </c>
      <c r="K4562" s="7" t="s">
        <v>175</v>
      </c>
      <c r="L4562" s="201" t="s">
        <v>16835</v>
      </c>
      <c r="M4562" s="194"/>
      <c r="N4562" s="194"/>
    </row>
    <row r="4563">
      <c r="A4563" s="193" t="s">
        <v>22729</v>
      </c>
      <c r="B4563" s="7" t="s">
        <v>175</v>
      </c>
      <c r="C4563" s="7" t="s">
        <v>17509</v>
      </c>
      <c r="D4563" s="199"/>
      <c r="E4563" s="193"/>
      <c r="F4563" s="195" t="s">
        <v>22730</v>
      </c>
      <c r="G4563" s="196">
        <v>6.4351113E8</v>
      </c>
      <c r="H4563" s="197">
        <v>23.39</v>
      </c>
      <c r="I4563" s="7" t="s">
        <v>17785</v>
      </c>
      <c r="J4563" s="7" t="s">
        <v>175</v>
      </c>
      <c r="K4563" s="7" t="s">
        <v>17509</v>
      </c>
      <c r="L4563" s="198" t="s">
        <v>65</v>
      </c>
      <c r="M4563" s="199"/>
      <c r="N4563" s="199"/>
    </row>
    <row r="4564">
      <c r="A4564" s="193" t="s">
        <v>22731</v>
      </c>
      <c r="B4564" s="7" t="s">
        <v>175</v>
      </c>
      <c r="C4564" s="7" t="s">
        <v>16854</v>
      </c>
      <c r="D4564" s="194">
        <v>2021.0</v>
      </c>
      <c r="E4564" s="193"/>
      <c r="F4564" s="195" t="s">
        <v>22732</v>
      </c>
      <c r="G4564" s="196">
        <v>6.43335E8</v>
      </c>
      <c r="H4564" s="197">
        <v>10.5</v>
      </c>
      <c r="I4564" s="7" t="s">
        <v>168</v>
      </c>
      <c r="J4564" s="7" t="s">
        <v>175</v>
      </c>
      <c r="K4564" s="7" t="s">
        <v>16854</v>
      </c>
      <c r="L4564" s="198" t="s">
        <v>65</v>
      </c>
      <c r="M4564" s="194"/>
      <c r="N4564" s="194"/>
    </row>
    <row r="4565">
      <c r="A4565" s="193" t="s">
        <v>22731</v>
      </c>
      <c r="B4565" s="7" t="s">
        <v>16854</v>
      </c>
      <c r="C4565" s="7" t="s">
        <v>175</v>
      </c>
      <c r="D4565" s="194">
        <v>2021.0</v>
      </c>
      <c r="E4565" s="193"/>
      <c r="F4565" s="195" t="s">
        <v>22732</v>
      </c>
      <c r="G4565" s="200">
        <v>6.43335E8</v>
      </c>
      <c r="H4565" s="197">
        <v>10.5</v>
      </c>
      <c r="I4565" s="7" t="s">
        <v>16815</v>
      </c>
      <c r="J4565" s="7" t="s">
        <v>16854</v>
      </c>
      <c r="K4565" s="7" t="s">
        <v>175</v>
      </c>
      <c r="L4565" s="201" t="s">
        <v>16835</v>
      </c>
      <c r="M4565" s="194"/>
      <c r="N4565" s="194"/>
    </row>
    <row r="4566">
      <c r="A4566" s="193" t="s">
        <v>22733</v>
      </c>
      <c r="B4566" s="7" t="s">
        <v>175</v>
      </c>
      <c r="C4566" s="7" t="s">
        <v>17812</v>
      </c>
      <c r="D4566" s="194">
        <v>2001.0</v>
      </c>
      <c r="E4566" s="193"/>
      <c r="F4566" s="195" t="s">
        <v>22734</v>
      </c>
      <c r="G4566" s="196">
        <v>6.43260518E8</v>
      </c>
      <c r="H4566" s="197">
        <v>18.3</v>
      </c>
      <c r="I4566" s="7" t="s">
        <v>16908</v>
      </c>
      <c r="J4566" s="7" t="s">
        <v>175</v>
      </c>
      <c r="K4566" s="7" t="s">
        <v>17812</v>
      </c>
      <c r="L4566" s="198" t="s">
        <v>65</v>
      </c>
      <c r="M4566" s="194"/>
      <c r="N4566" s="194"/>
    </row>
    <row r="4567">
      <c r="A4567" s="193" t="s">
        <v>22735</v>
      </c>
      <c r="B4567" s="7" t="s">
        <v>16838</v>
      </c>
      <c r="C4567" s="7" t="s">
        <v>16867</v>
      </c>
      <c r="D4567" s="199"/>
      <c r="E4567" s="193"/>
      <c r="F4567" s="195" t="s">
        <v>22736</v>
      </c>
      <c r="G4567" s="196">
        <v>6.42661751E8</v>
      </c>
      <c r="H4567" s="197">
        <v>19.14</v>
      </c>
      <c r="I4567" s="7" t="s">
        <v>16924</v>
      </c>
      <c r="J4567" s="7" t="s">
        <v>16838</v>
      </c>
      <c r="K4567" s="7" t="s">
        <v>16867</v>
      </c>
      <c r="L4567" s="198" t="s">
        <v>65</v>
      </c>
      <c r="M4567" s="199"/>
      <c r="N4567" s="199"/>
    </row>
    <row r="4568">
      <c r="A4568" s="193" t="s">
        <v>22735</v>
      </c>
      <c r="B4568" s="7" t="s">
        <v>16867</v>
      </c>
      <c r="C4568" s="7" t="s">
        <v>16838</v>
      </c>
      <c r="D4568" s="199"/>
      <c r="E4568" s="193"/>
      <c r="F4568" s="195" t="s">
        <v>22736</v>
      </c>
      <c r="G4568" s="200">
        <v>6.42661751E8</v>
      </c>
      <c r="H4568" s="197">
        <v>19.14</v>
      </c>
      <c r="I4568" s="7" t="s">
        <v>16815</v>
      </c>
      <c r="J4568" s="7" t="s">
        <v>16867</v>
      </c>
      <c r="K4568" s="7" t="s">
        <v>16838</v>
      </c>
      <c r="L4568" s="201" t="s">
        <v>16835</v>
      </c>
      <c r="M4568" s="199"/>
      <c r="N4568" s="199"/>
    </row>
    <row r="4569">
      <c r="A4569" s="193" t="s">
        <v>22737</v>
      </c>
      <c r="B4569" s="7" t="s">
        <v>175</v>
      </c>
      <c r="C4569" s="7" t="s">
        <v>16890</v>
      </c>
      <c r="D4569" s="194">
        <v>2014.0</v>
      </c>
      <c r="E4569" s="193"/>
      <c r="F4569" s="195" t="s">
        <v>22738</v>
      </c>
      <c r="G4569" s="196">
        <v>6.42148304E8</v>
      </c>
      <c r="H4569" s="197">
        <v>9.14</v>
      </c>
      <c r="I4569" s="7" t="s">
        <v>174</v>
      </c>
      <c r="J4569" s="7" t="s">
        <v>175</v>
      </c>
      <c r="K4569" s="7" t="s">
        <v>16890</v>
      </c>
      <c r="L4569" s="198" t="s">
        <v>65</v>
      </c>
      <c r="M4569" s="194"/>
      <c r="N4569" s="194"/>
    </row>
    <row r="4570">
      <c r="A4570" s="193" t="s">
        <v>22737</v>
      </c>
      <c r="B4570" s="7" t="s">
        <v>16890</v>
      </c>
      <c r="C4570" s="7" t="s">
        <v>175</v>
      </c>
      <c r="D4570" s="194">
        <v>2014.0</v>
      </c>
      <c r="E4570" s="193"/>
      <c r="F4570" s="195" t="s">
        <v>22738</v>
      </c>
      <c r="G4570" s="200">
        <v>6.42148304E8</v>
      </c>
      <c r="H4570" s="197">
        <v>9.14</v>
      </c>
      <c r="I4570" s="7" t="s">
        <v>16815</v>
      </c>
      <c r="J4570" s="7" t="s">
        <v>16890</v>
      </c>
      <c r="K4570" s="7" t="s">
        <v>175</v>
      </c>
      <c r="L4570" s="201" t="s">
        <v>16835</v>
      </c>
      <c r="M4570" s="194"/>
      <c r="N4570" s="194"/>
    </row>
    <row r="4571">
      <c r="A4571" s="193" t="s">
        <v>22739</v>
      </c>
      <c r="B4571" s="7" t="s">
        <v>16582</v>
      </c>
      <c r="C4571" s="7" t="s">
        <v>17339</v>
      </c>
      <c r="D4571" s="199"/>
      <c r="E4571" s="193"/>
      <c r="F4571" s="195" t="s">
        <v>22740</v>
      </c>
      <c r="G4571" s="196">
        <v>6.41263885E8</v>
      </c>
      <c r="H4571" s="197">
        <v>2.48</v>
      </c>
      <c r="I4571" s="7" t="s">
        <v>16815</v>
      </c>
      <c r="J4571" s="7" t="s">
        <v>16582</v>
      </c>
      <c r="K4571" s="7" t="s">
        <v>17339</v>
      </c>
      <c r="L4571" s="198" t="s">
        <v>65</v>
      </c>
      <c r="M4571" s="199"/>
      <c r="N4571" s="199"/>
    </row>
    <row r="4572">
      <c r="A4572" s="193" t="s">
        <v>22741</v>
      </c>
      <c r="B4572" s="7" t="s">
        <v>17111</v>
      </c>
      <c r="C4572" s="7" t="s">
        <v>17112</v>
      </c>
      <c r="D4572" s="194">
        <v>2011.0</v>
      </c>
      <c r="E4572" s="193"/>
      <c r="F4572" s="195" t="s">
        <v>22742</v>
      </c>
      <c r="G4572" s="200">
        <v>6.4116907E8</v>
      </c>
      <c r="H4572" s="197">
        <v>5.96</v>
      </c>
      <c r="I4572" s="7" t="s">
        <v>16815</v>
      </c>
      <c r="J4572" s="7" t="s">
        <v>17111</v>
      </c>
      <c r="K4572" s="7" t="s">
        <v>17112</v>
      </c>
      <c r="L4572" s="201" t="s">
        <v>16835</v>
      </c>
      <c r="M4572" s="194"/>
      <c r="N4572" s="194"/>
    </row>
    <row r="4573">
      <c r="A4573" s="193" t="s">
        <v>22741</v>
      </c>
      <c r="B4573" s="7" t="s">
        <v>17112</v>
      </c>
      <c r="C4573" s="7" t="s">
        <v>17111</v>
      </c>
      <c r="D4573" s="194">
        <v>2011.0</v>
      </c>
      <c r="E4573" s="193"/>
      <c r="F4573" s="195" t="s">
        <v>22742</v>
      </c>
      <c r="G4573" s="196">
        <v>6.4116907E8</v>
      </c>
      <c r="H4573" s="197">
        <v>5.96</v>
      </c>
      <c r="I4573" s="7" t="s">
        <v>16815</v>
      </c>
      <c r="J4573" s="7" t="s">
        <v>17112</v>
      </c>
      <c r="K4573" s="7" t="s">
        <v>17111</v>
      </c>
      <c r="L4573" s="198" t="s">
        <v>65</v>
      </c>
      <c r="M4573" s="194"/>
      <c r="N4573" s="194"/>
    </row>
    <row r="4574">
      <c r="A4574" s="193" t="s">
        <v>22743</v>
      </c>
      <c r="B4574" s="7" t="s">
        <v>16582</v>
      </c>
      <c r="C4574" s="7" t="s">
        <v>16817</v>
      </c>
      <c r="D4574" s="194">
        <v>2020.0</v>
      </c>
      <c r="E4574" s="193"/>
      <c r="F4574" s="195" t="s">
        <v>22744</v>
      </c>
      <c r="G4574" s="196">
        <v>6.40676192E8</v>
      </c>
      <c r="H4574" s="197">
        <v>8.42</v>
      </c>
      <c r="I4574" s="7" t="s">
        <v>16815</v>
      </c>
      <c r="J4574" s="7" t="s">
        <v>16582</v>
      </c>
      <c r="K4574" s="7" t="s">
        <v>16817</v>
      </c>
      <c r="L4574" s="198" t="s">
        <v>65</v>
      </c>
      <c r="M4574" s="194"/>
      <c r="N4574" s="194"/>
    </row>
    <row r="4575">
      <c r="A4575" s="193" t="s">
        <v>22745</v>
      </c>
      <c r="B4575" s="7" t="s">
        <v>175</v>
      </c>
      <c r="C4575" s="7" t="s">
        <v>17350</v>
      </c>
      <c r="D4575" s="194">
        <v>2019.0</v>
      </c>
      <c r="E4575" s="193"/>
      <c r="F4575" s="195" t="s">
        <v>22746</v>
      </c>
      <c r="G4575" s="196">
        <v>6.40430503E8</v>
      </c>
      <c r="H4575" s="197">
        <v>4.35</v>
      </c>
      <c r="I4575" s="7" t="s">
        <v>17242</v>
      </c>
      <c r="J4575" s="7" t="s">
        <v>175</v>
      </c>
      <c r="K4575" s="7" t="s">
        <v>17350</v>
      </c>
      <c r="L4575" s="198" t="s">
        <v>65</v>
      </c>
      <c r="M4575" s="194"/>
      <c r="N4575" s="194"/>
    </row>
    <row r="4576">
      <c r="A4576" s="193" t="s">
        <v>22745</v>
      </c>
      <c r="B4576" s="7" t="s">
        <v>17350</v>
      </c>
      <c r="C4576" s="7" t="s">
        <v>175</v>
      </c>
      <c r="D4576" s="194">
        <v>2019.0</v>
      </c>
      <c r="E4576" s="193"/>
      <c r="F4576" s="195" t="s">
        <v>22746</v>
      </c>
      <c r="G4576" s="200">
        <v>6.40430503E8</v>
      </c>
      <c r="H4576" s="197">
        <v>4.35</v>
      </c>
      <c r="I4576" s="7" t="s">
        <v>16815</v>
      </c>
      <c r="J4576" s="7" t="s">
        <v>17350</v>
      </c>
      <c r="K4576" s="7" t="s">
        <v>175</v>
      </c>
      <c r="L4576" s="201" t="s">
        <v>16835</v>
      </c>
      <c r="M4576" s="194"/>
      <c r="N4576" s="194"/>
    </row>
    <row r="4577">
      <c r="A4577" s="193" t="s">
        <v>22747</v>
      </c>
      <c r="B4577" s="7" t="s">
        <v>175</v>
      </c>
      <c r="C4577" s="7" t="s">
        <v>16854</v>
      </c>
      <c r="D4577" s="194">
        <v>2021.0</v>
      </c>
      <c r="E4577" s="193"/>
      <c r="F4577" s="195" t="s">
        <v>22748</v>
      </c>
      <c r="G4577" s="196">
        <v>6.39048271E8</v>
      </c>
      <c r="H4577" s="197">
        <v>1.01</v>
      </c>
      <c r="I4577" s="7" t="s">
        <v>16856</v>
      </c>
      <c r="J4577" s="7" t="s">
        <v>175</v>
      </c>
      <c r="K4577" s="7" t="s">
        <v>16854</v>
      </c>
      <c r="L4577" s="198" t="s">
        <v>65</v>
      </c>
      <c r="M4577" s="194"/>
      <c r="N4577" s="194"/>
    </row>
    <row r="4578">
      <c r="A4578" s="193" t="s">
        <v>22747</v>
      </c>
      <c r="B4578" s="7" t="s">
        <v>16854</v>
      </c>
      <c r="C4578" s="7" t="s">
        <v>175</v>
      </c>
      <c r="D4578" s="194">
        <v>2021.0</v>
      </c>
      <c r="E4578" s="193"/>
      <c r="F4578" s="195" t="s">
        <v>22748</v>
      </c>
      <c r="G4578" s="200">
        <v>6.39048271E8</v>
      </c>
      <c r="H4578" s="197">
        <v>1.01</v>
      </c>
      <c r="I4578" s="7" t="s">
        <v>16815</v>
      </c>
      <c r="J4578" s="7" t="s">
        <v>16854</v>
      </c>
      <c r="K4578" s="7" t="s">
        <v>175</v>
      </c>
      <c r="L4578" s="201" t="s">
        <v>16835</v>
      </c>
      <c r="M4578" s="194"/>
      <c r="N4578" s="194"/>
    </row>
    <row r="4579">
      <c r="A4579" s="193" t="s">
        <v>22749</v>
      </c>
      <c r="B4579" s="7" t="s">
        <v>169</v>
      </c>
      <c r="C4579" s="7" t="s">
        <v>18098</v>
      </c>
      <c r="D4579" s="199"/>
      <c r="E4579" s="193"/>
      <c r="F4579" s="195" t="s">
        <v>22750</v>
      </c>
      <c r="G4579" s="196">
        <v>6.38233077E8</v>
      </c>
      <c r="H4579" s="197">
        <v>13.83</v>
      </c>
      <c r="I4579" s="7" t="s">
        <v>16815</v>
      </c>
      <c r="J4579" s="7" t="s">
        <v>169</v>
      </c>
      <c r="K4579" s="7" t="s">
        <v>18098</v>
      </c>
      <c r="L4579" s="198" t="s">
        <v>65</v>
      </c>
      <c r="M4579" s="199"/>
      <c r="N4579" s="199"/>
    </row>
    <row r="4580">
      <c r="A4580" s="193" t="s">
        <v>22751</v>
      </c>
      <c r="B4580" s="7" t="s">
        <v>16582</v>
      </c>
      <c r="C4580" s="7" t="s">
        <v>16930</v>
      </c>
      <c r="D4580" s="194">
        <v>2018.0</v>
      </c>
      <c r="E4580" s="193"/>
      <c r="F4580" s="195" t="s">
        <v>22752</v>
      </c>
      <c r="G4580" s="196">
        <v>6.3813005E8</v>
      </c>
      <c r="H4580" s="197">
        <v>19.14</v>
      </c>
      <c r="I4580" s="7" t="s">
        <v>16815</v>
      </c>
      <c r="J4580" s="7" t="s">
        <v>16582</v>
      </c>
      <c r="K4580" s="7" t="s">
        <v>16930</v>
      </c>
      <c r="L4580" s="198" t="s">
        <v>65</v>
      </c>
      <c r="M4580" s="194"/>
      <c r="N4580" s="194"/>
    </row>
    <row r="4581">
      <c r="A4581" s="193" t="s">
        <v>22753</v>
      </c>
      <c r="B4581" s="7" t="s">
        <v>187</v>
      </c>
      <c r="C4581" s="7" t="s">
        <v>16969</v>
      </c>
      <c r="D4581" s="194">
        <v>2018.0</v>
      </c>
      <c r="E4581" s="193"/>
      <c r="F4581" s="195" t="s">
        <v>22754</v>
      </c>
      <c r="G4581" s="196">
        <v>6.37891112E8</v>
      </c>
      <c r="H4581" s="197">
        <v>15.75</v>
      </c>
      <c r="I4581" s="7" t="s">
        <v>16815</v>
      </c>
      <c r="J4581" s="7" t="s">
        <v>187</v>
      </c>
      <c r="K4581" s="7" t="s">
        <v>16969</v>
      </c>
      <c r="L4581" s="198" t="s">
        <v>65</v>
      </c>
      <c r="M4581" s="194"/>
      <c r="N4581" s="194"/>
    </row>
    <row r="4582">
      <c r="A4582" s="193" t="s">
        <v>22755</v>
      </c>
      <c r="B4582" s="7" t="s">
        <v>17016</v>
      </c>
      <c r="C4582" s="7" t="s">
        <v>16838</v>
      </c>
      <c r="D4582" s="194">
        <v>2022.0</v>
      </c>
      <c r="E4582" s="193"/>
      <c r="F4582" s="195" t="s">
        <v>22756</v>
      </c>
      <c r="G4582" s="200">
        <v>6.37858864E8</v>
      </c>
      <c r="H4582" s="197">
        <v>10.86</v>
      </c>
      <c r="I4582" s="7" t="s">
        <v>16815</v>
      </c>
      <c r="J4582" s="7" t="s">
        <v>17016</v>
      </c>
      <c r="K4582" s="7" t="s">
        <v>16838</v>
      </c>
      <c r="L4582" s="201" t="s">
        <v>16835</v>
      </c>
      <c r="M4582" s="194"/>
      <c r="N4582" s="194"/>
    </row>
    <row r="4583">
      <c r="A4583" s="193" t="s">
        <v>22755</v>
      </c>
      <c r="B4583" s="7" t="s">
        <v>16838</v>
      </c>
      <c r="C4583" s="7" t="s">
        <v>17016</v>
      </c>
      <c r="D4583" s="194">
        <v>2022.0</v>
      </c>
      <c r="E4583" s="193"/>
      <c r="F4583" s="195" t="s">
        <v>22756</v>
      </c>
      <c r="G4583" s="196">
        <v>6.37858864E8</v>
      </c>
      <c r="H4583" s="197">
        <v>10.86</v>
      </c>
      <c r="I4583" s="7" t="s">
        <v>16815</v>
      </c>
      <c r="J4583" s="7" t="s">
        <v>16838</v>
      </c>
      <c r="K4583" s="7" t="s">
        <v>17016</v>
      </c>
      <c r="L4583" s="198" t="s">
        <v>65</v>
      </c>
      <c r="M4583" s="194"/>
      <c r="N4583" s="194"/>
    </row>
    <row r="4584">
      <c r="A4584" s="193" t="s">
        <v>22757</v>
      </c>
      <c r="B4584" s="7" t="s">
        <v>175</v>
      </c>
      <c r="C4584" s="7" t="s">
        <v>17391</v>
      </c>
      <c r="D4584" s="194">
        <v>2005.0</v>
      </c>
      <c r="E4584" s="193"/>
      <c r="F4584" s="195" t="s">
        <v>22758</v>
      </c>
      <c r="G4584" s="196">
        <v>6.3757296E8</v>
      </c>
      <c r="H4584" s="197">
        <v>1.32</v>
      </c>
      <c r="I4584" s="7" t="s">
        <v>16908</v>
      </c>
      <c r="J4584" s="7" t="s">
        <v>175</v>
      </c>
      <c r="K4584" s="7" t="s">
        <v>17391</v>
      </c>
      <c r="L4584" s="198" t="s">
        <v>65</v>
      </c>
      <c r="M4584" s="194"/>
      <c r="N4584" s="194"/>
    </row>
    <row r="4585">
      <c r="A4585" s="193" t="s">
        <v>22757</v>
      </c>
      <c r="B4585" s="7" t="s">
        <v>17391</v>
      </c>
      <c r="C4585" s="7" t="s">
        <v>175</v>
      </c>
      <c r="D4585" s="194">
        <v>2005.0</v>
      </c>
      <c r="E4585" s="193"/>
      <c r="F4585" s="195" t="s">
        <v>22758</v>
      </c>
      <c r="G4585" s="200">
        <v>6.3757296E8</v>
      </c>
      <c r="H4585" s="197">
        <v>1.32</v>
      </c>
      <c r="I4585" s="7" t="s">
        <v>16815</v>
      </c>
      <c r="J4585" s="7" t="s">
        <v>17391</v>
      </c>
      <c r="K4585" s="7" t="s">
        <v>175</v>
      </c>
      <c r="L4585" s="201" t="s">
        <v>16835</v>
      </c>
      <c r="M4585" s="194"/>
      <c r="N4585" s="194"/>
    </row>
    <row r="4586">
      <c r="A4586" s="193" t="s">
        <v>22759</v>
      </c>
      <c r="B4586" s="7" t="s">
        <v>175</v>
      </c>
      <c r="C4586" s="7" t="s">
        <v>16854</v>
      </c>
      <c r="D4586" s="194">
        <v>2021.0</v>
      </c>
      <c r="E4586" s="193"/>
      <c r="F4586" s="195" t="s">
        <v>22760</v>
      </c>
      <c r="G4586" s="196">
        <v>6.37213517E8</v>
      </c>
      <c r="H4586" s="197">
        <v>9.42</v>
      </c>
      <c r="I4586" s="7" t="s">
        <v>16892</v>
      </c>
      <c r="J4586" s="7" t="s">
        <v>175</v>
      </c>
      <c r="K4586" s="7" t="s">
        <v>16854</v>
      </c>
      <c r="L4586" s="198" t="s">
        <v>65</v>
      </c>
      <c r="M4586" s="194"/>
      <c r="N4586" s="194"/>
    </row>
    <row r="4587">
      <c r="A4587" s="193" t="s">
        <v>22759</v>
      </c>
      <c r="B4587" s="7" t="s">
        <v>16854</v>
      </c>
      <c r="C4587" s="7" t="s">
        <v>175</v>
      </c>
      <c r="D4587" s="194">
        <v>2021.0</v>
      </c>
      <c r="E4587" s="193"/>
      <c r="F4587" s="195" t="s">
        <v>22760</v>
      </c>
      <c r="G4587" s="200">
        <v>6.37213517E8</v>
      </c>
      <c r="H4587" s="197">
        <v>9.42</v>
      </c>
      <c r="I4587" s="7" t="s">
        <v>16815</v>
      </c>
      <c r="J4587" s="7" t="s">
        <v>16854</v>
      </c>
      <c r="K4587" s="7" t="s">
        <v>175</v>
      </c>
      <c r="L4587" s="201" t="s">
        <v>16835</v>
      </c>
      <c r="M4587" s="194"/>
      <c r="N4587" s="194"/>
    </row>
    <row r="4588">
      <c r="A4588" s="193" t="s">
        <v>22761</v>
      </c>
      <c r="B4588" s="7" t="s">
        <v>16838</v>
      </c>
      <c r="C4588" s="7" t="s">
        <v>16867</v>
      </c>
      <c r="D4588" s="199"/>
      <c r="E4588" s="193"/>
      <c r="F4588" s="195" t="s">
        <v>22762</v>
      </c>
      <c r="G4588" s="196">
        <v>6.36529891E8</v>
      </c>
      <c r="H4588" s="197">
        <v>21.27</v>
      </c>
      <c r="I4588" s="7" t="s">
        <v>16815</v>
      </c>
      <c r="J4588" s="7" t="s">
        <v>16838</v>
      </c>
      <c r="K4588" s="7" t="s">
        <v>16867</v>
      </c>
      <c r="L4588" s="198" t="s">
        <v>65</v>
      </c>
      <c r="M4588" s="199"/>
      <c r="N4588" s="199"/>
    </row>
    <row r="4589">
      <c r="A4589" s="193" t="s">
        <v>22763</v>
      </c>
      <c r="B4589" s="7" t="s">
        <v>175</v>
      </c>
      <c r="C4589" s="7" t="s">
        <v>16854</v>
      </c>
      <c r="D4589" s="199"/>
      <c r="E4589" s="193"/>
      <c r="F4589" s="195" t="s">
        <v>22764</v>
      </c>
      <c r="G4589" s="196">
        <v>6.36367235E8</v>
      </c>
      <c r="H4589" s="197">
        <v>30.42</v>
      </c>
      <c r="I4589" s="7" t="s">
        <v>16856</v>
      </c>
      <c r="J4589" s="7" t="s">
        <v>175</v>
      </c>
      <c r="K4589" s="7" t="s">
        <v>16854</v>
      </c>
      <c r="L4589" s="198" t="s">
        <v>65</v>
      </c>
      <c r="M4589" s="199"/>
      <c r="N4589" s="199"/>
    </row>
    <row r="4590">
      <c r="A4590" s="193" t="s">
        <v>22763</v>
      </c>
      <c r="B4590" s="7" t="s">
        <v>16854</v>
      </c>
      <c r="C4590" s="7" t="s">
        <v>175</v>
      </c>
      <c r="D4590" s="199"/>
      <c r="E4590" s="193"/>
      <c r="F4590" s="195" t="s">
        <v>22764</v>
      </c>
      <c r="G4590" s="200">
        <v>6.36367235E8</v>
      </c>
      <c r="H4590" s="197">
        <v>30.42</v>
      </c>
      <c r="I4590" s="7" t="s">
        <v>16815</v>
      </c>
      <c r="J4590" s="7" t="s">
        <v>16854</v>
      </c>
      <c r="K4590" s="7" t="s">
        <v>175</v>
      </c>
      <c r="L4590" s="201" t="s">
        <v>16835</v>
      </c>
      <c r="M4590" s="199"/>
      <c r="N4590" s="199"/>
    </row>
    <row r="4591">
      <c r="A4591" s="193" t="s">
        <v>22765</v>
      </c>
      <c r="B4591" s="7" t="s">
        <v>19579</v>
      </c>
      <c r="C4591" s="7" t="s">
        <v>16838</v>
      </c>
      <c r="D4591" s="194">
        <v>1992.0</v>
      </c>
      <c r="E4591" s="193"/>
      <c r="F4591" s="195" t="s">
        <v>22766</v>
      </c>
      <c r="G4591" s="200">
        <v>6.35531955E8</v>
      </c>
      <c r="H4591" s="197">
        <v>13.58</v>
      </c>
      <c r="I4591" s="193" t="s">
        <v>16815</v>
      </c>
      <c r="J4591" s="7" t="s">
        <v>19579</v>
      </c>
      <c r="K4591" s="7" t="s">
        <v>16838</v>
      </c>
      <c r="L4591" s="201" t="s">
        <v>16835</v>
      </c>
      <c r="M4591" s="194"/>
      <c r="N4591" s="194"/>
    </row>
    <row r="4592">
      <c r="A4592" s="193" t="s">
        <v>22765</v>
      </c>
      <c r="B4592" s="7" t="s">
        <v>16838</v>
      </c>
      <c r="C4592" s="7" t="s">
        <v>19579</v>
      </c>
      <c r="D4592" s="194">
        <v>1992.0</v>
      </c>
      <c r="E4592" s="193"/>
      <c r="F4592" s="195" t="s">
        <v>22766</v>
      </c>
      <c r="G4592" s="196">
        <v>6.35531955E8</v>
      </c>
      <c r="H4592" s="197">
        <v>13.58</v>
      </c>
      <c r="I4592" s="7" t="s">
        <v>16815</v>
      </c>
      <c r="J4592" s="7" t="s">
        <v>16838</v>
      </c>
      <c r="K4592" s="7" t="s">
        <v>19579</v>
      </c>
      <c r="L4592" s="198" t="s">
        <v>65</v>
      </c>
      <c r="M4592" s="194"/>
      <c r="N4592" s="194"/>
    </row>
    <row r="4593">
      <c r="A4593" s="193" t="s">
        <v>22767</v>
      </c>
      <c r="B4593" s="7" t="s">
        <v>158</v>
      </c>
      <c r="C4593" s="7" t="s">
        <v>16864</v>
      </c>
      <c r="D4593" s="194">
        <v>2023.0</v>
      </c>
      <c r="E4593" s="193"/>
      <c r="F4593" s="195" t="s">
        <v>22768</v>
      </c>
      <c r="G4593" s="196">
        <v>6.35337432E8</v>
      </c>
      <c r="H4593" s="197">
        <v>22.07</v>
      </c>
      <c r="I4593" s="7" t="s">
        <v>17450</v>
      </c>
      <c r="J4593" s="7" t="s">
        <v>158</v>
      </c>
      <c r="K4593" s="7" t="s">
        <v>16864</v>
      </c>
      <c r="L4593" s="198" t="s">
        <v>65</v>
      </c>
      <c r="M4593" s="194"/>
      <c r="N4593" s="194"/>
    </row>
    <row r="4594">
      <c r="A4594" s="193" t="s">
        <v>22767</v>
      </c>
      <c r="B4594" s="7" t="s">
        <v>16864</v>
      </c>
      <c r="C4594" s="7" t="s">
        <v>158</v>
      </c>
      <c r="D4594" s="194">
        <v>2023.0</v>
      </c>
      <c r="E4594" s="193"/>
      <c r="F4594" s="195" t="s">
        <v>22768</v>
      </c>
      <c r="G4594" s="200">
        <v>6.35337432E8</v>
      </c>
      <c r="H4594" s="197">
        <v>22.07</v>
      </c>
      <c r="I4594" s="7" t="s">
        <v>16815</v>
      </c>
      <c r="J4594" s="7" t="s">
        <v>16864</v>
      </c>
      <c r="K4594" s="7" t="s">
        <v>158</v>
      </c>
      <c r="L4594" s="201" t="s">
        <v>16835</v>
      </c>
      <c r="M4594" s="194"/>
      <c r="N4594" s="194"/>
    </row>
    <row r="4595">
      <c r="A4595" s="193" t="s">
        <v>22769</v>
      </c>
      <c r="B4595" s="7" t="s">
        <v>169</v>
      </c>
      <c r="C4595" s="7" t="s">
        <v>16899</v>
      </c>
      <c r="D4595" s="199"/>
      <c r="E4595" s="193"/>
      <c r="F4595" s="195" t="s">
        <v>22770</v>
      </c>
      <c r="G4595" s="196">
        <v>6.35080207E8</v>
      </c>
      <c r="H4595" s="197">
        <v>18.06</v>
      </c>
      <c r="I4595" s="7" t="s">
        <v>16815</v>
      </c>
      <c r="J4595" s="7" t="s">
        <v>169</v>
      </c>
      <c r="K4595" s="7" t="s">
        <v>16899</v>
      </c>
      <c r="L4595" s="198" t="s">
        <v>65</v>
      </c>
      <c r="M4595" s="199"/>
      <c r="N4595" s="199"/>
    </row>
    <row r="4596">
      <c r="A4596" s="193" t="s">
        <v>22771</v>
      </c>
      <c r="B4596" s="7" t="s">
        <v>16838</v>
      </c>
      <c r="C4596" s="7" t="s">
        <v>17127</v>
      </c>
      <c r="D4596" s="199"/>
      <c r="E4596" s="193"/>
      <c r="F4596" s="195" t="s">
        <v>22772</v>
      </c>
      <c r="G4596" s="196">
        <v>6.34668493E8</v>
      </c>
      <c r="H4596" s="197">
        <v>17.27</v>
      </c>
      <c r="I4596" s="7" t="s">
        <v>16815</v>
      </c>
      <c r="J4596" s="7" t="s">
        <v>16838</v>
      </c>
      <c r="K4596" s="7" t="s">
        <v>17127</v>
      </c>
      <c r="L4596" s="198" t="s">
        <v>65</v>
      </c>
      <c r="M4596" s="199"/>
      <c r="N4596" s="199"/>
    </row>
    <row r="4597">
      <c r="A4597" s="193" t="s">
        <v>22773</v>
      </c>
      <c r="B4597" s="7" t="s">
        <v>158</v>
      </c>
      <c r="C4597" s="7" t="s">
        <v>16864</v>
      </c>
      <c r="D4597" s="194">
        <v>2022.0</v>
      </c>
      <c r="E4597" s="193"/>
      <c r="F4597" s="195" t="s">
        <v>22774</v>
      </c>
      <c r="G4597" s="196">
        <v>6.34119392E8</v>
      </c>
      <c r="H4597" s="197">
        <v>7.81</v>
      </c>
      <c r="I4597" s="7" t="s">
        <v>17098</v>
      </c>
      <c r="J4597" s="7" t="s">
        <v>158</v>
      </c>
      <c r="K4597" s="7" t="s">
        <v>16864</v>
      </c>
      <c r="L4597" s="198" t="s">
        <v>65</v>
      </c>
      <c r="M4597" s="194"/>
      <c r="N4597" s="194"/>
    </row>
    <row r="4598">
      <c r="A4598" s="193" t="s">
        <v>22773</v>
      </c>
      <c r="B4598" s="202" t="s">
        <v>16864</v>
      </c>
      <c r="C4598" s="193" t="s">
        <v>158</v>
      </c>
      <c r="D4598" s="193">
        <v>2022.0</v>
      </c>
      <c r="E4598" s="193"/>
      <c r="F4598" s="203" t="s">
        <v>22774</v>
      </c>
      <c r="G4598" s="200">
        <v>6.34119392E8</v>
      </c>
      <c r="H4598" s="205">
        <v>50.9</v>
      </c>
      <c r="J4598" s="202" t="s">
        <v>16864</v>
      </c>
      <c r="K4598" s="193" t="s">
        <v>158</v>
      </c>
      <c r="L4598" s="193" t="s">
        <v>17471</v>
      </c>
      <c r="M4598" s="193"/>
      <c r="N4598" s="193"/>
    </row>
    <row r="4599">
      <c r="A4599" s="193" t="s">
        <v>22775</v>
      </c>
      <c r="B4599" s="7" t="s">
        <v>16838</v>
      </c>
      <c r="C4599" s="7" t="s">
        <v>17016</v>
      </c>
      <c r="D4599" s="194">
        <v>1991.0</v>
      </c>
      <c r="E4599" s="193"/>
      <c r="F4599" s="195" t="s">
        <v>22776</v>
      </c>
      <c r="G4599" s="196">
        <v>6.33750044E8</v>
      </c>
      <c r="H4599" s="197">
        <v>101.81</v>
      </c>
      <c r="I4599" s="7" t="s">
        <v>16815</v>
      </c>
      <c r="J4599" s="7" t="s">
        <v>16838</v>
      </c>
      <c r="K4599" s="7" t="s">
        <v>17016</v>
      </c>
      <c r="L4599" s="198" t="s">
        <v>65</v>
      </c>
      <c r="M4599" s="194"/>
      <c r="N4599" s="194"/>
    </row>
    <row r="4600">
      <c r="A4600" s="193" t="s">
        <v>22777</v>
      </c>
      <c r="B4600" s="7" t="s">
        <v>187</v>
      </c>
      <c r="C4600" s="7" t="s">
        <v>16846</v>
      </c>
      <c r="D4600" s="199"/>
      <c r="E4600" s="193"/>
      <c r="F4600" s="195" t="s">
        <v>22778</v>
      </c>
      <c r="G4600" s="196">
        <v>6.32798386E8</v>
      </c>
      <c r="H4600" s="197">
        <v>8.52</v>
      </c>
      <c r="I4600" s="7" t="s">
        <v>16815</v>
      </c>
      <c r="J4600" s="7" t="s">
        <v>187</v>
      </c>
      <c r="K4600" s="7" t="s">
        <v>16846</v>
      </c>
      <c r="L4600" s="198" t="s">
        <v>65</v>
      </c>
      <c r="M4600" s="199"/>
      <c r="N4600" s="199"/>
    </row>
    <row r="4601">
      <c r="A4601" s="193" t="s">
        <v>22779</v>
      </c>
      <c r="B4601" s="7" t="s">
        <v>17112</v>
      </c>
      <c r="C4601" s="7" t="s">
        <v>17111</v>
      </c>
      <c r="D4601" s="199"/>
      <c r="E4601" s="193"/>
      <c r="F4601" s="195" t="s">
        <v>22780</v>
      </c>
      <c r="G4601" s="196">
        <v>6.32190117E8</v>
      </c>
      <c r="H4601" s="197">
        <v>17.64</v>
      </c>
      <c r="I4601" s="7" t="s">
        <v>16815</v>
      </c>
      <c r="J4601" s="7" t="s">
        <v>17112</v>
      </c>
      <c r="K4601" s="7" t="s">
        <v>17111</v>
      </c>
      <c r="L4601" s="198" t="s">
        <v>65</v>
      </c>
      <c r="M4601" s="199"/>
      <c r="N4601" s="199"/>
    </row>
    <row r="4602">
      <c r="A4602" s="193" t="s">
        <v>22781</v>
      </c>
      <c r="B4602" s="7" t="s">
        <v>175</v>
      </c>
      <c r="C4602" s="7" t="s">
        <v>16972</v>
      </c>
      <c r="D4602" s="194">
        <v>2021.0</v>
      </c>
      <c r="E4602" s="193"/>
      <c r="F4602" s="195" t="s">
        <v>22782</v>
      </c>
      <c r="G4602" s="196">
        <v>6.31653535E8</v>
      </c>
      <c r="H4602" s="197">
        <v>13.31</v>
      </c>
      <c r="I4602" s="7" t="s">
        <v>16856</v>
      </c>
      <c r="J4602" s="7" t="s">
        <v>175</v>
      </c>
      <c r="K4602" s="7" t="s">
        <v>16972</v>
      </c>
      <c r="L4602" s="198" t="s">
        <v>65</v>
      </c>
      <c r="M4602" s="194"/>
      <c r="N4602" s="194"/>
    </row>
    <row r="4603">
      <c r="A4603" s="193" t="s">
        <v>22781</v>
      </c>
      <c r="B4603" s="7" t="s">
        <v>16972</v>
      </c>
      <c r="C4603" s="7" t="s">
        <v>175</v>
      </c>
      <c r="D4603" s="194">
        <v>2021.0</v>
      </c>
      <c r="E4603" s="193"/>
      <c r="F4603" s="195" t="s">
        <v>22782</v>
      </c>
      <c r="G4603" s="200">
        <v>6.31653535E8</v>
      </c>
      <c r="H4603" s="197">
        <v>13.31</v>
      </c>
      <c r="I4603" s="7" t="s">
        <v>16815</v>
      </c>
      <c r="J4603" s="7" t="s">
        <v>16972</v>
      </c>
      <c r="K4603" s="7" t="s">
        <v>175</v>
      </c>
      <c r="L4603" s="201" t="s">
        <v>16835</v>
      </c>
      <c r="M4603" s="194"/>
      <c r="N4603" s="194"/>
    </row>
    <row r="4604">
      <c r="A4604" s="193" t="s">
        <v>22783</v>
      </c>
      <c r="B4604" s="7" t="s">
        <v>16838</v>
      </c>
      <c r="C4604" s="7" t="s">
        <v>17016</v>
      </c>
      <c r="D4604" s="199"/>
      <c r="E4604" s="193"/>
      <c r="F4604" s="195" t="s">
        <v>22784</v>
      </c>
      <c r="G4604" s="196">
        <v>6.30416914E8</v>
      </c>
      <c r="H4604" s="197">
        <v>17.01</v>
      </c>
      <c r="I4604" s="7" t="s">
        <v>16815</v>
      </c>
      <c r="J4604" s="7" t="s">
        <v>16838</v>
      </c>
      <c r="K4604" s="7" t="s">
        <v>17016</v>
      </c>
      <c r="L4604" s="198" t="s">
        <v>65</v>
      </c>
      <c r="M4604" s="199"/>
      <c r="N4604" s="199"/>
    </row>
    <row r="4605">
      <c r="A4605" s="193" t="s">
        <v>22785</v>
      </c>
      <c r="B4605" s="7" t="s">
        <v>16838</v>
      </c>
      <c r="C4605" s="7" t="s">
        <v>18679</v>
      </c>
      <c r="D4605" s="194">
        <v>2021.0</v>
      </c>
      <c r="E4605" s="193"/>
      <c r="F4605" s="195" t="s">
        <v>22786</v>
      </c>
      <c r="G4605" s="196">
        <v>6.30393489E8</v>
      </c>
      <c r="H4605" s="197">
        <v>14.45</v>
      </c>
      <c r="I4605" s="7" t="s">
        <v>16815</v>
      </c>
      <c r="J4605" s="7" t="s">
        <v>16838</v>
      </c>
      <c r="K4605" s="7" t="s">
        <v>18679</v>
      </c>
      <c r="L4605" s="198" t="s">
        <v>65</v>
      </c>
      <c r="M4605" s="194"/>
      <c r="N4605" s="194"/>
    </row>
    <row r="4606">
      <c r="A4606" s="193" t="s">
        <v>22787</v>
      </c>
      <c r="B4606" s="7" t="s">
        <v>17112</v>
      </c>
      <c r="C4606" s="7" t="s">
        <v>17218</v>
      </c>
      <c r="D4606" s="194">
        <v>2019.0</v>
      </c>
      <c r="E4606" s="193"/>
      <c r="F4606" s="195" t="s">
        <v>22788</v>
      </c>
      <c r="G4606" s="196">
        <v>6.30345386E8</v>
      </c>
      <c r="H4606" s="197">
        <v>2.42</v>
      </c>
      <c r="I4606" s="7" t="s">
        <v>16815</v>
      </c>
      <c r="J4606" s="7" t="s">
        <v>17112</v>
      </c>
      <c r="K4606" s="7" t="s">
        <v>17218</v>
      </c>
      <c r="L4606" s="198" t="s">
        <v>65</v>
      </c>
      <c r="M4606" s="194"/>
      <c r="N4606" s="194"/>
    </row>
    <row r="4607">
      <c r="A4607" s="193" t="s">
        <v>22787</v>
      </c>
      <c r="B4607" s="7" t="s">
        <v>17218</v>
      </c>
      <c r="C4607" s="7" t="s">
        <v>17112</v>
      </c>
      <c r="D4607" s="194">
        <v>2019.0</v>
      </c>
      <c r="E4607" s="193"/>
      <c r="F4607" s="195" t="s">
        <v>22788</v>
      </c>
      <c r="G4607" s="200">
        <v>6.30345386E8</v>
      </c>
      <c r="H4607" s="197">
        <v>2.42</v>
      </c>
      <c r="I4607" s="7" t="s">
        <v>16815</v>
      </c>
      <c r="J4607" s="7" t="s">
        <v>17218</v>
      </c>
      <c r="K4607" s="7" t="s">
        <v>17112</v>
      </c>
      <c r="L4607" s="201" t="s">
        <v>16835</v>
      </c>
      <c r="M4607" s="194"/>
      <c r="N4607" s="194"/>
    </row>
    <row r="4608">
      <c r="A4608" s="193" t="s">
        <v>22789</v>
      </c>
      <c r="B4608" s="7" t="s">
        <v>175</v>
      </c>
      <c r="C4608" s="7" t="s">
        <v>16842</v>
      </c>
      <c r="D4608" s="199"/>
      <c r="E4608" s="193"/>
      <c r="F4608" s="195" t="s">
        <v>22790</v>
      </c>
      <c r="G4608" s="196">
        <v>6.30036E8</v>
      </c>
      <c r="H4608" s="197">
        <v>2.58</v>
      </c>
      <c r="I4608" s="7" t="s">
        <v>16908</v>
      </c>
      <c r="J4608" s="7" t="s">
        <v>175</v>
      </c>
      <c r="K4608" s="7" t="s">
        <v>16842</v>
      </c>
      <c r="L4608" s="198" t="s">
        <v>65</v>
      </c>
      <c r="M4608" s="199"/>
      <c r="N4608" s="199"/>
    </row>
    <row r="4609">
      <c r="A4609" s="193" t="s">
        <v>22791</v>
      </c>
      <c r="B4609" s="7" t="s">
        <v>175</v>
      </c>
      <c r="C4609" s="7" t="s">
        <v>17218</v>
      </c>
      <c r="D4609" s="194">
        <v>1998.0</v>
      </c>
      <c r="E4609" s="193"/>
      <c r="F4609" s="195" t="s">
        <v>22792</v>
      </c>
      <c r="G4609" s="196">
        <v>6.29454268E8</v>
      </c>
      <c r="H4609" s="197">
        <v>89.9</v>
      </c>
      <c r="I4609" s="7" t="s">
        <v>16908</v>
      </c>
      <c r="J4609" s="7" t="s">
        <v>175</v>
      </c>
      <c r="K4609" s="7" t="s">
        <v>17218</v>
      </c>
      <c r="L4609" s="198" t="s">
        <v>65</v>
      </c>
      <c r="M4609" s="194"/>
      <c r="N4609" s="194"/>
    </row>
    <row r="4610">
      <c r="A4610" s="193" t="s">
        <v>22793</v>
      </c>
      <c r="B4610" s="7" t="s">
        <v>16838</v>
      </c>
      <c r="C4610" s="7" t="s">
        <v>17016</v>
      </c>
      <c r="D4610" s="194">
        <v>2002.0</v>
      </c>
      <c r="E4610" s="193"/>
      <c r="F4610" s="195" t="s">
        <v>22794</v>
      </c>
      <c r="G4610" s="196">
        <v>6.29083644E8</v>
      </c>
      <c r="H4610" s="197">
        <v>16.03</v>
      </c>
      <c r="I4610" s="7" t="s">
        <v>16815</v>
      </c>
      <c r="J4610" s="7" t="s">
        <v>16838</v>
      </c>
      <c r="K4610" s="7" t="s">
        <v>17016</v>
      </c>
      <c r="L4610" s="198" t="s">
        <v>65</v>
      </c>
      <c r="M4610" s="194"/>
      <c r="N4610" s="194"/>
    </row>
    <row r="4611">
      <c r="A4611" s="193" t="s">
        <v>22795</v>
      </c>
      <c r="B4611" s="7" t="s">
        <v>175</v>
      </c>
      <c r="C4611" s="7" t="s">
        <v>16942</v>
      </c>
      <c r="D4611" s="199"/>
      <c r="E4611" s="193"/>
      <c r="F4611" s="195" t="s">
        <v>22796</v>
      </c>
      <c r="G4611" s="196">
        <v>6.27631343E8</v>
      </c>
      <c r="H4611" s="197">
        <v>27.01</v>
      </c>
      <c r="I4611" s="7" t="s">
        <v>16908</v>
      </c>
      <c r="J4611" s="7" t="s">
        <v>175</v>
      </c>
      <c r="K4611" s="7" t="s">
        <v>16942</v>
      </c>
      <c r="L4611" s="198" t="s">
        <v>65</v>
      </c>
      <c r="M4611" s="199"/>
      <c r="N4611" s="199"/>
    </row>
    <row r="4612">
      <c r="A4612" s="193" t="s">
        <v>22797</v>
      </c>
      <c r="D4612" s="199"/>
      <c r="E4612" s="193"/>
      <c r="F4612" s="195" t="s">
        <v>22798</v>
      </c>
      <c r="G4612" s="196">
        <v>6.275584E8</v>
      </c>
      <c r="H4612" s="197">
        <v>19.04</v>
      </c>
      <c r="I4612" s="7" t="s">
        <v>16815</v>
      </c>
      <c r="L4612" s="198" t="s">
        <v>65</v>
      </c>
      <c r="M4612" s="199"/>
      <c r="N4612" s="199"/>
    </row>
    <row r="4613">
      <c r="A4613" s="193" t="s">
        <v>22799</v>
      </c>
      <c r="B4613" s="7" t="s">
        <v>16910</v>
      </c>
      <c r="C4613" s="7" t="s">
        <v>17662</v>
      </c>
      <c r="D4613" s="194">
        <v>2020.0</v>
      </c>
      <c r="E4613" s="193"/>
      <c r="F4613" s="195" t="s">
        <v>22800</v>
      </c>
      <c r="G4613" s="196">
        <v>6.27218183E8</v>
      </c>
      <c r="H4613" s="197">
        <v>8.86</v>
      </c>
      <c r="I4613" s="7" t="s">
        <v>16856</v>
      </c>
      <c r="J4613" s="7" t="s">
        <v>16910</v>
      </c>
      <c r="K4613" s="7" t="s">
        <v>17662</v>
      </c>
      <c r="L4613" s="198" t="s">
        <v>65</v>
      </c>
      <c r="M4613" s="194"/>
      <c r="N4613" s="194"/>
    </row>
    <row r="4614">
      <c r="A4614" s="193" t="s">
        <v>22801</v>
      </c>
      <c r="B4614" s="7" t="s">
        <v>16838</v>
      </c>
      <c r="C4614" s="7" t="s">
        <v>17202</v>
      </c>
      <c r="D4614" s="199"/>
      <c r="E4614" s="193"/>
      <c r="F4614" s="195" t="s">
        <v>22802</v>
      </c>
      <c r="G4614" s="196">
        <v>6.2672147E8</v>
      </c>
      <c r="H4614" s="197">
        <v>20.5</v>
      </c>
      <c r="I4614" s="7" t="s">
        <v>16815</v>
      </c>
      <c r="J4614" s="7" t="s">
        <v>16838</v>
      </c>
      <c r="K4614" s="7" t="s">
        <v>17202</v>
      </c>
      <c r="L4614" s="198" t="s">
        <v>65</v>
      </c>
      <c r="M4614" s="199"/>
      <c r="N4614" s="199"/>
    </row>
    <row r="4615">
      <c r="A4615" s="193" t="s">
        <v>22803</v>
      </c>
      <c r="B4615" s="7" t="s">
        <v>187</v>
      </c>
      <c r="C4615" s="7" t="s">
        <v>16858</v>
      </c>
      <c r="D4615" s="194">
        <v>2016.0</v>
      </c>
      <c r="E4615" s="193"/>
      <c r="F4615" s="195" t="s">
        <v>22804</v>
      </c>
      <c r="G4615" s="196">
        <v>6.26437187E8</v>
      </c>
      <c r="H4615" s="197">
        <v>7.67</v>
      </c>
      <c r="I4615" s="7" t="s">
        <v>16815</v>
      </c>
      <c r="J4615" s="7" t="s">
        <v>187</v>
      </c>
      <c r="K4615" s="7" t="s">
        <v>16858</v>
      </c>
      <c r="L4615" s="198" t="s">
        <v>65</v>
      </c>
      <c r="M4615" s="194"/>
      <c r="N4615" s="194"/>
    </row>
    <row r="4616">
      <c r="A4616" s="193" t="s">
        <v>22805</v>
      </c>
      <c r="D4616" s="194">
        <v>2021.0</v>
      </c>
      <c r="E4616" s="193"/>
      <c r="F4616" s="195" t="s">
        <v>22806</v>
      </c>
      <c r="G4616" s="196">
        <v>6.2209873E8</v>
      </c>
      <c r="H4616" s="197">
        <v>3.49</v>
      </c>
      <c r="I4616" s="7" t="s">
        <v>16815</v>
      </c>
      <c r="L4616" s="198" t="s">
        <v>65</v>
      </c>
      <c r="M4616" s="194"/>
      <c r="N4616" s="194"/>
    </row>
    <row r="4617">
      <c r="A4617" s="193" t="s">
        <v>22805</v>
      </c>
      <c r="B4617" s="208"/>
      <c r="C4617" s="206"/>
      <c r="D4617" s="193">
        <v>2021.0</v>
      </c>
      <c r="E4617" s="193"/>
      <c r="F4617" s="203" t="s">
        <v>22806</v>
      </c>
      <c r="G4617" s="200">
        <v>6.2209873E8</v>
      </c>
      <c r="H4617" s="205">
        <v>7.81</v>
      </c>
      <c r="J4617" s="208"/>
      <c r="K4617" s="206"/>
      <c r="L4617" s="193" t="s">
        <v>17471</v>
      </c>
      <c r="M4617" s="193"/>
      <c r="N4617" s="193"/>
    </row>
    <row r="4618">
      <c r="A4618" s="193" t="s">
        <v>22807</v>
      </c>
      <c r="B4618" s="7" t="s">
        <v>16838</v>
      </c>
      <c r="C4618" s="7" t="s">
        <v>16867</v>
      </c>
      <c r="D4618" s="199"/>
      <c r="E4618" s="193"/>
      <c r="F4618" s="195" t="s">
        <v>22808</v>
      </c>
      <c r="G4618" s="196">
        <v>6.2057758E8</v>
      </c>
      <c r="H4618" s="197">
        <v>33.48</v>
      </c>
      <c r="I4618" s="7" t="s">
        <v>16815</v>
      </c>
      <c r="J4618" s="7" t="s">
        <v>16838</v>
      </c>
      <c r="K4618" s="7" t="s">
        <v>16867</v>
      </c>
      <c r="L4618" s="198" t="s">
        <v>65</v>
      </c>
      <c r="M4618" s="199"/>
      <c r="N4618" s="199"/>
    </row>
    <row r="4619">
      <c r="A4619" s="193" t="s">
        <v>22809</v>
      </c>
      <c r="B4619" s="7" t="s">
        <v>169</v>
      </c>
      <c r="C4619" s="7" t="s">
        <v>17022</v>
      </c>
      <c r="D4619" s="194">
        <v>2021.0</v>
      </c>
      <c r="E4619" s="193"/>
      <c r="F4619" s="195" t="s">
        <v>22810</v>
      </c>
      <c r="G4619" s="196">
        <v>6.19881753E8</v>
      </c>
      <c r="H4619" s="197">
        <v>2.17</v>
      </c>
      <c r="I4619" s="7" t="s">
        <v>16815</v>
      </c>
      <c r="J4619" s="7" t="s">
        <v>169</v>
      </c>
      <c r="K4619" s="7" t="s">
        <v>17022</v>
      </c>
      <c r="L4619" s="198" t="s">
        <v>65</v>
      </c>
      <c r="M4619" s="194"/>
      <c r="N4619" s="194"/>
    </row>
    <row r="4620">
      <c r="A4620" s="193" t="s">
        <v>22809</v>
      </c>
      <c r="B4620" s="7" t="s">
        <v>17022</v>
      </c>
      <c r="C4620" s="7" t="s">
        <v>169</v>
      </c>
      <c r="D4620" s="194">
        <v>2021.0</v>
      </c>
      <c r="E4620" s="193"/>
      <c r="F4620" s="195" t="s">
        <v>22810</v>
      </c>
      <c r="G4620" s="200">
        <v>6.19881753E8</v>
      </c>
      <c r="H4620" s="197">
        <v>2.17</v>
      </c>
      <c r="I4620" s="7" t="s">
        <v>16815</v>
      </c>
      <c r="J4620" s="7" t="s">
        <v>17022</v>
      </c>
      <c r="K4620" s="7" t="s">
        <v>169</v>
      </c>
      <c r="L4620" s="201" t="s">
        <v>16835</v>
      </c>
      <c r="M4620" s="194"/>
      <c r="N4620" s="194"/>
    </row>
    <row r="4621">
      <c r="A4621" s="193" t="s">
        <v>22811</v>
      </c>
      <c r="B4621" s="7" t="s">
        <v>158</v>
      </c>
      <c r="C4621" s="7" t="s">
        <v>16899</v>
      </c>
      <c r="D4621" s="194">
        <v>2018.0</v>
      </c>
      <c r="E4621" s="193"/>
      <c r="F4621" s="195" t="s">
        <v>22812</v>
      </c>
      <c r="G4621" s="196">
        <v>6.18907039E8</v>
      </c>
      <c r="H4621" s="197">
        <v>2.41</v>
      </c>
      <c r="I4621" s="7" t="s">
        <v>16897</v>
      </c>
      <c r="J4621" s="7" t="s">
        <v>158</v>
      </c>
      <c r="K4621" s="7" t="s">
        <v>16899</v>
      </c>
      <c r="L4621" s="198" t="s">
        <v>65</v>
      </c>
      <c r="M4621" s="194"/>
      <c r="N4621" s="194"/>
    </row>
    <row r="4622">
      <c r="A4622" s="193" t="s">
        <v>22811</v>
      </c>
      <c r="B4622" s="7" t="s">
        <v>16899</v>
      </c>
      <c r="C4622" s="7" t="s">
        <v>158</v>
      </c>
      <c r="D4622" s="194">
        <v>2018.0</v>
      </c>
      <c r="E4622" s="193"/>
      <c r="F4622" s="195" t="s">
        <v>22812</v>
      </c>
      <c r="G4622" s="200">
        <v>6.18907039E8</v>
      </c>
      <c r="H4622" s="197">
        <v>2.41</v>
      </c>
      <c r="I4622" s="7" t="s">
        <v>16815</v>
      </c>
      <c r="J4622" s="7" t="s">
        <v>16899</v>
      </c>
      <c r="K4622" s="7" t="s">
        <v>158</v>
      </c>
      <c r="L4622" s="201" t="s">
        <v>16835</v>
      </c>
      <c r="M4622" s="194"/>
      <c r="N4622" s="194"/>
    </row>
    <row r="4623">
      <c r="A4623" s="193" t="s">
        <v>22813</v>
      </c>
      <c r="B4623" s="7" t="s">
        <v>16582</v>
      </c>
      <c r="C4623" s="7" t="s">
        <v>16930</v>
      </c>
      <c r="D4623" s="199"/>
      <c r="E4623" s="193"/>
      <c r="F4623" s="195" t="s">
        <v>22814</v>
      </c>
      <c r="G4623" s="196">
        <v>6.18879248E8</v>
      </c>
      <c r="H4623" s="197">
        <v>30.4</v>
      </c>
      <c r="I4623" s="7" t="s">
        <v>16815</v>
      </c>
      <c r="J4623" s="7" t="s">
        <v>16582</v>
      </c>
      <c r="K4623" s="7" t="s">
        <v>16930</v>
      </c>
      <c r="L4623" s="198" t="s">
        <v>65</v>
      </c>
      <c r="M4623" s="199"/>
      <c r="N4623" s="199"/>
    </row>
    <row r="4624">
      <c r="A4624" s="193" t="s">
        <v>22815</v>
      </c>
      <c r="B4624" s="7" t="s">
        <v>169</v>
      </c>
      <c r="C4624" s="7" t="s">
        <v>116</v>
      </c>
      <c r="D4624" s="194">
        <v>1996.0</v>
      </c>
      <c r="E4624" s="193"/>
      <c r="F4624" s="195" t="s">
        <v>22816</v>
      </c>
      <c r="G4624" s="196">
        <v>6.18187195E8</v>
      </c>
      <c r="H4624" s="197">
        <v>6.69</v>
      </c>
      <c r="I4624" s="7" t="s">
        <v>16815</v>
      </c>
      <c r="J4624" s="7" t="s">
        <v>169</v>
      </c>
      <c r="K4624" s="7" t="s">
        <v>116</v>
      </c>
      <c r="L4624" s="198" t="s">
        <v>65</v>
      </c>
      <c r="M4624" s="194"/>
      <c r="N4624" s="194"/>
    </row>
    <row r="4625">
      <c r="A4625" s="193" t="s">
        <v>22817</v>
      </c>
      <c r="B4625" s="7" t="s">
        <v>175</v>
      </c>
      <c r="C4625" s="7" t="s">
        <v>17233</v>
      </c>
      <c r="D4625" s="199"/>
      <c r="E4625" s="193"/>
      <c r="F4625" s="195" t="s">
        <v>22818</v>
      </c>
      <c r="G4625" s="196">
        <v>6.179483E8</v>
      </c>
      <c r="H4625" s="197">
        <v>17.17</v>
      </c>
      <c r="I4625" s="193" t="s">
        <v>16908</v>
      </c>
      <c r="J4625" s="7" t="s">
        <v>175</v>
      </c>
      <c r="K4625" s="7" t="s">
        <v>17233</v>
      </c>
      <c r="L4625" s="198" t="s">
        <v>65</v>
      </c>
      <c r="M4625" s="199"/>
      <c r="N4625" s="199"/>
    </row>
    <row r="4626">
      <c r="A4626" s="193" t="s">
        <v>22817</v>
      </c>
      <c r="B4626" s="7" t="s">
        <v>17233</v>
      </c>
      <c r="C4626" s="7" t="s">
        <v>175</v>
      </c>
      <c r="D4626" s="199"/>
      <c r="E4626" s="193"/>
      <c r="F4626" s="195" t="s">
        <v>22818</v>
      </c>
      <c r="G4626" s="200">
        <v>6.179483E8</v>
      </c>
      <c r="H4626" s="197">
        <v>17.17</v>
      </c>
      <c r="I4626" s="7" t="s">
        <v>16815</v>
      </c>
      <c r="J4626" s="7" t="s">
        <v>17233</v>
      </c>
      <c r="K4626" s="7" t="s">
        <v>175</v>
      </c>
      <c r="L4626" s="201" t="s">
        <v>16835</v>
      </c>
      <c r="M4626" s="199"/>
      <c r="N4626" s="199"/>
    </row>
    <row r="4627">
      <c r="A4627" s="193" t="s">
        <v>22819</v>
      </c>
      <c r="B4627" s="7" t="s">
        <v>16838</v>
      </c>
      <c r="C4627" s="7" t="s">
        <v>16867</v>
      </c>
      <c r="D4627" s="199"/>
      <c r="E4627" s="193"/>
      <c r="F4627" s="195" t="s">
        <v>22820</v>
      </c>
      <c r="G4627" s="196">
        <v>6.17759086E8</v>
      </c>
      <c r="H4627" s="197">
        <v>25.04</v>
      </c>
      <c r="I4627" s="7" t="s">
        <v>16815</v>
      </c>
      <c r="J4627" s="7" t="s">
        <v>16838</v>
      </c>
      <c r="K4627" s="7" t="s">
        <v>16867</v>
      </c>
      <c r="L4627" s="198" t="s">
        <v>65</v>
      </c>
      <c r="M4627" s="199"/>
      <c r="N4627" s="199"/>
    </row>
    <row r="4628">
      <c r="A4628" s="193" t="s">
        <v>22821</v>
      </c>
      <c r="B4628" s="7" t="s">
        <v>16582</v>
      </c>
      <c r="C4628" s="7" t="s">
        <v>16583</v>
      </c>
      <c r="D4628" s="194">
        <v>2021.0</v>
      </c>
      <c r="E4628" s="193"/>
      <c r="F4628" s="195" t="s">
        <v>22822</v>
      </c>
      <c r="G4628" s="196">
        <v>6.17697388E8</v>
      </c>
      <c r="H4628" s="197">
        <v>16.6</v>
      </c>
      <c r="I4628" s="7" t="s">
        <v>16815</v>
      </c>
      <c r="J4628" s="7" t="s">
        <v>16582</v>
      </c>
      <c r="K4628" s="7" t="s">
        <v>16583</v>
      </c>
      <c r="L4628" s="198" t="s">
        <v>65</v>
      </c>
      <c r="M4628" s="194"/>
      <c r="N4628" s="194"/>
    </row>
    <row r="4629">
      <c r="A4629" s="193" t="s">
        <v>22823</v>
      </c>
      <c r="B4629" s="7" t="s">
        <v>175</v>
      </c>
      <c r="C4629" s="7" t="s">
        <v>17350</v>
      </c>
      <c r="D4629" s="194">
        <v>1983.0</v>
      </c>
      <c r="E4629" s="193"/>
      <c r="F4629" s="195" t="s">
        <v>22824</v>
      </c>
      <c r="G4629" s="196">
        <v>6.15939152E8</v>
      </c>
      <c r="H4629" s="197">
        <v>16.72</v>
      </c>
      <c r="I4629" s="7" t="s">
        <v>168</v>
      </c>
      <c r="J4629" s="7" t="s">
        <v>175</v>
      </c>
      <c r="K4629" s="7" t="s">
        <v>17350</v>
      </c>
      <c r="L4629" s="198" t="s">
        <v>65</v>
      </c>
      <c r="M4629" s="194"/>
      <c r="N4629" s="194"/>
    </row>
    <row r="4630">
      <c r="A4630" s="193" t="s">
        <v>22823</v>
      </c>
      <c r="B4630" s="7" t="s">
        <v>17350</v>
      </c>
      <c r="C4630" s="7" t="s">
        <v>175</v>
      </c>
      <c r="D4630" s="194">
        <v>1983.0</v>
      </c>
      <c r="E4630" s="193"/>
      <c r="F4630" s="195" t="s">
        <v>22824</v>
      </c>
      <c r="G4630" s="200">
        <v>6.15939152E8</v>
      </c>
      <c r="H4630" s="197">
        <v>16.72</v>
      </c>
      <c r="I4630" s="7" t="s">
        <v>16815</v>
      </c>
      <c r="J4630" s="7" t="s">
        <v>17350</v>
      </c>
      <c r="K4630" s="7" t="s">
        <v>175</v>
      </c>
      <c r="L4630" s="201" t="s">
        <v>16835</v>
      </c>
      <c r="M4630" s="194"/>
      <c r="N4630" s="194"/>
    </row>
    <row r="4631">
      <c r="A4631" s="193" t="s">
        <v>22825</v>
      </c>
      <c r="B4631" s="7" t="s">
        <v>175</v>
      </c>
      <c r="C4631" s="7" t="s">
        <v>16854</v>
      </c>
      <c r="D4631" s="194">
        <v>2006.0</v>
      </c>
      <c r="E4631" s="193"/>
      <c r="F4631" s="195" t="s">
        <v>22826</v>
      </c>
      <c r="G4631" s="196">
        <v>6.15664429E8</v>
      </c>
      <c r="H4631" s="197">
        <v>20.06</v>
      </c>
      <c r="I4631" s="7" t="s">
        <v>168</v>
      </c>
      <c r="J4631" s="7" t="s">
        <v>175</v>
      </c>
      <c r="K4631" s="7" t="s">
        <v>16854</v>
      </c>
      <c r="L4631" s="198" t="s">
        <v>65</v>
      </c>
      <c r="M4631" s="194"/>
      <c r="N4631" s="194"/>
    </row>
    <row r="4632">
      <c r="A4632" s="193" t="s">
        <v>22827</v>
      </c>
      <c r="B4632" s="7" t="s">
        <v>169</v>
      </c>
      <c r="C4632" s="7" t="s">
        <v>17043</v>
      </c>
      <c r="D4632" s="194">
        <v>2005.0</v>
      </c>
      <c r="E4632" s="193"/>
      <c r="F4632" s="195" t="s">
        <v>22828</v>
      </c>
      <c r="G4632" s="196">
        <v>6.15664328E8</v>
      </c>
      <c r="H4632" s="197">
        <v>23.42</v>
      </c>
      <c r="I4632" s="7" t="s">
        <v>16815</v>
      </c>
      <c r="J4632" s="7" t="s">
        <v>169</v>
      </c>
      <c r="K4632" s="7" t="s">
        <v>17043</v>
      </c>
      <c r="L4632" s="198" t="s">
        <v>65</v>
      </c>
      <c r="M4632" s="194"/>
      <c r="N4632" s="194"/>
    </row>
    <row r="4633">
      <c r="A4633" s="193" t="s">
        <v>22829</v>
      </c>
      <c r="B4633" s="7" t="s">
        <v>16838</v>
      </c>
      <c r="C4633" s="7" t="s">
        <v>17016</v>
      </c>
      <c r="D4633" s="194">
        <v>2021.0</v>
      </c>
      <c r="E4633" s="193"/>
      <c r="F4633" s="195" t="s">
        <v>22830</v>
      </c>
      <c r="G4633" s="196">
        <v>6.15623941E8</v>
      </c>
      <c r="H4633" s="197">
        <v>1.15</v>
      </c>
      <c r="I4633" s="7" t="s">
        <v>16924</v>
      </c>
      <c r="J4633" s="7" t="s">
        <v>16838</v>
      </c>
      <c r="K4633" s="7" t="s">
        <v>17016</v>
      </c>
      <c r="L4633" s="198" t="s">
        <v>65</v>
      </c>
      <c r="M4633" s="194"/>
      <c r="N4633" s="194"/>
    </row>
    <row r="4634">
      <c r="A4634" s="193" t="s">
        <v>22831</v>
      </c>
      <c r="B4634" s="7" t="s">
        <v>16582</v>
      </c>
      <c r="C4634" s="7" t="s">
        <v>16930</v>
      </c>
      <c r="D4634" s="199"/>
      <c r="E4634" s="193"/>
      <c r="F4634" s="195" t="s">
        <v>22832</v>
      </c>
      <c r="G4634" s="196">
        <v>6.15559508E8</v>
      </c>
      <c r="H4634" s="197">
        <v>3.03</v>
      </c>
      <c r="I4634" s="7" t="s">
        <v>16815</v>
      </c>
      <c r="J4634" s="7" t="s">
        <v>16582</v>
      </c>
      <c r="K4634" s="7" t="s">
        <v>16930</v>
      </c>
      <c r="L4634" s="198" t="s">
        <v>65</v>
      </c>
      <c r="M4634" s="199"/>
      <c r="N4634" s="199"/>
    </row>
    <row r="4635">
      <c r="A4635" s="193" t="s">
        <v>22831</v>
      </c>
      <c r="B4635" s="7" t="s">
        <v>16930</v>
      </c>
      <c r="C4635" s="7" t="s">
        <v>16582</v>
      </c>
      <c r="D4635" s="199"/>
      <c r="E4635" s="193"/>
      <c r="F4635" s="195" t="s">
        <v>22832</v>
      </c>
      <c r="G4635" s="200">
        <v>6.15559508E8</v>
      </c>
      <c r="H4635" s="197">
        <v>3.03</v>
      </c>
      <c r="I4635" s="7" t="s">
        <v>16815</v>
      </c>
      <c r="J4635" s="7" t="s">
        <v>16930</v>
      </c>
      <c r="K4635" s="7" t="s">
        <v>16582</v>
      </c>
      <c r="L4635" s="201" t="s">
        <v>16835</v>
      </c>
      <c r="M4635" s="199"/>
      <c r="N4635" s="199"/>
    </row>
    <row r="4636">
      <c r="A4636" s="193" t="s">
        <v>22833</v>
      </c>
      <c r="B4636" s="7" t="s">
        <v>175</v>
      </c>
      <c r="C4636" s="7" t="s">
        <v>17286</v>
      </c>
      <c r="D4636" s="194">
        <v>1998.0</v>
      </c>
      <c r="E4636" s="193"/>
      <c r="F4636" s="195" t="s">
        <v>22834</v>
      </c>
      <c r="G4636" s="196">
        <v>6.15027707E8</v>
      </c>
      <c r="H4636" s="197">
        <v>28.07</v>
      </c>
      <c r="I4636" s="7" t="s">
        <v>16892</v>
      </c>
      <c r="J4636" s="7" t="s">
        <v>175</v>
      </c>
      <c r="K4636" s="7" t="s">
        <v>17286</v>
      </c>
      <c r="L4636" s="198" t="s">
        <v>65</v>
      </c>
      <c r="M4636" s="194"/>
      <c r="N4636" s="194"/>
    </row>
    <row r="4637">
      <c r="A4637" s="193" t="s">
        <v>22833</v>
      </c>
      <c r="B4637" s="7" t="s">
        <v>17286</v>
      </c>
      <c r="C4637" s="7" t="s">
        <v>175</v>
      </c>
      <c r="D4637" s="194">
        <v>1998.0</v>
      </c>
      <c r="E4637" s="193"/>
      <c r="F4637" s="195" t="s">
        <v>22835</v>
      </c>
      <c r="G4637" s="200">
        <v>6.15027707E8</v>
      </c>
      <c r="H4637" s="197">
        <v>28.07</v>
      </c>
      <c r="I4637" s="7" t="s">
        <v>16815</v>
      </c>
      <c r="J4637" s="7" t="s">
        <v>17286</v>
      </c>
      <c r="K4637" s="7" t="s">
        <v>175</v>
      </c>
      <c r="L4637" s="201" t="s">
        <v>16835</v>
      </c>
      <c r="M4637" s="194"/>
      <c r="N4637" s="194"/>
    </row>
    <row r="4638">
      <c r="A4638" s="193" t="s">
        <v>22836</v>
      </c>
      <c r="B4638" s="7" t="s">
        <v>16838</v>
      </c>
      <c r="C4638" s="7" t="s">
        <v>17112</v>
      </c>
      <c r="D4638" s="194">
        <v>2017.0</v>
      </c>
      <c r="E4638" s="193"/>
      <c r="F4638" s="195" t="s">
        <v>22837</v>
      </c>
      <c r="G4638" s="196">
        <v>6.14237931E8</v>
      </c>
      <c r="H4638" s="197">
        <v>5.33</v>
      </c>
      <c r="I4638" s="7" t="s">
        <v>16815</v>
      </c>
      <c r="J4638" s="7" t="s">
        <v>16838</v>
      </c>
      <c r="K4638" s="7" t="s">
        <v>17112</v>
      </c>
      <c r="L4638" s="198" t="s">
        <v>65</v>
      </c>
      <c r="M4638" s="194"/>
      <c r="N4638" s="194"/>
    </row>
    <row r="4639">
      <c r="A4639" s="193" t="s">
        <v>22838</v>
      </c>
      <c r="B4639" s="7" t="s">
        <v>16867</v>
      </c>
      <c r="C4639" s="7" t="s">
        <v>16838</v>
      </c>
      <c r="D4639" s="194">
        <v>2019.0</v>
      </c>
      <c r="E4639" s="193"/>
      <c r="F4639" s="195" t="s">
        <v>22839</v>
      </c>
      <c r="G4639" s="200">
        <v>6.13437801E8</v>
      </c>
      <c r="H4639" s="197">
        <v>19.604</v>
      </c>
      <c r="I4639" s="7" t="s">
        <v>16815</v>
      </c>
      <c r="J4639" s="7" t="s">
        <v>16867</v>
      </c>
      <c r="K4639" s="7" t="s">
        <v>16838</v>
      </c>
      <c r="L4639" s="201" t="s">
        <v>16835</v>
      </c>
      <c r="M4639" s="194"/>
      <c r="N4639" s="194"/>
    </row>
    <row r="4640">
      <c r="A4640" s="193" t="s">
        <v>22838</v>
      </c>
      <c r="B4640" s="7" t="s">
        <v>16838</v>
      </c>
      <c r="C4640" s="7" t="s">
        <v>16867</v>
      </c>
      <c r="D4640" s="194">
        <v>2019.0</v>
      </c>
      <c r="E4640" s="193"/>
      <c r="F4640" s="195" t="s">
        <v>22839</v>
      </c>
      <c r="G4640" s="196">
        <v>6.13437801E8</v>
      </c>
      <c r="H4640" s="197">
        <v>19.604</v>
      </c>
      <c r="I4640" s="7" t="s">
        <v>16815</v>
      </c>
      <c r="J4640" s="7" t="s">
        <v>16838</v>
      </c>
      <c r="K4640" s="7" t="s">
        <v>16867</v>
      </c>
      <c r="L4640" s="198" t="s">
        <v>65</v>
      </c>
      <c r="M4640" s="194"/>
      <c r="N4640" s="194"/>
    </row>
    <row r="4641">
      <c r="A4641" s="193" t="s">
        <v>22840</v>
      </c>
      <c r="B4641" s="7" t="s">
        <v>16838</v>
      </c>
      <c r="C4641" s="7" t="s">
        <v>16867</v>
      </c>
      <c r="D4641" s="199"/>
      <c r="E4641" s="193"/>
      <c r="F4641" s="195" t="s">
        <v>22841</v>
      </c>
      <c r="G4641" s="196">
        <v>6.12808442E8</v>
      </c>
      <c r="H4641" s="197">
        <v>13.71</v>
      </c>
      <c r="I4641" s="7" t="s">
        <v>16815</v>
      </c>
      <c r="J4641" s="7" t="s">
        <v>16838</v>
      </c>
      <c r="K4641" s="7" t="s">
        <v>16867</v>
      </c>
      <c r="L4641" s="198" t="s">
        <v>65</v>
      </c>
      <c r="M4641" s="199"/>
      <c r="N4641" s="199"/>
    </row>
    <row r="4642">
      <c r="A4642" s="193" t="s">
        <v>22842</v>
      </c>
      <c r="B4642" s="7" t="s">
        <v>17111</v>
      </c>
      <c r="C4642" s="7" t="s">
        <v>17112</v>
      </c>
      <c r="D4642" s="199"/>
      <c r="E4642" s="193"/>
      <c r="F4642" s="195" t="s">
        <v>22843</v>
      </c>
      <c r="G4642" s="200">
        <v>6.10634911E8</v>
      </c>
      <c r="H4642" s="197">
        <v>10.78</v>
      </c>
      <c r="I4642" s="7" t="s">
        <v>16815</v>
      </c>
      <c r="J4642" s="7" t="s">
        <v>17111</v>
      </c>
      <c r="K4642" s="7" t="s">
        <v>17112</v>
      </c>
      <c r="L4642" s="201" t="s">
        <v>16835</v>
      </c>
      <c r="M4642" s="199"/>
      <c r="N4642" s="199"/>
    </row>
    <row r="4643">
      <c r="A4643" s="193" t="s">
        <v>22842</v>
      </c>
      <c r="B4643" s="7" t="s">
        <v>17112</v>
      </c>
      <c r="C4643" s="7" t="s">
        <v>17111</v>
      </c>
      <c r="D4643" s="199"/>
      <c r="E4643" s="193"/>
      <c r="F4643" s="195" t="s">
        <v>22843</v>
      </c>
      <c r="G4643" s="196">
        <v>6.10634911E8</v>
      </c>
      <c r="H4643" s="197">
        <v>10.78</v>
      </c>
      <c r="I4643" s="7" t="s">
        <v>16815</v>
      </c>
      <c r="J4643" s="7" t="s">
        <v>17112</v>
      </c>
      <c r="K4643" s="7" t="s">
        <v>17111</v>
      </c>
      <c r="L4643" s="198" t="s">
        <v>65</v>
      </c>
      <c r="M4643" s="199"/>
      <c r="N4643" s="199"/>
    </row>
    <row r="4644">
      <c r="A4644" s="193" t="s">
        <v>22844</v>
      </c>
      <c r="B4644" s="7" t="s">
        <v>16945</v>
      </c>
      <c r="C4644" s="7" t="s">
        <v>169</v>
      </c>
      <c r="D4644" s="194">
        <v>2003.0</v>
      </c>
      <c r="E4644" s="193"/>
      <c r="F4644" s="195" t="s">
        <v>22845</v>
      </c>
      <c r="G4644" s="200">
        <v>6.10366999E8</v>
      </c>
      <c r="H4644" s="197">
        <v>8.21</v>
      </c>
      <c r="I4644" s="7" t="s">
        <v>16815</v>
      </c>
      <c r="J4644" s="7" t="s">
        <v>16945</v>
      </c>
      <c r="K4644" s="7" t="s">
        <v>169</v>
      </c>
      <c r="L4644" s="201" t="s">
        <v>16835</v>
      </c>
      <c r="M4644" s="194"/>
      <c r="N4644" s="194"/>
    </row>
    <row r="4645">
      <c r="A4645" s="193" t="s">
        <v>22844</v>
      </c>
      <c r="B4645" s="7" t="s">
        <v>169</v>
      </c>
      <c r="C4645" s="7" t="s">
        <v>16945</v>
      </c>
      <c r="D4645" s="194">
        <v>2003.0</v>
      </c>
      <c r="E4645" s="193"/>
      <c r="F4645" s="195" t="s">
        <v>22845</v>
      </c>
      <c r="G4645" s="196">
        <v>6.10366999E8</v>
      </c>
      <c r="H4645" s="197">
        <v>8.21</v>
      </c>
      <c r="I4645" s="7" t="s">
        <v>16815</v>
      </c>
      <c r="J4645" s="7" t="s">
        <v>169</v>
      </c>
      <c r="K4645" s="7" t="s">
        <v>16945</v>
      </c>
      <c r="L4645" s="198" t="s">
        <v>65</v>
      </c>
      <c r="M4645" s="194"/>
      <c r="N4645" s="194"/>
    </row>
    <row r="4646">
      <c r="A4646" s="193" t="s">
        <v>22846</v>
      </c>
      <c r="B4646" s="7" t="s">
        <v>175</v>
      </c>
      <c r="C4646" s="7" t="s">
        <v>16854</v>
      </c>
      <c r="D4646" s="194">
        <v>2018.0</v>
      </c>
      <c r="E4646" s="193"/>
      <c r="F4646" s="195" t="s">
        <v>22847</v>
      </c>
      <c r="G4646" s="196">
        <v>6.09873577E8</v>
      </c>
      <c r="H4646" s="197">
        <v>6.44</v>
      </c>
      <c r="I4646" s="7" t="s">
        <v>17222</v>
      </c>
      <c r="J4646" s="7" t="s">
        <v>175</v>
      </c>
      <c r="K4646" s="7" t="s">
        <v>16854</v>
      </c>
      <c r="L4646" s="198" t="s">
        <v>65</v>
      </c>
      <c r="M4646" s="194"/>
      <c r="N4646" s="194"/>
    </row>
    <row r="4647">
      <c r="A4647" s="193" t="s">
        <v>22848</v>
      </c>
      <c r="B4647" s="7" t="s">
        <v>175</v>
      </c>
      <c r="C4647" s="7" t="s">
        <v>19996</v>
      </c>
      <c r="D4647" s="199"/>
      <c r="E4647" s="193"/>
      <c r="F4647" s="195" t="s">
        <v>22849</v>
      </c>
      <c r="G4647" s="196">
        <v>6.09463121E8</v>
      </c>
      <c r="H4647" s="197">
        <v>27.52</v>
      </c>
      <c r="I4647" s="7" t="s">
        <v>168</v>
      </c>
      <c r="J4647" s="7" t="s">
        <v>175</v>
      </c>
      <c r="K4647" s="7" t="s">
        <v>19996</v>
      </c>
      <c r="L4647" s="198" t="s">
        <v>65</v>
      </c>
      <c r="M4647" s="199"/>
      <c r="N4647" s="199"/>
    </row>
    <row r="4648">
      <c r="A4648" s="193" t="s">
        <v>22848</v>
      </c>
      <c r="B4648" s="7" t="s">
        <v>19996</v>
      </c>
      <c r="C4648" s="7" t="s">
        <v>175</v>
      </c>
      <c r="D4648" s="199"/>
      <c r="E4648" s="193"/>
      <c r="F4648" s="195" t="s">
        <v>22849</v>
      </c>
      <c r="G4648" s="200">
        <v>6.09463121E8</v>
      </c>
      <c r="H4648" s="197">
        <v>27.52</v>
      </c>
      <c r="I4648" s="7" t="s">
        <v>16815</v>
      </c>
      <c r="J4648" s="7" t="s">
        <v>19996</v>
      </c>
      <c r="K4648" s="7" t="s">
        <v>175</v>
      </c>
      <c r="L4648" s="201" t="s">
        <v>16835</v>
      </c>
      <c r="M4648" s="199"/>
      <c r="N4648" s="199"/>
    </row>
    <row r="4649">
      <c r="A4649" s="193" t="s">
        <v>22850</v>
      </c>
      <c r="B4649" s="7" t="s">
        <v>16838</v>
      </c>
      <c r="C4649" s="7" t="s">
        <v>18219</v>
      </c>
      <c r="D4649" s="199"/>
      <c r="E4649" s="193"/>
      <c r="F4649" s="195" t="s">
        <v>22851</v>
      </c>
      <c r="G4649" s="196">
        <v>6.09418449E8</v>
      </c>
      <c r="H4649" s="197">
        <v>5.2262</v>
      </c>
      <c r="I4649" s="7" t="s">
        <v>16815</v>
      </c>
      <c r="J4649" s="7" t="s">
        <v>16838</v>
      </c>
      <c r="K4649" s="7" t="s">
        <v>18219</v>
      </c>
      <c r="L4649" s="198" t="s">
        <v>65</v>
      </c>
      <c r="M4649" s="199"/>
      <c r="N4649" s="199"/>
    </row>
    <row r="4650">
      <c r="A4650" s="193" t="s">
        <v>22852</v>
      </c>
      <c r="B4650" s="7" t="s">
        <v>16885</v>
      </c>
      <c r="C4650" s="7" t="s">
        <v>18381</v>
      </c>
      <c r="D4650" s="199"/>
      <c r="E4650" s="193"/>
      <c r="F4650" s="195" t="s">
        <v>22853</v>
      </c>
      <c r="G4650" s="196">
        <v>6.09367773E8</v>
      </c>
      <c r="H4650" s="197">
        <v>9.16</v>
      </c>
      <c r="I4650" s="7" t="s">
        <v>19569</v>
      </c>
      <c r="J4650" s="7" t="s">
        <v>16885</v>
      </c>
      <c r="K4650" s="7" t="s">
        <v>18381</v>
      </c>
      <c r="L4650" s="198" t="s">
        <v>65</v>
      </c>
      <c r="M4650" s="199"/>
      <c r="N4650" s="199"/>
    </row>
    <row r="4651">
      <c r="A4651" s="193" t="s">
        <v>22854</v>
      </c>
      <c r="B4651" s="7" t="s">
        <v>175</v>
      </c>
      <c r="C4651" s="7" t="s">
        <v>17084</v>
      </c>
      <c r="D4651" s="194">
        <v>1993.0</v>
      </c>
      <c r="E4651" s="193"/>
      <c r="F4651" s="195" t="s">
        <v>22855</v>
      </c>
      <c r="G4651" s="196">
        <v>6.09300452E8</v>
      </c>
      <c r="H4651" s="197">
        <v>22.27</v>
      </c>
      <c r="I4651" s="7" t="s">
        <v>17033</v>
      </c>
      <c r="J4651" s="7" t="s">
        <v>175</v>
      </c>
      <c r="K4651" s="7" t="s">
        <v>17084</v>
      </c>
      <c r="L4651" s="198" t="s">
        <v>65</v>
      </c>
      <c r="M4651" s="194"/>
      <c r="N4651" s="194"/>
    </row>
    <row r="4652">
      <c r="A4652" s="193" t="s">
        <v>22856</v>
      </c>
      <c r="B4652" s="7" t="s">
        <v>169</v>
      </c>
      <c r="C4652" s="7" t="s">
        <v>17025</v>
      </c>
      <c r="D4652" s="194">
        <v>2010.0</v>
      </c>
      <c r="E4652" s="193"/>
      <c r="F4652" s="195" t="s">
        <v>22857</v>
      </c>
      <c r="G4652" s="196">
        <v>6.08615393E8</v>
      </c>
      <c r="H4652" s="197">
        <v>26.48</v>
      </c>
      <c r="I4652" s="7" t="s">
        <v>16815</v>
      </c>
      <c r="J4652" s="7" t="s">
        <v>169</v>
      </c>
      <c r="K4652" s="7" t="s">
        <v>17025</v>
      </c>
      <c r="L4652" s="198" t="s">
        <v>65</v>
      </c>
      <c r="M4652" s="194"/>
      <c r="N4652" s="194"/>
    </row>
    <row r="4653">
      <c r="A4653" s="193" t="s">
        <v>22856</v>
      </c>
      <c r="B4653" s="7" t="s">
        <v>17025</v>
      </c>
      <c r="C4653" s="7" t="s">
        <v>169</v>
      </c>
      <c r="D4653" s="194">
        <v>2010.0</v>
      </c>
      <c r="E4653" s="193"/>
      <c r="F4653" s="195" t="s">
        <v>22857</v>
      </c>
      <c r="G4653" s="200">
        <v>6.08615393E8</v>
      </c>
      <c r="H4653" s="197">
        <v>26.48</v>
      </c>
      <c r="I4653" s="7" t="s">
        <v>16815</v>
      </c>
      <c r="J4653" s="7" t="s">
        <v>17025</v>
      </c>
      <c r="K4653" s="7" t="s">
        <v>169</v>
      </c>
      <c r="L4653" s="201" t="s">
        <v>16835</v>
      </c>
      <c r="M4653" s="194"/>
      <c r="N4653" s="194"/>
    </row>
    <row r="4654">
      <c r="A4654" s="193" t="s">
        <v>22858</v>
      </c>
      <c r="B4654" s="7" t="s">
        <v>16926</v>
      </c>
      <c r="C4654" s="7" t="s">
        <v>16960</v>
      </c>
      <c r="D4654" s="199"/>
      <c r="E4654" s="193"/>
      <c r="F4654" s="195" t="s">
        <v>22859</v>
      </c>
      <c r="G4654" s="196">
        <v>6.07626121E8</v>
      </c>
      <c r="H4654" s="197">
        <v>13.95</v>
      </c>
      <c r="I4654" s="7" t="s">
        <v>16815</v>
      </c>
      <c r="J4654" s="7" t="s">
        <v>16926</v>
      </c>
      <c r="K4654" s="7" t="s">
        <v>16960</v>
      </c>
      <c r="L4654" s="198" t="s">
        <v>65</v>
      </c>
      <c r="M4654" s="199"/>
      <c r="N4654" s="199"/>
    </row>
    <row r="4655">
      <c r="A4655" s="193" t="s">
        <v>22860</v>
      </c>
      <c r="B4655" s="7" t="s">
        <v>16838</v>
      </c>
      <c r="C4655" s="7" t="s">
        <v>16867</v>
      </c>
      <c r="D4655" s="199"/>
      <c r="E4655" s="193"/>
      <c r="F4655" s="195" t="s">
        <v>22861</v>
      </c>
      <c r="G4655" s="196">
        <v>6.07158657E8</v>
      </c>
      <c r="H4655" s="197">
        <v>15.64</v>
      </c>
      <c r="I4655" s="7" t="s">
        <v>16815</v>
      </c>
      <c r="J4655" s="7" t="s">
        <v>16838</v>
      </c>
      <c r="K4655" s="7" t="s">
        <v>16867</v>
      </c>
      <c r="L4655" s="198" t="s">
        <v>65</v>
      </c>
      <c r="M4655" s="199"/>
      <c r="N4655" s="199"/>
    </row>
    <row r="4656">
      <c r="A4656" s="193" t="s">
        <v>22862</v>
      </c>
      <c r="B4656" s="7" t="s">
        <v>17111</v>
      </c>
      <c r="C4656" s="7" t="s">
        <v>17112</v>
      </c>
      <c r="D4656" s="194">
        <v>2016.0</v>
      </c>
      <c r="E4656" s="193"/>
      <c r="F4656" s="195" t="s">
        <v>22863</v>
      </c>
      <c r="G4656" s="200">
        <v>6.06475723E8</v>
      </c>
      <c r="H4656" s="197">
        <v>9.25</v>
      </c>
      <c r="I4656" s="7" t="s">
        <v>16815</v>
      </c>
      <c r="J4656" s="7" t="s">
        <v>17111</v>
      </c>
      <c r="K4656" s="7" t="s">
        <v>17112</v>
      </c>
      <c r="L4656" s="201" t="s">
        <v>16835</v>
      </c>
      <c r="M4656" s="194"/>
      <c r="N4656" s="194"/>
    </row>
    <row r="4657">
      <c r="A4657" s="193" t="s">
        <v>22862</v>
      </c>
      <c r="B4657" s="7" t="s">
        <v>17112</v>
      </c>
      <c r="C4657" s="7" t="s">
        <v>17111</v>
      </c>
      <c r="D4657" s="194">
        <v>2016.0</v>
      </c>
      <c r="E4657" s="193"/>
      <c r="F4657" s="195" t="s">
        <v>22863</v>
      </c>
      <c r="G4657" s="196">
        <v>6.06475723E8</v>
      </c>
      <c r="H4657" s="197">
        <v>9.25</v>
      </c>
      <c r="I4657" s="7" t="s">
        <v>16815</v>
      </c>
      <c r="J4657" s="7" t="s">
        <v>17112</v>
      </c>
      <c r="K4657" s="7" t="s">
        <v>17111</v>
      </c>
      <c r="L4657" s="198" t="s">
        <v>65</v>
      </c>
      <c r="M4657" s="194"/>
      <c r="N4657" s="194"/>
    </row>
    <row r="4658">
      <c r="A4658" s="193" t="s">
        <v>22864</v>
      </c>
      <c r="B4658" s="7" t="s">
        <v>16838</v>
      </c>
      <c r="C4658" s="7" t="s">
        <v>16867</v>
      </c>
      <c r="D4658" s="199"/>
      <c r="E4658" s="193"/>
      <c r="F4658" s="195" t="s">
        <v>22865</v>
      </c>
      <c r="G4658" s="196">
        <v>6.06408009E8</v>
      </c>
      <c r="H4658" s="197">
        <v>24.5799</v>
      </c>
      <c r="I4658" s="7" t="s">
        <v>16815</v>
      </c>
      <c r="J4658" s="7" t="s">
        <v>16838</v>
      </c>
      <c r="K4658" s="7" t="s">
        <v>16867</v>
      </c>
      <c r="L4658" s="198" t="s">
        <v>65</v>
      </c>
      <c r="M4658" s="199"/>
      <c r="N4658" s="199"/>
    </row>
    <row r="4659">
      <c r="A4659" s="193" t="s">
        <v>22866</v>
      </c>
      <c r="B4659" s="7" t="s">
        <v>175</v>
      </c>
      <c r="C4659" s="7" t="s">
        <v>16854</v>
      </c>
      <c r="D4659" s="194">
        <v>2010.0</v>
      </c>
      <c r="E4659" s="193"/>
      <c r="F4659" s="195" t="s">
        <v>22867</v>
      </c>
      <c r="G4659" s="196">
        <v>6.05281598E8</v>
      </c>
      <c r="H4659" s="197">
        <v>11.09</v>
      </c>
      <c r="I4659" s="7" t="s">
        <v>17872</v>
      </c>
      <c r="J4659" s="7" t="s">
        <v>175</v>
      </c>
      <c r="K4659" s="7" t="s">
        <v>16854</v>
      </c>
      <c r="L4659" s="198" t="s">
        <v>65</v>
      </c>
      <c r="M4659" s="194"/>
      <c r="N4659" s="194"/>
    </row>
    <row r="4660">
      <c r="A4660" s="193" t="s">
        <v>22868</v>
      </c>
      <c r="B4660" s="7" t="s">
        <v>187</v>
      </c>
      <c r="C4660" s="7" t="s">
        <v>16846</v>
      </c>
      <c r="D4660" s="194">
        <v>2021.0</v>
      </c>
      <c r="E4660" s="193"/>
      <c r="F4660" s="195" t="s">
        <v>22869</v>
      </c>
      <c r="G4660" s="196">
        <v>6.04872288E8</v>
      </c>
      <c r="H4660" s="197">
        <v>6.21</v>
      </c>
      <c r="I4660" s="7" t="s">
        <v>16815</v>
      </c>
      <c r="J4660" s="7" t="s">
        <v>187</v>
      </c>
      <c r="K4660" s="7" t="s">
        <v>16846</v>
      </c>
      <c r="L4660" s="198" t="s">
        <v>65</v>
      </c>
      <c r="M4660" s="194"/>
      <c r="N4660" s="194"/>
    </row>
    <row r="4661">
      <c r="A4661" s="193" t="s">
        <v>22870</v>
      </c>
      <c r="B4661" s="7" t="s">
        <v>16838</v>
      </c>
      <c r="C4661" s="7" t="s">
        <v>17202</v>
      </c>
      <c r="D4661" s="199"/>
      <c r="E4661" s="193"/>
      <c r="F4661" s="195" t="s">
        <v>22871</v>
      </c>
      <c r="G4661" s="196">
        <v>6.031812E8</v>
      </c>
      <c r="H4661" s="197">
        <v>19.73</v>
      </c>
      <c r="I4661" s="7" t="s">
        <v>16815</v>
      </c>
      <c r="J4661" s="7" t="s">
        <v>16838</v>
      </c>
      <c r="K4661" s="7" t="s">
        <v>17202</v>
      </c>
      <c r="L4661" s="198" t="s">
        <v>65</v>
      </c>
      <c r="M4661" s="199"/>
      <c r="N4661" s="199"/>
    </row>
    <row r="4662">
      <c r="A4662" s="193" t="s">
        <v>22872</v>
      </c>
      <c r="D4662" s="194">
        <v>2007.0</v>
      </c>
      <c r="E4662" s="193"/>
      <c r="F4662" s="195" t="s">
        <v>22873</v>
      </c>
      <c r="G4662" s="196">
        <v>6.02852529E8</v>
      </c>
      <c r="H4662" s="197">
        <v>47.35</v>
      </c>
      <c r="I4662" s="7" t="s">
        <v>16815</v>
      </c>
      <c r="L4662" s="198" t="s">
        <v>65</v>
      </c>
      <c r="M4662" s="194"/>
      <c r="N4662" s="194"/>
    </row>
    <row r="4663">
      <c r="A4663" s="193" t="s">
        <v>22874</v>
      </c>
      <c r="B4663" s="7" t="s">
        <v>169</v>
      </c>
      <c r="C4663" s="7" t="s">
        <v>19719</v>
      </c>
      <c r="D4663" s="199"/>
      <c r="E4663" s="193"/>
      <c r="F4663" s="195" t="s">
        <v>22875</v>
      </c>
      <c r="G4663" s="196">
        <v>6.02630707E8</v>
      </c>
      <c r="H4663" s="197">
        <v>123.15</v>
      </c>
      <c r="I4663" s="7" t="s">
        <v>16815</v>
      </c>
      <c r="J4663" s="7" t="s">
        <v>169</v>
      </c>
      <c r="K4663" s="7" t="s">
        <v>19719</v>
      </c>
      <c r="L4663" s="198" t="s">
        <v>65</v>
      </c>
      <c r="M4663" s="199"/>
      <c r="N4663" s="199"/>
    </row>
    <row r="4664">
      <c r="A4664" s="193" t="s">
        <v>22876</v>
      </c>
      <c r="B4664" s="7" t="s">
        <v>18679</v>
      </c>
      <c r="C4664" s="7" t="s">
        <v>16838</v>
      </c>
      <c r="D4664" s="194">
        <v>2021.0</v>
      </c>
      <c r="E4664" s="193"/>
      <c r="F4664" s="195" t="s">
        <v>22877</v>
      </c>
      <c r="G4664" s="200">
        <v>6.02509501E8</v>
      </c>
      <c r="H4664" s="197">
        <v>11.04</v>
      </c>
      <c r="I4664" s="7" t="s">
        <v>16815</v>
      </c>
      <c r="J4664" s="7" t="s">
        <v>18679</v>
      </c>
      <c r="K4664" s="7" t="s">
        <v>16838</v>
      </c>
      <c r="L4664" s="201" t="s">
        <v>16835</v>
      </c>
      <c r="M4664" s="194"/>
      <c r="N4664" s="194"/>
    </row>
    <row r="4665">
      <c r="A4665" s="193" t="s">
        <v>22876</v>
      </c>
      <c r="B4665" s="7" t="s">
        <v>16838</v>
      </c>
      <c r="C4665" s="7" t="s">
        <v>18679</v>
      </c>
      <c r="D4665" s="194">
        <v>2021.0</v>
      </c>
      <c r="E4665" s="193"/>
      <c r="F4665" s="195" t="s">
        <v>22877</v>
      </c>
      <c r="G4665" s="196">
        <v>6.02509501E8</v>
      </c>
      <c r="H4665" s="197">
        <v>11.04</v>
      </c>
      <c r="I4665" s="7" t="s">
        <v>16815</v>
      </c>
      <c r="J4665" s="7" t="s">
        <v>16838</v>
      </c>
      <c r="K4665" s="7" t="s">
        <v>18679</v>
      </c>
      <c r="L4665" s="198" t="s">
        <v>65</v>
      </c>
      <c r="M4665" s="194"/>
      <c r="N4665" s="194"/>
    </row>
    <row r="4666">
      <c r="A4666" s="193" t="s">
        <v>22878</v>
      </c>
      <c r="B4666" s="7" t="s">
        <v>16910</v>
      </c>
      <c r="C4666" s="7" t="s">
        <v>17119</v>
      </c>
      <c r="D4666" s="199"/>
      <c r="E4666" s="193"/>
      <c r="F4666" s="195" t="s">
        <v>22879</v>
      </c>
      <c r="G4666" s="196">
        <v>6.01465887E8</v>
      </c>
      <c r="H4666" s="197">
        <v>8.32</v>
      </c>
      <c r="I4666" s="7" t="s">
        <v>16856</v>
      </c>
      <c r="J4666" s="7" t="s">
        <v>16910</v>
      </c>
      <c r="K4666" s="7" t="s">
        <v>17119</v>
      </c>
      <c r="L4666" s="198" t="s">
        <v>65</v>
      </c>
      <c r="M4666" s="199"/>
      <c r="N4666" s="199"/>
    </row>
    <row r="4667">
      <c r="A4667" s="193" t="s">
        <v>22878</v>
      </c>
      <c r="B4667" s="7" t="s">
        <v>17119</v>
      </c>
      <c r="C4667" s="7" t="s">
        <v>16910</v>
      </c>
      <c r="D4667" s="199"/>
      <c r="E4667" s="193"/>
      <c r="F4667" s="195" t="s">
        <v>22879</v>
      </c>
      <c r="G4667" s="200">
        <v>6.01465887E8</v>
      </c>
      <c r="H4667" s="197">
        <v>8.32</v>
      </c>
      <c r="I4667" s="7" t="s">
        <v>16815</v>
      </c>
      <c r="J4667" s="7" t="s">
        <v>17119</v>
      </c>
      <c r="K4667" s="7" t="s">
        <v>16910</v>
      </c>
      <c r="L4667" s="201" t="s">
        <v>16835</v>
      </c>
      <c r="M4667" s="199"/>
      <c r="N4667" s="199"/>
    </row>
    <row r="4668">
      <c r="A4668" s="193" t="s">
        <v>22880</v>
      </c>
      <c r="B4668" s="7" t="s">
        <v>187</v>
      </c>
      <c r="C4668" s="7" t="s">
        <v>16846</v>
      </c>
      <c r="D4668" s="194">
        <v>2015.0</v>
      </c>
      <c r="E4668" s="193"/>
      <c r="F4668" s="195" t="s">
        <v>22881</v>
      </c>
      <c r="G4668" s="196">
        <v>6.01242904E8</v>
      </c>
      <c r="H4668" s="197">
        <v>12.22</v>
      </c>
      <c r="I4668" s="7" t="s">
        <v>16815</v>
      </c>
      <c r="J4668" s="7" t="s">
        <v>187</v>
      </c>
      <c r="K4668" s="7" t="s">
        <v>16846</v>
      </c>
      <c r="L4668" s="198" t="s">
        <v>65</v>
      </c>
      <c r="M4668" s="194"/>
      <c r="N4668" s="194"/>
    </row>
    <row r="4669">
      <c r="A4669" s="193" t="s">
        <v>22882</v>
      </c>
      <c r="B4669" s="7" t="s">
        <v>187</v>
      </c>
      <c r="C4669" s="7" t="s">
        <v>16846</v>
      </c>
      <c r="D4669" s="194">
        <v>2014.0</v>
      </c>
      <c r="E4669" s="193"/>
      <c r="F4669" s="195" t="s">
        <v>22883</v>
      </c>
      <c r="G4669" s="196">
        <v>6.0090136E8</v>
      </c>
      <c r="H4669" s="197">
        <v>13.76</v>
      </c>
      <c r="I4669" s="7" t="s">
        <v>16815</v>
      </c>
      <c r="J4669" s="7" t="s">
        <v>187</v>
      </c>
      <c r="K4669" s="7" t="s">
        <v>16846</v>
      </c>
      <c r="L4669" s="198" t="s">
        <v>65</v>
      </c>
      <c r="M4669" s="194"/>
      <c r="N4669" s="194"/>
    </row>
    <row r="4670">
      <c r="A4670" s="193" t="s">
        <v>22884</v>
      </c>
      <c r="B4670" s="7" t="s">
        <v>169</v>
      </c>
      <c r="C4670" s="7" t="s">
        <v>16899</v>
      </c>
      <c r="D4670" s="194">
        <v>2020.0</v>
      </c>
      <c r="E4670" s="193"/>
      <c r="F4670" s="195" t="s">
        <v>22885</v>
      </c>
      <c r="G4670" s="196">
        <v>5.9816882E8</v>
      </c>
      <c r="H4670" s="197">
        <v>9.19</v>
      </c>
      <c r="I4670" s="7" t="s">
        <v>16815</v>
      </c>
      <c r="J4670" s="7" t="s">
        <v>169</v>
      </c>
      <c r="K4670" s="7" t="s">
        <v>16899</v>
      </c>
      <c r="L4670" s="198" t="s">
        <v>65</v>
      </c>
      <c r="M4670" s="194"/>
      <c r="N4670" s="194"/>
    </row>
    <row r="4671">
      <c r="A4671" s="193" t="s">
        <v>22884</v>
      </c>
      <c r="B4671" s="7" t="s">
        <v>16899</v>
      </c>
      <c r="C4671" s="7" t="s">
        <v>169</v>
      </c>
      <c r="D4671" s="194">
        <v>2020.0</v>
      </c>
      <c r="E4671" s="193"/>
      <c r="F4671" s="195" t="s">
        <v>22885</v>
      </c>
      <c r="G4671" s="200">
        <v>5.9816882E8</v>
      </c>
      <c r="H4671" s="197">
        <v>9.19</v>
      </c>
      <c r="I4671" s="7" t="s">
        <v>16815</v>
      </c>
      <c r="J4671" s="7" t="s">
        <v>16899</v>
      </c>
      <c r="K4671" s="7" t="s">
        <v>169</v>
      </c>
      <c r="L4671" s="201" t="s">
        <v>16835</v>
      </c>
      <c r="M4671" s="194"/>
      <c r="N4671" s="194"/>
    </row>
    <row r="4672">
      <c r="A4672" s="193" t="s">
        <v>22886</v>
      </c>
      <c r="B4672" s="7" t="s">
        <v>16838</v>
      </c>
      <c r="C4672" s="7" t="s">
        <v>16867</v>
      </c>
      <c r="D4672" s="194">
        <v>1989.0</v>
      </c>
      <c r="E4672" s="193"/>
      <c r="F4672" s="195" t="s">
        <v>22887</v>
      </c>
      <c r="G4672" s="196">
        <v>5.96252466E8</v>
      </c>
      <c r="H4672" s="197">
        <v>50.55</v>
      </c>
      <c r="I4672" s="7" t="s">
        <v>16815</v>
      </c>
      <c r="J4672" s="7" t="s">
        <v>16838</v>
      </c>
      <c r="K4672" s="7" t="s">
        <v>16867</v>
      </c>
      <c r="L4672" s="198" t="s">
        <v>65</v>
      </c>
      <c r="M4672" s="194"/>
      <c r="N4672" s="194"/>
    </row>
    <row r="4673">
      <c r="A4673" s="193" t="s">
        <v>22888</v>
      </c>
      <c r="B4673" s="7" t="s">
        <v>187</v>
      </c>
      <c r="C4673" s="7" t="s">
        <v>16969</v>
      </c>
      <c r="D4673" s="194">
        <v>2017.0</v>
      </c>
      <c r="E4673" s="193"/>
      <c r="F4673" s="195" t="s">
        <v>22889</v>
      </c>
      <c r="G4673" s="196">
        <v>5.95511292E8</v>
      </c>
      <c r="H4673" s="197">
        <v>25.5</v>
      </c>
      <c r="I4673" s="7" t="s">
        <v>16815</v>
      </c>
      <c r="J4673" s="7" t="s">
        <v>187</v>
      </c>
      <c r="K4673" s="7" t="s">
        <v>16969</v>
      </c>
      <c r="L4673" s="198" t="s">
        <v>65</v>
      </c>
      <c r="M4673" s="194"/>
      <c r="N4673" s="194"/>
    </row>
    <row r="4674">
      <c r="A4674" s="193" t="s">
        <v>22890</v>
      </c>
      <c r="B4674" s="7" t="s">
        <v>175</v>
      </c>
      <c r="C4674" s="7" t="s">
        <v>17069</v>
      </c>
      <c r="D4674" s="194">
        <v>2003.0</v>
      </c>
      <c r="E4674" s="193"/>
      <c r="F4674" s="195" t="s">
        <v>22891</v>
      </c>
      <c r="G4674" s="196">
        <v>5.95272044E8</v>
      </c>
      <c r="H4674" s="197">
        <v>41.96</v>
      </c>
      <c r="I4674" s="7" t="s">
        <v>168</v>
      </c>
      <c r="J4674" s="7" t="s">
        <v>175</v>
      </c>
      <c r="K4674" s="7" t="s">
        <v>17069</v>
      </c>
      <c r="L4674" s="198" t="s">
        <v>65</v>
      </c>
      <c r="M4674" s="194"/>
      <c r="N4674" s="194"/>
    </row>
    <row r="4675">
      <c r="A4675" s="193" t="s">
        <v>22892</v>
      </c>
      <c r="B4675" s="7" t="s">
        <v>16582</v>
      </c>
      <c r="C4675" s="7" t="s">
        <v>16817</v>
      </c>
      <c r="D4675" s="199"/>
      <c r="E4675" s="193"/>
      <c r="F4675" s="195" t="s">
        <v>22893</v>
      </c>
      <c r="G4675" s="196">
        <v>5.95046971E8</v>
      </c>
      <c r="H4675" s="197">
        <v>3.55</v>
      </c>
      <c r="I4675" s="7" t="s">
        <v>16815</v>
      </c>
      <c r="J4675" s="7" t="s">
        <v>16582</v>
      </c>
      <c r="K4675" s="7" t="s">
        <v>16817</v>
      </c>
      <c r="L4675" s="198" t="s">
        <v>65</v>
      </c>
      <c r="M4675" s="199"/>
      <c r="N4675" s="199"/>
    </row>
    <row r="4676">
      <c r="A4676" s="193" t="s">
        <v>22894</v>
      </c>
      <c r="B4676" s="7" t="s">
        <v>187</v>
      </c>
      <c r="C4676" s="7" t="s">
        <v>19444</v>
      </c>
      <c r="D4676" s="194">
        <v>2020.0</v>
      </c>
      <c r="E4676" s="193"/>
      <c r="F4676" s="195" t="s">
        <v>22895</v>
      </c>
      <c r="G4676" s="196">
        <v>5.94287002E8</v>
      </c>
      <c r="H4676" s="197">
        <v>5.72</v>
      </c>
      <c r="I4676" s="7" t="s">
        <v>16815</v>
      </c>
      <c r="J4676" s="7" t="s">
        <v>187</v>
      </c>
      <c r="K4676" s="7" t="s">
        <v>19444</v>
      </c>
      <c r="L4676" s="198" t="s">
        <v>65</v>
      </c>
      <c r="M4676" s="194"/>
      <c r="N4676" s="194"/>
    </row>
    <row r="4677">
      <c r="A4677" s="193" t="s">
        <v>22896</v>
      </c>
      <c r="B4677" s="7" t="s">
        <v>187</v>
      </c>
      <c r="C4677" s="7" t="s">
        <v>16846</v>
      </c>
      <c r="D4677" s="194">
        <v>2018.0</v>
      </c>
      <c r="E4677" s="193"/>
      <c r="F4677" s="195" t="s">
        <v>22897</v>
      </c>
      <c r="G4677" s="196">
        <v>5.94257318E8</v>
      </c>
      <c r="H4677" s="197">
        <v>6.9</v>
      </c>
      <c r="I4677" s="7" t="s">
        <v>16815</v>
      </c>
      <c r="J4677" s="7" t="s">
        <v>187</v>
      </c>
      <c r="K4677" s="7" t="s">
        <v>16846</v>
      </c>
      <c r="L4677" s="198" t="s">
        <v>65</v>
      </c>
      <c r="M4677" s="194"/>
      <c r="N4677" s="194"/>
    </row>
    <row r="4678">
      <c r="A4678" s="193" t="s">
        <v>22898</v>
      </c>
      <c r="B4678" s="7" t="s">
        <v>187</v>
      </c>
      <c r="C4678" s="7" t="s">
        <v>16858</v>
      </c>
      <c r="D4678" s="194">
        <v>2018.0</v>
      </c>
      <c r="E4678" s="193"/>
      <c r="F4678" s="195" t="s">
        <v>22899</v>
      </c>
      <c r="G4678" s="196">
        <v>5.93645569E8</v>
      </c>
      <c r="H4678" s="197">
        <v>3.43</v>
      </c>
      <c r="I4678" s="7" t="s">
        <v>16815</v>
      </c>
      <c r="J4678" s="7" t="s">
        <v>187</v>
      </c>
      <c r="K4678" s="7" t="s">
        <v>16858</v>
      </c>
      <c r="L4678" s="198" t="s">
        <v>65</v>
      </c>
      <c r="M4678" s="194"/>
      <c r="N4678" s="194"/>
    </row>
    <row r="4679">
      <c r="A4679" s="193" t="s">
        <v>22900</v>
      </c>
      <c r="B4679" s="7" t="s">
        <v>16838</v>
      </c>
      <c r="C4679" s="7" t="s">
        <v>17002</v>
      </c>
      <c r="D4679" s="194">
        <v>2018.0</v>
      </c>
      <c r="E4679" s="193"/>
      <c r="F4679" s="195" t="s">
        <v>22901</v>
      </c>
      <c r="G4679" s="196">
        <v>5.92979234E8</v>
      </c>
      <c r="H4679" s="197">
        <v>19.51</v>
      </c>
      <c r="I4679" s="7" t="s">
        <v>16924</v>
      </c>
      <c r="J4679" s="7" t="s">
        <v>16838</v>
      </c>
      <c r="K4679" s="7" t="s">
        <v>17002</v>
      </c>
      <c r="L4679" s="198" t="s">
        <v>65</v>
      </c>
      <c r="M4679" s="194"/>
      <c r="N4679" s="194"/>
    </row>
    <row r="4680">
      <c r="A4680" s="193" t="s">
        <v>22902</v>
      </c>
      <c r="B4680" s="7" t="s">
        <v>175</v>
      </c>
      <c r="C4680" s="7" t="s">
        <v>17757</v>
      </c>
      <c r="D4680" s="199"/>
      <c r="E4680" s="193"/>
      <c r="F4680" s="195" t="s">
        <v>22903</v>
      </c>
      <c r="G4680" s="196">
        <v>5.91614566E8</v>
      </c>
      <c r="H4680" s="197">
        <v>44.42</v>
      </c>
      <c r="I4680" s="7" t="s">
        <v>16826</v>
      </c>
      <c r="J4680" s="7" t="s">
        <v>175</v>
      </c>
      <c r="K4680" s="7" t="s">
        <v>17757</v>
      </c>
      <c r="L4680" s="198" t="s">
        <v>65</v>
      </c>
      <c r="M4680" s="199"/>
      <c r="N4680" s="199"/>
    </row>
    <row r="4681">
      <c r="A4681" s="193" t="s">
        <v>22902</v>
      </c>
      <c r="B4681" s="7" t="s">
        <v>17757</v>
      </c>
      <c r="C4681" s="7" t="s">
        <v>175</v>
      </c>
      <c r="D4681" s="199"/>
      <c r="E4681" s="193"/>
      <c r="F4681" s="195" t="s">
        <v>22903</v>
      </c>
      <c r="G4681" s="200">
        <v>5.91614566E8</v>
      </c>
      <c r="H4681" s="197">
        <v>44.42</v>
      </c>
      <c r="I4681" s="7" t="s">
        <v>16815</v>
      </c>
      <c r="J4681" s="7" t="s">
        <v>17757</v>
      </c>
      <c r="K4681" s="7" t="s">
        <v>175</v>
      </c>
      <c r="L4681" s="201" t="s">
        <v>16835</v>
      </c>
      <c r="M4681" s="199"/>
      <c r="N4681" s="199"/>
    </row>
    <row r="4682">
      <c r="A4682" s="193" t="s">
        <v>22904</v>
      </c>
      <c r="B4682" s="7" t="s">
        <v>17321</v>
      </c>
      <c r="C4682" s="7" t="s">
        <v>169</v>
      </c>
      <c r="D4682" s="199"/>
      <c r="E4682" s="193"/>
      <c r="F4682" s="195" t="s">
        <v>22905</v>
      </c>
      <c r="G4682" s="200">
        <v>5.91362733E8</v>
      </c>
      <c r="H4682" s="197">
        <v>6.95</v>
      </c>
      <c r="I4682" s="7" t="s">
        <v>16815</v>
      </c>
      <c r="J4682" s="7" t="s">
        <v>17321</v>
      </c>
      <c r="K4682" s="7" t="s">
        <v>169</v>
      </c>
      <c r="L4682" s="201" t="s">
        <v>16835</v>
      </c>
      <c r="M4682" s="199"/>
      <c r="N4682" s="199"/>
    </row>
    <row r="4683">
      <c r="A4683" s="193" t="s">
        <v>22904</v>
      </c>
      <c r="B4683" s="7" t="s">
        <v>169</v>
      </c>
      <c r="C4683" s="7" t="s">
        <v>17321</v>
      </c>
      <c r="D4683" s="199"/>
      <c r="E4683" s="193"/>
      <c r="F4683" s="195" t="s">
        <v>22905</v>
      </c>
      <c r="G4683" s="196">
        <v>5.91362733E8</v>
      </c>
      <c r="H4683" s="197">
        <v>6.95</v>
      </c>
      <c r="I4683" s="7" t="s">
        <v>16815</v>
      </c>
      <c r="J4683" s="7" t="s">
        <v>169</v>
      </c>
      <c r="K4683" s="7" t="s">
        <v>17321</v>
      </c>
      <c r="L4683" s="198" t="s">
        <v>65</v>
      </c>
      <c r="M4683" s="199"/>
      <c r="N4683" s="199"/>
    </row>
    <row r="4684">
      <c r="A4684" s="193" t="s">
        <v>22906</v>
      </c>
      <c r="B4684" s="7" t="s">
        <v>16838</v>
      </c>
      <c r="C4684" s="7" t="s">
        <v>17016</v>
      </c>
      <c r="D4684" s="199"/>
      <c r="E4684" s="193"/>
      <c r="F4684" s="195" t="s">
        <v>22907</v>
      </c>
      <c r="G4684" s="196">
        <v>5.91023813E8</v>
      </c>
      <c r="H4684" s="197">
        <v>23.2699</v>
      </c>
      <c r="I4684" s="7" t="s">
        <v>16815</v>
      </c>
      <c r="J4684" s="7" t="s">
        <v>16838</v>
      </c>
      <c r="K4684" s="7" t="s">
        <v>17016</v>
      </c>
      <c r="L4684" s="198" t="s">
        <v>65</v>
      </c>
      <c r="M4684" s="199"/>
      <c r="N4684" s="199"/>
    </row>
    <row r="4685">
      <c r="A4685" s="193" t="s">
        <v>22908</v>
      </c>
      <c r="B4685" s="7" t="s">
        <v>187</v>
      </c>
      <c r="C4685" s="7" t="s">
        <v>16858</v>
      </c>
      <c r="D4685" s="199"/>
      <c r="E4685" s="193"/>
      <c r="F4685" s="195" t="s">
        <v>22909</v>
      </c>
      <c r="G4685" s="196">
        <v>5.89082114E8</v>
      </c>
      <c r="H4685" s="197">
        <v>6.24</v>
      </c>
      <c r="I4685" s="7" t="s">
        <v>16815</v>
      </c>
      <c r="J4685" s="7" t="s">
        <v>187</v>
      </c>
      <c r="K4685" s="7" t="s">
        <v>16858</v>
      </c>
      <c r="L4685" s="198" t="s">
        <v>65</v>
      </c>
      <c r="M4685" s="199"/>
      <c r="N4685" s="199"/>
    </row>
    <row r="4686">
      <c r="A4686" s="193" t="s">
        <v>22910</v>
      </c>
      <c r="B4686" s="7" t="s">
        <v>175</v>
      </c>
      <c r="C4686" s="7" t="s">
        <v>16842</v>
      </c>
      <c r="D4686" s="199"/>
      <c r="E4686" s="193"/>
      <c r="F4686" s="195" t="s">
        <v>22911</v>
      </c>
      <c r="G4686" s="196">
        <v>5.88673818E8</v>
      </c>
      <c r="H4686" s="197">
        <v>0.279</v>
      </c>
      <c r="I4686" s="7" t="s">
        <v>168</v>
      </c>
      <c r="J4686" s="7" t="s">
        <v>175</v>
      </c>
      <c r="K4686" s="7" t="s">
        <v>16842</v>
      </c>
      <c r="L4686" s="198" t="s">
        <v>65</v>
      </c>
      <c r="M4686" s="199"/>
      <c r="N4686" s="199"/>
    </row>
    <row r="4687">
      <c r="A4687" s="193" t="s">
        <v>22912</v>
      </c>
      <c r="B4687" s="7" t="s">
        <v>175</v>
      </c>
      <c r="C4687" s="7" t="s">
        <v>17606</v>
      </c>
      <c r="D4687" s="194">
        <v>1996.0</v>
      </c>
      <c r="E4687" s="193"/>
      <c r="F4687" s="195" t="s">
        <v>22913</v>
      </c>
      <c r="G4687" s="196">
        <v>5.87000252E8</v>
      </c>
      <c r="H4687" s="197">
        <v>47.36</v>
      </c>
      <c r="I4687" s="7" t="s">
        <v>16892</v>
      </c>
      <c r="J4687" s="7" t="s">
        <v>175</v>
      </c>
      <c r="K4687" s="7" t="s">
        <v>17606</v>
      </c>
      <c r="L4687" s="198" t="s">
        <v>65</v>
      </c>
      <c r="M4687" s="194"/>
      <c r="N4687" s="194"/>
    </row>
    <row r="4688">
      <c r="A4688" s="193" t="s">
        <v>22914</v>
      </c>
      <c r="B4688" s="7" t="s">
        <v>16838</v>
      </c>
      <c r="C4688" s="7" t="s">
        <v>17202</v>
      </c>
      <c r="D4688" s="199"/>
      <c r="E4688" s="193"/>
      <c r="F4688" s="195" t="s">
        <v>22915</v>
      </c>
      <c r="G4688" s="196">
        <v>5.86978157E8</v>
      </c>
      <c r="H4688" s="197">
        <v>19.2</v>
      </c>
      <c r="I4688" s="7" t="s">
        <v>16815</v>
      </c>
      <c r="J4688" s="7" t="s">
        <v>16838</v>
      </c>
      <c r="K4688" s="7" t="s">
        <v>17202</v>
      </c>
      <c r="L4688" s="198" t="s">
        <v>65</v>
      </c>
      <c r="M4688" s="199"/>
      <c r="N4688" s="199"/>
    </row>
    <row r="4689">
      <c r="A4689" s="193" t="s">
        <v>22916</v>
      </c>
      <c r="B4689" s="7" t="s">
        <v>16838</v>
      </c>
      <c r="C4689" s="7" t="s">
        <v>16867</v>
      </c>
      <c r="D4689" s="199"/>
      <c r="E4689" s="193"/>
      <c r="F4689" s="195" t="s">
        <v>22917</v>
      </c>
      <c r="G4689" s="196">
        <v>5.86954721E8</v>
      </c>
      <c r="H4689" s="197">
        <v>15.7</v>
      </c>
      <c r="I4689" s="7" t="s">
        <v>16815</v>
      </c>
      <c r="J4689" s="7" t="s">
        <v>16838</v>
      </c>
      <c r="K4689" s="7" t="s">
        <v>16867</v>
      </c>
      <c r="L4689" s="198" t="s">
        <v>65</v>
      </c>
      <c r="M4689" s="199"/>
      <c r="N4689" s="199"/>
    </row>
    <row r="4690">
      <c r="A4690" s="193" t="s">
        <v>22918</v>
      </c>
      <c r="B4690" s="7" t="s">
        <v>17202</v>
      </c>
      <c r="C4690" s="7" t="s">
        <v>16838</v>
      </c>
      <c r="D4690" s="194">
        <v>2020.0</v>
      </c>
      <c r="E4690" s="193"/>
      <c r="F4690" s="195" t="s">
        <v>22919</v>
      </c>
      <c r="G4690" s="200">
        <v>5.86241748E8</v>
      </c>
      <c r="H4690" s="197">
        <v>17.34</v>
      </c>
      <c r="I4690" s="7" t="s">
        <v>16815</v>
      </c>
      <c r="J4690" s="7" t="s">
        <v>17202</v>
      </c>
      <c r="K4690" s="7" t="s">
        <v>16838</v>
      </c>
      <c r="L4690" s="201" t="s">
        <v>16835</v>
      </c>
      <c r="M4690" s="194"/>
      <c r="N4690" s="194"/>
    </row>
    <row r="4691">
      <c r="A4691" s="193" t="s">
        <v>22918</v>
      </c>
      <c r="B4691" s="7" t="s">
        <v>16838</v>
      </c>
      <c r="C4691" s="7" t="s">
        <v>17202</v>
      </c>
      <c r="D4691" s="194">
        <v>2020.0</v>
      </c>
      <c r="E4691" s="193"/>
      <c r="F4691" s="195" t="s">
        <v>22919</v>
      </c>
      <c r="G4691" s="196">
        <v>5.86241748E8</v>
      </c>
      <c r="H4691" s="197">
        <v>17.34</v>
      </c>
      <c r="I4691" s="7" t="s">
        <v>16815</v>
      </c>
      <c r="J4691" s="7" t="s">
        <v>16838</v>
      </c>
      <c r="K4691" s="7" t="s">
        <v>17202</v>
      </c>
      <c r="L4691" s="198" t="s">
        <v>65</v>
      </c>
      <c r="M4691" s="194"/>
      <c r="N4691" s="194"/>
    </row>
    <row r="4692">
      <c r="A4692" s="193" t="s">
        <v>22920</v>
      </c>
      <c r="B4692" s="7" t="s">
        <v>19579</v>
      </c>
      <c r="C4692" s="7" t="s">
        <v>16838</v>
      </c>
      <c r="D4692" s="194">
        <v>2020.0</v>
      </c>
      <c r="E4692" s="193"/>
      <c r="F4692" s="195" t="s">
        <v>22921</v>
      </c>
      <c r="G4692" s="200">
        <v>5.85732555E8</v>
      </c>
      <c r="H4692" s="197">
        <v>9.85</v>
      </c>
      <c r="I4692" s="193" t="s">
        <v>16815</v>
      </c>
      <c r="J4692" s="7" t="s">
        <v>19579</v>
      </c>
      <c r="K4692" s="7" t="s">
        <v>16838</v>
      </c>
      <c r="L4692" s="201" t="s">
        <v>16835</v>
      </c>
      <c r="M4692" s="194"/>
      <c r="N4692" s="194"/>
    </row>
    <row r="4693">
      <c r="A4693" s="193" t="s">
        <v>22920</v>
      </c>
      <c r="B4693" s="7" t="s">
        <v>16838</v>
      </c>
      <c r="C4693" s="7" t="s">
        <v>19579</v>
      </c>
      <c r="D4693" s="194">
        <v>2020.0</v>
      </c>
      <c r="E4693" s="193"/>
      <c r="F4693" s="195" t="s">
        <v>22921</v>
      </c>
      <c r="G4693" s="196">
        <v>5.85732555E8</v>
      </c>
      <c r="H4693" s="197">
        <v>9.85</v>
      </c>
      <c r="I4693" s="7" t="s">
        <v>16815</v>
      </c>
      <c r="J4693" s="7" t="s">
        <v>16838</v>
      </c>
      <c r="K4693" s="7" t="s">
        <v>19579</v>
      </c>
      <c r="L4693" s="198" t="s">
        <v>65</v>
      </c>
      <c r="M4693" s="194"/>
      <c r="N4693" s="194"/>
    </row>
    <row r="4694">
      <c r="A4694" s="193" t="s">
        <v>22922</v>
      </c>
      <c r="B4694" s="7" t="s">
        <v>175</v>
      </c>
      <c r="C4694" s="7" t="s">
        <v>17812</v>
      </c>
      <c r="D4694" s="199"/>
      <c r="E4694" s="193"/>
      <c r="F4694" s="195" t="s">
        <v>22923</v>
      </c>
      <c r="G4694" s="196">
        <v>5.85061543E8</v>
      </c>
      <c r="H4694" s="197">
        <v>21.48</v>
      </c>
      <c r="I4694" s="7" t="s">
        <v>16892</v>
      </c>
      <c r="J4694" s="7" t="s">
        <v>175</v>
      </c>
      <c r="K4694" s="7" t="s">
        <v>17812</v>
      </c>
      <c r="L4694" s="198" t="s">
        <v>65</v>
      </c>
      <c r="M4694" s="199"/>
      <c r="N4694" s="199"/>
    </row>
    <row r="4695">
      <c r="A4695" s="193" t="s">
        <v>22924</v>
      </c>
      <c r="B4695" s="7" t="s">
        <v>175</v>
      </c>
      <c r="C4695" s="7" t="s">
        <v>16942</v>
      </c>
      <c r="D4695" s="194">
        <v>2012.0</v>
      </c>
      <c r="E4695" s="193"/>
      <c r="F4695" s="195" t="s">
        <v>22925</v>
      </c>
      <c r="G4695" s="196">
        <v>5.84781575E8</v>
      </c>
      <c r="H4695" s="197">
        <v>33.7</v>
      </c>
      <c r="I4695" s="7" t="s">
        <v>16908</v>
      </c>
      <c r="J4695" s="7" t="s">
        <v>175</v>
      </c>
      <c r="K4695" s="7" t="s">
        <v>16942</v>
      </c>
      <c r="L4695" s="198" t="s">
        <v>65</v>
      </c>
      <c r="M4695" s="194"/>
      <c r="N4695" s="194"/>
    </row>
    <row r="4696">
      <c r="A4696" s="193" t="s">
        <v>22926</v>
      </c>
      <c r="B4696" s="7" t="s">
        <v>16582</v>
      </c>
      <c r="C4696" s="7" t="s">
        <v>16899</v>
      </c>
      <c r="D4696" s="199"/>
      <c r="E4696" s="193"/>
      <c r="F4696" s="195" t="s">
        <v>22927</v>
      </c>
      <c r="G4696" s="196">
        <v>5.84606332E8</v>
      </c>
      <c r="H4696" s="197">
        <v>23.53</v>
      </c>
      <c r="I4696" s="7" t="s">
        <v>16815</v>
      </c>
      <c r="J4696" s="7" t="s">
        <v>16582</v>
      </c>
      <c r="K4696" s="7" t="s">
        <v>16899</v>
      </c>
      <c r="L4696" s="198" t="s">
        <v>65</v>
      </c>
      <c r="M4696" s="199"/>
      <c r="N4696" s="199"/>
    </row>
    <row r="4697">
      <c r="A4697" s="193" t="s">
        <v>22928</v>
      </c>
      <c r="B4697" s="7" t="s">
        <v>16838</v>
      </c>
      <c r="C4697" s="7" t="s">
        <v>18956</v>
      </c>
      <c r="D4697" s="199"/>
      <c r="E4697" s="193"/>
      <c r="F4697" s="195" t="s">
        <v>22929</v>
      </c>
      <c r="G4697" s="196">
        <v>5.83896348E8</v>
      </c>
      <c r="H4697" s="197">
        <v>16.66</v>
      </c>
      <c r="I4697" s="7" t="s">
        <v>16815</v>
      </c>
      <c r="J4697" s="7" t="s">
        <v>16838</v>
      </c>
      <c r="K4697" s="7" t="s">
        <v>18956</v>
      </c>
      <c r="L4697" s="198" t="s">
        <v>65</v>
      </c>
      <c r="M4697" s="199"/>
      <c r="N4697" s="199"/>
    </row>
    <row r="4698">
      <c r="A4698" s="193" t="s">
        <v>22930</v>
      </c>
      <c r="B4698" s="7" t="s">
        <v>16838</v>
      </c>
      <c r="C4698" s="7" t="s">
        <v>16867</v>
      </c>
      <c r="D4698" s="194">
        <v>2019.0</v>
      </c>
      <c r="E4698" s="193"/>
      <c r="F4698" s="195" t="s">
        <v>22931</v>
      </c>
      <c r="G4698" s="196">
        <v>5.83781192E8</v>
      </c>
      <c r="H4698" s="197">
        <v>18.41</v>
      </c>
      <c r="I4698" s="7" t="s">
        <v>16815</v>
      </c>
      <c r="J4698" s="7" t="s">
        <v>16838</v>
      </c>
      <c r="K4698" s="7" t="s">
        <v>16867</v>
      </c>
      <c r="L4698" s="198" t="s">
        <v>65</v>
      </c>
      <c r="M4698" s="194"/>
      <c r="N4698" s="194"/>
    </row>
    <row r="4699">
      <c r="A4699" s="193" t="s">
        <v>22932</v>
      </c>
      <c r="B4699" s="7" t="s">
        <v>16885</v>
      </c>
      <c r="C4699" s="7" t="s">
        <v>18381</v>
      </c>
      <c r="D4699" s="199"/>
      <c r="E4699" s="193"/>
      <c r="F4699" s="195" t="s">
        <v>22933</v>
      </c>
      <c r="G4699" s="196">
        <v>5.83526574E8</v>
      </c>
      <c r="H4699" s="197">
        <v>35.23</v>
      </c>
      <c r="I4699" s="7" t="s">
        <v>16888</v>
      </c>
      <c r="J4699" s="7" t="s">
        <v>16885</v>
      </c>
      <c r="K4699" s="7" t="s">
        <v>18381</v>
      </c>
      <c r="L4699" s="198" t="s">
        <v>65</v>
      </c>
      <c r="M4699" s="199"/>
      <c r="N4699" s="199"/>
    </row>
    <row r="4700">
      <c r="A4700" s="193" t="s">
        <v>22932</v>
      </c>
      <c r="B4700" s="7" t="s">
        <v>18381</v>
      </c>
      <c r="C4700" s="7" t="s">
        <v>16885</v>
      </c>
      <c r="D4700" s="199"/>
      <c r="E4700" s="193"/>
      <c r="F4700" s="195" t="s">
        <v>22933</v>
      </c>
      <c r="G4700" s="200">
        <v>5.83526574E8</v>
      </c>
      <c r="H4700" s="197">
        <v>35.23</v>
      </c>
      <c r="I4700" s="7" t="s">
        <v>16815</v>
      </c>
      <c r="J4700" s="7" t="s">
        <v>18381</v>
      </c>
      <c r="K4700" s="7" t="s">
        <v>16885</v>
      </c>
      <c r="L4700" s="201" t="s">
        <v>16835</v>
      </c>
      <c r="M4700" s="199"/>
      <c r="N4700" s="199"/>
    </row>
    <row r="4701">
      <c r="A4701" s="193" t="s">
        <v>22934</v>
      </c>
      <c r="B4701" s="7" t="s">
        <v>16582</v>
      </c>
      <c r="C4701" s="7" t="s">
        <v>16828</v>
      </c>
      <c r="D4701" s="194">
        <v>2010.0</v>
      </c>
      <c r="E4701" s="193"/>
      <c r="F4701" s="195" t="s">
        <v>22935</v>
      </c>
      <c r="G4701" s="196">
        <v>5.82919251E8</v>
      </c>
      <c r="H4701" s="197">
        <v>20.98</v>
      </c>
      <c r="I4701" s="7" t="s">
        <v>16815</v>
      </c>
      <c r="J4701" s="7" t="s">
        <v>16582</v>
      </c>
      <c r="K4701" s="7" t="s">
        <v>16828</v>
      </c>
      <c r="L4701" s="198" t="s">
        <v>65</v>
      </c>
      <c r="M4701" s="194"/>
      <c r="N4701" s="194"/>
    </row>
    <row r="4702">
      <c r="A4702" s="193" t="s">
        <v>22936</v>
      </c>
      <c r="B4702" s="7" t="s">
        <v>19579</v>
      </c>
      <c r="C4702" s="7" t="s">
        <v>16838</v>
      </c>
      <c r="D4702" s="199"/>
      <c r="E4702" s="193"/>
      <c r="F4702" s="195" t="s">
        <v>22937</v>
      </c>
      <c r="G4702" s="200">
        <v>5.82013112E8</v>
      </c>
      <c r="H4702" s="197">
        <v>8.63</v>
      </c>
      <c r="I4702" s="193" t="s">
        <v>16815</v>
      </c>
      <c r="J4702" s="7" t="s">
        <v>19579</v>
      </c>
      <c r="K4702" s="7" t="s">
        <v>16838</v>
      </c>
      <c r="L4702" s="201" t="s">
        <v>16835</v>
      </c>
      <c r="M4702" s="199"/>
      <c r="N4702" s="199"/>
    </row>
    <row r="4703">
      <c r="A4703" s="193" t="s">
        <v>22936</v>
      </c>
      <c r="B4703" s="7" t="s">
        <v>16838</v>
      </c>
      <c r="C4703" s="7" t="s">
        <v>19579</v>
      </c>
      <c r="D4703" s="199"/>
      <c r="E4703" s="193"/>
      <c r="F4703" s="195" t="s">
        <v>22937</v>
      </c>
      <c r="G4703" s="196">
        <v>5.82013112E8</v>
      </c>
      <c r="H4703" s="197">
        <v>8.63</v>
      </c>
      <c r="I4703" s="7" t="s">
        <v>16815</v>
      </c>
      <c r="J4703" s="7" t="s">
        <v>16838</v>
      </c>
      <c r="K4703" s="7" t="s">
        <v>19579</v>
      </c>
      <c r="L4703" s="198" t="s">
        <v>65</v>
      </c>
      <c r="M4703" s="199"/>
      <c r="N4703" s="199"/>
    </row>
    <row r="4704">
      <c r="A4704" s="193" t="s">
        <v>22938</v>
      </c>
      <c r="B4704" s="7" t="s">
        <v>175</v>
      </c>
      <c r="C4704" s="7" t="s">
        <v>16942</v>
      </c>
      <c r="D4704" s="194">
        <v>2019.0</v>
      </c>
      <c r="E4704" s="193"/>
      <c r="F4704" s="195" t="s">
        <v>22939</v>
      </c>
      <c r="G4704" s="196">
        <v>5.80446699E8</v>
      </c>
      <c r="H4704" s="197">
        <v>52.26</v>
      </c>
      <c r="I4704" s="7" t="s">
        <v>168</v>
      </c>
      <c r="J4704" s="7" t="s">
        <v>175</v>
      </c>
      <c r="K4704" s="7" t="s">
        <v>16942</v>
      </c>
      <c r="L4704" s="198" t="s">
        <v>65</v>
      </c>
      <c r="M4704" s="194"/>
      <c r="N4704" s="194"/>
    </row>
    <row r="4705">
      <c r="A4705" s="193" t="s">
        <v>22940</v>
      </c>
      <c r="B4705" s="7" t="s">
        <v>169</v>
      </c>
      <c r="C4705" s="7" t="s">
        <v>17619</v>
      </c>
      <c r="D4705" s="199"/>
      <c r="E4705" s="193"/>
      <c r="F4705" s="195" t="s">
        <v>22941</v>
      </c>
      <c r="G4705" s="196">
        <v>5.7964974E8</v>
      </c>
      <c r="H4705" s="197">
        <v>6.85</v>
      </c>
      <c r="I4705" s="7" t="s">
        <v>16815</v>
      </c>
      <c r="J4705" s="7" t="s">
        <v>169</v>
      </c>
      <c r="K4705" s="7" t="s">
        <v>17619</v>
      </c>
      <c r="L4705" s="198" t="s">
        <v>65</v>
      </c>
      <c r="M4705" s="199"/>
      <c r="N4705" s="199"/>
    </row>
    <row r="4706">
      <c r="A4706" s="193" t="s">
        <v>22942</v>
      </c>
      <c r="B4706" s="7" t="s">
        <v>175</v>
      </c>
      <c r="C4706" s="7" t="s">
        <v>17084</v>
      </c>
      <c r="D4706" s="199"/>
      <c r="E4706" s="193"/>
      <c r="F4706" s="195" t="s">
        <v>22943</v>
      </c>
      <c r="G4706" s="196">
        <v>5.78418584E8</v>
      </c>
      <c r="H4706" s="197">
        <v>9.95</v>
      </c>
      <c r="I4706" s="7" t="s">
        <v>16908</v>
      </c>
      <c r="J4706" s="7" t="s">
        <v>175</v>
      </c>
      <c r="K4706" s="7" t="s">
        <v>17084</v>
      </c>
      <c r="L4706" s="198" t="s">
        <v>65</v>
      </c>
      <c r="M4706" s="199"/>
      <c r="N4706" s="199"/>
    </row>
    <row r="4707">
      <c r="A4707" s="193" t="s">
        <v>22942</v>
      </c>
      <c r="B4707" s="7" t="s">
        <v>17084</v>
      </c>
      <c r="C4707" s="7" t="s">
        <v>175</v>
      </c>
      <c r="D4707" s="199"/>
      <c r="E4707" s="193"/>
      <c r="F4707" s="195" t="s">
        <v>22943</v>
      </c>
      <c r="G4707" s="200">
        <v>5.78418584E8</v>
      </c>
      <c r="H4707" s="197">
        <v>9.95</v>
      </c>
      <c r="I4707" s="7" t="s">
        <v>16815</v>
      </c>
      <c r="J4707" s="7" t="s">
        <v>17084</v>
      </c>
      <c r="K4707" s="7" t="s">
        <v>175</v>
      </c>
      <c r="L4707" s="201" t="s">
        <v>16835</v>
      </c>
      <c r="M4707" s="199"/>
      <c r="N4707" s="199"/>
    </row>
    <row r="4708">
      <c r="A4708" s="193" t="s">
        <v>22944</v>
      </c>
      <c r="B4708" s="7" t="s">
        <v>175</v>
      </c>
      <c r="C4708" s="7" t="s">
        <v>17025</v>
      </c>
      <c r="D4708" s="194">
        <v>2014.0</v>
      </c>
      <c r="E4708" s="193"/>
      <c r="F4708" s="195" t="s">
        <v>22945</v>
      </c>
      <c r="G4708" s="196">
        <v>5.78312459E8</v>
      </c>
      <c r="H4708" s="197">
        <v>17.99</v>
      </c>
      <c r="I4708" s="7" t="s">
        <v>16908</v>
      </c>
      <c r="J4708" s="7" t="s">
        <v>175</v>
      </c>
      <c r="K4708" s="7" t="s">
        <v>17025</v>
      </c>
      <c r="L4708" s="198" t="s">
        <v>65</v>
      </c>
      <c r="M4708" s="194"/>
      <c r="N4708" s="194"/>
    </row>
    <row r="4709">
      <c r="A4709" s="193" t="s">
        <v>22946</v>
      </c>
      <c r="B4709" s="7" t="s">
        <v>187</v>
      </c>
      <c r="C4709" s="7" t="s">
        <v>17256</v>
      </c>
      <c r="D4709" s="194">
        <v>2017.0</v>
      </c>
      <c r="E4709" s="193"/>
      <c r="F4709" s="195" t="s">
        <v>22947</v>
      </c>
      <c r="G4709" s="196">
        <v>5.78246366E8</v>
      </c>
      <c r="H4709" s="197">
        <v>19.65</v>
      </c>
      <c r="I4709" s="7" t="s">
        <v>16815</v>
      </c>
      <c r="J4709" s="7" t="s">
        <v>187</v>
      </c>
      <c r="K4709" s="7" t="s">
        <v>17256</v>
      </c>
      <c r="L4709" s="198" t="s">
        <v>65</v>
      </c>
      <c r="M4709" s="194"/>
      <c r="N4709" s="194"/>
    </row>
    <row r="4710">
      <c r="A4710" s="193" t="s">
        <v>22948</v>
      </c>
      <c r="B4710" s="7" t="s">
        <v>169</v>
      </c>
      <c r="C4710" s="7" t="s">
        <v>17321</v>
      </c>
      <c r="D4710" s="194">
        <v>1994.0</v>
      </c>
      <c r="E4710" s="193"/>
      <c r="F4710" s="195" t="s">
        <v>22949</v>
      </c>
      <c r="G4710" s="196">
        <v>5.78224231E8</v>
      </c>
      <c r="H4710" s="197">
        <v>51.94</v>
      </c>
      <c r="I4710" s="7" t="s">
        <v>16815</v>
      </c>
      <c r="J4710" s="7" t="s">
        <v>169</v>
      </c>
      <c r="K4710" s="7" t="s">
        <v>17321</v>
      </c>
      <c r="L4710" s="198" t="s">
        <v>65</v>
      </c>
      <c r="M4710" s="194"/>
      <c r="N4710" s="194"/>
    </row>
    <row r="4711">
      <c r="A4711" s="193" t="s">
        <v>22950</v>
      </c>
      <c r="B4711" s="7" t="s">
        <v>17532</v>
      </c>
      <c r="C4711" s="7" t="s">
        <v>169</v>
      </c>
      <c r="D4711" s="199"/>
      <c r="E4711" s="193"/>
      <c r="F4711" s="195" t="s">
        <v>22951</v>
      </c>
      <c r="G4711" s="200">
        <v>5.7818031E8</v>
      </c>
      <c r="H4711" s="197">
        <v>29.72</v>
      </c>
      <c r="I4711" s="7" t="s">
        <v>16815</v>
      </c>
      <c r="J4711" s="7" t="s">
        <v>17532</v>
      </c>
      <c r="K4711" s="7" t="s">
        <v>169</v>
      </c>
      <c r="L4711" s="201" t="s">
        <v>16835</v>
      </c>
      <c r="M4711" s="199"/>
      <c r="N4711" s="199"/>
    </row>
    <row r="4712">
      <c r="A4712" s="193" t="s">
        <v>22950</v>
      </c>
      <c r="B4712" s="7" t="s">
        <v>169</v>
      </c>
      <c r="C4712" s="7" t="s">
        <v>17532</v>
      </c>
      <c r="D4712" s="199"/>
      <c r="E4712" s="193"/>
      <c r="F4712" s="195" t="s">
        <v>22951</v>
      </c>
      <c r="G4712" s="196">
        <v>5.7818031E8</v>
      </c>
      <c r="H4712" s="197">
        <v>29.72</v>
      </c>
      <c r="I4712" s="7" t="s">
        <v>16815</v>
      </c>
      <c r="J4712" s="7" t="s">
        <v>169</v>
      </c>
      <c r="K4712" s="7" t="s">
        <v>17532</v>
      </c>
      <c r="L4712" s="198" t="s">
        <v>65</v>
      </c>
      <c r="M4712" s="199"/>
      <c r="N4712" s="199"/>
    </row>
    <row r="4713">
      <c r="A4713" s="193" t="s">
        <v>22952</v>
      </c>
      <c r="B4713" s="7" t="s">
        <v>16838</v>
      </c>
      <c r="C4713" s="7" t="s">
        <v>16867</v>
      </c>
      <c r="D4713" s="199"/>
      <c r="E4713" s="193"/>
      <c r="F4713" s="195" t="s">
        <v>22953</v>
      </c>
      <c r="G4713" s="196">
        <v>5.77545535E8</v>
      </c>
      <c r="H4713" s="197">
        <v>23.41</v>
      </c>
      <c r="I4713" s="7" t="s">
        <v>16815</v>
      </c>
      <c r="J4713" s="7" t="s">
        <v>16838</v>
      </c>
      <c r="K4713" s="7" t="s">
        <v>16867</v>
      </c>
      <c r="L4713" s="198" t="s">
        <v>65</v>
      </c>
      <c r="M4713" s="199"/>
      <c r="N4713" s="199"/>
    </row>
    <row r="4714">
      <c r="A4714" s="193" t="s">
        <v>22954</v>
      </c>
      <c r="B4714" s="7" t="s">
        <v>175</v>
      </c>
      <c r="C4714" s="7" t="s">
        <v>17480</v>
      </c>
      <c r="D4714" s="194">
        <v>2007.0</v>
      </c>
      <c r="E4714" s="193"/>
      <c r="F4714" s="195" t="s">
        <v>22955</v>
      </c>
      <c r="G4714" s="196">
        <v>5.77085114E8</v>
      </c>
      <c r="H4714" s="197">
        <v>25.24</v>
      </c>
      <c r="I4714" s="7" t="s">
        <v>16903</v>
      </c>
      <c r="J4714" s="7" t="s">
        <v>175</v>
      </c>
      <c r="K4714" s="7" t="s">
        <v>17480</v>
      </c>
      <c r="L4714" s="198" t="s">
        <v>65</v>
      </c>
      <c r="M4714" s="194"/>
      <c r="N4714" s="194"/>
    </row>
    <row r="4715">
      <c r="A4715" s="193" t="s">
        <v>22956</v>
      </c>
      <c r="B4715" s="7" t="s">
        <v>158</v>
      </c>
      <c r="C4715" s="7" t="s">
        <v>16864</v>
      </c>
      <c r="D4715" s="194">
        <v>2023.0</v>
      </c>
      <c r="E4715" s="193"/>
      <c r="F4715" s="195" t="s">
        <v>22957</v>
      </c>
      <c r="G4715" s="196">
        <v>5.765625E8</v>
      </c>
      <c r="H4715" s="197">
        <v>18.75</v>
      </c>
      <c r="I4715" s="7" t="s">
        <v>16953</v>
      </c>
      <c r="J4715" s="7" t="s">
        <v>158</v>
      </c>
      <c r="K4715" s="7" t="s">
        <v>16864</v>
      </c>
      <c r="L4715" s="198" t="s">
        <v>65</v>
      </c>
      <c r="M4715" s="194"/>
      <c r="N4715" s="194"/>
    </row>
    <row r="4716">
      <c r="A4716" s="193" t="s">
        <v>22956</v>
      </c>
      <c r="B4716" s="7" t="s">
        <v>16864</v>
      </c>
      <c r="C4716" s="7" t="s">
        <v>158</v>
      </c>
      <c r="D4716" s="194">
        <v>2023.0</v>
      </c>
      <c r="E4716" s="193"/>
      <c r="F4716" s="195" t="s">
        <v>22957</v>
      </c>
      <c r="G4716" s="200">
        <v>5.765625E8</v>
      </c>
      <c r="H4716" s="197">
        <v>18.75</v>
      </c>
      <c r="I4716" s="7" t="s">
        <v>16815</v>
      </c>
      <c r="J4716" s="7" t="s">
        <v>16864</v>
      </c>
      <c r="K4716" s="7" t="s">
        <v>158</v>
      </c>
      <c r="L4716" s="201" t="s">
        <v>16835</v>
      </c>
      <c r="M4716" s="194"/>
      <c r="N4716" s="194"/>
    </row>
    <row r="4717">
      <c r="A4717" s="193" t="s">
        <v>22958</v>
      </c>
      <c r="B4717" s="7" t="s">
        <v>175</v>
      </c>
      <c r="C4717" s="7" t="s">
        <v>17233</v>
      </c>
      <c r="D4717" s="199"/>
      <c r="E4717" s="193"/>
      <c r="F4717" s="195" t="s">
        <v>22959</v>
      </c>
      <c r="G4717" s="196">
        <v>5.73421204E8</v>
      </c>
      <c r="H4717" s="197">
        <v>13.48</v>
      </c>
      <c r="I4717" s="7" t="s">
        <v>16908</v>
      </c>
      <c r="J4717" s="7" t="s">
        <v>175</v>
      </c>
      <c r="K4717" s="7" t="s">
        <v>17233</v>
      </c>
      <c r="L4717" s="198" t="s">
        <v>65</v>
      </c>
      <c r="M4717" s="199"/>
      <c r="N4717" s="199"/>
    </row>
    <row r="4718">
      <c r="A4718" s="193" t="s">
        <v>22958</v>
      </c>
      <c r="B4718" s="7" t="s">
        <v>17233</v>
      </c>
      <c r="C4718" s="7" t="s">
        <v>175</v>
      </c>
      <c r="D4718" s="199"/>
      <c r="E4718" s="193"/>
      <c r="F4718" s="195" t="s">
        <v>22959</v>
      </c>
      <c r="G4718" s="200">
        <v>5.73421204E8</v>
      </c>
      <c r="H4718" s="197">
        <v>13.48</v>
      </c>
      <c r="I4718" s="7" t="s">
        <v>16815</v>
      </c>
      <c r="J4718" s="7" t="s">
        <v>17233</v>
      </c>
      <c r="K4718" s="7" t="s">
        <v>175</v>
      </c>
      <c r="L4718" s="201" t="s">
        <v>16835</v>
      </c>
      <c r="M4718" s="199"/>
      <c r="N4718" s="199"/>
    </row>
    <row r="4719">
      <c r="A4719" s="193" t="s">
        <v>22960</v>
      </c>
      <c r="B4719" s="7" t="s">
        <v>19579</v>
      </c>
      <c r="C4719" s="7" t="s">
        <v>16838</v>
      </c>
      <c r="D4719" s="194">
        <v>2014.0</v>
      </c>
      <c r="E4719" s="193"/>
      <c r="F4719" s="195" t="s">
        <v>22961</v>
      </c>
      <c r="G4719" s="200">
        <v>5.72654227E8</v>
      </c>
      <c r="H4719" s="197">
        <v>9.44</v>
      </c>
      <c r="I4719" s="7" t="s">
        <v>16815</v>
      </c>
      <c r="J4719" s="7" t="s">
        <v>19579</v>
      </c>
      <c r="K4719" s="7" t="s">
        <v>16838</v>
      </c>
      <c r="L4719" s="201" t="s">
        <v>16835</v>
      </c>
      <c r="M4719" s="194"/>
      <c r="N4719" s="194"/>
    </row>
    <row r="4720">
      <c r="A4720" s="193" t="s">
        <v>22960</v>
      </c>
      <c r="B4720" s="7" t="s">
        <v>16838</v>
      </c>
      <c r="C4720" s="7" t="s">
        <v>19579</v>
      </c>
      <c r="D4720" s="194">
        <v>2014.0</v>
      </c>
      <c r="E4720" s="193"/>
      <c r="F4720" s="195" t="s">
        <v>22961</v>
      </c>
      <c r="G4720" s="196">
        <v>5.72654227E8</v>
      </c>
      <c r="H4720" s="197">
        <v>9.44</v>
      </c>
      <c r="I4720" s="7" t="s">
        <v>16815</v>
      </c>
      <c r="J4720" s="7" t="s">
        <v>16838</v>
      </c>
      <c r="K4720" s="7" t="s">
        <v>19579</v>
      </c>
      <c r="L4720" s="198" t="s">
        <v>65</v>
      </c>
      <c r="M4720" s="194"/>
      <c r="N4720" s="194"/>
    </row>
    <row r="4721">
      <c r="A4721" s="193" t="s">
        <v>22962</v>
      </c>
      <c r="B4721" s="7" t="s">
        <v>16926</v>
      </c>
      <c r="C4721" s="7" t="s">
        <v>16957</v>
      </c>
      <c r="D4721" s="194">
        <v>2015.0</v>
      </c>
      <c r="E4721" s="193"/>
      <c r="F4721" s="195" t="s">
        <v>22963</v>
      </c>
      <c r="G4721" s="196">
        <v>5.71605242E8</v>
      </c>
      <c r="H4721" s="197">
        <v>30.01</v>
      </c>
      <c r="I4721" s="7" t="s">
        <v>16815</v>
      </c>
      <c r="J4721" s="7" t="s">
        <v>16926</v>
      </c>
      <c r="K4721" s="7" t="s">
        <v>16957</v>
      </c>
      <c r="L4721" s="198" t="s">
        <v>65</v>
      </c>
      <c r="M4721" s="194"/>
      <c r="N4721" s="194"/>
    </row>
    <row r="4722">
      <c r="A4722" s="193" t="s">
        <v>22964</v>
      </c>
      <c r="B4722" s="7" t="s">
        <v>16838</v>
      </c>
      <c r="C4722" s="7" t="s">
        <v>17016</v>
      </c>
      <c r="D4722" s="199"/>
      <c r="E4722" s="193"/>
      <c r="F4722" s="195" t="s">
        <v>22965</v>
      </c>
      <c r="G4722" s="196">
        <v>5.70886047E8</v>
      </c>
      <c r="H4722" s="197">
        <v>3.74</v>
      </c>
      <c r="I4722" s="7" t="s">
        <v>16815</v>
      </c>
      <c r="J4722" s="7" t="s">
        <v>16838</v>
      </c>
      <c r="K4722" s="7" t="s">
        <v>17016</v>
      </c>
      <c r="L4722" s="198" t="s">
        <v>65</v>
      </c>
      <c r="M4722" s="199"/>
      <c r="N4722" s="199"/>
    </row>
    <row r="4723">
      <c r="A4723" s="193" t="s">
        <v>22966</v>
      </c>
      <c r="B4723" s="7" t="s">
        <v>17016</v>
      </c>
      <c r="C4723" s="7" t="s">
        <v>16838</v>
      </c>
      <c r="D4723" s="194">
        <v>2014.0</v>
      </c>
      <c r="E4723" s="193"/>
      <c r="F4723" s="195" t="s">
        <v>22967</v>
      </c>
      <c r="G4723" s="200">
        <v>5.70173599E8</v>
      </c>
      <c r="H4723" s="197">
        <v>5.2</v>
      </c>
      <c r="I4723" s="7" t="s">
        <v>16815</v>
      </c>
      <c r="J4723" s="7" t="s">
        <v>17016</v>
      </c>
      <c r="K4723" s="7" t="s">
        <v>16838</v>
      </c>
      <c r="L4723" s="201" t="s">
        <v>16835</v>
      </c>
      <c r="M4723" s="194"/>
      <c r="N4723" s="194"/>
    </row>
    <row r="4724">
      <c r="A4724" s="193" t="s">
        <v>22966</v>
      </c>
      <c r="B4724" s="7" t="s">
        <v>16838</v>
      </c>
      <c r="C4724" s="7" t="s">
        <v>17016</v>
      </c>
      <c r="D4724" s="194">
        <v>2014.0</v>
      </c>
      <c r="E4724" s="193"/>
      <c r="F4724" s="195" t="s">
        <v>22967</v>
      </c>
      <c r="G4724" s="196">
        <v>5.70173599E8</v>
      </c>
      <c r="H4724" s="197">
        <v>5.2</v>
      </c>
      <c r="I4724" s="7" t="s">
        <v>16815</v>
      </c>
      <c r="J4724" s="7" t="s">
        <v>16838</v>
      </c>
      <c r="K4724" s="7" t="s">
        <v>17016</v>
      </c>
      <c r="L4724" s="198" t="s">
        <v>65</v>
      </c>
      <c r="M4724" s="194"/>
      <c r="N4724" s="194"/>
    </row>
    <row r="4725">
      <c r="A4725" s="193" t="s">
        <v>22968</v>
      </c>
      <c r="B4725" s="7" t="s">
        <v>169</v>
      </c>
      <c r="C4725" s="7" t="s">
        <v>17480</v>
      </c>
      <c r="D4725" s="199"/>
      <c r="E4725" s="193"/>
      <c r="F4725" s="195" t="s">
        <v>22969</v>
      </c>
      <c r="G4725" s="196">
        <v>5.70061767E8</v>
      </c>
      <c r="H4725" s="197">
        <v>24.56</v>
      </c>
      <c r="I4725" s="7" t="s">
        <v>16815</v>
      </c>
      <c r="J4725" s="7" t="s">
        <v>169</v>
      </c>
      <c r="K4725" s="7" t="s">
        <v>17480</v>
      </c>
      <c r="L4725" s="198" t="s">
        <v>65</v>
      </c>
      <c r="M4725" s="199"/>
      <c r="N4725" s="199"/>
    </row>
    <row r="4726">
      <c r="A4726" s="193" t="s">
        <v>22970</v>
      </c>
      <c r="B4726" s="7" t="s">
        <v>187</v>
      </c>
      <c r="C4726" s="7" t="s">
        <v>16992</v>
      </c>
      <c r="D4726" s="194">
        <v>2020.0</v>
      </c>
      <c r="E4726" s="193"/>
      <c r="F4726" s="195" t="s">
        <v>22971</v>
      </c>
      <c r="G4726" s="196">
        <v>5.69810552E8</v>
      </c>
      <c r="H4726" s="197">
        <v>17.47</v>
      </c>
      <c r="I4726" s="7" t="s">
        <v>16815</v>
      </c>
      <c r="J4726" s="7" t="s">
        <v>187</v>
      </c>
      <c r="K4726" s="7" t="s">
        <v>16992</v>
      </c>
      <c r="L4726" s="198" t="s">
        <v>65</v>
      </c>
      <c r="M4726" s="194"/>
      <c r="N4726" s="194"/>
    </row>
    <row r="4727">
      <c r="A4727" s="193" t="s">
        <v>22972</v>
      </c>
      <c r="B4727" s="7" t="s">
        <v>16582</v>
      </c>
      <c r="C4727" s="7" t="s">
        <v>16930</v>
      </c>
      <c r="D4727" s="194">
        <v>2022.0</v>
      </c>
      <c r="E4727" s="193"/>
      <c r="F4727" s="195" t="s">
        <v>22973</v>
      </c>
      <c r="G4727" s="196">
        <v>5.6903E8</v>
      </c>
      <c r="H4727" s="197">
        <v>3.5</v>
      </c>
      <c r="I4727" s="7" t="s">
        <v>16815</v>
      </c>
      <c r="J4727" s="7" t="s">
        <v>16582</v>
      </c>
      <c r="K4727" s="7" t="s">
        <v>16930</v>
      </c>
      <c r="L4727" s="198" t="s">
        <v>65</v>
      </c>
      <c r="M4727" s="194"/>
      <c r="N4727" s="194"/>
    </row>
    <row r="4728">
      <c r="A4728" s="193" t="s">
        <v>22972</v>
      </c>
      <c r="B4728" s="7" t="s">
        <v>16930</v>
      </c>
      <c r="C4728" s="7" t="s">
        <v>16582</v>
      </c>
      <c r="D4728" s="194">
        <v>2022.0</v>
      </c>
      <c r="E4728" s="193"/>
      <c r="F4728" s="195" t="s">
        <v>22973</v>
      </c>
      <c r="G4728" s="200">
        <v>5.6903E8</v>
      </c>
      <c r="H4728" s="197">
        <v>3.5</v>
      </c>
      <c r="I4728" s="7" t="s">
        <v>16815</v>
      </c>
      <c r="J4728" s="7" t="s">
        <v>16930</v>
      </c>
      <c r="K4728" s="7" t="s">
        <v>16582</v>
      </c>
      <c r="L4728" s="201" t="s">
        <v>16835</v>
      </c>
      <c r="M4728" s="194"/>
      <c r="N4728" s="194"/>
    </row>
    <row r="4729">
      <c r="A4729" s="193" t="s">
        <v>22974</v>
      </c>
      <c r="B4729" s="7" t="s">
        <v>175</v>
      </c>
      <c r="C4729" s="7" t="s">
        <v>19736</v>
      </c>
      <c r="D4729" s="194">
        <v>2021.0</v>
      </c>
      <c r="E4729" s="193"/>
      <c r="F4729" s="195" t="s">
        <v>22975</v>
      </c>
      <c r="G4729" s="196">
        <v>5.66324923E8</v>
      </c>
      <c r="H4729" s="197">
        <v>7.4</v>
      </c>
      <c r="I4729" s="7" t="s">
        <v>17242</v>
      </c>
      <c r="J4729" s="7" t="s">
        <v>175</v>
      </c>
      <c r="K4729" s="7" t="s">
        <v>19736</v>
      </c>
      <c r="L4729" s="198" t="s">
        <v>65</v>
      </c>
      <c r="M4729" s="194"/>
      <c r="N4729" s="194"/>
    </row>
    <row r="4730">
      <c r="A4730" s="193" t="s">
        <v>22976</v>
      </c>
      <c r="B4730" s="7" t="s">
        <v>187</v>
      </c>
      <c r="C4730" s="7" t="s">
        <v>16846</v>
      </c>
      <c r="D4730" s="194">
        <v>2019.0</v>
      </c>
      <c r="E4730" s="193"/>
      <c r="F4730" s="195" t="s">
        <v>22977</v>
      </c>
      <c r="G4730" s="196">
        <v>5.63782373E8</v>
      </c>
      <c r="H4730" s="197">
        <v>13.29</v>
      </c>
      <c r="I4730" s="7" t="s">
        <v>16815</v>
      </c>
      <c r="J4730" s="7" t="s">
        <v>187</v>
      </c>
      <c r="K4730" s="7" t="s">
        <v>16846</v>
      </c>
      <c r="L4730" s="198" t="s">
        <v>65</v>
      </c>
      <c r="M4730" s="194"/>
      <c r="N4730" s="194"/>
    </row>
    <row r="4731">
      <c r="A4731" s="193" t="s">
        <v>22978</v>
      </c>
      <c r="B4731" s="7" t="s">
        <v>16838</v>
      </c>
      <c r="C4731" s="7" t="s">
        <v>18679</v>
      </c>
      <c r="D4731" s="194">
        <v>2019.0</v>
      </c>
      <c r="E4731" s="193"/>
      <c r="F4731" s="195" t="s">
        <v>22979</v>
      </c>
      <c r="G4731" s="196">
        <v>5.63535351E8</v>
      </c>
      <c r="H4731" s="197">
        <v>16.41</v>
      </c>
      <c r="I4731" s="7" t="s">
        <v>18666</v>
      </c>
      <c r="J4731" s="7" t="s">
        <v>16838</v>
      </c>
      <c r="K4731" s="7" t="s">
        <v>18679</v>
      </c>
      <c r="L4731" s="198" t="s">
        <v>65</v>
      </c>
      <c r="M4731" s="194"/>
      <c r="N4731" s="194"/>
    </row>
    <row r="4732">
      <c r="A4732" s="193" t="s">
        <v>22978</v>
      </c>
      <c r="B4732" s="7" t="s">
        <v>18679</v>
      </c>
      <c r="C4732" s="7" t="s">
        <v>16838</v>
      </c>
      <c r="D4732" s="194">
        <v>2019.0</v>
      </c>
      <c r="E4732" s="193"/>
      <c r="F4732" s="195" t="s">
        <v>22979</v>
      </c>
      <c r="G4732" s="200">
        <v>5.63535351E8</v>
      </c>
      <c r="H4732" s="197">
        <v>16.41</v>
      </c>
      <c r="I4732" s="7" t="s">
        <v>16815</v>
      </c>
      <c r="J4732" s="7" t="s">
        <v>18679</v>
      </c>
      <c r="K4732" s="7" t="s">
        <v>16838</v>
      </c>
      <c r="L4732" s="201" t="s">
        <v>16835</v>
      </c>
      <c r="M4732" s="194"/>
      <c r="N4732" s="194"/>
    </row>
    <row r="4733">
      <c r="A4733" s="193" t="s">
        <v>22980</v>
      </c>
      <c r="B4733" s="7" t="s">
        <v>16582</v>
      </c>
      <c r="C4733" s="7" t="s">
        <v>16583</v>
      </c>
      <c r="D4733" s="194">
        <v>2021.0</v>
      </c>
      <c r="E4733" s="193"/>
      <c r="F4733" s="195" t="s">
        <v>22981</v>
      </c>
      <c r="G4733" s="196">
        <v>5.63369786E8</v>
      </c>
      <c r="H4733" s="197">
        <v>15.14</v>
      </c>
      <c r="I4733" s="7" t="s">
        <v>16815</v>
      </c>
      <c r="J4733" s="7" t="s">
        <v>16582</v>
      </c>
      <c r="K4733" s="7" t="s">
        <v>16583</v>
      </c>
      <c r="L4733" s="198" t="s">
        <v>65</v>
      </c>
      <c r="M4733" s="194"/>
      <c r="N4733" s="194"/>
    </row>
    <row r="4734">
      <c r="A4734" s="193" t="s">
        <v>22982</v>
      </c>
      <c r="B4734" s="7" t="s">
        <v>187</v>
      </c>
      <c r="C4734" s="7" t="s">
        <v>16846</v>
      </c>
      <c r="D4734" s="194">
        <v>2019.0</v>
      </c>
      <c r="E4734" s="193"/>
      <c r="F4734" s="195" t="s">
        <v>22983</v>
      </c>
      <c r="G4734" s="196">
        <v>5.63087395E8</v>
      </c>
      <c r="H4734" s="197">
        <v>7.46</v>
      </c>
      <c r="I4734" s="7" t="s">
        <v>16815</v>
      </c>
      <c r="J4734" s="7" t="s">
        <v>187</v>
      </c>
      <c r="K4734" s="7" t="s">
        <v>16846</v>
      </c>
      <c r="L4734" s="198" t="s">
        <v>65</v>
      </c>
      <c r="M4734" s="194"/>
      <c r="N4734" s="194"/>
    </row>
    <row r="4735">
      <c r="A4735" s="193" t="s">
        <v>22984</v>
      </c>
      <c r="B4735" s="7" t="s">
        <v>187</v>
      </c>
      <c r="C4735" s="7" t="s">
        <v>16846</v>
      </c>
      <c r="D4735" s="199"/>
      <c r="E4735" s="193"/>
      <c r="F4735" s="195" t="s">
        <v>22985</v>
      </c>
      <c r="G4735" s="196">
        <v>5.62597497E8</v>
      </c>
      <c r="H4735" s="197">
        <v>11.51</v>
      </c>
      <c r="I4735" s="7" t="s">
        <v>16815</v>
      </c>
      <c r="J4735" s="7" t="s">
        <v>187</v>
      </c>
      <c r="K4735" s="7" t="s">
        <v>16846</v>
      </c>
      <c r="L4735" s="198" t="s">
        <v>65</v>
      </c>
      <c r="M4735" s="199"/>
      <c r="N4735" s="199"/>
    </row>
    <row r="4736">
      <c r="A4736" s="193" t="s">
        <v>22986</v>
      </c>
      <c r="B4736" s="7" t="s">
        <v>187</v>
      </c>
      <c r="C4736" s="7" t="s">
        <v>16858</v>
      </c>
      <c r="D4736" s="199"/>
      <c r="E4736" s="193"/>
      <c r="F4736" s="195" t="s">
        <v>22987</v>
      </c>
      <c r="G4736" s="196">
        <v>5.622346E8</v>
      </c>
      <c r="H4736" s="197">
        <v>8.99</v>
      </c>
      <c r="I4736" s="7" t="s">
        <v>16815</v>
      </c>
      <c r="J4736" s="7" t="s">
        <v>187</v>
      </c>
      <c r="K4736" s="7" t="s">
        <v>16858</v>
      </c>
      <c r="L4736" s="198" t="s">
        <v>65</v>
      </c>
      <c r="M4736" s="199"/>
      <c r="N4736" s="199"/>
    </row>
    <row r="4737">
      <c r="A4737" s="193" t="s">
        <v>22988</v>
      </c>
      <c r="B4737" s="7" t="s">
        <v>187</v>
      </c>
      <c r="C4737" s="7" t="s">
        <v>17509</v>
      </c>
      <c r="D4737" s="194">
        <v>2018.0</v>
      </c>
      <c r="E4737" s="193"/>
      <c r="F4737" s="195" t="s">
        <v>22989</v>
      </c>
      <c r="G4737" s="196">
        <v>5.59523077E8</v>
      </c>
      <c r="H4737" s="197">
        <v>21.68</v>
      </c>
      <c r="I4737" s="7" t="s">
        <v>16815</v>
      </c>
      <c r="J4737" s="7" t="s">
        <v>187</v>
      </c>
      <c r="K4737" s="7" t="s">
        <v>17509</v>
      </c>
      <c r="L4737" s="198" t="s">
        <v>65</v>
      </c>
      <c r="M4737" s="194"/>
      <c r="N4737" s="194"/>
    </row>
    <row r="4738">
      <c r="A4738" s="193" t="s">
        <v>22990</v>
      </c>
      <c r="B4738" s="7" t="s">
        <v>158</v>
      </c>
      <c r="C4738" s="7" t="s">
        <v>16864</v>
      </c>
      <c r="D4738" s="199"/>
      <c r="E4738" s="193"/>
      <c r="F4738" s="195" t="s">
        <v>22991</v>
      </c>
      <c r="G4738" s="196">
        <v>5.59340444E8</v>
      </c>
      <c r="H4738" s="197">
        <v>4.3</v>
      </c>
      <c r="I4738" s="7" t="s">
        <v>16953</v>
      </c>
      <c r="J4738" s="7" t="s">
        <v>158</v>
      </c>
      <c r="K4738" s="7" t="s">
        <v>16864</v>
      </c>
      <c r="L4738" s="198" t="s">
        <v>65</v>
      </c>
      <c r="M4738" s="199"/>
      <c r="N4738" s="199"/>
    </row>
    <row r="4739">
      <c r="A4739" s="193" t="s">
        <v>22990</v>
      </c>
      <c r="B4739" s="7" t="s">
        <v>16864</v>
      </c>
      <c r="C4739" s="7" t="s">
        <v>158</v>
      </c>
      <c r="D4739" s="199"/>
      <c r="E4739" s="193"/>
      <c r="F4739" s="195" t="s">
        <v>22991</v>
      </c>
      <c r="G4739" s="200">
        <v>5.59340444E8</v>
      </c>
      <c r="H4739" s="197">
        <v>4.3</v>
      </c>
      <c r="I4739" s="7" t="s">
        <v>16815</v>
      </c>
      <c r="J4739" s="7" t="s">
        <v>16864</v>
      </c>
      <c r="K4739" s="7" t="s">
        <v>158</v>
      </c>
      <c r="L4739" s="201" t="s">
        <v>16835</v>
      </c>
      <c r="M4739" s="199"/>
      <c r="N4739" s="199"/>
    </row>
    <row r="4740">
      <c r="A4740" s="193" t="s">
        <v>22992</v>
      </c>
      <c r="B4740" s="7" t="s">
        <v>16582</v>
      </c>
      <c r="C4740" s="7" t="s">
        <v>16817</v>
      </c>
      <c r="D4740" s="199"/>
      <c r="E4740" s="193"/>
      <c r="F4740" s="195" t="s">
        <v>22993</v>
      </c>
      <c r="G4740" s="196">
        <v>5.59266585E8</v>
      </c>
      <c r="H4740" s="197">
        <v>4.19</v>
      </c>
      <c r="I4740" s="7" t="s">
        <v>16815</v>
      </c>
      <c r="J4740" s="7" t="s">
        <v>16582</v>
      </c>
      <c r="K4740" s="7" t="s">
        <v>16817</v>
      </c>
      <c r="L4740" s="198" t="s">
        <v>65</v>
      </c>
      <c r="M4740" s="199"/>
      <c r="N4740" s="199"/>
    </row>
    <row r="4741">
      <c r="A4741" s="193" t="s">
        <v>22992</v>
      </c>
      <c r="B4741" s="7" t="s">
        <v>16817</v>
      </c>
      <c r="C4741" s="7" t="s">
        <v>16582</v>
      </c>
      <c r="D4741" s="199"/>
      <c r="E4741" s="193"/>
      <c r="F4741" s="195" t="s">
        <v>22993</v>
      </c>
      <c r="G4741" s="200">
        <v>5.59266585E8</v>
      </c>
      <c r="H4741" s="197">
        <v>4.19</v>
      </c>
      <c r="I4741" s="7" t="s">
        <v>16815</v>
      </c>
      <c r="J4741" s="7" t="s">
        <v>16817</v>
      </c>
      <c r="K4741" s="7" t="s">
        <v>16582</v>
      </c>
      <c r="L4741" s="201" t="s">
        <v>16835</v>
      </c>
      <c r="M4741" s="199"/>
      <c r="N4741" s="199"/>
    </row>
    <row r="4742">
      <c r="A4742" s="193" t="s">
        <v>22994</v>
      </c>
      <c r="B4742" s="7" t="s">
        <v>16838</v>
      </c>
      <c r="C4742" s="7" t="s">
        <v>17016</v>
      </c>
      <c r="D4742" s="199"/>
      <c r="E4742" s="193"/>
      <c r="F4742" s="195" t="s">
        <v>22995</v>
      </c>
      <c r="G4742" s="196">
        <v>5.58261187E8</v>
      </c>
      <c r="H4742" s="197">
        <v>21.15</v>
      </c>
      <c r="I4742" s="7" t="s">
        <v>16815</v>
      </c>
      <c r="J4742" s="7" t="s">
        <v>16838</v>
      </c>
      <c r="K4742" s="7" t="s">
        <v>17016</v>
      </c>
      <c r="L4742" s="198" t="s">
        <v>65</v>
      </c>
      <c r="M4742" s="199"/>
      <c r="N4742" s="199"/>
    </row>
    <row r="4743">
      <c r="A4743" s="193" t="s">
        <v>22996</v>
      </c>
      <c r="B4743" s="7" t="s">
        <v>17057</v>
      </c>
      <c r="C4743" s="7" t="s">
        <v>169</v>
      </c>
      <c r="D4743" s="199"/>
      <c r="E4743" s="193"/>
      <c r="F4743" s="195" t="s">
        <v>22997</v>
      </c>
      <c r="G4743" s="200">
        <v>5.58063683E8</v>
      </c>
      <c r="H4743" s="197">
        <v>19.75</v>
      </c>
      <c r="I4743" s="7" t="s">
        <v>16815</v>
      </c>
      <c r="J4743" s="7" t="s">
        <v>17057</v>
      </c>
      <c r="K4743" s="7" t="s">
        <v>169</v>
      </c>
      <c r="L4743" s="201" t="s">
        <v>16835</v>
      </c>
      <c r="M4743" s="199"/>
      <c r="N4743" s="199"/>
    </row>
    <row r="4744">
      <c r="A4744" s="193" t="s">
        <v>22996</v>
      </c>
      <c r="B4744" s="7" t="s">
        <v>169</v>
      </c>
      <c r="C4744" s="7" t="s">
        <v>17057</v>
      </c>
      <c r="D4744" s="199"/>
      <c r="E4744" s="193"/>
      <c r="F4744" s="195" t="s">
        <v>22997</v>
      </c>
      <c r="G4744" s="196">
        <v>5.58063683E8</v>
      </c>
      <c r="H4744" s="197">
        <v>19.75</v>
      </c>
      <c r="I4744" s="7" t="s">
        <v>16815</v>
      </c>
      <c r="J4744" s="7" t="s">
        <v>169</v>
      </c>
      <c r="K4744" s="7" t="s">
        <v>17057</v>
      </c>
      <c r="L4744" s="198" t="s">
        <v>65</v>
      </c>
      <c r="M4744" s="199"/>
      <c r="N4744" s="199"/>
    </row>
    <row r="4745">
      <c r="A4745" s="193" t="s">
        <v>22998</v>
      </c>
      <c r="B4745" s="7" t="s">
        <v>16582</v>
      </c>
      <c r="C4745" s="7" t="s">
        <v>16930</v>
      </c>
      <c r="D4745" s="194">
        <v>2021.0</v>
      </c>
      <c r="E4745" s="193"/>
      <c r="F4745" s="195" t="s">
        <v>22999</v>
      </c>
      <c r="G4745" s="196">
        <v>5.57181568E8</v>
      </c>
      <c r="H4745" s="197">
        <v>8.02</v>
      </c>
      <c r="I4745" s="7" t="s">
        <v>16815</v>
      </c>
      <c r="J4745" s="7" t="s">
        <v>16582</v>
      </c>
      <c r="K4745" s="7" t="s">
        <v>16930</v>
      </c>
      <c r="L4745" s="198" t="s">
        <v>65</v>
      </c>
      <c r="M4745" s="194"/>
      <c r="N4745" s="194"/>
    </row>
    <row r="4746">
      <c r="A4746" s="193" t="s">
        <v>22998</v>
      </c>
      <c r="B4746" s="7" t="s">
        <v>16930</v>
      </c>
      <c r="C4746" s="7" t="s">
        <v>16582</v>
      </c>
      <c r="D4746" s="194">
        <v>2021.0</v>
      </c>
      <c r="E4746" s="193"/>
      <c r="F4746" s="195" t="s">
        <v>22999</v>
      </c>
      <c r="G4746" s="200">
        <v>5.57181568E8</v>
      </c>
      <c r="H4746" s="197">
        <v>8.02</v>
      </c>
      <c r="I4746" s="7" t="s">
        <v>16815</v>
      </c>
      <c r="J4746" s="7" t="s">
        <v>16930</v>
      </c>
      <c r="K4746" s="7" t="s">
        <v>16582</v>
      </c>
      <c r="L4746" s="201" t="s">
        <v>16835</v>
      </c>
      <c r="M4746" s="194"/>
      <c r="N4746" s="194"/>
    </row>
    <row r="4747">
      <c r="A4747" s="193" t="s">
        <v>23000</v>
      </c>
      <c r="B4747" s="7" t="s">
        <v>187</v>
      </c>
      <c r="C4747" s="7" t="s">
        <v>16846</v>
      </c>
      <c r="D4747" s="199"/>
      <c r="E4747" s="193"/>
      <c r="F4747" s="195" t="s">
        <v>23001</v>
      </c>
      <c r="G4747" s="196">
        <v>5.56769883E8</v>
      </c>
      <c r="H4747" s="197">
        <v>20.33</v>
      </c>
      <c r="I4747" s="7" t="s">
        <v>16815</v>
      </c>
      <c r="J4747" s="7" t="s">
        <v>187</v>
      </c>
      <c r="K4747" s="7" t="s">
        <v>16846</v>
      </c>
      <c r="L4747" s="198" t="s">
        <v>65</v>
      </c>
      <c r="M4747" s="199"/>
      <c r="N4747" s="199"/>
    </row>
    <row r="4748">
      <c r="A4748" s="193" t="s">
        <v>23002</v>
      </c>
      <c r="B4748" s="7" t="s">
        <v>187</v>
      </c>
      <c r="C4748" s="7" t="s">
        <v>16846</v>
      </c>
      <c r="D4748" s="194">
        <v>2021.0</v>
      </c>
      <c r="E4748" s="193"/>
      <c r="F4748" s="195" t="s">
        <v>23003</v>
      </c>
      <c r="G4748" s="196">
        <v>5.54911137E8</v>
      </c>
      <c r="H4748" s="197">
        <v>16.63</v>
      </c>
      <c r="I4748" s="7" t="s">
        <v>16815</v>
      </c>
      <c r="J4748" s="7" t="s">
        <v>187</v>
      </c>
      <c r="K4748" s="7" t="s">
        <v>16846</v>
      </c>
      <c r="L4748" s="198" t="s">
        <v>65</v>
      </c>
      <c r="M4748" s="194"/>
      <c r="N4748" s="194"/>
    </row>
    <row r="4749">
      <c r="A4749" s="193" t="s">
        <v>23004</v>
      </c>
      <c r="B4749" s="7" t="s">
        <v>18098</v>
      </c>
      <c r="C4749" s="7" t="s">
        <v>169</v>
      </c>
      <c r="D4749" s="199"/>
      <c r="E4749" s="193"/>
      <c r="F4749" s="195" t="s">
        <v>23005</v>
      </c>
      <c r="G4749" s="200">
        <v>5.54457903E8</v>
      </c>
      <c r="H4749" s="197">
        <v>78.32</v>
      </c>
      <c r="I4749" s="7" t="s">
        <v>16815</v>
      </c>
      <c r="J4749" s="7" t="s">
        <v>18098</v>
      </c>
      <c r="K4749" s="7" t="s">
        <v>169</v>
      </c>
      <c r="L4749" s="201" t="s">
        <v>16835</v>
      </c>
      <c r="M4749" s="199"/>
      <c r="N4749" s="199"/>
    </row>
    <row r="4750">
      <c r="A4750" s="193" t="s">
        <v>23004</v>
      </c>
      <c r="B4750" s="7" t="s">
        <v>169</v>
      </c>
      <c r="C4750" s="7" t="s">
        <v>18098</v>
      </c>
      <c r="D4750" s="199"/>
      <c r="E4750" s="193"/>
      <c r="F4750" s="195" t="s">
        <v>23005</v>
      </c>
      <c r="G4750" s="196">
        <v>5.54457903E8</v>
      </c>
      <c r="H4750" s="197">
        <v>78.32</v>
      </c>
      <c r="I4750" s="7" t="s">
        <v>16815</v>
      </c>
      <c r="J4750" s="7" t="s">
        <v>169</v>
      </c>
      <c r="K4750" s="7" t="s">
        <v>18098</v>
      </c>
      <c r="L4750" s="198" t="s">
        <v>65</v>
      </c>
      <c r="M4750" s="199"/>
      <c r="N4750" s="199"/>
    </row>
    <row r="4751">
      <c r="A4751" s="193" t="s">
        <v>23006</v>
      </c>
      <c r="B4751" s="7" t="s">
        <v>175</v>
      </c>
      <c r="C4751" s="7" t="s">
        <v>17218</v>
      </c>
      <c r="D4751" s="199"/>
      <c r="E4751" s="193"/>
      <c r="F4751" s="195" t="s">
        <v>23007</v>
      </c>
      <c r="G4751" s="196">
        <v>5.53567119E8</v>
      </c>
      <c r="H4751" s="197">
        <v>7.0</v>
      </c>
      <c r="I4751" s="7" t="s">
        <v>16856</v>
      </c>
      <c r="J4751" s="7" t="s">
        <v>175</v>
      </c>
      <c r="K4751" s="7" t="s">
        <v>17218</v>
      </c>
      <c r="L4751" s="198" t="s">
        <v>65</v>
      </c>
      <c r="M4751" s="199"/>
      <c r="N4751" s="199"/>
    </row>
    <row r="4752">
      <c r="A4752" s="193" t="s">
        <v>23008</v>
      </c>
      <c r="B4752" s="7" t="s">
        <v>16838</v>
      </c>
      <c r="C4752" s="7" t="s">
        <v>17202</v>
      </c>
      <c r="D4752" s="199"/>
      <c r="E4752" s="193"/>
      <c r="F4752" s="195" t="s">
        <v>23009</v>
      </c>
      <c r="G4752" s="196">
        <v>5.53043482E8</v>
      </c>
      <c r="H4752" s="197">
        <v>18.09</v>
      </c>
      <c r="I4752" s="7" t="s">
        <v>16815</v>
      </c>
      <c r="J4752" s="7" t="s">
        <v>16838</v>
      </c>
      <c r="K4752" s="7" t="s">
        <v>17202</v>
      </c>
      <c r="L4752" s="198" t="s">
        <v>65</v>
      </c>
      <c r="M4752" s="199"/>
      <c r="N4752" s="199"/>
    </row>
    <row r="4753">
      <c r="A4753" s="193" t="s">
        <v>23010</v>
      </c>
      <c r="B4753" s="7" t="s">
        <v>16919</v>
      </c>
      <c r="C4753" s="7" t="s">
        <v>110</v>
      </c>
      <c r="D4753" s="199"/>
      <c r="E4753" s="193"/>
      <c r="F4753" s="195" t="s">
        <v>23011</v>
      </c>
      <c r="G4753" s="196">
        <v>5.52652794E8</v>
      </c>
      <c r="H4753" s="197">
        <v>3.37</v>
      </c>
      <c r="I4753" s="7" t="s">
        <v>16815</v>
      </c>
      <c r="J4753" s="7" t="s">
        <v>16919</v>
      </c>
      <c r="K4753" s="7" t="s">
        <v>110</v>
      </c>
      <c r="L4753" s="198" t="s">
        <v>65</v>
      </c>
      <c r="M4753" s="199"/>
      <c r="N4753" s="199"/>
    </row>
    <row r="4754">
      <c r="A4754" s="193" t="s">
        <v>23012</v>
      </c>
      <c r="B4754" s="7" t="s">
        <v>17202</v>
      </c>
      <c r="C4754" s="7" t="s">
        <v>16838</v>
      </c>
      <c r="D4754" s="194">
        <v>2007.0</v>
      </c>
      <c r="E4754" s="193"/>
      <c r="F4754" s="195" t="s">
        <v>23013</v>
      </c>
      <c r="G4754" s="200">
        <v>5.51408404E8</v>
      </c>
      <c r="H4754" s="197">
        <v>19.9</v>
      </c>
      <c r="I4754" s="7" t="s">
        <v>16815</v>
      </c>
      <c r="J4754" s="7" t="s">
        <v>17202</v>
      </c>
      <c r="K4754" s="7" t="s">
        <v>16838</v>
      </c>
      <c r="L4754" s="201" t="s">
        <v>16835</v>
      </c>
      <c r="M4754" s="194"/>
      <c r="N4754" s="194"/>
    </row>
    <row r="4755">
      <c r="A4755" s="193" t="s">
        <v>23012</v>
      </c>
      <c r="B4755" s="7" t="s">
        <v>16838</v>
      </c>
      <c r="C4755" s="7" t="s">
        <v>17202</v>
      </c>
      <c r="D4755" s="194">
        <v>2007.0</v>
      </c>
      <c r="E4755" s="193"/>
      <c r="F4755" s="195" t="s">
        <v>23013</v>
      </c>
      <c r="G4755" s="196">
        <v>5.51408404E8</v>
      </c>
      <c r="H4755" s="197">
        <v>19.9</v>
      </c>
      <c r="I4755" s="7" t="s">
        <v>16815</v>
      </c>
      <c r="J4755" s="7" t="s">
        <v>16838</v>
      </c>
      <c r="K4755" s="7" t="s">
        <v>17202</v>
      </c>
      <c r="L4755" s="198" t="s">
        <v>65</v>
      </c>
      <c r="M4755" s="194"/>
      <c r="N4755" s="194"/>
    </row>
    <row r="4756">
      <c r="A4756" s="193" t="s">
        <v>23014</v>
      </c>
      <c r="B4756" s="7" t="s">
        <v>187</v>
      </c>
      <c r="C4756" s="7" t="s">
        <v>16969</v>
      </c>
      <c r="D4756" s="199"/>
      <c r="E4756" s="193"/>
      <c r="F4756" s="195" t="s">
        <v>23015</v>
      </c>
      <c r="G4756" s="196">
        <v>5.50775873E8</v>
      </c>
      <c r="H4756" s="197">
        <v>312.97</v>
      </c>
      <c r="I4756" s="7" t="s">
        <v>16815</v>
      </c>
      <c r="J4756" s="7" t="s">
        <v>187</v>
      </c>
      <c r="K4756" s="7" t="s">
        <v>16969</v>
      </c>
      <c r="L4756" s="198" t="s">
        <v>65</v>
      </c>
      <c r="M4756" s="199"/>
      <c r="N4756" s="199"/>
    </row>
    <row r="4757">
      <c r="A4757" s="193" t="s">
        <v>23016</v>
      </c>
      <c r="B4757" s="7" t="s">
        <v>16838</v>
      </c>
      <c r="C4757" s="7" t="s">
        <v>18679</v>
      </c>
      <c r="D4757" s="194">
        <v>2011.0</v>
      </c>
      <c r="E4757" s="193"/>
      <c r="F4757" s="195" t="s">
        <v>23017</v>
      </c>
      <c r="G4757" s="196">
        <v>5.5029009E8</v>
      </c>
      <c r="H4757" s="197">
        <v>19.34</v>
      </c>
      <c r="I4757" s="7" t="s">
        <v>16815</v>
      </c>
      <c r="J4757" s="7" t="s">
        <v>16838</v>
      </c>
      <c r="K4757" s="7" t="s">
        <v>18679</v>
      </c>
      <c r="L4757" s="198" t="s">
        <v>65</v>
      </c>
      <c r="M4757" s="194"/>
      <c r="N4757" s="194"/>
    </row>
    <row r="4758">
      <c r="A4758" s="193" t="s">
        <v>23018</v>
      </c>
      <c r="B4758" s="7" t="s">
        <v>158</v>
      </c>
      <c r="C4758" s="7" t="s">
        <v>16864</v>
      </c>
      <c r="D4758" s="194">
        <v>2005.0</v>
      </c>
      <c r="E4758" s="193"/>
      <c r="F4758" s="195" t="s">
        <v>23019</v>
      </c>
      <c r="G4758" s="196">
        <v>5.49653224E8</v>
      </c>
      <c r="H4758" s="197">
        <v>3.75</v>
      </c>
      <c r="I4758" s="7" t="s">
        <v>17450</v>
      </c>
      <c r="J4758" s="7" t="s">
        <v>158</v>
      </c>
      <c r="K4758" s="7" t="s">
        <v>16864</v>
      </c>
      <c r="L4758" s="198" t="s">
        <v>65</v>
      </c>
      <c r="M4758" s="194"/>
      <c r="N4758" s="194"/>
    </row>
    <row r="4759">
      <c r="A4759" s="193" t="s">
        <v>23018</v>
      </c>
      <c r="B4759" s="7" t="s">
        <v>16864</v>
      </c>
      <c r="C4759" s="7" t="s">
        <v>158</v>
      </c>
      <c r="D4759" s="194">
        <v>2005.0</v>
      </c>
      <c r="E4759" s="193"/>
      <c r="F4759" s="195" t="s">
        <v>23019</v>
      </c>
      <c r="G4759" s="200">
        <v>5.49653224E8</v>
      </c>
      <c r="H4759" s="197">
        <v>3.75</v>
      </c>
      <c r="I4759" s="7" t="s">
        <v>16815</v>
      </c>
      <c r="J4759" s="7" t="s">
        <v>16864</v>
      </c>
      <c r="K4759" s="7" t="s">
        <v>158</v>
      </c>
      <c r="L4759" s="201" t="s">
        <v>16835</v>
      </c>
      <c r="M4759" s="194"/>
      <c r="N4759" s="194"/>
    </row>
    <row r="4760">
      <c r="A4760" s="193" t="s">
        <v>23020</v>
      </c>
      <c r="B4760" s="7" t="s">
        <v>16582</v>
      </c>
      <c r="C4760" s="7" t="s">
        <v>16583</v>
      </c>
      <c r="D4760" s="194">
        <v>2011.0</v>
      </c>
      <c r="E4760" s="193"/>
      <c r="F4760" s="195" t="s">
        <v>23021</v>
      </c>
      <c r="G4760" s="196">
        <v>5.49273662E8</v>
      </c>
      <c r="H4760" s="197">
        <v>3.7</v>
      </c>
      <c r="I4760" s="7" t="s">
        <v>16815</v>
      </c>
      <c r="J4760" s="7" t="s">
        <v>16582</v>
      </c>
      <c r="K4760" s="7" t="s">
        <v>16583</v>
      </c>
      <c r="L4760" s="198" t="s">
        <v>65</v>
      </c>
      <c r="M4760" s="194"/>
      <c r="N4760" s="194"/>
    </row>
    <row r="4761">
      <c r="A4761" s="193" t="s">
        <v>23022</v>
      </c>
      <c r="B4761" s="7" t="s">
        <v>175</v>
      </c>
      <c r="C4761" s="7" t="s">
        <v>17495</v>
      </c>
      <c r="D4761" s="199"/>
      <c r="E4761" s="193"/>
      <c r="F4761" s="195" t="s">
        <v>23023</v>
      </c>
      <c r="G4761" s="196">
        <v>5.48543619E8</v>
      </c>
      <c r="H4761" s="197">
        <v>21.2</v>
      </c>
      <c r="I4761" s="7" t="s">
        <v>16908</v>
      </c>
      <c r="J4761" s="7" t="s">
        <v>175</v>
      </c>
      <c r="K4761" s="7" t="s">
        <v>17495</v>
      </c>
      <c r="L4761" s="198" t="s">
        <v>65</v>
      </c>
      <c r="M4761" s="199"/>
      <c r="N4761" s="199"/>
    </row>
    <row r="4762">
      <c r="A4762" s="193" t="s">
        <v>23022</v>
      </c>
      <c r="B4762" s="7" t="s">
        <v>17495</v>
      </c>
      <c r="C4762" s="7" t="s">
        <v>175</v>
      </c>
      <c r="D4762" s="199"/>
      <c r="E4762" s="193"/>
      <c r="F4762" s="195" t="s">
        <v>23023</v>
      </c>
      <c r="G4762" s="200">
        <v>5.48543619E8</v>
      </c>
      <c r="H4762" s="197">
        <v>21.2</v>
      </c>
      <c r="I4762" s="7" t="s">
        <v>16815</v>
      </c>
      <c r="J4762" s="7" t="s">
        <v>17495</v>
      </c>
      <c r="K4762" s="7" t="s">
        <v>175</v>
      </c>
      <c r="L4762" s="201" t="s">
        <v>16835</v>
      </c>
      <c r="M4762" s="199"/>
      <c r="N4762" s="199"/>
    </row>
    <row r="4763">
      <c r="A4763" s="193" t="s">
        <v>23024</v>
      </c>
      <c r="B4763" s="7" t="s">
        <v>16838</v>
      </c>
      <c r="C4763" s="7" t="s">
        <v>17202</v>
      </c>
      <c r="D4763" s="199"/>
      <c r="E4763" s="193"/>
      <c r="F4763" s="195" t="s">
        <v>23025</v>
      </c>
      <c r="G4763" s="196">
        <v>5.4784628E8</v>
      </c>
      <c r="H4763" s="197">
        <v>17.92</v>
      </c>
      <c r="I4763" s="7" t="s">
        <v>16815</v>
      </c>
      <c r="J4763" s="7" t="s">
        <v>16838</v>
      </c>
      <c r="K4763" s="7" t="s">
        <v>17202</v>
      </c>
      <c r="L4763" s="198" t="s">
        <v>65</v>
      </c>
      <c r="M4763" s="199"/>
      <c r="N4763" s="199"/>
    </row>
    <row r="4764">
      <c r="A4764" s="193" t="s">
        <v>23026</v>
      </c>
      <c r="B4764" s="7" t="s">
        <v>17202</v>
      </c>
      <c r="C4764" s="7" t="s">
        <v>16838</v>
      </c>
      <c r="D4764" s="194">
        <v>2021.0</v>
      </c>
      <c r="E4764" s="193"/>
      <c r="F4764" s="195" t="s">
        <v>23027</v>
      </c>
      <c r="G4764" s="200">
        <v>5.47699903E8</v>
      </c>
      <c r="H4764" s="197">
        <v>16.2</v>
      </c>
      <c r="I4764" s="7" t="s">
        <v>16815</v>
      </c>
      <c r="J4764" s="7" t="s">
        <v>17202</v>
      </c>
      <c r="K4764" s="7" t="s">
        <v>16838</v>
      </c>
      <c r="L4764" s="201" t="s">
        <v>16835</v>
      </c>
      <c r="M4764" s="194"/>
      <c r="N4764" s="194"/>
    </row>
    <row r="4765">
      <c r="A4765" s="193" t="s">
        <v>23026</v>
      </c>
      <c r="B4765" s="7" t="s">
        <v>16838</v>
      </c>
      <c r="C4765" s="7" t="s">
        <v>17202</v>
      </c>
      <c r="D4765" s="194">
        <v>2021.0</v>
      </c>
      <c r="E4765" s="193"/>
      <c r="F4765" s="195" t="s">
        <v>23027</v>
      </c>
      <c r="G4765" s="196">
        <v>5.47699903E8</v>
      </c>
      <c r="H4765" s="197">
        <v>16.2</v>
      </c>
      <c r="I4765" s="7" t="s">
        <v>16815</v>
      </c>
      <c r="J4765" s="7" t="s">
        <v>16838</v>
      </c>
      <c r="K4765" s="7" t="s">
        <v>17202</v>
      </c>
      <c r="L4765" s="198" t="s">
        <v>65</v>
      </c>
      <c r="M4765" s="194"/>
      <c r="N4765" s="194"/>
    </row>
    <row r="4766">
      <c r="A4766" s="193" t="s">
        <v>23028</v>
      </c>
      <c r="D4766" s="199"/>
      <c r="E4766" s="193"/>
      <c r="F4766" s="195" t="s">
        <v>23029</v>
      </c>
      <c r="G4766" s="196">
        <v>5.47177945E8</v>
      </c>
      <c r="H4766" s="197">
        <v>13.33</v>
      </c>
      <c r="I4766" s="7" t="s">
        <v>16815</v>
      </c>
      <c r="L4766" s="198" t="s">
        <v>65</v>
      </c>
      <c r="M4766" s="199"/>
      <c r="N4766" s="199"/>
    </row>
    <row r="4767">
      <c r="A4767" s="193" t="s">
        <v>23028</v>
      </c>
      <c r="D4767" s="199"/>
      <c r="E4767" s="193"/>
      <c r="F4767" s="195" t="s">
        <v>23029</v>
      </c>
      <c r="G4767" s="200">
        <v>5.47177945E8</v>
      </c>
      <c r="H4767" s="197">
        <v>13.33</v>
      </c>
      <c r="I4767" s="193" t="s">
        <v>16815</v>
      </c>
      <c r="L4767" s="201" t="s">
        <v>16835</v>
      </c>
      <c r="M4767" s="199"/>
      <c r="N4767" s="199"/>
    </row>
    <row r="4768">
      <c r="A4768" s="193" t="s">
        <v>23030</v>
      </c>
      <c r="B4768" s="7" t="s">
        <v>169</v>
      </c>
      <c r="C4768" s="7" t="s">
        <v>16899</v>
      </c>
      <c r="D4768" s="194">
        <v>2022.0</v>
      </c>
      <c r="E4768" s="193"/>
      <c r="F4768" s="195" t="s">
        <v>23031</v>
      </c>
      <c r="G4768" s="196">
        <v>5.4705589E8</v>
      </c>
      <c r="H4768" s="197">
        <v>4.42</v>
      </c>
      <c r="I4768" s="7" t="s">
        <v>16815</v>
      </c>
      <c r="J4768" s="7" t="s">
        <v>169</v>
      </c>
      <c r="K4768" s="7" t="s">
        <v>16899</v>
      </c>
      <c r="L4768" s="198" t="s">
        <v>65</v>
      </c>
      <c r="M4768" s="194"/>
      <c r="N4768" s="194"/>
    </row>
    <row r="4769">
      <c r="A4769" s="193" t="s">
        <v>23030</v>
      </c>
      <c r="B4769" s="7" t="s">
        <v>16899</v>
      </c>
      <c r="C4769" s="7" t="s">
        <v>169</v>
      </c>
      <c r="D4769" s="194">
        <v>2022.0</v>
      </c>
      <c r="E4769" s="193"/>
      <c r="F4769" s="195" t="s">
        <v>23031</v>
      </c>
      <c r="G4769" s="200">
        <v>5.4705589E8</v>
      </c>
      <c r="H4769" s="197">
        <v>4.42</v>
      </c>
      <c r="I4769" s="7" t="s">
        <v>16815</v>
      </c>
      <c r="J4769" s="7" t="s">
        <v>16899</v>
      </c>
      <c r="K4769" s="7" t="s">
        <v>169</v>
      </c>
      <c r="L4769" s="201" t="s">
        <v>16835</v>
      </c>
      <c r="M4769" s="194"/>
      <c r="N4769" s="194"/>
    </row>
    <row r="4770">
      <c r="A4770" s="193" t="s">
        <v>23032</v>
      </c>
      <c r="B4770" s="7" t="s">
        <v>16582</v>
      </c>
      <c r="C4770" s="7" t="s">
        <v>16583</v>
      </c>
      <c r="D4770" s="199"/>
      <c r="E4770" s="193"/>
      <c r="F4770" s="195" t="s">
        <v>23033</v>
      </c>
      <c r="G4770" s="196">
        <v>5.46881537E8</v>
      </c>
      <c r="H4770" s="197">
        <v>1.42</v>
      </c>
      <c r="I4770" s="7" t="s">
        <v>16815</v>
      </c>
      <c r="J4770" s="7" t="s">
        <v>16582</v>
      </c>
      <c r="K4770" s="7" t="s">
        <v>16583</v>
      </c>
      <c r="L4770" s="198" t="s">
        <v>65</v>
      </c>
      <c r="M4770" s="199"/>
      <c r="N4770" s="199"/>
    </row>
    <row r="4771">
      <c r="A4771" s="193" t="s">
        <v>23032</v>
      </c>
      <c r="B4771" s="7" t="s">
        <v>16583</v>
      </c>
      <c r="C4771" s="7" t="s">
        <v>16582</v>
      </c>
      <c r="D4771" s="199"/>
      <c r="E4771" s="193"/>
      <c r="F4771" s="195" t="s">
        <v>23033</v>
      </c>
      <c r="G4771" s="200">
        <v>5.46881537E8</v>
      </c>
      <c r="H4771" s="197">
        <v>1.42</v>
      </c>
      <c r="I4771" s="7" t="s">
        <v>16815</v>
      </c>
      <c r="J4771" s="7" t="s">
        <v>16583</v>
      </c>
      <c r="K4771" s="7" t="s">
        <v>16582</v>
      </c>
      <c r="L4771" s="201" t="s">
        <v>16835</v>
      </c>
      <c r="M4771" s="199"/>
      <c r="N4771" s="199"/>
    </row>
    <row r="4772">
      <c r="A4772" s="193" t="s">
        <v>23034</v>
      </c>
      <c r="B4772" s="7" t="s">
        <v>175</v>
      </c>
      <c r="C4772" s="7" t="s">
        <v>17509</v>
      </c>
      <c r="D4772" s="199"/>
      <c r="E4772" s="193"/>
      <c r="F4772" s="195" t="s">
        <v>23035</v>
      </c>
      <c r="G4772" s="196">
        <v>5.46483584E8</v>
      </c>
      <c r="H4772" s="197">
        <v>12.01</v>
      </c>
      <c r="I4772" s="7" t="s">
        <v>16892</v>
      </c>
      <c r="J4772" s="7" t="s">
        <v>175</v>
      </c>
      <c r="K4772" s="7" t="s">
        <v>17509</v>
      </c>
      <c r="L4772" s="198" t="s">
        <v>65</v>
      </c>
      <c r="M4772" s="199"/>
      <c r="N4772" s="199"/>
    </row>
    <row r="4773">
      <c r="A4773" s="193" t="s">
        <v>23036</v>
      </c>
      <c r="B4773" s="7" t="s">
        <v>16838</v>
      </c>
      <c r="C4773" s="7" t="s">
        <v>16867</v>
      </c>
      <c r="D4773" s="194">
        <v>2019.0</v>
      </c>
      <c r="E4773" s="193"/>
      <c r="F4773" s="195" t="s">
        <v>23037</v>
      </c>
      <c r="G4773" s="196">
        <v>5.46209951E8</v>
      </c>
      <c r="H4773" s="197">
        <v>11.08</v>
      </c>
      <c r="I4773" s="7" t="s">
        <v>16815</v>
      </c>
      <c r="J4773" s="7" t="s">
        <v>16838</v>
      </c>
      <c r="K4773" s="7" t="s">
        <v>16867</v>
      </c>
      <c r="L4773" s="198" t="s">
        <v>65</v>
      </c>
      <c r="M4773" s="194"/>
      <c r="N4773" s="194"/>
    </row>
    <row r="4774">
      <c r="A4774" s="193" t="s">
        <v>23038</v>
      </c>
      <c r="B4774" s="7" t="s">
        <v>169</v>
      </c>
      <c r="C4774" s="7" t="s">
        <v>18732</v>
      </c>
      <c r="D4774" s="199"/>
      <c r="E4774" s="193"/>
      <c r="F4774" s="195" t="s">
        <v>23039</v>
      </c>
      <c r="G4774" s="196">
        <v>5.46205087E8</v>
      </c>
      <c r="H4774" s="197">
        <v>4.69</v>
      </c>
      <c r="I4774" s="7" t="s">
        <v>16815</v>
      </c>
      <c r="J4774" s="7" t="s">
        <v>169</v>
      </c>
      <c r="K4774" s="7" t="s">
        <v>18732</v>
      </c>
      <c r="L4774" s="198" t="s">
        <v>65</v>
      </c>
      <c r="M4774" s="199"/>
      <c r="N4774" s="199"/>
    </row>
    <row r="4775">
      <c r="A4775" s="193" t="s">
        <v>23040</v>
      </c>
      <c r="B4775" s="7" t="s">
        <v>158</v>
      </c>
      <c r="C4775" s="7" t="s">
        <v>16864</v>
      </c>
      <c r="D4775" s="194">
        <v>2014.0</v>
      </c>
      <c r="E4775" s="193"/>
      <c r="F4775" s="195" t="s">
        <v>23041</v>
      </c>
      <c r="G4775" s="196">
        <v>5.4614E8</v>
      </c>
      <c r="H4775" s="197">
        <v>9.4</v>
      </c>
      <c r="I4775" s="7" t="s">
        <v>20531</v>
      </c>
      <c r="J4775" s="7" t="s">
        <v>158</v>
      </c>
      <c r="K4775" s="7" t="s">
        <v>16864</v>
      </c>
      <c r="L4775" s="198" t="s">
        <v>65</v>
      </c>
      <c r="M4775" s="194"/>
      <c r="N4775" s="194"/>
    </row>
    <row r="4776">
      <c r="A4776" s="193" t="s">
        <v>23040</v>
      </c>
      <c r="B4776" s="7" t="s">
        <v>16864</v>
      </c>
      <c r="C4776" s="7" t="s">
        <v>158</v>
      </c>
      <c r="D4776" s="194">
        <v>2014.0</v>
      </c>
      <c r="E4776" s="193"/>
      <c r="F4776" s="195" t="s">
        <v>23041</v>
      </c>
      <c r="G4776" s="200">
        <v>5.4614E8</v>
      </c>
      <c r="H4776" s="197">
        <v>9.4</v>
      </c>
      <c r="I4776" s="7" t="s">
        <v>16815</v>
      </c>
      <c r="J4776" s="7" t="s">
        <v>16864</v>
      </c>
      <c r="K4776" s="7" t="s">
        <v>158</v>
      </c>
      <c r="L4776" s="201" t="s">
        <v>16835</v>
      </c>
      <c r="M4776" s="194"/>
      <c r="N4776" s="194"/>
    </row>
    <row r="4777">
      <c r="A4777" s="193" t="s">
        <v>23042</v>
      </c>
      <c r="B4777" s="7" t="s">
        <v>175</v>
      </c>
      <c r="C4777" s="7" t="s">
        <v>16854</v>
      </c>
      <c r="D4777" s="199"/>
      <c r="E4777" s="193"/>
      <c r="F4777" s="195" t="s">
        <v>23043</v>
      </c>
      <c r="G4777" s="196">
        <v>5.45390616E8</v>
      </c>
      <c r="H4777" s="197">
        <v>2.51</v>
      </c>
      <c r="I4777" s="7" t="s">
        <v>16908</v>
      </c>
      <c r="J4777" s="7" t="s">
        <v>175</v>
      </c>
      <c r="K4777" s="7" t="s">
        <v>16854</v>
      </c>
      <c r="L4777" s="198" t="s">
        <v>65</v>
      </c>
      <c r="M4777" s="199"/>
      <c r="N4777" s="199"/>
    </row>
    <row r="4778">
      <c r="A4778" s="193" t="s">
        <v>23044</v>
      </c>
      <c r="B4778" s="7" t="s">
        <v>16969</v>
      </c>
      <c r="C4778" s="7" t="s">
        <v>187</v>
      </c>
      <c r="D4778" s="194">
        <v>2014.0</v>
      </c>
      <c r="E4778" s="193"/>
      <c r="F4778" s="195" t="s">
        <v>23045</v>
      </c>
      <c r="G4778" s="200">
        <v>5.44530645E8</v>
      </c>
      <c r="H4778" s="197">
        <v>15.04</v>
      </c>
      <c r="I4778" s="7" t="s">
        <v>16815</v>
      </c>
      <c r="J4778" s="7" t="s">
        <v>16969</v>
      </c>
      <c r="K4778" s="7" t="s">
        <v>187</v>
      </c>
      <c r="L4778" s="201" t="s">
        <v>16835</v>
      </c>
      <c r="M4778" s="194"/>
      <c r="N4778" s="194"/>
    </row>
    <row r="4779">
      <c r="A4779" s="193" t="s">
        <v>23044</v>
      </c>
      <c r="B4779" s="7" t="s">
        <v>187</v>
      </c>
      <c r="C4779" s="7" t="s">
        <v>16969</v>
      </c>
      <c r="D4779" s="194">
        <v>2014.0</v>
      </c>
      <c r="E4779" s="193"/>
      <c r="F4779" s="195" t="s">
        <v>23045</v>
      </c>
      <c r="G4779" s="196">
        <v>5.44530645E8</v>
      </c>
      <c r="H4779" s="197">
        <v>15.04</v>
      </c>
      <c r="I4779" s="7" t="s">
        <v>16815</v>
      </c>
      <c r="J4779" s="7" t="s">
        <v>187</v>
      </c>
      <c r="K4779" s="7" t="s">
        <v>16969</v>
      </c>
      <c r="L4779" s="198" t="s">
        <v>65</v>
      </c>
      <c r="M4779" s="194"/>
      <c r="N4779" s="194"/>
    </row>
    <row r="4780">
      <c r="A4780" s="193" t="s">
        <v>23046</v>
      </c>
      <c r="B4780" s="7" t="s">
        <v>175</v>
      </c>
      <c r="C4780" s="7" t="s">
        <v>18570</v>
      </c>
      <c r="D4780" s="199"/>
      <c r="E4780" s="193"/>
      <c r="F4780" s="195" t="s">
        <v>23047</v>
      </c>
      <c r="G4780" s="196">
        <v>5.43300216E8</v>
      </c>
      <c r="H4780" s="197">
        <v>9.35</v>
      </c>
      <c r="I4780" s="7" t="s">
        <v>16903</v>
      </c>
      <c r="J4780" s="7" t="s">
        <v>175</v>
      </c>
      <c r="K4780" s="7" t="s">
        <v>18570</v>
      </c>
      <c r="L4780" s="198" t="s">
        <v>65</v>
      </c>
      <c r="M4780" s="199"/>
      <c r="N4780" s="199"/>
    </row>
    <row r="4781">
      <c r="A4781" s="193" t="s">
        <v>23048</v>
      </c>
      <c r="B4781" s="7" t="s">
        <v>175</v>
      </c>
      <c r="C4781" s="7" t="s">
        <v>17457</v>
      </c>
      <c r="D4781" s="194">
        <v>2018.0</v>
      </c>
      <c r="E4781" s="193"/>
      <c r="F4781" s="195" t="s">
        <v>23049</v>
      </c>
      <c r="G4781" s="196">
        <v>5.42713011E8</v>
      </c>
      <c r="H4781" s="197">
        <v>22.25</v>
      </c>
      <c r="I4781" s="7" t="s">
        <v>168</v>
      </c>
      <c r="J4781" s="7" t="s">
        <v>175</v>
      </c>
      <c r="K4781" s="7" t="s">
        <v>17457</v>
      </c>
      <c r="L4781" s="198" t="s">
        <v>65</v>
      </c>
      <c r="M4781" s="194"/>
      <c r="N4781" s="194"/>
    </row>
    <row r="4782">
      <c r="A4782" s="193" t="s">
        <v>23050</v>
      </c>
      <c r="B4782" s="7" t="s">
        <v>16838</v>
      </c>
      <c r="C4782" s="7" t="s">
        <v>16867</v>
      </c>
      <c r="D4782" s="194">
        <v>1998.0</v>
      </c>
      <c r="E4782" s="193"/>
      <c r="F4782" s="195" t="s">
        <v>23051</v>
      </c>
      <c r="G4782" s="196">
        <v>5.42110763E8</v>
      </c>
      <c r="H4782" s="197">
        <v>33.83</v>
      </c>
      <c r="I4782" s="7" t="s">
        <v>16815</v>
      </c>
      <c r="J4782" s="7" t="s">
        <v>16838</v>
      </c>
      <c r="K4782" s="7" t="s">
        <v>16867</v>
      </c>
      <c r="L4782" s="198" t="s">
        <v>65</v>
      </c>
      <c r="M4782" s="194"/>
      <c r="N4782" s="194"/>
    </row>
    <row r="4783">
      <c r="A4783" s="193" t="s">
        <v>23052</v>
      </c>
      <c r="B4783" s="7" t="s">
        <v>175</v>
      </c>
      <c r="C4783" s="7" t="s">
        <v>17233</v>
      </c>
      <c r="D4783" s="194">
        <v>2013.0</v>
      </c>
      <c r="E4783" s="193"/>
      <c r="F4783" s="195" t="s">
        <v>23053</v>
      </c>
      <c r="G4783" s="196">
        <v>5.41973807E8</v>
      </c>
      <c r="H4783" s="197">
        <v>13.16</v>
      </c>
      <c r="I4783" s="7" t="s">
        <v>174</v>
      </c>
      <c r="J4783" s="7" t="s">
        <v>175</v>
      </c>
      <c r="K4783" s="7" t="s">
        <v>17233</v>
      </c>
      <c r="L4783" s="198" t="s">
        <v>65</v>
      </c>
      <c r="M4783" s="194"/>
      <c r="N4783" s="194"/>
    </row>
    <row r="4784">
      <c r="A4784" s="193" t="s">
        <v>23052</v>
      </c>
      <c r="B4784" s="7" t="s">
        <v>17233</v>
      </c>
      <c r="C4784" s="7" t="s">
        <v>175</v>
      </c>
      <c r="D4784" s="194">
        <v>2013.0</v>
      </c>
      <c r="E4784" s="193"/>
      <c r="F4784" s="195" t="s">
        <v>23053</v>
      </c>
      <c r="G4784" s="200">
        <v>5.41973807E8</v>
      </c>
      <c r="H4784" s="197">
        <v>13.16</v>
      </c>
      <c r="I4784" s="7" t="s">
        <v>16815</v>
      </c>
      <c r="J4784" s="7" t="s">
        <v>17233</v>
      </c>
      <c r="K4784" s="7" t="s">
        <v>175</v>
      </c>
      <c r="L4784" s="201" t="s">
        <v>16835</v>
      </c>
      <c r="M4784" s="194"/>
      <c r="N4784" s="194"/>
    </row>
    <row r="4785">
      <c r="A4785" s="193" t="s">
        <v>23054</v>
      </c>
      <c r="B4785" s="7" t="s">
        <v>17111</v>
      </c>
      <c r="C4785" s="7" t="s">
        <v>17112</v>
      </c>
      <c r="D4785" s="199"/>
      <c r="E4785" s="193"/>
      <c r="F4785" s="195" t="s">
        <v>23055</v>
      </c>
      <c r="G4785" s="200">
        <v>5.40757833E8</v>
      </c>
      <c r="H4785" s="197">
        <v>39.12</v>
      </c>
      <c r="I4785" s="7" t="s">
        <v>16815</v>
      </c>
      <c r="J4785" s="7" t="s">
        <v>17111</v>
      </c>
      <c r="K4785" s="7" t="s">
        <v>17112</v>
      </c>
      <c r="L4785" s="201" t="s">
        <v>16835</v>
      </c>
      <c r="M4785" s="199"/>
      <c r="N4785" s="199"/>
    </row>
    <row r="4786">
      <c r="A4786" s="193" t="s">
        <v>23054</v>
      </c>
      <c r="B4786" s="7" t="s">
        <v>17112</v>
      </c>
      <c r="C4786" s="7" t="s">
        <v>17111</v>
      </c>
      <c r="D4786" s="199"/>
      <c r="E4786" s="193"/>
      <c r="F4786" s="195" t="s">
        <v>23055</v>
      </c>
      <c r="G4786" s="196">
        <v>5.40757833E8</v>
      </c>
      <c r="H4786" s="197">
        <v>39.12</v>
      </c>
      <c r="I4786" s="7" t="s">
        <v>16815</v>
      </c>
      <c r="J4786" s="7" t="s">
        <v>17112</v>
      </c>
      <c r="K4786" s="7" t="s">
        <v>17111</v>
      </c>
      <c r="L4786" s="198" t="s">
        <v>65</v>
      </c>
      <c r="M4786" s="199"/>
      <c r="N4786" s="199"/>
    </row>
    <row r="4787">
      <c r="A4787" s="193" t="s">
        <v>23056</v>
      </c>
      <c r="B4787" s="7" t="s">
        <v>16582</v>
      </c>
      <c r="C4787" s="7" t="s">
        <v>16995</v>
      </c>
      <c r="D4787" s="194">
        <v>2020.0</v>
      </c>
      <c r="E4787" s="193"/>
      <c r="F4787" s="195" t="s">
        <v>23057</v>
      </c>
      <c r="G4787" s="196">
        <v>5.39981334E8</v>
      </c>
      <c r="H4787" s="197">
        <v>3.6</v>
      </c>
      <c r="I4787" s="7" t="s">
        <v>16815</v>
      </c>
      <c r="J4787" s="7" t="s">
        <v>16582</v>
      </c>
      <c r="K4787" s="7" t="s">
        <v>16995</v>
      </c>
      <c r="L4787" s="198" t="s">
        <v>65</v>
      </c>
      <c r="M4787" s="194"/>
      <c r="N4787" s="194"/>
    </row>
    <row r="4788">
      <c r="A4788" s="193" t="s">
        <v>7688</v>
      </c>
      <c r="B4788" s="7" t="s">
        <v>16582</v>
      </c>
      <c r="C4788" s="7" t="s">
        <v>16817</v>
      </c>
      <c r="D4788" s="194">
        <v>2021.0</v>
      </c>
      <c r="E4788" s="193"/>
      <c r="F4788" s="195" t="s">
        <v>23058</v>
      </c>
      <c r="G4788" s="196">
        <v>5.39581E8</v>
      </c>
      <c r="H4788" s="197">
        <v>6.65</v>
      </c>
      <c r="I4788" s="7" t="s">
        <v>16815</v>
      </c>
      <c r="J4788" s="7" t="s">
        <v>16582</v>
      </c>
      <c r="K4788" s="7" t="s">
        <v>16817</v>
      </c>
      <c r="L4788" s="198" t="s">
        <v>65</v>
      </c>
      <c r="M4788" s="194"/>
      <c r="N4788" s="194"/>
    </row>
    <row r="4789">
      <c r="A4789" s="193" t="s">
        <v>7688</v>
      </c>
      <c r="B4789" s="7" t="s">
        <v>16817</v>
      </c>
      <c r="C4789" s="7" t="s">
        <v>16582</v>
      </c>
      <c r="D4789" s="194">
        <v>2021.0</v>
      </c>
      <c r="E4789" s="193"/>
      <c r="F4789" s="195" t="s">
        <v>23058</v>
      </c>
      <c r="G4789" s="200">
        <v>5.39581E8</v>
      </c>
      <c r="H4789" s="197">
        <v>6.65</v>
      </c>
      <c r="I4789" s="7" t="s">
        <v>16815</v>
      </c>
      <c r="J4789" s="7" t="s">
        <v>16817</v>
      </c>
      <c r="K4789" s="7" t="s">
        <v>16582</v>
      </c>
      <c r="L4789" s="201" t="s">
        <v>16835</v>
      </c>
      <c r="M4789" s="194"/>
      <c r="N4789" s="194"/>
    </row>
    <row r="4790">
      <c r="A4790" s="193" t="s">
        <v>23059</v>
      </c>
      <c r="B4790" s="7" t="s">
        <v>16838</v>
      </c>
      <c r="C4790" s="7" t="s">
        <v>17112</v>
      </c>
      <c r="D4790" s="199"/>
      <c r="E4790" s="193"/>
      <c r="F4790" s="195" t="s">
        <v>23060</v>
      </c>
      <c r="G4790" s="196">
        <v>5.38404659E8</v>
      </c>
      <c r="H4790" s="197">
        <v>56.7</v>
      </c>
      <c r="I4790" s="7" t="s">
        <v>16815</v>
      </c>
      <c r="J4790" s="7" t="s">
        <v>16838</v>
      </c>
      <c r="K4790" s="7" t="s">
        <v>17112</v>
      </c>
      <c r="L4790" s="198" t="s">
        <v>65</v>
      </c>
      <c r="M4790" s="199"/>
      <c r="N4790" s="199"/>
    </row>
    <row r="4791">
      <c r="A4791" s="193" t="s">
        <v>23061</v>
      </c>
      <c r="B4791" s="7" t="s">
        <v>169</v>
      </c>
      <c r="C4791" s="7" t="s">
        <v>16899</v>
      </c>
      <c r="D4791" s="199"/>
      <c r="E4791" s="193"/>
      <c r="F4791" s="195" t="s">
        <v>23062</v>
      </c>
      <c r="G4791" s="196">
        <v>5.38278529E8</v>
      </c>
      <c r="H4791" s="197">
        <v>32.18</v>
      </c>
      <c r="I4791" s="7" t="s">
        <v>16815</v>
      </c>
      <c r="J4791" s="7" t="s">
        <v>169</v>
      </c>
      <c r="K4791" s="7" t="s">
        <v>16899</v>
      </c>
      <c r="L4791" s="198" t="s">
        <v>65</v>
      </c>
      <c r="M4791" s="199"/>
      <c r="N4791" s="199"/>
    </row>
    <row r="4792">
      <c r="A4792" s="193" t="s">
        <v>23063</v>
      </c>
      <c r="B4792" s="7" t="s">
        <v>175</v>
      </c>
      <c r="C4792" s="7" t="s">
        <v>16854</v>
      </c>
      <c r="D4792" s="194">
        <v>2020.0</v>
      </c>
      <c r="E4792" s="193"/>
      <c r="F4792" s="195" t="s">
        <v>23064</v>
      </c>
      <c r="G4792" s="196">
        <v>5.38199276E8</v>
      </c>
      <c r="H4792" s="197">
        <v>7.06</v>
      </c>
      <c r="I4792" s="7" t="s">
        <v>16826</v>
      </c>
      <c r="J4792" s="7" t="s">
        <v>175</v>
      </c>
      <c r="K4792" s="7" t="s">
        <v>16854</v>
      </c>
      <c r="L4792" s="198" t="s">
        <v>65</v>
      </c>
      <c r="M4792" s="194"/>
      <c r="N4792" s="194"/>
    </row>
    <row r="4793">
      <c r="A4793" s="193" t="s">
        <v>23065</v>
      </c>
      <c r="B4793" s="7" t="s">
        <v>187</v>
      </c>
      <c r="C4793" s="7" t="s">
        <v>16846</v>
      </c>
      <c r="D4793" s="194">
        <v>2021.0</v>
      </c>
      <c r="E4793" s="193"/>
      <c r="F4793" s="195" t="s">
        <v>23066</v>
      </c>
      <c r="G4793" s="196">
        <v>5.38025728E8</v>
      </c>
      <c r="H4793" s="197">
        <v>12.14</v>
      </c>
      <c r="I4793" s="7" t="s">
        <v>16815</v>
      </c>
      <c r="J4793" s="7" t="s">
        <v>187</v>
      </c>
      <c r="K4793" s="7" t="s">
        <v>16846</v>
      </c>
      <c r="L4793" s="198" t="s">
        <v>65</v>
      </c>
      <c r="M4793" s="194"/>
      <c r="N4793" s="194"/>
    </row>
    <row r="4794">
      <c r="A4794" s="193" t="s">
        <v>23067</v>
      </c>
      <c r="B4794" s="7" t="s">
        <v>158</v>
      </c>
      <c r="C4794" s="7" t="s">
        <v>16864</v>
      </c>
      <c r="D4794" s="194">
        <v>2018.0</v>
      </c>
      <c r="E4794" s="193"/>
      <c r="F4794" s="195" t="s">
        <v>23068</v>
      </c>
      <c r="G4794" s="196">
        <v>5.37990777E8</v>
      </c>
      <c r="H4794" s="197">
        <v>7.11</v>
      </c>
      <c r="I4794" s="7" t="s">
        <v>17095</v>
      </c>
      <c r="J4794" s="7" t="s">
        <v>158</v>
      </c>
      <c r="K4794" s="7" t="s">
        <v>16864</v>
      </c>
      <c r="L4794" s="198" t="s">
        <v>65</v>
      </c>
      <c r="M4794" s="194"/>
      <c r="N4794" s="194"/>
    </row>
    <row r="4795">
      <c r="A4795" s="193" t="s">
        <v>23069</v>
      </c>
      <c r="B4795" s="7" t="s">
        <v>16838</v>
      </c>
      <c r="C4795" s="7" t="s">
        <v>17127</v>
      </c>
      <c r="D4795" s="194">
        <v>2018.0</v>
      </c>
      <c r="E4795" s="193"/>
      <c r="F4795" s="195" t="s">
        <v>23070</v>
      </c>
      <c r="G4795" s="196">
        <v>5.3640338E8</v>
      </c>
      <c r="H4795" s="197">
        <v>10.95</v>
      </c>
      <c r="I4795" s="7" t="s">
        <v>16815</v>
      </c>
      <c r="J4795" s="7" t="s">
        <v>16838</v>
      </c>
      <c r="K4795" s="7" t="s">
        <v>17127</v>
      </c>
      <c r="L4795" s="198" t="s">
        <v>65</v>
      </c>
      <c r="M4795" s="194"/>
      <c r="N4795" s="194"/>
    </row>
    <row r="4796">
      <c r="A4796" s="193" t="s">
        <v>23071</v>
      </c>
      <c r="B4796" s="7" t="s">
        <v>17112</v>
      </c>
      <c r="C4796" s="7" t="s">
        <v>17218</v>
      </c>
      <c r="D4796" s="194">
        <v>2018.0</v>
      </c>
      <c r="E4796" s="193"/>
      <c r="F4796" s="195" t="s">
        <v>23072</v>
      </c>
      <c r="G4796" s="196">
        <v>5.363376E8</v>
      </c>
      <c r="H4796" s="197">
        <v>13.92</v>
      </c>
      <c r="I4796" s="7" t="s">
        <v>16815</v>
      </c>
      <c r="J4796" s="7" t="s">
        <v>17112</v>
      </c>
      <c r="K4796" s="7" t="s">
        <v>17218</v>
      </c>
      <c r="L4796" s="198" t="s">
        <v>65</v>
      </c>
      <c r="M4796" s="194"/>
      <c r="N4796" s="194"/>
    </row>
    <row r="4797">
      <c r="A4797" s="193" t="s">
        <v>23073</v>
      </c>
      <c r="B4797" s="7" t="s">
        <v>158</v>
      </c>
      <c r="C4797" s="7" t="s">
        <v>16864</v>
      </c>
      <c r="D4797" s="194">
        <v>1999.0</v>
      </c>
      <c r="E4797" s="193"/>
      <c r="F4797" s="195" t="s">
        <v>23074</v>
      </c>
      <c r="G4797" s="196">
        <v>5.357792E8</v>
      </c>
      <c r="H4797" s="197">
        <v>26.23</v>
      </c>
      <c r="I4797" s="7" t="s">
        <v>17316</v>
      </c>
      <c r="J4797" s="7" t="s">
        <v>158</v>
      </c>
      <c r="K4797" s="7" t="s">
        <v>16864</v>
      </c>
      <c r="L4797" s="198" t="s">
        <v>65</v>
      </c>
      <c r="M4797" s="194"/>
      <c r="N4797" s="194"/>
    </row>
    <row r="4798">
      <c r="A4798" s="193" t="s">
        <v>23073</v>
      </c>
      <c r="B4798" s="202" t="s">
        <v>16864</v>
      </c>
      <c r="C4798" s="193" t="s">
        <v>158</v>
      </c>
      <c r="D4798" s="193">
        <v>1999.0</v>
      </c>
      <c r="E4798" s="193"/>
      <c r="F4798" s="203" t="s">
        <v>23074</v>
      </c>
      <c r="G4798" s="200">
        <v>5.357792E8</v>
      </c>
      <c r="H4798" s="205">
        <v>3.49</v>
      </c>
      <c r="J4798" s="202" t="s">
        <v>16864</v>
      </c>
      <c r="K4798" s="193" t="s">
        <v>158</v>
      </c>
      <c r="L4798" s="193" t="s">
        <v>17471</v>
      </c>
      <c r="M4798" s="193"/>
      <c r="N4798" s="193"/>
    </row>
    <row r="4799">
      <c r="A4799" s="193" t="s">
        <v>23075</v>
      </c>
      <c r="B4799" s="7" t="s">
        <v>17112</v>
      </c>
      <c r="C4799" s="7" t="s">
        <v>17218</v>
      </c>
      <c r="D4799" s="194">
        <v>2019.0</v>
      </c>
      <c r="E4799" s="193"/>
      <c r="F4799" s="195" t="s">
        <v>23076</v>
      </c>
      <c r="G4799" s="196">
        <v>5.35371665E8</v>
      </c>
      <c r="H4799" s="197">
        <v>4.29</v>
      </c>
      <c r="I4799" s="7" t="s">
        <v>16815</v>
      </c>
      <c r="J4799" s="7" t="s">
        <v>17112</v>
      </c>
      <c r="K4799" s="7" t="s">
        <v>17218</v>
      </c>
      <c r="L4799" s="198" t="s">
        <v>65</v>
      </c>
      <c r="M4799" s="194"/>
      <c r="N4799" s="194"/>
    </row>
    <row r="4800">
      <c r="A4800" s="193" t="s">
        <v>23075</v>
      </c>
      <c r="B4800" s="7" t="s">
        <v>17218</v>
      </c>
      <c r="C4800" s="7" t="s">
        <v>17112</v>
      </c>
      <c r="D4800" s="194">
        <v>2019.0</v>
      </c>
      <c r="E4800" s="193"/>
      <c r="F4800" s="195" t="s">
        <v>23076</v>
      </c>
      <c r="G4800" s="200">
        <v>5.35371665E8</v>
      </c>
      <c r="H4800" s="197">
        <v>4.29</v>
      </c>
      <c r="I4800" s="7" t="s">
        <v>16815</v>
      </c>
      <c r="J4800" s="7" t="s">
        <v>17218</v>
      </c>
      <c r="K4800" s="7" t="s">
        <v>17112</v>
      </c>
      <c r="L4800" s="201" t="s">
        <v>16835</v>
      </c>
      <c r="M4800" s="194"/>
      <c r="N4800" s="194"/>
    </row>
    <row r="4801">
      <c r="A4801" s="193" t="s">
        <v>23077</v>
      </c>
      <c r="B4801" s="7" t="s">
        <v>175</v>
      </c>
      <c r="C4801" s="7" t="s">
        <v>16854</v>
      </c>
      <c r="D4801" s="199"/>
      <c r="E4801" s="193"/>
      <c r="F4801" s="195" t="s">
        <v>23078</v>
      </c>
      <c r="G4801" s="196">
        <v>5.35021882E8</v>
      </c>
      <c r="H4801" s="197">
        <v>39.35</v>
      </c>
      <c r="I4801" s="7" t="s">
        <v>16908</v>
      </c>
      <c r="J4801" s="7" t="s">
        <v>175</v>
      </c>
      <c r="K4801" s="7" t="s">
        <v>16854</v>
      </c>
      <c r="L4801" s="198" t="s">
        <v>65</v>
      </c>
      <c r="M4801" s="199"/>
      <c r="N4801" s="199"/>
    </row>
    <row r="4802">
      <c r="A4802" s="193" t="s">
        <v>23079</v>
      </c>
      <c r="B4802" s="7" t="s">
        <v>187</v>
      </c>
      <c r="C4802" s="7" t="s">
        <v>16992</v>
      </c>
      <c r="D4802" s="194">
        <v>2020.0</v>
      </c>
      <c r="E4802" s="193"/>
      <c r="F4802" s="195" t="s">
        <v>23080</v>
      </c>
      <c r="G4802" s="196">
        <v>5.33967703E8</v>
      </c>
      <c r="H4802" s="197">
        <v>8.7</v>
      </c>
      <c r="I4802" s="7" t="s">
        <v>16815</v>
      </c>
      <c r="J4802" s="7" t="s">
        <v>187</v>
      </c>
      <c r="K4802" s="7" t="s">
        <v>16992</v>
      </c>
      <c r="L4802" s="198" t="s">
        <v>65</v>
      </c>
      <c r="M4802" s="194"/>
      <c r="N4802" s="194"/>
    </row>
    <row r="4803">
      <c r="A4803" s="193" t="s">
        <v>23081</v>
      </c>
      <c r="B4803" s="7" t="s">
        <v>187</v>
      </c>
      <c r="C4803" s="7" t="s">
        <v>16846</v>
      </c>
      <c r="D4803" s="199"/>
      <c r="E4803" s="193"/>
      <c r="F4803" s="195" t="s">
        <v>23082</v>
      </c>
      <c r="G4803" s="196">
        <v>5.3341235E8</v>
      </c>
      <c r="H4803" s="197">
        <v>10.1</v>
      </c>
      <c r="I4803" s="7" t="s">
        <v>16815</v>
      </c>
      <c r="J4803" s="7" t="s">
        <v>187</v>
      </c>
      <c r="K4803" s="7" t="s">
        <v>16846</v>
      </c>
      <c r="L4803" s="198" t="s">
        <v>65</v>
      </c>
      <c r="M4803" s="199"/>
      <c r="N4803" s="199"/>
    </row>
    <row r="4804">
      <c r="A4804" s="193" t="s">
        <v>23083</v>
      </c>
      <c r="B4804" s="7" t="s">
        <v>17111</v>
      </c>
      <c r="C4804" s="7" t="s">
        <v>17112</v>
      </c>
      <c r="D4804" s="194">
        <v>2014.0</v>
      </c>
      <c r="E4804" s="193"/>
      <c r="F4804" s="195" t="s">
        <v>23084</v>
      </c>
      <c r="G4804" s="200">
        <v>5.32936596E8</v>
      </c>
      <c r="H4804" s="197">
        <v>11.06</v>
      </c>
      <c r="I4804" s="7" t="s">
        <v>16815</v>
      </c>
      <c r="J4804" s="7" t="s">
        <v>17111</v>
      </c>
      <c r="K4804" s="7" t="s">
        <v>17112</v>
      </c>
      <c r="L4804" s="201" t="s">
        <v>16835</v>
      </c>
      <c r="M4804" s="194"/>
      <c r="N4804" s="194"/>
    </row>
    <row r="4805">
      <c r="A4805" s="193" t="s">
        <v>23083</v>
      </c>
      <c r="B4805" s="7" t="s">
        <v>17112</v>
      </c>
      <c r="C4805" s="7" t="s">
        <v>17111</v>
      </c>
      <c r="D4805" s="194">
        <v>2014.0</v>
      </c>
      <c r="E4805" s="193"/>
      <c r="F4805" s="195" t="s">
        <v>23084</v>
      </c>
      <c r="G4805" s="196">
        <v>5.32936596E8</v>
      </c>
      <c r="H4805" s="197">
        <v>11.06</v>
      </c>
      <c r="I4805" s="7" t="s">
        <v>16815</v>
      </c>
      <c r="J4805" s="7" t="s">
        <v>17112</v>
      </c>
      <c r="K4805" s="7" t="s">
        <v>17111</v>
      </c>
      <c r="L4805" s="198" t="s">
        <v>65</v>
      </c>
      <c r="M4805" s="194"/>
      <c r="N4805" s="194"/>
    </row>
    <row r="4806">
      <c r="A4806" s="193" t="s">
        <v>23085</v>
      </c>
      <c r="B4806" s="7" t="s">
        <v>16919</v>
      </c>
      <c r="C4806" s="7" t="s">
        <v>17794</v>
      </c>
      <c r="D4806" s="199"/>
      <c r="E4806" s="193"/>
      <c r="F4806" s="195" t="s">
        <v>23086</v>
      </c>
      <c r="G4806" s="196">
        <v>5.32107316E8</v>
      </c>
      <c r="H4806" s="197">
        <v>33.8</v>
      </c>
      <c r="I4806" s="7" t="s">
        <v>16815</v>
      </c>
      <c r="J4806" s="7" t="s">
        <v>16919</v>
      </c>
      <c r="K4806" s="7" t="s">
        <v>17794</v>
      </c>
      <c r="L4806" s="198" t="s">
        <v>65</v>
      </c>
      <c r="M4806" s="199"/>
      <c r="N4806" s="199"/>
    </row>
    <row r="4807">
      <c r="A4807" s="193" t="s">
        <v>23087</v>
      </c>
      <c r="B4807" s="7" t="s">
        <v>187</v>
      </c>
      <c r="C4807" s="7" t="s">
        <v>16846</v>
      </c>
      <c r="D4807" s="194">
        <v>2020.0</v>
      </c>
      <c r="E4807" s="193"/>
      <c r="F4807" s="195" t="s">
        <v>23088</v>
      </c>
      <c r="G4807" s="196">
        <v>5.30790899E8</v>
      </c>
      <c r="H4807" s="197">
        <v>11.38</v>
      </c>
      <c r="I4807" s="7" t="s">
        <v>16815</v>
      </c>
      <c r="J4807" s="7" t="s">
        <v>187</v>
      </c>
      <c r="K4807" s="7" t="s">
        <v>16846</v>
      </c>
      <c r="L4807" s="198" t="s">
        <v>65</v>
      </c>
      <c r="M4807" s="194"/>
      <c r="N4807" s="194"/>
    </row>
    <row r="4808">
      <c r="A4808" s="193" t="s">
        <v>23089</v>
      </c>
      <c r="B4808" s="7" t="s">
        <v>158</v>
      </c>
      <c r="C4808" s="7" t="s">
        <v>16864</v>
      </c>
      <c r="D4808" s="194">
        <v>2016.0</v>
      </c>
      <c r="E4808" s="193"/>
      <c r="F4808" s="195" t="s">
        <v>23090</v>
      </c>
      <c r="G4808" s="196">
        <v>5.30034234E8</v>
      </c>
      <c r="H4808" s="197">
        <v>14.29</v>
      </c>
      <c r="I4808" s="7" t="s">
        <v>180</v>
      </c>
      <c r="J4808" s="7" t="s">
        <v>158</v>
      </c>
      <c r="K4808" s="7" t="s">
        <v>16864</v>
      </c>
      <c r="L4808" s="198" t="s">
        <v>65</v>
      </c>
      <c r="M4808" s="194"/>
      <c r="N4808" s="194"/>
    </row>
    <row r="4809">
      <c r="A4809" s="193" t="s">
        <v>23089</v>
      </c>
      <c r="B4809" s="7" t="s">
        <v>16864</v>
      </c>
      <c r="C4809" s="7" t="s">
        <v>158</v>
      </c>
      <c r="D4809" s="194">
        <v>2016.0</v>
      </c>
      <c r="E4809" s="193"/>
      <c r="F4809" s="195" t="s">
        <v>23090</v>
      </c>
      <c r="G4809" s="200">
        <v>5.30034234E8</v>
      </c>
      <c r="H4809" s="197">
        <v>14.29</v>
      </c>
      <c r="I4809" s="7" t="s">
        <v>16815</v>
      </c>
      <c r="J4809" s="7" t="s">
        <v>16864</v>
      </c>
      <c r="K4809" s="7" t="s">
        <v>158</v>
      </c>
      <c r="L4809" s="201" t="s">
        <v>16835</v>
      </c>
      <c r="M4809" s="194"/>
      <c r="N4809" s="194"/>
    </row>
    <row r="4810">
      <c r="A4810" s="193" t="s">
        <v>23091</v>
      </c>
      <c r="B4810" s="7" t="s">
        <v>175</v>
      </c>
      <c r="C4810" s="7" t="s">
        <v>17480</v>
      </c>
      <c r="D4810" s="194">
        <v>1999.0</v>
      </c>
      <c r="E4810" s="193"/>
      <c r="F4810" s="195" t="s">
        <v>23092</v>
      </c>
      <c r="G4810" s="196">
        <v>5.2942752E8</v>
      </c>
      <c r="H4810" s="197">
        <v>8.17</v>
      </c>
      <c r="I4810" s="7" t="s">
        <v>16908</v>
      </c>
      <c r="J4810" s="7" t="s">
        <v>175</v>
      </c>
      <c r="K4810" s="7" t="s">
        <v>17480</v>
      </c>
      <c r="L4810" s="198" t="s">
        <v>65</v>
      </c>
      <c r="M4810" s="194"/>
      <c r="N4810" s="194"/>
    </row>
    <row r="4811">
      <c r="A4811" s="193" t="s">
        <v>23093</v>
      </c>
      <c r="B4811" s="7" t="s">
        <v>175</v>
      </c>
      <c r="C4811" s="7" t="s">
        <v>16824</v>
      </c>
      <c r="D4811" s="194">
        <v>2018.0</v>
      </c>
      <c r="E4811" s="193"/>
      <c r="F4811" s="195" t="s">
        <v>23094</v>
      </c>
      <c r="G4811" s="196">
        <v>5.28915E8</v>
      </c>
      <c r="H4811" s="197">
        <v>1.5</v>
      </c>
      <c r="I4811" s="7" t="s">
        <v>16908</v>
      </c>
      <c r="J4811" s="7" t="s">
        <v>175</v>
      </c>
      <c r="K4811" s="7" t="s">
        <v>16824</v>
      </c>
      <c r="L4811" s="198" t="s">
        <v>65</v>
      </c>
      <c r="M4811" s="194"/>
      <c r="N4811" s="194"/>
    </row>
    <row r="4812">
      <c r="A4812" s="193" t="s">
        <v>23093</v>
      </c>
      <c r="B4812" s="7" t="s">
        <v>16824</v>
      </c>
      <c r="C4812" s="7" t="s">
        <v>175</v>
      </c>
      <c r="D4812" s="194">
        <v>2018.0</v>
      </c>
      <c r="E4812" s="193"/>
      <c r="F4812" s="195" t="s">
        <v>23094</v>
      </c>
      <c r="G4812" s="200">
        <v>5.28915E8</v>
      </c>
      <c r="H4812" s="197">
        <v>1.5</v>
      </c>
      <c r="I4812" s="7" t="s">
        <v>16815</v>
      </c>
      <c r="J4812" s="7" t="s">
        <v>16824</v>
      </c>
      <c r="K4812" s="7" t="s">
        <v>175</v>
      </c>
      <c r="L4812" s="201" t="s">
        <v>16835</v>
      </c>
      <c r="M4812" s="194"/>
      <c r="N4812" s="194"/>
    </row>
    <row r="4813">
      <c r="A4813" s="193" t="s">
        <v>23095</v>
      </c>
      <c r="D4813" s="194">
        <v>2021.0</v>
      </c>
      <c r="E4813" s="193"/>
      <c r="F4813" s="195" t="s">
        <v>23096</v>
      </c>
      <c r="G4813" s="196">
        <v>5.27430682E8</v>
      </c>
      <c r="H4813" s="197">
        <v>13.02</v>
      </c>
      <c r="I4813" s="7" t="s">
        <v>16815</v>
      </c>
      <c r="L4813" s="198" t="s">
        <v>65</v>
      </c>
      <c r="M4813" s="194"/>
      <c r="N4813" s="194"/>
    </row>
    <row r="4814">
      <c r="A4814" s="193" t="s">
        <v>23097</v>
      </c>
      <c r="B4814" s="7" t="s">
        <v>158</v>
      </c>
      <c r="C4814" s="7" t="s">
        <v>16870</v>
      </c>
      <c r="D4814" s="194">
        <v>2018.0</v>
      </c>
      <c r="E4814" s="193"/>
      <c r="F4814" s="195" t="s">
        <v>23098</v>
      </c>
      <c r="G4814" s="196">
        <v>5.2602192E8</v>
      </c>
      <c r="H4814" s="197">
        <v>4.8</v>
      </c>
      <c r="I4814" s="7" t="s">
        <v>17095</v>
      </c>
      <c r="J4814" s="7" t="s">
        <v>158</v>
      </c>
      <c r="K4814" s="7" t="s">
        <v>16870</v>
      </c>
      <c r="L4814" s="198" t="s">
        <v>65</v>
      </c>
      <c r="M4814" s="194"/>
      <c r="N4814" s="194"/>
    </row>
    <row r="4815">
      <c r="A4815" s="193" t="s">
        <v>23099</v>
      </c>
      <c r="B4815" s="7" t="s">
        <v>187</v>
      </c>
      <c r="C4815" s="7" t="s">
        <v>16846</v>
      </c>
      <c r="D4815" s="194">
        <v>2014.0</v>
      </c>
      <c r="E4815" s="193"/>
      <c r="F4815" s="195" t="s">
        <v>23100</v>
      </c>
      <c r="G4815" s="196">
        <v>5.24246476E8</v>
      </c>
      <c r="H4815" s="197">
        <v>5.97</v>
      </c>
      <c r="I4815" s="7" t="s">
        <v>16815</v>
      </c>
      <c r="J4815" s="7" t="s">
        <v>187</v>
      </c>
      <c r="K4815" s="7" t="s">
        <v>16846</v>
      </c>
      <c r="L4815" s="198" t="s">
        <v>65</v>
      </c>
      <c r="M4815" s="194"/>
      <c r="N4815" s="194"/>
    </row>
    <row r="4816">
      <c r="A4816" s="193" t="s">
        <v>23101</v>
      </c>
      <c r="B4816" s="7" t="s">
        <v>169</v>
      </c>
      <c r="C4816" s="7" t="s">
        <v>17043</v>
      </c>
      <c r="D4816" s="199"/>
      <c r="E4816" s="193"/>
      <c r="F4816" s="195" t="s">
        <v>23102</v>
      </c>
      <c r="G4816" s="196">
        <v>5.23436496E8</v>
      </c>
      <c r="H4816" s="197">
        <v>40.43</v>
      </c>
      <c r="I4816" s="7" t="s">
        <v>16815</v>
      </c>
      <c r="J4816" s="7" t="s">
        <v>169</v>
      </c>
      <c r="K4816" s="7" t="s">
        <v>17043</v>
      </c>
      <c r="L4816" s="198" t="s">
        <v>65</v>
      </c>
      <c r="M4816" s="199"/>
      <c r="N4816" s="199"/>
    </row>
    <row r="4817">
      <c r="A4817" s="193" t="s">
        <v>23103</v>
      </c>
      <c r="B4817" s="7" t="s">
        <v>16919</v>
      </c>
      <c r="C4817" s="7" t="s">
        <v>17794</v>
      </c>
      <c r="D4817" s="199"/>
      <c r="E4817" s="193"/>
      <c r="F4817" s="195" t="s">
        <v>23104</v>
      </c>
      <c r="G4817" s="196">
        <v>5.23173929E8</v>
      </c>
      <c r="H4817" s="197">
        <v>36.53</v>
      </c>
      <c r="I4817" s="7" t="s">
        <v>16815</v>
      </c>
      <c r="J4817" s="7" t="s">
        <v>16919</v>
      </c>
      <c r="K4817" s="7" t="s">
        <v>17794</v>
      </c>
      <c r="L4817" s="198" t="s">
        <v>65</v>
      </c>
      <c r="M4817" s="199"/>
      <c r="N4817" s="199"/>
    </row>
    <row r="4818">
      <c r="A4818" s="193" t="s">
        <v>23105</v>
      </c>
      <c r="B4818" s="7" t="s">
        <v>158</v>
      </c>
      <c r="C4818" s="7" t="s">
        <v>17171</v>
      </c>
      <c r="D4818" s="194">
        <v>2006.0</v>
      </c>
      <c r="E4818" s="193"/>
      <c r="F4818" s="195" t="s">
        <v>23106</v>
      </c>
      <c r="G4818" s="196">
        <v>5.2304551E8</v>
      </c>
      <c r="H4818" s="197">
        <v>19.56</v>
      </c>
      <c r="I4818" s="7" t="s">
        <v>17098</v>
      </c>
      <c r="J4818" s="7" t="s">
        <v>158</v>
      </c>
      <c r="K4818" s="7" t="s">
        <v>17171</v>
      </c>
      <c r="L4818" s="198" t="s">
        <v>65</v>
      </c>
      <c r="M4818" s="194"/>
      <c r="N4818" s="194"/>
    </row>
    <row r="4819">
      <c r="A4819" s="193" t="s">
        <v>23105</v>
      </c>
      <c r="B4819" s="7" t="s">
        <v>17171</v>
      </c>
      <c r="C4819" s="7" t="s">
        <v>158</v>
      </c>
      <c r="D4819" s="194">
        <v>2006.0</v>
      </c>
      <c r="E4819" s="193"/>
      <c r="F4819" s="195" t="s">
        <v>23106</v>
      </c>
      <c r="G4819" s="200">
        <v>5.2304551E8</v>
      </c>
      <c r="H4819" s="197">
        <v>19.56</v>
      </c>
      <c r="I4819" s="7" t="s">
        <v>16815</v>
      </c>
      <c r="J4819" s="7" t="s">
        <v>17171</v>
      </c>
      <c r="K4819" s="7" t="s">
        <v>158</v>
      </c>
      <c r="L4819" s="201" t="s">
        <v>16835</v>
      </c>
      <c r="M4819" s="194"/>
      <c r="N4819" s="194"/>
    </row>
    <row r="4820">
      <c r="A4820" s="193" t="s">
        <v>23107</v>
      </c>
      <c r="B4820" s="7" t="s">
        <v>175</v>
      </c>
      <c r="C4820" s="7" t="s">
        <v>18310</v>
      </c>
      <c r="D4820" s="194">
        <v>2021.0</v>
      </c>
      <c r="E4820" s="193"/>
      <c r="F4820" s="195" t="s">
        <v>23108</v>
      </c>
      <c r="G4820" s="196">
        <v>5.22280416E8</v>
      </c>
      <c r="H4820" s="197">
        <v>3.38</v>
      </c>
      <c r="I4820" s="7" t="s">
        <v>168</v>
      </c>
      <c r="J4820" s="7" t="s">
        <v>175</v>
      </c>
      <c r="K4820" s="7" t="s">
        <v>18310</v>
      </c>
      <c r="L4820" s="198" t="s">
        <v>65</v>
      </c>
      <c r="M4820" s="194"/>
      <c r="N4820" s="194"/>
    </row>
    <row r="4821">
      <c r="A4821" s="193" t="s">
        <v>23107</v>
      </c>
      <c r="B4821" s="7" t="s">
        <v>18310</v>
      </c>
      <c r="C4821" s="7" t="s">
        <v>175</v>
      </c>
      <c r="D4821" s="194">
        <v>2021.0</v>
      </c>
      <c r="E4821" s="193"/>
      <c r="F4821" s="195" t="s">
        <v>23108</v>
      </c>
      <c r="G4821" s="200">
        <v>5.22280416E8</v>
      </c>
      <c r="H4821" s="197">
        <v>3.38</v>
      </c>
      <c r="I4821" s="7" t="s">
        <v>16815</v>
      </c>
      <c r="J4821" s="7" t="s">
        <v>18310</v>
      </c>
      <c r="K4821" s="7" t="s">
        <v>175</v>
      </c>
      <c r="L4821" s="201" t="s">
        <v>16835</v>
      </c>
      <c r="M4821" s="194"/>
      <c r="N4821" s="194"/>
    </row>
    <row r="4822">
      <c r="A4822" s="193" t="s">
        <v>23109</v>
      </c>
      <c r="B4822" s="7" t="s">
        <v>16919</v>
      </c>
      <c r="C4822" s="7" t="s">
        <v>16920</v>
      </c>
      <c r="D4822" s="194">
        <v>2011.0</v>
      </c>
      <c r="E4822" s="193"/>
      <c r="F4822" s="195" t="s">
        <v>23110</v>
      </c>
      <c r="G4822" s="196">
        <v>5.21113005E8</v>
      </c>
      <c r="H4822" s="197">
        <v>3.95</v>
      </c>
      <c r="I4822" s="7" t="s">
        <v>16815</v>
      </c>
      <c r="J4822" s="7" t="s">
        <v>16919</v>
      </c>
      <c r="K4822" s="7" t="s">
        <v>16920</v>
      </c>
      <c r="L4822" s="198" t="s">
        <v>65</v>
      </c>
      <c r="M4822" s="194"/>
      <c r="N4822" s="194"/>
    </row>
    <row r="4823">
      <c r="A4823" s="193" t="s">
        <v>23109</v>
      </c>
      <c r="B4823" s="7" t="s">
        <v>16920</v>
      </c>
      <c r="C4823" s="7" t="s">
        <v>16919</v>
      </c>
      <c r="D4823" s="194">
        <v>2011.0</v>
      </c>
      <c r="E4823" s="193"/>
      <c r="F4823" s="195" t="s">
        <v>23110</v>
      </c>
      <c r="G4823" s="200">
        <v>5.21113005E8</v>
      </c>
      <c r="H4823" s="197">
        <v>3.95</v>
      </c>
      <c r="I4823" s="7" t="s">
        <v>16815</v>
      </c>
      <c r="J4823" s="7" t="s">
        <v>16920</v>
      </c>
      <c r="K4823" s="7" t="s">
        <v>16919</v>
      </c>
      <c r="L4823" s="201" t="s">
        <v>16835</v>
      </c>
      <c r="M4823" s="194"/>
      <c r="N4823" s="194"/>
    </row>
    <row r="4824">
      <c r="A4824" s="193" t="s">
        <v>23111</v>
      </c>
      <c r="B4824" s="7" t="s">
        <v>175</v>
      </c>
      <c r="C4824" s="7" t="s">
        <v>16942</v>
      </c>
      <c r="D4824" s="194">
        <v>1995.0</v>
      </c>
      <c r="E4824" s="193"/>
      <c r="F4824" s="195" t="s">
        <v>23112</v>
      </c>
      <c r="G4824" s="196">
        <v>5.20725715E8</v>
      </c>
      <c r="H4824" s="197">
        <v>55.28</v>
      </c>
      <c r="I4824" s="7" t="s">
        <v>17222</v>
      </c>
      <c r="J4824" s="7" t="s">
        <v>175</v>
      </c>
      <c r="K4824" s="7" t="s">
        <v>16942</v>
      </c>
      <c r="L4824" s="198" t="s">
        <v>65</v>
      </c>
      <c r="M4824" s="194"/>
      <c r="N4824" s="194"/>
    </row>
    <row r="4825">
      <c r="A4825" s="193" t="s">
        <v>23113</v>
      </c>
      <c r="B4825" s="7" t="s">
        <v>17202</v>
      </c>
      <c r="C4825" s="7" t="s">
        <v>16838</v>
      </c>
      <c r="D4825" s="194">
        <v>2006.0</v>
      </c>
      <c r="E4825" s="193"/>
      <c r="F4825" s="195" t="s">
        <v>23114</v>
      </c>
      <c r="G4825" s="200">
        <v>5.20378071E8</v>
      </c>
      <c r="H4825" s="197">
        <v>10.59</v>
      </c>
      <c r="I4825" s="7" t="s">
        <v>16815</v>
      </c>
      <c r="J4825" s="7" t="s">
        <v>17202</v>
      </c>
      <c r="K4825" s="7" t="s">
        <v>16838</v>
      </c>
      <c r="L4825" s="201" t="s">
        <v>16835</v>
      </c>
      <c r="M4825" s="194"/>
      <c r="N4825" s="194"/>
    </row>
    <row r="4826">
      <c r="A4826" s="193" t="s">
        <v>23115</v>
      </c>
      <c r="B4826" s="7" t="s">
        <v>17202</v>
      </c>
      <c r="C4826" s="7" t="s">
        <v>16838</v>
      </c>
      <c r="D4826" s="194">
        <v>1993.0</v>
      </c>
      <c r="E4826" s="193"/>
      <c r="F4826" s="195" t="s">
        <v>23116</v>
      </c>
      <c r="G4826" s="200">
        <v>5.20378071E8</v>
      </c>
      <c r="H4826" s="197">
        <v>10.59</v>
      </c>
      <c r="I4826" s="7" t="s">
        <v>16815</v>
      </c>
      <c r="J4826" s="7" t="s">
        <v>17202</v>
      </c>
      <c r="K4826" s="7" t="s">
        <v>16838</v>
      </c>
      <c r="L4826" s="201" t="s">
        <v>16835</v>
      </c>
      <c r="M4826" s="194"/>
      <c r="N4826" s="194"/>
    </row>
    <row r="4827">
      <c r="A4827" s="193" t="s">
        <v>23113</v>
      </c>
      <c r="B4827" s="7" t="s">
        <v>16838</v>
      </c>
      <c r="C4827" s="7" t="s">
        <v>17202</v>
      </c>
      <c r="D4827" s="194">
        <v>2006.0</v>
      </c>
      <c r="E4827" s="193"/>
      <c r="F4827" s="195" t="s">
        <v>23114</v>
      </c>
      <c r="G4827" s="196">
        <v>5.20378071E8</v>
      </c>
      <c r="H4827" s="197">
        <v>10.59</v>
      </c>
      <c r="I4827" s="7" t="s">
        <v>16815</v>
      </c>
      <c r="J4827" s="7" t="s">
        <v>16838</v>
      </c>
      <c r="K4827" s="7" t="s">
        <v>17202</v>
      </c>
      <c r="L4827" s="198" t="s">
        <v>65</v>
      </c>
      <c r="M4827" s="194"/>
      <c r="N4827" s="194"/>
    </row>
    <row r="4828">
      <c r="A4828" s="193" t="s">
        <v>23115</v>
      </c>
      <c r="B4828" s="7" t="s">
        <v>16838</v>
      </c>
      <c r="C4828" s="7" t="s">
        <v>17202</v>
      </c>
      <c r="D4828" s="194">
        <v>1993.0</v>
      </c>
      <c r="E4828" s="193"/>
      <c r="F4828" s="195" t="s">
        <v>23116</v>
      </c>
      <c r="G4828" s="196">
        <v>5.20378071E8</v>
      </c>
      <c r="H4828" s="197">
        <v>10.59</v>
      </c>
      <c r="I4828" s="7" t="s">
        <v>16815</v>
      </c>
      <c r="J4828" s="7" t="s">
        <v>16838</v>
      </c>
      <c r="K4828" s="7" t="s">
        <v>17202</v>
      </c>
      <c r="L4828" s="198" t="s">
        <v>65</v>
      </c>
      <c r="M4828" s="194"/>
      <c r="N4828" s="194"/>
    </row>
    <row r="4829">
      <c r="A4829" s="193" t="s">
        <v>23117</v>
      </c>
      <c r="B4829" s="7" t="s">
        <v>187</v>
      </c>
      <c r="C4829" s="7" t="s">
        <v>16846</v>
      </c>
      <c r="D4829" s="194">
        <v>2015.0</v>
      </c>
      <c r="E4829" s="193"/>
      <c r="F4829" s="195" t="s">
        <v>23118</v>
      </c>
      <c r="G4829" s="196">
        <v>5.1966212E8</v>
      </c>
      <c r="H4829" s="197">
        <v>5.25</v>
      </c>
      <c r="I4829" s="7" t="s">
        <v>16815</v>
      </c>
      <c r="J4829" s="7" t="s">
        <v>187</v>
      </c>
      <c r="K4829" s="7" t="s">
        <v>16846</v>
      </c>
      <c r="L4829" s="198" t="s">
        <v>65</v>
      </c>
      <c r="M4829" s="194"/>
      <c r="N4829" s="194"/>
    </row>
    <row r="4830">
      <c r="A4830" s="193" t="s">
        <v>23119</v>
      </c>
      <c r="B4830" s="7" t="s">
        <v>16838</v>
      </c>
      <c r="C4830" s="7" t="s">
        <v>16867</v>
      </c>
      <c r="D4830" s="199"/>
      <c r="E4830" s="193"/>
      <c r="F4830" s="195" t="s">
        <v>23120</v>
      </c>
      <c r="G4830" s="196">
        <v>5.19343053E8</v>
      </c>
      <c r="H4830" s="197">
        <v>17.6</v>
      </c>
      <c r="I4830" s="7" t="s">
        <v>16815</v>
      </c>
      <c r="J4830" s="7" t="s">
        <v>16838</v>
      </c>
      <c r="K4830" s="7" t="s">
        <v>16867</v>
      </c>
      <c r="L4830" s="198" t="s">
        <v>65</v>
      </c>
      <c r="M4830" s="199"/>
      <c r="N4830" s="199"/>
    </row>
    <row r="4831">
      <c r="A4831" s="193" t="s">
        <v>23121</v>
      </c>
      <c r="B4831" s="7" t="s">
        <v>187</v>
      </c>
      <c r="C4831" s="7" t="s">
        <v>16846</v>
      </c>
      <c r="D4831" s="194">
        <v>2022.0</v>
      </c>
      <c r="E4831" s="193"/>
      <c r="F4831" s="195" t="s">
        <v>23122</v>
      </c>
      <c r="G4831" s="196">
        <v>5.18839997E8</v>
      </c>
      <c r="H4831" s="197">
        <v>13.23</v>
      </c>
      <c r="I4831" s="7" t="s">
        <v>16815</v>
      </c>
      <c r="J4831" s="7" t="s">
        <v>187</v>
      </c>
      <c r="K4831" s="7" t="s">
        <v>16846</v>
      </c>
      <c r="L4831" s="198" t="s">
        <v>65</v>
      </c>
      <c r="M4831" s="194"/>
      <c r="N4831" s="194"/>
    </row>
    <row r="4832">
      <c r="A4832" s="193" t="s">
        <v>23123</v>
      </c>
      <c r="B4832" s="7" t="s">
        <v>17111</v>
      </c>
      <c r="C4832" s="7" t="s">
        <v>17112</v>
      </c>
      <c r="D4832" s="194">
        <v>2012.0</v>
      </c>
      <c r="E4832" s="193"/>
      <c r="F4832" s="195" t="s">
        <v>23124</v>
      </c>
      <c r="G4832" s="200">
        <v>5.1812514E8</v>
      </c>
      <c r="H4832" s="197">
        <v>9.57</v>
      </c>
      <c r="I4832" s="7" t="s">
        <v>16815</v>
      </c>
      <c r="J4832" s="7" t="s">
        <v>17111</v>
      </c>
      <c r="K4832" s="7" t="s">
        <v>17112</v>
      </c>
      <c r="L4832" s="201" t="s">
        <v>16835</v>
      </c>
      <c r="M4832" s="194"/>
      <c r="N4832" s="194"/>
    </row>
    <row r="4833">
      <c r="A4833" s="193" t="s">
        <v>23123</v>
      </c>
      <c r="B4833" s="7" t="s">
        <v>17112</v>
      </c>
      <c r="C4833" s="7" t="s">
        <v>17111</v>
      </c>
      <c r="D4833" s="194">
        <v>2012.0</v>
      </c>
      <c r="E4833" s="193"/>
      <c r="F4833" s="195" t="s">
        <v>23124</v>
      </c>
      <c r="G4833" s="196">
        <v>5.1812514E8</v>
      </c>
      <c r="H4833" s="197">
        <v>9.57</v>
      </c>
      <c r="I4833" s="7" t="s">
        <v>16815</v>
      </c>
      <c r="J4833" s="7" t="s">
        <v>17112</v>
      </c>
      <c r="K4833" s="7" t="s">
        <v>17111</v>
      </c>
      <c r="L4833" s="198" t="s">
        <v>65</v>
      </c>
      <c r="M4833" s="194"/>
      <c r="N4833" s="194"/>
    </row>
    <row r="4834">
      <c r="A4834" s="193" t="s">
        <v>23125</v>
      </c>
      <c r="B4834" s="7" t="s">
        <v>16838</v>
      </c>
      <c r="C4834" s="7" t="s">
        <v>16867</v>
      </c>
      <c r="D4834" s="199"/>
      <c r="E4834" s="193"/>
      <c r="F4834" s="195" t="s">
        <v>23126</v>
      </c>
      <c r="G4834" s="196">
        <v>5.17527911E8</v>
      </c>
      <c r="H4834" s="197">
        <v>20.42</v>
      </c>
      <c r="I4834" s="7" t="s">
        <v>16924</v>
      </c>
      <c r="J4834" s="7" t="s">
        <v>16838</v>
      </c>
      <c r="K4834" s="7" t="s">
        <v>16867</v>
      </c>
      <c r="L4834" s="198" t="s">
        <v>65</v>
      </c>
      <c r="M4834" s="199"/>
      <c r="N4834" s="199"/>
    </row>
    <row r="4835">
      <c r="A4835" s="193" t="s">
        <v>23127</v>
      </c>
      <c r="B4835" s="7" t="s">
        <v>175</v>
      </c>
      <c r="C4835" s="7" t="s">
        <v>17452</v>
      </c>
      <c r="D4835" s="194">
        <v>1999.0</v>
      </c>
      <c r="E4835" s="193"/>
      <c r="F4835" s="195" t="s">
        <v>23128</v>
      </c>
      <c r="G4835" s="196">
        <v>5.16738507E8</v>
      </c>
      <c r="H4835" s="197">
        <v>25.68</v>
      </c>
      <c r="I4835" s="7" t="s">
        <v>16892</v>
      </c>
      <c r="J4835" s="7" t="s">
        <v>175</v>
      </c>
      <c r="K4835" s="7" t="s">
        <v>17452</v>
      </c>
      <c r="L4835" s="198" t="s">
        <v>65</v>
      </c>
      <c r="M4835" s="194"/>
      <c r="N4835" s="194"/>
    </row>
    <row r="4836">
      <c r="A4836" s="193" t="s">
        <v>23129</v>
      </c>
      <c r="B4836" s="7" t="s">
        <v>16885</v>
      </c>
      <c r="C4836" s="7" t="s">
        <v>20119</v>
      </c>
      <c r="D4836" s="194">
        <v>2023.0</v>
      </c>
      <c r="E4836" s="193"/>
      <c r="F4836" s="195" t="s">
        <v>23130</v>
      </c>
      <c r="G4836" s="196">
        <v>5.16574852E8</v>
      </c>
      <c r="H4836" s="197">
        <v>3.3</v>
      </c>
      <c r="I4836" s="7" t="s">
        <v>17372</v>
      </c>
      <c r="J4836" s="7" t="s">
        <v>16885</v>
      </c>
      <c r="K4836" s="7" t="s">
        <v>20119</v>
      </c>
      <c r="L4836" s="198" t="s">
        <v>65</v>
      </c>
      <c r="M4836" s="194"/>
      <c r="N4836" s="194"/>
    </row>
    <row r="4837">
      <c r="A4837" s="193" t="s">
        <v>23129</v>
      </c>
      <c r="B4837" s="202" t="s">
        <v>20119</v>
      </c>
      <c r="C4837" s="193" t="s">
        <v>16885</v>
      </c>
      <c r="D4837" s="193">
        <v>2023.0</v>
      </c>
      <c r="E4837" s="193"/>
      <c r="F4837" s="203" t="s">
        <v>23130</v>
      </c>
      <c r="G4837" s="200">
        <v>5.16574852E8</v>
      </c>
      <c r="H4837" s="205">
        <v>26.23</v>
      </c>
      <c r="J4837" s="202" t="s">
        <v>20119</v>
      </c>
      <c r="K4837" s="193" t="s">
        <v>16885</v>
      </c>
      <c r="L4837" s="193" t="s">
        <v>17471</v>
      </c>
      <c r="M4837" s="193"/>
      <c r="N4837" s="193"/>
    </row>
    <row r="4838">
      <c r="A4838" s="193" t="s">
        <v>23131</v>
      </c>
      <c r="B4838" s="7" t="s">
        <v>18679</v>
      </c>
      <c r="C4838" s="7" t="s">
        <v>16838</v>
      </c>
      <c r="D4838" s="194">
        <v>2019.0</v>
      </c>
      <c r="E4838" s="193"/>
      <c r="F4838" s="195" t="s">
        <v>23132</v>
      </c>
      <c r="G4838" s="200">
        <v>5.15947285E8</v>
      </c>
      <c r="H4838" s="197">
        <v>9.42</v>
      </c>
      <c r="I4838" s="7" t="s">
        <v>16815</v>
      </c>
      <c r="J4838" s="7" t="s">
        <v>18679</v>
      </c>
      <c r="K4838" s="7" t="s">
        <v>16838</v>
      </c>
      <c r="L4838" s="201" t="s">
        <v>16835</v>
      </c>
      <c r="M4838" s="194"/>
      <c r="N4838" s="194"/>
    </row>
    <row r="4839">
      <c r="A4839" s="193" t="s">
        <v>23131</v>
      </c>
      <c r="B4839" s="7" t="s">
        <v>16838</v>
      </c>
      <c r="C4839" s="7" t="s">
        <v>18679</v>
      </c>
      <c r="D4839" s="194">
        <v>2019.0</v>
      </c>
      <c r="E4839" s="193"/>
      <c r="F4839" s="195" t="s">
        <v>23132</v>
      </c>
      <c r="G4839" s="196">
        <v>5.15947285E8</v>
      </c>
      <c r="H4839" s="197">
        <v>9.42</v>
      </c>
      <c r="I4839" s="7" t="s">
        <v>16815</v>
      </c>
      <c r="J4839" s="7" t="s">
        <v>16838</v>
      </c>
      <c r="K4839" s="7" t="s">
        <v>18679</v>
      </c>
      <c r="L4839" s="198" t="s">
        <v>65</v>
      </c>
      <c r="M4839" s="194"/>
      <c r="N4839" s="194"/>
    </row>
    <row r="4840">
      <c r="A4840" s="193" t="s">
        <v>23133</v>
      </c>
      <c r="B4840" s="7" t="s">
        <v>16582</v>
      </c>
      <c r="C4840" s="7" t="s">
        <v>16583</v>
      </c>
      <c r="D4840" s="194">
        <v>2021.0</v>
      </c>
      <c r="E4840" s="193"/>
      <c r="F4840" s="195" t="s">
        <v>23134</v>
      </c>
      <c r="G4840" s="196">
        <v>5.15936711E8</v>
      </c>
      <c r="H4840" s="197">
        <v>3.6</v>
      </c>
      <c r="I4840" s="7" t="s">
        <v>16815</v>
      </c>
      <c r="J4840" s="7" t="s">
        <v>16582</v>
      </c>
      <c r="K4840" s="7" t="s">
        <v>16583</v>
      </c>
      <c r="L4840" s="198" t="s">
        <v>65</v>
      </c>
      <c r="M4840" s="194"/>
      <c r="N4840" s="194"/>
    </row>
    <row r="4841">
      <c r="A4841" s="193" t="s">
        <v>23135</v>
      </c>
      <c r="B4841" s="7" t="s">
        <v>16582</v>
      </c>
      <c r="C4841" s="7" t="s">
        <v>16817</v>
      </c>
      <c r="D4841" s="194">
        <v>2016.0</v>
      </c>
      <c r="E4841" s="193"/>
      <c r="F4841" s="195" t="s">
        <v>23136</v>
      </c>
      <c r="G4841" s="196">
        <v>5.15687154E8</v>
      </c>
      <c r="H4841" s="197">
        <v>5.98</v>
      </c>
      <c r="I4841" s="7" t="s">
        <v>16815</v>
      </c>
      <c r="J4841" s="7" t="s">
        <v>16582</v>
      </c>
      <c r="K4841" s="7" t="s">
        <v>16817</v>
      </c>
      <c r="L4841" s="198" t="s">
        <v>65</v>
      </c>
      <c r="M4841" s="194"/>
      <c r="N4841" s="194"/>
    </row>
    <row r="4842">
      <c r="A4842" s="193" t="s">
        <v>23137</v>
      </c>
      <c r="B4842" s="7" t="s">
        <v>17111</v>
      </c>
      <c r="C4842" s="7" t="s">
        <v>17112</v>
      </c>
      <c r="D4842" s="194">
        <v>2010.0</v>
      </c>
      <c r="E4842" s="193"/>
      <c r="F4842" s="195" t="s">
        <v>23138</v>
      </c>
      <c r="G4842" s="200">
        <v>5.13705894E8</v>
      </c>
      <c r="H4842" s="197">
        <v>10.36</v>
      </c>
      <c r="I4842" s="7" t="s">
        <v>16815</v>
      </c>
      <c r="J4842" s="7" t="s">
        <v>17111</v>
      </c>
      <c r="K4842" s="7" t="s">
        <v>17112</v>
      </c>
      <c r="L4842" s="201" t="s">
        <v>16835</v>
      </c>
      <c r="M4842" s="194"/>
      <c r="N4842" s="194"/>
    </row>
    <row r="4843">
      <c r="A4843" s="193" t="s">
        <v>23137</v>
      </c>
      <c r="B4843" s="7" t="s">
        <v>17112</v>
      </c>
      <c r="C4843" s="7" t="s">
        <v>17111</v>
      </c>
      <c r="D4843" s="194">
        <v>2010.0</v>
      </c>
      <c r="E4843" s="193"/>
      <c r="F4843" s="195" t="s">
        <v>23138</v>
      </c>
      <c r="G4843" s="196">
        <v>5.13705894E8</v>
      </c>
      <c r="H4843" s="197">
        <v>10.36</v>
      </c>
      <c r="I4843" s="7" t="s">
        <v>16815</v>
      </c>
      <c r="J4843" s="7" t="s">
        <v>17112</v>
      </c>
      <c r="K4843" s="7" t="s">
        <v>17111</v>
      </c>
      <c r="L4843" s="198" t="s">
        <v>65</v>
      </c>
      <c r="M4843" s="194"/>
      <c r="N4843" s="194"/>
    </row>
    <row r="4844">
      <c r="A4844" s="193" t="s">
        <v>23139</v>
      </c>
      <c r="B4844" s="7" t="s">
        <v>16838</v>
      </c>
      <c r="C4844" s="7" t="s">
        <v>18219</v>
      </c>
      <c r="D4844" s="194">
        <v>2021.0</v>
      </c>
      <c r="E4844" s="193"/>
      <c r="F4844" s="195" t="s">
        <v>23140</v>
      </c>
      <c r="G4844" s="196">
        <v>5.1322692E8</v>
      </c>
      <c r="H4844" s="197">
        <v>6.0</v>
      </c>
      <c r="I4844" s="7" t="s">
        <v>16815</v>
      </c>
      <c r="J4844" s="7" t="s">
        <v>16838</v>
      </c>
      <c r="K4844" s="7" t="s">
        <v>18219</v>
      </c>
      <c r="L4844" s="198" t="s">
        <v>65</v>
      </c>
      <c r="M4844" s="194"/>
      <c r="N4844" s="194"/>
    </row>
    <row r="4845">
      <c r="A4845" s="193" t="s">
        <v>23141</v>
      </c>
      <c r="B4845" s="7" t="s">
        <v>17794</v>
      </c>
      <c r="C4845" s="7" t="s">
        <v>16919</v>
      </c>
      <c r="D4845" s="194">
        <v>2021.0</v>
      </c>
      <c r="E4845" s="193"/>
      <c r="F4845" s="195" t="s">
        <v>23142</v>
      </c>
      <c r="G4845" s="200">
        <v>5.11732422E8</v>
      </c>
      <c r="H4845" s="197">
        <v>8.87</v>
      </c>
      <c r="I4845" s="193" t="s">
        <v>16815</v>
      </c>
      <c r="J4845" s="7" t="s">
        <v>17794</v>
      </c>
      <c r="K4845" s="7" t="s">
        <v>16919</v>
      </c>
      <c r="L4845" s="201" t="s">
        <v>16835</v>
      </c>
      <c r="M4845" s="194"/>
      <c r="N4845" s="194"/>
    </row>
    <row r="4846">
      <c r="A4846" s="193" t="s">
        <v>23141</v>
      </c>
      <c r="B4846" s="7" t="s">
        <v>16919</v>
      </c>
      <c r="C4846" s="7" t="s">
        <v>17794</v>
      </c>
      <c r="D4846" s="194">
        <v>2021.0</v>
      </c>
      <c r="E4846" s="193"/>
      <c r="F4846" s="195" t="s">
        <v>23142</v>
      </c>
      <c r="G4846" s="196">
        <v>5.11732422E8</v>
      </c>
      <c r="H4846" s="197">
        <v>8.87</v>
      </c>
      <c r="I4846" s="7" t="s">
        <v>16815</v>
      </c>
      <c r="J4846" s="7" t="s">
        <v>16919</v>
      </c>
      <c r="K4846" s="7" t="s">
        <v>17794</v>
      </c>
      <c r="L4846" s="198" t="s">
        <v>65</v>
      </c>
      <c r="M4846" s="194"/>
      <c r="N4846" s="194"/>
    </row>
    <row r="4847">
      <c r="A4847" s="193" t="s">
        <v>23143</v>
      </c>
      <c r="B4847" s="7" t="s">
        <v>16838</v>
      </c>
      <c r="C4847" s="7" t="s">
        <v>16867</v>
      </c>
      <c r="D4847" s="194">
        <v>2019.0</v>
      </c>
      <c r="E4847" s="193"/>
      <c r="F4847" s="195" t="s">
        <v>23144</v>
      </c>
      <c r="G4847" s="196">
        <v>5.10927343E8</v>
      </c>
      <c r="H4847" s="197">
        <v>20.27</v>
      </c>
      <c r="I4847" s="7" t="s">
        <v>16815</v>
      </c>
      <c r="J4847" s="7" t="s">
        <v>16838</v>
      </c>
      <c r="K4847" s="7" t="s">
        <v>16867</v>
      </c>
      <c r="L4847" s="198" t="s">
        <v>65</v>
      </c>
      <c r="M4847" s="194"/>
      <c r="N4847" s="194"/>
    </row>
    <row r="4848">
      <c r="A4848" s="193" t="s">
        <v>23145</v>
      </c>
      <c r="B4848" s="7" t="s">
        <v>187</v>
      </c>
      <c r="C4848" s="7" t="s">
        <v>16846</v>
      </c>
      <c r="D4848" s="199"/>
      <c r="E4848" s="193"/>
      <c r="F4848" s="195" t="s">
        <v>23146</v>
      </c>
      <c r="G4848" s="196">
        <v>5.10314485E8</v>
      </c>
      <c r="H4848" s="197">
        <v>7.29</v>
      </c>
      <c r="I4848" s="7" t="s">
        <v>16815</v>
      </c>
      <c r="J4848" s="7" t="s">
        <v>187</v>
      </c>
      <c r="K4848" s="7" t="s">
        <v>16846</v>
      </c>
      <c r="L4848" s="198" t="s">
        <v>65</v>
      </c>
      <c r="M4848" s="199"/>
      <c r="N4848" s="199"/>
    </row>
    <row r="4849">
      <c r="A4849" s="193" t="s">
        <v>23147</v>
      </c>
      <c r="B4849" s="7" t="s">
        <v>17202</v>
      </c>
      <c r="C4849" s="7" t="s">
        <v>16838</v>
      </c>
      <c r="D4849" s="199"/>
      <c r="E4849" s="193"/>
      <c r="F4849" s="195" t="s">
        <v>23148</v>
      </c>
      <c r="G4849" s="200">
        <v>5.10221879E8</v>
      </c>
      <c r="H4849" s="197">
        <v>10.84</v>
      </c>
      <c r="I4849" s="7" t="s">
        <v>16815</v>
      </c>
      <c r="J4849" s="7" t="s">
        <v>17202</v>
      </c>
      <c r="K4849" s="7" t="s">
        <v>16838</v>
      </c>
      <c r="L4849" s="201" t="s">
        <v>16835</v>
      </c>
      <c r="M4849" s="199"/>
      <c r="N4849" s="199"/>
    </row>
    <row r="4850">
      <c r="A4850" s="193" t="s">
        <v>23147</v>
      </c>
      <c r="B4850" s="7" t="s">
        <v>16838</v>
      </c>
      <c r="C4850" s="7" t="s">
        <v>17202</v>
      </c>
      <c r="D4850" s="199"/>
      <c r="E4850" s="193"/>
      <c r="F4850" s="195" t="s">
        <v>23148</v>
      </c>
      <c r="G4850" s="196">
        <v>5.10221879E8</v>
      </c>
      <c r="H4850" s="197">
        <v>10.84</v>
      </c>
      <c r="I4850" s="7" t="s">
        <v>16815</v>
      </c>
      <c r="J4850" s="7" t="s">
        <v>16838</v>
      </c>
      <c r="K4850" s="7" t="s">
        <v>17202</v>
      </c>
      <c r="L4850" s="198" t="s">
        <v>65</v>
      </c>
      <c r="M4850" s="199"/>
      <c r="N4850" s="199"/>
    </row>
    <row r="4851">
      <c r="A4851" s="193" t="s">
        <v>23149</v>
      </c>
      <c r="B4851" s="7" t="s">
        <v>16885</v>
      </c>
      <c r="C4851" s="7" t="s">
        <v>17726</v>
      </c>
      <c r="D4851" s="199"/>
      <c r="E4851" s="193"/>
      <c r="F4851" s="195" t="s">
        <v>23150</v>
      </c>
      <c r="G4851" s="196">
        <v>5.09830993E8</v>
      </c>
      <c r="H4851" s="197">
        <v>4.41</v>
      </c>
      <c r="I4851" s="7" t="s">
        <v>16826</v>
      </c>
      <c r="J4851" s="7" t="s">
        <v>16885</v>
      </c>
      <c r="K4851" s="7" t="s">
        <v>17726</v>
      </c>
      <c r="L4851" s="198" t="s">
        <v>65</v>
      </c>
      <c r="M4851" s="199"/>
      <c r="N4851" s="199"/>
    </row>
    <row r="4852">
      <c r="A4852" s="193" t="s">
        <v>23151</v>
      </c>
      <c r="B4852" s="7" t="s">
        <v>187</v>
      </c>
      <c r="C4852" s="7" t="s">
        <v>16846</v>
      </c>
      <c r="D4852" s="194">
        <v>2013.0</v>
      </c>
      <c r="E4852" s="193"/>
      <c r="F4852" s="195" t="s">
        <v>23152</v>
      </c>
      <c r="G4852" s="196">
        <v>5.09628007E8</v>
      </c>
      <c r="H4852" s="197">
        <v>19.16</v>
      </c>
      <c r="I4852" s="7" t="s">
        <v>16815</v>
      </c>
      <c r="J4852" s="7" t="s">
        <v>187</v>
      </c>
      <c r="K4852" s="7" t="s">
        <v>16846</v>
      </c>
      <c r="L4852" s="198" t="s">
        <v>65</v>
      </c>
      <c r="M4852" s="194"/>
      <c r="N4852" s="194"/>
    </row>
    <row r="4853">
      <c r="A4853" s="193" t="s">
        <v>23153</v>
      </c>
      <c r="B4853" s="7" t="s">
        <v>16838</v>
      </c>
      <c r="C4853" s="7" t="s">
        <v>16867</v>
      </c>
      <c r="D4853" s="194">
        <v>2018.0</v>
      </c>
      <c r="E4853" s="193"/>
      <c r="F4853" s="195" t="s">
        <v>23154</v>
      </c>
      <c r="G4853" s="196">
        <v>5.09217748E8</v>
      </c>
      <c r="H4853" s="197">
        <v>38.28</v>
      </c>
      <c r="I4853" s="7" t="s">
        <v>16815</v>
      </c>
      <c r="J4853" s="7" t="s">
        <v>16838</v>
      </c>
      <c r="K4853" s="7" t="s">
        <v>16867</v>
      </c>
      <c r="L4853" s="198" t="s">
        <v>65</v>
      </c>
      <c r="M4853" s="194"/>
      <c r="N4853" s="194"/>
    </row>
    <row r="4854">
      <c r="A4854" s="193" t="s">
        <v>23155</v>
      </c>
      <c r="B4854" s="7" t="s">
        <v>16838</v>
      </c>
      <c r="C4854" s="7" t="s">
        <v>16867</v>
      </c>
      <c r="D4854" s="199"/>
      <c r="E4854" s="193"/>
      <c r="F4854" s="195" t="s">
        <v>23156</v>
      </c>
      <c r="G4854" s="196">
        <v>5.07733978E8</v>
      </c>
      <c r="H4854" s="197">
        <v>8.31</v>
      </c>
      <c r="I4854" s="7" t="s">
        <v>16815</v>
      </c>
      <c r="J4854" s="7" t="s">
        <v>16838</v>
      </c>
      <c r="K4854" s="7" t="s">
        <v>16867</v>
      </c>
      <c r="L4854" s="198" t="s">
        <v>65</v>
      </c>
      <c r="M4854" s="199"/>
      <c r="N4854" s="199"/>
    </row>
    <row r="4855">
      <c r="A4855" s="193" t="s">
        <v>23157</v>
      </c>
      <c r="B4855" s="7" t="s">
        <v>187</v>
      </c>
      <c r="C4855" s="7" t="s">
        <v>16858</v>
      </c>
      <c r="D4855" s="194">
        <v>2019.0</v>
      </c>
      <c r="E4855" s="193"/>
      <c r="F4855" s="195" t="s">
        <v>23158</v>
      </c>
      <c r="G4855" s="196">
        <v>5.07704364E8</v>
      </c>
      <c r="H4855" s="197">
        <v>3.51</v>
      </c>
      <c r="I4855" s="7" t="s">
        <v>16815</v>
      </c>
      <c r="J4855" s="7" t="s">
        <v>187</v>
      </c>
      <c r="K4855" s="7" t="s">
        <v>16858</v>
      </c>
      <c r="L4855" s="198" t="s">
        <v>65</v>
      </c>
      <c r="M4855" s="194"/>
      <c r="N4855" s="194"/>
    </row>
    <row r="4856">
      <c r="A4856" s="193" t="s">
        <v>23159</v>
      </c>
      <c r="B4856" s="7" t="s">
        <v>175</v>
      </c>
      <c r="C4856" s="7" t="s">
        <v>19006</v>
      </c>
      <c r="D4856" s="199"/>
      <c r="E4856" s="193"/>
      <c r="F4856" s="195" t="s">
        <v>23160</v>
      </c>
      <c r="G4856" s="196">
        <v>5.07421976E8</v>
      </c>
      <c r="H4856" s="197">
        <v>49.5</v>
      </c>
      <c r="I4856" s="7" t="s">
        <v>168</v>
      </c>
      <c r="J4856" s="7" t="s">
        <v>175</v>
      </c>
      <c r="K4856" s="7" t="s">
        <v>19006</v>
      </c>
      <c r="L4856" s="198" t="s">
        <v>65</v>
      </c>
      <c r="M4856" s="199"/>
      <c r="N4856" s="199"/>
    </row>
    <row r="4857">
      <c r="A4857" s="193" t="s">
        <v>23161</v>
      </c>
      <c r="B4857" s="7" t="s">
        <v>17111</v>
      </c>
      <c r="C4857" s="7" t="s">
        <v>17112</v>
      </c>
      <c r="D4857" s="194">
        <v>2023.0</v>
      </c>
      <c r="E4857" s="193"/>
      <c r="F4857" s="195" t="s">
        <v>23162</v>
      </c>
      <c r="G4857" s="200">
        <v>5.0729011E8</v>
      </c>
      <c r="H4857" s="197">
        <v>14.1</v>
      </c>
      <c r="I4857" s="7" t="s">
        <v>16815</v>
      </c>
      <c r="J4857" s="7" t="s">
        <v>17111</v>
      </c>
      <c r="K4857" s="7" t="s">
        <v>17112</v>
      </c>
      <c r="L4857" s="201" t="s">
        <v>16835</v>
      </c>
      <c r="M4857" s="194"/>
      <c r="N4857" s="194"/>
    </row>
    <row r="4858">
      <c r="A4858" s="193" t="s">
        <v>23161</v>
      </c>
      <c r="B4858" s="7" t="s">
        <v>17112</v>
      </c>
      <c r="C4858" s="7" t="s">
        <v>17111</v>
      </c>
      <c r="D4858" s="194">
        <v>2023.0</v>
      </c>
      <c r="E4858" s="193"/>
      <c r="F4858" s="195" t="s">
        <v>23162</v>
      </c>
      <c r="G4858" s="196">
        <v>5.0729011E8</v>
      </c>
      <c r="H4858" s="197">
        <v>14.1</v>
      </c>
      <c r="I4858" s="7" t="s">
        <v>16815</v>
      </c>
      <c r="J4858" s="7" t="s">
        <v>17112</v>
      </c>
      <c r="K4858" s="7" t="s">
        <v>17111</v>
      </c>
      <c r="L4858" s="198" t="s">
        <v>65</v>
      </c>
      <c r="M4858" s="194"/>
      <c r="N4858" s="194"/>
    </row>
    <row r="4859">
      <c r="A4859" s="193" t="s">
        <v>23163</v>
      </c>
      <c r="B4859" s="7" t="s">
        <v>17112</v>
      </c>
      <c r="C4859" s="7" t="s">
        <v>17457</v>
      </c>
      <c r="D4859" s="199"/>
      <c r="E4859" s="193"/>
      <c r="F4859" s="195" t="s">
        <v>23164</v>
      </c>
      <c r="G4859" s="196">
        <v>5.06960913E8</v>
      </c>
      <c r="H4859" s="197">
        <v>6.25</v>
      </c>
      <c r="I4859" s="7" t="s">
        <v>16815</v>
      </c>
      <c r="J4859" s="7" t="s">
        <v>17112</v>
      </c>
      <c r="K4859" s="7" t="s">
        <v>17457</v>
      </c>
      <c r="L4859" s="198" t="s">
        <v>65</v>
      </c>
      <c r="M4859" s="199"/>
      <c r="N4859" s="199"/>
    </row>
    <row r="4860">
      <c r="A4860" s="193" t="s">
        <v>23163</v>
      </c>
      <c r="B4860" s="7" t="s">
        <v>17457</v>
      </c>
      <c r="C4860" s="7" t="s">
        <v>17112</v>
      </c>
      <c r="D4860" s="199"/>
      <c r="E4860" s="193"/>
      <c r="F4860" s="195" t="s">
        <v>23164</v>
      </c>
      <c r="G4860" s="200">
        <v>5.06960913E8</v>
      </c>
      <c r="H4860" s="197">
        <v>6.25</v>
      </c>
      <c r="I4860" s="7" t="s">
        <v>16815</v>
      </c>
      <c r="J4860" s="7" t="s">
        <v>17457</v>
      </c>
      <c r="K4860" s="7" t="s">
        <v>17112</v>
      </c>
      <c r="L4860" s="201" t="s">
        <v>16835</v>
      </c>
      <c r="M4860" s="199"/>
      <c r="N4860" s="199"/>
    </row>
    <row r="4861">
      <c r="A4861" s="193" t="s">
        <v>23165</v>
      </c>
      <c r="B4861" s="7" t="s">
        <v>169</v>
      </c>
      <c r="C4861" s="7" t="s">
        <v>16899</v>
      </c>
      <c r="D4861" s="199"/>
      <c r="E4861" s="193"/>
      <c r="F4861" s="195" t="s">
        <v>23166</v>
      </c>
      <c r="G4861" s="196">
        <v>5.06624951E8</v>
      </c>
      <c r="H4861" s="197">
        <v>4.6</v>
      </c>
      <c r="I4861" s="7" t="s">
        <v>16815</v>
      </c>
      <c r="J4861" s="7" t="s">
        <v>169</v>
      </c>
      <c r="K4861" s="7" t="s">
        <v>16899</v>
      </c>
      <c r="L4861" s="198" t="s">
        <v>65</v>
      </c>
      <c r="M4861" s="199"/>
      <c r="N4861" s="199"/>
    </row>
    <row r="4862">
      <c r="A4862" s="193" t="s">
        <v>23167</v>
      </c>
      <c r="B4862" s="7" t="s">
        <v>187</v>
      </c>
      <c r="C4862" s="7" t="s">
        <v>16846</v>
      </c>
      <c r="D4862" s="194">
        <v>2021.0</v>
      </c>
      <c r="E4862" s="193"/>
      <c r="F4862" s="195" t="s">
        <v>23168</v>
      </c>
      <c r="G4862" s="196">
        <v>5.06370865E8</v>
      </c>
      <c r="H4862" s="197">
        <v>11.76</v>
      </c>
      <c r="I4862" s="7" t="s">
        <v>16815</v>
      </c>
      <c r="J4862" s="7" t="s">
        <v>187</v>
      </c>
      <c r="K4862" s="7" t="s">
        <v>16846</v>
      </c>
      <c r="L4862" s="198" t="s">
        <v>65</v>
      </c>
      <c r="M4862" s="194"/>
      <c r="N4862" s="194"/>
    </row>
    <row r="4863">
      <c r="A4863" s="193" t="s">
        <v>23169</v>
      </c>
      <c r="B4863" s="7" t="s">
        <v>17112</v>
      </c>
      <c r="C4863" s="7" t="s">
        <v>16838</v>
      </c>
      <c r="D4863" s="194">
        <v>2015.0</v>
      </c>
      <c r="E4863" s="193"/>
      <c r="F4863" s="195" t="s">
        <v>23170</v>
      </c>
      <c r="G4863" s="200">
        <v>5.06230634E8</v>
      </c>
      <c r="H4863" s="197">
        <v>9.01</v>
      </c>
      <c r="I4863" s="7" t="s">
        <v>16815</v>
      </c>
      <c r="J4863" s="7" t="s">
        <v>17112</v>
      </c>
      <c r="K4863" s="7" t="s">
        <v>16838</v>
      </c>
      <c r="L4863" s="201" t="s">
        <v>16835</v>
      </c>
      <c r="M4863" s="194"/>
      <c r="N4863" s="194"/>
    </row>
    <row r="4864">
      <c r="A4864" s="193" t="s">
        <v>23169</v>
      </c>
      <c r="B4864" s="7" t="s">
        <v>16838</v>
      </c>
      <c r="C4864" s="7" t="s">
        <v>17112</v>
      </c>
      <c r="D4864" s="194">
        <v>2015.0</v>
      </c>
      <c r="E4864" s="193"/>
      <c r="F4864" s="195" t="s">
        <v>23170</v>
      </c>
      <c r="G4864" s="196">
        <v>5.06230634E8</v>
      </c>
      <c r="H4864" s="197">
        <v>9.01</v>
      </c>
      <c r="I4864" s="7" t="s">
        <v>16815</v>
      </c>
      <c r="J4864" s="7" t="s">
        <v>16838</v>
      </c>
      <c r="K4864" s="7" t="s">
        <v>17112</v>
      </c>
      <c r="L4864" s="198" t="s">
        <v>65</v>
      </c>
      <c r="M4864" s="194"/>
      <c r="N4864" s="194"/>
    </row>
    <row r="4865">
      <c r="A4865" s="193" t="s">
        <v>23171</v>
      </c>
      <c r="B4865" s="7" t="s">
        <v>187</v>
      </c>
      <c r="C4865" s="7" t="s">
        <v>16846</v>
      </c>
      <c r="D4865" s="194">
        <v>2020.0</v>
      </c>
      <c r="E4865" s="193"/>
      <c r="F4865" s="195" t="s">
        <v>23172</v>
      </c>
      <c r="G4865" s="196">
        <v>5.05244055E8</v>
      </c>
      <c r="H4865" s="197">
        <v>16.9623</v>
      </c>
      <c r="I4865" s="7" t="s">
        <v>16815</v>
      </c>
      <c r="J4865" s="7" t="s">
        <v>187</v>
      </c>
      <c r="K4865" s="7" t="s">
        <v>16846</v>
      </c>
      <c r="L4865" s="198" t="s">
        <v>65</v>
      </c>
      <c r="M4865" s="194"/>
      <c r="N4865" s="194"/>
    </row>
    <row r="4866">
      <c r="A4866" s="193" t="s">
        <v>23173</v>
      </c>
      <c r="B4866" s="7" t="s">
        <v>16838</v>
      </c>
      <c r="C4866" s="7" t="s">
        <v>16867</v>
      </c>
      <c r="D4866" s="199"/>
      <c r="E4866" s="193"/>
      <c r="F4866" s="195" t="s">
        <v>23174</v>
      </c>
      <c r="G4866" s="196">
        <v>5.04337719E8</v>
      </c>
      <c r="H4866" s="197">
        <v>26.51</v>
      </c>
      <c r="I4866" s="7" t="s">
        <v>16815</v>
      </c>
      <c r="J4866" s="7" t="s">
        <v>16838</v>
      </c>
      <c r="K4866" s="7" t="s">
        <v>16867</v>
      </c>
      <c r="L4866" s="198" t="s">
        <v>65</v>
      </c>
      <c r="M4866" s="199"/>
      <c r="N4866" s="199"/>
    </row>
    <row r="4867">
      <c r="A4867" s="193" t="s">
        <v>23175</v>
      </c>
      <c r="B4867" s="7" t="s">
        <v>175</v>
      </c>
      <c r="C4867" s="7" t="s">
        <v>17457</v>
      </c>
      <c r="D4867" s="194">
        <v>1983.0</v>
      </c>
      <c r="E4867" s="193"/>
      <c r="F4867" s="195" t="s">
        <v>23176</v>
      </c>
      <c r="G4867" s="196">
        <v>5.04035742E8</v>
      </c>
      <c r="H4867" s="197">
        <v>82.7</v>
      </c>
      <c r="I4867" s="7" t="s">
        <v>16892</v>
      </c>
      <c r="J4867" s="7" t="s">
        <v>175</v>
      </c>
      <c r="K4867" s="7" t="s">
        <v>17457</v>
      </c>
      <c r="L4867" s="198" t="s">
        <v>65</v>
      </c>
      <c r="M4867" s="194"/>
      <c r="N4867" s="194"/>
    </row>
    <row r="4868">
      <c r="A4868" s="193" t="s">
        <v>23175</v>
      </c>
      <c r="B4868" s="7" t="s">
        <v>17457</v>
      </c>
      <c r="C4868" s="7" t="s">
        <v>175</v>
      </c>
      <c r="D4868" s="194">
        <v>1983.0</v>
      </c>
      <c r="E4868" s="193"/>
      <c r="F4868" s="195" t="s">
        <v>23176</v>
      </c>
      <c r="G4868" s="200">
        <v>5.04035742E8</v>
      </c>
      <c r="H4868" s="197">
        <v>82.7</v>
      </c>
      <c r="I4868" s="7" t="s">
        <v>16815</v>
      </c>
      <c r="J4868" s="7" t="s">
        <v>17457</v>
      </c>
      <c r="K4868" s="7" t="s">
        <v>175</v>
      </c>
      <c r="L4868" s="201" t="s">
        <v>16835</v>
      </c>
      <c r="M4868" s="194"/>
      <c r="N4868" s="194"/>
    </row>
    <row r="4869">
      <c r="A4869" s="193" t="s">
        <v>23177</v>
      </c>
      <c r="B4869" s="7" t="s">
        <v>17112</v>
      </c>
      <c r="C4869" s="7" t="s">
        <v>16838</v>
      </c>
      <c r="D4869" s="194">
        <v>2012.0</v>
      </c>
      <c r="E4869" s="193"/>
      <c r="F4869" s="195" t="s">
        <v>23178</v>
      </c>
      <c r="G4869" s="200">
        <v>5.03824687E8</v>
      </c>
      <c r="H4869" s="197">
        <v>4.56</v>
      </c>
      <c r="I4869" s="7" t="s">
        <v>16815</v>
      </c>
      <c r="J4869" s="7" t="s">
        <v>17112</v>
      </c>
      <c r="K4869" s="7" t="s">
        <v>16838</v>
      </c>
      <c r="L4869" s="201" t="s">
        <v>16835</v>
      </c>
      <c r="M4869" s="194"/>
      <c r="N4869" s="194"/>
    </row>
    <row r="4870">
      <c r="A4870" s="193" t="s">
        <v>23177</v>
      </c>
      <c r="B4870" s="7" t="s">
        <v>16838</v>
      </c>
      <c r="C4870" s="7" t="s">
        <v>17112</v>
      </c>
      <c r="D4870" s="194">
        <v>2012.0</v>
      </c>
      <c r="E4870" s="193"/>
      <c r="F4870" s="195" t="s">
        <v>23178</v>
      </c>
      <c r="G4870" s="196">
        <v>5.03824687E8</v>
      </c>
      <c r="H4870" s="197">
        <v>4.56</v>
      </c>
      <c r="I4870" s="7" t="s">
        <v>16815</v>
      </c>
      <c r="J4870" s="7" t="s">
        <v>16838</v>
      </c>
      <c r="K4870" s="7" t="s">
        <v>17112</v>
      </c>
      <c r="L4870" s="198" t="s">
        <v>65</v>
      </c>
      <c r="M4870" s="194"/>
      <c r="N4870" s="194"/>
    </row>
    <row r="4871">
      <c r="A4871" s="193" t="s">
        <v>23179</v>
      </c>
      <c r="B4871" s="7" t="s">
        <v>16838</v>
      </c>
      <c r="C4871" s="7" t="s">
        <v>18679</v>
      </c>
      <c r="D4871" s="199"/>
      <c r="E4871" s="193"/>
      <c r="F4871" s="195" t="s">
        <v>23180</v>
      </c>
      <c r="G4871" s="196">
        <v>5.03530125E8</v>
      </c>
      <c r="H4871" s="197">
        <v>4.69</v>
      </c>
      <c r="I4871" s="7" t="s">
        <v>186</v>
      </c>
      <c r="J4871" s="7" t="s">
        <v>16838</v>
      </c>
      <c r="K4871" s="7" t="s">
        <v>18679</v>
      </c>
      <c r="L4871" s="198" t="s">
        <v>65</v>
      </c>
      <c r="M4871" s="199"/>
      <c r="N4871" s="199"/>
    </row>
    <row r="4872">
      <c r="A4872" s="193" t="s">
        <v>23179</v>
      </c>
      <c r="B4872" s="202" t="s">
        <v>18679</v>
      </c>
      <c r="C4872" s="193" t="s">
        <v>16838</v>
      </c>
      <c r="D4872" s="206"/>
      <c r="E4872" s="193"/>
      <c r="F4872" s="203" t="s">
        <v>23180</v>
      </c>
      <c r="G4872" s="200">
        <v>5.03530125E8</v>
      </c>
      <c r="H4872" s="205">
        <v>3.3</v>
      </c>
      <c r="J4872" s="202" t="s">
        <v>18679</v>
      </c>
      <c r="K4872" s="193" t="s">
        <v>16838</v>
      </c>
      <c r="L4872" s="193" t="s">
        <v>17471</v>
      </c>
      <c r="M4872" s="206"/>
      <c r="N4872" s="206"/>
    </row>
    <row r="4873">
      <c r="A4873" s="193" t="s">
        <v>23181</v>
      </c>
      <c r="B4873" s="7" t="s">
        <v>16910</v>
      </c>
      <c r="C4873" s="7" t="s">
        <v>17662</v>
      </c>
      <c r="D4873" s="199"/>
      <c r="E4873" s="193"/>
      <c r="F4873" s="195" t="s">
        <v>23182</v>
      </c>
      <c r="G4873" s="196">
        <v>5.02671109E8</v>
      </c>
      <c r="H4873" s="197">
        <v>4.91</v>
      </c>
      <c r="I4873" s="7" t="s">
        <v>23183</v>
      </c>
      <c r="J4873" s="7" t="s">
        <v>16910</v>
      </c>
      <c r="K4873" s="7" t="s">
        <v>17662</v>
      </c>
      <c r="L4873" s="198" t="s">
        <v>65</v>
      </c>
      <c r="M4873" s="199"/>
      <c r="N4873" s="199"/>
    </row>
    <row r="4874">
      <c r="A4874" s="193" t="s">
        <v>23181</v>
      </c>
      <c r="B4874" s="7" t="s">
        <v>17662</v>
      </c>
      <c r="C4874" s="7" t="s">
        <v>16910</v>
      </c>
      <c r="D4874" s="199"/>
      <c r="E4874" s="193"/>
      <c r="F4874" s="195" t="s">
        <v>23182</v>
      </c>
      <c r="G4874" s="200">
        <v>5.02671109E8</v>
      </c>
      <c r="H4874" s="197">
        <v>4.91</v>
      </c>
      <c r="I4874" s="7" t="s">
        <v>16815</v>
      </c>
      <c r="J4874" s="7" t="s">
        <v>17662</v>
      </c>
      <c r="K4874" s="7" t="s">
        <v>16910</v>
      </c>
      <c r="L4874" s="201" t="s">
        <v>16835</v>
      </c>
      <c r="M4874" s="199"/>
      <c r="N4874" s="199"/>
    </row>
    <row r="4875">
      <c r="A4875" s="193" t="s">
        <v>23184</v>
      </c>
      <c r="B4875" s="7" t="s">
        <v>16910</v>
      </c>
      <c r="C4875" s="7" t="s">
        <v>17119</v>
      </c>
      <c r="D4875" s="194">
        <v>2020.0</v>
      </c>
      <c r="E4875" s="193"/>
      <c r="F4875" s="195" t="s">
        <v>23185</v>
      </c>
      <c r="G4875" s="196">
        <v>4.99643179E8</v>
      </c>
      <c r="H4875" s="197">
        <v>12.01</v>
      </c>
      <c r="I4875" s="7" t="s">
        <v>17063</v>
      </c>
      <c r="J4875" s="7" t="s">
        <v>16910</v>
      </c>
      <c r="K4875" s="7" t="s">
        <v>17119</v>
      </c>
      <c r="L4875" s="198" t="s">
        <v>65</v>
      </c>
      <c r="M4875" s="194"/>
      <c r="N4875" s="194"/>
    </row>
    <row r="4876">
      <c r="A4876" s="193" t="s">
        <v>23186</v>
      </c>
      <c r="B4876" s="7" t="s">
        <v>175</v>
      </c>
      <c r="C4876" s="7" t="s">
        <v>17218</v>
      </c>
      <c r="D4876" s="199"/>
      <c r="E4876" s="193"/>
      <c r="F4876" s="195" t="s">
        <v>23187</v>
      </c>
      <c r="G4876" s="196">
        <v>4.99519728E8</v>
      </c>
      <c r="H4876" s="197">
        <v>37.83</v>
      </c>
      <c r="I4876" s="7" t="s">
        <v>16908</v>
      </c>
      <c r="J4876" s="7" t="s">
        <v>175</v>
      </c>
      <c r="K4876" s="7" t="s">
        <v>17218</v>
      </c>
      <c r="L4876" s="198" t="s">
        <v>65</v>
      </c>
      <c r="M4876" s="199"/>
      <c r="N4876" s="199"/>
    </row>
    <row r="4877">
      <c r="A4877" s="193" t="s">
        <v>23186</v>
      </c>
      <c r="B4877" s="7" t="s">
        <v>17218</v>
      </c>
      <c r="C4877" s="7" t="s">
        <v>175</v>
      </c>
      <c r="D4877" s="199"/>
      <c r="E4877" s="193"/>
      <c r="F4877" s="195" t="s">
        <v>23187</v>
      </c>
      <c r="G4877" s="200">
        <v>4.99519728E8</v>
      </c>
      <c r="H4877" s="197">
        <v>37.83</v>
      </c>
      <c r="I4877" s="7" t="s">
        <v>16815</v>
      </c>
      <c r="J4877" s="7" t="s">
        <v>17218</v>
      </c>
      <c r="K4877" s="7" t="s">
        <v>175</v>
      </c>
      <c r="L4877" s="201" t="s">
        <v>16835</v>
      </c>
      <c r="M4877" s="199"/>
      <c r="N4877" s="199"/>
    </row>
    <row r="4878">
      <c r="A4878" s="193" t="s">
        <v>23188</v>
      </c>
      <c r="B4878" s="7" t="s">
        <v>187</v>
      </c>
      <c r="C4878" s="7" t="s">
        <v>16969</v>
      </c>
      <c r="D4878" s="194">
        <v>2014.0</v>
      </c>
      <c r="E4878" s="193"/>
      <c r="F4878" s="195" t="s">
        <v>23189</v>
      </c>
      <c r="G4878" s="196">
        <v>4.98802682E8</v>
      </c>
      <c r="H4878" s="197">
        <v>39.57</v>
      </c>
      <c r="I4878" s="7" t="s">
        <v>16815</v>
      </c>
      <c r="J4878" s="7" t="s">
        <v>187</v>
      </c>
      <c r="K4878" s="7" t="s">
        <v>16969</v>
      </c>
      <c r="L4878" s="198" t="s">
        <v>65</v>
      </c>
      <c r="M4878" s="194"/>
      <c r="N4878" s="194"/>
    </row>
    <row r="4879">
      <c r="A4879" s="193" t="s">
        <v>23190</v>
      </c>
      <c r="B4879" s="7" t="s">
        <v>16838</v>
      </c>
      <c r="C4879" s="7" t="s">
        <v>17019</v>
      </c>
      <c r="D4879" s="194">
        <v>2022.0</v>
      </c>
      <c r="E4879" s="193"/>
      <c r="F4879" s="195" t="s">
        <v>23191</v>
      </c>
      <c r="G4879" s="196">
        <v>4.98548149E8</v>
      </c>
      <c r="H4879" s="197">
        <v>4.69</v>
      </c>
      <c r="I4879" s="7" t="s">
        <v>16924</v>
      </c>
      <c r="J4879" s="7" t="s">
        <v>16838</v>
      </c>
      <c r="K4879" s="7" t="s">
        <v>17019</v>
      </c>
      <c r="L4879" s="198" t="s">
        <v>65</v>
      </c>
      <c r="M4879" s="194"/>
      <c r="N4879" s="194"/>
    </row>
    <row r="4880">
      <c r="A4880" s="193" t="s">
        <v>23192</v>
      </c>
      <c r="B4880" s="7" t="s">
        <v>16838</v>
      </c>
      <c r="C4880" s="7" t="s">
        <v>16867</v>
      </c>
      <c r="D4880" s="199"/>
      <c r="E4880" s="193"/>
      <c r="F4880" s="195" t="s">
        <v>23193</v>
      </c>
      <c r="G4880" s="196">
        <v>4.97968594E8</v>
      </c>
      <c r="H4880" s="197">
        <v>23.12</v>
      </c>
      <c r="I4880" s="7" t="s">
        <v>16815</v>
      </c>
      <c r="J4880" s="7" t="s">
        <v>16838</v>
      </c>
      <c r="K4880" s="7" t="s">
        <v>16867</v>
      </c>
      <c r="L4880" s="198" t="s">
        <v>65</v>
      </c>
      <c r="M4880" s="199"/>
      <c r="N4880" s="199"/>
    </row>
    <row r="4881">
      <c r="A4881" s="193" t="s">
        <v>23194</v>
      </c>
      <c r="B4881" s="7" t="s">
        <v>17112</v>
      </c>
      <c r="C4881" s="7" t="s">
        <v>17111</v>
      </c>
      <c r="D4881" s="199"/>
      <c r="E4881" s="193"/>
      <c r="F4881" s="195" t="s">
        <v>23195</v>
      </c>
      <c r="G4881" s="196">
        <v>4.97732222E8</v>
      </c>
      <c r="H4881" s="197">
        <v>2.07</v>
      </c>
      <c r="I4881" s="7" t="s">
        <v>16815</v>
      </c>
      <c r="J4881" s="7" t="s">
        <v>17112</v>
      </c>
      <c r="K4881" s="7" t="s">
        <v>17111</v>
      </c>
      <c r="L4881" s="198" t="s">
        <v>65</v>
      </c>
      <c r="M4881" s="199"/>
      <c r="N4881" s="199"/>
    </row>
    <row r="4882">
      <c r="A4882" s="193" t="s">
        <v>23196</v>
      </c>
      <c r="B4882" s="7" t="s">
        <v>16838</v>
      </c>
      <c r="C4882" s="7" t="s">
        <v>17127</v>
      </c>
      <c r="D4882" s="199"/>
      <c r="E4882" s="193"/>
      <c r="F4882" s="195" t="s">
        <v>23197</v>
      </c>
      <c r="G4882" s="196">
        <v>4.96211494E8</v>
      </c>
      <c r="H4882" s="197">
        <v>19.64</v>
      </c>
      <c r="I4882" s="7" t="s">
        <v>16815</v>
      </c>
      <c r="J4882" s="7" t="s">
        <v>16838</v>
      </c>
      <c r="K4882" s="7" t="s">
        <v>17127</v>
      </c>
      <c r="L4882" s="198" t="s">
        <v>65</v>
      </c>
      <c r="M4882" s="199"/>
      <c r="N4882" s="199"/>
    </row>
    <row r="4883">
      <c r="A4883" s="193" t="s">
        <v>23198</v>
      </c>
      <c r="B4883" s="7" t="s">
        <v>17112</v>
      </c>
      <c r="C4883" s="7" t="s">
        <v>17111</v>
      </c>
      <c r="D4883" s="194">
        <v>1993.0</v>
      </c>
      <c r="E4883" s="193"/>
      <c r="F4883" s="195" t="s">
        <v>23199</v>
      </c>
      <c r="G4883" s="196">
        <v>4.95645653E8</v>
      </c>
      <c r="H4883" s="197">
        <v>13.83</v>
      </c>
      <c r="I4883" s="7" t="s">
        <v>16815</v>
      </c>
      <c r="J4883" s="7" t="s">
        <v>17112</v>
      </c>
      <c r="K4883" s="7" t="s">
        <v>17111</v>
      </c>
      <c r="L4883" s="198" t="s">
        <v>65</v>
      </c>
      <c r="M4883" s="194"/>
      <c r="N4883" s="194"/>
    </row>
    <row r="4884">
      <c r="A4884" s="193" t="s">
        <v>23200</v>
      </c>
      <c r="B4884" s="7" t="s">
        <v>169</v>
      </c>
      <c r="C4884" s="7" t="s">
        <v>17025</v>
      </c>
      <c r="D4884" s="199"/>
      <c r="E4884" s="193"/>
      <c r="F4884" s="195" t="s">
        <v>23201</v>
      </c>
      <c r="G4884" s="196">
        <v>4.94698923E8</v>
      </c>
      <c r="H4884" s="197">
        <v>14.1</v>
      </c>
      <c r="I4884" s="7" t="s">
        <v>16815</v>
      </c>
      <c r="J4884" s="7" t="s">
        <v>169</v>
      </c>
      <c r="K4884" s="7" t="s">
        <v>17025</v>
      </c>
      <c r="L4884" s="198" t="s">
        <v>65</v>
      </c>
      <c r="M4884" s="199"/>
      <c r="N4884" s="199"/>
    </row>
    <row r="4885">
      <c r="A4885" s="193" t="s">
        <v>23200</v>
      </c>
      <c r="B4885" s="7" t="s">
        <v>17025</v>
      </c>
      <c r="C4885" s="7" t="s">
        <v>169</v>
      </c>
      <c r="D4885" s="199"/>
      <c r="E4885" s="193"/>
      <c r="F4885" s="195" t="s">
        <v>23201</v>
      </c>
      <c r="G4885" s="200">
        <v>4.94698923E8</v>
      </c>
      <c r="H4885" s="197">
        <v>14.1</v>
      </c>
      <c r="I4885" s="7" t="s">
        <v>16815</v>
      </c>
      <c r="J4885" s="7" t="s">
        <v>17025</v>
      </c>
      <c r="K4885" s="7" t="s">
        <v>169</v>
      </c>
      <c r="L4885" s="201" t="s">
        <v>16835</v>
      </c>
      <c r="M4885" s="199"/>
      <c r="N4885" s="199"/>
    </row>
    <row r="4886">
      <c r="A4886" s="193" t="s">
        <v>23202</v>
      </c>
      <c r="B4886" s="7" t="s">
        <v>19579</v>
      </c>
      <c r="C4886" s="7" t="s">
        <v>16838</v>
      </c>
      <c r="D4886" s="194">
        <v>2005.0</v>
      </c>
      <c r="E4886" s="193"/>
      <c r="F4886" s="195" t="s">
        <v>13673</v>
      </c>
      <c r="G4886" s="200">
        <v>4.94521638E8</v>
      </c>
      <c r="H4886" s="197">
        <v>37.09</v>
      </c>
      <c r="I4886" s="7" t="s">
        <v>16815</v>
      </c>
      <c r="J4886" s="7" t="s">
        <v>19579</v>
      </c>
      <c r="K4886" s="7" t="s">
        <v>16838</v>
      </c>
      <c r="L4886" s="201" t="s">
        <v>16835</v>
      </c>
      <c r="M4886" s="194"/>
      <c r="N4886" s="194"/>
    </row>
    <row r="4887">
      <c r="A4887" s="193" t="s">
        <v>23202</v>
      </c>
      <c r="B4887" s="7" t="s">
        <v>16838</v>
      </c>
      <c r="C4887" s="7" t="s">
        <v>19579</v>
      </c>
      <c r="D4887" s="194">
        <v>2005.0</v>
      </c>
      <c r="E4887" s="193"/>
      <c r="F4887" s="195" t="s">
        <v>13673</v>
      </c>
      <c r="G4887" s="196">
        <v>4.94521638E8</v>
      </c>
      <c r="H4887" s="197">
        <v>37.09</v>
      </c>
      <c r="I4887" s="7" t="s">
        <v>16815</v>
      </c>
      <c r="J4887" s="7" t="s">
        <v>16838</v>
      </c>
      <c r="K4887" s="7" t="s">
        <v>19579</v>
      </c>
      <c r="L4887" s="198" t="s">
        <v>65</v>
      </c>
      <c r="M4887" s="194"/>
      <c r="N4887" s="194"/>
    </row>
    <row r="4888">
      <c r="A4888" s="193" t="s">
        <v>23203</v>
      </c>
      <c r="B4888" s="7" t="s">
        <v>16582</v>
      </c>
      <c r="C4888" s="7" t="s">
        <v>17183</v>
      </c>
      <c r="D4888" s="194">
        <v>2005.0</v>
      </c>
      <c r="E4888" s="193"/>
      <c r="F4888" s="195" t="s">
        <v>23204</v>
      </c>
      <c r="G4888" s="196">
        <v>4.934994E8</v>
      </c>
      <c r="H4888" s="197">
        <v>24.54</v>
      </c>
      <c r="I4888" s="7" t="s">
        <v>16815</v>
      </c>
      <c r="J4888" s="7" t="s">
        <v>16582</v>
      </c>
      <c r="K4888" s="7" t="s">
        <v>17183</v>
      </c>
      <c r="L4888" s="198" t="s">
        <v>65</v>
      </c>
      <c r="M4888" s="194"/>
      <c r="N4888" s="194"/>
    </row>
    <row r="4889">
      <c r="A4889" s="193" t="s">
        <v>23205</v>
      </c>
      <c r="B4889" s="7" t="s">
        <v>187</v>
      </c>
      <c r="C4889" s="7" t="s">
        <v>16846</v>
      </c>
      <c r="D4889" s="194">
        <v>2021.0</v>
      </c>
      <c r="E4889" s="193"/>
      <c r="F4889" s="195" t="s">
        <v>23206</v>
      </c>
      <c r="G4889" s="196">
        <v>4.92553287E8</v>
      </c>
      <c r="H4889" s="197">
        <v>4.24</v>
      </c>
      <c r="I4889" s="7" t="s">
        <v>16815</v>
      </c>
      <c r="J4889" s="7" t="s">
        <v>187</v>
      </c>
      <c r="K4889" s="7" t="s">
        <v>16846</v>
      </c>
      <c r="L4889" s="198" t="s">
        <v>65</v>
      </c>
      <c r="M4889" s="194"/>
      <c r="N4889" s="194"/>
    </row>
    <row r="4890">
      <c r="A4890" s="193" t="s">
        <v>23207</v>
      </c>
      <c r="B4890" s="7" t="s">
        <v>16838</v>
      </c>
      <c r="C4890" s="7" t="s">
        <v>17202</v>
      </c>
      <c r="D4890" s="199"/>
      <c r="E4890" s="193"/>
      <c r="F4890" s="195" t="s">
        <v>23208</v>
      </c>
      <c r="G4890" s="196">
        <v>4.92205642E8</v>
      </c>
      <c r="H4890" s="197">
        <v>16.1</v>
      </c>
      <c r="I4890" s="7" t="s">
        <v>16815</v>
      </c>
      <c r="J4890" s="7" t="s">
        <v>16838</v>
      </c>
      <c r="K4890" s="7" t="s">
        <v>17202</v>
      </c>
      <c r="L4890" s="198" t="s">
        <v>65</v>
      </c>
      <c r="M4890" s="199"/>
      <c r="N4890" s="199"/>
    </row>
    <row r="4891">
      <c r="A4891" s="193" t="s">
        <v>23209</v>
      </c>
      <c r="B4891" s="7" t="s">
        <v>16926</v>
      </c>
      <c r="C4891" s="7" t="s">
        <v>16957</v>
      </c>
      <c r="D4891" s="199"/>
      <c r="E4891" s="193"/>
      <c r="F4891" s="195" t="s">
        <v>23210</v>
      </c>
      <c r="G4891" s="196">
        <v>4.92099459E8</v>
      </c>
      <c r="H4891" s="197">
        <v>31.91</v>
      </c>
      <c r="I4891" s="7" t="s">
        <v>16815</v>
      </c>
      <c r="J4891" s="7" t="s">
        <v>16926</v>
      </c>
      <c r="K4891" s="7" t="s">
        <v>16957</v>
      </c>
      <c r="L4891" s="198" t="s">
        <v>65</v>
      </c>
      <c r="M4891" s="199"/>
      <c r="N4891" s="199"/>
    </row>
    <row r="4892">
      <c r="A4892" s="193" t="s">
        <v>23211</v>
      </c>
      <c r="B4892" s="7" t="s">
        <v>169</v>
      </c>
      <c r="C4892" s="7" t="s">
        <v>17702</v>
      </c>
      <c r="D4892" s="199"/>
      <c r="E4892" s="193"/>
      <c r="F4892" s="195" t="s">
        <v>23212</v>
      </c>
      <c r="G4892" s="196">
        <v>4.92086615E8</v>
      </c>
      <c r="H4892" s="197">
        <v>25.635</v>
      </c>
      <c r="I4892" s="7" t="s">
        <v>16815</v>
      </c>
      <c r="J4892" s="7" t="s">
        <v>169</v>
      </c>
      <c r="K4892" s="7" t="s">
        <v>17702</v>
      </c>
      <c r="L4892" s="198" t="s">
        <v>65</v>
      </c>
      <c r="M4892" s="199"/>
      <c r="N4892" s="199"/>
    </row>
    <row r="4893">
      <c r="A4893" s="193" t="s">
        <v>23213</v>
      </c>
      <c r="B4893" s="7" t="s">
        <v>16838</v>
      </c>
      <c r="C4893" s="7" t="s">
        <v>18679</v>
      </c>
      <c r="D4893" s="194">
        <v>2005.0</v>
      </c>
      <c r="E4893" s="193"/>
      <c r="F4893" s="195" t="s">
        <v>23214</v>
      </c>
      <c r="G4893" s="196">
        <v>4.91826244E8</v>
      </c>
      <c r="H4893" s="197">
        <v>14.51</v>
      </c>
      <c r="I4893" s="7" t="s">
        <v>16815</v>
      </c>
      <c r="J4893" s="7" t="s">
        <v>16838</v>
      </c>
      <c r="K4893" s="7" t="s">
        <v>18679</v>
      </c>
      <c r="L4893" s="198" t="s">
        <v>65</v>
      </c>
      <c r="M4893" s="194"/>
      <c r="N4893" s="194"/>
    </row>
    <row r="4894">
      <c r="A4894" s="193" t="s">
        <v>23215</v>
      </c>
      <c r="B4894" s="7" t="s">
        <v>16926</v>
      </c>
      <c r="C4894" s="7" t="s">
        <v>16957</v>
      </c>
      <c r="D4894" s="194">
        <v>2005.0</v>
      </c>
      <c r="E4894" s="193"/>
      <c r="F4894" s="195" t="s">
        <v>23216</v>
      </c>
      <c r="G4894" s="196">
        <v>4.89249537E8</v>
      </c>
      <c r="H4894" s="197">
        <v>4.2</v>
      </c>
      <c r="I4894" s="7" t="s">
        <v>16815</v>
      </c>
      <c r="J4894" s="7" t="s">
        <v>16926</v>
      </c>
      <c r="K4894" s="7" t="s">
        <v>16957</v>
      </c>
      <c r="L4894" s="198" t="s">
        <v>65</v>
      </c>
      <c r="M4894" s="194"/>
      <c r="N4894" s="194"/>
    </row>
    <row r="4895">
      <c r="A4895" s="193" t="s">
        <v>23217</v>
      </c>
      <c r="B4895" s="7" t="s">
        <v>187</v>
      </c>
      <c r="C4895" s="7" t="s">
        <v>16992</v>
      </c>
      <c r="D4895" s="194">
        <v>2023.0</v>
      </c>
      <c r="E4895" s="193"/>
      <c r="F4895" s="195" t="s">
        <v>23218</v>
      </c>
      <c r="G4895" s="196">
        <v>4.87671894E8</v>
      </c>
      <c r="H4895" s="197">
        <v>8.89</v>
      </c>
      <c r="I4895" s="7" t="s">
        <v>16815</v>
      </c>
      <c r="J4895" s="7" t="s">
        <v>187</v>
      </c>
      <c r="K4895" s="7" t="s">
        <v>16992</v>
      </c>
      <c r="L4895" s="198" t="s">
        <v>65</v>
      </c>
      <c r="M4895" s="194"/>
      <c r="N4895" s="194"/>
    </row>
    <row r="4896">
      <c r="A4896" s="193" t="s">
        <v>23219</v>
      </c>
      <c r="B4896" s="7" t="s">
        <v>16838</v>
      </c>
      <c r="C4896" s="7" t="s">
        <v>16867</v>
      </c>
      <c r="D4896" s="199"/>
      <c r="E4896" s="193"/>
      <c r="F4896" s="195" t="s">
        <v>23220</v>
      </c>
      <c r="G4896" s="196">
        <v>4.87489979E8</v>
      </c>
      <c r="H4896" s="197">
        <v>28.69</v>
      </c>
      <c r="I4896" s="7" t="s">
        <v>16815</v>
      </c>
      <c r="J4896" s="7" t="s">
        <v>16838</v>
      </c>
      <c r="K4896" s="7" t="s">
        <v>16867</v>
      </c>
      <c r="L4896" s="198" t="s">
        <v>65</v>
      </c>
      <c r="M4896" s="199"/>
      <c r="N4896" s="199"/>
    </row>
    <row r="4897">
      <c r="A4897" s="193" t="s">
        <v>23221</v>
      </c>
      <c r="B4897" s="7" t="s">
        <v>16582</v>
      </c>
      <c r="C4897" s="7" t="s">
        <v>16828</v>
      </c>
      <c r="D4897" s="194">
        <v>2018.0</v>
      </c>
      <c r="E4897" s="193"/>
      <c r="F4897" s="195" t="s">
        <v>23222</v>
      </c>
      <c r="G4897" s="196">
        <v>4.85535513E8</v>
      </c>
      <c r="H4897" s="197">
        <v>10.4</v>
      </c>
      <c r="I4897" s="7" t="s">
        <v>16815</v>
      </c>
      <c r="J4897" s="7" t="s">
        <v>16582</v>
      </c>
      <c r="K4897" s="7" t="s">
        <v>16828</v>
      </c>
      <c r="L4897" s="198" t="s">
        <v>65</v>
      </c>
      <c r="M4897" s="194"/>
      <c r="N4897" s="194"/>
    </row>
    <row r="4898">
      <c r="A4898" s="193" t="s">
        <v>23223</v>
      </c>
      <c r="B4898" s="7" t="s">
        <v>19579</v>
      </c>
      <c r="C4898" s="7" t="s">
        <v>16838</v>
      </c>
      <c r="D4898" s="199"/>
      <c r="E4898" s="193"/>
      <c r="F4898" s="195" t="s">
        <v>23224</v>
      </c>
      <c r="G4898" s="200">
        <v>4.85376114E8</v>
      </c>
      <c r="H4898" s="197">
        <v>8.95</v>
      </c>
      <c r="I4898" s="193" t="s">
        <v>16815</v>
      </c>
      <c r="J4898" s="7" t="s">
        <v>19579</v>
      </c>
      <c r="K4898" s="7" t="s">
        <v>16838</v>
      </c>
      <c r="L4898" s="201" t="s">
        <v>16835</v>
      </c>
      <c r="M4898" s="199"/>
      <c r="N4898" s="199"/>
    </row>
    <row r="4899">
      <c r="A4899" s="193" t="s">
        <v>23223</v>
      </c>
      <c r="B4899" s="7" t="s">
        <v>16838</v>
      </c>
      <c r="C4899" s="7" t="s">
        <v>19579</v>
      </c>
      <c r="D4899" s="199"/>
      <c r="E4899" s="193"/>
      <c r="F4899" s="195" t="s">
        <v>23224</v>
      </c>
      <c r="G4899" s="196">
        <v>4.85376114E8</v>
      </c>
      <c r="H4899" s="197">
        <v>8.95</v>
      </c>
      <c r="I4899" s="7" t="s">
        <v>16815</v>
      </c>
      <c r="J4899" s="7" t="s">
        <v>16838</v>
      </c>
      <c r="K4899" s="7" t="s">
        <v>19579</v>
      </c>
      <c r="L4899" s="198" t="s">
        <v>65</v>
      </c>
      <c r="M4899" s="199"/>
      <c r="N4899" s="199"/>
    </row>
    <row r="4900">
      <c r="A4900" s="193" t="s">
        <v>23225</v>
      </c>
      <c r="B4900" s="7" t="s">
        <v>16838</v>
      </c>
      <c r="C4900" s="7" t="s">
        <v>16867</v>
      </c>
      <c r="D4900" s="194">
        <v>2016.0</v>
      </c>
      <c r="E4900" s="193"/>
      <c r="F4900" s="195" t="s">
        <v>23226</v>
      </c>
      <c r="G4900" s="196">
        <v>4.84614765E8</v>
      </c>
      <c r="H4900" s="197">
        <v>22.5</v>
      </c>
      <c r="I4900" s="7" t="s">
        <v>16815</v>
      </c>
      <c r="J4900" s="7" t="s">
        <v>16838</v>
      </c>
      <c r="K4900" s="7" t="s">
        <v>16867</v>
      </c>
      <c r="L4900" s="198" t="s">
        <v>65</v>
      </c>
      <c r="M4900" s="194"/>
      <c r="N4900" s="194"/>
    </row>
    <row r="4901">
      <c r="A4901" s="193" t="s">
        <v>23227</v>
      </c>
      <c r="B4901" s="7" t="s">
        <v>19579</v>
      </c>
      <c r="C4901" s="7" t="s">
        <v>16838</v>
      </c>
      <c r="D4901" s="199"/>
      <c r="E4901" s="193"/>
      <c r="F4901" s="195" t="s">
        <v>23228</v>
      </c>
      <c r="G4901" s="200">
        <v>4.84185756E8</v>
      </c>
      <c r="H4901" s="197">
        <v>8.75</v>
      </c>
      <c r="I4901" s="193" t="s">
        <v>16815</v>
      </c>
      <c r="J4901" s="7" t="s">
        <v>19579</v>
      </c>
      <c r="K4901" s="7" t="s">
        <v>16838</v>
      </c>
      <c r="L4901" s="201" t="s">
        <v>16835</v>
      </c>
      <c r="M4901" s="199"/>
      <c r="N4901" s="199"/>
    </row>
    <row r="4902">
      <c r="A4902" s="193" t="s">
        <v>23227</v>
      </c>
      <c r="B4902" s="7" t="s">
        <v>16838</v>
      </c>
      <c r="C4902" s="7" t="s">
        <v>19579</v>
      </c>
      <c r="D4902" s="199"/>
      <c r="E4902" s="193"/>
      <c r="F4902" s="195" t="s">
        <v>23228</v>
      </c>
      <c r="G4902" s="196">
        <v>4.84185756E8</v>
      </c>
      <c r="H4902" s="197">
        <v>8.75</v>
      </c>
      <c r="I4902" s="7" t="s">
        <v>16815</v>
      </c>
      <c r="J4902" s="7" t="s">
        <v>16838</v>
      </c>
      <c r="K4902" s="7" t="s">
        <v>19579</v>
      </c>
      <c r="L4902" s="198" t="s">
        <v>65</v>
      </c>
      <c r="M4902" s="199"/>
      <c r="N4902" s="199"/>
    </row>
    <row r="4903">
      <c r="A4903" s="193" t="s">
        <v>23229</v>
      </c>
      <c r="B4903" s="7" t="s">
        <v>17202</v>
      </c>
      <c r="C4903" s="7" t="s">
        <v>16838</v>
      </c>
      <c r="D4903" s="194">
        <v>2020.0</v>
      </c>
      <c r="E4903" s="193"/>
      <c r="F4903" s="195" t="s">
        <v>23230</v>
      </c>
      <c r="G4903" s="200">
        <v>4.83932535E8</v>
      </c>
      <c r="H4903" s="197">
        <v>13.16</v>
      </c>
      <c r="I4903" s="7" t="s">
        <v>16815</v>
      </c>
      <c r="J4903" s="7" t="s">
        <v>17202</v>
      </c>
      <c r="K4903" s="7" t="s">
        <v>16838</v>
      </c>
      <c r="L4903" s="201" t="s">
        <v>16835</v>
      </c>
      <c r="M4903" s="194"/>
      <c r="N4903" s="194"/>
    </row>
    <row r="4904">
      <c r="A4904" s="193" t="s">
        <v>23229</v>
      </c>
      <c r="B4904" s="7" t="s">
        <v>16838</v>
      </c>
      <c r="C4904" s="7" t="s">
        <v>17202</v>
      </c>
      <c r="D4904" s="194">
        <v>2020.0</v>
      </c>
      <c r="E4904" s="193"/>
      <c r="F4904" s="195" t="s">
        <v>23230</v>
      </c>
      <c r="G4904" s="196">
        <v>4.83932535E8</v>
      </c>
      <c r="H4904" s="197">
        <v>13.16</v>
      </c>
      <c r="I4904" s="7" t="s">
        <v>16815</v>
      </c>
      <c r="J4904" s="7" t="s">
        <v>16838</v>
      </c>
      <c r="K4904" s="7" t="s">
        <v>17202</v>
      </c>
      <c r="L4904" s="198" t="s">
        <v>65</v>
      </c>
      <c r="M4904" s="194"/>
      <c r="N4904" s="194"/>
    </row>
    <row r="4905">
      <c r="A4905" s="193" t="s">
        <v>23231</v>
      </c>
      <c r="B4905" s="7" t="s">
        <v>175</v>
      </c>
      <c r="C4905" s="7" t="s">
        <v>16824</v>
      </c>
      <c r="D4905" s="199"/>
      <c r="E4905" s="193"/>
      <c r="F4905" s="195" t="s">
        <v>23232</v>
      </c>
      <c r="G4905" s="196">
        <v>4.83622488E8</v>
      </c>
      <c r="H4905" s="197">
        <v>12.96</v>
      </c>
      <c r="I4905" s="7" t="s">
        <v>16908</v>
      </c>
      <c r="J4905" s="7" t="s">
        <v>175</v>
      </c>
      <c r="K4905" s="7" t="s">
        <v>16824</v>
      </c>
      <c r="L4905" s="198" t="s">
        <v>65</v>
      </c>
      <c r="M4905" s="199"/>
      <c r="N4905" s="199"/>
    </row>
    <row r="4906">
      <c r="A4906" s="193" t="s">
        <v>23233</v>
      </c>
      <c r="B4906" s="7" t="s">
        <v>17629</v>
      </c>
      <c r="C4906" s="7" t="s">
        <v>18718</v>
      </c>
      <c r="D4906" s="199"/>
      <c r="E4906" s="193"/>
      <c r="F4906" s="195" t="s">
        <v>23234</v>
      </c>
      <c r="G4906" s="196">
        <v>4.81211143E8</v>
      </c>
      <c r="H4906" s="197">
        <v>4.75</v>
      </c>
      <c r="I4906" s="7" t="s">
        <v>16815</v>
      </c>
      <c r="J4906" s="7" t="s">
        <v>17629</v>
      </c>
      <c r="K4906" s="7" t="s">
        <v>18718</v>
      </c>
      <c r="L4906" s="198" t="s">
        <v>65</v>
      </c>
      <c r="M4906" s="199"/>
      <c r="N4906" s="199"/>
    </row>
    <row r="4907">
      <c r="A4907" s="193" t="s">
        <v>23235</v>
      </c>
      <c r="B4907" s="7" t="s">
        <v>16582</v>
      </c>
      <c r="C4907" s="7" t="s">
        <v>16995</v>
      </c>
      <c r="D4907" s="199"/>
      <c r="E4907" s="193"/>
      <c r="F4907" s="195" t="s">
        <v>23236</v>
      </c>
      <c r="G4907" s="196">
        <v>4.80970016E8</v>
      </c>
      <c r="H4907" s="197">
        <v>10.55</v>
      </c>
      <c r="I4907" s="7" t="s">
        <v>16815</v>
      </c>
      <c r="J4907" s="7" t="s">
        <v>16582</v>
      </c>
      <c r="K4907" s="7" t="s">
        <v>16995</v>
      </c>
      <c r="L4907" s="198" t="s">
        <v>65</v>
      </c>
      <c r="M4907" s="199"/>
      <c r="N4907" s="199"/>
    </row>
    <row r="4908">
      <c r="A4908" s="193" t="s">
        <v>23237</v>
      </c>
      <c r="B4908" s="7" t="s">
        <v>16838</v>
      </c>
      <c r="C4908" s="7" t="s">
        <v>17016</v>
      </c>
      <c r="D4908" s="199"/>
      <c r="E4908" s="193"/>
      <c r="F4908" s="195" t="s">
        <v>23238</v>
      </c>
      <c r="G4908" s="196">
        <v>4.80897406E8</v>
      </c>
      <c r="H4908" s="197">
        <v>2.17</v>
      </c>
      <c r="I4908" s="7" t="s">
        <v>16815</v>
      </c>
      <c r="J4908" s="7" t="s">
        <v>16838</v>
      </c>
      <c r="K4908" s="7" t="s">
        <v>17016</v>
      </c>
      <c r="L4908" s="198" t="s">
        <v>65</v>
      </c>
      <c r="M4908" s="199"/>
      <c r="N4908" s="199"/>
    </row>
    <row r="4909">
      <c r="A4909" s="193" t="s">
        <v>23239</v>
      </c>
      <c r="B4909" s="7" t="s">
        <v>16838</v>
      </c>
      <c r="C4909" s="7" t="s">
        <v>17127</v>
      </c>
      <c r="D4909" s="199"/>
      <c r="E4909" s="193"/>
      <c r="F4909" s="195" t="s">
        <v>23240</v>
      </c>
      <c r="G4909" s="196">
        <v>4.79401956E8</v>
      </c>
      <c r="H4909" s="197">
        <v>14.42</v>
      </c>
      <c r="I4909" s="7" t="s">
        <v>16815</v>
      </c>
      <c r="J4909" s="7" t="s">
        <v>16838</v>
      </c>
      <c r="K4909" s="7" t="s">
        <v>17127</v>
      </c>
      <c r="L4909" s="198" t="s">
        <v>65</v>
      </c>
      <c r="M4909" s="199"/>
      <c r="N4909" s="199"/>
    </row>
    <row r="4910">
      <c r="A4910" s="193" t="s">
        <v>23241</v>
      </c>
      <c r="B4910" s="7" t="s">
        <v>169</v>
      </c>
      <c r="C4910" s="7" t="s">
        <v>17339</v>
      </c>
      <c r="D4910" s="194">
        <v>2022.0</v>
      </c>
      <c r="E4910" s="193"/>
      <c r="F4910" s="195" t="s">
        <v>23242</v>
      </c>
      <c r="G4910" s="196">
        <v>4.79034749E8</v>
      </c>
      <c r="H4910" s="197">
        <v>2.09</v>
      </c>
      <c r="I4910" s="7" t="s">
        <v>16815</v>
      </c>
      <c r="J4910" s="7" t="s">
        <v>169</v>
      </c>
      <c r="K4910" s="7" t="s">
        <v>17339</v>
      </c>
      <c r="L4910" s="198" t="s">
        <v>65</v>
      </c>
      <c r="M4910" s="194"/>
      <c r="N4910" s="194"/>
    </row>
    <row r="4911">
      <c r="A4911" s="193" t="s">
        <v>23241</v>
      </c>
      <c r="B4911" s="7" t="s">
        <v>17339</v>
      </c>
      <c r="C4911" s="7" t="s">
        <v>169</v>
      </c>
      <c r="D4911" s="194">
        <v>2022.0</v>
      </c>
      <c r="E4911" s="193"/>
      <c r="F4911" s="195" t="s">
        <v>23242</v>
      </c>
      <c r="G4911" s="200">
        <v>4.79034749E8</v>
      </c>
      <c r="H4911" s="197">
        <v>2.09</v>
      </c>
      <c r="I4911" s="7" t="s">
        <v>16815</v>
      </c>
      <c r="J4911" s="7" t="s">
        <v>17339</v>
      </c>
      <c r="K4911" s="7" t="s">
        <v>169</v>
      </c>
      <c r="L4911" s="201" t="s">
        <v>16835</v>
      </c>
      <c r="M4911" s="194"/>
      <c r="N4911" s="194"/>
    </row>
    <row r="4912">
      <c r="A4912" s="193" t="s">
        <v>23243</v>
      </c>
      <c r="B4912" s="7" t="s">
        <v>169</v>
      </c>
      <c r="C4912" s="7" t="s">
        <v>17057</v>
      </c>
      <c r="D4912" s="199"/>
      <c r="E4912" s="193"/>
      <c r="F4912" s="195" t="s">
        <v>23244</v>
      </c>
      <c r="G4912" s="196">
        <v>4.78934321E8</v>
      </c>
      <c r="H4912" s="197">
        <v>14.72</v>
      </c>
      <c r="I4912" s="7" t="s">
        <v>16815</v>
      </c>
      <c r="J4912" s="7" t="s">
        <v>169</v>
      </c>
      <c r="K4912" s="7" t="s">
        <v>17057</v>
      </c>
      <c r="L4912" s="198" t="s">
        <v>65</v>
      </c>
      <c r="M4912" s="199"/>
      <c r="N4912" s="199"/>
    </row>
    <row r="4913">
      <c r="A4913" s="193" t="s">
        <v>23245</v>
      </c>
      <c r="B4913" s="7" t="s">
        <v>175</v>
      </c>
      <c r="C4913" s="7" t="s">
        <v>16878</v>
      </c>
      <c r="D4913" s="194">
        <v>2020.0</v>
      </c>
      <c r="E4913" s="193"/>
      <c r="F4913" s="195" t="s">
        <v>23246</v>
      </c>
      <c r="G4913" s="196">
        <v>4.78388761E8</v>
      </c>
      <c r="H4913" s="197">
        <v>3.6</v>
      </c>
      <c r="I4913" s="7" t="s">
        <v>17242</v>
      </c>
      <c r="J4913" s="7" t="s">
        <v>175</v>
      </c>
      <c r="K4913" s="7" t="s">
        <v>16878</v>
      </c>
      <c r="L4913" s="198" t="s">
        <v>65</v>
      </c>
      <c r="M4913" s="194"/>
      <c r="N4913" s="194"/>
    </row>
    <row r="4914">
      <c r="A4914" s="193" t="s">
        <v>23247</v>
      </c>
      <c r="B4914" s="7" t="s">
        <v>17112</v>
      </c>
      <c r="C4914" s="7" t="s">
        <v>17112</v>
      </c>
      <c r="D4914" s="194">
        <v>2003.0</v>
      </c>
      <c r="E4914" s="193"/>
      <c r="F4914" s="195" t="s">
        <v>23248</v>
      </c>
      <c r="G4914" s="196">
        <v>4.78187375E8</v>
      </c>
      <c r="H4914" s="197">
        <v>11.97</v>
      </c>
      <c r="I4914" s="7" t="s">
        <v>16815</v>
      </c>
      <c r="J4914" s="7" t="s">
        <v>17112</v>
      </c>
      <c r="K4914" s="7" t="s">
        <v>17112</v>
      </c>
      <c r="L4914" s="198" t="s">
        <v>65</v>
      </c>
      <c r="M4914" s="194"/>
      <c r="N4914" s="194"/>
    </row>
    <row r="4915">
      <c r="A4915" s="193" t="s">
        <v>23249</v>
      </c>
      <c r="B4915" s="7" t="s">
        <v>16838</v>
      </c>
      <c r="C4915" s="7" t="s">
        <v>18956</v>
      </c>
      <c r="D4915" s="199"/>
      <c r="E4915" s="193"/>
      <c r="F4915" s="195" t="s">
        <v>23250</v>
      </c>
      <c r="G4915" s="196">
        <v>4.77945238E8</v>
      </c>
      <c r="H4915" s="197">
        <v>42.16</v>
      </c>
      <c r="I4915" s="7" t="s">
        <v>16815</v>
      </c>
      <c r="J4915" s="7" t="s">
        <v>16838</v>
      </c>
      <c r="K4915" s="7" t="s">
        <v>18956</v>
      </c>
      <c r="L4915" s="198" t="s">
        <v>65</v>
      </c>
      <c r="M4915" s="199"/>
      <c r="N4915" s="199"/>
    </row>
    <row r="4916">
      <c r="A4916" s="193" t="s">
        <v>23251</v>
      </c>
      <c r="B4916" s="7" t="s">
        <v>175</v>
      </c>
      <c r="C4916" s="7" t="s">
        <v>18723</v>
      </c>
      <c r="D4916" s="199"/>
      <c r="E4916" s="193"/>
      <c r="F4916" s="195" t="s">
        <v>23252</v>
      </c>
      <c r="G4916" s="196">
        <v>4.77655013E8</v>
      </c>
      <c r="H4916" s="197">
        <v>15.07</v>
      </c>
      <c r="I4916" s="7" t="s">
        <v>168</v>
      </c>
      <c r="J4916" s="7" t="s">
        <v>175</v>
      </c>
      <c r="K4916" s="7" t="s">
        <v>18723</v>
      </c>
      <c r="L4916" s="198" t="s">
        <v>65</v>
      </c>
      <c r="M4916" s="199"/>
      <c r="N4916" s="199"/>
    </row>
    <row r="4917">
      <c r="A4917" s="193" t="s">
        <v>23251</v>
      </c>
      <c r="B4917" s="7" t="s">
        <v>18723</v>
      </c>
      <c r="C4917" s="7" t="s">
        <v>175</v>
      </c>
      <c r="D4917" s="199"/>
      <c r="E4917" s="193"/>
      <c r="F4917" s="195" t="s">
        <v>23252</v>
      </c>
      <c r="G4917" s="200">
        <v>4.77655013E8</v>
      </c>
      <c r="H4917" s="197">
        <v>15.07</v>
      </c>
      <c r="I4917" s="7" t="s">
        <v>16815</v>
      </c>
      <c r="J4917" s="7" t="s">
        <v>18723</v>
      </c>
      <c r="K4917" s="7" t="s">
        <v>175</v>
      </c>
      <c r="L4917" s="201" t="s">
        <v>16835</v>
      </c>
      <c r="M4917" s="199"/>
      <c r="N4917" s="199"/>
    </row>
    <row r="4918">
      <c r="A4918" s="193" t="s">
        <v>23253</v>
      </c>
      <c r="B4918" s="7" t="s">
        <v>175</v>
      </c>
      <c r="C4918" s="7" t="s">
        <v>17480</v>
      </c>
      <c r="D4918" s="194">
        <v>2017.0</v>
      </c>
      <c r="E4918" s="193"/>
      <c r="F4918" s="195" t="s">
        <v>23254</v>
      </c>
      <c r="G4918" s="196">
        <v>4.77643292E8</v>
      </c>
      <c r="H4918" s="197">
        <v>2.14</v>
      </c>
      <c r="I4918" s="7" t="s">
        <v>168</v>
      </c>
      <c r="J4918" s="7" t="s">
        <v>175</v>
      </c>
      <c r="K4918" s="7" t="s">
        <v>17480</v>
      </c>
      <c r="L4918" s="198" t="s">
        <v>65</v>
      </c>
      <c r="M4918" s="194"/>
      <c r="N4918" s="194"/>
    </row>
    <row r="4919">
      <c r="A4919" s="193" t="s">
        <v>23255</v>
      </c>
      <c r="B4919" s="7" t="s">
        <v>175</v>
      </c>
      <c r="C4919" s="7" t="s">
        <v>16972</v>
      </c>
      <c r="D4919" s="194">
        <v>2021.0</v>
      </c>
      <c r="E4919" s="193"/>
      <c r="F4919" s="195" t="s">
        <v>23256</v>
      </c>
      <c r="G4919" s="196">
        <v>4.77032047E8</v>
      </c>
      <c r="H4919" s="197">
        <v>13.08</v>
      </c>
      <c r="I4919" s="7" t="s">
        <v>16908</v>
      </c>
      <c r="J4919" s="7" t="s">
        <v>175</v>
      </c>
      <c r="K4919" s="7" t="s">
        <v>16972</v>
      </c>
      <c r="L4919" s="198" t="s">
        <v>65</v>
      </c>
      <c r="M4919" s="194"/>
      <c r="N4919" s="194"/>
    </row>
    <row r="4920">
      <c r="A4920" s="193" t="s">
        <v>23257</v>
      </c>
      <c r="B4920" s="7" t="s">
        <v>187</v>
      </c>
      <c r="C4920" s="7" t="s">
        <v>17122</v>
      </c>
      <c r="D4920" s="199"/>
      <c r="E4920" s="193"/>
      <c r="F4920" s="195" t="s">
        <v>23258</v>
      </c>
      <c r="G4920" s="196">
        <v>4.76216486E8</v>
      </c>
      <c r="H4920" s="197">
        <v>10.95</v>
      </c>
      <c r="I4920" s="7" t="s">
        <v>16815</v>
      </c>
      <c r="J4920" s="7" t="s">
        <v>187</v>
      </c>
      <c r="K4920" s="7" t="s">
        <v>17122</v>
      </c>
      <c r="L4920" s="198" t="s">
        <v>65</v>
      </c>
      <c r="M4920" s="199"/>
      <c r="N4920" s="199"/>
    </row>
    <row r="4921">
      <c r="A4921" s="193" t="s">
        <v>23259</v>
      </c>
      <c r="B4921" s="7" t="s">
        <v>17127</v>
      </c>
      <c r="C4921" s="7" t="s">
        <v>16838</v>
      </c>
      <c r="D4921" s="199"/>
      <c r="E4921" s="193"/>
      <c r="F4921" s="195" t="s">
        <v>23260</v>
      </c>
      <c r="G4921" s="200">
        <v>4.76020528E8</v>
      </c>
      <c r="H4921" s="197">
        <v>16.31</v>
      </c>
      <c r="I4921" s="7" t="s">
        <v>16815</v>
      </c>
      <c r="J4921" s="7" t="s">
        <v>17127</v>
      </c>
      <c r="K4921" s="7" t="s">
        <v>16838</v>
      </c>
      <c r="L4921" s="201" t="s">
        <v>16835</v>
      </c>
      <c r="M4921" s="199"/>
      <c r="N4921" s="199"/>
    </row>
    <row r="4922">
      <c r="A4922" s="193" t="s">
        <v>23259</v>
      </c>
      <c r="B4922" s="7" t="s">
        <v>16838</v>
      </c>
      <c r="C4922" s="7" t="s">
        <v>17127</v>
      </c>
      <c r="D4922" s="199"/>
      <c r="E4922" s="193"/>
      <c r="F4922" s="195" t="s">
        <v>23260</v>
      </c>
      <c r="G4922" s="196">
        <v>4.76020528E8</v>
      </c>
      <c r="H4922" s="197">
        <v>16.31</v>
      </c>
      <c r="I4922" s="7" t="s">
        <v>16815</v>
      </c>
      <c r="J4922" s="7" t="s">
        <v>16838</v>
      </c>
      <c r="K4922" s="7" t="s">
        <v>17127</v>
      </c>
      <c r="L4922" s="198" t="s">
        <v>65</v>
      </c>
      <c r="M4922" s="199"/>
      <c r="N4922" s="199"/>
    </row>
    <row r="4923">
      <c r="A4923" s="193" t="s">
        <v>23261</v>
      </c>
      <c r="B4923" s="7" t="s">
        <v>187</v>
      </c>
      <c r="C4923" s="7" t="s">
        <v>16969</v>
      </c>
      <c r="D4923" s="199"/>
      <c r="E4923" s="193"/>
      <c r="F4923" s="195" t="s">
        <v>23262</v>
      </c>
      <c r="G4923" s="196">
        <v>4.74708397E8</v>
      </c>
      <c r="H4923" s="197">
        <v>6.46</v>
      </c>
      <c r="I4923" s="7" t="s">
        <v>16815</v>
      </c>
      <c r="J4923" s="7" t="s">
        <v>187</v>
      </c>
      <c r="K4923" s="7" t="s">
        <v>16969</v>
      </c>
      <c r="L4923" s="198" t="s">
        <v>65</v>
      </c>
      <c r="M4923" s="199"/>
      <c r="N4923" s="199"/>
    </row>
    <row r="4924">
      <c r="A4924" s="193" t="s">
        <v>23263</v>
      </c>
      <c r="B4924" s="7" t="s">
        <v>175</v>
      </c>
      <c r="C4924" s="7" t="s">
        <v>17394</v>
      </c>
      <c r="D4924" s="199"/>
      <c r="E4924" s="193"/>
      <c r="F4924" s="195" t="s">
        <v>23264</v>
      </c>
      <c r="G4924" s="196">
        <v>4.73862683E8</v>
      </c>
      <c r="H4924" s="197">
        <v>74.25</v>
      </c>
      <c r="I4924" s="7" t="s">
        <v>16908</v>
      </c>
      <c r="J4924" s="7" t="s">
        <v>175</v>
      </c>
      <c r="K4924" s="7" t="s">
        <v>17394</v>
      </c>
      <c r="L4924" s="198" t="s">
        <v>65</v>
      </c>
      <c r="M4924" s="199"/>
      <c r="N4924" s="199"/>
    </row>
    <row r="4925">
      <c r="A4925" s="193" t="s">
        <v>23265</v>
      </c>
      <c r="B4925" s="7" t="s">
        <v>16838</v>
      </c>
      <c r="C4925" s="7" t="s">
        <v>16867</v>
      </c>
      <c r="D4925" s="199"/>
      <c r="E4925" s="193"/>
      <c r="F4925" s="195" t="s">
        <v>23266</v>
      </c>
      <c r="G4925" s="196">
        <v>4.73240761E8</v>
      </c>
      <c r="H4925" s="197">
        <v>15.57</v>
      </c>
      <c r="I4925" s="7" t="s">
        <v>16815</v>
      </c>
      <c r="J4925" s="7" t="s">
        <v>16838</v>
      </c>
      <c r="K4925" s="7" t="s">
        <v>16867</v>
      </c>
      <c r="L4925" s="198" t="s">
        <v>65</v>
      </c>
      <c r="M4925" s="199"/>
      <c r="N4925" s="199"/>
    </row>
    <row r="4926">
      <c r="A4926" s="193" t="s">
        <v>23267</v>
      </c>
      <c r="B4926" s="7" t="s">
        <v>17016</v>
      </c>
      <c r="C4926" s="7" t="s">
        <v>16838</v>
      </c>
      <c r="D4926" s="194">
        <v>2020.0</v>
      </c>
      <c r="E4926" s="193"/>
      <c r="F4926" s="195" t="s">
        <v>23268</v>
      </c>
      <c r="G4926" s="200">
        <v>4.73043769E8</v>
      </c>
      <c r="H4926" s="197">
        <v>14.43</v>
      </c>
      <c r="I4926" s="7" t="s">
        <v>16815</v>
      </c>
      <c r="J4926" s="7" t="s">
        <v>17016</v>
      </c>
      <c r="K4926" s="7" t="s">
        <v>16838</v>
      </c>
      <c r="L4926" s="201" t="s">
        <v>16835</v>
      </c>
      <c r="M4926" s="194"/>
      <c r="N4926" s="194"/>
    </row>
    <row r="4927">
      <c r="A4927" s="193" t="s">
        <v>23267</v>
      </c>
      <c r="B4927" s="7" t="s">
        <v>16838</v>
      </c>
      <c r="C4927" s="7" t="s">
        <v>17016</v>
      </c>
      <c r="D4927" s="194">
        <v>2020.0</v>
      </c>
      <c r="E4927" s="193"/>
      <c r="F4927" s="195" t="s">
        <v>23268</v>
      </c>
      <c r="G4927" s="196">
        <v>4.73043769E8</v>
      </c>
      <c r="H4927" s="197">
        <v>14.43</v>
      </c>
      <c r="I4927" s="7" t="s">
        <v>16815</v>
      </c>
      <c r="J4927" s="7" t="s">
        <v>16838</v>
      </c>
      <c r="K4927" s="7" t="s">
        <v>17016</v>
      </c>
      <c r="L4927" s="198" t="s">
        <v>65</v>
      </c>
      <c r="M4927" s="194"/>
      <c r="N4927" s="194"/>
    </row>
    <row r="4928">
      <c r="A4928" s="193" t="s">
        <v>23269</v>
      </c>
      <c r="B4928" s="7" t="s">
        <v>175</v>
      </c>
      <c r="C4928" s="7" t="s">
        <v>18268</v>
      </c>
      <c r="D4928" s="194">
        <v>1994.0</v>
      </c>
      <c r="E4928" s="193"/>
      <c r="F4928" s="195" t="s">
        <v>23270</v>
      </c>
      <c r="G4928" s="196">
        <v>4.71336331E8</v>
      </c>
      <c r="H4928" s="197">
        <v>10.31</v>
      </c>
      <c r="I4928" s="7" t="s">
        <v>16908</v>
      </c>
      <c r="J4928" s="7" t="s">
        <v>175</v>
      </c>
      <c r="K4928" s="7" t="s">
        <v>18268</v>
      </c>
      <c r="L4928" s="198" t="s">
        <v>65</v>
      </c>
      <c r="M4928" s="194"/>
      <c r="N4928" s="194"/>
    </row>
    <row r="4929">
      <c r="A4929" s="193" t="s">
        <v>23271</v>
      </c>
      <c r="B4929" s="7" t="s">
        <v>175</v>
      </c>
      <c r="C4929" s="7" t="s">
        <v>17480</v>
      </c>
      <c r="D4929" s="199"/>
      <c r="E4929" s="193"/>
      <c r="F4929" s="195" t="s">
        <v>23272</v>
      </c>
      <c r="G4929" s="196">
        <v>4.70485685E8</v>
      </c>
      <c r="H4929" s="197">
        <v>28.92</v>
      </c>
      <c r="I4929" s="7" t="s">
        <v>16892</v>
      </c>
      <c r="J4929" s="7" t="s">
        <v>175</v>
      </c>
      <c r="K4929" s="7" t="s">
        <v>17480</v>
      </c>
      <c r="L4929" s="198" t="s">
        <v>65</v>
      </c>
      <c r="M4929" s="199"/>
      <c r="N4929" s="199"/>
    </row>
    <row r="4930">
      <c r="A4930" s="193" t="s">
        <v>23271</v>
      </c>
      <c r="B4930" s="7" t="s">
        <v>17480</v>
      </c>
      <c r="C4930" s="7" t="s">
        <v>175</v>
      </c>
      <c r="D4930" s="199"/>
      <c r="E4930" s="193"/>
      <c r="F4930" s="195" t="s">
        <v>23272</v>
      </c>
      <c r="G4930" s="200">
        <v>4.70485685E8</v>
      </c>
      <c r="H4930" s="197">
        <v>28.92</v>
      </c>
      <c r="I4930" s="7" t="s">
        <v>16815</v>
      </c>
      <c r="J4930" s="7" t="s">
        <v>17480</v>
      </c>
      <c r="K4930" s="7" t="s">
        <v>175</v>
      </c>
      <c r="L4930" s="201" t="s">
        <v>16835</v>
      </c>
      <c r="M4930" s="199"/>
      <c r="N4930" s="199"/>
    </row>
    <row r="4931">
      <c r="A4931" s="193" t="s">
        <v>23273</v>
      </c>
      <c r="B4931" s="7" t="s">
        <v>187</v>
      </c>
      <c r="C4931" s="7" t="s">
        <v>16858</v>
      </c>
      <c r="D4931" s="199"/>
      <c r="E4931" s="193"/>
      <c r="F4931" s="195" t="s">
        <v>23274</v>
      </c>
      <c r="G4931" s="196">
        <v>4.703994E8</v>
      </c>
      <c r="H4931" s="197">
        <v>5.74</v>
      </c>
      <c r="I4931" s="7" t="s">
        <v>16815</v>
      </c>
      <c r="J4931" s="7" t="s">
        <v>187</v>
      </c>
      <c r="K4931" s="7" t="s">
        <v>16858</v>
      </c>
      <c r="L4931" s="198" t="s">
        <v>65</v>
      </c>
      <c r="M4931" s="199"/>
      <c r="N4931" s="199"/>
    </row>
    <row r="4932">
      <c r="A4932" s="193" t="s">
        <v>23275</v>
      </c>
      <c r="B4932" s="7" t="s">
        <v>16582</v>
      </c>
      <c r="C4932" s="7" t="s">
        <v>16583</v>
      </c>
      <c r="D4932" s="199"/>
      <c r="E4932" s="193"/>
      <c r="F4932" s="195" t="s">
        <v>23276</v>
      </c>
      <c r="G4932" s="196">
        <v>4.70297058E8</v>
      </c>
      <c r="H4932" s="197">
        <v>19.9</v>
      </c>
      <c r="I4932" s="7" t="s">
        <v>16815</v>
      </c>
      <c r="J4932" s="7" t="s">
        <v>16582</v>
      </c>
      <c r="K4932" s="7" t="s">
        <v>16583</v>
      </c>
      <c r="L4932" s="198" t="s">
        <v>65</v>
      </c>
      <c r="M4932" s="199"/>
      <c r="N4932" s="199"/>
    </row>
    <row r="4933">
      <c r="A4933" s="193" t="s">
        <v>23277</v>
      </c>
      <c r="B4933" s="7" t="s">
        <v>16838</v>
      </c>
      <c r="C4933" s="7" t="s">
        <v>16867</v>
      </c>
      <c r="D4933" s="199"/>
      <c r="E4933" s="193"/>
      <c r="F4933" s="195" t="s">
        <v>23278</v>
      </c>
      <c r="G4933" s="196">
        <v>4.70200635E8</v>
      </c>
      <c r="H4933" s="197">
        <v>22.5</v>
      </c>
      <c r="I4933" s="7" t="s">
        <v>16815</v>
      </c>
      <c r="J4933" s="7" t="s">
        <v>16838</v>
      </c>
      <c r="K4933" s="7" t="s">
        <v>16867</v>
      </c>
      <c r="L4933" s="198" t="s">
        <v>65</v>
      </c>
      <c r="M4933" s="199"/>
      <c r="N4933" s="199"/>
    </row>
    <row r="4934">
      <c r="A4934" s="193" t="s">
        <v>23279</v>
      </c>
      <c r="B4934" s="7" t="s">
        <v>16838</v>
      </c>
      <c r="C4934" s="7" t="s">
        <v>16867</v>
      </c>
      <c r="D4934" s="194">
        <v>2016.0</v>
      </c>
      <c r="E4934" s="193"/>
      <c r="F4934" s="195" t="s">
        <v>23280</v>
      </c>
      <c r="G4934" s="196">
        <v>4.70026515E8</v>
      </c>
      <c r="H4934" s="197">
        <v>10.27</v>
      </c>
      <c r="I4934" s="7" t="s">
        <v>16815</v>
      </c>
      <c r="J4934" s="7" t="s">
        <v>16838</v>
      </c>
      <c r="K4934" s="7" t="s">
        <v>16867</v>
      </c>
      <c r="L4934" s="198" t="s">
        <v>65</v>
      </c>
      <c r="M4934" s="194"/>
      <c r="N4934" s="194"/>
    </row>
    <row r="4935">
      <c r="A4935" s="193" t="s">
        <v>23281</v>
      </c>
      <c r="B4935" s="7" t="s">
        <v>175</v>
      </c>
      <c r="C4935" s="7" t="s">
        <v>16824</v>
      </c>
      <c r="D4935" s="194">
        <v>2021.0</v>
      </c>
      <c r="E4935" s="193"/>
      <c r="F4935" s="195" t="s">
        <v>23282</v>
      </c>
      <c r="G4935" s="196">
        <v>4.69686216E8</v>
      </c>
      <c r="H4935" s="197">
        <v>1.99</v>
      </c>
      <c r="I4935" s="7" t="s">
        <v>16908</v>
      </c>
      <c r="J4935" s="7" t="s">
        <v>175</v>
      </c>
      <c r="K4935" s="7" t="s">
        <v>16824</v>
      </c>
      <c r="L4935" s="198" t="s">
        <v>65</v>
      </c>
      <c r="M4935" s="194"/>
      <c r="N4935" s="194"/>
    </row>
    <row r="4936">
      <c r="A4936" s="193" t="s">
        <v>23281</v>
      </c>
      <c r="B4936" s="7" t="s">
        <v>16824</v>
      </c>
      <c r="C4936" s="7" t="s">
        <v>175</v>
      </c>
      <c r="D4936" s="194">
        <v>2021.0</v>
      </c>
      <c r="E4936" s="193"/>
      <c r="F4936" s="195" t="s">
        <v>23282</v>
      </c>
      <c r="G4936" s="200">
        <v>4.69686216E8</v>
      </c>
      <c r="H4936" s="197">
        <v>1.99</v>
      </c>
      <c r="I4936" s="7" t="s">
        <v>16815</v>
      </c>
      <c r="J4936" s="7" t="s">
        <v>16824</v>
      </c>
      <c r="K4936" s="7" t="s">
        <v>175</v>
      </c>
      <c r="L4936" s="201" t="s">
        <v>16835</v>
      </c>
      <c r="M4936" s="194"/>
      <c r="N4936" s="194"/>
    </row>
    <row r="4937">
      <c r="A4937" s="193" t="s">
        <v>23283</v>
      </c>
      <c r="B4937" s="7" t="s">
        <v>169</v>
      </c>
      <c r="C4937" s="7" t="s">
        <v>17057</v>
      </c>
      <c r="D4937" s="194">
        <v>2022.0</v>
      </c>
      <c r="E4937" s="193"/>
      <c r="F4937" s="195" t="s">
        <v>23284</v>
      </c>
      <c r="G4937" s="196">
        <v>4.69198941E8</v>
      </c>
      <c r="H4937" s="197">
        <v>8.19</v>
      </c>
      <c r="I4937" s="7" t="s">
        <v>16815</v>
      </c>
      <c r="J4937" s="7" t="s">
        <v>169</v>
      </c>
      <c r="K4937" s="7" t="s">
        <v>17057</v>
      </c>
      <c r="L4937" s="198" t="s">
        <v>65</v>
      </c>
      <c r="M4937" s="194"/>
      <c r="N4937" s="194"/>
    </row>
    <row r="4938">
      <c r="A4938" s="193" t="s">
        <v>23283</v>
      </c>
      <c r="B4938" s="202" t="s">
        <v>17057</v>
      </c>
      <c r="C4938" s="193" t="s">
        <v>169</v>
      </c>
      <c r="D4938" s="193">
        <v>2022.0</v>
      </c>
      <c r="E4938" s="193"/>
      <c r="F4938" s="203" t="s">
        <v>23284</v>
      </c>
      <c r="G4938" s="200">
        <v>4.69198941E8</v>
      </c>
      <c r="H4938" s="205">
        <v>4.69</v>
      </c>
      <c r="J4938" s="202" t="s">
        <v>17057</v>
      </c>
      <c r="K4938" s="193" t="s">
        <v>169</v>
      </c>
      <c r="L4938" s="193" t="s">
        <v>17471</v>
      </c>
      <c r="M4938" s="193"/>
      <c r="N4938" s="193"/>
    </row>
    <row r="4939">
      <c r="A4939" s="193" t="s">
        <v>23285</v>
      </c>
      <c r="B4939" s="7" t="s">
        <v>16838</v>
      </c>
      <c r="C4939" s="7" t="s">
        <v>16867</v>
      </c>
      <c r="D4939" s="199"/>
      <c r="E4939" s="193"/>
      <c r="F4939" s="195" t="s">
        <v>23286</v>
      </c>
      <c r="G4939" s="196">
        <v>4.69063174E8</v>
      </c>
      <c r="H4939" s="197">
        <v>32.22</v>
      </c>
      <c r="I4939" s="7" t="s">
        <v>16815</v>
      </c>
      <c r="J4939" s="7" t="s">
        <v>16838</v>
      </c>
      <c r="K4939" s="7" t="s">
        <v>16867</v>
      </c>
      <c r="L4939" s="198" t="s">
        <v>65</v>
      </c>
      <c r="M4939" s="199"/>
      <c r="N4939" s="199"/>
    </row>
    <row r="4940">
      <c r="A4940" s="193" t="s">
        <v>23287</v>
      </c>
      <c r="B4940" s="7" t="s">
        <v>187</v>
      </c>
      <c r="C4940" s="7" t="s">
        <v>16846</v>
      </c>
      <c r="D4940" s="199"/>
      <c r="E4940" s="193"/>
      <c r="F4940" s="195" t="s">
        <v>23288</v>
      </c>
      <c r="G4940" s="196">
        <v>4.6905184E8</v>
      </c>
      <c r="H4940" s="197">
        <v>3.47</v>
      </c>
      <c r="I4940" s="7" t="s">
        <v>16815</v>
      </c>
      <c r="J4940" s="7" t="s">
        <v>187</v>
      </c>
      <c r="K4940" s="7" t="s">
        <v>16846</v>
      </c>
      <c r="L4940" s="198" t="s">
        <v>65</v>
      </c>
      <c r="M4940" s="199"/>
      <c r="N4940" s="199"/>
    </row>
    <row r="4941">
      <c r="A4941" s="193" t="s">
        <v>23289</v>
      </c>
      <c r="B4941" s="7" t="s">
        <v>16582</v>
      </c>
      <c r="C4941" s="7" t="s">
        <v>16930</v>
      </c>
      <c r="D4941" s="194">
        <v>2021.0</v>
      </c>
      <c r="E4941" s="193"/>
      <c r="F4941" s="195" t="s">
        <v>23290</v>
      </c>
      <c r="G4941" s="196">
        <v>4.67288939E8</v>
      </c>
      <c r="H4941" s="197">
        <v>9.43</v>
      </c>
      <c r="I4941" s="7" t="s">
        <v>16815</v>
      </c>
      <c r="J4941" s="7" t="s">
        <v>16582</v>
      </c>
      <c r="K4941" s="7" t="s">
        <v>16930</v>
      </c>
      <c r="L4941" s="198" t="s">
        <v>65</v>
      </c>
      <c r="M4941" s="194"/>
      <c r="N4941" s="194"/>
    </row>
    <row r="4942">
      <c r="A4942" s="193" t="s">
        <v>23291</v>
      </c>
      <c r="B4942" s="7" t="s">
        <v>16919</v>
      </c>
      <c r="C4942" s="7" t="s">
        <v>17048</v>
      </c>
      <c r="D4942" s="194">
        <v>2007.0</v>
      </c>
      <c r="E4942" s="193"/>
      <c r="F4942" s="195" t="s">
        <v>23292</v>
      </c>
      <c r="G4942" s="196">
        <v>4.67277604E8</v>
      </c>
      <c r="H4942" s="197">
        <v>10.31</v>
      </c>
      <c r="I4942" s="7" t="s">
        <v>16815</v>
      </c>
      <c r="J4942" s="7" t="s">
        <v>16919</v>
      </c>
      <c r="K4942" s="7" t="s">
        <v>17048</v>
      </c>
      <c r="L4942" s="198" t="s">
        <v>65</v>
      </c>
      <c r="M4942" s="194"/>
      <c r="N4942" s="194"/>
    </row>
    <row r="4943">
      <c r="A4943" s="193" t="s">
        <v>23291</v>
      </c>
      <c r="B4943" s="7" t="s">
        <v>17048</v>
      </c>
      <c r="C4943" s="7" t="s">
        <v>16919</v>
      </c>
      <c r="D4943" s="194">
        <v>2007.0</v>
      </c>
      <c r="E4943" s="193"/>
      <c r="F4943" s="195" t="s">
        <v>23292</v>
      </c>
      <c r="G4943" s="200">
        <v>4.67277604E8</v>
      </c>
      <c r="H4943" s="197">
        <v>10.31</v>
      </c>
      <c r="I4943" s="7" t="s">
        <v>16815</v>
      </c>
      <c r="J4943" s="7" t="s">
        <v>17048</v>
      </c>
      <c r="K4943" s="7" t="s">
        <v>16919</v>
      </c>
      <c r="L4943" s="201" t="s">
        <v>16835</v>
      </c>
      <c r="M4943" s="194"/>
      <c r="N4943" s="194"/>
    </row>
    <row r="4944">
      <c r="A4944" s="193" t="s">
        <v>23293</v>
      </c>
      <c r="B4944" s="7" t="s">
        <v>16838</v>
      </c>
      <c r="C4944" s="7" t="s">
        <v>17202</v>
      </c>
      <c r="D4944" s="194">
        <v>2021.0</v>
      </c>
      <c r="E4944" s="193"/>
      <c r="F4944" s="195" t="s">
        <v>23294</v>
      </c>
      <c r="G4944" s="196">
        <v>4.66791398E8</v>
      </c>
      <c r="H4944" s="197">
        <v>14.55</v>
      </c>
      <c r="I4944" s="7" t="s">
        <v>16815</v>
      </c>
      <c r="J4944" s="7" t="s">
        <v>16838</v>
      </c>
      <c r="K4944" s="7" t="s">
        <v>17202</v>
      </c>
      <c r="L4944" s="198" t="s">
        <v>65</v>
      </c>
      <c r="M4944" s="194"/>
      <c r="N4944" s="194"/>
    </row>
    <row r="4945">
      <c r="A4945" s="193" t="s">
        <v>23295</v>
      </c>
      <c r="B4945" s="7" t="s">
        <v>175</v>
      </c>
      <c r="C4945" s="7" t="s">
        <v>17233</v>
      </c>
      <c r="D4945" s="199"/>
      <c r="E4945" s="193"/>
      <c r="F4945" s="195" t="s">
        <v>9567</v>
      </c>
      <c r="G4945" s="196">
        <v>4.6659609E8</v>
      </c>
      <c r="H4945" s="197">
        <v>10.88</v>
      </c>
      <c r="I4945" s="7" t="s">
        <v>17242</v>
      </c>
      <c r="J4945" s="7" t="s">
        <v>175</v>
      </c>
      <c r="K4945" s="7" t="s">
        <v>17233</v>
      </c>
      <c r="L4945" s="198" t="s">
        <v>65</v>
      </c>
      <c r="M4945" s="199"/>
      <c r="N4945" s="199"/>
    </row>
    <row r="4946">
      <c r="A4946" s="193" t="s">
        <v>23295</v>
      </c>
      <c r="B4946" s="7" t="s">
        <v>17233</v>
      </c>
      <c r="C4946" s="7" t="s">
        <v>175</v>
      </c>
      <c r="D4946" s="199"/>
      <c r="E4946" s="193"/>
      <c r="F4946" s="195" t="s">
        <v>9567</v>
      </c>
      <c r="G4946" s="200">
        <v>4.6659609E8</v>
      </c>
      <c r="H4946" s="197">
        <v>10.88</v>
      </c>
      <c r="I4946" s="7" t="s">
        <v>16815</v>
      </c>
      <c r="J4946" s="7" t="s">
        <v>17233</v>
      </c>
      <c r="K4946" s="7" t="s">
        <v>175</v>
      </c>
      <c r="L4946" s="201" t="s">
        <v>16835</v>
      </c>
      <c r="M4946" s="199"/>
      <c r="N4946" s="199"/>
    </row>
    <row r="4947">
      <c r="A4947" s="193" t="s">
        <v>23296</v>
      </c>
      <c r="B4947" s="7" t="s">
        <v>17127</v>
      </c>
      <c r="C4947" s="7" t="s">
        <v>16838</v>
      </c>
      <c r="D4947" s="199"/>
      <c r="E4947" s="193"/>
      <c r="F4947" s="195" t="s">
        <v>23297</v>
      </c>
      <c r="G4947" s="200">
        <v>4.66531701E8</v>
      </c>
      <c r="H4947" s="197">
        <v>34.5</v>
      </c>
      <c r="I4947" s="7" t="s">
        <v>16815</v>
      </c>
      <c r="J4947" s="7" t="s">
        <v>17127</v>
      </c>
      <c r="K4947" s="7" t="s">
        <v>16838</v>
      </c>
      <c r="L4947" s="201" t="s">
        <v>16835</v>
      </c>
      <c r="M4947" s="199"/>
      <c r="N4947" s="199"/>
    </row>
    <row r="4948">
      <c r="A4948" s="193" t="s">
        <v>23296</v>
      </c>
      <c r="B4948" s="7" t="s">
        <v>16838</v>
      </c>
      <c r="C4948" s="7" t="s">
        <v>17127</v>
      </c>
      <c r="D4948" s="199"/>
      <c r="E4948" s="193"/>
      <c r="F4948" s="195" t="s">
        <v>23297</v>
      </c>
      <c r="G4948" s="196">
        <v>4.66531701E8</v>
      </c>
      <c r="H4948" s="197">
        <v>34.5</v>
      </c>
      <c r="I4948" s="7" t="s">
        <v>16815</v>
      </c>
      <c r="J4948" s="7" t="s">
        <v>16838</v>
      </c>
      <c r="K4948" s="7" t="s">
        <v>17127</v>
      </c>
      <c r="L4948" s="198" t="s">
        <v>65</v>
      </c>
      <c r="M4948" s="199"/>
      <c r="N4948" s="199"/>
    </row>
    <row r="4949">
      <c r="A4949" s="193" t="s">
        <v>23298</v>
      </c>
      <c r="B4949" s="7" t="s">
        <v>16838</v>
      </c>
      <c r="C4949" s="7" t="s">
        <v>16837</v>
      </c>
      <c r="D4949" s="194">
        <v>2005.0</v>
      </c>
      <c r="E4949" s="193"/>
      <c r="F4949" s="195" t="s">
        <v>23299</v>
      </c>
      <c r="G4949" s="196">
        <v>4.65971919E8</v>
      </c>
      <c r="H4949" s="197">
        <v>7.22</v>
      </c>
      <c r="I4949" s="7" t="s">
        <v>16815</v>
      </c>
      <c r="J4949" s="7" t="s">
        <v>16838</v>
      </c>
      <c r="K4949" s="7" t="s">
        <v>16837</v>
      </c>
      <c r="L4949" s="198" t="s">
        <v>65</v>
      </c>
      <c r="M4949" s="194"/>
      <c r="N4949" s="194"/>
    </row>
    <row r="4950">
      <c r="A4950" s="193" t="s">
        <v>23300</v>
      </c>
      <c r="B4950" s="7" t="s">
        <v>17259</v>
      </c>
      <c r="C4950" s="7" t="s">
        <v>187</v>
      </c>
      <c r="D4950" s="194">
        <v>2022.0</v>
      </c>
      <c r="E4950" s="193"/>
      <c r="F4950" s="195" t="s">
        <v>23301</v>
      </c>
      <c r="G4950" s="200">
        <v>4.65947996E8</v>
      </c>
      <c r="H4950" s="197">
        <v>9.3</v>
      </c>
      <c r="I4950" s="7" t="s">
        <v>16815</v>
      </c>
      <c r="J4950" s="7" t="s">
        <v>17259</v>
      </c>
      <c r="K4950" s="7" t="s">
        <v>187</v>
      </c>
      <c r="L4950" s="201" t="s">
        <v>16835</v>
      </c>
      <c r="M4950" s="194"/>
      <c r="N4950" s="194"/>
    </row>
    <row r="4951">
      <c r="A4951" s="193" t="s">
        <v>23300</v>
      </c>
      <c r="B4951" s="7" t="s">
        <v>187</v>
      </c>
      <c r="C4951" s="7" t="s">
        <v>17259</v>
      </c>
      <c r="D4951" s="194">
        <v>2022.0</v>
      </c>
      <c r="E4951" s="193"/>
      <c r="F4951" s="195" t="s">
        <v>23301</v>
      </c>
      <c r="G4951" s="196">
        <v>4.65947996E8</v>
      </c>
      <c r="H4951" s="197">
        <v>9.3</v>
      </c>
      <c r="I4951" s="7" t="s">
        <v>16815</v>
      </c>
      <c r="J4951" s="7" t="s">
        <v>187</v>
      </c>
      <c r="K4951" s="7" t="s">
        <v>17259</v>
      </c>
      <c r="L4951" s="198" t="s">
        <v>65</v>
      </c>
      <c r="M4951" s="194"/>
      <c r="N4951" s="194"/>
    </row>
    <row r="4952">
      <c r="A4952" s="193" t="s">
        <v>23302</v>
      </c>
      <c r="B4952" s="7" t="s">
        <v>17629</v>
      </c>
      <c r="C4952" s="7" t="s">
        <v>17452</v>
      </c>
      <c r="D4952" s="199"/>
      <c r="E4952" s="193"/>
      <c r="F4952" s="195" t="s">
        <v>23303</v>
      </c>
      <c r="G4952" s="196">
        <v>4.65429742E8</v>
      </c>
      <c r="H4952" s="197">
        <v>5.83</v>
      </c>
      <c r="I4952" s="7" t="s">
        <v>16815</v>
      </c>
      <c r="J4952" s="7" t="s">
        <v>17629</v>
      </c>
      <c r="K4952" s="7" t="s">
        <v>17452</v>
      </c>
      <c r="L4952" s="198" t="s">
        <v>65</v>
      </c>
      <c r="M4952" s="199"/>
      <c r="N4952" s="199"/>
    </row>
    <row r="4953">
      <c r="A4953" s="193" t="s">
        <v>23302</v>
      </c>
      <c r="B4953" s="7" t="s">
        <v>17452</v>
      </c>
      <c r="C4953" s="7" t="s">
        <v>17629</v>
      </c>
      <c r="D4953" s="199"/>
      <c r="E4953" s="193"/>
      <c r="F4953" s="195" t="s">
        <v>23303</v>
      </c>
      <c r="G4953" s="200">
        <v>4.65429742E8</v>
      </c>
      <c r="H4953" s="197">
        <v>5.83</v>
      </c>
      <c r="I4953" s="7" t="s">
        <v>16815</v>
      </c>
      <c r="J4953" s="7" t="s">
        <v>17452</v>
      </c>
      <c r="K4953" s="7" t="s">
        <v>17629</v>
      </c>
      <c r="L4953" s="201" t="s">
        <v>16835</v>
      </c>
      <c r="M4953" s="199"/>
      <c r="N4953" s="199"/>
    </row>
    <row r="4954">
      <c r="A4954" s="193" t="s">
        <v>23304</v>
      </c>
      <c r="B4954" s="7" t="s">
        <v>187</v>
      </c>
      <c r="C4954" s="7" t="s">
        <v>16846</v>
      </c>
      <c r="D4954" s="194">
        <v>2020.0</v>
      </c>
      <c r="E4954" s="193"/>
      <c r="F4954" s="195" t="s">
        <v>23305</v>
      </c>
      <c r="G4954" s="196">
        <v>4.64685429E8</v>
      </c>
      <c r="H4954" s="197">
        <v>11.05</v>
      </c>
      <c r="I4954" s="7" t="s">
        <v>16815</v>
      </c>
      <c r="J4954" s="7" t="s">
        <v>187</v>
      </c>
      <c r="K4954" s="7" t="s">
        <v>16846</v>
      </c>
      <c r="L4954" s="198" t="s">
        <v>65</v>
      </c>
      <c r="M4954" s="194"/>
      <c r="N4954" s="194"/>
    </row>
    <row r="4955">
      <c r="A4955" s="193" t="s">
        <v>23306</v>
      </c>
      <c r="B4955" s="7" t="s">
        <v>16582</v>
      </c>
      <c r="C4955" s="7" t="s">
        <v>16930</v>
      </c>
      <c r="D4955" s="199"/>
      <c r="E4955" s="193"/>
      <c r="F4955" s="195" t="s">
        <v>23307</v>
      </c>
      <c r="G4955" s="196">
        <v>4.64522743E8</v>
      </c>
      <c r="H4955" s="197">
        <v>6.39</v>
      </c>
      <c r="I4955" s="7" t="s">
        <v>16815</v>
      </c>
      <c r="J4955" s="7" t="s">
        <v>16582</v>
      </c>
      <c r="K4955" s="7" t="s">
        <v>16930</v>
      </c>
      <c r="L4955" s="198" t="s">
        <v>65</v>
      </c>
      <c r="M4955" s="199"/>
      <c r="N4955" s="199"/>
    </row>
    <row r="4956">
      <c r="A4956" s="193" t="s">
        <v>23308</v>
      </c>
      <c r="B4956" s="7" t="s">
        <v>175</v>
      </c>
      <c r="C4956" s="7" t="s">
        <v>16942</v>
      </c>
      <c r="D4956" s="199"/>
      <c r="E4956" s="193"/>
      <c r="F4956" s="195" t="s">
        <v>23309</v>
      </c>
      <c r="G4956" s="196">
        <v>4.64497635E8</v>
      </c>
      <c r="H4956" s="197">
        <v>8.75</v>
      </c>
      <c r="I4956" s="7" t="s">
        <v>16908</v>
      </c>
      <c r="J4956" s="7" t="s">
        <v>175</v>
      </c>
      <c r="K4956" s="7" t="s">
        <v>16942</v>
      </c>
      <c r="L4956" s="198" t="s">
        <v>65</v>
      </c>
      <c r="M4956" s="199"/>
      <c r="N4956" s="199"/>
    </row>
    <row r="4957">
      <c r="A4957" s="193" t="s">
        <v>23310</v>
      </c>
      <c r="B4957" s="7" t="s">
        <v>17111</v>
      </c>
      <c r="C4957" s="7" t="s">
        <v>17112</v>
      </c>
      <c r="D4957" s="194">
        <v>2010.0</v>
      </c>
      <c r="E4957" s="193"/>
      <c r="F4957" s="195" t="s">
        <v>23311</v>
      </c>
      <c r="G4957" s="200">
        <v>4.64159959E8</v>
      </c>
      <c r="H4957" s="197">
        <v>9.5</v>
      </c>
      <c r="I4957" s="7" t="s">
        <v>16815</v>
      </c>
      <c r="J4957" s="7" t="s">
        <v>17111</v>
      </c>
      <c r="K4957" s="7" t="s">
        <v>17112</v>
      </c>
      <c r="L4957" s="201" t="s">
        <v>16835</v>
      </c>
      <c r="M4957" s="194"/>
      <c r="N4957" s="194"/>
    </row>
    <row r="4958">
      <c r="A4958" s="193" t="s">
        <v>23310</v>
      </c>
      <c r="B4958" s="7" t="s">
        <v>17112</v>
      </c>
      <c r="C4958" s="7" t="s">
        <v>17111</v>
      </c>
      <c r="D4958" s="194">
        <v>2010.0</v>
      </c>
      <c r="E4958" s="193"/>
      <c r="F4958" s="195" t="s">
        <v>23311</v>
      </c>
      <c r="G4958" s="196">
        <v>4.64159959E8</v>
      </c>
      <c r="H4958" s="197">
        <v>9.5</v>
      </c>
      <c r="I4958" s="7" t="s">
        <v>16815</v>
      </c>
      <c r="J4958" s="7" t="s">
        <v>17112</v>
      </c>
      <c r="K4958" s="7" t="s">
        <v>17111</v>
      </c>
      <c r="L4958" s="198" t="s">
        <v>65</v>
      </c>
      <c r="M4958" s="194"/>
      <c r="N4958" s="194"/>
    </row>
    <row r="4959">
      <c r="A4959" s="193" t="s">
        <v>23312</v>
      </c>
      <c r="B4959" s="7" t="s">
        <v>158</v>
      </c>
      <c r="C4959" s="7" t="s">
        <v>16899</v>
      </c>
      <c r="D4959" s="199"/>
      <c r="E4959" s="193"/>
      <c r="F4959" s="195" t="s">
        <v>23313</v>
      </c>
      <c r="G4959" s="196">
        <v>4.64145123E8</v>
      </c>
      <c r="H4959" s="197">
        <v>1.03</v>
      </c>
      <c r="I4959" s="7" t="s">
        <v>23314</v>
      </c>
      <c r="J4959" s="7" t="s">
        <v>158</v>
      </c>
      <c r="K4959" s="7" t="s">
        <v>16899</v>
      </c>
      <c r="L4959" s="198" t="s">
        <v>65</v>
      </c>
      <c r="M4959" s="199"/>
      <c r="N4959" s="199"/>
    </row>
    <row r="4960">
      <c r="A4960" s="193" t="s">
        <v>23315</v>
      </c>
      <c r="B4960" s="7" t="s">
        <v>175</v>
      </c>
      <c r="C4960" s="7" t="s">
        <v>16899</v>
      </c>
      <c r="D4960" s="194">
        <v>2014.0</v>
      </c>
      <c r="E4960" s="193"/>
      <c r="F4960" s="195" t="s">
        <v>23316</v>
      </c>
      <c r="G4960" s="196">
        <v>4.63722781E8</v>
      </c>
      <c r="H4960" s="197">
        <v>3.05</v>
      </c>
      <c r="I4960" s="193" t="s">
        <v>16908</v>
      </c>
      <c r="J4960" s="7" t="s">
        <v>175</v>
      </c>
      <c r="K4960" s="7" t="s">
        <v>16899</v>
      </c>
      <c r="L4960" s="198" t="s">
        <v>65</v>
      </c>
      <c r="M4960" s="194"/>
      <c r="N4960" s="194"/>
    </row>
    <row r="4961">
      <c r="A4961" s="193" t="s">
        <v>23317</v>
      </c>
      <c r="B4961" s="7" t="s">
        <v>175</v>
      </c>
      <c r="C4961" s="7" t="s">
        <v>17218</v>
      </c>
      <c r="D4961" s="194">
        <v>2003.0</v>
      </c>
      <c r="E4961" s="193"/>
      <c r="F4961" s="195" t="s">
        <v>23318</v>
      </c>
      <c r="G4961" s="196">
        <v>4.62460726E8</v>
      </c>
      <c r="H4961" s="197">
        <v>12.95</v>
      </c>
      <c r="I4961" s="7" t="s">
        <v>16908</v>
      </c>
      <c r="J4961" s="7" t="s">
        <v>175</v>
      </c>
      <c r="K4961" s="7" t="s">
        <v>17218</v>
      </c>
      <c r="L4961" s="198" t="s">
        <v>65</v>
      </c>
      <c r="M4961" s="194"/>
      <c r="N4961" s="194"/>
    </row>
    <row r="4962">
      <c r="A4962" s="193" t="s">
        <v>23317</v>
      </c>
      <c r="B4962" s="7" t="s">
        <v>17218</v>
      </c>
      <c r="C4962" s="7" t="s">
        <v>175</v>
      </c>
      <c r="D4962" s="194">
        <v>2003.0</v>
      </c>
      <c r="E4962" s="193"/>
      <c r="F4962" s="195" t="s">
        <v>23318</v>
      </c>
      <c r="G4962" s="200">
        <v>4.62460726E8</v>
      </c>
      <c r="H4962" s="197">
        <v>12.95</v>
      </c>
      <c r="I4962" s="7" t="s">
        <v>16815</v>
      </c>
      <c r="J4962" s="7" t="s">
        <v>17218</v>
      </c>
      <c r="K4962" s="7" t="s">
        <v>175</v>
      </c>
      <c r="L4962" s="201" t="s">
        <v>16835</v>
      </c>
      <c r="M4962" s="194"/>
      <c r="N4962" s="194"/>
    </row>
    <row r="4963">
      <c r="A4963" s="193" t="s">
        <v>23319</v>
      </c>
      <c r="B4963" s="7" t="s">
        <v>187</v>
      </c>
      <c r="C4963" s="7" t="s">
        <v>16851</v>
      </c>
      <c r="D4963" s="194">
        <v>2019.0</v>
      </c>
      <c r="E4963" s="193"/>
      <c r="F4963" s="195" t="s">
        <v>23320</v>
      </c>
      <c r="G4963" s="196">
        <v>4.62323215E8</v>
      </c>
      <c r="H4963" s="197">
        <v>17.18</v>
      </c>
      <c r="I4963" s="7" t="s">
        <v>16815</v>
      </c>
      <c r="J4963" s="7" t="s">
        <v>187</v>
      </c>
      <c r="K4963" s="7" t="s">
        <v>16851</v>
      </c>
      <c r="L4963" s="198" t="s">
        <v>65</v>
      </c>
      <c r="M4963" s="194"/>
      <c r="N4963" s="194"/>
    </row>
    <row r="4964">
      <c r="A4964" s="193" t="s">
        <v>23321</v>
      </c>
      <c r="B4964" s="7" t="s">
        <v>175</v>
      </c>
      <c r="C4964" s="7" t="s">
        <v>16854</v>
      </c>
      <c r="D4964" s="199"/>
      <c r="E4964" s="193"/>
      <c r="F4964" s="195" t="s">
        <v>23322</v>
      </c>
      <c r="G4964" s="196">
        <v>4.61659435E8</v>
      </c>
      <c r="H4964" s="197">
        <v>13.7</v>
      </c>
      <c r="I4964" s="7" t="s">
        <v>17222</v>
      </c>
      <c r="J4964" s="7" t="s">
        <v>175</v>
      </c>
      <c r="K4964" s="7" t="s">
        <v>16854</v>
      </c>
      <c r="L4964" s="198" t="s">
        <v>65</v>
      </c>
      <c r="M4964" s="199"/>
      <c r="N4964" s="199"/>
    </row>
    <row r="4965">
      <c r="A4965" s="193" t="s">
        <v>23323</v>
      </c>
      <c r="B4965" s="7" t="s">
        <v>19644</v>
      </c>
      <c r="C4965" s="7" t="s">
        <v>16838</v>
      </c>
      <c r="D4965" s="199"/>
      <c r="E4965" s="193"/>
      <c r="F4965" s="195" t="s">
        <v>23324</v>
      </c>
      <c r="G4965" s="200">
        <v>4.6114671E8</v>
      </c>
      <c r="H4965" s="197">
        <v>8.72</v>
      </c>
      <c r="I4965" s="7" t="s">
        <v>16815</v>
      </c>
      <c r="J4965" s="7" t="s">
        <v>19644</v>
      </c>
      <c r="K4965" s="7" t="s">
        <v>16838</v>
      </c>
      <c r="L4965" s="201" t="s">
        <v>16835</v>
      </c>
      <c r="M4965" s="199"/>
      <c r="N4965" s="199"/>
    </row>
    <row r="4966">
      <c r="A4966" s="193" t="s">
        <v>23323</v>
      </c>
      <c r="B4966" s="7" t="s">
        <v>16838</v>
      </c>
      <c r="C4966" s="7" t="s">
        <v>19644</v>
      </c>
      <c r="D4966" s="199"/>
      <c r="E4966" s="193"/>
      <c r="F4966" s="195" t="s">
        <v>23324</v>
      </c>
      <c r="G4966" s="196">
        <v>4.6114671E8</v>
      </c>
      <c r="H4966" s="197">
        <v>8.72</v>
      </c>
      <c r="I4966" s="7" t="s">
        <v>16815</v>
      </c>
      <c r="J4966" s="7" t="s">
        <v>16838</v>
      </c>
      <c r="K4966" s="7" t="s">
        <v>19644</v>
      </c>
      <c r="L4966" s="198" t="s">
        <v>65</v>
      </c>
      <c r="M4966" s="199"/>
      <c r="N4966" s="199"/>
    </row>
    <row r="4967">
      <c r="A4967" s="193" t="s">
        <v>23325</v>
      </c>
      <c r="B4967" s="7" t="s">
        <v>16838</v>
      </c>
      <c r="C4967" s="7" t="s">
        <v>17202</v>
      </c>
      <c r="D4967" s="199"/>
      <c r="E4967" s="193"/>
      <c r="F4967" s="195" t="s">
        <v>23326</v>
      </c>
      <c r="G4967" s="196">
        <v>4.60923476E8</v>
      </c>
      <c r="H4967" s="197">
        <v>160.13</v>
      </c>
      <c r="I4967" s="7" t="s">
        <v>16815</v>
      </c>
      <c r="J4967" s="7" t="s">
        <v>16838</v>
      </c>
      <c r="K4967" s="7" t="s">
        <v>17202</v>
      </c>
      <c r="L4967" s="198" t="s">
        <v>65</v>
      </c>
      <c r="M4967" s="199"/>
      <c r="N4967" s="199"/>
    </row>
    <row r="4968">
      <c r="A4968" s="193" t="s">
        <v>23327</v>
      </c>
      <c r="B4968" s="7" t="s">
        <v>187</v>
      </c>
      <c r="C4968" s="7" t="s">
        <v>17559</v>
      </c>
      <c r="D4968" s="194">
        <v>2021.0</v>
      </c>
      <c r="E4968" s="193"/>
      <c r="F4968" s="195" t="s">
        <v>23328</v>
      </c>
      <c r="G4968" s="196">
        <v>4.60775288E8</v>
      </c>
      <c r="H4968" s="197">
        <v>2.45</v>
      </c>
      <c r="I4968" s="7" t="s">
        <v>16815</v>
      </c>
      <c r="J4968" s="7" t="s">
        <v>187</v>
      </c>
      <c r="K4968" s="7" t="s">
        <v>17559</v>
      </c>
      <c r="L4968" s="198" t="s">
        <v>65</v>
      </c>
      <c r="M4968" s="194"/>
      <c r="N4968" s="194"/>
    </row>
    <row r="4969">
      <c r="A4969" s="193" t="s">
        <v>23329</v>
      </c>
      <c r="B4969" s="7" t="s">
        <v>175</v>
      </c>
      <c r="C4969" s="7" t="s">
        <v>17452</v>
      </c>
      <c r="D4969" s="194">
        <v>1996.0</v>
      </c>
      <c r="E4969" s="193"/>
      <c r="F4969" s="195" t="s">
        <v>23330</v>
      </c>
      <c r="G4969" s="196">
        <v>4.6058166E8</v>
      </c>
      <c r="H4969" s="197">
        <v>23.94</v>
      </c>
      <c r="I4969" s="7" t="s">
        <v>16908</v>
      </c>
      <c r="J4969" s="7" t="s">
        <v>175</v>
      </c>
      <c r="K4969" s="7" t="s">
        <v>17452</v>
      </c>
      <c r="L4969" s="198" t="s">
        <v>65</v>
      </c>
      <c r="M4969" s="194"/>
      <c r="N4969" s="194"/>
    </row>
    <row r="4970">
      <c r="A4970" s="193" t="s">
        <v>23331</v>
      </c>
      <c r="B4970" s="7" t="s">
        <v>175</v>
      </c>
      <c r="C4970" s="7" t="s">
        <v>17069</v>
      </c>
      <c r="D4970" s="194">
        <v>2017.0</v>
      </c>
      <c r="E4970" s="193"/>
      <c r="F4970" s="195" t="s">
        <v>23332</v>
      </c>
      <c r="G4970" s="196">
        <v>4.597776E8</v>
      </c>
      <c r="H4970" s="197">
        <v>6.96</v>
      </c>
      <c r="I4970" s="7" t="s">
        <v>16908</v>
      </c>
      <c r="J4970" s="7" t="s">
        <v>175</v>
      </c>
      <c r="K4970" s="7" t="s">
        <v>17069</v>
      </c>
      <c r="L4970" s="198" t="s">
        <v>65</v>
      </c>
      <c r="M4970" s="194"/>
      <c r="N4970" s="194"/>
    </row>
    <row r="4971">
      <c r="A4971" s="193" t="s">
        <v>23331</v>
      </c>
      <c r="B4971" s="7" t="s">
        <v>17069</v>
      </c>
      <c r="C4971" s="7" t="s">
        <v>175</v>
      </c>
      <c r="D4971" s="194">
        <v>2017.0</v>
      </c>
      <c r="E4971" s="193"/>
      <c r="F4971" s="195" t="s">
        <v>23332</v>
      </c>
      <c r="G4971" s="200">
        <v>4.597776E8</v>
      </c>
      <c r="H4971" s="197">
        <v>6.96</v>
      </c>
      <c r="I4971" s="7" t="s">
        <v>16815</v>
      </c>
      <c r="J4971" s="7" t="s">
        <v>17069</v>
      </c>
      <c r="K4971" s="7" t="s">
        <v>175</v>
      </c>
      <c r="L4971" s="201" t="s">
        <v>16835</v>
      </c>
      <c r="M4971" s="194"/>
      <c r="N4971" s="194"/>
    </row>
    <row r="4972">
      <c r="A4972" s="193" t="s">
        <v>23333</v>
      </c>
      <c r="B4972" s="7" t="s">
        <v>175</v>
      </c>
      <c r="C4972" s="7" t="s">
        <v>16824</v>
      </c>
      <c r="D4972" s="194">
        <v>2021.0</v>
      </c>
      <c r="E4972" s="193"/>
      <c r="F4972" s="195" t="s">
        <v>23334</v>
      </c>
      <c r="G4972" s="196">
        <v>4.59657589E8</v>
      </c>
      <c r="H4972" s="197">
        <v>1.41</v>
      </c>
      <c r="I4972" s="7" t="s">
        <v>16892</v>
      </c>
      <c r="J4972" s="7" t="s">
        <v>175</v>
      </c>
      <c r="K4972" s="7" t="s">
        <v>16824</v>
      </c>
      <c r="L4972" s="198" t="s">
        <v>65</v>
      </c>
      <c r="M4972" s="194"/>
      <c r="N4972" s="194"/>
    </row>
    <row r="4973">
      <c r="A4973" s="193" t="s">
        <v>23335</v>
      </c>
      <c r="B4973" s="7" t="s">
        <v>169</v>
      </c>
      <c r="C4973" s="7" t="s">
        <v>110</v>
      </c>
      <c r="D4973" s="199"/>
      <c r="E4973" s="193"/>
      <c r="F4973" s="195" t="s">
        <v>23336</v>
      </c>
      <c r="G4973" s="196">
        <v>4.59437504E8</v>
      </c>
      <c r="H4973" s="197">
        <v>5.74</v>
      </c>
      <c r="I4973" s="7" t="s">
        <v>16815</v>
      </c>
      <c r="J4973" s="7" t="s">
        <v>169</v>
      </c>
      <c r="K4973" s="7" t="s">
        <v>110</v>
      </c>
      <c r="L4973" s="198" t="s">
        <v>65</v>
      </c>
      <c r="M4973" s="199"/>
      <c r="N4973" s="199"/>
    </row>
    <row r="4974">
      <c r="A4974" s="193" t="s">
        <v>23337</v>
      </c>
      <c r="B4974" s="7" t="s">
        <v>16582</v>
      </c>
      <c r="C4974" s="7" t="s">
        <v>16817</v>
      </c>
      <c r="D4974" s="194">
        <v>2021.0</v>
      </c>
      <c r="E4974" s="193"/>
      <c r="F4974" s="195" t="s">
        <v>23338</v>
      </c>
      <c r="G4974" s="196">
        <v>4.59287868E8</v>
      </c>
      <c r="H4974" s="197">
        <v>1.1901</v>
      </c>
      <c r="I4974" s="7" t="s">
        <v>16815</v>
      </c>
      <c r="J4974" s="7" t="s">
        <v>16582</v>
      </c>
      <c r="K4974" s="7" t="s">
        <v>16817</v>
      </c>
      <c r="L4974" s="198" t="s">
        <v>65</v>
      </c>
      <c r="M4974" s="194"/>
      <c r="N4974" s="194"/>
    </row>
    <row r="4975">
      <c r="A4975" s="193" t="s">
        <v>23339</v>
      </c>
      <c r="B4975" s="7" t="s">
        <v>175</v>
      </c>
      <c r="C4975" s="7" t="s">
        <v>17168</v>
      </c>
      <c r="D4975" s="194">
        <v>2019.0</v>
      </c>
      <c r="E4975" s="193"/>
      <c r="F4975" s="195" t="s">
        <v>23340</v>
      </c>
      <c r="G4975" s="196">
        <v>4.58962199E8</v>
      </c>
      <c r="H4975" s="197">
        <v>10.06</v>
      </c>
      <c r="I4975" s="7" t="s">
        <v>174</v>
      </c>
      <c r="J4975" s="7" t="s">
        <v>175</v>
      </c>
      <c r="K4975" s="7" t="s">
        <v>17168</v>
      </c>
      <c r="L4975" s="198" t="s">
        <v>65</v>
      </c>
      <c r="M4975" s="194"/>
      <c r="N4975" s="194"/>
    </row>
    <row r="4976">
      <c r="A4976" s="193" t="s">
        <v>23339</v>
      </c>
      <c r="B4976" s="7" t="s">
        <v>17168</v>
      </c>
      <c r="C4976" s="7" t="s">
        <v>175</v>
      </c>
      <c r="D4976" s="194">
        <v>2019.0</v>
      </c>
      <c r="E4976" s="193"/>
      <c r="F4976" s="195" t="s">
        <v>23340</v>
      </c>
      <c r="G4976" s="200">
        <v>4.58962199E8</v>
      </c>
      <c r="H4976" s="197">
        <v>10.06</v>
      </c>
      <c r="I4976" s="7" t="s">
        <v>16815</v>
      </c>
      <c r="J4976" s="7" t="s">
        <v>17168</v>
      </c>
      <c r="K4976" s="7" t="s">
        <v>175</v>
      </c>
      <c r="L4976" s="201" t="s">
        <v>16835</v>
      </c>
      <c r="M4976" s="194"/>
      <c r="N4976" s="194"/>
    </row>
    <row r="4977">
      <c r="A4977" s="193" t="s">
        <v>23341</v>
      </c>
      <c r="B4977" s="7" t="s">
        <v>169</v>
      </c>
      <c r="C4977" s="7" t="s">
        <v>16899</v>
      </c>
      <c r="D4977" s="199"/>
      <c r="E4977" s="193"/>
      <c r="F4977" s="195" t="s">
        <v>23342</v>
      </c>
      <c r="G4977" s="196">
        <v>4.58512379E8</v>
      </c>
      <c r="H4977" s="197">
        <v>85.04</v>
      </c>
      <c r="I4977" s="7" t="s">
        <v>16815</v>
      </c>
      <c r="J4977" s="7" t="s">
        <v>169</v>
      </c>
      <c r="K4977" s="7" t="s">
        <v>16899</v>
      </c>
      <c r="L4977" s="198" t="s">
        <v>65</v>
      </c>
      <c r="M4977" s="199"/>
      <c r="N4977" s="199"/>
    </row>
    <row r="4978">
      <c r="A4978" s="193" t="s">
        <v>23343</v>
      </c>
      <c r="B4978" s="7" t="s">
        <v>16838</v>
      </c>
      <c r="C4978" s="7" t="s">
        <v>16867</v>
      </c>
      <c r="D4978" s="199"/>
      <c r="E4978" s="193"/>
      <c r="F4978" s="195" t="s">
        <v>23344</v>
      </c>
      <c r="G4978" s="196">
        <v>4.5750162E8</v>
      </c>
      <c r="H4978" s="197">
        <v>50.6</v>
      </c>
      <c r="I4978" s="7" t="s">
        <v>16815</v>
      </c>
      <c r="J4978" s="7" t="s">
        <v>16838</v>
      </c>
      <c r="K4978" s="7" t="s">
        <v>16867</v>
      </c>
      <c r="L4978" s="198" t="s">
        <v>65</v>
      </c>
      <c r="M4978" s="199"/>
      <c r="N4978" s="199"/>
    </row>
    <row r="4979">
      <c r="A4979" s="193" t="s">
        <v>23345</v>
      </c>
      <c r="B4979" s="7" t="s">
        <v>187</v>
      </c>
      <c r="C4979" s="7" t="s">
        <v>16846</v>
      </c>
      <c r="D4979" s="194">
        <v>2018.0</v>
      </c>
      <c r="E4979" s="193"/>
      <c r="F4979" s="195" t="s">
        <v>23346</v>
      </c>
      <c r="G4979" s="196">
        <v>4.57205776E8</v>
      </c>
      <c r="H4979" s="197">
        <v>8.0</v>
      </c>
      <c r="I4979" s="7" t="s">
        <v>16815</v>
      </c>
      <c r="J4979" s="7" t="s">
        <v>187</v>
      </c>
      <c r="K4979" s="7" t="s">
        <v>16846</v>
      </c>
      <c r="L4979" s="198" t="s">
        <v>65</v>
      </c>
      <c r="M4979" s="194"/>
      <c r="N4979" s="194"/>
    </row>
    <row r="4980">
      <c r="A4980" s="193" t="s">
        <v>23347</v>
      </c>
      <c r="B4980" s="7" t="s">
        <v>175</v>
      </c>
      <c r="C4980" s="7" t="s">
        <v>16878</v>
      </c>
      <c r="D4980" s="194">
        <v>2020.0</v>
      </c>
      <c r="E4980" s="193"/>
      <c r="F4980" s="195" t="s">
        <v>23348</v>
      </c>
      <c r="G4980" s="196">
        <v>4.56754116E8</v>
      </c>
      <c r="H4980" s="197">
        <v>0.817</v>
      </c>
      <c r="I4980" s="7" t="s">
        <v>16856</v>
      </c>
      <c r="J4980" s="7" t="s">
        <v>175</v>
      </c>
      <c r="K4980" s="7" t="s">
        <v>16878</v>
      </c>
      <c r="L4980" s="198" t="s">
        <v>65</v>
      </c>
      <c r="M4980" s="194"/>
      <c r="N4980" s="194"/>
    </row>
    <row r="4981">
      <c r="A4981" s="193" t="s">
        <v>23347</v>
      </c>
      <c r="B4981" s="7" t="s">
        <v>16878</v>
      </c>
      <c r="C4981" s="7" t="s">
        <v>175</v>
      </c>
      <c r="D4981" s="194">
        <v>2020.0</v>
      </c>
      <c r="E4981" s="193"/>
      <c r="F4981" s="195" t="s">
        <v>23348</v>
      </c>
      <c r="G4981" s="200">
        <v>4.56754116E8</v>
      </c>
      <c r="H4981" s="197">
        <v>0.817</v>
      </c>
      <c r="I4981" s="7" t="s">
        <v>16815</v>
      </c>
      <c r="J4981" s="7" t="s">
        <v>16878</v>
      </c>
      <c r="K4981" s="7" t="s">
        <v>175</v>
      </c>
      <c r="L4981" s="201" t="s">
        <v>16835</v>
      </c>
      <c r="M4981" s="194"/>
      <c r="N4981" s="194"/>
    </row>
    <row r="4982">
      <c r="A4982" s="193" t="s">
        <v>23349</v>
      </c>
      <c r="B4982" s="7" t="s">
        <v>17321</v>
      </c>
      <c r="C4982" s="7" t="s">
        <v>169</v>
      </c>
      <c r="D4982" s="194">
        <v>2001.0</v>
      </c>
      <c r="E4982" s="193"/>
      <c r="F4982" s="195" t="s">
        <v>23350</v>
      </c>
      <c r="G4982" s="200">
        <v>4.54890933E8</v>
      </c>
      <c r="H4982" s="197">
        <v>7.12</v>
      </c>
      <c r="I4982" s="7" t="s">
        <v>16815</v>
      </c>
      <c r="J4982" s="7" t="s">
        <v>17321</v>
      </c>
      <c r="K4982" s="7" t="s">
        <v>169</v>
      </c>
      <c r="L4982" s="201" t="s">
        <v>16835</v>
      </c>
      <c r="M4982" s="194"/>
      <c r="N4982" s="194"/>
    </row>
    <row r="4983">
      <c r="A4983" s="193" t="s">
        <v>23349</v>
      </c>
      <c r="B4983" s="7" t="s">
        <v>169</v>
      </c>
      <c r="C4983" s="7" t="s">
        <v>17321</v>
      </c>
      <c r="D4983" s="194">
        <v>2001.0</v>
      </c>
      <c r="E4983" s="193"/>
      <c r="F4983" s="195" t="s">
        <v>23350</v>
      </c>
      <c r="G4983" s="196">
        <v>4.54890933E8</v>
      </c>
      <c r="H4983" s="197">
        <v>7.12</v>
      </c>
      <c r="I4983" s="7" t="s">
        <v>16815</v>
      </c>
      <c r="J4983" s="7" t="s">
        <v>169</v>
      </c>
      <c r="K4983" s="7" t="s">
        <v>17321</v>
      </c>
      <c r="L4983" s="198" t="s">
        <v>65</v>
      </c>
      <c r="M4983" s="194"/>
      <c r="N4983" s="194"/>
    </row>
    <row r="4984">
      <c r="A4984" s="193" t="s">
        <v>23351</v>
      </c>
      <c r="B4984" s="7" t="s">
        <v>175</v>
      </c>
      <c r="C4984" s="7" t="s">
        <v>17264</v>
      </c>
      <c r="D4984" s="199"/>
      <c r="E4984" s="193"/>
      <c r="F4984" s="195" t="s">
        <v>23352</v>
      </c>
      <c r="G4984" s="196">
        <v>4.54693873E8</v>
      </c>
      <c r="H4984" s="197">
        <v>4.79</v>
      </c>
      <c r="I4984" s="7" t="s">
        <v>16826</v>
      </c>
      <c r="J4984" s="7" t="s">
        <v>175</v>
      </c>
      <c r="K4984" s="7" t="s">
        <v>17264</v>
      </c>
      <c r="L4984" s="198" t="s">
        <v>65</v>
      </c>
      <c r="M4984" s="199"/>
      <c r="N4984" s="199"/>
    </row>
    <row r="4985">
      <c r="A4985" s="193" t="s">
        <v>23351</v>
      </c>
      <c r="B4985" s="7" t="s">
        <v>17264</v>
      </c>
      <c r="C4985" s="7" t="s">
        <v>175</v>
      </c>
      <c r="D4985" s="199"/>
      <c r="E4985" s="193"/>
      <c r="F4985" s="195" t="s">
        <v>23352</v>
      </c>
      <c r="G4985" s="200">
        <v>4.54693873E8</v>
      </c>
      <c r="H4985" s="197">
        <v>4.79</v>
      </c>
      <c r="I4985" s="7" t="s">
        <v>16815</v>
      </c>
      <c r="J4985" s="7" t="s">
        <v>17264</v>
      </c>
      <c r="K4985" s="7" t="s">
        <v>175</v>
      </c>
      <c r="L4985" s="201" t="s">
        <v>16835</v>
      </c>
      <c r="M4985" s="199"/>
      <c r="N4985" s="199"/>
    </row>
    <row r="4986">
      <c r="A4986" s="193" t="s">
        <v>23353</v>
      </c>
      <c r="B4986" s="7" t="s">
        <v>17016</v>
      </c>
      <c r="C4986" s="7" t="s">
        <v>16838</v>
      </c>
      <c r="D4986" s="194">
        <v>2021.0</v>
      </c>
      <c r="E4986" s="193"/>
      <c r="F4986" s="195" t="s">
        <v>23354</v>
      </c>
      <c r="G4986" s="200">
        <v>4.53578749E8</v>
      </c>
      <c r="H4986" s="197">
        <v>1.42</v>
      </c>
      <c r="I4986" s="7" t="s">
        <v>16815</v>
      </c>
      <c r="J4986" s="7" t="s">
        <v>17016</v>
      </c>
      <c r="K4986" s="7" t="s">
        <v>16838</v>
      </c>
      <c r="L4986" s="201" t="s">
        <v>16835</v>
      </c>
      <c r="M4986" s="194"/>
      <c r="N4986" s="194"/>
    </row>
    <row r="4987">
      <c r="A4987" s="193" t="s">
        <v>23353</v>
      </c>
      <c r="B4987" s="7" t="s">
        <v>16838</v>
      </c>
      <c r="C4987" s="7" t="s">
        <v>17016</v>
      </c>
      <c r="D4987" s="194">
        <v>2021.0</v>
      </c>
      <c r="E4987" s="193"/>
      <c r="F4987" s="195" t="s">
        <v>23354</v>
      </c>
      <c r="G4987" s="196">
        <v>4.53578749E8</v>
      </c>
      <c r="H4987" s="197">
        <v>1.42</v>
      </c>
      <c r="I4987" s="7" t="s">
        <v>16815</v>
      </c>
      <c r="J4987" s="7" t="s">
        <v>16838</v>
      </c>
      <c r="K4987" s="7" t="s">
        <v>17016</v>
      </c>
      <c r="L4987" s="198" t="s">
        <v>65</v>
      </c>
      <c r="M4987" s="194"/>
      <c r="N4987" s="194"/>
    </row>
    <row r="4988">
      <c r="A4988" s="193" t="s">
        <v>23355</v>
      </c>
      <c r="B4988" s="7" t="s">
        <v>16867</v>
      </c>
      <c r="C4988" s="7" t="s">
        <v>16838</v>
      </c>
      <c r="D4988" s="199"/>
      <c r="E4988" s="193"/>
      <c r="F4988" s="195" t="s">
        <v>23356</v>
      </c>
      <c r="G4988" s="200">
        <v>4.53513944E8</v>
      </c>
      <c r="H4988" s="197">
        <v>16.77</v>
      </c>
      <c r="I4988" s="7" t="s">
        <v>16815</v>
      </c>
      <c r="J4988" s="7" t="s">
        <v>16867</v>
      </c>
      <c r="K4988" s="7" t="s">
        <v>16838</v>
      </c>
      <c r="L4988" s="201" t="s">
        <v>16835</v>
      </c>
      <c r="M4988" s="199"/>
      <c r="N4988" s="199"/>
    </row>
    <row r="4989">
      <c r="A4989" s="193" t="s">
        <v>23355</v>
      </c>
      <c r="B4989" s="7" t="s">
        <v>16838</v>
      </c>
      <c r="C4989" s="7" t="s">
        <v>16867</v>
      </c>
      <c r="D4989" s="199"/>
      <c r="E4989" s="193"/>
      <c r="F4989" s="195" t="s">
        <v>23356</v>
      </c>
      <c r="G4989" s="196">
        <v>4.53513944E8</v>
      </c>
      <c r="H4989" s="197">
        <v>16.77</v>
      </c>
      <c r="I4989" s="7" t="s">
        <v>16815</v>
      </c>
      <c r="J4989" s="7" t="s">
        <v>16838</v>
      </c>
      <c r="K4989" s="7" t="s">
        <v>16867</v>
      </c>
      <c r="L4989" s="198" t="s">
        <v>65</v>
      </c>
      <c r="M4989" s="199"/>
      <c r="N4989" s="199"/>
    </row>
    <row r="4990">
      <c r="A4990" s="193" t="s">
        <v>23357</v>
      </c>
      <c r="B4990" s="7" t="s">
        <v>175</v>
      </c>
      <c r="C4990" s="7" t="s">
        <v>17480</v>
      </c>
      <c r="D4990" s="194">
        <v>1991.0</v>
      </c>
      <c r="E4990" s="193"/>
      <c r="F4990" s="195" t="s">
        <v>23358</v>
      </c>
      <c r="G4990" s="196">
        <v>4.52689785E8</v>
      </c>
      <c r="H4990" s="197">
        <v>8.22</v>
      </c>
      <c r="I4990" s="7" t="s">
        <v>16908</v>
      </c>
      <c r="J4990" s="7" t="s">
        <v>175</v>
      </c>
      <c r="K4990" s="7" t="s">
        <v>17480</v>
      </c>
      <c r="L4990" s="198" t="s">
        <v>65</v>
      </c>
      <c r="M4990" s="194"/>
      <c r="N4990" s="194"/>
    </row>
    <row r="4991">
      <c r="A4991" s="193" t="s">
        <v>23359</v>
      </c>
      <c r="B4991" s="7" t="s">
        <v>169</v>
      </c>
      <c r="C4991" s="7" t="s">
        <v>16945</v>
      </c>
      <c r="D4991" s="194">
        <v>2021.0</v>
      </c>
      <c r="E4991" s="193"/>
      <c r="F4991" s="195" t="s">
        <v>23360</v>
      </c>
      <c r="G4991" s="196">
        <v>4.52610764E8</v>
      </c>
      <c r="H4991" s="197">
        <v>2.62</v>
      </c>
      <c r="I4991" s="7" t="s">
        <v>16815</v>
      </c>
      <c r="J4991" s="7" t="s">
        <v>169</v>
      </c>
      <c r="K4991" s="7" t="s">
        <v>16945</v>
      </c>
      <c r="L4991" s="198" t="s">
        <v>65</v>
      </c>
      <c r="M4991" s="194"/>
      <c r="N4991" s="194"/>
    </row>
    <row r="4992">
      <c r="A4992" s="193" t="s">
        <v>23359</v>
      </c>
      <c r="B4992" s="202" t="s">
        <v>16945</v>
      </c>
      <c r="C4992" s="193" t="s">
        <v>169</v>
      </c>
      <c r="D4992" s="193">
        <v>2021.0</v>
      </c>
      <c r="E4992" s="193"/>
      <c r="F4992" s="203" t="s">
        <v>23360</v>
      </c>
      <c r="G4992" s="200">
        <v>4.52610764E8</v>
      </c>
      <c r="H4992" s="205">
        <v>8.19</v>
      </c>
      <c r="J4992" s="202" t="s">
        <v>16945</v>
      </c>
      <c r="K4992" s="193" t="s">
        <v>169</v>
      </c>
      <c r="L4992" s="193" t="s">
        <v>17471</v>
      </c>
      <c r="M4992" s="193"/>
      <c r="N4992" s="193"/>
    </row>
    <row r="4993">
      <c r="A4993" s="193" t="s">
        <v>23361</v>
      </c>
      <c r="B4993" s="7" t="s">
        <v>175</v>
      </c>
      <c r="C4993" s="7" t="s">
        <v>17025</v>
      </c>
      <c r="D4993" s="199"/>
      <c r="E4993" s="193"/>
      <c r="F4993" s="195" t="s">
        <v>23362</v>
      </c>
      <c r="G4993" s="196">
        <v>4.51530498E8</v>
      </c>
      <c r="H4993" s="197">
        <v>39.45</v>
      </c>
      <c r="I4993" s="7" t="s">
        <v>168</v>
      </c>
      <c r="J4993" s="7" t="s">
        <v>175</v>
      </c>
      <c r="K4993" s="7" t="s">
        <v>17025</v>
      </c>
      <c r="L4993" s="198" t="s">
        <v>65</v>
      </c>
      <c r="M4993" s="199"/>
      <c r="N4993" s="199"/>
    </row>
    <row r="4994">
      <c r="A4994" s="193" t="s">
        <v>23361</v>
      </c>
      <c r="B4994" s="7" t="s">
        <v>17025</v>
      </c>
      <c r="C4994" s="7" t="s">
        <v>175</v>
      </c>
      <c r="D4994" s="199"/>
      <c r="E4994" s="193"/>
      <c r="F4994" s="195" t="s">
        <v>23362</v>
      </c>
      <c r="G4994" s="200">
        <v>4.51530498E8</v>
      </c>
      <c r="H4994" s="197">
        <v>39.45</v>
      </c>
      <c r="I4994" s="7" t="s">
        <v>16815</v>
      </c>
      <c r="J4994" s="7" t="s">
        <v>17025</v>
      </c>
      <c r="K4994" s="7" t="s">
        <v>175</v>
      </c>
      <c r="L4994" s="201" t="s">
        <v>16835</v>
      </c>
      <c r="M4994" s="199"/>
      <c r="N4994" s="199"/>
    </row>
    <row r="4995">
      <c r="A4995" s="193" t="s">
        <v>23363</v>
      </c>
      <c r="B4995" s="7" t="s">
        <v>16838</v>
      </c>
      <c r="C4995" s="7" t="s">
        <v>17112</v>
      </c>
      <c r="D4995" s="194">
        <v>1997.0</v>
      </c>
      <c r="E4995" s="193"/>
      <c r="F4995" s="195" t="s">
        <v>23364</v>
      </c>
      <c r="G4995" s="196">
        <v>4.50976309E8</v>
      </c>
      <c r="H4995" s="197">
        <v>7.6</v>
      </c>
      <c r="I4995" s="7" t="s">
        <v>16815</v>
      </c>
      <c r="J4995" s="7" t="s">
        <v>16838</v>
      </c>
      <c r="K4995" s="7" t="s">
        <v>17112</v>
      </c>
      <c r="L4995" s="198" t="s">
        <v>65</v>
      </c>
      <c r="M4995" s="194"/>
      <c r="N4995" s="194"/>
    </row>
    <row r="4996">
      <c r="A4996" s="193" t="s">
        <v>23365</v>
      </c>
      <c r="B4996" s="7" t="s">
        <v>187</v>
      </c>
      <c r="C4996" s="7" t="s">
        <v>16846</v>
      </c>
      <c r="D4996" s="199"/>
      <c r="E4996" s="193"/>
      <c r="F4996" s="195" t="s">
        <v>23366</v>
      </c>
      <c r="G4996" s="196">
        <v>4.50353133E8</v>
      </c>
      <c r="H4996" s="197">
        <v>12.825</v>
      </c>
      <c r="I4996" s="7" t="s">
        <v>16815</v>
      </c>
      <c r="J4996" s="7" t="s">
        <v>187</v>
      </c>
      <c r="K4996" s="7" t="s">
        <v>16846</v>
      </c>
      <c r="L4996" s="198" t="s">
        <v>65</v>
      </c>
      <c r="M4996" s="199"/>
      <c r="N4996" s="199"/>
    </row>
    <row r="4997">
      <c r="A4997" s="193" t="s">
        <v>23367</v>
      </c>
      <c r="B4997" s="7" t="s">
        <v>175</v>
      </c>
      <c r="C4997" s="7" t="s">
        <v>17168</v>
      </c>
      <c r="D4997" s="194">
        <v>2018.0</v>
      </c>
      <c r="E4997" s="193"/>
      <c r="F4997" s="195" t="s">
        <v>23368</v>
      </c>
      <c r="G4997" s="196">
        <v>4.49587402E8</v>
      </c>
      <c r="H4997" s="197">
        <v>4.4</v>
      </c>
      <c r="I4997" s="7" t="s">
        <v>16908</v>
      </c>
      <c r="J4997" s="7" t="s">
        <v>175</v>
      </c>
      <c r="K4997" s="7" t="s">
        <v>17168</v>
      </c>
      <c r="L4997" s="198" t="s">
        <v>65</v>
      </c>
      <c r="M4997" s="194"/>
      <c r="N4997" s="194"/>
    </row>
    <row r="4998">
      <c r="A4998" s="193" t="s">
        <v>23367</v>
      </c>
      <c r="B4998" s="7" t="s">
        <v>17168</v>
      </c>
      <c r="C4998" s="7" t="s">
        <v>175</v>
      </c>
      <c r="D4998" s="194">
        <v>2018.0</v>
      </c>
      <c r="E4998" s="193"/>
      <c r="F4998" s="195" t="s">
        <v>23368</v>
      </c>
      <c r="G4998" s="200">
        <v>4.49587402E8</v>
      </c>
      <c r="H4998" s="197">
        <v>4.4</v>
      </c>
      <c r="I4998" s="7" t="s">
        <v>16815</v>
      </c>
      <c r="J4998" s="7" t="s">
        <v>17168</v>
      </c>
      <c r="K4998" s="7" t="s">
        <v>175</v>
      </c>
      <c r="L4998" s="201" t="s">
        <v>16835</v>
      </c>
      <c r="M4998" s="194"/>
      <c r="N4998" s="194"/>
    </row>
    <row r="4999">
      <c r="A4999" s="193" t="s">
        <v>23369</v>
      </c>
      <c r="B4999" s="7" t="s">
        <v>17112</v>
      </c>
      <c r="C4999" s="7" t="s">
        <v>16838</v>
      </c>
      <c r="D4999" s="194">
        <v>2022.0</v>
      </c>
      <c r="E4999" s="193"/>
      <c r="F4999" s="195" t="s">
        <v>23370</v>
      </c>
      <c r="G4999" s="200">
        <v>4.49539843E8</v>
      </c>
      <c r="H4999" s="197">
        <v>14.36</v>
      </c>
      <c r="I4999" s="7" t="s">
        <v>16815</v>
      </c>
      <c r="J4999" s="7" t="s">
        <v>17112</v>
      </c>
      <c r="K4999" s="7" t="s">
        <v>16838</v>
      </c>
      <c r="L4999" s="201" t="s">
        <v>16835</v>
      </c>
      <c r="M4999" s="194"/>
      <c r="N4999" s="194"/>
    </row>
    <row r="5000">
      <c r="A5000" s="193" t="s">
        <v>23369</v>
      </c>
      <c r="B5000" s="7" t="s">
        <v>16838</v>
      </c>
      <c r="C5000" s="7" t="s">
        <v>17112</v>
      </c>
      <c r="D5000" s="194">
        <v>2022.0</v>
      </c>
      <c r="E5000" s="193"/>
      <c r="F5000" s="195" t="s">
        <v>23370</v>
      </c>
      <c r="G5000" s="196">
        <v>4.49539843E8</v>
      </c>
      <c r="H5000" s="197">
        <v>14.36</v>
      </c>
      <c r="I5000" s="7" t="s">
        <v>16815</v>
      </c>
      <c r="J5000" s="7" t="s">
        <v>16838</v>
      </c>
      <c r="K5000" s="7" t="s">
        <v>17112</v>
      </c>
      <c r="L5000" s="198" t="s">
        <v>65</v>
      </c>
      <c r="M5000" s="194"/>
      <c r="N5000" s="194"/>
    </row>
    <row r="5001">
      <c r="A5001" s="193" t="s">
        <v>23371</v>
      </c>
      <c r="B5001" s="7" t="s">
        <v>16838</v>
      </c>
      <c r="C5001" s="7" t="s">
        <v>16867</v>
      </c>
      <c r="D5001" s="199"/>
      <c r="E5001" s="193"/>
      <c r="F5001" s="195" t="s">
        <v>23372</v>
      </c>
      <c r="G5001" s="196">
        <v>4.47249449E8</v>
      </c>
      <c r="H5001" s="197">
        <v>11.93</v>
      </c>
      <c r="I5001" s="7" t="s">
        <v>16815</v>
      </c>
      <c r="J5001" s="7" t="s">
        <v>16838</v>
      </c>
      <c r="K5001" s="7" t="s">
        <v>16867</v>
      </c>
      <c r="L5001" s="198" t="s">
        <v>65</v>
      </c>
      <c r="M5001" s="199"/>
      <c r="N5001" s="199"/>
    </row>
    <row r="5002">
      <c r="A5002" s="193" t="s">
        <v>23373</v>
      </c>
      <c r="B5002" s="7" t="s">
        <v>175</v>
      </c>
      <c r="C5002" s="7" t="s">
        <v>17350</v>
      </c>
      <c r="D5002" s="194">
        <v>2020.0</v>
      </c>
      <c r="E5002" s="193"/>
      <c r="F5002" s="195" t="s">
        <v>23374</v>
      </c>
      <c r="G5002" s="196">
        <v>4.46997107E8</v>
      </c>
      <c r="H5002" s="197">
        <v>3.77</v>
      </c>
      <c r="I5002" s="7" t="s">
        <v>16892</v>
      </c>
      <c r="J5002" s="7" t="s">
        <v>175</v>
      </c>
      <c r="K5002" s="7" t="s">
        <v>17350</v>
      </c>
      <c r="L5002" s="198" t="s">
        <v>65</v>
      </c>
      <c r="M5002" s="194"/>
      <c r="N5002" s="194"/>
    </row>
    <row r="5003">
      <c r="A5003" s="193" t="s">
        <v>23373</v>
      </c>
      <c r="B5003" s="7" t="s">
        <v>17350</v>
      </c>
      <c r="C5003" s="7" t="s">
        <v>175</v>
      </c>
      <c r="D5003" s="194">
        <v>2020.0</v>
      </c>
      <c r="E5003" s="193"/>
      <c r="F5003" s="195" t="s">
        <v>23374</v>
      </c>
      <c r="G5003" s="200">
        <v>4.46997107E8</v>
      </c>
      <c r="H5003" s="197">
        <v>3.77</v>
      </c>
      <c r="I5003" s="7" t="s">
        <v>16815</v>
      </c>
      <c r="J5003" s="7" t="s">
        <v>17350</v>
      </c>
      <c r="K5003" s="7" t="s">
        <v>175</v>
      </c>
      <c r="L5003" s="201" t="s">
        <v>16835</v>
      </c>
      <c r="M5003" s="194"/>
      <c r="N5003" s="194"/>
    </row>
    <row r="5004">
      <c r="A5004" s="193" t="s">
        <v>23375</v>
      </c>
      <c r="B5004" s="7" t="s">
        <v>16838</v>
      </c>
      <c r="C5004" s="7" t="s">
        <v>16867</v>
      </c>
      <c r="D5004" s="199"/>
      <c r="E5004" s="193"/>
      <c r="F5004" s="195" t="s">
        <v>23376</v>
      </c>
      <c r="G5004" s="196">
        <v>4.45803349E8</v>
      </c>
      <c r="H5004" s="197">
        <v>19.14</v>
      </c>
      <c r="I5004" s="7" t="s">
        <v>16815</v>
      </c>
      <c r="J5004" s="7" t="s">
        <v>16838</v>
      </c>
      <c r="K5004" s="7" t="s">
        <v>16867</v>
      </c>
      <c r="L5004" s="198" t="s">
        <v>65</v>
      </c>
      <c r="M5004" s="199"/>
      <c r="N5004" s="199"/>
    </row>
    <row r="5005">
      <c r="A5005" s="193" t="s">
        <v>23377</v>
      </c>
      <c r="B5005" s="7" t="s">
        <v>16838</v>
      </c>
      <c r="C5005" s="7" t="s">
        <v>17016</v>
      </c>
      <c r="D5005" s="194">
        <v>1995.0</v>
      </c>
      <c r="E5005" s="193"/>
      <c r="F5005" s="195" t="s">
        <v>23378</v>
      </c>
      <c r="G5005" s="196">
        <v>4.45342882E8</v>
      </c>
      <c r="H5005" s="197">
        <v>30.86</v>
      </c>
      <c r="I5005" s="7" t="s">
        <v>16924</v>
      </c>
      <c r="J5005" s="7" t="s">
        <v>16838</v>
      </c>
      <c r="K5005" s="7" t="s">
        <v>17016</v>
      </c>
      <c r="L5005" s="198" t="s">
        <v>65</v>
      </c>
      <c r="M5005" s="194"/>
      <c r="N5005" s="194"/>
    </row>
    <row r="5006">
      <c r="A5006" s="193" t="s">
        <v>23379</v>
      </c>
      <c r="B5006" s="7" t="s">
        <v>16910</v>
      </c>
      <c r="C5006" s="7" t="s">
        <v>17119</v>
      </c>
      <c r="D5006" s="194">
        <v>2019.0</v>
      </c>
      <c r="E5006" s="193"/>
      <c r="F5006" s="195" t="s">
        <v>23380</v>
      </c>
      <c r="G5006" s="196">
        <v>4.44905816E8</v>
      </c>
      <c r="H5006" s="197">
        <v>6.91</v>
      </c>
      <c r="I5006" s="7" t="s">
        <v>16856</v>
      </c>
      <c r="J5006" s="7" t="s">
        <v>16910</v>
      </c>
      <c r="K5006" s="7" t="s">
        <v>17119</v>
      </c>
      <c r="L5006" s="198" t="s">
        <v>65</v>
      </c>
      <c r="M5006" s="194"/>
      <c r="N5006" s="194"/>
    </row>
    <row r="5007">
      <c r="A5007" s="193" t="s">
        <v>23381</v>
      </c>
      <c r="B5007" s="7" t="s">
        <v>175</v>
      </c>
      <c r="C5007" s="7" t="s">
        <v>17057</v>
      </c>
      <c r="D5007" s="194">
        <v>2021.0</v>
      </c>
      <c r="E5007" s="193"/>
      <c r="F5007" s="195" t="s">
        <v>23382</v>
      </c>
      <c r="G5007" s="196">
        <v>4.43852429E8</v>
      </c>
      <c r="H5007" s="197">
        <v>30.3</v>
      </c>
      <c r="I5007" s="7" t="s">
        <v>16908</v>
      </c>
      <c r="J5007" s="7" t="s">
        <v>175</v>
      </c>
      <c r="K5007" s="7" t="s">
        <v>17057</v>
      </c>
      <c r="L5007" s="198" t="s">
        <v>65</v>
      </c>
      <c r="M5007" s="194"/>
      <c r="N5007" s="194"/>
    </row>
    <row r="5008">
      <c r="A5008" s="193" t="s">
        <v>23383</v>
      </c>
      <c r="B5008" s="7" t="s">
        <v>187</v>
      </c>
      <c r="C5008" s="7" t="s">
        <v>16969</v>
      </c>
      <c r="D5008" s="194">
        <v>1998.0</v>
      </c>
      <c r="E5008" s="193"/>
      <c r="F5008" s="195" t="s">
        <v>23384</v>
      </c>
      <c r="G5008" s="196">
        <v>4.438076E8</v>
      </c>
      <c r="H5008" s="197">
        <v>31.4</v>
      </c>
      <c r="I5008" s="7" t="s">
        <v>16815</v>
      </c>
      <c r="J5008" s="7" t="s">
        <v>187</v>
      </c>
      <c r="K5008" s="7" t="s">
        <v>16969</v>
      </c>
      <c r="L5008" s="198" t="s">
        <v>65</v>
      </c>
      <c r="M5008" s="194"/>
      <c r="N5008" s="194"/>
    </row>
    <row r="5009">
      <c r="A5009" s="193" t="s">
        <v>23385</v>
      </c>
      <c r="B5009" s="7" t="s">
        <v>16582</v>
      </c>
      <c r="C5009" s="7" t="s">
        <v>16930</v>
      </c>
      <c r="D5009" s="199"/>
      <c r="E5009" s="193"/>
      <c r="F5009" s="195" t="s">
        <v>23386</v>
      </c>
      <c r="G5009" s="196">
        <v>4.41815742E8</v>
      </c>
      <c r="H5009" s="197">
        <v>3.97</v>
      </c>
      <c r="I5009" s="7" t="s">
        <v>16815</v>
      </c>
      <c r="J5009" s="7" t="s">
        <v>16582</v>
      </c>
      <c r="K5009" s="7" t="s">
        <v>16930</v>
      </c>
      <c r="L5009" s="198" t="s">
        <v>65</v>
      </c>
      <c r="M5009" s="199"/>
      <c r="N5009" s="199"/>
    </row>
    <row r="5010">
      <c r="A5010" s="193" t="s">
        <v>23387</v>
      </c>
      <c r="B5010" s="7" t="s">
        <v>16582</v>
      </c>
      <c r="C5010" s="7" t="s">
        <v>16817</v>
      </c>
      <c r="D5010" s="194">
        <v>2020.0</v>
      </c>
      <c r="E5010" s="193"/>
      <c r="F5010" s="195" t="s">
        <v>23388</v>
      </c>
      <c r="G5010" s="196">
        <v>4.41184664E8</v>
      </c>
      <c r="H5010" s="197">
        <v>2.83</v>
      </c>
      <c r="I5010" s="7" t="s">
        <v>16815</v>
      </c>
      <c r="J5010" s="7" t="s">
        <v>16582</v>
      </c>
      <c r="K5010" s="7" t="s">
        <v>16817</v>
      </c>
      <c r="L5010" s="198" t="s">
        <v>65</v>
      </c>
      <c r="M5010" s="194"/>
      <c r="N5010" s="194"/>
    </row>
    <row r="5011">
      <c r="A5011" s="193" t="s">
        <v>23387</v>
      </c>
      <c r="B5011" s="7" t="s">
        <v>16817</v>
      </c>
      <c r="C5011" s="7" t="s">
        <v>16582</v>
      </c>
      <c r="D5011" s="194">
        <v>2020.0</v>
      </c>
      <c r="E5011" s="193"/>
      <c r="F5011" s="195" t="s">
        <v>23388</v>
      </c>
      <c r="G5011" s="200">
        <v>4.41184664E8</v>
      </c>
      <c r="H5011" s="197">
        <v>2.83</v>
      </c>
      <c r="I5011" s="7" t="s">
        <v>16815</v>
      </c>
      <c r="J5011" s="7" t="s">
        <v>16817</v>
      </c>
      <c r="K5011" s="7" t="s">
        <v>16582</v>
      </c>
      <c r="L5011" s="201" t="s">
        <v>16835</v>
      </c>
      <c r="M5011" s="194"/>
      <c r="N5011" s="194"/>
    </row>
    <row r="5012">
      <c r="A5012" s="193" t="s">
        <v>23389</v>
      </c>
      <c r="B5012" s="7" t="s">
        <v>175</v>
      </c>
      <c r="C5012" s="7" t="s">
        <v>17350</v>
      </c>
      <c r="D5012" s="194">
        <v>1997.0</v>
      </c>
      <c r="E5012" s="193"/>
      <c r="F5012" s="195" t="s">
        <v>23390</v>
      </c>
      <c r="G5012" s="196">
        <v>4.40767632E8</v>
      </c>
      <c r="H5012" s="197">
        <v>16.0</v>
      </c>
      <c r="I5012" s="7" t="s">
        <v>23391</v>
      </c>
      <c r="J5012" s="7" t="s">
        <v>175</v>
      </c>
      <c r="K5012" s="7" t="s">
        <v>17350</v>
      </c>
      <c r="L5012" s="198" t="s">
        <v>65</v>
      </c>
      <c r="M5012" s="194"/>
      <c r="N5012" s="194"/>
    </row>
    <row r="5013">
      <c r="A5013" s="193" t="s">
        <v>23389</v>
      </c>
      <c r="B5013" s="7" t="s">
        <v>17350</v>
      </c>
      <c r="C5013" s="7" t="s">
        <v>175</v>
      </c>
      <c r="D5013" s="194">
        <v>1997.0</v>
      </c>
      <c r="E5013" s="193"/>
      <c r="F5013" s="195" t="s">
        <v>23390</v>
      </c>
      <c r="G5013" s="200">
        <v>4.40767632E8</v>
      </c>
      <c r="H5013" s="197">
        <v>16.0</v>
      </c>
      <c r="I5013" s="7" t="s">
        <v>16815</v>
      </c>
      <c r="J5013" s="7" t="s">
        <v>17350</v>
      </c>
      <c r="K5013" s="7" t="s">
        <v>175</v>
      </c>
      <c r="L5013" s="201" t="s">
        <v>16835</v>
      </c>
      <c r="M5013" s="194"/>
      <c r="N5013" s="194"/>
    </row>
    <row r="5014">
      <c r="A5014" s="193" t="s">
        <v>23392</v>
      </c>
      <c r="B5014" s="7" t="s">
        <v>16910</v>
      </c>
      <c r="C5014" s="7" t="s">
        <v>17119</v>
      </c>
      <c r="D5014" s="199"/>
      <c r="E5014" s="193"/>
      <c r="F5014" s="195" t="s">
        <v>23393</v>
      </c>
      <c r="G5014" s="196">
        <v>4.40430888E8</v>
      </c>
      <c r="H5014" s="197">
        <v>58.0</v>
      </c>
      <c r="I5014" s="7" t="s">
        <v>16917</v>
      </c>
      <c r="J5014" s="7" t="s">
        <v>16910</v>
      </c>
      <c r="K5014" s="7" t="s">
        <v>17119</v>
      </c>
      <c r="L5014" s="198" t="s">
        <v>65</v>
      </c>
      <c r="M5014" s="199"/>
      <c r="N5014" s="199"/>
    </row>
    <row r="5015">
      <c r="A5015" s="193" t="s">
        <v>23394</v>
      </c>
      <c r="B5015" s="7" t="s">
        <v>187</v>
      </c>
      <c r="C5015" s="7" t="s">
        <v>16851</v>
      </c>
      <c r="D5015" s="199"/>
      <c r="E5015" s="193"/>
      <c r="F5015" s="195" t="s">
        <v>23395</v>
      </c>
      <c r="G5015" s="196">
        <v>4.4039124E8</v>
      </c>
      <c r="H5015" s="197">
        <v>0.9031</v>
      </c>
      <c r="I5015" s="7" t="s">
        <v>16815</v>
      </c>
      <c r="J5015" s="7" t="s">
        <v>187</v>
      </c>
      <c r="K5015" s="7" t="s">
        <v>16851</v>
      </c>
      <c r="L5015" s="198" t="s">
        <v>65</v>
      </c>
      <c r="M5015" s="199"/>
      <c r="N5015" s="199"/>
    </row>
    <row r="5016">
      <c r="A5016" s="193" t="s">
        <v>23396</v>
      </c>
      <c r="B5016" s="7" t="s">
        <v>17112</v>
      </c>
      <c r="C5016" s="7" t="s">
        <v>17111</v>
      </c>
      <c r="D5016" s="199"/>
      <c r="E5016" s="193"/>
      <c r="F5016" s="195" t="s">
        <v>23397</v>
      </c>
      <c r="G5016" s="196">
        <v>4.40286308E8</v>
      </c>
      <c r="H5016" s="197">
        <v>22.8</v>
      </c>
      <c r="I5016" s="7" t="s">
        <v>16815</v>
      </c>
      <c r="J5016" s="7" t="s">
        <v>17112</v>
      </c>
      <c r="K5016" s="7" t="s">
        <v>17111</v>
      </c>
      <c r="L5016" s="198" t="s">
        <v>65</v>
      </c>
      <c r="M5016" s="199"/>
      <c r="N5016" s="199"/>
    </row>
    <row r="5017">
      <c r="A5017" s="193" t="s">
        <v>23398</v>
      </c>
      <c r="B5017" s="7" t="s">
        <v>187</v>
      </c>
      <c r="C5017" s="7" t="s">
        <v>16858</v>
      </c>
      <c r="D5017" s="199"/>
      <c r="E5017" s="193"/>
      <c r="F5017" s="195" t="s">
        <v>23399</v>
      </c>
      <c r="G5017" s="196">
        <v>4.40109626E8</v>
      </c>
      <c r="H5017" s="197">
        <v>1.77</v>
      </c>
      <c r="I5017" s="7" t="s">
        <v>16815</v>
      </c>
      <c r="J5017" s="7" t="s">
        <v>187</v>
      </c>
      <c r="K5017" s="7" t="s">
        <v>16858</v>
      </c>
      <c r="L5017" s="198" t="s">
        <v>65</v>
      </c>
      <c r="M5017" s="199"/>
      <c r="N5017" s="199"/>
    </row>
    <row r="5018">
      <c r="A5018" s="193" t="s">
        <v>23400</v>
      </c>
      <c r="B5018" s="7" t="s">
        <v>17629</v>
      </c>
      <c r="C5018" s="7" t="s">
        <v>16899</v>
      </c>
      <c r="D5018" s="194">
        <v>2019.0</v>
      </c>
      <c r="E5018" s="193"/>
      <c r="F5018" s="195" t="s">
        <v>23401</v>
      </c>
      <c r="G5018" s="196">
        <v>4.39667724E8</v>
      </c>
      <c r="H5018" s="197">
        <v>1.39</v>
      </c>
      <c r="I5018" s="7" t="s">
        <v>16815</v>
      </c>
      <c r="J5018" s="7" t="s">
        <v>17629</v>
      </c>
      <c r="K5018" s="7" t="s">
        <v>16899</v>
      </c>
      <c r="L5018" s="198" t="s">
        <v>65</v>
      </c>
      <c r="M5018" s="194"/>
      <c r="N5018" s="194"/>
    </row>
    <row r="5019">
      <c r="A5019" s="193" t="s">
        <v>23402</v>
      </c>
      <c r="B5019" s="7" t="s">
        <v>17112</v>
      </c>
      <c r="C5019" s="7" t="s">
        <v>17111</v>
      </c>
      <c r="D5019" s="199"/>
      <c r="E5019" s="193"/>
      <c r="F5019" s="195" t="s">
        <v>23403</v>
      </c>
      <c r="G5019" s="196">
        <v>4.39320768E8</v>
      </c>
      <c r="H5019" s="197">
        <v>22.75</v>
      </c>
      <c r="I5019" s="7" t="s">
        <v>16815</v>
      </c>
      <c r="J5019" s="7" t="s">
        <v>17112</v>
      </c>
      <c r="K5019" s="7" t="s">
        <v>17111</v>
      </c>
      <c r="L5019" s="198" t="s">
        <v>65</v>
      </c>
      <c r="M5019" s="199"/>
      <c r="N5019" s="199"/>
    </row>
    <row r="5020">
      <c r="A5020" s="193" t="s">
        <v>23404</v>
      </c>
      <c r="B5020" s="7" t="s">
        <v>169</v>
      </c>
      <c r="C5020" s="7" t="s">
        <v>17442</v>
      </c>
      <c r="D5020" s="199"/>
      <c r="E5020" s="193"/>
      <c r="F5020" s="195" t="s">
        <v>23405</v>
      </c>
      <c r="G5020" s="196">
        <v>4.39119237E8</v>
      </c>
      <c r="H5020" s="197">
        <v>5.1799</v>
      </c>
      <c r="I5020" s="7" t="s">
        <v>16815</v>
      </c>
      <c r="J5020" s="7" t="s">
        <v>169</v>
      </c>
      <c r="K5020" s="7" t="s">
        <v>17442</v>
      </c>
      <c r="L5020" s="198" t="s">
        <v>65</v>
      </c>
      <c r="M5020" s="199"/>
      <c r="N5020" s="199"/>
    </row>
    <row r="5021">
      <c r="A5021" s="193" t="s">
        <v>23404</v>
      </c>
      <c r="B5021" s="7" t="s">
        <v>17442</v>
      </c>
      <c r="C5021" s="7" t="s">
        <v>169</v>
      </c>
      <c r="D5021" s="199"/>
      <c r="E5021" s="193"/>
      <c r="F5021" s="195" t="s">
        <v>23405</v>
      </c>
      <c r="G5021" s="200">
        <v>4.39119237E8</v>
      </c>
      <c r="H5021" s="197">
        <v>5.1799</v>
      </c>
      <c r="I5021" s="7" t="s">
        <v>16815</v>
      </c>
      <c r="J5021" s="7" t="s">
        <v>17442</v>
      </c>
      <c r="K5021" s="7" t="s">
        <v>169</v>
      </c>
      <c r="L5021" s="201" t="s">
        <v>16835</v>
      </c>
      <c r="M5021" s="199"/>
      <c r="N5021" s="199"/>
    </row>
    <row r="5022">
      <c r="A5022" s="193" t="s">
        <v>23406</v>
      </c>
      <c r="B5022" s="7" t="s">
        <v>187</v>
      </c>
      <c r="C5022" s="7" t="s">
        <v>16846</v>
      </c>
      <c r="D5022" s="194">
        <v>2021.0</v>
      </c>
      <c r="E5022" s="193"/>
      <c r="F5022" s="195" t="s">
        <v>23407</v>
      </c>
      <c r="G5022" s="196">
        <v>4.38315521E8</v>
      </c>
      <c r="H5022" s="197">
        <v>4.09</v>
      </c>
      <c r="I5022" s="7" t="s">
        <v>16815</v>
      </c>
      <c r="J5022" s="7" t="s">
        <v>187</v>
      </c>
      <c r="K5022" s="7" t="s">
        <v>16846</v>
      </c>
      <c r="L5022" s="198" t="s">
        <v>65</v>
      </c>
      <c r="M5022" s="194"/>
      <c r="N5022" s="194"/>
    </row>
    <row r="5023">
      <c r="A5023" s="193" t="s">
        <v>23408</v>
      </c>
      <c r="B5023" s="7" t="s">
        <v>16838</v>
      </c>
      <c r="C5023" s="7" t="s">
        <v>16867</v>
      </c>
      <c r="D5023" s="199"/>
      <c r="E5023" s="193"/>
      <c r="F5023" s="195" t="s">
        <v>23409</v>
      </c>
      <c r="G5023" s="196">
        <v>4.38208921E8</v>
      </c>
      <c r="H5023" s="197">
        <v>15.65</v>
      </c>
      <c r="I5023" s="7" t="s">
        <v>16815</v>
      </c>
      <c r="J5023" s="7" t="s">
        <v>16838</v>
      </c>
      <c r="K5023" s="7" t="s">
        <v>16867</v>
      </c>
      <c r="L5023" s="198" t="s">
        <v>65</v>
      </c>
      <c r="M5023" s="199"/>
      <c r="N5023" s="199"/>
    </row>
    <row r="5024">
      <c r="A5024" s="193" t="s">
        <v>23410</v>
      </c>
      <c r="B5024" s="7" t="s">
        <v>16838</v>
      </c>
      <c r="C5024" s="7" t="s">
        <v>16867</v>
      </c>
      <c r="D5024" s="199"/>
      <c r="E5024" s="193"/>
      <c r="F5024" s="195" t="s">
        <v>23411</v>
      </c>
      <c r="G5024" s="196">
        <v>4.38009361E8</v>
      </c>
      <c r="H5024" s="197">
        <v>9.93</v>
      </c>
      <c r="I5024" s="7" t="s">
        <v>16815</v>
      </c>
      <c r="J5024" s="7" t="s">
        <v>16838</v>
      </c>
      <c r="K5024" s="7" t="s">
        <v>16867</v>
      </c>
      <c r="L5024" s="198" t="s">
        <v>65</v>
      </c>
      <c r="M5024" s="199"/>
      <c r="N5024" s="199"/>
    </row>
    <row r="5025">
      <c r="A5025" s="193" t="s">
        <v>23412</v>
      </c>
      <c r="B5025" s="7" t="s">
        <v>16838</v>
      </c>
      <c r="C5025" s="7" t="s">
        <v>17002</v>
      </c>
      <c r="D5025" s="199"/>
      <c r="E5025" s="193"/>
      <c r="F5025" s="195" t="s">
        <v>12491</v>
      </c>
      <c r="G5025" s="196">
        <v>4.37266702E8</v>
      </c>
      <c r="H5025" s="197">
        <v>24.54</v>
      </c>
      <c r="I5025" s="7" t="s">
        <v>16815</v>
      </c>
      <c r="J5025" s="7" t="s">
        <v>16838</v>
      </c>
      <c r="K5025" s="7" t="s">
        <v>17002</v>
      </c>
      <c r="L5025" s="198" t="s">
        <v>65</v>
      </c>
      <c r="M5025" s="199"/>
      <c r="N5025" s="199"/>
    </row>
    <row r="5026">
      <c r="A5026" s="193" t="s">
        <v>23413</v>
      </c>
      <c r="B5026" s="7" t="s">
        <v>16838</v>
      </c>
      <c r="C5026" s="7" t="s">
        <v>16867</v>
      </c>
      <c r="D5026" s="199"/>
      <c r="E5026" s="193"/>
      <c r="F5026" s="195" t="s">
        <v>23414</v>
      </c>
      <c r="G5026" s="196">
        <v>4.35710092E8</v>
      </c>
      <c r="H5026" s="197">
        <v>55.53</v>
      </c>
      <c r="I5026" s="7" t="s">
        <v>16815</v>
      </c>
      <c r="J5026" s="7" t="s">
        <v>16838</v>
      </c>
      <c r="K5026" s="7" t="s">
        <v>16867</v>
      </c>
      <c r="L5026" s="198" t="s">
        <v>65</v>
      </c>
      <c r="M5026" s="199"/>
      <c r="N5026" s="199"/>
    </row>
    <row r="5027">
      <c r="A5027" s="193" t="s">
        <v>23415</v>
      </c>
      <c r="B5027" s="7" t="s">
        <v>17016</v>
      </c>
      <c r="C5027" s="7" t="s">
        <v>16838</v>
      </c>
      <c r="D5027" s="194">
        <v>2022.0</v>
      </c>
      <c r="E5027" s="193"/>
      <c r="F5027" s="195" t="s">
        <v>23416</v>
      </c>
      <c r="G5027" s="200">
        <v>4.35047415E8</v>
      </c>
      <c r="H5027" s="197">
        <v>6.67</v>
      </c>
      <c r="I5027" s="7" t="s">
        <v>16815</v>
      </c>
      <c r="J5027" s="7" t="s">
        <v>17016</v>
      </c>
      <c r="K5027" s="7" t="s">
        <v>16838</v>
      </c>
      <c r="L5027" s="201" t="s">
        <v>16835</v>
      </c>
      <c r="M5027" s="194"/>
      <c r="N5027" s="194"/>
    </row>
    <row r="5028">
      <c r="A5028" s="193" t="s">
        <v>23415</v>
      </c>
      <c r="B5028" s="7" t="s">
        <v>16838</v>
      </c>
      <c r="C5028" s="7" t="s">
        <v>17016</v>
      </c>
      <c r="D5028" s="194">
        <v>2022.0</v>
      </c>
      <c r="E5028" s="193"/>
      <c r="F5028" s="195" t="s">
        <v>23416</v>
      </c>
      <c r="G5028" s="196">
        <v>4.35047415E8</v>
      </c>
      <c r="H5028" s="197">
        <v>6.67</v>
      </c>
      <c r="I5028" s="7" t="s">
        <v>16815</v>
      </c>
      <c r="J5028" s="7" t="s">
        <v>16838</v>
      </c>
      <c r="K5028" s="7" t="s">
        <v>17016</v>
      </c>
      <c r="L5028" s="198" t="s">
        <v>65</v>
      </c>
      <c r="M5028" s="194"/>
      <c r="N5028" s="194"/>
    </row>
    <row r="5029">
      <c r="A5029" s="193" t="s">
        <v>23417</v>
      </c>
      <c r="B5029" s="7" t="s">
        <v>175</v>
      </c>
      <c r="C5029" s="7" t="s">
        <v>17502</v>
      </c>
      <c r="D5029" s="199"/>
      <c r="E5029" s="193"/>
      <c r="F5029" s="195" t="s">
        <v>23418</v>
      </c>
      <c r="G5029" s="196">
        <v>4.34790773E8</v>
      </c>
      <c r="H5029" s="197">
        <v>24.48</v>
      </c>
      <c r="I5029" s="7" t="s">
        <v>16908</v>
      </c>
      <c r="J5029" s="7" t="s">
        <v>175</v>
      </c>
      <c r="K5029" s="7" t="s">
        <v>17502</v>
      </c>
      <c r="L5029" s="198" t="s">
        <v>65</v>
      </c>
      <c r="M5029" s="199"/>
      <c r="N5029" s="199"/>
    </row>
    <row r="5030">
      <c r="A5030" s="193" t="s">
        <v>23419</v>
      </c>
      <c r="B5030" s="7" t="s">
        <v>17104</v>
      </c>
      <c r="C5030" s="7" t="s">
        <v>16838</v>
      </c>
      <c r="D5030" s="194">
        <v>2021.0</v>
      </c>
      <c r="E5030" s="193"/>
      <c r="F5030" s="195" t="s">
        <v>23420</v>
      </c>
      <c r="G5030" s="200">
        <v>4.34003968E8</v>
      </c>
      <c r="H5030" s="197">
        <v>1.11</v>
      </c>
      <c r="I5030" s="7" t="s">
        <v>16815</v>
      </c>
      <c r="J5030" s="7" t="s">
        <v>17104</v>
      </c>
      <c r="K5030" s="7" t="s">
        <v>16838</v>
      </c>
      <c r="L5030" s="201" t="s">
        <v>16835</v>
      </c>
      <c r="M5030" s="194"/>
      <c r="N5030" s="194"/>
    </row>
    <row r="5031">
      <c r="A5031" s="193" t="s">
        <v>23419</v>
      </c>
      <c r="B5031" s="7" t="s">
        <v>16838</v>
      </c>
      <c r="C5031" s="7" t="s">
        <v>17104</v>
      </c>
      <c r="D5031" s="194">
        <v>2021.0</v>
      </c>
      <c r="E5031" s="193"/>
      <c r="F5031" s="195" t="s">
        <v>23420</v>
      </c>
      <c r="G5031" s="196">
        <v>4.34003968E8</v>
      </c>
      <c r="H5031" s="197">
        <v>1.11</v>
      </c>
      <c r="I5031" s="7" t="s">
        <v>16815</v>
      </c>
      <c r="J5031" s="7" t="s">
        <v>16838</v>
      </c>
      <c r="K5031" s="7" t="s">
        <v>17104</v>
      </c>
      <c r="L5031" s="198" t="s">
        <v>65</v>
      </c>
      <c r="M5031" s="194"/>
      <c r="N5031" s="194"/>
    </row>
    <row r="5032">
      <c r="A5032" s="193" t="s">
        <v>23421</v>
      </c>
      <c r="B5032" s="7" t="s">
        <v>16838</v>
      </c>
      <c r="C5032" s="7" t="s">
        <v>17127</v>
      </c>
      <c r="D5032" s="194">
        <v>1986.0</v>
      </c>
      <c r="E5032" s="193"/>
      <c r="F5032" s="195" t="s">
        <v>23422</v>
      </c>
      <c r="G5032" s="196">
        <v>4.33522989E8</v>
      </c>
      <c r="H5032" s="197">
        <v>13.04</v>
      </c>
      <c r="I5032" s="7" t="s">
        <v>16815</v>
      </c>
      <c r="J5032" s="7" t="s">
        <v>16838</v>
      </c>
      <c r="K5032" s="7" t="s">
        <v>17127</v>
      </c>
      <c r="L5032" s="198" t="s">
        <v>65</v>
      </c>
      <c r="M5032" s="194"/>
      <c r="N5032" s="194"/>
    </row>
    <row r="5033">
      <c r="A5033" s="193" t="s">
        <v>23423</v>
      </c>
      <c r="B5033" s="7" t="s">
        <v>16582</v>
      </c>
      <c r="C5033" s="7" t="s">
        <v>16930</v>
      </c>
      <c r="D5033" s="199"/>
      <c r="E5033" s="193"/>
      <c r="F5033" s="195" t="s">
        <v>23424</v>
      </c>
      <c r="G5033" s="196">
        <v>4.30861837E8</v>
      </c>
      <c r="H5033" s="197">
        <v>1.79</v>
      </c>
      <c r="I5033" s="7" t="s">
        <v>16815</v>
      </c>
      <c r="J5033" s="7" t="s">
        <v>16582</v>
      </c>
      <c r="K5033" s="7" t="s">
        <v>16930</v>
      </c>
      <c r="L5033" s="198" t="s">
        <v>65</v>
      </c>
      <c r="M5033" s="199"/>
      <c r="N5033" s="199"/>
    </row>
    <row r="5034">
      <c r="A5034" s="193" t="s">
        <v>23425</v>
      </c>
      <c r="B5034" s="7" t="s">
        <v>175</v>
      </c>
      <c r="C5034" s="7" t="s">
        <v>16854</v>
      </c>
      <c r="D5034" s="194">
        <v>2005.0</v>
      </c>
      <c r="E5034" s="193"/>
      <c r="F5034" s="195" t="s">
        <v>23426</v>
      </c>
      <c r="G5034" s="196">
        <v>4.30553844E8</v>
      </c>
      <c r="H5034" s="197">
        <v>61.96</v>
      </c>
      <c r="I5034" s="193" t="s">
        <v>16908</v>
      </c>
      <c r="J5034" s="7" t="s">
        <v>175</v>
      </c>
      <c r="K5034" s="7" t="s">
        <v>16854</v>
      </c>
      <c r="L5034" s="198" t="s">
        <v>65</v>
      </c>
      <c r="M5034" s="194"/>
      <c r="N5034" s="194"/>
    </row>
    <row r="5035">
      <c r="A5035" s="193" t="s">
        <v>23427</v>
      </c>
      <c r="B5035" s="7" t="s">
        <v>16838</v>
      </c>
      <c r="C5035" s="7" t="s">
        <v>17202</v>
      </c>
      <c r="D5035" s="194">
        <v>2020.0</v>
      </c>
      <c r="E5035" s="193"/>
      <c r="F5035" s="195" t="s">
        <v>23428</v>
      </c>
      <c r="G5035" s="196">
        <v>4.30028329E8</v>
      </c>
      <c r="H5035" s="197">
        <v>6.83</v>
      </c>
      <c r="I5035" s="7" t="s">
        <v>16872</v>
      </c>
      <c r="J5035" s="7" t="s">
        <v>16838</v>
      </c>
      <c r="K5035" s="7" t="s">
        <v>17202</v>
      </c>
      <c r="L5035" s="198" t="s">
        <v>65</v>
      </c>
      <c r="M5035" s="194"/>
      <c r="N5035" s="194"/>
    </row>
    <row r="5036">
      <c r="A5036" s="193" t="s">
        <v>23429</v>
      </c>
      <c r="B5036" s="7" t="s">
        <v>17112</v>
      </c>
      <c r="C5036" s="7" t="s">
        <v>17111</v>
      </c>
      <c r="D5036" s="199"/>
      <c r="E5036" s="193"/>
      <c r="F5036" s="195" t="s">
        <v>23430</v>
      </c>
      <c r="G5036" s="196">
        <v>4.29665367E8</v>
      </c>
      <c r="H5036" s="197">
        <v>22.25</v>
      </c>
      <c r="I5036" s="7" t="s">
        <v>16815</v>
      </c>
      <c r="J5036" s="7" t="s">
        <v>17112</v>
      </c>
      <c r="K5036" s="7" t="s">
        <v>17111</v>
      </c>
      <c r="L5036" s="198" t="s">
        <v>65</v>
      </c>
      <c r="M5036" s="199"/>
      <c r="N5036" s="199"/>
    </row>
    <row r="5037">
      <c r="A5037" s="193" t="s">
        <v>23431</v>
      </c>
      <c r="B5037" s="7" t="s">
        <v>17111</v>
      </c>
      <c r="C5037" s="7" t="s">
        <v>17112</v>
      </c>
      <c r="D5037" s="194">
        <v>2017.0</v>
      </c>
      <c r="E5037" s="193"/>
      <c r="F5037" s="195" t="s">
        <v>23432</v>
      </c>
      <c r="G5037" s="200">
        <v>4.29096019E8</v>
      </c>
      <c r="H5037" s="197">
        <v>5.52</v>
      </c>
      <c r="I5037" s="7" t="s">
        <v>16815</v>
      </c>
      <c r="J5037" s="7" t="s">
        <v>17111</v>
      </c>
      <c r="K5037" s="7" t="s">
        <v>17112</v>
      </c>
      <c r="L5037" s="201" t="s">
        <v>16835</v>
      </c>
      <c r="M5037" s="194"/>
      <c r="N5037" s="194"/>
    </row>
    <row r="5038">
      <c r="A5038" s="193" t="s">
        <v>23431</v>
      </c>
      <c r="B5038" s="7" t="s">
        <v>17112</v>
      </c>
      <c r="C5038" s="7" t="s">
        <v>17111</v>
      </c>
      <c r="D5038" s="194">
        <v>2017.0</v>
      </c>
      <c r="E5038" s="193"/>
      <c r="F5038" s="195" t="s">
        <v>23432</v>
      </c>
      <c r="G5038" s="196">
        <v>4.29096019E8</v>
      </c>
      <c r="H5038" s="197">
        <v>5.52</v>
      </c>
      <c r="I5038" s="7" t="s">
        <v>16815</v>
      </c>
      <c r="J5038" s="7" t="s">
        <v>17112</v>
      </c>
      <c r="K5038" s="7" t="s">
        <v>17111</v>
      </c>
      <c r="L5038" s="198" t="s">
        <v>65</v>
      </c>
      <c r="M5038" s="194"/>
      <c r="N5038" s="194"/>
    </row>
    <row r="5039">
      <c r="A5039" s="193" t="s">
        <v>23433</v>
      </c>
      <c r="B5039" s="7" t="s">
        <v>16582</v>
      </c>
      <c r="C5039" s="7" t="s">
        <v>16817</v>
      </c>
      <c r="D5039" s="194">
        <v>2020.0</v>
      </c>
      <c r="E5039" s="193"/>
      <c r="F5039" s="195" t="s">
        <v>23434</v>
      </c>
      <c r="G5039" s="196">
        <v>4.2739299E8</v>
      </c>
      <c r="H5039" s="197">
        <v>2.49</v>
      </c>
      <c r="I5039" s="7" t="s">
        <v>16815</v>
      </c>
      <c r="J5039" s="7" t="s">
        <v>16582</v>
      </c>
      <c r="K5039" s="7" t="s">
        <v>16817</v>
      </c>
      <c r="L5039" s="198" t="s">
        <v>65</v>
      </c>
      <c r="M5039" s="194"/>
      <c r="N5039" s="194"/>
    </row>
    <row r="5040">
      <c r="A5040" s="193" t="s">
        <v>23433</v>
      </c>
      <c r="B5040" s="7" t="s">
        <v>16817</v>
      </c>
      <c r="C5040" s="7" t="s">
        <v>16582</v>
      </c>
      <c r="D5040" s="194">
        <v>2020.0</v>
      </c>
      <c r="E5040" s="193"/>
      <c r="F5040" s="195" t="s">
        <v>23434</v>
      </c>
      <c r="G5040" s="200">
        <v>4.2739299E8</v>
      </c>
      <c r="H5040" s="197">
        <v>2.49</v>
      </c>
      <c r="I5040" s="7" t="s">
        <v>16815</v>
      </c>
      <c r="J5040" s="7" t="s">
        <v>16817</v>
      </c>
      <c r="K5040" s="7" t="s">
        <v>16582</v>
      </c>
      <c r="L5040" s="201" t="s">
        <v>16835</v>
      </c>
      <c r="M5040" s="194"/>
      <c r="N5040" s="194"/>
    </row>
    <row r="5041">
      <c r="A5041" s="193" t="s">
        <v>23435</v>
      </c>
      <c r="B5041" s="7" t="s">
        <v>16919</v>
      </c>
      <c r="C5041" s="7" t="s">
        <v>16957</v>
      </c>
      <c r="D5041" s="194">
        <v>1994.0</v>
      </c>
      <c r="E5041" s="193"/>
      <c r="F5041" s="195" t="s">
        <v>23436</v>
      </c>
      <c r="G5041" s="196">
        <v>4.27242331E8</v>
      </c>
      <c r="H5041" s="197">
        <v>5.43</v>
      </c>
      <c r="I5041" s="7" t="s">
        <v>16815</v>
      </c>
      <c r="J5041" s="7" t="s">
        <v>16919</v>
      </c>
      <c r="K5041" s="7" t="s">
        <v>16957</v>
      </c>
      <c r="L5041" s="198" t="s">
        <v>65</v>
      </c>
      <c r="M5041" s="194"/>
      <c r="N5041" s="194"/>
    </row>
    <row r="5042">
      <c r="A5042" s="193" t="s">
        <v>23437</v>
      </c>
      <c r="B5042" s="7" t="s">
        <v>187</v>
      </c>
      <c r="C5042" s="7" t="s">
        <v>16846</v>
      </c>
      <c r="D5042" s="194">
        <v>2021.0</v>
      </c>
      <c r="E5042" s="193"/>
      <c r="F5042" s="195" t="s">
        <v>23438</v>
      </c>
      <c r="G5042" s="196">
        <v>4.270842E8</v>
      </c>
      <c r="H5042" s="197">
        <v>8.21</v>
      </c>
      <c r="I5042" s="7" t="s">
        <v>16815</v>
      </c>
      <c r="J5042" s="7" t="s">
        <v>187</v>
      </c>
      <c r="K5042" s="7" t="s">
        <v>16846</v>
      </c>
      <c r="L5042" s="198" t="s">
        <v>65</v>
      </c>
      <c r="M5042" s="194"/>
      <c r="N5042" s="194"/>
    </row>
    <row r="5043">
      <c r="A5043" s="193" t="s">
        <v>23439</v>
      </c>
      <c r="B5043" s="7" t="s">
        <v>187</v>
      </c>
      <c r="C5043" s="7" t="s">
        <v>16846</v>
      </c>
      <c r="D5043" s="194">
        <v>2019.0</v>
      </c>
      <c r="E5043" s="193"/>
      <c r="F5043" s="195" t="s">
        <v>23440</v>
      </c>
      <c r="G5043" s="196">
        <v>4.26591904E8</v>
      </c>
      <c r="H5043" s="197">
        <v>7.51</v>
      </c>
      <c r="I5043" s="7" t="s">
        <v>16815</v>
      </c>
      <c r="J5043" s="7" t="s">
        <v>187</v>
      </c>
      <c r="K5043" s="7" t="s">
        <v>16846</v>
      </c>
      <c r="L5043" s="198" t="s">
        <v>65</v>
      </c>
      <c r="M5043" s="194"/>
      <c r="N5043" s="194"/>
    </row>
    <row r="5044">
      <c r="A5044" s="193" t="s">
        <v>23441</v>
      </c>
      <c r="B5044" s="7" t="s">
        <v>17111</v>
      </c>
      <c r="C5044" s="7" t="s">
        <v>17112</v>
      </c>
      <c r="D5044" s="194">
        <v>2021.0</v>
      </c>
      <c r="E5044" s="193"/>
      <c r="F5044" s="195" t="s">
        <v>23442</v>
      </c>
      <c r="G5044" s="200">
        <v>4.25870008E8</v>
      </c>
      <c r="H5044" s="197">
        <v>17.5</v>
      </c>
      <c r="I5044" s="7" t="s">
        <v>16815</v>
      </c>
      <c r="J5044" s="7" t="s">
        <v>17111</v>
      </c>
      <c r="K5044" s="7" t="s">
        <v>17112</v>
      </c>
      <c r="L5044" s="201" t="s">
        <v>16835</v>
      </c>
      <c r="M5044" s="194"/>
      <c r="N5044" s="194"/>
    </row>
    <row r="5045">
      <c r="A5045" s="193" t="s">
        <v>23441</v>
      </c>
      <c r="B5045" s="7" t="s">
        <v>17112</v>
      </c>
      <c r="C5045" s="7" t="s">
        <v>17111</v>
      </c>
      <c r="D5045" s="194">
        <v>2021.0</v>
      </c>
      <c r="E5045" s="193"/>
      <c r="F5045" s="195" t="s">
        <v>23442</v>
      </c>
      <c r="G5045" s="196">
        <v>4.25870008E8</v>
      </c>
      <c r="H5045" s="197">
        <v>17.5</v>
      </c>
      <c r="I5045" s="7" t="s">
        <v>16815</v>
      </c>
      <c r="J5045" s="7" t="s">
        <v>17112</v>
      </c>
      <c r="K5045" s="7" t="s">
        <v>17111</v>
      </c>
      <c r="L5045" s="198" t="s">
        <v>65</v>
      </c>
      <c r="M5045" s="194"/>
      <c r="N5045" s="194"/>
    </row>
    <row r="5046">
      <c r="A5046" s="193" t="s">
        <v>23443</v>
      </c>
      <c r="B5046" s="7" t="s">
        <v>16838</v>
      </c>
      <c r="C5046" s="7" t="s">
        <v>16867</v>
      </c>
      <c r="D5046" s="194">
        <v>2019.0</v>
      </c>
      <c r="E5046" s="193"/>
      <c r="F5046" s="195" t="s">
        <v>23444</v>
      </c>
      <c r="G5046" s="196">
        <v>4.25572444E8</v>
      </c>
      <c r="H5046" s="197">
        <v>25.82</v>
      </c>
      <c r="I5046" s="7" t="s">
        <v>16815</v>
      </c>
      <c r="J5046" s="7" t="s">
        <v>16838</v>
      </c>
      <c r="K5046" s="7" t="s">
        <v>16867</v>
      </c>
      <c r="L5046" s="198" t="s">
        <v>65</v>
      </c>
      <c r="M5046" s="194"/>
      <c r="N5046" s="194"/>
    </row>
    <row r="5047">
      <c r="A5047" s="193" t="s">
        <v>23445</v>
      </c>
      <c r="B5047" s="7" t="s">
        <v>175</v>
      </c>
      <c r="C5047" s="7" t="s">
        <v>16861</v>
      </c>
      <c r="D5047" s="199"/>
      <c r="E5047" s="193"/>
      <c r="F5047" s="195" t="s">
        <v>23446</v>
      </c>
      <c r="G5047" s="196">
        <v>4.25401647E8</v>
      </c>
      <c r="H5047" s="197">
        <v>25.9</v>
      </c>
      <c r="I5047" s="7" t="s">
        <v>16908</v>
      </c>
      <c r="J5047" s="7" t="s">
        <v>175</v>
      </c>
      <c r="K5047" s="7" t="s">
        <v>16861</v>
      </c>
      <c r="L5047" s="198" t="s">
        <v>65</v>
      </c>
      <c r="M5047" s="199"/>
      <c r="N5047" s="199"/>
    </row>
    <row r="5048">
      <c r="A5048" s="193" t="s">
        <v>23445</v>
      </c>
      <c r="B5048" s="7" t="s">
        <v>16861</v>
      </c>
      <c r="C5048" s="7" t="s">
        <v>175</v>
      </c>
      <c r="D5048" s="199"/>
      <c r="E5048" s="193"/>
      <c r="F5048" s="195" t="s">
        <v>23446</v>
      </c>
      <c r="G5048" s="200">
        <v>4.25401647E8</v>
      </c>
      <c r="H5048" s="197">
        <v>25.9</v>
      </c>
      <c r="I5048" s="7" t="s">
        <v>16815</v>
      </c>
      <c r="J5048" s="7" t="s">
        <v>16861</v>
      </c>
      <c r="K5048" s="7" t="s">
        <v>175</v>
      </c>
      <c r="L5048" s="201" t="s">
        <v>16835</v>
      </c>
      <c r="M5048" s="199"/>
      <c r="N5048" s="199"/>
    </row>
    <row r="5049">
      <c r="A5049" s="193" t="s">
        <v>23447</v>
      </c>
      <c r="B5049" s="7" t="s">
        <v>16838</v>
      </c>
      <c r="C5049" s="7" t="s">
        <v>16867</v>
      </c>
      <c r="D5049" s="199"/>
      <c r="E5049" s="193"/>
      <c r="F5049" s="195" t="s">
        <v>23448</v>
      </c>
      <c r="G5049" s="196">
        <v>4.2515948E8</v>
      </c>
      <c r="H5049" s="197">
        <v>40.0</v>
      </c>
      <c r="I5049" s="7" t="s">
        <v>16924</v>
      </c>
      <c r="J5049" s="7" t="s">
        <v>16838</v>
      </c>
      <c r="K5049" s="7" t="s">
        <v>16867</v>
      </c>
      <c r="L5049" s="198" t="s">
        <v>65</v>
      </c>
      <c r="M5049" s="199"/>
      <c r="N5049" s="199"/>
    </row>
    <row r="5050">
      <c r="A5050" s="193" t="s">
        <v>23449</v>
      </c>
      <c r="B5050" s="7" t="s">
        <v>16838</v>
      </c>
      <c r="C5050" s="7" t="s">
        <v>16867</v>
      </c>
      <c r="D5050" s="194">
        <v>2017.0</v>
      </c>
      <c r="E5050" s="193"/>
      <c r="F5050" s="195" t="s">
        <v>23450</v>
      </c>
      <c r="G5050" s="196">
        <v>4.24971177E8</v>
      </c>
      <c r="H5050" s="197">
        <v>8.33</v>
      </c>
      <c r="I5050" s="7" t="s">
        <v>16815</v>
      </c>
      <c r="J5050" s="7" t="s">
        <v>16838</v>
      </c>
      <c r="K5050" s="7" t="s">
        <v>16867</v>
      </c>
      <c r="L5050" s="198" t="s">
        <v>65</v>
      </c>
      <c r="M5050" s="194"/>
      <c r="N5050" s="194"/>
    </row>
    <row r="5051">
      <c r="A5051" s="193" t="s">
        <v>23451</v>
      </c>
      <c r="B5051" s="7" t="s">
        <v>16582</v>
      </c>
      <c r="C5051" s="7" t="s">
        <v>16817</v>
      </c>
      <c r="D5051" s="194">
        <v>1991.0</v>
      </c>
      <c r="E5051" s="193"/>
      <c r="F5051" s="195" t="s">
        <v>23452</v>
      </c>
      <c r="G5051" s="196">
        <v>4.246285E8</v>
      </c>
      <c r="H5051" s="197">
        <v>8.65</v>
      </c>
      <c r="I5051" s="7" t="s">
        <v>16815</v>
      </c>
      <c r="J5051" s="7" t="s">
        <v>16582</v>
      </c>
      <c r="K5051" s="7" t="s">
        <v>16817</v>
      </c>
      <c r="L5051" s="198" t="s">
        <v>65</v>
      </c>
      <c r="M5051" s="194"/>
      <c r="N5051" s="194"/>
    </row>
    <row r="5052">
      <c r="A5052" s="193" t="s">
        <v>23453</v>
      </c>
      <c r="B5052" s="7" t="s">
        <v>16838</v>
      </c>
      <c r="C5052" s="7" t="s">
        <v>18219</v>
      </c>
      <c r="D5052" s="194">
        <v>2021.0</v>
      </c>
      <c r="E5052" s="193"/>
      <c r="F5052" s="195" t="s">
        <v>23454</v>
      </c>
      <c r="G5052" s="196">
        <v>4.2290048E8</v>
      </c>
      <c r="H5052" s="197">
        <v>11.49</v>
      </c>
      <c r="I5052" s="7" t="s">
        <v>16815</v>
      </c>
      <c r="J5052" s="7" t="s">
        <v>16838</v>
      </c>
      <c r="K5052" s="7" t="s">
        <v>18219</v>
      </c>
      <c r="L5052" s="198" t="s">
        <v>65</v>
      </c>
      <c r="M5052" s="194"/>
      <c r="N5052" s="194"/>
    </row>
    <row r="5053">
      <c r="A5053" s="193" t="s">
        <v>23455</v>
      </c>
      <c r="D5053" s="199"/>
      <c r="E5053" s="193"/>
      <c r="F5053" s="195" t="s">
        <v>23456</v>
      </c>
      <c r="G5053" s="196">
        <v>4.22738203E8</v>
      </c>
      <c r="H5053" s="197">
        <v>4.02</v>
      </c>
      <c r="I5053" s="7" t="s">
        <v>16815</v>
      </c>
      <c r="L5053" s="198" t="s">
        <v>65</v>
      </c>
      <c r="M5053" s="199"/>
      <c r="N5053" s="199"/>
    </row>
    <row r="5054">
      <c r="A5054" s="193" t="s">
        <v>23455</v>
      </c>
      <c r="D5054" s="199"/>
      <c r="E5054" s="193"/>
      <c r="F5054" s="195" t="s">
        <v>23457</v>
      </c>
      <c r="G5054" s="200">
        <v>4.22738203E8</v>
      </c>
      <c r="H5054" s="197">
        <v>4.02</v>
      </c>
      <c r="L5054" s="201" t="s">
        <v>16835</v>
      </c>
      <c r="M5054" s="199"/>
      <c r="N5054" s="199"/>
    </row>
    <row r="5055">
      <c r="A5055" s="193" t="s">
        <v>23458</v>
      </c>
      <c r="B5055" s="7" t="s">
        <v>187</v>
      </c>
      <c r="C5055" s="7" t="s">
        <v>18633</v>
      </c>
      <c r="D5055" s="194">
        <v>2021.0</v>
      </c>
      <c r="E5055" s="193"/>
      <c r="F5055" s="195" t="s">
        <v>23459</v>
      </c>
      <c r="G5055" s="196">
        <v>4.22669879E8</v>
      </c>
      <c r="H5055" s="197">
        <v>1.35</v>
      </c>
      <c r="I5055" s="7" t="s">
        <v>16815</v>
      </c>
      <c r="J5055" s="7" t="s">
        <v>187</v>
      </c>
      <c r="K5055" s="7" t="s">
        <v>18633</v>
      </c>
      <c r="L5055" s="198" t="s">
        <v>65</v>
      </c>
      <c r="M5055" s="194"/>
      <c r="N5055" s="194"/>
    </row>
    <row r="5056">
      <c r="A5056" s="193" t="s">
        <v>23460</v>
      </c>
      <c r="B5056" s="7" t="s">
        <v>169</v>
      </c>
      <c r="C5056" s="7" t="s">
        <v>17057</v>
      </c>
      <c r="D5056" s="199"/>
      <c r="E5056" s="193"/>
      <c r="F5056" s="195" t="s">
        <v>23461</v>
      </c>
      <c r="G5056" s="196">
        <v>4.22322965E8</v>
      </c>
      <c r="H5056" s="197">
        <v>6.34</v>
      </c>
      <c r="I5056" s="7" t="s">
        <v>16815</v>
      </c>
      <c r="J5056" s="7" t="s">
        <v>169</v>
      </c>
      <c r="K5056" s="7" t="s">
        <v>17057</v>
      </c>
      <c r="L5056" s="198" t="s">
        <v>65</v>
      </c>
      <c r="M5056" s="199"/>
      <c r="N5056" s="199"/>
    </row>
    <row r="5057">
      <c r="A5057" s="193" t="s">
        <v>23462</v>
      </c>
      <c r="B5057" s="7" t="s">
        <v>17112</v>
      </c>
      <c r="C5057" s="7" t="s">
        <v>16838</v>
      </c>
      <c r="D5057" s="194">
        <v>2000.0</v>
      </c>
      <c r="E5057" s="193"/>
      <c r="F5057" s="195" t="s">
        <v>23463</v>
      </c>
      <c r="G5057" s="200">
        <v>4.22132907E8</v>
      </c>
      <c r="H5057" s="197">
        <v>15.79</v>
      </c>
      <c r="I5057" s="7" t="s">
        <v>16815</v>
      </c>
      <c r="J5057" s="7" t="s">
        <v>17112</v>
      </c>
      <c r="K5057" s="7" t="s">
        <v>16838</v>
      </c>
      <c r="L5057" s="201" t="s">
        <v>16835</v>
      </c>
      <c r="M5057" s="194"/>
      <c r="N5057" s="194"/>
    </row>
    <row r="5058">
      <c r="A5058" s="193" t="s">
        <v>23462</v>
      </c>
      <c r="B5058" s="7" t="s">
        <v>16838</v>
      </c>
      <c r="C5058" s="7" t="s">
        <v>17112</v>
      </c>
      <c r="D5058" s="194">
        <v>2000.0</v>
      </c>
      <c r="E5058" s="193"/>
      <c r="F5058" s="195" t="s">
        <v>23463</v>
      </c>
      <c r="G5058" s="196">
        <v>4.22132907E8</v>
      </c>
      <c r="H5058" s="197">
        <v>15.79</v>
      </c>
      <c r="I5058" s="7" t="s">
        <v>16815</v>
      </c>
      <c r="J5058" s="7" t="s">
        <v>16838</v>
      </c>
      <c r="K5058" s="7" t="s">
        <v>17112</v>
      </c>
      <c r="L5058" s="198" t="s">
        <v>65</v>
      </c>
      <c r="M5058" s="194"/>
      <c r="N5058" s="194"/>
    </row>
    <row r="5059">
      <c r="A5059" s="193" t="s">
        <v>23464</v>
      </c>
      <c r="B5059" s="7" t="s">
        <v>16838</v>
      </c>
      <c r="C5059" s="7" t="s">
        <v>18219</v>
      </c>
      <c r="D5059" s="194">
        <v>1996.0</v>
      </c>
      <c r="E5059" s="193"/>
      <c r="F5059" s="195" t="s">
        <v>23465</v>
      </c>
      <c r="G5059" s="196">
        <v>4.21726845E8</v>
      </c>
      <c r="H5059" s="197">
        <v>3.22</v>
      </c>
      <c r="I5059" s="7" t="s">
        <v>16815</v>
      </c>
      <c r="J5059" s="7" t="s">
        <v>16838</v>
      </c>
      <c r="K5059" s="7" t="s">
        <v>18219</v>
      </c>
      <c r="L5059" s="198" t="s">
        <v>65</v>
      </c>
      <c r="M5059" s="194"/>
      <c r="N5059" s="194"/>
    </row>
    <row r="5060">
      <c r="A5060" s="193" t="s">
        <v>23464</v>
      </c>
      <c r="B5060" s="7" t="s">
        <v>18219</v>
      </c>
      <c r="C5060" s="7" t="s">
        <v>16838</v>
      </c>
      <c r="D5060" s="194">
        <v>1996.0</v>
      </c>
      <c r="E5060" s="193"/>
      <c r="F5060" s="195" t="s">
        <v>23465</v>
      </c>
      <c r="G5060" s="200">
        <v>4.21726845E8</v>
      </c>
      <c r="H5060" s="197">
        <v>3.22</v>
      </c>
      <c r="I5060" s="7" t="s">
        <v>16815</v>
      </c>
      <c r="J5060" s="7" t="s">
        <v>18219</v>
      </c>
      <c r="K5060" s="7" t="s">
        <v>16838</v>
      </c>
      <c r="L5060" s="201" t="s">
        <v>16835</v>
      </c>
      <c r="M5060" s="194"/>
      <c r="N5060" s="194"/>
    </row>
    <row r="5061">
      <c r="A5061" s="193" t="s">
        <v>23466</v>
      </c>
      <c r="B5061" s="7" t="s">
        <v>19579</v>
      </c>
      <c r="C5061" s="7" t="s">
        <v>16838</v>
      </c>
      <c r="D5061" s="199"/>
      <c r="E5061" s="193"/>
      <c r="F5061" s="195" t="s">
        <v>23467</v>
      </c>
      <c r="G5061" s="200">
        <v>4.2143662E8</v>
      </c>
      <c r="H5061" s="197">
        <v>8.8</v>
      </c>
      <c r="I5061" s="193" t="s">
        <v>16815</v>
      </c>
      <c r="J5061" s="7" t="s">
        <v>19579</v>
      </c>
      <c r="K5061" s="7" t="s">
        <v>16838</v>
      </c>
      <c r="L5061" s="201" t="s">
        <v>16835</v>
      </c>
      <c r="M5061" s="199"/>
      <c r="N5061" s="199"/>
    </row>
    <row r="5062">
      <c r="A5062" s="193" t="s">
        <v>23466</v>
      </c>
      <c r="B5062" s="7" t="s">
        <v>16838</v>
      </c>
      <c r="C5062" s="7" t="s">
        <v>19579</v>
      </c>
      <c r="D5062" s="199"/>
      <c r="E5062" s="193"/>
      <c r="F5062" s="195" t="s">
        <v>23467</v>
      </c>
      <c r="G5062" s="196">
        <v>4.2143662E8</v>
      </c>
      <c r="H5062" s="197">
        <v>8.8</v>
      </c>
      <c r="I5062" s="7" t="s">
        <v>16815</v>
      </c>
      <c r="J5062" s="7" t="s">
        <v>16838</v>
      </c>
      <c r="K5062" s="7" t="s">
        <v>19579</v>
      </c>
      <c r="L5062" s="198" t="s">
        <v>65</v>
      </c>
      <c r="M5062" s="199"/>
      <c r="N5062" s="199"/>
    </row>
    <row r="5063">
      <c r="A5063" s="193" t="s">
        <v>23468</v>
      </c>
      <c r="B5063" s="7" t="s">
        <v>187</v>
      </c>
      <c r="C5063" s="7" t="s">
        <v>16858</v>
      </c>
      <c r="D5063" s="194">
        <v>2018.0</v>
      </c>
      <c r="E5063" s="193"/>
      <c r="F5063" s="195" t="s">
        <v>23469</v>
      </c>
      <c r="G5063" s="196">
        <v>4.20691655E8</v>
      </c>
      <c r="H5063" s="197">
        <v>2.5</v>
      </c>
      <c r="I5063" s="7" t="s">
        <v>16815</v>
      </c>
      <c r="J5063" s="7" t="s">
        <v>187</v>
      </c>
      <c r="K5063" s="7" t="s">
        <v>16858</v>
      </c>
      <c r="L5063" s="198" t="s">
        <v>65</v>
      </c>
      <c r="M5063" s="194"/>
      <c r="N5063" s="194"/>
    </row>
    <row r="5064">
      <c r="A5064" s="193" t="s">
        <v>23470</v>
      </c>
      <c r="B5064" s="7" t="s">
        <v>16838</v>
      </c>
      <c r="C5064" s="7" t="s">
        <v>17202</v>
      </c>
      <c r="D5064" s="194">
        <v>1983.0</v>
      </c>
      <c r="E5064" s="193"/>
      <c r="F5064" s="195" t="s">
        <v>23471</v>
      </c>
      <c r="G5064" s="196">
        <v>4.20583174E8</v>
      </c>
      <c r="H5064" s="197">
        <v>44.6</v>
      </c>
      <c r="I5064" s="7" t="s">
        <v>16815</v>
      </c>
      <c r="J5064" s="7" t="s">
        <v>16838</v>
      </c>
      <c r="K5064" s="7" t="s">
        <v>17202</v>
      </c>
      <c r="L5064" s="198" t="s">
        <v>65</v>
      </c>
      <c r="M5064" s="194"/>
      <c r="N5064" s="194"/>
    </row>
    <row r="5065">
      <c r="A5065" s="193" t="s">
        <v>23472</v>
      </c>
      <c r="B5065" s="7" t="s">
        <v>16838</v>
      </c>
      <c r="C5065" s="7" t="s">
        <v>16867</v>
      </c>
      <c r="D5065" s="199"/>
      <c r="E5065" s="193"/>
      <c r="F5065" s="195" t="s">
        <v>23473</v>
      </c>
      <c r="G5065" s="196">
        <v>4.20106831E8</v>
      </c>
      <c r="H5065" s="197">
        <v>35.74</v>
      </c>
      <c r="I5065" s="7" t="s">
        <v>16815</v>
      </c>
      <c r="J5065" s="7" t="s">
        <v>16838</v>
      </c>
      <c r="K5065" s="7" t="s">
        <v>16867</v>
      </c>
      <c r="L5065" s="198" t="s">
        <v>65</v>
      </c>
      <c r="M5065" s="199"/>
      <c r="N5065" s="199"/>
    </row>
    <row r="5066">
      <c r="A5066" s="193" t="s">
        <v>23474</v>
      </c>
      <c r="B5066" s="7" t="s">
        <v>169</v>
      </c>
      <c r="C5066" s="7" t="s">
        <v>17339</v>
      </c>
      <c r="D5066" s="199"/>
      <c r="E5066" s="193"/>
      <c r="F5066" s="195" t="s">
        <v>23475</v>
      </c>
      <c r="G5066" s="196">
        <v>4.19871608E8</v>
      </c>
      <c r="H5066" s="197">
        <v>25.9</v>
      </c>
      <c r="I5066" s="7" t="s">
        <v>16815</v>
      </c>
      <c r="J5066" s="7" t="s">
        <v>169</v>
      </c>
      <c r="K5066" s="7" t="s">
        <v>17339</v>
      </c>
      <c r="L5066" s="198" t="s">
        <v>65</v>
      </c>
      <c r="M5066" s="199"/>
      <c r="N5066" s="199"/>
    </row>
    <row r="5067">
      <c r="A5067" s="193" t="s">
        <v>23476</v>
      </c>
      <c r="B5067" s="7" t="s">
        <v>175</v>
      </c>
      <c r="C5067" s="7" t="s">
        <v>18268</v>
      </c>
      <c r="D5067" s="199"/>
      <c r="E5067" s="193"/>
      <c r="F5067" s="195" t="s">
        <v>23477</v>
      </c>
      <c r="G5067" s="196">
        <v>4.19351774E8</v>
      </c>
      <c r="H5067" s="197">
        <v>57.61</v>
      </c>
      <c r="I5067" s="7" t="s">
        <v>168</v>
      </c>
      <c r="J5067" s="7" t="s">
        <v>175</v>
      </c>
      <c r="K5067" s="7" t="s">
        <v>18268</v>
      </c>
      <c r="L5067" s="198" t="s">
        <v>65</v>
      </c>
      <c r="M5067" s="199"/>
      <c r="N5067" s="199"/>
    </row>
    <row r="5068">
      <c r="A5068" s="193" t="s">
        <v>23476</v>
      </c>
      <c r="B5068" s="7" t="s">
        <v>18268</v>
      </c>
      <c r="C5068" s="7" t="s">
        <v>175</v>
      </c>
      <c r="D5068" s="199"/>
      <c r="E5068" s="193"/>
      <c r="F5068" s="195" t="s">
        <v>23477</v>
      </c>
      <c r="G5068" s="200">
        <v>4.19351774E8</v>
      </c>
      <c r="H5068" s="197">
        <v>57.61</v>
      </c>
      <c r="I5068" s="7" t="s">
        <v>16815</v>
      </c>
      <c r="J5068" s="7" t="s">
        <v>18268</v>
      </c>
      <c r="K5068" s="7" t="s">
        <v>175</v>
      </c>
      <c r="L5068" s="201" t="s">
        <v>16835</v>
      </c>
      <c r="M5068" s="199"/>
      <c r="N5068" s="199"/>
    </row>
    <row r="5069">
      <c r="A5069" s="193" t="s">
        <v>23478</v>
      </c>
      <c r="B5069" s="7" t="s">
        <v>187</v>
      </c>
      <c r="C5069" s="7" t="s">
        <v>16846</v>
      </c>
      <c r="D5069" s="199"/>
      <c r="E5069" s="193"/>
      <c r="F5069" s="195" t="s">
        <v>23479</v>
      </c>
      <c r="G5069" s="196">
        <v>4.19313737E8</v>
      </c>
      <c r="H5069" s="197">
        <v>5.58</v>
      </c>
      <c r="I5069" s="7" t="s">
        <v>16815</v>
      </c>
      <c r="J5069" s="7" t="s">
        <v>187</v>
      </c>
      <c r="K5069" s="7" t="s">
        <v>16846</v>
      </c>
      <c r="L5069" s="198" t="s">
        <v>65</v>
      </c>
      <c r="M5069" s="199"/>
      <c r="N5069" s="199"/>
    </row>
    <row r="5070">
      <c r="A5070" s="193" t="s">
        <v>23480</v>
      </c>
      <c r="B5070" s="7" t="s">
        <v>16919</v>
      </c>
      <c r="C5070" s="7" t="s">
        <v>17794</v>
      </c>
      <c r="D5070" s="199"/>
      <c r="E5070" s="193"/>
      <c r="F5070" s="195" t="s">
        <v>23481</v>
      </c>
      <c r="G5070" s="196">
        <v>4.18171008E8</v>
      </c>
      <c r="H5070" s="197">
        <v>40.69</v>
      </c>
      <c r="I5070" s="7" t="s">
        <v>16815</v>
      </c>
      <c r="J5070" s="7" t="s">
        <v>16919</v>
      </c>
      <c r="K5070" s="7" t="s">
        <v>17794</v>
      </c>
      <c r="L5070" s="198" t="s">
        <v>65</v>
      </c>
      <c r="M5070" s="199"/>
      <c r="N5070" s="199"/>
    </row>
    <row r="5071">
      <c r="A5071" s="193" t="s">
        <v>23482</v>
      </c>
      <c r="B5071" s="7" t="s">
        <v>16838</v>
      </c>
      <c r="C5071" s="7" t="s">
        <v>18956</v>
      </c>
      <c r="D5071" s="199"/>
      <c r="E5071" s="193"/>
      <c r="F5071" s="195" t="s">
        <v>23483</v>
      </c>
      <c r="G5071" s="196">
        <v>4.16987018E8</v>
      </c>
      <c r="H5071" s="197">
        <v>24.49</v>
      </c>
      <c r="I5071" s="7" t="s">
        <v>16815</v>
      </c>
      <c r="J5071" s="7" t="s">
        <v>16838</v>
      </c>
      <c r="K5071" s="7" t="s">
        <v>18956</v>
      </c>
      <c r="L5071" s="198" t="s">
        <v>65</v>
      </c>
      <c r="M5071" s="199"/>
      <c r="N5071" s="199"/>
    </row>
    <row r="5072">
      <c r="A5072" s="193" t="s">
        <v>23484</v>
      </c>
      <c r="B5072" s="7" t="s">
        <v>175</v>
      </c>
      <c r="C5072" s="7" t="s">
        <v>17480</v>
      </c>
      <c r="D5072" s="199"/>
      <c r="E5072" s="193"/>
      <c r="F5072" s="195" t="s">
        <v>23485</v>
      </c>
      <c r="G5072" s="196">
        <v>4.16905884E8</v>
      </c>
      <c r="H5072" s="197">
        <v>11.71</v>
      </c>
      <c r="I5072" s="7" t="s">
        <v>17242</v>
      </c>
      <c r="J5072" s="7" t="s">
        <v>175</v>
      </c>
      <c r="K5072" s="7" t="s">
        <v>17480</v>
      </c>
      <c r="L5072" s="198" t="s">
        <v>65</v>
      </c>
      <c r="M5072" s="199"/>
      <c r="N5072" s="199"/>
    </row>
    <row r="5073">
      <c r="A5073" s="193" t="s">
        <v>23484</v>
      </c>
      <c r="B5073" s="7" t="s">
        <v>17480</v>
      </c>
      <c r="C5073" s="7" t="s">
        <v>175</v>
      </c>
      <c r="D5073" s="199"/>
      <c r="E5073" s="193"/>
      <c r="F5073" s="195" t="s">
        <v>23485</v>
      </c>
      <c r="G5073" s="200">
        <v>4.16905884E8</v>
      </c>
      <c r="H5073" s="197">
        <v>11.71</v>
      </c>
      <c r="I5073" s="7" t="s">
        <v>16815</v>
      </c>
      <c r="J5073" s="7" t="s">
        <v>17480</v>
      </c>
      <c r="K5073" s="7" t="s">
        <v>175</v>
      </c>
      <c r="L5073" s="201" t="s">
        <v>16835</v>
      </c>
      <c r="M5073" s="199"/>
      <c r="N5073" s="199"/>
    </row>
    <row r="5074">
      <c r="A5074" s="193" t="s">
        <v>23486</v>
      </c>
      <c r="B5074" s="7" t="s">
        <v>187</v>
      </c>
      <c r="C5074" s="7" t="s">
        <v>16846</v>
      </c>
      <c r="D5074" s="194">
        <v>2021.0</v>
      </c>
      <c r="E5074" s="193"/>
      <c r="F5074" s="195" t="s">
        <v>23487</v>
      </c>
      <c r="G5074" s="196">
        <v>4.16843142E8</v>
      </c>
      <c r="H5074" s="197">
        <v>1.655</v>
      </c>
      <c r="I5074" s="7" t="s">
        <v>16815</v>
      </c>
      <c r="J5074" s="7" t="s">
        <v>187</v>
      </c>
      <c r="K5074" s="7" t="s">
        <v>16846</v>
      </c>
      <c r="L5074" s="198" t="s">
        <v>65</v>
      </c>
      <c r="M5074" s="194"/>
      <c r="N5074" s="194"/>
    </row>
    <row r="5075">
      <c r="A5075" s="193" t="s">
        <v>23488</v>
      </c>
      <c r="B5075" s="7" t="s">
        <v>16838</v>
      </c>
      <c r="C5075" s="7" t="s">
        <v>16867</v>
      </c>
      <c r="D5075" s="199"/>
      <c r="E5075" s="193"/>
      <c r="F5075" s="195" t="s">
        <v>23489</v>
      </c>
      <c r="G5075" s="196">
        <v>4.16702252E8</v>
      </c>
      <c r="H5075" s="197">
        <v>19.94</v>
      </c>
      <c r="I5075" s="7" t="s">
        <v>16815</v>
      </c>
      <c r="J5075" s="7" t="s">
        <v>16838</v>
      </c>
      <c r="K5075" s="7" t="s">
        <v>16867</v>
      </c>
      <c r="L5075" s="198" t="s">
        <v>65</v>
      </c>
      <c r="M5075" s="199"/>
      <c r="N5075" s="199"/>
    </row>
    <row r="5076">
      <c r="A5076" s="193" t="s">
        <v>23490</v>
      </c>
      <c r="B5076" s="7" t="s">
        <v>16838</v>
      </c>
      <c r="C5076" s="7" t="s">
        <v>16867</v>
      </c>
      <c r="D5076" s="199"/>
      <c r="E5076" s="193"/>
      <c r="F5076" s="195" t="s">
        <v>23491</v>
      </c>
      <c r="G5076" s="196">
        <v>4.15896654E8</v>
      </c>
      <c r="H5076" s="197">
        <v>24.42</v>
      </c>
      <c r="I5076" s="7" t="s">
        <v>16815</v>
      </c>
      <c r="J5076" s="7" t="s">
        <v>16838</v>
      </c>
      <c r="K5076" s="7" t="s">
        <v>16867</v>
      </c>
      <c r="L5076" s="198" t="s">
        <v>65</v>
      </c>
      <c r="M5076" s="199"/>
      <c r="N5076" s="199"/>
    </row>
    <row r="5077">
      <c r="A5077" s="193" t="s">
        <v>23492</v>
      </c>
      <c r="D5077" s="199"/>
      <c r="E5077" s="193"/>
      <c r="F5077" s="195" t="s">
        <v>23493</v>
      </c>
      <c r="G5077" s="196">
        <v>4.14943024E8</v>
      </c>
      <c r="H5077" s="197">
        <v>1.56</v>
      </c>
      <c r="I5077" s="7" t="s">
        <v>16815</v>
      </c>
      <c r="L5077" s="198" t="s">
        <v>65</v>
      </c>
      <c r="M5077" s="199"/>
      <c r="N5077" s="199"/>
    </row>
    <row r="5078">
      <c r="A5078" s="193" t="s">
        <v>23492</v>
      </c>
      <c r="B5078" s="208"/>
      <c r="C5078" s="206"/>
      <c r="D5078" s="206"/>
      <c r="E5078" s="193"/>
      <c r="F5078" s="203" t="s">
        <v>23493</v>
      </c>
      <c r="G5078" s="200">
        <v>4.14943024E8</v>
      </c>
      <c r="H5078" s="205">
        <v>2.62</v>
      </c>
      <c r="J5078" s="208"/>
      <c r="K5078" s="206"/>
      <c r="L5078" s="193" t="s">
        <v>17471</v>
      </c>
      <c r="M5078" s="206"/>
      <c r="N5078" s="206"/>
    </row>
    <row r="5079">
      <c r="A5079" s="193" t="s">
        <v>23494</v>
      </c>
      <c r="B5079" s="7" t="s">
        <v>16838</v>
      </c>
      <c r="C5079" s="7" t="s">
        <v>17202</v>
      </c>
      <c r="D5079" s="194">
        <v>2021.0</v>
      </c>
      <c r="E5079" s="193"/>
      <c r="F5079" s="195" t="s">
        <v>23495</v>
      </c>
      <c r="G5079" s="196">
        <v>4.14222E8</v>
      </c>
      <c r="H5079" s="197">
        <v>10.2</v>
      </c>
      <c r="I5079" s="7" t="s">
        <v>16815</v>
      </c>
      <c r="J5079" s="7" t="s">
        <v>16838</v>
      </c>
      <c r="K5079" s="7" t="s">
        <v>17202</v>
      </c>
      <c r="L5079" s="198" t="s">
        <v>65</v>
      </c>
      <c r="M5079" s="194"/>
      <c r="N5079" s="194"/>
    </row>
    <row r="5080">
      <c r="A5080" s="193" t="s">
        <v>23496</v>
      </c>
      <c r="B5080" s="7" t="s">
        <v>175</v>
      </c>
      <c r="C5080" s="7" t="s">
        <v>16942</v>
      </c>
      <c r="D5080" s="194">
        <v>2006.0</v>
      </c>
      <c r="E5080" s="193"/>
      <c r="F5080" s="195" t="s">
        <v>23497</v>
      </c>
      <c r="G5080" s="196">
        <v>4.13611843E8</v>
      </c>
      <c r="H5080" s="197">
        <v>7.59</v>
      </c>
      <c r="I5080" s="7" t="s">
        <v>17270</v>
      </c>
      <c r="J5080" s="7" t="s">
        <v>175</v>
      </c>
      <c r="K5080" s="7" t="s">
        <v>16942</v>
      </c>
      <c r="L5080" s="198" t="s">
        <v>65</v>
      </c>
      <c r="M5080" s="194"/>
      <c r="N5080" s="194"/>
    </row>
    <row r="5081">
      <c r="A5081" s="193" t="s">
        <v>23498</v>
      </c>
      <c r="B5081" s="7" t="s">
        <v>175</v>
      </c>
      <c r="C5081" s="7" t="s">
        <v>17233</v>
      </c>
      <c r="D5081" s="199"/>
      <c r="E5081" s="193"/>
      <c r="F5081" s="195" t="s">
        <v>23499</v>
      </c>
      <c r="G5081" s="196">
        <v>4.12877148E8</v>
      </c>
      <c r="H5081" s="197">
        <v>41.57</v>
      </c>
      <c r="I5081" s="7" t="s">
        <v>16908</v>
      </c>
      <c r="J5081" s="7" t="s">
        <v>175</v>
      </c>
      <c r="K5081" s="7" t="s">
        <v>17233</v>
      </c>
      <c r="L5081" s="198" t="s">
        <v>65</v>
      </c>
      <c r="M5081" s="199"/>
      <c r="N5081" s="199"/>
    </row>
    <row r="5082">
      <c r="A5082" s="193" t="s">
        <v>23498</v>
      </c>
      <c r="B5082" s="7" t="s">
        <v>17233</v>
      </c>
      <c r="C5082" s="7" t="s">
        <v>175</v>
      </c>
      <c r="D5082" s="199"/>
      <c r="E5082" s="193"/>
      <c r="F5082" s="195" t="s">
        <v>23499</v>
      </c>
      <c r="G5082" s="200">
        <v>4.12877148E8</v>
      </c>
      <c r="H5082" s="197">
        <v>41.57</v>
      </c>
      <c r="I5082" s="7" t="s">
        <v>16815</v>
      </c>
      <c r="J5082" s="7" t="s">
        <v>17233</v>
      </c>
      <c r="K5082" s="7" t="s">
        <v>175</v>
      </c>
      <c r="L5082" s="201" t="s">
        <v>16835</v>
      </c>
      <c r="M5082" s="199"/>
      <c r="N5082" s="199"/>
    </row>
    <row r="5083">
      <c r="A5083" s="193" t="s">
        <v>23500</v>
      </c>
      <c r="B5083" s="7" t="s">
        <v>16582</v>
      </c>
      <c r="C5083" s="7" t="s">
        <v>17435</v>
      </c>
      <c r="D5083" s="199"/>
      <c r="E5083" s="193"/>
      <c r="F5083" s="195" t="s">
        <v>23501</v>
      </c>
      <c r="G5083" s="196">
        <v>4.12810048E8</v>
      </c>
      <c r="H5083" s="197">
        <v>21.01</v>
      </c>
      <c r="I5083" s="7" t="s">
        <v>16815</v>
      </c>
      <c r="J5083" s="7" t="s">
        <v>16582</v>
      </c>
      <c r="K5083" s="7" t="s">
        <v>17435</v>
      </c>
      <c r="L5083" s="198" t="s">
        <v>65</v>
      </c>
      <c r="M5083" s="199"/>
      <c r="N5083" s="199"/>
    </row>
    <row r="5084">
      <c r="A5084" s="193" t="s">
        <v>23502</v>
      </c>
      <c r="B5084" s="7" t="s">
        <v>19579</v>
      </c>
      <c r="C5084" s="7" t="s">
        <v>16838</v>
      </c>
      <c r="D5084" s="199"/>
      <c r="E5084" s="193"/>
      <c r="F5084" s="195" t="s">
        <v>23503</v>
      </c>
      <c r="G5084" s="200">
        <v>4.08832592E8</v>
      </c>
      <c r="H5084" s="197">
        <v>5.57</v>
      </c>
      <c r="I5084" s="7" t="s">
        <v>16815</v>
      </c>
      <c r="J5084" s="7" t="s">
        <v>19579</v>
      </c>
      <c r="K5084" s="7" t="s">
        <v>16838</v>
      </c>
      <c r="L5084" s="201" t="s">
        <v>16835</v>
      </c>
      <c r="M5084" s="199"/>
      <c r="N5084" s="199"/>
    </row>
    <row r="5085">
      <c r="A5085" s="193" t="s">
        <v>23502</v>
      </c>
      <c r="B5085" s="7" t="s">
        <v>16838</v>
      </c>
      <c r="C5085" s="7" t="s">
        <v>19579</v>
      </c>
      <c r="D5085" s="199"/>
      <c r="E5085" s="193"/>
      <c r="F5085" s="195" t="s">
        <v>23503</v>
      </c>
      <c r="G5085" s="196">
        <v>4.08832592E8</v>
      </c>
      <c r="H5085" s="197">
        <v>5.57</v>
      </c>
      <c r="I5085" s="7" t="s">
        <v>16815</v>
      </c>
      <c r="J5085" s="7" t="s">
        <v>16838</v>
      </c>
      <c r="K5085" s="7" t="s">
        <v>19579</v>
      </c>
      <c r="L5085" s="198" t="s">
        <v>65</v>
      </c>
      <c r="M5085" s="199"/>
      <c r="N5085" s="199"/>
    </row>
    <row r="5086">
      <c r="A5086" s="193" t="s">
        <v>23504</v>
      </c>
      <c r="B5086" s="7" t="s">
        <v>16838</v>
      </c>
      <c r="C5086" s="7" t="s">
        <v>16867</v>
      </c>
      <c r="D5086" s="194">
        <v>2007.0</v>
      </c>
      <c r="E5086" s="193"/>
      <c r="F5086" s="195" t="s">
        <v>23505</v>
      </c>
      <c r="G5086" s="196">
        <v>4.08651113E8</v>
      </c>
      <c r="H5086" s="197">
        <v>9.09</v>
      </c>
      <c r="I5086" s="7" t="s">
        <v>16815</v>
      </c>
      <c r="J5086" s="7" t="s">
        <v>16838</v>
      </c>
      <c r="K5086" s="7" t="s">
        <v>16867</v>
      </c>
      <c r="L5086" s="198" t="s">
        <v>65</v>
      </c>
      <c r="M5086" s="194"/>
      <c r="N5086" s="194"/>
    </row>
    <row r="5087">
      <c r="A5087" s="193" t="s">
        <v>23506</v>
      </c>
      <c r="B5087" s="7" t="s">
        <v>175</v>
      </c>
      <c r="C5087" s="7" t="s">
        <v>17812</v>
      </c>
      <c r="D5087" s="199"/>
      <c r="E5087" s="193"/>
      <c r="F5087" s="195" t="s">
        <v>23507</v>
      </c>
      <c r="G5087" s="196">
        <v>4.07619275E8</v>
      </c>
      <c r="H5087" s="197">
        <v>13.09</v>
      </c>
      <c r="I5087" s="7" t="s">
        <v>17270</v>
      </c>
      <c r="J5087" s="7" t="s">
        <v>175</v>
      </c>
      <c r="K5087" s="7" t="s">
        <v>17812</v>
      </c>
      <c r="L5087" s="198" t="s">
        <v>65</v>
      </c>
      <c r="M5087" s="199"/>
      <c r="N5087" s="199"/>
    </row>
    <row r="5088">
      <c r="A5088" s="193" t="s">
        <v>23506</v>
      </c>
      <c r="B5088" s="7" t="s">
        <v>17812</v>
      </c>
      <c r="C5088" s="7" t="s">
        <v>175</v>
      </c>
      <c r="D5088" s="199"/>
      <c r="E5088" s="193"/>
      <c r="F5088" s="195" t="s">
        <v>23507</v>
      </c>
      <c r="G5088" s="200">
        <v>4.07619275E8</v>
      </c>
      <c r="H5088" s="197">
        <v>13.09</v>
      </c>
      <c r="I5088" s="7" t="s">
        <v>16815</v>
      </c>
      <c r="J5088" s="7" t="s">
        <v>17812</v>
      </c>
      <c r="K5088" s="7" t="s">
        <v>175</v>
      </c>
      <c r="L5088" s="201" t="s">
        <v>16835</v>
      </c>
      <c r="M5088" s="199"/>
      <c r="N5088" s="199"/>
    </row>
    <row r="5089">
      <c r="A5089" s="193" t="s">
        <v>23508</v>
      </c>
      <c r="B5089" s="7" t="s">
        <v>175</v>
      </c>
      <c r="C5089" s="7" t="s">
        <v>17391</v>
      </c>
      <c r="D5089" s="194">
        <v>2007.0</v>
      </c>
      <c r="E5089" s="193"/>
      <c r="F5089" s="195" t="s">
        <v>23509</v>
      </c>
      <c r="G5089" s="196">
        <v>4.0746469E8</v>
      </c>
      <c r="H5089" s="197">
        <v>4.21</v>
      </c>
      <c r="I5089" s="7" t="s">
        <v>168</v>
      </c>
      <c r="J5089" s="7" t="s">
        <v>175</v>
      </c>
      <c r="K5089" s="7" t="s">
        <v>17391</v>
      </c>
      <c r="L5089" s="198" t="s">
        <v>65</v>
      </c>
      <c r="M5089" s="194"/>
      <c r="N5089" s="194"/>
    </row>
    <row r="5090">
      <c r="A5090" s="193" t="s">
        <v>23510</v>
      </c>
      <c r="B5090" s="7" t="s">
        <v>175</v>
      </c>
      <c r="C5090" s="7" t="s">
        <v>18310</v>
      </c>
      <c r="D5090" s="199"/>
      <c r="E5090" s="193"/>
      <c r="F5090" s="195" t="s">
        <v>23511</v>
      </c>
      <c r="G5090" s="196">
        <v>4.07448223E8</v>
      </c>
      <c r="H5090" s="197">
        <v>295.89</v>
      </c>
      <c r="I5090" s="7" t="s">
        <v>16908</v>
      </c>
      <c r="J5090" s="7" t="s">
        <v>175</v>
      </c>
      <c r="K5090" s="7" t="s">
        <v>18310</v>
      </c>
      <c r="L5090" s="198" t="s">
        <v>65</v>
      </c>
      <c r="M5090" s="199"/>
      <c r="N5090" s="199"/>
    </row>
    <row r="5091">
      <c r="A5091" s="193" t="s">
        <v>23512</v>
      </c>
      <c r="B5091" s="7" t="s">
        <v>175</v>
      </c>
      <c r="C5091" s="7" t="s">
        <v>19006</v>
      </c>
      <c r="D5091" s="194">
        <v>2021.0</v>
      </c>
      <c r="E5091" s="193"/>
      <c r="F5091" s="195" t="s">
        <v>23513</v>
      </c>
      <c r="G5091" s="196">
        <v>4.07012897E8</v>
      </c>
      <c r="H5091" s="197">
        <v>4.48</v>
      </c>
      <c r="I5091" s="7" t="s">
        <v>16908</v>
      </c>
      <c r="J5091" s="7" t="s">
        <v>175</v>
      </c>
      <c r="K5091" s="7" t="s">
        <v>19006</v>
      </c>
      <c r="L5091" s="198" t="s">
        <v>65</v>
      </c>
      <c r="M5091" s="194"/>
      <c r="N5091" s="194"/>
    </row>
    <row r="5092">
      <c r="A5092" s="193" t="s">
        <v>23512</v>
      </c>
      <c r="B5092" s="7" t="s">
        <v>19006</v>
      </c>
      <c r="C5092" s="7" t="s">
        <v>175</v>
      </c>
      <c r="D5092" s="194">
        <v>2021.0</v>
      </c>
      <c r="E5092" s="193"/>
      <c r="F5092" s="195" t="s">
        <v>23513</v>
      </c>
      <c r="G5092" s="200">
        <v>4.07012897E8</v>
      </c>
      <c r="H5092" s="197">
        <v>4.48</v>
      </c>
      <c r="I5092" s="7" t="s">
        <v>16815</v>
      </c>
      <c r="J5092" s="7" t="s">
        <v>19006</v>
      </c>
      <c r="K5092" s="7" t="s">
        <v>175</v>
      </c>
      <c r="L5092" s="201" t="s">
        <v>16835</v>
      </c>
      <c r="M5092" s="194"/>
      <c r="N5092" s="194"/>
    </row>
    <row r="5093">
      <c r="A5093" s="193" t="s">
        <v>23514</v>
      </c>
      <c r="B5093" s="7" t="s">
        <v>187</v>
      </c>
      <c r="C5093" s="7" t="s">
        <v>16846</v>
      </c>
      <c r="D5093" s="194">
        <v>2018.0</v>
      </c>
      <c r="E5093" s="193"/>
      <c r="F5093" s="195" t="s">
        <v>23515</v>
      </c>
      <c r="G5093" s="196">
        <v>4.06957454E8</v>
      </c>
      <c r="H5093" s="197">
        <v>6.27</v>
      </c>
      <c r="I5093" s="7" t="s">
        <v>16815</v>
      </c>
      <c r="J5093" s="7" t="s">
        <v>187</v>
      </c>
      <c r="K5093" s="7" t="s">
        <v>16846</v>
      </c>
      <c r="L5093" s="198" t="s">
        <v>65</v>
      </c>
      <c r="M5093" s="194"/>
      <c r="N5093" s="194"/>
    </row>
    <row r="5094">
      <c r="A5094" s="193" t="s">
        <v>23516</v>
      </c>
      <c r="B5094" s="7" t="s">
        <v>17016</v>
      </c>
      <c r="C5094" s="7" t="s">
        <v>16838</v>
      </c>
      <c r="D5094" s="194">
        <v>2017.0</v>
      </c>
      <c r="E5094" s="193"/>
      <c r="F5094" s="195" t="s">
        <v>23517</v>
      </c>
      <c r="G5094" s="200">
        <v>4.06431071E8</v>
      </c>
      <c r="H5094" s="197">
        <v>1.75</v>
      </c>
      <c r="I5094" s="7" t="s">
        <v>16815</v>
      </c>
      <c r="J5094" s="7" t="s">
        <v>17016</v>
      </c>
      <c r="K5094" s="7" t="s">
        <v>16838</v>
      </c>
      <c r="L5094" s="201" t="s">
        <v>16835</v>
      </c>
      <c r="M5094" s="194"/>
      <c r="N5094" s="194"/>
    </row>
    <row r="5095">
      <c r="A5095" s="193" t="s">
        <v>23516</v>
      </c>
      <c r="B5095" s="7" t="s">
        <v>16838</v>
      </c>
      <c r="C5095" s="7" t="s">
        <v>17016</v>
      </c>
      <c r="D5095" s="194">
        <v>2017.0</v>
      </c>
      <c r="E5095" s="193"/>
      <c r="F5095" s="195" t="s">
        <v>23517</v>
      </c>
      <c r="G5095" s="196">
        <v>4.06431071E8</v>
      </c>
      <c r="H5095" s="197">
        <v>1.75</v>
      </c>
      <c r="I5095" s="7" t="s">
        <v>16815</v>
      </c>
      <c r="J5095" s="7" t="s">
        <v>16838</v>
      </c>
      <c r="K5095" s="7" t="s">
        <v>17016</v>
      </c>
      <c r="L5095" s="198" t="s">
        <v>65</v>
      </c>
      <c r="M5095" s="194"/>
      <c r="N5095" s="194"/>
    </row>
    <row r="5096">
      <c r="A5096" s="193" t="s">
        <v>23518</v>
      </c>
      <c r="B5096" s="7" t="s">
        <v>16838</v>
      </c>
      <c r="C5096" s="7" t="s">
        <v>17016</v>
      </c>
      <c r="D5096" s="194">
        <v>2020.0</v>
      </c>
      <c r="E5096" s="193"/>
      <c r="F5096" s="195" t="s">
        <v>23519</v>
      </c>
      <c r="G5096" s="196">
        <v>4.06079373E8</v>
      </c>
      <c r="H5096" s="197">
        <v>5.14</v>
      </c>
      <c r="I5096" s="7" t="s">
        <v>16815</v>
      </c>
      <c r="J5096" s="7" t="s">
        <v>16838</v>
      </c>
      <c r="K5096" s="7" t="s">
        <v>17016</v>
      </c>
      <c r="L5096" s="198" t="s">
        <v>65</v>
      </c>
      <c r="M5096" s="194"/>
      <c r="N5096" s="194"/>
    </row>
    <row r="5097">
      <c r="A5097" s="193" t="s">
        <v>23520</v>
      </c>
      <c r="B5097" s="7" t="s">
        <v>187</v>
      </c>
      <c r="C5097" s="7" t="s">
        <v>16846</v>
      </c>
      <c r="D5097" s="194">
        <v>2020.0</v>
      </c>
      <c r="E5097" s="193"/>
      <c r="F5097" s="195" t="s">
        <v>23521</v>
      </c>
      <c r="G5097" s="196">
        <v>4.06074872E8</v>
      </c>
      <c r="H5097" s="197">
        <v>5.48</v>
      </c>
      <c r="I5097" s="7" t="s">
        <v>16815</v>
      </c>
      <c r="J5097" s="7" t="s">
        <v>187</v>
      </c>
      <c r="K5097" s="7" t="s">
        <v>16846</v>
      </c>
      <c r="L5097" s="198" t="s">
        <v>65</v>
      </c>
      <c r="M5097" s="194"/>
      <c r="N5097" s="194"/>
    </row>
    <row r="5098">
      <c r="A5098" s="193" t="s">
        <v>23522</v>
      </c>
      <c r="B5098" s="7" t="s">
        <v>158</v>
      </c>
      <c r="C5098" s="7" t="s">
        <v>20100</v>
      </c>
      <c r="D5098" s="199"/>
      <c r="E5098" s="193"/>
      <c r="F5098" s="195" t="s">
        <v>23523</v>
      </c>
      <c r="G5098" s="196">
        <v>4.05331589E8</v>
      </c>
      <c r="H5098" s="197">
        <v>12.23</v>
      </c>
      <c r="I5098" s="7" t="s">
        <v>23524</v>
      </c>
      <c r="J5098" s="7" t="s">
        <v>158</v>
      </c>
      <c r="K5098" s="7" t="s">
        <v>20100</v>
      </c>
      <c r="L5098" s="198" t="s">
        <v>65</v>
      </c>
      <c r="M5098" s="199"/>
      <c r="N5098" s="199"/>
    </row>
    <row r="5099">
      <c r="A5099" s="193" t="s">
        <v>23525</v>
      </c>
      <c r="B5099" s="7" t="s">
        <v>17016</v>
      </c>
      <c r="C5099" s="7" t="s">
        <v>16838</v>
      </c>
      <c r="D5099" s="194">
        <v>2010.0</v>
      </c>
      <c r="E5099" s="193"/>
      <c r="F5099" s="195" t="s">
        <v>23526</v>
      </c>
      <c r="G5099" s="200">
        <v>4.05161771E8</v>
      </c>
      <c r="H5099" s="197">
        <v>7.74</v>
      </c>
      <c r="I5099" s="7" t="s">
        <v>16815</v>
      </c>
      <c r="J5099" s="7" t="s">
        <v>17016</v>
      </c>
      <c r="K5099" s="7" t="s">
        <v>16838</v>
      </c>
      <c r="L5099" s="201" t="s">
        <v>16835</v>
      </c>
      <c r="M5099" s="194"/>
      <c r="N5099" s="194"/>
    </row>
    <row r="5100">
      <c r="A5100" s="193" t="s">
        <v>23525</v>
      </c>
      <c r="B5100" s="7" t="s">
        <v>16838</v>
      </c>
      <c r="C5100" s="7" t="s">
        <v>17016</v>
      </c>
      <c r="D5100" s="194">
        <v>2010.0</v>
      </c>
      <c r="E5100" s="193"/>
      <c r="F5100" s="195" t="s">
        <v>23526</v>
      </c>
      <c r="G5100" s="196">
        <v>4.05161771E8</v>
      </c>
      <c r="H5100" s="197">
        <v>7.74</v>
      </c>
      <c r="I5100" s="7" t="s">
        <v>16815</v>
      </c>
      <c r="J5100" s="7" t="s">
        <v>16838</v>
      </c>
      <c r="K5100" s="7" t="s">
        <v>17016</v>
      </c>
      <c r="L5100" s="198" t="s">
        <v>65</v>
      </c>
      <c r="M5100" s="194"/>
      <c r="N5100" s="194"/>
    </row>
    <row r="5101">
      <c r="A5101" s="193" t="s">
        <v>23527</v>
      </c>
      <c r="B5101" s="7" t="s">
        <v>16910</v>
      </c>
      <c r="C5101" s="7" t="s">
        <v>17119</v>
      </c>
      <c r="D5101" s="199"/>
      <c r="E5101" s="193"/>
      <c r="F5101" s="195" t="s">
        <v>23528</v>
      </c>
      <c r="G5101" s="196">
        <v>4.0451299E8</v>
      </c>
      <c r="H5101" s="197">
        <v>53.27</v>
      </c>
      <c r="I5101" s="7" t="s">
        <v>16917</v>
      </c>
      <c r="J5101" s="7" t="s">
        <v>16910</v>
      </c>
      <c r="K5101" s="7" t="s">
        <v>17119</v>
      </c>
      <c r="L5101" s="198" t="s">
        <v>65</v>
      </c>
      <c r="M5101" s="199"/>
      <c r="N5101" s="199"/>
    </row>
    <row r="5102">
      <c r="A5102" s="193" t="s">
        <v>23529</v>
      </c>
      <c r="B5102" s="7" t="s">
        <v>16838</v>
      </c>
      <c r="C5102" s="7" t="s">
        <v>17016</v>
      </c>
      <c r="D5102" s="194">
        <v>2010.0</v>
      </c>
      <c r="E5102" s="193"/>
      <c r="F5102" s="195" t="s">
        <v>23530</v>
      </c>
      <c r="G5102" s="196">
        <v>4.03966011E8</v>
      </c>
      <c r="H5102" s="197">
        <v>12.12</v>
      </c>
      <c r="I5102" s="7" t="s">
        <v>16815</v>
      </c>
      <c r="J5102" s="7" t="s">
        <v>16838</v>
      </c>
      <c r="K5102" s="7" t="s">
        <v>17016</v>
      </c>
      <c r="L5102" s="198" t="s">
        <v>65</v>
      </c>
      <c r="M5102" s="194"/>
      <c r="N5102" s="194"/>
    </row>
    <row r="5103">
      <c r="A5103" s="193" t="s">
        <v>23531</v>
      </c>
      <c r="B5103" s="7" t="s">
        <v>187</v>
      </c>
      <c r="C5103" s="7" t="s">
        <v>16846</v>
      </c>
      <c r="D5103" s="194">
        <v>2019.0</v>
      </c>
      <c r="E5103" s="193"/>
      <c r="F5103" s="195" t="s">
        <v>23532</v>
      </c>
      <c r="G5103" s="196">
        <v>4.03021123E8</v>
      </c>
      <c r="H5103" s="197">
        <v>11.73</v>
      </c>
      <c r="I5103" s="7" t="s">
        <v>16815</v>
      </c>
      <c r="J5103" s="7" t="s">
        <v>187</v>
      </c>
      <c r="K5103" s="7" t="s">
        <v>16846</v>
      </c>
      <c r="L5103" s="198" t="s">
        <v>65</v>
      </c>
      <c r="M5103" s="194"/>
      <c r="N5103" s="194"/>
    </row>
    <row r="5104">
      <c r="A5104" s="193" t="s">
        <v>23533</v>
      </c>
      <c r="B5104" s="7" t="s">
        <v>17112</v>
      </c>
      <c r="C5104" s="7" t="s">
        <v>17218</v>
      </c>
      <c r="D5104" s="194">
        <v>2020.0</v>
      </c>
      <c r="E5104" s="193"/>
      <c r="F5104" s="195" t="s">
        <v>23534</v>
      </c>
      <c r="G5104" s="196">
        <v>4.010873E8</v>
      </c>
      <c r="H5104" s="197">
        <v>11.87</v>
      </c>
      <c r="I5104" s="7" t="s">
        <v>16815</v>
      </c>
      <c r="J5104" s="7" t="s">
        <v>17112</v>
      </c>
      <c r="K5104" s="7" t="s">
        <v>17218</v>
      </c>
      <c r="L5104" s="198" t="s">
        <v>65</v>
      </c>
      <c r="M5104" s="194"/>
      <c r="N5104" s="194"/>
    </row>
    <row r="5105">
      <c r="A5105" s="193" t="s">
        <v>23535</v>
      </c>
      <c r="B5105" s="7" t="s">
        <v>187</v>
      </c>
      <c r="C5105" s="7" t="s">
        <v>16851</v>
      </c>
      <c r="D5105" s="194">
        <v>2014.0</v>
      </c>
      <c r="E5105" s="193"/>
      <c r="F5105" s="195" t="s">
        <v>23536</v>
      </c>
      <c r="G5105" s="196">
        <v>4.00868981E8</v>
      </c>
      <c r="H5105" s="197">
        <v>7.41</v>
      </c>
      <c r="I5105" s="7" t="s">
        <v>16815</v>
      </c>
      <c r="J5105" s="7" t="s">
        <v>187</v>
      </c>
      <c r="K5105" s="7" t="s">
        <v>16851</v>
      </c>
      <c r="L5105" s="198" t="s">
        <v>65</v>
      </c>
      <c r="M5105" s="194"/>
      <c r="N5105" s="194"/>
    </row>
    <row r="5106">
      <c r="A5106" s="193" t="s">
        <v>23537</v>
      </c>
      <c r="B5106" s="7" t="s">
        <v>175</v>
      </c>
      <c r="C5106" s="7" t="s">
        <v>17480</v>
      </c>
      <c r="D5106" s="194">
        <v>2022.0</v>
      </c>
      <c r="E5106" s="193"/>
      <c r="F5106" s="195" t="s">
        <v>23538</v>
      </c>
      <c r="G5106" s="196">
        <v>4.0077E8</v>
      </c>
      <c r="H5106" s="197">
        <v>1.5</v>
      </c>
      <c r="I5106" s="7" t="s">
        <v>16826</v>
      </c>
      <c r="J5106" s="7" t="s">
        <v>175</v>
      </c>
      <c r="K5106" s="7" t="s">
        <v>17480</v>
      </c>
      <c r="L5106" s="198" t="s">
        <v>65</v>
      </c>
      <c r="M5106" s="194"/>
      <c r="N5106" s="194"/>
    </row>
    <row r="5107">
      <c r="A5107" s="193" t="s">
        <v>23537</v>
      </c>
      <c r="B5107" s="7" t="s">
        <v>17480</v>
      </c>
      <c r="C5107" s="7" t="s">
        <v>175</v>
      </c>
      <c r="D5107" s="194">
        <v>2022.0</v>
      </c>
      <c r="E5107" s="193"/>
      <c r="F5107" s="195" t="s">
        <v>23538</v>
      </c>
      <c r="G5107" s="200">
        <v>4.0077E8</v>
      </c>
      <c r="H5107" s="197">
        <v>1.5</v>
      </c>
      <c r="I5107" s="7" t="s">
        <v>16815</v>
      </c>
      <c r="J5107" s="7" t="s">
        <v>17480</v>
      </c>
      <c r="K5107" s="7" t="s">
        <v>175</v>
      </c>
      <c r="L5107" s="201" t="s">
        <v>16835</v>
      </c>
      <c r="M5107" s="194"/>
      <c r="N5107" s="194"/>
    </row>
    <row r="5108">
      <c r="A5108" s="193" t="s">
        <v>23539</v>
      </c>
      <c r="B5108" s="7" t="s">
        <v>175</v>
      </c>
      <c r="C5108" s="7" t="s">
        <v>17757</v>
      </c>
      <c r="D5108" s="199"/>
      <c r="E5108" s="193"/>
      <c r="F5108" s="195" t="s">
        <v>23540</v>
      </c>
      <c r="G5108" s="196">
        <v>3.99094188E8</v>
      </c>
      <c r="H5108" s="197">
        <v>36.27</v>
      </c>
      <c r="I5108" s="7" t="s">
        <v>168</v>
      </c>
      <c r="J5108" s="7" t="s">
        <v>175</v>
      </c>
      <c r="K5108" s="7" t="s">
        <v>17757</v>
      </c>
      <c r="L5108" s="198" t="s">
        <v>65</v>
      </c>
      <c r="M5108" s="199"/>
      <c r="N5108" s="199"/>
    </row>
    <row r="5109">
      <c r="A5109" s="193" t="s">
        <v>23541</v>
      </c>
      <c r="B5109" s="7" t="s">
        <v>17111</v>
      </c>
      <c r="C5109" s="7" t="s">
        <v>17112</v>
      </c>
      <c r="D5109" s="194">
        <v>1999.0</v>
      </c>
      <c r="E5109" s="193"/>
      <c r="F5109" s="195" t="s">
        <v>23542</v>
      </c>
      <c r="G5109" s="200">
        <v>3.98241816E8</v>
      </c>
      <c r="H5109" s="197">
        <v>9.93</v>
      </c>
      <c r="I5109" s="7" t="s">
        <v>16815</v>
      </c>
      <c r="J5109" s="7" t="s">
        <v>17111</v>
      </c>
      <c r="K5109" s="7" t="s">
        <v>17112</v>
      </c>
      <c r="L5109" s="201" t="s">
        <v>16835</v>
      </c>
      <c r="M5109" s="194"/>
      <c r="N5109" s="194"/>
    </row>
    <row r="5110">
      <c r="A5110" s="193" t="s">
        <v>23541</v>
      </c>
      <c r="B5110" s="7" t="s">
        <v>17112</v>
      </c>
      <c r="C5110" s="7" t="s">
        <v>17111</v>
      </c>
      <c r="D5110" s="194">
        <v>1999.0</v>
      </c>
      <c r="E5110" s="193"/>
      <c r="F5110" s="195" t="s">
        <v>23542</v>
      </c>
      <c r="G5110" s="196">
        <v>3.98241816E8</v>
      </c>
      <c r="H5110" s="197">
        <v>9.93</v>
      </c>
      <c r="I5110" s="7" t="s">
        <v>16815</v>
      </c>
      <c r="J5110" s="7" t="s">
        <v>17112</v>
      </c>
      <c r="K5110" s="7" t="s">
        <v>17111</v>
      </c>
      <c r="L5110" s="198" t="s">
        <v>65</v>
      </c>
      <c r="M5110" s="194"/>
      <c r="N5110" s="194"/>
    </row>
    <row r="5111">
      <c r="A5111" s="193" t="s">
        <v>23543</v>
      </c>
      <c r="B5111" s="7" t="s">
        <v>169</v>
      </c>
      <c r="C5111" s="7" t="s">
        <v>17043</v>
      </c>
      <c r="D5111" s="194">
        <v>1986.0</v>
      </c>
      <c r="E5111" s="193"/>
      <c r="F5111" s="195" t="s">
        <v>23544</v>
      </c>
      <c r="G5111" s="196">
        <v>3.97485205E8</v>
      </c>
      <c r="H5111" s="197">
        <v>18.05</v>
      </c>
      <c r="I5111" s="7" t="s">
        <v>16815</v>
      </c>
      <c r="J5111" s="7" t="s">
        <v>169</v>
      </c>
      <c r="K5111" s="7" t="s">
        <v>17043</v>
      </c>
      <c r="L5111" s="198" t="s">
        <v>65</v>
      </c>
      <c r="M5111" s="194"/>
      <c r="N5111" s="194"/>
    </row>
    <row r="5112">
      <c r="A5112" s="193" t="s">
        <v>23545</v>
      </c>
      <c r="B5112" s="7" t="s">
        <v>17111</v>
      </c>
      <c r="C5112" s="7" t="s">
        <v>17112</v>
      </c>
      <c r="D5112" s="194">
        <v>1986.0</v>
      </c>
      <c r="E5112" s="193"/>
      <c r="F5112" s="195" t="s">
        <v>23546</v>
      </c>
      <c r="G5112" s="200">
        <v>3.97088275E8</v>
      </c>
      <c r="H5112" s="197">
        <v>18.85</v>
      </c>
      <c r="I5112" s="7" t="s">
        <v>16815</v>
      </c>
      <c r="J5112" s="7" t="s">
        <v>17111</v>
      </c>
      <c r="K5112" s="7" t="s">
        <v>17112</v>
      </c>
      <c r="L5112" s="201" t="s">
        <v>16835</v>
      </c>
      <c r="M5112" s="194"/>
      <c r="N5112" s="194"/>
    </row>
    <row r="5113">
      <c r="A5113" s="193" t="s">
        <v>23545</v>
      </c>
      <c r="B5113" s="7" t="s">
        <v>17112</v>
      </c>
      <c r="C5113" s="7" t="s">
        <v>17111</v>
      </c>
      <c r="D5113" s="194">
        <v>1986.0</v>
      </c>
      <c r="E5113" s="193"/>
      <c r="F5113" s="195" t="s">
        <v>23546</v>
      </c>
      <c r="G5113" s="196">
        <v>3.97088275E8</v>
      </c>
      <c r="H5113" s="197">
        <v>18.85</v>
      </c>
      <c r="I5113" s="7" t="s">
        <v>16815</v>
      </c>
      <c r="J5113" s="7" t="s">
        <v>17112</v>
      </c>
      <c r="K5113" s="7" t="s">
        <v>17111</v>
      </c>
      <c r="L5113" s="198" t="s">
        <v>65</v>
      </c>
      <c r="M5113" s="194"/>
      <c r="N5113" s="194"/>
    </row>
    <row r="5114">
      <c r="A5114" s="193" t="s">
        <v>23547</v>
      </c>
      <c r="B5114" s="7" t="s">
        <v>187</v>
      </c>
      <c r="C5114" s="7" t="s">
        <v>16846</v>
      </c>
      <c r="D5114" s="194">
        <v>2013.0</v>
      </c>
      <c r="E5114" s="193"/>
      <c r="F5114" s="195" t="s">
        <v>23548</v>
      </c>
      <c r="G5114" s="196">
        <v>3.96988461E8</v>
      </c>
      <c r="H5114" s="197">
        <v>6.4</v>
      </c>
      <c r="I5114" s="7" t="s">
        <v>16815</v>
      </c>
      <c r="J5114" s="7" t="s">
        <v>187</v>
      </c>
      <c r="K5114" s="7" t="s">
        <v>16846</v>
      </c>
      <c r="L5114" s="198" t="s">
        <v>65</v>
      </c>
      <c r="M5114" s="194"/>
      <c r="N5114" s="194"/>
    </row>
    <row r="5115">
      <c r="A5115" s="193" t="s">
        <v>23549</v>
      </c>
      <c r="B5115" s="7" t="s">
        <v>16582</v>
      </c>
      <c r="C5115" s="7" t="s">
        <v>16583</v>
      </c>
      <c r="D5115" s="194">
        <v>2021.0</v>
      </c>
      <c r="E5115" s="193"/>
      <c r="F5115" s="195" t="s">
        <v>23550</v>
      </c>
      <c r="G5115" s="196">
        <v>3.959074E8</v>
      </c>
      <c r="H5115" s="197">
        <v>5.18</v>
      </c>
      <c r="I5115" s="7" t="s">
        <v>16815</v>
      </c>
      <c r="J5115" s="7" t="s">
        <v>16582</v>
      </c>
      <c r="K5115" s="7" t="s">
        <v>16583</v>
      </c>
      <c r="L5115" s="198" t="s">
        <v>65</v>
      </c>
      <c r="M5115" s="194"/>
      <c r="N5115" s="194"/>
    </row>
    <row r="5116">
      <c r="A5116" s="193" t="s">
        <v>23549</v>
      </c>
      <c r="B5116" s="7" t="s">
        <v>16583</v>
      </c>
      <c r="C5116" s="7" t="s">
        <v>16582</v>
      </c>
      <c r="D5116" s="194">
        <v>2021.0</v>
      </c>
      <c r="E5116" s="193"/>
      <c r="F5116" s="195" t="s">
        <v>23550</v>
      </c>
      <c r="G5116" s="200">
        <v>3.959074E8</v>
      </c>
      <c r="H5116" s="197">
        <v>5.18</v>
      </c>
      <c r="I5116" s="7" t="s">
        <v>16815</v>
      </c>
      <c r="J5116" s="7" t="s">
        <v>16583</v>
      </c>
      <c r="K5116" s="7" t="s">
        <v>16582</v>
      </c>
      <c r="L5116" s="201" t="s">
        <v>16835</v>
      </c>
      <c r="M5116" s="194"/>
      <c r="N5116" s="194"/>
    </row>
    <row r="5117">
      <c r="A5117" s="193" t="s">
        <v>23551</v>
      </c>
      <c r="B5117" s="7" t="s">
        <v>16838</v>
      </c>
      <c r="C5117" s="7" t="s">
        <v>17127</v>
      </c>
      <c r="D5117" s="199"/>
      <c r="E5117" s="193"/>
      <c r="F5117" s="195" t="s">
        <v>23552</v>
      </c>
      <c r="G5117" s="196">
        <v>3.95850516E8</v>
      </c>
      <c r="H5117" s="197">
        <v>24.68</v>
      </c>
      <c r="I5117" s="7" t="s">
        <v>16815</v>
      </c>
      <c r="J5117" s="7" t="s">
        <v>16838</v>
      </c>
      <c r="K5117" s="7" t="s">
        <v>17127</v>
      </c>
      <c r="L5117" s="198" t="s">
        <v>65</v>
      </c>
      <c r="M5117" s="199"/>
      <c r="N5117" s="199"/>
    </row>
    <row r="5118">
      <c r="A5118" s="193" t="s">
        <v>23553</v>
      </c>
      <c r="B5118" s="7" t="s">
        <v>17019</v>
      </c>
      <c r="C5118" s="7" t="s">
        <v>16838</v>
      </c>
      <c r="D5118" s="199"/>
      <c r="E5118" s="193"/>
      <c r="F5118" s="195" t="s">
        <v>23554</v>
      </c>
      <c r="G5118" s="200">
        <v>3.95809645E8</v>
      </c>
      <c r="H5118" s="197">
        <v>38.15</v>
      </c>
      <c r="I5118" s="7" t="s">
        <v>16815</v>
      </c>
      <c r="J5118" s="7" t="s">
        <v>17019</v>
      </c>
      <c r="K5118" s="7" t="s">
        <v>16838</v>
      </c>
      <c r="L5118" s="201" t="s">
        <v>16835</v>
      </c>
      <c r="M5118" s="199"/>
      <c r="N5118" s="199"/>
    </row>
    <row r="5119">
      <c r="A5119" s="193" t="s">
        <v>23553</v>
      </c>
      <c r="B5119" s="7" t="s">
        <v>16838</v>
      </c>
      <c r="C5119" s="7" t="s">
        <v>17019</v>
      </c>
      <c r="D5119" s="199"/>
      <c r="E5119" s="193"/>
      <c r="F5119" s="195" t="s">
        <v>23554</v>
      </c>
      <c r="G5119" s="196">
        <v>3.95809645E8</v>
      </c>
      <c r="H5119" s="197">
        <v>38.15</v>
      </c>
      <c r="I5119" s="7" t="s">
        <v>16815</v>
      </c>
      <c r="J5119" s="7" t="s">
        <v>16838</v>
      </c>
      <c r="K5119" s="7" t="s">
        <v>17019</v>
      </c>
      <c r="L5119" s="198" t="s">
        <v>65</v>
      </c>
      <c r="M5119" s="199"/>
      <c r="N5119" s="199"/>
    </row>
    <row r="5120">
      <c r="A5120" s="193" t="s">
        <v>23555</v>
      </c>
      <c r="B5120" s="7" t="s">
        <v>16838</v>
      </c>
      <c r="C5120" s="7" t="s">
        <v>16867</v>
      </c>
      <c r="D5120" s="199"/>
      <c r="E5120" s="193"/>
      <c r="F5120" s="195" t="s">
        <v>23556</v>
      </c>
      <c r="G5120" s="196">
        <v>3.94869801E8</v>
      </c>
      <c r="H5120" s="197">
        <v>23.16</v>
      </c>
      <c r="I5120" s="7" t="s">
        <v>16924</v>
      </c>
      <c r="J5120" s="7" t="s">
        <v>16838</v>
      </c>
      <c r="K5120" s="7" t="s">
        <v>16867</v>
      </c>
      <c r="L5120" s="198" t="s">
        <v>65</v>
      </c>
      <c r="M5120" s="199"/>
      <c r="N5120" s="199"/>
    </row>
    <row r="5121">
      <c r="A5121" s="193" t="s">
        <v>23557</v>
      </c>
      <c r="B5121" s="7" t="s">
        <v>16582</v>
      </c>
      <c r="C5121" s="7" t="s">
        <v>16817</v>
      </c>
      <c r="D5121" s="194">
        <v>2021.0</v>
      </c>
      <c r="E5121" s="193"/>
      <c r="F5121" s="195" t="s">
        <v>23558</v>
      </c>
      <c r="G5121" s="196">
        <v>3.94363346E8</v>
      </c>
      <c r="H5121" s="197">
        <v>2.25</v>
      </c>
      <c r="I5121" s="7" t="s">
        <v>16815</v>
      </c>
      <c r="J5121" s="7" t="s">
        <v>16582</v>
      </c>
      <c r="K5121" s="7" t="s">
        <v>16817</v>
      </c>
      <c r="L5121" s="198" t="s">
        <v>65</v>
      </c>
      <c r="M5121" s="194"/>
      <c r="N5121" s="194"/>
    </row>
    <row r="5122">
      <c r="A5122" s="193" t="s">
        <v>23557</v>
      </c>
      <c r="B5122" s="7" t="s">
        <v>16817</v>
      </c>
      <c r="C5122" s="7" t="s">
        <v>16582</v>
      </c>
      <c r="D5122" s="194">
        <v>2021.0</v>
      </c>
      <c r="E5122" s="193"/>
      <c r="F5122" s="195" t="s">
        <v>23558</v>
      </c>
      <c r="G5122" s="200">
        <v>3.94363346E8</v>
      </c>
      <c r="H5122" s="197">
        <v>2.25</v>
      </c>
      <c r="I5122" s="7" t="s">
        <v>16815</v>
      </c>
      <c r="J5122" s="7" t="s">
        <v>16817</v>
      </c>
      <c r="K5122" s="7" t="s">
        <v>16582</v>
      </c>
      <c r="L5122" s="201" t="s">
        <v>16835</v>
      </c>
      <c r="M5122" s="194"/>
      <c r="N5122" s="194"/>
    </row>
    <row r="5123">
      <c r="A5123" s="193" t="s">
        <v>23559</v>
      </c>
      <c r="B5123" s="7" t="s">
        <v>187</v>
      </c>
      <c r="C5123" s="7" t="s">
        <v>16846</v>
      </c>
      <c r="D5123" s="194">
        <v>2014.0</v>
      </c>
      <c r="E5123" s="193"/>
      <c r="F5123" s="195" t="s">
        <v>23560</v>
      </c>
      <c r="G5123" s="196">
        <v>3.91264853E8</v>
      </c>
      <c r="H5123" s="197">
        <v>9.66</v>
      </c>
      <c r="I5123" s="7" t="s">
        <v>16815</v>
      </c>
      <c r="J5123" s="7" t="s">
        <v>187</v>
      </c>
      <c r="K5123" s="7" t="s">
        <v>16846</v>
      </c>
      <c r="L5123" s="198" t="s">
        <v>65</v>
      </c>
      <c r="M5123" s="194"/>
      <c r="N5123" s="194"/>
    </row>
    <row r="5124">
      <c r="A5124" s="193" t="s">
        <v>23561</v>
      </c>
      <c r="B5124" s="7" t="s">
        <v>16867</v>
      </c>
      <c r="C5124" s="7" t="s">
        <v>16838</v>
      </c>
      <c r="D5124" s="199"/>
      <c r="E5124" s="193"/>
      <c r="F5124" s="195" t="s">
        <v>23562</v>
      </c>
      <c r="G5124" s="200">
        <v>3.91005966E8</v>
      </c>
      <c r="H5124" s="197">
        <v>25.37</v>
      </c>
      <c r="I5124" s="7" t="s">
        <v>16815</v>
      </c>
      <c r="J5124" s="7" t="s">
        <v>16867</v>
      </c>
      <c r="K5124" s="7" t="s">
        <v>16838</v>
      </c>
      <c r="L5124" s="201" t="s">
        <v>16835</v>
      </c>
      <c r="M5124" s="199"/>
      <c r="N5124" s="199"/>
    </row>
    <row r="5125">
      <c r="A5125" s="193" t="s">
        <v>23561</v>
      </c>
      <c r="B5125" s="7" t="s">
        <v>16838</v>
      </c>
      <c r="C5125" s="7" t="s">
        <v>16867</v>
      </c>
      <c r="D5125" s="199"/>
      <c r="E5125" s="193"/>
      <c r="F5125" s="195" t="s">
        <v>23562</v>
      </c>
      <c r="G5125" s="196">
        <v>3.91005966E8</v>
      </c>
      <c r="H5125" s="197">
        <v>25.37</v>
      </c>
      <c r="I5125" s="7" t="s">
        <v>16815</v>
      </c>
      <c r="J5125" s="7" t="s">
        <v>16838</v>
      </c>
      <c r="K5125" s="7" t="s">
        <v>16867</v>
      </c>
      <c r="L5125" s="198" t="s">
        <v>65</v>
      </c>
      <c r="M5125" s="199"/>
      <c r="N5125" s="199"/>
    </row>
    <row r="5126">
      <c r="A5126" s="193" t="s">
        <v>23563</v>
      </c>
      <c r="B5126" s="7" t="s">
        <v>17321</v>
      </c>
      <c r="C5126" s="7" t="s">
        <v>169</v>
      </c>
      <c r="D5126" s="194">
        <v>2017.0</v>
      </c>
      <c r="E5126" s="193"/>
      <c r="F5126" s="195" t="s">
        <v>23564</v>
      </c>
      <c r="G5126" s="200">
        <v>3.89428477E8</v>
      </c>
      <c r="H5126" s="197">
        <v>8.8</v>
      </c>
      <c r="I5126" s="7" t="s">
        <v>16815</v>
      </c>
      <c r="J5126" s="7" t="s">
        <v>17321</v>
      </c>
      <c r="K5126" s="7" t="s">
        <v>169</v>
      </c>
      <c r="L5126" s="201" t="s">
        <v>16835</v>
      </c>
      <c r="M5126" s="194"/>
      <c r="N5126" s="194"/>
    </row>
    <row r="5127">
      <c r="A5127" s="193" t="s">
        <v>23563</v>
      </c>
      <c r="B5127" s="7" t="s">
        <v>169</v>
      </c>
      <c r="C5127" s="7" t="s">
        <v>17321</v>
      </c>
      <c r="D5127" s="194">
        <v>2017.0</v>
      </c>
      <c r="E5127" s="193"/>
      <c r="F5127" s="195" t="s">
        <v>23564</v>
      </c>
      <c r="G5127" s="196">
        <v>3.89428477E8</v>
      </c>
      <c r="H5127" s="197">
        <v>8.8</v>
      </c>
      <c r="I5127" s="7" t="s">
        <v>16815</v>
      </c>
      <c r="J5127" s="7" t="s">
        <v>169</v>
      </c>
      <c r="K5127" s="7" t="s">
        <v>17321</v>
      </c>
      <c r="L5127" s="198" t="s">
        <v>65</v>
      </c>
      <c r="M5127" s="194"/>
      <c r="N5127" s="194"/>
    </row>
    <row r="5128">
      <c r="A5128" s="193" t="s">
        <v>23565</v>
      </c>
      <c r="B5128" s="7" t="s">
        <v>187</v>
      </c>
      <c r="C5128" s="7" t="s">
        <v>16846</v>
      </c>
      <c r="D5128" s="194">
        <v>2021.0</v>
      </c>
      <c r="E5128" s="193"/>
      <c r="F5128" s="195" t="s">
        <v>23566</v>
      </c>
      <c r="G5128" s="196">
        <v>3.88876054E8</v>
      </c>
      <c r="H5128" s="197">
        <v>9.09</v>
      </c>
      <c r="I5128" s="7" t="s">
        <v>16815</v>
      </c>
      <c r="J5128" s="7" t="s">
        <v>187</v>
      </c>
      <c r="K5128" s="7" t="s">
        <v>16846</v>
      </c>
      <c r="L5128" s="198" t="s">
        <v>65</v>
      </c>
      <c r="M5128" s="194"/>
      <c r="N5128" s="194"/>
    </row>
    <row r="5129">
      <c r="A5129" s="193" t="s">
        <v>23567</v>
      </c>
      <c r="B5129" s="7" t="s">
        <v>19644</v>
      </c>
      <c r="C5129" s="7" t="s">
        <v>16838</v>
      </c>
      <c r="D5129" s="194">
        <v>2012.0</v>
      </c>
      <c r="E5129" s="193"/>
      <c r="F5129" s="195" t="s">
        <v>23568</v>
      </c>
      <c r="G5129" s="200">
        <v>3.88497468E8</v>
      </c>
      <c r="H5129" s="197">
        <v>17.06</v>
      </c>
      <c r="I5129" s="7" t="s">
        <v>16815</v>
      </c>
      <c r="J5129" s="7" t="s">
        <v>19644</v>
      </c>
      <c r="K5129" s="7" t="s">
        <v>16838</v>
      </c>
      <c r="L5129" s="201" t="s">
        <v>16835</v>
      </c>
      <c r="M5129" s="194"/>
      <c r="N5129" s="194"/>
    </row>
    <row r="5130">
      <c r="A5130" s="193" t="s">
        <v>23567</v>
      </c>
      <c r="B5130" s="7" t="s">
        <v>16838</v>
      </c>
      <c r="C5130" s="7" t="s">
        <v>19644</v>
      </c>
      <c r="D5130" s="194">
        <v>2012.0</v>
      </c>
      <c r="E5130" s="193"/>
      <c r="F5130" s="195" t="s">
        <v>23568</v>
      </c>
      <c r="G5130" s="196">
        <v>3.88497468E8</v>
      </c>
      <c r="H5130" s="197">
        <v>17.06</v>
      </c>
      <c r="I5130" s="7" t="s">
        <v>16815</v>
      </c>
      <c r="J5130" s="7" t="s">
        <v>16838</v>
      </c>
      <c r="K5130" s="7" t="s">
        <v>19644</v>
      </c>
      <c r="L5130" s="198" t="s">
        <v>65</v>
      </c>
      <c r="M5130" s="194"/>
      <c r="N5130" s="194"/>
    </row>
    <row r="5131">
      <c r="A5131" s="193" t="s">
        <v>23569</v>
      </c>
      <c r="B5131" s="7" t="s">
        <v>16838</v>
      </c>
      <c r="C5131" s="7" t="s">
        <v>16867</v>
      </c>
      <c r="D5131" s="194">
        <v>1997.0</v>
      </c>
      <c r="E5131" s="193"/>
      <c r="F5131" s="195" t="s">
        <v>23570</v>
      </c>
      <c r="G5131" s="196">
        <v>3.87235059E8</v>
      </c>
      <c r="H5131" s="197">
        <v>25.55</v>
      </c>
      <c r="I5131" s="7" t="s">
        <v>16815</v>
      </c>
      <c r="J5131" s="7" t="s">
        <v>16838</v>
      </c>
      <c r="K5131" s="7" t="s">
        <v>16867</v>
      </c>
      <c r="L5131" s="198" t="s">
        <v>65</v>
      </c>
      <c r="M5131" s="194"/>
      <c r="N5131" s="194"/>
    </row>
    <row r="5132">
      <c r="A5132" s="193" t="s">
        <v>23569</v>
      </c>
      <c r="B5132" s="202" t="s">
        <v>16867</v>
      </c>
      <c r="C5132" s="193" t="s">
        <v>16838</v>
      </c>
      <c r="D5132" s="193">
        <v>1997.0</v>
      </c>
      <c r="E5132" s="193"/>
      <c r="F5132" s="203" t="s">
        <v>23570</v>
      </c>
      <c r="G5132" s="200">
        <v>3.87235059E8</v>
      </c>
      <c r="H5132" s="205">
        <v>1.56</v>
      </c>
      <c r="J5132" s="202" t="s">
        <v>16867</v>
      </c>
      <c r="K5132" s="193" t="s">
        <v>16838</v>
      </c>
      <c r="L5132" s="193" t="s">
        <v>17471</v>
      </c>
      <c r="M5132" s="193"/>
      <c r="N5132" s="193"/>
    </row>
    <row r="5133">
      <c r="A5133" s="193" t="s">
        <v>23571</v>
      </c>
      <c r="B5133" s="7" t="s">
        <v>16582</v>
      </c>
      <c r="C5133" s="7" t="s">
        <v>16583</v>
      </c>
      <c r="D5133" s="194">
        <v>2019.0</v>
      </c>
      <c r="E5133" s="193"/>
      <c r="F5133" s="195" t="s">
        <v>23572</v>
      </c>
      <c r="G5133" s="196">
        <v>3.86162674E8</v>
      </c>
      <c r="H5133" s="197">
        <v>6.71</v>
      </c>
      <c r="I5133" s="7" t="s">
        <v>16815</v>
      </c>
      <c r="J5133" s="7" t="s">
        <v>16582</v>
      </c>
      <c r="K5133" s="7" t="s">
        <v>16583</v>
      </c>
      <c r="L5133" s="198" t="s">
        <v>65</v>
      </c>
      <c r="M5133" s="194"/>
      <c r="N5133" s="194"/>
    </row>
    <row r="5134">
      <c r="A5134" s="193" t="s">
        <v>23573</v>
      </c>
      <c r="B5134" s="7" t="s">
        <v>16582</v>
      </c>
      <c r="C5134" s="7" t="s">
        <v>17342</v>
      </c>
      <c r="D5134" s="199"/>
      <c r="E5134" s="193"/>
      <c r="F5134" s="195" t="s">
        <v>23574</v>
      </c>
      <c r="G5134" s="196">
        <v>3.8608E8</v>
      </c>
      <c r="H5134" s="197">
        <v>3.8</v>
      </c>
      <c r="I5134" s="7" t="s">
        <v>16815</v>
      </c>
      <c r="J5134" s="7" t="s">
        <v>16582</v>
      </c>
      <c r="K5134" s="7" t="s">
        <v>17342</v>
      </c>
      <c r="L5134" s="198" t="s">
        <v>65</v>
      </c>
      <c r="M5134" s="199"/>
      <c r="N5134" s="199"/>
    </row>
    <row r="5135">
      <c r="A5135" s="193" t="s">
        <v>23575</v>
      </c>
      <c r="B5135" s="7" t="s">
        <v>175</v>
      </c>
      <c r="C5135" s="7" t="s">
        <v>17233</v>
      </c>
      <c r="D5135" s="194">
        <v>2013.0</v>
      </c>
      <c r="E5135" s="193"/>
      <c r="F5135" s="195" t="s">
        <v>23576</v>
      </c>
      <c r="G5135" s="196">
        <v>3.85727E8</v>
      </c>
      <c r="H5135" s="197">
        <v>9.98</v>
      </c>
      <c r="I5135" s="7" t="s">
        <v>168</v>
      </c>
      <c r="J5135" s="7" t="s">
        <v>175</v>
      </c>
      <c r="K5135" s="7" t="s">
        <v>17233</v>
      </c>
      <c r="L5135" s="198" t="s">
        <v>65</v>
      </c>
      <c r="M5135" s="194"/>
      <c r="N5135" s="194"/>
    </row>
    <row r="5136">
      <c r="A5136" s="193" t="s">
        <v>23575</v>
      </c>
      <c r="B5136" s="7" t="s">
        <v>17233</v>
      </c>
      <c r="C5136" s="7" t="s">
        <v>175</v>
      </c>
      <c r="D5136" s="194">
        <v>2013.0</v>
      </c>
      <c r="E5136" s="193"/>
      <c r="F5136" s="195" t="s">
        <v>23576</v>
      </c>
      <c r="G5136" s="200">
        <v>3.85727E8</v>
      </c>
      <c r="H5136" s="197">
        <v>9.98</v>
      </c>
      <c r="I5136" s="7" t="s">
        <v>16815</v>
      </c>
      <c r="J5136" s="7" t="s">
        <v>17233</v>
      </c>
      <c r="K5136" s="7" t="s">
        <v>175</v>
      </c>
      <c r="L5136" s="201" t="s">
        <v>16835</v>
      </c>
      <c r="M5136" s="194"/>
      <c r="N5136" s="194"/>
    </row>
    <row r="5137">
      <c r="A5137" s="193" t="s">
        <v>23577</v>
      </c>
      <c r="B5137" s="7" t="s">
        <v>16838</v>
      </c>
      <c r="C5137" s="7" t="s">
        <v>18679</v>
      </c>
      <c r="D5137" s="194">
        <v>2001.0</v>
      </c>
      <c r="E5137" s="193"/>
      <c r="F5137" s="195" t="s">
        <v>23578</v>
      </c>
      <c r="G5137" s="196">
        <v>3.84462833E8</v>
      </c>
      <c r="H5137" s="197">
        <v>9.96</v>
      </c>
      <c r="I5137" s="7" t="s">
        <v>16815</v>
      </c>
      <c r="J5137" s="7" t="s">
        <v>16838</v>
      </c>
      <c r="K5137" s="7" t="s">
        <v>18679</v>
      </c>
      <c r="L5137" s="198" t="s">
        <v>65</v>
      </c>
      <c r="M5137" s="194"/>
      <c r="N5137" s="194"/>
    </row>
    <row r="5138">
      <c r="A5138" s="193" t="s">
        <v>23579</v>
      </c>
      <c r="B5138" s="7" t="s">
        <v>175</v>
      </c>
      <c r="C5138" s="7" t="s">
        <v>16972</v>
      </c>
      <c r="D5138" s="199"/>
      <c r="E5138" s="193"/>
      <c r="F5138" s="195" t="s">
        <v>23580</v>
      </c>
      <c r="G5138" s="196">
        <v>3.83777101E8</v>
      </c>
      <c r="H5138" s="197">
        <v>5.7</v>
      </c>
      <c r="I5138" s="7" t="s">
        <v>16908</v>
      </c>
      <c r="J5138" s="7" t="s">
        <v>175</v>
      </c>
      <c r="K5138" s="7" t="s">
        <v>16972</v>
      </c>
      <c r="L5138" s="198" t="s">
        <v>65</v>
      </c>
      <c r="M5138" s="199"/>
      <c r="N5138" s="199"/>
    </row>
    <row r="5139">
      <c r="A5139" s="193" t="s">
        <v>23581</v>
      </c>
      <c r="B5139" s="7" t="s">
        <v>16838</v>
      </c>
      <c r="C5139" s="7" t="s">
        <v>17127</v>
      </c>
      <c r="D5139" s="194">
        <v>2007.0</v>
      </c>
      <c r="E5139" s="193"/>
      <c r="F5139" s="195" t="s">
        <v>23582</v>
      </c>
      <c r="G5139" s="196">
        <v>3.82704118E8</v>
      </c>
      <c r="H5139" s="197">
        <v>10.83</v>
      </c>
      <c r="I5139" s="7" t="s">
        <v>16815</v>
      </c>
      <c r="J5139" s="7" t="s">
        <v>16838</v>
      </c>
      <c r="K5139" s="7" t="s">
        <v>17127</v>
      </c>
      <c r="L5139" s="198" t="s">
        <v>65</v>
      </c>
      <c r="M5139" s="194"/>
      <c r="N5139" s="194"/>
    </row>
    <row r="5140">
      <c r="A5140" s="193" t="s">
        <v>23583</v>
      </c>
      <c r="B5140" s="7" t="s">
        <v>169</v>
      </c>
      <c r="C5140" s="7" t="s">
        <v>16899</v>
      </c>
      <c r="D5140" s="194">
        <v>1994.0</v>
      </c>
      <c r="E5140" s="193"/>
      <c r="F5140" s="195" t="s">
        <v>23584</v>
      </c>
      <c r="G5140" s="196">
        <v>3.82433594E8</v>
      </c>
      <c r="H5140" s="197">
        <v>9.36</v>
      </c>
      <c r="I5140" s="7" t="s">
        <v>16815</v>
      </c>
      <c r="J5140" s="7" t="s">
        <v>169</v>
      </c>
      <c r="K5140" s="7" t="s">
        <v>16899</v>
      </c>
      <c r="L5140" s="198" t="s">
        <v>65</v>
      </c>
      <c r="M5140" s="194"/>
      <c r="N5140" s="194"/>
    </row>
    <row r="5141">
      <c r="A5141" s="193" t="s">
        <v>23583</v>
      </c>
      <c r="B5141" s="7" t="s">
        <v>16899</v>
      </c>
      <c r="C5141" s="7" t="s">
        <v>169</v>
      </c>
      <c r="D5141" s="194">
        <v>1994.0</v>
      </c>
      <c r="E5141" s="193"/>
      <c r="F5141" s="195" t="s">
        <v>23584</v>
      </c>
      <c r="G5141" s="200">
        <v>3.82433594E8</v>
      </c>
      <c r="H5141" s="197">
        <v>9.36</v>
      </c>
      <c r="I5141" s="7" t="s">
        <v>16815</v>
      </c>
      <c r="J5141" s="7" t="s">
        <v>16899</v>
      </c>
      <c r="K5141" s="7" t="s">
        <v>169</v>
      </c>
      <c r="L5141" s="201" t="s">
        <v>16835</v>
      </c>
      <c r="M5141" s="194"/>
      <c r="N5141" s="194"/>
    </row>
    <row r="5142">
      <c r="A5142" s="193" t="s">
        <v>23585</v>
      </c>
      <c r="B5142" s="7" t="s">
        <v>187</v>
      </c>
      <c r="C5142" s="7" t="s">
        <v>17122</v>
      </c>
      <c r="D5142" s="194">
        <v>2021.0</v>
      </c>
      <c r="E5142" s="193"/>
      <c r="F5142" s="195" t="s">
        <v>23586</v>
      </c>
      <c r="G5142" s="196">
        <v>3.82192413E8</v>
      </c>
      <c r="H5142" s="197">
        <v>6.21</v>
      </c>
      <c r="I5142" s="7" t="s">
        <v>16815</v>
      </c>
      <c r="J5142" s="7" t="s">
        <v>187</v>
      </c>
      <c r="K5142" s="7" t="s">
        <v>17122</v>
      </c>
      <c r="L5142" s="198" t="s">
        <v>65</v>
      </c>
      <c r="M5142" s="194"/>
      <c r="N5142" s="194"/>
    </row>
    <row r="5143">
      <c r="A5143" s="193" t="s">
        <v>23587</v>
      </c>
      <c r="B5143" s="7" t="s">
        <v>175</v>
      </c>
      <c r="C5143" s="7" t="s">
        <v>23588</v>
      </c>
      <c r="D5143" s="194">
        <v>1970.0</v>
      </c>
      <c r="E5143" s="193"/>
      <c r="F5143" s="195" t="s">
        <v>23589</v>
      </c>
      <c r="G5143" s="196">
        <v>3.8202202E8</v>
      </c>
      <c r="H5143" s="197">
        <v>7.35</v>
      </c>
      <c r="I5143" s="7" t="s">
        <v>16844</v>
      </c>
      <c r="J5143" s="7" t="s">
        <v>175</v>
      </c>
      <c r="K5143" s="7" t="s">
        <v>23588</v>
      </c>
      <c r="L5143" s="198" t="s">
        <v>65</v>
      </c>
      <c r="M5143" s="194"/>
      <c r="N5143" s="194"/>
    </row>
    <row r="5144">
      <c r="A5144" s="193" t="s">
        <v>23587</v>
      </c>
      <c r="B5144" s="7" t="s">
        <v>23588</v>
      </c>
      <c r="C5144" s="7" t="s">
        <v>175</v>
      </c>
      <c r="D5144" s="194">
        <v>1970.0</v>
      </c>
      <c r="E5144" s="193"/>
      <c r="F5144" s="195" t="s">
        <v>23589</v>
      </c>
      <c r="G5144" s="200">
        <v>3.8202202E8</v>
      </c>
      <c r="H5144" s="197">
        <v>7.35</v>
      </c>
      <c r="I5144" s="7" t="s">
        <v>16815</v>
      </c>
      <c r="J5144" s="7" t="s">
        <v>23588</v>
      </c>
      <c r="K5144" s="7" t="s">
        <v>175</v>
      </c>
      <c r="L5144" s="201" t="s">
        <v>16835</v>
      </c>
      <c r="M5144" s="194"/>
      <c r="N5144" s="194"/>
    </row>
    <row r="5145">
      <c r="A5145" s="193" t="s">
        <v>23590</v>
      </c>
      <c r="B5145" s="7" t="s">
        <v>16838</v>
      </c>
      <c r="C5145" s="7" t="s">
        <v>17002</v>
      </c>
      <c r="D5145" s="194">
        <v>2017.0</v>
      </c>
      <c r="E5145" s="193"/>
      <c r="F5145" s="195" t="s">
        <v>23591</v>
      </c>
      <c r="G5145" s="196">
        <v>3.81991915E8</v>
      </c>
      <c r="H5145" s="197">
        <v>46.57</v>
      </c>
      <c r="I5145" s="7" t="s">
        <v>16815</v>
      </c>
      <c r="J5145" s="7" t="s">
        <v>16838</v>
      </c>
      <c r="K5145" s="7" t="s">
        <v>17002</v>
      </c>
      <c r="L5145" s="198" t="s">
        <v>65</v>
      </c>
      <c r="M5145" s="194"/>
      <c r="N5145" s="194"/>
    </row>
    <row r="5146">
      <c r="A5146" s="193" t="s">
        <v>23592</v>
      </c>
      <c r="B5146" s="7" t="s">
        <v>187</v>
      </c>
      <c r="C5146" s="7" t="s">
        <v>16846</v>
      </c>
      <c r="D5146" s="194">
        <v>2017.0</v>
      </c>
      <c r="E5146" s="193"/>
      <c r="F5146" s="195" t="s">
        <v>23593</v>
      </c>
      <c r="G5146" s="196">
        <v>3.80025045E8</v>
      </c>
      <c r="H5146" s="197">
        <v>14.3</v>
      </c>
      <c r="I5146" s="7" t="s">
        <v>16815</v>
      </c>
      <c r="J5146" s="7" t="s">
        <v>187</v>
      </c>
      <c r="K5146" s="7" t="s">
        <v>16846</v>
      </c>
      <c r="L5146" s="198" t="s">
        <v>65</v>
      </c>
      <c r="M5146" s="194"/>
      <c r="N5146" s="194"/>
    </row>
    <row r="5147">
      <c r="A5147" s="193" t="s">
        <v>23594</v>
      </c>
      <c r="B5147" s="7" t="s">
        <v>16838</v>
      </c>
      <c r="C5147" s="7" t="s">
        <v>17127</v>
      </c>
      <c r="D5147" s="199"/>
      <c r="E5147" s="193"/>
      <c r="F5147" s="195" t="s">
        <v>23595</v>
      </c>
      <c r="G5147" s="196">
        <v>3.79811192E8</v>
      </c>
      <c r="H5147" s="197">
        <v>23.68</v>
      </c>
      <c r="I5147" s="7" t="s">
        <v>16815</v>
      </c>
      <c r="J5147" s="7" t="s">
        <v>16838</v>
      </c>
      <c r="K5147" s="7" t="s">
        <v>17127</v>
      </c>
      <c r="L5147" s="198" t="s">
        <v>65</v>
      </c>
      <c r="M5147" s="199"/>
      <c r="N5147" s="199"/>
    </row>
    <row r="5148">
      <c r="A5148" s="193" t="s">
        <v>23596</v>
      </c>
      <c r="B5148" s="7" t="s">
        <v>16582</v>
      </c>
      <c r="C5148" s="7" t="s">
        <v>16930</v>
      </c>
      <c r="D5148" s="199"/>
      <c r="E5148" s="193"/>
      <c r="F5148" s="195" t="s">
        <v>23597</v>
      </c>
      <c r="G5148" s="196">
        <v>3.79727439E8</v>
      </c>
      <c r="H5148" s="197">
        <v>9.52</v>
      </c>
      <c r="I5148" s="7" t="s">
        <v>16815</v>
      </c>
      <c r="J5148" s="7" t="s">
        <v>16582</v>
      </c>
      <c r="K5148" s="7" t="s">
        <v>16930</v>
      </c>
      <c r="L5148" s="198" t="s">
        <v>65</v>
      </c>
      <c r="M5148" s="199"/>
      <c r="N5148" s="199"/>
    </row>
    <row r="5149">
      <c r="A5149" s="193" t="s">
        <v>23598</v>
      </c>
      <c r="B5149" s="7" t="s">
        <v>16582</v>
      </c>
      <c r="C5149" s="7" t="s">
        <v>17339</v>
      </c>
      <c r="D5149" s="199"/>
      <c r="E5149" s="193"/>
      <c r="F5149" s="195" t="s">
        <v>23599</v>
      </c>
      <c r="G5149" s="196">
        <v>3.79470451E8</v>
      </c>
      <c r="H5149" s="197">
        <v>28.04</v>
      </c>
      <c r="I5149" s="7" t="s">
        <v>16815</v>
      </c>
      <c r="J5149" s="7" t="s">
        <v>16582</v>
      </c>
      <c r="K5149" s="7" t="s">
        <v>17339</v>
      </c>
      <c r="L5149" s="198" t="s">
        <v>65</v>
      </c>
      <c r="M5149" s="199"/>
      <c r="N5149" s="199"/>
    </row>
    <row r="5150">
      <c r="A5150" s="193" t="s">
        <v>23598</v>
      </c>
      <c r="B5150" s="7" t="s">
        <v>17339</v>
      </c>
      <c r="C5150" s="7" t="s">
        <v>16582</v>
      </c>
      <c r="D5150" s="199"/>
      <c r="E5150" s="193"/>
      <c r="F5150" s="195" t="s">
        <v>23599</v>
      </c>
      <c r="G5150" s="200">
        <v>3.79470451E8</v>
      </c>
      <c r="H5150" s="197">
        <v>28.04</v>
      </c>
      <c r="I5150" s="7" t="s">
        <v>16815</v>
      </c>
      <c r="J5150" s="7" t="s">
        <v>17339</v>
      </c>
      <c r="K5150" s="7" t="s">
        <v>16582</v>
      </c>
      <c r="L5150" s="201" t="s">
        <v>16835</v>
      </c>
      <c r="M5150" s="199"/>
      <c r="N5150" s="199"/>
    </row>
    <row r="5151">
      <c r="A5151" s="193" t="s">
        <v>23600</v>
      </c>
      <c r="B5151" s="7" t="s">
        <v>16885</v>
      </c>
      <c r="C5151" s="7" t="s">
        <v>17726</v>
      </c>
      <c r="D5151" s="199"/>
      <c r="E5151" s="193"/>
      <c r="F5151" s="195" t="s">
        <v>23601</v>
      </c>
      <c r="G5151" s="196">
        <v>3.7880791E8</v>
      </c>
      <c r="H5151" s="197">
        <v>2.14</v>
      </c>
      <c r="I5151" s="7" t="s">
        <v>16826</v>
      </c>
      <c r="J5151" s="7" t="s">
        <v>16885</v>
      </c>
      <c r="K5151" s="7" t="s">
        <v>17726</v>
      </c>
      <c r="L5151" s="198" t="s">
        <v>65</v>
      </c>
      <c r="M5151" s="199"/>
      <c r="N5151" s="199"/>
    </row>
    <row r="5152">
      <c r="A5152" s="193" t="s">
        <v>23600</v>
      </c>
      <c r="B5152" s="202" t="s">
        <v>17726</v>
      </c>
      <c r="C5152" s="193" t="s">
        <v>16885</v>
      </c>
      <c r="D5152" s="206"/>
      <c r="E5152" s="193"/>
      <c r="F5152" s="203" t="s">
        <v>23601</v>
      </c>
      <c r="G5152" s="200">
        <v>3.7880791E8</v>
      </c>
      <c r="H5152" s="205">
        <v>25.55</v>
      </c>
      <c r="J5152" s="202" t="s">
        <v>17726</v>
      </c>
      <c r="K5152" s="193" t="s">
        <v>16885</v>
      </c>
      <c r="L5152" s="193" t="s">
        <v>17471</v>
      </c>
      <c r="M5152" s="206"/>
      <c r="N5152" s="206"/>
    </row>
    <row r="5153">
      <c r="A5153" s="193" t="s">
        <v>23602</v>
      </c>
      <c r="B5153" s="7" t="s">
        <v>187</v>
      </c>
      <c r="C5153" s="7" t="s">
        <v>16858</v>
      </c>
      <c r="D5153" s="194">
        <v>2019.0</v>
      </c>
      <c r="E5153" s="193"/>
      <c r="F5153" s="195" t="s">
        <v>23603</v>
      </c>
      <c r="G5153" s="196">
        <v>3.78613715E8</v>
      </c>
      <c r="H5153" s="197">
        <v>4.5</v>
      </c>
      <c r="I5153" s="7" t="s">
        <v>16815</v>
      </c>
      <c r="J5153" s="7" t="s">
        <v>187</v>
      </c>
      <c r="K5153" s="7" t="s">
        <v>16858</v>
      </c>
      <c r="L5153" s="198" t="s">
        <v>65</v>
      </c>
      <c r="M5153" s="194"/>
      <c r="N5153" s="194"/>
    </row>
    <row r="5154">
      <c r="A5154" s="193" t="s">
        <v>23604</v>
      </c>
      <c r="B5154" s="7" t="s">
        <v>175</v>
      </c>
      <c r="C5154" s="7" t="s">
        <v>17286</v>
      </c>
      <c r="D5154" s="194">
        <v>2020.0</v>
      </c>
      <c r="E5154" s="193"/>
      <c r="F5154" s="195" t="s">
        <v>23605</v>
      </c>
      <c r="G5154" s="196">
        <v>3.78416859E8</v>
      </c>
      <c r="H5154" s="197">
        <v>23.97</v>
      </c>
      <c r="I5154" s="7" t="s">
        <v>168</v>
      </c>
      <c r="J5154" s="7" t="s">
        <v>175</v>
      </c>
      <c r="K5154" s="7" t="s">
        <v>17286</v>
      </c>
      <c r="L5154" s="198" t="s">
        <v>65</v>
      </c>
      <c r="M5154" s="194"/>
      <c r="N5154" s="194"/>
    </row>
    <row r="5155">
      <c r="A5155" s="193" t="s">
        <v>23606</v>
      </c>
      <c r="B5155" s="7" t="s">
        <v>16867</v>
      </c>
      <c r="C5155" s="7" t="s">
        <v>16838</v>
      </c>
      <c r="D5155" s="194">
        <v>2017.0</v>
      </c>
      <c r="E5155" s="193"/>
      <c r="F5155" s="195" t="s">
        <v>23607</v>
      </c>
      <c r="G5155" s="200">
        <v>3.78345332E8</v>
      </c>
      <c r="H5155" s="197">
        <v>34.2</v>
      </c>
      <c r="I5155" s="7" t="s">
        <v>16815</v>
      </c>
      <c r="J5155" s="7" t="s">
        <v>16867</v>
      </c>
      <c r="K5155" s="7" t="s">
        <v>16838</v>
      </c>
      <c r="L5155" s="201" t="s">
        <v>16835</v>
      </c>
      <c r="M5155" s="194"/>
      <c r="N5155" s="194"/>
    </row>
    <row r="5156">
      <c r="A5156" s="193" t="s">
        <v>23606</v>
      </c>
      <c r="B5156" s="7" t="s">
        <v>16838</v>
      </c>
      <c r="C5156" s="7" t="s">
        <v>16867</v>
      </c>
      <c r="D5156" s="194">
        <v>2017.0</v>
      </c>
      <c r="E5156" s="193"/>
      <c r="F5156" s="195" t="s">
        <v>23607</v>
      </c>
      <c r="G5156" s="196">
        <v>3.78345332E8</v>
      </c>
      <c r="H5156" s="197">
        <v>34.2</v>
      </c>
      <c r="I5156" s="7" t="s">
        <v>16815</v>
      </c>
      <c r="J5156" s="7" t="s">
        <v>16838</v>
      </c>
      <c r="K5156" s="7" t="s">
        <v>16867</v>
      </c>
      <c r="L5156" s="198" t="s">
        <v>65</v>
      </c>
      <c r="M5156" s="194"/>
      <c r="N5156" s="194"/>
    </row>
    <row r="5157">
      <c r="A5157" s="193" t="s">
        <v>23608</v>
      </c>
      <c r="B5157" s="7" t="s">
        <v>16838</v>
      </c>
      <c r="C5157" s="7" t="s">
        <v>17104</v>
      </c>
      <c r="D5157" s="194">
        <v>2007.0</v>
      </c>
      <c r="E5157" s="193"/>
      <c r="F5157" s="195" t="s">
        <v>23609</v>
      </c>
      <c r="G5157" s="196">
        <v>3.78176974E8</v>
      </c>
      <c r="H5157" s="197">
        <v>7.05</v>
      </c>
      <c r="I5157" s="7" t="s">
        <v>16815</v>
      </c>
      <c r="J5157" s="7" t="s">
        <v>16838</v>
      </c>
      <c r="K5157" s="7" t="s">
        <v>17104</v>
      </c>
      <c r="L5157" s="198" t="s">
        <v>65</v>
      </c>
      <c r="M5157" s="194"/>
      <c r="N5157" s="194"/>
    </row>
    <row r="5158">
      <c r="A5158" s="193" t="s">
        <v>23610</v>
      </c>
      <c r="B5158" s="7" t="s">
        <v>169</v>
      </c>
      <c r="C5158" s="7" t="s">
        <v>17043</v>
      </c>
      <c r="D5158" s="194">
        <v>2023.0</v>
      </c>
      <c r="E5158" s="193"/>
      <c r="F5158" s="195" t="s">
        <v>23611</v>
      </c>
      <c r="G5158" s="196">
        <v>3.776464E8</v>
      </c>
      <c r="H5158" s="197">
        <v>9.32</v>
      </c>
      <c r="I5158" s="7" t="s">
        <v>16815</v>
      </c>
      <c r="J5158" s="7" t="s">
        <v>169</v>
      </c>
      <c r="K5158" s="7" t="s">
        <v>17043</v>
      </c>
      <c r="L5158" s="198" t="s">
        <v>65</v>
      </c>
      <c r="M5158" s="194"/>
      <c r="N5158" s="194"/>
    </row>
    <row r="5159">
      <c r="A5159" s="193" t="s">
        <v>23612</v>
      </c>
      <c r="B5159" s="7" t="s">
        <v>175</v>
      </c>
      <c r="C5159" s="7" t="s">
        <v>23613</v>
      </c>
      <c r="D5159" s="194">
        <v>2016.0</v>
      </c>
      <c r="E5159" s="193"/>
      <c r="F5159" s="195" t="s">
        <v>23614</v>
      </c>
      <c r="G5159" s="196">
        <v>3.76560833E8</v>
      </c>
      <c r="H5159" s="197">
        <v>21.39</v>
      </c>
      <c r="I5159" s="7" t="s">
        <v>16844</v>
      </c>
      <c r="J5159" s="7" t="s">
        <v>175</v>
      </c>
      <c r="K5159" s="7" t="s">
        <v>23613</v>
      </c>
      <c r="L5159" s="198" t="s">
        <v>65</v>
      </c>
      <c r="M5159" s="194"/>
      <c r="N5159" s="194"/>
    </row>
    <row r="5160">
      <c r="A5160" s="193" t="s">
        <v>23612</v>
      </c>
      <c r="B5160" s="7" t="s">
        <v>23613</v>
      </c>
      <c r="C5160" s="7" t="s">
        <v>175</v>
      </c>
      <c r="D5160" s="194">
        <v>2016.0</v>
      </c>
      <c r="E5160" s="193"/>
      <c r="F5160" s="195" t="s">
        <v>23614</v>
      </c>
      <c r="G5160" s="200">
        <v>3.76560833E8</v>
      </c>
      <c r="H5160" s="197">
        <v>21.39</v>
      </c>
      <c r="I5160" s="7" t="s">
        <v>16815</v>
      </c>
      <c r="J5160" s="7" t="s">
        <v>23613</v>
      </c>
      <c r="K5160" s="7" t="s">
        <v>175</v>
      </c>
      <c r="L5160" s="201" t="s">
        <v>16835</v>
      </c>
      <c r="M5160" s="194"/>
      <c r="N5160" s="194"/>
    </row>
    <row r="5161">
      <c r="A5161" s="193" t="s">
        <v>23615</v>
      </c>
      <c r="B5161" s="7" t="s">
        <v>187</v>
      </c>
      <c r="C5161" s="7" t="s">
        <v>16858</v>
      </c>
      <c r="D5161" s="194">
        <v>2021.0</v>
      </c>
      <c r="E5161" s="193"/>
      <c r="F5161" s="195" t="s">
        <v>23616</v>
      </c>
      <c r="G5161" s="196">
        <v>3.76405853E8</v>
      </c>
      <c r="H5161" s="197">
        <v>1.6</v>
      </c>
      <c r="I5161" s="7" t="s">
        <v>16815</v>
      </c>
      <c r="J5161" s="7" t="s">
        <v>187</v>
      </c>
      <c r="K5161" s="7" t="s">
        <v>16858</v>
      </c>
      <c r="L5161" s="198" t="s">
        <v>65</v>
      </c>
      <c r="M5161" s="194"/>
      <c r="N5161" s="194"/>
    </row>
    <row r="5162">
      <c r="A5162" s="193" t="s">
        <v>23617</v>
      </c>
      <c r="B5162" s="7" t="s">
        <v>16582</v>
      </c>
      <c r="C5162" s="7" t="s">
        <v>16828</v>
      </c>
      <c r="D5162" s="194">
        <v>2022.0</v>
      </c>
      <c r="E5162" s="193"/>
      <c r="F5162" s="195" t="s">
        <v>23618</v>
      </c>
      <c r="G5162" s="196">
        <v>3.76251582E8</v>
      </c>
      <c r="H5162" s="197">
        <v>8.69</v>
      </c>
      <c r="I5162" s="7" t="s">
        <v>16815</v>
      </c>
      <c r="J5162" s="7" t="s">
        <v>16582</v>
      </c>
      <c r="K5162" s="7" t="s">
        <v>16828</v>
      </c>
      <c r="L5162" s="198" t="s">
        <v>65</v>
      </c>
      <c r="M5162" s="194"/>
      <c r="N5162" s="194"/>
    </row>
    <row r="5163">
      <c r="A5163" s="193" t="s">
        <v>23617</v>
      </c>
      <c r="B5163" s="7" t="s">
        <v>16828</v>
      </c>
      <c r="C5163" s="7" t="s">
        <v>16582</v>
      </c>
      <c r="D5163" s="194">
        <v>2022.0</v>
      </c>
      <c r="E5163" s="193"/>
      <c r="F5163" s="195" t="s">
        <v>23618</v>
      </c>
      <c r="G5163" s="200">
        <v>3.76251582E8</v>
      </c>
      <c r="H5163" s="197">
        <v>8.69</v>
      </c>
      <c r="I5163" s="7" t="s">
        <v>16815</v>
      </c>
      <c r="J5163" s="7" t="s">
        <v>16828</v>
      </c>
      <c r="K5163" s="7" t="s">
        <v>16582</v>
      </c>
      <c r="L5163" s="201" t="s">
        <v>16835</v>
      </c>
      <c r="M5163" s="194"/>
      <c r="N5163" s="194"/>
    </row>
    <row r="5164">
      <c r="A5164" s="193" t="s">
        <v>23619</v>
      </c>
      <c r="B5164" s="7" t="s">
        <v>16838</v>
      </c>
      <c r="C5164" s="7" t="s">
        <v>16837</v>
      </c>
      <c r="D5164" s="194">
        <v>2012.0</v>
      </c>
      <c r="E5164" s="193"/>
      <c r="F5164" s="195" t="s">
        <v>23620</v>
      </c>
      <c r="G5164" s="196">
        <v>3.7600093E8</v>
      </c>
      <c r="H5164" s="197">
        <v>21.63</v>
      </c>
      <c r="I5164" s="7" t="s">
        <v>16815</v>
      </c>
      <c r="J5164" s="7" t="s">
        <v>16838</v>
      </c>
      <c r="K5164" s="7" t="s">
        <v>16837</v>
      </c>
      <c r="L5164" s="198" t="s">
        <v>65</v>
      </c>
      <c r="M5164" s="194"/>
      <c r="N5164" s="194"/>
    </row>
    <row r="5165">
      <c r="A5165" s="193" t="s">
        <v>23621</v>
      </c>
      <c r="B5165" s="7" t="s">
        <v>169</v>
      </c>
      <c r="C5165" s="7" t="s">
        <v>16899</v>
      </c>
      <c r="D5165" s="194">
        <v>2019.0</v>
      </c>
      <c r="E5165" s="193"/>
      <c r="F5165" s="195" t="s">
        <v>23622</v>
      </c>
      <c r="G5165" s="196">
        <v>3.7579378E8</v>
      </c>
      <c r="H5165" s="197">
        <v>11.61</v>
      </c>
      <c r="I5165" s="7" t="s">
        <v>16815</v>
      </c>
      <c r="J5165" s="7" t="s">
        <v>169</v>
      </c>
      <c r="K5165" s="7" t="s">
        <v>16899</v>
      </c>
      <c r="L5165" s="198" t="s">
        <v>65</v>
      </c>
      <c r="M5165" s="194"/>
      <c r="N5165" s="194"/>
    </row>
    <row r="5166">
      <c r="A5166" s="193" t="s">
        <v>23621</v>
      </c>
      <c r="B5166" s="7" t="s">
        <v>16899</v>
      </c>
      <c r="C5166" s="7" t="s">
        <v>169</v>
      </c>
      <c r="D5166" s="194">
        <v>2019.0</v>
      </c>
      <c r="E5166" s="193"/>
      <c r="F5166" s="195" t="s">
        <v>23622</v>
      </c>
      <c r="G5166" s="200">
        <v>3.7579378E8</v>
      </c>
      <c r="H5166" s="197">
        <v>11.61</v>
      </c>
      <c r="I5166" s="7" t="s">
        <v>16815</v>
      </c>
      <c r="J5166" s="7" t="s">
        <v>16899</v>
      </c>
      <c r="K5166" s="7" t="s">
        <v>169</v>
      </c>
      <c r="L5166" s="201" t="s">
        <v>16835</v>
      </c>
      <c r="M5166" s="194"/>
      <c r="N5166" s="194"/>
    </row>
    <row r="5167">
      <c r="A5167" s="193" t="s">
        <v>23623</v>
      </c>
      <c r="B5167" s="7" t="s">
        <v>16582</v>
      </c>
      <c r="C5167" s="7" t="s">
        <v>16817</v>
      </c>
      <c r="D5167" s="199"/>
      <c r="E5167" s="193"/>
      <c r="F5167" s="195" t="s">
        <v>23624</v>
      </c>
      <c r="G5167" s="196">
        <v>3.75147621E8</v>
      </c>
      <c r="H5167" s="197">
        <v>10.98</v>
      </c>
      <c r="I5167" s="7" t="s">
        <v>16815</v>
      </c>
      <c r="J5167" s="7" t="s">
        <v>16582</v>
      </c>
      <c r="K5167" s="7" t="s">
        <v>16817</v>
      </c>
      <c r="L5167" s="198" t="s">
        <v>65</v>
      </c>
      <c r="M5167" s="199"/>
      <c r="N5167" s="199"/>
    </row>
    <row r="5168">
      <c r="A5168" s="193" t="s">
        <v>23625</v>
      </c>
      <c r="B5168" s="7" t="s">
        <v>169</v>
      </c>
      <c r="C5168" s="7" t="s">
        <v>18732</v>
      </c>
      <c r="D5168" s="194">
        <v>2021.0</v>
      </c>
      <c r="E5168" s="193"/>
      <c r="F5168" s="195" t="s">
        <v>23626</v>
      </c>
      <c r="G5168" s="196">
        <v>3.74491774E8</v>
      </c>
      <c r="H5168" s="197">
        <v>18.83</v>
      </c>
      <c r="I5168" s="7" t="s">
        <v>16815</v>
      </c>
      <c r="J5168" s="7" t="s">
        <v>169</v>
      </c>
      <c r="K5168" s="7" t="s">
        <v>18732</v>
      </c>
      <c r="L5168" s="198" t="s">
        <v>65</v>
      </c>
      <c r="M5168" s="194"/>
      <c r="N5168" s="194"/>
    </row>
    <row r="5169">
      <c r="A5169" s="193" t="s">
        <v>23627</v>
      </c>
      <c r="B5169" s="7" t="s">
        <v>158</v>
      </c>
      <c r="C5169" s="7" t="s">
        <v>16870</v>
      </c>
      <c r="D5169" s="199"/>
      <c r="E5169" s="193"/>
      <c r="F5169" s="195" t="s">
        <v>23628</v>
      </c>
      <c r="G5169" s="196">
        <v>3.74057384E8</v>
      </c>
      <c r="H5169" s="197">
        <v>4.0</v>
      </c>
      <c r="I5169" s="7" t="s">
        <v>17450</v>
      </c>
      <c r="J5169" s="7" t="s">
        <v>158</v>
      </c>
      <c r="K5169" s="7" t="s">
        <v>16870</v>
      </c>
      <c r="L5169" s="198" t="s">
        <v>65</v>
      </c>
      <c r="M5169" s="199"/>
      <c r="N5169" s="199"/>
    </row>
    <row r="5170">
      <c r="A5170" s="193" t="s">
        <v>23629</v>
      </c>
      <c r="B5170" s="7" t="s">
        <v>16919</v>
      </c>
      <c r="C5170" s="7" t="s">
        <v>16957</v>
      </c>
      <c r="D5170" s="199"/>
      <c r="E5170" s="193"/>
      <c r="F5170" s="195" t="s">
        <v>23630</v>
      </c>
      <c r="G5170" s="196">
        <v>3.73914321E8</v>
      </c>
      <c r="H5170" s="197">
        <v>24.5</v>
      </c>
      <c r="I5170" s="7" t="s">
        <v>16815</v>
      </c>
      <c r="J5170" s="7" t="s">
        <v>16919</v>
      </c>
      <c r="K5170" s="7" t="s">
        <v>16957</v>
      </c>
      <c r="L5170" s="198" t="s">
        <v>65</v>
      </c>
      <c r="M5170" s="199"/>
      <c r="N5170" s="199"/>
    </row>
    <row r="5171">
      <c r="A5171" s="193" t="s">
        <v>23631</v>
      </c>
      <c r="B5171" s="7" t="s">
        <v>16582</v>
      </c>
      <c r="C5171" s="7" t="s">
        <v>16899</v>
      </c>
      <c r="D5171" s="194">
        <v>1996.0</v>
      </c>
      <c r="E5171" s="193"/>
      <c r="F5171" s="195" t="s">
        <v>23632</v>
      </c>
      <c r="G5171" s="196">
        <v>3.73688715E8</v>
      </c>
      <c r="H5171" s="197">
        <v>1.99</v>
      </c>
      <c r="I5171" s="7" t="s">
        <v>16815</v>
      </c>
      <c r="J5171" s="7" t="s">
        <v>16582</v>
      </c>
      <c r="K5171" s="7" t="s">
        <v>16899</v>
      </c>
      <c r="L5171" s="198" t="s">
        <v>65</v>
      </c>
      <c r="M5171" s="194"/>
      <c r="N5171" s="194"/>
    </row>
    <row r="5172">
      <c r="A5172" s="193" t="s">
        <v>23633</v>
      </c>
      <c r="B5172" s="7" t="s">
        <v>187</v>
      </c>
      <c r="C5172" s="7" t="s">
        <v>23634</v>
      </c>
      <c r="D5172" s="199"/>
      <c r="E5172" s="193"/>
      <c r="F5172" s="195" t="s">
        <v>23635</v>
      </c>
      <c r="G5172" s="196">
        <v>3.73639562E8</v>
      </c>
      <c r="H5172" s="197">
        <v>0.521</v>
      </c>
      <c r="I5172" s="7" t="s">
        <v>16815</v>
      </c>
      <c r="J5172" s="7" t="s">
        <v>187</v>
      </c>
      <c r="K5172" s="7" t="s">
        <v>23634</v>
      </c>
      <c r="L5172" s="198" t="s">
        <v>65</v>
      </c>
      <c r="M5172" s="199"/>
      <c r="N5172" s="199"/>
    </row>
    <row r="5173">
      <c r="A5173" s="193" t="s">
        <v>23636</v>
      </c>
      <c r="D5173" s="194">
        <v>2021.0</v>
      </c>
      <c r="E5173" s="193"/>
      <c r="F5173" s="195" t="s">
        <v>23637</v>
      </c>
      <c r="G5173" s="196">
        <v>3.72780863E8</v>
      </c>
      <c r="H5173" s="197">
        <v>10.7</v>
      </c>
      <c r="I5173" s="7" t="s">
        <v>16815</v>
      </c>
      <c r="L5173" s="198" t="s">
        <v>65</v>
      </c>
      <c r="M5173" s="194"/>
      <c r="N5173" s="194"/>
    </row>
    <row r="5174">
      <c r="A5174" s="193" t="s">
        <v>23638</v>
      </c>
      <c r="B5174" s="7" t="s">
        <v>16838</v>
      </c>
      <c r="C5174" s="7" t="s">
        <v>16867</v>
      </c>
      <c r="D5174" s="199"/>
      <c r="E5174" s="193"/>
      <c r="F5174" s="195" t="s">
        <v>23639</v>
      </c>
      <c r="G5174" s="196">
        <v>3.72580616E8</v>
      </c>
      <c r="H5174" s="197">
        <v>12.89</v>
      </c>
      <c r="I5174" s="7" t="s">
        <v>16815</v>
      </c>
      <c r="J5174" s="7" t="s">
        <v>16838</v>
      </c>
      <c r="K5174" s="7" t="s">
        <v>16867</v>
      </c>
      <c r="L5174" s="198" t="s">
        <v>65</v>
      </c>
      <c r="M5174" s="199"/>
      <c r="N5174" s="199"/>
    </row>
    <row r="5175">
      <c r="A5175" s="193" t="s">
        <v>23640</v>
      </c>
      <c r="B5175" s="7" t="s">
        <v>187</v>
      </c>
      <c r="C5175" s="7" t="s">
        <v>23634</v>
      </c>
      <c r="D5175" s="194">
        <v>2019.0</v>
      </c>
      <c r="E5175" s="193"/>
      <c r="F5175" s="195" t="s">
        <v>23641</v>
      </c>
      <c r="G5175" s="196">
        <v>3.72172055E8</v>
      </c>
      <c r="H5175" s="197">
        <v>1.43</v>
      </c>
      <c r="I5175" s="7" t="s">
        <v>16815</v>
      </c>
      <c r="J5175" s="7" t="s">
        <v>187</v>
      </c>
      <c r="K5175" s="7" t="s">
        <v>23634</v>
      </c>
      <c r="L5175" s="198" t="s">
        <v>65</v>
      </c>
      <c r="M5175" s="194"/>
      <c r="N5175" s="194"/>
    </row>
    <row r="5176">
      <c r="A5176" s="193" t="s">
        <v>23642</v>
      </c>
      <c r="B5176" s="7" t="s">
        <v>17019</v>
      </c>
      <c r="C5176" s="7" t="s">
        <v>16838</v>
      </c>
      <c r="D5176" s="194">
        <v>1999.0</v>
      </c>
      <c r="E5176" s="193"/>
      <c r="F5176" s="195" t="s">
        <v>23643</v>
      </c>
      <c r="G5176" s="200">
        <v>3.71681317E8</v>
      </c>
      <c r="H5176" s="197">
        <v>9.37</v>
      </c>
      <c r="I5176" s="7" t="s">
        <v>16815</v>
      </c>
      <c r="J5176" s="7" t="s">
        <v>17019</v>
      </c>
      <c r="K5176" s="7" t="s">
        <v>16838</v>
      </c>
      <c r="L5176" s="201" t="s">
        <v>16835</v>
      </c>
      <c r="M5176" s="194"/>
      <c r="N5176" s="194"/>
    </row>
    <row r="5177">
      <c r="A5177" s="193" t="s">
        <v>23642</v>
      </c>
      <c r="B5177" s="7" t="s">
        <v>16838</v>
      </c>
      <c r="C5177" s="7" t="s">
        <v>17019</v>
      </c>
      <c r="D5177" s="194">
        <v>1999.0</v>
      </c>
      <c r="E5177" s="193"/>
      <c r="F5177" s="195" t="s">
        <v>23643</v>
      </c>
      <c r="G5177" s="196">
        <v>3.71681317E8</v>
      </c>
      <c r="H5177" s="197">
        <v>9.37</v>
      </c>
      <c r="I5177" s="7" t="s">
        <v>16815</v>
      </c>
      <c r="J5177" s="7" t="s">
        <v>16838</v>
      </c>
      <c r="K5177" s="7" t="s">
        <v>17019</v>
      </c>
      <c r="L5177" s="198" t="s">
        <v>65</v>
      </c>
      <c r="M5177" s="194"/>
      <c r="N5177" s="194"/>
    </row>
    <row r="5178">
      <c r="A5178" s="193" t="s">
        <v>23644</v>
      </c>
      <c r="B5178" s="7" t="s">
        <v>17111</v>
      </c>
      <c r="C5178" s="7" t="s">
        <v>17112</v>
      </c>
      <c r="D5178" s="194">
        <v>1992.0</v>
      </c>
      <c r="E5178" s="193"/>
      <c r="F5178" s="195" t="s">
        <v>23645</v>
      </c>
      <c r="G5178" s="200">
        <v>3.71603953E8</v>
      </c>
      <c r="H5178" s="197">
        <v>16.38</v>
      </c>
      <c r="I5178" s="7" t="s">
        <v>16815</v>
      </c>
      <c r="J5178" s="7" t="s">
        <v>17111</v>
      </c>
      <c r="K5178" s="7" t="s">
        <v>17112</v>
      </c>
      <c r="L5178" s="201" t="s">
        <v>16835</v>
      </c>
      <c r="M5178" s="194"/>
      <c r="N5178" s="194"/>
    </row>
    <row r="5179">
      <c r="A5179" s="193" t="s">
        <v>23644</v>
      </c>
      <c r="B5179" s="7" t="s">
        <v>17112</v>
      </c>
      <c r="C5179" s="7" t="s">
        <v>17111</v>
      </c>
      <c r="D5179" s="194">
        <v>1992.0</v>
      </c>
      <c r="E5179" s="193"/>
      <c r="F5179" s="195" t="s">
        <v>23645</v>
      </c>
      <c r="G5179" s="196">
        <v>3.71603953E8</v>
      </c>
      <c r="H5179" s="197">
        <v>16.38</v>
      </c>
      <c r="I5179" s="7" t="s">
        <v>16815</v>
      </c>
      <c r="J5179" s="7" t="s">
        <v>17112</v>
      </c>
      <c r="K5179" s="7" t="s">
        <v>17111</v>
      </c>
      <c r="L5179" s="198" t="s">
        <v>65</v>
      </c>
      <c r="M5179" s="194"/>
      <c r="N5179" s="194"/>
    </row>
    <row r="5180">
      <c r="A5180" s="193" t="s">
        <v>23646</v>
      </c>
      <c r="B5180" s="7" t="s">
        <v>187</v>
      </c>
      <c r="C5180" s="7" t="s">
        <v>18633</v>
      </c>
      <c r="D5180" s="199"/>
      <c r="E5180" s="193"/>
      <c r="F5180" s="195" t="s">
        <v>23647</v>
      </c>
      <c r="G5180" s="196">
        <v>3.70789347E8</v>
      </c>
      <c r="H5180" s="197">
        <v>12.39</v>
      </c>
      <c r="I5180" s="7" t="s">
        <v>16815</v>
      </c>
      <c r="J5180" s="7" t="s">
        <v>187</v>
      </c>
      <c r="K5180" s="7" t="s">
        <v>18633</v>
      </c>
      <c r="L5180" s="198" t="s">
        <v>65</v>
      </c>
      <c r="M5180" s="199"/>
      <c r="N5180" s="199"/>
    </row>
    <row r="5181">
      <c r="A5181" s="193" t="s">
        <v>23648</v>
      </c>
      <c r="B5181" s="7" t="s">
        <v>16838</v>
      </c>
      <c r="C5181" s="7" t="s">
        <v>16867</v>
      </c>
      <c r="D5181" s="199"/>
      <c r="E5181" s="193"/>
      <c r="F5181" s="195" t="s">
        <v>23649</v>
      </c>
      <c r="G5181" s="196">
        <v>3.69984133E8</v>
      </c>
      <c r="H5181" s="197">
        <v>11.17</v>
      </c>
      <c r="I5181" s="7" t="s">
        <v>16815</v>
      </c>
      <c r="J5181" s="7" t="s">
        <v>16838</v>
      </c>
      <c r="K5181" s="7" t="s">
        <v>16867</v>
      </c>
      <c r="L5181" s="198" t="s">
        <v>65</v>
      </c>
      <c r="M5181" s="199"/>
      <c r="N5181" s="199"/>
    </row>
    <row r="5182">
      <c r="A5182" s="193" t="s">
        <v>23650</v>
      </c>
      <c r="B5182" s="7" t="s">
        <v>175</v>
      </c>
      <c r="C5182" s="7" t="s">
        <v>17757</v>
      </c>
      <c r="D5182" s="194">
        <v>2017.0</v>
      </c>
      <c r="E5182" s="193"/>
      <c r="F5182" s="195" t="s">
        <v>23651</v>
      </c>
      <c r="G5182" s="196">
        <v>3.69837856E8</v>
      </c>
      <c r="H5182" s="197">
        <v>6.76</v>
      </c>
      <c r="I5182" s="7" t="s">
        <v>174</v>
      </c>
      <c r="J5182" s="7" t="s">
        <v>175</v>
      </c>
      <c r="K5182" s="7" t="s">
        <v>17757</v>
      </c>
      <c r="L5182" s="198" t="s">
        <v>65</v>
      </c>
      <c r="M5182" s="194"/>
      <c r="N5182" s="194"/>
    </row>
    <row r="5183">
      <c r="A5183" s="193" t="s">
        <v>23652</v>
      </c>
      <c r="B5183" s="7" t="s">
        <v>16919</v>
      </c>
      <c r="C5183" s="7" t="s">
        <v>16957</v>
      </c>
      <c r="D5183" s="194">
        <v>2003.0</v>
      </c>
      <c r="E5183" s="193"/>
      <c r="F5183" s="195" t="s">
        <v>23653</v>
      </c>
      <c r="G5183" s="196">
        <v>3.69809603E8</v>
      </c>
      <c r="H5183" s="197">
        <v>12.49</v>
      </c>
      <c r="I5183" s="7" t="s">
        <v>16815</v>
      </c>
      <c r="J5183" s="7" t="s">
        <v>16919</v>
      </c>
      <c r="K5183" s="7" t="s">
        <v>16957</v>
      </c>
      <c r="L5183" s="198" t="s">
        <v>65</v>
      </c>
      <c r="M5183" s="194"/>
      <c r="N5183" s="194"/>
    </row>
    <row r="5184">
      <c r="A5184" s="193" t="s">
        <v>23654</v>
      </c>
      <c r="B5184" s="7" t="s">
        <v>187</v>
      </c>
      <c r="C5184" s="7" t="s">
        <v>16846</v>
      </c>
      <c r="D5184" s="199"/>
      <c r="E5184" s="193"/>
      <c r="F5184" s="195" t="s">
        <v>23655</v>
      </c>
      <c r="G5184" s="196">
        <v>3.69787055E8</v>
      </c>
      <c r="H5184" s="197">
        <v>9.8</v>
      </c>
      <c r="I5184" s="7" t="s">
        <v>16815</v>
      </c>
      <c r="J5184" s="7" t="s">
        <v>187</v>
      </c>
      <c r="K5184" s="7" t="s">
        <v>16846</v>
      </c>
      <c r="L5184" s="198" t="s">
        <v>65</v>
      </c>
      <c r="M5184" s="199"/>
      <c r="N5184" s="199"/>
    </row>
    <row r="5185">
      <c r="A5185" s="193" t="s">
        <v>23656</v>
      </c>
      <c r="B5185" s="7" t="s">
        <v>16885</v>
      </c>
      <c r="C5185" s="7" t="s">
        <v>17726</v>
      </c>
      <c r="D5185" s="199"/>
      <c r="E5185" s="193"/>
      <c r="F5185" s="195" t="s">
        <v>23657</v>
      </c>
      <c r="G5185" s="196">
        <v>3.69605227E8</v>
      </c>
      <c r="H5185" s="197">
        <v>1.93</v>
      </c>
      <c r="I5185" s="7" t="s">
        <v>17372</v>
      </c>
      <c r="J5185" s="7" t="s">
        <v>16885</v>
      </c>
      <c r="K5185" s="7" t="s">
        <v>17726</v>
      </c>
      <c r="L5185" s="198" t="s">
        <v>65</v>
      </c>
      <c r="M5185" s="199"/>
      <c r="N5185" s="199"/>
    </row>
    <row r="5186">
      <c r="A5186" s="193" t="s">
        <v>23656</v>
      </c>
      <c r="B5186" s="7" t="s">
        <v>17726</v>
      </c>
      <c r="C5186" s="7" t="s">
        <v>16885</v>
      </c>
      <c r="D5186" s="199"/>
      <c r="E5186" s="193"/>
      <c r="F5186" s="195" t="s">
        <v>23657</v>
      </c>
      <c r="G5186" s="200">
        <v>3.69605227E8</v>
      </c>
      <c r="H5186" s="197">
        <v>1.93</v>
      </c>
      <c r="I5186" s="7" t="s">
        <v>16815</v>
      </c>
      <c r="J5186" s="7" t="s">
        <v>17726</v>
      </c>
      <c r="K5186" s="7" t="s">
        <v>16885</v>
      </c>
      <c r="L5186" s="201" t="s">
        <v>16835</v>
      </c>
      <c r="M5186" s="199"/>
      <c r="N5186" s="199"/>
    </row>
    <row r="5187">
      <c r="A5187" s="193" t="s">
        <v>23658</v>
      </c>
      <c r="B5187" s="7" t="s">
        <v>17112</v>
      </c>
      <c r="C5187" s="7" t="s">
        <v>16838</v>
      </c>
      <c r="D5187" s="194">
        <v>2017.0</v>
      </c>
      <c r="E5187" s="193"/>
      <c r="F5187" s="195" t="s">
        <v>23659</v>
      </c>
      <c r="G5187" s="200">
        <v>3.6959937E8</v>
      </c>
      <c r="H5187" s="197">
        <v>2.49</v>
      </c>
      <c r="I5187" s="7" t="s">
        <v>16815</v>
      </c>
      <c r="J5187" s="7" t="s">
        <v>17112</v>
      </c>
      <c r="K5187" s="7" t="s">
        <v>16838</v>
      </c>
      <c r="L5187" s="201" t="s">
        <v>16835</v>
      </c>
      <c r="M5187" s="194"/>
      <c r="N5187" s="194"/>
    </row>
    <row r="5188">
      <c r="A5188" s="193" t="s">
        <v>23658</v>
      </c>
      <c r="B5188" s="7" t="s">
        <v>16838</v>
      </c>
      <c r="C5188" s="7" t="s">
        <v>17112</v>
      </c>
      <c r="D5188" s="194">
        <v>2017.0</v>
      </c>
      <c r="E5188" s="193"/>
      <c r="F5188" s="195" t="s">
        <v>23659</v>
      </c>
      <c r="G5188" s="196">
        <v>3.6959937E8</v>
      </c>
      <c r="H5188" s="197">
        <v>2.49</v>
      </c>
      <c r="I5188" s="7" t="s">
        <v>16815</v>
      </c>
      <c r="J5188" s="7" t="s">
        <v>16838</v>
      </c>
      <c r="K5188" s="7" t="s">
        <v>17112</v>
      </c>
      <c r="L5188" s="198" t="s">
        <v>65</v>
      </c>
      <c r="M5188" s="194"/>
      <c r="N5188" s="194"/>
    </row>
    <row r="5189">
      <c r="A5189" s="193" t="s">
        <v>23660</v>
      </c>
      <c r="B5189" s="7" t="s">
        <v>175</v>
      </c>
      <c r="C5189" s="7" t="s">
        <v>17480</v>
      </c>
      <c r="D5189" s="194">
        <v>2021.0</v>
      </c>
      <c r="E5189" s="193"/>
      <c r="F5189" s="195" t="s">
        <v>23661</v>
      </c>
      <c r="G5189" s="196">
        <v>3.6930991E8</v>
      </c>
      <c r="H5189" s="197">
        <v>1.65</v>
      </c>
      <c r="I5189" s="7" t="s">
        <v>17222</v>
      </c>
      <c r="J5189" s="7" t="s">
        <v>175</v>
      </c>
      <c r="K5189" s="7" t="s">
        <v>17480</v>
      </c>
      <c r="L5189" s="198" t="s">
        <v>65</v>
      </c>
      <c r="M5189" s="194"/>
      <c r="N5189" s="194"/>
    </row>
    <row r="5190">
      <c r="A5190" s="193" t="s">
        <v>23660</v>
      </c>
      <c r="B5190" s="7" t="s">
        <v>17480</v>
      </c>
      <c r="C5190" s="7" t="s">
        <v>175</v>
      </c>
      <c r="D5190" s="194">
        <v>2021.0</v>
      </c>
      <c r="E5190" s="193"/>
      <c r="F5190" s="195" t="s">
        <v>23661</v>
      </c>
      <c r="G5190" s="200">
        <v>3.6930991E8</v>
      </c>
      <c r="H5190" s="197">
        <v>1.65</v>
      </c>
      <c r="I5190" s="7" t="s">
        <v>16815</v>
      </c>
      <c r="J5190" s="7" t="s">
        <v>17480</v>
      </c>
      <c r="K5190" s="7" t="s">
        <v>175</v>
      </c>
      <c r="L5190" s="201" t="s">
        <v>16835</v>
      </c>
      <c r="M5190" s="194"/>
      <c r="N5190" s="194"/>
    </row>
    <row r="5191">
      <c r="A5191" s="193" t="s">
        <v>23662</v>
      </c>
      <c r="B5191" s="7" t="s">
        <v>17019</v>
      </c>
      <c r="C5191" s="7" t="s">
        <v>16838</v>
      </c>
      <c r="D5191" s="194">
        <v>2005.0</v>
      </c>
      <c r="E5191" s="193"/>
      <c r="F5191" s="195" t="s">
        <v>23663</v>
      </c>
      <c r="G5191" s="200">
        <v>3.68904759E8</v>
      </c>
      <c r="H5191" s="197">
        <v>12.56</v>
      </c>
      <c r="I5191" s="7" t="s">
        <v>16815</v>
      </c>
      <c r="J5191" s="7" t="s">
        <v>17019</v>
      </c>
      <c r="K5191" s="7" t="s">
        <v>16838</v>
      </c>
      <c r="L5191" s="201" t="s">
        <v>16835</v>
      </c>
      <c r="M5191" s="194"/>
      <c r="N5191" s="194"/>
    </row>
    <row r="5192">
      <c r="A5192" s="193" t="s">
        <v>23662</v>
      </c>
      <c r="B5192" s="7" t="s">
        <v>16838</v>
      </c>
      <c r="C5192" s="7" t="s">
        <v>17019</v>
      </c>
      <c r="D5192" s="194">
        <v>2005.0</v>
      </c>
      <c r="E5192" s="193"/>
      <c r="F5192" s="195" t="s">
        <v>23663</v>
      </c>
      <c r="G5192" s="196">
        <v>3.68904759E8</v>
      </c>
      <c r="H5192" s="197">
        <v>12.56</v>
      </c>
      <c r="I5192" s="7" t="s">
        <v>16815</v>
      </c>
      <c r="J5192" s="7" t="s">
        <v>16838</v>
      </c>
      <c r="K5192" s="7" t="s">
        <v>17019</v>
      </c>
      <c r="L5192" s="198" t="s">
        <v>65</v>
      </c>
      <c r="M5192" s="194"/>
      <c r="N5192" s="194"/>
    </row>
    <row r="5193">
      <c r="A5193" s="193" t="s">
        <v>23664</v>
      </c>
      <c r="B5193" s="7" t="s">
        <v>175</v>
      </c>
      <c r="C5193" s="7" t="s">
        <v>18723</v>
      </c>
      <c r="D5193" s="194">
        <v>2021.0</v>
      </c>
      <c r="E5193" s="193"/>
      <c r="F5193" s="195" t="s">
        <v>23665</v>
      </c>
      <c r="G5193" s="196">
        <v>3.68773651E8</v>
      </c>
      <c r="H5193" s="197">
        <v>5.69</v>
      </c>
      <c r="I5193" s="7" t="s">
        <v>17033</v>
      </c>
      <c r="J5193" s="7" t="s">
        <v>175</v>
      </c>
      <c r="K5193" s="7" t="s">
        <v>18723</v>
      </c>
      <c r="L5193" s="198" t="s">
        <v>65</v>
      </c>
      <c r="M5193" s="194"/>
      <c r="N5193" s="194"/>
    </row>
    <row r="5194">
      <c r="A5194" s="193" t="s">
        <v>23666</v>
      </c>
      <c r="B5194" s="7" t="s">
        <v>187</v>
      </c>
      <c r="C5194" s="7" t="s">
        <v>16846</v>
      </c>
      <c r="D5194" s="194">
        <v>2023.0</v>
      </c>
      <c r="E5194" s="193"/>
      <c r="F5194" s="195" t="s">
        <v>23667</v>
      </c>
      <c r="G5194" s="196">
        <v>3.68131462E8</v>
      </c>
      <c r="H5194" s="197">
        <v>14.06</v>
      </c>
      <c r="I5194" s="7" t="s">
        <v>16815</v>
      </c>
      <c r="J5194" s="7" t="s">
        <v>187</v>
      </c>
      <c r="K5194" s="7" t="s">
        <v>16846</v>
      </c>
      <c r="L5194" s="198" t="s">
        <v>65</v>
      </c>
      <c r="M5194" s="194"/>
      <c r="N5194" s="194"/>
    </row>
    <row r="5195">
      <c r="A5195" s="193" t="s">
        <v>23668</v>
      </c>
      <c r="B5195" s="7" t="s">
        <v>187</v>
      </c>
      <c r="C5195" s="7" t="s">
        <v>16969</v>
      </c>
      <c r="D5195" s="194">
        <v>1992.0</v>
      </c>
      <c r="E5195" s="193"/>
      <c r="F5195" s="195" t="s">
        <v>23669</v>
      </c>
      <c r="G5195" s="196">
        <v>3.6756607E8</v>
      </c>
      <c r="H5195" s="197">
        <v>10.0</v>
      </c>
      <c r="I5195" s="7" t="s">
        <v>16815</v>
      </c>
      <c r="J5195" s="7" t="s">
        <v>187</v>
      </c>
      <c r="K5195" s="7" t="s">
        <v>16969</v>
      </c>
      <c r="L5195" s="198" t="s">
        <v>65</v>
      </c>
      <c r="M5195" s="194"/>
      <c r="N5195" s="194"/>
    </row>
    <row r="5196">
      <c r="A5196" s="193" t="s">
        <v>23670</v>
      </c>
      <c r="B5196" s="7" t="s">
        <v>17016</v>
      </c>
      <c r="C5196" s="7" t="s">
        <v>16838</v>
      </c>
      <c r="D5196" s="194">
        <v>2022.0</v>
      </c>
      <c r="E5196" s="193"/>
      <c r="F5196" s="195" t="s">
        <v>23671</v>
      </c>
      <c r="G5196" s="200">
        <v>3.67517742E8</v>
      </c>
      <c r="H5196" s="197">
        <v>16.03</v>
      </c>
      <c r="I5196" s="7" t="s">
        <v>16815</v>
      </c>
      <c r="J5196" s="7" t="s">
        <v>17016</v>
      </c>
      <c r="K5196" s="7" t="s">
        <v>16838</v>
      </c>
      <c r="L5196" s="201" t="s">
        <v>16835</v>
      </c>
      <c r="M5196" s="194"/>
      <c r="N5196" s="194"/>
    </row>
    <row r="5197">
      <c r="A5197" s="193" t="s">
        <v>23670</v>
      </c>
      <c r="B5197" s="7" t="s">
        <v>16838</v>
      </c>
      <c r="C5197" s="7" t="s">
        <v>17016</v>
      </c>
      <c r="D5197" s="194">
        <v>2022.0</v>
      </c>
      <c r="E5197" s="193"/>
      <c r="F5197" s="195" t="s">
        <v>23671</v>
      </c>
      <c r="G5197" s="196">
        <v>3.67517742E8</v>
      </c>
      <c r="H5197" s="197">
        <v>16.03</v>
      </c>
      <c r="I5197" s="7" t="s">
        <v>16815</v>
      </c>
      <c r="J5197" s="7" t="s">
        <v>16838</v>
      </c>
      <c r="K5197" s="7" t="s">
        <v>17016</v>
      </c>
      <c r="L5197" s="198" t="s">
        <v>65</v>
      </c>
      <c r="M5197" s="194"/>
      <c r="N5197" s="194"/>
    </row>
    <row r="5198">
      <c r="A5198" s="193" t="s">
        <v>23672</v>
      </c>
      <c r="B5198" s="7" t="s">
        <v>175</v>
      </c>
      <c r="C5198" s="7" t="s">
        <v>17233</v>
      </c>
      <c r="D5198" s="194">
        <v>2008.0</v>
      </c>
      <c r="E5198" s="193"/>
      <c r="F5198" s="195" t="s">
        <v>23673</v>
      </c>
      <c r="G5198" s="196">
        <v>3.67358652E8</v>
      </c>
      <c r="H5198" s="197">
        <v>3.24</v>
      </c>
      <c r="I5198" s="7" t="s">
        <v>17033</v>
      </c>
      <c r="J5198" s="7" t="s">
        <v>175</v>
      </c>
      <c r="K5198" s="7" t="s">
        <v>17233</v>
      </c>
      <c r="L5198" s="198" t="s">
        <v>65</v>
      </c>
      <c r="M5198" s="194"/>
      <c r="N5198" s="194"/>
    </row>
    <row r="5199">
      <c r="A5199" s="193" t="s">
        <v>23672</v>
      </c>
      <c r="B5199" s="7" t="s">
        <v>17233</v>
      </c>
      <c r="C5199" s="7" t="s">
        <v>175</v>
      </c>
      <c r="D5199" s="194">
        <v>2008.0</v>
      </c>
      <c r="E5199" s="193"/>
      <c r="F5199" s="195" t="s">
        <v>23673</v>
      </c>
      <c r="G5199" s="200">
        <v>3.67358652E8</v>
      </c>
      <c r="H5199" s="197">
        <v>3.24</v>
      </c>
      <c r="I5199" s="7" t="s">
        <v>16815</v>
      </c>
      <c r="J5199" s="7" t="s">
        <v>17233</v>
      </c>
      <c r="K5199" s="7" t="s">
        <v>175</v>
      </c>
      <c r="L5199" s="201" t="s">
        <v>16835</v>
      </c>
      <c r="M5199" s="194"/>
      <c r="N5199" s="194"/>
    </row>
    <row r="5200">
      <c r="A5200" s="193" t="s">
        <v>23674</v>
      </c>
      <c r="B5200" s="7" t="s">
        <v>16838</v>
      </c>
      <c r="C5200" s="7" t="s">
        <v>18679</v>
      </c>
      <c r="D5200" s="194">
        <v>1988.0</v>
      </c>
      <c r="E5200" s="193"/>
      <c r="F5200" s="195" t="s">
        <v>23675</v>
      </c>
      <c r="G5200" s="196">
        <v>3.6689313E8</v>
      </c>
      <c r="H5200" s="197">
        <v>5.89</v>
      </c>
      <c r="I5200" s="7" t="s">
        <v>16815</v>
      </c>
      <c r="J5200" s="7" t="s">
        <v>16838</v>
      </c>
      <c r="K5200" s="7" t="s">
        <v>18679</v>
      </c>
      <c r="L5200" s="198" t="s">
        <v>65</v>
      </c>
      <c r="M5200" s="194"/>
      <c r="N5200" s="194"/>
    </row>
    <row r="5201">
      <c r="A5201" s="193" t="s">
        <v>23674</v>
      </c>
      <c r="B5201" s="202" t="s">
        <v>18679</v>
      </c>
      <c r="C5201" s="193" t="s">
        <v>16838</v>
      </c>
      <c r="D5201" s="193">
        <v>1988.0</v>
      </c>
      <c r="E5201" s="193"/>
      <c r="F5201" s="203" t="s">
        <v>23675</v>
      </c>
      <c r="G5201" s="200">
        <v>3.6689313E8</v>
      </c>
      <c r="H5201" s="205">
        <v>2.14</v>
      </c>
      <c r="J5201" s="202" t="s">
        <v>18679</v>
      </c>
      <c r="K5201" s="193" t="s">
        <v>16838</v>
      </c>
      <c r="L5201" s="193" t="s">
        <v>17471</v>
      </c>
      <c r="M5201" s="193"/>
      <c r="N5201" s="193"/>
    </row>
    <row r="5202">
      <c r="A5202" s="193" t="s">
        <v>23676</v>
      </c>
      <c r="D5202" s="194">
        <v>2023.0</v>
      </c>
      <c r="E5202" s="193"/>
      <c r="F5202" s="195" t="s">
        <v>23677</v>
      </c>
      <c r="G5202" s="196">
        <v>3.66474354E8</v>
      </c>
      <c r="H5202" s="197">
        <v>13.51</v>
      </c>
      <c r="I5202" s="7" t="s">
        <v>16815</v>
      </c>
      <c r="L5202" s="198" t="s">
        <v>65</v>
      </c>
      <c r="M5202" s="194"/>
      <c r="N5202" s="194"/>
    </row>
    <row r="5203">
      <c r="A5203" s="193" t="s">
        <v>23678</v>
      </c>
      <c r="B5203" s="7" t="s">
        <v>17111</v>
      </c>
      <c r="C5203" s="7" t="s">
        <v>17112</v>
      </c>
      <c r="D5203" s="194">
        <v>2009.0</v>
      </c>
      <c r="E5203" s="193"/>
      <c r="F5203" s="195" t="s">
        <v>23679</v>
      </c>
      <c r="G5203" s="200">
        <v>3.66362333E8</v>
      </c>
      <c r="H5203" s="197">
        <v>7.56</v>
      </c>
      <c r="I5203" s="7" t="s">
        <v>16815</v>
      </c>
      <c r="J5203" s="7" t="s">
        <v>17111</v>
      </c>
      <c r="K5203" s="7" t="s">
        <v>17112</v>
      </c>
      <c r="L5203" s="201" t="s">
        <v>16835</v>
      </c>
      <c r="M5203" s="194"/>
      <c r="N5203" s="194"/>
    </row>
    <row r="5204">
      <c r="A5204" s="193" t="s">
        <v>23678</v>
      </c>
      <c r="B5204" s="7" t="s">
        <v>17112</v>
      </c>
      <c r="C5204" s="7" t="s">
        <v>17111</v>
      </c>
      <c r="D5204" s="194">
        <v>2009.0</v>
      </c>
      <c r="E5204" s="193"/>
      <c r="F5204" s="195" t="s">
        <v>23679</v>
      </c>
      <c r="G5204" s="196">
        <v>3.66362333E8</v>
      </c>
      <c r="H5204" s="197">
        <v>7.56</v>
      </c>
      <c r="I5204" s="7" t="s">
        <v>16815</v>
      </c>
      <c r="J5204" s="7" t="s">
        <v>17112</v>
      </c>
      <c r="K5204" s="7" t="s">
        <v>17111</v>
      </c>
      <c r="L5204" s="198" t="s">
        <v>65</v>
      </c>
      <c r="M5204" s="194"/>
      <c r="N5204" s="194"/>
    </row>
    <row r="5205">
      <c r="A5205" s="193" t="s">
        <v>23680</v>
      </c>
      <c r="B5205" s="7" t="s">
        <v>175</v>
      </c>
      <c r="C5205" s="7" t="s">
        <v>17218</v>
      </c>
      <c r="D5205" s="194">
        <v>2014.0</v>
      </c>
      <c r="E5205" s="193"/>
      <c r="F5205" s="195" t="s">
        <v>23681</v>
      </c>
      <c r="G5205" s="196">
        <v>3.66271499E8</v>
      </c>
      <c r="H5205" s="197">
        <v>10.15</v>
      </c>
      <c r="I5205" s="7" t="s">
        <v>16844</v>
      </c>
      <c r="J5205" s="7" t="s">
        <v>175</v>
      </c>
      <c r="K5205" s="7" t="s">
        <v>17218</v>
      </c>
      <c r="L5205" s="198" t="s">
        <v>65</v>
      </c>
      <c r="M5205" s="194"/>
      <c r="N5205" s="194"/>
    </row>
    <row r="5206">
      <c r="A5206" s="193" t="s">
        <v>23680</v>
      </c>
      <c r="B5206" s="7" t="s">
        <v>17218</v>
      </c>
      <c r="C5206" s="7" t="s">
        <v>175</v>
      </c>
      <c r="D5206" s="194">
        <v>2014.0</v>
      </c>
      <c r="E5206" s="193"/>
      <c r="F5206" s="195" t="s">
        <v>23681</v>
      </c>
      <c r="G5206" s="200">
        <v>3.66271499E8</v>
      </c>
      <c r="H5206" s="197">
        <v>10.15</v>
      </c>
      <c r="I5206" s="7" t="s">
        <v>16815</v>
      </c>
      <c r="J5206" s="7" t="s">
        <v>17218</v>
      </c>
      <c r="K5206" s="7" t="s">
        <v>175</v>
      </c>
      <c r="L5206" s="201" t="s">
        <v>16835</v>
      </c>
      <c r="M5206" s="194"/>
      <c r="N5206" s="194"/>
    </row>
    <row r="5207">
      <c r="A5207" s="193" t="s">
        <v>23682</v>
      </c>
      <c r="B5207" s="7" t="s">
        <v>16838</v>
      </c>
      <c r="C5207" s="7" t="s">
        <v>18956</v>
      </c>
      <c r="D5207" s="194">
        <v>2021.0</v>
      </c>
      <c r="E5207" s="193"/>
      <c r="F5207" s="195" t="s">
        <v>23683</v>
      </c>
      <c r="G5207" s="196">
        <v>3.66194028E8</v>
      </c>
      <c r="H5207" s="197">
        <v>21.22</v>
      </c>
      <c r="I5207" s="7" t="s">
        <v>16815</v>
      </c>
      <c r="J5207" s="7" t="s">
        <v>16838</v>
      </c>
      <c r="K5207" s="7" t="s">
        <v>18956</v>
      </c>
      <c r="L5207" s="198" t="s">
        <v>65</v>
      </c>
      <c r="M5207" s="194"/>
      <c r="N5207" s="194"/>
    </row>
    <row r="5208">
      <c r="A5208" s="193" t="s">
        <v>23684</v>
      </c>
      <c r="B5208" s="7" t="s">
        <v>17202</v>
      </c>
      <c r="C5208" s="7" t="s">
        <v>16838</v>
      </c>
      <c r="D5208" s="199"/>
      <c r="E5208" s="193"/>
      <c r="F5208" s="195" t="s">
        <v>23685</v>
      </c>
      <c r="G5208" s="200">
        <v>3.65988636E8</v>
      </c>
      <c r="H5208" s="197">
        <v>7.91</v>
      </c>
      <c r="I5208" s="7" t="s">
        <v>16815</v>
      </c>
      <c r="J5208" s="7" t="s">
        <v>17202</v>
      </c>
      <c r="K5208" s="7" t="s">
        <v>16838</v>
      </c>
      <c r="L5208" s="201" t="s">
        <v>16835</v>
      </c>
      <c r="M5208" s="199"/>
      <c r="N5208" s="199"/>
    </row>
    <row r="5209">
      <c r="A5209" s="193" t="s">
        <v>23684</v>
      </c>
      <c r="B5209" s="7" t="s">
        <v>16838</v>
      </c>
      <c r="C5209" s="7" t="s">
        <v>17202</v>
      </c>
      <c r="D5209" s="199"/>
      <c r="E5209" s="193"/>
      <c r="F5209" s="195" t="s">
        <v>23685</v>
      </c>
      <c r="G5209" s="196">
        <v>3.65988636E8</v>
      </c>
      <c r="H5209" s="197">
        <v>7.91</v>
      </c>
      <c r="I5209" s="7" t="s">
        <v>16815</v>
      </c>
      <c r="J5209" s="7" t="s">
        <v>16838</v>
      </c>
      <c r="K5209" s="7" t="s">
        <v>17202</v>
      </c>
      <c r="L5209" s="198" t="s">
        <v>65</v>
      </c>
      <c r="M5209" s="199"/>
      <c r="N5209" s="199"/>
    </row>
    <row r="5210">
      <c r="A5210" s="193" t="s">
        <v>23686</v>
      </c>
      <c r="B5210" s="7" t="s">
        <v>16582</v>
      </c>
      <c r="C5210" s="7" t="s">
        <v>16817</v>
      </c>
      <c r="D5210" s="194">
        <v>2021.0</v>
      </c>
      <c r="E5210" s="193"/>
      <c r="F5210" s="195" t="s">
        <v>23687</v>
      </c>
      <c r="G5210" s="196">
        <v>3.64267858E8</v>
      </c>
      <c r="H5210" s="197">
        <v>1.02</v>
      </c>
      <c r="I5210" s="7" t="s">
        <v>16815</v>
      </c>
      <c r="J5210" s="7" t="s">
        <v>16582</v>
      </c>
      <c r="K5210" s="7" t="s">
        <v>16817</v>
      </c>
      <c r="L5210" s="198" t="s">
        <v>65</v>
      </c>
      <c r="M5210" s="194"/>
      <c r="N5210" s="194"/>
    </row>
    <row r="5211">
      <c r="A5211" s="193" t="s">
        <v>23688</v>
      </c>
      <c r="B5211" s="7" t="s">
        <v>158</v>
      </c>
      <c r="C5211" s="7" t="s">
        <v>16864</v>
      </c>
      <c r="D5211" s="194">
        <v>2015.0</v>
      </c>
      <c r="E5211" s="193"/>
      <c r="F5211" s="195" t="s">
        <v>23689</v>
      </c>
      <c r="G5211" s="196">
        <v>3.64028524E8</v>
      </c>
      <c r="H5211" s="197">
        <v>5.03</v>
      </c>
      <c r="I5211" s="7" t="s">
        <v>17098</v>
      </c>
      <c r="J5211" s="7" t="s">
        <v>158</v>
      </c>
      <c r="K5211" s="7" t="s">
        <v>16864</v>
      </c>
      <c r="L5211" s="198" t="s">
        <v>65</v>
      </c>
      <c r="M5211" s="194"/>
      <c r="N5211" s="194"/>
    </row>
    <row r="5212">
      <c r="A5212" s="193" t="s">
        <v>23688</v>
      </c>
      <c r="B5212" s="7" t="s">
        <v>16864</v>
      </c>
      <c r="C5212" s="7" t="s">
        <v>158</v>
      </c>
      <c r="D5212" s="194">
        <v>2015.0</v>
      </c>
      <c r="E5212" s="193"/>
      <c r="F5212" s="195" t="s">
        <v>23689</v>
      </c>
      <c r="G5212" s="200">
        <v>3.64028524E8</v>
      </c>
      <c r="H5212" s="197">
        <v>5.03</v>
      </c>
      <c r="I5212" s="7" t="s">
        <v>16815</v>
      </c>
      <c r="J5212" s="7" t="s">
        <v>16864</v>
      </c>
      <c r="K5212" s="7" t="s">
        <v>158</v>
      </c>
      <c r="L5212" s="201" t="s">
        <v>16835</v>
      </c>
      <c r="M5212" s="194"/>
      <c r="N5212" s="194"/>
    </row>
    <row r="5213">
      <c r="A5213" s="193" t="s">
        <v>23690</v>
      </c>
      <c r="B5213" s="7" t="s">
        <v>175</v>
      </c>
      <c r="C5213" s="7" t="s">
        <v>16842</v>
      </c>
      <c r="D5213" s="199"/>
      <c r="E5213" s="193"/>
      <c r="F5213" s="195" t="s">
        <v>23691</v>
      </c>
      <c r="G5213" s="196">
        <v>3.63815192E8</v>
      </c>
      <c r="H5213" s="197">
        <v>10.61</v>
      </c>
      <c r="I5213" s="7" t="s">
        <v>17242</v>
      </c>
      <c r="J5213" s="7" t="s">
        <v>175</v>
      </c>
      <c r="K5213" s="7" t="s">
        <v>16842</v>
      </c>
      <c r="L5213" s="198" t="s">
        <v>65</v>
      </c>
      <c r="M5213" s="199"/>
      <c r="N5213" s="199"/>
    </row>
    <row r="5214">
      <c r="A5214" s="193" t="s">
        <v>23692</v>
      </c>
      <c r="B5214" s="7" t="s">
        <v>175</v>
      </c>
      <c r="C5214" s="7" t="s">
        <v>19006</v>
      </c>
      <c r="D5214" s="194">
        <v>2004.0</v>
      </c>
      <c r="E5214" s="193"/>
      <c r="F5214" s="195" t="s">
        <v>23693</v>
      </c>
      <c r="G5214" s="196">
        <v>3.63434666E8</v>
      </c>
      <c r="H5214" s="197">
        <v>25.01</v>
      </c>
      <c r="I5214" s="7" t="s">
        <v>174</v>
      </c>
      <c r="J5214" s="7" t="s">
        <v>175</v>
      </c>
      <c r="K5214" s="7" t="s">
        <v>19006</v>
      </c>
      <c r="L5214" s="198" t="s">
        <v>65</v>
      </c>
      <c r="M5214" s="194"/>
      <c r="N5214" s="194"/>
    </row>
    <row r="5215">
      <c r="A5215" s="193" t="s">
        <v>23692</v>
      </c>
      <c r="B5215" s="7" t="s">
        <v>19006</v>
      </c>
      <c r="C5215" s="7" t="s">
        <v>175</v>
      </c>
      <c r="D5215" s="194">
        <v>2004.0</v>
      </c>
      <c r="E5215" s="193"/>
      <c r="F5215" s="195" t="s">
        <v>23693</v>
      </c>
      <c r="G5215" s="200">
        <v>3.63434666E8</v>
      </c>
      <c r="H5215" s="197">
        <v>25.01</v>
      </c>
      <c r="I5215" s="7" t="s">
        <v>16815</v>
      </c>
      <c r="J5215" s="7" t="s">
        <v>19006</v>
      </c>
      <c r="K5215" s="7" t="s">
        <v>175</v>
      </c>
      <c r="L5215" s="201" t="s">
        <v>16835</v>
      </c>
      <c r="M5215" s="194"/>
      <c r="N5215" s="194"/>
    </row>
    <row r="5216">
      <c r="A5216" s="193" t="s">
        <v>23694</v>
      </c>
      <c r="B5216" s="7" t="s">
        <v>187</v>
      </c>
      <c r="C5216" s="7" t="s">
        <v>16858</v>
      </c>
      <c r="D5216" s="194">
        <v>2018.0</v>
      </c>
      <c r="E5216" s="193"/>
      <c r="F5216" s="195" t="s">
        <v>23695</v>
      </c>
      <c r="G5216" s="196">
        <v>3.63113668E8</v>
      </c>
      <c r="H5216" s="197">
        <v>15.98</v>
      </c>
      <c r="I5216" s="7" t="s">
        <v>16815</v>
      </c>
      <c r="J5216" s="7" t="s">
        <v>187</v>
      </c>
      <c r="K5216" s="7" t="s">
        <v>16858</v>
      </c>
      <c r="L5216" s="198" t="s">
        <v>65</v>
      </c>
      <c r="M5216" s="194"/>
      <c r="N5216" s="194"/>
    </row>
    <row r="5217">
      <c r="A5217" s="193" t="s">
        <v>23696</v>
      </c>
      <c r="B5217" s="7" t="s">
        <v>175</v>
      </c>
      <c r="C5217" s="7" t="s">
        <v>19006</v>
      </c>
      <c r="D5217" s="194">
        <v>2017.0</v>
      </c>
      <c r="E5217" s="193"/>
      <c r="F5217" s="195" t="s">
        <v>23697</v>
      </c>
      <c r="G5217" s="196">
        <v>3.62977499E8</v>
      </c>
      <c r="H5217" s="197">
        <v>6.89</v>
      </c>
      <c r="I5217" s="7" t="s">
        <v>16908</v>
      </c>
      <c r="J5217" s="7" t="s">
        <v>175</v>
      </c>
      <c r="K5217" s="7" t="s">
        <v>19006</v>
      </c>
      <c r="L5217" s="198" t="s">
        <v>65</v>
      </c>
      <c r="M5217" s="194"/>
      <c r="N5217" s="194"/>
    </row>
    <row r="5218">
      <c r="A5218" s="193" t="s">
        <v>23698</v>
      </c>
      <c r="B5218" s="7" t="s">
        <v>17629</v>
      </c>
      <c r="C5218" s="7" t="s">
        <v>18718</v>
      </c>
      <c r="D5218" s="199"/>
      <c r="E5218" s="193"/>
      <c r="F5218" s="195" t="s">
        <v>23699</v>
      </c>
      <c r="G5218" s="196">
        <v>3.62587349E8</v>
      </c>
      <c r="H5218" s="197">
        <v>3.63</v>
      </c>
      <c r="I5218" s="7" t="s">
        <v>16815</v>
      </c>
      <c r="J5218" s="7" t="s">
        <v>17629</v>
      </c>
      <c r="K5218" s="7" t="s">
        <v>18718</v>
      </c>
      <c r="L5218" s="198" t="s">
        <v>65</v>
      </c>
      <c r="M5218" s="199"/>
      <c r="N5218" s="199"/>
    </row>
    <row r="5219">
      <c r="A5219" s="193" t="s">
        <v>23700</v>
      </c>
      <c r="B5219" s="7" t="s">
        <v>16838</v>
      </c>
      <c r="C5219" s="7" t="s">
        <v>16867</v>
      </c>
      <c r="D5219" s="199"/>
      <c r="E5219" s="193"/>
      <c r="F5219" s="195" t="s">
        <v>23701</v>
      </c>
      <c r="G5219" s="196">
        <v>3.61336955E8</v>
      </c>
      <c r="H5219" s="197">
        <v>21.25</v>
      </c>
      <c r="I5219" s="7" t="s">
        <v>16815</v>
      </c>
      <c r="J5219" s="7" t="s">
        <v>16838</v>
      </c>
      <c r="K5219" s="7" t="s">
        <v>16867</v>
      </c>
      <c r="L5219" s="198" t="s">
        <v>65</v>
      </c>
      <c r="M5219" s="199"/>
      <c r="N5219" s="199"/>
    </row>
    <row r="5220">
      <c r="A5220" s="193" t="s">
        <v>23702</v>
      </c>
      <c r="B5220" s="7" t="s">
        <v>17111</v>
      </c>
      <c r="C5220" s="7" t="s">
        <v>17112</v>
      </c>
      <c r="D5220" s="194">
        <v>2013.0</v>
      </c>
      <c r="E5220" s="193"/>
      <c r="F5220" s="195" t="s">
        <v>23703</v>
      </c>
      <c r="G5220" s="200">
        <v>3.61092911E8</v>
      </c>
      <c r="H5220" s="197">
        <v>6.9</v>
      </c>
      <c r="I5220" s="7" t="s">
        <v>16815</v>
      </c>
      <c r="J5220" s="7" t="s">
        <v>17111</v>
      </c>
      <c r="K5220" s="7" t="s">
        <v>17112</v>
      </c>
      <c r="L5220" s="201" t="s">
        <v>16835</v>
      </c>
      <c r="M5220" s="194"/>
      <c r="N5220" s="194"/>
    </row>
    <row r="5221">
      <c r="A5221" s="193" t="s">
        <v>23702</v>
      </c>
      <c r="B5221" s="7" t="s">
        <v>17112</v>
      </c>
      <c r="C5221" s="7" t="s">
        <v>17111</v>
      </c>
      <c r="D5221" s="194">
        <v>2013.0</v>
      </c>
      <c r="E5221" s="193"/>
      <c r="F5221" s="195" t="s">
        <v>23703</v>
      </c>
      <c r="G5221" s="196">
        <v>3.61092911E8</v>
      </c>
      <c r="H5221" s="197">
        <v>6.9</v>
      </c>
      <c r="I5221" s="7" t="s">
        <v>16815</v>
      </c>
      <c r="J5221" s="7" t="s">
        <v>17112</v>
      </c>
      <c r="K5221" s="7" t="s">
        <v>17111</v>
      </c>
      <c r="L5221" s="198" t="s">
        <v>65</v>
      </c>
      <c r="M5221" s="194"/>
      <c r="N5221" s="194"/>
    </row>
    <row r="5222">
      <c r="A5222" s="193" t="s">
        <v>23704</v>
      </c>
      <c r="B5222" s="7" t="s">
        <v>169</v>
      </c>
      <c r="C5222" s="7" t="s">
        <v>17662</v>
      </c>
      <c r="D5222" s="199"/>
      <c r="E5222" s="193"/>
      <c r="F5222" s="195" t="s">
        <v>23705</v>
      </c>
      <c r="G5222" s="196">
        <v>3.60551448E8</v>
      </c>
      <c r="H5222" s="197">
        <v>29.38</v>
      </c>
      <c r="I5222" s="7" t="s">
        <v>16815</v>
      </c>
      <c r="J5222" s="7" t="s">
        <v>169</v>
      </c>
      <c r="K5222" s="7" t="s">
        <v>17662</v>
      </c>
      <c r="L5222" s="198" t="s">
        <v>65</v>
      </c>
      <c r="M5222" s="199"/>
      <c r="N5222" s="199"/>
    </row>
    <row r="5223">
      <c r="A5223" s="193" t="s">
        <v>23706</v>
      </c>
      <c r="D5223" s="194">
        <v>2022.0</v>
      </c>
      <c r="E5223" s="193"/>
      <c r="F5223" s="195" t="s">
        <v>23707</v>
      </c>
      <c r="G5223" s="196">
        <v>3.60195295E8</v>
      </c>
      <c r="H5223" s="197">
        <v>1.3</v>
      </c>
      <c r="I5223" s="7" t="s">
        <v>16815</v>
      </c>
      <c r="L5223" s="198" t="s">
        <v>65</v>
      </c>
      <c r="M5223" s="194"/>
      <c r="N5223" s="194"/>
    </row>
    <row r="5224">
      <c r="A5224" s="193" t="s">
        <v>23706</v>
      </c>
      <c r="B5224" s="208"/>
      <c r="C5224" s="206"/>
      <c r="D5224" s="193">
        <v>2022.0</v>
      </c>
      <c r="E5224" s="193"/>
      <c r="F5224" s="203" t="s">
        <v>23707</v>
      </c>
      <c r="G5224" s="200">
        <v>3.60195295E8</v>
      </c>
      <c r="H5224" s="205">
        <v>5.89</v>
      </c>
      <c r="J5224" s="208"/>
      <c r="K5224" s="206"/>
      <c r="L5224" s="193" t="s">
        <v>17471</v>
      </c>
      <c r="M5224" s="193"/>
      <c r="N5224" s="193"/>
    </row>
    <row r="5225">
      <c r="A5225" s="193" t="s">
        <v>23708</v>
      </c>
      <c r="B5225" s="7" t="s">
        <v>17127</v>
      </c>
      <c r="C5225" s="7" t="s">
        <v>16838</v>
      </c>
      <c r="D5225" s="194">
        <v>1987.0</v>
      </c>
      <c r="E5225" s="193"/>
      <c r="F5225" s="195" t="s">
        <v>23709</v>
      </c>
      <c r="G5225" s="200">
        <v>3.60022059E8</v>
      </c>
      <c r="H5225" s="197">
        <v>7.04</v>
      </c>
      <c r="I5225" s="7" t="s">
        <v>16815</v>
      </c>
      <c r="J5225" s="7" t="s">
        <v>17127</v>
      </c>
      <c r="K5225" s="7" t="s">
        <v>16838</v>
      </c>
      <c r="L5225" s="201" t="s">
        <v>16835</v>
      </c>
      <c r="M5225" s="194"/>
      <c r="N5225" s="194"/>
    </row>
    <row r="5226">
      <c r="A5226" s="193" t="s">
        <v>23708</v>
      </c>
      <c r="B5226" s="7" t="s">
        <v>16838</v>
      </c>
      <c r="C5226" s="7" t="s">
        <v>17127</v>
      </c>
      <c r="D5226" s="194">
        <v>1987.0</v>
      </c>
      <c r="E5226" s="193"/>
      <c r="F5226" s="195" t="s">
        <v>23709</v>
      </c>
      <c r="G5226" s="196">
        <v>3.60022059E8</v>
      </c>
      <c r="H5226" s="197">
        <v>7.04</v>
      </c>
      <c r="I5226" s="7" t="s">
        <v>16815</v>
      </c>
      <c r="J5226" s="7" t="s">
        <v>16838</v>
      </c>
      <c r="K5226" s="7" t="s">
        <v>17127</v>
      </c>
      <c r="L5226" s="198" t="s">
        <v>65</v>
      </c>
      <c r="M5226" s="194"/>
      <c r="N5226" s="194"/>
    </row>
    <row r="5227">
      <c r="A5227" s="193" t="s">
        <v>23710</v>
      </c>
      <c r="B5227" s="7" t="s">
        <v>175</v>
      </c>
      <c r="C5227" s="7" t="s">
        <v>16842</v>
      </c>
      <c r="D5227" s="199"/>
      <c r="E5227" s="193"/>
      <c r="F5227" s="195" t="s">
        <v>23711</v>
      </c>
      <c r="G5227" s="196">
        <v>3.59205573E8</v>
      </c>
      <c r="H5227" s="197">
        <v>2.24</v>
      </c>
      <c r="I5227" s="7" t="s">
        <v>16908</v>
      </c>
      <c r="J5227" s="7" t="s">
        <v>175</v>
      </c>
      <c r="K5227" s="7" t="s">
        <v>16842</v>
      </c>
      <c r="L5227" s="198" t="s">
        <v>65</v>
      </c>
      <c r="M5227" s="199"/>
      <c r="N5227" s="199"/>
    </row>
    <row r="5228">
      <c r="A5228" s="193" t="s">
        <v>23712</v>
      </c>
      <c r="B5228" s="7" t="s">
        <v>16910</v>
      </c>
      <c r="C5228" s="7" t="s">
        <v>17648</v>
      </c>
      <c r="D5228" s="199"/>
      <c r="E5228" s="193"/>
      <c r="F5228" s="195" t="s">
        <v>23713</v>
      </c>
      <c r="G5228" s="196">
        <v>3.56814506E8</v>
      </c>
      <c r="H5228" s="197">
        <v>24.02</v>
      </c>
      <c r="I5228" s="7" t="s">
        <v>17063</v>
      </c>
      <c r="J5228" s="7" t="s">
        <v>16910</v>
      </c>
      <c r="K5228" s="7" t="s">
        <v>17648</v>
      </c>
      <c r="L5228" s="198" t="s">
        <v>65</v>
      </c>
      <c r="M5228" s="199"/>
      <c r="N5228" s="199"/>
    </row>
    <row r="5229">
      <c r="A5229" s="193" t="s">
        <v>23714</v>
      </c>
      <c r="B5229" s="7" t="s">
        <v>16582</v>
      </c>
      <c r="C5229" s="7" t="s">
        <v>16817</v>
      </c>
      <c r="D5229" s="194">
        <v>2021.0</v>
      </c>
      <c r="E5229" s="193"/>
      <c r="F5229" s="195" t="s">
        <v>23715</v>
      </c>
      <c r="G5229" s="196">
        <v>3.56619615E8</v>
      </c>
      <c r="H5229" s="197">
        <v>5.93</v>
      </c>
      <c r="I5229" s="7" t="s">
        <v>16815</v>
      </c>
      <c r="J5229" s="7" t="s">
        <v>16582</v>
      </c>
      <c r="K5229" s="7" t="s">
        <v>16817</v>
      </c>
      <c r="L5229" s="198" t="s">
        <v>65</v>
      </c>
      <c r="M5229" s="194"/>
      <c r="N5229" s="194"/>
    </row>
    <row r="5230">
      <c r="A5230" s="193" t="s">
        <v>23714</v>
      </c>
      <c r="B5230" s="7" t="s">
        <v>16817</v>
      </c>
      <c r="C5230" s="7" t="s">
        <v>16582</v>
      </c>
      <c r="D5230" s="194">
        <v>2021.0</v>
      </c>
      <c r="E5230" s="193"/>
      <c r="F5230" s="195" t="s">
        <v>23715</v>
      </c>
      <c r="G5230" s="200">
        <v>3.56619615E8</v>
      </c>
      <c r="H5230" s="197">
        <v>5.93</v>
      </c>
      <c r="I5230" s="7" t="s">
        <v>16815</v>
      </c>
      <c r="J5230" s="7" t="s">
        <v>16817</v>
      </c>
      <c r="K5230" s="7" t="s">
        <v>16582</v>
      </c>
      <c r="L5230" s="201" t="s">
        <v>16835</v>
      </c>
      <c r="M5230" s="194"/>
      <c r="N5230" s="194"/>
    </row>
    <row r="5231">
      <c r="A5231" s="193" t="s">
        <v>23716</v>
      </c>
      <c r="B5231" s="7" t="s">
        <v>187</v>
      </c>
      <c r="C5231" s="7" t="s">
        <v>16846</v>
      </c>
      <c r="D5231" s="194">
        <v>2020.0</v>
      </c>
      <c r="E5231" s="193"/>
      <c r="F5231" s="195" t="s">
        <v>23717</v>
      </c>
      <c r="G5231" s="196">
        <v>3.56469785E8</v>
      </c>
      <c r="H5231" s="197">
        <v>3.73</v>
      </c>
      <c r="I5231" s="7" t="s">
        <v>16815</v>
      </c>
      <c r="J5231" s="7" t="s">
        <v>187</v>
      </c>
      <c r="K5231" s="7" t="s">
        <v>16846</v>
      </c>
      <c r="L5231" s="198" t="s">
        <v>65</v>
      </c>
      <c r="M5231" s="194"/>
      <c r="N5231" s="194"/>
    </row>
    <row r="5232">
      <c r="A5232" s="193" t="s">
        <v>23718</v>
      </c>
      <c r="B5232" s="7" t="s">
        <v>16582</v>
      </c>
      <c r="C5232" s="7" t="s">
        <v>16930</v>
      </c>
      <c r="D5232" s="194">
        <v>2021.0</v>
      </c>
      <c r="E5232" s="193"/>
      <c r="F5232" s="195" t="s">
        <v>23719</v>
      </c>
      <c r="G5232" s="196">
        <v>3.55700645E8</v>
      </c>
      <c r="H5232" s="197">
        <v>5.68</v>
      </c>
      <c r="I5232" s="7" t="s">
        <v>16815</v>
      </c>
      <c r="J5232" s="7" t="s">
        <v>16582</v>
      </c>
      <c r="K5232" s="7" t="s">
        <v>16930</v>
      </c>
      <c r="L5232" s="198" t="s">
        <v>65</v>
      </c>
      <c r="M5232" s="194"/>
      <c r="N5232" s="194"/>
    </row>
    <row r="5233">
      <c r="A5233" s="193" t="s">
        <v>23720</v>
      </c>
      <c r="B5233" s="7" t="s">
        <v>187</v>
      </c>
      <c r="C5233" s="7" t="s">
        <v>17509</v>
      </c>
      <c r="D5233" s="194">
        <v>2020.0</v>
      </c>
      <c r="E5233" s="193"/>
      <c r="F5233" s="195" t="s">
        <v>23721</v>
      </c>
      <c r="G5233" s="196">
        <v>3.54350045E8</v>
      </c>
      <c r="H5233" s="197">
        <v>9.25</v>
      </c>
      <c r="I5233" s="7" t="s">
        <v>16815</v>
      </c>
      <c r="J5233" s="7" t="s">
        <v>187</v>
      </c>
      <c r="K5233" s="7" t="s">
        <v>17509</v>
      </c>
      <c r="L5233" s="198" t="s">
        <v>65</v>
      </c>
      <c r="M5233" s="194"/>
      <c r="N5233" s="194"/>
    </row>
    <row r="5234">
      <c r="A5234" s="193" t="s">
        <v>23722</v>
      </c>
      <c r="B5234" s="7" t="s">
        <v>18679</v>
      </c>
      <c r="C5234" s="7" t="s">
        <v>16838</v>
      </c>
      <c r="D5234" s="194">
        <v>2020.0</v>
      </c>
      <c r="E5234" s="193"/>
      <c r="F5234" s="195" t="s">
        <v>23723</v>
      </c>
      <c r="G5234" s="200">
        <v>3.54305084E8</v>
      </c>
      <c r="H5234" s="197">
        <v>14.36</v>
      </c>
      <c r="I5234" s="7" t="s">
        <v>16815</v>
      </c>
      <c r="J5234" s="7" t="s">
        <v>18679</v>
      </c>
      <c r="K5234" s="7" t="s">
        <v>16838</v>
      </c>
      <c r="L5234" s="201" t="s">
        <v>16835</v>
      </c>
      <c r="M5234" s="194"/>
      <c r="N5234" s="194"/>
    </row>
    <row r="5235">
      <c r="A5235" s="193" t="s">
        <v>23722</v>
      </c>
      <c r="B5235" s="7" t="s">
        <v>16838</v>
      </c>
      <c r="C5235" s="7" t="s">
        <v>18679</v>
      </c>
      <c r="D5235" s="194">
        <v>2020.0</v>
      </c>
      <c r="E5235" s="193"/>
      <c r="F5235" s="195" t="s">
        <v>23723</v>
      </c>
      <c r="G5235" s="196">
        <v>3.54305084E8</v>
      </c>
      <c r="H5235" s="197">
        <v>14.36</v>
      </c>
      <c r="I5235" s="7" t="s">
        <v>16815</v>
      </c>
      <c r="J5235" s="7" t="s">
        <v>16838</v>
      </c>
      <c r="K5235" s="7" t="s">
        <v>18679</v>
      </c>
      <c r="L5235" s="198" t="s">
        <v>65</v>
      </c>
      <c r="M5235" s="194"/>
      <c r="N5235" s="194"/>
    </row>
    <row r="5236">
      <c r="A5236" s="193" t="s">
        <v>23724</v>
      </c>
      <c r="B5236" s="7" t="s">
        <v>187</v>
      </c>
      <c r="C5236" s="7" t="s">
        <v>17122</v>
      </c>
      <c r="D5236" s="194">
        <v>2021.0</v>
      </c>
      <c r="E5236" s="193"/>
      <c r="F5236" s="195" t="s">
        <v>23725</v>
      </c>
      <c r="G5236" s="196">
        <v>3.54073951E8</v>
      </c>
      <c r="H5236" s="197">
        <v>17.01</v>
      </c>
      <c r="I5236" s="7" t="s">
        <v>16815</v>
      </c>
      <c r="J5236" s="7" t="s">
        <v>187</v>
      </c>
      <c r="K5236" s="7" t="s">
        <v>17122</v>
      </c>
      <c r="L5236" s="198" t="s">
        <v>65</v>
      </c>
      <c r="M5236" s="194"/>
      <c r="N5236" s="194"/>
    </row>
    <row r="5237">
      <c r="A5237" s="193" t="s">
        <v>23726</v>
      </c>
      <c r="B5237" s="7" t="s">
        <v>175</v>
      </c>
      <c r="C5237" s="7" t="s">
        <v>19139</v>
      </c>
      <c r="D5237" s="194">
        <v>1985.0</v>
      </c>
      <c r="E5237" s="193"/>
      <c r="F5237" s="195" t="s">
        <v>23727</v>
      </c>
      <c r="G5237" s="196">
        <v>3.53998536E8</v>
      </c>
      <c r="H5237" s="197">
        <v>12.24</v>
      </c>
      <c r="I5237" s="7" t="s">
        <v>168</v>
      </c>
      <c r="J5237" s="7" t="s">
        <v>175</v>
      </c>
      <c r="K5237" s="7" t="s">
        <v>19139</v>
      </c>
      <c r="L5237" s="198" t="s">
        <v>65</v>
      </c>
      <c r="M5237" s="194"/>
      <c r="N5237" s="194"/>
    </row>
    <row r="5238">
      <c r="A5238" s="193" t="s">
        <v>23728</v>
      </c>
      <c r="B5238" s="7" t="s">
        <v>175</v>
      </c>
      <c r="C5238" s="7" t="s">
        <v>16842</v>
      </c>
      <c r="D5238" s="194">
        <v>2021.0</v>
      </c>
      <c r="E5238" s="193"/>
      <c r="F5238" s="195" t="s">
        <v>23729</v>
      </c>
      <c r="G5238" s="196">
        <v>3.536E8</v>
      </c>
      <c r="H5238" s="197">
        <v>1.6</v>
      </c>
      <c r="I5238" s="7" t="s">
        <v>168</v>
      </c>
      <c r="J5238" s="7" t="s">
        <v>175</v>
      </c>
      <c r="K5238" s="7" t="s">
        <v>16842</v>
      </c>
      <c r="L5238" s="198" t="s">
        <v>65</v>
      </c>
      <c r="M5238" s="194"/>
      <c r="N5238" s="194"/>
    </row>
    <row r="5239">
      <c r="A5239" s="193" t="s">
        <v>23728</v>
      </c>
      <c r="B5239" s="7" t="s">
        <v>16842</v>
      </c>
      <c r="C5239" s="7" t="s">
        <v>175</v>
      </c>
      <c r="D5239" s="194">
        <v>2021.0</v>
      </c>
      <c r="E5239" s="193"/>
      <c r="F5239" s="195" t="s">
        <v>23729</v>
      </c>
      <c r="G5239" s="200">
        <v>3.536E8</v>
      </c>
      <c r="H5239" s="197">
        <v>1.6</v>
      </c>
      <c r="I5239" s="7" t="s">
        <v>16815</v>
      </c>
      <c r="J5239" s="7" t="s">
        <v>16842</v>
      </c>
      <c r="K5239" s="7" t="s">
        <v>175</v>
      </c>
      <c r="L5239" s="201" t="s">
        <v>16835</v>
      </c>
      <c r="M5239" s="194"/>
      <c r="N5239" s="194"/>
    </row>
    <row r="5240">
      <c r="A5240" s="193" t="s">
        <v>23730</v>
      </c>
      <c r="B5240" s="7" t="s">
        <v>19579</v>
      </c>
      <c r="C5240" s="7" t="s">
        <v>16838</v>
      </c>
      <c r="D5240" s="194">
        <v>2019.0</v>
      </c>
      <c r="E5240" s="193"/>
      <c r="F5240" s="195" t="s">
        <v>23731</v>
      </c>
      <c r="G5240" s="200">
        <v>3.53417389E8</v>
      </c>
      <c r="H5240" s="197">
        <v>15.95</v>
      </c>
      <c r="I5240" s="7" t="s">
        <v>16815</v>
      </c>
      <c r="J5240" s="7" t="s">
        <v>19579</v>
      </c>
      <c r="K5240" s="7" t="s">
        <v>16838</v>
      </c>
      <c r="L5240" s="201" t="s">
        <v>16835</v>
      </c>
      <c r="M5240" s="194"/>
      <c r="N5240" s="194"/>
    </row>
    <row r="5241">
      <c r="A5241" s="193" t="s">
        <v>23730</v>
      </c>
      <c r="B5241" s="7" t="s">
        <v>16838</v>
      </c>
      <c r="C5241" s="7" t="s">
        <v>19579</v>
      </c>
      <c r="D5241" s="194">
        <v>2019.0</v>
      </c>
      <c r="E5241" s="193"/>
      <c r="F5241" s="195" t="s">
        <v>23731</v>
      </c>
      <c r="G5241" s="196">
        <v>3.53417389E8</v>
      </c>
      <c r="H5241" s="197">
        <v>15.95</v>
      </c>
      <c r="I5241" s="7" t="s">
        <v>16815</v>
      </c>
      <c r="J5241" s="7" t="s">
        <v>16838</v>
      </c>
      <c r="K5241" s="7" t="s">
        <v>19579</v>
      </c>
      <c r="L5241" s="198" t="s">
        <v>65</v>
      </c>
      <c r="M5241" s="194"/>
      <c r="N5241" s="194"/>
    </row>
    <row r="5242">
      <c r="A5242" s="193" t="s">
        <v>23732</v>
      </c>
      <c r="B5242" s="7" t="s">
        <v>16582</v>
      </c>
      <c r="C5242" s="7" t="s">
        <v>16930</v>
      </c>
      <c r="D5242" s="199"/>
      <c r="E5242" s="193"/>
      <c r="F5242" s="195" t="s">
        <v>23733</v>
      </c>
      <c r="G5242" s="196">
        <v>3.53052651E8</v>
      </c>
      <c r="H5242" s="197">
        <v>2.89</v>
      </c>
      <c r="I5242" s="7" t="s">
        <v>16815</v>
      </c>
      <c r="J5242" s="7" t="s">
        <v>16582</v>
      </c>
      <c r="K5242" s="7" t="s">
        <v>16930</v>
      </c>
      <c r="L5242" s="198" t="s">
        <v>65</v>
      </c>
      <c r="M5242" s="199"/>
      <c r="N5242" s="199"/>
    </row>
    <row r="5243">
      <c r="A5243" s="193" t="s">
        <v>23734</v>
      </c>
      <c r="B5243" s="7" t="s">
        <v>19644</v>
      </c>
      <c r="C5243" s="7" t="s">
        <v>16838</v>
      </c>
      <c r="D5243" s="194">
        <v>2004.0</v>
      </c>
      <c r="E5243" s="193"/>
      <c r="F5243" s="195" t="s">
        <v>23735</v>
      </c>
      <c r="G5243" s="200">
        <v>3.52284926E8</v>
      </c>
      <c r="H5243" s="197">
        <v>12.11</v>
      </c>
      <c r="I5243" s="7" t="s">
        <v>16815</v>
      </c>
      <c r="J5243" s="7" t="s">
        <v>19644</v>
      </c>
      <c r="K5243" s="7" t="s">
        <v>16838</v>
      </c>
      <c r="L5243" s="201" t="s">
        <v>16835</v>
      </c>
      <c r="M5243" s="194"/>
      <c r="N5243" s="194"/>
    </row>
    <row r="5244">
      <c r="A5244" s="193" t="s">
        <v>23734</v>
      </c>
      <c r="B5244" s="7" t="s">
        <v>16838</v>
      </c>
      <c r="C5244" s="7" t="s">
        <v>19644</v>
      </c>
      <c r="D5244" s="194">
        <v>2004.0</v>
      </c>
      <c r="E5244" s="193"/>
      <c r="F5244" s="195" t="s">
        <v>23735</v>
      </c>
      <c r="G5244" s="196">
        <v>3.52284926E8</v>
      </c>
      <c r="H5244" s="197">
        <v>12.11</v>
      </c>
      <c r="I5244" s="7" t="s">
        <v>16815</v>
      </c>
      <c r="J5244" s="7" t="s">
        <v>16838</v>
      </c>
      <c r="K5244" s="7" t="s">
        <v>19644</v>
      </c>
      <c r="L5244" s="198" t="s">
        <v>65</v>
      </c>
      <c r="M5244" s="194"/>
      <c r="N5244" s="194"/>
    </row>
    <row r="5245">
      <c r="A5245" s="193" t="s">
        <v>23736</v>
      </c>
      <c r="B5245" s="7" t="s">
        <v>17202</v>
      </c>
      <c r="C5245" s="7" t="s">
        <v>16838</v>
      </c>
      <c r="D5245" s="194">
        <v>2004.0</v>
      </c>
      <c r="E5245" s="193"/>
      <c r="F5245" s="195" t="s">
        <v>23737</v>
      </c>
      <c r="G5245" s="200">
        <v>3.52181086E8</v>
      </c>
      <c r="H5245" s="197">
        <v>21.49</v>
      </c>
      <c r="I5245" s="7" t="s">
        <v>16815</v>
      </c>
      <c r="J5245" s="7" t="s">
        <v>17202</v>
      </c>
      <c r="K5245" s="7" t="s">
        <v>16838</v>
      </c>
      <c r="L5245" s="201" t="s">
        <v>16835</v>
      </c>
      <c r="M5245" s="194"/>
      <c r="N5245" s="194"/>
    </row>
    <row r="5246">
      <c r="A5246" s="193" t="s">
        <v>23736</v>
      </c>
      <c r="B5246" s="7" t="s">
        <v>16838</v>
      </c>
      <c r="C5246" s="7" t="s">
        <v>17202</v>
      </c>
      <c r="D5246" s="194">
        <v>2004.0</v>
      </c>
      <c r="E5246" s="193"/>
      <c r="F5246" s="195" t="s">
        <v>23737</v>
      </c>
      <c r="G5246" s="196">
        <v>3.52181086E8</v>
      </c>
      <c r="H5246" s="197">
        <v>21.49</v>
      </c>
      <c r="I5246" s="7" t="s">
        <v>16815</v>
      </c>
      <c r="J5246" s="7" t="s">
        <v>16838</v>
      </c>
      <c r="K5246" s="7" t="s">
        <v>17202</v>
      </c>
      <c r="L5246" s="198" t="s">
        <v>65</v>
      </c>
      <c r="M5246" s="194"/>
      <c r="N5246" s="194"/>
    </row>
    <row r="5247">
      <c r="A5247" s="193" t="s">
        <v>23738</v>
      </c>
      <c r="B5247" s="7" t="s">
        <v>16582</v>
      </c>
      <c r="C5247" s="7" t="s">
        <v>16930</v>
      </c>
      <c r="D5247" s="194">
        <v>2016.0</v>
      </c>
      <c r="E5247" s="193"/>
      <c r="F5247" s="195" t="s">
        <v>23739</v>
      </c>
      <c r="G5247" s="196">
        <v>3.52035584E8</v>
      </c>
      <c r="H5247" s="197">
        <v>1.03</v>
      </c>
      <c r="I5247" s="7" t="s">
        <v>16815</v>
      </c>
      <c r="J5247" s="7" t="s">
        <v>16582</v>
      </c>
      <c r="K5247" s="7" t="s">
        <v>16930</v>
      </c>
      <c r="L5247" s="198" t="s">
        <v>65</v>
      </c>
      <c r="M5247" s="194"/>
      <c r="N5247" s="194"/>
    </row>
    <row r="5248">
      <c r="A5248" s="193" t="s">
        <v>23740</v>
      </c>
      <c r="B5248" s="7" t="s">
        <v>175</v>
      </c>
      <c r="C5248" s="7" t="s">
        <v>16824</v>
      </c>
      <c r="D5248" s="194">
        <v>2017.0</v>
      </c>
      <c r="E5248" s="193"/>
      <c r="F5248" s="195" t="s">
        <v>23741</v>
      </c>
      <c r="G5248" s="196">
        <v>3.5198166E8</v>
      </c>
      <c r="H5248" s="197">
        <v>3.0</v>
      </c>
      <c r="I5248" s="7" t="s">
        <v>17242</v>
      </c>
      <c r="J5248" s="7" t="s">
        <v>175</v>
      </c>
      <c r="K5248" s="7" t="s">
        <v>16824</v>
      </c>
      <c r="L5248" s="198" t="s">
        <v>65</v>
      </c>
      <c r="M5248" s="194"/>
      <c r="N5248" s="194"/>
    </row>
    <row r="5249">
      <c r="A5249" s="193" t="s">
        <v>23742</v>
      </c>
      <c r="B5249" s="7" t="s">
        <v>175</v>
      </c>
      <c r="C5249" s="7" t="s">
        <v>17168</v>
      </c>
      <c r="D5249" s="194">
        <v>2019.0</v>
      </c>
      <c r="E5249" s="193"/>
      <c r="F5249" s="195" t="s">
        <v>23743</v>
      </c>
      <c r="G5249" s="196">
        <v>3.51577744E8</v>
      </c>
      <c r="H5249" s="197">
        <v>49.0</v>
      </c>
      <c r="I5249" s="7" t="s">
        <v>17222</v>
      </c>
      <c r="J5249" s="7" t="s">
        <v>175</v>
      </c>
      <c r="K5249" s="7" t="s">
        <v>17168</v>
      </c>
      <c r="L5249" s="198" t="s">
        <v>65</v>
      </c>
      <c r="M5249" s="194"/>
      <c r="N5249" s="194"/>
    </row>
    <row r="5250">
      <c r="A5250" s="193" t="s">
        <v>23744</v>
      </c>
      <c r="B5250" s="7" t="s">
        <v>187</v>
      </c>
      <c r="C5250" s="7" t="s">
        <v>16846</v>
      </c>
      <c r="D5250" s="199"/>
      <c r="E5250" s="193"/>
      <c r="F5250" s="195" t="s">
        <v>23745</v>
      </c>
      <c r="G5250" s="196">
        <v>3.50481667E8</v>
      </c>
      <c r="H5250" s="197">
        <v>4.93</v>
      </c>
      <c r="I5250" s="7" t="s">
        <v>16815</v>
      </c>
      <c r="J5250" s="7" t="s">
        <v>187</v>
      </c>
      <c r="K5250" s="7" t="s">
        <v>16846</v>
      </c>
      <c r="L5250" s="198" t="s">
        <v>65</v>
      </c>
      <c r="M5250" s="199"/>
      <c r="N5250" s="199"/>
    </row>
    <row r="5251">
      <c r="A5251" s="193" t="s">
        <v>23746</v>
      </c>
      <c r="B5251" s="7" t="s">
        <v>187</v>
      </c>
      <c r="C5251" s="7" t="s">
        <v>20775</v>
      </c>
      <c r="D5251" s="199"/>
      <c r="E5251" s="193"/>
      <c r="F5251" s="195" t="s">
        <v>23747</v>
      </c>
      <c r="G5251" s="196">
        <v>3.49794236E8</v>
      </c>
      <c r="H5251" s="197">
        <v>0.7301</v>
      </c>
      <c r="I5251" s="7" t="s">
        <v>16815</v>
      </c>
      <c r="J5251" s="7" t="s">
        <v>187</v>
      </c>
      <c r="K5251" s="7" t="s">
        <v>20775</v>
      </c>
      <c r="L5251" s="198" t="s">
        <v>65</v>
      </c>
      <c r="M5251" s="199"/>
      <c r="N5251" s="199"/>
    </row>
    <row r="5252">
      <c r="A5252" s="193" t="s">
        <v>23748</v>
      </c>
      <c r="B5252" s="7" t="s">
        <v>187</v>
      </c>
      <c r="C5252" s="7" t="s">
        <v>16846</v>
      </c>
      <c r="D5252" s="194">
        <v>2021.0</v>
      </c>
      <c r="E5252" s="193"/>
      <c r="F5252" s="195" t="s">
        <v>23749</v>
      </c>
      <c r="G5252" s="196">
        <v>3.49660798E8</v>
      </c>
      <c r="H5252" s="197">
        <v>5.51</v>
      </c>
      <c r="I5252" s="7" t="s">
        <v>16815</v>
      </c>
      <c r="J5252" s="7" t="s">
        <v>187</v>
      </c>
      <c r="K5252" s="7" t="s">
        <v>16846</v>
      </c>
      <c r="L5252" s="198" t="s">
        <v>65</v>
      </c>
      <c r="M5252" s="194"/>
      <c r="N5252" s="194"/>
    </row>
    <row r="5253">
      <c r="A5253" s="193" t="s">
        <v>23750</v>
      </c>
      <c r="B5253" s="7" t="s">
        <v>16582</v>
      </c>
      <c r="C5253" s="7" t="s">
        <v>16817</v>
      </c>
      <c r="D5253" s="194">
        <v>2020.0</v>
      </c>
      <c r="E5253" s="193"/>
      <c r="F5253" s="195" t="s">
        <v>23751</v>
      </c>
      <c r="G5253" s="196">
        <v>3.48253234E8</v>
      </c>
      <c r="H5253" s="197">
        <v>3.24</v>
      </c>
      <c r="I5253" s="7" t="s">
        <v>16815</v>
      </c>
      <c r="J5253" s="7" t="s">
        <v>16582</v>
      </c>
      <c r="K5253" s="7" t="s">
        <v>16817</v>
      </c>
      <c r="L5253" s="198" t="s">
        <v>65</v>
      </c>
      <c r="M5253" s="194"/>
      <c r="N5253" s="194"/>
    </row>
    <row r="5254">
      <c r="A5254" s="193" t="s">
        <v>23752</v>
      </c>
      <c r="B5254" s="7" t="s">
        <v>169</v>
      </c>
      <c r="C5254" s="7" t="s">
        <v>17619</v>
      </c>
      <c r="D5254" s="194">
        <v>2000.0</v>
      </c>
      <c r="E5254" s="193"/>
      <c r="F5254" s="195" t="s">
        <v>23753</v>
      </c>
      <c r="G5254" s="196">
        <v>3.47587127E8</v>
      </c>
      <c r="H5254" s="197">
        <v>3.95</v>
      </c>
      <c r="I5254" s="7" t="s">
        <v>16815</v>
      </c>
      <c r="J5254" s="7" t="s">
        <v>169</v>
      </c>
      <c r="K5254" s="7" t="s">
        <v>17619</v>
      </c>
      <c r="L5254" s="198" t="s">
        <v>65</v>
      </c>
      <c r="M5254" s="194"/>
      <c r="N5254" s="194"/>
    </row>
    <row r="5255">
      <c r="A5255" s="193" t="s">
        <v>23752</v>
      </c>
      <c r="B5255" s="7" t="s">
        <v>17619</v>
      </c>
      <c r="C5255" s="7" t="s">
        <v>169</v>
      </c>
      <c r="D5255" s="194">
        <v>2000.0</v>
      </c>
      <c r="E5255" s="193"/>
      <c r="F5255" s="195" t="s">
        <v>23753</v>
      </c>
      <c r="G5255" s="200">
        <v>3.47587127E8</v>
      </c>
      <c r="H5255" s="197">
        <v>3.95</v>
      </c>
      <c r="I5255" s="7" t="s">
        <v>16815</v>
      </c>
      <c r="J5255" s="7" t="s">
        <v>17619</v>
      </c>
      <c r="K5255" s="7" t="s">
        <v>169</v>
      </c>
      <c r="L5255" s="201" t="s">
        <v>16835</v>
      </c>
      <c r="M5255" s="194"/>
      <c r="N5255" s="194"/>
    </row>
    <row r="5256">
      <c r="A5256" s="193" t="s">
        <v>23754</v>
      </c>
      <c r="B5256" s="7" t="s">
        <v>16838</v>
      </c>
      <c r="C5256" s="7" t="s">
        <v>17127</v>
      </c>
      <c r="D5256" s="194">
        <v>2014.0</v>
      </c>
      <c r="E5256" s="193"/>
      <c r="F5256" s="195" t="s">
        <v>23755</v>
      </c>
      <c r="G5256" s="196">
        <v>3.47230283E8</v>
      </c>
      <c r="H5256" s="197">
        <v>9.23</v>
      </c>
      <c r="I5256" s="7" t="s">
        <v>16815</v>
      </c>
      <c r="J5256" s="7" t="s">
        <v>16838</v>
      </c>
      <c r="K5256" s="7" t="s">
        <v>17127</v>
      </c>
      <c r="L5256" s="198" t="s">
        <v>65</v>
      </c>
      <c r="M5256" s="194"/>
      <c r="N5256" s="194"/>
    </row>
    <row r="5257">
      <c r="A5257" s="193" t="s">
        <v>23756</v>
      </c>
      <c r="B5257" s="7" t="s">
        <v>187</v>
      </c>
      <c r="C5257" s="7" t="s">
        <v>16846</v>
      </c>
      <c r="D5257" s="194">
        <v>2017.0</v>
      </c>
      <c r="E5257" s="193"/>
      <c r="F5257" s="195" t="s">
        <v>23757</v>
      </c>
      <c r="G5257" s="196">
        <v>3.47041805E8</v>
      </c>
      <c r="H5257" s="197">
        <v>11.46</v>
      </c>
      <c r="I5257" s="7" t="s">
        <v>16815</v>
      </c>
      <c r="J5257" s="7" t="s">
        <v>187</v>
      </c>
      <c r="K5257" s="7" t="s">
        <v>16846</v>
      </c>
      <c r="L5257" s="198" t="s">
        <v>65</v>
      </c>
      <c r="M5257" s="194"/>
      <c r="N5257" s="194"/>
    </row>
    <row r="5258">
      <c r="A5258" s="193" t="s">
        <v>23758</v>
      </c>
      <c r="B5258" s="7" t="s">
        <v>16582</v>
      </c>
      <c r="C5258" s="7" t="s">
        <v>16930</v>
      </c>
      <c r="D5258" s="194">
        <v>2021.0</v>
      </c>
      <c r="E5258" s="193"/>
      <c r="F5258" s="195" t="s">
        <v>23759</v>
      </c>
      <c r="G5258" s="196">
        <v>3.46667121E8</v>
      </c>
      <c r="H5258" s="197">
        <v>3.68</v>
      </c>
      <c r="I5258" s="7" t="s">
        <v>16815</v>
      </c>
      <c r="J5258" s="7" t="s">
        <v>16582</v>
      </c>
      <c r="K5258" s="7" t="s">
        <v>16930</v>
      </c>
      <c r="L5258" s="198" t="s">
        <v>65</v>
      </c>
      <c r="M5258" s="194"/>
      <c r="N5258" s="194"/>
    </row>
    <row r="5259">
      <c r="A5259" s="193" t="s">
        <v>23760</v>
      </c>
      <c r="B5259" s="7" t="s">
        <v>175</v>
      </c>
      <c r="C5259" s="7" t="s">
        <v>17457</v>
      </c>
      <c r="D5259" s="194">
        <v>2018.0</v>
      </c>
      <c r="E5259" s="193"/>
      <c r="F5259" s="195" t="s">
        <v>23761</v>
      </c>
      <c r="G5259" s="196">
        <v>3.4620395E8</v>
      </c>
      <c r="H5259" s="197">
        <v>9.16</v>
      </c>
      <c r="I5259" s="7" t="s">
        <v>168</v>
      </c>
      <c r="J5259" s="7" t="s">
        <v>175</v>
      </c>
      <c r="K5259" s="7" t="s">
        <v>17457</v>
      </c>
      <c r="L5259" s="198" t="s">
        <v>65</v>
      </c>
      <c r="M5259" s="194"/>
      <c r="N5259" s="194"/>
    </row>
    <row r="5260">
      <c r="A5260" s="193" t="s">
        <v>23762</v>
      </c>
      <c r="B5260" s="7" t="s">
        <v>16838</v>
      </c>
      <c r="C5260" s="7" t="s">
        <v>16867</v>
      </c>
      <c r="D5260" s="194">
        <v>2019.0</v>
      </c>
      <c r="E5260" s="193"/>
      <c r="F5260" s="195" t="s">
        <v>23763</v>
      </c>
      <c r="G5260" s="196">
        <v>3.46080105E8</v>
      </c>
      <c r="H5260" s="197">
        <v>17.5</v>
      </c>
      <c r="I5260" s="7" t="s">
        <v>16924</v>
      </c>
      <c r="J5260" s="7" t="s">
        <v>16838</v>
      </c>
      <c r="K5260" s="7" t="s">
        <v>16867</v>
      </c>
      <c r="L5260" s="198" t="s">
        <v>65</v>
      </c>
      <c r="M5260" s="194"/>
      <c r="N5260" s="194"/>
    </row>
    <row r="5261">
      <c r="A5261" s="193" t="s">
        <v>23764</v>
      </c>
      <c r="B5261" s="7" t="s">
        <v>187</v>
      </c>
      <c r="C5261" s="7" t="s">
        <v>16992</v>
      </c>
      <c r="D5261" s="194">
        <v>2020.0</v>
      </c>
      <c r="E5261" s="193"/>
      <c r="F5261" s="195" t="s">
        <v>23765</v>
      </c>
      <c r="G5261" s="196">
        <v>3.45779665E8</v>
      </c>
      <c r="H5261" s="197">
        <v>8.09</v>
      </c>
      <c r="I5261" s="7" t="s">
        <v>16815</v>
      </c>
      <c r="J5261" s="7" t="s">
        <v>187</v>
      </c>
      <c r="K5261" s="7" t="s">
        <v>16992</v>
      </c>
      <c r="L5261" s="198" t="s">
        <v>65</v>
      </c>
      <c r="M5261" s="194"/>
      <c r="N5261" s="194"/>
    </row>
    <row r="5262">
      <c r="A5262" s="193" t="s">
        <v>23766</v>
      </c>
      <c r="B5262" s="7" t="s">
        <v>175</v>
      </c>
      <c r="C5262" s="7" t="s">
        <v>17084</v>
      </c>
      <c r="D5262" s="194">
        <v>2021.0</v>
      </c>
      <c r="E5262" s="193"/>
      <c r="F5262" s="195" t="s">
        <v>23767</v>
      </c>
      <c r="G5262" s="196">
        <v>3.45517254E8</v>
      </c>
      <c r="H5262" s="197">
        <v>3.32</v>
      </c>
      <c r="I5262" s="7" t="s">
        <v>16908</v>
      </c>
      <c r="J5262" s="7" t="s">
        <v>175</v>
      </c>
      <c r="K5262" s="7" t="s">
        <v>17084</v>
      </c>
      <c r="L5262" s="198" t="s">
        <v>65</v>
      </c>
      <c r="M5262" s="194"/>
      <c r="N5262" s="194"/>
    </row>
    <row r="5263">
      <c r="A5263" s="193" t="s">
        <v>23766</v>
      </c>
      <c r="B5263" s="7" t="s">
        <v>17084</v>
      </c>
      <c r="C5263" s="7" t="s">
        <v>175</v>
      </c>
      <c r="D5263" s="194">
        <v>2021.0</v>
      </c>
      <c r="E5263" s="193"/>
      <c r="F5263" s="195" t="s">
        <v>23767</v>
      </c>
      <c r="G5263" s="200">
        <v>3.45517254E8</v>
      </c>
      <c r="H5263" s="197">
        <v>3.32</v>
      </c>
      <c r="I5263" s="7" t="s">
        <v>16815</v>
      </c>
      <c r="J5263" s="7" t="s">
        <v>17084</v>
      </c>
      <c r="K5263" s="7" t="s">
        <v>175</v>
      </c>
      <c r="L5263" s="201" t="s">
        <v>16835</v>
      </c>
      <c r="M5263" s="194"/>
      <c r="N5263" s="194"/>
    </row>
    <row r="5264">
      <c r="A5264" s="193" t="s">
        <v>23768</v>
      </c>
      <c r="B5264" s="7" t="s">
        <v>16838</v>
      </c>
      <c r="C5264" s="7" t="s">
        <v>19644</v>
      </c>
      <c r="D5264" s="194">
        <v>1993.0</v>
      </c>
      <c r="E5264" s="193"/>
      <c r="F5264" s="195" t="s">
        <v>23769</v>
      </c>
      <c r="G5264" s="196">
        <v>3.45034775E8</v>
      </c>
      <c r="H5264" s="197">
        <v>7.77</v>
      </c>
      <c r="I5264" s="7" t="s">
        <v>16815</v>
      </c>
      <c r="J5264" s="7" t="s">
        <v>16838</v>
      </c>
      <c r="K5264" s="7" t="s">
        <v>19644</v>
      </c>
      <c r="L5264" s="198" t="s">
        <v>65</v>
      </c>
      <c r="M5264" s="194"/>
      <c r="N5264" s="194"/>
    </row>
    <row r="5265">
      <c r="A5265" s="193" t="s">
        <v>23768</v>
      </c>
      <c r="B5265" s="202" t="s">
        <v>19644</v>
      </c>
      <c r="C5265" s="193" t="s">
        <v>16838</v>
      </c>
      <c r="D5265" s="193">
        <v>1993.0</v>
      </c>
      <c r="E5265" s="193"/>
      <c r="F5265" s="203" t="s">
        <v>23769</v>
      </c>
      <c r="G5265" s="200">
        <v>3.45034775E8</v>
      </c>
      <c r="H5265" s="205">
        <v>1.3</v>
      </c>
      <c r="J5265" s="202" t="s">
        <v>19644</v>
      </c>
      <c r="K5265" s="193" t="s">
        <v>16838</v>
      </c>
      <c r="L5265" s="193" t="s">
        <v>17471</v>
      </c>
      <c r="M5265" s="193"/>
      <c r="N5265" s="193"/>
    </row>
    <row r="5266">
      <c r="A5266" s="193" t="s">
        <v>23770</v>
      </c>
      <c r="B5266" s="7" t="s">
        <v>16582</v>
      </c>
      <c r="C5266" s="7" t="s">
        <v>17342</v>
      </c>
      <c r="D5266" s="199"/>
      <c r="E5266" s="193"/>
      <c r="F5266" s="195" t="s">
        <v>23771</v>
      </c>
      <c r="G5266" s="196">
        <v>3.44569382E8</v>
      </c>
      <c r="H5266" s="197">
        <v>29.4</v>
      </c>
      <c r="I5266" s="7" t="s">
        <v>16815</v>
      </c>
      <c r="J5266" s="7" t="s">
        <v>16582</v>
      </c>
      <c r="K5266" s="7" t="s">
        <v>17342</v>
      </c>
      <c r="L5266" s="198" t="s">
        <v>65</v>
      </c>
      <c r="M5266" s="199"/>
      <c r="N5266" s="199"/>
    </row>
    <row r="5267">
      <c r="A5267" s="193" t="s">
        <v>23772</v>
      </c>
      <c r="B5267" s="7" t="s">
        <v>169</v>
      </c>
      <c r="C5267" s="7" t="s">
        <v>17233</v>
      </c>
      <c r="D5267" s="194">
        <v>2015.0</v>
      </c>
      <c r="E5267" s="193"/>
      <c r="F5267" s="195" t="s">
        <v>23773</v>
      </c>
      <c r="G5267" s="196">
        <v>3.44260013E8</v>
      </c>
      <c r="H5267" s="197">
        <v>19.95</v>
      </c>
      <c r="I5267" s="7" t="s">
        <v>16815</v>
      </c>
      <c r="J5267" s="7" t="s">
        <v>169</v>
      </c>
      <c r="K5267" s="7" t="s">
        <v>17233</v>
      </c>
      <c r="L5267" s="198" t="s">
        <v>65</v>
      </c>
      <c r="M5267" s="194"/>
      <c r="N5267" s="194"/>
    </row>
    <row r="5268">
      <c r="A5268" s="193" t="s">
        <v>23774</v>
      </c>
      <c r="B5268" s="7" t="s">
        <v>16582</v>
      </c>
      <c r="C5268" s="7" t="s">
        <v>16930</v>
      </c>
      <c r="D5268" s="199"/>
      <c r="E5268" s="193"/>
      <c r="F5268" s="195" t="s">
        <v>23775</v>
      </c>
      <c r="G5268" s="196">
        <v>3.43461514E8</v>
      </c>
      <c r="H5268" s="197">
        <v>2.0</v>
      </c>
      <c r="I5268" s="7" t="s">
        <v>16815</v>
      </c>
      <c r="J5268" s="7" t="s">
        <v>16582</v>
      </c>
      <c r="K5268" s="7" t="s">
        <v>16930</v>
      </c>
      <c r="L5268" s="198" t="s">
        <v>65</v>
      </c>
      <c r="M5268" s="199"/>
      <c r="N5268" s="199"/>
    </row>
    <row r="5269">
      <c r="A5269" s="193" t="s">
        <v>23776</v>
      </c>
      <c r="B5269" s="7" t="s">
        <v>187</v>
      </c>
      <c r="C5269" s="7" t="s">
        <v>16846</v>
      </c>
      <c r="D5269" s="194">
        <v>2021.0</v>
      </c>
      <c r="E5269" s="193"/>
      <c r="F5269" s="195" t="s">
        <v>23777</v>
      </c>
      <c r="G5269" s="196">
        <v>3.42818881E8</v>
      </c>
      <c r="H5269" s="197">
        <v>6.85</v>
      </c>
      <c r="I5269" s="7" t="s">
        <v>16815</v>
      </c>
      <c r="J5269" s="7" t="s">
        <v>187</v>
      </c>
      <c r="K5269" s="7" t="s">
        <v>16846</v>
      </c>
      <c r="L5269" s="198" t="s">
        <v>65</v>
      </c>
      <c r="M5269" s="194"/>
      <c r="N5269" s="194"/>
    </row>
    <row r="5270">
      <c r="A5270" s="193" t="s">
        <v>23778</v>
      </c>
      <c r="B5270" s="7" t="s">
        <v>16838</v>
      </c>
      <c r="C5270" s="7" t="s">
        <v>16867</v>
      </c>
      <c r="D5270" s="199"/>
      <c r="E5270" s="193"/>
      <c r="F5270" s="195" t="s">
        <v>23779</v>
      </c>
      <c r="G5270" s="196">
        <v>3.42810936E8</v>
      </c>
      <c r="H5270" s="197">
        <v>159.64</v>
      </c>
      <c r="I5270" s="7" t="s">
        <v>16815</v>
      </c>
      <c r="J5270" s="7" t="s">
        <v>16838</v>
      </c>
      <c r="K5270" s="7" t="s">
        <v>16867</v>
      </c>
      <c r="L5270" s="198" t="s">
        <v>65</v>
      </c>
      <c r="M5270" s="199"/>
      <c r="N5270" s="199"/>
    </row>
    <row r="5271">
      <c r="A5271" s="193" t="s">
        <v>23780</v>
      </c>
      <c r="B5271" s="7" t="s">
        <v>187</v>
      </c>
      <c r="C5271" s="7" t="s">
        <v>16858</v>
      </c>
      <c r="D5271" s="194">
        <v>2020.0</v>
      </c>
      <c r="E5271" s="193"/>
      <c r="F5271" s="195" t="s">
        <v>23781</v>
      </c>
      <c r="G5271" s="196">
        <v>3.42104198E8</v>
      </c>
      <c r="H5271" s="197">
        <v>9.56</v>
      </c>
      <c r="I5271" s="7" t="s">
        <v>16815</v>
      </c>
      <c r="J5271" s="7" t="s">
        <v>187</v>
      </c>
      <c r="K5271" s="7" t="s">
        <v>16858</v>
      </c>
      <c r="L5271" s="198" t="s">
        <v>65</v>
      </c>
      <c r="M5271" s="194"/>
      <c r="N5271" s="194"/>
    </row>
    <row r="5272">
      <c r="A5272" s="193" t="s">
        <v>23782</v>
      </c>
      <c r="B5272" s="7" t="s">
        <v>16582</v>
      </c>
      <c r="C5272" s="7" t="s">
        <v>17342</v>
      </c>
      <c r="D5272" s="199"/>
      <c r="E5272" s="193"/>
      <c r="F5272" s="195" t="s">
        <v>23783</v>
      </c>
      <c r="G5272" s="196">
        <v>3.408524E8</v>
      </c>
      <c r="H5272" s="197">
        <v>6.02</v>
      </c>
      <c r="I5272" s="7" t="s">
        <v>16815</v>
      </c>
      <c r="J5272" s="7" t="s">
        <v>16582</v>
      </c>
      <c r="K5272" s="7" t="s">
        <v>17342</v>
      </c>
      <c r="L5272" s="198" t="s">
        <v>65</v>
      </c>
      <c r="M5272" s="199"/>
      <c r="N5272" s="199"/>
    </row>
    <row r="5273">
      <c r="A5273" s="193" t="s">
        <v>23784</v>
      </c>
      <c r="B5273" s="7" t="s">
        <v>187</v>
      </c>
      <c r="C5273" s="7" t="s">
        <v>17122</v>
      </c>
      <c r="D5273" s="194">
        <v>2021.0</v>
      </c>
      <c r="E5273" s="193"/>
      <c r="F5273" s="195" t="s">
        <v>23785</v>
      </c>
      <c r="G5273" s="196">
        <v>3.40530039E8</v>
      </c>
      <c r="H5273" s="197">
        <v>3.29</v>
      </c>
      <c r="I5273" s="7" t="s">
        <v>16815</v>
      </c>
      <c r="J5273" s="7" t="s">
        <v>187</v>
      </c>
      <c r="K5273" s="7" t="s">
        <v>17122</v>
      </c>
      <c r="L5273" s="198" t="s">
        <v>65</v>
      </c>
      <c r="M5273" s="194"/>
      <c r="N5273" s="194"/>
    </row>
    <row r="5274">
      <c r="A5274" s="193" t="s">
        <v>23786</v>
      </c>
      <c r="B5274" s="7" t="s">
        <v>187</v>
      </c>
      <c r="C5274" s="7" t="s">
        <v>16992</v>
      </c>
      <c r="D5274" s="194">
        <v>2021.0</v>
      </c>
      <c r="E5274" s="193"/>
      <c r="F5274" s="195" t="s">
        <v>23787</v>
      </c>
      <c r="G5274" s="196">
        <v>3.40459874E8</v>
      </c>
      <c r="H5274" s="197">
        <v>3.85</v>
      </c>
      <c r="I5274" s="7" t="s">
        <v>16815</v>
      </c>
      <c r="J5274" s="7" t="s">
        <v>187</v>
      </c>
      <c r="K5274" s="7" t="s">
        <v>16992</v>
      </c>
      <c r="L5274" s="198" t="s">
        <v>65</v>
      </c>
      <c r="M5274" s="194"/>
      <c r="N5274" s="194"/>
    </row>
    <row r="5275">
      <c r="A5275" s="193" t="s">
        <v>23788</v>
      </c>
      <c r="B5275" s="7" t="s">
        <v>187</v>
      </c>
      <c r="C5275" s="7" t="s">
        <v>16846</v>
      </c>
      <c r="D5275" s="194">
        <v>2020.0</v>
      </c>
      <c r="E5275" s="193"/>
      <c r="F5275" s="195" t="s">
        <v>23789</v>
      </c>
      <c r="G5275" s="196">
        <v>3.4040005E8</v>
      </c>
      <c r="H5275" s="197">
        <v>6.24</v>
      </c>
      <c r="I5275" s="7" t="s">
        <v>16815</v>
      </c>
      <c r="J5275" s="7" t="s">
        <v>187</v>
      </c>
      <c r="K5275" s="7" t="s">
        <v>16846</v>
      </c>
      <c r="L5275" s="198" t="s">
        <v>65</v>
      </c>
      <c r="M5275" s="194"/>
      <c r="N5275" s="194"/>
    </row>
    <row r="5276">
      <c r="A5276" s="193" t="s">
        <v>23790</v>
      </c>
      <c r="B5276" s="7" t="s">
        <v>19644</v>
      </c>
      <c r="C5276" s="7" t="s">
        <v>16838</v>
      </c>
      <c r="D5276" s="194">
        <v>1988.0</v>
      </c>
      <c r="E5276" s="193"/>
      <c r="F5276" s="195" t="s">
        <v>23791</v>
      </c>
      <c r="G5276" s="200">
        <v>3.40386659E8</v>
      </c>
      <c r="H5276" s="197">
        <v>3.42</v>
      </c>
      <c r="I5276" s="7" t="s">
        <v>16815</v>
      </c>
      <c r="J5276" s="7" t="s">
        <v>19644</v>
      </c>
      <c r="K5276" s="7" t="s">
        <v>16838</v>
      </c>
      <c r="L5276" s="201" t="s">
        <v>16835</v>
      </c>
      <c r="M5276" s="194"/>
      <c r="N5276" s="194"/>
    </row>
    <row r="5277">
      <c r="A5277" s="193" t="s">
        <v>23790</v>
      </c>
      <c r="B5277" s="7" t="s">
        <v>16838</v>
      </c>
      <c r="C5277" s="7" t="s">
        <v>19644</v>
      </c>
      <c r="D5277" s="194">
        <v>1988.0</v>
      </c>
      <c r="E5277" s="193"/>
      <c r="F5277" s="195" t="s">
        <v>23791</v>
      </c>
      <c r="G5277" s="196">
        <v>3.40386659E8</v>
      </c>
      <c r="H5277" s="197">
        <v>3.42</v>
      </c>
      <c r="I5277" s="7" t="s">
        <v>16815</v>
      </c>
      <c r="J5277" s="7" t="s">
        <v>16838</v>
      </c>
      <c r="K5277" s="7" t="s">
        <v>19644</v>
      </c>
      <c r="L5277" s="198" t="s">
        <v>65</v>
      </c>
      <c r="M5277" s="194"/>
      <c r="N5277" s="194"/>
    </row>
    <row r="5278">
      <c r="A5278" s="193" t="s">
        <v>23792</v>
      </c>
      <c r="B5278" s="7" t="s">
        <v>16838</v>
      </c>
      <c r="C5278" s="7" t="s">
        <v>18219</v>
      </c>
      <c r="D5278" s="194">
        <v>2022.0</v>
      </c>
      <c r="E5278" s="193"/>
      <c r="F5278" s="195" t="s">
        <v>23793</v>
      </c>
      <c r="G5278" s="196">
        <v>3.4015092E8</v>
      </c>
      <c r="H5278" s="197">
        <v>4.97</v>
      </c>
      <c r="I5278" s="7" t="s">
        <v>16815</v>
      </c>
      <c r="J5278" s="7" t="s">
        <v>16838</v>
      </c>
      <c r="K5278" s="7" t="s">
        <v>18219</v>
      </c>
      <c r="L5278" s="198" t="s">
        <v>65</v>
      </c>
      <c r="M5278" s="194"/>
      <c r="N5278" s="194"/>
    </row>
    <row r="5279">
      <c r="A5279" s="193" t="s">
        <v>23794</v>
      </c>
      <c r="B5279" s="7" t="s">
        <v>16582</v>
      </c>
      <c r="C5279" s="7" t="s">
        <v>17342</v>
      </c>
      <c r="D5279" s="199"/>
      <c r="E5279" s="193"/>
      <c r="F5279" s="195" t="s">
        <v>23795</v>
      </c>
      <c r="G5279" s="196">
        <v>3.39217626E8</v>
      </c>
      <c r="H5279" s="197">
        <v>12.06</v>
      </c>
      <c r="I5279" s="7" t="s">
        <v>16815</v>
      </c>
      <c r="J5279" s="7" t="s">
        <v>16582</v>
      </c>
      <c r="K5279" s="7" t="s">
        <v>17342</v>
      </c>
      <c r="L5279" s="198" t="s">
        <v>65</v>
      </c>
      <c r="M5279" s="199"/>
      <c r="N5279" s="199"/>
    </row>
    <row r="5280">
      <c r="A5280" s="193" t="s">
        <v>23796</v>
      </c>
      <c r="B5280" s="7" t="s">
        <v>19579</v>
      </c>
      <c r="C5280" s="7" t="s">
        <v>16838</v>
      </c>
      <c r="D5280" s="194">
        <v>1987.0</v>
      </c>
      <c r="E5280" s="193"/>
      <c r="F5280" s="195" t="s">
        <v>23797</v>
      </c>
      <c r="G5280" s="200">
        <v>3.38239337E8</v>
      </c>
      <c r="H5280" s="197">
        <v>5.43</v>
      </c>
      <c r="I5280" s="193" t="s">
        <v>16815</v>
      </c>
      <c r="J5280" s="7" t="s">
        <v>19579</v>
      </c>
      <c r="K5280" s="7" t="s">
        <v>16838</v>
      </c>
      <c r="L5280" s="201" t="s">
        <v>16835</v>
      </c>
      <c r="M5280" s="194"/>
      <c r="N5280" s="194"/>
    </row>
    <row r="5281">
      <c r="A5281" s="193" t="s">
        <v>23796</v>
      </c>
      <c r="B5281" s="7" t="s">
        <v>16838</v>
      </c>
      <c r="C5281" s="7" t="s">
        <v>19579</v>
      </c>
      <c r="D5281" s="194">
        <v>1987.0</v>
      </c>
      <c r="E5281" s="193"/>
      <c r="F5281" s="195" t="s">
        <v>23797</v>
      </c>
      <c r="G5281" s="196">
        <v>3.38239337E8</v>
      </c>
      <c r="H5281" s="197">
        <v>5.43</v>
      </c>
      <c r="I5281" s="7" t="s">
        <v>16815</v>
      </c>
      <c r="J5281" s="7" t="s">
        <v>16838</v>
      </c>
      <c r="K5281" s="7" t="s">
        <v>19579</v>
      </c>
      <c r="L5281" s="198" t="s">
        <v>65</v>
      </c>
      <c r="M5281" s="194"/>
      <c r="N5281" s="194"/>
    </row>
    <row r="5282">
      <c r="A5282" s="193" t="s">
        <v>23798</v>
      </c>
      <c r="B5282" s="7" t="s">
        <v>187</v>
      </c>
      <c r="C5282" s="7" t="s">
        <v>16846</v>
      </c>
      <c r="D5282" s="194">
        <v>2015.0</v>
      </c>
      <c r="E5282" s="193"/>
      <c r="F5282" s="195" t="s">
        <v>23799</v>
      </c>
      <c r="G5282" s="196">
        <v>3.36826102E8</v>
      </c>
      <c r="H5282" s="197">
        <v>4.755</v>
      </c>
      <c r="I5282" s="7" t="s">
        <v>16815</v>
      </c>
      <c r="J5282" s="7" t="s">
        <v>187</v>
      </c>
      <c r="K5282" s="7" t="s">
        <v>16846</v>
      </c>
      <c r="L5282" s="198" t="s">
        <v>65</v>
      </c>
      <c r="M5282" s="194"/>
      <c r="N5282" s="194"/>
    </row>
    <row r="5283">
      <c r="A5283" s="193" t="s">
        <v>23800</v>
      </c>
      <c r="D5283" s="194">
        <v>2023.0</v>
      </c>
      <c r="E5283" s="193"/>
      <c r="F5283" s="195" t="s">
        <v>23801</v>
      </c>
      <c r="G5283" s="196">
        <v>3.36312374E8</v>
      </c>
      <c r="H5283" s="197">
        <v>2.44</v>
      </c>
      <c r="I5283" s="7" t="s">
        <v>16815</v>
      </c>
      <c r="L5283" s="198" t="s">
        <v>65</v>
      </c>
      <c r="M5283" s="194"/>
      <c r="N5283" s="194"/>
    </row>
    <row r="5284">
      <c r="A5284" s="193" t="s">
        <v>23800</v>
      </c>
      <c r="B5284" s="208"/>
      <c r="C5284" s="206"/>
      <c r="D5284" s="193">
        <v>2023.0</v>
      </c>
      <c r="E5284" s="193"/>
      <c r="F5284" s="203" t="s">
        <v>23801</v>
      </c>
      <c r="G5284" s="200">
        <v>3.36312374E8</v>
      </c>
      <c r="H5284" s="205">
        <v>7.77</v>
      </c>
      <c r="J5284" s="208"/>
      <c r="K5284" s="206"/>
      <c r="L5284" s="193" t="s">
        <v>17471</v>
      </c>
      <c r="M5284" s="193"/>
      <c r="N5284" s="193"/>
    </row>
    <row r="5285">
      <c r="A5285" s="193" t="s">
        <v>23802</v>
      </c>
      <c r="B5285" s="7" t="s">
        <v>16867</v>
      </c>
      <c r="C5285" s="7" t="s">
        <v>16838</v>
      </c>
      <c r="D5285" s="199"/>
      <c r="E5285" s="193"/>
      <c r="F5285" s="195" t="s">
        <v>23803</v>
      </c>
      <c r="G5285" s="200">
        <v>3.36194213E8</v>
      </c>
      <c r="H5285" s="197">
        <v>29.16</v>
      </c>
      <c r="I5285" s="7" t="s">
        <v>16815</v>
      </c>
      <c r="J5285" s="7" t="s">
        <v>16867</v>
      </c>
      <c r="K5285" s="7" t="s">
        <v>16838</v>
      </c>
      <c r="L5285" s="201" t="s">
        <v>16835</v>
      </c>
      <c r="M5285" s="199"/>
      <c r="N5285" s="199"/>
    </row>
    <row r="5286">
      <c r="A5286" s="193" t="s">
        <v>23802</v>
      </c>
      <c r="B5286" s="7" t="s">
        <v>16838</v>
      </c>
      <c r="C5286" s="7" t="s">
        <v>16867</v>
      </c>
      <c r="D5286" s="199"/>
      <c r="E5286" s="193"/>
      <c r="F5286" s="195" t="s">
        <v>23803</v>
      </c>
      <c r="G5286" s="196">
        <v>3.36194213E8</v>
      </c>
      <c r="H5286" s="197">
        <v>29.16</v>
      </c>
      <c r="I5286" s="7" t="s">
        <v>16815</v>
      </c>
      <c r="J5286" s="7" t="s">
        <v>16838</v>
      </c>
      <c r="K5286" s="7" t="s">
        <v>16867</v>
      </c>
      <c r="L5286" s="198" t="s">
        <v>65</v>
      </c>
      <c r="M5286" s="199"/>
      <c r="N5286" s="199"/>
    </row>
    <row r="5287">
      <c r="A5287" s="193" t="s">
        <v>23804</v>
      </c>
      <c r="B5287" s="7" t="s">
        <v>187</v>
      </c>
      <c r="C5287" s="7" t="s">
        <v>16992</v>
      </c>
      <c r="D5287" s="199"/>
      <c r="E5287" s="193"/>
      <c r="F5287" s="195" t="s">
        <v>23805</v>
      </c>
      <c r="G5287" s="196">
        <v>3.3580755E8</v>
      </c>
      <c r="H5287" s="197">
        <v>4.53</v>
      </c>
      <c r="I5287" s="7" t="s">
        <v>16815</v>
      </c>
      <c r="J5287" s="7" t="s">
        <v>187</v>
      </c>
      <c r="K5287" s="7" t="s">
        <v>16992</v>
      </c>
      <c r="L5287" s="198" t="s">
        <v>65</v>
      </c>
      <c r="M5287" s="199"/>
      <c r="N5287" s="199"/>
    </row>
    <row r="5288">
      <c r="A5288" s="193" t="s">
        <v>23806</v>
      </c>
      <c r="B5288" s="7" t="s">
        <v>17202</v>
      </c>
      <c r="C5288" s="7" t="s">
        <v>16838</v>
      </c>
      <c r="D5288" s="194">
        <v>2010.0</v>
      </c>
      <c r="E5288" s="193"/>
      <c r="F5288" s="195" t="s">
        <v>23807</v>
      </c>
      <c r="G5288" s="200">
        <v>3.34609761E8</v>
      </c>
      <c r="H5288" s="197">
        <v>14.94</v>
      </c>
      <c r="I5288" s="7" t="s">
        <v>16815</v>
      </c>
      <c r="J5288" s="7" t="s">
        <v>17202</v>
      </c>
      <c r="K5288" s="7" t="s">
        <v>16838</v>
      </c>
      <c r="L5288" s="201" t="s">
        <v>16835</v>
      </c>
      <c r="M5288" s="194"/>
      <c r="N5288" s="194"/>
    </row>
    <row r="5289">
      <c r="A5289" s="193" t="s">
        <v>23806</v>
      </c>
      <c r="B5289" s="7" t="s">
        <v>16838</v>
      </c>
      <c r="C5289" s="7" t="s">
        <v>17202</v>
      </c>
      <c r="D5289" s="194">
        <v>2010.0</v>
      </c>
      <c r="E5289" s="193"/>
      <c r="F5289" s="195" t="s">
        <v>23807</v>
      </c>
      <c r="G5289" s="196">
        <v>3.34609761E8</v>
      </c>
      <c r="H5289" s="197">
        <v>14.94</v>
      </c>
      <c r="I5289" s="7" t="s">
        <v>16815</v>
      </c>
      <c r="J5289" s="7" t="s">
        <v>16838</v>
      </c>
      <c r="K5289" s="7" t="s">
        <v>17202</v>
      </c>
      <c r="L5289" s="198" t="s">
        <v>65</v>
      </c>
      <c r="M5289" s="194"/>
      <c r="N5289" s="194"/>
    </row>
    <row r="5290">
      <c r="A5290" s="193" t="s">
        <v>23808</v>
      </c>
      <c r="B5290" s="7" t="s">
        <v>16582</v>
      </c>
      <c r="C5290" s="7" t="s">
        <v>16828</v>
      </c>
      <c r="D5290" s="199"/>
      <c r="E5290" s="193"/>
      <c r="F5290" s="195" t="s">
        <v>23809</v>
      </c>
      <c r="G5290" s="196">
        <v>3.34519683E8</v>
      </c>
      <c r="H5290" s="197">
        <v>69.21</v>
      </c>
      <c r="I5290" s="7" t="s">
        <v>16815</v>
      </c>
      <c r="J5290" s="7" t="s">
        <v>16582</v>
      </c>
      <c r="K5290" s="7" t="s">
        <v>16828</v>
      </c>
      <c r="L5290" s="198" t="s">
        <v>65</v>
      </c>
      <c r="M5290" s="199"/>
      <c r="N5290" s="199"/>
    </row>
    <row r="5291">
      <c r="A5291" s="193" t="s">
        <v>23810</v>
      </c>
      <c r="B5291" s="7" t="s">
        <v>187</v>
      </c>
      <c r="C5291" s="7" t="s">
        <v>16846</v>
      </c>
      <c r="D5291" s="194">
        <v>2021.0</v>
      </c>
      <c r="E5291" s="193"/>
      <c r="F5291" s="195" t="s">
        <v>23811</v>
      </c>
      <c r="G5291" s="196">
        <v>3.34336548E8</v>
      </c>
      <c r="H5291" s="197">
        <v>16.44</v>
      </c>
      <c r="I5291" s="7" t="s">
        <v>16815</v>
      </c>
      <c r="J5291" s="7" t="s">
        <v>187</v>
      </c>
      <c r="K5291" s="7" t="s">
        <v>16846</v>
      </c>
      <c r="L5291" s="198" t="s">
        <v>65</v>
      </c>
      <c r="M5291" s="194"/>
      <c r="N5291" s="194"/>
    </row>
    <row r="5292">
      <c r="A5292" s="193" t="s">
        <v>23812</v>
      </c>
      <c r="B5292" s="7" t="s">
        <v>175</v>
      </c>
      <c r="C5292" s="7" t="s">
        <v>17084</v>
      </c>
      <c r="D5292" s="199"/>
      <c r="E5292" s="193"/>
      <c r="F5292" s="195" t="s">
        <v>23813</v>
      </c>
      <c r="G5292" s="196">
        <v>3.34240091E8</v>
      </c>
      <c r="H5292" s="197">
        <v>29.05</v>
      </c>
      <c r="I5292" s="7" t="s">
        <v>16908</v>
      </c>
      <c r="J5292" s="7" t="s">
        <v>175</v>
      </c>
      <c r="K5292" s="7" t="s">
        <v>17084</v>
      </c>
      <c r="L5292" s="198" t="s">
        <v>65</v>
      </c>
      <c r="M5292" s="199"/>
      <c r="N5292" s="199"/>
    </row>
    <row r="5293">
      <c r="A5293" s="193" t="s">
        <v>23812</v>
      </c>
      <c r="B5293" s="7" t="s">
        <v>17084</v>
      </c>
      <c r="C5293" s="7" t="s">
        <v>175</v>
      </c>
      <c r="D5293" s="199"/>
      <c r="E5293" s="193"/>
      <c r="F5293" s="195" t="s">
        <v>23813</v>
      </c>
      <c r="G5293" s="200">
        <v>3.34240091E8</v>
      </c>
      <c r="H5293" s="197">
        <v>29.05</v>
      </c>
      <c r="I5293" s="7" t="s">
        <v>16815</v>
      </c>
      <c r="J5293" s="7" t="s">
        <v>17084</v>
      </c>
      <c r="K5293" s="7" t="s">
        <v>175</v>
      </c>
      <c r="L5293" s="201" t="s">
        <v>16835</v>
      </c>
      <c r="M5293" s="199"/>
      <c r="N5293" s="199"/>
    </row>
    <row r="5294">
      <c r="A5294" s="193" t="s">
        <v>23814</v>
      </c>
      <c r="B5294" s="7" t="s">
        <v>16838</v>
      </c>
      <c r="C5294" s="7" t="s">
        <v>16867</v>
      </c>
      <c r="D5294" s="199"/>
      <c r="E5294" s="193"/>
      <c r="F5294" s="195" t="s">
        <v>23815</v>
      </c>
      <c r="G5294" s="196">
        <v>3.33303724E8</v>
      </c>
      <c r="H5294" s="197">
        <v>13.51</v>
      </c>
      <c r="I5294" s="7" t="s">
        <v>16815</v>
      </c>
      <c r="J5294" s="7" t="s">
        <v>16838</v>
      </c>
      <c r="K5294" s="7" t="s">
        <v>16867</v>
      </c>
      <c r="L5294" s="198" t="s">
        <v>65</v>
      </c>
      <c r="M5294" s="199"/>
      <c r="N5294" s="199"/>
    </row>
    <row r="5295">
      <c r="A5295" s="193" t="s">
        <v>23816</v>
      </c>
      <c r="B5295" s="7" t="s">
        <v>16838</v>
      </c>
      <c r="C5295" s="7" t="s">
        <v>16867</v>
      </c>
      <c r="D5295" s="199"/>
      <c r="E5295" s="193"/>
      <c r="F5295" s="195" t="s">
        <v>23817</v>
      </c>
      <c r="G5295" s="196">
        <v>3.33193851E8</v>
      </c>
      <c r="H5295" s="197">
        <v>44.87</v>
      </c>
      <c r="I5295" s="7" t="s">
        <v>16815</v>
      </c>
      <c r="J5295" s="7" t="s">
        <v>16838</v>
      </c>
      <c r="K5295" s="7" t="s">
        <v>16867</v>
      </c>
      <c r="L5295" s="198" t="s">
        <v>65</v>
      </c>
      <c r="M5295" s="199"/>
      <c r="N5295" s="199"/>
    </row>
    <row r="5296">
      <c r="A5296" s="193" t="s">
        <v>23818</v>
      </c>
      <c r="B5296" s="7" t="s">
        <v>17202</v>
      </c>
      <c r="C5296" s="7" t="s">
        <v>16838</v>
      </c>
      <c r="D5296" s="194">
        <v>2023.0</v>
      </c>
      <c r="E5296" s="193"/>
      <c r="F5296" s="195" t="s">
        <v>23819</v>
      </c>
      <c r="G5296" s="200">
        <v>3.32858116E8</v>
      </c>
      <c r="H5296" s="197">
        <v>25.38</v>
      </c>
      <c r="I5296" s="7" t="s">
        <v>16815</v>
      </c>
      <c r="J5296" s="7" t="s">
        <v>17202</v>
      </c>
      <c r="K5296" s="7" t="s">
        <v>16838</v>
      </c>
      <c r="L5296" s="201" t="s">
        <v>16835</v>
      </c>
      <c r="M5296" s="194"/>
      <c r="N5296" s="194"/>
    </row>
    <row r="5297">
      <c r="A5297" s="193" t="s">
        <v>23818</v>
      </c>
      <c r="B5297" s="7" t="s">
        <v>16838</v>
      </c>
      <c r="C5297" s="7" t="s">
        <v>17202</v>
      </c>
      <c r="D5297" s="194">
        <v>2023.0</v>
      </c>
      <c r="E5297" s="193"/>
      <c r="F5297" s="195" t="s">
        <v>23819</v>
      </c>
      <c r="G5297" s="196">
        <v>3.32858116E8</v>
      </c>
      <c r="H5297" s="197">
        <v>25.38</v>
      </c>
      <c r="I5297" s="7" t="s">
        <v>16815</v>
      </c>
      <c r="J5297" s="7" t="s">
        <v>16838</v>
      </c>
      <c r="K5297" s="7" t="s">
        <v>17202</v>
      </c>
      <c r="L5297" s="198" t="s">
        <v>65</v>
      </c>
      <c r="M5297" s="194"/>
      <c r="N5297" s="194"/>
    </row>
    <row r="5298">
      <c r="A5298" s="193" t="s">
        <v>23820</v>
      </c>
      <c r="B5298" s="7" t="s">
        <v>158</v>
      </c>
      <c r="C5298" s="7" t="s">
        <v>16864</v>
      </c>
      <c r="D5298" s="199"/>
      <c r="E5298" s="193"/>
      <c r="F5298" s="195" t="s">
        <v>23821</v>
      </c>
      <c r="G5298" s="196">
        <v>3.32847851E8</v>
      </c>
      <c r="H5298" s="197">
        <v>0.5243</v>
      </c>
      <c r="I5298" s="7" t="s">
        <v>180</v>
      </c>
      <c r="J5298" s="7" t="s">
        <v>158</v>
      </c>
      <c r="K5298" s="7" t="s">
        <v>16864</v>
      </c>
      <c r="L5298" s="198" t="s">
        <v>65</v>
      </c>
      <c r="M5298" s="199"/>
      <c r="N5298" s="199"/>
    </row>
    <row r="5299">
      <c r="A5299" s="193" t="s">
        <v>23820</v>
      </c>
      <c r="B5299" s="202" t="s">
        <v>16864</v>
      </c>
      <c r="C5299" s="193" t="s">
        <v>158</v>
      </c>
      <c r="D5299" s="206"/>
      <c r="E5299" s="193"/>
      <c r="F5299" s="203" t="s">
        <v>23821</v>
      </c>
      <c r="G5299" s="200">
        <v>3.32847851E8</v>
      </c>
      <c r="H5299" s="205">
        <v>2.44</v>
      </c>
      <c r="J5299" s="202" t="s">
        <v>16864</v>
      </c>
      <c r="K5299" s="193" t="s">
        <v>158</v>
      </c>
      <c r="L5299" s="193" t="s">
        <v>17471</v>
      </c>
      <c r="M5299" s="206"/>
      <c r="N5299" s="206"/>
    </row>
    <row r="5300">
      <c r="A5300" s="193" t="s">
        <v>23822</v>
      </c>
      <c r="B5300" s="7" t="s">
        <v>17202</v>
      </c>
      <c r="C5300" s="7" t="s">
        <v>16838</v>
      </c>
      <c r="D5300" s="194">
        <v>2004.0</v>
      </c>
      <c r="E5300" s="193"/>
      <c r="F5300" s="195" t="s">
        <v>23823</v>
      </c>
      <c r="G5300" s="200">
        <v>3.32549936E8</v>
      </c>
      <c r="H5300" s="197">
        <v>27.88</v>
      </c>
      <c r="I5300" s="7" t="s">
        <v>16815</v>
      </c>
      <c r="J5300" s="7" t="s">
        <v>17202</v>
      </c>
      <c r="K5300" s="7" t="s">
        <v>16838</v>
      </c>
      <c r="L5300" s="201" t="s">
        <v>16835</v>
      </c>
      <c r="M5300" s="194"/>
      <c r="N5300" s="194"/>
    </row>
    <row r="5301">
      <c r="A5301" s="193" t="s">
        <v>23822</v>
      </c>
      <c r="B5301" s="7" t="s">
        <v>16838</v>
      </c>
      <c r="C5301" s="7" t="s">
        <v>17202</v>
      </c>
      <c r="D5301" s="194">
        <v>2004.0</v>
      </c>
      <c r="E5301" s="193"/>
      <c r="F5301" s="195" t="s">
        <v>23823</v>
      </c>
      <c r="G5301" s="196">
        <v>3.32549936E8</v>
      </c>
      <c r="H5301" s="197">
        <v>27.88</v>
      </c>
      <c r="I5301" s="7" t="s">
        <v>16815</v>
      </c>
      <c r="J5301" s="7" t="s">
        <v>16838</v>
      </c>
      <c r="K5301" s="7" t="s">
        <v>17202</v>
      </c>
      <c r="L5301" s="198" t="s">
        <v>65</v>
      </c>
      <c r="M5301" s="194"/>
      <c r="N5301" s="194"/>
    </row>
    <row r="5302">
      <c r="A5302" s="193" t="s">
        <v>23824</v>
      </c>
      <c r="B5302" s="7" t="s">
        <v>17202</v>
      </c>
      <c r="C5302" s="7" t="s">
        <v>16838</v>
      </c>
      <c r="D5302" s="194">
        <v>2022.0</v>
      </c>
      <c r="E5302" s="193"/>
      <c r="F5302" s="195" t="s">
        <v>23825</v>
      </c>
      <c r="G5302" s="200">
        <v>3.32463355E8</v>
      </c>
      <c r="H5302" s="197">
        <v>25.3499</v>
      </c>
      <c r="I5302" s="7" t="s">
        <v>16815</v>
      </c>
      <c r="J5302" s="7" t="s">
        <v>17202</v>
      </c>
      <c r="K5302" s="7" t="s">
        <v>16838</v>
      </c>
      <c r="L5302" s="201" t="s">
        <v>16835</v>
      </c>
      <c r="M5302" s="194"/>
      <c r="N5302" s="194"/>
    </row>
    <row r="5303">
      <c r="A5303" s="193" t="s">
        <v>23824</v>
      </c>
      <c r="B5303" s="7" t="s">
        <v>16838</v>
      </c>
      <c r="C5303" s="7" t="s">
        <v>17202</v>
      </c>
      <c r="D5303" s="194">
        <v>2022.0</v>
      </c>
      <c r="E5303" s="193"/>
      <c r="F5303" s="195" t="s">
        <v>23825</v>
      </c>
      <c r="G5303" s="196">
        <v>3.32463355E8</v>
      </c>
      <c r="H5303" s="197">
        <v>25.3499</v>
      </c>
      <c r="I5303" s="7" t="s">
        <v>16815</v>
      </c>
      <c r="J5303" s="7" t="s">
        <v>16838</v>
      </c>
      <c r="K5303" s="7" t="s">
        <v>17202</v>
      </c>
      <c r="L5303" s="198" t="s">
        <v>65</v>
      </c>
      <c r="M5303" s="194"/>
      <c r="N5303" s="194"/>
    </row>
    <row r="5304">
      <c r="A5304" s="193" t="s">
        <v>23826</v>
      </c>
      <c r="B5304" s="7" t="s">
        <v>175</v>
      </c>
      <c r="C5304" s="7" t="s">
        <v>16854</v>
      </c>
      <c r="D5304" s="194">
        <v>2017.0</v>
      </c>
      <c r="E5304" s="193"/>
      <c r="F5304" s="195" t="s">
        <v>23827</v>
      </c>
      <c r="G5304" s="196">
        <v>3.32071993E8</v>
      </c>
      <c r="H5304" s="197">
        <v>5.28</v>
      </c>
      <c r="I5304" s="7" t="s">
        <v>16908</v>
      </c>
      <c r="J5304" s="7" t="s">
        <v>175</v>
      </c>
      <c r="K5304" s="7" t="s">
        <v>16854</v>
      </c>
      <c r="L5304" s="198" t="s">
        <v>65</v>
      </c>
      <c r="M5304" s="194"/>
      <c r="N5304" s="194"/>
    </row>
    <row r="5305">
      <c r="A5305" s="193" t="s">
        <v>23826</v>
      </c>
      <c r="B5305" s="7" t="s">
        <v>16854</v>
      </c>
      <c r="C5305" s="7" t="s">
        <v>175</v>
      </c>
      <c r="D5305" s="194">
        <v>2017.0</v>
      </c>
      <c r="E5305" s="193"/>
      <c r="F5305" s="195" t="s">
        <v>23827</v>
      </c>
      <c r="G5305" s="200">
        <v>3.32071993E8</v>
      </c>
      <c r="H5305" s="197">
        <v>5.28</v>
      </c>
      <c r="I5305" s="7" t="s">
        <v>16815</v>
      </c>
      <c r="J5305" s="7" t="s">
        <v>16854</v>
      </c>
      <c r="K5305" s="7" t="s">
        <v>175</v>
      </c>
      <c r="L5305" s="201" t="s">
        <v>16835</v>
      </c>
      <c r="M5305" s="194"/>
      <c r="N5305" s="194"/>
    </row>
    <row r="5306">
      <c r="A5306" s="193" t="s">
        <v>23828</v>
      </c>
      <c r="B5306" s="7" t="s">
        <v>17629</v>
      </c>
      <c r="C5306" s="7" t="s">
        <v>16899</v>
      </c>
      <c r="D5306" s="194">
        <v>2021.0</v>
      </c>
      <c r="E5306" s="193"/>
      <c r="F5306" s="195" t="s">
        <v>23829</v>
      </c>
      <c r="G5306" s="196">
        <v>3.31590616E8</v>
      </c>
      <c r="H5306" s="197">
        <v>2.31</v>
      </c>
      <c r="I5306" s="7" t="s">
        <v>16815</v>
      </c>
      <c r="J5306" s="7" t="s">
        <v>17629</v>
      </c>
      <c r="K5306" s="7" t="s">
        <v>16899</v>
      </c>
      <c r="L5306" s="198" t="s">
        <v>65</v>
      </c>
      <c r="M5306" s="194"/>
      <c r="N5306" s="194"/>
    </row>
    <row r="5307">
      <c r="A5307" s="193" t="s">
        <v>23828</v>
      </c>
      <c r="B5307" s="7" t="s">
        <v>16899</v>
      </c>
      <c r="C5307" s="7" t="s">
        <v>17629</v>
      </c>
      <c r="D5307" s="194">
        <v>2021.0</v>
      </c>
      <c r="E5307" s="193"/>
      <c r="F5307" s="195" t="s">
        <v>23829</v>
      </c>
      <c r="G5307" s="200">
        <v>3.31590616E8</v>
      </c>
      <c r="H5307" s="197">
        <v>2.31</v>
      </c>
      <c r="I5307" s="7" t="s">
        <v>16815</v>
      </c>
      <c r="J5307" s="7" t="s">
        <v>16899</v>
      </c>
      <c r="K5307" s="7" t="s">
        <v>17629</v>
      </c>
      <c r="L5307" s="201" t="s">
        <v>16835</v>
      </c>
      <c r="M5307" s="194"/>
      <c r="N5307" s="194"/>
    </row>
    <row r="5308">
      <c r="A5308" s="193" t="s">
        <v>23830</v>
      </c>
      <c r="B5308" s="7" t="s">
        <v>17202</v>
      </c>
      <c r="C5308" s="7" t="s">
        <v>16838</v>
      </c>
      <c r="D5308" s="194">
        <v>2022.0</v>
      </c>
      <c r="E5308" s="193"/>
      <c r="F5308" s="195" t="s">
        <v>23831</v>
      </c>
      <c r="G5308" s="200">
        <v>3.31415469E8</v>
      </c>
      <c r="H5308" s="197">
        <v>25.27</v>
      </c>
      <c r="I5308" s="7" t="s">
        <v>16815</v>
      </c>
      <c r="J5308" s="7" t="s">
        <v>17202</v>
      </c>
      <c r="K5308" s="7" t="s">
        <v>16838</v>
      </c>
      <c r="L5308" s="201" t="s">
        <v>16835</v>
      </c>
      <c r="M5308" s="194"/>
      <c r="N5308" s="194"/>
    </row>
    <row r="5309">
      <c r="A5309" s="193" t="s">
        <v>23830</v>
      </c>
      <c r="B5309" s="7" t="s">
        <v>16838</v>
      </c>
      <c r="C5309" s="7" t="s">
        <v>17202</v>
      </c>
      <c r="D5309" s="194">
        <v>2022.0</v>
      </c>
      <c r="E5309" s="193"/>
      <c r="F5309" s="195" t="s">
        <v>23831</v>
      </c>
      <c r="G5309" s="196">
        <v>3.31415469E8</v>
      </c>
      <c r="H5309" s="197">
        <v>25.27</v>
      </c>
      <c r="I5309" s="7" t="s">
        <v>16815</v>
      </c>
      <c r="J5309" s="7" t="s">
        <v>16838</v>
      </c>
      <c r="K5309" s="7" t="s">
        <v>17202</v>
      </c>
      <c r="L5309" s="198" t="s">
        <v>65</v>
      </c>
      <c r="M5309" s="194"/>
      <c r="N5309" s="194"/>
    </row>
    <row r="5310">
      <c r="A5310" s="193" t="s">
        <v>23832</v>
      </c>
      <c r="B5310" s="7" t="s">
        <v>169</v>
      </c>
      <c r="C5310" s="7" t="s">
        <v>17013</v>
      </c>
      <c r="D5310" s="199"/>
      <c r="E5310" s="193"/>
      <c r="F5310" s="195" t="s">
        <v>23833</v>
      </c>
      <c r="G5310" s="196">
        <v>3.31302985E8</v>
      </c>
      <c r="H5310" s="197">
        <v>3.33</v>
      </c>
      <c r="I5310" s="7" t="s">
        <v>16815</v>
      </c>
      <c r="J5310" s="7" t="s">
        <v>169</v>
      </c>
      <c r="K5310" s="7" t="s">
        <v>17013</v>
      </c>
      <c r="L5310" s="198" t="s">
        <v>65</v>
      </c>
      <c r="M5310" s="199"/>
      <c r="N5310" s="199"/>
    </row>
    <row r="5311">
      <c r="A5311" s="193" t="s">
        <v>23834</v>
      </c>
      <c r="B5311" s="7" t="s">
        <v>158</v>
      </c>
      <c r="C5311" s="7" t="s">
        <v>16864</v>
      </c>
      <c r="D5311" s="199"/>
      <c r="E5311" s="193"/>
      <c r="F5311" s="195" t="s">
        <v>23835</v>
      </c>
      <c r="G5311" s="196">
        <v>3.30456364E8</v>
      </c>
      <c r="H5311" s="197">
        <v>7.09</v>
      </c>
      <c r="I5311" s="7" t="s">
        <v>180</v>
      </c>
      <c r="J5311" s="7" t="s">
        <v>158</v>
      </c>
      <c r="K5311" s="7" t="s">
        <v>16864</v>
      </c>
      <c r="L5311" s="198" t="s">
        <v>65</v>
      </c>
      <c r="M5311" s="199"/>
      <c r="N5311" s="199"/>
    </row>
    <row r="5312">
      <c r="A5312" s="193" t="s">
        <v>23834</v>
      </c>
      <c r="B5312" s="7" t="s">
        <v>16864</v>
      </c>
      <c r="C5312" s="7" t="s">
        <v>158</v>
      </c>
      <c r="D5312" s="199"/>
      <c r="E5312" s="193"/>
      <c r="F5312" s="195" t="s">
        <v>23835</v>
      </c>
      <c r="G5312" s="200">
        <v>3.30456364E8</v>
      </c>
      <c r="H5312" s="197">
        <v>7.09</v>
      </c>
      <c r="I5312" s="7" t="s">
        <v>16815</v>
      </c>
      <c r="J5312" s="7" t="s">
        <v>16864</v>
      </c>
      <c r="K5312" s="7" t="s">
        <v>158</v>
      </c>
      <c r="L5312" s="201" t="s">
        <v>16835</v>
      </c>
      <c r="M5312" s="199"/>
      <c r="N5312" s="199"/>
    </row>
    <row r="5313">
      <c r="A5313" s="193" t="s">
        <v>23836</v>
      </c>
      <c r="B5313" s="7" t="s">
        <v>187</v>
      </c>
      <c r="C5313" s="7" t="s">
        <v>16846</v>
      </c>
      <c r="D5313" s="199"/>
      <c r="E5313" s="193"/>
      <c r="F5313" s="195" t="s">
        <v>23837</v>
      </c>
      <c r="G5313" s="196">
        <v>3.302187E8</v>
      </c>
      <c r="H5313" s="197">
        <v>9.2</v>
      </c>
      <c r="I5313" s="7" t="s">
        <v>16815</v>
      </c>
      <c r="J5313" s="7" t="s">
        <v>187</v>
      </c>
      <c r="K5313" s="7" t="s">
        <v>16846</v>
      </c>
      <c r="L5313" s="198" t="s">
        <v>65</v>
      </c>
      <c r="M5313" s="199"/>
      <c r="N5313" s="199"/>
    </row>
    <row r="5314">
      <c r="A5314" s="193" t="s">
        <v>23838</v>
      </c>
      <c r="B5314" s="7" t="s">
        <v>16582</v>
      </c>
      <c r="C5314" s="7" t="s">
        <v>16817</v>
      </c>
      <c r="D5314" s="194">
        <v>2014.0</v>
      </c>
      <c r="E5314" s="193"/>
      <c r="F5314" s="195" t="s">
        <v>23839</v>
      </c>
      <c r="G5314" s="196">
        <v>3.29594898E8</v>
      </c>
      <c r="H5314" s="197">
        <v>5.58</v>
      </c>
      <c r="I5314" s="7" t="s">
        <v>16815</v>
      </c>
      <c r="J5314" s="7" t="s">
        <v>16582</v>
      </c>
      <c r="K5314" s="7" t="s">
        <v>16817</v>
      </c>
      <c r="L5314" s="198" t="s">
        <v>65</v>
      </c>
      <c r="M5314" s="194"/>
      <c r="N5314" s="194"/>
    </row>
    <row r="5315">
      <c r="A5315" s="193" t="s">
        <v>23840</v>
      </c>
      <c r="D5315" s="199"/>
      <c r="E5315" s="193"/>
      <c r="F5315" s="195" t="s">
        <v>23841</v>
      </c>
      <c r="G5315" s="196">
        <v>3.2914878E8</v>
      </c>
      <c r="H5315" s="197">
        <v>1.14</v>
      </c>
      <c r="I5315" s="7" t="s">
        <v>16815</v>
      </c>
      <c r="L5315" s="198" t="s">
        <v>65</v>
      </c>
      <c r="M5315" s="199"/>
      <c r="N5315" s="199"/>
    </row>
    <row r="5316">
      <c r="A5316" s="193" t="s">
        <v>23840</v>
      </c>
      <c r="B5316" s="208"/>
      <c r="C5316" s="206"/>
      <c r="D5316" s="206"/>
      <c r="E5316" s="193"/>
      <c r="F5316" s="203" t="s">
        <v>23841</v>
      </c>
      <c r="G5316" s="200">
        <v>3.2914878E8</v>
      </c>
      <c r="H5316" s="205">
        <v>0.5243</v>
      </c>
      <c r="J5316" s="208"/>
      <c r="K5316" s="206"/>
      <c r="L5316" s="193" t="s">
        <v>17471</v>
      </c>
      <c r="M5316" s="206"/>
      <c r="N5316" s="206"/>
    </row>
    <row r="5317">
      <c r="A5317" s="193" t="s">
        <v>23842</v>
      </c>
      <c r="B5317" s="7" t="s">
        <v>16838</v>
      </c>
      <c r="C5317" s="7" t="s">
        <v>17016</v>
      </c>
      <c r="D5317" s="199"/>
      <c r="E5317" s="193"/>
      <c r="F5317" s="195" t="s">
        <v>23843</v>
      </c>
      <c r="G5317" s="196">
        <v>3.29028442E8</v>
      </c>
      <c r="H5317" s="197">
        <v>22.8</v>
      </c>
      <c r="I5317" s="7" t="s">
        <v>16924</v>
      </c>
      <c r="J5317" s="7" t="s">
        <v>16838</v>
      </c>
      <c r="K5317" s="7" t="s">
        <v>17016</v>
      </c>
      <c r="L5317" s="198" t="s">
        <v>65</v>
      </c>
      <c r="M5317" s="199"/>
      <c r="N5317" s="199"/>
    </row>
    <row r="5318">
      <c r="A5318" s="193" t="s">
        <v>23844</v>
      </c>
      <c r="B5318" s="7" t="s">
        <v>16945</v>
      </c>
      <c r="C5318" s="7" t="s">
        <v>169</v>
      </c>
      <c r="D5318" s="199"/>
      <c r="E5318" s="193"/>
      <c r="F5318" s="195" t="s">
        <v>23845</v>
      </c>
      <c r="G5318" s="200">
        <v>3.28995174E8</v>
      </c>
      <c r="H5318" s="197">
        <v>11.63</v>
      </c>
      <c r="I5318" s="7" t="s">
        <v>16815</v>
      </c>
      <c r="J5318" s="7" t="s">
        <v>16945</v>
      </c>
      <c r="K5318" s="7" t="s">
        <v>169</v>
      </c>
      <c r="L5318" s="201" t="s">
        <v>16835</v>
      </c>
      <c r="M5318" s="199"/>
      <c r="N5318" s="199"/>
    </row>
    <row r="5319">
      <c r="A5319" s="193" t="s">
        <v>23844</v>
      </c>
      <c r="B5319" s="7" t="s">
        <v>169</v>
      </c>
      <c r="C5319" s="7" t="s">
        <v>16945</v>
      </c>
      <c r="D5319" s="199"/>
      <c r="E5319" s="193"/>
      <c r="F5319" s="195" t="s">
        <v>23845</v>
      </c>
      <c r="G5319" s="196">
        <v>3.28995174E8</v>
      </c>
      <c r="H5319" s="197">
        <v>11.63</v>
      </c>
      <c r="I5319" s="7" t="s">
        <v>16815</v>
      </c>
      <c r="J5319" s="7" t="s">
        <v>169</v>
      </c>
      <c r="K5319" s="7" t="s">
        <v>16945</v>
      </c>
      <c r="L5319" s="198" t="s">
        <v>65</v>
      </c>
      <c r="M5319" s="199"/>
      <c r="N5319" s="199"/>
    </row>
    <row r="5320">
      <c r="A5320" s="193" t="s">
        <v>23846</v>
      </c>
      <c r="B5320" s="7" t="s">
        <v>16838</v>
      </c>
      <c r="C5320" s="7" t="s">
        <v>17016</v>
      </c>
      <c r="D5320" s="199"/>
      <c r="E5320" s="193"/>
      <c r="F5320" s="195" t="s">
        <v>23847</v>
      </c>
      <c r="G5320" s="196">
        <v>3.285672E8</v>
      </c>
      <c r="H5320" s="197">
        <v>1.2</v>
      </c>
      <c r="I5320" s="7" t="s">
        <v>16815</v>
      </c>
      <c r="J5320" s="7" t="s">
        <v>16838</v>
      </c>
      <c r="K5320" s="7" t="s">
        <v>17016</v>
      </c>
      <c r="L5320" s="198" t="s">
        <v>65</v>
      </c>
      <c r="M5320" s="199"/>
      <c r="N5320" s="199"/>
    </row>
    <row r="5321">
      <c r="A5321" s="193" t="s">
        <v>23848</v>
      </c>
      <c r="B5321" s="7" t="s">
        <v>17202</v>
      </c>
      <c r="C5321" s="7" t="s">
        <v>16838</v>
      </c>
      <c r="D5321" s="199"/>
      <c r="E5321" s="193"/>
      <c r="F5321" s="195" t="s">
        <v>23849</v>
      </c>
      <c r="G5321" s="200">
        <v>3.27938182E8</v>
      </c>
      <c r="H5321" s="197">
        <v>39.3</v>
      </c>
      <c r="I5321" s="7" t="s">
        <v>16815</v>
      </c>
      <c r="J5321" s="7" t="s">
        <v>17202</v>
      </c>
      <c r="K5321" s="7" t="s">
        <v>16838</v>
      </c>
      <c r="L5321" s="201" t="s">
        <v>16835</v>
      </c>
      <c r="M5321" s="199"/>
      <c r="N5321" s="199"/>
    </row>
    <row r="5322">
      <c r="A5322" s="193" t="s">
        <v>23848</v>
      </c>
      <c r="B5322" s="7" t="s">
        <v>16838</v>
      </c>
      <c r="C5322" s="7" t="s">
        <v>17202</v>
      </c>
      <c r="D5322" s="199"/>
      <c r="E5322" s="193"/>
      <c r="F5322" s="195" t="s">
        <v>23849</v>
      </c>
      <c r="G5322" s="196">
        <v>3.27938182E8</v>
      </c>
      <c r="H5322" s="197">
        <v>39.3</v>
      </c>
      <c r="I5322" s="7" t="s">
        <v>16815</v>
      </c>
      <c r="J5322" s="7" t="s">
        <v>16838</v>
      </c>
      <c r="K5322" s="7" t="s">
        <v>17202</v>
      </c>
      <c r="L5322" s="198" t="s">
        <v>65</v>
      </c>
      <c r="M5322" s="199"/>
      <c r="N5322" s="199"/>
    </row>
    <row r="5323">
      <c r="A5323" s="193" t="s">
        <v>23850</v>
      </c>
      <c r="B5323" s="7" t="s">
        <v>175</v>
      </c>
      <c r="C5323" s="7" t="s">
        <v>17069</v>
      </c>
      <c r="D5323" s="194">
        <v>2013.0</v>
      </c>
      <c r="E5323" s="193"/>
      <c r="F5323" s="195" t="s">
        <v>23851</v>
      </c>
      <c r="G5323" s="196">
        <v>3.27804015E8</v>
      </c>
      <c r="H5323" s="197">
        <v>6.14</v>
      </c>
      <c r="I5323" s="7" t="s">
        <v>168</v>
      </c>
      <c r="J5323" s="7" t="s">
        <v>175</v>
      </c>
      <c r="K5323" s="7" t="s">
        <v>17069</v>
      </c>
      <c r="L5323" s="198" t="s">
        <v>65</v>
      </c>
      <c r="M5323" s="194"/>
      <c r="N5323" s="194"/>
    </row>
    <row r="5324">
      <c r="A5324" s="193" t="s">
        <v>23852</v>
      </c>
      <c r="B5324" s="7" t="s">
        <v>175</v>
      </c>
      <c r="C5324" s="7" t="s">
        <v>17233</v>
      </c>
      <c r="D5324" s="194">
        <v>2017.0</v>
      </c>
      <c r="E5324" s="193"/>
      <c r="F5324" s="195" t="s">
        <v>23853</v>
      </c>
      <c r="G5324" s="196">
        <v>3.27271794E8</v>
      </c>
      <c r="H5324" s="197">
        <v>12.05</v>
      </c>
      <c r="I5324" s="7" t="s">
        <v>17242</v>
      </c>
      <c r="J5324" s="7" t="s">
        <v>175</v>
      </c>
      <c r="K5324" s="7" t="s">
        <v>17233</v>
      </c>
      <c r="L5324" s="198" t="s">
        <v>65</v>
      </c>
      <c r="M5324" s="194"/>
      <c r="N5324" s="194"/>
    </row>
    <row r="5325">
      <c r="A5325" s="193" t="s">
        <v>23852</v>
      </c>
      <c r="B5325" s="7" t="s">
        <v>17233</v>
      </c>
      <c r="C5325" s="7" t="s">
        <v>175</v>
      </c>
      <c r="D5325" s="194">
        <v>2017.0</v>
      </c>
      <c r="E5325" s="193"/>
      <c r="F5325" s="195" t="s">
        <v>23853</v>
      </c>
      <c r="G5325" s="200">
        <v>3.27271794E8</v>
      </c>
      <c r="H5325" s="197">
        <v>12.05</v>
      </c>
      <c r="I5325" s="7" t="s">
        <v>16815</v>
      </c>
      <c r="J5325" s="7" t="s">
        <v>17233</v>
      </c>
      <c r="K5325" s="7" t="s">
        <v>175</v>
      </c>
      <c r="L5325" s="201" t="s">
        <v>16835</v>
      </c>
      <c r="M5325" s="194"/>
      <c r="N5325" s="194"/>
    </row>
    <row r="5326">
      <c r="A5326" s="193" t="s">
        <v>23854</v>
      </c>
      <c r="B5326" s="7" t="s">
        <v>169</v>
      </c>
      <c r="C5326" s="7" t="s">
        <v>110</v>
      </c>
      <c r="D5326" s="199"/>
      <c r="E5326" s="193"/>
      <c r="F5326" s="195" t="s">
        <v>23855</v>
      </c>
      <c r="G5326" s="196">
        <v>3.27036115E8</v>
      </c>
      <c r="H5326" s="197">
        <v>5.9</v>
      </c>
      <c r="I5326" s="7" t="s">
        <v>16815</v>
      </c>
      <c r="J5326" s="7" t="s">
        <v>169</v>
      </c>
      <c r="K5326" s="7" t="s">
        <v>110</v>
      </c>
      <c r="L5326" s="198" t="s">
        <v>65</v>
      </c>
      <c r="M5326" s="199"/>
      <c r="N5326" s="199"/>
    </row>
    <row r="5327">
      <c r="A5327" s="193" t="s">
        <v>23854</v>
      </c>
      <c r="B5327" s="202" t="s">
        <v>110</v>
      </c>
      <c r="C5327" s="193" t="s">
        <v>169</v>
      </c>
      <c r="D5327" s="206"/>
      <c r="E5327" s="193"/>
      <c r="F5327" s="203" t="s">
        <v>23855</v>
      </c>
      <c r="G5327" s="200">
        <v>3.27036115E8</v>
      </c>
      <c r="H5327" s="205">
        <v>1.14</v>
      </c>
      <c r="J5327" s="202" t="s">
        <v>110</v>
      </c>
      <c r="K5327" s="193" t="s">
        <v>169</v>
      </c>
      <c r="L5327" s="193" t="s">
        <v>17471</v>
      </c>
      <c r="M5327" s="206"/>
      <c r="N5327" s="206"/>
    </row>
    <row r="5328">
      <c r="A5328" s="193" t="s">
        <v>23856</v>
      </c>
      <c r="B5328" s="7" t="s">
        <v>175</v>
      </c>
      <c r="C5328" s="7" t="s">
        <v>17457</v>
      </c>
      <c r="D5328" s="194">
        <v>2021.0</v>
      </c>
      <c r="E5328" s="193"/>
      <c r="F5328" s="195" t="s">
        <v>23857</v>
      </c>
      <c r="G5328" s="196">
        <v>3.26887729E8</v>
      </c>
      <c r="H5328" s="197">
        <v>6.76</v>
      </c>
      <c r="I5328" s="7" t="s">
        <v>16844</v>
      </c>
      <c r="J5328" s="7" t="s">
        <v>175</v>
      </c>
      <c r="K5328" s="7" t="s">
        <v>17457</v>
      </c>
      <c r="L5328" s="198" t="s">
        <v>65</v>
      </c>
      <c r="M5328" s="194"/>
      <c r="N5328" s="194"/>
    </row>
    <row r="5329">
      <c r="A5329" s="193" t="s">
        <v>23858</v>
      </c>
      <c r="B5329" s="7" t="s">
        <v>16838</v>
      </c>
      <c r="C5329" s="7" t="s">
        <v>16867</v>
      </c>
      <c r="D5329" s="194">
        <v>1987.0</v>
      </c>
      <c r="E5329" s="193"/>
      <c r="F5329" s="195" t="s">
        <v>23859</v>
      </c>
      <c r="G5329" s="196">
        <v>3.25940692E8</v>
      </c>
      <c r="H5329" s="197">
        <v>29.38</v>
      </c>
      <c r="I5329" s="7" t="s">
        <v>16815</v>
      </c>
      <c r="J5329" s="7" t="s">
        <v>16838</v>
      </c>
      <c r="K5329" s="7" t="s">
        <v>16867</v>
      </c>
      <c r="L5329" s="198" t="s">
        <v>65</v>
      </c>
      <c r="M5329" s="194"/>
      <c r="N5329" s="194"/>
    </row>
    <row r="5330">
      <c r="A5330" s="193" t="s">
        <v>23860</v>
      </c>
      <c r="B5330" s="7" t="s">
        <v>187</v>
      </c>
      <c r="C5330" s="7" t="s">
        <v>16858</v>
      </c>
      <c r="D5330" s="194">
        <v>2013.0</v>
      </c>
      <c r="E5330" s="193"/>
      <c r="F5330" s="195" t="s">
        <v>23861</v>
      </c>
      <c r="G5330" s="196">
        <v>3.25821909E8</v>
      </c>
      <c r="H5330" s="197">
        <v>2.98</v>
      </c>
      <c r="I5330" s="7" t="s">
        <v>16815</v>
      </c>
      <c r="J5330" s="7" t="s">
        <v>187</v>
      </c>
      <c r="K5330" s="7" t="s">
        <v>16858</v>
      </c>
      <c r="L5330" s="198" t="s">
        <v>65</v>
      </c>
      <c r="M5330" s="194"/>
      <c r="N5330" s="194"/>
    </row>
    <row r="5331">
      <c r="A5331" s="193" t="s">
        <v>23862</v>
      </c>
      <c r="B5331" s="7" t="s">
        <v>175</v>
      </c>
      <c r="C5331" s="7" t="s">
        <v>17233</v>
      </c>
      <c r="D5331" s="194">
        <v>2005.0</v>
      </c>
      <c r="E5331" s="193"/>
      <c r="F5331" s="195" t="s">
        <v>23863</v>
      </c>
      <c r="G5331" s="196">
        <v>3.25697832E8</v>
      </c>
      <c r="H5331" s="197">
        <v>3.06</v>
      </c>
      <c r="I5331" s="7" t="s">
        <v>16908</v>
      </c>
      <c r="J5331" s="7" t="s">
        <v>175</v>
      </c>
      <c r="K5331" s="7" t="s">
        <v>17233</v>
      </c>
      <c r="L5331" s="198" t="s">
        <v>65</v>
      </c>
      <c r="M5331" s="194"/>
      <c r="N5331" s="194"/>
    </row>
    <row r="5332">
      <c r="A5332" s="193" t="s">
        <v>23862</v>
      </c>
      <c r="B5332" s="7" t="s">
        <v>17233</v>
      </c>
      <c r="C5332" s="7" t="s">
        <v>175</v>
      </c>
      <c r="D5332" s="194">
        <v>2005.0</v>
      </c>
      <c r="E5332" s="193"/>
      <c r="F5332" s="195" t="s">
        <v>23863</v>
      </c>
      <c r="G5332" s="200">
        <v>3.25697832E8</v>
      </c>
      <c r="H5332" s="197">
        <v>3.06</v>
      </c>
      <c r="I5332" s="7" t="s">
        <v>16815</v>
      </c>
      <c r="J5332" s="7" t="s">
        <v>17233</v>
      </c>
      <c r="K5332" s="7" t="s">
        <v>175</v>
      </c>
      <c r="L5332" s="201" t="s">
        <v>16835</v>
      </c>
      <c r="M5332" s="194"/>
      <c r="N5332" s="194"/>
    </row>
    <row r="5333">
      <c r="A5333" s="193" t="s">
        <v>23864</v>
      </c>
      <c r="B5333" s="7" t="s">
        <v>16582</v>
      </c>
      <c r="C5333" s="7" t="s">
        <v>16930</v>
      </c>
      <c r="D5333" s="194">
        <v>2020.0</v>
      </c>
      <c r="E5333" s="193"/>
      <c r="F5333" s="195" t="s">
        <v>23865</v>
      </c>
      <c r="G5333" s="196">
        <v>3.25695099E8</v>
      </c>
      <c r="H5333" s="197">
        <v>2.43</v>
      </c>
      <c r="I5333" s="7" t="s">
        <v>16815</v>
      </c>
      <c r="J5333" s="7" t="s">
        <v>16582</v>
      </c>
      <c r="K5333" s="7" t="s">
        <v>16930</v>
      </c>
      <c r="L5333" s="198" t="s">
        <v>65</v>
      </c>
      <c r="M5333" s="194"/>
      <c r="N5333" s="194"/>
    </row>
    <row r="5334">
      <c r="A5334" s="193" t="s">
        <v>23866</v>
      </c>
      <c r="B5334" s="7" t="s">
        <v>16838</v>
      </c>
      <c r="C5334" s="7" t="s">
        <v>16867</v>
      </c>
      <c r="D5334" s="199"/>
      <c r="E5334" s="193"/>
      <c r="F5334" s="195" t="s">
        <v>23867</v>
      </c>
      <c r="G5334" s="196">
        <v>3.25662908E8</v>
      </c>
      <c r="H5334" s="197">
        <v>19.65</v>
      </c>
      <c r="I5334" s="7" t="s">
        <v>16815</v>
      </c>
      <c r="J5334" s="7" t="s">
        <v>16838</v>
      </c>
      <c r="K5334" s="7" t="s">
        <v>16867</v>
      </c>
      <c r="L5334" s="198" t="s">
        <v>65</v>
      </c>
      <c r="M5334" s="199"/>
      <c r="N5334" s="199"/>
    </row>
    <row r="5335">
      <c r="A5335" s="193" t="s">
        <v>23868</v>
      </c>
      <c r="B5335" s="7" t="s">
        <v>17233</v>
      </c>
      <c r="C5335" s="7" t="s">
        <v>169</v>
      </c>
      <c r="D5335" s="194">
        <v>2001.0</v>
      </c>
      <c r="E5335" s="193"/>
      <c r="F5335" s="195" t="s">
        <v>23869</v>
      </c>
      <c r="G5335" s="200">
        <v>3.25365893E8</v>
      </c>
      <c r="H5335" s="197">
        <v>9.44</v>
      </c>
      <c r="I5335" s="7" t="s">
        <v>16815</v>
      </c>
      <c r="J5335" s="7" t="s">
        <v>17233</v>
      </c>
      <c r="K5335" s="7" t="s">
        <v>169</v>
      </c>
      <c r="L5335" s="201" t="s">
        <v>16835</v>
      </c>
      <c r="M5335" s="194"/>
      <c r="N5335" s="194"/>
    </row>
    <row r="5336">
      <c r="A5336" s="193" t="s">
        <v>23868</v>
      </c>
      <c r="B5336" s="7" t="s">
        <v>169</v>
      </c>
      <c r="C5336" s="7" t="s">
        <v>17233</v>
      </c>
      <c r="D5336" s="194">
        <v>2001.0</v>
      </c>
      <c r="E5336" s="193"/>
      <c r="F5336" s="195" t="s">
        <v>23869</v>
      </c>
      <c r="G5336" s="196">
        <v>3.25365893E8</v>
      </c>
      <c r="H5336" s="197">
        <v>9.44</v>
      </c>
      <c r="I5336" s="7" t="s">
        <v>16815</v>
      </c>
      <c r="J5336" s="7" t="s">
        <v>169</v>
      </c>
      <c r="K5336" s="7" t="s">
        <v>17233</v>
      </c>
      <c r="L5336" s="198" t="s">
        <v>65</v>
      </c>
      <c r="M5336" s="194"/>
      <c r="N5336" s="194"/>
    </row>
    <row r="5337">
      <c r="A5337" s="193" t="s">
        <v>23870</v>
      </c>
      <c r="D5337" s="194">
        <v>2003.0</v>
      </c>
      <c r="E5337" s="193"/>
      <c r="F5337" s="195" t="s">
        <v>23871</v>
      </c>
      <c r="G5337" s="196">
        <v>3.25360956E8</v>
      </c>
      <c r="H5337" s="197">
        <v>9.55</v>
      </c>
      <c r="I5337" s="7" t="s">
        <v>16815</v>
      </c>
      <c r="L5337" s="198" t="s">
        <v>65</v>
      </c>
      <c r="M5337" s="194"/>
      <c r="N5337" s="194"/>
    </row>
    <row r="5338">
      <c r="A5338" s="193" t="s">
        <v>23870</v>
      </c>
      <c r="D5338" s="194">
        <v>2003.0</v>
      </c>
      <c r="E5338" s="193"/>
      <c r="F5338" s="195" t="s">
        <v>23871</v>
      </c>
      <c r="G5338" s="200">
        <v>3.25360956E8</v>
      </c>
      <c r="H5338" s="197">
        <v>9.55</v>
      </c>
      <c r="L5338" s="201" t="s">
        <v>16835</v>
      </c>
      <c r="M5338" s="194"/>
      <c r="N5338" s="194"/>
    </row>
    <row r="5339">
      <c r="A5339" s="193" t="s">
        <v>23872</v>
      </c>
      <c r="B5339" s="7" t="s">
        <v>187</v>
      </c>
      <c r="C5339" s="7" t="s">
        <v>16846</v>
      </c>
      <c r="D5339" s="194">
        <v>2014.0</v>
      </c>
      <c r="E5339" s="193"/>
      <c r="F5339" s="195" t="s">
        <v>23873</v>
      </c>
      <c r="G5339" s="196">
        <v>3.25258543E8</v>
      </c>
      <c r="H5339" s="197">
        <v>5.96</v>
      </c>
      <c r="I5339" s="7" t="s">
        <v>16815</v>
      </c>
      <c r="J5339" s="7" t="s">
        <v>187</v>
      </c>
      <c r="K5339" s="7" t="s">
        <v>16846</v>
      </c>
      <c r="L5339" s="198" t="s">
        <v>65</v>
      </c>
      <c r="M5339" s="194"/>
      <c r="N5339" s="194"/>
    </row>
    <row r="5340">
      <c r="A5340" s="193" t="s">
        <v>23874</v>
      </c>
      <c r="B5340" s="7" t="s">
        <v>17202</v>
      </c>
      <c r="C5340" s="7" t="s">
        <v>16838</v>
      </c>
      <c r="D5340" s="199"/>
      <c r="E5340" s="193"/>
      <c r="F5340" s="195" t="s">
        <v>23875</v>
      </c>
      <c r="G5340" s="200">
        <v>3.2525143E8</v>
      </c>
      <c r="H5340" s="197">
        <v>24.8</v>
      </c>
      <c r="I5340" s="7" t="s">
        <v>16815</v>
      </c>
      <c r="J5340" s="7" t="s">
        <v>17202</v>
      </c>
      <c r="K5340" s="7" t="s">
        <v>16838</v>
      </c>
      <c r="L5340" s="201" t="s">
        <v>16835</v>
      </c>
      <c r="M5340" s="199"/>
      <c r="N5340" s="199"/>
    </row>
    <row r="5341">
      <c r="A5341" s="193" t="s">
        <v>23874</v>
      </c>
      <c r="B5341" s="7" t="s">
        <v>16838</v>
      </c>
      <c r="C5341" s="7" t="s">
        <v>17202</v>
      </c>
      <c r="D5341" s="199"/>
      <c r="E5341" s="193"/>
      <c r="F5341" s="195" t="s">
        <v>23875</v>
      </c>
      <c r="G5341" s="196">
        <v>3.2525143E8</v>
      </c>
      <c r="H5341" s="197">
        <v>24.8</v>
      </c>
      <c r="I5341" s="7" t="s">
        <v>16815</v>
      </c>
      <c r="J5341" s="7" t="s">
        <v>16838</v>
      </c>
      <c r="K5341" s="7" t="s">
        <v>17202</v>
      </c>
      <c r="L5341" s="198" t="s">
        <v>65</v>
      </c>
      <c r="M5341" s="199"/>
      <c r="N5341" s="199"/>
    </row>
    <row r="5342">
      <c r="A5342" s="193" t="s">
        <v>23876</v>
      </c>
      <c r="B5342" s="7" t="s">
        <v>19644</v>
      </c>
      <c r="C5342" s="7" t="s">
        <v>16838</v>
      </c>
      <c r="D5342" s="194">
        <v>1993.0</v>
      </c>
      <c r="E5342" s="193"/>
      <c r="F5342" s="195" t="s">
        <v>23877</v>
      </c>
      <c r="G5342" s="200">
        <v>3.25203596E8</v>
      </c>
      <c r="H5342" s="197">
        <v>9.57</v>
      </c>
      <c r="I5342" s="7" t="s">
        <v>16815</v>
      </c>
      <c r="J5342" s="7" t="s">
        <v>19644</v>
      </c>
      <c r="K5342" s="7" t="s">
        <v>16838</v>
      </c>
      <c r="L5342" s="201" t="s">
        <v>16835</v>
      </c>
      <c r="M5342" s="194"/>
      <c r="N5342" s="194"/>
    </row>
    <row r="5343">
      <c r="A5343" s="193" t="s">
        <v>23876</v>
      </c>
      <c r="B5343" s="7" t="s">
        <v>16838</v>
      </c>
      <c r="C5343" s="7" t="s">
        <v>19644</v>
      </c>
      <c r="D5343" s="194">
        <v>1993.0</v>
      </c>
      <c r="E5343" s="193"/>
      <c r="F5343" s="195" t="s">
        <v>23877</v>
      </c>
      <c r="G5343" s="196">
        <v>3.25203596E8</v>
      </c>
      <c r="H5343" s="197">
        <v>9.57</v>
      </c>
      <c r="I5343" s="7" t="s">
        <v>16815</v>
      </c>
      <c r="J5343" s="7" t="s">
        <v>16838</v>
      </c>
      <c r="K5343" s="7" t="s">
        <v>19644</v>
      </c>
      <c r="L5343" s="198" t="s">
        <v>65</v>
      </c>
      <c r="M5343" s="194"/>
      <c r="N5343" s="194"/>
    </row>
    <row r="5344">
      <c r="A5344" s="193" t="s">
        <v>23878</v>
      </c>
      <c r="B5344" s="7" t="s">
        <v>175</v>
      </c>
      <c r="C5344" s="7" t="s">
        <v>16942</v>
      </c>
      <c r="D5344" s="194">
        <v>2018.0</v>
      </c>
      <c r="E5344" s="193"/>
      <c r="F5344" s="195" t="s">
        <v>23879</v>
      </c>
      <c r="G5344" s="196">
        <v>3.2448687E8</v>
      </c>
      <c r="H5344" s="197">
        <v>142.6</v>
      </c>
      <c r="I5344" s="7" t="s">
        <v>174</v>
      </c>
      <c r="J5344" s="7" t="s">
        <v>175</v>
      </c>
      <c r="K5344" s="7" t="s">
        <v>16942</v>
      </c>
      <c r="L5344" s="198" t="s">
        <v>65</v>
      </c>
      <c r="M5344" s="194"/>
      <c r="N5344" s="194"/>
    </row>
    <row r="5345">
      <c r="A5345" s="193" t="s">
        <v>23878</v>
      </c>
      <c r="B5345" s="7" t="s">
        <v>16942</v>
      </c>
      <c r="C5345" s="7" t="s">
        <v>175</v>
      </c>
      <c r="D5345" s="194">
        <v>2018.0</v>
      </c>
      <c r="E5345" s="193"/>
      <c r="F5345" s="195" t="s">
        <v>23879</v>
      </c>
      <c r="G5345" s="200">
        <v>3.2448687E8</v>
      </c>
      <c r="H5345" s="197">
        <v>142.6</v>
      </c>
      <c r="I5345" s="7" t="s">
        <v>16815</v>
      </c>
      <c r="J5345" s="7" t="s">
        <v>16942</v>
      </c>
      <c r="K5345" s="7" t="s">
        <v>175</v>
      </c>
      <c r="L5345" s="201" t="s">
        <v>16835</v>
      </c>
      <c r="M5345" s="194"/>
      <c r="N5345" s="194"/>
    </row>
    <row r="5346">
      <c r="A5346" s="193" t="s">
        <v>23880</v>
      </c>
      <c r="B5346" s="7" t="s">
        <v>175</v>
      </c>
      <c r="C5346" s="7" t="s">
        <v>17168</v>
      </c>
      <c r="D5346" s="194">
        <v>2014.0</v>
      </c>
      <c r="E5346" s="193"/>
      <c r="F5346" s="195" t="s">
        <v>23881</v>
      </c>
      <c r="G5346" s="196">
        <v>3.24409932E8</v>
      </c>
      <c r="H5346" s="197">
        <v>22.0</v>
      </c>
      <c r="I5346" s="7" t="s">
        <v>16908</v>
      </c>
      <c r="J5346" s="7" t="s">
        <v>175</v>
      </c>
      <c r="K5346" s="7" t="s">
        <v>17168</v>
      </c>
      <c r="L5346" s="198" t="s">
        <v>65</v>
      </c>
      <c r="M5346" s="194"/>
      <c r="N5346" s="194"/>
    </row>
    <row r="5347">
      <c r="A5347" s="193" t="s">
        <v>23880</v>
      </c>
      <c r="B5347" s="7" t="s">
        <v>17168</v>
      </c>
      <c r="C5347" s="7" t="s">
        <v>175</v>
      </c>
      <c r="D5347" s="194">
        <v>2014.0</v>
      </c>
      <c r="E5347" s="193"/>
      <c r="F5347" s="195" t="s">
        <v>23881</v>
      </c>
      <c r="G5347" s="200">
        <v>3.24409932E8</v>
      </c>
      <c r="H5347" s="197">
        <v>22.0</v>
      </c>
      <c r="I5347" s="7" t="s">
        <v>16815</v>
      </c>
      <c r="J5347" s="7" t="s">
        <v>17168</v>
      </c>
      <c r="K5347" s="7" t="s">
        <v>175</v>
      </c>
      <c r="L5347" s="201" t="s">
        <v>16835</v>
      </c>
      <c r="M5347" s="194"/>
      <c r="N5347" s="194"/>
    </row>
    <row r="5348">
      <c r="A5348" s="193" t="s">
        <v>23882</v>
      </c>
      <c r="B5348" s="7" t="s">
        <v>187</v>
      </c>
      <c r="C5348" s="7" t="s">
        <v>16846</v>
      </c>
      <c r="D5348" s="199"/>
      <c r="E5348" s="193"/>
      <c r="F5348" s="195" t="s">
        <v>23883</v>
      </c>
      <c r="G5348" s="196">
        <v>3.24275697E8</v>
      </c>
      <c r="H5348" s="197">
        <v>17.0</v>
      </c>
      <c r="I5348" s="7" t="s">
        <v>16815</v>
      </c>
      <c r="J5348" s="7" t="s">
        <v>187</v>
      </c>
      <c r="K5348" s="7" t="s">
        <v>16846</v>
      </c>
      <c r="L5348" s="198" t="s">
        <v>65</v>
      </c>
      <c r="M5348" s="199"/>
      <c r="N5348" s="199"/>
    </row>
    <row r="5349">
      <c r="A5349" s="193" t="s">
        <v>23884</v>
      </c>
      <c r="B5349" s="7" t="s">
        <v>16838</v>
      </c>
      <c r="C5349" s="7" t="s">
        <v>16867</v>
      </c>
      <c r="D5349" s="199"/>
      <c r="E5349" s="193"/>
      <c r="F5349" s="195" t="s">
        <v>23885</v>
      </c>
      <c r="G5349" s="196">
        <v>3.24054552E8</v>
      </c>
      <c r="H5349" s="197">
        <v>9.45</v>
      </c>
      <c r="I5349" s="7" t="s">
        <v>16815</v>
      </c>
      <c r="J5349" s="7" t="s">
        <v>16838</v>
      </c>
      <c r="K5349" s="7" t="s">
        <v>16867</v>
      </c>
      <c r="L5349" s="198" t="s">
        <v>65</v>
      </c>
      <c r="M5349" s="199"/>
      <c r="N5349" s="199"/>
    </row>
    <row r="5350">
      <c r="A5350" s="193" t="s">
        <v>23886</v>
      </c>
      <c r="B5350" s="7" t="s">
        <v>16926</v>
      </c>
      <c r="C5350" s="7" t="s">
        <v>16957</v>
      </c>
      <c r="D5350" s="199"/>
      <c r="E5350" s="193"/>
      <c r="F5350" s="195" t="s">
        <v>23887</v>
      </c>
      <c r="G5350" s="196">
        <v>3.23895868E8</v>
      </c>
      <c r="H5350" s="197">
        <v>16.21</v>
      </c>
      <c r="I5350" s="7" t="s">
        <v>16815</v>
      </c>
      <c r="J5350" s="7" t="s">
        <v>16926</v>
      </c>
      <c r="K5350" s="7" t="s">
        <v>16957</v>
      </c>
      <c r="L5350" s="198" t="s">
        <v>65</v>
      </c>
      <c r="M5350" s="199"/>
      <c r="N5350" s="199"/>
    </row>
    <row r="5351">
      <c r="A5351" s="193" t="s">
        <v>23888</v>
      </c>
      <c r="B5351" s="7" t="s">
        <v>16838</v>
      </c>
      <c r="C5351" s="7" t="s">
        <v>16867</v>
      </c>
      <c r="D5351" s="199"/>
      <c r="E5351" s="193"/>
      <c r="F5351" s="195" t="s">
        <v>23889</v>
      </c>
      <c r="G5351" s="196">
        <v>3.23720555E8</v>
      </c>
      <c r="H5351" s="197">
        <v>20.63</v>
      </c>
      <c r="I5351" s="7" t="s">
        <v>16815</v>
      </c>
      <c r="J5351" s="7" t="s">
        <v>16838</v>
      </c>
      <c r="K5351" s="7" t="s">
        <v>16867</v>
      </c>
      <c r="L5351" s="198" t="s">
        <v>65</v>
      </c>
      <c r="M5351" s="199"/>
      <c r="N5351" s="199"/>
    </row>
    <row r="5352">
      <c r="A5352" s="193" t="s">
        <v>23890</v>
      </c>
      <c r="B5352" s="7" t="s">
        <v>16582</v>
      </c>
      <c r="C5352" s="7" t="s">
        <v>17435</v>
      </c>
      <c r="D5352" s="194">
        <v>2020.0</v>
      </c>
      <c r="E5352" s="193"/>
      <c r="F5352" s="195" t="s">
        <v>23891</v>
      </c>
      <c r="G5352" s="196">
        <v>3.23262999E8</v>
      </c>
      <c r="H5352" s="197">
        <v>31.44</v>
      </c>
      <c r="I5352" s="7" t="s">
        <v>16815</v>
      </c>
      <c r="J5352" s="7" t="s">
        <v>16582</v>
      </c>
      <c r="K5352" s="7" t="s">
        <v>17435</v>
      </c>
      <c r="L5352" s="198" t="s">
        <v>65</v>
      </c>
      <c r="M5352" s="194"/>
      <c r="N5352" s="194"/>
    </row>
    <row r="5353">
      <c r="A5353" s="193" t="s">
        <v>23890</v>
      </c>
      <c r="B5353" s="7" t="s">
        <v>17435</v>
      </c>
      <c r="C5353" s="7" t="s">
        <v>16582</v>
      </c>
      <c r="D5353" s="194">
        <v>2020.0</v>
      </c>
      <c r="E5353" s="193"/>
      <c r="F5353" s="195" t="s">
        <v>23891</v>
      </c>
      <c r="G5353" s="200">
        <v>3.23262999E8</v>
      </c>
      <c r="H5353" s="197">
        <v>31.44</v>
      </c>
      <c r="I5353" s="7" t="s">
        <v>16815</v>
      </c>
      <c r="J5353" s="7" t="s">
        <v>17435</v>
      </c>
      <c r="K5353" s="7" t="s">
        <v>16582</v>
      </c>
      <c r="L5353" s="201" t="s">
        <v>16835</v>
      </c>
      <c r="M5353" s="194"/>
      <c r="N5353" s="194"/>
    </row>
    <row r="5354">
      <c r="A5354" s="193" t="s">
        <v>23892</v>
      </c>
      <c r="B5354" s="7" t="s">
        <v>16582</v>
      </c>
      <c r="C5354" s="7" t="s">
        <v>16930</v>
      </c>
      <c r="D5354" s="194">
        <v>2020.0</v>
      </c>
      <c r="E5354" s="193"/>
      <c r="F5354" s="195" t="s">
        <v>23893</v>
      </c>
      <c r="G5354" s="196">
        <v>3.23246044E8</v>
      </c>
      <c r="H5354" s="197">
        <v>17.66</v>
      </c>
      <c r="I5354" s="7" t="s">
        <v>16815</v>
      </c>
      <c r="J5354" s="7" t="s">
        <v>16582</v>
      </c>
      <c r="K5354" s="7" t="s">
        <v>16930</v>
      </c>
      <c r="L5354" s="198" t="s">
        <v>65</v>
      </c>
      <c r="M5354" s="194"/>
      <c r="N5354" s="194"/>
    </row>
    <row r="5355">
      <c r="A5355" s="193" t="s">
        <v>23894</v>
      </c>
      <c r="B5355" s="7" t="s">
        <v>16838</v>
      </c>
      <c r="C5355" s="7" t="s">
        <v>16867</v>
      </c>
      <c r="D5355" s="194">
        <v>2016.0</v>
      </c>
      <c r="E5355" s="193"/>
      <c r="F5355" s="195" t="s">
        <v>23895</v>
      </c>
      <c r="G5355" s="196">
        <v>3.23106716E8</v>
      </c>
      <c r="H5355" s="197">
        <v>15.6</v>
      </c>
      <c r="I5355" s="7" t="s">
        <v>16815</v>
      </c>
      <c r="J5355" s="7" t="s">
        <v>16838</v>
      </c>
      <c r="K5355" s="7" t="s">
        <v>16867</v>
      </c>
      <c r="L5355" s="198" t="s">
        <v>65</v>
      </c>
      <c r="M5355" s="194"/>
      <c r="N5355" s="194"/>
    </row>
    <row r="5356">
      <c r="A5356" s="193" t="s">
        <v>23896</v>
      </c>
      <c r="B5356" s="7" t="s">
        <v>169</v>
      </c>
      <c r="C5356" s="7" t="s">
        <v>16899</v>
      </c>
      <c r="D5356" s="194">
        <v>1997.0</v>
      </c>
      <c r="E5356" s="193"/>
      <c r="F5356" s="195" t="s">
        <v>23897</v>
      </c>
      <c r="G5356" s="196">
        <v>3.22980539E8</v>
      </c>
      <c r="H5356" s="197">
        <v>17.04</v>
      </c>
      <c r="I5356" s="7" t="s">
        <v>16815</v>
      </c>
      <c r="J5356" s="7" t="s">
        <v>169</v>
      </c>
      <c r="K5356" s="7" t="s">
        <v>16899</v>
      </c>
      <c r="L5356" s="198" t="s">
        <v>65</v>
      </c>
      <c r="M5356" s="194"/>
      <c r="N5356" s="194"/>
    </row>
    <row r="5357">
      <c r="A5357" s="193" t="s">
        <v>23898</v>
      </c>
      <c r="B5357" s="7" t="s">
        <v>17259</v>
      </c>
      <c r="C5357" s="7" t="s">
        <v>187</v>
      </c>
      <c r="D5357" s="194">
        <v>2000.0</v>
      </c>
      <c r="E5357" s="193"/>
      <c r="F5357" s="195" t="s">
        <v>23899</v>
      </c>
      <c r="G5357" s="200">
        <v>3.22850155E8</v>
      </c>
      <c r="H5357" s="197">
        <v>2.36</v>
      </c>
      <c r="I5357" s="7" t="s">
        <v>16815</v>
      </c>
      <c r="J5357" s="7" t="s">
        <v>17259</v>
      </c>
      <c r="K5357" s="7" t="s">
        <v>187</v>
      </c>
      <c r="L5357" s="201" t="s">
        <v>16835</v>
      </c>
      <c r="M5357" s="194"/>
      <c r="N5357" s="194"/>
    </row>
    <row r="5358">
      <c r="A5358" s="193" t="s">
        <v>23898</v>
      </c>
      <c r="B5358" s="7" t="s">
        <v>187</v>
      </c>
      <c r="C5358" s="7" t="s">
        <v>17259</v>
      </c>
      <c r="D5358" s="194">
        <v>2000.0</v>
      </c>
      <c r="E5358" s="193"/>
      <c r="F5358" s="195" t="s">
        <v>23899</v>
      </c>
      <c r="G5358" s="196">
        <v>3.22850155E8</v>
      </c>
      <c r="H5358" s="197">
        <v>2.36</v>
      </c>
      <c r="I5358" s="7" t="s">
        <v>16815</v>
      </c>
      <c r="J5358" s="7" t="s">
        <v>187</v>
      </c>
      <c r="K5358" s="7" t="s">
        <v>17259</v>
      </c>
      <c r="L5358" s="198" t="s">
        <v>65</v>
      </c>
      <c r="M5358" s="194"/>
      <c r="N5358" s="194"/>
    </row>
    <row r="5359">
      <c r="A5359" s="193" t="s">
        <v>23900</v>
      </c>
      <c r="D5359" s="194">
        <v>2023.0</v>
      </c>
      <c r="E5359" s="193"/>
      <c r="F5359" s="195" t="s">
        <v>23901</v>
      </c>
      <c r="G5359" s="196">
        <v>3.22508342E8</v>
      </c>
      <c r="H5359" s="197">
        <v>8.74</v>
      </c>
      <c r="I5359" s="7" t="s">
        <v>16815</v>
      </c>
      <c r="L5359" s="198" t="s">
        <v>65</v>
      </c>
      <c r="M5359" s="194"/>
      <c r="N5359" s="194"/>
    </row>
    <row r="5360">
      <c r="A5360" s="193" t="s">
        <v>23902</v>
      </c>
      <c r="B5360" s="7" t="s">
        <v>16885</v>
      </c>
      <c r="C5360" s="7" t="s">
        <v>17726</v>
      </c>
      <c r="D5360" s="199"/>
      <c r="E5360" s="193"/>
      <c r="F5360" s="195" t="s">
        <v>23903</v>
      </c>
      <c r="G5360" s="196">
        <v>3.22469791E8</v>
      </c>
      <c r="H5360" s="197">
        <v>6.79</v>
      </c>
      <c r="I5360" s="7" t="s">
        <v>16826</v>
      </c>
      <c r="J5360" s="7" t="s">
        <v>16885</v>
      </c>
      <c r="K5360" s="7" t="s">
        <v>17726</v>
      </c>
      <c r="L5360" s="198" t="s">
        <v>65</v>
      </c>
      <c r="M5360" s="199"/>
      <c r="N5360" s="199"/>
    </row>
    <row r="5361">
      <c r="A5361" s="193" t="s">
        <v>23902</v>
      </c>
      <c r="B5361" s="7" t="s">
        <v>17726</v>
      </c>
      <c r="C5361" s="7" t="s">
        <v>16885</v>
      </c>
      <c r="D5361" s="199"/>
      <c r="E5361" s="193"/>
      <c r="F5361" s="195" t="s">
        <v>23903</v>
      </c>
      <c r="G5361" s="200">
        <v>3.22469791E8</v>
      </c>
      <c r="H5361" s="197">
        <v>6.79</v>
      </c>
      <c r="I5361" s="7" t="s">
        <v>16815</v>
      </c>
      <c r="J5361" s="7" t="s">
        <v>17726</v>
      </c>
      <c r="K5361" s="7" t="s">
        <v>16885</v>
      </c>
      <c r="L5361" s="201" t="s">
        <v>16835</v>
      </c>
      <c r="M5361" s="199"/>
      <c r="N5361" s="199"/>
    </row>
    <row r="5362">
      <c r="A5362" s="193" t="s">
        <v>23904</v>
      </c>
      <c r="B5362" s="7" t="s">
        <v>16838</v>
      </c>
      <c r="C5362" s="7" t="s">
        <v>17016</v>
      </c>
      <c r="D5362" s="194">
        <v>2021.0</v>
      </c>
      <c r="E5362" s="193"/>
      <c r="F5362" s="195" t="s">
        <v>23905</v>
      </c>
      <c r="G5362" s="196">
        <v>3.22324836E8</v>
      </c>
      <c r="H5362" s="197">
        <v>0.437</v>
      </c>
      <c r="I5362" s="7" t="s">
        <v>16924</v>
      </c>
      <c r="J5362" s="7" t="s">
        <v>16838</v>
      </c>
      <c r="K5362" s="7" t="s">
        <v>17016</v>
      </c>
      <c r="L5362" s="198" t="s">
        <v>65</v>
      </c>
      <c r="M5362" s="194"/>
      <c r="N5362" s="194"/>
    </row>
    <row r="5363">
      <c r="A5363" s="193" t="s">
        <v>23906</v>
      </c>
      <c r="B5363" s="7" t="s">
        <v>16582</v>
      </c>
      <c r="C5363" s="7" t="s">
        <v>17435</v>
      </c>
      <c r="D5363" s="194">
        <v>2020.0</v>
      </c>
      <c r="E5363" s="193"/>
      <c r="F5363" s="195" t="s">
        <v>23907</v>
      </c>
      <c r="G5363" s="196">
        <v>3.22077544E8</v>
      </c>
      <c r="H5363" s="197">
        <v>1.12</v>
      </c>
      <c r="I5363" s="7" t="s">
        <v>16815</v>
      </c>
      <c r="J5363" s="7" t="s">
        <v>16582</v>
      </c>
      <c r="K5363" s="7" t="s">
        <v>17435</v>
      </c>
      <c r="L5363" s="198" t="s">
        <v>65</v>
      </c>
      <c r="M5363" s="194"/>
      <c r="N5363" s="194"/>
    </row>
    <row r="5364">
      <c r="A5364" s="193" t="s">
        <v>23906</v>
      </c>
      <c r="B5364" s="7" t="s">
        <v>17435</v>
      </c>
      <c r="C5364" s="7" t="s">
        <v>16582</v>
      </c>
      <c r="D5364" s="194">
        <v>2020.0</v>
      </c>
      <c r="E5364" s="193"/>
      <c r="F5364" s="195" t="s">
        <v>23907</v>
      </c>
      <c r="G5364" s="200">
        <v>3.22077544E8</v>
      </c>
      <c r="H5364" s="197">
        <v>1.12</v>
      </c>
      <c r="I5364" s="7" t="s">
        <v>16815</v>
      </c>
      <c r="J5364" s="7" t="s">
        <v>17435</v>
      </c>
      <c r="K5364" s="7" t="s">
        <v>16582</v>
      </c>
      <c r="L5364" s="201" t="s">
        <v>16835</v>
      </c>
      <c r="M5364" s="194"/>
      <c r="N5364" s="194"/>
    </row>
    <row r="5365">
      <c r="A5365" s="193" t="s">
        <v>23908</v>
      </c>
      <c r="B5365" s="7" t="s">
        <v>187</v>
      </c>
      <c r="C5365" s="7" t="s">
        <v>16846</v>
      </c>
      <c r="D5365" s="199"/>
      <c r="E5365" s="193"/>
      <c r="F5365" s="195" t="s">
        <v>23909</v>
      </c>
      <c r="G5365" s="196">
        <v>3.21244834E8</v>
      </c>
      <c r="H5365" s="197">
        <v>5.09</v>
      </c>
      <c r="I5365" s="7" t="s">
        <v>16815</v>
      </c>
      <c r="J5365" s="7" t="s">
        <v>187</v>
      </c>
      <c r="K5365" s="7" t="s">
        <v>16846</v>
      </c>
      <c r="L5365" s="198" t="s">
        <v>65</v>
      </c>
      <c r="M5365" s="199"/>
      <c r="N5365" s="199"/>
    </row>
    <row r="5366">
      <c r="A5366" s="193" t="s">
        <v>23910</v>
      </c>
      <c r="B5366" s="7" t="s">
        <v>187</v>
      </c>
      <c r="C5366" s="7" t="s">
        <v>16846</v>
      </c>
      <c r="D5366" s="194">
        <v>2020.0</v>
      </c>
      <c r="E5366" s="193"/>
      <c r="F5366" s="195" t="s">
        <v>23911</v>
      </c>
      <c r="G5366" s="196">
        <v>3.20984188E8</v>
      </c>
      <c r="H5366" s="197">
        <v>7.8</v>
      </c>
      <c r="I5366" s="7" t="s">
        <v>16815</v>
      </c>
      <c r="J5366" s="7" t="s">
        <v>187</v>
      </c>
      <c r="K5366" s="7" t="s">
        <v>16846</v>
      </c>
      <c r="L5366" s="198" t="s">
        <v>65</v>
      </c>
      <c r="M5366" s="194"/>
      <c r="N5366" s="194"/>
    </row>
    <row r="5367">
      <c r="A5367" s="193" t="s">
        <v>23912</v>
      </c>
      <c r="B5367" s="7" t="s">
        <v>169</v>
      </c>
      <c r="C5367" s="7" t="s">
        <v>17662</v>
      </c>
      <c r="D5367" s="199"/>
      <c r="E5367" s="193"/>
      <c r="F5367" s="195" t="s">
        <v>23913</v>
      </c>
      <c r="G5367" s="196">
        <v>3.20914106E8</v>
      </c>
      <c r="H5367" s="197">
        <v>26.1501</v>
      </c>
      <c r="I5367" s="7" t="s">
        <v>16815</v>
      </c>
      <c r="J5367" s="7" t="s">
        <v>169</v>
      </c>
      <c r="K5367" s="7" t="s">
        <v>17662</v>
      </c>
      <c r="L5367" s="198" t="s">
        <v>65</v>
      </c>
      <c r="M5367" s="199"/>
      <c r="N5367" s="199"/>
    </row>
    <row r="5368">
      <c r="A5368" s="193" t="s">
        <v>23914</v>
      </c>
      <c r="B5368" s="7" t="s">
        <v>19644</v>
      </c>
      <c r="C5368" s="7" t="s">
        <v>16838</v>
      </c>
      <c r="D5368" s="194">
        <v>1988.0</v>
      </c>
      <c r="E5368" s="193"/>
      <c r="F5368" s="195" t="s">
        <v>8004</v>
      </c>
      <c r="G5368" s="200">
        <v>3.20747617E8</v>
      </c>
      <c r="H5368" s="197">
        <v>8.12</v>
      </c>
      <c r="I5368" s="7" t="s">
        <v>16815</v>
      </c>
      <c r="J5368" s="7" t="s">
        <v>19644</v>
      </c>
      <c r="K5368" s="7" t="s">
        <v>16838</v>
      </c>
      <c r="L5368" s="201" t="s">
        <v>16835</v>
      </c>
      <c r="M5368" s="194"/>
      <c r="N5368" s="194"/>
    </row>
    <row r="5369">
      <c r="A5369" s="193" t="s">
        <v>23914</v>
      </c>
      <c r="B5369" s="7" t="s">
        <v>16838</v>
      </c>
      <c r="C5369" s="7" t="s">
        <v>19644</v>
      </c>
      <c r="D5369" s="194">
        <v>1988.0</v>
      </c>
      <c r="E5369" s="193"/>
      <c r="F5369" s="195" t="s">
        <v>8004</v>
      </c>
      <c r="G5369" s="196">
        <v>3.20747617E8</v>
      </c>
      <c r="H5369" s="197">
        <v>8.12</v>
      </c>
      <c r="I5369" s="7" t="s">
        <v>16815</v>
      </c>
      <c r="J5369" s="7" t="s">
        <v>16838</v>
      </c>
      <c r="K5369" s="7" t="s">
        <v>19644</v>
      </c>
      <c r="L5369" s="198" t="s">
        <v>65</v>
      </c>
      <c r="M5369" s="194"/>
      <c r="N5369" s="194"/>
    </row>
    <row r="5370">
      <c r="A5370" s="193" t="s">
        <v>23915</v>
      </c>
      <c r="B5370" s="7" t="s">
        <v>19579</v>
      </c>
      <c r="C5370" s="7" t="s">
        <v>16838</v>
      </c>
      <c r="D5370" s="199"/>
      <c r="E5370" s="193"/>
      <c r="F5370" s="195" t="s">
        <v>23916</v>
      </c>
      <c r="G5370" s="200">
        <v>3.20743012E8</v>
      </c>
      <c r="H5370" s="197">
        <v>15.83</v>
      </c>
      <c r="I5370" s="193" t="s">
        <v>16815</v>
      </c>
      <c r="J5370" s="7" t="s">
        <v>19579</v>
      </c>
      <c r="K5370" s="7" t="s">
        <v>16838</v>
      </c>
      <c r="L5370" s="201" t="s">
        <v>16835</v>
      </c>
      <c r="M5370" s="199"/>
      <c r="N5370" s="199"/>
    </row>
    <row r="5371">
      <c r="A5371" s="193" t="s">
        <v>23915</v>
      </c>
      <c r="B5371" s="7" t="s">
        <v>16838</v>
      </c>
      <c r="C5371" s="7" t="s">
        <v>19579</v>
      </c>
      <c r="D5371" s="199"/>
      <c r="E5371" s="193"/>
      <c r="F5371" s="195" t="s">
        <v>23916</v>
      </c>
      <c r="G5371" s="196">
        <v>3.20743012E8</v>
      </c>
      <c r="H5371" s="197">
        <v>15.83</v>
      </c>
      <c r="I5371" s="7" t="s">
        <v>16815</v>
      </c>
      <c r="J5371" s="7" t="s">
        <v>16838</v>
      </c>
      <c r="K5371" s="7" t="s">
        <v>19579</v>
      </c>
      <c r="L5371" s="198" t="s">
        <v>65</v>
      </c>
      <c r="M5371" s="199"/>
      <c r="N5371" s="199"/>
    </row>
    <row r="5372">
      <c r="A5372" s="193" t="s">
        <v>23917</v>
      </c>
      <c r="B5372" s="7" t="s">
        <v>16838</v>
      </c>
      <c r="C5372" s="7" t="s">
        <v>17016</v>
      </c>
      <c r="D5372" s="194">
        <v>2017.0</v>
      </c>
      <c r="E5372" s="193"/>
      <c r="F5372" s="195" t="s">
        <v>23918</v>
      </c>
      <c r="G5372" s="196">
        <v>3.20571971E8</v>
      </c>
      <c r="H5372" s="197">
        <v>1.97</v>
      </c>
      <c r="I5372" s="7" t="s">
        <v>16815</v>
      </c>
      <c r="J5372" s="7" t="s">
        <v>16838</v>
      </c>
      <c r="K5372" s="7" t="s">
        <v>17016</v>
      </c>
      <c r="L5372" s="198" t="s">
        <v>65</v>
      </c>
      <c r="M5372" s="194"/>
      <c r="N5372" s="194"/>
    </row>
    <row r="5373">
      <c r="A5373" s="193" t="s">
        <v>23919</v>
      </c>
      <c r="B5373" s="7" t="s">
        <v>16910</v>
      </c>
      <c r="C5373" s="7" t="s">
        <v>17119</v>
      </c>
      <c r="D5373" s="194">
        <v>2021.0</v>
      </c>
      <c r="E5373" s="193"/>
      <c r="F5373" s="195" t="s">
        <v>23920</v>
      </c>
      <c r="G5373" s="196">
        <v>3.19852758E8</v>
      </c>
      <c r="H5373" s="197">
        <v>0.54</v>
      </c>
      <c r="I5373" s="7" t="s">
        <v>16917</v>
      </c>
      <c r="J5373" s="7" t="s">
        <v>16910</v>
      </c>
      <c r="K5373" s="7" t="s">
        <v>17119</v>
      </c>
      <c r="L5373" s="198" t="s">
        <v>65</v>
      </c>
      <c r="M5373" s="194"/>
      <c r="N5373" s="194"/>
    </row>
    <row r="5374">
      <c r="A5374" s="193" t="s">
        <v>23921</v>
      </c>
      <c r="B5374" s="7" t="s">
        <v>16838</v>
      </c>
      <c r="C5374" s="7" t="s">
        <v>16867</v>
      </c>
      <c r="D5374" s="199"/>
      <c r="E5374" s="193"/>
      <c r="F5374" s="195" t="s">
        <v>23922</v>
      </c>
      <c r="G5374" s="196">
        <v>3.19785078E8</v>
      </c>
      <c r="H5374" s="197">
        <v>26.09</v>
      </c>
      <c r="I5374" s="7" t="s">
        <v>16815</v>
      </c>
      <c r="J5374" s="7" t="s">
        <v>16838</v>
      </c>
      <c r="K5374" s="7" t="s">
        <v>16867</v>
      </c>
      <c r="L5374" s="198" t="s">
        <v>65</v>
      </c>
      <c r="M5374" s="199"/>
      <c r="N5374" s="199"/>
    </row>
    <row r="5375">
      <c r="A5375" s="193" t="s">
        <v>23923</v>
      </c>
      <c r="B5375" s="7" t="s">
        <v>16838</v>
      </c>
      <c r="C5375" s="7" t="s">
        <v>17127</v>
      </c>
      <c r="D5375" s="199"/>
      <c r="E5375" s="193"/>
      <c r="F5375" s="195" t="s">
        <v>23924</v>
      </c>
      <c r="G5375" s="196">
        <v>3.19037672E8</v>
      </c>
      <c r="H5375" s="197">
        <v>7.35</v>
      </c>
      <c r="I5375" s="7" t="s">
        <v>16872</v>
      </c>
      <c r="J5375" s="7" t="s">
        <v>16838</v>
      </c>
      <c r="K5375" s="7" t="s">
        <v>17127</v>
      </c>
      <c r="L5375" s="198" t="s">
        <v>65</v>
      </c>
      <c r="M5375" s="199"/>
      <c r="N5375" s="199"/>
    </row>
    <row r="5376">
      <c r="A5376" s="193" t="s">
        <v>23925</v>
      </c>
      <c r="B5376" s="7" t="s">
        <v>16885</v>
      </c>
      <c r="C5376" s="7" t="s">
        <v>17726</v>
      </c>
      <c r="D5376" s="194">
        <v>2020.0</v>
      </c>
      <c r="E5376" s="193"/>
      <c r="F5376" s="195" t="s">
        <v>23926</v>
      </c>
      <c r="G5376" s="196">
        <v>3.18837848E8</v>
      </c>
      <c r="H5376" s="197">
        <v>4.61</v>
      </c>
      <c r="I5376" s="7" t="s">
        <v>17372</v>
      </c>
      <c r="J5376" s="7" t="s">
        <v>16885</v>
      </c>
      <c r="K5376" s="7" t="s">
        <v>17726</v>
      </c>
      <c r="L5376" s="198" t="s">
        <v>65</v>
      </c>
      <c r="M5376" s="194"/>
      <c r="N5376" s="194"/>
    </row>
    <row r="5377">
      <c r="A5377" s="193" t="s">
        <v>23925</v>
      </c>
      <c r="B5377" s="7" t="s">
        <v>17726</v>
      </c>
      <c r="C5377" s="7" t="s">
        <v>16885</v>
      </c>
      <c r="D5377" s="194">
        <v>2020.0</v>
      </c>
      <c r="E5377" s="193"/>
      <c r="F5377" s="195" t="s">
        <v>23926</v>
      </c>
      <c r="G5377" s="200">
        <v>3.18837848E8</v>
      </c>
      <c r="H5377" s="197">
        <v>4.61</v>
      </c>
      <c r="I5377" s="7" t="s">
        <v>16815</v>
      </c>
      <c r="J5377" s="7" t="s">
        <v>17726</v>
      </c>
      <c r="K5377" s="7" t="s">
        <v>16885</v>
      </c>
      <c r="L5377" s="201" t="s">
        <v>16835</v>
      </c>
      <c r="M5377" s="194"/>
      <c r="N5377" s="194"/>
    </row>
    <row r="5378">
      <c r="A5378" s="193" t="s">
        <v>23927</v>
      </c>
      <c r="B5378" s="7" t="s">
        <v>16582</v>
      </c>
      <c r="C5378" s="7" t="s">
        <v>16817</v>
      </c>
      <c r="D5378" s="194">
        <v>2018.0</v>
      </c>
      <c r="E5378" s="193"/>
      <c r="F5378" s="195" t="s">
        <v>23928</v>
      </c>
      <c r="G5378" s="196">
        <v>3.1752871E8</v>
      </c>
      <c r="H5378" s="197">
        <v>8.8</v>
      </c>
      <c r="I5378" s="7" t="s">
        <v>16815</v>
      </c>
      <c r="J5378" s="7" t="s">
        <v>16582</v>
      </c>
      <c r="K5378" s="7" t="s">
        <v>16817</v>
      </c>
      <c r="L5378" s="198" t="s">
        <v>65</v>
      </c>
      <c r="M5378" s="194"/>
      <c r="N5378" s="194"/>
    </row>
    <row r="5379">
      <c r="A5379" s="193" t="s">
        <v>23929</v>
      </c>
      <c r="B5379" s="7" t="s">
        <v>175</v>
      </c>
      <c r="C5379" s="7" t="s">
        <v>17509</v>
      </c>
      <c r="D5379" s="199"/>
      <c r="E5379" s="193"/>
      <c r="F5379" s="195" t="s">
        <v>23930</v>
      </c>
      <c r="G5379" s="196">
        <v>3.172312E8</v>
      </c>
      <c r="H5379" s="197">
        <v>6.49</v>
      </c>
      <c r="I5379" s="7" t="s">
        <v>16826</v>
      </c>
      <c r="J5379" s="7" t="s">
        <v>175</v>
      </c>
      <c r="K5379" s="7" t="s">
        <v>17509</v>
      </c>
      <c r="L5379" s="198" t="s">
        <v>65</v>
      </c>
      <c r="M5379" s="199"/>
      <c r="N5379" s="199"/>
    </row>
    <row r="5380">
      <c r="A5380" s="193" t="s">
        <v>23931</v>
      </c>
      <c r="B5380" s="7" t="s">
        <v>169</v>
      </c>
      <c r="C5380" s="7" t="s">
        <v>17509</v>
      </c>
      <c r="D5380" s="199"/>
      <c r="E5380" s="193"/>
      <c r="F5380" s="195" t="s">
        <v>23932</v>
      </c>
      <c r="G5380" s="196">
        <v>3.17173375E8</v>
      </c>
      <c r="H5380" s="197">
        <v>16.05</v>
      </c>
      <c r="I5380" s="7" t="s">
        <v>16815</v>
      </c>
      <c r="J5380" s="7" t="s">
        <v>169</v>
      </c>
      <c r="K5380" s="7" t="s">
        <v>17509</v>
      </c>
      <c r="L5380" s="198" t="s">
        <v>65</v>
      </c>
      <c r="M5380" s="199"/>
      <c r="N5380" s="199"/>
    </row>
    <row r="5381">
      <c r="A5381" s="193" t="s">
        <v>23933</v>
      </c>
      <c r="B5381" s="7" t="s">
        <v>17202</v>
      </c>
      <c r="C5381" s="7" t="s">
        <v>16838</v>
      </c>
      <c r="D5381" s="194">
        <v>2010.0</v>
      </c>
      <c r="E5381" s="193"/>
      <c r="F5381" s="195" t="s">
        <v>23934</v>
      </c>
      <c r="G5381" s="200">
        <v>3.16930957E8</v>
      </c>
      <c r="H5381" s="197">
        <v>6.715</v>
      </c>
      <c r="I5381" s="7" t="s">
        <v>16815</v>
      </c>
      <c r="J5381" s="7" t="s">
        <v>17202</v>
      </c>
      <c r="K5381" s="7" t="s">
        <v>16838</v>
      </c>
      <c r="L5381" s="201" t="s">
        <v>16835</v>
      </c>
      <c r="M5381" s="194"/>
      <c r="N5381" s="194"/>
    </row>
    <row r="5382">
      <c r="A5382" s="193" t="s">
        <v>23933</v>
      </c>
      <c r="B5382" s="7" t="s">
        <v>16838</v>
      </c>
      <c r="C5382" s="7" t="s">
        <v>17202</v>
      </c>
      <c r="D5382" s="194">
        <v>2010.0</v>
      </c>
      <c r="E5382" s="193"/>
      <c r="F5382" s="195" t="s">
        <v>23934</v>
      </c>
      <c r="G5382" s="196">
        <v>3.16930957E8</v>
      </c>
      <c r="H5382" s="197">
        <v>6.715</v>
      </c>
      <c r="I5382" s="7" t="s">
        <v>16815</v>
      </c>
      <c r="J5382" s="7" t="s">
        <v>16838</v>
      </c>
      <c r="K5382" s="7" t="s">
        <v>17202</v>
      </c>
      <c r="L5382" s="198" t="s">
        <v>65</v>
      </c>
      <c r="M5382" s="194"/>
      <c r="N5382" s="194"/>
    </row>
    <row r="5383">
      <c r="A5383" s="193" t="s">
        <v>23935</v>
      </c>
      <c r="B5383" s="7" t="s">
        <v>187</v>
      </c>
      <c r="C5383" s="7" t="s">
        <v>18633</v>
      </c>
      <c r="D5383" s="194">
        <v>2021.0</v>
      </c>
      <c r="E5383" s="193"/>
      <c r="F5383" s="195" t="s">
        <v>23936</v>
      </c>
      <c r="G5383" s="196">
        <v>3.16860121E8</v>
      </c>
      <c r="H5383" s="197">
        <v>5.58</v>
      </c>
      <c r="I5383" s="7" t="s">
        <v>16815</v>
      </c>
      <c r="J5383" s="7" t="s">
        <v>187</v>
      </c>
      <c r="K5383" s="7" t="s">
        <v>18633</v>
      </c>
      <c r="L5383" s="198" t="s">
        <v>65</v>
      </c>
      <c r="M5383" s="194"/>
      <c r="N5383" s="194"/>
    </row>
    <row r="5384">
      <c r="A5384" s="193" t="s">
        <v>23937</v>
      </c>
      <c r="B5384" s="7" t="s">
        <v>16838</v>
      </c>
      <c r="C5384" s="7" t="s">
        <v>16867</v>
      </c>
      <c r="D5384" s="199"/>
      <c r="E5384" s="193"/>
      <c r="F5384" s="195" t="s">
        <v>23938</v>
      </c>
      <c r="G5384" s="196">
        <v>3.15215821E8</v>
      </c>
      <c r="H5384" s="197">
        <v>21.48</v>
      </c>
      <c r="I5384" s="7" t="s">
        <v>16815</v>
      </c>
      <c r="J5384" s="7" t="s">
        <v>16838</v>
      </c>
      <c r="K5384" s="7" t="s">
        <v>16867</v>
      </c>
      <c r="L5384" s="198" t="s">
        <v>65</v>
      </c>
      <c r="M5384" s="199"/>
      <c r="N5384" s="199"/>
    </row>
    <row r="5385">
      <c r="A5385" s="193" t="s">
        <v>23939</v>
      </c>
      <c r="B5385" s="7" t="s">
        <v>175</v>
      </c>
      <c r="C5385" s="7" t="s">
        <v>17757</v>
      </c>
      <c r="D5385" s="194">
        <v>1990.0</v>
      </c>
      <c r="E5385" s="193"/>
      <c r="F5385" s="195" t="s">
        <v>23940</v>
      </c>
      <c r="G5385" s="196">
        <v>3.14273629E8</v>
      </c>
      <c r="H5385" s="197">
        <v>11.55</v>
      </c>
      <c r="I5385" s="7" t="s">
        <v>168</v>
      </c>
      <c r="J5385" s="7" t="s">
        <v>175</v>
      </c>
      <c r="K5385" s="7" t="s">
        <v>17757</v>
      </c>
      <c r="L5385" s="198" t="s">
        <v>65</v>
      </c>
      <c r="M5385" s="194"/>
      <c r="N5385" s="194"/>
    </row>
    <row r="5386">
      <c r="A5386" s="193" t="s">
        <v>23941</v>
      </c>
      <c r="B5386" s="7" t="s">
        <v>187</v>
      </c>
      <c r="C5386" s="7" t="s">
        <v>16846</v>
      </c>
      <c r="D5386" s="194">
        <v>2021.0</v>
      </c>
      <c r="E5386" s="193"/>
      <c r="F5386" s="195" t="s">
        <v>23942</v>
      </c>
      <c r="G5386" s="196">
        <v>3.14095207E8</v>
      </c>
      <c r="H5386" s="197">
        <v>11.36</v>
      </c>
      <c r="I5386" s="7" t="s">
        <v>16815</v>
      </c>
      <c r="J5386" s="7" t="s">
        <v>187</v>
      </c>
      <c r="K5386" s="7" t="s">
        <v>16846</v>
      </c>
      <c r="L5386" s="198" t="s">
        <v>65</v>
      </c>
      <c r="M5386" s="194"/>
      <c r="N5386" s="194"/>
    </row>
    <row r="5387">
      <c r="A5387" s="193" t="s">
        <v>23943</v>
      </c>
      <c r="B5387" s="7" t="s">
        <v>175</v>
      </c>
      <c r="C5387" s="7" t="s">
        <v>17218</v>
      </c>
      <c r="D5387" s="199"/>
      <c r="E5387" s="193"/>
      <c r="F5387" s="195" t="s">
        <v>23944</v>
      </c>
      <c r="G5387" s="196">
        <v>3.13831861E8</v>
      </c>
      <c r="H5387" s="197">
        <v>20.97</v>
      </c>
      <c r="I5387" s="7" t="s">
        <v>16908</v>
      </c>
      <c r="J5387" s="7" t="s">
        <v>175</v>
      </c>
      <c r="K5387" s="7" t="s">
        <v>17218</v>
      </c>
      <c r="L5387" s="198" t="s">
        <v>65</v>
      </c>
      <c r="M5387" s="199"/>
      <c r="N5387" s="199"/>
    </row>
    <row r="5388">
      <c r="A5388" s="193" t="s">
        <v>23943</v>
      </c>
      <c r="B5388" s="7" t="s">
        <v>17218</v>
      </c>
      <c r="C5388" s="7" t="s">
        <v>175</v>
      </c>
      <c r="D5388" s="199"/>
      <c r="E5388" s="193"/>
      <c r="F5388" s="195" t="s">
        <v>23944</v>
      </c>
      <c r="G5388" s="200">
        <v>3.13831861E8</v>
      </c>
      <c r="H5388" s="197">
        <v>20.97</v>
      </c>
      <c r="I5388" s="7" t="s">
        <v>16815</v>
      </c>
      <c r="J5388" s="7" t="s">
        <v>17218</v>
      </c>
      <c r="K5388" s="7" t="s">
        <v>175</v>
      </c>
      <c r="L5388" s="201" t="s">
        <v>16835</v>
      </c>
      <c r="M5388" s="199"/>
      <c r="N5388" s="199"/>
    </row>
    <row r="5389">
      <c r="A5389" s="193" t="s">
        <v>23945</v>
      </c>
      <c r="B5389" s="7" t="s">
        <v>187</v>
      </c>
      <c r="C5389" s="7" t="s">
        <v>16846</v>
      </c>
      <c r="D5389" s="194">
        <v>2022.0</v>
      </c>
      <c r="E5389" s="193"/>
      <c r="F5389" s="195" t="s">
        <v>23946</v>
      </c>
      <c r="G5389" s="196">
        <v>3.13796148E8</v>
      </c>
      <c r="H5389" s="197">
        <v>14.31</v>
      </c>
      <c r="I5389" s="7" t="s">
        <v>16815</v>
      </c>
      <c r="J5389" s="7" t="s">
        <v>187</v>
      </c>
      <c r="K5389" s="7" t="s">
        <v>16846</v>
      </c>
      <c r="L5389" s="198" t="s">
        <v>65</v>
      </c>
      <c r="M5389" s="194"/>
      <c r="N5389" s="194"/>
    </row>
    <row r="5390">
      <c r="A5390" s="193" t="s">
        <v>23947</v>
      </c>
      <c r="B5390" s="7" t="s">
        <v>169</v>
      </c>
      <c r="C5390" s="7" t="s">
        <v>17738</v>
      </c>
      <c r="D5390" s="194">
        <v>2017.0</v>
      </c>
      <c r="E5390" s="193"/>
      <c r="F5390" s="195" t="s">
        <v>23948</v>
      </c>
      <c r="G5390" s="196">
        <v>3.13515397E8</v>
      </c>
      <c r="H5390" s="197">
        <v>14.73</v>
      </c>
      <c r="I5390" s="7" t="s">
        <v>16815</v>
      </c>
      <c r="J5390" s="7" t="s">
        <v>169</v>
      </c>
      <c r="K5390" s="7" t="s">
        <v>17738</v>
      </c>
      <c r="L5390" s="198" t="s">
        <v>65</v>
      </c>
      <c r="M5390" s="194"/>
      <c r="N5390" s="194"/>
    </row>
    <row r="5391">
      <c r="A5391" s="193" t="s">
        <v>23949</v>
      </c>
      <c r="B5391" s="7" t="s">
        <v>169</v>
      </c>
      <c r="C5391" s="7" t="s">
        <v>17509</v>
      </c>
      <c r="D5391" s="199"/>
      <c r="E5391" s="193"/>
      <c r="F5391" s="195" t="s">
        <v>23950</v>
      </c>
      <c r="G5391" s="196">
        <v>3.1307161E8</v>
      </c>
      <c r="H5391" s="197">
        <v>23.92</v>
      </c>
      <c r="I5391" s="7" t="s">
        <v>16815</v>
      </c>
      <c r="J5391" s="7" t="s">
        <v>169</v>
      </c>
      <c r="K5391" s="7" t="s">
        <v>17509</v>
      </c>
      <c r="L5391" s="198" t="s">
        <v>65</v>
      </c>
      <c r="M5391" s="199"/>
      <c r="N5391" s="199"/>
    </row>
    <row r="5392">
      <c r="A5392" s="193" t="s">
        <v>23951</v>
      </c>
      <c r="B5392" s="7" t="s">
        <v>17111</v>
      </c>
      <c r="C5392" s="7" t="s">
        <v>17112</v>
      </c>
      <c r="D5392" s="199"/>
      <c r="E5392" s="193"/>
      <c r="F5392" s="195" t="s">
        <v>23952</v>
      </c>
      <c r="G5392" s="200">
        <v>3.12233371E8</v>
      </c>
      <c r="H5392" s="197">
        <v>16.79</v>
      </c>
      <c r="I5392" s="7" t="s">
        <v>16815</v>
      </c>
      <c r="J5392" s="7" t="s">
        <v>17111</v>
      </c>
      <c r="K5392" s="7" t="s">
        <v>17112</v>
      </c>
      <c r="L5392" s="201" t="s">
        <v>16835</v>
      </c>
      <c r="M5392" s="199"/>
      <c r="N5392" s="199"/>
    </row>
    <row r="5393">
      <c r="A5393" s="193" t="s">
        <v>23951</v>
      </c>
      <c r="B5393" s="7" t="s">
        <v>17112</v>
      </c>
      <c r="C5393" s="7" t="s">
        <v>17111</v>
      </c>
      <c r="D5393" s="199"/>
      <c r="E5393" s="193"/>
      <c r="F5393" s="195" t="s">
        <v>23952</v>
      </c>
      <c r="G5393" s="196">
        <v>3.12233371E8</v>
      </c>
      <c r="H5393" s="197">
        <v>16.79</v>
      </c>
      <c r="I5393" s="7" t="s">
        <v>16815</v>
      </c>
      <c r="J5393" s="7" t="s">
        <v>17112</v>
      </c>
      <c r="K5393" s="7" t="s">
        <v>17111</v>
      </c>
      <c r="L5393" s="198" t="s">
        <v>65</v>
      </c>
      <c r="M5393" s="199"/>
      <c r="N5393" s="199"/>
    </row>
    <row r="5394">
      <c r="A5394" s="193" t="s">
        <v>23953</v>
      </c>
      <c r="B5394" s="7" t="s">
        <v>175</v>
      </c>
      <c r="C5394" s="7" t="s">
        <v>17084</v>
      </c>
      <c r="D5394" s="194">
        <v>2005.0</v>
      </c>
      <c r="E5394" s="193"/>
      <c r="F5394" s="195" t="s">
        <v>23954</v>
      </c>
      <c r="G5394" s="196">
        <v>3.11783366E8</v>
      </c>
      <c r="H5394" s="197">
        <v>15.74</v>
      </c>
      <c r="I5394" s="7" t="s">
        <v>16856</v>
      </c>
      <c r="J5394" s="7" t="s">
        <v>175</v>
      </c>
      <c r="K5394" s="7" t="s">
        <v>17084</v>
      </c>
      <c r="L5394" s="198" t="s">
        <v>65</v>
      </c>
      <c r="M5394" s="194"/>
      <c r="N5394" s="194"/>
    </row>
    <row r="5395">
      <c r="A5395" s="193" t="s">
        <v>23955</v>
      </c>
      <c r="B5395" s="7" t="s">
        <v>16919</v>
      </c>
      <c r="C5395" s="7" t="s">
        <v>16957</v>
      </c>
      <c r="D5395" s="194">
        <v>1999.0</v>
      </c>
      <c r="E5395" s="193"/>
      <c r="F5395" s="195" t="s">
        <v>23956</v>
      </c>
      <c r="G5395" s="196">
        <v>3.115127E8</v>
      </c>
      <c r="H5395" s="197">
        <v>9.83</v>
      </c>
      <c r="I5395" s="7" t="s">
        <v>16815</v>
      </c>
      <c r="J5395" s="7" t="s">
        <v>16919</v>
      </c>
      <c r="K5395" s="7" t="s">
        <v>16957</v>
      </c>
      <c r="L5395" s="198" t="s">
        <v>65</v>
      </c>
      <c r="M5395" s="194"/>
      <c r="N5395" s="194"/>
    </row>
    <row r="5396">
      <c r="A5396" s="193" t="s">
        <v>23957</v>
      </c>
      <c r="B5396" s="7" t="s">
        <v>169</v>
      </c>
      <c r="C5396" s="7" t="s">
        <v>17662</v>
      </c>
      <c r="D5396" s="199"/>
      <c r="E5396" s="193"/>
      <c r="F5396" s="195" t="s">
        <v>23958</v>
      </c>
      <c r="G5396" s="196">
        <v>3.11095276E8</v>
      </c>
      <c r="H5396" s="197">
        <v>25.35</v>
      </c>
      <c r="I5396" s="7" t="s">
        <v>16815</v>
      </c>
      <c r="J5396" s="7" t="s">
        <v>169</v>
      </c>
      <c r="K5396" s="7" t="s">
        <v>17662</v>
      </c>
      <c r="L5396" s="198" t="s">
        <v>65</v>
      </c>
      <c r="M5396" s="199"/>
      <c r="N5396" s="199"/>
    </row>
    <row r="5397">
      <c r="A5397" s="193" t="s">
        <v>23959</v>
      </c>
      <c r="B5397" s="7" t="s">
        <v>16582</v>
      </c>
      <c r="C5397" s="7" t="s">
        <v>16817</v>
      </c>
      <c r="D5397" s="194">
        <v>2017.0</v>
      </c>
      <c r="E5397" s="193"/>
      <c r="F5397" s="195" t="s">
        <v>23960</v>
      </c>
      <c r="G5397" s="196">
        <v>3.10777598E8</v>
      </c>
      <c r="H5397" s="197">
        <v>12.12</v>
      </c>
      <c r="I5397" s="7" t="s">
        <v>16815</v>
      </c>
      <c r="J5397" s="7" t="s">
        <v>16582</v>
      </c>
      <c r="K5397" s="7" t="s">
        <v>16817</v>
      </c>
      <c r="L5397" s="198" t="s">
        <v>65</v>
      </c>
      <c r="M5397" s="194"/>
      <c r="N5397" s="194"/>
    </row>
    <row r="5398">
      <c r="A5398" s="193" t="s">
        <v>23961</v>
      </c>
      <c r="B5398" s="7" t="s">
        <v>187</v>
      </c>
      <c r="C5398" s="7" t="s">
        <v>18005</v>
      </c>
      <c r="D5398" s="194">
        <v>2020.0</v>
      </c>
      <c r="E5398" s="193"/>
      <c r="F5398" s="195" t="s">
        <v>23962</v>
      </c>
      <c r="G5398" s="196">
        <v>3.104945E8</v>
      </c>
      <c r="H5398" s="197">
        <v>5.63</v>
      </c>
      <c r="I5398" s="7" t="s">
        <v>16815</v>
      </c>
      <c r="J5398" s="7" t="s">
        <v>187</v>
      </c>
      <c r="K5398" s="7" t="s">
        <v>18005</v>
      </c>
      <c r="L5398" s="198" t="s">
        <v>65</v>
      </c>
      <c r="M5398" s="194"/>
      <c r="N5398" s="194"/>
    </row>
    <row r="5399">
      <c r="A5399" s="193" t="s">
        <v>23963</v>
      </c>
      <c r="B5399" s="7" t="s">
        <v>16582</v>
      </c>
      <c r="C5399" s="7" t="s">
        <v>16828</v>
      </c>
      <c r="D5399" s="194">
        <v>2019.0</v>
      </c>
      <c r="E5399" s="193"/>
      <c r="F5399" s="195" t="s">
        <v>23964</v>
      </c>
      <c r="G5399" s="196">
        <v>3.1032466E8</v>
      </c>
      <c r="H5399" s="197">
        <v>1.66</v>
      </c>
      <c r="I5399" s="7" t="s">
        <v>16815</v>
      </c>
      <c r="J5399" s="7" t="s">
        <v>16582</v>
      </c>
      <c r="K5399" s="7" t="s">
        <v>16828</v>
      </c>
      <c r="L5399" s="198" t="s">
        <v>65</v>
      </c>
      <c r="M5399" s="194"/>
      <c r="N5399" s="194"/>
    </row>
    <row r="5400">
      <c r="A5400" s="193" t="s">
        <v>23965</v>
      </c>
      <c r="B5400" s="7" t="s">
        <v>175</v>
      </c>
      <c r="C5400" s="7" t="s">
        <v>17084</v>
      </c>
      <c r="D5400" s="194">
        <v>2017.0</v>
      </c>
      <c r="E5400" s="193"/>
      <c r="F5400" s="195" t="s">
        <v>23966</v>
      </c>
      <c r="G5400" s="196">
        <v>3.10023094E8</v>
      </c>
      <c r="H5400" s="197">
        <v>29.24</v>
      </c>
      <c r="I5400" s="7" t="s">
        <v>168</v>
      </c>
      <c r="J5400" s="7" t="s">
        <v>175</v>
      </c>
      <c r="K5400" s="7" t="s">
        <v>17084</v>
      </c>
      <c r="L5400" s="198" t="s">
        <v>65</v>
      </c>
      <c r="M5400" s="194"/>
      <c r="N5400" s="194"/>
    </row>
    <row r="5401">
      <c r="A5401" s="193" t="s">
        <v>23965</v>
      </c>
      <c r="B5401" s="7" t="s">
        <v>17084</v>
      </c>
      <c r="C5401" s="7" t="s">
        <v>175</v>
      </c>
      <c r="D5401" s="194">
        <v>2017.0</v>
      </c>
      <c r="E5401" s="193"/>
      <c r="F5401" s="195" t="s">
        <v>23966</v>
      </c>
      <c r="G5401" s="200">
        <v>3.10023094E8</v>
      </c>
      <c r="H5401" s="197">
        <v>29.24</v>
      </c>
      <c r="I5401" s="7" t="s">
        <v>16815</v>
      </c>
      <c r="J5401" s="7" t="s">
        <v>17084</v>
      </c>
      <c r="K5401" s="7" t="s">
        <v>175</v>
      </c>
      <c r="L5401" s="201" t="s">
        <v>16835</v>
      </c>
      <c r="M5401" s="194"/>
      <c r="N5401" s="194"/>
    </row>
    <row r="5402">
      <c r="A5402" s="193" t="s">
        <v>23967</v>
      </c>
      <c r="B5402" s="7" t="s">
        <v>17202</v>
      </c>
      <c r="C5402" s="7" t="s">
        <v>16838</v>
      </c>
      <c r="D5402" s="194">
        <v>2022.0</v>
      </c>
      <c r="E5402" s="193"/>
      <c r="F5402" s="195" t="s">
        <v>23968</v>
      </c>
      <c r="G5402" s="200">
        <v>3.09513457E8</v>
      </c>
      <c r="H5402" s="197">
        <v>23.6</v>
      </c>
      <c r="I5402" s="7" t="s">
        <v>16815</v>
      </c>
      <c r="J5402" s="7" t="s">
        <v>17202</v>
      </c>
      <c r="K5402" s="7" t="s">
        <v>16838</v>
      </c>
      <c r="L5402" s="201" t="s">
        <v>16835</v>
      </c>
      <c r="M5402" s="194"/>
      <c r="N5402" s="194"/>
    </row>
    <row r="5403">
      <c r="A5403" s="193" t="s">
        <v>23967</v>
      </c>
      <c r="B5403" s="7" t="s">
        <v>16838</v>
      </c>
      <c r="C5403" s="7" t="s">
        <v>17202</v>
      </c>
      <c r="D5403" s="194">
        <v>2022.0</v>
      </c>
      <c r="E5403" s="193"/>
      <c r="F5403" s="195" t="s">
        <v>23968</v>
      </c>
      <c r="G5403" s="196">
        <v>3.09513457E8</v>
      </c>
      <c r="H5403" s="197">
        <v>23.6</v>
      </c>
      <c r="I5403" s="7" t="s">
        <v>16815</v>
      </c>
      <c r="J5403" s="7" t="s">
        <v>16838</v>
      </c>
      <c r="K5403" s="7" t="s">
        <v>17202</v>
      </c>
      <c r="L5403" s="198" t="s">
        <v>65</v>
      </c>
      <c r="M5403" s="194"/>
      <c r="N5403" s="194"/>
    </row>
    <row r="5404">
      <c r="A5404" s="193" t="s">
        <v>23969</v>
      </c>
      <c r="B5404" s="7" t="s">
        <v>16582</v>
      </c>
      <c r="C5404" s="7" t="s">
        <v>17342</v>
      </c>
      <c r="D5404" s="194">
        <v>2013.0</v>
      </c>
      <c r="E5404" s="193"/>
      <c r="F5404" s="195" t="s">
        <v>23970</v>
      </c>
      <c r="G5404" s="196">
        <v>3.09402325E8</v>
      </c>
      <c r="H5404" s="197">
        <v>1.46</v>
      </c>
      <c r="I5404" s="7" t="s">
        <v>16815</v>
      </c>
      <c r="J5404" s="7" t="s">
        <v>16582</v>
      </c>
      <c r="K5404" s="7" t="s">
        <v>17342</v>
      </c>
      <c r="L5404" s="198" t="s">
        <v>65</v>
      </c>
      <c r="M5404" s="194"/>
      <c r="N5404" s="194"/>
    </row>
    <row r="5405">
      <c r="A5405" s="193" t="s">
        <v>23971</v>
      </c>
      <c r="B5405" s="7" t="s">
        <v>169</v>
      </c>
      <c r="C5405" s="7" t="s">
        <v>16899</v>
      </c>
      <c r="D5405" s="194">
        <v>1999.0</v>
      </c>
      <c r="E5405" s="193"/>
      <c r="F5405" s="195" t="s">
        <v>23972</v>
      </c>
      <c r="G5405" s="196">
        <v>3.08109637E8</v>
      </c>
      <c r="H5405" s="197">
        <v>24.48</v>
      </c>
      <c r="I5405" s="7" t="s">
        <v>16815</v>
      </c>
      <c r="J5405" s="7" t="s">
        <v>169</v>
      </c>
      <c r="K5405" s="7" t="s">
        <v>16899</v>
      </c>
      <c r="L5405" s="198" t="s">
        <v>65</v>
      </c>
      <c r="M5405" s="194"/>
      <c r="N5405" s="194"/>
    </row>
    <row r="5406">
      <c r="A5406" s="193" t="s">
        <v>23971</v>
      </c>
      <c r="B5406" s="202" t="s">
        <v>16899</v>
      </c>
      <c r="C5406" s="193" t="s">
        <v>169</v>
      </c>
      <c r="D5406" s="193">
        <v>1999.0</v>
      </c>
      <c r="E5406" s="193"/>
      <c r="F5406" s="203" t="s">
        <v>23972</v>
      </c>
      <c r="G5406" s="200">
        <v>3.08109637E8</v>
      </c>
      <c r="H5406" s="205">
        <v>5.9</v>
      </c>
      <c r="J5406" s="202" t="s">
        <v>16899</v>
      </c>
      <c r="K5406" s="193" t="s">
        <v>169</v>
      </c>
      <c r="L5406" s="193" t="s">
        <v>17471</v>
      </c>
      <c r="M5406" s="193"/>
      <c r="N5406" s="193"/>
    </row>
    <row r="5407">
      <c r="A5407" s="193" t="s">
        <v>23973</v>
      </c>
      <c r="B5407" s="7" t="s">
        <v>169</v>
      </c>
      <c r="C5407" s="7" t="s">
        <v>17662</v>
      </c>
      <c r="D5407" s="199"/>
      <c r="E5407" s="193"/>
      <c r="F5407" s="195" t="s">
        <v>23974</v>
      </c>
      <c r="G5407" s="196">
        <v>3.07904555E8</v>
      </c>
      <c r="H5407" s="197">
        <v>25.09</v>
      </c>
      <c r="I5407" s="7" t="s">
        <v>16815</v>
      </c>
      <c r="J5407" s="7" t="s">
        <v>169</v>
      </c>
      <c r="K5407" s="7" t="s">
        <v>17662</v>
      </c>
      <c r="L5407" s="198" t="s">
        <v>65</v>
      </c>
      <c r="M5407" s="199"/>
      <c r="N5407" s="199"/>
    </row>
    <row r="5408">
      <c r="A5408" s="193" t="s">
        <v>23975</v>
      </c>
      <c r="B5408" s="7" t="s">
        <v>17112</v>
      </c>
      <c r="C5408" s="7" t="s">
        <v>17218</v>
      </c>
      <c r="D5408" s="194">
        <v>2005.0</v>
      </c>
      <c r="E5408" s="193"/>
      <c r="F5408" s="195" t="s">
        <v>23976</v>
      </c>
      <c r="G5408" s="196">
        <v>3.0512414E8</v>
      </c>
      <c r="H5408" s="197">
        <v>9.73</v>
      </c>
      <c r="I5408" s="7" t="s">
        <v>16815</v>
      </c>
      <c r="J5408" s="7" t="s">
        <v>17112</v>
      </c>
      <c r="K5408" s="7" t="s">
        <v>17218</v>
      </c>
      <c r="L5408" s="198" t="s">
        <v>65</v>
      </c>
      <c r="M5408" s="194"/>
      <c r="N5408" s="194"/>
    </row>
    <row r="5409">
      <c r="A5409" s="193" t="s">
        <v>23977</v>
      </c>
      <c r="B5409" s="7" t="s">
        <v>17202</v>
      </c>
      <c r="C5409" s="7" t="s">
        <v>16838</v>
      </c>
      <c r="D5409" s="194">
        <v>1992.0</v>
      </c>
      <c r="E5409" s="193"/>
      <c r="F5409" s="195" t="s">
        <v>23978</v>
      </c>
      <c r="G5409" s="200">
        <v>3.04817279E8</v>
      </c>
      <c r="H5409" s="197">
        <v>11.87</v>
      </c>
      <c r="I5409" s="7" t="s">
        <v>16815</v>
      </c>
      <c r="J5409" s="7" t="s">
        <v>17202</v>
      </c>
      <c r="K5409" s="7" t="s">
        <v>16838</v>
      </c>
      <c r="L5409" s="201" t="s">
        <v>16835</v>
      </c>
      <c r="M5409" s="194"/>
      <c r="N5409" s="194"/>
    </row>
    <row r="5410">
      <c r="A5410" s="193" t="s">
        <v>23977</v>
      </c>
      <c r="B5410" s="7" t="s">
        <v>16838</v>
      </c>
      <c r="C5410" s="7" t="s">
        <v>17202</v>
      </c>
      <c r="D5410" s="194">
        <v>1992.0</v>
      </c>
      <c r="E5410" s="193"/>
      <c r="F5410" s="195" t="s">
        <v>23978</v>
      </c>
      <c r="G5410" s="196">
        <v>3.04817279E8</v>
      </c>
      <c r="H5410" s="197">
        <v>11.87</v>
      </c>
      <c r="I5410" s="7" t="s">
        <v>16815</v>
      </c>
      <c r="J5410" s="7" t="s">
        <v>16838</v>
      </c>
      <c r="K5410" s="7" t="s">
        <v>17202</v>
      </c>
      <c r="L5410" s="198" t="s">
        <v>65</v>
      </c>
      <c r="M5410" s="194"/>
      <c r="N5410" s="194"/>
    </row>
    <row r="5411">
      <c r="A5411" s="193" t="s">
        <v>23979</v>
      </c>
      <c r="B5411" s="7" t="s">
        <v>187</v>
      </c>
      <c r="C5411" s="7" t="s">
        <v>17259</v>
      </c>
      <c r="D5411" s="194">
        <v>2021.0</v>
      </c>
      <c r="E5411" s="193"/>
      <c r="F5411" s="195" t="s">
        <v>23980</v>
      </c>
      <c r="G5411" s="196">
        <v>3.04680157E8</v>
      </c>
      <c r="H5411" s="197">
        <v>1.6</v>
      </c>
      <c r="I5411" s="7" t="s">
        <v>16815</v>
      </c>
      <c r="J5411" s="7" t="s">
        <v>187</v>
      </c>
      <c r="K5411" s="7" t="s">
        <v>17259</v>
      </c>
      <c r="L5411" s="198" t="s">
        <v>65</v>
      </c>
      <c r="M5411" s="194"/>
      <c r="N5411" s="194"/>
    </row>
    <row r="5412">
      <c r="A5412" s="193" t="s">
        <v>23981</v>
      </c>
      <c r="B5412" s="7" t="s">
        <v>18679</v>
      </c>
      <c r="C5412" s="7" t="s">
        <v>16838</v>
      </c>
      <c r="D5412" s="194">
        <v>2019.0</v>
      </c>
      <c r="E5412" s="193"/>
      <c r="F5412" s="195" t="s">
        <v>23982</v>
      </c>
      <c r="G5412" s="200">
        <v>3.04009799E8</v>
      </c>
      <c r="H5412" s="197">
        <v>12.13</v>
      </c>
      <c r="I5412" s="7" t="s">
        <v>16815</v>
      </c>
      <c r="J5412" s="7" t="s">
        <v>18679</v>
      </c>
      <c r="K5412" s="7" t="s">
        <v>16838</v>
      </c>
      <c r="L5412" s="201" t="s">
        <v>16835</v>
      </c>
      <c r="M5412" s="194"/>
      <c r="N5412" s="194"/>
    </row>
    <row r="5413">
      <c r="A5413" s="193" t="s">
        <v>23981</v>
      </c>
      <c r="B5413" s="7" t="s">
        <v>16838</v>
      </c>
      <c r="C5413" s="7" t="s">
        <v>18679</v>
      </c>
      <c r="D5413" s="194">
        <v>2019.0</v>
      </c>
      <c r="E5413" s="193"/>
      <c r="F5413" s="195" t="s">
        <v>23982</v>
      </c>
      <c r="G5413" s="196">
        <v>3.04009799E8</v>
      </c>
      <c r="H5413" s="197">
        <v>12.13</v>
      </c>
      <c r="I5413" s="7" t="s">
        <v>16815</v>
      </c>
      <c r="J5413" s="7" t="s">
        <v>16838</v>
      </c>
      <c r="K5413" s="7" t="s">
        <v>18679</v>
      </c>
      <c r="L5413" s="198" t="s">
        <v>65</v>
      </c>
      <c r="M5413" s="194"/>
      <c r="N5413" s="194"/>
    </row>
    <row r="5414">
      <c r="A5414" s="193" t="s">
        <v>23983</v>
      </c>
      <c r="B5414" s="7" t="s">
        <v>19579</v>
      </c>
      <c r="C5414" s="7" t="s">
        <v>16838</v>
      </c>
      <c r="D5414" s="194">
        <v>2021.0</v>
      </c>
      <c r="E5414" s="193"/>
      <c r="F5414" s="195" t="s">
        <v>23984</v>
      </c>
      <c r="G5414" s="200">
        <v>3.03909915E8</v>
      </c>
      <c r="H5414" s="197">
        <v>12.48</v>
      </c>
      <c r="I5414" s="193" t="s">
        <v>16815</v>
      </c>
      <c r="J5414" s="7" t="s">
        <v>19579</v>
      </c>
      <c r="K5414" s="7" t="s">
        <v>16838</v>
      </c>
      <c r="L5414" s="201" t="s">
        <v>16835</v>
      </c>
      <c r="M5414" s="194"/>
      <c r="N5414" s="194"/>
    </row>
    <row r="5415">
      <c r="A5415" s="193" t="s">
        <v>23983</v>
      </c>
      <c r="B5415" s="7" t="s">
        <v>16838</v>
      </c>
      <c r="C5415" s="7" t="s">
        <v>19579</v>
      </c>
      <c r="D5415" s="194">
        <v>2021.0</v>
      </c>
      <c r="E5415" s="193"/>
      <c r="F5415" s="195" t="s">
        <v>23984</v>
      </c>
      <c r="G5415" s="196">
        <v>3.03909915E8</v>
      </c>
      <c r="H5415" s="197">
        <v>12.48</v>
      </c>
      <c r="I5415" s="7" t="s">
        <v>16815</v>
      </c>
      <c r="J5415" s="7" t="s">
        <v>16838</v>
      </c>
      <c r="K5415" s="7" t="s">
        <v>19579</v>
      </c>
      <c r="L5415" s="198" t="s">
        <v>65</v>
      </c>
      <c r="M5415" s="194"/>
      <c r="N5415" s="194"/>
    </row>
    <row r="5416">
      <c r="A5416" s="193" t="s">
        <v>23985</v>
      </c>
      <c r="B5416" s="7" t="s">
        <v>175</v>
      </c>
      <c r="C5416" s="7" t="s">
        <v>17084</v>
      </c>
      <c r="D5416" s="194">
        <v>1997.0</v>
      </c>
      <c r="E5416" s="193"/>
      <c r="F5416" s="195" t="s">
        <v>23986</v>
      </c>
      <c r="G5416" s="196">
        <v>3.03860168E8</v>
      </c>
      <c r="H5416" s="197">
        <v>24.35</v>
      </c>
      <c r="I5416" s="7" t="s">
        <v>168</v>
      </c>
      <c r="J5416" s="7" t="s">
        <v>175</v>
      </c>
      <c r="K5416" s="7" t="s">
        <v>17084</v>
      </c>
      <c r="L5416" s="198" t="s">
        <v>65</v>
      </c>
      <c r="M5416" s="194"/>
      <c r="N5416" s="194"/>
    </row>
    <row r="5417">
      <c r="A5417" s="193" t="s">
        <v>23987</v>
      </c>
      <c r="B5417" s="7" t="s">
        <v>187</v>
      </c>
      <c r="C5417" s="7" t="s">
        <v>16846</v>
      </c>
      <c r="D5417" s="194">
        <v>2021.0</v>
      </c>
      <c r="E5417" s="193"/>
      <c r="F5417" s="195" t="s">
        <v>23988</v>
      </c>
      <c r="G5417" s="196">
        <v>3.03596667E8</v>
      </c>
      <c r="H5417" s="197">
        <v>2.01</v>
      </c>
      <c r="I5417" s="7" t="s">
        <v>16815</v>
      </c>
      <c r="J5417" s="7" t="s">
        <v>187</v>
      </c>
      <c r="K5417" s="7" t="s">
        <v>16846</v>
      </c>
      <c r="L5417" s="198" t="s">
        <v>65</v>
      </c>
      <c r="M5417" s="194"/>
      <c r="N5417" s="194"/>
    </row>
    <row r="5418">
      <c r="A5418" s="193" t="s">
        <v>23989</v>
      </c>
      <c r="B5418" s="7" t="s">
        <v>187</v>
      </c>
      <c r="C5418" s="7" t="s">
        <v>16846</v>
      </c>
      <c r="D5418" s="194">
        <v>2021.0</v>
      </c>
      <c r="E5418" s="193"/>
      <c r="F5418" s="195" t="s">
        <v>23990</v>
      </c>
      <c r="G5418" s="196">
        <v>3.03499181E8</v>
      </c>
      <c r="H5418" s="197">
        <v>8.5</v>
      </c>
      <c r="I5418" s="7" t="s">
        <v>16815</v>
      </c>
      <c r="J5418" s="7" t="s">
        <v>187</v>
      </c>
      <c r="K5418" s="7" t="s">
        <v>16846</v>
      </c>
      <c r="L5418" s="198" t="s">
        <v>65</v>
      </c>
      <c r="M5418" s="194"/>
      <c r="N5418" s="194"/>
    </row>
    <row r="5419">
      <c r="A5419" s="193" t="s">
        <v>23991</v>
      </c>
      <c r="B5419" s="7" t="s">
        <v>169</v>
      </c>
      <c r="C5419" s="7" t="s">
        <v>17022</v>
      </c>
      <c r="D5419" s="199"/>
      <c r="E5419" s="193"/>
      <c r="F5419" s="195" t="s">
        <v>23992</v>
      </c>
      <c r="G5419" s="196">
        <v>3.0310803E8</v>
      </c>
      <c r="H5419" s="197">
        <v>0.809</v>
      </c>
      <c r="I5419" s="7" t="s">
        <v>16815</v>
      </c>
      <c r="J5419" s="7" t="s">
        <v>169</v>
      </c>
      <c r="K5419" s="7" t="s">
        <v>17022</v>
      </c>
      <c r="L5419" s="198" t="s">
        <v>65</v>
      </c>
      <c r="M5419" s="199"/>
      <c r="N5419" s="199"/>
    </row>
    <row r="5420">
      <c r="A5420" s="193" t="s">
        <v>23993</v>
      </c>
      <c r="B5420" s="7" t="s">
        <v>187</v>
      </c>
      <c r="C5420" s="7" t="s">
        <v>17122</v>
      </c>
      <c r="D5420" s="199"/>
      <c r="E5420" s="193"/>
      <c r="F5420" s="195" t="s">
        <v>23994</v>
      </c>
      <c r="G5420" s="196">
        <v>3.03099766E8</v>
      </c>
      <c r="H5420" s="197">
        <v>8.94</v>
      </c>
      <c r="I5420" s="7" t="s">
        <v>16815</v>
      </c>
      <c r="J5420" s="7" t="s">
        <v>187</v>
      </c>
      <c r="K5420" s="7" t="s">
        <v>17122</v>
      </c>
      <c r="L5420" s="198" t="s">
        <v>65</v>
      </c>
      <c r="M5420" s="199"/>
      <c r="N5420" s="199"/>
    </row>
    <row r="5421">
      <c r="A5421" s="193" t="s">
        <v>23995</v>
      </c>
      <c r="B5421" s="7" t="s">
        <v>18679</v>
      </c>
      <c r="C5421" s="7" t="s">
        <v>16838</v>
      </c>
      <c r="D5421" s="194">
        <v>2012.0</v>
      </c>
      <c r="E5421" s="193"/>
      <c r="F5421" s="195" t="s">
        <v>23996</v>
      </c>
      <c r="G5421" s="200">
        <v>3.02053038E8</v>
      </c>
      <c r="H5421" s="197">
        <v>12.52</v>
      </c>
      <c r="I5421" s="7" t="s">
        <v>16815</v>
      </c>
      <c r="J5421" s="7" t="s">
        <v>18679</v>
      </c>
      <c r="K5421" s="7" t="s">
        <v>16838</v>
      </c>
      <c r="L5421" s="201" t="s">
        <v>16835</v>
      </c>
      <c r="M5421" s="194"/>
      <c r="N5421" s="194"/>
    </row>
    <row r="5422">
      <c r="A5422" s="193" t="s">
        <v>23995</v>
      </c>
      <c r="B5422" s="7" t="s">
        <v>16838</v>
      </c>
      <c r="C5422" s="7" t="s">
        <v>18679</v>
      </c>
      <c r="D5422" s="194">
        <v>2012.0</v>
      </c>
      <c r="E5422" s="193"/>
      <c r="F5422" s="195" t="s">
        <v>23996</v>
      </c>
      <c r="G5422" s="196">
        <v>3.02053038E8</v>
      </c>
      <c r="H5422" s="197">
        <v>12.52</v>
      </c>
      <c r="I5422" s="7" t="s">
        <v>16815</v>
      </c>
      <c r="J5422" s="7" t="s">
        <v>16838</v>
      </c>
      <c r="K5422" s="7" t="s">
        <v>18679</v>
      </c>
      <c r="L5422" s="198" t="s">
        <v>65</v>
      </c>
      <c r="M5422" s="194"/>
      <c r="N5422" s="194"/>
    </row>
    <row r="5423">
      <c r="A5423" s="193" t="s">
        <v>23997</v>
      </c>
      <c r="B5423" s="7" t="s">
        <v>17057</v>
      </c>
      <c r="C5423" s="7" t="s">
        <v>169</v>
      </c>
      <c r="D5423" s="199"/>
      <c r="E5423" s="193"/>
      <c r="F5423" s="195" t="s">
        <v>23998</v>
      </c>
      <c r="G5423" s="200">
        <v>3.01726654E8</v>
      </c>
      <c r="H5423" s="197">
        <v>14.9</v>
      </c>
      <c r="I5423" s="7" t="s">
        <v>16815</v>
      </c>
      <c r="J5423" s="7" t="s">
        <v>17057</v>
      </c>
      <c r="K5423" s="7" t="s">
        <v>169</v>
      </c>
      <c r="L5423" s="201" t="s">
        <v>16835</v>
      </c>
      <c r="M5423" s="199"/>
      <c r="N5423" s="199"/>
    </row>
    <row r="5424">
      <c r="A5424" s="193" t="s">
        <v>23997</v>
      </c>
      <c r="B5424" s="7" t="s">
        <v>169</v>
      </c>
      <c r="C5424" s="7" t="s">
        <v>17057</v>
      </c>
      <c r="D5424" s="199"/>
      <c r="E5424" s="193"/>
      <c r="F5424" s="195" t="s">
        <v>23998</v>
      </c>
      <c r="G5424" s="196">
        <v>3.01726654E8</v>
      </c>
      <c r="H5424" s="197">
        <v>14.9</v>
      </c>
      <c r="I5424" s="7" t="s">
        <v>16815</v>
      </c>
      <c r="J5424" s="7" t="s">
        <v>169</v>
      </c>
      <c r="K5424" s="7" t="s">
        <v>17057</v>
      </c>
      <c r="L5424" s="198" t="s">
        <v>65</v>
      </c>
      <c r="M5424" s="199"/>
      <c r="N5424" s="199"/>
    </row>
    <row r="5425">
      <c r="A5425" s="193" t="s">
        <v>23999</v>
      </c>
      <c r="B5425" s="7" t="s">
        <v>16582</v>
      </c>
      <c r="C5425" s="7" t="s">
        <v>16930</v>
      </c>
      <c r="D5425" s="199"/>
      <c r="E5425" s="193"/>
      <c r="F5425" s="195" t="s">
        <v>24000</v>
      </c>
      <c r="G5425" s="196">
        <v>3.01618241E8</v>
      </c>
      <c r="H5425" s="197">
        <v>4.41</v>
      </c>
      <c r="I5425" s="7" t="s">
        <v>16815</v>
      </c>
      <c r="J5425" s="7" t="s">
        <v>16582</v>
      </c>
      <c r="K5425" s="7" t="s">
        <v>16930</v>
      </c>
      <c r="L5425" s="198" t="s">
        <v>65</v>
      </c>
      <c r="M5425" s="199"/>
      <c r="N5425" s="199"/>
    </row>
    <row r="5426">
      <c r="A5426" s="193" t="s">
        <v>23999</v>
      </c>
      <c r="B5426" s="7" t="s">
        <v>16930</v>
      </c>
      <c r="C5426" s="7" t="s">
        <v>16582</v>
      </c>
      <c r="D5426" s="199"/>
      <c r="E5426" s="193"/>
      <c r="F5426" s="195" t="s">
        <v>24000</v>
      </c>
      <c r="G5426" s="200">
        <v>3.01618241E8</v>
      </c>
      <c r="H5426" s="197">
        <v>4.41</v>
      </c>
      <c r="I5426" s="7" t="s">
        <v>16815</v>
      </c>
      <c r="J5426" s="7" t="s">
        <v>16930</v>
      </c>
      <c r="K5426" s="7" t="s">
        <v>16582</v>
      </c>
      <c r="L5426" s="201" t="s">
        <v>16835</v>
      </c>
      <c r="M5426" s="199"/>
      <c r="N5426" s="199"/>
    </row>
    <row r="5427">
      <c r="A5427" s="193" t="s">
        <v>24001</v>
      </c>
      <c r="B5427" s="7" t="s">
        <v>16838</v>
      </c>
      <c r="C5427" s="7" t="s">
        <v>17016</v>
      </c>
      <c r="D5427" s="199"/>
      <c r="E5427" s="193"/>
      <c r="F5427" s="195" t="s">
        <v>24002</v>
      </c>
      <c r="G5427" s="196">
        <v>3.01594974E8</v>
      </c>
      <c r="H5427" s="197">
        <v>20.899</v>
      </c>
      <c r="I5427" s="7" t="s">
        <v>16924</v>
      </c>
      <c r="J5427" s="7" t="s">
        <v>16838</v>
      </c>
      <c r="K5427" s="7" t="s">
        <v>17016</v>
      </c>
      <c r="L5427" s="198" t="s">
        <v>65</v>
      </c>
      <c r="M5427" s="199"/>
      <c r="N5427" s="199"/>
    </row>
    <row r="5428">
      <c r="A5428" s="193" t="s">
        <v>24003</v>
      </c>
      <c r="B5428" s="7" t="s">
        <v>175</v>
      </c>
      <c r="C5428" s="7" t="s">
        <v>16854</v>
      </c>
      <c r="D5428" s="199"/>
      <c r="E5428" s="193"/>
      <c r="F5428" s="195" t="s">
        <v>24004</v>
      </c>
      <c r="G5428" s="196">
        <v>3.01505741E8</v>
      </c>
      <c r="H5428" s="197">
        <v>3.79</v>
      </c>
      <c r="I5428" s="7" t="s">
        <v>168</v>
      </c>
      <c r="J5428" s="7" t="s">
        <v>175</v>
      </c>
      <c r="K5428" s="7" t="s">
        <v>16854</v>
      </c>
      <c r="L5428" s="198" t="s">
        <v>65</v>
      </c>
      <c r="M5428" s="199"/>
      <c r="N5428" s="199"/>
    </row>
    <row r="5429">
      <c r="A5429" s="193" t="s">
        <v>24003</v>
      </c>
      <c r="B5429" s="7" t="s">
        <v>16854</v>
      </c>
      <c r="C5429" s="7" t="s">
        <v>175</v>
      </c>
      <c r="D5429" s="199"/>
      <c r="E5429" s="193"/>
      <c r="F5429" s="195" t="s">
        <v>24004</v>
      </c>
      <c r="G5429" s="200">
        <v>3.01505741E8</v>
      </c>
      <c r="H5429" s="197">
        <v>3.79</v>
      </c>
      <c r="I5429" s="7" t="s">
        <v>16815</v>
      </c>
      <c r="J5429" s="7" t="s">
        <v>16854</v>
      </c>
      <c r="K5429" s="7" t="s">
        <v>175</v>
      </c>
      <c r="L5429" s="201" t="s">
        <v>16835</v>
      </c>
      <c r="M5429" s="199"/>
      <c r="N5429" s="199"/>
    </row>
    <row r="5430">
      <c r="A5430" s="193" t="s">
        <v>24005</v>
      </c>
      <c r="B5430" s="7" t="s">
        <v>16838</v>
      </c>
      <c r="C5430" s="7" t="s">
        <v>16867</v>
      </c>
      <c r="D5430" s="199"/>
      <c r="E5430" s="193"/>
      <c r="F5430" s="195" t="s">
        <v>24006</v>
      </c>
      <c r="G5430" s="196">
        <v>3.01371133E8</v>
      </c>
      <c r="H5430" s="197">
        <v>19.73</v>
      </c>
      <c r="I5430" s="7" t="s">
        <v>16815</v>
      </c>
      <c r="J5430" s="7" t="s">
        <v>16838</v>
      </c>
      <c r="K5430" s="7" t="s">
        <v>16867</v>
      </c>
      <c r="L5430" s="198" t="s">
        <v>65</v>
      </c>
      <c r="M5430" s="199"/>
      <c r="N5430" s="199"/>
    </row>
    <row r="5431">
      <c r="A5431" s="193" t="s">
        <v>24007</v>
      </c>
      <c r="B5431" s="7" t="s">
        <v>16838</v>
      </c>
      <c r="C5431" s="7" t="s">
        <v>16867</v>
      </c>
      <c r="D5431" s="199"/>
      <c r="E5431" s="193"/>
      <c r="F5431" s="195" t="s">
        <v>24008</v>
      </c>
      <c r="G5431" s="196">
        <v>3.01292137E8</v>
      </c>
      <c r="H5431" s="197">
        <v>20.75</v>
      </c>
      <c r="I5431" s="7" t="s">
        <v>16815</v>
      </c>
      <c r="J5431" s="7" t="s">
        <v>16838</v>
      </c>
      <c r="K5431" s="7" t="s">
        <v>16867</v>
      </c>
      <c r="L5431" s="198" t="s">
        <v>65</v>
      </c>
      <c r="M5431" s="199"/>
      <c r="N5431" s="199"/>
    </row>
    <row r="5432">
      <c r="A5432" s="193" t="s">
        <v>24009</v>
      </c>
      <c r="B5432" s="7" t="s">
        <v>169</v>
      </c>
      <c r="C5432" s="7" t="s">
        <v>16945</v>
      </c>
      <c r="D5432" s="194">
        <v>2015.0</v>
      </c>
      <c r="E5432" s="193"/>
      <c r="F5432" s="195" t="s">
        <v>24010</v>
      </c>
      <c r="G5432" s="196">
        <v>3.01046939E8</v>
      </c>
      <c r="H5432" s="197">
        <v>12.94</v>
      </c>
      <c r="I5432" s="7" t="s">
        <v>16815</v>
      </c>
      <c r="J5432" s="7" t="s">
        <v>169</v>
      </c>
      <c r="K5432" s="7" t="s">
        <v>16945</v>
      </c>
      <c r="L5432" s="198" t="s">
        <v>65</v>
      </c>
      <c r="M5432" s="194"/>
      <c r="N5432" s="194"/>
    </row>
    <row r="5433">
      <c r="A5433" s="193" t="s">
        <v>24011</v>
      </c>
      <c r="B5433" s="7" t="s">
        <v>19579</v>
      </c>
      <c r="C5433" s="7" t="s">
        <v>16838</v>
      </c>
      <c r="D5433" s="194">
        <v>1988.0</v>
      </c>
      <c r="E5433" s="193"/>
      <c r="F5433" s="195" t="s">
        <v>24012</v>
      </c>
      <c r="G5433" s="200">
        <v>3.0103216E8</v>
      </c>
      <c r="H5433" s="197">
        <v>2.62</v>
      </c>
      <c r="I5433" s="193" t="s">
        <v>16815</v>
      </c>
      <c r="J5433" s="7" t="s">
        <v>19579</v>
      </c>
      <c r="K5433" s="7" t="s">
        <v>16838</v>
      </c>
      <c r="L5433" s="201" t="s">
        <v>16835</v>
      </c>
      <c r="M5433" s="194"/>
      <c r="N5433" s="194"/>
    </row>
    <row r="5434">
      <c r="A5434" s="193" t="s">
        <v>24011</v>
      </c>
      <c r="B5434" s="7" t="s">
        <v>16838</v>
      </c>
      <c r="C5434" s="7" t="s">
        <v>19579</v>
      </c>
      <c r="D5434" s="194">
        <v>1988.0</v>
      </c>
      <c r="E5434" s="193"/>
      <c r="F5434" s="195" t="s">
        <v>24012</v>
      </c>
      <c r="G5434" s="196">
        <v>3.0103216E8</v>
      </c>
      <c r="H5434" s="197">
        <v>2.62</v>
      </c>
      <c r="I5434" s="7" t="s">
        <v>16815</v>
      </c>
      <c r="J5434" s="7" t="s">
        <v>16838</v>
      </c>
      <c r="K5434" s="7" t="s">
        <v>19579</v>
      </c>
      <c r="L5434" s="198" t="s">
        <v>65</v>
      </c>
      <c r="M5434" s="194"/>
      <c r="N5434" s="194"/>
    </row>
    <row r="5435">
      <c r="A5435" s="193" t="s">
        <v>24013</v>
      </c>
      <c r="B5435" s="7" t="s">
        <v>16582</v>
      </c>
      <c r="C5435" s="7" t="s">
        <v>16828</v>
      </c>
      <c r="D5435" s="194">
        <v>2013.0</v>
      </c>
      <c r="E5435" s="193"/>
      <c r="F5435" s="195" t="s">
        <v>24014</v>
      </c>
      <c r="G5435" s="196">
        <v>3.00886652E8</v>
      </c>
      <c r="H5435" s="197">
        <v>9.365</v>
      </c>
      <c r="I5435" s="7" t="s">
        <v>16815</v>
      </c>
      <c r="J5435" s="7" t="s">
        <v>16582</v>
      </c>
      <c r="K5435" s="7" t="s">
        <v>16828</v>
      </c>
      <c r="L5435" s="198" t="s">
        <v>65</v>
      </c>
      <c r="M5435" s="194"/>
      <c r="N5435" s="194"/>
    </row>
    <row r="5436">
      <c r="A5436" s="193" t="s">
        <v>24015</v>
      </c>
      <c r="B5436" s="7" t="s">
        <v>16838</v>
      </c>
      <c r="C5436" s="7" t="s">
        <v>16867</v>
      </c>
      <c r="D5436" s="199"/>
      <c r="E5436" s="193"/>
      <c r="F5436" s="195" t="s">
        <v>24016</v>
      </c>
      <c r="G5436" s="196">
        <v>3.00322092E8</v>
      </c>
      <c r="H5436" s="197">
        <v>35.3</v>
      </c>
      <c r="I5436" s="7" t="s">
        <v>16872</v>
      </c>
      <c r="J5436" s="7" t="s">
        <v>16838</v>
      </c>
      <c r="K5436" s="7" t="s">
        <v>16867</v>
      </c>
      <c r="L5436" s="198" t="s">
        <v>65</v>
      </c>
      <c r="M5436" s="199"/>
      <c r="N5436" s="199"/>
    </row>
    <row r="5437">
      <c r="A5437" s="193" t="s">
        <v>24017</v>
      </c>
      <c r="B5437" s="7" t="s">
        <v>16582</v>
      </c>
      <c r="C5437" s="7" t="s">
        <v>16930</v>
      </c>
      <c r="D5437" s="194">
        <v>2021.0</v>
      </c>
      <c r="E5437" s="193"/>
      <c r="F5437" s="195" t="s">
        <v>24018</v>
      </c>
      <c r="G5437" s="196">
        <v>3.00320719E8</v>
      </c>
      <c r="H5437" s="197">
        <v>1.21</v>
      </c>
      <c r="I5437" s="7" t="s">
        <v>16815</v>
      </c>
      <c r="J5437" s="7" t="s">
        <v>16582</v>
      </c>
      <c r="K5437" s="7" t="s">
        <v>16930</v>
      </c>
      <c r="L5437" s="198" t="s">
        <v>65</v>
      </c>
      <c r="M5437" s="194"/>
      <c r="N5437" s="194"/>
    </row>
    <row r="5438">
      <c r="A5438" s="193" t="s">
        <v>24017</v>
      </c>
      <c r="B5438" s="7" t="s">
        <v>16930</v>
      </c>
      <c r="C5438" s="7" t="s">
        <v>16582</v>
      </c>
      <c r="D5438" s="194">
        <v>2021.0</v>
      </c>
      <c r="E5438" s="193"/>
      <c r="F5438" s="195" t="s">
        <v>24018</v>
      </c>
      <c r="G5438" s="200">
        <v>3.00320719E8</v>
      </c>
      <c r="H5438" s="197">
        <v>1.21</v>
      </c>
      <c r="I5438" s="7" t="s">
        <v>16815</v>
      </c>
      <c r="J5438" s="7" t="s">
        <v>16930</v>
      </c>
      <c r="K5438" s="7" t="s">
        <v>16582</v>
      </c>
      <c r="L5438" s="201" t="s">
        <v>16835</v>
      </c>
      <c r="M5438" s="194"/>
      <c r="N5438" s="194"/>
    </row>
    <row r="5439">
      <c r="A5439" s="193" t="s">
        <v>24019</v>
      </c>
      <c r="B5439" s="7" t="s">
        <v>175</v>
      </c>
      <c r="C5439" s="7" t="s">
        <v>17350</v>
      </c>
      <c r="D5439" s="199"/>
      <c r="E5439" s="193"/>
      <c r="F5439" s="195" t="s">
        <v>24020</v>
      </c>
      <c r="G5439" s="196">
        <v>3.00267983E8</v>
      </c>
      <c r="H5439" s="197">
        <v>17.46</v>
      </c>
      <c r="I5439" s="7" t="s">
        <v>16908</v>
      </c>
      <c r="J5439" s="7" t="s">
        <v>175</v>
      </c>
      <c r="K5439" s="7" t="s">
        <v>17350</v>
      </c>
      <c r="L5439" s="198" t="s">
        <v>65</v>
      </c>
      <c r="M5439" s="199"/>
      <c r="N5439" s="199"/>
    </row>
    <row r="5440">
      <c r="A5440" s="193" t="s">
        <v>24019</v>
      </c>
      <c r="B5440" s="7" t="s">
        <v>17350</v>
      </c>
      <c r="C5440" s="7" t="s">
        <v>175</v>
      </c>
      <c r="D5440" s="199"/>
      <c r="E5440" s="193"/>
      <c r="F5440" s="195" t="s">
        <v>24020</v>
      </c>
      <c r="G5440" s="200">
        <v>3.00267983E8</v>
      </c>
      <c r="H5440" s="197">
        <v>17.46</v>
      </c>
      <c r="I5440" s="7" t="s">
        <v>16815</v>
      </c>
      <c r="J5440" s="7" t="s">
        <v>17350</v>
      </c>
      <c r="K5440" s="7" t="s">
        <v>175</v>
      </c>
      <c r="L5440" s="201" t="s">
        <v>16835</v>
      </c>
      <c r="M5440" s="199"/>
      <c r="N5440" s="199"/>
    </row>
    <row r="5441">
      <c r="A5441" s="193" t="s">
        <v>24021</v>
      </c>
      <c r="B5441" s="7" t="s">
        <v>169</v>
      </c>
      <c r="C5441" s="7" t="s">
        <v>17662</v>
      </c>
      <c r="D5441" s="199"/>
      <c r="E5441" s="193"/>
      <c r="F5441" s="195" t="s">
        <v>24022</v>
      </c>
      <c r="G5441" s="196">
        <v>3.00173193E8</v>
      </c>
      <c r="H5441" s="197">
        <v>24.46</v>
      </c>
      <c r="I5441" s="7" t="s">
        <v>16815</v>
      </c>
      <c r="J5441" s="7" t="s">
        <v>169</v>
      </c>
      <c r="K5441" s="7" t="s">
        <v>17662</v>
      </c>
      <c r="L5441" s="198" t="s">
        <v>65</v>
      </c>
      <c r="M5441" s="199"/>
      <c r="N5441" s="199"/>
    </row>
    <row r="5442">
      <c r="A5442" s="193" t="s">
        <v>24023</v>
      </c>
      <c r="B5442" s="7" t="s">
        <v>16838</v>
      </c>
      <c r="C5442" s="7" t="s">
        <v>18219</v>
      </c>
      <c r="D5442" s="194">
        <v>2021.0</v>
      </c>
      <c r="E5442" s="193"/>
      <c r="F5442" s="195" t="s">
        <v>24024</v>
      </c>
      <c r="G5442" s="196">
        <v>2.9925E8</v>
      </c>
      <c r="H5442" s="197">
        <v>10.64</v>
      </c>
      <c r="I5442" s="7" t="s">
        <v>16815</v>
      </c>
      <c r="J5442" s="7" t="s">
        <v>16838</v>
      </c>
      <c r="K5442" s="7" t="s">
        <v>18219</v>
      </c>
      <c r="L5442" s="198" t="s">
        <v>65</v>
      </c>
      <c r="M5442" s="194"/>
      <c r="N5442" s="194"/>
    </row>
    <row r="5443">
      <c r="A5443" s="193" t="s">
        <v>24023</v>
      </c>
      <c r="B5443" s="7" t="s">
        <v>18219</v>
      </c>
      <c r="C5443" s="7" t="s">
        <v>16838</v>
      </c>
      <c r="D5443" s="194">
        <v>2021.0</v>
      </c>
      <c r="E5443" s="193"/>
      <c r="F5443" s="195" t="s">
        <v>24024</v>
      </c>
      <c r="G5443" s="200">
        <v>2.9925E8</v>
      </c>
      <c r="H5443" s="197">
        <v>10.64</v>
      </c>
      <c r="I5443" s="7" t="s">
        <v>16815</v>
      </c>
      <c r="J5443" s="7" t="s">
        <v>18219</v>
      </c>
      <c r="K5443" s="7" t="s">
        <v>16838</v>
      </c>
      <c r="L5443" s="201" t="s">
        <v>16835</v>
      </c>
      <c r="M5443" s="194"/>
      <c r="N5443" s="194"/>
    </row>
    <row r="5444">
      <c r="A5444" s="193" t="s">
        <v>24025</v>
      </c>
      <c r="B5444" s="7" t="s">
        <v>16910</v>
      </c>
      <c r="C5444" s="7" t="s">
        <v>17119</v>
      </c>
      <c r="D5444" s="199"/>
      <c r="E5444" s="193"/>
      <c r="F5444" s="195" t="s">
        <v>24026</v>
      </c>
      <c r="G5444" s="196">
        <v>2.991744E8</v>
      </c>
      <c r="H5444" s="197">
        <v>11.13</v>
      </c>
      <c r="I5444" s="7" t="s">
        <v>16856</v>
      </c>
      <c r="J5444" s="7" t="s">
        <v>16910</v>
      </c>
      <c r="K5444" s="7" t="s">
        <v>17119</v>
      </c>
      <c r="L5444" s="198" t="s">
        <v>65</v>
      </c>
      <c r="M5444" s="199"/>
      <c r="N5444" s="199"/>
    </row>
    <row r="5445">
      <c r="A5445" s="193" t="s">
        <v>24027</v>
      </c>
      <c r="B5445" s="7" t="s">
        <v>17111</v>
      </c>
      <c r="C5445" s="7" t="s">
        <v>17112</v>
      </c>
      <c r="D5445" s="194">
        <v>2019.0</v>
      </c>
      <c r="E5445" s="193"/>
      <c r="F5445" s="195" t="s">
        <v>24028</v>
      </c>
      <c r="G5445" s="200">
        <v>2.98574238E8</v>
      </c>
      <c r="H5445" s="197">
        <v>13.75</v>
      </c>
      <c r="I5445" s="7" t="s">
        <v>16815</v>
      </c>
      <c r="J5445" s="7" t="s">
        <v>17111</v>
      </c>
      <c r="K5445" s="7" t="s">
        <v>17112</v>
      </c>
      <c r="L5445" s="201" t="s">
        <v>16835</v>
      </c>
      <c r="M5445" s="194"/>
      <c r="N5445" s="194"/>
    </row>
    <row r="5446">
      <c r="A5446" s="193" t="s">
        <v>24027</v>
      </c>
      <c r="B5446" s="7" t="s">
        <v>17112</v>
      </c>
      <c r="C5446" s="7" t="s">
        <v>17111</v>
      </c>
      <c r="D5446" s="194">
        <v>2019.0</v>
      </c>
      <c r="E5446" s="193"/>
      <c r="F5446" s="195" t="s">
        <v>24028</v>
      </c>
      <c r="G5446" s="196">
        <v>2.98574238E8</v>
      </c>
      <c r="H5446" s="197">
        <v>13.75</v>
      </c>
      <c r="I5446" s="7" t="s">
        <v>16815</v>
      </c>
      <c r="J5446" s="7" t="s">
        <v>17112</v>
      </c>
      <c r="K5446" s="7" t="s">
        <v>17111</v>
      </c>
      <c r="L5446" s="198" t="s">
        <v>65</v>
      </c>
      <c r="M5446" s="194"/>
      <c r="N5446" s="194"/>
    </row>
    <row r="5447">
      <c r="A5447" s="193" t="s">
        <v>24029</v>
      </c>
      <c r="B5447" s="7" t="s">
        <v>187</v>
      </c>
      <c r="C5447" s="7" t="s">
        <v>16846</v>
      </c>
      <c r="D5447" s="194">
        <v>2021.0</v>
      </c>
      <c r="E5447" s="193"/>
      <c r="F5447" s="195" t="s">
        <v>24030</v>
      </c>
      <c r="G5447" s="196">
        <v>2.97878962E8</v>
      </c>
      <c r="H5447" s="197">
        <v>4.4</v>
      </c>
      <c r="I5447" s="7" t="s">
        <v>16815</v>
      </c>
      <c r="J5447" s="7" t="s">
        <v>187</v>
      </c>
      <c r="K5447" s="7" t="s">
        <v>16846</v>
      </c>
      <c r="L5447" s="198" t="s">
        <v>65</v>
      </c>
      <c r="M5447" s="194"/>
      <c r="N5447" s="194"/>
    </row>
    <row r="5448">
      <c r="A5448" s="193" t="s">
        <v>24031</v>
      </c>
      <c r="B5448" s="7" t="s">
        <v>16838</v>
      </c>
      <c r="C5448" s="7" t="s">
        <v>17104</v>
      </c>
      <c r="D5448" s="194">
        <v>2020.0</v>
      </c>
      <c r="E5448" s="193"/>
      <c r="F5448" s="195" t="s">
        <v>24032</v>
      </c>
      <c r="G5448" s="196">
        <v>2.97432696E8</v>
      </c>
      <c r="H5448" s="197">
        <v>13.32</v>
      </c>
      <c r="I5448" s="7" t="s">
        <v>16815</v>
      </c>
      <c r="J5448" s="7" t="s">
        <v>16838</v>
      </c>
      <c r="K5448" s="7" t="s">
        <v>17104</v>
      </c>
      <c r="L5448" s="198" t="s">
        <v>65</v>
      </c>
      <c r="M5448" s="194"/>
      <c r="N5448" s="194"/>
    </row>
    <row r="5449">
      <c r="A5449" s="193" t="s">
        <v>24033</v>
      </c>
      <c r="B5449" s="7" t="s">
        <v>175</v>
      </c>
      <c r="C5449" s="7" t="s">
        <v>17233</v>
      </c>
      <c r="D5449" s="194">
        <v>2013.0</v>
      </c>
      <c r="E5449" s="193"/>
      <c r="F5449" s="195" t="s">
        <v>24034</v>
      </c>
      <c r="G5449" s="196">
        <v>2.97386381E8</v>
      </c>
      <c r="H5449" s="197">
        <v>6.4</v>
      </c>
      <c r="I5449" s="7" t="s">
        <v>168</v>
      </c>
      <c r="J5449" s="7" t="s">
        <v>175</v>
      </c>
      <c r="K5449" s="7" t="s">
        <v>17233</v>
      </c>
      <c r="L5449" s="198" t="s">
        <v>65</v>
      </c>
      <c r="M5449" s="194"/>
      <c r="N5449" s="194"/>
    </row>
    <row r="5450">
      <c r="A5450" s="193" t="s">
        <v>24035</v>
      </c>
      <c r="B5450" s="7" t="s">
        <v>17202</v>
      </c>
      <c r="C5450" s="7" t="s">
        <v>16838</v>
      </c>
      <c r="D5450" s="199"/>
      <c r="E5450" s="193"/>
      <c r="F5450" s="195" t="s">
        <v>24036</v>
      </c>
      <c r="G5450" s="200">
        <v>2.97119304E8</v>
      </c>
      <c r="H5450" s="197">
        <v>7.99</v>
      </c>
      <c r="I5450" s="7" t="s">
        <v>16815</v>
      </c>
      <c r="J5450" s="7" t="s">
        <v>17202</v>
      </c>
      <c r="K5450" s="7" t="s">
        <v>16838</v>
      </c>
      <c r="L5450" s="201" t="s">
        <v>16835</v>
      </c>
      <c r="M5450" s="199"/>
      <c r="N5450" s="199"/>
    </row>
    <row r="5451">
      <c r="A5451" s="193" t="s">
        <v>24035</v>
      </c>
      <c r="B5451" s="7" t="s">
        <v>16838</v>
      </c>
      <c r="C5451" s="7" t="s">
        <v>17202</v>
      </c>
      <c r="D5451" s="199"/>
      <c r="E5451" s="193"/>
      <c r="F5451" s="195" t="s">
        <v>24036</v>
      </c>
      <c r="G5451" s="196">
        <v>2.97119304E8</v>
      </c>
      <c r="H5451" s="197">
        <v>7.99</v>
      </c>
      <c r="I5451" s="7" t="s">
        <v>16815</v>
      </c>
      <c r="J5451" s="7" t="s">
        <v>16838</v>
      </c>
      <c r="K5451" s="7" t="s">
        <v>17202</v>
      </c>
      <c r="L5451" s="198" t="s">
        <v>65</v>
      </c>
      <c r="M5451" s="199"/>
      <c r="N5451" s="199"/>
    </row>
    <row r="5452">
      <c r="A5452" s="193" t="s">
        <v>24037</v>
      </c>
      <c r="B5452" s="7" t="s">
        <v>16838</v>
      </c>
      <c r="C5452" s="7" t="s">
        <v>16837</v>
      </c>
      <c r="D5452" s="194">
        <v>2017.0</v>
      </c>
      <c r="E5452" s="193"/>
      <c r="F5452" s="195" t="s">
        <v>24038</v>
      </c>
      <c r="G5452" s="196">
        <v>2.96833667E8</v>
      </c>
      <c r="H5452" s="197">
        <v>5.7</v>
      </c>
      <c r="I5452" s="7" t="s">
        <v>16815</v>
      </c>
      <c r="J5452" s="7" t="s">
        <v>16838</v>
      </c>
      <c r="K5452" s="7" t="s">
        <v>16837</v>
      </c>
      <c r="L5452" s="198" t="s">
        <v>65</v>
      </c>
      <c r="M5452" s="194"/>
      <c r="N5452" s="194"/>
    </row>
    <row r="5453">
      <c r="A5453" s="193" t="s">
        <v>24039</v>
      </c>
      <c r="B5453" s="7" t="s">
        <v>187</v>
      </c>
      <c r="C5453" s="7" t="s">
        <v>23634</v>
      </c>
      <c r="D5453" s="199"/>
      <c r="E5453" s="193"/>
      <c r="F5453" s="195" t="s">
        <v>24040</v>
      </c>
      <c r="G5453" s="196">
        <v>2.96820587E8</v>
      </c>
      <c r="H5453" s="197">
        <v>1.77</v>
      </c>
      <c r="I5453" s="7" t="s">
        <v>16815</v>
      </c>
      <c r="J5453" s="7" t="s">
        <v>187</v>
      </c>
      <c r="K5453" s="7" t="s">
        <v>23634</v>
      </c>
      <c r="L5453" s="198" t="s">
        <v>65</v>
      </c>
      <c r="M5453" s="199"/>
      <c r="N5453" s="199"/>
    </row>
    <row r="5454">
      <c r="A5454" s="193" t="s">
        <v>24041</v>
      </c>
      <c r="B5454" s="7" t="s">
        <v>16885</v>
      </c>
      <c r="C5454" s="7" t="s">
        <v>17726</v>
      </c>
      <c r="D5454" s="194">
        <v>2021.0</v>
      </c>
      <c r="E5454" s="193"/>
      <c r="F5454" s="195" t="s">
        <v>24042</v>
      </c>
      <c r="G5454" s="196">
        <v>2.9623362E8</v>
      </c>
      <c r="H5454" s="197">
        <v>3.36</v>
      </c>
      <c r="I5454" s="7" t="s">
        <v>16826</v>
      </c>
      <c r="J5454" s="7" t="s">
        <v>16885</v>
      </c>
      <c r="K5454" s="7" t="s">
        <v>17726</v>
      </c>
      <c r="L5454" s="198" t="s">
        <v>65</v>
      </c>
      <c r="M5454" s="194"/>
      <c r="N5454" s="194"/>
    </row>
    <row r="5455">
      <c r="A5455" s="193" t="s">
        <v>24041</v>
      </c>
      <c r="B5455" s="7" t="s">
        <v>17726</v>
      </c>
      <c r="C5455" s="7" t="s">
        <v>16885</v>
      </c>
      <c r="D5455" s="194">
        <v>2021.0</v>
      </c>
      <c r="E5455" s="193"/>
      <c r="F5455" s="195" t="s">
        <v>24042</v>
      </c>
      <c r="G5455" s="200">
        <v>2.9623362E8</v>
      </c>
      <c r="H5455" s="197">
        <v>3.36</v>
      </c>
      <c r="I5455" s="7" t="s">
        <v>16815</v>
      </c>
      <c r="J5455" s="7" t="s">
        <v>17726</v>
      </c>
      <c r="K5455" s="7" t="s">
        <v>16885</v>
      </c>
      <c r="L5455" s="201" t="s">
        <v>16835</v>
      </c>
      <c r="M5455" s="194"/>
      <c r="N5455" s="194"/>
    </row>
    <row r="5456">
      <c r="A5456" s="193" t="s">
        <v>24043</v>
      </c>
      <c r="B5456" s="7" t="s">
        <v>16838</v>
      </c>
      <c r="C5456" s="7" t="s">
        <v>16867</v>
      </c>
      <c r="D5456" s="199"/>
      <c r="E5456" s="193"/>
      <c r="F5456" s="195" t="s">
        <v>24044</v>
      </c>
      <c r="G5456" s="196">
        <v>2.95788817E8</v>
      </c>
      <c r="H5456" s="197">
        <v>41.7</v>
      </c>
      <c r="I5456" s="7" t="s">
        <v>16815</v>
      </c>
      <c r="J5456" s="7" t="s">
        <v>16838</v>
      </c>
      <c r="K5456" s="7" t="s">
        <v>16867</v>
      </c>
      <c r="L5456" s="198" t="s">
        <v>65</v>
      </c>
      <c r="M5456" s="199"/>
      <c r="N5456" s="199"/>
    </row>
    <row r="5457">
      <c r="A5457" s="193" t="s">
        <v>24045</v>
      </c>
      <c r="B5457" s="7" t="s">
        <v>187</v>
      </c>
      <c r="C5457" s="7" t="s">
        <v>16846</v>
      </c>
      <c r="D5457" s="199"/>
      <c r="E5457" s="193"/>
      <c r="F5457" s="195" t="s">
        <v>4053</v>
      </c>
      <c r="G5457" s="196">
        <v>2.95766591E8</v>
      </c>
      <c r="H5457" s="197">
        <v>0.7244</v>
      </c>
      <c r="I5457" s="7" t="s">
        <v>16815</v>
      </c>
      <c r="J5457" s="7" t="s">
        <v>187</v>
      </c>
      <c r="K5457" s="7" t="s">
        <v>16846</v>
      </c>
      <c r="L5457" s="198" t="s">
        <v>65</v>
      </c>
      <c r="M5457" s="199"/>
      <c r="N5457" s="199"/>
    </row>
    <row r="5458">
      <c r="A5458" s="193" t="s">
        <v>24046</v>
      </c>
      <c r="B5458" s="7" t="s">
        <v>16838</v>
      </c>
      <c r="C5458" s="7" t="s">
        <v>18219</v>
      </c>
      <c r="D5458" s="194">
        <v>2022.0</v>
      </c>
      <c r="E5458" s="193"/>
      <c r="F5458" s="195" t="s">
        <v>24047</v>
      </c>
      <c r="G5458" s="196">
        <v>2.953125E8</v>
      </c>
      <c r="H5458" s="197">
        <v>10.5</v>
      </c>
      <c r="I5458" s="7" t="s">
        <v>16815</v>
      </c>
      <c r="J5458" s="7" t="s">
        <v>16838</v>
      </c>
      <c r="K5458" s="7" t="s">
        <v>18219</v>
      </c>
      <c r="L5458" s="198" t="s">
        <v>65</v>
      </c>
      <c r="M5458" s="194"/>
      <c r="N5458" s="194"/>
    </row>
    <row r="5459">
      <c r="A5459" s="193" t="s">
        <v>24048</v>
      </c>
      <c r="B5459" s="7" t="s">
        <v>16582</v>
      </c>
      <c r="C5459" s="7" t="s">
        <v>16930</v>
      </c>
      <c r="D5459" s="199"/>
      <c r="E5459" s="193"/>
      <c r="F5459" s="195" t="s">
        <v>24049</v>
      </c>
      <c r="G5459" s="196">
        <v>2.94864317E8</v>
      </c>
      <c r="H5459" s="197">
        <v>8.74</v>
      </c>
      <c r="I5459" s="7" t="s">
        <v>16815</v>
      </c>
      <c r="J5459" s="7" t="s">
        <v>16582</v>
      </c>
      <c r="K5459" s="7" t="s">
        <v>16930</v>
      </c>
      <c r="L5459" s="198" t="s">
        <v>65</v>
      </c>
      <c r="M5459" s="199"/>
      <c r="N5459" s="199"/>
    </row>
    <row r="5460">
      <c r="A5460" s="193" t="s">
        <v>24050</v>
      </c>
      <c r="B5460" s="7" t="s">
        <v>16838</v>
      </c>
      <c r="C5460" s="7" t="s">
        <v>18956</v>
      </c>
      <c r="D5460" s="194">
        <v>2008.0</v>
      </c>
      <c r="E5460" s="193"/>
      <c r="F5460" s="195" t="s">
        <v>24051</v>
      </c>
      <c r="G5460" s="196">
        <v>2.94545464E8</v>
      </c>
      <c r="H5460" s="197">
        <v>36.15</v>
      </c>
      <c r="I5460" s="7" t="s">
        <v>16815</v>
      </c>
      <c r="J5460" s="7" t="s">
        <v>16838</v>
      </c>
      <c r="K5460" s="7" t="s">
        <v>18956</v>
      </c>
      <c r="L5460" s="198" t="s">
        <v>65</v>
      </c>
      <c r="M5460" s="194"/>
      <c r="N5460" s="194"/>
    </row>
    <row r="5461">
      <c r="A5461" s="193" t="s">
        <v>24052</v>
      </c>
      <c r="B5461" s="7" t="s">
        <v>17112</v>
      </c>
      <c r="C5461" s="7" t="s">
        <v>16838</v>
      </c>
      <c r="D5461" s="194">
        <v>1998.0</v>
      </c>
      <c r="E5461" s="193"/>
      <c r="F5461" s="195" t="s">
        <v>24053</v>
      </c>
      <c r="G5461" s="200">
        <v>2.93785696E8</v>
      </c>
      <c r="H5461" s="197">
        <v>14.97</v>
      </c>
      <c r="I5461" s="7" t="s">
        <v>16815</v>
      </c>
      <c r="J5461" s="7" t="s">
        <v>17112</v>
      </c>
      <c r="K5461" s="7" t="s">
        <v>16838</v>
      </c>
      <c r="L5461" s="201" t="s">
        <v>16835</v>
      </c>
      <c r="M5461" s="194"/>
      <c r="N5461" s="194"/>
    </row>
    <row r="5462">
      <c r="A5462" s="193" t="s">
        <v>24052</v>
      </c>
      <c r="B5462" s="7" t="s">
        <v>16838</v>
      </c>
      <c r="C5462" s="7" t="s">
        <v>17112</v>
      </c>
      <c r="D5462" s="194">
        <v>1998.0</v>
      </c>
      <c r="E5462" s="193"/>
      <c r="F5462" s="195" t="s">
        <v>24053</v>
      </c>
      <c r="G5462" s="196">
        <v>2.93785696E8</v>
      </c>
      <c r="H5462" s="197">
        <v>14.97</v>
      </c>
      <c r="I5462" s="7" t="s">
        <v>16815</v>
      </c>
      <c r="J5462" s="7" t="s">
        <v>16838</v>
      </c>
      <c r="K5462" s="7" t="s">
        <v>17112</v>
      </c>
      <c r="L5462" s="198" t="s">
        <v>65</v>
      </c>
      <c r="M5462" s="194"/>
      <c r="N5462" s="194"/>
    </row>
    <row r="5463">
      <c r="A5463" s="193" t="s">
        <v>24054</v>
      </c>
      <c r="B5463" s="7" t="s">
        <v>187</v>
      </c>
      <c r="C5463" s="7" t="s">
        <v>16846</v>
      </c>
      <c r="D5463" s="194">
        <v>2021.0</v>
      </c>
      <c r="E5463" s="193"/>
      <c r="F5463" s="195" t="s">
        <v>24055</v>
      </c>
      <c r="G5463" s="196">
        <v>2.93735684E8</v>
      </c>
      <c r="H5463" s="197">
        <v>7.69</v>
      </c>
      <c r="I5463" s="7" t="s">
        <v>16815</v>
      </c>
      <c r="J5463" s="7" t="s">
        <v>187</v>
      </c>
      <c r="K5463" s="7" t="s">
        <v>16846</v>
      </c>
      <c r="L5463" s="198" t="s">
        <v>65</v>
      </c>
      <c r="M5463" s="194"/>
      <c r="N5463" s="194"/>
    </row>
    <row r="5464">
      <c r="A5464" s="193" t="s">
        <v>24056</v>
      </c>
      <c r="B5464" s="7" t="s">
        <v>16838</v>
      </c>
      <c r="C5464" s="7" t="s">
        <v>16867</v>
      </c>
      <c r="D5464" s="199"/>
      <c r="E5464" s="193"/>
      <c r="F5464" s="195" t="s">
        <v>24057</v>
      </c>
      <c r="G5464" s="196">
        <v>2.93251463E8</v>
      </c>
      <c r="H5464" s="197">
        <v>18.17</v>
      </c>
      <c r="I5464" s="7" t="s">
        <v>16815</v>
      </c>
      <c r="J5464" s="7" t="s">
        <v>16838</v>
      </c>
      <c r="K5464" s="7" t="s">
        <v>16867</v>
      </c>
      <c r="L5464" s="198" t="s">
        <v>65</v>
      </c>
      <c r="M5464" s="199"/>
      <c r="N5464" s="199"/>
    </row>
    <row r="5465">
      <c r="A5465" s="193" t="s">
        <v>24058</v>
      </c>
      <c r="B5465" s="7" t="s">
        <v>187</v>
      </c>
      <c r="C5465" s="7" t="s">
        <v>16969</v>
      </c>
      <c r="D5465" s="199"/>
      <c r="E5465" s="193"/>
      <c r="F5465" s="195" t="s">
        <v>24059</v>
      </c>
      <c r="G5465" s="196">
        <v>2.93110538E8</v>
      </c>
      <c r="H5465" s="197">
        <v>20.02</v>
      </c>
      <c r="I5465" s="7" t="s">
        <v>16815</v>
      </c>
      <c r="J5465" s="7" t="s">
        <v>187</v>
      </c>
      <c r="K5465" s="7" t="s">
        <v>16969</v>
      </c>
      <c r="L5465" s="198" t="s">
        <v>65</v>
      </c>
      <c r="M5465" s="199"/>
      <c r="N5465" s="199"/>
    </row>
    <row r="5466">
      <c r="A5466" s="193" t="s">
        <v>24060</v>
      </c>
      <c r="D5466" s="199"/>
      <c r="E5466" s="193"/>
      <c r="F5466" s="195" t="s">
        <v>24061</v>
      </c>
      <c r="G5466" s="196">
        <v>2.9292167E8</v>
      </c>
      <c r="H5466" s="197">
        <v>1.0</v>
      </c>
      <c r="I5466" s="7" t="s">
        <v>16815</v>
      </c>
      <c r="L5466" s="198" t="s">
        <v>65</v>
      </c>
      <c r="M5466" s="199"/>
      <c r="N5466" s="199"/>
    </row>
    <row r="5467">
      <c r="A5467" s="193" t="s">
        <v>24062</v>
      </c>
      <c r="B5467" s="7" t="s">
        <v>16838</v>
      </c>
      <c r="C5467" s="7" t="s">
        <v>16867</v>
      </c>
      <c r="D5467" s="199"/>
      <c r="E5467" s="193"/>
      <c r="F5467" s="195" t="s">
        <v>24063</v>
      </c>
      <c r="G5467" s="196">
        <v>2.91999271E8</v>
      </c>
      <c r="H5467" s="197">
        <v>20.11</v>
      </c>
      <c r="I5467" s="7" t="s">
        <v>16815</v>
      </c>
      <c r="J5467" s="7" t="s">
        <v>16838</v>
      </c>
      <c r="K5467" s="7" t="s">
        <v>16867</v>
      </c>
      <c r="L5467" s="198" t="s">
        <v>65</v>
      </c>
      <c r="M5467" s="199"/>
      <c r="N5467" s="199"/>
    </row>
    <row r="5468">
      <c r="A5468" s="193" t="s">
        <v>24064</v>
      </c>
      <c r="B5468" s="7" t="s">
        <v>175</v>
      </c>
      <c r="C5468" s="7" t="s">
        <v>16824</v>
      </c>
      <c r="D5468" s="194">
        <v>2022.0</v>
      </c>
      <c r="E5468" s="193"/>
      <c r="F5468" s="195" t="s">
        <v>24065</v>
      </c>
      <c r="G5468" s="196">
        <v>2.919616E8</v>
      </c>
      <c r="H5468" s="197">
        <v>9.31</v>
      </c>
      <c r="I5468" s="7" t="s">
        <v>16908</v>
      </c>
      <c r="J5468" s="7" t="s">
        <v>175</v>
      </c>
      <c r="K5468" s="7" t="s">
        <v>16824</v>
      </c>
      <c r="L5468" s="198" t="s">
        <v>65</v>
      </c>
      <c r="M5468" s="194"/>
      <c r="N5468" s="194"/>
    </row>
    <row r="5469">
      <c r="A5469" s="193" t="s">
        <v>24066</v>
      </c>
      <c r="B5469" s="7" t="s">
        <v>16838</v>
      </c>
      <c r="C5469" s="7" t="s">
        <v>17202</v>
      </c>
      <c r="D5469" s="194">
        <v>2012.0</v>
      </c>
      <c r="E5469" s="193"/>
      <c r="F5469" s="195" t="s">
        <v>24067</v>
      </c>
      <c r="G5469" s="196">
        <v>2.91707173E8</v>
      </c>
      <c r="H5469" s="197">
        <v>12.73</v>
      </c>
      <c r="I5469" s="7" t="s">
        <v>16924</v>
      </c>
      <c r="J5469" s="7" t="s">
        <v>16838</v>
      </c>
      <c r="K5469" s="7" t="s">
        <v>17202</v>
      </c>
      <c r="L5469" s="198" t="s">
        <v>65</v>
      </c>
      <c r="M5469" s="194"/>
      <c r="N5469" s="194"/>
    </row>
    <row r="5470">
      <c r="A5470" s="193" t="s">
        <v>24066</v>
      </c>
      <c r="B5470" s="7" t="s">
        <v>17202</v>
      </c>
      <c r="C5470" s="7" t="s">
        <v>16838</v>
      </c>
      <c r="D5470" s="194">
        <v>2012.0</v>
      </c>
      <c r="E5470" s="193"/>
      <c r="F5470" s="195" t="s">
        <v>24067</v>
      </c>
      <c r="G5470" s="200">
        <v>2.91707173E8</v>
      </c>
      <c r="H5470" s="197">
        <v>12.73</v>
      </c>
      <c r="I5470" s="7" t="s">
        <v>16815</v>
      </c>
      <c r="J5470" s="7" t="s">
        <v>17202</v>
      </c>
      <c r="K5470" s="7" t="s">
        <v>16838</v>
      </c>
      <c r="L5470" s="201" t="s">
        <v>16835</v>
      </c>
      <c r="M5470" s="194"/>
      <c r="N5470" s="194"/>
    </row>
    <row r="5471">
      <c r="A5471" s="193" t="s">
        <v>24068</v>
      </c>
      <c r="B5471" s="7" t="s">
        <v>187</v>
      </c>
      <c r="C5471" s="7" t="s">
        <v>16846</v>
      </c>
      <c r="D5471" s="199"/>
      <c r="E5471" s="193"/>
      <c r="F5471" s="195" t="s">
        <v>24069</v>
      </c>
      <c r="G5471" s="196">
        <v>2.91567363E8</v>
      </c>
      <c r="H5471" s="197">
        <v>2.08</v>
      </c>
      <c r="I5471" s="7" t="s">
        <v>16815</v>
      </c>
      <c r="J5471" s="7" t="s">
        <v>187</v>
      </c>
      <c r="K5471" s="7" t="s">
        <v>16846</v>
      </c>
      <c r="L5471" s="198" t="s">
        <v>65</v>
      </c>
      <c r="M5471" s="199"/>
      <c r="N5471" s="199"/>
    </row>
    <row r="5472">
      <c r="A5472" s="193" t="s">
        <v>24070</v>
      </c>
      <c r="B5472" s="7" t="s">
        <v>175</v>
      </c>
      <c r="C5472" s="7" t="s">
        <v>17233</v>
      </c>
      <c r="D5472" s="199"/>
      <c r="E5472" s="193"/>
      <c r="F5472" s="195" t="s">
        <v>24071</v>
      </c>
      <c r="G5472" s="196">
        <v>2.91049636E8</v>
      </c>
      <c r="H5472" s="197">
        <v>23.0</v>
      </c>
      <c r="I5472" s="193" t="s">
        <v>168</v>
      </c>
      <c r="J5472" s="7" t="s">
        <v>175</v>
      </c>
      <c r="K5472" s="7" t="s">
        <v>17233</v>
      </c>
      <c r="L5472" s="198" t="s">
        <v>65</v>
      </c>
      <c r="M5472" s="199"/>
      <c r="N5472" s="199"/>
    </row>
    <row r="5473">
      <c r="A5473" s="193" t="s">
        <v>24072</v>
      </c>
      <c r="B5473" s="7" t="s">
        <v>169</v>
      </c>
      <c r="C5473" s="7" t="s">
        <v>17057</v>
      </c>
      <c r="D5473" s="199"/>
      <c r="E5473" s="193"/>
      <c r="F5473" s="195" t="s">
        <v>24073</v>
      </c>
      <c r="G5473" s="196">
        <v>2.90965173E8</v>
      </c>
      <c r="H5473" s="197">
        <v>6.08</v>
      </c>
      <c r="I5473" s="7" t="s">
        <v>16815</v>
      </c>
      <c r="J5473" s="7" t="s">
        <v>169</v>
      </c>
      <c r="K5473" s="7" t="s">
        <v>17057</v>
      </c>
      <c r="L5473" s="198" t="s">
        <v>65</v>
      </c>
      <c r="M5473" s="199"/>
      <c r="N5473" s="199"/>
    </row>
    <row r="5474">
      <c r="A5474" s="193" t="s">
        <v>24072</v>
      </c>
      <c r="B5474" s="202" t="s">
        <v>17057</v>
      </c>
      <c r="C5474" s="193" t="s">
        <v>169</v>
      </c>
      <c r="D5474" s="206"/>
      <c r="E5474" s="193"/>
      <c r="F5474" s="203" t="s">
        <v>24073</v>
      </c>
      <c r="G5474" s="200">
        <v>2.90965173E8</v>
      </c>
      <c r="H5474" s="205">
        <v>24.48</v>
      </c>
      <c r="J5474" s="202" t="s">
        <v>17057</v>
      </c>
      <c r="K5474" s="193" t="s">
        <v>169</v>
      </c>
      <c r="L5474" s="193" t="s">
        <v>17471</v>
      </c>
      <c r="M5474" s="206"/>
      <c r="N5474" s="206"/>
    </row>
    <row r="5475">
      <c r="A5475" s="193" t="s">
        <v>24074</v>
      </c>
      <c r="B5475" s="7" t="s">
        <v>175</v>
      </c>
      <c r="C5475" s="7" t="s">
        <v>17619</v>
      </c>
      <c r="D5475" s="199"/>
      <c r="E5475" s="193"/>
      <c r="F5475" s="195" t="s">
        <v>24075</v>
      </c>
      <c r="G5475" s="196">
        <v>2.90478294E8</v>
      </c>
      <c r="H5475" s="197">
        <v>2.01</v>
      </c>
      <c r="I5475" s="7" t="s">
        <v>18320</v>
      </c>
      <c r="J5475" s="7" t="s">
        <v>175</v>
      </c>
      <c r="K5475" s="7" t="s">
        <v>17619</v>
      </c>
      <c r="L5475" s="198" t="s">
        <v>65</v>
      </c>
      <c r="M5475" s="199"/>
      <c r="N5475" s="199"/>
    </row>
    <row r="5476">
      <c r="A5476" s="193" t="s">
        <v>24076</v>
      </c>
      <c r="B5476" s="7" t="s">
        <v>16582</v>
      </c>
      <c r="C5476" s="7" t="s">
        <v>16930</v>
      </c>
      <c r="D5476" s="194">
        <v>1997.0</v>
      </c>
      <c r="E5476" s="193"/>
      <c r="F5476" s="195" t="s">
        <v>24077</v>
      </c>
      <c r="G5476" s="196">
        <v>2.899152E8</v>
      </c>
      <c r="H5476" s="197">
        <v>1.6</v>
      </c>
      <c r="I5476" s="7" t="s">
        <v>16815</v>
      </c>
      <c r="J5476" s="7" t="s">
        <v>16582</v>
      </c>
      <c r="K5476" s="7" t="s">
        <v>16930</v>
      </c>
      <c r="L5476" s="198" t="s">
        <v>65</v>
      </c>
      <c r="M5476" s="194"/>
      <c r="N5476" s="194"/>
    </row>
    <row r="5477">
      <c r="A5477" s="193" t="s">
        <v>24078</v>
      </c>
      <c r="B5477" s="7" t="s">
        <v>187</v>
      </c>
      <c r="C5477" s="7" t="s">
        <v>16846</v>
      </c>
      <c r="D5477" s="194">
        <v>2014.0</v>
      </c>
      <c r="E5477" s="193"/>
      <c r="F5477" s="195" t="s">
        <v>24079</v>
      </c>
      <c r="G5477" s="196">
        <v>2.89737563E8</v>
      </c>
      <c r="H5477" s="197">
        <v>6.06</v>
      </c>
      <c r="I5477" s="7" t="s">
        <v>16815</v>
      </c>
      <c r="J5477" s="7" t="s">
        <v>187</v>
      </c>
      <c r="K5477" s="7" t="s">
        <v>16846</v>
      </c>
      <c r="L5477" s="198" t="s">
        <v>65</v>
      </c>
      <c r="M5477" s="194"/>
      <c r="N5477" s="194"/>
    </row>
    <row r="5478">
      <c r="A5478" s="193" t="s">
        <v>24080</v>
      </c>
      <c r="B5478" s="7" t="s">
        <v>175</v>
      </c>
      <c r="C5478" s="7" t="s">
        <v>18310</v>
      </c>
      <c r="D5478" s="194">
        <v>2014.0</v>
      </c>
      <c r="E5478" s="193"/>
      <c r="F5478" s="195" t="s">
        <v>24081</v>
      </c>
      <c r="G5478" s="196">
        <v>2.88819595E8</v>
      </c>
      <c r="H5478" s="197">
        <v>1.94</v>
      </c>
      <c r="I5478" s="7" t="s">
        <v>16908</v>
      </c>
      <c r="J5478" s="7" t="s">
        <v>175</v>
      </c>
      <c r="K5478" s="7" t="s">
        <v>18310</v>
      </c>
      <c r="L5478" s="198" t="s">
        <v>65</v>
      </c>
      <c r="M5478" s="194"/>
      <c r="N5478" s="194"/>
    </row>
    <row r="5479">
      <c r="A5479" s="193" t="s">
        <v>24080</v>
      </c>
      <c r="B5479" s="7" t="s">
        <v>18310</v>
      </c>
      <c r="C5479" s="7" t="s">
        <v>175</v>
      </c>
      <c r="D5479" s="194">
        <v>2014.0</v>
      </c>
      <c r="E5479" s="193"/>
      <c r="F5479" s="195" t="s">
        <v>24081</v>
      </c>
      <c r="G5479" s="200">
        <v>2.88819595E8</v>
      </c>
      <c r="H5479" s="197">
        <v>1.94</v>
      </c>
      <c r="I5479" s="7" t="s">
        <v>16815</v>
      </c>
      <c r="J5479" s="7" t="s">
        <v>18310</v>
      </c>
      <c r="K5479" s="7" t="s">
        <v>175</v>
      </c>
      <c r="L5479" s="201" t="s">
        <v>16835</v>
      </c>
      <c r="M5479" s="194"/>
      <c r="N5479" s="194"/>
    </row>
    <row r="5480">
      <c r="A5480" s="193" t="s">
        <v>24082</v>
      </c>
      <c r="B5480" s="7" t="s">
        <v>17127</v>
      </c>
      <c r="C5480" s="7" t="s">
        <v>16838</v>
      </c>
      <c r="D5480" s="194">
        <v>2014.0</v>
      </c>
      <c r="E5480" s="193"/>
      <c r="F5480" s="195" t="s">
        <v>24083</v>
      </c>
      <c r="G5480" s="200">
        <v>2.88324789E8</v>
      </c>
      <c r="H5480" s="197">
        <v>7.39</v>
      </c>
      <c r="I5480" s="7" t="s">
        <v>16815</v>
      </c>
      <c r="J5480" s="7" t="s">
        <v>17127</v>
      </c>
      <c r="K5480" s="7" t="s">
        <v>16838</v>
      </c>
      <c r="L5480" s="201" t="s">
        <v>16835</v>
      </c>
      <c r="M5480" s="194"/>
      <c r="N5480" s="194"/>
    </row>
    <row r="5481">
      <c r="A5481" s="193" t="s">
        <v>24082</v>
      </c>
      <c r="B5481" s="7" t="s">
        <v>16838</v>
      </c>
      <c r="C5481" s="7" t="s">
        <v>17127</v>
      </c>
      <c r="D5481" s="194">
        <v>2014.0</v>
      </c>
      <c r="E5481" s="193"/>
      <c r="F5481" s="195" t="s">
        <v>24083</v>
      </c>
      <c r="G5481" s="196">
        <v>2.88324789E8</v>
      </c>
      <c r="H5481" s="197">
        <v>7.39</v>
      </c>
      <c r="I5481" s="7" t="s">
        <v>16815</v>
      </c>
      <c r="J5481" s="7" t="s">
        <v>16838</v>
      </c>
      <c r="K5481" s="7" t="s">
        <v>17127</v>
      </c>
      <c r="L5481" s="198" t="s">
        <v>65</v>
      </c>
      <c r="M5481" s="194"/>
      <c r="N5481" s="194"/>
    </row>
    <row r="5482">
      <c r="A5482" s="193" t="s">
        <v>24084</v>
      </c>
      <c r="B5482" s="7" t="s">
        <v>187</v>
      </c>
      <c r="C5482" s="7" t="s">
        <v>16969</v>
      </c>
      <c r="D5482" s="199"/>
      <c r="E5482" s="193"/>
      <c r="F5482" s="195" t="s">
        <v>24085</v>
      </c>
      <c r="G5482" s="196">
        <v>2.87650018E8</v>
      </c>
      <c r="H5482" s="197">
        <v>11.29</v>
      </c>
      <c r="I5482" s="7" t="s">
        <v>16815</v>
      </c>
      <c r="J5482" s="7" t="s">
        <v>187</v>
      </c>
      <c r="K5482" s="7" t="s">
        <v>16969</v>
      </c>
      <c r="L5482" s="198" t="s">
        <v>65</v>
      </c>
      <c r="M5482" s="199"/>
      <c r="N5482" s="199"/>
    </row>
    <row r="5483">
      <c r="A5483" s="193" t="s">
        <v>24086</v>
      </c>
      <c r="B5483" s="7" t="s">
        <v>158</v>
      </c>
      <c r="C5483" s="7" t="s">
        <v>16864</v>
      </c>
      <c r="D5483" s="199"/>
      <c r="E5483" s="193"/>
      <c r="F5483" s="195" t="s">
        <v>24087</v>
      </c>
      <c r="G5483" s="196">
        <v>2.87576542E8</v>
      </c>
      <c r="H5483" s="197">
        <v>1.47</v>
      </c>
      <c r="I5483" s="7" t="s">
        <v>17316</v>
      </c>
      <c r="J5483" s="7" t="s">
        <v>158</v>
      </c>
      <c r="K5483" s="7" t="s">
        <v>16864</v>
      </c>
      <c r="L5483" s="198" t="s">
        <v>65</v>
      </c>
      <c r="M5483" s="199"/>
      <c r="N5483" s="199"/>
    </row>
    <row r="5484">
      <c r="A5484" s="193" t="s">
        <v>24086</v>
      </c>
      <c r="B5484" s="202" t="s">
        <v>16864</v>
      </c>
      <c r="C5484" s="193" t="s">
        <v>158</v>
      </c>
      <c r="D5484" s="206"/>
      <c r="E5484" s="193"/>
      <c r="F5484" s="203" t="s">
        <v>24087</v>
      </c>
      <c r="G5484" s="200">
        <v>2.87576542E8</v>
      </c>
      <c r="H5484" s="205">
        <v>6.08</v>
      </c>
      <c r="J5484" s="202" t="s">
        <v>16864</v>
      </c>
      <c r="K5484" s="193" t="s">
        <v>158</v>
      </c>
      <c r="L5484" s="193" t="s">
        <v>17471</v>
      </c>
      <c r="M5484" s="206"/>
      <c r="N5484" s="206"/>
    </row>
    <row r="5485">
      <c r="A5485" s="193" t="s">
        <v>24088</v>
      </c>
      <c r="B5485" s="7" t="s">
        <v>187</v>
      </c>
      <c r="C5485" s="7" t="s">
        <v>16846</v>
      </c>
      <c r="D5485" s="194">
        <v>2016.0</v>
      </c>
      <c r="E5485" s="193"/>
      <c r="F5485" s="195" t="s">
        <v>24089</v>
      </c>
      <c r="G5485" s="196">
        <v>2.87572956E8</v>
      </c>
      <c r="H5485" s="197">
        <v>2.19</v>
      </c>
      <c r="I5485" s="7" t="s">
        <v>16815</v>
      </c>
      <c r="J5485" s="7" t="s">
        <v>187</v>
      </c>
      <c r="K5485" s="7" t="s">
        <v>16846</v>
      </c>
      <c r="L5485" s="198" t="s">
        <v>65</v>
      </c>
      <c r="M5485" s="194"/>
      <c r="N5485" s="194"/>
    </row>
    <row r="5486">
      <c r="A5486" s="193" t="s">
        <v>24090</v>
      </c>
      <c r="B5486" s="7" t="s">
        <v>16838</v>
      </c>
      <c r="C5486" s="7" t="s">
        <v>16867</v>
      </c>
      <c r="D5486" s="194">
        <v>2018.0</v>
      </c>
      <c r="E5486" s="193"/>
      <c r="F5486" s="195" t="s">
        <v>24091</v>
      </c>
      <c r="G5486" s="196">
        <v>2.87005843E8</v>
      </c>
      <c r="H5486" s="197">
        <v>10.25</v>
      </c>
      <c r="I5486" s="7" t="s">
        <v>16815</v>
      </c>
      <c r="J5486" s="7" t="s">
        <v>16838</v>
      </c>
      <c r="K5486" s="7" t="s">
        <v>16867</v>
      </c>
      <c r="L5486" s="198" t="s">
        <v>65</v>
      </c>
      <c r="M5486" s="194"/>
      <c r="N5486" s="194"/>
    </row>
    <row r="5487">
      <c r="A5487" s="193" t="s">
        <v>24092</v>
      </c>
      <c r="B5487" s="7" t="s">
        <v>187</v>
      </c>
      <c r="C5487" s="7" t="s">
        <v>16969</v>
      </c>
      <c r="D5487" s="199"/>
      <c r="E5487" s="193"/>
      <c r="F5487" s="195" t="s">
        <v>24093</v>
      </c>
      <c r="G5487" s="196">
        <v>2.86732475E8</v>
      </c>
      <c r="H5487" s="197">
        <v>79.0</v>
      </c>
      <c r="I5487" s="7" t="s">
        <v>16815</v>
      </c>
      <c r="J5487" s="7" t="s">
        <v>187</v>
      </c>
      <c r="K5487" s="7" t="s">
        <v>16969</v>
      </c>
      <c r="L5487" s="198" t="s">
        <v>65</v>
      </c>
      <c r="M5487" s="199"/>
      <c r="N5487" s="199"/>
    </row>
    <row r="5488">
      <c r="A5488" s="193" t="s">
        <v>24094</v>
      </c>
      <c r="B5488" s="7" t="s">
        <v>187</v>
      </c>
      <c r="C5488" s="7" t="s">
        <v>16858</v>
      </c>
      <c r="D5488" s="194">
        <v>2018.0</v>
      </c>
      <c r="E5488" s="193"/>
      <c r="F5488" s="195" t="s">
        <v>24095</v>
      </c>
      <c r="G5488" s="196">
        <v>2.8636486E8</v>
      </c>
      <c r="H5488" s="197">
        <v>4.81</v>
      </c>
      <c r="I5488" s="7" t="s">
        <v>16815</v>
      </c>
      <c r="J5488" s="7" t="s">
        <v>187</v>
      </c>
      <c r="K5488" s="7" t="s">
        <v>16858</v>
      </c>
      <c r="L5488" s="198" t="s">
        <v>65</v>
      </c>
      <c r="M5488" s="194"/>
      <c r="N5488" s="194"/>
    </row>
    <row r="5489">
      <c r="A5489" s="193" t="s">
        <v>24096</v>
      </c>
      <c r="B5489" s="7" t="s">
        <v>187</v>
      </c>
      <c r="C5489" s="7" t="s">
        <v>16846</v>
      </c>
      <c r="D5489" s="199"/>
      <c r="E5489" s="193"/>
      <c r="F5489" s="195" t="s">
        <v>24097</v>
      </c>
      <c r="G5489" s="196">
        <v>2.86009304E8</v>
      </c>
      <c r="H5489" s="197">
        <v>2.535</v>
      </c>
      <c r="I5489" s="7" t="s">
        <v>16815</v>
      </c>
      <c r="J5489" s="7" t="s">
        <v>187</v>
      </c>
      <c r="K5489" s="7" t="s">
        <v>16846</v>
      </c>
      <c r="L5489" s="198" t="s">
        <v>65</v>
      </c>
      <c r="M5489" s="199"/>
      <c r="N5489" s="199"/>
    </row>
    <row r="5490">
      <c r="A5490" s="193" t="s">
        <v>24098</v>
      </c>
      <c r="B5490" s="7" t="s">
        <v>16582</v>
      </c>
      <c r="C5490" s="7" t="s">
        <v>16817</v>
      </c>
      <c r="D5490" s="199"/>
      <c r="E5490" s="193"/>
      <c r="F5490" s="195" t="s">
        <v>24099</v>
      </c>
      <c r="G5490" s="196">
        <v>2.85686E8</v>
      </c>
      <c r="H5490" s="197">
        <v>4.15</v>
      </c>
      <c r="I5490" s="7" t="s">
        <v>16815</v>
      </c>
      <c r="J5490" s="7" t="s">
        <v>16582</v>
      </c>
      <c r="K5490" s="7" t="s">
        <v>16817</v>
      </c>
      <c r="L5490" s="198" t="s">
        <v>65</v>
      </c>
      <c r="M5490" s="199"/>
      <c r="N5490" s="199"/>
    </row>
    <row r="5491">
      <c r="A5491" s="193" t="s">
        <v>24100</v>
      </c>
      <c r="B5491" s="7" t="s">
        <v>16582</v>
      </c>
      <c r="C5491" s="7" t="s">
        <v>16817</v>
      </c>
      <c r="D5491" s="199"/>
      <c r="E5491" s="193"/>
      <c r="F5491" s="195" t="s">
        <v>24101</v>
      </c>
      <c r="G5491" s="196">
        <v>2.84334437E8</v>
      </c>
      <c r="H5491" s="197">
        <v>1.44</v>
      </c>
      <c r="I5491" s="7" t="s">
        <v>16815</v>
      </c>
      <c r="J5491" s="7" t="s">
        <v>16582</v>
      </c>
      <c r="K5491" s="7" t="s">
        <v>16817</v>
      </c>
      <c r="L5491" s="198" t="s">
        <v>65</v>
      </c>
      <c r="M5491" s="199"/>
      <c r="N5491" s="199"/>
    </row>
    <row r="5492">
      <c r="A5492" s="193" t="s">
        <v>24102</v>
      </c>
      <c r="B5492" s="7" t="s">
        <v>16582</v>
      </c>
      <c r="C5492" s="7" t="s">
        <v>16817</v>
      </c>
      <c r="D5492" s="194">
        <v>2021.0</v>
      </c>
      <c r="E5492" s="193"/>
      <c r="F5492" s="195" t="s">
        <v>24103</v>
      </c>
      <c r="G5492" s="196">
        <v>2.84283768E8</v>
      </c>
      <c r="H5492" s="197">
        <v>6.85</v>
      </c>
      <c r="I5492" s="7" t="s">
        <v>16815</v>
      </c>
      <c r="J5492" s="7" t="s">
        <v>16582</v>
      </c>
      <c r="K5492" s="7" t="s">
        <v>16817</v>
      </c>
      <c r="L5492" s="198" t="s">
        <v>65</v>
      </c>
      <c r="M5492" s="194"/>
      <c r="N5492" s="194"/>
    </row>
    <row r="5493">
      <c r="A5493" s="193" t="s">
        <v>24102</v>
      </c>
      <c r="B5493" s="7" t="s">
        <v>16817</v>
      </c>
      <c r="C5493" s="7" t="s">
        <v>16582</v>
      </c>
      <c r="D5493" s="194">
        <v>2021.0</v>
      </c>
      <c r="E5493" s="193"/>
      <c r="F5493" s="195" t="s">
        <v>24103</v>
      </c>
      <c r="G5493" s="200">
        <v>2.84283768E8</v>
      </c>
      <c r="H5493" s="197">
        <v>6.85</v>
      </c>
      <c r="I5493" s="7" t="s">
        <v>16815</v>
      </c>
      <c r="J5493" s="7" t="s">
        <v>16817</v>
      </c>
      <c r="K5493" s="7" t="s">
        <v>16582</v>
      </c>
      <c r="L5493" s="201" t="s">
        <v>16835</v>
      </c>
      <c r="M5493" s="194"/>
      <c r="N5493" s="194"/>
    </row>
    <row r="5494">
      <c r="A5494" s="193" t="s">
        <v>24104</v>
      </c>
      <c r="B5494" s="7" t="s">
        <v>17202</v>
      </c>
      <c r="C5494" s="7" t="s">
        <v>16838</v>
      </c>
      <c r="D5494" s="194">
        <v>2022.0</v>
      </c>
      <c r="E5494" s="193"/>
      <c r="F5494" s="195" t="s">
        <v>24105</v>
      </c>
      <c r="G5494" s="200">
        <v>2.84250643E8</v>
      </c>
      <c r="H5494" s="197">
        <v>14.4</v>
      </c>
      <c r="I5494" s="7" t="s">
        <v>16815</v>
      </c>
      <c r="J5494" s="7" t="s">
        <v>17202</v>
      </c>
      <c r="K5494" s="7" t="s">
        <v>16838</v>
      </c>
      <c r="L5494" s="201" t="s">
        <v>16835</v>
      </c>
      <c r="M5494" s="194"/>
      <c r="N5494" s="194"/>
    </row>
    <row r="5495">
      <c r="A5495" s="193" t="s">
        <v>24104</v>
      </c>
      <c r="B5495" s="7" t="s">
        <v>16838</v>
      </c>
      <c r="C5495" s="7" t="s">
        <v>17202</v>
      </c>
      <c r="D5495" s="194">
        <v>2022.0</v>
      </c>
      <c r="E5495" s="193"/>
      <c r="F5495" s="195" t="s">
        <v>24105</v>
      </c>
      <c r="G5495" s="196">
        <v>2.84250643E8</v>
      </c>
      <c r="H5495" s="197">
        <v>14.4</v>
      </c>
      <c r="I5495" s="7" t="s">
        <v>16815</v>
      </c>
      <c r="J5495" s="7" t="s">
        <v>16838</v>
      </c>
      <c r="K5495" s="7" t="s">
        <v>17202</v>
      </c>
      <c r="L5495" s="198" t="s">
        <v>65</v>
      </c>
      <c r="M5495" s="194"/>
      <c r="N5495" s="194"/>
    </row>
    <row r="5496">
      <c r="A5496" s="193" t="s">
        <v>24106</v>
      </c>
      <c r="B5496" s="7" t="s">
        <v>16910</v>
      </c>
      <c r="C5496" s="7" t="s">
        <v>17648</v>
      </c>
      <c r="D5496" s="194">
        <v>2012.0</v>
      </c>
      <c r="E5496" s="193"/>
      <c r="F5496" s="195" t="s">
        <v>24107</v>
      </c>
      <c r="G5496" s="196">
        <v>2.84223263E8</v>
      </c>
      <c r="H5496" s="197">
        <v>12.5</v>
      </c>
      <c r="I5496" s="7" t="s">
        <v>16917</v>
      </c>
      <c r="J5496" s="7" t="s">
        <v>16910</v>
      </c>
      <c r="K5496" s="7" t="s">
        <v>17648</v>
      </c>
      <c r="L5496" s="198" t="s">
        <v>65</v>
      </c>
      <c r="M5496" s="194"/>
      <c r="N5496" s="194"/>
    </row>
    <row r="5497">
      <c r="A5497" s="193" t="s">
        <v>24106</v>
      </c>
      <c r="B5497" s="7" t="s">
        <v>17648</v>
      </c>
      <c r="C5497" s="7" t="s">
        <v>16910</v>
      </c>
      <c r="D5497" s="194">
        <v>2012.0</v>
      </c>
      <c r="E5497" s="193"/>
      <c r="F5497" s="195" t="s">
        <v>24107</v>
      </c>
      <c r="G5497" s="200">
        <v>2.84223263E8</v>
      </c>
      <c r="H5497" s="197">
        <v>12.5</v>
      </c>
      <c r="I5497" s="7" t="s">
        <v>16815</v>
      </c>
      <c r="J5497" s="7" t="s">
        <v>17648</v>
      </c>
      <c r="K5497" s="7" t="s">
        <v>16910</v>
      </c>
      <c r="L5497" s="201" t="s">
        <v>16835</v>
      </c>
      <c r="M5497" s="194"/>
      <c r="N5497" s="194"/>
    </row>
    <row r="5498">
      <c r="A5498" s="193" t="s">
        <v>24108</v>
      </c>
      <c r="B5498" s="7" t="s">
        <v>175</v>
      </c>
      <c r="C5498" s="7" t="s">
        <v>16942</v>
      </c>
      <c r="D5498" s="194">
        <v>2023.0</v>
      </c>
      <c r="E5498" s="193"/>
      <c r="F5498" s="195" t="s">
        <v>24109</v>
      </c>
      <c r="G5498" s="196">
        <v>2.84077781E8</v>
      </c>
      <c r="H5498" s="197">
        <v>8.8</v>
      </c>
      <c r="I5498" s="7" t="s">
        <v>16908</v>
      </c>
      <c r="J5498" s="7" t="s">
        <v>175</v>
      </c>
      <c r="K5498" s="7" t="s">
        <v>16942</v>
      </c>
      <c r="L5498" s="198" t="s">
        <v>65</v>
      </c>
      <c r="M5498" s="194"/>
      <c r="N5498" s="194"/>
    </row>
    <row r="5499">
      <c r="A5499" s="193" t="s">
        <v>24110</v>
      </c>
      <c r="B5499" s="7" t="s">
        <v>17111</v>
      </c>
      <c r="C5499" s="7" t="s">
        <v>17112</v>
      </c>
      <c r="D5499" s="194">
        <v>2021.0</v>
      </c>
      <c r="E5499" s="193"/>
      <c r="F5499" s="195" t="s">
        <v>24111</v>
      </c>
      <c r="G5499" s="200">
        <v>2.83478455E8</v>
      </c>
      <c r="H5499" s="197">
        <v>5.0</v>
      </c>
      <c r="I5499" s="7" t="s">
        <v>16815</v>
      </c>
      <c r="J5499" s="7" t="s">
        <v>17111</v>
      </c>
      <c r="K5499" s="7" t="s">
        <v>17112</v>
      </c>
      <c r="L5499" s="201" t="s">
        <v>16835</v>
      </c>
      <c r="M5499" s="194"/>
      <c r="N5499" s="194"/>
    </row>
    <row r="5500">
      <c r="A5500" s="193" t="s">
        <v>24110</v>
      </c>
      <c r="B5500" s="7" t="s">
        <v>17112</v>
      </c>
      <c r="C5500" s="7" t="s">
        <v>17111</v>
      </c>
      <c r="D5500" s="194">
        <v>2021.0</v>
      </c>
      <c r="E5500" s="193"/>
      <c r="F5500" s="195" t="s">
        <v>24111</v>
      </c>
      <c r="G5500" s="196">
        <v>2.83478455E8</v>
      </c>
      <c r="H5500" s="197">
        <v>5.0</v>
      </c>
      <c r="I5500" s="7" t="s">
        <v>16815</v>
      </c>
      <c r="J5500" s="7" t="s">
        <v>17112</v>
      </c>
      <c r="K5500" s="7" t="s">
        <v>17111</v>
      </c>
      <c r="L5500" s="198" t="s">
        <v>65</v>
      </c>
      <c r="M5500" s="194"/>
      <c r="N5500" s="194"/>
    </row>
    <row r="5501">
      <c r="A5501" s="193" t="s">
        <v>24112</v>
      </c>
      <c r="B5501" s="7" t="s">
        <v>16838</v>
      </c>
      <c r="C5501" s="7" t="s">
        <v>16867</v>
      </c>
      <c r="D5501" s="199"/>
      <c r="E5501" s="193"/>
      <c r="F5501" s="195" t="s">
        <v>24113</v>
      </c>
      <c r="G5501" s="196">
        <v>2.83334411E8</v>
      </c>
      <c r="H5501" s="197">
        <v>49.82</v>
      </c>
      <c r="I5501" s="7" t="s">
        <v>16815</v>
      </c>
      <c r="J5501" s="7" t="s">
        <v>16838</v>
      </c>
      <c r="K5501" s="7" t="s">
        <v>16867</v>
      </c>
      <c r="L5501" s="198" t="s">
        <v>65</v>
      </c>
      <c r="M5501" s="199"/>
      <c r="N5501" s="199"/>
    </row>
    <row r="5502">
      <c r="A5502" s="193" t="s">
        <v>24114</v>
      </c>
      <c r="B5502" s="7" t="s">
        <v>187</v>
      </c>
      <c r="C5502" s="7" t="s">
        <v>16969</v>
      </c>
      <c r="D5502" s="194">
        <v>2016.0</v>
      </c>
      <c r="E5502" s="193"/>
      <c r="F5502" s="195" t="s">
        <v>24115</v>
      </c>
      <c r="G5502" s="196">
        <v>2.83299181E8</v>
      </c>
      <c r="H5502" s="197">
        <v>5.16</v>
      </c>
      <c r="I5502" s="7" t="s">
        <v>16815</v>
      </c>
      <c r="J5502" s="7" t="s">
        <v>187</v>
      </c>
      <c r="K5502" s="7" t="s">
        <v>16969</v>
      </c>
      <c r="L5502" s="198" t="s">
        <v>65</v>
      </c>
      <c r="M5502" s="194"/>
      <c r="N5502" s="194"/>
    </row>
    <row r="5503">
      <c r="A5503" s="193" t="s">
        <v>24116</v>
      </c>
      <c r="B5503" s="7" t="s">
        <v>16838</v>
      </c>
      <c r="C5503" s="7" t="s">
        <v>17104</v>
      </c>
      <c r="D5503" s="199"/>
      <c r="E5503" s="193"/>
      <c r="F5503" s="195" t="s">
        <v>24117</v>
      </c>
      <c r="G5503" s="196">
        <v>2.83253138E8</v>
      </c>
      <c r="H5503" s="197">
        <v>149.82</v>
      </c>
      <c r="I5503" s="7" t="s">
        <v>16815</v>
      </c>
      <c r="J5503" s="7" t="s">
        <v>16838</v>
      </c>
      <c r="K5503" s="7" t="s">
        <v>17104</v>
      </c>
      <c r="L5503" s="198" t="s">
        <v>65</v>
      </c>
      <c r="M5503" s="199"/>
      <c r="N5503" s="199"/>
    </row>
    <row r="5504">
      <c r="A5504" s="193" t="s">
        <v>24118</v>
      </c>
      <c r="B5504" s="7" t="s">
        <v>187</v>
      </c>
      <c r="C5504" s="7" t="s">
        <v>16846</v>
      </c>
      <c r="D5504" s="194">
        <v>2020.0</v>
      </c>
      <c r="E5504" s="193"/>
      <c r="F5504" s="195" t="s">
        <v>24119</v>
      </c>
      <c r="G5504" s="196">
        <v>2.82437828E8</v>
      </c>
      <c r="H5504" s="197">
        <v>1.29</v>
      </c>
      <c r="I5504" s="7" t="s">
        <v>16815</v>
      </c>
      <c r="J5504" s="7" t="s">
        <v>187</v>
      </c>
      <c r="K5504" s="7" t="s">
        <v>16846</v>
      </c>
      <c r="L5504" s="198" t="s">
        <v>65</v>
      </c>
      <c r="M5504" s="194"/>
      <c r="N5504" s="194"/>
    </row>
    <row r="5505">
      <c r="A5505" s="193" t="s">
        <v>24118</v>
      </c>
      <c r="B5505" s="7" t="s">
        <v>16846</v>
      </c>
      <c r="C5505" s="7" t="s">
        <v>187</v>
      </c>
      <c r="D5505" s="194">
        <v>2020.0</v>
      </c>
      <c r="E5505" s="193"/>
      <c r="F5505" s="195" t="s">
        <v>24119</v>
      </c>
      <c r="G5505" s="200">
        <v>2.82437828E8</v>
      </c>
      <c r="H5505" s="197">
        <v>1.29</v>
      </c>
      <c r="I5505" s="7" t="s">
        <v>16815</v>
      </c>
      <c r="J5505" s="7" t="s">
        <v>16846</v>
      </c>
      <c r="K5505" s="7" t="s">
        <v>187</v>
      </c>
      <c r="L5505" s="201" t="s">
        <v>16835</v>
      </c>
      <c r="M5505" s="194"/>
      <c r="N5505" s="194"/>
    </row>
    <row r="5506">
      <c r="A5506" s="193" t="s">
        <v>24120</v>
      </c>
      <c r="B5506" s="7" t="s">
        <v>16838</v>
      </c>
      <c r="C5506" s="7" t="s">
        <v>19579</v>
      </c>
      <c r="D5506" s="194">
        <v>2019.0</v>
      </c>
      <c r="E5506" s="193"/>
      <c r="F5506" s="195" t="s">
        <v>24121</v>
      </c>
      <c r="G5506" s="196">
        <v>2.82114628E8</v>
      </c>
      <c r="H5506" s="197">
        <v>14.37</v>
      </c>
      <c r="I5506" s="7" t="s">
        <v>16815</v>
      </c>
      <c r="J5506" s="7" t="s">
        <v>16838</v>
      </c>
      <c r="K5506" s="7" t="s">
        <v>19579</v>
      </c>
      <c r="L5506" s="198" t="s">
        <v>65</v>
      </c>
      <c r="M5506" s="194"/>
      <c r="N5506" s="194"/>
    </row>
    <row r="5507">
      <c r="A5507" s="193" t="s">
        <v>24122</v>
      </c>
      <c r="B5507" s="7" t="s">
        <v>187</v>
      </c>
      <c r="C5507" s="7" t="s">
        <v>16846</v>
      </c>
      <c r="D5507" s="194">
        <v>2020.0</v>
      </c>
      <c r="E5507" s="193"/>
      <c r="F5507" s="195" t="s">
        <v>24123</v>
      </c>
      <c r="G5507" s="196">
        <v>2.8137509E8</v>
      </c>
      <c r="H5507" s="197">
        <v>1.505</v>
      </c>
      <c r="I5507" s="7" t="s">
        <v>16815</v>
      </c>
      <c r="J5507" s="7" t="s">
        <v>187</v>
      </c>
      <c r="K5507" s="7" t="s">
        <v>16846</v>
      </c>
      <c r="L5507" s="198" t="s">
        <v>65</v>
      </c>
      <c r="M5507" s="194"/>
      <c r="N5507" s="194"/>
    </row>
    <row r="5508">
      <c r="A5508" s="193" t="s">
        <v>24124</v>
      </c>
      <c r="B5508" s="7" t="s">
        <v>16838</v>
      </c>
      <c r="C5508" s="7" t="s">
        <v>19644</v>
      </c>
      <c r="D5508" s="199"/>
      <c r="E5508" s="193"/>
      <c r="F5508" s="195" t="s">
        <v>24125</v>
      </c>
      <c r="G5508" s="196">
        <v>2.81241365E8</v>
      </c>
      <c r="H5508" s="197">
        <v>12.1</v>
      </c>
      <c r="I5508" s="7" t="s">
        <v>16815</v>
      </c>
      <c r="J5508" s="7" t="s">
        <v>16838</v>
      </c>
      <c r="K5508" s="7" t="s">
        <v>19644</v>
      </c>
      <c r="L5508" s="198" t="s">
        <v>65</v>
      </c>
      <c r="M5508" s="199"/>
      <c r="N5508" s="199"/>
    </row>
    <row r="5509">
      <c r="A5509" s="193" t="s">
        <v>24126</v>
      </c>
      <c r="B5509" s="7" t="s">
        <v>16867</v>
      </c>
      <c r="C5509" s="7" t="s">
        <v>16838</v>
      </c>
      <c r="D5509" s="199"/>
      <c r="E5509" s="193"/>
      <c r="F5509" s="195" t="s">
        <v>24127</v>
      </c>
      <c r="G5509" s="200">
        <v>2.81089995E8</v>
      </c>
      <c r="H5509" s="197">
        <v>4.98</v>
      </c>
      <c r="I5509" s="7" t="s">
        <v>16815</v>
      </c>
      <c r="J5509" s="7" t="s">
        <v>16867</v>
      </c>
      <c r="K5509" s="7" t="s">
        <v>16838</v>
      </c>
      <c r="L5509" s="201" t="s">
        <v>16835</v>
      </c>
      <c r="M5509" s="199"/>
      <c r="N5509" s="199"/>
    </row>
    <row r="5510">
      <c r="A5510" s="193" t="s">
        <v>24126</v>
      </c>
      <c r="B5510" s="7" t="s">
        <v>16838</v>
      </c>
      <c r="C5510" s="7" t="s">
        <v>16867</v>
      </c>
      <c r="D5510" s="199"/>
      <c r="E5510" s="193"/>
      <c r="F5510" s="195" t="s">
        <v>24127</v>
      </c>
      <c r="G5510" s="196">
        <v>2.81089995E8</v>
      </c>
      <c r="H5510" s="197">
        <v>4.98</v>
      </c>
      <c r="I5510" s="7" t="s">
        <v>16815</v>
      </c>
      <c r="J5510" s="7" t="s">
        <v>16838</v>
      </c>
      <c r="K5510" s="7" t="s">
        <v>16867</v>
      </c>
      <c r="L5510" s="198" t="s">
        <v>65</v>
      </c>
      <c r="M5510" s="199"/>
      <c r="N5510" s="199"/>
    </row>
    <row r="5511">
      <c r="A5511" s="193" t="s">
        <v>24128</v>
      </c>
      <c r="B5511" s="7" t="s">
        <v>16838</v>
      </c>
      <c r="C5511" s="7" t="s">
        <v>16867</v>
      </c>
      <c r="D5511" s="194">
        <v>2018.0</v>
      </c>
      <c r="E5511" s="193"/>
      <c r="F5511" s="195" t="s">
        <v>24129</v>
      </c>
      <c r="G5511" s="196">
        <v>2.80912117E8</v>
      </c>
      <c r="H5511" s="197">
        <v>20.15</v>
      </c>
      <c r="I5511" s="7" t="s">
        <v>16815</v>
      </c>
      <c r="J5511" s="7" t="s">
        <v>16838</v>
      </c>
      <c r="K5511" s="7" t="s">
        <v>16867</v>
      </c>
      <c r="L5511" s="198" t="s">
        <v>65</v>
      </c>
      <c r="M5511" s="194"/>
      <c r="N5511" s="194"/>
    </row>
    <row r="5512">
      <c r="A5512" s="193" t="s">
        <v>24130</v>
      </c>
      <c r="B5512" s="7" t="s">
        <v>17112</v>
      </c>
      <c r="C5512" s="7" t="s">
        <v>17111</v>
      </c>
      <c r="D5512" s="194">
        <v>2021.0</v>
      </c>
      <c r="E5512" s="193"/>
      <c r="F5512" s="195" t="s">
        <v>24131</v>
      </c>
      <c r="G5512" s="196">
        <v>2.80188334E8</v>
      </c>
      <c r="H5512" s="197">
        <v>15.41</v>
      </c>
      <c r="I5512" s="7" t="s">
        <v>16815</v>
      </c>
      <c r="J5512" s="7" t="s">
        <v>17112</v>
      </c>
      <c r="K5512" s="7" t="s">
        <v>17111</v>
      </c>
      <c r="L5512" s="198" t="s">
        <v>65</v>
      </c>
      <c r="M5512" s="194"/>
      <c r="N5512" s="194"/>
    </row>
    <row r="5513">
      <c r="A5513" s="193" t="s">
        <v>24132</v>
      </c>
      <c r="B5513" s="7" t="s">
        <v>187</v>
      </c>
      <c r="C5513" s="7" t="s">
        <v>16858</v>
      </c>
      <c r="D5513" s="194">
        <v>2015.0</v>
      </c>
      <c r="E5513" s="193"/>
      <c r="F5513" s="195" t="s">
        <v>24133</v>
      </c>
      <c r="G5513" s="196">
        <v>2.79370555E8</v>
      </c>
      <c r="H5513" s="197">
        <v>6.35</v>
      </c>
      <c r="I5513" s="7" t="s">
        <v>16815</v>
      </c>
      <c r="J5513" s="7" t="s">
        <v>187</v>
      </c>
      <c r="K5513" s="7" t="s">
        <v>16858</v>
      </c>
      <c r="L5513" s="198" t="s">
        <v>65</v>
      </c>
      <c r="M5513" s="194"/>
      <c r="N5513" s="194"/>
    </row>
    <row r="5514">
      <c r="A5514" s="193" t="s">
        <v>24134</v>
      </c>
      <c r="B5514" s="7" t="s">
        <v>16838</v>
      </c>
      <c r="C5514" s="7" t="s">
        <v>16867</v>
      </c>
      <c r="D5514" s="199"/>
      <c r="E5514" s="193"/>
      <c r="F5514" s="195" t="s">
        <v>24135</v>
      </c>
      <c r="G5514" s="196">
        <v>2.7930907E8</v>
      </c>
      <c r="H5514" s="197">
        <v>16.7</v>
      </c>
      <c r="I5514" s="7" t="s">
        <v>16815</v>
      </c>
      <c r="J5514" s="7" t="s">
        <v>16838</v>
      </c>
      <c r="K5514" s="7" t="s">
        <v>16867</v>
      </c>
      <c r="L5514" s="198" t="s">
        <v>65</v>
      </c>
      <c r="M5514" s="199"/>
      <c r="N5514" s="199"/>
    </row>
    <row r="5515">
      <c r="A5515" s="193" t="s">
        <v>24136</v>
      </c>
      <c r="B5515" s="7" t="s">
        <v>17019</v>
      </c>
      <c r="C5515" s="7" t="s">
        <v>16838</v>
      </c>
      <c r="D5515" s="194">
        <v>2004.0</v>
      </c>
      <c r="E5515" s="193"/>
      <c r="F5515" s="195" t="s">
        <v>24137</v>
      </c>
      <c r="G5515" s="200">
        <v>2.79218521E8</v>
      </c>
      <c r="H5515" s="197">
        <v>14.85</v>
      </c>
      <c r="I5515" s="7" t="s">
        <v>16815</v>
      </c>
      <c r="J5515" s="7" t="s">
        <v>17019</v>
      </c>
      <c r="K5515" s="7" t="s">
        <v>16838</v>
      </c>
      <c r="L5515" s="201" t="s">
        <v>16835</v>
      </c>
      <c r="M5515" s="194"/>
      <c r="N5515" s="194"/>
    </row>
    <row r="5516">
      <c r="A5516" s="193" t="s">
        <v>24136</v>
      </c>
      <c r="B5516" s="7" t="s">
        <v>16838</v>
      </c>
      <c r="C5516" s="7" t="s">
        <v>17019</v>
      </c>
      <c r="D5516" s="194">
        <v>2004.0</v>
      </c>
      <c r="E5516" s="193"/>
      <c r="F5516" s="195" t="s">
        <v>24137</v>
      </c>
      <c r="G5516" s="196">
        <v>2.79218521E8</v>
      </c>
      <c r="H5516" s="197">
        <v>14.85</v>
      </c>
      <c r="I5516" s="7" t="s">
        <v>16815</v>
      </c>
      <c r="J5516" s="7" t="s">
        <v>16838</v>
      </c>
      <c r="K5516" s="7" t="s">
        <v>17019</v>
      </c>
      <c r="L5516" s="198" t="s">
        <v>65</v>
      </c>
      <c r="M5516" s="194"/>
      <c r="N5516" s="194"/>
    </row>
    <row r="5517">
      <c r="A5517" s="193" t="s">
        <v>24138</v>
      </c>
      <c r="B5517" s="7" t="s">
        <v>19579</v>
      </c>
      <c r="C5517" s="7" t="s">
        <v>16838</v>
      </c>
      <c r="D5517" s="194">
        <v>2019.0</v>
      </c>
      <c r="E5517" s="193"/>
      <c r="F5517" s="195" t="s">
        <v>24139</v>
      </c>
      <c r="G5517" s="200">
        <v>2.7911834E8</v>
      </c>
      <c r="H5517" s="197">
        <v>14.14</v>
      </c>
      <c r="I5517" s="193" t="s">
        <v>16815</v>
      </c>
      <c r="J5517" s="7" t="s">
        <v>19579</v>
      </c>
      <c r="K5517" s="7" t="s">
        <v>16838</v>
      </c>
      <c r="L5517" s="201" t="s">
        <v>16835</v>
      </c>
      <c r="M5517" s="194"/>
      <c r="N5517" s="194"/>
    </row>
    <row r="5518">
      <c r="A5518" s="193" t="s">
        <v>24138</v>
      </c>
      <c r="B5518" s="7" t="s">
        <v>16838</v>
      </c>
      <c r="C5518" s="7" t="s">
        <v>19579</v>
      </c>
      <c r="D5518" s="194">
        <v>2019.0</v>
      </c>
      <c r="E5518" s="193"/>
      <c r="F5518" s="195" t="s">
        <v>24139</v>
      </c>
      <c r="G5518" s="196">
        <v>2.7911834E8</v>
      </c>
      <c r="H5518" s="197">
        <v>14.14</v>
      </c>
      <c r="I5518" s="7" t="s">
        <v>16815</v>
      </c>
      <c r="J5518" s="7" t="s">
        <v>16838</v>
      </c>
      <c r="K5518" s="7" t="s">
        <v>19579</v>
      </c>
      <c r="L5518" s="198" t="s">
        <v>65</v>
      </c>
      <c r="M5518" s="194"/>
      <c r="N5518" s="194"/>
    </row>
    <row r="5519">
      <c r="A5519" s="193" t="s">
        <v>24140</v>
      </c>
      <c r="B5519" s="7" t="s">
        <v>187</v>
      </c>
      <c r="C5519" s="7" t="s">
        <v>16846</v>
      </c>
      <c r="D5519" s="194">
        <v>2021.0</v>
      </c>
      <c r="E5519" s="193"/>
      <c r="F5519" s="195" t="s">
        <v>24141</v>
      </c>
      <c r="G5519" s="196">
        <v>2.78857317E8</v>
      </c>
      <c r="H5519" s="197">
        <v>6.04</v>
      </c>
      <c r="I5519" s="7" t="s">
        <v>16815</v>
      </c>
      <c r="J5519" s="7" t="s">
        <v>187</v>
      </c>
      <c r="K5519" s="7" t="s">
        <v>16846</v>
      </c>
      <c r="L5519" s="198" t="s">
        <v>65</v>
      </c>
      <c r="M5519" s="194"/>
      <c r="N5519" s="194"/>
    </row>
    <row r="5520">
      <c r="A5520" s="193" t="s">
        <v>24142</v>
      </c>
      <c r="B5520" s="7" t="s">
        <v>187</v>
      </c>
      <c r="C5520" s="7" t="s">
        <v>16846</v>
      </c>
      <c r="D5520" s="199"/>
      <c r="E5520" s="193"/>
      <c r="F5520" s="195" t="s">
        <v>24143</v>
      </c>
      <c r="G5520" s="196">
        <v>2.78476201E8</v>
      </c>
      <c r="H5520" s="197">
        <v>1.09</v>
      </c>
      <c r="I5520" s="7" t="s">
        <v>16815</v>
      </c>
      <c r="J5520" s="7" t="s">
        <v>187</v>
      </c>
      <c r="K5520" s="7" t="s">
        <v>16846</v>
      </c>
      <c r="L5520" s="198" t="s">
        <v>65</v>
      </c>
      <c r="M5520" s="199"/>
      <c r="N5520" s="199"/>
    </row>
    <row r="5521">
      <c r="A5521" s="193" t="s">
        <v>24144</v>
      </c>
      <c r="B5521" s="7" t="s">
        <v>19644</v>
      </c>
      <c r="C5521" s="7" t="s">
        <v>16838</v>
      </c>
      <c r="D5521" s="194">
        <v>2003.0</v>
      </c>
      <c r="E5521" s="193"/>
      <c r="F5521" s="195" t="s">
        <v>24145</v>
      </c>
      <c r="G5521" s="200">
        <v>2.78350593E8</v>
      </c>
      <c r="H5521" s="197">
        <v>3.08</v>
      </c>
      <c r="I5521" s="7" t="s">
        <v>16815</v>
      </c>
      <c r="J5521" s="7" t="s">
        <v>19644</v>
      </c>
      <c r="K5521" s="7" t="s">
        <v>16838</v>
      </c>
      <c r="L5521" s="201" t="s">
        <v>16835</v>
      </c>
      <c r="M5521" s="194"/>
      <c r="N5521" s="194"/>
    </row>
    <row r="5522">
      <c r="A5522" s="193" t="s">
        <v>24144</v>
      </c>
      <c r="B5522" s="7" t="s">
        <v>16838</v>
      </c>
      <c r="C5522" s="7" t="s">
        <v>19644</v>
      </c>
      <c r="D5522" s="194">
        <v>2003.0</v>
      </c>
      <c r="E5522" s="193"/>
      <c r="F5522" s="195" t="s">
        <v>24145</v>
      </c>
      <c r="G5522" s="196">
        <v>2.78350593E8</v>
      </c>
      <c r="H5522" s="197">
        <v>3.08</v>
      </c>
      <c r="I5522" s="7" t="s">
        <v>16815</v>
      </c>
      <c r="J5522" s="7" t="s">
        <v>16838</v>
      </c>
      <c r="K5522" s="7" t="s">
        <v>19644</v>
      </c>
      <c r="L5522" s="198" t="s">
        <v>65</v>
      </c>
      <c r="M5522" s="194"/>
      <c r="N5522" s="194"/>
    </row>
    <row r="5523">
      <c r="A5523" s="193" t="s">
        <v>24146</v>
      </c>
      <c r="B5523" s="7" t="s">
        <v>187</v>
      </c>
      <c r="C5523" s="7" t="s">
        <v>16846</v>
      </c>
      <c r="D5523" s="194">
        <v>2015.0</v>
      </c>
      <c r="E5523" s="193"/>
      <c r="F5523" s="195" t="s">
        <v>24147</v>
      </c>
      <c r="G5523" s="196">
        <v>2.77635906E8</v>
      </c>
      <c r="H5523" s="197">
        <v>8.07</v>
      </c>
      <c r="I5523" s="7" t="s">
        <v>16815</v>
      </c>
      <c r="J5523" s="7" t="s">
        <v>187</v>
      </c>
      <c r="K5523" s="7" t="s">
        <v>16846</v>
      </c>
      <c r="L5523" s="198" t="s">
        <v>65</v>
      </c>
      <c r="M5523" s="194"/>
      <c r="N5523" s="194"/>
    </row>
    <row r="5524">
      <c r="A5524" s="193" t="s">
        <v>24148</v>
      </c>
      <c r="B5524" s="7" t="s">
        <v>175</v>
      </c>
      <c r="C5524" s="7" t="s">
        <v>17509</v>
      </c>
      <c r="D5524" s="194">
        <v>1996.0</v>
      </c>
      <c r="E5524" s="193"/>
      <c r="F5524" s="195" t="s">
        <v>24149</v>
      </c>
      <c r="G5524" s="196">
        <v>2.77577284E8</v>
      </c>
      <c r="H5524" s="197">
        <v>43.59</v>
      </c>
      <c r="I5524" s="7" t="s">
        <v>16856</v>
      </c>
      <c r="J5524" s="7" t="s">
        <v>175</v>
      </c>
      <c r="K5524" s="7" t="s">
        <v>17509</v>
      </c>
      <c r="L5524" s="198" t="s">
        <v>65</v>
      </c>
      <c r="M5524" s="194"/>
      <c r="N5524" s="194"/>
    </row>
    <row r="5525">
      <c r="A5525" s="193" t="s">
        <v>24150</v>
      </c>
      <c r="B5525" s="7" t="s">
        <v>175</v>
      </c>
      <c r="C5525" s="7" t="s">
        <v>18268</v>
      </c>
      <c r="D5525" s="194">
        <v>2018.0</v>
      </c>
      <c r="E5525" s="193"/>
      <c r="F5525" s="195" t="s">
        <v>24151</v>
      </c>
      <c r="G5525" s="196">
        <v>2.77566503E8</v>
      </c>
      <c r="H5525" s="197">
        <v>7.17</v>
      </c>
      <c r="I5525" s="7" t="s">
        <v>16826</v>
      </c>
      <c r="J5525" s="7" t="s">
        <v>175</v>
      </c>
      <c r="K5525" s="7" t="s">
        <v>18268</v>
      </c>
      <c r="L5525" s="198" t="s">
        <v>65</v>
      </c>
      <c r="M5525" s="194"/>
      <c r="N5525" s="194"/>
    </row>
    <row r="5526">
      <c r="A5526" s="193" t="s">
        <v>24150</v>
      </c>
      <c r="B5526" s="7" t="s">
        <v>18268</v>
      </c>
      <c r="C5526" s="7" t="s">
        <v>175</v>
      </c>
      <c r="D5526" s="194">
        <v>2018.0</v>
      </c>
      <c r="E5526" s="193"/>
      <c r="F5526" s="195" t="s">
        <v>24151</v>
      </c>
      <c r="G5526" s="200">
        <v>2.77566503E8</v>
      </c>
      <c r="H5526" s="197">
        <v>7.17</v>
      </c>
      <c r="I5526" s="7" t="s">
        <v>16815</v>
      </c>
      <c r="J5526" s="7" t="s">
        <v>18268</v>
      </c>
      <c r="K5526" s="7" t="s">
        <v>175</v>
      </c>
      <c r="L5526" s="201" t="s">
        <v>16835</v>
      </c>
      <c r="M5526" s="194"/>
      <c r="N5526" s="194"/>
    </row>
    <row r="5527">
      <c r="A5527" s="193" t="s">
        <v>24152</v>
      </c>
      <c r="B5527" s="7" t="s">
        <v>187</v>
      </c>
      <c r="C5527" s="7" t="s">
        <v>17122</v>
      </c>
      <c r="D5527" s="194">
        <v>2021.0</v>
      </c>
      <c r="E5527" s="193"/>
      <c r="F5527" s="195" t="s">
        <v>24153</v>
      </c>
      <c r="G5527" s="196">
        <v>2.77209036E8</v>
      </c>
      <c r="H5527" s="197">
        <v>3.52</v>
      </c>
      <c r="I5527" s="7" t="s">
        <v>16815</v>
      </c>
      <c r="J5527" s="7" t="s">
        <v>187</v>
      </c>
      <c r="K5527" s="7" t="s">
        <v>17122</v>
      </c>
      <c r="L5527" s="198" t="s">
        <v>65</v>
      </c>
      <c r="M5527" s="194"/>
      <c r="N5527" s="194"/>
    </row>
    <row r="5528">
      <c r="A5528" s="193" t="s">
        <v>24154</v>
      </c>
      <c r="B5528" s="7" t="s">
        <v>16838</v>
      </c>
      <c r="C5528" s="7" t="s">
        <v>17019</v>
      </c>
      <c r="D5528" s="199"/>
      <c r="E5528" s="193"/>
      <c r="F5528" s="195" t="s">
        <v>24155</v>
      </c>
      <c r="G5528" s="196">
        <v>2.77019685E8</v>
      </c>
      <c r="H5528" s="197">
        <v>2.76</v>
      </c>
      <c r="I5528" s="7" t="s">
        <v>16815</v>
      </c>
      <c r="J5528" s="7" t="s">
        <v>16838</v>
      </c>
      <c r="K5528" s="7" t="s">
        <v>17019</v>
      </c>
      <c r="L5528" s="198" t="s">
        <v>65</v>
      </c>
      <c r="M5528" s="199"/>
      <c r="N5528" s="199"/>
    </row>
    <row r="5529">
      <c r="A5529" s="193" t="s">
        <v>24156</v>
      </c>
      <c r="B5529" s="7" t="s">
        <v>17629</v>
      </c>
      <c r="C5529" s="7" t="s">
        <v>16899</v>
      </c>
      <c r="D5529" s="194">
        <v>2022.0</v>
      </c>
      <c r="E5529" s="193"/>
      <c r="F5529" s="195" t="s">
        <v>24157</v>
      </c>
      <c r="G5529" s="196">
        <v>2.76941777E8</v>
      </c>
      <c r="H5529" s="197">
        <v>3.21</v>
      </c>
      <c r="I5529" s="7" t="s">
        <v>16815</v>
      </c>
      <c r="J5529" s="7" t="s">
        <v>17629</v>
      </c>
      <c r="K5529" s="7" t="s">
        <v>16899</v>
      </c>
      <c r="L5529" s="198" t="s">
        <v>65</v>
      </c>
      <c r="M5529" s="194"/>
      <c r="N5529" s="194"/>
    </row>
    <row r="5530">
      <c r="A5530" s="193" t="s">
        <v>24156</v>
      </c>
      <c r="B5530" s="7" t="s">
        <v>16899</v>
      </c>
      <c r="C5530" s="7" t="s">
        <v>17629</v>
      </c>
      <c r="D5530" s="194">
        <v>2022.0</v>
      </c>
      <c r="E5530" s="193"/>
      <c r="F5530" s="195" t="s">
        <v>24157</v>
      </c>
      <c r="G5530" s="200">
        <v>2.76941777E8</v>
      </c>
      <c r="H5530" s="197">
        <v>3.21</v>
      </c>
      <c r="I5530" s="7" t="s">
        <v>16815</v>
      </c>
      <c r="J5530" s="7" t="s">
        <v>16899</v>
      </c>
      <c r="K5530" s="7" t="s">
        <v>17629</v>
      </c>
      <c r="L5530" s="201" t="s">
        <v>16835</v>
      </c>
      <c r="M5530" s="194"/>
      <c r="N5530" s="194"/>
    </row>
    <row r="5531">
      <c r="A5531" s="193" t="s">
        <v>24158</v>
      </c>
      <c r="B5531" s="7" t="s">
        <v>169</v>
      </c>
      <c r="C5531" s="7" t="s">
        <v>16899</v>
      </c>
      <c r="D5531" s="199"/>
      <c r="E5531" s="193"/>
      <c r="F5531" s="195" t="s">
        <v>24159</v>
      </c>
      <c r="G5531" s="196">
        <v>2.76937635E8</v>
      </c>
      <c r="H5531" s="197">
        <v>1.41</v>
      </c>
      <c r="I5531" s="7" t="s">
        <v>16815</v>
      </c>
      <c r="J5531" s="7" t="s">
        <v>169</v>
      </c>
      <c r="K5531" s="7" t="s">
        <v>16899</v>
      </c>
      <c r="L5531" s="198" t="s">
        <v>65</v>
      </c>
      <c r="M5531" s="199"/>
      <c r="N5531" s="199"/>
    </row>
    <row r="5532">
      <c r="A5532" s="193" t="s">
        <v>24160</v>
      </c>
      <c r="B5532" s="7" t="s">
        <v>16582</v>
      </c>
      <c r="C5532" s="7" t="s">
        <v>16930</v>
      </c>
      <c r="D5532" s="194">
        <v>2015.0</v>
      </c>
      <c r="E5532" s="193"/>
      <c r="F5532" s="195" t="s">
        <v>24161</v>
      </c>
      <c r="G5532" s="196">
        <v>2.7648E8</v>
      </c>
      <c r="H5532" s="197">
        <v>10.8</v>
      </c>
      <c r="I5532" s="7" t="s">
        <v>16815</v>
      </c>
      <c r="J5532" s="7" t="s">
        <v>16582</v>
      </c>
      <c r="K5532" s="7" t="s">
        <v>16930</v>
      </c>
      <c r="L5532" s="198" t="s">
        <v>65</v>
      </c>
      <c r="M5532" s="194"/>
      <c r="N5532" s="194"/>
    </row>
    <row r="5533">
      <c r="A5533" s="193" t="s">
        <v>24160</v>
      </c>
      <c r="B5533" s="7" t="s">
        <v>16930</v>
      </c>
      <c r="C5533" s="7" t="s">
        <v>16582</v>
      </c>
      <c r="D5533" s="194">
        <v>2015.0</v>
      </c>
      <c r="E5533" s="193"/>
      <c r="F5533" s="195" t="s">
        <v>24161</v>
      </c>
      <c r="G5533" s="200">
        <v>2.7648E8</v>
      </c>
      <c r="H5533" s="197">
        <v>10.8</v>
      </c>
      <c r="I5533" s="7" t="s">
        <v>16815</v>
      </c>
      <c r="J5533" s="7" t="s">
        <v>16930</v>
      </c>
      <c r="K5533" s="7" t="s">
        <v>16582</v>
      </c>
      <c r="L5533" s="201" t="s">
        <v>16835</v>
      </c>
      <c r="M5533" s="194"/>
      <c r="N5533" s="194"/>
    </row>
    <row r="5534">
      <c r="A5534" s="193" t="s">
        <v>24162</v>
      </c>
      <c r="B5534" s="7" t="s">
        <v>16582</v>
      </c>
      <c r="C5534" s="7" t="s">
        <v>16583</v>
      </c>
      <c r="D5534" s="194">
        <v>2018.0</v>
      </c>
      <c r="E5534" s="193"/>
      <c r="F5534" s="195" t="s">
        <v>24163</v>
      </c>
      <c r="G5534" s="196">
        <v>2.76438064E8</v>
      </c>
      <c r="H5534" s="197">
        <v>8.2</v>
      </c>
      <c r="I5534" s="7" t="s">
        <v>16815</v>
      </c>
      <c r="J5534" s="7" t="s">
        <v>16582</v>
      </c>
      <c r="K5534" s="7" t="s">
        <v>16583</v>
      </c>
      <c r="L5534" s="198" t="s">
        <v>65</v>
      </c>
      <c r="M5534" s="194"/>
      <c r="N5534" s="194"/>
    </row>
    <row r="5535">
      <c r="A5535" s="193" t="s">
        <v>24164</v>
      </c>
      <c r="B5535" s="7" t="s">
        <v>16582</v>
      </c>
      <c r="C5535" s="7" t="s">
        <v>16583</v>
      </c>
      <c r="D5535" s="194">
        <v>2019.0</v>
      </c>
      <c r="E5535" s="193"/>
      <c r="F5535" s="195" t="s">
        <v>24165</v>
      </c>
      <c r="G5535" s="196">
        <v>2.76287026E8</v>
      </c>
      <c r="H5535" s="197">
        <v>0.864</v>
      </c>
      <c r="I5535" s="7" t="s">
        <v>16815</v>
      </c>
      <c r="J5535" s="7" t="s">
        <v>16582</v>
      </c>
      <c r="K5535" s="7" t="s">
        <v>16583</v>
      </c>
      <c r="L5535" s="198" t="s">
        <v>65</v>
      </c>
      <c r="M5535" s="194"/>
      <c r="N5535" s="194"/>
    </row>
    <row r="5536">
      <c r="A5536" s="193" t="s">
        <v>24166</v>
      </c>
      <c r="B5536" s="7" t="s">
        <v>175</v>
      </c>
      <c r="C5536" s="7" t="s">
        <v>16824</v>
      </c>
      <c r="D5536" s="194">
        <v>2021.0</v>
      </c>
      <c r="E5536" s="193"/>
      <c r="F5536" s="195" t="s">
        <v>24167</v>
      </c>
      <c r="G5536" s="196">
        <v>2.7589314E8</v>
      </c>
      <c r="H5536" s="197">
        <v>3.25</v>
      </c>
      <c r="I5536" s="7" t="s">
        <v>168</v>
      </c>
      <c r="J5536" s="7" t="s">
        <v>175</v>
      </c>
      <c r="K5536" s="7" t="s">
        <v>16824</v>
      </c>
      <c r="L5536" s="198" t="s">
        <v>65</v>
      </c>
      <c r="M5536" s="194"/>
      <c r="N5536" s="194"/>
    </row>
    <row r="5537">
      <c r="A5537" s="193" t="s">
        <v>24166</v>
      </c>
      <c r="B5537" s="7" t="s">
        <v>16824</v>
      </c>
      <c r="C5537" s="7" t="s">
        <v>175</v>
      </c>
      <c r="D5537" s="194">
        <v>2021.0</v>
      </c>
      <c r="E5537" s="193"/>
      <c r="F5537" s="195" t="s">
        <v>24167</v>
      </c>
      <c r="G5537" s="200">
        <v>2.7589314E8</v>
      </c>
      <c r="H5537" s="197">
        <v>3.25</v>
      </c>
      <c r="I5537" s="7" t="s">
        <v>16815</v>
      </c>
      <c r="J5537" s="7" t="s">
        <v>16824</v>
      </c>
      <c r="K5537" s="7" t="s">
        <v>175</v>
      </c>
      <c r="L5537" s="201" t="s">
        <v>16835</v>
      </c>
      <c r="M5537" s="194"/>
      <c r="N5537" s="194"/>
    </row>
    <row r="5538">
      <c r="A5538" s="193" t="s">
        <v>24168</v>
      </c>
      <c r="B5538" s="7" t="s">
        <v>175</v>
      </c>
      <c r="C5538" s="7" t="s">
        <v>17391</v>
      </c>
      <c r="D5538" s="194">
        <v>2011.0</v>
      </c>
      <c r="E5538" s="193"/>
      <c r="F5538" s="195" t="s">
        <v>24169</v>
      </c>
      <c r="G5538" s="196">
        <v>2.75769054E8</v>
      </c>
      <c r="H5538" s="197">
        <v>8.825</v>
      </c>
      <c r="I5538" s="193" t="s">
        <v>16908</v>
      </c>
      <c r="J5538" s="7" t="s">
        <v>175</v>
      </c>
      <c r="K5538" s="7" t="s">
        <v>17391</v>
      </c>
      <c r="L5538" s="198" t="s">
        <v>65</v>
      </c>
      <c r="M5538" s="194"/>
      <c r="N5538" s="194"/>
    </row>
    <row r="5539">
      <c r="A5539" s="193" t="s">
        <v>24170</v>
      </c>
      <c r="D5539" s="194">
        <v>2021.0</v>
      </c>
      <c r="E5539" s="193"/>
      <c r="F5539" s="195" t="s">
        <v>24171</v>
      </c>
      <c r="G5539" s="196">
        <v>2.754024E8</v>
      </c>
      <c r="H5539" s="197">
        <v>1.56</v>
      </c>
      <c r="I5539" s="7" t="s">
        <v>16815</v>
      </c>
      <c r="L5539" s="198" t="s">
        <v>65</v>
      </c>
      <c r="M5539" s="194"/>
      <c r="N5539" s="194"/>
    </row>
    <row r="5540">
      <c r="A5540" s="193" t="s">
        <v>24170</v>
      </c>
      <c r="D5540" s="194">
        <v>2021.0</v>
      </c>
      <c r="E5540" s="193"/>
      <c r="F5540" s="195" t="s">
        <v>24171</v>
      </c>
      <c r="G5540" s="200">
        <v>2.754024E8</v>
      </c>
      <c r="H5540" s="197">
        <v>1.56</v>
      </c>
      <c r="L5540" s="201" t="s">
        <v>16835</v>
      </c>
      <c r="M5540" s="194"/>
      <c r="N5540" s="194"/>
    </row>
    <row r="5541">
      <c r="A5541" s="193" t="s">
        <v>24172</v>
      </c>
      <c r="B5541" s="7" t="s">
        <v>16582</v>
      </c>
      <c r="C5541" s="7" t="s">
        <v>16828</v>
      </c>
      <c r="D5541" s="199"/>
      <c r="E5541" s="193"/>
      <c r="F5541" s="195" t="s">
        <v>24173</v>
      </c>
      <c r="G5541" s="196">
        <v>2.75256204E8</v>
      </c>
      <c r="H5541" s="197">
        <v>5.24</v>
      </c>
      <c r="I5541" s="7" t="s">
        <v>16815</v>
      </c>
      <c r="J5541" s="7" t="s">
        <v>16582</v>
      </c>
      <c r="K5541" s="7" t="s">
        <v>16828</v>
      </c>
      <c r="L5541" s="198" t="s">
        <v>65</v>
      </c>
      <c r="M5541" s="199"/>
      <c r="N5541" s="199"/>
    </row>
    <row r="5542">
      <c r="A5542" s="193" t="s">
        <v>24174</v>
      </c>
      <c r="B5542" s="7" t="s">
        <v>16582</v>
      </c>
      <c r="C5542" s="7" t="s">
        <v>16817</v>
      </c>
      <c r="D5542" s="199"/>
      <c r="E5542" s="193"/>
      <c r="F5542" s="195" t="s">
        <v>24175</v>
      </c>
      <c r="G5542" s="196">
        <v>2.7508117E8</v>
      </c>
      <c r="H5542" s="197">
        <v>17.33</v>
      </c>
      <c r="I5542" s="7" t="s">
        <v>16815</v>
      </c>
      <c r="J5542" s="7" t="s">
        <v>16582</v>
      </c>
      <c r="K5542" s="7" t="s">
        <v>16817</v>
      </c>
      <c r="L5542" s="198" t="s">
        <v>65</v>
      </c>
      <c r="M5542" s="199"/>
      <c r="N5542" s="199"/>
    </row>
    <row r="5543">
      <c r="A5543" s="193" t="s">
        <v>24176</v>
      </c>
      <c r="D5543" s="199"/>
      <c r="E5543" s="193"/>
      <c r="F5543" s="195" t="s">
        <v>24177</v>
      </c>
      <c r="G5543" s="196">
        <v>2.74811467E8</v>
      </c>
      <c r="H5543" s="197">
        <v>7.14</v>
      </c>
      <c r="I5543" s="7" t="s">
        <v>16815</v>
      </c>
      <c r="L5543" s="198" t="s">
        <v>65</v>
      </c>
      <c r="M5543" s="199"/>
      <c r="N5543" s="199"/>
    </row>
    <row r="5544">
      <c r="A5544" s="193" t="s">
        <v>24178</v>
      </c>
      <c r="B5544" s="7" t="s">
        <v>175</v>
      </c>
      <c r="C5544" s="7" t="s">
        <v>16942</v>
      </c>
      <c r="D5544" s="194">
        <v>2014.0</v>
      </c>
      <c r="E5544" s="193"/>
      <c r="F5544" s="195" t="s">
        <v>24179</v>
      </c>
      <c r="G5544" s="196">
        <v>2.73512124E8</v>
      </c>
      <c r="H5544" s="197">
        <v>8.3</v>
      </c>
      <c r="I5544" s="7" t="s">
        <v>168</v>
      </c>
      <c r="J5544" s="7" t="s">
        <v>175</v>
      </c>
      <c r="K5544" s="7" t="s">
        <v>16942</v>
      </c>
      <c r="L5544" s="198" t="s">
        <v>65</v>
      </c>
      <c r="M5544" s="194"/>
      <c r="N5544" s="194"/>
    </row>
    <row r="5545">
      <c r="A5545" s="193" t="s">
        <v>24180</v>
      </c>
      <c r="B5545" s="7" t="s">
        <v>175</v>
      </c>
      <c r="C5545" s="7" t="s">
        <v>16842</v>
      </c>
      <c r="D5545" s="199"/>
      <c r="E5545" s="193"/>
      <c r="F5545" s="195" t="s">
        <v>24181</v>
      </c>
      <c r="G5545" s="196">
        <v>2.73071136E8</v>
      </c>
      <c r="H5545" s="197">
        <v>3.12</v>
      </c>
      <c r="I5545" s="7" t="s">
        <v>168</v>
      </c>
      <c r="J5545" s="7" t="s">
        <v>175</v>
      </c>
      <c r="K5545" s="7" t="s">
        <v>16842</v>
      </c>
      <c r="L5545" s="198" t="s">
        <v>65</v>
      </c>
      <c r="M5545" s="199"/>
      <c r="N5545" s="199"/>
    </row>
    <row r="5546">
      <c r="A5546" s="193" t="s">
        <v>24182</v>
      </c>
      <c r="B5546" s="7" t="s">
        <v>16582</v>
      </c>
      <c r="C5546" s="7" t="s">
        <v>16930</v>
      </c>
      <c r="D5546" s="194">
        <v>2020.0</v>
      </c>
      <c r="E5546" s="193"/>
      <c r="F5546" s="195" t="s">
        <v>24183</v>
      </c>
      <c r="G5546" s="196">
        <v>2.72982459E8</v>
      </c>
      <c r="H5546" s="197">
        <v>2.47</v>
      </c>
      <c r="I5546" s="7" t="s">
        <v>16815</v>
      </c>
      <c r="J5546" s="7" t="s">
        <v>16582</v>
      </c>
      <c r="K5546" s="7" t="s">
        <v>16930</v>
      </c>
      <c r="L5546" s="198" t="s">
        <v>65</v>
      </c>
      <c r="M5546" s="194"/>
      <c r="N5546" s="194"/>
    </row>
    <row r="5547">
      <c r="A5547" s="193" t="s">
        <v>24182</v>
      </c>
      <c r="B5547" s="7" t="s">
        <v>16930</v>
      </c>
      <c r="C5547" s="7" t="s">
        <v>16582</v>
      </c>
      <c r="D5547" s="194">
        <v>2020.0</v>
      </c>
      <c r="E5547" s="193"/>
      <c r="F5547" s="195" t="s">
        <v>24183</v>
      </c>
      <c r="G5547" s="200">
        <v>2.72982459E8</v>
      </c>
      <c r="H5547" s="197">
        <v>2.47</v>
      </c>
      <c r="I5547" s="7" t="s">
        <v>16815</v>
      </c>
      <c r="J5547" s="7" t="s">
        <v>16930</v>
      </c>
      <c r="K5547" s="7" t="s">
        <v>16582</v>
      </c>
      <c r="L5547" s="201" t="s">
        <v>16835</v>
      </c>
      <c r="M5547" s="194"/>
      <c r="N5547" s="194"/>
    </row>
    <row r="5548">
      <c r="A5548" s="193" t="s">
        <v>24184</v>
      </c>
      <c r="B5548" s="7" t="s">
        <v>175</v>
      </c>
      <c r="C5548" s="7" t="s">
        <v>18063</v>
      </c>
      <c r="D5548" s="199"/>
      <c r="E5548" s="193"/>
      <c r="F5548" s="195" t="s">
        <v>24185</v>
      </c>
      <c r="G5548" s="196">
        <v>2.72880443E8</v>
      </c>
      <c r="H5548" s="197">
        <v>5.77</v>
      </c>
      <c r="I5548" s="7" t="s">
        <v>17222</v>
      </c>
      <c r="J5548" s="7" t="s">
        <v>175</v>
      </c>
      <c r="K5548" s="7" t="s">
        <v>18063</v>
      </c>
      <c r="L5548" s="198" t="s">
        <v>65</v>
      </c>
      <c r="M5548" s="199"/>
      <c r="N5548" s="199"/>
    </row>
    <row r="5549">
      <c r="A5549" s="193" t="s">
        <v>24184</v>
      </c>
      <c r="B5549" s="202" t="s">
        <v>18063</v>
      </c>
      <c r="C5549" s="193" t="s">
        <v>175</v>
      </c>
      <c r="D5549" s="206"/>
      <c r="E5549" s="193"/>
      <c r="F5549" s="203" t="s">
        <v>24185</v>
      </c>
      <c r="G5549" s="200">
        <v>2.72880443E8</v>
      </c>
      <c r="H5549" s="205">
        <v>1.47</v>
      </c>
      <c r="J5549" s="202" t="s">
        <v>18063</v>
      </c>
      <c r="K5549" s="193" t="s">
        <v>175</v>
      </c>
      <c r="L5549" s="193" t="s">
        <v>17471</v>
      </c>
      <c r="M5549" s="206"/>
      <c r="N5549" s="206"/>
    </row>
    <row r="5550">
      <c r="A5550" s="193" t="s">
        <v>24186</v>
      </c>
      <c r="B5550" s="7" t="s">
        <v>175</v>
      </c>
      <c r="C5550" s="7" t="s">
        <v>16942</v>
      </c>
      <c r="D5550" s="194">
        <v>2013.0</v>
      </c>
      <c r="E5550" s="193"/>
      <c r="F5550" s="195" t="s">
        <v>24187</v>
      </c>
      <c r="G5550" s="196">
        <v>2.72742853E8</v>
      </c>
      <c r="H5550" s="197">
        <v>9.29</v>
      </c>
      <c r="I5550" s="7" t="s">
        <v>168</v>
      </c>
      <c r="J5550" s="7" t="s">
        <v>175</v>
      </c>
      <c r="K5550" s="7" t="s">
        <v>16942</v>
      </c>
      <c r="L5550" s="198" t="s">
        <v>65</v>
      </c>
      <c r="M5550" s="194"/>
      <c r="N5550" s="194"/>
    </row>
    <row r="5551">
      <c r="A5551" s="193" t="s">
        <v>24188</v>
      </c>
      <c r="B5551" s="7" t="s">
        <v>16582</v>
      </c>
      <c r="C5551" s="7" t="s">
        <v>16930</v>
      </c>
      <c r="D5551" s="194">
        <v>2020.0</v>
      </c>
      <c r="E5551" s="193"/>
      <c r="F5551" s="195" t="s">
        <v>24189</v>
      </c>
      <c r="G5551" s="196">
        <v>2.72023156E8</v>
      </c>
      <c r="H5551" s="197">
        <v>1.26</v>
      </c>
      <c r="I5551" s="7" t="s">
        <v>16815</v>
      </c>
      <c r="J5551" s="7" t="s">
        <v>16582</v>
      </c>
      <c r="K5551" s="7" t="s">
        <v>16930</v>
      </c>
      <c r="L5551" s="198" t="s">
        <v>65</v>
      </c>
      <c r="M5551" s="194"/>
      <c r="N5551" s="194"/>
    </row>
    <row r="5552">
      <c r="A5552" s="193" t="s">
        <v>24190</v>
      </c>
      <c r="B5552" s="7" t="s">
        <v>16838</v>
      </c>
      <c r="C5552" s="7" t="s">
        <v>19579</v>
      </c>
      <c r="D5552" s="199"/>
      <c r="E5552" s="193"/>
      <c r="F5552" s="195" t="s">
        <v>24191</v>
      </c>
      <c r="G5552" s="196">
        <v>2.71826334E8</v>
      </c>
      <c r="H5552" s="197">
        <v>23.4</v>
      </c>
      <c r="I5552" s="7" t="s">
        <v>16815</v>
      </c>
      <c r="J5552" s="7" t="s">
        <v>16838</v>
      </c>
      <c r="K5552" s="7" t="s">
        <v>19579</v>
      </c>
      <c r="L5552" s="198" t="s">
        <v>65</v>
      </c>
      <c r="M5552" s="199"/>
      <c r="N5552" s="199"/>
    </row>
    <row r="5553">
      <c r="A5553" s="193" t="s">
        <v>24192</v>
      </c>
      <c r="B5553" s="7" t="s">
        <v>187</v>
      </c>
      <c r="C5553" s="7" t="s">
        <v>16858</v>
      </c>
      <c r="D5553" s="194">
        <v>2020.0</v>
      </c>
      <c r="E5553" s="193"/>
      <c r="F5553" s="195" t="s">
        <v>24193</v>
      </c>
      <c r="G5553" s="196">
        <v>2.71821636E8</v>
      </c>
      <c r="H5553" s="197">
        <v>3.94</v>
      </c>
      <c r="I5553" s="7" t="s">
        <v>16815</v>
      </c>
      <c r="J5553" s="7" t="s">
        <v>187</v>
      </c>
      <c r="K5553" s="7" t="s">
        <v>16858</v>
      </c>
      <c r="L5553" s="198" t="s">
        <v>65</v>
      </c>
      <c r="M5553" s="194"/>
      <c r="N5553" s="194"/>
    </row>
    <row r="5554">
      <c r="A5554" s="193" t="s">
        <v>24194</v>
      </c>
      <c r="B5554" s="7" t="s">
        <v>17202</v>
      </c>
      <c r="C5554" s="7" t="s">
        <v>16838</v>
      </c>
      <c r="D5554" s="194">
        <v>1989.0</v>
      </c>
      <c r="E5554" s="193"/>
      <c r="F5554" s="195" t="s">
        <v>24195</v>
      </c>
      <c r="G5554" s="200">
        <v>2.71475166E8</v>
      </c>
      <c r="H5554" s="197">
        <v>5.57</v>
      </c>
      <c r="I5554" s="7" t="s">
        <v>16815</v>
      </c>
      <c r="J5554" s="7" t="s">
        <v>17202</v>
      </c>
      <c r="K5554" s="7" t="s">
        <v>16838</v>
      </c>
      <c r="L5554" s="201" t="s">
        <v>16835</v>
      </c>
      <c r="M5554" s="194"/>
      <c r="N5554" s="194"/>
    </row>
    <row r="5555">
      <c r="A5555" s="193" t="s">
        <v>24194</v>
      </c>
      <c r="B5555" s="7" t="s">
        <v>16838</v>
      </c>
      <c r="C5555" s="7" t="s">
        <v>17202</v>
      </c>
      <c r="D5555" s="194">
        <v>1989.0</v>
      </c>
      <c r="E5555" s="193"/>
      <c r="F5555" s="195" t="s">
        <v>24195</v>
      </c>
      <c r="G5555" s="196">
        <v>2.71475166E8</v>
      </c>
      <c r="H5555" s="197">
        <v>5.57</v>
      </c>
      <c r="I5555" s="7" t="s">
        <v>16815</v>
      </c>
      <c r="J5555" s="7" t="s">
        <v>16838</v>
      </c>
      <c r="K5555" s="7" t="s">
        <v>17202</v>
      </c>
      <c r="L5555" s="198" t="s">
        <v>65</v>
      </c>
      <c r="M5555" s="194"/>
      <c r="N5555" s="194"/>
    </row>
    <row r="5556">
      <c r="A5556" s="193" t="s">
        <v>24196</v>
      </c>
      <c r="B5556" s="7" t="s">
        <v>16838</v>
      </c>
      <c r="C5556" s="7" t="s">
        <v>16867</v>
      </c>
      <c r="D5556" s="199"/>
      <c r="E5556" s="193"/>
      <c r="F5556" s="195" t="s">
        <v>24197</v>
      </c>
      <c r="G5556" s="196">
        <v>2.7041877E8</v>
      </c>
      <c r="H5556" s="197">
        <v>11.78</v>
      </c>
      <c r="I5556" s="7" t="s">
        <v>16815</v>
      </c>
      <c r="J5556" s="7" t="s">
        <v>16838</v>
      </c>
      <c r="K5556" s="7" t="s">
        <v>16867</v>
      </c>
      <c r="L5556" s="198" t="s">
        <v>65</v>
      </c>
      <c r="M5556" s="199"/>
      <c r="N5556" s="199"/>
    </row>
    <row r="5557">
      <c r="A5557" s="193" t="s">
        <v>24198</v>
      </c>
      <c r="B5557" s="7" t="s">
        <v>175</v>
      </c>
      <c r="C5557" s="7" t="s">
        <v>19006</v>
      </c>
      <c r="D5557" s="194">
        <v>1996.0</v>
      </c>
      <c r="E5557" s="193"/>
      <c r="F5557" s="195" t="s">
        <v>24199</v>
      </c>
      <c r="G5557" s="196">
        <v>2.70366406E8</v>
      </c>
      <c r="H5557" s="197">
        <v>26.84</v>
      </c>
      <c r="I5557" s="7" t="s">
        <v>168</v>
      </c>
      <c r="J5557" s="7" t="s">
        <v>175</v>
      </c>
      <c r="K5557" s="7" t="s">
        <v>19006</v>
      </c>
      <c r="L5557" s="198" t="s">
        <v>65</v>
      </c>
      <c r="M5557" s="194"/>
      <c r="N5557" s="194"/>
    </row>
    <row r="5558">
      <c r="A5558" s="193" t="s">
        <v>24200</v>
      </c>
      <c r="B5558" s="7" t="s">
        <v>16582</v>
      </c>
      <c r="C5558" s="7" t="s">
        <v>16930</v>
      </c>
      <c r="D5558" s="194">
        <v>2016.0</v>
      </c>
      <c r="E5558" s="193"/>
      <c r="F5558" s="195" t="s">
        <v>24201</v>
      </c>
      <c r="G5558" s="196">
        <v>2.7029707E8</v>
      </c>
      <c r="H5558" s="197">
        <v>3.53</v>
      </c>
      <c r="I5558" s="7" t="s">
        <v>16815</v>
      </c>
      <c r="J5558" s="7" t="s">
        <v>16582</v>
      </c>
      <c r="K5558" s="7" t="s">
        <v>16930</v>
      </c>
      <c r="L5558" s="198" t="s">
        <v>65</v>
      </c>
      <c r="M5558" s="194"/>
      <c r="N5558" s="194"/>
    </row>
    <row r="5559">
      <c r="A5559" s="193" t="s">
        <v>24202</v>
      </c>
      <c r="B5559" s="7" t="s">
        <v>16838</v>
      </c>
      <c r="C5559" s="7" t="s">
        <v>16867</v>
      </c>
      <c r="D5559" s="199"/>
      <c r="E5559" s="193"/>
      <c r="F5559" s="195" t="s">
        <v>24203</v>
      </c>
      <c r="G5559" s="196">
        <v>2.69984835E8</v>
      </c>
      <c r="H5559" s="197">
        <v>32.47</v>
      </c>
      <c r="I5559" s="7" t="s">
        <v>16815</v>
      </c>
      <c r="J5559" s="7" t="s">
        <v>16838</v>
      </c>
      <c r="K5559" s="7" t="s">
        <v>16867</v>
      </c>
      <c r="L5559" s="198" t="s">
        <v>65</v>
      </c>
      <c r="M5559" s="199"/>
      <c r="N5559" s="199"/>
    </row>
    <row r="5560">
      <c r="A5560" s="193" t="s">
        <v>24204</v>
      </c>
      <c r="B5560" s="7" t="s">
        <v>16582</v>
      </c>
      <c r="C5560" s="7" t="s">
        <v>16828</v>
      </c>
      <c r="D5560" s="194">
        <v>2021.0</v>
      </c>
      <c r="E5560" s="193"/>
      <c r="F5560" s="195" t="s">
        <v>24205</v>
      </c>
      <c r="G5560" s="196">
        <v>2.69833108E8</v>
      </c>
      <c r="H5560" s="197">
        <v>5.83</v>
      </c>
      <c r="I5560" s="7" t="s">
        <v>16815</v>
      </c>
      <c r="J5560" s="7" t="s">
        <v>16582</v>
      </c>
      <c r="K5560" s="7" t="s">
        <v>16828</v>
      </c>
      <c r="L5560" s="198" t="s">
        <v>65</v>
      </c>
      <c r="M5560" s="194"/>
      <c r="N5560" s="194"/>
    </row>
    <row r="5561">
      <c r="A5561" s="193" t="s">
        <v>24206</v>
      </c>
      <c r="B5561" s="7" t="s">
        <v>19644</v>
      </c>
      <c r="C5561" s="7" t="s">
        <v>16838</v>
      </c>
      <c r="D5561" s="199"/>
      <c r="E5561" s="193"/>
      <c r="F5561" s="195" t="s">
        <v>24207</v>
      </c>
      <c r="G5561" s="200">
        <v>2.69447634E8</v>
      </c>
      <c r="H5561" s="197">
        <v>5.66</v>
      </c>
      <c r="I5561" s="7" t="s">
        <v>16815</v>
      </c>
      <c r="J5561" s="7" t="s">
        <v>19644</v>
      </c>
      <c r="K5561" s="7" t="s">
        <v>16838</v>
      </c>
      <c r="L5561" s="201" t="s">
        <v>16835</v>
      </c>
      <c r="M5561" s="199"/>
      <c r="N5561" s="199"/>
    </row>
    <row r="5562">
      <c r="A5562" s="193" t="s">
        <v>24206</v>
      </c>
      <c r="B5562" s="7" t="s">
        <v>16838</v>
      </c>
      <c r="C5562" s="7" t="s">
        <v>19644</v>
      </c>
      <c r="D5562" s="199"/>
      <c r="E5562" s="193"/>
      <c r="F5562" s="195" t="s">
        <v>24207</v>
      </c>
      <c r="G5562" s="196">
        <v>2.69447634E8</v>
      </c>
      <c r="H5562" s="197">
        <v>5.66</v>
      </c>
      <c r="I5562" s="7" t="s">
        <v>16815</v>
      </c>
      <c r="J5562" s="7" t="s">
        <v>16838</v>
      </c>
      <c r="K5562" s="7" t="s">
        <v>19644</v>
      </c>
      <c r="L5562" s="198" t="s">
        <v>65</v>
      </c>
      <c r="M5562" s="199"/>
      <c r="N5562" s="199"/>
    </row>
    <row r="5563">
      <c r="A5563" s="193" t="s">
        <v>24208</v>
      </c>
      <c r="B5563" s="7" t="s">
        <v>17111</v>
      </c>
      <c r="C5563" s="7" t="s">
        <v>17112</v>
      </c>
      <c r="D5563" s="194">
        <v>2020.0</v>
      </c>
      <c r="E5563" s="193"/>
      <c r="F5563" s="195" t="s">
        <v>24209</v>
      </c>
      <c r="G5563" s="200">
        <v>2.693348E8</v>
      </c>
      <c r="H5563" s="197">
        <v>15.63</v>
      </c>
      <c r="I5563" s="7" t="s">
        <v>16815</v>
      </c>
      <c r="J5563" s="7" t="s">
        <v>17111</v>
      </c>
      <c r="K5563" s="7" t="s">
        <v>17112</v>
      </c>
      <c r="L5563" s="201" t="s">
        <v>16835</v>
      </c>
      <c r="M5563" s="194"/>
      <c r="N5563" s="194"/>
    </row>
    <row r="5564">
      <c r="A5564" s="193" t="s">
        <v>24208</v>
      </c>
      <c r="B5564" s="7" t="s">
        <v>17112</v>
      </c>
      <c r="C5564" s="7" t="s">
        <v>17111</v>
      </c>
      <c r="D5564" s="194">
        <v>2020.0</v>
      </c>
      <c r="E5564" s="193"/>
      <c r="F5564" s="195" t="s">
        <v>24209</v>
      </c>
      <c r="G5564" s="196">
        <v>2.693348E8</v>
      </c>
      <c r="H5564" s="197">
        <v>15.63</v>
      </c>
      <c r="I5564" s="7" t="s">
        <v>16815</v>
      </c>
      <c r="J5564" s="7" t="s">
        <v>17112</v>
      </c>
      <c r="K5564" s="7" t="s">
        <v>17111</v>
      </c>
      <c r="L5564" s="198" t="s">
        <v>65</v>
      </c>
      <c r="M5564" s="194"/>
      <c r="N5564" s="194"/>
    </row>
    <row r="5565">
      <c r="A5565" s="193" t="s">
        <v>24210</v>
      </c>
      <c r="B5565" s="7" t="s">
        <v>175</v>
      </c>
      <c r="C5565" s="7" t="s">
        <v>17084</v>
      </c>
      <c r="D5565" s="199"/>
      <c r="E5565" s="193"/>
      <c r="F5565" s="195" t="s">
        <v>24211</v>
      </c>
      <c r="G5565" s="196">
        <v>2.68734009E8</v>
      </c>
      <c r="H5565" s="197">
        <v>4.45</v>
      </c>
      <c r="I5565" s="7" t="s">
        <v>16908</v>
      </c>
      <c r="J5565" s="7" t="s">
        <v>175</v>
      </c>
      <c r="K5565" s="7" t="s">
        <v>17084</v>
      </c>
      <c r="L5565" s="198" t="s">
        <v>65</v>
      </c>
      <c r="M5565" s="199"/>
      <c r="N5565" s="199"/>
    </row>
    <row r="5566">
      <c r="A5566" s="193" t="s">
        <v>24212</v>
      </c>
      <c r="B5566" s="7" t="s">
        <v>16838</v>
      </c>
      <c r="C5566" s="7" t="s">
        <v>17016</v>
      </c>
      <c r="D5566" s="194">
        <v>2019.0</v>
      </c>
      <c r="E5566" s="193"/>
      <c r="F5566" s="195" t="s">
        <v>24213</v>
      </c>
      <c r="G5566" s="196">
        <v>2.68227892E8</v>
      </c>
      <c r="H5566" s="197">
        <v>5.02</v>
      </c>
      <c r="I5566" s="7" t="s">
        <v>16815</v>
      </c>
      <c r="J5566" s="7" t="s">
        <v>16838</v>
      </c>
      <c r="K5566" s="7" t="s">
        <v>17016</v>
      </c>
      <c r="L5566" s="198" t="s">
        <v>65</v>
      </c>
      <c r="M5566" s="194"/>
      <c r="N5566" s="194"/>
    </row>
    <row r="5567">
      <c r="A5567" s="193" t="s">
        <v>24214</v>
      </c>
      <c r="D5567" s="199"/>
      <c r="E5567" s="193"/>
      <c r="F5567" s="195" t="s">
        <v>24215</v>
      </c>
      <c r="G5567" s="196">
        <v>2.67810346E8</v>
      </c>
      <c r="H5567" s="197">
        <v>3.13</v>
      </c>
      <c r="I5567" s="7" t="s">
        <v>16815</v>
      </c>
      <c r="L5567" s="198" t="s">
        <v>65</v>
      </c>
      <c r="M5567" s="199"/>
      <c r="N5567" s="199"/>
    </row>
    <row r="5568">
      <c r="A5568" s="193" t="s">
        <v>24216</v>
      </c>
      <c r="B5568" s="7" t="s">
        <v>20534</v>
      </c>
      <c r="C5568" s="7" t="s">
        <v>169</v>
      </c>
      <c r="D5568" s="194">
        <v>2021.0</v>
      </c>
      <c r="E5568" s="193"/>
      <c r="F5568" s="195" t="s">
        <v>24217</v>
      </c>
      <c r="G5568" s="200">
        <v>2.6757655E8</v>
      </c>
      <c r="H5568" s="197">
        <v>1.36</v>
      </c>
      <c r="I5568" s="193" t="s">
        <v>16815</v>
      </c>
      <c r="J5568" s="7" t="s">
        <v>20534</v>
      </c>
      <c r="K5568" s="7" t="s">
        <v>169</v>
      </c>
      <c r="L5568" s="201" t="s">
        <v>16835</v>
      </c>
      <c r="M5568" s="194"/>
      <c r="N5568" s="194"/>
    </row>
    <row r="5569">
      <c r="A5569" s="193" t="s">
        <v>24216</v>
      </c>
      <c r="B5569" s="7" t="s">
        <v>169</v>
      </c>
      <c r="C5569" s="7" t="s">
        <v>20534</v>
      </c>
      <c r="D5569" s="194">
        <v>2021.0</v>
      </c>
      <c r="E5569" s="193"/>
      <c r="F5569" s="195" t="s">
        <v>24217</v>
      </c>
      <c r="G5569" s="196">
        <v>2.6757655E8</v>
      </c>
      <c r="H5569" s="197">
        <v>1.36</v>
      </c>
      <c r="I5569" s="7" t="s">
        <v>16815</v>
      </c>
      <c r="J5569" s="7" t="s">
        <v>169</v>
      </c>
      <c r="K5569" s="7" t="s">
        <v>20534</v>
      </c>
      <c r="L5569" s="198" t="s">
        <v>65</v>
      </c>
      <c r="M5569" s="194"/>
      <c r="N5569" s="194"/>
    </row>
    <row r="5570">
      <c r="A5570" s="193" t="s">
        <v>24218</v>
      </c>
      <c r="B5570" s="7" t="s">
        <v>187</v>
      </c>
      <c r="C5570" s="7" t="s">
        <v>16969</v>
      </c>
      <c r="D5570" s="194">
        <v>2019.0</v>
      </c>
      <c r="E5570" s="193"/>
      <c r="F5570" s="195" t="s">
        <v>24219</v>
      </c>
      <c r="G5570" s="196">
        <v>2.67555558E8</v>
      </c>
      <c r="H5570" s="197">
        <v>6.87</v>
      </c>
      <c r="I5570" s="7" t="s">
        <v>16815</v>
      </c>
      <c r="J5570" s="7" t="s">
        <v>187</v>
      </c>
      <c r="K5570" s="7" t="s">
        <v>16969</v>
      </c>
      <c r="L5570" s="198" t="s">
        <v>65</v>
      </c>
      <c r="M5570" s="194"/>
      <c r="N5570" s="194"/>
    </row>
    <row r="5571">
      <c r="A5571" s="193" t="s">
        <v>24220</v>
      </c>
      <c r="B5571" s="7" t="s">
        <v>175</v>
      </c>
      <c r="C5571" s="7" t="s">
        <v>16942</v>
      </c>
      <c r="D5571" s="194">
        <v>1993.0</v>
      </c>
      <c r="E5571" s="193"/>
      <c r="F5571" s="195" t="s">
        <v>24221</v>
      </c>
      <c r="G5571" s="196">
        <v>2.6722166E8</v>
      </c>
      <c r="H5571" s="197">
        <v>65.5</v>
      </c>
      <c r="I5571" s="7" t="s">
        <v>168</v>
      </c>
      <c r="J5571" s="7" t="s">
        <v>175</v>
      </c>
      <c r="K5571" s="7" t="s">
        <v>16942</v>
      </c>
      <c r="L5571" s="198" t="s">
        <v>65</v>
      </c>
      <c r="M5571" s="194"/>
      <c r="N5571" s="194"/>
    </row>
    <row r="5572">
      <c r="A5572" s="193" t="s">
        <v>24222</v>
      </c>
      <c r="B5572" s="7" t="s">
        <v>16582</v>
      </c>
      <c r="C5572" s="7" t="s">
        <v>16583</v>
      </c>
      <c r="D5572" s="199"/>
      <c r="E5572" s="193"/>
      <c r="F5572" s="195" t="s">
        <v>24223</v>
      </c>
      <c r="G5572" s="196">
        <v>2.66803859E8</v>
      </c>
      <c r="H5572" s="197">
        <v>1.46</v>
      </c>
      <c r="I5572" s="7" t="s">
        <v>16815</v>
      </c>
      <c r="J5572" s="7" t="s">
        <v>16582</v>
      </c>
      <c r="K5572" s="7" t="s">
        <v>16583</v>
      </c>
      <c r="L5572" s="198" t="s">
        <v>65</v>
      </c>
      <c r="M5572" s="199"/>
      <c r="N5572" s="199"/>
    </row>
    <row r="5573">
      <c r="A5573" s="193" t="s">
        <v>24224</v>
      </c>
      <c r="B5573" s="7" t="s">
        <v>16838</v>
      </c>
      <c r="C5573" s="7" t="s">
        <v>17016</v>
      </c>
      <c r="D5573" s="194">
        <v>2021.0</v>
      </c>
      <c r="E5573" s="193"/>
      <c r="F5573" s="195" t="s">
        <v>24225</v>
      </c>
      <c r="G5573" s="196">
        <v>2.66658766E8</v>
      </c>
      <c r="H5573" s="197">
        <v>10.6001</v>
      </c>
      <c r="I5573" s="7" t="s">
        <v>16815</v>
      </c>
      <c r="J5573" s="7" t="s">
        <v>16838</v>
      </c>
      <c r="K5573" s="7" t="s">
        <v>17016</v>
      </c>
      <c r="L5573" s="198" t="s">
        <v>65</v>
      </c>
      <c r="M5573" s="194"/>
      <c r="N5573" s="194"/>
    </row>
    <row r="5574">
      <c r="A5574" s="193" t="s">
        <v>24226</v>
      </c>
      <c r="B5574" s="7" t="s">
        <v>175</v>
      </c>
      <c r="C5574" s="7" t="s">
        <v>17069</v>
      </c>
      <c r="D5574" s="194">
        <v>2021.0</v>
      </c>
      <c r="E5574" s="193"/>
      <c r="F5574" s="195" t="s">
        <v>24227</v>
      </c>
      <c r="G5574" s="196">
        <v>2.66207144E8</v>
      </c>
      <c r="H5574" s="197">
        <v>3.16</v>
      </c>
      <c r="I5574" s="7" t="s">
        <v>168</v>
      </c>
      <c r="J5574" s="7" t="s">
        <v>175</v>
      </c>
      <c r="K5574" s="7" t="s">
        <v>17069</v>
      </c>
      <c r="L5574" s="198" t="s">
        <v>65</v>
      </c>
      <c r="M5574" s="194"/>
      <c r="N5574" s="194"/>
    </row>
    <row r="5575">
      <c r="A5575" s="193" t="s">
        <v>24228</v>
      </c>
      <c r="B5575" s="7" t="s">
        <v>16582</v>
      </c>
      <c r="C5575" s="7" t="s">
        <v>16828</v>
      </c>
      <c r="D5575" s="194">
        <v>2011.0</v>
      </c>
      <c r="E5575" s="193"/>
      <c r="F5575" s="195" t="s">
        <v>24229</v>
      </c>
      <c r="G5575" s="196">
        <v>2.65914303E8</v>
      </c>
      <c r="H5575" s="197">
        <v>6.86</v>
      </c>
      <c r="I5575" s="7" t="s">
        <v>16815</v>
      </c>
      <c r="J5575" s="7" t="s">
        <v>16582</v>
      </c>
      <c r="K5575" s="7" t="s">
        <v>16828</v>
      </c>
      <c r="L5575" s="198" t="s">
        <v>65</v>
      </c>
      <c r="M5575" s="194"/>
      <c r="N5575" s="194"/>
    </row>
    <row r="5576">
      <c r="A5576" s="193" t="s">
        <v>24228</v>
      </c>
      <c r="B5576" s="7" t="s">
        <v>16828</v>
      </c>
      <c r="C5576" s="7" t="s">
        <v>16582</v>
      </c>
      <c r="D5576" s="194">
        <v>2011.0</v>
      </c>
      <c r="E5576" s="193"/>
      <c r="F5576" s="195" t="s">
        <v>24229</v>
      </c>
      <c r="G5576" s="200">
        <v>2.65914303E8</v>
      </c>
      <c r="H5576" s="197">
        <v>6.86</v>
      </c>
      <c r="I5576" s="7" t="s">
        <v>16815</v>
      </c>
      <c r="J5576" s="7" t="s">
        <v>16828</v>
      </c>
      <c r="K5576" s="7" t="s">
        <v>16582</v>
      </c>
      <c r="L5576" s="201" t="s">
        <v>16835</v>
      </c>
      <c r="M5576" s="194"/>
      <c r="N5576" s="194"/>
    </row>
    <row r="5577">
      <c r="A5577" s="193" t="s">
        <v>24230</v>
      </c>
      <c r="B5577" s="7" t="s">
        <v>16582</v>
      </c>
      <c r="C5577" s="7" t="s">
        <v>16930</v>
      </c>
      <c r="D5577" s="194">
        <v>2020.0</v>
      </c>
      <c r="E5577" s="193"/>
      <c r="F5577" s="195" t="s">
        <v>24231</v>
      </c>
      <c r="G5577" s="196">
        <v>2.6580633E8</v>
      </c>
      <c r="H5577" s="197">
        <v>3.82</v>
      </c>
      <c r="I5577" s="7" t="s">
        <v>16815</v>
      </c>
      <c r="J5577" s="7" t="s">
        <v>16582</v>
      </c>
      <c r="K5577" s="7" t="s">
        <v>16930</v>
      </c>
      <c r="L5577" s="198" t="s">
        <v>65</v>
      </c>
      <c r="M5577" s="194"/>
      <c r="N5577" s="194"/>
    </row>
    <row r="5578">
      <c r="A5578" s="193" t="s">
        <v>24232</v>
      </c>
      <c r="B5578" s="7" t="s">
        <v>16838</v>
      </c>
      <c r="C5578" s="7" t="s">
        <v>16867</v>
      </c>
      <c r="D5578" s="199"/>
      <c r="E5578" s="193"/>
      <c r="F5578" s="195" t="s">
        <v>24233</v>
      </c>
      <c r="G5578" s="196">
        <v>2.65700462E8</v>
      </c>
      <c r="H5578" s="197">
        <v>23.95</v>
      </c>
      <c r="I5578" s="7" t="s">
        <v>16815</v>
      </c>
      <c r="J5578" s="7" t="s">
        <v>16838</v>
      </c>
      <c r="K5578" s="7" t="s">
        <v>16867</v>
      </c>
      <c r="L5578" s="198" t="s">
        <v>65</v>
      </c>
      <c r="M5578" s="199"/>
      <c r="N5578" s="199"/>
    </row>
    <row r="5579">
      <c r="A5579" s="193" t="s">
        <v>24234</v>
      </c>
      <c r="B5579" s="7" t="s">
        <v>19579</v>
      </c>
      <c r="C5579" s="7" t="s">
        <v>16838</v>
      </c>
      <c r="D5579" s="194">
        <v>1989.0</v>
      </c>
      <c r="E5579" s="193"/>
      <c r="F5579" s="195" t="s">
        <v>24235</v>
      </c>
      <c r="G5579" s="200">
        <v>2.65370531E8</v>
      </c>
      <c r="H5579" s="197">
        <v>6.03</v>
      </c>
      <c r="I5579" s="193" t="s">
        <v>16815</v>
      </c>
      <c r="J5579" s="7" t="s">
        <v>19579</v>
      </c>
      <c r="K5579" s="7" t="s">
        <v>16838</v>
      </c>
      <c r="L5579" s="201" t="s">
        <v>16835</v>
      </c>
      <c r="M5579" s="194"/>
      <c r="N5579" s="194"/>
    </row>
    <row r="5580">
      <c r="A5580" s="193" t="s">
        <v>24234</v>
      </c>
      <c r="B5580" s="7" t="s">
        <v>16838</v>
      </c>
      <c r="C5580" s="7" t="s">
        <v>19579</v>
      </c>
      <c r="D5580" s="194">
        <v>1989.0</v>
      </c>
      <c r="E5580" s="193"/>
      <c r="F5580" s="195" t="s">
        <v>24235</v>
      </c>
      <c r="G5580" s="196">
        <v>2.65370531E8</v>
      </c>
      <c r="H5580" s="197">
        <v>6.03</v>
      </c>
      <c r="I5580" s="7" t="s">
        <v>16815</v>
      </c>
      <c r="J5580" s="7" t="s">
        <v>16838</v>
      </c>
      <c r="K5580" s="7" t="s">
        <v>19579</v>
      </c>
      <c r="L5580" s="198" t="s">
        <v>65</v>
      </c>
      <c r="M5580" s="194"/>
      <c r="N5580" s="194"/>
    </row>
    <row r="5581">
      <c r="A5581" s="193" t="s">
        <v>24236</v>
      </c>
      <c r="B5581" s="7" t="s">
        <v>187</v>
      </c>
      <c r="C5581" s="7" t="s">
        <v>16846</v>
      </c>
      <c r="D5581" s="194">
        <v>2023.0</v>
      </c>
      <c r="E5581" s="193"/>
      <c r="F5581" s="195" t="s">
        <v>24237</v>
      </c>
      <c r="G5581" s="196">
        <v>2.65128011E8</v>
      </c>
      <c r="H5581" s="197">
        <v>6.45</v>
      </c>
      <c r="I5581" s="7" t="s">
        <v>16815</v>
      </c>
      <c r="J5581" s="7" t="s">
        <v>187</v>
      </c>
      <c r="K5581" s="7" t="s">
        <v>16846</v>
      </c>
      <c r="L5581" s="198" t="s">
        <v>65</v>
      </c>
      <c r="M5581" s="194"/>
      <c r="N5581" s="194"/>
    </row>
    <row r="5582">
      <c r="A5582" s="193" t="s">
        <v>24238</v>
      </c>
      <c r="B5582" s="7" t="s">
        <v>16838</v>
      </c>
      <c r="C5582" s="7" t="s">
        <v>17202</v>
      </c>
      <c r="D5582" s="194">
        <v>2019.0</v>
      </c>
      <c r="E5582" s="193"/>
      <c r="F5582" s="195" t="s">
        <v>24239</v>
      </c>
      <c r="G5582" s="196">
        <v>2.64781428E8</v>
      </c>
      <c r="H5582" s="197">
        <v>4.39</v>
      </c>
      <c r="I5582" s="7" t="s">
        <v>16815</v>
      </c>
      <c r="J5582" s="7" t="s">
        <v>16838</v>
      </c>
      <c r="K5582" s="7" t="s">
        <v>17202</v>
      </c>
      <c r="L5582" s="198" t="s">
        <v>65</v>
      </c>
      <c r="M5582" s="194"/>
      <c r="N5582" s="194"/>
    </row>
    <row r="5583">
      <c r="A5583" s="193" t="s">
        <v>24240</v>
      </c>
      <c r="B5583" s="7" t="s">
        <v>16838</v>
      </c>
      <c r="C5583" s="7" t="s">
        <v>17112</v>
      </c>
      <c r="D5583" s="199"/>
      <c r="E5583" s="193"/>
      <c r="F5583" s="195" t="s">
        <v>24241</v>
      </c>
      <c r="G5583" s="196">
        <v>2.646E8</v>
      </c>
      <c r="H5583" s="197">
        <v>1.47</v>
      </c>
      <c r="I5583" s="7" t="s">
        <v>16815</v>
      </c>
      <c r="J5583" s="7" t="s">
        <v>16838</v>
      </c>
      <c r="K5583" s="7" t="s">
        <v>17112</v>
      </c>
      <c r="L5583" s="198" t="s">
        <v>65</v>
      </c>
      <c r="M5583" s="199"/>
      <c r="N5583" s="199"/>
    </row>
    <row r="5584">
      <c r="A5584" s="193" t="s">
        <v>24242</v>
      </c>
      <c r="B5584" s="7" t="s">
        <v>16838</v>
      </c>
      <c r="C5584" s="7" t="s">
        <v>17016</v>
      </c>
      <c r="D5584" s="194">
        <v>2007.0</v>
      </c>
      <c r="E5584" s="193"/>
      <c r="F5584" s="195" t="s">
        <v>24243</v>
      </c>
      <c r="G5584" s="196">
        <v>2.63436022E8</v>
      </c>
      <c r="H5584" s="197">
        <v>3.63</v>
      </c>
      <c r="I5584" s="7" t="s">
        <v>16815</v>
      </c>
      <c r="J5584" s="7" t="s">
        <v>16838</v>
      </c>
      <c r="K5584" s="7" t="s">
        <v>17016</v>
      </c>
      <c r="L5584" s="198" t="s">
        <v>65</v>
      </c>
      <c r="M5584" s="194"/>
      <c r="N5584" s="194"/>
    </row>
    <row r="5585">
      <c r="A5585" s="193" t="s">
        <v>24244</v>
      </c>
      <c r="B5585" s="7" t="s">
        <v>169</v>
      </c>
      <c r="C5585" s="7" t="s">
        <v>17738</v>
      </c>
      <c r="D5585" s="194">
        <v>1998.0</v>
      </c>
      <c r="E5585" s="193"/>
      <c r="F5585" s="195" t="s">
        <v>24245</v>
      </c>
      <c r="G5585" s="196">
        <v>2.63380228E8</v>
      </c>
      <c r="H5585" s="197">
        <v>8.99</v>
      </c>
      <c r="I5585" s="7" t="s">
        <v>16815</v>
      </c>
      <c r="J5585" s="7" t="s">
        <v>169</v>
      </c>
      <c r="K5585" s="7" t="s">
        <v>17738</v>
      </c>
      <c r="L5585" s="198" t="s">
        <v>65</v>
      </c>
      <c r="M5585" s="194"/>
      <c r="N5585" s="194"/>
    </row>
    <row r="5586">
      <c r="A5586" s="193" t="s">
        <v>24244</v>
      </c>
      <c r="B5586" s="7" t="s">
        <v>17738</v>
      </c>
      <c r="C5586" s="7" t="s">
        <v>169</v>
      </c>
      <c r="D5586" s="194">
        <v>1998.0</v>
      </c>
      <c r="E5586" s="193"/>
      <c r="F5586" s="195" t="s">
        <v>24245</v>
      </c>
      <c r="G5586" s="200">
        <v>2.63380228E8</v>
      </c>
      <c r="H5586" s="197">
        <v>8.99</v>
      </c>
      <c r="I5586" s="7" t="s">
        <v>16815</v>
      </c>
      <c r="J5586" s="7" t="s">
        <v>17738</v>
      </c>
      <c r="K5586" s="7" t="s">
        <v>169</v>
      </c>
      <c r="L5586" s="201" t="s">
        <v>16835</v>
      </c>
      <c r="M5586" s="194"/>
      <c r="N5586" s="194"/>
    </row>
    <row r="5587">
      <c r="A5587" s="193" t="s">
        <v>24246</v>
      </c>
      <c r="B5587" s="7" t="s">
        <v>169</v>
      </c>
      <c r="C5587" s="7" t="s">
        <v>17532</v>
      </c>
      <c r="D5587" s="194">
        <v>1995.0</v>
      </c>
      <c r="E5587" s="193"/>
      <c r="F5587" s="195" t="s">
        <v>24247</v>
      </c>
      <c r="G5587" s="196">
        <v>2.63373355E8</v>
      </c>
      <c r="H5587" s="197">
        <v>26.3</v>
      </c>
      <c r="I5587" s="7" t="s">
        <v>16815</v>
      </c>
      <c r="J5587" s="7" t="s">
        <v>169</v>
      </c>
      <c r="K5587" s="7" t="s">
        <v>17532</v>
      </c>
      <c r="L5587" s="198" t="s">
        <v>65</v>
      </c>
      <c r="M5587" s="194"/>
      <c r="N5587" s="194"/>
    </row>
    <row r="5588">
      <c r="A5588" s="193" t="s">
        <v>24248</v>
      </c>
      <c r="B5588" s="7" t="s">
        <v>187</v>
      </c>
      <c r="C5588" s="7" t="s">
        <v>16846</v>
      </c>
      <c r="D5588" s="194">
        <v>2019.0</v>
      </c>
      <c r="E5588" s="193"/>
      <c r="F5588" s="195" t="s">
        <v>24249</v>
      </c>
      <c r="G5588" s="196">
        <v>2.63229307E8</v>
      </c>
      <c r="H5588" s="197">
        <v>4.51</v>
      </c>
      <c r="I5588" s="7" t="s">
        <v>16815</v>
      </c>
      <c r="J5588" s="7" t="s">
        <v>187</v>
      </c>
      <c r="K5588" s="7" t="s">
        <v>16846</v>
      </c>
      <c r="L5588" s="198" t="s">
        <v>65</v>
      </c>
      <c r="M5588" s="194"/>
      <c r="N5588" s="194"/>
    </row>
    <row r="5589">
      <c r="A5589" s="193" t="s">
        <v>24250</v>
      </c>
      <c r="B5589" s="7" t="s">
        <v>16838</v>
      </c>
      <c r="C5589" s="7" t="s">
        <v>16867</v>
      </c>
      <c r="D5589" s="199"/>
      <c r="E5589" s="193"/>
      <c r="F5589" s="195" t="s">
        <v>24251</v>
      </c>
      <c r="G5589" s="196">
        <v>2.62429504E8</v>
      </c>
      <c r="H5589" s="197">
        <v>17.85</v>
      </c>
      <c r="I5589" s="7" t="s">
        <v>16815</v>
      </c>
      <c r="J5589" s="7" t="s">
        <v>16838</v>
      </c>
      <c r="K5589" s="7" t="s">
        <v>16867</v>
      </c>
      <c r="L5589" s="198" t="s">
        <v>65</v>
      </c>
      <c r="M5589" s="199"/>
      <c r="N5589" s="199"/>
    </row>
    <row r="5590">
      <c r="A5590" s="193" t="s">
        <v>24252</v>
      </c>
      <c r="B5590" s="7" t="s">
        <v>158</v>
      </c>
      <c r="C5590" s="7" t="s">
        <v>20100</v>
      </c>
      <c r="D5590" s="199"/>
      <c r="E5590" s="193"/>
      <c r="F5590" s="195" t="s">
        <v>24253</v>
      </c>
      <c r="G5590" s="196">
        <v>2.62390952E8</v>
      </c>
      <c r="H5590" s="197">
        <v>34.96</v>
      </c>
      <c r="I5590" s="7" t="s">
        <v>17098</v>
      </c>
      <c r="J5590" s="7" t="s">
        <v>158</v>
      </c>
      <c r="K5590" s="7" t="s">
        <v>20100</v>
      </c>
      <c r="L5590" s="198" t="s">
        <v>65</v>
      </c>
      <c r="M5590" s="199"/>
      <c r="N5590" s="199"/>
    </row>
    <row r="5591">
      <c r="A5591" s="193" t="s">
        <v>24252</v>
      </c>
      <c r="B5591" s="7" t="s">
        <v>20100</v>
      </c>
      <c r="C5591" s="7" t="s">
        <v>158</v>
      </c>
      <c r="D5591" s="199"/>
      <c r="E5591" s="193"/>
      <c r="F5591" s="195" t="s">
        <v>24253</v>
      </c>
      <c r="G5591" s="200">
        <v>2.62390952E8</v>
      </c>
      <c r="H5591" s="197">
        <v>34.96</v>
      </c>
      <c r="I5591" s="7" t="s">
        <v>16815</v>
      </c>
      <c r="J5591" s="7" t="s">
        <v>20100</v>
      </c>
      <c r="K5591" s="7" t="s">
        <v>158</v>
      </c>
      <c r="L5591" s="201" t="s">
        <v>16835</v>
      </c>
      <c r="M5591" s="199"/>
      <c r="N5591" s="199"/>
    </row>
    <row r="5592">
      <c r="A5592" s="193" t="s">
        <v>24254</v>
      </c>
      <c r="B5592" s="7" t="s">
        <v>187</v>
      </c>
      <c r="C5592" s="7" t="s">
        <v>18633</v>
      </c>
      <c r="D5592" s="194">
        <v>2020.0</v>
      </c>
      <c r="E5592" s="193"/>
      <c r="F5592" s="195" t="s">
        <v>24255</v>
      </c>
      <c r="G5592" s="196">
        <v>2.6233918E8</v>
      </c>
      <c r="H5592" s="197">
        <v>1.57</v>
      </c>
      <c r="I5592" s="7" t="s">
        <v>16815</v>
      </c>
      <c r="J5592" s="7" t="s">
        <v>187</v>
      </c>
      <c r="K5592" s="7" t="s">
        <v>18633</v>
      </c>
      <c r="L5592" s="198" t="s">
        <v>65</v>
      </c>
      <c r="M5592" s="194"/>
      <c r="N5592" s="194"/>
    </row>
    <row r="5593">
      <c r="A5593" s="193" t="s">
        <v>24256</v>
      </c>
      <c r="B5593" s="7" t="s">
        <v>16582</v>
      </c>
      <c r="C5593" s="7" t="s">
        <v>16930</v>
      </c>
      <c r="D5593" s="199"/>
      <c r="E5593" s="193"/>
      <c r="F5593" s="195" t="s">
        <v>24257</v>
      </c>
      <c r="G5593" s="196">
        <v>2.62326915E8</v>
      </c>
      <c r="H5593" s="197">
        <v>4.205</v>
      </c>
      <c r="I5593" s="7" t="s">
        <v>16815</v>
      </c>
      <c r="J5593" s="7" t="s">
        <v>16582</v>
      </c>
      <c r="K5593" s="7" t="s">
        <v>16930</v>
      </c>
      <c r="L5593" s="198" t="s">
        <v>65</v>
      </c>
      <c r="M5593" s="199"/>
      <c r="N5593" s="199"/>
    </row>
    <row r="5594">
      <c r="A5594" s="193" t="s">
        <v>24258</v>
      </c>
      <c r="B5594" s="7" t="s">
        <v>175</v>
      </c>
      <c r="C5594" s="7" t="s">
        <v>17233</v>
      </c>
      <c r="D5594" s="194">
        <v>2007.0</v>
      </c>
      <c r="E5594" s="193"/>
      <c r="F5594" s="195" t="s">
        <v>24259</v>
      </c>
      <c r="G5594" s="196">
        <v>2.613E8</v>
      </c>
      <c r="H5594" s="197">
        <v>13.0</v>
      </c>
      <c r="I5594" s="7" t="s">
        <v>16908</v>
      </c>
      <c r="J5594" s="7" t="s">
        <v>175</v>
      </c>
      <c r="K5594" s="7" t="s">
        <v>17233</v>
      </c>
      <c r="L5594" s="198" t="s">
        <v>65</v>
      </c>
      <c r="M5594" s="194"/>
      <c r="N5594" s="194"/>
    </row>
    <row r="5595">
      <c r="A5595" s="193" t="s">
        <v>24260</v>
      </c>
      <c r="B5595" s="7" t="s">
        <v>187</v>
      </c>
      <c r="C5595" s="7" t="s">
        <v>18633</v>
      </c>
      <c r="D5595" s="199"/>
      <c r="E5595" s="193"/>
      <c r="F5595" s="195" t="s">
        <v>24261</v>
      </c>
      <c r="G5595" s="196">
        <v>2.61294172E8</v>
      </c>
      <c r="H5595" s="197">
        <v>6.88</v>
      </c>
      <c r="I5595" s="7" t="s">
        <v>16815</v>
      </c>
      <c r="J5595" s="7" t="s">
        <v>187</v>
      </c>
      <c r="K5595" s="7" t="s">
        <v>18633</v>
      </c>
      <c r="L5595" s="198" t="s">
        <v>65</v>
      </c>
      <c r="M5595" s="199"/>
      <c r="N5595" s="199"/>
    </row>
    <row r="5596">
      <c r="A5596" s="193" t="s">
        <v>24262</v>
      </c>
      <c r="B5596" s="7" t="s">
        <v>169</v>
      </c>
      <c r="C5596" s="7" t="s">
        <v>16945</v>
      </c>
      <c r="D5596" s="194">
        <v>2011.0</v>
      </c>
      <c r="E5596" s="193"/>
      <c r="F5596" s="195" t="s">
        <v>24263</v>
      </c>
      <c r="G5596" s="196">
        <v>2.61143436E8</v>
      </c>
      <c r="H5596" s="197">
        <v>1.1</v>
      </c>
      <c r="I5596" s="7" t="s">
        <v>16815</v>
      </c>
      <c r="J5596" s="7" t="s">
        <v>169</v>
      </c>
      <c r="K5596" s="7" t="s">
        <v>16945</v>
      </c>
      <c r="L5596" s="198" t="s">
        <v>65</v>
      </c>
      <c r="M5596" s="194"/>
      <c r="N5596" s="194"/>
    </row>
    <row r="5597">
      <c r="A5597" s="193" t="s">
        <v>24264</v>
      </c>
      <c r="B5597" s="7" t="s">
        <v>16838</v>
      </c>
      <c r="C5597" s="7" t="s">
        <v>17127</v>
      </c>
      <c r="D5597" s="194">
        <v>2017.0</v>
      </c>
      <c r="E5597" s="193"/>
      <c r="F5597" s="195" t="s">
        <v>24265</v>
      </c>
      <c r="G5597" s="196">
        <v>2.61104275E8</v>
      </c>
      <c r="H5597" s="197">
        <v>12.69</v>
      </c>
      <c r="I5597" s="7" t="s">
        <v>16815</v>
      </c>
      <c r="J5597" s="7" t="s">
        <v>16838</v>
      </c>
      <c r="K5597" s="7" t="s">
        <v>17127</v>
      </c>
      <c r="L5597" s="198" t="s">
        <v>65</v>
      </c>
      <c r="M5597" s="194"/>
      <c r="N5597" s="194"/>
    </row>
    <row r="5598">
      <c r="A5598" s="193" t="s">
        <v>24266</v>
      </c>
      <c r="B5598" s="7" t="s">
        <v>175</v>
      </c>
      <c r="C5598" s="7" t="s">
        <v>16854</v>
      </c>
      <c r="D5598" s="194">
        <v>2015.0</v>
      </c>
      <c r="E5598" s="193"/>
      <c r="F5598" s="195" t="s">
        <v>24267</v>
      </c>
      <c r="G5598" s="196">
        <v>2.6101588E8</v>
      </c>
      <c r="H5598" s="197">
        <v>2.92</v>
      </c>
      <c r="I5598" s="7" t="s">
        <v>17222</v>
      </c>
      <c r="J5598" s="7" t="s">
        <v>175</v>
      </c>
      <c r="K5598" s="7" t="s">
        <v>16854</v>
      </c>
      <c r="L5598" s="198" t="s">
        <v>65</v>
      </c>
      <c r="M5598" s="194"/>
      <c r="N5598" s="194"/>
    </row>
    <row r="5599">
      <c r="A5599" s="193" t="s">
        <v>24268</v>
      </c>
      <c r="B5599" s="7" t="s">
        <v>16582</v>
      </c>
      <c r="C5599" s="7" t="s">
        <v>16817</v>
      </c>
      <c r="D5599" s="199"/>
      <c r="E5599" s="193"/>
      <c r="F5599" s="195" t="s">
        <v>24269</v>
      </c>
      <c r="G5599" s="196">
        <v>2.60527479E8</v>
      </c>
      <c r="H5599" s="197">
        <v>18.69</v>
      </c>
      <c r="I5599" s="7" t="s">
        <v>16815</v>
      </c>
      <c r="J5599" s="7" t="s">
        <v>16582</v>
      </c>
      <c r="K5599" s="7" t="s">
        <v>16817</v>
      </c>
      <c r="L5599" s="198" t="s">
        <v>65</v>
      </c>
      <c r="M5599" s="199"/>
      <c r="N5599" s="199"/>
    </row>
    <row r="5600">
      <c r="A5600" s="193" t="s">
        <v>24270</v>
      </c>
      <c r="B5600" s="7" t="s">
        <v>17111</v>
      </c>
      <c r="C5600" s="7" t="s">
        <v>17112</v>
      </c>
      <c r="D5600" s="199"/>
      <c r="E5600" s="193"/>
      <c r="F5600" s="195" t="s">
        <v>24271</v>
      </c>
      <c r="G5600" s="200">
        <v>2.59697839E8</v>
      </c>
      <c r="H5600" s="197">
        <v>30.06</v>
      </c>
      <c r="I5600" s="7" t="s">
        <v>16815</v>
      </c>
      <c r="J5600" s="7" t="s">
        <v>17111</v>
      </c>
      <c r="K5600" s="7" t="s">
        <v>17112</v>
      </c>
      <c r="L5600" s="201" t="s">
        <v>16835</v>
      </c>
      <c r="M5600" s="199"/>
      <c r="N5600" s="199"/>
    </row>
    <row r="5601">
      <c r="A5601" s="193" t="s">
        <v>24270</v>
      </c>
      <c r="B5601" s="7" t="s">
        <v>17112</v>
      </c>
      <c r="C5601" s="7" t="s">
        <v>17111</v>
      </c>
      <c r="D5601" s="199"/>
      <c r="E5601" s="193"/>
      <c r="F5601" s="195" t="s">
        <v>24271</v>
      </c>
      <c r="G5601" s="196">
        <v>2.59697839E8</v>
      </c>
      <c r="H5601" s="197">
        <v>30.06</v>
      </c>
      <c r="I5601" s="7" t="s">
        <v>16815</v>
      </c>
      <c r="J5601" s="7" t="s">
        <v>17112</v>
      </c>
      <c r="K5601" s="7" t="s">
        <v>17111</v>
      </c>
      <c r="L5601" s="198" t="s">
        <v>65</v>
      </c>
      <c r="M5601" s="199"/>
      <c r="N5601" s="199"/>
    </row>
    <row r="5602">
      <c r="A5602" s="193" t="s">
        <v>24272</v>
      </c>
      <c r="B5602" s="7" t="s">
        <v>16919</v>
      </c>
      <c r="C5602" s="7" t="s">
        <v>17794</v>
      </c>
      <c r="D5602" s="194">
        <v>2016.0</v>
      </c>
      <c r="E5602" s="193"/>
      <c r="F5602" s="195" t="s">
        <v>24273</v>
      </c>
      <c r="G5602" s="196">
        <v>2.59349647E8</v>
      </c>
      <c r="H5602" s="197">
        <v>10.73</v>
      </c>
      <c r="I5602" s="7" t="s">
        <v>16815</v>
      </c>
      <c r="J5602" s="7" t="s">
        <v>16919</v>
      </c>
      <c r="K5602" s="7" t="s">
        <v>17794</v>
      </c>
      <c r="L5602" s="198" t="s">
        <v>65</v>
      </c>
      <c r="M5602" s="194"/>
      <c r="N5602" s="194"/>
    </row>
    <row r="5603">
      <c r="A5603" s="193" t="s">
        <v>24274</v>
      </c>
      <c r="B5603" s="7" t="s">
        <v>175</v>
      </c>
      <c r="C5603" s="7" t="s">
        <v>17057</v>
      </c>
      <c r="D5603" s="194">
        <v>2006.0</v>
      </c>
      <c r="E5603" s="193"/>
      <c r="F5603" s="195" t="s">
        <v>24275</v>
      </c>
      <c r="G5603" s="196">
        <v>2.59288592E8</v>
      </c>
      <c r="H5603" s="197">
        <v>19.0</v>
      </c>
      <c r="I5603" s="7" t="s">
        <v>16856</v>
      </c>
      <c r="J5603" s="7" t="s">
        <v>175</v>
      </c>
      <c r="K5603" s="7" t="s">
        <v>17057</v>
      </c>
      <c r="L5603" s="198" t="s">
        <v>65</v>
      </c>
      <c r="M5603" s="194"/>
      <c r="N5603" s="194"/>
    </row>
    <row r="5604">
      <c r="A5604" s="193" t="s">
        <v>24276</v>
      </c>
      <c r="B5604" s="7" t="s">
        <v>175</v>
      </c>
      <c r="C5604" s="7" t="s">
        <v>17480</v>
      </c>
      <c r="D5604" s="194">
        <v>2018.0</v>
      </c>
      <c r="E5604" s="193"/>
      <c r="F5604" s="195" t="s">
        <v>24277</v>
      </c>
      <c r="G5604" s="196">
        <v>2.58774185E8</v>
      </c>
      <c r="H5604" s="197">
        <v>16.71</v>
      </c>
      <c r="I5604" s="7" t="s">
        <v>168</v>
      </c>
      <c r="J5604" s="7" t="s">
        <v>175</v>
      </c>
      <c r="K5604" s="7" t="s">
        <v>17480</v>
      </c>
      <c r="L5604" s="198" t="s">
        <v>65</v>
      </c>
      <c r="M5604" s="194"/>
      <c r="N5604" s="194"/>
    </row>
    <row r="5605">
      <c r="A5605" s="193" t="s">
        <v>24278</v>
      </c>
      <c r="B5605" s="7" t="s">
        <v>169</v>
      </c>
      <c r="C5605" s="7" t="s">
        <v>16899</v>
      </c>
      <c r="D5605" s="199"/>
      <c r="E5605" s="193"/>
      <c r="F5605" s="195" t="s">
        <v>24279</v>
      </c>
      <c r="G5605" s="196">
        <v>2.57836503E8</v>
      </c>
      <c r="H5605" s="197">
        <v>0.5231</v>
      </c>
      <c r="I5605" s="7" t="s">
        <v>16815</v>
      </c>
      <c r="J5605" s="7" t="s">
        <v>169</v>
      </c>
      <c r="K5605" s="7" t="s">
        <v>16899</v>
      </c>
      <c r="L5605" s="198" t="s">
        <v>65</v>
      </c>
      <c r="M5605" s="199"/>
      <c r="N5605" s="199"/>
    </row>
    <row r="5606">
      <c r="A5606" s="193" t="s">
        <v>24278</v>
      </c>
      <c r="B5606" s="202" t="s">
        <v>16899</v>
      </c>
      <c r="C5606" s="193" t="s">
        <v>169</v>
      </c>
      <c r="D5606" s="206"/>
      <c r="E5606" s="193"/>
      <c r="F5606" s="203" t="s">
        <v>24279</v>
      </c>
      <c r="G5606" s="200">
        <v>2.57836503E8</v>
      </c>
      <c r="H5606" s="205">
        <v>5.77</v>
      </c>
      <c r="J5606" s="202" t="s">
        <v>16899</v>
      </c>
      <c r="K5606" s="193" t="s">
        <v>169</v>
      </c>
      <c r="L5606" s="193" t="s">
        <v>17471</v>
      </c>
      <c r="M5606" s="206"/>
      <c r="N5606" s="206"/>
    </row>
    <row r="5607">
      <c r="A5607" s="193" t="s">
        <v>24280</v>
      </c>
      <c r="B5607" s="7" t="s">
        <v>16910</v>
      </c>
      <c r="C5607" s="7" t="s">
        <v>17662</v>
      </c>
      <c r="D5607" s="199"/>
      <c r="E5607" s="193"/>
      <c r="F5607" s="195" t="s">
        <v>24281</v>
      </c>
      <c r="G5607" s="196">
        <v>2.5763778E8</v>
      </c>
      <c r="H5607" s="197">
        <v>14.33</v>
      </c>
      <c r="I5607" s="7" t="s">
        <v>24282</v>
      </c>
      <c r="J5607" s="7" t="s">
        <v>16910</v>
      </c>
      <c r="K5607" s="7" t="s">
        <v>17662</v>
      </c>
      <c r="L5607" s="198" t="s">
        <v>65</v>
      </c>
      <c r="M5607" s="199"/>
      <c r="N5607" s="199"/>
    </row>
    <row r="5608">
      <c r="A5608" s="193" t="s">
        <v>24283</v>
      </c>
      <c r="B5608" s="7" t="s">
        <v>16838</v>
      </c>
      <c r="C5608" s="7" t="s">
        <v>18219</v>
      </c>
      <c r="D5608" s="194">
        <v>2021.0</v>
      </c>
      <c r="E5608" s="193"/>
      <c r="F5608" s="195" t="s">
        <v>24284</v>
      </c>
      <c r="G5608" s="196">
        <v>2.575E8</v>
      </c>
      <c r="H5608" s="197">
        <v>10.3</v>
      </c>
      <c r="I5608" s="7" t="s">
        <v>16815</v>
      </c>
      <c r="J5608" s="7" t="s">
        <v>16838</v>
      </c>
      <c r="K5608" s="7" t="s">
        <v>18219</v>
      </c>
      <c r="L5608" s="198" t="s">
        <v>65</v>
      </c>
      <c r="M5608" s="194"/>
      <c r="N5608" s="194"/>
    </row>
    <row r="5609">
      <c r="A5609" s="193" t="s">
        <v>24285</v>
      </c>
      <c r="B5609" s="7" t="s">
        <v>16838</v>
      </c>
      <c r="C5609" s="7" t="s">
        <v>16867</v>
      </c>
      <c r="D5609" s="194">
        <v>2017.0</v>
      </c>
      <c r="E5609" s="193"/>
      <c r="F5609" s="195" t="s">
        <v>24286</v>
      </c>
      <c r="G5609" s="196">
        <v>2.57386356E8</v>
      </c>
      <c r="H5609" s="197">
        <v>13.55</v>
      </c>
      <c r="I5609" s="7" t="s">
        <v>16815</v>
      </c>
      <c r="J5609" s="7" t="s">
        <v>16838</v>
      </c>
      <c r="K5609" s="7" t="s">
        <v>16867</v>
      </c>
      <c r="L5609" s="198" t="s">
        <v>65</v>
      </c>
      <c r="M5609" s="194"/>
      <c r="N5609" s="194"/>
    </row>
    <row r="5610">
      <c r="A5610" s="193" t="s">
        <v>24287</v>
      </c>
      <c r="B5610" s="7" t="s">
        <v>169</v>
      </c>
      <c r="C5610" s="7" t="s">
        <v>18098</v>
      </c>
      <c r="D5610" s="199"/>
      <c r="E5610" s="193"/>
      <c r="F5610" s="195" t="s">
        <v>24288</v>
      </c>
      <c r="G5610" s="196">
        <v>2.57148268E8</v>
      </c>
      <c r="H5610" s="197">
        <v>2.18</v>
      </c>
      <c r="I5610" s="7" t="s">
        <v>16815</v>
      </c>
      <c r="J5610" s="7" t="s">
        <v>169</v>
      </c>
      <c r="K5610" s="7" t="s">
        <v>18098</v>
      </c>
      <c r="L5610" s="198" t="s">
        <v>65</v>
      </c>
      <c r="M5610" s="199"/>
      <c r="N5610" s="199"/>
    </row>
    <row r="5611">
      <c r="A5611" s="193" t="s">
        <v>24289</v>
      </c>
      <c r="B5611" s="7" t="s">
        <v>175</v>
      </c>
      <c r="C5611" s="7" t="s">
        <v>20534</v>
      </c>
      <c r="D5611" s="194">
        <v>2021.0</v>
      </c>
      <c r="E5611" s="193"/>
      <c r="F5611" s="195" t="s">
        <v>24290</v>
      </c>
      <c r="G5611" s="196">
        <v>2.56614151E8</v>
      </c>
      <c r="H5611" s="197">
        <v>2.07</v>
      </c>
      <c r="I5611" s="7" t="s">
        <v>16908</v>
      </c>
      <c r="J5611" s="7" t="s">
        <v>175</v>
      </c>
      <c r="K5611" s="7" t="s">
        <v>20534</v>
      </c>
      <c r="L5611" s="198" t="s">
        <v>65</v>
      </c>
      <c r="M5611" s="194"/>
      <c r="N5611" s="194"/>
    </row>
    <row r="5612">
      <c r="A5612" s="193" t="s">
        <v>24289</v>
      </c>
      <c r="B5612" s="7" t="s">
        <v>20534</v>
      </c>
      <c r="C5612" s="7" t="s">
        <v>175</v>
      </c>
      <c r="D5612" s="194">
        <v>2021.0</v>
      </c>
      <c r="E5612" s="193"/>
      <c r="F5612" s="195" t="s">
        <v>24290</v>
      </c>
      <c r="G5612" s="200">
        <v>2.56614151E8</v>
      </c>
      <c r="H5612" s="197">
        <v>2.07</v>
      </c>
      <c r="I5612" s="193" t="s">
        <v>16815</v>
      </c>
      <c r="J5612" s="7" t="s">
        <v>20534</v>
      </c>
      <c r="K5612" s="7" t="s">
        <v>175</v>
      </c>
      <c r="L5612" s="201" t="s">
        <v>16835</v>
      </c>
      <c r="M5612" s="194"/>
      <c r="N5612" s="194"/>
    </row>
    <row r="5613">
      <c r="A5613" s="193" t="s">
        <v>24291</v>
      </c>
      <c r="B5613" s="7" t="s">
        <v>175</v>
      </c>
      <c r="C5613" s="7" t="s">
        <v>19006</v>
      </c>
      <c r="D5613" s="199"/>
      <c r="E5613" s="193"/>
      <c r="F5613" s="195" t="s">
        <v>24292</v>
      </c>
      <c r="G5613" s="196">
        <v>2.56466056E8</v>
      </c>
      <c r="H5613" s="197">
        <v>18.67</v>
      </c>
      <c r="I5613" s="7" t="s">
        <v>16908</v>
      </c>
      <c r="J5613" s="7" t="s">
        <v>175</v>
      </c>
      <c r="K5613" s="7" t="s">
        <v>19006</v>
      </c>
      <c r="L5613" s="198" t="s">
        <v>65</v>
      </c>
      <c r="M5613" s="199"/>
      <c r="N5613" s="199"/>
    </row>
    <row r="5614">
      <c r="A5614" s="193" t="s">
        <v>24293</v>
      </c>
      <c r="B5614" s="7" t="s">
        <v>16838</v>
      </c>
      <c r="C5614" s="7" t="s">
        <v>19579</v>
      </c>
      <c r="D5614" s="199"/>
      <c r="E5614" s="193"/>
      <c r="F5614" s="195" t="s">
        <v>24294</v>
      </c>
      <c r="G5614" s="196">
        <v>2.56166117E8</v>
      </c>
      <c r="H5614" s="197">
        <v>22.0519</v>
      </c>
      <c r="I5614" s="7" t="s">
        <v>16815</v>
      </c>
      <c r="J5614" s="7" t="s">
        <v>16838</v>
      </c>
      <c r="K5614" s="7" t="s">
        <v>19579</v>
      </c>
      <c r="L5614" s="198" t="s">
        <v>65</v>
      </c>
      <c r="M5614" s="199"/>
      <c r="N5614" s="199"/>
    </row>
    <row r="5615">
      <c r="A5615" s="193" t="s">
        <v>24295</v>
      </c>
      <c r="B5615" s="7" t="s">
        <v>16838</v>
      </c>
      <c r="C5615" s="7" t="s">
        <v>16867</v>
      </c>
      <c r="D5615" s="199"/>
      <c r="E5615" s="193"/>
      <c r="F5615" s="195" t="s">
        <v>24296</v>
      </c>
      <c r="G5615" s="196">
        <v>2.56050198E8</v>
      </c>
      <c r="H5615" s="197">
        <v>13.99</v>
      </c>
      <c r="I5615" s="7" t="s">
        <v>16924</v>
      </c>
      <c r="J5615" s="7" t="s">
        <v>16838</v>
      </c>
      <c r="K5615" s="7" t="s">
        <v>16867</v>
      </c>
      <c r="L5615" s="198" t="s">
        <v>65</v>
      </c>
      <c r="M5615" s="199"/>
      <c r="N5615" s="199"/>
    </row>
    <row r="5616">
      <c r="A5616" s="193" t="s">
        <v>24297</v>
      </c>
      <c r="B5616" s="7" t="s">
        <v>16838</v>
      </c>
      <c r="C5616" s="7" t="s">
        <v>16867</v>
      </c>
      <c r="D5616" s="199"/>
      <c r="E5616" s="193"/>
      <c r="F5616" s="195" t="s">
        <v>24298</v>
      </c>
      <c r="G5616" s="196">
        <v>2.55964642E8</v>
      </c>
      <c r="H5616" s="197">
        <v>18.12</v>
      </c>
      <c r="I5616" s="7" t="s">
        <v>16815</v>
      </c>
      <c r="J5616" s="7" t="s">
        <v>16838</v>
      </c>
      <c r="K5616" s="7" t="s">
        <v>16867</v>
      </c>
      <c r="L5616" s="198" t="s">
        <v>65</v>
      </c>
      <c r="M5616" s="199"/>
      <c r="N5616" s="199"/>
    </row>
    <row r="5617">
      <c r="A5617" s="193" t="s">
        <v>24299</v>
      </c>
      <c r="B5617" s="7" t="s">
        <v>187</v>
      </c>
      <c r="C5617" s="7" t="s">
        <v>16846</v>
      </c>
      <c r="D5617" s="194">
        <v>2020.0</v>
      </c>
      <c r="E5617" s="193"/>
      <c r="F5617" s="195" t="s">
        <v>24300</v>
      </c>
      <c r="G5617" s="196">
        <v>2.55614857E8</v>
      </c>
      <c r="H5617" s="197">
        <v>5.27</v>
      </c>
      <c r="I5617" s="7" t="s">
        <v>16815</v>
      </c>
      <c r="J5617" s="7" t="s">
        <v>187</v>
      </c>
      <c r="K5617" s="7" t="s">
        <v>16846</v>
      </c>
      <c r="L5617" s="198" t="s">
        <v>65</v>
      </c>
      <c r="M5617" s="194"/>
      <c r="N5617" s="194"/>
    </row>
    <row r="5618">
      <c r="A5618" s="193" t="s">
        <v>24301</v>
      </c>
      <c r="B5618" s="7" t="s">
        <v>16885</v>
      </c>
      <c r="C5618" s="7" t="s">
        <v>17726</v>
      </c>
      <c r="D5618" s="194">
        <v>2021.0</v>
      </c>
      <c r="E5618" s="193"/>
      <c r="F5618" s="195" t="s">
        <v>24302</v>
      </c>
      <c r="G5618" s="196">
        <v>2.55429793E8</v>
      </c>
      <c r="H5618" s="197">
        <v>1.495</v>
      </c>
      <c r="I5618" s="7" t="s">
        <v>16826</v>
      </c>
      <c r="J5618" s="7" t="s">
        <v>16885</v>
      </c>
      <c r="K5618" s="7" t="s">
        <v>17726</v>
      </c>
      <c r="L5618" s="198" t="s">
        <v>65</v>
      </c>
      <c r="M5618" s="194"/>
      <c r="N5618" s="194"/>
    </row>
    <row r="5619">
      <c r="A5619" s="193" t="s">
        <v>24301</v>
      </c>
      <c r="B5619" s="202" t="s">
        <v>17726</v>
      </c>
      <c r="C5619" s="193" t="s">
        <v>16885</v>
      </c>
      <c r="D5619" s="193">
        <v>2021.0</v>
      </c>
      <c r="E5619" s="193"/>
      <c r="F5619" s="203" t="s">
        <v>24302</v>
      </c>
      <c r="G5619" s="200">
        <v>2.55429793E8</v>
      </c>
      <c r="H5619" s="205">
        <v>0.5231</v>
      </c>
      <c r="J5619" s="202" t="s">
        <v>17726</v>
      </c>
      <c r="K5619" s="193" t="s">
        <v>16885</v>
      </c>
      <c r="L5619" s="193" t="s">
        <v>17471</v>
      </c>
      <c r="M5619" s="193"/>
      <c r="N5619" s="193"/>
    </row>
    <row r="5620">
      <c r="A5620" s="193" t="s">
        <v>24303</v>
      </c>
      <c r="B5620" s="7" t="s">
        <v>16838</v>
      </c>
      <c r="C5620" s="7" t="s">
        <v>16867</v>
      </c>
      <c r="D5620" s="199"/>
      <c r="E5620" s="193"/>
      <c r="F5620" s="195" t="s">
        <v>24304</v>
      </c>
      <c r="G5620" s="196">
        <v>2.55400644E8</v>
      </c>
      <c r="H5620" s="197">
        <v>54.27</v>
      </c>
      <c r="I5620" s="7" t="s">
        <v>16815</v>
      </c>
      <c r="J5620" s="7" t="s">
        <v>16838</v>
      </c>
      <c r="K5620" s="7" t="s">
        <v>16867</v>
      </c>
      <c r="L5620" s="198" t="s">
        <v>65</v>
      </c>
      <c r="M5620" s="199"/>
      <c r="N5620" s="199"/>
    </row>
    <row r="5621">
      <c r="A5621" s="193" t="s">
        <v>24305</v>
      </c>
      <c r="B5621" s="7" t="s">
        <v>19579</v>
      </c>
      <c r="C5621" s="7" t="s">
        <v>16838</v>
      </c>
      <c r="D5621" s="194">
        <v>1987.0</v>
      </c>
      <c r="E5621" s="193"/>
      <c r="F5621" s="195" t="s">
        <v>24306</v>
      </c>
      <c r="G5621" s="200">
        <v>2.54866745E8</v>
      </c>
      <c r="H5621" s="197">
        <v>4.28</v>
      </c>
      <c r="I5621" s="193" t="s">
        <v>16815</v>
      </c>
      <c r="J5621" s="7" t="s">
        <v>19579</v>
      </c>
      <c r="K5621" s="7" t="s">
        <v>16838</v>
      </c>
      <c r="L5621" s="201" t="s">
        <v>16835</v>
      </c>
      <c r="M5621" s="194"/>
      <c r="N5621" s="194"/>
    </row>
    <row r="5622">
      <c r="A5622" s="193" t="s">
        <v>24305</v>
      </c>
      <c r="B5622" s="7" t="s">
        <v>16838</v>
      </c>
      <c r="C5622" s="7" t="s">
        <v>19579</v>
      </c>
      <c r="D5622" s="194">
        <v>1987.0</v>
      </c>
      <c r="E5622" s="193"/>
      <c r="F5622" s="195" t="s">
        <v>24306</v>
      </c>
      <c r="G5622" s="196">
        <v>2.54866745E8</v>
      </c>
      <c r="H5622" s="197">
        <v>4.28</v>
      </c>
      <c r="I5622" s="7" t="s">
        <v>16815</v>
      </c>
      <c r="J5622" s="7" t="s">
        <v>16838</v>
      </c>
      <c r="K5622" s="7" t="s">
        <v>19579</v>
      </c>
      <c r="L5622" s="198" t="s">
        <v>65</v>
      </c>
      <c r="M5622" s="194"/>
      <c r="N5622" s="194"/>
    </row>
    <row r="5623">
      <c r="A5623" s="193" t="s">
        <v>24307</v>
      </c>
      <c r="B5623" s="7" t="s">
        <v>175</v>
      </c>
      <c r="C5623" s="7" t="s">
        <v>16824</v>
      </c>
      <c r="D5623" s="194">
        <v>2019.0</v>
      </c>
      <c r="E5623" s="193"/>
      <c r="F5623" s="195" t="s">
        <v>24308</v>
      </c>
      <c r="G5623" s="196">
        <v>2.54559188E8</v>
      </c>
      <c r="H5623" s="197">
        <v>2.53</v>
      </c>
      <c r="I5623" s="7" t="s">
        <v>168</v>
      </c>
      <c r="J5623" s="7" t="s">
        <v>175</v>
      </c>
      <c r="K5623" s="7" t="s">
        <v>16824</v>
      </c>
      <c r="L5623" s="198" t="s">
        <v>65</v>
      </c>
      <c r="M5623" s="194"/>
      <c r="N5623" s="194"/>
    </row>
    <row r="5624">
      <c r="A5624" s="193" t="s">
        <v>24307</v>
      </c>
      <c r="B5624" s="7" t="s">
        <v>16824</v>
      </c>
      <c r="C5624" s="7" t="s">
        <v>175</v>
      </c>
      <c r="D5624" s="194">
        <v>2019.0</v>
      </c>
      <c r="E5624" s="193"/>
      <c r="F5624" s="195" t="s">
        <v>24308</v>
      </c>
      <c r="G5624" s="200">
        <v>2.54559188E8</v>
      </c>
      <c r="H5624" s="197">
        <v>2.53</v>
      </c>
      <c r="I5624" s="7" t="s">
        <v>16815</v>
      </c>
      <c r="J5624" s="7" t="s">
        <v>16824</v>
      </c>
      <c r="K5624" s="7" t="s">
        <v>175</v>
      </c>
      <c r="L5624" s="201" t="s">
        <v>16835</v>
      </c>
      <c r="M5624" s="194"/>
      <c r="N5624" s="194"/>
    </row>
    <row r="5625">
      <c r="A5625" s="193" t="s">
        <v>24309</v>
      </c>
      <c r="B5625" s="7" t="s">
        <v>16945</v>
      </c>
      <c r="C5625" s="7" t="s">
        <v>169</v>
      </c>
      <c r="D5625" s="199"/>
      <c r="E5625" s="193"/>
      <c r="F5625" s="195" t="s">
        <v>24310</v>
      </c>
      <c r="G5625" s="200">
        <v>2.54264442E8</v>
      </c>
      <c r="H5625" s="197">
        <v>5.81</v>
      </c>
      <c r="I5625" s="7" t="s">
        <v>16815</v>
      </c>
      <c r="J5625" s="7" t="s">
        <v>16945</v>
      </c>
      <c r="K5625" s="7" t="s">
        <v>169</v>
      </c>
      <c r="L5625" s="201" t="s">
        <v>16835</v>
      </c>
      <c r="M5625" s="199"/>
      <c r="N5625" s="199"/>
    </row>
    <row r="5626">
      <c r="A5626" s="193" t="s">
        <v>24309</v>
      </c>
      <c r="B5626" s="7" t="s">
        <v>169</v>
      </c>
      <c r="C5626" s="7" t="s">
        <v>16945</v>
      </c>
      <c r="D5626" s="199"/>
      <c r="E5626" s="193"/>
      <c r="F5626" s="195" t="s">
        <v>24311</v>
      </c>
      <c r="G5626" s="196">
        <v>2.54264442E8</v>
      </c>
      <c r="H5626" s="197">
        <v>5.81</v>
      </c>
      <c r="I5626" s="7" t="s">
        <v>16815</v>
      </c>
      <c r="J5626" s="7" t="s">
        <v>169</v>
      </c>
      <c r="K5626" s="7" t="s">
        <v>16945</v>
      </c>
      <c r="L5626" s="198" t="s">
        <v>65</v>
      </c>
      <c r="M5626" s="199"/>
      <c r="N5626" s="199"/>
    </row>
    <row r="5627">
      <c r="A5627" s="193" t="s">
        <v>24312</v>
      </c>
      <c r="B5627" s="7" t="s">
        <v>17202</v>
      </c>
      <c r="C5627" s="7" t="s">
        <v>16838</v>
      </c>
      <c r="D5627" s="194">
        <v>2017.0</v>
      </c>
      <c r="E5627" s="193"/>
      <c r="F5627" s="195" t="s">
        <v>24313</v>
      </c>
      <c r="G5627" s="200">
        <v>2.53954689E8</v>
      </c>
      <c r="H5627" s="197">
        <v>7.16</v>
      </c>
      <c r="I5627" s="7" t="s">
        <v>16815</v>
      </c>
      <c r="J5627" s="7" t="s">
        <v>17202</v>
      </c>
      <c r="K5627" s="7" t="s">
        <v>16838</v>
      </c>
      <c r="L5627" s="201" t="s">
        <v>16835</v>
      </c>
      <c r="M5627" s="194"/>
      <c r="N5627" s="194"/>
    </row>
    <row r="5628">
      <c r="A5628" s="193" t="s">
        <v>24312</v>
      </c>
      <c r="B5628" s="7" t="s">
        <v>16838</v>
      </c>
      <c r="C5628" s="7" t="s">
        <v>17202</v>
      </c>
      <c r="D5628" s="194">
        <v>2017.0</v>
      </c>
      <c r="E5628" s="193"/>
      <c r="F5628" s="195" t="s">
        <v>24313</v>
      </c>
      <c r="G5628" s="196">
        <v>2.53954689E8</v>
      </c>
      <c r="H5628" s="197">
        <v>7.16</v>
      </c>
      <c r="I5628" s="7" t="s">
        <v>16815</v>
      </c>
      <c r="J5628" s="7" t="s">
        <v>16838</v>
      </c>
      <c r="K5628" s="7" t="s">
        <v>17202</v>
      </c>
      <c r="L5628" s="198" t="s">
        <v>65</v>
      </c>
      <c r="M5628" s="194"/>
      <c r="N5628" s="194"/>
    </row>
    <row r="5629">
      <c r="A5629" s="193" t="s">
        <v>24314</v>
      </c>
      <c r="D5629" s="194">
        <v>2023.0</v>
      </c>
      <c r="E5629" s="193"/>
      <c r="F5629" s="195" t="s">
        <v>24315</v>
      </c>
      <c r="G5629" s="196">
        <v>2.5387684E8</v>
      </c>
      <c r="H5629" s="197">
        <v>4.9</v>
      </c>
      <c r="I5629" s="7" t="s">
        <v>16815</v>
      </c>
      <c r="L5629" s="198" t="s">
        <v>65</v>
      </c>
      <c r="M5629" s="194"/>
      <c r="N5629" s="194"/>
    </row>
    <row r="5630">
      <c r="A5630" s="193" t="s">
        <v>24316</v>
      </c>
      <c r="B5630" s="7" t="s">
        <v>16582</v>
      </c>
      <c r="C5630" s="7" t="s">
        <v>16817</v>
      </c>
      <c r="D5630" s="194">
        <v>2017.0</v>
      </c>
      <c r="E5630" s="193"/>
      <c r="F5630" s="195" t="s">
        <v>24317</v>
      </c>
      <c r="G5630" s="196">
        <v>2.53758639E8</v>
      </c>
      <c r="H5630" s="197">
        <v>20.75</v>
      </c>
      <c r="I5630" s="7" t="s">
        <v>16815</v>
      </c>
      <c r="J5630" s="7" t="s">
        <v>16582</v>
      </c>
      <c r="K5630" s="7" t="s">
        <v>16817</v>
      </c>
      <c r="L5630" s="198" t="s">
        <v>65</v>
      </c>
      <c r="M5630" s="194"/>
      <c r="N5630" s="194"/>
    </row>
    <row r="5631">
      <c r="A5631" s="193" t="s">
        <v>24318</v>
      </c>
      <c r="B5631" s="7" t="s">
        <v>16838</v>
      </c>
      <c r="C5631" s="7" t="s">
        <v>16867</v>
      </c>
      <c r="D5631" s="199"/>
      <c r="E5631" s="193"/>
      <c r="F5631" s="195" t="s">
        <v>24319</v>
      </c>
      <c r="G5631" s="196">
        <v>2.53152611E8</v>
      </c>
      <c r="H5631" s="197">
        <v>25.17</v>
      </c>
      <c r="I5631" s="7" t="s">
        <v>16815</v>
      </c>
      <c r="J5631" s="7" t="s">
        <v>16838</v>
      </c>
      <c r="K5631" s="7" t="s">
        <v>16867</v>
      </c>
      <c r="L5631" s="198" t="s">
        <v>65</v>
      </c>
      <c r="M5631" s="199"/>
      <c r="N5631" s="199"/>
    </row>
    <row r="5632">
      <c r="A5632" s="193" t="s">
        <v>24320</v>
      </c>
      <c r="B5632" s="7" t="s">
        <v>16582</v>
      </c>
      <c r="C5632" s="7" t="s">
        <v>16817</v>
      </c>
      <c r="D5632" s="194">
        <v>2019.0</v>
      </c>
      <c r="E5632" s="193"/>
      <c r="F5632" s="195" t="s">
        <v>24321</v>
      </c>
      <c r="G5632" s="196">
        <v>2.53068239E8</v>
      </c>
      <c r="H5632" s="197">
        <v>1.365</v>
      </c>
      <c r="I5632" s="7" t="s">
        <v>16815</v>
      </c>
      <c r="J5632" s="7" t="s">
        <v>16582</v>
      </c>
      <c r="K5632" s="7" t="s">
        <v>16817</v>
      </c>
      <c r="L5632" s="198" t="s">
        <v>65</v>
      </c>
      <c r="M5632" s="194"/>
      <c r="N5632" s="194"/>
    </row>
    <row r="5633">
      <c r="A5633" s="193" t="s">
        <v>24322</v>
      </c>
      <c r="B5633" s="7" t="s">
        <v>16582</v>
      </c>
      <c r="C5633" s="7" t="s">
        <v>16899</v>
      </c>
      <c r="D5633" s="194">
        <v>2019.0</v>
      </c>
      <c r="E5633" s="193"/>
      <c r="F5633" s="195" t="s">
        <v>24323</v>
      </c>
      <c r="G5633" s="196">
        <v>2.52641035E8</v>
      </c>
      <c r="H5633" s="197">
        <v>0.782</v>
      </c>
      <c r="I5633" s="7" t="s">
        <v>16815</v>
      </c>
      <c r="J5633" s="7" t="s">
        <v>16582</v>
      </c>
      <c r="K5633" s="7" t="s">
        <v>16899</v>
      </c>
      <c r="L5633" s="198" t="s">
        <v>65</v>
      </c>
      <c r="M5633" s="194"/>
      <c r="N5633" s="194"/>
    </row>
    <row r="5634">
      <c r="A5634" s="193" t="s">
        <v>24322</v>
      </c>
      <c r="B5634" s="7" t="s">
        <v>16899</v>
      </c>
      <c r="C5634" s="7" t="s">
        <v>16582</v>
      </c>
      <c r="D5634" s="194">
        <v>2019.0</v>
      </c>
      <c r="E5634" s="193"/>
      <c r="F5634" s="195" t="s">
        <v>24323</v>
      </c>
      <c r="G5634" s="200">
        <v>2.52641035E8</v>
      </c>
      <c r="H5634" s="197">
        <v>0.782</v>
      </c>
      <c r="I5634" s="7" t="s">
        <v>16815</v>
      </c>
      <c r="J5634" s="7" t="s">
        <v>16899</v>
      </c>
      <c r="K5634" s="7" t="s">
        <v>16582</v>
      </c>
      <c r="L5634" s="201" t="s">
        <v>16835</v>
      </c>
      <c r="M5634" s="194"/>
      <c r="N5634" s="194"/>
    </row>
    <row r="5635">
      <c r="A5635" s="193" t="s">
        <v>24324</v>
      </c>
      <c r="B5635" s="7" t="s">
        <v>187</v>
      </c>
      <c r="C5635" s="7" t="s">
        <v>16846</v>
      </c>
      <c r="D5635" s="199"/>
      <c r="E5635" s="193"/>
      <c r="F5635" s="195" t="s">
        <v>24325</v>
      </c>
      <c r="G5635" s="196">
        <v>2.52616898E8</v>
      </c>
      <c r="H5635" s="197">
        <v>21.99</v>
      </c>
      <c r="I5635" s="7" t="s">
        <v>16815</v>
      </c>
      <c r="J5635" s="7" t="s">
        <v>187</v>
      </c>
      <c r="K5635" s="7" t="s">
        <v>16846</v>
      </c>
      <c r="L5635" s="198" t="s">
        <v>65</v>
      </c>
      <c r="M5635" s="199"/>
      <c r="N5635" s="199"/>
    </row>
    <row r="5636">
      <c r="A5636" s="193" t="s">
        <v>24326</v>
      </c>
      <c r="B5636" s="7" t="s">
        <v>169</v>
      </c>
      <c r="C5636" s="7" t="s">
        <v>18732</v>
      </c>
      <c r="D5636" s="194">
        <v>2021.0</v>
      </c>
      <c r="E5636" s="193"/>
      <c r="F5636" s="195" t="s">
        <v>24327</v>
      </c>
      <c r="G5636" s="196">
        <v>2.52463079E8</v>
      </c>
      <c r="H5636" s="197">
        <v>2.2</v>
      </c>
      <c r="I5636" s="7" t="s">
        <v>16815</v>
      </c>
      <c r="J5636" s="7" t="s">
        <v>169</v>
      </c>
      <c r="K5636" s="7" t="s">
        <v>18732</v>
      </c>
      <c r="L5636" s="198" t="s">
        <v>65</v>
      </c>
      <c r="M5636" s="194"/>
      <c r="N5636" s="194"/>
    </row>
    <row r="5637">
      <c r="A5637" s="193" t="s">
        <v>24328</v>
      </c>
      <c r="B5637" s="7" t="s">
        <v>158</v>
      </c>
      <c r="C5637" s="7" t="s">
        <v>17171</v>
      </c>
      <c r="D5637" s="194">
        <v>2017.0</v>
      </c>
      <c r="E5637" s="193"/>
      <c r="F5637" s="195" t="s">
        <v>24329</v>
      </c>
      <c r="G5637" s="196">
        <v>2.52183325E8</v>
      </c>
      <c r="H5637" s="197">
        <v>10.33</v>
      </c>
      <c r="I5637" s="7" t="s">
        <v>17316</v>
      </c>
      <c r="J5637" s="7" t="s">
        <v>158</v>
      </c>
      <c r="K5637" s="7" t="s">
        <v>17171</v>
      </c>
      <c r="L5637" s="198" t="s">
        <v>65</v>
      </c>
      <c r="M5637" s="194"/>
      <c r="N5637" s="194"/>
    </row>
    <row r="5638">
      <c r="A5638" s="193" t="s">
        <v>24328</v>
      </c>
      <c r="B5638" s="7" t="s">
        <v>17171</v>
      </c>
      <c r="C5638" s="7" t="s">
        <v>158</v>
      </c>
      <c r="D5638" s="194">
        <v>2017.0</v>
      </c>
      <c r="E5638" s="193"/>
      <c r="F5638" s="195" t="s">
        <v>24329</v>
      </c>
      <c r="G5638" s="200">
        <v>2.52183325E8</v>
      </c>
      <c r="H5638" s="197">
        <v>10.33</v>
      </c>
      <c r="I5638" s="7" t="s">
        <v>16815</v>
      </c>
      <c r="J5638" s="7" t="s">
        <v>17171</v>
      </c>
      <c r="K5638" s="7" t="s">
        <v>158</v>
      </c>
      <c r="L5638" s="201" t="s">
        <v>16835</v>
      </c>
      <c r="M5638" s="194"/>
      <c r="N5638" s="194"/>
    </row>
    <row r="5639">
      <c r="A5639" s="193" t="s">
        <v>24330</v>
      </c>
      <c r="B5639" s="7" t="s">
        <v>16885</v>
      </c>
      <c r="C5639" s="7" t="s">
        <v>17726</v>
      </c>
      <c r="D5639" s="194">
        <v>2022.0</v>
      </c>
      <c r="E5639" s="193"/>
      <c r="F5639" s="195" t="s">
        <v>24331</v>
      </c>
      <c r="G5639" s="196">
        <v>2.52029652E8</v>
      </c>
      <c r="H5639" s="197">
        <v>3.0</v>
      </c>
      <c r="I5639" s="7" t="s">
        <v>16826</v>
      </c>
      <c r="J5639" s="7" t="s">
        <v>16885</v>
      </c>
      <c r="K5639" s="7" t="s">
        <v>17726</v>
      </c>
      <c r="L5639" s="198" t="s">
        <v>65</v>
      </c>
      <c r="M5639" s="194"/>
      <c r="N5639" s="194"/>
    </row>
    <row r="5640">
      <c r="A5640" s="193" t="s">
        <v>24330</v>
      </c>
      <c r="B5640" s="7" t="s">
        <v>17726</v>
      </c>
      <c r="C5640" s="7" t="s">
        <v>16885</v>
      </c>
      <c r="D5640" s="194">
        <v>2022.0</v>
      </c>
      <c r="E5640" s="193"/>
      <c r="F5640" s="195" t="s">
        <v>24331</v>
      </c>
      <c r="G5640" s="200">
        <v>2.52029652E8</v>
      </c>
      <c r="H5640" s="197">
        <v>3.0</v>
      </c>
      <c r="I5640" s="7" t="s">
        <v>16815</v>
      </c>
      <c r="J5640" s="7" t="s">
        <v>17726</v>
      </c>
      <c r="K5640" s="7" t="s">
        <v>16885</v>
      </c>
      <c r="L5640" s="201" t="s">
        <v>16835</v>
      </c>
      <c r="M5640" s="194"/>
      <c r="N5640" s="194"/>
    </row>
    <row r="5641">
      <c r="A5641" s="193" t="s">
        <v>24332</v>
      </c>
      <c r="B5641" s="7" t="s">
        <v>175</v>
      </c>
      <c r="C5641" s="7" t="s">
        <v>17350</v>
      </c>
      <c r="D5641" s="199"/>
      <c r="E5641" s="193"/>
      <c r="F5641" s="195" t="s">
        <v>24333</v>
      </c>
      <c r="G5641" s="196">
        <v>2.519515E8</v>
      </c>
      <c r="H5641" s="197">
        <v>1.85</v>
      </c>
      <c r="I5641" s="7" t="s">
        <v>18320</v>
      </c>
      <c r="J5641" s="7" t="s">
        <v>175</v>
      </c>
      <c r="K5641" s="7" t="s">
        <v>17350</v>
      </c>
      <c r="L5641" s="198" t="s">
        <v>65</v>
      </c>
      <c r="M5641" s="199"/>
      <c r="N5641" s="199"/>
    </row>
    <row r="5642">
      <c r="A5642" s="193" t="s">
        <v>24334</v>
      </c>
      <c r="B5642" s="7" t="s">
        <v>16582</v>
      </c>
      <c r="C5642" s="7" t="s">
        <v>16930</v>
      </c>
      <c r="D5642" s="194">
        <v>2021.0</v>
      </c>
      <c r="E5642" s="193"/>
      <c r="F5642" s="195" t="s">
        <v>24335</v>
      </c>
      <c r="G5642" s="196">
        <v>2.51702016E8</v>
      </c>
      <c r="H5642" s="197">
        <v>1.78</v>
      </c>
      <c r="I5642" s="7" t="s">
        <v>16815</v>
      </c>
      <c r="J5642" s="7" t="s">
        <v>16582</v>
      </c>
      <c r="K5642" s="7" t="s">
        <v>16930</v>
      </c>
      <c r="L5642" s="198" t="s">
        <v>65</v>
      </c>
      <c r="M5642" s="194"/>
      <c r="N5642" s="194"/>
    </row>
    <row r="5643">
      <c r="A5643" s="193" t="s">
        <v>24336</v>
      </c>
      <c r="B5643" s="7" t="s">
        <v>175</v>
      </c>
      <c r="C5643" s="7" t="s">
        <v>16899</v>
      </c>
      <c r="D5643" s="194">
        <v>1998.0</v>
      </c>
      <c r="E5643" s="193"/>
      <c r="F5643" s="195" t="s">
        <v>24337</v>
      </c>
      <c r="G5643" s="196">
        <v>2.51693193E8</v>
      </c>
      <c r="H5643" s="197">
        <v>20.44</v>
      </c>
      <c r="I5643" s="7" t="s">
        <v>16908</v>
      </c>
      <c r="J5643" s="7" t="s">
        <v>175</v>
      </c>
      <c r="K5643" s="7" t="s">
        <v>16899</v>
      </c>
      <c r="L5643" s="198" t="s">
        <v>65</v>
      </c>
      <c r="M5643" s="194"/>
      <c r="N5643" s="194"/>
    </row>
    <row r="5644">
      <c r="A5644" s="193" t="s">
        <v>24336</v>
      </c>
      <c r="B5644" s="202" t="s">
        <v>16899</v>
      </c>
      <c r="C5644" s="193" t="s">
        <v>175</v>
      </c>
      <c r="D5644" s="193">
        <v>1998.0</v>
      </c>
      <c r="E5644" s="193"/>
      <c r="F5644" s="203" t="s">
        <v>24337</v>
      </c>
      <c r="G5644" s="200">
        <v>2.51693193E8</v>
      </c>
      <c r="H5644" s="205">
        <v>1.495</v>
      </c>
      <c r="J5644" s="202" t="s">
        <v>16899</v>
      </c>
      <c r="K5644" s="193" t="s">
        <v>175</v>
      </c>
      <c r="L5644" s="193" t="s">
        <v>17471</v>
      </c>
      <c r="M5644" s="193"/>
      <c r="N5644" s="193"/>
    </row>
    <row r="5645">
      <c r="A5645" s="193" t="s">
        <v>24338</v>
      </c>
      <c r="B5645" s="7" t="s">
        <v>187</v>
      </c>
      <c r="C5645" s="7" t="s">
        <v>16969</v>
      </c>
      <c r="D5645" s="194">
        <v>2016.0</v>
      </c>
      <c r="E5645" s="193"/>
      <c r="F5645" s="195" t="s">
        <v>24339</v>
      </c>
      <c r="G5645" s="196">
        <v>2.51658835E8</v>
      </c>
      <c r="H5645" s="197">
        <v>10.71</v>
      </c>
      <c r="I5645" s="7" t="s">
        <v>16815</v>
      </c>
      <c r="J5645" s="7" t="s">
        <v>187</v>
      </c>
      <c r="K5645" s="7" t="s">
        <v>16969</v>
      </c>
      <c r="L5645" s="198" t="s">
        <v>65</v>
      </c>
      <c r="M5645" s="194"/>
      <c r="N5645" s="194"/>
    </row>
    <row r="5646">
      <c r="A5646" s="193" t="s">
        <v>24340</v>
      </c>
      <c r="B5646" s="7" t="s">
        <v>16838</v>
      </c>
      <c r="C5646" s="7" t="s">
        <v>16867</v>
      </c>
      <c r="D5646" s="194">
        <v>1999.0</v>
      </c>
      <c r="E5646" s="193"/>
      <c r="F5646" s="195" t="s">
        <v>24341</v>
      </c>
      <c r="G5646" s="196">
        <v>2.5091096E8</v>
      </c>
      <c r="H5646" s="197">
        <v>16.29</v>
      </c>
      <c r="I5646" s="7" t="s">
        <v>16815</v>
      </c>
      <c r="J5646" s="7" t="s">
        <v>16838</v>
      </c>
      <c r="K5646" s="7" t="s">
        <v>16867</v>
      </c>
      <c r="L5646" s="198" t="s">
        <v>65</v>
      </c>
      <c r="M5646" s="194"/>
      <c r="N5646" s="194"/>
    </row>
    <row r="5647">
      <c r="A5647" s="193" t="s">
        <v>24342</v>
      </c>
      <c r="B5647" s="7" t="s">
        <v>187</v>
      </c>
      <c r="C5647" s="7" t="s">
        <v>16846</v>
      </c>
      <c r="D5647" s="199"/>
      <c r="E5647" s="193"/>
      <c r="F5647" s="195" t="s">
        <v>24343</v>
      </c>
      <c r="G5647" s="196">
        <v>2.50434214E8</v>
      </c>
      <c r="H5647" s="197">
        <v>21.8</v>
      </c>
      <c r="I5647" s="7" t="s">
        <v>16815</v>
      </c>
      <c r="J5647" s="7" t="s">
        <v>187</v>
      </c>
      <c r="K5647" s="7" t="s">
        <v>16846</v>
      </c>
      <c r="L5647" s="198" t="s">
        <v>65</v>
      </c>
      <c r="M5647" s="199"/>
      <c r="N5647" s="199"/>
    </row>
    <row r="5648">
      <c r="A5648" s="193" t="s">
        <v>24344</v>
      </c>
      <c r="D5648" s="199"/>
      <c r="E5648" s="193"/>
      <c r="F5648" s="195" t="s">
        <v>24345</v>
      </c>
      <c r="G5648" s="196">
        <v>2.50022772E8</v>
      </c>
      <c r="H5648" s="197">
        <v>67.95</v>
      </c>
      <c r="I5648" s="7" t="s">
        <v>16815</v>
      </c>
      <c r="L5648" s="198" t="s">
        <v>65</v>
      </c>
      <c r="M5648" s="199"/>
      <c r="N5648" s="199"/>
    </row>
    <row r="5649">
      <c r="A5649" s="193" t="s">
        <v>24344</v>
      </c>
      <c r="B5649" s="208"/>
      <c r="C5649" s="206"/>
      <c r="D5649" s="206"/>
      <c r="E5649" s="193"/>
      <c r="F5649" s="203" t="s">
        <v>24345</v>
      </c>
      <c r="G5649" s="200">
        <v>2.50022772E8</v>
      </c>
      <c r="H5649" s="205">
        <v>20.44</v>
      </c>
      <c r="J5649" s="208"/>
      <c r="K5649" s="206"/>
      <c r="L5649" s="193" t="s">
        <v>17471</v>
      </c>
      <c r="M5649" s="206"/>
      <c r="N5649" s="206"/>
    </row>
    <row r="5650">
      <c r="A5650" s="193" t="s">
        <v>24346</v>
      </c>
      <c r="B5650" s="7" t="s">
        <v>16582</v>
      </c>
      <c r="C5650" s="7" t="s">
        <v>16817</v>
      </c>
      <c r="D5650" s="194">
        <v>2022.0</v>
      </c>
      <c r="E5650" s="193"/>
      <c r="F5650" s="195" t="s">
        <v>24347</v>
      </c>
      <c r="G5650" s="196">
        <v>2.496408E8</v>
      </c>
      <c r="H5650" s="197">
        <v>2.46</v>
      </c>
      <c r="I5650" s="7" t="s">
        <v>16815</v>
      </c>
      <c r="J5650" s="7" t="s">
        <v>16582</v>
      </c>
      <c r="K5650" s="7" t="s">
        <v>16817</v>
      </c>
      <c r="L5650" s="198" t="s">
        <v>65</v>
      </c>
      <c r="M5650" s="194"/>
      <c r="N5650" s="194"/>
    </row>
    <row r="5651">
      <c r="A5651" s="193" t="s">
        <v>24346</v>
      </c>
      <c r="B5651" s="7" t="s">
        <v>16817</v>
      </c>
      <c r="C5651" s="7" t="s">
        <v>16582</v>
      </c>
      <c r="D5651" s="194">
        <v>2022.0</v>
      </c>
      <c r="E5651" s="193"/>
      <c r="F5651" s="195" t="s">
        <v>24347</v>
      </c>
      <c r="G5651" s="200">
        <v>2.496408E8</v>
      </c>
      <c r="H5651" s="197">
        <v>2.46</v>
      </c>
      <c r="I5651" s="7" t="s">
        <v>16815</v>
      </c>
      <c r="J5651" s="7" t="s">
        <v>16817</v>
      </c>
      <c r="K5651" s="7" t="s">
        <v>16582</v>
      </c>
      <c r="L5651" s="201" t="s">
        <v>16835</v>
      </c>
      <c r="M5651" s="194"/>
      <c r="N5651" s="194"/>
    </row>
    <row r="5652">
      <c r="A5652" s="193" t="s">
        <v>24348</v>
      </c>
      <c r="B5652" s="7" t="s">
        <v>16838</v>
      </c>
      <c r="C5652" s="7" t="s">
        <v>18219</v>
      </c>
      <c r="D5652" s="199"/>
      <c r="E5652" s="193"/>
      <c r="F5652" s="195" t="s">
        <v>24349</v>
      </c>
      <c r="G5652" s="196">
        <v>2.49372973E8</v>
      </c>
      <c r="H5652" s="197">
        <v>5.6</v>
      </c>
      <c r="I5652" s="7" t="s">
        <v>16815</v>
      </c>
      <c r="J5652" s="7" t="s">
        <v>16838</v>
      </c>
      <c r="K5652" s="7" t="s">
        <v>18219</v>
      </c>
      <c r="L5652" s="198" t="s">
        <v>65</v>
      </c>
      <c r="M5652" s="199"/>
      <c r="N5652" s="199"/>
    </row>
    <row r="5653">
      <c r="A5653" s="193" t="s">
        <v>24350</v>
      </c>
      <c r="B5653" s="7" t="s">
        <v>175</v>
      </c>
      <c r="C5653" s="7" t="s">
        <v>16824</v>
      </c>
      <c r="D5653" s="199"/>
      <c r="E5653" s="193"/>
      <c r="F5653" s="195" t="s">
        <v>24351</v>
      </c>
      <c r="G5653" s="196">
        <v>2.4909753E8</v>
      </c>
      <c r="H5653" s="197">
        <v>0.6397</v>
      </c>
      <c r="I5653" s="7" t="s">
        <v>17872</v>
      </c>
      <c r="J5653" s="7" t="s">
        <v>175</v>
      </c>
      <c r="K5653" s="7" t="s">
        <v>16824</v>
      </c>
      <c r="L5653" s="198" t="s">
        <v>65</v>
      </c>
      <c r="M5653" s="199"/>
      <c r="N5653" s="199"/>
    </row>
    <row r="5654">
      <c r="A5654" s="193" t="s">
        <v>24352</v>
      </c>
      <c r="B5654" s="7" t="s">
        <v>17726</v>
      </c>
      <c r="C5654" s="7" t="s">
        <v>169</v>
      </c>
      <c r="D5654" s="199"/>
      <c r="E5654" s="193"/>
      <c r="F5654" s="195" t="s">
        <v>24353</v>
      </c>
      <c r="G5654" s="200">
        <v>2.48839775E8</v>
      </c>
      <c r="H5654" s="197">
        <v>12.9</v>
      </c>
      <c r="I5654" s="7" t="s">
        <v>16815</v>
      </c>
      <c r="J5654" s="7" t="s">
        <v>17726</v>
      </c>
      <c r="K5654" s="7" t="s">
        <v>169</v>
      </c>
      <c r="L5654" s="201" t="s">
        <v>16835</v>
      </c>
      <c r="M5654" s="199"/>
      <c r="N5654" s="199"/>
    </row>
    <row r="5655">
      <c r="A5655" s="193" t="s">
        <v>24352</v>
      </c>
      <c r="B5655" s="7" t="s">
        <v>169</v>
      </c>
      <c r="C5655" s="7" t="s">
        <v>17726</v>
      </c>
      <c r="D5655" s="199"/>
      <c r="E5655" s="193"/>
      <c r="F5655" s="195" t="s">
        <v>24354</v>
      </c>
      <c r="G5655" s="196">
        <v>2.48839775E8</v>
      </c>
      <c r="H5655" s="197">
        <v>12.9</v>
      </c>
      <c r="I5655" s="7" t="s">
        <v>16815</v>
      </c>
      <c r="J5655" s="7" t="s">
        <v>169</v>
      </c>
      <c r="K5655" s="7" t="s">
        <v>17726</v>
      </c>
      <c r="L5655" s="198" t="s">
        <v>65</v>
      </c>
      <c r="M5655" s="199"/>
      <c r="N5655" s="199"/>
    </row>
    <row r="5656">
      <c r="A5656" s="193" t="s">
        <v>24355</v>
      </c>
      <c r="B5656" s="7" t="s">
        <v>17726</v>
      </c>
      <c r="C5656" s="7" t="s">
        <v>169</v>
      </c>
      <c r="D5656" s="199"/>
      <c r="E5656" s="193"/>
      <c r="F5656" s="195" t="s">
        <v>24356</v>
      </c>
      <c r="G5656" s="200">
        <v>2.48230589E8</v>
      </c>
      <c r="H5656" s="197">
        <v>18.92</v>
      </c>
      <c r="I5656" s="7" t="s">
        <v>16815</v>
      </c>
      <c r="J5656" s="7" t="s">
        <v>17726</v>
      </c>
      <c r="K5656" s="7" t="s">
        <v>169</v>
      </c>
      <c r="L5656" s="201" t="s">
        <v>16835</v>
      </c>
      <c r="M5656" s="199"/>
      <c r="N5656" s="199"/>
    </row>
    <row r="5657">
      <c r="A5657" s="193" t="s">
        <v>24355</v>
      </c>
      <c r="B5657" s="7" t="s">
        <v>169</v>
      </c>
      <c r="C5657" s="7" t="s">
        <v>17726</v>
      </c>
      <c r="D5657" s="199"/>
      <c r="E5657" s="193"/>
      <c r="F5657" s="195" t="s">
        <v>24356</v>
      </c>
      <c r="G5657" s="196">
        <v>2.48230589E8</v>
      </c>
      <c r="H5657" s="197">
        <v>18.92</v>
      </c>
      <c r="I5657" s="7" t="s">
        <v>16815</v>
      </c>
      <c r="J5657" s="7" t="s">
        <v>169</v>
      </c>
      <c r="K5657" s="7" t="s">
        <v>17726</v>
      </c>
      <c r="L5657" s="198" t="s">
        <v>65</v>
      </c>
      <c r="M5657" s="199"/>
      <c r="N5657" s="199"/>
    </row>
    <row r="5658">
      <c r="A5658" s="193" t="s">
        <v>24357</v>
      </c>
      <c r="B5658" s="7" t="s">
        <v>16838</v>
      </c>
      <c r="C5658" s="7" t="s">
        <v>18219</v>
      </c>
      <c r="D5658" s="199"/>
      <c r="E5658" s="193"/>
      <c r="F5658" s="195" t="s">
        <v>24358</v>
      </c>
      <c r="G5658" s="196">
        <v>2.47641353E8</v>
      </c>
      <c r="H5658" s="197">
        <v>1.66</v>
      </c>
      <c r="I5658" s="7" t="s">
        <v>16815</v>
      </c>
      <c r="J5658" s="7" t="s">
        <v>16838</v>
      </c>
      <c r="K5658" s="7" t="s">
        <v>18219</v>
      </c>
      <c r="L5658" s="198" t="s">
        <v>65</v>
      </c>
      <c r="M5658" s="199"/>
      <c r="N5658" s="199"/>
    </row>
    <row r="5659">
      <c r="A5659" s="193" t="s">
        <v>24359</v>
      </c>
      <c r="B5659" s="7" t="s">
        <v>187</v>
      </c>
      <c r="C5659" s="7" t="s">
        <v>16969</v>
      </c>
      <c r="D5659" s="194">
        <v>2004.0</v>
      </c>
      <c r="E5659" s="193"/>
      <c r="F5659" s="195" t="s">
        <v>24360</v>
      </c>
      <c r="G5659" s="196">
        <v>2.47447641E8</v>
      </c>
      <c r="H5659" s="197">
        <v>6.21</v>
      </c>
      <c r="I5659" s="7" t="s">
        <v>16815</v>
      </c>
      <c r="J5659" s="7" t="s">
        <v>187</v>
      </c>
      <c r="K5659" s="7" t="s">
        <v>16969</v>
      </c>
      <c r="L5659" s="198" t="s">
        <v>65</v>
      </c>
      <c r="M5659" s="194"/>
      <c r="N5659" s="194"/>
    </row>
    <row r="5660">
      <c r="A5660" s="193" t="s">
        <v>24361</v>
      </c>
      <c r="B5660" s="7" t="s">
        <v>187</v>
      </c>
      <c r="C5660" s="7" t="s">
        <v>16846</v>
      </c>
      <c r="D5660" s="199"/>
      <c r="E5660" s="193"/>
      <c r="F5660" s="195" t="s">
        <v>24362</v>
      </c>
      <c r="G5660" s="196">
        <v>2.47373942E8</v>
      </c>
      <c r="H5660" s="197">
        <v>1.01</v>
      </c>
      <c r="I5660" s="7" t="s">
        <v>16815</v>
      </c>
      <c r="J5660" s="7" t="s">
        <v>187</v>
      </c>
      <c r="K5660" s="7" t="s">
        <v>16846</v>
      </c>
      <c r="L5660" s="198" t="s">
        <v>65</v>
      </c>
      <c r="M5660" s="199"/>
      <c r="N5660" s="199"/>
    </row>
    <row r="5661">
      <c r="A5661" s="193" t="s">
        <v>24363</v>
      </c>
      <c r="B5661" s="7" t="s">
        <v>16838</v>
      </c>
      <c r="C5661" s="7" t="s">
        <v>16867</v>
      </c>
      <c r="D5661" s="199"/>
      <c r="E5661" s="193"/>
      <c r="F5661" s="195" t="s">
        <v>24364</v>
      </c>
      <c r="G5661" s="196">
        <v>2.47343309E8</v>
      </c>
      <c r="H5661" s="197">
        <v>10.95</v>
      </c>
      <c r="I5661" s="7" t="s">
        <v>16815</v>
      </c>
      <c r="J5661" s="7" t="s">
        <v>16838</v>
      </c>
      <c r="K5661" s="7" t="s">
        <v>16867</v>
      </c>
      <c r="L5661" s="198" t="s">
        <v>65</v>
      </c>
      <c r="M5661" s="199"/>
      <c r="N5661" s="199"/>
    </row>
    <row r="5662">
      <c r="A5662" s="193" t="s">
        <v>24365</v>
      </c>
      <c r="B5662" s="7" t="s">
        <v>16838</v>
      </c>
      <c r="C5662" s="7" t="s">
        <v>16837</v>
      </c>
      <c r="D5662" s="199"/>
      <c r="E5662" s="193"/>
      <c r="F5662" s="195" t="s">
        <v>24366</v>
      </c>
      <c r="G5662" s="196">
        <v>2.47221232E8</v>
      </c>
      <c r="H5662" s="197">
        <v>18.09</v>
      </c>
      <c r="I5662" s="7" t="s">
        <v>16815</v>
      </c>
      <c r="J5662" s="7" t="s">
        <v>16838</v>
      </c>
      <c r="K5662" s="7" t="s">
        <v>16837</v>
      </c>
      <c r="L5662" s="198" t="s">
        <v>65</v>
      </c>
      <c r="M5662" s="199"/>
      <c r="N5662" s="199"/>
    </row>
    <row r="5663">
      <c r="A5663" s="193" t="s">
        <v>24367</v>
      </c>
      <c r="B5663" s="7" t="s">
        <v>169</v>
      </c>
      <c r="C5663" s="7" t="s">
        <v>16899</v>
      </c>
      <c r="D5663" s="194">
        <v>2021.0</v>
      </c>
      <c r="E5663" s="193"/>
      <c r="F5663" s="195" t="s">
        <v>24368</v>
      </c>
      <c r="G5663" s="196">
        <v>2.47119003E8</v>
      </c>
      <c r="H5663" s="197">
        <v>2.85</v>
      </c>
      <c r="I5663" s="7" t="s">
        <v>16815</v>
      </c>
      <c r="J5663" s="7" t="s">
        <v>169</v>
      </c>
      <c r="K5663" s="7" t="s">
        <v>16899</v>
      </c>
      <c r="L5663" s="198" t="s">
        <v>65</v>
      </c>
      <c r="M5663" s="194"/>
      <c r="N5663" s="194"/>
    </row>
    <row r="5664">
      <c r="A5664" s="193" t="s">
        <v>24369</v>
      </c>
      <c r="B5664" s="7" t="s">
        <v>169</v>
      </c>
      <c r="C5664" s="7" t="s">
        <v>17702</v>
      </c>
      <c r="D5664" s="199"/>
      <c r="E5664" s="193"/>
      <c r="F5664" s="195" t="s">
        <v>24370</v>
      </c>
      <c r="G5664" s="196">
        <v>2.46880273E8</v>
      </c>
      <c r="H5664" s="197">
        <v>23.01</v>
      </c>
      <c r="I5664" s="7" t="s">
        <v>16815</v>
      </c>
      <c r="J5664" s="7" t="s">
        <v>169</v>
      </c>
      <c r="K5664" s="7" t="s">
        <v>17702</v>
      </c>
      <c r="L5664" s="198" t="s">
        <v>65</v>
      </c>
      <c r="M5664" s="199"/>
      <c r="N5664" s="199"/>
    </row>
    <row r="5665">
      <c r="A5665" s="193" t="s">
        <v>24371</v>
      </c>
      <c r="B5665" s="7" t="s">
        <v>187</v>
      </c>
      <c r="C5665" s="7" t="s">
        <v>16858</v>
      </c>
      <c r="D5665" s="194">
        <v>2000.0</v>
      </c>
      <c r="E5665" s="193"/>
      <c r="F5665" s="195" t="s">
        <v>24372</v>
      </c>
      <c r="G5665" s="196">
        <v>2.46759879E8</v>
      </c>
      <c r="H5665" s="197">
        <v>0.6501</v>
      </c>
      <c r="I5665" s="7" t="s">
        <v>16815</v>
      </c>
      <c r="J5665" s="7" t="s">
        <v>187</v>
      </c>
      <c r="K5665" s="7" t="s">
        <v>16858</v>
      </c>
      <c r="L5665" s="198" t="s">
        <v>65</v>
      </c>
      <c r="M5665" s="194"/>
      <c r="N5665" s="194"/>
    </row>
    <row r="5666">
      <c r="A5666" s="193" t="s">
        <v>24373</v>
      </c>
      <c r="B5666" s="7" t="s">
        <v>175</v>
      </c>
      <c r="C5666" s="7" t="s">
        <v>17084</v>
      </c>
      <c r="D5666" s="194">
        <v>2012.0</v>
      </c>
      <c r="E5666" s="193"/>
      <c r="F5666" s="195" t="s">
        <v>24374</v>
      </c>
      <c r="G5666" s="196">
        <v>2.46273074E8</v>
      </c>
      <c r="H5666" s="197">
        <v>8.22</v>
      </c>
      <c r="I5666" s="7" t="s">
        <v>16903</v>
      </c>
      <c r="J5666" s="7" t="s">
        <v>175</v>
      </c>
      <c r="K5666" s="7" t="s">
        <v>17084</v>
      </c>
      <c r="L5666" s="198" t="s">
        <v>65</v>
      </c>
      <c r="M5666" s="194"/>
      <c r="N5666" s="194"/>
    </row>
    <row r="5667">
      <c r="A5667" s="193" t="s">
        <v>24373</v>
      </c>
      <c r="B5667" s="7" t="s">
        <v>17084</v>
      </c>
      <c r="C5667" s="7" t="s">
        <v>175</v>
      </c>
      <c r="D5667" s="194">
        <v>2012.0</v>
      </c>
      <c r="E5667" s="193"/>
      <c r="F5667" s="195" t="s">
        <v>24374</v>
      </c>
      <c r="G5667" s="200">
        <v>2.46273074E8</v>
      </c>
      <c r="H5667" s="197">
        <v>8.22</v>
      </c>
      <c r="I5667" s="7" t="s">
        <v>16815</v>
      </c>
      <c r="J5667" s="7" t="s">
        <v>17084</v>
      </c>
      <c r="K5667" s="7" t="s">
        <v>175</v>
      </c>
      <c r="L5667" s="201" t="s">
        <v>16835</v>
      </c>
      <c r="M5667" s="194"/>
      <c r="N5667" s="194"/>
    </row>
    <row r="5668">
      <c r="A5668" s="193" t="s">
        <v>24375</v>
      </c>
      <c r="B5668" s="7" t="s">
        <v>16838</v>
      </c>
      <c r="C5668" s="7" t="s">
        <v>18679</v>
      </c>
      <c r="D5668" s="194">
        <v>2003.0</v>
      </c>
      <c r="E5668" s="193"/>
      <c r="F5668" s="195" t="s">
        <v>24376</v>
      </c>
      <c r="G5668" s="196">
        <v>2.45866701E8</v>
      </c>
      <c r="H5668" s="197">
        <v>6.085</v>
      </c>
      <c r="I5668" s="7" t="s">
        <v>16815</v>
      </c>
      <c r="J5668" s="7" t="s">
        <v>16838</v>
      </c>
      <c r="K5668" s="7" t="s">
        <v>18679</v>
      </c>
      <c r="L5668" s="198" t="s">
        <v>65</v>
      </c>
      <c r="M5668" s="194"/>
      <c r="N5668" s="194"/>
    </row>
    <row r="5669">
      <c r="A5669" s="193" t="s">
        <v>24375</v>
      </c>
      <c r="B5669" s="202" t="s">
        <v>18679</v>
      </c>
      <c r="C5669" s="193" t="s">
        <v>16838</v>
      </c>
      <c r="D5669" s="193">
        <v>2003.0</v>
      </c>
      <c r="E5669" s="193"/>
      <c r="F5669" s="203" t="s">
        <v>24376</v>
      </c>
      <c r="G5669" s="200">
        <v>2.45866701E8</v>
      </c>
      <c r="H5669" s="205">
        <v>67.95</v>
      </c>
      <c r="J5669" s="202" t="s">
        <v>18679</v>
      </c>
      <c r="K5669" s="193" t="s">
        <v>16838</v>
      </c>
      <c r="L5669" s="193" t="s">
        <v>17471</v>
      </c>
      <c r="M5669" s="193"/>
      <c r="N5669" s="193"/>
    </row>
    <row r="5670">
      <c r="A5670" s="193" t="s">
        <v>24377</v>
      </c>
      <c r="B5670" s="7" t="s">
        <v>175</v>
      </c>
      <c r="C5670" s="7" t="s">
        <v>16942</v>
      </c>
      <c r="D5670" s="199"/>
      <c r="E5670" s="193"/>
      <c r="F5670" s="195" t="s">
        <v>24378</v>
      </c>
      <c r="G5670" s="196">
        <v>2.45711742E8</v>
      </c>
      <c r="H5670" s="197">
        <v>14.635</v>
      </c>
      <c r="I5670" s="7" t="s">
        <v>16908</v>
      </c>
      <c r="J5670" s="7" t="s">
        <v>175</v>
      </c>
      <c r="K5670" s="7" t="s">
        <v>16942</v>
      </c>
      <c r="L5670" s="198" t="s">
        <v>65</v>
      </c>
      <c r="M5670" s="199"/>
      <c r="N5670" s="199"/>
    </row>
    <row r="5671">
      <c r="A5671" s="193" t="s">
        <v>24379</v>
      </c>
      <c r="B5671" s="7" t="s">
        <v>158</v>
      </c>
      <c r="C5671" s="7" t="s">
        <v>16864</v>
      </c>
      <c r="D5671" s="194">
        <v>2016.0</v>
      </c>
      <c r="E5671" s="193"/>
      <c r="F5671" s="195" t="s">
        <v>24380</v>
      </c>
      <c r="G5671" s="196">
        <v>2.45527276E8</v>
      </c>
      <c r="H5671" s="197">
        <v>6.28</v>
      </c>
      <c r="I5671" s="7" t="s">
        <v>18397</v>
      </c>
      <c r="J5671" s="7" t="s">
        <v>158</v>
      </c>
      <c r="K5671" s="7" t="s">
        <v>16864</v>
      </c>
      <c r="L5671" s="198" t="s">
        <v>65</v>
      </c>
      <c r="M5671" s="194"/>
      <c r="N5671" s="194"/>
    </row>
    <row r="5672">
      <c r="A5672" s="193" t="s">
        <v>24379</v>
      </c>
      <c r="B5672" s="7" t="s">
        <v>16864</v>
      </c>
      <c r="C5672" s="7" t="s">
        <v>158</v>
      </c>
      <c r="D5672" s="194">
        <v>2016.0</v>
      </c>
      <c r="E5672" s="193"/>
      <c r="F5672" s="195" t="s">
        <v>24380</v>
      </c>
      <c r="G5672" s="200">
        <v>2.45527276E8</v>
      </c>
      <c r="H5672" s="197">
        <v>6.28</v>
      </c>
      <c r="I5672" s="7" t="s">
        <v>16815</v>
      </c>
      <c r="J5672" s="7" t="s">
        <v>16864</v>
      </c>
      <c r="K5672" s="7" t="s">
        <v>158</v>
      </c>
      <c r="L5672" s="201" t="s">
        <v>16835</v>
      </c>
      <c r="M5672" s="194"/>
      <c r="N5672" s="194"/>
    </row>
    <row r="5673">
      <c r="A5673" s="193" t="s">
        <v>24381</v>
      </c>
      <c r="B5673" s="7" t="s">
        <v>16582</v>
      </c>
      <c r="C5673" s="7" t="s">
        <v>16930</v>
      </c>
      <c r="D5673" s="194">
        <v>2021.0</v>
      </c>
      <c r="E5673" s="193"/>
      <c r="F5673" s="195" t="s">
        <v>24382</v>
      </c>
      <c r="G5673" s="196">
        <v>2.4544589E8</v>
      </c>
      <c r="H5673" s="197">
        <v>0.1615</v>
      </c>
      <c r="I5673" s="7" t="s">
        <v>16815</v>
      </c>
      <c r="J5673" s="7" t="s">
        <v>16582</v>
      </c>
      <c r="K5673" s="7" t="s">
        <v>16930</v>
      </c>
      <c r="L5673" s="198" t="s">
        <v>65</v>
      </c>
      <c r="M5673" s="194"/>
      <c r="N5673" s="194"/>
    </row>
    <row r="5674">
      <c r="A5674" s="193" t="s">
        <v>24383</v>
      </c>
      <c r="B5674" s="7" t="s">
        <v>187</v>
      </c>
      <c r="C5674" s="7" t="s">
        <v>16969</v>
      </c>
      <c r="D5674" s="199"/>
      <c r="E5674" s="193"/>
      <c r="F5674" s="195" t="s">
        <v>24384</v>
      </c>
      <c r="G5674" s="196">
        <v>2.44662945E8</v>
      </c>
      <c r="H5674" s="197">
        <v>28.71</v>
      </c>
      <c r="I5674" s="7" t="s">
        <v>16815</v>
      </c>
      <c r="J5674" s="7" t="s">
        <v>187</v>
      </c>
      <c r="K5674" s="7" t="s">
        <v>16969</v>
      </c>
      <c r="L5674" s="198" t="s">
        <v>65</v>
      </c>
      <c r="M5674" s="199"/>
      <c r="N5674" s="199"/>
    </row>
    <row r="5675">
      <c r="A5675" s="193" t="s">
        <v>24385</v>
      </c>
      <c r="B5675" s="7" t="s">
        <v>17019</v>
      </c>
      <c r="C5675" s="7" t="s">
        <v>16838</v>
      </c>
      <c r="D5675" s="194">
        <v>2009.0</v>
      </c>
      <c r="E5675" s="193"/>
      <c r="F5675" s="195" t="s">
        <v>24386</v>
      </c>
      <c r="G5675" s="200">
        <v>2.44217515E8</v>
      </c>
      <c r="H5675" s="197">
        <v>15.63</v>
      </c>
      <c r="I5675" s="7" t="s">
        <v>16815</v>
      </c>
      <c r="J5675" s="7" t="s">
        <v>17019</v>
      </c>
      <c r="K5675" s="7" t="s">
        <v>16838</v>
      </c>
      <c r="L5675" s="201" t="s">
        <v>16835</v>
      </c>
      <c r="M5675" s="194"/>
      <c r="N5675" s="194"/>
    </row>
    <row r="5676">
      <c r="A5676" s="193" t="s">
        <v>24385</v>
      </c>
      <c r="B5676" s="7" t="s">
        <v>16838</v>
      </c>
      <c r="C5676" s="7" t="s">
        <v>17019</v>
      </c>
      <c r="D5676" s="194">
        <v>2009.0</v>
      </c>
      <c r="E5676" s="193"/>
      <c r="F5676" s="195" t="s">
        <v>24386</v>
      </c>
      <c r="G5676" s="196">
        <v>2.44217515E8</v>
      </c>
      <c r="H5676" s="197">
        <v>15.63</v>
      </c>
      <c r="I5676" s="7" t="s">
        <v>16815</v>
      </c>
      <c r="J5676" s="7" t="s">
        <v>16838</v>
      </c>
      <c r="K5676" s="7" t="s">
        <v>17019</v>
      </c>
      <c r="L5676" s="198" t="s">
        <v>65</v>
      </c>
      <c r="M5676" s="194"/>
      <c r="N5676" s="194"/>
    </row>
    <row r="5677">
      <c r="A5677" s="193" t="s">
        <v>24387</v>
      </c>
      <c r="B5677" s="7" t="s">
        <v>187</v>
      </c>
      <c r="C5677" s="7" t="s">
        <v>16846</v>
      </c>
      <c r="D5677" s="194">
        <v>2022.0</v>
      </c>
      <c r="E5677" s="193"/>
      <c r="F5677" s="195" t="s">
        <v>24388</v>
      </c>
      <c r="G5677" s="196">
        <v>2.43892077E8</v>
      </c>
      <c r="H5677" s="197">
        <v>6.04</v>
      </c>
      <c r="I5677" s="7" t="s">
        <v>16815</v>
      </c>
      <c r="J5677" s="7" t="s">
        <v>187</v>
      </c>
      <c r="K5677" s="7" t="s">
        <v>16846</v>
      </c>
      <c r="L5677" s="198" t="s">
        <v>65</v>
      </c>
      <c r="M5677" s="194"/>
      <c r="N5677" s="194"/>
    </row>
    <row r="5678">
      <c r="A5678" s="193" t="s">
        <v>24389</v>
      </c>
      <c r="B5678" s="7" t="s">
        <v>16838</v>
      </c>
      <c r="C5678" s="7" t="s">
        <v>16837</v>
      </c>
      <c r="D5678" s="194">
        <v>2021.0</v>
      </c>
      <c r="E5678" s="193"/>
      <c r="F5678" s="195" t="s">
        <v>24390</v>
      </c>
      <c r="G5678" s="196">
        <v>2.43411192E8</v>
      </c>
      <c r="H5678" s="197">
        <v>16.26</v>
      </c>
      <c r="I5678" s="7" t="s">
        <v>16815</v>
      </c>
      <c r="J5678" s="7" t="s">
        <v>16838</v>
      </c>
      <c r="K5678" s="7" t="s">
        <v>16837</v>
      </c>
      <c r="L5678" s="198" t="s">
        <v>65</v>
      </c>
      <c r="M5678" s="194"/>
      <c r="N5678" s="194"/>
    </row>
    <row r="5679">
      <c r="A5679" s="193" t="s">
        <v>24391</v>
      </c>
      <c r="B5679" s="7" t="s">
        <v>16838</v>
      </c>
      <c r="C5679" s="7" t="s">
        <v>16837</v>
      </c>
      <c r="D5679" s="199"/>
      <c r="E5679" s="193"/>
      <c r="F5679" s="195" t="s">
        <v>24392</v>
      </c>
      <c r="G5679" s="196">
        <v>2.43174438E8</v>
      </c>
      <c r="H5679" s="197">
        <v>44.01</v>
      </c>
      <c r="I5679" s="7" t="s">
        <v>16815</v>
      </c>
      <c r="J5679" s="7" t="s">
        <v>16838</v>
      </c>
      <c r="K5679" s="7" t="s">
        <v>16837</v>
      </c>
      <c r="L5679" s="198" t="s">
        <v>65</v>
      </c>
      <c r="M5679" s="199"/>
      <c r="N5679" s="199"/>
    </row>
    <row r="5680">
      <c r="A5680" s="193" t="s">
        <v>24393</v>
      </c>
      <c r="B5680" s="7" t="s">
        <v>16582</v>
      </c>
      <c r="C5680" s="7" t="s">
        <v>16930</v>
      </c>
      <c r="D5680" s="194">
        <v>2021.0</v>
      </c>
      <c r="E5680" s="193"/>
      <c r="F5680" s="195" t="s">
        <v>24394</v>
      </c>
      <c r="G5680" s="196">
        <v>2.43090588E8</v>
      </c>
      <c r="H5680" s="197">
        <v>1.56</v>
      </c>
      <c r="I5680" s="7" t="s">
        <v>16815</v>
      </c>
      <c r="J5680" s="7" t="s">
        <v>16582</v>
      </c>
      <c r="K5680" s="7" t="s">
        <v>16930</v>
      </c>
      <c r="L5680" s="198" t="s">
        <v>65</v>
      </c>
      <c r="M5680" s="194"/>
      <c r="N5680" s="194"/>
    </row>
    <row r="5681">
      <c r="A5681" s="193" t="s">
        <v>24393</v>
      </c>
      <c r="B5681" s="7" t="s">
        <v>16930</v>
      </c>
      <c r="C5681" s="7" t="s">
        <v>16582</v>
      </c>
      <c r="D5681" s="194">
        <v>2021.0</v>
      </c>
      <c r="E5681" s="193"/>
      <c r="F5681" s="195" t="s">
        <v>24394</v>
      </c>
      <c r="G5681" s="200">
        <v>2.43090588E8</v>
      </c>
      <c r="H5681" s="197">
        <v>1.56</v>
      </c>
      <c r="I5681" s="7" t="s">
        <v>16815</v>
      </c>
      <c r="J5681" s="7" t="s">
        <v>16930</v>
      </c>
      <c r="K5681" s="7" t="s">
        <v>16582</v>
      </c>
      <c r="L5681" s="201" t="s">
        <v>16835</v>
      </c>
      <c r="M5681" s="194"/>
      <c r="N5681" s="194"/>
    </row>
    <row r="5682">
      <c r="A5682" s="193" t="s">
        <v>24395</v>
      </c>
      <c r="B5682" s="7" t="s">
        <v>187</v>
      </c>
      <c r="C5682" s="7" t="s">
        <v>16846</v>
      </c>
      <c r="D5682" s="194">
        <v>2020.0</v>
      </c>
      <c r="E5682" s="193"/>
      <c r="F5682" s="195" t="s">
        <v>24396</v>
      </c>
      <c r="G5682" s="196">
        <v>2.43071091E8</v>
      </c>
      <c r="H5682" s="197">
        <v>2.35</v>
      </c>
      <c r="I5682" s="7" t="s">
        <v>16815</v>
      </c>
      <c r="J5682" s="7" t="s">
        <v>187</v>
      </c>
      <c r="K5682" s="7" t="s">
        <v>16846</v>
      </c>
      <c r="L5682" s="198" t="s">
        <v>65</v>
      </c>
      <c r="M5682" s="194"/>
      <c r="N5682" s="194"/>
    </row>
    <row r="5683">
      <c r="A5683" s="193" t="s">
        <v>24397</v>
      </c>
      <c r="B5683" s="7" t="s">
        <v>187</v>
      </c>
      <c r="C5683" s="7" t="s">
        <v>16846</v>
      </c>
      <c r="D5683" s="194">
        <v>2016.0</v>
      </c>
      <c r="E5683" s="193"/>
      <c r="F5683" s="195" t="s">
        <v>24398</v>
      </c>
      <c r="G5683" s="196">
        <v>2.42498E8</v>
      </c>
      <c r="H5683" s="197">
        <v>2.9</v>
      </c>
      <c r="I5683" s="7" t="s">
        <v>16815</v>
      </c>
      <c r="J5683" s="7" t="s">
        <v>187</v>
      </c>
      <c r="K5683" s="7" t="s">
        <v>16846</v>
      </c>
      <c r="L5683" s="198" t="s">
        <v>65</v>
      </c>
      <c r="M5683" s="194"/>
      <c r="N5683" s="194"/>
    </row>
    <row r="5684">
      <c r="A5684" s="193" t="s">
        <v>24399</v>
      </c>
      <c r="B5684" s="7" t="s">
        <v>17111</v>
      </c>
      <c r="C5684" s="7" t="s">
        <v>17112</v>
      </c>
      <c r="D5684" s="194">
        <v>2017.0</v>
      </c>
      <c r="E5684" s="193"/>
      <c r="F5684" s="195" t="s">
        <v>24400</v>
      </c>
      <c r="G5684" s="200">
        <v>2.42415853E8</v>
      </c>
      <c r="H5684" s="197">
        <v>4.7</v>
      </c>
      <c r="I5684" s="7" t="s">
        <v>16815</v>
      </c>
      <c r="J5684" s="7" t="s">
        <v>17111</v>
      </c>
      <c r="K5684" s="7" t="s">
        <v>17112</v>
      </c>
      <c r="L5684" s="201" t="s">
        <v>16835</v>
      </c>
      <c r="M5684" s="194"/>
      <c r="N5684" s="194"/>
    </row>
    <row r="5685">
      <c r="A5685" s="193" t="s">
        <v>24399</v>
      </c>
      <c r="B5685" s="7" t="s">
        <v>17112</v>
      </c>
      <c r="C5685" s="7" t="s">
        <v>17111</v>
      </c>
      <c r="D5685" s="194">
        <v>2017.0</v>
      </c>
      <c r="E5685" s="193"/>
      <c r="F5685" s="195" t="s">
        <v>24400</v>
      </c>
      <c r="G5685" s="196">
        <v>2.42415853E8</v>
      </c>
      <c r="H5685" s="197">
        <v>4.7</v>
      </c>
      <c r="I5685" s="7" t="s">
        <v>16815</v>
      </c>
      <c r="J5685" s="7" t="s">
        <v>17112</v>
      </c>
      <c r="K5685" s="7" t="s">
        <v>17111</v>
      </c>
      <c r="L5685" s="198" t="s">
        <v>65</v>
      </c>
      <c r="M5685" s="194"/>
      <c r="N5685" s="194"/>
    </row>
    <row r="5686">
      <c r="A5686" s="193" t="s">
        <v>24401</v>
      </c>
      <c r="B5686" s="7" t="s">
        <v>16838</v>
      </c>
      <c r="C5686" s="7" t="s">
        <v>16867</v>
      </c>
      <c r="D5686" s="199"/>
      <c r="E5686" s="193"/>
      <c r="F5686" s="195" t="s">
        <v>24402</v>
      </c>
      <c r="G5686" s="196">
        <v>2.42250569E8</v>
      </c>
      <c r="H5686" s="197">
        <v>19.02</v>
      </c>
      <c r="I5686" s="7" t="s">
        <v>16815</v>
      </c>
      <c r="J5686" s="7" t="s">
        <v>16838</v>
      </c>
      <c r="K5686" s="7" t="s">
        <v>16867</v>
      </c>
      <c r="L5686" s="198" t="s">
        <v>65</v>
      </c>
      <c r="M5686" s="199"/>
      <c r="N5686" s="199"/>
    </row>
    <row r="5687">
      <c r="A5687" s="193" t="s">
        <v>24403</v>
      </c>
      <c r="B5687" s="7" t="s">
        <v>187</v>
      </c>
      <c r="C5687" s="7" t="s">
        <v>16992</v>
      </c>
      <c r="D5687" s="194">
        <v>2020.0</v>
      </c>
      <c r="E5687" s="193"/>
      <c r="F5687" s="195" t="s">
        <v>24404</v>
      </c>
      <c r="G5687" s="196">
        <v>2.41962988E8</v>
      </c>
      <c r="H5687" s="197">
        <v>2.9</v>
      </c>
      <c r="I5687" s="7" t="s">
        <v>16815</v>
      </c>
      <c r="J5687" s="7" t="s">
        <v>187</v>
      </c>
      <c r="K5687" s="7" t="s">
        <v>16992</v>
      </c>
      <c r="L5687" s="198" t="s">
        <v>65</v>
      </c>
      <c r="M5687" s="194"/>
      <c r="N5687" s="194"/>
    </row>
    <row r="5688">
      <c r="A5688" s="193" t="s">
        <v>24405</v>
      </c>
      <c r="B5688" s="7" t="s">
        <v>175</v>
      </c>
      <c r="C5688" s="7" t="s">
        <v>17475</v>
      </c>
      <c r="D5688" s="194">
        <v>2018.0</v>
      </c>
      <c r="E5688" s="193"/>
      <c r="F5688" s="195" t="s">
        <v>24406</v>
      </c>
      <c r="G5688" s="196">
        <v>2.41207385E8</v>
      </c>
      <c r="H5688" s="197">
        <v>2.92</v>
      </c>
      <c r="I5688" s="7" t="s">
        <v>168</v>
      </c>
      <c r="J5688" s="7" t="s">
        <v>175</v>
      </c>
      <c r="K5688" s="7" t="s">
        <v>17475</v>
      </c>
      <c r="L5688" s="198" t="s">
        <v>65</v>
      </c>
      <c r="M5688" s="194"/>
      <c r="N5688" s="194"/>
    </row>
    <row r="5689">
      <c r="A5689" s="193" t="s">
        <v>24405</v>
      </c>
      <c r="B5689" s="7" t="s">
        <v>17475</v>
      </c>
      <c r="C5689" s="7" t="s">
        <v>175</v>
      </c>
      <c r="D5689" s="194">
        <v>2018.0</v>
      </c>
      <c r="E5689" s="193"/>
      <c r="F5689" s="195" t="s">
        <v>24406</v>
      </c>
      <c r="G5689" s="200">
        <v>2.41207385E8</v>
      </c>
      <c r="H5689" s="197">
        <v>2.92</v>
      </c>
      <c r="I5689" s="7" t="s">
        <v>16815</v>
      </c>
      <c r="J5689" s="7" t="s">
        <v>17475</v>
      </c>
      <c r="K5689" s="7" t="s">
        <v>175</v>
      </c>
      <c r="L5689" s="201" t="s">
        <v>16835</v>
      </c>
      <c r="M5689" s="194"/>
      <c r="N5689" s="194"/>
    </row>
    <row r="5690">
      <c r="A5690" s="193" t="s">
        <v>24407</v>
      </c>
      <c r="B5690" s="7" t="s">
        <v>16838</v>
      </c>
      <c r="C5690" s="7" t="s">
        <v>16867</v>
      </c>
      <c r="D5690" s="194">
        <v>2018.0</v>
      </c>
      <c r="E5690" s="193"/>
      <c r="F5690" s="195" t="s">
        <v>24408</v>
      </c>
      <c r="G5690" s="196">
        <v>2.41081929E8</v>
      </c>
      <c r="H5690" s="197">
        <v>20.38</v>
      </c>
      <c r="I5690" s="7" t="s">
        <v>16924</v>
      </c>
      <c r="J5690" s="7" t="s">
        <v>16838</v>
      </c>
      <c r="K5690" s="7" t="s">
        <v>16867</v>
      </c>
      <c r="L5690" s="198" t="s">
        <v>65</v>
      </c>
      <c r="M5690" s="194"/>
      <c r="N5690" s="194"/>
    </row>
    <row r="5691">
      <c r="A5691" s="193" t="s">
        <v>24409</v>
      </c>
      <c r="B5691" s="7" t="s">
        <v>158</v>
      </c>
      <c r="C5691" s="7" t="s">
        <v>17339</v>
      </c>
      <c r="D5691" s="194">
        <v>2021.0</v>
      </c>
      <c r="E5691" s="193"/>
      <c r="F5691" s="195" t="s">
        <v>24410</v>
      </c>
      <c r="G5691" s="196">
        <v>2.40890445E8</v>
      </c>
      <c r="H5691" s="197">
        <v>1.35</v>
      </c>
      <c r="I5691" s="7" t="s">
        <v>180</v>
      </c>
      <c r="J5691" s="7" t="s">
        <v>158</v>
      </c>
      <c r="K5691" s="7" t="s">
        <v>17339</v>
      </c>
      <c r="L5691" s="198" t="s">
        <v>65</v>
      </c>
      <c r="M5691" s="194"/>
      <c r="N5691" s="194"/>
    </row>
    <row r="5692">
      <c r="A5692" s="193" t="s">
        <v>24411</v>
      </c>
      <c r="B5692" s="7" t="s">
        <v>17702</v>
      </c>
      <c r="C5692" s="7" t="s">
        <v>169</v>
      </c>
      <c r="D5692" s="194">
        <v>2008.0</v>
      </c>
      <c r="E5692" s="193"/>
      <c r="F5692" s="195" t="s">
        <v>24412</v>
      </c>
      <c r="G5692" s="200">
        <v>2.4060986E8</v>
      </c>
      <c r="H5692" s="197">
        <v>18.28</v>
      </c>
      <c r="I5692" s="7" t="s">
        <v>16815</v>
      </c>
      <c r="J5692" s="7" t="s">
        <v>17702</v>
      </c>
      <c r="K5692" s="7" t="s">
        <v>169</v>
      </c>
      <c r="L5692" s="201" t="s">
        <v>16835</v>
      </c>
      <c r="M5692" s="194"/>
      <c r="N5692" s="194"/>
    </row>
    <row r="5693">
      <c r="A5693" s="193" t="s">
        <v>24411</v>
      </c>
      <c r="B5693" s="7" t="s">
        <v>169</v>
      </c>
      <c r="C5693" s="7" t="s">
        <v>17702</v>
      </c>
      <c r="D5693" s="194">
        <v>2008.0</v>
      </c>
      <c r="E5693" s="193"/>
      <c r="F5693" s="195" t="s">
        <v>24412</v>
      </c>
      <c r="G5693" s="196">
        <v>2.4060986E8</v>
      </c>
      <c r="H5693" s="197">
        <v>18.28</v>
      </c>
      <c r="I5693" s="7" t="s">
        <v>16815</v>
      </c>
      <c r="J5693" s="7" t="s">
        <v>169</v>
      </c>
      <c r="K5693" s="7" t="s">
        <v>17702</v>
      </c>
      <c r="L5693" s="198" t="s">
        <v>65</v>
      </c>
      <c r="M5693" s="194"/>
      <c r="N5693" s="194"/>
    </row>
    <row r="5694">
      <c r="A5694" s="193" t="s">
        <v>24413</v>
      </c>
      <c r="B5694" s="7" t="s">
        <v>187</v>
      </c>
      <c r="C5694" s="7" t="s">
        <v>16846</v>
      </c>
      <c r="D5694" s="194">
        <v>2020.0</v>
      </c>
      <c r="E5694" s="193"/>
      <c r="F5694" s="195" t="s">
        <v>24414</v>
      </c>
      <c r="G5694" s="196">
        <v>2.40426254E8</v>
      </c>
      <c r="H5694" s="197">
        <v>5.27</v>
      </c>
      <c r="I5694" s="7" t="s">
        <v>16815</v>
      </c>
      <c r="J5694" s="7" t="s">
        <v>187</v>
      </c>
      <c r="K5694" s="7" t="s">
        <v>16846</v>
      </c>
      <c r="L5694" s="198" t="s">
        <v>65</v>
      </c>
      <c r="M5694" s="194"/>
      <c r="N5694" s="194"/>
    </row>
    <row r="5695">
      <c r="A5695" s="193" t="s">
        <v>24415</v>
      </c>
      <c r="B5695" s="7" t="s">
        <v>16838</v>
      </c>
      <c r="C5695" s="7" t="s">
        <v>16867</v>
      </c>
      <c r="D5695" s="199"/>
      <c r="E5695" s="193"/>
      <c r="F5695" s="195" t="s">
        <v>24416</v>
      </c>
      <c r="G5695" s="196">
        <v>2.40100715E8</v>
      </c>
      <c r="H5695" s="197">
        <v>42.55</v>
      </c>
      <c r="I5695" s="7" t="s">
        <v>16815</v>
      </c>
      <c r="J5695" s="7" t="s">
        <v>16838</v>
      </c>
      <c r="K5695" s="7" t="s">
        <v>16867</v>
      </c>
      <c r="L5695" s="198" t="s">
        <v>65</v>
      </c>
      <c r="M5695" s="199"/>
      <c r="N5695" s="199"/>
    </row>
    <row r="5696">
      <c r="A5696" s="193" t="s">
        <v>24417</v>
      </c>
      <c r="B5696" s="7" t="s">
        <v>16926</v>
      </c>
      <c r="C5696" s="7" t="s">
        <v>16960</v>
      </c>
      <c r="D5696" s="194">
        <v>2017.0</v>
      </c>
      <c r="E5696" s="193"/>
      <c r="F5696" s="195" t="s">
        <v>24418</v>
      </c>
      <c r="G5696" s="196">
        <v>2.40025751E8</v>
      </c>
      <c r="H5696" s="197">
        <v>2.87</v>
      </c>
      <c r="I5696" s="7" t="s">
        <v>16815</v>
      </c>
      <c r="J5696" s="7" t="s">
        <v>16926</v>
      </c>
      <c r="K5696" s="7" t="s">
        <v>16960</v>
      </c>
      <c r="L5696" s="198" t="s">
        <v>65</v>
      </c>
      <c r="M5696" s="194"/>
      <c r="N5696" s="194"/>
    </row>
    <row r="5697">
      <c r="A5697" s="193" t="s">
        <v>24417</v>
      </c>
      <c r="B5697" s="7" t="s">
        <v>16960</v>
      </c>
      <c r="C5697" s="7" t="s">
        <v>16926</v>
      </c>
      <c r="D5697" s="194">
        <v>2017.0</v>
      </c>
      <c r="E5697" s="193"/>
      <c r="F5697" s="195" t="s">
        <v>24418</v>
      </c>
      <c r="G5697" s="200">
        <v>2.40025751E8</v>
      </c>
      <c r="H5697" s="197">
        <v>2.87</v>
      </c>
      <c r="I5697" s="7" t="s">
        <v>16815</v>
      </c>
      <c r="J5697" s="7" t="s">
        <v>16960</v>
      </c>
      <c r="K5697" s="7" t="s">
        <v>16926</v>
      </c>
      <c r="L5697" s="201" t="s">
        <v>16835</v>
      </c>
      <c r="M5697" s="194"/>
      <c r="N5697" s="194"/>
    </row>
    <row r="5698">
      <c r="A5698" s="193" t="s">
        <v>24419</v>
      </c>
      <c r="B5698" s="7" t="s">
        <v>16582</v>
      </c>
      <c r="C5698" s="7" t="s">
        <v>16583</v>
      </c>
      <c r="D5698" s="194">
        <v>2018.0</v>
      </c>
      <c r="E5698" s="193"/>
      <c r="F5698" s="195" t="s">
        <v>24420</v>
      </c>
      <c r="G5698" s="196">
        <v>2.39842832E8</v>
      </c>
      <c r="H5698" s="197">
        <v>6.11</v>
      </c>
      <c r="I5698" s="7" t="s">
        <v>16815</v>
      </c>
      <c r="J5698" s="7" t="s">
        <v>16582</v>
      </c>
      <c r="K5698" s="7" t="s">
        <v>16583</v>
      </c>
      <c r="L5698" s="198" t="s">
        <v>65</v>
      </c>
      <c r="M5698" s="194"/>
      <c r="N5698" s="194"/>
    </row>
    <row r="5699">
      <c r="A5699" s="193" t="s">
        <v>24421</v>
      </c>
      <c r="B5699" s="7" t="s">
        <v>187</v>
      </c>
      <c r="C5699" s="7" t="s">
        <v>16969</v>
      </c>
      <c r="D5699" s="194">
        <v>2007.0</v>
      </c>
      <c r="E5699" s="193"/>
      <c r="F5699" s="195" t="s">
        <v>24422</v>
      </c>
      <c r="G5699" s="196">
        <v>2.39768292E8</v>
      </c>
      <c r="H5699" s="197">
        <v>2.47</v>
      </c>
      <c r="I5699" s="7" t="s">
        <v>16815</v>
      </c>
      <c r="J5699" s="7" t="s">
        <v>187</v>
      </c>
      <c r="K5699" s="7" t="s">
        <v>16969</v>
      </c>
      <c r="L5699" s="198" t="s">
        <v>65</v>
      </c>
      <c r="M5699" s="194"/>
      <c r="N5699" s="194"/>
    </row>
    <row r="5700">
      <c r="A5700" s="193" t="s">
        <v>24423</v>
      </c>
      <c r="B5700" s="7" t="s">
        <v>16582</v>
      </c>
      <c r="C5700" s="7" t="s">
        <v>16930</v>
      </c>
      <c r="D5700" s="194">
        <v>1993.0</v>
      </c>
      <c r="E5700" s="193"/>
      <c r="F5700" s="195" t="s">
        <v>24424</v>
      </c>
      <c r="G5700" s="196">
        <v>2.39724709E8</v>
      </c>
      <c r="H5700" s="197">
        <v>8.35</v>
      </c>
      <c r="I5700" s="7" t="s">
        <v>16815</v>
      </c>
      <c r="J5700" s="7" t="s">
        <v>16582</v>
      </c>
      <c r="K5700" s="7" t="s">
        <v>16930</v>
      </c>
      <c r="L5700" s="198" t="s">
        <v>65</v>
      </c>
      <c r="M5700" s="194"/>
      <c r="N5700" s="194"/>
    </row>
    <row r="5701">
      <c r="A5701" s="193" t="s">
        <v>24425</v>
      </c>
      <c r="B5701" s="7" t="s">
        <v>16582</v>
      </c>
      <c r="C5701" s="7" t="s">
        <v>16817</v>
      </c>
      <c r="D5701" s="199"/>
      <c r="E5701" s="193"/>
      <c r="F5701" s="195" t="s">
        <v>24426</v>
      </c>
      <c r="G5701" s="196">
        <v>2.39081343E8</v>
      </c>
      <c r="H5701" s="197">
        <v>4.55</v>
      </c>
      <c r="I5701" s="7" t="s">
        <v>16815</v>
      </c>
      <c r="J5701" s="7" t="s">
        <v>16582</v>
      </c>
      <c r="K5701" s="7" t="s">
        <v>16817</v>
      </c>
      <c r="L5701" s="198" t="s">
        <v>65</v>
      </c>
      <c r="M5701" s="199"/>
      <c r="N5701" s="199"/>
    </row>
    <row r="5702">
      <c r="A5702" s="193" t="s">
        <v>24427</v>
      </c>
      <c r="B5702" s="7" t="s">
        <v>16838</v>
      </c>
      <c r="C5702" s="7" t="s">
        <v>16867</v>
      </c>
      <c r="D5702" s="194">
        <v>2006.0</v>
      </c>
      <c r="E5702" s="193"/>
      <c r="F5702" s="195" t="s">
        <v>24428</v>
      </c>
      <c r="G5702" s="196">
        <v>2.38227273E8</v>
      </c>
      <c r="H5702" s="197">
        <v>9.65</v>
      </c>
      <c r="I5702" s="7" t="s">
        <v>16815</v>
      </c>
      <c r="J5702" s="7" t="s">
        <v>16838</v>
      </c>
      <c r="K5702" s="7" t="s">
        <v>16867</v>
      </c>
      <c r="L5702" s="198" t="s">
        <v>65</v>
      </c>
      <c r="M5702" s="194"/>
      <c r="N5702" s="194"/>
    </row>
    <row r="5703">
      <c r="A5703" s="193" t="s">
        <v>24429</v>
      </c>
      <c r="B5703" s="7" t="s">
        <v>16910</v>
      </c>
      <c r="C5703" s="7" t="s">
        <v>17318</v>
      </c>
      <c r="D5703" s="199"/>
      <c r="E5703" s="193"/>
      <c r="F5703" s="195" t="s">
        <v>24430</v>
      </c>
      <c r="G5703" s="196">
        <v>2.38116809E8</v>
      </c>
      <c r="H5703" s="197">
        <v>25.01</v>
      </c>
      <c r="I5703" s="7" t="s">
        <v>18397</v>
      </c>
      <c r="J5703" s="7" t="s">
        <v>16910</v>
      </c>
      <c r="K5703" s="7" t="s">
        <v>17318</v>
      </c>
      <c r="L5703" s="198" t="s">
        <v>65</v>
      </c>
      <c r="M5703" s="199"/>
      <c r="N5703" s="199"/>
    </row>
    <row r="5704">
      <c r="A5704" s="193" t="s">
        <v>24431</v>
      </c>
      <c r="B5704" s="7" t="s">
        <v>175</v>
      </c>
      <c r="C5704" s="7" t="s">
        <v>17069</v>
      </c>
      <c r="D5704" s="194">
        <v>2019.0</v>
      </c>
      <c r="E5704" s="193"/>
      <c r="F5704" s="195" t="s">
        <v>24432</v>
      </c>
      <c r="G5704" s="196">
        <v>2.38081675E8</v>
      </c>
      <c r="H5704" s="197">
        <v>3.19</v>
      </c>
      <c r="I5704" s="7" t="s">
        <v>16908</v>
      </c>
      <c r="J5704" s="7" t="s">
        <v>175</v>
      </c>
      <c r="K5704" s="7" t="s">
        <v>17069</v>
      </c>
      <c r="L5704" s="198" t="s">
        <v>65</v>
      </c>
      <c r="M5704" s="194"/>
      <c r="N5704" s="194"/>
    </row>
    <row r="5705">
      <c r="A5705" s="193" t="s">
        <v>24433</v>
      </c>
      <c r="B5705" s="7" t="s">
        <v>187</v>
      </c>
      <c r="C5705" s="7" t="s">
        <v>16851</v>
      </c>
      <c r="D5705" s="194">
        <v>2017.0</v>
      </c>
      <c r="E5705" s="193"/>
      <c r="F5705" s="195" t="s">
        <v>24434</v>
      </c>
      <c r="G5705" s="196">
        <v>2.3791084E8</v>
      </c>
      <c r="H5705" s="197">
        <v>10.77</v>
      </c>
      <c r="I5705" s="7" t="s">
        <v>16815</v>
      </c>
      <c r="J5705" s="7" t="s">
        <v>187</v>
      </c>
      <c r="K5705" s="7" t="s">
        <v>16851</v>
      </c>
      <c r="L5705" s="198" t="s">
        <v>65</v>
      </c>
      <c r="M5705" s="194"/>
      <c r="N5705" s="194"/>
    </row>
    <row r="5706">
      <c r="A5706" s="193" t="s">
        <v>24435</v>
      </c>
      <c r="B5706" s="7" t="s">
        <v>16945</v>
      </c>
      <c r="C5706" s="7" t="s">
        <v>169</v>
      </c>
      <c r="D5706" s="199"/>
      <c r="E5706" s="193"/>
      <c r="F5706" s="195" t="s">
        <v>24436</v>
      </c>
      <c r="G5706" s="200">
        <v>2.37819067E8</v>
      </c>
      <c r="H5706" s="197">
        <v>4.87</v>
      </c>
      <c r="I5706" s="7" t="s">
        <v>16815</v>
      </c>
      <c r="J5706" s="7" t="s">
        <v>16945</v>
      </c>
      <c r="K5706" s="7" t="s">
        <v>169</v>
      </c>
      <c r="L5706" s="201" t="s">
        <v>16835</v>
      </c>
      <c r="M5706" s="199"/>
      <c r="N5706" s="199"/>
    </row>
    <row r="5707">
      <c r="A5707" s="193" t="s">
        <v>24435</v>
      </c>
      <c r="B5707" s="7" t="s">
        <v>169</v>
      </c>
      <c r="C5707" s="7" t="s">
        <v>16945</v>
      </c>
      <c r="D5707" s="199"/>
      <c r="E5707" s="193"/>
      <c r="F5707" s="195" t="s">
        <v>24436</v>
      </c>
      <c r="G5707" s="196">
        <v>2.37819067E8</v>
      </c>
      <c r="H5707" s="197">
        <v>4.87</v>
      </c>
      <c r="I5707" s="7" t="s">
        <v>16815</v>
      </c>
      <c r="J5707" s="7" t="s">
        <v>169</v>
      </c>
      <c r="K5707" s="7" t="s">
        <v>16945</v>
      </c>
      <c r="L5707" s="198" t="s">
        <v>65</v>
      </c>
      <c r="M5707" s="199"/>
      <c r="N5707" s="199"/>
    </row>
    <row r="5708">
      <c r="A5708" s="193" t="s">
        <v>24437</v>
      </c>
      <c r="B5708" s="7" t="s">
        <v>17111</v>
      </c>
      <c r="C5708" s="7" t="s">
        <v>17112</v>
      </c>
      <c r="D5708" s="194">
        <v>2021.0</v>
      </c>
      <c r="E5708" s="193"/>
      <c r="F5708" s="195" t="s">
        <v>24438</v>
      </c>
      <c r="G5708" s="200">
        <v>2.37419756E8</v>
      </c>
      <c r="H5708" s="197">
        <v>9.51</v>
      </c>
      <c r="I5708" s="7" t="s">
        <v>16815</v>
      </c>
      <c r="J5708" s="7" t="s">
        <v>17111</v>
      </c>
      <c r="K5708" s="7" t="s">
        <v>17112</v>
      </c>
      <c r="L5708" s="201" t="s">
        <v>16835</v>
      </c>
      <c r="M5708" s="194"/>
      <c r="N5708" s="194"/>
    </row>
    <row r="5709">
      <c r="A5709" s="193" t="s">
        <v>24437</v>
      </c>
      <c r="B5709" s="7" t="s">
        <v>17112</v>
      </c>
      <c r="C5709" s="7" t="s">
        <v>17111</v>
      </c>
      <c r="D5709" s="194">
        <v>2021.0</v>
      </c>
      <c r="E5709" s="193"/>
      <c r="F5709" s="195" t="s">
        <v>24438</v>
      </c>
      <c r="G5709" s="196">
        <v>2.37419756E8</v>
      </c>
      <c r="H5709" s="197">
        <v>9.51</v>
      </c>
      <c r="I5709" s="7" t="s">
        <v>16815</v>
      </c>
      <c r="J5709" s="7" t="s">
        <v>17112</v>
      </c>
      <c r="K5709" s="7" t="s">
        <v>17111</v>
      </c>
      <c r="L5709" s="198" t="s">
        <v>65</v>
      </c>
      <c r="M5709" s="194"/>
      <c r="N5709" s="194"/>
    </row>
    <row r="5710">
      <c r="A5710" s="193" t="s">
        <v>24439</v>
      </c>
      <c r="B5710" s="7" t="s">
        <v>16838</v>
      </c>
      <c r="C5710" s="7" t="s">
        <v>18219</v>
      </c>
      <c r="D5710" s="199"/>
      <c r="E5710" s="193"/>
      <c r="F5710" s="195" t="s">
        <v>24440</v>
      </c>
      <c r="G5710" s="196">
        <v>2.37216682E8</v>
      </c>
      <c r="H5710" s="197">
        <v>5.33</v>
      </c>
      <c r="I5710" s="7" t="s">
        <v>16924</v>
      </c>
      <c r="J5710" s="7" t="s">
        <v>16838</v>
      </c>
      <c r="K5710" s="7" t="s">
        <v>18219</v>
      </c>
      <c r="L5710" s="198" t="s">
        <v>65</v>
      </c>
      <c r="M5710" s="199"/>
      <c r="N5710" s="199"/>
    </row>
    <row r="5711">
      <c r="A5711" s="193" t="s">
        <v>24441</v>
      </c>
      <c r="B5711" s="7" t="s">
        <v>16919</v>
      </c>
      <c r="C5711" s="7" t="s">
        <v>17048</v>
      </c>
      <c r="D5711" s="199"/>
      <c r="E5711" s="193"/>
      <c r="F5711" s="195" t="s">
        <v>24442</v>
      </c>
      <c r="G5711" s="196">
        <v>2.36770679E8</v>
      </c>
      <c r="H5711" s="197">
        <v>21.65</v>
      </c>
      <c r="I5711" s="7" t="s">
        <v>16815</v>
      </c>
      <c r="J5711" s="7" t="s">
        <v>16919</v>
      </c>
      <c r="K5711" s="7" t="s">
        <v>17048</v>
      </c>
      <c r="L5711" s="198" t="s">
        <v>65</v>
      </c>
      <c r="M5711" s="199"/>
      <c r="N5711" s="199"/>
    </row>
    <row r="5712">
      <c r="A5712" s="193" t="s">
        <v>24441</v>
      </c>
      <c r="B5712" s="7" t="s">
        <v>17048</v>
      </c>
      <c r="C5712" s="7" t="s">
        <v>16919</v>
      </c>
      <c r="D5712" s="199"/>
      <c r="E5712" s="193"/>
      <c r="F5712" s="195" t="s">
        <v>24442</v>
      </c>
      <c r="G5712" s="200">
        <v>2.36770679E8</v>
      </c>
      <c r="H5712" s="197">
        <v>21.65</v>
      </c>
      <c r="I5712" s="7" t="s">
        <v>16815</v>
      </c>
      <c r="J5712" s="7" t="s">
        <v>17048</v>
      </c>
      <c r="K5712" s="7" t="s">
        <v>16919</v>
      </c>
      <c r="L5712" s="201" t="s">
        <v>16835</v>
      </c>
      <c r="M5712" s="199"/>
      <c r="N5712" s="199"/>
    </row>
    <row r="5713">
      <c r="A5713" s="193" t="s">
        <v>24443</v>
      </c>
      <c r="B5713" s="7" t="s">
        <v>175</v>
      </c>
      <c r="C5713" s="7" t="s">
        <v>17606</v>
      </c>
      <c r="D5713" s="194">
        <v>2017.0</v>
      </c>
      <c r="E5713" s="193"/>
      <c r="F5713" s="195" t="s">
        <v>24444</v>
      </c>
      <c r="G5713" s="196">
        <v>2.36076229E8</v>
      </c>
      <c r="H5713" s="197">
        <v>4.36</v>
      </c>
      <c r="I5713" s="7" t="s">
        <v>16892</v>
      </c>
      <c r="J5713" s="7" t="s">
        <v>175</v>
      </c>
      <c r="K5713" s="7" t="s">
        <v>17606</v>
      </c>
      <c r="L5713" s="198" t="s">
        <v>65</v>
      </c>
      <c r="M5713" s="194"/>
      <c r="N5713" s="194"/>
    </row>
    <row r="5714">
      <c r="A5714" s="193" t="s">
        <v>24445</v>
      </c>
      <c r="B5714" s="7" t="s">
        <v>175</v>
      </c>
      <c r="C5714" s="7" t="s">
        <v>18723</v>
      </c>
      <c r="D5714" s="199"/>
      <c r="E5714" s="193"/>
      <c r="F5714" s="195" t="s">
        <v>24446</v>
      </c>
      <c r="G5714" s="196">
        <v>2.35062654E8</v>
      </c>
      <c r="H5714" s="197">
        <v>7.4903</v>
      </c>
      <c r="I5714" s="7" t="s">
        <v>16908</v>
      </c>
      <c r="J5714" s="7" t="s">
        <v>175</v>
      </c>
      <c r="K5714" s="7" t="s">
        <v>18723</v>
      </c>
      <c r="L5714" s="198" t="s">
        <v>65</v>
      </c>
      <c r="M5714" s="199"/>
      <c r="N5714" s="199"/>
    </row>
    <row r="5715">
      <c r="A5715" s="193" t="s">
        <v>24447</v>
      </c>
      <c r="B5715" s="7" t="s">
        <v>16919</v>
      </c>
      <c r="C5715" s="7" t="s">
        <v>17794</v>
      </c>
      <c r="D5715" s="199"/>
      <c r="E5715" s="193"/>
      <c r="F5715" s="195" t="s">
        <v>24448</v>
      </c>
      <c r="G5715" s="196">
        <v>2.35015816E8</v>
      </c>
      <c r="H5715" s="197">
        <v>9.77</v>
      </c>
      <c r="I5715" s="7" t="s">
        <v>16815</v>
      </c>
      <c r="J5715" s="7" t="s">
        <v>16919</v>
      </c>
      <c r="K5715" s="7" t="s">
        <v>17794</v>
      </c>
      <c r="L5715" s="198" t="s">
        <v>65</v>
      </c>
      <c r="M5715" s="199"/>
      <c r="N5715" s="199"/>
    </row>
    <row r="5716">
      <c r="A5716" s="193" t="s">
        <v>24449</v>
      </c>
      <c r="B5716" s="7" t="s">
        <v>17112</v>
      </c>
      <c r="C5716" s="7" t="s">
        <v>17111</v>
      </c>
      <c r="D5716" s="199"/>
      <c r="E5716" s="193"/>
      <c r="F5716" s="195" t="s">
        <v>24450</v>
      </c>
      <c r="G5716" s="196">
        <v>2.35003371E8</v>
      </c>
      <c r="H5716" s="197">
        <v>4.82</v>
      </c>
      <c r="I5716" s="7" t="s">
        <v>16815</v>
      </c>
      <c r="J5716" s="7" t="s">
        <v>17112</v>
      </c>
      <c r="K5716" s="7" t="s">
        <v>17111</v>
      </c>
      <c r="L5716" s="198" t="s">
        <v>65</v>
      </c>
      <c r="M5716" s="199"/>
      <c r="N5716" s="199"/>
    </row>
    <row r="5717">
      <c r="A5717" s="193" t="s">
        <v>24451</v>
      </c>
      <c r="B5717" s="7" t="s">
        <v>175</v>
      </c>
      <c r="C5717" s="7" t="s">
        <v>19996</v>
      </c>
      <c r="D5717" s="194">
        <v>2021.0</v>
      </c>
      <c r="E5717" s="193"/>
      <c r="F5717" s="195" t="s">
        <v>24452</v>
      </c>
      <c r="G5717" s="196">
        <v>2.34682525E8</v>
      </c>
      <c r="H5717" s="197">
        <v>2.425</v>
      </c>
      <c r="I5717" s="7" t="s">
        <v>16908</v>
      </c>
      <c r="J5717" s="7" t="s">
        <v>175</v>
      </c>
      <c r="K5717" s="7" t="s">
        <v>19996</v>
      </c>
      <c r="L5717" s="198" t="s">
        <v>65</v>
      </c>
      <c r="M5717" s="194"/>
      <c r="N5717" s="194"/>
    </row>
    <row r="5718">
      <c r="A5718" s="193" t="s">
        <v>24453</v>
      </c>
      <c r="B5718" s="7" t="s">
        <v>169</v>
      </c>
      <c r="C5718" s="7" t="s">
        <v>17495</v>
      </c>
      <c r="D5718" s="194">
        <v>1991.0</v>
      </c>
      <c r="E5718" s="193"/>
      <c r="F5718" s="195" t="s">
        <v>24454</v>
      </c>
      <c r="G5718" s="196">
        <v>2.3436209E8</v>
      </c>
      <c r="H5718" s="197">
        <v>7.73</v>
      </c>
      <c r="I5718" s="7" t="s">
        <v>16815</v>
      </c>
      <c r="J5718" s="7" t="s">
        <v>169</v>
      </c>
      <c r="K5718" s="7" t="s">
        <v>17495</v>
      </c>
      <c r="L5718" s="198" t="s">
        <v>65</v>
      </c>
      <c r="M5718" s="194"/>
      <c r="N5718" s="194"/>
    </row>
    <row r="5719">
      <c r="A5719" s="193" t="s">
        <v>24455</v>
      </c>
      <c r="B5719" s="7" t="s">
        <v>187</v>
      </c>
      <c r="C5719" s="7" t="s">
        <v>16846</v>
      </c>
      <c r="D5719" s="194">
        <v>2018.0</v>
      </c>
      <c r="E5719" s="193"/>
      <c r="F5719" s="195" t="s">
        <v>24456</v>
      </c>
      <c r="G5719" s="196">
        <v>2.32641198E8</v>
      </c>
      <c r="H5719" s="197">
        <v>1.685</v>
      </c>
      <c r="I5719" s="7" t="s">
        <v>16815</v>
      </c>
      <c r="J5719" s="7" t="s">
        <v>187</v>
      </c>
      <c r="K5719" s="7" t="s">
        <v>16846</v>
      </c>
      <c r="L5719" s="198" t="s">
        <v>65</v>
      </c>
      <c r="M5719" s="194"/>
      <c r="N5719" s="194"/>
    </row>
    <row r="5720">
      <c r="A5720" s="193" t="s">
        <v>24457</v>
      </c>
      <c r="B5720" s="7" t="s">
        <v>16838</v>
      </c>
      <c r="C5720" s="7" t="s">
        <v>16867</v>
      </c>
      <c r="D5720" s="199"/>
      <c r="E5720" s="193"/>
      <c r="F5720" s="195" t="s">
        <v>24458</v>
      </c>
      <c r="G5720" s="196">
        <v>2.32448155E8</v>
      </c>
      <c r="H5720" s="197">
        <v>21.9</v>
      </c>
      <c r="I5720" s="7" t="s">
        <v>16815</v>
      </c>
      <c r="J5720" s="7" t="s">
        <v>16838</v>
      </c>
      <c r="K5720" s="7" t="s">
        <v>16867</v>
      </c>
      <c r="L5720" s="198" t="s">
        <v>65</v>
      </c>
      <c r="M5720" s="199"/>
      <c r="N5720" s="199"/>
    </row>
    <row r="5721">
      <c r="A5721" s="193" t="s">
        <v>24459</v>
      </c>
      <c r="B5721" s="7" t="s">
        <v>169</v>
      </c>
      <c r="C5721" s="7" t="s">
        <v>17509</v>
      </c>
      <c r="D5721" s="194">
        <v>2019.0</v>
      </c>
      <c r="E5721" s="193"/>
      <c r="F5721" s="195" t="s">
        <v>24460</v>
      </c>
      <c r="G5721" s="196">
        <v>2.31718342E8</v>
      </c>
      <c r="H5721" s="197">
        <v>11.41</v>
      </c>
      <c r="I5721" s="7" t="s">
        <v>16815</v>
      </c>
      <c r="J5721" s="7" t="s">
        <v>169</v>
      </c>
      <c r="K5721" s="7" t="s">
        <v>17509</v>
      </c>
      <c r="L5721" s="198" t="s">
        <v>65</v>
      </c>
      <c r="M5721" s="194"/>
      <c r="N5721" s="194"/>
    </row>
    <row r="5722">
      <c r="A5722" s="193" t="s">
        <v>24459</v>
      </c>
      <c r="B5722" s="7" t="s">
        <v>17509</v>
      </c>
      <c r="C5722" s="7" t="s">
        <v>169</v>
      </c>
      <c r="D5722" s="194">
        <v>2019.0</v>
      </c>
      <c r="E5722" s="193"/>
      <c r="F5722" s="195" t="s">
        <v>24460</v>
      </c>
      <c r="G5722" s="200">
        <v>2.31718342E8</v>
      </c>
      <c r="H5722" s="197">
        <v>11.41</v>
      </c>
      <c r="I5722" s="7" t="s">
        <v>16815</v>
      </c>
      <c r="J5722" s="7" t="s">
        <v>17509</v>
      </c>
      <c r="K5722" s="7" t="s">
        <v>169</v>
      </c>
      <c r="L5722" s="201" t="s">
        <v>16835</v>
      </c>
      <c r="M5722" s="194"/>
      <c r="N5722" s="194"/>
    </row>
    <row r="5723">
      <c r="A5723" s="193" t="s">
        <v>24461</v>
      </c>
      <c r="B5723" s="7" t="s">
        <v>16838</v>
      </c>
      <c r="C5723" s="7" t="s">
        <v>16837</v>
      </c>
      <c r="D5723" s="194">
        <v>2005.0</v>
      </c>
      <c r="E5723" s="193"/>
      <c r="F5723" s="195" t="s">
        <v>24462</v>
      </c>
      <c r="G5723" s="196">
        <v>2.30869127E8</v>
      </c>
      <c r="H5723" s="197">
        <v>11.22</v>
      </c>
      <c r="I5723" s="7" t="s">
        <v>16815</v>
      </c>
      <c r="J5723" s="7" t="s">
        <v>16838</v>
      </c>
      <c r="K5723" s="7" t="s">
        <v>16837</v>
      </c>
      <c r="L5723" s="198" t="s">
        <v>65</v>
      </c>
      <c r="M5723" s="194"/>
      <c r="N5723" s="194"/>
    </row>
    <row r="5724">
      <c r="A5724" s="193" t="s">
        <v>24463</v>
      </c>
      <c r="B5724" s="7" t="s">
        <v>16838</v>
      </c>
      <c r="C5724" s="7" t="s">
        <v>18956</v>
      </c>
      <c r="D5724" s="194">
        <v>2012.0</v>
      </c>
      <c r="E5724" s="193"/>
      <c r="F5724" s="195" t="s">
        <v>24464</v>
      </c>
      <c r="G5724" s="196">
        <v>2.30272666E8</v>
      </c>
      <c r="H5724" s="197">
        <v>29.53</v>
      </c>
      <c r="I5724" s="7" t="s">
        <v>16815</v>
      </c>
      <c r="J5724" s="7" t="s">
        <v>16838</v>
      </c>
      <c r="K5724" s="7" t="s">
        <v>18956</v>
      </c>
      <c r="L5724" s="198" t="s">
        <v>65</v>
      </c>
      <c r="M5724" s="194"/>
      <c r="N5724" s="194"/>
    </row>
    <row r="5725">
      <c r="A5725" s="193" t="s">
        <v>24465</v>
      </c>
      <c r="B5725" s="7" t="s">
        <v>16838</v>
      </c>
      <c r="C5725" s="7" t="s">
        <v>18956</v>
      </c>
      <c r="D5725" s="199"/>
      <c r="E5725" s="193"/>
      <c r="F5725" s="195" t="s">
        <v>24466</v>
      </c>
      <c r="G5725" s="196">
        <v>2.30024369E8</v>
      </c>
      <c r="H5725" s="197">
        <v>28.415</v>
      </c>
      <c r="I5725" s="7" t="s">
        <v>16815</v>
      </c>
      <c r="J5725" s="7" t="s">
        <v>16838</v>
      </c>
      <c r="K5725" s="7" t="s">
        <v>18956</v>
      </c>
      <c r="L5725" s="198" t="s">
        <v>65</v>
      </c>
      <c r="M5725" s="199"/>
      <c r="N5725" s="199"/>
    </row>
    <row r="5726">
      <c r="A5726" s="193" t="s">
        <v>24467</v>
      </c>
      <c r="B5726" s="7" t="s">
        <v>187</v>
      </c>
      <c r="C5726" s="7" t="s">
        <v>16846</v>
      </c>
      <c r="D5726" s="194">
        <v>2017.0</v>
      </c>
      <c r="E5726" s="193"/>
      <c r="F5726" s="195" t="s">
        <v>24468</v>
      </c>
      <c r="G5726" s="196">
        <v>2.29711791E8</v>
      </c>
      <c r="H5726" s="197">
        <v>3.25</v>
      </c>
      <c r="I5726" s="7" t="s">
        <v>16815</v>
      </c>
      <c r="J5726" s="7" t="s">
        <v>187</v>
      </c>
      <c r="K5726" s="7" t="s">
        <v>16846</v>
      </c>
      <c r="L5726" s="198" t="s">
        <v>65</v>
      </c>
      <c r="M5726" s="194"/>
      <c r="N5726" s="194"/>
    </row>
    <row r="5727">
      <c r="A5727" s="193" t="s">
        <v>24469</v>
      </c>
      <c r="B5727" s="7" t="s">
        <v>17321</v>
      </c>
      <c r="C5727" s="7" t="s">
        <v>169</v>
      </c>
      <c r="D5727" s="194">
        <v>2012.0</v>
      </c>
      <c r="E5727" s="193"/>
      <c r="F5727" s="195" t="s">
        <v>24470</v>
      </c>
      <c r="G5727" s="200">
        <v>2.29647794E8</v>
      </c>
      <c r="H5727" s="197">
        <v>22.53</v>
      </c>
      <c r="I5727" s="7" t="s">
        <v>16815</v>
      </c>
      <c r="J5727" s="7" t="s">
        <v>17321</v>
      </c>
      <c r="K5727" s="7" t="s">
        <v>169</v>
      </c>
      <c r="L5727" s="201" t="s">
        <v>16835</v>
      </c>
      <c r="M5727" s="194"/>
      <c r="N5727" s="194"/>
    </row>
    <row r="5728">
      <c r="A5728" s="193" t="s">
        <v>24469</v>
      </c>
      <c r="B5728" s="7" t="s">
        <v>169</v>
      </c>
      <c r="C5728" s="7" t="s">
        <v>17321</v>
      </c>
      <c r="D5728" s="194">
        <v>2012.0</v>
      </c>
      <c r="E5728" s="193"/>
      <c r="F5728" s="195" t="s">
        <v>24470</v>
      </c>
      <c r="G5728" s="196">
        <v>2.29647794E8</v>
      </c>
      <c r="H5728" s="197">
        <v>22.53</v>
      </c>
      <c r="I5728" s="7" t="s">
        <v>16815</v>
      </c>
      <c r="J5728" s="7" t="s">
        <v>169</v>
      </c>
      <c r="K5728" s="7" t="s">
        <v>17321</v>
      </c>
      <c r="L5728" s="198" t="s">
        <v>65</v>
      </c>
      <c r="M5728" s="194"/>
      <c r="N5728" s="194"/>
    </row>
    <row r="5729">
      <c r="A5729" s="193" t="s">
        <v>24471</v>
      </c>
      <c r="B5729" s="7" t="s">
        <v>16838</v>
      </c>
      <c r="C5729" s="7" t="s">
        <v>17202</v>
      </c>
      <c r="D5729" s="194">
        <v>2013.0</v>
      </c>
      <c r="E5729" s="193"/>
      <c r="F5729" s="195" t="s">
        <v>24472</v>
      </c>
      <c r="G5729" s="196">
        <v>2.29414281E8</v>
      </c>
      <c r="H5729" s="197">
        <v>16.52</v>
      </c>
      <c r="I5729" s="7" t="s">
        <v>16815</v>
      </c>
      <c r="J5729" s="7" t="s">
        <v>16838</v>
      </c>
      <c r="K5729" s="7" t="s">
        <v>17202</v>
      </c>
      <c r="L5729" s="198" t="s">
        <v>65</v>
      </c>
      <c r="M5729" s="194"/>
      <c r="N5729" s="194"/>
    </row>
    <row r="5730">
      <c r="A5730" s="193" t="s">
        <v>24473</v>
      </c>
      <c r="B5730" s="7" t="s">
        <v>16838</v>
      </c>
      <c r="C5730" s="7" t="s">
        <v>16867</v>
      </c>
      <c r="D5730" s="199"/>
      <c r="E5730" s="193"/>
      <c r="F5730" s="195" t="s">
        <v>24474</v>
      </c>
      <c r="G5730" s="196">
        <v>2.28988453E8</v>
      </c>
      <c r="H5730" s="197">
        <v>14.54</v>
      </c>
      <c r="I5730" s="7" t="s">
        <v>16815</v>
      </c>
      <c r="J5730" s="7" t="s">
        <v>16838</v>
      </c>
      <c r="K5730" s="7" t="s">
        <v>16867</v>
      </c>
      <c r="L5730" s="198" t="s">
        <v>65</v>
      </c>
      <c r="M5730" s="199"/>
      <c r="N5730" s="199"/>
    </row>
    <row r="5731">
      <c r="A5731" s="193" t="s">
        <v>24475</v>
      </c>
      <c r="B5731" s="7" t="s">
        <v>169</v>
      </c>
      <c r="C5731" s="7" t="s">
        <v>17025</v>
      </c>
      <c r="D5731" s="194">
        <v>2021.0</v>
      </c>
      <c r="E5731" s="193"/>
      <c r="F5731" s="195" t="s">
        <v>24476</v>
      </c>
      <c r="G5731" s="196">
        <v>2.27957668E8</v>
      </c>
      <c r="H5731" s="197">
        <v>0.995</v>
      </c>
      <c r="I5731" s="7" t="s">
        <v>16815</v>
      </c>
      <c r="J5731" s="7" t="s">
        <v>169</v>
      </c>
      <c r="K5731" s="7" t="s">
        <v>17025</v>
      </c>
      <c r="L5731" s="198" t="s">
        <v>65</v>
      </c>
      <c r="M5731" s="194"/>
      <c r="N5731" s="194"/>
    </row>
    <row r="5732">
      <c r="A5732" s="193" t="s">
        <v>24477</v>
      </c>
      <c r="B5732" s="7" t="s">
        <v>16885</v>
      </c>
      <c r="C5732" s="7" t="s">
        <v>16886</v>
      </c>
      <c r="D5732" s="199"/>
      <c r="E5732" s="193"/>
      <c r="F5732" s="195" t="s">
        <v>24478</v>
      </c>
      <c r="G5732" s="196">
        <v>2.27535163E8</v>
      </c>
      <c r="H5732" s="197">
        <v>1.06</v>
      </c>
      <c r="I5732" s="7" t="s">
        <v>16888</v>
      </c>
      <c r="J5732" s="7" t="s">
        <v>16885</v>
      </c>
      <c r="K5732" s="7" t="s">
        <v>16886</v>
      </c>
      <c r="L5732" s="198" t="s">
        <v>65</v>
      </c>
      <c r="M5732" s="199"/>
      <c r="N5732" s="199"/>
    </row>
    <row r="5733">
      <c r="A5733" s="193" t="s">
        <v>24479</v>
      </c>
      <c r="B5733" s="7" t="s">
        <v>169</v>
      </c>
      <c r="C5733" s="7" t="s">
        <v>17827</v>
      </c>
      <c r="D5733" s="199"/>
      <c r="E5733" s="193"/>
      <c r="F5733" s="195" t="s">
        <v>24480</v>
      </c>
      <c r="G5733" s="196">
        <v>2.25980365E8</v>
      </c>
      <c r="H5733" s="197">
        <v>6.4</v>
      </c>
      <c r="I5733" s="7" t="s">
        <v>16815</v>
      </c>
      <c r="J5733" s="7" t="s">
        <v>169</v>
      </c>
      <c r="K5733" s="7" t="s">
        <v>17827</v>
      </c>
      <c r="L5733" s="198" t="s">
        <v>65</v>
      </c>
      <c r="M5733" s="199"/>
      <c r="N5733" s="199"/>
    </row>
    <row r="5734">
      <c r="A5734" s="193" t="s">
        <v>24481</v>
      </c>
      <c r="B5734" s="7" t="s">
        <v>175</v>
      </c>
      <c r="C5734" s="7" t="s">
        <v>18723</v>
      </c>
      <c r="D5734" s="199"/>
      <c r="E5734" s="193"/>
      <c r="F5734" s="195" t="s">
        <v>24482</v>
      </c>
      <c r="G5734" s="196">
        <v>2.25629785E8</v>
      </c>
      <c r="H5734" s="197">
        <v>10.13</v>
      </c>
      <c r="I5734" s="7" t="s">
        <v>17785</v>
      </c>
      <c r="J5734" s="7" t="s">
        <v>175</v>
      </c>
      <c r="K5734" s="7" t="s">
        <v>18723</v>
      </c>
      <c r="L5734" s="198" t="s">
        <v>65</v>
      </c>
      <c r="M5734" s="199"/>
      <c r="N5734" s="199"/>
    </row>
    <row r="5735">
      <c r="A5735" s="193" t="s">
        <v>24483</v>
      </c>
      <c r="B5735" s="7" t="s">
        <v>16838</v>
      </c>
      <c r="C5735" s="7" t="s">
        <v>16867</v>
      </c>
      <c r="D5735" s="199"/>
      <c r="E5735" s="193"/>
      <c r="F5735" s="195" t="s">
        <v>24484</v>
      </c>
      <c r="G5735" s="196">
        <v>2.25430341E8</v>
      </c>
      <c r="H5735" s="197">
        <v>27.87</v>
      </c>
      <c r="I5735" s="7" t="s">
        <v>16815</v>
      </c>
      <c r="J5735" s="7" t="s">
        <v>16838</v>
      </c>
      <c r="K5735" s="7" t="s">
        <v>16867</v>
      </c>
      <c r="L5735" s="198" t="s">
        <v>65</v>
      </c>
      <c r="M5735" s="199"/>
      <c r="N5735" s="199"/>
    </row>
    <row r="5736">
      <c r="A5736" s="193" t="s">
        <v>24485</v>
      </c>
      <c r="B5736" s="7" t="s">
        <v>175</v>
      </c>
      <c r="C5736" s="7" t="s">
        <v>17264</v>
      </c>
      <c r="D5736" s="199"/>
      <c r="E5736" s="193"/>
      <c r="F5736" s="195" t="s">
        <v>24486</v>
      </c>
      <c r="G5736" s="196">
        <v>2.25243731E8</v>
      </c>
      <c r="H5736" s="197">
        <v>4.39</v>
      </c>
      <c r="I5736" s="7" t="s">
        <v>24487</v>
      </c>
      <c r="J5736" s="7" t="s">
        <v>175</v>
      </c>
      <c r="K5736" s="7" t="s">
        <v>17264</v>
      </c>
      <c r="L5736" s="198" t="s">
        <v>65</v>
      </c>
      <c r="M5736" s="199"/>
      <c r="N5736" s="199"/>
    </row>
    <row r="5737">
      <c r="A5737" s="193" t="s">
        <v>24485</v>
      </c>
      <c r="B5737" s="7" t="s">
        <v>17264</v>
      </c>
      <c r="C5737" s="7" t="s">
        <v>175</v>
      </c>
      <c r="D5737" s="199"/>
      <c r="E5737" s="193"/>
      <c r="F5737" s="195" t="s">
        <v>24486</v>
      </c>
      <c r="G5737" s="200">
        <v>2.25243731E8</v>
      </c>
      <c r="H5737" s="197">
        <v>4.39</v>
      </c>
      <c r="I5737" s="7" t="s">
        <v>16815</v>
      </c>
      <c r="J5737" s="7" t="s">
        <v>17264</v>
      </c>
      <c r="K5737" s="7" t="s">
        <v>175</v>
      </c>
      <c r="L5737" s="201" t="s">
        <v>16835</v>
      </c>
      <c r="M5737" s="199"/>
      <c r="N5737" s="199"/>
    </row>
    <row r="5738">
      <c r="A5738" s="193" t="b">
        <v>1</v>
      </c>
      <c r="B5738" s="7" t="s">
        <v>16582</v>
      </c>
      <c r="C5738" s="7" t="s">
        <v>16583</v>
      </c>
      <c r="D5738" s="194">
        <v>2014.0</v>
      </c>
      <c r="E5738" s="193"/>
      <c r="F5738" s="195" t="s">
        <v>24488</v>
      </c>
      <c r="G5738" s="196">
        <v>2.25134936E8</v>
      </c>
      <c r="H5738" s="197">
        <v>2.48</v>
      </c>
      <c r="I5738" s="7" t="s">
        <v>16815</v>
      </c>
      <c r="J5738" s="7" t="s">
        <v>16582</v>
      </c>
      <c r="K5738" s="7" t="s">
        <v>16583</v>
      </c>
      <c r="L5738" s="198" t="s">
        <v>65</v>
      </c>
      <c r="M5738" s="194"/>
      <c r="N5738" s="194"/>
    </row>
    <row r="5739">
      <c r="A5739" s="193" t="s">
        <v>24489</v>
      </c>
      <c r="B5739" s="7" t="s">
        <v>187</v>
      </c>
      <c r="C5739" s="7" t="s">
        <v>23634</v>
      </c>
      <c r="D5739" s="199"/>
      <c r="E5739" s="193"/>
      <c r="F5739" s="195" t="s">
        <v>24490</v>
      </c>
      <c r="G5739" s="196">
        <v>2.24473265E8</v>
      </c>
      <c r="H5739" s="197">
        <v>5.09</v>
      </c>
      <c r="I5739" s="7" t="s">
        <v>16815</v>
      </c>
      <c r="J5739" s="7" t="s">
        <v>187</v>
      </c>
      <c r="K5739" s="7" t="s">
        <v>23634</v>
      </c>
      <c r="L5739" s="198" t="s">
        <v>65</v>
      </c>
      <c r="M5739" s="199"/>
      <c r="N5739" s="199"/>
    </row>
    <row r="5740">
      <c r="A5740" s="193" t="s">
        <v>24491</v>
      </c>
      <c r="B5740" s="7" t="s">
        <v>17016</v>
      </c>
      <c r="C5740" s="7" t="s">
        <v>16838</v>
      </c>
      <c r="D5740" s="194">
        <v>2012.0</v>
      </c>
      <c r="E5740" s="193"/>
      <c r="F5740" s="195" t="s">
        <v>24492</v>
      </c>
      <c r="G5740" s="200">
        <v>2.24330397E8</v>
      </c>
      <c r="H5740" s="197">
        <v>22.81</v>
      </c>
      <c r="I5740" s="7" t="s">
        <v>16815</v>
      </c>
      <c r="J5740" s="7" t="s">
        <v>17016</v>
      </c>
      <c r="K5740" s="7" t="s">
        <v>16838</v>
      </c>
      <c r="L5740" s="201" t="s">
        <v>16835</v>
      </c>
      <c r="M5740" s="194"/>
      <c r="N5740" s="194"/>
    </row>
    <row r="5741">
      <c r="A5741" s="193" t="s">
        <v>24491</v>
      </c>
      <c r="B5741" s="7" t="s">
        <v>16838</v>
      </c>
      <c r="C5741" s="7" t="s">
        <v>17016</v>
      </c>
      <c r="D5741" s="194">
        <v>2012.0</v>
      </c>
      <c r="E5741" s="193"/>
      <c r="F5741" s="195" t="s">
        <v>24492</v>
      </c>
      <c r="G5741" s="196">
        <v>2.24330397E8</v>
      </c>
      <c r="H5741" s="197">
        <v>22.81</v>
      </c>
      <c r="I5741" s="7" t="s">
        <v>16815</v>
      </c>
      <c r="J5741" s="7" t="s">
        <v>16838</v>
      </c>
      <c r="K5741" s="7" t="s">
        <v>17016</v>
      </c>
      <c r="L5741" s="198" t="s">
        <v>65</v>
      </c>
      <c r="M5741" s="194"/>
      <c r="N5741" s="194"/>
    </row>
    <row r="5742">
      <c r="A5742" s="193" t="s">
        <v>24493</v>
      </c>
      <c r="B5742" s="7" t="s">
        <v>175</v>
      </c>
      <c r="C5742" s="7" t="s">
        <v>17318</v>
      </c>
      <c r="D5742" s="194">
        <v>2010.0</v>
      </c>
      <c r="E5742" s="193"/>
      <c r="F5742" s="195" t="s">
        <v>24494</v>
      </c>
      <c r="G5742" s="196">
        <v>2.23158469E8</v>
      </c>
      <c r="H5742" s="197">
        <v>7.24</v>
      </c>
      <c r="I5742" s="7" t="s">
        <v>16856</v>
      </c>
      <c r="J5742" s="7" t="s">
        <v>175</v>
      </c>
      <c r="K5742" s="7" t="s">
        <v>17318</v>
      </c>
      <c r="L5742" s="198" t="s">
        <v>65</v>
      </c>
      <c r="M5742" s="194"/>
      <c r="N5742" s="194"/>
    </row>
    <row r="5743">
      <c r="A5743" s="193" t="s">
        <v>24495</v>
      </c>
      <c r="B5743" s="7" t="s">
        <v>17112</v>
      </c>
      <c r="C5743" s="7" t="s">
        <v>17111</v>
      </c>
      <c r="D5743" s="194">
        <v>2021.0</v>
      </c>
      <c r="E5743" s="193"/>
      <c r="F5743" s="195" t="s">
        <v>24496</v>
      </c>
      <c r="G5743" s="196">
        <v>2.22579743E8</v>
      </c>
      <c r="H5743" s="197">
        <v>10.88</v>
      </c>
      <c r="I5743" s="7" t="s">
        <v>16815</v>
      </c>
      <c r="J5743" s="7" t="s">
        <v>17112</v>
      </c>
      <c r="K5743" s="7" t="s">
        <v>17111</v>
      </c>
      <c r="L5743" s="198" t="s">
        <v>65</v>
      </c>
      <c r="M5743" s="194"/>
      <c r="N5743" s="194"/>
    </row>
    <row r="5744">
      <c r="A5744" s="193" t="s">
        <v>24497</v>
      </c>
      <c r="B5744" s="7" t="s">
        <v>169</v>
      </c>
      <c r="C5744" s="7" t="s">
        <v>17321</v>
      </c>
      <c r="D5744" s="199"/>
      <c r="E5744" s="193"/>
      <c r="F5744" s="195" t="s">
        <v>24498</v>
      </c>
      <c r="G5744" s="196">
        <v>2.21855645E8</v>
      </c>
      <c r="H5744" s="197">
        <v>20.03</v>
      </c>
      <c r="I5744" s="7" t="s">
        <v>16815</v>
      </c>
      <c r="J5744" s="7" t="s">
        <v>169</v>
      </c>
      <c r="K5744" s="7" t="s">
        <v>17321</v>
      </c>
      <c r="L5744" s="198" t="s">
        <v>65</v>
      </c>
      <c r="M5744" s="199"/>
      <c r="N5744" s="199"/>
    </row>
    <row r="5745">
      <c r="A5745" s="193" t="s">
        <v>24499</v>
      </c>
      <c r="B5745" s="7" t="s">
        <v>18005</v>
      </c>
      <c r="C5745" s="7" t="s">
        <v>187</v>
      </c>
      <c r="D5745" s="194">
        <v>2020.0</v>
      </c>
      <c r="E5745" s="193"/>
      <c r="F5745" s="195" t="s">
        <v>24500</v>
      </c>
      <c r="G5745" s="200">
        <v>2.21622164E8</v>
      </c>
      <c r="H5745" s="197">
        <v>1.07</v>
      </c>
      <c r="I5745" s="7" t="s">
        <v>16815</v>
      </c>
      <c r="J5745" s="7" t="s">
        <v>18005</v>
      </c>
      <c r="K5745" s="7" t="s">
        <v>187</v>
      </c>
      <c r="L5745" s="201" t="s">
        <v>16835</v>
      </c>
      <c r="M5745" s="194"/>
      <c r="N5745" s="194"/>
    </row>
    <row r="5746">
      <c r="A5746" s="193" t="s">
        <v>24499</v>
      </c>
      <c r="B5746" s="7" t="s">
        <v>187</v>
      </c>
      <c r="C5746" s="7" t="s">
        <v>18005</v>
      </c>
      <c r="D5746" s="194">
        <v>2020.0</v>
      </c>
      <c r="E5746" s="193"/>
      <c r="F5746" s="195" t="s">
        <v>24500</v>
      </c>
      <c r="G5746" s="196">
        <v>2.21622164E8</v>
      </c>
      <c r="H5746" s="197">
        <v>1.07</v>
      </c>
      <c r="I5746" s="7" t="s">
        <v>16815</v>
      </c>
      <c r="J5746" s="7" t="s">
        <v>187</v>
      </c>
      <c r="K5746" s="7" t="s">
        <v>18005</v>
      </c>
      <c r="L5746" s="198" t="s">
        <v>65</v>
      </c>
      <c r="M5746" s="194"/>
      <c r="N5746" s="194"/>
    </row>
    <row r="5747">
      <c r="A5747" s="193" t="s">
        <v>24501</v>
      </c>
      <c r="B5747" s="7" t="s">
        <v>16838</v>
      </c>
      <c r="C5747" s="7" t="s">
        <v>16867</v>
      </c>
      <c r="D5747" s="199"/>
      <c r="E5747" s="193"/>
      <c r="F5747" s="195" t="s">
        <v>24502</v>
      </c>
      <c r="G5747" s="196">
        <v>2.21574731E8</v>
      </c>
      <c r="H5747" s="197">
        <v>27.38</v>
      </c>
      <c r="I5747" s="7" t="s">
        <v>16815</v>
      </c>
      <c r="J5747" s="7" t="s">
        <v>16838</v>
      </c>
      <c r="K5747" s="7" t="s">
        <v>16867</v>
      </c>
      <c r="L5747" s="198" t="s">
        <v>65</v>
      </c>
      <c r="M5747" s="199"/>
      <c r="N5747" s="199"/>
    </row>
    <row r="5748">
      <c r="A5748" s="193" t="s">
        <v>24503</v>
      </c>
      <c r="B5748" s="7" t="s">
        <v>187</v>
      </c>
      <c r="C5748" s="7" t="s">
        <v>16846</v>
      </c>
      <c r="D5748" s="194">
        <v>2018.0</v>
      </c>
      <c r="E5748" s="193"/>
      <c r="F5748" s="195" t="s">
        <v>24504</v>
      </c>
      <c r="G5748" s="196">
        <v>2.2028197E8</v>
      </c>
      <c r="H5748" s="197">
        <v>5.05</v>
      </c>
      <c r="I5748" s="7" t="s">
        <v>16815</v>
      </c>
      <c r="J5748" s="7" t="s">
        <v>187</v>
      </c>
      <c r="K5748" s="7" t="s">
        <v>16846</v>
      </c>
      <c r="L5748" s="198" t="s">
        <v>65</v>
      </c>
      <c r="M5748" s="194"/>
      <c r="N5748" s="194"/>
    </row>
    <row r="5749">
      <c r="A5749" s="193" t="s">
        <v>24505</v>
      </c>
      <c r="B5749" s="7" t="s">
        <v>16582</v>
      </c>
      <c r="C5749" s="7" t="s">
        <v>16828</v>
      </c>
      <c r="D5749" s="194">
        <v>2023.0</v>
      </c>
      <c r="E5749" s="193"/>
      <c r="F5749" s="195" t="s">
        <v>24506</v>
      </c>
      <c r="G5749" s="196">
        <v>2.198768E8</v>
      </c>
      <c r="H5749" s="197">
        <v>8.06</v>
      </c>
      <c r="I5749" s="7" t="s">
        <v>16815</v>
      </c>
      <c r="J5749" s="7" t="s">
        <v>16582</v>
      </c>
      <c r="K5749" s="7" t="s">
        <v>16828</v>
      </c>
      <c r="L5749" s="198" t="s">
        <v>65</v>
      </c>
      <c r="M5749" s="194"/>
      <c r="N5749" s="194"/>
    </row>
    <row r="5750">
      <c r="A5750" s="193" t="s">
        <v>24507</v>
      </c>
      <c r="B5750" s="7" t="s">
        <v>187</v>
      </c>
      <c r="C5750" s="7" t="s">
        <v>16969</v>
      </c>
      <c r="D5750" s="199"/>
      <c r="E5750" s="193"/>
      <c r="F5750" s="195" t="s">
        <v>24508</v>
      </c>
      <c r="G5750" s="196">
        <v>2.1966483E8</v>
      </c>
      <c r="H5750" s="197">
        <v>32.04</v>
      </c>
      <c r="I5750" s="7" t="s">
        <v>16815</v>
      </c>
      <c r="J5750" s="7" t="s">
        <v>187</v>
      </c>
      <c r="K5750" s="7" t="s">
        <v>16969</v>
      </c>
      <c r="L5750" s="198" t="s">
        <v>65</v>
      </c>
      <c r="M5750" s="199"/>
      <c r="N5750" s="199"/>
    </row>
    <row r="5751">
      <c r="A5751" s="193" t="s">
        <v>24509</v>
      </c>
      <c r="B5751" s="7" t="s">
        <v>17112</v>
      </c>
      <c r="C5751" s="7" t="s">
        <v>17111</v>
      </c>
      <c r="D5751" s="199"/>
      <c r="E5751" s="193"/>
      <c r="F5751" s="195" t="s">
        <v>24510</v>
      </c>
      <c r="G5751" s="196">
        <v>2.19272348E8</v>
      </c>
      <c r="H5751" s="197">
        <v>2.12</v>
      </c>
      <c r="I5751" s="7" t="s">
        <v>16815</v>
      </c>
      <c r="J5751" s="7" t="s">
        <v>17112</v>
      </c>
      <c r="K5751" s="7" t="s">
        <v>17111</v>
      </c>
      <c r="L5751" s="198" t="s">
        <v>65</v>
      </c>
      <c r="M5751" s="199"/>
      <c r="N5751" s="199"/>
    </row>
    <row r="5752">
      <c r="A5752" s="193" t="s">
        <v>24509</v>
      </c>
      <c r="B5752" s="202" t="s">
        <v>17111</v>
      </c>
      <c r="C5752" s="193" t="s">
        <v>17112</v>
      </c>
      <c r="D5752" s="206"/>
      <c r="E5752" s="193"/>
      <c r="F5752" s="203" t="s">
        <v>24510</v>
      </c>
      <c r="G5752" s="200">
        <v>2.19272348E8</v>
      </c>
      <c r="H5752" s="205">
        <v>6.085</v>
      </c>
      <c r="J5752" s="202" t="s">
        <v>17111</v>
      </c>
      <c r="K5752" s="193" t="s">
        <v>17112</v>
      </c>
      <c r="L5752" s="193" t="s">
        <v>17471</v>
      </c>
      <c r="M5752" s="206"/>
      <c r="N5752" s="206"/>
    </row>
    <row r="5753">
      <c r="A5753" s="193" t="s">
        <v>24511</v>
      </c>
      <c r="B5753" s="7" t="s">
        <v>175</v>
      </c>
      <c r="C5753" s="7" t="s">
        <v>18570</v>
      </c>
      <c r="D5753" s="199"/>
      <c r="E5753" s="193"/>
      <c r="F5753" s="195" t="s">
        <v>24512</v>
      </c>
      <c r="G5753" s="196">
        <v>2.189458E8</v>
      </c>
      <c r="H5753" s="197">
        <v>9.85</v>
      </c>
      <c r="I5753" s="7" t="s">
        <v>17242</v>
      </c>
      <c r="J5753" s="7" t="s">
        <v>175</v>
      </c>
      <c r="K5753" s="7" t="s">
        <v>18570</v>
      </c>
      <c r="L5753" s="198" t="s">
        <v>65</v>
      </c>
      <c r="M5753" s="199"/>
      <c r="N5753" s="199"/>
    </row>
    <row r="5754">
      <c r="A5754" s="193" t="s">
        <v>24513</v>
      </c>
      <c r="B5754" s="7" t="s">
        <v>187</v>
      </c>
      <c r="C5754" s="7" t="s">
        <v>16858</v>
      </c>
      <c r="D5754" s="194">
        <v>2021.0</v>
      </c>
      <c r="E5754" s="193"/>
      <c r="F5754" s="195" t="s">
        <v>24514</v>
      </c>
      <c r="G5754" s="196">
        <v>2.18722E8</v>
      </c>
      <c r="H5754" s="197">
        <v>3.4</v>
      </c>
      <c r="I5754" s="7" t="s">
        <v>16815</v>
      </c>
      <c r="J5754" s="7" t="s">
        <v>187</v>
      </c>
      <c r="K5754" s="7" t="s">
        <v>16858</v>
      </c>
      <c r="L5754" s="198" t="s">
        <v>65</v>
      </c>
      <c r="M5754" s="194"/>
      <c r="N5754" s="194"/>
    </row>
    <row r="5755">
      <c r="A5755" s="193" t="s">
        <v>24515</v>
      </c>
      <c r="B5755" s="7" t="s">
        <v>16582</v>
      </c>
      <c r="C5755" s="7" t="s">
        <v>16817</v>
      </c>
      <c r="D5755" s="199"/>
      <c r="E5755" s="193"/>
      <c r="F5755" s="195" t="s">
        <v>24516</v>
      </c>
      <c r="G5755" s="196">
        <v>2.18554209E8</v>
      </c>
      <c r="H5755" s="197">
        <v>0.7959</v>
      </c>
      <c r="I5755" s="7" t="s">
        <v>16815</v>
      </c>
      <c r="J5755" s="7" t="s">
        <v>16582</v>
      </c>
      <c r="K5755" s="7" t="s">
        <v>16817</v>
      </c>
      <c r="L5755" s="198" t="s">
        <v>65</v>
      </c>
      <c r="M5755" s="199"/>
      <c r="N5755" s="199"/>
    </row>
    <row r="5756">
      <c r="A5756" s="193" t="s">
        <v>24515</v>
      </c>
      <c r="B5756" s="7" t="s">
        <v>16817</v>
      </c>
      <c r="C5756" s="7" t="s">
        <v>16582</v>
      </c>
      <c r="D5756" s="199"/>
      <c r="E5756" s="193"/>
      <c r="F5756" s="195" t="s">
        <v>24516</v>
      </c>
      <c r="G5756" s="200">
        <v>2.18554209E8</v>
      </c>
      <c r="H5756" s="197">
        <v>0.7959</v>
      </c>
      <c r="I5756" s="7" t="s">
        <v>16815</v>
      </c>
      <c r="J5756" s="7" t="s">
        <v>16817</v>
      </c>
      <c r="K5756" s="7" t="s">
        <v>16582</v>
      </c>
      <c r="L5756" s="201" t="s">
        <v>16835</v>
      </c>
      <c r="M5756" s="199"/>
      <c r="N5756" s="199"/>
    </row>
    <row r="5757">
      <c r="A5757" s="193" t="s">
        <v>24517</v>
      </c>
      <c r="B5757" s="7" t="s">
        <v>19579</v>
      </c>
      <c r="C5757" s="7" t="s">
        <v>16838</v>
      </c>
      <c r="D5757" s="199"/>
      <c r="E5757" s="193"/>
      <c r="F5757" s="195" t="s">
        <v>24518</v>
      </c>
      <c r="G5757" s="200">
        <v>2.18516918E8</v>
      </c>
      <c r="H5757" s="197">
        <v>9.17</v>
      </c>
      <c r="I5757" s="193" t="s">
        <v>16815</v>
      </c>
      <c r="J5757" s="7" t="s">
        <v>19579</v>
      </c>
      <c r="K5757" s="7" t="s">
        <v>16838</v>
      </c>
      <c r="L5757" s="201" t="s">
        <v>16835</v>
      </c>
      <c r="M5757" s="199"/>
      <c r="N5757" s="199"/>
    </row>
    <row r="5758">
      <c r="A5758" s="193" t="s">
        <v>24517</v>
      </c>
      <c r="B5758" s="7" t="s">
        <v>16838</v>
      </c>
      <c r="C5758" s="7" t="s">
        <v>19579</v>
      </c>
      <c r="D5758" s="199"/>
      <c r="E5758" s="193"/>
      <c r="F5758" s="195" t="s">
        <v>24518</v>
      </c>
      <c r="G5758" s="196">
        <v>2.18516918E8</v>
      </c>
      <c r="H5758" s="197">
        <v>9.17</v>
      </c>
      <c r="I5758" s="7" t="s">
        <v>16815</v>
      </c>
      <c r="J5758" s="7" t="s">
        <v>16838</v>
      </c>
      <c r="K5758" s="7" t="s">
        <v>19579</v>
      </c>
      <c r="L5758" s="198" t="s">
        <v>65</v>
      </c>
      <c r="M5758" s="199"/>
      <c r="N5758" s="199"/>
    </row>
    <row r="5759">
      <c r="A5759" s="193" t="s">
        <v>24519</v>
      </c>
      <c r="B5759" s="7" t="s">
        <v>16838</v>
      </c>
      <c r="C5759" s="7" t="s">
        <v>16867</v>
      </c>
      <c r="D5759" s="194">
        <v>2018.0</v>
      </c>
      <c r="E5759" s="193"/>
      <c r="F5759" s="195" t="s">
        <v>24520</v>
      </c>
      <c r="G5759" s="196">
        <v>2.18025309E8</v>
      </c>
      <c r="H5759" s="197">
        <v>15.29</v>
      </c>
      <c r="I5759" s="7" t="s">
        <v>16815</v>
      </c>
      <c r="J5759" s="7" t="s">
        <v>16838</v>
      </c>
      <c r="K5759" s="7" t="s">
        <v>16867</v>
      </c>
      <c r="L5759" s="198" t="s">
        <v>65</v>
      </c>
      <c r="M5759" s="194"/>
      <c r="N5759" s="194"/>
    </row>
    <row r="5760">
      <c r="A5760" s="193" t="s">
        <v>24521</v>
      </c>
      <c r="B5760" s="7" t="s">
        <v>16582</v>
      </c>
      <c r="C5760" s="7" t="s">
        <v>16930</v>
      </c>
      <c r="D5760" s="199"/>
      <c r="E5760" s="193"/>
      <c r="F5760" s="195" t="s">
        <v>24522</v>
      </c>
      <c r="G5760" s="196">
        <v>2.16887162E8</v>
      </c>
      <c r="H5760" s="197">
        <v>0.9808</v>
      </c>
      <c r="I5760" s="7" t="s">
        <v>16815</v>
      </c>
      <c r="J5760" s="7" t="s">
        <v>16582</v>
      </c>
      <c r="K5760" s="7" t="s">
        <v>16930</v>
      </c>
      <c r="L5760" s="198" t="s">
        <v>65</v>
      </c>
      <c r="M5760" s="199"/>
      <c r="N5760" s="199"/>
    </row>
    <row r="5761">
      <c r="A5761" s="193" t="s">
        <v>24523</v>
      </c>
      <c r="B5761" s="7" t="s">
        <v>17112</v>
      </c>
      <c r="C5761" s="7" t="s">
        <v>17457</v>
      </c>
      <c r="D5761" s="199"/>
      <c r="E5761" s="193"/>
      <c r="F5761" s="195" t="s">
        <v>24524</v>
      </c>
      <c r="G5761" s="196">
        <v>2.1668454E8</v>
      </c>
      <c r="H5761" s="197">
        <v>27.095</v>
      </c>
      <c r="I5761" s="7" t="s">
        <v>16815</v>
      </c>
      <c r="J5761" s="7" t="s">
        <v>17112</v>
      </c>
      <c r="K5761" s="7" t="s">
        <v>17457</v>
      </c>
      <c r="L5761" s="198" t="s">
        <v>65</v>
      </c>
      <c r="M5761" s="199"/>
      <c r="N5761" s="199"/>
    </row>
    <row r="5762">
      <c r="A5762" s="193" t="s">
        <v>24525</v>
      </c>
      <c r="B5762" s="7" t="s">
        <v>16582</v>
      </c>
      <c r="C5762" s="7" t="s">
        <v>16817</v>
      </c>
      <c r="D5762" s="199"/>
      <c r="E5762" s="193"/>
      <c r="F5762" s="195" t="s">
        <v>24526</v>
      </c>
      <c r="G5762" s="196">
        <v>2.16599451E8</v>
      </c>
      <c r="H5762" s="197">
        <v>5.31</v>
      </c>
      <c r="I5762" s="7" t="s">
        <v>16815</v>
      </c>
      <c r="J5762" s="7" t="s">
        <v>16582</v>
      </c>
      <c r="K5762" s="7" t="s">
        <v>16817</v>
      </c>
      <c r="L5762" s="198" t="s">
        <v>65</v>
      </c>
      <c r="M5762" s="199"/>
      <c r="N5762" s="199"/>
    </row>
    <row r="5763">
      <c r="A5763" s="193" t="s">
        <v>24527</v>
      </c>
      <c r="B5763" s="7" t="s">
        <v>187</v>
      </c>
      <c r="C5763" s="7" t="s">
        <v>16846</v>
      </c>
      <c r="D5763" s="194">
        <v>2019.0</v>
      </c>
      <c r="E5763" s="193"/>
      <c r="F5763" s="195" t="s">
        <v>24528</v>
      </c>
      <c r="G5763" s="196">
        <v>2.16378939E8</v>
      </c>
      <c r="H5763" s="197">
        <v>3.5</v>
      </c>
      <c r="I5763" s="7" t="s">
        <v>16815</v>
      </c>
      <c r="J5763" s="7" t="s">
        <v>187</v>
      </c>
      <c r="K5763" s="7" t="s">
        <v>16846</v>
      </c>
      <c r="L5763" s="198" t="s">
        <v>65</v>
      </c>
      <c r="M5763" s="194"/>
      <c r="N5763" s="194"/>
    </row>
    <row r="5764">
      <c r="A5764" s="193" t="s">
        <v>24529</v>
      </c>
      <c r="D5764" s="199"/>
      <c r="E5764" s="193"/>
      <c r="F5764" s="195" t="s">
        <v>24530</v>
      </c>
      <c r="G5764" s="196">
        <v>2.16344994E8</v>
      </c>
      <c r="H5764" s="197">
        <v>17.7</v>
      </c>
      <c r="I5764" s="7" t="s">
        <v>16815</v>
      </c>
      <c r="L5764" s="198" t="s">
        <v>65</v>
      </c>
      <c r="M5764" s="199"/>
      <c r="N5764" s="199"/>
    </row>
    <row r="5765">
      <c r="A5765" s="193" t="s">
        <v>24531</v>
      </c>
      <c r="B5765" s="7" t="s">
        <v>16582</v>
      </c>
      <c r="C5765" s="7" t="s">
        <v>16995</v>
      </c>
      <c r="D5765" s="194">
        <v>1999.0</v>
      </c>
      <c r="E5765" s="193"/>
      <c r="F5765" s="195" t="s">
        <v>24532</v>
      </c>
      <c r="G5765" s="196">
        <v>2.16340452E8</v>
      </c>
      <c r="H5765" s="197">
        <v>6.71</v>
      </c>
      <c r="I5765" s="7" t="s">
        <v>16815</v>
      </c>
      <c r="J5765" s="7" t="s">
        <v>16582</v>
      </c>
      <c r="K5765" s="7" t="s">
        <v>16995</v>
      </c>
      <c r="L5765" s="198" t="s">
        <v>65</v>
      </c>
      <c r="M5765" s="194"/>
      <c r="N5765" s="194"/>
    </row>
    <row r="5766">
      <c r="A5766" s="193" t="s">
        <v>24533</v>
      </c>
      <c r="B5766" s="7" t="s">
        <v>187</v>
      </c>
      <c r="C5766" s="7" t="s">
        <v>16846</v>
      </c>
      <c r="D5766" s="194">
        <v>2021.0</v>
      </c>
      <c r="E5766" s="193"/>
      <c r="F5766" s="195" t="s">
        <v>24534</v>
      </c>
      <c r="G5766" s="196">
        <v>2.16325043E8</v>
      </c>
      <c r="H5766" s="197">
        <v>6.4</v>
      </c>
      <c r="I5766" s="7" t="s">
        <v>16815</v>
      </c>
      <c r="J5766" s="7" t="s">
        <v>187</v>
      </c>
      <c r="K5766" s="7" t="s">
        <v>16846</v>
      </c>
      <c r="L5766" s="198" t="s">
        <v>65</v>
      </c>
      <c r="M5766" s="194"/>
      <c r="N5766" s="194"/>
    </row>
    <row r="5767">
      <c r="A5767" s="193" t="s">
        <v>24535</v>
      </c>
      <c r="B5767" s="7" t="s">
        <v>16838</v>
      </c>
      <c r="C5767" s="7" t="s">
        <v>18956</v>
      </c>
      <c r="D5767" s="194">
        <v>2021.0</v>
      </c>
      <c r="E5767" s="193"/>
      <c r="F5767" s="195" t="s">
        <v>24536</v>
      </c>
      <c r="G5767" s="196">
        <v>2.16175044E8</v>
      </c>
      <c r="H5767" s="197">
        <v>15.89</v>
      </c>
      <c r="I5767" s="7" t="s">
        <v>16815</v>
      </c>
      <c r="J5767" s="7" t="s">
        <v>16838</v>
      </c>
      <c r="K5767" s="7" t="s">
        <v>18956</v>
      </c>
      <c r="L5767" s="198" t="s">
        <v>65</v>
      </c>
      <c r="M5767" s="194"/>
      <c r="N5767" s="194"/>
    </row>
    <row r="5768">
      <c r="A5768" s="193" t="s">
        <v>24537</v>
      </c>
      <c r="B5768" s="7" t="s">
        <v>187</v>
      </c>
      <c r="C5768" s="7" t="s">
        <v>17122</v>
      </c>
      <c r="D5768" s="199"/>
      <c r="E5768" s="193"/>
      <c r="F5768" s="195" t="s">
        <v>24538</v>
      </c>
      <c r="G5768" s="196">
        <v>2.16078902E8</v>
      </c>
      <c r="H5768" s="197">
        <v>5.02</v>
      </c>
      <c r="I5768" s="7" t="s">
        <v>16815</v>
      </c>
      <c r="J5768" s="7" t="s">
        <v>187</v>
      </c>
      <c r="K5768" s="7" t="s">
        <v>17122</v>
      </c>
      <c r="L5768" s="198" t="s">
        <v>65</v>
      </c>
      <c r="M5768" s="199"/>
      <c r="N5768" s="199"/>
    </row>
    <row r="5769">
      <c r="A5769" s="193" t="s">
        <v>24539</v>
      </c>
      <c r="D5769" s="199"/>
      <c r="E5769" s="193"/>
      <c r="F5769" s="195" t="s">
        <v>24540</v>
      </c>
      <c r="G5769" s="196">
        <v>2.15653578E8</v>
      </c>
      <c r="H5769" s="197">
        <v>4.11</v>
      </c>
      <c r="I5769" s="7" t="s">
        <v>16815</v>
      </c>
      <c r="L5769" s="198" t="s">
        <v>65</v>
      </c>
      <c r="M5769" s="199"/>
      <c r="N5769" s="199"/>
    </row>
    <row r="5770">
      <c r="A5770" s="193" t="s">
        <v>24541</v>
      </c>
      <c r="D5770" s="194">
        <v>2023.0</v>
      </c>
      <c r="E5770" s="193"/>
      <c r="F5770" s="195" t="s">
        <v>24542</v>
      </c>
      <c r="G5770" s="196">
        <v>2.15494604E8</v>
      </c>
      <c r="H5770" s="197">
        <v>15.11</v>
      </c>
      <c r="I5770" s="7" t="s">
        <v>16815</v>
      </c>
      <c r="L5770" s="198" t="s">
        <v>65</v>
      </c>
      <c r="M5770" s="194"/>
      <c r="N5770" s="194"/>
    </row>
    <row r="5771">
      <c r="A5771" s="193" t="s">
        <v>24541</v>
      </c>
      <c r="D5771" s="194">
        <v>2023.0</v>
      </c>
      <c r="E5771" s="193"/>
      <c r="F5771" s="195" t="s">
        <v>24542</v>
      </c>
      <c r="G5771" s="200">
        <v>2.15494604E8</v>
      </c>
      <c r="H5771" s="197">
        <v>15.11</v>
      </c>
      <c r="L5771" s="201" t="s">
        <v>16835</v>
      </c>
      <c r="M5771" s="194"/>
      <c r="N5771" s="194"/>
    </row>
    <row r="5772">
      <c r="A5772" s="193" t="s">
        <v>24543</v>
      </c>
      <c r="B5772" s="7" t="s">
        <v>16582</v>
      </c>
      <c r="C5772" s="7" t="s">
        <v>16930</v>
      </c>
      <c r="D5772" s="194">
        <v>2000.0</v>
      </c>
      <c r="E5772" s="193"/>
      <c r="F5772" s="195" t="s">
        <v>24544</v>
      </c>
      <c r="G5772" s="196">
        <v>2.15162598E8</v>
      </c>
      <c r="H5772" s="197">
        <v>2.76</v>
      </c>
      <c r="I5772" s="7" t="s">
        <v>16815</v>
      </c>
      <c r="J5772" s="7" t="s">
        <v>16582</v>
      </c>
      <c r="K5772" s="7" t="s">
        <v>16930</v>
      </c>
      <c r="L5772" s="198" t="s">
        <v>65</v>
      </c>
      <c r="M5772" s="194"/>
      <c r="N5772" s="194"/>
    </row>
    <row r="5773">
      <c r="A5773" s="193" t="s">
        <v>24545</v>
      </c>
      <c r="B5773" s="7" t="s">
        <v>175</v>
      </c>
      <c r="C5773" s="7" t="s">
        <v>19996</v>
      </c>
      <c r="D5773" s="194">
        <v>2019.0</v>
      </c>
      <c r="E5773" s="193"/>
      <c r="F5773" s="195" t="s">
        <v>24546</v>
      </c>
      <c r="G5773" s="196">
        <v>2.14974481E8</v>
      </c>
      <c r="H5773" s="197">
        <v>2.08</v>
      </c>
      <c r="I5773" s="7" t="s">
        <v>17785</v>
      </c>
      <c r="J5773" s="7" t="s">
        <v>175</v>
      </c>
      <c r="K5773" s="7" t="s">
        <v>19996</v>
      </c>
      <c r="L5773" s="198" t="s">
        <v>65</v>
      </c>
      <c r="M5773" s="194"/>
      <c r="N5773" s="194"/>
    </row>
    <row r="5774">
      <c r="A5774" s="193" t="s">
        <v>24547</v>
      </c>
      <c r="B5774" s="7" t="s">
        <v>187</v>
      </c>
      <c r="C5774" s="7" t="s">
        <v>16846</v>
      </c>
      <c r="D5774" s="194">
        <v>2021.0</v>
      </c>
      <c r="E5774" s="193"/>
      <c r="F5774" s="195" t="s">
        <v>24548</v>
      </c>
      <c r="G5774" s="196">
        <v>2.14973077E8</v>
      </c>
      <c r="H5774" s="197">
        <v>3.52</v>
      </c>
      <c r="I5774" s="7" t="s">
        <v>16815</v>
      </c>
      <c r="J5774" s="7" t="s">
        <v>187</v>
      </c>
      <c r="K5774" s="7" t="s">
        <v>16846</v>
      </c>
      <c r="L5774" s="198" t="s">
        <v>65</v>
      </c>
      <c r="M5774" s="194"/>
      <c r="N5774" s="194"/>
    </row>
    <row r="5775">
      <c r="A5775" s="193" t="s">
        <v>24549</v>
      </c>
      <c r="B5775" s="7" t="s">
        <v>187</v>
      </c>
      <c r="C5775" s="7" t="s">
        <v>16846</v>
      </c>
      <c r="D5775" s="199"/>
      <c r="E5775" s="193"/>
      <c r="F5775" s="195" t="s">
        <v>24550</v>
      </c>
      <c r="G5775" s="196">
        <v>2.14768E8</v>
      </c>
      <c r="H5775" s="197">
        <v>3.1</v>
      </c>
      <c r="I5775" s="7" t="s">
        <v>16815</v>
      </c>
      <c r="J5775" s="7" t="s">
        <v>187</v>
      </c>
      <c r="K5775" s="7" t="s">
        <v>16846</v>
      </c>
      <c r="L5775" s="198" t="s">
        <v>65</v>
      </c>
      <c r="M5775" s="199"/>
      <c r="N5775" s="199"/>
    </row>
    <row r="5776">
      <c r="A5776" s="193" t="s">
        <v>24551</v>
      </c>
      <c r="B5776" s="7" t="s">
        <v>169</v>
      </c>
      <c r="C5776" s="7" t="s">
        <v>16945</v>
      </c>
      <c r="D5776" s="194">
        <v>2012.0</v>
      </c>
      <c r="E5776" s="193"/>
      <c r="F5776" s="195" t="s">
        <v>24552</v>
      </c>
      <c r="G5776" s="196">
        <v>2.14430309E8</v>
      </c>
      <c r="H5776" s="197">
        <v>7.98</v>
      </c>
      <c r="I5776" s="7" t="s">
        <v>16815</v>
      </c>
      <c r="J5776" s="7" t="s">
        <v>169</v>
      </c>
      <c r="K5776" s="7" t="s">
        <v>16945</v>
      </c>
      <c r="L5776" s="198" t="s">
        <v>65</v>
      </c>
      <c r="M5776" s="194"/>
      <c r="N5776" s="194"/>
    </row>
    <row r="5777">
      <c r="A5777" s="193" t="s">
        <v>24551</v>
      </c>
      <c r="B5777" s="202" t="s">
        <v>16945</v>
      </c>
      <c r="C5777" s="193" t="s">
        <v>169</v>
      </c>
      <c r="D5777" s="193">
        <v>2012.0</v>
      </c>
      <c r="E5777" s="193"/>
      <c r="F5777" s="203" t="s">
        <v>24552</v>
      </c>
      <c r="G5777" s="200">
        <v>2.14430309E8</v>
      </c>
      <c r="H5777" s="205">
        <v>2.12</v>
      </c>
      <c r="J5777" s="202" t="s">
        <v>16945</v>
      </c>
      <c r="K5777" s="193" t="s">
        <v>169</v>
      </c>
      <c r="L5777" s="193" t="s">
        <v>17471</v>
      </c>
      <c r="M5777" s="193"/>
      <c r="N5777" s="193"/>
    </row>
    <row r="5778">
      <c r="A5778" s="193" t="s">
        <v>24553</v>
      </c>
      <c r="B5778" s="7" t="s">
        <v>187</v>
      </c>
      <c r="C5778" s="7" t="s">
        <v>16846</v>
      </c>
      <c r="D5778" s="194">
        <v>2021.0</v>
      </c>
      <c r="E5778" s="193"/>
      <c r="F5778" s="195" t="s">
        <v>24554</v>
      </c>
      <c r="G5778" s="196">
        <v>2.14228072E8</v>
      </c>
      <c r="H5778" s="197">
        <v>4.48</v>
      </c>
      <c r="I5778" s="7" t="s">
        <v>16815</v>
      </c>
      <c r="J5778" s="7" t="s">
        <v>187</v>
      </c>
      <c r="K5778" s="7" t="s">
        <v>16846</v>
      </c>
      <c r="L5778" s="198" t="s">
        <v>65</v>
      </c>
      <c r="M5778" s="194"/>
      <c r="N5778" s="194"/>
    </row>
    <row r="5779">
      <c r="A5779" s="193" t="s">
        <v>24555</v>
      </c>
      <c r="B5779" s="7" t="s">
        <v>16838</v>
      </c>
      <c r="C5779" s="7" t="s">
        <v>16867</v>
      </c>
      <c r="D5779" s="194">
        <v>2021.0</v>
      </c>
      <c r="E5779" s="193"/>
      <c r="F5779" s="195" t="s">
        <v>24556</v>
      </c>
      <c r="G5779" s="196">
        <v>2.13624413E8</v>
      </c>
      <c r="H5779" s="197">
        <v>10.93</v>
      </c>
      <c r="I5779" s="7" t="s">
        <v>16815</v>
      </c>
      <c r="J5779" s="7" t="s">
        <v>16838</v>
      </c>
      <c r="K5779" s="7" t="s">
        <v>16867</v>
      </c>
      <c r="L5779" s="198" t="s">
        <v>65</v>
      </c>
      <c r="M5779" s="194"/>
      <c r="N5779" s="194"/>
    </row>
    <row r="5780">
      <c r="A5780" s="193" t="s">
        <v>24557</v>
      </c>
      <c r="B5780" s="7" t="s">
        <v>175</v>
      </c>
      <c r="C5780" s="7" t="s">
        <v>16824</v>
      </c>
      <c r="D5780" s="194">
        <v>2021.0</v>
      </c>
      <c r="E5780" s="193"/>
      <c r="F5780" s="195" t="s">
        <v>24558</v>
      </c>
      <c r="G5780" s="196">
        <v>2.13428519E8</v>
      </c>
      <c r="H5780" s="197">
        <v>1.99</v>
      </c>
      <c r="I5780" s="7" t="s">
        <v>17270</v>
      </c>
      <c r="J5780" s="7" t="s">
        <v>175</v>
      </c>
      <c r="K5780" s="7" t="s">
        <v>16824</v>
      </c>
      <c r="L5780" s="198" t="s">
        <v>65</v>
      </c>
      <c r="M5780" s="194"/>
      <c r="N5780" s="194"/>
    </row>
    <row r="5781">
      <c r="A5781" s="193" t="s">
        <v>24559</v>
      </c>
      <c r="B5781" s="7" t="s">
        <v>17629</v>
      </c>
      <c r="C5781" s="7" t="s">
        <v>17452</v>
      </c>
      <c r="D5781" s="194">
        <v>2020.0</v>
      </c>
      <c r="E5781" s="193"/>
      <c r="F5781" s="195" t="s">
        <v>24560</v>
      </c>
      <c r="G5781" s="196">
        <v>2.13214888E8</v>
      </c>
      <c r="H5781" s="197">
        <v>7.03</v>
      </c>
      <c r="I5781" s="7" t="s">
        <v>16815</v>
      </c>
      <c r="J5781" s="7" t="s">
        <v>17629</v>
      </c>
      <c r="K5781" s="7" t="s">
        <v>17452</v>
      </c>
      <c r="L5781" s="198" t="s">
        <v>65</v>
      </c>
      <c r="M5781" s="194"/>
      <c r="N5781" s="194"/>
    </row>
    <row r="5782">
      <c r="A5782" s="193" t="s">
        <v>24559</v>
      </c>
      <c r="B5782" s="7" t="s">
        <v>17452</v>
      </c>
      <c r="C5782" s="7" t="s">
        <v>17629</v>
      </c>
      <c r="D5782" s="194">
        <v>2020.0</v>
      </c>
      <c r="E5782" s="193"/>
      <c r="F5782" s="195" t="s">
        <v>24560</v>
      </c>
      <c r="G5782" s="200">
        <v>2.13214888E8</v>
      </c>
      <c r="H5782" s="197">
        <v>7.03</v>
      </c>
      <c r="I5782" s="7" t="s">
        <v>16815</v>
      </c>
      <c r="J5782" s="7" t="s">
        <v>17452</v>
      </c>
      <c r="K5782" s="7" t="s">
        <v>17629</v>
      </c>
      <c r="L5782" s="201" t="s">
        <v>16835</v>
      </c>
      <c r="M5782" s="194"/>
      <c r="N5782" s="194"/>
    </row>
    <row r="5783">
      <c r="A5783" s="193" t="s">
        <v>24561</v>
      </c>
      <c r="B5783" s="7" t="s">
        <v>187</v>
      </c>
      <c r="C5783" s="7" t="s">
        <v>16846</v>
      </c>
      <c r="D5783" s="199"/>
      <c r="E5783" s="193"/>
      <c r="F5783" s="195" t="s">
        <v>24562</v>
      </c>
      <c r="G5783" s="196">
        <v>2.12255183E8</v>
      </c>
      <c r="H5783" s="197">
        <v>7.0</v>
      </c>
      <c r="I5783" s="7" t="s">
        <v>16815</v>
      </c>
      <c r="J5783" s="7" t="s">
        <v>187</v>
      </c>
      <c r="K5783" s="7" t="s">
        <v>16846</v>
      </c>
      <c r="L5783" s="198" t="s">
        <v>65</v>
      </c>
      <c r="M5783" s="199"/>
      <c r="N5783" s="199"/>
    </row>
    <row r="5784">
      <c r="A5784" s="193" t="s">
        <v>24563</v>
      </c>
      <c r="B5784" s="7" t="s">
        <v>16838</v>
      </c>
      <c r="C5784" s="7" t="s">
        <v>17202</v>
      </c>
      <c r="D5784" s="199"/>
      <c r="E5784" s="193"/>
      <c r="F5784" s="195" t="s">
        <v>24564</v>
      </c>
      <c r="G5784" s="196">
        <v>2.12176268E8</v>
      </c>
      <c r="H5784" s="197">
        <v>7.16</v>
      </c>
      <c r="I5784" s="7" t="s">
        <v>16815</v>
      </c>
      <c r="J5784" s="7" t="s">
        <v>16838</v>
      </c>
      <c r="K5784" s="7" t="s">
        <v>17202</v>
      </c>
      <c r="L5784" s="198" t="s">
        <v>65</v>
      </c>
      <c r="M5784" s="199"/>
      <c r="N5784" s="199"/>
    </row>
    <row r="5785">
      <c r="A5785" s="193" t="s">
        <v>24565</v>
      </c>
      <c r="B5785" s="7" t="s">
        <v>16919</v>
      </c>
      <c r="C5785" s="7" t="s">
        <v>16920</v>
      </c>
      <c r="D5785" s="194">
        <v>2012.0</v>
      </c>
      <c r="E5785" s="193"/>
      <c r="F5785" s="195" t="s">
        <v>24566</v>
      </c>
      <c r="G5785" s="196">
        <v>2.11881779E8</v>
      </c>
      <c r="H5785" s="197">
        <v>20.42</v>
      </c>
      <c r="I5785" s="7" t="s">
        <v>16815</v>
      </c>
      <c r="J5785" s="7" t="s">
        <v>16919</v>
      </c>
      <c r="K5785" s="7" t="s">
        <v>16920</v>
      </c>
      <c r="L5785" s="198" t="s">
        <v>65</v>
      </c>
      <c r="M5785" s="194"/>
      <c r="N5785" s="194"/>
    </row>
    <row r="5786">
      <c r="A5786" s="193" t="s">
        <v>24565</v>
      </c>
      <c r="B5786" s="7" t="s">
        <v>16920</v>
      </c>
      <c r="C5786" s="7" t="s">
        <v>16919</v>
      </c>
      <c r="D5786" s="194">
        <v>2012.0</v>
      </c>
      <c r="E5786" s="193"/>
      <c r="F5786" s="195" t="s">
        <v>24566</v>
      </c>
      <c r="G5786" s="200">
        <v>2.11881779E8</v>
      </c>
      <c r="H5786" s="197">
        <v>20.42</v>
      </c>
      <c r="I5786" s="7" t="s">
        <v>16815</v>
      </c>
      <c r="J5786" s="7" t="s">
        <v>16920</v>
      </c>
      <c r="K5786" s="7" t="s">
        <v>16919</v>
      </c>
      <c r="L5786" s="201" t="s">
        <v>16835</v>
      </c>
      <c r="M5786" s="194"/>
      <c r="N5786" s="194"/>
    </row>
    <row r="5787">
      <c r="A5787" s="193" t="s">
        <v>24567</v>
      </c>
      <c r="B5787" s="7" t="s">
        <v>175</v>
      </c>
      <c r="C5787" s="7" t="s">
        <v>17031</v>
      </c>
      <c r="D5787" s="199"/>
      <c r="E5787" s="193"/>
      <c r="F5787" s="195" t="s">
        <v>24568</v>
      </c>
      <c r="G5787" s="196">
        <v>2.11697321E8</v>
      </c>
      <c r="H5787" s="197">
        <v>4.1</v>
      </c>
      <c r="I5787" s="193" t="s">
        <v>16908</v>
      </c>
      <c r="J5787" s="7" t="s">
        <v>175</v>
      </c>
      <c r="K5787" s="7" t="s">
        <v>17031</v>
      </c>
      <c r="L5787" s="198" t="s">
        <v>65</v>
      </c>
      <c r="M5787" s="199"/>
      <c r="N5787" s="199"/>
    </row>
    <row r="5788">
      <c r="A5788" s="193" t="s">
        <v>24569</v>
      </c>
      <c r="B5788" s="7" t="s">
        <v>175</v>
      </c>
      <c r="C5788" s="7" t="s">
        <v>17084</v>
      </c>
      <c r="D5788" s="199"/>
      <c r="E5788" s="193"/>
      <c r="F5788" s="195" t="s">
        <v>24570</v>
      </c>
      <c r="G5788" s="196">
        <v>2.11351616E8</v>
      </c>
      <c r="H5788" s="197">
        <v>6.62</v>
      </c>
      <c r="I5788" s="7" t="s">
        <v>168</v>
      </c>
      <c r="J5788" s="7" t="s">
        <v>175</v>
      </c>
      <c r="K5788" s="7" t="s">
        <v>17084</v>
      </c>
      <c r="L5788" s="198" t="s">
        <v>65</v>
      </c>
      <c r="M5788" s="199"/>
      <c r="N5788" s="199"/>
    </row>
    <row r="5789">
      <c r="A5789" s="193" t="s">
        <v>24571</v>
      </c>
      <c r="B5789" s="7" t="s">
        <v>17104</v>
      </c>
      <c r="C5789" s="7" t="s">
        <v>16838</v>
      </c>
      <c r="D5789" s="194">
        <v>2020.0</v>
      </c>
      <c r="E5789" s="193"/>
      <c r="F5789" s="195" t="s">
        <v>24572</v>
      </c>
      <c r="G5789" s="200">
        <v>2.113437E8</v>
      </c>
      <c r="H5789" s="197">
        <v>1.26</v>
      </c>
      <c r="I5789" s="7" t="s">
        <v>16815</v>
      </c>
      <c r="J5789" s="7" t="s">
        <v>17104</v>
      </c>
      <c r="K5789" s="7" t="s">
        <v>16838</v>
      </c>
      <c r="L5789" s="201" t="s">
        <v>16835</v>
      </c>
      <c r="M5789" s="194"/>
      <c r="N5789" s="194"/>
    </row>
    <row r="5790">
      <c r="A5790" s="193" t="s">
        <v>24571</v>
      </c>
      <c r="B5790" s="7" t="s">
        <v>16838</v>
      </c>
      <c r="C5790" s="7" t="s">
        <v>17104</v>
      </c>
      <c r="D5790" s="194">
        <v>2020.0</v>
      </c>
      <c r="E5790" s="193"/>
      <c r="F5790" s="195" t="s">
        <v>24572</v>
      </c>
      <c r="G5790" s="196">
        <v>2.113437E8</v>
      </c>
      <c r="H5790" s="197">
        <v>1.26</v>
      </c>
      <c r="I5790" s="7" t="s">
        <v>16815</v>
      </c>
      <c r="J5790" s="7" t="s">
        <v>16838</v>
      </c>
      <c r="K5790" s="7" t="s">
        <v>17104</v>
      </c>
      <c r="L5790" s="198" t="s">
        <v>65</v>
      </c>
      <c r="M5790" s="194"/>
      <c r="N5790" s="194"/>
    </row>
    <row r="5791">
      <c r="A5791" s="193" t="s">
        <v>24573</v>
      </c>
      <c r="B5791" s="7" t="s">
        <v>16838</v>
      </c>
      <c r="C5791" s="7" t="s">
        <v>17002</v>
      </c>
      <c r="D5791" s="194">
        <v>2021.0</v>
      </c>
      <c r="E5791" s="193"/>
      <c r="F5791" s="195" t="s">
        <v>24574</v>
      </c>
      <c r="G5791" s="196">
        <v>2.1110784E8</v>
      </c>
      <c r="H5791" s="197">
        <v>23.9</v>
      </c>
      <c r="I5791" s="7" t="s">
        <v>16815</v>
      </c>
      <c r="J5791" s="7" t="s">
        <v>16838</v>
      </c>
      <c r="K5791" s="7" t="s">
        <v>17002</v>
      </c>
      <c r="L5791" s="198" t="s">
        <v>65</v>
      </c>
      <c r="M5791" s="194"/>
      <c r="N5791" s="194"/>
    </row>
    <row r="5792">
      <c r="A5792" s="193" t="s">
        <v>24575</v>
      </c>
      <c r="B5792" s="7" t="s">
        <v>16582</v>
      </c>
      <c r="C5792" s="7" t="s">
        <v>16817</v>
      </c>
      <c r="D5792" s="199"/>
      <c r="E5792" s="193"/>
      <c r="F5792" s="195" t="s">
        <v>24576</v>
      </c>
      <c r="G5792" s="196">
        <v>2.10795034E8</v>
      </c>
      <c r="H5792" s="197">
        <v>13.28</v>
      </c>
      <c r="I5792" s="7" t="s">
        <v>16815</v>
      </c>
      <c r="J5792" s="7" t="s">
        <v>16582</v>
      </c>
      <c r="K5792" s="7" t="s">
        <v>16817</v>
      </c>
      <c r="L5792" s="198" t="s">
        <v>65</v>
      </c>
      <c r="M5792" s="199"/>
      <c r="N5792" s="199"/>
    </row>
    <row r="5793">
      <c r="A5793" s="193" t="s">
        <v>24577</v>
      </c>
      <c r="B5793" s="7" t="s">
        <v>16838</v>
      </c>
      <c r="C5793" s="7" t="s">
        <v>18219</v>
      </c>
      <c r="D5793" s="199"/>
      <c r="E5793" s="193"/>
      <c r="F5793" s="195" t="s">
        <v>24578</v>
      </c>
      <c r="G5793" s="196">
        <v>2.10574857E8</v>
      </c>
      <c r="H5793" s="197">
        <v>0.8038</v>
      </c>
      <c r="I5793" s="7" t="s">
        <v>16924</v>
      </c>
      <c r="J5793" s="7" t="s">
        <v>16838</v>
      </c>
      <c r="K5793" s="7" t="s">
        <v>18219</v>
      </c>
      <c r="L5793" s="198" t="s">
        <v>65</v>
      </c>
      <c r="M5793" s="199"/>
      <c r="N5793" s="199"/>
    </row>
    <row r="5794">
      <c r="A5794" s="193" t="s">
        <v>24579</v>
      </c>
      <c r="B5794" s="7" t="s">
        <v>16582</v>
      </c>
      <c r="C5794" s="7" t="s">
        <v>17183</v>
      </c>
      <c r="D5794" s="199"/>
      <c r="E5794" s="193"/>
      <c r="F5794" s="195" t="s">
        <v>24580</v>
      </c>
      <c r="G5794" s="196">
        <v>2.10373416E8</v>
      </c>
      <c r="H5794" s="197">
        <v>9.29</v>
      </c>
      <c r="I5794" s="7" t="s">
        <v>16815</v>
      </c>
      <c r="J5794" s="7" t="s">
        <v>16582</v>
      </c>
      <c r="K5794" s="7" t="s">
        <v>17183</v>
      </c>
      <c r="L5794" s="198" t="s">
        <v>65</v>
      </c>
      <c r="M5794" s="199"/>
      <c r="N5794" s="199"/>
    </row>
    <row r="5795">
      <c r="A5795" s="193" t="s">
        <v>24581</v>
      </c>
      <c r="B5795" s="7" t="s">
        <v>187</v>
      </c>
      <c r="C5795" s="7" t="s">
        <v>17122</v>
      </c>
      <c r="D5795" s="199"/>
      <c r="E5795" s="193"/>
      <c r="F5795" s="195" t="s">
        <v>24582</v>
      </c>
      <c r="G5795" s="196">
        <v>2.10165682E8</v>
      </c>
      <c r="H5795" s="197">
        <v>7.92</v>
      </c>
      <c r="I5795" s="7" t="s">
        <v>16815</v>
      </c>
      <c r="J5795" s="7" t="s">
        <v>187</v>
      </c>
      <c r="K5795" s="7" t="s">
        <v>17122</v>
      </c>
      <c r="L5795" s="198" t="s">
        <v>65</v>
      </c>
      <c r="M5795" s="199"/>
      <c r="N5795" s="199"/>
    </row>
    <row r="5796">
      <c r="A5796" s="193" t="s">
        <v>24583</v>
      </c>
      <c r="B5796" s="7" t="s">
        <v>175</v>
      </c>
      <c r="C5796" s="7" t="s">
        <v>17233</v>
      </c>
      <c r="D5796" s="194">
        <v>2005.0</v>
      </c>
      <c r="E5796" s="193"/>
      <c r="F5796" s="195" t="s">
        <v>24584</v>
      </c>
      <c r="G5796" s="196">
        <v>2.101554E8</v>
      </c>
      <c r="H5796" s="197">
        <v>5.46</v>
      </c>
      <c r="I5796" s="7" t="s">
        <v>16908</v>
      </c>
      <c r="J5796" s="7" t="s">
        <v>175</v>
      </c>
      <c r="K5796" s="7" t="s">
        <v>17233</v>
      </c>
      <c r="L5796" s="198" t="s">
        <v>65</v>
      </c>
      <c r="M5796" s="194"/>
      <c r="N5796" s="194"/>
    </row>
    <row r="5797">
      <c r="A5797" s="193" t="s">
        <v>24585</v>
      </c>
      <c r="B5797" s="7" t="s">
        <v>187</v>
      </c>
      <c r="C5797" s="7" t="s">
        <v>16846</v>
      </c>
      <c r="D5797" s="194">
        <v>2013.0</v>
      </c>
      <c r="E5797" s="193"/>
      <c r="F5797" s="195" t="s">
        <v>24586</v>
      </c>
      <c r="G5797" s="196">
        <v>2.098512E8</v>
      </c>
      <c r="H5797" s="197">
        <v>4.68</v>
      </c>
      <c r="I5797" s="7" t="s">
        <v>16815</v>
      </c>
      <c r="J5797" s="7" t="s">
        <v>187</v>
      </c>
      <c r="K5797" s="7" t="s">
        <v>16846</v>
      </c>
      <c r="L5797" s="198" t="s">
        <v>65</v>
      </c>
      <c r="M5797" s="194"/>
      <c r="N5797" s="194"/>
    </row>
    <row r="5798">
      <c r="A5798" s="193" t="s">
        <v>24587</v>
      </c>
      <c r="B5798" s="7" t="s">
        <v>16838</v>
      </c>
      <c r="C5798" s="7" t="s">
        <v>16867</v>
      </c>
      <c r="D5798" s="199"/>
      <c r="E5798" s="193"/>
      <c r="F5798" s="195" t="s">
        <v>24588</v>
      </c>
      <c r="G5798" s="196">
        <v>2.098031E8</v>
      </c>
      <c r="H5798" s="197">
        <v>26.0</v>
      </c>
      <c r="I5798" s="7" t="s">
        <v>16815</v>
      </c>
      <c r="J5798" s="7" t="s">
        <v>16838</v>
      </c>
      <c r="K5798" s="7" t="s">
        <v>16867</v>
      </c>
      <c r="L5798" s="198" t="s">
        <v>65</v>
      </c>
      <c r="M5798" s="199"/>
      <c r="N5798" s="199"/>
    </row>
    <row r="5799">
      <c r="A5799" s="193" t="s">
        <v>24589</v>
      </c>
      <c r="B5799" s="7" t="s">
        <v>16919</v>
      </c>
      <c r="C5799" s="7" t="s">
        <v>17048</v>
      </c>
      <c r="D5799" s="194">
        <v>2017.0</v>
      </c>
      <c r="E5799" s="193"/>
      <c r="F5799" s="195" t="s">
        <v>24590</v>
      </c>
      <c r="G5799" s="196">
        <v>2.09772975E8</v>
      </c>
      <c r="H5799" s="197">
        <v>22.65</v>
      </c>
      <c r="I5799" s="7" t="s">
        <v>16815</v>
      </c>
      <c r="J5799" s="7" t="s">
        <v>16919</v>
      </c>
      <c r="K5799" s="7" t="s">
        <v>17048</v>
      </c>
      <c r="L5799" s="198" t="s">
        <v>65</v>
      </c>
      <c r="M5799" s="194"/>
      <c r="N5799" s="194"/>
    </row>
    <row r="5800">
      <c r="A5800" s="193" t="s">
        <v>24589</v>
      </c>
      <c r="B5800" s="7" t="s">
        <v>17048</v>
      </c>
      <c r="C5800" s="7" t="s">
        <v>16919</v>
      </c>
      <c r="D5800" s="194">
        <v>2017.0</v>
      </c>
      <c r="E5800" s="193"/>
      <c r="F5800" s="195" t="s">
        <v>24590</v>
      </c>
      <c r="G5800" s="200">
        <v>2.09772975E8</v>
      </c>
      <c r="H5800" s="197">
        <v>22.65</v>
      </c>
      <c r="I5800" s="7" t="s">
        <v>16815</v>
      </c>
      <c r="J5800" s="7" t="s">
        <v>17048</v>
      </c>
      <c r="K5800" s="7" t="s">
        <v>16919</v>
      </c>
      <c r="L5800" s="201" t="s">
        <v>16835</v>
      </c>
      <c r="M5800" s="194"/>
      <c r="N5800" s="194"/>
    </row>
    <row r="5801">
      <c r="A5801" s="193" t="s">
        <v>24591</v>
      </c>
      <c r="B5801" s="7" t="s">
        <v>175</v>
      </c>
      <c r="C5801" s="7" t="s">
        <v>17480</v>
      </c>
      <c r="D5801" s="194">
        <v>2010.0</v>
      </c>
      <c r="E5801" s="193"/>
      <c r="F5801" s="195" t="s">
        <v>24592</v>
      </c>
      <c r="G5801" s="196">
        <v>2.09732352E8</v>
      </c>
      <c r="H5801" s="197">
        <v>0.5552</v>
      </c>
      <c r="I5801" s="7" t="s">
        <v>168</v>
      </c>
      <c r="J5801" s="7" t="s">
        <v>175</v>
      </c>
      <c r="K5801" s="7" t="s">
        <v>17480</v>
      </c>
      <c r="L5801" s="198" t="s">
        <v>65</v>
      </c>
      <c r="M5801" s="194"/>
      <c r="N5801" s="194"/>
    </row>
    <row r="5802">
      <c r="A5802" s="193" t="s">
        <v>24593</v>
      </c>
      <c r="B5802" s="7" t="s">
        <v>17629</v>
      </c>
      <c r="C5802" s="7" t="s">
        <v>16899</v>
      </c>
      <c r="D5802" s="194">
        <v>2021.0</v>
      </c>
      <c r="E5802" s="193"/>
      <c r="F5802" s="195" t="s">
        <v>24594</v>
      </c>
      <c r="G5802" s="196">
        <v>2.09557851E8</v>
      </c>
      <c r="H5802" s="197">
        <v>1.5</v>
      </c>
      <c r="I5802" s="7" t="s">
        <v>16815</v>
      </c>
      <c r="J5802" s="7" t="s">
        <v>17629</v>
      </c>
      <c r="K5802" s="7" t="s">
        <v>16899</v>
      </c>
      <c r="L5802" s="198" t="s">
        <v>65</v>
      </c>
      <c r="M5802" s="194"/>
      <c r="N5802" s="194"/>
    </row>
    <row r="5803">
      <c r="A5803" s="193" t="s">
        <v>24593</v>
      </c>
      <c r="B5803" s="7" t="s">
        <v>16899</v>
      </c>
      <c r="C5803" s="7" t="s">
        <v>17629</v>
      </c>
      <c r="D5803" s="194">
        <v>2021.0</v>
      </c>
      <c r="E5803" s="193"/>
      <c r="F5803" s="195" t="s">
        <v>24594</v>
      </c>
      <c r="G5803" s="200">
        <v>2.09557851E8</v>
      </c>
      <c r="H5803" s="197">
        <v>1.5</v>
      </c>
      <c r="I5803" s="7" t="s">
        <v>16815</v>
      </c>
      <c r="J5803" s="7" t="s">
        <v>16899</v>
      </c>
      <c r="K5803" s="7" t="s">
        <v>17629</v>
      </c>
      <c r="L5803" s="201" t="s">
        <v>16835</v>
      </c>
      <c r="M5803" s="194"/>
      <c r="N5803" s="194"/>
    </row>
    <row r="5804">
      <c r="A5804" s="193" t="s">
        <v>24595</v>
      </c>
      <c r="B5804" s="7" t="s">
        <v>16838</v>
      </c>
      <c r="C5804" s="7" t="s">
        <v>16867</v>
      </c>
      <c r="D5804" s="199"/>
      <c r="E5804" s="193"/>
      <c r="F5804" s="195" t="s">
        <v>24596</v>
      </c>
      <c r="G5804" s="196">
        <v>2.0911194E8</v>
      </c>
      <c r="H5804" s="197">
        <v>25.25</v>
      </c>
      <c r="I5804" s="7" t="s">
        <v>16815</v>
      </c>
      <c r="J5804" s="7" t="s">
        <v>16838</v>
      </c>
      <c r="K5804" s="7" t="s">
        <v>16867</v>
      </c>
      <c r="L5804" s="198" t="s">
        <v>65</v>
      </c>
      <c r="M5804" s="199"/>
      <c r="N5804" s="199"/>
    </row>
    <row r="5805">
      <c r="A5805" s="193" t="s">
        <v>24597</v>
      </c>
      <c r="B5805" s="7" t="s">
        <v>17127</v>
      </c>
      <c r="C5805" s="7" t="s">
        <v>16838</v>
      </c>
      <c r="D5805" s="199"/>
      <c r="E5805" s="193"/>
      <c r="F5805" s="195" t="s">
        <v>24598</v>
      </c>
      <c r="G5805" s="200">
        <v>2.09074178E8</v>
      </c>
      <c r="H5805" s="197">
        <v>7.39</v>
      </c>
      <c r="I5805" s="7" t="s">
        <v>16815</v>
      </c>
      <c r="J5805" s="7" t="s">
        <v>17127</v>
      </c>
      <c r="K5805" s="7" t="s">
        <v>16838</v>
      </c>
      <c r="L5805" s="201" t="s">
        <v>16835</v>
      </c>
      <c r="M5805" s="199"/>
      <c r="N5805" s="199"/>
    </row>
    <row r="5806">
      <c r="A5806" s="193" t="s">
        <v>24597</v>
      </c>
      <c r="B5806" s="7" t="s">
        <v>16838</v>
      </c>
      <c r="C5806" s="7" t="s">
        <v>17127</v>
      </c>
      <c r="D5806" s="199"/>
      <c r="E5806" s="193"/>
      <c r="F5806" s="195" t="s">
        <v>24598</v>
      </c>
      <c r="G5806" s="196">
        <v>2.09074178E8</v>
      </c>
      <c r="H5806" s="197">
        <v>7.39</v>
      </c>
      <c r="I5806" s="7" t="s">
        <v>16815</v>
      </c>
      <c r="J5806" s="7" t="s">
        <v>16838</v>
      </c>
      <c r="K5806" s="7" t="s">
        <v>17127</v>
      </c>
      <c r="L5806" s="198" t="s">
        <v>65</v>
      </c>
      <c r="M5806" s="199"/>
      <c r="N5806" s="199"/>
    </row>
    <row r="5807">
      <c r="A5807" s="193" t="s">
        <v>24599</v>
      </c>
      <c r="B5807" s="7" t="s">
        <v>17111</v>
      </c>
      <c r="C5807" s="7" t="s">
        <v>17112</v>
      </c>
      <c r="D5807" s="194">
        <v>2019.0</v>
      </c>
      <c r="E5807" s="193"/>
      <c r="F5807" s="195" t="s">
        <v>24600</v>
      </c>
      <c r="G5807" s="200">
        <v>2.09061405E8</v>
      </c>
      <c r="H5807" s="197">
        <v>15.26</v>
      </c>
      <c r="I5807" s="7" t="s">
        <v>16815</v>
      </c>
      <c r="J5807" s="7" t="s">
        <v>17111</v>
      </c>
      <c r="K5807" s="7" t="s">
        <v>17112</v>
      </c>
      <c r="L5807" s="201" t="s">
        <v>16835</v>
      </c>
      <c r="M5807" s="194"/>
      <c r="N5807" s="194"/>
    </row>
    <row r="5808">
      <c r="A5808" s="193" t="s">
        <v>24599</v>
      </c>
      <c r="B5808" s="7" t="s">
        <v>17112</v>
      </c>
      <c r="C5808" s="7" t="s">
        <v>17111</v>
      </c>
      <c r="D5808" s="194">
        <v>2019.0</v>
      </c>
      <c r="E5808" s="193"/>
      <c r="F5808" s="195" t="s">
        <v>24600</v>
      </c>
      <c r="G5808" s="196">
        <v>2.09061405E8</v>
      </c>
      <c r="H5808" s="197">
        <v>15.26</v>
      </c>
      <c r="I5808" s="7" t="s">
        <v>16815</v>
      </c>
      <c r="J5808" s="7" t="s">
        <v>17112</v>
      </c>
      <c r="K5808" s="7" t="s">
        <v>17111</v>
      </c>
      <c r="L5808" s="198" t="s">
        <v>65</v>
      </c>
      <c r="M5808" s="194"/>
      <c r="N5808" s="194"/>
    </row>
    <row r="5809">
      <c r="A5809" s="193" t="s">
        <v>24601</v>
      </c>
      <c r="B5809" s="7" t="s">
        <v>16885</v>
      </c>
      <c r="C5809" s="7" t="s">
        <v>17726</v>
      </c>
      <c r="D5809" s="199"/>
      <c r="E5809" s="193"/>
      <c r="F5809" s="195" t="s">
        <v>24602</v>
      </c>
      <c r="G5809" s="196">
        <v>2.08445711E8</v>
      </c>
      <c r="H5809" s="197">
        <v>3.3</v>
      </c>
      <c r="I5809" s="7" t="s">
        <v>16826</v>
      </c>
      <c r="J5809" s="7" t="s">
        <v>16885</v>
      </c>
      <c r="K5809" s="7" t="s">
        <v>17726</v>
      </c>
      <c r="L5809" s="198" t="s">
        <v>65</v>
      </c>
      <c r="M5809" s="199"/>
      <c r="N5809" s="199"/>
    </row>
    <row r="5810">
      <c r="A5810" s="193" t="s">
        <v>24603</v>
      </c>
      <c r="B5810" s="7" t="s">
        <v>16582</v>
      </c>
      <c r="C5810" s="7" t="s">
        <v>16930</v>
      </c>
      <c r="D5810" s="199"/>
      <c r="E5810" s="193"/>
      <c r="F5810" s="195" t="s">
        <v>24604</v>
      </c>
      <c r="G5810" s="196">
        <v>2.08348216E8</v>
      </c>
      <c r="H5810" s="197">
        <v>19.18</v>
      </c>
      <c r="I5810" s="7" t="s">
        <v>16815</v>
      </c>
      <c r="J5810" s="7" t="s">
        <v>16582</v>
      </c>
      <c r="K5810" s="7" t="s">
        <v>16930</v>
      </c>
      <c r="L5810" s="198" t="s">
        <v>65</v>
      </c>
      <c r="M5810" s="199"/>
      <c r="N5810" s="199"/>
    </row>
    <row r="5811">
      <c r="A5811" s="193" t="s">
        <v>24605</v>
      </c>
      <c r="B5811" s="7" t="s">
        <v>16838</v>
      </c>
      <c r="C5811" s="7" t="s">
        <v>16867</v>
      </c>
      <c r="D5811" s="199"/>
      <c r="E5811" s="193"/>
      <c r="F5811" s="195" t="s">
        <v>24606</v>
      </c>
      <c r="G5811" s="196">
        <v>2.07872075E8</v>
      </c>
      <c r="H5811" s="197">
        <v>17.4</v>
      </c>
      <c r="I5811" s="7" t="s">
        <v>16815</v>
      </c>
      <c r="J5811" s="7" t="s">
        <v>16838</v>
      </c>
      <c r="K5811" s="7" t="s">
        <v>16867</v>
      </c>
      <c r="L5811" s="198" t="s">
        <v>65</v>
      </c>
      <c r="M5811" s="199"/>
      <c r="N5811" s="199"/>
    </row>
    <row r="5812">
      <c r="A5812" s="193" t="s">
        <v>24607</v>
      </c>
      <c r="B5812" s="7" t="s">
        <v>16582</v>
      </c>
      <c r="C5812" s="7" t="s">
        <v>16817</v>
      </c>
      <c r="D5812" s="194">
        <v>2021.0</v>
      </c>
      <c r="E5812" s="193"/>
      <c r="F5812" s="195" t="s">
        <v>24608</v>
      </c>
      <c r="G5812" s="196">
        <v>2.07575E8</v>
      </c>
      <c r="H5812" s="197">
        <v>5.75</v>
      </c>
      <c r="I5812" s="7" t="s">
        <v>16815</v>
      </c>
      <c r="J5812" s="7" t="s">
        <v>16582</v>
      </c>
      <c r="K5812" s="7" t="s">
        <v>16817</v>
      </c>
      <c r="L5812" s="198" t="s">
        <v>65</v>
      </c>
      <c r="M5812" s="194"/>
      <c r="N5812" s="194"/>
    </row>
    <row r="5813">
      <c r="A5813" s="193" t="s">
        <v>24609</v>
      </c>
      <c r="B5813" s="7" t="s">
        <v>16838</v>
      </c>
      <c r="C5813" s="7" t="s">
        <v>17016</v>
      </c>
      <c r="D5813" s="194">
        <v>1992.0</v>
      </c>
      <c r="E5813" s="193"/>
      <c r="F5813" s="195" t="s">
        <v>24610</v>
      </c>
      <c r="G5813" s="196">
        <v>2.07412884E8</v>
      </c>
      <c r="H5813" s="197">
        <v>9.8</v>
      </c>
      <c r="I5813" s="7" t="s">
        <v>16815</v>
      </c>
      <c r="J5813" s="7" t="s">
        <v>16838</v>
      </c>
      <c r="K5813" s="7" t="s">
        <v>17016</v>
      </c>
      <c r="L5813" s="198" t="s">
        <v>65</v>
      </c>
      <c r="M5813" s="194"/>
      <c r="N5813" s="194"/>
    </row>
    <row r="5814">
      <c r="A5814" s="193" t="s">
        <v>24611</v>
      </c>
      <c r="B5814" s="7" t="s">
        <v>16885</v>
      </c>
      <c r="C5814" s="7" t="s">
        <v>18381</v>
      </c>
      <c r="D5814" s="194">
        <v>2014.0</v>
      </c>
      <c r="E5814" s="193"/>
      <c r="F5814" s="195" t="s">
        <v>24612</v>
      </c>
      <c r="G5814" s="196">
        <v>2.07138635E8</v>
      </c>
      <c r="H5814" s="197">
        <v>3.17</v>
      </c>
      <c r="I5814" s="7" t="s">
        <v>16826</v>
      </c>
      <c r="J5814" s="7" t="s">
        <v>16885</v>
      </c>
      <c r="K5814" s="7" t="s">
        <v>18381</v>
      </c>
      <c r="L5814" s="198" t="s">
        <v>65</v>
      </c>
      <c r="M5814" s="194"/>
      <c r="N5814" s="194"/>
    </row>
    <row r="5815">
      <c r="A5815" s="193" t="s">
        <v>24611</v>
      </c>
      <c r="B5815" s="7" t="s">
        <v>18381</v>
      </c>
      <c r="C5815" s="7" t="s">
        <v>16885</v>
      </c>
      <c r="D5815" s="194">
        <v>2014.0</v>
      </c>
      <c r="E5815" s="193"/>
      <c r="F5815" s="195" t="s">
        <v>24612</v>
      </c>
      <c r="G5815" s="200">
        <v>2.07138635E8</v>
      </c>
      <c r="H5815" s="197">
        <v>3.17</v>
      </c>
      <c r="I5815" s="7" t="s">
        <v>16815</v>
      </c>
      <c r="J5815" s="7" t="s">
        <v>18381</v>
      </c>
      <c r="K5815" s="7" t="s">
        <v>16885</v>
      </c>
      <c r="L5815" s="201" t="s">
        <v>16835</v>
      </c>
      <c r="M5815" s="194"/>
      <c r="N5815" s="194"/>
    </row>
    <row r="5816">
      <c r="A5816" s="193" t="s">
        <v>24613</v>
      </c>
      <c r="B5816" s="7" t="s">
        <v>16838</v>
      </c>
      <c r="C5816" s="7" t="s">
        <v>18956</v>
      </c>
      <c r="D5816" s="194">
        <v>2019.0</v>
      </c>
      <c r="E5816" s="193"/>
      <c r="F5816" s="195" t="s">
        <v>24614</v>
      </c>
      <c r="G5816" s="196">
        <v>2.07042102E8</v>
      </c>
      <c r="H5816" s="197">
        <v>7.97</v>
      </c>
      <c r="I5816" s="7" t="s">
        <v>16815</v>
      </c>
      <c r="J5816" s="7" t="s">
        <v>16838</v>
      </c>
      <c r="K5816" s="7" t="s">
        <v>18956</v>
      </c>
      <c r="L5816" s="198" t="s">
        <v>65</v>
      </c>
      <c r="M5816" s="194"/>
      <c r="N5816" s="194"/>
    </row>
    <row r="5817">
      <c r="A5817" s="193" t="s">
        <v>24615</v>
      </c>
      <c r="B5817" s="7" t="s">
        <v>16838</v>
      </c>
      <c r="C5817" s="7" t="s">
        <v>17002</v>
      </c>
      <c r="D5817" s="194">
        <v>2021.0</v>
      </c>
      <c r="E5817" s="193"/>
      <c r="F5817" s="195" t="s">
        <v>24616</v>
      </c>
      <c r="G5817" s="196">
        <v>2.06999902E8</v>
      </c>
      <c r="H5817" s="197">
        <v>8.16</v>
      </c>
      <c r="I5817" s="7" t="s">
        <v>16815</v>
      </c>
      <c r="J5817" s="7" t="s">
        <v>16838</v>
      </c>
      <c r="K5817" s="7" t="s">
        <v>17002</v>
      </c>
      <c r="L5817" s="198" t="s">
        <v>65</v>
      </c>
      <c r="M5817" s="194"/>
      <c r="N5817" s="194"/>
    </row>
    <row r="5818">
      <c r="A5818" s="193" t="s">
        <v>24617</v>
      </c>
      <c r="B5818" s="7" t="s">
        <v>16582</v>
      </c>
      <c r="C5818" s="7" t="s">
        <v>16817</v>
      </c>
      <c r="D5818" s="194">
        <v>1999.0</v>
      </c>
      <c r="E5818" s="193"/>
      <c r="F5818" s="195" t="s">
        <v>24618</v>
      </c>
      <c r="G5818" s="196">
        <v>2.06857672E8</v>
      </c>
      <c r="H5818" s="197">
        <v>6.57</v>
      </c>
      <c r="I5818" s="7" t="s">
        <v>16815</v>
      </c>
      <c r="J5818" s="7" t="s">
        <v>16582</v>
      </c>
      <c r="K5818" s="7" t="s">
        <v>16817</v>
      </c>
      <c r="L5818" s="198" t="s">
        <v>65</v>
      </c>
      <c r="M5818" s="194"/>
      <c r="N5818" s="194"/>
    </row>
    <row r="5819">
      <c r="A5819" s="193" t="s">
        <v>24619</v>
      </c>
      <c r="B5819" s="7" t="s">
        <v>16838</v>
      </c>
      <c r="C5819" s="7" t="s">
        <v>16867</v>
      </c>
      <c r="D5819" s="199"/>
      <c r="E5819" s="193"/>
      <c r="F5819" s="195" t="s">
        <v>24620</v>
      </c>
      <c r="G5819" s="196">
        <v>2.06822337E8</v>
      </c>
      <c r="H5819" s="197">
        <v>43.82</v>
      </c>
      <c r="I5819" s="7" t="s">
        <v>16815</v>
      </c>
      <c r="J5819" s="7" t="s">
        <v>16838</v>
      </c>
      <c r="K5819" s="7" t="s">
        <v>16867</v>
      </c>
      <c r="L5819" s="198" t="s">
        <v>65</v>
      </c>
      <c r="M5819" s="199"/>
      <c r="N5819" s="199"/>
    </row>
    <row r="5820">
      <c r="A5820" s="193" t="s">
        <v>24621</v>
      </c>
      <c r="B5820" s="7" t="s">
        <v>16582</v>
      </c>
      <c r="C5820" s="7" t="s">
        <v>16817</v>
      </c>
      <c r="D5820" s="194">
        <v>2014.0</v>
      </c>
      <c r="E5820" s="193"/>
      <c r="F5820" s="195" t="s">
        <v>24622</v>
      </c>
      <c r="G5820" s="196">
        <v>2.067422E8</v>
      </c>
      <c r="H5820" s="197">
        <v>7.85</v>
      </c>
      <c r="I5820" s="7" t="s">
        <v>16815</v>
      </c>
      <c r="J5820" s="7" t="s">
        <v>16582</v>
      </c>
      <c r="K5820" s="7" t="s">
        <v>16817</v>
      </c>
      <c r="L5820" s="198" t="s">
        <v>65</v>
      </c>
      <c r="M5820" s="194"/>
      <c r="N5820" s="194"/>
    </row>
    <row r="5821">
      <c r="A5821" s="193" t="s">
        <v>24623</v>
      </c>
      <c r="B5821" s="7" t="s">
        <v>158</v>
      </c>
      <c r="C5821" s="7" t="s">
        <v>16864</v>
      </c>
      <c r="D5821" s="199"/>
      <c r="E5821" s="193"/>
      <c r="F5821" s="195" t="s">
        <v>24624</v>
      </c>
      <c r="G5821" s="196">
        <v>2.06720374E8</v>
      </c>
      <c r="H5821" s="197">
        <v>6.21</v>
      </c>
      <c r="I5821" s="7" t="s">
        <v>20531</v>
      </c>
      <c r="J5821" s="7" t="s">
        <v>158</v>
      </c>
      <c r="K5821" s="7" t="s">
        <v>16864</v>
      </c>
      <c r="L5821" s="198" t="s">
        <v>65</v>
      </c>
      <c r="M5821" s="199"/>
      <c r="N5821" s="199"/>
    </row>
    <row r="5822">
      <c r="A5822" s="193" t="s">
        <v>24623</v>
      </c>
      <c r="B5822" s="202" t="s">
        <v>16864</v>
      </c>
      <c r="C5822" s="193" t="s">
        <v>158</v>
      </c>
      <c r="D5822" s="206"/>
      <c r="E5822" s="193"/>
      <c r="F5822" s="203" t="s">
        <v>24624</v>
      </c>
      <c r="G5822" s="200">
        <v>2.06720374E8</v>
      </c>
      <c r="H5822" s="205">
        <v>7.98</v>
      </c>
      <c r="J5822" s="202" t="s">
        <v>16864</v>
      </c>
      <c r="K5822" s="193" t="s">
        <v>158</v>
      </c>
      <c r="L5822" s="193" t="s">
        <v>17471</v>
      </c>
      <c r="M5822" s="206"/>
      <c r="N5822" s="206"/>
    </row>
    <row r="5823">
      <c r="A5823" s="193" t="s">
        <v>24625</v>
      </c>
      <c r="B5823" s="7" t="s">
        <v>16838</v>
      </c>
      <c r="C5823" s="7" t="s">
        <v>16867</v>
      </c>
      <c r="D5823" s="194">
        <v>2018.0</v>
      </c>
      <c r="E5823" s="193"/>
      <c r="F5823" s="195" t="s">
        <v>24626</v>
      </c>
      <c r="G5823" s="196">
        <v>2.06636114E8</v>
      </c>
      <c r="H5823" s="197">
        <v>22.57</v>
      </c>
      <c r="I5823" s="7" t="s">
        <v>16815</v>
      </c>
      <c r="J5823" s="7" t="s">
        <v>16838</v>
      </c>
      <c r="K5823" s="7" t="s">
        <v>16867</v>
      </c>
      <c r="L5823" s="198" t="s">
        <v>65</v>
      </c>
      <c r="M5823" s="194"/>
      <c r="N5823" s="194"/>
    </row>
    <row r="5824">
      <c r="A5824" s="193" t="s">
        <v>24627</v>
      </c>
      <c r="B5824" s="7" t="s">
        <v>187</v>
      </c>
      <c r="C5824" s="7" t="s">
        <v>16851</v>
      </c>
      <c r="D5824" s="194">
        <v>2021.0</v>
      </c>
      <c r="E5824" s="193"/>
      <c r="F5824" s="195" t="s">
        <v>24628</v>
      </c>
      <c r="G5824" s="196">
        <v>2.06326841E8</v>
      </c>
      <c r="H5824" s="197">
        <v>7.85</v>
      </c>
      <c r="I5824" s="7" t="s">
        <v>16815</v>
      </c>
      <c r="J5824" s="7" t="s">
        <v>187</v>
      </c>
      <c r="K5824" s="7" t="s">
        <v>16851</v>
      </c>
      <c r="L5824" s="198" t="s">
        <v>65</v>
      </c>
      <c r="M5824" s="194"/>
      <c r="N5824" s="194"/>
    </row>
    <row r="5825">
      <c r="A5825" s="193" t="s">
        <v>24629</v>
      </c>
      <c r="B5825" s="7" t="s">
        <v>175</v>
      </c>
      <c r="C5825" s="7" t="s">
        <v>17084</v>
      </c>
      <c r="D5825" s="194">
        <v>2005.0</v>
      </c>
      <c r="E5825" s="193"/>
      <c r="F5825" s="195" t="s">
        <v>24630</v>
      </c>
      <c r="G5825" s="196">
        <v>2.06136852E8</v>
      </c>
      <c r="H5825" s="197">
        <v>24.07</v>
      </c>
      <c r="I5825" s="7" t="s">
        <v>16908</v>
      </c>
      <c r="J5825" s="7" t="s">
        <v>175</v>
      </c>
      <c r="K5825" s="7" t="s">
        <v>17084</v>
      </c>
      <c r="L5825" s="198" t="s">
        <v>65</v>
      </c>
      <c r="M5825" s="194"/>
      <c r="N5825" s="194"/>
    </row>
    <row r="5826">
      <c r="A5826" s="193" t="s">
        <v>24631</v>
      </c>
      <c r="B5826" s="7" t="s">
        <v>187</v>
      </c>
      <c r="C5826" s="7" t="s">
        <v>16846</v>
      </c>
      <c r="D5826" s="194">
        <v>2020.0</v>
      </c>
      <c r="E5826" s="193"/>
      <c r="F5826" s="195" t="s">
        <v>24632</v>
      </c>
      <c r="G5826" s="196">
        <v>2.060955E8</v>
      </c>
      <c r="H5826" s="197">
        <v>5.85</v>
      </c>
      <c r="I5826" s="7" t="s">
        <v>16815</v>
      </c>
      <c r="J5826" s="7" t="s">
        <v>187</v>
      </c>
      <c r="K5826" s="7" t="s">
        <v>16846</v>
      </c>
      <c r="L5826" s="198" t="s">
        <v>65</v>
      </c>
      <c r="M5826" s="194"/>
      <c r="N5826" s="194"/>
    </row>
    <row r="5827">
      <c r="A5827" s="193" t="s">
        <v>24633</v>
      </c>
      <c r="B5827" s="7" t="s">
        <v>175</v>
      </c>
      <c r="C5827" s="7" t="s">
        <v>17509</v>
      </c>
      <c r="D5827" s="199"/>
      <c r="E5827" s="193"/>
      <c r="F5827" s="195" t="s">
        <v>24634</v>
      </c>
      <c r="G5827" s="196">
        <v>2.05827E8</v>
      </c>
      <c r="H5827" s="197">
        <v>1.38</v>
      </c>
      <c r="I5827" s="7" t="s">
        <v>16856</v>
      </c>
      <c r="J5827" s="7" t="s">
        <v>175</v>
      </c>
      <c r="K5827" s="7" t="s">
        <v>17509</v>
      </c>
      <c r="L5827" s="198" t="s">
        <v>65</v>
      </c>
      <c r="M5827" s="199"/>
      <c r="N5827" s="199"/>
    </row>
    <row r="5828">
      <c r="A5828" s="193" t="s">
        <v>24633</v>
      </c>
      <c r="B5828" s="7" t="s">
        <v>17509</v>
      </c>
      <c r="C5828" s="7" t="s">
        <v>175</v>
      </c>
      <c r="D5828" s="199"/>
      <c r="E5828" s="193"/>
      <c r="F5828" s="195" t="s">
        <v>24634</v>
      </c>
      <c r="G5828" s="200">
        <v>2.05827E8</v>
      </c>
      <c r="H5828" s="197">
        <v>1.38</v>
      </c>
      <c r="I5828" s="7" t="s">
        <v>16815</v>
      </c>
      <c r="J5828" s="7" t="s">
        <v>17509</v>
      </c>
      <c r="K5828" s="7" t="s">
        <v>175</v>
      </c>
      <c r="L5828" s="201" t="s">
        <v>16835</v>
      </c>
      <c r="M5828" s="199"/>
      <c r="N5828" s="199"/>
    </row>
    <row r="5829">
      <c r="A5829" s="193" t="s">
        <v>24635</v>
      </c>
      <c r="B5829" s="7" t="s">
        <v>16582</v>
      </c>
      <c r="C5829" s="7" t="s">
        <v>16828</v>
      </c>
      <c r="D5829" s="199"/>
      <c r="E5829" s="193"/>
      <c r="F5829" s="195" t="s">
        <v>24636</v>
      </c>
      <c r="G5829" s="196">
        <v>2.05807719E8</v>
      </c>
      <c r="H5829" s="197">
        <v>2.01</v>
      </c>
      <c r="I5829" s="7" t="s">
        <v>16815</v>
      </c>
      <c r="J5829" s="7" t="s">
        <v>16582</v>
      </c>
      <c r="K5829" s="7" t="s">
        <v>16828</v>
      </c>
      <c r="L5829" s="198" t="s">
        <v>65</v>
      </c>
      <c r="M5829" s="199"/>
      <c r="N5829" s="199"/>
    </row>
    <row r="5830">
      <c r="A5830" s="193" t="s">
        <v>24635</v>
      </c>
      <c r="B5830" s="7" t="s">
        <v>16828</v>
      </c>
      <c r="C5830" s="7" t="s">
        <v>16582</v>
      </c>
      <c r="D5830" s="199"/>
      <c r="E5830" s="193"/>
      <c r="F5830" s="195" t="s">
        <v>24636</v>
      </c>
      <c r="G5830" s="200">
        <v>2.05807719E8</v>
      </c>
      <c r="H5830" s="197">
        <v>2.01</v>
      </c>
      <c r="I5830" s="7" t="s">
        <v>16815</v>
      </c>
      <c r="J5830" s="7" t="s">
        <v>16828</v>
      </c>
      <c r="K5830" s="7" t="s">
        <v>16582</v>
      </c>
      <c r="L5830" s="201" t="s">
        <v>16835</v>
      </c>
      <c r="M5830" s="199"/>
      <c r="N5830" s="199"/>
    </row>
    <row r="5831">
      <c r="A5831" s="193" t="s">
        <v>24637</v>
      </c>
      <c r="B5831" s="7" t="s">
        <v>169</v>
      </c>
      <c r="C5831" s="7" t="s">
        <v>17025</v>
      </c>
      <c r="D5831" s="199"/>
      <c r="E5831" s="193"/>
      <c r="F5831" s="195" t="s">
        <v>24638</v>
      </c>
      <c r="G5831" s="196">
        <v>2.05794136E8</v>
      </c>
      <c r="H5831" s="197">
        <v>14.04</v>
      </c>
      <c r="I5831" s="7" t="s">
        <v>16815</v>
      </c>
      <c r="J5831" s="7" t="s">
        <v>169</v>
      </c>
      <c r="K5831" s="7" t="s">
        <v>17025</v>
      </c>
      <c r="L5831" s="198" t="s">
        <v>65</v>
      </c>
      <c r="M5831" s="199"/>
      <c r="N5831" s="199"/>
    </row>
    <row r="5832">
      <c r="A5832" s="193" t="s">
        <v>24637</v>
      </c>
      <c r="B5832" s="202" t="s">
        <v>17025</v>
      </c>
      <c r="C5832" s="193" t="s">
        <v>169</v>
      </c>
      <c r="D5832" s="206"/>
      <c r="E5832" s="193"/>
      <c r="F5832" s="203" t="s">
        <v>24638</v>
      </c>
      <c r="G5832" s="200">
        <v>2.05794136E8</v>
      </c>
      <c r="H5832" s="205">
        <v>6.21</v>
      </c>
      <c r="J5832" s="202" t="s">
        <v>17025</v>
      </c>
      <c r="K5832" s="193" t="s">
        <v>169</v>
      </c>
      <c r="L5832" s="193" t="s">
        <v>17471</v>
      </c>
      <c r="M5832" s="206"/>
      <c r="N5832" s="206"/>
    </row>
    <row r="5833">
      <c r="A5833" s="193" t="s">
        <v>24639</v>
      </c>
      <c r="B5833" s="7" t="s">
        <v>16885</v>
      </c>
      <c r="C5833" s="7" t="s">
        <v>17726</v>
      </c>
      <c r="D5833" s="199"/>
      <c r="E5833" s="193"/>
      <c r="F5833" s="195" t="s">
        <v>24640</v>
      </c>
      <c r="G5833" s="196">
        <v>2.057168E8</v>
      </c>
      <c r="H5833" s="197">
        <v>10.72</v>
      </c>
      <c r="I5833" s="7" t="s">
        <v>16888</v>
      </c>
      <c r="J5833" s="7" t="s">
        <v>16885</v>
      </c>
      <c r="K5833" s="7" t="s">
        <v>17726</v>
      </c>
      <c r="L5833" s="198" t="s">
        <v>65</v>
      </c>
      <c r="M5833" s="199"/>
      <c r="N5833" s="199"/>
    </row>
    <row r="5834">
      <c r="A5834" s="193" t="s">
        <v>24639</v>
      </c>
      <c r="B5834" s="202" t="s">
        <v>17726</v>
      </c>
      <c r="C5834" s="193" t="s">
        <v>16885</v>
      </c>
      <c r="D5834" s="206"/>
      <c r="E5834" s="193"/>
      <c r="F5834" s="203" t="s">
        <v>24640</v>
      </c>
      <c r="G5834" s="200">
        <v>2.057168E8</v>
      </c>
      <c r="H5834" s="205">
        <v>14.04</v>
      </c>
      <c r="J5834" s="202" t="s">
        <v>17726</v>
      </c>
      <c r="K5834" s="193" t="s">
        <v>16885</v>
      </c>
      <c r="L5834" s="193" t="s">
        <v>17471</v>
      </c>
      <c r="M5834" s="206"/>
      <c r="N5834" s="206"/>
    </row>
    <row r="5835">
      <c r="A5835" s="193" t="s">
        <v>24641</v>
      </c>
      <c r="B5835" s="7" t="s">
        <v>16838</v>
      </c>
      <c r="C5835" s="7" t="s">
        <v>17104</v>
      </c>
      <c r="D5835" s="194">
        <v>2006.0</v>
      </c>
      <c r="E5835" s="193"/>
      <c r="F5835" s="195" t="s">
        <v>24642</v>
      </c>
      <c r="G5835" s="196">
        <v>2.05610031E8</v>
      </c>
      <c r="H5835" s="197">
        <v>7.32</v>
      </c>
      <c r="I5835" s="7" t="s">
        <v>16815</v>
      </c>
      <c r="J5835" s="7" t="s">
        <v>16838</v>
      </c>
      <c r="K5835" s="7" t="s">
        <v>17104</v>
      </c>
      <c r="L5835" s="198" t="s">
        <v>65</v>
      </c>
      <c r="M5835" s="194"/>
      <c r="N5835" s="194"/>
    </row>
    <row r="5836">
      <c r="A5836" s="193" t="s">
        <v>24643</v>
      </c>
      <c r="D5836" s="199"/>
      <c r="E5836" s="193"/>
      <c r="F5836" s="195" t="s">
        <v>24644</v>
      </c>
      <c r="G5836" s="196">
        <v>2.05363884E8</v>
      </c>
      <c r="H5836" s="197">
        <v>4.4</v>
      </c>
      <c r="I5836" s="7" t="s">
        <v>16815</v>
      </c>
      <c r="L5836" s="198" t="s">
        <v>65</v>
      </c>
      <c r="M5836" s="199"/>
      <c r="N5836" s="199"/>
    </row>
    <row r="5837">
      <c r="A5837" s="193" t="s">
        <v>24645</v>
      </c>
      <c r="B5837" s="7" t="s">
        <v>175</v>
      </c>
      <c r="C5837" s="7" t="s">
        <v>17812</v>
      </c>
      <c r="D5837" s="199"/>
      <c r="E5837" s="193"/>
      <c r="F5837" s="195" t="s">
        <v>24646</v>
      </c>
      <c r="G5837" s="196">
        <v>2.04780242E8</v>
      </c>
      <c r="H5837" s="197">
        <v>4.19</v>
      </c>
      <c r="I5837" s="7" t="s">
        <v>18320</v>
      </c>
      <c r="J5837" s="7" t="s">
        <v>175</v>
      </c>
      <c r="K5837" s="7" t="s">
        <v>17812</v>
      </c>
      <c r="L5837" s="198" t="s">
        <v>65</v>
      </c>
      <c r="M5837" s="199"/>
      <c r="N5837" s="199"/>
    </row>
    <row r="5838">
      <c r="A5838" s="193" t="s">
        <v>24647</v>
      </c>
      <c r="B5838" s="7" t="s">
        <v>175</v>
      </c>
      <c r="C5838" s="7" t="s">
        <v>17218</v>
      </c>
      <c r="D5838" s="194">
        <v>2012.0</v>
      </c>
      <c r="E5838" s="193"/>
      <c r="F5838" s="195" t="s">
        <v>24648</v>
      </c>
      <c r="G5838" s="196">
        <v>2.04677223E8</v>
      </c>
      <c r="H5838" s="197">
        <v>2.69</v>
      </c>
      <c r="I5838" s="7" t="s">
        <v>168</v>
      </c>
      <c r="J5838" s="7" t="s">
        <v>175</v>
      </c>
      <c r="K5838" s="7" t="s">
        <v>17218</v>
      </c>
      <c r="L5838" s="198" t="s">
        <v>65</v>
      </c>
      <c r="M5838" s="194"/>
      <c r="N5838" s="194"/>
    </row>
    <row r="5839">
      <c r="A5839" s="193" t="s">
        <v>24649</v>
      </c>
      <c r="B5839" s="7" t="s">
        <v>17112</v>
      </c>
      <c r="C5839" s="7" t="s">
        <v>17787</v>
      </c>
      <c r="D5839" s="199"/>
      <c r="E5839" s="193"/>
      <c r="F5839" s="195" t="s">
        <v>24650</v>
      </c>
      <c r="G5839" s="196">
        <v>2.04323344E8</v>
      </c>
      <c r="H5839" s="197">
        <v>12.65</v>
      </c>
      <c r="I5839" s="7" t="s">
        <v>16815</v>
      </c>
      <c r="J5839" s="7" t="s">
        <v>17112</v>
      </c>
      <c r="K5839" s="7" t="s">
        <v>17787</v>
      </c>
      <c r="L5839" s="198" t="s">
        <v>65</v>
      </c>
      <c r="M5839" s="199"/>
      <c r="N5839" s="199"/>
    </row>
    <row r="5840">
      <c r="A5840" s="193" t="s">
        <v>24649</v>
      </c>
      <c r="B5840" s="7" t="s">
        <v>17787</v>
      </c>
      <c r="C5840" s="7" t="s">
        <v>17112</v>
      </c>
      <c r="D5840" s="199"/>
      <c r="E5840" s="193"/>
      <c r="F5840" s="195" t="s">
        <v>24650</v>
      </c>
      <c r="G5840" s="200">
        <v>2.04323344E8</v>
      </c>
      <c r="H5840" s="197">
        <v>12.65</v>
      </c>
      <c r="I5840" s="7" t="s">
        <v>16815</v>
      </c>
      <c r="J5840" s="7" t="s">
        <v>17787</v>
      </c>
      <c r="K5840" s="7" t="s">
        <v>17112</v>
      </c>
      <c r="L5840" s="201" t="s">
        <v>16835</v>
      </c>
      <c r="M5840" s="199"/>
      <c r="N5840" s="199"/>
    </row>
    <row r="5841">
      <c r="A5841" s="193" t="s">
        <v>24651</v>
      </c>
      <c r="B5841" s="7" t="s">
        <v>17016</v>
      </c>
      <c r="C5841" s="7" t="s">
        <v>16838</v>
      </c>
      <c r="D5841" s="194">
        <v>2018.0</v>
      </c>
      <c r="E5841" s="193"/>
      <c r="F5841" s="195" t="s">
        <v>24652</v>
      </c>
      <c r="G5841" s="200">
        <v>2.03942319E8</v>
      </c>
      <c r="H5841" s="197">
        <v>4.25</v>
      </c>
      <c r="I5841" s="7" t="s">
        <v>16815</v>
      </c>
      <c r="J5841" s="7" t="s">
        <v>17016</v>
      </c>
      <c r="K5841" s="7" t="s">
        <v>16838</v>
      </c>
      <c r="L5841" s="201" t="s">
        <v>16835</v>
      </c>
      <c r="M5841" s="194"/>
      <c r="N5841" s="194"/>
    </row>
    <row r="5842">
      <c r="A5842" s="193" t="s">
        <v>24651</v>
      </c>
      <c r="B5842" s="7" t="s">
        <v>16838</v>
      </c>
      <c r="C5842" s="7" t="s">
        <v>17016</v>
      </c>
      <c r="D5842" s="194">
        <v>2018.0</v>
      </c>
      <c r="E5842" s="193"/>
      <c r="F5842" s="195" t="s">
        <v>24652</v>
      </c>
      <c r="G5842" s="196">
        <v>2.03942319E8</v>
      </c>
      <c r="H5842" s="197">
        <v>4.25</v>
      </c>
      <c r="I5842" s="7" t="s">
        <v>16815</v>
      </c>
      <c r="J5842" s="7" t="s">
        <v>16838</v>
      </c>
      <c r="K5842" s="7" t="s">
        <v>17016</v>
      </c>
      <c r="L5842" s="198" t="s">
        <v>65</v>
      </c>
      <c r="M5842" s="194"/>
      <c r="N5842" s="194"/>
    </row>
    <row r="5843">
      <c r="A5843" s="193" t="s">
        <v>24653</v>
      </c>
      <c r="D5843" s="194">
        <v>2022.0</v>
      </c>
      <c r="E5843" s="193"/>
      <c r="F5843" s="195" t="s">
        <v>24654</v>
      </c>
      <c r="G5843" s="196">
        <v>2.0386812E8</v>
      </c>
      <c r="H5843" s="197">
        <v>0.9804</v>
      </c>
      <c r="I5843" s="7" t="s">
        <v>16815</v>
      </c>
      <c r="L5843" s="198" t="s">
        <v>65</v>
      </c>
      <c r="M5843" s="194"/>
      <c r="N5843" s="194"/>
    </row>
    <row r="5844">
      <c r="A5844" s="193" t="s">
        <v>24653</v>
      </c>
      <c r="B5844" s="208"/>
      <c r="C5844" s="206"/>
      <c r="D5844" s="193">
        <v>2022.0</v>
      </c>
      <c r="E5844" s="193"/>
      <c r="F5844" s="203" t="s">
        <v>24654</v>
      </c>
      <c r="G5844" s="200">
        <v>2.0386812E8</v>
      </c>
      <c r="H5844" s="205">
        <v>10.72</v>
      </c>
      <c r="J5844" s="208"/>
      <c r="K5844" s="206"/>
      <c r="L5844" s="193" t="s">
        <v>17471</v>
      </c>
      <c r="M5844" s="193"/>
      <c r="N5844" s="193"/>
    </row>
    <row r="5845">
      <c r="A5845" s="193" t="s">
        <v>24655</v>
      </c>
      <c r="B5845" s="7" t="s">
        <v>16919</v>
      </c>
      <c r="C5845" s="7" t="s">
        <v>17794</v>
      </c>
      <c r="D5845" s="199"/>
      <c r="E5845" s="193"/>
      <c r="F5845" s="195" t="s">
        <v>24656</v>
      </c>
      <c r="G5845" s="196">
        <v>2.03782554E8</v>
      </c>
      <c r="H5845" s="197">
        <v>3.06</v>
      </c>
      <c r="I5845" s="7" t="s">
        <v>16815</v>
      </c>
      <c r="J5845" s="7" t="s">
        <v>16919</v>
      </c>
      <c r="K5845" s="7" t="s">
        <v>17794</v>
      </c>
      <c r="L5845" s="198" t="s">
        <v>65</v>
      </c>
      <c r="M5845" s="199"/>
      <c r="N5845" s="199"/>
    </row>
    <row r="5846">
      <c r="A5846" s="193" t="s">
        <v>24657</v>
      </c>
      <c r="B5846" s="7" t="s">
        <v>158</v>
      </c>
      <c r="C5846" s="7" t="s">
        <v>17171</v>
      </c>
      <c r="D5846" s="194">
        <v>2016.0</v>
      </c>
      <c r="E5846" s="193"/>
      <c r="F5846" s="195" t="s">
        <v>24658</v>
      </c>
      <c r="G5846" s="196">
        <v>2.03272604E8</v>
      </c>
      <c r="H5846" s="197">
        <v>4.24</v>
      </c>
      <c r="I5846" s="7" t="s">
        <v>16953</v>
      </c>
      <c r="J5846" s="7" t="s">
        <v>158</v>
      </c>
      <c r="K5846" s="7" t="s">
        <v>17171</v>
      </c>
      <c r="L5846" s="198" t="s">
        <v>65</v>
      </c>
      <c r="M5846" s="194"/>
      <c r="N5846" s="194"/>
    </row>
    <row r="5847">
      <c r="A5847" s="193" t="s">
        <v>24659</v>
      </c>
      <c r="B5847" s="7" t="s">
        <v>19644</v>
      </c>
      <c r="C5847" s="7" t="s">
        <v>16838</v>
      </c>
      <c r="D5847" s="194">
        <v>2003.0</v>
      </c>
      <c r="E5847" s="193"/>
      <c r="F5847" s="195" t="s">
        <v>24660</v>
      </c>
      <c r="G5847" s="200">
        <v>2.0322905E8</v>
      </c>
      <c r="H5847" s="197">
        <v>2.67</v>
      </c>
      <c r="I5847" s="7" t="s">
        <v>16815</v>
      </c>
      <c r="J5847" s="7" t="s">
        <v>19644</v>
      </c>
      <c r="K5847" s="7" t="s">
        <v>16838</v>
      </c>
      <c r="L5847" s="201" t="s">
        <v>16835</v>
      </c>
      <c r="M5847" s="194"/>
      <c r="N5847" s="194"/>
    </row>
    <row r="5848">
      <c r="A5848" s="193" t="s">
        <v>24659</v>
      </c>
      <c r="B5848" s="7" t="s">
        <v>16838</v>
      </c>
      <c r="C5848" s="7" t="s">
        <v>19644</v>
      </c>
      <c r="D5848" s="194">
        <v>2003.0</v>
      </c>
      <c r="E5848" s="193"/>
      <c r="F5848" s="195" t="s">
        <v>24660</v>
      </c>
      <c r="G5848" s="196">
        <v>2.0322905E8</v>
      </c>
      <c r="H5848" s="197">
        <v>2.67</v>
      </c>
      <c r="I5848" s="7" t="s">
        <v>16815</v>
      </c>
      <c r="J5848" s="7" t="s">
        <v>16838</v>
      </c>
      <c r="K5848" s="7" t="s">
        <v>19644</v>
      </c>
      <c r="L5848" s="198" t="s">
        <v>65</v>
      </c>
      <c r="M5848" s="194"/>
      <c r="N5848" s="194"/>
    </row>
    <row r="5849">
      <c r="A5849" s="193" t="s">
        <v>24661</v>
      </c>
      <c r="B5849" s="7" t="s">
        <v>175</v>
      </c>
      <c r="C5849" s="7" t="s">
        <v>17069</v>
      </c>
      <c r="D5849" s="194">
        <v>2015.0</v>
      </c>
      <c r="E5849" s="193"/>
      <c r="F5849" s="195" t="s">
        <v>24662</v>
      </c>
      <c r="G5849" s="196">
        <v>2.03128777E8</v>
      </c>
      <c r="H5849" s="197">
        <v>4.43</v>
      </c>
      <c r="I5849" s="7" t="s">
        <v>16908</v>
      </c>
      <c r="J5849" s="7" t="s">
        <v>175</v>
      </c>
      <c r="K5849" s="7" t="s">
        <v>17069</v>
      </c>
      <c r="L5849" s="198" t="s">
        <v>65</v>
      </c>
      <c r="M5849" s="194"/>
      <c r="N5849" s="194"/>
    </row>
    <row r="5850">
      <c r="A5850" s="193" t="s">
        <v>24663</v>
      </c>
      <c r="B5850" s="7" t="s">
        <v>187</v>
      </c>
      <c r="C5850" s="7" t="s">
        <v>16858</v>
      </c>
      <c r="D5850" s="194">
        <v>2013.0</v>
      </c>
      <c r="E5850" s="193"/>
      <c r="F5850" s="195" t="s">
        <v>24664</v>
      </c>
      <c r="G5850" s="196">
        <v>2.0312005E8</v>
      </c>
      <c r="H5850" s="197">
        <v>2.06</v>
      </c>
      <c r="I5850" s="7" t="s">
        <v>16815</v>
      </c>
      <c r="J5850" s="7" t="s">
        <v>187</v>
      </c>
      <c r="K5850" s="7" t="s">
        <v>16858</v>
      </c>
      <c r="L5850" s="198" t="s">
        <v>65</v>
      </c>
      <c r="M5850" s="194"/>
      <c r="N5850" s="194"/>
    </row>
    <row r="5851">
      <c r="A5851" s="193" t="s">
        <v>24665</v>
      </c>
      <c r="B5851" s="7" t="s">
        <v>16945</v>
      </c>
      <c r="C5851" s="7" t="s">
        <v>169</v>
      </c>
      <c r="D5851" s="194">
        <v>2014.0</v>
      </c>
      <c r="E5851" s="193"/>
      <c r="F5851" s="195" t="s">
        <v>24666</v>
      </c>
      <c r="G5851" s="200">
        <v>2.03076564E8</v>
      </c>
      <c r="H5851" s="197">
        <v>5.77</v>
      </c>
      <c r="I5851" s="7" t="s">
        <v>16815</v>
      </c>
      <c r="J5851" s="7" t="s">
        <v>16945</v>
      </c>
      <c r="K5851" s="7" t="s">
        <v>169</v>
      </c>
      <c r="L5851" s="201" t="s">
        <v>16835</v>
      </c>
      <c r="M5851" s="194"/>
      <c r="N5851" s="194"/>
    </row>
    <row r="5852">
      <c r="A5852" s="193" t="s">
        <v>24665</v>
      </c>
      <c r="B5852" s="7" t="s">
        <v>169</v>
      </c>
      <c r="C5852" s="7" t="s">
        <v>16945</v>
      </c>
      <c r="D5852" s="194">
        <v>2014.0</v>
      </c>
      <c r="E5852" s="193"/>
      <c r="F5852" s="195" t="s">
        <v>24666</v>
      </c>
      <c r="G5852" s="196">
        <v>2.03076564E8</v>
      </c>
      <c r="H5852" s="197">
        <v>5.77</v>
      </c>
      <c r="I5852" s="7" t="s">
        <v>16815</v>
      </c>
      <c r="J5852" s="7" t="s">
        <v>169</v>
      </c>
      <c r="K5852" s="7" t="s">
        <v>16945</v>
      </c>
      <c r="L5852" s="198" t="s">
        <v>65</v>
      </c>
      <c r="M5852" s="194"/>
      <c r="N5852" s="194"/>
    </row>
    <row r="5853">
      <c r="A5853" s="193" t="s">
        <v>24667</v>
      </c>
      <c r="B5853" s="7" t="s">
        <v>16838</v>
      </c>
      <c r="C5853" s="7" t="s">
        <v>16867</v>
      </c>
      <c r="D5853" s="194">
        <v>2014.0</v>
      </c>
      <c r="E5853" s="193"/>
      <c r="F5853" s="195" t="s">
        <v>24668</v>
      </c>
      <c r="G5853" s="196">
        <v>2.02941022E8</v>
      </c>
      <c r="H5853" s="197">
        <v>25.88</v>
      </c>
      <c r="I5853" s="7" t="s">
        <v>16815</v>
      </c>
      <c r="J5853" s="7" t="s">
        <v>16838</v>
      </c>
      <c r="K5853" s="7" t="s">
        <v>16867</v>
      </c>
      <c r="L5853" s="198" t="s">
        <v>65</v>
      </c>
      <c r="M5853" s="194"/>
      <c r="N5853" s="194"/>
    </row>
    <row r="5854">
      <c r="A5854" s="193" t="s">
        <v>24669</v>
      </c>
      <c r="B5854" s="7" t="s">
        <v>17629</v>
      </c>
      <c r="C5854" s="7" t="s">
        <v>16899</v>
      </c>
      <c r="D5854" s="199"/>
      <c r="E5854" s="193"/>
      <c r="F5854" s="195" t="s">
        <v>24670</v>
      </c>
      <c r="G5854" s="196">
        <v>2.02322516E8</v>
      </c>
      <c r="H5854" s="197">
        <v>1.28</v>
      </c>
      <c r="I5854" s="7" t="s">
        <v>16815</v>
      </c>
      <c r="J5854" s="7" t="s">
        <v>17629</v>
      </c>
      <c r="K5854" s="7" t="s">
        <v>16899</v>
      </c>
      <c r="L5854" s="198" t="s">
        <v>65</v>
      </c>
      <c r="M5854" s="199"/>
      <c r="N5854" s="199"/>
    </row>
    <row r="5855">
      <c r="A5855" s="193" t="s">
        <v>24671</v>
      </c>
      <c r="B5855" s="7" t="s">
        <v>187</v>
      </c>
      <c r="C5855" s="7" t="s">
        <v>23634</v>
      </c>
      <c r="D5855" s="199"/>
      <c r="E5855" s="193"/>
      <c r="F5855" s="195" t="s">
        <v>24672</v>
      </c>
      <c r="G5855" s="196">
        <v>2.02111165E8</v>
      </c>
      <c r="H5855" s="197">
        <v>0.47</v>
      </c>
      <c r="I5855" s="7" t="s">
        <v>16815</v>
      </c>
      <c r="J5855" s="7" t="s">
        <v>187</v>
      </c>
      <c r="K5855" s="7" t="s">
        <v>23634</v>
      </c>
      <c r="L5855" s="198" t="s">
        <v>65</v>
      </c>
      <c r="M5855" s="199"/>
      <c r="N5855" s="199"/>
    </row>
    <row r="5856">
      <c r="A5856" s="193" t="s">
        <v>24673</v>
      </c>
      <c r="B5856" s="7" t="s">
        <v>16838</v>
      </c>
      <c r="C5856" s="7" t="s">
        <v>17838</v>
      </c>
      <c r="D5856" s="199"/>
      <c r="E5856" s="193"/>
      <c r="F5856" s="195" t="s">
        <v>24674</v>
      </c>
      <c r="G5856" s="196">
        <v>2.01925275E8</v>
      </c>
      <c r="H5856" s="197">
        <v>16.15</v>
      </c>
      <c r="I5856" s="7" t="s">
        <v>16815</v>
      </c>
      <c r="J5856" s="7" t="s">
        <v>16838</v>
      </c>
      <c r="K5856" s="7" t="s">
        <v>17838</v>
      </c>
      <c r="L5856" s="198" t="s">
        <v>65</v>
      </c>
      <c r="M5856" s="199"/>
      <c r="N5856" s="199"/>
    </row>
    <row r="5857">
      <c r="A5857" s="193" t="s">
        <v>24675</v>
      </c>
      <c r="B5857" s="7" t="s">
        <v>16838</v>
      </c>
      <c r="C5857" s="7" t="s">
        <v>17016</v>
      </c>
      <c r="D5857" s="199"/>
      <c r="E5857" s="193"/>
      <c r="F5857" s="195" t="s">
        <v>24676</v>
      </c>
      <c r="G5857" s="196">
        <v>2.01862636E8</v>
      </c>
      <c r="H5857" s="197">
        <v>8.64</v>
      </c>
      <c r="I5857" s="7" t="s">
        <v>16815</v>
      </c>
      <c r="J5857" s="7" t="s">
        <v>16838</v>
      </c>
      <c r="K5857" s="7" t="s">
        <v>17016</v>
      </c>
      <c r="L5857" s="198" t="s">
        <v>65</v>
      </c>
      <c r="M5857" s="199"/>
      <c r="N5857" s="199"/>
    </row>
    <row r="5858">
      <c r="A5858" s="193" t="s">
        <v>24677</v>
      </c>
      <c r="B5858" s="7" t="s">
        <v>187</v>
      </c>
      <c r="C5858" s="7" t="s">
        <v>16858</v>
      </c>
      <c r="D5858" s="199"/>
      <c r="E5858" s="193"/>
      <c r="F5858" s="195" t="s">
        <v>24678</v>
      </c>
      <c r="G5858" s="196">
        <v>2.0137382E8</v>
      </c>
      <c r="H5858" s="197">
        <v>7.58</v>
      </c>
      <c r="I5858" s="7" t="s">
        <v>16815</v>
      </c>
      <c r="J5858" s="7" t="s">
        <v>187</v>
      </c>
      <c r="K5858" s="7" t="s">
        <v>16858</v>
      </c>
      <c r="L5858" s="198" t="s">
        <v>65</v>
      </c>
      <c r="M5858" s="199"/>
      <c r="N5858" s="199"/>
    </row>
    <row r="5859">
      <c r="A5859" s="193" t="s">
        <v>24679</v>
      </c>
      <c r="B5859" s="7" t="s">
        <v>18679</v>
      </c>
      <c r="C5859" s="7" t="s">
        <v>16838</v>
      </c>
      <c r="D5859" s="194">
        <v>2021.0</v>
      </c>
      <c r="E5859" s="193"/>
      <c r="F5859" s="195" t="s">
        <v>24680</v>
      </c>
      <c r="G5859" s="200">
        <v>2.0043243E8</v>
      </c>
      <c r="H5859" s="197">
        <v>22.5</v>
      </c>
      <c r="I5859" s="7" t="s">
        <v>16815</v>
      </c>
      <c r="J5859" s="7" t="s">
        <v>18679</v>
      </c>
      <c r="K5859" s="7" t="s">
        <v>16838</v>
      </c>
      <c r="L5859" s="201" t="s">
        <v>16835</v>
      </c>
      <c r="M5859" s="194"/>
      <c r="N5859" s="194"/>
    </row>
    <row r="5860">
      <c r="A5860" s="193" t="s">
        <v>24679</v>
      </c>
      <c r="B5860" s="7" t="s">
        <v>16838</v>
      </c>
      <c r="C5860" s="7" t="s">
        <v>18679</v>
      </c>
      <c r="D5860" s="194">
        <v>2021.0</v>
      </c>
      <c r="E5860" s="193"/>
      <c r="F5860" s="195" t="s">
        <v>24680</v>
      </c>
      <c r="G5860" s="196">
        <v>2.0043243E8</v>
      </c>
      <c r="H5860" s="197">
        <v>22.5</v>
      </c>
      <c r="I5860" s="7" t="s">
        <v>16815</v>
      </c>
      <c r="J5860" s="7" t="s">
        <v>16838</v>
      </c>
      <c r="K5860" s="7" t="s">
        <v>18679</v>
      </c>
      <c r="L5860" s="198" t="s">
        <v>65</v>
      </c>
      <c r="M5860" s="194"/>
      <c r="N5860" s="194"/>
    </row>
    <row r="5861">
      <c r="A5861" s="193" t="s">
        <v>24681</v>
      </c>
      <c r="B5861" s="7" t="s">
        <v>17127</v>
      </c>
      <c r="C5861" s="7" t="s">
        <v>16838</v>
      </c>
      <c r="D5861" s="194">
        <v>2021.0</v>
      </c>
      <c r="E5861" s="193"/>
      <c r="F5861" s="195" t="s">
        <v>24682</v>
      </c>
      <c r="G5861" s="200">
        <v>2.00413944E8</v>
      </c>
      <c r="H5861" s="197">
        <v>8.39</v>
      </c>
      <c r="I5861" s="7" t="s">
        <v>16815</v>
      </c>
      <c r="J5861" s="7" t="s">
        <v>17127</v>
      </c>
      <c r="K5861" s="7" t="s">
        <v>16838</v>
      </c>
      <c r="L5861" s="201" t="s">
        <v>16835</v>
      </c>
      <c r="M5861" s="194"/>
      <c r="N5861" s="194"/>
    </row>
    <row r="5862">
      <c r="A5862" s="193" t="s">
        <v>24681</v>
      </c>
      <c r="B5862" s="7" t="s">
        <v>16838</v>
      </c>
      <c r="C5862" s="7" t="s">
        <v>17127</v>
      </c>
      <c r="D5862" s="194">
        <v>2021.0</v>
      </c>
      <c r="E5862" s="193"/>
      <c r="F5862" s="195" t="s">
        <v>24682</v>
      </c>
      <c r="G5862" s="196">
        <v>2.00413944E8</v>
      </c>
      <c r="H5862" s="197">
        <v>8.39</v>
      </c>
      <c r="I5862" s="7" t="s">
        <v>16815</v>
      </c>
      <c r="J5862" s="7" t="s">
        <v>16838</v>
      </c>
      <c r="K5862" s="7" t="s">
        <v>17127</v>
      </c>
      <c r="L5862" s="198" t="s">
        <v>65</v>
      </c>
      <c r="M5862" s="194"/>
      <c r="N5862" s="194"/>
    </row>
    <row r="5863">
      <c r="A5863" s="193" t="s">
        <v>24683</v>
      </c>
      <c r="D5863" s="199"/>
      <c r="E5863" s="193"/>
      <c r="F5863" s="195" t="s">
        <v>24684</v>
      </c>
      <c r="G5863" s="196">
        <v>2.0026748E8</v>
      </c>
      <c r="H5863" s="197">
        <v>4.76</v>
      </c>
      <c r="I5863" s="7" t="s">
        <v>16815</v>
      </c>
      <c r="L5863" s="198" t="s">
        <v>65</v>
      </c>
      <c r="M5863" s="199"/>
      <c r="N5863" s="199"/>
    </row>
    <row r="5864">
      <c r="A5864" s="193" t="s">
        <v>24685</v>
      </c>
      <c r="B5864" s="7" t="s">
        <v>187</v>
      </c>
      <c r="C5864" s="7" t="s">
        <v>16858</v>
      </c>
      <c r="D5864" s="194">
        <v>2015.0</v>
      </c>
      <c r="E5864" s="193"/>
      <c r="F5864" s="195" t="s">
        <v>24686</v>
      </c>
      <c r="G5864" s="196">
        <v>2.00160832E8</v>
      </c>
      <c r="H5864" s="197">
        <v>1.23</v>
      </c>
      <c r="I5864" s="7" t="s">
        <v>16815</v>
      </c>
      <c r="J5864" s="7" t="s">
        <v>187</v>
      </c>
      <c r="K5864" s="7" t="s">
        <v>16858</v>
      </c>
      <c r="L5864" s="198" t="s">
        <v>65</v>
      </c>
      <c r="M5864" s="194"/>
      <c r="N5864" s="194"/>
    </row>
    <row r="5865">
      <c r="A5865" s="193" t="s">
        <v>24687</v>
      </c>
      <c r="B5865" s="7" t="s">
        <v>17016</v>
      </c>
      <c r="C5865" s="7" t="s">
        <v>16838</v>
      </c>
      <c r="D5865" s="194">
        <v>2015.0</v>
      </c>
      <c r="E5865" s="193"/>
      <c r="F5865" s="195" t="s">
        <v>24688</v>
      </c>
      <c r="G5865" s="200">
        <v>2.000071E8</v>
      </c>
      <c r="H5865" s="197">
        <v>2.24</v>
      </c>
      <c r="I5865" s="7" t="s">
        <v>16815</v>
      </c>
      <c r="J5865" s="7" t="s">
        <v>17016</v>
      </c>
      <c r="K5865" s="7" t="s">
        <v>16838</v>
      </c>
      <c r="L5865" s="201" t="s">
        <v>16835</v>
      </c>
      <c r="M5865" s="194"/>
      <c r="N5865" s="194"/>
    </row>
    <row r="5866">
      <c r="A5866" s="193" t="s">
        <v>24687</v>
      </c>
      <c r="B5866" s="7" t="s">
        <v>16838</v>
      </c>
      <c r="C5866" s="7" t="s">
        <v>17016</v>
      </c>
      <c r="D5866" s="194">
        <v>2015.0</v>
      </c>
      <c r="E5866" s="193"/>
      <c r="F5866" s="195" t="s">
        <v>24688</v>
      </c>
      <c r="G5866" s="196">
        <v>2.000071E8</v>
      </c>
      <c r="H5866" s="197">
        <v>2.24</v>
      </c>
      <c r="I5866" s="7" t="s">
        <v>16815</v>
      </c>
      <c r="J5866" s="7" t="s">
        <v>16838</v>
      </c>
      <c r="K5866" s="7" t="s">
        <v>17016</v>
      </c>
      <c r="L5866" s="198" t="s">
        <v>65</v>
      </c>
      <c r="M5866" s="194"/>
      <c r="N5866" s="194"/>
    </row>
    <row r="5867">
      <c r="A5867" s="193" t="s">
        <v>24689</v>
      </c>
      <c r="B5867" s="7" t="s">
        <v>175</v>
      </c>
      <c r="C5867" s="7" t="s">
        <v>17233</v>
      </c>
      <c r="D5867" s="194">
        <v>2013.0</v>
      </c>
      <c r="E5867" s="193"/>
      <c r="F5867" s="195" t="s">
        <v>24690</v>
      </c>
      <c r="G5867" s="196">
        <v>1.99533E8</v>
      </c>
      <c r="H5867" s="197">
        <v>5.86</v>
      </c>
      <c r="I5867" s="7" t="s">
        <v>168</v>
      </c>
      <c r="J5867" s="7" t="s">
        <v>175</v>
      </c>
      <c r="K5867" s="7" t="s">
        <v>17233</v>
      </c>
      <c r="L5867" s="198" t="s">
        <v>65</v>
      </c>
      <c r="M5867" s="194"/>
      <c r="N5867" s="194"/>
    </row>
    <row r="5868">
      <c r="A5868" s="193" t="s">
        <v>24689</v>
      </c>
      <c r="B5868" s="7" t="s">
        <v>17233</v>
      </c>
      <c r="C5868" s="7" t="s">
        <v>175</v>
      </c>
      <c r="D5868" s="194">
        <v>2013.0</v>
      </c>
      <c r="E5868" s="193"/>
      <c r="F5868" s="195" t="s">
        <v>24690</v>
      </c>
      <c r="G5868" s="200">
        <v>1.99533E8</v>
      </c>
      <c r="H5868" s="197">
        <v>5.86</v>
      </c>
      <c r="I5868" s="7" t="s">
        <v>16815</v>
      </c>
      <c r="J5868" s="7" t="s">
        <v>17233</v>
      </c>
      <c r="K5868" s="7" t="s">
        <v>175</v>
      </c>
      <c r="L5868" s="201" t="s">
        <v>16835</v>
      </c>
      <c r="M5868" s="194"/>
      <c r="N5868" s="194"/>
    </row>
    <row r="5869">
      <c r="A5869" s="193" t="s">
        <v>24691</v>
      </c>
      <c r="B5869" s="7" t="s">
        <v>158</v>
      </c>
      <c r="C5869" s="7" t="s">
        <v>17171</v>
      </c>
      <c r="D5869" s="194">
        <v>2011.0</v>
      </c>
      <c r="E5869" s="193"/>
      <c r="F5869" s="195" t="s">
        <v>24692</v>
      </c>
      <c r="G5869" s="196">
        <v>1.99503014E8</v>
      </c>
      <c r="H5869" s="197">
        <v>1.405</v>
      </c>
      <c r="I5869" s="7" t="s">
        <v>17095</v>
      </c>
      <c r="J5869" s="7" t="s">
        <v>158</v>
      </c>
      <c r="K5869" s="7" t="s">
        <v>17171</v>
      </c>
      <c r="L5869" s="198" t="s">
        <v>65</v>
      </c>
      <c r="M5869" s="194"/>
      <c r="N5869" s="194"/>
    </row>
    <row r="5870">
      <c r="A5870" s="193" t="s">
        <v>24693</v>
      </c>
      <c r="B5870" s="7" t="s">
        <v>16838</v>
      </c>
      <c r="C5870" s="7" t="s">
        <v>17202</v>
      </c>
      <c r="D5870" s="194">
        <v>2021.0</v>
      </c>
      <c r="E5870" s="193"/>
      <c r="F5870" s="195" t="s">
        <v>24694</v>
      </c>
      <c r="G5870" s="196">
        <v>1.9936E8</v>
      </c>
      <c r="H5870" s="197">
        <v>7.12</v>
      </c>
      <c r="I5870" s="7" t="s">
        <v>16815</v>
      </c>
      <c r="J5870" s="7" t="s">
        <v>16838</v>
      </c>
      <c r="K5870" s="7" t="s">
        <v>17202</v>
      </c>
      <c r="L5870" s="198" t="s">
        <v>65</v>
      </c>
      <c r="M5870" s="194"/>
      <c r="N5870" s="194"/>
    </row>
    <row r="5871">
      <c r="A5871" s="193" t="s">
        <v>24695</v>
      </c>
      <c r="B5871" s="7" t="s">
        <v>187</v>
      </c>
      <c r="C5871" s="7" t="s">
        <v>16858</v>
      </c>
      <c r="D5871" s="199"/>
      <c r="E5871" s="193"/>
      <c r="F5871" s="195" t="s">
        <v>24696</v>
      </c>
      <c r="G5871" s="196">
        <v>1.99343817E8</v>
      </c>
      <c r="H5871" s="197">
        <v>2.6</v>
      </c>
      <c r="I5871" s="7" t="s">
        <v>16815</v>
      </c>
      <c r="J5871" s="7" t="s">
        <v>187</v>
      </c>
      <c r="K5871" s="7" t="s">
        <v>16858</v>
      </c>
      <c r="L5871" s="198" t="s">
        <v>65</v>
      </c>
      <c r="M5871" s="199"/>
      <c r="N5871" s="199"/>
    </row>
    <row r="5872">
      <c r="A5872" s="193" t="s">
        <v>24697</v>
      </c>
      <c r="B5872" s="7" t="s">
        <v>17112</v>
      </c>
      <c r="C5872" s="7" t="s">
        <v>16838</v>
      </c>
      <c r="D5872" s="194">
        <v>2020.0</v>
      </c>
      <c r="E5872" s="193"/>
      <c r="F5872" s="195" t="s">
        <v>24698</v>
      </c>
      <c r="G5872" s="200">
        <v>1.99072631E8</v>
      </c>
      <c r="H5872" s="197">
        <v>7.31</v>
      </c>
      <c r="I5872" s="7" t="s">
        <v>16815</v>
      </c>
      <c r="J5872" s="7" t="s">
        <v>17112</v>
      </c>
      <c r="K5872" s="7" t="s">
        <v>16838</v>
      </c>
      <c r="L5872" s="201" t="s">
        <v>16835</v>
      </c>
      <c r="M5872" s="194"/>
      <c r="N5872" s="194"/>
    </row>
    <row r="5873">
      <c r="A5873" s="193" t="s">
        <v>24697</v>
      </c>
      <c r="B5873" s="7" t="s">
        <v>16838</v>
      </c>
      <c r="C5873" s="7" t="s">
        <v>17112</v>
      </c>
      <c r="D5873" s="194">
        <v>2020.0</v>
      </c>
      <c r="E5873" s="193"/>
      <c r="F5873" s="195" t="s">
        <v>24698</v>
      </c>
      <c r="G5873" s="196">
        <v>1.99072631E8</v>
      </c>
      <c r="H5873" s="197">
        <v>7.31</v>
      </c>
      <c r="I5873" s="7" t="s">
        <v>16815</v>
      </c>
      <c r="J5873" s="7" t="s">
        <v>16838</v>
      </c>
      <c r="K5873" s="7" t="s">
        <v>17112</v>
      </c>
      <c r="L5873" s="198" t="s">
        <v>65</v>
      </c>
      <c r="M5873" s="194"/>
      <c r="N5873" s="194"/>
    </row>
    <row r="5874">
      <c r="A5874" s="193" t="s">
        <v>24699</v>
      </c>
      <c r="B5874" s="7" t="s">
        <v>175</v>
      </c>
      <c r="C5874" s="7" t="s">
        <v>17812</v>
      </c>
      <c r="D5874" s="199"/>
      <c r="E5874" s="193"/>
      <c r="F5874" s="195" t="s">
        <v>24700</v>
      </c>
      <c r="G5874" s="196">
        <v>1.98674662E8</v>
      </c>
      <c r="H5874" s="197">
        <v>24.91</v>
      </c>
      <c r="I5874" s="7" t="s">
        <v>17785</v>
      </c>
      <c r="J5874" s="7" t="s">
        <v>175</v>
      </c>
      <c r="K5874" s="7" t="s">
        <v>17812</v>
      </c>
      <c r="L5874" s="198" t="s">
        <v>65</v>
      </c>
      <c r="M5874" s="199"/>
      <c r="N5874" s="199"/>
    </row>
    <row r="5875">
      <c r="A5875" s="193" t="s">
        <v>24701</v>
      </c>
      <c r="B5875" s="7" t="s">
        <v>16582</v>
      </c>
      <c r="C5875" s="7" t="s">
        <v>16930</v>
      </c>
      <c r="D5875" s="194">
        <v>2021.0</v>
      </c>
      <c r="E5875" s="193"/>
      <c r="F5875" s="195" t="s">
        <v>24702</v>
      </c>
      <c r="G5875" s="196">
        <v>1.98587498E8</v>
      </c>
      <c r="H5875" s="197">
        <v>2.96</v>
      </c>
      <c r="I5875" s="7" t="s">
        <v>16815</v>
      </c>
      <c r="J5875" s="7" t="s">
        <v>16582</v>
      </c>
      <c r="K5875" s="7" t="s">
        <v>16930</v>
      </c>
      <c r="L5875" s="198" t="s">
        <v>65</v>
      </c>
      <c r="M5875" s="194"/>
      <c r="N5875" s="194"/>
    </row>
    <row r="5876">
      <c r="A5876" s="193" t="s">
        <v>24703</v>
      </c>
      <c r="B5876" s="7" t="s">
        <v>16838</v>
      </c>
      <c r="C5876" s="7" t="s">
        <v>19644</v>
      </c>
      <c r="D5876" s="199"/>
      <c r="E5876" s="193"/>
      <c r="F5876" s="195" t="s">
        <v>13357</v>
      </c>
      <c r="G5876" s="196">
        <v>1.9847224E8</v>
      </c>
      <c r="H5876" s="197">
        <v>33.81</v>
      </c>
      <c r="I5876" s="7" t="s">
        <v>16815</v>
      </c>
      <c r="J5876" s="7" t="s">
        <v>16838</v>
      </c>
      <c r="K5876" s="7" t="s">
        <v>19644</v>
      </c>
      <c r="L5876" s="198" t="s">
        <v>65</v>
      </c>
      <c r="M5876" s="199"/>
      <c r="N5876" s="199"/>
    </row>
    <row r="5877">
      <c r="A5877" s="193" t="s">
        <v>24704</v>
      </c>
      <c r="B5877" s="7" t="s">
        <v>187</v>
      </c>
      <c r="C5877" s="7" t="s">
        <v>16846</v>
      </c>
      <c r="D5877" s="194">
        <v>2022.0</v>
      </c>
      <c r="E5877" s="193"/>
      <c r="F5877" s="195" t="s">
        <v>24705</v>
      </c>
      <c r="G5877" s="196">
        <v>1.98402138E8</v>
      </c>
      <c r="H5877" s="197">
        <v>5.53</v>
      </c>
      <c r="I5877" s="7" t="s">
        <v>16815</v>
      </c>
      <c r="J5877" s="7" t="s">
        <v>187</v>
      </c>
      <c r="K5877" s="7" t="s">
        <v>16846</v>
      </c>
      <c r="L5877" s="198" t="s">
        <v>65</v>
      </c>
      <c r="M5877" s="194"/>
      <c r="N5877" s="194"/>
    </row>
    <row r="5878">
      <c r="A5878" s="193" t="s">
        <v>24706</v>
      </c>
      <c r="B5878" s="7" t="s">
        <v>16582</v>
      </c>
      <c r="C5878" s="7" t="s">
        <v>17435</v>
      </c>
      <c r="D5878" s="199"/>
      <c r="E5878" s="193"/>
      <c r="F5878" s="195" t="s">
        <v>24707</v>
      </c>
      <c r="G5878" s="196">
        <v>1.982063E8</v>
      </c>
      <c r="H5878" s="197">
        <v>43.28</v>
      </c>
      <c r="I5878" s="7" t="s">
        <v>16815</v>
      </c>
      <c r="J5878" s="7" t="s">
        <v>16582</v>
      </c>
      <c r="K5878" s="7" t="s">
        <v>17435</v>
      </c>
      <c r="L5878" s="198" t="s">
        <v>65</v>
      </c>
      <c r="M5878" s="199"/>
      <c r="N5878" s="199"/>
    </row>
    <row r="5879">
      <c r="A5879" s="193" t="s">
        <v>24708</v>
      </c>
      <c r="B5879" s="7" t="s">
        <v>175</v>
      </c>
      <c r="C5879" s="7" t="s">
        <v>17812</v>
      </c>
      <c r="D5879" s="199"/>
      <c r="E5879" s="193"/>
      <c r="F5879" s="195" t="s">
        <v>24709</v>
      </c>
      <c r="G5879" s="196">
        <v>1.98074558E8</v>
      </c>
      <c r="H5879" s="197">
        <v>14.25</v>
      </c>
      <c r="I5879" s="7" t="s">
        <v>16908</v>
      </c>
      <c r="J5879" s="7" t="s">
        <v>175</v>
      </c>
      <c r="K5879" s="7" t="s">
        <v>17812</v>
      </c>
      <c r="L5879" s="198" t="s">
        <v>65</v>
      </c>
      <c r="M5879" s="199"/>
      <c r="N5879" s="199"/>
    </row>
    <row r="5880">
      <c r="A5880" s="193" t="s">
        <v>24710</v>
      </c>
      <c r="B5880" s="7" t="s">
        <v>16838</v>
      </c>
      <c r="C5880" s="7" t="s">
        <v>16867</v>
      </c>
      <c r="D5880" s="199"/>
      <c r="E5880" s="193"/>
      <c r="F5880" s="195" t="s">
        <v>24711</v>
      </c>
      <c r="G5880" s="196">
        <v>1.97922693E8</v>
      </c>
      <c r="H5880" s="197">
        <v>31.48</v>
      </c>
      <c r="I5880" s="7" t="s">
        <v>16815</v>
      </c>
      <c r="J5880" s="7" t="s">
        <v>16838</v>
      </c>
      <c r="K5880" s="7" t="s">
        <v>16867</v>
      </c>
      <c r="L5880" s="198" t="s">
        <v>65</v>
      </c>
      <c r="M5880" s="199"/>
      <c r="N5880" s="199"/>
    </row>
    <row r="5881">
      <c r="A5881" s="193" t="s">
        <v>24712</v>
      </c>
      <c r="B5881" s="7" t="s">
        <v>187</v>
      </c>
      <c r="C5881" s="7" t="s">
        <v>16846</v>
      </c>
      <c r="D5881" s="199"/>
      <c r="E5881" s="193"/>
      <c r="F5881" s="195" t="s">
        <v>24713</v>
      </c>
      <c r="G5881" s="196">
        <v>1.97561986E8</v>
      </c>
      <c r="H5881" s="197">
        <v>1.55</v>
      </c>
      <c r="I5881" s="7" t="s">
        <v>16815</v>
      </c>
      <c r="J5881" s="7" t="s">
        <v>187</v>
      </c>
      <c r="K5881" s="7" t="s">
        <v>16846</v>
      </c>
      <c r="L5881" s="198" t="s">
        <v>65</v>
      </c>
      <c r="M5881" s="199"/>
      <c r="N5881" s="199"/>
    </row>
    <row r="5882">
      <c r="A5882" s="193" t="s">
        <v>24714</v>
      </c>
      <c r="B5882" s="7" t="s">
        <v>16838</v>
      </c>
      <c r="C5882" s="7" t="s">
        <v>16837</v>
      </c>
      <c r="D5882" s="199"/>
      <c r="E5882" s="193"/>
      <c r="F5882" s="195" t="s">
        <v>24715</v>
      </c>
      <c r="G5882" s="196">
        <v>1.96739422E8</v>
      </c>
      <c r="H5882" s="197">
        <v>20.47</v>
      </c>
      <c r="I5882" s="7" t="s">
        <v>16815</v>
      </c>
      <c r="J5882" s="7" t="s">
        <v>16838</v>
      </c>
      <c r="K5882" s="7" t="s">
        <v>16837</v>
      </c>
      <c r="L5882" s="198" t="s">
        <v>65</v>
      </c>
      <c r="M5882" s="199"/>
      <c r="N5882" s="199"/>
    </row>
    <row r="5883">
      <c r="A5883" s="193" t="s">
        <v>24716</v>
      </c>
      <c r="D5883" s="194">
        <v>2011.0</v>
      </c>
      <c r="E5883" s="193"/>
      <c r="F5883" s="195" t="s">
        <v>24717</v>
      </c>
      <c r="G5883" s="196">
        <v>1.96576755E8</v>
      </c>
      <c r="H5883" s="197">
        <v>1.21</v>
      </c>
      <c r="I5883" s="7" t="s">
        <v>16815</v>
      </c>
      <c r="L5883" s="198" t="s">
        <v>65</v>
      </c>
      <c r="M5883" s="194"/>
      <c r="N5883" s="194"/>
    </row>
    <row r="5884">
      <c r="A5884" s="193" t="s">
        <v>24716</v>
      </c>
      <c r="B5884" s="208"/>
      <c r="C5884" s="206"/>
      <c r="D5884" s="193">
        <v>2011.0</v>
      </c>
      <c r="E5884" s="193"/>
      <c r="F5884" s="203" t="s">
        <v>24717</v>
      </c>
      <c r="G5884" s="200">
        <v>1.96576755E8</v>
      </c>
      <c r="H5884" s="205">
        <v>0.9804</v>
      </c>
      <c r="J5884" s="208"/>
      <c r="K5884" s="206"/>
      <c r="L5884" s="193" t="s">
        <v>17471</v>
      </c>
      <c r="M5884" s="193"/>
      <c r="N5884" s="193"/>
    </row>
    <row r="5885">
      <c r="A5885" s="193" t="s">
        <v>24718</v>
      </c>
      <c r="B5885" s="7" t="s">
        <v>175</v>
      </c>
      <c r="C5885" s="7" t="s">
        <v>17509</v>
      </c>
      <c r="D5885" s="199"/>
      <c r="E5885" s="193"/>
      <c r="F5885" s="195" t="s">
        <v>24719</v>
      </c>
      <c r="G5885" s="196">
        <v>1.96453334E8</v>
      </c>
      <c r="H5885" s="197">
        <v>3.07</v>
      </c>
      <c r="I5885" s="7" t="s">
        <v>16908</v>
      </c>
      <c r="J5885" s="7" t="s">
        <v>175</v>
      </c>
      <c r="K5885" s="7" t="s">
        <v>17509</v>
      </c>
      <c r="L5885" s="198" t="s">
        <v>65</v>
      </c>
      <c r="M5885" s="199"/>
      <c r="N5885" s="199"/>
    </row>
    <row r="5886">
      <c r="A5886" s="193" t="s">
        <v>24720</v>
      </c>
      <c r="B5886" s="7" t="s">
        <v>169</v>
      </c>
      <c r="C5886" s="7" t="s">
        <v>16851</v>
      </c>
      <c r="D5886" s="194">
        <v>2021.0</v>
      </c>
      <c r="E5886" s="193"/>
      <c r="F5886" s="195" t="s">
        <v>24721</v>
      </c>
      <c r="G5886" s="196">
        <v>1.96252877E8</v>
      </c>
      <c r="H5886" s="197">
        <v>4.01</v>
      </c>
      <c r="I5886" s="7" t="s">
        <v>16815</v>
      </c>
      <c r="J5886" s="7" t="s">
        <v>169</v>
      </c>
      <c r="K5886" s="7" t="s">
        <v>16851</v>
      </c>
      <c r="L5886" s="198" t="s">
        <v>65</v>
      </c>
      <c r="M5886" s="194"/>
      <c r="N5886" s="194"/>
    </row>
    <row r="5887">
      <c r="A5887" s="193" t="s">
        <v>24722</v>
      </c>
      <c r="B5887" s="7" t="s">
        <v>187</v>
      </c>
      <c r="C5887" s="7" t="s">
        <v>16846</v>
      </c>
      <c r="D5887" s="194">
        <v>2006.0</v>
      </c>
      <c r="E5887" s="193"/>
      <c r="F5887" s="195" t="s">
        <v>24723</v>
      </c>
      <c r="G5887" s="196">
        <v>1.96104541E8</v>
      </c>
      <c r="H5887" s="197">
        <v>3.41</v>
      </c>
      <c r="I5887" s="7" t="s">
        <v>16815</v>
      </c>
      <c r="J5887" s="7" t="s">
        <v>187</v>
      </c>
      <c r="K5887" s="7" t="s">
        <v>16846</v>
      </c>
      <c r="L5887" s="198" t="s">
        <v>65</v>
      </c>
      <c r="M5887" s="194"/>
      <c r="N5887" s="194"/>
    </row>
    <row r="5888">
      <c r="A5888" s="193" t="s">
        <v>24724</v>
      </c>
      <c r="B5888" s="7" t="s">
        <v>16838</v>
      </c>
      <c r="C5888" s="7" t="s">
        <v>16867</v>
      </c>
      <c r="D5888" s="199"/>
      <c r="E5888" s="193"/>
      <c r="F5888" s="195" t="s">
        <v>24725</v>
      </c>
      <c r="G5888" s="196">
        <v>1.95823628E8</v>
      </c>
      <c r="H5888" s="197">
        <v>11.0</v>
      </c>
      <c r="I5888" s="7" t="s">
        <v>16815</v>
      </c>
      <c r="J5888" s="7" t="s">
        <v>16838</v>
      </c>
      <c r="K5888" s="7" t="s">
        <v>16867</v>
      </c>
      <c r="L5888" s="198" t="s">
        <v>65</v>
      </c>
      <c r="M5888" s="199"/>
      <c r="N5888" s="199"/>
    </row>
    <row r="5889">
      <c r="A5889" s="193" t="s">
        <v>24726</v>
      </c>
      <c r="B5889" s="7" t="s">
        <v>16582</v>
      </c>
      <c r="C5889" s="7" t="s">
        <v>16899</v>
      </c>
      <c r="D5889" s="194">
        <v>2020.0</v>
      </c>
      <c r="E5889" s="193"/>
      <c r="F5889" s="195" t="s">
        <v>24727</v>
      </c>
      <c r="G5889" s="196">
        <v>1.94742651E8</v>
      </c>
      <c r="H5889" s="197">
        <v>4.93</v>
      </c>
      <c r="I5889" s="7" t="s">
        <v>16815</v>
      </c>
      <c r="J5889" s="7" t="s">
        <v>16582</v>
      </c>
      <c r="K5889" s="7" t="s">
        <v>16899</v>
      </c>
      <c r="L5889" s="198" t="s">
        <v>65</v>
      </c>
      <c r="M5889" s="194"/>
      <c r="N5889" s="194"/>
    </row>
    <row r="5890">
      <c r="A5890" s="193" t="s">
        <v>24726</v>
      </c>
      <c r="B5890" s="7" t="s">
        <v>16899</v>
      </c>
      <c r="C5890" s="7" t="s">
        <v>16582</v>
      </c>
      <c r="D5890" s="194">
        <v>2020.0</v>
      </c>
      <c r="E5890" s="193"/>
      <c r="F5890" s="195" t="s">
        <v>24727</v>
      </c>
      <c r="G5890" s="200">
        <v>1.94742651E8</v>
      </c>
      <c r="H5890" s="197">
        <v>4.93</v>
      </c>
      <c r="I5890" s="7" t="s">
        <v>16815</v>
      </c>
      <c r="J5890" s="7" t="s">
        <v>16899</v>
      </c>
      <c r="K5890" s="7" t="s">
        <v>16582</v>
      </c>
      <c r="L5890" s="201" t="s">
        <v>16835</v>
      </c>
      <c r="M5890" s="194"/>
      <c r="N5890" s="194"/>
    </row>
    <row r="5891">
      <c r="A5891" s="193" t="s">
        <v>24728</v>
      </c>
      <c r="B5891" s="7" t="s">
        <v>175</v>
      </c>
      <c r="C5891" s="7" t="s">
        <v>17350</v>
      </c>
      <c r="D5891" s="194">
        <v>2004.0</v>
      </c>
      <c r="E5891" s="193"/>
      <c r="F5891" s="195" t="s">
        <v>24729</v>
      </c>
      <c r="G5891" s="196">
        <v>1.94706342E8</v>
      </c>
      <c r="H5891" s="197">
        <v>5.77</v>
      </c>
      <c r="I5891" s="7" t="s">
        <v>16908</v>
      </c>
      <c r="J5891" s="7" t="s">
        <v>175</v>
      </c>
      <c r="K5891" s="7" t="s">
        <v>17350</v>
      </c>
      <c r="L5891" s="198" t="s">
        <v>65</v>
      </c>
      <c r="M5891" s="194"/>
      <c r="N5891" s="194"/>
    </row>
    <row r="5892">
      <c r="A5892" s="193" t="s">
        <v>24730</v>
      </c>
      <c r="B5892" s="7" t="s">
        <v>16582</v>
      </c>
      <c r="C5892" s="7" t="s">
        <v>16930</v>
      </c>
      <c r="D5892" s="199"/>
      <c r="E5892" s="193"/>
      <c r="F5892" s="195" t="s">
        <v>24731</v>
      </c>
      <c r="G5892" s="196">
        <v>1.9465073E8</v>
      </c>
      <c r="H5892" s="197">
        <v>19.15</v>
      </c>
      <c r="I5892" s="7" t="s">
        <v>16815</v>
      </c>
      <c r="J5892" s="7" t="s">
        <v>16582</v>
      </c>
      <c r="K5892" s="7" t="s">
        <v>16930</v>
      </c>
      <c r="L5892" s="198" t="s">
        <v>65</v>
      </c>
      <c r="M5892" s="199"/>
      <c r="N5892" s="199"/>
    </row>
    <row r="5893">
      <c r="A5893" s="193" t="s">
        <v>24732</v>
      </c>
      <c r="B5893" s="7" t="s">
        <v>187</v>
      </c>
      <c r="C5893" s="7" t="s">
        <v>16846</v>
      </c>
      <c r="D5893" s="194">
        <v>2008.0</v>
      </c>
      <c r="E5893" s="193"/>
      <c r="F5893" s="195" t="s">
        <v>24733</v>
      </c>
      <c r="G5893" s="196">
        <v>1.94232257E8</v>
      </c>
      <c r="H5893" s="197">
        <v>1.17</v>
      </c>
      <c r="I5893" s="7" t="s">
        <v>16815</v>
      </c>
      <c r="J5893" s="7" t="s">
        <v>187</v>
      </c>
      <c r="K5893" s="7" t="s">
        <v>16846</v>
      </c>
      <c r="L5893" s="198" t="s">
        <v>65</v>
      </c>
      <c r="M5893" s="194"/>
      <c r="N5893" s="194"/>
    </row>
    <row r="5894">
      <c r="A5894" s="193" t="s">
        <v>24734</v>
      </c>
      <c r="B5894" s="7" t="s">
        <v>158</v>
      </c>
      <c r="C5894" s="7" t="s">
        <v>16864</v>
      </c>
      <c r="D5894" s="199"/>
      <c r="E5894" s="193"/>
      <c r="F5894" s="195" t="s">
        <v>24735</v>
      </c>
      <c r="G5894" s="196">
        <v>1.94230932E8</v>
      </c>
      <c r="H5894" s="197">
        <v>5.81</v>
      </c>
      <c r="I5894" s="7" t="s">
        <v>16897</v>
      </c>
      <c r="J5894" s="7" t="s">
        <v>158</v>
      </c>
      <c r="K5894" s="7" t="s">
        <v>16864</v>
      </c>
      <c r="L5894" s="198" t="s">
        <v>65</v>
      </c>
      <c r="M5894" s="199"/>
      <c r="N5894" s="199"/>
    </row>
    <row r="5895">
      <c r="A5895" s="193" t="s">
        <v>24734</v>
      </c>
      <c r="B5895" s="202" t="s">
        <v>16864</v>
      </c>
      <c r="C5895" s="193" t="s">
        <v>158</v>
      </c>
      <c r="D5895" s="206"/>
      <c r="E5895" s="193"/>
      <c r="F5895" s="203" t="s">
        <v>24735</v>
      </c>
      <c r="G5895" s="200">
        <v>1.94230932E8</v>
      </c>
      <c r="H5895" s="205">
        <v>1.21</v>
      </c>
      <c r="J5895" s="202" t="s">
        <v>16864</v>
      </c>
      <c r="K5895" s="193" t="s">
        <v>158</v>
      </c>
      <c r="L5895" s="193" t="s">
        <v>17471</v>
      </c>
      <c r="M5895" s="206"/>
      <c r="N5895" s="206"/>
    </row>
    <row r="5896">
      <c r="A5896" s="193" t="s">
        <v>24736</v>
      </c>
      <c r="B5896" s="7" t="s">
        <v>187</v>
      </c>
      <c r="C5896" s="7" t="s">
        <v>17559</v>
      </c>
      <c r="D5896" s="194">
        <v>2006.0</v>
      </c>
      <c r="E5896" s="193"/>
      <c r="F5896" s="195" t="s">
        <v>24737</v>
      </c>
      <c r="G5896" s="196">
        <v>1.94049438E8</v>
      </c>
      <c r="H5896" s="197">
        <v>5.72</v>
      </c>
      <c r="I5896" s="7" t="s">
        <v>16815</v>
      </c>
      <c r="J5896" s="7" t="s">
        <v>187</v>
      </c>
      <c r="K5896" s="7" t="s">
        <v>17559</v>
      </c>
      <c r="L5896" s="198" t="s">
        <v>65</v>
      </c>
      <c r="M5896" s="194"/>
      <c r="N5896" s="194"/>
    </row>
    <row r="5897">
      <c r="A5897" s="193" t="s">
        <v>24738</v>
      </c>
      <c r="B5897" s="7" t="s">
        <v>187</v>
      </c>
      <c r="C5897" s="7" t="s">
        <v>16992</v>
      </c>
      <c r="D5897" s="194">
        <v>2021.0</v>
      </c>
      <c r="E5897" s="193"/>
      <c r="F5897" s="195" t="s">
        <v>24739</v>
      </c>
      <c r="G5897" s="196">
        <v>1.93891703E8</v>
      </c>
      <c r="H5897" s="197">
        <v>14.9</v>
      </c>
      <c r="I5897" s="7" t="s">
        <v>16815</v>
      </c>
      <c r="J5897" s="7" t="s">
        <v>187</v>
      </c>
      <c r="K5897" s="7" t="s">
        <v>16992</v>
      </c>
      <c r="L5897" s="198" t="s">
        <v>65</v>
      </c>
      <c r="M5897" s="194"/>
      <c r="N5897" s="194"/>
    </row>
    <row r="5898">
      <c r="A5898" s="193" t="s">
        <v>24740</v>
      </c>
      <c r="B5898" s="7" t="s">
        <v>158</v>
      </c>
      <c r="C5898" s="7" t="s">
        <v>16864</v>
      </c>
      <c r="D5898" s="199"/>
      <c r="E5898" s="193"/>
      <c r="F5898" s="195" t="s">
        <v>24741</v>
      </c>
      <c r="G5898" s="196">
        <v>1.93403914E8</v>
      </c>
      <c r="H5898" s="197">
        <v>105.38</v>
      </c>
      <c r="I5898" s="193" t="s">
        <v>17098</v>
      </c>
      <c r="J5898" s="7" t="s">
        <v>158</v>
      </c>
      <c r="K5898" s="7" t="s">
        <v>16864</v>
      </c>
      <c r="L5898" s="198" t="s">
        <v>65</v>
      </c>
      <c r="M5898" s="199"/>
      <c r="N5898" s="199"/>
    </row>
    <row r="5899">
      <c r="A5899" s="193" t="s">
        <v>24742</v>
      </c>
      <c r="B5899" s="7" t="s">
        <v>169</v>
      </c>
      <c r="C5899" s="7" t="s">
        <v>16899</v>
      </c>
      <c r="D5899" s="199"/>
      <c r="E5899" s="193"/>
      <c r="F5899" s="195" t="s">
        <v>24743</v>
      </c>
      <c r="G5899" s="196">
        <v>1.93357925E8</v>
      </c>
      <c r="H5899" s="197">
        <v>13.85</v>
      </c>
      <c r="I5899" s="7" t="s">
        <v>16815</v>
      </c>
      <c r="J5899" s="7" t="s">
        <v>169</v>
      </c>
      <c r="K5899" s="7" t="s">
        <v>16899</v>
      </c>
      <c r="L5899" s="198" t="s">
        <v>65</v>
      </c>
      <c r="M5899" s="199"/>
      <c r="N5899" s="199"/>
    </row>
    <row r="5900">
      <c r="A5900" s="193" t="s">
        <v>24744</v>
      </c>
      <c r="D5900" s="199"/>
      <c r="E5900" s="193"/>
      <c r="F5900" s="195" t="s">
        <v>24745</v>
      </c>
      <c r="G5900" s="196">
        <v>1.93300594E8</v>
      </c>
      <c r="H5900" s="197">
        <v>4.16</v>
      </c>
      <c r="I5900" s="7" t="s">
        <v>16815</v>
      </c>
      <c r="L5900" s="198" t="s">
        <v>65</v>
      </c>
      <c r="M5900" s="199"/>
      <c r="N5900" s="199"/>
    </row>
    <row r="5901">
      <c r="A5901" s="193" t="s">
        <v>24744</v>
      </c>
      <c r="D5901" s="199"/>
      <c r="E5901" s="193"/>
      <c r="F5901" s="195" t="s">
        <v>24745</v>
      </c>
      <c r="G5901" s="200">
        <v>1.93300594E8</v>
      </c>
      <c r="H5901" s="197">
        <v>4.16</v>
      </c>
      <c r="I5901" s="193" t="s">
        <v>16815</v>
      </c>
      <c r="L5901" s="201" t="s">
        <v>16835</v>
      </c>
      <c r="M5901" s="199"/>
      <c r="N5901" s="199"/>
    </row>
    <row r="5902">
      <c r="A5902" s="193" t="s">
        <v>24746</v>
      </c>
      <c r="B5902" s="7" t="s">
        <v>19644</v>
      </c>
      <c r="C5902" s="7" t="s">
        <v>16838</v>
      </c>
      <c r="D5902" s="194">
        <v>1986.0</v>
      </c>
      <c r="E5902" s="193"/>
      <c r="F5902" s="195" t="s">
        <v>24747</v>
      </c>
      <c r="G5902" s="200">
        <v>1.93169989E8</v>
      </c>
      <c r="H5902" s="197">
        <v>4.69</v>
      </c>
      <c r="I5902" s="7" t="s">
        <v>16815</v>
      </c>
      <c r="J5902" s="7" t="s">
        <v>19644</v>
      </c>
      <c r="K5902" s="7" t="s">
        <v>16838</v>
      </c>
      <c r="L5902" s="201" t="s">
        <v>16835</v>
      </c>
      <c r="M5902" s="194"/>
      <c r="N5902" s="194"/>
    </row>
    <row r="5903">
      <c r="A5903" s="193" t="s">
        <v>24746</v>
      </c>
      <c r="B5903" s="7" t="s">
        <v>16838</v>
      </c>
      <c r="C5903" s="7" t="s">
        <v>19644</v>
      </c>
      <c r="D5903" s="194">
        <v>1986.0</v>
      </c>
      <c r="E5903" s="193"/>
      <c r="F5903" s="195" t="s">
        <v>24747</v>
      </c>
      <c r="G5903" s="196">
        <v>1.93169989E8</v>
      </c>
      <c r="H5903" s="197">
        <v>4.69</v>
      </c>
      <c r="I5903" s="7" t="s">
        <v>16815</v>
      </c>
      <c r="J5903" s="7" t="s">
        <v>16838</v>
      </c>
      <c r="K5903" s="7" t="s">
        <v>19644</v>
      </c>
      <c r="L5903" s="198" t="s">
        <v>65</v>
      </c>
      <c r="M5903" s="194"/>
      <c r="N5903" s="194"/>
    </row>
    <row r="5904">
      <c r="A5904" s="193" t="s">
        <v>24748</v>
      </c>
      <c r="D5904" s="199"/>
      <c r="E5904" s="193"/>
      <c r="F5904" s="195" t="s">
        <v>24749</v>
      </c>
      <c r="G5904" s="196">
        <v>1.93155784E8</v>
      </c>
      <c r="H5904" s="197">
        <v>25.38</v>
      </c>
      <c r="I5904" s="7" t="s">
        <v>16815</v>
      </c>
      <c r="L5904" s="198" t="s">
        <v>65</v>
      </c>
      <c r="M5904" s="199"/>
      <c r="N5904" s="199"/>
    </row>
    <row r="5905">
      <c r="A5905" s="193" t="s">
        <v>24750</v>
      </c>
      <c r="B5905" s="7" t="s">
        <v>187</v>
      </c>
      <c r="C5905" s="7" t="s">
        <v>16846</v>
      </c>
      <c r="D5905" s="199"/>
      <c r="E5905" s="193"/>
      <c r="F5905" s="195" t="s">
        <v>24751</v>
      </c>
      <c r="G5905" s="196">
        <v>1.93152543E8</v>
      </c>
      <c r="H5905" s="197">
        <v>2.94</v>
      </c>
      <c r="I5905" s="7" t="s">
        <v>16815</v>
      </c>
      <c r="J5905" s="7" t="s">
        <v>187</v>
      </c>
      <c r="K5905" s="7" t="s">
        <v>16846</v>
      </c>
      <c r="L5905" s="198" t="s">
        <v>65</v>
      </c>
      <c r="M5905" s="199"/>
      <c r="N5905" s="199"/>
    </row>
    <row r="5906">
      <c r="A5906" s="193" t="s">
        <v>24752</v>
      </c>
      <c r="B5906" s="7" t="s">
        <v>175</v>
      </c>
      <c r="C5906" s="7" t="s">
        <v>17619</v>
      </c>
      <c r="D5906" s="199"/>
      <c r="E5906" s="193"/>
      <c r="F5906" s="195" t="s">
        <v>24753</v>
      </c>
      <c r="G5906" s="196">
        <v>1.93035274E8</v>
      </c>
      <c r="H5906" s="197">
        <v>3.99</v>
      </c>
      <c r="I5906" s="7" t="s">
        <v>16856</v>
      </c>
      <c r="J5906" s="7" t="s">
        <v>175</v>
      </c>
      <c r="K5906" s="7" t="s">
        <v>17619</v>
      </c>
      <c r="L5906" s="198" t="s">
        <v>65</v>
      </c>
      <c r="M5906" s="199"/>
      <c r="N5906" s="199"/>
    </row>
    <row r="5907">
      <c r="A5907" s="193" t="s">
        <v>24754</v>
      </c>
      <c r="B5907" s="7" t="s">
        <v>16838</v>
      </c>
      <c r="C5907" s="7" t="s">
        <v>18679</v>
      </c>
      <c r="D5907" s="194">
        <v>2015.0</v>
      </c>
      <c r="E5907" s="193"/>
      <c r="F5907" s="195" t="s">
        <v>24755</v>
      </c>
      <c r="G5907" s="196">
        <v>1.92854574E8</v>
      </c>
      <c r="H5907" s="197">
        <v>18.61</v>
      </c>
      <c r="I5907" s="7" t="s">
        <v>16872</v>
      </c>
      <c r="J5907" s="7" t="s">
        <v>16838</v>
      </c>
      <c r="K5907" s="7" t="s">
        <v>18679</v>
      </c>
      <c r="L5907" s="198" t="s">
        <v>65</v>
      </c>
      <c r="M5907" s="194"/>
      <c r="N5907" s="194"/>
    </row>
    <row r="5908">
      <c r="A5908" s="193" t="s">
        <v>24754</v>
      </c>
      <c r="B5908" s="7" t="s">
        <v>18679</v>
      </c>
      <c r="C5908" s="7" t="s">
        <v>16838</v>
      </c>
      <c r="D5908" s="194">
        <v>2015.0</v>
      </c>
      <c r="E5908" s="193"/>
      <c r="F5908" s="195" t="s">
        <v>24755</v>
      </c>
      <c r="G5908" s="200">
        <v>1.92854574E8</v>
      </c>
      <c r="H5908" s="197">
        <v>18.61</v>
      </c>
      <c r="I5908" s="7" t="s">
        <v>16815</v>
      </c>
      <c r="J5908" s="7" t="s">
        <v>18679</v>
      </c>
      <c r="K5908" s="7" t="s">
        <v>16838</v>
      </c>
      <c r="L5908" s="201" t="s">
        <v>16835</v>
      </c>
      <c r="M5908" s="194"/>
      <c r="N5908" s="194"/>
    </row>
    <row r="5909">
      <c r="A5909" s="193" t="s">
        <v>24756</v>
      </c>
      <c r="B5909" s="7" t="s">
        <v>187</v>
      </c>
      <c r="C5909" s="7" t="s">
        <v>16846</v>
      </c>
      <c r="D5909" s="194">
        <v>2021.0</v>
      </c>
      <c r="E5909" s="193"/>
      <c r="F5909" s="195" t="s">
        <v>24757</v>
      </c>
      <c r="G5909" s="196">
        <v>1.92281429E8</v>
      </c>
      <c r="H5909" s="197">
        <v>1.29</v>
      </c>
      <c r="I5909" s="7" t="s">
        <v>16815</v>
      </c>
      <c r="J5909" s="7" t="s">
        <v>187</v>
      </c>
      <c r="K5909" s="7" t="s">
        <v>16846</v>
      </c>
      <c r="L5909" s="198" t="s">
        <v>65</v>
      </c>
      <c r="M5909" s="194"/>
      <c r="N5909" s="194"/>
    </row>
    <row r="5910">
      <c r="A5910" s="193" t="s">
        <v>24758</v>
      </c>
      <c r="B5910" s="7" t="s">
        <v>16838</v>
      </c>
      <c r="C5910" s="7" t="s">
        <v>17002</v>
      </c>
      <c r="D5910" s="199"/>
      <c r="E5910" s="193"/>
      <c r="F5910" s="195" t="s">
        <v>24759</v>
      </c>
      <c r="G5910" s="196">
        <v>1.92099982E8</v>
      </c>
      <c r="H5910" s="197">
        <v>7.41</v>
      </c>
      <c r="I5910" s="7" t="s">
        <v>16815</v>
      </c>
      <c r="J5910" s="7" t="s">
        <v>16838</v>
      </c>
      <c r="K5910" s="7" t="s">
        <v>17002</v>
      </c>
      <c r="L5910" s="198" t="s">
        <v>65</v>
      </c>
      <c r="M5910" s="199"/>
      <c r="N5910" s="199"/>
    </row>
    <row r="5911">
      <c r="A5911" s="193" t="s">
        <v>24760</v>
      </c>
      <c r="B5911" s="7" t="s">
        <v>16885</v>
      </c>
      <c r="C5911" s="7" t="s">
        <v>16886</v>
      </c>
      <c r="D5911" s="199"/>
      <c r="E5911" s="193"/>
      <c r="F5911" s="195" t="s">
        <v>24761</v>
      </c>
      <c r="G5911" s="196">
        <v>1.91955569E8</v>
      </c>
      <c r="H5911" s="197">
        <v>4.15</v>
      </c>
      <c r="I5911" s="7" t="s">
        <v>16888</v>
      </c>
      <c r="J5911" s="7" t="s">
        <v>16885</v>
      </c>
      <c r="K5911" s="7" t="s">
        <v>16886</v>
      </c>
      <c r="L5911" s="198" t="s">
        <v>65</v>
      </c>
      <c r="M5911" s="199"/>
      <c r="N5911" s="199"/>
    </row>
    <row r="5912">
      <c r="A5912" s="193" t="s">
        <v>24762</v>
      </c>
      <c r="B5912" s="7" t="s">
        <v>16910</v>
      </c>
      <c r="C5912" s="7" t="s">
        <v>17137</v>
      </c>
      <c r="D5912" s="194">
        <v>2018.0</v>
      </c>
      <c r="E5912" s="193"/>
      <c r="F5912" s="195" t="s">
        <v>24763</v>
      </c>
      <c r="G5912" s="196">
        <v>1.91672231E8</v>
      </c>
      <c r="H5912" s="197">
        <v>2.295</v>
      </c>
      <c r="I5912" s="7" t="s">
        <v>18397</v>
      </c>
      <c r="J5912" s="7" t="s">
        <v>16910</v>
      </c>
      <c r="K5912" s="7" t="s">
        <v>17137</v>
      </c>
      <c r="L5912" s="198" t="s">
        <v>65</v>
      </c>
      <c r="M5912" s="194"/>
      <c r="N5912" s="194"/>
    </row>
    <row r="5913">
      <c r="A5913" s="193" t="s">
        <v>24764</v>
      </c>
      <c r="B5913" s="7" t="s">
        <v>16838</v>
      </c>
      <c r="C5913" s="7" t="s">
        <v>16837</v>
      </c>
      <c r="D5913" s="199"/>
      <c r="E5913" s="193"/>
      <c r="F5913" s="195" t="s">
        <v>24765</v>
      </c>
      <c r="G5913" s="196">
        <v>1.9147064E8</v>
      </c>
      <c r="H5913" s="197">
        <v>16.75</v>
      </c>
      <c r="I5913" s="7" t="s">
        <v>16815</v>
      </c>
      <c r="J5913" s="7" t="s">
        <v>16838</v>
      </c>
      <c r="K5913" s="7" t="s">
        <v>16837</v>
      </c>
      <c r="L5913" s="198" t="s">
        <v>65</v>
      </c>
      <c r="M5913" s="199"/>
      <c r="N5913" s="199"/>
    </row>
    <row r="5914">
      <c r="A5914" s="193" t="s">
        <v>24766</v>
      </c>
      <c r="B5914" s="7" t="s">
        <v>16885</v>
      </c>
      <c r="C5914" s="7" t="s">
        <v>17726</v>
      </c>
      <c r="D5914" s="194">
        <v>2022.0</v>
      </c>
      <c r="E5914" s="193"/>
      <c r="F5914" s="195" t="s">
        <v>24767</v>
      </c>
      <c r="G5914" s="196">
        <v>1.91376728E8</v>
      </c>
      <c r="H5914" s="197">
        <v>2.43</v>
      </c>
      <c r="I5914" s="7" t="s">
        <v>16888</v>
      </c>
      <c r="J5914" s="7" t="s">
        <v>16885</v>
      </c>
      <c r="K5914" s="7" t="s">
        <v>17726</v>
      </c>
      <c r="L5914" s="198" t="s">
        <v>65</v>
      </c>
      <c r="M5914" s="194"/>
      <c r="N5914" s="194"/>
    </row>
    <row r="5915">
      <c r="A5915" s="193" t="s">
        <v>24766</v>
      </c>
      <c r="B5915" s="202" t="s">
        <v>17726</v>
      </c>
      <c r="C5915" s="193" t="s">
        <v>16885</v>
      </c>
      <c r="D5915" s="193">
        <v>2022.0</v>
      </c>
      <c r="E5915" s="193"/>
      <c r="F5915" s="203" t="s">
        <v>24767</v>
      </c>
      <c r="G5915" s="200">
        <v>1.91376728E8</v>
      </c>
      <c r="H5915" s="205">
        <v>5.81</v>
      </c>
      <c r="J5915" s="202" t="s">
        <v>17726</v>
      </c>
      <c r="K5915" s="193" t="s">
        <v>16885</v>
      </c>
      <c r="L5915" s="193" t="s">
        <v>17471</v>
      </c>
      <c r="M5915" s="193"/>
      <c r="N5915" s="193"/>
    </row>
    <row r="5916">
      <c r="A5916" s="193" t="s">
        <v>24768</v>
      </c>
      <c r="D5916" s="194">
        <v>2023.0</v>
      </c>
      <c r="E5916" s="193"/>
      <c r="F5916" s="195" t="s">
        <v>24769</v>
      </c>
      <c r="G5916" s="196">
        <v>1.90863785E8</v>
      </c>
      <c r="H5916" s="197">
        <v>4.68</v>
      </c>
      <c r="I5916" s="7" t="s">
        <v>16815</v>
      </c>
      <c r="L5916" s="198" t="s">
        <v>65</v>
      </c>
      <c r="M5916" s="194"/>
      <c r="N5916" s="194"/>
    </row>
    <row r="5917">
      <c r="A5917" s="193" t="s">
        <v>24768</v>
      </c>
      <c r="D5917" s="194">
        <v>2023.0</v>
      </c>
      <c r="E5917" s="193"/>
      <c r="F5917" s="195" t="s">
        <v>24769</v>
      </c>
      <c r="G5917" s="200">
        <v>1.90863785E8</v>
      </c>
      <c r="H5917" s="197">
        <v>4.68</v>
      </c>
      <c r="L5917" s="201" t="s">
        <v>16835</v>
      </c>
      <c r="M5917" s="194"/>
      <c r="N5917" s="194"/>
    </row>
    <row r="5918">
      <c r="A5918" s="193" t="s">
        <v>24770</v>
      </c>
      <c r="B5918" s="7" t="s">
        <v>175</v>
      </c>
      <c r="C5918" s="7" t="s">
        <v>19006</v>
      </c>
      <c r="D5918" s="199"/>
      <c r="E5918" s="193"/>
      <c r="F5918" s="195" t="s">
        <v>24771</v>
      </c>
      <c r="G5918" s="196">
        <v>1.90747045E8</v>
      </c>
      <c r="H5918" s="197">
        <v>5.0</v>
      </c>
      <c r="I5918" s="7" t="s">
        <v>16908</v>
      </c>
      <c r="J5918" s="7" t="s">
        <v>175</v>
      </c>
      <c r="K5918" s="7" t="s">
        <v>19006</v>
      </c>
      <c r="L5918" s="198" t="s">
        <v>65</v>
      </c>
      <c r="M5918" s="199"/>
      <c r="N5918" s="199"/>
    </row>
    <row r="5919">
      <c r="A5919" s="193" t="s">
        <v>24772</v>
      </c>
      <c r="B5919" s="7" t="s">
        <v>187</v>
      </c>
      <c r="C5919" s="7" t="s">
        <v>16858</v>
      </c>
      <c r="D5919" s="194">
        <v>2020.0</v>
      </c>
      <c r="E5919" s="193"/>
      <c r="F5919" s="195" t="s">
        <v>24773</v>
      </c>
      <c r="G5919" s="196">
        <v>1.90346476E8</v>
      </c>
      <c r="H5919" s="197">
        <v>2.19</v>
      </c>
      <c r="I5919" s="7" t="s">
        <v>16815</v>
      </c>
      <c r="J5919" s="7" t="s">
        <v>187</v>
      </c>
      <c r="K5919" s="7" t="s">
        <v>16858</v>
      </c>
      <c r="L5919" s="198" t="s">
        <v>65</v>
      </c>
      <c r="M5919" s="194"/>
      <c r="N5919" s="194"/>
    </row>
    <row r="5920">
      <c r="A5920" s="193" t="s">
        <v>24774</v>
      </c>
      <c r="B5920" s="7" t="s">
        <v>16919</v>
      </c>
      <c r="C5920" s="7" t="s">
        <v>110</v>
      </c>
      <c r="D5920" s="199"/>
      <c r="E5920" s="193"/>
      <c r="F5920" s="195" t="s">
        <v>24775</v>
      </c>
      <c r="G5920" s="196">
        <v>1.90230635E8</v>
      </c>
      <c r="H5920" s="197">
        <v>1.16</v>
      </c>
      <c r="I5920" s="7" t="s">
        <v>16815</v>
      </c>
      <c r="J5920" s="7" t="s">
        <v>16919</v>
      </c>
      <c r="K5920" s="7" t="s">
        <v>110</v>
      </c>
      <c r="L5920" s="198" t="s">
        <v>65</v>
      </c>
      <c r="M5920" s="199"/>
      <c r="N5920" s="199"/>
    </row>
    <row r="5921">
      <c r="A5921" s="193" t="s">
        <v>24776</v>
      </c>
      <c r="B5921" s="7" t="s">
        <v>187</v>
      </c>
      <c r="C5921" s="7" t="s">
        <v>16846</v>
      </c>
      <c r="D5921" s="194">
        <v>2019.0</v>
      </c>
      <c r="E5921" s="193"/>
      <c r="F5921" s="195" t="s">
        <v>24777</v>
      </c>
      <c r="G5921" s="196">
        <v>1.90225111E8</v>
      </c>
      <c r="H5921" s="197">
        <v>4.26</v>
      </c>
      <c r="I5921" s="7" t="s">
        <v>16815</v>
      </c>
      <c r="J5921" s="7" t="s">
        <v>187</v>
      </c>
      <c r="K5921" s="7" t="s">
        <v>16846</v>
      </c>
      <c r="L5921" s="198" t="s">
        <v>65</v>
      </c>
      <c r="M5921" s="194"/>
      <c r="N5921" s="194"/>
    </row>
    <row r="5922">
      <c r="A5922" s="193" t="s">
        <v>24778</v>
      </c>
      <c r="B5922" s="7" t="s">
        <v>187</v>
      </c>
      <c r="C5922" s="7" t="s">
        <v>16969</v>
      </c>
      <c r="D5922" s="199"/>
      <c r="E5922" s="193"/>
      <c r="F5922" s="195" t="s">
        <v>24779</v>
      </c>
      <c r="G5922" s="196">
        <v>1.89219296E8</v>
      </c>
      <c r="H5922" s="197">
        <v>8.9</v>
      </c>
      <c r="I5922" s="7" t="s">
        <v>16815</v>
      </c>
      <c r="J5922" s="7" t="s">
        <v>187</v>
      </c>
      <c r="K5922" s="7" t="s">
        <v>16969</v>
      </c>
      <c r="L5922" s="198" t="s">
        <v>65</v>
      </c>
      <c r="M5922" s="199"/>
      <c r="N5922" s="199"/>
    </row>
    <row r="5923">
      <c r="A5923" s="193" t="s">
        <v>24780</v>
      </c>
      <c r="B5923" s="7" t="s">
        <v>16910</v>
      </c>
      <c r="C5923" s="7" t="s">
        <v>17648</v>
      </c>
      <c r="D5923" s="194">
        <v>2020.0</v>
      </c>
      <c r="E5923" s="193"/>
      <c r="F5923" s="195" t="s">
        <v>24781</v>
      </c>
      <c r="G5923" s="196">
        <v>1.89124362E8</v>
      </c>
      <c r="H5923" s="197">
        <v>0.7001</v>
      </c>
      <c r="I5923" s="7" t="s">
        <v>16856</v>
      </c>
      <c r="J5923" s="7" t="s">
        <v>16910</v>
      </c>
      <c r="K5923" s="7" t="s">
        <v>17648</v>
      </c>
      <c r="L5923" s="198" t="s">
        <v>65</v>
      </c>
      <c r="M5923" s="194"/>
      <c r="N5923" s="194"/>
    </row>
    <row r="5924">
      <c r="A5924" s="193" t="s">
        <v>24780</v>
      </c>
      <c r="B5924" s="7" t="s">
        <v>17648</v>
      </c>
      <c r="C5924" s="7" t="s">
        <v>16910</v>
      </c>
      <c r="D5924" s="194">
        <v>2020.0</v>
      </c>
      <c r="E5924" s="193"/>
      <c r="F5924" s="195" t="s">
        <v>24781</v>
      </c>
      <c r="G5924" s="200">
        <v>1.89124362E8</v>
      </c>
      <c r="H5924" s="197">
        <v>0.7001</v>
      </c>
      <c r="I5924" s="7" t="s">
        <v>16815</v>
      </c>
      <c r="J5924" s="7" t="s">
        <v>17648</v>
      </c>
      <c r="K5924" s="7" t="s">
        <v>16910</v>
      </c>
      <c r="L5924" s="201" t="s">
        <v>16835</v>
      </c>
      <c r="M5924" s="194"/>
      <c r="N5924" s="194"/>
    </row>
    <row r="5925">
      <c r="A5925" s="193" t="s">
        <v>24782</v>
      </c>
      <c r="B5925" s="7" t="s">
        <v>175</v>
      </c>
      <c r="C5925" s="7" t="s">
        <v>17452</v>
      </c>
      <c r="D5925" s="199"/>
      <c r="E5925" s="193"/>
      <c r="F5925" s="195" t="s">
        <v>24783</v>
      </c>
      <c r="G5925" s="196">
        <v>1.89043609E8</v>
      </c>
      <c r="H5925" s="197">
        <v>9.77</v>
      </c>
      <c r="I5925" s="7" t="s">
        <v>168</v>
      </c>
      <c r="J5925" s="7" t="s">
        <v>175</v>
      </c>
      <c r="K5925" s="7" t="s">
        <v>17452</v>
      </c>
      <c r="L5925" s="198" t="s">
        <v>65</v>
      </c>
      <c r="M5925" s="199"/>
      <c r="N5925" s="199"/>
    </row>
    <row r="5926">
      <c r="A5926" s="193" t="s">
        <v>24784</v>
      </c>
      <c r="B5926" s="7" t="s">
        <v>187</v>
      </c>
      <c r="C5926" s="7" t="s">
        <v>16858</v>
      </c>
      <c r="D5926" s="194">
        <v>2019.0</v>
      </c>
      <c r="E5926" s="193"/>
      <c r="F5926" s="195" t="s">
        <v>24785</v>
      </c>
      <c r="G5926" s="196">
        <v>1.88516026E8</v>
      </c>
      <c r="H5926" s="197">
        <v>2.37</v>
      </c>
      <c r="I5926" s="7" t="s">
        <v>16815</v>
      </c>
      <c r="J5926" s="7" t="s">
        <v>187</v>
      </c>
      <c r="K5926" s="7" t="s">
        <v>16858</v>
      </c>
      <c r="L5926" s="198" t="s">
        <v>65</v>
      </c>
      <c r="M5926" s="194"/>
      <c r="N5926" s="194"/>
    </row>
    <row r="5927">
      <c r="A5927" s="193" t="s">
        <v>24786</v>
      </c>
      <c r="B5927" s="7" t="s">
        <v>16885</v>
      </c>
      <c r="C5927" s="7" t="s">
        <v>17726</v>
      </c>
      <c r="D5927" s="194">
        <v>2021.0</v>
      </c>
      <c r="E5927" s="193"/>
      <c r="F5927" s="195" t="s">
        <v>24787</v>
      </c>
      <c r="G5927" s="196">
        <v>1.88461371E8</v>
      </c>
      <c r="H5927" s="197">
        <v>1.3</v>
      </c>
      <c r="I5927" s="7" t="s">
        <v>17372</v>
      </c>
      <c r="J5927" s="7" t="s">
        <v>16885</v>
      </c>
      <c r="K5927" s="7" t="s">
        <v>17726</v>
      </c>
      <c r="L5927" s="198" t="s">
        <v>65</v>
      </c>
      <c r="M5927" s="194"/>
      <c r="N5927" s="194"/>
    </row>
    <row r="5928">
      <c r="A5928" s="193" t="s">
        <v>24786</v>
      </c>
      <c r="B5928" s="202" t="s">
        <v>17726</v>
      </c>
      <c r="C5928" s="193" t="s">
        <v>16885</v>
      </c>
      <c r="D5928" s="193">
        <v>2021.0</v>
      </c>
      <c r="E5928" s="193"/>
      <c r="F5928" s="203" t="s">
        <v>24787</v>
      </c>
      <c r="G5928" s="200">
        <v>1.88461371E8</v>
      </c>
      <c r="H5928" s="205">
        <v>2.43</v>
      </c>
      <c r="J5928" s="202" t="s">
        <v>17726</v>
      </c>
      <c r="K5928" s="193" t="s">
        <v>16885</v>
      </c>
      <c r="L5928" s="193" t="s">
        <v>17471</v>
      </c>
      <c r="M5928" s="193"/>
      <c r="N5928" s="193"/>
    </row>
    <row r="5929">
      <c r="A5929" s="193" t="s">
        <v>24788</v>
      </c>
      <c r="B5929" s="7" t="s">
        <v>187</v>
      </c>
      <c r="C5929" s="7" t="s">
        <v>16992</v>
      </c>
      <c r="D5929" s="194">
        <v>2020.0</v>
      </c>
      <c r="E5929" s="193"/>
      <c r="F5929" s="195" t="s">
        <v>24789</v>
      </c>
      <c r="G5929" s="196">
        <v>1.8836952E8</v>
      </c>
      <c r="H5929" s="197">
        <v>5.27</v>
      </c>
      <c r="I5929" s="7" t="s">
        <v>16815</v>
      </c>
      <c r="J5929" s="7" t="s">
        <v>187</v>
      </c>
      <c r="K5929" s="7" t="s">
        <v>16992</v>
      </c>
      <c r="L5929" s="198" t="s">
        <v>65</v>
      </c>
      <c r="M5929" s="194"/>
      <c r="N5929" s="194"/>
    </row>
    <row r="5930">
      <c r="A5930" s="193" t="s">
        <v>24790</v>
      </c>
      <c r="B5930" s="7" t="s">
        <v>16838</v>
      </c>
      <c r="C5930" s="7" t="s">
        <v>16867</v>
      </c>
      <c r="D5930" s="199"/>
      <c r="E5930" s="193"/>
      <c r="F5930" s="195" t="s">
        <v>24791</v>
      </c>
      <c r="G5930" s="196">
        <v>1.87974789E8</v>
      </c>
      <c r="H5930" s="197">
        <v>15.91</v>
      </c>
      <c r="I5930" s="7" t="s">
        <v>16815</v>
      </c>
      <c r="J5930" s="7" t="s">
        <v>16838</v>
      </c>
      <c r="K5930" s="7" t="s">
        <v>16867</v>
      </c>
      <c r="L5930" s="198" t="s">
        <v>65</v>
      </c>
      <c r="M5930" s="199"/>
      <c r="N5930" s="199"/>
    </row>
    <row r="5931">
      <c r="A5931" s="193" t="s">
        <v>24792</v>
      </c>
      <c r="B5931" s="7" t="s">
        <v>16838</v>
      </c>
      <c r="C5931" s="7" t="s">
        <v>18679</v>
      </c>
      <c r="D5931" s="199"/>
      <c r="E5931" s="193"/>
      <c r="F5931" s="195" t="s">
        <v>24793</v>
      </c>
      <c r="G5931" s="196">
        <v>1.87890258E8</v>
      </c>
      <c r="H5931" s="197">
        <v>14.45</v>
      </c>
      <c r="I5931" s="7" t="s">
        <v>16815</v>
      </c>
      <c r="J5931" s="7" t="s">
        <v>16838</v>
      </c>
      <c r="K5931" s="7" t="s">
        <v>18679</v>
      </c>
      <c r="L5931" s="198" t="s">
        <v>65</v>
      </c>
      <c r="M5931" s="199"/>
      <c r="N5931" s="199"/>
    </row>
    <row r="5932">
      <c r="A5932" s="193" t="s">
        <v>24794</v>
      </c>
      <c r="D5932" s="194">
        <v>2017.0</v>
      </c>
      <c r="E5932" s="193"/>
      <c r="F5932" s="195" t="s">
        <v>24795</v>
      </c>
      <c r="G5932" s="196">
        <v>1.87809584E8</v>
      </c>
      <c r="H5932" s="197">
        <v>7.94</v>
      </c>
      <c r="I5932" s="7" t="s">
        <v>16815</v>
      </c>
      <c r="L5932" s="198" t="s">
        <v>65</v>
      </c>
      <c r="M5932" s="194"/>
      <c r="N5932" s="194"/>
    </row>
    <row r="5933">
      <c r="A5933" s="193" t="s">
        <v>24796</v>
      </c>
      <c r="B5933" s="7" t="s">
        <v>17112</v>
      </c>
      <c r="C5933" s="7" t="s">
        <v>17111</v>
      </c>
      <c r="D5933" s="199"/>
      <c r="E5933" s="193"/>
      <c r="F5933" s="195" t="s">
        <v>24797</v>
      </c>
      <c r="G5933" s="196">
        <v>1.87148078E8</v>
      </c>
      <c r="H5933" s="197">
        <v>58.0</v>
      </c>
      <c r="I5933" s="7" t="s">
        <v>16815</v>
      </c>
      <c r="J5933" s="7" t="s">
        <v>17112</v>
      </c>
      <c r="K5933" s="7" t="s">
        <v>17111</v>
      </c>
      <c r="L5933" s="198" t="s">
        <v>65</v>
      </c>
      <c r="M5933" s="199"/>
      <c r="N5933" s="199"/>
    </row>
    <row r="5934">
      <c r="A5934" s="193" t="s">
        <v>24798</v>
      </c>
      <c r="B5934" s="7" t="s">
        <v>16838</v>
      </c>
      <c r="C5934" s="7" t="s">
        <v>16867</v>
      </c>
      <c r="D5934" s="199"/>
      <c r="E5934" s="193"/>
      <c r="F5934" s="195" t="s">
        <v>24799</v>
      </c>
      <c r="G5934" s="196">
        <v>1.85501257E8</v>
      </c>
      <c r="H5934" s="197">
        <v>55.07</v>
      </c>
      <c r="I5934" s="7" t="s">
        <v>16815</v>
      </c>
      <c r="J5934" s="7" t="s">
        <v>16838</v>
      </c>
      <c r="K5934" s="7" t="s">
        <v>16867</v>
      </c>
      <c r="L5934" s="198" t="s">
        <v>65</v>
      </c>
      <c r="M5934" s="199"/>
      <c r="N5934" s="199"/>
    </row>
    <row r="5935">
      <c r="A5935" s="193" t="s">
        <v>24800</v>
      </c>
      <c r="B5935" s="7" t="s">
        <v>16582</v>
      </c>
      <c r="C5935" s="7" t="s">
        <v>16583</v>
      </c>
      <c r="D5935" s="194">
        <v>2021.0</v>
      </c>
      <c r="E5935" s="193"/>
      <c r="F5935" s="195" t="s">
        <v>24801</v>
      </c>
      <c r="G5935" s="196">
        <v>1.85383638E8</v>
      </c>
      <c r="H5935" s="197">
        <v>4.982</v>
      </c>
      <c r="I5935" s="7" t="s">
        <v>16815</v>
      </c>
      <c r="J5935" s="7" t="s">
        <v>16582</v>
      </c>
      <c r="K5935" s="7" t="s">
        <v>16583</v>
      </c>
      <c r="L5935" s="198" t="s">
        <v>65</v>
      </c>
      <c r="M5935" s="194"/>
      <c r="N5935" s="194"/>
    </row>
    <row r="5936">
      <c r="A5936" s="193" t="s">
        <v>24802</v>
      </c>
      <c r="B5936" s="7" t="s">
        <v>187</v>
      </c>
      <c r="C5936" s="7" t="s">
        <v>17122</v>
      </c>
      <c r="D5936" s="194">
        <v>1997.0</v>
      </c>
      <c r="E5936" s="193"/>
      <c r="F5936" s="195" t="s">
        <v>24803</v>
      </c>
      <c r="G5936" s="196">
        <v>1.85292844E8</v>
      </c>
      <c r="H5936" s="197">
        <v>5.02</v>
      </c>
      <c r="I5936" s="7" t="s">
        <v>16815</v>
      </c>
      <c r="J5936" s="7" t="s">
        <v>187</v>
      </c>
      <c r="K5936" s="7" t="s">
        <v>17122</v>
      </c>
      <c r="L5936" s="198" t="s">
        <v>65</v>
      </c>
      <c r="M5936" s="194"/>
      <c r="N5936" s="194"/>
    </row>
    <row r="5937">
      <c r="A5937" s="193" t="s">
        <v>24804</v>
      </c>
      <c r="B5937" s="7" t="s">
        <v>175</v>
      </c>
      <c r="C5937" s="7" t="s">
        <v>17812</v>
      </c>
      <c r="D5937" s="199"/>
      <c r="E5937" s="193"/>
      <c r="F5937" s="195" t="s">
        <v>24805</v>
      </c>
      <c r="G5937" s="196">
        <v>1.85287E8</v>
      </c>
      <c r="H5937" s="197">
        <v>13.33</v>
      </c>
      <c r="I5937" s="7" t="s">
        <v>16892</v>
      </c>
      <c r="J5937" s="7" t="s">
        <v>175</v>
      </c>
      <c r="K5937" s="7" t="s">
        <v>17812</v>
      </c>
      <c r="L5937" s="198" t="s">
        <v>65</v>
      </c>
      <c r="M5937" s="199"/>
      <c r="N5937" s="199"/>
    </row>
    <row r="5938">
      <c r="A5938" s="193" t="s">
        <v>24806</v>
      </c>
      <c r="B5938" s="7" t="s">
        <v>175</v>
      </c>
      <c r="C5938" s="7" t="s">
        <v>18570</v>
      </c>
      <c r="D5938" s="199"/>
      <c r="E5938" s="193"/>
      <c r="F5938" s="195" t="s">
        <v>24807</v>
      </c>
      <c r="G5938" s="196">
        <v>1.85171737E8</v>
      </c>
      <c r="H5938" s="197">
        <v>17.24</v>
      </c>
      <c r="I5938" s="7" t="s">
        <v>16892</v>
      </c>
      <c r="J5938" s="7" t="s">
        <v>175</v>
      </c>
      <c r="K5938" s="7" t="s">
        <v>18570</v>
      </c>
      <c r="L5938" s="198" t="s">
        <v>65</v>
      </c>
      <c r="M5938" s="199"/>
      <c r="N5938" s="199"/>
    </row>
    <row r="5939">
      <c r="A5939" s="193" t="s">
        <v>24808</v>
      </c>
      <c r="B5939" s="7" t="s">
        <v>16910</v>
      </c>
      <c r="C5939" s="7" t="s">
        <v>17119</v>
      </c>
      <c r="D5939" s="199"/>
      <c r="E5939" s="193"/>
      <c r="F5939" s="195" t="s">
        <v>24809</v>
      </c>
      <c r="G5939" s="196">
        <v>1.85022961E8</v>
      </c>
      <c r="H5939" s="197">
        <v>12.61</v>
      </c>
      <c r="I5939" s="7" t="s">
        <v>16917</v>
      </c>
      <c r="J5939" s="7" t="s">
        <v>16910</v>
      </c>
      <c r="K5939" s="7" t="s">
        <v>17119</v>
      </c>
      <c r="L5939" s="198" t="s">
        <v>65</v>
      </c>
      <c r="M5939" s="199"/>
      <c r="N5939" s="199"/>
    </row>
    <row r="5940">
      <c r="A5940" s="193" t="s">
        <v>24810</v>
      </c>
      <c r="B5940" s="7" t="s">
        <v>175</v>
      </c>
      <c r="C5940" s="7" t="s">
        <v>16957</v>
      </c>
      <c r="D5940" s="194">
        <v>2019.0</v>
      </c>
      <c r="E5940" s="193"/>
      <c r="F5940" s="195" t="s">
        <v>24811</v>
      </c>
      <c r="G5940" s="196">
        <v>1.84980394E8</v>
      </c>
      <c r="H5940" s="197">
        <v>0.8498</v>
      </c>
      <c r="I5940" s="7" t="s">
        <v>174</v>
      </c>
      <c r="J5940" s="7" t="s">
        <v>175</v>
      </c>
      <c r="K5940" s="7" t="s">
        <v>16957</v>
      </c>
      <c r="L5940" s="198" t="s">
        <v>65</v>
      </c>
      <c r="M5940" s="194"/>
      <c r="N5940" s="194"/>
    </row>
    <row r="5941">
      <c r="A5941" s="193" t="s">
        <v>24812</v>
      </c>
      <c r="B5941" s="7" t="s">
        <v>187</v>
      </c>
      <c r="C5941" s="7" t="s">
        <v>17122</v>
      </c>
      <c r="D5941" s="194">
        <v>2020.0</v>
      </c>
      <c r="E5941" s="193"/>
      <c r="F5941" s="195" t="s">
        <v>24813</v>
      </c>
      <c r="G5941" s="196">
        <v>1.84752818E8</v>
      </c>
      <c r="H5941" s="197">
        <v>3.68</v>
      </c>
      <c r="I5941" s="7" t="s">
        <v>16815</v>
      </c>
      <c r="J5941" s="7" t="s">
        <v>187</v>
      </c>
      <c r="K5941" s="7" t="s">
        <v>17122</v>
      </c>
      <c r="L5941" s="198" t="s">
        <v>65</v>
      </c>
      <c r="M5941" s="194"/>
      <c r="N5941" s="194"/>
    </row>
    <row r="5942">
      <c r="A5942" s="193" t="s">
        <v>24814</v>
      </c>
      <c r="B5942" s="7" t="s">
        <v>187</v>
      </c>
      <c r="C5942" s="7" t="s">
        <v>16858</v>
      </c>
      <c r="D5942" s="199"/>
      <c r="E5942" s="193"/>
      <c r="F5942" s="195" t="s">
        <v>24815</v>
      </c>
      <c r="G5942" s="196">
        <v>1.84440972E8</v>
      </c>
      <c r="H5942" s="197">
        <v>4.28</v>
      </c>
      <c r="I5942" s="7" t="s">
        <v>16815</v>
      </c>
      <c r="J5942" s="7" t="s">
        <v>187</v>
      </c>
      <c r="K5942" s="7" t="s">
        <v>16858</v>
      </c>
      <c r="L5942" s="198" t="s">
        <v>65</v>
      </c>
      <c r="M5942" s="199"/>
      <c r="N5942" s="199"/>
    </row>
    <row r="5943">
      <c r="A5943" s="193" t="s">
        <v>24816</v>
      </c>
      <c r="B5943" s="7" t="s">
        <v>169</v>
      </c>
      <c r="C5943" s="7" t="s">
        <v>16899</v>
      </c>
      <c r="D5943" s="194">
        <v>1978.0</v>
      </c>
      <c r="E5943" s="193"/>
      <c r="F5943" s="195" t="s">
        <v>24817</v>
      </c>
      <c r="G5943" s="196">
        <v>1.84301028E8</v>
      </c>
      <c r="H5943" s="197">
        <v>17.22</v>
      </c>
      <c r="I5943" s="7" t="s">
        <v>16815</v>
      </c>
      <c r="J5943" s="7" t="s">
        <v>169</v>
      </c>
      <c r="K5943" s="7" t="s">
        <v>16899</v>
      </c>
      <c r="L5943" s="198" t="s">
        <v>65</v>
      </c>
      <c r="M5943" s="194"/>
      <c r="N5943" s="194"/>
    </row>
    <row r="5944">
      <c r="A5944" s="193" t="s">
        <v>24816</v>
      </c>
      <c r="B5944" s="7" t="s">
        <v>16899</v>
      </c>
      <c r="C5944" s="7" t="s">
        <v>169</v>
      </c>
      <c r="D5944" s="194">
        <v>1978.0</v>
      </c>
      <c r="E5944" s="193"/>
      <c r="F5944" s="195" t="s">
        <v>24817</v>
      </c>
      <c r="G5944" s="200">
        <v>1.84301028E8</v>
      </c>
      <c r="H5944" s="197">
        <v>17.22</v>
      </c>
      <c r="I5944" s="7" t="s">
        <v>16815</v>
      </c>
      <c r="J5944" s="7" t="s">
        <v>16899</v>
      </c>
      <c r="K5944" s="7" t="s">
        <v>169</v>
      </c>
      <c r="L5944" s="201" t="s">
        <v>16835</v>
      </c>
      <c r="M5944" s="194"/>
      <c r="N5944" s="194"/>
    </row>
    <row r="5945">
      <c r="A5945" s="193" t="s">
        <v>24818</v>
      </c>
      <c r="B5945" s="7" t="s">
        <v>17016</v>
      </c>
      <c r="C5945" s="7" t="s">
        <v>16838</v>
      </c>
      <c r="D5945" s="199"/>
      <c r="E5945" s="193"/>
      <c r="F5945" s="195" t="s">
        <v>24819</v>
      </c>
      <c r="G5945" s="200">
        <v>1.84094652E8</v>
      </c>
      <c r="H5945" s="197">
        <v>23.98</v>
      </c>
      <c r="I5945" s="7" t="s">
        <v>16815</v>
      </c>
      <c r="J5945" s="7" t="s">
        <v>17016</v>
      </c>
      <c r="K5945" s="7" t="s">
        <v>16838</v>
      </c>
      <c r="L5945" s="201" t="s">
        <v>16835</v>
      </c>
      <c r="M5945" s="199"/>
      <c r="N5945" s="199"/>
    </row>
    <row r="5946">
      <c r="A5946" s="193" t="s">
        <v>24818</v>
      </c>
      <c r="B5946" s="7" t="s">
        <v>16838</v>
      </c>
      <c r="C5946" s="7" t="s">
        <v>17016</v>
      </c>
      <c r="D5946" s="199"/>
      <c r="E5946" s="193"/>
      <c r="F5946" s="195" t="s">
        <v>24819</v>
      </c>
      <c r="G5946" s="196">
        <v>1.84094652E8</v>
      </c>
      <c r="H5946" s="197">
        <v>23.98</v>
      </c>
      <c r="I5946" s="7" t="s">
        <v>16815</v>
      </c>
      <c r="J5946" s="7" t="s">
        <v>16838</v>
      </c>
      <c r="K5946" s="7" t="s">
        <v>17016</v>
      </c>
      <c r="L5946" s="198" t="s">
        <v>65</v>
      </c>
      <c r="M5946" s="199"/>
      <c r="N5946" s="199"/>
    </row>
    <row r="5947">
      <c r="A5947" s="193" t="s">
        <v>24820</v>
      </c>
      <c r="B5947" s="7" t="s">
        <v>16885</v>
      </c>
      <c r="C5947" s="7" t="s">
        <v>16886</v>
      </c>
      <c r="D5947" s="199"/>
      <c r="E5947" s="193"/>
      <c r="F5947" s="195" t="s">
        <v>24821</v>
      </c>
      <c r="G5947" s="196">
        <v>1.84014626E8</v>
      </c>
      <c r="H5947" s="197">
        <v>1.64</v>
      </c>
      <c r="I5947" s="7" t="s">
        <v>16888</v>
      </c>
      <c r="J5947" s="7" t="s">
        <v>16885</v>
      </c>
      <c r="K5947" s="7" t="s">
        <v>16886</v>
      </c>
      <c r="L5947" s="198" t="s">
        <v>65</v>
      </c>
      <c r="M5947" s="199"/>
      <c r="N5947" s="199"/>
    </row>
    <row r="5948">
      <c r="A5948" s="193" t="s">
        <v>24820</v>
      </c>
      <c r="B5948" s="202" t="s">
        <v>16886</v>
      </c>
      <c r="C5948" s="193" t="s">
        <v>16885</v>
      </c>
      <c r="D5948" s="206"/>
      <c r="E5948" s="193"/>
      <c r="F5948" s="203" t="s">
        <v>24821</v>
      </c>
      <c r="G5948" s="200">
        <v>1.84014626E8</v>
      </c>
      <c r="H5948" s="205">
        <v>1.3</v>
      </c>
      <c r="J5948" s="202" t="s">
        <v>16886</v>
      </c>
      <c r="K5948" s="193" t="s">
        <v>16885</v>
      </c>
      <c r="L5948" s="193" t="s">
        <v>17471</v>
      </c>
      <c r="M5948" s="206"/>
      <c r="N5948" s="206"/>
    </row>
    <row r="5949">
      <c r="A5949" s="193" t="s">
        <v>24822</v>
      </c>
      <c r="B5949" s="7" t="s">
        <v>16582</v>
      </c>
      <c r="C5949" s="7" t="s">
        <v>16828</v>
      </c>
      <c r="D5949" s="194">
        <v>2016.0</v>
      </c>
      <c r="E5949" s="193"/>
      <c r="F5949" s="195" t="s">
        <v>24823</v>
      </c>
      <c r="G5949" s="196">
        <v>1.83955083E8</v>
      </c>
      <c r="H5949" s="197">
        <v>8.75</v>
      </c>
      <c r="I5949" s="7" t="s">
        <v>16815</v>
      </c>
      <c r="J5949" s="7" t="s">
        <v>16582</v>
      </c>
      <c r="K5949" s="7" t="s">
        <v>16828</v>
      </c>
      <c r="L5949" s="198" t="s">
        <v>65</v>
      </c>
      <c r="M5949" s="194"/>
      <c r="N5949" s="194"/>
    </row>
    <row r="5950">
      <c r="A5950" s="193" t="s">
        <v>24824</v>
      </c>
      <c r="B5950" s="7" t="s">
        <v>187</v>
      </c>
      <c r="C5950" s="7" t="s">
        <v>16846</v>
      </c>
      <c r="D5950" s="194">
        <v>1986.0</v>
      </c>
      <c r="E5950" s="193"/>
      <c r="F5950" s="195" t="s">
        <v>24825</v>
      </c>
      <c r="G5950" s="196">
        <v>1.83804928E8</v>
      </c>
      <c r="H5950" s="197">
        <v>16.0</v>
      </c>
      <c r="I5950" s="7" t="s">
        <v>16815</v>
      </c>
      <c r="J5950" s="7" t="s">
        <v>187</v>
      </c>
      <c r="K5950" s="7" t="s">
        <v>16846</v>
      </c>
      <c r="L5950" s="198" t="s">
        <v>65</v>
      </c>
      <c r="M5950" s="194"/>
      <c r="N5950" s="194"/>
    </row>
    <row r="5951">
      <c r="A5951" s="193" t="s">
        <v>24826</v>
      </c>
      <c r="B5951" s="7" t="s">
        <v>19644</v>
      </c>
      <c r="C5951" s="7" t="s">
        <v>16838</v>
      </c>
      <c r="D5951" s="199"/>
      <c r="E5951" s="193"/>
      <c r="F5951" s="195" t="s">
        <v>24827</v>
      </c>
      <c r="G5951" s="200">
        <v>1.83557922E8</v>
      </c>
      <c r="H5951" s="197">
        <v>9.42</v>
      </c>
      <c r="I5951" s="7" t="s">
        <v>16815</v>
      </c>
      <c r="J5951" s="7" t="s">
        <v>19644</v>
      </c>
      <c r="K5951" s="7" t="s">
        <v>16838</v>
      </c>
      <c r="L5951" s="201" t="s">
        <v>16835</v>
      </c>
      <c r="M5951" s="199"/>
      <c r="N5951" s="199"/>
    </row>
    <row r="5952">
      <c r="A5952" s="193" t="s">
        <v>24826</v>
      </c>
      <c r="B5952" s="7" t="s">
        <v>16838</v>
      </c>
      <c r="C5952" s="7" t="s">
        <v>19644</v>
      </c>
      <c r="D5952" s="199"/>
      <c r="E5952" s="193"/>
      <c r="F5952" s="195" t="s">
        <v>24827</v>
      </c>
      <c r="G5952" s="196">
        <v>1.83557922E8</v>
      </c>
      <c r="H5952" s="197">
        <v>9.42</v>
      </c>
      <c r="I5952" s="7" t="s">
        <v>16815</v>
      </c>
      <c r="J5952" s="7" t="s">
        <v>16838</v>
      </c>
      <c r="K5952" s="7" t="s">
        <v>19644</v>
      </c>
      <c r="L5952" s="198" t="s">
        <v>65</v>
      </c>
      <c r="M5952" s="199"/>
      <c r="N5952" s="199"/>
    </row>
    <row r="5953">
      <c r="A5953" s="193" t="s">
        <v>24828</v>
      </c>
      <c r="B5953" s="7" t="s">
        <v>175</v>
      </c>
      <c r="C5953" s="7" t="s">
        <v>16824</v>
      </c>
      <c r="D5953" s="194">
        <v>2021.0</v>
      </c>
      <c r="E5953" s="193"/>
      <c r="F5953" s="195" t="s">
        <v>24829</v>
      </c>
      <c r="G5953" s="196">
        <v>1.83432919E8</v>
      </c>
      <c r="H5953" s="197">
        <v>4.73</v>
      </c>
      <c r="I5953" s="7" t="s">
        <v>16908</v>
      </c>
      <c r="J5953" s="7" t="s">
        <v>175</v>
      </c>
      <c r="K5953" s="7" t="s">
        <v>16824</v>
      </c>
      <c r="L5953" s="198" t="s">
        <v>65</v>
      </c>
      <c r="M5953" s="194"/>
      <c r="N5953" s="194"/>
    </row>
    <row r="5954">
      <c r="A5954" s="193" t="s">
        <v>24830</v>
      </c>
      <c r="B5954" s="7" t="s">
        <v>16926</v>
      </c>
      <c r="C5954" s="7" t="s">
        <v>16927</v>
      </c>
      <c r="D5954" s="194">
        <v>2000.0</v>
      </c>
      <c r="E5954" s="193"/>
      <c r="F5954" s="195" t="s">
        <v>24831</v>
      </c>
      <c r="G5954" s="196">
        <v>1.83345433E8</v>
      </c>
      <c r="H5954" s="197">
        <v>4.92</v>
      </c>
      <c r="I5954" s="7" t="s">
        <v>16815</v>
      </c>
      <c r="J5954" s="7" t="s">
        <v>16926</v>
      </c>
      <c r="K5954" s="7" t="s">
        <v>16927</v>
      </c>
      <c r="L5954" s="198" t="s">
        <v>65</v>
      </c>
      <c r="M5954" s="194"/>
      <c r="N5954" s="194"/>
    </row>
    <row r="5955">
      <c r="A5955" s="193" t="s">
        <v>24832</v>
      </c>
      <c r="B5955" s="7" t="s">
        <v>17019</v>
      </c>
      <c r="C5955" s="7" t="s">
        <v>16838</v>
      </c>
      <c r="D5955" s="194">
        <v>2013.0</v>
      </c>
      <c r="E5955" s="193"/>
      <c r="F5955" s="195" t="s">
        <v>24833</v>
      </c>
      <c r="G5955" s="200">
        <v>1.83047951E8</v>
      </c>
      <c r="H5955" s="197">
        <v>16.8166</v>
      </c>
      <c r="I5955" s="7" t="s">
        <v>16815</v>
      </c>
      <c r="J5955" s="7" t="s">
        <v>17019</v>
      </c>
      <c r="K5955" s="7" t="s">
        <v>16838</v>
      </c>
      <c r="L5955" s="201" t="s">
        <v>16835</v>
      </c>
      <c r="M5955" s="194"/>
      <c r="N5955" s="194"/>
    </row>
    <row r="5956">
      <c r="A5956" s="193" t="s">
        <v>24832</v>
      </c>
      <c r="B5956" s="7" t="s">
        <v>16838</v>
      </c>
      <c r="C5956" s="7" t="s">
        <v>17019</v>
      </c>
      <c r="D5956" s="194">
        <v>2013.0</v>
      </c>
      <c r="E5956" s="193"/>
      <c r="F5956" s="195" t="s">
        <v>24833</v>
      </c>
      <c r="G5956" s="196">
        <v>1.83047951E8</v>
      </c>
      <c r="H5956" s="197">
        <v>16.8166</v>
      </c>
      <c r="I5956" s="7" t="s">
        <v>16815</v>
      </c>
      <c r="J5956" s="7" t="s">
        <v>16838</v>
      </c>
      <c r="K5956" s="7" t="s">
        <v>17019</v>
      </c>
      <c r="L5956" s="198" t="s">
        <v>65</v>
      </c>
      <c r="M5956" s="194"/>
      <c r="N5956" s="194"/>
    </row>
    <row r="5957">
      <c r="A5957" s="193" t="s">
        <v>24834</v>
      </c>
      <c r="B5957" s="7" t="s">
        <v>187</v>
      </c>
      <c r="C5957" s="7" t="s">
        <v>16846</v>
      </c>
      <c r="D5957" s="194">
        <v>2014.0</v>
      </c>
      <c r="E5957" s="193"/>
      <c r="F5957" s="195" t="s">
        <v>24835</v>
      </c>
      <c r="G5957" s="196">
        <v>1.82967508E8</v>
      </c>
      <c r="H5957" s="197">
        <v>0.9501</v>
      </c>
      <c r="I5957" s="7" t="s">
        <v>16815</v>
      </c>
      <c r="J5957" s="7" t="s">
        <v>187</v>
      </c>
      <c r="K5957" s="7" t="s">
        <v>16846</v>
      </c>
      <c r="L5957" s="198" t="s">
        <v>65</v>
      </c>
      <c r="M5957" s="194"/>
      <c r="N5957" s="194"/>
    </row>
    <row r="5958">
      <c r="A5958" s="193" t="s">
        <v>24836</v>
      </c>
      <c r="B5958" s="7" t="s">
        <v>175</v>
      </c>
      <c r="C5958" s="7" t="s">
        <v>17025</v>
      </c>
      <c r="D5958" s="194">
        <v>2020.0</v>
      </c>
      <c r="E5958" s="193"/>
      <c r="F5958" s="195" t="s">
        <v>24837</v>
      </c>
      <c r="G5958" s="196">
        <v>1.82464459E8</v>
      </c>
      <c r="H5958" s="197">
        <v>0.7452</v>
      </c>
      <c r="I5958" s="7" t="s">
        <v>16892</v>
      </c>
      <c r="J5958" s="7" t="s">
        <v>175</v>
      </c>
      <c r="K5958" s="7" t="s">
        <v>17025</v>
      </c>
      <c r="L5958" s="198" t="s">
        <v>65</v>
      </c>
      <c r="M5958" s="194"/>
      <c r="N5958" s="194"/>
    </row>
    <row r="5959">
      <c r="A5959" s="193" t="s">
        <v>24838</v>
      </c>
      <c r="B5959" s="7" t="s">
        <v>187</v>
      </c>
      <c r="C5959" s="7" t="s">
        <v>18633</v>
      </c>
      <c r="D5959" s="194">
        <v>2020.0</v>
      </c>
      <c r="E5959" s="193"/>
      <c r="F5959" s="195" t="s">
        <v>24839</v>
      </c>
      <c r="G5959" s="196">
        <v>1.82159978E8</v>
      </c>
      <c r="H5959" s="197">
        <v>2.47</v>
      </c>
      <c r="I5959" s="7" t="s">
        <v>16815</v>
      </c>
      <c r="J5959" s="7" t="s">
        <v>187</v>
      </c>
      <c r="K5959" s="7" t="s">
        <v>18633</v>
      </c>
      <c r="L5959" s="198" t="s">
        <v>65</v>
      </c>
      <c r="M5959" s="194"/>
      <c r="N5959" s="194"/>
    </row>
    <row r="5960">
      <c r="A5960" s="193" t="s">
        <v>24840</v>
      </c>
      <c r="B5960" s="7" t="s">
        <v>175</v>
      </c>
      <c r="C5960" s="7" t="s">
        <v>17057</v>
      </c>
      <c r="D5960" s="194">
        <v>2009.0</v>
      </c>
      <c r="E5960" s="193"/>
      <c r="F5960" s="195" t="s">
        <v>24841</v>
      </c>
      <c r="G5960" s="196">
        <v>1.821186E8</v>
      </c>
      <c r="H5960" s="197">
        <v>6.0</v>
      </c>
      <c r="I5960" s="7" t="s">
        <v>168</v>
      </c>
      <c r="J5960" s="7" t="s">
        <v>175</v>
      </c>
      <c r="K5960" s="7" t="s">
        <v>17057</v>
      </c>
      <c r="L5960" s="198" t="s">
        <v>65</v>
      </c>
      <c r="M5960" s="194"/>
      <c r="N5960" s="194"/>
    </row>
    <row r="5961">
      <c r="A5961" s="193" t="s">
        <v>24840</v>
      </c>
      <c r="B5961" s="7" t="s">
        <v>17057</v>
      </c>
      <c r="C5961" s="7" t="s">
        <v>175</v>
      </c>
      <c r="D5961" s="194">
        <v>2009.0</v>
      </c>
      <c r="E5961" s="193"/>
      <c r="F5961" s="195" t="s">
        <v>24841</v>
      </c>
      <c r="G5961" s="200">
        <v>1.821186E8</v>
      </c>
      <c r="H5961" s="197">
        <v>6.0</v>
      </c>
      <c r="I5961" s="7" t="s">
        <v>16815</v>
      </c>
      <c r="J5961" s="7" t="s">
        <v>17057</v>
      </c>
      <c r="K5961" s="7" t="s">
        <v>175</v>
      </c>
      <c r="L5961" s="201" t="s">
        <v>16835</v>
      </c>
      <c r="M5961" s="194"/>
      <c r="N5961" s="194"/>
    </row>
    <row r="5962">
      <c r="A5962" s="193" t="s">
        <v>24842</v>
      </c>
      <c r="B5962" s="7" t="s">
        <v>169</v>
      </c>
      <c r="C5962" s="7" t="s">
        <v>16899</v>
      </c>
      <c r="D5962" s="194">
        <v>2021.0</v>
      </c>
      <c r="E5962" s="193"/>
      <c r="F5962" s="195" t="s">
        <v>24843</v>
      </c>
      <c r="G5962" s="196">
        <v>1.82064153E8</v>
      </c>
      <c r="H5962" s="197">
        <v>3.63</v>
      </c>
      <c r="I5962" s="7" t="s">
        <v>16815</v>
      </c>
      <c r="J5962" s="7" t="s">
        <v>169</v>
      </c>
      <c r="K5962" s="7" t="s">
        <v>16899</v>
      </c>
      <c r="L5962" s="198" t="s">
        <v>65</v>
      </c>
      <c r="M5962" s="194"/>
      <c r="N5962" s="194"/>
    </row>
    <row r="5963">
      <c r="A5963" s="193" t="s">
        <v>24844</v>
      </c>
      <c r="B5963" s="7" t="s">
        <v>187</v>
      </c>
      <c r="C5963" s="7" t="s">
        <v>16858</v>
      </c>
      <c r="D5963" s="199"/>
      <c r="E5963" s="193"/>
      <c r="F5963" s="195" t="s">
        <v>24845</v>
      </c>
      <c r="G5963" s="196">
        <v>1.81986138E8</v>
      </c>
      <c r="H5963" s="197">
        <v>1.04</v>
      </c>
      <c r="I5963" s="7" t="s">
        <v>16815</v>
      </c>
      <c r="J5963" s="7" t="s">
        <v>187</v>
      </c>
      <c r="K5963" s="7" t="s">
        <v>16858</v>
      </c>
      <c r="L5963" s="198" t="s">
        <v>65</v>
      </c>
      <c r="M5963" s="199"/>
      <c r="N5963" s="199"/>
    </row>
    <row r="5964">
      <c r="A5964" s="193" t="s">
        <v>24844</v>
      </c>
      <c r="B5964" s="202" t="s">
        <v>16858</v>
      </c>
      <c r="C5964" s="193" t="s">
        <v>187</v>
      </c>
      <c r="D5964" s="206"/>
      <c r="E5964" s="193"/>
      <c r="F5964" s="203" t="s">
        <v>24845</v>
      </c>
      <c r="G5964" s="200">
        <v>1.81986138E8</v>
      </c>
      <c r="H5964" s="205">
        <v>1.64</v>
      </c>
      <c r="J5964" s="202" t="s">
        <v>16858</v>
      </c>
      <c r="K5964" s="193" t="s">
        <v>187</v>
      </c>
      <c r="L5964" s="193" t="s">
        <v>17471</v>
      </c>
      <c r="M5964" s="206"/>
      <c r="N5964" s="206"/>
    </row>
    <row r="5965">
      <c r="A5965" s="193" t="s">
        <v>24846</v>
      </c>
      <c r="B5965" s="7" t="s">
        <v>16838</v>
      </c>
      <c r="C5965" s="7" t="s">
        <v>16867</v>
      </c>
      <c r="D5965" s="199"/>
      <c r="E5965" s="193"/>
      <c r="F5965" s="195" t="s">
        <v>24847</v>
      </c>
      <c r="G5965" s="196">
        <v>1.81699526E8</v>
      </c>
      <c r="H5965" s="197">
        <v>21.67</v>
      </c>
      <c r="I5965" s="7" t="s">
        <v>16815</v>
      </c>
      <c r="J5965" s="7" t="s">
        <v>16838</v>
      </c>
      <c r="K5965" s="7" t="s">
        <v>16867</v>
      </c>
      <c r="L5965" s="198" t="s">
        <v>65</v>
      </c>
      <c r="M5965" s="199"/>
      <c r="N5965" s="199"/>
    </row>
    <row r="5966">
      <c r="A5966" s="193" t="s">
        <v>24848</v>
      </c>
      <c r="B5966" s="7" t="s">
        <v>16926</v>
      </c>
      <c r="C5966" s="7" t="s">
        <v>16957</v>
      </c>
      <c r="D5966" s="199"/>
      <c r="E5966" s="193"/>
      <c r="F5966" s="195" t="s">
        <v>24849</v>
      </c>
      <c r="G5966" s="196">
        <v>1.81652412E8</v>
      </c>
      <c r="H5966" s="197">
        <v>4.25</v>
      </c>
      <c r="I5966" s="7" t="s">
        <v>16815</v>
      </c>
      <c r="J5966" s="7" t="s">
        <v>16926</v>
      </c>
      <c r="K5966" s="7" t="s">
        <v>16957</v>
      </c>
      <c r="L5966" s="198" t="s">
        <v>65</v>
      </c>
      <c r="M5966" s="199"/>
      <c r="N5966" s="199"/>
    </row>
    <row r="5967">
      <c r="A5967" s="193" t="s">
        <v>24850</v>
      </c>
      <c r="B5967" s="7" t="s">
        <v>16838</v>
      </c>
      <c r="C5967" s="7" t="s">
        <v>16867</v>
      </c>
      <c r="D5967" s="199"/>
      <c r="E5967" s="193"/>
      <c r="F5967" s="195" t="s">
        <v>24851</v>
      </c>
      <c r="G5967" s="196">
        <v>1.81084949E8</v>
      </c>
      <c r="H5967" s="197">
        <v>20.95</v>
      </c>
      <c r="I5967" s="7" t="s">
        <v>16815</v>
      </c>
      <c r="J5967" s="7" t="s">
        <v>16838</v>
      </c>
      <c r="K5967" s="7" t="s">
        <v>16867</v>
      </c>
      <c r="L5967" s="198" t="s">
        <v>65</v>
      </c>
      <c r="M5967" s="199"/>
      <c r="N5967" s="199"/>
    </row>
    <row r="5968">
      <c r="A5968" s="193" t="s">
        <v>24852</v>
      </c>
      <c r="B5968" s="7" t="s">
        <v>187</v>
      </c>
      <c r="C5968" s="7" t="s">
        <v>16969</v>
      </c>
      <c r="D5968" s="199"/>
      <c r="E5968" s="193"/>
      <c r="F5968" s="195" t="s">
        <v>24853</v>
      </c>
      <c r="G5968" s="196">
        <v>1.80860354E8</v>
      </c>
      <c r="H5968" s="197">
        <v>8.59</v>
      </c>
      <c r="I5968" s="7" t="s">
        <v>16815</v>
      </c>
      <c r="J5968" s="7" t="s">
        <v>187</v>
      </c>
      <c r="K5968" s="7" t="s">
        <v>16969</v>
      </c>
      <c r="L5968" s="198" t="s">
        <v>65</v>
      </c>
      <c r="M5968" s="199"/>
      <c r="N5968" s="199"/>
    </row>
    <row r="5969">
      <c r="A5969" s="193" t="s">
        <v>24852</v>
      </c>
      <c r="B5969" s="202" t="s">
        <v>16969</v>
      </c>
      <c r="C5969" s="193" t="s">
        <v>187</v>
      </c>
      <c r="D5969" s="206"/>
      <c r="E5969" s="193"/>
      <c r="F5969" s="203" t="s">
        <v>24853</v>
      </c>
      <c r="G5969" s="200">
        <v>1.80860354E8</v>
      </c>
      <c r="H5969" s="205">
        <v>1.04</v>
      </c>
      <c r="J5969" s="202" t="s">
        <v>16969</v>
      </c>
      <c r="K5969" s="193" t="s">
        <v>187</v>
      </c>
      <c r="L5969" s="193" t="s">
        <v>17471</v>
      </c>
      <c r="M5969" s="206"/>
      <c r="N5969" s="206"/>
    </row>
    <row r="5970">
      <c r="A5970" s="193" t="s">
        <v>24854</v>
      </c>
      <c r="B5970" s="7" t="s">
        <v>16926</v>
      </c>
      <c r="C5970" s="7" t="s">
        <v>16957</v>
      </c>
      <c r="D5970" s="199"/>
      <c r="E5970" s="193"/>
      <c r="F5970" s="195" t="s">
        <v>24855</v>
      </c>
      <c r="G5970" s="196">
        <v>1.80652026E8</v>
      </c>
      <c r="H5970" s="197">
        <v>2.62</v>
      </c>
      <c r="I5970" s="7" t="s">
        <v>16815</v>
      </c>
      <c r="J5970" s="7" t="s">
        <v>16926</v>
      </c>
      <c r="K5970" s="7" t="s">
        <v>16957</v>
      </c>
      <c r="L5970" s="198" t="s">
        <v>65</v>
      </c>
      <c r="M5970" s="199"/>
      <c r="N5970" s="199"/>
    </row>
    <row r="5971">
      <c r="A5971" s="193" t="s">
        <v>24856</v>
      </c>
      <c r="B5971" s="7" t="s">
        <v>187</v>
      </c>
      <c r="C5971" s="7" t="s">
        <v>16846</v>
      </c>
      <c r="D5971" s="194">
        <v>2020.0</v>
      </c>
      <c r="E5971" s="193"/>
      <c r="F5971" s="195" t="s">
        <v>24857</v>
      </c>
      <c r="G5971" s="196">
        <v>1.79797851E8</v>
      </c>
      <c r="H5971" s="197">
        <v>1.905</v>
      </c>
      <c r="I5971" s="7" t="s">
        <v>16815</v>
      </c>
      <c r="J5971" s="7" t="s">
        <v>187</v>
      </c>
      <c r="K5971" s="7" t="s">
        <v>16846</v>
      </c>
      <c r="L5971" s="198" t="s">
        <v>65</v>
      </c>
      <c r="M5971" s="194"/>
      <c r="N5971" s="194"/>
    </row>
    <row r="5972">
      <c r="A5972" s="193" t="s">
        <v>24858</v>
      </c>
      <c r="B5972" s="7" t="s">
        <v>17112</v>
      </c>
      <c r="C5972" s="7" t="s">
        <v>17111</v>
      </c>
      <c r="D5972" s="194">
        <v>2018.0</v>
      </c>
      <c r="E5972" s="193"/>
      <c r="F5972" s="195" t="s">
        <v>24859</v>
      </c>
      <c r="G5972" s="196">
        <v>1.79753637E8</v>
      </c>
      <c r="H5972" s="197">
        <v>2.73</v>
      </c>
      <c r="I5972" s="7" t="s">
        <v>16815</v>
      </c>
      <c r="J5972" s="7" t="s">
        <v>17112</v>
      </c>
      <c r="K5972" s="7" t="s">
        <v>17111</v>
      </c>
      <c r="L5972" s="198" t="s">
        <v>65</v>
      </c>
      <c r="M5972" s="194"/>
      <c r="N5972" s="194"/>
    </row>
    <row r="5973">
      <c r="A5973" s="193" t="s">
        <v>24860</v>
      </c>
      <c r="B5973" s="7" t="s">
        <v>16582</v>
      </c>
      <c r="C5973" s="7" t="s">
        <v>16817</v>
      </c>
      <c r="D5973" s="199"/>
      <c r="E5973" s="193"/>
      <c r="F5973" s="195" t="s">
        <v>24861</v>
      </c>
      <c r="G5973" s="196">
        <v>1.79114743E8</v>
      </c>
      <c r="H5973" s="197">
        <v>0.92</v>
      </c>
      <c r="I5973" s="7" t="s">
        <v>16815</v>
      </c>
      <c r="J5973" s="7" t="s">
        <v>16582</v>
      </c>
      <c r="K5973" s="7" t="s">
        <v>16817</v>
      </c>
      <c r="L5973" s="198" t="s">
        <v>65</v>
      </c>
      <c r="M5973" s="199"/>
      <c r="N5973" s="199"/>
    </row>
    <row r="5974">
      <c r="A5974" s="193" t="s">
        <v>24862</v>
      </c>
      <c r="B5974" s="7" t="s">
        <v>187</v>
      </c>
      <c r="C5974" s="7" t="s">
        <v>16846</v>
      </c>
      <c r="D5974" s="194">
        <v>2020.0</v>
      </c>
      <c r="E5974" s="193"/>
      <c r="F5974" s="195" t="s">
        <v>24863</v>
      </c>
      <c r="G5974" s="196">
        <v>1.79106169E8</v>
      </c>
      <c r="H5974" s="197">
        <v>2.9</v>
      </c>
      <c r="I5974" s="7" t="s">
        <v>16815</v>
      </c>
      <c r="J5974" s="7" t="s">
        <v>187</v>
      </c>
      <c r="K5974" s="7" t="s">
        <v>16846</v>
      </c>
      <c r="L5974" s="198" t="s">
        <v>65</v>
      </c>
      <c r="M5974" s="194"/>
      <c r="N5974" s="194"/>
    </row>
    <row r="5975">
      <c r="A5975" s="193" t="s">
        <v>24864</v>
      </c>
      <c r="B5975" s="7" t="s">
        <v>16838</v>
      </c>
      <c r="C5975" s="7" t="s">
        <v>16837</v>
      </c>
      <c r="D5975" s="194">
        <v>2005.0</v>
      </c>
      <c r="E5975" s="193"/>
      <c r="F5975" s="195" t="s">
        <v>24865</v>
      </c>
      <c r="G5975" s="196">
        <v>1.78925824E8</v>
      </c>
      <c r="H5975" s="197">
        <v>10.62</v>
      </c>
      <c r="I5975" s="7" t="s">
        <v>16924</v>
      </c>
      <c r="J5975" s="7" t="s">
        <v>16838</v>
      </c>
      <c r="K5975" s="7" t="s">
        <v>16837</v>
      </c>
      <c r="L5975" s="198" t="s">
        <v>65</v>
      </c>
      <c r="M5975" s="194"/>
      <c r="N5975" s="194"/>
    </row>
    <row r="5976">
      <c r="A5976" s="193" t="s">
        <v>24866</v>
      </c>
      <c r="B5976" s="7" t="s">
        <v>169</v>
      </c>
      <c r="C5976" s="7" t="s">
        <v>17757</v>
      </c>
      <c r="D5976" s="194">
        <v>2018.0</v>
      </c>
      <c r="E5976" s="193"/>
      <c r="F5976" s="195" t="s">
        <v>24867</v>
      </c>
      <c r="G5976" s="196">
        <v>1.7874901E8</v>
      </c>
      <c r="H5976" s="197">
        <v>2.24</v>
      </c>
      <c r="I5976" s="7" t="s">
        <v>16815</v>
      </c>
      <c r="J5976" s="7" t="s">
        <v>169</v>
      </c>
      <c r="K5976" s="7" t="s">
        <v>17757</v>
      </c>
      <c r="L5976" s="198" t="s">
        <v>65</v>
      </c>
      <c r="M5976" s="194"/>
      <c r="N5976" s="194"/>
    </row>
    <row r="5977">
      <c r="A5977" s="193" t="s">
        <v>24866</v>
      </c>
      <c r="B5977" s="7" t="s">
        <v>17757</v>
      </c>
      <c r="C5977" s="7" t="s">
        <v>169</v>
      </c>
      <c r="D5977" s="194">
        <v>2018.0</v>
      </c>
      <c r="E5977" s="193"/>
      <c r="F5977" s="195" t="s">
        <v>24867</v>
      </c>
      <c r="G5977" s="200">
        <v>1.7874901E8</v>
      </c>
      <c r="H5977" s="197">
        <v>2.24</v>
      </c>
      <c r="I5977" s="7" t="s">
        <v>16815</v>
      </c>
      <c r="J5977" s="7" t="s">
        <v>17757</v>
      </c>
      <c r="K5977" s="7" t="s">
        <v>169</v>
      </c>
      <c r="L5977" s="201" t="s">
        <v>16835</v>
      </c>
      <c r="M5977" s="194"/>
      <c r="N5977" s="194"/>
    </row>
    <row r="5978">
      <c r="A5978" s="193" t="s">
        <v>24868</v>
      </c>
      <c r="B5978" s="7" t="s">
        <v>19579</v>
      </c>
      <c r="C5978" s="7" t="s">
        <v>16838</v>
      </c>
      <c r="D5978" s="194">
        <v>2020.0</v>
      </c>
      <c r="E5978" s="193"/>
      <c r="F5978" s="195" t="s">
        <v>24869</v>
      </c>
      <c r="G5978" s="200">
        <v>1.78529111E8</v>
      </c>
      <c r="H5978" s="197">
        <v>13.39</v>
      </c>
      <c r="I5978" s="7" t="s">
        <v>16815</v>
      </c>
      <c r="J5978" s="7" t="s">
        <v>19579</v>
      </c>
      <c r="K5978" s="7" t="s">
        <v>16838</v>
      </c>
      <c r="L5978" s="201" t="s">
        <v>16835</v>
      </c>
      <c r="M5978" s="194"/>
      <c r="N5978" s="194"/>
    </row>
    <row r="5979">
      <c r="A5979" s="193" t="s">
        <v>24868</v>
      </c>
      <c r="B5979" s="7" t="s">
        <v>16838</v>
      </c>
      <c r="C5979" s="7" t="s">
        <v>19579</v>
      </c>
      <c r="D5979" s="194">
        <v>2020.0</v>
      </c>
      <c r="E5979" s="193"/>
      <c r="F5979" s="195" t="s">
        <v>24869</v>
      </c>
      <c r="G5979" s="196">
        <v>1.78529111E8</v>
      </c>
      <c r="H5979" s="197">
        <v>13.39</v>
      </c>
      <c r="I5979" s="7" t="s">
        <v>16815</v>
      </c>
      <c r="J5979" s="7" t="s">
        <v>16838</v>
      </c>
      <c r="K5979" s="7" t="s">
        <v>19579</v>
      </c>
      <c r="L5979" s="198" t="s">
        <v>65</v>
      </c>
      <c r="M5979" s="194"/>
      <c r="N5979" s="194"/>
    </row>
    <row r="5980">
      <c r="A5980" s="193" t="s">
        <v>24870</v>
      </c>
      <c r="D5980" s="194">
        <v>2023.0</v>
      </c>
      <c r="E5980" s="193"/>
      <c r="F5980" s="195" t="s">
        <v>24871</v>
      </c>
      <c r="G5980" s="196">
        <v>1.7834E8</v>
      </c>
      <c r="H5980" s="197">
        <v>9.64</v>
      </c>
      <c r="I5980" s="7" t="s">
        <v>16815</v>
      </c>
      <c r="L5980" s="198" t="s">
        <v>65</v>
      </c>
      <c r="M5980" s="194"/>
      <c r="N5980" s="194"/>
    </row>
    <row r="5981">
      <c r="A5981" s="193" t="s">
        <v>24872</v>
      </c>
      <c r="B5981" s="7" t="s">
        <v>16582</v>
      </c>
      <c r="C5981" s="7" t="s">
        <v>16930</v>
      </c>
      <c r="D5981" s="199"/>
      <c r="E5981" s="193"/>
      <c r="F5981" s="195" t="s">
        <v>24873</v>
      </c>
      <c r="G5981" s="196">
        <v>1.78301459E8</v>
      </c>
      <c r="H5981" s="197">
        <v>9.81</v>
      </c>
      <c r="I5981" s="7" t="s">
        <v>16815</v>
      </c>
      <c r="J5981" s="7" t="s">
        <v>16582</v>
      </c>
      <c r="K5981" s="7" t="s">
        <v>16930</v>
      </c>
      <c r="L5981" s="198" t="s">
        <v>65</v>
      </c>
      <c r="M5981" s="199"/>
      <c r="N5981" s="199"/>
    </row>
    <row r="5982">
      <c r="A5982" s="193" t="s">
        <v>24872</v>
      </c>
      <c r="B5982" s="7" t="s">
        <v>16930</v>
      </c>
      <c r="C5982" s="7" t="s">
        <v>16582</v>
      </c>
      <c r="D5982" s="199"/>
      <c r="E5982" s="193"/>
      <c r="F5982" s="195" t="s">
        <v>24873</v>
      </c>
      <c r="G5982" s="200">
        <v>1.78301459E8</v>
      </c>
      <c r="H5982" s="197">
        <v>9.81</v>
      </c>
      <c r="I5982" s="7" t="s">
        <v>16815</v>
      </c>
      <c r="J5982" s="7" t="s">
        <v>16930</v>
      </c>
      <c r="K5982" s="7" t="s">
        <v>16582</v>
      </c>
      <c r="L5982" s="201" t="s">
        <v>16835</v>
      </c>
      <c r="M5982" s="199"/>
      <c r="N5982" s="199"/>
    </row>
    <row r="5983">
      <c r="A5983" s="193" t="s">
        <v>24874</v>
      </c>
      <c r="B5983" s="7" t="s">
        <v>175</v>
      </c>
      <c r="C5983" s="7" t="s">
        <v>18570</v>
      </c>
      <c r="D5983" s="194">
        <v>2017.0</v>
      </c>
      <c r="E5983" s="193"/>
      <c r="F5983" s="195" t="s">
        <v>24875</v>
      </c>
      <c r="G5983" s="196">
        <v>1.78133067E8</v>
      </c>
      <c r="H5983" s="197">
        <v>12.73</v>
      </c>
      <c r="I5983" s="193" t="s">
        <v>16908</v>
      </c>
      <c r="J5983" s="7" t="s">
        <v>175</v>
      </c>
      <c r="K5983" s="7" t="s">
        <v>18570</v>
      </c>
      <c r="L5983" s="198" t="s">
        <v>65</v>
      </c>
      <c r="M5983" s="194"/>
      <c r="N5983" s="194"/>
    </row>
    <row r="5984">
      <c r="A5984" s="193" t="s">
        <v>24874</v>
      </c>
      <c r="B5984" s="7" t="s">
        <v>18570</v>
      </c>
      <c r="C5984" s="7" t="s">
        <v>175</v>
      </c>
      <c r="D5984" s="194">
        <v>2017.0</v>
      </c>
      <c r="E5984" s="193"/>
      <c r="F5984" s="195" t="s">
        <v>24875</v>
      </c>
      <c r="G5984" s="200">
        <v>1.78133067E8</v>
      </c>
      <c r="H5984" s="197">
        <v>12.73</v>
      </c>
      <c r="I5984" s="7" t="s">
        <v>16815</v>
      </c>
      <c r="J5984" s="7" t="s">
        <v>18570</v>
      </c>
      <c r="K5984" s="7" t="s">
        <v>175</v>
      </c>
      <c r="L5984" s="201" t="s">
        <v>16835</v>
      </c>
      <c r="M5984" s="194"/>
      <c r="N5984" s="194"/>
    </row>
    <row r="5985">
      <c r="A5985" s="193" t="s">
        <v>24876</v>
      </c>
      <c r="B5985" s="7" t="s">
        <v>16582</v>
      </c>
      <c r="C5985" s="7" t="s">
        <v>16930</v>
      </c>
      <c r="D5985" s="199"/>
      <c r="E5985" s="193"/>
      <c r="F5985" s="195" t="s">
        <v>24877</v>
      </c>
      <c r="G5985" s="196">
        <v>1.78026604E8</v>
      </c>
      <c r="H5985" s="197">
        <v>8.51</v>
      </c>
      <c r="I5985" s="7" t="s">
        <v>16815</v>
      </c>
      <c r="J5985" s="7" t="s">
        <v>16582</v>
      </c>
      <c r="K5985" s="7" t="s">
        <v>16930</v>
      </c>
      <c r="L5985" s="198" t="s">
        <v>65</v>
      </c>
      <c r="M5985" s="199"/>
      <c r="N5985" s="199"/>
    </row>
    <row r="5986">
      <c r="A5986" s="193" t="s">
        <v>24878</v>
      </c>
      <c r="B5986" s="7" t="s">
        <v>16838</v>
      </c>
      <c r="C5986" s="7" t="s">
        <v>18219</v>
      </c>
      <c r="D5986" s="194">
        <v>2022.0</v>
      </c>
      <c r="E5986" s="193"/>
      <c r="F5986" s="195" t="s">
        <v>24879</v>
      </c>
      <c r="G5986" s="196">
        <v>1.779375E8</v>
      </c>
      <c r="H5986" s="197">
        <v>10.95</v>
      </c>
      <c r="I5986" s="7" t="s">
        <v>16815</v>
      </c>
      <c r="J5986" s="7" t="s">
        <v>16838</v>
      </c>
      <c r="K5986" s="7" t="s">
        <v>18219</v>
      </c>
      <c r="L5986" s="198" t="s">
        <v>65</v>
      </c>
      <c r="M5986" s="194"/>
      <c r="N5986" s="194"/>
    </row>
    <row r="5987">
      <c r="A5987" s="193" t="s">
        <v>24880</v>
      </c>
      <c r="B5987" s="7" t="s">
        <v>187</v>
      </c>
      <c r="C5987" s="7" t="s">
        <v>16846</v>
      </c>
      <c r="D5987" s="194">
        <v>2012.0</v>
      </c>
      <c r="E5987" s="193"/>
      <c r="F5987" s="195" t="s">
        <v>24881</v>
      </c>
      <c r="G5987" s="196">
        <v>1.77579817E8</v>
      </c>
      <c r="H5987" s="197">
        <v>12.4</v>
      </c>
      <c r="I5987" s="7" t="s">
        <v>16815</v>
      </c>
      <c r="J5987" s="7" t="s">
        <v>187</v>
      </c>
      <c r="K5987" s="7" t="s">
        <v>16846</v>
      </c>
      <c r="L5987" s="198" t="s">
        <v>65</v>
      </c>
      <c r="M5987" s="194"/>
      <c r="N5987" s="194"/>
    </row>
    <row r="5988">
      <c r="A5988" s="193" t="s">
        <v>24882</v>
      </c>
      <c r="B5988" s="7" t="s">
        <v>175</v>
      </c>
      <c r="C5988" s="7" t="s">
        <v>17286</v>
      </c>
      <c r="D5988" s="194">
        <v>2007.0</v>
      </c>
      <c r="E5988" s="193"/>
      <c r="F5988" s="195" t="s">
        <v>24883</v>
      </c>
      <c r="G5988" s="196">
        <v>1.7709571E8</v>
      </c>
      <c r="H5988" s="197">
        <v>3.08</v>
      </c>
      <c r="I5988" s="7" t="s">
        <v>168</v>
      </c>
      <c r="J5988" s="7" t="s">
        <v>175</v>
      </c>
      <c r="K5988" s="7" t="s">
        <v>17286</v>
      </c>
      <c r="L5988" s="198" t="s">
        <v>65</v>
      </c>
      <c r="M5988" s="194"/>
      <c r="N5988" s="194"/>
    </row>
    <row r="5989">
      <c r="A5989" s="193" t="s">
        <v>24884</v>
      </c>
      <c r="B5989" s="7" t="s">
        <v>16838</v>
      </c>
      <c r="C5989" s="7" t="s">
        <v>16867</v>
      </c>
      <c r="D5989" s="199"/>
      <c r="E5989" s="193"/>
      <c r="F5989" s="195" t="s">
        <v>24885</v>
      </c>
      <c r="G5989" s="196">
        <v>1.77085269E8</v>
      </c>
      <c r="H5989" s="197">
        <v>10.08</v>
      </c>
      <c r="I5989" s="7" t="s">
        <v>16815</v>
      </c>
      <c r="J5989" s="7" t="s">
        <v>16838</v>
      </c>
      <c r="K5989" s="7" t="s">
        <v>16867</v>
      </c>
      <c r="L5989" s="198" t="s">
        <v>65</v>
      </c>
      <c r="M5989" s="199"/>
      <c r="N5989" s="199"/>
    </row>
    <row r="5990">
      <c r="A5990" s="193" t="s">
        <v>24886</v>
      </c>
      <c r="B5990" s="7" t="s">
        <v>187</v>
      </c>
      <c r="C5990" s="7" t="s">
        <v>16858</v>
      </c>
      <c r="D5990" s="194">
        <v>2014.0</v>
      </c>
      <c r="E5990" s="193"/>
      <c r="F5990" s="195" t="s">
        <v>24887</v>
      </c>
      <c r="G5990" s="196">
        <v>1.77069002E8</v>
      </c>
      <c r="H5990" s="197">
        <v>1.59</v>
      </c>
      <c r="I5990" s="7" t="s">
        <v>16815</v>
      </c>
      <c r="J5990" s="7" t="s">
        <v>187</v>
      </c>
      <c r="K5990" s="7" t="s">
        <v>16858</v>
      </c>
      <c r="L5990" s="198" t="s">
        <v>65</v>
      </c>
      <c r="M5990" s="194"/>
      <c r="N5990" s="194"/>
    </row>
    <row r="5991">
      <c r="A5991" s="193" t="s">
        <v>24888</v>
      </c>
      <c r="B5991" s="7" t="s">
        <v>16885</v>
      </c>
      <c r="C5991" s="7" t="s">
        <v>17726</v>
      </c>
      <c r="D5991" s="194">
        <v>2021.0</v>
      </c>
      <c r="E5991" s="193"/>
      <c r="F5991" s="195" t="s">
        <v>24889</v>
      </c>
      <c r="G5991" s="196">
        <v>1.76887551E8</v>
      </c>
      <c r="H5991" s="197">
        <v>18.83</v>
      </c>
      <c r="I5991" s="7" t="s">
        <v>16888</v>
      </c>
      <c r="J5991" s="7" t="s">
        <v>16885</v>
      </c>
      <c r="K5991" s="7" t="s">
        <v>17726</v>
      </c>
      <c r="L5991" s="198" t="s">
        <v>65</v>
      </c>
      <c r="M5991" s="194"/>
      <c r="N5991" s="194"/>
    </row>
    <row r="5992">
      <c r="A5992" s="193" t="s">
        <v>24888</v>
      </c>
      <c r="B5992" s="202" t="s">
        <v>17726</v>
      </c>
      <c r="C5992" s="193" t="s">
        <v>16885</v>
      </c>
      <c r="D5992" s="193">
        <v>2021.0</v>
      </c>
      <c r="E5992" s="193"/>
      <c r="F5992" s="203" t="s">
        <v>24889</v>
      </c>
      <c r="G5992" s="200">
        <v>1.76887551E8</v>
      </c>
      <c r="H5992" s="205">
        <v>8.59</v>
      </c>
      <c r="J5992" s="202" t="s">
        <v>17726</v>
      </c>
      <c r="K5992" s="193" t="s">
        <v>16885</v>
      </c>
      <c r="L5992" s="193" t="s">
        <v>17471</v>
      </c>
      <c r="M5992" s="193"/>
      <c r="N5992" s="193"/>
    </row>
    <row r="5993">
      <c r="A5993" s="193" t="s">
        <v>24890</v>
      </c>
      <c r="B5993" s="7" t="s">
        <v>187</v>
      </c>
      <c r="C5993" s="7" t="s">
        <v>16846</v>
      </c>
      <c r="D5993" s="199"/>
      <c r="E5993" s="193"/>
      <c r="F5993" s="195" t="s">
        <v>24891</v>
      </c>
      <c r="G5993" s="196">
        <v>1.76473311E8</v>
      </c>
      <c r="H5993" s="197">
        <v>3.22</v>
      </c>
      <c r="I5993" s="7" t="s">
        <v>16815</v>
      </c>
      <c r="J5993" s="7" t="s">
        <v>187</v>
      </c>
      <c r="K5993" s="7" t="s">
        <v>16846</v>
      </c>
      <c r="L5993" s="198" t="s">
        <v>65</v>
      </c>
      <c r="M5993" s="199"/>
      <c r="N5993" s="199"/>
    </row>
    <row r="5994">
      <c r="A5994" s="193" t="s">
        <v>24892</v>
      </c>
      <c r="B5994" s="7" t="s">
        <v>187</v>
      </c>
      <c r="C5994" s="7" t="s">
        <v>16846</v>
      </c>
      <c r="D5994" s="194">
        <v>2017.0</v>
      </c>
      <c r="E5994" s="193"/>
      <c r="F5994" s="195" t="s">
        <v>24893</v>
      </c>
      <c r="G5994" s="196">
        <v>1.7639094E8</v>
      </c>
      <c r="H5994" s="197">
        <v>0.18</v>
      </c>
      <c r="I5994" s="7" t="s">
        <v>16815</v>
      </c>
      <c r="J5994" s="7" t="s">
        <v>187</v>
      </c>
      <c r="K5994" s="7" t="s">
        <v>16846</v>
      </c>
      <c r="L5994" s="198" t="s">
        <v>65</v>
      </c>
      <c r="M5994" s="194"/>
      <c r="N5994" s="194"/>
    </row>
    <row r="5995">
      <c r="A5995" s="193" t="s">
        <v>24892</v>
      </c>
      <c r="B5995" s="202" t="s">
        <v>16846</v>
      </c>
      <c r="C5995" s="193" t="s">
        <v>187</v>
      </c>
      <c r="D5995" s="193">
        <v>2017.0</v>
      </c>
      <c r="E5995" s="193"/>
      <c r="F5995" s="203" t="s">
        <v>24893</v>
      </c>
      <c r="G5995" s="200">
        <v>1.7639094E8</v>
      </c>
      <c r="H5995" s="205">
        <v>18.83</v>
      </c>
      <c r="J5995" s="202" t="s">
        <v>16846</v>
      </c>
      <c r="K5995" s="193" t="s">
        <v>187</v>
      </c>
      <c r="L5995" s="193" t="s">
        <v>17471</v>
      </c>
      <c r="M5995" s="193"/>
      <c r="N5995" s="193"/>
    </row>
    <row r="5996">
      <c r="A5996" s="193" t="s">
        <v>24894</v>
      </c>
      <c r="B5996" s="7" t="s">
        <v>187</v>
      </c>
      <c r="C5996" s="7" t="s">
        <v>16846</v>
      </c>
      <c r="D5996" s="194">
        <v>2017.0</v>
      </c>
      <c r="E5996" s="193"/>
      <c r="F5996" s="195" t="s">
        <v>24895</v>
      </c>
      <c r="G5996" s="196">
        <v>1.7607504E8</v>
      </c>
      <c r="H5996" s="197">
        <v>4.91</v>
      </c>
      <c r="I5996" s="7" t="s">
        <v>16815</v>
      </c>
      <c r="J5996" s="7" t="s">
        <v>187</v>
      </c>
      <c r="K5996" s="7" t="s">
        <v>16846</v>
      </c>
      <c r="L5996" s="198" t="s">
        <v>65</v>
      </c>
      <c r="M5996" s="194"/>
      <c r="N5996" s="194"/>
    </row>
    <row r="5997">
      <c r="A5997" s="193" t="s">
        <v>24896</v>
      </c>
      <c r="B5997" s="7" t="s">
        <v>175</v>
      </c>
      <c r="C5997" s="7" t="s">
        <v>17812</v>
      </c>
      <c r="D5997" s="194">
        <v>1997.0</v>
      </c>
      <c r="E5997" s="193"/>
      <c r="F5997" s="195" t="s">
        <v>24897</v>
      </c>
      <c r="G5997" s="196">
        <v>1.75715887E8</v>
      </c>
      <c r="H5997" s="197">
        <v>4.36</v>
      </c>
      <c r="I5997" s="7" t="s">
        <v>17270</v>
      </c>
      <c r="J5997" s="7" t="s">
        <v>175</v>
      </c>
      <c r="K5997" s="7" t="s">
        <v>17812</v>
      </c>
      <c r="L5997" s="198" t="s">
        <v>65</v>
      </c>
      <c r="M5997" s="194"/>
      <c r="N5997" s="194"/>
    </row>
    <row r="5998">
      <c r="A5998" s="193" t="s">
        <v>24896</v>
      </c>
      <c r="B5998" s="7" t="s">
        <v>17812</v>
      </c>
      <c r="C5998" s="7" t="s">
        <v>175</v>
      </c>
      <c r="D5998" s="194">
        <v>1997.0</v>
      </c>
      <c r="E5998" s="193"/>
      <c r="F5998" s="195" t="s">
        <v>24897</v>
      </c>
      <c r="G5998" s="200">
        <v>1.75715887E8</v>
      </c>
      <c r="H5998" s="197">
        <v>4.36</v>
      </c>
      <c r="I5998" s="7" t="s">
        <v>16815</v>
      </c>
      <c r="J5998" s="7" t="s">
        <v>17812</v>
      </c>
      <c r="K5998" s="7" t="s">
        <v>175</v>
      </c>
      <c r="L5998" s="201" t="s">
        <v>16835</v>
      </c>
      <c r="M5998" s="194"/>
      <c r="N5998" s="194"/>
    </row>
    <row r="5999">
      <c r="A5999" s="193" t="s">
        <v>24898</v>
      </c>
      <c r="B5999" s="7" t="s">
        <v>169</v>
      </c>
      <c r="C5999" s="7" t="s">
        <v>16945</v>
      </c>
      <c r="D5999" s="199"/>
      <c r="E5999" s="193"/>
      <c r="F5999" s="195" t="s">
        <v>24899</v>
      </c>
      <c r="G5999" s="196">
        <v>1.7559178E8</v>
      </c>
      <c r="H5999" s="197">
        <v>4.52</v>
      </c>
      <c r="I5999" s="7" t="s">
        <v>16815</v>
      </c>
      <c r="J5999" s="7" t="s">
        <v>169</v>
      </c>
      <c r="K5999" s="7" t="s">
        <v>16945</v>
      </c>
      <c r="L5999" s="198" t="s">
        <v>65</v>
      </c>
      <c r="M5999" s="199"/>
      <c r="N5999" s="199"/>
    </row>
    <row r="6000">
      <c r="A6000" s="193" t="s">
        <v>24900</v>
      </c>
      <c r="B6000" s="7" t="s">
        <v>158</v>
      </c>
      <c r="C6000" s="7" t="s">
        <v>17171</v>
      </c>
      <c r="D6000" s="194">
        <v>2002.0</v>
      </c>
      <c r="E6000" s="193"/>
      <c r="F6000" s="195" t="s">
        <v>24901</v>
      </c>
      <c r="G6000" s="196">
        <v>1.74992698E8</v>
      </c>
      <c r="H6000" s="197">
        <v>14.07</v>
      </c>
      <c r="I6000" s="7" t="s">
        <v>17098</v>
      </c>
      <c r="J6000" s="7" t="s">
        <v>158</v>
      </c>
      <c r="K6000" s="7" t="s">
        <v>17171</v>
      </c>
      <c r="L6000" s="198" t="s">
        <v>65</v>
      </c>
      <c r="M6000" s="194"/>
      <c r="N6000" s="194"/>
    </row>
    <row r="6001">
      <c r="A6001" s="193" t="s">
        <v>24900</v>
      </c>
      <c r="B6001" s="7" t="s">
        <v>17171</v>
      </c>
      <c r="C6001" s="7" t="s">
        <v>158</v>
      </c>
      <c r="D6001" s="194">
        <v>2002.0</v>
      </c>
      <c r="E6001" s="193"/>
      <c r="F6001" s="195" t="s">
        <v>24901</v>
      </c>
      <c r="G6001" s="200">
        <v>1.74992698E8</v>
      </c>
      <c r="H6001" s="197">
        <v>14.07</v>
      </c>
      <c r="I6001" s="7" t="s">
        <v>16815</v>
      </c>
      <c r="J6001" s="7" t="s">
        <v>17171</v>
      </c>
      <c r="K6001" s="7" t="s">
        <v>158</v>
      </c>
      <c r="L6001" s="201" t="s">
        <v>16835</v>
      </c>
      <c r="M6001" s="194"/>
      <c r="N6001" s="194"/>
    </row>
    <row r="6002">
      <c r="A6002" s="193" t="s">
        <v>24902</v>
      </c>
      <c r="B6002" s="7" t="s">
        <v>16885</v>
      </c>
      <c r="C6002" s="7" t="s">
        <v>17726</v>
      </c>
      <c r="D6002" s="199"/>
      <c r="E6002" s="193"/>
      <c r="F6002" s="195" t="s">
        <v>24903</v>
      </c>
      <c r="G6002" s="196">
        <v>1.74933154E8</v>
      </c>
      <c r="H6002" s="197">
        <v>0.3302</v>
      </c>
      <c r="I6002" s="7" t="s">
        <v>16826</v>
      </c>
      <c r="J6002" s="7" t="s">
        <v>16885</v>
      </c>
      <c r="K6002" s="7" t="s">
        <v>17726</v>
      </c>
      <c r="L6002" s="198" t="s">
        <v>65</v>
      </c>
      <c r="M6002" s="199"/>
      <c r="N6002" s="199"/>
    </row>
    <row r="6003">
      <c r="A6003" s="193" t="s">
        <v>24902</v>
      </c>
      <c r="B6003" s="202" t="s">
        <v>17726</v>
      </c>
      <c r="C6003" s="193" t="s">
        <v>16885</v>
      </c>
      <c r="D6003" s="206"/>
      <c r="E6003" s="193"/>
      <c r="F6003" s="203" t="s">
        <v>24903</v>
      </c>
      <c r="G6003" s="200">
        <v>1.74933154E8</v>
      </c>
      <c r="H6003" s="205">
        <v>0.18</v>
      </c>
      <c r="J6003" s="202" t="s">
        <v>17726</v>
      </c>
      <c r="K6003" s="193" t="s">
        <v>16885</v>
      </c>
      <c r="L6003" s="193" t="s">
        <v>17471</v>
      </c>
      <c r="M6003" s="206"/>
      <c r="N6003" s="206"/>
    </row>
    <row r="6004">
      <c r="A6004" s="193" t="s">
        <v>24904</v>
      </c>
      <c r="B6004" s="7" t="s">
        <v>169</v>
      </c>
      <c r="C6004" s="7" t="s">
        <v>17022</v>
      </c>
      <c r="D6004" s="194">
        <v>2021.0</v>
      </c>
      <c r="E6004" s="193"/>
      <c r="F6004" s="195" t="s">
        <v>24905</v>
      </c>
      <c r="G6004" s="196">
        <v>1.74131309E8</v>
      </c>
      <c r="H6004" s="197">
        <v>0.8129</v>
      </c>
      <c r="I6004" s="7" t="s">
        <v>16815</v>
      </c>
      <c r="J6004" s="7" t="s">
        <v>169</v>
      </c>
      <c r="K6004" s="7" t="s">
        <v>17022</v>
      </c>
      <c r="L6004" s="198" t="s">
        <v>65</v>
      </c>
      <c r="M6004" s="194"/>
      <c r="N6004" s="194"/>
    </row>
    <row r="6005">
      <c r="A6005" s="193" t="s">
        <v>24904</v>
      </c>
      <c r="B6005" s="7" t="s">
        <v>17022</v>
      </c>
      <c r="C6005" s="7" t="s">
        <v>169</v>
      </c>
      <c r="D6005" s="194">
        <v>2021.0</v>
      </c>
      <c r="E6005" s="193"/>
      <c r="F6005" s="195" t="s">
        <v>24905</v>
      </c>
      <c r="G6005" s="200">
        <v>1.74131309E8</v>
      </c>
      <c r="H6005" s="197">
        <v>0.8129</v>
      </c>
      <c r="I6005" s="7" t="s">
        <v>16815</v>
      </c>
      <c r="J6005" s="7" t="s">
        <v>17022</v>
      </c>
      <c r="K6005" s="7" t="s">
        <v>169</v>
      </c>
      <c r="L6005" s="201" t="s">
        <v>16835</v>
      </c>
      <c r="M6005" s="194"/>
      <c r="N6005" s="194"/>
    </row>
    <row r="6006">
      <c r="A6006" s="193" t="s">
        <v>24906</v>
      </c>
      <c r="B6006" s="7" t="s">
        <v>16582</v>
      </c>
      <c r="C6006" s="7" t="s">
        <v>16817</v>
      </c>
      <c r="D6006" s="194">
        <v>2021.0</v>
      </c>
      <c r="E6006" s="193"/>
      <c r="F6006" s="195" t="s">
        <v>24907</v>
      </c>
      <c r="G6006" s="196">
        <v>1.73981128E8</v>
      </c>
      <c r="H6006" s="197">
        <v>2.1</v>
      </c>
      <c r="I6006" s="7" t="s">
        <v>16815</v>
      </c>
      <c r="J6006" s="7" t="s">
        <v>16582</v>
      </c>
      <c r="K6006" s="7" t="s">
        <v>16817</v>
      </c>
      <c r="L6006" s="198" t="s">
        <v>65</v>
      </c>
      <c r="M6006" s="194"/>
      <c r="N6006" s="194"/>
    </row>
    <row r="6007">
      <c r="A6007" s="193" t="s">
        <v>24908</v>
      </c>
      <c r="B6007" s="7" t="s">
        <v>16838</v>
      </c>
      <c r="C6007" s="7" t="s">
        <v>18219</v>
      </c>
      <c r="D6007" s="194">
        <v>2022.0</v>
      </c>
      <c r="E6007" s="193"/>
      <c r="F6007" s="195" t="s">
        <v>24909</v>
      </c>
      <c r="G6007" s="196">
        <v>1.739375E8</v>
      </c>
      <c r="H6007" s="197">
        <v>12.1</v>
      </c>
      <c r="I6007" s="7" t="s">
        <v>16872</v>
      </c>
      <c r="J6007" s="7" t="s">
        <v>16838</v>
      </c>
      <c r="K6007" s="7" t="s">
        <v>18219</v>
      </c>
      <c r="L6007" s="198" t="s">
        <v>65</v>
      </c>
      <c r="M6007" s="194"/>
      <c r="N6007" s="194"/>
    </row>
    <row r="6008">
      <c r="A6008" s="193" t="s">
        <v>24908</v>
      </c>
      <c r="B6008" s="202" t="s">
        <v>18219</v>
      </c>
      <c r="C6008" s="193" t="s">
        <v>16838</v>
      </c>
      <c r="D6008" s="193">
        <v>2022.0</v>
      </c>
      <c r="E6008" s="193"/>
      <c r="F6008" s="203" t="s">
        <v>24909</v>
      </c>
      <c r="G6008" s="200">
        <v>1.739375E8</v>
      </c>
      <c r="H6008" s="205">
        <v>0.3302</v>
      </c>
      <c r="J6008" s="202" t="s">
        <v>18219</v>
      </c>
      <c r="K6008" s="193" t="s">
        <v>16838</v>
      </c>
      <c r="L6008" s="193" t="s">
        <v>17471</v>
      </c>
      <c r="M6008" s="193"/>
      <c r="N6008" s="193"/>
    </row>
    <row r="6009">
      <c r="A6009" s="193" t="s">
        <v>24910</v>
      </c>
      <c r="B6009" s="7" t="s">
        <v>187</v>
      </c>
      <c r="C6009" s="7" t="s">
        <v>16846</v>
      </c>
      <c r="D6009" s="194">
        <v>2013.0</v>
      </c>
      <c r="E6009" s="193"/>
      <c r="F6009" s="195" t="s">
        <v>24911</v>
      </c>
      <c r="G6009" s="196">
        <v>1.73917538E8</v>
      </c>
      <c r="H6009" s="197">
        <v>8.26</v>
      </c>
      <c r="I6009" s="7" t="s">
        <v>16815</v>
      </c>
      <c r="J6009" s="7" t="s">
        <v>187</v>
      </c>
      <c r="K6009" s="7" t="s">
        <v>16846</v>
      </c>
      <c r="L6009" s="198" t="s">
        <v>65</v>
      </c>
      <c r="M6009" s="194"/>
      <c r="N6009" s="194"/>
    </row>
    <row r="6010">
      <c r="A6010" s="193" t="s">
        <v>24912</v>
      </c>
      <c r="B6010" s="7" t="s">
        <v>16582</v>
      </c>
      <c r="C6010" s="7" t="s">
        <v>16817</v>
      </c>
      <c r="D6010" s="199"/>
      <c r="E6010" s="193"/>
      <c r="F6010" s="195" t="s">
        <v>24913</v>
      </c>
      <c r="G6010" s="196">
        <v>1.73815806E8</v>
      </c>
      <c r="H6010" s="197">
        <v>7.81</v>
      </c>
      <c r="I6010" s="7" t="s">
        <v>16815</v>
      </c>
      <c r="J6010" s="7" t="s">
        <v>16582</v>
      </c>
      <c r="K6010" s="7" t="s">
        <v>16817</v>
      </c>
      <c r="L6010" s="198" t="s">
        <v>65</v>
      </c>
      <c r="M6010" s="199"/>
      <c r="N6010" s="199"/>
    </row>
    <row r="6011">
      <c r="A6011" s="193" t="s">
        <v>24914</v>
      </c>
      <c r="B6011" s="7" t="s">
        <v>16582</v>
      </c>
      <c r="C6011" s="7" t="s">
        <v>16930</v>
      </c>
      <c r="D6011" s="199"/>
      <c r="E6011" s="193"/>
      <c r="F6011" s="195" t="s">
        <v>24915</v>
      </c>
      <c r="G6011" s="196">
        <v>1.73161533E8</v>
      </c>
      <c r="H6011" s="197">
        <v>0.4786</v>
      </c>
      <c r="I6011" s="7" t="s">
        <v>16815</v>
      </c>
      <c r="J6011" s="7" t="s">
        <v>16582</v>
      </c>
      <c r="K6011" s="7" t="s">
        <v>16930</v>
      </c>
      <c r="L6011" s="198" t="s">
        <v>65</v>
      </c>
      <c r="M6011" s="199"/>
      <c r="N6011" s="199"/>
    </row>
    <row r="6012">
      <c r="A6012" s="193" t="s">
        <v>24916</v>
      </c>
      <c r="B6012" s="7" t="s">
        <v>169</v>
      </c>
      <c r="C6012" s="7" t="s">
        <v>17827</v>
      </c>
      <c r="D6012" s="194">
        <v>2011.0</v>
      </c>
      <c r="E6012" s="193"/>
      <c r="F6012" s="195" t="s">
        <v>24917</v>
      </c>
      <c r="G6012" s="196">
        <v>1.73081176E8</v>
      </c>
      <c r="H6012" s="197">
        <v>2.18</v>
      </c>
      <c r="I6012" s="7" t="s">
        <v>16815</v>
      </c>
      <c r="J6012" s="7" t="s">
        <v>169</v>
      </c>
      <c r="K6012" s="7" t="s">
        <v>17827</v>
      </c>
      <c r="L6012" s="198" t="s">
        <v>65</v>
      </c>
      <c r="M6012" s="194"/>
      <c r="N6012" s="194"/>
    </row>
    <row r="6013">
      <c r="A6013" s="193" t="s">
        <v>24918</v>
      </c>
      <c r="B6013" s="7" t="s">
        <v>175</v>
      </c>
      <c r="C6013" s="7" t="s">
        <v>17619</v>
      </c>
      <c r="D6013" s="199"/>
      <c r="E6013" s="193"/>
      <c r="F6013" s="195" t="s">
        <v>24919</v>
      </c>
      <c r="G6013" s="196">
        <v>1.72715772E8</v>
      </c>
      <c r="H6013" s="197">
        <v>3.57</v>
      </c>
      <c r="I6013" s="7" t="s">
        <v>16856</v>
      </c>
      <c r="J6013" s="7" t="s">
        <v>175</v>
      </c>
      <c r="K6013" s="7" t="s">
        <v>17619</v>
      </c>
      <c r="L6013" s="198" t="s">
        <v>65</v>
      </c>
      <c r="M6013" s="199"/>
      <c r="N6013" s="199"/>
    </row>
    <row r="6014">
      <c r="A6014" s="193" t="s">
        <v>24920</v>
      </c>
      <c r="B6014" s="7" t="s">
        <v>17629</v>
      </c>
      <c r="C6014" s="7" t="s">
        <v>16899</v>
      </c>
      <c r="D6014" s="199"/>
      <c r="E6014" s="193"/>
      <c r="F6014" s="195" t="s">
        <v>24921</v>
      </c>
      <c r="G6014" s="196">
        <v>1.72705069E8</v>
      </c>
      <c r="H6014" s="197">
        <v>1.11</v>
      </c>
      <c r="I6014" s="7" t="s">
        <v>16815</v>
      </c>
      <c r="J6014" s="7" t="s">
        <v>17629</v>
      </c>
      <c r="K6014" s="7" t="s">
        <v>16899</v>
      </c>
      <c r="L6014" s="198" t="s">
        <v>65</v>
      </c>
      <c r="M6014" s="199"/>
      <c r="N6014" s="199"/>
    </row>
    <row r="6015">
      <c r="A6015" s="193" t="s">
        <v>24920</v>
      </c>
      <c r="B6015" s="7" t="s">
        <v>16899</v>
      </c>
      <c r="C6015" s="7" t="s">
        <v>17629</v>
      </c>
      <c r="D6015" s="199"/>
      <c r="E6015" s="193"/>
      <c r="F6015" s="195" t="s">
        <v>24921</v>
      </c>
      <c r="G6015" s="200">
        <v>1.72705069E8</v>
      </c>
      <c r="H6015" s="197">
        <v>1.11</v>
      </c>
      <c r="I6015" s="7" t="s">
        <v>16815</v>
      </c>
      <c r="J6015" s="7" t="s">
        <v>16899</v>
      </c>
      <c r="K6015" s="7" t="s">
        <v>17629</v>
      </c>
      <c r="L6015" s="201" t="s">
        <v>16835</v>
      </c>
      <c r="M6015" s="199"/>
      <c r="N6015" s="199"/>
    </row>
    <row r="6016">
      <c r="A6016" s="193" t="s">
        <v>24922</v>
      </c>
      <c r="B6016" s="7" t="s">
        <v>175</v>
      </c>
      <c r="C6016" s="7" t="s">
        <v>17168</v>
      </c>
      <c r="D6016" s="194">
        <v>2018.0</v>
      </c>
      <c r="E6016" s="193"/>
      <c r="F6016" s="195" t="s">
        <v>24923</v>
      </c>
      <c r="G6016" s="196">
        <v>1.72316092E8</v>
      </c>
      <c r="H6016" s="197">
        <v>1.695</v>
      </c>
      <c r="I6016" s="7" t="s">
        <v>17270</v>
      </c>
      <c r="J6016" s="7" t="s">
        <v>175</v>
      </c>
      <c r="K6016" s="7" t="s">
        <v>17168</v>
      </c>
      <c r="L6016" s="198" t="s">
        <v>65</v>
      </c>
      <c r="M6016" s="194"/>
      <c r="N6016" s="194"/>
    </row>
    <row r="6017">
      <c r="A6017" s="193" t="s">
        <v>24924</v>
      </c>
      <c r="B6017" s="7" t="s">
        <v>16838</v>
      </c>
      <c r="C6017" s="7" t="s">
        <v>17016</v>
      </c>
      <c r="D6017" s="194">
        <v>2018.0</v>
      </c>
      <c r="E6017" s="193"/>
      <c r="F6017" s="195" t="s">
        <v>24925</v>
      </c>
      <c r="G6017" s="196">
        <v>1.72270923E8</v>
      </c>
      <c r="H6017" s="197">
        <v>2.09</v>
      </c>
      <c r="I6017" s="7" t="s">
        <v>16815</v>
      </c>
      <c r="J6017" s="7" t="s">
        <v>16838</v>
      </c>
      <c r="K6017" s="7" t="s">
        <v>17016</v>
      </c>
      <c r="L6017" s="198" t="s">
        <v>65</v>
      </c>
      <c r="M6017" s="194"/>
      <c r="N6017" s="194"/>
    </row>
    <row r="6018">
      <c r="A6018" s="193" t="s">
        <v>24926</v>
      </c>
      <c r="B6018" s="7" t="s">
        <v>175</v>
      </c>
      <c r="C6018" s="7" t="s">
        <v>17391</v>
      </c>
      <c r="D6018" s="194">
        <v>2021.0</v>
      </c>
      <c r="E6018" s="193"/>
      <c r="F6018" s="195" t="s">
        <v>24927</v>
      </c>
      <c r="G6018" s="196">
        <v>1.71488396E8</v>
      </c>
      <c r="H6018" s="197">
        <v>1.22</v>
      </c>
      <c r="I6018" s="7" t="s">
        <v>16908</v>
      </c>
      <c r="J6018" s="7" t="s">
        <v>175</v>
      </c>
      <c r="K6018" s="7" t="s">
        <v>17391</v>
      </c>
      <c r="L6018" s="198" t="s">
        <v>65</v>
      </c>
      <c r="M6018" s="194"/>
      <c r="N6018" s="194"/>
    </row>
    <row r="6019">
      <c r="A6019" s="193" t="s">
        <v>24926</v>
      </c>
      <c r="B6019" s="7" t="s">
        <v>17391</v>
      </c>
      <c r="C6019" s="7" t="s">
        <v>175</v>
      </c>
      <c r="D6019" s="194">
        <v>2021.0</v>
      </c>
      <c r="E6019" s="193"/>
      <c r="F6019" s="195" t="s">
        <v>24927</v>
      </c>
      <c r="G6019" s="200">
        <v>1.71488396E8</v>
      </c>
      <c r="H6019" s="197">
        <v>1.22</v>
      </c>
      <c r="I6019" s="7" t="s">
        <v>16815</v>
      </c>
      <c r="J6019" s="7" t="s">
        <v>17391</v>
      </c>
      <c r="K6019" s="7" t="s">
        <v>175</v>
      </c>
      <c r="L6019" s="201" t="s">
        <v>16835</v>
      </c>
      <c r="M6019" s="194"/>
      <c r="N6019" s="194"/>
    </row>
    <row r="6020">
      <c r="A6020" s="193" t="s">
        <v>24928</v>
      </c>
      <c r="B6020" s="7" t="s">
        <v>16838</v>
      </c>
      <c r="C6020" s="7" t="s">
        <v>18219</v>
      </c>
      <c r="D6020" s="194">
        <v>2003.0</v>
      </c>
      <c r="E6020" s="193"/>
      <c r="F6020" s="195" t="s">
        <v>24929</v>
      </c>
      <c r="G6020" s="196">
        <v>1.71482571E8</v>
      </c>
      <c r="H6020" s="197">
        <v>2.95</v>
      </c>
      <c r="I6020" s="7" t="s">
        <v>16815</v>
      </c>
      <c r="J6020" s="7" t="s">
        <v>16838</v>
      </c>
      <c r="K6020" s="7" t="s">
        <v>18219</v>
      </c>
      <c r="L6020" s="198" t="s">
        <v>65</v>
      </c>
      <c r="M6020" s="194"/>
      <c r="N6020" s="194"/>
    </row>
    <row r="6021">
      <c r="A6021" s="193" t="s">
        <v>24930</v>
      </c>
      <c r="B6021" s="7" t="s">
        <v>16926</v>
      </c>
      <c r="C6021" s="7" t="s">
        <v>16957</v>
      </c>
      <c r="D6021" s="199"/>
      <c r="E6021" s="193"/>
      <c r="F6021" s="195" t="s">
        <v>24931</v>
      </c>
      <c r="G6021" s="196">
        <v>1.71255488E8</v>
      </c>
      <c r="H6021" s="197">
        <v>9.84</v>
      </c>
      <c r="I6021" s="7" t="s">
        <v>16815</v>
      </c>
      <c r="J6021" s="7" t="s">
        <v>16926</v>
      </c>
      <c r="K6021" s="7" t="s">
        <v>16957</v>
      </c>
      <c r="L6021" s="198" t="s">
        <v>65</v>
      </c>
      <c r="M6021" s="199"/>
      <c r="N6021" s="199"/>
    </row>
    <row r="6022">
      <c r="A6022" s="193" t="s">
        <v>24932</v>
      </c>
      <c r="B6022" s="7" t="s">
        <v>175</v>
      </c>
      <c r="C6022" s="7" t="s">
        <v>17480</v>
      </c>
      <c r="D6022" s="194">
        <v>2014.0</v>
      </c>
      <c r="E6022" s="193"/>
      <c r="F6022" s="195" t="s">
        <v>24933</v>
      </c>
      <c r="G6022" s="196">
        <v>1.71225521E8</v>
      </c>
      <c r="H6022" s="197">
        <v>4.58</v>
      </c>
      <c r="I6022" s="7" t="s">
        <v>23391</v>
      </c>
      <c r="J6022" s="7" t="s">
        <v>175</v>
      </c>
      <c r="K6022" s="7" t="s">
        <v>17480</v>
      </c>
      <c r="L6022" s="198" t="s">
        <v>65</v>
      </c>
      <c r="M6022" s="194"/>
      <c r="N6022" s="194"/>
    </row>
    <row r="6023">
      <c r="A6023" s="193" t="s">
        <v>24934</v>
      </c>
      <c r="B6023" s="7" t="s">
        <v>169</v>
      </c>
      <c r="C6023" s="7" t="s">
        <v>17827</v>
      </c>
      <c r="D6023" s="194">
        <v>2000.0</v>
      </c>
      <c r="E6023" s="193"/>
      <c r="F6023" s="195" t="s">
        <v>24935</v>
      </c>
      <c r="G6023" s="196">
        <v>1.70752984E8</v>
      </c>
      <c r="H6023" s="197">
        <v>4.0</v>
      </c>
      <c r="I6023" s="7" t="s">
        <v>16815</v>
      </c>
      <c r="J6023" s="7" t="s">
        <v>169</v>
      </c>
      <c r="K6023" s="7" t="s">
        <v>17827</v>
      </c>
      <c r="L6023" s="198" t="s">
        <v>65</v>
      </c>
      <c r="M6023" s="194"/>
      <c r="N6023" s="194"/>
    </row>
    <row r="6024">
      <c r="A6024" s="193" t="s">
        <v>24936</v>
      </c>
      <c r="B6024" s="7" t="s">
        <v>175</v>
      </c>
      <c r="C6024" s="7" t="s">
        <v>17391</v>
      </c>
      <c r="D6024" s="194">
        <v>2021.0</v>
      </c>
      <c r="E6024" s="193"/>
      <c r="F6024" s="195" t="s">
        <v>24937</v>
      </c>
      <c r="G6024" s="196">
        <v>1.70590152E8</v>
      </c>
      <c r="H6024" s="197">
        <v>6.55</v>
      </c>
      <c r="I6024" s="7" t="s">
        <v>168</v>
      </c>
      <c r="J6024" s="7" t="s">
        <v>175</v>
      </c>
      <c r="K6024" s="7" t="s">
        <v>17391</v>
      </c>
      <c r="L6024" s="198" t="s">
        <v>65</v>
      </c>
      <c r="M6024" s="194"/>
      <c r="N6024" s="194"/>
    </row>
    <row r="6025">
      <c r="A6025" s="193" t="s">
        <v>24936</v>
      </c>
      <c r="B6025" s="7" t="s">
        <v>17391</v>
      </c>
      <c r="C6025" s="7" t="s">
        <v>175</v>
      </c>
      <c r="D6025" s="194">
        <v>2021.0</v>
      </c>
      <c r="E6025" s="193"/>
      <c r="F6025" s="195" t="s">
        <v>24937</v>
      </c>
      <c r="G6025" s="200">
        <v>1.70590152E8</v>
      </c>
      <c r="H6025" s="197">
        <v>6.55</v>
      </c>
      <c r="I6025" s="7" t="s">
        <v>16815</v>
      </c>
      <c r="J6025" s="7" t="s">
        <v>17391</v>
      </c>
      <c r="K6025" s="7" t="s">
        <v>175</v>
      </c>
      <c r="L6025" s="201" t="s">
        <v>16835</v>
      </c>
      <c r="M6025" s="194"/>
      <c r="N6025" s="194"/>
    </row>
    <row r="6026">
      <c r="A6026" s="193" t="s">
        <v>24938</v>
      </c>
      <c r="B6026" s="7" t="s">
        <v>175</v>
      </c>
      <c r="C6026" s="7" t="s">
        <v>17084</v>
      </c>
      <c r="D6026" s="194">
        <v>2015.0</v>
      </c>
      <c r="E6026" s="193"/>
      <c r="F6026" s="195" t="s">
        <v>24939</v>
      </c>
      <c r="G6026" s="196">
        <v>1.70461297E8</v>
      </c>
      <c r="H6026" s="197">
        <v>4.93</v>
      </c>
      <c r="I6026" s="7" t="s">
        <v>16908</v>
      </c>
      <c r="J6026" s="7" t="s">
        <v>175</v>
      </c>
      <c r="K6026" s="7" t="s">
        <v>17084</v>
      </c>
      <c r="L6026" s="198" t="s">
        <v>65</v>
      </c>
      <c r="M6026" s="194"/>
      <c r="N6026" s="194"/>
    </row>
    <row r="6027">
      <c r="A6027" s="193" t="s">
        <v>24940</v>
      </c>
      <c r="B6027" s="7" t="s">
        <v>187</v>
      </c>
      <c r="C6027" s="7" t="s">
        <v>16846</v>
      </c>
      <c r="D6027" s="194">
        <v>2018.0</v>
      </c>
      <c r="E6027" s="193"/>
      <c r="F6027" s="195" t="s">
        <v>24941</v>
      </c>
      <c r="G6027" s="196">
        <v>1.7040355E8</v>
      </c>
      <c r="H6027" s="197">
        <v>11.5</v>
      </c>
      <c r="I6027" s="7" t="s">
        <v>16815</v>
      </c>
      <c r="J6027" s="7" t="s">
        <v>187</v>
      </c>
      <c r="K6027" s="7" t="s">
        <v>16846</v>
      </c>
      <c r="L6027" s="198" t="s">
        <v>65</v>
      </c>
      <c r="M6027" s="194"/>
      <c r="N6027" s="194"/>
    </row>
    <row r="6028">
      <c r="A6028" s="193" t="s">
        <v>24942</v>
      </c>
      <c r="B6028" s="7" t="s">
        <v>16582</v>
      </c>
      <c r="C6028" s="7" t="s">
        <v>17342</v>
      </c>
      <c r="D6028" s="194">
        <v>2019.0</v>
      </c>
      <c r="E6028" s="193"/>
      <c r="F6028" s="195" t="s">
        <v>24943</v>
      </c>
      <c r="G6028" s="196">
        <v>1.70155129E8</v>
      </c>
      <c r="H6028" s="197">
        <v>1.19</v>
      </c>
      <c r="I6028" s="7" t="s">
        <v>16815</v>
      </c>
      <c r="J6028" s="7" t="s">
        <v>16582</v>
      </c>
      <c r="K6028" s="7" t="s">
        <v>17342</v>
      </c>
      <c r="L6028" s="198" t="s">
        <v>65</v>
      </c>
      <c r="M6028" s="194"/>
      <c r="N6028" s="194"/>
    </row>
    <row r="6029">
      <c r="A6029" s="193" t="s">
        <v>24942</v>
      </c>
      <c r="B6029" s="7" t="s">
        <v>17342</v>
      </c>
      <c r="C6029" s="7" t="s">
        <v>16582</v>
      </c>
      <c r="D6029" s="194">
        <v>2019.0</v>
      </c>
      <c r="E6029" s="193"/>
      <c r="F6029" s="195" t="s">
        <v>24943</v>
      </c>
      <c r="G6029" s="200">
        <v>1.70155129E8</v>
      </c>
      <c r="H6029" s="197">
        <v>1.19</v>
      </c>
      <c r="I6029" s="7" t="s">
        <v>16815</v>
      </c>
      <c r="J6029" s="7" t="s">
        <v>17342</v>
      </c>
      <c r="K6029" s="7" t="s">
        <v>16582</v>
      </c>
      <c r="L6029" s="201" t="s">
        <v>16835</v>
      </c>
      <c r="M6029" s="194"/>
      <c r="N6029" s="194"/>
    </row>
    <row r="6030">
      <c r="A6030" s="193" t="s">
        <v>24944</v>
      </c>
      <c r="B6030" s="7" t="s">
        <v>187</v>
      </c>
      <c r="C6030" s="7" t="s">
        <v>16969</v>
      </c>
      <c r="D6030" s="194">
        <v>2020.0</v>
      </c>
      <c r="E6030" s="193"/>
      <c r="F6030" s="195" t="s">
        <v>24945</v>
      </c>
      <c r="G6030" s="196">
        <v>1.69990343E8</v>
      </c>
      <c r="H6030" s="197">
        <v>5.25</v>
      </c>
      <c r="I6030" s="7" t="s">
        <v>16815</v>
      </c>
      <c r="J6030" s="7" t="s">
        <v>187</v>
      </c>
      <c r="K6030" s="7" t="s">
        <v>16969</v>
      </c>
      <c r="L6030" s="198" t="s">
        <v>65</v>
      </c>
      <c r="M6030" s="194"/>
      <c r="N6030" s="194"/>
    </row>
    <row r="6031">
      <c r="A6031" s="193" t="s">
        <v>24946</v>
      </c>
      <c r="B6031" s="7" t="s">
        <v>175</v>
      </c>
      <c r="C6031" s="7" t="s">
        <v>16824</v>
      </c>
      <c r="D6031" s="194">
        <v>2015.0</v>
      </c>
      <c r="E6031" s="193"/>
      <c r="F6031" s="195" t="s">
        <v>24947</v>
      </c>
      <c r="G6031" s="196">
        <v>1.69933552E8</v>
      </c>
      <c r="H6031" s="197">
        <v>2.89</v>
      </c>
      <c r="I6031" s="7" t="s">
        <v>16908</v>
      </c>
      <c r="J6031" s="7" t="s">
        <v>175</v>
      </c>
      <c r="K6031" s="7" t="s">
        <v>16824</v>
      </c>
      <c r="L6031" s="198" t="s">
        <v>65</v>
      </c>
      <c r="M6031" s="194"/>
      <c r="N6031" s="194"/>
    </row>
    <row r="6032">
      <c r="A6032" s="193" t="s">
        <v>24948</v>
      </c>
      <c r="B6032" s="7" t="s">
        <v>16838</v>
      </c>
      <c r="C6032" s="7" t="s">
        <v>17016</v>
      </c>
      <c r="D6032" s="199"/>
      <c r="E6032" s="193"/>
      <c r="F6032" s="195" t="s">
        <v>24949</v>
      </c>
      <c r="G6032" s="196">
        <v>1.69832643E8</v>
      </c>
      <c r="H6032" s="197">
        <v>7.41</v>
      </c>
      <c r="I6032" s="7" t="s">
        <v>16815</v>
      </c>
      <c r="J6032" s="7" t="s">
        <v>16838</v>
      </c>
      <c r="K6032" s="7" t="s">
        <v>17016</v>
      </c>
      <c r="L6032" s="198" t="s">
        <v>65</v>
      </c>
      <c r="M6032" s="199"/>
      <c r="N6032" s="199"/>
    </row>
    <row r="6033">
      <c r="A6033" s="193" t="s">
        <v>24950</v>
      </c>
      <c r="B6033" s="7" t="s">
        <v>187</v>
      </c>
      <c r="C6033" s="7" t="s">
        <v>16846</v>
      </c>
      <c r="D6033" s="194">
        <v>2010.0</v>
      </c>
      <c r="E6033" s="193"/>
      <c r="F6033" s="195" t="s">
        <v>24951</v>
      </c>
      <c r="G6033" s="196">
        <v>1.69830565E8</v>
      </c>
      <c r="H6033" s="197">
        <v>3.24</v>
      </c>
      <c r="I6033" s="7" t="s">
        <v>16815</v>
      </c>
      <c r="J6033" s="7" t="s">
        <v>187</v>
      </c>
      <c r="K6033" s="7" t="s">
        <v>16846</v>
      </c>
      <c r="L6033" s="198" t="s">
        <v>65</v>
      </c>
      <c r="M6033" s="194"/>
      <c r="N6033" s="194"/>
    </row>
    <row r="6034">
      <c r="A6034" s="193" t="s">
        <v>24952</v>
      </c>
      <c r="B6034" s="7" t="s">
        <v>17112</v>
      </c>
      <c r="C6034" s="7" t="s">
        <v>16838</v>
      </c>
      <c r="D6034" s="194">
        <v>2013.0</v>
      </c>
      <c r="E6034" s="193"/>
      <c r="F6034" s="195" t="s">
        <v>24953</v>
      </c>
      <c r="G6034" s="200">
        <v>1.6960715E8</v>
      </c>
      <c r="H6034" s="197">
        <v>9.3</v>
      </c>
      <c r="I6034" s="7" t="s">
        <v>16815</v>
      </c>
      <c r="J6034" s="7" t="s">
        <v>17112</v>
      </c>
      <c r="K6034" s="7" t="s">
        <v>16838</v>
      </c>
      <c r="L6034" s="201" t="s">
        <v>16835</v>
      </c>
      <c r="M6034" s="194"/>
      <c r="N6034" s="194"/>
    </row>
    <row r="6035">
      <c r="A6035" s="193" t="s">
        <v>24952</v>
      </c>
      <c r="B6035" s="7" t="s">
        <v>16838</v>
      </c>
      <c r="C6035" s="7" t="s">
        <v>17112</v>
      </c>
      <c r="D6035" s="194">
        <v>2013.0</v>
      </c>
      <c r="E6035" s="193"/>
      <c r="F6035" s="195" t="s">
        <v>24953</v>
      </c>
      <c r="G6035" s="196">
        <v>1.6960715E8</v>
      </c>
      <c r="H6035" s="197">
        <v>9.3</v>
      </c>
      <c r="I6035" s="7" t="s">
        <v>16815</v>
      </c>
      <c r="J6035" s="7" t="s">
        <v>16838</v>
      </c>
      <c r="K6035" s="7" t="s">
        <v>17112</v>
      </c>
      <c r="L6035" s="198" t="s">
        <v>65</v>
      </c>
      <c r="M6035" s="194"/>
      <c r="N6035" s="194"/>
    </row>
    <row r="6036">
      <c r="A6036" s="193" t="s">
        <v>24954</v>
      </c>
      <c r="B6036" s="7" t="s">
        <v>16838</v>
      </c>
      <c r="C6036" s="7" t="s">
        <v>16867</v>
      </c>
      <c r="D6036" s="199"/>
      <c r="E6036" s="193"/>
      <c r="F6036" s="195" t="s">
        <v>24955</v>
      </c>
      <c r="G6036" s="196">
        <v>1.69243072E8</v>
      </c>
      <c r="H6036" s="197">
        <v>31.54</v>
      </c>
      <c r="I6036" s="7" t="s">
        <v>16815</v>
      </c>
      <c r="J6036" s="7" t="s">
        <v>16838</v>
      </c>
      <c r="K6036" s="7" t="s">
        <v>16867</v>
      </c>
      <c r="L6036" s="198" t="s">
        <v>65</v>
      </c>
      <c r="M6036" s="199"/>
      <c r="N6036" s="199"/>
    </row>
    <row r="6037">
      <c r="A6037" s="193" t="s">
        <v>24956</v>
      </c>
      <c r="B6037" s="7" t="s">
        <v>16838</v>
      </c>
      <c r="C6037" s="7" t="s">
        <v>16867</v>
      </c>
      <c r="D6037" s="199"/>
      <c r="E6037" s="193"/>
      <c r="F6037" s="195" t="s">
        <v>24957</v>
      </c>
      <c r="G6037" s="196">
        <v>1.68775775E8</v>
      </c>
      <c r="H6037" s="197">
        <v>22.39</v>
      </c>
      <c r="I6037" s="7" t="s">
        <v>16815</v>
      </c>
      <c r="J6037" s="7" t="s">
        <v>16838</v>
      </c>
      <c r="K6037" s="7" t="s">
        <v>16867</v>
      </c>
      <c r="L6037" s="198" t="s">
        <v>65</v>
      </c>
      <c r="M6037" s="199"/>
      <c r="N6037" s="199"/>
    </row>
    <row r="6038">
      <c r="A6038" s="193" t="s">
        <v>24958</v>
      </c>
      <c r="B6038" s="7" t="s">
        <v>175</v>
      </c>
      <c r="C6038" s="7" t="s">
        <v>17218</v>
      </c>
      <c r="D6038" s="194">
        <v>2021.0</v>
      </c>
      <c r="E6038" s="193"/>
      <c r="F6038" s="195" t="s">
        <v>24959</v>
      </c>
      <c r="G6038" s="196">
        <v>1.6849423E8</v>
      </c>
      <c r="H6038" s="197">
        <v>0.6501</v>
      </c>
      <c r="I6038" s="7" t="s">
        <v>16908</v>
      </c>
      <c r="J6038" s="7" t="s">
        <v>175</v>
      </c>
      <c r="K6038" s="7" t="s">
        <v>17218</v>
      </c>
      <c r="L6038" s="198" t="s">
        <v>65</v>
      </c>
      <c r="M6038" s="194"/>
      <c r="N6038" s="194"/>
    </row>
    <row r="6039">
      <c r="A6039" s="193" t="s">
        <v>24960</v>
      </c>
      <c r="B6039" s="7" t="s">
        <v>175</v>
      </c>
      <c r="C6039" s="7" t="s">
        <v>17318</v>
      </c>
      <c r="D6039" s="199"/>
      <c r="E6039" s="193"/>
      <c r="F6039" s="195" t="s">
        <v>24961</v>
      </c>
      <c r="G6039" s="196">
        <v>1.68359425E8</v>
      </c>
      <c r="H6039" s="197">
        <v>10.2</v>
      </c>
      <c r="I6039" s="7" t="s">
        <v>17242</v>
      </c>
      <c r="J6039" s="7" t="s">
        <v>175</v>
      </c>
      <c r="K6039" s="7" t="s">
        <v>17318</v>
      </c>
      <c r="L6039" s="198" t="s">
        <v>65</v>
      </c>
      <c r="M6039" s="199"/>
      <c r="N6039" s="199"/>
    </row>
    <row r="6040">
      <c r="A6040" s="193" t="s">
        <v>24962</v>
      </c>
      <c r="B6040" s="7" t="s">
        <v>187</v>
      </c>
      <c r="C6040" s="7" t="s">
        <v>16846</v>
      </c>
      <c r="D6040" s="194">
        <v>2014.0</v>
      </c>
      <c r="E6040" s="193"/>
      <c r="F6040" s="195" t="s">
        <v>24963</v>
      </c>
      <c r="G6040" s="196">
        <v>1.68231748E8</v>
      </c>
      <c r="H6040" s="197">
        <v>0.893</v>
      </c>
      <c r="I6040" s="7" t="s">
        <v>16815</v>
      </c>
      <c r="J6040" s="7" t="s">
        <v>187</v>
      </c>
      <c r="K6040" s="7" t="s">
        <v>16846</v>
      </c>
      <c r="L6040" s="198" t="s">
        <v>65</v>
      </c>
      <c r="M6040" s="194"/>
      <c r="N6040" s="194"/>
    </row>
    <row r="6041">
      <c r="A6041" s="193" t="s">
        <v>24964</v>
      </c>
      <c r="B6041" s="7" t="s">
        <v>175</v>
      </c>
      <c r="C6041" s="7" t="s">
        <v>16842</v>
      </c>
      <c r="D6041" s="194">
        <v>2018.0</v>
      </c>
      <c r="E6041" s="193"/>
      <c r="F6041" s="195" t="s">
        <v>24965</v>
      </c>
      <c r="G6041" s="196">
        <v>1.68145103E8</v>
      </c>
      <c r="H6041" s="197">
        <v>2.18</v>
      </c>
      <c r="I6041" s="7" t="s">
        <v>168</v>
      </c>
      <c r="J6041" s="7" t="s">
        <v>175</v>
      </c>
      <c r="K6041" s="7" t="s">
        <v>16842</v>
      </c>
      <c r="L6041" s="198" t="s">
        <v>65</v>
      </c>
      <c r="M6041" s="194"/>
      <c r="N6041" s="194"/>
    </row>
    <row r="6042">
      <c r="A6042" s="193" t="s">
        <v>24966</v>
      </c>
      <c r="B6042" s="7" t="s">
        <v>175</v>
      </c>
      <c r="C6042" s="7" t="s">
        <v>17321</v>
      </c>
      <c r="D6042" s="199"/>
      <c r="E6042" s="193"/>
      <c r="F6042" s="195" t="s">
        <v>24967</v>
      </c>
      <c r="G6042" s="196">
        <v>1.6782389E8</v>
      </c>
      <c r="H6042" s="197">
        <v>1.265</v>
      </c>
      <c r="I6042" s="7" t="s">
        <v>24968</v>
      </c>
      <c r="J6042" s="7" t="s">
        <v>175</v>
      </c>
      <c r="K6042" s="7" t="s">
        <v>17321</v>
      </c>
      <c r="L6042" s="198" t="s">
        <v>65</v>
      </c>
      <c r="M6042" s="199"/>
      <c r="N6042" s="199"/>
    </row>
    <row r="6043">
      <c r="A6043" s="193" t="s">
        <v>24969</v>
      </c>
      <c r="B6043" s="7" t="s">
        <v>17112</v>
      </c>
      <c r="C6043" s="7" t="s">
        <v>17111</v>
      </c>
      <c r="D6043" s="199"/>
      <c r="E6043" s="193"/>
      <c r="F6043" s="195" t="s">
        <v>24970</v>
      </c>
      <c r="G6043" s="196">
        <v>1.67687541E8</v>
      </c>
      <c r="H6043" s="197">
        <v>12.75</v>
      </c>
      <c r="I6043" s="7" t="s">
        <v>16815</v>
      </c>
      <c r="J6043" s="7" t="s">
        <v>17112</v>
      </c>
      <c r="K6043" s="7" t="s">
        <v>17111</v>
      </c>
      <c r="L6043" s="198" t="s">
        <v>65</v>
      </c>
      <c r="M6043" s="199"/>
      <c r="N6043" s="199"/>
    </row>
    <row r="6044">
      <c r="A6044" s="193" t="s">
        <v>24971</v>
      </c>
      <c r="B6044" s="7" t="s">
        <v>175</v>
      </c>
      <c r="C6044" s="7" t="s">
        <v>17233</v>
      </c>
      <c r="D6044" s="199"/>
      <c r="E6044" s="193"/>
      <c r="F6044" s="195" t="s">
        <v>24972</v>
      </c>
      <c r="G6044" s="196">
        <v>1.676792E8</v>
      </c>
      <c r="H6044" s="197">
        <v>23.92</v>
      </c>
      <c r="I6044" s="7" t="s">
        <v>16908</v>
      </c>
      <c r="J6044" s="7" t="s">
        <v>175</v>
      </c>
      <c r="K6044" s="7" t="s">
        <v>17233</v>
      </c>
      <c r="L6044" s="198" t="s">
        <v>65</v>
      </c>
      <c r="M6044" s="199"/>
      <c r="N6044" s="199"/>
    </row>
    <row r="6045">
      <c r="A6045" s="193" t="s">
        <v>24973</v>
      </c>
      <c r="B6045" s="7" t="s">
        <v>16582</v>
      </c>
      <c r="C6045" s="7" t="s">
        <v>16930</v>
      </c>
      <c r="D6045" s="199"/>
      <c r="E6045" s="193"/>
      <c r="F6045" s="195" t="s">
        <v>24974</v>
      </c>
      <c r="G6045" s="196">
        <v>1.67383466E8</v>
      </c>
      <c r="H6045" s="197">
        <v>10.4</v>
      </c>
      <c r="I6045" s="7" t="s">
        <v>16815</v>
      </c>
      <c r="J6045" s="7" t="s">
        <v>16582</v>
      </c>
      <c r="K6045" s="7" t="s">
        <v>16930</v>
      </c>
      <c r="L6045" s="198" t="s">
        <v>65</v>
      </c>
      <c r="M6045" s="199"/>
      <c r="N6045" s="199"/>
    </row>
    <row r="6046">
      <c r="A6046" s="193" t="s">
        <v>24975</v>
      </c>
      <c r="B6046" s="7" t="s">
        <v>16582</v>
      </c>
      <c r="C6046" s="7" t="s">
        <v>16930</v>
      </c>
      <c r="D6046" s="194">
        <v>2022.0</v>
      </c>
      <c r="E6046" s="193"/>
      <c r="F6046" s="195" t="s">
        <v>24976</v>
      </c>
      <c r="G6046" s="196">
        <v>1.67269471E8</v>
      </c>
      <c r="H6046" s="197">
        <v>1.3</v>
      </c>
      <c r="I6046" s="7" t="s">
        <v>16815</v>
      </c>
      <c r="J6046" s="7" t="s">
        <v>16582</v>
      </c>
      <c r="K6046" s="7" t="s">
        <v>16930</v>
      </c>
      <c r="L6046" s="198" t="s">
        <v>65</v>
      </c>
      <c r="M6046" s="194"/>
      <c r="N6046" s="194"/>
    </row>
    <row r="6047">
      <c r="A6047" s="193" t="s">
        <v>24975</v>
      </c>
      <c r="B6047" s="7" t="s">
        <v>16930</v>
      </c>
      <c r="C6047" s="7" t="s">
        <v>16582</v>
      </c>
      <c r="D6047" s="194">
        <v>2022.0</v>
      </c>
      <c r="E6047" s="193"/>
      <c r="F6047" s="195" t="s">
        <v>24976</v>
      </c>
      <c r="G6047" s="200">
        <v>1.67269471E8</v>
      </c>
      <c r="H6047" s="197">
        <v>1.3</v>
      </c>
      <c r="I6047" s="7" t="s">
        <v>16815</v>
      </c>
      <c r="J6047" s="7" t="s">
        <v>16930</v>
      </c>
      <c r="K6047" s="7" t="s">
        <v>16582</v>
      </c>
      <c r="L6047" s="201" t="s">
        <v>16835</v>
      </c>
      <c r="M6047" s="194"/>
      <c r="N6047" s="194"/>
    </row>
    <row r="6048">
      <c r="A6048" s="193" t="s">
        <v>24977</v>
      </c>
      <c r="B6048" s="7" t="s">
        <v>187</v>
      </c>
      <c r="C6048" s="7" t="s">
        <v>16846</v>
      </c>
      <c r="D6048" s="194">
        <v>2014.0</v>
      </c>
      <c r="E6048" s="193"/>
      <c r="F6048" s="195" t="s">
        <v>24978</v>
      </c>
      <c r="G6048" s="196">
        <v>1.67176208E8</v>
      </c>
      <c r="H6048" s="197">
        <v>2.105</v>
      </c>
      <c r="I6048" s="7" t="s">
        <v>16815</v>
      </c>
      <c r="J6048" s="7" t="s">
        <v>187</v>
      </c>
      <c r="K6048" s="7" t="s">
        <v>16846</v>
      </c>
      <c r="L6048" s="198" t="s">
        <v>65</v>
      </c>
      <c r="M6048" s="194"/>
      <c r="N6048" s="194"/>
    </row>
    <row r="6049">
      <c r="A6049" s="193" t="s">
        <v>24979</v>
      </c>
      <c r="B6049" s="7" t="s">
        <v>16838</v>
      </c>
      <c r="C6049" s="7" t="s">
        <v>17002</v>
      </c>
      <c r="D6049" s="194">
        <v>2016.0</v>
      </c>
      <c r="E6049" s="193"/>
      <c r="F6049" s="195" t="s">
        <v>24980</v>
      </c>
      <c r="G6049" s="196">
        <v>1.67098803E8</v>
      </c>
      <c r="H6049" s="197">
        <v>1.88</v>
      </c>
      <c r="I6049" s="7" t="s">
        <v>16815</v>
      </c>
      <c r="J6049" s="7" t="s">
        <v>16838</v>
      </c>
      <c r="K6049" s="7" t="s">
        <v>17002</v>
      </c>
      <c r="L6049" s="198" t="s">
        <v>65</v>
      </c>
      <c r="M6049" s="194"/>
      <c r="N6049" s="194"/>
    </row>
    <row r="6050">
      <c r="A6050" s="193" t="s">
        <v>24979</v>
      </c>
      <c r="B6050" s="7" t="s">
        <v>17002</v>
      </c>
      <c r="C6050" s="7" t="s">
        <v>16838</v>
      </c>
      <c r="D6050" s="194">
        <v>2016.0</v>
      </c>
      <c r="E6050" s="193"/>
      <c r="F6050" s="195" t="s">
        <v>24980</v>
      </c>
      <c r="G6050" s="200">
        <v>1.67098803E8</v>
      </c>
      <c r="H6050" s="197">
        <v>1.88</v>
      </c>
      <c r="I6050" s="7" t="s">
        <v>16815</v>
      </c>
      <c r="J6050" s="7" t="s">
        <v>17002</v>
      </c>
      <c r="K6050" s="7" t="s">
        <v>16838</v>
      </c>
      <c r="L6050" s="201" t="s">
        <v>16835</v>
      </c>
      <c r="M6050" s="194"/>
      <c r="N6050" s="194"/>
    </row>
    <row r="6051">
      <c r="A6051" s="193" t="s">
        <v>24981</v>
      </c>
      <c r="B6051" s="7" t="s">
        <v>16838</v>
      </c>
      <c r="C6051" s="7" t="s">
        <v>17112</v>
      </c>
      <c r="D6051" s="199"/>
      <c r="E6051" s="193"/>
      <c r="F6051" s="195" t="s">
        <v>24982</v>
      </c>
      <c r="G6051" s="196">
        <v>1.66920574E8</v>
      </c>
      <c r="H6051" s="197">
        <v>0.2813</v>
      </c>
      <c r="I6051" s="7" t="s">
        <v>16815</v>
      </c>
      <c r="J6051" s="7" t="s">
        <v>16838</v>
      </c>
      <c r="K6051" s="7" t="s">
        <v>17112</v>
      </c>
      <c r="L6051" s="198" t="s">
        <v>65</v>
      </c>
      <c r="M6051" s="199"/>
      <c r="N6051" s="199"/>
    </row>
    <row r="6052">
      <c r="A6052" s="193" t="s">
        <v>24983</v>
      </c>
      <c r="B6052" s="7" t="s">
        <v>16582</v>
      </c>
      <c r="C6052" s="7" t="s">
        <v>16828</v>
      </c>
      <c r="D6052" s="194">
        <v>1992.0</v>
      </c>
      <c r="E6052" s="193"/>
      <c r="F6052" s="195" t="s">
        <v>24984</v>
      </c>
      <c r="G6052" s="196">
        <v>1.6687092E8</v>
      </c>
      <c r="H6052" s="197">
        <v>1.46</v>
      </c>
      <c r="I6052" s="7" t="s">
        <v>16815</v>
      </c>
      <c r="J6052" s="7" t="s">
        <v>16582</v>
      </c>
      <c r="K6052" s="7" t="s">
        <v>16828</v>
      </c>
      <c r="L6052" s="198" t="s">
        <v>65</v>
      </c>
      <c r="M6052" s="194"/>
      <c r="N6052" s="194"/>
    </row>
    <row r="6053">
      <c r="A6053" s="193" t="s">
        <v>24985</v>
      </c>
      <c r="B6053" s="7" t="s">
        <v>17202</v>
      </c>
      <c r="C6053" s="7" t="s">
        <v>16838</v>
      </c>
      <c r="D6053" s="194">
        <v>2016.0</v>
      </c>
      <c r="E6053" s="193"/>
      <c r="F6053" s="195" t="s">
        <v>24986</v>
      </c>
      <c r="G6053" s="200">
        <v>1.66804062E8</v>
      </c>
      <c r="H6053" s="197">
        <v>6.91</v>
      </c>
      <c r="I6053" s="7" t="s">
        <v>16815</v>
      </c>
      <c r="J6053" s="7" t="s">
        <v>17202</v>
      </c>
      <c r="K6053" s="7" t="s">
        <v>16838</v>
      </c>
      <c r="L6053" s="201" t="s">
        <v>16835</v>
      </c>
      <c r="M6053" s="194"/>
      <c r="N6053" s="194"/>
    </row>
    <row r="6054">
      <c r="A6054" s="193" t="s">
        <v>24985</v>
      </c>
      <c r="B6054" s="7" t="s">
        <v>16838</v>
      </c>
      <c r="C6054" s="7" t="s">
        <v>17202</v>
      </c>
      <c r="D6054" s="194">
        <v>2016.0</v>
      </c>
      <c r="E6054" s="193"/>
      <c r="F6054" s="195" t="s">
        <v>24986</v>
      </c>
      <c r="G6054" s="196">
        <v>1.66804062E8</v>
      </c>
      <c r="H6054" s="197">
        <v>6.91</v>
      </c>
      <c r="I6054" s="7" t="s">
        <v>16815</v>
      </c>
      <c r="J6054" s="7" t="s">
        <v>16838</v>
      </c>
      <c r="K6054" s="7" t="s">
        <v>17202</v>
      </c>
      <c r="L6054" s="198" t="s">
        <v>65</v>
      </c>
      <c r="M6054" s="194"/>
      <c r="N6054" s="194"/>
    </row>
    <row r="6055">
      <c r="A6055" s="193" t="s">
        <v>24987</v>
      </c>
      <c r="B6055" s="7" t="s">
        <v>187</v>
      </c>
      <c r="C6055" s="7" t="s">
        <v>16846</v>
      </c>
      <c r="D6055" s="199"/>
      <c r="E6055" s="193"/>
      <c r="F6055" s="195" t="s">
        <v>24988</v>
      </c>
      <c r="G6055" s="196">
        <v>1.66499662E8</v>
      </c>
      <c r="H6055" s="197">
        <v>3.5</v>
      </c>
      <c r="I6055" s="7" t="s">
        <v>16815</v>
      </c>
      <c r="J6055" s="7" t="s">
        <v>187</v>
      </c>
      <c r="K6055" s="7" t="s">
        <v>16846</v>
      </c>
      <c r="L6055" s="198" t="s">
        <v>65</v>
      </c>
      <c r="M6055" s="199"/>
      <c r="N6055" s="199"/>
    </row>
    <row r="6056">
      <c r="A6056" s="193" t="s">
        <v>24989</v>
      </c>
      <c r="B6056" s="7" t="s">
        <v>175</v>
      </c>
      <c r="C6056" s="7" t="s">
        <v>17350</v>
      </c>
      <c r="D6056" s="199"/>
      <c r="E6056" s="193"/>
      <c r="F6056" s="195" t="s">
        <v>24990</v>
      </c>
      <c r="G6056" s="196">
        <v>1.66364564E8</v>
      </c>
      <c r="H6056" s="197">
        <v>8.49</v>
      </c>
      <c r="I6056" s="7" t="s">
        <v>168</v>
      </c>
      <c r="J6056" s="7" t="s">
        <v>175</v>
      </c>
      <c r="K6056" s="7" t="s">
        <v>17350</v>
      </c>
      <c r="L6056" s="198" t="s">
        <v>65</v>
      </c>
      <c r="M6056" s="199"/>
      <c r="N6056" s="199"/>
    </row>
    <row r="6057">
      <c r="A6057" s="193" t="s">
        <v>24991</v>
      </c>
      <c r="B6057" s="7" t="s">
        <v>17111</v>
      </c>
      <c r="C6057" s="7" t="s">
        <v>17112</v>
      </c>
      <c r="D6057" s="194">
        <v>2014.0</v>
      </c>
      <c r="E6057" s="193"/>
      <c r="F6057" s="195" t="s">
        <v>24992</v>
      </c>
      <c r="G6057" s="200">
        <v>1.65744572E8</v>
      </c>
      <c r="H6057" s="197">
        <v>4.15</v>
      </c>
      <c r="I6057" s="7" t="s">
        <v>16815</v>
      </c>
      <c r="J6057" s="7" t="s">
        <v>17111</v>
      </c>
      <c r="K6057" s="7" t="s">
        <v>17112</v>
      </c>
      <c r="L6057" s="201" t="s">
        <v>16835</v>
      </c>
      <c r="M6057" s="194"/>
      <c r="N6057" s="194"/>
    </row>
    <row r="6058">
      <c r="A6058" s="193" t="s">
        <v>24991</v>
      </c>
      <c r="B6058" s="7" t="s">
        <v>17112</v>
      </c>
      <c r="C6058" s="7" t="s">
        <v>17111</v>
      </c>
      <c r="D6058" s="194">
        <v>2014.0</v>
      </c>
      <c r="E6058" s="193"/>
      <c r="F6058" s="195" t="s">
        <v>24992</v>
      </c>
      <c r="G6058" s="196">
        <v>1.65744572E8</v>
      </c>
      <c r="H6058" s="197">
        <v>4.15</v>
      </c>
      <c r="I6058" s="7" t="s">
        <v>16815</v>
      </c>
      <c r="J6058" s="7" t="s">
        <v>17112</v>
      </c>
      <c r="K6058" s="7" t="s">
        <v>17111</v>
      </c>
      <c r="L6058" s="198" t="s">
        <v>65</v>
      </c>
      <c r="M6058" s="194"/>
      <c r="N6058" s="194"/>
    </row>
    <row r="6059">
      <c r="A6059" s="193" t="s">
        <v>24993</v>
      </c>
      <c r="B6059" s="7" t="s">
        <v>16885</v>
      </c>
      <c r="C6059" s="7" t="s">
        <v>20119</v>
      </c>
      <c r="D6059" s="199"/>
      <c r="E6059" s="193"/>
      <c r="F6059" s="195" t="s">
        <v>24994</v>
      </c>
      <c r="G6059" s="196">
        <v>1.65658603E8</v>
      </c>
      <c r="H6059" s="197">
        <v>2.72</v>
      </c>
      <c r="I6059" s="7" t="s">
        <v>16826</v>
      </c>
      <c r="J6059" s="7" t="s">
        <v>16885</v>
      </c>
      <c r="K6059" s="7" t="s">
        <v>20119</v>
      </c>
      <c r="L6059" s="198" t="s">
        <v>65</v>
      </c>
      <c r="M6059" s="199"/>
      <c r="N6059" s="199"/>
    </row>
    <row r="6060">
      <c r="A6060" s="193" t="s">
        <v>24993</v>
      </c>
      <c r="B6060" s="7" t="s">
        <v>20119</v>
      </c>
      <c r="C6060" s="7" t="s">
        <v>16885</v>
      </c>
      <c r="D6060" s="199"/>
      <c r="E6060" s="193"/>
      <c r="F6060" s="195" t="s">
        <v>24994</v>
      </c>
      <c r="G6060" s="200">
        <v>1.65658603E8</v>
      </c>
      <c r="H6060" s="197">
        <v>2.72</v>
      </c>
      <c r="I6060" s="7" t="s">
        <v>16815</v>
      </c>
      <c r="J6060" s="7" t="s">
        <v>20119</v>
      </c>
      <c r="K6060" s="7" t="s">
        <v>16885</v>
      </c>
      <c r="L6060" s="201" t="s">
        <v>16835</v>
      </c>
      <c r="M6060" s="199"/>
      <c r="N6060" s="199"/>
    </row>
    <row r="6061">
      <c r="A6061" s="193" t="s">
        <v>24995</v>
      </c>
      <c r="B6061" s="7" t="s">
        <v>16838</v>
      </c>
      <c r="C6061" s="7" t="s">
        <v>18956</v>
      </c>
      <c r="D6061" s="194">
        <v>2015.0</v>
      </c>
      <c r="E6061" s="193"/>
      <c r="F6061" s="195" t="s">
        <v>24996</v>
      </c>
      <c r="G6061" s="196">
        <v>1.65361482E8</v>
      </c>
      <c r="H6061" s="197">
        <v>9.35</v>
      </c>
      <c r="I6061" s="7" t="s">
        <v>16815</v>
      </c>
      <c r="J6061" s="7" t="s">
        <v>16838</v>
      </c>
      <c r="K6061" s="7" t="s">
        <v>18956</v>
      </c>
      <c r="L6061" s="198" t="s">
        <v>65</v>
      </c>
      <c r="M6061" s="194"/>
      <c r="N6061" s="194"/>
    </row>
    <row r="6062">
      <c r="A6062" s="193" t="s">
        <v>24997</v>
      </c>
      <c r="B6062" s="7" t="s">
        <v>16838</v>
      </c>
      <c r="C6062" s="7" t="s">
        <v>18956</v>
      </c>
      <c r="D6062" s="194">
        <v>2007.0</v>
      </c>
      <c r="E6062" s="193"/>
      <c r="F6062" s="195" t="s">
        <v>24998</v>
      </c>
      <c r="G6062" s="196">
        <v>1.65275147E8</v>
      </c>
      <c r="H6062" s="197">
        <v>15.89</v>
      </c>
      <c r="I6062" s="7" t="s">
        <v>16815</v>
      </c>
      <c r="J6062" s="7" t="s">
        <v>16838</v>
      </c>
      <c r="K6062" s="7" t="s">
        <v>18956</v>
      </c>
      <c r="L6062" s="198" t="s">
        <v>65</v>
      </c>
      <c r="M6062" s="194"/>
      <c r="N6062" s="194"/>
    </row>
    <row r="6063">
      <c r="A6063" s="193" t="s">
        <v>24999</v>
      </c>
      <c r="B6063" s="7" t="s">
        <v>16838</v>
      </c>
      <c r="C6063" s="7" t="s">
        <v>17347</v>
      </c>
      <c r="D6063" s="194">
        <v>2019.0</v>
      </c>
      <c r="E6063" s="193"/>
      <c r="F6063" s="195" t="s">
        <v>25000</v>
      </c>
      <c r="G6063" s="196">
        <v>1.651125E8</v>
      </c>
      <c r="H6063" s="197">
        <v>11.1</v>
      </c>
      <c r="I6063" s="7" t="s">
        <v>16815</v>
      </c>
      <c r="J6063" s="7" t="s">
        <v>16838</v>
      </c>
      <c r="K6063" s="7" t="s">
        <v>17347</v>
      </c>
      <c r="L6063" s="198" t="s">
        <v>65</v>
      </c>
      <c r="M6063" s="194"/>
      <c r="N6063" s="194"/>
    </row>
    <row r="6064">
      <c r="A6064" s="193" t="s">
        <v>25001</v>
      </c>
      <c r="B6064" s="7" t="s">
        <v>187</v>
      </c>
      <c r="C6064" s="7" t="s">
        <v>16992</v>
      </c>
      <c r="D6064" s="194">
        <v>2020.0</v>
      </c>
      <c r="E6064" s="193"/>
      <c r="F6064" s="195" t="s">
        <v>25002</v>
      </c>
      <c r="G6064" s="196">
        <v>1.65026206E8</v>
      </c>
      <c r="H6064" s="197">
        <v>3.01</v>
      </c>
      <c r="I6064" s="7" t="s">
        <v>16815</v>
      </c>
      <c r="J6064" s="7" t="s">
        <v>187</v>
      </c>
      <c r="K6064" s="7" t="s">
        <v>16992</v>
      </c>
      <c r="L6064" s="198" t="s">
        <v>65</v>
      </c>
      <c r="M6064" s="194"/>
      <c r="N6064" s="194"/>
    </row>
    <row r="6065">
      <c r="A6065" s="193" t="s">
        <v>25003</v>
      </c>
      <c r="B6065" s="7" t="s">
        <v>16838</v>
      </c>
      <c r="C6065" s="7" t="s">
        <v>17112</v>
      </c>
      <c r="D6065" s="194">
        <v>2022.0</v>
      </c>
      <c r="E6065" s="193"/>
      <c r="F6065" s="195" t="s">
        <v>25004</v>
      </c>
      <c r="G6065" s="196">
        <v>1.65026131E8</v>
      </c>
      <c r="H6065" s="197">
        <v>4.48</v>
      </c>
      <c r="I6065" s="7" t="s">
        <v>16815</v>
      </c>
      <c r="J6065" s="7" t="s">
        <v>16838</v>
      </c>
      <c r="K6065" s="7" t="s">
        <v>17112</v>
      </c>
      <c r="L6065" s="198" t="s">
        <v>65</v>
      </c>
      <c r="M6065" s="194"/>
      <c r="N6065" s="194"/>
    </row>
    <row r="6066">
      <c r="A6066" s="193" t="s">
        <v>25005</v>
      </c>
      <c r="B6066" s="7" t="s">
        <v>187</v>
      </c>
      <c r="C6066" s="7" t="s">
        <v>16846</v>
      </c>
      <c r="D6066" s="194">
        <v>2015.0</v>
      </c>
      <c r="E6066" s="193"/>
      <c r="F6066" s="195" t="s">
        <v>25006</v>
      </c>
      <c r="G6066" s="196">
        <v>1.64836124E8</v>
      </c>
      <c r="H6066" s="197">
        <v>5.34</v>
      </c>
      <c r="I6066" s="7" t="s">
        <v>16815</v>
      </c>
      <c r="J6066" s="7" t="s">
        <v>187</v>
      </c>
      <c r="K6066" s="7" t="s">
        <v>16846</v>
      </c>
      <c r="L6066" s="198" t="s">
        <v>65</v>
      </c>
      <c r="M6066" s="194"/>
      <c r="N6066" s="194"/>
    </row>
    <row r="6067">
      <c r="A6067" s="193" t="s">
        <v>25007</v>
      </c>
      <c r="B6067" s="7" t="s">
        <v>16582</v>
      </c>
      <c r="C6067" s="7" t="s">
        <v>17342</v>
      </c>
      <c r="D6067" s="199"/>
      <c r="E6067" s="193"/>
      <c r="F6067" s="195" t="s">
        <v>25008</v>
      </c>
      <c r="G6067" s="196">
        <v>1.6336358E8</v>
      </c>
      <c r="H6067" s="197">
        <v>2.58</v>
      </c>
      <c r="I6067" s="7" t="s">
        <v>16815</v>
      </c>
      <c r="J6067" s="7" t="s">
        <v>16582</v>
      </c>
      <c r="K6067" s="7" t="s">
        <v>17342</v>
      </c>
      <c r="L6067" s="198" t="s">
        <v>65</v>
      </c>
      <c r="M6067" s="199"/>
      <c r="N6067" s="199"/>
    </row>
    <row r="6068">
      <c r="A6068" s="193" t="s">
        <v>25009</v>
      </c>
      <c r="B6068" s="7" t="s">
        <v>16838</v>
      </c>
      <c r="C6068" s="7" t="s">
        <v>18679</v>
      </c>
      <c r="D6068" s="194">
        <v>2006.0</v>
      </c>
      <c r="E6068" s="193"/>
      <c r="F6068" s="195" t="s">
        <v>25010</v>
      </c>
      <c r="G6068" s="196">
        <v>1.62395082E8</v>
      </c>
      <c r="H6068" s="197">
        <v>17.19</v>
      </c>
      <c r="I6068" s="7" t="s">
        <v>16815</v>
      </c>
      <c r="J6068" s="7" t="s">
        <v>16838</v>
      </c>
      <c r="K6068" s="7" t="s">
        <v>18679</v>
      </c>
      <c r="L6068" s="198" t="s">
        <v>65</v>
      </c>
      <c r="M6068" s="194"/>
      <c r="N6068" s="194"/>
    </row>
    <row r="6069">
      <c r="A6069" s="193" t="s">
        <v>25011</v>
      </c>
      <c r="B6069" s="7" t="s">
        <v>16838</v>
      </c>
      <c r="C6069" s="7" t="s">
        <v>18219</v>
      </c>
      <c r="D6069" s="194">
        <v>2022.0</v>
      </c>
      <c r="E6069" s="193"/>
      <c r="F6069" s="195" t="s">
        <v>25012</v>
      </c>
      <c r="G6069" s="196">
        <v>1.62280536E8</v>
      </c>
      <c r="H6069" s="197">
        <v>10.6699</v>
      </c>
      <c r="I6069" s="7" t="s">
        <v>16815</v>
      </c>
      <c r="J6069" s="7" t="s">
        <v>16838</v>
      </c>
      <c r="K6069" s="7" t="s">
        <v>18219</v>
      </c>
      <c r="L6069" s="198" t="s">
        <v>65</v>
      </c>
      <c r="M6069" s="194"/>
      <c r="N6069" s="194"/>
    </row>
    <row r="6070">
      <c r="A6070" s="193" t="s">
        <v>25011</v>
      </c>
      <c r="B6070" s="202" t="s">
        <v>18219</v>
      </c>
      <c r="C6070" s="193" t="s">
        <v>16838</v>
      </c>
      <c r="D6070" s="193">
        <v>2022.0</v>
      </c>
      <c r="E6070" s="193"/>
      <c r="F6070" s="203" t="s">
        <v>25012</v>
      </c>
      <c r="G6070" s="200">
        <v>1.62280536E8</v>
      </c>
      <c r="H6070" s="205">
        <v>12.1</v>
      </c>
      <c r="J6070" s="202" t="s">
        <v>18219</v>
      </c>
      <c r="K6070" s="193" t="s">
        <v>16838</v>
      </c>
      <c r="L6070" s="193" t="s">
        <v>17471</v>
      </c>
      <c r="M6070" s="193"/>
      <c r="N6070" s="193"/>
    </row>
    <row r="6071">
      <c r="A6071" s="193" t="s">
        <v>25013</v>
      </c>
      <c r="B6071" s="7" t="s">
        <v>16582</v>
      </c>
      <c r="C6071" s="7" t="s">
        <v>16828</v>
      </c>
      <c r="D6071" s="194">
        <v>2021.0</v>
      </c>
      <c r="E6071" s="193"/>
      <c r="F6071" s="195" t="s">
        <v>25014</v>
      </c>
      <c r="G6071" s="196">
        <v>1.62159285E8</v>
      </c>
      <c r="H6071" s="197">
        <v>4.4</v>
      </c>
      <c r="I6071" s="7" t="s">
        <v>16815</v>
      </c>
      <c r="J6071" s="7" t="s">
        <v>16582</v>
      </c>
      <c r="K6071" s="7" t="s">
        <v>16828</v>
      </c>
      <c r="L6071" s="198" t="s">
        <v>65</v>
      </c>
      <c r="M6071" s="194"/>
      <c r="N6071" s="194"/>
    </row>
    <row r="6072">
      <c r="A6072" s="193" t="s">
        <v>25015</v>
      </c>
      <c r="B6072" s="7" t="s">
        <v>187</v>
      </c>
      <c r="C6072" s="7" t="s">
        <v>16858</v>
      </c>
      <c r="D6072" s="194">
        <v>2020.0</v>
      </c>
      <c r="E6072" s="193"/>
      <c r="F6072" s="195" t="s">
        <v>25016</v>
      </c>
      <c r="G6072" s="196">
        <v>1.61969937E8</v>
      </c>
      <c r="H6072" s="197">
        <v>1.42</v>
      </c>
      <c r="I6072" s="7" t="s">
        <v>16815</v>
      </c>
      <c r="J6072" s="7" t="s">
        <v>187</v>
      </c>
      <c r="K6072" s="7" t="s">
        <v>16858</v>
      </c>
      <c r="L6072" s="198" t="s">
        <v>65</v>
      </c>
      <c r="M6072" s="194"/>
      <c r="N6072" s="194"/>
    </row>
    <row r="6073">
      <c r="A6073" s="193" t="s">
        <v>25017</v>
      </c>
      <c r="B6073" s="7" t="s">
        <v>187</v>
      </c>
      <c r="C6073" s="7" t="s">
        <v>16846</v>
      </c>
      <c r="D6073" s="194">
        <v>2020.0</v>
      </c>
      <c r="E6073" s="193"/>
      <c r="F6073" s="195" t="s">
        <v>25018</v>
      </c>
      <c r="G6073" s="196">
        <v>1.61642673E8</v>
      </c>
      <c r="H6073" s="197">
        <v>3.84</v>
      </c>
      <c r="I6073" s="7" t="s">
        <v>16815</v>
      </c>
      <c r="J6073" s="7" t="s">
        <v>187</v>
      </c>
      <c r="K6073" s="7" t="s">
        <v>16846</v>
      </c>
      <c r="L6073" s="198" t="s">
        <v>65</v>
      </c>
      <c r="M6073" s="194"/>
      <c r="N6073" s="194"/>
    </row>
    <row r="6074">
      <c r="A6074" s="193" t="s">
        <v>25019</v>
      </c>
      <c r="B6074" s="7" t="s">
        <v>187</v>
      </c>
      <c r="C6074" s="7" t="s">
        <v>16858</v>
      </c>
      <c r="D6074" s="194">
        <v>2019.0</v>
      </c>
      <c r="E6074" s="193"/>
      <c r="F6074" s="195" t="s">
        <v>25020</v>
      </c>
      <c r="G6074" s="196">
        <v>1.61604883E8</v>
      </c>
      <c r="H6074" s="197">
        <v>3.2428</v>
      </c>
      <c r="I6074" s="7" t="s">
        <v>16815</v>
      </c>
      <c r="J6074" s="7" t="s">
        <v>187</v>
      </c>
      <c r="K6074" s="7" t="s">
        <v>16858</v>
      </c>
      <c r="L6074" s="198" t="s">
        <v>65</v>
      </c>
      <c r="M6074" s="194"/>
      <c r="N6074" s="194"/>
    </row>
    <row r="6075">
      <c r="A6075" s="193" t="s">
        <v>25021</v>
      </c>
      <c r="B6075" s="7" t="s">
        <v>17112</v>
      </c>
      <c r="C6075" s="7" t="s">
        <v>17111</v>
      </c>
      <c r="D6075" s="199"/>
      <c r="E6075" s="193"/>
      <c r="F6075" s="195" t="s">
        <v>25022</v>
      </c>
      <c r="G6075" s="196">
        <v>1.61444369E8</v>
      </c>
      <c r="H6075" s="197">
        <v>10.9</v>
      </c>
      <c r="I6075" s="7" t="s">
        <v>16815</v>
      </c>
      <c r="J6075" s="7" t="s">
        <v>17112</v>
      </c>
      <c r="K6075" s="7" t="s">
        <v>17111</v>
      </c>
      <c r="L6075" s="198" t="s">
        <v>65</v>
      </c>
      <c r="M6075" s="199"/>
      <c r="N6075" s="199"/>
    </row>
    <row r="6076">
      <c r="A6076" s="193" t="s">
        <v>25023</v>
      </c>
      <c r="B6076" s="7" t="s">
        <v>175</v>
      </c>
      <c r="C6076" s="7" t="s">
        <v>16975</v>
      </c>
      <c r="D6076" s="194">
        <v>1993.0</v>
      </c>
      <c r="E6076" s="193"/>
      <c r="F6076" s="195" t="s">
        <v>25024</v>
      </c>
      <c r="G6076" s="196">
        <v>1.61426899E8</v>
      </c>
      <c r="H6076" s="197">
        <v>21.88</v>
      </c>
      <c r="I6076" s="7" t="s">
        <v>18432</v>
      </c>
      <c r="J6076" s="7" t="s">
        <v>175</v>
      </c>
      <c r="K6076" s="7" t="s">
        <v>16975</v>
      </c>
      <c r="L6076" s="198" t="s">
        <v>65</v>
      </c>
      <c r="M6076" s="194"/>
      <c r="N6076" s="194"/>
    </row>
    <row r="6077">
      <c r="A6077" s="193" t="s">
        <v>25025</v>
      </c>
      <c r="B6077" s="7" t="s">
        <v>187</v>
      </c>
      <c r="C6077" s="7" t="s">
        <v>16846</v>
      </c>
      <c r="D6077" s="194">
        <v>2012.0</v>
      </c>
      <c r="E6077" s="193"/>
      <c r="F6077" s="195" t="s">
        <v>25026</v>
      </c>
      <c r="G6077" s="196">
        <v>1.61206242E8</v>
      </c>
      <c r="H6077" s="197">
        <v>6.38</v>
      </c>
      <c r="I6077" s="7" t="s">
        <v>16815</v>
      </c>
      <c r="J6077" s="7" t="s">
        <v>187</v>
      </c>
      <c r="K6077" s="7" t="s">
        <v>16846</v>
      </c>
      <c r="L6077" s="198" t="s">
        <v>65</v>
      </c>
      <c r="M6077" s="194"/>
      <c r="N6077" s="194"/>
    </row>
    <row r="6078">
      <c r="A6078" s="193" t="s">
        <v>25027</v>
      </c>
      <c r="B6078" s="7" t="s">
        <v>16838</v>
      </c>
      <c r="C6078" s="7" t="s">
        <v>16867</v>
      </c>
      <c r="D6078" s="199"/>
      <c r="E6078" s="193"/>
      <c r="F6078" s="195" t="s">
        <v>25028</v>
      </c>
      <c r="G6078" s="196">
        <v>1.61076563E8</v>
      </c>
      <c r="H6078" s="197">
        <v>14.48</v>
      </c>
      <c r="I6078" s="7" t="s">
        <v>16815</v>
      </c>
      <c r="J6078" s="7" t="s">
        <v>16838</v>
      </c>
      <c r="K6078" s="7" t="s">
        <v>16867</v>
      </c>
      <c r="L6078" s="198" t="s">
        <v>65</v>
      </c>
      <c r="M6078" s="199"/>
      <c r="N6078" s="199"/>
    </row>
    <row r="6079">
      <c r="A6079" s="193" t="s">
        <v>25029</v>
      </c>
      <c r="B6079" s="7" t="s">
        <v>158</v>
      </c>
      <c r="C6079" s="7" t="s">
        <v>17171</v>
      </c>
      <c r="D6079" s="199"/>
      <c r="E6079" s="193"/>
      <c r="F6079" s="195" t="s">
        <v>25030</v>
      </c>
      <c r="G6079" s="196">
        <v>1.60956908E8</v>
      </c>
      <c r="H6079" s="197">
        <v>9.81</v>
      </c>
      <c r="I6079" s="7" t="s">
        <v>17098</v>
      </c>
      <c r="J6079" s="7" t="s">
        <v>158</v>
      </c>
      <c r="K6079" s="7" t="s">
        <v>17171</v>
      </c>
      <c r="L6079" s="198" t="s">
        <v>65</v>
      </c>
      <c r="M6079" s="199"/>
      <c r="N6079" s="199"/>
    </row>
    <row r="6080">
      <c r="A6080" s="193" t="s">
        <v>25031</v>
      </c>
      <c r="B6080" s="7" t="s">
        <v>175</v>
      </c>
      <c r="C6080" s="7" t="s">
        <v>17168</v>
      </c>
      <c r="D6080" s="199"/>
      <c r="E6080" s="193"/>
      <c r="F6080" s="195" t="s">
        <v>25032</v>
      </c>
      <c r="G6080" s="196">
        <v>1.60786249E8</v>
      </c>
      <c r="H6080" s="197">
        <v>4.65</v>
      </c>
      <c r="I6080" s="7" t="s">
        <v>16908</v>
      </c>
      <c r="J6080" s="7" t="s">
        <v>175</v>
      </c>
      <c r="K6080" s="7" t="s">
        <v>17168</v>
      </c>
      <c r="L6080" s="198" t="s">
        <v>65</v>
      </c>
      <c r="M6080" s="199"/>
      <c r="N6080" s="199"/>
    </row>
    <row r="6081">
      <c r="A6081" s="193" t="s">
        <v>25033</v>
      </c>
      <c r="B6081" s="7" t="s">
        <v>16582</v>
      </c>
      <c r="C6081" s="7" t="s">
        <v>16583</v>
      </c>
      <c r="D6081" s="199"/>
      <c r="E6081" s="193"/>
      <c r="F6081" s="195" t="s">
        <v>25034</v>
      </c>
      <c r="G6081" s="196">
        <v>1.60557359E8</v>
      </c>
      <c r="H6081" s="197">
        <v>0.4675</v>
      </c>
      <c r="I6081" s="7" t="s">
        <v>16815</v>
      </c>
      <c r="J6081" s="7" t="s">
        <v>16582</v>
      </c>
      <c r="K6081" s="7" t="s">
        <v>16583</v>
      </c>
      <c r="L6081" s="198" t="s">
        <v>65</v>
      </c>
      <c r="M6081" s="199"/>
      <c r="N6081" s="199"/>
    </row>
    <row r="6082">
      <c r="A6082" s="193" t="s">
        <v>25035</v>
      </c>
      <c r="B6082" s="7" t="s">
        <v>17057</v>
      </c>
      <c r="C6082" s="7" t="s">
        <v>169</v>
      </c>
      <c r="D6082" s="199"/>
      <c r="E6082" s="193"/>
      <c r="F6082" s="195" t="s">
        <v>25036</v>
      </c>
      <c r="G6082" s="200">
        <v>1.60181172E8</v>
      </c>
      <c r="H6082" s="197">
        <v>4.93</v>
      </c>
      <c r="I6082" s="7" t="s">
        <v>16815</v>
      </c>
      <c r="J6082" s="7" t="s">
        <v>17057</v>
      </c>
      <c r="K6082" s="7" t="s">
        <v>169</v>
      </c>
      <c r="L6082" s="201" t="s">
        <v>16835</v>
      </c>
      <c r="M6082" s="199"/>
      <c r="N6082" s="199"/>
    </row>
    <row r="6083">
      <c r="A6083" s="193" t="s">
        <v>25035</v>
      </c>
      <c r="B6083" s="7" t="s">
        <v>169</v>
      </c>
      <c r="C6083" s="7" t="s">
        <v>17057</v>
      </c>
      <c r="D6083" s="199"/>
      <c r="E6083" s="193"/>
      <c r="F6083" s="195" t="s">
        <v>25036</v>
      </c>
      <c r="G6083" s="196">
        <v>1.60181172E8</v>
      </c>
      <c r="H6083" s="197">
        <v>4.93</v>
      </c>
      <c r="I6083" s="7" t="s">
        <v>16815</v>
      </c>
      <c r="J6083" s="7" t="s">
        <v>169</v>
      </c>
      <c r="K6083" s="7" t="s">
        <v>17057</v>
      </c>
      <c r="L6083" s="198" t="s">
        <v>65</v>
      </c>
      <c r="M6083" s="199"/>
      <c r="N6083" s="199"/>
    </row>
    <row r="6084">
      <c r="A6084" s="193" t="s">
        <v>25037</v>
      </c>
      <c r="B6084" s="7" t="s">
        <v>19579</v>
      </c>
      <c r="C6084" s="7" t="s">
        <v>16838</v>
      </c>
      <c r="D6084" s="199"/>
      <c r="E6084" s="193"/>
      <c r="F6084" s="195" t="s">
        <v>25038</v>
      </c>
      <c r="G6084" s="200">
        <v>1.60090165E8</v>
      </c>
      <c r="H6084" s="197">
        <v>6.37</v>
      </c>
      <c r="I6084" s="7" t="s">
        <v>16815</v>
      </c>
      <c r="J6084" s="7" t="s">
        <v>19579</v>
      </c>
      <c r="K6084" s="7" t="s">
        <v>16838</v>
      </c>
      <c r="L6084" s="201" t="s">
        <v>16835</v>
      </c>
      <c r="M6084" s="199"/>
      <c r="N6084" s="199"/>
    </row>
    <row r="6085">
      <c r="A6085" s="193" t="s">
        <v>25037</v>
      </c>
      <c r="B6085" s="7" t="s">
        <v>16838</v>
      </c>
      <c r="C6085" s="7" t="s">
        <v>19579</v>
      </c>
      <c r="D6085" s="199"/>
      <c r="E6085" s="193"/>
      <c r="F6085" s="195" t="s">
        <v>25038</v>
      </c>
      <c r="G6085" s="196">
        <v>1.60090165E8</v>
      </c>
      <c r="H6085" s="197">
        <v>6.37</v>
      </c>
      <c r="I6085" s="7" t="s">
        <v>16815</v>
      </c>
      <c r="J6085" s="7" t="s">
        <v>16838</v>
      </c>
      <c r="K6085" s="7" t="s">
        <v>19579</v>
      </c>
      <c r="L6085" s="198" t="s">
        <v>65</v>
      </c>
      <c r="M6085" s="199"/>
      <c r="N6085" s="199"/>
    </row>
    <row r="6086">
      <c r="A6086" s="193" t="s">
        <v>25039</v>
      </c>
      <c r="B6086" s="7" t="s">
        <v>16838</v>
      </c>
      <c r="C6086" s="7" t="s">
        <v>16837</v>
      </c>
      <c r="D6086" s="199"/>
      <c r="E6086" s="193"/>
      <c r="F6086" s="195" t="s">
        <v>25040</v>
      </c>
      <c r="G6086" s="196">
        <v>1.59806318E8</v>
      </c>
      <c r="H6086" s="197">
        <v>7.36</v>
      </c>
      <c r="I6086" s="7" t="s">
        <v>16815</v>
      </c>
      <c r="J6086" s="7" t="s">
        <v>16838</v>
      </c>
      <c r="K6086" s="7" t="s">
        <v>16837</v>
      </c>
      <c r="L6086" s="198" t="s">
        <v>65</v>
      </c>
      <c r="M6086" s="199"/>
      <c r="N6086" s="199"/>
    </row>
    <row r="6087">
      <c r="A6087" s="193" t="s">
        <v>25041</v>
      </c>
      <c r="B6087" s="7" t="s">
        <v>187</v>
      </c>
      <c r="C6087" s="7" t="s">
        <v>16846</v>
      </c>
      <c r="D6087" s="194">
        <v>2021.0</v>
      </c>
      <c r="E6087" s="193"/>
      <c r="F6087" s="195" t="s">
        <v>25042</v>
      </c>
      <c r="G6087" s="196">
        <v>1.59406475E8</v>
      </c>
      <c r="H6087" s="197">
        <v>3.21</v>
      </c>
      <c r="I6087" s="7" t="s">
        <v>16815</v>
      </c>
      <c r="J6087" s="7" t="s">
        <v>187</v>
      </c>
      <c r="K6087" s="7" t="s">
        <v>16846</v>
      </c>
      <c r="L6087" s="198" t="s">
        <v>65</v>
      </c>
      <c r="M6087" s="194"/>
      <c r="N6087" s="194"/>
    </row>
    <row r="6088">
      <c r="A6088" s="193" t="s">
        <v>25043</v>
      </c>
      <c r="B6088" s="7" t="s">
        <v>16582</v>
      </c>
      <c r="C6088" s="7" t="s">
        <v>16817</v>
      </c>
      <c r="D6088" s="194">
        <v>2023.0</v>
      </c>
      <c r="E6088" s="193"/>
      <c r="F6088" s="195" t="s">
        <v>25044</v>
      </c>
      <c r="G6088" s="196">
        <v>1.59223375E8</v>
      </c>
      <c r="H6088" s="197">
        <v>2.21</v>
      </c>
      <c r="I6088" s="7" t="s">
        <v>16815</v>
      </c>
      <c r="J6088" s="7" t="s">
        <v>16582</v>
      </c>
      <c r="K6088" s="7" t="s">
        <v>16817</v>
      </c>
      <c r="L6088" s="198" t="s">
        <v>65</v>
      </c>
      <c r="M6088" s="194"/>
      <c r="N6088" s="194"/>
    </row>
    <row r="6089">
      <c r="A6089" s="193" t="s">
        <v>25045</v>
      </c>
      <c r="B6089" s="7" t="s">
        <v>18732</v>
      </c>
      <c r="C6089" s="7" t="s">
        <v>169</v>
      </c>
      <c r="D6089" s="194">
        <v>2020.0</v>
      </c>
      <c r="E6089" s="193"/>
      <c r="F6089" s="195" t="s">
        <v>25046</v>
      </c>
      <c r="G6089" s="200">
        <v>1.59175017E8</v>
      </c>
      <c r="H6089" s="197">
        <v>1.56</v>
      </c>
      <c r="I6089" s="7" t="s">
        <v>16815</v>
      </c>
      <c r="J6089" s="7" t="s">
        <v>18732</v>
      </c>
      <c r="K6089" s="7" t="s">
        <v>169</v>
      </c>
      <c r="L6089" s="201" t="s">
        <v>16835</v>
      </c>
      <c r="M6089" s="194"/>
      <c r="N6089" s="194"/>
    </row>
    <row r="6090">
      <c r="A6090" s="193" t="s">
        <v>25045</v>
      </c>
      <c r="B6090" s="7" t="s">
        <v>169</v>
      </c>
      <c r="C6090" s="7" t="s">
        <v>18732</v>
      </c>
      <c r="D6090" s="194">
        <v>2020.0</v>
      </c>
      <c r="E6090" s="193"/>
      <c r="F6090" s="195" t="s">
        <v>25046</v>
      </c>
      <c r="G6090" s="196">
        <v>1.59175017E8</v>
      </c>
      <c r="H6090" s="197">
        <v>1.56</v>
      </c>
      <c r="I6090" s="7" t="s">
        <v>16815</v>
      </c>
      <c r="J6090" s="7" t="s">
        <v>169</v>
      </c>
      <c r="K6090" s="7" t="s">
        <v>18732</v>
      </c>
      <c r="L6090" s="198" t="s">
        <v>65</v>
      </c>
      <c r="M6090" s="194"/>
      <c r="N6090" s="194"/>
    </row>
    <row r="6091">
      <c r="A6091" s="193" t="s">
        <v>25047</v>
      </c>
      <c r="B6091" s="7" t="s">
        <v>169</v>
      </c>
      <c r="C6091" s="7" t="s">
        <v>16945</v>
      </c>
      <c r="D6091" s="199"/>
      <c r="E6091" s="193"/>
      <c r="F6091" s="195" t="s">
        <v>25048</v>
      </c>
      <c r="G6091" s="196">
        <v>1.59130719E8</v>
      </c>
      <c r="H6091" s="197">
        <v>2.09</v>
      </c>
      <c r="I6091" s="7" t="s">
        <v>16815</v>
      </c>
      <c r="J6091" s="7" t="s">
        <v>169</v>
      </c>
      <c r="K6091" s="7" t="s">
        <v>16945</v>
      </c>
      <c r="L6091" s="198" t="s">
        <v>65</v>
      </c>
      <c r="M6091" s="199"/>
      <c r="N6091" s="199"/>
    </row>
    <row r="6092">
      <c r="A6092" s="193" t="s">
        <v>25049</v>
      </c>
      <c r="B6092" s="7" t="s">
        <v>16582</v>
      </c>
      <c r="C6092" s="7" t="s">
        <v>16930</v>
      </c>
      <c r="D6092" s="194">
        <v>2002.0</v>
      </c>
      <c r="E6092" s="193"/>
      <c r="F6092" s="195" t="s">
        <v>25050</v>
      </c>
      <c r="G6092" s="196">
        <v>1.59049688E8</v>
      </c>
      <c r="H6092" s="197">
        <v>10.93</v>
      </c>
      <c r="I6092" s="7" t="s">
        <v>16815</v>
      </c>
      <c r="J6092" s="7" t="s">
        <v>16582</v>
      </c>
      <c r="K6092" s="7" t="s">
        <v>16930</v>
      </c>
      <c r="L6092" s="198" t="s">
        <v>65</v>
      </c>
      <c r="M6092" s="194"/>
      <c r="N6092" s="194"/>
    </row>
    <row r="6093">
      <c r="A6093" s="193" t="s">
        <v>25051</v>
      </c>
      <c r="B6093" s="7" t="s">
        <v>158</v>
      </c>
      <c r="C6093" s="7" t="s">
        <v>16864</v>
      </c>
      <c r="D6093" s="199"/>
      <c r="E6093" s="193"/>
      <c r="F6093" s="195" t="s">
        <v>25052</v>
      </c>
      <c r="G6093" s="196">
        <v>1.58869308E8</v>
      </c>
      <c r="H6093" s="197">
        <v>4.46</v>
      </c>
      <c r="I6093" s="7" t="s">
        <v>17098</v>
      </c>
      <c r="J6093" s="7" t="s">
        <v>158</v>
      </c>
      <c r="K6093" s="7" t="s">
        <v>16864</v>
      </c>
      <c r="L6093" s="198" t="s">
        <v>65</v>
      </c>
      <c r="M6093" s="199"/>
      <c r="N6093" s="199"/>
    </row>
    <row r="6094">
      <c r="A6094" s="193" t="s">
        <v>25053</v>
      </c>
      <c r="B6094" s="7" t="s">
        <v>16582</v>
      </c>
      <c r="C6094" s="7" t="s">
        <v>17435</v>
      </c>
      <c r="D6094" s="199"/>
      <c r="E6094" s="193"/>
      <c r="F6094" s="195" t="s">
        <v>25054</v>
      </c>
      <c r="G6094" s="196">
        <v>1.58855495E8</v>
      </c>
      <c r="H6094" s="197">
        <v>0.24</v>
      </c>
      <c r="I6094" s="7" t="s">
        <v>16815</v>
      </c>
      <c r="J6094" s="7" t="s">
        <v>16582</v>
      </c>
      <c r="K6094" s="7" t="s">
        <v>17435</v>
      </c>
      <c r="L6094" s="198" t="s">
        <v>65</v>
      </c>
      <c r="M6094" s="199"/>
      <c r="N6094" s="199"/>
    </row>
    <row r="6095">
      <c r="A6095" s="193" t="s">
        <v>25055</v>
      </c>
      <c r="B6095" s="7" t="s">
        <v>16838</v>
      </c>
      <c r="C6095" s="7" t="s">
        <v>16867</v>
      </c>
      <c r="D6095" s="199"/>
      <c r="E6095" s="193"/>
      <c r="F6095" s="195" t="s">
        <v>25056</v>
      </c>
      <c r="G6095" s="196">
        <v>1.58621826E8</v>
      </c>
      <c r="H6095" s="197">
        <v>17.64</v>
      </c>
      <c r="I6095" s="7" t="s">
        <v>16924</v>
      </c>
      <c r="J6095" s="7" t="s">
        <v>16838</v>
      </c>
      <c r="K6095" s="7" t="s">
        <v>16867</v>
      </c>
      <c r="L6095" s="198" t="s">
        <v>65</v>
      </c>
      <c r="M6095" s="199"/>
      <c r="N6095" s="199"/>
    </row>
    <row r="6096">
      <c r="A6096" s="193" t="s">
        <v>25057</v>
      </c>
      <c r="B6096" s="7" t="s">
        <v>17057</v>
      </c>
      <c r="C6096" s="7" t="s">
        <v>169</v>
      </c>
      <c r="D6096" s="194">
        <v>2021.0</v>
      </c>
      <c r="E6096" s="193"/>
      <c r="F6096" s="195" t="s">
        <v>25058</v>
      </c>
      <c r="G6096" s="200">
        <v>1.58111612E8</v>
      </c>
      <c r="H6096" s="197">
        <v>2.44</v>
      </c>
      <c r="I6096" s="7" t="s">
        <v>16815</v>
      </c>
      <c r="J6096" s="7" t="s">
        <v>17057</v>
      </c>
      <c r="K6096" s="7" t="s">
        <v>169</v>
      </c>
      <c r="L6096" s="201" t="s">
        <v>16835</v>
      </c>
      <c r="M6096" s="194"/>
      <c r="N6096" s="194"/>
    </row>
    <row r="6097">
      <c r="A6097" s="193" t="s">
        <v>25057</v>
      </c>
      <c r="B6097" s="7" t="s">
        <v>169</v>
      </c>
      <c r="C6097" s="7" t="s">
        <v>17057</v>
      </c>
      <c r="D6097" s="194">
        <v>2021.0</v>
      </c>
      <c r="E6097" s="193"/>
      <c r="F6097" s="195" t="s">
        <v>25058</v>
      </c>
      <c r="G6097" s="196">
        <v>1.58111612E8</v>
      </c>
      <c r="H6097" s="197">
        <v>2.44</v>
      </c>
      <c r="I6097" s="7" t="s">
        <v>16815</v>
      </c>
      <c r="J6097" s="7" t="s">
        <v>169</v>
      </c>
      <c r="K6097" s="7" t="s">
        <v>17057</v>
      </c>
      <c r="L6097" s="198" t="s">
        <v>65</v>
      </c>
      <c r="M6097" s="194"/>
      <c r="N6097" s="194"/>
    </row>
    <row r="6098">
      <c r="A6098" s="193" t="s">
        <v>25059</v>
      </c>
      <c r="B6098" s="7" t="s">
        <v>187</v>
      </c>
      <c r="C6098" s="7" t="s">
        <v>16969</v>
      </c>
      <c r="D6098" s="194">
        <v>2020.0</v>
      </c>
      <c r="E6098" s="193"/>
      <c r="F6098" s="195" t="s">
        <v>25060</v>
      </c>
      <c r="G6098" s="196">
        <v>1.57689381E8</v>
      </c>
      <c r="H6098" s="197">
        <v>3.0</v>
      </c>
      <c r="I6098" s="7" t="s">
        <v>16815</v>
      </c>
      <c r="J6098" s="7" t="s">
        <v>187</v>
      </c>
      <c r="K6098" s="7" t="s">
        <v>16969</v>
      </c>
      <c r="L6098" s="198" t="s">
        <v>65</v>
      </c>
      <c r="M6098" s="194"/>
      <c r="N6098" s="194"/>
    </row>
    <row r="6099">
      <c r="A6099" s="193" t="s">
        <v>25061</v>
      </c>
      <c r="B6099" s="7" t="s">
        <v>16838</v>
      </c>
      <c r="C6099" s="7" t="s">
        <v>16867</v>
      </c>
      <c r="D6099" s="199"/>
      <c r="E6099" s="193"/>
      <c r="F6099" s="195" t="s">
        <v>25062</v>
      </c>
      <c r="G6099" s="196">
        <v>1.57422266E8</v>
      </c>
      <c r="H6099" s="197">
        <v>20.9203</v>
      </c>
      <c r="I6099" s="7" t="s">
        <v>16815</v>
      </c>
      <c r="J6099" s="7" t="s">
        <v>16838</v>
      </c>
      <c r="K6099" s="7" t="s">
        <v>16867</v>
      </c>
      <c r="L6099" s="198" t="s">
        <v>65</v>
      </c>
      <c r="M6099" s="199"/>
      <c r="N6099" s="199"/>
    </row>
    <row r="6100">
      <c r="A6100" s="193" t="s">
        <v>25063</v>
      </c>
      <c r="B6100" s="7" t="s">
        <v>16838</v>
      </c>
      <c r="C6100" s="7" t="s">
        <v>17016</v>
      </c>
      <c r="D6100" s="199"/>
      <c r="E6100" s="193"/>
      <c r="F6100" s="195" t="s">
        <v>25064</v>
      </c>
      <c r="G6100" s="196">
        <v>1.57298328E8</v>
      </c>
      <c r="H6100" s="197">
        <v>0.2302</v>
      </c>
      <c r="I6100" s="7" t="s">
        <v>16815</v>
      </c>
      <c r="J6100" s="7" t="s">
        <v>16838</v>
      </c>
      <c r="K6100" s="7" t="s">
        <v>17016</v>
      </c>
      <c r="L6100" s="198" t="s">
        <v>65</v>
      </c>
      <c r="M6100" s="199"/>
      <c r="N6100" s="199"/>
    </row>
    <row r="6101">
      <c r="A6101" s="193" t="s">
        <v>25065</v>
      </c>
      <c r="B6101" s="7" t="s">
        <v>16582</v>
      </c>
      <c r="C6101" s="7" t="s">
        <v>17435</v>
      </c>
      <c r="D6101" s="194">
        <v>2020.0</v>
      </c>
      <c r="E6101" s="193"/>
      <c r="F6101" s="195" t="s">
        <v>25066</v>
      </c>
      <c r="G6101" s="196">
        <v>1.5712675E8</v>
      </c>
      <c r="H6101" s="197">
        <v>0.7963</v>
      </c>
      <c r="I6101" s="7" t="s">
        <v>16815</v>
      </c>
      <c r="J6101" s="7" t="s">
        <v>16582</v>
      </c>
      <c r="K6101" s="7" t="s">
        <v>17435</v>
      </c>
      <c r="L6101" s="198" t="s">
        <v>65</v>
      </c>
      <c r="M6101" s="194"/>
      <c r="N6101" s="194"/>
    </row>
    <row r="6102">
      <c r="A6102" s="193" t="s">
        <v>25065</v>
      </c>
      <c r="B6102" s="7" t="s">
        <v>17435</v>
      </c>
      <c r="C6102" s="7" t="s">
        <v>16582</v>
      </c>
      <c r="D6102" s="194">
        <v>2020.0</v>
      </c>
      <c r="E6102" s="193"/>
      <c r="F6102" s="195" t="s">
        <v>25066</v>
      </c>
      <c r="G6102" s="200">
        <v>1.5712675E8</v>
      </c>
      <c r="H6102" s="197">
        <v>0.7963</v>
      </c>
      <c r="I6102" s="7" t="s">
        <v>16815</v>
      </c>
      <c r="J6102" s="7" t="s">
        <v>17435</v>
      </c>
      <c r="K6102" s="7" t="s">
        <v>16582</v>
      </c>
      <c r="L6102" s="201" t="s">
        <v>16835</v>
      </c>
      <c r="M6102" s="194"/>
      <c r="N6102" s="194"/>
    </row>
    <row r="6103">
      <c r="A6103" s="193" t="s">
        <v>25067</v>
      </c>
      <c r="B6103" s="7" t="s">
        <v>16919</v>
      </c>
      <c r="C6103" s="7" t="s">
        <v>16864</v>
      </c>
      <c r="D6103" s="199"/>
      <c r="E6103" s="193"/>
      <c r="F6103" s="195" t="s">
        <v>25068</v>
      </c>
      <c r="G6103" s="196">
        <v>1.56918781E8</v>
      </c>
      <c r="H6103" s="197">
        <v>15.69</v>
      </c>
      <c r="I6103" s="7" t="s">
        <v>16815</v>
      </c>
      <c r="J6103" s="7" t="s">
        <v>16919</v>
      </c>
      <c r="K6103" s="7" t="s">
        <v>16864</v>
      </c>
      <c r="L6103" s="198" t="s">
        <v>65</v>
      </c>
      <c r="M6103" s="199"/>
      <c r="N6103" s="199"/>
    </row>
    <row r="6104">
      <c r="A6104" s="193" t="s">
        <v>25069</v>
      </c>
      <c r="B6104" s="7" t="s">
        <v>16838</v>
      </c>
      <c r="C6104" s="7" t="s">
        <v>19644</v>
      </c>
      <c r="D6104" s="199"/>
      <c r="E6104" s="193"/>
      <c r="F6104" s="195" t="s">
        <v>25070</v>
      </c>
      <c r="G6104" s="196">
        <v>1.56720077E8</v>
      </c>
      <c r="H6104" s="197">
        <v>13.68</v>
      </c>
      <c r="I6104" s="7" t="s">
        <v>16815</v>
      </c>
      <c r="J6104" s="7" t="s">
        <v>16838</v>
      </c>
      <c r="K6104" s="7" t="s">
        <v>19644</v>
      </c>
      <c r="L6104" s="198" t="s">
        <v>65</v>
      </c>
      <c r="M6104" s="199"/>
      <c r="N6104" s="199"/>
    </row>
    <row r="6105">
      <c r="A6105" s="193" t="s">
        <v>25071</v>
      </c>
      <c r="B6105" s="7" t="s">
        <v>19579</v>
      </c>
      <c r="C6105" s="7" t="s">
        <v>16838</v>
      </c>
      <c r="D6105" s="194">
        <v>2019.0</v>
      </c>
      <c r="E6105" s="193"/>
      <c r="F6105" s="195" t="s">
        <v>25072</v>
      </c>
      <c r="G6105" s="200">
        <v>1.56618493E8</v>
      </c>
      <c r="H6105" s="197">
        <v>11.609</v>
      </c>
      <c r="I6105" s="193" t="s">
        <v>16815</v>
      </c>
      <c r="J6105" s="7" t="s">
        <v>19579</v>
      </c>
      <c r="K6105" s="7" t="s">
        <v>16838</v>
      </c>
      <c r="L6105" s="201" t="s">
        <v>16835</v>
      </c>
      <c r="M6105" s="194"/>
      <c r="N6105" s="194"/>
    </row>
    <row r="6106">
      <c r="A6106" s="193" t="s">
        <v>25071</v>
      </c>
      <c r="B6106" s="7" t="s">
        <v>16838</v>
      </c>
      <c r="C6106" s="7" t="s">
        <v>19579</v>
      </c>
      <c r="D6106" s="194">
        <v>2019.0</v>
      </c>
      <c r="E6106" s="193"/>
      <c r="F6106" s="195" t="s">
        <v>25072</v>
      </c>
      <c r="G6106" s="196">
        <v>1.56618493E8</v>
      </c>
      <c r="H6106" s="197">
        <v>11.609</v>
      </c>
      <c r="I6106" s="7" t="s">
        <v>16815</v>
      </c>
      <c r="J6106" s="7" t="s">
        <v>16838</v>
      </c>
      <c r="K6106" s="7" t="s">
        <v>19579</v>
      </c>
      <c r="L6106" s="198" t="s">
        <v>65</v>
      </c>
      <c r="M6106" s="194"/>
      <c r="N6106" s="194"/>
    </row>
    <row r="6107">
      <c r="A6107" s="193" t="s">
        <v>25073</v>
      </c>
      <c r="B6107" s="7" t="s">
        <v>16919</v>
      </c>
      <c r="C6107" s="7" t="s">
        <v>17048</v>
      </c>
      <c r="D6107" s="199"/>
      <c r="E6107" s="193"/>
      <c r="F6107" s="195" t="s">
        <v>25074</v>
      </c>
      <c r="G6107" s="196">
        <v>1.563845E8</v>
      </c>
      <c r="H6107" s="197">
        <v>12.17</v>
      </c>
      <c r="I6107" s="7" t="s">
        <v>16815</v>
      </c>
      <c r="J6107" s="7" t="s">
        <v>16919</v>
      </c>
      <c r="K6107" s="7" t="s">
        <v>17048</v>
      </c>
      <c r="L6107" s="198" t="s">
        <v>65</v>
      </c>
      <c r="M6107" s="199"/>
      <c r="N6107" s="199"/>
    </row>
    <row r="6108">
      <c r="A6108" s="193" t="s">
        <v>25073</v>
      </c>
      <c r="B6108" s="202" t="s">
        <v>17048</v>
      </c>
      <c r="C6108" s="193" t="s">
        <v>16919</v>
      </c>
      <c r="D6108" s="206"/>
      <c r="E6108" s="193"/>
      <c r="F6108" s="203" t="s">
        <v>25074</v>
      </c>
      <c r="G6108" s="200">
        <v>1.563845E8</v>
      </c>
      <c r="H6108" s="205">
        <v>10.6699</v>
      </c>
      <c r="J6108" s="202" t="s">
        <v>17048</v>
      </c>
      <c r="K6108" s="193" t="s">
        <v>16919</v>
      </c>
      <c r="L6108" s="193" t="s">
        <v>17471</v>
      </c>
      <c r="M6108" s="206"/>
      <c r="N6108" s="206"/>
    </row>
    <row r="6109">
      <c r="A6109" s="193" t="s">
        <v>25075</v>
      </c>
      <c r="B6109" s="7" t="s">
        <v>169</v>
      </c>
      <c r="C6109" s="7" t="s">
        <v>16899</v>
      </c>
      <c r="D6109" s="199"/>
      <c r="E6109" s="193"/>
      <c r="F6109" s="195" t="s">
        <v>25076</v>
      </c>
      <c r="G6109" s="196">
        <v>1.5615171E8</v>
      </c>
      <c r="H6109" s="197">
        <v>11.84</v>
      </c>
      <c r="I6109" s="7" t="s">
        <v>16815</v>
      </c>
      <c r="J6109" s="7" t="s">
        <v>169</v>
      </c>
      <c r="K6109" s="7" t="s">
        <v>16899</v>
      </c>
      <c r="L6109" s="198" t="s">
        <v>65</v>
      </c>
      <c r="M6109" s="199"/>
      <c r="N6109" s="199"/>
    </row>
    <row r="6110">
      <c r="A6110" s="193" t="s">
        <v>25077</v>
      </c>
      <c r="B6110" s="7" t="s">
        <v>16582</v>
      </c>
      <c r="C6110" s="7" t="s">
        <v>17183</v>
      </c>
      <c r="D6110" s="194">
        <v>1983.0</v>
      </c>
      <c r="E6110" s="193"/>
      <c r="F6110" s="195" t="s">
        <v>25078</v>
      </c>
      <c r="G6110" s="196">
        <v>1.560415E8</v>
      </c>
      <c r="H6110" s="197">
        <v>10.93</v>
      </c>
      <c r="I6110" s="7" t="s">
        <v>16815</v>
      </c>
      <c r="J6110" s="7" t="s">
        <v>16582</v>
      </c>
      <c r="K6110" s="7" t="s">
        <v>17183</v>
      </c>
      <c r="L6110" s="198" t="s">
        <v>65</v>
      </c>
      <c r="M6110" s="194"/>
      <c r="N6110" s="194"/>
    </row>
    <row r="6111">
      <c r="A6111" s="193" t="s">
        <v>25079</v>
      </c>
      <c r="B6111" s="7" t="s">
        <v>16582</v>
      </c>
      <c r="C6111" s="7" t="s">
        <v>16828</v>
      </c>
      <c r="D6111" s="199"/>
      <c r="E6111" s="193"/>
      <c r="F6111" s="195" t="s">
        <v>25080</v>
      </c>
      <c r="G6111" s="196">
        <v>1.55614892E8</v>
      </c>
      <c r="H6111" s="197">
        <v>2.51</v>
      </c>
      <c r="I6111" s="7" t="s">
        <v>16815</v>
      </c>
      <c r="J6111" s="7" t="s">
        <v>16582</v>
      </c>
      <c r="K6111" s="7" t="s">
        <v>16828</v>
      </c>
      <c r="L6111" s="198" t="s">
        <v>65</v>
      </c>
      <c r="M6111" s="199"/>
      <c r="N6111" s="199"/>
    </row>
    <row r="6112">
      <c r="A6112" s="193" t="s">
        <v>25081</v>
      </c>
      <c r="B6112" s="7" t="s">
        <v>19579</v>
      </c>
      <c r="C6112" s="7" t="s">
        <v>16838</v>
      </c>
      <c r="D6112" s="194">
        <v>2017.0</v>
      </c>
      <c r="E6112" s="193"/>
      <c r="F6112" s="195" t="s">
        <v>25082</v>
      </c>
      <c r="G6112" s="200">
        <v>1.55605846E8</v>
      </c>
      <c r="H6112" s="197">
        <v>8.52</v>
      </c>
      <c r="I6112" s="7" t="s">
        <v>16815</v>
      </c>
      <c r="J6112" s="7" t="s">
        <v>19579</v>
      </c>
      <c r="K6112" s="7" t="s">
        <v>16838</v>
      </c>
      <c r="L6112" s="201" t="s">
        <v>16835</v>
      </c>
      <c r="M6112" s="194"/>
      <c r="N6112" s="194"/>
    </row>
    <row r="6113">
      <c r="A6113" s="193" t="s">
        <v>25081</v>
      </c>
      <c r="B6113" s="7" t="s">
        <v>16838</v>
      </c>
      <c r="C6113" s="7" t="s">
        <v>19579</v>
      </c>
      <c r="D6113" s="194">
        <v>2017.0</v>
      </c>
      <c r="E6113" s="193"/>
      <c r="F6113" s="195" t="s">
        <v>25082</v>
      </c>
      <c r="G6113" s="196">
        <v>1.55605846E8</v>
      </c>
      <c r="H6113" s="197">
        <v>8.52</v>
      </c>
      <c r="I6113" s="7" t="s">
        <v>16815</v>
      </c>
      <c r="J6113" s="7" t="s">
        <v>16838</v>
      </c>
      <c r="K6113" s="7" t="s">
        <v>19579</v>
      </c>
      <c r="L6113" s="198" t="s">
        <v>65</v>
      </c>
      <c r="M6113" s="194"/>
      <c r="N6113" s="194"/>
    </row>
    <row r="6114">
      <c r="A6114" s="193" t="s">
        <v>25083</v>
      </c>
      <c r="B6114" s="7" t="s">
        <v>187</v>
      </c>
      <c r="C6114" s="7" t="s">
        <v>16846</v>
      </c>
      <c r="D6114" s="194">
        <v>2018.0</v>
      </c>
      <c r="E6114" s="193"/>
      <c r="F6114" s="195" t="s">
        <v>25084</v>
      </c>
      <c r="G6114" s="196">
        <v>1.55582694E8</v>
      </c>
      <c r="H6114" s="197">
        <v>1.79</v>
      </c>
      <c r="I6114" s="7" t="s">
        <v>16815</v>
      </c>
      <c r="J6114" s="7" t="s">
        <v>187</v>
      </c>
      <c r="K6114" s="7" t="s">
        <v>16846</v>
      </c>
      <c r="L6114" s="198" t="s">
        <v>65</v>
      </c>
      <c r="M6114" s="194"/>
      <c r="N6114" s="194"/>
    </row>
    <row r="6115">
      <c r="A6115" s="193" t="s">
        <v>25085</v>
      </c>
      <c r="B6115" s="7" t="s">
        <v>17112</v>
      </c>
      <c r="C6115" s="7" t="s">
        <v>17111</v>
      </c>
      <c r="D6115" s="194">
        <v>2017.0</v>
      </c>
      <c r="E6115" s="193"/>
      <c r="F6115" s="195" t="s">
        <v>25086</v>
      </c>
      <c r="G6115" s="196">
        <v>1.55538251E8</v>
      </c>
      <c r="H6115" s="197">
        <v>3.43</v>
      </c>
      <c r="I6115" s="7" t="s">
        <v>16815</v>
      </c>
      <c r="J6115" s="7" t="s">
        <v>17112</v>
      </c>
      <c r="K6115" s="7" t="s">
        <v>17111</v>
      </c>
      <c r="L6115" s="198" t="s">
        <v>65</v>
      </c>
      <c r="M6115" s="194"/>
      <c r="N6115" s="194"/>
    </row>
    <row r="6116">
      <c r="A6116" s="193" t="s">
        <v>25085</v>
      </c>
      <c r="B6116" s="202" t="s">
        <v>17111</v>
      </c>
      <c r="C6116" s="193" t="s">
        <v>17112</v>
      </c>
      <c r="D6116" s="193">
        <v>2017.0</v>
      </c>
      <c r="E6116" s="193"/>
      <c r="F6116" s="203" t="s">
        <v>25086</v>
      </c>
      <c r="G6116" s="200">
        <v>1.55538251E8</v>
      </c>
      <c r="H6116" s="205">
        <v>12.17</v>
      </c>
      <c r="J6116" s="202" t="s">
        <v>17111</v>
      </c>
      <c r="K6116" s="193" t="s">
        <v>17112</v>
      </c>
      <c r="L6116" s="193" t="s">
        <v>17471</v>
      </c>
      <c r="M6116" s="193"/>
      <c r="N6116" s="193"/>
    </row>
    <row r="6117">
      <c r="A6117" s="193" t="s">
        <v>25087</v>
      </c>
      <c r="B6117" s="7" t="s">
        <v>187</v>
      </c>
      <c r="C6117" s="7" t="s">
        <v>16846</v>
      </c>
      <c r="D6117" s="194">
        <v>2020.0</v>
      </c>
      <c r="E6117" s="193"/>
      <c r="F6117" s="195" t="s">
        <v>25088</v>
      </c>
      <c r="G6117" s="196">
        <v>1.55475084E8</v>
      </c>
      <c r="H6117" s="197">
        <v>3.69</v>
      </c>
      <c r="I6117" s="7" t="s">
        <v>16815</v>
      </c>
      <c r="J6117" s="7" t="s">
        <v>187</v>
      </c>
      <c r="K6117" s="7" t="s">
        <v>16846</v>
      </c>
      <c r="L6117" s="198" t="s">
        <v>65</v>
      </c>
      <c r="M6117" s="194"/>
      <c r="N6117" s="194"/>
    </row>
    <row r="6118">
      <c r="A6118" s="193" t="s">
        <v>25089</v>
      </c>
      <c r="B6118" s="7" t="s">
        <v>16838</v>
      </c>
      <c r="C6118" s="7" t="s">
        <v>17127</v>
      </c>
      <c r="D6118" s="194">
        <v>2008.0</v>
      </c>
      <c r="E6118" s="193"/>
      <c r="F6118" s="195" t="s">
        <v>25090</v>
      </c>
      <c r="G6118" s="196">
        <v>1.5544643E8</v>
      </c>
      <c r="H6118" s="197">
        <v>1.54</v>
      </c>
      <c r="I6118" s="7" t="s">
        <v>16815</v>
      </c>
      <c r="J6118" s="7" t="s">
        <v>16838</v>
      </c>
      <c r="K6118" s="7" t="s">
        <v>17127</v>
      </c>
      <c r="L6118" s="198" t="s">
        <v>65</v>
      </c>
      <c r="M6118" s="194"/>
      <c r="N6118" s="194"/>
    </row>
    <row r="6119">
      <c r="A6119" s="193" t="s">
        <v>25091</v>
      </c>
      <c r="B6119" s="7" t="s">
        <v>16867</v>
      </c>
      <c r="C6119" s="7" t="s">
        <v>16838</v>
      </c>
      <c r="D6119" s="199"/>
      <c r="E6119" s="193"/>
      <c r="F6119" s="195" t="s">
        <v>25092</v>
      </c>
      <c r="G6119" s="200">
        <v>1.5542645E8</v>
      </c>
      <c r="H6119" s="197">
        <v>14.01</v>
      </c>
      <c r="I6119" s="7" t="s">
        <v>16815</v>
      </c>
      <c r="J6119" s="7" t="s">
        <v>16867</v>
      </c>
      <c r="K6119" s="7" t="s">
        <v>16838</v>
      </c>
      <c r="L6119" s="201" t="s">
        <v>16835</v>
      </c>
      <c r="M6119" s="199"/>
      <c r="N6119" s="199"/>
    </row>
    <row r="6120">
      <c r="A6120" s="193" t="s">
        <v>25091</v>
      </c>
      <c r="B6120" s="7" t="s">
        <v>16838</v>
      </c>
      <c r="C6120" s="7" t="s">
        <v>16867</v>
      </c>
      <c r="D6120" s="199"/>
      <c r="E6120" s="193"/>
      <c r="F6120" s="195" t="s">
        <v>25092</v>
      </c>
      <c r="G6120" s="196">
        <v>1.5542645E8</v>
      </c>
      <c r="H6120" s="197">
        <v>14.01</v>
      </c>
      <c r="I6120" s="7" t="s">
        <v>16815</v>
      </c>
      <c r="J6120" s="7" t="s">
        <v>16838</v>
      </c>
      <c r="K6120" s="7" t="s">
        <v>16867</v>
      </c>
      <c r="L6120" s="198" t="s">
        <v>65</v>
      </c>
      <c r="M6120" s="199"/>
      <c r="N6120" s="199"/>
    </row>
    <row r="6121">
      <c r="A6121" s="193" t="s">
        <v>25093</v>
      </c>
      <c r="B6121" s="7" t="s">
        <v>16838</v>
      </c>
      <c r="C6121" s="7" t="s">
        <v>17202</v>
      </c>
      <c r="D6121" s="194">
        <v>2012.0</v>
      </c>
      <c r="E6121" s="193"/>
      <c r="F6121" s="195" t="s">
        <v>25094</v>
      </c>
      <c r="G6121" s="196">
        <v>1.55347658E8</v>
      </c>
      <c r="H6121" s="197">
        <v>7.17</v>
      </c>
      <c r="I6121" s="7" t="s">
        <v>16815</v>
      </c>
      <c r="J6121" s="7" t="s">
        <v>16838</v>
      </c>
      <c r="K6121" s="7" t="s">
        <v>17202</v>
      </c>
      <c r="L6121" s="198" t="s">
        <v>65</v>
      </c>
      <c r="M6121" s="194"/>
      <c r="N6121" s="194"/>
    </row>
    <row r="6122">
      <c r="A6122" s="193" t="s">
        <v>25095</v>
      </c>
      <c r="B6122" s="7" t="s">
        <v>187</v>
      </c>
      <c r="C6122" s="7" t="s">
        <v>16846</v>
      </c>
      <c r="D6122" s="199"/>
      <c r="E6122" s="193"/>
      <c r="F6122" s="195" t="s">
        <v>25096</v>
      </c>
      <c r="G6122" s="196">
        <v>1.5531014E8</v>
      </c>
      <c r="H6122" s="197">
        <v>4.18</v>
      </c>
      <c r="I6122" s="7" t="s">
        <v>16815</v>
      </c>
      <c r="J6122" s="7" t="s">
        <v>187</v>
      </c>
      <c r="K6122" s="7" t="s">
        <v>16846</v>
      </c>
      <c r="L6122" s="198" t="s">
        <v>65</v>
      </c>
      <c r="M6122" s="199"/>
      <c r="N6122" s="199"/>
    </row>
    <row r="6123">
      <c r="A6123" s="193" t="s">
        <v>25095</v>
      </c>
      <c r="B6123" s="202" t="s">
        <v>16846</v>
      </c>
      <c r="C6123" s="193" t="s">
        <v>187</v>
      </c>
      <c r="D6123" s="206"/>
      <c r="E6123" s="193"/>
      <c r="F6123" s="203" t="s">
        <v>25096</v>
      </c>
      <c r="G6123" s="200">
        <v>1.5531014E8</v>
      </c>
      <c r="H6123" s="205">
        <v>3.43</v>
      </c>
      <c r="J6123" s="202" t="s">
        <v>16846</v>
      </c>
      <c r="K6123" s="193" t="s">
        <v>187</v>
      </c>
      <c r="L6123" s="193" t="s">
        <v>17471</v>
      </c>
      <c r="M6123" s="206"/>
      <c r="N6123" s="206"/>
    </row>
    <row r="6124">
      <c r="A6124" s="193" t="s">
        <v>25097</v>
      </c>
      <c r="B6124" s="7" t="s">
        <v>169</v>
      </c>
      <c r="C6124" s="7" t="s">
        <v>17321</v>
      </c>
      <c r="D6124" s="199"/>
      <c r="E6124" s="193"/>
      <c r="F6124" s="195" t="s">
        <v>25098</v>
      </c>
      <c r="G6124" s="196">
        <v>1.54552972E8</v>
      </c>
      <c r="H6124" s="197">
        <v>11.39</v>
      </c>
      <c r="I6124" s="7" t="s">
        <v>16815</v>
      </c>
      <c r="J6124" s="7" t="s">
        <v>169</v>
      </c>
      <c r="K6124" s="7" t="s">
        <v>17321</v>
      </c>
      <c r="L6124" s="198" t="s">
        <v>65</v>
      </c>
      <c r="M6124" s="199"/>
      <c r="N6124" s="199"/>
    </row>
    <row r="6125">
      <c r="A6125" s="193" t="s">
        <v>25099</v>
      </c>
      <c r="B6125" s="7" t="s">
        <v>16838</v>
      </c>
      <c r="C6125" s="7" t="s">
        <v>16867</v>
      </c>
      <c r="D6125" s="199"/>
      <c r="E6125" s="193"/>
      <c r="F6125" s="195" t="s">
        <v>25100</v>
      </c>
      <c r="G6125" s="196">
        <v>1.5418432E8</v>
      </c>
      <c r="H6125" s="197">
        <v>20.49</v>
      </c>
      <c r="I6125" s="7" t="s">
        <v>16815</v>
      </c>
      <c r="J6125" s="7" t="s">
        <v>16838</v>
      </c>
      <c r="K6125" s="7" t="s">
        <v>16867</v>
      </c>
      <c r="L6125" s="198" t="s">
        <v>65</v>
      </c>
      <c r="M6125" s="199"/>
      <c r="N6125" s="199"/>
    </row>
    <row r="6126">
      <c r="A6126" s="193" t="s">
        <v>25101</v>
      </c>
      <c r="B6126" s="7" t="s">
        <v>175</v>
      </c>
      <c r="C6126" s="7" t="s">
        <v>17350</v>
      </c>
      <c r="D6126" s="194">
        <v>2019.0</v>
      </c>
      <c r="E6126" s="193"/>
      <c r="F6126" s="195" t="s">
        <v>25102</v>
      </c>
      <c r="G6126" s="196">
        <v>1.53943711E8</v>
      </c>
      <c r="H6126" s="197">
        <v>0.245</v>
      </c>
      <c r="I6126" s="193" t="s">
        <v>16908</v>
      </c>
      <c r="J6126" s="7" t="s">
        <v>175</v>
      </c>
      <c r="K6126" s="7" t="s">
        <v>17350</v>
      </c>
      <c r="L6126" s="198" t="s">
        <v>65</v>
      </c>
      <c r="M6126" s="194"/>
      <c r="N6126" s="194"/>
    </row>
    <row r="6127">
      <c r="A6127" s="193" t="s">
        <v>25103</v>
      </c>
      <c r="B6127" s="7" t="s">
        <v>187</v>
      </c>
      <c r="C6127" s="7" t="s">
        <v>16846</v>
      </c>
      <c r="D6127" s="194">
        <v>2021.0</v>
      </c>
      <c r="E6127" s="193"/>
      <c r="F6127" s="195" t="s">
        <v>25104</v>
      </c>
      <c r="G6127" s="196">
        <v>1.53657874E8</v>
      </c>
      <c r="H6127" s="197">
        <v>1.4</v>
      </c>
      <c r="I6127" s="7" t="s">
        <v>16815</v>
      </c>
      <c r="J6127" s="7" t="s">
        <v>187</v>
      </c>
      <c r="K6127" s="7" t="s">
        <v>16846</v>
      </c>
      <c r="L6127" s="198" t="s">
        <v>65</v>
      </c>
      <c r="M6127" s="194"/>
      <c r="N6127" s="194"/>
    </row>
    <row r="6128">
      <c r="A6128" s="193" t="s">
        <v>25105</v>
      </c>
      <c r="B6128" s="7" t="s">
        <v>175</v>
      </c>
      <c r="C6128" s="7" t="s">
        <v>16854</v>
      </c>
      <c r="D6128" s="194">
        <v>2007.0</v>
      </c>
      <c r="E6128" s="193"/>
      <c r="F6128" s="195" t="s">
        <v>25106</v>
      </c>
      <c r="G6128" s="196">
        <v>1.53015215E8</v>
      </c>
      <c r="H6128" s="197">
        <v>0.6802</v>
      </c>
      <c r="I6128" s="7" t="s">
        <v>16908</v>
      </c>
      <c r="J6128" s="7" t="s">
        <v>175</v>
      </c>
      <c r="K6128" s="7" t="s">
        <v>16854</v>
      </c>
      <c r="L6128" s="198" t="s">
        <v>65</v>
      </c>
      <c r="M6128" s="194"/>
      <c r="N6128" s="194"/>
    </row>
    <row r="6129">
      <c r="A6129" s="193" t="s">
        <v>25107</v>
      </c>
      <c r="B6129" s="7" t="s">
        <v>175</v>
      </c>
      <c r="C6129" s="7" t="s">
        <v>17233</v>
      </c>
      <c r="D6129" s="199"/>
      <c r="E6129" s="193"/>
      <c r="F6129" s="195" t="s">
        <v>25108</v>
      </c>
      <c r="G6129" s="196">
        <v>1.520607E8</v>
      </c>
      <c r="H6129" s="197">
        <v>7.81</v>
      </c>
      <c r="I6129" s="193" t="s">
        <v>16908</v>
      </c>
      <c r="J6129" s="7" t="s">
        <v>175</v>
      </c>
      <c r="K6129" s="7" t="s">
        <v>17233</v>
      </c>
      <c r="L6129" s="198" t="s">
        <v>65</v>
      </c>
      <c r="M6129" s="199"/>
      <c r="N6129" s="199"/>
    </row>
    <row r="6130">
      <c r="A6130" s="193" t="s">
        <v>25109</v>
      </c>
      <c r="B6130" s="7" t="s">
        <v>175</v>
      </c>
      <c r="C6130" s="7" t="s">
        <v>17183</v>
      </c>
      <c r="D6130" s="194">
        <v>1996.0</v>
      </c>
      <c r="E6130" s="193"/>
      <c r="F6130" s="195" t="s">
        <v>25110</v>
      </c>
      <c r="G6130" s="196">
        <v>1.51974234E8</v>
      </c>
      <c r="H6130" s="197">
        <v>16.81</v>
      </c>
      <c r="I6130" s="7" t="s">
        <v>16908</v>
      </c>
      <c r="J6130" s="7" t="s">
        <v>175</v>
      </c>
      <c r="K6130" s="7" t="s">
        <v>17183</v>
      </c>
      <c r="L6130" s="198" t="s">
        <v>65</v>
      </c>
      <c r="M6130" s="194"/>
      <c r="N6130" s="194"/>
    </row>
    <row r="6131">
      <c r="A6131" s="193" t="s">
        <v>25109</v>
      </c>
      <c r="B6131" s="202" t="s">
        <v>17183</v>
      </c>
      <c r="C6131" s="193" t="s">
        <v>175</v>
      </c>
      <c r="D6131" s="193">
        <v>1996.0</v>
      </c>
      <c r="E6131" s="193"/>
      <c r="F6131" s="203" t="s">
        <v>25110</v>
      </c>
      <c r="G6131" s="200">
        <v>1.51974234E8</v>
      </c>
      <c r="H6131" s="205">
        <v>4.18</v>
      </c>
      <c r="J6131" s="202" t="s">
        <v>17183</v>
      </c>
      <c r="K6131" s="193" t="s">
        <v>175</v>
      </c>
      <c r="L6131" s="193" t="s">
        <v>17471</v>
      </c>
      <c r="M6131" s="193"/>
      <c r="N6131" s="193"/>
    </row>
    <row r="6132">
      <c r="A6132" s="193" t="s">
        <v>25111</v>
      </c>
      <c r="B6132" s="7" t="s">
        <v>16910</v>
      </c>
      <c r="C6132" s="7" t="s">
        <v>17137</v>
      </c>
      <c r="D6132" s="199"/>
      <c r="E6132" s="193"/>
      <c r="F6132" s="195" t="s">
        <v>25112</v>
      </c>
      <c r="G6132" s="196">
        <v>1.51835503E8</v>
      </c>
      <c r="H6132" s="197">
        <v>7.18</v>
      </c>
      <c r="I6132" s="7" t="s">
        <v>16917</v>
      </c>
      <c r="J6132" s="7" t="s">
        <v>16910</v>
      </c>
      <c r="K6132" s="7" t="s">
        <v>17137</v>
      </c>
      <c r="L6132" s="198" t="s">
        <v>65</v>
      </c>
      <c r="M6132" s="199"/>
      <c r="N6132" s="199"/>
    </row>
    <row r="6133">
      <c r="A6133" s="193" t="s">
        <v>25113</v>
      </c>
      <c r="B6133" s="7" t="s">
        <v>16838</v>
      </c>
      <c r="C6133" s="7" t="s">
        <v>17019</v>
      </c>
      <c r="D6133" s="194">
        <v>2022.0</v>
      </c>
      <c r="E6133" s="193"/>
      <c r="F6133" s="195" t="s">
        <v>25114</v>
      </c>
      <c r="G6133" s="196">
        <v>1.517665E8</v>
      </c>
      <c r="H6133" s="197">
        <v>4.33</v>
      </c>
      <c r="I6133" s="7" t="s">
        <v>16815</v>
      </c>
      <c r="J6133" s="7" t="s">
        <v>16838</v>
      </c>
      <c r="K6133" s="7" t="s">
        <v>17019</v>
      </c>
      <c r="L6133" s="198" t="s">
        <v>65</v>
      </c>
      <c r="M6133" s="194"/>
      <c r="N6133" s="194"/>
    </row>
    <row r="6134">
      <c r="A6134" s="193" t="s">
        <v>25115</v>
      </c>
      <c r="B6134" s="7" t="s">
        <v>175</v>
      </c>
      <c r="C6134" s="7" t="s">
        <v>16957</v>
      </c>
      <c r="D6134" s="194">
        <v>2021.0</v>
      </c>
      <c r="E6134" s="193"/>
      <c r="F6134" s="195" t="s">
        <v>25116</v>
      </c>
      <c r="G6134" s="196">
        <v>1.51766082E8</v>
      </c>
      <c r="H6134" s="197">
        <v>10.44</v>
      </c>
      <c r="I6134" s="7" t="s">
        <v>168</v>
      </c>
      <c r="J6134" s="7" t="s">
        <v>175</v>
      </c>
      <c r="K6134" s="7" t="s">
        <v>16957</v>
      </c>
      <c r="L6134" s="198" t="s">
        <v>65</v>
      </c>
      <c r="M6134" s="194"/>
      <c r="N6134" s="194"/>
    </row>
    <row r="6135">
      <c r="A6135" s="193" t="s">
        <v>25115</v>
      </c>
      <c r="B6135" s="7" t="s">
        <v>16957</v>
      </c>
      <c r="C6135" s="7" t="s">
        <v>175</v>
      </c>
      <c r="D6135" s="194">
        <v>2021.0</v>
      </c>
      <c r="E6135" s="193"/>
      <c r="F6135" s="195" t="s">
        <v>25116</v>
      </c>
      <c r="G6135" s="200">
        <v>1.51766082E8</v>
      </c>
      <c r="H6135" s="197">
        <v>10.44</v>
      </c>
      <c r="I6135" s="7" t="s">
        <v>16815</v>
      </c>
      <c r="J6135" s="7" t="s">
        <v>16957</v>
      </c>
      <c r="K6135" s="7" t="s">
        <v>175</v>
      </c>
      <c r="L6135" s="201" t="s">
        <v>16835</v>
      </c>
      <c r="M6135" s="194"/>
      <c r="N6135" s="194"/>
    </row>
    <row r="6136">
      <c r="A6136" s="193" t="s">
        <v>25117</v>
      </c>
      <c r="B6136" s="7" t="s">
        <v>19644</v>
      </c>
      <c r="C6136" s="7" t="s">
        <v>16838</v>
      </c>
      <c r="D6136" s="194">
        <v>1988.0</v>
      </c>
      <c r="E6136" s="193"/>
      <c r="F6136" s="195" t="s">
        <v>25118</v>
      </c>
      <c r="G6136" s="200">
        <v>1.5176525E8</v>
      </c>
      <c r="H6136" s="197">
        <v>3.02</v>
      </c>
      <c r="I6136" s="7" t="s">
        <v>16815</v>
      </c>
      <c r="J6136" s="7" t="s">
        <v>19644</v>
      </c>
      <c r="K6136" s="7" t="s">
        <v>16838</v>
      </c>
      <c r="L6136" s="201" t="s">
        <v>16835</v>
      </c>
      <c r="M6136" s="194"/>
      <c r="N6136" s="194"/>
    </row>
    <row r="6137">
      <c r="A6137" s="193" t="s">
        <v>25117</v>
      </c>
      <c r="B6137" s="7" t="s">
        <v>16838</v>
      </c>
      <c r="C6137" s="7" t="s">
        <v>19644</v>
      </c>
      <c r="D6137" s="194">
        <v>1988.0</v>
      </c>
      <c r="E6137" s="193"/>
      <c r="F6137" s="195" t="s">
        <v>25118</v>
      </c>
      <c r="G6137" s="196">
        <v>1.5176525E8</v>
      </c>
      <c r="H6137" s="197">
        <v>3.02</v>
      </c>
      <c r="I6137" s="7" t="s">
        <v>16815</v>
      </c>
      <c r="J6137" s="7" t="s">
        <v>16838</v>
      </c>
      <c r="K6137" s="7" t="s">
        <v>19644</v>
      </c>
      <c r="L6137" s="198" t="s">
        <v>65</v>
      </c>
      <c r="M6137" s="194"/>
      <c r="N6137" s="194"/>
    </row>
    <row r="6138">
      <c r="A6138" s="193" t="s">
        <v>25119</v>
      </c>
      <c r="B6138" s="7" t="s">
        <v>175</v>
      </c>
      <c r="C6138" s="7" t="s">
        <v>16854</v>
      </c>
      <c r="D6138" s="199"/>
      <c r="E6138" s="193"/>
      <c r="F6138" s="195" t="s">
        <v>25120</v>
      </c>
      <c r="G6138" s="196">
        <v>1.51737566E8</v>
      </c>
      <c r="H6138" s="197">
        <v>9.12</v>
      </c>
      <c r="I6138" s="7" t="s">
        <v>168</v>
      </c>
      <c r="J6138" s="7" t="s">
        <v>175</v>
      </c>
      <c r="K6138" s="7" t="s">
        <v>16854</v>
      </c>
      <c r="L6138" s="198" t="s">
        <v>65</v>
      </c>
      <c r="M6138" s="199"/>
      <c r="N6138" s="199"/>
    </row>
    <row r="6139">
      <c r="A6139" s="193" t="s">
        <v>25121</v>
      </c>
      <c r="B6139" s="7" t="s">
        <v>187</v>
      </c>
      <c r="C6139" s="7" t="s">
        <v>16846</v>
      </c>
      <c r="D6139" s="194">
        <v>2021.0</v>
      </c>
      <c r="E6139" s="193"/>
      <c r="F6139" s="195" t="s">
        <v>25122</v>
      </c>
      <c r="G6139" s="196">
        <v>1.51733918E8</v>
      </c>
      <c r="H6139" s="197">
        <v>5.185</v>
      </c>
      <c r="I6139" s="7" t="s">
        <v>16815</v>
      </c>
      <c r="J6139" s="7" t="s">
        <v>187</v>
      </c>
      <c r="K6139" s="7" t="s">
        <v>16846</v>
      </c>
      <c r="L6139" s="198" t="s">
        <v>65</v>
      </c>
      <c r="M6139" s="194"/>
      <c r="N6139" s="194"/>
    </row>
    <row r="6140">
      <c r="A6140" s="193" t="s">
        <v>25123</v>
      </c>
      <c r="B6140" s="7" t="s">
        <v>17321</v>
      </c>
      <c r="C6140" s="7" t="s">
        <v>169</v>
      </c>
      <c r="D6140" s="199"/>
      <c r="E6140" s="193"/>
      <c r="F6140" s="195" t="s">
        <v>25124</v>
      </c>
      <c r="G6140" s="200">
        <v>1.51636426E8</v>
      </c>
      <c r="H6140" s="197">
        <v>4.41</v>
      </c>
      <c r="I6140" s="7" t="s">
        <v>16815</v>
      </c>
      <c r="J6140" s="7" t="s">
        <v>17321</v>
      </c>
      <c r="K6140" s="7" t="s">
        <v>169</v>
      </c>
      <c r="L6140" s="201" t="s">
        <v>16835</v>
      </c>
      <c r="M6140" s="199"/>
      <c r="N6140" s="199"/>
    </row>
    <row r="6141">
      <c r="A6141" s="193" t="s">
        <v>25123</v>
      </c>
      <c r="B6141" s="7" t="s">
        <v>169</v>
      </c>
      <c r="C6141" s="7" t="s">
        <v>17321</v>
      </c>
      <c r="D6141" s="199"/>
      <c r="E6141" s="193"/>
      <c r="F6141" s="195" t="s">
        <v>25124</v>
      </c>
      <c r="G6141" s="196">
        <v>1.51636426E8</v>
      </c>
      <c r="H6141" s="197">
        <v>4.41</v>
      </c>
      <c r="I6141" s="7" t="s">
        <v>16815</v>
      </c>
      <c r="J6141" s="7" t="s">
        <v>169</v>
      </c>
      <c r="K6141" s="7" t="s">
        <v>17321</v>
      </c>
      <c r="L6141" s="198" t="s">
        <v>65</v>
      </c>
      <c r="M6141" s="199"/>
      <c r="N6141" s="199"/>
    </row>
    <row r="6142">
      <c r="A6142" s="193" t="s">
        <v>25125</v>
      </c>
      <c r="B6142" s="7" t="s">
        <v>17347</v>
      </c>
      <c r="C6142" s="7" t="s">
        <v>16838</v>
      </c>
      <c r="D6142" s="194">
        <v>1994.0</v>
      </c>
      <c r="E6142" s="193"/>
      <c r="F6142" s="195" t="s">
        <v>25126</v>
      </c>
      <c r="G6142" s="200">
        <v>1.516308E8</v>
      </c>
      <c r="H6142" s="197">
        <v>3.06</v>
      </c>
      <c r="I6142" s="7" t="s">
        <v>16815</v>
      </c>
      <c r="J6142" s="7" t="s">
        <v>17347</v>
      </c>
      <c r="K6142" s="7" t="s">
        <v>16838</v>
      </c>
      <c r="L6142" s="201" t="s">
        <v>16835</v>
      </c>
      <c r="M6142" s="194"/>
      <c r="N6142" s="194"/>
    </row>
    <row r="6143">
      <c r="A6143" s="193" t="s">
        <v>25125</v>
      </c>
      <c r="B6143" s="7" t="s">
        <v>16838</v>
      </c>
      <c r="C6143" s="7" t="s">
        <v>17347</v>
      </c>
      <c r="D6143" s="194">
        <v>1994.0</v>
      </c>
      <c r="E6143" s="193"/>
      <c r="F6143" s="195" t="s">
        <v>25126</v>
      </c>
      <c r="G6143" s="196">
        <v>1.516308E8</v>
      </c>
      <c r="H6143" s="197">
        <v>3.06</v>
      </c>
      <c r="I6143" s="7" t="s">
        <v>16815</v>
      </c>
      <c r="J6143" s="7" t="s">
        <v>16838</v>
      </c>
      <c r="K6143" s="7" t="s">
        <v>17347</v>
      </c>
      <c r="L6143" s="198" t="s">
        <v>65</v>
      </c>
      <c r="M6143" s="194"/>
      <c r="N6143" s="194"/>
    </row>
    <row r="6144">
      <c r="A6144" s="193" t="s">
        <v>25127</v>
      </c>
      <c r="B6144" s="7" t="s">
        <v>187</v>
      </c>
      <c r="C6144" s="7" t="s">
        <v>16846</v>
      </c>
      <c r="D6144" s="194">
        <v>2018.0</v>
      </c>
      <c r="E6144" s="193"/>
      <c r="F6144" s="195" t="s">
        <v>25128</v>
      </c>
      <c r="G6144" s="196">
        <v>1.51311408E8</v>
      </c>
      <c r="H6144" s="197">
        <v>5.17</v>
      </c>
      <c r="I6144" s="7" t="s">
        <v>16815</v>
      </c>
      <c r="J6144" s="7" t="s">
        <v>187</v>
      </c>
      <c r="K6144" s="7" t="s">
        <v>16846</v>
      </c>
      <c r="L6144" s="198" t="s">
        <v>65</v>
      </c>
      <c r="M6144" s="194"/>
      <c r="N6144" s="194"/>
    </row>
    <row r="6145">
      <c r="A6145" s="193" t="s">
        <v>25129</v>
      </c>
      <c r="B6145" s="7" t="s">
        <v>187</v>
      </c>
      <c r="C6145" s="7" t="s">
        <v>16858</v>
      </c>
      <c r="D6145" s="199"/>
      <c r="E6145" s="193"/>
      <c r="F6145" s="195" t="s">
        <v>25130</v>
      </c>
      <c r="G6145" s="196">
        <v>1.50809546E8</v>
      </c>
      <c r="H6145" s="197">
        <v>1.17</v>
      </c>
      <c r="I6145" s="7" t="s">
        <v>16815</v>
      </c>
      <c r="J6145" s="7" t="s">
        <v>187</v>
      </c>
      <c r="K6145" s="7" t="s">
        <v>16858</v>
      </c>
      <c r="L6145" s="198" t="s">
        <v>65</v>
      </c>
      <c r="M6145" s="199"/>
      <c r="N6145" s="199"/>
    </row>
    <row r="6146">
      <c r="A6146" s="193" t="s">
        <v>25129</v>
      </c>
      <c r="B6146" s="202" t="s">
        <v>16858</v>
      </c>
      <c r="C6146" s="193" t="s">
        <v>187</v>
      </c>
      <c r="D6146" s="206"/>
      <c r="E6146" s="193"/>
      <c r="F6146" s="203" t="s">
        <v>25130</v>
      </c>
      <c r="G6146" s="200">
        <v>1.50809546E8</v>
      </c>
      <c r="H6146" s="205">
        <v>16.81</v>
      </c>
      <c r="J6146" s="202" t="s">
        <v>16858</v>
      </c>
      <c r="K6146" s="193" t="s">
        <v>187</v>
      </c>
      <c r="L6146" s="193" t="s">
        <v>17471</v>
      </c>
      <c r="M6146" s="206"/>
      <c r="N6146" s="206"/>
    </row>
    <row r="6147">
      <c r="A6147" s="193" t="s">
        <v>25131</v>
      </c>
      <c r="B6147" s="7" t="s">
        <v>16838</v>
      </c>
      <c r="C6147" s="7" t="s">
        <v>16867</v>
      </c>
      <c r="D6147" s="199"/>
      <c r="E6147" s="193"/>
      <c r="F6147" s="195" t="s">
        <v>25132</v>
      </c>
      <c r="G6147" s="196">
        <v>1.50571119E8</v>
      </c>
      <c r="H6147" s="197">
        <v>21.39</v>
      </c>
      <c r="I6147" s="7" t="s">
        <v>16815</v>
      </c>
      <c r="J6147" s="7" t="s">
        <v>16838</v>
      </c>
      <c r="K6147" s="7" t="s">
        <v>16867</v>
      </c>
      <c r="L6147" s="198" t="s">
        <v>65</v>
      </c>
      <c r="M6147" s="199"/>
      <c r="N6147" s="199"/>
    </row>
    <row r="6148">
      <c r="A6148" s="193" t="s">
        <v>25133</v>
      </c>
      <c r="B6148" s="7" t="s">
        <v>187</v>
      </c>
      <c r="C6148" s="7" t="s">
        <v>16846</v>
      </c>
      <c r="D6148" s="199"/>
      <c r="E6148" s="193"/>
      <c r="F6148" s="195" t="s">
        <v>25134</v>
      </c>
      <c r="G6148" s="196">
        <v>1.50305381E8</v>
      </c>
      <c r="H6148" s="197">
        <v>4.15</v>
      </c>
      <c r="I6148" s="7" t="s">
        <v>16815</v>
      </c>
      <c r="J6148" s="7" t="s">
        <v>187</v>
      </c>
      <c r="K6148" s="7" t="s">
        <v>16846</v>
      </c>
      <c r="L6148" s="198" t="s">
        <v>65</v>
      </c>
      <c r="M6148" s="199"/>
      <c r="N6148" s="199"/>
    </row>
    <row r="6149">
      <c r="A6149" s="193" t="s">
        <v>25135</v>
      </c>
      <c r="B6149" s="7" t="s">
        <v>16838</v>
      </c>
      <c r="C6149" s="7" t="s">
        <v>17019</v>
      </c>
      <c r="D6149" s="194">
        <v>2020.0</v>
      </c>
      <c r="E6149" s="193"/>
      <c r="F6149" s="195" t="s">
        <v>25136</v>
      </c>
      <c r="G6149" s="196">
        <v>1.50274908E8</v>
      </c>
      <c r="H6149" s="197">
        <v>0.5901</v>
      </c>
      <c r="I6149" s="7" t="s">
        <v>16815</v>
      </c>
      <c r="J6149" s="7" t="s">
        <v>16838</v>
      </c>
      <c r="K6149" s="7" t="s">
        <v>17019</v>
      </c>
      <c r="L6149" s="198" t="s">
        <v>65</v>
      </c>
      <c r="M6149" s="194"/>
      <c r="N6149" s="194"/>
    </row>
    <row r="6150">
      <c r="A6150" s="193" t="s">
        <v>25137</v>
      </c>
      <c r="B6150" s="7" t="s">
        <v>175</v>
      </c>
      <c r="C6150" s="7" t="s">
        <v>17619</v>
      </c>
      <c r="D6150" s="194">
        <v>2014.0</v>
      </c>
      <c r="E6150" s="193"/>
      <c r="F6150" s="195" t="s">
        <v>25138</v>
      </c>
      <c r="G6150" s="196">
        <v>1.50246128E8</v>
      </c>
      <c r="H6150" s="197">
        <v>9.07</v>
      </c>
      <c r="I6150" s="7" t="s">
        <v>16844</v>
      </c>
      <c r="J6150" s="7" t="s">
        <v>175</v>
      </c>
      <c r="K6150" s="7" t="s">
        <v>17619</v>
      </c>
      <c r="L6150" s="198" t="s">
        <v>65</v>
      </c>
      <c r="M6150" s="194"/>
      <c r="N6150" s="194"/>
    </row>
    <row r="6151">
      <c r="A6151" s="193" t="s">
        <v>25137</v>
      </c>
      <c r="B6151" s="7" t="s">
        <v>17619</v>
      </c>
      <c r="C6151" s="7" t="s">
        <v>175</v>
      </c>
      <c r="D6151" s="194">
        <v>2014.0</v>
      </c>
      <c r="E6151" s="193"/>
      <c r="F6151" s="195" t="s">
        <v>25138</v>
      </c>
      <c r="G6151" s="200">
        <v>1.50246128E8</v>
      </c>
      <c r="H6151" s="197">
        <v>9.07</v>
      </c>
      <c r="I6151" s="7" t="s">
        <v>16815</v>
      </c>
      <c r="J6151" s="7" t="s">
        <v>17619</v>
      </c>
      <c r="K6151" s="7" t="s">
        <v>175</v>
      </c>
      <c r="L6151" s="201" t="s">
        <v>16835</v>
      </c>
      <c r="M6151" s="194"/>
      <c r="N6151" s="194"/>
    </row>
    <row r="6152">
      <c r="A6152" s="193" t="s">
        <v>25139</v>
      </c>
      <c r="B6152" s="7" t="s">
        <v>17112</v>
      </c>
      <c r="C6152" s="7" t="s">
        <v>17112</v>
      </c>
      <c r="D6152" s="199"/>
      <c r="E6152" s="193"/>
      <c r="F6152" s="195" t="s">
        <v>25140</v>
      </c>
      <c r="G6152" s="196">
        <v>1.50244547E8</v>
      </c>
      <c r="H6152" s="197">
        <v>11.28</v>
      </c>
      <c r="I6152" s="7" t="s">
        <v>16815</v>
      </c>
      <c r="J6152" s="7" t="s">
        <v>17112</v>
      </c>
      <c r="K6152" s="7" t="s">
        <v>17112</v>
      </c>
      <c r="L6152" s="198" t="s">
        <v>65</v>
      </c>
      <c r="M6152" s="199"/>
      <c r="N6152" s="199"/>
    </row>
    <row r="6153">
      <c r="A6153" s="193" t="s">
        <v>25141</v>
      </c>
      <c r="B6153" s="7" t="s">
        <v>169</v>
      </c>
      <c r="C6153" s="7" t="s">
        <v>16945</v>
      </c>
      <c r="D6153" s="199"/>
      <c r="E6153" s="193"/>
      <c r="F6153" s="195" t="s">
        <v>25142</v>
      </c>
      <c r="G6153" s="196">
        <v>1.50166951E8</v>
      </c>
      <c r="H6153" s="197">
        <v>3.16</v>
      </c>
      <c r="I6153" s="7" t="s">
        <v>16815</v>
      </c>
      <c r="J6153" s="7" t="s">
        <v>169</v>
      </c>
      <c r="K6153" s="7" t="s">
        <v>16945</v>
      </c>
      <c r="L6153" s="198" t="s">
        <v>65</v>
      </c>
      <c r="M6153" s="199"/>
      <c r="N6153" s="199"/>
    </row>
    <row r="6154">
      <c r="A6154" s="193" t="s">
        <v>25143</v>
      </c>
      <c r="B6154" s="7" t="s">
        <v>16838</v>
      </c>
      <c r="C6154" s="7" t="s">
        <v>16867</v>
      </c>
      <c r="D6154" s="199"/>
      <c r="E6154" s="193"/>
      <c r="F6154" s="195" t="s">
        <v>25144</v>
      </c>
      <c r="G6154" s="196">
        <v>1.5012151E8</v>
      </c>
      <c r="H6154" s="197">
        <v>25.48</v>
      </c>
      <c r="I6154" s="7" t="s">
        <v>16815</v>
      </c>
      <c r="J6154" s="7" t="s">
        <v>16838</v>
      </c>
      <c r="K6154" s="7" t="s">
        <v>16867</v>
      </c>
      <c r="L6154" s="198" t="s">
        <v>65</v>
      </c>
      <c r="M6154" s="199"/>
      <c r="N6154" s="199"/>
    </row>
    <row r="6155">
      <c r="A6155" s="193" t="s">
        <v>25145</v>
      </c>
      <c r="B6155" s="7" t="s">
        <v>16885</v>
      </c>
      <c r="C6155" s="7" t="s">
        <v>18805</v>
      </c>
      <c r="D6155" s="194">
        <v>2021.0</v>
      </c>
      <c r="E6155" s="193"/>
      <c r="F6155" s="195" t="s">
        <v>25146</v>
      </c>
      <c r="G6155" s="196">
        <v>1.49684041E8</v>
      </c>
      <c r="H6155" s="197">
        <v>1.67</v>
      </c>
      <c r="I6155" s="7" t="s">
        <v>16888</v>
      </c>
      <c r="J6155" s="7" t="s">
        <v>16885</v>
      </c>
      <c r="K6155" s="7" t="s">
        <v>18805</v>
      </c>
      <c r="L6155" s="198" t="s">
        <v>65</v>
      </c>
      <c r="M6155" s="194"/>
      <c r="N6155" s="194"/>
    </row>
    <row r="6156">
      <c r="A6156" s="193" t="s">
        <v>25147</v>
      </c>
      <c r="B6156" s="7" t="s">
        <v>16582</v>
      </c>
      <c r="C6156" s="7" t="s">
        <v>16817</v>
      </c>
      <c r="D6156" s="194">
        <v>2018.0</v>
      </c>
      <c r="E6156" s="193"/>
      <c r="F6156" s="195" t="s">
        <v>25148</v>
      </c>
      <c r="G6156" s="196">
        <v>1.49619214E8</v>
      </c>
      <c r="H6156" s="197">
        <v>1.11</v>
      </c>
      <c r="I6156" s="7" t="s">
        <v>16815</v>
      </c>
      <c r="J6156" s="7" t="s">
        <v>16582</v>
      </c>
      <c r="K6156" s="7" t="s">
        <v>16817</v>
      </c>
      <c r="L6156" s="198" t="s">
        <v>65</v>
      </c>
      <c r="M6156" s="194"/>
      <c r="N6156" s="194"/>
    </row>
    <row r="6157">
      <c r="A6157" s="193" t="s">
        <v>25147</v>
      </c>
      <c r="B6157" s="7" t="s">
        <v>16817</v>
      </c>
      <c r="C6157" s="7" t="s">
        <v>16582</v>
      </c>
      <c r="D6157" s="194">
        <v>2018.0</v>
      </c>
      <c r="E6157" s="193"/>
      <c r="F6157" s="195" t="s">
        <v>25149</v>
      </c>
      <c r="G6157" s="200">
        <v>1.49619214E8</v>
      </c>
      <c r="H6157" s="197">
        <v>1.11</v>
      </c>
      <c r="I6157" s="7" t="s">
        <v>16815</v>
      </c>
      <c r="J6157" s="7" t="s">
        <v>16817</v>
      </c>
      <c r="K6157" s="7" t="s">
        <v>16582</v>
      </c>
      <c r="L6157" s="201" t="s">
        <v>16835</v>
      </c>
      <c r="M6157" s="194"/>
      <c r="N6157" s="194"/>
    </row>
    <row r="6158">
      <c r="A6158" s="193" t="s">
        <v>25150</v>
      </c>
      <c r="D6158" s="194">
        <v>2021.0</v>
      </c>
      <c r="E6158" s="193"/>
      <c r="F6158" s="195" t="s">
        <v>25151</v>
      </c>
      <c r="G6158" s="196">
        <v>1.49495418E8</v>
      </c>
      <c r="H6158" s="197">
        <v>4.1475</v>
      </c>
      <c r="I6158" s="7" t="s">
        <v>16815</v>
      </c>
      <c r="L6158" s="198" t="s">
        <v>65</v>
      </c>
      <c r="M6158" s="194"/>
      <c r="N6158" s="194"/>
    </row>
    <row r="6159">
      <c r="A6159" s="193" t="s">
        <v>25152</v>
      </c>
      <c r="B6159" s="7" t="s">
        <v>175</v>
      </c>
      <c r="C6159" s="7" t="s">
        <v>17218</v>
      </c>
      <c r="D6159" s="194">
        <v>2019.0</v>
      </c>
      <c r="E6159" s="193"/>
      <c r="F6159" s="195" t="s">
        <v>25153</v>
      </c>
      <c r="G6159" s="196">
        <v>1.49367491E8</v>
      </c>
      <c r="H6159" s="197">
        <v>1.0</v>
      </c>
      <c r="I6159" s="7" t="s">
        <v>168</v>
      </c>
      <c r="J6159" s="7" t="s">
        <v>175</v>
      </c>
      <c r="K6159" s="7" t="s">
        <v>17218</v>
      </c>
      <c r="L6159" s="198" t="s">
        <v>65</v>
      </c>
      <c r="M6159" s="194"/>
      <c r="N6159" s="194"/>
    </row>
    <row r="6160">
      <c r="A6160" s="193" t="s">
        <v>25154</v>
      </c>
      <c r="B6160" s="7" t="s">
        <v>16838</v>
      </c>
      <c r="C6160" s="7" t="s">
        <v>16867</v>
      </c>
      <c r="D6160" s="199"/>
      <c r="E6160" s="193"/>
      <c r="F6160" s="195" t="s">
        <v>25155</v>
      </c>
      <c r="G6160" s="196">
        <v>1.49263347E8</v>
      </c>
      <c r="H6160" s="197">
        <v>27.22</v>
      </c>
      <c r="I6160" s="7" t="s">
        <v>16815</v>
      </c>
      <c r="J6160" s="7" t="s">
        <v>16838</v>
      </c>
      <c r="K6160" s="7" t="s">
        <v>16867</v>
      </c>
      <c r="L6160" s="198" t="s">
        <v>65</v>
      </c>
      <c r="M6160" s="199"/>
      <c r="N6160" s="199"/>
    </row>
    <row r="6161">
      <c r="A6161" s="193" t="s">
        <v>25154</v>
      </c>
      <c r="B6161" s="202" t="s">
        <v>16867</v>
      </c>
      <c r="C6161" s="193" t="s">
        <v>16838</v>
      </c>
      <c r="D6161" s="206"/>
      <c r="E6161" s="193"/>
      <c r="F6161" s="203" t="s">
        <v>25155</v>
      </c>
      <c r="G6161" s="200">
        <v>1.49263347E8</v>
      </c>
      <c r="H6161" s="205">
        <v>1.17</v>
      </c>
      <c r="J6161" s="202" t="s">
        <v>16867</v>
      </c>
      <c r="K6161" s="193" t="s">
        <v>16838</v>
      </c>
      <c r="L6161" s="193" t="s">
        <v>17471</v>
      </c>
      <c r="M6161" s="206"/>
      <c r="N6161" s="206"/>
    </row>
    <row r="6162">
      <c r="A6162" s="193" t="s">
        <v>25156</v>
      </c>
      <c r="B6162" s="7" t="s">
        <v>16838</v>
      </c>
      <c r="C6162" s="7" t="s">
        <v>16867</v>
      </c>
      <c r="D6162" s="199"/>
      <c r="E6162" s="193"/>
      <c r="F6162" s="195" t="s">
        <v>25157</v>
      </c>
      <c r="G6162" s="196">
        <v>1.48396206E8</v>
      </c>
      <c r="H6162" s="197">
        <v>21.0</v>
      </c>
      <c r="I6162" s="7" t="s">
        <v>16815</v>
      </c>
      <c r="J6162" s="7" t="s">
        <v>16838</v>
      </c>
      <c r="K6162" s="7" t="s">
        <v>16867</v>
      </c>
      <c r="L6162" s="198" t="s">
        <v>65</v>
      </c>
      <c r="M6162" s="199"/>
      <c r="N6162" s="199"/>
    </row>
    <row r="6163">
      <c r="A6163" s="193" t="s">
        <v>25158</v>
      </c>
      <c r="B6163" s="7" t="s">
        <v>175</v>
      </c>
      <c r="C6163" s="7" t="s">
        <v>16861</v>
      </c>
      <c r="D6163" s="194">
        <v>2020.0</v>
      </c>
      <c r="E6163" s="193"/>
      <c r="F6163" s="195" t="s">
        <v>25159</v>
      </c>
      <c r="G6163" s="196">
        <v>1.47870853E8</v>
      </c>
      <c r="H6163" s="197">
        <v>0.8248</v>
      </c>
      <c r="I6163" s="7" t="s">
        <v>174</v>
      </c>
      <c r="J6163" s="7" t="s">
        <v>175</v>
      </c>
      <c r="K6163" s="7" t="s">
        <v>16861</v>
      </c>
      <c r="L6163" s="198" t="s">
        <v>65</v>
      </c>
      <c r="M6163" s="194"/>
      <c r="N6163" s="194"/>
    </row>
    <row r="6164">
      <c r="A6164" s="193" t="s">
        <v>25158</v>
      </c>
      <c r="B6164" s="7" t="s">
        <v>16861</v>
      </c>
      <c r="C6164" s="7" t="s">
        <v>175</v>
      </c>
      <c r="D6164" s="194">
        <v>2020.0</v>
      </c>
      <c r="E6164" s="193"/>
      <c r="F6164" s="195" t="s">
        <v>25159</v>
      </c>
      <c r="G6164" s="200">
        <v>1.47870853E8</v>
      </c>
      <c r="H6164" s="197">
        <v>0.8248</v>
      </c>
      <c r="I6164" s="7" t="s">
        <v>16815</v>
      </c>
      <c r="J6164" s="7" t="s">
        <v>16861</v>
      </c>
      <c r="K6164" s="7" t="s">
        <v>175</v>
      </c>
      <c r="L6164" s="201" t="s">
        <v>16835</v>
      </c>
      <c r="M6164" s="194"/>
      <c r="N6164" s="194"/>
    </row>
    <row r="6165">
      <c r="A6165" s="193" t="s">
        <v>25160</v>
      </c>
      <c r="B6165" s="7" t="s">
        <v>16582</v>
      </c>
      <c r="C6165" s="7" t="s">
        <v>17342</v>
      </c>
      <c r="D6165" s="199"/>
      <c r="E6165" s="193"/>
      <c r="F6165" s="195" t="s">
        <v>25161</v>
      </c>
      <c r="G6165" s="196">
        <v>1.4763E8</v>
      </c>
      <c r="H6165" s="197">
        <v>1.75</v>
      </c>
      <c r="I6165" s="7" t="s">
        <v>16815</v>
      </c>
      <c r="J6165" s="7" t="s">
        <v>16582</v>
      </c>
      <c r="K6165" s="7" t="s">
        <v>17342</v>
      </c>
      <c r="L6165" s="198" t="s">
        <v>65</v>
      </c>
      <c r="M6165" s="199"/>
      <c r="N6165" s="199"/>
    </row>
    <row r="6166">
      <c r="A6166" s="193" t="s">
        <v>25162</v>
      </c>
      <c r="B6166" s="7" t="s">
        <v>16838</v>
      </c>
      <c r="C6166" s="7" t="s">
        <v>16867</v>
      </c>
      <c r="D6166" s="199"/>
      <c r="E6166" s="193"/>
      <c r="F6166" s="195" t="s">
        <v>25163</v>
      </c>
      <c r="G6166" s="196">
        <v>1.47531864E8</v>
      </c>
      <c r="H6166" s="197">
        <v>33.91</v>
      </c>
      <c r="I6166" s="7" t="s">
        <v>16815</v>
      </c>
      <c r="J6166" s="7" t="s">
        <v>16838</v>
      </c>
      <c r="K6166" s="7" t="s">
        <v>16867</v>
      </c>
      <c r="L6166" s="198" t="s">
        <v>65</v>
      </c>
      <c r="M6166" s="199"/>
      <c r="N6166" s="199"/>
    </row>
    <row r="6167">
      <c r="A6167" s="193" t="s">
        <v>25164</v>
      </c>
      <c r="B6167" s="7" t="s">
        <v>175</v>
      </c>
      <c r="C6167" s="7" t="s">
        <v>16824</v>
      </c>
      <c r="D6167" s="194">
        <v>2013.0</v>
      </c>
      <c r="E6167" s="193"/>
      <c r="F6167" s="195" t="s">
        <v>25165</v>
      </c>
      <c r="G6167" s="196">
        <v>1.47270098E8</v>
      </c>
      <c r="H6167" s="197">
        <v>1.3</v>
      </c>
      <c r="I6167" s="7" t="s">
        <v>168</v>
      </c>
      <c r="J6167" s="7" t="s">
        <v>175</v>
      </c>
      <c r="K6167" s="7" t="s">
        <v>16824</v>
      </c>
      <c r="L6167" s="198" t="s">
        <v>65</v>
      </c>
      <c r="M6167" s="194"/>
      <c r="N6167" s="194"/>
    </row>
    <row r="6168">
      <c r="A6168" s="193" t="s">
        <v>25164</v>
      </c>
      <c r="B6168" s="7" t="s">
        <v>16824</v>
      </c>
      <c r="C6168" s="7" t="s">
        <v>175</v>
      </c>
      <c r="D6168" s="194">
        <v>2013.0</v>
      </c>
      <c r="E6168" s="193"/>
      <c r="F6168" s="195" t="s">
        <v>25165</v>
      </c>
      <c r="G6168" s="200">
        <v>1.47270098E8</v>
      </c>
      <c r="H6168" s="197">
        <v>1.3</v>
      </c>
      <c r="I6168" s="7" t="s">
        <v>16815</v>
      </c>
      <c r="J6168" s="7" t="s">
        <v>16824</v>
      </c>
      <c r="K6168" s="7" t="s">
        <v>175</v>
      </c>
      <c r="L6168" s="201" t="s">
        <v>16835</v>
      </c>
      <c r="M6168" s="194"/>
      <c r="N6168" s="194"/>
    </row>
    <row r="6169">
      <c r="A6169" s="193" t="s">
        <v>25166</v>
      </c>
      <c r="B6169" s="7" t="s">
        <v>16582</v>
      </c>
      <c r="C6169" s="7" t="s">
        <v>16828</v>
      </c>
      <c r="D6169" s="194">
        <v>1997.0</v>
      </c>
      <c r="E6169" s="193"/>
      <c r="F6169" s="195" t="s">
        <v>25167</v>
      </c>
      <c r="G6169" s="196">
        <v>1.47226792E8</v>
      </c>
      <c r="H6169" s="197">
        <v>12.11</v>
      </c>
      <c r="I6169" s="7" t="s">
        <v>16815</v>
      </c>
      <c r="J6169" s="7" t="s">
        <v>16582</v>
      </c>
      <c r="K6169" s="7" t="s">
        <v>16828</v>
      </c>
      <c r="L6169" s="198" t="s">
        <v>65</v>
      </c>
      <c r="M6169" s="194"/>
      <c r="N6169" s="194"/>
    </row>
    <row r="6170">
      <c r="A6170" s="193" t="s">
        <v>25166</v>
      </c>
      <c r="B6170" s="202" t="s">
        <v>16828</v>
      </c>
      <c r="C6170" s="193" t="s">
        <v>16582</v>
      </c>
      <c r="D6170" s="193">
        <v>1997.0</v>
      </c>
      <c r="E6170" s="193"/>
      <c r="F6170" s="203" t="s">
        <v>25167</v>
      </c>
      <c r="G6170" s="200">
        <v>1.47226792E8</v>
      </c>
      <c r="H6170" s="205">
        <v>27.22</v>
      </c>
      <c r="J6170" s="202" t="s">
        <v>16828</v>
      </c>
      <c r="K6170" s="193" t="s">
        <v>16582</v>
      </c>
      <c r="L6170" s="193" t="s">
        <v>17471</v>
      </c>
      <c r="M6170" s="193"/>
      <c r="N6170" s="193"/>
    </row>
    <row r="6171">
      <c r="A6171" s="193" t="s">
        <v>25168</v>
      </c>
      <c r="B6171" s="7" t="s">
        <v>16838</v>
      </c>
      <c r="C6171" s="7" t="s">
        <v>16867</v>
      </c>
      <c r="D6171" s="194">
        <v>2018.0</v>
      </c>
      <c r="E6171" s="193"/>
      <c r="F6171" s="195" t="s">
        <v>25169</v>
      </c>
      <c r="G6171" s="196">
        <v>1.47060007E8</v>
      </c>
      <c r="H6171" s="197">
        <v>15.38</v>
      </c>
      <c r="I6171" s="7" t="s">
        <v>16815</v>
      </c>
      <c r="J6171" s="7" t="s">
        <v>16838</v>
      </c>
      <c r="K6171" s="7" t="s">
        <v>16867</v>
      </c>
      <c r="L6171" s="198" t="s">
        <v>65</v>
      </c>
      <c r="M6171" s="194"/>
      <c r="N6171" s="194"/>
    </row>
    <row r="6172">
      <c r="A6172" s="193" t="s">
        <v>25170</v>
      </c>
      <c r="B6172" s="7" t="s">
        <v>187</v>
      </c>
      <c r="C6172" s="7" t="s">
        <v>16846</v>
      </c>
      <c r="D6172" s="194">
        <v>2016.0</v>
      </c>
      <c r="E6172" s="193"/>
      <c r="F6172" s="195" t="s">
        <v>25171</v>
      </c>
      <c r="G6172" s="196">
        <v>1.46952928E8</v>
      </c>
      <c r="H6172" s="197">
        <v>0.9578</v>
      </c>
      <c r="I6172" s="7" t="s">
        <v>16815</v>
      </c>
      <c r="J6172" s="7" t="s">
        <v>187</v>
      </c>
      <c r="K6172" s="7" t="s">
        <v>16846</v>
      </c>
      <c r="L6172" s="198" t="s">
        <v>65</v>
      </c>
      <c r="M6172" s="194"/>
      <c r="N6172" s="194"/>
    </row>
    <row r="6173">
      <c r="A6173" s="193" t="s">
        <v>25172</v>
      </c>
      <c r="B6173" s="7" t="s">
        <v>16919</v>
      </c>
      <c r="C6173" s="7" t="s">
        <v>110</v>
      </c>
      <c r="D6173" s="199"/>
      <c r="E6173" s="193"/>
      <c r="F6173" s="195" t="s">
        <v>25173</v>
      </c>
      <c r="G6173" s="196">
        <v>1.46156115E8</v>
      </c>
      <c r="H6173" s="197">
        <v>7.41</v>
      </c>
      <c r="I6173" s="7" t="s">
        <v>16815</v>
      </c>
      <c r="J6173" s="7" t="s">
        <v>16919</v>
      </c>
      <c r="K6173" s="7" t="s">
        <v>110</v>
      </c>
      <c r="L6173" s="198" t="s">
        <v>65</v>
      </c>
      <c r="M6173" s="199"/>
      <c r="N6173" s="199"/>
    </row>
    <row r="6174">
      <c r="A6174" s="193" t="s">
        <v>25174</v>
      </c>
      <c r="B6174" s="7" t="s">
        <v>16582</v>
      </c>
      <c r="C6174" s="7" t="s">
        <v>16817</v>
      </c>
      <c r="D6174" s="194">
        <v>2019.0</v>
      </c>
      <c r="E6174" s="193"/>
      <c r="F6174" s="195" t="s">
        <v>25175</v>
      </c>
      <c r="G6174" s="196">
        <v>1.46063241E8</v>
      </c>
      <c r="H6174" s="197">
        <v>18.16</v>
      </c>
      <c r="I6174" s="7" t="s">
        <v>16815</v>
      </c>
      <c r="J6174" s="7" t="s">
        <v>16582</v>
      </c>
      <c r="K6174" s="7" t="s">
        <v>16817</v>
      </c>
      <c r="L6174" s="198" t="s">
        <v>65</v>
      </c>
      <c r="M6174" s="194"/>
      <c r="N6174" s="194"/>
    </row>
    <row r="6175">
      <c r="A6175" s="193" t="s">
        <v>25174</v>
      </c>
      <c r="B6175" s="7" t="s">
        <v>16817</v>
      </c>
      <c r="C6175" s="7" t="s">
        <v>16582</v>
      </c>
      <c r="D6175" s="194">
        <v>2019.0</v>
      </c>
      <c r="E6175" s="193"/>
      <c r="F6175" s="195" t="s">
        <v>25175</v>
      </c>
      <c r="G6175" s="200">
        <v>1.46063241E8</v>
      </c>
      <c r="H6175" s="197">
        <v>18.16</v>
      </c>
      <c r="I6175" s="7" t="s">
        <v>16815</v>
      </c>
      <c r="J6175" s="7" t="s">
        <v>16817</v>
      </c>
      <c r="K6175" s="7" t="s">
        <v>16582</v>
      </c>
      <c r="L6175" s="201" t="s">
        <v>16835</v>
      </c>
      <c r="M6175" s="194"/>
      <c r="N6175" s="194"/>
    </row>
    <row r="6176">
      <c r="A6176" s="193" t="s">
        <v>25176</v>
      </c>
      <c r="B6176" s="7" t="s">
        <v>187</v>
      </c>
      <c r="C6176" s="7" t="s">
        <v>16846</v>
      </c>
      <c r="D6176" s="194">
        <v>2017.0</v>
      </c>
      <c r="E6176" s="193"/>
      <c r="F6176" s="195" t="s">
        <v>25177</v>
      </c>
      <c r="G6176" s="196">
        <v>1.45904358E8</v>
      </c>
      <c r="H6176" s="197">
        <v>1.21</v>
      </c>
      <c r="I6176" s="7" t="s">
        <v>16815</v>
      </c>
      <c r="J6176" s="7" t="s">
        <v>187</v>
      </c>
      <c r="K6176" s="7" t="s">
        <v>16846</v>
      </c>
      <c r="L6176" s="198" t="s">
        <v>65</v>
      </c>
      <c r="M6176" s="194"/>
      <c r="N6176" s="194"/>
    </row>
    <row r="6177">
      <c r="A6177" s="193" t="s">
        <v>25178</v>
      </c>
      <c r="B6177" s="7" t="s">
        <v>16838</v>
      </c>
      <c r="C6177" s="7" t="s">
        <v>16867</v>
      </c>
      <c r="D6177" s="199"/>
      <c r="E6177" s="193"/>
      <c r="F6177" s="195" t="s">
        <v>25179</v>
      </c>
      <c r="G6177" s="196">
        <v>1.45651618E8</v>
      </c>
      <c r="H6177" s="197">
        <v>26.28</v>
      </c>
      <c r="I6177" s="7" t="s">
        <v>16815</v>
      </c>
      <c r="J6177" s="7" t="s">
        <v>16838</v>
      </c>
      <c r="K6177" s="7" t="s">
        <v>16867</v>
      </c>
      <c r="L6177" s="198" t="s">
        <v>65</v>
      </c>
      <c r="M6177" s="199"/>
      <c r="N6177" s="199"/>
    </row>
    <row r="6178">
      <c r="A6178" s="193" t="s">
        <v>25180</v>
      </c>
      <c r="B6178" s="7" t="s">
        <v>187</v>
      </c>
      <c r="C6178" s="7" t="s">
        <v>17122</v>
      </c>
      <c r="D6178" s="199"/>
      <c r="E6178" s="193"/>
      <c r="F6178" s="195" t="s">
        <v>25181</v>
      </c>
      <c r="G6178" s="196">
        <v>1.45442934E8</v>
      </c>
      <c r="H6178" s="197">
        <v>9.19</v>
      </c>
      <c r="I6178" s="7" t="s">
        <v>16815</v>
      </c>
      <c r="J6178" s="7" t="s">
        <v>187</v>
      </c>
      <c r="K6178" s="7" t="s">
        <v>17122</v>
      </c>
      <c r="L6178" s="198" t="s">
        <v>65</v>
      </c>
      <c r="M6178" s="199"/>
      <c r="N6178" s="199"/>
    </row>
    <row r="6179">
      <c r="A6179" s="193" t="s">
        <v>25182</v>
      </c>
      <c r="B6179" s="7" t="s">
        <v>158</v>
      </c>
      <c r="C6179" s="7" t="s">
        <v>16864</v>
      </c>
      <c r="D6179" s="194">
        <v>2022.0</v>
      </c>
      <c r="E6179" s="193"/>
      <c r="F6179" s="195" t="s">
        <v>25183</v>
      </c>
      <c r="G6179" s="196">
        <v>1.45204954E8</v>
      </c>
      <c r="H6179" s="197">
        <v>6.39</v>
      </c>
      <c r="I6179" s="7" t="s">
        <v>16897</v>
      </c>
      <c r="J6179" s="7" t="s">
        <v>158</v>
      </c>
      <c r="K6179" s="7" t="s">
        <v>16864</v>
      </c>
      <c r="L6179" s="198" t="s">
        <v>65</v>
      </c>
      <c r="M6179" s="194"/>
      <c r="N6179" s="194"/>
    </row>
    <row r="6180">
      <c r="A6180" s="193" t="s">
        <v>25182</v>
      </c>
      <c r="B6180" s="202" t="s">
        <v>16864</v>
      </c>
      <c r="C6180" s="193" t="s">
        <v>158</v>
      </c>
      <c r="D6180" s="193">
        <v>2022.0</v>
      </c>
      <c r="E6180" s="193"/>
      <c r="F6180" s="203" t="s">
        <v>25183</v>
      </c>
      <c r="G6180" s="200">
        <v>1.45204954E8</v>
      </c>
      <c r="H6180" s="205">
        <v>12.11</v>
      </c>
      <c r="J6180" s="202" t="s">
        <v>16864</v>
      </c>
      <c r="K6180" s="193" t="s">
        <v>158</v>
      </c>
      <c r="L6180" s="193" t="s">
        <v>17471</v>
      </c>
      <c r="M6180" s="193"/>
      <c r="N6180" s="193"/>
    </row>
    <row r="6181">
      <c r="A6181" s="193" t="s">
        <v>25184</v>
      </c>
      <c r="B6181" s="7" t="s">
        <v>175</v>
      </c>
      <c r="C6181" s="7" t="s">
        <v>17391</v>
      </c>
      <c r="D6181" s="199"/>
      <c r="E6181" s="193"/>
      <c r="F6181" s="195" t="s">
        <v>25185</v>
      </c>
      <c r="G6181" s="196">
        <v>1.44782038E8</v>
      </c>
      <c r="H6181" s="197">
        <v>0.7055</v>
      </c>
      <c r="I6181" s="7" t="s">
        <v>16903</v>
      </c>
      <c r="J6181" s="7" t="s">
        <v>175</v>
      </c>
      <c r="K6181" s="7" t="s">
        <v>17391</v>
      </c>
      <c r="L6181" s="198" t="s">
        <v>65</v>
      </c>
      <c r="M6181" s="199"/>
      <c r="N6181" s="199"/>
    </row>
    <row r="6182">
      <c r="A6182" s="193" t="s">
        <v>25186</v>
      </c>
      <c r="B6182" s="7" t="s">
        <v>175</v>
      </c>
      <c r="C6182" s="7" t="s">
        <v>17084</v>
      </c>
      <c r="D6182" s="199"/>
      <c r="E6182" s="193"/>
      <c r="F6182" s="195" t="s">
        <v>25187</v>
      </c>
      <c r="G6182" s="196">
        <v>1.44743651E8</v>
      </c>
      <c r="H6182" s="197">
        <v>7.03</v>
      </c>
      <c r="I6182" s="7" t="s">
        <v>16908</v>
      </c>
      <c r="J6182" s="7" t="s">
        <v>175</v>
      </c>
      <c r="K6182" s="7" t="s">
        <v>17084</v>
      </c>
      <c r="L6182" s="198" t="s">
        <v>65</v>
      </c>
      <c r="M6182" s="199"/>
      <c r="N6182" s="199"/>
    </row>
    <row r="6183">
      <c r="A6183" s="193" t="s">
        <v>25186</v>
      </c>
      <c r="B6183" s="7" t="s">
        <v>17084</v>
      </c>
      <c r="C6183" s="7" t="s">
        <v>175</v>
      </c>
      <c r="D6183" s="199"/>
      <c r="E6183" s="193"/>
      <c r="F6183" s="195" t="s">
        <v>25187</v>
      </c>
      <c r="G6183" s="200">
        <v>1.44743651E8</v>
      </c>
      <c r="H6183" s="197">
        <v>7.03</v>
      </c>
      <c r="I6183" s="7" t="s">
        <v>16815</v>
      </c>
      <c r="J6183" s="7" t="s">
        <v>17084</v>
      </c>
      <c r="K6183" s="7" t="s">
        <v>175</v>
      </c>
      <c r="L6183" s="201" t="s">
        <v>16835</v>
      </c>
      <c r="M6183" s="199"/>
      <c r="N6183" s="199"/>
    </row>
    <row r="6184">
      <c r="A6184" s="193" t="s">
        <v>25188</v>
      </c>
      <c r="B6184" s="7" t="s">
        <v>16582</v>
      </c>
      <c r="C6184" s="7" t="s">
        <v>16828</v>
      </c>
      <c r="D6184" s="194">
        <v>2008.0</v>
      </c>
      <c r="E6184" s="193"/>
      <c r="F6184" s="195" t="s">
        <v>25189</v>
      </c>
      <c r="G6184" s="196">
        <v>1.44659618E8</v>
      </c>
      <c r="H6184" s="197">
        <v>2.4</v>
      </c>
      <c r="I6184" s="7" t="s">
        <v>16815</v>
      </c>
      <c r="J6184" s="7" t="s">
        <v>16582</v>
      </c>
      <c r="K6184" s="7" t="s">
        <v>16828</v>
      </c>
      <c r="L6184" s="198" t="s">
        <v>65</v>
      </c>
      <c r="M6184" s="194"/>
      <c r="N6184" s="194"/>
    </row>
    <row r="6185">
      <c r="A6185" s="193" t="s">
        <v>25188</v>
      </c>
      <c r="B6185" s="7" t="s">
        <v>16828</v>
      </c>
      <c r="C6185" s="7" t="s">
        <v>16582</v>
      </c>
      <c r="D6185" s="194">
        <v>2008.0</v>
      </c>
      <c r="E6185" s="193"/>
      <c r="F6185" s="195" t="s">
        <v>25189</v>
      </c>
      <c r="G6185" s="200">
        <v>1.44659618E8</v>
      </c>
      <c r="H6185" s="197">
        <v>2.4</v>
      </c>
      <c r="I6185" s="7" t="s">
        <v>16815</v>
      </c>
      <c r="J6185" s="7" t="s">
        <v>16828</v>
      </c>
      <c r="K6185" s="7" t="s">
        <v>16582</v>
      </c>
      <c r="L6185" s="201" t="s">
        <v>16835</v>
      </c>
      <c r="M6185" s="194"/>
      <c r="N6185" s="194"/>
    </row>
    <row r="6186">
      <c r="A6186" s="193" t="s">
        <v>25190</v>
      </c>
      <c r="B6186" s="7" t="s">
        <v>16582</v>
      </c>
      <c r="C6186" s="7" t="s">
        <v>16930</v>
      </c>
      <c r="D6186" s="194">
        <v>2021.0</v>
      </c>
      <c r="E6186" s="193"/>
      <c r="F6186" s="195" t="s">
        <v>25191</v>
      </c>
      <c r="G6186" s="196">
        <v>1.44288576E8</v>
      </c>
      <c r="H6186" s="197">
        <v>3.29</v>
      </c>
      <c r="I6186" s="7" t="s">
        <v>16815</v>
      </c>
      <c r="J6186" s="7" t="s">
        <v>16582</v>
      </c>
      <c r="K6186" s="7" t="s">
        <v>16930</v>
      </c>
      <c r="L6186" s="198" t="s">
        <v>65</v>
      </c>
      <c r="M6186" s="194"/>
      <c r="N6186" s="194"/>
    </row>
    <row r="6187">
      <c r="A6187" s="193" t="s">
        <v>25192</v>
      </c>
      <c r="B6187" s="7" t="s">
        <v>16838</v>
      </c>
      <c r="C6187" s="7" t="s">
        <v>18219</v>
      </c>
      <c r="D6187" s="194">
        <v>2021.0</v>
      </c>
      <c r="E6187" s="193"/>
      <c r="F6187" s="195" t="s">
        <v>25193</v>
      </c>
      <c r="G6187" s="196">
        <v>1.4425696E8</v>
      </c>
      <c r="H6187" s="197">
        <v>10.41</v>
      </c>
      <c r="I6187" s="7" t="s">
        <v>16815</v>
      </c>
      <c r="J6187" s="7" t="s">
        <v>16838</v>
      </c>
      <c r="K6187" s="7" t="s">
        <v>18219</v>
      </c>
      <c r="L6187" s="198" t="s">
        <v>65</v>
      </c>
      <c r="M6187" s="194"/>
      <c r="N6187" s="194"/>
    </row>
    <row r="6188">
      <c r="A6188" s="193" t="s">
        <v>25194</v>
      </c>
      <c r="B6188" s="7" t="s">
        <v>175</v>
      </c>
      <c r="C6188" s="7" t="s">
        <v>18718</v>
      </c>
      <c r="D6188" s="194">
        <v>2012.0</v>
      </c>
      <c r="E6188" s="193"/>
      <c r="F6188" s="195" t="s">
        <v>25195</v>
      </c>
      <c r="G6188" s="196">
        <v>1.435616E8</v>
      </c>
      <c r="H6188" s="197">
        <v>4.16</v>
      </c>
      <c r="I6188" s="7" t="s">
        <v>16908</v>
      </c>
      <c r="J6188" s="7" t="s">
        <v>175</v>
      </c>
      <c r="K6188" s="7" t="s">
        <v>18718</v>
      </c>
      <c r="L6188" s="198" t="s">
        <v>65</v>
      </c>
      <c r="M6188" s="194"/>
      <c r="N6188" s="194"/>
    </row>
    <row r="6189">
      <c r="A6189" s="193" t="s">
        <v>25196</v>
      </c>
      <c r="B6189" s="7" t="s">
        <v>16838</v>
      </c>
      <c r="C6189" s="7" t="s">
        <v>17127</v>
      </c>
      <c r="D6189" s="194">
        <v>2020.0</v>
      </c>
      <c r="E6189" s="193"/>
      <c r="F6189" s="195" t="s">
        <v>25197</v>
      </c>
      <c r="G6189" s="196">
        <v>1.43518E8</v>
      </c>
      <c r="H6189" s="197">
        <v>9.83</v>
      </c>
      <c r="I6189" s="7" t="s">
        <v>16815</v>
      </c>
      <c r="J6189" s="7" t="s">
        <v>16838</v>
      </c>
      <c r="K6189" s="7" t="s">
        <v>17127</v>
      </c>
      <c r="L6189" s="198" t="s">
        <v>65</v>
      </c>
      <c r="M6189" s="194"/>
      <c r="N6189" s="194"/>
    </row>
    <row r="6190">
      <c r="A6190" s="193" t="s">
        <v>25198</v>
      </c>
      <c r="B6190" s="7" t="s">
        <v>187</v>
      </c>
      <c r="C6190" s="7" t="s">
        <v>16858</v>
      </c>
      <c r="D6190" s="194">
        <v>2020.0</v>
      </c>
      <c r="E6190" s="193"/>
      <c r="F6190" s="195" t="s">
        <v>25199</v>
      </c>
      <c r="G6190" s="196">
        <v>1.4333199E8</v>
      </c>
      <c r="H6190" s="197">
        <v>1.73</v>
      </c>
      <c r="I6190" s="7" t="s">
        <v>16815</v>
      </c>
      <c r="J6190" s="7" t="s">
        <v>187</v>
      </c>
      <c r="K6190" s="7" t="s">
        <v>16858</v>
      </c>
      <c r="L6190" s="198" t="s">
        <v>65</v>
      </c>
      <c r="M6190" s="194"/>
      <c r="N6190" s="194"/>
    </row>
    <row r="6191">
      <c r="A6191" s="193" t="s">
        <v>25200</v>
      </c>
      <c r="B6191" s="7" t="s">
        <v>16885</v>
      </c>
      <c r="C6191" s="7" t="s">
        <v>17726</v>
      </c>
      <c r="D6191" s="199"/>
      <c r="E6191" s="193"/>
      <c r="F6191" s="195" t="s">
        <v>25201</v>
      </c>
      <c r="G6191" s="196">
        <v>1.42666723E8</v>
      </c>
      <c r="H6191" s="197">
        <v>2.7</v>
      </c>
      <c r="I6191" s="7" t="s">
        <v>16826</v>
      </c>
      <c r="J6191" s="7" t="s">
        <v>16885</v>
      </c>
      <c r="K6191" s="7" t="s">
        <v>17726</v>
      </c>
      <c r="L6191" s="198" t="s">
        <v>65</v>
      </c>
      <c r="M6191" s="199"/>
      <c r="N6191" s="199"/>
    </row>
    <row r="6192">
      <c r="A6192" s="193" t="s">
        <v>25200</v>
      </c>
      <c r="B6192" s="202" t="s">
        <v>17726</v>
      </c>
      <c r="C6192" s="193" t="s">
        <v>16885</v>
      </c>
      <c r="D6192" s="206"/>
      <c r="E6192" s="193"/>
      <c r="F6192" s="203" t="s">
        <v>25201</v>
      </c>
      <c r="G6192" s="200">
        <v>1.42666723E8</v>
      </c>
      <c r="H6192" s="205">
        <v>6.39</v>
      </c>
      <c r="J6192" s="202" t="s">
        <v>17726</v>
      </c>
      <c r="K6192" s="193" t="s">
        <v>16885</v>
      </c>
      <c r="L6192" s="193" t="s">
        <v>17471</v>
      </c>
      <c r="M6192" s="206"/>
      <c r="N6192" s="206"/>
    </row>
    <row r="6193">
      <c r="A6193" s="193" t="s">
        <v>25202</v>
      </c>
      <c r="B6193" s="7" t="s">
        <v>187</v>
      </c>
      <c r="C6193" s="7" t="s">
        <v>16846</v>
      </c>
      <c r="D6193" s="194">
        <v>2000.0</v>
      </c>
      <c r="E6193" s="193"/>
      <c r="F6193" s="195" t="s">
        <v>25203</v>
      </c>
      <c r="G6193" s="196">
        <v>1.42616817E8</v>
      </c>
      <c r="H6193" s="197">
        <v>0.8179</v>
      </c>
      <c r="I6193" s="7" t="s">
        <v>16815</v>
      </c>
      <c r="J6193" s="7" t="s">
        <v>187</v>
      </c>
      <c r="K6193" s="7" t="s">
        <v>16846</v>
      </c>
      <c r="L6193" s="198" t="s">
        <v>65</v>
      </c>
      <c r="M6193" s="194"/>
      <c r="N6193" s="194"/>
    </row>
    <row r="6194">
      <c r="A6194" s="193" t="s">
        <v>25204</v>
      </c>
      <c r="B6194" s="7" t="s">
        <v>16919</v>
      </c>
      <c r="C6194" s="7" t="s">
        <v>17176</v>
      </c>
      <c r="D6194" s="199"/>
      <c r="E6194" s="193"/>
      <c r="F6194" s="195" t="s">
        <v>25205</v>
      </c>
      <c r="G6194" s="196">
        <v>1.42339556E8</v>
      </c>
      <c r="H6194" s="197">
        <v>19.68</v>
      </c>
      <c r="I6194" s="7" t="s">
        <v>16815</v>
      </c>
      <c r="J6194" s="7" t="s">
        <v>16919</v>
      </c>
      <c r="K6194" s="7" t="s">
        <v>17176</v>
      </c>
      <c r="L6194" s="198" t="s">
        <v>65</v>
      </c>
      <c r="M6194" s="199"/>
      <c r="N6194" s="199"/>
    </row>
    <row r="6195">
      <c r="A6195" s="193" t="s">
        <v>25206</v>
      </c>
      <c r="B6195" s="7" t="s">
        <v>17112</v>
      </c>
      <c r="C6195" s="7" t="s">
        <v>17787</v>
      </c>
      <c r="D6195" s="194">
        <v>2021.0</v>
      </c>
      <c r="E6195" s="193"/>
      <c r="F6195" s="195" t="s">
        <v>25207</v>
      </c>
      <c r="G6195" s="196">
        <v>1.4181171E8</v>
      </c>
      <c r="H6195" s="197">
        <v>1.6</v>
      </c>
      <c r="I6195" s="7" t="s">
        <v>16815</v>
      </c>
      <c r="J6195" s="7" t="s">
        <v>17112</v>
      </c>
      <c r="K6195" s="7" t="s">
        <v>17787</v>
      </c>
      <c r="L6195" s="198" t="s">
        <v>65</v>
      </c>
      <c r="M6195" s="194"/>
      <c r="N6195" s="194"/>
    </row>
    <row r="6196">
      <c r="A6196" s="193" t="s">
        <v>25206</v>
      </c>
      <c r="B6196" s="7" t="s">
        <v>17787</v>
      </c>
      <c r="C6196" s="7" t="s">
        <v>17112</v>
      </c>
      <c r="D6196" s="194">
        <v>2021.0</v>
      </c>
      <c r="E6196" s="193"/>
      <c r="F6196" s="195" t="s">
        <v>25207</v>
      </c>
      <c r="G6196" s="200">
        <v>1.4181171E8</v>
      </c>
      <c r="H6196" s="197">
        <v>1.6</v>
      </c>
      <c r="I6196" s="7" t="s">
        <v>16815</v>
      </c>
      <c r="J6196" s="7" t="s">
        <v>17787</v>
      </c>
      <c r="K6196" s="7" t="s">
        <v>17112</v>
      </c>
      <c r="L6196" s="201" t="s">
        <v>16835</v>
      </c>
      <c r="M6196" s="194"/>
      <c r="N6196" s="194"/>
    </row>
    <row r="6197">
      <c r="A6197" s="193" t="s">
        <v>25208</v>
      </c>
      <c r="B6197" s="7" t="s">
        <v>175</v>
      </c>
      <c r="C6197" s="7" t="s">
        <v>16824</v>
      </c>
      <c r="D6197" s="194">
        <v>2021.0</v>
      </c>
      <c r="E6197" s="193"/>
      <c r="F6197" s="195" t="s">
        <v>25209</v>
      </c>
      <c r="G6197" s="196">
        <v>1.41294597E8</v>
      </c>
      <c r="H6197" s="197">
        <v>1.48</v>
      </c>
      <c r="I6197" s="7" t="s">
        <v>16892</v>
      </c>
      <c r="J6197" s="7" t="s">
        <v>175</v>
      </c>
      <c r="K6197" s="7" t="s">
        <v>16824</v>
      </c>
      <c r="L6197" s="198" t="s">
        <v>65</v>
      </c>
      <c r="M6197" s="194"/>
      <c r="N6197" s="194"/>
    </row>
    <row r="6198">
      <c r="A6198" s="193" t="s">
        <v>25210</v>
      </c>
      <c r="B6198" s="7" t="s">
        <v>16838</v>
      </c>
      <c r="C6198" s="7" t="s">
        <v>17016</v>
      </c>
      <c r="D6198" s="194">
        <v>2021.0</v>
      </c>
      <c r="E6198" s="193"/>
      <c r="F6198" s="195" t="s">
        <v>25211</v>
      </c>
      <c r="G6198" s="196">
        <v>1.41082538E8</v>
      </c>
      <c r="H6198" s="197">
        <v>10.95</v>
      </c>
      <c r="I6198" s="7" t="s">
        <v>16815</v>
      </c>
      <c r="J6198" s="7" t="s">
        <v>16838</v>
      </c>
      <c r="K6198" s="7" t="s">
        <v>17016</v>
      </c>
      <c r="L6198" s="198" t="s">
        <v>65</v>
      </c>
      <c r="M6198" s="194"/>
      <c r="N6198" s="194"/>
    </row>
    <row r="6199">
      <c r="A6199" s="193" t="s">
        <v>25212</v>
      </c>
      <c r="B6199" s="7" t="s">
        <v>187</v>
      </c>
      <c r="C6199" s="7" t="s">
        <v>16992</v>
      </c>
      <c r="D6199" s="194">
        <v>2021.0</v>
      </c>
      <c r="E6199" s="193"/>
      <c r="F6199" s="195" t="s">
        <v>25213</v>
      </c>
      <c r="G6199" s="196">
        <v>1.41037804E8</v>
      </c>
      <c r="H6199" s="197">
        <v>2.395</v>
      </c>
      <c r="I6199" s="7" t="s">
        <v>16815</v>
      </c>
      <c r="J6199" s="7" t="s">
        <v>187</v>
      </c>
      <c r="K6199" s="7" t="s">
        <v>16992</v>
      </c>
      <c r="L6199" s="198" t="s">
        <v>65</v>
      </c>
      <c r="M6199" s="194"/>
      <c r="N6199" s="194"/>
    </row>
    <row r="6200">
      <c r="A6200" s="193" t="s">
        <v>25214</v>
      </c>
      <c r="B6200" s="7" t="s">
        <v>18679</v>
      </c>
      <c r="C6200" s="7" t="s">
        <v>16838</v>
      </c>
      <c r="D6200" s="199"/>
      <c r="E6200" s="193"/>
      <c r="F6200" s="195" t="s">
        <v>25215</v>
      </c>
      <c r="G6200" s="200">
        <v>1.41017027E8</v>
      </c>
      <c r="H6200" s="197">
        <v>8.25</v>
      </c>
      <c r="I6200" s="7" t="s">
        <v>16815</v>
      </c>
      <c r="J6200" s="7" t="s">
        <v>18679</v>
      </c>
      <c r="K6200" s="7" t="s">
        <v>16838</v>
      </c>
      <c r="L6200" s="201" t="s">
        <v>16835</v>
      </c>
      <c r="M6200" s="199"/>
      <c r="N6200" s="199"/>
    </row>
    <row r="6201">
      <c r="A6201" s="193" t="s">
        <v>25214</v>
      </c>
      <c r="B6201" s="7" t="s">
        <v>16838</v>
      </c>
      <c r="C6201" s="7" t="s">
        <v>18679</v>
      </c>
      <c r="D6201" s="199"/>
      <c r="E6201" s="193"/>
      <c r="F6201" s="195" t="s">
        <v>25215</v>
      </c>
      <c r="G6201" s="196">
        <v>1.41017027E8</v>
      </c>
      <c r="H6201" s="197">
        <v>8.25</v>
      </c>
      <c r="I6201" s="7" t="s">
        <v>16815</v>
      </c>
      <c r="J6201" s="7" t="s">
        <v>16838</v>
      </c>
      <c r="K6201" s="7" t="s">
        <v>18679</v>
      </c>
      <c r="L6201" s="198" t="s">
        <v>65</v>
      </c>
      <c r="M6201" s="199"/>
      <c r="N6201" s="199"/>
    </row>
    <row r="6202">
      <c r="A6202" s="193" t="s">
        <v>25216</v>
      </c>
      <c r="B6202" s="7" t="s">
        <v>16582</v>
      </c>
      <c r="C6202" s="7" t="s">
        <v>16817</v>
      </c>
      <c r="D6202" s="194">
        <v>2020.0</v>
      </c>
      <c r="E6202" s="193"/>
      <c r="F6202" s="195" t="s">
        <v>25217</v>
      </c>
      <c r="G6202" s="196">
        <v>1.4065768E8</v>
      </c>
      <c r="H6202" s="197">
        <v>1.255</v>
      </c>
      <c r="I6202" s="7" t="s">
        <v>16815</v>
      </c>
      <c r="J6202" s="7" t="s">
        <v>16582</v>
      </c>
      <c r="K6202" s="7" t="s">
        <v>16817</v>
      </c>
      <c r="L6202" s="198" t="s">
        <v>65</v>
      </c>
      <c r="M6202" s="194"/>
      <c r="N6202" s="194"/>
    </row>
    <row r="6203">
      <c r="A6203" s="193" t="s">
        <v>25218</v>
      </c>
      <c r="B6203" s="7" t="s">
        <v>175</v>
      </c>
      <c r="C6203" s="7" t="s">
        <v>16972</v>
      </c>
      <c r="D6203" s="199"/>
      <c r="E6203" s="193"/>
      <c r="F6203" s="195" t="s">
        <v>25219</v>
      </c>
      <c r="G6203" s="196">
        <v>1.4043E8</v>
      </c>
      <c r="H6203" s="197">
        <v>3.1</v>
      </c>
      <c r="I6203" s="7" t="s">
        <v>16908</v>
      </c>
      <c r="J6203" s="7" t="s">
        <v>175</v>
      </c>
      <c r="K6203" s="7" t="s">
        <v>16972</v>
      </c>
      <c r="L6203" s="198" t="s">
        <v>65</v>
      </c>
      <c r="M6203" s="199"/>
      <c r="N6203" s="199"/>
    </row>
    <row r="6204">
      <c r="A6204" s="193" t="s">
        <v>25220</v>
      </c>
      <c r="B6204" s="7" t="s">
        <v>16582</v>
      </c>
      <c r="C6204" s="7" t="s">
        <v>16828</v>
      </c>
      <c r="D6204" s="194">
        <v>2011.0</v>
      </c>
      <c r="E6204" s="193"/>
      <c r="F6204" s="195" t="s">
        <v>25221</v>
      </c>
      <c r="G6204" s="196">
        <v>1.40234198E8</v>
      </c>
      <c r="H6204" s="197">
        <v>2.9</v>
      </c>
      <c r="I6204" s="7" t="s">
        <v>16815</v>
      </c>
      <c r="J6204" s="7" t="s">
        <v>16582</v>
      </c>
      <c r="K6204" s="7" t="s">
        <v>16828</v>
      </c>
      <c r="L6204" s="198" t="s">
        <v>65</v>
      </c>
      <c r="M6204" s="194"/>
      <c r="N6204" s="194"/>
    </row>
    <row r="6205">
      <c r="A6205" s="193" t="s">
        <v>25220</v>
      </c>
      <c r="B6205" s="7" t="s">
        <v>16828</v>
      </c>
      <c r="C6205" s="7" t="s">
        <v>16582</v>
      </c>
      <c r="D6205" s="194">
        <v>2011.0</v>
      </c>
      <c r="E6205" s="193"/>
      <c r="F6205" s="195" t="s">
        <v>25221</v>
      </c>
      <c r="G6205" s="200">
        <v>1.40234198E8</v>
      </c>
      <c r="H6205" s="197">
        <v>2.9</v>
      </c>
      <c r="I6205" s="7" t="s">
        <v>16815</v>
      </c>
      <c r="J6205" s="7" t="s">
        <v>16828</v>
      </c>
      <c r="K6205" s="7" t="s">
        <v>16582</v>
      </c>
      <c r="L6205" s="201" t="s">
        <v>16835</v>
      </c>
      <c r="M6205" s="194"/>
      <c r="N6205" s="194"/>
    </row>
    <row r="6206">
      <c r="A6206" s="193" t="s">
        <v>25222</v>
      </c>
      <c r="B6206" s="7" t="s">
        <v>16838</v>
      </c>
      <c r="C6206" s="7" t="s">
        <v>16867</v>
      </c>
      <c r="D6206" s="199"/>
      <c r="E6206" s="193"/>
      <c r="F6206" s="195" t="s">
        <v>25223</v>
      </c>
      <c r="G6206" s="196">
        <v>1.40173244E8</v>
      </c>
      <c r="H6206" s="197">
        <v>8.2</v>
      </c>
      <c r="I6206" s="7" t="s">
        <v>16815</v>
      </c>
      <c r="J6206" s="7" t="s">
        <v>16838</v>
      </c>
      <c r="K6206" s="7" t="s">
        <v>16867</v>
      </c>
      <c r="L6206" s="198" t="s">
        <v>65</v>
      </c>
      <c r="M6206" s="199"/>
      <c r="N6206" s="199"/>
    </row>
    <row r="6207">
      <c r="A6207" s="193" t="s">
        <v>25224</v>
      </c>
      <c r="B6207" s="7" t="s">
        <v>187</v>
      </c>
      <c r="C6207" s="7" t="s">
        <v>16969</v>
      </c>
      <c r="D6207" s="194">
        <v>2021.0</v>
      </c>
      <c r="E6207" s="193"/>
      <c r="F6207" s="195" t="s">
        <v>25225</v>
      </c>
      <c r="G6207" s="196">
        <v>1.398608E8</v>
      </c>
      <c r="H6207" s="197">
        <v>4.88</v>
      </c>
      <c r="I6207" s="7" t="s">
        <v>16815</v>
      </c>
      <c r="J6207" s="7" t="s">
        <v>187</v>
      </c>
      <c r="K6207" s="7" t="s">
        <v>16969</v>
      </c>
      <c r="L6207" s="198" t="s">
        <v>65</v>
      </c>
      <c r="M6207" s="194"/>
      <c r="N6207" s="194"/>
    </row>
    <row r="6208">
      <c r="A6208" s="193" t="s">
        <v>25226</v>
      </c>
      <c r="B6208" s="7" t="s">
        <v>175</v>
      </c>
      <c r="C6208" s="7" t="s">
        <v>16942</v>
      </c>
      <c r="D6208" s="199"/>
      <c r="E6208" s="193"/>
      <c r="F6208" s="195" t="s">
        <v>25227</v>
      </c>
      <c r="G6208" s="196">
        <v>1.39791843E8</v>
      </c>
      <c r="H6208" s="197">
        <v>4.47</v>
      </c>
      <c r="I6208" s="7" t="s">
        <v>17270</v>
      </c>
      <c r="J6208" s="7" t="s">
        <v>175</v>
      </c>
      <c r="K6208" s="7" t="s">
        <v>16942</v>
      </c>
      <c r="L6208" s="198" t="s">
        <v>65</v>
      </c>
      <c r="M6208" s="199"/>
      <c r="N6208" s="199"/>
    </row>
    <row r="6209">
      <c r="A6209" s="193" t="s">
        <v>25228</v>
      </c>
      <c r="B6209" s="7" t="s">
        <v>175</v>
      </c>
      <c r="C6209" s="7" t="s">
        <v>16854</v>
      </c>
      <c r="D6209" s="199"/>
      <c r="E6209" s="193"/>
      <c r="F6209" s="195" t="s">
        <v>25229</v>
      </c>
      <c r="G6209" s="196">
        <v>1.39785802E8</v>
      </c>
      <c r="H6209" s="197">
        <v>8.53</v>
      </c>
      <c r="I6209" s="7" t="s">
        <v>17242</v>
      </c>
      <c r="J6209" s="7" t="s">
        <v>175</v>
      </c>
      <c r="K6209" s="7" t="s">
        <v>16854</v>
      </c>
      <c r="L6209" s="198" t="s">
        <v>65</v>
      </c>
      <c r="M6209" s="199"/>
      <c r="N6209" s="199"/>
    </row>
    <row r="6210">
      <c r="A6210" s="193" t="s">
        <v>25230</v>
      </c>
      <c r="B6210" s="7" t="s">
        <v>187</v>
      </c>
      <c r="C6210" s="7" t="s">
        <v>16992</v>
      </c>
      <c r="D6210" s="194">
        <v>2022.0</v>
      </c>
      <c r="E6210" s="193"/>
      <c r="F6210" s="195" t="s">
        <v>25231</v>
      </c>
      <c r="G6210" s="196">
        <v>1.39652348E8</v>
      </c>
      <c r="H6210" s="197">
        <v>8.06</v>
      </c>
      <c r="I6210" s="7" t="s">
        <v>16815</v>
      </c>
      <c r="J6210" s="7" t="s">
        <v>187</v>
      </c>
      <c r="K6210" s="7" t="s">
        <v>16992</v>
      </c>
      <c r="L6210" s="198" t="s">
        <v>65</v>
      </c>
      <c r="M6210" s="194"/>
      <c r="N6210" s="194"/>
    </row>
    <row r="6211">
      <c r="A6211" s="193" t="s">
        <v>25232</v>
      </c>
      <c r="B6211" s="7" t="s">
        <v>158</v>
      </c>
      <c r="C6211" s="7" t="s">
        <v>16864</v>
      </c>
      <c r="D6211" s="194">
        <v>2011.0</v>
      </c>
      <c r="E6211" s="193"/>
      <c r="F6211" s="195" t="s">
        <v>25233</v>
      </c>
      <c r="G6211" s="196">
        <v>1.3957E8</v>
      </c>
      <c r="H6211" s="197">
        <v>8.21</v>
      </c>
      <c r="I6211" s="7" t="s">
        <v>17450</v>
      </c>
      <c r="J6211" s="7" t="s">
        <v>158</v>
      </c>
      <c r="K6211" s="7" t="s">
        <v>16864</v>
      </c>
      <c r="L6211" s="198" t="s">
        <v>65</v>
      </c>
      <c r="M6211" s="194"/>
      <c r="N6211" s="194"/>
    </row>
    <row r="6212">
      <c r="A6212" s="193" t="s">
        <v>25232</v>
      </c>
      <c r="B6212" s="7" t="s">
        <v>16864</v>
      </c>
      <c r="C6212" s="7" t="s">
        <v>158</v>
      </c>
      <c r="D6212" s="194">
        <v>2011.0</v>
      </c>
      <c r="E6212" s="193"/>
      <c r="F6212" s="195" t="s">
        <v>25233</v>
      </c>
      <c r="G6212" s="200">
        <v>1.3957E8</v>
      </c>
      <c r="H6212" s="197">
        <v>8.21</v>
      </c>
      <c r="I6212" s="7" t="s">
        <v>16815</v>
      </c>
      <c r="J6212" s="7" t="s">
        <v>16864</v>
      </c>
      <c r="K6212" s="7" t="s">
        <v>158</v>
      </c>
      <c r="L6212" s="201" t="s">
        <v>16835</v>
      </c>
      <c r="M6212" s="194"/>
      <c r="N6212" s="194"/>
    </row>
    <row r="6213">
      <c r="A6213" s="193" t="s">
        <v>25234</v>
      </c>
      <c r="B6213" s="7" t="s">
        <v>16838</v>
      </c>
      <c r="C6213" s="7" t="s">
        <v>16867</v>
      </c>
      <c r="D6213" s="199"/>
      <c r="E6213" s="193"/>
      <c r="F6213" s="195" t="s">
        <v>25235</v>
      </c>
      <c r="G6213" s="196">
        <v>1.39422445E8</v>
      </c>
      <c r="H6213" s="197">
        <v>16.13</v>
      </c>
      <c r="I6213" s="7" t="s">
        <v>16815</v>
      </c>
      <c r="J6213" s="7" t="s">
        <v>16838</v>
      </c>
      <c r="K6213" s="7" t="s">
        <v>16867</v>
      </c>
      <c r="L6213" s="198" t="s">
        <v>65</v>
      </c>
      <c r="M6213" s="199"/>
      <c r="N6213" s="199"/>
    </row>
    <row r="6214">
      <c r="A6214" s="193" t="s">
        <v>25236</v>
      </c>
      <c r="B6214" s="7" t="s">
        <v>16885</v>
      </c>
      <c r="C6214" s="7" t="s">
        <v>17726</v>
      </c>
      <c r="D6214" s="199"/>
      <c r="E6214" s="193"/>
      <c r="F6214" s="195" t="s">
        <v>25237</v>
      </c>
      <c r="G6214" s="196">
        <v>1.39419301E8</v>
      </c>
      <c r="H6214" s="197">
        <v>0.7884</v>
      </c>
      <c r="I6214" s="7" t="s">
        <v>17372</v>
      </c>
      <c r="J6214" s="7" t="s">
        <v>16885</v>
      </c>
      <c r="K6214" s="7" t="s">
        <v>17726</v>
      </c>
      <c r="L6214" s="198" t="s">
        <v>65</v>
      </c>
      <c r="M6214" s="199"/>
      <c r="N6214" s="199"/>
    </row>
    <row r="6215">
      <c r="A6215" s="193" t="s">
        <v>25236</v>
      </c>
      <c r="B6215" s="202" t="s">
        <v>17726</v>
      </c>
      <c r="C6215" s="193" t="s">
        <v>16885</v>
      </c>
      <c r="D6215" s="206"/>
      <c r="E6215" s="193"/>
      <c r="F6215" s="203" t="s">
        <v>25237</v>
      </c>
      <c r="G6215" s="200">
        <v>1.39419301E8</v>
      </c>
      <c r="H6215" s="205">
        <v>2.7</v>
      </c>
      <c r="J6215" s="202" t="s">
        <v>17726</v>
      </c>
      <c r="K6215" s="193" t="s">
        <v>16885</v>
      </c>
      <c r="L6215" s="193" t="s">
        <v>17471</v>
      </c>
      <c r="M6215" s="206"/>
      <c r="N6215" s="206"/>
    </row>
    <row r="6216">
      <c r="A6216" s="193" t="s">
        <v>25238</v>
      </c>
      <c r="B6216" s="7" t="s">
        <v>16838</v>
      </c>
      <c r="C6216" s="7" t="s">
        <v>18679</v>
      </c>
      <c r="D6216" s="199"/>
      <c r="E6216" s="193"/>
      <c r="F6216" s="195" t="s">
        <v>25239</v>
      </c>
      <c r="G6216" s="196">
        <v>1.38938069E8</v>
      </c>
      <c r="H6216" s="197">
        <v>10.37</v>
      </c>
      <c r="I6216" s="7" t="s">
        <v>16815</v>
      </c>
      <c r="J6216" s="7" t="s">
        <v>16838</v>
      </c>
      <c r="K6216" s="7" t="s">
        <v>18679</v>
      </c>
      <c r="L6216" s="198" t="s">
        <v>65</v>
      </c>
      <c r="M6216" s="199"/>
      <c r="N6216" s="199"/>
    </row>
    <row r="6217">
      <c r="A6217" s="193" t="s">
        <v>25240</v>
      </c>
      <c r="B6217" s="7" t="s">
        <v>19644</v>
      </c>
      <c r="C6217" s="7" t="s">
        <v>16838</v>
      </c>
      <c r="D6217" s="194">
        <v>1988.0</v>
      </c>
      <c r="E6217" s="193"/>
      <c r="F6217" s="195" t="s">
        <v>25241</v>
      </c>
      <c r="G6217" s="200">
        <v>1.38776253E8</v>
      </c>
      <c r="H6217" s="197">
        <v>13.09</v>
      </c>
      <c r="I6217" s="7" t="s">
        <v>16815</v>
      </c>
      <c r="J6217" s="7" t="s">
        <v>19644</v>
      </c>
      <c r="K6217" s="7" t="s">
        <v>16838</v>
      </c>
      <c r="L6217" s="201" t="s">
        <v>16835</v>
      </c>
      <c r="M6217" s="194"/>
      <c r="N6217" s="194"/>
    </row>
    <row r="6218">
      <c r="A6218" s="193" t="s">
        <v>25240</v>
      </c>
      <c r="B6218" s="7" t="s">
        <v>16838</v>
      </c>
      <c r="C6218" s="7" t="s">
        <v>19644</v>
      </c>
      <c r="D6218" s="194">
        <v>1988.0</v>
      </c>
      <c r="E6218" s="193"/>
      <c r="F6218" s="195" t="s">
        <v>25241</v>
      </c>
      <c r="G6218" s="196">
        <v>1.38776253E8</v>
      </c>
      <c r="H6218" s="197">
        <v>13.09</v>
      </c>
      <c r="I6218" s="7" t="s">
        <v>16815</v>
      </c>
      <c r="J6218" s="7" t="s">
        <v>16838</v>
      </c>
      <c r="K6218" s="7" t="s">
        <v>19644</v>
      </c>
      <c r="L6218" s="198" t="s">
        <v>65</v>
      </c>
      <c r="M6218" s="194"/>
      <c r="N6218" s="194"/>
    </row>
    <row r="6219">
      <c r="A6219" s="193" t="s">
        <v>25242</v>
      </c>
      <c r="B6219" s="7" t="s">
        <v>16838</v>
      </c>
      <c r="C6219" s="7" t="s">
        <v>17127</v>
      </c>
      <c r="D6219" s="199"/>
      <c r="E6219" s="193"/>
      <c r="F6219" s="195" t="s">
        <v>25243</v>
      </c>
      <c r="G6219" s="196">
        <v>1.38070103E8</v>
      </c>
      <c r="H6219" s="197">
        <v>13.4</v>
      </c>
      <c r="I6219" s="7" t="s">
        <v>16815</v>
      </c>
      <c r="J6219" s="7" t="s">
        <v>16838</v>
      </c>
      <c r="K6219" s="7" t="s">
        <v>17127</v>
      </c>
      <c r="L6219" s="198" t="s">
        <v>65</v>
      </c>
      <c r="M6219" s="199"/>
      <c r="N6219" s="199"/>
    </row>
    <row r="6220">
      <c r="A6220" s="193" t="s">
        <v>25244</v>
      </c>
      <c r="B6220" s="7" t="s">
        <v>169</v>
      </c>
      <c r="C6220" s="7" t="s">
        <v>17532</v>
      </c>
      <c r="D6220" s="194">
        <v>1994.0</v>
      </c>
      <c r="E6220" s="193"/>
      <c r="F6220" s="195" t="s">
        <v>25245</v>
      </c>
      <c r="G6220" s="196">
        <v>1.38050442E8</v>
      </c>
      <c r="H6220" s="197">
        <v>15.19</v>
      </c>
      <c r="I6220" s="7" t="s">
        <v>16815</v>
      </c>
      <c r="J6220" s="7" t="s">
        <v>169</v>
      </c>
      <c r="K6220" s="7" t="s">
        <v>17532</v>
      </c>
      <c r="L6220" s="198" t="s">
        <v>65</v>
      </c>
      <c r="M6220" s="194"/>
      <c r="N6220" s="194"/>
    </row>
    <row r="6221">
      <c r="A6221" s="193" t="s">
        <v>25246</v>
      </c>
      <c r="B6221" s="7" t="s">
        <v>187</v>
      </c>
      <c r="C6221" s="7" t="s">
        <v>16846</v>
      </c>
      <c r="D6221" s="194">
        <v>2017.0</v>
      </c>
      <c r="E6221" s="193"/>
      <c r="F6221" s="195" t="s">
        <v>25247</v>
      </c>
      <c r="G6221" s="196">
        <v>1.3803468E8</v>
      </c>
      <c r="H6221" s="197">
        <v>1.23</v>
      </c>
      <c r="I6221" s="7" t="s">
        <v>16815</v>
      </c>
      <c r="J6221" s="7" t="s">
        <v>187</v>
      </c>
      <c r="K6221" s="7" t="s">
        <v>16846</v>
      </c>
      <c r="L6221" s="198" t="s">
        <v>65</v>
      </c>
      <c r="M6221" s="194"/>
      <c r="N6221" s="194"/>
    </row>
    <row r="6222">
      <c r="A6222" s="193" t="s">
        <v>25248</v>
      </c>
      <c r="B6222" s="7" t="s">
        <v>175</v>
      </c>
      <c r="C6222" s="7" t="s">
        <v>16942</v>
      </c>
      <c r="D6222" s="194">
        <v>2002.0</v>
      </c>
      <c r="E6222" s="193"/>
      <c r="F6222" s="195" t="s">
        <v>25249</v>
      </c>
      <c r="G6222" s="196">
        <v>1.37772E8</v>
      </c>
      <c r="H6222" s="197">
        <v>8.9</v>
      </c>
      <c r="I6222" s="7" t="s">
        <v>17222</v>
      </c>
      <c r="J6222" s="7" t="s">
        <v>175</v>
      </c>
      <c r="K6222" s="7" t="s">
        <v>16942</v>
      </c>
      <c r="L6222" s="198" t="s">
        <v>65</v>
      </c>
      <c r="M6222" s="194"/>
      <c r="N6222" s="194"/>
    </row>
    <row r="6223">
      <c r="A6223" s="193" t="s">
        <v>25250</v>
      </c>
      <c r="B6223" s="7" t="s">
        <v>175</v>
      </c>
      <c r="C6223" s="7" t="s">
        <v>18570</v>
      </c>
      <c r="D6223" s="199"/>
      <c r="E6223" s="193"/>
      <c r="F6223" s="195" t="s">
        <v>25251</v>
      </c>
      <c r="G6223" s="196">
        <v>1.37503675E8</v>
      </c>
      <c r="H6223" s="197">
        <v>15.59</v>
      </c>
      <c r="I6223" s="7" t="s">
        <v>16908</v>
      </c>
      <c r="J6223" s="7" t="s">
        <v>175</v>
      </c>
      <c r="K6223" s="7" t="s">
        <v>18570</v>
      </c>
      <c r="L6223" s="198" t="s">
        <v>65</v>
      </c>
      <c r="M6223" s="199"/>
      <c r="N6223" s="199"/>
    </row>
    <row r="6224">
      <c r="A6224" s="193" t="s">
        <v>25252</v>
      </c>
      <c r="B6224" s="7" t="s">
        <v>158</v>
      </c>
      <c r="C6224" s="7" t="s">
        <v>16864</v>
      </c>
      <c r="D6224" s="194">
        <v>2007.0</v>
      </c>
      <c r="E6224" s="193"/>
      <c r="F6224" s="195" t="s">
        <v>25253</v>
      </c>
      <c r="G6224" s="196">
        <v>1.37425E8</v>
      </c>
      <c r="H6224" s="197">
        <v>11.95</v>
      </c>
      <c r="I6224" s="7" t="s">
        <v>17098</v>
      </c>
      <c r="J6224" s="7" t="s">
        <v>158</v>
      </c>
      <c r="K6224" s="7" t="s">
        <v>16864</v>
      </c>
      <c r="L6224" s="198" t="s">
        <v>65</v>
      </c>
      <c r="M6224" s="194"/>
      <c r="N6224" s="194"/>
    </row>
    <row r="6225">
      <c r="A6225" s="193" t="s">
        <v>25252</v>
      </c>
      <c r="B6225" s="7" t="s">
        <v>16864</v>
      </c>
      <c r="C6225" s="7" t="s">
        <v>158</v>
      </c>
      <c r="D6225" s="194">
        <v>2007.0</v>
      </c>
      <c r="E6225" s="193"/>
      <c r="F6225" s="195" t="s">
        <v>25253</v>
      </c>
      <c r="G6225" s="200">
        <v>1.37425E8</v>
      </c>
      <c r="H6225" s="197">
        <v>11.95</v>
      </c>
      <c r="I6225" s="7" t="s">
        <v>16815</v>
      </c>
      <c r="J6225" s="7" t="s">
        <v>16864</v>
      </c>
      <c r="K6225" s="7" t="s">
        <v>158</v>
      </c>
      <c r="L6225" s="201" t="s">
        <v>16835</v>
      </c>
      <c r="M6225" s="194"/>
      <c r="N6225" s="194"/>
    </row>
    <row r="6226">
      <c r="A6226" s="193" t="s">
        <v>25254</v>
      </c>
      <c r="B6226" s="7" t="s">
        <v>17111</v>
      </c>
      <c r="C6226" s="7" t="s">
        <v>17112</v>
      </c>
      <c r="D6226" s="194">
        <v>2013.0</v>
      </c>
      <c r="E6226" s="193"/>
      <c r="F6226" s="195" t="s">
        <v>25255</v>
      </c>
      <c r="G6226" s="200">
        <v>1.37267297E8</v>
      </c>
      <c r="H6226" s="197">
        <v>2.08</v>
      </c>
      <c r="I6226" s="7" t="s">
        <v>16815</v>
      </c>
      <c r="J6226" s="7" t="s">
        <v>17111</v>
      </c>
      <c r="K6226" s="7" t="s">
        <v>17112</v>
      </c>
      <c r="L6226" s="201" t="s">
        <v>16835</v>
      </c>
      <c r="M6226" s="194"/>
      <c r="N6226" s="194"/>
    </row>
    <row r="6227">
      <c r="A6227" s="193" t="s">
        <v>25254</v>
      </c>
      <c r="B6227" s="7" t="s">
        <v>17112</v>
      </c>
      <c r="C6227" s="7" t="s">
        <v>17111</v>
      </c>
      <c r="D6227" s="194">
        <v>2013.0</v>
      </c>
      <c r="E6227" s="193"/>
      <c r="F6227" s="195" t="s">
        <v>25255</v>
      </c>
      <c r="G6227" s="196">
        <v>1.37267297E8</v>
      </c>
      <c r="H6227" s="197">
        <v>2.08</v>
      </c>
      <c r="I6227" s="7" t="s">
        <v>16815</v>
      </c>
      <c r="J6227" s="7" t="s">
        <v>17112</v>
      </c>
      <c r="K6227" s="7" t="s">
        <v>17111</v>
      </c>
      <c r="L6227" s="198" t="s">
        <v>65</v>
      </c>
      <c r="M6227" s="194"/>
      <c r="N6227" s="194"/>
    </row>
    <row r="6228">
      <c r="A6228" s="193" t="s">
        <v>25256</v>
      </c>
      <c r="B6228" s="7" t="s">
        <v>17112</v>
      </c>
      <c r="C6228" s="7" t="s">
        <v>17218</v>
      </c>
      <c r="D6228" s="194">
        <v>2020.0</v>
      </c>
      <c r="E6228" s="193"/>
      <c r="F6228" s="195" t="s">
        <v>25257</v>
      </c>
      <c r="G6228" s="196">
        <v>1.37112792E8</v>
      </c>
      <c r="H6228" s="197">
        <v>2.58</v>
      </c>
      <c r="I6228" s="7" t="s">
        <v>16815</v>
      </c>
      <c r="J6228" s="7" t="s">
        <v>17112</v>
      </c>
      <c r="K6228" s="7" t="s">
        <v>17218</v>
      </c>
      <c r="L6228" s="198" t="s">
        <v>65</v>
      </c>
      <c r="M6228" s="194"/>
      <c r="N6228" s="194"/>
    </row>
    <row r="6229">
      <c r="A6229" s="193" t="s">
        <v>25256</v>
      </c>
      <c r="B6229" s="7" t="s">
        <v>17218</v>
      </c>
      <c r="C6229" s="7" t="s">
        <v>17112</v>
      </c>
      <c r="D6229" s="194">
        <v>2020.0</v>
      </c>
      <c r="E6229" s="193"/>
      <c r="F6229" s="195" t="s">
        <v>25257</v>
      </c>
      <c r="G6229" s="200">
        <v>1.37112792E8</v>
      </c>
      <c r="H6229" s="197">
        <v>2.58</v>
      </c>
      <c r="I6229" s="7" t="s">
        <v>16815</v>
      </c>
      <c r="J6229" s="7" t="s">
        <v>17218</v>
      </c>
      <c r="K6229" s="7" t="s">
        <v>17112</v>
      </c>
      <c r="L6229" s="201" t="s">
        <v>16835</v>
      </c>
      <c r="M6229" s="194"/>
      <c r="N6229" s="194"/>
    </row>
    <row r="6230">
      <c r="A6230" s="193" t="s">
        <v>25258</v>
      </c>
      <c r="B6230" s="7" t="s">
        <v>187</v>
      </c>
      <c r="C6230" s="7" t="s">
        <v>16992</v>
      </c>
      <c r="D6230" s="194">
        <v>2020.0</v>
      </c>
      <c r="E6230" s="193"/>
      <c r="F6230" s="195" t="s">
        <v>25259</v>
      </c>
      <c r="G6230" s="196">
        <v>1.36361317E8</v>
      </c>
      <c r="H6230" s="197">
        <v>3.23</v>
      </c>
      <c r="I6230" s="7" t="s">
        <v>16815</v>
      </c>
      <c r="J6230" s="7" t="s">
        <v>187</v>
      </c>
      <c r="K6230" s="7" t="s">
        <v>16992</v>
      </c>
      <c r="L6230" s="198" t="s">
        <v>65</v>
      </c>
      <c r="M6230" s="194"/>
      <c r="N6230" s="194"/>
    </row>
    <row r="6231">
      <c r="A6231" s="193" t="s">
        <v>25260</v>
      </c>
      <c r="B6231" s="7" t="s">
        <v>187</v>
      </c>
      <c r="C6231" s="7" t="s">
        <v>16858</v>
      </c>
      <c r="D6231" s="194">
        <v>2018.0</v>
      </c>
      <c r="E6231" s="193"/>
      <c r="F6231" s="195" t="s">
        <v>25261</v>
      </c>
      <c r="G6231" s="196">
        <v>1.36339139E8</v>
      </c>
      <c r="H6231" s="197">
        <v>1.43</v>
      </c>
      <c r="I6231" s="7" t="s">
        <v>16815</v>
      </c>
      <c r="J6231" s="7" t="s">
        <v>187</v>
      </c>
      <c r="K6231" s="7" t="s">
        <v>16858</v>
      </c>
      <c r="L6231" s="198" t="s">
        <v>65</v>
      </c>
      <c r="M6231" s="194"/>
      <c r="N6231" s="194"/>
    </row>
    <row r="6232">
      <c r="A6232" s="193" t="s">
        <v>25262</v>
      </c>
      <c r="B6232" s="7" t="s">
        <v>175</v>
      </c>
      <c r="C6232" s="7" t="s">
        <v>16899</v>
      </c>
      <c r="D6232" s="194">
        <v>1991.0</v>
      </c>
      <c r="E6232" s="193"/>
      <c r="F6232" s="195" t="s">
        <v>25263</v>
      </c>
      <c r="G6232" s="196">
        <v>1.36338975E8</v>
      </c>
      <c r="H6232" s="197">
        <v>6.25</v>
      </c>
      <c r="I6232" s="7" t="s">
        <v>168</v>
      </c>
      <c r="J6232" s="7" t="s">
        <v>175</v>
      </c>
      <c r="K6232" s="7" t="s">
        <v>16899</v>
      </c>
      <c r="L6232" s="198" t="s">
        <v>65</v>
      </c>
      <c r="M6232" s="194"/>
      <c r="N6232" s="194"/>
    </row>
    <row r="6233">
      <c r="A6233" s="193" t="s">
        <v>25264</v>
      </c>
      <c r="B6233" s="7" t="s">
        <v>16910</v>
      </c>
      <c r="C6233" s="7" t="s">
        <v>16911</v>
      </c>
      <c r="D6233" s="194">
        <v>2021.0</v>
      </c>
      <c r="E6233" s="193"/>
      <c r="F6233" s="195" t="s">
        <v>25265</v>
      </c>
      <c r="G6233" s="196">
        <v>1.3626004E8</v>
      </c>
      <c r="H6233" s="197">
        <v>1.91</v>
      </c>
      <c r="I6233" s="7" t="s">
        <v>18397</v>
      </c>
      <c r="J6233" s="7" t="s">
        <v>16910</v>
      </c>
      <c r="K6233" s="7" t="s">
        <v>16911</v>
      </c>
      <c r="L6233" s="198" t="s">
        <v>65</v>
      </c>
      <c r="M6233" s="194"/>
      <c r="N6233" s="194"/>
    </row>
    <row r="6234">
      <c r="A6234" s="193" t="s">
        <v>25264</v>
      </c>
      <c r="B6234" s="7" t="s">
        <v>16911</v>
      </c>
      <c r="C6234" s="7" t="s">
        <v>16910</v>
      </c>
      <c r="D6234" s="194">
        <v>2021.0</v>
      </c>
      <c r="E6234" s="193"/>
      <c r="F6234" s="195" t="s">
        <v>25265</v>
      </c>
      <c r="G6234" s="200">
        <v>1.3626004E8</v>
      </c>
      <c r="H6234" s="197">
        <v>1.91</v>
      </c>
      <c r="I6234" s="7" t="s">
        <v>16815</v>
      </c>
      <c r="J6234" s="7" t="s">
        <v>16911</v>
      </c>
      <c r="K6234" s="7" t="s">
        <v>16910</v>
      </c>
      <c r="L6234" s="201" t="s">
        <v>16835</v>
      </c>
      <c r="M6234" s="194"/>
      <c r="N6234" s="194"/>
    </row>
    <row r="6235">
      <c r="A6235" s="193" t="s">
        <v>25266</v>
      </c>
      <c r="B6235" s="7" t="s">
        <v>175</v>
      </c>
      <c r="C6235" s="7" t="s">
        <v>17168</v>
      </c>
      <c r="D6235" s="199"/>
      <c r="E6235" s="193"/>
      <c r="F6235" s="195" t="s">
        <v>25267</v>
      </c>
      <c r="G6235" s="196">
        <v>1.35900491E8</v>
      </c>
      <c r="H6235" s="197">
        <v>4.48</v>
      </c>
      <c r="I6235" s="7" t="s">
        <v>16908</v>
      </c>
      <c r="J6235" s="7" t="s">
        <v>175</v>
      </c>
      <c r="K6235" s="7" t="s">
        <v>17168</v>
      </c>
      <c r="L6235" s="198" t="s">
        <v>65</v>
      </c>
      <c r="M6235" s="199"/>
      <c r="N6235" s="199"/>
    </row>
    <row r="6236">
      <c r="A6236" s="193" t="s">
        <v>25268</v>
      </c>
      <c r="B6236" s="7" t="s">
        <v>187</v>
      </c>
      <c r="C6236" s="7" t="s">
        <v>16992</v>
      </c>
      <c r="D6236" s="194">
        <v>2021.0</v>
      </c>
      <c r="E6236" s="193"/>
      <c r="F6236" s="195" t="s">
        <v>25269</v>
      </c>
      <c r="G6236" s="196">
        <v>1.35673844E8</v>
      </c>
      <c r="H6236" s="197">
        <v>2.34</v>
      </c>
      <c r="I6236" s="7" t="s">
        <v>16815</v>
      </c>
      <c r="J6236" s="7" t="s">
        <v>187</v>
      </c>
      <c r="K6236" s="7" t="s">
        <v>16992</v>
      </c>
      <c r="L6236" s="198" t="s">
        <v>65</v>
      </c>
      <c r="M6236" s="194"/>
      <c r="N6236" s="194"/>
    </row>
    <row r="6237">
      <c r="A6237" s="193" t="s">
        <v>25270</v>
      </c>
      <c r="B6237" s="7" t="s">
        <v>16851</v>
      </c>
      <c r="C6237" s="7" t="s">
        <v>187</v>
      </c>
      <c r="D6237" s="194">
        <v>2015.0</v>
      </c>
      <c r="E6237" s="193"/>
      <c r="F6237" s="195" t="s">
        <v>25271</v>
      </c>
      <c r="G6237" s="200">
        <v>1.34622986E8</v>
      </c>
      <c r="H6237" s="197">
        <v>0.4699</v>
      </c>
      <c r="I6237" s="7" t="s">
        <v>16815</v>
      </c>
      <c r="J6237" s="7" t="s">
        <v>16851</v>
      </c>
      <c r="K6237" s="7" t="s">
        <v>187</v>
      </c>
      <c r="L6237" s="201" t="s">
        <v>16835</v>
      </c>
      <c r="M6237" s="194"/>
      <c r="N6237" s="194"/>
    </row>
    <row r="6238">
      <c r="A6238" s="193" t="s">
        <v>25270</v>
      </c>
      <c r="B6238" s="7" t="s">
        <v>187</v>
      </c>
      <c r="C6238" s="7" t="s">
        <v>16851</v>
      </c>
      <c r="D6238" s="194">
        <v>2015.0</v>
      </c>
      <c r="E6238" s="193"/>
      <c r="F6238" s="195" t="s">
        <v>25271</v>
      </c>
      <c r="G6238" s="196">
        <v>1.34622986E8</v>
      </c>
      <c r="H6238" s="197">
        <v>0.4699</v>
      </c>
      <c r="I6238" s="7" t="s">
        <v>16815</v>
      </c>
      <c r="J6238" s="7" t="s">
        <v>187</v>
      </c>
      <c r="K6238" s="7" t="s">
        <v>16851</v>
      </c>
      <c r="L6238" s="198" t="s">
        <v>65</v>
      </c>
      <c r="M6238" s="194"/>
      <c r="N6238" s="194"/>
    </row>
    <row r="6239">
      <c r="A6239" s="193" t="s">
        <v>25272</v>
      </c>
      <c r="B6239" s="7" t="s">
        <v>175</v>
      </c>
      <c r="C6239" s="7" t="s">
        <v>17394</v>
      </c>
      <c r="D6239" s="194">
        <v>2023.0</v>
      </c>
      <c r="E6239" s="193"/>
      <c r="F6239" s="195" t="s">
        <v>25273</v>
      </c>
      <c r="G6239" s="196">
        <v>1.34448751E8</v>
      </c>
      <c r="H6239" s="197">
        <v>2.565</v>
      </c>
      <c r="I6239" s="7" t="s">
        <v>16844</v>
      </c>
      <c r="J6239" s="7" t="s">
        <v>175</v>
      </c>
      <c r="K6239" s="7" t="s">
        <v>17394</v>
      </c>
      <c r="L6239" s="198" t="s">
        <v>65</v>
      </c>
      <c r="M6239" s="194"/>
      <c r="N6239" s="194"/>
    </row>
    <row r="6240">
      <c r="A6240" s="193" t="s">
        <v>25274</v>
      </c>
      <c r="B6240" s="7" t="s">
        <v>187</v>
      </c>
      <c r="C6240" s="7" t="s">
        <v>16846</v>
      </c>
      <c r="D6240" s="194">
        <v>2014.0</v>
      </c>
      <c r="E6240" s="193"/>
      <c r="F6240" s="195" t="s">
        <v>25275</v>
      </c>
      <c r="G6240" s="196">
        <v>1.3440846E8</v>
      </c>
      <c r="H6240" s="197">
        <v>2.285</v>
      </c>
      <c r="I6240" s="7" t="s">
        <v>16815</v>
      </c>
      <c r="J6240" s="7" t="s">
        <v>187</v>
      </c>
      <c r="K6240" s="7" t="s">
        <v>16846</v>
      </c>
      <c r="L6240" s="198" t="s">
        <v>65</v>
      </c>
      <c r="M6240" s="194"/>
      <c r="N6240" s="194"/>
    </row>
    <row r="6241">
      <c r="A6241" s="193" t="s">
        <v>25276</v>
      </c>
      <c r="B6241" s="7" t="s">
        <v>187</v>
      </c>
      <c r="C6241" s="7" t="s">
        <v>16846</v>
      </c>
      <c r="D6241" s="199"/>
      <c r="E6241" s="193"/>
      <c r="F6241" s="195" t="s">
        <v>25277</v>
      </c>
      <c r="G6241" s="196">
        <v>1.34322178E8</v>
      </c>
      <c r="H6241" s="197">
        <v>2.5</v>
      </c>
      <c r="I6241" s="7" t="s">
        <v>16815</v>
      </c>
      <c r="J6241" s="7" t="s">
        <v>187</v>
      </c>
      <c r="K6241" s="7" t="s">
        <v>16846</v>
      </c>
      <c r="L6241" s="198" t="s">
        <v>65</v>
      </c>
      <c r="M6241" s="199"/>
      <c r="N6241" s="199"/>
    </row>
    <row r="6242">
      <c r="A6242" s="193" t="s">
        <v>25278</v>
      </c>
      <c r="B6242" s="7" t="s">
        <v>16582</v>
      </c>
      <c r="C6242" s="7" t="s">
        <v>16930</v>
      </c>
      <c r="D6242" s="194">
        <v>2000.0</v>
      </c>
      <c r="E6242" s="193"/>
      <c r="F6242" s="195" t="s">
        <v>25279</v>
      </c>
      <c r="G6242" s="196">
        <v>1.33643943E8</v>
      </c>
      <c r="H6242" s="197">
        <v>7.66</v>
      </c>
      <c r="I6242" s="7" t="s">
        <v>16815</v>
      </c>
      <c r="J6242" s="7" t="s">
        <v>16582</v>
      </c>
      <c r="K6242" s="7" t="s">
        <v>16930</v>
      </c>
      <c r="L6242" s="198" t="s">
        <v>65</v>
      </c>
      <c r="M6242" s="194"/>
      <c r="N6242" s="194"/>
    </row>
    <row r="6243">
      <c r="A6243" s="193" t="s">
        <v>25280</v>
      </c>
      <c r="B6243" s="7" t="s">
        <v>175</v>
      </c>
      <c r="C6243" s="7" t="s">
        <v>17452</v>
      </c>
      <c r="D6243" s="194">
        <v>2020.0</v>
      </c>
      <c r="E6243" s="193"/>
      <c r="F6243" s="195" t="s">
        <v>25281</v>
      </c>
      <c r="G6243" s="196">
        <v>1.33538753E8</v>
      </c>
      <c r="H6243" s="197">
        <v>1.16</v>
      </c>
      <c r="I6243" s="7" t="s">
        <v>17270</v>
      </c>
      <c r="J6243" s="7" t="s">
        <v>175</v>
      </c>
      <c r="K6243" s="7" t="s">
        <v>17452</v>
      </c>
      <c r="L6243" s="198" t="s">
        <v>65</v>
      </c>
      <c r="M6243" s="194"/>
      <c r="N6243" s="194"/>
    </row>
    <row r="6244">
      <c r="A6244" s="193" t="s">
        <v>25280</v>
      </c>
      <c r="B6244" s="7" t="s">
        <v>17452</v>
      </c>
      <c r="C6244" s="7" t="s">
        <v>175</v>
      </c>
      <c r="D6244" s="194">
        <v>2020.0</v>
      </c>
      <c r="E6244" s="193"/>
      <c r="F6244" s="195" t="s">
        <v>25281</v>
      </c>
      <c r="G6244" s="200">
        <v>1.33538753E8</v>
      </c>
      <c r="H6244" s="197">
        <v>1.16</v>
      </c>
      <c r="I6244" s="7" t="s">
        <v>16815</v>
      </c>
      <c r="J6244" s="7" t="s">
        <v>17452</v>
      </c>
      <c r="K6244" s="7" t="s">
        <v>175</v>
      </c>
      <c r="L6244" s="201" t="s">
        <v>16835</v>
      </c>
      <c r="M6244" s="194"/>
      <c r="N6244" s="194"/>
    </row>
    <row r="6245">
      <c r="A6245" s="193" t="s">
        <v>25282</v>
      </c>
      <c r="B6245" s="7" t="s">
        <v>16910</v>
      </c>
      <c r="C6245" s="7" t="s">
        <v>17502</v>
      </c>
      <c r="D6245" s="199"/>
      <c r="E6245" s="193"/>
      <c r="F6245" s="195" t="s">
        <v>25283</v>
      </c>
      <c r="G6245" s="196">
        <v>1.32924024E8</v>
      </c>
      <c r="H6245" s="197">
        <v>3.55</v>
      </c>
      <c r="I6245" s="7" t="s">
        <v>16917</v>
      </c>
      <c r="J6245" s="7" t="s">
        <v>16910</v>
      </c>
      <c r="K6245" s="7" t="s">
        <v>17502</v>
      </c>
      <c r="L6245" s="198" t="s">
        <v>65</v>
      </c>
      <c r="M6245" s="199"/>
      <c r="N6245" s="199"/>
    </row>
    <row r="6246">
      <c r="A6246" s="193" t="s">
        <v>25284</v>
      </c>
      <c r="B6246" s="7" t="s">
        <v>17111</v>
      </c>
      <c r="C6246" s="7" t="s">
        <v>17112</v>
      </c>
      <c r="D6246" s="199"/>
      <c r="E6246" s="193"/>
      <c r="F6246" s="195" t="s">
        <v>25285</v>
      </c>
      <c r="G6246" s="200">
        <v>1.32636429E8</v>
      </c>
      <c r="H6246" s="197">
        <v>4.53</v>
      </c>
      <c r="I6246" s="7" t="s">
        <v>16815</v>
      </c>
      <c r="J6246" s="7" t="s">
        <v>17111</v>
      </c>
      <c r="K6246" s="7" t="s">
        <v>17112</v>
      </c>
      <c r="L6246" s="201" t="s">
        <v>16835</v>
      </c>
      <c r="M6246" s="199"/>
      <c r="N6246" s="199"/>
    </row>
    <row r="6247">
      <c r="A6247" s="193" t="s">
        <v>25284</v>
      </c>
      <c r="B6247" s="7" t="s">
        <v>17112</v>
      </c>
      <c r="C6247" s="7" t="s">
        <v>17111</v>
      </c>
      <c r="D6247" s="199"/>
      <c r="E6247" s="193"/>
      <c r="F6247" s="195" t="s">
        <v>25285</v>
      </c>
      <c r="G6247" s="196">
        <v>1.32636429E8</v>
      </c>
      <c r="H6247" s="197">
        <v>4.53</v>
      </c>
      <c r="I6247" s="7" t="s">
        <v>16815</v>
      </c>
      <c r="J6247" s="7" t="s">
        <v>17112</v>
      </c>
      <c r="K6247" s="7" t="s">
        <v>17111</v>
      </c>
      <c r="L6247" s="198" t="s">
        <v>65</v>
      </c>
      <c r="M6247" s="199"/>
      <c r="N6247" s="199"/>
    </row>
    <row r="6248">
      <c r="A6248" s="193" t="s">
        <v>25286</v>
      </c>
      <c r="B6248" s="7" t="s">
        <v>16582</v>
      </c>
      <c r="C6248" s="7" t="s">
        <v>17342</v>
      </c>
      <c r="D6248" s="194">
        <v>1999.0</v>
      </c>
      <c r="E6248" s="193"/>
      <c r="F6248" s="195" t="s">
        <v>25287</v>
      </c>
      <c r="G6248" s="196">
        <v>1.32572441E8</v>
      </c>
      <c r="H6248" s="197">
        <v>6.85</v>
      </c>
      <c r="I6248" s="7" t="s">
        <v>16815</v>
      </c>
      <c r="J6248" s="7" t="s">
        <v>16582</v>
      </c>
      <c r="K6248" s="7" t="s">
        <v>17342</v>
      </c>
      <c r="L6248" s="198" t="s">
        <v>65</v>
      </c>
      <c r="M6248" s="194"/>
      <c r="N6248" s="194"/>
    </row>
    <row r="6249">
      <c r="A6249" s="193" t="s">
        <v>25288</v>
      </c>
      <c r="D6249" s="194">
        <v>1986.0</v>
      </c>
      <c r="E6249" s="193"/>
      <c r="F6249" s="195" t="s">
        <v>25289</v>
      </c>
      <c r="G6249" s="196">
        <v>1.32260379E8</v>
      </c>
      <c r="H6249" s="197">
        <v>15.67</v>
      </c>
      <c r="I6249" s="7" t="s">
        <v>16815</v>
      </c>
      <c r="L6249" s="198" t="s">
        <v>65</v>
      </c>
      <c r="M6249" s="194"/>
      <c r="N6249" s="194"/>
    </row>
    <row r="6250">
      <c r="A6250" s="193" t="s">
        <v>25288</v>
      </c>
      <c r="D6250" s="194">
        <v>1986.0</v>
      </c>
      <c r="E6250" s="193"/>
      <c r="F6250" s="195" t="s">
        <v>25289</v>
      </c>
      <c r="G6250" s="200">
        <v>1.32260379E8</v>
      </c>
      <c r="H6250" s="197">
        <v>15.67</v>
      </c>
      <c r="I6250" s="193" t="s">
        <v>16815</v>
      </c>
      <c r="L6250" s="201" t="s">
        <v>16835</v>
      </c>
      <c r="M6250" s="194"/>
      <c r="N6250" s="194"/>
    </row>
    <row r="6251">
      <c r="A6251" s="193" t="s">
        <v>25290</v>
      </c>
      <c r="B6251" s="7" t="s">
        <v>16582</v>
      </c>
      <c r="C6251" s="7" t="s">
        <v>16828</v>
      </c>
      <c r="D6251" s="194">
        <v>2016.0</v>
      </c>
      <c r="E6251" s="193"/>
      <c r="F6251" s="195" t="s">
        <v>25291</v>
      </c>
      <c r="G6251" s="196">
        <v>1.31832982E8</v>
      </c>
      <c r="H6251" s="197">
        <v>5.11</v>
      </c>
      <c r="I6251" s="7" t="s">
        <v>16815</v>
      </c>
      <c r="J6251" s="7" t="s">
        <v>16582</v>
      </c>
      <c r="K6251" s="7" t="s">
        <v>16828</v>
      </c>
      <c r="L6251" s="198" t="s">
        <v>65</v>
      </c>
      <c r="M6251" s="194"/>
      <c r="N6251" s="194"/>
    </row>
    <row r="6252">
      <c r="A6252" s="193" t="s">
        <v>25292</v>
      </c>
      <c r="B6252" s="7" t="s">
        <v>175</v>
      </c>
      <c r="C6252" s="7" t="s">
        <v>17606</v>
      </c>
      <c r="D6252" s="199"/>
      <c r="E6252" s="193"/>
      <c r="F6252" s="195" t="s">
        <v>25293</v>
      </c>
      <c r="G6252" s="196">
        <v>1.31736662E8</v>
      </c>
      <c r="H6252" s="197">
        <v>9.5</v>
      </c>
      <c r="I6252" s="7" t="s">
        <v>16856</v>
      </c>
      <c r="J6252" s="7" t="s">
        <v>175</v>
      </c>
      <c r="K6252" s="7" t="s">
        <v>17606</v>
      </c>
      <c r="L6252" s="198" t="s">
        <v>65</v>
      </c>
      <c r="M6252" s="199"/>
      <c r="N6252" s="199"/>
    </row>
    <row r="6253">
      <c r="A6253" s="193" t="s">
        <v>25294</v>
      </c>
      <c r="B6253" s="7" t="s">
        <v>16838</v>
      </c>
      <c r="C6253" s="7" t="s">
        <v>16867</v>
      </c>
      <c r="D6253" s="199"/>
      <c r="E6253" s="193"/>
      <c r="F6253" s="195" t="s">
        <v>25295</v>
      </c>
      <c r="G6253" s="196">
        <v>1.31675781E8</v>
      </c>
      <c r="H6253" s="197">
        <v>17.34</v>
      </c>
      <c r="I6253" s="7" t="s">
        <v>16815</v>
      </c>
      <c r="J6253" s="7" t="s">
        <v>16838</v>
      </c>
      <c r="K6253" s="7" t="s">
        <v>16867</v>
      </c>
      <c r="L6253" s="198" t="s">
        <v>65</v>
      </c>
      <c r="M6253" s="199"/>
      <c r="N6253" s="199"/>
    </row>
    <row r="6254">
      <c r="A6254" s="193" t="s">
        <v>25296</v>
      </c>
      <c r="B6254" s="7" t="s">
        <v>16582</v>
      </c>
      <c r="C6254" s="7" t="s">
        <v>16828</v>
      </c>
      <c r="D6254" s="194">
        <v>1999.0</v>
      </c>
      <c r="E6254" s="193"/>
      <c r="F6254" s="195" t="s">
        <v>25297</v>
      </c>
      <c r="G6254" s="196">
        <v>1.31380021E8</v>
      </c>
      <c r="H6254" s="197">
        <v>9.48</v>
      </c>
      <c r="I6254" s="7" t="s">
        <v>16815</v>
      </c>
      <c r="J6254" s="7" t="s">
        <v>16582</v>
      </c>
      <c r="K6254" s="7" t="s">
        <v>16828</v>
      </c>
      <c r="L6254" s="198" t="s">
        <v>65</v>
      </c>
      <c r="M6254" s="194"/>
      <c r="N6254" s="194"/>
    </row>
    <row r="6255">
      <c r="A6255" s="193" t="s">
        <v>25298</v>
      </c>
      <c r="B6255" s="7" t="s">
        <v>187</v>
      </c>
      <c r="C6255" s="7" t="s">
        <v>16846</v>
      </c>
      <c r="D6255" s="194">
        <v>2015.0</v>
      </c>
      <c r="E6255" s="193"/>
      <c r="F6255" s="195" t="s">
        <v>25299</v>
      </c>
      <c r="G6255" s="196">
        <v>1.31196057E8</v>
      </c>
      <c r="H6255" s="197">
        <v>1.015</v>
      </c>
      <c r="I6255" s="7" t="s">
        <v>16815</v>
      </c>
      <c r="J6255" s="7" t="s">
        <v>187</v>
      </c>
      <c r="K6255" s="7" t="s">
        <v>16846</v>
      </c>
      <c r="L6255" s="198" t="s">
        <v>65</v>
      </c>
      <c r="M6255" s="194"/>
      <c r="N6255" s="194"/>
    </row>
    <row r="6256">
      <c r="A6256" s="193" t="s">
        <v>25300</v>
      </c>
      <c r="B6256" s="7" t="s">
        <v>187</v>
      </c>
      <c r="C6256" s="7" t="s">
        <v>16846</v>
      </c>
      <c r="D6256" s="194">
        <v>2020.0</v>
      </c>
      <c r="E6256" s="193"/>
      <c r="F6256" s="195" t="s">
        <v>25301</v>
      </c>
      <c r="G6256" s="196">
        <v>1.30665838E8</v>
      </c>
      <c r="H6256" s="197">
        <v>10.17</v>
      </c>
      <c r="I6256" s="7" t="s">
        <v>16815</v>
      </c>
      <c r="J6256" s="7" t="s">
        <v>187</v>
      </c>
      <c r="K6256" s="7" t="s">
        <v>16846</v>
      </c>
      <c r="L6256" s="198" t="s">
        <v>65</v>
      </c>
      <c r="M6256" s="194"/>
      <c r="N6256" s="194"/>
    </row>
    <row r="6257">
      <c r="A6257" s="193" t="s">
        <v>25302</v>
      </c>
      <c r="B6257" s="7" t="s">
        <v>16838</v>
      </c>
      <c r="C6257" s="7" t="s">
        <v>17002</v>
      </c>
      <c r="D6257" s="194">
        <v>2021.0</v>
      </c>
      <c r="E6257" s="193"/>
      <c r="F6257" s="195" t="s">
        <v>25303</v>
      </c>
      <c r="G6257" s="196">
        <v>1.30377673E8</v>
      </c>
      <c r="H6257" s="197">
        <v>10.25</v>
      </c>
      <c r="I6257" s="7" t="s">
        <v>16815</v>
      </c>
      <c r="J6257" s="7" t="s">
        <v>16838</v>
      </c>
      <c r="K6257" s="7" t="s">
        <v>17002</v>
      </c>
      <c r="L6257" s="198" t="s">
        <v>65</v>
      </c>
      <c r="M6257" s="194"/>
      <c r="N6257" s="194"/>
    </row>
    <row r="6258">
      <c r="A6258" s="193" t="s">
        <v>25304</v>
      </c>
      <c r="B6258" s="7" t="s">
        <v>17016</v>
      </c>
      <c r="C6258" s="7" t="s">
        <v>16838</v>
      </c>
      <c r="D6258" s="194">
        <v>2018.0</v>
      </c>
      <c r="E6258" s="193"/>
      <c r="F6258" s="195" t="s">
        <v>25305</v>
      </c>
      <c r="G6258" s="200">
        <v>1.30306108E8</v>
      </c>
      <c r="H6258" s="197">
        <v>1.9</v>
      </c>
      <c r="I6258" s="7" t="s">
        <v>16815</v>
      </c>
      <c r="J6258" s="7" t="s">
        <v>17016</v>
      </c>
      <c r="K6258" s="7" t="s">
        <v>16838</v>
      </c>
      <c r="L6258" s="201" t="s">
        <v>16835</v>
      </c>
      <c r="M6258" s="194"/>
      <c r="N6258" s="194"/>
    </row>
    <row r="6259">
      <c r="A6259" s="193" t="s">
        <v>25304</v>
      </c>
      <c r="B6259" s="7" t="s">
        <v>16838</v>
      </c>
      <c r="C6259" s="7" t="s">
        <v>17016</v>
      </c>
      <c r="D6259" s="194">
        <v>2018.0</v>
      </c>
      <c r="E6259" s="193"/>
      <c r="F6259" s="195" t="s">
        <v>25306</v>
      </c>
      <c r="G6259" s="196">
        <v>1.30306108E8</v>
      </c>
      <c r="H6259" s="197">
        <v>1.9</v>
      </c>
      <c r="I6259" s="7" t="s">
        <v>16815</v>
      </c>
      <c r="J6259" s="7" t="s">
        <v>16838</v>
      </c>
      <c r="K6259" s="7" t="s">
        <v>17016</v>
      </c>
      <c r="L6259" s="198" t="s">
        <v>65</v>
      </c>
      <c r="M6259" s="194"/>
      <c r="N6259" s="194"/>
    </row>
    <row r="6260">
      <c r="A6260" s="193" t="s">
        <v>25307</v>
      </c>
      <c r="B6260" s="7" t="s">
        <v>187</v>
      </c>
      <c r="C6260" s="7" t="s">
        <v>16846</v>
      </c>
      <c r="D6260" s="194">
        <v>2020.0</v>
      </c>
      <c r="E6260" s="193"/>
      <c r="F6260" s="195" t="s">
        <v>25308</v>
      </c>
      <c r="G6260" s="196">
        <v>1.30296292E8</v>
      </c>
      <c r="H6260" s="197">
        <v>1.57</v>
      </c>
      <c r="I6260" s="7" t="s">
        <v>16815</v>
      </c>
      <c r="J6260" s="7" t="s">
        <v>187</v>
      </c>
      <c r="K6260" s="7" t="s">
        <v>16846</v>
      </c>
      <c r="L6260" s="198" t="s">
        <v>65</v>
      </c>
      <c r="M6260" s="194"/>
      <c r="N6260" s="194"/>
    </row>
    <row r="6261">
      <c r="A6261" s="193" t="s">
        <v>25309</v>
      </c>
      <c r="B6261" s="7" t="s">
        <v>187</v>
      </c>
      <c r="C6261" s="7" t="s">
        <v>16846</v>
      </c>
      <c r="D6261" s="194">
        <v>2020.0</v>
      </c>
      <c r="E6261" s="193"/>
      <c r="F6261" s="195" t="s">
        <v>25310</v>
      </c>
      <c r="G6261" s="196">
        <v>1.3023903E8</v>
      </c>
      <c r="H6261" s="197">
        <v>5.75</v>
      </c>
      <c r="I6261" s="7" t="s">
        <v>16815</v>
      </c>
      <c r="J6261" s="7" t="s">
        <v>187</v>
      </c>
      <c r="K6261" s="7" t="s">
        <v>16846</v>
      </c>
      <c r="L6261" s="198" t="s">
        <v>65</v>
      </c>
      <c r="M6261" s="194"/>
      <c r="N6261" s="194"/>
    </row>
    <row r="6262">
      <c r="A6262" s="193" t="s">
        <v>25311</v>
      </c>
      <c r="B6262" s="7" t="s">
        <v>175</v>
      </c>
      <c r="C6262" s="7" t="s">
        <v>17350</v>
      </c>
      <c r="D6262" s="194">
        <v>2020.0</v>
      </c>
      <c r="E6262" s="193"/>
      <c r="F6262" s="195" t="s">
        <v>25312</v>
      </c>
      <c r="G6262" s="196">
        <v>1.2938147E8</v>
      </c>
      <c r="H6262" s="197">
        <v>0.5809</v>
      </c>
      <c r="I6262" s="7" t="s">
        <v>16826</v>
      </c>
      <c r="J6262" s="7" t="s">
        <v>175</v>
      </c>
      <c r="K6262" s="7" t="s">
        <v>17350</v>
      </c>
      <c r="L6262" s="198" t="s">
        <v>65</v>
      </c>
      <c r="M6262" s="194"/>
      <c r="N6262" s="194"/>
    </row>
    <row r="6263">
      <c r="A6263" s="193" t="s">
        <v>25311</v>
      </c>
      <c r="B6263" s="7" t="s">
        <v>17350</v>
      </c>
      <c r="C6263" s="7" t="s">
        <v>175</v>
      </c>
      <c r="D6263" s="194">
        <v>2020.0</v>
      </c>
      <c r="E6263" s="193"/>
      <c r="F6263" s="195" t="s">
        <v>25312</v>
      </c>
      <c r="G6263" s="200">
        <v>1.2938147E8</v>
      </c>
      <c r="H6263" s="197">
        <v>0.5809</v>
      </c>
      <c r="I6263" s="7" t="s">
        <v>16815</v>
      </c>
      <c r="J6263" s="7" t="s">
        <v>17350</v>
      </c>
      <c r="K6263" s="7" t="s">
        <v>175</v>
      </c>
      <c r="L6263" s="201" t="s">
        <v>16835</v>
      </c>
      <c r="M6263" s="194"/>
      <c r="N6263" s="194"/>
    </row>
    <row r="6264">
      <c r="A6264" s="193" t="s">
        <v>25313</v>
      </c>
      <c r="B6264" s="7" t="s">
        <v>187</v>
      </c>
      <c r="C6264" s="7" t="s">
        <v>16846</v>
      </c>
      <c r="D6264" s="194">
        <v>2018.0</v>
      </c>
      <c r="E6264" s="193"/>
      <c r="F6264" s="195" t="s">
        <v>25314</v>
      </c>
      <c r="G6264" s="196">
        <v>1.293485E8</v>
      </c>
      <c r="H6264" s="197">
        <v>3.075</v>
      </c>
      <c r="I6264" s="7" t="s">
        <v>16815</v>
      </c>
      <c r="J6264" s="7" t="s">
        <v>187</v>
      </c>
      <c r="K6264" s="7" t="s">
        <v>16846</v>
      </c>
      <c r="L6264" s="198" t="s">
        <v>65</v>
      </c>
      <c r="M6264" s="194"/>
      <c r="N6264" s="194"/>
    </row>
    <row r="6265">
      <c r="A6265" s="193" t="s">
        <v>25315</v>
      </c>
      <c r="B6265" s="7" t="s">
        <v>187</v>
      </c>
      <c r="C6265" s="7" t="s">
        <v>16846</v>
      </c>
      <c r="D6265" s="194">
        <v>2015.0</v>
      </c>
      <c r="E6265" s="193"/>
      <c r="F6265" s="195" t="s">
        <v>25316</v>
      </c>
      <c r="G6265" s="196">
        <v>1.2898728E8</v>
      </c>
      <c r="H6265" s="197">
        <v>4.6</v>
      </c>
      <c r="I6265" s="7" t="s">
        <v>16815</v>
      </c>
      <c r="J6265" s="7" t="s">
        <v>187</v>
      </c>
      <c r="K6265" s="7" t="s">
        <v>16846</v>
      </c>
      <c r="L6265" s="198" t="s">
        <v>65</v>
      </c>
      <c r="M6265" s="194"/>
      <c r="N6265" s="194"/>
    </row>
    <row r="6266">
      <c r="A6266" s="193" t="s">
        <v>25317</v>
      </c>
      <c r="B6266" s="7" t="s">
        <v>16838</v>
      </c>
      <c r="C6266" s="7" t="s">
        <v>18956</v>
      </c>
      <c r="D6266" s="194">
        <v>2015.0</v>
      </c>
      <c r="E6266" s="193"/>
      <c r="F6266" s="195" t="s">
        <v>25318</v>
      </c>
      <c r="G6266" s="196">
        <v>1.28871905E8</v>
      </c>
      <c r="H6266" s="197">
        <v>13.38</v>
      </c>
      <c r="I6266" s="7" t="s">
        <v>16815</v>
      </c>
      <c r="J6266" s="7" t="s">
        <v>16838</v>
      </c>
      <c r="K6266" s="7" t="s">
        <v>18956</v>
      </c>
      <c r="L6266" s="198" t="s">
        <v>65</v>
      </c>
      <c r="M6266" s="194"/>
      <c r="N6266" s="194"/>
    </row>
    <row r="6267">
      <c r="A6267" s="193" t="s">
        <v>25319</v>
      </c>
      <c r="B6267" s="7" t="s">
        <v>16582</v>
      </c>
      <c r="C6267" s="7" t="s">
        <v>16817</v>
      </c>
      <c r="D6267" s="194">
        <v>2014.0</v>
      </c>
      <c r="E6267" s="193"/>
      <c r="F6267" s="195" t="s">
        <v>25320</v>
      </c>
      <c r="G6267" s="196">
        <v>1.28696077E8</v>
      </c>
      <c r="H6267" s="197">
        <v>4.1</v>
      </c>
      <c r="I6267" s="7" t="s">
        <v>16815</v>
      </c>
      <c r="J6267" s="7" t="s">
        <v>16582</v>
      </c>
      <c r="K6267" s="7" t="s">
        <v>16817</v>
      </c>
      <c r="L6267" s="198" t="s">
        <v>65</v>
      </c>
      <c r="M6267" s="194"/>
      <c r="N6267" s="194"/>
    </row>
    <row r="6268">
      <c r="A6268" s="193" t="s">
        <v>25321</v>
      </c>
      <c r="B6268" s="7" t="s">
        <v>16885</v>
      </c>
      <c r="C6268" s="7" t="s">
        <v>16886</v>
      </c>
      <c r="D6268" s="199"/>
      <c r="E6268" s="193"/>
      <c r="F6268" s="195" t="s">
        <v>25322</v>
      </c>
      <c r="G6268" s="196">
        <v>1.28691468E8</v>
      </c>
      <c r="H6268" s="197">
        <v>3.91</v>
      </c>
      <c r="I6268" s="7" t="s">
        <v>16826</v>
      </c>
      <c r="J6268" s="7" t="s">
        <v>16885</v>
      </c>
      <c r="K6268" s="7" t="s">
        <v>16886</v>
      </c>
      <c r="L6268" s="198" t="s">
        <v>65</v>
      </c>
      <c r="M6268" s="199"/>
      <c r="N6268" s="199"/>
    </row>
    <row r="6269">
      <c r="A6269" s="193" t="s">
        <v>25323</v>
      </c>
      <c r="B6269" s="7" t="s">
        <v>17057</v>
      </c>
      <c r="C6269" s="7" t="s">
        <v>169</v>
      </c>
      <c r="D6269" s="194">
        <v>2021.0</v>
      </c>
      <c r="E6269" s="193"/>
      <c r="F6269" s="195" t="s">
        <v>25324</v>
      </c>
      <c r="G6269" s="200">
        <v>1.28680067E8</v>
      </c>
      <c r="H6269" s="197">
        <v>0.7465</v>
      </c>
      <c r="I6269" s="7" t="s">
        <v>16815</v>
      </c>
      <c r="J6269" s="7" t="s">
        <v>17057</v>
      </c>
      <c r="K6269" s="7" t="s">
        <v>169</v>
      </c>
      <c r="L6269" s="201" t="s">
        <v>16835</v>
      </c>
      <c r="M6269" s="194"/>
      <c r="N6269" s="194"/>
    </row>
    <row r="6270">
      <c r="A6270" s="193" t="s">
        <v>25323</v>
      </c>
      <c r="B6270" s="7" t="s">
        <v>169</v>
      </c>
      <c r="C6270" s="7" t="s">
        <v>17057</v>
      </c>
      <c r="D6270" s="194">
        <v>2021.0</v>
      </c>
      <c r="E6270" s="193"/>
      <c r="F6270" s="195" t="s">
        <v>25324</v>
      </c>
      <c r="G6270" s="196">
        <v>1.28680067E8</v>
      </c>
      <c r="H6270" s="197">
        <v>0.7465</v>
      </c>
      <c r="I6270" s="7" t="s">
        <v>16815</v>
      </c>
      <c r="J6270" s="7" t="s">
        <v>169</v>
      </c>
      <c r="K6270" s="7" t="s">
        <v>17057</v>
      </c>
      <c r="L6270" s="198" t="s">
        <v>65</v>
      </c>
      <c r="M6270" s="194"/>
      <c r="N6270" s="194"/>
    </row>
    <row r="6271">
      <c r="A6271" s="193" t="s">
        <v>25325</v>
      </c>
      <c r="B6271" s="7" t="s">
        <v>16838</v>
      </c>
      <c r="C6271" s="7" t="s">
        <v>17002</v>
      </c>
      <c r="D6271" s="194">
        <v>2022.0</v>
      </c>
      <c r="E6271" s="193"/>
      <c r="F6271" s="195" t="s">
        <v>25326</v>
      </c>
      <c r="G6271" s="196">
        <v>1.28667589E8</v>
      </c>
      <c r="H6271" s="197">
        <v>17.91</v>
      </c>
      <c r="I6271" s="7" t="s">
        <v>16815</v>
      </c>
      <c r="J6271" s="7" t="s">
        <v>16838</v>
      </c>
      <c r="K6271" s="7" t="s">
        <v>17002</v>
      </c>
      <c r="L6271" s="198" t="s">
        <v>65</v>
      </c>
      <c r="M6271" s="194"/>
      <c r="N6271" s="194"/>
    </row>
    <row r="6272">
      <c r="A6272" s="193" t="s">
        <v>25327</v>
      </c>
      <c r="D6272" s="194">
        <v>2023.0</v>
      </c>
      <c r="E6272" s="193"/>
      <c r="F6272" s="195" t="s">
        <v>25328</v>
      </c>
      <c r="G6272" s="196">
        <v>1.28644836E8</v>
      </c>
      <c r="H6272" s="197">
        <v>8.75</v>
      </c>
      <c r="I6272" s="7" t="s">
        <v>16815</v>
      </c>
      <c r="L6272" s="198" t="s">
        <v>65</v>
      </c>
      <c r="M6272" s="194"/>
      <c r="N6272" s="194"/>
    </row>
    <row r="6273">
      <c r="A6273" s="193" t="s">
        <v>25329</v>
      </c>
      <c r="B6273" s="7" t="s">
        <v>16838</v>
      </c>
      <c r="C6273" s="7" t="s">
        <v>16867</v>
      </c>
      <c r="D6273" s="194">
        <v>2018.0</v>
      </c>
      <c r="E6273" s="193"/>
      <c r="F6273" s="195" t="s">
        <v>25330</v>
      </c>
      <c r="G6273" s="196">
        <v>1.28446933E8</v>
      </c>
      <c r="H6273" s="197">
        <v>8.49</v>
      </c>
      <c r="I6273" s="7" t="s">
        <v>16815</v>
      </c>
      <c r="J6273" s="7" t="s">
        <v>16838</v>
      </c>
      <c r="K6273" s="7" t="s">
        <v>16867</v>
      </c>
      <c r="L6273" s="198" t="s">
        <v>65</v>
      </c>
      <c r="M6273" s="194"/>
      <c r="N6273" s="194"/>
    </row>
    <row r="6274">
      <c r="A6274" s="193" t="s">
        <v>25331</v>
      </c>
      <c r="B6274" s="7" t="s">
        <v>187</v>
      </c>
      <c r="C6274" s="7" t="s">
        <v>16846</v>
      </c>
      <c r="D6274" s="194">
        <v>2019.0</v>
      </c>
      <c r="E6274" s="193"/>
      <c r="F6274" s="195" t="s">
        <v>25332</v>
      </c>
      <c r="G6274" s="196">
        <v>1.28142181E8</v>
      </c>
      <c r="H6274" s="197">
        <v>2.03</v>
      </c>
      <c r="I6274" s="7" t="s">
        <v>16815</v>
      </c>
      <c r="J6274" s="7" t="s">
        <v>187</v>
      </c>
      <c r="K6274" s="7" t="s">
        <v>16846</v>
      </c>
      <c r="L6274" s="198" t="s">
        <v>65</v>
      </c>
      <c r="M6274" s="194"/>
      <c r="N6274" s="194"/>
    </row>
    <row r="6275">
      <c r="A6275" s="193" t="s">
        <v>25333</v>
      </c>
      <c r="B6275" s="7" t="s">
        <v>169</v>
      </c>
      <c r="C6275" s="7" t="s">
        <v>17702</v>
      </c>
      <c r="D6275" s="199"/>
      <c r="E6275" s="193"/>
      <c r="F6275" s="195" t="s">
        <v>25334</v>
      </c>
      <c r="G6275" s="196">
        <v>1.281E8</v>
      </c>
      <c r="H6275" s="197">
        <v>2.0</v>
      </c>
      <c r="I6275" s="7" t="s">
        <v>16815</v>
      </c>
      <c r="J6275" s="7" t="s">
        <v>169</v>
      </c>
      <c r="K6275" s="7" t="s">
        <v>17702</v>
      </c>
      <c r="L6275" s="198" t="s">
        <v>65</v>
      </c>
      <c r="M6275" s="199"/>
      <c r="N6275" s="199"/>
    </row>
    <row r="6276">
      <c r="A6276" s="193" t="s">
        <v>25335</v>
      </c>
      <c r="B6276" s="7" t="s">
        <v>17112</v>
      </c>
      <c r="C6276" s="7" t="s">
        <v>17218</v>
      </c>
      <c r="D6276" s="194">
        <v>2023.0</v>
      </c>
      <c r="E6276" s="193"/>
      <c r="F6276" s="195" t="s">
        <v>25336</v>
      </c>
      <c r="G6276" s="196">
        <v>1.28078273E8</v>
      </c>
      <c r="H6276" s="197">
        <v>2.32</v>
      </c>
      <c r="I6276" s="7" t="s">
        <v>16815</v>
      </c>
      <c r="J6276" s="7" t="s">
        <v>17112</v>
      </c>
      <c r="K6276" s="7" t="s">
        <v>17218</v>
      </c>
      <c r="L6276" s="198" t="s">
        <v>65</v>
      </c>
      <c r="M6276" s="194"/>
      <c r="N6276" s="194"/>
    </row>
    <row r="6277">
      <c r="A6277" s="193" t="s">
        <v>25337</v>
      </c>
      <c r="B6277" s="7" t="s">
        <v>16582</v>
      </c>
      <c r="C6277" s="7" t="s">
        <v>16930</v>
      </c>
      <c r="D6277" s="199"/>
      <c r="E6277" s="193"/>
      <c r="F6277" s="195" t="s">
        <v>25338</v>
      </c>
      <c r="G6277" s="196">
        <v>1.27929357E8</v>
      </c>
      <c r="H6277" s="197">
        <v>2.425</v>
      </c>
      <c r="I6277" s="7" t="s">
        <v>16815</v>
      </c>
      <c r="J6277" s="7" t="s">
        <v>16582</v>
      </c>
      <c r="K6277" s="7" t="s">
        <v>16930</v>
      </c>
      <c r="L6277" s="198" t="s">
        <v>65</v>
      </c>
      <c r="M6277" s="199"/>
      <c r="N6277" s="199"/>
    </row>
    <row r="6278">
      <c r="A6278" s="193" t="s">
        <v>25339</v>
      </c>
      <c r="B6278" s="7" t="s">
        <v>16910</v>
      </c>
      <c r="C6278" s="7" t="s">
        <v>17502</v>
      </c>
      <c r="D6278" s="194">
        <v>2019.0</v>
      </c>
      <c r="E6278" s="193"/>
      <c r="F6278" s="195" t="s">
        <v>25340</v>
      </c>
      <c r="G6278" s="196">
        <v>1.27873656E8</v>
      </c>
      <c r="H6278" s="197">
        <v>2.99</v>
      </c>
      <c r="I6278" s="7" t="s">
        <v>127</v>
      </c>
      <c r="J6278" s="7" t="s">
        <v>16910</v>
      </c>
      <c r="K6278" s="7" t="s">
        <v>17502</v>
      </c>
      <c r="L6278" s="198" t="s">
        <v>65</v>
      </c>
      <c r="M6278" s="194"/>
      <c r="N6278" s="194"/>
    </row>
    <row r="6279">
      <c r="A6279" s="193" t="s">
        <v>25341</v>
      </c>
      <c r="B6279" s="7" t="s">
        <v>18679</v>
      </c>
      <c r="C6279" s="7" t="s">
        <v>16838</v>
      </c>
      <c r="D6279" s="194">
        <v>2019.0</v>
      </c>
      <c r="E6279" s="193"/>
      <c r="F6279" s="195" t="s">
        <v>25342</v>
      </c>
      <c r="G6279" s="200">
        <v>1.27475025E8</v>
      </c>
      <c r="H6279" s="197">
        <v>14.31</v>
      </c>
      <c r="I6279" s="7" t="s">
        <v>16815</v>
      </c>
      <c r="J6279" s="7" t="s">
        <v>18679</v>
      </c>
      <c r="K6279" s="7" t="s">
        <v>16838</v>
      </c>
      <c r="L6279" s="201" t="s">
        <v>16835</v>
      </c>
      <c r="M6279" s="194"/>
      <c r="N6279" s="194"/>
    </row>
    <row r="6280">
      <c r="A6280" s="193" t="s">
        <v>25341</v>
      </c>
      <c r="B6280" s="7" t="s">
        <v>16838</v>
      </c>
      <c r="C6280" s="7" t="s">
        <v>18679</v>
      </c>
      <c r="D6280" s="194">
        <v>2019.0</v>
      </c>
      <c r="E6280" s="193"/>
      <c r="F6280" s="195" t="s">
        <v>25342</v>
      </c>
      <c r="G6280" s="196">
        <v>1.27475025E8</v>
      </c>
      <c r="H6280" s="197">
        <v>14.31</v>
      </c>
      <c r="I6280" s="7" t="s">
        <v>16815</v>
      </c>
      <c r="J6280" s="7" t="s">
        <v>16838</v>
      </c>
      <c r="K6280" s="7" t="s">
        <v>18679</v>
      </c>
      <c r="L6280" s="198" t="s">
        <v>65</v>
      </c>
      <c r="M6280" s="194"/>
      <c r="N6280" s="194"/>
    </row>
    <row r="6281">
      <c r="A6281" s="193" t="s">
        <v>25343</v>
      </c>
      <c r="B6281" s="7" t="s">
        <v>175</v>
      </c>
      <c r="C6281" s="7" t="s">
        <v>17619</v>
      </c>
      <c r="D6281" s="199"/>
      <c r="E6281" s="193"/>
      <c r="F6281" s="195" t="s">
        <v>25344</v>
      </c>
      <c r="G6281" s="196">
        <v>1.2675705E8</v>
      </c>
      <c r="H6281" s="197">
        <v>20.7</v>
      </c>
      <c r="I6281" s="7" t="s">
        <v>17242</v>
      </c>
      <c r="J6281" s="7" t="s">
        <v>175</v>
      </c>
      <c r="K6281" s="7" t="s">
        <v>17619</v>
      </c>
      <c r="L6281" s="198" t="s">
        <v>65</v>
      </c>
      <c r="M6281" s="199"/>
      <c r="N6281" s="199"/>
    </row>
    <row r="6282">
      <c r="A6282" s="193" t="s">
        <v>25345</v>
      </c>
      <c r="B6282" s="7" t="s">
        <v>187</v>
      </c>
      <c r="C6282" s="7" t="s">
        <v>16846</v>
      </c>
      <c r="D6282" s="194">
        <v>2021.0</v>
      </c>
      <c r="E6282" s="193"/>
      <c r="F6282" s="195" t="s">
        <v>25346</v>
      </c>
      <c r="G6282" s="196">
        <v>1.26745924E8</v>
      </c>
      <c r="H6282" s="197">
        <v>1.0</v>
      </c>
      <c r="I6282" s="7" t="s">
        <v>16815</v>
      </c>
      <c r="J6282" s="7" t="s">
        <v>187</v>
      </c>
      <c r="K6282" s="7" t="s">
        <v>16846</v>
      </c>
      <c r="L6282" s="198" t="s">
        <v>65</v>
      </c>
      <c r="M6282" s="194"/>
      <c r="N6282" s="194"/>
    </row>
    <row r="6283">
      <c r="A6283" s="193" t="s">
        <v>25347</v>
      </c>
      <c r="B6283" s="7" t="s">
        <v>187</v>
      </c>
      <c r="C6283" s="7" t="s">
        <v>16992</v>
      </c>
      <c r="D6283" s="194">
        <v>2021.0</v>
      </c>
      <c r="E6283" s="193"/>
      <c r="F6283" s="195" t="s">
        <v>25348</v>
      </c>
      <c r="G6283" s="196">
        <v>1.26686495E8</v>
      </c>
      <c r="H6283" s="197">
        <v>1.86</v>
      </c>
      <c r="I6283" s="7" t="s">
        <v>16815</v>
      </c>
      <c r="J6283" s="7" t="s">
        <v>187</v>
      </c>
      <c r="K6283" s="7" t="s">
        <v>16992</v>
      </c>
      <c r="L6283" s="198" t="s">
        <v>65</v>
      </c>
      <c r="M6283" s="194"/>
      <c r="N6283" s="194"/>
    </row>
    <row r="6284">
      <c r="A6284" s="193" t="s">
        <v>25349</v>
      </c>
      <c r="B6284" s="7" t="s">
        <v>169</v>
      </c>
      <c r="C6284" s="7" t="s">
        <v>16945</v>
      </c>
      <c r="D6284" s="194">
        <v>2020.0</v>
      </c>
      <c r="E6284" s="193"/>
      <c r="F6284" s="195" t="s">
        <v>25350</v>
      </c>
      <c r="G6284" s="196">
        <v>1.26652529E8</v>
      </c>
      <c r="H6284" s="197">
        <v>0.8825</v>
      </c>
      <c r="I6284" s="7" t="s">
        <v>16815</v>
      </c>
      <c r="J6284" s="7" t="s">
        <v>169</v>
      </c>
      <c r="K6284" s="7" t="s">
        <v>16945</v>
      </c>
      <c r="L6284" s="198" t="s">
        <v>65</v>
      </c>
      <c r="M6284" s="194"/>
      <c r="N6284" s="194"/>
    </row>
    <row r="6285">
      <c r="A6285" s="193" t="s">
        <v>25351</v>
      </c>
      <c r="B6285" s="7" t="s">
        <v>169</v>
      </c>
      <c r="C6285" s="7" t="s">
        <v>16899</v>
      </c>
      <c r="D6285" s="199"/>
      <c r="E6285" s="193"/>
      <c r="F6285" s="195" t="s">
        <v>25352</v>
      </c>
      <c r="G6285" s="196">
        <v>1.26528662E8</v>
      </c>
      <c r="H6285" s="197">
        <v>19.58</v>
      </c>
      <c r="I6285" s="7" t="s">
        <v>16815</v>
      </c>
      <c r="J6285" s="7" t="s">
        <v>169</v>
      </c>
      <c r="K6285" s="7" t="s">
        <v>16899</v>
      </c>
      <c r="L6285" s="198" t="s">
        <v>65</v>
      </c>
      <c r="M6285" s="199"/>
      <c r="N6285" s="199"/>
    </row>
    <row r="6286">
      <c r="A6286" s="193" t="s">
        <v>25353</v>
      </c>
      <c r="B6286" s="7" t="s">
        <v>19579</v>
      </c>
      <c r="C6286" s="7" t="s">
        <v>16838</v>
      </c>
      <c r="D6286" s="199"/>
      <c r="E6286" s="193"/>
      <c r="F6286" s="195" t="s">
        <v>25354</v>
      </c>
      <c r="G6286" s="200">
        <v>1.2611374E8</v>
      </c>
      <c r="H6286" s="197">
        <v>4.58</v>
      </c>
      <c r="I6286" s="7" t="s">
        <v>16815</v>
      </c>
      <c r="J6286" s="7" t="s">
        <v>19579</v>
      </c>
      <c r="K6286" s="7" t="s">
        <v>16838</v>
      </c>
      <c r="L6286" s="201" t="s">
        <v>16835</v>
      </c>
      <c r="M6286" s="199"/>
      <c r="N6286" s="199"/>
    </row>
    <row r="6287">
      <c r="A6287" s="193" t="s">
        <v>25353</v>
      </c>
      <c r="B6287" s="7" t="s">
        <v>16838</v>
      </c>
      <c r="C6287" s="7" t="s">
        <v>19579</v>
      </c>
      <c r="D6287" s="199"/>
      <c r="E6287" s="193"/>
      <c r="F6287" s="195" t="s">
        <v>25354</v>
      </c>
      <c r="G6287" s="196">
        <v>1.2611374E8</v>
      </c>
      <c r="H6287" s="197">
        <v>4.58</v>
      </c>
      <c r="I6287" s="7" t="s">
        <v>16815</v>
      </c>
      <c r="J6287" s="7" t="s">
        <v>16838</v>
      </c>
      <c r="K6287" s="7" t="s">
        <v>19579</v>
      </c>
      <c r="L6287" s="198" t="s">
        <v>65</v>
      </c>
      <c r="M6287" s="199"/>
      <c r="N6287" s="199"/>
    </row>
    <row r="6288">
      <c r="A6288" s="193" t="s">
        <v>25355</v>
      </c>
      <c r="B6288" s="7" t="s">
        <v>187</v>
      </c>
      <c r="C6288" s="7" t="s">
        <v>16846</v>
      </c>
      <c r="D6288" s="194">
        <v>2020.0</v>
      </c>
      <c r="E6288" s="193"/>
      <c r="F6288" s="195" t="s">
        <v>25356</v>
      </c>
      <c r="G6288" s="196">
        <v>1.25979149E8</v>
      </c>
      <c r="H6288" s="197">
        <v>0.98</v>
      </c>
      <c r="I6288" s="7" t="s">
        <v>16815</v>
      </c>
      <c r="J6288" s="7" t="s">
        <v>187</v>
      </c>
      <c r="K6288" s="7" t="s">
        <v>16846</v>
      </c>
      <c r="L6288" s="198" t="s">
        <v>65</v>
      </c>
      <c r="M6288" s="194"/>
      <c r="N6288" s="194"/>
    </row>
    <row r="6289">
      <c r="A6289" s="193" t="s">
        <v>25357</v>
      </c>
      <c r="B6289" s="7" t="s">
        <v>187</v>
      </c>
      <c r="C6289" s="7" t="s">
        <v>16858</v>
      </c>
      <c r="D6289" s="194">
        <v>2018.0</v>
      </c>
      <c r="E6289" s="193"/>
      <c r="F6289" s="195" t="s">
        <v>25358</v>
      </c>
      <c r="G6289" s="196">
        <v>1.25896249E8</v>
      </c>
      <c r="H6289" s="197">
        <v>2.08</v>
      </c>
      <c r="I6289" s="7" t="s">
        <v>16815</v>
      </c>
      <c r="J6289" s="7" t="s">
        <v>187</v>
      </c>
      <c r="K6289" s="7" t="s">
        <v>16858</v>
      </c>
      <c r="L6289" s="198" t="s">
        <v>65</v>
      </c>
      <c r="M6289" s="194"/>
      <c r="N6289" s="194"/>
    </row>
    <row r="6290">
      <c r="A6290" s="193" t="s">
        <v>25359</v>
      </c>
      <c r="D6290" s="199"/>
      <c r="E6290" s="193"/>
      <c r="F6290" s="195" t="s">
        <v>25360</v>
      </c>
      <c r="G6290" s="196">
        <v>1.25590851E8</v>
      </c>
      <c r="H6290" s="197">
        <v>1.32</v>
      </c>
      <c r="I6290" s="7" t="s">
        <v>16815</v>
      </c>
      <c r="L6290" s="198" t="s">
        <v>65</v>
      </c>
      <c r="M6290" s="199"/>
      <c r="N6290" s="199"/>
    </row>
    <row r="6291">
      <c r="A6291" s="193" t="s">
        <v>25361</v>
      </c>
      <c r="B6291" s="7" t="s">
        <v>187</v>
      </c>
      <c r="C6291" s="7" t="s">
        <v>16846</v>
      </c>
      <c r="D6291" s="194">
        <v>2021.0</v>
      </c>
      <c r="E6291" s="193"/>
      <c r="F6291" s="195" t="s">
        <v>25362</v>
      </c>
      <c r="G6291" s="196">
        <v>1.25573853E8</v>
      </c>
      <c r="H6291" s="197">
        <v>10.5352</v>
      </c>
      <c r="I6291" s="7" t="s">
        <v>16815</v>
      </c>
      <c r="J6291" s="7" t="s">
        <v>187</v>
      </c>
      <c r="K6291" s="7" t="s">
        <v>16846</v>
      </c>
      <c r="L6291" s="198" t="s">
        <v>65</v>
      </c>
      <c r="M6291" s="194"/>
      <c r="N6291" s="194"/>
    </row>
    <row r="6292">
      <c r="A6292" s="193" t="s">
        <v>25363</v>
      </c>
      <c r="B6292" s="7" t="s">
        <v>187</v>
      </c>
      <c r="C6292" s="7" t="s">
        <v>16846</v>
      </c>
      <c r="D6292" s="199"/>
      <c r="E6292" s="193"/>
      <c r="F6292" s="195" t="s">
        <v>4632</v>
      </c>
      <c r="G6292" s="196">
        <v>1.25122731E8</v>
      </c>
      <c r="H6292" s="197">
        <v>2.1</v>
      </c>
      <c r="I6292" s="7" t="s">
        <v>16815</v>
      </c>
      <c r="J6292" s="7" t="s">
        <v>187</v>
      </c>
      <c r="K6292" s="7" t="s">
        <v>16846</v>
      </c>
      <c r="L6292" s="198" t="s">
        <v>65</v>
      </c>
      <c r="M6292" s="199"/>
      <c r="N6292" s="199"/>
    </row>
    <row r="6293">
      <c r="A6293" s="193" t="s">
        <v>25364</v>
      </c>
      <c r="D6293" s="194">
        <v>2023.0</v>
      </c>
      <c r="E6293" s="193"/>
      <c r="F6293" s="195" t="s">
        <v>25365</v>
      </c>
      <c r="G6293" s="196">
        <v>1.2460275E8</v>
      </c>
      <c r="H6293" s="197">
        <v>3.505</v>
      </c>
      <c r="I6293" s="7" t="s">
        <v>16815</v>
      </c>
      <c r="L6293" s="198" t="s">
        <v>65</v>
      </c>
      <c r="M6293" s="194"/>
      <c r="N6293" s="194"/>
    </row>
    <row r="6294">
      <c r="A6294" s="193" t="s">
        <v>25366</v>
      </c>
      <c r="B6294" s="7" t="s">
        <v>16838</v>
      </c>
      <c r="C6294" s="7" t="s">
        <v>16867</v>
      </c>
      <c r="D6294" s="199"/>
      <c r="E6294" s="193"/>
      <c r="F6294" s="195" t="s">
        <v>25367</v>
      </c>
      <c r="G6294" s="196">
        <v>1.24460193E8</v>
      </c>
      <c r="H6294" s="197">
        <v>6.92</v>
      </c>
      <c r="I6294" s="7" t="s">
        <v>16815</v>
      </c>
      <c r="J6294" s="7" t="s">
        <v>16838</v>
      </c>
      <c r="K6294" s="7" t="s">
        <v>16867</v>
      </c>
      <c r="L6294" s="198" t="s">
        <v>65</v>
      </c>
      <c r="M6294" s="199"/>
      <c r="N6294" s="199"/>
    </row>
    <row r="6295">
      <c r="A6295" s="193" t="s">
        <v>25368</v>
      </c>
      <c r="B6295" s="7" t="s">
        <v>187</v>
      </c>
      <c r="C6295" s="7" t="s">
        <v>16846</v>
      </c>
      <c r="D6295" s="194">
        <v>2021.0</v>
      </c>
      <c r="E6295" s="193"/>
      <c r="F6295" s="195" t="s">
        <v>25369</v>
      </c>
      <c r="G6295" s="196">
        <v>1.24415554E8</v>
      </c>
      <c r="H6295" s="197">
        <v>5.215</v>
      </c>
      <c r="I6295" s="7" t="s">
        <v>16815</v>
      </c>
      <c r="J6295" s="7" t="s">
        <v>187</v>
      </c>
      <c r="K6295" s="7" t="s">
        <v>16846</v>
      </c>
      <c r="L6295" s="198" t="s">
        <v>65</v>
      </c>
      <c r="M6295" s="194"/>
      <c r="N6295" s="194"/>
    </row>
    <row r="6296">
      <c r="A6296" s="193" t="s">
        <v>25370</v>
      </c>
      <c r="B6296" s="7" t="s">
        <v>17629</v>
      </c>
      <c r="C6296" s="7" t="s">
        <v>16899</v>
      </c>
      <c r="D6296" s="194">
        <v>1992.0</v>
      </c>
      <c r="E6296" s="193"/>
      <c r="F6296" s="195" t="s">
        <v>25371</v>
      </c>
      <c r="G6296" s="196">
        <v>1.24021458E8</v>
      </c>
      <c r="H6296" s="197">
        <v>7.59</v>
      </c>
      <c r="I6296" s="7" t="s">
        <v>16815</v>
      </c>
      <c r="J6296" s="7" t="s">
        <v>17629</v>
      </c>
      <c r="K6296" s="7" t="s">
        <v>16899</v>
      </c>
      <c r="L6296" s="198" t="s">
        <v>65</v>
      </c>
      <c r="M6296" s="194"/>
      <c r="N6296" s="194"/>
    </row>
    <row r="6297">
      <c r="A6297" s="193" t="s">
        <v>25372</v>
      </c>
      <c r="B6297" s="7" t="s">
        <v>16838</v>
      </c>
      <c r="C6297" s="7" t="s">
        <v>17019</v>
      </c>
      <c r="D6297" s="194">
        <v>2021.0</v>
      </c>
      <c r="E6297" s="193"/>
      <c r="F6297" s="195" t="s">
        <v>25373</v>
      </c>
      <c r="G6297" s="196">
        <v>1.23815968E8</v>
      </c>
      <c r="H6297" s="197">
        <v>10.255</v>
      </c>
      <c r="I6297" s="7" t="s">
        <v>16815</v>
      </c>
      <c r="J6297" s="7" t="s">
        <v>16838</v>
      </c>
      <c r="K6297" s="7" t="s">
        <v>17019</v>
      </c>
      <c r="L6297" s="198" t="s">
        <v>65</v>
      </c>
      <c r="M6297" s="194"/>
      <c r="N6297" s="194"/>
    </row>
    <row r="6298">
      <c r="A6298" s="193" t="s">
        <v>25372</v>
      </c>
      <c r="B6298" s="202" t="s">
        <v>17019</v>
      </c>
      <c r="C6298" s="193" t="s">
        <v>16838</v>
      </c>
      <c r="D6298" s="193">
        <v>2021.0</v>
      </c>
      <c r="E6298" s="193"/>
      <c r="F6298" s="203" t="s">
        <v>25373</v>
      </c>
      <c r="G6298" s="200">
        <v>1.23815968E8</v>
      </c>
      <c r="H6298" s="205">
        <v>0.7884</v>
      </c>
      <c r="J6298" s="202" t="s">
        <v>17019</v>
      </c>
      <c r="K6298" s="193" t="s">
        <v>16838</v>
      </c>
      <c r="L6298" s="193" t="s">
        <v>17471</v>
      </c>
      <c r="M6298" s="193"/>
      <c r="N6298" s="193"/>
    </row>
    <row r="6299">
      <c r="A6299" s="193" t="s">
        <v>25374</v>
      </c>
      <c r="B6299" s="7" t="s">
        <v>187</v>
      </c>
      <c r="C6299" s="7" t="s">
        <v>16846</v>
      </c>
      <c r="D6299" s="199"/>
      <c r="E6299" s="193"/>
      <c r="F6299" s="195" t="s">
        <v>25375</v>
      </c>
      <c r="G6299" s="196">
        <v>1.2379604E8</v>
      </c>
      <c r="H6299" s="197">
        <v>3.28</v>
      </c>
      <c r="I6299" s="7" t="s">
        <v>16815</v>
      </c>
      <c r="J6299" s="7" t="s">
        <v>187</v>
      </c>
      <c r="K6299" s="7" t="s">
        <v>16846</v>
      </c>
      <c r="L6299" s="198" t="s">
        <v>65</v>
      </c>
      <c r="M6299" s="199"/>
      <c r="N6299" s="199"/>
    </row>
    <row r="6300">
      <c r="A6300" s="193" t="s">
        <v>25376</v>
      </c>
      <c r="B6300" s="7" t="s">
        <v>175</v>
      </c>
      <c r="C6300" s="7" t="s">
        <v>18310</v>
      </c>
      <c r="D6300" s="194">
        <v>2021.0</v>
      </c>
      <c r="E6300" s="193"/>
      <c r="F6300" s="195" t="s">
        <v>25377</v>
      </c>
      <c r="G6300" s="196">
        <v>1.23719898E8</v>
      </c>
      <c r="H6300" s="197">
        <v>10.67</v>
      </c>
      <c r="I6300" s="7" t="s">
        <v>168</v>
      </c>
      <c r="J6300" s="7" t="s">
        <v>175</v>
      </c>
      <c r="K6300" s="7" t="s">
        <v>18310</v>
      </c>
      <c r="L6300" s="198" t="s">
        <v>65</v>
      </c>
      <c r="M6300" s="194"/>
      <c r="N6300" s="194"/>
    </row>
    <row r="6301">
      <c r="A6301" s="193" t="s">
        <v>25376</v>
      </c>
      <c r="B6301" s="7" t="s">
        <v>18310</v>
      </c>
      <c r="C6301" s="7" t="s">
        <v>175</v>
      </c>
      <c r="D6301" s="194">
        <v>2021.0</v>
      </c>
      <c r="E6301" s="193"/>
      <c r="F6301" s="195" t="s">
        <v>25377</v>
      </c>
      <c r="G6301" s="200">
        <v>1.23719898E8</v>
      </c>
      <c r="H6301" s="197">
        <v>10.67</v>
      </c>
      <c r="I6301" s="7" t="s">
        <v>16815</v>
      </c>
      <c r="J6301" s="7" t="s">
        <v>18310</v>
      </c>
      <c r="K6301" s="7" t="s">
        <v>175</v>
      </c>
      <c r="L6301" s="201" t="s">
        <v>16835</v>
      </c>
      <c r="M6301" s="194"/>
      <c r="N6301" s="194"/>
    </row>
    <row r="6302">
      <c r="A6302" s="193" t="s">
        <v>25378</v>
      </c>
      <c r="B6302" s="7" t="s">
        <v>187</v>
      </c>
      <c r="C6302" s="7" t="s">
        <v>16858</v>
      </c>
      <c r="D6302" s="194">
        <v>2019.0</v>
      </c>
      <c r="E6302" s="193"/>
      <c r="F6302" s="195" t="s">
        <v>25379</v>
      </c>
      <c r="G6302" s="196">
        <v>1.23628807E8</v>
      </c>
      <c r="H6302" s="197">
        <v>6.86</v>
      </c>
      <c r="I6302" s="7" t="s">
        <v>16815</v>
      </c>
      <c r="J6302" s="7" t="s">
        <v>187</v>
      </c>
      <c r="K6302" s="7" t="s">
        <v>16858</v>
      </c>
      <c r="L6302" s="198" t="s">
        <v>65</v>
      </c>
      <c r="M6302" s="194"/>
      <c r="N6302" s="194"/>
    </row>
    <row r="6303">
      <c r="A6303" s="193" t="s">
        <v>25380</v>
      </c>
      <c r="B6303" s="7" t="s">
        <v>187</v>
      </c>
      <c r="C6303" s="7" t="s">
        <v>16858</v>
      </c>
      <c r="D6303" s="194">
        <v>2017.0</v>
      </c>
      <c r="E6303" s="193"/>
      <c r="F6303" s="195" t="s">
        <v>25381</v>
      </c>
      <c r="G6303" s="196">
        <v>1.23368E8</v>
      </c>
      <c r="H6303" s="197">
        <v>0.7503</v>
      </c>
      <c r="I6303" s="7" t="s">
        <v>16815</v>
      </c>
      <c r="J6303" s="7" t="s">
        <v>187</v>
      </c>
      <c r="K6303" s="7" t="s">
        <v>16858</v>
      </c>
      <c r="L6303" s="198" t="s">
        <v>65</v>
      </c>
      <c r="M6303" s="194"/>
      <c r="N6303" s="194"/>
    </row>
    <row r="6304">
      <c r="A6304" s="193" t="s">
        <v>25382</v>
      </c>
      <c r="B6304" s="7" t="s">
        <v>16838</v>
      </c>
      <c r="C6304" s="7" t="s">
        <v>18219</v>
      </c>
      <c r="D6304" s="199"/>
      <c r="E6304" s="193"/>
      <c r="F6304" s="195" t="s">
        <v>25383</v>
      </c>
      <c r="G6304" s="196">
        <v>1.23344E8</v>
      </c>
      <c r="H6304" s="197">
        <v>2.6</v>
      </c>
      <c r="I6304" s="7" t="s">
        <v>16815</v>
      </c>
      <c r="J6304" s="7" t="s">
        <v>16838</v>
      </c>
      <c r="K6304" s="7" t="s">
        <v>18219</v>
      </c>
      <c r="L6304" s="198" t="s">
        <v>65</v>
      </c>
      <c r="M6304" s="199"/>
      <c r="N6304" s="199"/>
    </row>
    <row r="6305">
      <c r="A6305" s="193" t="s">
        <v>25384</v>
      </c>
      <c r="B6305" s="7" t="s">
        <v>16582</v>
      </c>
      <c r="C6305" s="7" t="s">
        <v>16995</v>
      </c>
      <c r="D6305" s="199"/>
      <c r="E6305" s="193"/>
      <c r="F6305" s="195" t="s">
        <v>25385</v>
      </c>
      <c r="G6305" s="196">
        <v>1.23287547E8</v>
      </c>
      <c r="H6305" s="197">
        <v>5.32</v>
      </c>
      <c r="I6305" s="7" t="s">
        <v>16815</v>
      </c>
      <c r="J6305" s="7" t="s">
        <v>16582</v>
      </c>
      <c r="K6305" s="7" t="s">
        <v>16995</v>
      </c>
      <c r="L6305" s="198" t="s">
        <v>65</v>
      </c>
      <c r="M6305" s="199"/>
      <c r="N6305" s="199"/>
    </row>
    <row r="6306">
      <c r="A6306" s="193" t="s">
        <v>25386</v>
      </c>
      <c r="B6306" s="7" t="s">
        <v>16582</v>
      </c>
      <c r="C6306" s="7" t="s">
        <v>16930</v>
      </c>
      <c r="D6306" s="199"/>
      <c r="E6306" s="193"/>
      <c r="F6306" s="195" t="s">
        <v>25387</v>
      </c>
      <c r="G6306" s="196">
        <v>1.23215E8</v>
      </c>
      <c r="H6306" s="197">
        <v>1.9</v>
      </c>
      <c r="I6306" s="7" t="s">
        <v>16815</v>
      </c>
      <c r="J6306" s="7" t="s">
        <v>16582</v>
      </c>
      <c r="K6306" s="7" t="s">
        <v>16930</v>
      </c>
      <c r="L6306" s="198" t="s">
        <v>65</v>
      </c>
      <c r="M6306" s="199"/>
      <c r="N6306" s="199"/>
    </row>
    <row r="6307">
      <c r="A6307" s="193" t="s">
        <v>25388</v>
      </c>
      <c r="B6307" s="7" t="s">
        <v>17629</v>
      </c>
      <c r="C6307" s="7" t="s">
        <v>18718</v>
      </c>
      <c r="D6307" s="194">
        <v>2014.0</v>
      </c>
      <c r="E6307" s="193"/>
      <c r="F6307" s="195" t="s">
        <v>25389</v>
      </c>
      <c r="G6307" s="196">
        <v>1.22757881E8</v>
      </c>
      <c r="H6307" s="197">
        <v>8.32</v>
      </c>
      <c r="I6307" s="7" t="s">
        <v>16815</v>
      </c>
      <c r="J6307" s="7" t="s">
        <v>17629</v>
      </c>
      <c r="K6307" s="7" t="s">
        <v>18718</v>
      </c>
      <c r="L6307" s="198" t="s">
        <v>65</v>
      </c>
      <c r="M6307" s="194"/>
      <c r="N6307" s="194"/>
    </row>
    <row r="6308">
      <c r="A6308" s="193" t="s">
        <v>25390</v>
      </c>
      <c r="B6308" s="7" t="s">
        <v>16838</v>
      </c>
      <c r="C6308" s="7" t="s">
        <v>16867</v>
      </c>
      <c r="D6308" s="194">
        <v>2017.0</v>
      </c>
      <c r="E6308" s="193"/>
      <c r="F6308" s="195" t="s">
        <v>25391</v>
      </c>
      <c r="G6308" s="196">
        <v>1.22731706E8</v>
      </c>
      <c r="H6308" s="197">
        <v>10.98</v>
      </c>
      <c r="I6308" s="7" t="s">
        <v>16815</v>
      </c>
      <c r="J6308" s="7" t="s">
        <v>16838</v>
      </c>
      <c r="K6308" s="7" t="s">
        <v>16867</v>
      </c>
      <c r="L6308" s="198" t="s">
        <v>65</v>
      </c>
      <c r="M6308" s="194"/>
      <c r="N6308" s="194"/>
    </row>
    <row r="6309">
      <c r="A6309" s="193" t="s">
        <v>25392</v>
      </c>
      <c r="B6309" s="7" t="s">
        <v>187</v>
      </c>
      <c r="C6309" s="7" t="s">
        <v>16846</v>
      </c>
      <c r="D6309" s="199"/>
      <c r="E6309" s="193"/>
      <c r="F6309" s="195" t="s">
        <v>25393</v>
      </c>
      <c r="G6309" s="196">
        <v>1.22320504E8</v>
      </c>
      <c r="H6309" s="197">
        <v>0.77</v>
      </c>
      <c r="I6309" s="7" t="s">
        <v>16815</v>
      </c>
      <c r="J6309" s="7" t="s">
        <v>187</v>
      </c>
      <c r="K6309" s="7" t="s">
        <v>16846</v>
      </c>
      <c r="L6309" s="198" t="s">
        <v>65</v>
      </c>
      <c r="M6309" s="199"/>
      <c r="N6309" s="199"/>
    </row>
    <row r="6310">
      <c r="A6310" s="193" t="s">
        <v>25394</v>
      </c>
      <c r="B6310" s="7" t="s">
        <v>16838</v>
      </c>
      <c r="C6310" s="7" t="s">
        <v>16837</v>
      </c>
      <c r="D6310" s="199"/>
      <c r="E6310" s="193"/>
      <c r="F6310" s="195" t="s">
        <v>25395</v>
      </c>
      <c r="G6310" s="196">
        <v>1.22295911E8</v>
      </c>
      <c r="H6310" s="197">
        <v>5.79</v>
      </c>
      <c r="I6310" s="7" t="s">
        <v>16815</v>
      </c>
      <c r="J6310" s="7" t="s">
        <v>16838</v>
      </c>
      <c r="K6310" s="7" t="s">
        <v>16837</v>
      </c>
      <c r="L6310" s="198" t="s">
        <v>65</v>
      </c>
      <c r="M6310" s="199"/>
      <c r="N6310" s="199"/>
    </row>
    <row r="6311">
      <c r="A6311" s="193" t="s">
        <v>25396</v>
      </c>
      <c r="B6311" s="7" t="s">
        <v>169</v>
      </c>
      <c r="C6311" s="7" t="s">
        <v>18098</v>
      </c>
      <c r="D6311" s="199"/>
      <c r="E6311" s="193"/>
      <c r="F6311" s="195" t="s">
        <v>25397</v>
      </c>
      <c r="G6311" s="196">
        <v>1.22128012E8</v>
      </c>
      <c r="H6311" s="197">
        <v>2.91</v>
      </c>
      <c r="I6311" s="7" t="s">
        <v>16815</v>
      </c>
      <c r="J6311" s="7" t="s">
        <v>169</v>
      </c>
      <c r="K6311" s="7" t="s">
        <v>18098</v>
      </c>
      <c r="L6311" s="198" t="s">
        <v>65</v>
      </c>
      <c r="M6311" s="199"/>
      <c r="N6311" s="199"/>
    </row>
    <row r="6312">
      <c r="A6312" s="193" t="s">
        <v>25398</v>
      </c>
      <c r="B6312" s="7" t="s">
        <v>175</v>
      </c>
      <c r="C6312" s="7" t="s">
        <v>17717</v>
      </c>
      <c r="D6312" s="199"/>
      <c r="E6312" s="193"/>
      <c r="F6312" s="195" t="s">
        <v>25399</v>
      </c>
      <c r="G6312" s="196">
        <v>1.22062567E8</v>
      </c>
      <c r="H6312" s="197">
        <v>1.1</v>
      </c>
      <c r="I6312" s="7" t="s">
        <v>16826</v>
      </c>
      <c r="J6312" s="7" t="s">
        <v>175</v>
      </c>
      <c r="K6312" s="7" t="s">
        <v>17717</v>
      </c>
      <c r="L6312" s="198" t="s">
        <v>65</v>
      </c>
      <c r="M6312" s="199"/>
      <c r="N6312" s="199"/>
    </row>
    <row r="6313">
      <c r="A6313" s="193" t="s">
        <v>25400</v>
      </c>
      <c r="B6313" s="7" t="s">
        <v>17111</v>
      </c>
      <c r="C6313" s="7" t="s">
        <v>17112</v>
      </c>
      <c r="D6313" s="194">
        <v>2015.0</v>
      </c>
      <c r="E6313" s="193"/>
      <c r="F6313" s="195" t="s">
        <v>25401</v>
      </c>
      <c r="G6313" s="200">
        <v>1.21964194E8</v>
      </c>
      <c r="H6313" s="197">
        <v>4.44</v>
      </c>
      <c r="I6313" s="7" t="s">
        <v>16815</v>
      </c>
      <c r="J6313" s="7" t="s">
        <v>17111</v>
      </c>
      <c r="K6313" s="7" t="s">
        <v>17112</v>
      </c>
      <c r="L6313" s="201" t="s">
        <v>16835</v>
      </c>
      <c r="M6313" s="194"/>
      <c r="N6313" s="194"/>
    </row>
    <row r="6314">
      <c r="A6314" s="193" t="s">
        <v>25400</v>
      </c>
      <c r="B6314" s="7" t="s">
        <v>17112</v>
      </c>
      <c r="C6314" s="7" t="s">
        <v>17111</v>
      </c>
      <c r="D6314" s="194">
        <v>2015.0</v>
      </c>
      <c r="E6314" s="193"/>
      <c r="F6314" s="195" t="s">
        <v>25401</v>
      </c>
      <c r="G6314" s="196">
        <v>1.21964194E8</v>
      </c>
      <c r="H6314" s="197">
        <v>4.44</v>
      </c>
      <c r="I6314" s="7" t="s">
        <v>16815</v>
      </c>
      <c r="J6314" s="7" t="s">
        <v>17112</v>
      </c>
      <c r="K6314" s="7" t="s">
        <v>17111</v>
      </c>
      <c r="L6314" s="198" t="s">
        <v>65</v>
      </c>
      <c r="M6314" s="194"/>
      <c r="N6314" s="194"/>
    </row>
    <row r="6315">
      <c r="A6315" s="193" t="s">
        <v>25402</v>
      </c>
      <c r="D6315" s="199"/>
      <c r="E6315" s="193"/>
      <c r="F6315" s="195" t="s">
        <v>25403</v>
      </c>
      <c r="G6315" s="196">
        <v>1.21470984E8</v>
      </c>
      <c r="H6315" s="197">
        <v>1.2081</v>
      </c>
      <c r="I6315" s="7" t="s">
        <v>16815</v>
      </c>
      <c r="L6315" s="198" t="s">
        <v>65</v>
      </c>
      <c r="M6315" s="199"/>
      <c r="N6315" s="199"/>
    </row>
    <row r="6316">
      <c r="A6316" s="193" t="s">
        <v>25404</v>
      </c>
      <c r="B6316" s="7" t="s">
        <v>16582</v>
      </c>
      <c r="C6316" s="7" t="s">
        <v>16995</v>
      </c>
      <c r="D6316" s="194">
        <v>1997.0</v>
      </c>
      <c r="E6316" s="193"/>
      <c r="F6316" s="195" t="s">
        <v>25405</v>
      </c>
      <c r="G6316" s="196">
        <v>1.21419E8</v>
      </c>
      <c r="H6316" s="197">
        <v>8.1</v>
      </c>
      <c r="I6316" s="7" t="s">
        <v>16815</v>
      </c>
      <c r="J6316" s="7" t="s">
        <v>16582</v>
      </c>
      <c r="K6316" s="7" t="s">
        <v>16995</v>
      </c>
      <c r="L6316" s="198" t="s">
        <v>65</v>
      </c>
      <c r="M6316" s="194"/>
      <c r="N6316" s="194"/>
    </row>
    <row r="6317">
      <c r="A6317" s="193" t="s">
        <v>25406</v>
      </c>
      <c r="B6317" s="7" t="s">
        <v>175</v>
      </c>
      <c r="C6317" s="7" t="s">
        <v>19139</v>
      </c>
      <c r="D6317" s="194">
        <v>2022.0</v>
      </c>
      <c r="E6317" s="193"/>
      <c r="F6317" s="195" t="s">
        <v>25407</v>
      </c>
      <c r="G6317" s="196">
        <v>1.21245179E8</v>
      </c>
      <c r="H6317" s="197">
        <v>1.32</v>
      </c>
      <c r="I6317" s="7" t="s">
        <v>17242</v>
      </c>
      <c r="J6317" s="7" t="s">
        <v>175</v>
      </c>
      <c r="K6317" s="7" t="s">
        <v>19139</v>
      </c>
      <c r="L6317" s="198" t="s">
        <v>65</v>
      </c>
      <c r="M6317" s="194"/>
      <c r="N6317" s="194"/>
    </row>
    <row r="6318">
      <c r="A6318" s="193" t="s">
        <v>25408</v>
      </c>
      <c r="B6318" s="7" t="s">
        <v>169</v>
      </c>
      <c r="C6318" s="7" t="s">
        <v>16945</v>
      </c>
      <c r="D6318" s="194">
        <v>2021.0</v>
      </c>
      <c r="E6318" s="193"/>
      <c r="F6318" s="195" t="s">
        <v>25409</v>
      </c>
      <c r="G6318" s="196">
        <v>1.21173777E8</v>
      </c>
      <c r="H6318" s="197">
        <v>3.8</v>
      </c>
      <c r="I6318" s="7" t="s">
        <v>16815</v>
      </c>
      <c r="J6318" s="7" t="s">
        <v>169</v>
      </c>
      <c r="K6318" s="7" t="s">
        <v>16945</v>
      </c>
      <c r="L6318" s="198" t="s">
        <v>65</v>
      </c>
      <c r="M6318" s="194"/>
      <c r="N6318" s="194"/>
    </row>
    <row r="6319">
      <c r="A6319" s="193" t="s">
        <v>25410</v>
      </c>
      <c r="B6319" s="7" t="s">
        <v>169</v>
      </c>
      <c r="C6319" s="7" t="s">
        <v>16899</v>
      </c>
      <c r="D6319" s="199"/>
      <c r="E6319" s="193"/>
      <c r="F6319" s="195" t="s">
        <v>25411</v>
      </c>
      <c r="G6319" s="196">
        <v>1.21149445E8</v>
      </c>
      <c r="H6319" s="197">
        <v>1.1</v>
      </c>
      <c r="I6319" s="7" t="s">
        <v>16815</v>
      </c>
      <c r="J6319" s="7" t="s">
        <v>169</v>
      </c>
      <c r="K6319" s="7" t="s">
        <v>16899</v>
      </c>
      <c r="L6319" s="198" t="s">
        <v>65</v>
      </c>
      <c r="M6319" s="199"/>
      <c r="N6319" s="199"/>
    </row>
    <row r="6320">
      <c r="A6320" s="193" t="s">
        <v>25412</v>
      </c>
      <c r="B6320" s="7" t="s">
        <v>187</v>
      </c>
      <c r="C6320" s="7" t="s">
        <v>16846</v>
      </c>
      <c r="D6320" s="199"/>
      <c r="E6320" s="193"/>
      <c r="F6320" s="195" t="s">
        <v>25413</v>
      </c>
      <c r="G6320" s="196">
        <v>1.20893275E8</v>
      </c>
      <c r="H6320" s="197">
        <v>4.41</v>
      </c>
      <c r="I6320" s="7" t="s">
        <v>16815</v>
      </c>
      <c r="J6320" s="7" t="s">
        <v>187</v>
      </c>
      <c r="K6320" s="7" t="s">
        <v>16846</v>
      </c>
      <c r="L6320" s="198" t="s">
        <v>65</v>
      </c>
      <c r="M6320" s="199"/>
      <c r="N6320" s="199"/>
    </row>
    <row r="6321">
      <c r="A6321" s="193" t="s">
        <v>25412</v>
      </c>
      <c r="B6321" s="202" t="s">
        <v>16846</v>
      </c>
      <c r="C6321" s="193" t="s">
        <v>187</v>
      </c>
      <c r="D6321" s="206"/>
      <c r="E6321" s="193"/>
      <c r="F6321" s="203" t="s">
        <v>25413</v>
      </c>
      <c r="G6321" s="200">
        <v>1.20893275E8</v>
      </c>
      <c r="H6321" s="205">
        <v>10.255</v>
      </c>
      <c r="J6321" s="202" t="s">
        <v>16846</v>
      </c>
      <c r="K6321" s="193" t="s">
        <v>187</v>
      </c>
      <c r="L6321" s="193" t="s">
        <v>17471</v>
      </c>
      <c r="M6321" s="206"/>
      <c r="N6321" s="206"/>
    </row>
    <row r="6322">
      <c r="A6322" s="193" t="s">
        <v>25414</v>
      </c>
      <c r="B6322" s="7" t="s">
        <v>158</v>
      </c>
      <c r="C6322" s="7" t="s">
        <v>16864</v>
      </c>
      <c r="D6322" s="199"/>
      <c r="E6322" s="193"/>
      <c r="F6322" s="195" t="s">
        <v>25415</v>
      </c>
      <c r="G6322" s="196">
        <v>1.20798394E8</v>
      </c>
      <c r="H6322" s="197">
        <v>5.45</v>
      </c>
      <c r="I6322" s="7" t="s">
        <v>16897</v>
      </c>
      <c r="J6322" s="7" t="s">
        <v>158</v>
      </c>
      <c r="K6322" s="7" t="s">
        <v>16864</v>
      </c>
      <c r="L6322" s="198" t="s">
        <v>65</v>
      </c>
      <c r="M6322" s="199"/>
      <c r="N6322" s="199"/>
    </row>
    <row r="6323">
      <c r="A6323" s="193" t="s">
        <v>25416</v>
      </c>
      <c r="B6323" s="7" t="s">
        <v>175</v>
      </c>
      <c r="C6323" s="7" t="s">
        <v>17717</v>
      </c>
      <c r="D6323" s="194">
        <v>2020.0</v>
      </c>
      <c r="E6323" s="193"/>
      <c r="F6323" s="195" t="s">
        <v>25417</v>
      </c>
      <c r="G6323" s="196">
        <v>1.2052518E8</v>
      </c>
      <c r="H6323" s="197">
        <v>5.02</v>
      </c>
      <c r="I6323" s="7" t="s">
        <v>16856</v>
      </c>
      <c r="J6323" s="7" t="s">
        <v>175</v>
      </c>
      <c r="K6323" s="7" t="s">
        <v>17717</v>
      </c>
      <c r="L6323" s="198" t="s">
        <v>65</v>
      </c>
      <c r="M6323" s="194"/>
      <c r="N6323" s="194"/>
    </row>
    <row r="6324">
      <c r="A6324" s="193" t="s">
        <v>25418</v>
      </c>
      <c r="B6324" s="7" t="s">
        <v>187</v>
      </c>
      <c r="C6324" s="7" t="s">
        <v>16846</v>
      </c>
      <c r="D6324" s="194">
        <v>2014.0</v>
      </c>
      <c r="E6324" s="193"/>
      <c r="F6324" s="195" t="s">
        <v>25419</v>
      </c>
      <c r="G6324" s="196">
        <v>1.20389221E8</v>
      </c>
      <c r="H6324" s="197">
        <v>9.27</v>
      </c>
      <c r="I6324" s="7" t="s">
        <v>16815</v>
      </c>
      <c r="J6324" s="7" t="s">
        <v>187</v>
      </c>
      <c r="K6324" s="7" t="s">
        <v>16846</v>
      </c>
      <c r="L6324" s="198" t="s">
        <v>65</v>
      </c>
      <c r="M6324" s="194"/>
      <c r="N6324" s="194"/>
    </row>
    <row r="6325">
      <c r="A6325" s="193" t="s">
        <v>25420</v>
      </c>
      <c r="B6325" s="7" t="s">
        <v>175</v>
      </c>
      <c r="C6325" s="7" t="s">
        <v>20344</v>
      </c>
      <c r="D6325" s="199"/>
      <c r="E6325" s="193"/>
      <c r="F6325" s="195" t="s">
        <v>25421</v>
      </c>
      <c r="G6325" s="196">
        <v>1.20294257E8</v>
      </c>
      <c r="H6325" s="197">
        <v>6.64</v>
      </c>
      <c r="I6325" s="7" t="s">
        <v>16844</v>
      </c>
      <c r="J6325" s="7" t="s">
        <v>175</v>
      </c>
      <c r="K6325" s="7" t="s">
        <v>20344</v>
      </c>
      <c r="L6325" s="198" t="s">
        <v>65</v>
      </c>
      <c r="M6325" s="199"/>
      <c r="N6325" s="199"/>
    </row>
    <row r="6326">
      <c r="A6326" s="193" t="s">
        <v>25420</v>
      </c>
      <c r="B6326" s="7" t="s">
        <v>20344</v>
      </c>
      <c r="C6326" s="7" t="s">
        <v>175</v>
      </c>
      <c r="D6326" s="199"/>
      <c r="E6326" s="193"/>
      <c r="F6326" s="195" t="s">
        <v>25421</v>
      </c>
      <c r="G6326" s="200">
        <v>1.20294257E8</v>
      </c>
      <c r="H6326" s="197">
        <v>6.64</v>
      </c>
      <c r="I6326" s="7" t="s">
        <v>16815</v>
      </c>
      <c r="J6326" s="7" t="s">
        <v>20344</v>
      </c>
      <c r="K6326" s="7" t="s">
        <v>175</v>
      </c>
      <c r="L6326" s="201" t="s">
        <v>16835</v>
      </c>
      <c r="M6326" s="199"/>
      <c r="N6326" s="199"/>
    </row>
    <row r="6327">
      <c r="A6327" s="193" t="s">
        <v>25422</v>
      </c>
      <c r="B6327" s="7" t="s">
        <v>16838</v>
      </c>
      <c r="C6327" s="7" t="s">
        <v>16867</v>
      </c>
      <c r="D6327" s="194">
        <v>2019.0</v>
      </c>
      <c r="E6327" s="193"/>
      <c r="F6327" s="195" t="s">
        <v>25423</v>
      </c>
      <c r="G6327" s="196">
        <v>1.19942288E8</v>
      </c>
      <c r="H6327" s="197">
        <v>10.5</v>
      </c>
      <c r="I6327" s="7" t="s">
        <v>16815</v>
      </c>
      <c r="J6327" s="7" t="s">
        <v>16838</v>
      </c>
      <c r="K6327" s="7" t="s">
        <v>16867</v>
      </c>
      <c r="L6327" s="198" t="s">
        <v>65</v>
      </c>
      <c r="M6327" s="194"/>
      <c r="N6327" s="194"/>
    </row>
    <row r="6328">
      <c r="A6328" s="193" t="s">
        <v>25424</v>
      </c>
      <c r="B6328" s="7" t="s">
        <v>187</v>
      </c>
      <c r="C6328" s="7" t="s">
        <v>23634</v>
      </c>
      <c r="D6328" s="194">
        <v>2015.0</v>
      </c>
      <c r="E6328" s="193"/>
      <c r="F6328" s="195" t="s">
        <v>25425</v>
      </c>
      <c r="G6328" s="196">
        <v>1.19916713E8</v>
      </c>
      <c r="H6328" s="197">
        <v>3.94</v>
      </c>
      <c r="I6328" s="7" t="s">
        <v>16815</v>
      </c>
      <c r="J6328" s="7" t="s">
        <v>187</v>
      </c>
      <c r="K6328" s="7" t="s">
        <v>23634</v>
      </c>
      <c r="L6328" s="198" t="s">
        <v>65</v>
      </c>
      <c r="M6328" s="194"/>
      <c r="N6328" s="194"/>
    </row>
    <row r="6329">
      <c r="A6329" s="193" t="s">
        <v>25426</v>
      </c>
      <c r="B6329" s="7" t="s">
        <v>169</v>
      </c>
      <c r="C6329" s="7" t="s">
        <v>17442</v>
      </c>
      <c r="D6329" s="199"/>
      <c r="E6329" s="193"/>
      <c r="F6329" s="195" t="s">
        <v>25427</v>
      </c>
      <c r="G6329" s="196">
        <v>1.19530832E8</v>
      </c>
      <c r="H6329" s="197">
        <v>22.74</v>
      </c>
      <c r="I6329" s="7" t="s">
        <v>16815</v>
      </c>
      <c r="J6329" s="7" t="s">
        <v>169</v>
      </c>
      <c r="K6329" s="7" t="s">
        <v>17442</v>
      </c>
      <c r="L6329" s="198" t="s">
        <v>65</v>
      </c>
      <c r="M6329" s="199"/>
      <c r="N6329" s="199"/>
    </row>
    <row r="6330">
      <c r="A6330" s="193" t="s">
        <v>25428</v>
      </c>
      <c r="B6330" s="7" t="s">
        <v>16838</v>
      </c>
      <c r="C6330" s="7" t="s">
        <v>16867</v>
      </c>
      <c r="D6330" s="199"/>
      <c r="E6330" s="193"/>
      <c r="F6330" s="195" t="s">
        <v>25429</v>
      </c>
      <c r="G6330" s="196">
        <v>1.19390592E8</v>
      </c>
      <c r="H6330" s="197">
        <v>6.035</v>
      </c>
      <c r="I6330" s="7" t="s">
        <v>16815</v>
      </c>
      <c r="J6330" s="7" t="s">
        <v>16838</v>
      </c>
      <c r="K6330" s="7" t="s">
        <v>16867</v>
      </c>
      <c r="L6330" s="198" t="s">
        <v>65</v>
      </c>
      <c r="M6330" s="199"/>
      <c r="N6330" s="199"/>
    </row>
    <row r="6331">
      <c r="A6331" s="193" t="s">
        <v>25430</v>
      </c>
      <c r="B6331" s="7" t="s">
        <v>187</v>
      </c>
      <c r="C6331" s="7" t="s">
        <v>16846</v>
      </c>
      <c r="D6331" s="194">
        <v>2021.0</v>
      </c>
      <c r="E6331" s="193"/>
      <c r="F6331" s="195" t="s">
        <v>25431</v>
      </c>
      <c r="G6331" s="196">
        <v>1.19338009E8</v>
      </c>
      <c r="H6331" s="197">
        <v>1.76</v>
      </c>
      <c r="I6331" s="7" t="s">
        <v>16815</v>
      </c>
      <c r="J6331" s="7" t="s">
        <v>187</v>
      </c>
      <c r="K6331" s="7" t="s">
        <v>16846</v>
      </c>
      <c r="L6331" s="198" t="s">
        <v>65</v>
      </c>
      <c r="M6331" s="194"/>
      <c r="N6331" s="194"/>
    </row>
    <row r="6332">
      <c r="A6332" s="193" t="s">
        <v>25432</v>
      </c>
      <c r="B6332" s="7" t="s">
        <v>16838</v>
      </c>
      <c r="C6332" s="7" t="s">
        <v>19579</v>
      </c>
      <c r="D6332" s="199"/>
      <c r="E6332" s="193"/>
      <c r="F6332" s="195" t="s">
        <v>25433</v>
      </c>
      <c r="G6332" s="196">
        <v>1.19324117E8</v>
      </c>
      <c r="H6332" s="197">
        <v>16.8</v>
      </c>
      <c r="I6332" s="7" t="s">
        <v>16924</v>
      </c>
      <c r="J6332" s="7" t="s">
        <v>16838</v>
      </c>
      <c r="K6332" s="7" t="s">
        <v>19579</v>
      </c>
      <c r="L6332" s="198" t="s">
        <v>65</v>
      </c>
      <c r="M6332" s="199"/>
      <c r="N6332" s="199"/>
    </row>
    <row r="6333">
      <c r="A6333" s="193" t="s">
        <v>25434</v>
      </c>
      <c r="B6333" s="7" t="s">
        <v>16838</v>
      </c>
      <c r="C6333" s="7" t="s">
        <v>16837</v>
      </c>
      <c r="D6333" s="194">
        <v>2023.0</v>
      </c>
      <c r="E6333" s="193"/>
      <c r="F6333" s="195" t="s">
        <v>25435</v>
      </c>
      <c r="G6333" s="196">
        <v>1.19206919E8</v>
      </c>
      <c r="H6333" s="197">
        <v>10.48</v>
      </c>
      <c r="I6333" s="7" t="s">
        <v>16815</v>
      </c>
      <c r="J6333" s="7" t="s">
        <v>16838</v>
      </c>
      <c r="K6333" s="7" t="s">
        <v>16837</v>
      </c>
      <c r="L6333" s="198" t="s">
        <v>65</v>
      </c>
      <c r="M6333" s="194"/>
      <c r="N6333" s="194"/>
    </row>
    <row r="6334">
      <c r="A6334" s="193" t="s">
        <v>25436</v>
      </c>
      <c r="B6334" s="7" t="s">
        <v>187</v>
      </c>
      <c r="C6334" s="7" t="s">
        <v>17122</v>
      </c>
      <c r="D6334" s="199"/>
      <c r="E6334" s="193"/>
      <c r="F6334" s="195" t="s">
        <v>25437</v>
      </c>
      <c r="G6334" s="196">
        <v>1.18876372E8</v>
      </c>
      <c r="H6334" s="197">
        <v>1.47</v>
      </c>
      <c r="I6334" s="7" t="s">
        <v>16815</v>
      </c>
      <c r="J6334" s="7" t="s">
        <v>187</v>
      </c>
      <c r="K6334" s="7" t="s">
        <v>17122</v>
      </c>
      <c r="L6334" s="198" t="s">
        <v>65</v>
      </c>
      <c r="M6334" s="199"/>
      <c r="N6334" s="199"/>
    </row>
    <row r="6335">
      <c r="A6335" s="193" t="s">
        <v>25436</v>
      </c>
      <c r="B6335" s="202" t="s">
        <v>17122</v>
      </c>
      <c r="C6335" s="193" t="s">
        <v>187</v>
      </c>
      <c r="D6335" s="206"/>
      <c r="E6335" s="193"/>
      <c r="F6335" s="203" t="s">
        <v>25437</v>
      </c>
      <c r="G6335" s="200">
        <v>1.18876372E8</v>
      </c>
      <c r="H6335" s="205">
        <v>4.41</v>
      </c>
      <c r="J6335" s="202" t="s">
        <v>17122</v>
      </c>
      <c r="K6335" s="193" t="s">
        <v>187</v>
      </c>
      <c r="L6335" s="193" t="s">
        <v>17471</v>
      </c>
      <c r="M6335" s="206"/>
      <c r="N6335" s="206"/>
    </row>
    <row r="6336">
      <c r="A6336" s="193" t="s">
        <v>25438</v>
      </c>
      <c r="B6336" s="7" t="s">
        <v>16945</v>
      </c>
      <c r="C6336" s="7" t="s">
        <v>169</v>
      </c>
      <c r="D6336" s="199"/>
      <c r="E6336" s="193"/>
      <c r="F6336" s="195" t="s">
        <v>25439</v>
      </c>
      <c r="G6336" s="200">
        <v>1.18651036E8</v>
      </c>
      <c r="H6336" s="197">
        <v>4.0</v>
      </c>
      <c r="I6336" s="7" t="s">
        <v>16815</v>
      </c>
      <c r="J6336" s="7" t="s">
        <v>16945</v>
      </c>
      <c r="K6336" s="7" t="s">
        <v>169</v>
      </c>
      <c r="L6336" s="201" t="s">
        <v>16835</v>
      </c>
      <c r="M6336" s="199"/>
      <c r="N6336" s="199"/>
    </row>
    <row r="6337">
      <c r="A6337" s="193" t="s">
        <v>25438</v>
      </c>
      <c r="B6337" s="7" t="s">
        <v>169</v>
      </c>
      <c r="C6337" s="7" t="s">
        <v>16945</v>
      </c>
      <c r="D6337" s="199"/>
      <c r="E6337" s="193"/>
      <c r="F6337" s="195" t="s">
        <v>25439</v>
      </c>
      <c r="G6337" s="196">
        <v>1.18651036E8</v>
      </c>
      <c r="H6337" s="197">
        <v>4.0</v>
      </c>
      <c r="I6337" s="7" t="s">
        <v>16815</v>
      </c>
      <c r="J6337" s="7" t="s">
        <v>169</v>
      </c>
      <c r="K6337" s="7" t="s">
        <v>16945</v>
      </c>
      <c r="L6337" s="198" t="s">
        <v>65</v>
      </c>
      <c r="M6337" s="199"/>
      <c r="N6337" s="199"/>
    </row>
    <row r="6338">
      <c r="A6338" s="193" t="s">
        <v>25440</v>
      </c>
      <c r="B6338" s="7" t="s">
        <v>19644</v>
      </c>
      <c r="C6338" s="7" t="s">
        <v>16838</v>
      </c>
      <c r="D6338" s="199"/>
      <c r="E6338" s="193"/>
      <c r="F6338" s="195" t="s">
        <v>25441</v>
      </c>
      <c r="G6338" s="200">
        <v>1.18329304E8</v>
      </c>
      <c r="H6338" s="197">
        <v>10.16</v>
      </c>
      <c r="I6338" s="7" t="s">
        <v>16815</v>
      </c>
      <c r="J6338" s="7" t="s">
        <v>19644</v>
      </c>
      <c r="K6338" s="7" t="s">
        <v>16838</v>
      </c>
      <c r="L6338" s="201" t="s">
        <v>16835</v>
      </c>
      <c r="M6338" s="199"/>
      <c r="N6338" s="199"/>
    </row>
    <row r="6339">
      <c r="A6339" s="193" t="s">
        <v>25440</v>
      </c>
      <c r="B6339" s="7" t="s">
        <v>16838</v>
      </c>
      <c r="C6339" s="7" t="s">
        <v>19644</v>
      </c>
      <c r="D6339" s="199"/>
      <c r="E6339" s="193"/>
      <c r="F6339" s="195" t="s">
        <v>25441</v>
      </c>
      <c r="G6339" s="196">
        <v>1.18329304E8</v>
      </c>
      <c r="H6339" s="197">
        <v>10.16</v>
      </c>
      <c r="I6339" s="7" t="s">
        <v>16815</v>
      </c>
      <c r="J6339" s="7" t="s">
        <v>16838</v>
      </c>
      <c r="K6339" s="7" t="s">
        <v>19644</v>
      </c>
      <c r="L6339" s="198" t="s">
        <v>65</v>
      </c>
      <c r="M6339" s="199"/>
      <c r="N6339" s="199"/>
    </row>
    <row r="6340">
      <c r="A6340" s="193" t="s">
        <v>25442</v>
      </c>
      <c r="B6340" s="7" t="s">
        <v>16838</v>
      </c>
      <c r="C6340" s="7" t="s">
        <v>16867</v>
      </c>
      <c r="D6340" s="199"/>
      <c r="E6340" s="193"/>
      <c r="F6340" s="195" t="s">
        <v>25443</v>
      </c>
      <c r="G6340" s="196">
        <v>1.18221181E8</v>
      </c>
      <c r="H6340" s="197">
        <v>26.23</v>
      </c>
      <c r="I6340" s="7" t="s">
        <v>16815</v>
      </c>
      <c r="J6340" s="7" t="s">
        <v>16838</v>
      </c>
      <c r="K6340" s="7" t="s">
        <v>16867</v>
      </c>
      <c r="L6340" s="198" t="s">
        <v>65</v>
      </c>
      <c r="M6340" s="199"/>
      <c r="N6340" s="199"/>
    </row>
    <row r="6341">
      <c r="A6341" s="193" t="s">
        <v>25444</v>
      </c>
      <c r="B6341" s="7" t="s">
        <v>16838</v>
      </c>
      <c r="C6341" s="7" t="s">
        <v>16867</v>
      </c>
      <c r="D6341" s="199"/>
      <c r="E6341" s="193"/>
      <c r="F6341" s="195" t="s">
        <v>25445</v>
      </c>
      <c r="G6341" s="196">
        <v>1.18121379E8</v>
      </c>
      <c r="H6341" s="197">
        <v>17.6</v>
      </c>
      <c r="I6341" s="7" t="s">
        <v>16815</v>
      </c>
      <c r="J6341" s="7" t="s">
        <v>16838</v>
      </c>
      <c r="K6341" s="7" t="s">
        <v>16867</v>
      </c>
      <c r="L6341" s="198" t="s">
        <v>65</v>
      </c>
      <c r="M6341" s="199"/>
      <c r="N6341" s="199"/>
    </row>
    <row r="6342">
      <c r="A6342" s="193" t="s">
        <v>25446</v>
      </c>
      <c r="B6342" s="7" t="s">
        <v>16838</v>
      </c>
      <c r="C6342" s="7" t="s">
        <v>16837</v>
      </c>
      <c r="D6342" s="194">
        <v>2021.0</v>
      </c>
      <c r="E6342" s="193"/>
      <c r="F6342" s="195" t="s">
        <v>25447</v>
      </c>
      <c r="G6342" s="196">
        <v>1.18105159E8</v>
      </c>
      <c r="H6342" s="197">
        <v>11.73</v>
      </c>
      <c r="I6342" s="7" t="s">
        <v>16815</v>
      </c>
      <c r="J6342" s="7" t="s">
        <v>16838</v>
      </c>
      <c r="K6342" s="7" t="s">
        <v>16837</v>
      </c>
      <c r="L6342" s="198" t="s">
        <v>65</v>
      </c>
      <c r="M6342" s="194"/>
      <c r="N6342" s="194"/>
    </row>
    <row r="6343">
      <c r="A6343" s="193" t="s">
        <v>25448</v>
      </c>
      <c r="B6343" s="7" t="s">
        <v>187</v>
      </c>
      <c r="C6343" s="7" t="s">
        <v>16846</v>
      </c>
      <c r="D6343" s="194">
        <v>2019.0</v>
      </c>
      <c r="E6343" s="193"/>
      <c r="F6343" s="195" t="s">
        <v>25449</v>
      </c>
      <c r="G6343" s="196">
        <v>1.18023738E8</v>
      </c>
      <c r="H6343" s="197">
        <v>0.5238</v>
      </c>
      <c r="I6343" s="7" t="s">
        <v>16815</v>
      </c>
      <c r="J6343" s="7" t="s">
        <v>187</v>
      </c>
      <c r="K6343" s="7" t="s">
        <v>16846</v>
      </c>
      <c r="L6343" s="198" t="s">
        <v>65</v>
      </c>
      <c r="M6343" s="194"/>
      <c r="N6343" s="194"/>
    </row>
    <row r="6344">
      <c r="A6344" s="193" t="s">
        <v>25450</v>
      </c>
      <c r="B6344" s="7" t="s">
        <v>16582</v>
      </c>
      <c r="C6344" s="7" t="s">
        <v>16583</v>
      </c>
      <c r="D6344" s="194">
        <v>2019.0</v>
      </c>
      <c r="E6344" s="193"/>
      <c r="F6344" s="195" t="s">
        <v>25451</v>
      </c>
      <c r="G6344" s="196">
        <v>1.17778052E8</v>
      </c>
      <c r="H6344" s="197">
        <v>3.02</v>
      </c>
      <c r="I6344" s="7" t="s">
        <v>16815</v>
      </c>
      <c r="J6344" s="7" t="s">
        <v>16582</v>
      </c>
      <c r="K6344" s="7" t="s">
        <v>16583</v>
      </c>
      <c r="L6344" s="198" t="s">
        <v>65</v>
      </c>
      <c r="M6344" s="194"/>
      <c r="N6344" s="194"/>
    </row>
    <row r="6345">
      <c r="A6345" s="193" t="s">
        <v>25450</v>
      </c>
      <c r="B6345" s="7" t="s">
        <v>16583</v>
      </c>
      <c r="C6345" s="7" t="s">
        <v>16582</v>
      </c>
      <c r="D6345" s="194">
        <v>2019.0</v>
      </c>
      <c r="E6345" s="193"/>
      <c r="F6345" s="195" t="s">
        <v>25451</v>
      </c>
      <c r="G6345" s="200">
        <v>1.17778052E8</v>
      </c>
      <c r="H6345" s="197">
        <v>3.02</v>
      </c>
      <c r="I6345" s="7" t="s">
        <v>16815</v>
      </c>
      <c r="J6345" s="7" t="s">
        <v>16583</v>
      </c>
      <c r="K6345" s="7" t="s">
        <v>16582</v>
      </c>
      <c r="L6345" s="201" t="s">
        <v>16835</v>
      </c>
      <c r="M6345" s="194"/>
      <c r="N6345" s="194"/>
    </row>
    <row r="6346">
      <c r="A6346" s="193" t="s">
        <v>25452</v>
      </c>
      <c r="B6346" s="7" t="s">
        <v>187</v>
      </c>
      <c r="C6346" s="7" t="s">
        <v>16846</v>
      </c>
      <c r="D6346" s="194">
        <v>2021.0</v>
      </c>
      <c r="E6346" s="193"/>
      <c r="F6346" s="195" t="s">
        <v>25453</v>
      </c>
      <c r="G6346" s="196">
        <v>1.17742912E8</v>
      </c>
      <c r="H6346" s="197">
        <v>1.27</v>
      </c>
      <c r="I6346" s="7" t="s">
        <v>16815</v>
      </c>
      <c r="J6346" s="7" t="s">
        <v>187</v>
      </c>
      <c r="K6346" s="7" t="s">
        <v>16846</v>
      </c>
      <c r="L6346" s="198" t="s">
        <v>65</v>
      </c>
      <c r="M6346" s="194"/>
      <c r="N6346" s="194"/>
    </row>
    <row r="6347">
      <c r="A6347" s="193" t="s">
        <v>25454</v>
      </c>
      <c r="B6347" s="7" t="s">
        <v>175</v>
      </c>
      <c r="C6347" s="7" t="s">
        <v>16942</v>
      </c>
      <c r="D6347" s="194">
        <v>2013.0</v>
      </c>
      <c r="E6347" s="193"/>
      <c r="F6347" s="195" t="s">
        <v>25455</v>
      </c>
      <c r="G6347" s="196">
        <v>1.17714004E8</v>
      </c>
      <c r="H6347" s="197">
        <v>2.62</v>
      </c>
      <c r="I6347" s="7" t="s">
        <v>168</v>
      </c>
      <c r="J6347" s="7" t="s">
        <v>175</v>
      </c>
      <c r="K6347" s="7" t="s">
        <v>16942</v>
      </c>
      <c r="L6347" s="198" t="s">
        <v>65</v>
      </c>
      <c r="M6347" s="194"/>
      <c r="N6347" s="194"/>
    </row>
    <row r="6348">
      <c r="A6348" s="193" t="s">
        <v>25456</v>
      </c>
      <c r="D6348" s="199"/>
      <c r="E6348" s="193"/>
      <c r="F6348" s="195" t="s">
        <v>25457</v>
      </c>
      <c r="G6348" s="196">
        <v>1.16970596E8</v>
      </c>
      <c r="H6348" s="197">
        <v>0.52</v>
      </c>
      <c r="I6348" s="7" t="s">
        <v>16815</v>
      </c>
      <c r="L6348" s="198" t="s">
        <v>65</v>
      </c>
      <c r="M6348" s="199"/>
      <c r="N6348" s="199"/>
    </row>
    <row r="6349">
      <c r="A6349" s="193" t="s">
        <v>25456</v>
      </c>
      <c r="B6349" s="208"/>
      <c r="C6349" s="206"/>
      <c r="D6349" s="206"/>
      <c r="E6349" s="193"/>
      <c r="F6349" s="203" t="s">
        <v>25457</v>
      </c>
      <c r="G6349" s="200">
        <v>1.16970596E8</v>
      </c>
      <c r="H6349" s="205">
        <v>1.47</v>
      </c>
      <c r="J6349" s="208"/>
      <c r="K6349" s="206"/>
      <c r="L6349" s="193" t="s">
        <v>17471</v>
      </c>
      <c r="M6349" s="206"/>
      <c r="N6349" s="206"/>
    </row>
    <row r="6350">
      <c r="A6350" s="193" t="s">
        <v>25458</v>
      </c>
      <c r="B6350" s="7" t="s">
        <v>175</v>
      </c>
      <c r="C6350" s="7" t="s">
        <v>17480</v>
      </c>
      <c r="D6350" s="194">
        <v>2002.0</v>
      </c>
      <c r="E6350" s="193"/>
      <c r="F6350" s="195" t="s">
        <v>25459</v>
      </c>
      <c r="G6350" s="196">
        <v>1.16935439E8</v>
      </c>
      <c r="H6350" s="197">
        <v>5.21</v>
      </c>
      <c r="I6350" s="7" t="s">
        <v>174</v>
      </c>
      <c r="J6350" s="7" t="s">
        <v>175</v>
      </c>
      <c r="K6350" s="7" t="s">
        <v>17480</v>
      </c>
      <c r="L6350" s="198" t="s">
        <v>65</v>
      </c>
      <c r="M6350" s="194"/>
      <c r="N6350" s="194"/>
    </row>
    <row r="6351">
      <c r="A6351" s="193" t="s">
        <v>25460</v>
      </c>
      <c r="B6351" s="7" t="s">
        <v>16838</v>
      </c>
      <c r="C6351" s="7" t="s">
        <v>16867</v>
      </c>
      <c r="D6351" s="199"/>
      <c r="E6351" s="193"/>
      <c r="F6351" s="195" t="s">
        <v>25461</v>
      </c>
      <c r="G6351" s="196">
        <v>1.16366342E8</v>
      </c>
      <c r="H6351" s="197">
        <v>18.62</v>
      </c>
      <c r="I6351" s="7" t="s">
        <v>16815</v>
      </c>
      <c r="J6351" s="7" t="s">
        <v>16838</v>
      </c>
      <c r="K6351" s="7" t="s">
        <v>16867</v>
      </c>
      <c r="L6351" s="198" t="s">
        <v>65</v>
      </c>
      <c r="M6351" s="199"/>
      <c r="N6351" s="199"/>
    </row>
    <row r="6352">
      <c r="A6352" s="193" t="s">
        <v>25462</v>
      </c>
      <c r="B6352" s="7" t="s">
        <v>16838</v>
      </c>
      <c r="C6352" s="7" t="s">
        <v>16867</v>
      </c>
      <c r="D6352" s="199"/>
      <c r="E6352" s="193"/>
      <c r="F6352" s="195" t="s">
        <v>25463</v>
      </c>
      <c r="G6352" s="196">
        <v>1.15942166E8</v>
      </c>
      <c r="H6352" s="197">
        <v>13.1</v>
      </c>
      <c r="I6352" s="7" t="s">
        <v>16815</v>
      </c>
      <c r="J6352" s="7" t="s">
        <v>16838</v>
      </c>
      <c r="K6352" s="7" t="s">
        <v>16867</v>
      </c>
      <c r="L6352" s="198" t="s">
        <v>65</v>
      </c>
      <c r="M6352" s="199"/>
      <c r="N6352" s="199"/>
    </row>
    <row r="6353">
      <c r="A6353" s="193" t="s">
        <v>25464</v>
      </c>
      <c r="B6353" s="7" t="s">
        <v>169</v>
      </c>
      <c r="C6353" s="7" t="s">
        <v>16945</v>
      </c>
      <c r="D6353" s="194">
        <v>2010.0</v>
      </c>
      <c r="E6353" s="193"/>
      <c r="F6353" s="195" t="s">
        <v>25465</v>
      </c>
      <c r="G6353" s="196">
        <v>1.1591813E8</v>
      </c>
      <c r="H6353" s="197">
        <v>1.66</v>
      </c>
      <c r="I6353" s="7" t="s">
        <v>16815</v>
      </c>
      <c r="J6353" s="7" t="s">
        <v>169</v>
      </c>
      <c r="K6353" s="7" t="s">
        <v>16945</v>
      </c>
      <c r="L6353" s="198" t="s">
        <v>65</v>
      </c>
      <c r="M6353" s="194"/>
      <c r="N6353" s="194"/>
    </row>
    <row r="6354">
      <c r="A6354" s="193" t="s">
        <v>25466</v>
      </c>
      <c r="B6354" s="7" t="s">
        <v>175</v>
      </c>
      <c r="C6354" s="7" t="s">
        <v>17509</v>
      </c>
      <c r="D6354" s="199"/>
      <c r="E6354" s="193"/>
      <c r="F6354" s="195" t="s">
        <v>25467</v>
      </c>
      <c r="G6354" s="196">
        <v>1.15902456E8</v>
      </c>
      <c r="H6354" s="197">
        <v>7.09</v>
      </c>
      <c r="I6354" s="7" t="s">
        <v>16856</v>
      </c>
      <c r="J6354" s="7" t="s">
        <v>175</v>
      </c>
      <c r="K6354" s="7" t="s">
        <v>17509</v>
      </c>
      <c r="L6354" s="198" t="s">
        <v>65</v>
      </c>
      <c r="M6354" s="199"/>
      <c r="N6354" s="199"/>
    </row>
    <row r="6355">
      <c r="A6355" s="193" t="s">
        <v>25468</v>
      </c>
      <c r="B6355" s="7" t="s">
        <v>158</v>
      </c>
      <c r="C6355" s="7" t="s">
        <v>16864</v>
      </c>
      <c r="D6355" s="194">
        <v>2003.0</v>
      </c>
      <c r="E6355" s="193"/>
      <c r="F6355" s="195" t="s">
        <v>25469</v>
      </c>
      <c r="G6355" s="196">
        <v>1.15441061E8</v>
      </c>
      <c r="H6355" s="197">
        <v>3.12</v>
      </c>
      <c r="I6355" s="7" t="s">
        <v>17098</v>
      </c>
      <c r="J6355" s="7" t="s">
        <v>158</v>
      </c>
      <c r="K6355" s="7" t="s">
        <v>16864</v>
      </c>
      <c r="L6355" s="198" t="s">
        <v>65</v>
      </c>
      <c r="M6355" s="194"/>
      <c r="N6355" s="194"/>
    </row>
    <row r="6356">
      <c r="A6356" s="193" t="s">
        <v>25468</v>
      </c>
      <c r="B6356" s="7" t="s">
        <v>16864</v>
      </c>
      <c r="C6356" s="7" t="s">
        <v>158</v>
      </c>
      <c r="D6356" s="194">
        <v>2003.0</v>
      </c>
      <c r="E6356" s="193"/>
      <c r="F6356" s="195" t="s">
        <v>25469</v>
      </c>
      <c r="G6356" s="200">
        <v>1.15441061E8</v>
      </c>
      <c r="H6356" s="197">
        <v>3.12</v>
      </c>
      <c r="I6356" s="7" t="s">
        <v>16815</v>
      </c>
      <c r="J6356" s="7" t="s">
        <v>16864</v>
      </c>
      <c r="K6356" s="7" t="s">
        <v>158</v>
      </c>
      <c r="L6356" s="201" t="s">
        <v>16835</v>
      </c>
      <c r="M6356" s="194"/>
      <c r="N6356" s="194"/>
    </row>
    <row r="6357">
      <c r="A6357" s="193" t="s">
        <v>25470</v>
      </c>
      <c r="B6357" s="7" t="s">
        <v>16838</v>
      </c>
      <c r="C6357" s="7" t="s">
        <v>16867</v>
      </c>
      <c r="D6357" s="199"/>
      <c r="E6357" s="193"/>
      <c r="F6357" s="195" t="s">
        <v>25471</v>
      </c>
      <c r="G6357" s="196">
        <v>1.15305193E8</v>
      </c>
      <c r="H6357" s="197">
        <v>24.14</v>
      </c>
      <c r="I6357" s="7" t="s">
        <v>16815</v>
      </c>
      <c r="J6357" s="7" t="s">
        <v>16838</v>
      </c>
      <c r="K6357" s="7" t="s">
        <v>16867</v>
      </c>
      <c r="L6357" s="198" t="s">
        <v>65</v>
      </c>
      <c r="M6357" s="199"/>
      <c r="N6357" s="199"/>
    </row>
    <row r="6358">
      <c r="A6358" s="193" t="s">
        <v>25472</v>
      </c>
      <c r="B6358" s="7" t="s">
        <v>175</v>
      </c>
      <c r="C6358" s="7" t="s">
        <v>16890</v>
      </c>
      <c r="D6358" s="199"/>
      <c r="E6358" s="193"/>
      <c r="F6358" s="195" t="s">
        <v>25473</v>
      </c>
      <c r="G6358" s="196">
        <v>1.15265231E8</v>
      </c>
      <c r="H6358" s="197">
        <v>1.88</v>
      </c>
      <c r="I6358" s="193" t="s">
        <v>16908</v>
      </c>
      <c r="J6358" s="7" t="s">
        <v>175</v>
      </c>
      <c r="K6358" s="7" t="s">
        <v>16890</v>
      </c>
      <c r="L6358" s="198" t="s">
        <v>65</v>
      </c>
      <c r="M6358" s="199"/>
      <c r="N6358" s="199"/>
    </row>
    <row r="6359">
      <c r="A6359" s="193" t="s">
        <v>25474</v>
      </c>
      <c r="B6359" s="7" t="s">
        <v>158</v>
      </c>
      <c r="C6359" s="7" t="s">
        <v>16864</v>
      </c>
      <c r="D6359" s="194">
        <v>1992.0</v>
      </c>
      <c r="E6359" s="193"/>
      <c r="F6359" s="195" t="s">
        <v>25475</v>
      </c>
      <c r="G6359" s="196">
        <v>1.152E8</v>
      </c>
      <c r="H6359" s="197">
        <v>19.2</v>
      </c>
      <c r="I6359" s="7" t="s">
        <v>16897</v>
      </c>
      <c r="J6359" s="7" t="s">
        <v>158</v>
      </c>
      <c r="K6359" s="7" t="s">
        <v>16864</v>
      </c>
      <c r="L6359" s="198" t="s">
        <v>65</v>
      </c>
      <c r="M6359" s="194"/>
      <c r="N6359" s="194"/>
    </row>
    <row r="6360">
      <c r="A6360" s="193" t="s">
        <v>25474</v>
      </c>
      <c r="B6360" s="7" t="s">
        <v>16864</v>
      </c>
      <c r="C6360" s="7" t="s">
        <v>158</v>
      </c>
      <c r="D6360" s="194">
        <v>1992.0</v>
      </c>
      <c r="E6360" s="193"/>
      <c r="F6360" s="195" t="s">
        <v>25475</v>
      </c>
      <c r="G6360" s="200">
        <v>1.152E8</v>
      </c>
      <c r="H6360" s="197">
        <v>19.2</v>
      </c>
      <c r="I6360" s="7" t="s">
        <v>16815</v>
      </c>
      <c r="J6360" s="7" t="s">
        <v>16864</v>
      </c>
      <c r="K6360" s="7" t="s">
        <v>158</v>
      </c>
      <c r="L6360" s="201" t="s">
        <v>16835</v>
      </c>
      <c r="M6360" s="194"/>
      <c r="N6360" s="194"/>
    </row>
    <row r="6361">
      <c r="A6361" s="193" t="s">
        <v>25476</v>
      </c>
      <c r="B6361" s="7" t="s">
        <v>169</v>
      </c>
      <c r="C6361" s="7" t="s">
        <v>17509</v>
      </c>
      <c r="D6361" s="199"/>
      <c r="E6361" s="193"/>
      <c r="F6361" s="195" t="s">
        <v>9912</v>
      </c>
      <c r="G6361" s="196">
        <v>1.15156354E8</v>
      </c>
      <c r="H6361" s="197">
        <v>12.29</v>
      </c>
      <c r="I6361" s="7" t="s">
        <v>16815</v>
      </c>
      <c r="J6361" s="7" t="s">
        <v>169</v>
      </c>
      <c r="K6361" s="7" t="s">
        <v>17509</v>
      </c>
      <c r="L6361" s="198" t="s">
        <v>65</v>
      </c>
      <c r="M6361" s="199"/>
      <c r="N6361" s="199"/>
    </row>
    <row r="6362">
      <c r="A6362" s="193" t="s">
        <v>25477</v>
      </c>
      <c r="B6362" s="7" t="s">
        <v>175</v>
      </c>
      <c r="C6362" s="7" t="s">
        <v>17812</v>
      </c>
      <c r="D6362" s="194">
        <v>2004.0</v>
      </c>
      <c r="E6362" s="193"/>
      <c r="F6362" s="195" t="s">
        <v>25478</v>
      </c>
      <c r="G6362" s="196">
        <v>1.15137613E8</v>
      </c>
      <c r="H6362" s="197">
        <v>2.68</v>
      </c>
      <c r="I6362" s="7" t="s">
        <v>16826</v>
      </c>
      <c r="J6362" s="7" t="s">
        <v>175</v>
      </c>
      <c r="K6362" s="7" t="s">
        <v>17812</v>
      </c>
      <c r="L6362" s="198" t="s">
        <v>65</v>
      </c>
      <c r="M6362" s="194"/>
      <c r="N6362" s="194"/>
    </row>
    <row r="6363">
      <c r="A6363" s="193" t="s">
        <v>25477</v>
      </c>
      <c r="B6363" s="7" t="s">
        <v>17812</v>
      </c>
      <c r="C6363" s="7" t="s">
        <v>175</v>
      </c>
      <c r="D6363" s="194">
        <v>2004.0</v>
      </c>
      <c r="E6363" s="193"/>
      <c r="F6363" s="195" t="s">
        <v>25478</v>
      </c>
      <c r="G6363" s="200">
        <v>1.15137613E8</v>
      </c>
      <c r="H6363" s="197">
        <v>2.68</v>
      </c>
      <c r="I6363" s="7" t="s">
        <v>16815</v>
      </c>
      <c r="J6363" s="7" t="s">
        <v>17812</v>
      </c>
      <c r="K6363" s="7" t="s">
        <v>175</v>
      </c>
      <c r="L6363" s="201" t="s">
        <v>16835</v>
      </c>
      <c r="M6363" s="194"/>
      <c r="N6363" s="194"/>
    </row>
    <row r="6364">
      <c r="A6364" s="193" t="s">
        <v>25479</v>
      </c>
      <c r="B6364" s="7" t="s">
        <v>187</v>
      </c>
      <c r="C6364" s="7" t="s">
        <v>16846</v>
      </c>
      <c r="D6364" s="194">
        <v>2015.0</v>
      </c>
      <c r="E6364" s="193"/>
      <c r="F6364" s="195" t="s">
        <v>25480</v>
      </c>
      <c r="G6364" s="196">
        <v>1.1464668E8</v>
      </c>
      <c r="H6364" s="197">
        <v>2.51</v>
      </c>
      <c r="I6364" s="7" t="s">
        <v>16815</v>
      </c>
      <c r="J6364" s="7" t="s">
        <v>187</v>
      </c>
      <c r="K6364" s="7" t="s">
        <v>16846</v>
      </c>
      <c r="L6364" s="198" t="s">
        <v>65</v>
      </c>
      <c r="M6364" s="194"/>
      <c r="N6364" s="194"/>
    </row>
    <row r="6365">
      <c r="A6365" s="193" t="s">
        <v>25481</v>
      </c>
      <c r="B6365" s="7" t="s">
        <v>16582</v>
      </c>
      <c r="C6365" s="7" t="s">
        <v>16899</v>
      </c>
      <c r="D6365" s="199"/>
      <c r="E6365" s="193"/>
      <c r="F6365" s="195" t="s">
        <v>25482</v>
      </c>
      <c r="G6365" s="196">
        <v>1.14424438E8</v>
      </c>
      <c r="H6365" s="197">
        <v>5.65</v>
      </c>
      <c r="I6365" s="7" t="s">
        <v>16815</v>
      </c>
      <c r="J6365" s="7" t="s">
        <v>16582</v>
      </c>
      <c r="K6365" s="7" t="s">
        <v>16899</v>
      </c>
      <c r="L6365" s="198" t="s">
        <v>65</v>
      </c>
      <c r="M6365" s="199"/>
      <c r="N6365" s="199"/>
    </row>
    <row r="6366">
      <c r="A6366" s="193" t="s">
        <v>25483</v>
      </c>
      <c r="B6366" s="7" t="s">
        <v>16582</v>
      </c>
      <c r="C6366" s="7" t="s">
        <v>16930</v>
      </c>
      <c r="D6366" s="194">
        <v>2020.0</v>
      </c>
      <c r="E6366" s="193"/>
      <c r="F6366" s="195" t="s">
        <v>25484</v>
      </c>
      <c r="G6366" s="196">
        <v>1.14101551E8</v>
      </c>
      <c r="H6366" s="197">
        <v>5.32</v>
      </c>
      <c r="I6366" s="7" t="s">
        <v>16815</v>
      </c>
      <c r="J6366" s="7" t="s">
        <v>16582</v>
      </c>
      <c r="K6366" s="7" t="s">
        <v>16930</v>
      </c>
      <c r="L6366" s="198" t="s">
        <v>65</v>
      </c>
      <c r="M6366" s="194"/>
      <c r="N6366" s="194"/>
    </row>
    <row r="6367">
      <c r="A6367" s="193" t="s">
        <v>25483</v>
      </c>
      <c r="B6367" s="7" t="s">
        <v>16930</v>
      </c>
      <c r="C6367" s="7" t="s">
        <v>16582</v>
      </c>
      <c r="D6367" s="194">
        <v>2020.0</v>
      </c>
      <c r="E6367" s="193"/>
      <c r="F6367" s="195" t="s">
        <v>25484</v>
      </c>
      <c r="G6367" s="200">
        <v>1.14101551E8</v>
      </c>
      <c r="H6367" s="197">
        <v>5.32</v>
      </c>
      <c r="I6367" s="7" t="s">
        <v>16815</v>
      </c>
      <c r="J6367" s="7" t="s">
        <v>16930</v>
      </c>
      <c r="K6367" s="7" t="s">
        <v>16582</v>
      </c>
      <c r="L6367" s="201" t="s">
        <v>16835</v>
      </c>
      <c r="M6367" s="194"/>
      <c r="N6367" s="194"/>
    </row>
    <row r="6368">
      <c r="A6368" s="193" t="s">
        <v>25485</v>
      </c>
      <c r="B6368" s="7" t="s">
        <v>175</v>
      </c>
      <c r="C6368" s="7" t="s">
        <v>16899</v>
      </c>
      <c r="D6368" s="199"/>
      <c r="E6368" s="193"/>
      <c r="F6368" s="195" t="s">
        <v>25486</v>
      </c>
      <c r="G6368" s="196">
        <v>1.14100574E8</v>
      </c>
      <c r="H6368" s="197">
        <v>18.29</v>
      </c>
      <c r="I6368" s="7" t="s">
        <v>16908</v>
      </c>
      <c r="J6368" s="7" t="s">
        <v>175</v>
      </c>
      <c r="K6368" s="7" t="s">
        <v>16899</v>
      </c>
      <c r="L6368" s="198" t="s">
        <v>65</v>
      </c>
      <c r="M6368" s="199"/>
      <c r="N6368" s="199"/>
    </row>
    <row r="6369">
      <c r="A6369" s="193" t="s">
        <v>25487</v>
      </c>
      <c r="B6369" s="7" t="s">
        <v>175</v>
      </c>
      <c r="C6369" s="7" t="s">
        <v>17606</v>
      </c>
      <c r="D6369" s="194">
        <v>1999.0</v>
      </c>
      <c r="E6369" s="193"/>
      <c r="F6369" s="195" t="s">
        <v>25488</v>
      </c>
      <c r="G6369" s="196">
        <v>1.14095522E8</v>
      </c>
      <c r="H6369" s="197">
        <v>181.0</v>
      </c>
      <c r="I6369" s="7" t="s">
        <v>16908</v>
      </c>
      <c r="J6369" s="7" t="s">
        <v>175</v>
      </c>
      <c r="K6369" s="7" t="s">
        <v>17606</v>
      </c>
      <c r="L6369" s="198" t="s">
        <v>65</v>
      </c>
      <c r="M6369" s="194"/>
      <c r="N6369" s="194"/>
    </row>
    <row r="6370">
      <c r="A6370" s="193" t="s">
        <v>25487</v>
      </c>
      <c r="B6370" s="202" t="s">
        <v>17606</v>
      </c>
      <c r="C6370" s="193" t="s">
        <v>175</v>
      </c>
      <c r="D6370" s="193">
        <v>1999.0</v>
      </c>
      <c r="E6370" s="193"/>
      <c r="F6370" s="203" t="s">
        <v>25488</v>
      </c>
      <c r="G6370" s="200">
        <v>1.14095522E8</v>
      </c>
      <c r="H6370" s="205">
        <v>0.52</v>
      </c>
      <c r="J6370" s="202" t="s">
        <v>17606</v>
      </c>
      <c r="K6370" s="193" t="s">
        <v>175</v>
      </c>
      <c r="L6370" s="193" t="s">
        <v>17471</v>
      </c>
      <c r="M6370" s="193"/>
      <c r="N6370" s="193"/>
    </row>
    <row r="6371">
      <c r="A6371" s="193" t="s">
        <v>25489</v>
      </c>
      <c r="B6371" s="7" t="s">
        <v>187</v>
      </c>
      <c r="C6371" s="7" t="s">
        <v>16858</v>
      </c>
      <c r="D6371" s="199"/>
      <c r="E6371" s="193"/>
      <c r="F6371" s="195" t="s">
        <v>25490</v>
      </c>
      <c r="G6371" s="196">
        <v>1.13877091E8</v>
      </c>
      <c r="H6371" s="197">
        <v>0.749</v>
      </c>
      <c r="I6371" s="7" t="s">
        <v>16815</v>
      </c>
      <c r="J6371" s="7" t="s">
        <v>187</v>
      </c>
      <c r="K6371" s="7" t="s">
        <v>16858</v>
      </c>
      <c r="L6371" s="198" t="s">
        <v>65</v>
      </c>
      <c r="M6371" s="199"/>
      <c r="N6371" s="199"/>
    </row>
    <row r="6372">
      <c r="A6372" s="193" t="s">
        <v>25491</v>
      </c>
      <c r="B6372" s="7" t="s">
        <v>16582</v>
      </c>
      <c r="C6372" s="7" t="s">
        <v>16930</v>
      </c>
      <c r="D6372" s="194">
        <v>1982.0</v>
      </c>
      <c r="E6372" s="193"/>
      <c r="F6372" s="195" t="s">
        <v>25492</v>
      </c>
      <c r="G6372" s="196">
        <v>1.13461752E8</v>
      </c>
      <c r="H6372" s="197">
        <v>24.0</v>
      </c>
      <c r="I6372" s="7" t="s">
        <v>16815</v>
      </c>
      <c r="J6372" s="7" t="s">
        <v>16582</v>
      </c>
      <c r="K6372" s="7" t="s">
        <v>16930</v>
      </c>
      <c r="L6372" s="198" t="s">
        <v>65</v>
      </c>
      <c r="M6372" s="194"/>
      <c r="N6372" s="194"/>
    </row>
    <row r="6373">
      <c r="A6373" s="193" t="s">
        <v>25493</v>
      </c>
      <c r="D6373" s="194">
        <v>2019.0</v>
      </c>
      <c r="E6373" s="193"/>
      <c r="F6373" s="195" t="s">
        <v>25494</v>
      </c>
      <c r="G6373" s="196">
        <v>1.13281257E8</v>
      </c>
      <c r="H6373" s="197">
        <v>0.6</v>
      </c>
      <c r="I6373" s="7" t="s">
        <v>16815</v>
      </c>
      <c r="L6373" s="198" t="s">
        <v>65</v>
      </c>
      <c r="M6373" s="194"/>
      <c r="N6373" s="194"/>
    </row>
    <row r="6374">
      <c r="A6374" s="193" t="s">
        <v>25493</v>
      </c>
      <c r="D6374" s="194">
        <v>2019.0</v>
      </c>
      <c r="E6374" s="193"/>
      <c r="F6374" s="195" t="s">
        <v>25494</v>
      </c>
      <c r="G6374" s="200">
        <v>1.13281257E8</v>
      </c>
      <c r="H6374" s="197">
        <v>0.6</v>
      </c>
      <c r="I6374" s="193" t="s">
        <v>16815</v>
      </c>
      <c r="L6374" s="201" t="s">
        <v>16835</v>
      </c>
      <c r="M6374" s="194"/>
      <c r="N6374" s="194"/>
    </row>
    <row r="6375">
      <c r="A6375" s="193" t="s">
        <v>25495</v>
      </c>
      <c r="B6375" s="7" t="s">
        <v>187</v>
      </c>
      <c r="C6375" s="7" t="s">
        <v>16846</v>
      </c>
      <c r="D6375" s="194">
        <v>2020.0</v>
      </c>
      <c r="E6375" s="193"/>
      <c r="F6375" s="195" t="s">
        <v>25496</v>
      </c>
      <c r="G6375" s="196">
        <v>1.13132843E8</v>
      </c>
      <c r="H6375" s="197">
        <v>2.125</v>
      </c>
      <c r="I6375" s="7" t="s">
        <v>16815</v>
      </c>
      <c r="J6375" s="7" t="s">
        <v>187</v>
      </c>
      <c r="K6375" s="7" t="s">
        <v>16846</v>
      </c>
      <c r="L6375" s="198" t="s">
        <v>65</v>
      </c>
      <c r="M6375" s="194"/>
      <c r="N6375" s="194"/>
    </row>
    <row r="6376">
      <c r="A6376" s="193" t="s">
        <v>25497</v>
      </c>
      <c r="B6376" s="7" t="s">
        <v>187</v>
      </c>
      <c r="C6376" s="7" t="s">
        <v>16969</v>
      </c>
      <c r="D6376" s="194">
        <v>2019.0</v>
      </c>
      <c r="E6376" s="193"/>
      <c r="F6376" s="195" t="s">
        <v>25498</v>
      </c>
      <c r="G6376" s="196">
        <v>1.13132024E8</v>
      </c>
      <c r="H6376" s="197">
        <v>4.62</v>
      </c>
      <c r="I6376" s="7" t="s">
        <v>16815</v>
      </c>
      <c r="J6376" s="7" t="s">
        <v>187</v>
      </c>
      <c r="K6376" s="7" t="s">
        <v>16969</v>
      </c>
      <c r="L6376" s="198" t="s">
        <v>65</v>
      </c>
      <c r="M6376" s="194"/>
      <c r="N6376" s="194"/>
    </row>
    <row r="6377">
      <c r="A6377" s="193" t="s">
        <v>25499</v>
      </c>
      <c r="B6377" s="7" t="s">
        <v>16582</v>
      </c>
      <c r="C6377" s="7" t="s">
        <v>16817</v>
      </c>
      <c r="D6377" s="194">
        <v>2013.0</v>
      </c>
      <c r="E6377" s="193"/>
      <c r="F6377" s="195" t="s">
        <v>25500</v>
      </c>
      <c r="G6377" s="196">
        <v>1.13020202E8</v>
      </c>
      <c r="H6377" s="197">
        <v>5.1</v>
      </c>
      <c r="I6377" s="7" t="s">
        <v>16815</v>
      </c>
      <c r="J6377" s="7" t="s">
        <v>16582</v>
      </c>
      <c r="K6377" s="7" t="s">
        <v>16817</v>
      </c>
      <c r="L6377" s="198" t="s">
        <v>65</v>
      </c>
      <c r="M6377" s="194"/>
      <c r="N6377" s="194"/>
    </row>
    <row r="6378">
      <c r="A6378" s="193" t="s">
        <v>25499</v>
      </c>
      <c r="B6378" s="7" t="s">
        <v>16817</v>
      </c>
      <c r="C6378" s="7" t="s">
        <v>16582</v>
      </c>
      <c r="D6378" s="194">
        <v>2013.0</v>
      </c>
      <c r="E6378" s="193"/>
      <c r="F6378" s="195" t="s">
        <v>25500</v>
      </c>
      <c r="G6378" s="200">
        <v>1.13020202E8</v>
      </c>
      <c r="H6378" s="197">
        <v>5.1</v>
      </c>
      <c r="I6378" s="7" t="s">
        <v>16815</v>
      </c>
      <c r="J6378" s="7" t="s">
        <v>16817</v>
      </c>
      <c r="K6378" s="7" t="s">
        <v>16582</v>
      </c>
      <c r="L6378" s="201" t="s">
        <v>16835</v>
      </c>
      <c r="M6378" s="194"/>
      <c r="N6378" s="194"/>
    </row>
    <row r="6379">
      <c r="A6379" s="193" t="s">
        <v>25501</v>
      </c>
      <c r="B6379" s="7" t="s">
        <v>175</v>
      </c>
      <c r="C6379" s="7" t="s">
        <v>17452</v>
      </c>
      <c r="D6379" s="194">
        <v>2023.0</v>
      </c>
      <c r="E6379" s="193"/>
      <c r="F6379" s="195" t="s">
        <v>25502</v>
      </c>
      <c r="G6379" s="196">
        <v>1.13001874E8</v>
      </c>
      <c r="H6379" s="197">
        <v>3.07</v>
      </c>
      <c r="I6379" s="7" t="s">
        <v>16856</v>
      </c>
      <c r="J6379" s="7" t="s">
        <v>175</v>
      </c>
      <c r="K6379" s="7" t="s">
        <v>17452</v>
      </c>
      <c r="L6379" s="198" t="s">
        <v>65</v>
      </c>
      <c r="M6379" s="194"/>
      <c r="N6379" s="194"/>
    </row>
    <row r="6380">
      <c r="A6380" s="193" t="s">
        <v>25503</v>
      </c>
      <c r="B6380" s="7" t="s">
        <v>187</v>
      </c>
      <c r="C6380" s="7" t="s">
        <v>16851</v>
      </c>
      <c r="D6380" s="194">
        <v>2020.0</v>
      </c>
      <c r="E6380" s="193"/>
      <c r="F6380" s="195" t="s">
        <v>25504</v>
      </c>
      <c r="G6380" s="196">
        <v>1.1291007E8</v>
      </c>
      <c r="H6380" s="197">
        <v>3.7</v>
      </c>
      <c r="I6380" s="7" t="s">
        <v>16815</v>
      </c>
      <c r="J6380" s="7" t="s">
        <v>187</v>
      </c>
      <c r="K6380" s="7" t="s">
        <v>16851</v>
      </c>
      <c r="L6380" s="198" t="s">
        <v>65</v>
      </c>
      <c r="M6380" s="194"/>
      <c r="N6380" s="194"/>
    </row>
    <row r="6381">
      <c r="A6381" s="193" t="s">
        <v>25505</v>
      </c>
      <c r="B6381" s="7" t="s">
        <v>187</v>
      </c>
      <c r="C6381" s="7" t="s">
        <v>16846</v>
      </c>
      <c r="D6381" s="199"/>
      <c r="E6381" s="193"/>
      <c r="F6381" s="195" t="s">
        <v>25506</v>
      </c>
      <c r="G6381" s="196">
        <v>1.12573697E8</v>
      </c>
      <c r="H6381" s="197">
        <v>4.59</v>
      </c>
      <c r="I6381" s="7" t="s">
        <v>16815</v>
      </c>
      <c r="J6381" s="7" t="s">
        <v>187</v>
      </c>
      <c r="K6381" s="7" t="s">
        <v>16846</v>
      </c>
      <c r="L6381" s="198" t="s">
        <v>65</v>
      </c>
      <c r="M6381" s="199"/>
      <c r="N6381" s="199"/>
    </row>
    <row r="6382">
      <c r="A6382" s="193" t="s">
        <v>25507</v>
      </c>
      <c r="B6382" s="7" t="s">
        <v>187</v>
      </c>
      <c r="C6382" s="7" t="s">
        <v>16846</v>
      </c>
      <c r="D6382" s="194">
        <v>2021.0</v>
      </c>
      <c r="E6382" s="193"/>
      <c r="F6382" s="195" t="s">
        <v>25508</v>
      </c>
      <c r="G6382" s="196">
        <v>1.12533181E8</v>
      </c>
      <c r="H6382" s="197">
        <v>2.01</v>
      </c>
      <c r="I6382" s="7" t="s">
        <v>16815</v>
      </c>
      <c r="J6382" s="7" t="s">
        <v>187</v>
      </c>
      <c r="K6382" s="7" t="s">
        <v>16846</v>
      </c>
      <c r="L6382" s="198" t="s">
        <v>65</v>
      </c>
      <c r="M6382" s="194"/>
      <c r="N6382" s="194"/>
    </row>
    <row r="6383">
      <c r="A6383" s="193" t="s">
        <v>25509</v>
      </c>
      <c r="B6383" s="7" t="s">
        <v>187</v>
      </c>
      <c r="C6383" s="7" t="s">
        <v>17509</v>
      </c>
      <c r="D6383" s="194">
        <v>2014.0</v>
      </c>
      <c r="E6383" s="193"/>
      <c r="F6383" s="195" t="s">
        <v>25510</v>
      </c>
      <c r="G6383" s="196">
        <v>1.12493194E8</v>
      </c>
      <c r="H6383" s="197">
        <v>4.85</v>
      </c>
      <c r="I6383" s="7" t="s">
        <v>16815</v>
      </c>
      <c r="J6383" s="7" t="s">
        <v>187</v>
      </c>
      <c r="K6383" s="7" t="s">
        <v>17509</v>
      </c>
      <c r="L6383" s="198" t="s">
        <v>65</v>
      </c>
      <c r="M6383" s="194"/>
      <c r="N6383" s="194"/>
    </row>
    <row r="6384">
      <c r="A6384" s="193" t="s">
        <v>25511</v>
      </c>
      <c r="B6384" s="7" t="s">
        <v>16582</v>
      </c>
      <c r="C6384" s="7" t="s">
        <v>16930</v>
      </c>
      <c r="D6384" s="194">
        <v>2019.0</v>
      </c>
      <c r="E6384" s="193"/>
      <c r="F6384" s="195" t="s">
        <v>25512</v>
      </c>
      <c r="G6384" s="196">
        <v>1.12453058E8</v>
      </c>
      <c r="H6384" s="197">
        <v>1.07</v>
      </c>
      <c r="I6384" s="7" t="s">
        <v>16815</v>
      </c>
      <c r="J6384" s="7" t="s">
        <v>16582</v>
      </c>
      <c r="K6384" s="7" t="s">
        <v>16930</v>
      </c>
      <c r="L6384" s="198" t="s">
        <v>65</v>
      </c>
      <c r="M6384" s="194"/>
      <c r="N6384" s="194"/>
    </row>
    <row r="6385">
      <c r="A6385" s="193" t="s">
        <v>25513</v>
      </c>
      <c r="B6385" s="7" t="s">
        <v>187</v>
      </c>
      <c r="C6385" s="7" t="s">
        <v>16846</v>
      </c>
      <c r="D6385" s="194">
        <v>2018.0</v>
      </c>
      <c r="E6385" s="193"/>
      <c r="F6385" s="195" t="s">
        <v>25514</v>
      </c>
      <c r="G6385" s="196">
        <v>1.12169035E8</v>
      </c>
      <c r="H6385" s="197">
        <v>1.68</v>
      </c>
      <c r="I6385" s="7" t="s">
        <v>16815</v>
      </c>
      <c r="J6385" s="7" t="s">
        <v>187</v>
      </c>
      <c r="K6385" s="7" t="s">
        <v>16846</v>
      </c>
      <c r="L6385" s="198" t="s">
        <v>65</v>
      </c>
      <c r="M6385" s="194"/>
      <c r="N6385" s="194"/>
    </row>
    <row r="6386">
      <c r="A6386" s="193" t="s">
        <v>25515</v>
      </c>
      <c r="B6386" s="7" t="s">
        <v>175</v>
      </c>
      <c r="C6386" s="7" t="s">
        <v>17069</v>
      </c>
      <c r="D6386" s="194">
        <v>2022.0</v>
      </c>
      <c r="E6386" s="193"/>
      <c r="F6386" s="195" t="s">
        <v>25516</v>
      </c>
      <c r="G6386" s="196">
        <v>1.11735659E8</v>
      </c>
      <c r="H6386" s="197">
        <v>14.81</v>
      </c>
      <c r="I6386" s="7" t="s">
        <v>168</v>
      </c>
      <c r="J6386" s="7" t="s">
        <v>175</v>
      </c>
      <c r="K6386" s="7" t="s">
        <v>17069</v>
      </c>
      <c r="L6386" s="198" t="s">
        <v>65</v>
      </c>
      <c r="M6386" s="194"/>
      <c r="N6386" s="194"/>
    </row>
    <row r="6387">
      <c r="A6387" s="193" t="s">
        <v>25515</v>
      </c>
      <c r="B6387" s="7" t="s">
        <v>17069</v>
      </c>
      <c r="C6387" s="7" t="s">
        <v>175</v>
      </c>
      <c r="D6387" s="194">
        <v>2022.0</v>
      </c>
      <c r="E6387" s="193"/>
      <c r="F6387" s="195" t="s">
        <v>25516</v>
      </c>
      <c r="G6387" s="200">
        <v>1.11735659E8</v>
      </c>
      <c r="H6387" s="197">
        <v>14.81</v>
      </c>
      <c r="I6387" s="7" t="s">
        <v>16815</v>
      </c>
      <c r="J6387" s="7" t="s">
        <v>17069</v>
      </c>
      <c r="K6387" s="7" t="s">
        <v>175</v>
      </c>
      <c r="L6387" s="201" t="s">
        <v>16835</v>
      </c>
      <c r="M6387" s="194"/>
      <c r="N6387" s="194"/>
    </row>
    <row r="6388">
      <c r="A6388" s="193" t="s">
        <v>25517</v>
      </c>
      <c r="D6388" s="194">
        <v>2023.0</v>
      </c>
      <c r="E6388" s="193"/>
      <c r="F6388" s="195" t="s">
        <v>25518</v>
      </c>
      <c r="G6388" s="196">
        <v>1.1132E8</v>
      </c>
      <c r="H6388" s="197">
        <v>4.84</v>
      </c>
      <c r="I6388" s="7" t="s">
        <v>16815</v>
      </c>
      <c r="L6388" s="198" t="s">
        <v>65</v>
      </c>
      <c r="M6388" s="194"/>
      <c r="N6388" s="194"/>
    </row>
    <row r="6389">
      <c r="A6389" s="193" t="s">
        <v>25517</v>
      </c>
      <c r="B6389" s="208"/>
      <c r="C6389" s="206"/>
      <c r="D6389" s="193">
        <v>2023.0</v>
      </c>
      <c r="E6389" s="193"/>
      <c r="F6389" s="203" t="s">
        <v>25518</v>
      </c>
      <c r="G6389" s="200">
        <v>1.1132E8</v>
      </c>
      <c r="H6389" s="205">
        <v>181.0</v>
      </c>
      <c r="J6389" s="208"/>
      <c r="K6389" s="206"/>
      <c r="L6389" s="193" t="s">
        <v>17471</v>
      </c>
      <c r="M6389" s="193"/>
      <c r="N6389" s="193"/>
    </row>
    <row r="6390">
      <c r="A6390" s="193" t="s">
        <v>25519</v>
      </c>
      <c r="B6390" s="7" t="s">
        <v>175</v>
      </c>
      <c r="C6390" s="7" t="s">
        <v>16899</v>
      </c>
      <c r="D6390" s="194">
        <v>1988.0</v>
      </c>
      <c r="E6390" s="193"/>
      <c r="F6390" s="195" t="s">
        <v>25520</v>
      </c>
      <c r="G6390" s="196">
        <v>1.11208871E8</v>
      </c>
      <c r="H6390" s="197">
        <v>31.02</v>
      </c>
      <c r="I6390" s="7" t="s">
        <v>16826</v>
      </c>
      <c r="J6390" s="7" t="s">
        <v>175</v>
      </c>
      <c r="K6390" s="7" t="s">
        <v>16899</v>
      </c>
      <c r="L6390" s="198" t="s">
        <v>65</v>
      </c>
      <c r="M6390" s="194"/>
      <c r="N6390" s="194"/>
    </row>
    <row r="6391">
      <c r="A6391" s="193" t="s">
        <v>25519</v>
      </c>
      <c r="B6391" s="202" t="s">
        <v>16899</v>
      </c>
      <c r="C6391" s="193" t="s">
        <v>175</v>
      </c>
      <c r="D6391" s="193">
        <v>1988.0</v>
      </c>
      <c r="E6391" s="193"/>
      <c r="F6391" s="203" t="s">
        <v>25520</v>
      </c>
      <c r="G6391" s="200">
        <v>1.11208871E8</v>
      </c>
      <c r="H6391" s="205">
        <v>4.84</v>
      </c>
      <c r="J6391" s="202" t="s">
        <v>16899</v>
      </c>
      <c r="K6391" s="193" t="s">
        <v>175</v>
      </c>
      <c r="L6391" s="193" t="s">
        <v>17471</v>
      </c>
      <c r="M6391" s="193"/>
      <c r="N6391" s="193"/>
    </row>
    <row r="6392">
      <c r="A6392" s="193" t="s">
        <v>25521</v>
      </c>
      <c r="B6392" s="7" t="s">
        <v>175</v>
      </c>
      <c r="C6392" s="7" t="s">
        <v>17391</v>
      </c>
      <c r="D6392" s="199"/>
      <c r="E6392" s="193"/>
      <c r="F6392" s="195" t="s">
        <v>25522</v>
      </c>
      <c r="G6392" s="196">
        <v>1.11075619E8</v>
      </c>
      <c r="H6392" s="197">
        <v>7.95</v>
      </c>
      <c r="I6392" s="7" t="s">
        <v>16844</v>
      </c>
      <c r="J6392" s="7" t="s">
        <v>175</v>
      </c>
      <c r="K6392" s="7" t="s">
        <v>17391</v>
      </c>
      <c r="L6392" s="198" t="s">
        <v>65</v>
      </c>
      <c r="M6392" s="199"/>
      <c r="N6392" s="199"/>
    </row>
    <row r="6393">
      <c r="A6393" s="193" t="s">
        <v>25523</v>
      </c>
      <c r="B6393" s="7" t="s">
        <v>16838</v>
      </c>
      <c r="C6393" s="7" t="s">
        <v>16867</v>
      </c>
      <c r="D6393" s="194">
        <v>2005.0</v>
      </c>
      <c r="E6393" s="193"/>
      <c r="F6393" s="195" t="s">
        <v>25524</v>
      </c>
      <c r="G6393" s="196">
        <v>1.1066798E8</v>
      </c>
      <c r="H6393" s="197">
        <v>8.82</v>
      </c>
      <c r="I6393" s="7" t="s">
        <v>16924</v>
      </c>
      <c r="J6393" s="7" t="s">
        <v>16838</v>
      </c>
      <c r="K6393" s="7" t="s">
        <v>16867</v>
      </c>
      <c r="L6393" s="198" t="s">
        <v>65</v>
      </c>
      <c r="M6393" s="194"/>
      <c r="N6393" s="194"/>
    </row>
    <row r="6394">
      <c r="A6394" s="193" t="s">
        <v>25525</v>
      </c>
      <c r="B6394" s="7" t="s">
        <v>187</v>
      </c>
      <c r="C6394" s="7" t="s">
        <v>16858</v>
      </c>
      <c r="D6394" s="194">
        <v>1997.0</v>
      </c>
      <c r="E6394" s="193"/>
      <c r="F6394" s="195" t="s">
        <v>25526</v>
      </c>
      <c r="G6394" s="196">
        <v>1.10588627E8</v>
      </c>
      <c r="H6394" s="197">
        <v>2.34</v>
      </c>
      <c r="I6394" s="7" t="s">
        <v>16815</v>
      </c>
      <c r="J6394" s="7" t="s">
        <v>187</v>
      </c>
      <c r="K6394" s="7" t="s">
        <v>16858</v>
      </c>
      <c r="L6394" s="198" t="s">
        <v>65</v>
      </c>
      <c r="M6394" s="194"/>
      <c r="N6394" s="194"/>
    </row>
    <row r="6395">
      <c r="A6395" s="193" t="s">
        <v>25525</v>
      </c>
      <c r="B6395" s="202" t="s">
        <v>16858</v>
      </c>
      <c r="C6395" s="193" t="s">
        <v>187</v>
      </c>
      <c r="D6395" s="193">
        <v>1997.0</v>
      </c>
      <c r="E6395" s="193"/>
      <c r="F6395" s="203" t="s">
        <v>25526</v>
      </c>
      <c r="G6395" s="200">
        <v>1.10588627E8</v>
      </c>
      <c r="H6395" s="205">
        <v>31.02</v>
      </c>
      <c r="J6395" s="202" t="s">
        <v>16858</v>
      </c>
      <c r="K6395" s="193" t="s">
        <v>187</v>
      </c>
      <c r="L6395" s="193" t="s">
        <v>17471</v>
      </c>
      <c r="M6395" s="193"/>
      <c r="N6395" s="193"/>
    </row>
    <row r="6396">
      <c r="A6396" s="193" t="s">
        <v>25527</v>
      </c>
      <c r="B6396" s="7" t="s">
        <v>187</v>
      </c>
      <c r="C6396" s="7" t="s">
        <v>16846</v>
      </c>
      <c r="D6396" s="199"/>
      <c r="E6396" s="193"/>
      <c r="F6396" s="195" t="s">
        <v>25528</v>
      </c>
      <c r="G6396" s="196">
        <v>1.1001278E8</v>
      </c>
      <c r="H6396" s="197">
        <v>2.18</v>
      </c>
      <c r="I6396" s="7" t="s">
        <v>16815</v>
      </c>
      <c r="J6396" s="7" t="s">
        <v>187</v>
      </c>
      <c r="K6396" s="7" t="s">
        <v>16846</v>
      </c>
      <c r="L6396" s="198" t="s">
        <v>65</v>
      </c>
      <c r="M6396" s="199"/>
      <c r="N6396" s="199"/>
    </row>
    <row r="6397">
      <c r="A6397" s="193" t="s">
        <v>25529</v>
      </c>
      <c r="B6397" s="7" t="s">
        <v>187</v>
      </c>
      <c r="C6397" s="7" t="s">
        <v>16846</v>
      </c>
      <c r="D6397" s="194">
        <v>2021.0</v>
      </c>
      <c r="E6397" s="193"/>
      <c r="F6397" s="195" t="s">
        <v>25530</v>
      </c>
      <c r="G6397" s="196">
        <v>1.09950173E8</v>
      </c>
      <c r="H6397" s="197">
        <v>1.9</v>
      </c>
      <c r="I6397" s="7" t="s">
        <v>16815</v>
      </c>
      <c r="J6397" s="7" t="s">
        <v>187</v>
      </c>
      <c r="K6397" s="7" t="s">
        <v>16846</v>
      </c>
      <c r="L6397" s="198" t="s">
        <v>65</v>
      </c>
      <c r="M6397" s="194"/>
      <c r="N6397" s="194"/>
    </row>
    <row r="6398">
      <c r="A6398" s="193" t="s">
        <v>25531</v>
      </c>
      <c r="B6398" s="7" t="s">
        <v>187</v>
      </c>
      <c r="C6398" s="7" t="s">
        <v>16846</v>
      </c>
      <c r="D6398" s="194">
        <v>2014.0</v>
      </c>
      <c r="E6398" s="193"/>
      <c r="F6398" s="195" t="s">
        <v>25532</v>
      </c>
      <c r="G6398" s="196">
        <v>1.099152E8</v>
      </c>
      <c r="H6398" s="197">
        <v>1.36</v>
      </c>
      <c r="I6398" s="7" t="s">
        <v>16815</v>
      </c>
      <c r="J6398" s="7" t="s">
        <v>187</v>
      </c>
      <c r="K6398" s="7" t="s">
        <v>16846</v>
      </c>
      <c r="L6398" s="198" t="s">
        <v>65</v>
      </c>
      <c r="M6398" s="194"/>
      <c r="N6398" s="194"/>
    </row>
    <row r="6399">
      <c r="A6399" s="193" t="s">
        <v>25533</v>
      </c>
      <c r="B6399" s="7" t="s">
        <v>187</v>
      </c>
      <c r="C6399" s="7" t="s">
        <v>16969</v>
      </c>
      <c r="D6399" s="199"/>
      <c r="E6399" s="193"/>
      <c r="F6399" s="195" t="s">
        <v>25534</v>
      </c>
      <c r="G6399" s="196">
        <v>1.09879584E8</v>
      </c>
      <c r="H6399" s="197">
        <v>4.46</v>
      </c>
      <c r="I6399" s="7" t="s">
        <v>16815</v>
      </c>
      <c r="J6399" s="7" t="s">
        <v>187</v>
      </c>
      <c r="K6399" s="7" t="s">
        <v>16969</v>
      </c>
      <c r="L6399" s="198" t="s">
        <v>65</v>
      </c>
      <c r="M6399" s="199"/>
      <c r="N6399" s="199"/>
    </row>
    <row r="6400">
      <c r="A6400" s="193" t="s">
        <v>25535</v>
      </c>
      <c r="B6400" s="7" t="s">
        <v>16582</v>
      </c>
      <c r="C6400" s="7" t="s">
        <v>16930</v>
      </c>
      <c r="D6400" s="199"/>
      <c r="E6400" s="193"/>
      <c r="F6400" s="195" t="s">
        <v>25536</v>
      </c>
      <c r="G6400" s="196">
        <v>1.09854619E8</v>
      </c>
      <c r="H6400" s="197">
        <v>3.555</v>
      </c>
      <c r="I6400" s="7" t="s">
        <v>16815</v>
      </c>
      <c r="J6400" s="7" t="s">
        <v>16582</v>
      </c>
      <c r="K6400" s="7" t="s">
        <v>16930</v>
      </c>
      <c r="L6400" s="198" t="s">
        <v>65</v>
      </c>
      <c r="M6400" s="199"/>
      <c r="N6400" s="199"/>
    </row>
    <row r="6401">
      <c r="A6401" s="193" t="s">
        <v>25537</v>
      </c>
      <c r="B6401" s="7" t="s">
        <v>169</v>
      </c>
      <c r="C6401" s="7" t="s">
        <v>17321</v>
      </c>
      <c r="D6401" s="194">
        <v>2021.0</v>
      </c>
      <c r="E6401" s="193"/>
      <c r="F6401" s="195" t="s">
        <v>25538</v>
      </c>
      <c r="G6401" s="196">
        <v>1.0954833E8</v>
      </c>
      <c r="H6401" s="197">
        <v>3.68</v>
      </c>
      <c r="I6401" s="7" t="s">
        <v>16815</v>
      </c>
      <c r="J6401" s="7" t="s">
        <v>169</v>
      </c>
      <c r="K6401" s="7" t="s">
        <v>17321</v>
      </c>
      <c r="L6401" s="198" t="s">
        <v>65</v>
      </c>
      <c r="M6401" s="194"/>
      <c r="N6401" s="194"/>
    </row>
    <row r="6402">
      <c r="A6402" s="193" t="s">
        <v>25539</v>
      </c>
      <c r="B6402" s="7" t="s">
        <v>187</v>
      </c>
      <c r="C6402" s="7" t="s">
        <v>16846</v>
      </c>
      <c r="D6402" s="194">
        <v>2021.0</v>
      </c>
      <c r="E6402" s="193"/>
      <c r="F6402" s="195" t="s">
        <v>25540</v>
      </c>
      <c r="G6402" s="196">
        <v>1.09074146E8</v>
      </c>
      <c r="H6402" s="197">
        <v>3.03</v>
      </c>
      <c r="I6402" s="7" t="s">
        <v>16815</v>
      </c>
      <c r="J6402" s="7" t="s">
        <v>187</v>
      </c>
      <c r="K6402" s="7" t="s">
        <v>16846</v>
      </c>
      <c r="L6402" s="198" t="s">
        <v>65</v>
      </c>
      <c r="M6402" s="194"/>
      <c r="N6402" s="194"/>
    </row>
    <row r="6403">
      <c r="A6403" s="193" t="s">
        <v>25541</v>
      </c>
      <c r="B6403" s="7" t="s">
        <v>16910</v>
      </c>
      <c r="C6403" s="7" t="s">
        <v>17013</v>
      </c>
      <c r="D6403" s="194">
        <v>1993.0</v>
      </c>
      <c r="E6403" s="193"/>
      <c r="F6403" s="195" t="s">
        <v>25542</v>
      </c>
      <c r="G6403" s="196">
        <v>1.08927523E8</v>
      </c>
      <c r="H6403" s="197">
        <v>8.41</v>
      </c>
      <c r="I6403" s="7" t="s">
        <v>17063</v>
      </c>
      <c r="J6403" s="7" t="s">
        <v>16910</v>
      </c>
      <c r="K6403" s="7" t="s">
        <v>17013</v>
      </c>
      <c r="L6403" s="198" t="s">
        <v>65</v>
      </c>
      <c r="M6403" s="194"/>
      <c r="N6403" s="194"/>
    </row>
    <row r="6404">
      <c r="A6404" s="193" t="s">
        <v>25543</v>
      </c>
      <c r="B6404" s="7" t="s">
        <v>175</v>
      </c>
      <c r="C6404" s="7" t="s">
        <v>16861</v>
      </c>
      <c r="D6404" s="199"/>
      <c r="E6404" s="193"/>
      <c r="F6404" s="195" t="s">
        <v>25544</v>
      </c>
      <c r="G6404" s="196">
        <v>1.08896007E8</v>
      </c>
      <c r="H6404" s="197">
        <v>3.73</v>
      </c>
      <c r="I6404" s="7" t="s">
        <v>174</v>
      </c>
      <c r="J6404" s="7" t="s">
        <v>175</v>
      </c>
      <c r="K6404" s="7" t="s">
        <v>16861</v>
      </c>
      <c r="L6404" s="198" t="s">
        <v>65</v>
      </c>
      <c r="M6404" s="199"/>
      <c r="N6404" s="199"/>
    </row>
    <row r="6405">
      <c r="A6405" s="193" t="s">
        <v>25543</v>
      </c>
      <c r="B6405" s="7" t="s">
        <v>16861</v>
      </c>
      <c r="C6405" s="7" t="s">
        <v>175</v>
      </c>
      <c r="D6405" s="199"/>
      <c r="E6405" s="193"/>
      <c r="F6405" s="195" t="s">
        <v>25544</v>
      </c>
      <c r="G6405" s="200">
        <v>1.08896007E8</v>
      </c>
      <c r="H6405" s="197">
        <v>3.73</v>
      </c>
      <c r="I6405" s="7" t="s">
        <v>16815</v>
      </c>
      <c r="J6405" s="7" t="s">
        <v>16861</v>
      </c>
      <c r="K6405" s="7" t="s">
        <v>175</v>
      </c>
      <c r="L6405" s="201" t="s">
        <v>16835</v>
      </c>
      <c r="M6405" s="199"/>
      <c r="N6405" s="199"/>
    </row>
    <row r="6406">
      <c r="A6406" s="193" t="s">
        <v>25545</v>
      </c>
      <c r="B6406" s="7" t="s">
        <v>19579</v>
      </c>
      <c r="C6406" s="7" t="s">
        <v>16838</v>
      </c>
      <c r="D6406" s="199"/>
      <c r="E6406" s="193"/>
      <c r="F6406" s="195" t="s">
        <v>25546</v>
      </c>
      <c r="G6406" s="200">
        <v>1.0886961E8</v>
      </c>
      <c r="H6406" s="197">
        <v>12.45</v>
      </c>
      <c r="I6406" s="7" t="s">
        <v>16815</v>
      </c>
      <c r="J6406" s="7" t="s">
        <v>19579</v>
      </c>
      <c r="K6406" s="7" t="s">
        <v>16838</v>
      </c>
      <c r="L6406" s="201" t="s">
        <v>16835</v>
      </c>
      <c r="M6406" s="199"/>
      <c r="N6406" s="199"/>
    </row>
    <row r="6407">
      <c r="A6407" s="193" t="s">
        <v>25545</v>
      </c>
      <c r="B6407" s="7" t="s">
        <v>16838</v>
      </c>
      <c r="C6407" s="7" t="s">
        <v>19579</v>
      </c>
      <c r="D6407" s="199"/>
      <c r="E6407" s="193"/>
      <c r="F6407" s="195" t="s">
        <v>25546</v>
      </c>
      <c r="G6407" s="196">
        <v>1.0886961E8</v>
      </c>
      <c r="H6407" s="197">
        <v>12.45</v>
      </c>
      <c r="I6407" s="7" t="s">
        <v>16815</v>
      </c>
      <c r="J6407" s="7" t="s">
        <v>16838</v>
      </c>
      <c r="K6407" s="7" t="s">
        <v>19579</v>
      </c>
      <c r="L6407" s="198" t="s">
        <v>65</v>
      </c>
      <c r="M6407" s="199"/>
      <c r="N6407" s="199"/>
    </row>
    <row r="6408">
      <c r="A6408" s="193" t="s">
        <v>25547</v>
      </c>
      <c r="B6408" s="7" t="s">
        <v>16838</v>
      </c>
      <c r="C6408" s="7" t="s">
        <v>16837</v>
      </c>
      <c r="D6408" s="194">
        <v>2006.0</v>
      </c>
      <c r="E6408" s="193"/>
      <c r="F6408" s="195" t="s">
        <v>25548</v>
      </c>
      <c r="G6408" s="196">
        <v>1.08763465E8</v>
      </c>
      <c r="H6408" s="197">
        <v>10.39</v>
      </c>
      <c r="I6408" s="7" t="s">
        <v>16815</v>
      </c>
      <c r="J6408" s="7" t="s">
        <v>16838</v>
      </c>
      <c r="K6408" s="7" t="s">
        <v>16837</v>
      </c>
      <c r="L6408" s="198" t="s">
        <v>65</v>
      </c>
      <c r="M6408" s="194"/>
      <c r="N6408" s="194"/>
    </row>
    <row r="6409">
      <c r="A6409" s="193" t="s">
        <v>25549</v>
      </c>
      <c r="B6409" s="7" t="s">
        <v>175</v>
      </c>
      <c r="C6409" s="7" t="s">
        <v>17812</v>
      </c>
      <c r="D6409" s="199"/>
      <c r="E6409" s="193"/>
      <c r="F6409" s="195" t="s">
        <v>25550</v>
      </c>
      <c r="G6409" s="196">
        <v>1.0865481E8</v>
      </c>
      <c r="H6409" s="197">
        <v>9.37</v>
      </c>
      <c r="I6409" s="7" t="s">
        <v>168</v>
      </c>
      <c r="J6409" s="7" t="s">
        <v>175</v>
      </c>
      <c r="K6409" s="7" t="s">
        <v>17812</v>
      </c>
      <c r="L6409" s="198" t="s">
        <v>65</v>
      </c>
      <c r="M6409" s="199"/>
      <c r="N6409" s="199"/>
    </row>
    <row r="6410">
      <c r="A6410" s="193" t="s">
        <v>25549</v>
      </c>
      <c r="B6410" s="202" t="s">
        <v>17812</v>
      </c>
      <c r="C6410" s="193" t="s">
        <v>175</v>
      </c>
      <c r="D6410" s="206"/>
      <c r="E6410" s="193"/>
      <c r="F6410" s="203" t="s">
        <v>25550</v>
      </c>
      <c r="G6410" s="200">
        <v>1.0865481E8</v>
      </c>
      <c r="H6410" s="205">
        <v>2.34</v>
      </c>
      <c r="J6410" s="202" t="s">
        <v>17812</v>
      </c>
      <c r="K6410" s="193" t="s">
        <v>175</v>
      </c>
      <c r="L6410" s="193" t="s">
        <v>17471</v>
      </c>
      <c r="M6410" s="206"/>
      <c r="N6410" s="206"/>
    </row>
    <row r="6411">
      <c r="A6411" s="193" t="s">
        <v>25551</v>
      </c>
      <c r="B6411" s="7" t="s">
        <v>187</v>
      </c>
      <c r="C6411" s="7" t="s">
        <v>20775</v>
      </c>
      <c r="D6411" s="194">
        <v>2020.0</v>
      </c>
      <c r="E6411" s="193"/>
      <c r="F6411" s="195" t="s">
        <v>25552</v>
      </c>
      <c r="G6411" s="196">
        <v>1.08571554E8</v>
      </c>
      <c r="H6411" s="197">
        <v>1.2</v>
      </c>
      <c r="I6411" s="7" t="s">
        <v>16815</v>
      </c>
      <c r="J6411" s="7" t="s">
        <v>187</v>
      </c>
      <c r="K6411" s="7" t="s">
        <v>20775</v>
      </c>
      <c r="L6411" s="198" t="s">
        <v>65</v>
      </c>
      <c r="M6411" s="194"/>
      <c r="N6411" s="194"/>
    </row>
    <row r="6412">
      <c r="A6412" s="193" t="s">
        <v>25553</v>
      </c>
      <c r="B6412" s="7" t="s">
        <v>187</v>
      </c>
      <c r="C6412" s="7" t="s">
        <v>16846</v>
      </c>
      <c r="D6412" s="194">
        <v>2021.0</v>
      </c>
      <c r="E6412" s="193"/>
      <c r="F6412" s="195" t="s">
        <v>25554</v>
      </c>
      <c r="G6412" s="196">
        <v>1.08488457E8</v>
      </c>
      <c r="H6412" s="197">
        <v>2.87</v>
      </c>
      <c r="I6412" s="7" t="s">
        <v>16815</v>
      </c>
      <c r="J6412" s="7" t="s">
        <v>187</v>
      </c>
      <c r="K6412" s="7" t="s">
        <v>16846</v>
      </c>
      <c r="L6412" s="198" t="s">
        <v>65</v>
      </c>
      <c r="M6412" s="194"/>
      <c r="N6412" s="194"/>
    </row>
    <row r="6413">
      <c r="A6413" s="193" t="s">
        <v>25555</v>
      </c>
      <c r="B6413" s="7" t="s">
        <v>16838</v>
      </c>
      <c r="C6413" s="7" t="s">
        <v>16867</v>
      </c>
      <c r="D6413" s="199"/>
      <c r="E6413" s="193"/>
      <c r="F6413" s="195" t="s">
        <v>25556</v>
      </c>
      <c r="G6413" s="196">
        <v>1.08452374E8</v>
      </c>
      <c r="H6413" s="197">
        <v>21.2</v>
      </c>
      <c r="I6413" s="7" t="s">
        <v>16815</v>
      </c>
      <c r="J6413" s="7" t="s">
        <v>16838</v>
      </c>
      <c r="K6413" s="7" t="s">
        <v>16867</v>
      </c>
      <c r="L6413" s="198" t="s">
        <v>65</v>
      </c>
      <c r="M6413" s="199"/>
      <c r="N6413" s="199"/>
    </row>
    <row r="6414">
      <c r="A6414" s="193" t="s">
        <v>25557</v>
      </c>
      <c r="B6414" s="7" t="s">
        <v>175</v>
      </c>
      <c r="C6414" s="7" t="s">
        <v>17457</v>
      </c>
      <c r="D6414" s="199"/>
      <c r="E6414" s="193"/>
      <c r="F6414" s="195" t="s">
        <v>25558</v>
      </c>
      <c r="G6414" s="196">
        <v>1.08181795E8</v>
      </c>
      <c r="H6414" s="197">
        <v>17.75</v>
      </c>
      <c r="I6414" s="7" t="s">
        <v>16892</v>
      </c>
      <c r="J6414" s="7" t="s">
        <v>175</v>
      </c>
      <c r="K6414" s="7" t="s">
        <v>17457</v>
      </c>
      <c r="L6414" s="198" t="s">
        <v>65</v>
      </c>
      <c r="M6414" s="199"/>
      <c r="N6414" s="199"/>
    </row>
    <row r="6415">
      <c r="A6415" s="193" t="s">
        <v>25559</v>
      </c>
      <c r="B6415" s="7" t="s">
        <v>175</v>
      </c>
      <c r="C6415" s="7" t="s">
        <v>16942</v>
      </c>
      <c r="D6415" s="194">
        <v>2017.0</v>
      </c>
      <c r="E6415" s="193"/>
      <c r="F6415" s="195" t="s">
        <v>25560</v>
      </c>
      <c r="G6415" s="196">
        <v>1.07955347E8</v>
      </c>
      <c r="H6415" s="197">
        <v>6.43</v>
      </c>
      <c r="I6415" s="7" t="s">
        <v>16908</v>
      </c>
      <c r="J6415" s="7" t="s">
        <v>175</v>
      </c>
      <c r="K6415" s="7" t="s">
        <v>16942</v>
      </c>
      <c r="L6415" s="198" t="s">
        <v>65</v>
      </c>
      <c r="M6415" s="194"/>
      <c r="N6415" s="194"/>
    </row>
    <row r="6416">
      <c r="A6416" s="193" t="s">
        <v>25561</v>
      </c>
      <c r="B6416" s="7" t="s">
        <v>17629</v>
      </c>
      <c r="C6416" s="7" t="s">
        <v>16899</v>
      </c>
      <c r="D6416" s="199"/>
      <c r="E6416" s="193"/>
      <c r="F6416" s="195" t="s">
        <v>25562</v>
      </c>
      <c r="G6416" s="196">
        <v>1.07907203E8</v>
      </c>
      <c r="H6416" s="197">
        <v>4.91</v>
      </c>
      <c r="I6416" s="7" t="s">
        <v>16815</v>
      </c>
      <c r="J6416" s="7" t="s">
        <v>17629</v>
      </c>
      <c r="K6416" s="7" t="s">
        <v>16899</v>
      </c>
      <c r="L6416" s="198" t="s">
        <v>65</v>
      </c>
      <c r="M6416" s="199"/>
      <c r="N6416" s="199"/>
    </row>
    <row r="6417">
      <c r="A6417" s="193" t="s">
        <v>25563</v>
      </c>
      <c r="D6417" s="199"/>
      <c r="E6417" s="193"/>
      <c r="F6417" s="195" t="s">
        <v>25564</v>
      </c>
      <c r="G6417" s="196">
        <v>1.07822264E8</v>
      </c>
      <c r="H6417" s="197">
        <v>4.78</v>
      </c>
      <c r="I6417" s="7" t="s">
        <v>16815</v>
      </c>
      <c r="L6417" s="198" t="s">
        <v>65</v>
      </c>
      <c r="M6417" s="199"/>
      <c r="N6417" s="199"/>
    </row>
    <row r="6418">
      <c r="A6418" s="193" t="s">
        <v>25565</v>
      </c>
      <c r="B6418" s="7" t="s">
        <v>187</v>
      </c>
      <c r="C6418" s="7" t="s">
        <v>17509</v>
      </c>
      <c r="D6418" s="194">
        <v>1986.0</v>
      </c>
      <c r="E6418" s="193"/>
      <c r="F6418" s="195" t="s">
        <v>25566</v>
      </c>
      <c r="G6418" s="196">
        <v>1.075991E8</v>
      </c>
      <c r="H6418" s="197">
        <v>14.61</v>
      </c>
      <c r="I6418" s="7" t="s">
        <v>16815</v>
      </c>
      <c r="J6418" s="7" t="s">
        <v>187</v>
      </c>
      <c r="K6418" s="7" t="s">
        <v>17509</v>
      </c>
      <c r="L6418" s="198" t="s">
        <v>65</v>
      </c>
      <c r="M6418" s="194"/>
      <c r="N6418" s="194"/>
    </row>
    <row r="6419">
      <c r="A6419" s="193" t="s">
        <v>25567</v>
      </c>
      <c r="B6419" s="7" t="s">
        <v>158</v>
      </c>
      <c r="C6419" s="7" t="s">
        <v>16864</v>
      </c>
      <c r="D6419" s="199"/>
      <c r="E6419" s="193"/>
      <c r="F6419" s="195" t="s">
        <v>25568</v>
      </c>
      <c r="G6419" s="196">
        <v>1.07461356E8</v>
      </c>
      <c r="H6419" s="197">
        <v>6.53</v>
      </c>
      <c r="I6419" s="7" t="s">
        <v>18397</v>
      </c>
      <c r="J6419" s="7" t="s">
        <v>158</v>
      </c>
      <c r="K6419" s="7" t="s">
        <v>16864</v>
      </c>
      <c r="L6419" s="198" t="s">
        <v>65</v>
      </c>
      <c r="M6419" s="199"/>
      <c r="N6419" s="199"/>
    </row>
    <row r="6420">
      <c r="A6420" s="193" t="s">
        <v>25567</v>
      </c>
      <c r="B6420" s="202" t="s">
        <v>16864</v>
      </c>
      <c r="C6420" s="193" t="s">
        <v>158</v>
      </c>
      <c r="D6420" s="206"/>
      <c r="E6420" s="193"/>
      <c r="F6420" s="203" t="s">
        <v>25568</v>
      </c>
      <c r="G6420" s="200">
        <v>1.07461356E8</v>
      </c>
      <c r="H6420" s="205">
        <v>9.37</v>
      </c>
      <c r="J6420" s="202" t="s">
        <v>16864</v>
      </c>
      <c r="K6420" s="193" t="s">
        <v>158</v>
      </c>
      <c r="L6420" s="193" t="s">
        <v>17471</v>
      </c>
      <c r="M6420" s="206"/>
      <c r="N6420" s="206"/>
    </row>
    <row r="6421">
      <c r="A6421" s="193" t="s">
        <v>25569</v>
      </c>
      <c r="B6421" s="7" t="s">
        <v>16582</v>
      </c>
      <c r="C6421" s="7" t="s">
        <v>16930</v>
      </c>
      <c r="D6421" s="194">
        <v>2019.0</v>
      </c>
      <c r="E6421" s="193"/>
      <c r="F6421" s="195" t="s">
        <v>25570</v>
      </c>
      <c r="G6421" s="196">
        <v>1.0738739E8</v>
      </c>
      <c r="H6421" s="197">
        <v>2.85</v>
      </c>
      <c r="I6421" s="7" t="s">
        <v>16815</v>
      </c>
      <c r="J6421" s="7" t="s">
        <v>16582</v>
      </c>
      <c r="K6421" s="7" t="s">
        <v>16930</v>
      </c>
      <c r="L6421" s="198" t="s">
        <v>65</v>
      </c>
      <c r="M6421" s="194"/>
      <c r="N6421" s="194"/>
    </row>
    <row r="6422">
      <c r="A6422" s="193" t="s">
        <v>25571</v>
      </c>
      <c r="B6422" s="7" t="s">
        <v>16582</v>
      </c>
      <c r="C6422" s="7" t="s">
        <v>16930</v>
      </c>
      <c r="D6422" s="194">
        <v>2012.0</v>
      </c>
      <c r="E6422" s="193"/>
      <c r="F6422" s="195" t="s">
        <v>25572</v>
      </c>
      <c r="G6422" s="196">
        <v>1.06941191E8</v>
      </c>
      <c r="H6422" s="197">
        <v>2.46</v>
      </c>
      <c r="I6422" s="7" t="s">
        <v>16815</v>
      </c>
      <c r="J6422" s="7" t="s">
        <v>16582</v>
      </c>
      <c r="K6422" s="7" t="s">
        <v>16930</v>
      </c>
      <c r="L6422" s="198" t="s">
        <v>65</v>
      </c>
      <c r="M6422" s="194"/>
      <c r="N6422" s="194"/>
    </row>
    <row r="6423">
      <c r="A6423" s="193" t="s">
        <v>25573</v>
      </c>
      <c r="B6423" s="7" t="s">
        <v>187</v>
      </c>
      <c r="C6423" s="7" t="s">
        <v>16846</v>
      </c>
      <c r="D6423" s="194">
        <v>2015.0</v>
      </c>
      <c r="E6423" s="193"/>
      <c r="F6423" s="195" t="s">
        <v>25574</v>
      </c>
      <c r="G6423" s="196">
        <v>1.06769863E8</v>
      </c>
      <c r="H6423" s="197">
        <v>0.4701</v>
      </c>
      <c r="I6423" s="7" t="s">
        <v>16815</v>
      </c>
      <c r="J6423" s="7" t="s">
        <v>187</v>
      </c>
      <c r="K6423" s="7" t="s">
        <v>16846</v>
      </c>
      <c r="L6423" s="198" t="s">
        <v>65</v>
      </c>
      <c r="M6423" s="194"/>
      <c r="N6423" s="194"/>
    </row>
    <row r="6424">
      <c r="A6424" s="193" t="s">
        <v>25575</v>
      </c>
      <c r="B6424" s="7" t="s">
        <v>17111</v>
      </c>
      <c r="C6424" s="7" t="s">
        <v>17112</v>
      </c>
      <c r="D6424" s="194">
        <v>2011.0</v>
      </c>
      <c r="E6424" s="193"/>
      <c r="F6424" s="195" t="s">
        <v>25576</v>
      </c>
      <c r="G6424" s="200">
        <v>1.06757619E8</v>
      </c>
      <c r="H6424" s="197">
        <v>5.28</v>
      </c>
      <c r="I6424" s="7" t="s">
        <v>16815</v>
      </c>
      <c r="J6424" s="7" t="s">
        <v>17111</v>
      </c>
      <c r="K6424" s="7" t="s">
        <v>17112</v>
      </c>
      <c r="L6424" s="201" t="s">
        <v>16835</v>
      </c>
      <c r="M6424" s="194"/>
      <c r="N6424" s="194"/>
    </row>
    <row r="6425">
      <c r="A6425" s="193" t="s">
        <v>25575</v>
      </c>
      <c r="B6425" s="7" t="s">
        <v>17112</v>
      </c>
      <c r="C6425" s="7" t="s">
        <v>17111</v>
      </c>
      <c r="D6425" s="194">
        <v>2011.0</v>
      </c>
      <c r="E6425" s="193"/>
      <c r="F6425" s="195" t="s">
        <v>25576</v>
      </c>
      <c r="G6425" s="196">
        <v>1.06757619E8</v>
      </c>
      <c r="H6425" s="197">
        <v>5.28</v>
      </c>
      <c r="I6425" s="7" t="s">
        <v>16815</v>
      </c>
      <c r="J6425" s="7" t="s">
        <v>17112</v>
      </c>
      <c r="K6425" s="7" t="s">
        <v>17111</v>
      </c>
      <c r="L6425" s="198" t="s">
        <v>65</v>
      </c>
      <c r="M6425" s="194"/>
      <c r="N6425" s="194"/>
    </row>
    <row r="6426">
      <c r="A6426" s="193" t="s">
        <v>25577</v>
      </c>
      <c r="B6426" s="7" t="s">
        <v>169</v>
      </c>
      <c r="C6426" s="7" t="s">
        <v>17532</v>
      </c>
      <c r="D6426" s="199"/>
      <c r="E6426" s="193"/>
      <c r="F6426" s="195" t="s">
        <v>25578</v>
      </c>
      <c r="G6426" s="196">
        <v>1.06711361E8</v>
      </c>
      <c r="H6426" s="197">
        <v>1.03</v>
      </c>
      <c r="I6426" s="7" t="s">
        <v>16815</v>
      </c>
      <c r="J6426" s="7" t="s">
        <v>169</v>
      </c>
      <c r="K6426" s="7" t="s">
        <v>17532</v>
      </c>
      <c r="L6426" s="198" t="s">
        <v>65</v>
      </c>
      <c r="M6426" s="199"/>
      <c r="N6426" s="199"/>
    </row>
    <row r="6427">
      <c r="A6427" s="193" t="s">
        <v>25579</v>
      </c>
      <c r="B6427" s="7" t="s">
        <v>169</v>
      </c>
      <c r="C6427" s="7" t="s">
        <v>16899</v>
      </c>
      <c r="D6427" s="194">
        <v>1994.0</v>
      </c>
      <c r="E6427" s="193"/>
      <c r="F6427" s="195" t="s">
        <v>25580</v>
      </c>
      <c r="G6427" s="196">
        <v>1.06543823E8</v>
      </c>
      <c r="H6427" s="197">
        <v>2.25</v>
      </c>
      <c r="I6427" s="7" t="s">
        <v>16815</v>
      </c>
      <c r="J6427" s="7" t="s">
        <v>169</v>
      </c>
      <c r="K6427" s="7" t="s">
        <v>16899</v>
      </c>
      <c r="L6427" s="198" t="s">
        <v>65</v>
      </c>
      <c r="M6427" s="194"/>
      <c r="N6427" s="194"/>
    </row>
    <row r="6428">
      <c r="A6428" s="193" t="s">
        <v>25581</v>
      </c>
      <c r="B6428" s="7" t="s">
        <v>187</v>
      </c>
      <c r="C6428" s="7" t="s">
        <v>16846</v>
      </c>
      <c r="D6428" s="199"/>
      <c r="E6428" s="193"/>
      <c r="F6428" s="195" t="s">
        <v>25582</v>
      </c>
      <c r="G6428" s="196">
        <v>1.06384828E8</v>
      </c>
      <c r="H6428" s="197">
        <v>1.45</v>
      </c>
      <c r="I6428" s="7" t="s">
        <v>16815</v>
      </c>
      <c r="J6428" s="7" t="s">
        <v>187</v>
      </c>
      <c r="K6428" s="7" t="s">
        <v>16846</v>
      </c>
      <c r="L6428" s="198" t="s">
        <v>65</v>
      </c>
      <c r="M6428" s="199"/>
      <c r="N6428" s="199"/>
    </row>
    <row r="6429">
      <c r="A6429" s="193" t="s">
        <v>25583</v>
      </c>
      <c r="B6429" s="7" t="s">
        <v>175</v>
      </c>
      <c r="C6429" s="7" t="s">
        <v>17812</v>
      </c>
      <c r="D6429" s="199"/>
      <c r="E6429" s="193"/>
      <c r="F6429" s="195" t="s">
        <v>25584</v>
      </c>
      <c r="G6429" s="196">
        <v>1.06365456E8</v>
      </c>
      <c r="H6429" s="197">
        <v>9.8</v>
      </c>
      <c r="I6429" s="7" t="s">
        <v>174</v>
      </c>
      <c r="J6429" s="7" t="s">
        <v>175</v>
      </c>
      <c r="K6429" s="7" t="s">
        <v>17812</v>
      </c>
      <c r="L6429" s="198" t="s">
        <v>65</v>
      </c>
      <c r="M6429" s="199"/>
      <c r="N6429" s="199"/>
    </row>
    <row r="6430">
      <c r="A6430" s="193" t="s">
        <v>25583</v>
      </c>
      <c r="B6430" s="7" t="s">
        <v>17812</v>
      </c>
      <c r="C6430" s="7" t="s">
        <v>175</v>
      </c>
      <c r="D6430" s="199"/>
      <c r="E6430" s="193"/>
      <c r="F6430" s="195" t="s">
        <v>25584</v>
      </c>
      <c r="G6430" s="200">
        <v>1.06365456E8</v>
      </c>
      <c r="H6430" s="197">
        <v>9.8</v>
      </c>
      <c r="I6430" s="7" t="s">
        <v>16815</v>
      </c>
      <c r="J6430" s="7" t="s">
        <v>17812</v>
      </c>
      <c r="K6430" s="7" t="s">
        <v>175</v>
      </c>
      <c r="L6430" s="201" t="s">
        <v>16835</v>
      </c>
      <c r="M6430" s="199"/>
      <c r="N6430" s="199"/>
    </row>
    <row r="6431">
      <c r="A6431" s="193" t="s">
        <v>25585</v>
      </c>
      <c r="B6431" s="7" t="s">
        <v>16838</v>
      </c>
      <c r="C6431" s="7" t="s">
        <v>16837</v>
      </c>
      <c r="D6431" s="199"/>
      <c r="E6431" s="193"/>
      <c r="F6431" s="195" t="s">
        <v>25586</v>
      </c>
      <c r="G6431" s="196">
        <v>1.06309072E8</v>
      </c>
      <c r="H6431" s="197">
        <v>9.3</v>
      </c>
      <c r="I6431" s="7" t="s">
        <v>16815</v>
      </c>
      <c r="J6431" s="7" t="s">
        <v>16838</v>
      </c>
      <c r="K6431" s="7" t="s">
        <v>16837</v>
      </c>
      <c r="L6431" s="198" t="s">
        <v>65</v>
      </c>
      <c r="M6431" s="199"/>
      <c r="N6431" s="199"/>
    </row>
    <row r="6432">
      <c r="A6432" s="193" t="s">
        <v>25587</v>
      </c>
      <c r="B6432" s="7" t="s">
        <v>187</v>
      </c>
      <c r="C6432" s="7" t="s">
        <v>16846</v>
      </c>
      <c r="D6432" s="194">
        <v>2014.0</v>
      </c>
      <c r="E6432" s="193"/>
      <c r="F6432" s="195" t="s">
        <v>25588</v>
      </c>
      <c r="G6432" s="196">
        <v>1.06029875E8</v>
      </c>
      <c r="H6432" s="197">
        <v>2.45</v>
      </c>
      <c r="I6432" s="7" t="s">
        <v>16815</v>
      </c>
      <c r="J6432" s="7" t="s">
        <v>187</v>
      </c>
      <c r="K6432" s="7" t="s">
        <v>16846</v>
      </c>
      <c r="L6432" s="198" t="s">
        <v>65</v>
      </c>
      <c r="M6432" s="194"/>
      <c r="N6432" s="194"/>
    </row>
    <row r="6433">
      <c r="A6433" s="193" t="s">
        <v>25589</v>
      </c>
      <c r="B6433" s="7" t="s">
        <v>187</v>
      </c>
      <c r="C6433" s="7" t="s">
        <v>16846</v>
      </c>
      <c r="D6433" s="199"/>
      <c r="E6433" s="193"/>
      <c r="F6433" s="195" t="s">
        <v>25590</v>
      </c>
      <c r="G6433" s="196">
        <v>1.06028746E8</v>
      </c>
      <c r="H6433" s="197">
        <v>1.12</v>
      </c>
      <c r="I6433" s="7" t="s">
        <v>16815</v>
      </c>
      <c r="J6433" s="7" t="s">
        <v>187</v>
      </c>
      <c r="K6433" s="7" t="s">
        <v>16846</v>
      </c>
      <c r="L6433" s="198" t="s">
        <v>65</v>
      </c>
      <c r="M6433" s="199"/>
      <c r="N6433" s="199"/>
    </row>
    <row r="6434">
      <c r="A6434" s="193" t="s">
        <v>25591</v>
      </c>
      <c r="B6434" s="7" t="s">
        <v>16838</v>
      </c>
      <c r="C6434" s="7" t="s">
        <v>16867</v>
      </c>
      <c r="D6434" s="199"/>
      <c r="E6434" s="193"/>
      <c r="F6434" s="195" t="s">
        <v>25592</v>
      </c>
      <c r="G6434" s="196">
        <v>1.0577478E8</v>
      </c>
      <c r="H6434" s="197">
        <v>16.15</v>
      </c>
      <c r="I6434" s="7" t="s">
        <v>16815</v>
      </c>
      <c r="J6434" s="7" t="s">
        <v>16838</v>
      </c>
      <c r="K6434" s="7" t="s">
        <v>16867</v>
      </c>
      <c r="L6434" s="198" t="s">
        <v>65</v>
      </c>
      <c r="M6434" s="199"/>
      <c r="N6434" s="199"/>
    </row>
    <row r="6435">
      <c r="A6435" s="193" t="s">
        <v>25593</v>
      </c>
      <c r="B6435" s="7" t="s">
        <v>169</v>
      </c>
      <c r="C6435" s="7" t="s">
        <v>110</v>
      </c>
      <c r="D6435" s="199"/>
      <c r="E6435" s="193"/>
      <c r="F6435" s="195" t="s">
        <v>25594</v>
      </c>
      <c r="G6435" s="196">
        <v>1.05639472E8</v>
      </c>
      <c r="H6435" s="197">
        <v>7.76</v>
      </c>
      <c r="I6435" s="7" t="s">
        <v>16815</v>
      </c>
      <c r="J6435" s="7" t="s">
        <v>169</v>
      </c>
      <c r="K6435" s="7" t="s">
        <v>110</v>
      </c>
      <c r="L6435" s="198" t="s">
        <v>65</v>
      </c>
      <c r="M6435" s="199"/>
      <c r="N6435" s="199"/>
    </row>
    <row r="6436">
      <c r="A6436" s="193" t="s">
        <v>25595</v>
      </c>
      <c r="B6436" s="7" t="s">
        <v>17202</v>
      </c>
      <c r="C6436" s="7" t="s">
        <v>16838</v>
      </c>
      <c r="D6436" s="194">
        <v>1998.0</v>
      </c>
      <c r="E6436" s="193"/>
      <c r="F6436" s="195" t="s">
        <v>25596</v>
      </c>
      <c r="G6436" s="200">
        <v>1.05583925E8</v>
      </c>
      <c r="H6436" s="197">
        <v>6.02</v>
      </c>
      <c r="I6436" s="7" t="s">
        <v>16815</v>
      </c>
      <c r="J6436" s="7" t="s">
        <v>17202</v>
      </c>
      <c r="K6436" s="7" t="s">
        <v>16838</v>
      </c>
      <c r="L6436" s="201" t="s">
        <v>16835</v>
      </c>
      <c r="M6436" s="194"/>
      <c r="N6436" s="194"/>
    </row>
    <row r="6437">
      <c r="A6437" s="193" t="s">
        <v>25595</v>
      </c>
      <c r="B6437" s="7" t="s">
        <v>16838</v>
      </c>
      <c r="C6437" s="7" t="s">
        <v>17202</v>
      </c>
      <c r="D6437" s="194">
        <v>1998.0</v>
      </c>
      <c r="E6437" s="193"/>
      <c r="F6437" s="195" t="s">
        <v>25596</v>
      </c>
      <c r="G6437" s="196">
        <v>1.05583925E8</v>
      </c>
      <c r="H6437" s="197">
        <v>6.02</v>
      </c>
      <c r="I6437" s="7" t="s">
        <v>16815</v>
      </c>
      <c r="J6437" s="7" t="s">
        <v>16838</v>
      </c>
      <c r="K6437" s="7" t="s">
        <v>17202</v>
      </c>
      <c r="L6437" s="198" t="s">
        <v>65</v>
      </c>
      <c r="M6437" s="194"/>
      <c r="N6437" s="194"/>
    </row>
    <row r="6438">
      <c r="A6438" s="193" t="s">
        <v>25597</v>
      </c>
      <c r="B6438" s="7" t="s">
        <v>16582</v>
      </c>
      <c r="C6438" s="7" t="s">
        <v>17342</v>
      </c>
      <c r="D6438" s="194">
        <v>2019.0</v>
      </c>
      <c r="E6438" s="193"/>
      <c r="F6438" s="195" t="s">
        <v>25598</v>
      </c>
      <c r="G6438" s="196">
        <v>1.05404134E8</v>
      </c>
      <c r="H6438" s="197">
        <v>3.81</v>
      </c>
      <c r="I6438" s="7" t="s">
        <v>16815</v>
      </c>
      <c r="J6438" s="7" t="s">
        <v>16582</v>
      </c>
      <c r="K6438" s="7" t="s">
        <v>17342</v>
      </c>
      <c r="L6438" s="198" t="s">
        <v>65</v>
      </c>
      <c r="M6438" s="194"/>
      <c r="N6438" s="194"/>
    </row>
    <row r="6439">
      <c r="A6439" s="193" t="s">
        <v>25599</v>
      </c>
      <c r="B6439" s="7" t="s">
        <v>169</v>
      </c>
      <c r="C6439" s="7" t="s">
        <v>16899</v>
      </c>
      <c r="D6439" s="199"/>
      <c r="E6439" s="193"/>
      <c r="F6439" s="195" t="s">
        <v>25600</v>
      </c>
      <c r="G6439" s="196">
        <v>1.05011344E8</v>
      </c>
      <c r="H6439" s="197">
        <v>1.62</v>
      </c>
      <c r="I6439" s="7" t="s">
        <v>16815</v>
      </c>
      <c r="J6439" s="7" t="s">
        <v>169</v>
      </c>
      <c r="K6439" s="7" t="s">
        <v>16899</v>
      </c>
      <c r="L6439" s="198" t="s">
        <v>65</v>
      </c>
      <c r="M6439" s="199"/>
      <c r="N6439" s="199"/>
    </row>
    <row r="6440">
      <c r="A6440" s="193" t="s">
        <v>25601</v>
      </c>
      <c r="B6440" s="7" t="s">
        <v>187</v>
      </c>
      <c r="C6440" s="7" t="s">
        <v>16851</v>
      </c>
      <c r="D6440" s="194">
        <v>2021.0</v>
      </c>
      <c r="E6440" s="193"/>
      <c r="F6440" s="195" t="s">
        <v>25602</v>
      </c>
      <c r="G6440" s="196">
        <v>1.05003557E8</v>
      </c>
      <c r="H6440" s="197">
        <v>3.99</v>
      </c>
      <c r="I6440" s="7" t="s">
        <v>16815</v>
      </c>
      <c r="J6440" s="7" t="s">
        <v>187</v>
      </c>
      <c r="K6440" s="7" t="s">
        <v>16851</v>
      </c>
      <c r="L6440" s="198" t="s">
        <v>65</v>
      </c>
      <c r="M6440" s="194"/>
      <c r="N6440" s="194"/>
    </row>
    <row r="6441">
      <c r="A6441" s="193" t="s">
        <v>25603</v>
      </c>
      <c r="D6441" s="194">
        <v>2021.0</v>
      </c>
      <c r="E6441" s="193"/>
      <c r="F6441" s="195" t="s">
        <v>25604</v>
      </c>
      <c r="G6441" s="196">
        <v>1.04751866E8</v>
      </c>
      <c r="H6441" s="197">
        <v>4.62</v>
      </c>
      <c r="I6441" s="7" t="s">
        <v>16815</v>
      </c>
      <c r="L6441" s="198" t="s">
        <v>65</v>
      </c>
      <c r="M6441" s="194"/>
      <c r="N6441" s="194"/>
    </row>
    <row r="6442">
      <c r="A6442" s="193" t="s">
        <v>25605</v>
      </c>
      <c r="B6442" s="7" t="s">
        <v>187</v>
      </c>
      <c r="C6442" s="7" t="s">
        <v>16846</v>
      </c>
      <c r="D6442" s="199"/>
      <c r="E6442" s="193"/>
      <c r="F6442" s="195" t="s">
        <v>25606</v>
      </c>
      <c r="G6442" s="196">
        <v>1.0463642E8</v>
      </c>
      <c r="H6442" s="197">
        <v>11.82</v>
      </c>
      <c r="I6442" s="7" t="s">
        <v>16815</v>
      </c>
      <c r="J6442" s="7" t="s">
        <v>187</v>
      </c>
      <c r="K6442" s="7" t="s">
        <v>16846</v>
      </c>
      <c r="L6442" s="198" t="s">
        <v>65</v>
      </c>
      <c r="M6442" s="199"/>
      <c r="N6442" s="199"/>
    </row>
    <row r="6443">
      <c r="A6443" s="193" t="s">
        <v>25607</v>
      </c>
      <c r="B6443" s="7" t="s">
        <v>16582</v>
      </c>
      <c r="C6443" s="7" t="s">
        <v>16930</v>
      </c>
      <c r="D6443" s="194">
        <v>2021.0</v>
      </c>
      <c r="E6443" s="193"/>
      <c r="F6443" s="195" t="s">
        <v>25608</v>
      </c>
      <c r="G6443" s="196">
        <v>1.044431E8</v>
      </c>
      <c r="H6443" s="197">
        <v>5.23</v>
      </c>
      <c r="I6443" s="7" t="s">
        <v>16815</v>
      </c>
      <c r="J6443" s="7" t="s">
        <v>16582</v>
      </c>
      <c r="K6443" s="7" t="s">
        <v>16930</v>
      </c>
      <c r="L6443" s="198" t="s">
        <v>65</v>
      </c>
      <c r="M6443" s="194"/>
      <c r="N6443" s="194"/>
    </row>
    <row r="6444">
      <c r="A6444" s="193" t="s">
        <v>25607</v>
      </c>
      <c r="B6444" s="7" t="s">
        <v>16930</v>
      </c>
      <c r="C6444" s="7" t="s">
        <v>16582</v>
      </c>
      <c r="D6444" s="194">
        <v>2021.0</v>
      </c>
      <c r="E6444" s="193"/>
      <c r="F6444" s="195" t="s">
        <v>25608</v>
      </c>
      <c r="G6444" s="200">
        <v>1.044431E8</v>
      </c>
      <c r="H6444" s="197">
        <v>5.23</v>
      </c>
      <c r="I6444" s="7" t="s">
        <v>16815</v>
      </c>
      <c r="J6444" s="7" t="s">
        <v>16930</v>
      </c>
      <c r="K6444" s="7" t="s">
        <v>16582</v>
      </c>
      <c r="L6444" s="201" t="s">
        <v>16835</v>
      </c>
      <c r="M6444" s="194"/>
      <c r="N6444" s="194"/>
    </row>
    <row r="6445">
      <c r="A6445" s="193" t="s">
        <v>25609</v>
      </c>
      <c r="B6445" s="7" t="s">
        <v>175</v>
      </c>
      <c r="C6445" s="7" t="s">
        <v>16854</v>
      </c>
      <c r="D6445" s="199"/>
      <c r="E6445" s="193"/>
      <c r="F6445" s="195" t="s">
        <v>25610</v>
      </c>
      <c r="G6445" s="196">
        <v>1.04377874E8</v>
      </c>
      <c r="H6445" s="197">
        <v>2.81</v>
      </c>
      <c r="I6445" s="7" t="s">
        <v>16892</v>
      </c>
      <c r="J6445" s="7" t="s">
        <v>175</v>
      </c>
      <c r="K6445" s="7" t="s">
        <v>16854</v>
      </c>
      <c r="L6445" s="198" t="s">
        <v>65</v>
      </c>
      <c r="M6445" s="199"/>
      <c r="N6445" s="199"/>
    </row>
    <row r="6446">
      <c r="A6446" s="193" t="s">
        <v>25611</v>
      </c>
      <c r="B6446" s="7" t="s">
        <v>187</v>
      </c>
      <c r="C6446" s="7" t="s">
        <v>16846</v>
      </c>
      <c r="D6446" s="194">
        <v>2018.0</v>
      </c>
      <c r="E6446" s="193"/>
      <c r="F6446" s="195" t="s">
        <v>25612</v>
      </c>
      <c r="G6446" s="196">
        <v>1.04234779E8</v>
      </c>
      <c r="H6446" s="197">
        <v>2.31</v>
      </c>
      <c r="I6446" s="7" t="s">
        <v>16815</v>
      </c>
      <c r="J6446" s="7" t="s">
        <v>187</v>
      </c>
      <c r="K6446" s="7" t="s">
        <v>16846</v>
      </c>
      <c r="L6446" s="198" t="s">
        <v>65</v>
      </c>
      <c r="M6446" s="194"/>
      <c r="N6446" s="194"/>
    </row>
    <row r="6447">
      <c r="A6447" s="193" t="s">
        <v>25613</v>
      </c>
      <c r="B6447" s="7" t="s">
        <v>175</v>
      </c>
      <c r="C6447" s="7" t="s">
        <v>17391</v>
      </c>
      <c r="D6447" s="194">
        <v>2021.0</v>
      </c>
      <c r="E6447" s="193"/>
      <c r="F6447" s="195" t="s">
        <v>25614</v>
      </c>
      <c r="G6447" s="196">
        <v>1.0412544E8</v>
      </c>
      <c r="H6447" s="197">
        <v>1.18</v>
      </c>
      <c r="I6447" s="7" t="s">
        <v>16826</v>
      </c>
      <c r="J6447" s="7" t="s">
        <v>175</v>
      </c>
      <c r="K6447" s="7" t="s">
        <v>17391</v>
      </c>
      <c r="L6447" s="198" t="s">
        <v>65</v>
      </c>
      <c r="M6447" s="194"/>
      <c r="N6447" s="194"/>
    </row>
    <row r="6448">
      <c r="A6448" s="193" t="s">
        <v>25615</v>
      </c>
      <c r="B6448" s="7" t="s">
        <v>175</v>
      </c>
      <c r="C6448" s="7" t="s">
        <v>17218</v>
      </c>
      <c r="D6448" s="199"/>
      <c r="E6448" s="193"/>
      <c r="F6448" s="195" t="s">
        <v>25616</v>
      </c>
      <c r="G6448" s="196">
        <v>1.04116044E8</v>
      </c>
      <c r="H6448" s="197">
        <v>3.93</v>
      </c>
      <c r="I6448" s="7" t="s">
        <v>174</v>
      </c>
      <c r="J6448" s="7" t="s">
        <v>175</v>
      </c>
      <c r="K6448" s="7" t="s">
        <v>17218</v>
      </c>
      <c r="L6448" s="198" t="s">
        <v>65</v>
      </c>
      <c r="M6448" s="199"/>
      <c r="N6448" s="199"/>
    </row>
    <row r="6449">
      <c r="A6449" s="193" t="s">
        <v>25617</v>
      </c>
      <c r="B6449" s="7" t="s">
        <v>187</v>
      </c>
      <c r="C6449" s="7" t="s">
        <v>16858</v>
      </c>
      <c r="D6449" s="194">
        <v>2016.0</v>
      </c>
      <c r="E6449" s="193"/>
      <c r="F6449" s="195" t="s">
        <v>25618</v>
      </c>
      <c r="G6449" s="196">
        <v>1.04098007E8</v>
      </c>
      <c r="H6449" s="197">
        <v>0.4</v>
      </c>
      <c r="I6449" s="7" t="s">
        <v>16815</v>
      </c>
      <c r="J6449" s="7" t="s">
        <v>187</v>
      </c>
      <c r="K6449" s="7" t="s">
        <v>16858</v>
      </c>
      <c r="L6449" s="198" t="s">
        <v>65</v>
      </c>
      <c r="M6449" s="194"/>
      <c r="N6449" s="194"/>
    </row>
    <row r="6450">
      <c r="A6450" s="193" t="s">
        <v>25619</v>
      </c>
      <c r="B6450" s="7" t="s">
        <v>16838</v>
      </c>
      <c r="C6450" s="7" t="s">
        <v>17016</v>
      </c>
      <c r="D6450" s="199"/>
      <c r="E6450" s="193"/>
      <c r="F6450" s="195" t="s">
        <v>25620</v>
      </c>
      <c r="G6450" s="196">
        <v>1.04061409E8</v>
      </c>
      <c r="H6450" s="197">
        <v>10.22</v>
      </c>
      <c r="I6450" s="7" t="s">
        <v>16815</v>
      </c>
      <c r="J6450" s="7" t="s">
        <v>16838</v>
      </c>
      <c r="K6450" s="7" t="s">
        <v>17016</v>
      </c>
      <c r="L6450" s="198" t="s">
        <v>65</v>
      </c>
      <c r="M6450" s="199"/>
      <c r="N6450" s="199"/>
    </row>
    <row r="6451">
      <c r="A6451" s="193" t="s">
        <v>25621</v>
      </c>
      <c r="B6451" s="7" t="s">
        <v>169</v>
      </c>
      <c r="C6451" s="7" t="s">
        <v>18098</v>
      </c>
      <c r="D6451" s="199"/>
      <c r="E6451" s="193"/>
      <c r="F6451" s="195" t="s">
        <v>25622</v>
      </c>
      <c r="G6451" s="196">
        <v>1.04059032E8</v>
      </c>
      <c r="H6451" s="197">
        <v>8.0</v>
      </c>
      <c r="I6451" s="7" t="s">
        <v>16815</v>
      </c>
      <c r="J6451" s="7" t="s">
        <v>169</v>
      </c>
      <c r="K6451" s="7" t="s">
        <v>18098</v>
      </c>
      <c r="L6451" s="198" t="s">
        <v>65</v>
      </c>
      <c r="M6451" s="199"/>
      <c r="N6451" s="199"/>
    </row>
    <row r="6452">
      <c r="A6452" s="193" t="s">
        <v>25623</v>
      </c>
      <c r="B6452" s="7" t="s">
        <v>187</v>
      </c>
      <c r="C6452" s="7" t="s">
        <v>17122</v>
      </c>
      <c r="D6452" s="199"/>
      <c r="E6452" s="193"/>
      <c r="F6452" s="195" t="s">
        <v>25624</v>
      </c>
      <c r="G6452" s="196">
        <v>1.04056331E8</v>
      </c>
      <c r="H6452" s="197">
        <v>10.88</v>
      </c>
      <c r="I6452" s="7" t="s">
        <v>16815</v>
      </c>
      <c r="J6452" s="7" t="s">
        <v>187</v>
      </c>
      <c r="K6452" s="7" t="s">
        <v>17122</v>
      </c>
      <c r="L6452" s="198" t="s">
        <v>65</v>
      </c>
      <c r="M6452" s="199"/>
      <c r="N6452" s="199"/>
    </row>
    <row r="6453">
      <c r="A6453" s="193" t="s">
        <v>25625</v>
      </c>
      <c r="B6453" s="7" t="s">
        <v>16838</v>
      </c>
      <c r="C6453" s="7" t="s">
        <v>17016</v>
      </c>
      <c r="D6453" s="199"/>
      <c r="E6453" s="193"/>
      <c r="F6453" s="195" t="s">
        <v>25626</v>
      </c>
      <c r="G6453" s="196">
        <v>1.03959588E8</v>
      </c>
      <c r="H6453" s="197">
        <v>10.21</v>
      </c>
      <c r="I6453" s="7" t="s">
        <v>16815</v>
      </c>
      <c r="J6453" s="7" t="s">
        <v>16838</v>
      </c>
      <c r="K6453" s="7" t="s">
        <v>17016</v>
      </c>
      <c r="L6453" s="198" t="s">
        <v>65</v>
      </c>
      <c r="M6453" s="199"/>
      <c r="N6453" s="199"/>
    </row>
    <row r="6454">
      <c r="A6454" s="193" t="s">
        <v>25627</v>
      </c>
      <c r="B6454" s="7" t="s">
        <v>17111</v>
      </c>
      <c r="C6454" s="7" t="s">
        <v>17112</v>
      </c>
      <c r="D6454" s="194">
        <v>2013.0</v>
      </c>
      <c r="E6454" s="193"/>
      <c r="F6454" s="195" t="s">
        <v>25628</v>
      </c>
      <c r="G6454" s="200">
        <v>1.03939992E8</v>
      </c>
      <c r="H6454" s="197">
        <v>1.99</v>
      </c>
      <c r="I6454" s="7" t="s">
        <v>16815</v>
      </c>
      <c r="J6454" s="7" t="s">
        <v>17111</v>
      </c>
      <c r="K6454" s="7" t="s">
        <v>17112</v>
      </c>
      <c r="L6454" s="201" t="s">
        <v>16835</v>
      </c>
      <c r="M6454" s="194"/>
      <c r="N6454" s="194"/>
    </row>
    <row r="6455">
      <c r="A6455" s="193" t="s">
        <v>25627</v>
      </c>
      <c r="B6455" s="7" t="s">
        <v>17112</v>
      </c>
      <c r="C6455" s="7" t="s">
        <v>17111</v>
      </c>
      <c r="D6455" s="194">
        <v>2013.0</v>
      </c>
      <c r="E6455" s="193"/>
      <c r="F6455" s="195" t="s">
        <v>25628</v>
      </c>
      <c r="G6455" s="196">
        <v>1.03939992E8</v>
      </c>
      <c r="H6455" s="197">
        <v>1.99</v>
      </c>
      <c r="I6455" s="7" t="s">
        <v>16815</v>
      </c>
      <c r="J6455" s="7" t="s">
        <v>17112</v>
      </c>
      <c r="K6455" s="7" t="s">
        <v>17111</v>
      </c>
      <c r="L6455" s="198" t="s">
        <v>65</v>
      </c>
      <c r="M6455" s="194"/>
      <c r="N6455" s="194"/>
    </row>
    <row r="6456">
      <c r="A6456" s="193" t="s">
        <v>25629</v>
      </c>
      <c r="B6456" s="7" t="s">
        <v>187</v>
      </c>
      <c r="C6456" s="7" t="s">
        <v>16851</v>
      </c>
      <c r="D6456" s="194">
        <v>2020.0</v>
      </c>
      <c r="E6456" s="193"/>
      <c r="F6456" s="195" t="s">
        <v>25630</v>
      </c>
      <c r="G6456" s="196">
        <v>1.03669878E8</v>
      </c>
      <c r="H6456" s="197">
        <v>1.01</v>
      </c>
      <c r="I6456" s="7" t="s">
        <v>16815</v>
      </c>
      <c r="J6456" s="7" t="s">
        <v>187</v>
      </c>
      <c r="K6456" s="7" t="s">
        <v>16851</v>
      </c>
      <c r="L6456" s="198" t="s">
        <v>65</v>
      </c>
      <c r="M6456" s="194"/>
      <c r="N6456" s="194"/>
    </row>
    <row r="6457">
      <c r="A6457" s="193" t="s">
        <v>25631</v>
      </c>
      <c r="B6457" s="7" t="s">
        <v>187</v>
      </c>
      <c r="C6457" s="7" t="s">
        <v>16846</v>
      </c>
      <c r="D6457" s="194">
        <v>2006.0</v>
      </c>
      <c r="E6457" s="193"/>
      <c r="F6457" s="195" t="s">
        <v>25632</v>
      </c>
      <c r="G6457" s="196">
        <v>1.03614054E8</v>
      </c>
      <c r="H6457" s="197">
        <v>2.0</v>
      </c>
      <c r="I6457" s="7" t="s">
        <v>16815</v>
      </c>
      <c r="J6457" s="7" t="s">
        <v>187</v>
      </c>
      <c r="K6457" s="7" t="s">
        <v>16846</v>
      </c>
      <c r="L6457" s="198" t="s">
        <v>65</v>
      </c>
      <c r="M6457" s="194"/>
      <c r="N6457" s="194"/>
    </row>
    <row r="6458">
      <c r="A6458" s="193" t="s">
        <v>25631</v>
      </c>
      <c r="B6458" s="7" t="s">
        <v>16846</v>
      </c>
      <c r="C6458" s="7" t="s">
        <v>187</v>
      </c>
      <c r="D6458" s="194">
        <v>2006.0</v>
      </c>
      <c r="E6458" s="193"/>
      <c r="F6458" s="195" t="s">
        <v>25632</v>
      </c>
      <c r="G6458" s="200">
        <v>1.03614054E8</v>
      </c>
      <c r="H6458" s="197">
        <v>2.0</v>
      </c>
      <c r="I6458" s="7" t="s">
        <v>16815</v>
      </c>
      <c r="J6458" s="7" t="s">
        <v>16846</v>
      </c>
      <c r="K6458" s="7" t="s">
        <v>187</v>
      </c>
      <c r="L6458" s="201" t="s">
        <v>16835</v>
      </c>
      <c r="M6458" s="194"/>
      <c r="N6458" s="194"/>
    </row>
    <row r="6459">
      <c r="A6459" s="193" t="s">
        <v>25633</v>
      </c>
      <c r="B6459" s="7" t="s">
        <v>169</v>
      </c>
      <c r="C6459" s="7" t="s">
        <v>16899</v>
      </c>
      <c r="D6459" s="194">
        <v>2008.0</v>
      </c>
      <c r="E6459" s="193"/>
      <c r="F6459" s="195" t="s">
        <v>25634</v>
      </c>
      <c r="G6459" s="196">
        <v>1.03565081E8</v>
      </c>
      <c r="H6459" s="197">
        <v>6.03</v>
      </c>
      <c r="I6459" s="7" t="s">
        <v>16815</v>
      </c>
      <c r="J6459" s="7" t="s">
        <v>169</v>
      </c>
      <c r="K6459" s="7" t="s">
        <v>16899</v>
      </c>
      <c r="L6459" s="198" t="s">
        <v>65</v>
      </c>
      <c r="M6459" s="194"/>
      <c r="N6459" s="194"/>
    </row>
    <row r="6460">
      <c r="A6460" s="193" t="s">
        <v>25635</v>
      </c>
      <c r="B6460" s="7" t="s">
        <v>175</v>
      </c>
      <c r="C6460" s="7" t="s">
        <v>17394</v>
      </c>
      <c r="D6460" s="194">
        <v>2020.0</v>
      </c>
      <c r="E6460" s="193"/>
      <c r="F6460" s="195" t="s">
        <v>25636</v>
      </c>
      <c r="G6460" s="196">
        <v>1.03498996E8</v>
      </c>
      <c r="H6460" s="197">
        <v>0.7405</v>
      </c>
      <c r="I6460" s="7" t="s">
        <v>16856</v>
      </c>
      <c r="J6460" s="7" t="s">
        <v>175</v>
      </c>
      <c r="K6460" s="7" t="s">
        <v>17394</v>
      </c>
      <c r="L6460" s="198" t="s">
        <v>65</v>
      </c>
      <c r="M6460" s="194"/>
      <c r="N6460" s="194"/>
    </row>
    <row r="6461">
      <c r="A6461" s="193" t="s">
        <v>25637</v>
      </c>
      <c r="B6461" s="7" t="s">
        <v>16885</v>
      </c>
      <c r="C6461" s="7" t="s">
        <v>17726</v>
      </c>
      <c r="D6461" s="199"/>
      <c r="E6461" s="193"/>
      <c r="F6461" s="195" t="s">
        <v>25638</v>
      </c>
      <c r="G6461" s="196">
        <v>1.03437477E8</v>
      </c>
      <c r="H6461" s="197">
        <v>0.373</v>
      </c>
      <c r="I6461" s="7" t="s">
        <v>16826</v>
      </c>
      <c r="J6461" s="7" t="s">
        <v>16885</v>
      </c>
      <c r="K6461" s="7" t="s">
        <v>17726</v>
      </c>
      <c r="L6461" s="198" t="s">
        <v>65</v>
      </c>
      <c r="M6461" s="199"/>
      <c r="N6461" s="199"/>
    </row>
    <row r="6462">
      <c r="A6462" s="193" t="s">
        <v>25637</v>
      </c>
      <c r="B6462" s="202" t="s">
        <v>17726</v>
      </c>
      <c r="C6462" s="193" t="s">
        <v>16885</v>
      </c>
      <c r="D6462" s="206"/>
      <c r="E6462" s="193"/>
      <c r="F6462" s="203" t="s">
        <v>25638</v>
      </c>
      <c r="G6462" s="200">
        <v>1.03437477E8</v>
      </c>
      <c r="H6462" s="205">
        <v>6.53</v>
      </c>
      <c r="J6462" s="202" t="s">
        <v>17726</v>
      </c>
      <c r="K6462" s="193" t="s">
        <v>16885</v>
      </c>
      <c r="L6462" s="193" t="s">
        <v>17471</v>
      </c>
      <c r="M6462" s="206"/>
      <c r="N6462" s="206"/>
    </row>
    <row r="6463">
      <c r="A6463" s="193" t="s">
        <v>25639</v>
      </c>
      <c r="B6463" s="7" t="s">
        <v>175</v>
      </c>
      <c r="C6463" s="7" t="s">
        <v>17069</v>
      </c>
      <c r="D6463" s="194">
        <v>2014.0</v>
      </c>
      <c r="E6463" s="193"/>
      <c r="F6463" s="195" t="s">
        <v>25640</v>
      </c>
      <c r="G6463" s="196">
        <v>1.03379705E8</v>
      </c>
      <c r="H6463" s="197">
        <v>0.8351</v>
      </c>
      <c r="I6463" s="7" t="s">
        <v>16844</v>
      </c>
      <c r="J6463" s="7" t="s">
        <v>175</v>
      </c>
      <c r="K6463" s="7" t="s">
        <v>17069</v>
      </c>
      <c r="L6463" s="198" t="s">
        <v>65</v>
      </c>
      <c r="M6463" s="194"/>
      <c r="N6463" s="194"/>
    </row>
    <row r="6464">
      <c r="A6464" s="193" t="s">
        <v>25641</v>
      </c>
      <c r="B6464" s="7" t="s">
        <v>16838</v>
      </c>
      <c r="C6464" s="7" t="s">
        <v>18956</v>
      </c>
      <c r="D6464" s="194">
        <v>2007.0</v>
      </c>
      <c r="E6464" s="193"/>
      <c r="F6464" s="195" t="s">
        <v>25642</v>
      </c>
      <c r="G6464" s="196">
        <v>1.0332713E8</v>
      </c>
      <c r="H6464" s="197">
        <v>11.29</v>
      </c>
      <c r="I6464" s="7" t="s">
        <v>16815</v>
      </c>
      <c r="J6464" s="7" t="s">
        <v>16838</v>
      </c>
      <c r="K6464" s="7" t="s">
        <v>18956</v>
      </c>
      <c r="L6464" s="198" t="s">
        <v>65</v>
      </c>
      <c r="M6464" s="194"/>
      <c r="N6464" s="194"/>
    </row>
    <row r="6465">
      <c r="A6465" s="193" t="s">
        <v>25643</v>
      </c>
      <c r="B6465" s="7" t="s">
        <v>16582</v>
      </c>
      <c r="C6465" s="7" t="s">
        <v>16995</v>
      </c>
      <c r="D6465" s="194">
        <v>1983.0</v>
      </c>
      <c r="E6465" s="193"/>
      <c r="F6465" s="195" t="s">
        <v>25644</v>
      </c>
      <c r="G6465" s="196">
        <v>1.03202774E8</v>
      </c>
      <c r="H6465" s="197">
        <v>13.9</v>
      </c>
      <c r="I6465" s="7" t="s">
        <v>16815</v>
      </c>
      <c r="J6465" s="7" t="s">
        <v>16582</v>
      </c>
      <c r="K6465" s="7" t="s">
        <v>16995</v>
      </c>
      <c r="L6465" s="198" t="s">
        <v>65</v>
      </c>
      <c r="M6465" s="194"/>
      <c r="N6465" s="194"/>
    </row>
    <row r="6466">
      <c r="A6466" s="193" t="s">
        <v>25645</v>
      </c>
      <c r="B6466" s="7" t="s">
        <v>187</v>
      </c>
      <c r="C6466" s="7" t="s">
        <v>16846</v>
      </c>
      <c r="D6466" s="194">
        <v>2013.0</v>
      </c>
      <c r="E6466" s="193"/>
      <c r="F6466" s="195" t="s">
        <v>25646</v>
      </c>
      <c r="G6466" s="196">
        <v>1.02937339E8</v>
      </c>
      <c r="H6466" s="197">
        <v>0.9052</v>
      </c>
      <c r="I6466" s="7" t="s">
        <v>16815</v>
      </c>
      <c r="J6466" s="7" t="s">
        <v>187</v>
      </c>
      <c r="K6466" s="7" t="s">
        <v>16846</v>
      </c>
      <c r="L6466" s="198" t="s">
        <v>65</v>
      </c>
      <c r="M6466" s="194"/>
      <c r="N6466" s="194"/>
    </row>
    <row r="6467">
      <c r="A6467" s="193" t="s">
        <v>25647</v>
      </c>
      <c r="B6467" s="7" t="s">
        <v>187</v>
      </c>
      <c r="C6467" s="7" t="s">
        <v>16992</v>
      </c>
      <c r="D6467" s="199"/>
      <c r="E6467" s="193"/>
      <c r="F6467" s="195" t="s">
        <v>25648</v>
      </c>
      <c r="G6467" s="196">
        <v>1.02920453E8</v>
      </c>
      <c r="H6467" s="197">
        <v>1.37</v>
      </c>
      <c r="I6467" s="7" t="s">
        <v>16815</v>
      </c>
      <c r="J6467" s="7" t="s">
        <v>187</v>
      </c>
      <c r="K6467" s="7" t="s">
        <v>16992</v>
      </c>
      <c r="L6467" s="198" t="s">
        <v>65</v>
      </c>
      <c r="M6467" s="199"/>
      <c r="N6467" s="199"/>
    </row>
    <row r="6468">
      <c r="A6468" s="193" t="s">
        <v>25649</v>
      </c>
      <c r="B6468" s="7" t="s">
        <v>16838</v>
      </c>
      <c r="C6468" s="7" t="s">
        <v>16837</v>
      </c>
      <c r="D6468" s="194">
        <v>2008.0</v>
      </c>
      <c r="E6468" s="193"/>
      <c r="F6468" s="195" t="s">
        <v>25650</v>
      </c>
      <c r="G6468" s="196">
        <v>1.02920156E8</v>
      </c>
      <c r="H6468" s="197">
        <v>14.99</v>
      </c>
      <c r="I6468" s="7" t="s">
        <v>16815</v>
      </c>
      <c r="J6468" s="7" t="s">
        <v>16838</v>
      </c>
      <c r="K6468" s="7" t="s">
        <v>16837</v>
      </c>
      <c r="L6468" s="198" t="s">
        <v>65</v>
      </c>
      <c r="M6468" s="194"/>
      <c r="N6468" s="194"/>
    </row>
    <row r="6469">
      <c r="A6469" s="193" t="s">
        <v>25651</v>
      </c>
      <c r="B6469" s="7" t="s">
        <v>175</v>
      </c>
      <c r="C6469" s="7" t="s">
        <v>16957</v>
      </c>
      <c r="D6469" s="194">
        <v>2020.0</v>
      </c>
      <c r="E6469" s="193"/>
      <c r="F6469" s="195" t="s">
        <v>25652</v>
      </c>
      <c r="G6469" s="196">
        <v>1.02855779E8</v>
      </c>
      <c r="H6469" s="197">
        <v>4.6</v>
      </c>
      <c r="I6469" s="7" t="s">
        <v>17242</v>
      </c>
      <c r="J6469" s="7" t="s">
        <v>175</v>
      </c>
      <c r="K6469" s="7" t="s">
        <v>16957</v>
      </c>
      <c r="L6469" s="198" t="s">
        <v>65</v>
      </c>
      <c r="M6469" s="194"/>
      <c r="N6469" s="194"/>
    </row>
    <row r="6470">
      <c r="A6470" s="193" t="s">
        <v>25651</v>
      </c>
      <c r="B6470" s="7" t="s">
        <v>16957</v>
      </c>
      <c r="C6470" s="7" t="s">
        <v>175</v>
      </c>
      <c r="D6470" s="194">
        <v>2020.0</v>
      </c>
      <c r="E6470" s="193"/>
      <c r="F6470" s="195" t="s">
        <v>25652</v>
      </c>
      <c r="G6470" s="200">
        <v>1.02855779E8</v>
      </c>
      <c r="H6470" s="197">
        <v>4.6</v>
      </c>
      <c r="I6470" s="7" t="s">
        <v>16815</v>
      </c>
      <c r="J6470" s="7" t="s">
        <v>16957</v>
      </c>
      <c r="K6470" s="7" t="s">
        <v>175</v>
      </c>
      <c r="L6470" s="201" t="s">
        <v>16835</v>
      </c>
      <c r="M6470" s="194"/>
      <c r="N6470" s="194"/>
    </row>
    <row r="6471">
      <c r="A6471" s="193" t="s">
        <v>25653</v>
      </c>
      <c r="B6471" s="7" t="s">
        <v>16582</v>
      </c>
      <c r="C6471" s="7" t="s">
        <v>16817</v>
      </c>
      <c r="D6471" s="194">
        <v>2020.0</v>
      </c>
      <c r="E6471" s="193"/>
      <c r="F6471" s="195" t="s">
        <v>25654</v>
      </c>
      <c r="G6471" s="196">
        <v>1.02829601E8</v>
      </c>
      <c r="H6471" s="197">
        <v>1.04</v>
      </c>
      <c r="I6471" s="7" t="s">
        <v>16815</v>
      </c>
      <c r="J6471" s="7" t="s">
        <v>16582</v>
      </c>
      <c r="K6471" s="7" t="s">
        <v>16817</v>
      </c>
      <c r="L6471" s="198" t="s">
        <v>65</v>
      </c>
      <c r="M6471" s="194"/>
      <c r="N6471" s="194"/>
    </row>
    <row r="6472">
      <c r="A6472" s="193" t="s">
        <v>25655</v>
      </c>
      <c r="B6472" s="7" t="s">
        <v>187</v>
      </c>
      <c r="C6472" s="7" t="s">
        <v>16846</v>
      </c>
      <c r="D6472" s="199"/>
      <c r="E6472" s="193"/>
      <c r="F6472" s="195" t="s">
        <v>25656</v>
      </c>
      <c r="G6472" s="196">
        <v>1.02715144E8</v>
      </c>
      <c r="H6472" s="197">
        <v>0.428</v>
      </c>
      <c r="I6472" s="7" t="s">
        <v>16815</v>
      </c>
      <c r="J6472" s="7" t="s">
        <v>187</v>
      </c>
      <c r="K6472" s="7" t="s">
        <v>16846</v>
      </c>
      <c r="L6472" s="198" t="s">
        <v>65</v>
      </c>
      <c r="M6472" s="199"/>
      <c r="N6472" s="199"/>
    </row>
    <row r="6473">
      <c r="A6473" s="193" t="s">
        <v>25655</v>
      </c>
      <c r="B6473" s="202" t="s">
        <v>16846</v>
      </c>
      <c r="C6473" s="193" t="s">
        <v>187</v>
      </c>
      <c r="D6473" s="206"/>
      <c r="E6473" s="193"/>
      <c r="F6473" s="203" t="s">
        <v>25656</v>
      </c>
      <c r="G6473" s="200">
        <v>1.02715144E8</v>
      </c>
      <c r="H6473" s="205">
        <v>0.373</v>
      </c>
      <c r="J6473" s="202" t="s">
        <v>16846</v>
      </c>
      <c r="K6473" s="193" t="s">
        <v>187</v>
      </c>
      <c r="L6473" s="193" t="s">
        <v>17471</v>
      </c>
      <c r="M6473" s="206"/>
      <c r="N6473" s="206"/>
    </row>
    <row r="6474">
      <c r="A6474" s="193" t="s">
        <v>25657</v>
      </c>
      <c r="B6474" s="7" t="s">
        <v>175</v>
      </c>
      <c r="C6474" s="7" t="s">
        <v>17350</v>
      </c>
      <c r="D6474" s="199"/>
      <c r="E6474" s="193"/>
      <c r="F6474" s="195" t="s">
        <v>25658</v>
      </c>
      <c r="G6474" s="196">
        <v>1.02027673E8</v>
      </c>
      <c r="H6474" s="197">
        <v>3.38</v>
      </c>
      <c r="I6474" s="7" t="s">
        <v>16908</v>
      </c>
      <c r="J6474" s="7" t="s">
        <v>175</v>
      </c>
      <c r="K6474" s="7" t="s">
        <v>17350</v>
      </c>
      <c r="L6474" s="198" t="s">
        <v>65</v>
      </c>
      <c r="M6474" s="199"/>
      <c r="N6474" s="199"/>
    </row>
    <row r="6475">
      <c r="A6475" s="193" t="s">
        <v>25659</v>
      </c>
      <c r="B6475" s="7" t="s">
        <v>175</v>
      </c>
      <c r="C6475" s="7" t="s">
        <v>17318</v>
      </c>
      <c r="D6475" s="194">
        <v>2021.0</v>
      </c>
      <c r="E6475" s="193"/>
      <c r="F6475" s="195" t="s">
        <v>25660</v>
      </c>
      <c r="G6475" s="196">
        <v>1.01836627E8</v>
      </c>
      <c r="H6475" s="197">
        <v>0.6703</v>
      </c>
      <c r="I6475" s="7" t="s">
        <v>16908</v>
      </c>
      <c r="J6475" s="7" t="s">
        <v>175</v>
      </c>
      <c r="K6475" s="7" t="s">
        <v>17318</v>
      </c>
      <c r="L6475" s="198" t="s">
        <v>65</v>
      </c>
      <c r="M6475" s="194"/>
      <c r="N6475" s="194"/>
    </row>
    <row r="6476">
      <c r="A6476" s="193" t="s">
        <v>25661</v>
      </c>
      <c r="B6476" s="7" t="s">
        <v>175</v>
      </c>
      <c r="C6476" s="7" t="s">
        <v>17233</v>
      </c>
      <c r="D6476" s="199"/>
      <c r="E6476" s="193"/>
      <c r="F6476" s="195" t="s">
        <v>25662</v>
      </c>
      <c r="G6476" s="196">
        <v>1.014507E8</v>
      </c>
      <c r="H6476" s="197">
        <v>5.07</v>
      </c>
      <c r="I6476" s="7" t="s">
        <v>17242</v>
      </c>
      <c r="J6476" s="7" t="s">
        <v>175</v>
      </c>
      <c r="K6476" s="7" t="s">
        <v>17233</v>
      </c>
      <c r="L6476" s="198" t="s">
        <v>65</v>
      </c>
      <c r="M6476" s="199"/>
      <c r="N6476" s="199"/>
    </row>
    <row r="6477">
      <c r="A6477" s="193" t="s">
        <v>25663</v>
      </c>
      <c r="B6477" s="7" t="s">
        <v>187</v>
      </c>
      <c r="C6477" s="7" t="s">
        <v>16846</v>
      </c>
      <c r="D6477" s="199"/>
      <c r="E6477" s="193"/>
      <c r="F6477" s="195" t="s">
        <v>25664</v>
      </c>
      <c r="G6477" s="196">
        <v>1.01251521E8</v>
      </c>
      <c r="H6477" s="197">
        <v>4.09</v>
      </c>
      <c r="I6477" s="7" t="s">
        <v>16815</v>
      </c>
      <c r="J6477" s="7" t="s">
        <v>187</v>
      </c>
      <c r="K6477" s="7" t="s">
        <v>16846</v>
      </c>
      <c r="L6477" s="198" t="s">
        <v>65</v>
      </c>
      <c r="M6477" s="199"/>
      <c r="N6477" s="199"/>
    </row>
    <row r="6478">
      <c r="A6478" s="193" t="s">
        <v>25665</v>
      </c>
      <c r="B6478" s="7" t="s">
        <v>17202</v>
      </c>
      <c r="C6478" s="7" t="s">
        <v>16838</v>
      </c>
      <c r="D6478" s="194">
        <v>1989.0</v>
      </c>
      <c r="E6478" s="193"/>
      <c r="F6478" s="195" t="s">
        <v>25666</v>
      </c>
      <c r="G6478" s="200">
        <v>1.01197731E8</v>
      </c>
      <c r="H6478" s="197">
        <v>3.21</v>
      </c>
      <c r="I6478" s="7" t="s">
        <v>16815</v>
      </c>
      <c r="J6478" s="7" t="s">
        <v>17202</v>
      </c>
      <c r="K6478" s="7" t="s">
        <v>16838</v>
      </c>
      <c r="L6478" s="201" t="s">
        <v>16835</v>
      </c>
      <c r="M6478" s="194"/>
      <c r="N6478" s="194"/>
    </row>
    <row r="6479">
      <c r="A6479" s="193" t="s">
        <v>25665</v>
      </c>
      <c r="B6479" s="7" t="s">
        <v>16838</v>
      </c>
      <c r="C6479" s="7" t="s">
        <v>17202</v>
      </c>
      <c r="D6479" s="194">
        <v>1989.0</v>
      </c>
      <c r="E6479" s="193"/>
      <c r="F6479" s="195" t="s">
        <v>25666</v>
      </c>
      <c r="G6479" s="196">
        <v>1.01197731E8</v>
      </c>
      <c r="H6479" s="197">
        <v>3.21</v>
      </c>
      <c r="I6479" s="7" t="s">
        <v>16815</v>
      </c>
      <c r="J6479" s="7" t="s">
        <v>16838</v>
      </c>
      <c r="K6479" s="7" t="s">
        <v>17202</v>
      </c>
      <c r="L6479" s="198" t="s">
        <v>65</v>
      </c>
      <c r="M6479" s="194"/>
      <c r="N6479" s="194"/>
    </row>
    <row r="6480">
      <c r="A6480" s="193" t="s">
        <v>25667</v>
      </c>
      <c r="B6480" s="7" t="s">
        <v>16582</v>
      </c>
      <c r="C6480" s="7" t="s">
        <v>16899</v>
      </c>
      <c r="D6480" s="199"/>
      <c r="E6480" s="193"/>
      <c r="F6480" s="195" t="s">
        <v>25668</v>
      </c>
      <c r="G6480" s="196">
        <v>1.01154886E8</v>
      </c>
      <c r="H6480" s="197">
        <v>7.14</v>
      </c>
      <c r="I6480" s="7" t="s">
        <v>16815</v>
      </c>
      <c r="J6480" s="7" t="s">
        <v>16582</v>
      </c>
      <c r="K6480" s="7" t="s">
        <v>16899</v>
      </c>
      <c r="L6480" s="198" t="s">
        <v>65</v>
      </c>
      <c r="M6480" s="199"/>
      <c r="N6480" s="199"/>
    </row>
    <row r="6481">
      <c r="A6481" s="193" t="s">
        <v>25669</v>
      </c>
      <c r="B6481" s="7" t="s">
        <v>187</v>
      </c>
      <c r="C6481" s="7" t="s">
        <v>16846</v>
      </c>
      <c r="D6481" s="199"/>
      <c r="E6481" s="193"/>
      <c r="F6481" s="195" t="s">
        <v>25670</v>
      </c>
      <c r="G6481" s="196">
        <v>1.01142576E8</v>
      </c>
      <c r="H6481" s="197">
        <v>8.0</v>
      </c>
      <c r="I6481" s="7" t="s">
        <v>16815</v>
      </c>
      <c r="J6481" s="7" t="s">
        <v>187</v>
      </c>
      <c r="K6481" s="7" t="s">
        <v>16846</v>
      </c>
      <c r="L6481" s="198" t="s">
        <v>65</v>
      </c>
      <c r="M6481" s="199"/>
      <c r="N6481" s="199"/>
    </row>
    <row r="6482">
      <c r="A6482" s="193" t="s">
        <v>25671</v>
      </c>
      <c r="B6482" s="7" t="s">
        <v>175</v>
      </c>
      <c r="C6482" s="7" t="s">
        <v>16942</v>
      </c>
      <c r="D6482" s="199"/>
      <c r="E6482" s="193"/>
      <c r="F6482" s="195" t="s">
        <v>25672</v>
      </c>
      <c r="G6482" s="196">
        <v>1.01022202E8</v>
      </c>
      <c r="H6482" s="197">
        <v>1.12</v>
      </c>
      <c r="I6482" s="7" t="s">
        <v>168</v>
      </c>
      <c r="J6482" s="7" t="s">
        <v>175</v>
      </c>
      <c r="K6482" s="7" t="s">
        <v>16942</v>
      </c>
      <c r="L6482" s="198" t="s">
        <v>65</v>
      </c>
      <c r="M6482" s="199"/>
      <c r="N6482" s="199"/>
    </row>
    <row r="6483">
      <c r="A6483" s="193" t="s">
        <v>25673</v>
      </c>
      <c r="B6483" s="7" t="s">
        <v>158</v>
      </c>
      <c r="C6483" s="7" t="s">
        <v>20100</v>
      </c>
      <c r="D6483" s="199"/>
      <c r="E6483" s="193"/>
      <c r="F6483" s="195" t="s">
        <v>25674</v>
      </c>
      <c r="G6483" s="196">
        <v>1.00895356E8</v>
      </c>
      <c r="H6483" s="197">
        <v>1.29</v>
      </c>
      <c r="I6483" s="7" t="s">
        <v>18397</v>
      </c>
      <c r="J6483" s="7" t="s">
        <v>158</v>
      </c>
      <c r="K6483" s="7" t="s">
        <v>20100</v>
      </c>
      <c r="L6483" s="198" t="s">
        <v>65</v>
      </c>
      <c r="M6483" s="199"/>
      <c r="N6483" s="199"/>
    </row>
    <row r="6484">
      <c r="A6484" s="193" t="s">
        <v>25675</v>
      </c>
      <c r="B6484" s="7" t="s">
        <v>16910</v>
      </c>
      <c r="C6484" s="7" t="s">
        <v>17119</v>
      </c>
      <c r="D6484" s="194">
        <v>2023.0</v>
      </c>
      <c r="E6484" s="193"/>
      <c r="F6484" s="195" t="s">
        <v>25676</v>
      </c>
      <c r="G6484" s="196">
        <v>1.008E8</v>
      </c>
      <c r="H6484" s="197">
        <v>3.15</v>
      </c>
      <c r="I6484" s="7" t="s">
        <v>18397</v>
      </c>
      <c r="J6484" s="7" t="s">
        <v>16910</v>
      </c>
      <c r="K6484" s="7" t="s">
        <v>17119</v>
      </c>
      <c r="L6484" s="198" t="s">
        <v>65</v>
      </c>
      <c r="M6484" s="194"/>
      <c r="N6484" s="194"/>
    </row>
    <row r="6485">
      <c r="A6485" s="193" t="s">
        <v>25677</v>
      </c>
      <c r="B6485" s="7" t="s">
        <v>175</v>
      </c>
      <c r="C6485" s="7" t="s">
        <v>16854</v>
      </c>
      <c r="D6485" s="194">
        <v>2007.0</v>
      </c>
      <c r="E6485" s="193"/>
      <c r="F6485" s="195" t="s">
        <v>25678</v>
      </c>
      <c r="G6485" s="196">
        <v>1.00658423E8</v>
      </c>
      <c r="H6485" s="197">
        <v>2.15</v>
      </c>
      <c r="I6485" s="7" t="s">
        <v>16908</v>
      </c>
      <c r="J6485" s="7" t="s">
        <v>175</v>
      </c>
      <c r="K6485" s="7" t="s">
        <v>16854</v>
      </c>
      <c r="L6485" s="198" t="s">
        <v>65</v>
      </c>
      <c r="M6485" s="194"/>
      <c r="N6485" s="194"/>
    </row>
    <row r="6486">
      <c r="A6486" s="193" t="s">
        <v>25677</v>
      </c>
      <c r="B6486" s="7" t="s">
        <v>16854</v>
      </c>
      <c r="C6486" s="7" t="s">
        <v>175</v>
      </c>
      <c r="D6486" s="194">
        <v>2007.0</v>
      </c>
      <c r="E6486" s="193"/>
      <c r="F6486" s="195" t="s">
        <v>25678</v>
      </c>
      <c r="G6486" s="200">
        <v>1.00658423E8</v>
      </c>
      <c r="H6486" s="197">
        <v>2.15</v>
      </c>
      <c r="I6486" s="7" t="s">
        <v>16815</v>
      </c>
      <c r="J6486" s="7" t="s">
        <v>16854</v>
      </c>
      <c r="K6486" s="7" t="s">
        <v>175</v>
      </c>
      <c r="L6486" s="201" t="s">
        <v>16835</v>
      </c>
      <c r="M6486" s="194"/>
      <c r="N6486" s="194"/>
    </row>
    <row r="6487">
      <c r="A6487" s="193" t="s">
        <v>25679</v>
      </c>
      <c r="B6487" s="7" t="s">
        <v>175</v>
      </c>
      <c r="C6487" s="7" t="s">
        <v>17025</v>
      </c>
      <c r="D6487" s="194">
        <v>2019.0</v>
      </c>
      <c r="E6487" s="193"/>
      <c r="F6487" s="195" t="s">
        <v>25680</v>
      </c>
      <c r="G6487" s="196">
        <v>1.00442805E8</v>
      </c>
      <c r="H6487" s="197">
        <v>0.5495</v>
      </c>
      <c r="I6487" s="7" t="s">
        <v>16892</v>
      </c>
      <c r="J6487" s="7" t="s">
        <v>175</v>
      </c>
      <c r="K6487" s="7" t="s">
        <v>17025</v>
      </c>
      <c r="L6487" s="198" t="s">
        <v>65</v>
      </c>
      <c r="M6487" s="194"/>
      <c r="N6487" s="194"/>
    </row>
    <row r="6488">
      <c r="A6488" s="193" t="s">
        <v>25679</v>
      </c>
      <c r="B6488" s="7" t="s">
        <v>17025</v>
      </c>
      <c r="C6488" s="7" t="s">
        <v>175</v>
      </c>
      <c r="D6488" s="194">
        <v>2019.0</v>
      </c>
      <c r="E6488" s="193"/>
      <c r="F6488" s="195" t="s">
        <v>25680</v>
      </c>
      <c r="G6488" s="200">
        <v>1.00442805E8</v>
      </c>
      <c r="H6488" s="197">
        <v>0.5495</v>
      </c>
      <c r="I6488" s="7" t="s">
        <v>16815</v>
      </c>
      <c r="J6488" s="7" t="s">
        <v>17025</v>
      </c>
      <c r="K6488" s="7" t="s">
        <v>175</v>
      </c>
      <c r="L6488" s="201" t="s">
        <v>16835</v>
      </c>
      <c r="M6488" s="194"/>
      <c r="N6488" s="194"/>
    </row>
    <row r="6489">
      <c r="A6489" s="193" t="s">
        <v>25681</v>
      </c>
      <c r="B6489" s="7" t="s">
        <v>187</v>
      </c>
      <c r="C6489" s="7" t="s">
        <v>16846</v>
      </c>
      <c r="D6489" s="199"/>
      <c r="E6489" s="193"/>
      <c r="F6489" s="195" t="s">
        <v>25682</v>
      </c>
      <c r="G6489" s="196">
        <v>1.0023677E8</v>
      </c>
      <c r="H6489" s="197">
        <v>2.5</v>
      </c>
      <c r="I6489" s="7" t="s">
        <v>16815</v>
      </c>
      <c r="J6489" s="7" t="s">
        <v>187</v>
      </c>
      <c r="K6489" s="7" t="s">
        <v>16846</v>
      </c>
      <c r="L6489" s="198" t="s">
        <v>65</v>
      </c>
      <c r="M6489" s="199"/>
      <c r="N6489" s="199"/>
    </row>
    <row r="6490">
      <c r="A6490" s="193" t="s">
        <v>25683</v>
      </c>
      <c r="B6490" s="7" t="s">
        <v>16838</v>
      </c>
      <c r="C6490" s="7" t="s">
        <v>17016</v>
      </c>
      <c r="D6490" s="194">
        <v>2021.0</v>
      </c>
      <c r="E6490" s="193"/>
      <c r="F6490" s="195" t="s">
        <v>25684</v>
      </c>
      <c r="G6490" s="196">
        <v>1.00171344E8</v>
      </c>
      <c r="H6490" s="197">
        <v>10.61</v>
      </c>
      <c r="I6490" s="7" t="s">
        <v>16815</v>
      </c>
      <c r="J6490" s="7" t="s">
        <v>16838</v>
      </c>
      <c r="K6490" s="7" t="s">
        <v>17016</v>
      </c>
      <c r="L6490" s="198" t="s">
        <v>65</v>
      </c>
      <c r="M6490" s="194"/>
      <c r="N6490" s="194"/>
    </row>
    <row r="6491">
      <c r="A6491" s="193" t="s">
        <v>25685</v>
      </c>
      <c r="B6491" s="7" t="s">
        <v>169</v>
      </c>
      <c r="C6491" s="7" t="s">
        <v>17545</v>
      </c>
      <c r="D6491" s="194">
        <v>2006.0</v>
      </c>
      <c r="E6491" s="193"/>
      <c r="F6491" s="195" t="s">
        <v>25686</v>
      </c>
      <c r="G6491" s="196">
        <v>9.9864E7</v>
      </c>
      <c r="H6491" s="197">
        <v>3.42</v>
      </c>
      <c r="I6491" s="7" t="s">
        <v>16815</v>
      </c>
      <c r="J6491" s="7" t="s">
        <v>169</v>
      </c>
      <c r="K6491" s="7" t="s">
        <v>17545</v>
      </c>
      <c r="L6491" s="198" t="s">
        <v>65</v>
      </c>
      <c r="M6491" s="194"/>
      <c r="N6491" s="194"/>
    </row>
    <row r="6492">
      <c r="A6492" s="193" t="s">
        <v>25687</v>
      </c>
      <c r="B6492" s="7" t="s">
        <v>16838</v>
      </c>
      <c r="C6492" s="7" t="s">
        <v>16867</v>
      </c>
      <c r="D6492" s="194">
        <v>2012.0</v>
      </c>
      <c r="E6492" s="193"/>
      <c r="F6492" s="195" t="s">
        <v>25688</v>
      </c>
      <c r="G6492" s="196">
        <v>9.9693292E7</v>
      </c>
      <c r="H6492" s="197">
        <v>5.3</v>
      </c>
      <c r="I6492" s="7" t="s">
        <v>16815</v>
      </c>
      <c r="J6492" s="7" t="s">
        <v>16838</v>
      </c>
      <c r="K6492" s="7" t="s">
        <v>16867</v>
      </c>
      <c r="L6492" s="198" t="s">
        <v>65</v>
      </c>
      <c r="M6492" s="194"/>
      <c r="N6492" s="194"/>
    </row>
    <row r="6493">
      <c r="A6493" s="193" t="s">
        <v>25689</v>
      </c>
      <c r="B6493" s="7" t="s">
        <v>187</v>
      </c>
      <c r="C6493" s="7" t="s">
        <v>16846</v>
      </c>
      <c r="D6493" s="194">
        <v>2020.0</v>
      </c>
      <c r="E6493" s="193"/>
      <c r="F6493" s="195" t="s">
        <v>25690</v>
      </c>
      <c r="G6493" s="196">
        <v>9.9588215E7</v>
      </c>
      <c r="H6493" s="197">
        <v>2.03</v>
      </c>
      <c r="I6493" s="7" t="s">
        <v>16815</v>
      </c>
      <c r="J6493" s="7" t="s">
        <v>187</v>
      </c>
      <c r="K6493" s="7" t="s">
        <v>16846</v>
      </c>
      <c r="L6493" s="198" t="s">
        <v>65</v>
      </c>
      <c r="M6493" s="194"/>
      <c r="N6493" s="194"/>
    </row>
    <row r="6494">
      <c r="A6494" s="193" t="s">
        <v>25691</v>
      </c>
      <c r="B6494" s="7" t="s">
        <v>187</v>
      </c>
      <c r="C6494" s="7" t="s">
        <v>16992</v>
      </c>
      <c r="D6494" s="194">
        <v>2020.0</v>
      </c>
      <c r="E6494" s="193"/>
      <c r="F6494" s="195" t="s">
        <v>25692</v>
      </c>
      <c r="G6494" s="196">
        <v>9.9567332E7</v>
      </c>
      <c r="H6494" s="197">
        <v>1.56</v>
      </c>
      <c r="I6494" s="7" t="s">
        <v>16815</v>
      </c>
      <c r="J6494" s="7" t="s">
        <v>187</v>
      </c>
      <c r="K6494" s="7" t="s">
        <v>16992</v>
      </c>
      <c r="L6494" s="198" t="s">
        <v>65</v>
      </c>
      <c r="M6494" s="194"/>
      <c r="N6494" s="194"/>
    </row>
    <row r="6495">
      <c r="A6495" s="193" t="s">
        <v>25693</v>
      </c>
      <c r="B6495" s="7" t="s">
        <v>16838</v>
      </c>
      <c r="C6495" s="7" t="s">
        <v>16867</v>
      </c>
      <c r="D6495" s="194">
        <v>2014.0</v>
      </c>
      <c r="E6495" s="193"/>
      <c r="F6495" s="195" t="s">
        <v>25694</v>
      </c>
      <c r="G6495" s="196">
        <v>9.9548818E7</v>
      </c>
      <c r="H6495" s="197">
        <v>10.2</v>
      </c>
      <c r="I6495" s="7" t="s">
        <v>16815</v>
      </c>
      <c r="J6495" s="7" t="s">
        <v>16838</v>
      </c>
      <c r="K6495" s="7" t="s">
        <v>16867</v>
      </c>
      <c r="L6495" s="198" t="s">
        <v>65</v>
      </c>
      <c r="M6495" s="194"/>
      <c r="N6495" s="194"/>
    </row>
    <row r="6496">
      <c r="A6496" s="193" t="s">
        <v>25695</v>
      </c>
      <c r="B6496" s="7" t="s">
        <v>19579</v>
      </c>
      <c r="C6496" s="7" t="s">
        <v>16838</v>
      </c>
      <c r="D6496" s="194">
        <v>1987.0</v>
      </c>
      <c r="E6496" s="193"/>
      <c r="F6496" s="195" t="s">
        <v>25696</v>
      </c>
      <c r="G6496" s="200">
        <v>9.9422049E7</v>
      </c>
      <c r="H6496" s="197">
        <v>3.05</v>
      </c>
      <c r="I6496" s="193" t="s">
        <v>16815</v>
      </c>
      <c r="J6496" s="7" t="s">
        <v>19579</v>
      </c>
      <c r="K6496" s="7" t="s">
        <v>16838</v>
      </c>
      <c r="L6496" s="201" t="s">
        <v>16835</v>
      </c>
      <c r="M6496" s="194"/>
      <c r="N6496" s="194"/>
    </row>
    <row r="6497">
      <c r="A6497" s="193" t="s">
        <v>25695</v>
      </c>
      <c r="B6497" s="7" t="s">
        <v>16838</v>
      </c>
      <c r="C6497" s="7" t="s">
        <v>19579</v>
      </c>
      <c r="D6497" s="194">
        <v>1987.0</v>
      </c>
      <c r="E6497" s="193"/>
      <c r="F6497" s="195" t="s">
        <v>25696</v>
      </c>
      <c r="G6497" s="196">
        <v>9.9422049E7</v>
      </c>
      <c r="H6497" s="197">
        <v>3.05</v>
      </c>
      <c r="I6497" s="7" t="s">
        <v>16815</v>
      </c>
      <c r="J6497" s="7" t="s">
        <v>16838</v>
      </c>
      <c r="K6497" s="7" t="s">
        <v>19579</v>
      </c>
      <c r="L6497" s="198" t="s">
        <v>65</v>
      </c>
      <c r="M6497" s="194"/>
      <c r="N6497" s="194"/>
    </row>
    <row r="6498">
      <c r="A6498" s="193" t="s">
        <v>25697</v>
      </c>
      <c r="B6498" s="7" t="s">
        <v>17202</v>
      </c>
      <c r="C6498" s="7" t="s">
        <v>16838</v>
      </c>
      <c r="D6498" s="199"/>
      <c r="E6498" s="193"/>
      <c r="F6498" s="195" t="s">
        <v>25698</v>
      </c>
      <c r="G6498" s="200">
        <v>9.9413357E7</v>
      </c>
      <c r="H6498" s="197">
        <v>10.87</v>
      </c>
      <c r="I6498" s="7" t="s">
        <v>16815</v>
      </c>
      <c r="J6498" s="7" t="s">
        <v>17202</v>
      </c>
      <c r="K6498" s="7" t="s">
        <v>16838</v>
      </c>
      <c r="L6498" s="201" t="s">
        <v>16835</v>
      </c>
      <c r="M6498" s="199"/>
      <c r="N6498" s="199"/>
    </row>
    <row r="6499">
      <c r="A6499" s="193" t="s">
        <v>25697</v>
      </c>
      <c r="B6499" s="7" t="s">
        <v>16838</v>
      </c>
      <c r="C6499" s="7" t="s">
        <v>17202</v>
      </c>
      <c r="D6499" s="199"/>
      <c r="E6499" s="193"/>
      <c r="F6499" s="195" t="s">
        <v>25698</v>
      </c>
      <c r="G6499" s="196">
        <v>9.9413357E7</v>
      </c>
      <c r="H6499" s="197">
        <v>10.87</v>
      </c>
      <c r="I6499" s="7" t="s">
        <v>16815</v>
      </c>
      <c r="J6499" s="7" t="s">
        <v>16838</v>
      </c>
      <c r="K6499" s="7" t="s">
        <v>17202</v>
      </c>
      <c r="L6499" s="198" t="s">
        <v>65</v>
      </c>
      <c r="M6499" s="199"/>
      <c r="N6499" s="199"/>
    </row>
    <row r="6500">
      <c r="A6500" s="193" t="s">
        <v>25699</v>
      </c>
      <c r="B6500" s="7" t="s">
        <v>16885</v>
      </c>
      <c r="C6500" s="7" t="s">
        <v>17726</v>
      </c>
      <c r="D6500" s="199"/>
      <c r="E6500" s="193"/>
      <c r="F6500" s="195" t="s">
        <v>25700</v>
      </c>
      <c r="G6500" s="196">
        <v>9.924946E7</v>
      </c>
      <c r="H6500" s="197">
        <v>0.99</v>
      </c>
      <c r="I6500" s="7" t="s">
        <v>16826</v>
      </c>
      <c r="J6500" s="7" t="s">
        <v>16885</v>
      </c>
      <c r="K6500" s="7" t="s">
        <v>17726</v>
      </c>
      <c r="L6500" s="198" t="s">
        <v>65</v>
      </c>
      <c r="M6500" s="199"/>
      <c r="N6500" s="199"/>
    </row>
    <row r="6501">
      <c r="A6501" s="193" t="s">
        <v>25699</v>
      </c>
      <c r="B6501" s="202" t="s">
        <v>17726</v>
      </c>
      <c r="C6501" s="193" t="s">
        <v>16885</v>
      </c>
      <c r="D6501" s="206"/>
      <c r="E6501" s="193"/>
      <c r="F6501" s="203" t="s">
        <v>25700</v>
      </c>
      <c r="G6501" s="200">
        <v>9.924946E7</v>
      </c>
      <c r="H6501" s="205">
        <v>0.428</v>
      </c>
      <c r="J6501" s="202" t="s">
        <v>17726</v>
      </c>
      <c r="K6501" s="193" t="s">
        <v>16885</v>
      </c>
      <c r="L6501" s="193" t="s">
        <v>17471</v>
      </c>
      <c r="M6501" s="206"/>
      <c r="N6501" s="206"/>
    </row>
    <row r="6502">
      <c r="A6502" s="193" t="s">
        <v>25701</v>
      </c>
      <c r="B6502" s="7" t="s">
        <v>187</v>
      </c>
      <c r="C6502" s="7" t="s">
        <v>16846</v>
      </c>
      <c r="D6502" s="199"/>
      <c r="E6502" s="193"/>
      <c r="F6502" s="195" t="s">
        <v>25702</v>
      </c>
      <c r="G6502" s="196">
        <v>9.9005925E7</v>
      </c>
      <c r="H6502" s="197">
        <v>1.23</v>
      </c>
      <c r="I6502" s="7" t="s">
        <v>16815</v>
      </c>
      <c r="J6502" s="7" t="s">
        <v>187</v>
      </c>
      <c r="K6502" s="7" t="s">
        <v>16846</v>
      </c>
      <c r="L6502" s="198" t="s">
        <v>65</v>
      </c>
      <c r="M6502" s="199"/>
      <c r="N6502" s="199"/>
    </row>
    <row r="6503">
      <c r="A6503" s="193" t="s">
        <v>25703</v>
      </c>
      <c r="B6503" s="7" t="s">
        <v>187</v>
      </c>
      <c r="C6503" s="7" t="s">
        <v>16992</v>
      </c>
      <c r="D6503" s="194">
        <v>2021.0</v>
      </c>
      <c r="E6503" s="193"/>
      <c r="F6503" s="195" t="s">
        <v>25704</v>
      </c>
      <c r="G6503" s="196">
        <v>9.8993086E7</v>
      </c>
      <c r="H6503" s="197">
        <v>1.98</v>
      </c>
      <c r="I6503" s="7" t="s">
        <v>16815</v>
      </c>
      <c r="J6503" s="7" t="s">
        <v>187</v>
      </c>
      <c r="K6503" s="7" t="s">
        <v>16992</v>
      </c>
      <c r="L6503" s="198" t="s">
        <v>65</v>
      </c>
      <c r="M6503" s="194"/>
      <c r="N6503" s="194"/>
    </row>
    <row r="6504">
      <c r="A6504" s="193" t="s">
        <v>25705</v>
      </c>
      <c r="B6504" s="7" t="s">
        <v>175</v>
      </c>
      <c r="C6504" s="7" t="s">
        <v>17069</v>
      </c>
      <c r="D6504" s="199"/>
      <c r="E6504" s="193"/>
      <c r="F6504" s="195" t="s">
        <v>25706</v>
      </c>
      <c r="G6504" s="196">
        <v>9.886889E7</v>
      </c>
      <c r="H6504" s="197">
        <v>1.6</v>
      </c>
      <c r="I6504" s="7" t="s">
        <v>16856</v>
      </c>
      <c r="J6504" s="7" t="s">
        <v>175</v>
      </c>
      <c r="K6504" s="7" t="s">
        <v>17069</v>
      </c>
      <c r="L6504" s="198" t="s">
        <v>65</v>
      </c>
      <c r="M6504" s="199"/>
      <c r="N6504" s="199"/>
    </row>
    <row r="6505">
      <c r="A6505" s="193" t="s">
        <v>25707</v>
      </c>
      <c r="B6505" s="7" t="s">
        <v>16838</v>
      </c>
      <c r="C6505" s="7" t="s">
        <v>16867</v>
      </c>
      <c r="D6505" s="199"/>
      <c r="E6505" s="193"/>
      <c r="F6505" s="195" t="s">
        <v>25708</v>
      </c>
      <c r="G6505" s="196">
        <v>9.8829119E7</v>
      </c>
      <c r="H6505" s="197">
        <v>18.93</v>
      </c>
      <c r="I6505" s="7" t="s">
        <v>16815</v>
      </c>
      <c r="J6505" s="7" t="s">
        <v>16838</v>
      </c>
      <c r="K6505" s="7" t="s">
        <v>16867</v>
      </c>
      <c r="L6505" s="198" t="s">
        <v>65</v>
      </c>
      <c r="M6505" s="199"/>
      <c r="N6505" s="199"/>
    </row>
    <row r="6506">
      <c r="A6506" s="193" t="s">
        <v>25709</v>
      </c>
      <c r="B6506" s="7" t="s">
        <v>16582</v>
      </c>
      <c r="C6506" s="7" t="s">
        <v>16817</v>
      </c>
      <c r="D6506" s="194">
        <v>2014.0</v>
      </c>
      <c r="E6506" s="193"/>
      <c r="F6506" s="195" t="s">
        <v>25710</v>
      </c>
      <c r="G6506" s="196">
        <v>9.8814511E7</v>
      </c>
      <c r="H6506" s="197">
        <v>1.52</v>
      </c>
      <c r="I6506" s="7" t="s">
        <v>16815</v>
      </c>
      <c r="J6506" s="7" t="s">
        <v>16582</v>
      </c>
      <c r="K6506" s="7" t="s">
        <v>16817</v>
      </c>
      <c r="L6506" s="198" t="s">
        <v>65</v>
      </c>
      <c r="M6506" s="194"/>
      <c r="N6506" s="194"/>
    </row>
    <row r="6507">
      <c r="A6507" s="193" t="s">
        <v>25711</v>
      </c>
      <c r="B6507" s="7" t="s">
        <v>16838</v>
      </c>
      <c r="C6507" s="7" t="s">
        <v>18956</v>
      </c>
      <c r="D6507" s="194">
        <v>2022.0</v>
      </c>
      <c r="E6507" s="193"/>
      <c r="F6507" s="195" t="s">
        <v>25712</v>
      </c>
      <c r="G6507" s="196">
        <v>9.8633905E7</v>
      </c>
      <c r="H6507" s="197">
        <v>10.75</v>
      </c>
      <c r="I6507" s="7" t="s">
        <v>16815</v>
      </c>
      <c r="J6507" s="7" t="s">
        <v>16838</v>
      </c>
      <c r="K6507" s="7" t="s">
        <v>18956</v>
      </c>
      <c r="L6507" s="198" t="s">
        <v>65</v>
      </c>
      <c r="M6507" s="194"/>
      <c r="N6507" s="194"/>
    </row>
    <row r="6508">
      <c r="A6508" s="193" t="s">
        <v>25713</v>
      </c>
      <c r="B6508" s="7" t="s">
        <v>187</v>
      </c>
      <c r="C6508" s="7" t="s">
        <v>16858</v>
      </c>
      <c r="D6508" s="194">
        <v>2021.0</v>
      </c>
      <c r="E6508" s="193"/>
      <c r="F6508" s="195" t="s">
        <v>25714</v>
      </c>
      <c r="G6508" s="196">
        <v>9.8618782E7</v>
      </c>
      <c r="H6508" s="197">
        <v>5.4136</v>
      </c>
      <c r="I6508" s="7" t="s">
        <v>16815</v>
      </c>
      <c r="J6508" s="7" t="s">
        <v>187</v>
      </c>
      <c r="K6508" s="7" t="s">
        <v>16858</v>
      </c>
      <c r="L6508" s="198" t="s">
        <v>65</v>
      </c>
      <c r="M6508" s="194"/>
      <c r="N6508" s="194"/>
    </row>
    <row r="6509">
      <c r="A6509" s="193" t="s">
        <v>25715</v>
      </c>
      <c r="B6509" s="7" t="s">
        <v>187</v>
      </c>
      <c r="C6509" s="7" t="s">
        <v>16846</v>
      </c>
      <c r="D6509" s="194">
        <v>2018.0</v>
      </c>
      <c r="E6509" s="193"/>
      <c r="F6509" s="195" t="s">
        <v>25716</v>
      </c>
      <c r="G6509" s="196">
        <v>9.8509041E7</v>
      </c>
      <c r="H6509" s="197">
        <v>3.84</v>
      </c>
      <c r="I6509" s="7" t="s">
        <v>16815</v>
      </c>
      <c r="J6509" s="7" t="s">
        <v>187</v>
      </c>
      <c r="K6509" s="7" t="s">
        <v>16846</v>
      </c>
      <c r="L6509" s="198" t="s">
        <v>65</v>
      </c>
      <c r="M6509" s="194"/>
      <c r="N6509" s="194"/>
    </row>
    <row r="6510">
      <c r="A6510" s="193" t="s">
        <v>25717</v>
      </c>
      <c r="B6510" s="7" t="s">
        <v>169</v>
      </c>
      <c r="C6510" s="7" t="s">
        <v>17321</v>
      </c>
      <c r="D6510" s="194">
        <v>2015.0</v>
      </c>
      <c r="E6510" s="193"/>
      <c r="F6510" s="195" t="s">
        <v>25718</v>
      </c>
      <c r="G6510" s="196">
        <v>9.8108435E7</v>
      </c>
      <c r="H6510" s="197">
        <v>0.91</v>
      </c>
      <c r="I6510" s="7" t="s">
        <v>16815</v>
      </c>
      <c r="J6510" s="7" t="s">
        <v>169</v>
      </c>
      <c r="K6510" s="7" t="s">
        <v>17321</v>
      </c>
      <c r="L6510" s="198" t="s">
        <v>65</v>
      </c>
      <c r="M6510" s="194"/>
      <c r="N6510" s="194"/>
    </row>
    <row r="6511">
      <c r="A6511" s="193" t="s">
        <v>25719</v>
      </c>
      <c r="B6511" s="7" t="s">
        <v>16838</v>
      </c>
      <c r="C6511" s="7" t="s">
        <v>17347</v>
      </c>
      <c r="D6511" s="199"/>
      <c r="E6511" s="193"/>
      <c r="F6511" s="195" t="s">
        <v>25720</v>
      </c>
      <c r="G6511" s="196">
        <v>9.799736E7</v>
      </c>
      <c r="H6511" s="197">
        <v>26.17</v>
      </c>
      <c r="I6511" s="7" t="s">
        <v>16815</v>
      </c>
      <c r="J6511" s="7" t="s">
        <v>16838</v>
      </c>
      <c r="K6511" s="7" t="s">
        <v>17347</v>
      </c>
      <c r="L6511" s="198" t="s">
        <v>65</v>
      </c>
      <c r="M6511" s="199"/>
      <c r="N6511" s="199"/>
    </row>
    <row r="6512">
      <c r="A6512" s="193" t="s">
        <v>25721</v>
      </c>
      <c r="B6512" s="7" t="s">
        <v>187</v>
      </c>
      <c r="C6512" s="7" t="s">
        <v>16992</v>
      </c>
      <c r="D6512" s="199"/>
      <c r="E6512" s="193"/>
      <c r="F6512" s="195" t="s">
        <v>25722</v>
      </c>
      <c r="G6512" s="196">
        <v>9.7815542E7</v>
      </c>
      <c r="H6512" s="197">
        <v>22.0</v>
      </c>
      <c r="I6512" s="7" t="s">
        <v>16815</v>
      </c>
      <c r="J6512" s="7" t="s">
        <v>187</v>
      </c>
      <c r="K6512" s="7" t="s">
        <v>16992</v>
      </c>
      <c r="L6512" s="198" t="s">
        <v>65</v>
      </c>
      <c r="M6512" s="199"/>
      <c r="N6512" s="199"/>
    </row>
    <row r="6513">
      <c r="A6513" s="193" t="s">
        <v>25723</v>
      </c>
      <c r="D6513" s="194">
        <v>2023.0</v>
      </c>
      <c r="E6513" s="193"/>
      <c r="F6513" s="195" t="s">
        <v>25724</v>
      </c>
      <c r="G6513" s="196">
        <v>9.78E7</v>
      </c>
      <c r="H6513" s="197">
        <v>6.52</v>
      </c>
      <c r="I6513" s="7" t="s">
        <v>16815</v>
      </c>
      <c r="L6513" s="198" t="s">
        <v>65</v>
      </c>
      <c r="M6513" s="194"/>
      <c r="N6513" s="194"/>
    </row>
    <row r="6514">
      <c r="A6514" s="193" t="s">
        <v>25725</v>
      </c>
      <c r="B6514" s="7" t="s">
        <v>187</v>
      </c>
      <c r="C6514" s="7" t="s">
        <v>16858</v>
      </c>
      <c r="D6514" s="199"/>
      <c r="E6514" s="193"/>
      <c r="F6514" s="195" t="s">
        <v>25726</v>
      </c>
      <c r="G6514" s="196">
        <v>9.7755846E7</v>
      </c>
      <c r="H6514" s="197">
        <v>1.34</v>
      </c>
      <c r="I6514" s="7" t="s">
        <v>16815</v>
      </c>
      <c r="J6514" s="7" t="s">
        <v>187</v>
      </c>
      <c r="K6514" s="7" t="s">
        <v>16858</v>
      </c>
      <c r="L6514" s="198" t="s">
        <v>65</v>
      </c>
      <c r="M6514" s="199"/>
      <c r="N6514" s="199"/>
    </row>
    <row r="6515">
      <c r="A6515" s="193" t="s">
        <v>25725</v>
      </c>
      <c r="B6515" s="202" t="s">
        <v>16858</v>
      </c>
      <c r="C6515" s="193" t="s">
        <v>187</v>
      </c>
      <c r="D6515" s="206"/>
      <c r="E6515" s="193"/>
      <c r="F6515" s="203" t="s">
        <v>25726</v>
      </c>
      <c r="G6515" s="200">
        <v>9.7755846E7</v>
      </c>
      <c r="H6515" s="205">
        <v>0.99</v>
      </c>
      <c r="J6515" s="202" t="s">
        <v>16858</v>
      </c>
      <c r="K6515" s="193" t="s">
        <v>187</v>
      </c>
      <c r="L6515" s="193" t="s">
        <v>17471</v>
      </c>
      <c r="M6515" s="206"/>
      <c r="N6515" s="206"/>
    </row>
    <row r="6516">
      <c r="A6516" s="193" t="s">
        <v>25727</v>
      </c>
      <c r="B6516" s="7" t="s">
        <v>187</v>
      </c>
      <c r="C6516" s="7" t="s">
        <v>16969</v>
      </c>
      <c r="D6516" s="199"/>
      <c r="E6516" s="193"/>
      <c r="F6516" s="195" t="s">
        <v>25728</v>
      </c>
      <c r="G6516" s="196">
        <v>9.7732435E7</v>
      </c>
      <c r="H6516" s="197">
        <v>2.14</v>
      </c>
      <c r="I6516" s="7" t="s">
        <v>16815</v>
      </c>
      <c r="J6516" s="7" t="s">
        <v>187</v>
      </c>
      <c r="K6516" s="7" t="s">
        <v>16969</v>
      </c>
      <c r="L6516" s="198" t="s">
        <v>65</v>
      </c>
      <c r="M6516" s="199"/>
      <c r="N6516" s="199"/>
    </row>
    <row r="6517">
      <c r="A6517" s="193" t="s">
        <v>25729</v>
      </c>
      <c r="B6517" s="7" t="s">
        <v>175</v>
      </c>
      <c r="C6517" s="7" t="s">
        <v>17168</v>
      </c>
      <c r="D6517" s="194">
        <v>2021.0</v>
      </c>
      <c r="E6517" s="193"/>
      <c r="F6517" s="195" t="s">
        <v>25730</v>
      </c>
      <c r="G6517" s="196">
        <v>9.7681735E7</v>
      </c>
      <c r="H6517" s="197">
        <v>8.87</v>
      </c>
      <c r="I6517" s="7" t="s">
        <v>17242</v>
      </c>
      <c r="J6517" s="7" t="s">
        <v>175</v>
      </c>
      <c r="K6517" s="7" t="s">
        <v>17168</v>
      </c>
      <c r="L6517" s="198" t="s">
        <v>65</v>
      </c>
      <c r="M6517" s="194"/>
      <c r="N6517" s="194"/>
    </row>
    <row r="6518">
      <c r="A6518" s="193" t="s">
        <v>25731</v>
      </c>
      <c r="B6518" s="7" t="s">
        <v>187</v>
      </c>
      <c r="C6518" s="7" t="s">
        <v>16846</v>
      </c>
      <c r="D6518" s="194">
        <v>2019.0</v>
      </c>
      <c r="E6518" s="193"/>
      <c r="F6518" s="195" t="s">
        <v>25732</v>
      </c>
      <c r="G6518" s="196">
        <v>9.7143858E7</v>
      </c>
      <c r="H6518" s="197">
        <v>2.91</v>
      </c>
      <c r="I6518" s="7" t="s">
        <v>16815</v>
      </c>
      <c r="J6518" s="7" t="s">
        <v>187</v>
      </c>
      <c r="K6518" s="7" t="s">
        <v>16846</v>
      </c>
      <c r="L6518" s="198" t="s">
        <v>65</v>
      </c>
      <c r="M6518" s="194"/>
      <c r="N6518" s="194"/>
    </row>
    <row r="6519">
      <c r="A6519" s="193" t="s">
        <v>25733</v>
      </c>
      <c r="B6519" s="7" t="s">
        <v>175</v>
      </c>
      <c r="C6519" s="7" t="s">
        <v>17069</v>
      </c>
      <c r="D6519" s="194">
        <v>2023.0</v>
      </c>
      <c r="E6519" s="193"/>
      <c r="F6519" s="195" t="s">
        <v>25734</v>
      </c>
      <c r="G6519" s="196">
        <v>9.7134155E7</v>
      </c>
      <c r="H6519" s="197">
        <v>1.39</v>
      </c>
      <c r="I6519" s="7" t="s">
        <v>23391</v>
      </c>
      <c r="J6519" s="7" t="s">
        <v>175</v>
      </c>
      <c r="K6519" s="7" t="s">
        <v>17069</v>
      </c>
      <c r="L6519" s="198" t="s">
        <v>65</v>
      </c>
      <c r="M6519" s="194"/>
      <c r="N6519" s="194"/>
    </row>
    <row r="6520">
      <c r="A6520" s="193" t="s">
        <v>25733</v>
      </c>
      <c r="B6520" s="7" t="s">
        <v>17069</v>
      </c>
      <c r="C6520" s="7" t="s">
        <v>175</v>
      </c>
      <c r="D6520" s="194">
        <v>2023.0</v>
      </c>
      <c r="E6520" s="193"/>
      <c r="F6520" s="195" t="s">
        <v>25734</v>
      </c>
      <c r="G6520" s="200">
        <v>9.7134155E7</v>
      </c>
      <c r="H6520" s="197">
        <v>1.39</v>
      </c>
      <c r="I6520" s="7" t="s">
        <v>16815</v>
      </c>
      <c r="J6520" s="7" t="s">
        <v>17069</v>
      </c>
      <c r="K6520" s="7" t="s">
        <v>175</v>
      </c>
      <c r="L6520" s="201" t="s">
        <v>16835</v>
      </c>
      <c r="M6520" s="194"/>
      <c r="N6520" s="194"/>
    </row>
    <row r="6521">
      <c r="A6521" s="193" t="s">
        <v>25735</v>
      </c>
      <c r="D6521" s="199"/>
      <c r="E6521" s="193"/>
      <c r="F6521" s="195" t="s">
        <v>25736</v>
      </c>
      <c r="G6521" s="196">
        <v>9.7090509E7</v>
      </c>
      <c r="H6521" s="197">
        <v>5.98</v>
      </c>
      <c r="I6521" s="7" t="s">
        <v>16815</v>
      </c>
      <c r="L6521" s="198" t="s">
        <v>65</v>
      </c>
      <c r="M6521" s="199"/>
      <c r="N6521" s="199"/>
    </row>
    <row r="6522">
      <c r="A6522" s="193" t="s">
        <v>25737</v>
      </c>
      <c r="B6522" s="7" t="s">
        <v>187</v>
      </c>
      <c r="C6522" s="7" t="s">
        <v>16992</v>
      </c>
      <c r="D6522" s="194">
        <v>2020.0</v>
      </c>
      <c r="E6522" s="193"/>
      <c r="F6522" s="195" t="s">
        <v>25738</v>
      </c>
      <c r="G6522" s="196">
        <v>9.6909164E7</v>
      </c>
      <c r="H6522" s="197">
        <v>2.0</v>
      </c>
      <c r="I6522" s="7" t="s">
        <v>16815</v>
      </c>
      <c r="J6522" s="7" t="s">
        <v>187</v>
      </c>
      <c r="K6522" s="7" t="s">
        <v>16992</v>
      </c>
      <c r="L6522" s="198" t="s">
        <v>65</v>
      </c>
      <c r="M6522" s="194"/>
      <c r="N6522" s="194"/>
    </row>
    <row r="6523">
      <c r="A6523" s="193" t="s">
        <v>25739</v>
      </c>
      <c r="B6523" s="7" t="s">
        <v>175</v>
      </c>
      <c r="C6523" s="7" t="s">
        <v>16972</v>
      </c>
      <c r="D6523" s="199"/>
      <c r="E6523" s="193"/>
      <c r="F6523" s="195" t="s">
        <v>25740</v>
      </c>
      <c r="G6523" s="196">
        <v>9.6703342E7</v>
      </c>
      <c r="H6523" s="197">
        <v>19.6</v>
      </c>
      <c r="I6523" s="7" t="s">
        <v>16908</v>
      </c>
      <c r="J6523" s="7" t="s">
        <v>175</v>
      </c>
      <c r="K6523" s="7" t="s">
        <v>16972</v>
      </c>
      <c r="L6523" s="198" t="s">
        <v>65</v>
      </c>
      <c r="M6523" s="199"/>
      <c r="N6523" s="199"/>
    </row>
    <row r="6524">
      <c r="A6524" s="193" t="s">
        <v>25741</v>
      </c>
      <c r="B6524" s="7" t="s">
        <v>187</v>
      </c>
      <c r="C6524" s="7" t="s">
        <v>16992</v>
      </c>
      <c r="D6524" s="194">
        <v>2022.0</v>
      </c>
      <c r="E6524" s="193"/>
      <c r="F6524" s="195" t="s">
        <v>25742</v>
      </c>
      <c r="G6524" s="196">
        <v>9.6569008E7</v>
      </c>
      <c r="H6524" s="197">
        <v>4.375</v>
      </c>
      <c r="I6524" s="7" t="s">
        <v>16815</v>
      </c>
      <c r="J6524" s="7" t="s">
        <v>187</v>
      </c>
      <c r="K6524" s="7" t="s">
        <v>16992</v>
      </c>
      <c r="L6524" s="198" t="s">
        <v>65</v>
      </c>
      <c r="M6524" s="194"/>
      <c r="N6524" s="194"/>
    </row>
    <row r="6525">
      <c r="A6525" s="193" t="s">
        <v>25743</v>
      </c>
      <c r="B6525" s="7" t="s">
        <v>187</v>
      </c>
      <c r="C6525" s="7" t="s">
        <v>16846</v>
      </c>
      <c r="D6525" s="194">
        <v>2014.0</v>
      </c>
      <c r="E6525" s="193"/>
      <c r="F6525" s="195" t="s">
        <v>25744</v>
      </c>
      <c r="G6525" s="196">
        <v>9.6482204E7</v>
      </c>
      <c r="H6525" s="197">
        <v>2.395</v>
      </c>
      <c r="I6525" s="7" t="s">
        <v>16815</v>
      </c>
      <c r="J6525" s="7" t="s">
        <v>187</v>
      </c>
      <c r="K6525" s="7" t="s">
        <v>16846</v>
      </c>
      <c r="L6525" s="198" t="s">
        <v>65</v>
      </c>
      <c r="M6525" s="194"/>
      <c r="N6525" s="194"/>
    </row>
    <row r="6526">
      <c r="A6526" s="193" t="s">
        <v>25745</v>
      </c>
      <c r="B6526" s="7" t="s">
        <v>187</v>
      </c>
      <c r="C6526" s="7" t="s">
        <v>17122</v>
      </c>
      <c r="D6526" s="194">
        <v>1981.0</v>
      </c>
      <c r="E6526" s="193"/>
      <c r="F6526" s="195" t="s">
        <v>25746</v>
      </c>
      <c r="G6526" s="196">
        <v>9.6352928E7</v>
      </c>
      <c r="H6526" s="197">
        <v>14.1</v>
      </c>
      <c r="I6526" s="7" t="s">
        <v>16815</v>
      </c>
      <c r="J6526" s="7" t="s">
        <v>187</v>
      </c>
      <c r="K6526" s="7" t="s">
        <v>17122</v>
      </c>
      <c r="L6526" s="198" t="s">
        <v>65</v>
      </c>
      <c r="M6526" s="194"/>
      <c r="N6526" s="194"/>
    </row>
    <row r="6527">
      <c r="A6527" s="193" t="s">
        <v>25747</v>
      </c>
      <c r="B6527" s="7" t="s">
        <v>16838</v>
      </c>
      <c r="C6527" s="7" t="s">
        <v>17016</v>
      </c>
      <c r="D6527" s="194">
        <v>2011.0</v>
      </c>
      <c r="E6527" s="193"/>
      <c r="F6527" s="195" t="s">
        <v>25748</v>
      </c>
      <c r="G6527" s="196">
        <v>9.6260846E7</v>
      </c>
      <c r="H6527" s="197">
        <v>3.79</v>
      </c>
      <c r="I6527" s="7" t="s">
        <v>16815</v>
      </c>
      <c r="J6527" s="7" t="s">
        <v>16838</v>
      </c>
      <c r="K6527" s="7" t="s">
        <v>17016</v>
      </c>
      <c r="L6527" s="198" t="s">
        <v>65</v>
      </c>
      <c r="M6527" s="194"/>
      <c r="N6527" s="194"/>
    </row>
    <row r="6528">
      <c r="A6528" s="193" t="s">
        <v>25749</v>
      </c>
      <c r="B6528" s="7" t="s">
        <v>169</v>
      </c>
      <c r="C6528" s="7" t="s">
        <v>17321</v>
      </c>
      <c r="D6528" s="199"/>
      <c r="E6528" s="193"/>
      <c r="F6528" s="195" t="s">
        <v>25750</v>
      </c>
      <c r="G6528" s="196">
        <v>9.6127663E7</v>
      </c>
      <c r="H6528" s="197">
        <v>2.02</v>
      </c>
      <c r="I6528" s="7" t="s">
        <v>16815</v>
      </c>
      <c r="J6528" s="7" t="s">
        <v>169</v>
      </c>
      <c r="K6528" s="7" t="s">
        <v>17321</v>
      </c>
      <c r="L6528" s="198" t="s">
        <v>65</v>
      </c>
      <c r="M6528" s="199"/>
      <c r="N6528" s="199"/>
    </row>
    <row r="6529">
      <c r="A6529" s="193" t="s">
        <v>25751</v>
      </c>
      <c r="B6529" s="7" t="s">
        <v>158</v>
      </c>
      <c r="C6529" s="7" t="s">
        <v>18063</v>
      </c>
      <c r="D6529" s="194">
        <v>2002.0</v>
      </c>
      <c r="E6529" s="193"/>
      <c r="F6529" s="195" t="s">
        <v>25752</v>
      </c>
      <c r="G6529" s="196">
        <v>9.6119571E7</v>
      </c>
      <c r="H6529" s="197">
        <v>2.47</v>
      </c>
      <c r="I6529" s="7" t="s">
        <v>17098</v>
      </c>
      <c r="J6529" s="7" t="s">
        <v>158</v>
      </c>
      <c r="K6529" s="7" t="s">
        <v>18063</v>
      </c>
      <c r="L6529" s="198" t="s">
        <v>65</v>
      </c>
      <c r="M6529" s="194"/>
      <c r="N6529" s="194"/>
    </row>
    <row r="6530">
      <c r="A6530" s="193" t="s">
        <v>25753</v>
      </c>
      <c r="B6530" s="7" t="s">
        <v>175</v>
      </c>
      <c r="C6530" s="7" t="s">
        <v>17480</v>
      </c>
      <c r="D6530" s="199"/>
      <c r="E6530" s="193"/>
      <c r="F6530" s="195" t="s">
        <v>25754</v>
      </c>
      <c r="G6530" s="196">
        <v>9.611113E7</v>
      </c>
      <c r="H6530" s="197">
        <v>1.28</v>
      </c>
      <c r="I6530" s="7" t="s">
        <v>16892</v>
      </c>
      <c r="J6530" s="7" t="s">
        <v>175</v>
      </c>
      <c r="K6530" s="7" t="s">
        <v>17480</v>
      </c>
      <c r="L6530" s="198" t="s">
        <v>65</v>
      </c>
      <c r="M6530" s="199"/>
      <c r="N6530" s="199"/>
    </row>
    <row r="6531">
      <c r="A6531" s="193" t="s">
        <v>25755</v>
      </c>
      <c r="B6531" s="7" t="s">
        <v>16582</v>
      </c>
      <c r="C6531" s="7" t="s">
        <v>16930</v>
      </c>
      <c r="D6531" s="199"/>
      <c r="E6531" s="193"/>
      <c r="F6531" s="195" t="s">
        <v>25756</v>
      </c>
      <c r="G6531" s="196">
        <v>9.6098004E7</v>
      </c>
      <c r="H6531" s="197">
        <v>5.7</v>
      </c>
      <c r="I6531" s="7" t="s">
        <v>16815</v>
      </c>
      <c r="J6531" s="7" t="s">
        <v>16582</v>
      </c>
      <c r="K6531" s="7" t="s">
        <v>16930</v>
      </c>
      <c r="L6531" s="198" t="s">
        <v>65</v>
      </c>
      <c r="M6531" s="199"/>
      <c r="N6531" s="199"/>
    </row>
    <row r="6532">
      <c r="A6532" s="193" t="s">
        <v>25757</v>
      </c>
      <c r="B6532" s="7" t="s">
        <v>16582</v>
      </c>
      <c r="C6532" s="7" t="s">
        <v>16930</v>
      </c>
      <c r="D6532" s="194">
        <v>2021.0</v>
      </c>
      <c r="E6532" s="193"/>
      <c r="F6532" s="195" t="s">
        <v>25758</v>
      </c>
      <c r="G6532" s="196">
        <v>9.567528E7</v>
      </c>
      <c r="H6532" s="197">
        <v>10.75</v>
      </c>
      <c r="I6532" s="7" t="s">
        <v>16815</v>
      </c>
      <c r="J6532" s="7" t="s">
        <v>16582</v>
      </c>
      <c r="K6532" s="7" t="s">
        <v>16930</v>
      </c>
      <c r="L6532" s="198" t="s">
        <v>65</v>
      </c>
      <c r="M6532" s="194"/>
      <c r="N6532" s="194"/>
    </row>
    <row r="6533">
      <c r="A6533" s="193" t="s">
        <v>25757</v>
      </c>
      <c r="B6533" s="202" t="s">
        <v>16930</v>
      </c>
      <c r="C6533" s="193" t="s">
        <v>16582</v>
      </c>
      <c r="D6533" s="193">
        <v>2021.0</v>
      </c>
      <c r="E6533" s="193"/>
      <c r="F6533" s="203" t="s">
        <v>25758</v>
      </c>
      <c r="G6533" s="200">
        <v>9.567528E7</v>
      </c>
      <c r="H6533" s="205">
        <v>1.34</v>
      </c>
      <c r="J6533" s="202" t="s">
        <v>16930</v>
      </c>
      <c r="K6533" s="193" t="s">
        <v>16582</v>
      </c>
      <c r="L6533" s="193" t="s">
        <v>17471</v>
      </c>
      <c r="M6533" s="193"/>
      <c r="N6533" s="193"/>
    </row>
    <row r="6534">
      <c r="A6534" s="193" t="s">
        <v>25759</v>
      </c>
      <c r="B6534" s="7" t="s">
        <v>169</v>
      </c>
      <c r="C6534" s="7" t="s">
        <v>17827</v>
      </c>
      <c r="D6534" s="194">
        <v>2020.0</v>
      </c>
      <c r="E6534" s="193"/>
      <c r="F6534" s="195" t="s">
        <v>25760</v>
      </c>
      <c r="G6534" s="196">
        <v>9.5638442E7</v>
      </c>
      <c r="H6534" s="197">
        <v>2.65</v>
      </c>
      <c r="I6534" s="7" t="s">
        <v>16815</v>
      </c>
      <c r="J6534" s="7" t="s">
        <v>169</v>
      </c>
      <c r="K6534" s="7" t="s">
        <v>17827</v>
      </c>
      <c r="L6534" s="198" t="s">
        <v>65</v>
      </c>
      <c r="M6534" s="194"/>
      <c r="N6534" s="194"/>
    </row>
    <row r="6535">
      <c r="A6535" s="193" t="s">
        <v>25761</v>
      </c>
      <c r="B6535" s="7" t="s">
        <v>16910</v>
      </c>
      <c r="C6535" s="7" t="s">
        <v>17502</v>
      </c>
      <c r="D6535" s="199"/>
      <c r="E6535" s="193"/>
      <c r="F6535" s="195" t="s">
        <v>25762</v>
      </c>
      <c r="G6535" s="196">
        <v>9.5397504E7</v>
      </c>
      <c r="H6535" s="197">
        <v>10.51</v>
      </c>
      <c r="I6535" s="7" t="s">
        <v>16856</v>
      </c>
      <c r="J6535" s="7" t="s">
        <v>16910</v>
      </c>
      <c r="K6535" s="7" t="s">
        <v>17502</v>
      </c>
      <c r="L6535" s="198" t="s">
        <v>65</v>
      </c>
      <c r="M6535" s="199"/>
      <c r="N6535" s="199"/>
    </row>
    <row r="6536">
      <c r="A6536" s="193" t="s">
        <v>25763</v>
      </c>
      <c r="B6536" s="7" t="s">
        <v>16838</v>
      </c>
      <c r="C6536" s="7" t="s">
        <v>18956</v>
      </c>
      <c r="D6536" s="194">
        <v>2020.0</v>
      </c>
      <c r="E6536" s="193"/>
      <c r="F6536" s="195" t="s">
        <v>25764</v>
      </c>
      <c r="G6536" s="196">
        <v>9.538004E7</v>
      </c>
      <c r="H6536" s="197">
        <v>7.08</v>
      </c>
      <c r="I6536" s="7" t="s">
        <v>16815</v>
      </c>
      <c r="J6536" s="7" t="s">
        <v>16838</v>
      </c>
      <c r="K6536" s="7" t="s">
        <v>18956</v>
      </c>
      <c r="L6536" s="198" t="s">
        <v>65</v>
      </c>
      <c r="M6536" s="194"/>
      <c r="N6536" s="194"/>
    </row>
    <row r="6537">
      <c r="A6537" s="193" t="s">
        <v>25765</v>
      </c>
      <c r="B6537" s="7" t="s">
        <v>16926</v>
      </c>
      <c r="C6537" s="7" t="s">
        <v>16927</v>
      </c>
      <c r="D6537" s="199"/>
      <c r="E6537" s="193"/>
      <c r="F6537" s="195" t="s">
        <v>25766</v>
      </c>
      <c r="G6537" s="196">
        <v>9.5316E7</v>
      </c>
      <c r="H6537" s="197">
        <v>14.1</v>
      </c>
      <c r="I6537" s="7" t="s">
        <v>16815</v>
      </c>
      <c r="J6537" s="7" t="s">
        <v>16926</v>
      </c>
      <c r="K6537" s="7" t="s">
        <v>16927</v>
      </c>
      <c r="L6537" s="198" t="s">
        <v>65</v>
      </c>
      <c r="M6537" s="199"/>
      <c r="N6537" s="199"/>
    </row>
    <row r="6538">
      <c r="A6538" s="193" t="s">
        <v>25767</v>
      </c>
      <c r="B6538" s="7" t="s">
        <v>16582</v>
      </c>
      <c r="C6538" s="7" t="s">
        <v>16899</v>
      </c>
      <c r="D6538" s="194">
        <v>1995.0</v>
      </c>
      <c r="E6538" s="193"/>
      <c r="F6538" s="195" t="s">
        <v>25768</v>
      </c>
      <c r="G6538" s="196">
        <v>9.5208169E7</v>
      </c>
      <c r="H6538" s="197">
        <v>3.61</v>
      </c>
      <c r="I6538" s="7" t="s">
        <v>16815</v>
      </c>
      <c r="J6538" s="7" t="s">
        <v>16582</v>
      </c>
      <c r="K6538" s="7" t="s">
        <v>16899</v>
      </c>
      <c r="L6538" s="198" t="s">
        <v>65</v>
      </c>
      <c r="M6538" s="194"/>
      <c r="N6538" s="194"/>
    </row>
    <row r="6539">
      <c r="A6539" s="193" t="s">
        <v>25769</v>
      </c>
      <c r="B6539" s="7" t="s">
        <v>17112</v>
      </c>
      <c r="C6539" s="7" t="s">
        <v>17218</v>
      </c>
      <c r="D6539" s="194">
        <v>2007.0</v>
      </c>
      <c r="E6539" s="193"/>
      <c r="F6539" s="195" t="s">
        <v>25770</v>
      </c>
      <c r="G6539" s="196">
        <v>9.4964504E7</v>
      </c>
      <c r="H6539" s="197">
        <v>5.34</v>
      </c>
      <c r="I6539" s="7" t="s">
        <v>16815</v>
      </c>
      <c r="J6539" s="7" t="s">
        <v>17112</v>
      </c>
      <c r="K6539" s="7" t="s">
        <v>17218</v>
      </c>
      <c r="L6539" s="198" t="s">
        <v>65</v>
      </c>
      <c r="M6539" s="194"/>
      <c r="N6539" s="194"/>
    </row>
    <row r="6540">
      <c r="A6540" s="193" t="s">
        <v>25771</v>
      </c>
      <c r="B6540" s="7" t="s">
        <v>187</v>
      </c>
      <c r="C6540" s="7" t="s">
        <v>16846</v>
      </c>
      <c r="D6540" s="194">
        <v>2021.0</v>
      </c>
      <c r="E6540" s="193"/>
      <c r="F6540" s="195" t="s">
        <v>25772</v>
      </c>
      <c r="G6540" s="196">
        <v>9.4838555E7</v>
      </c>
      <c r="H6540" s="197">
        <v>1.72</v>
      </c>
      <c r="I6540" s="7" t="s">
        <v>16815</v>
      </c>
      <c r="J6540" s="7" t="s">
        <v>187</v>
      </c>
      <c r="K6540" s="7" t="s">
        <v>16846</v>
      </c>
      <c r="L6540" s="198" t="s">
        <v>65</v>
      </c>
      <c r="M6540" s="194"/>
      <c r="N6540" s="194"/>
    </row>
    <row r="6541">
      <c r="A6541" s="193" t="s">
        <v>25773</v>
      </c>
      <c r="B6541" s="7" t="s">
        <v>175</v>
      </c>
      <c r="C6541" s="7" t="s">
        <v>18570</v>
      </c>
      <c r="D6541" s="194">
        <v>2013.0</v>
      </c>
      <c r="E6541" s="193"/>
      <c r="F6541" s="195" t="s">
        <v>25774</v>
      </c>
      <c r="G6541" s="196">
        <v>9.46515E7</v>
      </c>
      <c r="H6541" s="197">
        <v>1.83</v>
      </c>
      <c r="I6541" s="7" t="s">
        <v>17270</v>
      </c>
      <c r="J6541" s="7" t="s">
        <v>175</v>
      </c>
      <c r="K6541" s="7" t="s">
        <v>18570</v>
      </c>
      <c r="L6541" s="198" t="s">
        <v>65</v>
      </c>
      <c r="M6541" s="194"/>
      <c r="N6541" s="194"/>
    </row>
    <row r="6542">
      <c r="A6542" s="193" t="s">
        <v>25773</v>
      </c>
      <c r="B6542" s="7" t="s">
        <v>18570</v>
      </c>
      <c r="C6542" s="7" t="s">
        <v>175</v>
      </c>
      <c r="D6542" s="194">
        <v>2013.0</v>
      </c>
      <c r="E6542" s="193"/>
      <c r="F6542" s="195" t="s">
        <v>25774</v>
      </c>
      <c r="G6542" s="200">
        <v>9.46515E7</v>
      </c>
      <c r="H6542" s="197">
        <v>1.83</v>
      </c>
      <c r="I6542" s="7" t="s">
        <v>16815</v>
      </c>
      <c r="J6542" s="7" t="s">
        <v>18570</v>
      </c>
      <c r="K6542" s="7" t="s">
        <v>175</v>
      </c>
      <c r="L6542" s="201" t="s">
        <v>16835</v>
      </c>
      <c r="M6542" s="194"/>
      <c r="N6542" s="194"/>
    </row>
    <row r="6543">
      <c r="A6543" s="193" t="s">
        <v>25775</v>
      </c>
      <c r="B6543" s="7" t="s">
        <v>187</v>
      </c>
      <c r="C6543" s="7" t="s">
        <v>16858</v>
      </c>
      <c r="D6543" s="194">
        <v>2014.0</v>
      </c>
      <c r="E6543" s="193"/>
      <c r="F6543" s="195" t="s">
        <v>25776</v>
      </c>
      <c r="G6543" s="196">
        <v>9.4579954E7</v>
      </c>
      <c r="H6543" s="197">
        <v>0.9365</v>
      </c>
      <c r="I6543" s="7" t="s">
        <v>16815</v>
      </c>
      <c r="J6543" s="7" t="s">
        <v>187</v>
      </c>
      <c r="K6543" s="7" t="s">
        <v>16858</v>
      </c>
      <c r="L6543" s="198" t="s">
        <v>65</v>
      </c>
      <c r="M6543" s="194"/>
      <c r="N6543" s="194"/>
    </row>
    <row r="6544">
      <c r="A6544" s="193" t="s">
        <v>25777</v>
      </c>
      <c r="B6544" s="7" t="s">
        <v>16838</v>
      </c>
      <c r="C6544" s="7" t="s">
        <v>16837</v>
      </c>
      <c r="D6544" s="199"/>
      <c r="E6544" s="193"/>
      <c r="F6544" s="195" t="s">
        <v>25778</v>
      </c>
      <c r="G6544" s="196">
        <v>9.440018E7</v>
      </c>
      <c r="H6544" s="197">
        <v>36.72</v>
      </c>
      <c r="I6544" s="7" t="s">
        <v>16815</v>
      </c>
      <c r="J6544" s="7" t="s">
        <v>16838</v>
      </c>
      <c r="K6544" s="7" t="s">
        <v>16837</v>
      </c>
      <c r="L6544" s="198" t="s">
        <v>65</v>
      </c>
      <c r="M6544" s="199"/>
      <c r="N6544" s="199"/>
    </row>
    <row r="6545">
      <c r="A6545" s="193" t="s">
        <v>25779</v>
      </c>
      <c r="B6545" s="7" t="s">
        <v>175</v>
      </c>
      <c r="C6545" s="7" t="s">
        <v>17350</v>
      </c>
      <c r="D6545" s="199"/>
      <c r="E6545" s="193"/>
      <c r="F6545" s="195" t="s">
        <v>25780</v>
      </c>
      <c r="G6545" s="196">
        <v>9.4203035E7</v>
      </c>
      <c r="H6545" s="197">
        <v>23.45</v>
      </c>
      <c r="I6545" s="7" t="s">
        <v>17270</v>
      </c>
      <c r="J6545" s="7" t="s">
        <v>175</v>
      </c>
      <c r="K6545" s="7" t="s">
        <v>17350</v>
      </c>
      <c r="L6545" s="198" t="s">
        <v>65</v>
      </c>
      <c r="M6545" s="199"/>
      <c r="N6545" s="199"/>
    </row>
    <row r="6546">
      <c r="A6546" s="193" t="s">
        <v>25781</v>
      </c>
      <c r="B6546" s="7" t="s">
        <v>16582</v>
      </c>
      <c r="C6546" s="7" t="s">
        <v>16930</v>
      </c>
      <c r="D6546" s="199"/>
      <c r="E6546" s="193"/>
      <c r="F6546" s="195" t="s">
        <v>25782</v>
      </c>
      <c r="G6546" s="196">
        <v>9.3936043E7</v>
      </c>
      <c r="H6546" s="197">
        <v>0.95</v>
      </c>
      <c r="I6546" s="7" t="s">
        <v>16815</v>
      </c>
      <c r="J6546" s="7" t="s">
        <v>16582</v>
      </c>
      <c r="K6546" s="7" t="s">
        <v>16930</v>
      </c>
      <c r="L6546" s="198" t="s">
        <v>65</v>
      </c>
      <c r="M6546" s="199"/>
      <c r="N6546" s="199"/>
    </row>
    <row r="6547">
      <c r="A6547" s="193" t="s">
        <v>25783</v>
      </c>
      <c r="B6547" s="7" t="s">
        <v>17111</v>
      </c>
      <c r="C6547" s="7" t="s">
        <v>17112</v>
      </c>
      <c r="D6547" s="194">
        <v>2013.0</v>
      </c>
      <c r="E6547" s="193"/>
      <c r="F6547" s="195" t="s">
        <v>25784</v>
      </c>
      <c r="G6547" s="200">
        <v>9.3613927E7</v>
      </c>
      <c r="H6547" s="197">
        <v>3.47</v>
      </c>
      <c r="I6547" s="7" t="s">
        <v>16815</v>
      </c>
      <c r="J6547" s="7" t="s">
        <v>17111</v>
      </c>
      <c r="K6547" s="7" t="s">
        <v>17112</v>
      </c>
      <c r="L6547" s="201" t="s">
        <v>16835</v>
      </c>
      <c r="M6547" s="194"/>
      <c r="N6547" s="194"/>
    </row>
    <row r="6548">
      <c r="A6548" s="193" t="s">
        <v>25783</v>
      </c>
      <c r="B6548" s="7" t="s">
        <v>17112</v>
      </c>
      <c r="C6548" s="7" t="s">
        <v>17111</v>
      </c>
      <c r="D6548" s="194">
        <v>2013.0</v>
      </c>
      <c r="E6548" s="193"/>
      <c r="F6548" s="195" t="s">
        <v>25784</v>
      </c>
      <c r="G6548" s="196">
        <v>9.3613927E7</v>
      </c>
      <c r="H6548" s="197">
        <v>3.47</v>
      </c>
      <c r="I6548" s="7" t="s">
        <v>16815</v>
      </c>
      <c r="J6548" s="7" t="s">
        <v>17112</v>
      </c>
      <c r="K6548" s="7" t="s">
        <v>17111</v>
      </c>
      <c r="L6548" s="198" t="s">
        <v>65</v>
      </c>
      <c r="M6548" s="194"/>
      <c r="N6548" s="194"/>
    </row>
    <row r="6549">
      <c r="A6549" s="193" t="s">
        <v>25785</v>
      </c>
      <c r="B6549" s="7" t="s">
        <v>169</v>
      </c>
      <c r="C6549" s="7" t="s">
        <v>19139</v>
      </c>
      <c r="D6549" s="194">
        <v>2015.0</v>
      </c>
      <c r="E6549" s="193"/>
      <c r="F6549" s="195" t="s">
        <v>25786</v>
      </c>
      <c r="G6549" s="196">
        <v>9.3535216E7</v>
      </c>
      <c r="H6549" s="197">
        <v>1.05</v>
      </c>
      <c r="I6549" s="7" t="s">
        <v>16815</v>
      </c>
      <c r="J6549" s="7" t="s">
        <v>169</v>
      </c>
      <c r="K6549" s="7" t="s">
        <v>19139</v>
      </c>
      <c r="L6549" s="198" t="s">
        <v>65</v>
      </c>
      <c r="M6549" s="194"/>
      <c r="N6549" s="194"/>
    </row>
    <row r="6550">
      <c r="A6550" s="193" t="s">
        <v>25785</v>
      </c>
      <c r="B6550" s="7" t="s">
        <v>19139</v>
      </c>
      <c r="C6550" s="7" t="s">
        <v>169</v>
      </c>
      <c r="D6550" s="194">
        <v>2015.0</v>
      </c>
      <c r="E6550" s="193"/>
      <c r="F6550" s="195" t="s">
        <v>25786</v>
      </c>
      <c r="G6550" s="200">
        <v>9.3535216E7</v>
      </c>
      <c r="H6550" s="197">
        <v>1.05</v>
      </c>
      <c r="I6550" s="7" t="s">
        <v>16815</v>
      </c>
      <c r="J6550" s="7" t="s">
        <v>19139</v>
      </c>
      <c r="K6550" s="7" t="s">
        <v>169</v>
      </c>
      <c r="L6550" s="201" t="s">
        <v>16835</v>
      </c>
      <c r="M6550" s="194"/>
      <c r="N6550" s="194"/>
    </row>
    <row r="6551">
      <c r="A6551" s="193" t="s">
        <v>25787</v>
      </c>
      <c r="B6551" s="7" t="s">
        <v>187</v>
      </c>
      <c r="C6551" s="7" t="s">
        <v>16969</v>
      </c>
      <c r="D6551" s="199"/>
      <c r="E6551" s="193"/>
      <c r="F6551" s="195" t="s">
        <v>25788</v>
      </c>
      <c r="G6551" s="196">
        <v>9.3504514E7</v>
      </c>
      <c r="H6551" s="197">
        <v>0.3488</v>
      </c>
      <c r="I6551" s="7" t="s">
        <v>16815</v>
      </c>
      <c r="J6551" s="7" t="s">
        <v>187</v>
      </c>
      <c r="K6551" s="7" t="s">
        <v>16969</v>
      </c>
      <c r="L6551" s="198" t="s">
        <v>65</v>
      </c>
      <c r="M6551" s="199"/>
      <c r="N6551" s="199"/>
    </row>
    <row r="6552">
      <c r="A6552" s="193" t="s">
        <v>25789</v>
      </c>
      <c r="B6552" s="7" t="s">
        <v>175</v>
      </c>
      <c r="C6552" s="7" t="s">
        <v>17233</v>
      </c>
      <c r="D6552" s="199"/>
      <c r="E6552" s="193"/>
      <c r="F6552" s="195" t="s">
        <v>25790</v>
      </c>
      <c r="G6552" s="196">
        <v>9.3477707E7</v>
      </c>
      <c r="H6552" s="197">
        <v>2.54</v>
      </c>
      <c r="I6552" s="7" t="s">
        <v>16908</v>
      </c>
      <c r="J6552" s="7" t="s">
        <v>175</v>
      </c>
      <c r="K6552" s="7" t="s">
        <v>17233</v>
      </c>
      <c r="L6552" s="198" t="s">
        <v>65</v>
      </c>
      <c r="M6552" s="199"/>
      <c r="N6552" s="199"/>
    </row>
    <row r="6553">
      <c r="A6553" s="193" t="s">
        <v>25789</v>
      </c>
      <c r="B6553" s="7" t="s">
        <v>17233</v>
      </c>
      <c r="C6553" s="7" t="s">
        <v>175</v>
      </c>
      <c r="D6553" s="199"/>
      <c r="E6553" s="193"/>
      <c r="F6553" s="195" t="s">
        <v>25790</v>
      </c>
      <c r="G6553" s="200">
        <v>9.3477707E7</v>
      </c>
      <c r="H6553" s="197">
        <v>2.54</v>
      </c>
      <c r="I6553" s="7" t="s">
        <v>16815</v>
      </c>
      <c r="J6553" s="7" t="s">
        <v>17233</v>
      </c>
      <c r="K6553" s="7" t="s">
        <v>175</v>
      </c>
      <c r="L6553" s="201" t="s">
        <v>16835</v>
      </c>
      <c r="M6553" s="199"/>
      <c r="N6553" s="199"/>
    </row>
    <row r="6554">
      <c r="A6554" s="193" t="s">
        <v>25791</v>
      </c>
      <c r="B6554" s="7" t="s">
        <v>187</v>
      </c>
      <c r="C6554" s="7" t="s">
        <v>16858</v>
      </c>
      <c r="D6554" s="199"/>
      <c r="E6554" s="193"/>
      <c r="F6554" s="195" t="s">
        <v>25792</v>
      </c>
      <c r="G6554" s="196">
        <v>9.3208449E7</v>
      </c>
      <c r="H6554" s="197">
        <v>2.58</v>
      </c>
      <c r="I6554" s="7" t="s">
        <v>16815</v>
      </c>
      <c r="J6554" s="7" t="s">
        <v>187</v>
      </c>
      <c r="K6554" s="7" t="s">
        <v>16858</v>
      </c>
      <c r="L6554" s="198" t="s">
        <v>65</v>
      </c>
      <c r="M6554" s="199"/>
      <c r="N6554" s="199"/>
    </row>
    <row r="6555">
      <c r="A6555" s="193" t="s">
        <v>25791</v>
      </c>
      <c r="B6555" s="202" t="s">
        <v>16858</v>
      </c>
      <c r="C6555" s="193" t="s">
        <v>187</v>
      </c>
      <c r="D6555" s="206"/>
      <c r="E6555" s="193"/>
      <c r="F6555" s="203" t="s">
        <v>25792</v>
      </c>
      <c r="G6555" s="200">
        <v>9.3208449E7</v>
      </c>
      <c r="H6555" s="205">
        <v>10.75</v>
      </c>
      <c r="J6555" s="202" t="s">
        <v>16858</v>
      </c>
      <c r="K6555" s="193" t="s">
        <v>187</v>
      </c>
      <c r="L6555" s="193" t="s">
        <v>17471</v>
      </c>
      <c r="M6555" s="206"/>
      <c r="N6555" s="206"/>
    </row>
    <row r="6556">
      <c r="A6556" s="193" t="s">
        <v>25793</v>
      </c>
      <c r="B6556" s="7" t="s">
        <v>18679</v>
      </c>
      <c r="C6556" s="7" t="s">
        <v>16838</v>
      </c>
      <c r="D6556" s="194">
        <v>2018.0</v>
      </c>
      <c r="E6556" s="193"/>
      <c r="F6556" s="195" t="s">
        <v>25794</v>
      </c>
      <c r="G6556" s="200">
        <v>9.2667317E7</v>
      </c>
      <c r="H6556" s="197">
        <v>14.54</v>
      </c>
      <c r="I6556" s="7" t="s">
        <v>16815</v>
      </c>
      <c r="J6556" s="7" t="s">
        <v>18679</v>
      </c>
      <c r="K6556" s="7" t="s">
        <v>16838</v>
      </c>
      <c r="L6556" s="201" t="s">
        <v>16835</v>
      </c>
      <c r="M6556" s="194"/>
      <c r="N6556" s="194"/>
    </row>
    <row r="6557">
      <c r="A6557" s="193" t="s">
        <v>25793</v>
      </c>
      <c r="B6557" s="7" t="s">
        <v>16838</v>
      </c>
      <c r="C6557" s="7" t="s">
        <v>18679</v>
      </c>
      <c r="D6557" s="194">
        <v>2018.0</v>
      </c>
      <c r="E6557" s="193"/>
      <c r="F6557" s="195" t="s">
        <v>25794</v>
      </c>
      <c r="G6557" s="196">
        <v>9.2667317E7</v>
      </c>
      <c r="H6557" s="197">
        <v>14.54</v>
      </c>
      <c r="I6557" s="7" t="s">
        <v>16815</v>
      </c>
      <c r="J6557" s="7" t="s">
        <v>16838</v>
      </c>
      <c r="K6557" s="7" t="s">
        <v>18679</v>
      </c>
      <c r="L6557" s="198" t="s">
        <v>65</v>
      </c>
      <c r="M6557" s="194"/>
      <c r="N6557" s="194"/>
    </row>
    <row r="6558">
      <c r="A6558" s="193" t="s">
        <v>25795</v>
      </c>
      <c r="B6558" s="7" t="s">
        <v>187</v>
      </c>
      <c r="C6558" s="7" t="s">
        <v>16846</v>
      </c>
      <c r="D6558" s="194">
        <v>2021.0</v>
      </c>
      <c r="E6558" s="193"/>
      <c r="F6558" s="195" t="s">
        <v>25796</v>
      </c>
      <c r="G6558" s="196">
        <v>9.2439142E7</v>
      </c>
      <c r="H6558" s="197">
        <v>2.12</v>
      </c>
      <c r="I6558" s="7" t="s">
        <v>16815</v>
      </c>
      <c r="J6558" s="7" t="s">
        <v>187</v>
      </c>
      <c r="K6558" s="7" t="s">
        <v>16846</v>
      </c>
      <c r="L6558" s="198" t="s">
        <v>65</v>
      </c>
      <c r="M6558" s="194"/>
      <c r="N6558" s="194"/>
    </row>
    <row r="6559">
      <c r="A6559" s="193" t="s">
        <v>25797</v>
      </c>
      <c r="B6559" s="7" t="s">
        <v>187</v>
      </c>
      <c r="C6559" s="7" t="s">
        <v>16846</v>
      </c>
      <c r="D6559" s="194">
        <v>2014.0</v>
      </c>
      <c r="E6559" s="193"/>
      <c r="F6559" s="195" t="s">
        <v>25798</v>
      </c>
      <c r="G6559" s="196">
        <v>9.231036E7</v>
      </c>
      <c r="H6559" s="197">
        <v>0.3599</v>
      </c>
      <c r="I6559" s="7" t="s">
        <v>16815</v>
      </c>
      <c r="J6559" s="7" t="s">
        <v>187</v>
      </c>
      <c r="K6559" s="7" t="s">
        <v>16846</v>
      </c>
      <c r="L6559" s="198" t="s">
        <v>65</v>
      </c>
      <c r="M6559" s="194"/>
      <c r="N6559" s="194"/>
    </row>
    <row r="6560">
      <c r="A6560" s="193" t="s">
        <v>25799</v>
      </c>
      <c r="B6560" s="7" t="s">
        <v>187</v>
      </c>
      <c r="C6560" s="7" t="s">
        <v>16858</v>
      </c>
      <c r="D6560" s="194">
        <v>2021.0</v>
      </c>
      <c r="E6560" s="193"/>
      <c r="F6560" s="195" t="s">
        <v>25800</v>
      </c>
      <c r="G6560" s="196">
        <v>9.2309669E7</v>
      </c>
      <c r="H6560" s="197">
        <v>3.38</v>
      </c>
      <c r="I6560" s="7" t="s">
        <v>16815</v>
      </c>
      <c r="J6560" s="7" t="s">
        <v>187</v>
      </c>
      <c r="K6560" s="7" t="s">
        <v>16858</v>
      </c>
      <c r="L6560" s="198" t="s">
        <v>65</v>
      </c>
      <c r="M6560" s="194"/>
      <c r="N6560" s="194"/>
    </row>
    <row r="6561">
      <c r="A6561" s="193" t="s">
        <v>25801</v>
      </c>
      <c r="B6561" s="7" t="s">
        <v>17112</v>
      </c>
      <c r="C6561" s="7" t="s">
        <v>17111</v>
      </c>
      <c r="D6561" s="199"/>
      <c r="E6561" s="193"/>
      <c r="F6561" s="195" t="s">
        <v>25802</v>
      </c>
      <c r="G6561" s="196">
        <v>9.2286301E7</v>
      </c>
      <c r="H6561" s="197">
        <v>4.05</v>
      </c>
      <c r="I6561" s="7" t="s">
        <v>16815</v>
      </c>
      <c r="J6561" s="7" t="s">
        <v>17112</v>
      </c>
      <c r="K6561" s="7" t="s">
        <v>17111</v>
      </c>
      <c r="L6561" s="198" t="s">
        <v>65</v>
      </c>
      <c r="M6561" s="199"/>
      <c r="N6561" s="199"/>
    </row>
    <row r="6562">
      <c r="A6562" s="193" t="s">
        <v>25803</v>
      </c>
      <c r="B6562" s="7" t="s">
        <v>16838</v>
      </c>
      <c r="C6562" s="7" t="s">
        <v>16867</v>
      </c>
      <c r="D6562" s="194">
        <v>2010.0</v>
      </c>
      <c r="E6562" s="193"/>
      <c r="F6562" s="195" t="s">
        <v>25804</v>
      </c>
      <c r="G6562" s="196">
        <v>9.2183043E7</v>
      </c>
      <c r="H6562" s="197">
        <v>11.54</v>
      </c>
      <c r="I6562" s="7" t="s">
        <v>16815</v>
      </c>
      <c r="J6562" s="7" t="s">
        <v>16838</v>
      </c>
      <c r="K6562" s="7" t="s">
        <v>16867</v>
      </c>
      <c r="L6562" s="198" t="s">
        <v>65</v>
      </c>
      <c r="M6562" s="194"/>
      <c r="N6562" s="194"/>
    </row>
    <row r="6563">
      <c r="A6563" s="193" t="s">
        <v>25805</v>
      </c>
      <c r="B6563" s="7" t="s">
        <v>16838</v>
      </c>
      <c r="C6563" s="7" t="s">
        <v>16867</v>
      </c>
      <c r="D6563" s="194">
        <v>2017.0</v>
      </c>
      <c r="E6563" s="193"/>
      <c r="F6563" s="195" t="s">
        <v>25806</v>
      </c>
      <c r="G6563" s="196">
        <v>9.1948154E7</v>
      </c>
      <c r="H6563" s="197">
        <v>14.07</v>
      </c>
      <c r="I6563" s="7" t="s">
        <v>186</v>
      </c>
      <c r="J6563" s="7" t="s">
        <v>16838</v>
      </c>
      <c r="K6563" s="7" t="s">
        <v>16867</v>
      </c>
      <c r="L6563" s="198" t="s">
        <v>65</v>
      </c>
      <c r="M6563" s="194"/>
      <c r="N6563" s="194"/>
    </row>
    <row r="6564">
      <c r="A6564" s="193" t="s">
        <v>25807</v>
      </c>
      <c r="B6564" s="7" t="s">
        <v>187</v>
      </c>
      <c r="C6564" s="7" t="s">
        <v>16846</v>
      </c>
      <c r="D6564" s="194">
        <v>2022.0</v>
      </c>
      <c r="E6564" s="193"/>
      <c r="F6564" s="195" t="s">
        <v>25808</v>
      </c>
      <c r="G6564" s="196">
        <v>9.1920291E7</v>
      </c>
      <c r="H6564" s="197">
        <v>3.86</v>
      </c>
      <c r="I6564" s="7" t="s">
        <v>16815</v>
      </c>
      <c r="J6564" s="7" t="s">
        <v>187</v>
      </c>
      <c r="K6564" s="7" t="s">
        <v>16846</v>
      </c>
      <c r="L6564" s="198" t="s">
        <v>65</v>
      </c>
      <c r="M6564" s="194"/>
      <c r="N6564" s="194"/>
    </row>
    <row r="6565">
      <c r="A6565" s="193" t="s">
        <v>25809</v>
      </c>
      <c r="B6565" s="7" t="s">
        <v>187</v>
      </c>
      <c r="C6565" s="7" t="s">
        <v>16858</v>
      </c>
      <c r="D6565" s="194">
        <v>2020.0</v>
      </c>
      <c r="E6565" s="193"/>
      <c r="F6565" s="195" t="s">
        <v>25810</v>
      </c>
      <c r="G6565" s="196">
        <v>9.1910628E7</v>
      </c>
      <c r="H6565" s="197">
        <v>1.78</v>
      </c>
      <c r="I6565" s="7" t="s">
        <v>16815</v>
      </c>
      <c r="J6565" s="7" t="s">
        <v>187</v>
      </c>
      <c r="K6565" s="7" t="s">
        <v>16858</v>
      </c>
      <c r="L6565" s="198" t="s">
        <v>65</v>
      </c>
      <c r="M6565" s="194"/>
      <c r="N6565" s="194"/>
    </row>
    <row r="6566">
      <c r="A6566" s="193" t="s">
        <v>25811</v>
      </c>
      <c r="B6566" s="7" t="s">
        <v>187</v>
      </c>
      <c r="C6566" s="7" t="s">
        <v>16846</v>
      </c>
      <c r="D6566" s="194">
        <v>2021.0</v>
      </c>
      <c r="E6566" s="193"/>
      <c r="F6566" s="195" t="s">
        <v>25812</v>
      </c>
      <c r="G6566" s="196">
        <v>9.136847E7</v>
      </c>
      <c r="H6566" s="197">
        <v>1.66</v>
      </c>
      <c r="I6566" s="7" t="s">
        <v>16815</v>
      </c>
      <c r="J6566" s="7" t="s">
        <v>187</v>
      </c>
      <c r="K6566" s="7" t="s">
        <v>16846</v>
      </c>
      <c r="L6566" s="198" t="s">
        <v>65</v>
      </c>
      <c r="M6566" s="194"/>
      <c r="N6566" s="194"/>
    </row>
    <row r="6567">
      <c r="A6567" s="193" t="s">
        <v>25813</v>
      </c>
      <c r="B6567" s="7" t="s">
        <v>175</v>
      </c>
      <c r="C6567" s="7" t="s">
        <v>16890</v>
      </c>
      <c r="D6567" s="194">
        <v>2007.0</v>
      </c>
      <c r="E6567" s="193"/>
      <c r="F6567" s="195" t="s">
        <v>25814</v>
      </c>
      <c r="G6567" s="196">
        <v>9.1353746E7</v>
      </c>
      <c r="H6567" s="197">
        <v>2.96</v>
      </c>
      <c r="I6567" s="7" t="s">
        <v>168</v>
      </c>
      <c r="J6567" s="7" t="s">
        <v>175</v>
      </c>
      <c r="K6567" s="7" t="s">
        <v>16890</v>
      </c>
      <c r="L6567" s="198" t="s">
        <v>65</v>
      </c>
      <c r="M6567" s="194"/>
      <c r="N6567" s="194"/>
    </row>
    <row r="6568">
      <c r="A6568" s="193" t="s">
        <v>25813</v>
      </c>
      <c r="B6568" s="7" t="s">
        <v>16890</v>
      </c>
      <c r="C6568" s="7" t="s">
        <v>175</v>
      </c>
      <c r="D6568" s="194">
        <v>2007.0</v>
      </c>
      <c r="E6568" s="193"/>
      <c r="F6568" s="195" t="s">
        <v>25814</v>
      </c>
      <c r="G6568" s="200">
        <v>9.1353746E7</v>
      </c>
      <c r="H6568" s="197">
        <v>2.96</v>
      </c>
      <c r="I6568" s="7" t="s">
        <v>16815</v>
      </c>
      <c r="J6568" s="7" t="s">
        <v>16890</v>
      </c>
      <c r="K6568" s="7" t="s">
        <v>175</v>
      </c>
      <c r="L6568" s="201" t="s">
        <v>16835</v>
      </c>
      <c r="M6568" s="194"/>
      <c r="N6568" s="194"/>
    </row>
    <row r="6569">
      <c r="A6569" s="193" t="s">
        <v>25815</v>
      </c>
      <c r="B6569" s="7" t="s">
        <v>17202</v>
      </c>
      <c r="C6569" s="7" t="s">
        <v>16838</v>
      </c>
      <c r="D6569" s="194">
        <v>2014.0</v>
      </c>
      <c r="E6569" s="193"/>
      <c r="F6569" s="195" t="s">
        <v>25816</v>
      </c>
      <c r="G6569" s="200">
        <v>9.129254E7</v>
      </c>
      <c r="H6569" s="197">
        <v>10.29</v>
      </c>
      <c r="I6569" s="7" t="s">
        <v>16815</v>
      </c>
      <c r="J6569" s="7" t="s">
        <v>17202</v>
      </c>
      <c r="K6569" s="7" t="s">
        <v>16838</v>
      </c>
      <c r="L6569" s="201" t="s">
        <v>16835</v>
      </c>
      <c r="M6569" s="194"/>
      <c r="N6569" s="194"/>
    </row>
    <row r="6570">
      <c r="A6570" s="193" t="s">
        <v>25815</v>
      </c>
      <c r="B6570" s="7" t="s">
        <v>16838</v>
      </c>
      <c r="C6570" s="7" t="s">
        <v>17202</v>
      </c>
      <c r="D6570" s="194">
        <v>2014.0</v>
      </c>
      <c r="E6570" s="193"/>
      <c r="F6570" s="195" t="s">
        <v>25816</v>
      </c>
      <c r="G6570" s="196">
        <v>9.129254E7</v>
      </c>
      <c r="H6570" s="197">
        <v>10.29</v>
      </c>
      <c r="I6570" s="7" t="s">
        <v>16815</v>
      </c>
      <c r="J6570" s="7" t="s">
        <v>16838</v>
      </c>
      <c r="K6570" s="7" t="s">
        <v>17202</v>
      </c>
      <c r="L6570" s="198" t="s">
        <v>65</v>
      </c>
      <c r="M6570" s="194"/>
      <c r="N6570" s="194"/>
    </row>
    <row r="6571">
      <c r="A6571" s="193" t="s">
        <v>25817</v>
      </c>
      <c r="B6571" s="7" t="s">
        <v>175</v>
      </c>
      <c r="C6571" s="7" t="s">
        <v>16939</v>
      </c>
      <c r="D6571" s="194">
        <v>2023.0</v>
      </c>
      <c r="E6571" s="193"/>
      <c r="F6571" s="195" t="s">
        <v>25818</v>
      </c>
      <c r="G6571" s="196">
        <v>9.1181882E7</v>
      </c>
      <c r="H6571" s="197">
        <v>8.83</v>
      </c>
      <c r="I6571" s="7" t="s">
        <v>168</v>
      </c>
      <c r="J6571" s="7" t="s">
        <v>175</v>
      </c>
      <c r="K6571" s="7" t="s">
        <v>16939</v>
      </c>
      <c r="L6571" s="198" t="s">
        <v>65</v>
      </c>
      <c r="M6571" s="194"/>
      <c r="N6571" s="194"/>
    </row>
    <row r="6572">
      <c r="A6572" s="193" t="s">
        <v>25819</v>
      </c>
      <c r="B6572" s="7" t="s">
        <v>187</v>
      </c>
      <c r="C6572" s="7" t="s">
        <v>16846</v>
      </c>
      <c r="D6572" s="199"/>
      <c r="E6572" s="193"/>
      <c r="F6572" s="195" t="s">
        <v>25820</v>
      </c>
      <c r="G6572" s="196">
        <v>9.1035164E7</v>
      </c>
      <c r="H6572" s="197">
        <v>2.93</v>
      </c>
      <c r="I6572" s="7" t="s">
        <v>16815</v>
      </c>
      <c r="J6572" s="7" t="s">
        <v>187</v>
      </c>
      <c r="K6572" s="7" t="s">
        <v>16846</v>
      </c>
      <c r="L6572" s="198" t="s">
        <v>65</v>
      </c>
      <c r="M6572" s="199"/>
      <c r="N6572" s="199"/>
    </row>
    <row r="6573">
      <c r="A6573" s="193" t="s">
        <v>25821</v>
      </c>
      <c r="D6573" s="199"/>
      <c r="E6573" s="193"/>
      <c r="F6573" s="195" t="s">
        <v>25822</v>
      </c>
      <c r="G6573" s="196">
        <v>9.0559682E7</v>
      </c>
      <c r="H6573" s="197">
        <v>2.729</v>
      </c>
      <c r="I6573" s="7" t="s">
        <v>16815</v>
      </c>
      <c r="L6573" s="198" t="s">
        <v>65</v>
      </c>
      <c r="M6573" s="199"/>
      <c r="N6573" s="199"/>
    </row>
    <row r="6574">
      <c r="A6574" s="193" t="s">
        <v>25823</v>
      </c>
      <c r="B6574" s="7" t="s">
        <v>17321</v>
      </c>
      <c r="C6574" s="7" t="s">
        <v>169</v>
      </c>
      <c r="D6574" s="199"/>
      <c r="E6574" s="193"/>
      <c r="F6574" s="195" t="s">
        <v>25824</v>
      </c>
      <c r="G6574" s="200">
        <v>9.032789E7</v>
      </c>
      <c r="H6574" s="197">
        <v>1.14</v>
      </c>
      <c r="I6574" s="7" t="s">
        <v>16815</v>
      </c>
      <c r="J6574" s="7" t="s">
        <v>17321</v>
      </c>
      <c r="K6574" s="7" t="s">
        <v>169</v>
      </c>
      <c r="L6574" s="201" t="s">
        <v>16835</v>
      </c>
      <c r="M6574" s="199"/>
      <c r="N6574" s="199"/>
    </row>
    <row r="6575">
      <c r="A6575" s="193" t="s">
        <v>25823</v>
      </c>
      <c r="B6575" s="7" t="s">
        <v>169</v>
      </c>
      <c r="C6575" s="7" t="s">
        <v>17321</v>
      </c>
      <c r="D6575" s="199"/>
      <c r="E6575" s="193"/>
      <c r="F6575" s="195" t="s">
        <v>25824</v>
      </c>
      <c r="G6575" s="196">
        <v>9.032789E7</v>
      </c>
      <c r="H6575" s="197">
        <v>1.14</v>
      </c>
      <c r="I6575" s="7" t="s">
        <v>16815</v>
      </c>
      <c r="J6575" s="7" t="s">
        <v>169</v>
      </c>
      <c r="K6575" s="7" t="s">
        <v>17321</v>
      </c>
      <c r="L6575" s="198" t="s">
        <v>65</v>
      </c>
      <c r="M6575" s="199"/>
      <c r="N6575" s="199"/>
    </row>
    <row r="6576">
      <c r="A6576" s="193" t="s">
        <v>25825</v>
      </c>
      <c r="B6576" s="7" t="s">
        <v>187</v>
      </c>
      <c r="C6576" s="7" t="s">
        <v>16846</v>
      </c>
      <c r="D6576" s="194">
        <v>2022.0</v>
      </c>
      <c r="E6576" s="193"/>
      <c r="F6576" s="195" t="s">
        <v>25826</v>
      </c>
      <c r="G6576" s="196">
        <v>9.0289082E7</v>
      </c>
      <c r="H6576" s="197">
        <v>1.24</v>
      </c>
      <c r="I6576" s="7" t="s">
        <v>16815</v>
      </c>
      <c r="J6576" s="7" t="s">
        <v>187</v>
      </c>
      <c r="K6576" s="7" t="s">
        <v>16846</v>
      </c>
      <c r="L6576" s="198" t="s">
        <v>65</v>
      </c>
      <c r="M6576" s="194"/>
      <c r="N6576" s="194"/>
    </row>
    <row r="6577">
      <c r="A6577" s="193" t="s">
        <v>25827</v>
      </c>
      <c r="B6577" s="7" t="s">
        <v>169</v>
      </c>
      <c r="C6577" s="7" t="s">
        <v>16899</v>
      </c>
      <c r="D6577" s="194">
        <v>2016.0</v>
      </c>
      <c r="E6577" s="193"/>
      <c r="F6577" s="195" t="s">
        <v>25828</v>
      </c>
      <c r="G6577" s="196">
        <v>9.0251003E7</v>
      </c>
      <c r="H6577" s="197">
        <v>2.12</v>
      </c>
      <c r="I6577" s="7" t="s">
        <v>16815</v>
      </c>
      <c r="J6577" s="7" t="s">
        <v>169</v>
      </c>
      <c r="K6577" s="7" t="s">
        <v>16899</v>
      </c>
      <c r="L6577" s="198" t="s">
        <v>65</v>
      </c>
      <c r="M6577" s="194"/>
      <c r="N6577" s="194"/>
    </row>
    <row r="6578">
      <c r="A6578" s="193" t="s">
        <v>25829</v>
      </c>
      <c r="B6578" s="7" t="s">
        <v>187</v>
      </c>
      <c r="C6578" s="7" t="s">
        <v>16858</v>
      </c>
      <c r="D6578" s="194">
        <v>2018.0</v>
      </c>
      <c r="E6578" s="193"/>
      <c r="F6578" s="195" t="s">
        <v>25830</v>
      </c>
      <c r="G6578" s="196">
        <v>9.021944E7</v>
      </c>
      <c r="H6578" s="197">
        <v>1.72</v>
      </c>
      <c r="I6578" s="7" t="s">
        <v>16815</v>
      </c>
      <c r="J6578" s="7" t="s">
        <v>187</v>
      </c>
      <c r="K6578" s="7" t="s">
        <v>16858</v>
      </c>
      <c r="L6578" s="198" t="s">
        <v>65</v>
      </c>
      <c r="M6578" s="194"/>
      <c r="N6578" s="194"/>
    </row>
    <row r="6579">
      <c r="A6579" s="193" t="s">
        <v>25831</v>
      </c>
      <c r="B6579" s="7" t="s">
        <v>175</v>
      </c>
      <c r="C6579" s="7" t="s">
        <v>17394</v>
      </c>
      <c r="D6579" s="199"/>
      <c r="E6579" s="193"/>
      <c r="F6579" s="195" t="s">
        <v>25832</v>
      </c>
      <c r="G6579" s="196">
        <v>8.9919717E7</v>
      </c>
      <c r="H6579" s="197">
        <v>6.41</v>
      </c>
      <c r="I6579" s="7" t="s">
        <v>168</v>
      </c>
      <c r="J6579" s="7" t="s">
        <v>175</v>
      </c>
      <c r="K6579" s="7" t="s">
        <v>17394</v>
      </c>
      <c r="L6579" s="198" t="s">
        <v>65</v>
      </c>
      <c r="M6579" s="199"/>
      <c r="N6579" s="199"/>
    </row>
    <row r="6580">
      <c r="A6580" s="193" t="s">
        <v>25833</v>
      </c>
      <c r="B6580" s="7" t="s">
        <v>187</v>
      </c>
      <c r="C6580" s="7" t="s">
        <v>23634</v>
      </c>
      <c r="D6580" s="194">
        <v>2018.0</v>
      </c>
      <c r="E6580" s="193"/>
      <c r="F6580" s="195" t="s">
        <v>25834</v>
      </c>
      <c r="G6580" s="196">
        <v>8.9560636E7</v>
      </c>
      <c r="H6580" s="197">
        <v>2.36</v>
      </c>
      <c r="I6580" s="7" t="s">
        <v>16815</v>
      </c>
      <c r="J6580" s="7" t="s">
        <v>187</v>
      </c>
      <c r="K6580" s="7" t="s">
        <v>23634</v>
      </c>
      <c r="L6580" s="198" t="s">
        <v>65</v>
      </c>
      <c r="M6580" s="194"/>
      <c r="N6580" s="194"/>
    </row>
    <row r="6581">
      <c r="A6581" s="193" t="s">
        <v>25835</v>
      </c>
      <c r="B6581" s="7" t="s">
        <v>16838</v>
      </c>
      <c r="C6581" s="7" t="s">
        <v>16867</v>
      </c>
      <c r="D6581" s="199"/>
      <c r="E6581" s="193"/>
      <c r="F6581" s="195" t="s">
        <v>25836</v>
      </c>
      <c r="G6581" s="196">
        <v>8.9005956E7</v>
      </c>
      <c r="H6581" s="197">
        <v>13.0</v>
      </c>
      <c r="I6581" s="7" t="s">
        <v>16815</v>
      </c>
      <c r="J6581" s="7" t="s">
        <v>16838</v>
      </c>
      <c r="K6581" s="7" t="s">
        <v>16867</v>
      </c>
      <c r="L6581" s="198" t="s">
        <v>65</v>
      </c>
      <c r="M6581" s="199"/>
      <c r="N6581" s="199"/>
    </row>
    <row r="6582">
      <c r="A6582" s="193" t="s">
        <v>25837</v>
      </c>
      <c r="B6582" s="7" t="s">
        <v>16885</v>
      </c>
      <c r="C6582" s="7" t="s">
        <v>17726</v>
      </c>
      <c r="D6582" s="199"/>
      <c r="E6582" s="193"/>
      <c r="F6582" s="195" t="s">
        <v>25838</v>
      </c>
      <c r="G6582" s="196">
        <v>8.8900103E7</v>
      </c>
      <c r="H6582" s="197">
        <v>1.97</v>
      </c>
      <c r="I6582" s="7" t="s">
        <v>16826</v>
      </c>
      <c r="J6582" s="7" t="s">
        <v>16885</v>
      </c>
      <c r="K6582" s="7" t="s">
        <v>17726</v>
      </c>
      <c r="L6582" s="198" t="s">
        <v>65</v>
      </c>
      <c r="M6582" s="199"/>
      <c r="N6582" s="199"/>
    </row>
    <row r="6583">
      <c r="A6583" s="193" t="s">
        <v>25839</v>
      </c>
      <c r="B6583" s="7" t="s">
        <v>17112</v>
      </c>
      <c r="C6583" s="7" t="s">
        <v>17787</v>
      </c>
      <c r="D6583" s="199"/>
      <c r="E6583" s="193"/>
      <c r="F6583" s="195" t="s">
        <v>25840</v>
      </c>
      <c r="G6583" s="196">
        <v>8.869432E7</v>
      </c>
      <c r="H6583" s="197">
        <v>44.0</v>
      </c>
      <c r="I6583" s="7" t="s">
        <v>16815</v>
      </c>
      <c r="J6583" s="7" t="s">
        <v>17112</v>
      </c>
      <c r="K6583" s="7" t="s">
        <v>17787</v>
      </c>
      <c r="L6583" s="198" t="s">
        <v>65</v>
      </c>
      <c r="M6583" s="199"/>
      <c r="N6583" s="199"/>
    </row>
    <row r="6584">
      <c r="A6584" s="193" t="s">
        <v>25841</v>
      </c>
      <c r="B6584" s="7" t="s">
        <v>16582</v>
      </c>
      <c r="C6584" s="7" t="s">
        <v>17342</v>
      </c>
      <c r="D6584" s="194">
        <v>1996.0</v>
      </c>
      <c r="E6584" s="193"/>
      <c r="F6584" s="195" t="s">
        <v>25842</v>
      </c>
      <c r="G6584" s="196">
        <v>8.8495915E7</v>
      </c>
      <c r="H6584" s="197">
        <v>4.53</v>
      </c>
      <c r="I6584" s="7" t="s">
        <v>16815</v>
      </c>
      <c r="J6584" s="7" t="s">
        <v>16582</v>
      </c>
      <c r="K6584" s="7" t="s">
        <v>17342</v>
      </c>
      <c r="L6584" s="198" t="s">
        <v>65</v>
      </c>
      <c r="M6584" s="194"/>
      <c r="N6584" s="194"/>
    </row>
    <row r="6585">
      <c r="A6585" s="193" t="s">
        <v>25843</v>
      </c>
      <c r="B6585" s="7" t="s">
        <v>169</v>
      </c>
      <c r="C6585" s="7" t="s">
        <v>16945</v>
      </c>
      <c r="D6585" s="199"/>
      <c r="E6585" s="193"/>
      <c r="F6585" s="195" t="s">
        <v>25844</v>
      </c>
      <c r="G6585" s="196">
        <v>8.8436812E7</v>
      </c>
      <c r="H6585" s="197">
        <v>2.0</v>
      </c>
      <c r="I6585" s="7" t="s">
        <v>16815</v>
      </c>
      <c r="J6585" s="7" t="s">
        <v>169</v>
      </c>
      <c r="K6585" s="7" t="s">
        <v>16945</v>
      </c>
      <c r="L6585" s="198" t="s">
        <v>65</v>
      </c>
      <c r="M6585" s="199"/>
      <c r="N6585" s="199"/>
    </row>
    <row r="6586">
      <c r="A6586" s="193" t="s">
        <v>25845</v>
      </c>
      <c r="D6586" s="194">
        <v>2022.0</v>
      </c>
      <c r="E6586" s="193"/>
      <c r="F6586" s="195" t="s">
        <v>25846</v>
      </c>
      <c r="G6586" s="196">
        <v>8.835885E7</v>
      </c>
      <c r="H6586" s="197">
        <v>32.4</v>
      </c>
      <c r="I6586" s="7" t="s">
        <v>16815</v>
      </c>
      <c r="L6586" s="198" t="s">
        <v>65</v>
      </c>
      <c r="M6586" s="194"/>
      <c r="N6586" s="194"/>
    </row>
    <row r="6587">
      <c r="A6587" s="193" t="s">
        <v>25845</v>
      </c>
      <c r="B6587" s="208"/>
      <c r="C6587" s="206"/>
      <c r="D6587" s="193">
        <v>2022.0</v>
      </c>
      <c r="E6587" s="193"/>
      <c r="F6587" s="203" t="s">
        <v>25846</v>
      </c>
      <c r="G6587" s="200">
        <v>8.835885E7</v>
      </c>
      <c r="H6587" s="205">
        <v>2.58</v>
      </c>
      <c r="J6587" s="208"/>
      <c r="K6587" s="206"/>
      <c r="L6587" s="193" t="s">
        <v>17471</v>
      </c>
      <c r="M6587" s="193"/>
      <c r="N6587" s="193"/>
    </row>
    <row r="6588">
      <c r="A6588" s="193" t="s">
        <v>25847</v>
      </c>
      <c r="B6588" s="7" t="s">
        <v>187</v>
      </c>
      <c r="C6588" s="7" t="s">
        <v>16846</v>
      </c>
      <c r="D6588" s="199"/>
      <c r="E6588" s="193"/>
      <c r="F6588" s="195" t="s">
        <v>25848</v>
      </c>
      <c r="G6588" s="196">
        <v>8.7988752E7</v>
      </c>
      <c r="H6588" s="197">
        <v>1.43</v>
      </c>
      <c r="I6588" s="7" t="s">
        <v>16815</v>
      </c>
      <c r="J6588" s="7" t="s">
        <v>187</v>
      </c>
      <c r="K6588" s="7" t="s">
        <v>16846</v>
      </c>
      <c r="L6588" s="198" t="s">
        <v>65</v>
      </c>
      <c r="M6588" s="199"/>
      <c r="N6588" s="199"/>
    </row>
    <row r="6589">
      <c r="A6589" s="193" t="s">
        <v>25849</v>
      </c>
      <c r="B6589" s="7" t="s">
        <v>187</v>
      </c>
      <c r="C6589" s="7" t="s">
        <v>17122</v>
      </c>
      <c r="D6589" s="194">
        <v>2011.0</v>
      </c>
      <c r="E6589" s="193"/>
      <c r="F6589" s="195" t="s">
        <v>25850</v>
      </c>
      <c r="G6589" s="196">
        <v>8.7962189E7</v>
      </c>
      <c r="H6589" s="197">
        <v>10.25</v>
      </c>
      <c r="I6589" s="7" t="s">
        <v>16815</v>
      </c>
      <c r="J6589" s="7" t="s">
        <v>187</v>
      </c>
      <c r="K6589" s="7" t="s">
        <v>17122</v>
      </c>
      <c r="L6589" s="198" t="s">
        <v>65</v>
      </c>
      <c r="M6589" s="194"/>
      <c r="N6589" s="194"/>
    </row>
    <row r="6590">
      <c r="A6590" s="193" t="s">
        <v>25849</v>
      </c>
      <c r="B6590" s="202" t="s">
        <v>17122</v>
      </c>
      <c r="C6590" s="193" t="s">
        <v>187</v>
      </c>
      <c r="D6590" s="193">
        <v>2011.0</v>
      </c>
      <c r="E6590" s="193"/>
      <c r="F6590" s="203" t="s">
        <v>25850</v>
      </c>
      <c r="G6590" s="200">
        <v>8.7962189E7</v>
      </c>
      <c r="H6590" s="205">
        <v>32.4</v>
      </c>
      <c r="J6590" s="202" t="s">
        <v>17122</v>
      </c>
      <c r="K6590" s="193" t="s">
        <v>187</v>
      </c>
      <c r="L6590" s="193" t="s">
        <v>17471</v>
      </c>
      <c r="M6590" s="193"/>
      <c r="N6590" s="193"/>
    </row>
    <row r="6591">
      <c r="A6591" s="193" t="s">
        <v>25851</v>
      </c>
      <c r="B6591" s="7" t="s">
        <v>18679</v>
      </c>
      <c r="C6591" s="7" t="s">
        <v>16838</v>
      </c>
      <c r="D6591" s="194">
        <v>2020.0</v>
      </c>
      <c r="E6591" s="193"/>
      <c r="F6591" s="195" t="s">
        <v>25852</v>
      </c>
      <c r="G6591" s="200">
        <v>8.7745931E7</v>
      </c>
      <c r="H6591" s="197">
        <v>14.35</v>
      </c>
      <c r="I6591" s="7" t="s">
        <v>16815</v>
      </c>
      <c r="J6591" s="7" t="s">
        <v>18679</v>
      </c>
      <c r="K6591" s="7" t="s">
        <v>16838</v>
      </c>
      <c r="L6591" s="201" t="s">
        <v>16835</v>
      </c>
      <c r="M6591" s="194"/>
      <c r="N6591" s="194"/>
    </row>
    <row r="6592">
      <c r="A6592" s="193" t="s">
        <v>25851</v>
      </c>
      <c r="B6592" s="7" t="s">
        <v>16838</v>
      </c>
      <c r="C6592" s="7" t="s">
        <v>18679</v>
      </c>
      <c r="D6592" s="194">
        <v>2020.0</v>
      </c>
      <c r="E6592" s="193"/>
      <c r="F6592" s="195" t="s">
        <v>25852</v>
      </c>
      <c r="G6592" s="196">
        <v>8.7745931E7</v>
      </c>
      <c r="H6592" s="197">
        <v>14.35</v>
      </c>
      <c r="I6592" s="7" t="s">
        <v>16815</v>
      </c>
      <c r="J6592" s="7" t="s">
        <v>16838</v>
      </c>
      <c r="K6592" s="7" t="s">
        <v>18679</v>
      </c>
      <c r="L6592" s="198" t="s">
        <v>65</v>
      </c>
      <c r="M6592" s="194"/>
      <c r="N6592" s="194"/>
    </row>
    <row r="6593">
      <c r="A6593" s="193" t="s">
        <v>25853</v>
      </c>
      <c r="B6593" s="7" t="s">
        <v>16910</v>
      </c>
      <c r="C6593" s="7" t="s">
        <v>16911</v>
      </c>
      <c r="D6593" s="199"/>
      <c r="E6593" s="193"/>
      <c r="F6593" s="195" t="s">
        <v>5107</v>
      </c>
      <c r="G6593" s="196">
        <v>8.7611165E7</v>
      </c>
      <c r="H6593" s="197">
        <v>1.0</v>
      </c>
      <c r="I6593" s="7" t="s">
        <v>18397</v>
      </c>
      <c r="J6593" s="7" t="s">
        <v>16910</v>
      </c>
      <c r="K6593" s="7" t="s">
        <v>16911</v>
      </c>
      <c r="L6593" s="198" t="s">
        <v>65</v>
      </c>
      <c r="M6593" s="199"/>
      <c r="N6593" s="199"/>
    </row>
    <row r="6594">
      <c r="A6594" s="193" t="s">
        <v>25854</v>
      </c>
      <c r="B6594" s="7" t="s">
        <v>16838</v>
      </c>
      <c r="C6594" s="7" t="s">
        <v>16837</v>
      </c>
      <c r="D6594" s="199"/>
      <c r="E6594" s="193"/>
      <c r="F6594" s="195" t="s">
        <v>25855</v>
      </c>
      <c r="G6594" s="196">
        <v>8.7413812E7</v>
      </c>
      <c r="H6594" s="197">
        <v>19.48</v>
      </c>
      <c r="I6594" s="7" t="s">
        <v>16815</v>
      </c>
      <c r="J6594" s="7" t="s">
        <v>16838</v>
      </c>
      <c r="K6594" s="7" t="s">
        <v>16837</v>
      </c>
      <c r="L6594" s="198" t="s">
        <v>65</v>
      </c>
      <c r="M6594" s="199"/>
      <c r="N6594" s="199"/>
    </row>
    <row r="6595">
      <c r="A6595" s="193" t="s">
        <v>25856</v>
      </c>
      <c r="B6595" s="7" t="s">
        <v>187</v>
      </c>
      <c r="C6595" s="7" t="s">
        <v>16846</v>
      </c>
      <c r="D6595" s="199"/>
      <c r="E6595" s="193"/>
      <c r="F6595" s="195" t="s">
        <v>25857</v>
      </c>
      <c r="G6595" s="196">
        <v>8.7302318E7</v>
      </c>
      <c r="H6595" s="197">
        <v>1.78</v>
      </c>
      <c r="I6595" s="7" t="s">
        <v>16815</v>
      </c>
      <c r="J6595" s="7" t="s">
        <v>187</v>
      </c>
      <c r="K6595" s="7" t="s">
        <v>16846</v>
      </c>
      <c r="L6595" s="198" t="s">
        <v>65</v>
      </c>
      <c r="M6595" s="199"/>
      <c r="N6595" s="199"/>
    </row>
    <row r="6596">
      <c r="A6596" s="193" t="s">
        <v>25858</v>
      </c>
      <c r="B6596" s="7" t="s">
        <v>187</v>
      </c>
      <c r="C6596" s="7" t="s">
        <v>16846</v>
      </c>
      <c r="D6596" s="199"/>
      <c r="E6596" s="193"/>
      <c r="F6596" s="195" t="s">
        <v>25859</v>
      </c>
      <c r="G6596" s="196">
        <v>8.7287689E7</v>
      </c>
      <c r="H6596" s="197">
        <v>2.9</v>
      </c>
      <c r="I6596" s="7" t="s">
        <v>16815</v>
      </c>
      <c r="J6596" s="7" t="s">
        <v>187</v>
      </c>
      <c r="K6596" s="7" t="s">
        <v>16846</v>
      </c>
      <c r="L6596" s="198" t="s">
        <v>65</v>
      </c>
      <c r="M6596" s="199"/>
      <c r="N6596" s="199"/>
    </row>
    <row r="6597">
      <c r="A6597" s="193" t="s">
        <v>25860</v>
      </c>
      <c r="B6597" s="7" t="s">
        <v>16582</v>
      </c>
      <c r="C6597" s="7" t="s">
        <v>16817</v>
      </c>
      <c r="D6597" s="199"/>
      <c r="E6597" s="193"/>
      <c r="F6597" s="195" t="s">
        <v>25861</v>
      </c>
      <c r="G6597" s="196">
        <v>8.7265861E7</v>
      </c>
      <c r="H6597" s="197">
        <v>2.415</v>
      </c>
      <c r="I6597" s="7" t="s">
        <v>16815</v>
      </c>
      <c r="J6597" s="7" t="s">
        <v>16582</v>
      </c>
      <c r="K6597" s="7" t="s">
        <v>16817</v>
      </c>
      <c r="L6597" s="198" t="s">
        <v>65</v>
      </c>
      <c r="M6597" s="199"/>
      <c r="N6597" s="199"/>
    </row>
    <row r="6598">
      <c r="A6598" s="193" t="s">
        <v>25862</v>
      </c>
      <c r="B6598" s="7" t="s">
        <v>169</v>
      </c>
      <c r="C6598" s="7" t="s">
        <v>16899</v>
      </c>
      <c r="D6598" s="194">
        <v>2021.0</v>
      </c>
      <c r="E6598" s="193"/>
      <c r="F6598" s="195" t="s">
        <v>25863</v>
      </c>
      <c r="G6598" s="196">
        <v>8.7186607E7</v>
      </c>
      <c r="H6598" s="197">
        <v>1.75</v>
      </c>
      <c r="I6598" s="7" t="s">
        <v>16815</v>
      </c>
      <c r="J6598" s="7" t="s">
        <v>169</v>
      </c>
      <c r="K6598" s="7" t="s">
        <v>16899</v>
      </c>
      <c r="L6598" s="198" t="s">
        <v>65</v>
      </c>
      <c r="M6598" s="194"/>
      <c r="N6598" s="194"/>
    </row>
    <row r="6599">
      <c r="A6599" s="193" t="s">
        <v>25864</v>
      </c>
      <c r="B6599" s="7" t="s">
        <v>18679</v>
      </c>
      <c r="C6599" s="7" t="s">
        <v>16838</v>
      </c>
      <c r="D6599" s="194">
        <v>2011.0</v>
      </c>
      <c r="E6599" s="193"/>
      <c r="F6599" s="195" t="s">
        <v>25865</v>
      </c>
      <c r="G6599" s="200">
        <v>8.6834563E7</v>
      </c>
      <c r="H6599" s="197">
        <v>4.7</v>
      </c>
      <c r="I6599" s="7" t="s">
        <v>16815</v>
      </c>
      <c r="J6599" s="7" t="s">
        <v>18679</v>
      </c>
      <c r="K6599" s="7" t="s">
        <v>16838</v>
      </c>
      <c r="L6599" s="201" t="s">
        <v>16835</v>
      </c>
      <c r="M6599" s="194"/>
      <c r="N6599" s="194"/>
    </row>
    <row r="6600">
      <c r="A6600" s="193" t="s">
        <v>25864</v>
      </c>
      <c r="B6600" s="7" t="s">
        <v>16838</v>
      </c>
      <c r="C6600" s="7" t="s">
        <v>18679</v>
      </c>
      <c r="D6600" s="194">
        <v>2011.0</v>
      </c>
      <c r="E6600" s="193"/>
      <c r="F6600" s="195" t="s">
        <v>25865</v>
      </c>
      <c r="G6600" s="196">
        <v>8.6834563E7</v>
      </c>
      <c r="H6600" s="197">
        <v>4.7</v>
      </c>
      <c r="I6600" s="7" t="s">
        <v>16815</v>
      </c>
      <c r="J6600" s="7" t="s">
        <v>16838</v>
      </c>
      <c r="K6600" s="7" t="s">
        <v>18679</v>
      </c>
      <c r="L6600" s="198" t="s">
        <v>65</v>
      </c>
      <c r="M6600" s="194"/>
      <c r="N6600" s="194"/>
    </row>
    <row r="6601">
      <c r="A6601" s="193" t="s">
        <v>25866</v>
      </c>
      <c r="B6601" s="7" t="s">
        <v>187</v>
      </c>
      <c r="C6601" s="7" t="s">
        <v>16846</v>
      </c>
      <c r="D6601" s="199"/>
      <c r="E6601" s="193"/>
      <c r="F6601" s="195" t="s">
        <v>25867</v>
      </c>
      <c r="G6601" s="196">
        <v>8.678153E7</v>
      </c>
      <c r="H6601" s="197">
        <v>0.4549</v>
      </c>
      <c r="I6601" s="7" t="s">
        <v>16815</v>
      </c>
      <c r="J6601" s="7" t="s">
        <v>187</v>
      </c>
      <c r="K6601" s="7" t="s">
        <v>16846</v>
      </c>
      <c r="L6601" s="198" t="s">
        <v>65</v>
      </c>
      <c r="M6601" s="199"/>
      <c r="N6601" s="199"/>
    </row>
    <row r="6602">
      <c r="A6602" s="193" t="s">
        <v>25868</v>
      </c>
      <c r="B6602" s="7" t="s">
        <v>187</v>
      </c>
      <c r="C6602" s="7" t="s">
        <v>17564</v>
      </c>
      <c r="D6602" s="199"/>
      <c r="E6602" s="193"/>
      <c r="F6602" s="195" t="s">
        <v>25869</v>
      </c>
      <c r="G6602" s="196">
        <v>8.6744674E7</v>
      </c>
      <c r="H6602" s="197">
        <v>4.11</v>
      </c>
      <c r="I6602" s="7" t="s">
        <v>16815</v>
      </c>
      <c r="J6602" s="7" t="s">
        <v>187</v>
      </c>
      <c r="K6602" s="7" t="s">
        <v>17564</v>
      </c>
      <c r="L6602" s="198" t="s">
        <v>65</v>
      </c>
      <c r="M6602" s="199"/>
      <c r="N6602" s="199"/>
    </row>
    <row r="6603">
      <c r="A6603" s="193" t="s">
        <v>25870</v>
      </c>
      <c r="B6603" s="7" t="s">
        <v>175</v>
      </c>
      <c r="C6603" s="7" t="s">
        <v>16942</v>
      </c>
      <c r="D6603" s="199"/>
      <c r="E6603" s="193"/>
      <c r="F6603" s="195" t="s">
        <v>25871</v>
      </c>
      <c r="G6603" s="196">
        <v>8.6632907E7</v>
      </c>
      <c r="H6603" s="197">
        <v>5.16</v>
      </c>
      <c r="I6603" s="7" t="s">
        <v>16908</v>
      </c>
      <c r="J6603" s="7" t="s">
        <v>175</v>
      </c>
      <c r="K6603" s="7" t="s">
        <v>16942</v>
      </c>
      <c r="L6603" s="198" t="s">
        <v>65</v>
      </c>
      <c r="M6603" s="199"/>
      <c r="N6603" s="199"/>
    </row>
    <row r="6604">
      <c r="A6604" s="193" t="s">
        <v>25872</v>
      </c>
      <c r="B6604" s="7" t="s">
        <v>16919</v>
      </c>
      <c r="C6604" s="7" t="s">
        <v>17413</v>
      </c>
      <c r="D6604" s="199"/>
      <c r="E6604" s="193"/>
      <c r="F6604" s="195" t="s">
        <v>25873</v>
      </c>
      <c r="G6604" s="196">
        <v>8.6573314E7</v>
      </c>
      <c r="H6604" s="197">
        <v>4.685</v>
      </c>
      <c r="I6604" s="7" t="s">
        <v>16815</v>
      </c>
      <c r="J6604" s="7" t="s">
        <v>16919</v>
      </c>
      <c r="K6604" s="7" t="s">
        <v>17413</v>
      </c>
      <c r="L6604" s="198" t="s">
        <v>65</v>
      </c>
      <c r="M6604" s="199"/>
      <c r="N6604" s="199"/>
    </row>
    <row r="6605">
      <c r="A6605" s="193" t="s">
        <v>25874</v>
      </c>
      <c r="B6605" s="7" t="s">
        <v>187</v>
      </c>
      <c r="C6605" s="7" t="s">
        <v>16858</v>
      </c>
      <c r="D6605" s="194">
        <v>2021.0</v>
      </c>
      <c r="E6605" s="193"/>
      <c r="F6605" s="195" t="s">
        <v>25875</v>
      </c>
      <c r="G6605" s="196">
        <v>8.6328635E7</v>
      </c>
      <c r="H6605" s="197">
        <v>10.89</v>
      </c>
      <c r="I6605" s="7" t="s">
        <v>16815</v>
      </c>
      <c r="J6605" s="7" t="s">
        <v>187</v>
      </c>
      <c r="K6605" s="7" t="s">
        <v>16858</v>
      </c>
      <c r="L6605" s="198" t="s">
        <v>65</v>
      </c>
      <c r="M6605" s="194"/>
      <c r="N6605" s="194"/>
    </row>
    <row r="6606">
      <c r="A6606" s="193" t="s">
        <v>25876</v>
      </c>
      <c r="B6606" s="7" t="s">
        <v>16582</v>
      </c>
      <c r="C6606" s="7" t="s">
        <v>16828</v>
      </c>
      <c r="D6606" s="194">
        <v>1998.0</v>
      </c>
      <c r="E6606" s="193"/>
      <c r="F6606" s="195" t="s">
        <v>25877</v>
      </c>
      <c r="G6606" s="196">
        <v>8.6302046E7</v>
      </c>
      <c r="H6606" s="197">
        <v>1.98</v>
      </c>
      <c r="I6606" s="7" t="s">
        <v>16815</v>
      </c>
      <c r="J6606" s="7" t="s">
        <v>16582</v>
      </c>
      <c r="K6606" s="7" t="s">
        <v>16828</v>
      </c>
      <c r="L6606" s="198" t="s">
        <v>65</v>
      </c>
      <c r="M6606" s="194"/>
      <c r="N6606" s="194"/>
    </row>
    <row r="6607">
      <c r="A6607" s="193" t="s">
        <v>25878</v>
      </c>
      <c r="B6607" s="7" t="s">
        <v>175</v>
      </c>
      <c r="C6607" s="7" t="s">
        <v>17480</v>
      </c>
      <c r="D6607" s="199"/>
      <c r="E6607" s="193"/>
      <c r="F6607" s="195" t="s">
        <v>25879</v>
      </c>
      <c r="G6607" s="196">
        <v>8.6164706E7</v>
      </c>
      <c r="H6607" s="197">
        <v>27.23</v>
      </c>
      <c r="I6607" s="7" t="s">
        <v>168</v>
      </c>
      <c r="J6607" s="7" t="s">
        <v>175</v>
      </c>
      <c r="K6607" s="7" t="s">
        <v>17480</v>
      </c>
      <c r="L6607" s="198" t="s">
        <v>65</v>
      </c>
      <c r="M6607" s="199"/>
      <c r="N6607" s="199"/>
    </row>
    <row r="6608">
      <c r="A6608" s="193" t="s">
        <v>25880</v>
      </c>
      <c r="B6608" s="7" t="s">
        <v>16582</v>
      </c>
      <c r="C6608" s="7" t="s">
        <v>16817</v>
      </c>
      <c r="D6608" s="194">
        <v>2019.0</v>
      </c>
      <c r="E6608" s="193"/>
      <c r="F6608" s="195" t="s">
        <v>25881</v>
      </c>
      <c r="G6608" s="196">
        <v>8.5996491E7</v>
      </c>
      <c r="H6608" s="197">
        <v>1.01</v>
      </c>
      <c r="I6608" s="7" t="s">
        <v>16815</v>
      </c>
      <c r="J6608" s="7" t="s">
        <v>16582</v>
      </c>
      <c r="K6608" s="7" t="s">
        <v>16817</v>
      </c>
      <c r="L6608" s="198" t="s">
        <v>65</v>
      </c>
      <c r="M6608" s="194"/>
      <c r="N6608" s="194"/>
    </row>
    <row r="6609">
      <c r="A6609" s="193" t="s">
        <v>25882</v>
      </c>
      <c r="B6609" s="7" t="s">
        <v>175</v>
      </c>
      <c r="C6609" s="7" t="s">
        <v>19996</v>
      </c>
      <c r="D6609" s="199"/>
      <c r="E6609" s="193"/>
      <c r="F6609" s="195" t="s">
        <v>25883</v>
      </c>
      <c r="G6609" s="196">
        <v>8.5974E7</v>
      </c>
      <c r="H6609" s="197">
        <v>3.22</v>
      </c>
      <c r="I6609" s="7" t="s">
        <v>16908</v>
      </c>
      <c r="J6609" s="7" t="s">
        <v>175</v>
      </c>
      <c r="K6609" s="7" t="s">
        <v>19996</v>
      </c>
      <c r="L6609" s="198" t="s">
        <v>65</v>
      </c>
      <c r="M6609" s="199"/>
      <c r="N6609" s="199"/>
    </row>
    <row r="6610">
      <c r="A6610" s="193" t="s">
        <v>25882</v>
      </c>
      <c r="B6610" s="202" t="s">
        <v>19996</v>
      </c>
      <c r="C6610" s="193" t="s">
        <v>175</v>
      </c>
      <c r="D6610" s="206"/>
      <c r="E6610" s="193"/>
      <c r="F6610" s="203" t="s">
        <v>25883</v>
      </c>
      <c r="G6610" s="200">
        <v>8.5974E7</v>
      </c>
      <c r="H6610" s="205">
        <v>10.25</v>
      </c>
      <c r="J6610" s="202" t="s">
        <v>19996</v>
      </c>
      <c r="K6610" s="193" t="s">
        <v>175</v>
      </c>
      <c r="L6610" s="193" t="s">
        <v>17471</v>
      </c>
      <c r="M6610" s="206"/>
      <c r="N6610" s="206"/>
    </row>
    <row r="6611">
      <c r="A6611" s="193" t="s">
        <v>25884</v>
      </c>
      <c r="B6611" s="7" t="s">
        <v>16838</v>
      </c>
      <c r="C6611" s="7" t="s">
        <v>16837</v>
      </c>
      <c r="D6611" s="199"/>
      <c r="E6611" s="193"/>
      <c r="F6611" s="195" t="s">
        <v>25885</v>
      </c>
      <c r="G6611" s="196">
        <v>8.5944429E7</v>
      </c>
      <c r="H6611" s="197">
        <v>25.65</v>
      </c>
      <c r="I6611" s="7" t="s">
        <v>16815</v>
      </c>
      <c r="J6611" s="7" t="s">
        <v>16838</v>
      </c>
      <c r="K6611" s="7" t="s">
        <v>16837</v>
      </c>
      <c r="L6611" s="198" t="s">
        <v>65</v>
      </c>
      <c r="M6611" s="199"/>
      <c r="N6611" s="199"/>
    </row>
    <row r="6612">
      <c r="A6612" s="193" t="s">
        <v>25886</v>
      </c>
      <c r="B6612" s="7" t="s">
        <v>187</v>
      </c>
      <c r="C6612" s="7" t="s">
        <v>16851</v>
      </c>
      <c r="D6612" s="194">
        <v>2021.0</v>
      </c>
      <c r="E6612" s="193"/>
      <c r="F6612" s="195" t="s">
        <v>25887</v>
      </c>
      <c r="G6612" s="196">
        <v>8.5556032E7</v>
      </c>
      <c r="H6612" s="197">
        <v>1.755</v>
      </c>
      <c r="I6612" s="7" t="s">
        <v>16815</v>
      </c>
      <c r="J6612" s="7" t="s">
        <v>187</v>
      </c>
      <c r="K6612" s="7" t="s">
        <v>16851</v>
      </c>
      <c r="L6612" s="198" t="s">
        <v>65</v>
      </c>
      <c r="M6612" s="194"/>
      <c r="N6612" s="194"/>
    </row>
    <row r="6613">
      <c r="A6613" s="193" t="s">
        <v>25888</v>
      </c>
      <c r="B6613" s="7" t="s">
        <v>17112</v>
      </c>
      <c r="C6613" s="7" t="s">
        <v>17457</v>
      </c>
      <c r="D6613" s="199"/>
      <c r="E6613" s="193"/>
      <c r="F6613" s="195" t="s">
        <v>25889</v>
      </c>
      <c r="G6613" s="196">
        <v>8.5500632E7</v>
      </c>
      <c r="H6613" s="197">
        <v>16.22</v>
      </c>
      <c r="I6613" s="7" t="s">
        <v>16815</v>
      </c>
      <c r="J6613" s="7" t="s">
        <v>17112</v>
      </c>
      <c r="K6613" s="7" t="s">
        <v>17457</v>
      </c>
      <c r="L6613" s="198" t="s">
        <v>65</v>
      </c>
      <c r="M6613" s="199"/>
      <c r="N6613" s="199"/>
    </row>
    <row r="6614">
      <c r="A6614" s="193" t="s">
        <v>25888</v>
      </c>
      <c r="B6614" s="7" t="s">
        <v>17457</v>
      </c>
      <c r="C6614" s="7" t="s">
        <v>17112</v>
      </c>
      <c r="D6614" s="199"/>
      <c r="E6614" s="193"/>
      <c r="F6614" s="195" t="s">
        <v>25889</v>
      </c>
      <c r="G6614" s="200">
        <v>8.5500632E7</v>
      </c>
      <c r="H6614" s="197">
        <v>16.22</v>
      </c>
      <c r="I6614" s="7" t="s">
        <v>16815</v>
      </c>
      <c r="J6614" s="7" t="s">
        <v>17457</v>
      </c>
      <c r="K6614" s="7" t="s">
        <v>17112</v>
      </c>
      <c r="L6614" s="201" t="s">
        <v>16835</v>
      </c>
      <c r="M6614" s="199"/>
      <c r="N6614" s="199"/>
    </row>
    <row r="6615">
      <c r="A6615" s="193" t="s">
        <v>25890</v>
      </c>
      <c r="B6615" s="7" t="s">
        <v>169</v>
      </c>
      <c r="C6615" s="7" t="s">
        <v>17702</v>
      </c>
      <c r="D6615" s="194">
        <v>2016.0</v>
      </c>
      <c r="E6615" s="193"/>
      <c r="F6615" s="195" t="s">
        <v>25891</v>
      </c>
      <c r="G6615" s="196">
        <v>8.54819E7</v>
      </c>
      <c r="H6615" s="197">
        <v>2.07</v>
      </c>
      <c r="I6615" s="7" t="s">
        <v>16815</v>
      </c>
      <c r="J6615" s="7" t="s">
        <v>169</v>
      </c>
      <c r="K6615" s="7" t="s">
        <v>17702</v>
      </c>
      <c r="L6615" s="198" t="s">
        <v>65</v>
      </c>
      <c r="M6615" s="194"/>
      <c r="N6615" s="194"/>
    </row>
    <row r="6616">
      <c r="A6616" s="193" t="s">
        <v>25892</v>
      </c>
      <c r="B6616" s="7" t="s">
        <v>16838</v>
      </c>
      <c r="C6616" s="7" t="s">
        <v>17016</v>
      </c>
      <c r="D6616" s="194">
        <v>2019.0</v>
      </c>
      <c r="E6616" s="193"/>
      <c r="F6616" s="195" t="s">
        <v>25893</v>
      </c>
      <c r="G6616" s="196">
        <v>8.5451522E7</v>
      </c>
      <c r="H6616" s="197">
        <v>2.51</v>
      </c>
      <c r="I6616" s="7" t="s">
        <v>16815</v>
      </c>
      <c r="J6616" s="7" t="s">
        <v>16838</v>
      </c>
      <c r="K6616" s="7" t="s">
        <v>17016</v>
      </c>
      <c r="L6616" s="198" t="s">
        <v>65</v>
      </c>
      <c r="M6616" s="194"/>
      <c r="N6616" s="194"/>
    </row>
    <row r="6617">
      <c r="A6617" s="193" t="s">
        <v>25894</v>
      </c>
      <c r="B6617" s="7" t="s">
        <v>175</v>
      </c>
      <c r="C6617" s="7" t="s">
        <v>18570</v>
      </c>
      <c r="D6617" s="199"/>
      <c r="E6617" s="193"/>
      <c r="F6617" s="195" t="s">
        <v>25895</v>
      </c>
      <c r="G6617" s="196">
        <v>8.5252749E7</v>
      </c>
      <c r="H6617" s="197">
        <v>16.39</v>
      </c>
      <c r="I6617" s="7" t="s">
        <v>16908</v>
      </c>
      <c r="J6617" s="7" t="s">
        <v>175</v>
      </c>
      <c r="K6617" s="7" t="s">
        <v>18570</v>
      </c>
      <c r="L6617" s="198" t="s">
        <v>65</v>
      </c>
      <c r="M6617" s="199"/>
      <c r="N6617" s="199"/>
    </row>
    <row r="6618">
      <c r="A6618" s="193" t="s">
        <v>25896</v>
      </c>
      <c r="B6618" s="7" t="s">
        <v>16838</v>
      </c>
      <c r="C6618" s="7" t="s">
        <v>16837</v>
      </c>
      <c r="D6618" s="199"/>
      <c r="E6618" s="193"/>
      <c r="F6618" s="195" t="s">
        <v>25897</v>
      </c>
      <c r="G6618" s="196">
        <v>8.478419E7</v>
      </c>
      <c r="H6618" s="197">
        <v>19.7</v>
      </c>
      <c r="I6618" s="7" t="s">
        <v>16815</v>
      </c>
      <c r="J6618" s="7" t="s">
        <v>16838</v>
      </c>
      <c r="K6618" s="7" t="s">
        <v>16837</v>
      </c>
      <c r="L6618" s="198" t="s">
        <v>65</v>
      </c>
      <c r="M6618" s="199"/>
      <c r="N6618" s="199"/>
    </row>
    <row r="6619">
      <c r="A6619" s="193" t="s">
        <v>25898</v>
      </c>
      <c r="B6619" s="7" t="s">
        <v>17111</v>
      </c>
      <c r="C6619" s="7" t="s">
        <v>17112</v>
      </c>
      <c r="D6619" s="194">
        <v>2013.0</v>
      </c>
      <c r="E6619" s="193"/>
      <c r="F6619" s="195" t="s">
        <v>25899</v>
      </c>
      <c r="G6619" s="200">
        <v>8.4766186E7</v>
      </c>
      <c r="H6619" s="197">
        <v>5.61</v>
      </c>
      <c r="I6619" s="7" t="s">
        <v>16815</v>
      </c>
      <c r="J6619" s="7" t="s">
        <v>17111</v>
      </c>
      <c r="K6619" s="7" t="s">
        <v>17112</v>
      </c>
      <c r="L6619" s="201" t="s">
        <v>16835</v>
      </c>
      <c r="M6619" s="194"/>
      <c r="N6619" s="194"/>
    </row>
    <row r="6620">
      <c r="A6620" s="193" t="s">
        <v>25898</v>
      </c>
      <c r="B6620" s="7" t="s">
        <v>17112</v>
      </c>
      <c r="C6620" s="7" t="s">
        <v>17111</v>
      </c>
      <c r="D6620" s="194">
        <v>2013.0</v>
      </c>
      <c r="E6620" s="193"/>
      <c r="F6620" s="195" t="s">
        <v>25899</v>
      </c>
      <c r="G6620" s="196">
        <v>8.4766186E7</v>
      </c>
      <c r="H6620" s="197">
        <v>5.61</v>
      </c>
      <c r="I6620" s="7" t="s">
        <v>16815</v>
      </c>
      <c r="J6620" s="7" t="s">
        <v>17112</v>
      </c>
      <c r="K6620" s="7" t="s">
        <v>17111</v>
      </c>
      <c r="L6620" s="198" t="s">
        <v>65</v>
      </c>
      <c r="M6620" s="194"/>
      <c r="N6620" s="194"/>
    </row>
    <row r="6621">
      <c r="A6621" s="193" t="s">
        <v>25900</v>
      </c>
      <c r="B6621" s="7" t="s">
        <v>187</v>
      </c>
      <c r="C6621" s="7" t="s">
        <v>16846</v>
      </c>
      <c r="D6621" s="194">
        <v>2020.0</v>
      </c>
      <c r="E6621" s="193"/>
      <c r="F6621" s="195" t="s">
        <v>25901</v>
      </c>
      <c r="G6621" s="196">
        <v>8.4763399E7</v>
      </c>
      <c r="H6621" s="197">
        <v>1.72</v>
      </c>
      <c r="I6621" s="7" t="s">
        <v>16815</v>
      </c>
      <c r="J6621" s="7" t="s">
        <v>187</v>
      </c>
      <c r="K6621" s="7" t="s">
        <v>16846</v>
      </c>
      <c r="L6621" s="198" t="s">
        <v>65</v>
      </c>
      <c r="M6621" s="194"/>
      <c r="N6621" s="194"/>
    </row>
    <row r="6622">
      <c r="A6622" s="193" t="s">
        <v>25902</v>
      </c>
      <c r="D6622" s="199"/>
      <c r="E6622" s="193"/>
      <c r="F6622" s="195" t="s">
        <v>25903</v>
      </c>
      <c r="G6622" s="196">
        <v>8.4760764E7</v>
      </c>
      <c r="H6622" s="197">
        <v>2.57</v>
      </c>
      <c r="I6622" s="7" t="s">
        <v>16815</v>
      </c>
      <c r="L6622" s="198" t="s">
        <v>65</v>
      </c>
      <c r="M6622" s="199"/>
      <c r="N6622" s="199"/>
    </row>
    <row r="6623">
      <c r="A6623" s="193" t="s">
        <v>25904</v>
      </c>
      <c r="B6623" s="7" t="s">
        <v>16582</v>
      </c>
      <c r="C6623" s="7" t="s">
        <v>16817</v>
      </c>
      <c r="D6623" s="199"/>
      <c r="E6623" s="193"/>
      <c r="F6623" s="195" t="s">
        <v>25905</v>
      </c>
      <c r="G6623" s="196">
        <v>8.4709716E7</v>
      </c>
      <c r="H6623" s="197">
        <v>2.6</v>
      </c>
      <c r="I6623" s="7" t="s">
        <v>16815</v>
      </c>
      <c r="J6623" s="7" t="s">
        <v>16582</v>
      </c>
      <c r="K6623" s="7" t="s">
        <v>16817</v>
      </c>
      <c r="L6623" s="198" t="s">
        <v>65</v>
      </c>
      <c r="M6623" s="199"/>
      <c r="N6623" s="199"/>
    </row>
    <row r="6624">
      <c r="A6624" s="193" t="s">
        <v>25906</v>
      </c>
      <c r="B6624" s="7" t="s">
        <v>17202</v>
      </c>
      <c r="C6624" s="7" t="s">
        <v>16838</v>
      </c>
      <c r="D6624" s="194">
        <v>1987.0</v>
      </c>
      <c r="E6624" s="193"/>
      <c r="F6624" s="195" t="s">
        <v>24747</v>
      </c>
      <c r="G6624" s="200">
        <v>8.4551062E7</v>
      </c>
      <c r="H6624" s="197">
        <v>2.985</v>
      </c>
      <c r="I6624" s="7" t="s">
        <v>16815</v>
      </c>
      <c r="J6624" s="7" t="s">
        <v>17202</v>
      </c>
      <c r="K6624" s="7" t="s">
        <v>16838</v>
      </c>
      <c r="L6624" s="201" t="s">
        <v>16835</v>
      </c>
      <c r="M6624" s="194"/>
      <c r="N6624" s="194"/>
    </row>
    <row r="6625">
      <c r="A6625" s="193" t="s">
        <v>25906</v>
      </c>
      <c r="B6625" s="7" t="s">
        <v>16838</v>
      </c>
      <c r="C6625" s="7" t="s">
        <v>17202</v>
      </c>
      <c r="D6625" s="194">
        <v>1987.0</v>
      </c>
      <c r="E6625" s="193"/>
      <c r="F6625" s="195" t="s">
        <v>24747</v>
      </c>
      <c r="G6625" s="196">
        <v>8.4551062E7</v>
      </c>
      <c r="H6625" s="197">
        <v>2.985</v>
      </c>
      <c r="I6625" s="7" t="s">
        <v>16815</v>
      </c>
      <c r="J6625" s="7" t="s">
        <v>16838</v>
      </c>
      <c r="K6625" s="7" t="s">
        <v>17202</v>
      </c>
      <c r="L6625" s="198" t="s">
        <v>65</v>
      </c>
      <c r="M6625" s="194"/>
      <c r="N6625" s="194"/>
    </row>
    <row r="6626">
      <c r="A6626" s="193" t="s">
        <v>25907</v>
      </c>
      <c r="B6626" s="7" t="s">
        <v>169</v>
      </c>
      <c r="C6626" s="7" t="s">
        <v>17532</v>
      </c>
      <c r="D6626" s="199"/>
      <c r="E6626" s="193"/>
      <c r="F6626" s="195" t="s">
        <v>25908</v>
      </c>
      <c r="G6626" s="196">
        <v>8.4446945E7</v>
      </c>
      <c r="H6626" s="197">
        <v>8.34</v>
      </c>
      <c r="I6626" s="7" t="s">
        <v>16815</v>
      </c>
      <c r="J6626" s="7" t="s">
        <v>169</v>
      </c>
      <c r="K6626" s="7" t="s">
        <v>17532</v>
      </c>
      <c r="L6626" s="198" t="s">
        <v>65</v>
      </c>
      <c r="M6626" s="199"/>
      <c r="N6626" s="199"/>
    </row>
    <row r="6627">
      <c r="A6627" s="193" t="s">
        <v>25909</v>
      </c>
      <c r="B6627" s="7" t="s">
        <v>17112</v>
      </c>
      <c r="C6627" s="7" t="s">
        <v>17218</v>
      </c>
      <c r="D6627" s="194">
        <v>2018.0</v>
      </c>
      <c r="E6627" s="193"/>
      <c r="F6627" s="195" t="s">
        <v>25910</v>
      </c>
      <c r="G6627" s="196">
        <v>8.422551E7</v>
      </c>
      <c r="H6627" s="197">
        <v>6.08</v>
      </c>
      <c r="I6627" s="7" t="s">
        <v>16815</v>
      </c>
      <c r="J6627" s="7" t="s">
        <v>17112</v>
      </c>
      <c r="K6627" s="7" t="s">
        <v>17218</v>
      </c>
      <c r="L6627" s="198" t="s">
        <v>65</v>
      </c>
      <c r="M6627" s="194"/>
      <c r="N6627" s="194"/>
    </row>
    <row r="6628">
      <c r="A6628" s="193" t="s">
        <v>25909</v>
      </c>
      <c r="B6628" s="7" t="s">
        <v>17218</v>
      </c>
      <c r="C6628" s="7" t="s">
        <v>17112</v>
      </c>
      <c r="D6628" s="194">
        <v>2018.0</v>
      </c>
      <c r="E6628" s="193"/>
      <c r="F6628" s="195" t="s">
        <v>25910</v>
      </c>
      <c r="G6628" s="200">
        <v>8.422551E7</v>
      </c>
      <c r="H6628" s="197">
        <v>6.08</v>
      </c>
      <c r="I6628" s="7" t="s">
        <v>16815</v>
      </c>
      <c r="J6628" s="7" t="s">
        <v>17218</v>
      </c>
      <c r="K6628" s="7" t="s">
        <v>17112</v>
      </c>
      <c r="L6628" s="201" t="s">
        <v>16835</v>
      </c>
      <c r="M6628" s="194"/>
      <c r="N6628" s="194"/>
    </row>
    <row r="6629">
      <c r="A6629" s="193" t="s">
        <v>25911</v>
      </c>
      <c r="B6629" s="7" t="s">
        <v>169</v>
      </c>
      <c r="C6629" s="7" t="s">
        <v>17532</v>
      </c>
      <c r="D6629" s="194">
        <v>1975.0</v>
      </c>
      <c r="E6629" s="193"/>
      <c r="F6629" s="195" t="s">
        <v>25912</v>
      </c>
      <c r="G6629" s="196">
        <v>8.4151968E7</v>
      </c>
      <c r="H6629" s="197">
        <v>11.41</v>
      </c>
      <c r="I6629" s="7" t="s">
        <v>16815</v>
      </c>
      <c r="J6629" s="7" t="s">
        <v>169</v>
      </c>
      <c r="K6629" s="7" t="s">
        <v>17532</v>
      </c>
      <c r="L6629" s="198" t="s">
        <v>65</v>
      </c>
      <c r="M6629" s="194"/>
      <c r="N6629" s="194"/>
    </row>
    <row r="6630">
      <c r="A6630" s="193" t="s">
        <v>25911</v>
      </c>
      <c r="B6630" s="202" t="s">
        <v>17532</v>
      </c>
      <c r="C6630" s="193" t="s">
        <v>169</v>
      </c>
      <c r="D6630" s="193">
        <v>1975.0</v>
      </c>
      <c r="E6630" s="193"/>
      <c r="F6630" s="203" t="s">
        <v>25912</v>
      </c>
      <c r="G6630" s="200">
        <v>8.4151968E7</v>
      </c>
      <c r="H6630" s="205">
        <v>3.22</v>
      </c>
      <c r="J6630" s="202" t="s">
        <v>17532</v>
      </c>
      <c r="K6630" s="193" t="s">
        <v>169</v>
      </c>
      <c r="L6630" s="193" t="s">
        <v>17471</v>
      </c>
      <c r="M6630" s="193"/>
      <c r="N6630" s="193"/>
    </row>
    <row r="6631">
      <c r="A6631" s="193" t="s">
        <v>25913</v>
      </c>
      <c r="B6631" s="7" t="s">
        <v>16582</v>
      </c>
      <c r="C6631" s="7" t="s">
        <v>16817</v>
      </c>
      <c r="D6631" s="194">
        <v>2014.0</v>
      </c>
      <c r="E6631" s="193"/>
      <c r="F6631" s="195" t="s">
        <v>25914</v>
      </c>
      <c r="G6631" s="196">
        <v>8.3862567E7</v>
      </c>
      <c r="H6631" s="197">
        <v>1.03</v>
      </c>
      <c r="I6631" s="7" t="s">
        <v>16815</v>
      </c>
      <c r="J6631" s="7" t="s">
        <v>16582</v>
      </c>
      <c r="K6631" s="7" t="s">
        <v>16817</v>
      </c>
      <c r="L6631" s="198" t="s">
        <v>65</v>
      </c>
      <c r="M6631" s="194"/>
      <c r="N6631" s="194"/>
    </row>
    <row r="6632">
      <c r="A6632" s="193" t="s">
        <v>25915</v>
      </c>
      <c r="B6632" s="7" t="s">
        <v>16582</v>
      </c>
      <c r="C6632" s="7" t="s">
        <v>16828</v>
      </c>
      <c r="D6632" s="199"/>
      <c r="E6632" s="193"/>
      <c r="F6632" s="195" t="s">
        <v>25916</v>
      </c>
      <c r="G6632" s="196">
        <v>8.3822971E7</v>
      </c>
      <c r="H6632" s="197">
        <v>6.015</v>
      </c>
      <c r="I6632" s="7" t="s">
        <v>16815</v>
      </c>
      <c r="J6632" s="7" t="s">
        <v>16582</v>
      </c>
      <c r="K6632" s="7" t="s">
        <v>16828</v>
      </c>
      <c r="L6632" s="198" t="s">
        <v>65</v>
      </c>
      <c r="M6632" s="199"/>
      <c r="N6632" s="199"/>
    </row>
    <row r="6633">
      <c r="A6633" s="193" t="s">
        <v>25917</v>
      </c>
      <c r="B6633" s="7" t="s">
        <v>175</v>
      </c>
      <c r="C6633" s="7" t="s">
        <v>16957</v>
      </c>
      <c r="D6633" s="194">
        <v>2020.0</v>
      </c>
      <c r="E6633" s="193"/>
      <c r="F6633" s="195" t="s">
        <v>25918</v>
      </c>
      <c r="G6633" s="196">
        <v>8.3708316E7</v>
      </c>
      <c r="H6633" s="197">
        <v>2.27</v>
      </c>
      <c r="I6633" s="7" t="s">
        <v>16844</v>
      </c>
      <c r="J6633" s="7" t="s">
        <v>175</v>
      </c>
      <c r="K6633" s="7" t="s">
        <v>16957</v>
      </c>
      <c r="L6633" s="198" t="s">
        <v>65</v>
      </c>
      <c r="M6633" s="194"/>
      <c r="N6633" s="194"/>
    </row>
    <row r="6634">
      <c r="A6634" s="193" t="s">
        <v>25919</v>
      </c>
      <c r="B6634" s="7" t="s">
        <v>187</v>
      </c>
      <c r="C6634" s="7" t="s">
        <v>16846</v>
      </c>
      <c r="D6634" s="194">
        <v>2019.0</v>
      </c>
      <c r="E6634" s="193"/>
      <c r="F6634" s="195" t="s">
        <v>25920</v>
      </c>
      <c r="G6634" s="196">
        <v>8.3644479E7</v>
      </c>
      <c r="H6634" s="197">
        <v>1.31</v>
      </c>
      <c r="I6634" s="7" t="s">
        <v>16815</v>
      </c>
      <c r="J6634" s="7" t="s">
        <v>187</v>
      </c>
      <c r="K6634" s="7" t="s">
        <v>16846</v>
      </c>
      <c r="L6634" s="198" t="s">
        <v>65</v>
      </c>
      <c r="M6634" s="194"/>
      <c r="N6634" s="194"/>
    </row>
    <row r="6635">
      <c r="A6635" s="193" t="s">
        <v>25921</v>
      </c>
      <c r="B6635" s="7" t="s">
        <v>175</v>
      </c>
      <c r="C6635" s="7" t="s">
        <v>17025</v>
      </c>
      <c r="D6635" s="199"/>
      <c r="E6635" s="193"/>
      <c r="F6635" s="195" t="s">
        <v>25922</v>
      </c>
      <c r="G6635" s="196">
        <v>8.3576822E7</v>
      </c>
      <c r="H6635" s="197">
        <v>3.35</v>
      </c>
      <c r="I6635" s="193" t="s">
        <v>16908</v>
      </c>
      <c r="J6635" s="7" t="s">
        <v>175</v>
      </c>
      <c r="K6635" s="7" t="s">
        <v>17025</v>
      </c>
      <c r="L6635" s="198" t="s">
        <v>65</v>
      </c>
      <c r="M6635" s="199"/>
      <c r="N6635" s="199"/>
    </row>
    <row r="6636">
      <c r="A6636" s="193" t="s">
        <v>25923</v>
      </c>
      <c r="B6636" s="7" t="s">
        <v>187</v>
      </c>
      <c r="C6636" s="7" t="s">
        <v>16846</v>
      </c>
      <c r="D6636" s="194">
        <v>2013.0</v>
      </c>
      <c r="E6636" s="193"/>
      <c r="F6636" s="195" t="s">
        <v>25924</v>
      </c>
      <c r="G6636" s="196">
        <v>8.3557822E7</v>
      </c>
      <c r="H6636" s="197">
        <v>0.94</v>
      </c>
      <c r="I6636" s="7" t="s">
        <v>16815</v>
      </c>
      <c r="J6636" s="7" t="s">
        <v>187</v>
      </c>
      <c r="K6636" s="7" t="s">
        <v>16846</v>
      </c>
      <c r="L6636" s="198" t="s">
        <v>65</v>
      </c>
      <c r="M6636" s="194"/>
      <c r="N6636" s="194"/>
    </row>
    <row r="6637">
      <c r="A6637" s="193" t="s">
        <v>25925</v>
      </c>
      <c r="B6637" s="7" t="s">
        <v>16838</v>
      </c>
      <c r="C6637" s="7" t="s">
        <v>17019</v>
      </c>
      <c r="D6637" s="194">
        <v>2021.0</v>
      </c>
      <c r="E6637" s="193"/>
      <c r="F6637" s="195" t="s">
        <v>25926</v>
      </c>
      <c r="G6637" s="196">
        <v>8.352592E7</v>
      </c>
      <c r="H6637" s="197">
        <v>10.68</v>
      </c>
      <c r="I6637" s="7" t="s">
        <v>16815</v>
      </c>
      <c r="J6637" s="7" t="s">
        <v>16838</v>
      </c>
      <c r="K6637" s="7" t="s">
        <v>17019</v>
      </c>
      <c r="L6637" s="198" t="s">
        <v>65</v>
      </c>
      <c r="M6637" s="194"/>
      <c r="N6637" s="194"/>
    </row>
    <row r="6638">
      <c r="A6638" s="193" t="s">
        <v>25925</v>
      </c>
      <c r="B6638" s="202" t="s">
        <v>17019</v>
      </c>
      <c r="C6638" s="193" t="s">
        <v>16838</v>
      </c>
      <c r="D6638" s="193">
        <v>2021.0</v>
      </c>
      <c r="E6638" s="193"/>
      <c r="F6638" s="203" t="s">
        <v>25926</v>
      </c>
      <c r="G6638" s="200">
        <v>8.352592E7</v>
      </c>
      <c r="H6638" s="205">
        <v>11.41</v>
      </c>
      <c r="J6638" s="202" t="s">
        <v>17019</v>
      </c>
      <c r="K6638" s="193" t="s">
        <v>16838</v>
      </c>
      <c r="L6638" s="193" t="s">
        <v>17471</v>
      </c>
      <c r="M6638" s="193"/>
      <c r="N6638" s="193"/>
    </row>
    <row r="6639">
      <c r="A6639" s="193" t="s">
        <v>25927</v>
      </c>
      <c r="B6639" s="7" t="s">
        <v>187</v>
      </c>
      <c r="C6639" s="7" t="s">
        <v>16969</v>
      </c>
      <c r="D6639" s="194">
        <v>2022.0</v>
      </c>
      <c r="E6639" s="193"/>
      <c r="F6639" s="195" t="s">
        <v>25928</v>
      </c>
      <c r="G6639" s="196">
        <v>8.3268035E7</v>
      </c>
      <c r="H6639" s="197">
        <v>3.5</v>
      </c>
      <c r="I6639" s="7" t="s">
        <v>16815</v>
      </c>
      <c r="J6639" s="7" t="s">
        <v>187</v>
      </c>
      <c r="K6639" s="7" t="s">
        <v>16969</v>
      </c>
      <c r="L6639" s="198" t="s">
        <v>65</v>
      </c>
      <c r="M6639" s="194"/>
      <c r="N6639" s="194"/>
    </row>
    <row r="6640">
      <c r="A6640" s="193" t="s">
        <v>25927</v>
      </c>
      <c r="B6640" s="202" t="s">
        <v>16969</v>
      </c>
      <c r="C6640" s="193" t="s">
        <v>187</v>
      </c>
      <c r="D6640" s="193">
        <v>2022.0</v>
      </c>
      <c r="E6640" s="193"/>
      <c r="F6640" s="203" t="s">
        <v>25928</v>
      </c>
      <c r="G6640" s="200">
        <v>8.3268035E7</v>
      </c>
      <c r="H6640" s="205">
        <v>10.68</v>
      </c>
      <c r="J6640" s="202" t="s">
        <v>16969</v>
      </c>
      <c r="K6640" s="193" t="s">
        <v>187</v>
      </c>
      <c r="L6640" s="193" t="s">
        <v>17471</v>
      </c>
      <c r="M6640" s="193"/>
      <c r="N6640" s="193"/>
    </row>
    <row r="6641">
      <c r="A6641" s="193" t="s">
        <v>25929</v>
      </c>
      <c r="B6641" s="7" t="s">
        <v>16838</v>
      </c>
      <c r="C6641" s="7" t="s">
        <v>16867</v>
      </c>
      <c r="D6641" s="199"/>
      <c r="E6641" s="193"/>
      <c r="F6641" s="195" t="s">
        <v>25930</v>
      </c>
      <c r="G6641" s="196">
        <v>8.3215783E7</v>
      </c>
      <c r="H6641" s="197">
        <v>16.52</v>
      </c>
      <c r="I6641" s="7" t="s">
        <v>16815</v>
      </c>
      <c r="J6641" s="7" t="s">
        <v>16838</v>
      </c>
      <c r="K6641" s="7" t="s">
        <v>16867</v>
      </c>
      <c r="L6641" s="198" t="s">
        <v>65</v>
      </c>
      <c r="M6641" s="199"/>
      <c r="N6641" s="199"/>
    </row>
    <row r="6642">
      <c r="A6642" s="193" t="s">
        <v>25931</v>
      </c>
      <c r="D6642" s="194">
        <v>2023.0</v>
      </c>
      <c r="E6642" s="193"/>
      <c r="F6642" s="195" t="s">
        <v>25932</v>
      </c>
      <c r="G6642" s="196">
        <v>8.3194388E7</v>
      </c>
      <c r="H6642" s="197">
        <v>8.75</v>
      </c>
      <c r="I6642" s="7" t="s">
        <v>16815</v>
      </c>
      <c r="L6642" s="198" t="s">
        <v>65</v>
      </c>
      <c r="M6642" s="194"/>
      <c r="N6642" s="194"/>
    </row>
    <row r="6643">
      <c r="A6643" s="193" t="s">
        <v>25933</v>
      </c>
      <c r="B6643" s="7" t="s">
        <v>175</v>
      </c>
      <c r="C6643" s="7" t="s">
        <v>16824</v>
      </c>
      <c r="D6643" s="199"/>
      <c r="E6643" s="193"/>
      <c r="F6643" s="195" t="s">
        <v>25934</v>
      </c>
      <c r="G6643" s="196">
        <v>8.2997488E7</v>
      </c>
      <c r="H6643" s="197">
        <v>12.99</v>
      </c>
      <c r="I6643" s="7" t="s">
        <v>16826</v>
      </c>
      <c r="J6643" s="7" t="s">
        <v>175</v>
      </c>
      <c r="K6643" s="7" t="s">
        <v>16824</v>
      </c>
      <c r="L6643" s="198" t="s">
        <v>65</v>
      </c>
      <c r="M6643" s="199"/>
      <c r="N6643" s="199"/>
    </row>
    <row r="6644">
      <c r="A6644" s="193" t="s">
        <v>25935</v>
      </c>
      <c r="B6644" s="7" t="s">
        <v>187</v>
      </c>
      <c r="C6644" s="7" t="s">
        <v>16846</v>
      </c>
      <c r="D6644" s="199"/>
      <c r="E6644" s="193"/>
      <c r="F6644" s="195" t="s">
        <v>25936</v>
      </c>
      <c r="G6644" s="196">
        <v>8.2877443E7</v>
      </c>
      <c r="H6644" s="197">
        <v>0.918</v>
      </c>
      <c r="I6644" s="7" t="s">
        <v>16815</v>
      </c>
      <c r="J6644" s="7" t="s">
        <v>187</v>
      </c>
      <c r="K6644" s="7" t="s">
        <v>16846</v>
      </c>
      <c r="L6644" s="198" t="s">
        <v>65</v>
      </c>
      <c r="M6644" s="199"/>
      <c r="N6644" s="199"/>
    </row>
    <row r="6645">
      <c r="A6645" s="193" t="s">
        <v>25937</v>
      </c>
      <c r="B6645" s="7" t="s">
        <v>187</v>
      </c>
      <c r="C6645" s="7" t="s">
        <v>16846</v>
      </c>
      <c r="D6645" s="199"/>
      <c r="E6645" s="193"/>
      <c r="F6645" s="195" t="s">
        <v>25938</v>
      </c>
      <c r="G6645" s="196">
        <v>8.240048E7</v>
      </c>
      <c r="H6645" s="197">
        <v>0.5854</v>
      </c>
      <c r="I6645" s="7" t="s">
        <v>16815</v>
      </c>
      <c r="J6645" s="7" t="s">
        <v>187</v>
      </c>
      <c r="K6645" s="7" t="s">
        <v>16846</v>
      </c>
      <c r="L6645" s="198" t="s">
        <v>65</v>
      </c>
      <c r="M6645" s="199"/>
      <c r="N6645" s="199"/>
    </row>
    <row r="6646">
      <c r="A6646" s="193" t="s">
        <v>25939</v>
      </c>
      <c r="B6646" s="7" t="s">
        <v>169</v>
      </c>
      <c r="C6646" s="7" t="s">
        <v>17827</v>
      </c>
      <c r="D6646" s="199"/>
      <c r="E6646" s="193"/>
      <c r="F6646" s="195" t="s">
        <v>25940</v>
      </c>
      <c r="G6646" s="196">
        <v>8.2328474E7</v>
      </c>
      <c r="H6646" s="197">
        <v>5.73</v>
      </c>
      <c r="I6646" s="7" t="s">
        <v>16815</v>
      </c>
      <c r="J6646" s="7" t="s">
        <v>169</v>
      </c>
      <c r="K6646" s="7" t="s">
        <v>17827</v>
      </c>
      <c r="L6646" s="198" t="s">
        <v>65</v>
      </c>
      <c r="M6646" s="199"/>
      <c r="N6646" s="199"/>
    </row>
    <row r="6647">
      <c r="A6647" s="193" t="s">
        <v>25941</v>
      </c>
      <c r="B6647" s="7" t="s">
        <v>175</v>
      </c>
      <c r="C6647" s="7" t="s">
        <v>16824</v>
      </c>
      <c r="D6647" s="194">
        <v>2021.0</v>
      </c>
      <c r="E6647" s="193"/>
      <c r="F6647" s="195" t="s">
        <v>25942</v>
      </c>
      <c r="G6647" s="196">
        <v>8.2161309E7</v>
      </c>
      <c r="H6647" s="197">
        <v>2.03</v>
      </c>
      <c r="I6647" s="7" t="s">
        <v>168</v>
      </c>
      <c r="J6647" s="7" t="s">
        <v>175</v>
      </c>
      <c r="K6647" s="7" t="s">
        <v>16824</v>
      </c>
      <c r="L6647" s="198" t="s">
        <v>65</v>
      </c>
      <c r="M6647" s="194"/>
      <c r="N6647" s="194"/>
    </row>
    <row r="6648">
      <c r="A6648" s="193" t="s">
        <v>25943</v>
      </c>
      <c r="B6648" s="7" t="s">
        <v>187</v>
      </c>
      <c r="C6648" s="7" t="s">
        <v>16846</v>
      </c>
      <c r="D6648" s="194">
        <v>2021.0</v>
      </c>
      <c r="E6648" s="193"/>
      <c r="F6648" s="195" t="s">
        <v>25944</v>
      </c>
      <c r="G6648" s="196">
        <v>8.2013515E7</v>
      </c>
      <c r="H6648" s="197">
        <v>2.3</v>
      </c>
      <c r="I6648" s="7" t="s">
        <v>16815</v>
      </c>
      <c r="J6648" s="7" t="s">
        <v>187</v>
      </c>
      <c r="K6648" s="7" t="s">
        <v>16846</v>
      </c>
      <c r="L6648" s="198" t="s">
        <v>65</v>
      </c>
      <c r="M6648" s="194"/>
      <c r="N6648" s="194"/>
    </row>
    <row r="6649">
      <c r="A6649" s="193" t="s">
        <v>25945</v>
      </c>
      <c r="B6649" s="7" t="s">
        <v>16838</v>
      </c>
      <c r="C6649" s="7" t="s">
        <v>16867</v>
      </c>
      <c r="D6649" s="194">
        <v>2006.0</v>
      </c>
      <c r="E6649" s="193"/>
      <c r="F6649" s="195" t="s">
        <v>25946</v>
      </c>
      <c r="G6649" s="196">
        <v>8.2012768E7</v>
      </c>
      <c r="H6649" s="197">
        <v>12.29</v>
      </c>
      <c r="I6649" s="7" t="s">
        <v>16815</v>
      </c>
      <c r="J6649" s="7" t="s">
        <v>16838</v>
      </c>
      <c r="K6649" s="7" t="s">
        <v>16867</v>
      </c>
      <c r="L6649" s="198" t="s">
        <v>65</v>
      </c>
      <c r="M6649" s="194"/>
      <c r="N6649" s="194"/>
    </row>
    <row r="6650">
      <c r="A6650" s="193" t="s">
        <v>25947</v>
      </c>
      <c r="B6650" s="7" t="s">
        <v>158</v>
      </c>
      <c r="C6650" s="7" t="s">
        <v>17171</v>
      </c>
      <c r="D6650" s="194">
        <v>2018.0</v>
      </c>
      <c r="E6650" s="193"/>
      <c r="F6650" s="195" t="s">
        <v>25948</v>
      </c>
      <c r="G6650" s="196">
        <v>8.1953678E7</v>
      </c>
      <c r="H6650" s="197">
        <v>2.32</v>
      </c>
      <c r="I6650" s="7" t="s">
        <v>17098</v>
      </c>
      <c r="J6650" s="7" t="s">
        <v>158</v>
      </c>
      <c r="K6650" s="7" t="s">
        <v>17171</v>
      </c>
      <c r="L6650" s="198" t="s">
        <v>65</v>
      </c>
      <c r="M6650" s="194"/>
      <c r="N6650" s="194"/>
    </row>
    <row r="6651">
      <c r="A6651" s="193" t="s">
        <v>25947</v>
      </c>
      <c r="B6651" s="7" t="s">
        <v>17171</v>
      </c>
      <c r="C6651" s="7" t="s">
        <v>158</v>
      </c>
      <c r="D6651" s="194">
        <v>2018.0</v>
      </c>
      <c r="E6651" s="193"/>
      <c r="F6651" s="195" t="s">
        <v>25948</v>
      </c>
      <c r="G6651" s="200">
        <v>8.1953678E7</v>
      </c>
      <c r="H6651" s="197">
        <v>2.32</v>
      </c>
      <c r="I6651" s="7" t="s">
        <v>16815</v>
      </c>
      <c r="J6651" s="7" t="s">
        <v>17171</v>
      </c>
      <c r="K6651" s="7" t="s">
        <v>158</v>
      </c>
      <c r="L6651" s="201" t="s">
        <v>16835</v>
      </c>
      <c r="M6651" s="194"/>
      <c r="N6651" s="194"/>
    </row>
    <row r="6652">
      <c r="A6652" s="193" t="s">
        <v>25949</v>
      </c>
      <c r="D6652" s="194">
        <v>2012.0</v>
      </c>
      <c r="E6652" s="193"/>
      <c r="F6652" s="195" t="s">
        <v>25950</v>
      </c>
      <c r="G6652" s="196">
        <v>8.1485682E7</v>
      </c>
      <c r="H6652" s="197">
        <v>31.32</v>
      </c>
      <c r="I6652" s="7" t="s">
        <v>16815</v>
      </c>
      <c r="L6652" s="198" t="s">
        <v>65</v>
      </c>
      <c r="M6652" s="194"/>
      <c r="N6652" s="194"/>
    </row>
    <row r="6653">
      <c r="A6653" s="193" t="s">
        <v>25949</v>
      </c>
      <c r="D6653" s="194">
        <v>2012.0</v>
      </c>
      <c r="E6653" s="193"/>
      <c r="F6653" s="195" t="s">
        <v>25950</v>
      </c>
      <c r="G6653" s="200">
        <v>8.1485682E7</v>
      </c>
      <c r="H6653" s="197">
        <v>31.32</v>
      </c>
      <c r="L6653" s="201" t="s">
        <v>16835</v>
      </c>
      <c r="M6653" s="194"/>
      <c r="N6653" s="194"/>
    </row>
    <row r="6654">
      <c r="A6654" s="193" t="s">
        <v>25951</v>
      </c>
      <c r="B6654" s="7" t="s">
        <v>17629</v>
      </c>
      <c r="C6654" s="7" t="s">
        <v>17452</v>
      </c>
      <c r="D6654" s="194">
        <v>2013.0</v>
      </c>
      <c r="E6654" s="193"/>
      <c r="F6654" s="195" t="s">
        <v>25952</v>
      </c>
      <c r="G6654" s="196">
        <v>8.1170239E7</v>
      </c>
      <c r="H6654" s="197">
        <v>0.7087</v>
      </c>
      <c r="I6654" s="7" t="s">
        <v>16815</v>
      </c>
      <c r="J6654" s="7" t="s">
        <v>17629</v>
      </c>
      <c r="K6654" s="7" t="s">
        <v>17452</v>
      </c>
      <c r="L6654" s="198" t="s">
        <v>65</v>
      </c>
      <c r="M6654" s="194"/>
      <c r="N6654" s="194"/>
    </row>
    <row r="6655">
      <c r="A6655" s="193" t="s">
        <v>25953</v>
      </c>
      <c r="B6655" s="7" t="s">
        <v>187</v>
      </c>
      <c r="C6655" s="7" t="s">
        <v>18633</v>
      </c>
      <c r="D6655" s="199"/>
      <c r="E6655" s="193"/>
      <c r="F6655" s="195" t="s">
        <v>25954</v>
      </c>
      <c r="G6655" s="196">
        <v>8.0957113E7</v>
      </c>
      <c r="H6655" s="197">
        <v>1.05</v>
      </c>
      <c r="I6655" s="7" t="s">
        <v>16815</v>
      </c>
      <c r="J6655" s="7" t="s">
        <v>187</v>
      </c>
      <c r="K6655" s="7" t="s">
        <v>18633</v>
      </c>
      <c r="L6655" s="198" t="s">
        <v>65</v>
      </c>
      <c r="M6655" s="199"/>
      <c r="N6655" s="199"/>
    </row>
    <row r="6656">
      <c r="A6656" s="193" t="s">
        <v>25955</v>
      </c>
      <c r="B6656" s="7" t="s">
        <v>169</v>
      </c>
      <c r="C6656" s="7" t="s">
        <v>16945</v>
      </c>
      <c r="D6656" s="194">
        <v>2021.0</v>
      </c>
      <c r="E6656" s="193"/>
      <c r="F6656" s="195" t="s">
        <v>25956</v>
      </c>
      <c r="G6656" s="196">
        <v>8.0852704E7</v>
      </c>
      <c r="H6656" s="197">
        <v>0.4132</v>
      </c>
      <c r="I6656" s="7" t="s">
        <v>16815</v>
      </c>
      <c r="J6656" s="7" t="s">
        <v>169</v>
      </c>
      <c r="K6656" s="7" t="s">
        <v>16945</v>
      </c>
      <c r="L6656" s="198" t="s">
        <v>65</v>
      </c>
      <c r="M6656" s="194"/>
      <c r="N6656" s="194"/>
    </row>
    <row r="6657">
      <c r="A6657" s="193" t="s">
        <v>25957</v>
      </c>
      <c r="B6657" s="7" t="s">
        <v>175</v>
      </c>
      <c r="C6657" s="7" t="s">
        <v>16842</v>
      </c>
      <c r="D6657" s="199"/>
      <c r="E6657" s="193"/>
      <c r="F6657" s="195" t="s">
        <v>25958</v>
      </c>
      <c r="G6657" s="196">
        <v>8.0438651E7</v>
      </c>
      <c r="H6657" s="197">
        <v>0.3816</v>
      </c>
      <c r="I6657" s="7" t="s">
        <v>16856</v>
      </c>
      <c r="J6657" s="7" t="s">
        <v>175</v>
      </c>
      <c r="K6657" s="7" t="s">
        <v>16842</v>
      </c>
      <c r="L6657" s="198" t="s">
        <v>65</v>
      </c>
      <c r="M6657" s="199"/>
      <c r="N6657" s="199"/>
    </row>
    <row r="6658">
      <c r="A6658" s="193" t="s">
        <v>25959</v>
      </c>
      <c r="B6658" s="7" t="s">
        <v>16838</v>
      </c>
      <c r="C6658" s="7" t="s">
        <v>16867</v>
      </c>
      <c r="D6658" s="199"/>
      <c r="E6658" s="193"/>
      <c r="F6658" s="195" t="s">
        <v>25960</v>
      </c>
      <c r="G6658" s="196">
        <v>8.0371408E7</v>
      </c>
      <c r="H6658" s="197">
        <v>13.24</v>
      </c>
      <c r="I6658" s="7" t="s">
        <v>16815</v>
      </c>
      <c r="J6658" s="7" t="s">
        <v>16838</v>
      </c>
      <c r="K6658" s="7" t="s">
        <v>16867</v>
      </c>
      <c r="L6658" s="198" t="s">
        <v>65</v>
      </c>
      <c r="M6658" s="199"/>
      <c r="N6658" s="199"/>
    </row>
    <row r="6659">
      <c r="A6659" s="193" t="s">
        <v>25961</v>
      </c>
      <c r="B6659" s="7" t="s">
        <v>175</v>
      </c>
      <c r="C6659" s="7" t="s">
        <v>17619</v>
      </c>
      <c r="D6659" s="199"/>
      <c r="E6659" s="193"/>
      <c r="F6659" s="195" t="s">
        <v>25962</v>
      </c>
      <c r="G6659" s="196">
        <v>8.0064625E7</v>
      </c>
      <c r="H6659" s="197">
        <v>4.85</v>
      </c>
      <c r="I6659" s="7" t="s">
        <v>16908</v>
      </c>
      <c r="J6659" s="7" t="s">
        <v>175</v>
      </c>
      <c r="K6659" s="7" t="s">
        <v>17619</v>
      </c>
      <c r="L6659" s="198" t="s">
        <v>65</v>
      </c>
      <c r="M6659" s="199"/>
      <c r="N6659" s="199"/>
    </row>
    <row r="6660">
      <c r="A6660" s="193" t="s">
        <v>25963</v>
      </c>
      <c r="B6660" s="7" t="s">
        <v>187</v>
      </c>
      <c r="C6660" s="7" t="s">
        <v>17564</v>
      </c>
      <c r="D6660" s="194">
        <v>2012.0</v>
      </c>
      <c r="E6660" s="193"/>
      <c r="F6660" s="195" t="s">
        <v>25964</v>
      </c>
      <c r="G6660" s="196">
        <v>7.9873602E7</v>
      </c>
      <c r="H6660" s="197">
        <v>0.635</v>
      </c>
      <c r="I6660" s="7" t="s">
        <v>16815</v>
      </c>
      <c r="J6660" s="7" t="s">
        <v>187</v>
      </c>
      <c r="K6660" s="7" t="s">
        <v>17564</v>
      </c>
      <c r="L6660" s="198" t="s">
        <v>65</v>
      </c>
      <c r="M6660" s="194"/>
      <c r="N6660" s="194"/>
    </row>
    <row r="6661">
      <c r="A6661" s="193" t="s">
        <v>25965</v>
      </c>
      <c r="D6661" s="194">
        <v>2023.0</v>
      </c>
      <c r="E6661" s="193"/>
      <c r="F6661" s="195" t="s">
        <v>25966</v>
      </c>
      <c r="G6661" s="196">
        <v>7.9570115E7</v>
      </c>
      <c r="H6661" s="197">
        <v>10.43</v>
      </c>
      <c r="I6661" s="7" t="s">
        <v>16815</v>
      </c>
      <c r="L6661" s="198" t="s">
        <v>65</v>
      </c>
      <c r="M6661" s="194"/>
      <c r="N6661" s="194"/>
    </row>
    <row r="6662">
      <c r="A6662" s="193" t="s">
        <v>25967</v>
      </c>
      <c r="B6662" s="7" t="s">
        <v>17111</v>
      </c>
      <c r="C6662" s="7" t="s">
        <v>17112</v>
      </c>
      <c r="D6662" s="194">
        <v>2017.0</v>
      </c>
      <c r="E6662" s="193"/>
      <c r="F6662" s="195" t="s">
        <v>25968</v>
      </c>
      <c r="G6662" s="200">
        <v>7.9512979E7</v>
      </c>
      <c r="H6662" s="197">
        <v>4.95</v>
      </c>
      <c r="I6662" s="7" t="s">
        <v>16815</v>
      </c>
      <c r="J6662" s="7" t="s">
        <v>17111</v>
      </c>
      <c r="K6662" s="7" t="s">
        <v>17112</v>
      </c>
      <c r="L6662" s="201" t="s">
        <v>16835</v>
      </c>
      <c r="M6662" s="194"/>
      <c r="N6662" s="194"/>
    </row>
    <row r="6663">
      <c r="A6663" s="193" t="s">
        <v>25967</v>
      </c>
      <c r="B6663" s="7" t="s">
        <v>17112</v>
      </c>
      <c r="C6663" s="7" t="s">
        <v>17111</v>
      </c>
      <c r="D6663" s="194">
        <v>2017.0</v>
      </c>
      <c r="E6663" s="193"/>
      <c r="F6663" s="195" t="s">
        <v>25968</v>
      </c>
      <c r="G6663" s="196">
        <v>7.9512979E7</v>
      </c>
      <c r="H6663" s="197">
        <v>4.95</v>
      </c>
      <c r="I6663" s="7" t="s">
        <v>16815</v>
      </c>
      <c r="J6663" s="7" t="s">
        <v>17112</v>
      </c>
      <c r="K6663" s="7" t="s">
        <v>17111</v>
      </c>
      <c r="L6663" s="198" t="s">
        <v>65</v>
      </c>
      <c r="M6663" s="194"/>
      <c r="N6663" s="194"/>
    </row>
    <row r="6664">
      <c r="A6664" s="193" t="s">
        <v>25969</v>
      </c>
      <c r="B6664" s="7" t="s">
        <v>169</v>
      </c>
      <c r="C6664" s="7" t="s">
        <v>19719</v>
      </c>
      <c r="D6664" s="199"/>
      <c r="E6664" s="193"/>
      <c r="F6664" s="195" t="s">
        <v>25970</v>
      </c>
      <c r="G6664" s="196">
        <v>7.9191144E7</v>
      </c>
      <c r="H6664" s="197">
        <v>4.78</v>
      </c>
      <c r="I6664" s="7" t="s">
        <v>16815</v>
      </c>
      <c r="J6664" s="7" t="s">
        <v>169</v>
      </c>
      <c r="K6664" s="7" t="s">
        <v>19719</v>
      </c>
      <c r="L6664" s="198" t="s">
        <v>65</v>
      </c>
      <c r="M6664" s="199"/>
      <c r="N6664" s="199"/>
    </row>
    <row r="6665">
      <c r="A6665" s="193" t="s">
        <v>25971</v>
      </c>
      <c r="B6665" s="7" t="s">
        <v>175</v>
      </c>
      <c r="C6665" s="7" t="s">
        <v>17218</v>
      </c>
      <c r="D6665" s="194">
        <v>2021.0</v>
      </c>
      <c r="E6665" s="193"/>
      <c r="F6665" s="195" t="s">
        <v>25972</v>
      </c>
      <c r="G6665" s="196">
        <v>7.9021981E7</v>
      </c>
      <c r="H6665" s="197">
        <v>2.9</v>
      </c>
      <c r="I6665" s="7" t="s">
        <v>16908</v>
      </c>
      <c r="J6665" s="7" t="s">
        <v>175</v>
      </c>
      <c r="K6665" s="7" t="s">
        <v>17218</v>
      </c>
      <c r="L6665" s="198" t="s">
        <v>65</v>
      </c>
      <c r="M6665" s="194"/>
      <c r="N6665" s="194"/>
    </row>
    <row r="6666">
      <c r="A6666" s="193" t="s">
        <v>25973</v>
      </c>
      <c r="B6666" s="7" t="s">
        <v>158</v>
      </c>
      <c r="C6666" s="7" t="s">
        <v>18063</v>
      </c>
      <c r="D6666" s="194">
        <v>1980.0</v>
      </c>
      <c r="E6666" s="193"/>
      <c r="F6666" s="195" t="s">
        <v>25974</v>
      </c>
      <c r="G6666" s="196">
        <v>7.8914207E7</v>
      </c>
      <c r="H6666" s="197">
        <v>30.99</v>
      </c>
      <c r="I6666" s="7" t="s">
        <v>18397</v>
      </c>
      <c r="J6666" s="7" t="s">
        <v>158</v>
      </c>
      <c r="K6666" s="7" t="s">
        <v>18063</v>
      </c>
      <c r="L6666" s="198" t="s">
        <v>65</v>
      </c>
      <c r="M6666" s="194"/>
      <c r="N6666" s="194"/>
    </row>
    <row r="6667">
      <c r="A6667" s="193" t="s">
        <v>25973</v>
      </c>
      <c r="B6667" s="202" t="s">
        <v>18063</v>
      </c>
      <c r="C6667" s="193" t="s">
        <v>158</v>
      </c>
      <c r="D6667" s="193">
        <v>1980.0</v>
      </c>
      <c r="E6667" s="193"/>
      <c r="F6667" s="203" t="s">
        <v>25974</v>
      </c>
      <c r="G6667" s="200">
        <v>7.8914207E7</v>
      </c>
      <c r="H6667" s="205">
        <v>3.5</v>
      </c>
      <c r="J6667" s="202" t="s">
        <v>18063</v>
      </c>
      <c r="K6667" s="193" t="s">
        <v>158</v>
      </c>
      <c r="L6667" s="193" t="s">
        <v>17471</v>
      </c>
      <c r="M6667" s="193"/>
      <c r="N6667" s="193"/>
    </row>
    <row r="6668">
      <c r="A6668" s="193" t="s">
        <v>25975</v>
      </c>
      <c r="B6668" s="7" t="s">
        <v>187</v>
      </c>
      <c r="C6668" s="7" t="s">
        <v>16846</v>
      </c>
      <c r="D6668" s="194">
        <v>2009.0</v>
      </c>
      <c r="E6668" s="193"/>
      <c r="F6668" s="195" t="s">
        <v>25976</v>
      </c>
      <c r="G6668" s="196">
        <v>7.856978E7</v>
      </c>
      <c r="H6668" s="197">
        <v>1.25</v>
      </c>
      <c r="I6668" s="7" t="s">
        <v>16815</v>
      </c>
      <c r="J6668" s="7" t="s">
        <v>187</v>
      </c>
      <c r="K6668" s="7" t="s">
        <v>16846</v>
      </c>
      <c r="L6668" s="198" t="s">
        <v>65</v>
      </c>
      <c r="M6668" s="194"/>
      <c r="N6668" s="194"/>
    </row>
    <row r="6669">
      <c r="A6669" s="193" t="s">
        <v>25977</v>
      </c>
      <c r="B6669" s="7" t="s">
        <v>16582</v>
      </c>
      <c r="C6669" s="7" t="s">
        <v>16899</v>
      </c>
      <c r="D6669" s="199"/>
      <c r="E6669" s="193"/>
      <c r="F6669" s="195" t="s">
        <v>25978</v>
      </c>
      <c r="G6669" s="196">
        <v>7.8402545E7</v>
      </c>
      <c r="H6669" s="197">
        <v>4.98</v>
      </c>
      <c r="I6669" s="7" t="s">
        <v>16815</v>
      </c>
      <c r="J6669" s="7" t="s">
        <v>16582</v>
      </c>
      <c r="K6669" s="7" t="s">
        <v>16899</v>
      </c>
      <c r="L6669" s="198" t="s">
        <v>65</v>
      </c>
      <c r="M6669" s="199"/>
      <c r="N6669" s="199"/>
    </row>
    <row r="6670">
      <c r="A6670" s="193" t="s">
        <v>25979</v>
      </c>
      <c r="B6670" s="7" t="s">
        <v>16838</v>
      </c>
      <c r="C6670" s="7" t="s">
        <v>16837</v>
      </c>
      <c r="D6670" s="199"/>
      <c r="E6670" s="193"/>
      <c r="F6670" s="195" t="s">
        <v>25980</v>
      </c>
      <c r="G6670" s="196">
        <v>7.838209E7</v>
      </c>
      <c r="H6670" s="197">
        <v>11.22</v>
      </c>
      <c r="I6670" s="7" t="s">
        <v>16815</v>
      </c>
      <c r="J6670" s="7" t="s">
        <v>16838</v>
      </c>
      <c r="K6670" s="7" t="s">
        <v>16837</v>
      </c>
      <c r="L6670" s="198" t="s">
        <v>65</v>
      </c>
      <c r="M6670" s="199"/>
      <c r="N6670" s="199"/>
    </row>
    <row r="6671">
      <c r="A6671" s="193" t="s">
        <v>25981</v>
      </c>
      <c r="B6671" s="7" t="s">
        <v>187</v>
      </c>
      <c r="C6671" s="7" t="s">
        <v>16846</v>
      </c>
      <c r="D6671" s="194">
        <v>2015.0</v>
      </c>
      <c r="E6671" s="193"/>
      <c r="F6671" s="195" t="s">
        <v>25982</v>
      </c>
      <c r="G6671" s="196">
        <v>7.8377018E7</v>
      </c>
      <c r="H6671" s="197">
        <v>1.17</v>
      </c>
      <c r="I6671" s="7" t="s">
        <v>16815</v>
      </c>
      <c r="J6671" s="7" t="s">
        <v>187</v>
      </c>
      <c r="K6671" s="7" t="s">
        <v>16846</v>
      </c>
      <c r="L6671" s="198" t="s">
        <v>65</v>
      </c>
      <c r="M6671" s="194"/>
      <c r="N6671" s="194"/>
    </row>
    <row r="6672">
      <c r="A6672" s="193" t="s">
        <v>25983</v>
      </c>
      <c r="B6672" s="7" t="s">
        <v>187</v>
      </c>
      <c r="C6672" s="7" t="s">
        <v>16846</v>
      </c>
      <c r="D6672" s="194">
        <v>2020.0</v>
      </c>
      <c r="E6672" s="193"/>
      <c r="F6672" s="195" t="s">
        <v>25984</v>
      </c>
      <c r="G6672" s="196">
        <v>7.8147256E7</v>
      </c>
      <c r="H6672" s="197">
        <v>1.84</v>
      </c>
      <c r="I6672" s="7" t="s">
        <v>16815</v>
      </c>
      <c r="J6672" s="7" t="s">
        <v>187</v>
      </c>
      <c r="K6672" s="7" t="s">
        <v>16846</v>
      </c>
      <c r="L6672" s="198" t="s">
        <v>65</v>
      </c>
      <c r="M6672" s="194"/>
      <c r="N6672" s="194"/>
    </row>
    <row r="6673">
      <c r="A6673" s="193" t="s">
        <v>25985</v>
      </c>
      <c r="B6673" s="7" t="s">
        <v>175</v>
      </c>
      <c r="C6673" s="7" t="s">
        <v>16899</v>
      </c>
      <c r="D6673" s="199"/>
      <c r="E6673" s="193"/>
      <c r="F6673" s="195" t="s">
        <v>25986</v>
      </c>
      <c r="G6673" s="196">
        <v>7.800554E7</v>
      </c>
      <c r="H6673" s="197">
        <v>10.5</v>
      </c>
      <c r="I6673" s="7" t="s">
        <v>24968</v>
      </c>
      <c r="J6673" s="7" t="s">
        <v>175</v>
      </c>
      <c r="K6673" s="7" t="s">
        <v>16899</v>
      </c>
      <c r="L6673" s="198" t="s">
        <v>65</v>
      </c>
      <c r="M6673" s="199"/>
      <c r="N6673" s="199"/>
    </row>
    <row r="6674">
      <c r="A6674" s="193" t="s">
        <v>25985</v>
      </c>
      <c r="B6674" s="7" t="s">
        <v>16899</v>
      </c>
      <c r="C6674" s="7" t="s">
        <v>175</v>
      </c>
      <c r="D6674" s="199"/>
      <c r="E6674" s="193"/>
      <c r="F6674" s="195" t="s">
        <v>25986</v>
      </c>
      <c r="G6674" s="200">
        <v>7.800554E7</v>
      </c>
      <c r="H6674" s="197">
        <v>10.5</v>
      </c>
      <c r="I6674" s="7" t="s">
        <v>16815</v>
      </c>
      <c r="J6674" s="7" t="s">
        <v>16899</v>
      </c>
      <c r="K6674" s="7" t="s">
        <v>175</v>
      </c>
      <c r="L6674" s="201" t="s">
        <v>16835</v>
      </c>
      <c r="M6674" s="199"/>
      <c r="N6674" s="199"/>
    </row>
    <row r="6675">
      <c r="A6675" s="193" t="s">
        <v>25987</v>
      </c>
      <c r="B6675" s="7" t="s">
        <v>17202</v>
      </c>
      <c r="C6675" s="7" t="s">
        <v>16838</v>
      </c>
      <c r="D6675" s="194">
        <v>1992.0</v>
      </c>
      <c r="E6675" s="193"/>
      <c r="F6675" s="195" t="s">
        <v>25988</v>
      </c>
      <c r="G6675" s="200">
        <v>7.7857208E7</v>
      </c>
      <c r="H6675" s="197">
        <v>12.24</v>
      </c>
      <c r="I6675" s="7" t="s">
        <v>16815</v>
      </c>
      <c r="J6675" s="7" t="s">
        <v>17202</v>
      </c>
      <c r="K6675" s="7" t="s">
        <v>16838</v>
      </c>
      <c r="L6675" s="201" t="s">
        <v>16835</v>
      </c>
      <c r="M6675" s="194"/>
      <c r="N6675" s="194"/>
    </row>
    <row r="6676">
      <c r="A6676" s="193" t="s">
        <v>25987</v>
      </c>
      <c r="B6676" s="7" t="s">
        <v>16838</v>
      </c>
      <c r="C6676" s="7" t="s">
        <v>17202</v>
      </c>
      <c r="D6676" s="194">
        <v>1992.0</v>
      </c>
      <c r="E6676" s="193"/>
      <c r="F6676" s="195" t="s">
        <v>25988</v>
      </c>
      <c r="G6676" s="196">
        <v>7.7857208E7</v>
      </c>
      <c r="H6676" s="197">
        <v>12.24</v>
      </c>
      <c r="I6676" s="7" t="s">
        <v>16815</v>
      </c>
      <c r="J6676" s="7" t="s">
        <v>16838</v>
      </c>
      <c r="K6676" s="7" t="s">
        <v>17202</v>
      </c>
      <c r="L6676" s="198" t="s">
        <v>65</v>
      </c>
      <c r="M6676" s="194"/>
      <c r="N6676" s="194"/>
    </row>
    <row r="6677">
      <c r="A6677" s="193" t="s">
        <v>25989</v>
      </c>
      <c r="B6677" s="7" t="s">
        <v>187</v>
      </c>
      <c r="C6677" s="7" t="s">
        <v>16846</v>
      </c>
      <c r="D6677" s="199"/>
      <c r="E6677" s="193"/>
      <c r="F6677" s="195" t="s">
        <v>25990</v>
      </c>
      <c r="G6677" s="196">
        <v>7.7329321E7</v>
      </c>
      <c r="H6677" s="197">
        <v>1.92</v>
      </c>
      <c r="I6677" s="7" t="s">
        <v>16815</v>
      </c>
      <c r="J6677" s="7" t="s">
        <v>187</v>
      </c>
      <c r="K6677" s="7" t="s">
        <v>16846</v>
      </c>
      <c r="L6677" s="198" t="s">
        <v>65</v>
      </c>
      <c r="M6677" s="199"/>
      <c r="N6677" s="199"/>
    </row>
    <row r="6678">
      <c r="A6678" s="193" t="s">
        <v>25991</v>
      </c>
      <c r="B6678" s="7" t="s">
        <v>16838</v>
      </c>
      <c r="C6678" s="7" t="s">
        <v>17016</v>
      </c>
      <c r="D6678" s="199"/>
      <c r="E6678" s="193"/>
      <c r="F6678" s="195" t="s">
        <v>25992</v>
      </c>
      <c r="G6678" s="196">
        <v>7.7278002E7</v>
      </c>
      <c r="H6678" s="197">
        <v>37.0001</v>
      </c>
      <c r="I6678" s="7" t="s">
        <v>16815</v>
      </c>
      <c r="J6678" s="7" t="s">
        <v>16838</v>
      </c>
      <c r="K6678" s="7" t="s">
        <v>17016</v>
      </c>
      <c r="L6678" s="198" t="s">
        <v>65</v>
      </c>
      <c r="M6678" s="199"/>
      <c r="N6678" s="199"/>
    </row>
    <row r="6679">
      <c r="A6679" s="193" t="s">
        <v>25993</v>
      </c>
      <c r="B6679" s="7" t="s">
        <v>187</v>
      </c>
      <c r="C6679" s="7" t="s">
        <v>16846</v>
      </c>
      <c r="D6679" s="194">
        <v>2014.0</v>
      </c>
      <c r="E6679" s="193"/>
      <c r="F6679" s="195" t="s">
        <v>25994</v>
      </c>
      <c r="G6679" s="196">
        <v>7.7271953E7</v>
      </c>
      <c r="H6679" s="197">
        <v>1.2</v>
      </c>
      <c r="I6679" s="7" t="s">
        <v>16815</v>
      </c>
      <c r="J6679" s="7" t="s">
        <v>187</v>
      </c>
      <c r="K6679" s="7" t="s">
        <v>16846</v>
      </c>
      <c r="L6679" s="198" t="s">
        <v>65</v>
      </c>
      <c r="M6679" s="194"/>
      <c r="N6679" s="194"/>
    </row>
    <row r="6680">
      <c r="A6680" s="193" t="s">
        <v>25995</v>
      </c>
      <c r="B6680" s="7" t="s">
        <v>169</v>
      </c>
      <c r="C6680" s="7" t="s">
        <v>16899</v>
      </c>
      <c r="D6680" s="199"/>
      <c r="E6680" s="193"/>
      <c r="F6680" s="195" t="s">
        <v>25996</v>
      </c>
      <c r="G6680" s="196">
        <v>7.715337E7</v>
      </c>
      <c r="H6680" s="197">
        <v>21.91</v>
      </c>
      <c r="I6680" s="7" t="s">
        <v>16815</v>
      </c>
      <c r="J6680" s="7" t="s">
        <v>169</v>
      </c>
      <c r="K6680" s="7" t="s">
        <v>16899</v>
      </c>
      <c r="L6680" s="198" t="s">
        <v>65</v>
      </c>
      <c r="M6680" s="199"/>
      <c r="N6680" s="199"/>
    </row>
    <row r="6681">
      <c r="A6681" s="193" t="s">
        <v>25997</v>
      </c>
      <c r="B6681" s="7" t="s">
        <v>187</v>
      </c>
      <c r="C6681" s="7" t="s">
        <v>16992</v>
      </c>
      <c r="D6681" s="194">
        <v>2021.0</v>
      </c>
      <c r="E6681" s="193"/>
      <c r="F6681" s="195" t="s">
        <v>25998</v>
      </c>
      <c r="G6681" s="196">
        <v>7.7097198E7</v>
      </c>
      <c r="H6681" s="197">
        <v>1.29</v>
      </c>
      <c r="I6681" s="7" t="s">
        <v>16815</v>
      </c>
      <c r="J6681" s="7" t="s">
        <v>187</v>
      </c>
      <c r="K6681" s="7" t="s">
        <v>16992</v>
      </c>
      <c r="L6681" s="198" t="s">
        <v>65</v>
      </c>
      <c r="M6681" s="194"/>
      <c r="N6681" s="194"/>
    </row>
    <row r="6682">
      <c r="A6682" s="193" t="s">
        <v>25999</v>
      </c>
      <c r="B6682" s="7" t="s">
        <v>187</v>
      </c>
      <c r="C6682" s="7" t="s">
        <v>16846</v>
      </c>
      <c r="D6682" s="199"/>
      <c r="E6682" s="193"/>
      <c r="F6682" s="195" t="s">
        <v>26000</v>
      </c>
      <c r="G6682" s="196">
        <v>7.6644882E7</v>
      </c>
      <c r="H6682" s="197">
        <v>4.55</v>
      </c>
      <c r="I6682" s="7" t="s">
        <v>16815</v>
      </c>
      <c r="J6682" s="7" t="s">
        <v>187</v>
      </c>
      <c r="K6682" s="7" t="s">
        <v>16846</v>
      </c>
      <c r="L6682" s="198" t="s">
        <v>65</v>
      </c>
      <c r="M6682" s="199"/>
      <c r="N6682" s="199"/>
    </row>
    <row r="6683">
      <c r="A6683" s="193" t="s">
        <v>26001</v>
      </c>
      <c r="B6683" s="7" t="s">
        <v>16838</v>
      </c>
      <c r="C6683" s="7" t="s">
        <v>16837</v>
      </c>
      <c r="D6683" s="194">
        <v>2021.0</v>
      </c>
      <c r="E6683" s="193"/>
      <c r="F6683" s="195" t="s">
        <v>26002</v>
      </c>
      <c r="G6683" s="196">
        <v>7.6556929E7</v>
      </c>
      <c r="H6683" s="197">
        <v>10.37</v>
      </c>
      <c r="I6683" s="7" t="s">
        <v>16815</v>
      </c>
      <c r="J6683" s="7" t="s">
        <v>16838</v>
      </c>
      <c r="K6683" s="7" t="s">
        <v>16837</v>
      </c>
      <c r="L6683" s="198" t="s">
        <v>65</v>
      </c>
      <c r="M6683" s="194"/>
      <c r="N6683" s="194"/>
    </row>
    <row r="6684">
      <c r="A6684" s="193" t="s">
        <v>26003</v>
      </c>
      <c r="D6684" s="194">
        <v>2023.0</v>
      </c>
      <c r="E6684" s="193"/>
      <c r="F6684" s="195" t="s">
        <v>26004</v>
      </c>
      <c r="G6684" s="196">
        <v>7.6531059E7</v>
      </c>
      <c r="H6684" s="197">
        <v>5.61</v>
      </c>
      <c r="I6684" s="7" t="s">
        <v>16815</v>
      </c>
      <c r="L6684" s="198" t="s">
        <v>65</v>
      </c>
      <c r="M6684" s="194"/>
      <c r="N6684" s="194"/>
    </row>
    <row r="6685">
      <c r="A6685" s="193" t="s">
        <v>26005</v>
      </c>
      <c r="B6685" s="7" t="s">
        <v>187</v>
      </c>
      <c r="C6685" s="7" t="s">
        <v>16858</v>
      </c>
      <c r="D6685" s="194">
        <v>2020.0</v>
      </c>
      <c r="E6685" s="193"/>
      <c r="F6685" s="195" t="s">
        <v>26006</v>
      </c>
      <c r="G6685" s="196">
        <v>7.6496605E7</v>
      </c>
      <c r="H6685" s="197">
        <v>0.6904</v>
      </c>
      <c r="I6685" s="7" t="s">
        <v>16815</v>
      </c>
      <c r="J6685" s="7" t="s">
        <v>187</v>
      </c>
      <c r="K6685" s="7" t="s">
        <v>16858</v>
      </c>
      <c r="L6685" s="198" t="s">
        <v>65</v>
      </c>
      <c r="M6685" s="194"/>
      <c r="N6685" s="194"/>
    </row>
    <row r="6686">
      <c r="A6686" s="193" t="s">
        <v>26007</v>
      </c>
      <c r="B6686" s="7" t="s">
        <v>175</v>
      </c>
      <c r="C6686" s="7" t="s">
        <v>16939</v>
      </c>
      <c r="D6686" s="194">
        <v>2003.0</v>
      </c>
      <c r="E6686" s="193"/>
      <c r="F6686" s="195" t="s">
        <v>26008</v>
      </c>
      <c r="G6686" s="196">
        <v>7.6425757E7</v>
      </c>
      <c r="H6686" s="197">
        <v>3.14</v>
      </c>
      <c r="I6686" s="7" t="s">
        <v>16908</v>
      </c>
      <c r="J6686" s="7" t="s">
        <v>175</v>
      </c>
      <c r="K6686" s="7" t="s">
        <v>16939</v>
      </c>
      <c r="L6686" s="198" t="s">
        <v>65</v>
      </c>
      <c r="M6686" s="194"/>
      <c r="N6686" s="194"/>
    </row>
    <row r="6687">
      <c r="A6687" s="193" t="s">
        <v>26009</v>
      </c>
      <c r="B6687" s="7" t="s">
        <v>16582</v>
      </c>
      <c r="C6687" s="7" t="s">
        <v>16817</v>
      </c>
      <c r="D6687" s="199"/>
      <c r="E6687" s="193"/>
      <c r="F6687" s="195" t="s">
        <v>26010</v>
      </c>
      <c r="G6687" s="196">
        <v>7.6276253E7</v>
      </c>
      <c r="H6687" s="197">
        <v>13.6</v>
      </c>
      <c r="I6687" s="7" t="s">
        <v>16815</v>
      </c>
      <c r="J6687" s="7" t="s">
        <v>16582</v>
      </c>
      <c r="K6687" s="7" t="s">
        <v>16817</v>
      </c>
      <c r="L6687" s="198" t="s">
        <v>65</v>
      </c>
      <c r="M6687" s="199"/>
      <c r="N6687" s="199"/>
    </row>
    <row r="6688">
      <c r="A6688" s="193" t="s">
        <v>26011</v>
      </c>
      <c r="B6688" s="7" t="s">
        <v>17202</v>
      </c>
      <c r="C6688" s="7" t="s">
        <v>16838</v>
      </c>
      <c r="D6688" s="194">
        <v>1991.0</v>
      </c>
      <c r="E6688" s="193"/>
      <c r="F6688" s="195" t="s">
        <v>26012</v>
      </c>
      <c r="G6688" s="200">
        <v>7.6270802E7</v>
      </c>
      <c r="H6688" s="197">
        <v>10.85</v>
      </c>
      <c r="I6688" s="7" t="s">
        <v>16815</v>
      </c>
      <c r="J6688" s="7" t="s">
        <v>17202</v>
      </c>
      <c r="K6688" s="7" t="s">
        <v>16838</v>
      </c>
      <c r="L6688" s="201" t="s">
        <v>16835</v>
      </c>
      <c r="M6688" s="194"/>
      <c r="N6688" s="194"/>
    </row>
    <row r="6689">
      <c r="A6689" s="193" t="s">
        <v>26011</v>
      </c>
      <c r="B6689" s="7" t="s">
        <v>16838</v>
      </c>
      <c r="C6689" s="7" t="s">
        <v>17202</v>
      </c>
      <c r="D6689" s="194">
        <v>1991.0</v>
      </c>
      <c r="E6689" s="193"/>
      <c r="F6689" s="195" t="s">
        <v>26012</v>
      </c>
      <c r="G6689" s="196">
        <v>7.6270802E7</v>
      </c>
      <c r="H6689" s="197">
        <v>10.85</v>
      </c>
      <c r="I6689" s="7" t="s">
        <v>16815</v>
      </c>
      <c r="J6689" s="7" t="s">
        <v>16838</v>
      </c>
      <c r="K6689" s="7" t="s">
        <v>17202</v>
      </c>
      <c r="L6689" s="198" t="s">
        <v>65</v>
      </c>
      <c r="M6689" s="194"/>
      <c r="N6689" s="194"/>
    </row>
    <row r="6690">
      <c r="A6690" s="193" t="s">
        <v>26013</v>
      </c>
      <c r="B6690" s="7" t="s">
        <v>17112</v>
      </c>
      <c r="C6690" s="7" t="s">
        <v>17218</v>
      </c>
      <c r="D6690" s="194">
        <v>2020.0</v>
      </c>
      <c r="E6690" s="193"/>
      <c r="F6690" s="195" t="s">
        <v>26014</v>
      </c>
      <c r="G6690" s="196">
        <v>7.59357E7</v>
      </c>
      <c r="H6690" s="197">
        <v>4.17</v>
      </c>
      <c r="I6690" s="7" t="s">
        <v>16815</v>
      </c>
      <c r="J6690" s="7" t="s">
        <v>17112</v>
      </c>
      <c r="K6690" s="7" t="s">
        <v>17218</v>
      </c>
      <c r="L6690" s="198" t="s">
        <v>65</v>
      </c>
      <c r="M6690" s="194"/>
      <c r="N6690" s="194"/>
    </row>
    <row r="6691">
      <c r="A6691" s="193" t="s">
        <v>26015</v>
      </c>
      <c r="B6691" s="7" t="s">
        <v>187</v>
      </c>
      <c r="C6691" s="7" t="s">
        <v>16846</v>
      </c>
      <c r="D6691" s="194">
        <v>2020.0</v>
      </c>
      <c r="E6691" s="193"/>
      <c r="F6691" s="195" t="s">
        <v>26016</v>
      </c>
      <c r="G6691" s="196">
        <v>7.5817778E7</v>
      </c>
      <c r="H6691" s="197">
        <v>1.15</v>
      </c>
      <c r="I6691" s="7" t="s">
        <v>16815</v>
      </c>
      <c r="J6691" s="7" t="s">
        <v>187</v>
      </c>
      <c r="K6691" s="7" t="s">
        <v>16846</v>
      </c>
      <c r="L6691" s="198" t="s">
        <v>65</v>
      </c>
      <c r="M6691" s="194"/>
      <c r="N6691" s="194"/>
    </row>
    <row r="6692">
      <c r="A6692" s="193" t="s">
        <v>26017</v>
      </c>
      <c r="B6692" s="7" t="s">
        <v>158</v>
      </c>
      <c r="C6692" s="7" t="s">
        <v>16870</v>
      </c>
      <c r="D6692" s="199"/>
      <c r="E6692" s="193"/>
      <c r="F6692" s="195" t="s">
        <v>26018</v>
      </c>
      <c r="G6692" s="196">
        <v>7.5542E7</v>
      </c>
      <c r="H6692" s="197">
        <v>3.53</v>
      </c>
      <c r="I6692" s="7" t="s">
        <v>17095</v>
      </c>
      <c r="J6692" s="7" t="s">
        <v>158</v>
      </c>
      <c r="K6692" s="7" t="s">
        <v>16870</v>
      </c>
      <c r="L6692" s="198" t="s">
        <v>65</v>
      </c>
      <c r="M6692" s="199"/>
      <c r="N6692" s="199"/>
    </row>
    <row r="6693">
      <c r="A6693" s="193" t="s">
        <v>26017</v>
      </c>
      <c r="B6693" s="7" t="s">
        <v>16870</v>
      </c>
      <c r="C6693" s="7" t="s">
        <v>158</v>
      </c>
      <c r="D6693" s="199"/>
      <c r="E6693" s="193"/>
      <c r="F6693" s="195" t="s">
        <v>26018</v>
      </c>
      <c r="G6693" s="200">
        <v>7.5542E7</v>
      </c>
      <c r="H6693" s="197">
        <v>3.53</v>
      </c>
      <c r="I6693" s="7" t="s">
        <v>16815</v>
      </c>
      <c r="J6693" s="7" t="s">
        <v>16870</v>
      </c>
      <c r="K6693" s="7" t="s">
        <v>158</v>
      </c>
      <c r="L6693" s="201" t="s">
        <v>16835</v>
      </c>
      <c r="M6693" s="199"/>
      <c r="N6693" s="199"/>
    </row>
    <row r="6694">
      <c r="A6694" s="193" t="s">
        <v>26019</v>
      </c>
      <c r="B6694" s="7" t="s">
        <v>187</v>
      </c>
      <c r="C6694" s="7" t="s">
        <v>16858</v>
      </c>
      <c r="D6694" s="199"/>
      <c r="E6694" s="193"/>
      <c r="F6694" s="195" t="s">
        <v>26020</v>
      </c>
      <c r="G6694" s="196">
        <v>7.521402E7</v>
      </c>
      <c r="H6694" s="197">
        <v>5.58</v>
      </c>
      <c r="I6694" s="7" t="s">
        <v>16815</v>
      </c>
      <c r="J6694" s="7" t="s">
        <v>187</v>
      </c>
      <c r="K6694" s="7" t="s">
        <v>16858</v>
      </c>
      <c r="L6694" s="198" t="s">
        <v>65</v>
      </c>
      <c r="M6694" s="199"/>
      <c r="N6694" s="199"/>
    </row>
    <row r="6695">
      <c r="A6695" s="193" t="s">
        <v>26021</v>
      </c>
      <c r="B6695" s="7" t="s">
        <v>187</v>
      </c>
      <c r="C6695" s="7" t="s">
        <v>16846</v>
      </c>
      <c r="D6695" s="194">
        <v>2021.0</v>
      </c>
      <c r="E6695" s="193"/>
      <c r="F6695" s="195" t="s">
        <v>26022</v>
      </c>
      <c r="G6695" s="196">
        <v>7.5129915E7</v>
      </c>
      <c r="H6695" s="197">
        <v>11.3</v>
      </c>
      <c r="I6695" s="7" t="s">
        <v>16815</v>
      </c>
      <c r="J6695" s="7" t="s">
        <v>187</v>
      </c>
      <c r="K6695" s="7" t="s">
        <v>16846</v>
      </c>
      <c r="L6695" s="198" t="s">
        <v>65</v>
      </c>
      <c r="M6695" s="194"/>
      <c r="N6695" s="194"/>
    </row>
    <row r="6696">
      <c r="A6696" s="193" t="s">
        <v>26021</v>
      </c>
      <c r="B6696" s="202" t="s">
        <v>16846</v>
      </c>
      <c r="C6696" s="193" t="s">
        <v>187</v>
      </c>
      <c r="D6696" s="193">
        <v>2021.0</v>
      </c>
      <c r="E6696" s="193"/>
      <c r="F6696" s="203" t="s">
        <v>26022</v>
      </c>
      <c r="G6696" s="200">
        <v>7.5129915E7</v>
      </c>
      <c r="H6696" s="205">
        <v>30.99</v>
      </c>
      <c r="J6696" s="202" t="s">
        <v>16846</v>
      </c>
      <c r="K6696" s="193" t="s">
        <v>187</v>
      </c>
      <c r="L6696" s="193" t="s">
        <v>17471</v>
      </c>
      <c r="M6696" s="193"/>
      <c r="N6696" s="193"/>
    </row>
    <row r="6697">
      <c r="A6697" s="193" t="s">
        <v>26023</v>
      </c>
      <c r="B6697" s="7" t="s">
        <v>16926</v>
      </c>
      <c r="C6697" s="7" t="s">
        <v>16957</v>
      </c>
      <c r="D6697" s="199"/>
      <c r="E6697" s="193"/>
      <c r="F6697" s="195" t="s">
        <v>26024</v>
      </c>
      <c r="G6697" s="196">
        <v>7.5006475E7</v>
      </c>
      <c r="H6697" s="197">
        <v>2.07</v>
      </c>
      <c r="I6697" s="7" t="s">
        <v>16815</v>
      </c>
      <c r="J6697" s="7" t="s">
        <v>16926</v>
      </c>
      <c r="K6697" s="7" t="s">
        <v>16957</v>
      </c>
      <c r="L6697" s="198" t="s">
        <v>65</v>
      </c>
      <c r="M6697" s="199"/>
      <c r="N6697" s="199"/>
    </row>
    <row r="6698">
      <c r="A6698" s="193" t="s">
        <v>26025</v>
      </c>
      <c r="B6698" s="7" t="s">
        <v>175</v>
      </c>
      <c r="C6698" s="7" t="s">
        <v>16957</v>
      </c>
      <c r="D6698" s="199"/>
      <c r="E6698" s="193"/>
      <c r="F6698" s="195" t="s">
        <v>26026</v>
      </c>
      <c r="G6698" s="196">
        <v>7.4833874E7</v>
      </c>
      <c r="H6698" s="197">
        <v>0.348</v>
      </c>
      <c r="I6698" s="7" t="s">
        <v>16908</v>
      </c>
      <c r="J6698" s="7" t="s">
        <v>175</v>
      </c>
      <c r="K6698" s="7" t="s">
        <v>16957</v>
      </c>
      <c r="L6698" s="198" t="s">
        <v>65</v>
      </c>
      <c r="M6698" s="199"/>
      <c r="N6698" s="199"/>
    </row>
    <row r="6699">
      <c r="A6699" s="193" t="s">
        <v>26027</v>
      </c>
      <c r="B6699" s="7" t="s">
        <v>16582</v>
      </c>
      <c r="C6699" s="7" t="s">
        <v>16899</v>
      </c>
      <c r="D6699" s="199"/>
      <c r="E6699" s="193"/>
      <c r="F6699" s="195" t="s">
        <v>26028</v>
      </c>
      <c r="G6699" s="196">
        <v>7.4553111E7</v>
      </c>
      <c r="H6699" s="197">
        <v>11.31</v>
      </c>
      <c r="I6699" s="7" t="s">
        <v>16815</v>
      </c>
      <c r="J6699" s="7" t="s">
        <v>16582</v>
      </c>
      <c r="K6699" s="7" t="s">
        <v>16899</v>
      </c>
      <c r="L6699" s="198" t="s">
        <v>65</v>
      </c>
      <c r="M6699" s="199"/>
      <c r="N6699" s="199"/>
    </row>
    <row r="6700">
      <c r="A6700" s="193" t="s">
        <v>26029</v>
      </c>
      <c r="B6700" s="7" t="s">
        <v>175</v>
      </c>
      <c r="C6700" s="7" t="s">
        <v>18723</v>
      </c>
      <c r="D6700" s="194">
        <v>2021.0</v>
      </c>
      <c r="E6700" s="193"/>
      <c r="F6700" s="195" t="s">
        <v>26030</v>
      </c>
      <c r="G6700" s="196">
        <v>7.453246E7</v>
      </c>
      <c r="H6700" s="197">
        <v>1.15</v>
      </c>
      <c r="I6700" s="7" t="s">
        <v>17033</v>
      </c>
      <c r="J6700" s="7" t="s">
        <v>175</v>
      </c>
      <c r="K6700" s="7" t="s">
        <v>18723</v>
      </c>
      <c r="L6700" s="198" t="s">
        <v>65</v>
      </c>
      <c r="M6700" s="194"/>
      <c r="N6700" s="194"/>
    </row>
    <row r="6701">
      <c r="A6701" s="193" t="s">
        <v>26031</v>
      </c>
      <c r="B6701" s="7" t="s">
        <v>17629</v>
      </c>
      <c r="C6701" s="7" t="s">
        <v>16899</v>
      </c>
      <c r="D6701" s="199"/>
      <c r="E6701" s="193"/>
      <c r="F6701" s="195" t="s">
        <v>26032</v>
      </c>
      <c r="G6701" s="196">
        <v>7.4257768E7</v>
      </c>
      <c r="H6701" s="197">
        <v>0.83</v>
      </c>
      <c r="I6701" s="7" t="s">
        <v>16815</v>
      </c>
      <c r="J6701" s="7" t="s">
        <v>17629</v>
      </c>
      <c r="K6701" s="7" t="s">
        <v>16899</v>
      </c>
      <c r="L6701" s="198" t="s">
        <v>65</v>
      </c>
      <c r="M6701" s="199"/>
      <c r="N6701" s="199"/>
    </row>
    <row r="6702">
      <c r="A6702" s="193" t="s">
        <v>26033</v>
      </c>
      <c r="B6702" s="7" t="s">
        <v>16582</v>
      </c>
      <c r="C6702" s="7" t="s">
        <v>16583</v>
      </c>
      <c r="D6702" s="194">
        <v>2020.0</v>
      </c>
      <c r="E6702" s="193"/>
      <c r="F6702" s="195" t="s">
        <v>26034</v>
      </c>
      <c r="G6702" s="196">
        <v>7.4174137E7</v>
      </c>
      <c r="H6702" s="197">
        <v>1.66</v>
      </c>
      <c r="I6702" s="7" t="s">
        <v>16815</v>
      </c>
      <c r="J6702" s="7" t="s">
        <v>16582</v>
      </c>
      <c r="K6702" s="7" t="s">
        <v>16583</v>
      </c>
      <c r="L6702" s="198" t="s">
        <v>65</v>
      </c>
      <c r="M6702" s="194"/>
      <c r="N6702" s="194"/>
    </row>
    <row r="6703">
      <c r="A6703" s="193" t="s">
        <v>26035</v>
      </c>
      <c r="B6703" s="7" t="s">
        <v>18732</v>
      </c>
      <c r="C6703" s="7" t="s">
        <v>169</v>
      </c>
      <c r="D6703" s="199"/>
      <c r="E6703" s="193"/>
      <c r="F6703" s="195" t="s">
        <v>26036</v>
      </c>
      <c r="G6703" s="200">
        <v>7.4030912E7</v>
      </c>
      <c r="H6703" s="197">
        <v>1.6</v>
      </c>
      <c r="I6703" s="7" t="s">
        <v>16815</v>
      </c>
      <c r="J6703" s="7" t="s">
        <v>18732</v>
      </c>
      <c r="K6703" s="7" t="s">
        <v>169</v>
      </c>
      <c r="L6703" s="201" t="s">
        <v>16835</v>
      </c>
      <c r="M6703" s="199"/>
      <c r="N6703" s="199"/>
    </row>
    <row r="6704">
      <c r="A6704" s="193" t="s">
        <v>26035</v>
      </c>
      <c r="B6704" s="7" t="s">
        <v>169</v>
      </c>
      <c r="C6704" s="7" t="s">
        <v>18732</v>
      </c>
      <c r="D6704" s="199"/>
      <c r="E6704" s="193"/>
      <c r="F6704" s="195" t="s">
        <v>26036</v>
      </c>
      <c r="G6704" s="196">
        <v>7.4030912E7</v>
      </c>
      <c r="H6704" s="197">
        <v>1.6</v>
      </c>
      <c r="I6704" s="7" t="s">
        <v>16815</v>
      </c>
      <c r="J6704" s="7" t="s">
        <v>169</v>
      </c>
      <c r="K6704" s="7" t="s">
        <v>18732</v>
      </c>
      <c r="L6704" s="198" t="s">
        <v>65</v>
      </c>
      <c r="M6704" s="199"/>
      <c r="N6704" s="199"/>
    </row>
    <row r="6705">
      <c r="A6705" s="193" t="s">
        <v>26037</v>
      </c>
      <c r="B6705" s="7" t="s">
        <v>158</v>
      </c>
      <c r="C6705" s="7" t="s">
        <v>16864</v>
      </c>
      <c r="D6705" s="199"/>
      <c r="E6705" s="193"/>
      <c r="F6705" s="195" t="s">
        <v>26038</v>
      </c>
      <c r="G6705" s="196">
        <v>7.3984227E7</v>
      </c>
      <c r="H6705" s="197">
        <v>0.85</v>
      </c>
      <c r="I6705" s="7" t="s">
        <v>17098</v>
      </c>
      <c r="J6705" s="7" t="s">
        <v>158</v>
      </c>
      <c r="K6705" s="7" t="s">
        <v>16864</v>
      </c>
      <c r="L6705" s="198" t="s">
        <v>65</v>
      </c>
      <c r="M6705" s="199"/>
      <c r="N6705" s="199"/>
    </row>
    <row r="6706">
      <c r="A6706" s="193" t="s">
        <v>26037</v>
      </c>
      <c r="B6706" s="202" t="s">
        <v>16864</v>
      </c>
      <c r="C6706" s="193" t="s">
        <v>158</v>
      </c>
      <c r="D6706" s="206"/>
      <c r="E6706" s="193"/>
      <c r="F6706" s="203" t="s">
        <v>26038</v>
      </c>
      <c r="G6706" s="200">
        <v>7.3984227E7</v>
      </c>
      <c r="H6706" s="205">
        <v>11.3</v>
      </c>
      <c r="J6706" s="202" t="s">
        <v>16864</v>
      </c>
      <c r="K6706" s="193" t="s">
        <v>158</v>
      </c>
      <c r="L6706" s="193" t="s">
        <v>17471</v>
      </c>
      <c r="M6706" s="206"/>
      <c r="N6706" s="206"/>
    </row>
    <row r="6707">
      <c r="A6707" s="193" t="s">
        <v>26039</v>
      </c>
      <c r="B6707" s="7" t="s">
        <v>175</v>
      </c>
      <c r="C6707" s="7" t="s">
        <v>17391</v>
      </c>
      <c r="D6707" s="199"/>
      <c r="E6707" s="193"/>
      <c r="F6707" s="195" t="s">
        <v>26040</v>
      </c>
      <c r="G6707" s="196">
        <v>7.3818418E7</v>
      </c>
      <c r="H6707" s="197">
        <v>5.19</v>
      </c>
      <c r="I6707" s="7" t="s">
        <v>17270</v>
      </c>
      <c r="J6707" s="7" t="s">
        <v>175</v>
      </c>
      <c r="K6707" s="7" t="s">
        <v>17391</v>
      </c>
      <c r="L6707" s="198" t="s">
        <v>65</v>
      </c>
      <c r="M6707" s="199"/>
      <c r="N6707" s="199"/>
    </row>
    <row r="6708">
      <c r="A6708" s="193" t="s">
        <v>26041</v>
      </c>
      <c r="B6708" s="7" t="s">
        <v>16885</v>
      </c>
      <c r="C6708" s="7" t="s">
        <v>17726</v>
      </c>
      <c r="D6708" s="194">
        <v>2023.0</v>
      </c>
      <c r="E6708" s="193"/>
      <c r="F6708" s="195" t="s">
        <v>26042</v>
      </c>
      <c r="G6708" s="196">
        <v>7.3772319E7</v>
      </c>
      <c r="H6708" s="197">
        <v>5.95</v>
      </c>
      <c r="I6708" s="7" t="s">
        <v>16826</v>
      </c>
      <c r="J6708" s="7" t="s">
        <v>16885</v>
      </c>
      <c r="K6708" s="7" t="s">
        <v>17726</v>
      </c>
      <c r="L6708" s="198" t="s">
        <v>65</v>
      </c>
      <c r="M6708" s="194"/>
      <c r="N6708" s="194"/>
    </row>
    <row r="6709">
      <c r="A6709" s="193" t="s">
        <v>26043</v>
      </c>
      <c r="B6709" s="7" t="s">
        <v>16838</v>
      </c>
      <c r="C6709" s="7" t="s">
        <v>17016</v>
      </c>
      <c r="D6709" s="199"/>
      <c r="E6709" s="193"/>
      <c r="F6709" s="195" t="s">
        <v>26044</v>
      </c>
      <c r="G6709" s="196">
        <v>7.3739012E7</v>
      </c>
      <c r="H6709" s="197">
        <v>9.7</v>
      </c>
      <c r="I6709" s="7" t="s">
        <v>16815</v>
      </c>
      <c r="J6709" s="7" t="s">
        <v>16838</v>
      </c>
      <c r="K6709" s="7" t="s">
        <v>17016</v>
      </c>
      <c r="L6709" s="198" t="s">
        <v>65</v>
      </c>
      <c r="M6709" s="199"/>
      <c r="N6709" s="199"/>
    </row>
    <row r="6710">
      <c r="A6710" s="193" t="s">
        <v>26045</v>
      </c>
      <c r="B6710" s="7" t="s">
        <v>169</v>
      </c>
      <c r="C6710" s="7" t="s">
        <v>17022</v>
      </c>
      <c r="D6710" s="199"/>
      <c r="E6710" s="193"/>
      <c r="F6710" s="195" t="s">
        <v>26046</v>
      </c>
      <c r="G6710" s="196">
        <v>7.36857E7</v>
      </c>
      <c r="H6710" s="197">
        <v>8.27</v>
      </c>
      <c r="I6710" s="7" t="s">
        <v>16815</v>
      </c>
      <c r="J6710" s="7" t="s">
        <v>169</v>
      </c>
      <c r="K6710" s="7" t="s">
        <v>17022</v>
      </c>
      <c r="L6710" s="198" t="s">
        <v>65</v>
      </c>
      <c r="M6710" s="199"/>
      <c r="N6710" s="199"/>
    </row>
    <row r="6711">
      <c r="A6711" s="193" t="s">
        <v>26047</v>
      </c>
      <c r="B6711" s="7" t="s">
        <v>175</v>
      </c>
      <c r="C6711" s="7" t="s">
        <v>16878</v>
      </c>
      <c r="D6711" s="194">
        <v>2021.0</v>
      </c>
      <c r="E6711" s="193"/>
      <c r="F6711" s="195" t="s">
        <v>26048</v>
      </c>
      <c r="G6711" s="196">
        <v>7.3561358E7</v>
      </c>
      <c r="H6711" s="197">
        <v>1.98</v>
      </c>
      <c r="I6711" s="193" t="s">
        <v>16908</v>
      </c>
      <c r="J6711" s="7" t="s">
        <v>175</v>
      </c>
      <c r="K6711" s="7" t="s">
        <v>16878</v>
      </c>
      <c r="L6711" s="198" t="s">
        <v>65</v>
      </c>
      <c r="M6711" s="194"/>
      <c r="N6711" s="194"/>
    </row>
    <row r="6712">
      <c r="A6712" s="193" t="s">
        <v>26047</v>
      </c>
      <c r="B6712" s="7" t="s">
        <v>16878</v>
      </c>
      <c r="C6712" s="7" t="s">
        <v>175</v>
      </c>
      <c r="D6712" s="194">
        <v>2021.0</v>
      </c>
      <c r="E6712" s="193"/>
      <c r="F6712" s="195" t="s">
        <v>26048</v>
      </c>
      <c r="G6712" s="200">
        <v>7.3561358E7</v>
      </c>
      <c r="H6712" s="197">
        <v>1.98</v>
      </c>
      <c r="I6712" s="7" t="s">
        <v>16815</v>
      </c>
      <c r="J6712" s="7" t="s">
        <v>16878</v>
      </c>
      <c r="K6712" s="7" t="s">
        <v>175</v>
      </c>
      <c r="L6712" s="201" t="s">
        <v>16835</v>
      </c>
      <c r="M6712" s="194"/>
      <c r="N6712" s="194"/>
    </row>
    <row r="6713">
      <c r="A6713" s="193" t="s">
        <v>26049</v>
      </c>
      <c r="B6713" s="7" t="s">
        <v>187</v>
      </c>
      <c r="C6713" s="7" t="s">
        <v>16851</v>
      </c>
      <c r="D6713" s="194">
        <v>2021.0</v>
      </c>
      <c r="E6713" s="193"/>
      <c r="F6713" s="195" t="s">
        <v>26050</v>
      </c>
      <c r="G6713" s="196">
        <v>7.3485171E7</v>
      </c>
      <c r="H6713" s="197">
        <v>1.03</v>
      </c>
      <c r="I6713" s="7" t="s">
        <v>16815</v>
      </c>
      <c r="J6713" s="7" t="s">
        <v>187</v>
      </c>
      <c r="K6713" s="7" t="s">
        <v>16851</v>
      </c>
      <c r="L6713" s="198" t="s">
        <v>65</v>
      </c>
      <c r="M6713" s="194"/>
      <c r="N6713" s="194"/>
    </row>
    <row r="6714">
      <c r="A6714" s="193" t="s">
        <v>26051</v>
      </c>
      <c r="B6714" s="7" t="s">
        <v>175</v>
      </c>
      <c r="C6714" s="7" t="s">
        <v>17350</v>
      </c>
      <c r="D6714" s="199"/>
      <c r="E6714" s="193"/>
      <c r="F6714" s="195" t="s">
        <v>26052</v>
      </c>
      <c r="G6714" s="196">
        <v>7.3318658E7</v>
      </c>
      <c r="H6714" s="197">
        <v>2.61</v>
      </c>
      <c r="I6714" s="7" t="s">
        <v>17270</v>
      </c>
      <c r="J6714" s="7" t="s">
        <v>175</v>
      </c>
      <c r="K6714" s="7" t="s">
        <v>17350</v>
      </c>
      <c r="L6714" s="198" t="s">
        <v>65</v>
      </c>
      <c r="M6714" s="199"/>
      <c r="N6714" s="199"/>
    </row>
    <row r="6715">
      <c r="A6715" s="193" t="s">
        <v>26051</v>
      </c>
      <c r="B6715" s="7" t="s">
        <v>17350</v>
      </c>
      <c r="C6715" s="7" t="s">
        <v>175</v>
      </c>
      <c r="D6715" s="199"/>
      <c r="E6715" s="193"/>
      <c r="F6715" s="195" t="s">
        <v>26052</v>
      </c>
      <c r="G6715" s="200">
        <v>7.3318658E7</v>
      </c>
      <c r="H6715" s="197">
        <v>2.61</v>
      </c>
      <c r="I6715" s="7" t="s">
        <v>16815</v>
      </c>
      <c r="J6715" s="7" t="s">
        <v>17350</v>
      </c>
      <c r="K6715" s="7" t="s">
        <v>175</v>
      </c>
      <c r="L6715" s="201" t="s">
        <v>16835</v>
      </c>
      <c r="M6715" s="199"/>
      <c r="N6715" s="199"/>
    </row>
    <row r="6716">
      <c r="A6716" s="193" t="s">
        <v>26053</v>
      </c>
      <c r="D6716" s="199"/>
      <c r="E6716" s="193"/>
      <c r="F6716" s="195" t="s">
        <v>26054</v>
      </c>
      <c r="G6716" s="196">
        <v>7.2713598E7</v>
      </c>
      <c r="H6716" s="197">
        <v>0.6596</v>
      </c>
      <c r="I6716" s="7" t="s">
        <v>16815</v>
      </c>
      <c r="L6716" s="198" t="s">
        <v>65</v>
      </c>
      <c r="M6716" s="199"/>
      <c r="N6716" s="199"/>
    </row>
    <row r="6717">
      <c r="A6717" s="193" t="s">
        <v>26055</v>
      </c>
      <c r="D6717" s="199"/>
      <c r="E6717" s="193"/>
      <c r="F6717" s="195" t="s">
        <v>26056</v>
      </c>
      <c r="G6717" s="196">
        <v>7.2653943E7</v>
      </c>
      <c r="H6717" s="197">
        <v>0.3709</v>
      </c>
      <c r="I6717" s="7" t="s">
        <v>16815</v>
      </c>
      <c r="L6717" s="198" t="s">
        <v>65</v>
      </c>
      <c r="M6717" s="199"/>
      <c r="N6717" s="199"/>
    </row>
    <row r="6718">
      <c r="A6718" s="193" t="s">
        <v>26055</v>
      </c>
      <c r="B6718" s="208"/>
      <c r="C6718" s="206"/>
      <c r="D6718" s="206"/>
      <c r="E6718" s="193"/>
      <c r="F6718" s="203" t="s">
        <v>26056</v>
      </c>
      <c r="G6718" s="200">
        <v>7.2653943E7</v>
      </c>
      <c r="H6718" s="205">
        <v>0.85</v>
      </c>
      <c r="J6718" s="208"/>
      <c r="K6718" s="206"/>
      <c r="L6718" s="193" t="s">
        <v>17471</v>
      </c>
      <c r="M6718" s="206"/>
      <c r="N6718" s="206"/>
    </row>
    <row r="6719">
      <c r="A6719" s="193" t="s">
        <v>26057</v>
      </c>
      <c r="B6719" s="7" t="s">
        <v>187</v>
      </c>
      <c r="C6719" s="7" t="s">
        <v>16846</v>
      </c>
      <c r="D6719" s="194">
        <v>2017.0</v>
      </c>
      <c r="E6719" s="193"/>
      <c r="F6719" s="195" t="s">
        <v>26058</v>
      </c>
      <c r="G6719" s="196">
        <v>7.2581137E7</v>
      </c>
      <c r="H6719" s="197">
        <v>1.4</v>
      </c>
      <c r="I6719" s="7" t="s">
        <v>16815</v>
      </c>
      <c r="J6719" s="7" t="s">
        <v>187</v>
      </c>
      <c r="K6719" s="7" t="s">
        <v>16846</v>
      </c>
      <c r="L6719" s="198" t="s">
        <v>65</v>
      </c>
      <c r="M6719" s="194"/>
      <c r="N6719" s="194"/>
    </row>
    <row r="6720">
      <c r="A6720" s="193" t="s">
        <v>26059</v>
      </c>
      <c r="B6720" s="7" t="s">
        <v>169</v>
      </c>
      <c r="C6720" s="7" t="s">
        <v>16899</v>
      </c>
      <c r="D6720" s="199"/>
      <c r="E6720" s="193"/>
      <c r="F6720" s="195" t="s">
        <v>26060</v>
      </c>
      <c r="G6720" s="196">
        <v>7.2487371E7</v>
      </c>
      <c r="H6720" s="197">
        <v>6.52</v>
      </c>
      <c r="I6720" s="7" t="s">
        <v>16815</v>
      </c>
      <c r="J6720" s="7" t="s">
        <v>169</v>
      </c>
      <c r="K6720" s="7" t="s">
        <v>16899</v>
      </c>
      <c r="L6720" s="198" t="s">
        <v>65</v>
      </c>
      <c r="M6720" s="199"/>
      <c r="N6720" s="199"/>
    </row>
    <row r="6721">
      <c r="A6721" s="193" t="s">
        <v>26061</v>
      </c>
      <c r="B6721" s="7" t="s">
        <v>187</v>
      </c>
      <c r="C6721" s="7" t="s">
        <v>16858</v>
      </c>
      <c r="D6721" s="194">
        <v>2018.0</v>
      </c>
      <c r="E6721" s="193"/>
      <c r="F6721" s="195" t="s">
        <v>26062</v>
      </c>
      <c r="G6721" s="196">
        <v>7.2440027E7</v>
      </c>
      <c r="H6721" s="197">
        <v>0.5961</v>
      </c>
      <c r="I6721" s="7" t="s">
        <v>16815</v>
      </c>
      <c r="J6721" s="7" t="s">
        <v>187</v>
      </c>
      <c r="K6721" s="7" t="s">
        <v>16858</v>
      </c>
      <c r="L6721" s="198" t="s">
        <v>65</v>
      </c>
      <c r="M6721" s="194"/>
      <c r="N6721" s="194"/>
    </row>
    <row r="6722">
      <c r="A6722" s="193" t="s">
        <v>26063</v>
      </c>
      <c r="B6722" s="7" t="s">
        <v>187</v>
      </c>
      <c r="C6722" s="7" t="s">
        <v>16846</v>
      </c>
      <c r="D6722" s="199"/>
      <c r="E6722" s="193"/>
      <c r="F6722" s="195" t="s">
        <v>26064</v>
      </c>
      <c r="G6722" s="196">
        <v>7.2272878E7</v>
      </c>
      <c r="H6722" s="197">
        <v>5.69</v>
      </c>
      <c r="I6722" s="7" t="s">
        <v>16815</v>
      </c>
      <c r="J6722" s="7" t="s">
        <v>187</v>
      </c>
      <c r="K6722" s="7" t="s">
        <v>16846</v>
      </c>
      <c r="L6722" s="198" t="s">
        <v>65</v>
      </c>
      <c r="M6722" s="199"/>
      <c r="N6722" s="199"/>
    </row>
    <row r="6723">
      <c r="A6723" s="193" t="s">
        <v>26065</v>
      </c>
      <c r="B6723" s="7" t="s">
        <v>187</v>
      </c>
      <c r="C6723" s="7" t="s">
        <v>16858</v>
      </c>
      <c r="D6723" s="199"/>
      <c r="E6723" s="193"/>
      <c r="F6723" s="195" t="s">
        <v>26066</v>
      </c>
      <c r="G6723" s="196">
        <v>7.2175228E7</v>
      </c>
      <c r="H6723" s="197">
        <v>2.8</v>
      </c>
      <c r="I6723" s="7" t="s">
        <v>16815</v>
      </c>
      <c r="J6723" s="7" t="s">
        <v>187</v>
      </c>
      <c r="K6723" s="7" t="s">
        <v>16858</v>
      </c>
      <c r="L6723" s="198" t="s">
        <v>65</v>
      </c>
      <c r="M6723" s="199"/>
      <c r="N6723" s="199"/>
    </row>
    <row r="6724">
      <c r="A6724" s="193" t="s">
        <v>26067</v>
      </c>
      <c r="B6724" s="7" t="s">
        <v>175</v>
      </c>
      <c r="C6724" s="7" t="s">
        <v>17509</v>
      </c>
      <c r="D6724" s="194">
        <v>2023.0</v>
      </c>
      <c r="E6724" s="193"/>
      <c r="F6724" s="195" t="s">
        <v>26068</v>
      </c>
      <c r="G6724" s="196">
        <v>7.2127E7</v>
      </c>
      <c r="H6724" s="197">
        <v>9.13</v>
      </c>
      <c r="I6724" s="7" t="s">
        <v>16856</v>
      </c>
      <c r="J6724" s="7" t="s">
        <v>175</v>
      </c>
      <c r="K6724" s="7" t="s">
        <v>17509</v>
      </c>
      <c r="L6724" s="198" t="s">
        <v>65</v>
      </c>
      <c r="M6724" s="194"/>
      <c r="N6724" s="194"/>
    </row>
    <row r="6725">
      <c r="A6725" s="193" t="s">
        <v>26069</v>
      </c>
      <c r="B6725" s="7" t="s">
        <v>169</v>
      </c>
      <c r="C6725" s="7" t="s">
        <v>17339</v>
      </c>
      <c r="D6725" s="199"/>
      <c r="E6725" s="193"/>
      <c r="F6725" s="195" t="s">
        <v>26070</v>
      </c>
      <c r="G6725" s="196">
        <v>7.2021653E7</v>
      </c>
      <c r="H6725" s="197">
        <v>7.67</v>
      </c>
      <c r="I6725" s="7" t="s">
        <v>16815</v>
      </c>
      <c r="J6725" s="7" t="s">
        <v>169</v>
      </c>
      <c r="K6725" s="7" t="s">
        <v>17339</v>
      </c>
      <c r="L6725" s="198" t="s">
        <v>65</v>
      </c>
      <c r="M6725" s="199"/>
      <c r="N6725" s="199"/>
    </row>
    <row r="6726">
      <c r="A6726" s="193" t="s">
        <v>26071</v>
      </c>
      <c r="B6726" s="7" t="s">
        <v>16838</v>
      </c>
      <c r="C6726" s="7" t="s">
        <v>18956</v>
      </c>
      <c r="D6726" s="194">
        <v>2019.0</v>
      </c>
      <c r="E6726" s="193"/>
      <c r="F6726" s="195" t="s">
        <v>26072</v>
      </c>
      <c r="G6726" s="196">
        <v>7.1823653E7</v>
      </c>
      <c r="H6726" s="197">
        <v>6.48</v>
      </c>
      <c r="I6726" s="7" t="s">
        <v>16815</v>
      </c>
      <c r="J6726" s="7" t="s">
        <v>16838</v>
      </c>
      <c r="K6726" s="7" t="s">
        <v>18956</v>
      </c>
      <c r="L6726" s="198" t="s">
        <v>65</v>
      </c>
      <c r="M6726" s="194"/>
      <c r="N6726" s="194"/>
    </row>
    <row r="6727">
      <c r="A6727" s="193" t="s">
        <v>26073</v>
      </c>
      <c r="B6727" s="7" t="s">
        <v>175</v>
      </c>
      <c r="C6727" s="7" t="s">
        <v>17031</v>
      </c>
      <c r="D6727" s="194">
        <v>1992.0</v>
      </c>
      <c r="E6727" s="193"/>
      <c r="F6727" s="195" t="s">
        <v>26074</v>
      </c>
      <c r="G6727" s="196">
        <v>7.1807947E7</v>
      </c>
      <c r="H6727" s="197">
        <v>5.28</v>
      </c>
      <c r="I6727" s="7" t="s">
        <v>168</v>
      </c>
      <c r="J6727" s="7" t="s">
        <v>175</v>
      </c>
      <c r="K6727" s="7" t="s">
        <v>17031</v>
      </c>
      <c r="L6727" s="198" t="s">
        <v>65</v>
      </c>
      <c r="M6727" s="194"/>
      <c r="N6727" s="194"/>
    </row>
    <row r="6728">
      <c r="A6728" s="193" t="s">
        <v>26073</v>
      </c>
      <c r="B6728" s="7" t="s">
        <v>17031</v>
      </c>
      <c r="C6728" s="7" t="s">
        <v>175</v>
      </c>
      <c r="D6728" s="194">
        <v>1992.0</v>
      </c>
      <c r="E6728" s="193"/>
      <c r="F6728" s="195" t="s">
        <v>26074</v>
      </c>
      <c r="G6728" s="200">
        <v>7.1807947E7</v>
      </c>
      <c r="H6728" s="197">
        <v>5.28</v>
      </c>
      <c r="I6728" s="7" t="s">
        <v>16815</v>
      </c>
      <c r="J6728" s="7" t="s">
        <v>17031</v>
      </c>
      <c r="K6728" s="7" t="s">
        <v>175</v>
      </c>
      <c r="L6728" s="201" t="s">
        <v>16835</v>
      </c>
      <c r="M6728" s="194"/>
      <c r="N6728" s="194"/>
    </row>
    <row r="6729">
      <c r="A6729" s="193" t="s">
        <v>26075</v>
      </c>
      <c r="B6729" s="7" t="s">
        <v>175</v>
      </c>
      <c r="C6729" s="7" t="s">
        <v>17233</v>
      </c>
      <c r="D6729" s="199"/>
      <c r="E6729" s="193"/>
      <c r="F6729" s="195" t="s">
        <v>26076</v>
      </c>
      <c r="G6729" s="196">
        <v>7.1735025E7</v>
      </c>
      <c r="H6729" s="197">
        <v>3.59</v>
      </c>
      <c r="I6729" s="7" t="s">
        <v>168</v>
      </c>
      <c r="J6729" s="7" t="s">
        <v>175</v>
      </c>
      <c r="K6729" s="7" t="s">
        <v>17233</v>
      </c>
      <c r="L6729" s="198" t="s">
        <v>65</v>
      </c>
      <c r="M6729" s="199"/>
      <c r="N6729" s="199"/>
    </row>
    <row r="6730">
      <c r="A6730" s="193" t="s">
        <v>26077</v>
      </c>
      <c r="B6730" s="7" t="s">
        <v>16838</v>
      </c>
      <c r="C6730" s="7" t="s">
        <v>16867</v>
      </c>
      <c r="D6730" s="199"/>
      <c r="E6730" s="193"/>
      <c r="F6730" s="195" t="s">
        <v>26078</v>
      </c>
      <c r="G6730" s="196">
        <v>7.1720402E7</v>
      </c>
      <c r="H6730" s="197">
        <v>20.529</v>
      </c>
      <c r="I6730" s="7" t="s">
        <v>16924</v>
      </c>
      <c r="J6730" s="7" t="s">
        <v>16838</v>
      </c>
      <c r="K6730" s="7" t="s">
        <v>16867</v>
      </c>
      <c r="L6730" s="198" t="s">
        <v>65</v>
      </c>
      <c r="M6730" s="199"/>
      <c r="N6730" s="199"/>
    </row>
    <row r="6731">
      <c r="A6731" s="193" t="s">
        <v>26079</v>
      </c>
      <c r="B6731" s="7" t="s">
        <v>175</v>
      </c>
      <c r="C6731" s="7" t="s">
        <v>18570</v>
      </c>
      <c r="D6731" s="194">
        <v>1993.0</v>
      </c>
      <c r="E6731" s="193"/>
      <c r="F6731" s="195" t="s">
        <v>26080</v>
      </c>
      <c r="G6731" s="196">
        <v>7.1594959E7</v>
      </c>
      <c r="H6731" s="197">
        <v>6.5</v>
      </c>
      <c r="I6731" s="7" t="s">
        <v>168</v>
      </c>
      <c r="J6731" s="7" t="s">
        <v>175</v>
      </c>
      <c r="K6731" s="7" t="s">
        <v>18570</v>
      </c>
      <c r="L6731" s="198" t="s">
        <v>65</v>
      </c>
      <c r="M6731" s="194"/>
      <c r="N6731" s="194"/>
    </row>
    <row r="6732">
      <c r="A6732" s="193" t="s">
        <v>26079</v>
      </c>
      <c r="B6732" s="7" t="s">
        <v>18570</v>
      </c>
      <c r="C6732" s="7" t="s">
        <v>175</v>
      </c>
      <c r="D6732" s="194">
        <v>1993.0</v>
      </c>
      <c r="E6732" s="193"/>
      <c r="F6732" s="195" t="s">
        <v>26080</v>
      </c>
      <c r="G6732" s="200">
        <v>7.1594959E7</v>
      </c>
      <c r="H6732" s="197">
        <v>6.5</v>
      </c>
      <c r="I6732" s="7" t="s">
        <v>16815</v>
      </c>
      <c r="J6732" s="7" t="s">
        <v>18570</v>
      </c>
      <c r="K6732" s="7" t="s">
        <v>175</v>
      </c>
      <c r="L6732" s="201" t="s">
        <v>16835</v>
      </c>
      <c r="M6732" s="194"/>
      <c r="N6732" s="194"/>
    </row>
    <row r="6733">
      <c r="A6733" s="193" t="s">
        <v>26081</v>
      </c>
      <c r="B6733" s="7" t="s">
        <v>16838</v>
      </c>
      <c r="C6733" s="7" t="s">
        <v>18679</v>
      </c>
      <c r="D6733" s="194">
        <v>2004.0</v>
      </c>
      <c r="E6733" s="193"/>
      <c r="F6733" s="195" t="s">
        <v>26082</v>
      </c>
      <c r="G6733" s="196">
        <v>7.1447865E7</v>
      </c>
      <c r="H6733" s="197">
        <v>11.97</v>
      </c>
      <c r="I6733" s="7" t="s">
        <v>16815</v>
      </c>
      <c r="J6733" s="7" t="s">
        <v>16838</v>
      </c>
      <c r="K6733" s="7" t="s">
        <v>18679</v>
      </c>
      <c r="L6733" s="198" t="s">
        <v>65</v>
      </c>
      <c r="M6733" s="194"/>
      <c r="N6733" s="194"/>
    </row>
    <row r="6734">
      <c r="A6734" s="193" t="s">
        <v>26081</v>
      </c>
      <c r="B6734" s="202" t="s">
        <v>18679</v>
      </c>
      <c r="C6734" s="193" t="s">
        <v>16838</v>
      </c>
      <c r="D6734" s="193">
        <v>2004.0</v>
      </c>
      <c r="E6734" s="193"/>
      <c r="F6734" s="203" t="s">
        <v>26082</v>
      </c>
      <c r="G6734" s="200">
        <v>7.1447865E7</v>
      </c>
      <c r="H6734" s="205">
        <v>0.3709</v>
      </c>
      <c r="J6734" s="202" t="s">
        <v>18679</v>
      </c>
      <c r="K6734" s="193" t="s">
        <v>16838</v>
      </c>
      <c r="L6734" s="193" t="s">
        <v>17471</v>
      </c>
      <c r="M6734" s="193"/>
      <c r="N6734" s="193"/>
    </row>
    <row r="6735">
      <c r="A6735" s="193" t="s">
        <v>26083</v>
      </c>
      <c r="B6735" s="7" t="s">
        <v>187</v>
      </c>
      <c r="C6735" s="7" t="s">
        <v>16846</v>
      </c>
      <c r="D6735" s="199"/>
      <c r="E6735" s="193"/>
      <c r="F6735" s="195" t="s">
        <v>26084</v>
      </c>
      <c r="G6735" s="196">
        <v>7.1432158E7</v>
      </c>
      <c r="H6735" s="197">
        <v>0.4</v>
      </c>
      <c r="I6735" s="7" t="s">
        <v>16815</v>
      </c>
      <c r="J6735" s="7" t="s">
        <v>187</v>
      </c>
      <c r="K6735" s="7" t="s">
        <v>16846</v>
      </c>
      <c r="L6735" s="198" t="s">
        <v>65</v>
      </c>
      <c r="M6735" s="199"/>
      <c r="N6735" s="199"/>
    </row>
    <row r="6736">
      <c r="A6736" s="193" t="s">
        <v>26085</v>
      </c>
      <c r="B6736" s="7" t="s">
        <v>16582</v>
      </c>
      <c r="C6736" s="7" t="s">
        <v>17435</v>
      </c>
      <c r="D6736" s="194">
        <v>2022.0</v>
      </c>
      <c r="E6736" s="193"/>
      <c r="F6736" s="195" t="s">
        <v>26086</v>
      </c>
      <c r="G6736" s="196">
        <v>7.1219383E7</v>
      </c>
      <c r="H6736" s="197">
        <v>0.7201</v>
      </c>
      <c r="I6736" s="7" t="s">
        <v>16815</v>
      </c>
      <c r="J6736" s="7" t="s">
        <v>16582</v>
      </c>
      <c r="K6736" s="7" t="s">
        <v>17435</v>
      </c>
      <c r="L6736" s="198" t="s">
        <v>65</v>
      </c>
      <c r="M6736" s="194"/>
      <c r="N6736" s="194"/>
    </row>
    <row r="6737">
      <c r="A6737" s="193" t="s">
        <v>26085</v>
      </c>
      <c r="B6737" s="7" t="s">
        <v>17435</v>
      </c>
      <c r="C6737" s="7" t="s">
        <v>16582</v>
      </c>
      <c r="D6737" s="194">
        <v>2022.0</v>
      </c>
      <c r="E6737" s="193"/>
      <c r="F6737" s="195" t="s">
        <v>26086</v>
      </c>
      <c r="G6737" s="200">
        <v>7.1219383E7</v>
      </c>
      <c r="H6737" s="197">
        <v>0.7201</v>
      </c>
      <c r="I6737" s="7" t="s">
        <v>16815</v>
      </c>
      <c r="J6737" s="7" t="s">
        <v>17435</v>
      </c>
      <c r="K6737" s="7" t="s">
        <v>16582</v>
      </c>
      <c r="L6737" s="201" t="s">
        <v>16835</v>
      </c>
      <c r="M6737" s="194"/>
      <c r="N6737" s="194"/>
    </row>
    <row r="6738">
      <c r="A6738" s="193" t="s">
        <v>26087</v>
      </c>
      <c r="B6738" s="7" t="s">
        <v>16582</v>
      </c>
      <c r="C6738" s="7" t="s">
        <v>16813</v>
      </c>
      <c r="D6738" s="194">
        <v>2018.0</v>
      </c>
      <c r="E6738" s="193"/>
      <c r="F6738" s="195" t="s">
        <v>26088</v>
      </c>
      <c r="G6738" s="196">
        <v>7.114822E7</v>
      </c>
      <c r="H6738" s="197">
        <v>1.16</v>
      </c>
      <c r="I6738" s="7" t="s">
        <v>16815</v>
      </c>
      <c r="J6738" s="7" t="s">
        <v>16582</v>
      </c>
      <c r="K6738" s="7" t="s">
        <v>16813</v>
      </c>
      <c r="L6738" s="198" t="s">
        <v>65</v>
      </c>
      <c r="M6738" s="194"/>
      <c r="N6738" s="194"/>
    </row>
    <row r="6739">
      <c r="A6739" s="193" t="s">
        <v>26087</v>
      </c>
      <c r="B6739" s="7" t="s">
        <v>16813</v>
      </c>
      <c r="C6739" s="7" t="s">
        <v>16582</v>
      </c>
      <c r="D6739" s="194">
        <v>2018.0</v>
      </c>
      <c r="E6739" s="193"/>
      <c r="F6739" s="195" t="s">
        <v>26088</v>
      </c>
      <c r="G6739" s="200">
        <v>7.114822E7</v>
      </c>
      <c r="H6739" s="197">
        <v>1.16</v>
      </c>
      <c r="I6739" s="7" t="s">
        <v>16815</v>
      </c>
      <c r="J6739" s="7" t="s">
        <v>16813</v>
      </c>
      <c r="K6739" s="7" t="s">
        <v>16582</v>
      </c>
      <c r="L6739" s="201" t="s">
        <v>16835</v>
      </c>
      <c r="M6739" s="194"/>
      <c r="N6739" s="194"/>
    </row>
    <row r="6740">
      <c r="A6740" s="193" t="s">
        <v>26089</v>
      </c>
      <c r="B6740" s="7" t="s">
        <v>17111</v>
      </c>
      <c r="C6740" s="7" t="s">
        <v>17112</v>
      </c>
      <c r="D6740" s="194">
        <v>2003.0</v>
      </c>
      <c r="E6740" s="193"/>
      <c r="F6740" s="195" t="s">
        <v>26090</v>
      </c>
      <c r="G6740" s="200">
        <v>7.1097575E7</v>
      </c>
      <c r="H6740" s="197">
        <v>2.06</v>
      </c>
      <c r="I6740" s="7" t="s">
        <v>16815</v>
      </c>
      <c r="J6740" s="7" t="s">
        <v>17111</v>
      </c>
      <c r="K6740" s="7" t="s">
        <v>17112</v>
      </c>
      <c r="L6740" s="201" t="s">
        <v>16835</v>
      </c>
      <c r="M6740" s="194"/>
      <c r="N6740" s="194"/>
    </row>
    <row r="6741">
      <c r="A6741" s="193" t="s">
        <v>26089</v>
      </c>
      <c r="B6741" s="7" t="s">
        <v>17112</v>
      </c>
      <c r="C6741" s="7" t="s">
        <v>17111</v>
      </c>
      <c r="D6741" s="194">
        <v>2003.0</v>
      </c>
      <c r="E6741" s="193"/>
      <c r="F6741" s="195" t="s">
        <v>26090</v>
      </c>
      <c r="G6741" s="196">
        <v>7.1097575E7</v>
      </c>
      <c r="H6741" s="197">
        <v>2.06</v>
      </c>
      <c r="I6741" s="7" t="s">
        <v>16815</v>
      </c>
      <c r="J6741" s="7" t="s">
        <v>17112</v>
      </c>
      <c r="K6741" s="7" t="s">
        <v>17111</v>
      </c>
      <c r="L6741" s="198" t="s">
        <v>65</v>
      </c>
      <c r="M6741" s="194"/>
      <c r="N6741" s="194"/>
    </row>
    <row r="6742">
      <c r="A6742" s="193" t="s">
        <v>26091</v>
      </c>
      <c r="B6742" s="7" t="s">
        <v>16838</v>
      </c>
      <c r="C6742" s="7" t="s">
        <v>18219</v>
      </c>
      <c r="D6742" s="199"/>
      <c r="E6742" s="193"/>
      <c r="F6742" s="195" t="s">
        <v>26092</v>
      </c>
      <c r="G6742" s="196">
        <v>7.1085793E7</v>
      </c>
      <c r="H6742" s="197">
        <v>0.819</v>
      </c>
      <c r="I6742" s="7" t="s">
        <v>16924</v>
      </c>
      <c r="J6742" s="7" t="s">
        <v>16838</v>
      </c>
      <c r="K6742" s="7" t="s">
        <v>18219</v>
      </c>
      <c r="L6742" s="198" t="s">
        <v>65</v>
      </c>
      <c r="M6742" s="199"/>
      <c r="N6742" s="199"/>
    </row>
    <row r="6743">
      <c r="A6743" s="193" t="s">
        <v>26093</v>
      </c>
      <c r="B6743" s="7" t="s">
        <v>16582</v>
      </c>
      <c r="C6743" s="7" t="s">
        <v>16930</v>
      </c>
      <c r="D6743" s="199"/>
      <c r="E6743" s="193"/>
      <c r="F6743" s="195" t="s">
        <v>26094</v>
      </c>
      <c r="G6743" s="196">
        <v>7.1026525E7</v>
      </c>
      <c r="H6743" s="197">
        <v>0.5917</v>
      </c>
      <c r="I6743" s="7" t="s">
        <v>16815</v>
      </c>
      <c r="J6743" s="7" t="s">
        <v>16582</v>
      </c>
      <c r="K6743" s="7" t="s">
        <v>16930</v>
      </c>
      <c r="L6743" s="198" t="s">
        <v>65</v>
      </c>
      <c r="M6743" s="199"/>
      <c r="N6743" s="199"/>
    </row>
    <row r="6744">
      <c r="A6744" s="193" t="s">
        <v>26095</v>
      </c>
      <c r="D6744" s="199"/>
      <c r="E6744" s="193"/>
      <c r="F6744" s="195" t="s">
        <v>26096</v>
      </c>
      <c r="G6744" s="196">
        <v>7.0780663E7</v>
      </c>
      <c r="H6744" s="197">
        <v>1.115</v>
      </c>
      <c r="I6744" s="7" t="s">
        <v>16815</v>
      </c>
      <c r="L6744" s="198" t="s">
        <v>65</v>
      </c>
      <c r="M6744" s="199"/>
      <c r="N6744" s="199"/>
    </row>
    <row r="6745">
      <c r="A6745" s="193" t="s">
        <v>26097</v>
      </c>
      <c r="B6745" s="7" t="s">
        <v>175</v>
      </c>
      <c r="C6745" s="7" t="s">
        <v>16824</v>
      </c>
      <c r="D6745" s="194">
        <v>2021.0</v>
      </c>
      <c r="E6745" s="193"/>
      <c r="F6745" s="195" t="s">
        <v>26098</v>
      </c>
      <c r="G6745" s="196">
        <v>7.0670947E7</v>
      </c>
      <c r="H6745" s="197">
        <v>6.65</v>
      </c>
      <c r="I6745" s="7" t="s">
        <v>16826</v>
      </c>
      <c r="J6745" s="7" t="s">
        <v>175</v>
      </c>
      <c r="K6745" s="7" t="s">
        <v>16824</v>
      </c>
      <c r="L6745" s="198" t="s">
        <v>65</v>
      </c>
      <c r="M6745" s="194"/>
      <c r="N6745" s="194"/>
    </row>
    <row r="6746">
      <c r="A6746" s="193" t="s">
        <v>26097</v>
      </c>
      <c r="B6746" s="7" t="s">
        <v>16824</v>
      </c>
      <c r="C6746" s="7" t="s">
        <v>175</v>
      </c>
      <c r="D6746" s="194">
        <v>2021.0</v>
      </c>
      <c r="E6746" s="193"/>
      <c r="F6746" s="195" t="s">
        <v>26098</v>
      </c>
      <c r="G6746" s="200">
        <v>7.0670947E7</v>
      </c>
      <c r="H6746" s="197">
        <v>6.65</v>
      </c>
      <c r="I6746" s="7" t="s">
        <v>16815</v>
      </c>
      <c r="J6746" s="7" t="s">
        <v>16824</v>
      </c>
      <c r="K6746" s="7" t="s">
        <v>175</v>
      </c>
      <c r="L6746" s="201" t="s">
        <v>16835</v>
      </c>
      <c r="M6746" s="194"/>
      <c r="N6746" s="194"/>
    </row>
    <row r="6747">
      <c r="A6747" s="193" t="s">
        <v>26099</v>
      </c>
      <c r="B6747" s="7" t="s">
        <v>16838</v>
      </c>
      <c r="C6747" s="7" t="s">
        <v>17002</v>
      </c>
      <c r="D6747" s="194">
        <v>2019.0</v>
      </c>
      <c r="E6747" s="193"/>
      <c r="F6747" s="195" t="s">
        <v>26100</v>
      </c>
      <c r="G6747" s="196">
        <v>7.0636346E7</v>
      </c>
      <c r="H6747" s="197">
        <v>10.0001</v>
      </c>
      <c r="I6747" s="7" t="s">
        <v>16815</v>
      </c>
      <c r="J6747" s="7" t="s">
        <v>16838</v>
      </c>
      <c r="K6747" s="7" t="s">
        <v>17002</v>
      </c>
      <c r="L6747" s="198" t="s">
        <v>65</v>
      </c>
      <c r="M6747" s="194"/>
      <c r="N6747" s="194"/>
    </row>
    <row r="6748">
      <c r="A6748" s="193" t="s">
        <v>26101</v>
      </c>
      <c r="B6748" s="7" t="s">
        <v>187</v>
      </c>
      <c r="C6748" s="7" t="s">
        <v>16846</v>
      </c>
      <c r="D6748" s="194">
        <v>2021.0</v>
      </c>
      <c r="E6748" s="193"/>
      <c r="F6748" s="195" t="s">
        <v>26102</v>
      </c>
      <c r="G6748" s="196">
        <v>7.0432024E7</v>
      </c>
      <c r="H6748" s="197">
        <v>2.6</v>
      </c>
      <c r="I6748" s="7" t="s">
        <v>16815</v>
      </c>
      <c r="J6748" s="7" t="s">
        <v>187</v>
      </c>
      <c r="K6748" s="7" t="s">
        <v>16846</v>
      </c>
      <c r="L6748" s="198" t="s">
        <v>65</v>
      </c>
      <c r="M6748" s="194"/>
      <c r="N6748" s="194"/>
    </row>
    <row r="6749">
      <c r="A6749" s="193" t="s">
        <v>26103</v>
      </c>
      <c r="B6749" s="7" t="s">
        <v>17259</v>
      </c>
      <c r="C6749" s="7" t="s">
        <v>187</v>
      </c>
      <c r="D6749" s="199"/>
      <c r="E6749" s="193"/>
      <c r="F6749" s="195" t="s">
        <v>26104</v>
      </c>
      <c r="G6749" s="200">
        <v>7.0000614E7</v>
      </c>
      <c r="H6749" s="197">
        <v>9.0</v>
      </c>
      <c r="I6749" s="7" t="s">
        <v>16815</v>
      </c>
      <c r="J6749" s="7" t="s">
        <v>17259</v>
      </c>
      <c r="K6749" s="7" t="s">
        <v>187</v>
      </c>
      <c r="L6749" s="201" t="s">
        <v>16835</v>
      </c>
      <c r="M6749" s="199"/>
      <c r="N6749" s="199"/>
    </row>
    <row r="6750">
      <c r="A6750" s="193" t="s">
        <v>26103</v>
      </c>
      <c r="B6750" s="7" t="s">
        <v>187</v>
      </c>
      <c r="C6750" s="7" t="s">
        <v>17259</v>
      </c>
      <c r="D6750" s="199"/>
      <c r="E6750" s="193"/>
      <c r="F6750" s="195" t="s">
        <v>26104</v>
      </c>
      <c r="G6750" s="196">
        <v>7.0000614E7</v>
      </c>
      <c r="H6750" s="197">
        <v>9.0</v>
      </c>
      <c r="I6750" s="7" t="s">
        <v>16815</v>
      </c>
      <c r="J6750" s="7" t="s">
        <v>187</v>
      </c>
      <c r="K6750" s="7" t="s">
        <v>17259</v>
      </c>
      <c r="L6750" s="198" t="s">
        <v>65</v>
      </c>
      <c r="M6750" s="199"/>
      <c r="N6750" s="199"/>
    </row>
    <row r="6751">
      <c r="A6751" s="193" t="s">
        <v>26105</v>
      </c>
      <c r="B6751" s="7" t="s">
        <v>158</v>
      </c>
      <c r="C6751" s="7" t="s">
        <v>16864</v>
      </c>
      <c r="D6751" s="194">
        <v>2011.0</v>
      </c>
      <c r="E6751" s="193"/>
      <c r="F6751" s="195" t="s">
        <v>26106</v>
      </c>
      <c r="G6751" s="196">
        <v>6.996E7</v>
      </c>
      <c r="H6751" s="197">
        <v>2.12</v>
      </c>
      <c r="I6751" s="7" t="s">
        <v>17316</v>
      </c>
      <c r="J6751" s="7" t="s">
        <v>158</v>
      </c>
      <c r="K6751" s="7" t="s">
        <v>16864</v>
      </c>
      <c r="L6751" s="198" t="s">
        <v>65</v>
      </c>
      <c r="M6751" s="194"/>
      <c r="N6751" s="194"/>
    </row>
    <row r="6752">
      <c r="A6752" s="193" t="s">
        <v>26105</v>
      </c>
      <c r="B6752" s="7" t="s">
        <v>16864</v>
      </c>
      <c r="C6752" s="7" t="s">
        <v>158</v>
      </c>
      <c r="D6752" s="194">
        <v>2011.0</v>
      </c>
      <c r="E6752" s="193"/>
      <c r="F6752" s="195" t="s">
        <v>26106</v>
      </c>
      <c r="G6752" s="200">
        <v>6.996E7</v>
      </c>
      <c r="H6752" s="197">
        <v>2.12</v>
      </c>
      <c r="I6752" s="7" t="s">
        <v>16815</v>
      </c>
      <c r="J6752" s="7" t="s">
        <v>16864</v>
      </c>
      <c r="K6752" s="7" t="s">
        <v>158</v>
      </c>
      <c r="L6752" s="201" t="s">
        <v>16835</v>
      </c>
      <c r="M6752" s="194"/>
      <c r="N6752" s="194"/>
    </row>
    <row r="6753">
      <c r="A6753" s="193" t="s">
        <v>26107</v>
      </c>
      <c r="B6753" s="7" t="s">
        <v>175</v>
      </c>
      <c r="C6753" s="7" t="s">
        <v>19996</v>
      </c>
      <c r="D6753" s="194">
        <v>1993.0</v>
      </c>
      <c r="E6753" s="193"/>
      <c r="F6753" s="195" t="s">
        <v>26108</v>
      </c>
      <c r="G6753" s="196">
        <v>6.9777837E7</v>
      </c>
      <c r="H6753" s="197">
        <v>1.33</v>
      </c>
      <c r="I6753" s="7" t="s">
        <v>16908</v>
      </c>
      <c r="J6753" s="7" t="s">
        <v>175</v>
      </c>
      <c r="K6753" s="7" t="s">
        <v>19996</v>
      </c>
      <c r="L6753" s="198" t="s">
        <v>65</v>
      </c>
      <c r="M6753" s="194"/>
      <c r="N6753" s="194"/>
    </row>
    <row r="6754">
      <c r="A6754" s="193" t="s">
        <v>26109</v>
      </c>
      <c r="B6754" s="7" t="s">
        <v>187</v>
      </c>
      <c r="C6754" s="7" t="s">
        <v>16858</v>
      </c>
      <c r="D6754" s="194">
        <v>2015.0</v>
      </c>
      <c r="E6754" s="193"/>
      <c r="F6754" s="195" t="s">
        <v>26110</v>
      </c>
      <c r="G6754" s="196">
        <v>6.9634008E7</v>
      </c>
      <c r="H6754" s="197">
        <v>0.77</v>
      </c>
      <c r="I6754" s="7" t="s">
        <v>16815</v>
      </c>
      <c r="J6754" s="7" t="s">
        <v>187</v>
      </c>
      <c r="K6754" s="7" t="s">
        <v>16858</v>
      </c>
      <c r="L6754" s="198" t="s">
        <v>65</v>
      </c>
      <c r="M6754" s="194"/>
      <c r="N6754" s="194"/>
    </row>
    <row r="6755">
      <c r="A6755" s="193" t="s">
        <v>26111</v>
      </c>
      <c r="B6755" s="7" t="s">
        <v>17629</v>
      </c>
      <c r="C6755" s="7" t="s">
        <v>16899</v>
      </c>
      <c r="D6755" s="199"/>
      <c r="E6755" s="193"/>
      <c r="F6755" s="195" t="s">
        <v>26112</v>
      </c>
      <c r="G6755" s="196">
        <v>6.9625767E7</v>
      </c>
      <c r="H6755" s="197">
        <v>2.1</v>
      </c>
      <c r="I6755" s="7" t="s">
        <v>16815</v>
      </c>
      <c r="J6755" s="7" t="s">
        <v>17629</v>
      </c>
      <c r="K6755" s="7" t="s">
        <v>16899</v>
      </c>
      <c r="L6755" s="198" t="s">
        <v>65</v>
      </c>
      <c r="M6755" s="199"/>
      <c r="N6755" s="199"/>
    </row>
    <row r="6756">
      <c r="A6756" s="193" t="s">
        <v>26113</v>
      </c>
      <c r="B6756" s="7" t="s">
        <v>19644</v>
      </c>
      <c r="C6756" s="7" t="s">
        <v>16838</v>
      </c>
      <c r="D6756" s="194">
        <v>2021.0</v>
      </c>
      <c r="E6756" s="193"/>
      <c r="F6756" s="195" t="s">
        <v>26114</v>
      </c>
      <c r="G6756" s="200">
        <v>6.9386251E7</v>
      </c>
      <c r="H6756" s="197">
        <v>0.7914</v>
      </c>
      <c r="I6756" s="7" t="s">
        <v>16815</v>
      </c>
      <c r="J6756" s="7" t="s">
        <v>19644</v>
      </c>
      <c r="K6756" s="7" t="s">
        <v>16838</v>
      </c>
      <c r="L6756" s="201" t="s">
        <v>16835</v>
      </c>
      <c r="M6756" s="194"/>
      <c r="N6756" s="194"/>
    </row>
    <row r="6757">
      <c r="A6757" s="193" t="s">
        <v>26113</v>
      </c>
      <c r="B6757" s="7" t="s">
        <v>16838</v>
      </c>
      <c r="C6757" s="7" t="s">
        <v>19644</v>
      </c>
      <c r="D6757" s="194">
        <v>2021.0</v>
      </c>
      <c r="E6757" s="193"/>
      <c r="F6757" s="195" t="s">
        <v>26114</v>
      </c>
      <c r="G6757" s="196">
        <v>6.9386251E7</v>
      </c>
      <c r="H6757" s="197">
        <v>0.7914</v>
      </c>
      <c r="I6757" s="7" t="s">
        <v>16815</v>
      </c>
      <c r="J6757" s="7" t="s">
        <v>16838</v>
      </c>
      <c r="K6757" s="7" t="s">
        <v>19644</v>
      </c>
      <c r="L6757" s="198" t="s">
        <v>65</v>
      </c>
      <c r="M6757" s="194"/>
      <c r="N6757" s="194"/>
    </row>
    <row r="6758">
      <c r="A6758" s="193" t="s">
        <v>26115</v>
      </c>
      <c r="B6758" s="7" t="s">
        <v>16885</v>
      </c>
      <c r="C6758" s="7" t="s">
        <v>17726</v>
      </c>
      <c r="D6758" s="199"/>
      <c r="E6758" s="193"/>
      <c r="F6758" s="195" t="s">
        <v>26116</v>
      </c>
      <c r="G6758" s="196">
        <v>6.936831E7</v>
      </c>
      <c r="H6758" s="197">
        <v>0.445</v>
      </c>
      <c r="I6758" s="7" t="s">
        <v>16826</v>
      </c>
      <c r="J6758" s="7" t="s">
        <v>16885</v>
      </c>
      <c r="K6758" s="7" t="s">
        <v>17726</v>
      </c>
      <c r="L6758" s="198" t="s">
        <v>65</v>
      </c>
      <c r="M6758" s="199"/>
      <c r="N6758" s="199"/>
    </row>
    <row r="6759">
      <c r="A6759" s="193" t="s">
        <v>26115</v>
      </c>
      <c r="B6759" s="202" t="s">
        <v>17726</v>
      </c>
      <c r="C6759" s="193" t="s">
        <v>16885</v>
      </c>
      <c r="D6759" s="206"/>
      <c r="E6759" s="193"/>
      <c r="F6759" s="203" t="s">
        <v>26116</v>
      </c>
      <c r="G6759" s="200">
        <v>6.936831E7</v>
      </c>
      <c r="H6759" s="205">
        <v>11.97</v>
      </c>
      <c r="J6759" s="202" t="s">
        <v>17726</v>
      </c>
      <c r="K6759" s="193" t="s">
        <v>16885</v>
      </c>
      <c r="L6759" s="193" t="s">
        <v>17471</v>
      </c>
      <c r="M6759" s="206"/>
      <c r="N6759" s="206"/>
    </row>
    <row r="6760">
      <c r="A6760" s="193" t="s">
        <v>26117</v>
      </c>
      <c r="B6760" s="7" t="s">
        <v>187</v>
      </c>
      <c r="C6760" s="7" t="s">
        <v>16846</v>
      </c>
      <c r="D6760" s="194">
        <v>2017.0</v>
      </c>
      <c r="E6760" s="193"/>
      <c r="F6760" s="195" t="s">
        <v>26118</v>
      </c>
      <c r="G6760" s="196">
        <v>6.9267878E7</v>
      </c>
      <c r="H6760" s="197">
        <v>1.28</v>
      </c>
      <c r="I6760" s="7" t="s">
        <v>16815</v>
      </c>
      <c r="J6760" s="7" t="s">
        <v>187</v>
      </c>
      <c r="K6760" s="7" t="s">
        <v>16846</v>
      </c>
      <c r="L6760" s="198" t="s">
        <v>65</v>
      </c>
      <c r="M6760" s="194"/>
      <c r="N6760" s="194"/>
    </row>
    <row r="6761">
      <c r="A6761" s="193" t="s">
        <v>26119</v>
      </c>
      <c r="B6761" s="7" t="s">
        <v>175</v>
      </c>
      <c r="C6761" s="7" t="s">
        <v>16854</v>
      </c>
      <c r="D6761" s="199"/>
      <c r="E6761" s="193"/>
      <c r="F6761" s="195" t="s">
        <v>26120</v>
      </c>
      <c r="G6761" s="196">
        <v>6.9254841E7</v>
      </c>
      <c r="H6761" s="197">
        <v>2.34</v>
      </c>
      <c r="I6761" s="7" t="s">
        <v>17033</v>
      </c>
      <c r="J6761" s="7" t="s">
        <v>175</v>
      </c>
      <c r="K6761" s="7" t="s">
        <v>16854</v>
      </c>
      <c r="L6761" s="198" t="s">
        <v>65</v>
      </c>
      <c r="M6761" s="199"/>
      <c r="N6761" s="199"/>
    </row>
    <row r="6762">
      <c r="A6762" s="193" t="s">
        <v>26121</v>
      </c>
      <c r="B6762" s="7" t="s">
        <v>187</v>
      </c>
      <c r="C6762" s="7" t="s">
        <v>16846</v>
      </c>
      <c r="D6762" s="194">
        <v>2021.0</v>
      </c>
      <c r="E6762" s="193"/>
      <c r="F6762" s="195" t="s">
        <v>26122</v>
      </c>
      <c r="G6762" s="196">
        <v>6.8912179E7</v>
      </c>
      <c r="H6762" s="197">
        <v>3.73</v>
      </c>
      <c r="I6762" s="7" t="s">
        <v>16815</v>
      </c>
      <c r="J6762" s="7" t="s">
        <v>187</v>
      </c>
      <c r="K6762" s="7" t="s">
        <v>16846</v>
      </c>
      <c r="L6762" s="198" t="s">
        <v>65</v>
      </c>
      <c r="M6762" s="194"/>
      <c r="N6762" s="194"/>
    </row>
    <row r="6763">
      <c r="A6763" s="193" t="s">
        <v>26123</v>
      </c>
      <c r="B6763" s="7" t="s">
        <v>187</v>
      </c>
      <c r="C6763" s="7" t="s">
        <v>16858</v>
      </c>
      <c r="D6763" s="194">
        <v>2015.0</v>
      </c>
      <c r="E6763" s="193"/>
      <c r="F6763" s="195" t="s">
        <v>26124</v>
      </c>
      <c r="G6763" s="196">
        <v>6.8752187E7</v>
      </c>
      <c r="H6763" s="197">
        <v>0.8799</v>
      </c>
      <c r="I6763" s="7" t="s">
        <v>16815</v>
      </c>
      <c r="J6763" s="7" t="s">
        <v>187</v>
      </c>
      <c r="K6763" s="7" t="s">
        <v>16858</v>
      </c>
      <c r="L6763" s="198" t="s">
        <v>65</v>
      </c>
      <c r="M6763" s="194"/>
      <c r="N6763" s="194"/>
    </row>
    <row r="6764">
      <c r="A6764" s="193" t="s">
        <v>26123</v>
      </c>
      <c r="B6764" s="202" t="s">
        <v>16858</v>
      </c>
      <c r="C6764" s="193" t="s">
        <v>187</v>
      </c>
      <c r="D6764" s="193">
        <v>2015.0</v>
      </c>
      <c r="E6764" s="193"/>
      <c r="F6764" s="203" t="s">
        <v>26124</v>
      </c>
      <c r="G6764" s="200">
        <v>6.8752187E7</v>
      </c>
      <c r="H6764" s="205">
        <v>0.445</v>
      </c>
      <c r="J6764" s="202" t="s">
        <v>16858</v>
      </c>
      <c r="K6764" s="193" t="s">
        <v>187</v>
      </c>
      <c r="L6764" s="193" t="s">
        <v>17471</v>
      </c>
      <c r="M6764" s="193"/>
      <c r="N6764" s="193"/>
    </row>
    <row r="6765">
      <c r="A6765" s="193" t="s">
        <v>26125</v>
      </c>
      <c r="B6765" s="7" t="s">
        <v>16885</v>
      </c>
      <c r="C6765" s="7" t="s">
        <v>18805</v>
      </c>
      <c r="D6765" s="194">
        <v>2015.0</v>
      </c>
      <c r="E6765" s="193"/>
      <c r="F6765" s="195" t="s">
        <v>26126</v>
      </c>
      <c r="G6765" s="196">
        <v>6.8685375E7</v>
      </c>
      <c r="H6765" s="197">
        <v>0.923</v>
      </c>
      <c r="I6765" s="7" t="s">
        <v>17372</v>
      </c>
      <c r="J6765" s="7" t="s">
        <v>16885</v>
      </c>
      <c r="K6765" s="7" t="s">
        <v>18805</v>
      </c>
      <c r="L6765" s="198" t="s">
        <v>65</v>
      </c>
      <c r="M6765" s="194"/>
      <c r="N6765" s="194"/>
    </row>
    <row r="6766">
      <c r="A6766" s="193" t="s">
        <v>26125</v>
      </c>
      <c r="B6766" s="7" t="s">
        <v>18805</v>
      </c>
      <c r="C6766" s="7" t="s">
        <v>16885</v>
      </c>
      <c r="D6766" s="194">
        <v>2015.0</v>
      </c>
      <c r="E6766" s="193"/>
      <c r="F6766" s="195" t="s">
        <v>26126</v>
      </c>
      <c r="G6766" s="200">
        <v>6.8685375E7</v>
      </c>
      <c r="H6766" s="197">
        <v>0.923</v>
      </c>
      <c r="I6766" s="7" t="s">
        <v>16815</v>
      </c>
      <c r="J6766" s="7" t="s">
        <v>18805</v>
      </c>
      <c r="K6766" s="7" t="s">
        <v>16885</v>
      </c>
      <c r="L6766" s="201" t="s">
        <v>16835</v>
      </c>
      <c r="M6766" s="194"/>
      <c r="N6766" s="194"/>
    </row>
    <row r="6767">
      <c r="A6767" s="193" t="s">
        <v>26127</v>
      </c>
      <c r="B6767" s="7" t="s">
        <v>16838</v>
      </c>
      <c r="C6767" s="7" t="s">
        <v>16837</v>
      </c>
      <c r="D6767" s="194">
        <v>2006.0</v>
      </c>
      <c r="E6767" s="193"/>
      <c r="F6767" s="195" t="s">
        <v>26128</v>
      </c>
      <c r="G6767" s="196">
        <v>6.8467688E7</v>
      </c>
      <c r="H6767" s="197">
        <v>10.015</v>
      </c>
      <c r="I6767" s="7" t="s">
        <v>16815</v>
      </c>
      <c r="J6767" s="7" t="s">
        <v>16838</v>
      </c>
      <c r="K6767" s="7" t="s">
        <v>16837</v>
      </c>
      <c r="L6767" s="198" t="s">
        <v>65</v>
      </c>
      <c r="M6767" s="194"/>
      <c r="N6767" s="194"/>
    </row>
    <row r="6768">
      <c r="A6768" s="193" t="s">
        <v>26129</v>
      </c>
      <c r="B6768" s="7" t="s">
        <v>16582</v>
      </c>
      <c r="C6768" s="7" t="s">
        <v>17435</v>
      </c>
      <c r="D6768" s="199"/>
      <c r="E6768" s="193"/>
      <c r="F6768" s="195" t="s">
        <v>26130</v>
      </c>
      <c r="G6768" s="196">
        <v>6.8433247E7</v>
      </c>
      <c r="H6768" s="197">
        <v>5.655</v>
      </c>
      <c r="I6768" s="7" t="s">
        <v>16815</v>
      </c>
      <c r="J6768" s="7" t="s">
        <v>16582</v>
      </c>
      <c r="K6768" s="7" t="s">
        <v>17435</v>
      </c>
      <c r="L6768" s="198" t="s">
        <v>65</v>
      </c>
      <c r="M6768" s="199"/>
      <c r="N6768" s="199"/>
    </row>
    <row r="6769">
      <c r="A6769" s="193" t="s">
        <v>26131</v>
      </c>
      <c r="B6769" s="7" t="s">
        <v>16838</v>
      </c>
      <c r="C6769" s="7" t="s">
        <v>19579</v>
      </c>
      <c r="D6769" s="194">
        <v>2018.0</v>
      </c>
      <c r="E6769" s="193"/>
      <c r="F6769" s="195" t="s">
        <v>26132</v>
      </c>
      <c r="G6769" s="196">
        <v>6.8421244E7</v>
      </c>
      <c r="H6769" s="197">
        <v>5.89</v>
      </c>
      <c r="I6769" s="7" t="s">
        <v>16815</v>
      </c>
      <c r="J6769" s="7" t="s">
        <v>16838</v>
      </c>
      <c r="K6769" s="7" t="s">
        <v>19579</v>
      </c>
      <c r="L6769" s="198" t="s">
        <v>65</v>
      </c>
      <c r="M6769" s="194"/>
      <c r="N6769" s="194"/>
    </row>
    <row r="6770">
      <c r="A6770" s="193" t="s">
        <v>26133</v>
      </c>
      <c r="B6770" s="7" t="s">
        <v>169</v>
      </c>
      <c r="C6770" s="7" t="s">
        <v>16945</v>
      </c>
      <c r="D6770" s="199"/>
      <c r="E6770" s="193"/>
      <c r="F6770" s="195" t="s">
        <v>26134</v>
      </c>
      <c r="G6770" s="196">
        <v>6.8352668E7</v>
      </c>
      <c r="H6770" s="197">
        <v>2.06</v>
      </c>
      <c r="I6770" s="7" t="s">
        <v>16815</v>
      </c>
      <c r="J6770" s="7" t="s">
        <v>169</v>
      </c>
      <c r="K6770" s="7" t="s">
        <v>16945</v>
      </c>
      <c r="L6770" s="198" t="s">
        <v>65</v>
      </c>
      <c r="M6770" s="199"/>
      <c r="N6770" s="199"/>
    </row>
    <row r="6771">
      <c r="A6771" s="193" t="s">
        <v>26135</v>
      </c>
      <c r="B6771" s="7" t="s">
        <v>187</v>
      </c>
      <c r="C6771" s="7" t="s">
        <v>16992</v>
      </c>
      <c r="D6771" s="194">
        <v>2021.0</v>
      </c>
      <c r="E6771" s="193"/>
      <c r="F6771" s="195" t="s">
        <v>26136</v>
      </c>
      <c r="G6771" s="196">
        <v>6.8241767E7</v>
      </c>
      <c r="H6771" s="197">
        <v>4.19</v>
      </c>
      <c r="I6771" s="7" t="s">
        <v>16815</v>
      </c>
      <c r="J6771" s="7" t="s">
        <v>187</v>
      </c>
      <c r="K6771" s="7" t="s">
        <v>16992</v>
      </c>
      <c r="L6771" s="198" t="s">
        <v>65</v>
      </c>
      <c r="M6771" s="194"/>
      <c r="N6771" s="194"/>
    </row>
    <row r="6772">
      <c r="A6772" s="193" t="s">
        <v>26137</v>
      </c>
      <c r="B6772" s="7" t="s">
        <v>187</v>
      </c>
      <c r="C6772" s="7" t="s">
        <v>16846</v>
      </c>
      <c r="D6772" s="194">
        <v>2016.0</v>
      </c>
      <c r="E6772" s="193"/>
      <c r="F6772" s="195" t="s">
        <v>26138</v>
      </c>
      <c r="G6772" s="196">
        <v>6.8163629E7</v>
      </c>
      <c r="H6772" s="197">
        <v>1.39</v>
      </c>
      <c r="I6772" s="7" t="s">
        <v>16815</v>
      </c>
      <c r="J6772" s="7" t="s">
        <v>187</v>
      </c>
      <c r="K6772" s="7" t="s">
        <v>16846</v>
      </c>
      <c r="L6772" s="198" t="s">
        <v>65</v>
      </c>
      <c r="M6772" s="194"/>
      <c r="N6772" s="194"/>
    </row>
    <row r="6773">
      <c r="A6773" s="193" t="s">
        <v>26139</v>
      </c>
      <c r="B6773" s="7" t="s">
        <v>158</v>
      </c>
      <c r="C6773" s="7" t="s">
        <v>16864</v>
      </c>
      <c r="D6773" s="199"/>
      <c r="E6773" s="193"/>
      <c r="F6773" s="195" t="s">
        <v>26140</v>
      </c>
      <c r="G6773" s="196">
        <v>6.8102272E7</v>
      </c>
      <c r="H6773" s="197">
        <v>7.41</v>
      </c>
      <c r="I6773" s="7" t="s">
        <v>17098</v>
      </c>
      <c r="J6773" s="7" t="s">
        <v>158</v>
      </c>
      <c r="K6773" s="7" t="s">
        <v>16864</v>
      </c>
      <c r="L6773" s="198" t="s">
        <v>65</v>
      </c>
      <c r="M6773" s="199"/>
      <c r="N6773" s="199"/>
    </row>
    <row r="6774">
      <c r="A6774" s="193" t="s">
        <v>26139</v>
      </c>
      <c r="B6774" s="7" t="s">
        <v>16864</v>
      </c>
      <c r="C6774" s="7" t="s">
        <v>158</v>
      </c>
      <c r="D6774" s="199"/>
      <c r="E6774" s="193"/>
      <c r="F6774" s="195" t="s">
        <v>26140</v>
      </c>
      <c r="G6774" s="200">
        <v>6.8102272E7</v>
      </c>
      <c r="H6774" s="197">
        <v>7.41</v>
      </c>
      <c r="I6774" s="7" t="s">
        <v>16815</v>
      </c>
      <c r="J6774" s="7" t="s">
        <v>16864</v>
      </c>
      <c r="K6774" s="7" t="s">
        <v>158</v>
      </c>
      <c r="L6774" s="201" t="s">
        <v>16835</v>
      </c>
      <c r="M6774" s="199"/>
      <c r="N6774" s="199"/>
    </row>
    <row r="6775">
      <c r="A6775" s="193" t="s">
        <v>26141</v>
      </c>
      <c r="B6775" s="7" t="s">
        <v>187</v>
      </c>
      <c r="C6775" s="7" t="s">
        <v>16846</v>
      </c>
      <c r="D6775" s="194">
        <v>2021.0</v>
      </c>
      <c r="E6775" s="193"/>
      <c r="F6775" s="195" t="s">
        <v>26142</v>
      </c>
      <c r="G6775" s="196">
        <v>6.781426E7</v>
      </c>
      <c r="H6775" s="197">
        <v>1.53</v>
      </c>
      <c r="I6775" s="7" t="s">
        <v>16815</v>
      </c>
      <c r="J6775" s="7" t="s">
        <v>187</v>
      </c>
      <c r="K6775" s="7" t="s">
        <v>16846</v>
      </c>
      <c r="L6775" s="198" t="s">
        <v>65</v>
      </c>
      <c r="M6775" s="194"/>
      <c r="N6775" s="194"/>
    </row>
    <row r="6776">
      <c r="A6776" s="193" t="s">
        <v>26143</v>
      </c>
      <c r="B6776" s="7" t="s">
        <v>16910</v>
      </c>
      <c r="C6776" s="7" t="s">
        <v>17119</v>
      </c>
      <c r="D6776" s="199"/>
      <c r="E6776" s="193"/>
      <c r="F6776" s="195" t="s">
        <v>26144</v>
      </c>
      <c r="G6776" s="196">
        <v>6.7686119E7</v>
      </c>
      <c r="H6776" s="197">
        <v>1.19</v>
      </c>
      <c r="I6776" s="7" t="s">
        <v>16856</v>
      </c>
      <c r="J6776" s="7" t="s">
        <v>16910</v>
      </c>
      <c r="K6776" s="7" t="s">
        <v>17119</v>
      </c>
      <c r="L6776" s="198" t="s">
        <v>65</v>
      </c>
      <c r="M6776" s="199"/>
      <c r="N6776" s="199"/>
    </row>
    <row r="6777">
      <c r="A6777" s="193" t="s">
        <v>26145</v>
      </c>
      <c r="B6777" s="7" t="s">
        <v>16838</v>
      </c>
      <c r="C6777" s="7" t="s">
        <v>17019</v>
      </c>
      <c r="D6777" s="199"/>
      <c r="E6777" s="193"/>
      <c r="F6777" s="195" t="s">
        <v>26146</v>
      </c>
      <c r="G6777" s="196">
        <v>6.7683401E7</v>
      </c>
      <c r="H6777" s="197">
        <v>1.71</v>
      </c>
      <c r="I6777" s="7" t="s">
        <v>16815</v>
      </c>
      <c r="J6777" s="7" t="s">
        <v>16838</v>
      </c>
      <c r="K6777" s="7" t="s">
        <v>17019</v>
      </c>
      <c r="L6777" s="198" t="s">
        <v>65</v>
      </c>
      <c r="M6777" s="199"/>
      <c r="N6777" s="199"/>
    </row>
    <row r="6778">
      <c r="A6778" s="193" t="s">
        <v>26147</v>
      </c>
      <c r="B6778" s="7" t="s">
        <v>187</v>
      </c>
      <c r="C6778" s="7" t="s">
        <v>16969</v>
      </c>
      <c r="D6778" s="199"/>
      <c r="E6778" s="193"/>
      <c r="F6778" s="195" t="s">
        <v>26148</v>
      </c>
      <c r="G6778" s="196">
        <v>6.7665866E7</v>
      </c>
      <c r="H6778" s="197">
        <v>3.14</v>
      </c>
      <c r="I6778" s="7" t="s">
        <v>16815</v>
      </c>
      <c r="J6778" s="7" t="s">
        <v>187</v>
      </c>
      <c r="K6778" s="7" t="s">
        <v>16969</v>
      </c>
      <c r="L6778" s="198" t="s">
        <v>65</v>
      </c>
      <c r="M6778" s="199"/>
      <c r="N6778" s="199"/>
    </row>
    <row r="6779">
      <c r="A6779" s="193" t="s">
        <v>26149</v>
      </c>
      <c r="B6779" s="7" t="s">
        <v>16582</v>
      </c>
      <c r="C6779" s="7" t="s">
        <v>16995</v>
      </c>
      <c r="D6779" s="194">
        <v>1996.0</v>
      </c>
      <c r="E6779" s="193"/>
      <c r="F6779" s="195" t="s">
        <v>26150</v>
      </c>
      <c r="G6779" s="196">
        <v>6.7316878E7</v>
      </c>
      <c r="H6779" s="197">
        <v>6.76</v>
      </c>
      <c r="I6779" s="7" t="s">
        <v>16815</v>
      </c>
      <c r="J6779" s="7" t="s">
        <v>16582</v>
      </c>
      <c r="K6779" s="7" t="s">
        <v>16995</v>
      </c>
      <c r="L6779" s="198" t="s">
        <v>65</v>
      </c>
      <c r="M6779" s="194"/>
      <c r="N6779" s="194"/>
    </row>
    <row r="6780">
      <c r="A6780" s="193" t="s">
        <v>26151</v>
      </c>
      <c r="B6780" s="7" t="s">
        <v>16582</v>
      </c>
      <c r="C6780" s="7" t="s">
        <v>16817</v>
      </c>
      <c r="D6780" s="199"/>
      <c r="E6780" s="193"/>
      <c r="F6780" s="195" t="s">
        <v>26152</v>
      </c>
      <c r="G6780" s="196">
        <v>6.71206E7</v>
      </c>
      <c r="H6780" s="197">
        <v>0.5009</v>
      </c>
      <c r="I6780" s="7" t="s">
        <v>16815</v>
      </c>
      <c r="J6780" s="7" t="s">
        <v>16582</v>
      </c>
      <c r="K6780" s="7" t="s">
        <v>16817</v>
      </c>
      <c r="L6780" s="198" t="s">
        <v>65</v>
      </c>
      <c r="M6780" s="199"/>
      <c r="N6780" s="199"/>
    </row>
    <row r="6781">
      <c r="A6781" s="193" t="s">
        <v>26153</v>
      </c>
      <c r="B6781" s="7" t="s">
        <v>16582</v>
      </c>
      <c r="C6781" s="7" t="s">
        <v>16930</v>
      </c>
      <c r="D6781" s="194">
        <v>2021.0</v>
      </c>
      <c r="E6781" s="193"/>
      <c r="F6781" s="195" t="s">
        <v>26154</v>
      </c>
      <c r="G6781" s="196">
        <v>6.7091319E7</v>
      </c>
      <c r="H6781" s="197">
        <v>1.73</v>
      </c>
      <c r="I6781" s="7" t="s">
        <v>16815</v>
      </c>
      <c r="J6781" s="7" t="s">
        <v>16582</v>
      </c>
      <c r="K6781" s="7" t="s">
        <v>16930</v>
      </c>
      <c r="L6781" s="198" t="s">
        <v>65</v>
      </c>
      <c r="M6781" s="194"/>
      <c r="N6781" s="194"/>
    </row>
    <row r="6782">
      <c r="A6782" s="193" t="s">
        <v>26155</v>
      </c>
      <c r="B6782" s="7" t="s">
        <v>187</v>
      </c>
      <c r="C6782" s="7" t="s">
        <v>16992</v>
      </c>
      <c r="D6782" s="194">
        <v>2020.0</v>
      </c>
      <c r="E6782" s="193"/>
      <c r="F6782" s="195" t="s">
        <v>26156</v>
      </c>
      <c r="G6782" s="196">
        <v>6.6870452E7</v>
      </c>
      <c r="H6782" s="197">
        <v>1.395</v>
      </c>
      <c r="I6782" s="7" t="s">
        <v>16815</v>
      </c>
      <c r="J6782" s="7" t="s">
        <v>187</v>
      </c>
      <c r="K6782" s="7" t="s">
        <v>16992</v>
      </c>
      <c r="L6782" s="198" t="s">
        <v>65</v>
      </c>
      <c r="M6782" s="194"/>
      <c r="N6782" s="194"/>
    </row>
    <row r="6783">
      <c r="A6783" s="193" t="s">
        <v>26157</v>
      </c>
      <c r="B6783" s="7" t="s">
        <v>16582</v>
      </c>
      <c r="C6783" s="7" t="s">
        <v>17339</v>
      </c>
      <c r="D6783" s="194">
        <v>1997.0</v>
      </c>
      <c r="E6783" s="193"/>
      <c r="F6783" s="195" t="s">
        <v>26158</v>
      </c>
      <c r="G6783" s="196">
        <v>6.63975E7</v>
      </c>
      <c r="H6783" s="197">
        <v>11.35</v>
      </c>
      <c r="I6783" s="7" t="s">
        <v>16815</v>
      </c>
      <c r="J6783" s="7" t="s">
        <v>16582</v>
      </c>
      <c r="K6783" s="7" t="s">
        <v>17339</v>
      </c>
      <c r="L6783" s="198" t="s">
        <v>65</v>
      </c>
      <c r="M6783" s="194"/>
      <c r="N6783" s="194"/>
    </row>
    <row r="6784">
      <c r="A6784" s="193" t="s">
        <v>26159</v>
      </c>
      <c r="B6784" s="7" t="s">
        <v>175</v>
      </c>
      <c r="C6784" s="7" t="s">
        <v>17233</v>
      </c>
      <c r="D6784" s="199"/>
      <c r="E6784" s="193"/>
      <c r="F6784" s="195" t="s">
        <v>26160</v>
      </c>
      <c r="G6784" s="196">
        <v>6.6096517E7</v>
      </c>
      <c r="H6784" s="197">
        <v>3.68</v>
      </c>
      <c r="I6784" s="7" t="s">
        <v>16844</v>
      </c>
      <c r="J6784" s="7" t="s">
        <v>175</v>
      </c>
      <c r="K6784" s="7" t="s">
        <v>17233</v>
      </c>
      <c r="L6784" s="198" t="s">
        <v>65</v>
      </c>
      <c r="M6784" s="199"/>
      <c r="N6784" s="199"/>
    </row>
    <row r="6785">
      <c r="A6785" s="193" t="s">
        <v>26161</v>
      </c>
      <c r="B6785" s="7" t="s">
        <v>18679</v>
      </c>
      <c r="C6785" s="7" t="s">
        <v>16838</v>
      </c>
      <c r="D6785" s="199"/>
      <c r="E6785" s="193"/>
      <c r="F6785" s="195" t="s">
        <v>26162</v>
      </c>
      <c r="G6785" s="200">
        <v>6.6068901E7</v>
      </c>
      <c r="H6785" s="197">
        <v>3.47</v>
      </c>
      <c r="I6785" s="7" t="s">
        <v>16815</v>
      </c>
      <c r="J6785" s="7" t="s">
        <v>18679</v>
      </c>
      <c r="K6785" s="7" t="s">
        <v>16838</v>
      </c>
      <c r="L6785" s="201" t="s">
        <v>16835</v>
      </c>
      <c r="M6785" s="199"/>
      <c r="N6785" s="199"/>
    </row>
    <row r="6786">
      <c r="A6786" s="193" t="s">
        <v>26161</v>
      </c>
      <c r="B6786" s="7" t="s">
        <v>16838</v>
      </c>
      <c r="C6786" s="7" t="s">
        <v>18679</v>
      </c>
      <c r="D6786" s="199"/>
      <c r="E6786" s="193"/>
      <c r="F6786" s="195" t="s">
        <v>26162</v>
      </c>
      <c r="G6786" s="196">
        <v>6.6068901E7</v>
      </c>
      <c r="H6786" s="197">
        <v>3.47</v>
      </c>
      <c r="I6786" s="7" t="s">
        <v>16815</v>
      </c>
      <c r="J6786" s="7" t="s">
        <v>16838</v>
      </c>
      <c r="K6786" s="7" t="s">
        <v>18679</v>
      </c>
      <c r="L6786" s="198" t="s">
        <v>65</v>
      </c>
      <c r="M6786" s="199"/>
      <c r="N6786" s="199"/>
    </row>
    <row r="6787">
      <c r="A6787" s="193" t="s">
        <v>26163</v>
      </c>
      <c r="B6787" s="7" t="s">
        <v>16582</v>
      </c>
      <c r="C6787" s="7" t="s">
        <v>16995</v>
      </c>
      <c r="D6787" s="194">
        <v>2020.0</v>
      </c>
      <c r="E6787" s="193"/>
      <c r="F6787" s="195" t="s">
        <v>26164</v>
      </c>
      <c r="G6787" s="196">
        <v>6.5997719E7</v>
      </c>
      <c r="H6787" s="197">
        <v>0.44</v>
      </c>
      <c r="I6787" s="7" t="s">
        <v>16815</v>
      </c>
      <c r="J6787" s="7" t="s">
        <v>16582</v>
      </c>
      <c r="K6787" s="7" t="s">
        <v>16995</v>
      </c>
      <c r="L6787" s="198" t="s">
        <v>65</v>
      </c>
      <c r="M6787" s="194"/>
      <c r="N6787" s="194"/>
    </row>
    <row r="6788">
      <c r="A6788" s="193" t="s">
        <v>26165</v>
      </c>
      <c r="B6788" s="7" t="s">
        <v>16838</v>
      </c>
      <c r="C6788" s="7" t="s">
        <v>17019</v>
      </c>
      <c r="D6788" s="194">
        <v>1999.0</v>
      </c>
      <c r="E6788" s="193"/>
      <c r="F6788" s="195" t="s">
        <v>26166</v>
      </c>
      <c r="G6788" s="196">
        <v>6.5974934E7</v>
      </c>
      <c r="H6788" s="197">
        <v>9.38</v>
      </c>
      <c r="I6788" s="7" t="s">
        <v>16815</v>
      </c>
      <c r="J6788" s="7" t="s">
        <v>16838</v>
      </c>
      <c r="K6788" s="7" t="s">
        <v>17019</v>
      </c>
      <c r="L6788" s="198" t="s">
        <v>65</v>
      </c>
      <c r="M6788" s="194"/>
      <c r="N6788" s="194"/>
    </row>
    <row r="6789">
      <c r="A6789" s="193" t="s">
        <v>26165</v>
      </c>
      <c r="B6789" s="202" t="s">
        <v>17019</v>
      </c>
      <c r="C6789" s="193" t="s">
        <v>16838</v>
      </c>
      <c r="D6789" s="193">
        <v>1999.0</v>
      </c>
      <c r="E6789" s="193"/>
      <c r="F6789" s="203" t="s">
        <v>26166</v>
      </c>
      <c r="G6789" s="200">
        <v>6.5974934E7</v>
      </c>
      <c r="H6789" s="205">
        <v>0.8799</v>
      </c>
      <c r="J6789" s="202" t="s">
        <v>17019</v>
      </c>
      <c r="K6789" s="193" t="s">
        <v>16838</v>
      </c>
      <c r="L6789" s="193" t="s">
        <v>17471</v>
      </c>
      <c r="M6789" s="193"/>
      <c r="N6789" s="193"/>
    </row>
    <row r="6790">
      <c r="A6790" s="193" t="s">
        <v>26167</v>
      </c>
      <c r="B6790" s="7" t="s">
        <v>16910</v>
      </c>
      <c r="C6790" s="7" t="s">
        <v>17119</v>
      </c>
      <c r="D6790" s="194">
        <v>2021.0</v>
      </c>
      <c r="E6790" s="193"/>
      <c r="F6790" s="195" t="s">
        <v>26168</v>
      </c>
      <c r="G6790" s="196">
        <v>6.5969491E7</v>
      </c>
      <c r="H6790" s="197">
        <v>0.3172</v>
      </c>
      <c r="I6790" s="7" t="s">
        <v>16856</v>
      </c>
      <c r="J6790" s="7" t="s">
        <v>16910</v>
      </c>
      <c r="K6790" s="7" t="s">
        <v>17119</v>
      </c>
      <c r="L6790" s="198" t="s">
        <v>65</v>
      </c>
      <c r="M6790" s="194"/>
      <c r="N6790" s="194"/>
    </row>
    <row r="6791">
      <c r="A6791" s="193" t="s">
        <v>26167</v>
      </c>
      <c r="B6791" s="7" t="s">
        <v>17119</v>
      </c>
      <c r="C6791" s="7" t="s">
        <v>16910</v>
      </c>
      <c r="D6791" s="194">
        <v>2021.0</v>
      </c>
      <c r="E6791" s="193"/>
      <c r="F6791" s="195" t="s">
        <v>26168</v>
      </c>
      <c r="G6791" s="200">
        <v>6.5969491E7</v>
      </c>
      <c r="H6791" s="197">
        <v>0.3172</v>
      </c>
      <c r="I6791" s="7" t="s">
        <v>16815</v>
      </c>
      <c r="J6791" s="7" t="s">
        <v>17119</v>
      </c>
      <c r="K6791" s="7" t="s">
        <v>16910</v>
      </c>
      <c r="L6791" s="201" t="s">
        <v>16835</v>
      </c>
      <c r="M6791" s="194"/>
      <c r="N6791" s="194"/>
    </row>
    <row r="6792">
      <c r="A6792" s="193" t="s">
        <v>26169</v>
      </c>
      <c r="B6792" s="7" t="s">
        <v>187</v>
      </c>
      <c r="C6792" s="7" t="s">
        <v>16969</v>
      </c>
      <c r="D6792" s="199"/>
      <c r="E6792" s="193"/>
      <c r="F6792" s="195" t="s">
        <v>26170</v>
      </c>
      <c r="G6792" s="196">
        <v>6.5934191E7</v>
      </c>
      <c r="H6792" s="197">
        <v>0.235</v>
      </c>
      <c r="I6792" s="7" t="s">
        <v>16815</v>
      </c>
      <c r="J6792" s="7" t="s">
        <v>187</v>
      </c>
      <c r="K6792" s="7" t="s">
        <v>16969</v>
      </c>
      <c r="L6792" s="198" t="s">
        <v>65</v>
      </c>
      <c r="M6792" s="199"/>
      <c r="N6792" s="199"/>
    </row>
    <row r="6793">
      <c r="A6793" s="193" t="s">
        <v>26169</v>
      </c>
      <c r="B6793" s="202" t="s">
        <v>16969</v>
      </c>
      <c r="C6793" s="193" t="s">
        <v>187</v>
      </c>
      <c r="D6793" s="206"/>
      <c r="E6793" s="193"/>
      <c r="F6793" s="203" t="s">
        <v>26170</v>
      </c>
      <c r="G6793" s="200">
        <v>6.5934191E7</v>
      </c>
      <c r="H6793" s="205">
        <v>9.38</v>
      </c>
      <c r="J6793" s="202" t="s">
        <v>16969</v>
      </c>
      <c r="K6793" s="193" t="s">
        <v>187</v>
      </c>
      <c r="L6793" s="193" t="s">
        <v>17471</v>
      </c>
      <c r="M6793" s="206"/>
      <c r="N6793" s="206"/>
    </row>
    <row r="6794">
      <c r="A6794" s="193" t="s">
        <v>26171</v>
      </c>
      <c r="B6794" s="7" t="s">
        <v>175</v>
      </c>
      <c r="C6794" s="7" t="s">
        <v>17321</v>
      </c>
      <c r="D6794" s="199"/>
      <c r="E6794" s="193"/>
      <c r="F6794" s="195" t="s">
        <v>26172</v>
      </c>
      <c r="G6794" s="196">
        <v>6.5884804E7</v>
      </c>
      <c r="H6794" s="197">
        <v>1.7</v>
      </c>
      <c r="I6794" s="7" t="s">
        <v>16908</v>
      </c>
      <c r="J6794" s="7" t="s">
        <v>175</v>
      </c>
      <c r="K6794" s="7" t="s">
        <v>17321</v>
      </c>
      <c r="L6794" s="198" t="s">
        <v>65</v>
      </c>
      <c r="M6794" s="199"/>
      <c r="N6794" s="199"/>
    </row>
    <row r="6795">
      <c r="A6795" s="193" t="s">
        <v>26173</v>
      </c>
      <c r="B6795" s="7" t="s">
        <v>169</v>
      </c>
      <c r="C6795" s="7" t="s">
        <v>17321</v>
      </c>
      <c r="D6795" s="194">
        <v>1997.0</v>
      </c>
      <c r="E6795" s="193"/>
      <c r="F6795" s="195" t="s">
        <v>26174</v>
      </c>
      <c r="G6795" s="196">
        <v>6.5801375E7</v>
      </c>
      <c r="H6795" s="197">
        <v>4.04</v>
      </c>
      <c r="I6795" s="7" t="s">
        <v>16815</v>
      </c>
      <c r="J6795" s="7" t="s">
        <v>169</v>
      </c>
      <c r="K6795" s="7" t="s">
        <v>17321</v>
      </c>
      <c r="L6795" s="198" t="s">
        <v>65</v>
      </c>
      <c r="M6795" s="194"/>
      <c r="N6795" s="194"/>
    </row>
    <row r="6796">
      <c r="A6796" s="193" t="s">
        <v>26175</v>
      </c>
      <c r="B6796" s="7" t="s">
        <v>16582</v>
      </c>
      <c r="C6796" s="7" t="s">
        <v>16817</v>
      </c>
      <c r="D6796" s="194">
        <v>2022.0</v>
      </c>
      <c r="E6796" s="193"/>
      <c r="F6796" s="195" t="s">
        <v>26176</v>
      </c>
      <c r="G6796" s="196">
        <v>6.566346E7</v>
      </c>
      <c r="H6796" s="197">
        <v>1.91</v>
      </c>
      <c r="I6796" s="7" t="s">
        <v>16815</v>
      </c>
      <c r="J6796" s="7" t="s">
        <v>16582</v>
      </c>
      <c r="K6796" s="7" t="s">
        <v>16817</v>
      </c>
      <c r="L6796" s="198" t="s">
        <v>65</v>
      </c>
      <c r="M6796" s="194"/>
      <c r="N6796" s="194"/>
    </row>
    <row r="6797">
      <c r="A6797" s="193" t="s">
        <v>26175</v>
      </c>
      <c r="B6797" s="7" t="s">
        <v>16817</v>
      </c>
      <c r="C6797" s="7" t="s">
        <v>16582</v>
      </c>
      <c r="D6797" s="194">
        <v>2022.0</v>
      </c>
      <c r="E6797" s="193"/>
      <c r="F6797" s="195" t="s">
        <v>26176</v>
      </c>
      <c r="G6797" s="200">
        <v>6.566346E7</v>
      </c>
      <c r="H6797" s="197">
        <v>1.91</v>
      </c>
      <c r="I6797" s="7" t="s">
        <v>16815</v>
      </c>
      <c r="J6797" s="7" t="s">
        <v>16817</v>
      </c>
      <c r="K6797" s="7" t="s">
        <v>16582</v>
      </c>
      <c r="L6797" s="201" t="s">
        <v>16835</v>
      </c>
      <c r="M6797" s="194"/>
      <c r="N6797" s="194"/>
    </row>
    <row r="6798">
      <c r="A6798" s="193" t="s">
        <v>26177</v>
      </c>
      <c r="B6798" s="7" t="s">
        <v>187</v>
      </c>
      <c r="C6798" s="7" t="s">
        <v>16846</v>
      </c>
      <c r="D6798" s="194">
        <v>2021.0</v>
      </c>
      <c r="E6798" s="193"/>
      <c r="F6798" s="195" t="s">
        <v>26178</v>
      </c>
      <c r="G6798" s="196">
        <v>6.5584363E7</v>
      </c>
      <c r="H6798" s="197">
        <v>0.44</v>
      </c>
      <c r="I6798" s="7" t="s">
        <v>16815</v>
      </c>
      <c r="J6798" s="7" t="s">
        <v>187</v>
      </c>
      <c r="K6798" s="7" t="s">
        <v>16846</v>
      </c>
      <c r="L6798" s="198" t="s">
        <v>65</v>
      </c>
      <c r="M6798" s="194"/>
      <c r="N6798" s="194"/>
    </row>
    <row r="6799">
      <c r="A6799" s="193" t="s">
        <v>26179</v>
      </c>
      <c r="B6799" s="7" t="s">
        <v>17112</v>
      </c>
      <c r="C6799" s="7" t="s">
        <v>16838</v>
      </c>
      <c r="D6799" s="194">
        <v>2021.0</v>
      </c>
      <c r="E6799" s="193"/>
      <c r="F6799" s="195" t="s">
        <v>26180</v>
      </c>
      <c r="G6799" s="200">
        <v>6.5437776E7</v>
      </c>
      <c r="H6799" s="197">
        <v>4.87</v>
      </c>
      <c r="I6799" s="7" t="s">
        <v>16815</v>
      </c>
      <c r="J6799" s="7" t="s">
        <v>17112</v>
      </c>
      <c r="K6799" s="7" t="s">
        <v>16838</v>
      </c>
      <c r="L6799" s="201" t="s">
        <v>16835</v>
      </c>
      <c r="M6799" s="194"/>
      <c r="N6799" s="194"/>
    </row>
    <row r="6800">
      <c r="A6800" s="193" t="s">
        <v>26179</v>
      </c>
      <c r="B6800" s="7" t="s">
        <v>16838</v>
      </c>
      <c r="C6800" s="7" t="s">
        <v>17112</v>
      </c>
      <c r="D6800" s="194">
        <v>2021.0</v>
      </c>
      <c r="E6800" s="193"/>
      <c r="F6800" s="195" t="s">
        <v>26180</v>
      </c>
      <c r="G6800" s="196">
        <v>6.5437776E7</v>
      </c>
      <c r="H6800" s="197">
        <v>4.87</v>
      </c>
      <c r="I6800" s="7" t="s">
        <v>16815</v>
      </c>
      <c r="J6800" s="7" t="s">
        <v>16838</v>
      </c>
      <c r="K6800" s="7" t="s">
        <v>17112</v>
      </c>
      <c r="L6800" s="198" t="s">
        <v>65</v>
      </c>
      <c r="M6800" s="194"/>
      <c r="N6800" s="194"/>
    </row>
    <row r="6801">
      <c r="A6801" s="193" t="s">
        <v>26181</v>
      </c>
      <c r="B6801" s="7" t="s">
        <v>16582</v>
      </c>
      <c r="C6801" s="7" t="s">
        <v>16828</v>
      </c>
      <c r="D6801" s="194">
        <v>2000.0</v>
      </c>
      <c r="E6801" s="193"/>
      <c r="F6801" s="195" t="s">
        <v>26182</v>
      </c>
      <c r="G6801" s="196">
        <v>6.5197545E7</v>
      </c>
      <c r="H6801" s="197">
        <v>1.15</v>
      </c>
      <c r="I6801" s="7" t="s">
        <v>16815</v>
      </c>
      <c r="J6801" s="7" t="s">
        <v>16582</v>
      </c>
      <c r="K6801" s="7" t="s">
        <v>16828</v>
      </c>
      <c r="L6801" s="198" t="s">
        <v>65</v>
      </c>
      <c r="M6801" s="194"/>
      <c r="N6801" s="194"/>
    </row>
    <row r="6802">
      <c r="A6802" s="193" t="s">
        <v>26183</v>
      </c>
      <c r="B6802" s="7" t="s">
        <v>187</v>
      </c>
      <c r="C6802" s="7" t="s">
        <v>16969</v>
      </c>
      <c r="D6802" s="199"/>
      <c r="E6802" s="193"/>
      <c r="F6802" s="195" t="s">
        <v>26184</v>
      </c>
      <c r="G6802" s="196">
        <v>6.50082E7</v>
      </c>
      <c r="H6802" s="197">
        <v>2.05</v>
      </c>
      <c r="I6802" s="7" t="s">
        <v>16815</v>
      </c>
      <c r="J6802" s="7" t="s">
        <v>187</v>
      </c>
      <c r="K6802" s="7" t="s">
        <v>16969</v>
      </c>
      <c r="L6802" s="198" t="s">
        <v>65</v>
      </c>
      <c r="M6802" s="199"/>
      <c r="N6802" s="199"/>
    </row>
    <row r="6803">
      <c r="A6803" s="193" t="s">
        <v>26185</v>
      </c>
      <c r="B6803" s="7" t="s">
        <v>175</v>
      </c>
      <c r="C6803" s="7" t="s">
        <v>20344</v>
      </c>
      <c r="D6803" s="199"/>
      <c r="E6803" s="193"/>
      <c r="F6803" s="195" t="s">
        <v>26186</v>
      </c>
      <c r="G6803" s="196">
        <v>6.4778199E7</v>
      </c>
      <c r="H6803" s="197">
        <v>5.2</v>
      </c>
      <c r="I6803" s="7" t="s">
        <v>16908</v>
      </c>
      <c r="J6803" s="7" t="s">
        <v>175</v>
      </c>
      <c r="K6803" s="7" t="s">
        <v>20344</v>
      </c>
      <c r="L6803" s="198" t="s">
        <v>65</v>
      </c>
      <c r="M6803" s="199"/>
      <c r="N6803" s="199"/>
    </row>
    <row r="6804">
      <c r="A6804" s="193" t="s">
        <v>26185</v>
      </c>
      <c r="B6804" s="7" t="s">
        <v>20344</v>
      </c>
      <c r="C6804" s="7" t="s">
        <v>175</v>
      </c>
      <c r="D6804" s="199"/>
      <c r="E6804" s="193"/>
      <c r="F6804" s="195" t="s">
        <v>26186</v>
      </c>
      <c r="G6804" s="200">
        <v>6.4778199E7</v>
      </c>
      <c r="H6804" s="197">
        <v>5.2</v>
      </c>
      <c r="I6804" s="7" t="s">
        <v>16815</v>
      </c>
      <c r="J6804" s="7" t="s">
        <v>20344</v>
      </c>
      <c r="K6804" s="7" t="s">
        <v>175</v>
      </c>
      <c r="L6804" s="201" t="s">
        <v>16835</v>
      </c>
      <c r="M6804" s="199"/>
      <c r="N6804" s="199"/>
    </row>
    <row r="6805">
      <c r="A6805" s="193" t="s">
        <v>26187</v>
      </c>
      <c r="B6805" s="7" t="s">
        <v>187</v>
      </c>
      <c r="C6805" s="7" t="s">
        <v>16969</v>
      </c>
      <c r="D6805" s="194">
        <v>2019.0</v>
      </c>
      <c r="E6805" s="193"/>
      <c r="F6805" s="195" t="s">
        <v>26188</v>
      </c>
      <c r="G6805" s="196">
        <v>6.4288715E7</v>
      </c>
      <c r="H6805" s="197">
        <v>3.89</v>
      </c>
      <c r="I6805" s="7" t="s">
        <v>16815</v>
      </c>
      <c r="J6805" s="7" t="s">
        <v>187</v>
      </c>
      <c r="K6805" s="7" t="s">
        <v>16969</v>
      </c>
      <c r="L6805" s="198" t="s">
        <v>65</v>
      </c>
      <c r="M6805" s="194"/>
      <c r="N6805" s="194"/>
    </row>
    <row r="6806">
      <c r="A6806" s="193" t="s">
        <v>26189</v>
      </c>
      <c r="B6806" s="7" t="s">
        <v>187</v>
      </c>
      <c r="C6806" s="7" t="s">
        <v>16969</v>
      </c>
      <c r="D6806" s="199"/>
      <c r="E6806" s="193"/>
      <c r="F6806" s="195" t="s">
        <v>26190</v>
      </c>
      <c r="G6806" s="196">
        <v>6.427762E7</v>
      </c>
      <c r="H6806" s="197">
        <v>18.12</v>
      </c>
      <c r="I6806" s="7" t="s">
        <v>16815</v>
      </c>
      <c r="J6806" s="7" t="s">
        <v>187</v>
      </c>
      <c r="K6806" s="7" t="s">
        <v>16969</v>
      </c>
      <c r="L6806" s="198" t="s">
        <v>65</v>
      </c>
      <c r="M6806" s="199"/>
      <c r="N6806" s="199"/>
    </row>
    <row r="6807">
      <c r="A6807" s="193" t="s">
        <v>26191</v>
      </c>
      <c r="B6807" s="7" t="s">
        <v>17629</v>
      </c>
      <c r="C6807" s="7" t="s">
        <v>17452</v>
      </c>
      <c r="D6807" s="199"/>
      <c r="E6807" s="193"/>
      <c r="F6807" s="195" t="s">
        <v>26192</v>
      </c>
      <c r="G6807" s="196">
        <v>6.4263593E7</v>
      </c>
      <c r="H6807" s="197">
        <v>5.58</v>
      </c>
      <c r="I6807" s="7" t="s">
        <v>16815</v>
      </c>
      <c r="J6807" s="7" t="s">
        <v>17629</v>
      </c>
      <c r="K6807" s="7" t="s">
        <v>17452</v>
      </c>
      <c r="L6807" s="198" t="s">
        <v>65</v>
      </c>
      <c r="M6807" s="199"/>
      <c r="N6807" s="199"/>
    </row>
    <row r="6808">
      <c r="A6808" s="193" t="s">
        <v>26193</v>
      </c>
      <c r="B6808" s="7" t="s">
        <v>17111</v>
      </c>
      <c r="C6808" s="7" t="s">
        <v>17112</v>
      </c>
      <c r="D6808" s="199"/>
      <c r="E6808" s="193"/>
      <c r="F6808" s="195" t="s">
        <v>26194</v>
      </c>
      <c r="G6808" s="200">
        <v>6.4258996E7</v>
      </c>
      <c r="H6808" s="197">
        <v>7.6</v>
      </c>
      <c r="I6808" s="7" t="s">
        <v>16815</v>
      </c>
      <c r="J6808" s="7" t="s">
        <v>17111</v>
      </c>
      <c r="K6808" s="7" t="s">
        <v>17112</v>
      </c>
      <c r="L6808" s="201" t="s">
        <v>16835</v>
      </c>
      <c r="M6808" s="199"/>
      <c r="N6808" s="199"/>
    </row>
    <row r="6809">
      <c r="A6809" s="193" t="s">
        <v>26193</v>
      </c>
      <c r="B6809" s="7" t="s">
        <v>17112</v>
      </c>
      <c r="C6809" s="7" t="s">
        <v>17111</v>
      </c>
      <c r="D6809" s="199"/>
      <c r="E6809" s="193"/>
      <c r="F6809" s="195" t="s">
        <v>26194</v>
      </c>
      <c r="G6809" s="196">
        <v>6.4258996E7</v>
      </c>
      <c r="H6809" s="197">
        <v>7.6</v>
      </c>
      <c r="I6809" s="7" t="s">
        <v>16815</v>
      </c>
      <c r="J6809" s="7" t="s">
        <v>17112</v>
      </c>
      <c r="K6809" s="7" t="s">
        <v>17111</v>
      </c>
      <c r="L6809" s="198" t="s">
        <v>65</v>
      </c>
      <c r="M6809" s="199"/>
      <c r="N6809" s="199"/>
    </row>
    <row r="6810">
      <c r="A6810" s="193" t="s">
        <v>26195</v>
      </c>
      <c r="B6810" s="7" t="s">
        <v>158</v>
      </c>
      <c r="C6810" s="7" t="s">
        <v>16864</v>
      </c>
      <c r="D6810" s="194">
        <v>2018.0</v>
      </c>
      <c r="E6810" s="193"/>
      <c r="F6810" s="195" t="s">
        <v>26196</v>
      </c>
      <c r="G6810" s="196">
        <v>6.4113408E7</v>
      </c>
      <c r="H6810" s="197">
        <v>5.27</v>
      </c>
      <c r="I6810" s="7" t="s">
        <v>17316</v>
      </c>
      <c r="J6810" s="7" t="s">
        <v>158</v>
      </c>
      <c r="K6810" s="7" t="s">
        <v>16864</v>
      </c>
      <c r="L6810" s="198" t="s">
        <v>65</v>
      </c>
      <c r="M6810" s="194"/>
      <c r="N6810" s="194"/>
    </row>
    <row r="6811">
      <c r="A6811" s="193" t="s">
        <v>26195</v>
      </c>
      <c r="B6811" s="7" t="s">
        <v>16864</v>
      </c>
      <c r="C6811" s="7" t="s">
        <v>158</v>
      </c>
      <c r="D6811" s="194">
        <v>2018.0</v>
      </c>
      <c r="E6811" s="193"/>
      <c r="F6811" s="195" t="s">
        <v>26196</v>
      </c>
      <c r="G6811" s="200">
        <v>6.4113408E7</v>
      </c>
      <c r="H6811" s="197">
        <v>5.27</v>
      </c>
      <c r="I6811" s="7" t="s">
        <v>16815</v>
      </c>
      <c r="J6811" s="7" t="s">
        <v>16864</v>
      </c>
      <c r="K6811" s="7" t="s">
        <v>158</v>
      </c>
      <c r="L6811" s="201" t="s">
        <v>16835</v>
      </c>
      <c r="M6811" s="194"/>
      <c r="N6811" s="194"/>
    </row>
    <row r="6812">
      <c r="A6812" s="193" t="s">
        <v>26197</v>
      </c>
      <c r="B6812" s="7" t="s">
        <v>175</v>
      </c>
      <c r="C6812" s="7" t="s">
        <v>17350</v>
      </c>
      <c r="D6812" s="199"/>
      <c r="E6812" s="193"/>
      <c r="F6812" s="195" t="s">
        <v>26198</v>
      </c>
      <c r="G6812" s="196">
        <v>6.4034311E7</v>
      </c>
      <c r="H6812" s="197">
        <v>0.4702</v>
      </c>
      <c r="I6812" s="7" t="s">
        <v>168</v>
      </c>
      <c r="J6812" s="7" t="s">
        <v>175</v>
      </c>
      <c r="K6812" s="7" t="s">
        <v>17350</v>
      </c>
      <c r="L6812" s="198" t="s">
        <v>65</v>
      </c>
      <c r="M6812" s="199"/>
      <c r="N6812" s="199"/>
    </row>
    <row r="6813">
      <c r="A6813" s="193" t="s">
        <v>26199</v>
      </c>
      <c r="B6813" s="7" t="s">
        <v>16885</v>
      </c>
      <c r="C6813" s="7" t="s">
        <v>18381</v>
      </c>
      <c r="D6813" s="194">
        <v>2000.0</v>
      </c>
      <c r="E6813" s="193"/>
      <c r="F6813" s="195" t="s">
        <v>26200</v>
      </c>
      <c r="G6813" s="196">
        <v>6.4023425E7</v>
      </c>
      <c r="H6813" s="197">
        <v>1.42</v>
      </c>
      <c r="I6813" s="7" t="s">
        <v>17372</v>
      </c>
      <c r="J6813" s="7" t="s">
        <v>16885</v>
      </c>
      <c r="K6813" s="7" t="s">
        <v>18381</v>
      </c>
      <c r="L6813" s="198" t="s">
        <v>65</v>
      </c>
      <c r="M6813" s="194"/>
      <c r="N6813" s="194"/>
    </row>
    <row r="6814">
      <c r="A6814" s="193" t="s">
        <v>26199</v>
      </c>
      <c r="B6814" s="7" t="s">
        <v>18381</v>
      </c>
      <c r="C6814" s="7" t="s">
        <v>16885</v>
      </c>
      <c r="D6814" s="194">
        <v>2000.0</v>
      </c>
      <c r="E6814" s="193"/>
      <c r="F6814" s="195" t="s">
        <v>26200</v>
      </c>
      <c r="G6814" s="200">
        <v>6.4023425E7</v>
      </c>
      <c r="H6814" s="197">
        <v>1.42</v>
      </c>
      <c r="I6814" s="7" t="s">
        <v>16815</v>
      </c>
      <c r="J6814" s="7" t="s">
        <v>18381</v>
      </c>
      <c r="K6814" s="7" t="s">
        <v>16885</v>
      </c>
      <c r="L6814" s="201" t="s">
        <v>16835</v>
      </c>
      <c r="M6814" s="194"/>
      <c r="N6814" s="194"/>
    </row>
    <row r="6815">
      <c r="A6815" s="193" t="s">
        <v>26201</v>
      </c>
      <c r="B6815" s="7" t="s">
        <v>16838</v>
      </c>
      <c r="C6815" s="7" t="s">
        <v>18679</v>
      </c>
      <c r="D6815" s="194">
        <v>2004.0</v>
      </c>
      <c r="E6815" s="193"/>
      <c r="F6815" s="195" t="s">
        <v>26202</v>
      </c>
      <c r="G6815" s="196">
        <v>6.3921577E7</v>
      </c>
      <c r="H6815" s="197">
        <v>5.0294</v>
      </c>
      <c r="I6815" s="7" t="s">
        <v>16815</v>
      </c>
      <c r="J6815" s="7" t="s">
        <v>16838</v>
      </c>
      <c r="K6815" s="7" t="s">
        <v>18679</v>
      </c>
      <c r="L6815" s="198" t="s">
        <v>65</v>
      </c>
      <c r="M6815" s="194"/>
      <c r="N6815" s="194"/>
    </row>
    <row r="6816">
      <c r="A6816" s="193" t="s">
        <v>26201</v>
      </c>
      <c r="B6816" s="202" t="s">
        <v>18679</v>
      </c>
      <c r="C6816" s="193" t="s">
        <v>16838</v>
      </c>
      <c r="D6816" s="193">
        <v>2004.0</v>
      </c>
      <c r="E6816" s="193"/>
      <c r="F6816" s="203" t="s">
        <v>26202</v>
      </c>
      <c r="G6816" s="200">
        <v>6.3921577E7</v>
      </c>
      <c r="H6816" s="205">
        <v>0.235</v>
      </c>
      <c r="J6816" s="202" t="s">
        <v>18679</v>
      </c>
      <c r="K6816" s="193" t="s">
        <v>16838</v>
      </c>
      <c r="L6816" s="193" t="s">
        <v>17471</v>
      </c>
      <c r="M6816" s="193"/>
      <c r="N6816" s="193"/>
    </row>
    <row r="6817">
      <c r="A6817" s="193" t="s">
        <v>26203</v>
      </c>
      <c r="B6817" s="7" t="s">
        <v>187</v>
      </c>
      <c r="C6817" s="7" t="s">
        <v>16858</v>
      </c>
      <c r="D6817" s="199"/>
      <c r="E6817" s="193"/>
      <c r="F6817" s="195" t="s">
        <v>26204</v>
      </c>
      <c r="G6817" s="196">
        <v>6.391581E7</v>
      </c>
      <c r="H6817" s="197">
        <v>2.92</v>
      </c>
      <c r="I6817" s="7" t="s">
        <v>16815</v>
      </c>
      <c r="J6817" s="7" t="s">
        <v>187</v>
      </c>
      <c r="K6817" s="7" t="s">
        <v>16858</v>
      </c>
      <c r="L6817" s="198" t="s">
        <v>65</v>
      </c>
      <c r="M6817" s="199"/>
      <c r="N6817" s="199"/>
    </row>
    <row r="6818">
      <c r="A6818" s="193" t="s">
        <v>26205</v>
      </c>
      <c r="B6818" s="7" t="s">
        <v>187</v>
      </c>
      <c r="C6818" s="7" t="s">
        <v>16858</v>
      </c>
      <c r="D6818" s="194">
        <v>2015.0</v>
      </c>
      <c r="E6818" s="193"/>
      <c r="F6818" s="195" t="s">
        <v>26206</v>
      </c>
      <c r="G6818" s="196">
        <v>6.3891713E7</v>
      </c>
      <c r="H6818" s="197">
        <v>1.12</v>
      </c>
      <c r="I6818" s="7" t="s">
        <v>16815</v>
      </c>
      <c r="J6818" s="7" t="s">
        <v>187</v>
      </c>
      <c r="K6818" s="7" t="s">
        <v>16858</v>
      </c>
      <c r="L6818" s="198" t="s">
        <v>65</v>
      </c>
      <c r="M6818" s="194"/>
      <c r="N6818" s="194"/>
    </row>
    <row r="6819">
      <c r="A6819" s="193" t="s">
        <v>26207</v>
      </c>
      <c r="B6819" s="7" t="s">
        <v>187</v>
      </c>
      <c r="C6819" s="7" t="s">
        <v>18633</v>
      </c>
      <c r="D6819" s="194">
        <v>2021.0</v>
      </c>
      <c r="E6819" s="193"/>
      <c r="F6819" s="195" t="s">
        <v>26208</v>
      </c>
      <c r="G6819" s="196">
        <v>6.3551711E7</v>
      </c>
      <c r="H6819" s="197">
        <v>6.24</v>
      </c>
      <c r="I6819" s="7" t="s">
        <v>16815</v>
      </c>
      <c r="J6819" s="7" t="s">
        <v>187</v>
      </c>
      <c r="K6819" s="7" t="s">
        <v>18633</v>
      </c>
      <c r="L6819" s="198" t="s">
        <v>65</v>
      </c>
      <c r="M6819" s="194"/>
      <c r="N6819" s="194"/>
    </row>
    <row r="6820">
      <c r="A6820" s="193" t="s">
        <v>26209</v>
      </c>
      <c r="B6820" s="7" t="s">
        <v>175</v>
      </c>
      <c r="C6820" s="7" t="s">
        <v>17031</v>
      </c>
      <c r="D6820" s="199"/>
      <c r="E6820" s="193"/>
      <c r="F6820" s="195" t="s">
        <v>26210</v>
      </c>
      <c r="G6820" s="196">
        <v>6.3540634E7</v>
      </c>
      <c r="H6820" s="197">
        <v>22.5501</v>
      </c>
      <c r="I6820" s="7" t="s">
        <v>16826</v>
      </c>
      <c r="J6820" s="7" t="s">
        <v>175</v>
      </c>
      <c r="K6820" s="7" t="s">
        <v>17031</v>
      </c>
      <c r="L6820" s="198" t="s">
        <v>65</v>
      </c>
      <c r="M6820" s="199"/>
      <c r="N6820" s="199"/>
    </row>
    <row r="6821">
      <c r="A6821" s="193" t="s">
        <v>26211</v>
      </c>
      <c r="B6821" s="7" t="s">
        <v>187</v>
      </c>
      <c r="C6821" s="7" t="s">
        <v>16846</v>
      </c>
      <c r="D6821" s="194">
        <v>2014.0</v>
      </c>
      <c r="E6821" s="193"/>
      <c r="F6821" s="195" t="s">
        <v>26212</v>
      </c>
      <c r="G6821" s="196">
        <v>6.3384509E7</v>
      </c>
      <c r="H6821" s="197">
        <v>1.705</v>
      </c>
      <c r="I6821" s="7" t="s">
        <v>16815</v>
      </c>
      <c r="J6821" s="7" t="s">
        <v>187</v>
      </c>
      <c r="K6821" s="7" t="s">
        <v>16846</v>
      </c>
      <c r="L6821" s="198" t="s">
        <v>65</v>
      </c>
      <c r="M6821" s="194"/>
      <c r="N6821" s="194"/>
    </row>
    <row r="6822">
      <c r="A6822" s="193" t="s">
        <v>26213</v>
      </c>
      <c r="B6822" s="7" t="s">
        <v>16838</v>
      </c>
      <c r="C6822" s="7" t="s">
        <v>16837</v>
      </c>
      <c r="D6822" s="194">
        <v>2006.0</v>
      </c>
      <c r="E6822" s="193"/>
      <c r="F6822" s="195" t="s">
        <v>26214</v>
      </c>
      <c r="G6822" s="196">
        <v>6.3289931E7</v>
      </c>
      <c r="H6822" s="197">
        <v>9.5</v>
      </c>
      <c r="I6822" s="7" t="s">
        <v>16815</v>
      </c>
      <c r="J6822" s="7" t="s">
        <v>16838</v>
      </c>
      <c r="K6822" s="7" t="s">
        <v>16837</v>
      </c>
      <c r="L6822" s="198" t="s">
        <v>65</v>
      </c>
      <c r="M6822" s="194"/>
      <c r="N6822" s="194"/>
    </row>
    <row r="6823">
      <c r="A6823" s="193" t="s">
        <v>26215</v>
      </c>
      <c r="B6823" s="7" t="s">
        <v>187</v>
      </c>
      <c r="C6823" s="7" t="s">
        <v>16846</v>
      </c>
      <c r="D6823" s="199"/>
      <c r="E6823" s="193"/>
      <c r="F6823" s="195" t="s">
        <v>26216</v>
      </c>
      <c r="G6823" s="196">
        <v>6.2888092E7</v>
      </c>
      <c r="H6823" s="197">
        <v>3.935</v>
      </c>
      <c r="I6823" s="7" t="s">
        <v>16815</v>
      </c>
      <c r="J6823" s="7" t="s">
        <v>187</v>
      </c>
      <c r="K6823" s="7" t="s">
        <v>16846</v>
      </c>
      <c r="L6823" s="198" t="s">
        <v>65</v>
      </c>
      <c r="M6823" s="199"/>
      <c r="N6823" s="199"/>
    </row>
    <row r="6824">
      <c r="A6824" s="193" t="s">
        <v>26217</v>
      </c>
      <c r="B6824" s="7" t="s">
        <v>187</v>
      </c>
      <c r="C6824" s="7" t="s">
        <v>17509</v>
      </c>
      <c r="D6824" s="199"/>
      <c r="E6824" s="193"/>
      <c r="F6824" s="195" t="s">
        <v>26218</v>
      </c>
      <c r="G6824" s="196">
        <v>6.28878E7</v>
      </c>
      <c r="H6824" s="197">
        <v>5.62</v>
      </c>
      <c r="I6824" s="7" t="s">
        <v>16815</v>
      </c>
      <c r="J6824" s="7" t="s">
        <v>187</v>
      </c>
      <c r="K6824" s="7" t="s">
        <v>17509</v>
      </c>
      <c r="L6824" s="198" t="s">
        <v>65</v>
      </c>
      <c r="M6824" s="199"/>
      <c r="N6824" s="199"/>
    </row>
    <row r="6825">
      <c r="A6825" s="193" t="s">
        <v>26219</v>
      </c>
      <c r="B6825" s="7" t="s">
        <v>17202</v>
      </c>
      <c r="C6825" s="7" t="s">
        <v>16838</v>
      </c>
      <c r="D6825" s="194">
        <v>1989.0</v>
      </c>
      <c r="E6825" s="193"/>
      <c r="F6825" s="195" t="s">
        <v>26220</v>
      </c>
      <c r="G6825" s="200">
        <v>6.2860691E7</v>
      </c>
      <c r="H6825" s="197">
        <v>6.9</v>
      </c>
      <c r="I6825" s="7" t="s">
        <v>16815</v>
      </c>
      <c r="J6825" s="7" t="s">
        <v>17202</v>
      </c>
      <c r="K6825" s="7" t="s">
        <v>16838</v>
      </c>
      <c r="L6825" s="201" t="s">
        <v>16835</v>
      </c>
      <c r="M6825" s="194"/>
      <c r="N6825" s="194"/>
    </row>
    <row r="6826">
      <c r="A6826" s="193" t="s">
        <v>26219</v>
      </c>
      <c r="B6826" s="7" t="s">
        <v>16838</v>
      </c>
      <c r="C6826" s="7" t="s">
        <v>17202</v>
      </c>
      <c r="D6826" s="194">
        <v>1989.0</v>
      </c>
      <c r="E6826" s="193"/>
      <c r="F6826" s="195" t="s">
        <v>26220</v>
      </c>
      <c r="G6826" s="196">
        <v>6.2860691E7</v>
      </c>
      <c r="H6826" s="197">
        <v>6.9</v>
      </c>
      <c r="I6826" s="7" t="s">
        <v>16815</v>
      </c>
      <c r="J6826" s="7" t="s">
        <v>16838</v>
      </c>
      <c r="K6826" s="7" t="s">
        <v>17202</v>
      </c>
      <c r="L6826" s="198" t="s">
        <v>65</v>
      </c>
      <c r="M6826" s="194"/>
      <c r="N6826" s="194"/>
    </row>
    <row r="6827">
      <c r="A6827" s="193" t="s">
        <v>26221</v>
      </c>
      <c r="B6827" s="7" t="s">
        <v>175</v>
      </c>
      <c r="C6827" s="7" t="s">
        <v>17812</v>
      </c>
      <c r="D6827" s="199"/>
      <c r="E6827" s="193"/>
      <c r="F6827" s="195" t="s">
        <v>26222</v>
      </c>
      <c r="G6827" s="196">
        <v>6.2846344E7</v>
      </c>
      <c r="H6827" s="197">
        <v>4.24</v>
      </c>
      <c r="I6827" s="7" t="s">
        <v>23391</v>
      </c>
      <c r="J6827" s="7" t="s">
        <v>175</v>
      </c>
      <c r="K6827" s="7" t="s">
        <v>17812</v>
      </c>
      <c r="L6827" s="198" t="s">
        <v>65</v>
      </c>
      <c r="M6827" s="199"/>
      <c r="N6827" s="199"/>
    </row>
    <row r="6828">
      <c r="A6828" s="193" t="s">
        <v>26221</v>
      </c>
      <c r="B6828" s="7" t="s">
        <v>17812</v>
      </c>
      <c r="C6828" s="7" t="s">
        <v>175</v>
      </c>
      <c r="D6828" s="199"/>
      <c r="E6828" s="193"/>
      <c r="F6828" s="195" t="s">
        <v>26222</v>
      </c>
      <c r="G6828" s="200">
        <v>6.2846344E7</v>
      </c>
      <c r="H6828" s="197">
        <v>4.24</v>
      </c>
      <c r="I6828" s="7" t="s">
        <v>16815</v>
      </c>
      <c r="J6828" s="7" t="s">
        <v>17812</v>
      </c>
      <c r="K6828" s="7" t="s">
        <v>175</v>
      </c>
      <c r="L6828" s="201" t="s">
        <v>16835</v>
      </c>
      <c r="M6828" s="199"/>
      <c r="N6828" s="199"/>
    </row>
    <row r="6829">
      <c r="A6829" s="193" t="s">
        <v>26223</v>
      </c>
      <c r="B6829" s="7" t="s">
        <v>175</v>
      </c>
      <c r="C6829" s="7" t="s">
        <v>17391</v>
      </c>
      <c r="D6829" s="199"/>
      <c r="E6829" s="193"/>
      <c r="F6829" s="195" t="s">
        <v>26224</v>
      </c>
      <c r="G6829" s="196">
        <v>6.26723E7</v>
      </c>
      <c r="H6829" s="197">
        <v>10.0</v>
      </c>
      <c r="I6829" s="7" t="s">
        <v>17270</v>
      </c>
      <c r="J6829" s="7" t="s">
        <v>175</v>
      </c>
      <c r="K6829" s="7" t="s">
        <v>17391</v>
      </c>
      <c r="L6829" s="198" t="s">
        <v>65</v>
      </c>
      <c r="M6829" s="199"/>
      <c r="N6829" s="199"/>
    </row>
    <row r="6830">
      <c r="A6830" s="193" t="s">
        <v>26225</v>
      </c>
      <c r="B6830" s="7" t="s">
        <v>169</v>
      </c>
      <c r="C6830" s="7" t="s">
        <v>17339</v>
      </c>
      <c r="D6830" s="199"/>
      <c r="E6830" s="193"/>
      <c r="F6830" s="195" t="s">
        <v>26226</v>
      </c>
      <c r="G6830" s="196">
        <v>6.2659752E7</v>
      </c>
      <c r="H6830" s="197">
        <v>6.26</v>
      </c>
      <c r="I6830" s="7" t="s">
        <v>16815</v>
      </c>
      <c r="J6830" s="7" t="s">
        <v>169</v>
      </c>
      <c r="K6830" s="7" t="s">
        <v>17339</v>
      </c>
      <c r="L6830" s="198" t="s">
        <v>65</v>
      </c>
      <c r="M6830" s="199"/>
      <c r="N6830" s="199"/>
    </row>
    <row r="6831">
      <c r="A6831" s="193" t="s">
        <v>26227</v>
      </c>
      <c r="B6831" s="7" t="s">
        <v>16838</v>
      </c>
      <c r="C6831" s="7" t="s">
        <v>16837</v>
      </c>
      <c r="D6831" s="194">
        <v>2009.0</v>
      </c>
      <c r="E6831" s="193"/>
      <c r="F6831" s="195" t="s">
        <v>26228</v>
      </c>
      <c r="G6831" s="196">
        <v>6.2580686E7</v>
      </c>
      <c r="H6831" s="197">
        <v>7.09</v>
      </c>
      <c r="I6831" s="7" t="s">
        <v>16815</v>
      </c>
      <c r="J6831" s="7" t="s">
        <v>16838</v>
      </c>
      <c r="K6831" s="7" t="s">
        <v>16837</v>
      </c>
      <c r="L6831" s="198" t="s">
        <v>65</v>
      </c>
      <c r="M6831" s="194"/>
      <c r="N6831" s="194"/>
    </row>
    <row r="6832">
      <c r="A6832" s="193" t="s">
        <v>26229</v>
      </c>
      <c r="B6832" s="7" t="s">
        <v>16838</v>
      </c>
      <c r="C6832" s="7" t="s">
        <v>18679</v>
      </c>
      <c r="D6832" s="199"/>
      <c r="E6832" s="193"/>
      <c r="F6832" s="195" t="s">
        <v>26230</v>
      </c>
      <c r="G6832" s="196">
        <v>6.2447716E7</v>
      </c>
      <c r="H6832" s="197">
        <v>0.3356</v>
      </c>
      <c r="I6832" s="7" t="s">
        <v>16815</v>
      </c>
      <c r="J6832" s="7" t="s">
        <v>16838</v>
      </c>
      <c r="K6832" s="7" t="s">
        <v>18679</v>
      </c>
      <c r="L6832" s="198" t="s">
        <v>65</v>
      </c>
      <c r="M6832" s="199"/>
      <c r="N6832" s="199"/>
    </row>
    <row r="6833">
      <c r="A6833" s="193" t="s">
        <v>26231</v>
      </c>
      <c r="B6833" s="7" t="s">
        <v>169</v>
      </c>
      <c r="C6833" s="7" t="s">
        <v>17321</v>
      </c>
      <c r="D6833" s="199"/>
      <c r="E6833" s="193"/>
      <c r="F6833" s="195" t="s">
        <v>26232</v>
      </c>
      <c r="G6833" s="196">
        <v>6.2385264E7</v>
      </c>
      <c r="H6833" s="197">
        <v>7.14</v>
      </c>
      <c r="I6833" s="7" t="s">
        <v>16815</v>
      </c>
      <c r="J6833" s="7" t="s">
        <v>169</v>
      </c>
      <c r="K6833" s="7" t="s">
        <v>17321</v>
      </c>
      <c r="L6833" s="198" t="s">
        <v>65</v>
      </c>
      <c r="M6833" s="199"/>
      <c r="N6833" s="199"/>
    </row>
    <row r="6834">
      <c r="A6834" s="193" t="s">
        <v>26233</v>
      </c>
      <c r="B6834" s="7" t="s">
        <v>187</v>
      </c>
      <c r="C6834" s="7" t="s">
        <v>16846</v>
      </c>
      <c r="D6834" s="194">
        <v>2021.0</v>
      </c>
      <c r="E6834" s="193"/>
      <c r="F6834" s="195" t="s">
        <v>26234</v>
      </c>
      <c r="G6834" s="196">
        <v>6.2283696E7</v>
      </c>
      <c r="H6834" s="197">
        <v>1.44</v>
      </c>
      <c r="I6834" s="7" t="s">
        <v>16815</v>
      </c>
      <c r="J6834" s="7" t="s">
        <v>187</v>
      </c>
      <c r="K6834" s="7" t="s">
        <v>16846</v>
      </c>
      <c r="L6834" s="198" t="s">
        <v>65</v>
      </c>
      <c r="M6834" s="194"/>
      <c r="N6834" s="194"/>
    </row>
    <row r="6835">
      <c r="A6835" s="193" t="s">
        <v>26235</v>
      </c>
      <c r="B6835" s="7" t="s">
        <v>175</v>
      </c>
      <c r="C6835" s="7" t="s">
        <v>17013</v>
      </c>
      <c r="D6835" s="194">
        <v>2018.0</v>
      </c>
      <c r="E6835" s="193"/>
      <c r="F6835" s="195" t="s">
        <v>26236</v>
      </c>
      <c r="G6835" s="196">
        <v>6.2225117E7</v>
      </c>
      <c r="H6835" s="197">
        <v>0.9001</v>
      </c>
      <c r="I6835" s="7" t="s">
        <v>16856</v>
      </c>
      <c r="J6835" s="7" t="s">
        <v>175</v>
      </c>
      <c r="K6835" s="7" t="s">
        <v>17013</v>
      </c>
      <c r="L6835" s="198" t="s">
        <v>65</v>
      </c>
      <c r="M6835" s="194"/>
      <c r="N6835" s="194"/>
    </row>
    <row r="6836">
      <c r="A6836" s="193" t="s">
        <v>26237</v>
      </c>
      <c r="B6836" s="7" t="s">
        <v>16851</v>
      </c>
      <c r="C6836" s="7" t="s">
        <v>187</v>
      </c>
      <c r="D6836" s="194">
        <v>1988.0</v>
      </c>
      <c r="E6836" s="193"/>
      <c r="F6836" s="195" t="s">
        <v>26238</v>
      </c>
      <c r="G6836" s="200">
        <v>6.2102418E7</v>
      </c>
      <c r="H6836" s="197">
        <v>1.23</v>
      </c>
      <c r="I6836" s="7" t="s">
        <v>16815</v>
      </c>
      <c r="J6836" s="7" t="s">
        <v>16851</v>
      </c>
      <c r="K6836" s="7" t="s">
        <v>187</v>
      </c>
      <c r="L6836" s="201" t="s">
        <v>16835</v>
      </c>
      <c r="M6836" s="194"/>
      <c r="N6836" s="194"/>
    </row>
    <row r="6837">
      <c r="A6837" s="193" t="s">
        <v>26237</v>
      </c>
      <c r="B6837" s="7" t="s">
        <v>187</v>
      </c>
      <c r="C6837" s="7" t="s">
        <v>16851</v>
      </c>
      <c r="D6837" s="194">
        <v>1988.0</v>
      </c>
      <c r="E6837" s="193"/>
      <c r="F6837" s="195" t="s">
        <v>26238</v>
      </c>
      <c r="G6837" s="196">
        <v>6.2102418E7</v>
      </c>
      <c r="H6837" s="197">
        <v>1.23</v>
      </c>
      <c r="I6837" s="7" t="s">
        <v>16815</v>
      </c>
      <c r="J6837" s="7" t="s">
        <v>187</v>
      </c>
      <c r="K6837" s="7" t="s">
        <v>16851</v>
      </c>
      <c r="L6837" s="198" t="s">
        <v>65</v>
      </c>
      <c r="M6837" s="194"/>
      <c r="N6837" s="194"/>
    </row>
    <row r="6838">
      <c r="A6838" s="193" t="s">
        <v>26239</v>
      </c>
      <c r="B6838" s="7" t="s">
        <v>16838</v>
      </c>
      <c r="C6838" s="7" t="s">
        <v>18219</v>
      </c>
      <c r="D6838" s="194">
        <v>2021.0</v>
      </c>
      <c r="E6838" s="193"/>
      <c r="F6838" s="195" t="s">
        <v>26240</v>
      </c>
      <c r="G6838" s="196">
        <v>6.2030938E7</v>
      </c>
      <c r="H6838" s="197">
        <v>11.73</v>
      </c>
      <c r="I6838" s="7" t="s">
        <v>16815</v>
      </c>
      <c r="J6838" s="7" t="s">
        <v>16838</v>
      </c>
      <c r="K6838" s="7" t="s">
        <v>18219</v>
      </c>
      <c r="L6838" s="198" t="s">
        <v>65</v>
      </c>
      <c r="M6838" s="194"/>
      <c r="N6838" s="194"/>
    </row>
    <row r="6839">
      <c r="A6839" s="193" t="s">
        <v>26241</v>
      </c>
      <c r="B6839" s="7" t="s">
        <v>187</v>
      </c>
      <c r="C6839" s="7" t="s">
        <v>16846</v>
      </c>
      <c r="D6839" s="199"/>
      <c r="E6839" s="193"/>
      <c r="F6839" s="195" t="s">
        <v>26242</v>
      </c>
      <c r="G6839" s="196">
        <v>6.1976934E7</v>
      </c>
      <c r="H6839" s="197">
        <v>3.22</v>
      </c>
      <c r="I6839" s="7" t="s">
        <v>16815</v>
      </c>
      <c r="J6839" s="7" t="s">
        <v>187</v>
      </c>
      <c r="K6839" s="7" t="s">
        <v>16846</v>
      </c>
      <c r="L6839" s="198" t="s">
        <v>65</v>
      </c>
      <c r="M6839" s="199"/>
      <c r="N6839" s="199"/>
    </row>
    <row r="6840">
      <c r="A6840" s="193" t="s">
        <v>26243</v>
      </c>
      <c r="B6840" s="7" t="s">
        <v>175</v>
      </c>
      <c r="C6840" s="7" t="s">
        <v>17452</v>
      </c>
      <c r="D6840" s="194">
        <v>1968.0</v>
      </c>
      <c r="E6840" s="193"/>
      <c r="F6840" s="195" t="s">
        <v>26244</v>
      </c>
      <c r="G6840" s="196">
        <v>6.1777569E7</v>
      </c>
      <c r="H6840" s="197">
        <v>0.546</v>
      </c>
      <c r="I6840" s="7" t="s">
        <v>168</v>
      </c>
      <c r="J6840" s="7" t="s">
        <v>175</v>
      </c>
      <c r="K6840" s="7" t="s">
        <v>17452</v>
      </c>
      <c r="L6840" s="198" t="s">
        <v>65</v>
      </c>
      <c r="M6840" s="194"/>
      <c r="N6840" s="194"/>
    </row>
    <row r="6841">
      <c r="A6841" s="193" t="s">
        <v>26243</v>
      </c>
      <c r="B6841" s="202" t="s">
        <v>17452</v>
      </c>
      <c r="C6841" s="193" t="s">
        <v>175</v>
      </c>
      <c r="D6841" s="193">
        <v>1968.0</v>
      </c>
      <c r="E6841" s="193"/>
      <c r="F6841" s="203" t="s">
        <v>26244</v>
      </c>
      <c r="G6841" s="200">
        <v>6.1777569E7</v>
      </c>
      <c r="H6841" s="205">
        <v>5.0294</v>
      </c>
      <c r="J6841" s="202" t="s">
        <v>17452</v>
      </c>
      <c r="K6841" s="193" t="s">
        <v>175</v>
      </c>
      <c r="L6841" s="193" t="s">
        <v>17471</v>
      </c>
      <c r="M6841" s="193"/>
      <c r="N6841" s="193"/>
    </row>
    <row r="6842">
      <c r="A6842" s="193" t="s">
        <v>26245</v>
      </c>
      <c r="B6842" s="7" t="s">
        <v>187</v>
      </c>
      <c r="C6842" s="7" t="s">
        <v>16846</v>
      </c>
      <c r="D6842" s="194">
        <v>2021.0</v>
      </c>
      <c r="E6842" s="193"/>
      <c r="F6842" s="195" t="s">
        <v>26246</v>
      </c>
      <c r="G6842" s="196">
        <v>6.1759829E7</v>
      </c>
      <c r="H6842" s="197">
        <v>1.46</v>
      </c>
      <c r="I6842" s="7" t="s">
        <v>16815</v>
      </c>
      <c r="J6842" s="7" t="s">
        <v>187</v>
      </c>
      <c r="K6842" s="7" t="s">
        <v>16846</v>
      </c>
      <c r="L6842" s="198" t="s">
        <v>65</v>
      </c>
      <c r="M6842" s="194"/>
      <c r="N6842" s="194"/>
    </row>
    <row r="6843">
      <c r="A6843" s="193" t="s">
        <v>26247</v>
      </c>
      <c r="B6843" s="7" t="s">
        <v>187</v>
      </c>
      <c r="C6843" s="7" t="s">
        <v>16858</v>
      </c>
      <c r="D6843" s="194">
        <v>2019.0</v>
      </c>
      <c r="E6843" s="193"/>
      <c r="F6843" s="195" t="s">
        <v>26248</v>
      </c>
      <c r="G6843" s="196">
        <v>6.155688E7</v>
      </c>
      <c r="H6843" s="197">
        <v>0.7442</v>
      </c>
      <c r="I6843" s="7" t="s">
        <v>16815</v>
      </c>
      <c r="J6843" s="7" t="s">
        <v>187</v>
      </c>
      <c r="K6843" s="7" t="s">
        <v>16858</v>
      </c>
      <c r="L6843" s="198" t="s">
        <v>65</v>
      </c>
      <c r="M6843" s="194"/>
      <c r="N6843" s="194"/>
    </row>
    <row r="6844">
      <c r="A6844" s="193" t="s">
        <v>26249</v>
      </c>
      <c r="B6844" s="7" t="s">
        <v>19579</v>
      </c>
      <c r="C6844" s="7" t="s">
        <v>16838</v>
      </c>
      <c r="D6844" s="194">
        <v>2004.0</v>
      </c>
      <c r="E6844" s="193"/>
      <c r="F6844" s="195" t="s">
        <v>26250</v>
      </c>
      <c r="G6844" s="200">
        <v>6.1456108E7</v>
      </c>
      <c r="H6844" s="197">
        <v>7.19</v>
      </c>
      <c r="I6844" s="193" t="s">
        <v>16815</v>
      </c>
      <c r="J6844" s="7" t="s">
        <v>19579</v>
      </c>
      <c r="K6844" s="7" t="s">
        <v>16838</v>
      </c>
      <c r="L6844" s="201" t="s">
        <v>16835</v>
      </c>
      <c r="M6844" s="194"/>
      <c r="N6844" s="194"/>
    </row>
    <row r="6845">
      <c r="A6845" s="193" t="s">
        <v>26249</v>
      </c>
      <c r="B6845" s="7" t="s">
        <v>16838</v>
      </c>
      <c r="C6845" s="7" t="s">
        <v>19579</v>
      </c>
      <c r="D6845" s="194">
        <v>2004.0</v>
      </c>
      <c r="E6845" s="193"/>
      <c r="F6845" s="195" t="s">
        <v>26250</v>
      </c>
      <c r="G6845" s="196">
        <v>6.1456108E7</v>
      </c>
      <c r="H6845" s="197">
        <v>7.19</v>
      </c>
      <c r="I6845" s="7" t="s">
        <v>16815</v>
      </c>
      <c r="J6845" s="7" t="s">
        <v>16838</v>
      </c>
      <c r="K6845" s="7" t="s">
        <v>19579</v>
      </c>
      <c r="L6845" s="198" t="s">
        <v>65</v>
      </c>
      <c r="M6845" s="194"/>
      <c r="N6845" s="194"/>
    </row>
    <row r="6846">
      <c r="A6846" s="193" t="s">
        <v>26251</v>
      </c>
      <c r="B6846" s="7" t="s">
        <v>16885</v>
      </c>
      <c r="C6846" s="7" t="s">
        <v>17726</v>
      </c>
      <c r="D6846" s="194">
        <v>2022.0</v>
      </c>
      <c r="E6846" s="193"/>
      <c r="F6846" s="195" t="s">
        <v>26252</v>
      </c>
      <c r="G6846" s="196">
        <v>6.140518E7</v>
      </c>
      <c r="H6846" s="197">
        <v>5.01</v>
      </c>
      <c r="I6846" s="7" t="s">
        <v>17372</v>
      </c>
      <c r="J6846" s="7" t="s">
        <v>16885</v>
      </c>
      <c r="K6846" s="7" t="s">
        <v>17726</v>
      </c>
      <c r="L6846" s="198" t="s">
        <v>65</v>
      </c>
      <c r="M6846" s="194"/>
      <c r="N6846" s="194"/>
    </row>
    <row r="6847">
      <c r="A6847" s="193" t="s">
        <v>26251</v>
      </c>
      <c r="B6847" s="202" t="s">
        <v>17726</v>
      </c>
      <c r="C6847" s="193" t="s">
        <v>16885</v>
      </c>
      <c r="D6847" s="193">
        <v>2022.0</v>
      </c>
      <c r="E6847" s="193"/>
      <c r="F6847" s="203" t="s">
        <v>26252</v>
      </c>
      <c r="G6847" s="200">
        <v>6.140518E7</v>
      </c>
      <c r="H6847" s="205">
        <v>0.546</v>
      </c>
      <c r="J6847" s="202" t="s">
        <v>17726</v>
      </c>
      <c r="K6847" s="193" t="s">
        <v>16885</v>
      </c>
      <c r="L6847" s="193" t="s">
        <v>17471</v>
      </c>
      <c r="M6847" s="193"/>
      <c r="N6847" s="193"/>
    </row>
    <row r="6848">
      <c r="A6848" s="193" t="s">
        <v>26253</v>
      </c>
      <c r="B6848" s="7" t="s">
        <v>16838</v>
      </c>
      <c r="C6848" s="7" t="s">
        <v>17112</v>
      </c>
      <c r="D6848" s="194">
        <v>2020.0</v>
      </c>
      <c r="E6848" s="193"/>
      <c r="F6848" s="195" t="s">
        <v>26254</v>
      </c>
      <c r="G6848" s="196">
        <v>6.1250339E7</v>
      </c>
      <c r="H6848" s="197">
        <v>3.38</v>
      </c>
      <c r="I6848" s="7" t="s">
        <v>16815</v>
      </c>
      <c r="J6848" s="7" t="s">
        <v>16838</v>
      </c>
      <c r="K6848" s="7" t="s">
        <v>17112</v>
      </c>
      <c r="L6848" s="198" t="s">
        <v>65</v>
      </c>
      <c r="M6848" s="194"/>
      <c r="N6848" s="194"/>
    </row>
    <row r="6849">
      <c r="A6849" s="193" t="s">
        <v>26255</v>
      </c>
      <c r="B6849" s="7" t="s">
        <v>187</v>
      </c>
      <c r="C6849" s="7" t="s">
        <v>16846</v>
      </c>
      <c r="D6849" s="194">
        <v>2021.0</v>
      </c>
      <c r="E6849" s="193"/>
      <c r="F6849" s="195" t="s">
        <v>26256</v>
      </c>
      <c r="G6849" s="196">
        <v>6.1190193E7</v>
      </c>
      <c r="H6849" s="197">
        <v>0.9288</v>
      </c>
      <c r="I6849" s="7" t="s">
        <v>16815</v>
      </c>
      <c r="J6849" s="7" t="s">
        <v>187</v>
      </c>
      <c r="K6849" s="7" t="s">
        <v>16846</v>
      </c>
      <c r="L6849" s="198" t="s">
        <v>65</v>
      </c>
      <c r="M6849" s="194"/>
      <c r="N6849" s="194"/>
    </row>
    <row r="6850">
      <c r="A6850" s="193" t="s">
        <v>26257</v>
      </c>
      <c r="B6850" s="7" t="s">
        <v>175</v>
      </c>
      <c r="C6850" s="7" t="s">
        <v>16854</v>
      </c>
      <c r="D6850" s="194">
        <v>2004.0</v>
      </c>
      <c r="E6850" s="193"/>
      <c r="F6850" s="195" t="s">
        <v>26258</v>
      </c>
      <c r="G6850" s="196">
        <v>6.1144051E7</v>
      </c>
      <c r="H6850" s="197">
        <v>1.41</v>
      </c>
      <c r="I6850" s="7" t="s">
        <v>168</v>
      </c>
      <c r="J6850" s="7" t="s">
        <v>175</v>
      </c>
      <c r="K6850" s="7" t="s">
        <v>16854</v>
      </c>
      <c r="L6850" s="198" t="s">
        <v>65</v>
      </c>
      <c r="M6850" s="194"/>
      <c r="N6850" s="194"/>
    </row>
    <row r="6851">
      <c r="A6851" s="193" t="s">
        <v>26259</v>
      </c>
      <c r="B6851" s="7" t="s">
        <v>16838</v>
      </c>
      <c r="C6851" s="7" t="s">
        <v>17838</v>
      </c>
      <c r="D6851" s="199"/>
      <c r="E6851" s="193"/>
      <c r="F6851" s="195" t="s">
        <v>26260</v>
      </c>
      <c r="G6851" s="196">
        <v>6.1046305E7</v>
      </c>
      <c r="H6851" s="197">
        <v>10.75</v>
      </c>
      <c r="I6851" s="7" t="s">
        <v>16815</v>
      </c>
      <c r="J6851" s="7" t="s">
        <v>16838</v>
      </c>
      <c r="K6851" s="7" t="s">
        <v>17838</v>
      </c>
      <c r="L6851" s="198" t="s">
        <v>65</v>
      </c>
      <c r="M6851" s="199"/>
      <c r="N6851" s="199"/>
    </row>
    <row r="6852">
      <c r="A6852" s="193" t="s">
        <v>26261</v>
      </c>
      <c r="B6852" s="7" t="s">
        <v>187</v>
      </c>
      <c r="C6852" s="7" t="s">
        <v>16858</v>
      </c>
      <c r="D6852" s="194">
        <v>2018.0</v>
      </c>
      <c r="E6852" s="193"/>
      <c r="F6852" s="195" t="s">
        <v>26262</v>
      </c>
      <c r="G6852" s="196">
        <v>6.1007119E7</v>
      </c>
      <c r="H6852" s="197">
        <v>1.37</v>
      </c>
      <c r="I6852" s="7" t="s">
        <v>16815</v>
      </c>
      <c r="J6852" s="7" t="s">
        <v>187</v>
      </c>
      <c r="K6852" s="7" t="s">
        <v>16858</v>
      </c>
      <c r="L6852" s="198" t="s">
        <v>65</v>
      </c>
      <c r="M6852" s="194"/>
      <c r="N6852" s="194"/>
    </row>
    <row r="6853">
      <c r="A6853" s="193" t="s">
        <v>26263</v>
      </c>
      <c r="B6853" s="7" t="s">
        <v>187</v>
      </c>
      <c r="C6853" s="7" t="s">
        <v>16969</v>
      </c>
      <c r="D6853" s="199"/>
      <c r="E6853" s="193"/>
      <c r="F6853" s="195" t="s">
        <v>26264</v>
      </c>
      <c r="G6853" s="196">
        <v>6.0799966E7</v>
      </c>
      <c r="H6853" s="197">
        <v>1.755</v>
      </c>
      <c r="I6853" s="7" t="s">
        <v>16815</v>
      </c>
      <c r="J6853" s="7" t="s">
        <v>187</v>
      </c>
      <c r="K6853" s="7" t="s">
        <v>16969</v>
      </c>
      <c r="L6853" s="198" t="s">
        <v>65</v>
      </c>
      <c r="M6853" s="199"/>
      <c r="N6853" s="199"/>
    </row>
    <row r="6854">
      <c r="A6854" s="193" t="s">
        <v>26265</v>
      </c>
      <c r="B6854" s="7" t="s">
        <v>175</v>
      </c>
      <c r="C6854" s="7" t="s">
        <v>17264</v>
      </c>
      <c r="D6854" s="199"/>
      <c r="E6854" s="193"/>
      <c r="F6854" s="195" t="s">
        <v>26266</v>
      </c>
      <c r="G6854" s="196">
        <v>6.0755927E7</v>
      </c>
      <c r="H6854" s="197">
        <v>15.95</v>
      </c>
      <c r="I6854" s="7" t="s">
        <v>168</v>
      </c>
      <c r="J6854" s="7" t="s">
        <v>175</v>
      </c>
      <c r="K6854" s="7" t="s">
        <v>17264</v>
      </c>
      <c r="L6854" s="198" t="s">
        <v>65</v>
      </c>
      <c r="M6854" s="199"/>
      <c r="N6854" s="199"/>
    </row>
    <row r="6855">
      <c r="A6855" s="193" t="s">
        <v>26265</v>
      </c>
      <c r="B6855" s="202" t="s">
        <v>17264</v>
      </c>
      <c r="C6855" s="193" t="s">
        <v>175</v>
      </c>
      <c r="D6855" s="206"/>
      <c r="E6855" s="193"/>
      <c r="F6855" s="203" t="s">
        <v>26266</v>
      </c>
      <c r="G6855" s="200">
        <v>6.0755927E7</v>
      </c>
      <c r="H6855" s="205">
        <v>5.01</v>
      </c>
      <c r="J6855" s="202" t="s">
        <v>17264</v>
      </c>
      <c r="K6855" s="193" t="s">
        <v>175</v>
      </c>
      <c r="L6855" s="193" t="s">
        <v>17471</v>
      </c>
      <c r="M6855" s="206"/>
      <c r="N6855" s="206"/>
    </row>
    <row r="6856">
      <c r="A6856" s="193" t="s">
        <v>26267</v>
      </c>
      <c r="B6856" s="7" t="s">
        <v>16582</v>
      </c>
      <c r="C6856" s="7" t="s">
        <v>16930</v>
      </c>
      <c r="D6856" s="194">
        <v>2017.0</v>
      </c>
      <c r="E6856" s="193"/>
      <c r="F6856" s="195" t="s">
        <v>26268</v>
      </c>
      <c r="G6856" s="196">
        <v>6.0677094E7</v>
      </c>
      <c r="H6856" s="197">
        <v>1.64</v>
      </c>
      <c r="I6856" s="7" t="s">
        <v>16815</v>
      </c>
      <c r="J6856" s="7" t="s">
        <v>16582</v>
      </c>
      <c r="K6856" s="7" t="s">
        <v>16930</v>
      </c>
      <c r="L6856" s="198" t="s">
        <v>65</v>
      </c>
      <c r="M6856" s="194"/>
      <c r="N6856" s="194"/>
    </row>
    <row r="6857">
      <c r="A6857" s="193" t="s">
        <v>26269</v>
      </c>
      <c r="B6857" s="7" t="s">
        <v>16582</v>
      </c>
      <c r="C6857" s="7" t="s">
        <v>16930</v>
      </c>
      <c r="D6857" s="194">
        <v>2021.0</v>
      </c>
      <c r="E6857" s="193"/>
      <c r="F6857" s="195" t="s">
        <v>26270</v>
      </c>
      <c r="G6857" s="196">
        <v>6.0513221E7</v>
      </c>
      <c r="H6857" s="197">
        <v>0.2514</v>
      </c>
      <c r="I6857" s="7" t="s">
        <v>16815</v>
      </c>
      <c r="J6857" s="7" t="s">
        <v>16582</v>
      </c>
      <c r="K6857" s="7" t="s">
        <v>16930</v>
      </c>
      <c r="L6857" s="198" t="s">
        <v>65</v>
      </c>
      <c r="M6857" s="194"/>
      <c r="N6857" s="194"/>
    </row>
    <row r="6858">
      <c r="A6858" s="193" t="s">
        <v>26271</v>
      </c>
      <c r="B6858" s="7" t="s">
        <v>16926</v>
      </c>
      <c r="C6858" s="7" t="s">
        <v>17321</v>
      </c>
      <c r="D6858" s="199"/>
      <c r="E6858" s="193"/>
      <c r="F6858" s="195" t="s">
        <v>26272</v>
      </c>
      <c r="G6858" s="196">
        <v>6.0506166E7</v>
      </c>
      <c r="H6858" s="197">
        <v>2.84</v>
      </c>
      <c r="I6858" s="7" t="s">
        <v>16815</v>
      </c>
      <c r="J6858" s="7" t="s">
        <v>16926</v>
      </c>
      <c r="K6858" s="7" t="s">
        <v>17321</v>
      </c>
      <c r="L6858" s="198" t="s">
        <v>65</v>
      </c>
      <c r="M6858" s="199"/>
      <c r="N6858" s="199"/>
    </row>
    <row r="6859">
      <c r="A6859" s="193" t="s">
        <v>26273</v>
      </c>
      <c r="B6859" s="7" t="s">
        <v>187</v>
      </c>
      <c r="C6859" s="7" t="s">
        <v>16969</v>
      </c>
      <c r="D6859" s="194">
        <v>2018.0</v>
      </c>
      <c r="E6859" s="193"/>
      <c r="F6859" s="195" t="s">
        <v>26274</v>
      </c>
      <c r="G6859" s="196">
        <v>6.032601E7</v>
      </c>
      <c r="H6859" s="197">
        <v>4.53</v>
      </c>
      <c r="I6859" s="7" t="s">
        <v>16815</v>
      </c>
      <c r="J6859" s="7" t="s">
        <v>187</v>
      </c>
      <c r="K6859" s="7" t="s">
        <v>16969</v>
      </c>
      <c r="L6859" s="198" t="s">
        <v>65</v>
      </c>
      <c r="M6859" s="194"/>
      <c r="N6859" s="194"/>
    </row>
    <row r="6860">
      <c r="A6860" s="193" t="s">
        <v>26275</v>
      </c>
      <c r="B6860" s="7" t="s">
        <v>16910</v>
      </c>
      <c r="C6860" s="7" t="s">
        <v>17013</v>
      </c>
      <c r="D6860" s="199"/>
      <c r="E6860" s="193"/>
      <c r="F6860" s="195" t="s">
        <v>26276</v>
      </c>
      <c r="G6860" s="196">
        <v>6.0233335E7</v>
      </c>
      <c r="H6860" s="197">
        <v>1.62</v>
      </c>
      <c r="I6860" s="7" t="s">
        <v>127</v>
      </c>
      <c r="J6860" s="7" t="s">
        <v>16910</v>
      </c>
      <c r="K6860" s="7" t="s">
        <v>17013</v>
      </c>
      <c r="L6860" s="198" t="s">
        <v>65</v>
      </c>
      <c r="M6860" s="199"/>
      <c r="N6860" s="199"/>
    </row>
    <row r="6861">
      <c r="A6861" s="193" t="s">
        <v>26277</v>
      </c>
      <c r="B6861" s="7" t="s">
        <v>17629</v>
      </c>
      <c r="C6861" s="7" t="s">
        <v>16899</v>
      </c>
      <c r="D6861" s="199"/>
      <c r="E6861" s="193"/>
      <c r="F6861" s="195" t="s">
        <v>26278</v>
      </c>
      <c r="G6861" s="196">
        <v>6.0145565E7</v>
      </c>
      <c r="H6861" s="197">
        <v>3.65</v>
      </c>
      <c r="I6861" s="7" t="s">
        <v>16815</v>
      </c>
      <c r="J6861" s="7" t="s">
        <v>17629</v>
      </c>
      <c r="K6861" s="7" t="s">
        <v>16899</v>
      </c>
      <c r="L6861" s="198" t="s">
        <v>65</v>
      </c>
      <c r="M6861" s="199"/>
      <c r="N6861" s="199"/>
    </row>
    <row r="6862">
      <c r="A6862" s="193" t="s">
        <v>26279</v>
      </c>
      <c r="B6862" s="7" t="s">
        <v>17629</v>
      </c>
      <c r="C6862" s="7" t="s">
        <v>17452</v>
      </c>
      <c r="D6862" s="199"/>
      <c r="E6862" s="193"/>
      <c r="F6862" s="195" t="s">
        <v>26280</v>
      </c>
      <c r="G6862" s="196">
        <v>6.0089297E7</v>
      </c>
      <c r="H6862" s="197">
        <v>2.99</v>
      </c>
      <c r="I6862" s="7" t="s">
        <v>16815</v>
      </c>
      <c r="J6862" s="7" t="s">
        <v>17629</v>
      </c>
      <c r="K6862" s="7" t="s">
        <v>17452</v>
      </c>
      <c r="L6862" s="198" t="s">
        <v>65</v>
      </c>
      <c r="M6862" s="199"/>
      <c r="N6862" s="199"/>
    </row>
    <row r="6863">
      <c r="A6863" s="193" t="s">
        <v>26281</v>
      </c>
      <c r="B6863" s="7" t="s">
        <v>187</v>
      </c>
      <c r="C6863" s="7" t="s">
        <v>16846</v>
      </c>
      <c r="D6863" s="194">
        <v>2016.0</v>
      </c>
      <c r="E6863" s="193"/>
      <c r="F6863" s="195" t="s">
        <v>26282</v>
      </c>
      <c r="G6863" s="196">
        <v>6.0064127E7</v>
      </c>
      <c r="H6863" s="197">
        <v>0.9683</v>
      </c>
      <c r="I6863" s="7" t="s">
        <v>16815</v>
      </c>
      <c r="J6863" s="7" t="s">
        <v>187</v>
      </c>
      <c r="K6863" s="7" t="s">
        <v>16846</v>
      </c>
      <c r="L6863" s="198" t="s">
        <v>65</v>
      </c>
      <c r="M6863" s="194"/>
      <c r="N6863" s="194"/>
    </row>
    <row r="6864">
      <c r="A6864" s="193" t="s">
        <v>26283</v>
      </c>
      <c r="B6864" s="7" t="s">
        <v>16838</v>
      </c>
      <c r="C6864" s="7" t="s">
        <v>16867</v>
      </c>
      <c r="D6864" s="194">
        <v>2021.0</v>
      </c>
      <c r="E6864" s="193"/>
      <c r="F6864" s="195" t="s">
        <v>26284</v>
      </c>
      <c r="G6864" s="196">
        <v>5.9953098E7</v>
      </c>
      <c r="H6864" s="197">
        <v>12.575</v>
      </c>
      <c r="I6864" s="7" t="s">
        <v>16815</v>
      </c>
      <c r="J6864" s="7" t="s">
        <v>16838</v>
      </c>
      <c r="K6864" s="7" t="s">
        <v>16867</v>
      </c>
      <c r="L6864" s="198" t="s">
        <v>65</v>
      </c>
      <c r="M6864" s="194"/>
      <c r="N6864" s="194"/>
    </row>
    <row r="6865">
      <c r="A6865" s="193" t="s">
        <v>26285</v>
      </c>
      <c r="B6865" s="7" t="s">
        <v>175</v>
      </c>
      <c r="C6865" s="7" t="s">
        <v>16854</v>
      </c>
      <c r="D6865" s="194">
        <v>2018.0</v>
      </c>
      <c r="E6865" s="193"/>
      <c r="F6865" s="195" t="s">
        <v>26286</v>
      </c>
      <c r="G6865" s="196">
        <v>5.9933982E7</v>
      </c>
      <c r="H6865" s="197">
        <v>0.6302</v>
      </c>
      <c r="I6865" s="7" t="s">
        <v>17033</v>
      </c>
      <c r="J6865" s="7" t="s">
        <v>175</v>
      </c>
      <c r="K6865" s="7" t="s">
        <v>16854</v>
      </c>
      <c r="L6865" s="198" t="s">
        <v>65</v>
      </c>
      <c r="M6865" s="194"/>
      <c r="N6865" s="194"/>
    </row>
    <row r="6866">
      <c r="A6866" s="193" t="s">
        <v>26287</v>
      </c>
      <c r="B6866" s="7" t="s">
        <v>175</v>
      </c>
      <c r="C6866" s="7" t="s">
        <v>17480</v>
      </c>
      <c r="D6866" s="199"/>
      <c r="E6866" s="193"/>
      <c r="F6866" s="195" t="s">
        <v>26288</v>
      </c>
      <c r="G6866" s="196">
        <v>5.987078E7</v>
      </c>
      <c r="H6866" s="197">
        <v>0.2</v>
      </c>
      <c r="I6866" s="7" t="s">
        <v>16908</v>
      </c>
      <c r="J6866" s="7" t="s">
        <v>175</v>
      </c>
      <c r="K6866" s="7" t="s">
        <v>17480</v>
      </c>
      <c r="L6866" s="198" t="s">
        <v>65</v>
      </c>
      <c r="M6866" s="199"/>
      <c r="N6866" s="199"/>
    </row>
    <row r="6867">
      <c r="A6867" s="193" t="s">
        <v>26289</v>
      </c>
      <c r="B6867" s="7" t="s">
        <v>187</v>
      </c>
      <c r="C6867" s="7" t="s">
        <v>16846</v>
      </c>
      <c r="D6867" s="194">
        <v>2018.0</v>
      </c>
      <c r="E6867" s="193"/>
      <c r="F6867" s="195" t="s">
        <v>26290</v>
      </c>
      <c r="G6867" s="196">
        <v>5.982795E7</v>
      </c>
      <c r="H6867" s="197">
        <v>0.585</v>
      </c>
      <c r="I6867" s="7" t="s">
        <v>16815</v>
      </c>
      <c r="J6867" s="7" t="s">
        <v>187</v>
      </c>
      <c r="K6867" s="7" t="s">
        <v>16846</v>
      </c>
      <c r="L6867" s="198" t="s">
        <v>65</v>
      </c>
      <c r="M6867" s="194"/>
      <c r="N6867" s="194"/>
    </row>
    <row r="6868">
      <c r="A6868" s="193" t="s">
        <v>26291</v>
      </c>
      <c r="B6868" s="7" t="s">
        <v>175</v>
      </c>
      <c r="C6868" s="7" t="s">
        <v>18570</v>
      </c>
      <c r="D6868" s="194">
        <v>2015.0</v>
      </c>
      <c r="E6868" s="193"/>
      <c r="F6868" s="195" t="s">
        <v>26292</v>
      </c>
      <c r="G6868" s="196">
        <v>5.9632925E7</v>
      </c>
      <c r="H6868" s="197">
        <v>0.5639</v>
      </c>
      <c r="I6868" s="7" t="s">
        <v>168</v>
      </c>
      <c r="J6868" s="7" t="s">
        <v>175</v>
      </c>
      <c r="K6868" s="7" t="s">
        <v>18570</v>
      </c>
      <c r="L6868" s="198" t="s">
        <v>65</v>
      </c>
      <c r="M6868" s="194"/>
      <c r="N6868" s="194"/>
    </row>
    <row r="6869">
      <c r="A6869" s="193" t="s">
        <v>26293</v>
      </c>
      <c r="B6869" s="7" t="s">
        <v>187</v>
      </c>
      <c r="C6869" s="7" t="s">
        <v>16846</v>
      </c>
      <c r="D6869" s="194">
        <v>2020.0</v>
      </c>
      <c r="E6869" s="193"/>
      <c r="F6869" s="195" t="s">
        <v>26294</v>
      </c>
      <c r="G6869" s="196">
        <v>5.9521183E7</v>
      </c>
      <c r="H6869" s="197">
        <v>5.8</v>
      </c>
      <c r="I6869" s="7" t="s">
        <v>16815</v>
      </c>
      <c r="J6869" s="7" t="s">
        <v>187</v>
      </c>
      <c r="K6869" s="7" t="s">
        <v>16846</v>
      </c>
      <c r="L6869" s="198" t="s">
        <v>65</v>
      </c>
      <c r="M6869" s="194"/>
      <c r="N6869" s="194"/>
    </row>
    <row r="6870">
      <c r="A6870" s="193" t="s">
        <v>26293</v>
      </c>
      <c r="B6870" s="7" t="s">
        <v>16846</v>
      </c>
      <c r="C6870" s="7" t="s">
        <v>187</v>
      </c>
      <c r="D6870" s="194">
        <v>2020.0</v>
      </c>
      <c r="E6870" s="193"/>
      <c r="F6870" s="195" t="s">
        <v>26294</v>
      </c>
      <c r="G6870" s="200">
        <v>5.9521183E7</v>
      </c>
      <c r="H6870" s="197">
        <v>5.8</v>
      </c>
      <c r="I6870" s="7" t="s">
        <v>16815</v>
      </c>
      <c r="J6870" s="7" t="s">
        <v>16846</v>
      </c>
      <c r="K6870" s="7" t="s">
        <v>187</v>
      </c>
      <c r="L6870" s="201" t="s">
        <v>16835</v>
      </c>
      <c r="M6870" s="194"/>
      <c r="N6870" s="194"/>
    </row>
    <row r="6871">
      <c r="A6871" s="193" t="s">
        <v>26295</v>
      </c>
      <c r="B6871" s="7" t="s">
        <v>187</v>
      </c>
      <c r="C6871" s="7" t="s">
        <v>16846</v>
      </c>
      <c r="D6871" s="199"/>
      <c r="E6871" s="193"/>
      <c r="F6871" s="195" t="s">
        <v>26296</v>
      </c>
      <c r="G6871" s="196">
        <v>5.9452742E7</v>
      </c>
      <c r="H6871" s="197">
        <v>2.83</v>
      </c>
      <c r="I6871" s="7" t="s">
        <v>16815</v>
      </c>
      <c r="J6871" s="7" t="s">
        <v>187</v>
      </c>
      <c r="K6871" s="7" t="s">
        <v>16846</v>
      </c>
      <c r="L6871" s="198" t="s">
        <v>65</v>
      </c>
      <c r="M6871" s="199"/>
      <c r="N6871" s="199"/>
    </row>
    <row r="6872">
      <c r="A6872" s="193" t="s">
        <v>26297</v>
      </c>
      <c r="B6872" s="7" t="s">
        <v>175</v>
      </c>
      <c r="C6872" s="7" t="s">
        <v>16854</v>
      </c>
      <c r="D6872" s="194">
        <v>2018.0</v>
      </c>
      <c r="E6872" s="193"/>
      <c r="F6872" s="195" t="s">
        <v>26298</v>
      </c>
      <c r="G6872" s="196">
        <v>5.9254709E7</v>
      </c>
      <c r="H6872" s="197">
        <v>1.26</v>
      </c>
      <c r="I6872" s="7" t="s">
        <v>16856</v>
      </c>
      <c r="J6872" s="7" t="s">
        <v>175</v>
      </c>
      <c r="K6872" s="7" t="s">
        <v>16854</v>
      </c>
      <c r="L6872" s="198" t="s">
        <v>65</v>
      </c>
      <c r="M6872" s="194"/>
      <c r="N6872" s="194"/>
    </row>
    <row r="6873">
      <c r="A6873" s="193" t="s">
        <v>26299</v>
      </c>
      <c r="B6873" s="7" t="s">
        <v>16838</v>
      </c>
      <c r="C6873" s="7" t="s">
        <v>19644</v>
      </c>
      <c r="D6873" s="194">
        <v>2013.0</v>
      </c>
      <c r="E6873" s="193"/>
      <c r="F6873" s="195" t="s">
        <v>26300</v>
      </c>
      <c r="G6873" s="196">
        <v>5.9059869E7</v>
      </c>
      <c r="H6873" s="197">
        <v>22.0707</v>
      </c>
      <c r="I6873" s="7" t="s">
        <v>16815</v>
      </c>
      <c r="J6873" s="7" t="s">
        <v>16838</v>
      </c>
      <c r="K6873" s="7" t="s">
        <v>19644</v>
      </c>
      <c r="L6873" s="198" t="s">
        <v>65</v>
      </c>
      <c r="M6873" s="194"/>
      <c r="N6873" s="194"/>
    </row>
    <row r="6874">
      <c r="A6874" s="193" t="s">
        <v>26301</v>
      </c>
      <c r="B6874" s="7" t="s">
        <v>175</v>
      </c>
      <c r="C6874" s="7" t="s">
        <v>17480</v>
      </c>
      <c r="D6874" s="194">
        <v>2015.0</v>
      </c>
      <c r="E6874" s="193"/>
      <c r="F6874" s="195" t="s">
        <v>26302</v>
      </c>
      <c r="G6874" s="196">
        <v>5.9030022E7</v>
      </c>
      <c r="H6874" s="197">
        <v>1.12</v>
      </c>
      <c r="I6874" s="7" t="s">
        <v>16908</v>
      </c>
      <c r="J6874" s="7" t="s">
        <v>175</v>
      </c>
      <c r="K6874" s="7" t="s">
        <v>17480</v>
      </c>
      <c r="L6874" s="198" t="s">
        <v>65</v>
      </c>
      <c r="M6874" s="194"/>
      <c r="N6874" s="194"/>
    </row>
    <row r="6875">
      <c r="A6875" s="193" t="s">
        <v>26301</v>
      </c>
      <c r="B6875" s="7" t="s">
        <v>17480</v>
      </c>
      <c r="C6875" s="7" t="s">
        <v>175</v>
      </c>
      <c r="D6875" s="194">
        <v>2015.0</v>
      </c>
      <c r="E6875" s="193"/>
      <c r="F6875" s="195" t="s">
        <v>26302</v>
      </c>
      <c r="G6875" s="200">
        <v>5.9030022E7</v>
      </c>
      <c r="H6875" s="197">
        <v>1.12</v>
      </c>
      <c r="I6875" s="7" t="s">
        <v>16815</v>
      </c>
      <c r="J6875" s="7" t="s">
        <v>17480</v>
      </c>
      <c r="K6875" s="7" t="s">
        <v>175</v>
      </c>
      <c r="L6875" s="201" t="s">
        <v>16835</v>
      </c>
      <c r="M6875" s="194"/>
      <c r="N6875" s="194"/>
    </row>
    <row r="6876">
      <c r="A6876" s="193" t="s">
        <v>26303</v>
      </c>
      <c r="B6876" s="7" t="s">
        <v>16838</v>
      </c>
      <c r="C6876" s="7" t="s">
        <v>17016</v>
      </c>
      <c r="D6876" s="194">
        <v>2021.0</v>
      </c>
      <c r="E6876" s="193"/>
      <c r="F6876" s="195" t="s">
        <v>26304</v>
      </c>
      <c r="G6876" s="196">
        <v>5.9006835E7</v>
      </c>
      <c r="H6876" s="197">
        <v>0.08</v>
      </c>
      <c r="I6876" s="7" t="s">
        <v>16924</v>
      </c>
      <c r="J6876" s="7" t="s">
        <v>16838</v>
      </c>
      <c r="K6876" s="7" t="s">
        <v>17016</v>
      </c>
      <c r="L6876" s="198" t="s">
        <v>65</v>
      </c>
      <c r="M6876" s="194"/>
      <c r="N6876" s="194"/>
    </row>
    <row r="6877">
      <c r="A6877" s="193" t="s">
        <v>26305</v>
      </c>
      <c r="B6877" s="7" t="s">
        <v>175</v>
      </c>
      <c r="C6877" s="7" t="s">
        <v>17025</v>
      </c>
      <c r="D6877" s="194">
        <v>2020.0</v>
      </c>
      <c r="E6877" s="193"/>
      <c r="F6877" s="195" t="s">
        <v>26306</v>
      </c>
      <c r="G6877" s="196">
        <v>5.898389E7</v>
      </c>
      <c r="H6877" s="197">
        <v>0.3351</v>
      </c>
      <c r="I6877" s="7" t="s">
        <v>16856</v>
      </c>
      <c r="J6877" s="7" t="s">
        <v>175</v>
      </c>
      <c r="K6877" s="7" t="s">
        <v>17025</v>
      </c>
      <c r="L6877" s="198" t="s">
        <v>65</v>
      </c>
      <c r="M6877" s="194"/>
      <c r="N6877" s="194"/>
    </row>
    <row r="6878">
      <c r="A6878" s="193" t="s">
        <v>26307</v>
      </c>
      <c r="B6878" s="7" t="s">
        <v>16838</v>
      </c>
      <c r="C6878" s="7" t="s">
        <v>16867</v>
      </c>
      <c r="D6878" s="199"/>
      <c r="E6878" s="193"/>
      <c r="F6878" s="195" t="s">
        <v>26308</v>
      </c>
      <c r="G6878" s="196">
        <v>5.8853053E7</v>
      </c>
      <c r="H6878" s="197">
        <v>39.61</v>
      </c>
      <c r="I6878" s="7" t="s">
        <v>16815</v>
      </c>
      <c r="J6878" s="7" t="s">
        <v>16838</v>
      </c>
      <c r="K6878" s="7" t="s">
        <v>16867</v>
      </c>
      <c r="L6878" s="198" t="s">
        <v>65</v>
      </c>
      <c r="M6878" s="199"/>
      <c r="N6878" s="199"/>
    </row>
    <row r="6879">
      <c r="A6879" s="193" t="s">
        <v>26309</v>
      </c>
      <c r="B6879" s="7" t="s">
        <v>16910</v>
      </c>
      <c r="C6879" s="7" t="s">
        <v>17318</v>
      </c>
      <c r="D6879" s="194">
        <v>2000.0</v>
      </c>
      <c r="E6879" s="193"/>
      <c r="F6879" s="195" t="s">
        <v>26310</v>
      </c>
      <c r="G6879" s="196">
        <v>5.8814068E7</v>
      </c>
      <c r="H6879" s="197">
        <v>8.39</v>
      </c>
      <c r="I6879" s="193" t="s">
        <v>16856</v>
      </c>
      <c r="J6879" s="7" t="s">
        <v>16910</v>
      </c>
      <c r="K6879" s="7" t="s">
        <v>17318</v>
      </c>
      <c r="L6879" s="198" t="s">
        <v>65</v>
      </c>
      <c r="M6879" s="194"/>
      <c r="N6879" s="194"/>
    </row>
    <row r="6880">
      <c r="A6880" s="193" t="s">
        <v>26309</v>
      </c>
      <c r="B6880" s="202" t="s">
        <v>17318</v>
      </c>
      <c r="C6880" s="193" t="s">
        <v>16910</v>
      </c>
      <c r="D6880" s="193">
        <v>2000.0</v>
      </c>
      <c r="E6880" s="193"/>
      <c r="F6880" s="203" t="s">
        <v>26310</v>
      </c>
      <c r="G6880" s="200">
        <v>5.8814068E7</v>
      </c>
      <c r="H6880" s="205">
        <v>15.95</v>
      </c>
      <c r="J6880" s="202" t="s">
        <v>17318</v>
      </c>
      <c r="K6880" s="193" t="s">
        <v>16910</v>
      </c>
      <c r="L6880" s="193" t="s">
        <v>17471</v>
      </c>
      <c r="M6880" s="193"/>
      <c r="N6880" s="193"/>
    </row>
    <row r="6881">
      <c r="A6881" s="193" t="s">
        <v>26311</v>
      </c>
      <c r="B6881" s="7" t="s">
        <v>16838</v>
      </c>
      <c r="C6881" s="7" t="s">
        <v>16867</v>
      </c>
      <c r="D6881" s="199"/>
      <c r="E6881" s="193"/>
      <c r="F6881" s="195" t="s">
        <v>26312</v>
      </c>
      <c r="G6881" s="196">
        <v>5.8666488E7</v>
      </c>
      <c r="H6881" s="197">
        <v>10.31</v>
      </c>
      <c r="I6881" s="7" t="s">
        <v>16815</v>
      </c>
      <c r="J6881" s="7" t="s">
        <v>16838</v>
      </c>
      <c r="K6881" s="7" t="s">
        <v>16867</v>
      </c>
      <c r="L6881" s="198" t="s">
        <v>65</v>
      </c>
      <c r="M6881" s="199"/>
      <c r="N6881" s="199"/>
    </row>
    <row r="6882">
      <c r="A6882" s="193" t="s">
        <v>26313</v>
      </c>
      <c r="B6882" s="7" t="s">
        <v>187</v>
      </c>
      <c r="C6882" s="7" t="s">
        <v>16858</v>
      </c>
      <c r="D6882" s="199"/>
      <c r="E6882" s="193"/>
      <c r="F6882" s="195" t="s">
        <v>26314</v>
      </c>
      <c r="G6882" s="196">
        <v>5.8608E7</v>
      </c>
      <c r="H6882" s="197">
        <v>4.4</v>
      </c>
      <c r="I6882" s="7" t="s">
        <v>16815</v>
      </c>
      <c r="J6882" s="7" t="s">
        <v>187</v>
      </c>
      <c r="K6882" s="7" t="s">
        <v>16858</v>
      </c>
      <c r="L6882" s="198" t="s">
        <v>65</v>
      </c>
      <c r="M6882" s="199"/>
      <c r="N6882" s="199"/>
    </row>
    <row r="6883">
      <c r="A6883" s="193" t="s">
        <v>26315</v>
      </c>
      <c r="B6883" s="7" t="s">
        <v>187</v>
      </c>
      <c r="C6883" s="7" t="s">
        <v>16846</v>
      </c>
      <c r="D6883" s="194">
        <v>2017.0</v>
      </c>
      <c r="E6883" s="193"/>
      <c r="F6883" s="195" t="s">
        <v>26316</v>
      </c>
      <c r="G6883" s="196">
        <v>5.8492881E7</v>
      </c>
      <c r="H6883" s="197">
        <v>1.11</v>
      </c>
      <c r="I6883" s="7" t="s">
        <v>16815</v>
      </c>
      <c r="J6883" s="7" t="s">
        <v>187</v>
      </c>
      <c r="K6883" s="7" t="s">
        <v>16846</v>
      </c>
      <c r="L6883" s="198" t="s">
        <v>65</v>
      </c>
      <c r="M6883" s="194"/>
      <c r="N6883" s="194"/>
    </row>
    <row r="6884">
      <c r="A6884" s="193" t="s">
        <v>26317</v>
      </c>
      <c r="B6884" s="7" t="s">
        <v>18679</v>
      </c>
      <c r="C6884" s="7" t="s">
        <v>16838</v>
      </c>
      <c r="D6884" s="194">
        <v>2017.0</v>
      </c>
      <c r="E6884" s="193"/>
      <c r="F6884" s="195" t="s">
        <v>26318</v>
      </c>
      <c r="G6884" s="200">
        <v>5.8424652E7</v>
      </c>
      <c r="H6884" s="197">
        <v>6.65</v>
      </c>
      <c r="I6884" s="7" t="s">
        <v>16815</v>
      </c>
      <c r="J6884" s="7" t="s">
        <v>18679</v>
      </c>
      <c r="K6884" s="7" t="s">
        <v>16838</v>
      </c>
      <c r="L6884" s="201" t="s">
        <v>16835</v>
      </c>
      <c r="M6884" s="194"/>
      <c r="N6884" s="194"/>
    </row>
    <row r="6885">
      <c r="A6885" s="193" t="s">
        <v>26317</v>
      </c>
      <c r="B6885" s="7" t="s">
        <v>16838</v>
      </c>
      <c r="C6885" s="7" t="s">
        <v>18679</v>
      </c>
      <c r="D6885" s="194">
        <v>2017.0</v>
      </c>
      <c r="E6885" s="193"/>
      <c r="F6885" s="195" t="s">
        <v>26318</v>
      </c>
      <c r="G6885" s="196">
        <v>5.8424652E7</v>
      </c>
      <c r="H6885" s="197">
        <v>6.65</v>
      </c>
      <c r="I6885" s="7" t="s">
        <v>16815</v>
      </c>
      <c r="J6885" s="7" t="s">
        <v>16838</v>
      </c>
      <c r="K6885" s="7" t="s">
        <v>18679</v>
      </c>
      <c r="L6885" s="198" t="s">
        <v>65</v>
      </c>
      <c r="M6885" s="194"/>
      <c r="N6885" s="194"/>
    </row>
    <row r="6886">
      <c r="A6886" s="193" t="s">
        <v>26319</v>
      </c>
      <c r="B6886" s="7" t="s">
        <v>187</v>
      </c>
      <c r="C6886" s="7" t="s">
        <v>16846</v>
      </c>
      <c r="D6886" s="194">
        <v>2018.0</v>
      </c>
      <c r="E6886" s="193"/>
      <c r="F6886" s="195" t="s">
        <v>26320</v>
      </c>
      <c r="G6886" s="196">
        <v>5.8389194E7</v>
      </c>
      <c r="H6886" s="197">
        <v>1.01</v>
      </c>
      <c r="I6886" s="7" t="s">
        <v>16815</v>
      </c>
      <c r="J6886" s="7" t="s">
        <v>187</v>
      </c>
      <c r="K6886" s="7" t="s">
        <v>16846</v>
      </c>
      <c r="L6886" s="198" t="s">
        <v>65</v>
      </c>
      <c r="M6886" s="194"/>
      <c r="N6886" s="194"/>
    </row>
    <row r="6887">
      <c r="A6887" s="193" t="s">
        <v>26321</v>
      </c>
      <c r="B6887" s="7" t="s">
        <v>16582</v>
      </c>
      <c r="C6887" s="7" t="s">
        <v>16817</v>
      </c>
      <c r="D6887" s="194">
        <v>1995.0</v>
      </c>
      <c r="E6887" s="193"/>
      <c r="F6887" s="195" t="s">
        <v>26322</v>
      </c>
      <c r="G6887" s="196">
        <v>5.8148091E7</v>
      </c>
      <c r="H6887" s="197">
        <v>0.8711</v>
      </c>
      <c r="I6887" s="7" t="s">
        <v>16815</v>
      </c>
      <c r="J6887" s="7" t="s">
        <v>16582</v>
      </c>
      <c r="K6887" s="7" t="s">
        <v>16817</v>
      </c>
      <c r="L6887" s="198" t="s">
        <v>65</v>
      </c>
      <c r="M6887" s="194"/>
      <c r="N6887" s="194"/>
    </row>
    <row r="6888">
      <c r="A6888" s="193" t="s">
        <v>26323</v>
      </c>
      <c r="B6888" s="7" t="s">
        <v>187</v>
      </c>
      <c r="C6888" s="7" t="s">
        <v>16846</v>
      </c>
      <c r="D6888" s="194">
        <v>2016.0</v>
      </c>
      <c r="E6888" s="193"/>
      <c r="F6888" s="195" t="s">
        <v>26324</v>
      </c>
      <c r="G6888" s="196">
        <v>5.7988129E7</v>
      </c>
      <c r="H6888" s="197">
        <v>2.8</v>
      </c>
      <c r="I6888" s="7" t="s">
        <v>16815</v>
      </c>
      <c r="J6888" s="7" t="s">
        <v>187</v>
      </c>
      <c r="K6888" s="7" t="s">
        <v>16846</v>
      </c>
      <c r="L6888" s="198" t="s">
        <v>65</v>
      </c>
      <c r="M6888" s="194"/>
      <c r="N6888" s="194"/>
    </row>
    <row r="6889">
      <c r="A6889" s="193" t="s">
        <v>26325</v>
      </c>
      <c r="B6889" s="7" t="s">
        <v>187</v>
      </c>
      <c r="C6889" s="7" t="s">
        <v>16846</v>
      </c>
      <c r="D6889" s="194">
        <v>2020.0</v>
      </c>
      <c r="E6889" s="193"/>
      <c r="F6889" s="195" t="s">
        <v>26326</v>
      </c>
      <c r="G6889" s="196">
        <v>5.7926691E7</v>
      </c>
      <c r="H6889" s="197">
        <v>1.23</v>
      </c>
      <c r="I6889" s="7" t="s">
        <v>16815</v>
      </c>
      <c r="J6889" s="7" t="s">
        <v>187</v>
      </c>
      <c r="K6889" s="7" t="s">
        <v>16846</v>
      </c>
      <c r="L6889" s="198" t="s">
        <v>65</v>
      </c>
      <c r="M6889" s="194"/>
      <c r="N6889" s="194"/>
    </row>
    <row r="6890">
      <c r="A6890" s="193" t="s">
        <v>26327</v>
      </c>
      <c r="B6890" s="7" t="s">
        <v>16582</v>
      </c>
      <c r="C6890" s="7" t="s">
        <v>16930</v>
      </c>
      <c r="D6890" s="194">
        <v>2021.0</v>
      </c>
      <c r="E6890" s="193"/>
      <c r="F6890" s="195" t="s">
        <v>26328</v>
      </c>
      <c r="G6890" s="196">
        <v>5.7855594E7</v>
      </c>
      <c r="H6890" s="197">
        <v>1.0</v>
      </c>
      <c r="I6890" s="7" t="s">
        <v>16815</v>
      </c>
      <c r="J6890" s="7" t="s">
        <v>16582</v>
      </c>
      <c r="K6890" s="7" t="s">
        <v>16930</v>
      </c>
      <c r="L6890" s="198" t="s">
        <v>65</v>
      </c>
      <c r="M6890" s="194"/>
      <c r="N6890" s="194"/>
    </row>
    <row r="6891">
      <c r="A6891" s="193" t="s">
        <v>26329</v>
      </c>
      <c r="B6891" s="7" t="s">
        <v>187</v>
      </c>
      <c r="C6891" s="7" t="s">
        <v>16846</v>
      </c>
      <c r="D6891" s="199"/>
      <c r="E6891" s="193"/>
      <c r="F6891" s="195" t="s">
        <v>26330</v>
      </c>
      <c r="G6891" s="196">
        <v>5.7787022E7</v>
      </c>
      <c r="H6891" s="197">
        <v>0.45</v>
      </c>
      <c r="I6891" s="7" t="s">
        <v>16815</v>
      </c>
      <c r="J6891" s="7" t="s">
        <v>187</v>
      </c>
      <c r="K6891" s="7" t="s">
        <v>16846</v>
      </c>
      <c r="L6891" s="198" t="s">
        <v>65</v>
      </c>
      <c r="M6891" s="199"/>
      <c r="N6891" s="199"/>
    </row>
    <row r="6892">
      <c r="A6892" s="193" t="s">
        <v>26331</v>
      </c>
      <c r="B6892" s="7" t="s">
        <v>16582</v>
      </c>
      <c r="C6892" s="7" t="s">
        <v>16583</v>
      </c>
      <c r="D6892" s="194">
        <v>2022.0</v>
      </c>
      <c r="E6892" s="193"/>
      <c r="F6892" s="195" t="s">
        <v>26332</v>
      </c>
      <c r="G6892" s="196">
        <v>5.7638341E7</v>
      </c>
      <c r="H6892" s="197">
        <v>4.04</v>
      </c>
      <c r="I6892" s="7" t="s">
        <v>16815</v>
      </c>
      <c r="J6892" s="7" t="s">
        <v>16582</v>
      </c>
      <c r="K6892" s="7" t="s">
        <v>16583</v>
      </c>
      <c r="L6892" s="198" t="s">
        <v>65</v>
      </c>
      <c r="M6892" s="194"/>
      <c r="N6892" s="194"/>
    </row>
    <row r="6893">
      <c r="A6893" s="193" t="s">
        <v>26333</v>
      </c>
      <c r="B6893" s="7" t="s">
        <v>16582</v>
      </c>
      <c r="C6893" s="7" t="s">
        <v>16817</v>
      </c>
      <c r="D6893" s="199"/>
      <c r="E6893" s="193"/>
      <c r="F6893" s="195" t="s">
        <v>26334</v>
      </c>
      <c r="G6893" s="196">
        <v>5.7470569E7</v>
      </c>
      <c r="H6893" s="197">
        <v>0.8374</v>
      </c>
      <c r="I6893" s="7" t="s">
        <v>16815</v>
      </c>
      <c r="J6893" s="7" t="s">
        <v>16582</v>
      </c>
      <c r="K6893" s="7" t="s">
        <v>16817</v>
      </c>
      <c r="L6893" s="198" t="s">
        <v>65</v>
      </c>
      <c r="M6893" s="199"/>
      <c r="N6893" s="199"/>
    </row>
    <row r="6894">
      <c r="A6894" s="193" t="s">
        <v>26335</v>
      </c>
      <c r="B6894" s="7" t="s">
        <v>16582</v>
      </c>
      <c r="C6894" s="7" t="s">
        <v>16817</v>
      </c>
      <c r="D6894" s="199"/>
      <c r="E6894" s="193"/>
      <c r="F6894" s="195" t="s">
        <v>26336</v>
      </c>
      <c r="G6894" s="196">
        <v>5.745735E7</v>
      </c>
      <c r="H6894" s="197">
        <v>1.875</v>
      </c>
      <c r="I6894" s="7" t="s">
        <v>16815</v>
      </c>
      <c r="J6894" s="7" t="s">
        <v>16582</v>
      </c>
      <c r="K6894" s="7" t="s">
        <v>16817</v>
      </c>
      <c r="L6894" s="198" t="s">
        <v>65</v>
      </c>
      <c r="M6894" s="199"/>
      <c r="N6894" s="199"/>
    </row>
    <row r="6895">
      <c r="A6895" s="193" t="s">
        <v>26337</v>
      </c>
      <c r="B6895" s="7" t="s">
        <v>187</v>
      </c>
      <c r="C6895" s="7" t="s">
        <v>16992</v>
      </c>
      <c r="D6895" s="194">
        <v>2022.0</v>
      </c>
      <c r="E6895" s="193"/>
      <c r="F6895" s="195" t="s">
        <v>26338</v>
      </c>
      <c r="G6895" s="196">
        <v>5.7112836E7</v>
      </c>
      <c r="H6895" s="197">
        <v>9.19</v>
      </c>
      <c r="I6895" s="7" t="s">
        <v>16815</v>
      </c>
      <c r="J6895" s="7" t="s">
        <v>187</v>
      </c>
      <c r="K6895" s="7" t="s">
        <v>16992</v>
      </c>
      <c r="L6895" s="198" t="s">
        <v>65</v>
      </c>
      <c r="M6895" s="194"/>
      <c r="N6895" s="194"/>
    </row>
    <row r="6896">
      <c r="A6896" s="193" t="s">
        <v>26339</v>
      </c>
      <c r="B6896" s="7" t="s">
        <v>169</v>
      </c>
      <c r="C6896" s="7" t="s">
        <v>16899</v>
      </c>
      <c r="D6896" s="194">
        <v>2021.0</v>
      </c>
      <c r="E6896" s="193"/>
      <c r="F6896" s="195" t="s">
        <v>26340</v>
      </c>
      <c r="G6896" s="196">
        <v>5.6967908E7</v>
      </c>
      <c r="H6896" s="197">
        <v>3.6</v>
      </c>
      <c r="I6896" s="7" t="s">
        <v>16815</v>
      </c>
      <c r="J6896" s="7" t="s">
        <v>169</v>
      </c>
      <c r="K6896" s="7" t="s">
        <v>16899</v>
      </c>
      <c r="L6896" s="198" t="s">
        <v>65</v>
      </c>
      <c r="M6896" s="194"/>
      <c r="N6896" s="194"/>
    </row>
    <row r="6897">
      <c r="A6897" s="193" t="s">
        <v>26341</v>
      </c>
      <c r="B6897" s="7" t="s">
        <v>16926</v>
      </c>
      <c r="C6897" s="7" t="s">
        <v>16927</v>
      </c>
      <c r="D6897" s="194">
        <v>2006.0</v>
      </c>
      <c r="E6897" s="193"/>
      <c r="F6897" s="195" t="s">
        <v>26342</v>
      </c>
      <c r="G6897" s="196">
        <v>5.68024E7</v>
      </c>
      <c r="H6897" s="197">
        <v>1.52</v>
      </c>
      <c r="I6897" s="7" t="s">
        <v>16815</v>
      </c>
      <c r="J6897" s="7" t="s">
        <v>16926</v>
      </c>
      <c r="K6897" s="7" t="s">
        <v>16927</v>
      </c>
      <c r="L6897" s="198" t="s">
        <v>65</v>
      </c>
      <c r="M6897" s="194"/>
      <c r="N6897" s="194"/>
    </row>
    <row r="6898">
      <c r="A6898" s="193" t="s">
        <v>26343</v>
      </c>
      <c r="B6898" s="7" t="s">
        <v>187</v>
      </c>
      <c r="C6898" s="7" t="s">
        <v>16846</v>
      </c>
      <c r="D6898" s="194">
        <v>2014.0</v>
      </c>
      <c r="E6898" s="193"/>
      <c r="F6898" s="195" t="s">
        <v>26344</v>
      </c>
      <c r="G6898" s="196">
        <v>5.6781565E7</v>
      </c>
      <c r="H6898" s="197">
        <v>1.05</v>
      </c>
      <c r="I6898" s="7" t="s">
        <v>16815</v>
      </c>
      <c r="J6898" s="7" t="s">
        <v>187</v>
      </c>
      <c r="K6898" s="7" t="s">
        <v>16846</v>
      </c>
      <c r="L6898" s="198" t="s">
        <v>65</v>
      </c>
      <c r="M6898" s="194"/>
      <c r="N6898" s="194"/>
    </row>
    <row r="6899">
      <c r="A6899" s="193" t="s">
        <v>26345</v>
      </c>
      <c r="B6899" s="7" t="s">
        <v>187</v>
      </c>
      <c r="C6899" s="7" t="s">
        <v>16846</v>
      </c>
      <c r="D6899" s="199"/>
      <c r="E6899" s="193"/>
      <c r="F6899" s="195" t="s">
        <v>26346</v>
      </c>
      <c r="G6899" s="196">
        <v>5.6688343E7</v>
      </c>
      <c r="H6899" s="197">
        <v>0.3156</v>
      </c>
      <c r="I6899" s="7" t="s">
        <v>16815</v>
      </c>
      <c r="J6899" s="7" t="s">
        <v>187</v>
      </c>
      <c r="K6899" s="7" t="s">
        <v>16846</v>
      </c>
      <c r="L6899" s="198" t="s">
        <v>65</v>
      </c>
      <c r="M6899" s="199"/>
      <c r="N6899" s="199"/>
    </row>
    <row r="6900">
      <c r="A6900" s="193" t="s">
        <v>26347</v>
      </c>
      <c r="B6900" s="7" t="s">
        <v>16838</v>
      </c>
      <c r="C6900" s="7" t="s">
        <v>19644</v>
      </c>
      <c r="D6900" s="199"/>
      <c r="E6900" s="193"/>
      <c r="F6900" s="195" t="s">
        <v>26348</v>
      </c>
      <c r="G6900" s="196">
        <v>5.6515E7</v>
      </c>
      <c r="H6900" s="197">
        <v>4.45</v>
      </c>
      <c r="I6900" s="7" t="s">
        <v>16815</v>
      </c>
      <c r="J6900" s="7" t="s">
        <v>16838</v>
      </c>
      <c r="K6900" s="7" t="s">
        <v>19644</v>
      </c>
      <c r="L6900" s="198" t="s">
        <v>65</v>
      </c>
      <c r="M6900" s="199"/>
      <c r="N6900" s="199"/>
    </row>
    <row r="6901">
      <c r="A6901" s="193" t="s">
        <v>26349</v>
      </c>
      <c r="B6901" s="7" t="s">
        <v>187</v>
      </c>
      <c r="C6901" s="7" t="s">
        <v>17509</v>
      </c>
      <c r="D6901" s="194">
        <v>2017.0</v>
      </c>
      <c r="E6901" s="193"/>
      <c r="F6901" s="195" t="s">
        <v>26350</v>
      </c>
      <c r="G6901" s="196">
        <v>5.6479512E7</v>
      </c>
      <c r="H6901" s="197">
        <v>2.13</v>
      </c>
      <c r="I6901" s="7" t="s">
        <v>16815</v>
      </c>
      <c r="J6901" s="7" t="s">
        <v>187</v>
      </c>
      <c r="K6901" s="7" t="s">
        <v>17509</v>
      </c>
      <c r="L6901" s="198" t="s">
        <v>65</v>
      </c>
      <c r="M6901" s="194"/>
      <c r="N6901" s="194"/>
    </row>
    <row r="6902">
      <c r="A6902" s="193" t="s">
        <v>26349</v>
      </c>
      <c r="B6902" s="202" t="s">
        <v>17509</v>
      </c>
      <c r="C6902" s="193" t="s">
        <v>187</v>
      </c>
      <c r="D6902" s="193">
        <v>2017.0</v>
      </c>
      <c r="E6902" s="193"/>
      <c r="F6902" s="203" t="s">
        <v>26350</v>
      </c>
      <c r="G6902" s="200">
        <v>5.6479512E7</v>
      </c>
      <c r="H6902" s="205">
        <v>8.39</v>
      </c>
      <c r="J6902" s="202" t="s">
        <v>17509</v>
      </c>
      <c r="K6902" s="193" t="s">
        <v>187</v>
      </c>
      <c r="L6902" s="193" t="s">
        <v>17471</v>
      </c>
      <c r="M6902" s="193"/>
      <c r="N6902" s="193"/>
    </row>
    <row r="6903">
      <c r="A6903" s="193" t="s">
        <v>26351</v>
      </c>
      <c r="B6903" s="7" t="s">
        <v>175</v>
      </c>
      <c r="C6903" s="7" t="s">
        <v>17031</v>
      </c>
      <c r="D6903" s="199"/>
      <c r="E6903" s="193"/>
      <c r="F6903" s="195" t="s">
        <v>26352</v>
      </c>
      <c r="G6903" s="196">
        <v>5.635508E7</v>
      </c>
      <c r="H6903" s="197">
        <v>20.0</v>
      </c>
      <c r="I6903" s="7" t="s">
        <v>16826</v>
      </c>
      <c r="J6903" s="7" t="s">
        <v>175</v>
      </c>
      <c r="K6903" s="7" t="s">
        <v>17031</v>
      </c>
      <c r="L6903" s="198" t="s">
        <v>65</v>
      </c>
      <c r="M6903" s="199"/>
      <c r="N6903" s="199"/>
    </row>
    <row r="6904">
      <c r="A6904" s="193" t="s">
        <v>26353</v>
      </c>
      <c r="B6904" s="7" t="s">
        <v>187</v>
      </c>
      <c r="C6904" s="7" t="s">
        <v>16969</v>
      </c>
      <c r="D6904" s="199"/>
      <c r="E6904" s="193"/>
      <c r="F6904" s="195" t="s">
        <v>26354</v>
      </c>
      <c r="G6904" s="196">
        <v>5.634023E7</v>
      </c>
      <c r="H6904" s="197">
        <v>1.27</v>
      </c>
      <c r="I6904" s="7" t="s">
        <v>16815</v>
      </c>
      <c r="J6904" s="7" t="s">
        <v>187</v>
      </c>
      <c r="K6904" s="7" t="s">
        <v>16969</v>
      </c>
      <c r="L6904" s="198" t="s">
        <v>65</v>
      </c>
      <c r="M6904" s="199"/>
      <c r="N6904" s="199"/>
    </row>
    <row r="6905">
      <c r="A6905" s="193" t="s">
        <v>26355</v>
      </c>
      <c r="B6905" s="7" t="s">
        <v>187</v>
      </c>
      <c r="C6905" s="7" t="s">
        <v>16992</v>
      </c>
      <c r="D6905" s="194">
        <v>2020.0</v>
      </c>
      <c r="E6905" s="193"/>
      <c r="F6905" s="195" t="s">
        <v>26356</v>
      </c>
      <c r="G6905" s="196">
        <v>5.6320783E7</v>
      </c>
      <c r="H6905" s="197">
        <v>1.48</v>
      </c>
      <c r="I6905" s="7" t="s">
        <v>16815</v>
      </c>
      <c r="J6905" s="7" t="s">
        <v>187</v>
      </c>
      <c r="K6905" s="7" t="s">
        <v>16992</v>
      </c>
      <c r="L6905" s="198" t="s">
        <v>65</v>
      </c>
      <c r="M6905" s="194"/>
      <c r="N6905" s="194"/>
    </row>
    <row r="6906">
      <c r="A6906" s="193" t="s">
        <v>26357</v>
      </c>
      <c r="B6906" s="7" t="s">
        <v>16582</v>
      </c>
      <c r="C6906" s="7" t="s">
        <v>17342</v>
      </c>
      <c r="D6906" s="199"/>
      <c r="E6906" s="193"/>
      <c r="F6906" s="195" t="s">
        <v>26358</v>
      </c>
      <c r="G6906" s="196">
        <v>5.6296962E7</v>
      </c>
      <c r="H6906" s="197">
        <v>0.7429</v>
      </c>
      <c r="I6906" s="7" t="s">
        <v>16815</v>
      </c>
      <c r="J6906" s="7" t="s">
        <v>16582</v>
      </c>
      <c r="K6906" s="7" t="s">
        <v>17342</v>
      </c>
      <c r="L6906" s="198" t="s">
        <v>65</v>
      </c>
      <c r="M6906" s="199"/>
      <c r="N6906" s="199"/>
    </row>
    <row r="6907">
      <c r="A6907" s="193" t="s">
        <v>26359</v>
      </c>
      <c r="B6907" s="7" t="s">
        <v>16838</v>
      </c>
      <c r="C6907" s="7" t="s">
        <v>16867</v>
      </c>
      <c r="D6907" s="199"/>
      <c r="E6907" s="193"/>
      <c r="F6907" s="195" t="s">
        <v>26360</v>
      </c>
      <c r="G6907" s="196">
        <v>5.616438E7</v>
      </c>
      <c r="H6907" s="197">
        <v>10.0</v>
      </c>
      <c r="I6907" s="7" t="s">
        <v>16815</v>
      </c>
      <c r="J6907" s="7" t="s">
        <v>16838</v>
      </c>
      <c r="K6907" s="7" t="s">
        <v>16867</v>
      </c>
      <c r="L6907" s="198" t="s">
        <v>65</v>
      </c>
      <c r="M6907" s="199"/>
      <c r="N6907" s="199"/>
    </row>
    <row r="6908">
      <c r="A6908" s="193" t="s">
        <v>26361</v>
      </c>
      <c r="B6908" s="7" t="s">
        <v>16838</v>
      </c>
      <c r="C6908" s="7" t="s">
        <v>17019</v>
      </c>
      <c r="D6908" s="194">
        <v>2020.0</v>
      </c>
      <c r="E6908" s="193"/>
      <c r="F6908" s="195" t="s">
        <v>26362</v>
      </c>
      <c r="G6908" s="196">
        <v>5.593456E7</v>
      </c>
      <c r="H6908" s="197">
        <v>10.18</v>
      </c>
      <c r="I6908" s="7" t="s">
        <v>16815</v>
      </c>
      <c r="J6908" s="7" t="s">
        <v>16838</v>
      </c>
      <c r="K6908" s="7" t="s">
        <v>17019</v>
      </c>
      <c r="L6908" s="198" t="s">
        <v>65</v>
      </c>
      <c r="M6908" s="194"/>
      <c r="N6908" s="194"/>
    </row>
    <row r="6909">
      <c r="A6909" s="193" t="s">
        <v>26363</v>
      </c>
      <c r="B6909" s="7" t="s">
        <v>16838</v>
      </c>
      <c r="C6909" s="7" t="s">
        <v>18219</v>
      </c>
      <c r="D6909" s="199"/>
      <c r="E6909" s="193"/>
      <c r="F6909" s="195" t="s">
        <v>26364</v>
      </c>
      <c r="G6909" s="196">
        <v>5.583492E7</v>
      </c>
      <c r="H6909" s="197">
        <v>0.6</v>
      </c>
      <c r="I6909" s="7" t="s">
        <v>16815</v>
      </c>
      <c r="J6909" s="7" t="s">
        <v>16838</v>
      </c>
      <c r="K6909" s="7" t="s">
        <v>18219</v>
      </c>
      <c r="L6909" s="198" t="s">
        <v>65</v>
      </c>
      <c r="M6909" s="199"/>
      <c r="N6909" s="199"/>
    </row>
    <row r="6910">
      <c r="A6910" s="193" t="s">
        <v>26365</v>
      </c>
      <c r="B6910" s="7" t="s">
        <v>16838</v>
      </c>
      <c r="C6910" s="7" t="s">
        <v>17019</v>
      </c>
      <c r="D6910" s="194">
        <v>2021.0</v>
      </c>
      <c r="E6910" s="193"/>
      <c r="F6910" s="195" t="s">
        <v>26366</v>
      </c>
      <c r="G6910" s="196">
        <v>5.5769723E7</v>
      </c>
      <c r="H6910" s="197">
        <v>10.15</v>
      </c>
      <c r="I6910" s="7" t="s">
        <v>16815</v>
      </c>
      <c r="J6910" s="7" t="s">
        <v>16838</v>
      </c>
      <c r="K6910" s="7" t="s">
        <v>17019</v>
      </c>
      <c r="L6910" s="198" t="s">
        <v>65</v>
      </c>
      <c r="M6910" s="194"/>
      <c r="N6910" s="194"/>
    </row>
    <row r="6911">
      <c r="A6911" s="193" t="s">
        <v>26367</v>
      </c>
      <c r="B6911" s="7" t="s">
        <v>187</v>
      </c>
      <c r="C6911" s="7" t="s">
        <v>16992</v>
      </c>
      <c r="D6911" s="194">
        <v>2014.0</v>
      </c>
      <c r="E6911" s="193"/>
      <c r="F6911" s="195" t="s">
        <v>26368</v>
      </c>
      <c r="G6911" s="196">
        <v>5.5748154E7</v>
      </c>
      <c r="H6911" s="197">
        <v>7.7</v>
      </c>
      <c r="I6911" s="7" t="s">
        <v>16815</v>
      </c>
      <c r="J6911" s="7" t="s">
        <v>187</v>
      </c>
      <c r="K6911" s="7" t="s">
        <v>16992</v>
      </c>
      <c r="L6911" s="198" t="s">
        <v>65</v>
      </c>
      <c r="M6911" s="194"/>
      <c r="N6911" s="194"/>
    </row>
    <row r="6912">
      <c r="A6912" s="193" t="s">
        <v>26369</v>
      </c>
      <c r="B6912" s="7" t="s">
        <v>175</v>
      </c>
      <c r="C6912" s="7" t="s">
        <v>18723</v>
      </c>
      <c r="D6912" s="194">
        <v>1999.0</v>
      </c>
      <c r="E6912" s="193"/>
      <c r="F6912" s="195" t="s">
        <v>26370</v>
      </c>
      <c r="G6912" s="196">
        <v>5.5682809E7</v>
      </c>
      <c r="H6912" s="197">
        <v>2.42</v>
      </c>
      <c r="I6912" s="7" t="s">
        <v>16908</v>
      </c>
      <c r="J6912" s="7" t="s">
        <v>175</v>
      </c>
      <c r="K6912" s="7" t="s">
        <v>18723</v>
      </c>
      <c r="L6912" s="198" t="s">
        <v>65</v>
      </c>
      <c r="M6912" s="194"/>
      <c r="N6912" s="194"/>
    </row>
    <row r="6913">
      <c r="A6913" s="193" t="s">
        <v>26371</v>
      </c>
      <c r="B6913" s="7" t="s">
        <v>175</v>
      </c>
      <c r="C6913" s="7" t="s">
        <v>16942</v>
      </c>
      <c r="D6913" s="199"/>
      <c r="E6913" s="193"/>
      <c r="F6913" s="195" t="s">
        <v>26372</v>
      </c>
      <c r="G6913" s="196">
        <v>5.5504018E7</v>
      </c>
      <c r="H6913" s="197">
        <v>15.4</v>
      </c>
      <c r="I6913" s="7" t="s">
        <v>174</v>
      </c>
      <c r="J6913" s="7" t="s">
        <v>175</v>
      </c>
      <c r="K6913" s="7" t="s">
        <v>16942</v>
      </c>
      <c r="L6913" s="198" t="s">
        <v>65</v>
      </c>
      <c r="M6913" s="199"/>
      <c r="N6913" s="199"/>
    </row>
    <row r="6914">
      <c r="A6914" s="193" t="s">
        <v>26373</v>
      </c>
      <c r="B6914" s="7" t="s">
        <v>187</v>
      </c>
      <c r="C6914" s="7" t="s">
        <v>16969</v>
      </c>
      <c r="D6914" s="199"/>
      <c r="E6914" s="193"/>
      <c r="F6914" s="195" t="s">
        <v>26374</v>
      </c>
      <c r="G6914" s="196">
        <v>5.5413723E7</v>
      </c>
      <c r="H6914" s="197">
        <v>0.21</v>
      </c>
      <c r="I6914" s="7" t="s">
        <v>16815</v>
      </c>
      <c r="J6914" s="7" t="s">
        <v>187</v>
      </c>
      <c r="K6914" s="7" t="s">
        <v>16969</v>
      </c>
      <c r="L6914" s="198" t="s">
        <v>65</v>
      </c>
      <c r="M6914" s="199"/>
      <c r="N6914" s="199"/>
    </row>
    <row r="6915">
      <c r="A6915" s="193" t="s">
        <v>26373</v>
      </c>
      <c r="B6915" s="202" t="s">
        <v>16969</v>
      </c>
      <c r="C6915" s="193" t="s">
        <v>187</v>
      </c>
      <c r="D6915" s="206"/>
      <c r="E6915" s="193"/>
      <c r="F6915" s="203" t="s">
        <v>26374</v>
      </c>
      <c r="G6915" s="200">
        <v>5.5413723E7</v>
      </c>
      <c r="H6915" s="205">
        <v>2.13</v>
      </c>
      <c r="J6915" s="202" t="s">
        <v>16969</v>
      </c>
      <c r="K6915" s="193" t="s">
        <v>187</v>
      </c>
      <c r="L6915" s="193" t="s">
        <v>17471</v>
      </c>
      <c r="M6915" s="206"/>
      <c r="N6915" s="206"/>
    </row>
    <row r="6916">
      <c r="A6916" s="193" t="s">
        <v>26375</v>
      </c>
      <c r="B6916" s="7" t="s">
        <v>169</v>
      </c>
      <c r="C6916" s="7" t="s">
        <v>17043</v>
      </c>
      <c r="D6916" s="199"/>
      <c r="E6916" s="193"/>
      <c r="F6916" s="195" t="s">
        <v>26376</v>
      </c>
      <c r="G6916" s="196">
        <v>5.5330612E7</v>
      </c>
      <c r="H6916" s="197">
        <v>15.69</v>
      </c>
      <c r="I6916" s="7" t="s">
        <v>16815</v>
      </c>
      <c r="J6916" s="7" t="s">
        <v>169</v>
      </c>
      <c r="K6916" s="7" t="s">
        <v>17043</v>
      </c>
      <c r="L6916" s="198" t="s">
        <v>65</v>
      </c>
      <c r="M6916" s="199"/>
      <c r="N6916" s="199"/>
    </row>
    <row r="6917">
      <c r="A6917" s="193" t="s">
        <v>26377</v>
      </c>
      <c r="B6917" s="7" t="s">
        <v>187</v>
      </c>
      <c r="C6917" s="7" t="s">
        <v>16992</v>
      </c>
      <c r="D6917" s="194">
        <v>2021.0</v>
      </c>
      <c r="E6917" s="193"/>
      <c r="F6917" s="195" t="s">
        <v>26378</v>
      </c>
      <c r="G6917" s="196">
        <v>5.5265539E7</v>
      </c>
      <c r="H6917" s="197">
        <v>1.95</v>
      </c>
      <c r="I6917" s="7" t="s">
        <v>16815</v>
      </c>
      <c r="J6917" s="7" t="s">
        <v>187</v>
      </c>
      <c r="K6917" s="7" t="s">
        <v>16992</v>
      </c>
      <c r="L6917" s="198" t="s">
        <v>65</v>
      </c>
      <c r="M6917" s="194"/>
      <c r="N6917" s="194"/>
    </row>
    <row r="6918">
      <c r="A6918" s="193" t="s">
        <v>26379</v>
      </c>
      <c r="D6918" s="194">
        <v>2023.0</v>
      </c>
      <c r="E6918" s="193"/>
      <c r="F6918" s="195" t="s">
        <v>26380</v>
      </c>
      <c r="G6918" s="196">
        <v>5.5202672E7</v>
      </c>
      <c r="H6918" s="197">
        <v>2.585</v>
      </c>
      <c r="I6918" s="7" t="s">
        <v>16815</v>
      </c>
      <c r="L6918" s="198" t="s">
        <v>65</v>
      </c>
      <c r="M6918" s="194"/>
      <c r="N6918" s="194"/>
    </row>
    <row r="6919">
      <c r="A6919" s="193" t="s">
        <v>26381</v>
      </c>
      <c r="B6919" s="7" t="s">
        <v>187</v>
      </c>
      <c r="C6919" s="7" t="s">
        <v>16846</v>
      </c>
      <c r="D6919" s="194">
        <v>2021.0</v>
      </c>
      <c r="E6919" s="193"/>
      <c r="F6919" s="195" t="s">
        <v>26382</v>
      </c>
      <c r="G6919" s="196">
        <v>5.5111417E7</v>
      </c>
      <c r="H6919" s="197">
        <v>2.15</v>
      </c>
      <c r="I6919" s="7" t="s">
        <v>16815</v>
      </c>
      <c r="J6919" s="7" t="s">
        <v>187</v>
      </c>
      <c r="K6919" s="7" t="s">
        <v>16846</v>
      </c>
      <c r="L6919" s="198" t="s">
        <v>65</v>
      </c>
      <c r="M6919" s="194"/>
      <c r="N6919" s="194"/>
    </row>
    <row r="6920">
      <c r="A6920" s="193" t="s">
        <v>26383</v>
      </c>
      <c r="B6920" s="7" t="s">
        <v>16582</v>
      </c>
      <c r="C6920" s="7" t="s">
        <v>16828</v>
      </c>
      <c r="D6920" s="194">
        <v>2021.0</v>
      </c>
      <c r="E6920" s="193"/>
      <c r="F6920" s="195" t="s">
        <v>26384</v>
      </c>
      <c r="G6920" s="196">
        <v>5.5015061E7</v>
      </c>
      <c r="H6920" s="197">
        <v>0.4401</v>
      </c>
      <c r="I6920" s="7" t="s">
        <v>16815</v>
      </c>
      <c r="J6920" s="7" t="s">
        <v>16582</v>
      </c>
      <c r="K6920" s="7" t="s">
        <v>16828</v>
      </c>
      <c r="L6920" s="198" t="s">
        <v>65</v>
      </c>
      <c r="M6920" s="194"/>
      <c r="N6920" s="194"/>
    </row>
    <row r="6921">
      <c r="A6921" s="193" t="s">
        <v>26385</v>
      </c>
      <c r="B6921" s="7" t="s">
        <v>187</v>
      </c>
      <c r="C6921" s="7" t="s">
        <v>16846</v>
      </c>
      <c r="D6921" s="194">
        <v>2021.0</v>
      </c>
      <c r="E6921" s="193"/>
      <c r="F6921" s="195" t="s">
        <v>26386</v>
      </c>
      <c r="G6921" s="196">
        <v>5.4858747E7</v>
      </c>
      <c r="H6921" s="197">
        <v>1.61</v>
      </c>
      <c r="I6921" s="7" t="s">
        <v>16815</v>
      </c>
      <c r="J6921" s="7" t="s">
        <v>187</v>
      </c>
      <c r="K6921" s="7" t="s">
        <v>16846</v>
      </c>
      <c r="L6921" s="198" t="s">
        <v>65</v>
      </c>
      <c r="M6921" s="194"/>
      <c r="N6921" s="194"/>
    </row>
    <row r="6922">
      <c r="A6922" s="193" t="s">
        <v>26387</v>
      </c>
      <c r="B6922" s="7" t="s">
        <v>169</v>
      </c>
      <c r="C6922" s="7" t="s">
        <v>16945</v>
      </c>
      <c r="D6922" s="199"/>
      <c r="E6922" s="193"/>
      <c r="F6922" s="195" t="s">
        <v>26388</v>
      </c>
      <c r="G6922" s="196">
        <v>5.4852084E7</v>
      </c>
      <c r="H6922" s="197">
        <v>0.4683</v>
      </c>
      <c r="I6922" s="7" t="s">
        <v>16815</v>
      </c>
      <c r="J6922" s="7" t="s">
        <v>169</v>
      </c>
      <c r="K6922" s="7" t="s">
        <v>16945</v>
      </c>
      <c r="L6922" s="198" t="s">
        <v>65</v>
      </c>
      <c r="M6922" s="199"/>
      <c r="N6922" s="199"/>
    </row>
    <row r="6923">
      <c r="A6923" s="193" t="s">
        <v>26387</v>
      </c>
      <c r="B6923" s="202" t="s">
        <v>16945</v>
      </c>
      <c r="C6923" s="193" t="s">
        <v>169</v>
      </c>
      <c r="D6923" s="206"/>
      <c r="E6923" s="193"/>
      <c r="F6923" s="203" t="s">
        <v>26388</v>
      </c>
      <c r="G6923" s="200">
        <v>5.4852084E7</v>
      </c>
      <c r="H6923" s="205">
        <v>0.21</v>
      </c>
      <c r="J6923" s="202" t="s">
        <v>16945</v>
      </c>
      <c r="K6923" s="193" t="s">
        <v>169</v>
      </c>
      <c r="L6923" s="193" t="s">
        <v>17471</v>
      </c>
      <c r="M6923" s="206"/>
      <c r="N6923" s="206"/>
    </row>
    <row r="6924">
      <c r="A6924" s="193" t="s">
        <v>26389</v>
      </c>
      <c r="B6924" s="7" t="s">
        <v>16838</v>
      </c>
      <c r="C6924" s="7" t="s">
        <v>16837</v>
      </c>
      <c r="D6924" s="199"/>
      <c r="E6924" s="193"/>
      <c r="F6924" s="195" t="s">
        <v>26390</v>
      </c>
      <c r="G6924" s="196">
        <v>5.4651537E7</v>
      </c>
      <c r="H6924" s="197">
        <v>5.89</v>
      </c>
      <c r="I6924" s="7" t="s">
        <v>16815</v>
      </c>
      <c r="J6924" s="7" t="s">
        <v>16838</v>
      </c>
      <c r="K6924" s="7" t="s">
        <v>16837</v>
      </c>
      <c r="L6924" s="198" t="s">
        <v>65</v>
      </c>
      <c r="M6924" s="199"/>
      <c r="N6924" s="199"/>
    </row>
    <row r="6925">
      <c r="A6925" s="193" t="s">
        <v>26391</v>
      </c>
      <c r="B6925" s="7" t="s">
        <v>16851</v>
      </c>
      <c r="C6925" s="7" t="s">
        <v>187</v>
      </c>
      <c r="D6925" s="194">
        <v>2021.0</v>
      </c>
      <c r="E6925" s="193"/>
      <c r="F6925" s="195" t="s">
        <v>26392</v>
      </c>
      <c r="G6925" s="200">
        <v>5.460883E7</v>
      </c>
      <c r="H6925" s="197">
        <v>6.85</v>
      </c>
      <c r="I6925" s="7" t="s">
        <v>16815</v>
      </c>
      <c r="J6925" s="7" t="s">
        <v>16851</v>
      </c>
      <c r="K6925" s="7" t="s">
        <v>187</v>
      </c>
      <c r="L6925" s="201" t="s">
        <v>16835</v>
      </c>
      <c r="M6925" s="194"/>
      <c r="N6925" s="194"/>
    </row>
    <row r="6926">
      <c r="A6926" s="193" t="s">
        <v>26391</v>
      </c>
      <c r="B6926" s="7" t="s">
        <v>187</v>
      </c>
      <c r="C6926" s="7" t="s">
        <v>16851</v>
      </c>
      <c r="D6926" s="194">
        <v>2021.0</v>
      </c>
      <c r="E6926" s="193"/>
      <c r="F6926" s="195" t="s">
        <v>26392</v>
      </c>
      <c r="G6926" s="196">
        <v>5.460883E7</v>
      </c>
      <c r="H6926" s="197">
        <v>6.85</v>
      </c>
      <c r="I6926" s="7" t="s">
        <v>16815</v>
      </c>
      <c r="J6926" s="7" t="s">
        <v>187</v>
      </c>
      <c r="K6926" s="7" t="s">
        <v>16851</v>
      </c>
      <c r="L6926" s="198" t="s">
        <v>65</v>
      </c>
      <c r="M6926" s="194"/>
      <c r="N6926" s="194"/>
    </row>
    <row r="6927">
      <c r="A6927" s="193" t="s">
        <v>26393</v>
      </c>
      <c r="D6927" s="194">
        <v>2021.0</v>
      </c>
      <c r="E6927" s="193"/>
      <c r="F6927" s="195" t="s">
        <v>26394</v>
      </c>
      <c r="G6927" s="196">
        <v>5.4492982E7</v>
      </c>
      <c r="H6927" s="197">
        <v>11.095</v>
      </c>
      <c r="I6927" s="7" t="s">
        <v>16815</v>
      </c>
      <c r="L6927" s="198" t="s">
        <v>65</v>
      </c>
      <c r="M6927" s="194"/>
      <c r="N6927" s="194"/>
    </row>
    <row r="6928">
      <c r="A6928" s="193" t="s">
        <v>26395</v>
      </c>
      <c r="B6928" s="7" t="s">
        <v>175</v>
      </c>
      <c r="C6928" s="7" t="s">
        <v>16842</v>
      </c>
      <c r="D6928" s="199"/>
      <c r="E6928" s="193"/>
      <c r="F6928" s="195" t="s">
        <v>26396</v>
      </c>
      <c r="G6928" s="196">
        <v>5.4435497E7</v>
      </c>
      <c r="H6928" s="197">
        <v>0.1788</v>
      </c>
      <c r="I6928" s="7" t="s">
        <v>16908</v>
      </c>
      <c r="J6928" s="7" t="s">
        <v>175</v>
      </c>
      <c r="K6928" s="7" t="s">
        <v>16842</v>
      </c>
      <c r="L6928" s="198" t="s">
        <v>65</v>
      </c>
      <c r="M6928" s="199"/>
      <c r="N6928" s="199"/>
    </row>
    <row r="6929">
      <c r="A6929" s="193" t="s">
        <v>26397</v>
      </c>
      <c r="B6929" s="7" t="s">
        <v>187</v>
      </c>
      <c r="C6929" s="7" t="s">
        <v>17509</v>
      </c>
      <c r="D6929" s="194">
        <v>2015.0</v>
      </c>
      <c r="E6929" s="193"/>
      <c r="F6929" s="195" t="s">
        <v>26398</v>
      </c>
      <c r="G6929" s="196">
        <v>5.4237901E7</v>
      </c>
      <c r="H6929" s="197">
        <v>0.76</v>
      </c>
      <c r="I6929" s="7" t="s">
        <v>16815</v>
      </c>
      <c r="J6929" s="7" t="s">
        <v>187</v>
      </c>
      <c r="K6929" s="7" t="s">
        <v>17509</v>
      </c>
      <c r="L6929" s="198" t="s">
        <v>65</v>
      </c>
      <c r="M6929" s="194"/>
      <c r="N6929" s="194"/>
    </row>
    <row r="6930">
      <c r="A6930" s="193" t="s">
        <v>26397</v>
      </c>
      <c r="B6930" s="202" t="s">
        <v>17509</v>
      </c>
      <c r="C6930" s="193" t="s">
        <v>187</v>
      </c>
      <c r="D6930" s="193">
        <v>2015.0</v>
      </c>
      <c r="E6930" s="193"/>
      <c r="F6930" s="203" t="s">
        <v>26398</v>
      </c>
      <c r="G6930" s="200">
        <v>5.4237901E7</v>
      </c>
      <c r="H6930" s="205">
        <v>0.4683</v>
      </c>
      <c r="J6930" s="202" t="s">
        <v>17509</v>
      </c>
      <c r="K6930" s="193" t="s">
        <v>187</v>
      </c>
      <c r="L6930" s="193" t="s">
        <v>17471</v>
      </c>
      <c r="M6930" s="193"/>
      <c r="N6930" s="193"/>
    </row>
    <row r="6931">
      <c r="A6931" s="193" t="s">
        <v>26399</v>
      </c>
      <c r="B6931" s="7" t="s">
        <v>16582</v>
      </c>
      <c r="C6931" s="7" t="s">
        <v>16828</v>
      </c>
      <c r="D6931" s="194">
        <v>2007.0</v>
      </c>
      <c r="E6931" s="193"/>
      <c r="F6931" s="195" t="s">
        <v>26400</v>
      </c>
      <c r="G6931" s="196">
        <v>5.4214707E7</v>
      </c>
      <c r="H6931" s="197">
        <v>2.15</v>
      </c>
      <c r="I6931" s="7" t="s">
        <v>16815</v>
      </c>
      <c r="J6931" s="7" t="s">
        <v>16582</v>
      </c>
      <c r="K6931" s="7" t="s">
        <v>16828</v>
      </c>
      <c r="L6931" s="198" t="s">
        <v>65</v>
      </c>
      <c r="M6931" s="194"/>
      <c r="N6931" s="194"/>
    </row>
    <row r="6932">
      <c r="A6932" s="193" t="s">
        <v>26401</v>
      </c>
      <c r="B6932" s="7" t="s">
        <v>175</v>
      </c>
      <c r="C6932" s="7" t="s">
        <v>18268</v>
      </c>
      <c r="D6932" s="199"/>
      <c r="E6932" s="193"/>
      <c r="F6932" s="195" t="s">
        <v>26402</v>
      </c>
      <c r="G6932" s="196">
        <v>5.4196799E7</v>
      </c>
      <c r="H6932" s="197">
        <v>4.96</v>
      </c>
      <c r="I6932" s="7" t="s">
        <v>16856</v>
      </c>
      <c r="J6932" s="7" t="s">
        <v>175</v>
      </c>
      <c r="K6932" s="7" t="s">
        <v>18268</v>
      </c>
      <c r="L6932" s="198" t="s">
        <v>65</v>
      </c>
      <c r="M6932" s="199"/>
      <c r="N6932" s="199"/>
    </row>
    <row r="6933">
      <c r="A6933" s="193" t="s">
        <v>26403</v>
      </c>
      <c r="D6933" s="199"/>
      <c r="E6933" s="193"/>
      <c r="F6933" s="195" t="s">
        <v>26404</v>
      </c>
      <c r="G6933" s="196">
        <v>5.3837033E7</v>
      </c>
      <c r="H6933" s="197">
        <v>2.355</v>
      </c>
      <c r="I6933" s="7" t="s">
        <v>16815</v>
      </c>
      <c r="L6933" s="198" t="s">
        <v>65</v>
      </c>
      <c r="M6933" s="199"/>
      <c r="N6933" s="199"/>
    </row>
    <row r="6934">
      <c r="A6934" s="193" t="s">
        <v>26405</v>
      </c>
      <c r="B6934" s="7" t="s">
        <v>16919</v>
      </c>
      <c r="C6934" s="7" t="s">
        <v>17176</v>
      </c>
      <c r="D6934" s="194">
        <v>2014.0</v>
      </c>
      <c r="E6934" s="193"/>
      <c r="F6934" s="195" t="s">
        <v>26406</v>
      </c>
      <c r="G6934" s="196">
        <v>5.3594314E7</v>
      </c>
      <c r="H6934" s="197">
        <v>7.41</v>
      </c>
      <c r="I6934" s="7" t="s">
        <v>16815</v>
      </c>
      <c r="J6934" s="7" t="s">
        <v>16919</v>
      </c>
      <c r="K6934" s="7" t="s">
        <v>17176</v>
      </c>
      <c r="L6934" s="198" t="s">
        <v>65</v>
      </c>
      <c r="M6934" s="194"/>
      <c r="N6934" s="194"/>
    </row>
    <row r="6935">
      <c r="A6935" s="193" t="s">
        <v>26407</v>
      </c>
      <c r="B6935" s="7" t="s">
        <v>17112</v>
      </c>
      <c r="C6935" s="7" t="s">
        <v>17111</v>
      </c>
      <c r="D6935" s="194">
        <v>2022.0</v>
      </c>
      <c r="E6935" s="193"/>
      <c r="F6935" s="195" t="s">
        <v>26408</v>
      </c>
      <c r="G6935" s="196">
        <v>5.3582711E7</v>
      </c>
      <c r="H6935" s="197">
        <v>13.82</v>
      </c>
      <c r="I6935" s="7" t="s">
        <v>16815</v>
      </c>
      <c r="J6935" s="7" t="s">
        <v>17112</v>
      </c>
      <c r="K6935" s="7" t="s">
        <v>17111</v>
      </c>
      <c r="L6935" s="198" t="s">
        <v>65</v>
      </c>
      <c r="M6935" s="194"/>
      <c r="N6935" s="194"/>
    </row>
    <row r="6936">
      <c r="A6936" s="193" t="s">
        <v>26407</v>
      </c>
      <c r="B6936" s="202" t="s">
        <v>17111</v>
      </c>
      <c r="C6936" s="193" t="s">
        <v>17112</v>
      </c>
      <c r="D6936" s="193">
        <v>2022.0</v>
      </c>
      <c r="E6936" s="193"/>
      <c r="F6936" s="203" t="s">
        <v>26408</v>
      </c>
      <c r="G6936" s="200">
        <v>5.3582711E7</v>
      </c>
      <c r="H6936" s="205">
        <v>0.76</v>
      </c>
      <c r="J6936" s="202" t="s">
        <v>17111</v>
      </c>
      <c r="K6936" s="193" t="s">
        <v>17112</v>
      </c>
      <c r="L6936" s="193" t="s">
        <v>17471</v>
      </c>
      <c r="M6936" s="193"/>
      <c r="N6936" s="193"/>
    </row>
    <row r="6937">
      <c r="A6937" s="193" t="s">
        <v>26409</v>
      </c>
      <c r="B6937" s="7" t="s">
        <v>175</v>
      </c>
      <c r="C6937" s="7" t="s">
        <v>18310</v>
      </c>
      <c r="D6937" s="199"/>
      <c r="E6937" s="193"/>
      <c r="F6937" s="195" t="s">
        <v>26410</v>
      </c>
      <c r="G6937" s="196">
        <v>5.3526921E7</v>
      </c>
      <c r="H6937" s="197">
        <v>8.8148</v>
      </c>
      <c r="I6937" s="7" t="s">
        <v>168</v>
      </c>
      <c r="J6937" s="7" t="s">
        <v>175</v>
      </c>
      <c r="K6937" s="7" t="s">
        <v>18310</v>
      </c>
      <c r="L6937" s="198" t="s">
        <v>65</v>
      </c>
      <c r="M6937" s="199"/>
      <c r="N6937" s="199"/>
    </row>
    <row r="6938">
      <c r="A6938" s="193" t="s">
        <v>26411</v>
      </c>
      <c r="B6938" s="7" t="s">
        <v>16582</v>
      </c>
      <c r="C6938" s="7" t="s">
        <v>16828</v>
      </c>
      <c r="D6938" s="199"/>
      <c r="E6938" s="193"/>
      <c r="F6938" s="195" t="s">
        <v>26412</v>
      </c>
      <c r="G6938" s="196">
        <v>5.3469835E7</v>
      </c>
      <c r="H6938" s="197">
        <v>1.32</v>
      </c>
      <c r="I6938" s="7" t="s">
        <v>16815</v>
      </c>
      <c r="J6938" s="7" t="s">
        <v>16582</v>
      </c>
      <c r="K6938" s="7" t="s">
        <v>16828</v>
      </c>
      <c r="L6938" s="198" t="s">
        <v>65</v>
      </c>
      <c r="M6938" s="199"/>
      <c r="N6938" s="199"/>
    </row>
    <row r="6939">
      <c r="A6939" s="193" t="s">
        <v>26413</v>
      </c>
      <c r="B6939" s="7" t="s">
        <v>169</v>
      </c>
      <c r="C6939" s="7" t="s">
        <v>16945</v>
      </c>
      <c r="D6939" s="194">
        <v>2022.0</v>
      </c>
      <c r="E6939" s="193"/>
      <c r="F6939" s="195" t="s">
        <v>26414</v>
      </c>
      <c r="G6939" s="196">
        <v>5.3461528E7</v>
      </c>
      <c r="H6939" s="197">
        <v>1.43</v>
      </c>
      <c r="I6939" s="7" t="s">
        <v>16815</v>
      </c>
      <c r="J6939" s="7" t="s">
        <v>169</v>
      </c>
      <c r="K6939" s="7" t="s">
        <v>16945</v>
      </c>
      <c r="L6939" s="198" t="s">
        <v>65</v>
      </c>
      <c r="M6939" s="194"/>
      <c r="N6939" s="194"/>
    </row>
    <row r="6940">
      <c r="A6940" s="193" t="s">
        <v>26415</v>
      </c>
      <c r="B6940" s="7" t="s">
        <v>169</v>
      </c>
      <c r="C6940" s="7" t="s">
        <v>17805</v>
      </c>
      <c r="D6940" s="199"/>
      <c r="E6940" s="193"/>
      <c r="F6940" s="195" t="s">
        <v>26416</v>
      </c>
      <c r="G6940" s="196">
        <v>5.3438865E7</v>
      </c>
      <c r="H6940" s="197">
        <v>2.69</v>
      </c>
      <c r="I6940" s="7" t="s">
        <v>16815</v>
      </c>
      <c r="J6940" s="7" t="s">
        <v>169</v>
      </c>
      <c r="K6940" s="7" t="s">
        <v>17805</v>
      </c>
      <c r="L6940" s="198" t="s">
        <v>65</v>
      </c>
      <c r="M6940" s="199"/>
      <c r="N6940" s="199"/>
    </row>
    <row r="6941">
      <c r="A6941" s="193" t="s">
        <v>26415</v>
      </c>
      <c r="B6941" s="7" t="s">
        <v>17805</v>
      </c>
      <c r="C6941" s="7" t="s">
        <v>169</v>
      </c>
      <c r="D6941" s="199"/>
      <c r="E6941" s="193"/>
      <c r="F6941" s="195" t="s">
        <v>26416</v>
      </c>
      <c r="G6941" s="200">
        <v>5.3438865E7</v>
      </c>
      <c r="H6941" s="197">
        <v>2.69</v>
      </c>
      <c r="I6941" s="7" t="s">
        <v>16815</v>
      </c>
      <c r="J6941" s="7" t="s">
        <v>17805</v>
      </c>
      <c r="K6941" s="7" t="s">
        <v>169</v>
      </c>
      <c r="L6941" s="201" t="s">
        <v>16835</v>
      </c>
      <c r="M6941" s="199"/>
      <c r="N6941" s="199"/>
    </row>
    <row r="6942">
      <c r="A6942" s="193" t="s">
        <v>26417</v>
      </c>
      <c r="B6942" s="7" t="s">
        <v>16582</v>
      </c>
      <c r="C6942" s="7" t="s">
        <v>16817</v>
      </c>
      <c r="D6942" s="194">
        <v>2022.0</v>
      </c>
      <c r="E6942" s="193"/>
      <c r="F6942" s="195" t="s">
        <v>26418</v>
      </c>
      <c r="G6942" s="196">
        <v>5.3382836E7</v>
      </c>
      <c r="H6942" s="197">
        <v>1.84</v>
      </c>
      <c r="I6942" s="7" t="s">
        <v>16815</v>
      </c>
      <c r="J6942" s="7" t="s">
        <v>16582</v>
      </c>
      <c r="K6942" s="7" t="s">
        <v>16817</v>
      </c>
      <c r="L6942" s="198" t="s">
        <v>65</v>
      </c>
      <c r="M6942" s="194"/>
      <c r="N6942" s="194"/>
    </row>
    <row r="6943">
      <c r="A6943" s="193" t="s">
        <v>26417</v>
      </c>
      <c r="B6943" s="7" t="s">
        <v>16817</v>
      </c>
      <c r="C6943" s="7" t="s">
        <v>16582</v>
      </c>
      <c r="D6943" s="194">
        <v>2022.0</v>
      </c>
      <c r="E6943" s="193"/>
      <c r="F6943" s="195" t="s">
        <v>26418</v>
      </c>
      <c r="G6943" s="200">
        <v>5.3382836E7</v>
      </c>
      <c r="H6943" s="197">
        <v>1.84</v>
      </c>
      <c r="I6943" s="7" t="s">
        <v>16815</v>
      </c>
      <c r="J6943" s="7" t="s">
        <v>16817</v>
      </c>
      <c r="K6943" s="7" t="s">
        <v>16582</v>
      </c>
      <c r="L6943" s="201" t="s">
        <v>16835</v>
      </c>
      <c r="M6943" s="194"/>
      <c r="N6943" s="194"/>
    </row>
    <row r="6944">
      <c r="A6944" s="193" t="s">
        <v>26419</v>
      </c>
      <c r="B6944" s="7" t="s">
        <v>17112</v>
      </c>
      <c r="C6944" s="7" t="s">
        <v>17111</v>
      </c>
      <c r="D6944" s="199"/>
      <c r="E6944" s="193"/>
      <c r="F6944" s="195" t="s">
        <v>6432</v>
      </c>
      <c r="G6944" s="196">
        <v>5.3128364E7</v>
      </c>
      <c r="H6944" s="197">
        <v>4.6402</v>
      </c>
      <c r="I6944" s="7" t="s">
        <v>16815</v>
      </c>
      <c r="J6944" s="7" t="s">
        <v>17112</v>
      </c>
      <c r="K6944" s="7" t="s">
        <v>17111</v>
      </c>
      <c r="L6944" s="198" t="s">
        <v>65</v>
      </c>
      <c r="M6944" s="199"/>
      <c r="N6944" s="199"/>
    </row>
    <row r="6945">
      <c r="A6945" s="193" t="s">
        <v>26420</v>
      </c>
      <c r="B6945" s="7" t="s">
        <v>16838</v>
      </c>
      <c r="C6945" s="7" t="s">
        <v>17112</v>
      </c>
      <c r="D6945" s="199"/>
      <c r="E6945" s="193"/>
      <c r="F6945" s="195" t="s">
        <v>26421</v>
      </c>
      <c r="G6945" s="196">
        <v>5.3003605E7</v>
      </c>
      <c r="H6945" s="197">
        <v>0.95</v>
      </c>
      <c r="I6945" s="7" t="s">
        <v>16815</v>
      </c>
      <c r="J6945" s="7" t="s">
        <v>16838</v>
      </c>
      <c r="K6945" s="7" t="s">
        <v>17112</v>
      </c>
      <c r="L6945" s="198" t="s">
        <v>65</v>
      </c>
      <c r="M6945" s="199"/>
      <c r="N6945" s="199"/>
    </row>
    <row r="6946">
      <c r="A6946" s="193" t="s">
        <v>26422</v>
      </c>
      <c r="B6946" s="7" t="s">
        <v>187</v>
      </c>
      <c r="C6946" s="7" t="s">
        <v>20775</v>
      </c>
      <c r="D6946" s="194">
        <v>2021.0</v>
      </c>
      <c r="E6946" s="193"/>
      <c r="F6946" s="195" t="s">
        <v>26423</v>
      </c>
      <c r="G6946" s="196">
        <v>5.2958705E7</v>
      </c>
      <c r="H6946" s="197">
        <v>1.69</v>
      </c>
      <c r="I6946" s="7" t="s">
        <v>16815</v>
      </c>
      <c r="J6946" s="7" t="s">
        <v>187</v>
      </c>
      <c r="K6946" s="7" t="s">
        <v>20775</v>
      </c>
      <c r="L6946" s="198" t="s">
        <v>65</v>
      </c>
      <c r="M6946" s="194"/>
      <c r="N6946" s="194"/>
    </row>
    <row r="6947">
      <c r="A6947" s="193" t="s">
        <v>26424</v>
      </c>
      <c r="B6947" s="7" t="s">
        <v>187</v>
      </c>
      <c r="C6947" s="7" t="s">
        <v>16851</v>
      </c>
      <c r="D6947" s="194">
        <v>2020.0</v>
      </c>
      <c r="E6947" s="193"/>
      <c r="F6947" s="195" t="s">
        <v>26425</v>
      </c>
      <c r="G6947" s="196">
        <v>5.2944092E7</v>
      </c>
      <c r="H6947" s="197">
        <v>2.55</v>
      </c>
      <c r="I6947" s="7" t="s">
        <v>16815</v>
      </c>
      <c r="J6947" s="7" t="s">
        <v>187</v>
      </c>
      <c r="K6947" s="7" t="s">
        <v>16851</v>
      </c>
      <c r="L6947" s="198" t="s">
        <v>65</v>
      </c>
      <c r="M6947" s="194"/>
      <c r="N6947" s="194"/>
    </row>
    <row r="6948">
      <c r="A6948" s="193" t="s">
        <v>26426</v>
      </c>
      <c r="B6948" s="7" t="s">
        <v>19579</v>
      </c>
      <c r="C6948" s="7" t="s">
        <v>16838</v>
      </c>
      <c r="D6948" s="194">
        <v>2013.0</v>
      </c>
      <c r="E6948" s="193"/>
      <c r="F6948" s="195" t="s">
        <v>26427</v>
      </c>
      <c r="G6948" s="200">
        <v>5.2892999E7</v>
      </c>
      <c r="H6948" s="197">
        <v>8.44</v>
      </c>
      <c r="I6948" s="193" t="s">
        <v>16815</v>
      </c>
      <c r="J6948" s="7" t="s">
        <v>19579</v>
      </c>
      <c r="K6948" s="7" t="s">
        <v>16838</v>
      </c>
      <c r="L6948" s="201" t="s">
        <v>16835</v>
      </c>
      <c r="M6948" s="194"/>
      <c r="N6948" s="194"/>
    </row>
    <row r="6949">
      <c r="A6949" s="193" t="s">
        <v>26426</v>
      </c>
      <c r="B6949" s="7" t="s">
        <v>16838</v>
      </c>
      <c r="C6949" s="7" t="s">
        <v>19579</v>
      </c>
      <c r="D6949" s="194">
        <v>2013.0</v>
      </c>
      <c r="E6949" s="193"/>
      <c r="F6949" s="195" t="s">
        <v>26427</v>
      </c>
      <c r="G6949" s="196">
        <v>5.2892999E7</v>
      </c>
      <c r="H6949" s="197">
        <v>8.44</v>
      </c>
      <c r="I6949" s="7" t="s">
        <v>16815</v>
      </c>
      <c r="J6949" s="7" t="s">
        <v>16838</v>
      </c>
      <c r="K6949" s="7" t="s">
        <v>19579</v>
      </c>
      <c r="L6949" s="198" t="s">
        <v>65</v>
      </c>
      <c r="M6949" s="194"/>
      <c r="N6949" s="194"/>
    </row>
    <row r="6950">
      <c r="A6950" s="193" t="s">
        <v>26428</v>
      </c>
      <c r="B6950" s="7" t="s">
        <v>16582</v>
      </c>
      <c r="C6950" s="7" t="s">
        <v>16583</v>
      </c>
      <c r="D6950" s="194">
        <v>2023.0</v>
      </c>
      <c r="E6950" s="193"/>
      <c r="F6950" s="195" t="s">
        <v>26429</v>
      </c>
      <c r="G6950" s="196">
        <v>5.2808589E7</v>
      </c>
      <c r="H6950" s="197">
        <v>1.0</v>
      </c>
      <c r="I6950" s="7" t="s">
        <v>16815</v>
      </c>
      <c r="J6950" s="7" t="s">
        <v>16582</v>
      </c>
      <c r="K6950" s="7" t="s">
        <v>16583</v>
      </c>
      <c r="L6950" s="198" t="s">
        <v>65</v>
      </c>
      <c r="M6950" s="194"/>
      <c r="N6950" s="194"/>
    </row>
    <row r="6951">
      <c r="A6951" s="193" t="s">
        <v>26430</v>
      </c>
      <c r="B6951" s="7" t="s">
        <v>16582</v>
      </c>
      <c r="C6951" s="7" t="s">
        <v>16813</v>
      </c>
      <c r="D6951" s="199"/>
      <c r="E6951" s="193"/>
      <c r="F6951" s="195" t="s">
        <v>26431</v>
      </c>
      <c r="G6951" s="196">
        <v>5.2750423E7</v>
      </c>
      <c r="H6951" s="197">
        <v>0.71</v>
      </c>
      <c r="I6951" s="7" t="s">
        <v>16815</v>
      </c>
      <c r="J6951" s="7" t="s">
        <v>16582</v>
      </c>
      <c r="K6951" s="7" t="s">
        <v>16813</v>
      </c>
      <c r="L6951" s="198" t="s">
        <v>65</v>
      </c>
      <c r="M6951" s="199"/>
      <c r="N6951" s="199"/>
    </row>
    <row r="6952">
      <c r="A6952" s="193" t="s">
        <v>26432</v>
      </c>
      <c r="B6952" s="7" t="s">
        <v>187</v>
      </c>
      <c r="C6952" s="7" t="s">
        <v>16858</v>
      </c>
      <c r="D6952" s="194">
        <v>2000.0</v>
      </c>
      <c r="E6952" s="193"/>
      <c r="F6952" s="195" t="s">
        <v>26433</v>
      </c>
      <c r="G6952" s="196">
        <v>5.2689788E7</v>
      </c>
      <c r="H6952" s="197">
        <v>0.2971</v>
      </c>
      <c r="I6952" s="7" t="s">
        <v>16815</v>
      </c>
      <c r="J6952" s="7" t="s">
        <v>187</v>
      </c>
      <c r="K6952" s="7" t="s">
        <v>16858</v>
      </c>
      <c r="L6952" s="198" t="s">
        <v>65</v>
      </c>
      <c r="M6952" s="194"/>
      <c r="N6952" s="194"/>
    </row>
    <row r="6953">
      <c r="A6953" s="193" t="s">
        <v>26434</v>
      </c>
      <c r="B6953" s="7" t="s">
        <v>16851</v>
      </c>
      <c r="C6953" s="7" t="s">
        <v>187</v>
      </c>
      <c r="D6953" s="194">
        <v>2020.0</v>
      </c>
      <c r="E6953" s="193"/>
      <c r="F6953" s="195" t="s">
        <v>26435</v>
      </c>
      <c r="G6953" s="200">
        <v>5.2538516E7</v>
      </c>
      <c r="H6953" s="197">
        <v>0.4127</v>
      </c>
      <c r="I6953" s="7" t="s">
        <v>16815</v>
      </c>
      <c r="J6953" s="7" t="s">
        <v>16851</v>
      </c>
      <c r="K6953" s="7" t="s">
        <v>187</v>
      </c>
      <c r="L6953" s="201" t="s">
        <v>16835</v>
      </c>
      <c r="M6953" s="194"/>
      <c r="N6953" s="194"/>
    </row>
    <row r="6954">
      <c r="A6954" s="193" t="s">
        <v>26434</v>
      </c>
      <c r="B6954" s="7" t="s">
        <v>187</v>
      </c>
      <c r="C6954" s="7" t="s">
        <v>16851</v>
      </c>
      <c r="D6954" s="194">
        <v>2020.0</v>
      </c>
      <c r="E6954" s="193"/>
      <c r="F6954" s="195" t="s">
        <v>26435</v>
      </c>
      <c r="G6954" s="196">
        <v>5.2538516E7</v>
      </c>
      <c r="H6954" s="197">
        <v>0.4127</v>
      </c>
      <c r="I6954" s="7" t="s">
        <v>16815</v>
      </c>
      <c r="J6954" s="7" t="s">
        <v>187</v>
      </c>
      <c r="K6954" s="7" t="s">
        <v>16851</v>
      </c>
      <c r="L6954" s="198" t="s">
        <v>65</v>
      </c>
      <c r="M6954" s="194"/>
      <c r="N6954" s="194"/>
    </row>
    <row r="6955">
      <c r="A6955" s="193" t="s">
        <v>26436</v>
      </c>
      <c r="B6955" s="7" t="s">
        <v>187</v>
      </c>
      <c r="C6955" s="7" t="s">
        <v>16846</v>
      </c>
      <c r="D6955" s="194">
        <v>1998.0</v>
      </c>
      <c r="E6955" s="193"/>
      <c r="F6955" s="195" t="s">
        <v>26437</v>
      </c>
      <c r="G6955" s="196">
        <v>5.242098E7</v>
      </c>
      <c r="H6955" s="197">
        <v>1.84</v>
      </c>
      <c r="I6955" s="7" t="s">
        <v>16815</v>
      </c>
      <c r="J6955" s="7" t="s">
        <v>187</v>
      </c>
      <c r="K6955" s="7" t="s">
        <v>16846</v>
      </c>
      <c r="L6955" s="198" t="s">
        <v>65</v>
      </c>
      <c r="M6955" s="194"/>
      <c r="N6955" s="194"/>
    </row>
    <row r="6956">
      <c r="A6956" s="193" t="s">
        <v>26438</v>
      </c>
      <c r="B6956" s="7" t="s">
        <v>175</v>
      </c>
      <c r="C6956" s="7" t="s">
        <v>17812</v>
      </c>
      <c r="D6956" s="199"/>
      <c r="E6956" s="193"/>
      <c r="F6956" s="195" t="s">
        <v>26439</v>
      </c>
      <c r="G6956" s="196">
        <v>5.2369595E7</v>
      </c>
      <c r="H6956" s="197">
        <v>4.04</v>
      </c>
      <c r="I6956" s="7" t="s">
        <v>168</v>
      </c>
      <c r="J6956" s="7" t="s">
        <v>175</v>
      </c>
      <c r="K6956" s="7" t="s">
        <v>17812</v>
      </c>
      <c r="L6956" s="198" t="s">
        <v>65</v>
      </c>
      <c r="M6956" s="199"/>
      <c r="N6956" s="199"/>
    </row>
    <row r="6957">
      <c r="A6957" s="193" t="s">
        <v>26440</v>
      </c>
      <c r="B6957" s="7" t="s">
        <v>187</v>
      </c>
      <c r="C6957" s="7" t="s">
        <v>16846</v>
      </c>
      <c r="D6957" s="194">
        <v>2020.0</v>
      </c>
      <c r="E6957" s="193"/>
      <c r="F6957" s="195" t="s">
        <v>26441</v>
      </c>
      <c r="G6957" s="196">
        <v>5.2354882E7</v>
      </c>
      <c r="H6957" s="197">
        <v>0.6987</v>
      </c>
      <c r="I6957" s="7" t="s">
        <v>16815</v>
      </c>
      <c r="J6957" s="7" t="s">
        <v>187</v>
      </c>
      <c r="K6957" s="7" t="s">
        <v>16846</v>
      </c>
      <c r="L6957" s="198" t="s">
        <v>65</v>
      </c>
      <c r="M6957" s="194"/>
      <c r="N6957" s="194"/>
    </row>
    <row r="6958">
      <c r="A6958" s="193" t="s">
        <v>26442</v>
      </c>
      <c r="B6958" s="7" t="s">
        <v>169</v>
      </c>
      <c r="C6958" s="7" t="s">
        <v>16851</v>
      </c>
      <c r="D6958" s="199"/>
      <c r="E6958" s="193"/>
      <c r="F6958" s="195" t="s">
        <v>26443</v>
      </c>
      <c r="G6958" s="196">
        <v>5.2302733E7</v>
      </c>
      <c r="H6958" s="197">
        <v>18.01</v>
      </c>
      <c r="I6958" s="7" t="s">
        <v>16815</v>
      </c>
      <c r="J6958" s="7" t="s">
        <v>169</v>
      </c>
      <c r="K6958" s="7" t="s">
        <v>16851</v>
      </c>
      <c r="L6958" s="198" t="s">
        <v>65</v>
      </c>
      <c r="M6958" s="199"/>
      <c r="N6958" s="199"/>
    </row>
    <row r="6959">
      <c r="A6959" s="193" t="s">
        <v>26444</v>
      </c>
      <c r="B6959" s="7" t="s">
        <v>169</v>
      </c>
      <c r="C6959" s="7" t="s">
        <v>16899</v>
      </c>
      <c r="D6959" s="194">
        <v>2019.0</v>
      </c>
      <c r="E6959" s="193"/>
      <c r="F6959" s="195" t="s">
        <v>26445</v>
      </c>
      <c r="G6959" s="196">
        <v>5.2190773E7</v>
      </c>
      <c r="H6959" s="197">
        <v>0.165</v>
      </c>
      <c r="I6959" s="7" t="s">
        <v>16815</v>
      </c>
      <c r="J6959" s="7" t="s">
        <v>169</v>
      </c>
      <c r="K6959" s="7" t="s">
        <v>16899</v>
      </c>
      <c r="L6959" s="198" t="s">
        <v>65</v>
      </c>
      <c r="M6959" s="194"/>
      <c r="N6959" s="194"/>
    </row>
    <row r="6960">
      <c r="A6960" s="193" t="s">
        <v>26446</v>
      </c>
      <c r="B6960" s="7" t="s">
        <v>187</v>
      </c>
      <c r="C6960" s="7" t="s">
        <v>16846</v>
      </c>
      <c r="D6960" s="194">
        <v>2018.0</v>
      </c>
      <c r="E6960" s="193"/>
      <c r="F6960" s="195" t="s">
        <v>26447</v>
      </c>
      <c r="G6960" s="196">
        <v>5.2142662E7</v>
      </c>
      <c r="H6960" s="197">
        <v>0.7173</v>
      </c>
      <c r="I6960" s="7" t="s">
        <v>16815</v>
      </c>
      <c r="J6960" s="7" t="s">
        <v>187</v>
      </c>
      <c r="K6960" s="7" t="s">
        <v>16846</v>
      </c>
      <c r="L6960" s="198" t="s">
        <v>65</v>
      </c>
      <c r="M6960" s="194"/>
      <c r="N6960" s="194"/>
    </row>
    <row r="6961">
      <c r="A6961" s="193" t="s">
        <v>26448</v>
      </c>
      <c r="B6961" s="7" t="s">
        <v>17112</v>
      </c>
      <c r="C6961" s="7" t="s">
        <v>17787</v>
      </c>
      <c r="D6961" s="199"/>
      <c r="E6961" s="193"/>
      <c r="F6961" s="195" t="s">
        <v>26449</v>
      </c>
      <c r="G6961" s="196">
        <v>5.2059877E7</v>
      </c>
      <c r="H6961" s="197">
        <v>23.6</v>
      </c>
      <c r="I6961" s="7" t="s">
        <v>16815</v>
      </c>
      <c r="J6961" s="7" t="s">
        <v>17112</v>
      </c>
      <c r="K6961" s="7" t="s">
        <v>17787</v>
      </c>
      <c r="L6961" s="198" t="s">
        <v>65</v>
      </c>
      <c r="M6961" s="199"/>
      <c r="N6961" s="199"/>
    </row>
    <row r="6962">
      <c r="A6962" s="193" t="s">
        <v>26450</v>
      </c>
      <c r="B6962" s="7" t="s">
        <v>17112</v>
      </c>
      <c r="C6962" s="7" t="s">
        <v>17111</v>
      </c>
      <c r="D6962" s="199"/>
      <c r="E6962" s="193"/>
      <c r="F6962" s="195" t="s">
        <v>26451</v>
      </c>
      <c r="G6962" s="196">
        <v>5.2053504E7</v>
      </c>
      <c r="H6962" s="197">
        <v>23.4601</v>
      </c>
      <c r="I6962" s="7" t="s">
        <v>16815</v>
      </c>
      <c r="J6962" s="7" t="s">
        <v>17112</v>
      </c>
      <c r="K6962" s="7" t="s">
        <v>17111</v>
      </c>
      <c r="L6962" s="198" t="s">
        <v>65</v>
      </c>
      <c r="M6962" s="199"/>
      <c r="N6962" s="199"/>
    </row>
    <row r="6963">
      <c r="A6963" s="193" t="s">
        <v>26452</v>
      </c>
      <c r="B6963" s="7" t="s">
        <v>187</v>
      </c>
      <c r="C6963" s="7" t="s">
        <v>16858</v>
      </c>
      <c r="D6963" s="194">
        <v>2013.0</v>
      </c>
      <c r="E6963" s="193"/>
      <c r="F6963" s="195" t="s">
        <v>26453</v>
      </c>
      <c r="G6963" s="196">
        <v>5.196777E7</v>
      </c>
      <c r="H6963" s="197">
        <v>1.08</v>
      </c>
      <c r="I6963" s="7" t="s">
        <v>16815</v>
      </c>
      <c r="J6963" s="7" t="s">
        <v>187</v>
      </c>
      <c r="K6963" s="7" t="s">
        <v>16858</v>
      </c>
      <c r="L6963" s="198" t="s">
        <v>65</v>
      </c>
      <c r="M6963" s="194"/>
      <c r="N6963" s="194"/>
    </row>
    <row r="6964">
      <c r="A6964" s="193" t="s">
        <v>26454</v>
      </c>
      <c r="B6964" s="7" t="s">
        <v>187</v>
      </c>
      <c r="C6964" s="7" t="s">
        <v>16846</v>
      </c>
      <c r="D6964" s="194">
        <v>2018.0</v>
      </c>
      <c r="E6964" s="193"/>
      <c r="F6964" s="195" t="s">
        <v>26455</v>
      </c>
      <c r="G6964" s="196">
        <v>5.1797426E7</v>
      </c>
      <c r="H6964" s="197">
        <v>1.2</v>
      </c>
      <c r="I6964" s="7" t="s">
        <v>16815</v>
      </c>
      <c r="J6964" s="7" t="s">
        <v>187</v>
      </c>
      <c r="K6964" s="7" t="s">
        <v>16846</v>
      </c>
      <c r="L6964" s="198" t="s">
        <v>65</v>
      </c>
      <c r="M6964" s="194"/>
      <c r="N6964" s="194"/>
    </row>
    <row r="6965">
      <c r="A6965" s="193" t="s">
        <v>26456</v>
      </c>
      <c r="B6965" s="7" t="s">
        <v>17202</v>
      </c>
      <c r="C6965" s="7" t="s">
        <v>16838</v>
      </c>
      <c r="D6965" s="194">
        <v>2019.0</v>
      </c>
      <c r="E6965" s="193"/>
      <c r="F6965" s="195" t="s">
        <v>26457</v>
      </c>
      <c r="G6965" s="200">
        <v>5.162703E7</v>
      </c>
      <c r="H6965" s="197">
        <v>15.4499</v>
      </c>
      <c r="I6965" s="7" t="s">
        <v>16815</v>
      </c>
      <c r="J6965" s="7" t="s">
        <v>17202</v>
      </c>
      <c r="K6965" s="7" t="s">
        <v>16838</v>
      </c>
      <c r="L6965" s="201" t="s">
        <v>16835</v>
      </c>
      <c r="M6965" s="194"/>
      <c r="N6965" s="194"/>
    </row>
    <row r="6966">
      <c r="A6966" s="193" t="s">
        <v>26456</v>
      </c>
      <c r="B6966" s="7" t="s">
        <v>16838</v>
      </c>
      <c r="C6966" s="7" t="s">
        <v>17202</v>
      </c>
      <c r="D6966" s="194">
        <v>2019.0</v>
      </c>
      <c r="E6966" s="193"/>
      <c r="F6966" s="195" t="s">
        <v>26457</v>
      </c>
      <c r="G6966" s="196">
        <v>5.162703E7</v>
      </c>
      <c r="H6966" s="197">
        <v>15.4499</v>
      </c>
      <c r="I6966" s="7" t="s">
        <v>16815</v>
      </c>
      <c r="J6966" s="7" t="s">
        <v>16838</v>
      </c>
      <c r="K6966" s="7" t="s">
        <v>17202</v>
      </c>
      <c r="L6966" s="198" t="s">
        <v>65</v>
      </c>
      <c r="M6966" s="194"/>
      <c r="N6966" s="194"/>
    </row>
    <row r="6967">
      <c r="A6967" s="193" t="s">
        <v>26458</v>
      </c>
      <c r="B6967" s="7" t="s">
        <v>17043</v>
      </c>
      <c r="C6967" s="7" t="s">
        <v>169</v>
      </c>
      <c r="D6967" s="194">
        <v>2023.0</v>
      </c>
      <c r="E6967" s="193"/>
      <c r="F6967" s="195" t="s">
        <v>26459</v>
      </c>
      <c r="G6967" s="200">
        <v>5.1584E7</v>
      </c>
      <c r="H6967" s="197">
        <v>2.6</v>
      </c>
      <c r="I6967" s="7" t="s">
        <v>16815</v>
      </c>
      <c r="J6967" s="7" t="s">
        <v>17043</v>
      </c>
      <c r="K6967" s="7" t="s">
        <v>169</v>
      </c>
      <c r="L6967" s="201" t="s">
        <v>16835</v>
      </c>
      <c r="M6967" s="194"/>
      <c r="N6967" s="194"/>
    </row>
    <row r="6968">
      <c r="A6968" s="193" t="s">
        <v>26458</v>
      </c>
      <c r="B6968" s="7" t="s">
        <v>169</v>
      </c>
      <c r="C6968" s="7" t="s">
        <v>17043</v>
      </c>
      <c r="D6968" s="194">
        <v>2023.0</v>
      </c>
      <c r="E6968" s="193"/>
      <c r="F6968" s="195" t="s">
        <v>26459</v>
      </c>
      <c r="G6968" s="196">
        <v>5.1584E7</v>
      </c>
      <c r="H6968" s="197">
        <v>2.6</v>
      </c>
      <c r="I6968" s="7" t="s">
        <v>16815</v>
      </c>
      <c r="J6968" s="7" t="s">
        <v>169</v>
      </c>
      <c r="K6968" s="7" t="s">
        <v>17043</v>
      </c>
      <c r="L6968" s="198" t="s">
        <v>65</v>
      </c>
      <c r="M6968" s="194"/>
      <c r="N6968" s="194"/>
    </row>
    <row r="6969">
      <c r="A6969" s="193" t="s">
        <v>26460</v>
      </c>
      <c r="B6969" s="7" t="s">
        <v>16885</v>
      </c>
      <c r="C6969" s="7" t="s">
        <v>16886</v>
      </c>
      <c r="D6969" s="199"/>
      <c r="E6969" s="193"/>
      <c r="F6969" s="195" t="s">
        <v>26461</v>
      </c>
      <c r="G6969" s="196">
        <v>5.1532156E7</v>
      </c>
      <c r="H6969" s="197">
        <v>0.4219</v>
      </c>
      <c r="I6969" s="7" t="s">
        <v>16888</v>
      </c>
      <c r="J6969" s="7" t="s">
        <v>16885</v>
      </c>
      <c r="K6969" s="7" t="s">
        <v>16886</v>
      </c>
      <c r="L6969" s="198" t="s">
        <v>65</v>
      </c>
      <c r="M6969" s="199"/>
      <c r="N6969" s="199"/>
    </row>
    <row r="6970">
      <c r="A6970" s="193" t="s">
        <v>26460</v>
      </c>
      <c r="B6970" s="202" t="s">
        <v>16886</v>
      </c>
      <c r="C6970" s="193" t="s">
        <v>16885</v>
      </c>
      <c r="D6970" s="206"/>
      <c r="E6970" s="193"/>
      <c r="F6970" s="203" t="s">
        <v>26461</v>
      </c>
      <c r="G6970" s="200">
        <v>5.1532156E7</v>
      </c>
      <c r="H6970" s="205">
        <v>13.82</v>
      </c>
      <c r="J6970" s="202" t="s">
        <v>16886</v>
      </c>
      <c r="K6970" s="193" t="s">
        <v>16885</v>
      </c>
      <c r="L6970" s="193" t="s">
        <v>17471</v>
      </c>
      <c r="M6970" s="206"/>
      <c r="N6970" s="206"/>
    </row>
    <row r="6971">
      <c r="A6971" s="193" t="s">
        <v>26462</v>
      </c>
      <c r="B6971" s="7" t="s">
        <v>16885</v>
      </c>
      <c r="C6971" s="7" t="s">
        <v>16886</v>
      </c>
      <c r="D6971" s="194">
        <v>2017.0</v>
      </c>
      <c r="E6971" s="193"/>
      <c r="F6971" s="195" t="s">
        <v>26463</v>
      </c>
      <c r="G6971" s="196">
        <v>5.1330033E7</v>
      </c>
      <c r="H6971" s="197">
        <v>0.242</v>
      </c>
      <c r="I6971" s="7" t="s">
        <v>16826</v>
      </c>
      <c r="J6971" s="7" t="s">
        <v>16885</v>
      </c>
      <c r="K6971" s="7" t="s">
        <v>16886</v>
      </c>
      <c r="L6971" s="198" t="s">
        <v>65</v>
      </c>
      <c r="M6971" s="194"/>
      <c r="N6971" s="194"/>
    </row>
    <row r="6972">
      <c r="A6972" s="193" t="s">
        <v>26462</v>
      </c>
      <c r="B6972" s="202" t="s">
        <v>16886</v>
      </c>
      <c r="C6972" s="193" t="s">
        <v>16885</v>
      </c>
      <c r="D6972" s="193">
        <v>2017.0</v>
      </c>
      <c r="E6972" s="193"/>
      <c r="F6972" s="203" t="s">
        <v>26463</v>
      </c>
      <c r="G6972" s="200">
        <v>5.1330033E7</v>
      </c>
      <c r="H6972" s="205">
        <v>0.4219</v>
      </c>
      <c r="J6972" s="202" t="s">
        <v>16886</v>
      </c>
      <c r="K6972" s="193" t="s">
        <v>16885</v>
      </c>
      <c r="L6972" s="193" t="s">
        <v>17471</v>
      </c>
      <c r="M6972" s="193"/>
      <c r="N6972" s="193"/>
    </row>
    <row r="6973">
      <c r="A6973" s="193" t="s">
        <v>26464</v>
      </c>
      <c r="B6973" s="7" t="s">
        <v>17112</v>
      </c>
      <c r="C6973" s="7" t="s">
        <v>17111</v>
      </c>
      <c r="D6973" s="199"/>
      <c r="E6973" s="193"/>
      <c r="F6973" s="195" t="s">
        <v>26465</v>
      </c>
      <c r="G6973" s="196">
        <v>5.1261977E7</v>
      </c>
      <c r="H6973" s="197">
        <v>4.6</v>
      </c>
      <c r="I6973" s="7" t="s">
        <v>16815</v>
      </c>
      <c r="J6973" s="7" t="s">
        <v>17112</v>
      </c>
      <c r="K6973" s="7" t="s">
        <v>17111</v>
      </c>
      <c r="L6973" s="198" t="s">
        <v>65</v>
      </c>
      <c r="M6973" s="199"/>
      <c r="N6973" s="199"/>
    </row>
    <row r="6974">
      <c r="A6974" s="193" t="s">
        <v>26466</v>
      </c>
      <c r="B6974" s="7" t="s">
        <v>169</v>
      </c>
      <c r="C6974" s="7" t="s">
        <v>18862</v>
      </c>
      <c r="D6974" s="199"/>
      <c r="E6974" s="193"/>
      <c r="F6974" s="195" t="s">
        <v>26467</v>
      </c>
      <c r="G6974" s="196">
        <v>5.1041961E7</v>
      </c>
      <c r="H6974" s="197">
        <v>6.33</v>
      </c>
      <c r="I6974" s="7" t="s">
        <v>16815</v>
      </c>
      <c r="J6974" s="7" t="s">
        <v>169</v>
      </c>
      <c r="K6974" s="7" t="s">
        <v>18862</v>
      </c>
      <c r="L6974" s="198" t="s">
        <v>65</v>
      </c>
      <c r="M6974" s="199"/>
      <c r="N6974" s="199"/>
    </row>
    <row r="6975">
      <c r="A6975" s="193" t="s">
        <v>26468</v>
      </c>
      <c r="B6975" s="7" t="s">
        <v>16838</v>
      </c>
      <c r="C6975" s="7" t="s">
        <v>17019</v>
      </c>
      <c r="D6975" s="199"/>
      <c r="E6975" s="193"/>
      <c r="F6975" s="195" t="s">
        <v>26469</v>
      </c>
      <c r="G6975" s="196">
        <v>5.1018425E7</v>
      </c>
      <c r="H6975" s="197">
        <v>7.05</v>
      </c>
      <c r="I6975" s="7" t="s">
        <v>16815</v>
      </c>
      <c r="J6975" s="7" t="s">
        <v>16838</v>
      </c>
      <c r="K6975" s="7" t="s">
        <v>17019</v>
      </c>
      <c r="L6975" s="198" t="s">
        <v>65</v>
      </c>
      <c r="M6975" s="199"/>
      <c r="N6975" s="199"/>
    </row>
    <row r="6976">
      <c r="A6976" s="193" t="s">
        <v>26470</v>
      </c>
      <c r="B6976" s="7" t="s">
        <v>175</v>
      </c>
      <c r="C6976" s="7" t="s">
        <v>16942</v>
      </c>
      <c r="D6976" s="194">
        <v>1972.0</v>
      </c>
      <c r="E6976" s="193"/>
      <c r="F6976" s="195" t="s">
        <v>26471</v>
      </c>
      <c r="G6976" s="196">
        <v>5.0947373E7</v>
      </c>
      <c r="H6976" s="197">
        <v>27.411</v>
      </c>
      <c r="I6976" s="7" t="s">
        <v>174</v>
      </c>
      <c r="J6976" s="7" t="s">
        <v>175</v>
      </c>
      <c r="K6976" s="7" t="s">
        <v>16942</v>
      </c>
      <c r="L6976" s="198" t="s">
        <v>65</v>
      </c>
      <c r="M6976" s="194"/>
      <c r="N6976" s="194"/>
    </row>
    <row r="6977">
      <c r="A6977" s="193" t="s">
        <v>26470</v>
      </c>
      <c r="B6977" s="202" t="s">
        <v>16942</v>
      </c>
      <c r="C6977" s="193" t="s">
        <v>175</v>
      </c>
      <c r="D6977" s="193">
        <v>1972.0</v>
      </c>
      <c r="E6977" s="193"/>
      <c r="F6977" s="203" t="s">
        <v>26471</v>
      </c>
      <c r="G6977" s="200">
        <v>5.0947373E7</v>
      </c>
      <c r="H6977" s="205">
        <v>0.242</v>
      </c>
      <c r="J6977" s="202" t="s">
        <v>16942</v>
      </c>
      <c r="K6977" s="193" t="s">
        <v>175</v>
      </c>
      <c r="L6977" s="193" t="s">
        <v>17471</v>
      </c>
      <c r="M6977" s="193"/>
      <c r="N6977" s="193"/>
    </row>
    <row r="6978">
      <c r="A6978" s="193" t="s">
        <v>26472</v>
      </c>
      <c r="B6978" s="7" t="s">
        <v>175</v>
      </c>
      <c r="C6978" s="7" t="s">
        <v>17233</v>
      </c>
      <c r="D6978" s="199"/>
      <c r="E6978" s="193"/>
      <c r="F6978" s="195" t="s">
        <v>26473</v>
      </c>
      <c r="G6978" s="196">
        <v>5.0940867E7</v>
      </c>
      <c r="H6978" s="197">
        <v>2.23</v>
      </c>
      <c r="I6978" s="7" t="s">
        <v>168</v>
      </c>
      <c r="J6978" s="7" t="s">
        <v>175</v>
      </c>
      <c r="K6978" s="7" t="s">
        <v>17233</v>
      </c>
      <c r="L6978" s="198" t="s">
        <v>65</v>
      </c>
      <c r="M6978" s="199"/>
      <c r="N6978" s="199"/>
    </row>
    <row r="6979">
      <c r="A6979" s="193" t="s">
        <v>26472</v>
      </c>
      <c r="B6979" s="7" t="s">
        <v>17233</v>
      </c>
      <c r="C6979" s="7" t="s">
        <v>175</v>
      </c>
      <c r="D6979" s="199"/>
      <c r="E6979" s="193"/>
      <c r="F6979" s="195" t="s">
        <v>26473</v>
      </c>
      <c r="G6979" s="200">
        <v>5.0940867E7</v>
      </c>
      <c r="H6979" s="197">
        <v>2.23</v>
      </c>
      <c r="I6979" s="7" t="s">
        <v>16815</v>
      </c>
      <c r="J6979" s="7" t="s">
        <v>17233</v>
      </c>
      <c r="K6979" s="7" t="s">
        <v>175</v>
      </c>
      <c r="L6979" s="201" t="s">
        <v>16835</v>
      </c>
      <c r="M6979" s="199"/>
      <c r="N6979" s="199"/>
    </row>
    <row r="6980">
      <c r="A6980" s="193" t="s">
        <v>26474</v>
      </c>
      <c r="B6980" s="7" t="s">
        <v>16910</v>
      </c>
      <c r="C6980" s="7" t="s">
        <v>17119</v>
      </c>
      <c r="D6980" s="199"/>
      <c r="E6980" s="193"/>
      <c r="F6980" s="195" t="s">
        <v>26475</v>
      </c>
      <c r="G6980" s="196">
        <v>5.0892003E7</v>
      </c>
      <c r="H6980" s="197">
        <v>2.5</v>
      </c>
      <c r="I6980" s="7" t="s">
        <v>20639</v>
      </c>
      <c r="J6980" s="7" t="s">
        <v>16910</v>
      </c>
      <c r="K6980" s="7" t="s">
        <v>17119</v>
      </c>
      <c r="L6980" s="198" t="s">
        <v>65</v>
      </c>
      <c r="M6980" s="199"/>
      <c r="N6980" s="199"/>
    </row>
    <row r="6981">
      <c r="A6981" s="193" t="s">
        <v>26476</v>
      </c>
      <c r="B6981" s="7" t="s">
        <v>175</v>
      </c>
      <c r="C6981" s="7" t="s">
        <v>16942</v>
      </c>
      <c r="D6981" s="199"/>
      <c r="E6981" s="193"/>
      <c r="F6981" s="195" t="s">
        <v>26477</v>
      </c>
      <c r="G6981" s="196">
        <v>5.0871649E7</v>
      </c>
      <c r="H6981" s="197">
        <v>3.03</v>
      </c>
      <c r="I6981" s="7" t="s">
        <v>16908</v>
      </c>
      <c r="J6981" s="7" t="s">
        <v>175</v>
      </c>
      <c r="K6981" s="7" t="s">
        <v>16942</v>
      </c>
      <c r="L6981" s="198" t="s">
        <v>65</v>
      </c>
      <c r="M6981" s="199"/>
      <c r="N6981" s="199"/>
    </row>
    <row r="6982">
      <c r="A6982" s="193" t="s">
        <v>26478</v>
      </c>
      <c r="B6982" s="7" t="s">
        <v>16838</v>
      </c>
      <c r="C6982" s="7" t="s">
        <v>17002</v>
      </c>
      <c r="D6982" s="199"/>
      <c r="E6982" s="193"/>
      <c r="F6982" s="195" t="s">
        <v>26479</v>
      </c>
      <c r="G6982" s="196">
        <v>5.0856309E7</v>
      </c>
      <c r="H6982" s="197">
        <v>2.65</v>
      </c>
      <c r="I6982" s="7" t="s">
        <v>16815</v>
      </c>
      <c r="J6982" s="7" t="s">
        <v>16838</v>
      </c>
      <c r="K6982" s="7" t="s">
        <v>17002</v>
      </c>
      <c r="L6982" s="198" t="s">
        <v>65</v>
      </c>
      <c r="M6982" s="199"/>
      <c r="N6982" s="199"/>
    </row>
    <row r="6983">
      <c r="A6983" s="193" t="s">
        <v>26478</v>
      </c>
      <c r="B6983" s="202" t="s">
        <v>17002</v>
      </c>
      <c r="C6983" s="193" t="s">
        <v>16838</v>
      </c>
      <c r="D6983" s="206"/>
      <c r="E6983" s="193"/>
      <c r="F6983" s="203" t="s">
        <v>26479</v>
      </c>
      <c r="G6983" s="200">
        <v>5.0856309E7</v>
      </c>
      <c r="H6983" s="205">
        <v>27.411</v>
      </c>
      <c r="J6983" s="202" t="s">
        <v>17002</v>
      </c>
      <c r="K6983" s="193" t="s">
        <v>16838</v>
      </c>
      <c r="L6983" s="193" t="s">
        <v>17471</v>
      </c>
      <c r="M6983" s="206"/>
      <c r="N6983" s="206"/>
    </row>
    <row r="6984">
      <c r="A6984" s="193" t="s">
        <v>26480</v>
      </c>
      <c r="B6984" s="7" t="s">
        <v>169</v>
      </c>
      <c r="C6984" s="7" t="s">
        <v>16899</v>
      </c>
      <c r="D6984" s="194">
        <v>2021.0</v>
      </c>
      <c r="E6984" s="193"/>
      <c r="F6984" s="195" t="s">
        <v>26481</v>
      </c>
      <c r="G6984" s="196">
        <v>5.0818645E7</v>
      </c>
      <c r="H6984" s="197">
        <v>0.1625</v>
      </c>
      <c r="I6984" s="7" t="s">
        <v>16815</v>
      </c>
      <c r="J6984" s="7" t="s">
        <v>169</v>
      </c>
      <c r="K6984" s="7" t="s">
        <v>16899</v>
      </c>
      <c r="L6984" s="198" t="s">
        <v>65</v>
      </c>
      <c r="M6984" s="194"/>
      <c r="N6984" s="194"/>
    </row>
    <row r="6985">
      <c r="A6985" s="193" t="s">
        <v>26480</v>
      </c>
      <c r="B6985" s="7" t="s">
        <v>16899</v>
      </c>
      <c r="C6985" s="7" t="s">
        <v>169</v>
      </c>
      <c r="D6985" s="194">
        <v>2021.0</v>
      </c>
      <c r="E6985" s="193"/>
      <c r="F6985" s="195" t="s">
        <v>26481</v>
      </c>
      <c r="G6985" s="200">
        <v>5.0818645E7</v>
      </c>
      <c r="H6985" s="197">
        <v>0.1625</v>
      </c>
      <c r="I6985" s="7" t="s">
        <v>16815</v>
      </c>
      <c r="J6985" s="7" t="s">
        <v>16899</v>
      </c>
      <c r="K6985" s="7" t="s">
        <v>169</v>
      </c>
      <c r="L6985" s="201" t="s">
        <v>16835</v>
      </c>
      <c r="M6985" s="194"/>
      <c r="N6985" s="194"/>
    </row>
    <row r="6986">
      <c r="A6986" s="193" t="s">
        <v>26482</v>
      </c>
      <c r="B6986" s="7" t="s">
        <v>187</v>
      </c>
      <c r="C6986" s="7" t="s">
        <v>16846</v>
      </c>
      <c r="D6986" s="194">
        <v>2021.0</v>
      </c>
      <c r="E6986" s="193"/>
      <c r="F6986" s="195" t="s">
        <v>26483</v>
      </c>
      <c r="G6986" s="196">
        <v>5.0765277E7</v>
      </c>
      <c r="H6986" s="197">
        <v>0.9703</v>
      </c>
      <c r="I6986" s="7" t="s">
        <v>16815</v>
      </c>
      <c r="J6986" s="7" t="s">
        <v>187</v>
      </c>
      <c r="K6986" s="7" t="s">
        <v>16846</v>
      </c>
      <c r="L6986" s="198" t="s">
        <v>65</v>
      </c>
      <c r="M6986" s="194"/>
      <c r="N6986" s="194"/>
    </row>
    <row r="6987">
      <c r="A6987" s="193" t="s">
        <v>26484</v>
      </c>
      <c r="B6987" s="7" t="s">
        <v>16838</v>
      </c>
      <c r="C6987" s="7" t="s">
        <v>17016</v>
      </c>
      <c r="D6987" s="194">
        <v>2015.0</v>
      </c>
      <c r="E6987" s="193"/>
      <c r="F6987" s="195" t="s">
        <v>26485</v>
      </c>
      <c r="G6987" s="196">
        <v>5.0726546E7</v>
      </c>
      <c r="H6987" s="197">
        <v>1.09</v>
      </c>
      <c r="I6987" s="7" t="s">
        <v>16815</v>
      </c>
      <c r="J6987" s="7" t="s">
        <v>16838</v>
      </c>
      <c r="K6987" s="7" t="s">
        <v>17016</v>
      </c>
      <c r="L6987" s="198" t="s">
        <v>65</v>
      </c>
      <c r="M6987" s="194"/>
      <c r="N6987" s="194"/>
    </row>
    <row r="6988">
      <c r="A6988" s="193" t="s">
        <v>26486</v>
      </c>
      <c r="B6988" s="7" t="s">
        <v>187</v>
      </c>
      <c r="C6988" s="7" t="s">
        <v>17122</v>
      </c>
      <c r="D6988" s="194">
        <v>2021.0</v>
      </c>
      <c r="E6988" s="193"/>
      <c r="F6988" s="195" t="s">
        <v>26487</v>
      </c>
      <c r="G6988" s="196">
        <v>5.0721815E7</v>
      </c>
      <c r="H6988" s="197">
        <v>1.16</v>
      </c>
      <c r="I6988" s="7" t="s">
        <v>16815</v>
      </c>
      <c r="J6988" s="7" t="s">
        <v>187</v>
      </c>
      <c r="K6988" s="7" t="s">
        <v>17122</v>
      </c>
      <c r="L6988" s="198" t="s">
        <v>65</v>
      </c>
      <c r="M6988" s="194"/>
      <c r="N6988" s="194"/>
    </row>
    <row r="6989">
      <c r="A6989" s="193" t="s">
        <v>26488</v>
      </c>
      <c r="B6989" s="7" t="s">
        <v>187</v>
      </c>
      <c r="C6989" s="7" t="s">
        <v>16846</v>
      </c>
      <c r="D6989" s="194">
        <v>2020.0</v>
      </c>
      <c r="E6989" s="193"/>
      <c r="F6989" s="195" t="s">
        <v>26489</v>
      </c>
      <c r="G6989" s="196">
        <v>5.0682908E7</v>
      </c>
      <c r="H6989" s="197">
        <v>0.49</v>
      </c>
      <c r="I6989" s="7" t="s">
        <v>16815</v>
      </c>
      <c r="J6989" s="7" t="s">
        <v>187</v>
      </c>
      <c r="K6989" s="7" t="s">
        <v>16846</v>
      </c>
      <c r="L6989" s="198" t="s">
        <v>65</v>
      </c>
      <c r="M6989" s="194"/>
      <c r="N6989" s="194"/>
    </row>
    <row r="6990">
      <c r="A6990" s="193" t="s">
        <v>26490</v>
      </c>
      <c r="B6990" s="7" t="s">
        <v>16838</v>
      </c>
      <c r="C6990" s="7" t="s">
        <v>18679</v>
      </c>
      <c r="D6990" s="194">
        <v>2014.0</v>
      </c>
      <c r="E6990" s="193"/>
      <c r="F6990" s="195" t="s">
        <v>26491</v>
      </c>
      <c r="G6990" s="196">
        <v>5.0674315E7</v>
      </c>
      <c r="H6990" s="197">
        <v>3.5208</v>
      </c>
      <c r="I6990" s="7" t="s">
        <v>16815</v>
      </c>
      <c r="J6990" s="7" t="s">
        <v>16838</v>
      </c>
      <c r="K6990" s="7" t="s">
        <v>18679</v>
      </c>
      <c r="L6990" s="198" t="s">
        <v>65</v>
      </c>
      <c r="M6990" s="194"/>
      <c r="N6990" s="194"/>
    </row>
    <row r="6991">
      <c r="A6991" s="193" t="s">
        <v>26492</v>
      </c>
      <c r="B6991" s="7" t="s">
        <v>187</v>
      </c>
      <c r="C6991" s="7" t="s">
        <v>16846</v>
      </c>
      <c r="D6991" s="194">
        <v>2022.0</v>
      </c>
      <c r="E6991" s="193"/>
      <c r="F6991" s="195" t="s">
        <v>26493</v>
      </c>
      <c r="G6991" s="196">
        <v>5.0653702E7</v>
      </c>
      <c r="H6991" s="197">
        <v>5.05</v>
      </c>
      <c r="I6991" s="7" t="s">
        <v>16815</v>
      </c>
      <c r="J6991" s="7" t="s">
        <v>187</v>
      </c>
      <c r="K6991" s="7" t="s">
        <v>16846</v>
      </c>
      <c r="L6991" s="198" t="s">
        <v>65</v>
      </c>
      <c r="M6991" s="194"/>
      <c r="N6991" s="194"/>
    </row>
    <row r="6992">
      <c r="A6992" s="193" t="s">
        <v>26494</v>
      </c>
      <c r="B6992" s="7" t="s">
        <v>16582</v>
      </c>
      <c r="C6992" s="7" t="s">
        <v>16817</v>
      </c>
      <c r="D6992" s="194">
        <v>2022.0</v>
      </c>
      <c r="E6992" s="193"/>
      <c r="F6992" s="195" t="s">
        <v>26495</v>
      </c>
      <c r="G6992" s="196">
        <v>5.0576621E7</v>
      </c>
      <c r="H6992" s="197">
        <v>1.38</v>
      </c>
      <c r="I6992" s="7" t="s">
        <v>16815</v>
      </c>
      <c r="J6992" s="7" t="s">
        <v>16582</v>
      </c>
      <c r="K6992" s="7" t="s">
        <v>16817</v>
      </c>
      <c r="L6992" s="198" t="s">
        <v>65</v>
      </c>
      <c r="M6992" s="194"/>
      <c r="N6992" s="194"/>
    </row>
    <row r="6993">
      <c r="A6993" s="193" t="s">
        <v>26496</v>
      </c>
      <c r="B6993" s="7" t="s">
        <v>169</v>
      </c>
      <c r="C6993" s="7" t="s">
        <v>17827</v>
      </c>
      <c r="D6993" s="194">
        <v>2018.0</v>
      </c>
      <c r="E6993" s="193"/>
      <c r="F6993" s="195" t="s">
        <v>26497</v>
      </c>
      <c r="G6993" s="196">
        <v>5.0492438E7</v>
      </c>
      <c r="H6993" s="197">
        <v>1.3</v>
      </c>
      <c r="I6993" s="7" t="s">
        <v>16815</v>
      </c>
      <c r="J6993" s="7" t="s">
        <v>169</v>
      </c>
      <c r="K6993" s="7" t="s">
        <v>17827</v>
      </c>
      <c r="L6993" s="198" t="s">
        <v>65</v>
      </c>
      <c r="M6993" s="194"/>
      <c r="N6993" s="194"/>
    </row>
    <row r="6994">
      <c r="A6994" s="193" t="s">
        <v>26498</v>
      </c>
      <c r="B6994" s="7" t="s">
        <v>175</v>
      </c>
      <c r="C6994" s="7" t="s">
        <v>17452</v>
      </c>
      <c r="D6994" s="194">
        <v>2019.0</v>
      </c>
      <c r="E6994" s="193"/>
      <c r="F6994" s="195" t="s">
        <v>26499</v>
      </c>
      <c r="G6994" s="196">
        <v>5.040817E7</v>
      </c>
      <c r="H6994" s="197">
        <v>12.4</v>
      </c>
      <c r="I6994" s="7" t="s">
        <v>168</v>
      </c>
      <c r="J6994" s="7" t="s">
        <v>175</v>
      </c>
      <c r="K6994" s="7" t="s">
        <v>17452</v>
      </c>
      <c r="L6994" s="198" t="s">
        <v>65</v>
      </c>
      <c r="M6994" s="194"/>
      <c r="N6994" s="194"/>
    </row>
    <row r="6995">
      <c r="A6995" s="193" t="s">
        <v>26500</v>
      </c>
      <c r="B6995" s="7" t="s">
        <v>16582</v>
      </c>
      <c r="C6995" s="7" t="s">
        <v>16817</v>
      </c>
      <c r="D6995" s="194">
        <v>2020.0</v>
      </c>
      <c r="E6995" s="193"/>
      <c r="F6995" s="195" t="s">
        <v>26501</v>
      </c>
      <c r="G6995" s="196">
        <v>5.0308006E7</v>
      </c>
      <c r="H6995" s="197">
        <v>0.5802</v>
      </c>
      <c r="I6995" s="7" t="s">
        <v>16815</v>
      </c>
      <c r="J6995" s="7" t="s">
        <v>16582</v>
      </c>
      <c r="K6995" s="7" t="s">
        <v>16817</v>
      </c>
      <c r="L6995" s="198" t="s">
        <v>65</v>
      </c>
      <c r="M6995" s="194"/>
      <c r="N6995" s="194"/>
    </row>
    <row r="6996">
      <c r="A6996" s="193" t="s">
        <v>26502</v>
      </c>
      <c r="B6996" s="7" t="s">
        <v>187</v>
      </c>
      <c r="C6996" s="7" t="s">
        <v>16846</v>
      </c>
      <c r="D6996" s="194">
        <v>2021.0</v>
      </c>
      <c r="E6996" s="193"/>
      <c r="F6996" s="195" t="s">
        <v>26503</v>
      </c>
      <c r="G6996" s="196">
        <v>5.0301002E7</v>
      </c>
      <c r="H6996" s="197">
        <v>1.4001</v>
      </c>
      <c r="I6996" s="7" t="s">
        <v>16815</v>
      </c>
      <c r="J6996" s="7" t="s">
        <v>187</v>
      </c>
      <c r="K6996" s="7" t="s">
        <v>16846</v>
      </c>
      <c r="L6996" s="198" t="s">
        <v>65</v>
      </c>
      <c r="M6996" s="194"/>
      <c r="N6996" s="194"/>
    </row>
    <row r="6997">
      <c r="A6997" s="193" t="s">
        <v>26504</v>
      </c>
      <c r="B6997" s="7" t="s">
        <v>16838</v>
      </c>
      <c r="C6997" s="7" t="s">
        <v>17127</v>
      </c>
      <c r="D6997" s="194">
        <v>2017.0</v>
      </c>
      <c r="E6997" s="193"/>
      <c r="F6997" s="195" t="s">
        <v>26505</v>
      </c>
      <c r="G6997" s="196">
        <v>5.0287408E7</v>
      </c>
      <c r="H6997" s="197">
        <v>16.0</v>
      </c>
      <c r="I6997" s="7" t="s">
        <v>16815</v>
      </c>
      <c r="J6997" s="7" t="s">
        <v>16838</v>
      </c>
      <c r="K6997" s="7" t="s">
        <v>17127</v>
      </c>
      <c r="L6997" s="198" t="s">
        <v>65</v>
      </c>
      <c r="M6997" s="194"/>
      <c r="N6997" s="194"/>
    </row>
    <row r="6998">
      <c r="A6998" s="193" t="s">
        <v>26506</v>
      </c>
      <c r="B6998" s="7" t="s">
        <v>16838</v>
      </c>
      <c r="C6998" s="7" t="s">
        <v>16867</v>
      </c>
      <c r="D6998" s="199"/>
      <c r="E6998" s="193"/>
      <c r="F6998" s="195" t="s">
        <v>26507</v>
      </c>
      <c r="G6998" s="196">
        <v>5.0229378E7</v>
      </c>
      <c r="H6998" s="197">
        <v>8.55</v>
      </c>
      <c r="I6998" s="7" t="s">
        <v>16815</v>
      </c>
      <c r="J6998" s="7" t="s">
        <v>16838</v>
      </c>
      <c r="K6998" s="7" t="s">
        <v>16867</v>
      </c>
      <c r="L6998" s="198" t="s">
        <v>65</v>
      </c>
      <c r="M6998" s="199"/>
      <c r="N6998" s="199"/>
    </row>
    <row r="6999">
      <c r="A6999" s="193" t="s">
        <v>26508</v>
      </c>
      <c r="B6999" s="7" t="s">
        <v>16919</v>
      </c>
      <c r="C6999" s="7" t="s">
        <v>16957</v>
      </c>
      <c r="D6999" s="199"/>
      <c r="E6999" s="193"/>
      <c r="F6999" s="195" t="s">
        <v>26509</v>
      </c>
      <c r="G6999" s="196">
        <v>5.0167243E7</v>
      </c>
      <c r="H6999" s="197">
        <v>1.61</v>
      </c>
      <c r="I6999" s="7" t="s">
        <v>16815</v>
      </c>
      <c r="J6999" s="7" t="s">
        <v>16919</v>
      </c>
      <c r="K6999" s="7" t="s">
        <v>16957</v>
      </c>
      <c r="L6999" s="198" t="s">
        <v>65</v>
      </c>
      <c r="M6999" s="199"/>
      <c r="N6999" s="199"/>
    </row>
    <row r="7000">
      <c r="A7000" s="193" t="s">
        <v>26510</v>
      </c>
      <c r="B7000" s="7" t="s">
        <v>17629</v>
      </c>
      <c r="C7000" s="7" t="s">
        <v>18718</v>
      </c>
      <c r="D7000" s="199"/>
      <c r="E7000" s="193"/>
      <c r="F7000" s="195" t="s">
        <v>26511</v>
      </c>
      <c r="G7000" s="196">
        <v>5.0096927E7</v>
      </c>
      <c r="H7000" s="197">
        <v>2.12</v>
      </c>
      <c r="I7000" s="7" t="s">
        <v>16815</v>
      </c>
      <c r="J7000" s="7" t="s">
        <v>17629</v>
      </c>
      <c r="K7000" s="7" t="s">
        <v>18718</v>
      </c>
      <c r="L7000" s="198" t="s">
        <v>65</v>
      </c>
      <c r="M7000" s="199"/>
      <c r="N7000" s="199"/>
    </row>
    <row r="7001">
      <c r="A7001" s="193" t="s">
        <v>26510</v>
      </c>
      <c r="B7001" s="202" t="s">
        <v>18718</v>
      </c>
      <c r="C7001" s="193" t="s">
        <v>17629</v>
      </c>
      <c r="D7001" s="206"/>
      <c r="E7001" s="193"/>
      <c r="F7001" s="203" t="s">
        <v>26511</v>
      </c>
      <c r="G7001" s="200">
        <v>5.0096927E7</v>
      </c>
      <c r="H7001" s="205">
        <v>2.65</v>
      </c>
      <c r="J7001" s="202" t="s">
        <v>18718</v>
      </c>
      <c r="K7001" s="193" t="s">
        <v>17629</v>
      </c>
      <c r="L7001" s="193" t="s">
        <v>17471</v>
      </c>
      <c r="M7001" s="206"/>
      <c r="N7001" s="206"/>
    </row>
    <row r="7002">
      <c r="A7002" s="193" t="s">
        <v>26512</v>
      </c>
      <c r="B7002" s="7" t="s">
        <v>187</v>
      </c>
      <c r="C7002" s="7" t="s">
        <v>17509</v>
      </c>
      <c r="D7002" s="194">
        <v>2000.0</v>
      </c>
      <c r="E7002" s="193"/>
      <c r="F7002" s="195" t="s">
        <v>26513</v>
      </c>
      <c r="G7002" s="196">
        <v>5.0082513E7</v>
      </c>
      <c r="H7002" s="197">
        <v>4.3</v>
      </c>
      <c r="I7002" s="7" t="s">
        <v>16815</v>
      </c>
      <c r="J7002" s="7" t="s">
        <v>187</v>
      </c>
      <c r="K7002" s="7" t="s">
        <v>17509</v>
      </c>
      <c r="L7002" s="198" t="s">
        <v>65</v>
      </c>
      <c r="M7002" s="194"/>
      <c r="N7002" s="194"/>
    </row>
    <row r="7003">
      <c r="A7003" s="193" t="s">
        <v>26512</v>
      </c>
      <c r="B7003" s="202" t="s">
        <v>17509</v>
      </c>
      <c r="C7003" s="193" t="s">
        <v>187</v>
      </c>
      <c r="D7003" s="193">
        <v>2000.0</v>
      </c>
      <c r="E7003" s="193"/>
      <c r="F7003" s="203" t="s">
        <v>26513</v>
      </c>
      <c r="G7003" s="200">
        <v>5.0082513E7</v>
      </c>
      <c r="H7003" s="205">
        <v>2.12</v>
      </c>
      <c r="J7003" s="202" t="s">
        <v>17509</v>
      </c>
      <c r="K7003" s="193" t="s">
        <v>187</v>
      </c>
      <c r="L7003" s="193" t="s">
        <v>17471</v>
      </c>
      <c r="M7003" s="193"/>
      <c r="N7003" s="193"/>
    </row>
    <row r="7004">
      <c r="A7004" s="193" t="s">
        <v>26514</v>
      </c>
      <c r="B7004" s="7" t="s">
        <v>187</v>
      </c>
      <c r="C7004" s="7" t="s">
        <v>16846</v>
      </c>
      <c r="D7004" s="194">
        <v>2021.0</v>
      </c>
      <c r="E7004" s="193"/>
      <c r="F7004" s="195" t="s">
        <v>26515</v>
      </c>
      <c r="G7004" s="196">
        <v>5.0069743E7</v>
      </c>
      <c r="H7004" s="197">
        <v>3.85</v>
      </c>
      <c r="I7004" s="7" t="s">
        <v>16815</v>
      </c>
      <c r="J7004" s="7" t="s">
        <v>187</v>
      </c>
      <c r="K7004" s="7" t="s">
        <v>16846</v>
      </c>
      <c r="L7004" s="198" t="s">
        <v>65</v>
      </c>
      <c r="M7004" s="194"/>
      <c r="N7004" s="194"/>
    </row>
    <row r="7005">
      <c r="A7005" s="193" t="s">
        <v>26516</v>
      </c>
      <c r="B7005" s="7" t="s">
        <v>187</v>
      </c>
      <c r="C7005" s="7" t="s">
        <v>16851</v>
      </c>
      <c r="D7005" s="194">
        <v>2019.0</v>
      </c>
      <c r="E7005" s="193"/>
      <c r="F7005" s="195" t="s">
        <v>26517</v>
      </c>
      <c r="G7005" s="196">
        <v>5.0012024E7</v>
      </c>
      <c r="H7005" s="197">
        <v>1.02</v>
      </c>
      <c r="I7005" s="7" t="s">
        <v>16815</v>
      </c>
      <c r="J7005" s="7" t="s">
        <v>187</v>
      </c>
      <c r="K7005" s="7" t="s">
        <v>16851</v>
      </c>
      <c r="L7005" s="198" t="s">
        <v>65</v>
      </c>
      <c r="M7005" s="194"/>
      <c r="N7005" s="194"/>
    </row>
    <row r="7006">
      <c r="A7006" s="193" t="s">
        <v>26518</v>
      </c>
      <c r="B7006" s="7" t="s">
        <v>187</v>
      </c>
      <c r="C7006" s="7" t="s">
        <v>16858</v>
      </c>
      <c r="D7006" s="194">
        <v>2000.0</v>
      </c>
      <c r="E7006" s="193"/>
      <c r="F7006" s="195" t="s">
        <v>26519</v>
      </c>
      <c r="G7006" s="196">
        <v>4.997974E7</v>
      </c>
      <c r="H7006" s="197">
        <v>0.577</v>
      </c>
      <c r="I7006" s="7" t="s">
        <v>16815</v>
      </c>
      <c r="J7006" s="7" t="s">
        <v>187</v>
      </c>
      <c r="K7006" s="7" t="s">
        <v>16858</v>
      </c>
      <c r="L7006" s="198" t="s">
        <v>65</v>
      </c>
      <c r="M7006" s="194"/>
      <c r="N7006" s="194"/>
    </row>
    <row r="7007">
      <c r="A7007" s="193" t="s">
        <v>26520</v>
      </c>
      <c r="B7007" s="7" t="s">
        <v>16926</v>
      </c>
      <c r="C7007" s="7" t="s">
        <v>16957</v>
      </c>
      <c r="D7007" s="199"/>
      <c r="E7007" s="193"/>
      <c r="F7007" s="195" t="s">
        <v>26521</v>
      </c>
      <c r="G7007" s="196">
        <v>4.9873544E7</v>
      </c>
      <c r="H7007" s="197">
        <v>1.92</v>
      </c>
      <c r="I7007" s="7" t="s">
        <v>16815</v>
      </c>
      <c r="J7007" s="7" t="s">
        <v>16926</v>
      </c>
      <c r="K7007" s="7" t="s">
        <v>16957</v>
      </c>
      <c r="L7007" s="198" t="s">
        <v>65</v>
      </c>
      <c r="M7007" s="199"/>
      <c r="N7007" s="199"/>
    </row>
    <row r="7008">
      <c r="A7008" s="193" t="s">
        <v>26522</v>
      </c>
      <c r="D7008" s="199"/>
      <c r="E7008" s="193"/>
      <c r="F7008" s="195" t="s">
        <v>26523</v>
      </c>
      <c r="G7008" s="196">
        <v>4.9856829E7</v>
      </c>
      <c r="H7008" s="197">
        <v>0.7249</v>
      </c>
      <c r="I7008" s="7" t="s">
        <v>16815</v>
      </c>
      <c r="L7008" s="198" t="s">
        <v>65</v>
      </c>
      <c r="M7008" s="199"/>
      <c r="N7008" s="199"/>
    </row>
    <row r="7009">
      <c r="A7009" s="193" t="s">
        <v>26522</v>
      </c>
      <c r="B7009" s="208"/>
      <c r="C7009" s="206"/>
      <c r="D7009" s="206"/>
      <c r="E7009" s="193"/>
      <c r="F7009" s="203" t="s">
        <v>26523</v>
      </c>
      <c r="G7009" s="200">
        <v>4.9856829E7</v>
      </c>
      <c r="H7009" s="205">
        <v>4.3</v>
      </c>
      <c r="J7009" s="208"/>
      <c r="K7009" s="206"/>
      <c r="L7009" s="193" t="s">
        <v>17471</v>
      </c>
      <c r="M7009" s="206"/>
      <c r="N7009" s="206"/>
    </row>
    <row r="7010">
      <c r="A7010" s="193" t="s">
        <v>26524</v>
      </c>
      <c r="B7010" s="7" t="s">
        <v>175</v>
      </c>
      <c r="C7010" s="7" t="s">
        <v>17391</v>
      </c>
      <c r="D7010" s="199"/>
      <c r="E7010" s="193"/>
      <c r="F7010" s="195" t="s">
        <v>26525</v>
      </c>
      <c r="G7010" s="196">
        <v>4.9755038E7</v>
      </c>
      <c r="H7010" s="197">
        <v>6.9</v>
      </c>
      <c r="I7010" s="7" t="s">
        <v>16892</v>
      </c>
      <c r="J7010" s="7" t="s">
        <v>175</v>
      </c>
      <c r="K7010" s="7" t="s">
        <v>17391</v>
      </c>
      <c r="L7010" s="198" t="s">
        <v>65</v>
      </c>
      <c r="M7010" s="199"/>
      <c r="N7010" s="199"/>
    </row>
    <row r="7011">
      <c r="A7011" s="193" t="s">
        <v>26526</v>
      </c>
      <c r="B7011" s="7" t="s">
        <v>16582</v>
      </c>
      <c r="C7011" s="7" t="s">
        <v>16930</v>
      </c>
      <c r="D7011" s="199"/>
      <c r="E7011" s="193"/>
      <c r="F7011" s="195" t="s">
        <v>26527</v>
      </c>
      <c r="G7011" s="196">
        <v>4.9576509E7</v>
      </c>
      <c r="H7011" s="197">
        <v>4.17</v>
      </c>
      <c r="I7011" s="7" t="s">
        <v>16815</v>
      </c>
      <c r="J7011" s="7" t="s">
        <v>16582</v>
      </c>
      <c r="K7011" s="7" t="s">
        <v>16930</v>
      </c>
      <c r="L7011" s="198" t="s">
        <v>65</v>
      </c>
      <c r="M7011" s="199"/>
      <c r="N7011" s="199"/>
    </row>
    <row r="7012">
      <c r="A7012" s="193" t="s">
        <v>26528</v>
      </c>
      <c r="B7012" s="7" t="s">
        <v>16582</v>
      </c>
      <c r="C7012" s="7" t="s">
        <v>16828</v>
      </c>
      <c r="D7012" s="194">
        <v>1996.0</v>
      </c>
      <c r="E7012" s="193"/>
      <c r="F7012" s="195" t="s">
        <v>26529</v>
      </c>
      <c r="G7012" s="196">
        <v>4.9441178E7</v>
      </c>
      <c r="H7012" s="197">
        <v>1.32</v>
      </c>
      <c r="I7012" s="7" t="s">
        <v>16815</v>
      </c>
      <c r="J7012" s="7" t="s">
        <v>16582</v>
      </c>
      <c r="K7012" s="7" t="s">
        <v>16828</v>
      </c>
      <c r="L7012" s="198" t="s">
        <v>65</v>
      </c>
      <c r="M7012" s="194"/>
      <c r="N7012" s="194"/>
    </row>
    <row r="7013">
      <c r="A7013" s="193" t="s">
        <v>26530</v>
      </c>
      <c r="B7013" s="7" t="s">
        <v>187</v>
      </c>
      <c r="C7013" s="7" t="s">
        <v>16846</v>
      </c>
      <c r="D7013" s="194">
        <v>2021.0</v>
      </c>
      <c r="E7013" s="193"/>
      <c r="F7013" s="195" t="s">
        <v>26531</v>
      </c>
      <c r="G7013" s="196">
        <v>4.9240243E7</v>
      </c>
      <c r="H7013" s="197">
        <v>5.87</v>
      </c>
      <c r="I7013" s="7" t="s">
        <v>16815</v>
      </c>
      <c r="J7013" s="7" t="s">
        <v>187</v>
      </c>
      <c r="K7013" s="7" t="s">
        <v>16846</v>
      </c>
      <c r="L7013" s="198" t="s">
        <v>65</v>
      </c>
      <c r="M7013" s="194"/>
      <c r="N7013" s="194"/>
    </row>
    <row r="7014">
      <c r="A7014" s="193" t="s">
        <v>26532</v>
      </c>
      <c r="B7014" s="7" t="s">
        <v>16582</v>
      </c>
      <c r="C7014" s="7" t="s">
        <v>16817</v>
      </c>
      <c r="D7014" s="199"/>
      <c r="E7014" s="193"/>
      <c r="F7014" s="195" t="s">
        <v>26533</v>
      </c>
      <c r="G7014" s="196">
        <v>4.9218513E7</v>
      </c>
      <c r="H7014" s="197">
        <v>6.25</v>
      </c>
      <c r="I7014" s="7" t="s">
        <v>16815</v>
      </c>
      <c r="J7014" s="7" t="s">
        <v>16582</v>
      </c>
      <c r="K7014" s="7" t="s">
        <v>16817</v>
      </c>
      <c r="L7014" s="198" t="s">
        <v>65</v>
      </c>
      <c r="M7014" s="199"/>
      <c r="N7014" s="199"/>
    </row>
    <row r="7015">
      <c r="A7015" s="193" t="s">
        <v>26534</v>
      </c>
      <c r="B7015" s="7" t="s">
        <v>17112</v>
      </c>
      <c r="C7015" s="7" t="s">
        <v>17111</v>
      </c>
      <c r="D7015" s="194">
        <v>1987.0</v>
      </c>
      <c r="E7015" s="193"/>
      <c r="F7015" s="195" t="s">
        <v>26535</v>
      </c>
      <c r="G7015" s="196">
        <v>4.8978865E7</v>
      </c>
      <c r="H7015" s="197">
        <v>11.75</v>
      </c>
      <c r="I7015" s="7" t="s">
        <v>16815</v>
      </c>
      <c r="J7015" s="7" t="s">
        <v>17112</v>
      </c>
      <c r="K7015" s="7" t="s">
        <v>17111</v>
      </c>
      <c r="L7015" s="198" t="s">
        <v>65</v>
      </c>
      <c r="M7015" s="194"/>
      <c r="N7015" s="194"/>
    </row>
    <row r="7016">
      <c r="A7016" s="193" t="s">
        <v>26534</v>
      </c>
      <c r="B7016" s="202" t="s">
        <v>17111</v>
      </c>
      <c r="C7016" s="193" t="s">
        <v>17112</v>
      </c>
      <c r="D7016" s="193">
        <v>1987.0</v>
      </c>
      <c r="E7016" s="193"/>
      <c r="F7016" s="203" t="s">
        <v>26535</v>
      </c>
      <c r="G7016" s="200">
        <v>4.8978865E7</v>
      </c>
      <c r="H7016" s="205">
        <v>0.7249</v>
      </c>
      <c r="J7016" s="202" t="s">
        <v>17111</v>
      </c>
      <c r="K7016" s="193" t="s">
        <v>17112</v>
      </c>
      <c r="L7016" s="193" t="s">
        <v>17471</v>
      </c>
      <c r="M7016" s="193"/>
      <c r="N7016" s="193"/>
    </row>
    <row r="7017">
      <c r="A7017" s="193" t="s">
        <v>26536</v>
      </c>
      <c r="B7017" s="7" t="s">
        <v>169</v>
      </c>
      <c r="C7017" s="7" t="s">
        <v>20534</v>
      </c>
      <c r="D7017" s="199"/>
      <c r="E7017" s="193"/>
      <c r="F7017" s="195" t="s">
        <v>26537</v>
      </c>
      <c r="G7017" s="196">
        <v>4.8964965E7</v>
      </c>
      <c r="H7017" s="197">
        <v>0.88</v>
      </c>
      <c r="I7017" s="7" t="s">
        <v>16815</v>
      </c>
      <c r="J7017" s="7" t="s">
        <v>169</v>
      </c>
      <c r="K7017" s="7" t="s">
        <v>20534</v>
      </c>
      <c r="L7017" s="198" t="s">
        <v>65</v>
      </c>
      <c r="M7017" s="199"/>
      <c r="N7017" s="199"/>
    </row>
    <row r="7018">
      <c r="A7018" s="193" t="s">
        <v>26538</v>
      </c>
      <c r="B7018" s="7" t="s">
        <v>16838</v>
      </c>
      <c r="C7018" s="7" t="s">
        <v>17202</v>
      </c>
      <c r="D7018" s="199"/>
      <c r="E7018" s="193"/>
      <c r="F7018" s="195" t="s">
        <v>26539</v>
      </c>
      <c r="G7018" s="196">
        <v>4.8958092E7</v>
      </c>
      <c r="H7018" s="197">
        <v>6.46</v>
      </c>
      <c r="I7018" s="7" t="s">
        <v>16815</v>
      </c>
      <c r="J7018" s="7" t="s">
        <v>16838</v>
      </c>
      <c r="K7018" s="7" t="s">
        <v>17202</v>
      </c>
      <c r="L7018" s="198" t="s">
        <v>65</v>
      </c>
      <c r="M7018" s="199"/>
      <c r="N7018" s="199"/>
    </row>
    <row r="7019">
      <c r="A7019" s="193" t="s">
        <v>26540</v>
      </c>
      <c r="B7019" s="7" t="s">
        <v>187</v>
      </c>
      <c r="C7019" s="7" t="s">
        <v>16846</v>
      </c>
      <c r="D7019" s="194">
        <v>2010.0</v>
      </c>
      <c r="E7019" s="193"/>
      <c r="F7019" s="195" t="s">
        <v>26541</v>
      </c>
      <c r="G7019" s="196">
        <v>4.8953288E7</v>
      </c>
      <c r="H7019" s="197">
        <v>0.745</v>
      </c>
      <c r="I7019" s="7" t="s">
        <v>16815</v>
      </c>
      <c r="J7019" s="7" t="s">
        <v>187</v>
      </c>
      <c r="K7019" s="7" t="s">
        <v>16846</v>
      </c>
      <c r="L7019" s="198" t="s">
        <v>65</v>
      </c>
      <c r="M7019" s="194"/>
      <c r="N7019" s="194"/>
    </row>
    <row r="7020">
      <c r="A7020" s="193" t="s">
        <v>26542</v>
      </c>
      <c r="B7020" s="7" t="s">
        <v>175</v>
      </c>
      <c r="C7020" s="7" t="s">
        <v>16824</v>
      </c>
      <c r="D7020" s="194">
        <v>2022.0</v>
      </c>
      <c r="E7020" s="193"/>
      <c r="F7020" s="195" t="s">
        <v>26543</v>
      </c>
      <c r="G7020" s="196">
        <v>4.8923733E7</v>
      </c>
      <c r="H7020" s="197">
        <v>1.395</v>
      </c>
      <c r="I7020" s="7" t="s">
        <v>16892</v>
      </c>
      <c r="J7020" s="7" t="s">
        <v>175</v>
      </c>
      <c r="K7020" s="7" t="s">
        <v>16824</v>
      </c>
      <c r="L7020" s="198" t="s">
        <v>65</v>
      </c>
      <c r="M7020" s="194"/>
      <c r="N7020" s="194"/>
    </row>
    <row r="7021">
      <c r="A7021" s="193" t="s">
        <v>26544</v>
      </c>
      <c r="B7021" s="7" t="s">
        <v>187</v>
      </c>
      <c r="C7021" s="7" t="s">
        <v>16846</v>
      </c>
      <c r="D7021" s="199"/>
      <c r="E7021" s="193"/>
      <c r="F7021" s="195" t="s">
        <v>26545</v>
      </c>
      <c r="G7021" s="196">
        <v>4.8762777E7</v>
      </c>
      <c r="H7021" s="197">
        <v>1.07</v>
      </c>
      <c r="I7021" s="7" t="s">
        <v>16815</v>
      </c>
      <c r="J7021" s="7" t="s">
        <v>187</v>
      </c>
      <c r="K7021" s="7" t="s">
        <v>16846</v>
      </c>
      <c r="L7021" s="198" t="s">
        <v>65</v>
      </c>
      <c r="M7021" s="199"/>
      <c r="N7021" s="199"/>
    </row>
    <row r="7022">
      <c r="A7022" s="193" t="s">
        <v>26546</v>
      </c>
      <c r="B7022" s="7" t="s">
        <v>187</v>
      </c>
      <c r="C7022" s="7" t="s">
        <v>16858</v>
      </c>
      <c r="D7022" s="199"/>
      <c r="E7022" s="193"/>
      <c r="F7022" s="195" t="s">
        <v>26547</v>
      </c>
      <c r="G7022" s="196">
        <v>4.8730515E7</v>
      </c>
      <c r="H7022" s="197">
        <v>0.7599</v>
      </c>
      <c r="I7022" s="7" t="s">
        <v>16815</v>
      </c>
      <c r="J7022" s="7" t="s">
        <v>187</v>
      </c>
      <c r="K7022" s="7" t="s">
        <v>16858</v>
      </c>
      <c r="L7022" s="198" t="s">
        <v>65</v>
      </c>
      <c r="M7022" s="199"/>
      <c r="N7022" s="199"/>
    </row>
    <row r="7023">
      <c r="A7023" s="193" t="s">
        <v>26548</v>
      </c>
      <c r="B7023" s="7" t="s">
        <v>16582</v>
      </c>
      <c r="C7023" s="7" t="s">
        <v>16817</v>
      </c>
      <c r="D7023" s="194">
        <v>2021.0</v>
      </c>
      <c r="E7023" s="193"/>
      <c r="F7023" s="195" t="s">
        <v>26549</v>
      </c>
      <c r="G7023" s="196">
        <v>4.8709098E7</v>
      </c>
      <c r="H7023" s="197">
        <v>0.315</v>
      </c>
      <c r="I7023" s="7" t="s">
        <v>16815</v>
      </c>
      <c r="J7023" s="7" t="s">
        <v>16582</v>
      </c>
      <c r="K7023" s="7" t="s">
        <v>16817</v>
      </c>
      <c r="L7023" s="198" t="s">
        <v>65</v>
      </c>
      <c r="M7023" s="194"/>
      <c r="N7023" s="194"/>
    </row>
    <row r="7024">
      <c r="A7024" s="193" t="s">
        <v>26550</v>
      </c>
      <c r="B7024" s="7" t="s">
        <v>16838</v>
      </c>
      <c r="C7024" s="7" t="s">
        <v>16837</v>
      </c>
      <c r="D7024" s="194">
        <v>2011.0</v>
      </c>
      <c r="E7024" s="193"/>
      <c r="F7024" s="195" t="s">
        <v>26551</v>
      </c>
      <c r="G7024" s="196">
        <v>4.8574984E7</v>
      </c>
      <c r="H7024" s="197">
        <v>14.48</v>
      </c>
      <c r="I7024" s="7" t="s">
        <v>16815</v>
      </c>
      <c r="J7024" s="7" t="s">
        <v>16838</v>
      </c>
      <c r="K7024" s="7" t="s">
        <v>16837</v>
      </c>
      <c r="L7024" s="198" t="s">
        <v>65</v>
      </c>
      <c r="M7024" s="194"/>
      <c r="N7024" s="194"/>
    </row>
    <row r="7025">
      <c r="A7025" s="193" t="s">
        <v>26552</v>
      </c>
      <c r="B7025" s="7" t="s">
        <v>187</v>
      </c>
      <c r="C7025" s="7" t="s">
        <v>17122</v>
      </c>
      <c r="D7025" s="194">
        <v>2014.0</v>
      </c>
      <c r="E7025" s="193"/>
      <c r="F7025" s="195" t="s">
        <v>26553</v>
      </c>
      <c r="G7025" s="196">
        <v>4.8379497E7</v>
      </c>
      <c r="H7025" s="197">
        <v>0.952</v>
      </c>
      <c r="I7025" s="7" t="s">
        <v>16815</v>
      </c>
      <c r="J7025" s="7" t="s">
        <v>187</v>
      </c>
      <c r="K7025" s="7" t="s">
        <v>17122</v>
      </c>
      <c r="L7025" s="198" t="s">
        <v>65</v>
      </c>
      <c r="M7025" s="194"/>
      <c r="N7025" s="194"/>
    </row>
    <row r="7026">
      <c r="A7026" s="193" t="s">
        <v>26554</v>
      </c>
      <c r="D7026" s="194">
        <v>2020.0</v>
      </c>
      <c r="E7026" s="193"/>
      <c r="F7026" s="195" t="s">
        <v>26555</v>
      </c>
      <c r="G7026" s="196">
        <v>4.8307199E7</v>
      </c>
      <c r="H7026" s="197">
        <v>0.3319</v>
      </c>
      <c r="I7026" s="7" t="s">
        <v>16815</v>
      </c>
      <c r="L7026" s="198" t="s">
        <v>65</v>
      </c>
      <c r="M7026" s="194"/>
      <c r="N7026" s="194"/>
    </row>
    <row r="7027">
      <c r="A7027" s="193" t="s">
        <v>26554</v>
      </c>
      <c r="B7027" s="208"/>
      <c r="C7027" s="206"/>
      <c r="D7027" s="193">
        <v>2020.0</v>
      </c>
      <c r="E7027" s="193"/>
      <c r="F7027" s="203" t="s">
        <v>26555</v>
      </c>
      <c r="G7027" s="200">
        <v>4.8307199E7</v>
      </c>
      <c r="H7027" s="205">
        <v>11.75</v>
      </c>
      <c r="J7027" s="208"/>
      <c r="K7027" s="206"/>
      <c r="L7027" s="193" t="s">
        <v>17471</v>
      </c>
      <c r="M7027" s="193"/>
      <c r="N7027" s="193"/>
    </row>
    <row r="7028">
      <c r="A7028" s="193" t="s">
        <v>26556</v>
      </c>
      <c r="B7028" s="7" t="s">
        <v>18633</v>
      </c>
      <c r="C7028" s="7" t="s">
        <v>187</v>
      </c>
      <c r="D7028" s="194">
        <v>2009.0</v>
      </c>
      <c r="E7028" s="193"/>
      <c r="F7028" s="195" t="s">
        <v>26557</v>
      </c>
      <c r="G7028" s="200">
        <v>4.8193123E7</v>
      </c>
      <c r="H7028" s="197">
        <v>1.11</v>
      </c>
      <c r="I7028" s="7" t="s">
        <v>16815</v>
      </c>
      <c r="J7028" s="7" t="s">
        <v>18633</v>
      </c>
      <c r="K7028" s="7" t="s">
        <v>187</v>
      </c>
      <c r="L7028" s="201" t="s">
        <v>16835</v>
      </c>
      <c r="M7028" s="194"/>
      <c r="N7028" s="194"/>
    </row>
    <row r="7029">
      <c r="A7029" s="193" t="s">
        <v>26556</v>
      </c>
      <c r="B7029" s="7" t="s">
        <v>187</v>
      </c>
      <c r="C7029" s="7" t="s">
        <v>18633</v>
      </c>
      <c r="D7029" s="194">
        <v>2009.0</v>
      </c>
      <c r="E7029" s="193"/>
      <c r="F7029" s="195" t="s">
        <v>26557</v>
      </c>
      <c r="G7029" s="196">
        <v>4.8193123E7</v>
      </c>
      <c r="H7029" s="197">
        <v>1.11</v>
      </c>
      <c r="I7029" s="7" t="s">
        <v>16815</v>
      </c>
      <c r="J7029" s="7" t="s">
        <v>187</v>
      </c>
      <c r="K7029" s="7" t="s">
        <v>18633</v>
      </c>
      <c r="L7029" s="198" t="s">
        <v>65</v>
      </c>
      <c r="M7029" s="194"/>
      <c r="N7029" s="194"/>
    </row>
    <row r="7030">
      <c r="A7030" s="193" t="s">
        <v>26558</v>
      </c>
      <c r="B7030" s="7" t="s">
        <v>175</v>
      </c>
      <c r="C7030" s="7" t="s">
        <v>16842</v>
      </c>
      <c r="D7030" s="199"/>
      <c r="E7030" s="193"/>
      <c r="F7030" s="195" t="s">
        <v>26559</v>
      </c>
      <c r="G7030" s="196">
        <v>4.8192318E7</v>
      </c>
      <c r="H7030" s="197">
        <v>0.404</v>
      </c>
      <c r="I7030" s="7" t="s">
        <v>17242</v>
      </c>
      <c r="J7030" s="7" t="s">
        <v>175</v>
      </c>
      <c r="K7030" s="7" t="s">
        <v>16842</v>
      </c>
      <c r="L7030" s="198" t="s">
        <v>65</v>
      </c>
      <c r="M7030" s="199"/>
      <c r="N7030" s="199"/>
    </row>
    <row r="7031">
      <c r="A7031" s="193" t="s">
        <v>26560</v>
      </c>
      <c r="B7031" s="7" t="s">
        <v>169</v>
      </c>
      <c r="C7031" s="7" t="s">
        <v>16899</v>
      </c>
      <c r="D7031" s="199"/>
      <c r="E7031" s="193"/>
      <c r="F7031" s="195" t="s">
        <v>26561</v>
      </c>
      <c r="G7031" s="196">
        <v>4.8001227E7</v>
      </c>
      <c r="H7031" s="197">
        <v>1.31</v>
      </c>
      <c r="I7031" s="7" t="s">
        <v>16815</v>
      </c>
      <c r="J7031" s="7" t="s">
        <v>169</v>
      </c>
      <c r="K7031" s="7" t="s">
        <v>16899</v>
      </c>
      <c r="L7031" s="198" t="s">
        <v>65</v>
      </c>
      <c r="M7031" s="199"/>
      <c r="N7031" s="199"/>
    </row>
    <row r="7032">
      <c r="A7032" s="193" t="s">
        <v>26562</v>
      </c>
      <c r="B7032" s="7" t="s">
        <v>175</v>
      </c>
      <c r="C7032" s="7" t="s">
        <v>17394</v>
      </c>
      <c r="D7032" s="194">
        <v>2017.0</v>
      </c>
      <c r="E7032" s="193"/>
      <c r="F7032" s="195" t="s">
        <v>26563</v>
      </c>
      <c r="G7032" s="196">
        <v>4.7918029E7</v>
      </c>
      <c r="H7032" s="197">
        <v>1.81</v>
      </c>
      <c r="I7032" s="7" t="s">
        <v>168</v>
      </c>
      <c r="J7032" s="7" t="s">
        <v>175</v>
      </c>
      <c r="K7032" s="7" t="s">
        <v>17394</v>
      </c>
      <c r="L7032" s="198" t="s">
        <v>65</v>
      </c>
      <c r="M7032" s="194"/>
      <c r="N7032" s="194"/>
    </row>
    <row r="7033">
      <c r="A7033" s="193" t="s">
        <v>26564</v>
      </c>
      <c r="B7033" s="7" t="s">
        <v>187</v>
      </c>
      <c r="C7033" s="7" t="s">
        <v>16858</v>
      </c>
      <c r="D7033" s="199"/>
      <c r="E7033" s="193"/>
      <c r="F7033" s="195" t="s">
        <v>26565</v>
      </c>
      <c r="G7033" s="196">
        <v>4.7826361E7</v>
      </c>
      <c r="H7033" s="197">
        <v>1.66</v>
      </c>
      <c r="I7033" s="7" t="s">
        <v>16815</v>
      </c>
      <c r="J7033" s="7" t="s">
        <v>187</v>
      </c>
      <c r="K7033" s="7" t="s">
        <v>16858</v>
      </c>
      <c r="L7033" s="198" t="s">
        <v>65</v>
      </c>
      <c r="M7033" s="199"/>
      <c r="N7033" s="199"/>
    </row>
    <row r="7034">
      <c r="A7034" s="193" t="s">
        <v>26566</v>
      </c>
      <c r="B7034" s="7" t="s">
        <v>16838</v>
      </c>
      <c r="C7034" s="7" t="s">
        <v>16837</v>
      </c>
      <c r="D7034" s="194">
        <v>2022.0</v>
      </c>
      <c r="E7034" s="193"/>
      <c r="F7034" s="195" t="s">
        <v>26567</v>
      </c>
      <c r="G7034" s="196">
        <v>4.782157E7</v>
      </c>
      <c r="H7034" s="197">
        <v>8.7001</v>
      </c>
      <c r="I7034" s="7" t="s">
        <v>16815</v>
      </c>
      <c r="J7034" s="7" t="s">
        <v>16838</v>
      </c>
      <c r="K7034" s="7" t="s">
        <v>16837</v>
      </c>
      <c r="L7034" s="198" t="s">
        <v>65</v>
      </c>
      <c r="M7034" s="194"/>
      <c r="N7034" s="194"/>
    </row>
    <row r="7035">
      <c r="A7035" s="193" t="s">
        <v>26568</v>
      </c>
      <c r="B7035" s="7" t="s">
        <v>16582</v>
      </c>
      <c r="C7035" s="7" t="s">
        <v>16828</v>
      </c>
      <c r="D7035" s="199"/>
      <c r="E7035" s="193"/>
      <c r="F7035" s="195" t="s">
        <v>26569</v>
      </c>
      <c r="G7035" s="196">
        <v>4.7726115E7</v>
      </c>
      <c r="H7035" s="197">
        <v>0.1</v>
      </c>
      <c r="I7035" s="7" t="s">
        <v>16815</v>
      </c>
      <c r="J7035" s="7" t="s">
        <v>16582</v>
      </c>
      <c r="K7035" s="7" t="s">
        <v>16828</v>
      </c>
      <c r="L7035" s="198" t="s">
        <v>65</v>
      </c>
      <c r="M7035" s="199"/>
      <c r="N7035" s="199"/>
    </row>
    <row r="7036">
      <c r="A7036" s="193" t="s">
        <v>26570</v>
      </c>
      <c r="B7036" s="7" t="s">
        <v>187</v>
      </c>
      <c r="C7036" s="7" t="s">
        <v>17122</v>
      </c>
      <c r="D7036" s="194">
        <v>2021.0</v>
      </c>
      <c r="E7036" s="193"/>
      <c r="F7036" s="195" t="s">
        <v>26571</v>
      </c>
      <c r="G7036" s="196">
        <v>4.7607861E7</v>
      </c>
      <c r="H7036" s="197">
        <v>0.94</v>
      </c>
      <c r="I7036" s="7" t="s">
        <v>16815</v>
      </c>
      <c r="J7036" s="7" t="s">
        <v>187</v>
      </c>
      <c r="K7036" s="7" t="s">
        <v>17122</v>
      </c>
      <c r="L7036" s="198" t="s">
        <v>65</v>
      </c>
      <c r="M7036" s="194"/>
      <c r="N7036" s="194"/>
    </row>
    <row r="7037">
      <c r="A7037" s="193" t="s">
        <v>26572</v>
      </c>
      <c r="B7037" s="7" t="s">
        <v>187</v>
      </c>
      <c r="C7037" s="7" t="s">
        <v>16851</v>
      </c>
      <c r="D7037" s="194">
        <v>2017.0</v>
      </c>
      <c r="E7037" s="193"/>
      <c r="F7037" s="195" t="s">
        <v>26573</v>
      </c>
      <c r="G7037" s="196">
        <v>4.7597801E7</v>
      </c>
      <c r="H7037" s="197">
        <v>1.39</v>
      </c>
      <c r="I7037" s="7" t="s">
        <v>16815</v>
      </c>
      <c r="J7037" s="7" t="s">
        <v>187</v>
      </c>
      <c r="K7037" s="7" t="s">
        <v>16851</v>
      </c>
      <c r="L7037" s="198" t="s">
        <v>65</v>
      </c>
      <c r="M7037" s="194"/>
      <c r="N7037" s="194"/>
    </row>
    <row r="7038">
      <c r="A7038" s="193" t="s">
        <v>26574</v>
      </c>
      <c r="B7038" s="7" t="s">
        <v>187</v>
      </c>
      <c r="C7038" s="7" t="s">
        <v>16846</v>
      </c>
      <c r="D7038" s="194">
        <v>2003.0</v>
      </c>
      <c r="E7038" s="193"/>
      <c r="F7038" s="195" t="s">
        <v>26575</v>
      </c>
      <c r="G7038" s="196">
        <v>4.750617E7</v>
      </c>
      <c r="H7038" s="197">
        <v>7.13</v>
      </c>
      <c r="I7038" s="7" t="s">
        <v>16815</v>
      </c>
      <c r="J7038" s="7" t="s">
        <v>187</v>
      </c>
      <c r="K7038" s="7" t="s">
        <v>16846</v>
      </c>
      <c r="L7038" s="198" t="s">
        <v>65</v>
      </c>
      <c r="M7038" s="194"/>
      <c r="N7038" s="194"/>
    </row>
    <row r="7039">
      <c r="A7039" s="193" t="s">
        <v>26576</v>
      </c>
      <c r="B7039" s="7" t="s">
        <v>187</v>
      </c>
      <c r="C7039" s="7" t="s">
        <v>16846</v>
      </c>
      <c r="D7039" s="194">
        <v>2014.0</v>
      </c>
      <c r="E7039" s="193"/>
      <c r="F7039" s="195" t="s">
        <v>26577</v>
      </c>
      <c r="G7039" s="196">
        <v>4.7475186E7</v>
      </c>
      <c r="H7039" s="197">
        <v>0.3179</v>
      </c>
      <c r="I7039" s="7" t="s">
        <v>16815</v>
      </c>
      <c r="J7039" s="7" t="s">
        <v>187</v>
      </c>
      <c r="K7039" s="7" t="s">
        <v>16846</v>
      </c>
      <c r="L7039" s="198" t="s">
        <v>65</v>
      </c>
      <c r="M7039" s="194"/>
      <c r="N7039" s="194"/>
    </row>
    <row r="7040">
      <c r="A7040" s="193" t="s">
        <v>26578</v>
      </c>
      <c r="B7040" s="7" t="s">
        <v>17629</v>
      </c>
      <c r="C7040" s="7" t="s">
        <v>16899</v>
      </c>
      <c r="D7040" s="199"/>
      <c r="E7040" s="193"/>
      <c r="F7040" s="195" t="s">
        <v>26579</v>
      </c>
      <c r="G7040" s="196">
        <v>4.741934E7</v>
      </c>
      <c r="H7040" s="197">
        <v>0.3</v>
      </c>
      <c r="I7040" s="7" t="s">
        <v>16815</v>
      </c>
      <c r="J7040" s="7" t="s">
        <v>17629</v>
      </c>
      <c r="K7040" s="7" t="s">
        <v>16899</v>
      </c>
      <c r="L7040" s="198" t="s">
        <v>65</v>
      </c>
      <c r="M7040" s="199"/>
      <c r="N7040" s="199"/>
    </row>
    <row r="7041">
      <c r="A7041" s="193" t="s">
        <v>26580</v>
      </c>
      <c r="B7041" s="7" t="s">
        <v>187</v>
      </c>
      <c r="C7041" s="7" t="s">
        <v>16846</v>
      </c>
      <c r="D7041" s="194">
        <v>2014.0</v>
      </c>
      <c r="E7041" s="193"/>
      <c r="F7041" s="195" t="s">
        <v>26581</v>
      </c>
      <c r="G7041" s="196">
        <v>4.7271106E7</v>
      </c>
      <c r="H7041" s="197">
        <v>1.06</v>
      </c>
      <c r="I7041" s="7" t="s">
        <v>16815</v>
      </c>
      <c r="J7041" s="7" t="s">
        <v>187</v>
      </c>
      <c r="K7041" s="7" t="s">
        <v>16846</v>
      </c>
      <c r="L7041" s="198" t="s">
        <v>65</v>
      </c>
      <c r="M7041" s="194"/>
      <c r="N7041" s="194"/>
    </row>
    <row r="7042">
      <c r="A7042" s="193" t="s">
        <v>26582</v>
      </c>
      <c r="B7042" s="7" t="s">
        <v>16838</v>
      </c>
      <c r="C7042" s="7" t="s">
        <v>18219</v>
      </c>
      <c r="D7042" s="194">
        <v>2021.0</v>
      </c>
      <c r="E7042" s="193"/>
      <c r="F7042" s="195" t="s">
        <v>26583</v>
      </c>
      <c r="G7042" s="196">
        <v>4.7259941E7</v>
      </c>
      <c r="H7042" s="197">
        <v>1.43</v>
      </c>
      <c r="I7042" s="7" t="s">
        <v>16815</v>
      </c>
      <c r="J7042" s="7" t="s">
        <v>16838</v>
      </c>
      <c r="K7042" s="7" t="s">
        <v>18219</v>
      </c>
      <c r="L7042" s="198" t="s">
        <v>65</v>
      </c>
      <c r="M7042" s="194"/>
      <c r="N7042" s="194"/>
    </row>
    <row r="7043">
      <c r="A7043" s="193" t="s">
        <v>26584</v>
      </c>
      <c r="B7043" s="7" t="s">
        <v>187</v>
      </c>
      <c r="C7043" s="7" t="s">
        <v>16846</v>
      </c>
      <c r="D7043" s="194">
        <v>2020.0</v>
      </c>
      <c r="E7043" s="193"/>
      <c r="F7043" s="195" t="s">
        <v>26585</v>
      </c>
      <c r="G7043" s="196">
        <v>4.6810221E7</v>
      </c>
      <c r="H7043" s="197">
        <v>1.705</v>
      </c>
      <c r="I7043" s="7" t="s">
        <v>16815</v>
      </c>
      <c r="J7043" s="7" t="s">
        <v>187</v>
      </c>
      <c r="K7043" s="7" t="s">
        <v>16846</v>
      </c>
      <c r="L7043" s="198" t="s">
        <v>65</v>
      </c>
      <c r="M7043" s="194"/>
      <c r="N7043" s="194"/>
    </row>
    <row r="7044">
      <c r="A7044" s="193" t="s">
        <v>26586</v>
      </c>
      <c r="B7044" s="7" t="s">
        <v>187</v>
      </c>
      <c r="C7044" s="7" t="s">
        <v>16992</v>
      </c>
      <c r="D7044" s="194">
        <v>2020.0</v>
      </c>
      <c r="E7044" s="193"/>
      <c r="F7044" s="195" t="s">
        <v>26587</v>
      </c>
      <c r="G7044" s="196">
        <v>4.6635721E7</v>
      </c>
      <c r="H7044" s="197">
        <v>0.7997</v>
      </c>
      <c r="I7044" s="7" t="s">
        <v>16815</v>
      </c>
      <c r="J7044" s="7" t="s">
        <v>187</v>
      </c>
      <c r="K7044" s="7" t="s">
        <v>16992</v>
      </c>
      <c r="L7044" s="198" t="s">
        <v>65</v>
      </c>
      <c r="M7044" s="194"/>
      <c r="N7044" s="194"/>
    </row>
    <row r="7045">
      <c r="A7045" s="193" t="s">
        <v>26588</v>
      </c>
      <c r="B7045" s="7" t="s">
        <v>16582</v>
      </c>
      <c r="C7045" s="7" t="s">
        <v>16899</v>
      </c>
      <c r="D7045" s="194">
        <v>1960.0</v>
      </c>
      <c r="E7045" s="193"/>
      <c r="F7045" s="195" t="s">
        <v>26589</v>
      </c>
      <c r="G7045" s="196">
        <v>4.6581154E7</v>
      </c>
      <c r="H7045" s="197">
        <v>17.21</v>
      </c>
      <c r="I7045" s="7" t="s">
        <v>16815</v>
      </c>
      <c r="J7045" s="7" t="s">
        <v>16582</v>
      </c>
      <c r="K7045" s="7" t="s">
        <v>16899</v>
      </c>
      <c r="L7045" s="198" t="s">
        <v>65</v>
      </c>
      <c r="M7045" s="194"/>
      <c r="N7045" s="194"/>
    </row>
    <row r="7046">
      <c r="A7046" s="193" t="s">
        <v>26588</v>
      </c>
      <c r="B7046" s="202" t="s">
        <v>16899</v>
      </c>
      <c r="C7046" s="193" t="s">
        <v>16582</v>
      </c>
      <c r="D7046" s="193">
        <v>1960.0</v>
      </c>
      <c r="E7046" s="193"/>
      <c r="F7046" s="203" t="s">
        <v>26589</v>
      </c>
      <c r="G7046" s="200">
        <v>4.6581154E7</v>
      </c>
      <c r="H7046" s="205">
        <v>0.3319</v>
      </c>
      <c r="J7046" s="202" t="s">
        <v>16899</v>
      </c>
      <c r="K7046" s="193" t="s">
        <v>16582</v>
      </c>
      <c r="L7046" s="193" t="s">
        <v>17471</v>
      </c>
      <c r="M7046" s="193"/>
      <c r="N7046" s="193"/>
    </row>
    <row r="7047">
      <c r="A7047" s="193" t="s">
        <v>26590</v>
      </c>
      <c r="B7047" s="7" t="s">
        <v>169</v>
      </c>
      <c r="C7047" s="7" t="s">
        <v>17827</v>
      </c>
      <c r="D7047" s="199"/>
      <c r="E7047" s="193"/>
      <c r="F7047" s="195" t="s">
        <v>26591</v>
      </c>
      <c r="G7047" s="196">
        <v>4.6574257E7</v>
      </c>
      <c r="H7047" s="197">
        <v>0.34</v>
      </c>
      <c r="I7047" s="7" t="s">
        <v>16815</v>
      </c>
      <c r="J7047" s="7" t="s">
        <v>169</v>
      </c>
      <c r="K7047" s="7" t="s">
        <v>17827</v>
      </c>
      <c r="L7047" s="198" t="s">
        <v>65</v>
      </c>
      <c r="M7047" s="199"/>
      <c r="N7047" s="199"/>
    </row>
    <row r="7048">
      <c r="A7048" s="193" t="s">
        <v>26592</v>
      </c>
      <c r="B7048" s="7" t="s">
        <v>187</v>
      </c>
      <c r="C7048" s="7" t="s">
        <v>16846</v>
      </c>
      <c r="D7048" s="194">
        <v>2023.0</v>
      </c>
      <c r="E7048" s="193"/>
      <c r="F7048" s="195" t="s">
        <v>26593</v>
      </c>
      <c r="G7048" s="196">
        <v>4.6564658E7</v>
      </c>
      <c r="H7048" s="197">
        <v>4.0388</v>
      </c>
      <c r="I7048" s="7" t="s">
        <v>16815</v>
      </c>
      <c r="J7048" s="7" t="s">
        <v>187</v>
      </c>
      <c r="K7048" s="7" t="s">
        <v>16846</v>
      </c>
      <c r="L7048" s="198" t="s">
        <v>65</v>
      </c>
      <c r="M7048" s="194"/>
      <c r="N7048" s="194"/>
    </row>
    <row r="7049">
      <c r="A7049" s="193" t="s">
        <v>26594</v>
      </c>
      <c r="B7049" s="7" t="s">
        <v>17112</v>
      </c>
      <c r="C7049" s="7" t="s">
        <v>17111</v>
      </c>
      <c r="D7049" s="199"/>
      <c r="E7049" s="193"/>
      <c r="F7049" s="195" t="s">
        <v>26595</v>
      </c>
      <c r="G7049" s="196">
        <v>4.646435E7</v>
      </c>
      <c r="H7049" s="197">
        <v>14.4</v>
      </c>
      <c r="I7049" s="7" t="s">
        <v>16815</v>
      </c>
      <c r="J7049" s="7" t="s">
        <v>17112</v>
      </c>
      <c r="K7049" s="7" t="s">
        <v>17111</v>
      </c>
      <c r="L7049" s="198" t="s">
        <v>65</v>
      </c>
      <c r="M7049" s="199"/>
      <c r="N7049" s="199"/>
    </row>
    <row r="7050">
      <c r="A7050" s="193" t="s">
        <v>26596</v>
      </c>
      <c r="B7050" s="7" t="s">
        <v>169</v>
      </c>
      <c r="C7050" s="7" t="s">
        <v>16899</v>
      </c>
      <c r="D7050" s="194">
        <v>2013.0</v>
      </c>
      <c r="E7050" s="193"/>
      <c r="F7050" s="195" t="s">
        <v>26597</v>
      </c>
      <c r="G7050" s="196">
        <v>4.6331849E7</v>
      </c>
      <c r="H7050" s="197">
        <v>7.802</v>
      </c>
      <c r="I7050" s="7" t="s">
        <v>16815</v>
      </c>
      <c r="J7050" s="7" t="s">
        <v>169</v>
      </c>
      <c r="K7050" s="7" t="s">
        <v>16899</v>
      </c>
      <c r="L7050" s="198" t="s">
        <v>65</v>
      </c>
      <c r="M7050" s="194"/>
      <c r="N7050" s="194"/>
    </row>
    <row r="7051">
      <c r="A7051" s="193" t="s">
        <v>26598</v>
      </c>
      <c r="B7051" s="7" t="s">
        <v>16910</v>
      </c>
      <c r="C7051" s="7" t="s">
        <v>17119</v>
      </c>
      <c r="D7051" s="194">
        <v>2021.0</v>
      </c>
      <c r="E7051" s="193"/>
      <c r="F7051" s="195" t="s">
        <v>26599</v>
      </c>
      <c r="G7051" s="196">
        <v>4.6326331E7</v>
      </c>
      <c r="H7051" s="197">
        <v>1.79</v>
      </c>
      <c r="I7051" s="7" t="s">
        <v>16917</v>
      </c>
      <c r="J7051" s="7" t="s">
        <v>16910</v>
      </c>
      <c r="K7051" s="7" t="s">
        <v>17119</v>
      </c>
      <c r="L7051" s="198" t="s">
        <v>65</v>
      </c>
      <c r="M7051" s="194"/>
      <c r="N7051" s="194"/>
    </row>
    <row r="7052">
      <c r="A7052" s="193" t="s">
        <v>26600</v>
      </c>
      <c r="B7052" s="7" t="s">
        <v>187</v>
      </c>
      <c r="C7052" s="7" t="s">
        <v>16846</v>
      </c>
      <c r="D7052" s="194">
        <v>2017.0</v>
      </c>
      <c r="E7052" s="193"/>
      <c r="F7052" s="195" t="s">
        <v>26601</v>
      </c>
      <c r="G7052" s="196">
        <v>4.6320797E7</v>
      </c>
      <c r="H7052" s="197">
        <v>0.2132</v>
      </c>
      <c r="I7052" s="7" t="s">
        <v>16815</v>
      </c>
      <c r="J7052" s="7" t="s">
        <v>187</v>
      </c>
      <c r="K7052" s="7" t="s">
        <v>16846</v>
      </c>
      <c r="L7052" s="198" t="s">
        <v>65</v>
      </c>
      <c r="M7052" s="194"/>
      <c r="N7052" s="194"/>
    </row>
    <row r="7053">
      <c r="A7053" s="193" t="s">
        <v>26600</v>
      </c>
      <c r="B7053" s="202" t="s">
        <v>16846</v>
      </c>
      <c r="C7053" s="193" t="s">
        <v>187</v>
      </c>
      <c r="D7053" s="193">
        <v>2017.0</v>
      </c>
      <c r="E7053" s="193"/>
      <c r="F7053" s="203" t="s">
        <v>26601</v>
      </c>
      <c r="G7053" s="200">
        <v>4.6320797E7</v>
      </c>
      <c r="H7053" s="205">
        <v>17.21</v>
      </c>
      <c r="J7053" s="202" t="s">
        <v>16846</v>
      </c>
      <c r="K7053" s="193" t="s">
        <v>187</v>
      </c>
      <c r="L7053" s="193" t="s">
        <v>17471</v>
      </c>
      <c r="M7053" s="193"/>
      <c r="N7053" s="193"/>
    </row>
    <row r="7054">
      <c r="A7054" s="193" t="s">
        <v>26602</v>
      </c>
      <c r="B7054" s="7" t="s">
        <v>187</v>
      </c>
      <c r="C7054" s="7" t="s">
        <v>16846</v>
      </c>
      <c r="D7054" s="194">
        <v>2018.0</v>
      </c>
      <c r="E7054" s="193"/>
      <c r="F7054" s="195" t="s">
        <v>26603</v>
      </c>
      <c r="G7054" s="196">
        <v>4.6236288E7</v>
      </c>
      <c r="H7054" s="197">
        <v>1.21</v>
      </c>
      <c r="I7054" s="7" t="s">
        <v>16815</v>
      </c>
      <c r="J7054" s="7" t="s">
        <v>187</v>
      </c>
      <c r="K7054" s="7" t="s">
        <v>16846</v>
      </c>
      <c r="L7054" s="198" t="s">
        <v>65</v>
      </c>
      <c r="M7054" s="194"/>
      <c r="N7054" s="194"/>
    </row>
    <row r="7055">
      <c r="A7055" s="193" t="s">
        <v>26604</v>
      </c>
      <c r="B7055" s="7" t="s">
        <v>16582</v>
      </c>
      <c r="C7055" s="7" t="s">
        <v>16817</v>
      </c>
      <c r="D7055" s="194">
        <v>2021.0</v>
      </c>
      <c r="E7055" s="193"/>
      <c r="F7055" s="195" t="s">
        <v>26605</v>
      </c>
      <c r="G7055" s="196">
        <v>4.6187887E7</v>
      </c>
      <c r="H7055" s="197">
        <v>11.06</v>
      </c>
      <c r="I7055" s="7" t="s">
        <v>16815</v>
      </c>
      <c r="J7055" s="7" t="s">
        <v>16582</v>
      </c>
      <c r="K7055" s="7" t="s">
        <v>16817</v>
      </c>
      <c r="L7055" s="198" t="s">
        <v>65</v>
      </c>
      <c r="M7055" s="194"/>
      <c r="N7055" s="194"/>
    </row>
    <row r="7056">
      <c r="A7056" s="193" t="s">
        <v>26606</v>
      </c>
      <c r="B7056" s="7" t="s">
        <v>187</v>
      </c>
      <c r="C7056" s="7" t="s">
        <v>16969</v>
      </c>
      <c r="D7056" s="194">
        <v>2021.0</v>
      </c>
      <c r="E7056" s="193"/>
      <c r="F7056" s="195" t="s">
        <v>26607</v>
      </c>
      <c r="G7056" s="196">
        <v>4.6180597E7</v>
      </c>
      <c r="H7056" s="197">
        <v>2.4007</v>
      </c>
      <c r="I7056" s="7" t="s">
        <v>16815</v>
      </c>
      <c r="J7056" s="7" t="s">
        <v>187</v>
      </c>
      <c r="K7056" s="7" t="s">
        <v>16969</v>
      </c>
      <c r="L7056" s="198" t="s">
        <v>65</v>
      </c>
      <c r="M7056" s="194"/>
      <c r="N7056" s="194"/>
    </row>
    <row r="7057">
      <c r="A7057" s="193" t="s">
        <v>26608</v>
      </c>
      <c r="B7057" s="7" t="s">
        <v>16838</v>
      </c>
      <c r="C7057" s="7" t="s">
        <v>17019</v>
      </c>
      <c r="D7057" s="199"/>
      <c r="E7057" s="193"/>
      <c r="F7057" s="195" t="s">
        <v>26609</v>
      </c>
      <c r="G7057" s="196">
        <v>4.6037751E7</v>
      </c>
      <c r="H7057" s="197">
        <v>1.75</v>
      </c>
      <c r="I7057" s="7" t="s">
        <v>16815</v>
      </c>
      <c r="J7057" s="7" t="s">
        <v>16838</v>
      </c>
      <c r="K7057" s="7" t="s">
        <v>17019</v>
      </c>
      <c r="L7057" s="198" t="s">
        <v>65</v>
      </c>
      <c r="M7057" s="199"/>
      <c r="N7057" s="199"/>
    </row>
    <row r="7058">
      <c r="A7058" s="193" t="s">
        <v>26610</v>
      </c>
      <c r="D7058" s="194">
        <v>2021.0</v>
      </c>
      <c r="E7058" s="193"/>
      <c r="F7058" s="195" t="s">
        <v>26611</v>
      </c>
      <c r="G7058" s="196">
        <v>4.5932425E7</v>
      </c>
      <c r="H7058" s="197">
        <v>2.82</v>
      </c>
      <c r="I7058" s="7" t="s">
        <v>16815</v>
      </c>
      <c r="L7058" s="198" t="s">
        <v>65</v>
      </c>
      <c r="M7058" s="194"/>
      <c r="N7058" s="194"/>
    </row>
    <row r="7059">
      <c r="A7059" s="193" t="s">
        <v>26612</v>
      </c>
      <c r="B7059" s="7" t="s">
        <v>169</v>
      </c>
      <c r="C7059" s="7" t="s">
        <v>110</v>
      </c>
      <c r="D7059" s="199"/>
      <c r="E7059" s="193"/>
      <c r="F7059" s="195" t="s">
        <v>26613</v>
      </c>
      <c r="G7059" s="196">
        <v>4.5823688E7</v>
      </c>
      <c r="H7059" s="197">
        <v>0.5725</v>
      </c>
      <c r="I7059" s="7" t="s">
        <v>16815</v>
      </c>
      <c r="J7059" s="7" t="s">
        <v>169</v>
      </c>
      <c r="K7059" s="7" t="s">
        <v>110</v>
      </c>
      <c r="L7059" s="198" t="s">
        <v>65</v>
      </c>
      <c r="M7059" s="199"/>
      <c r="N7059" s="199"/>
    </row>
    <row r="7060">
      <c r="A7060" s="193" t="s">
        <v>26614</v>
      </c>
      <c r="B7060" s="7" t="s">
        <v>187</v>
      </c>
      <c r="C7060" s="7" t="s">
        <v>16846</v>
      </c>
      <c r="D7060" s="194">
        <v>2021.0</v>
      </c>
      <c r="E7060" s="193"/>
      <c r="F7060" s="195" t="s">
        <v>26615</v>
      </c>
      <c r="G7060" s="196">
        <v>4.5527684E7</v>
      </c>
      <c r="H7060" s="197">
        <v>0.35</v>
      </c>
      <c r="I7060" s="7" t="s">
        <v>16815</v>
      </c>
      <c r="J7060" s="7" t="s">
        <v>187</v>
      </c>
      <c r="K7060" s="7" t="s">
        <v>16846</v>
      </c>
      <c r="L7060" s="198" t="s">
        <v>65</v>
      </c>
      <c r="M7060" s="194"/>
      <c r="N7060" s="194"/>
    </row>
    <row r="7061">
      <c r="A7061" s="193" t="s">
        <v>26616</v>
      </c>
      <c r="B7061" s="7" t="s">
        <v>16838</v>
      </c>
      <c r="C7061" s="7" t="s">
        <v>16867</v>
      </c>
      <c r="D7061" s="199"/>
      <c r="E7061" s="193"/>
      <c r="F7061" s="195" t="s">
        <v>26617</v>
      </c>
      <c r="G7061" s="196">
        <v>4.5432471E7</v>
      </c>
      <c r="H7061" s="197">
        <v>9.9998</v>
      </c>
      <c r="I7061" s="7" t="s">
        <v>16815</v>
      </c>
      <c r="J7061" s="7" t="s">
        <v>16838</v>
      </c>
      <c r="K7061" s="7" t="s">
        <v>16867</v>
      </c>
      <c r="L7061" s="198" t="s">
        <v>65</v>
      </c>
      <c r="M7061" s="199"/>
      <c r="N7061" s="199"/>
    </row>
    <row r="7062">
      <c r="A7062" s="193" t="s">
        <v>26618</v>
      </c>
      <c r="B7062" s="7" t="s">
        <v>169</v>
      </c>
      <c r="C7062" s="7" t="s">
        <v>17738</v>
      </c>
      <c r="D7062" s="194">
        <v>2015.0</v>
      </c>
      <c r="E7062" s="193"/>
      <c r="F7062" s="195" t="s">
        <v>26619</v>
      </c>
      <c r="G7062" s="196">
        <v>4.5211824E7</v>
      </c>
      <c r="H7062" s="197">
        <v>3.1375</v>
      </c>
      <c r="I7062" s="7" t="s">
        <v>16815</v>
      </c>
      <c r="J7062" s="7" t="s">
        <v>169</v>
      </c>
      <c r="K7062" s="7" t="s">
        <v>17738</v>
      </c>
      <c r="L7062" s="198" t="s">
        <v>65</v>
      </c>
      <c r="M7062" s="194"/>
      <c r="N7062" s="194"/>
    </row>
    <row r="7063">
      <c r="A7063" s="193" t="s">
        <v>26620</v>
      </c>
      <c r="B7063" s="7" t="s">
        <v>16838</v>
      </c>
      <c r="C7063" s="7" t="s">
        <v>16867</v>
      </c>
      <c r="D7063" s="199"/>
      <c r="E7063" s="193"/>
      <c r="F7063" s="195" t="s">
        <v>26621</v>
      </c>
      <c r="G7063" s="196">
        <v>4.509732E7</v>
      </c>
      <c r="H7063" s="197">
        <v>2.63</v>
      </c>
      <c r="I7063" s="7" t="s">
        <v>16924</v>
      </c>
      <c r="J7063" s="7" t="s">
        <v>16838</v>
      </c>
      <c r="K7063" s="7" t="s">
        <v>16867</v>
      </c>
      <c r="L7063" s="198" t="s">
        <v>65</v>
      </c>
      <c r="M7063" s="199"/>
      <c r="N7063" s="199"/>
    </row>
    <row r="7064">
      <c r="A7064" s="193" t="s">
        <v>26622</v>
      </c>
      <c r="B7064" s="7" t="s">
        <v>187</v>
      </c>
      <c r="C7064" s="7" t="s">
        <v>16969</v>
      </c>
      <c r="D7064" s="199"/>
      <c r="E7064" s="193"/>
      <c r="F7064" s="195" t="s">
        <v>26623</v>
      </c>
      <c r="G7064" s="196">
        <v>4.5065637E7</v>
      </c>
      <c r="H7064" s="197">
        <v>2.95</v>
      </c>
      <c r="I7064" s="7" t="s">
        <v>16815</v>
      </c>
      <c r="J7064" s="7" t="s">
        <v>187</v>
      </c>
      <c r="K7064" s="7" t="s">
        <v>16969</v>
      </c>
      <c r="L7064" s="198" t="s">
        <v>65</v>
      </c>
      <c r="M7064" s="199"/>
      <c r="N7064" s="199"/>
    </row>
    <row r="7065">
      <c r="A7065" s="193" t="s">
        <v>26624</v>
      </c>
      <c r="B7065" s="7" t="s">
        <v>187</v>
      </c>
      <c r="C7065" s="7" t="s">
        <v>16846</v>
      </c>
      <c r="D7065" s="194">
        <v>2019.0</v>
      </c>
      <c r="E7065" s="193"/>
      <c r="F7065" s="195" t="s">
        <v>26625</v>
      </c>
      <c r="G7065" s="196">
        <v>4.505265E7</v>
      </c>
      <c r="H7065" s="197">
        <v>0.3788</v>
      </c>
      <c r="I7065" s="7" t="s">
        <v>16815</v>
      </c>
      <c r="J7065" s="7" t="s">
        <v>187</v>
      </c>
      <c r="K7065" s="7" t="s">
        <v>16846</v>
      </c>
      <c r="L7065" s="198" t="s">
        <v>65</v>
      </c>
      <c r="M7065" s="194"/>
      <c r="N7065" s="194"/>
    </row>
    <row r="7066">
      <c r="A7066" s="193" t="s">
        <v>26626</v>
      </c>
      <c r="B7066" s="7" t="s">
        <v>16926</v>
      </c>
      <c r="C7066" s="7" t="s">
        <v>16957</v>
      </c>
      <c r="D7066" s="194">
        <v>2022.0</v>
      </c>
      <c r="E7066" s="193"/>
      <c r="F7066" s="195" t="s">
        <v>26627</v>
      </c>
      <c r="G7066" s="196">
        <v>4.4948442E7</v>
      </c>
      <c r="H7066" s="197">
        <v>0.6682</v>
      </c>
      <c r="I7066" s="7" t="s">
        <v>16815</v>
      </c>
      <c r="J7066" s="7" t="s">
        <v>16926</v>
      </c>
      <c r="K7066" s="7" t="s">
        <v>16957</v>
      </c>
      <c r="L7066" s="198" t="s">
        <v>65</v>
      </c>
      <c r="M7066" s="194"/>
      <c r="N7066" s="194"/>
    </row>
    <row r="7067">
      <c r="A7067" s="193" t="s">
        <v>26628</v>
      </c>
      <c r="B7067" s="7" t="s">
        <v>16582</v>
      </c>
      <c r="C7067" s="7" t="s">
        <v>17342</v>
      </c>
      <c r="D7067" s="199"/>
      <c r="E7067" s="193"/>
      <c r="F7067" s="195" t="s">
        <v>26629</v>
      </c>
      <c r="G7067" s="196">
        <v>4.4935678E7</v>
      </c>
      <c r="H7067" s="197">
        <v>13.2</v>
      </c>
      <c r="I7067" s="7" t="s">
        <v>16815</v>
      </c>
      <c r="J7067" s="7" t="s">
        <v>16582</v>
      </c>
      <c r="K7067" s="7" t="s">
        <v>17342</v>
      </c>
      <c r="L7067" s="198" t="s">
        <v>65</v>
      </c>
      <c r="M7067" s="199"/>
      <c r="N7067" s="199"/>
    </row>
    <row r="7068">
      <c r="A7068" s="193" t="s">
        <v>26628</v>
      </c>
      <c r="B7068" s="202" t="s">
        <v>17342</v>
      </c>
      <c r="C7068" s="193" t="s">
        <v>16582</v>
      </c>
      <c r="D7068" s="206"/>
      <c r="E7068" s="193"/>
      <c r="F7068" s="203" t="s">
        <v>26629</v>
      </c>
      <c r="G7068" s="200">
        <v>4.4935678E7</v>
      </c>
      <c r="H7068" s="205">
        <v>0.2132</v>
      </c>
      <c r="J7068" s="202" t="s">
        <v>17342</v>
      </c>
      <c r="K7068" s="193" t="s">
        <v>16582</v>
      </c>
      <c r="L7068" s="193" t="s">
        <v>17471</v>
      </c>
      <c r="M7068" s="206"/>
      <c r="N7068" s="206"/>
    </row>
    <row r="7069">
      <c r="A7069" s="193" t="s">
        <v>26630</v>
      </c>
      <c r="B7069" s="7" t="s">
        <v>187</v>
      </c>
      <c r="C7069" s="7" t="s">
        <v>16858</v>
      </c>
      <c r="D7069" s="199"/>
      <c r="E7069" s="193"/>
      <c r="F7069" s="195" t="s">
        <v>26631</v>
      </c>
      <c r="G7069" s="196">
        <v>4.4677169E7</v>
      </c>
      <c r="H7069" s="197">
        <v>1.0</v>
      </c>
      <c r="I7069" s="7" t="s">
        <v>16815</v>
      </c>
      <c r="J7069" s="7" t="s">
        <v>187</v>
      </c>
      <c r="K7069" s="7" t="s">
        <v>16858</v>
      </c>
      <c r="L7069" s="198" t="s">
        <v>65</v>
      </c>
      <c r="M7069" s="199"/>
      <c r="N7069" s="199"/>
    </row>
    <row r="7070">
      <c r="A7070" s="193" t="s">
        <v>26632</v>
      </c>
      <c r="B7070" s="7" t="s">
        <v>187</v>
      </c>
      <c r="C7070" s="7" t="s">
        <v>16858</v>
      </c>
      <c r="D7070" s="194">
        <v>2018.0</v>
      </c>
      <c r="E7070" s="193"/>
      <c r="F7070" s="195" t="s">
        <v>26633</v>
      </c>
      <c r="G7070" s="196">
        <v>4.4592142E7</v>
      </c>
      <c r="H7070" s="197">
        <v>2.21</v>
      </c>
      <c r="I7070" s="7" t="s">
        <v>16815</v>
      </c>
      <c r="J7070" s="7" t="s">
        <v>187</v>
      </c>
      <c r="K7070" s="7" t="s">
        <v>16858</v>
      </c>
      <c r="L7070" s="198" t="s">
        <v>65</v>
      </c>
      <c r="M7070" s="194"/>
      <c r="N7070" s="194"/>
    </row>
    <row r="7071">
      <c r="A7071" s="193" t="s">
        <v>26634</v>
      </c>
      <c r="B7071" s="7" t="s">
        <v>169</v>
      </c>
      <c r="C7071" s="7" t="s">
        <v>17532</v>
      </c>
      <c r="D7071" s="194">
        <v>2021.0</v>
      </c>
      <c r="E7071" s="193"/>
      <c r="F7071" s="195" t="s">
        <v>26635</v>
      </c>
      <c r="G7071" s="196">
        <v>4.4568633E7</v>
      </c>
      <c r="H7071" s="197">
        <v>3.13</v>
      </c>
      <c r="I7071" s="7" t="s">
        <v>16815</v>
      </c>
      <c r="J7071" s="7" t="s">
        <v>169</v>
      </c>
      <c r="K7071" s="7" t="s">
        <v>17532</v>
      </c>
      <c r="L7071" s="198" t="s">
        <v>65</v>
      </c>
      <c r="M7071" s="194"/>
      <c r="N7071" s="194"/>
    </row>
    <row r="7072">
      <c r="A7072" s="193" t="s">
        <v>26636</v>
      </c>
      <c r="B7072" s="7" t="s">
        <v>16582</v>
      </c>
      <c r="C7072" s="7" t="s">
        <v>16828</v>
      </c>
      <c r="D7072" s="199"/>
      <c r="E7072" s="193"/>
      <c r="F7072" s="195" t="s">
        <v>26637</v>
      </c>
      <c r="G7072" s="196">
        <v>4.4457207E7</v>
      </c>
      <c r="H7072" s="197">
        <v>0.9816</v>
      </c>
      <c r="I7072" s="7" t="s">
        <v>16815</v>
      </c>
      <c r="J7072" s="7" t="s">
        <v>16582</v>
      </c>
      <c r="K7072" s="7" t="s">
        <v>16828</v>
      </c>
      <c r="L7072" s="198" t="s">
        <v>65</v>
      </c>
      <c r="M7072" s="199"/>
      <c r="N7072" s="199"/>
    </row>
    <row r="7073">
      <c r="A7073" s="193" t="s">
        <v>26638</v>
      </c>
      <c r="B7073" s="7" t="s">
        <v>187</v>
      </c>
      <c r="C7073" s="7" t="s">
        <v>16851</v>
      </c>
      <c r="D7073" s="194">
        <v>2020.0</v>
      </c>
      <c r="E7073" s="193"/>
      <c r="F7073" s="195" t="s">
        <v>26639</v>
      </c>
      <c r="G7073" s="196">
        <v>4.4330721E7</v>
      </c>
      <c r="H7073" s="197">
        <v>0.91</v>
      </c>
      <c r="I7073" s="7" t="s">
        <v>16815</v>
      </c>
      <c r="J7073" s="7" t="s">
        <v>187</v>
      </c>
      <c r="K7073" s="7" t="s">
        <v>16851</v>
      </c>
      <c r="L7073" s="198" t="s">
        <v>65</v>
      </c>
      <c r="M7073" s="194"/>
      <c r="N7073" s="194"/>
    </row>
    <row r="7074">
      <c r="A7074" s="193" t="s">
        <v>26640</v>
      </c>
      <c r="B7074" s="7" t="s">
        <v>175</v>
      </c>
      <c r="C7074" s="7" t="s">
        <v>16824</v>
      </c>
      <c r="D7074" s="194">
        <v>2021.0</v>
      </c>
      <c r="E7074" s="193"/>
      <c r="F7074" s="195" t="s">
        <v>26641</v>
      </c>
      <c r="G7074" s="196">
        <v>4.4110327E7</v>
      </c>
      <c r="H7074" s="197">
        <v>11.64</v>
      </c>
      <c r="I7074" s="7" t="s">
        <v>16826</v>
      </c>
      <c r="J7074" s="7" t="s">
        <v>175</v>
      </c>
      <c r="K7074" s="7" t="s">
        <v>16824</v>
      </c>
      <c r="L7074" s="198" t="s">
        <v>65</v>
      </c>
      <c r="M7074" s="194"/>
      <c r="N7074" s="194"/>
    </row>
    <row r="7075">
      <c r="A7075" s="193" t="s">
        <v>26642</v>
      </c>
      <c r="B7075" s="7" t="s">
        <v>17112</v>
      </c>
      <c r="C7075" s="7" t="s">
        <v>17218</v>
      </c>
      <c r="D7075" s="194">
        <v>2016.0</v>
      </c>
      <c r="E7075" s="193"/>
      <c r="F7075" s="195" t="s">
        <v>26643</v>
      </c>
      <c r="G7075" s="196">
        <v>4.4028711E7</v>
      </c>
      <c r="H7075" s="197">
        <v>7.82</v>
      </c>
      <c r="I7075" s="7" t="s">
        <v>16815</v>
      </c>
      <c r="J7075" s="7" t="s">
        <v>17112</v>
      </c>
      <c r="K7075" s="7" t="s">
        <v>17218</v>
      </c>
      <c r="L7075" s="198" t="s">
        <v>65</v>
      </c>
      <c r="M7075" s="194"/>
      <c r="N7075" s="194"/>
    </row>
    <row r="7076">
      <c r="A7076" s="193" t="s">
        <v>26642</v>
      </c>
      <c r="B7076" s="202" t="s">
        <v>17218</v>
      </c>
      <c r="C7076" s="193" t="s">
        <v>17112</v>
      </c>
      <c r="D7076" s="193">
        <v>2016.0</v>
      </c>
      <c r="E7076" s="193"/>
      <c r="F7076" s="203" t="s">
        <v>26643</v>
      </c>
      <c r="G7076" s="200">
        <v>4.4028711E7</v>
      </c>
      <c r="H7076" s="205">
        <v>13.2</v>
      </c>
      <c r="J7076" s="202" t="s">
        <v>17218</v>
      </c>
      <c r="K7076" s="193" t="s">
        <v>17112</v>
      </c>
      <c r="L7076" s="193" t="s">
        <v>17471</v>
      </c>
      <c r="M7076" s="193"/>
      <c r="N7076" s="193"/>
    </row>
    <row r="7077">
      <c r="A7077" s="193" t="s">
        <v>26644</v>
      </c>
      <c r="B7077" s="7" t="s">
        <v>17112</v>
      </c>
      <c r="C7077" s="7" t="s">
        <v>17111</v>
      </c>
      <c r="D7077" s="194">
        <v>2023.0</v>
      </c>
      <c r="E7077" s="193"/>
      <c r="F7077" s="195" t="s">
        <v>26645</v>
      </c>
      <c r="G7077" s="196">
        <v>4.3988065E7</v>
      </c>
      <c r="H7077" s="197">
        <v>6.91</v>
      </c>
      <c r="I7077" s="7" t="s">
        <v>16815</v>
      </c>
      <c r="J7077" s="7" t="s">
        <v>17112</v>
      </c>
      <c r="K7077" s="7" t="s">
        <v>17111</v>
      </c>
      <c r="L7077" s="198" t="s">
        <v>65</v>
      </c>
      <c r="M7077" s="194"/>
      <c r="N7077" s="194"/>
    </row>
    <row r="7078">
      <c r="A7078" s="193" t="s">
        <v>26644</v>
      </c>
      <c r="B7078" s="202" t="s">
        <v>17111</v>
      </c>
      <c r="C7078" s="193" t="s">
        <v>17112</v>
      </c>
      <c r="D7078" s="193">
        <v>2023.0</v>
      </c>
      <c r="E7078" s="193"/>
      <c r="F7078" s="203" t="s">
        <v>26645</v>
      </c>
      <c r="G7078" s="200">
        <v>4.3988065E7</v>
      </c>
      <c r="H7078" s="205">
        <v>7.82</v>
      </c>
      <c r="J7078" s="202" t="s">
        <v>17111</v>
      </c>
      <c r="K7078" s="193" t="s">
        <v>17112</v>
      </c>
      <c r="L7078" s="193" t="s">
        <v>17471</v>
      </c>
      <c r="M7078" s="193"/>
      <c r="N7078" s="193"/>
    </row>
    <row r="7079">
      <c r="A7079" s="193" t="s">
        <v>26646</v>
      </c>
      <c r="B7079" s="7" t="s">
        <v>187</v>
      </c>
      <c r="C7079" s="7" t="s">
        <v>16858</v>
      </c>
      <c r="D7079" s="194">
        <v>2022.0</v>
      </c>
      <c r="E7079" s="193"/>
      <c r="F7079" s="195" t="s">
        <v>26647</v>
      </c>
      <c r="G7079" s="196">
        <v>4.3894194E7</v>
      </c>
      <c r="H7079" s="197">
        <v>1.72</v>
      </c>
      <c r="I7079" s="7" t="s">
        <v>16815</v>
      </c>
      <c r="J7079" s="7" t="s">
        <v>187</v>
      </c>
      <c r="K7079" s="7" t="s">
        <v>16858</v>
      </c>
      <c r="L7079" s="198" t="s">
        <v>65</v>
      </c>
      <c r="M7079" s="194"/>
      <c r="N7079" s="194"/>
    </row>
    <row r="7080">
      <c r="A7080" s="193" t="s">
        <v>26648</v>
      </c>
      <c r="B7080" s="7" t="s">
        <v>175</v>
      </c>
      <c r="C7080" s="7" t="s">
        <v>17391</v>
      </c>
      <c r="D7080" s="199"/>
      <c r="E7080" s="193"/>
      <c r="F7080" s="195" t="s">
        <v>26649</v>
      </c>
      <c r="G7080" s="196">
        <v>4.3787456E7</v>
      </c>
      <c r="H7080" s="197">
        <v>0.5396</v>
      </c>
      <c r="I7080" s="7" t="s">
        <v>16908</v>
      </c>
      <c r="J7080" s="7" t="s">
        <v>175</v>
      </c>
      <c r="K7080" s="7" t="s">
        <v>17391</v>
      </c>
      <c r="L7080" s="198" t="s">
        <v>65</v>
      </c>
      <c r="M7080" s="199"/>
      <c r="N7080" s="199"/>
    </row>
    <row r="7081">
      <c r="A7081" s="193" t="s">
        <v>26650</v>
      </c>
      <c r="D7081" s="199"/>
      <c r="E7081" s="193"/>
      <c r="F7081" s="195" t="s">
        <v>26651</v>
      </c>
      <c r="G7081" s="196">
        <v>4.36606E7</v>
      </c>
      <c r="H7081" s="197">
        <v>3.98</v>
      </c>
      <c r="I7081" s="7" t="s">
        <v>16815</v>
      </c>
      <c r="L7081" s="198" t="s">
        <v>65</v>
      </c>
      <c r="M7081" s="199"/>
      <c r="N7081" s="199"/>
    </row>
    <row r="7082">
      <c r="A7082" s="193" t="s">
        <v>26650</v>
      </c>
      <c r="B7082" s="208"/>
      <c r="C7082" s="206"/>
      <c r="D7082" s="206"/>
      <c r="E7082" s="193"/>
      <c r="F7082" s="203" t="s">
        <v>26651</v>
      </c>
      <c r="G7082" s="200">
        <v>4.36606E7</v>
      </c>
      <c r="H7082" s="205">
        <v>6.91</v>
      </c>
      <c r="J7082" s="208"/>
      <c r="K7082" s="206"/>
      <c r="L7082" s="193" t="s">
        <v>17471</v>
      </c>
      <c r="M7082" s="206"/>
      <c r="N7082" s="206"/>
    </row>
    <row r="7083">
      <c r="A7083" s="193" t="s">
        <v>26652</v>
      </c>
      <c r="B7083" s="7" t="s">
        <v>16838</v>
      </c>
      <c r="C7083" s="7" t="s">
        <v>17016</v>
      </c>
      <c r="D7083" s="199"/>
      <c r="E7083" s="193"/>
      <c r="F7083" s="195" t="s">
        <v>26653</v>
      </c>
      <c r="G7083" s="196">
        <v>4.365151E7</v>
      </c>
      <c r="H7083" s="197">
        <v>20.9</v>
      </c>
      <c r="I7083" s="7" t="s">
        <v>16815</v>
      </c>
      <c r="J7083" s="7" t="s">
        <v>16838</v>
      </c>
      <c r="K7083" s="7" t="s">
        <v>17016</v>
      </c>
      <c r="L7083" s="198" t="s">
        <v>65</v>
      </c>
      <c r="M7083" s="199"/>
      <c r="N7083" s="199"/>
    </row>
    <row r="7084">
      <c r="A7084" s="193" t="s">
        <v>26654</v>
      </c>
      <c r="B7084" s="7" t="s">
        <v>187</v>
      </c>
      <c r="C7084" s="7" t="s">
        <v>16846</v>
      </c>
      <c r="D7084" s="199"/>
      <c r="E7084" s="193"/>
      <c r="F7084" s="195" t="s">
        <v>26655</v>
      </c>
      <c r="G7084" s="196">
        <v>4.3572834E7</v>
      </c>
      <c r="H7084" s="197">
        <v>1.69</v>
      </c>
      <c r="I7084" s="7" t="s">
        <v>16815</v>
      </c>
      <c r="J7084" s="7" t="s">
        <v>187</v>
      </c>
      <c r="K7084" s="7" t="s">
        <v>16846</v>
      </c>
      <c r="L7084" s="198" t="s">
        <v>65</v>
      </c>
      <c r="M7084" s="199"/>
      <c r="N7084" s="199"/>
    </row>
    <row r="7085">
      <c r="A7085" s="193" t="s">
        <v>26656</v>
      </c>
      <c r="B7085" s="7" t="s">
        <v>175</v>
      </c>
      <c r="C7085" s="7" t="s">
        <v>18723</v>
      </c>
      <c r="D7085" s="194">
        <v>2021.0</v>
      </c>
      <c r="E7085" s="193"/>
      <c r="F7085" s="195" t="s">
        <v>26657</v>
      </c>
      <c r="G7085" s="196">
        <v>4.3543664E7</v>
      </c>
      <c r="H7085" s="197">
        <v>0.3005</v>
      </c>
      <c r="I7085" s="7" t="s">
        <v>16908</v>
      </c>
      <c r="J7085" s="7" t="s">
        <v>175</v>
      </c>
      <c r="K7085" s="7" t="s">
        <v>18723</v>
      </c>
      <c r="L7085" s="198" t="s">
        <v>65</v>
      </c>
      <c r="M7085" s="194"/>
      <c r="N7085" s="194"/>
    </row>
    <row r="7086">
      <c r="A7086" s="193" t="s">
        <v>26658</v>
      </c>
      <c r="B7086" s="7" t="s">
        <v>16838</v>
      </c>
      <c r="C7086" s="7" t="s">
        <v>17104</v>
      </c>
      <c r="D7086" s="194">
        <v>2020.0</v>
      </c>
      <c r="E7086" s="193"/>
      <c r="F7086" s="195" t="s">
        <v>26659</v>
      </c>
      <c r="G7086" s="196">
        <v>4.3491789E7</v>
      </c>
      <c r="H7086" s="197">
        <v>0.85</v>
      </c>
      <c r="I7086" s="7" t="s">
        <v>16815</v>
      </c>
      <c r="J7086" s="7" t="s">
        <v>16838</v>
      </c>
      <c r="K7086" s="7" t="s">
        <v>17104</v>
      </c>
      <c r="L7086" s="198" t="s">
        <v>65</v>
      </c>
      <c r="M7086" s="194"/>
      <c r="N7086" s="194"/>
    </row>
    <row r="7087">
      <c r="A7087" s="193" t="s">
        <v>26660</v>
      </c>
      <c r="B7087" s="7" t="s">
        <v>19579</v>
      </c>
      <c r="C7087" s="7" t="s">
        <v>16838</v>
      </c>
      <c r="D7087" s="194">
        <v>1992.0</v>
      </c>
      <c r="E7087" s="193"/>
      <c r="F7087" s="195" t="s">
        <v>26661</v>
      </c>
      <c r="G7087" s="200">
        <v>4.3448588E7</v>
      </c>
      <c r="H7087" s="197">
        <v>11.07</v>
      </c>
      <c r="I7087" s="193" t="s">
        <v>16815</v>
      </c>
      <c r="J7087" s="7" t="s">
        <v>19579</v>
      </c>
      <c r="K7087" s="7" t="s">
        <v>16838</v>
      </c>
      <c r="L7087" s="201" t="s">
        <v>16835</v>
      </c>
      <c r="M7087" s="194"/>
      <c r="N7087" s="194"/>
    </row>
    <row r="7088">
      <c r="A7088" s="193" t="s">
        <v>26660</v>
      </c>
      <c r="B7088" s="7" t="s">
        <v>16838</v>
      </c>
      <c r="C7088" s="7" t="s">
        <v>19579</v>
      </c>
      <c r="D7088" s="194">
        <v>1992.0</v>
      </c>
      <c r="E7088" s="193"/>
      <c r="F7088" s="195" t="s">
        <v>26661</v>
      </c>
      <c r="G7088" s="196">
        <v>4.3448588E7</v>
      </c>
      <c r="H7088" s="197">
        <v>11.07</v>
      </c>
      <c r="I7088" s="7" t="s">
        <v>16815</v>
      </c>
      <c r="J7088" s="7" t="s">
        <v>16838</v>
      </c>
      <c r="K7088" s="7" t="s">
        <v>19579</v>
      </c>
      <c r="L7088" s="198" t="s">
        <v>65</v>
      </c>
      <c r="M7088" s="194"/>
      <c r="N7088" s="194"/>
    </row>
    <row r="7089">
      <c r="A7089" s="193" t="s">
        <v>26662</v>
      </c>
      <c r="B7089" s="7" t="s">
        <v>16582</v>
      </c>
      <c r="C7089" s="7" t="s">
        <v>17339</v>
      </c>
      <c r="D7089" s="194">
        <v>1983.0</v>
      </c>
      <c r="E7089" s="193"/>
      <c r="F7089" s="195" t="s">
        <v>26663</v>
      </c>
      <c r="G7089" s="196">
        <v>4.3262721E7</v>
      </c>
      <c r="H7089" s="197">
        <v>4.02</v>
      </c>
      <c r="I7089" s="7" t="s">
        <v>16815</v>
      </c>
      <c r="J7089" s="7" t="s">
        <v>16582</v>
      </c>
      <c r="K7089" s="7" t="s">
        <v>17339</v>
      </c>
      <c r="L7089" s="198" t="s">
        <v>65</v>
      </c>
      <c r="M7089" s="194"/>
      <c r="N7089" s="194"/>
    </row>
    <row r="7090">
      <c r="A7090" s="193" t="s">
        <v>26664</v>
      </c>
      <c r="B7090" s="7" t="s">
        <v>17112</v>
      </c>
      <c r="C7090" s="7" t="s">
        <v>16838</v>
      </c>
      <c r="D7090" s="194">
        <v>2018.0</v>
      </c>
      <c r="E7090" s="193"/>
      <c r="F7090" s="195" t="s">
        <v>26665</v>
      </c>
      <c r="G7090" s="200">
        <v>4.3131678E7</v>
      </c>
      <c r="H7090" s="197">
        <v>1.76</v>
      </c>
      <c r="I7090" s="7" t="s">
        <v>16815</v>
      </c>
      <c r="J7090" s="7" t="s">
        <v>17112</v>
      </c>
      <c r="K7090" s="7" t="s">
        <v>16838</v>
      </c>
      <c r="L7090" s="201" t="s">
        <v>16835</v>
      </c>
      <c r="M7090" s="194"/>
      <c r="N7090" s="194"/>
    </row>
    <row r="7091">
      <c r="A7091" s="193" t="s">
        <v>26664</v>
      </c>
      <c r="B7091" s="7" t="s">
        <v>16838</v>
      </c>
      <c r="C7091" s="7" t="s">
        <v>17112</v>
      </c>
      <c r="D7091" s="194">
        <v>2018.0</v>
      </c>
      <c r="E7091" s="193"/>
      <c r="F7091" s="195" t="s">
        <v>26665</v>
      </c>
      <c r="G7091" s="196">
        <v>4.3131678E7</v>
      </c>
      <c r="H7091" s="197">
        <v>1.76</v>
      </c>
      <c r="I7091" s="7" t="s">
        <v>16815</v>
      </c>
      <c r="J7091" s="7" t="s">
        <v>16838</v>
      </c>
      <c r="K7091" s="7" t="s">
        <v>17112</v>
      </c>
      <c r="L7091" s="198" t="s">
        <v>65</v>
      </c>
      <c r="M7091" s="194"/>
      <c r="N7091" s="194"/>
    </row>
    <row r="7092">
      <c r="A7092" s="193" t="s">
        <v>26666</v>
      </c>
      <c r="B7092" s="7" t="s">
        <v>17112</v>
      </c>
      <c r="C7092" s="7" t="s">
        <v>17218</v>
      </c>
      <c r="D7092" s="194">
        <v>2022.0</v>
      </c>
      <c r="E7092" s="193"/>
      <c r="F7092" s="195" t="s">
        <v>26667</v>
      </c>
      <c r="G7092" s="196">
        <v>4.299405E7</v>
      </c>
      <c r="H7092" s="197">
        <v>0.71</v>
      </c>
      <c r="I7092" s="7" t="s">
        <v>16815</v>
      </c>
      <c r="J7092" s="7" t="s">
        <v>17112</v>
      </c>
      <c r="K7092" s="7" t="s">
        <v>17218</v>
      </c>
      <c r="L7092" s="198" t="s">
        <v>65</v>
      </c>
      <c r="M7092" s="194"/>
      <c r="N7092" s="194"/>
    </row>
    <row r="7093">
      <c r="A7093" s="193" t="s">
        <v>26668</v>
      </c>
      <c r="B7093" s="7" t="s">
        <v>16582</v>
      </c>
      <c r="C7093" s="7" t="s">
        <v>17183</v>
      </c>
      <c r="D7093" s="194">
        <v>2021.0</v>
      </c>
      <c r="E7093" s="193"/>
      <c r="F7093" s="195" t="s">
        <v>26669</v>
      </c>
      <c r="G7093" s="196">
        <v>4.2915509E7</v>
      </c>
      <c r="H7093" s="197">
        <v>0.7301</v>
      </c>
      <c r="I7093" s="7" t="s">
        <v>16815</v>
      </c>
      <c r="J7093" s="7" t="s">
        <v>16582</v>
      </c>
      <c r="K7093" s="7" t="s">
        <v>17183</v>
      </c>
      <c r="L7093" s="198" t="s">
        <v>65</v>
      </c>
      <c r="M7093" s="194"/>
      <c r="N7093" s="194"/>
    </row>
    <row r="7094">
      <c r="A7094" s="193" t="s">
        <v>26670</v>
      </c>
      <c r="B7094" s="7" t="s">
        <v>175</v>
      </c>
      <c r="C7094" s="7" t="s">
        <v>20344</v>
      </c>
      <c r="D7094" s="199"/>
      <c r="E7094" s="193"/>
      <c r="F7094" s="195" t="s">
        <v>26671</v>
      </c>
      <c r="G7094" s="196">
        <v>4.2914132E7</v>
      </c>
      <c r="H7094" s="197">
        <v>4.2262</v>
      </c>
      <c r="I7094" s="7" t="s">
        <v>16908</v>
      </c>
      <c r="J7094" s="7" t="s">
        <v>175</v>
      </c>
      <c r="K7094" s="7" t="s">
        <v>20344</v>
      </c>
      <c r="L7094" s="198" t="s">
        <v>65</v>
      </c>
      <c r="M7094" s="199"/>
      <c r="N7094" s="199"/>
    </row>
    <row r="7095">
      <c r="A7095" s="193" t="s">
        <v>26672</v>
      </c>
      <c r="B7095" s="7" t="s">
        <v>16582</v>
      </c>
      <c r="C7095" s="7" t="s">
        <v>16930</v>
      </c>
      <c r="D7095" s="194">
        <v>2018.0</v>
      </c>
      <c r="E7095" s="193"/>
      <c r="F7095" s="195" t="s">
        <v>26673</v>
      </c>
      <c r="G7095" s="196">
        <v>4.2841578E7</v>
      </c>
      <c r="H7095" s="197">
        <v>0.459</v>
      </c>
      <c r="I7095" s="7" t="s">
        <v>16815</v>
      </c>
      <c r="J7095" s="7" t="s">
        <v>16582</v>
      </c>
      <c r="K7095" s="7" t="s">
        <v>16930</v>
      </c>
      <c r="L7095" s="198" t="s">
        <v>65</v>
      </c>
      <c r="M7095" s="194"/>
      <c r="N7095" s="194"/>
    </row>
    <row r="7096">
      <c r="A7096" s="193" t="s">
        <v>26674</v>
      </c>
      <c r="B7096" s="7" t="s">
        <v>16582</v>
      </c>
      <c r="C7096" s="7" t="s">
        <v>17183</v>
      </c>
      <c r="D7096" s="199"/>
      <c r="E7096" s="193"/>
      <c r="F7096" s="195" t="s">
        <v>26675</v>
      </c>
      <c r="G7096" s="196">
        <v>4.2787282E7</v>
      </c>
      <c r="H7096" s="197">
        <v>0.4502</v>
      </c>
      <c r="I7096" s="7" t="s">
        <v>16815</v>
      </c>
      <c r="J7096" s="7" t="s">
        <v>16582</v>
      </c>
      <c r="K7096" s="7" t="s">
        <v>17183</v>
      </c>
      <c r="L7096" s="198" t="s">
        <v>65</v>
      </c>
      <c r="M7096" s="199"/>
      <c r="N7096" s="199"/>
    </row>
    <row r="7097">
      <c r="A7097" s="193" t="s">
        <v>26676</v>
      </c>
      <c r="B7097" s="7" t="s">
        <v>187</v>
      </c>
      <c r="C7097" s="7" t="s">
        <v>16992</v>
      </c>
      <c r="D7097" s="194">
        <v>2020.0</v>
      </c>
      <c r="E7097" s="193"/>
      <c r="F7097" s="195" t="s">
        <v>26677</v>
      </c>
      <c r="G7097" s="196">
        <v>4.2746227E7</v>
      </c>
      <c r="H7097" s="197">
        <v>1.05</v>
      </c>
      <c r="I7097" s="7" t="s">
        <v>16815</v>
      </c>
      <c r="J7097" s="7" t="s">
        <v>187</v>
      </c>
      <c r="K7097" s="7" t="s">
        <v>16992</v>
      </c>
      <c r="L7097" s="198" t="s">
        <v>65</v>
      </c>
      <c r="M7097" s="194"/>
      <c r="N7097" s="194"/>
    </row>
    <row r="7098">
      <c r="A7098" s="193" t="s">
        <v>26678</v>
      </c>
      <c r="B7098" s="7" t="s">
        <v>187</v>
      </c>
      <c r="C7098" s="7" t="s">
        <v>19444</v>
      </c>
      <c r="D7098" s="194">
        <v>2022.0</v>
      </c>
      <c r="E7098" s="193"/>
      <c r="F7098" s="195" t="s">
        <v>26679</v>
      </c>
      <c r="G7098" s="196">
        <v>4.2676943E7</v>
      </c>
      <c r="H7098" s="197">
        <v>5.15</v>
      </c>
      <c r="I7098" s="7" t="s">
        <v>16815</v>
      </c>
      <c r="J7098" s="7" t="s">
        <v>187</v>
      </c>
      <c r="K7098" s="7" t="s">
        <v>19444</v>
      </c>
      <c r="L7098" s="198" t="s">
        <v>65</v>
      </c>
      <c r="M7098" s="194"/>
      <c r="N7098" s="194"/>
    </row>
    <row r="7099">
      <c r="A7099" s="193" t="s">
        <v>26678</v>
      </c>
      <c r="B7099" s="202" t="s">
        <v>19444</v>
      </c>
      <c r="C7099" s="193" t="s">
        <v>187</v>
      </c>
      <c r="D7099" s="193">
        <v>2022.0</v>
      </c>
      <c r="E7099" s="193"/>
      <c r="F7099" s="203" t="s">
        <v>26679</v>
      </c>
      <c r="G7099" s="200">
        <v>4.2676943E7</v>
      </c>
      <c r="H7099" s="205">
        <v>3.98</v>
      </c>
      <c r="J7099" s="202" t="s">
        <v>19444</v>
      </c>
      <c r="K7099" s="193" t="s">
        <v>187</v>
      </c>
      <c r="L7099" s="193" t="s">
        <v>17471</v>
      </c>
      <c r="M7099" s="193"/>
      <c r="N7099" s="193"/>
    </row>
    <row r="7100">
      <c r="A7100" s="193" t="s">
        <v>26680</v>
      </c>
      <c r="B7100" s="7" t="s">
        <v>175</v>
      </c>
      <c r="C7100" s="7" t="s">
        <v>17233</v>
      </c>
      <c r="D7100" s="199"/>
      <c r="E7100" s="193"/>
      <c r="F7100" s="195" t="s">
        <v>26681</v>
      </c>
      <c r="G7100" s="196">
        <v>4.25148E7</v>
      </c>
      <c r="H7100" s="197">
        <v>14.97</v>
      </c>
      <c r="I7100" s="7" t="s">
        <v>16908</v>
      </c>
      <c r="J7100" s="7" t="s">
        <v>175</v>
      </c>
      <c r="K7100" s="7" t="s">
        <v>17233</v>
      </c>
      <c r="L7100" s="198" t="s">
        <v>65</v>
      </c>
      <c r="M7100" s="199"/>
      <c r="N7100" s="199"/>
    </row>
    <row r="7101">
      <c r="A7101" s="193" t="s">
        <v>26682</v>
      </c>
      <c r="B7101" s="7" t="s">
        <v>169</v>
      </c>
      <c r="C7101" s="7" t="s">
        <v>17009</v>
      </c>
      <c r="D7101" s="194">
        <v>2005.0</v>
      </c>
      <c r="E7101" s="193"/>
      <c r="F7101" s="195" t="s">
        <v>26683</v>
      </c>
      <c r="G7101" s="196">
        <v>4.2431146E7</v>
      </c>
      <c r="H7101" s="197">
        <v>2.37</v>
      </c>
      <c r="I7101" s="7" t="s">
        <v>16815</v>
      </c>
      <c r="J7101" s="7" t="s">
        <v>169</v>
      </c>
      <c r="K7101" s="7" t="s">
        <v>17009</v>
      </c>
      <c r="L7101" s="198" t="s">
        <v>65</v>
      </c>
      <c r="M7101" s="194"/>
      <c r="N7101" s="194"/>
    </row>
    <row r="7102">
      <c r="A7102" s="193" t="s">
        <v>26684</v>
      </c>
      <c r="B7102" s="7" t="s">
        <v>187</v>
      </c>
      <c r="C7102" s="7" t="s">
        <v>17122</v>
      </c>
      <c r="D7102" s="194">
        <v>2020.0</v>
      </c>
      <c r="E7102" s="193"/>
      <c r="F7102" s="195" t="s">
        <v>26685</v>
      </c>
      <c r="G7102" s="196">
        <v>4.238612E7</v>
      </c>
      <c r="H7102" s="197">
        <v>5.0</v>
      </c>
      <c r="I7102" s="7" t="s">
        <v>16815</v>
      </c>
      <c r="J7102" s="7" t="s">
        <v>187</v>
      </c>
      <c r="K7102" s="7" t="s">
        <v>17122</v>
      </c>
      <c r="L7102" s="198" t="s">
        <v>65</v>
      </c>
      <c r="M7102" s="194"/>
      <c r="N7102" s="194"/>
    </row>
    <row r="7103">
      <c r="A7103" s="193" t="s">
        <v>26684</v>
      </c>
      <c r="B7103" s="7" t="s">
        <v>17122</v>
      </c>
      <c r="C7103" s="7" t="s">
        <v>187</v>
      </c>
      <c r="D7103" s="194">
        <v>2020.0</v>
      </c>
      <c r="E7103" s="193"/>
      <c r="F7103" s="195" t="s">
        <v>26685</v>
      </c>
      <c r="G7103" s="200">
        <v>4.238612E7</v>
      </c>
      <c r="H7103" s="197">
        <v>5.0</v>
      </c>
      <c r="I7103" s="7" t="s">
        <v>16815</v>
      </c>
      <c r="J7103" s="7" t="s">
        <v>17122</v>
      </c>
      <c r="K7103" s="7" t="s">
        <v>187</v>
      </c>
      <c r="L7103" s="201" t="s">
        <v>16835</v>
      </c>
      <c r="M7103" s="194"/>
      <c r="N7103" s="194"/>
    </row>
    <row r="7104">
      <c r="A7104" s="193" t="s">
        <v>26686</v>
      </c>
      <c r="B7104" s="7" t="s">
        <v>16838</v>
      </c>
      <c r="C7104" s="7" t="s">
        <v>17019</v>
      </c>
      <c r="D7104" s="199"/>
      <c r="E7104" s="193"/>
      <c r="F7104" s="195" t="s">
        <v>26687</v>
      </c>
      <c r="G7104" s="196">
        <v>4.2189704E7</v>
      </c>
      <c r="H7104" s="197">
        <v>5.83</v>
      </c>
      <c r="I7104" s="7" t="s">
        <v>16815</v>
      </c>
      <c r="J7104" s="7" t="s">
        <v>16838</v>
      </c>
      <c r="K7104" s="7" t="s">
        <v>17019</v>
      </c>
      <c r="L7104" s="198" t="s">
        <v>65</v>
      </c>
      <c r="M7104" s="199"/>
      <c r="N7104" s="199"/>
    </row>
    <row r="7105">
      <c r="A7105" s="193" t="s">
        <v>26688</v>
      </c>
      <c r="B7105" s="7" t="s">
        <v>175</v>
      </c>
      <c r="C7105" s="7" t="s">
        <v>17812</v>
      </c>
      <c r="D7105" s="199"/>
      <c r="E7105" s="193"/>
      <c r="F7105" s="195" t="s">
        <v>26689</v>
      </c>
      <c r="G7105" s="196">
        <v>4.2009365E7</v>
      </c>
      <c r="H7105" s="197">
        <v>14.88</v>
      </c>
      <c r="I7105" s="7" t="s">
        <v>16892</v>
      </c>
      <c r="J7105" s="7" t="s">
        <v>175</v>
      </c>
      <c r="K7105" s="7" t="s">
        <v>17812</v>
      </c>
      <c r="L7105" s="198" t="s">
        <v>65</v>
      </c>
      <c r="M7105" s="199"/>
      <c r="N7105" s="199"/>
    </row>
    <row r="7106">
      <c r="A7106" s="193" t="s">
        <v>26690</v>
      </c>
      <c r="B7106" s="7" t="s">
        <v>158</v>
      </c>
      <c r="C7106" s="7" t="s">
        <v>16864</v>
      </c>
      <c r="D7106" s="199"/>
      <c r="E7106" s="193"/>
      <c r="F7106" s="195" t="s">
        <v>26691</v>
      </c>
      <c r="G7106" s="196">
        <v>4.2000948E7</v>
      </c>
      <c r="H7106" s="197">
        <v>1.68</v>
      </c>
      <c r="I7106" s="7" t="s">
        <v>16897</v>
      </c>
      <c r="J7106" s="7" t="s">
        <v>158</v>
      </c>
      <c r="K7106" s="7" t="s">
        <v>16864</v>
      </c>
      <c r="L7106" s="198" t="s">
        <v>65</v>
      </c>
      <c r="M7106" s="199"/>
      <c r="N7106" s="199"/>
    </row>
    <row r="7107">
      <c r="A7107" s="193" t="s">
        <v>26692</v>
      </c>
      <c r="B7107" s="7" t="s">
        <v>187</v>
      </c>
      <c r="C7107" s="7" t="s">
        <v>17509</v>
      </c>
      <c r="D7107" s="194">
        <v>2014.0</v>
      </c>
      <c r="E7107" s="193"/>
      <c r="F7107" s="195" t="s">
        <v>26693</v>
      </c>
      <c r="G7107" s="196">
        <v>4.1955912E7</v>
      </c>
      <c r="H7107" s="197">
        <v>0.7</v>
      </c>
      <c r="I7107" s="7" t="s">
        <v>16815</v>
      </c>
      <c r="J7107" s="7" t="s">
        <v>187</v>
      </c>
      <c r="K7107" s="7" t="s">
        <v>17509</v>
      </c>
      <c r="L7107" s="198" t="s">
        <v>65</v>
      </c>
      <c r="M7107" s="194"/>
      <c r="N7107" s="194"/>
    </row>
    <row r="7108">
      <c r="A7108" s="193" t="s">
        <v>26694</v>
      </c>
      <c r="B7108" s="7" t="s">
        <v>169</v>
      </c>
      <c r="C7108" s="7" t="s">
        <v>16899</v>
      </c>
      <c r="D7108" s="199"/>
      <c r="E7108" s="193"/>
      <c r="F7108" s="195" t="s">
        <v>26695</v>
      </c>
      <c r="G7108" s="196">
        <v>4.1915321E7</v>
      </c>
      <c r="H7108" s="197">
        <v>1.87</v>
      </c>
      <c r="I7108" s="7" t="s">
        <v>16815</v>
      </c>
      <c r="J7108" s="7" t="s">
        <v>169</v>
      </c>
      <c r="K7108" s="7" t="s">
        <v>16899</v>
      </c>
      <c r="L7108" s="198" t="s">
        <v>65</v>
      </c>
      <c r="M7108" s="199"/>
      <c r="N7108" s="199"/>
    </row>
    <row r="7109">
      <c r="A7109" s="193" t="s">
        <v>26696</v>
      </c>
      <c r="B7109" s="7" t="s">
        <v>175</v>
      </c>
      <c r="C7109" s="7" t="s">
        <v>16842</v>
      </c>
      <c r="D7109" s="199"/>
      <c r="E7109" s="193"/>
      <c r="F7109" s="195" t="s">
        <v>26697</v>
      </c>
      <c r="G7109" s="196">
        <v>4.1906718E7</v>
      </c>
      <c r="H7109" s="197">
        <v>0.1716</v>
      </c>
      <c r="I7109" s="7" t="s">
        <v>16908</v>
      </c>
      <c r="J7109" s="7" t="s">
        <v>175</v>
      </c>
      <c r="K7109" s="7" t="s">
        <v>16842</v>
      </c>
      <c r="L7109" s="198" t="s">
        <v>65</v>
      </c>
      <c r="M7109" s="199"/>
      <c r="N7109" s="199"/>
    </row>
    <row r="7110">
      <c r="A7110" s="193" t="s">
        <v>26698</v>
      </c>
      <c r="B7110" s="7" t="s">
        <v>187</v>
      </c>
      <c r="C7110" s="7" t="s">
        <v>16846</v>
      </c>
      <c r="D7110" s="194">
        <v>1987.0</v>
      </c>
      <c r="E7110" s="193"/>
      <c r="F7110" s="195" t="s">
        <v>26699</v>
      </c>
      <c r="G7110" s="196">
        <v>4.1833066E7</v>
      </c>
      <c r="H7110" s="197">
        <v>5.4</v>
      </c>
      <c r="I7110" s="7" t="s">
        <v>16815</v>
      </c>
      <c r="J7110" s="7" t="s">
        <v>187</v>
      </c>
      <c r="K7110" s="7" t="s">
        <v>16846</v>
      </c>
      <c r="L7110" s="198" t="s">
        <v>65</v>
      </c>
      <c r="M7110" s="194"/>
      <c r="N7110" s="194"/>
    </row>
    <row r="7111">
      <c r="A7111" s="193" t="s">
        <v>26700</v>
      </c>
      <c r="B7111" s="7" t="s">
        <v>187</v>
      </c>
      <c r="C7111" s="7" t="s">
        <v>16846</v>
      </c>
      <c r="D7111" s="194">
        <v>2019.0</v>
      </c>
      <c r="E7111" s="193"/>
      <c r="F7111" s="195" t="s">
        <v>26701</v>
      </c>
      <c r="G7111" s="196">
        <v>4.1798559E7</v>
      </c>
      <c r="H7111" s="197">
        <v>0.2189</v>
      </c>
      <c r="I7111" s="7" t="s">
        <v>16815</v>
      </c>
      <c r="J7111" s="7" t="s">
        <v>187</v>
      </c>
      <c r="K7111" s="7" t="s">
        <v>16846</v>
      </c>
      <c r="L7111" s="198" t="s">
        <v>65</v>
      </c>
      <c r="M7111" s="194"/>
      <c r="N7111" s="194"/>
    </row>
    <row r="7112">
      <c r="A7112" s="193" t="s">
        <v>26702</v>
      </c>
      <c r="B7112" s="7" t="s">
        <v>187</v>
      </c>
      <c r="C7112" s="7" t="s">
        <v>17564</v>
      </c>
      <c r="D7112" s="199"/>
      <c r="E7112" s="193"/>
      <c r="F7112" s="195" t="s">
        <v>26703</v>
      </c>
      <c r="G7112" s="196">
        <v>4.1609231E7</v>
      </c>
      <c r="H7112" s="197">
        <v>4.08</v>
      </c>
      <c r="I7112" s="7" t="s">
        <v>16815</v>
      </c>
      <c r="J7112" s="7" t="s">
        <v>187</v>
      </c>
      <c r="K7112" s="7" t="s">
        <v>17564</v>
      </c>
      <c r="L7112" s="198" t="s">
        <v>65</v>
      </c>
      <c r="M7112" s="199"/>
      <c r="N7112" s="199"/>
    </row>
    <row r="7113">
      <c r="A7113" s="193" t="s">
        <v>26704</v>
      </c>
      <c r="B7113" s="7" t="s">
        <v>16582</v>
      </c>
      <c r="C7113" s="7" t="s">
        <v>16813</v>
      </c>
      <c r="D7113" s="194">
        <v>2018.0</v>
      </c>
      <c r="E7113" s="193"/>
      <c r="F7113" s="195" t="s">
        <v>26705</v>
      </c>
      <c r="G7113" s="196">
        <v>4.1291478E7</v>
      </c>
      <c r="H7113" s="197">
        <v>2.01</v>
      </c>
      <c r="I7113" s="7" t="s">
        <v>16815</v>
      </c>
      <c r="J7113" s="7" t="s">
        <v>16582</v>
      </c>
      <c r="K7113" s="7" t="s">
        <v>16813</v>
      </c>
      <c r="L7113" s="198" t="s">
        <v>65</v>
      </c>
      <c r="M7113" s="194"/>
      <c r="N7113" s="194"/>
    </row>
    <row r="7114">
      <c r="A7114" s="193" t="s">
        <v>26706</v>
      </c>
      <c r="B7114" s="7" t="s">
        <v>187</v>
      </c>
      <c r="C7114" s="7" t="s">
        <v>16851</v>
      </c>
      <c r="D7114" s="194">
        <v>2021.0</v>
      </c>
      <c r="E7114" s="193"/>
      <c r="F7114" s="195" t="s">
        <v>26707</v>
      </c>
      <c r="G7114" s="196">
        <v>4.1211736E7</v>
      </c>
      <c r="H7114" s="197">
        <v>0.972</v>
      </c>
      <c r="I7114" s="7" t="s">
        <v>16815</v>
      </c>
      <c r="J7114" s="7" t="s">
        <v>187</v>
      </c>
      <c r="K7114" s="7" t="s">
        <v>16851</v>
      </c>
      <c r="L7114" s="198" t="s">
        <v>65</v>
      </c>
      <c r="M7114" s="194"/>
      <c r="N7114" s="194"/>
    </row>
    <row r="7115">
      <c r="A7115" s="193" t="s">
        <v>26708</v>
      </c>
      <c r="B7115" s="7" t="s">
        <v>16838</v>
      </c>
      <c r="C7115" s="7" t="s">
        <v>17016</v>
      </c>
      <c r="D7115" s="194">
        <v>2022.0</v>
      </c>
      <c r="E7115" s="193"/>
      <c r="F7115" s="195" t="s">
        <v>26709</v>
      </c>
      <c r="G7115" s="196">
        <v>4.1199036E7</v>
      </c>
      <c r="H7115" s="197">
        <v>1.0461</v>
      </c>
      <c r="I7115" s="7" t="s">
        <v>16815</v>
      </c>
      <c r="J7115" s="7" t="s">
        <v>16838</v>
      </c>
      <c r="K7115" s="7" t="s">
        <v>17016</v>
      </c>
      <c r="L7115" s="198" t="s">
        <v>65</v>
      </c>
      <c r="M7115" s="194"/>
      <c r="N7115" s="194"/>
    </row>
    <row r="7116">
      <c r="A7116" s="193" t="s">
        <v>26708</v>
      </c>
      <c r="B7116" s="202" t="s">
        <v>17016</v>
      </c>
      <c r="C7116" s="193" t="s">
        <v>16838</v>
      </c>
      <c r="D7116" s="193">
        <v>2022.0</v>
      </c>
      <c r="E7116" s="193"/>
      <c r="F7116" s="203" t="s">
        <v>26709</v>
      </c>
      <c r="G7116" s="200">
        <v>4.1199036E7</v>
      </c>
      <c r="H7116" s="205">
        <v>5.15</v>
      </c>
      <c r="J7116" s="202" t="s">
        <v>17016</v>
      </c>
      <c r="K7116" s="193" t="s">
        <v>16838</v>
      </c>
      <c r="L7116" s="193" t="s">
        <v>17471</v>
      </c>
      <c r="M7116" s="193"/>
      <c r="N7116" s="193"/>
    </row>
    <row r="7117">
      <c r="A7117" s="193" t="s">
        <v>26710</v>
      </c>
      <c r="B7117" s="7" t="s">
        <v>16838</v>
      </c>
      <c r="C7117" s="7" t="s">
        <v>16837</v>
      </c>
      <c r="D7117" s="194">
        <v>2010.0</v>
      </c>
      <c r="E7117" s="193"/>
      <c r="F7117" s="195" t="s">
        <v>26711</v>
      </c>
      <c r="G7117" s="196">
        <v>4.1078232E7</v>
      </c>
      <c r="H7117" s="197">
        <v>13.11</v>
      </c>
      <c r="I7117" s="7" t="s">
        <v>16815</v>
      </c>
      <c r="J7117" s="7" t="s">
        <v>16838</v>
      </c>
      <c r="K7117" s="7" t="s">
        <v>16837</v>
      </c>
      <c r="L7117" s="198" t="s">
        <v>65</v>
      </c>
      <c r="M7117" s="194"/>
      <c r="N7117" s="194"/>
    </row>
    <row r="7118">
      <c r="A7118" s="193" t="s">
        <v>26712</v>
      </c>
      <c r="B7118" s="7" t="s">
        <v>16582</v>
      </c>
      <c r="C7118" s="7" t="s">
        <v>17342</v>
      </c>
      <c r="D7118" s="194">
        <v>2017.0</v>
      </c>
      <c r="E7118" s="193"/>
      <c r="F7118" s="195" t="s">
        <v>26713</v>
      </c>
      <c r="G7118" s="196">
        <v>4.1021214E7</v>
      </c>
      <c r="H7118" s="197">
        <v>0.4139</v>
      </c>
      <c r="I7118" s="7" t="s">
        <v>16815</v>
      </c>
      <c r="J7118" s="7" t="s">
        <v>16582</v>
      </c>
      <c r="K7118" s="7" t="s">
        <v>17342</v>
      </c>
      <c r="L7118" s="198" t="s">
        <v>65</v>
      </c>
      <c r="M7118" s="194"/>
      <c r="N7118" s="194"/>
    </row>
    <row r="7119">
      <c r="A7119" s="193" t="s">
        <v>26714</v>
      </c>
      <c r="B7119" s="7" t="s">
        <v>169</v>
      </c>
      <c r="C7119" s="7" t="s">
        <v>16899</v>
      </c>
      <c r="D7119" s="199"/>
      <c r="E7119" s="193"/>
      <c r="F7119" s="195" t="s">
        <v>26715</v>
      </c>
      <c r="G7119" s="196">
        <v>4.0987988E7</v>
      </c>
      <c r="H7119" s="197">
        <v>12.83</v>
      </c>
      <c r="I7119" s="7" t="s">
        <v>16815</v>
      </c>
      <c r="J7119" s="7" t="s">
        <v>169</v>
      </c>
      <c r="K7119" s="7" t="s">
        <v>16899</v>
      </c>
      <c r="L7119" s="198" t="s">
        <v>65</v>
      </c>
      <c r="M7119" s="199"/>
      <c r="N7119" s="199"/>
    </row>
    <row r="7120">
      <c r="A7120" s="193" t="s">
        <v>26716</v>
      </c>
      <c r="B7120" s="7" t="s">
        <v>175</v>
      </c>
      <c r="C7120" s="7" t="s">
        <v>16842</v>
      </c>
      <c r="D7120" s="199"/>
      <c r="E7120" s="193"/>
      <c r="F7120" s="195" t="s">
        <v>26717</v>
      </c>
      <c r="G7120" s="196">
        <v>4.089768E7</v>
      </c>
      <c r="H7120" s="197">
        <v>3.665</v>
      </c>
      <c r="I7120" s="7" t="s">
        <v>26718</v>
      </c>
      <c r="J7120" s="7" t="s">
        <v>175</v>
      </c>
      <c r="K7120" s="7" t="s">
        <v>16842</v>
      </c>
      <c r="L7120" s="198" t="s">
        <v>65</v>
      </c>
      <c r="M7120" s="199"/>
      <c r="N7120" s="199"/>
    </row>
    <row r="7121">
      <c r="A7121" s="193" t="s">
        <v>26719</v>
      </c>
      <c r="B7121" s="7" t="s">
        <v>158</v>
      </c>
      <c r="C7121" s="7" t="s">
        <v>17339</v>
      </c>
      <c r="D7121" s="194">
        <v>2021.0</v>
      </c>
      <c r="E7121" s="193"/>
      <c r="F7121" s="195" t="s">
        <v>26720</v>
      </c>
      <c r="G7121" s="196">
        <v>4.0862157E7</v>
      </c>
      <c r="H7121" s="197">
        <v>0.229</v>
      </c>
      <c r="I7121" s="7" t="s">
        <v>180</v>
      </c>
      <c r="J7121" s="7" t="s">
        <v>158</v>
      </c>
      <c r="K7121" s="7" t="s">
        <v>17339</v>
      </c>
      <c r="L7121" s="198" t="s">
        <v>65</v>
      </c>
      <c r="M7121" s="194"/>
      <c r="N7121" s="194"/>
    </row>
    <row r="7122">
      <c r="A7122" s="193" t="s">
        <v>26721</v>
      </c>
      <c r="B7122" s="7" t="s">
        <v>187</v>
      </c>
      <c r="C7122" s="7" t="s">
        <v>18633</v>
      </c>
      <c r="D7122" s="194">
        <v>2021.0</v>
      </c>
      <c r="E7122" s="193"/>
      <c r="F7122" s="195" t="s">
        <v>26722</v>
      </c>
      <c r="G7122" s="196">
        <v>4.0764162E7</v>
      </c>
      <c r="H7122" s="197">
        <v>0.1302</v>
      </c>
      <c r="I7122" s="7" t="s">
        <v>16815</v>
      </c>
      <c r="J7122" s="7" t="s">
        <v>187</v>
      </c>
      <c r="K7122" s="7" t="s">
        <v>18633</v>
      </c>
      <c r="L7122" s="198" t="s">
        <v>65</v>
      </c>
      <c r="M7122" s="194"/>
      <c r="N7122" s="194"/>
    </row>
    <row r="7123">
      <c r="A7123" s="193" t="s">
        <v>26723</v>
      </c>
      <c r="B7123" s="7" t="s">
        <v>187</v>
      </c>
      <c r="C7123" s="7" t="s">
        <v>16846</v>
      </c>
      <c r="D7123" s="199"/>
      <c r="E7123" s="193"/>
      <c r="F7123" s="195" t="s">
        <v>26724</v>
      </c>
      <c r="G7123" s="196">
        <v>4.0752043E7</v>
      </c>
      <c r="H7123" s="197">
        <v>1.08</v>
      </c>
      <c r="I7123" s="7" t="s">
        <v>16815</v>
      </c>
      <c r="J7123" s="7" t="s">
        <v>187</v>
      </c>
      <c r="K7123" s="7" t="s">
        <v>16846</v>
      </c>
      <c r="L7123" s="198" t="s">
        <v>65</v>
      </c>
      <c r="M7123" s="199"/>
      <c r="N7123" s="199"/>
    </row>
    <row r="7124">
      <c r="A7124" s="193" t="s">
        <v>26725</v>
      </c>
      <c r="B7124" s="7" t="s">
        <v>16838</v>
      </c>
      <c r="C7124" s="7" t="s">
        <v>18679</v>
      </c>
      <c r="D7124" s="199"/>
      <c r="E7124" s="193"/>
      <c r="F7124" s="195" t="s">
        <v>26726</v>
      </c>
      <c r="G7124" s="196">
        <v>4.0665374E7</v>
      </c>
      <c r="H7124" s="197">
        <v>3.92</v>
      </c>
      <c r="I7124" s="7" t="s">
        <v>16815</v>
      </c>
      <c r="J7124" s="7" t="s">
        <v>16838</v>
      </c>
      <c r="K7124" s="7" t="s">
        <v>18679</v>
      </c>
      <c r="L7124" s="198" t="s">
        <v>65</v>
      </c>
      <c r="M7124" s="199"/>
      <c r="N7124" s="199"/>
    </row>
    <row r="7125">
      <c r="A7125" s="193" t="s">
        <v>26727</v>
      </c>
      <c r="B7125" s="7" t="s">
        <v>169</v>
      </c>
      <c r="C7125" s="7" t="s">
        <v>17662</v>
      </c>
      <c r="D7125" s="194">
        <v>2023.0</v>
      </c>
      <c r="E7125" s="193"/>
      <c r="F7125" s="195" t="s">
        <v>26728</v>
      </c>
      <c r="G7125" s="196">
        <v>4.0643625E7</v>
      </c>
      <c r="H7125" s="197">
        <v>1.67</v>
      </c>
      <c r="I7125" s="7" t="s">
        <v>16815</v>
      </c>
      <c r="J7125" s="7" t="s">
        <v>169</v>
      </c>
      <c r="K7125" s="7" t="s">
        <v>17662</v>
      </c>
      <c r="L7125" s="198" t="s">
        <v>65</v>
      </c>
      <c r="M7125" s="194"/>
      <c r="N7125" s="194"/>
    </row>
    <row r="7126">
      <c r="A7126" s="193" t="s">
        <v>26729</v>
      </c>
      <c r="B7126" s="7" t="s">
        <v>16919</v>
      </c>
      <c r="C7126" s="7" t="s">
        <v>16957</v>
      </c>
      <c r="D7126" s="199"/>
      <c r="E7126" s="193"/>
      <c r="F7126" s="195" t="s">
        <v>26730</v>
      </c>
      <c r="G7126" s="196">
        <v>4.0524258E7</v>
      </c>
      <c r="H7126" s="197">
        <v>0.5601</v>
      </c>
      <c r="I7126" s="7" t="s">
        <v>16815</v>
      </c>
      <c r="J7126" s="7" t="s">
        <v>16919</v>
      </c>
      <c r="K7126" s="7" t="s">
        <v>16957</v>
      </c>
      <c r="L7126" s="198" t="s">
        <v>65</v>
      </c>
      <c r="M7126" s="199"/>
      <c r="N7126" s="199"/>
    </row>
    <row r="7127">
      <c r="A7127" s="193" t="s">
        <v>26731</v>
      </c>
      <c r="B7127" s="7" t="s">
        <v>16838</v>
      </c>
      <c r="C7127" s="7" t="s">
        <v>16867</v>
      </c>
      <c r="D7127" s="194">
        <v>2022.0</v>
      </c>
      <c r="E7127" s="193"/>
      <c r="F7127" s="195" t="s">
        <v>26732</v>
      </c>
      <c r="G7127" s="196">
        <v>4.0406055E7</v>
      </c>
      <c r="H7127" s="197">
        <v>6.092</v>
      </c>
      <c r="I7127" s="7" t="s">
        <v>16815</v>
      </c>
      <c r="J7127" s="7" t="s">
        <v>16838</v>
      </c>
      <c r="K7127" s="7" t="s">
        <v>16867</v>
      </c>
      <c r="L7127" s="198" t="s">
        <v>65</v>
      </c>
      <c r="M7127" s="194"/>
      <c r="N7127" s="194"/>
    </row>
    <row r="7128">
      <c r="A7128" s="193" t="s">
        <v>26733</v>
      </c>
      <c r="B7128" s="7" t="s">
        <v>169</v>
      </c>
      <c r="C7128" s="7" t="s">
        <v>16899</v>
      </c>
      <c r="D7128" s="194">
        <v>2020.0</v>
      </c>
      <c r="E7128" s="193"/>
      <c r="F7128" s="195" t="s">
        <v>26734</v>
      </c>
      <c r="G7128" s="196">
        <v>4.0395004E7</v>
      </c>
      <c r="H7128" s="197">
        <v>0.8869</v>
      </c>
      <c r="I7128" s="7" t="s">
        <v>16815</v>
      </c>
      <c r="J7128" s="7" t="s">
        <v>169</v>
      </c>
      <c r="K7128" s="7" t="s">
        <v>16899</v>
      </c>
      <c r="L7128" s="198" t="s">
        <v>65</v>
      </c>
      <c r="M7128" s="194"/>
      <c r="N7128" s="194"/>
    </row>
    <row r="7129">
      <c r="A7129" s="193" t="s">
        <v>26735</v>
      </c>
      <c r="B7129" s="7" t="s">
        <v>16838</v>
      </c>
      <c r="C7129" s="7" t="s">
        <v>17112</v>
      </c>
      <c r="D7129" s="194">
        <v>2004.0</v>
      </c>
      <c r="E7129" s="193"/>
      <c r="F7129" s="195" t="s">
        <v>26736</v>
      </c>
      <c r="G7129" s="196">
        <v>4.0350089E7</v>
      </c>
      <c r="H7129" s="197">
        <v>4.1832</v>
      </c>
      <c r="I7129" s="7" t="s">
        <v>16815</v>
      </c>
      <c r="J7129" s="7" t="s">
        <v>16838</v>
      </c>
      <c r="K7129" s="7" t="s">
        <v>17112</v>
      </c>
      <c r="L7129" s="198" t="s">
        <v>65</v>
      </c>
      <c r="M7129" s="194"/>
      <c r="N7129" s="194"/>
    </row>
    <row r="7130">
      <c r="A7130" s="193" t="s">
        <v>26737</v>
      </c>
      <c r="B7130" s="7" t="s">
        <v>16838</v>
      </c>
      <c r="C7130" s="7" t="s">
        <v>18956</v>
      </c>
      <c r="D7130" s="194">
        <v>2021.0</v>
      </c>
      <c r="E7130" s="193"/>
      <c r="F7130" s="195" t="s">
        <v>26738</v>
      </c>
      <c r="G7130" s="196">
        <v>4.0143101E7</v>
      </c>
      <c r="H7130" s="197">
        <v>12.51</v>
      </c>
      <c r="I7130" s="7" t="s">
        <v>16815</v>
      </c>
      <c r="J7130" s="7" t="s">
        <v>16838</v>
      </c>
      <c r="K7130" s="7" t="s">
        <v>18956</v>
      </c>
      <c r="L7130" s="198" t="s">
        <v>65</v>
      </c>
      <c r="M7130" s="194"/>
      <c r="N7130" s="194"/>
    </row>
    <row r="7131">
      <c r="A7131" s="193" t="s">
        <v>26739</v>
      </c>
      <c r="B7131" s="7" t="s">
        <v>16582</v>
      </c>
      <c r="C7131" s="7" t="s">
        <v>17435</v>
      </c>
      <c r="D7131" s="194">
        <v>2022.0</v>
      </c>
      <c r="E7131" s="193"/>
      <c r="F7131" s="195" t="s">
        <v>26740</v>
      </c>
      <c r="G7131" s="196">
        <v>4.0045247E7</v>
      </c>
      <c r="H7131" s="197">
        <v>5.25</v>
      </c>
      <c r="I7131" s="7" t="s">
        <v>16815</v>
      </c>
      <c r="J7131" s="7" t="s">
        <v>16582</v>
      </c>
      <c r="K7131" s="7" t="s">
        <v>17435</v>
      </c>
      <c r="L7131" s="198" t="s">
        <v>65</v>
      </c>
      <c r="M7131" s="194"/>
      <c r="N7131" s="194"/>
    </row>
    <row r="7132">
      <c r="A7132" s="193" t="s">
        <v>26739</v>
      </c>
      <c r="B7132" s="202" t="s">
        <v>17435</v>
      </c>
      <c r="C7132" s="193" t="s">
        <v>16582</v>
      </c>
      <c r="D7132" s="193">
        <v>2022.0</v>
      </c>
      <c r="E7132" s="193"/>
      <c r="F7132" s="203" t="s">
        <v>26740</v>
      </c>
      <c r="G7132" s="200">
        <v>4.0045247E7</v>
      </c>
      <c r="H7132" s="205">
        <v>1.0461</v>
      </c>
      <c r="J7132" s="202" t="s">
        <v>17435</v>
      </c>
      <c r="K7132" s="193" t="s">
        <v>16582</v>
      </c>
      <c r="L7132" s="193" t="s">
        <v>17471</v>
      </c>
      <c r="M7132" s="193"/>
      <c r="N7132" s="193"/>
    </row>
    <row r="7133">
      <c r="A7133" s="193" t="s">
        <v>26741</v>
      </c>
      <c r="B7133" s="7" t="s">
        <v>16885</v>
      </c>
      <c r="C7133" s="7" t="s">
        <v>17726</v>
      </c>
      <c r="D7133" s="199"/>
      <c r="E7133" s="193"/>
      <c r="F7133" s="195" t="s">
        <v>26742</v>
      </c>
      <c r="G7133" s="196">
        <v>3.9938611E7</v>
      </c>
      <c r="H7133" s="197">
        <v>0.505</v>
      </c>
      <c r="I7133" s="7" t="s">
        <v>16826</v>
      </c>
      <c r="J7133" s="7" t="s">
        <v>16885</v>
      </c>
      <c r="K7133" s="7" t="s">
        <v>17726</v>
      </c>
      <c r="L7133" s="198" t="s">
        <v>65</v>
      </c>
      <c r="M7133" s="199"/>
      <c r="N7133" s="199"/>
    </row>
    <row r="7134">
      <c r="A7134" s="193" t="s">
        <v>26741</v>
      </c>
      <c r="B7134" s="202" t="s">
        <v>17726</v>
      </c>
      <c r="C7134" s="193" t="s">
        <v>16885</v>
      </c>
      <c r="D7134" s="206"/>
      <c r="E7134" s="193"/>
      <c r="F7134" s="203" t="s">
        <v>26742</v>
      </c>
      <c r="G7134" s="200">
        <v>3.9938611E7</v>
      </c>
      <c r="H7134" s="205">
        <v>5.25</v>
      </c>
      <c r="J7134" s="202" t="s">
        <v>17726</v>
      </c>
      <c r="K7134" s="193" t="s">
        <v>16885</v>
      </c>
      <c r="L7134" s="193" t="s">
        <v>17471</v>
      </c>
      <c r="M7134" s="206"/>
      <c r="N7134" s="206"/>
    </row>
    <row r="7135">
      <c r="A7135" s="193" t="s">
        <v>26743</v>
      </c>
      <c r="B7135" s="7" t="s">
        <v>175</v>
      </c>
      <c r="C7135" s="7" t="s">
        <v>18063</v>
      </c>
      <c r="D7135" s="194">
        <v>2023.0</v>
      </c>
      <c r="E7135" s="193"/>
      <c r="F7135" s="195" t="s">
        <v>26744</v>
      </c>
      <c r="G7135" s="196">
        <v>3.987375E7</v>
      </c>
      <c r="H7135" s="197">
        <v>1.86</v>
      </c>
      <c r="I7135" s="7" t="s">
        <v>168</v>
      </c>
      <c r="J7135" s="7" t="s">
        <v>175</v>
      </c>
      <c r="K7135" s="7" t="s">
        <v>18063</v>
      </c>
      <c r="L7135" s="198" t="s">
        <v>65</v>
      </c>
      <c r="M7135" s="194"/>
      <c r="N7135" s="194"/>
    </row>
    <row r="7136">
      <c r="A7136" s="193" t="s">
        <v>26745</v>
      </c>
      <c r="D7136" s="199"/>
      <c r="E7136" s="193"/>
      <c r="F7136" s="195" t="s">
        <v>26746</v>
      </c>
      <c r="G7136" s="196">
        <v>3.9734838E7</v>
      </c>
      <c r="H7136" s="197">
        <v>0.405</v>
      </c>
      <c r="I7136" s="7" t="s">
        <v>16815</v>
      </c>
      <c r="L7136" s="198" t="s">
        <v>65</v>
      </c>
      <c r="M7136" s="199"/>
      <c r="N7136" s="199"/>
    </row>
    <row r="7137">
      <c r="A7137" s="193" t="s">
        <v>26747</v>
      </c>
      <c r="B7137" s="7" t="s">
        <v>187</v>
      </c>
      <c r="C7137" s="7" t="s">
        <v>16846</v>
      </c>
      <c r="D7137" s="199"/>
      <c r="E7137" s="193"/>
      <c r="F7137" s="195" t="s">
        <v>26748</v>
      </c>
      <c r="G7137" s="196">
        <v>3.965941E7</v>
      </c>
      <c r="H7137" s="197">
        <v>1.03</v>
      </c>
      <c r="I7137" s="7" t="s">
        <v>16815</v>
      </c>
      <c r="J7137" s="7" t="s">
        <v>187</v>
      </c>
      <c r="K7137" s="7" t="s">
        <v>16846</v>
      </c>
      <c r="L7137" s="198" t="s">
        <v>65</v>
      </c>
      <c r="M7137" s="199"/>
      <c r="N7137" s="199"/>
    </row>
    <row r="7138">
      <c r="A7138" s="193" t="s">
        <v>26749</v>
      </c>
      <c r="D7138" s="194">
        <v>2023.0</v>
      </c>
      <c r="E7138" s="193"/>
      <c r="F7138" s="195" t="s">
        <v>26750</v>
      </c>
      <c r="G7138" s="196">
        <v>3.9655824E7</v>
      </c>
      <c r="H7138" s="197">
        <v>9.6</v>
      </c>
      <c r="I7138" s="7" t="s">
        <v>16815</v>
      </c>
      <c r="L7138" s="198" t="s">
        <v>65</v>
      </c>
      <c r="M7138" s="194"/>
      <c r="N7138" s="194"/>
    </row>
    <row r="7139">
      <c r="A7139" s="193" t="s">
        <v>26751</v>
      </c>
      <c r="B7139" s="7" t="s">
        <v>16910</v>
      </c>
      <c r="C7139" s="7" t="s">
        <v>17119</v>
      </c>
      <c r="D7139" s="199"/>
      <c r="E7139" s="193"/>
      <c r="F7139" s="195" t="s">
        <v>26752</v>
      </c>
      <c r="G7139" s="196">
        <v>3.9645062E7</v>
      </c>
      <c r="H7139" s="197">
        <v>0.55</v>
      </c>
      <c r="I7139" s="7" t="s">
        <v>16917</v>
      </c>
      <c r="J7139" s="7" t="s">
        <v>16910</v>
      </c>
      <c r="K7139" s="7" t="s">
        <v>17119</v>
      </c>
      <c r="L7139" s="198" t="s">
        <v>65</v>
      </c>
      <c r="M7139" s="199"/>
      <c r="N7139" s="199"/>
    </row>
    <row r="7140">
      <c r="A7140" s="193" t="s">
        <v>26751</v>
      </c>
      <c r="B7140" s="202" t="s">
        <v>17119</v>
      </c>
      <c r="C7140" s="193" t="s">
        <v>16910</v>
      </c>
      <c r="D7140" s="206"/>
      <c r="E7140" s="193"/>
      <c r="F7140" s="203" t="s">
        <v>26752</v>
      </c>
      <c r="G7140" s="200">
        <v>3.9645062E7</v>
      </c>
      <c r="H7140" s="205">
        <v>0.505</v>
      </c>
      <c r="J7140" s="202" t="s">
        <v>17119</v>
      </c>
      <c r="K7140" s="193" t="s">
        <v>16910</v>
      </c>
      <c r="L7140" s="193" t="s">
        <v>17471</v>
      </c>
      <c r="M7140" s="206"/>
      <c r="N7140" s="206"/>
    </row>
    <row r="7141">
      <c r="A7141" s="193" t="s">
        <v>26753</v>
      </c>
      <c r="B7141" s="7" t="s">
        <v>16582</v>
      </c>
      <c r="C7141" s="7" t="s">
        <v>16899</v>
      </c>
      <c r="D7141" s="199"/>
      <c r="E7141" s="193"/>
      <c r="F7141" s="195" t="s">
        <v>26754</v>
      </c>
      <c r="G7141" s="196">
        <v>3.9521473E7</v>
      </c>
      <c r="H7141" s="197">
        <v>5.8</v>
      </c>
      <c r="I7141" s="7" t="s">
        <v>16815</v>
      </c>
      <c r="J7141" s="7" t="s">
        <v>16582</v>
      </c>
      <c r="K7141" s="7" t="s">
        <v>16899</v>
      </c>
      <c r="L7141" s="198" t="s">
        <v>65</v>
      </c>
      <c r="M7141" s="199"/>
      <c r="N7141" s="199"/>
    </row>
    <row r="7142">
      <c r="A7142" s="193" t="s">
        <v>26755</v>
      </c>
      <c r="B7142" s="7" t="s">
        <v>16838</v>
      </c>
      <c r="C7142" s="7" t="s">
        <v>18956</v>
      </c>
      <c r="D7142" s="194">
        <v>2019.0</v>
      </c>
      <c r="E7142" s="193"/>
      <c r="F7142" s="195" t="s">
        <v>26756</v>
      </c>
      <c r="G7142" s="196">
        <v>3.9515594E7</v>
      </c>
      <c r="H7142" s="197">
        <v>6.42</v>
      </c>
      <c r="I7142" s="7" t="s">
        <v>16924</v>
      </c>
      <c r="J7142" s="7" t="s">
        <v>16838</v>
      </c>
      <c r="K7142" s="7" t="s">
        <v>18956</v>
      </c>
      <c r="L7142" s="198" t="s">
        <v>65</v>
      </c>
      <c r="M7142" s="194"/>
      <c r="N7142" s="194"/>
    </row>
    <row r="7143">
      <c r="A7143" s="193" t="s">
        <v>26757</v>
      </c>
      <c r="B7143" s="7" t="s">
        <v>187</v>
      </c>
      <c r="C7143" s="7" t="s">
        <v>16846</v>
      </c>
      <c r="D7143" s="194">
        <v>2021.0</v>
      </c>
      <c r="E7143" s="193"/>
      <c r="F7143" s="195" t="s">
        <v>26758</v>
      </c>
      <c r="G7143" s="196">
        <v>3.9381657E7</v>
      </c>
      <c r="H7143" s="197">
        <v>1.43</v>
      </c>
      <c r="I7143" s="7" t="s">
        <v>16815</v>
      </c>
      <c r="J7143" s="7" t="s">
        <v>187</v>
      </c>
      <c r="K7143" s="7" t="s">
        <v>16846</v>
      </c>
      <c r="L7143" s="198" t="s">
        <v>65</v>
      </c>
      <c r="M7143" s="194"/>
      <c r="N7143" s="194"/>
    </row>
    <row r="7144">
      <c r="A7144" s="193" t="s">
        <v>26759</v>
      </c>
      <c r="B7144" s="7" t="s">
        <v>187</v>
      </c>
      <c r="C7144" s="7" t="s">
        <v>16846</v>
      </c>
      <c r="D7144" s="194">
        <v>2021.0</v>
      </c>
      <c r="E7144" s="193"/>
      <c r="F7144" s="195" t="s">
        <v>26760</v>
      </c>
      <c r="G7144" s="196">
        <v>3.9285725E7</v>
      </c>
      <c r="H7144" s="197">
        <v>1.08</v>
      </c>
      <c r="I7144" s="7" t="s">
        <v>16815</v>
      </c>
      <c r="J7144" s="7" t="s">
        <v>187</v>
      </c>
      <c r="K7144" s="7" t="s">
        <v>16846</v>
      </c>
      <c r="L7144" s="198" t="s">
        <v>65</v>
      </c>
      <c r="M7144" s="194"/>
      <c r="N7144" s="194"/>
    </row>
    <row r="7145">
      <c r="A7145" s="193" t="s">
        <v>26761</v>
      </c>
      <c r="B7145" s="7" t="s">
        <v>187</v>
      </c>
      <c r="C7145" s="7" t="s">
        <v>16851</v>
      </c>
      <c r="D7145" s="194">
        <v>2022.0</v>
      </c>
      <c r="E7145" s="193"/>
      <c r="F7145" s="195" t="s">
        <v>26762</v>
      </c>
      <c r="G7145" s="196">
        <v>3.92616E7</v>
      </c>
      <c r="H7145" s="197">
        <v>1.64</v>
      </c>
      <c r="I7145" s="7" t="s">
        <v>16815</v>
      </c>
      <c r="J7145" s="7" t="s">
        <v>187</v>
      </c>
      <c r="K7145" s="7" t="s">
        <v>16851</v>
      </c>
      <c r="L7145" s="198" t="s">
        <v>65</v>
      </c>
      <c r="M7145" s="194"/>
      <c r="N7145" s="194"/>
    </row>
    <row r="7146">
      <c r="A7146" s="193" t="s">
        <v>26763</v>
      </c>
      <c r="B7146" s="7" t="s">
        <v>187</v>
      </c>
      <c r="C7146" s="7" t="s">
        <v>16992</v>
      </c>
      <c r="D7146" s="199"/>
      <c r="E7146" s="193"/>
      <c r="F7146" s="195" t="s">
        <v>26764</v>
      </c>
      <c r="G7146" s="196">
        <v>3.9151068E7</v>
      </c>
      <c r="H7146" s="197">
        <v>6.43</v>
      </c>
      <c r="I7146" s="7" t="s">
        <v>16815</v>
      </c>
      <c r="J7146" s="7" t="s">
        <v>187</v>
      </c>
      <c r="K7146" s="7" t="s">
        <v>16992</v>
      </c>
      <c r="L7146" s="198" t="s">
        <v>65</v>
      </c>
      <c r="M7146" s="199"/>
      <c r="N7146" s="199"/>
    </row>
    <row r="7147">
      <c r="A7147" s="193" t="s">
        <v>26765</v>
      </c>
      <c r="B7147" s="7" t="s">
        <v>158</v>
      </c>
      <c r="C7147" s="7" t="s">
        <v>18063</v>
      </c>
      <c r="D7147" s="194">
        <v>2023.0</v>
      </c>
      <c r="E7147" s="193"/>
      <c r="F7147" s="195" t="s">
        <v>26766</v>
      </c>
      <c r="G7147" s="196">
        <v>3.911505E7</v>
      </c>
      <c r="H7147" s="197">
        <v>1.56</v>
      </c>
      <c r="I7147" s="7" t="s">
        <v>18397</v>
      </c>
      <c r="J7147" s="7" t="s">
        <v>158</v>
      </c>
      <c r="K7147" s="7" t="s">
        <v>18063</v>
      </c>
      <c r="L7147" s="198" t="s">
        <v>65</v>
      </c>
      <c r="M7147" s="194"/>
      <c r="N7147" s="194"/>
    </row>
    <row r="7148">
      <c r="A7148" s="193" t="s">
        <v>26767</v>
      </c>
      <c r="B7148" s="7" t="s">
        <v>175</v>
      </c>
      <c r="C7148" s="7" t="s">
        <v>17318</v>
      </c>
      <c r="D7148" s="194">
        <v>2018.0</v>
      </c>
      <c r="E7148" s="193"/>
      <c r="F7148" s="195" t="s">
        <v>26768</v>
      </c>
      <c r="G7148" s="196">
        <v>3.9098821E7</v>
      </c>
      <c r="H7148" s="197">
        <v>3.1801</v>
      </c>
      <c r="I7148" s="7" t="s">
        <v>168</v>
      </c>
      <c r="J7148" s="7" t="s">
        <v>175</v>
      </c>
      <c r="K7148" s="7" t="s">
        <v>17318</v>
      </c>
      <c r="L7148" s="198" t="s">
        <v>65</v>
      </c>
      <c r="M7148" s="194"/>
      <c r="N7148" s="194"/>
    </row>
    <row r="7149">
      <c r="A7149" s="193" t="s">
        <v>26769</v>
      </c>
      <c r="B7149" s="7" t="s">
        <v>16838</v>
      </c>
      <c r="C7149" s="7" t="s">
        <v>17016</v>
      </c>
      <c r="D7149" s="199"/>
      <c r="E7149" s="193"/>
      <c r="F7149" s="195" t="s">
        <v>26770</v>
      </c>
      <c r="G7149" s="196">
        <v>3.9084954E7</v>
      </c>
      <c r="H7149" s="197">
        <v>2.11</v>
      </c>
      <c r="I7149" s="7" t="s">
        <v>16924</v>
      </c>
      <c r="J7149" s="7" t="s">
        <v>16838</v>
      </c>
      <c r="K7149" s="7" t="s">
        <v>17016</v>
      </c>
      <c r="L7149" s="198" t="s">
        <v>65</v>
      </c>
      <c r="M7149" s="199"/>
      <c r="N7149" s="199"/>
    </row>
    <row r="7150">
      <c r="A7150" s="193" t="s">
        <v>26771</v>
      </c>
      <c r="B7150" s="7" t="s">
        <v>187</v>
      </c>
      <c r="C7150" s="7" t="s">
        <v>16846</v>
      </c>
      <c r="D7150" s="199"/>
      <c r="E7150" s="193"/>
      <c r="F7150" s="195" t="s">
        <v>26772</v>
      </c>
      <c r="G7150" s="196">
        <v>3.9078406E7</v>
      </c>
      <c r="H7150" s="197">
        <v>1.56</v>
      </c>
      <c r="I7150" s="7" t="s">
        <v>16815</v>
      </c>
      <c r="J7150" s="7" t="s">
        <v>187</v>
      </c>
      <c r="K7150" s="7" t="s">
        <v>16846</v>
      </c>
      <c r="L7150" s="198" t="s">
        <v>65</v>
      </c>
      <c r="M7150" s="199"/>
      <c r="N7150" s="199"/>
    </row>
    <row r="7151">
      <c r="A7151" s="193" t="s">
        <v>26773</v>
      </c>
      <c r="B7151" s="7" t="s">
        <v>16838</v>
      </c>
      <c r="C7151" s="7" t="s">
        <v>16837</v>
      </c>
      <c r="D7151" s="199"/>
      <c r="E7151" s="193"/>
      <c r="F7151" s="195" t="s">
        <v>26774</v>
      </c>
      <c r="G7151" s="196">
        <v>3.8986423E7</v>
      </c>
      <c r="H7151" s="197">
        <v>9.5</v>
      </c>
      <c r="I7151" s="7" t="s">
        <v>16924</v>
      </c>
      <c r="J7151" s="7" t="s">
        <v>16838</v>
      </c>
      <c r="K7151" s="7" t="s">
        <v>16837</v>
      </c>
      <c r="L7151" s="198" t="s">
        <v>65</v>
      </c>
      <c r="M7151" s="199"/>
      <c r="N7151" s="199"/>
    </row>
    <row r="7152">
      <c r="A7152" s="193" t="s">
        <v>26775</v>
      </c>
      <c r="B7152" s="7" t="s">
        <v>175</v>
      </c>
      <c r="C7152" s="7" t="s">
        <v>18723</v>
      </c>
      <c r="D7152" s="199"/>
      <c r="E7152" s="193"/>
      <c r="F7152" s="195" t="s">
        <v>26776</v>
      </c>
      <c r="G7152" s="196">
        <v>3.8978492E7</v>
      </c>
      <c r="H7152" s="197">
        <v>1.75</v>
      </c>
      <c r="I7152" s="7" t="s">
        <v>17785</v>
      </c>
      <c r="J7152" s="7" t="s">
        <v>175</v>
      </c>
      <c r="K7152" s="7" t="s">
        <v>18723</v>
      </c>
      <c r="L7152" s="198" t="s">
        <v>65</v>
      </c>
      <c r="M7152" s="199"/>
      <c r="N7152" s="199"/>
    </row>
    <row r="7153">
      <c r="A7153" s="193" t="s">
        <v>26777</v>
      </c>
      <c r="B7153" s="7" t="s">
        <v>175</v>
      </c>
      <c r="C7153" s="7" t="s">
        <v>17233</v>
      </c>
      <c r="D7153" s="199"/>
      <c r="E7153" s="193"/>
      <c r="F7153" s="195" t="s">
        <v>26778</v>
      </c>
      <c r="G7153" s="196">
        <v>3.87E7</v>
      </c>
      <c r="H7153" s="197">
        <v>3.6</v>
      </c>
      <c r="I7153" s="193" t="s">
        <v>168</v>
      </c>
      <c r="J7153" s="7" t="s">
        <v>175</v>
      </c>
      <c r="K7153" s="7" t="s">
        <v>17233</v>
      </c>
      <c r="L7153" s="198" t="s">
        <v>65</v>
      </c>
      <c r="M7153" s="199"/>
      <c r="N7153" s="199"/>
    </row>
    <row r="7154">
      <c r="A7154" s="193" t="s">
        <v>26779</v>
      </c>
      <c r="B7154" s="7" t="s">
        <v>187</v>
      </c>
      <c r="C7154" s="7" t="s">
        <v>16992</v>
      </c>
      <c r="D7154" s="194">
        <v>2021.0</v>
      </c>
      <c r="E7154" s="193"/>
      <c r="F7154" s="195" t="s">
        <v>26780</v>
      </c>
      <c r="G7154" s="196">
        <v>3.852442E7</v>
      </c>
      <c r="H7154" s="197">
        <v>1.82</v>
      </c>
      <c r="I7154" s="7" t="s">
        <v>16815</v>
      </c>
      <c r="J7154" s="7" t="s">
        <v>187</v>
      </c>
      <c r="K7154" s="7" t="s">
        <v>16992</v>
      </c>
      <c r="L7154" s="198" t="s">
        <v>65</v>
      </c>
      <c r="M7154" s="194"/>
      <c r="N7154" s="194"/>
    </row>
    <row r="7155">
      <c r="A7155" s="193" t="s">
        <v>26781</v>
      </c>
      <c r="B7155" s="7" t="s">
        <v>187</v>
      </c>
      <c r="C7155" s="7" t="s">
        <v>16846</v>
      </c>
      <c r="D7155" s="199"/>
      <c r="E7155" s="193"/>
      <c r="F7155" s="195" t="s">
        <v>26782</v>
      </c>
      <c r="G7155" s="196">
        <v>3.8436403E7</v>
      </c>
      <c r="H7155" s="197">
        <v>1.78</v>
      </c>
      <c r="I7155" s="7" t="s">
        <v>16815</v>
      </c>
      <c r="J7155" s="7" t="s">
        <v>187</v>
      </c>
      <c r="K7155" s="7" t="s">
        <v>16846</v>
      </c>
      <c r="L7155" s="198" t="s">
        <v>65</v>
      </c>
      <c r="M7155" s="199"/>
      <c r="N7155" s="199"/>
    </row>
    <row r="7156">
      <c r="A7156" s="193" t="s">
        <v>26783</v>
      </c>
      <c r="B7156" s="7" t="s">
        <v>187</v>
      </c>
      <c r="C7156" s="7" t="s">
        <v>16846</v>
      </c>
      <c r="D7156" s="194">
        <v>2016.0</v>
      </c>
      <c r="E7156" s="193"/>
      <c r="F7156" s="195" t="s">
        <v>26784</v>
      </c>
      <c r="G7156" s="196">
        <v>3.8412834E7</v>
      </c>
      <c r="H7156" s="197">
        <v>9.49</v>
      </c>
      <c r="I7156" s="7" t="s">
        <v>16815</v>
      </c>
      <c r="J7156" s="7" t="s">
        <v>187</v>
      </c>
      <c r="K7156" s="7" t="s">
        <v>16846</v>
      </c>
      <c r="L7156" s="198" t="s">
        <v>65</v>
      </c>
      <c r="M7156" s="194"/>
      <c r="N7156" s="194"/>
    </row>
    <row r="7157">
      <c r="A7157" s="193" t="s">
        <v>26785</v>
      </c>
      <c r="B7157" s="7" t="s">
        <v>158</v>
      </c>
      <c r="C7157" s="7" t="s">
        <v>16899</v>
      </c>
      <c r="D7157" s="194">
        <v>2022.0</v>
      </c>
      <c r="E7157" s="193"/>
      <c r="F7157" s="195" t="s">
        <v>26786</v>
      </c>
      <c r="G7157" s="196">
        <v>3.8366608E7</v>
      </c>
      <c r="H7157" s="197">
        <v>11.2741</v>
      </c>
      <c r="I7157" s="7" t="s">
        <v>16897</v>
      </c>
      <c r="J7157" s="7" t="s">
        <v>158</v>
      </c>
      <c r="K7157" s="7" t="s">
        <v>16899</v>
      </c>
      <c r="L7157" s="198" t="s">
        <v>65</v>
      </c>
      <c r="M7157" s="194"/>
      <c r="N7157" s="194"/>
    </row>
    <row r="7158">
      <c r="A7158" s="193" t="s">
        <v>26787</v>
      </c>
      <c r="B7158" s="7" t="s">
        <v>175</v>
      </c>
      <c r="C7158" s="7" t="s">
        <v>16842</v>
      </c>
      <c r="D7158" s="199"/>
      <c r="E7158" s="193"/>
      <c r="F7158" s="195" t="s">
        <v>26788</v>
      </c>
      <c r="G7158" s="196">
        <v>3.8356306E7</v>
      </c>
      <c r="H7158" s="197">
        <v>0.8399</v>
      </c>
      <c r="I7158" s="7" t="s">
        <v>16856</v>
      </c>
      <c r="J7158" s="7" t="s">
        <v>175</v>
      </c>
      <c r="K7158" s="7" t="s">
        <v>16842</v>
      </c>
      <c r="L7158" s="198" t="s">
        <v>65</v>
      </c>
      <c r="M7158" s="199"/>
      <c r="N7158" s="199"/>
    </row>
    <row r="7159">
      <c r="A7159" s="193" t="s">
        <v>26789</v>
      </c>
      <c r="B7159" s="7" t="s">
        <v>16582</v>
      </c>
      <c r="C7159" s="7" t="s">
        <v>17183</v>
      </c>
      <c r="D7159" s="199"/>
      <c r="E7159" s="193"/>
      <c r="F7159" s="195" t="s">
        <v>26790</v>
      </c>
      <c r="G7159" s="196">
        <v>3.8344779E7</v>
      </c>
      <c r="H7159" s="197">
        <v>0.2396</v>
      </c>
      <c r="I7159" s="7" t="s">
        <v>16815</v>
      </c>
      <c r="J7159" s="7" t="s">
        <v>16582</v>
      </c>
      <c r="K7159" s="7" t="s">
        <v>17183</v>
      </c>
      <c r="L7159" s="198" t="s">
        <v>65</v>
      </c>
      <c r="M7159" s="199"/>
      <c r="N7159" s="199"/>
    </row>
    <row r="7160">
      <c r="A7160" s="193" t="s">
        <v>26791</v>
      </c>
      <c r="B7160" s="7" t="s">
        <v>175</v>
      </c>
      <c r="C7160" s="7" t="s">
        <v>16854</v>
      </c>
      <c r="D7160" s="194">
        <v>2019.0</v>
      </c>
      <c r="E7160" s="193"/>
      <c r="F7160" s="195" t="s">
        <v>26792</v>
      </c>
      <c r="G7160" s="196">
        <v>3.8318608E7</v>
      </c>
      <c r="H7160" s="197">
        <v>0.1174</v>
      </c>
      <c r="I7160" s="7" t="s">
        <v>16826</v>
      </c>
      <c r="J7160" s="7" t="s">
        <v>175</v>
      </c>
      <c r="K7160" s="7" t="s">
        <v>16854</v>
      </c>
      <c r="L7160" s="198" t="s">
        <v>65</v>
      </c>
      <c r="M7160" s="194"/>
      <c r="N7160" s="194"/>
    </row>
    <row r="7161">
      <c r="A7161" s="193" t="s">
        <v>26793</v>
      </c>
      <c r="B7161" s="7" t="s">
        <v>169</v>
      </c>
      <c r="C7161" s="7" t="s">
        <v>17057</v>
      </c>
      <c r="D7161" s="194">
        <v>2022.0</v>
      </c>
      <c r="E7161" s="193"/>
      <c r="F7161" s="195" t="s">
        <v>26794</v>
      </c>
      <c r="G7161" s="196">
        <v>3.8171781E7</v>
      </c>
      <c r="H7161" s="197">
        <v>3.0201</v>
      </c>
      <c r="I7161" s="7" t="s">
        <v>16815</v>
      </c>
      <c r="J7161" s="7" t="s">
        <v>169</v>
      </c>
      <c r="K7161" s="7" t="s">
        <v>17057</v>
      </c>
      <c r="L7161" s="198" t="s">
        <v>65</v>
      </c>
      <c r="M7161" s="194"/>
      <c r="N7161" s="194"/>
    </row>
    <row r="7162">
      <c r="A7162" s="193" t="s">
        <v>26793</v>
      </c>
      <c r="B7162" s="202" t="s">
        <v>17057</v>
      </c>
      <c r="C7162" s="193" t="s">
        <v>169</v>
      </c>
      <c r="D7162" s="193">
        <v>2022.0</v>
      </c>
      <c r="E7162" s="193"/>
      <c r="F7162" s="203" t="s">
        <v>26794</v>
      </c>
      <c r="G7162" s="200">
        <v>3.8171781E7</v>
      </c>
      <c r="H7162" s="205">
        <v>0.55</v>
      </c>
      <c r="J7162" s="202" t="s">
        <v>17057</v>
      </c>
      <c r="K7162" s="193" t="s">
        <v>169</v>
      </c>
      <c r="L7162" s="193" t="s">
        <v>17471</v>
      </c>
      <c r="M7162" s="193"/>
      <c r="N7162" s="193"/>
    </row>
    <row r="7163">
      <c r="A7163" s="193" t="s">
        <v>26795</v>
      </c>
      <c r="B7163" s="7" t="s">
        <v>16838</v>
      </c>
      <c r="C7163" s="7" t="s">
        <v>18679</v>
      </c>
      <c r="D7163" s="194">
        <v>2017.0</v>
      </c>
      <c r="E7163" s="193"/>
      <c r="F7163" s="195" t="s">
        <v>26796</v>
      </c>
      <c r="G7163" s="196">
        <v>3.7926702E7</v>
      </c>
      <c r="H7163" s="197">
        <v>1.41</v>
      </c>
      <c r="I7163" s="7" t="s">
        <v>16815</v>
      </c>
      <c r="J7163" s="7" t="s">
        <v>16838</v>
      </c>
      <c r="K7163" s="7" t="s">
        <v>18679</v>
      </c>
      <c r="L7163" s="198" t="s">
        <v>65</v>
      </c>
      <c r="M7163" s="194"/>
      <c r="N7163" s="194"/>
    </row>
    <row r="7164">
      <c r="A7164" s="193" t="s">
        <v>26797</v>
      </c>
      <c r="B7164" s="7" t="s">
        <v>187</v>
      </c>
      <c r="C7164" s="7" t="s">
        <v>16846</v>
      </c>
      <c r="D7164" s="194">
        <v>2020.0</v>
      </c>
      <c r="E7164" s="193"/>
      <c r="F7164" s="195" t="s">
        <v>26798</v>
      </c>
      <c r="G7164" s="196">
        <v>3.7901989E7</v>
      </c>
      <c r="H7164" s="197">
        <v>0.47</v>
      </c>
      <c r="I7164" s="7" t="s">
        <v>16815</v>
      </c>
      <c r="J7164" s="7" t="s">
        <v>187</v>
      </c>
      <c r="K7164" s="7" t="s">
        <v>16846</v>
      </c>
      <c r="L7164" s="198" t="s">
        <v>65</v>
      </c>
      <c r="M7164" s="194"/>
      <c r="N7164" s="194"/>
    </row>
    <row r="7165">
      <c r="A7165" s="193" t="s">
        <v>26797</v>
      </c>
      <c r="B7165" s="7" t="s">
        <v>16846</v>
      </c>
      <c r="C7165" s="7" t="s">
        <v>187</v>
      </c>
      <c r="D7165" s="194">
        <v>2020.0</v>
      </c>
      <c r="E7165" s="193"/>
      <c r="F7165" s="195" t="s">
        <v>26798</v>
      </c>
      <c r="G7165" s="200">
        <v>3.7901989E7</v>
      </c>
      <c r="H7165" s="197">
        <v>0.47</v>
      </c>
      <c r="I7165" s="7" t="s">
        <v>16815</v>
      </c>
      <c r="J7165" s="7" t="s">
        <v>16846</v>
      </c>
      <c r="K7165" s="7" t="s">
        <v>187</v>
      </c>
      <c r="L7165" s="201" t="s">
        <v>16835</v>
      </c>
      <c r="M7165" s="194"/>
      <c r="N7165" s="194"/>
    </row>
    <row r="7166">
      <c r="A7166" s="193" t="s">
        <v>26799</v>
      </c>
      <c r="B7166" s="7" t="s">
        <v>175</v>
      </c>
      <c r="C7166" s="7" t="s">
        <v>19006</v>
      </c>
      <c r="D7166" s="194">
        <v>2020.0</v>
      </c>
      <c r="E7166" s="193"/>
      <c r="F7166" s="195" t="s">
        <v>26800</v>
      </c>
      <c r="G7166" s="196">
        <v>3.7686773E7</v>
      </c>
      <c r="H7166" s="197">
        <v>0.5101</v>
      </c>
      <c r="I7166" s="7" t="s">
        <v>168</v>
      </c>
      <c r="J7166" s="7" t="s">
        <v>175</v>
      </c>
      <c r="K7166" s="7" t="s">
        <v>19006</v>
      </c>
      <c r="L7166" s="198" t="s">
        <v>65</v>
      </c>
      <c r="M7166" s="194"/>
      <c r="N7166" s="194"/>
    </row>
    <row r="7167">
      <c r="A7167" s="193" t="s">
        <v>26801</v>
      </c>
      <c r="B7167" s="7" t="s">
        <v>16582</v>
      </c>
      <c r="C7167" s="7" t="s">
        <v>16828</v>
      </c>
      <c r="D7167" s="194">
        <v>2020.0</v>
      </c>
      <c r="E7167" s="193"/>
      <c r="F7167" s="195" t="s">
        <v>26802</v>
      </c>
      <c r="G7167" s="196">
        <v>3.76745E7</v>
      </c>
      <c r="H7167" s="197">
        <v>7.55</v>
      </c>
      <c r="I7167" s="7" t="s">
        <v>16815</v>
      </c>
      <c r="J7167" s="7" t="s">
        <v>16582</v>
      </c>
      <c r="K7167" s="7" t="s">
        <v>16828</v>
      </c>
      <c r="L7167" s="198" t="s">
        <v>65</v>
      </c>
      <c r="M7167" s="194"/>
      <c r="N7167" s="194"/>
    </row>
    <row r="7168">
      <c r="A7168" s="193" t="s">
        <v>26803</v>
      </c>
      <c r="B7168" s="7" t="s">
        <v>175</v>
      </c>
      <c r="C7168" s="7" t="s">
        <v>17350</v>
      </c>
      <c r="D7168" s="194">
        <v>2019.0</v>
      </c>
      <c r="E7168" s="193"/>
      <c r="F7168" s="195" t="s">
        <v>26804</v>
      </c>
      <c r="G7168" s="196">
        <v>3.7637667E7</v>
      </c>
      <c r="H7168" s="197">
        <v>0.0599</v>
      </c>
      <c r="I7168" s="193" t="s">
        <v>16908</v>
      </c>
      <c r="J7168" s="7" t="s">
        <v>175</v>
      </c>
      <c r="K7168" s="7" t="s">
        <v>17350</v>
      </c>
      <c r="L7168" s="198" t="s">
        <v>65</v>
      </c>
      <c r="M7168" s="194"/>
      <c r="N7168" s="194"/>
    </row>
    <row r="7169">
      <c r="A7169" s="193" t="s">
        <v>26805</v>
      </c>
      <c r="B7169" s="7" t="s">
        <v>187</v>
      </c>
      <c r="C7169" s="7" t="s">
        <v>16846</v>
      </c>
      <c r="D7169" s="194">
        <v>2016.0</v>
      </c>
      <c r="E7169" s="193"/>
      <c r="F7169" s="195" t="s">
        <v>26806</v>
      </c>
      <c r="G7169" s="196">
        <v>3.7624713E7</v>
      </c>
      <c r="H7169" s="197">
        <v>3.62</v>
      </c>
      <c r="I7169" s="7" t="s">
        <v>16815</v>
      </c>
      <c r="J7169" s="7" t="s">
        <v>187</v>
      </c>
      <c r="K7169" s="7" t="s">
        <v>16846</v>
      </c>
      <c r="L7169" s="198" t="s">
        <v>65</v>
      </c>
      <c r="M7169" s="194"/>
      <c r="N7169" s="194"/>
    </row>
    <row r="7170">
      <c r="A7170" s="193" t="s">
        <v>26807</v>
      </c>
      <c r="B7170" s="7" t="s">
        <v>16582</v>
      </c>
      <c r="C7170" s="7" t="s">
        <v>16930</v>
      </c>
      <c r="D7170" s="199"/>
      <c r="E7170" s="193"/>
      <c r="F7170" s="195" t="s">
        <v>26808</v>
      </c>
      <c r="G7170" s="196">
        <v>3.76244E7</v>
      </c>
      <c r="H7170" s="197">
        <v>1.87</v>
      </c>
      <c r="I7170" s="7" t="s">
        <v>16815</v>
      </c>
      <c r="J7170" s="7" t="s">
        <v>16582</v>
      </c>
      <c r="K7170" s="7" t="s">
        <v>16930</v>
      </c>
      <c r="L7170" s="198" t="s">
        <v>65</v>
      </c>
      <c r="M7170" s="199"/>
      <c r="N7170" s="199"/>
    </row>
    <row r="7171">
      <c r="A7171" s="193" t="s">
        <v>26809</v>
      </c>
      <c r="B7171" s="7" t="s">
        <v>16582</v>
      </c>
      <c r="C7171" s="7" t="s">
        <v>16828</v>
      </c>
      <c r="D7171" s="194">
        <v>2022.0</v>
      </c>
      <c r="E7171" s="193"/>
      <c r="F7171" s="195" t="s">
        <v>26810</v>
      </c>
      <c r="G7171" s="196">
        <v>3.7490759E7</v>
      </c>
      <c r="H7171" s="197">
        <v>1.345</v>
      </c>
      <c r="I7171" s="7" t="s">
        <v>16815</v>
      </c>
      <c r="J7171" s="7" t="s">
        <v>16582</v>
      </c>
      <c r="K7171" s="7" t="s">
        <v>16828</v>
      </c>
      <c r="L7171" s="198" t="s">
        <v>65</v>
      </c>
      <c r="M7171" s="194"/>
      <c r="N7171" s="194"/>
    </row>
    <row r="7172">
      <c r="A7172" s="193" t="s">
        <v>26811</v>
      </c>
      <c r="B7172" s="7" t="s">
        <v>187</v>
      </c>
      <c r="C7172" s="7" t="s">
        <v>16846</v>
      </c>
      <c r="D7172" s="194">
        <v>2019.0</v>
      </c>
      <c r="E7172" s="193"/>
      <c r="F7172" s="195" t="s">
        <v>26812</v>
      </c>
      <c r="G7172" s="196">
        <v>3.7424958E7</v>
      </c>
      <c r="H7172" s="197">
        <v>0.4458</v>
      </c>
      <c r="I7172" s="7" t="s">
        <v>16815</v>
      </c>
      <c r="J7172" s="7" t="s">
        <v>187</v>
      </c>
      <c r="K7172" s="7" t="s">
        <v>16846</v>
      </c>
      <c r="L7172" s="198" t="s">
        <v>65</v>
      </c>
      <c r="M7172" s="194"/>
      <c r="N7172" s="194"/>
    </row>
    <row r="7173">
      <c r="A7173" s="193" t="s">
        <v>26813</v>
      </c>
      <c r="D7173" s="199"/>
      <c r="E7173" s="193"/>
      <c r="F7173" s="195" t="s">
        <v>26814</v>
      </c>
      <c r="G7173" s="196">
        <v>3.7419426E7</v>
      </c>
      <c r="H7173" s="197">
        <v>0.3814</v>
      </c>
      <c r="I7173" s="7" t="s">
        <v>16815</v>
      </c>
      <c r="L7173" s="198" t="s">
        <v>65</v>
      </c>
      <c r="M7173" s="199"/>
      <c r="N7173" s="199"/>
    </row>
    <row r="7174">
      <c r="A7174" s="193" t="s">
        <v>26815</v>
      </c>
      <c r="B7174" s="7" t="s">
        <v>187</v>
      </c>
      <c r="C7174" s="7" t="s">
        <v>16846</v>
      </c>
      <c r="D7174" s="194">
        <v>2014.0</v>
      </c>
      <c r="E7174" s="193"/>
      <c r="F7174" s="195" t="s">
        <v>26816</v>
      </c>
      <c r="G7174" s="196">
        <v>3.7379117E7</v>
      </c>
      <c r="H7174" s="197">
        <v>0.3801</v>
      </c>
      <c r="I7174" s="7" t="s">
        <v>16815</v>
      </c>
      <c r="J7174" s="7" t="s">
        <v>187</v>
      </c>
      <c r="K7174" s="7" t="s">
        <v>16846</v>
      </c>
      <c r="L7174" s="198" t="s">
        <v>65</v>
      </c>
      <c r="M7174" s="194"/>
      <c r="N7174" s="194"/>
    </row>
    <row r="7175">
      <c r="A7175" s="193" t="s">
        <v>26817</v>
      </c>
      <c r="B7175" s="7" t="s">
        <v>187</v>
      </c>
      <c r="C7175" s="7" t="s">
        <v>17122</v>
      </c>
      <c r="D7175" s="199"/>
      <c r="E7175" s="193"/>
      <c r="F7175" s="195" t="s">
        <v>26818</v>
      </c>
      <c r="G7175" s="196">
        <v>3.7369751E7</v>
      </c>
      <c r="H7175" s="197">
        <v>6.16</v>
      </c>
      <c r="I7175" s="7" t="s">
        <v>16815</v>
      </c>
      <c r="J7175" s="7" t="s">
        <v>187</v>
      </c>
      <c r="K7175" s="7" t="s">
        <v>17122</v>
      </c>
      <c r="L7175" s="198" t="s">
        <v>65</v>
      </c>
      <c r="M7175" s="199"/>
      <c r="N7175" s="199"/>
    </row>
    <row r="7176">
      <c r="A7176" s="193" t="s">
        <v>26819</v>
      </c>
      <c r="B7176" s="7" t="s">
        <v>16582</v>
      </c>
      <c r="C7176" s="7" t="s">
        <v>17339</v>
      </c>
      <c r="D7176" s="199"/>
      <c r="E7176" s="193"/>
      <c r="F7176" s="195" t="s">
        <v>26820</v>
      </c>
      <c r="G7176" s="196">
        <v>3.7250244E7</v>
      </c>
      <c r="H7176" s="197">
        <v>0.3136</v>
      </c>
      <c r="I7176" s="7" t="s">
        <v>16815</v>
      </c>
      <c r="J7176" s="7" t="s">
        <v>16582</v>
      </c>
      <c r="K7176" s="7" t="s">
        <v>17339</v>
      </c>
      <c r="L7176" s="198" t="s">
        <v>65</v>
      </c>
      <c r="M7176" s="199"/>
      <c r="N7176" s="199"/>
    </row>
    <row r="7177">
      <c r="A7177" s="193" t="s">
        <v>26819</v>
      </c>
      <c r="B7177" s="202" t="s">
        <v>17339</v>
      </c>
      <c r="C7177" s="193" t="s">
        <v>16582</v>
      </c>
      <c r="D7177" s="206"/>
      <c r="E7177" s="193"/>
      <c r="F7177" s="203" t="s">
        <v>26820</v>
      </c>
      <c r="G7177" s="200">
        <v>3.7250244E7</v>
      </c>
      <c r="H7177" s="205">
        <v>3.0201</v>
      </c>
      <c r="J7177" s="202" t="s">
        <v>17339</v>
      </c>
      <c r="K7177" s="193" t="s">
        <v>16582</v>
      </c>
      <c r="L7177" s="193" t="s">
        <v>17471</v>
      </c>
      <c r="M7177" s="206"/>
      <c r="N7177" s="206"/>
    </row>
    <row r="7178">
      <c r="A7178" s="193" t="s">
        <v>26821</v>
      </c>
      <c r="B7178" s="7" t="s">
        <v>16582</v>
      </c>
      <c r="C7178" s="7" t="s">
        <v>16930</v>
      </c>
      <c r="D7178" s="194">
        <v>2018.0</v>
      </c>
      <c r="E7178" s="193"/>
      <c r="F7178" s="195" t="s">
        <v>26822</v>
      </c>
      <c r="G7178" s="196">
        <v>3.7240725E7</v>
      </c>
      <c r="H7178" s="197">
        <v>1.5357</v>
      </c>
      <c r="I7178" s="7" t="s">
        <v>16815</v>
      </c>
      <c r="J7178" s="7" t="s">
        <v>16582</v>
      </c>
      <c r="K7178" s="7" t="s">
        <v>16930</v>
      </c>
      <c r="L7178" s="198" t="s">
        <v>65</v>
      </c>
      <c r="M7178" s="194"/>
      <c r="N7178" s="194"/>
    </row>
    <row r="7179">
      <c r="A7179" s="193" t="s">
        <v>26823</v>
      </c>
      <c r="B7179" s="7" t="s">
        <v>187</v>
      </c>
      <c r="C7179" s="7" t="s">
        <v>16846</v>
      </c>
      <c r="D7179" s="194">
        <v>2023.0</v>
      </c>
      <c r="E7179" s="193"/>
      <c r="F7179" s="195" t="s">
        <v>26824</v>
      </c>
      <c r="G7179" s="196">
        <v>3.7221505E7</v>
      </c>
      <c r="H7179" s="197">
        <v>2.72</v>
      </c>
      <c r="I7179" s="7" t="s">
        <v>16815</v>
      </c>
      <c r="J7179" s="7" t="s">
        <v>187</v>
      </c>
      <c r="K7179" s="7" t="s">
        <v>16846</v>
      </c>
      <c r="L7179" s="198" t="s">
        <v>65</v>
      </c>
      <c r="M7179" s="194"/>
      <c r="N7179" s="194"/>
    </row>
    <row r="7180">
      <c r="A7180" s="193" t="s">
        <v>26825</v>
      </c>
      <c r="B7180" s="7" t="s">
        <v>16838</v>
      </c>
      <c r="C7180" s="7" t="s">
        <v>17016</v>
      </c>
      <c r="D7180" s="199"/>
      <c r="E7180" s="193"/>
      <c r="F7180" s="195" t="s">
        <v>26826</v>
      </c>
      <c r="G7180" s="196">
        <v>3.718108E7</v>
      </c>
      <c r="H7180" s="197">
        <v>1.3</v>
      </c>
      <c r="I7180" s="7" t="s">
        <v>16815</v>
      </c>
      <c r="J7180" s="7" t="s">
        <v>16838</v>
      </c>
      <c r="K7180" s="7" t="s">
        <v>17016</v>
      </c>
      <c r="L7180" s="198" t="s">
        <v>65</v>
      </c>
      <c r="M7180" s="199"/>
      <c r="N7180" s="199"/>
    </row>
    <row r="7181">
      <c r="A7181" s="193" t="s">
        <v>26827</v>
      </c>
      <c r="B7181" s="7" t="s">
        <v>187</v>
      </c>
      <c r="C7181" s="7" t="s">
        <v>16846</v>
      </c>
      <c r="D7181" s="194">
        <v>2015.0</v>
      </c>
      <c r="E7181" s="193"/>
      <c r="F7181" s="195" t="s">
        <v>26828</v>
      </c>
      <c r="G7181" s="196">
        <v>3.7020421E7</v>
      </c>
      <c r="H7181" s="197">
        <v>0.354</v>
      </c>
      <c r="I7181" s="7" t="s">
        <v>16815</v>
      </c>
      <c r="J7181" s="7" t="s">
        <v>187</v>
      </c>
      <c r="K7181" s="7" t="s">
        <v>16846</v>
      </c>
      <c r="L7181" s="198" t="s">
        <v>65</v>
      </c>
      <c r="M7181" s="194"/>
      <c r="N7181" s="194"/>
    </row>
    <row r="7182">
      <c r="A7182" s="193" t="s">
        <v>26829</v>
      </c>
      <c r="B7182" s="7" t="s">
        <v>175</v>
      </c>
      <c r="C7182" s="7" t="s">
        <v>16854</v>
      </c>
      <c r="D7182" s="194">
        <v>1999.0</v>
      </c>
      <c r="E7182" s="193"/>
      <c r="F7182" s="195" t="s">
        <v>26830</v>
      </c>
      <c r="G7182" s="196">
        <v>3.6909552E7</v>
      </c>
      <c r="H7182" s="197">
        <v>1.86</v>
      </c>
      <c r="I7182" s="7" t="s">
        <v>16908</v>
      </c>
      <c r="J7182" s="7" t="s">
        <v>175</v>
      </c>
      <c r="K7182" s="7" t="s">
        <v>16854</v>
      </c>
      <c r="L7182" s="198" t="s">
        <v>65</v>
      </c>
      <c r="M7182" s="194"/>
      <c r="N7182" s="194"/>
    </row>
    <row r="7183">
      <c r="A7183" s="193" t="s">
        <v>26831</v>
      </c>
      <c r="B7183" s="7" t="s">
        <v>187</v>
      </c>
      <c r="C7183" s="7" t="s">
        <v>16846</v>
      </c>
      <c r="D7183" s="194">
        <v>2021.0</v>
      </c>
      <c r="E7183" s="193"/>
      <c r="F7183" s="195" t="s">
        <v>26832</v>
      </c>
      <c r="G7183" s="196">
        <v>3.6812456E7</v>
      </c>
      <c r="H7183" s="197">
        <v>0.97</v>
      </c>
      <c r="I7183" s="7" t="s">
        <v>16815</v>
      </c>
      <c r="J7183" s="7" t="s">
        <v>187</v>
      </c>
      <c r="K7183" s="7" t="s">
        <v>16846</v>
      </c>
      <c r="L7183" s="198" t="s">
        <v>65</v>
      </c>
      <c r="M7183" s="194"/>
      <c r="N7183" s="194"/>
    </row>
    <row r="7184">
      <c r="A7184" s="193" t="s">
        <v>26833</v>
      </c>
      <c r="B7184" s="7" t="s">
        <v>187</v>
      </c>
      <c r="C7184" s="7" t="s">
        <v>16846</v>
      </c>
      <c r="D7184" s="194">
        <v>2021.0</v>
      </c>
      <c r="E7184" s="193"/>
      <c r="F7184" s="195" t="s">
        <v>26834</v>
      </c>
      <c r="G7184" s="196">
        <v>3.6806E7</v>
      </c>
      <c r="H7184" s="197">
        <v>1.4</v>
      </c>
      <c r="I7184" s="7" t="s">
        <v>16815</v>
      </c>
      <c r="J7184" s="7" t="s">
        <v>187</v>
      </c>
      <c r="K7184" s="7" t="s">
        <v>16846</v>
      </c>
      <c r="L7184" s="198" t="s">
        <v>65</v>
      </c>
      <c r="M7184" s="194"/>
      <c r="N7184" s="194"/>
    </row>
    <row r="7185">
      <c r="A7185" s="193" t="s">
        <v>26835</v>
      </c>
      <c r="B7185" s="7" t="s">
        <v>187</v>
      </c>
      <c r="C7185" s="7" t="s">
        <v>16969</v>
      </c>
      <c r="D7185" s="194">
        <v>2018.0</v>
      </c>
      <c r="E7185" s="193"/>
      <c r="F7185" s="195" t="s">
        <v>26836</v>
      </c>
      <c r="G7185" s="196">
        <v>3.6745078E7</v>
      </c>
      <c r="H7185" s="197">
        <v>1.27</v>
      </c>
      <c r="I7185" s="7" t="s">
        <v>16815</v>
      </c>
      <c r="J7185" s="7" t="s">
        <v>187</v>
      </c>
      <c r="K7185" s="7" t="s">
        <v>16969</v>
      </c>
      <c r="L7185" s="198" t="s">
        <v>65</v>
      </c>
      <c r="M7185" s="194"/>
      <c r="N7185" s="194"/>
    </row>
    <row r="7186">
      <c r="A7186" s="193" t="s">
        <v>26837</v>
      </c>
      <c r="B7186" s="7" t="s">
        <v>16885</v>
      </c>
      <c r="C7186" s="7" t="s">
        <v>17726</v>
      </c>
      <c r="D7186" s="194">
        <v>2018.0</v>
      </c>
      <c r="E7186" s="193"/>
      <c r="F7186" s="195" t="s">
        <v>26838</v>
      </c>
      <c r="G7186" s="196">
        <v>3.668711E7</v>
      </c>
      <c r="H7186" s="197">
        <v>0.1815</v>
      </c>
      <c r="I7186" s="7" t="s">
        <v>17372</v>
      </c>
      <c r="J7186" s="7" t="s">
        <v>16885</v>
      </c>
      <c r="K7186" s="7" t="s">
        <v>17726</v>
      </c>
      <c r="L7186" s="198" t="s">
        <v>65</v>
      </c>
      <c r="M7186" s="194"/>
      <c r="N7186" s="194"/>
    </row>
    <row r="7187">
      <c r="A7187" s="193" t="s">
        <v>26839</v>
      </c>
      <c r="B7187" s="7" t="s">
        <v>187</v>
      </c>
      <c r="C7187" s="7" t="s">
        <v>16846</v>
      </c>
      <c r="D7187" s="194">
        <v>2017.0</v>
      </c>
      <c r="E7187" s="193"/>
      <c r="F7187" s="195" t="s">
        <v>26840</v>
      </c>
      <c r="G7187" s="196">
        <v>3.65848E7</v>
      </c>
      <c r="H7187" s="197">
        <v>0.94</v>
      </c>
      <c r="I7187" s="7" t="s">
        <v>16815</v>
      </c>
      <c r="J7187" s="7" t="s">
        <v>187</v>
      </c>
      <c r="K7187" s="7" t="s">
        <v>16846</v>
      </c>
      <c r="L7187" s="198" t="s">
        <v>65</v>
      </c>
      <c r="M7187" s="194"/>
      <c r="N7187" s="194"/>
    </row>
    <row r="7188">
      <c r="A7188" s="193" t="s">
        <v>26841</v>
      </c>
      <c r="B7188" s="7" t="s">
        <v>175</v>
      </c>
      <c r="C7188" s="7" t="s">
        <v>17606</v>
      </c>
      <c r="D7188" s="199"/>
      <c r="E7188" s="193"/>
      <c r="F7188" s="195" t="s">
        <v>26842</v>
      </c>
      <c r="G7188" s="196">
        <v>3.6466415E7</v>
      </c>
      <c r="H7188" s="197">
        <v>2.5</v>
      </c>
      <c r="I7188" s="7" t="s">
        <v>18432</v>
      </c>
      <c r="J7188" s="7" t="s">
        <v>175</v>
      </c>
      <c r="K7188" s="7" t="s">
        <v>17606</v>
      </c>
      <c r="L7188" s="198" t="s">
        <v>65</v>
      </c>
      <c r="M7188" s="199"/>
      <c r="N7188" s="199"/>
    </row>
    <row r="7189">
      <c r="A7189" s="193" t="s">
        <v>26843</v>
      </c>
      <c r="B7189" s="7" t="s">
        <v>16885</v>
      </c>
      <c r="C7189" s="7" t="s">
        <v>17726</v>
      </c>
      <c r="D7189" s="194">
        <v>1986.0</v>
      </c>
      <c r="E7189" s="193"/>
      <c r="F7189" s="195" t="s">
        <v>26844</v>
      </c>
      <c r="G7189" s="196">
        <v>3.6459746E7</v>
      </c>
      <c r="H7189" s="197">
        <v>0.3011</v>
      </c>
      <c r="I7189" s="7" t="s">
        <v>16826</v>
      </c>
      <c r="J7189" s="7" t="s">
        <v>16885</v>
      </c>
      <c r="K7189" s="7" t="s">
        <v>17726</v>
      </c>
      <c r="L7189" s="198" t="s">
        <v>65</v>
      </c>
      <c r="M7189" s="194"/>
      <c r="N7189" s="194"/>
    </row>
    <row r="7190">
      <c r="A7190" s="193" t="s">
        <v>26843</v>
      </c>
      <c r="B7190" s="202" t="s">
        <v>17726</v>
      </c>
      <c r="C7190" s="193" t="s">
        <v>16885</v>
      </c>
      <c r="D7190" s="193">
        <v>1986.0</v>
      </c>
      <c r="E7190" s="193"/>
      <c r="F7190" s="203" t="s">
        <v>26844</v>
      </c>
      <c r="G7190" s="200">
        <v>3.6459746E7</v>
      </c>
      <c r="H7190" s="205">
        <v>0.3136</v>
      </c>
      <c r="J7190" s="202" t="s">
        <v>17726</v>
      </c>
      <c r="K7190" s="193" t="s">
        <v>16885</v>
      </c>
      <c r="L7190" s="193" t="s">
        <v>17471</v>
      </c>
      <c r="M7190" s="193"/>
      <c r="N7190" s="193"/>
    </row>
    <row r="7191">
      <c r="A7191" s="193" t="s">
        <v>26845</v>
      </c>
      <c r="B7191" s="7" t="s">
        <v>187</v>
      </c>
      <c r="C7191" s="7" t="s">
        <v>16846</v>
      </c>
      <c r="D7191" s="194">
        <v>2021.0</v>
      </c>
      <c r="E7191" s="193"/>
      <c r="F7191" s="195" t="s">
        <v>26846</v>
      </c>
      <c r="G7191" s="196">
        <v>3.6441713E7</v>
      </c>
      <c r="H7191" s="197">
        <v>0.59</v>
      </c>
      <c r="I7191" s="7" t="s">
        <v>16815</v>
      </c>
      <c r="J7191" s="7" t="s">
        <v>187</v>
      </c>
      <c r="K7191" s="7" t="s">
        <v>16846</v>
      </c>
      <c r="L7191" s="198" t="s">
        <v>65</v>
      </c>
      <c r="M7191" s="194"/>
      <c r="N7191" s="194"/>
    </row>
    <row r="7192">
      <c r="A7192" s="193" t="s">
        <v>26847</v>
      </c>
      <c r="B7192" s="7" t="s">
        <v>169</v>
      </c>
      <c r="C7192" s="7" t="s">
        <v>16899</v>
      </c>
      <c r="D7192" s="194">
        <v>2018.0</v>
      </c>
      <c r="E7192" s="193"/>
      <c r="F7192" s="195" t="s">
        <v>26848</v>
      </c>
      <c r="G7192" s="196">
        <v>3.6339811E7</v>
      </c>
      <c r="H7192" s="197">
        <v>2.8</v>
      </c>
      <c r="I7192" s="7" t="s">
        <v>16815</v>
      </c>
      <c r="J7192" s="7" t="s">
        <v>169</v>
      </c>
      <c r="K7192" s="7" t="s">
        <v>16899</v>
      </c>
      <c r="L7192" s="198" t="s">
        <v>65</v>
      </c>
      <c r="M7192" s="194"/>
      <c r="N7192" s="194"/>
    </row>
    <row r="7193">
      <c r="A7193" s="193" t="s">
        <v>26849</v>
      </c>
      <c r="B7193" s="7" t="s">
        <v>187</v>
      </c>
      <c r="C7193" s="7" t="s">
        <v>16992</v>
      </c>
      <c r="D7193" s="194">
        <v>2021.0</v>
      </c>
      <c r="E7193" s="193"/>
      <c r="F7193" s="195" t="s">
        <v>26850</v>
      </c>
      <c r="G7193" s="196">
        <v>3.6233753E7</v>
      </c>
      <c r="H7193" s="197">
        <v>1.05</v>
      </c>
      <c r="I7193" s="7" t="s">
        <v>16815</v>
      </c>
      <c r="J7193" s="7" t="s">
        <v>187</v>
      </c>
      <c r="K7193" s="7" t="s">
        <v>16992</v>
      </c>
      <c r="L7193" s="198" t="s">
        <v>65</v>
      </c>
      <c r="M7193" s="194"/>
      <c r="N7193" s="194"/>
    </row>
    <row r="7194">
      <c r="A7194" s="193" t="s">
        <v>26851</v>
      </c>
      <c r="B7194" s="7" t="s">
        <v>187</v>
      </c>
      <c r="C7194" s="7" t="s">
        <v>16858</v>
      </c>
      <c r="D7194" s="199"/>
      <c r="E7194" s="193"/>
      <c r="F7194" s="195" t="s">
        <v>26852</v>
      </c>
      <c r="G7194" s="196">
        <v>3.6063176E7</v>
      </c>
      <c r="H7194" s="197">
        <v>6.13</v>
      </c>
      <c r="I7194" s="7" t="s">
        <v>16815</v>
      </c>
      <c r="J7194" s="7" t="s">
        <v>187</v>
      </c>
      <c r="K7194" s="7" t="s">
        <v>16858</v>
      </c>
      <c r="L7194" s="198" t="s">
        <v>65</v>
      </c>
      <c r="M7194" s="199"/>
      <c r="N7194" s="199"/>
    </row>
    <row r="7195">
      <c r="A7195" s="193" t="s">
        <v>26853</v>
      </c>
      <c r="B7195" s="7" t="s">
        <v>175</v>
      </c>
      <c r="C7195" s="7" t="s">
        <v>16842</v>
      </c>
      <c r="D7195" s="199"/>
      <c r="E7195" s="193"/>
      <c r="F7195" s="195" t="s">
        <v>26854</v>
      </c>
      <c r="G7195" s="196">
        <v>3.6060235E7</v>
      </c>
      <c r="H7195" s="197">
        <v>0.1958</v>
      </c>
      <c r="I7195" s="7" t="s">
        <v>168</v>
      </c>
      <c r="J7195" s="7" t="s">
        <v>175</v>
      </c>
      <c r="K7195" s="7" t="s">
        <v>16842</v>
      </c>
      <c r="L7195" s="198" t="s">
        <v>65</v>
      </c>
      <c r="M7195" s="199"/>
      <c r="N7195" s="199"/>
    </row>
    <row r="7196">
      <c r="A7196" s="193" t="s">
        <v>26855</v>
      </c>
      <c r="B7196" s="7" t="s">
        <v>187</v>
      </c>
      <c r="C7196" s="7" t="s">
        <v>16846</v>
      </c>
      <c r="D7196" s="194">
        <v>2020.0</v>
      </c>
      <c r="E7196" s="193"/>
      <c r="F7196" s="195" t="s">
        <v>26856</v>
      </c>
      <c r="G7196" s="196">
        <v>3.5867832E7</v>
      </c>
      <c r="H7196" s="197">
        <v>3.3</v>
      </c>
      <c r="I7196" s="7" t="s">
        <v>16815</v>
      </c>
      <c r="J7196" s="7" t="s">
        <v>187</v>
      </c>
      <c r="K7196" s="7" t="s">
        <v>16846</v>
      </c>
      <c r="L7196" s="198" t="s">
        <v>65</v>
      </c>
      <c r="M7196" s="194"/>
      <c r="N7196" s="194"/>
    </row>
    <row r="7197">
      <c r="A7197" s="193" t="s">
        <v>26857</v>
      </c>
      <c r="B7197" s="7" t="s">
        <v>16838</v>
      </c>
      <c r="C7197" s="7" t="s">
        <v>16837</v>
      </c>
      <c r="D7197" s="194">
        <v>2005.0</v>
      </c>
      <c r="E7197" s="193"/>
      <c r="F7197" s="195" t="s">
        <v>26858</v>
      </c>
      <c r="G7197" s="196">
        <v>3.574328E7</v>
      </c>
      <c r="H7197" s="197">
        <v>4.42</v>
      </c>
      <c r="I7197" s="7" t="s">
        <v>16815</v>
      </c>
      <c r="J7197" s="7" t="s">
        <v>16838</v>
      </c>
      <c r="K7197" s="7" t="s">
        <v>16837</v>
      </c>
      <c r="L7197" s="198" t="s">
        <v>65</v>
      </c>
      <c r="M7197" s="194"/>
      <c r="N7197" s="194"/>
    </row>
    <row r="7198">
      <c r="A7198" s="193" t="s">
        <v>26859</v>
      </c>
      <c r="D7198" s="194">
        <v>2023.0</v>
      </c>
      <c r="E7198" s="193"/>
      <c r="F7198" s="195" t="s">
        <v>26860</v>
      </c>
      <c r="G7198" s="196">
        <v>3.57E7</v>
      </c>
      <c r="H7198" s="197">
        <v>2.55</v>
      </c>
      <c r="I7198" s="7" t="s">
        <v>16815</v>
      </c>
      <c r="L7198" s="198" t="s">
        <v>65</v>
      </c>
      <c r="M7198" s="194"/>
      <c r="N7198" s="194"/>
    </row>
    <row r="7199">
      <c r="A7199" s="193" t="s">
        <v>26861</v>
      </c>
      <c r="B7199" s="7" t="s">
        <v>175</v>
      </c>
      <c r="C7199" s="7" t="s">
        <v>17318</v>
      </c>
      <c r="D7199" s="199"/>
      <c r="E7199" s="193"/>
      <c r="F7199" s="195" t="s">
        <v>26862</v>
      </c>
      <c r="G7199" s="196">
        <v>3.5696791E7</v>
      </c>
      <c r="H7199" s="197">
        <v>4.25</v>
      </c>
      <c r="I7199" s="7" t="s">
        <v>16903</v>
      </c>
      <c r="J7199" s="7" t="s">
        <v>175</v>
      </c>
      <c r="K7199" s="7" t="s">
        <v>17318</v>
      </c>
      <c r="L7199" s="198" t="s">
        <v>65</v>
      </c>
      <c r="M7199" s="199"/>
      <c r="N7199" s="199"/>
    </row>
    <row r="7200">
      <c r="A7200" s="193" t="s">
        <v>405</v>
      </c>
      <c r="B7200" s="7" t="s">
        <v>175</v>
      </c>
      <c r="C7200" s="7" t="s">
        <v>17084</v>
      </c>
      <c r="D7200" s="194">
        <v>2010.0</v>
      </c>
      <c r="E7200" s="193"/>
      <c r="F7200" s="195" t="s">
        <v>26863</v>
      </c>
      <c r="G7200" s="196">
        <v>3.5579647E7</v>
      </c>
      <c r="H7200" s="197">
        <v>9.5</v>
      </c>
      <c r="I7200" s="7" t="s">
        <v>16908</v>
      </c>
      <c r="J7200" s="7" t="s">
        <v>175</v>
      </c>
      <c r="K7200" s="7" t="s">
        <v>17084</v>
      </c>
      <c r="L7200" s="198" t="s">
        <v>65</v>
      </c>
      <c r="M7200" s="194"/>
      <c r="N7200" s="194"/>
    </row>
    <row r="7201">
      <c r="A7201" s="193" t="s">
        <v>405</v>
      </c>
      <c r="B7201" s="7" t="s">
        <v>17084</v>
      </c>
      <c r="C7201" s="7" t="s">
        <v>175</v>
      </c>
      <c r="D7201" s="194">
        <v>2010.0</v>
      </c>
      <c r="E7201" s="193"/>
      <c r="F7201" s="195" t="s">
        <v>26863</v>
      </c>
      <c r="G7201" s="200">
        <v>3.5579647E7</v>
      </c>
      <c r="H7201" s="197">
        <v>9.5</v>
      </c>
      <c r="I7201" s="7" t="s">
        <v>16815</v>
      </c>
      <c r="J7201" s="7" t="s">
        <v>17084</v>
      </c>
      <c r="K7201" s="7" t="s">
        <v>175</v>
      </c>
      <c r="L7201" s="201" t="s">
        <v>16835</v>
      </c>
      <c r="M7201" s="194"/>
      <c r="N7201" s="194"/>
    </row>
    <row r="7202">
      <c r="A7202" s="193" t="s">
        <v>26864</v>
      </c>
      <c r="B7202" s="7" t="s">
        <v>169</v>
      </c>
      <c r="C7202" s="7" t="s">
        <v>18732</v>
      </c>
      <c r="D7202" s="194">
        <v>1995.0</v>
      </c>
      <c r="E7202" s="193"/>
      <c r="F7202" s="195" t="s">
        <v>26865</v>
      </c>
      <c r="G7202" s="196">
        <v>3.5535583E7</v>
      </c>
      <c r="H7202" s="197">
        <v>2.23</v>
      </c>
      <c r="I7202" s="7" t="s">
        <v>16815</v>
      </c>
      <c r="J7202" s="7" t="s">
        <v>169</v>
      </c>
      <c r="K7202" s="7" t="s">
        <v>18732</v>
      </c>
      <c r="L7202" s="198" t="s">
        <v>65</v>
      </c>
      <c r="M7202" s="194"/>
      <c r="N7202" s="194"/>
    </row>
    <row r="7203">
      <c r="A7203" s="193" t="s">
        <v>26866</v>
      </c>
      <c r="B7203" s="7" t="s">
        <v>187</v>
      </c>
      <c r="C7203" s="7" t="s">
        <v>16846</v>
      </c>
      <c r="D7203" s="194">
        <v>2018.0</v>
      </c>
      <c r="E7203" s="193"/>
      <c r="F7203" s="195" t="s">
        <v>26867</v>
      </c>
      <c r="G7203" s="196">
        <v>3.5469091E7</v>
      </c>
      <c r="H7203" s="197">
        <v>1.38</v>
      </c>
      <c r="I7203" s="7" t="s">
        <v>16815</v>
      </c>
      <c r="J7203" s="7" t="s">
        <v>187</v>
      </c>
      <c r="K7203" s="7" t="s">
        <v>16846</v>
      </c>
      <c r="L7203" s="198" t="s">
        <v>65</v>
      </c>
      <c r="M7203" s="194"/>
      <c r="N7203" s="194"/>
    </row>
    <row r="7204">
      <c r="A7204" s="193" t="s">
        <v>26868</v>
      </c>
      <c r="B7204" s="7" t="s">
        <v>175</v>
      </c>
      <c r="C7204" s="7" t="s">
        <v>18723</v>
      </c>
      <c r="D7204" s="199"/>
      <c r="E7204" s="193"/>
      <c r="F7204" s="195" t="s">
        <v>26869</v>
      </c>
      <c r="G7204" s="196">
        <v>3.5411151E7</v>
      </c>
      <c r="H7204" s="197">
        <v>1.01</v>
      </c>
      <c r="I7204" s="7" t="s">
        <v>16844</v>
      </c>
      <c r="J7204" s="7" t="s">
        <v>175</v>
      </c>
      <c r="K7204" s="7" t="s">
        <v>18723</v>
      </c>
      <c r="L7204" s="198" t="s">
        <v>65</v>
      </c>
      <c r="M7204" s="199"/>
      <c r="N7204" s="199"/>
    </row>
    <row r="7205">
      <c r="A7205" s="193" t="s">
        <v>26868</v>
      </c>
      <c r="B7205" s="202" t="s">
        <v>18723</v>
      </c>
      <c r="C7205" s="193" t="s">
        <v>175</v>
      </c>
      <c r="D7205" s="206"/>
      <c r="E7205" s="193"/>
      <c r="F7205" s="203" t="s">
        <v>26869</v>
      </c>
      <c r="G7205" s="200">
        <v>3.5411151E7</v>
      </c>
      <c r="H7205" s="205">
        <v>0.3011</v>
      </c>
      <c r="J7205" s="202" t="s">
        <v>18723</v>
      </c>
      <c r="K7205" s="193" t="s">
        <v>175</v>
      </c>
      <c r="L7205" s="193" t="s">
        <v>17471</v>
      </c>
      <c r="M7205" s="206"/>
      <c r="N7205" s="206"/>
    </row>
    <row r="7206">
      <c r="A7206" s="193" t="s">
        <v>26870</v>
      </c>
      <c r="B7206" s="7" t="s">
        <v>169</v>
      </c>
      <c r="C7206" s="7" t="s">
        <v>17022</v>
      </c>
      <c r="D7206" s="199"/>
      <c r="E7206" s="193"/>
      <c r="F7206" s="195" t="s">
        <v>26871</v>
      </c>
      <c r="G7206" s="196">
        <v>3.539555E7</v>
      </c>
      <c r="H7206" s="197">
        <v>0.09</v>
      </c>
      <c r="I7206" s="7" t="s">
        <v>16815</v>
      </c>
      <c r="J7206" s="7" t="s">
        <v>169</v>
      </c>
      <c r="K7206" s="7" t="s">
        <v>17022</v>
      </c>
      <c r="L7206" s="198" t="s">
        <v>65</v>
      </c>
      <c r="M7206" s="199"/>
      <c r="N7206" s="199"/>
    </row>
    <row r="7207">
      <c r="A7207" s="193" t="s">
        <v>26872</v>
      </c>
      <c r="B7207" s="7" t="s">
        <v>16838</v>
      </c>
      <c r="C7207" s="7" t="s">
        <v>17016</v>
      </c>
      <c r="D7207" s="194">
        <v>2019.0</v>
      </c>
      <c r="E7207" s="193"/>
      <c r="F7207" s="195" t="s">
        <v>26873</v>
      </c>
      <c r="G7207" s="196">
        <v>3.5319999E7</v>
      </c>
      <c r="H7207" s="197">
        <v>3.0</v>
      </c>
      <c r="I7207" s="7" t="s">
        <v>16815</v>
      </c>
      <c r="J7207" s="7" t="s">
        <v>16838</v>
      </c>
      <c r="K7207" s="7" t="s">
        <v>17016</v>
      </c>
      <c r="L7207" s="198" t="s">
        <v>65</v>
      </c>
      <c r="M7207" s="194"/>
      <c r="N7207" s="194"/>
    </row>
    <row r="7208">
      <c r="A7208" s="193" t="s">
        <v>26874</v>
      </c>
      <c r="B7208" s="7" t="s">
        <v>187</v>
      </c>
      <c r="C7208" s="7" t="s">
        <v>16846</v>
      </c>
      <c r="D7208" s="199"/>
      <c r="E7208" s="193"/>
      <c r="F7208" s="195" t="s">
        <v>26875</v>
      </c>
      <c r="G7208" s="196">
        <v>3.5280271E7</v>
      </c>
      <c r="H7208" s="197">
        <v>1.38</v>
      </c>
      <c r="I7208" s="7" t="s">
        <v>16815</v>
      </c>
      <c r="J7208" s="7" t="s">
        <v>187</v>
      </c>
      <c r="K7208" s="7" t="s">
        <v>16846</v>
      </c>
      <c r="L7208" s="198" t="s">
        <v>65</v>
      </c>
      <c r="M7208" s="199"/>
      <c r="N7208" s="199"/>
    </row>
    <row r="7209">
      <c r="A7209" s="193" t="s">
        <v>26876</v>
      </c>
      <c r="B7209" s="7" t="s">
        <v>16582</v>
      </c>
      <c r="C7209" s="7" t="s">
        <v>16899</v>
      </c>
      <c r="D7209" s="199"/>
      <c r="E7209" s="193"/>
      <c r="F7209" s="195" t="s">
        <v>26877</v>
      </c>
      <c r="G7209" s="196">
        <v>3.5184751E7</v>
      </c>
      <c r="H7209" s="197">
        <v>1.05</v>
      </c>
      <c r="I7209" s="7" t="s">
        <v>16815</v>
      </c>
      <c r="J7209" s="7" t="s">
        <v>16582</v>
      </c>
      <c r="K7209" s="7" t="s">
        <v>16899</v>
      </c>
      <c r="L7209" s="198" t="s">
        <v>65</v>
      </c>
      <c r="M7209" s="199"/>
      <c r="N7209" s="199"/>
    </row>
    <row r="7210">
      <c r="A7210" s="193" t="s">
        <v>26878</v>
      </c>
      <c r="B7210" s="7" t="s">
        <v>17016</v>
      </c>
      <c r="C7210" s="7" t="s">
        <v>16838</v>
      </c>
      <c r="D7210" s="194">
        <v>2017.0</v>
      </c>
      <c r="E7210" s="193"/>
      <c r="F7210" s="195" t="s">
        <v>26879</v>
      </c>
      <c r="G7210" s="200">
        <v>3.5105461E7</v>
      </c>
      <c r="H7210" s="197">
        <v>0.85</v>
      </c>
      <c r="I7210" s="7" t="s">
        <v>16815</v>
      </c>
      <c r="J7210" s="7" t="s">
        <v>17016</v>
      </c>
      <c r="K7210" s="7" t="s">
        <v>16838</v>
      </c>
      <c r="L7210" s="201" t="s">
        <v>16835</v>
      </c>
      <c r="M7210" s="194"/>
      <c r="N7210" s="194"/>
    </row>
    <row r="7211">
      <c r="A7211" s="193" t="s">
        <v>26878</v>
      </c>
      <c r="B7211" s="7" t="s">
        <v>16838</v>
      </c>
      <c r="C7211" s="7" t="s">
        <v>17016</v>
      </c>
      <c r="D7211" s="194">
        <v>2017.0</v>
      </c>
      <c r="E7211" s="193"/>
      <c r="F7211" s="195" t="s">
        <v>26879</v>
      </c>
      <c r="G7211" s="196">
        <v>3.5105461E7</v>
      </c>
      <c r="H7211" s="197">
        <v>0.85</v>
      </c>
      <c r="I7211" s="7" t="s">
        <v>16815</v>
      </c>
      <c r="J7211" s="7" t="s">
        <v>16838</v>
      </c>
      <c r="K7211" s="7" t="s">
        <v>17016</v>
      </c>
      <c r="L7211" s="198" t="s">
        <v>65</v>
      </c>
      <c r="M7211" s="194"/>
      <c r="N7211" s="194"/>
    </row>
    <row r="7212">
      <c r="A7212" s="193" t="s">
        <v>26880</v>
      </c>
      <c r="B7212" s="7" t="s">
        <v>187</v>
      </c>
      <c r="C7212" s="7" t="s">
        <v>16969</v>
      </c>
      <c r="D7212" s="194">
        <v>2017.0</v>
      </c>
      <c r="E7212" s="193"/>
      <c r="F7212" s="195" t="s">
        <v>26881</v>
      </c>
      <c r="G7212" s="196">
        <v>3.5099313E7</v>
      </c>
      <c r="H7212" s="197">
        <v>1.14</v>
      </c>
      <c r="I7212" s="7" t="s">
        <v>16815</v>
      </c>
      <c r="J7212" s="7" t="s">
        <v>187</v>
      </c>
      <c r="K7212" s="7" t="s">
        <v>16969</v>
      </c>
      <c r="L7212" s="198" t="s">
        <v>65</v>
      </c>
      <c r="M7212" s="194"/>
      <c r="N7212" s="194"/>
    </row>
    <row r="7213">
      <c r="A7213" s="193" t="s">
        <v>26882</v>
      </c>
      <c r="D7213" s="199"/>
      <c r="E7213" s="193"/>
      <c r="F7213" s="195" t="s">
        <v>26883</v>
      </c>
      <c r="G7213" s="196">
        <v>3.501335E7</v>
      </c>
      <c r="H7213" s="197">
        <v>0.7675</v>
      </c>
      <c r="I7213" s="7" t="s">
        <v>16815</v>
      </c>
      <c r="L7213" s="198" t="s">
        <v>65</v>
      </c>
      <c r="M7213" s="199"/>
      <c r="N7213" s="199"/>
    </row>
    <row r="7214">
      <c r="A7214" s="193" t="s">
        <v>26884</v>
      </c>
      <c r="B7214" s="7" t="s">
        <v>175</v>
      </c>
      <c r="C7214" s="7" t="s">
        <v>17391</v>
      </c>
      <c r="D7214" s="199"/>
      <c r="E7214" s="193"/>
      <c r="F7214" s="195" t="s">
        <v>26885</v>
      </c>
      <c r="G7214" s="196">
        <v>3.4925017E7</v>
      </c>
      <c r="H7214" s="197">
        <v>2.27</v>
      </c>
      <c r="I7214" s="7" t="s">
        <v>168</v>
      </c>
      <c r="J7214" s="7" t="s">
        <v>175</v>
      </c>
      <c r="K7214" s="7" t="s">
        <v>17391</v>
      </c>
      <c r="L7214" s="198" t="s">
        <v>65</v>
      </c>
      <c r="M7214" s="199"/>
      <c r="N7214" s="199"/>
    </row>
    <row r="7215">
      <c r="A7215" s="193" t="s">
        <v>26886</v>
      </c>
      <c r="B7215" s="7" t="s">
        <v>187</v>
      </c>
      <c r="C7215" s="7" t="s">
        <v>16846</v>
      </c>
      <c r="D7215" s="194">
        <v>2021.0</v>
      </c>
      <c r="E7215" s="193"/>
      <c r="F7215" s="195" t="s">
        <v>26887</v>
      </c>
      <c r="G7215" s="196">
        <v>3.4796416E7</v>
      </c>
      <c r="H7215" s="197">
        <v>2.74</v>
      </c>
      <c r="I7215" s="7" t="s">
        <v>16815</v>
      </c>
      <c r="J7215" s="7" t="s">
        <v>187</v>
      </c>
      <c r="K7215" s="7" t="s">
        <v>16846</v>
      </c>
      <c r="L7215" s="198" t="s">
        <v>65</v>
      </c>
      <c r="M7215" s="194"/>
      <c r="N7215" s="194"/>
    </row>
    <row r="7216">
      <c r="A7216" s="193" t="s">
        <v>26888</v>
      </c>
      <c r="B7216" s="7" t="s">
        <v>16926</v>
      </c>
      <c r="C7216" s="7" t="s">
        <v>16957</v>
      </c>
      <c r="D7216" s="199"/>
      <c r="E7216" s="193"/>
      <c r="F7216" s="195" t="s">
        <v>26889</v>
      </c>
      <c r="G7216" s="196">
        <v>3.4781249E7</v>
      </c>
      <c r="H7216" s="197">
        <v>1.86</v>
      </c>
      <c r="I7216" s="7" t="s">
        <v>16815</v>
      </c>
      <c r="J7216" s="7" t="s">
        <v>16926</v>
      </c>
      <c r="K7216" s="7" t="s">
        <v>16957</v>
      </c>
      <c r="L7216" s="198" t="s">
        <v>65</v>
      </c>
      <c r="M7216" s="199"/>
      <c r="N7216" s="199"/>
    </row>
    <row r="7217">
      <c r="A7217" s="193" t="s">
        <v>26890</v>
      </c>
      <c r="B7217" s="7" t="s">
        <v>175</v>
      </c>
      <c r="C7217" s="7" t="s">
        <v>17509</v>
      </c>
      <c r="D7217" s="199"/>
      <c r="E7217" s="193"/>
      <c r="F7217" s="195" t="s">
        <v>26891</v>
      </c>
      <c r="G7217" s="196">
        <v>3.4702785E7</v>
      </c>
      <c r="H7217" s="197">
        <v>0.71</v>
      </c>
      <c r="I7217" s="7" t="s">
        <v>16826</v>
      </c>
      <c r="J7217" s="7" t="s">
        <v>175</v>
      </c>
      <c r="K7217" s="7" t="s">
        <v>17509</v>
      </c>
      <c r="L7217" s="198" t="s">
        <v>65</v>
      </c>
      <c r="M7217" s="199"/>
      <c r="N7217" s="199"/>
    </row>
    <row r="7218">
      <c r="A7218" s="193" t="s">
        <v>26892</v>
      </c>
      <c r="B7218" s="7" t="s">
        <v>16838</v>
      </c>
      <c r="C7218" s="7" t="s">
        <v>17112</v>
      </c>
      <c r="D7218" s="194">
        <v>2023.0</v>
      </c>
      <c r="E7218" s="193"/>
      <c r="F7218" s="195" t="s">
        <v>26893</v>
      </c>
      <c r="G7218" s="196">
        <v>3.4671E7</v>
      </c>
      <c r="H7218" s="197">
        <v>1.82</v>
      </c>
      <c r="I7218" s="7" t="s">
        <v>16815</v>
      </c>
      <c r="J7218" s="7" t="s">
        <v>16838</v>
      </c>
      <c r="K7218" s="7" t="s">
        <v>17112</v>
      </c>
      <c r="L7218" s="198" t="s">
        <v>65</v>
      </c>
      <c r="M7218" s="194"/>
      <c r="N7218" s="194"/>
    </row>
    <row r="7219">
      <c r="A7219" s="193" t="s">
        <v>26894</v>
      </c>
      <c r="D7219" s="194">
        <v>2021.0</v>
      </c>
      <c r="E7219" s="193"/>
      <c r="F7219" s="195" t="s">
        <v>26895</v>
      </c>
      <c r="G7219" s="196">
        <v>3.4596436E7</v>
      </c>
      <c r="H7219" s="197">
        <v>4.57</v>
      </c>
      <c r="I7219" s="7" t="s">
        <v>16815</v>
      </c>
      <c r="L7219" s="198" t="s">
        <v>65</v>
      </c>
      <c r="M7219" s="194"/>
      <c r="N7219" s="194"/>
    </row>
    <row r="7220">
      <c r="A7220" s="193" t="s">
        <v>26896</v>
      </c>
      <c r="B7220" s="7" t="s">
        <v>175</v>
      </c>
      <c r="C7220" s="7" t="s">
        <v>17442</v>
      </c>
      <c r="D7220" s="199"/>
      <c r="E7220" s="193"/>
      <c r="F7220" s="195" t="s">
        <v>26897</v>
      </c>
      <c r="G7220" s="196">
        <v>3.4555732E7</v>
      </c>
      <c r="H7220" s="197">
        <v>2.38</v>
      </c>
      <c r="I7220" s="7" t="s">
        <v>16908</v>
      </c>
      <c r="J7220" s="7" t="s">
        <v>175</v>
      </c>
      <c r="K7220" s="7" t="s">
        <v>17442</v>
      </c>
      <c r="L7220" s="198" t="s">
        <v>65</v>
      </c>
      <c r="M7220" s="199"/>
      <c r="N7220" s="199"/>
    </row>
    <row r="7221">
      <c r="A7221" s="193" t="s">
        <v>26898</v>
      </c>
      <c r="B7221" s="7" t="s">
        <v>16838</v>
      </c>
      <c r="C7221" s="7" t="s">
        <v>17202</v>
      </c>
      <c r="D7221" s="199"/>
      <c r="E7221" s="193"/>
      <c r="F7221" s="195" t="s">
        <v>26899</v>
      </c>
      <c r="G7221" s="196">
        <v>3.4551289E7</v>
      </c>
      <c r="H7221" s="197">
        <v>2.76</v>
      </c>
      <c r="I7221" s="7" t="s">
        <v>16815</v>
      </c>
      <c r="J7221" s="7" t="s">
        <v>16838</v>
      </c>
      <c r="K7221" s="7" t="s">
        <v>17202</v>
      </c>
      <c r="L7221" s="198" t="s">
        <v>65</v>
      </c>
      <c r="M7221" s="199"/>
      <c r="N7221" s="199"/>
    </row>
    <row r="7222">
      <c r="A7222" s="193" t="s">
        <v>26900</v>
      </c>
      <c r="B7222" s="7" t="s">
        <v>175</v>
      </c>
      <c r="C7222" s="7" t="s">
        <v>18268</v>
      </c>
      <c r="D7222" s="194">
        <v>2017.0</v>
      </c>
      <c r="E7222" s="193"/>
      <c r="F7222" s="195" t="s">
        <v>26901</v>
      </c>
      <c r="G7222" s="196">
        <v>3.452073E7</v>
      </c>
      <c r="H7222" s="197">
        <v>3.25</v>
      </c>
      <c r="I7222" s="7" t="s">
        <v>16908</v>
      </c>
      <c r="J7222" s="7" t="s">
        <v>175</v>
      </c>
      <c r="K7222" s="7" t="s">
        <v>18268</v>
      </c>
      <c r="L7222" s="198" t="s">
        <v>65</v>
      </c>
      <c r="M7222" s="194"/>
      <c r="N7222" s="194"/>
    </row>
    <row r="7223">
      <c r="A7223" s="193" t="s">
        <v>26902</v>
      </c>
      <c r="B7223" s="7" t="s">
        <v>175</v>
      </c>
      <c r="C7223" s="7" t="s">
        <v>17480</v>
      </c>
      <c r="D7223" s="194">
        <v>2021.0</v>
      </c>
      <c r="E7223" s="193"/>
      <c r="F7223" s="195" t="s">
        <v>26903</v>
      </c>
      <c r="G7223" s="196">
        <v>3.4475268E7</v>
      </c>
      <c r="H7223" s="197">
        <v>0.5</v>
      </c>
      <c r="I7223" s="7" t="s">
        <v>17222</v>
      </c>
      <c r="J7223" s="7" t="s">
        <v>175</v>
      </c>
      <c r="K7223" s="7" t="s">
        <v>17480</v>
      </c>
      <c r="L7223" s="198" t="s">
        <v>65</v>
      </c>
      <c r="M7223" s="194"/>
      <c r="N7223" s="194"/>
    </row>
    <row r="7224">
      <c r="A7224" s="193" t="s">
        <v>26904</v>
      </c>
      <c r="B7224" s="7" t="s">
        <v>187</v>
      </c>
      <c r="C7224" s="7" t="s">
        <v>17122</v>
      </c>
      <c r="D7224" s="194">
        <v>2018.0</v>
      </c>
      <c r="E7224" s="193"/>
      <c r="F7224" s="195" t="s">
        <v>26905</v>
      </c>
      <c r="G7224" s="196">
        <v>3.4453891E7</v>
      </c>
      <c r="H7224" s="197">
        <v>5.74</v>
      </c>
      <c r="I7224" s="7" t="s">
        <v>16815</v>
      </c>
      <c r="J7224" s="7" t="s">
        <v>187</v>
      </c>
      <c r="K7224" s="7" t="s">
        <v>17122</v>
      </c>
      <c r="L7224" s="198" t="s">
        <v>65</v>
      </c>
      <c r="M7224" s="194"/>
      <c r="N7224" s="194"/>
    </row>
    <row r="7225">
      <c r="A7225" s="193" t="s">
        <v>26906</v>
      </c>
      <c r="B7225" s="7" t="s">
        <v>16919</v>
      </c>
      <c r="C7225" s="7" t="s">
        <v>16957</v>
      </c>
      <c r="D7225" s="199"/>
      <c r="E7225" s="193"/>
      <c r="F7225" s="195" t="s">
        <v>26907</v>
      </c>
      <c r="G7225" s="196">
        <v>3.4410098E7</v>
      </c>
      <c r="H7225" s="197">
        <v>2.92</v>
      </c>
      <c r="I7225" s="7" t="s">
        <v>16815</v>
      </c>
      <c r="J7225" s="7" t="s">
        <v>16919</v>
      </c>
      <c r="K7225" s="7" t="s">
        <v>16957</v>
      </c>
      <c r="L7225" s="198" t="s">
        <v>65</v>
      </c>
      <c r="M7225" s="199"/>
      <c r="N7225" s="199"/>
    </row>
    <row r="7226">
      <c r="A7226" s="193" t="s">
        <v>26908</v>
      </c>
      <c r="B7226" s="7" t="s">
        <v>16910</v>
      </c>
      <c r="C7226" s="7" t="s">
        <v>16911</v>
      </c>
      <c r="D7226" s="199"/>
      <c r="E7226" s="193"/>
      <c r="F7226" s="195" t="s">
        <v>26909</v>
      </c>
      <c r="G7226" s="196">
        <v>3.431725E7</v>
      </c>
      <c r="H7226" s="197">
        <v>0.5781</v>
      </c>
      <c r="I7226" s="7" t="s">
        <v>17063</v>
      </c>
      <c r="J7226" s="7" t="s">
        <v>16910</v>
      </c>
      <c r="K7226" s="7" t="s">
        <v>16911</v>
      </c>
      <c r="L7226" s="198" t="s">
        <v>65</v>
      </c>
      <c r="M7226" s="199"/>
      <c r="N7226" s="199"/>
    </row>
    <row r="7227">
      <c r="A7227" s="193" t="s">
        <v>26910</v>
      </c>
      <c r="B7227" s="7" t="s">
        <v>16582</v>
      </c>
      <c r="C7227" s="7" t="s">
        <v>16817</v>
      </c>
      <c r="D7227" s="194">
        <v>2020.0</v>
      </c>
      <c r="E7227" s="193"/>
      <c r="F7227" s="195" t="s">
        <v>26911</v>
      </c>
      <c r="G7227" s="196">
        <v>3.4314757E7</v>
      </c>
      <c r="H7227" s="197">
        <v>0.2874</v>
      </c>
      <c r="I7227" s="7" t="s">
        <v>16815</v>
      </c>
      <c r="J7227" s="7" t="s">
        <v>16582</v>
      </c>
      <c r="K7227" s="7" t="s">
        <v>16817</v>
      </c>
      <c r="L7227" s="198" t="s">
        <v>65</v>
      </c>
      <c r="M7227" s="194"/>
      <c r="N7227" s="194"/>
    </row>
    <row r="7228">
      <c r="A7228" s="193" t="s">
        <v>26912</v>
      </c>
      <c r="B7228" s="7" t="s">
        <v>187</v>
      </c>
      <c r="C7228" s="7" t="s">
        <v>16969</v>
      </c>
      <c r="D7228" s="199"/>
      <c r="E7228" s="193"/>
      <c r="F7228" s="195" t="s">
        <v>26913</v>
      </c>
      <c r="G7228" s="196">
        <v>3.4098185E7</v>
      </c>
      <c r="H7228" s="197">
        <v>1.34</v>
      </c>
      <c r="I7228" s="7" t="s">
        <v>16815</v>
      </c>
      <c r="J7228" s="7" t="s">
        <v>187</v>
      </c>
      <c r="K7228" s="7" t="s">
        <v>16969</v>
      </c>
      <c r="L7228" s="198" t="s">
        <v>65</v>
      </c>
      <c r="M7228" s="199"/>
      <c r="N7228" s="199"/>
    </row>
    <row r="7229">
      <c r="A7229" s="193" t="s">
        <v>26914</v>
      </c>
      <c r="B7229" s="7" t="s">
        <v>187</v>
      </c>
      <c r="C7229" s="7" t="s">
        <v>16846</v>
      </c>
      <c r="D7229" s="194">
        <v>2018.0</v>
      </c>
      <c r="E7229" s="193"/>
      <c r="F7229" s="195" t="s">
        <v>26915</v>
      </c>
      <c r="G7229" s="196">
        <v>3.3975399E7</v>
      </c>
      <c r="H7229" s="197">
        <v>1.5</v>
      </c>
      <c r="I7229" s="7" t="s">
        <v>16815</v>
      </c>
      <c r="J7229" s="7" t="s">
        <v>187</v>
      </c>
      <c r="K7229" s="7" t="s">
        <v>16846</v>
      </c>
      <c r="L7229" s="198" t="s">
        <v>65</v>
      </c>
      <c r="M7229" s="194"/>
      <c r="N7229" s="194"/>
    </row>
    <row r="7230">
      <c r="A7230" s="193" t="s">
        <v>26916</v>
      </c>
      <c r="B7230" s="7" t="s">
        <v>16838</v>
      </c>
      <c r="C7230" s="7" t="s">
        <v>17016</v>
      </c>
      <c r="D7230" s="199"/>
      <c r="E7230" s="193"/>
      <c r="F7230" s="195" t="s">
        <v>26917</v>
      </c>
      <c r="G7230" s="196">
        <v>3.3811375E7</v>
      </c>
      <c r="H7230" s="197">
        <v>13.1</v>
      </c>
      <c r="I7230" s="7" t="s">
        <v>16815</v>
      </c>
      <c r="J7230" s="7" t="s">
        <v>16838</v>
      </c>
      <c r="K7230" s="7" t="s">
        <v>17016</v>
      </c>
      <c r="L7230" s="198" t="s">
        <v>65</v>
      </c>
      <c r="M7230" s="199"/>
      <c r="N7230" s="199"/>
    </row>
    <row r="7231">
      <c r="A7231" s="193" t="s">
        <v>26918</v>
      </c>
      <c r="B7231" s="7" t="s">
        <v>187</v>
      </c>
      <c r="C7231" s="7" t="s">
        <v>17122</v>
      </c>
      <c r="D7231" s="194">
        <v>1996.0</v>
      </c>
      <c r="E7231" s="193"/>
      <c r="F7231" s="195" t="s">
        <v>26919</v>
      </c>
      <c r="G7231" s="196">
        <v>3.3756534E7</v>
      </c>
      <c r="H7231" s="197">
        <v>2.08</v>
      </c>
      <c r="I7231" s="7" t="s">
        <v>16815</v>
      </c>
      <c r="J7231" s="7" t="s">
        <v>187</v>
      </c>
      <c r="K7231" s="7" t="s">
        <v>17122</v>
      </c>
      <c r="L7231" s="198" t="s">
        <v>65</v>
      </c>
      <c r="M7231" s="194"/>
      <c r="N7231" s="194"/>
    </row>
    <row r="7232">
      <c r="A7232" s="193" t="s">
        <v>26920</v>
      </c>
      <c r="B7232" s="7" t="s">
        <v>16838</v>
      </c>
      <c r="C7232" s="7" t="s">
        <v>16837</v>
      </c>
      <c r="D7232" s="194">
        <v>2019.0</v>
      </c>
      <c r="E7232" s="193"/>
      <c r="F7232" s="195" t="s">
        <v>26921</v>
      </c>
      <c r="G7232" s="196">
        <v>3.3751044E7</v>
      </c>
      <c r="H7232" s="197">
        <v>6.65</v>
      </c>
      <c r="I7232" s="7" t="s">
        <v>16815</v>
      </c>
      <c r="J7232" s="7" t="s">
        <v>16838</v>
      </c>
      <c r="K7232" s="7" t="s">
        <v>16837</v>
      </c>
      <c r="L7232" s="198" t="s">
        <v>65</v>
      </c>
      <c r="M7232" s="194"/>
      <c r="N7232" s="194"/>
    </row>
    <row r="7233">
      <c r="A7233" s="193" t="s">
        <v>26922</v>
      </c>
      <c r="B7233" s="7" t="s">
        <v>16838</v>
      </c>
      <c r="C7233" s="7" t="s">
        <v>18956</v>
      </c>
      <c r="D7233" s="194">
        <v>2021.0</v>
      </c>
      <c r="E7233" s="193"/>
      <c r="F7233" s="195" t="s">
        <v>26923</v>
      </c>
      <c r="G7233" s="196">
        <v>3.3714487E7</v>
      </c>
      <c r="H7233" s="197">
        <v>12.25</v>
      </c>
      <c r="I7233" s="7" t="s">
        <v>16815</v>
      </c>
      <c r="J7233" s="7" t="s">
        <v>16838</v>
      </c>
      <c r="K7233" s="7" t="s">
        <v>18956</v>
      </c>
      <c r="L7233" s="198" t="s">
        <v>65</v>
      </c>
      <c r="M7233" s="194"/>
      <c r="N7233" s="194"/>
    </row>
    <row r="7234">
      <c r="A7234" s="193" t="s">
        <v>26924</v>
      </c>
      <c r="B7234" s="7" t="s">
        <v>169</v>
      </c>
      <c r="C7234" s="7" t="s">
        <v>17321</v>
      </c>
      <c r="D7234" s="199"/>
      <c r="E7234" s="193"/>
      <c r="F7234" s="195" t="s">
        <v>26925</v>
      </c>
      <c r="G7234" s="196">
        <v>3.369361E7</v>
      </c>
      <c r="H7234" s="197">
        <v>0.313</v>
      </c>
      <c r="I7234" s="7" t="s">
        <v>16815</v>
      </c>
      <c r="J7234" s="7" t="s">
        <v>169</v>
      </c>
      <c r="K7234" s="7" t="s">
        <v>17321</v>
      </c>
      <c r="L7234" s="198" t="s">
        <v>65</v>
      </c>
      <c r="M7234" s="199"/>
      <c r="N7234" s="199"/>
    </row>
    <row r="7235">
      <c r="A7235" s="193" t="s">
        <v>26924</v>
      </c>
      <c r="B7235" s="202" t="s">
        <v>17321</v>
      </c>
      <c r="C7235" s="193" t="s">
        <v>169</v>
      </c>
      <c r="D7235" s="206"/>
      <c r="E7235" s="193"/>
      <c r="F7235" s="203" t="s">
        <v>26925</v>
      </c>
      <c r="G7235" s="200">
        <v>3.369361E7</v>
      </c>
      <c r="H7235" s="205">
        <v>1.01</v>
      </c>
      <c r="J7235" s="202" t="s">
        <v>17321</v>
      </c>
      <c r="K7235" s="193" t="s">
        <v>169</v>
      </c>
      <c r="L7235" s="193" t="s">
        <v>17471</v>
      </c>
      <c r="M7235" s="206"/>
      <c r="N7235" s="206"/>
    </row>
    <row r="7236">
      <c r="A7236" s="193" t="s">
        <v>26926</v>
      </c>
      <c r="B7236" s="7" t="s">
        <v>16582</v>
      </c>
      <c r="C7236" s="7" t="s">
        <v>16817</v>
      </c>
      <c r="D7236" s="194">
        <v>2021.0</v>
      </c>
      <c r="E7236" s="193"/>
      <c r="F7236" s="195" t="s">
        <v>26927</v>
      </c>
      <c r="G7236" s="196">
        <v>3.3615049E7</v>
      </c>
      <c r="H7236" s="197">
        <v>0.43</v>
      </c>
      <c r="I7236" s="7" t="s">
        <v>16815</v>
      </c>
      <c r="J7236" s="7" t="s">
        <v>16582</v>
      </c>
      <c r="K7236" s="7" t="s">
        <v>16817</v>
      </c>
      <c r="L7236" s="198" t="s">
        <v>65</v>
      </c>
      <c r="M7236" s="194"/>
      <c r="N7236" s="194"/>
    </row>
    <row r="7237">
      <c r="A7237" s="193" t="s">
        <v>26928</v>
      </c>
      <c r="B7237" s="7" t="s">
        <v>187</v>
      </c>
      <c r="C7237" s="7" t="s">
        <v>23634</v>
      </c>
      <c r="D7237" s="194">
        <v>2014.0</v>
      </c>
      <c r="E7237" s="193"/>
      <c r="F7237" s="195" t="s">
        <v>26929</v>
      </c>
      <c r="G7237" s="196">
        <v>3.3532231E7</v>
      </c>
      <c r="H7237" s="197">
        <v>0.32</v>
      </c>
      <c r="I7237" s="7" t="s">
        <v>16815</v>
      </c>
      <c r="J7237" s="7" t="s">
        <v>187</v>
      </c>
      <c r="K7237" s="7" t="s">
        <v>23634</v>
      </c>
      <c r="L7237" s="198" t="s">
        <v>65</v>
      </c>
      <c r="M7237" s="194"/>
      <c r="N7237" s="194"/>
    </row>
    <row r="7238">
      <c r="A7238" s="193" t="s">
        <v>26930</v>
      </c>
      <c r="B7238" s="7" t="s">
        <v>187</v>
      </c>
      <c r="C7238" s="7" t="s">
        <v>17122</v>
      </c>
      <c r="D7238" s="194">
        <v>2004.0</v>
      </c>
      <c r="E7238" s="193"/>
      <c r="F7238" s="195" t="s">
        <v>26931</v>
      </c>
      <c r="G7238" s="196">
        <v>3.350571E7</v>
      </c>
      <c r="H7238" s="197">
        <v>1.68</v>
      </c>
      <c r="I7238" s="7" t="s">
        <v>16815</v>
      </c>
      <c r="J7238" s="7" t="s">
        <v>187</v>
      </c>
      <c r="K7238" s="7" t="s">
        <v>17122</v>
      </c>
      <c r="L7238" s="198" t="s">
        <v>65</v>
      </c>
      <c r="M7238" s="194"/>
      <c r="N7238" s="194"/>
    </row>
    <row r="7239">
      <c r="A7239" s="193" t="s">
        <v>26932</v>
      </c>
      <c r="B7239" s="7" t="s">
        <v>16919</v>
      </c>
      <c r="C7239" s="7" t="s">
        <v>16957</v>
      </c>
      <c r="D7239" s="199"/>
      <c r="E7239" s="193"/>
      <c r="F7239" s="195" t="s">
        <v>26933</v>
      </c>
      <c r="G7239" s="196">
        <v>3.3503748E7</v>
      </c>
      <c r="H7239" s="197">
        <v>0.71</v>
      </c>
      <c r="I7239" s="7" t="s">
        <v>16815</v>
      </c>
      <c r="J7239" s="7" t="s">
        <v>16919</v>
      </c>
      <c r="K7239" s="7" t="s">
        <v>16957</v>
      </c>
      <c r="L7239" s="198" t="s">
        <v>65</v>
      </c>
      <c r="M7239" s="199"/>
      <c r="N7239" s="199"/>
    </row>
    <row r="7240">
      <c r="A7240" s="193" t="s">
        <v>26934</v>
      </c>
      <c r="B7240" s="7" t="s">
        <v>158</v>
      </c>
      <c r="C7240" s="7" t="s">
        <v>16864</v>
      </c>
      <c r="D7240" s="194">
        <v>2014.0</v>
      </c>
      <c r="E7240" s="193"/>
      <c r="F7240" s="195" t="s">
        <v>26935</v>
      </c>
      <c r="G7240" s="196">
        <v>3.3381095E7</v>
      </c>
      <c r="H7240" s="197">
        <v>2.37</v>
      </c>
      <c r="I7240" s="7" t="s">
        <v>17625</v>
      </c>
      <c r="J7240" s="7" t="s">
        <v>158</v>
      </c>
      <c r="K7240" s="7" t="s">
        <v>16864</v>
      </c>
      <c r="L7240" s="198" t="s">
        <v>65</v>
      </c>
      <c r="M7240" s="194"/>
      <c r="N7240" s="194"/>
    </row>
    <row r="7241">
      <c r="A7241" s="193" t="s">
        <v>26934</v>
      </c>
      <c r="B7241" s="7" t="s">
        <v>16864</v>
      </c>
      <c r="C7241" s="7" t="s">
        <v>158</v>
      </c>
      <c r="D7241" s="194">
        <v>2014.0</v>
      </c>
      <c r="E7241" s="193"/>
      <c r="F7241" s="195" t="s">
        <v>26935</v>
      </c>
      <c r="G7241" s="200">
        <v>3.3381095E7</v>
      </c>
      <c r="H7241" s="197">
        <v>2.37</v>
      </c>
      <c r="I7241" s="7" t="s">
        <v>16815</v>
      </c>
      <c r="J7241" s="7" t="s">
        <v>16864</v>
      </c>
      <c r="K7241" s="7" t="s">
        <v>158</v>
      </c>
      <c r="L7241" s="201" t="s">
        <v>16835</v>
      </c>
      <c r="M7241" s="194"/>
      <c r="N7241" s="194"/>
    </row>
    <row r="7242">
      <c r="A7242" s="193" t="s">
        <v>26936</v>
      </c>
      <c r="B7242" s="7" t="s">
        <v>16582</v>
      </c>
      <c r="C7242" s="7" t="s">
        <v>16995</v>
      </c>
      <c r="D7242" s="194">
        <v>2021.0</v>
      </c>
      <c r="E7242" s="193"/>
      <c r="F7242" s="195" t="s">
        <v>26937</v>
      </c>
      <c r="G7242" s="196">
        <v>3.3365718E7</v>
      </c>
      <c r="H7242" s="197">
        <v>4.92</v>
      </c>
      <c r="I7242" s="7" t="s">
        <v>16815</v>
      </c>
      <c r="J7242" s="7" t="s">
        <v>16582</v>
      </c>
      <c r="K7242" s="7" t="s">
        <v>16995</v>
      </c>
      <c r="L7242" s="198" t="s">
        <v>65</v>
      </c>
      <c r="M7242" s="194"/>
      <c r="N7242" s="194"/>
    </row>
    <row r="7243">
      <c r="A7243" s="193" t="s">
        <v>26936</v>
      </c>
      <c r="B7243" s="7" t="s">
        <v>16995</v>
      </c>
      <c r="C7243" s="7" t="s">
        <v>16582</v>
      </c>
      <c r="D7243" s="194">
        <v>2021.0</v>
      </c>
      <c r="E7243" s="193"/>
      <c r="F7243" s="195" t="s">
        <v>26937</v>
      </c>
      <c r="G7243" s="200">
        <v>3.3365718E7</v>
      </c>
      <c r="H7243" s="197">
        <v>4.92</v>
      </c>
      <c r="I7243" s="7" t="s">
        <v>16815</v>
      </c>
      <c r="J7243" s="7" t="s">
        <v>16995</v>
      </c>
      <c r="K7243" s="7" t="s">
        <v>16582</v>
      </c>
      <c r="L7243" s="201" t="s">
        <v>16835</v>
      </c>
      <c r="M7243" s="194"/>
      <c r="N7243" s="194"/>
    </row>
    <row r="7244">
      <c r="A7244" s="193" t="s">
        <v>26938</v>
      </c>
      <c r="B7244" s="7" t="s">
        <v>175</v>
      </c>
      <c r="C7244" s="7" t="s">
        <v>17350</v>
      </c>
      <c r="D7244" s="194">
        <v>2021.0</v>
      </c>
      <c r="E7244" s="193"/>
      <c r="F7244" s="195" t="s">
        <v>26939</v>
      </c>
      <c r="G7244" s="196">
        <v>3.326558E7</v>
      </c>
      <c r="H7244" s="197">
        <v>0.18</v>
      </c>
      <c r="I7244" s="7" t="s">
        <v>168</v>
      </c>
      <c r="J7244" s="7" t="s">
        <v>175</v>
      </c>
      <c r="K7244" s="7" t="s">
        <v>17350</v>
      </c>
      <c r="L7244" s="198" t="s">
        <v>65</v>
      </c>
      <c r="M7244" s="194"/>
      <c r="N7244" s="194"/>
    </row>
    <row r="7245">
      <c r="A7245" s="193" t="s">
        <v>26940</v>
      </c>
      <c r="B7245" s="7" t="s">
        <v>187</v>
      </c>
      <c r="C7245" s="7" t="s">
        <v>16846</v>
      </c>
      <c r="D7245" s="194">
        <v>2021.0</v>
      </c>
      <c r="E7245" s="193"/>
      <c r="F7245" s="195" t="s">
        <v>26941</v>
      </c>
      <c r="G7245" s="196">
        <v>3.32192E7</v>
      </c>
      <c r="H7245" s="197">
        <v>2.24</v>
      </c>
      <c r="I7245" s="7" t="s">
        <v>16815</v>
      </c>
      <c r="J7245" s="7" t="s">
        <v>187</v>
      </c>
      <c r="K7245" s="7" t="s">
        <v>16846</v>
      </c>
      <c r="L7245" s="198" t="s">
        <v>65</v>
      </c>
      <c r="M7245" s="194"/>
      <c r="N7245" s="194"/>
    </row>
    <row r="7246">
      <c r="A7246" s="193" t="s">
        <v>26942</v>
      </c>
      <c r="B7246" s="7" t="s">
        <v>169</v>
      </c>
      <c r="C7246" s="7" t="s">
        <v>16899</v>
      </c>
      <c r="D7246" s="194">
        <v>2012.0</v>
      </c>
      <c r="E7246" s="193"/>
      <c r="F7246" s="195" t="s">
        <v>26943</v>
      </c>
      <c r="G7246" s="196">
        <v>3.316725E7</v>
      </c>
      <c r="H7246" s="197">
        <v>0.8601</v>
      </c>
      <c r="I7246" s="7" t="s">
        <v>16815</v>
      </c>
      <c r="J7246" s="7" t="s">
        <v>169</v>
      </c>
      <c r="K7246" s="7" t="s">
        <v>16899</v>
      </c>
      <c r="L7246" s="198" t="s">
        <v>65</v>
      </c>
      <c r="M7246" s="194"/>
      <c r="N7246" s="194"/>
    </row>
    <row r="7247">
      <c r="A7247" s="193" t="s">
        <v>26944</v>
      </c>
      <c r="B7247" s="7" t="s">
        <v>187</v>
      </c>
      <c r="C7247" s="7" t="s">
        <v>16846</v>
      </c>
      <c r="D7247" s="194">
        <v>2014.0</v>
      </c>
      <c r="E7247" s="193"/>
      <c r="F7247" s="195" t="s">
        <v>26945</v>
      </c>
      <c r="G7247" s="196">
        <v>3.29718E7</v>
      </c>
      <c r="H7247" s="197">
        <v>1.79</v>
      </c>
      <c r="I7247" s="7" t="s">
        <v>16815</v>
      </c>
      <c r="J7247" s="7" t="s">
        <v>187</v>
      </c>
      <c r="K7247" s="7" t="s">
        <v>16846</v>
      </c>
      <c r="L7247" s="198" t="s">
        <v>65</v>
      </c>
      <c r="M7247" s="194"/>
      <c r="N7247" s="194"/>
    </row>
    <row r="7248">
      <c r="A7248" s="193" t="s">
        <v>26946</v>
      </c>
      <c r="B7248" s="7" t="s">
        <v>16582</v>
      </c>
      <c r="C7248" s="7" t="s">
        <v>17342</v>
      </c>
      <c r="D7248" s="199"/>
      <c r="E7248" s="193"/>
      <c r="F7248" s="195" t="s">
        <v>26947</v>
      </c>
      <c r="G7248" s="196">
        <v>3.291966E7</v>
      </c>
      <c r="H7248" s="197">
        <v>0.6045</v>
      </c>
      <c r="I7248" s="7" t="s">
        <v>16815</v>
      </c>
      <c r="J7248" s="7" t="s">
        <v>16582</v>
      </c>
      <c r="K7248" s="7" t="s">
        <v>17342</v>
      </c>
      <c r="L7248" s="198" t="s">
        <v>65</v>
      </c>
      <c r="M7248" s="199"/>
      <c r="N7248" s="199"/>
    </row>
    <row r="7249">
      <c r="A7249" s="193" t="s">
        <v>26948</v>
      </c>
      <c r="B7249" s="7" t="s">
        <v>187</v>
      </c>
      <c r="C7249" s="7" t="s">
        <v>16846</v>
      </c>
      <c r="D7249" s="194">
        <v>2020.0</v>
      </c>
      <c r="E7249" s="193"/>
      <c r="F7249" s="195" t="s">
        <v>26949</v>
      </c>
      <c r="G7249" s="196">
        <v>3.2886783E7</v>
      </c>
      <c r="H7249" s="197">
        <v>0.6</v>
      </c>
      <c r="I7249" s="7" t="s">
        <v>16815</v>
      </c>
      <c r="J7249" s="7" t="s">
        <v>187</v>
      </c>
      <c r="K7249" s="7" t="s">
        <v>16846</v>
      </c>
      <c r="L7249" s="198" t="s">
        <v>65</v>
      </c>
      <c r="M7249" s="194"/>
      <c r="N7249" s="194"/>
    </row>
    <row r="7250">
      <c r="A7250" s="193" t="s">
        <v>26950</v>
      </c>
      <c r="B7250" s="7" t="s">
        <v>16582</v>
      </c>
      <c r="C7250" s="7" t="s">
        <v>17435</v>
      </c>
      <c r="D7250" s="194">
        <v>2020.0</v>
      </c>
      <c r="E7250" s="193"/>
      <c r="F7250" s="195" t="s">
        <v>26951</v>
      </c>
      <c r="G7250" s="196">
        <v>3.2873034E7</v>
      </c>
      <c r="H7250" s="197">
        <v>1.27</v>
      </c>
      <c r="I7250" s="7" t="s">
        <v>16815</v>
      </c>
      <c r="J7250" s="7" t="s">
        <v>16582</v>
      </c>
      <c r="K7250" s="7" t="s">
        <v>17435</v>
      </c>
      <c r="L7250" s="198" t="s">
        <v>65</v>
      </c>
      <c r="M7250" s="194"/>
      <c r="N7250" s="194"/>
    </row>
    <row r="7251">
      <c r="A7251" s="193" t="s">
        <v>26952</v>
      </c>
      <c r="B7251" s="7" t="s">
        <v>187</v>
      </c>
      <c r="C7251" s="7" t="s">
        <v>16846</v>
      </c>
      <c r="D7251" s="194">
        <v>2021.0</v>
      </c>
      <c r="E7251" s="193"/>
      <c r="F7251" s="195" t="s">
        <v>26953</v>
      </c>
      <c r="G7251" s="196">
        <v>3.2865191E7</v>
      </c>
      <c r="H7251" s="197">
        <v>1.04</v>
      </c>
      <c r="I7251" s="7" t="s">
        <v>16815</v>
      </c>
      <c r="J7251" s="7" t="s">
        <v>187</v>
      </c>
      <c r="K7251" s="7" t="s">
        <v>16846</v>
      </c>
      <c r="L7251" s="198" t="s">
        <v>65</v>
      </c>
      <c r="M7251" s="194"/>
      <c r="N7251" s="194"/>
    </row>
    <row r="7252">
      <c r="A7252" s="193" t="s">
        <v>26954</v>
      </c>
      <c r="B7252" s="7" t="s">
        <v>16582</v>
      </c>
      <c r="C7252" s="7" t="s">
        <v>16817</v>
      </c>
      <c r="D7252" s="194">
        <v>1999.0</v>
      </c>
      <c r="E7252" s="193"/>
      <c r="F7252" s="195" t="s">
        <v>26955</v>
      </c>
      <c r="G7252" s="196">
        <v>3.2805789E7</v>
      </c>
      <c r="H7252" s="197">
        <v>1.7</v>
      </c>
      <c r="I7252" s="7" t="s">
        <v>16815</v>
      </c>
      <c r="J7252" s="7" t="s">
        <v>16582</v>
      </c>
      <c r="K7252" s="7" t="s">
        <v>16817</v>
      </c>
      <c r="L7252" s="198" t="s">
        <v>65</v>
      </c>
      <c r="M7252" s="194"/>
      <c r="N7252" s="194"/>
    </row>
    <row r="7253">
      <c r="A7253" s="193" t="s">
        <v>26956</v>
      </c>
      <c r="B7253" s="7" t="s">
        <v>187</v>
      </c>
      <c r="C7253" s="7" t="s">
        <v>16858</v>
      </c>
      <c r="D7253" s="194">
        <v>2019.0</v>
      </c>
      <c r="E7253" s="193"/>
      <c r="F7253" s="195" t="s">
        <v>26957</v>
      </c>
      <c r="G7253" s="196">
        <v>3.2802903E7</v>
      </c>
      <c r="H7253" s="197">
        <v>0.9016</v>
      </c>
      <c r="I7253" s="7" t="s">
        <v>16815</v>
      </c>
      <c r="J7253" s="7" t="s">
        <v>187</v>
      </c>
      <c r="K7253" s="7" t="s">
        <v>16858</v>
      </c>
      <c r="L7253" s="198" t="s">
        <v>65</v>
      </c>
      <c r="M7253" s="194"/>
      <c r="N7253" s="194"/>
    </row>
    <row r="7254">
      <c r="A7254" s="193" t="s">
        <v>26958</v>
      </c>
      <c r="B7254" s="7" t="s">
        <v>187</v>
      </c>
      <c r="C7254" s="7" t="s">
        <v>16858</v>
      </c>
      <c r="D7254" s="194">
        <v>2021.0</v>
      </c>
      <c r="E7254" s="193"/>
      <c r="F7254" s="195" t="s">
        <v>26959</v>
      </c>
      <c r="G7254" s="196">
        <v>3.2746182E7</v>
      </c>
      <c r="H7254" s="197">
        <v>0.8</v>
      </c>
      <c r="I7254" s="7" t="s">
        <v>16815</v>
      </c>
      <c r="J7254" s="7" t="s">
        <v>187</v>
      </c>
      <c r="K7254" s="7" t="s">
        <v>16858</v>
      </c>
      <c r="L7254" s="198" t="s">
        <v>65</v>
      </c>
      <c r="M7254" s="194"/>
      <c r="N7254" s="194"/>
    </row>
    <row r="7255">
      <c r="A7255" s="193" t="s">
        <v>26960</v>
      </c>
      <c r="B7255" s="7" t="s">
        <v>187</v>
      </c>
      <c r="C7255" s="7" t="s">
        <v>16969</v>
      </c>
      <c r="D7255" s="199"/>
      <c r="E7255" s="193"/>
      <c r="F7255" s="195" t="s">
        <v>26961</v>
      </c>
      <c r="G7255" s="196">
        <v>3.273022E7</v>
      </c>
      <c r="H7255" s="197">
        <v>7.8</v>
      </c>
      <c r="I7255" s="7" t="s">
        <v>16815</v>
      </c>
      <c r="J7255" s="7" t="s">
        <v>187</v>
      </c>
      <c r="K7255" s="7" t="s">
        <v>16969</v>
      </c>
      <c r="L7255" s="198" t="s">
        <v>65</v>
      </c>
      <c r="M7255" s="199"/>
      <c r="N7255" s="199"/>
    </row>
    <row r="7256">
      <c r="A7256" s="193" t="s">
        <v>26962</v>
      </c>
      <c r="B7256" s="7" t="s">
        <v>16838</v>
      </c>
      <c r="C7256" s="7" t="s">
        <v>18219</v>
      </c>
      <c r="D7256" s="199"/>
      <c r="E7256" s="193"/>
      <c r="F7256" s="195" t="s">
        <v>26963</v>
      </c>
      <c r="G7256" s="196">
        <v>3.2645227E7</v>
      </c>
      <c r="H7256" s="197">
        <v>0.2805</v>
      </c>
      <c r="I7256" s="7" t="s">
        <v>16815</v>
      </c>
      <c r="J7256" s="7" t="s">
        <v>16838</v>
      </c>
      <c r="K7256" s="7" t="s">
        <v>18219</v>
      </c>
      <c r="L7256" s="198" t="s">
        <v>65</v>
      </c>
      <c r="M7256" s="199"/>
      <c r="N7256" s="199"/>
    </row>
    <row r="7257">
      <c r="A7257" s="193" t="s">
        <v>26964</v>
      </c>
      <c r="B7257" s="7" t="s">
        <v>16838</v>
      </c>
      <c r="C7257" s="7" t="s">
        <v>17347</v>
      </c>
      <c r="D7257" s="199"/>
      <c r="E7257" s="193"/>
      <c r="F7257" s="195" t="s">
        <v>26965</v>
      </c>
      <c r="G7257" s="196">
        <v>3.2643661E7</v>
      </c>
      <c r="H7257" s="197">
        <v>1.6</v>
      </c>
      <c r="I7257" s="7" t="s">
        <v>16872</v>
      </c>
      <c r="J7257" s="7" t="s">
        <v>16838</v>
      </c>
      <c r="K7257" s="7" t="s">
        <v>17347</v>
      </c>
      <c r="L7257" s="198" t="s">
        <v>65</v>
      </c>
      <c r="M7257" s="199"/>
      <c r="N7257" s="199"/>
    </row>
    <row r="7258">
      <c r="A7258" s="193" t="s">
        <v>26966</v>
      </c>
      <c r="B7258" s="7" t="s">
        <v>16582</v>
      </c>
      <c r="C7258" s="7" t="s">
        <v>17435</v>
      </c>
      <c r="D7258" s="194">
        <v>2021.0</v>
      </c>
      <c r="E7258" s="193"/>
      <c r="F7258" s="195" t="s">
        <v>26967</v>
      </c>
      <c r="G7258" s="196">
        <v>3.2626761E7</v>
      </c>
      <c r="H7258" s="197">
        <v>1.24</v>
      </c>
      <c r="I7258" s="7" t="s">
        <v>16815</v>
      </c>
      <c r="J7258" s="7" t="s">
        <v>16582</v>
      </c>
      <c r="K7258" s="7" t="s">
        <v>17435</v>
      </c>
      <c r="L7258" s="198" t="s">
        <v>65</v>
      </c>
      <c r="M7258" s="194"/>
      <c r="N7258" s="194"/>
    </row>
    <row r="7259">
      <c r="A7259" s="193" t="s">
        <v>26968</v>
      </c>
      <c r="B7259" s="7" t="s">
        <v>175</v>
      </c>
      <c r="C7259" s="7" t="s">
        <v>16878</v>
      </c>
      <c r="D7259" s="199"/>
      <c r="E7259" s="193"/>
      <c r="F7259" s="195" t="s">
        <v>26969</v>
      </c>
      <c r="G7259" s="196">
        <v>3.2592558E7</v>
      </c>
      <c r="H7259" s="197">
        <v>7.0941</v>
      </c>
      <c r="I7259" s="7" t="s">
        <v>16844</v>
      </c>
      <c r="J7259" s="7" t="s">
        <v>175</v>
      </c>
      <c r="K7259" s="7" t="s">
        <v>16878</v>
      </c>
      <c r="L7259" s="198" t="s">
        <v>65</v>
      </c>
      <c r="M7259" s="199"/>
      <c r="N7259" s="199"/>
    </row>
    <row r="7260">
      <c r="A7260" s="193" t="s">
        <v>26970</v>
      </c>
      <c r="B7260" s="7" t="s">
        <v>187</v>
      </c>
      <c r="C7260" s="7" t="s">
        <v>16846</v>
      </c>
      <c r="D7260" s="194">
        <v>2021.0</v>
      </c>
      <c r="E7260" s="193"/>
      <c r="F7260" s="195" t="s">
        <v>26971</v>
      </c>
      <c r="G7260" s="196">
        <v>3.2394192E7</v>
      </c>
      <c r="H7260" s="197">
        <v>1.065</v>
      </c>
      <c r="I7260" s="7" t="s">
        <v>16815</v>
      </c>
      <c r="J7260" s="7" t="s">
        <v>187</v>
      </c>
      <c r="K7260" s="7" t="s">
        <v>16846</v>
      </c>
      <c r="L7260" s="198" t="s">
        <v>65</v>
      </c>
      <c r="M7260" s="194"/>
      <c r="N7260" s="194"/>
    </row>
    <row r="7261">
      <c r="A7261" s="193" t="s">
        <v>26972</v>
      </c>
      <c r="B7261" s="7" t="s">
        <v>158</v>
      </c>
      <c r="C7261" s="7" t="s">
        <v>16864</v>
      </c>
      <c r="D7261" s="194">
        <v>2019.0</v>
      </c>
      <c r="E7261" s="193"/>
      <c r="F7261" s="195" t="s">
        <v>26973</v>
      </c>
      <c r="G7261" s="196">
        <v>3.23466E7</v>
      </c>
      <c r="H7261" s="197">
        <v>3.19</v>
      </c>
      <c r="I7261" s="7" t="s">
        <v>17098</v>
      </c>
      <c r="J7261" s="7" t="s">
        <v>158</v>
      </c>
      <c r="K7261" s="7" t="s">
        <v>16864</v>
      </c>
      <c r="L7261" s="198" t="s">
        <v>65</v>
      </c>
      <c r="M7261" s="194"/>
      <c r="N7261" s="194"/>
    </row>
    <row r="7262">
      <c r="A7262" s="193" t="s">
        <v>26972</v>
      </c>
      <c r="B7262" s="202" t="s">
        <v>16864</v>
      </c>
      <c r="C7262" s="193" t="s">
        <v>158</v>
      </c>
      <c r="D7262" s="193">
        <v>2019.0</v>
      </c>
      <c r="E7262" s="193"/>
      <c r="F7262" s="203" t="s">
        <v>26973</v>
      </c>
      <c r="G7262" s="200">
        <v>3.23466E7</v>
      </c>
      <c r="H7262" s="205">
        <v>0.313</v>
      </c>
      <c r="J7262" s="202" t="s">
        <v>16864</v>
      </c>
      <c r="K7262" s="193" t="s">
        <v>158</v>
      </c>
      <c r="L7262" s="193" t="s">
        <v>17471</v>
      </c>
      <c r="M7262" s="193"/>
      <c r="N7262" s="193"/>
    </row>
    <row r="7263">
      <c r="A7263" s="193" t="s">
        <v>26974</v>
      </c>
      <c r="B7263" s="7" t="s">
        <v>18633</v>
      </c>
      <c r="C7263" s="7" t="s">
        <v>187</v>
      </c>
      <c r="D7263" s="194">
        <v>2020.0</v>
      </c>
      <c r="E7263" s="193"/>
      <c r="F7263" s="195" t="s">
        <v>26975</v>
      </c>
      <c r="G7263" s="200">
        <v>3.2331121E7</v>
      </c>
      <c r="H7263" s="197">
        <v>5.98</v>
      </c>
      <c r="I7263" s="7" t="s">
        <v>16815</v>
      </c>
      <c r="J7263" s="7" t="s">
        <v>18633</v>
      </c>
      <c r="K7263" s="7" t="s">
        <v>187</v>
      </c>
      <c r="L7263" s="201" t="s">
        <v>16835</v>
      </c>
      <c r="M7263" s="194"/>
      <c r="N7263" s="194"/>
    </row>
    <row r="7264">
      <c r="A7264" s="193" t="s">
        <v>26974</v>
      </c>
      <c r="B7264" s="7" t="s">
        <v>187</v>
      </c>
      <c r="C7264" s="7" t="s">
        <v>18633</v>
      </c>
      <c r="D7264" s="194">
        <v>2020.0</v>
      </c>
      <c r="E7264" s="193"/>
      <c r="F7264" s="195" t="s">
        <v>26975</v>
      </c>
      <c r="G7264" s="196">
        <v>3.2331121E7</v>
      </c>
      <c r="H7264" s="197">
        <v>5.98</v>
      </c>
      <c r="I7264" s="7" t="s">
        <v>16815</v>
      </c>
      <c r="J7264" s="7" t="s">
        <v>187</v>
      </c>
      <c r="K7264" s="7" t="s">
        <v>18633</v>
      </c>
      <c r="L7264" s="198" t="s">
        <v>65</v>
      </c>
      <c r="M7264" s="194"/>
      <c r="N7264" s="194"/>
    </row>
    <row r="7265">
      <c r="A7265" s="193" t="s">
        <v>26976</v>
      </c>
      <c r="B7265" s="7" t="s">
        <v>16582</v>
      </c>
      <c r="C7265" s="7" t="s">
        <v>16817</v>
      </c>
      <c r="D7265" s="194">
        <v>1996.0</v>
      </c>
      <c r="E7265" s="193"/>
      <c r="F7265" s="195" t="s">
        <v>26977</v>
      </c>
      <c r="G7265" s="196">
        <v>3.2327258E7</v>
      </c>
      <c r="H7265" s="197">
        <v>1.54</v>
      </c>
      <c r="I7265" s="7" t="s">
        <v>16815</v>
      </c>
      <c r="J7265" s="7" t="s">
        <v>16582</v>
      </c>
      <c r="K7265" s="7" t="s">
        <v>16817</v>
      </c>
      <c r="L7265" s="198" t="s">
        <v>65</v>
      </c>
      <c r="M7265" s="194"/>
      <c r="N7265" s="194"/>
    </row>
    <row r="7266">
      <c r="A7266" s="193" t="s">
        <v>26978</v>
      </c>
      <c r="B7266" s="7" t="s">
        <v>16838</v>
      </c>
      <c r="C7266" s="7" t="s">
        <v>18219</v>
      </c>
      <c r="D7266" s="194">
        <v>2021.0</v>
      </c>
      <c r="E7266" s="193"/>
      <c r="F7266" s="195" t="s">
        <v>26979</v>
      </c>
      <c r="G7266" s="196">
        <v>3.2210762E7</v>
      </c>
      <c r="H7266" s="197">
        <v>1.3</v>
      </c>
      <c r="I7266" s="7" t="s">
        <v>16815</v>
      </c>
      <c r="J7266" s="7" t="s">
        <v>16838</v>
      </c>
      <c r="K7266" s="7" t="s">
        <v>18219</v>
      </c>
      <c r="L7266" s="198" t="s">
        <v>65</v>
      </c>
      <c r="M7266" s="194"/>
      <c r="N7266" s="194"/>
    </row>
    <row r="7267">
      <c r="A7267" s="193" t="s">
        <v>26980</v>
      </c>
      <c r="B7267" s="7" t="s">
        <v>16926</v>
      </c>
      <c r="C7267" s="7" t="s">
        <v>16957</v>
      </c>
      <c r="D7267" s="194">
        <v>2000.0</v>
      </c>
      <c r="E7267" s="193"/>
      <c r="F7267" s="195" t="s">
        <v>26981</v>
      </c>
      <c r="G7267" s="196">
        <v>3.2118703E7</v>
      </c>
      <c r="H7267" s="197">
        <v>3.54</v>
      </c>
      <c r="I7267" s="7" t="s">
        <v>16815</v>
      </c>
      <c r="J7267" s="7" t="s">
        <v>16926</v>
      </c>
      <c r="K7267" s="7" t="s">
        <v>16957</v>
      </c>
      <c r="L7267" s="198" t="s">
        <v>65</v>
      </c>
      <c r="M7267" s="194"/>
      <c r="N7267" s="194"/>
    </row>
    <row r="7268">
      <c r="A7268" s="193" t="s">
        <v>26982</v>
      </c>
      <c r="B7268" s="7" t="s">
        <v>16838</v>
      </c>
      <c r="C7268" s="7" t="s">
        <v>17016</v>
      </c>
      <c r="D7268" s="194">
        <v>2022.0</v>
      </c>
      <c r="E7268" s="193"/>
      <c r="F7268" s="195" t="s">
        <v>26983</v>
      </c>
      <c r="G7268" s="196">
        <v>3.200901E7</v>
      </c>
      <c r="H7268" s="197">
        <v>2.59</v>
      </c>
      <c r="I7268" s="7" t="s">
        <v>16815</v>
      </c>
      <c r="J7268" s="7" t="s">
        <v>16838</v>
      </c>
      <c r="K7268" s="7" t="s">
        <v>17016</v>
      </c>
      <c r="L7268" s="198" t="s">
        <v>65</v>
      </c>
      <c r="M7268" s="194"/>
      <c r="N7268" s="194"/>
    </row>
    <row r="7269">
      <c r="A7269" s="193" t="s">
        <v>26984</v>
      </c>
      <c r="B7269" s="7" t="s">
        <v>175</v>
      </c>
      <c r="C7269" s="7" t="s">
        <v>17022</v>
      </c>
      <c r="D7269" s="194">
        <v>2020.0</v>
      </c>
      <c r="E7269" s="193"/>
      <c r="F7269" s="195" t="s">
        <v>26985</v>
      </c>
      <c r="G7269" s="196">
        <v>3.1973878E7</v>
      </c>
      <c r="H7269" s="197">
        <v>1.26</v>
      </c>
      <c r="I7269" s="7" t="s">
        <v>16856</v>
      </c>
      <c r="J7269" s="7" t="s">
        <v>175</v>
      </c>
      <c r="K7269" s="7" t="s">
        <v>17022</v>
      </c>
      <c r="L7269" s="198" t="s">
        <v>65</v>
      </c>
      <c r="M7269" s="194"/>
      <c r="N7269" s="194"/>
    </row>
    <row r="7270">
      <c r="A7270" s="193" t="s">
        <v>26984</v>
      </c>
      <c r="B7270" s="7" t="s">
        <v>17022</v>
      </c>
      <c r="C7270" s="7" t="s">
        <v>175</v>
      </c>
      <c r="D7270" s="194">
        <v>2020.0</v>
      </c>
      <c r="E7270" s="193"/>
      <c r="F7270" s="195" t="s">
        <v>26985</v>
      </c>
      <c r="G7270" s="200">
        <v>3.1973878E7</v>
      </c>
      <c r="H7270" s="197">
        <v>1.26</v>
      </c>
      <c r="I7270" s="7" t="s">
        <v>16815</v>
      </c>
      <c r="J7270" s="7" t="s">
        <v>17022</v>
      </c>
      <c r="K7270" s="7" t="s">
        <v>175</v>
      </c>
      <c r="L7270" s="201" t="s">
        <v>16835</v>
      </c>
      <c r="M7270" s="194"/>
      <c r="N7270" s="194"/>
    </row>
    <row r="7271">
      <c r="A7271" s="193" t="s">
        <v>26986</v>
      </c>
      <c r="B7271" s="7" t="s">
        <v>169</v>
      </c>
      <c r="C7271" s="7" t="s">
        <v>18862</v>
      </c>
      <c r="D7271" s="199"/>
      <c r="E7271" s="193"/>
      <c r="F7271" s="195" t="s">
        <v>26987</v>
      </c>
      <c r="G7271" s="196">
        <v>3.1904562E7</v>
      </c>
      <c r="H7271" s="197">
        <v>1.05</v>
      </c>
      <c r="I7271" s="7" t="s">
        <v>16815</v>
      </c>
      <c r="J7271" s="7" t="s">
        <v>169</v>
      </c>
      <c r="K7271" s="7" t="s">
        <v>18862</v>
      </c>
      <c r="L7271" s="198" t="s">
        <v>65</v>
      </c>
      <c r="M7271" s="199"/>
      <c r="N7271" s="199"/>
    </row>
    <row r="7272">
      <c r="A7272" s="193" t="s">
        <v>26988</v>
      </c>
      <c r="B7272" s="7" t="s">
        <v>16838</v>
      </c>
      <c r="C7272" s="7" t="s">
        <v>17202</v>
      </c>
      <c r="D7272" s="194">
        <v>2019.0</v>
      </c>
      <c r="E7272" s="193"/>
      <c r="F7272" s="195" t="s">
        <v>26989</v>
      </c>
      <c r="G7272" s="196">
        <v>3.1821824E7</v>
      </c>
      <c r="H7272" s="197">
        <v>0.4717</v>
      </c>
      <c r="I7272" s="7" t="s">
        <v>186</v>
      </c>
      <c r="J7272" s="7" t="s">
        <v>16838</v>
      </c>
      <c r="K7272" s="7" t="s">
        <v>17202</v>
      </c>
      <c r="L7272" s="198" t="s">
        <v>65</v>
      </c>
      <c r="M7272" s="194"/>
      <c r="N7272" s="194"/>
    </row>
    <row r="7273">
      <c r="A7273" s="193" t="s">
        <v>26990</v>
      </c>
      <c r="B7273" s="7" t="s">
        <v>175</v>
      </c>
      <c r="C7273" s="7" t="s">
        <v>17457</v>
      </c>
      <c r="D7273" s="194">
        <v>2021.0</v>
      </c>
      <c r="E7273" s="193"/>
      <c r="F7273" s="195" t="s">
        <v>26991</v>
      </c>
      <c r="G7273" s="196">
        <v>3.1673293E7</v>
      </c>
      <c r="H7273" s="197">
        <v>0.655</v>
      </c>
      <c r="I7273" s="7" t="s">
        <v>16844</v>
      </c>
      <c r="J7273" s="7" t="s">
        <v>175</v>
      </c>
      <c r="K7273" s="7" t="s">
        <v>17457</v>
      </c>
      <c r="L7273" s="198" t="s">
        <v>65</v>
      </c>
      <c r="M7273" s="194"/>
      <c r="N7273" s="194"/>
    </row>
    <row r="7274">
      <c r="A7274" s="193" t="s">
        <v>26992</v>
      </c>
      <c r="B7274" s="7" t="s">
        <v>175</v>
      </c>
      <c r="C7274" s="7" t="s">
        <v>17233</v>
      </c>
      <c r="D7274" s="199"/>
      <c r="E7274" s="193"/>
      <c r="F7274" s="195" t="s">
        <v>26993</v>
      </c>
      <c r="G7274" s="196">
        <v>3.1654192E7</v>
      </c>
      <c r="H7274" s="197">
        <v>0.5998</v>
      </c>
      <c r="I7274" s="7" t="s">
        <v>16908</v>
      </c>
      <c r="J7274" s="7" t="s">
        <v>175</v>
      </c>
      <c r="K7274" s="7" t="s">
        <v>17233</v>
      </c>
      <c r="L7274" s="198" t="s">
        <v>65</v>
      </c>
      <c r="M7274" s="199"/>
      <c r="N7274" s="199"/>
    </row>
    <row r="7275">
      <c r="A7275" s="193" t="s">
        <v>26994</v>
      </c>
      <c r="B7275" s="7" t="s">
        <v>17112</v>
      </c>
      <c r="C7275" s="7" t="s">
        <v>17218</v>
      </c>
      <c r="D7275" s="194">
        <v>2017.0</v>
      </c>
      <c r="E7275" s="193"/>
      <c r="F7275" s="195" t="s">
        <v>26995</v>
      </c>
      <c r="G7275" s="196">
        <v>3.1585927E7</v>
      </c>
      <c r="H7275" s="197">
        <v>1.06</v>
      </c>
      <c r="I7275" s="7" t="s">
        <v>16815</v>
      </c>
      <c r="J7275" s="7" t="s">
        <v>17112</v>
      </c>
      <c r="K7275" s="7" t="s">
        <v>17218</v>
      </c>
      <c r="L7275" s="198" t="s">
        <v>65</v>
      </c>
      <c r="M7275" s="194"/>
      <c r="N7275" s="194"/>
    </row>
    <row r="7276">
      <c r="A7276" s="193" t="s">
        <v>26994</v>
      </c>
      <c r="B7276" s="7" t="s">
        <v>17218</v>
      </c>
      <c r="C7276" s="7" t="s">
        <v>17112</v>
      </c>
      <c r="D7276" s="194">
        <v>2017.0</v>
      </c>
      <c r="E7276" s="193"/>
      <c r="F7276" s="195" t="s">
        <v>26996</v>
      </c>
      <c r="G7276" s="200">
        <v>3.1585927E7</v>
      </c>
      <c r="H7276" s="197">
        <v>1.06</v>
      </c>
      <c r="I7276" s="7" t="s">
        <v>16815</v>
      </c>
      <c r="J7276" s="7" t="s">
        <v>17218</v>
      </c>
      <c r="K7276" s="7" t="s">
        <v>17112</v>
      </c>
      <c r="L7276" s="201" t="s">
        <v>16835</v>
      </c>
      <c r="M7276" s="194"/>
      <c r="N7276" s="194"/>
    </row>
    <row r="7277">
      <c r="A7277" s="193" t="s">
        <v>26997</v>
      </c>
      <c r="B7277" s="7" t="s">
        <v>187</v>
      </c>
      <c r="C7277" s="7" t="s">
        <v>16969</v>
      </c>
      <c r="D7277" s="199"/>
      <c r="E7277" s="193"/>
      <c r="F7277" s="195" t="s">
        <v>26998</v>
      </c>
      <c r="G7277" s="196">
        <v>3.1573323E7</v>
      </c>
      <c r="H7277" s="197">
        <v>1.32</v>
      </c>
      <c r="I7277" s="7" t="s">
        <v>16815</v>
      </c>
      <c r="J7277" s="7" t="s">
        <v>187</v>
      </c>
      <c r="K7277" s="7" t="s">
        <v>16969</v>
      </c>
      <c r="L7277" s="198" t="s">
        <v>65</v>
      </c>
      <c r="M7277" s="199"/>
      <c r="N7277" s="199"/>
    </row>
    <row r="7278">
      <c r="A7278" s="193" t="s">
        <v>26999</v>
      </c>
      <c r="B7278" s="7" t="s">
        <v>175</v>
      </c>
      <c r="C7278" s="7" t="s">
        <v>16854</v>
      </c>
      <c r="D7278" s="194">
        <v>2004.0</v>
      </c>
      <c r="E7278" s="193"/>
      <c r="F7278" s="195" t="s">
        <v>27000</v>
      </c>
      <c r="G7278" s="196">
        <v>3.1479692E7</v>
      </c>
      <c r="H7278" s="197">
        <v>7.8</v>
      </c>
      <c r="I7278" s="7" t="s">
        <v>168</v>
      </c>
      <c r="J7278" s="7" t="s">
        <v>175</v>
      </c>
      <c r="K7278" s="7" t="s">
        <v>16854</v>
      </c>
      <c r="L7278" s="198" t="s">
        <v>65</v>
      </c>
      <c r="M7278" s="194"/>
      <c r="N7278" s="194"/>
    </row>
    <row r="7279">
      <c r="A7279" s="193" t="s">
        <v>27001</v>
      </c>
      <c r="B7279" s="7" t="s">
        <v>158</v>
      </c>
      <c r="C7279" s="7" t="s">
        <v>17171</v>
      </c>
      <c r="D7279" s="194">
        <v>2017.0</v>
      </c>
      <c r="E7279" s="193"/>
      <c r="F7279" s="195" t="s">
        <v>27002</v>
      </c>
      <c r="G7279" s="196">
        <v>3.1464725E7</v>
      </c>
      <c r="H7279" s="197">
        <v>12.9</v>
      </c>
      <c r="I7279" s="7" t="s">
        <v>17098</v>
      </c>
      <c r="J7279" s="7" t="s">
        <v>158</v>
      </c>
      <c r="K7279" s="7" t="s">
        <v>17171</v>
      </c>
      <c r="L7279" s="198" t="s">
        <v>65</v>
      </c>
      <c r="M7279" s="194"/>
      <c r="N7279" s="194"/>
    </row>
    <row r="7280">
      <c r="A7280" s="193" t="s">
        <v>27003</v>
      </c>
      <c r="B7280" s="7" t="s">
        <v>187</v>
      </c>
      <c r="C7280" s="7" t="s">
        <v>16851</v>
      </c>
      <c r="D7280" s="194">
        <v>2019.0</v>
      </c>
      <c r="E7280" s="193"/>
      <c r="F7280" s="195" t="s">
        <v>27004</v>
      </c>
      <c r="G7280" s="196">
        <v>3.1464E7</v>
      </c>
      <c r="H7280" s="197">
        <v>1.14</v>
      </c>
      <c r="I7280" s="7" t="s">
        <v>16815</v>
      </c>
      <c r="J7280" s="7" t="s">
        <v>187</v>
      </c>
      <c r="K7280" s="7" t="s">
        <v>16851</v>
      </c>
      <c r="L7280" s="198" t="s">
        <v>65</v>
      </c>
      <c r="M7280" s="194"/>
      <c r="N7280" s="194"/>
    </row>
    <row r="7281">
      <c r="A7281" s="193" t="s">
        <v>27005</v>
      </c>
      <c r="B7281" s="7" t="s">
        <v>187</v>
      </c>
      <c r="C7281" s="7" t="s">
        <v>16846</v>
      </c>
      <c r="D7281" s="194">
        <v>2019.0</v>
      </c>
      <c r="E7281" s="193"/>
      <c r="F7281" s="195" t="s">
        <v>27006</v>
      </c>
      <c r="G7281" s="196">
        <v>3.1409511E7</v>
      </c>
      <c r="H7281" s="197">
        <v>42.53</v>
      </c>
      <c r="I7281" s="7" t="s">
        <v>16815</v>
      </c>
      <c r="J7281" s="7" t="s">
        <v>187</v>
      </c>
      <c r="K7281" s="7" t="s">
        <v>16846</v>
      </c>
      <c r="L7281" s="198" t="s">
        <v>65</v>
      </c>
      <c r="M7281" s="194"/>
      <c r="N7281" s="194"/>
    </row>
    <row r="7282">
      <c r="A7282" s="193" t="s">
        <v>27007</v>
      </c>
      <c r="B7282" s="7" t="s">
        <v>17259</v>
      </c>
      <c r="C7282" s="7" t="s">
        <v>187</v>
      </c>
      <c r="D7282" s="194">
        <v>2020.0</v>
      </c>
      <c r="E7282" s="193"/>
      <c r="F7282" s="195" t="s">
        <v>27008</v>
      </c>
      <c r="G7282" s="200">
        <v>3.1359024E7</v>
      </c>
      <c r="H7282" s="197">
        <v>7.45</v>
      </c>
      <c r="I7282" s="7" t="s">
        <v>16815</v>
      </c>
      <c r="J7282" s="7" t="s">
        <v>17259</v>
      </c>
      <c r="K7282" s="7" t="s">
        <v>187</v>
      </c>
      <c r="L7282" s="201" t="s">
        <v>16835</v>
      </c>
      <c r="M7282" s="194"/>
      <c r="N7282" s="194"/>
    </row>
    <row r="7283">
      <c r="A7283" s="193" t="s">
        <v>27007</v>
      </c>
      <c r="B7283" s="7" t="s">
        <v>187</v>
      </c>
      <c r="C7283" s="7" t="s">
        <v>17259</v>
      </c>
      <c r="D7283" s="194">
        <v>2020.0</v>
      </c>
      <c r="E7283" s="193"/>
      <c r="F7283" s="195" t="s">
        <v>27008</v>
      </c>
      <c r="G7283" s="196">
        <v>3.1359024E7</v>
      </c>
      <c r="H7283" s="197">
        <v>7.45</v>
      </c>
      <c r="I7283" s="7" t="s">
        <v>16815</v>
      </c>
      <c r="J7283" s="7" t="s">
        <v>187</v>
      </c>
      <c r="K7283" s="7" t="s">
        <v>17259</v>
      </c>
      <c r="L7283" s="198" t="s">
        <v>65</v>
      </c>
      <c r="M7283" s="194"/>
      <c r="N7283" s="194"/>
    </row>
    <row r="7284">
      <c r="A7284" s="193" t="s">
        <v>27009</v>
      </c>
      <c r="B7284" s="7" t="s">
        <v>175</v>
      </c>
      <c r="C7284" s="7" t="s">
        <v>17233</v>
      </c>
      <c r="D7284" s="199"/>
      <c r="E7284" s="193"/>
      <c r="F7284" s="195" t="s">
        <v>27010</v>
      </c>
      <c r="G7284" s="196">
        <v>3.1334832E7</v>
      </c>
      <c r="H7284" s="197">
        <v>0.3312</v>
      </c>
      <c r="I7284" s="7" t="s">
        <v>16908</v>
      </c>
      <c r="J7284" s="7" t="s">
        <v>175</v>
      </c>
      <c r="K7284" s="7" t="s">
        <v>17233</v>
      </c>
      <c r="L7284" s="198" t="s">
        <v>65</v>
      </c>
      <c r="M7284" s="199"/>
      <c r="N7284" s="199"/>
    </row>
    <row r="7285">
      <c r="A7285" s="193" t="s">
        <v>27011</v>
      </c>
      <c r="B7285" s="7" t="s">
        <v>175</v>
      </c>
      <c r="C7285" s="7" t="s">
        <v>17233</v>
      </c>
      <c r="D7285" s="199"/>
      <c r="E7285" s="193"/>
      <c r="F7285" s="195" t="s">
        <v>27012</v>
      </c>
      <c r="G7285" s="196">
        <v>3.12816E7</v>
      </c>
      <c r="H7285" s="197">
        <v>1.52</v>
      </c>
      <c r="I7285" s="7" t="s">
        <v>16908</v>
      </c>
      <c r="J7285" s="7" t="s">
        <v>175</v>
      </c>
      <c r="K7285" s="7" t="s">
        <v>17233</v>
      </c>
      <c r="L7285" s="198" t="s">
        <v>65</v>
      </c>
      <c r="M7285" s="199"/>
      <c r="N7285" s="199"/>
    </row>
    <row r="7286">
      <c r="A7286" s="193" t="s">
        <v>27013</v>
      </c>
      <c r="D7286" s="199"/>
      <c r="E7286" s="193"/>
      <c r="F7286" s="195" t="s">
        <v>27014</v>
      </c>
      <c r="G7286" s="196">
        <v>3.1223363E7</v>
      </c>
      <c r="H7286" s="197">
        <v>0.7876</v>
      </c>
      <c r="I7286" s="7" t="s">
        <v>16815</v>
      </c>
      <c r="L7286" s="198" t="s">
        <v>65</v>
      </c>
      <c r="M7286" s="199"/>
      <c r="N7286" s="199"/>
    </row>
    <row r="7287">
      <c r="A7287" s="193" t="s">
        <v>27015</v>
      </c>
      <c r="B7287" s="7" t="s">
        <v>175</v>
      </c>
      <c r="C7287" s="7" t="s">
        <v>19139</v>
      </c>
      <c r="D7287" s="194">
        <v>2015.0</v>
      </c>
      <c r="E7287" s="193"/>
      <c r="F7287" s="195" t="s">
        <v>27016</v>
      </c>
      <c r="G7287" s="196">
        <v>3.1202456E7</v>
      </c>
      <c r="H7287" s="197">
        <v>0.96</v>
      </c>
      <c r="I7287" s="7" t="s">
        <v>168</v>
      </c>
      <c r="J7287" s="7" t="s">
        <v>175</v>
      </c>
      <c r="K7287" s="7" t="s">
        <v>19139</v>
      </c>
      <c r="L7287" s="198" t="s">
        <v>65</v>
      </c>
      <c r="M7287" s="194"/>
      <c r="N7287" s="194"/>
    </row>
    <row r="7288">
      <c r="A7288" s="193" t="s">
        <v>27017</v>
      </c>
      <c r="B7288" s="7" t="s">
        <v>175</v>
      </c>
      <c r="C7288" s="7" t="s">
        <v>17218</v>
      </c>
      <c r="D7288" s="199"/>
      <c r="E7288" s="193"/>
      <c r="F7288" s="195" t="s">
        <v>27018</v>
      </c>
      <c r="G7288" s="196">
        <v>3.1168691E7</v>
      </c>
      <c r="H7288" s="197">
        <v>7.135</v>
      </c>
      <c r="I7288" s="7" t="s">
        <v>16903</v>
      </c>
      <c r="J7288" s="7" t="s">
        <v>175</v>
      </c>
      <c r="K7288" s="7" t="s">
        <v>17218</v>
      </c>
      <c r="L7288" s="198" t="s">
        <v>65</v>
      </c>
      <c r="M7288" s="199"/>
      <c r="N7288" s="199"/>
    </row>
    <row r="7289">
      <c r="A7289" s="193" t="s">
        <v>27017</v>
      </c>
      <c r="B7289" s="7" t="s">
        <v>17218</v>
      </c>
      <c r="C7289" s="7" t="s">
        <v>175</v>
      </c>
      <c r="D7289" s="199"/>
      <c r="E7289" s="193"/>
      <c r="F7289" s="195" t="s">
        <v>27018</v>
      </c>
      <c r="G7289" s="200">
        <v>3.1168691E7</v>
      </c>
      <c r="H7289" s="197">
        <v>7.135</v>
      </c>
      <c r="I7289" s="7" t="s">
        <v>16815</v>
      </c>
      <c r="J7289" s="7" t="s">
        <v>17218</v>
      </c>
      <c r="K7289" s="7" t="s">
        <v>175</v>
      </c>
      <c r="L7289" s="201" t="s">
        <v>16835</v>
      </c>
      <c r="M7289" s="199"/>
      <c r="N7289" s="199"/>
    </row>
    <row r="7290">
      <c r="A7290" s="193" t="s">
        <v>27019</v>
      </c>
      <c r="B7290" s="7" t="s">
        <v>175</v>
      </c>
      <c r="C7290" s="7" t="s">
        <v>16957</v>
      </c>
      <c r="D7290" s="199"/>
      <c r="E7290" s="193"/>
      <c r="F7290" s="195" t="s">
        <v>27020</v>
      </c>
      <c r="G7290" s="196">
        <v>3.1158934E7</v>
      </c>
      <c r="H7290" s="197">
        <v>0.36</v>
      </c>
      <c r="I7290" s="7" t="s">
        <v>168</v>
      </c>
      <c r="J7290" s="7" t="s">
        <v>175</v>
      </c>
      <c r="K7290" s="7" t="s">
        <v>16957</v>
      </c>
      <c r="L7290" s="198" t="s">
        <v>65</v>
      </c>
      <c r="M7290" s="199"/>
      <c r="N7290" s="199"/>
    </row>
    <row r="7291">
      <c r="A7291" s="193" t="s">
        <v>27019</v>
      </c>
      <c r="B7291" s="7" t="s">
        <v>16957</v>
      </c>
      <c r="C7291" s="7" t="s">
        <v>175</v>
      </c>
      <c r="D7291" s="199"/>
      <c r="E7291" s="193"/>
      <c r="F7291" s="195" t="s">
        <v>27020</v>
      </c>
      <c r="G7291" s="200">
        <v>3.1158934E7</v>
      </c>
      <c r="H7291" s="197">
        <v>0.36</v>
      </c>
      <c r="I7291" s="7" t="s">
        <v>16815</v>
      </c>
      <c r="J7291" s="7" t="s">
        <v>16957</v>
      </c>
      <c r="K7291" s="7" t="s">
        <v>175</v>
      </c>
      <c r="L7291" s="201" t="s">
        <v>16835</v>
      </c>
      <c r="M7291" s="199"/>
      <c r="N7291" s="199"/>
    </row>
    <row r="7292">
      <c r="A7292" s="193" t="s">
        <v>27021</v>
      </c>
      <c r="B7292" s="7" t="s">
        <v>187</v>
      </c>
      <c r="C7292" s="7" t="s">
        <v>16969</v>
      </c>
      <c r="D7292" s="194">
        <v>2016.0</v>
      </c>
      <c r="E7292" s="193"/>
      <c r="F7292" s="195" t="s">
        <v>27022</v>
      </c>
      <c r="G7292" s="196">
        <v>3.1144479E7</v>
      </c>
      <c r="H7292" s="197">
        <v>1.9</v>
      </c>
      <c r="I7292" s="7" t="s">
        <v>16815</v>
      </c>
      <c r="J7292" s="7" t="s">
        <v>187</v>
      </c>
      <c r="K7292" s="7" t="s">
        <v>16969</v>
      </c>
      <c r="L7292" s="198" t="s">
        <v>65</v>
      </c>
      <c r="M7292" s="194"/>
      <c r="N7292" s="194"/>
    </row>
    <row r="7293">
      <c r="A7293" s="193" t="s">
        <v>27023</v>
      </c>
      <c r="B7293" s="7" t="s">
        <v>175</v>
      </c>
      <c r="C7293" s="7" t="s">
        <v>16972</v>
      </c>
      <c r="D7293" s="194">
        <v>2017.0</v>
      </c>
      <c r="E7293" s="193"/>
      <c r="F7293" s="195" t="s">
        <v>27024</v>
      </c>
      <c r="G7293" s="196">
        <v>3.1142796E7</v>
      </c>
      <c r="H7293" s="197">
        <v>0.8416</v>
      </c>
      <c r="I7293" s="7" t="s">
        <v>16826</v>
      </c>
      <c r="J7293" s="7" t="s">
        <v>175</v>
      </c>
      <c r="K7293" s="7" t="s">
        <v>16972</v>
      </c>
      <c r="L7293" s="198" t="s">
        <v>65</v>
      </c>
      <c r="M7293" s="194"/>
      <c r="N7293" s="194"/>
    </row>
    <row r="7294">
      <c r="A7294" s="193" t="s">
        <v>27025</v>
      </c>
      <c r="B7294" s="7" t="s">
        <v>175</v>
      </c>
      <c r="C7294" s="7" t="s">
        <v>16942</v>
      </c>
      <c r="D7294" s="194">
        <v>2020.0</v>
      </c>
      <c r="E7294" s="193"/>
      <c r="F7294" s="195" t="s">
        <v>27026</v>
      </c>
      <c r="G7294" s="196">
        <v>3.1116411E7</v>
      </c>
      <c r="H7294" s="197">
        <v>0.675</v>
      </c>
      <c r="I7294" s="7" t="s">
        <v>17242</v>
      </c>
      <c r="J7294" s="7" t="s">
        <v>175</v>
      </c>
      <c r="K7294" s="7" t="s">
        <v>16942</v>
      </c>
      <c r="L7294" s="198" t="s">
        <v>65</v>
      </c>
      <c r="M7294" s="194"/>
      <c r="N7294" s="194"/>
    </row>
    <row r="7295">
      <c r="A7295" s="193" t="s">
        <v>27027</v>
      </c>
      <c r="B7295" s="7" t="s">
        <v>169</v>
      </c>
      <c r="C7295" s="7" t="s">
        <v>16899</v>
      </c>
      <c r="D7295" s="194">
        <v>2023.0</v>
      </c>
      <c r="E7295" s="193"/>
      <c r="F7295" s="195" t="s">
        <v>27028</v>
      </c>
      <c r="G7295" s="196">
        <v>3.1E7</v>
      </c>
      <c r="H7295" s="197">
        <v>3.1</v>
      </c>
      <c r="I7295" s="7" t="s">
        <v>16815</v>
      </c>
      <c r="J7295" s="7" t="s">
        <v>169</v>
      </c>
      <c r="K7295" s="7" t="s">
        <v>16899</v>
      </c>
      <c r="L7295" s="198" t="s">
        <v>65</v>
      </c>
      <c r="M7295" s="194"/>
      <c r="N7295" s="194"/>
    </row>
    <row r="7296">
      <c r="A7296" s="193" t="s">
        <v>27029</v>
      </c>
      <c r="B7296" s="7" t="s">
        <v>187</v>
      </c>
      <c r="C7296" s="7" t="s">
        <v>16846</v>
      </c>
      <c r="D7296" s="194">
        <v>2019.0</v>
      </c>
      <c r="E7296" s="193"/>
      <c r="F7296" s="195" t="s">
        <v>27030</v>
      </c>
      <c r="G7296" s="196">
        <v>3.097236E7</v>
      </c>
      <c r="H7296" s="197">
        <v>1.11</v>
      </c>
      <c r="I7296" s="7" t="s">
        <v>16815</v>
      </c>
      <c r="J7296" s="7" t="s">
        <v>187</v>
      </c>
      <c r="K7296" s="7" t="s">
        <v>16846</v>
      </c>
      <c r="L7296" s="198" t="s">
        <v>65</v>
      </c>
      <c r="M7296" s="194"/>
      <c r="N7296" s="194"/>
    </row>
    <row r="7297">
      <c r="A7297" s="193" t="s">
        <v>27031</v>
      </c>
      <c r="B7297" s="7" t="s">
        <v>16838</v>
      </c>
      <c r="C7297" s="7" t="s">
        <v>17016</v>
      </c>
      <c r="D7297" s="194">
        <v>2020.0</v>
      </c>
      <c r="E7297" s="193"/>
      <c r="F7297" s="195" t="s">
        <v>27032</v>
      </c>
      <c r="G7297" s="196">
        <v>3.081147E7</v>
      </c>
      <c r="H7297" s="197">
        <v>0.39</v>
      </c>
      <c r="I7297" s="7" t="s">
        <v>16815</v>
      </c>
      <c r="J7297" s="7" t="s">
        <v>16838</v>
      </c>
      <c r="K7297" s="7" t="s">
        <v>17016</v>
      </c>
      <c r="L7297" s="198" t="s">
        <v>65</v>
      </c>
      <c r="M7297" s="194"/>
      <c r="N7297" s="194"/>
    </row>
    <row r="7298">
      <c r="A7298" s="193" t="s">
        <v>27033</v>
      </c>
      <c r="B7298" s="7" t="s">
        <v>16926</v>
      </c>
      <c r="C7298" s="7" t="s">
        <v>16957</v>
      </c>
      <c r="D7298" s="199"/>
      <c r="E7298" s="193"/>
      <c r="F7298" s="195" t="s">
        <v>27034</v>
      </c>
      <c r="G7298" s="196">
        <v>3.0662306E7</v>
      </c>
      <c r="H7298" s="197">
        <v>0.262</v>
      </c>
      <c r="I7298" s="7" t="s">
        <v>16815</v>
      </c>
      <c r="J7298" s="7" t="s">
        <v>16926</v>
      </c>
      <c r="K7298" s="7" t="s">
        <v>16957</v>
      </c>
      <c r="L7298" s="198" t="s">
        <v>65</v>
      </c>
      <c r="M7298" s="199"/>
      <c r="N7298" s="199"/>
    </row>
    <row r="7299">
      <c r="A7299" s="193" t="s">
        <v>27035</v>
      </c>
      <c r="B7299" s="7" t="s">
        <v>16885</v>
      </c>
      <c r="C7299" s="7" t="s">
        <v>16886</v>
      </c>
      <c r="D7299" s="199"/>
      <c r="E7299" s="193"/>
      <c r="F7299" s="195" t="s">
        <v>27036</v>
      </c>
      <c r="G7299" s="196">
        <v>3.0534877E7</v>
      </c>
      <c r="H7299" s="197">
        <v>0.572</v>
      </c>
      <c r="I7299" s="7" t="s">
        <v>16826</v>
      </c>
      <c r="J7299" s="7" t="s">
        <v>16885</v>
      </c>
      <c r="K7299" s="7" t="s">
        <v>16886</v>
      </c>
      <c r="L7299" s="198" t="s">
        <v>65</v>
      </c>
      <c r="M7299" s="199"/>
      <c r="N7299" s="199"/>
    </row>
    <row r="7300">
      <c r="A7300" s="193" t="s">
        <v>27035</v>
      </c>
      <c r="B7300" s="202" t="s">
        <v>16886</v>
      </c>
      <c r="C7300" s="193" t="s">
        <v>16885</v>
      </c>
      <c r="D7300" s="206"/>
      <c r="E7300" s="193"/>
      <c r="F7300" s="203" t="s">
        <v>27036</v>
      </c>
      <c r="G7300" s="200">
        <v>3.0534877E7</v>
      </c>
      <c r="H7300" s="205">
        <v>3.19</v>
      </c>
      <c r="J7300" s="202" t="s">
        <v>16886</v>
      </c>
      <c r="K7300" s="193" t="s">
        <v>16885</v>
      </c>
      <c r="L7300" s="193" t="s">
        <v>17471</v>
      </c>
      <c r="M7300" s="206"/>
      <c r="N7300" s="206"/>
    </row>
    <row r="7301">
      <c r="A7301" s="193" t="s">
        <v>27037</v>
      </c>
      <c r="B7301" s="7" t="s">
        <v>187</v>
      </c>
      <c r="C7301" s="7" t="s">
        <v>16846</v>
      </c>
      <c r="D7301" s="194">
        <v>2014.0</v>
      </c>
      <c r="E7301" s="193"/>
      <c r="F7301" s="195" t="s">
        <v>27038</v>
      </c>
      <c r="G7301" s="196">
        <v>3.046283E7</v>
      </c>
      <c r="H7301" s="197">
        <v>3.46</v>
      </c>
      <c r="I7301" s="7" t="s">
        <v>16815</v>
      </c>
      <c r="J7301" s="7" t="s">
        <v>187</v>
      </c>
      <c r="K7301" s="7" t="s">
        <v>16846</v>
      </c>
      <c r="L7301" s="198" t="s">
        <v>65</v>
      </c>
      <c r="M7301" s="194"/>
      <c r="N7301" s="194"/>
    </row>
    <row r="7302">
      <c r="A7302" s="193" t="s">
        <v>27039</v>
      </c>
      <c r="B7302" s="7" t="s">
        <v>187</v>
      </c>
      <c r="C7302" s="7" t="s">
        <v>16846</v>
      </c>
      <c r="D7302" s="194">
        <v>2005.0</v>
      </c>
      <c r="E7302" s="193"/>
      <c r="F7302" s="195" t="s">
        <v>27040</v>
      </c>
      <c r="G7302" s="196">
        <v>3.0256673E7</v>
      </c>
      <c r="H7302" s="197">
        <v>5.63</v>
      </c>
      <c r="I7302" s="7" t="s">
        <v>16815</v>
      </c>
      <c r="J7302" s="7" t="s">
        <v>187</v>
      </c>
      <c r="K7302" s="7" t="s">
        <v>16846</v>
      </c>
      <c r="L7302" s="198" t="s">
        <v>65</v>
      </c>
      <c r="M7302" s="194"/>
      <c r="N7302" s="194"/>
    </row>
    <row r="7303">
      <c r="A7303" s="193" t="s">
        <v>27041</v>
      </c>
      <c r="B7303" s="7" t="s">
        <v>187</v>
      </c>
      <c r="C7303" s="7" t="s">
        <v>16969</v>
      </c>
      <c r="D7303" s="194">
        <v>2001.0</v>
      </c>
      <c r="E7303" s="193"/>
      <c r="F7303" s="195" t="s">
        <v>27042</v>
      </c>
      <c r="G7303" s="196">
        <v>3.0233537E7</v>
      </c>
      <c r="H7303" s="197">
        <v>1.0099</v>
      </c>
      <c r="I7303" s="7" t="s">
        <v>16815</v>
      </c>
      <c r="J7303" s="7" t="s">
        <v>187</v>
      </c>
      <c r="K7303" s="7" t="s">
        <v>16969</v>
      </c>
      <c r="L7303" s="198" t="s">
        <v>65</v>
      </c>
      <c r="M7303" s="194"/>
      <c r="N7303" s="194"/>
    </row>
    <row r="7304">
      <c r="A7304" s="193" t="s">
        <v>27041</v>
      </c>
      <c r="B7304" s="202" t="s">
        <v>16969</v>
      </c>
      <c r="C7304" s="193" t="s">
        <v>187</v>
      </c>
      <c r="D7304" s="193">
        <v>2001.0</v>
      </c>
      <c r="E7304" s="193"/>
      <c r="F7304" s="203" t="s">
        <v>27042</v>
      </c>
      <c r="G7304" s="200">
        <v>3.0233537E7</v>
      </c>
      <c r="H7304" s="205">
        <v>0.572</v>
      </c>
      <c r="J7304" s="202" t="s">
        <v>16969</v>
      </c>
      <c r="K7304" s="193" t="s">
        <v>187</v>
      </c>
      <c r="L7304" s="193" t="s">
        <v>17471</v>
      </c>
      <c r="M7304" s="193"/>
      <c r="N7304" s="193"/>
    </row>
    <row r="7305">
      <c r="A7305" s="193" t="s">
        <v>27043</v>
      </c>
      <c r="B7305" s="7" t="s">
        <v>16838</v>
      </c>
      <c r="C7305" s="7" t="s">
        <v>17016</v>
      </c>
      <c r="D7305" s="194">
        <v>2021.0</v>
      </c>
      <c r="E7305" s="193"/>
      <c r="F7305" s="195" t="s">
        <v>27044</v>
      </c>
      <c r="G7305" s="196">
        <v>3.0183493E7</v>
      </c>
      <c r="H7305" s="197">
        <v>0.6524</v>
      </c>
      <c r="I7305" s="7" t="s">
        <v>16815</v>
      </c>
      <c r="J7305" s="7" t="s">
        <v>16838</v>
      </c>
      <c r="K7305" s="7" t="s">
        <v>17016</v>
      </c>
      <c r="L7305" s="198" t="s">
        <v>65</v>
      </c>
      <c r="M7305" s="194"/>
      <c r="N7305" s="194"/>
    </row>
    <row r="7306">
      <c r="A7306" s="193" t="s">
        <v>27045</v>
      </c>
      <c r="B7306" s="7" t="s">
        <v>16838</v>
      </c>
      <c r="C7306" s="7" t="s">
        <v>17112</v>
      </c>
      <c r="D7306" s="194">
        <v>2023.0</v>
      </c>
      <c r="E7306" s="193"/>
      <c r="F7306" s="195" t="s">
        <v>27046</v>
      </c>
      <c r="G7306" s="196">
        <v>3.0174835E7</v>
      </c>
      <c r="H7306" s="197">
        <v>1.42</v>
      </c>
      <c r="I7306" s="7" t="s">
        <v>16815</v>
      </c>
      <c r="J7306" s="7" t="s">
        <v>16838</v>
      </c>
      <c r="K7306" s="7" t="s">
        <v>17112</v>
      </c>
      <c r="L7306" s="198" t="s">
        <v>65</v>
      </c>
      <c r="M7306" s="194"/>
      <c r="N7306" s="194"/>
    </row>
    <row r="7307">
      <c r="A7307" s="193" t="s">
        <v>27047</v>
      </c>
      <c r="B7307" s="7" t="s">
        <v>158</v>
      </c>
      <c r="C7307" s="7" t="s">
        <v>16864</v>
      </c>
      <c r="D7307" s="199"/>
      <c r="E7307" s="193"/>
      <c r="F7307" s="195" t="s">
        <v>27048</v>
      </c>
      <c r="G7307" s="196">
        <v>3.016662E7</v>
      </c>
      <c r="H7307" s="197">
        <v>1.1827</v>
      </c>
      <c r="I7307" s="7" t="s">
        <v>16953</v>
      </c>
      <c r="J7307" s="7" t="s">
        <v>158</v>
      </c>
      <c r="K7307" s="7" t="s">
        <v>16864</v>
      </c>
      <c r="L7307" s="198" t="s">
        <v>65</v>
      </c>
      <c r="M7307" s="199"/>
      <c r="N7307" s="199"/>
    </row>
    <row r="7308">
      <c r="A7308" s="193" t="s">
        <v>27049</v>
      </c>
      <c r="B7308" s="7" t="s">
        <v>17112</v>
      </c>
      <c r="C7308" s="7" t="s">
        <v>17111</v>
      </c>
      <c r="D7308" s="199"/>
      <c r="E7308" s="193"/>
      <c r="F7308" s="195" t="s">
        <v>27050</v>
      </c>
      <c r="G7308" s="196">
        <v>3.0124853E7</v>
      </c>
      <c r="H7308" s="197">
        <v>1.56</v>
      </c>
      <c r="I7308" s="7" t="s">
        <v>16815</v>
      </c>
      <c r="J7308" s="7" t="s">
        <v>17112</v>
      </c>
      <c r="K7308" s="7" t="s">
        <v>17111</v>
      </c>
      <c r="L7308" s="198" t="s">
        <v>65</v>
      </c>
      <c r="M7308" s="199"/>
      <c r="N7308" s="199"/>
    </row>
    <row r="7309">
      <c r="A7309" s="193" t="s">
        <v>27051</v>
      </c>
      <c r="B7309" s="7" t="s">
        <v>16582</v>
      </c>
      <c r="C7309" s="7" t="s">
        <v>17183</v>
      </c>
      <c r="D7309" s="194">
        <v>2022.0</v>
      </c>
      <c r="E7309" s="193"/>
      <c r="F7309" s="195" t="s">
        <v>27052</v>
      </c>
      <c r="G7309" s="196">
        <v>3.0096173E7</v>
      </c>
      <c r="H7309" s="197">
        <v>4.355</v>
      </c>
      <c r="I7309" s="7" t="s">
        <v>16815</v>
      </c>
      <c r="J7309" s="7" t="s">
        <v>16582</v>
      </c>
      <c r="K7309" s="7" t="s">
        <v>17183</v>
      </c>
      <c r="L7309" s="198" t="s">
        <v>65</v>
      </c>
      <c r="M7309" s="194"/>
      <c r="N7309" s="194"/>
    </row>
    <row r="7310">
      <c r="A7310" s="193" t="s">
        <v>27053</v>
      </c>
      <c r="B7310" s="7" t="s">
        <v>187</v>
      </c>
      <c r="C7310" s="7" t="s">
        <v>17559</v>
      </c>
      <c r="D7310" s="194">
        <v>2021.0</v>
      </c>
      <c r="E7310" s="193"/>
      <c r="F7310" s="195" t="s">
        <v>27054</v>
      </c>
      <c r="G7310" s="196">
        <v>3.0091447E7</v>
      </c>
      <c r="H7310" s="197">
        <v>0.16</v>
      </c>
      <c r="I7310" s="7" t="s">
        <v>16815</v>
      </c>
      <c r="J7310" s="7" t="s">
        <v>187</v>
      </c>
      <c r="K7310" s="7" t="s">
        <v>17559</v>
      </c>
      <c r="L7310" s="198" t="s">
        <v>65</v>
      </c>
      <c r="M7310" s="194"/>
      <c r="N7310" s="194"/>
    </row>
    <row r="7311">
      <c r="A7311" s="193" t="s">
        <v>27055</v>
      </c>
      <c r="B7311" s="7" t="s">
        <v>17112</v>
      </c>
      <c r="C7311" s="7" t="s">
        <v>17218</v>
      </c>
      <c r="D7311" s="194">
        <v>2022.0</v>
      </c>
      <c r="E7311" s="193"/>
      <c r="F7311" s="195" t="s">
        <v>27056</v>
      </c>
      <c r="G7311" s="196">
        <v>3.0061574E7</v>
      </c>
      <c r="H7311" s="197">
        <v>0.5906</v>
      </c>
      <c r="I7311" s="7" t="s">
        <v>16815</v>
      </c>
      <c r="J7311" s="7" t="s">
        <v>17112</v>
      </c>
      <c r="K7311" s="7" t="s">
        <v>17218</v>
      </c>
      <c r="L7311" s="198" t="s">
        <v>65</v>
      </c>
      <c r="M7311" s="194"/>
      <c r="N7311" s="194"/>
    </row>
    <row r="7312">
      <c r="A7312" s="193" t="s">
        <v>27055</v>
      </c>
      <c r="B7312" s="202" t="s">
        <v>17218</v>
      </c>
      <c r="C7312" s="193" t="s">
        <v>17112</v>
      </c>
      <c r="D7312" s="193">
        <v>2022.0</v>
      </c>
      <c r="E7312" s="193"/>
      <c r="F7312" s="203" t="s">
        <v>27056</v>
      </c>
      <c r="G7312" s="200">
        <v>3.0061574E7</v>
      </c>
      <c r="H7312" s="205">
        <v>1.0099</v>
      </c>
      <c r="J7312" s="202" t="s">
        <v>17218</v>
      </c>
      <c r="K7312" s="193" t="s">
        <v>17112</v>
      </c>
      <c r="L7312" s="193" t="s">
        <v>17471</v>
      </c>
      <c r="M7312" s="193"/>
      <c r="N7312" s="193"/>
    </row>
    <row r="7313">
      <c r="A7313" s="193" t="s">
        <v>27057</v>
      </c>
      <c r="B7313" s="7" t="s">
        <v>175</v>
      </c>
      <c r="C7313" s="7" t="s">
        <v>16942</v>
      </c>
      <c r="D7313" s="194">
        <v>2018.0</v>
      </c>
      <c r="E7313" s="193"/>
      <c r="F7313" s="195" t="s">
        <v>27058</v>
      </c>
      <c r="G7313" s="196">
        <v>3.0016112E7</v>
      </c>
      <c r="H7313" s="197">
        <v>1.12</v>
      </c>
      <c r="I7313" s="7" t="s">
        <v>174</v>
      </c>
      <c r="J7313" s="7" t="s">
        <v>175</v>
      </c>
      <c r="K7313" s="7" t="s">
        <v>16942</v>
      </c>
      <c r="L7313" s="198" t="s">
        <v>65</v>
      </c>
      <c r="M7313" s="194"/>
      <c r="N7313" s="194"/>
    </row>
    <row r="7314">
      <c r="A7314" s="193" t="s">
        <v>27059</v>
      </c>
      <c r="B7314" s="7" t="s">
        <v>17112</v>
      </c>
      <c r="C7314" s="7" t="s">
        <v>17218</v>
      </c>
      <c r="D7314" s="194">
        <v>2020.0</v>
      </c>
      <c r="E7314" s="193"/>
      <c r="F7314" s="195" t="s">
        <v>27060</v>
      </c>
      <c r="G7314" s="196">
        <v>2.9982147E7</v>
      </c>
      <c r="H7314" s="197">
        <v>0.6151</v>
      </c>
      <c r="I7314" s="7" t="s">
        <v>16815</v>
      </c>
      <c r="J7314" s="7" t="s">
        <v>17112</v>
      </c>
      <c r="K7314" s="7" t="s">
        <v>17218</v>
      </c>
      <c r="L7314" s="198" t="s">
        <v>65</v>
      </c>
      <c r="M7314" s="194"/>
      <c r="N7314" s="194"/>
    </row>
    <row r="7315">
      <c r="A7315" s="193" t="s">
        <v>27061</v>
      </c>
      <c r="B7315" s="7" t="s">
        <v>175</v>
      </c>
      <c r="C7315" s="7" t="s">
        <v>16854</v>
      </c>
      <c r="D7315" s="194">
        <v>2021.0</v>
      </c>
      <c r="E7315" s="193"/>
      <c r="F7315" s="195" t="s">
        <v>27062</v>
      </c>
      <c r="G7315" s="196">
        <v>2.96712E7</v>
      </c>
      <c r="H7315" s="197">
        <v>1.17</v>
      </c>
      <c r="I7315" s="7" t="s">
        <v>16908</v>
      </c>
      <c r="J7315" s="7" t="s">
        <v>175</v>
      </c>
      <c r="K7315" s="7" t="s">
        <v>16854</v>
      </c>
      <c r="L7315" s="198" t="s">
        <v>65</v>
      </c>
      <c r="M7315" s="194"/>
      <c r="N7315" s="194"/>
    </row>
    <row r="7316">
      <c r="A7316" s="193" t="s">
        <v>27063</v>
      </c>
      <c r="B7316" s="7" t="s">
        <v>16582</v>
      </c>
      <c r="C7316" s="7" t="s">
        <v>16930</v>
      </c>
      <c r="D7316" s="194">
        <v>2013.0</v>
      </c>
      <c r="E7316" s="193"/>
      <c r="F7316" s="195" t="s">
        <v>27064</v>
      </c>
      <c r="G7316" s="196">
        <v>2.9467626E7</v>
      </c>
      <c r="H7316" s="197">
        <v>2.77</v>
      </c>
      <c r="I7316" s="7" t="s">
        <v>16815</v>
      </c>
      <c r="J7316" s="7" t="s">
        <v>16582</v>
      </c>
      <c r="K7316" s="7" t="s">
        <v>16930</v>
      </c>
      <c r="L7316" s="198" t="s">
        <v>65</v>
      </c>
      <c r="M7316" s="194"/>
      <c r="N7316" s="194"/>
    </row>
    <row r="7317">
      <c r="A7317" s="193" t="s">
        <v>27063</v>
      </c>
      <c r="B7317" s="7" t="s">
        <v>16930</v>
      </c>
      <c r="C7317" s="7" t="s">
        <v>16582</v>
      </c>
      <c r="D7317" s="194">
        <v>2013.0</v>
      </c>
      <c r="E7317" s="193"/>
      <c r="F7317" s="195" t="s">
        <v>27064</v>
      </c>
      <c r="G7317" s="200">
        <v>2.9467626E7</v>
      </c>
      <c r="H7317" s="197">
        <v>2.77</v>
      </c>
      <c r="I7317" s="7" t="s">
        <v>16815</v>
      </c>
      <c r="J7317" s="7" t="s">
        <v>16930</v>
      </c>
      <c r="K7317" s="7" t="s">
        <v>16582</v>
      </c>
      <c r="L7317" s="201" t="s">
        <v>16835</v>
      </c>
      <c r="M7317" s="194"/>
      <c r="N7317" s="194"/>
    </row>
    <row r="7318">
      <c r="A7318" s="193" t="s">
        <v>27065</v>
      </c>
      <c r="B7318" s="7" t="s">
        <v>19579</v>
      </c>
      <c r="C7318" s="7" t="s">
        <v>16838</v>
      </c>
      <c r="D7318" s="199"/>
      <c r="E7318" s="193"/>
      <c r="F7318" s="195" t="s">
        <v>27066</v>
      </c>
      <c r="G7318" s="200">
        <v>2.914304E7</v>
      </c>
      <c r="H7318" s="197">
        <v>3.99</v>
      </c>
      <c r="I7318" s="193" t="s">
        <v>16815</v>
      </c>
      <c r="J7318" s="7" t="s">
        <v>19579</v>
      </c>
      <c r="K7318" s="7" t="s">
        <v>16838</v>
      </c>
      <c r="L7318" s="201" t="s">
        <v>16835</v>
      </c>
      <c r="M7318" s="199"/>
      <c r="N7318" s="199"/>
    </row>
    <row r="7319">
      <c r="A7319" s="193" t="s">
        <v>27065</v>
      </c>
      <c r="B7319" s="7" t="s">
        <v>16838</v>
      </c>
      <c r="C7319" s="7" t="s">
        <v>19579</v>
      </c>
      <c r="D7319" s="199"/>
      <c r="E7319" s="193"/>
      <c r="F7319" s="195" t="s">
        <v>27066</v>
      </c>
      <c r="G7319" s="196">
        <v>2.914304E7</v>
      </c>
      <c r="H7319" s="197">
        <v>3.99</v>
      </c>
      <c r="I7319" s="7" t="s">
        <v>16815</v>
      </c>
      <c r="J7319" s="7" t="s">
        <v>16838</v>
      </c>
      <c r="K7319" s="7" t="s">
        <v>19579</v>
      </c>
      <c r="L7319" s="198" t="s">
        <v>65</v>
      </c>
      <c r="M7319" s="199"/>
      <c r="N7319" s="199"/>
    </row>
    <row r="7320">
      <c r="A7320" s="193" t="s">
        <v>27067</v>
      </c>
      <c r="B7320" s="7" t="s">
        <v>187</v>
      </c>
      <c r="C7320" s="7" t="s">
        <v>16969</v>
      </c>
      <c r="D7320" s="199"/>
      <c r="E7320" s="193"/>
      <c r="F7320" s="195" t="s">
        <v>27068</v>
      </c>
      <c r="G7320" s="196">
        <v>2.9119697E7</v>
      </c>
      <c r="H7320" s="197">
        <v>1.07</v>
      </c>
      <c r="I7320" s="7" t="s">
        <v>16815</v>
      </c>
      <c r="J7320" s="7" t="s">
        <v>187</v>
      </c>
      <c r="K7320" s="7" t="s">
        <v>16969</v>
      </c>
      <c r="L7320" s="198" t="s">
        <v>65</v>
      </c>
      <c r="M7320" s="199"/>
      <c r="N7320" s="199"/>
    </row>
    <row r="7321">
      <c r="A7321" s="193" t="s">
        <v>27069</v>
      </c>
      <c r="B7321" s="7" t="s">
        <v>175</v>
      </c>
      <c r="C7321" s="7" t="s">
        <v>18570</v>
      </c>
      <c r="D7321" s="194">
        <v>2019.0</v>
      </c>
      <c r="E7321" s="193"/>
      <c r="F7321" s="195" t="s">
        <v>27070</v>
      </c>
      <c r="G7321" s="196">
        <v>2.9030628E7</v>
      </c>
      <c r="H7321" s="197">
        <v>0.3218</v>
      </c>
      <c r="I7321" s="7" t="s">
        <v>174</v>
      </c>
      <c r="J7321" s="7" t="s">
        <v>175</v>
      </c>
      <c r="K7321" s="7" t="s">
        <v>18570</v>
      </c>
      <c r="L7321" s="198" t="s">
        <v>65</v>
      </c>
      <c r="M7321" s="194"/>
      <c r="N7321" s="194"/>
    </row>
    <row r="7322">
      <c r="A7322" s="193" t="s">
        <v>27071</v>
      </c>
      <c r="B7322" s="7" t="s">
        <v>175</v>
      </c>
      <c r="C7322" s="7" t="s">
        <v>16942</v>
      </c>
      <c r="D7322" s="199"/>
      <c r="E7322" s="193"/>
      <c r="F7322" s="195" t="s">
        <v>27072</v>
      </c>
      <c r="G7322" s="196">
        <v>2.9016094E7</v>
      </c>
      <c r="H7322" s="197">
        <v>2.51</v>
      </c>
      <c r="I7322" s="193" t="s">
        <v>16908</v>
      </c>
      <c r="J7322" s="7" t="s">
        <v>175</v>
      </c>
      <c r="K7322" s="7" t="s">
        <v>16942</v>
      </c>
      <c r="L7322" s="198" t="s">
        <v>65</v>
      </c>
      <c r="M7322" s="199"/>
      <c r="N7322" s="199"/>
    </row>
    <row r="7323">
      <c r="A7323" s="193" t="s">
        <v>27073</v>
      </c>
      <c r="B7323" s="7" t="s">
        <v>187</v>
      </c>
      <c r="C7323" s="7" t="s">
        <v>16846</v>
      </c>
      <c r="D7323" s="194">
        <v>2014.0</v>
      </c>
      <c r="E7323" s="193"/>
      <c r="F7323" s="195" t="s">
        <v>27074</v>
      </c>
      <c r="G7323" s="196">
        <v>2.8969105E7</v>
      </c>
      <c r="H7323" s="197">
        <v>0.33</v>
      </c>
      <c r="I7323" s="7" t="s">
        <v>16815</v>
      </c>
      <c r="J7323" s="7" t="s">
        <v>187</v>
      </c>
      <c r="K7323" s="7" t="s">
        <v>16846</v>
      </c>
      <c r="L7323" s="198" t="s">
        <v>65</v>
      </c>
      <c r="M7323" s="194"/>
      <c r="N7323" s="194"/>
    </row>
    <row r="7324">
      <c r="A7324" s="193" t="s">
        <v>27075</v>
      </c>
      <c r="B7324" s="7" t="s">
        <v>16838</v>
      </c>
      <c r="C7324" s="7" t="s">
        <v>17016</v>
      </c>
      <c r="D7324" s="199"/>
      <c r="E7324" s="193"/>
      <c r="F7324" s="195" t="s">
        <v>27076</v>
      </c>
      <c r="G7324" s="196">
        <v>2.8884E7</v>
      </c>
      <c r="H7324" s="197">
        <v>1.16</v>
      </c>
      <c r="I7324" s="7" t="s">
        <v>16815</v>
      </c>
      <c r="J7324" s="7" t="s">
        <v>16838</v>
      </c>
      <c r="K7324" s="7" t="s">
        <v>17016</v>
      </c>
      <c r="L7324" s="198" t="s">
        <v>65</v>
      </c>
      <c r="M7324" s="199"/>
      <c r="N7324" s="199"/>
    </row>
    <row r="7325">
      <c r="A7325" s="193" t="s">
        <v>27077</v>
      </c>
      <c r="B7325" s="7" t="s">
        <v>16582</v>
      </c>
      <c r="C7325" s="7" t="s">
        <v>17183</v>
      </c>
      <c r="D7325" s="199"/>
      <c r="E7325" s="193"/>
      <c r="F7325" s="195" t="s">
        <v>27078</v>
      </c>
      <c r="G7325" s="196">
        <v>2.8806595E7</v>
      </c>
      <c r="H7325" s="197">
        <v>0.18</v>
      </c>
      <c r="I7325" s="7" t="s">
        <v>16815</v>
      </c>
      <c r="J7325" s="7" t="s">
        <v>16582</v>
      </c>
      <c r="K7325" s="7" t="s">
        <v>17183</v>
      </c>
      <c r="L7325" s="198" t="s">
        <v>65</v>
      </c>
      <c r="M7325" s="199"/>
      <c r="N7325" s="199"/>
    </row>
    <row r="7326">
      <c r="A7326" s="193" t="s">
        <v>27079</v>
      </c>
      <c r="B7326" s="7" t="s">
        <v>16838</v>
      </c>
      <c r="C7326" s="7" t="s">
        <v>17019</v>
      </c>
      <c r="D7326" s="194">
        <v>2021.0</v>
      </c>
      <c r="E7326" s="193"/>
      <c r="F7326" s="195" t="s">
        <v>27080</v>
      </c>
      <c r="G7326" s="196">
        <v>2.8776683E7</v>
      </c>
      <c r="H7326" s="197">
        <v>3.89</v>
      </c>
      <c r="I7326" s="7" t="s">
        <v>16815</v>
      </c>
      <c r="J7326" s="7" t="s">
        <v>16838</v>
      </c>
      <c r="K7326" s="7" t="s">
        <v>17019</v>
      </c>
      <c r="L7326" s="198" t="s">
        <v>65</v>
      </c>
      <c r="M7326" s="194"/>
      <c r="N7326" s="194"/>
    </row>
    <row r="7327">
      <c r="A7327" s="193" t="s">
        <v>27081</v>
      </c>
      <c r="B7327" s="7" t="s">
        <v>16582</v>
      </c>
      <c r="C7327" s="7" t="s">
        <v>16828</v>
      </c>
      <c r="D7327" s="199"/>
      <c r="E7327" s="193"/>
      <c r="F7327" s="195" t="s">
        <v>27082</v>
      </c>
      <c r="G7327" s="196">
        <v>2.8707451E7</v>
      </c>
      <c r="H7327" s="197">
        <v>2.06</v>
      </c>
      <c r="I7327" s="7" t="s">
        <v>16815</v>
      </c>
      <c r="J7327" s="7" t="s">
        <v>16582</v>
      </c>
      <c r="K7327" s="7" t="s">
        <v>16828</v>
      </c>
      <c r="L7327" s="198" t="s">
        <v>65</v>
      </c>
      <c r="M7327" s="199"/>
      <c r="N7327" s="199"/>
    </row>
    <row r="7328">
      <c r="A7328" s="193" t="s">
        <v>27083</v>
      </c>
      <c r="B7328" s="7" t="s">
        <v>187</v>
      </c>
      <c r="C7328" s="7" t="s">
        <v>16846</v>
      </c>
      <c r="D7328" s="194">
        <v>2014.0</v>
      </c>
      <c r="E7328" s="193"/>
      <c r="F7328" s="195" t="s">
        <v>27084</v>
      </c>
      <c r="G7328" s="196">
        <v>2.8673664E7</v>
      </c>
      <c r="H7328" s="197">
        <v>4.1001</v>
      </c>
      <c r="I7328" s="7" t="s">
        <v>16815</v>
      </c>
      <c r="J7328" s="7" t="s">
        <v>187</v>
      </c>
      <c r="K7328" s="7" t="s">
        <v>16846</v>
      </c>
      <c r="L7328" s="198" t="s">
        <v>65</v>
      </c>
      <c r="M7328" s="194"/>
      <c r="N7328" s="194"/>
    </row>
    <row r="7329">
      <c r="A7329" s="193" t="s">
        <v>27085</v>
      </c>
      <c r="B7329" s="7" t="s">
        <v>16885</v>
      </c>
      <c r="C7329" s="7" t="s">
        <v>16886</v>
      </c>
      <c r="D7329" s="199"/>
      <c r="E7329" s="193"/>
      <c r="F7329" s="195" t="s">
        <v>27086</v>
      </c>
      <c r="G7329" s="196">
        <v>2.853822E7</v>
      </c>
      <c r="H7329" s="197">
        <v>3.07</v>
      </c>
      <c r="I7329" s="7" t="s">
        <v>16826</v>
      </c>
      <c r="J7329" s="7" t="s">
        <v>16885</v>
      </c>
      <c r="K7329" s="7" t="s">
        <v>16886</v>
      </c>
      <c r="L7329" s="198" t="s">
        <v>65</v>
      </c>
      <c r="M7329" s="199"/>
      <c r="N7329" s="199"/>
    </row>
    <row r="7330">
      <c r="A7330" s="193" t="s">
        <v>27087</v>
      </c>
      <c r="B7330" s="7" t="s">
        <v>16885</v>
      </c>
      <c r="C7330" s="7" t="s">
        <v>17726</v>
      </c>
      <c r="D7330" s="194">
        <v>2023.0</v>
      </c>
      <c r="E7330" s="193"/>
      <c r="F7330" s="195" t="s">
        <v>27088</v>
      </c>
      <c r="G7330" s="196">
        <v>2.8517031E7</v>
      </c>
      <c r="H7330" s="197">
        <v>2.3</v>
      </c>
      <c r="I7330" s="7" t="s">
        <v>16826</v>
      </c>
      <c r="J7330" s="7" t="s">
        <v>16885</v>
      </c>
      <c r="K7330" s="7" t="s">
        <v>17726</v>
      </c>
      <c r="L7330" s="198" t="s">
        <v>65</v>
      </c>
      <c r="M7330" s="194"/>
      <c r="N7330" s="194"/>
    </row>
    <row r="7331">
      <c r="A7331" s="193" t="s">
        <v>27089</v>
      </c>
      <c r="B7331" s="7" t="s">
        <v>17112</v>
      </c>
      <c r="C7331" s="7" t="s">
        <v>17218</v>
      </c>
      <c r="D7331" s="194">
        <v>2017.0</v>
      </c>
      <c r="E7331" s="193"/>
      <c r="F7331" s="195" t="s">
        <v>27090</v>
      </c>
      <c r="G7331" s="196">
        <v>2.8510968E7</v>
      </c>
      <c r="H7331" s="197">
        <v>10.11</v>
      </c>
      <c r="I7331" s="7" t="s">
        <v>16815</v>
      </c>
      <c r="J7331" s="7" t="s">
        <v>17112</v>
      </c>
      <c r="K7331" s="7" t="s">
        <v>17218</v>
      </c>
      <c r="L7331" s="198" t="s">
        <v>65</v>
      </c>
      <c r="M7331" s="194"/>
      <c r="N7331" s="194"/>
    </row>
    <row r="7332">
      <c r="A7332" s="193" t="s">
        <v>27089</v>
      </c>
      <c r="B7332" s="7" t="s">
        <v>17218</v>
      </c>
      <c r="C7332" s="7" t="s">
        <v>17112</v>
      </c>
      <c r="D7332" s="194">
        <v>2017.0</v>
      </c>
      <c r="E7332" s="193"/>
      <c r="F7332" s="195" t="s">
        <v>27090</v>
      </c>
      <c r="G7332" s="200">
        <v>2.8510968E7</v>
      </c>
      <c r="H7332" s="197">
        <v>10.11</v>
      </c>
      <c r="I7332" s="7" t="s">
        <v>16815</v>
      </c>
      <c r="J7332" s="7" t="s">
        <v>17218</v>
      </c>
      <c r="K7332" s="7" t="s">
        <v>17112</v>
      </c>
      <c r="L7332" s="201" t="s">
        <v>16835</v>
      </c>
      <c r="M7332" s="194"/>
      <c r="N7332" s="194"/>
    </row>
    <row r="7333">
      <c r="A7333" s="193" t="s">
        <v>27091</v>
      </c>
      <c r="B7333" s="7" t="s">
        <v>16582</v>
      </c>
      <c r="C7333" s="7" t="s">
        <v>16930</v>
      </c>
      <c r="D7333" s="194">
        <v>2018.0</v>
      </c>
      <c r="E7333" s="193"/>
      <c r="F7333" s="195" t="s">
        <v>27092</v>
      </c>
      <c r="G7333" s="196">
        <v>2.8488708E7</v>
      </c>
      <c r="H7333" s="197">
        <v>2.4</v>
      </c>
      <c r="I7333" s="7" t="s">
        <v>16815</v>
      </c>
      <c r="J7333" s="7" t="s">
        <v>16582</v>
      </c>
      <c r="K7333" s="7" t="s">
        <v>16930</v>
      </c>
      <c r="L7333" s="198" t="s">
        <v>65</v>
      </c>
      <c r="M7333" s="194"/>
      <c r="N7333" s="194"/>
    </row>
    <row r="7334">
      <c r="A7334" s="193" t="s">
        <v>27091</v>
      </c>
      <c r="B7334" s="202" t="s">
        <v>16930</v>
      </c>
      <c r="C7334" s="193" t="s">
        <v>16582</v>
      </c>
      <c r="D7334" s="193">
        <v>2018.0</v>
      </c>
      <c r="E7334" s="193"/>
      <c r="F7334" s="203" t="s">
        <v>27092</v>
      </c>
      <c r="G7334" s="200">
        <v>2.8488708E7</v>
      </c>
      <c r="H7334" s="205">
        <v>0.5906</v>
      </c>
      <c r="J7334" s="202" t="s">
        <v>16930</v>
      </c>
      <c r="K7334" s="193" t="s">
        <v>16582</v>
      </c>
      <c r="L7334" s="193" t="s">
        <v>17471</v>
      </c>
      <c r="M7334" s="193"/>
      <c r="N7334" s="193"/>
    </row>
    <row r="7335">
      <c r="A7335" s="193" t="s">
        <v>27093</v>
      </c>
      <c r="B7335" s="7" t="s">
        <v>175</v>
      </c>
      <c r="C7335" s="7" t="s">
        <v>16854</v>
      </c>
      <c r="D7335" s="194">
        <v>2019.0</v>
      </c>
      <c r="E7335" s="193"/>
      <c r="F7335" s="195" t="s">
        <v>27094</v>
      </c>
      <c r="G7335" s="196">
        <v>2.8454479E7</v>
      </c>
      <c r="H7335" s="197">
        <v>0.73</v>
      </c>
      <c r="I7335" s="7" t="s">
        <v>168</v>
      </c>
      <c r="J7335" s="7" t="s">
        <v>175</v>
      </c>
      <c r="K7335" s="7" t="s">
        <v>16854</v>
      </c>
      <c r="L7335" s="198" t="s">
        <v>65</v>
      </c>
      <c r="M7335" s="194"/>
      <c r="N7335" s="194"/>
    </row>
    <row r="7336">
      <c r="A7336" s="193" t="s">
        <v>27095</v>
      </c>
      <c r="B7336" s="7" t="s">
        <v>16919</v>
      </c>
      <c r="C7336" s="7" t="s">
        <v>16957</v>
      </c>
      <c r="D7336" s="194">
        <v>2019.0</v>
      </c>
      <c r="E7336" s="193"/>
      <c r="F7336" s="195" t="s">
        <v>27096</v>
      </c>
      <c r="G7336" s="196">
        <v>2.8445098E7</v>
      </c>
      <c r="H7336" s="197">
        <v>0.689</v>
      </c>
      <c r="I7336" s="7" t="s">
        <v>16815</v>
      </c>
      <c r="J7336" s="7" t="s">
        <v>16919</v>
      </c>
      <c r="K7336" s="7" t="s">
        <v>16957</v>
      </c>
      <c r="L7336" s="198" t="s">
        <v>65</v>
      </c>
      <c r="M7336" s="194"/>
      <c r="N7336" s="194"/>
    </row>
    <row r="7337">
      <c r="A7337" s="193" t="s">
        <v>27097</v>
      </c>
      <c r="B7337" s="7" t="s">
        <v>175</v>
      </c>
      <c r="C7337" s="7" t="s">
        <v>18723</v>
      </c>
      <c r="D7337" s="194">
        <v>2020.0</v>
      </c>
      <c r="E7337" s="193"/>
      <c r="F7337" s="195" t="s">
        <v>27098</v>
      </c>
      <c r="G7337" s="196">
        <v>2.8435322E7</v>
      </c>
      <c r="H7337" s="197">
        <v>0.5362</v>
      </c>
      <c r="I7337" s="7" t="s">
        <v>16908</v>
      </c>
      <c r="J7337" s="7" t="s">
        <v>175</v>
      </c>
      <c r="K7337" s="7" t="s">
        <v>18723</v>
      </c>
      <c r="L7337" s="198" t="s">
        <v>65</v>
      </c>
      <c r="M7337" s="194"/>
      <c r="N7337" s="194"/>
    </row>
    <row r="7338">
      <c r="A7338" s="193" t="s">
        <v>27099</v>
      </c>
      <c r="B7338" s="7" t="s">
        <v>16582</v>
      </c>
      <c r="C7338" s="7" t="s">
        <v>16583</v>
      </c>
      <c r="D7338" s="194">
        <v>2021.0</v>
      </c>
      <c r="E7338" s="193"/>
      <c r="F7338" s="195" t="s">
        <v>27100</v>
      </c>
      <c r="G7338" s="196">
        <v>2.8434415E7</v>
      </c>
      <c r="H7338" s="197">
        <v>0.5596</v>
      </c>
      <c r="I7338" s="7" t="s">
        <v>16815</v>
      </c>
      <c r="J7338" s="7" t="s">
        <v>16582</v>
      </c>
      <c r="K7338" s="7" t="s">
        <v>16583</v>
      </c>
      <c r="L7338" s="198" t="s">
        <v>65</v>
      </c>
      <c r="M7338" s="194"/>
      <c r="N7338" s="194"/>
    </row>
    <row r="7339">
      <c r="A7339" s="193" t="s">
        <v>27101</v>
      </c>
      <c r="B7339" s="7" t="s">
        <v>187</v>
      </c>
      <c r="C7339" s="7" t="s">
        <v>16846</v>
      </c>
      <c r="D7339" s="194">
        <v>2020.0</v>
      </c>
      <c r="E7339" s="193"/>
      <c r="F7339" s="195" t="s">
        <v>27102</v>
      </c>
      <c r="G7339" s="196">
        <v>2.831125E7</v>
      </c>
      <c r="H7339" s="197">
        <v>1.42</v>
      </c>
      <c r="I7339" s="7" t="s">
        <v>16815</v>
      </c>
      <c r="J7339" s="7" t="s">
        <v>187</v>
      </c>
      <c r="K7339" s="7" t="s">
        <v>16846</v>
      </c>
      <c r="L7339" s="198" t="s">
        <v>65</v>
      </c>
      <c r="M7339" s="194"/>
      <c r="N7339" s="194"/>
    </row>
    <row r="7340">
      <c r="A7340" s="193" t="s">
        <v>27103</v>
      </c>
      <c r="B7340" s="7" t="s">
        <v>187</v>
      </c>
      <c r="C7340" s="7" t="s">
        <v>16846</v>
      </c>
      <c r="D7340" s="194">
        <v>2022.0</v>
      </c>
      <c r="E7340" s="193"/>
      <c r="F7340" s="195" t="s">
        <v>27104</v>
      </c>
      <c r="G7340" s="196">
        <v>2.8284887E7</v>
      </c>
      <c r="H7340" s="197">
        <v>1.99</v>
      </c>
      <c r="I7340" s="7" t="s">
        <v>16815</v>
      </c>
      <c r="J7340" s="7" t="s">
        <v>187</v>
      </c>
      <c r="K7340" s="7" t="s">
        <v>16846</v>
      </c>
      <c r="L7340" s="198" t="s">
        <v>65</v>
      </c>
      <c r="M7340" s="194"/>
      <c r="N7340" s="194"/>
    </row>
    <row r="7341">
      <c r="A7341" s="193" t="s">
        <v>27103</v>
      </c>
      <c r="B7341" s="202" t="s">
        <v>16846</v>
      </c>
      <c r="C7341" s="193" t="s">
        <v>187</v>
      </c>
      <c r="D7341" s="193">
        <v>2022.0</v>
      </c>
      <c r="E7341" s="193"/>
      <c r="F7341" s="203" t="s">
        <v>27104</v>
      </c>
      <c r="G7341" s="200">
        <v>2.8284887E7</v>
      </c>
      <c r="H7341" s="205">
        <v>2.4</v>
      </c>
      <c r="J7341" s="202" t="s">
        <v>16846</v>
      </c>
      <c r="K7341" s="193" t="s">
        <v>187</v>
      </c>
      <c r="L7341" s="193" t="s">
        <v>17471</v>
      </c>
      <c r="M7341" s="193"/>
      <c r="N7341" s="193"/>
    </row>
    <row r="7342">
      <c r="A7342" s="193" t="s">
        <v>27105</v>
      </c>
      <c r="B7342" s="7" t="s">
        <v>187</v>
      </c>
      <c r="C7342" s="7" t="s">
        <v>16858</v>
      </c>
      <c r="D7342" s="194">
        <v>2017.0</v>
      </c>
      <c r="E7342" s="193"/>
      <c r="F7342" s="195" t="s">
        <v>27106</v>
      </c>
      <c r="G7342" s="196">
        <v>2.8127736E7</v>
      </c>
      <c r="H7342" s="197">
        <v>4.63</v>
      </c>
      <c r="I7342" s="7" t="s">
        <v>16815</v>
      </c>
      <c r="J7342" s="7" t="s">
        <v>187</v>
      </c>
      <c r="K7342" s="7" t="s">
        <v>16858</v>
      </c>
      <c r="L7342" s="198" t="s">
        <v>65</v>
      </c>
      <c r="M7342" s="194"/>
      <c r="N7342" s="194"/>
    </row>
    <row r="7343">
      <c r="A7343" s="193" t="s">
        <v>27107</v>
      </c>
      <c r="B7343" s="7" t="s">
        <v>187</v>
      </c>
      <c r="C7343" s="7" t="s">
        <v>16846</v>
      </c>
      <c r="D7343" s="199"/>
      <c r="E7343" s="193"/>
      <c r="F7343" s="195" t="s">
        <v>27108</v>
      </c>
      <c r="G7343" s="196">
        <v>2.7992634E7</v>
      </c>
      <c r="H7343" s="197">
        <v>0.7601</v>
      </c>
      <c r="I7343" s="7" t="s">
        <v>16815</v>
      </c>
      <c r="J7343" s="7" t="s">
        <v>187</v>
      </c>
      <c r="K7343" s="7" t="s">
        <v>16846</v>
      </c>
      <c r="L7343" s="198" t="s">
        <v>65</v>
      </c>
      <c r="M7343" s="199"/>
      <c r="N7343" s="199"/>
    </row>
    <row r="7344">
      <c r="A7344" s="193" t="s">
        <v>27109</v>
      </c>
      <c r="B7344" s="7" t="s">
        <v>16926</v>
      </c>
      <c r="C7344" s="7" t="s">
        <v>16957</v>
      </c>
      <c r="D7344" s="199"/>
      <c r="E7344" s="193"/>
      <c r="F7344" s="195" t="s">
        <v>27110</v>
      </c>
      <c r="G7344" s="196">
        <v>2.772557E7</v>
      </c>
      <c r="H7344" s="197">
        <v>1.04</v>
      </c>
      <c r="I7344" s="7" t="s">
        <v>16815</v>
      </c>
      <c r="J7344" s="7" t="s">
        <v>16926</v>
      </c>
      <c r="K7344" s="7" t="s">
        <v>16957</v>
      </c>
      <c r="L7344" s="198" t="s">
        <v>65</v>
      </c>
      <c r="M7344" s="199"/>
      <c r="N7344" s="199"/>
    </row>
    <row r="7345">
      <c r="A7345" s="193" t="s">
        <v>27111</v>
      </c>
      <c r="B7345" s="7" t="s">
        <v>187</v>
      </c>
      <c r="C7345" s="7" t="s">
        <v>16858</v>
      </c>
      <c r="D7345" s="194">
        <v>2020.0</v>
      </c>
      <c r="E7345" s="193"/>
      <c r="F7345" s="195" t="s">
        <v>27112</v>
      </c>
      <c r="G7345" s="196">
        <v>2.765514E7</v>
      </c>
      <c r="H7345" s="197">
        <v>1.1</v>
      </c>
      <c r="I7345" s="7" t="s">
        <v>16815</v>
      </c>
      <c r="J7345" s="7" t="s">
        <v>187</v>
      </c>
      <c r="K7345" s="7" t="s">
        <v>16858</v>
      </c>
      <c r="L7345" s="198" t="s">
        <v>65</v>
      </c>
      <c r="M7345" s="194"/>
      <c r="N7345" s="194"/>
    </row>
    <row r="7346">
      <c r="A7346" s="193" t="s">
        <v>27113</v>
      </c>
      <c r="D7346" s="199"/>
      <c r="E7346" s="193"/>
      <c r="F7346" s="195" t="s">
        <v>27114</v>
      </c>
      <c r="G7346" s="196">
        <v>2.7595782E7</v>
      </c>
      <c r="H7346" s="197">
        <v>0.5001</v>
      </c>
      <c r="I7346" s="7" t="s">
        <v>16815</v>
      </c>
      <c r="L7346" s="198" t="s">
        <v>65</v>
      </c>
      <c r="M7346" s="199"/>
      <c r="N7346" s="199"/>
    </row>
    <row r="7347">
      <c r="A7347" s="193" t="s">
        <v>27115</v>
      </c>
      <c r="B7347" s="7" t="s">
        <v>175</v>
      </c>
      <c r="C7347" s="7" t="s">
        <v>17391</v>
      </c>
      <c r="D7347" s="199"/>
      <c r="E7347" s="193"/>
      <c r="F7347" s="195" t="s">
        <v>27116</v>
      </c>
      <c r="G7347" s="196">
        <v>2.7589669E7</v>
      </c>
      <c r="H7347" s="197">
        <v>0.2</v>
      </c>
      <c r="I7347" s="7" t="s">
        <v>18320</v>
      </c>
      <c r="J7347" s="7" t="s">
        <v>175</v>
      </c>
      <c r="K7347" s="7" t="s">
        <v>17391</v>
      </c>
      <c r="L7347" s="198" t="s">
        <v>65</v>
      </c>
      <c r="M7347" s="199"/>
      <c r="N7347" s="199"/>
    </row>
    <row r="7348">
      <c r="A7348" s="193" t="s">
        <v>27115</v>
      </c>
      <c r="B7348" s="202" t="s">
        <v>17391</v>
      </c>
      <c r="C7348" s="193" t="s">
        <v>175</v>
      </c>
      <c r="D7348" s="206"/>
      <c r="E7348" s="193"/>
      <c r="F7348" s="203" t="s">
        <v>27116</v>
      </c>
      <c r="G7348" s="200">
        <v>2.7589669E7</v>
      </c>
      <c r="H7348" s="205">
        <v>1.99</v>
      </c>
      <c r="J7348" s="202" t="s">
        <v>17391</v>
      </c>
      <c r="K7348" s="193" t="s">
        <v>175</v>
      </c>
      <c r="L7348" s="193" t="s">
        <v>17471</v>
      </c>
      <c r="M7348" s="206"/>
      <c r="N7348" s="206"/>
    </row>
    <row r="7349">
      <c r="A7349" s="193" t="s">
        <v>27117</v>
      </c>
      <c r="B7349" s="7" t="s">
        <v>16582</v>
      </c>
      <c r="C7349" s="7" t="s">
        <v>16930</v>
      </c>
      <c r="D7349" s="194">
        <v>2018.0</v>
      </c>
      <c r="E7349" s="193"/>
      <c r="F7349" s="195" t="s">
        <v>27118</v>
      </c>
      <c r="G7349" s="196">
        <v>2.75886E7</v>
      </c>
      <c r="H7349" s="197">
        <v>0.405</v>
      </c>
      <c r="I7349" s="7" t="s">
        <v>16815</v>
      </c>
      <c r="J7349" s="7" t="s">
        <v>16582</v>
      </c>
      <c r="K7349" s="7" t="s">
        <v>16930</v>
      </c>
      <c r="L7349" s="198" t="s">
        <v>65</v>
      </c>
      <c r="M7349" s="194"/>
      <c r="N7349" s="194"/>
    </row>
    <row r="7350">
      <c r="A7350" s="193" t="s">
        <v>27119</v>
      </c>
      <c r="B7350" s="7" t="s">
        <v>16910</v>
      </c>
      <c r="C7350" s="7" t="s">
        <v>17662</v>
      </c>
      <c r="D7350" s="199"/>
      <c r="E7350" s="193"/>
      <c r="F7350" s="195" t="s">
        <v>27120</v>
      </c>
      <c r="G7350" s="196">
        <v>2.752075E7</v>
      </c>
      <c r="H7350" s="197">
        <v>0.64</v>
      </c>
      <c r="I7350" s="7" t="s">
        <v>16917</v>
      </c>
      <c r="J7350" s="7" t="s">
        <v>16910</v>
      </c>
      <c r="K7350" s="7" t="s">
        <v>17662</v>
      </c>
      <c r="L7350" s="198" t="s">
        <v>65</v>
      </c>
      <c r="M7350" s="199"/>
      <c r="N7350" s="199"/>
    </row>
    <row r="7351">
      <c r="A7351" s="193" t="s">
        <v>27121</v>
      </c>
      <c r="B7351" s="7" t="s">
        <v>16582</v>
      </c>
      <c r="C7351" s="7" t="s">
        <v>16817</v>
      </c>
      <c r="D7351" s="199"/>
      <c r="E7351" s="193"/>
      <c r="F7351" s="195" t="s">
        <v>27122</v>
      </c>
      <c r="G7351" s="196">
        <v>2.7514071E7</v>
      </c>
      <c r="H7351" s="197">
        <v>3.8</v>
      </c>
      <c r="I7351" s="7" t="s">
        <v>16815</v>
      </c>
      <c r="J7351" s="7" t="s">
        <v>16582</v>
      </c>
      <c r="K7351" s="7" t="s">
        <v>16817</v>
      </c>
      <c r="L7351" s="198" t="s">
        <v>65</v>
      </c>
      <c r="M7351" s="199"/>
      <c r="N7351" s="199"/>
    </row>
    <row r="7352">
      <c r="A7352" s="193" t="s">
        <v>27123</v>
      </c>
      <c r="B7352" s="7" t="s">
        <v>187</v>
      </c>
      <c r="C7352" s="7" t="s">
        <v>16846</v>
      </c>
      <c r="D7352" s="194">
        <v>2021.0</v>
      </c>
      <c r="E7352" s="193"/>
      <c r="F7352" s="195" t="s">
        <v>27124</v>
      </c>
      <c r="G7352" s="196">
        <v>2.7460187E7</v>
      </c>
      <c r="H7352" s="197">
        <v>0.7216</v>
      </c>
      <c r="I7352" s="7" t="s">
        <v>16815</v>
      </c>
      <c r="J7352" s="7" t="s">
        <v>187</v>
      </c>
      <c r="K7352" s="7" t="s">
        <v>16846</v>
      </c>
      <c r="L7352" s="198" t="s">
        <v>65</v>
      </c>
      <c r="M7352" s="194"/>
      <c r="N7352" s="194"/>
    </row>
    <row r="7353">
      <c r="A7353" s="193" t="s">
        <v>27125</v>
      </c>
      <c r="B7353" s="7" t="s">
        <v>16582</v>
      </c>
      <c r="C7353" s="7" t="s">
        <v>17339</v>
      </c>
      <c r="D7353" s="199"/>
      <c r="E7353" s="193"/>
      <c r="F7353" s="195" t="s">
        <v>27126</v>
      </c>
      <c r="G7353" s="196">
        <v>2.742256E7</v>
      </c>
      <c r="H7353" s="197">
        <v>2.665</v>
      </c>
      <c r="I7353" s="7" t="s">
        <v>16815</v>
      </c>
      <c r="J7353" s="7" t="s">
        <v>16582</v>
      </c>
      <c r="K7353" s="7" t="s">
        <v>17339</v>
      </c>
      <c r="L7353" s="198" t="s">
        <v>65</v>
      </c>
      <c r="M7353" s="199"/>
      <c r="N7353" s="199"/>
    </row>
    <row r="7354">
      <c r="A7354" s="193" t="s">
        <v>27127</v>
      </c>
      <c r="B7354" s="7" t="s">
        <v>187</v>
      </c>
      <c r="C7354" s="7" t="s">
        <v>16969</v>
      </c>
      <c r="D7354" s="194">
        <v>2021.0</v>
      </c>
      <c r="E7354" s="193"/>
      <c r="F7354" s="195" t="s">
        <v>27128</v>
      </c>
      <c r="G7354" s="196">
        <v>2.7422055E7</v>
      </c>
      <c r="H7354" s="197">
        <v>0.375</v>
      </c>
      <c r="I7354" s="7" t="s">
        <v>16815</v>
      </c>
      <c r="J7354" s="7" t="s">
        <v>187</v>
      </c>
      <c r="K7354" s="7" t="s">
        <v>16969</v>
      </c>
      <c r="L7354" s="198" t="s">
        <v>65</v>
      </c>
      <c r="M7354" s="194"/>
      <c r="N7354" s="194"/>
    </row>
    <row r="7355">
      <c r="A7355" s="193" t="s">
        <v>27129</v>
      </c>
      <c r="B7355" s="7" t="s">
        <v>16582</v>
      </c>
      <c r="C7355" s="7" t="s">
        <v>16899</v>
      </c>
      <c r="D7355" s="194">
        <v>1981.0</v>
      </c>
      <c r="E7355" s="193"/>
      <c r="F7355" s="195" t="s">
        <v>27130</v>
      </c>
      <c r="G7355" s="196">
        <v>2.741738E7</v>
      </c>
      <c r="H7355" s="197">
        <v>3.04</v>
      </c>
      <c r="I7355" s="7" t="s">
        <v>16815</v>
      </c>
      <c r="J7355" s="7" t="s">
        <v>16582</v>
      </c>
      <c r="K7355" s="7" t="s">
        <v>16899</v>
      </c>
      <c r="L7355" s="198" t="s">
        <v>65</v>
      </c>
      <c r="M7355" s="194"/>
      <c r="N7355" s="194"/>
    </row>
    <row r="7356">
      <c r="A7356" s="193" t="s">
        <v>27131</v>
      </c>
      <c r="B7356" s="7" t="s">
        <v>187</v>
      </c>
      <c r="C7356" s="7" t="s">
        <v>16846</v>
      </c>
      <c r="D7356" s="194">
        <v>2014.0</v>
      </c>
      <c r="E7356" s="193"/>
      <c r="F7356" s="195" t="s">
        <v>27132</v>
      </c>
      <c r="G7356" s="196">
        <v>2.7312351E7</v>
      </c>
      <c r="H7356" s="197">
        <v>1.16</v>
      </c>
      <c r="I7356" s="7" t="s">
        <v>16815</v>
      </c>
      <c r="J7356" s="7" t="s">
        <v>187</v>
      </c>
      <c r="K7356" s="7" t="s">
        <v>16846</v>
      </c>
      <c r="L7356" s="198" t="s">
        <v>65</v>
      </c>
      <c r="M7356" s="194"/>
      <c r="N7356" s="194"/>
    </row>
    <row r="7357">
      <c r="A7357" s="193" t="s">
        <v>27133</v>
      </c>
      <c r="B7357" s="7" t="s">
        <v>187</v>
      </c>
      <c r="C7357" s="7" t="s">
        <v>20543</v>
      </c>
      <c r="D7357" s="199"/>
      <c r="E7357" s="193"/>
      <c r="F7357" s="195" t="s">
        <v>27134</v>
      </c>
      <c r="G7357" s="196">
        <v>2.7235246E7</v>
      </c>
      <c r="H7357" s="197">
        <v>1.62</v>
      </c>
      <c r="I7357" s="7" t="s">
        <v>16815</v>
      </c>
      <c r="J7357" s="7" t="s">
        <v>187</v>
      </c>
      <c r="K7357" s="7" t="s">
        <v>20543</v>
      </c>
      <c r="L7357" s="198" t="s">
        <v>65</v>
      </c>
      <c r="M7357" s="199"/>
      <c r="N7357" s="199"/>
    </row>
    <row r="7358">
      <c r="A7358" s="193" t="s">
        <v>27135</v>
      </c>
      <c r="B7358" s="7" t="s">
        <v>187</v>
      </c>
      <c r="C7358" s="7" t="s">
        <v>16846</v>
      </c>
      <c r="D7358" s="199"/>
      <c r="E7358" s="193"/>
      <c r="F7358" s="195" t="s">
        <v>27136</v>
      </c>
      <c r="G7358" s="196">
        <v>2.7106055E7</v>
      </c>
      <c r="H7358" s="197">
        <v>1.12</v>
      </c>
      <c r="I7358" s="7" t="s">
        <v>16815</v>
      </c>
      <c r="J7358" s="7" t="s">
        <v>187</v>
      </c>
      <c r="K7358" s="7" t="s">
        <v>16846</v>
      </c>
      <c r="L7358" s="198" t="s">
        <v>65</v>
      </c>
      <c r="M7358" s="199"/>
      <c r="N7358" s="199"/>
    </row>
    <row r="7359">
      <c r="A7359" s="193" t="s">
        <v>27137</v>
      </c>
      <c r="B7359" s="7" t="s">
        <v>16926</v>
      </c>
      <c r="C7359" s="7" t="s">
        <v>16957</v>
      </c>
      <c r="D7359" s="199"/>
      <c r="E7359" s="193"/>
      <c r="F7359" s="195" t="s">
        <v>27138</v>
      </c>
      <c r="G7359" s="196">
        <v>2.70396E7</v>
      </c>
      <c r="H7359" s="197">
        <v>1.16</v>
      </c>
      <c r="I7359" s="7" t="s">
        <v>16815</v>
      </c>
      <c r="J7359" s="7" t="s">
        <v>16926</v>
      </c>
      <c r="K7359" s="7" t="s">
        <v>16957</v>
      </c>
      <c r="L7359" s="198" t="s">
        <v>65</v>
      </c>
      <c r="M7359" s="199"/>
      <c r="N7359" s="199"/>
    </row>
    <row r="7360">
      <c r="A7360" s="193" t="s">
        <v>27139</v>
      </c>
      <c r="B7360" s="7" t="s">
        <v>17112</v>
      </c>
      <c r="C7360" s="7" t="s">
        <v>17218</v>
      </c>
      <c r="D7360" s="194">
        <v>2008.0</v>
      </c>
      <c r="E7360" s="193"/>
      <c r="F7360" s="195" t="s">
        <v>27140</v>
      </c>
      <c r="G7360" s="196">
        <v>2.7033793E7</v>
      </c>
      <c r="H7360" s="197">
        <v>0.8549</v>
      </c>
      <c r="I7360" s="7" t="s">
        <v>16815</v>
      </c>
      <c r="J7360" s="7" t="s">
        <v>17112</v>
      </c>
      <c r="K7360" s="7" t="s">
        <v>17218</v>
      </c>
      <c r="L7360" s="198" t="s">
        <v>65</v>
      </c>
      <c r="M7360" s="194"/>
      <c r="N7360" s="194"/>
    </row>
    <row r="7361">
      <c r="A7361" s="193" t="s">
        <v>27141</v>
      </c>
      <c r="B7361" s="7" t="s">
        <v>169</v>
      </c>
      <c r="C7361" s="7" t="s">
        <v>17738</v>
      </c>
      <c r="D7361" s="199"/>
      <c r="E7361" s="193"/>
      <c r="F7361" s="195" t="s">
        <v>27142</v>
      </c>
      <c r="G7361" s="196">
        <v>2.7029446E7</v>
      </c>
      <c r="H7361" s="197">
        <v>2.02</v>
      </c>
      <c r="I7361" s="7" t="s">
        <v>16815</v>
      </c>
      <c r="J7361" s="7" t="s">
        <v>169</v>
      </c>
      <c r="K7361" s="7" t="s">
        <v>17738</v>
      </c>
      <c r="L7361" s="198" t="s">
        <v>65</v>
      </c>
      <c r="M7361" s="199"/>
      <c r="N7361" s="199"/>
    </row>
    <row r="7362">
      <c r="A7362" s="193" t="s">
        <v>27141</v>
      </c>
      <c r="B7362" s="7" t="s">
        <v>17738</v>
      </c>
      <c r="C7362" s="7" t="s">
        <v>169</v>
      </c>
      <c r="D7362" s="199"/>
      <c r="E7362" s="193"/>
      <c r="F7362" s="195" t="s">
        <v>27142</v>
      </c>
      <c r="G7362" s="200">
        <v>2.7029446E7</v>
      </c>
      <c r="H7362" s="197">
        <v>2.02</v>
      </c>
      <c r="I7362" s="7" t="s">
        <v>16815</v>
      </c>
      <c r="J7362" s="7" t="s">
        <v>17738</v>
      </c>
      <c r="K7362" s="7" t="s">
        <v>169</v>
      </c>
      <c r="L7362" s="201" t="s">
        <v>16835</v>
      </c>
      <c r="M7362" s="199"/>
      <c r="N7362" s="199"/>
    </row>
    <row r="7363">
      <c r="A7363" s="193" t="s">
        <v>27143</v>
      </c>
      <c r="B7363" s="7" t="s">
        <v>169</v>
      </c>
      <c r="C7363" s="7" t="s">
        <v>16957</v>
      </c>
      <c r="D7363" s="199"/>
      <c r="E7363" s="193"/>
      <c r="F7363" s="195" t="s">
        <v>27144</v>
      </c>
      <c r="G7363" s="196">
        <v>2.70122E7</v>
      </c>
      <c r="H7363" s="197">
        <v>1.31</v>
      </c>
      <c r="I7363" s="7" t="s">
        <v>16815</v>
      </c>
      <c r="J7363" s="7" t="s">
        <v>169</v>
      </c>
      <c r="K7363" s="7" t="s">
        <v>16957</v>
      </c>
      <c r="L7363" s="198" t="s">
        <v>65</v>
      </c>
      <c r="M7363" s="199"/>
      <c r="N7363" s="199"/>
    </row>
    <row r="7364">
      <c r="A7364" s="193" t="s">
        <v>27145</v>
      </c>
      <c r="B7364" s="7" t="s">
        <v>175</v>
      </c>
      <c r="C7364" s="7" t="s">
        <v>17233</v>
      </c>
      <c r="D7364" s="199"/>
      <c r="E7364" s="193"/>
      <c r="F7364" s="195" t="s">
        <v>27146</v>
      </c>
      <c r="G7364" s="196">
        <v>2.69916E7</v>
      </c>
      <c r="H7364" s="197">
        <v>1.66</v>
      </c>
      <c r="I7364" s="7" t="s">
        <v>18320</v>
      </c>
      <c r="J7364" s="7" t="s">
        <v>175</v>
      </c>
      <c r="K7364" s="7" t="s">
        <v>17233</v>
      </c>
      <c r="L7364" s="198" t="s">
        <v>65</v>
      </c>
      <c r="M7364" s="199"/>
      <c r="N7364" s="199"/>
    </row>
    <row r="7365">
      <c r="A7365" s="193" t="s">
        <v>27147</v>
      </c>
      <c r="B7365" s="7" t="s">
        <v>16582</v>
      </c>
      <c r="C7365" s="7" t="s">
        <v>16930</v>
      </c>
      <c r="D7365" s="194">
        <v>2023.0</v>
      </c>
      <c r="E7365" s="193"/>
      <c r="F7365" s="195" t="s">
        <v>27148</v>
      </c>
      <c r="G7365" s="196">
        <v>2.696625E7</v>
      </c>
      <c r="H7365" s="197">
        <v>1.02</v>
      </c>
      <c r="I7365" s="7" t="s">
        <v>16815</v>
      </c>
      <c r="J7365" s="7" t="s">
        <v>16582</v>
      </c>
      <c r="K7365" s="7" t="s">
        <v>16930</v>
      </c>
      <c r="L7365" s="198" t="s">
        <v>65</v>
      </c>
      <c r="M7365" s="194"/>
      <c r="N7365" s="194"/>
    </row>
    <row r="7366">
      <c r="A7366" s="193" t="s">
        <v>27149</v>
      </c>
      <c r="B7366" s="7" t="s">
        <v>187</v>
      </c>
      <c r="C7366" s="7" t="s">
        <v>16846</v>
      </c>
      <c r="D7366" s="194">
        <v>2017.0</v>
      </c>
      <c r="E7366" s="193"/>
      <c r="F7366" s="195" t="s">
        <v>27150</v>
      </c>
      <c r="G7366" s="196">
        <v>2.6953133E7</v>
      </c>
      <c r="H7366" s="197">
        <v>0.3299</v>
      </c>
      <c r="I7366" s="7" t="s">
        <v>16815</v>
      </c>
      <c r="J7366" s="7" t="s">
        <v>187</v>
      </c>
      <c r="K7366" s="7" t="s">
        <v>16846</v>
      </c>
      <c r="L7366" s="198" t="s">
        <v>65</v>
      </c>
      <c r="M7366" s="194"/>
      <c r="N7366" s="194"/>
    </row>
    <row r="7367">
      <c r="A7367" s="193" t="s">
        <v>27151</v>
      </c>
      <c r="B7367" s="7" t="s">
        <v>169</v>
      </c>
      <c r="C7367" s="7" t="s">
        <v>17022</v>
      </c>
      <c r="D7367" s="194">
        <v>1969.0</v>
      </c>
      <c r="E7367" s="193"/>
      <c r="F7367" s="195" t="s">
        <v>27152</v>
      </c>
      <c r="G7367" s="196">
        <v>2.6932523E7</v>
      </c>
      <c r="H7367" s="197">
        <v>4.41</v>
      </c>
      <c r="I7367" s="7" t="s">
        <v>16815</v>
      </c>
      <c r="J7367" s="7" t="s">
        <v>169</v>
      </c>
      <c r="K7367" s="7" t="s">
        <v>17022</v>
      </c>
      <c r="L7367" s="198" t="s">
        <v>65</v>
      </c>
      <c r="M7367" s="194"/>
      <c r="N7367" s="194"/>
    </row>
    <row r="7368">
      <c r="A7368" s="193" t="s">
        <v>27151</v>
      </c>
      <c r="B7368" s="202" t="s">
        <v>17022</v>
      </c>
      <c r="C7368" s="193" t="s">
        <v>169</v>
      </c>
      <c r="D7368" s="193">
        <v>1969.0</v>
      </c>
      <c r="E7368" s="193"/>
      <c r="F7368" s="203" t="s">
        <v>27152</v>
      </c>
      <c r="G7368" s="200">
        <v>2.6932523E7</v>
      </c>
      <c r="H7368" s="205">
        <v>0.2</v>
      </c>
      <c r="J7368" s="202" t="s">
        <v>17022</v>
      </c>
      <c r="K7368" s="193" t="s">
        <v>169</v>
      </c>
      <c r="L7368" s="193" t="s">
        <v>17471</v>
      </c>
      <c r="M7368" s="193"/>
      <c r="N7368" s="193"/>
    </row>
    <row r="7369">
      <c r="A7369" s="193" t="s">
        <v>27153</v>
      </c>
      <c r="B7369" s="7" t="s">
        <v>16910</v>
      </c>
      <c r="C7369" s="7" t="s">
        <v>16911</v>
      </c>
      <c r="D7369" s="199"/>
      <c r="E7369" s="193"/>
      <c r="F7369" s="195" t="s">
        <v>27154</v>
      </c>
      <c r="G7369" s="196">
        <v>2.6808457E7</v>
      </c>
      <c r="H7369" s="197">
        <v>5.4</v>
      </c>
      <c r="I7369" s="7" t="s">
        <v>18397</v>
      </c>
      <c r="J7369" s="7" t="s">
        <v>16910</v>
      </c>
      <c r="K7369" s="7" t="s">
        <v>16911</v>
      </c>
      <c r="L7369" s="198" t="s">
        <v>65</v>
      </c>
      <c r="M7369" s="199"/>
      <c r="N7369" s="199"/>
    </row>
    <row r="7370">
      <c r="A7370" s="193" t="s">
        <v>27155</v>
      </c>
      <c r="B7370" s="7" t="s">
        <v>187</v>
      </c>
      <c r="C7370" s="7" t="s">
        <v>17122</v>
      </c>
      <c r="D7370" s="199"/>
      <c r="E7370" s="193"/>
      <c r="F7370" s="195" t="s">
        <v>27156</v>
      </c>
      <c r="G7370" s="196">
        <v>2.6794074E7</v>
      </c>
      <c r="H7370" s="197">
        <v>0.3576</v>
      </c>
      <c r="I7370" s="7" t="s">
        <v>16815</v>
      </c>
      <c r="J7370" s="7" t="s">
        <v>187</v>
      </c>
      <c r="K7370" s="7" t="s">
        <v>17122</v>
      </c>
      <c r="L7370" s="198" t="s">
        <v>65</v>
      </c>
      <c r="M7370" s="199"/>
      <c r="N7370" s="199"/>
    </row>
    <row r="7371">
      <c r="A7371" s="193" t="s">
        <v>27157</v>
      </c>
      <c r="B7371" s="7" t="s">
        <v>175</v>
      </c>
      <c r="C7371" s="7" t="s">
        <v>17183</v>
      </c>
      <c r="D7371" s="199"/>
      <c r="E7371" s="193"/>
      <c r="F7371" s="195" t="s">
        <v>27158</v>
      </c>
      <c r="G7371" s="196">
        <v>2.6654077E7</v>
      </c>
      <c r="H7371" s="197">
        <v>0.615</v>
      </c>
      <c r="I7371" s="7" t="s">
        <v>16908</v>
      </c>
      <c r="J7371" s="7" t="s">
        <v>175</v>
      </c>
      <c r="K7371" s="7" t="s">
        <v>17183</v>
      </c>
      <c r="L7371" s="198" t="s">
        <v>65</v>
      </c>
      <c r="M7371" s="199"/>
      <c r="N7371" s="199"/>
    </row>
    <row r="7372">
      <c r="A7372" s="193" t="s">
        <v>27159</v>
      </c>
      <c r="B7372" s="7" t="s">
        <v>158</v>
      </c>
      <c r="C7372" s="7" t="s">
        <v>16864</v>
      </c>
      <c r="D7372" s="199"/>
      <c r="E7372" s="193"/>
      <c r="F7372" s="195" t="s">
        <v>27160</v>
      </c>
      <c r="G7372" s="196">
        <v>2.6614512E7</v>
      </c>
      <c r="H7372" s="197">
        <v>0.3009</v>
      </c>
      <c r="I7372" s="7" t="s">
        <v>17095</v>
      </c>
      <c r="J7372" s="7" t="s">
        <v>158</v>
      </c>
      <c r="K7372" s="7" t="s">
        <v>16864</v>
      </c>
      <c r="L7372" s="198" t="s">
        <v>65</v>
      </c>
      <c r="M7372" s="199"/>
      <c r="N7372" s="199"/>
    </row>
    <row r="7373">
      <c r="A7373" s="193" t="s">
        <v>27159</v>
      </c>
      <c r="B7373" s="202" t="s">
        <v>16864</v>
      </c>
      <c r="C7373" s="193" t="s">
        <v>158</v>
      </c>
      <c r="D7373" s="206"/>
      <c r="E7373" s="193"/>
      <c r="F7373" s="203" t="s">
        <v>27160</v>
      </c>
      <c r="G7373" s="200">
        <v>2.6614512E7</v>
      </c>
      <c r="H7373" s="205">
        <v>4.41</v>
      </c>
      <c r="J7373" s="202" t="s">
        <v>16864</v>
      </c>
      <c r="K7373" s="193" t="s">
        <v>158</v>
      </c>
      <c r="L7373" s="193" t="s">
        <v>17471</v>
      </c>
      <c r="M7373" s="206"/>
      <c r="N7373" s="206"/>
    </row>
    <row r="7374">
      <c r="A7374" s="193" t="s">
        <v>27161</v>
      </c>
      <c r="B7374" s="7" t="s">
        <v>16582</v>
      </c>
      <c r="C7374" s="7" t="s">
        <v>16930</v>
      </c>
      <c r="D7374" s="194">
        <v>2021.0</v>
      </c>
      <c r="E7374" s="193"/>
      <c r="F7374" s="195" t="s">
        <v>27162</v>
      </c>
      <c r="G7374" s="196">
        <v>2.6522772E7</v>
      </c>
      <c r="H7374" s="197">
        <v>0.521</v>
      </c>
      <c r="I7374" s="7" t="s">
        <v>16815</v>
      </c>
      <c r="J7374" s="7" t="s">
        <v>16582</v>
      </c>
      <c r="K7374" s="7" t="s">
        <v>16930</v>
      </c>
      <c r="L7374" s="198" t="s">
        <v>65</v>
      </c>
      <c r="M7374" s="194"/>
      <c r="N7374" s="194"/>
    </row>
    <row r="7375">
      <c r="A7375" s="193" t="s">
        <v>27163</v>
      </c>
      <c r="B7375" s="7" t="s">
        <v>16582</v>
      </c>
      <c r="C7375" s="7" t="s">
        <v>16817</v>
      </c>
      <c r="D7375" s="194">
        <v>2016.0</v>
      </c>
      <c r="E7375" s="193"/>
      <c r="F7375" s="195" t="s">
        <v>27164</v>
      </c>
      <c r="G7375" s="196">
        <v>2.6412414E7</v>
      </c>
      <c r="H7375" s="197">
        <v>1.84</v>
      </c>
      <c r="I7375" s="7" t="s">
        <v>16815</v>
      </c>
      <c r="J7375" s="7" t="s">
        <v>16582</v>
      </c>
      <c r="K7375" s="7" t="s">
        <v>16817</v>
      </c>
      <c r="L7375" s="198" t="s">
        <v>65</v>
      </c>
      <c r="M7375" s="194"/>
      <c r="N7375" s="194"/>
    </row>
    <row r="7376">
      <c r="A7376" s="193" t="s">
        <v>27163</v>
      </c>
      <c r="B7376" s="202" t="s">
        <v>16817</v>
      </c>
      <c r="C7376" s="193" t="s">
        <v>16582</v>
      </c>
      <c r="D7376" s="193">
        <v>2016.0</v>
      </c>
      <c r="E7376" s="193"/>
      <c r="F7376" s="203" t="s">
        <v>27164</v>
      </c>
      <c r="G7376" s="200">
        <v>2.6412414E7</v>
      </c>
      <c r="H7376" s="205">
        <v>0.3009</v>
      </c>
      <c r="J7376" s="202" t="s">
        <v>16817</v>
      </c>
      <c r="K7376" s="193" t="s">
        <v>16582</v>
      </c>
      <c r="L7376" s="193" t="s">
        <v>17471</v>
      </c>
      <c r="M7376" s="193"/>
      <c r="N7376" s="193"/>
    </row>
    <row r="7377">
      <c r="A7377" s="193" t="s">
        <v>27165</v>
      </c>
      <c r="B7377" s="7" t="s">
        <v>187</v>
      </c>
      <c r="C7377" s="7" t="s">
        <v>16969</v>
      </c>
      <c r="D7377" s="194">
        <v>2016.0</v>
      </c>
      <c r="E7377" s="193"/>
      <c r="F7377" s="195" t="s">
        <v>27166</v>
      </c>
      <c r="G7377" s="196">
        <v>2.630595E7</v>
      </c>
      <c r="H7377" s="197">
        <v>0.2361</v>
      </c>
      <c r="I7377" s="7" t="s">
        <v>16815</v>
      </c>
      <c r="J7377" s="7" t="s">
        <v>187</v>
      </c>
      <c r="K7377" s="7" t="s">
        <v>16969</v>
      </c>
      <c r="L7377" s="198" t="s">
        <v>65</v>
      </c>
      <c r="M7377" s="194"/>
      <c r="N7377" s="194"/>
    </row>
    <row r="7378">
      <c r="A7378" s="193" t="s">
        <v>27167</v>
      </c>
      <c r="B7378" s="7" t="s">
        <v>187</v>
      </c>
      <c r="C7378" s="7" t="s">
        <v>16846</v>
      </c>
      <c r="D7378" s="194">
        <v>2018.0</v>
      </c>
      <c r="E7378" s="193"/>
      <c r="F7378" s="195" t="s">
        <v>27168</v>
      </c>
      <c r="G7378" s="196">
        <v>2.6282264E7</v>
      </c>
      <c r="H7378" s="197">
        <v>1.8</v>
      </c>
      <c r="I7378" s="7" t="s">
        <v>16815</v>
      </c>
      <c r="J7378" s="7" t="s">
        <v>187</v>
      </c>
      <c r="K7378" s="7" t="s">
        <v>16846</v>
      </c>
      <c r="L7378" s="198" t="s">
        <v>65</v>
      </c>
      <c r="M7378" s="194"/>
      <c r="N7378" s="194"/>
    </row>
    <row r="7379">
      <c r="A7379" s="193" t="s">
        <v>27169</v>
      </c>
      <c r="B7379" s="7" t="s">
        <v>187</v>
      </c>
      <c r="C7379" s="7" t="s">
        <v>17509</v>
      </c>
      <c r="D7379" s="199"/>
      <c r="E7379" s="193"/>
      <c r="F7379" s="195" t="s">
        <v>27170</v>
      </c>
      <c r="G7379" s="196">
        <v>2.6158046E7</v>
      </c>
      <c r="H7379" s="197">
        <v>1.24</v>
      </c>
      <c r="I7379" s="7" t="s">
        <v>16815</v>
      </c>
      <c r="J7379" s="7" t="s">
        <v>187</v>
      </c>
      <c r="K7379" s="7" t="s">
        <v>17509</v>
      </c>
      <c r="L7379" s="198" t="s">
        <v>65</v>
      </c>
      <c r="M7379" s="199"/>
      <c r="N7379" s="199"/>
    </row>
    <row r="7380">
      <c r="A7380" s="193" t="s">
        <v>27171</v>
      </c>
      <c r="B7380" s="7" t="s">
        <v>187</v>
      </c>
      <c r="C7380" s="7" t="s">
        <v>16846</v>
      </c>
      <c r="D7380" s="194">
        <v>2021.0</v>
      </c>
      <c r="E7380" s="193"/>
      <c r="F7380" s="195" t="s">
        <v>27172</v>
      </c>
      <c r="G7380" s="196">
        <v>2.6114588E7</v>
      </c>
      <c r="H7380" s="197">
        <v>0.903</v>
      </c>
      <c r="I7380" s="7" t="s">
        <v>16815</v>
      </c>
      <c r="J7380" s="7" t="s">
        <v>187</v>
      </c>
      <c r="K7380" s="7" t="s">
        <v>16846</v>
      </c>
      <c r="L7380" s="198" t="s">
        <v>65</v>
      </c>
      <c r="M7380" s="194"/>
      <c r="N7380" s="194"/>
    </row>
    <row r="7381">
      <c r="A7381" s="193" t="s">
        <v>27173</v>
      </c>
      <c r="B7381" s="7" t="s">
        <v>16838</v>
      </c>
      <c r="C7381" s="7" t="s">
        <v>18219</v>
      </c>
      <c r="D7381" s="194">
        <v>2022.0</v>
      </c>
      <c r="E7381" s="193"/>
      <c r="F7381" s="195" t="s">
        <v>27174</v>
      </c>
      <c r="G7381" s="196">
        <v>2.6094257E7</v>
      </c>
      <c r="H7381" s="197">
        <v>0.3855</v>
      </c>
      <c r="I7381" s="7" t="s">
        <v>16815</v>
      </c>
      <c r="J7381" s="7" t="s">
        <v>16838</v>
      </c>
      <c r="K7381" s="7" t="s">
        <v>18219</v>
      </c>
      <c r="L7381" s="198" t="s">
        <v>65</v>
      </c>
      <c r="M7381" s="194"/>
      <c r="N7381" s="194"/>
    </row>
    <row r="7382">
      <c r="A7382" s="193" t="s">
        <v>27173</v>
      </c>
      <c r="B7382" s="7" t="s">
        <v>18219</v>
      </c>
      <c r="C7382" s="7" t="s">
        <v>16838</v>
      </c>
      <c r="D7382" s="194">
        <v>2022.0</v>
      </c>
      <c r="E7382" s="193"/>
      <c r="F7382" s="195" t="s">
        <v>27174</v>
      </c>
      <c r="G7382" s="200">
        <v>2.6094257E7</v>
      </c>
      <c r="H7382" s="197">
        <v>0.3855</v>
      </c>
      <c r="I7382" s="7" t="s">
        <v>16815</v>
      </c>
      <c r="J7382" s="7" t="s">
        <v>18219</v>
      </c>
      <c r="K7382" s="7" t="s">
        <v>16838</v>
      </c>
      <c r="L7382" s="201" t="s">
        <v>16835</v>
      </c>
      <c r="M7382" s="194"/>
      <c r="N7382" s="194"/>
    </row>
    <row r="7383">
      <c r="A7383" s="193" t="s">
        <v>27175</v>
      </c>
      <c r="B7383" s="7" t="s">
        <v>16910</v>
      </c>
      <c r="C7383" s="7" t="s">
        <v>17119</v>
      </c>
      <c r="D7383" s="194">
        <v>2023.0</v>
      </c>
      <c r="E7383" s="193"/>
      <c r="F7383" s="195" t="s">
        <v>27176</v>
      </c>
      <c r="G7383" s="196">
        <v>2.6019E7</v>
      </c>
      <c r="H7383" s="197">
        <v>2.1</v>
      </c>
      <c r="I7383" s="7" t="s">
        <v>16856</v>
      </c>
      <c r="J7383" s="7" t="s">
        <v>16910</v>
      </c>
      <c r="K7383" s="7" t="s">
        <v>17119</v>
      </c>
      <c r="L7383" s="198" t="s">
        <v>65</v>
      </c>
      <c r="M7383" s="194"/>
      <c r="N7383" s="194"/>
    </row>
    <row r="7384">
      <c r="A7384" s="193" t="s">
        <v>27177</v>
      </c>
      <c r="B7384" s="7" t="s">
        <v>187</v>
      </c>
      <c r="C7384" s="7" t="s">
        <v>17564</v>
      </c>
      <c r="D7384" s="199"/>
      <c r="E7384" s="193"/>
      <c r="F7384" s="195" t="s">
        <v>27178</v>
      </c>
      <c r="G7384" s="196">
        <v>2.5834504E7</v>
      </c>
      <c r="H7384" s="197">
        <v>1.7928</v>
      </c>
      <c r="I7384" s="7" t="s">
        <v>16815</v>
      </c>
      <c r="J7384" s="7" t="s">
        <v>187</v>
      </c>
      <c r="K7384" s="7" t="s">
        <v>17564</v>
      </c>
      <c r="L7384" s="198" t="s">
        <v>65</v>
      </c>
      <c r="M7384" s="199"/>
      <c r="N7384" s="199"/>
    </row>
    <row r="7385">
      <c r="A7385" s="193" t="s">
        <v>27179</v>
      </c>
      <c r="B7385" s="7" t="s">
        <v>187</v>
      </c>
      <c r="C7385" s="7" t="s">
        <v>16846</v>
      </c>
      <c r="D7385" s="199"/>
      <c r="E7385" s="193"/>
      <c r="F7385" s="195" t="s">
        <v>27180</v>
      </c>
      <c r="G7385" s="196">
        <v>2.5734242E7</v>
      </c>
      <c r="H7385" s="197">
        <v>0.9078</v>
      </c>
      <c r="I7385" s="7" t="s">
        <v>16815</v>
      </c>
      <c r="J7385" s="7" t="s">
        <v>187</v>
      </c>
      <c r="K7385" s="7" t="s">
        <v>16846</v>
      </c>
      <c r="L7385" s="198" t="s">
        <v>65</v>
      </c>
      <c r="M7385" s="199"/>
      <c r="N7385" s="199"/>
    </row>
    <row r="7386">
      <c r="A7386" s="193" t="s">
        <v>27181</v>
      </c>
      <c r="B7386" s="7" t="s">
        <v>187</v>
      </c>
      <c r="C7386" s="7" t="s">
        <v>16846</v>
      </c>
      <c r="D7386" s="194">
        <v>2012.0</v>
      </c>
      <c r="E7386" s="193"/>
      <c r="F7386" s="195" t="s">
        <v>27182</v>
      </c>
      <c r="G7386" s="196">
        <v>2.5719489E7</v>
      </c>
      <c r="H7386" s="197">
        <v>1.32</v>
      </c>
      <c r="I7386" s="7" t="s">
        <v>16815</v>
      </c>
      <c r="J7386" s="7" t="s">
        <v>187</v>
      </c>
      <c r="K7386" s="7" t="s">
        <v>16846</v>
      </c>
      <c r="L7386" s="198" t="s">
        <v>65</v>
      </c>
      <c r="M7386" s="194"/>
      <c r="N7386" s="194"/>
    </row>
    <row r="7387">
      <c r="A7387" s="193" t="s">
        <v>27183</v>
      </c>
      <c r="B7387" s="7" t="s">
        <v>16582</v>
      </c>
      <c r="C7387" s="7" t="s">
        <v>16899</v>
      </c>
      <c r="D7387" s="199"/>
      <c r="E7387" s="193"/>
      <c r="F7387" s="195" t="s">
        <v>27184</v>
      </c>
      <c r="G7387" s="196">
        <v>2.5702101E7</v>
      </c>
      <c r="H7387" s="197">
        <v>9.39</v>
      </c>
      <c r="I7387" s="7" t="s">
        <v>16815</v>
      </c>
      <c r="J7387" s="7" t="s">
        <v>16582</v>
      </c>
      <c r="K7387" s="7" t="s">
        <v>16899</v>
      </c>
      <c r="L7387" s="198" t="s">
        <v>65</v>
      </c>
      <c r="M7387" s="199"/>
      <c r="N7387" s="199"/>
    </row>
    <row r="7388">
      <c r="A7388" s="193" t="s">
        <v>27185</v>
      </c>
      <c r="B7388" s="7" t="s">
        <v>187</v>
      </c>
      <c r="C7388" s="7" t="s">
        <v>16846</v>
      </c>
      <c r="D7388" s="199"/>
      <c r="E7388" s="193"/>
      <c r="F7388" s="195" t="s">
        <v>27186</v>
      </c>
      <c r="G7388" s="196">
        <v>2.5680237E7</v>
      </c>
      <c r="H7388" s="197">
        <v>1.33</v>
      </c>
      <c r="I7388" s="7" t="s">
        <v>16815</v>
      </c>
      <c r="J7388" s="7" t="s">
        <v>187</v>
      </c>
      <c r="K7388" s="7" t="s">
        <v>16846</v>
      </c>
      <c r="L7388" s="198" t="s">
        <v>65</v>
      </c>
      <c r="M7388" s="199"/>
      <c r="N7388" s="199"/>
    </row>
    <row r="7389">
      <c r="A7389" s="193" t="s">
        <v>27187</v>
      </c>
      <c r="B7389" s="7" t="s">
        <v>175</v>
      </c>
      <c r="C7389" s="7" t="s">
        <v>19006</v>
      </c>
      <c r="D7389" s="199"/>
      <c r="E7389" s="193"/>
      <c r="F7389" s="195" t="s">
        <v>27188</v>
      </c>
      <c r="G7389" s="196">
        <v>2.5623884E7</v>
      </c>
      <c r="H7389" s="197">
        <v>0.71</v>
      </c>
      <c r="I7389" s="7" t="s">
        <v>174</v>
      </c>
      <c r="J7389" s="7" t="s">
        <v>175</v>
      </c>
      <c r="K7389" s="7" t="s">
        <v>19006</v>
      </c>
      <c r="L7389" s="198" t="s">
        <v>65</v>
      </c>
      <c r="M7389" s="199"/>
      <c r="N7389" s="199"/>
    </row>
    <row r="7390">
      <c r="A7390" s="193" t="s">
        <v>27187</v>
      </c>
      <c r="B7390" s="7" t="s">
        <v>19006</v>
      </c>
      <c r="C7390" s="7" t="s">
        <v>175</v>
      </c>
      <c r="D7390" s="199"/>
      <c r="E7390" s="193"/>
      <c r="F7390" s="195" t="s">
        <v>27188</v>
      </c>
      <c r="G7390" s="200">
        <v>2.5623884E7</v>
      </c>
      <c r="H7390" s="197">
        <v>0.71</v>
      </c>
      <c r="I7390" s="7" t="s">
        <v>16815</v>
      </c>
      <c r="J7390" s="7" t="s">
        <v>19006</v>
      </c>
      <c r="K7390" s="7" t="s">
        <v>175</v>
      </c>
      <c r="L7390" s="201" t="s">
        <v>16835</v>
      </c>
      <c r="M7390" s="199"/>
      <c r="N7390" s="199"/>
    </row>
    <row r="7391">
      <c r="A7391" s="193" t="s">
        <v>27189</v>
      </c>
      <c r="B7391" s="7" t="s">
        <v>187</v>
      </c>
      <c r="C7391" s="7" t="s">
        <v>18005</v>
      </c>
      <c r="D7391" s="199"/>
      <c r="E7391" s="193"/>
      <c r="F7391" s="195" t="s">
        <v>27190</v>
      </c>
      <c r="G7391" s="196">
        <v>2.5528885E7</v>
      </c>
      <c r="H7391" s="197">
        <v>2.27</v>
      </c>
      <c r="I7391" s="7" t="s">
        <v>16815</v>
      </c>
      <c r="J7391" s="7" t="s">
        <v>187</v>
      </c>
      <c r="K7391" s="7" t="s">
        <v>18005</v>
      </c>
      <c r="L7391" s="198" t="s">
        <v>65</v>
      </c>
      <c r="M7391" s="199"/>
      <c r="N7391" s="199"/>
    </row>
    <row r="7392">
      <c r="A7392" s="193" t="s">
        <v>27191</v>
      </c>
      <c r="B7392" s="7" t="s">
        <v>16910</v>
      </c>
      <c r="C7392" s="7" t="s">
        <v>17502</v>
      </c>
      <c r="D7392" s="199"/>
      <c r="E7392" s="193"/>
      <c r="F7392" s="195" t="s">
        <v>27192</v>
      </c>
      <c r="G7392" s="196">
        <v>2.5492338E7</v>
      </c>
      <c r="H7392" s="197">
        <v>4.045</v>
      </c>
      <c r="I7392" s="7" t="s">
        <v>16917</v>
      </c>
      <c r="J7392" s="7" t="s">
        <v>16910</v>
      </c>
      <c r="K7392" s="7" t="s">
        <v>17502</v>
      </c>
      <c r="L7392" s="198" t="s">
        <v>65</v>
      </c>
      <c r="M7392" s="199"/>
      <c r="N7392" s="199"/>
    </row>
    <row r="7393">
      <c r="A7393" s="193" t="s">
        <v>27193</v>
      </c>
      <c r="B7393" s="7" t="s">
        <v>16582</v>
      </c>
      <c r="C7393" s="7" t="s">
        <v>16899</v>
      </c>
      <c r="D7393" s="194">
        <v>1998.0</v>
      </c>
      <c r="E7393" s="193"/>
      <c r="F7393" s="195" t="s">
        <v>27194</v>
      </c>
      <c r="G7393" s="196">
        <v>2.548135E7</v>
      </c>
      <c r="H7393" s="197">
        <v>6.22</v>
      </c>
      <c r="I7393" s="7" t="s">
        <v>16815</v>
      </c>
      <c r="J7393" s="7" t="s">
        <v>16582</v>
      </c>
      <c r="K7393" s="7" t="s">
        <v>16899</v>
      </c>
      <c r="L7393" s="198" t="s">
        <v>65</v>
      </c>
      <c r="M7393" s="194"/>
      <c r="N7393" s="194"/>
    </row>
    <row r="7394">
      <c r="A7394" s="193" t="s">
        <v>27193</v>
      </c>
      <c r="B7394" s="202" t="s">
        <v>16899</v>
      </c>
      <c r="C7394" s="193" t="s">
        <v>16582</v>
      </c>
      <c r="D7394" s="193">
        <v>1998.0</v>
      </c>
      <c r="E7394" s="193"/>
      <c r="F7394" s="203" t="s">
        <v>27194</v>
      </c>
      <c r="G7394" s="200">
        <v>2.548135E7</v>
      </c>
      <c r="H7394" s="205">
        <v>1.84</v>
      </c>
      <c r="J7394" s="202" t="s">
        <v>16899</v>
      </c>
      <c r="K7394" s="193" t="s">
        <v>16582</v>
      </c>
      <c r="L7394" s="193" t="s">
        <v>17471</v>
      </c>
      <c r="M7394" s="193"/>
      <c r="N7394" s="193"/>
    </row>
    <row r="7395">
      <c r="A7395" s="193" t="s">
        <v>27195</v>
      </c>
      <c r="B7395" s="7" t="s">
        <v>187</v>
      </c>
      <c r="C7395" s="7" t="s">
        <v>16846</v>
      </c>
      <c r="D7395" s="194">
        <v>2009.0</v>
      </c>
      <c r="E7395" s="193"/>
      <c r="F7395" s="195" t="s">
        <v>27196</v>
      </c>
      <c r="G7395" s="196">
        <v>2.5437049E7</v>
      </c>
      <c r="H7395" s="197">
        <v>1.77</v>
      </c>
      <c r="I7395" s="7" t="s">
        <v>16815</v>
      </c>
      <c r="J7395" s="7" t="s">
        <v>187</v>
      </c>
      <c r="K7395" s="7" t="s">
        <v>16846</v>
      </c>
      <c r="L7395" s="198" t="s">
        <v>65</v>
      </c>
      <c r="M7395" s="194"/>
      <c r="N7395" s="194"/>
    </row>
    <row r="7396">
      <c r="A7396" s="209" t="s">
        <v>27197</v>
      </c>
      <c r="B7396" s="210"/>
      <c r="C7396" s="210"/>
      <c r="D7396" s="211">
        <v>2023.0</v>
      </c>
      <c r="E7396" s="209"/>
      <c r="F7396" s="212" t="s">
        <v>27198</v>
      </c>
      <c r="G7396" s="213">
        <v>2.538E7</v>
      </c>
      <c r="H7396" s="214">
        <v>1.41</v>
      </c>
      <c r="I7396" s="215" t="s">
        <v>16815</v>
      </c>
      <c r="J7396" s="210"/>
      <c r="K7396" s="210"/>
      <c r="L7396" s="198" t="s">
        <v>65</v>
      </c>
      <c r="M7396" s="211"/>
      <c r="N7396" s="211"/>
    </row>
    <row r="7397">
      <c r="A7397" s="193" t="s">
        <v>27199</v>
      </c>
      <c r="B7397" s="7" t="s">
        <v>17629</v>
      </c>
      <c r="C7397" s="7" t="s">
        <v>16899</v>
      </c>
      <c r="D7397" s="194">
        <v>2018.0</v>
      </c>
      <c r="E7397" s="193"/>
      <c r="F7397" s="195" t="s">
        <v>27200</v>
      </c>
      <c r="G7397" s="196">
        <v>2.5193002E7</v>
      </c>
      <c r="H7397" s="197">
        <v>0.42</v>
      </c>
      <c r="I7397" s="7" t="s">
        <v>16815</v>
      </c>
      <c r="J7397" s="7" t="s">
        <v>17629</v>
      </c>
      <c r="K7397" s="7" t="s">
        <v>16899</v>
      </c>
      <c r="L7397" s="198" t="s">
        <v>65</v>
      </c>
      <c r="M7397" s="194"/>
      <c r="N7397" s="194"/>
    </row>
    <row r="7398">
      <c r="A7398" s="193" t="s">
        <v>27201</v>
      </c>
      <c r="B7398" s="7" t="s">
        <v>16910</v>
      </c>
      <c r="C7398" s="7" t="s">
        <v>17013</v>
      </c>
      <c r="D7398" s="199"/>
      <c r="E7398" s="193"/>
      <c r="F7398" s="195" t="s">
        <v>27202</v>
      </c>
      <c r="G7398" s="196">
        <v>2.5118642E7</v>
      </c>
      <c r="H7398" s="197">
        <v>2.72</v>
      </c>
      <c r="I7398" s="7" t="s">
        <v>17650</v>
      </c>
      <c r="J7398" s="7" t="s">
        <v>16910</v>
      </c>
      <c r="K7398" s="7" t="s">
        <v>17013</v>
      </c>
      <c r="L7398" s="198" t="s">
        <v>65</v>
      </c>
      <c r="M7398" s="199"/>
      <c r="N7398" s="199"/>
    </row>
    <row r="7399">
      <c r="A7399" s="193" t="s">
        <v>27203</v>
      </c>
      <c r="B7399" s="7" t="s">
        <v>158</v>
      </c>
      <c r="C7399" s="7" t="s">
        <v>16864</v>
      </c>
      <c r="D7399" s="199"/>
      <c r="E7399" s="193"/>
      <c r="F7399" s="195" t="s">
        <v>27204</v>
      </c>
      <c r="G7399" s="196">
        <v>2.50929E7</v>
      </c>
      <c r="H7399" s="197">
        <v>1.47</v>
      </c>
      <c r="I7399" s="7" t="s">
        <v>17316</v>
      </c>
      <c r="J7399" s="7" t="s">
        <v>158</v>
      </c>
      <c r="K7399" s="7" t="s">
        <v>16864</v>
      </c>
      <c r="L7399" s="198" t="s">
        <v>65</v>
      </c>
      <c r="M7399" s="199"/>
      <c r="N7399" s="199"/>
    </row>
    <row r="7400">
      <c r="A7400" s="193" t="s">
        <v>27205</v>
      </c>
      <c r="B7400" s="7" t="s">
        <v>187</v>
      </c>
      <c r="C7400" s="7" t="s">
        <v>16858</v>
      </c>
      <c r="D7400" s="199"/>
      <c r="E7400" s="193"/>
      <c r="F7400" s="195" t="s">
        <v>27206</v>
      </c>
      <c r="G7400" s="196">
        <v>2.5046828E7</v>
      </c>
      <c r="H7400" s="197">
        <v>0.6057</v>
      </c>
      <c r="I7400" s="7" t="s">
        <v>16815</v>
      </c>
      <c r="J7400" s="7" t="s">
        <v>187</v>
      </c>
      <c r="K7400" s="7" t="s">
        <v>16858</v>
      </c>
      <c r="L7400" s="198" t="s">
        <v>65</v>
      </c>
      <c r="M7400" s="199"/>
      <c r="N7400" s="199"/>
    </row>
    <row r="7401">
      <c r="A7401" s="193" t="s">
        <v>27207</v>
      </c>
      <c r="D7401" s="199"/>
      <c r="E7401" s="193"/>
      <c r="F7401" s="195" t="s">
        <v>27208</v>
      </c>
      <c r="G7401" s="196">
        <v>2.4898342E7</v>
      </c>
      <c r="H7401" s="197">
        <v>0.085</v>
      </c>
      <c r="I7401" s="7" t="s">
        <v>16815</v>
      </c>
      <c r="L7401" s="198" t="s">
        <v>65</v>
      </c>
      <c r="M7401" s="199"/>
      <c r="N7401" s="199"/>
    </row>
    <row r="7402">
      <c r="A7402" s="193" t="s">
        <v>27209</v>
      </c>
      <c r="B7402" s="7" t="s">
        <v>175</v>
      </c>
      <c r="C7402" s="7" t="s">
        <v>17069</v>
      </c>
      <c r="D7402" s="194">
        <v>2020.0</v>
      </c>
      <c r="E7402" s="193"/>
      <c r="F7402" s="195" t="s">
        <v>27210</v>
      </c>
      <c r="G7402" s="196">
        <v>2.4857477E7</v>
      </c>
      <c r="H7402" s="197">
        <v>1.35</v>
      </c>
      <c r="I7402" s="7" t="s">
        <v>174</v>
      </c>
      <c r="J7402" s="7" t="s">
        <v>175</v>
      </c>
      <c r="K7402" s="7" t="s">
        <v>17069</v>
      </c>
      <c r="L7402" s="198" t="s">
        <v>65</v>
      </c>
      <c r="M7402" s="194"/>
      <c r="N7402" s="194"/>
    </row>
    <row r="7403">
      <c r="A7403" s="193" t="s">
        <v>27211</v>
      </c>
      <c r="B7403" s="7" t="s">
        <v>16582</v>
      </c>
      <c r="C7403" s="7" t="s">
        <v>16817</v>
      </c>
      <c r="D7403" s="194">
        <v>2017.0</v>
      </c>
      <c r="E7403" s="193"/>
      <c r="F7403" s="195" t="s">
        <v>27212</v>
      </c>
      <c r="G7403" s="196">
        <v>2.4822645E7</v>
      </c>
      <c r="H7403" s="197">
        <v>2.48</v>
      </c>
      <c r="I7403" s="7" t="s">
        <v>16815</v>
      </c>
      <c r="J7403" s="7" t="s">
        <v>16582</v>
      </c>
      <c r="K7403" s="7" t="s">
        <v>16817</v>
      </c>
      <c r="L7403" s="198" t="s">
        <v>65</v>
      </c>
      <c r="M7403" s="194"/>
      <c r="N7403" s="194"/>
    </row>
    <row r="7404">
      <c r="A7404" s="193" t="s">
        <v>27213</v>
      </c>
      <c r="B7404" s="7" t="s">
        <v>16582</v>
      </c>
      <c r="C7404" s="7" t="s">
        <v>16817</v>
      </c>
      <c r="D7404" s="194">
        <v>2018.0</v>
      </c>
      <c r="E7404" s="193"/>
      <c r="F7404" s="195" t="s">
        <v>27214</v>
      </c>
      <c r="G7404" s="196">
        <v>2.4818538E7</v>
      </c>
      <c r="H7404" s="197">
        <v>0.97</v>
      </c>
      <c r="I7404" s="7" t="s">
        <v>16815</v>
      </c>
      <c r="J7404" s="7" t="s">
        <v>16582</v>
      </c>
      <c r="K7404" s="7" t="s">
        <v>16817</v>
      </c>
      <c r="L7404" s="198" t="s">
        <v>65</v>
      </c>
      <c r="M7404" s="194"/>
      <c r="N7404" s="194"/>
    </row>
    <row r="7405">
      <c r="A7405" s="193" t="s">
        <v>27215</v>
      </c>
      <c r="B7405" s="7" t="s">
        <v>158</v>
      </c>
      <c r="C7405" s="7" t="s">
        <v>16864</v>
      </c>
      <c r="D7405" s="199"/>
      <c r="E7405" s="193"/>
      <c r="F7405" s="195" t="s">
        <v>27216</v>
      </c>
      <c r="G7405" s="196">
        <v>2.4767111E7</v>
      </c>
      <c r="H7405" s="197">
        <v>13.29</v>
      </c>
      <c r="I7405" s="7" t="s">
        <v>17098</v>
      </c>
      <c r="J7405" s="7" t="s">
        <v>158</v>
      </c>
      <c r="K7405" s="7" t="s">
        <v>16864</v>
      </c>
      <c r="L7405" s="198" t="s">
        <v>65</v>
      </c>
      <c r="M7405" s="199"/>
      <c r="N7405" s="199"/>
    </row>
    <row r="7406">
      <c r="A7406" s="193" t="s">
        <v>27215</v>
      </c>
      <c r="B7406" s="7" t="s">
        <v>16864</v>
      </c>
      <c r="C7406" s="7" t="s">
        <v>158</v>
      </c>
      <c r="D7406" s="199"/>
      <c r="E7406" s="193"/>
      <c r="F7406" s="195" t="s">
        <v>27216</v>
      </c>
      <c r="G7406" s="200">
        <v>2.4767111E7</v>
      </c>
      <c r="H7406" s="197">
        <v>13.29</v>
      </c>
      <c r="I7406" s="7" t="s">
        <v>16815</v>
      </c>
      <c r="J7406" s="7" t="s">
        <v>16864</v>
      </c>
      <c r="K7406" s="7" t="s">
        <v>158</v>
      </c>
      <c r="L7406" s="201" t="s">
        <v>16835</v>
      </c>
      <c r="M7406" s="199"/>
      <c r="N7406" s="199"/>
    </row>
    <row r="7407">
      <c r="A7407" s="193" t="s">
        <v>27217</v>
      </c>
      <c r="B7407" s="7" t="s">
        <v>158</v>
      </c>
      <c r="C7407" s="7" t="s">
        <v>16864</v>
      </c>
      <c r="D7407" s="194">
        <v>2003.0</v>
      </c>
      <c r="E7407" s="193"/>
      <c r="F7407" s="195" t="s">
        <v>27218</v>
      </c>
      <c r="G7407" s="196">
        <v>2.4685785E7</v>
      </c>
      <c r="H7407" s="197">
        <v>11.73</v>
      </c>
      <c r="I7407" s="7" t="s">
        <v>17098</v>
      </c>
      <c r="J7407" s="7" t="s">
        <v>158</v>
      </c>
      <c r="K7407" s="7" t="s">
        <v>16864</v>
      </c>
      <c r="L7407" s="198" t="s">
        <v>65</v>
      </c>
      <c r="M7407" s="194"/>
      <c r="N7407" s="194"/>
    </row>
    <row r="7408">
      <c r="A7408" s="193" t="s">
        <v>27217</v>
      </c>
      <c r="B7408" s="202" t="s">
        <v>16864</v>
      </c>
      <c r="C7408" s="193" t="s">
        <v>158</v>
      </c>
      <c r="D7408" s="193">
        <v>2003.0</v>
      </c>
      <c r="E7408" s="193"/>
      <c r="F7408" s="203" t="s">
        <v>27218</v>
      </c>
      <c r="G7408" s="200">
        <v>2.4685785E7</v>
      </c>
      <c r="H7408" s="205">
        <v>6.22</v>
      </c>
      <c r="J7408" s="202" t="s">
        <v>16864</v>
      </c>
      <c r="K7408" s="193" t="s">
        <v>158</v>
      </c>
      <c r="L7408" s="193" t="s">
        <v>17471</v>
      </c>
      <c r="M7408" s="193"/>
      <c r="N7408" s="193"/>
    </row>
    <row r="7409">
      <c r="A7409" s="193" t="s">
        <v>27219</v>
      </c>
      <c r="B7409" s="7" t="s">
        <v>158</v>
      </c>
      <c r="C7409" s="7" t="s">
        <v>16864</v>
      </c>
      <c r="D7409" s="194">
        <v>2003.0</v>
      </c>
      <c r="E7409" s="193"/>
      <c r="F7409" s="195" t="s">
        <v>27220</v>
      </c>
      <c r="G7409" s="196">
        <v>2.4581419E7</v>
      </c>
      <c r="H7409" s="197">
        <v>12.4499</v>
      </c>
      <c r="I7409" s="7" t="s">
        <v>16897</v>
      </c>
      <c r="J7409" s="7" t="s">
        <v>158</v>
      </c>
      <c r="K7409" s="7" t="s">
        <v>16864</v>
      </c>
      <c r="L7409" s="198" t="s">
        <v>65</v>
      </c>
      <c r="M7409" s="194"/>
      <c r="N7409" s="194"/>
    </row>
    <row r="7410">
      <c r="A7410" s="193" t="s">
        <v>27219</v>
      </c>
      <c r="B7410" s="202" t="s">
        <v>16864</v>
      </c>
      <c r="C7410" s="193" t="s">
        <v>158</v>
      </c>
      <c r="D7410" s="193">
        <v>2003.0</v>
      </c>
      <c r="E7410" s="193"/>
      <c r="F7410" s="203" t="s">
        <v>27220</v>
      </c>
      <c r="G7410" s="200">
        <v>2.4581419E7</v>
      </c>
      <c r="H7410" s="205">
        <v>11.73</v>
      </c>
      <c r="J7410" s="202" t="s">
        <v>16864</v>
      </c>
      <c r="K7410" s="193" t="s">
        <v>158</v>
      </c>
      <c r="L7410" s="193" t="s">
        <v>17471</v>
      </c>
      <c r="M7410" s="193"/>
      <c r="N7410" s="193"/>
    </row>
    <row r="7411">
      <c r="A7411" s="193" t="s">
        <v>27221</v>
      </c>
      <c r="B7411" s="7" t="s">
        <v>187</v>
      </c>
      <c r="C7411" s="7" t="s">
        <v>16858</v>
      </c>
      <c r="D7411" s="194">
        <v>2019.0</v>
      </c>
      <c r="E7411" s="193"/>
      <c r="F7411" s="195" t="s">
        <v>27222</v>
      </c>
      <c r="G7411" s="196">
        <v>2.454236E7</v>
      </c>
      <c r="H7411" s="197">
        <v>6.33</v>
      </c>
      <c r="I7411" s="7" t="s">
        <v>16815</v>
      </c>
      <c r="J7411" s="7" t="s">
        <v>187</v>
      </c>
      <c r="K7411" s="7" t="s">
        <v>16858</v>
      </c>
      <c r="L7411" s="198" t="s">
        <v>65</v>
      </c>
      <c r="M7411" s="194"/>
      <c r="N7411" s="194"/>
    </row>
    <row r="7412">
      <c r="A7412" s="193" t="s">
        <v>27223</v>
      </c>
      <c r="B7412" s="7" t="s">
        <v>18718</v>
      </c>
      <c r="C7412" s="7" t="s">
        <v>17629</v>
      </c>
      <c r="D7412" s="199"/>
      <c r="E7412" s="193"/>
      <c r="F7412" s="195" t="s">
        <v>27224</v>
      </c>
      <c r="G7412" s="200">
        <v>2.4500846E7</v>
      </c>
      <c r="H7412" s="197">
        <v>6.84</v>
      </c>
      <c r="I7412" s="7" t="s">
        <v>16815</v>
      </c>
      <c r="J7412" s="7" t="s">
        <v>18718</v>
      </c>
      <c r="K7412" s="7" t="s">
        <v>17629</v>
      </c>
      <c r="L7412" s="201" t="s">
        <v>16835</v>
      </c>
      <c r="M7412" s="199"/>
      <c r="N7412" s="199"/>
    </row>
    <row r="7413">
      <c r="A7413" s="193" t="s">
        <v>27223</v>
      </c>
      <c r="B7413" s="7" t="s">
        <v>17629</v>
      </c>
      <c r="C7413" s="7" t="s">
        <v>18718</v>
      </c>
      <c r="D7413" s="199"/>
      <c r="E7413" s="193"/>
      <c r="F7413" s="195" t="s">
        <v>27224</v>
      </c>
      <c r="G7413" s="196">
        <v>2.4500846E7</v>
      </c>
      <c r="H7413" s="197">
        <v>6.84</v>
      </c>
      <c r="I7413" s="7" t="s">
        <v>16815</v>
      </c>
      <c r="J7413" s="7" t="s">
        <v>17629</v>
      </c>
      <c r="K7413" s="7" t="s">
        <v>18718</v>
      </c>
      <c r="L7413" s="198" t="s">
        <v>65</v>
      </c>
      <c r="M7413" s="199"/>
      <c r="N7413" s="199"/>
    </row>
    <row r="7414">
      <c r="A7414" s="193" t="s">
        <v>27225</v>
      </c>
      <c r="B7414" s="7" t="s">
        <v>187</v>
      </c>
      <c r="C7414" s="7" t="s">
        <v>16851</v>
      </c>
      <c r="D7414" s="194">
        <v>2019.0</v>
      </c>
      <c r="E7414" s="193"/>
      <c r="F7414" s="195" t="s">
        <v>27226</v>
      </c>
      <c r="G7414" s="196">
        <v>2.4445208E7</v>
      </c>
      <c r="H7414" s="197">
        <v>1.45</v>
      </c>
      <c r="I7414" s="7" t="s">
        <v>16815</v>
      </c>
      <c r="J7414" s="7" t="s">
        <v>187</v>
      </c>
      <c r="K7414" s="7" t="s">
        <v>16851</v>
      </c>
      <c r="L7414" s="198" t="s">
        <v>65</v>
      </c>
      <c r="M7414" s="194"/>
      <c r="N7414" s="194"/>
    </row>
    <row r="7415">
      <c r="A7415" s="193" t="s">
        <v>27227</v>
      </c>
      <c r="B7415" s="7" t="s">
        <v>16582</v>
      </c>
      <c r="C7415" s="7" t="s">
        <v>16899</v>
      </c>
      <c r="D7415" s="194">
        <v>1946.0</v>
      </c>
      <c r="E7415" s="193"/>
      <c r="F7415" s="195" t="s">
        <v>27228</v>
      </c>
      <c r="G7415" s="196">
        <v>2.4355863E7</v>
      </c>
      <c r="H7415" s="197">
        <v>4.55</v>
      </c>
      <c r="I7415" s="7" t="s">
        <v>16815</v>
      </c>
      <c r="J7415" s="7" t="s">
        <v>16582</v>
      </c>
      <c r="K7415" s="7" t="s">
        <v>16899</v>
      </c>
      <c r="L7415" s="198" t="s">
        <v>65</v>
      </c>
      <c r="M7415" s="194"/>
      <c r="N7415" s="194"/>
    </row>
    <row r="7416">
      <c r="A7416" s="193" t="s">
        <v>27227</v>
      </c>
      <c r="B7416" s="202" t="s">
        <v>16899</v>
      </c>
      <c r="C7416" s="193" t="s">
        <v>16582</v>
      </c>
      <c r="D7416" s="193">
        <v>1946.0</v>
      </c>
      <c r="E7416" s="193"/>
      <c r="F7416" s="203" t="s">
        <v>27228</v>
      </c>
      <c r="G7416" s="200">
        <v>2.4355863E7</v>
      </c>
      <c r="H7416" s="205">
        <v>12.4499</v>
      </c>
      <c r="J7416" s="202" t="s">
        <v>16899</v>
      </c>
      <c r="K7416" s="193" t="s">
        <v>16582</v>
      </c>
      <c r="L7416" s="193" t="s">
        <v>17471</v>
      </c>
      <c r="M7416" s="193"/>
      <c r="N7416" s="193"/>
    </row>
    <row r="7417">
      <c r="A7417" s="193" t="s">
        <v>27229</v>
      </c>
      <c r="B7417" s="7" t="s">
        <v>158</v>
      </c>
      <c r="C7417" s="7" t="s">
        <v>16864</v>
      </c>
      <c r="D7417" s="194">
        <v>1965.0</v>
      </c>
      <c r="E7417" s="193"/>
      <c r="F7417" s="195" t="s">
        <v>27230</v>
      </c>
      <c r="G7417" s="196">
        <v>2.4277591E7</v>
      </c>
      <c r="H7417" s="197">
        <v>2.43</v>
      </c>
      <c r="I7417" s="7" t="s">
        <v>17095</v>
      </c>
      <c r="J7417" s="7" t="s">
        <v>158</v>
      </c>
      <c r="K7417" s="7" t="s">
        <v>16864</v>
      </c>
      <c r="L7417" s="198" t="s">
        <v>65</v>
      </c>
      <c r="M7417" s="194"/>
      <c r="N7417" s="194"/>
    </row>
    <row r="7418">
      <c r="A7418" s="193" t="s">
        <v>27229</v>
      </c>
      <c r="B7418" s="202" t="s">
        <v>16864</v>
      </c>
      <c r="C7418" s="193" t="s">
        <v>158</v>
      </c>
      <c r="D7418" s="193">
        <v>1965.0</v>
      </c>
      <c r="E7418" s="193"/>
      <c r="F7418" s="203" t="s">
        <v>27230</v>
      </c>
      <c r="G7418" s="200">
        <v>2.4277591E7</v>
      </c>
      <c r="H7418" s="205">
        <v>4.55</v>
      </c>
      <c r="J7418" s="202" t="s">
        <v>16864</v>
      </c>
      <c r="K7418" s="193" t="s">
        <v>158</v>
      </c>
      <c r="L7418" s="193" t="s">
        <v>17471</v>
      </c>
      <c r="M7418" s="193"/>
      <c r="N7418" s="193"/>
    </row>
    <row r="7419">
      <c r="A7419" s="193" t="s">
        <v>27231</v>
      </c>
      <c r="B7419" s="7" t="s">
        <v>16582</v>
      </c>
      <c r="C7419" s="7" t="s">
        <v>16828</v>
      </c>
      <c r="D7419" s="194">
        <v>2020.0</v>
      </c>
      <c r="E7419" s="193"/>
      <c r="F7419" s="195" t="s">
        <v>27232</v>
      </c>
      <c r="G7419" s="196">
        <v>2.427627E7</v>
      </c>
      <c r="H7419" s="197">
        <v>1.0718</v>
      </c>
      <c r="I7419" s="7" t="s">
        <v>16815</v>
      </c>
      <c r="J7419" s="7" t="s">
        <v>16582</v>
      </c>
      <c r="K7419" s="7" t="s">
        <v>16828</v>
      </c>
      <c r="L7419" s="198" t="s">
        <v>65</v>
      </c>
      <c r="M7419" s="194"/>
      <c r="N7419" s="194"/>
    </row>
    <row r="7420">
      <c r="A7420" s="193" t="s">
        <v>27231</v>
      </c>
      <c r="B7420" s="7" t="s">
        <v>16828</v>
      </c>
      <c r="C7420" s="7" t="s">
        <v>16582</v>
      </c>
      <c r="D7420" s="194">
        <v>2020.0</v>
      </c>
      <c r="E7420" s="193"/>
      <c r="F7420" s="195" t="s">
        <v>27232</v>
      </c>
      <c r="G7420" s="200">
        <v>2.427627E7</v>
      </c>
      <c r="H7420" s="197">
        <v>1.0718</v>
      </c>
      <c r="I7420" s="7" t="s">
        <v>16815</v>
      </c>
      <c r="J7420" s="7" t="s">
        <v>16828</v>
      </c>
      <c r="K7420" s="7" t="s">
        <v>16582</v>
      </c>
      <c r="L7420" s="201" t="s">
        <v>16835</v>
      </c>
      <c r="M7420" s="194"/>
      <c r="N7420" s="194"/>
    </row>
    <row r="7421">
      <c r="A7421" s="193" t="s">
        <v>27233</v>
      </c>
      <c r="B7421" s="7" t="s">
        <v>175</v>
      </c>
      <c r="C7421" s="7" t="s">
        <v>16854</v>
      </c>
      <c r="D7421" s="194">
        <v>2017.0</v>
      </c>
      <c r="E7421" s="193"/>
      <c r="F7421" s="195" t="s">
        <v>27234</v>
      </c>
      <c r="G7421" s="196">
        <v>2.4237978E7</v>
      </c>
      <c r="H7421" s="197">
        <v>1.06</v>
      </c>
      <c r="I7421" s="7" t="s">
        <v>16826</v>
      </c>
      <c r="J7421" s="7" t="s">
        <v>175</v>
      </c>
      <c r="K7421" s="7" t="s">
        <v>16854</v>
      </c>
      <c r="L7421" s="198" t="s">
        <v>65</v>
      </c>
      <c r="M7421" s="194"/>
      <c r="N7421" s="194"/>
    </row>
    <row r="7422">
      <c r="A7422" s="193" t="s">
        <v>27235</v>
      </c>
      <c r="B7422" s="7" t="s">
        <v>16838</v>
      </c>
      <c r="C7422" s="7" t="s">
        <v>17112</v>
      </c>
      <c r="D7422" s="194">
        <v>2019.0</v>
      </c>
      <c r="E7422" s="193"/>
      <c r="F7422" s="195" t="s">
        <v>27236</v>
      </c>
      <c r="G7422" s="196">
        <v>2.4153659E7</v>
      </c>
      <c r="H7422" s="197">
        <v>0.14</v>
      </c>
      <c r="I7422" s="7" t="s">
        <v>16815</v>
      </c>
      <c r="J7422" s="7" t="s">
        <v>16838</v>
      </c>
      <c r="K7422" s="7" t="s">
        <v>17112</v>
      </c>
      <c r="L7422" s="198" t="s">
        <v>65</v>
      </c>
      <c r="M7422" s="194"/>
      <c r="N7422" s="194"/>
    </row>
    <row r="7423">
      <c r="A7423" s="193" t="s">
        <v>27237</v>
      </c>
      <c r="B7423" s="7" t="s">
        <v>16582</v>
      </c>
      <c r="C7423" s="7" t="s">
        <v>16817</v>
      </c>
      <c r="D7423" s="194">
        <v>2020.0</v>
      </c>
      <c r="E7423" s="193"/>
      <c r="F7423" s="195" t="s">
        <v>27238</v>
      </c>
      <c r="G7423" s="196">
        <v>2.4100947E7</v>
      </c>
      <c r="H7423" s="197">
        <v>0.1752</v>
      </c>
      <c r="I7423" s="7" t="s">
        <v>16815</v>
      </c>
      <c r="J7423" s="7" t="s">
        <v>16582</v>
      </c>
      <c r="K7423" s="7" t="s">
        <v>16817</v>
      </c>
      <c r="L7423" s="198" t="s">
        <v>65</v>
      </c>
      <c r="M7423" s="194"/>
      <c r="N7423" s="194"/>
    </row>
    <row r="7424">
      <c r="A7424" s="193" t="s">
        <v>27239</v>
      </c>
      <c r="B7424" s="7" t="s">
        <v>187</v>
      </c>
      <c r="C7424" s="7" t="s">
        <v>16846</v>
      </c>
      <c r="D7424" s="199"/>
      <c r="E7424" s="193"/>
      <c r="F7424" s="195" t="s">
        <v>27240</v>
      </c>
      <c r="G7424" s="196">
        <v>2.4061481E7</v>
      </c>
      <c r="H7424" s="197">
        <v>2.57</v>
      </c>
      <c r="I7424" s="7" t="s">
        <v>16815</v>
      </c>
      <c r="J7424" s="7" t="s">
        <v>187</v>
      </c>
      <c r="K7424" s="7" t="s">
        <v>16846</v>
      </c>
      <c r="L7424" s="198" t="s">
        <v>65</v>
      </c>
      <c r="M7424" s="199"/>
      <c r="N7424" s="199"/>
    </row>
    <row r="7425">
      <c r="A7425" s="193" t="s">
        <v>27241</v>
      </c>
      <c r="B7425" s="7" t="s">
        <v>187</v>
      </c>
      <c r="C7425" s="7" t="s">
        <v>16846</v>
      </c>
      <c r="D7425" s="199"/>
      <c r="E7425" s="193"/>
      <c r="F7425" s="195" t="s">
        <v>27242</v>
      </c>
      <c r="G7425" s="196">
        <v>2.4005234E7</v>
      </c>
      <c r="H7425" s="197">
        <v>2.725</v>
      </c>
      <c r="I7425" s="7" t="s">
        <v>16815</v>
      </c>
      <c r="J7425" s="7" t="s">
        <v>187</v>
      </c>
      <c r="K7425" s="7" t="s">
        <v>16846</v>
      </c>
      <c r="L7425" s="198" t="s">
        <v>65</v>
      </c>
      <c r="M7425" s="199"/>
      <c r="N7425" s="199"/>
    </row>
    <row r="7426">
      <c r="A7426" s="193" t="s">
        <v>27243</v>
      </c>
      <c r="B7426" s="7" t="s">
        <v>175</v>
      </c>
      <c r="C7426" s="7" t="s">
        <v>16842</v>
      </c>
      <c r="D7426" s="199"/>
      <c r="E7426" s="193"/>
      <c r="F7426" s="195" t="s">
        <v>27244</v>
      </c>
      <c r="G7426" s="196">
        <v>2.3986136E7</v>
      </c>
      <c r="H7426" s="197">
        <v>2.0</v>
      </c>
      <c r="I7426" s="7" t="s">
        <v>16892</v>
      </c>
      <c r="J7426" s="7" t="s">
        <v>175</v>
      </c>
      <c r="K7426" s="7" t="s">
        <v>16842</v>
      </c>
      <c r="L7426" s="198" t="s">
        <v>65</v>
      </c>
      <c r="M7426" s="199"/>
      <c r="N7426" s="199"/>
    </row>
    <row r="7427">
      <c r="A7427" s="193" t="s">
        <v>27245</v>
      </c>
      <c r="B7427" s="7" t="s">
        <v>175</v>
      </c>
      <c r="C7427" s="7" t="s">
        <v>16957</v>
      </c>
      <c r="D7427" s="199"/>
      <c r="E7427" s="193"/>
      <c r="F7427" s="195" t="s">
        <v>27246</v>
      </c>
      <c r="G7427" s="196">
        <v>2.39292E7</v>
      </c>
      <c r="H7427" s="197">
        <v>0.92</v>
      </c>
      <c r="I7427" s="7" t="s">
        <v>16826</v>
      </c>
      <c r="J7427" s="7" t="s">
        <v>175</v>
      </c>
      <c r="K7427" s="7" t="s">
        <v>16957</v>
      </c>
      <c r="L7427" s="198" t="s">
        <v>65</v>
      </c>
      <c r="M7427" s="199"/>
      <c r="N7427" s="199"/>
    </row>
    <row r="7428">
      <c r="A7428" s="193" t="s">
        <v>27247</v>
      </c>
      <c r="B7428" s="7" t="s">
        <v>187</v>
      </c>
      <c r="C7428" s="7" t="s">
        <v>16846</v>
      </c>
      <c r="D7428" s="194">
        <v>1999.0</v>
      </c>
      <c r="E7428" s="193"/>
      <c r="F7428" s="195" t="s">
        <v>27248</v>
      </c>
      <c r="G7428" s="196">
        <v>2.3893292E7</v>
      </c>
      <c r="H7428" s="197">
        <v>2.0</v>
      </c>
      <c r="I7428" s="7" t="s">
        <v>16815</v>
      </c>
      <c r="J7428" s="7" t="s">
        <v>187</v>
      </c>
      <c r="K7428" s="7" t="s">
        <v>16846</v>
      </c>
      <c r="L7428" s="198" t="s">
        <v>65</v>
      </c>
      <c r="M7428" s="194"/>
      <c r="N7428" s="194"/>
    </row>
    <row r="7429">
      <c r="A7429" s="193" t="s">
        <v>27247</v>
      </c>
      <c r="B7429" s="202" t="s">
        <v>16846</v>
      </c>
      <c r="C7429" s="193" t="s">
        <v>187</v>
      </c>
      <c r="D7429" s="193">
        <v>1999.0</v>
      </c>
      <c r="E7429" s="193"/>
      <c r="F7429" s="203" t="s">
        <v>27248</v>
      </c>
      <c r="G7429" s="200">
        <v>2.3893292E7</v>
      </c>
      <c r="H7429" s="205">
        <v>2.43</v>
      </c>
      <c r="J7429" s="202" t="s">
        <v>16846</v>
      </c>
      <c r="K7429" s="193" t="s">
        <v>187</v>
      </c>
      <c r="L7429" s="193" t="s">
        <v>17471</v>
      </c>
      <c r="M7429" s="193"/>
      <c r="N7429" s="193"/>
    </row>
    <row r="7430">
      <c r="A7430" s="193" t="s">
        <v>27249</v>
      </c>
      <c r="B7430" s="7" t="s">
        <v>187</v>
      </c>
      <c r="C7430" s="7" t="s">
        <v>16846</v>
      </c>
      <c r="D7430" s="199"/>
      <c r="E7430" s="193"/>
      <c r="F7430" s="195" t="s">
        <v>27250</v>
      </c>
      <c r="G7430" s="196">
        <v>2.3892511E7</v>
      </c>
      <c r="H7430" s="197">
        <v>0.2417</v>
      </c>
      <c r="I7430" s="7" t="s">
        <v>16815</v>
      </c>
      <c r="J7430" s="7" t="s">
        <v>187</v>
      </c>
      <c r="K7430" s="7" t="s">
        <v>16846</v>
      </c>
      <c r="L7430" s="198" t="s">
        <v>65</v>
      </c>
      <c r="M7430" s="199"/>
      <c r="N7430" s="199"/>
    </row>
    <row r="7431">
      <c r="A7431" s="193" t="s">
        <v>27251</v>
      </c>
      <c r="B7431" s="7" t="s">
        <v>187</v>
      </c>
      <c r="C7431" s="7" t="s">
        <v>16851</v>
      </c>
      <c r="D7431" s="194">
        <v>2020.0</v>
      </c>
      <c r="E7431" s="193"/>
      <c r="F7431" s="195" t="s">
        <v>27252</v>
      </c>
      <c r="G7431" s="196">
        <v>2.3887275E7</v>
      </c>
      <c r="H7431" s="197">
        <v>1.47</v>
      </c>
      <c r="I7431" s="7" t="s">
        <v>16815</v>
      </c>
      <c r="J7431" s="7" t="s">
        <v>187</v>
      </c>
      <c r="K7431" s="7" t="s">
        <v>16851</v>
      </c>
      <c r="L7431" s="198" t="s">
        <v>65</v>
      </c>
      <c r="M7431" s="194"/>
      <c r="N7431" s="194"/>
    </row>
    <row r="7432">
      <c r="A7432" s="193" t="s">
        <v>27253</v>
      </c>
      <c r="B7432" s="7" t="s">
        <v>16910</v>
      </c>
      <c r="C7432" s="7" t="s">
        <v>17662</v>
      </c>
      <c r="D7432" s="194">
        <v>2021.0</v>
      </c>
      <c r="E7432" s="193"/>
      <c r="F7432" s="195" t="s">
        <v>27254</v>
      </c>
      <c r="G7432" s="196">
        <v>2.3860913E7</v>
      </c>
      <c r="H7432" s="197">
        <v>2.9</v>
      </c>
      <c r="I7432" s="7" t="s">
        <v>23183</v>
      </c>
      <c r="J7432" s="7" t="s">
        <v>16910</v>
      </c>
      <c r="K7432" s="7" t="s">
        <v>17662</v>
      </c>
      <c r="L7432" s="198" t="s">
        <v>65</v>
      </c>
      <c r="M7432" s="194"/>
      <c r="N7432" s="194"/>
    </row>
    <row r="7433">
      <c r="A7433" s="193" t="s">
        <v>27253</v>
      </c>
      <c r="B7433" s="7" t="s">
        <v>17662</v>
      </c>
      <c r="C7433" s="7" t="s">
        <v>16910</v>
      </c>
      <c r="D7433" s="194">
        <v>2021.0</v>
      </c>
      <c r="E7433" s="193"/>
      <c r="F7433" s="195" t="s">
        <v>27254</v>
      </c>
      <c r="G7433" s="200">
        <v>2.3860913E7</v>
      </c>
      <c r="H7433" s="197">
        <v>2.9</v>
      </c>
      <c r="I7433" s="7" t="s">
        <v>16815</v>
      </c>
      <c r="J7433" s="7" t="s">
        <v>17662</v>
      </c>
      <c r="K7433" s="7" t="s">
        <v>16910</v>
      </c>
      <c r="L7433" s="201" t="s">
        <v>16835</v>
      </c>
      <c r="M7433" s="194"/>
      <c r="N7433" s="194"/>
    </row>
    <row r="7434">
      <c r="A7434" s="193" t="s">
        <v>27255</v>
      </c>
      <c r="B7434" s="7" t="s">
        <v>175</v>
      </c>
      <c r="C7434" s="7" t="s">
        <v>17218</v>
      </c>
      <c r="D7434" s="194">
        <v>2020.0</v>
      </c>
      <c r="E7434" s="193"/>
      <c r="F7434" s="195" t="s">
        <v>27256</v>
      </c>
      <c r="G7434" s="196">
        <v>2.38266E7</v>
      </c>
      <c r="H7434" s="197">
        <v>4.88</v>
      </c>
      <c r="I7434" s="7" t="s">
        <v>168</v>
      </c>
      <c r="J7434" s="7" t="s">
        <v>175</v>
      </c>
      <c r="K7434" s="7" t="s">
        <v>17218</v>
      </c>
      <c r="L7434" s="198" t="s">
        <v>65</v>
      </c>
      <c r="M7434" s="194"/>
      <c r="N7434" s="194"/>
    </row>
    <row r="7435">
      <c r="A7435" s="193" t="s">
        <v>27257</v>
      </c>
      <c r="B7435" s="7" t="s">
        <v>17112</v>
      </c>
      <c r="C7435" s="7" t="s">
        <v>17218</v>
      </c>
      <c r="D7435" s="194">
        <v>2021.0</v>
      </c>
      <c r="E7435" s="193"/>
      <c r="F7435" s="195" t="s">
        <v>27258</v>
      </c>
      <c r="G7435" s="196">
        <v>2.3746331E7</v>
      </c>
      <c r="H7435" s="197">
        <v>1.09</v>
      </c>
      <c r="I7435" s="7" t="s">
        <v>16815</v>
      </c>
      <c r="J7435" s="7" t="s">
        <v>17112</v>
      </c>
      <c r="K7435" s="7" t="s">
        <v>17218</v>
      </c>
      <c r="L7435" s="198" t="s">
        <v>65</v>
      </c>
      <c r="M7435" s="194"/>
      <c r="N7435" s="194"/>
    </row>
    <row r="7436">
      <c r="A7436" s="193" t="s">
        <v>27257</v>
      </c>
      <c r="B7436" s="7" t="s">
        <v>17218</v>
      </c>
      <c r="C7436" s="7" t="s">
        <v>17112</v>
      </c>
      <c r="D7436" s="194">
        <v>2021.0</v>
      </c>
      <c r="E7436" s="193"/>
      <c r="F7436" s="195" t="s">
        <v>27258</v>
      </c>
      <c r="G7436" s="200">
        <v>2.3746331E7</v>
      </c>
      <c r="H7436" s="197">
        <v>1.09</v>
      </c>
      <c r="I7436" s="7" t="s">
        <v>16815</v>
      </c>
      <c r="J7436" s="7" t="s">
        <v>17218</v>
      </c>
      <c r="K7436" s="7" t="s">
        <v>17112</v>
      </c>
      <c r="L7436" s="201" t="s">
        <v>16835</v>
      </c>
      <c r="M7436" s="194"/>
      <c r="N7436" s="194"/>
    </row>
    <row r="7437">
      <c r="A7437" s="193" t="s">
        <v>27259</v>
      </c>
      <c r="B7437" s="7" t="s">
        <v>16582</v>
      </c>
      <c r="C7437" s="7" t="s">
        <v>16828</v>
      </c>
      <c r="D7437" s="194">
        <v>1997.0</v>
      </c>
      <c r="E7437" s="193"/>
      <c r="F7437" s="195" t="s">
        <v>27260</v>
      </c>
      <c r="G7437" s="196">
        <v>2.3722289E7</v>
      </c>
      <c r="H7437" s="197">
        <v>0.438</v>
      </c>
      <c r="I7437" s="7" t="s">
        <v>16815</v>
      </c>
      <c r="J7437" s="7" t="s">
        <v>16582</v>
      </c>
      <c r="K7437" s="7" t="s">
        <v>16828</v>
      </c>
      <c r="L7437" s="198" t="s">
        <v>65</v>
      </c>
      <c r="M7437" s="194"/>
      <c r="N7437" s="194"/>
    </row>
    <row r="7438">
      <c r="A7438" s="193" t="s">
        <v>27261</v>
      </c>
      <c r="B7438" s="7" t="s">
        <v>175</v>
      </c>
      <c r="C7438" s="7" t="s">
        <v>17619</v>
      </c>
      <c r="D7438" s="194">
        <v>2000.0</v>
      </c>
      <c r="E7438" s="193"/>
      <c r="F7438" s="195" t="s">
        <v>27262</v>
      </c>
      <c r="G7438" s="196">
        <v>2.3673228E7</v>
      </c>
      <c r="H7438" s="197">
        <v>0.79</v>
      </c>
      <c r="I7438" s="7" t="s">
        <v>174</v>
      </c>
      <c r="J7438" s="7" t="s">
        <v>175</v>
      </c>
      <c r="K7438" s="7" t="s">
        <v>17619</v>
      </c>
      <c r="L7438" s="198" t="s">
        <v>65</v>
      </c>
      <c r="M7438" s="194"/>
      <c r="N7438" s="194"/>
    </row>
    <row r="7439">
      <c r="A7439" s="193" t="s">
        <v>27263</v>
      </c>
      <c r="B7439" s="7" t="s">
        <v>16885</v>
      </c>
      <c r="C7439" s="7" t="s">
        <v>17726</v>
      </c>
      <c r="D7439" s="199"/>
      <c r="E7439" s="193"/>
      <c r="F7439" s="195" t="s">
        <v>27264</v>
      </c>
      <c r="G7439" s="196">
        <v>2.3486181E7</v>
      </c>
      <c r="H7439" s="197">
        <v>0.2648</v>
      </c>
      <c r="I7439" s="7" t="s">
        <v>17372</v>
      </c>
      <c r="J7439" s="7" t="s">
        <v>16885</v>
      </c>
      <c r="K7439" s="7" t="s">
        <v>17726</v>
      </c>
      <c r="L7439" s="198" t="s">
        <v>65</v>
      </c>
      <c r="M7439" s="199"/>
      <c r="N7439" s="199"/>
    </row>
    <row r="7440">
      <c r="A7440" s="193" t="s">
        <v>27263</v>
      </c>
      <c r="B7440" s="202" t="s">
        <v>17726</v>
      </c>
      <c r="C7440" s="193" t="s">
        <v>16885</v>
      </c>
      <c r="D7440" s="206"/>
      <c r="E7440" s="193"/>
      <c r="F7440" s="203" t="s">
        <v>27264</v>
      </c>
      <c r="G7440" s="200">
        <v>2.3486181E7</v>
      </c>
      <c r="H7440" s="205">
        <v>2.0</v>
      </c>
      <c r="J7440" s="202" t="s">
        <v>17726</v>
      </c>
      <c r="K7440" s="193" t="s">
        <v>16885</v>
      </c>
      <c r="L7440" s="193" t="s">
        <v>17471</v>
      </c>
      <c r="M7440" s="206"/>
      <c r="N7440" s="206"/>
    </row>
    <row r="7441">
      <c r="A7441" s="193" t="s">
        <v>27265</v>
      </c>
      <c r="B7441" s="7" t="s">
        <v>187</v>
      </c>
      <c r="C7441" s="7" t="s">
        <v>16858</v>
      </c>
      <c r="D7441" s="194">
        <v>2014.0</v>
      </c>
      <c r="E7441" s="193"/>
      <c r="F7441" s="195" t="s">
        <v>27266</v>
      </c>
      <c r="G7441" s="196">
        <v>2.3421733E7</v>
      </c>
      <c r="H7441" s="197">
        <v>0.2298</v>
      </c>
      <c r="I7441" s="7" t="s">
        <v>16815</v>
      </c>
      <c r="J7441" s="7" t="s">
        <v>187</v>
      </c>
      <c r="K7441" s="7" t="s">
        <v>16858</v>
      </c>
      <c r="L7441" s="198" t="s">
        <v>65</v>
      </c>
      <c r="M7441" s="194"/>
      <c r="N7441" s="194"/>
    </row>
    <row r="7442">
      <c r="A7442" s="193" t="s">
        <v>27267</v>
      </c>
      <c r="B7442" s="7" t="s">
        <v>16838</v>
      </c>
      <c r="C7442" s="7" t="s">
        <v>16867</v>
      </c>
      <c r="D7442" s="199"/>
      <c r="E7442" s="193"/>
      <c r="F7442" s="195" t="s">
        <v>27268</v>
      </c>
      <c r="G7442" s="196">
        <v>2.3418207E7</v>
      </c>
      <c r="H7442" s="197">
        <v>3.23</v>
      </c>
      <c r="I7442" s="7" t="s">
        <v>16815</v>
      </c>
      <c r="J7442" s="7" t="s">
        <v>16838</v>
      </c>
      <c r="K7442" s="7" t="s">
        <v>16867</v>
      </c>
      <c r="L7442" s="198" t="s">
        <v>65</v>
      </c>
      <c r="M7442" s="199"/>
      <c r="N7442" s="199"/>
    </row>
    <row r="7443">
      <c r="A7443" s="193" t="s">
        <v>27269</v>
      </c>
      <c r="B7443" s="7" t="s">
        <v>169</v>
      </c>
      <c r="C7443" s="7" t="s">
        <v>16945</v>
      </c>
      <c r="D7443" s="194">
        <v>2002.0</v>
      </c>
      <c r="E7443" s="193"/>
      <c r="F7443" s="195" t="s">
        <v>27270</v>
      </c>
      <c r="G7443" s="196">
        <v>2.33788E7</v>
      </c>
      <c r="H7443" s="197">
        <v>1.88</v>
      </c>
      <c r="I7443" s="7" t="s">
        <v>16815</v>
      </c>
      <c r="J7443" s="7" t="s">
        <v>169</v>
      </c>
      <c r="K7443" s="7" t="s">
        <v>16945</v>
      </c>
      <c r="L7443" s="198" t="s">
        <v>65</v>
      </c>
      <c r="M7443" s="194"/>
      <c r="N7443" s="194"/>
    </row>
    <row r="7444">
      <c r="A7444" s="193" t="s">
        <v>27269</v>
      </c>
      <c r="B7444" s="202" t="s">
        <v>16945</v>
      </c>
      <c r="C7444" s="193" t="s">
        <v>169</v>
      </c>
      <c r="D7444" s="193">
        <v>2002.0</v>
      </c>
      <c r="E7444" s="193"/>
      <c r="F7444" s="203" t="s">
        <v>27270</v>
      </c>
      <c r="G7444" s="200">
        <v>2.33788E7</v>
      </c>
      <c r="H7444" s="205">
        <v>0.2648</v>
      </c>
      <c r="J7444" s="202" t="s">
        <v>16945</v>
      </c>
      <c r="K7444" s="193" t="s">
        <v>169</v>
      </c>
      <c r="L7444" s="193" t="s">
        <v>17471</v>
      </c>
      <c r="M7444" s="193"/>
      <c r="N7444" s="193"/>
    </row>
    <row r="7445">
      <c r="A7445" s="193" t="s">
        <v>27271</v>
      </c>
      <c r="B7445" s="7" t="s">
        <v>175</v>
      </c>
      <c r="C7445" s="7" t="s">
        <v>16899</v>
      </c>
      <c r="D7445" s="199"/>
      <c r="E7445" s="193"/>
      <c r="F7445" s="195" t="s">
        <v>27272</v>
      </c>
      <c r="G7445" s="196">
        <v>2.3369515E7</v>
      </c>
      <c r="H7445" s="197">
        <v>1.19</v>
      </c>
      <c r="I7445" s="7" t="s">
        <v>16908</v>
      </c>
      <c r="J7445" s="7" t="s">
        <v>175</v>
      </c>
      <c r="K7445" s="7" t="s">
        <v>16899</v>
      </c>
      <c r="L7445" s="198" t="s">
        <v>65</v>
      </c>
      <c r="M7445" s="199"/>
      <c r="N7445" s="199"/>
    </row>
    <row r="7446">
      <c r="A7446" s="193" t="s">
        <v>27271</v>
      </c>
      <c r="B7446" s="202" t="s">
        <v>16899</v>
      </c>
      <c r="C7446" s="193" t="s">
        <v>175</v>
      </c>
      <c r="D7446" s="206"/>
      <c r="E7446" s="193"/>
      <c r="F7446" s="203" t="s">
        <v>27272</v>
      </c>
      <c r="G7446" s="200">
        <v>2.3369515E7</v>
      </c>
      <c r="H7446" s="205">
        <v>1.88</v>
      </c>
      <c r="J7446" s="202" t="s">
        <v>16899</v>
      </c>
      <c r="K7446" s="193" t="s">
        <v>175</v>
      </c>
      <c r="L7446" s="193" t="s">
        <v>17471</v>
      </c>
      <c r="M7446" s="206"/>
      <c r="N7446" s="206"/>
    </row>
    <row r="7447">
      <c r="A7447" s="193" t="s">
        <v>27273</v>
      </c>
      <c r="B7447" s="7" t="s">
        <v>175</v>
      </c>
      <c r="C7447" s="7" t="s">
        <v>17391</v>
      </c>
      <c r="D7447" s="194">
        <v>2021.0</v>
      </c>
      <c r="E7447" s="193"/>
      <c r="F7447" s="195" t="s">
        <v>27274</v>
      </c>
      <c r="G7447" s="196">
        <v>2.3347467E7</v>
      </c>
      <c r="H7447" s="197">
        <v>1.4</v>
      </c>
      <c r="I7447" s="7" t="s">
        <v>16844</v>
      </c>
      <c r="J7447" s="7" t="s">
        <v>175</v>
      </c>
      <c r="K7447" s="7" t="s">
        <v>17391</v>
      </c>
      <c r="L7447" s="198" t="s">
        <v>65</v>
      </c>
      <c r="M7447" s="194"/>
      <c r="N7447" s="194"/>
    </row>
    <row r="7448">
      <c r="A7448" s="193" t="s">
        <v>27275</v>
      </c>
      <c r="B7448" s="7" t="s">
        <v>169</v>
      </c>
      <c r="C7448" s="7" t="s">
        <v>17738</v>
      </c>
      <c r="D7448" s="199"/>
      <c r="E7448" s="193"/>
      <c r="F7448" s="195" t="s">
        <v>27276</v>
      </c>
      <c r="G7448" s="196">
        <v>2.3308848E7</v>
      </c>
      <c r="H7448" s="197">
        <v>0.5652</v>
      </c>
      <c r="I7448" s="7" t="s">
        <v>16815</v>
      </c>
      <c r="J7448" s="7" t="s">
        <v>169</v>
      </c>
      <c r="K7448" s="7" t="s">
        <v>17738</v>
      </c>
      <c r="L7448" s="198" t="s">
        <v>65</v>
      </c>
      <c r="M7448" s="199"/>
      <c r="N7448" s="199"/>
    </row>
    <row r="7449">
      <c r="A7449" s="193" t="s">
        <v>27277</v>
      </c>
      <c r="B7449" s="7" t="s">
        <v>175</v>
      </c>
      <c r="C7449" s="7" t="s">
        <v>17812</v>
      </c>
      <c r="D7449" s="199"/>
      <c r="E7449" s="193"/>
      <c r="F7449" s="195" t="s">
        <v>27278</v>
      </c>
      <c r="G7449" s="196">
        <v>2.3209595E7</v>
      </c>
      <c r="H7449" s="197">
        <v>4.5003</v>
      </c>
      <c r="I7449" s="7" t="s">
        <v>16856</v>
      </c>
      <c r="J7449" s="7" t="s">
        <v>175</v>
      </c>
      <c r="K7449" s="7" t="s">
        <v>17812</v>
      </c>
      <c r="L7449" s="198" t="s">
        <v>65</v>
      </c>
      <c r="M7449" s="199"/>
      <c r="N7449" s="199"/>
    </row>
    <row r="7450">
      <c r="A7450" s="193" t="s">
        <v>27279</v>
      </c>
      <c r="B7450" s="7" t="s">
        <v>187</v>
      </c>
      <c r="C7450" s="7" t="s">
        <v>16846</v>
      </c>
      <c r="D7450" s="194">
        <v>2021.0</v>
      </c>
      <c r="E7450" s="193"/>
      <c r="F7450" s="195" t="s">
        <v>27280</v>
      </c>
      <c r="G7450" s="196">
        <v>2.3101133E7</v>
      </c>
      <c r="H7450" s="197">
        <v>0.5186</v>
      </c>
      <c r="I7450" s="7" t="s">
        <v>16815</v>
      </c>
      <c r="J7450" s="7" t="s">
        <v>187</v>
      </c>
      <c r="K7450" s="7" t="s">
        <v>16846</v>
      </c>
      <c r="L7450" s="198" t="s">
        <v>65</v>
      </c>
      <c r="M7450" s="194"/>
      <c r="N7450" s="194"/>
    </row>
    <row r="7451">
      <c r="A7451" s="193" t="s">
        <v>27281</v>
      </c>
      <c r="B7451" s="7" t="s">
        <v>175</v>
      </c>
      <c r="C7451" s="7" t="s">
        <v>16899</v>
      </c>
      <c r="D7451" s="194">
        <v>1970.0</v>
      </c>
      <c r="E7451" s="193"/>
      <c r="F7451" s="195" t="s">
        <v>27282</v>
      </c>
      <c r="G7451" s="196">
        <v>2.3089702E7</v>
      </c>
      <c r="H7451" s="197">
        <v>9.2499</v>
      </c>
      <c r="I7451" s="7" t="s">
        <v>17270</v>
      </c>
      <c r="J7451" s="7" t="s">
        <v>175</v>
      </c>
      <c r="K7451" s="7" t="s">
        <v>16899</v>
      </c>
      <c r="L7451" s="198" t="s">
        <v>65</v>
      </c>
      <c r="M7451" s="194"/>
      <c r="N7451" s="194"/>
    </row>
    <row r="7452">
      <c r="A7452" s="193" t="s">
        <v>27281</v>
      </c>
      <c r="B7452" s="202" t="s">
        <v>16899</v>
      </c>
      <c r="C7452" s="193" t="s">
        <v>175</v>
      </c>
      <c r="D7452" s="193">
        <v>1970.0</v>
      </c>
      <c r="E7452" s="193"/>
      <c r="F7452" s="203" t="s">
        <v>27282</v>
      </c>
      <c r="G7452" s="200">
        <v>2.3089702E7</v>
      </c>
      <c r="H7452" s="205">
        <v>1.19</v>
      </c>
      <c r="J7452" s="202" t="s">
        <v>16899</v>
      </c>
      <c r="K7452" s="193" t="s">
        <v>175</v>
      </c>
      <c r="L7452" s="193" t="s">
        <v>17471</v>
      </c>
      <c r="M7452" s="193"/>
      <c r="N7452" s="193"/>
    </row>
    <row r="7453">
      <c r="A7453" s="193" t="s">
        <v>27283</v>
      </c>
      <c r="B7453" s="7" t="s">
        <v>175</v>
      </c>
      <c r="C7453" s="7" t="s">
        <v>17391</v>
      </c>
      <c r="D7453" s="194">
        <v>2021.0</v>
      </c>
      <c r="E7453" s="193"/>
      <c r="F7453" s="195" t="s">
        <v>27284</v>
      </c>
      <c r="G7453" s="196">
        <v>2.3030633E7</v>
      </c>
      <c r="H7453" s="197">
        <v>1.24</v>
      </c>
      <c r="I7453" s="7" t="s">
        <v>17270</v>
      </c>
      <c r="J7453" s="7" t="s">
        <v>175</v>
      </c>
      <c r="K7453" s="7" t="s">
        <v>17391</v>
      </c>
      <c r="L7453" s="198" t="s">
        <v>65</v>
      </c>
      <c r="M7453" s="194"/>
      <c r="N7453" s="194"/>
    </row>
    <row r="7454">
      <c r="A7454" s="193" t="s">
        <v>27285</v>
      </c>
      <c r="B7454" s="7" t="s">
        <v>175</v>
      </c>
      <c r="C7454" s="7" t="s">
        <v>17350</v>
      </c>
      <c r="D7454" s="199"/>
      <c r="E7454" s="193"/>
      <c r="F7454" s="195" t="s">
        <v>27286</v>
      </c>
      <c r="G7454" s="196">
        <v>2.3016583E7</v>
      </c>
      <c r="H7454" s="197">
        <v>1.32</v>
      </c>
      <c r="I7454" s="7" t="s">
        <v>16856</v>
      </c>
      <c r="J7454" s="7" t="s">
        <v>175</v>
      </c>
      <c r="K7454" s="7" t="s">
        <v>17350</v>
      </c>
      <c r="L7454" s="198" t="s">
        <v>65</v>
      </c>
      <c r="M7454" s="199"/>
      <c r="N7454" s="199"/>
    </row>
    <row r="7455">
      <c r="A7455" s="193" t="s">
        <v>27287</v>
      </c>
      <c r="B7455" s="7" t="s">
        <v>187</v>
      </c>
      <c r="C7455" s="7" t="s">
        <v>16846</v>
      </c>
      <c r="D7455" s="194">
        <v>2011.0</v>
      </c>
      <c r="E7455" s="193"/>
      <c r="F7455" s="195" t="s">
        <v>27288</v>
      </c>
      <c r="G7455" s="196">
        <v>2.2952288E7</v>
      </c>
      <c r="H7455" s="197">
        <v>2.9</v>
      </c>
      <c r="I7455" s="7" t="s">
        <v>16815</v>
      </c>
      <c r="J7455" s="7" t="s">
        <v>187</v>
      </c>
      <c r="K7455" s="7" t="s">
        <v>16846</v>
      </c>
      <c r="L7455" s="198" t="s">
        <v>65</v>
      </c>
      <c r="M7455" s="194"/>
      <c r="N7455" s="194"/>
    </row>
    <row r="7456">
      <c r="A7456" s="193" t="s">
        <v>27289</v>
      </c>
      <c r="B7456" s="7" t="s">
        <v>187</v>
      </c>
      <c r="C7456" s="7" t="s">
        <v>17564</v>
      </c>
      <c r="D7456" s="199"/>
      <c r="E7456" s="193"/>
      <c r="F7456" s="195" t="s">
        <v>27290</v>
      </c>
      <c r="G7456" s="196">
        <v>2.290978E7</v>
      </c>
      <c r="H7456" s="197">
        <v>2.78</v>
      </c>
      <c r="I7456" s="7" t="s">
        <v>16815</v>
      </c>
      <c r="J7456" s="7" t="s">
        <v>187</v>
      </c>
      <c r="K7456" s="7" t="s">
        <v>17564</v>
      </c>
      <c r="L7456" s="198" t="s">
        <v>65</v>
      </c>
      <c r="M7456" s="199"/>
      <c r="N7456" s="199"/>
    </row>
    <row r="7457">
      <c r="A7457" s="193" t="s">
        <v>27291</v>
      </c>
      <c r="B7457" s="7" t="s">
        <v>175</v>
      </c>
      <c r="C7457" s="7" t="s">
        <v>17233</v>
      </c>
      <c r="D7457" s="199"/>
      <c r="E7457" s="193"/>
      <c r="F7457" s="195" t="s">
        <v>27292</v>
      </c>
      <c r="G7457" s="196">
        <v>2.2854547E7</v>
      </c>
      <c r="H7457" s="197">
        <v>1.92</v>
      </c>
      <c r="I7457" s="7" t="s">
        <v>168</v>
      </c>
      <c r="J7457" s="7" t="s">
        <v>175</v>
      </c>
      <c r="K7457" s="7" t="s">
        <v>17233</v>
      </c>
      <c r="L7457" s="198" t="s">
        <v>65</v>
      </c>
      <c r="M7457" s="199"/>
      <c r="N7457" s="199"/>
    </row>
    <row r="7458">
      <c r="A7458" s="193" t="s">
        <v>27293</v>
      </c>
      <c r="B7458" s="7" t="s">
        <v>187</v>
      </c>
      <c r="C7458" s="7" t="s">
        <v>23634</v>
      </c>
      <c r="D7458" s="199"/>
      <c r="E7458" s="193"/>
      <c r="F7458" s="195" t="s">
        <v>27294</v>
      </c>
      <c r="G7458" s="196">
        <v>2.2835508E7</v>
      </c>
      <c r="H7458" s="197">
        <v>0.0949</v>
      </c>
      <c r="I7458" s="7" t="s">
        <v>16815</v>
      </c>
      <c r="J7458" s="7" t="s">
        <v>187</v>
      </c>
      <c r="K7458" s="7" t="s">
        <v>23634</v>
      </c>
      <c r="L7458" s="198" t="s">
        <v>65</v>
      </c>
      <c r="M7458" s="199"/>
      <c r="N7458" s="199"/>
    </row>
    <row r="7459">
      <c r="A7459" s="193" t="s">
        <v>27295</v>
      </c>
      <c r="D7459" s="194">
        <v>2023.0</v>
      </c>
      <c r="E7459" s="193"/>
      <c r="F7459" s="195" t="s">
        <v>27296</v>
      </c>
      <c r="G7459" s="196">
        <v>2.2736E7</v>
      </c>
      <c r="H7459" s="197">
        <v>2.8</v>
      </c>
      <c r="I7459" s="7" t="s">
        <v>16815</v>
      </c>
      <c r="L7459" s="198" t="s">
        <v>65</v>
      </c>
      <c r="M7459" s="194"/>
      <c r="N7459" s="194"/>
    </row>
    <row r="7460">
      <c r="A7460" s="193" t="s">
        <v>27297</v>
      </c>
      <c r="B7460" s="7" t="s">
        <v>169</v>
      </c>
      <c r="C7460" s="7" t="s">
        <v>17619</v>
      </c>
      <c r="D7460" s="194">
        <v>2022.0</v>
      </c>
      <c r="E7460" s="193"/>
      <c r="F7460" s="195" t="s">
        <v>27298</v>
      </c>
      <c r="G7460" s="196">
        <v>2.2520202E7</v>
      </c>
      <c r="H7460" s="197">
        <v>0.3793</v>
      </c>
      <c r="I7460" s="7" t="s">
        <v>16815</v>
      </c>
      <c r="J7460" s="7" t="s">
        <v>169</v>
      </c>
      <c r="K7460" s="7" t="s">
        <v>17619</v>
      </c>
      <c r="L7460" s="198" t="s">
        <v>65</v>
      </c>
      <c r="M7460" s="194"/>
      <c r="N7460" s="194"/>
    </row>
    <row r="7461">
      <c r="A7461" s="193" t="s">
        <v>27297</v>
      </c>
      <c r="B7461" s="202" t="s">
        <v>17619</v>
      </c>
      <c r="C7461" s="193" t="s">
        <v>169</v>
      </c>
      <c r="D7461" s="193">
        <v>2022.0</v>
      </c>
      <c r="E7461" s="193"/>
      <c r="F7461" s="203" t="s">
        <v>27298</v>
      </c>
      <c r="G7461" s="200">
        <v>2.2520202E7</v>
      </c>
      <c r="H7461" s="205">
        <v>9.2499</v>
      </c>
      <c r="J7461" s="202" t="s">
        <v>17619</v>
      </c>
      <c r="K7461" s="193" t="s">
        <v>169</v>
      </c>
      <c r="L7461" s="193" t="s">
        <v>17471</v>
      </c>
      <c r="M7461" s="193"/>
      <c r="N7461" s="193"/>
    </row>
    <row r="7462">
      <c r="A7462" s="193" t="s">
        <v>27299</v>
      </c>
      <c r="B7462" s="7" t="s">
        <v>187</v>
      </c>
      <c r="C7462" s="7" t="s">
        <v>16846</v>
      </c>
      <c r="D7462" s="194">
        <v>2018.0</v>
      </c>
      <c r="E7462" s="193"/>
      <c r="F7462" s="195" t="s">
        <v>27300</v>
      </c>
      <c r="G7462" s="196">
        <v>2.2505098E7</v>
      </c>
      <c r="H7462" s="197">
        <v>0.593</v>
      </c>
      <c r="I7462" s="7" t="s">
        <v>16815</v>
      </c>
      <c r="J7462" s="7" t="s">
        <v>187</v>
      </c>
      <c r="K7462" s="7" t="s">
        <v>16846</v>
      </c>
      <c r="L7462" s="198" t="s">
        <v>65</v>
      </c>
      <c r="M7462" s="194"/>
      <c r="N7462" s="194"/>
    </row>
    <row r="7463">
      <c r="A7463" s="193" t="s">
        <v>27299</v>
      </c>
      <c r="B7463" s="202" t="s">
        <v>16846</v>
      </c>
      <c r="C7463" s="193" t="s">
        <v>187</v>
      </c>
      <c r="D7463" s="193">
        <v>2018.0</v>
      </c>
      <c r="E7463" s="193"/>
      <c r="F7463" s="203" t="s">
        <v>27300</v>
      </c>
      <c r="G7463" s="200">
        <v>2.2505098E7</v>
      </c>
      <c r="H7463" s="205">
        <v>0.3793</v>
      </c>
      <c r="J7463" s="202" t="s">
        <v>16846</v>
      </c>
      <c r="K7463" s="193" t="s">
        <v>187</v>
      </c>
      <c r="L7463" s="193" t="s">
        <v>17471</v>
      </c>
      <c r="M7463" s="193"/>
      <c r="N7463" s="193"/>
    </row>
    <row r="7464">
      <c r="A7464" s="193" t="s">
        <v>27301</v>
      </c>
      <c r="B7464" s="7" t="s">
        <v>16838</v>
      </c>
      <c r="C7464" s="7" t="s">
        <v>17127</v>
      </c>
      <c r="D7464" s="199"/>
      <c r="E7464" s="193"/>
      <c r="F7464" s="195" t="s">
        <v>27302</v>
      </c>
      <c r="G7464" s="196">
        <v>2.248961E7</v>
      </c>
      <c r="H7464" s="197">
        <v>2.09</v>
      </c>
      <c r="I7464" s="7" t="s">
        <v>16815</v>
      </c>
      <c r="J7464" s="7" t="s">
        <v>16838</v>
      </c>
      <c r="K7464" s="7" t="s">
        <v>17127</v>
      </c>
      <c r="L7464" s="198" t="s">
        <v>65</v>
      </c>
      <c r="M7464" s="199"/>
      <c r="N7464" s="199"/>
    </row>
    <row r="7465">
      <c r="A7465" s="193" t="s">
        <v>27303</v>
      </c>
      <c r="B7465" s="7" t="s">
        <v>175</v>
      </c>
      <c r="C7465" s="7" t="s">
        <v>17480</v>
      </c>
      <c r="D7465" s="194">
        <v>2022.0</v>
      </c>
      <c r="E7465" s="193"/>
      <c r="F7465" s="195" t="s">
        <v>27304</v>
      </c>
      <c r="G7465" s="196">
        <v>2.2471408E7</v>
      </c>
      <c r="H7465" s="197">
        <v>0.6199</v>
      </c>
      <c r="I7465" s="7" t="s">
        <v>16903</v>
      </c>
      <c r="J7465" s="7" t="s">
        <v>175</v>
      </c>
      <c r="K7465" s="7" t="s">
        <v>17480</v>
      </c>
      <c r="L7465" s="198" t="s">
        <v>65</v>
      </c>
      <c r="M7465" s="194"/>
      <c r="N7465" s="194"/>
    </row>
    <row r="7466">
      <c r="A7466" s="193" t="s">
        <v>27305</v>
      </c>
      <c r="B7466" s="7" t="s">
        <v>16838</v>
      </c>
      <c r="C7466" s="7" t="s">
        <v>16867</v>
      </c>
      <c r="D7466" s="199"/>
      <c r="E7466" s="193"/>
      <c r="F7466" s="195" t="s">
        <v>27306</v>
      </c>
      <c r="G7466" s="196">
        <v>2.2442953E7</v>
      </c>
      <c r="H7466" s="197">
        <v>5.66</v>
      </c>
      <c r="I7466" s="7" t="s">
        <v>16815</v>
      </c>
      <c r="J7466" s="7" t="s">
        <v>16838</v>
      </c>
      <c r="K7466" s="7" t="s">
        <v>16867</v>
      </c>
      <c r="L7466" s="198" t="s">
        <v>65</v>
      </c>
      <c r="M7466" s="199"/>
      <c r="N7466" s="199"/>
    </row>
    <row r="7467">
      <c r="A7467" s="193" t="s">
        <v>27307</v>
      </c>
      <c r="B7467" s="7" t="s">
        <v>187</v>
      </c>
      <c r="C7467" s="7" t="s">
        <v>16846</v>
      </c>
      <c r="D7467" s="194">
        <v>2005.0</v>
      </c>
      <c r="E7467" s="193"/>
      <c r="F7467" s="195" t="s">
        <v>27308</v>
      </c>
      <c r="G7467" s="196">
        <v>2.2376605E7</v>
      </c>
      <c r="H7467" s="197">
        <v>0.58</v>
      </c>
      <c r="I7467" s="7" t="s">
        <v>16815</v>
      </c>
      <c r="J7467" s="7" t="s">
        <v>187</v>
      </c>
      <c r="K7467" s="7" t="s">
        <v>16846</v>
      </c>
      <c r="L7467" s="198" t="s">
        <v>65</v>
      </c>
      <c r="M7467" s="194"/>
      <c r="N7467" s="194"/>
    </row>
    <row r="7468">
      <c r="A7468" s="193" t="s">
        <v>27309</v>
      </c>
      <c r="B7468" s="7" t="s">
        <v>187</v>
      </c>
      <c r="C7468" s="7" t="s">
        <v>16846</v>
      </c>
      <c r="D7468" s="194">
        <v>2023.0</v>
      </c>
      <c r="E7468" s="193"/>
      <c r="F7468" s="195" t="s">
        <v>27310</v>
      </c>
      <c r="G7468" s="196">
        <v>2.2319136E7</v>
      </c>
      <c r="H7468" s="197">
        <v>1.51</v>
      </c>
      <c r="I7468" s="7" t="s">
        <v>16815</v>
      </c>
      <c r="J7468" s="7" t="s">
        <v>187</v>
      </c>
      <c r="K7468" s="7" t="s">
        <v>16846</v>
      </c>
      <c r="L7468" s="198" t="s">
        <v>65</v>
      </c>
      <c r="M7468" s="194"/>
      <c r="N7468" s="194"/>
    </row>
    <row r="7469">
      <c r="A7469" s="193" t="s">
        <v>27311</v>
      </c>
      <c r="B7469" s="7" t="s">
        <v>175</v>
      </c>
      <c r="C7469" s="7" t="s">
        <v>16854</v>
      </c>
      <c r="D7469" s="199"/>
      <c r="E7469" s="193"/>
      <c r="F7469" s="195" t="s">
        <v>27312</v>
      </c>
      <c r="G7469" s="196">
        <v>2.2303429E7</v>
      </c>
      <c r="H7469" s="197">
        <v>0.96</v>
      </c>
      <c r="I7469" s="7" t="s">
        <v>17242</v>
      </c>
      <c r="J7469" s="7" t="s">
        <v>175</v>
      </c>
      <c r="K7469" s="7" t="s">
        <v>16854</v>
      </c>
      <c r="L7469" s="198" t="s">
        <v>65</v>
      </c>
      <c r="M7469" s="199"/>
      <c r="N7469" s="199"/>
    </row>
    <row r="7470">
      <c r="A7470" s="193" t="s">
        <v>27313</v>
      </c>
      <c r="B7470" s="7" t="s">
        <v>16582</v>
      </c>
      <c r="C7470" s="7" t="s">
        <v>16899</v>
      </c>
      <c r="D7470" s="199"/>
      <c r="E7470" s="193"/>
      <c r="F7470" s="195" t="s">
        <v>27314</v>
      </c>
      <c r="G7470" s="196">
        <v>2.2116877E7</v>
      </c>
      <c r="H7470" s="197">
        <v>3.88</v>
      </c>
      <c r="I7470" s="7" t="s">
        <v>16815</v>
      </c>
      <c r="J7470" s="7" t="s">
        <v>16582</v>
      </c>
      <c r="K7470" s="7" t="s">
        <v>16899</v>
      </c>
      <c r="L7470" s="198" t="s">
        <v>65</v>
      </c>
      <c r="M7470" s="199"/>
      <c r="N7470" s="199"/>
    </row>
    <row r="7471">
      <c r="A7471" s="193" t="s">
        <v>27315</v>
      </c>
      <c r="B7471" s="7" t="s">
        <v>187</v>
      </c>
      <c r="C7471" s="7" t="s">
        <v>16846</v>
      </c>
      <c r="D7471" s="194">
        <v>2006.0</v>
      </c>
      <c r="E7471" s="193"/>
      <c r="F7471" s="195" t="s">
        <v>27316</v>
      </c>
      <c r="G7471" s="196">
        <v>2.2027321E7</v>
      </c>
      <c r="H7471" s="197">
        <v>8.7</v>
      </c>
      <c r="I7471" s="7" t="s">
        <v>16815</v>
      </c>
      <c r="J7471" s="7" t="s">
        <v>187</v>
      </c>
      <c r="K7471" s="7" t="s">
        <v>16846</v>
      </c>
      <c r="L7471" s="198" t="s">
        <v>65</v>
      </c>
      <c r="M7471" s="194"/>
      <c r="N7471" s="194"/>
    </row>
    <row r="7472">
      <c r="A7472" s="193" t="s">
        <v>27317</v>
      </c>
      <c r="B7472" s="7" t="s">
        <v>187</v>
      </c>
      <c r="C7472" s="7" t="s">
        <v>17122</v>
      </c>
      <c r="D7472" s="194">
        <v>2021.0</v>
      </c>
      <c r="E7472" s="193"/>
      <c r="F7472" s="195" t="s">
        <v>27318</v>
      </c>
      <c r="G7472" s="196">
        <v>2.1907201E7</v>
      </c>
      <c r="H7472" s="197">
        <v>5.75</v>
      </c>
      <c r="I7472" s="7" t="s">
        <v>16815</v>
      </c>
      <c r="J7472" s="7" t="s">
        <v>187</v>
      </c>
      <c r="K7472" s="7" t="s">
        <v>17122</v>
      </c>
      <c r="L7472" s="198" t="s">
        <v>65</v>
      </c>
      <c r="M7472" s="194"/>
      <c r="N7472" s="194"/>
    </row>
    <row r="7473">
      <c r="A7473" s="193" t="s">
        <v>27319</v>
      </c>
      <c r="B7473" s="7" t="s">
        <v>16582</v>
      </c>
      <c r="C7473" s="7" t="s">
        <v>16930</v>
      </c>
      <c r="D7473" s="194">
        <v>2017.0</v>
      </c>
      <c r="E7473" s="193"/>
      <c r="F7473" s="195" t="s">
        <v>27320</v>
      </c>
      <c r="G7473" s="196">
        <v>2.1859071E7</v>
      </c>
      <c r="H7473" s="197">
        <v>1.03</v>
      </c>
      <c r="I7473" s="7" t="s">
        <v>16815</v>
      </c>
      <c r="J7473" s="7" t="s">
        <v>16582</v>
      </c>
      <c r="K7473" s="7" t="s">
        <v>16930</v>
      </c>
      <c r="L7473" s="198" t="s">
        <v>65</v>
      </c>
      <c r="M7473" s="194"/>
      <c r="N7473" s="194"/>
    </row>
    <row r="7474">
      <c r="A7474" s="193" t="s">
        <v>27319</v>
      </c>
      <c r="B7474" s="7" t="s">
        <v>16930</v>
      </c>
      <c r="C7474" s="7" t="s">
        <v>16582</v>
      </c>
      <c r="D7474" s="194">
        <v>2017.0</v>
      </c>
      <c r="E7474" s="193"/>
      <c r="F7474" s="195" t="s">
        <v>27320</v>
      </c>
      <c r="G7474" s="200">
        <v>2.1859071E7</v>
      </c>
      <c r="H7474" s="197">
        <v>1.03</v>
      </c>
      <c r="I7474" s="7" t="s">
        <v>16815</v>
      </c>
      <c r="J7474" s="7" t="s">
        <v>16930</v>
      </c>
      <c r="K7474" s="7" t="s">
        <v>16582</v>
      </c>
      <c r="L7474" s="201" t="s">
        <v>16835</v>
      </c>
      <c r="M7474" s="194"/>
      <c r="N7474" s="194"/>
    </row>
    <row r="7475">
      <c r="A7475" s="193" t="s">
        <v>27321</v>
      </c>
      <c r="B7475" s="7" t="s">
        <v>16582</v>
      </c>
      <c r="C7475" s="7" t="s">
        <v>16817</v>
      </c>
      <c r="D7475" s="199"/>
      <c r="E7475" s="193"/>
      <c r="F7475" s="195" t="s">
        <v>27322</v>
      </c>
      <c r="G7475" s="196">
        <v>2.1835812E7</v>
      </c>
      <c r="H7475" s="197">
        <v>1.92</v>
      </c>
      <c r="I7475" s="7" t="s">
        <v>16815</v>
      </c>
      <c r="J7475" s="7" t="s">
        <v>16582</v>
      </c>
      <c r="K7475" s="7" t="s">
        <v>16817</v>
      </c>
      <c r="L7475" s="198" t="s">
        <v>65</v>
      </c>
      <c r="M7475" s="199"/>
      <c r="N7475" s="199"/>
    </row>
    <row r="7476">
      <c r="A7476" s="193" t="s">
        <v>27323</v>
      </c>
      <c r="B7476" s="7" t="s">
        <v>175</v>
      </c>
      <c r="C7476" s="7" t="s">
        <v>17452</v>
      </c>
      <c r="D7476" s="199"/>
      <c r="E7476" s="193"/>
      <c r="F7476" s="195" t="s">
        <v>27324</v>
      </c>
      <c r="G7476" s="196">
        <v>2.1752304E7</v>
      </c>
      <c r="H7476" s="197">
        <v>1.0</v>
      </c>
      <c r="I7476" s="7" t="s">
        <v>16908</v>
      </c>
      <c r="J7476" s="7" t="s">
        <v>175</v>
      </c>
      <c r="K7476" s="7" t="s">
        <v>17452</v>
      </c>
      <c r="L7476" s="198" t="s">
        <v>65</v>
      </c>
      <c r="M7476" s="199"/>
      <c r="N7476" s="199"/>
    </row>
    <row r="7477">
      <c r="A7477" s="193" t="s">
        <v>27325</v>
      </c>
      <c r="B7477" s="7" t="s">
        <v>16582</v>
      </c>
      <c r="C7477" s="7" t="s">
        <v>16817</v>
      </c>
      <c r="D7477" s="194">
        <v>2021.0</v>
      </c>
      <c r="E7477" s="193"/>
      <c r="F7477" s="195" t="s">
        <v>27326</v>
      </c>
      <c r="G7477" s="196">
        <v>2.1696E7</v>
      </c>
      <c r="H7477" s="197">
        <v>1.2</v>
      </c>
      <c r="I7477" s="7" t="s">
        <v>16815</v>
      </c>
      <c r="J7477" s="7" t="s">
        <v>16582</v>
      </c>
      <c r="K7477" s="7" t="s">
        <v>16817</v>
      </c>
      <c r="L7477" s="198" t="s">
        <v>65</v>
      </c>
      <c r="M7477" s="194"/>
      <c r="N7477" s="194"/>
    </row>
    <row r="7478">
      <c r="A7478" s="193" t="s">
        <v>27327</v>
      </c>
      <c r="B7478" s="7" t="s">
        <v>175</v>
      </c>
      <c r="C7478" s="7" t="s">
        <v>17452</v>
      </c>
      <c r="D7478" s="199"/>
      <c r="E7478" s="193"/>
      <c r="F7478" s="195" t="s">
        <v>27328</v>
      </c>
      <c r="G7478" s="196">
        <v>2.1682143E7</v>
      </c>
      <c r="H7478" s="197">
        <v>3.15</v>
      </c>
      <c r="I7478" s="7" t="s">
        <v>16908</v>
      </c>
      <c r="J7478" s="7" t="s">
        <v>175</v>
      </c>
      <c r="K7478" s="7" t="s">
        <v>17452</v>
      </c>
      <c r="L7478" s="198" t="s">
        <v>65</v>
      </c>
      <c r="M7478" s="199"/>
      <c r="N7478" s="199"/>
    </row>
    <row r="7479">
      <c r="A7479" s="193" t="s">
        <v>27329</v>
      </c>
      <c r="B7479" s="7" t="s">
        <v>175</v>
      </c>
      <c r="C7479" s="7" t="s">
        <v>18310</v>
      </c>
      <c r="D7479" s="199"/>
      <c r="E7479" s="193"/>
      <c r="F7479" s="195" t="s">
        <v>27330</v>
      </c>
      <c r="G7479" s="196">
        <v>2.1677585E7</v>
      </c>
      <c r="H7479" s="197">
        <v>4.05</v>
      </c>
      <c r="I7479" s="7" t="s">
        <v>16908</v>
      </c>
      <c r="J7479" s="7" t="s">
        <v>175</v>
      </c>
      <c r="K7479" s="7" t="s">
        <v>18310</v>
      </c>
      <c r="L7479" s="198" t="s">
        <v>65</v>
      </c>
      <c r="M7479" s="199"/>
      <c r="N7479" s="199"/>
    </row>
    <row r="7480">
      <c r="A7480" s="193" t="s">
        <v>27331</v>
      </c>
      <c r="B7480" s="7" t="s">
        <v>169</v>
      </c>
      <c r="C7480" s="7" t="s">
        <v>16899</v>
      </c>
      <c r="D7480" s="194">
        <v>2021.0</v>
      </c>
      <c r="E7480" s="193"/>
      <c r="F7480" s="195" t="s">
        <v>27332</v>
      </c>
      <c r="G7480" s="196">
        <v>2.1677106E7</v>
      </c>
      <c r="H7480" s="197">
        <v>0.25</v>
      </c>
      <c r="I7480" s="7" t="s">
        <v>16815</v>
      </c>
      <c r="J7480" s="7" t="s">
        <v>169</v>
      </c>
      <c r="K7480" s="7" t="s">
        <v>16899</v>
      </c>
      <c r="L7480" s="198" t="s">
        <v>65</v>
      </c>
      <c r="M7480" s="194"/>
      <c r="N7480" s="194"/>
    </row>
    <row r="7481">
      <c r="A7481" s="193" t="s">
        <v>27333</v>
      </c>
      <c r="B7481" s="7" t="s">
        <v>175</v>
      </c>
      <c r="C7481" s="7" t="s">
        <v>16878</v>
      </c>
      <c r="D7481" s="194">
        <v>2021.0</v>
      </c>
      <c r="E7481" s="193"/>
      <c r="F7481" s="195" t="s">
        <v>27334</v>
      </c>
      <c r="G7481" s="196">
        <v>2.1566813E7</v>
      </c>
      <c r="H7481" s="197">
        <v>0.5001</v>
      </c>
      <c r="I7481" s="7" t="s">
        <v>16856</v>
      </c>
      <c r="J7481" s="7" t="s">
        <v>175</v>
      </c>
      <c r="K7481" s="7" t="s">
        <v>16878</v>
      </c>
      <c r="L7481" s="198" t="s">
        <v>65</v>
      </c>
      <c r="M7481" s="194"/>
      <c r="N7481" s="194"/>
    </row>
    <row r="7482">
      <c r="A7482" s="193" t="s">
        <v>27335</v>
      </c>
      <c r="B7482" s="7" t="s">
        <v>16910</v>
      </c>
      <c r="C7482" s="7" t="s">
        <v>16911</v>
      </c>
      <c r="D7482" s="199"/>
      <c r="E7482" s="193"/>
      <c r="F7482" s="195" t="s">
        <v>27336</v>
      </c>
      <c r="G7482" s="196">
        <v>2.1546056E7</v>
      </c>
      <c r="H7482" s="197">
        <v>4.34</v>
      </c>
      <c r="I7482" s="7" t="s">
        <v>18397</v>
      </c>
      <c r="J7482" s="7" t="s">
        <v>16910</v>
      </c>
      <c r="K7482" s="7" t="s">
        <v>16911</v>
      </c>
      <c r="L7482" s="198" t="s">
        <v>65</v>
      </c>
      <c r="M7482" s="199"/>
      <c r="N7482" s="199"/>
    </row>
    <row r="7483">
      <c r="A7483" s="193" t="s">
        <v>27337</v>
      </c>
      <c r="B7483" s="7" t="s">
        <v>16582</v>
      </c>
      <c r="C7483" s="7" t="s">
        <v>16817</v>
      </c>
      <c r="D7483" s="194">
        <v>2021.0</v>
      </c>
      <c r="E7483" s="193"/>
      <c r="F7483" s="195" t="s">
        <v>27338</v>
      </c>
      <c r="G7483" s="196">
        <v>2.1484419E7</v>
      </c>
      <c r="H7483" s="197">
        <v>2.42</v>
      </c>
      <c r="I7483" s="7" t="s">
        <v>16815</v>
      </c>
      <c r="J7483" s="7" t="s">
        <v>16582</v>
      </c>
      <c r="K7483" s="7" t="s">
        <v>16817</v>
      </c>
      <c r="L7483" s="198" t="s">
        <v>65</v>
      </c>
      <c r="M7483" s="194"/>
      <c r="N7483" s="194"/>
    </row>
    <row r="7484">
      <c r="A7484" s="193" t="s">
        <v>27339</v>
      </c>
      <c r="B7484" s="7" t="s">
        <v>16582</v>
      </c>
      <c r="C7484" s="7" t="s">
        <v>16930</v>
      </c>
      <c r="D7484" s="194">
        <v>2020.0</v>
      </c>
      <c r="E7484" s="193"/>
      <c r="F7484" s="195" t="s">
        <v>27340</v>
      </c>
      <c r="G7484" s="196">
        <v>2.1431542E7</v>
      </c>
      <c r="H7484" s="197">
        <v>0.1599</v>
      </c>
      <c r="I7484" s="7" t="s">
        <v>16815</v>
      </c>
      <c r="J7484" s="7" t="s">
        <v>16582</v>
      </c>
      <c r="K7484" s="7" t="s">
        <v>16930</v>
      </c>
      <c r="L7484" s="198" t="s">
        <v>65</v>
      </c>
      <c r="M7484" s="194"/>
      <c r="N7484" s="194"/>
    </row>
    <row r="7485">
      <c r="A7485" s="193" t="s">
        <v>27341</v>
      </c>
      <c r="B7485" s="7" t="s">
        <v>16582</v>
      </c>
      <c r="C7485" s="7" t="s">
        <v>16930</v>
      </c>
      <c r="D7485" s="199"/>
      <c r="E7485" s="193"/>
      <c r="F7485" s="195" t="s">
        <v>27342</v>
      </c>
      <c r="G7485" s="196">
        <v>2.1398464E7</v>
      </c>
      <c r="H7485" s="197">
        <v>1.53</v>
      </c>
      <c r="I7485" s="7" t="s">
        <v>16815</v>
      </c>
      <c r="J7485" s="7" t="s">
        <v>16582</v>
      </c>
      <c r="K7485" s="7" t="s">
        <v>16930</v>
      </c>
      <c r="L7485" s="198" t="s">
        <v>65</v>
      </c>
      <c r="M7485" s="199"/>
      <c r="N7485" s="199"/>
    </row>
    <row r="7486">
      <c r="A7486" s="193" t="s">
        <v>27343</v>
      </c>
      <c r="B7486" s="7" t="s">
        <v>175</v>
      </c>
      <c r="C7486" s="7" t="s">
        <v>16972</v>
      </c>
      <c r="D7486" s="199"/>
      <c r="E7486" s="193"/>
      <c r="F7486" s="195" t="s">
        <v>27344</v>
      </c>
      <c r="G7486" s="196">
        <v>2.1327616E7</v>
      </c>
      <c r="H7486" s="197">
        <v>1.65</v>
      </c>
      <c r="I7486" s="7" t="s">
        <v>16908</v>
      </c>
      <c r="J7486" s="7" t="s">
        <v>175</v>
      </c>
      <c r="K7486" s="7" t="s">
        <v>16972</v>
      </c>
      <c r="L7486" s="198" t="s">
        <v>65</v>
      </c>
      <c r="M7486" s="199"/>
      <c r="N7486" s="199"/>
    </row>
    <row r="7487">
      <c r="A7487" s="193" t="s">
        <v>27345</v>
      </c>
      <c r="B7487" s="7" t="s">
        <v>175</v>
      </c>
      <c r="C7487" s="7" t="s">
        <v>17218</v>
      </c>
      <c r="D7487" s="199"/>
      <c r="E7487" s="193"/>
      <c r="F7487" s="195" t="s">
        <v>27346</v>
      </c>
      <c r="G7487" s="196">
        <v>2.1301008E7</v>
      </c>
      <c r="H7487" s="197">
        <v>1.5</v>
      </c>
      <c r="I7487" s="7" t="s">
        <v>16908</v>
      </c>
      <c r="J7487" s="7" t="s">
        <v>175</v>
      </c>
      <c r="K7487" s="7" t="s">
        <v>17218</v>
      </c>
      <c r="L7487" s="198" t="s">
        <v>65</v>
      </c>
      <c r="M7487" s="199"/>
      <c r="N7487" s="199"/>
    </row>
    <row r="7488">
      <c r="A7488" s="193" t="s">
        <v>27347</v>
      </c>
      <c r="B7488" s="7" t="s">
        <v>175</v>
      </c>
      <c r="C7488" s="7" t="s">
        <v>17452</v>
      </c>
      <c r="D7488" s="194">
        <v>1998.0</v>
      </c>
      <c r="E7488" s="193"/>
      <c r="F7488" s="195" t="s">
        <v>27348</v>
      </c>
      <c r="G7488" s="196">
        <v>2.1255503E7</v>
      </c>
      <c r="H7488" s="197">
        <v>0.67</v>
      </c>
      <c r="I7488" s="7" t="s">
        <v>168</v>
      </c>
      <c r="J7488" s="7" t="s">
        <v>175</v>
      </c>
      <c r="K7488" s="7" t="s">
        <v>17452</v>
      </c>
      <c r="L7488" s="198" t="s">
        <v>65</v>
      </c>
      <c r="M7488" s="194"/>
      <c r="N7488" s="194"/>
    </row>
    <row r="7489">
      <c r="A7489" s="193" t="s">
        <v>27347</v>
      </c>
      <c r="B7489" s="202" t="s">
        <v>17452</v>
      </c>
      <c r="C7489" s="193" t="s">
        <v>175</v>
      </c>
      <c r="D7489" s="193">
        <v>1998.0</v>
      </c>
      <c r="E7489" s="193"/>
      <c r="F7489" s="203" t="s">
        <v>27348</v>
      </c>
      <c r="G7489" s="200">
        <v>2.1255503E7</v>
      </c>
      <c r="H7489" s="205">
        <v>0.593</v>
      </c>
      <c r="J7489" s="202" t="s">
        <v>17452</v>
      </c>
      <c r="K7489" s="193" t="s">
        <v>175</v>
      </c>
      <c r="L7489" s="193" t="s">
        <v>17471</v>
      </c>
      <c r="M7489" s="193"/>
      <c r="N7489" s="193"/>
    </row>
    <row r="7490">
      <c r="A7490" s="193" t="s">
        <v>27349</v>
      </c>
      <c r="B7490" s="7" t="s">
        <v>187</v>
      </c>
      <c r="C7490" s="7" t="s">
        <v>16846</v>
      </c>
      <c r="D7490" s="194">
        <v>2017.0</v>
      </c>
      <c r="E7490" s="193"/>
      <c r="F7490" s="195" t="s">
        <v>27350</v>
      </c>
      <c r="G7490" s="196">
        <v>2.1211019E7</v>
      </c>
      <c r="H7490" s="197">
        <v>0.405</v>
      </c>
      <c r="I7490" s="7" t="s">
        <v>16815</v>
      </c>
      <c r="J7490" s="7" t="s">
        <v>187</v>
      </c>
      <c r="K7490" s="7" t="s">
        <v>16846</v>
      </c>
      <c r="L7490" s="198" t="s">
        <v>65</v>
      </c>
      <c r="M7490" s="194"/>
      <c r="N7490" s="194"/>
    </row>
    <row r="7491">
      <c r="A7491" s="193" t="s">
        <v>27351</v>
      </c>
      <c r="B7491" s="7" t="s">
        <v>175</v>
      </c>
      <c r="C7491" s="7" t="s">
        <v>19139</v>
      </c>
      <c r="D7491" s="199"/>
      <c r="E7491" s="193"/>
      <c r="F7491" s="195" t="s">
        <v>27352</v>
      </c>
      <c r="G7491" s="196">
        <v>2.1195407E7</v>
      </c>
      <c r="H7491" s="197">
        <v>2.38</v>
      </c>
      <c r="I7491" s="7" t="s">
        <v>174</v>
      </c>
      <c r="J7491" s="7" t="s">
        <v>175</v>
      </c>
      <c r="K7491" s="7" t="s">
        <v>19139</v>
      </c>
      <c r="L7491" s="198" t="s">
        <v>65</v>
      </c>
      <c r="M7491" s="199"/>
      <c r="N7491" s="199"/>
    </row>
    <row r="7492">
      <c r="A7492" s="193" t="s">
        <v>27353</v>
      </c>
      <c r="B7492" s="7" t="s">
        <v>175</v>
      </c>
      <c r="C7492" s="7" t="s">
        <v>16842</v>
      </c>
      <c r="D7492" s="194">
        <v>2022.0</v>
      </c>
      <c r="E7492" s="193"/>
      <c r="F7492" s="195" t="s">
        <v>27354</v>
      </c>
      <c r="G7492" s="196">
        <v>2.1185464E7</v>
      </c>
      <c r="H7492" s="197">
        <v>0.995</v>
      </c>
      <c r="I7492" s="7" t="s">
        <v>168</v>
      </c>
      <c r="J7492" s="7" t="s">
        <v>175</v>
      </c>
      <c r="K7492" s="7" t="s">
        <v>16842</v>
      </c>
      <c r="L7492" s="198" t="s">
        <v>65</v>
      </c>
      <c r="M7492" s="194"/>
      <c r="N7492" s="194"/>
    </row>
    <row r="7493">
      <c r="A7493" s="193" t="s">
        <v>27355</v>
      </c>
      <c r="B7493" s="7" t="s">
        <v>187</v>
      </c>
      <c r="C7493" s="7" t="s">
        <v>16846</v>
      </c>
      <c r="D7493" s="194">
        <v>2023.0</v>
      </c>
      <c r="E7493" s="193"/>
      <c r="F7493" s="195" t="s">
        <v>27356</v>
      </c>
      <c r="G7493" s="196">
        <v>2.1170875E7</v>
      </c>
      <c r="H7493" s="197">
        <v>1.75</v>
      </c>
      <c r="I7493" s="7" t="s">
        <v>16815</v>
      </c>
      <c r="J7493" s="7" t="s">
        <v>187</v>
      </c>
      <c r="K7493" s="7" t="s">
        <v>16846</v>
      </c>
      <c r="L7493" s="198" t="s">
        <v>65</v>
      </c>
      <c r="M7493" s="194"/>
      <c r="N7493" s="194"/>
    </row>
    <row r="7494">
      <c r="A7494" s="193" t="s">
        <v>27355</v>
      </c>
      <c r="B7494" s="202" t="s">
        <v>16846</v>
      </c>
      <c r="C7494" s="193" t="s">
        <v>187</v>
      </c>
      <c r="D7494" s="193">
        <v>2023.0</v>
      </c>
      <c r="E7494" s="193"/>
      <c r="F7494" s="203" t="s">
        <v>27356</v>
      </c>
      <c r="G7494" s="200">
        <v>2.1170875E7</v>
      </c>
      <c r="H7494" s="205">
        <v>0.67</v>
      </c>
      <c r="J7494" s="202" t="s">
        <v>16846</v>
      </c>
      <c r="K7494" s="193" t="s">
        <v>187</v>
      </c>
      <c r="L7494" s="193" t="s">
        <v>17471</v>
      </c>
      <c r="M7494" s="193"/>
      <c r="N7494" s="193"/>
    </row>
    <row r="7495">
      <c r="A7495" s="193" t="s">
        <v>27357</v>
      </c>
      <c r="B7495" s="7" t="s">
        <v>187</v>
      </c>
      <c r="C7495" s="7" t="s">
        <v>16846</v>
      </c>
      <c r="D7495" s="199"/>
      <c r="E7495" s="193"/>
      <c r="F7495" s="195" t="s">
        <v>27358</v>
      </c>
      <c r="G7495" s="196">
        <v>2.115048E7</v>
      </c>
      <c r="H7495" s="197">
        <v>2.0</v>
      </c>
      <c r="I7495" s="7" t="s">
        <v>16815</v>
      </c>
      <c r="J7495" s="7" t="s">
        <v>187</v>
      </c>
      <c r="K7495" s="7" t="s">
        <v>16846</v>
      </c>
      <c r="L7495" s="198" t="s">
        <v>65</v>
      </c>
      <c r="M7495" s="199"/>
      <c r="N7495" s="199"/>
    </row>
    <row r="7496">
      <c r="A7496" s="193" t="s">
        <v>27359</v>
      </c>
      <c r="B7496" s="7" t="s">
        <v>17112</v>
      </c>
      <c r="C7496" s="7" t="s">
        <v>17218</v>
      </c>
      <c r="D7496" s="194">
        <v>2020.0</v>
      </c>
      <c r="E7496" s="193"/>
      <c r="F7496" s="195" t="s">
        <v>27360</v>
      </c>
      <c r="G7496" s="196">
        <v>2.11253E7</v>
      </c>
      <c r="H7496" s="197">
        <v>1.03</v>
      </c>
      <c r="I7496" s="7" t="s">
        <v>16815</v>
      </c>
      <c r="J7496" s="7" t="s">
        <v>17112</v>
      </c>
      <c r="K7496" s="7" t="s">
        <v>17218</v>
      </c>
      <c r="L7496" s="198" t="s">
        <v>65</v>
      </c>
      <c r="M7496" s="194"/>
      <c r="N7496" s="194"/>
    </row>
    <row r="7497">
      <c r="A7497" s="193" t="s">
        <v>27361</v>
      </c>
      <c r="B7497" s="7" t="s">
        <v>187</v>
      </c>
      <c r="C7497" s="7" t="s">
        <v>16992</v>
      </c>
      <c r="D7497" s="194">
        <v>2021.0</v>
      </c>
      <c r="E7497" s="193"/>
      <c r="F7497" s="195" t="s">
        <v>27362</v>
      </c>
      <c r="G7497" s="196">
        <v>2.1009712E7</v>
      </c>
      <c r="H7497" s="197">
        <v>1.03</v>
      </c>
      <c r="I7497" s="7" t="s">
        <v>16815</v>
      </c>
      <c r="J7497" s="7" t="s">
        <v>187</v>
      </c>
      <c r="K7497" s="7" t="s">
        <v>16992</v>
      </c>
      <c r="L7497" s="198" t="s">
        <v>65</v>
      </c>
      <c r="M7497" s="194"/>
      <c r="N7497" s="194"/>
    </row>
    <row r="7498">
      <c r="A7498" s="193" t="s">
        <v>27363</v>
      </c>
      <c r="B7498" s="7" t="s">
        <v>16838</v>
      </c>
      <c r="C7498" s="7" t="s">
        <v>18219</v>
      </c>
      <c r="D7498" s="194">
        <v>2020.0</v>
      </c>
      <c r="E7498" s="193"/>
      <c r="F7498" s="195" t="s">
        <v>27364</v>
      </c>
      <c r="G7498" s="196">
        <v>2.0844051E7</v>
      </c>
      <c r="H7498" s="197">
        <v>11.475</v>
      </c>
      <c r="I7498" s="7" t="s">
        <v>16815</v>
      </c>
      <c r="J7498" s="7" t="s">
        <v>16838</v>
      </c>
      <c r="K7498" s="7" t="s">
        <v>18219</v>
      </c>
      <c r="L7498" s="198" t="s">
        <v>65</v>
      </c>
      <c r="M7498" s="194"/>
      <c r="N7498" s="194"/>
    </row>
    <row r="7499">
      <c r="A7499" s="193" t="s">
        <v>27365</v>
      </c>
      <c r="B7499" s="7" t="s">
        <v>16582</v>
      </c>
      <c r="C7499" s="7" t="s">
        <v>16930</v>
      </c>
      <c r="D7499" s="199"/>
      <c r="E7499" s="193"/>
      <c r="F7499" s="195" t="s">
        <v>27366</v>
      </c>
      <c r="G7499" s="196">
        <v>2.078996E7</v>
      </c>
      <c r="H7499" s="197">
        <v>0.353</v>
      </c>
      <c r="I7499" s="7" t="s">
        <v>16815</v>
      </c>
      <c r="J7499" s="7" t="s">
        <v>16582</v>
      </c>
      <c r="K7499" s="7" t="s">
        <v>16930</v>
      </c>
      <c r="L7499" s="198" t="s">
        <v>65</v>
      </c>
      <c r="M7499" s="199"/>
      <c r="N7499" s="199"/>
    </row>
    <row r="7500">
      <c r="A7500" s="193" t="s">
        <v>27367</v>
      </c>
      <c r="B7500" s="7" t="s">
        <v>16838</v>
      </c>
      <c r="C7500" s="7" t="s">
        <v>17202</v>
      </c>
      <c r="D7500" s="194">
        <v>2020.0</v>
      </c>
      <c r="E7500" s="193"/>
      <c r="F7500" s="195" t="s">
        <v>27368</v>
      </c>
      <c r="G7500" s="196">
        <v>2.0777357E7</v>
      </c>
      <c r="H7500" s="197">
        <v>0.33</v>
      </c>
      <c r="I7500" s="7" t="s">
        <v>16872</v>
      </c>
      <c r="J7500" s="7" t="s">
        <v>16838</v>
      </c>
      <c r="K7500" s="7" t="s">
        <v>17202</v>
      </c>
      <c r="L7500" s="198" t="s">
        <v>65</v>
      </c>
      <c r="M7500" s="194"/>
      <c r="N7500" s="194"/>
    </row>
    <row r="7501">
      <c r="A7501" s="193" t="s">
        <v>27369</v>
      </c>
      <c r="B7501" s="7" t="s">
        <v>187</v>
      </c>
      <c r="C7501" s="7" t="s">
        <v>16846</v>
      </c>
      <c r="D7501" s="194">
        <v>2021.0</v>
      </c>
      <c r="E7501" s="193"/>
      <c r="F7501" s="195" t="s">
        <v>27370</v>
      </c>
      <c r="G7501" s="196">
        <v>2.0751957E7</v>
      </c>
      <c r="H7501" s="197">
        <v>0.6399</v>
      </c>
      <c r="I7501" s="7" t="s">
        <v>16815</v>
      </c>
      <c r="J7501" s="7" t="s">
        <v>187</v>
      </c>
      <c r="K7501" s="7" t="s">
        <v>16846</v>
      </c>
      <c r="L7501" s="198" t="s">
        <v>65</v>
      </c>
      <c r="M7501" s="194"/>
      <c r="N7501" s="194"/>
    </row>
    <row r="7502">
      <c r="A7502" s="193" t="s">
        <v>27371</v>
      </c>
      <c r="B7502" s="7" t="s">
        <v>16582</v>
      </c>
      <c r="C7502" s="7" t="s">
        <v>17183</v>
      </c>
      <c r="D7502" s="194">
        <v>1995.0</v>
      </c>
      <c r="E7502" s="193"/>
      <c r="F7502" s="195" t="s">
        <v>27372</v>
      </c>
      <c r="G7502" s="196">
        <v>2.0706608E7</v>
      </c>
      <c r="H7502" s="197">
        <v>3.4533</v>
      </c>
      <c r="I7502" s="7" t="s">
        <v>16815</v>
      </c>
      <c r="J7502" s="7" t="s">
        <v>16582</v>
      </c>
      <c r="K7502" s="7" t="s">
        <v>17183</v>
      </c>
      <c r="L7502" s="198" t="s">
        <v>65</v>
      </c>
      <c r="M7502" s="194"/>
      <c r="N7502" s="194"/>
    </row>
    <row r="7503">
      <c r="A7503" s="193" t="s">
        <v>27373</v>
      </c>
      <c r="B7503" s="7" t="s">
        <v>16582</v>
      </c>
      <c r="C7503" s="7" t="s">
        <v>16828</v>
      </c>
      <c r="D7503" s="199"/>
      <c r="E7503" s="193"/>
      <c r="F7503" s="195" t="s">
        <v>27374</v>
      </c>
      <c r="G7503" s="196">
        <v>2.068922E7</v>
      </c>
      <c r="H7503" s="197">
        <v>0.6705</v>
      </c>
      <c r="I7503" s="7" t="s">
        <v>16815</v>
      </c>
      <c r="J7503" s="7" t="s">
        <v>16582</v>
      </c>
      <c r="K7503" s="7" t="s">
        <v>16828</v>
      </c>
      <c r="L7503" s="198" t="s">
        <v>65</v>
      </c>
      <c r="M7503" s="199"/>
      <c r="N7503" s="199"/>
    </row>
    <row r="7504">
      <c r="A7504" s="193" t="s">
        <v>27375</v>
      </c>
      <c r="B7504" s="7" t="s">
        <v>169</v>
      </c>
      <c r="C7504" s="7" t="s">
        <v>16899</v>
      </c>
      <c r="D7504" s="194">
        <v>2022.0</v>
      </c>
      <c r="E7504" s="193"/>
      <c r="F7504" s="195" t="s">
        <v>27376</v>
      </c>
      <c r="G7504" s="196">
        <v>2.0655414E7</v>
      </c>
      <c r="H7504" s="197">
        <v>0.3945</v>
      </c>
      <c r="I7504" s="7" t="s">
        <v>16815</v>
      </c>
      <c r="J7504" s="7" t="s">
        <v>169</v>
      </c>
      <c r="K7504" s="7" t="s">
        <v>16899</v>
      </c>
      <c r="L7504" s="198" t="s">
        <v>65</v>
      </c>
      <c r="M7504" s="194"/>
      <c r="N7504" s="194"/>
    </row>
    <row r="7505">
      <c r="A7505" s="193" t="s">
        <v>27375</v>
      </c>
      <c r="B7505" s="202" t="s">
        <v>16899</v>
      </c>
      <c r="C7505" s="193" t="s">
        <v>169</v>
      </c>
      <c r="D7505" s="193">
        <v>2022.0</v>
      </c>
      <c r="E7505" s="193"/>
      <c r="F7505" s="203" t="s">
        <v>27376</v>
      </c>
      <c r="G7505" s="200">
        <v>2.0655414E7</v>
      </c>
      <c r="H7505" s="205">
        <v>1.75</v>
      </c>
      <c r="J7505" s="202" t="s">
        <v>16899</v>
      </c>
      <c r="K7505" s="193" t="s">
        <v>169</v>
      </c>
      <c r="L7505" s="193" t="s">
        <v>17471</v>
      </c>
      <c r="M7505" s="193"/>
      <c r="N7505" s="193"/>
    </row>
    <row r="7506">
      <c r="A7506" s="193" t="s">
        <v>27377</v>
      </c>
      <c r="B7506" s="7" t="s">
        <v>187</v>
      </c>
      <c r="C7506" s="7" t="s">
        <v>16858</v>
      </c>
      <c r="D7506" s="194">
        <v>1997.0</v>
      </c>
      <c r="E7506" s="193"/>
      <c r="F7506" s="195" t="s">
        <v>27378</v>
      </c>
      <c r="G7506" s="196">
        <v>2.0587591E7</v>
      </c>
      <c r="H7506" s="197">
        <v>0.423</v>
      </c>
      <c r="I7506" s="7" t="s">
        <v>16815</v>
      </c>
      <c r="J7506" s="7" t="s">
        <v>187</v>
      </c>
      <c r="K7506" s="7" t="s">
        <v>16858</v>
      </c>
      <c r="L7506" s="198" t="s">
        <v>65</v>
      </c>
      <c r="M7506" s="194"/>
      <c r="N7506" s="194"/>
    </row>
    <row r="7507">
      <c r="A7507" s="193" t="s">
        <v>27377</v>
      </c>
      <c r="B7507" s="202" t="s">
        <v>16858</v>
      </c>
      <c r="C7507" s="193" t="s">
        <v>187</v>
      </c>
      <c r="D7507" s="193">
        <v>1997.0</v>
      </c>
      <c r="E7507" s="193"/>
      <c r="F7507" s="203" t="s">
        <v>27378</v>
      </c>
      <c r="G7507" s="200">
        <v>2.0587591E7</v>
      </c>
      <c r="H7507" s="205">
        <v>0.3945</v>
      </c>
      <c r="J7507" s="202" t="s">
        <v>16858</v>
      </c>
      <c r="K7507" s="193" t="s">
        <v>187</v>
      </c>
      <c r="L7507" s="193" t="s">
        <v>17471</v>
      </c>
      <c r="M7507" s="193"/>
      <c r="N7507" s="193"/>
    </row>
    <row r="7508">
      <c r="A7508" s="193" t="s">
        <v>27379</v>
      </c>
      <c r="B7508" s="7" t="s">
        <v>187</v>
      </c>
      <c r="C7508" s="7" t="s">
        <v>16969</v>
      </c>
      <c r="D7508" s="199"/>
      <c r="E7508" s="193"/>
      <c r="F7508" s="195" t="s">
        <v>27380</v>
      </c>
      <c r="G7508" s="196">
        <v>2.0550467E7</v>
      </c>
      <c r="H7508" s="197">
        <v>1.96</v>
      </c>
      <c r="I7508" s="7" t="s">
        <v>16815</v>
      </c>
      <c r="J7508" s="7" t="s">
        <v>187</v>
      </c>
      <c r="K7508" s="7" t="s">
        <v>16969</v>
      </c>
      <c r="L7508" s="198" t="s">
        <v>65</v>
      </c>
      <c r="M7508" s="199"/>
      <c r="N7508" s="199"/>
    </row>
    <row r="7509">
      <c r="A7509" s="193" t="s">
        <v>27381</v>
      </c>
      <c r="B7509" s="7" t="s">
        <v>16582</v>
      </c>
      <c r="C7509" s="7" t="s">
        <v>16930</v>
      </c>
      <c r="D7509" s="194">
        <v>2021.0</v>
      </c>
      <c r="E7509" s="193"/>
      <c r="F7509" s="195" t="s">
        <v>27382</v>
      </c>
      <c r="G7509" s="196">
        <v>2.0542799E7</v>
      </c>
      <c r="H7509" s="197">
        <v>1.36</v>
      </c>
      <c r="I7509" s="7" t="s">
        <v>16815</v>
      </c>
      <c r="J7509" s="7" t="s">
        <v>16582</v>
      </c>
      <c r="K7509" s="7" t="s">
        <v>16930</v>
      </c>
      <c r="L7509" s="198" t="s">
        <v>65</v>
      </c>
      <c r="M7509" s="194"/>
      <c r="N7509" s="194"/>
    </row>
    <row r="7510">
      <c r="A7510" s="193" t="s">
        <v>27383</v>
      </c>
      <c r="D7510" s="194">
        <v>2023.0</v>
      </c>
      <c r="E7510" s="193"/>
      <c r="F7510" s="195" t="s">
        <v>27384</v>
      </c>
      <c r="G7510" s="196">
        <v>2.046E7</v>
      </c>
      <c r="H7510" s="197">
        <v>0.93</v>
      </c>
      <c r="I7510" s="7" t="s">
        <v>16815</v>
      </c>
      <c r="L7510" s="198" t="s">
        <v>65</v>
      </c>
      <c r="M7510" s="194"/>
      <c r="N7510" s="194"/>
    </row>
    <row r="7511">
      <c r="A7511" s="193" t="s">
        <v>27385</v>
      </c>
      <c r="B7511" s="7" t="s">
        <v>16582</v>
      </c>
      <c r="C7511" s="7" t="s">
        <v>16930</v>
      </c>
      <c r="D7511" s="199"/>
      <c r="E7511" s="193"/>
      <c r="F7511" s="195" t="s">
        <v>27386</v>
      </c>
      <c r="G7511" s="196">
        <v>2.0435535E7</v>
      </c>
      <c r="H7511" s="197">
        <v>2.99</v>
      </c>
      <c r="I7511" s="7" t="s">
        <v>16815</v>
      </c>
      <c r="J7511" s="7" t="s">
        <v>16582</v>
      </c>
      <c r="K7511" s="7" t="s">
        <v>16930</v>
      </c>
      <c r="L7511" s="198" t="s">
        <v>65</v>
      </c>
      <c r="M7511" s="199"/>
      <c r="N7511" s="199"/>
    </row>
    <row r="7512">
      <c r="A7512" s="193" t="s">
        <v>27387</v>
      </c>
      <c r="B7512" s="7" t="s">
        <v>187</v>
      </c>
      <c r="C7512" s="7" t="s">
        <v>18005</v>
      </c>
      <c r="D7512" s="194">
        <v>2015.0</v>
      </c>
      <c r="E7512" s="193"/>
      <c r="F7512" s="195" t="s">
        <v>27388</v>
      </c>
      <c r="G7512" s="196">
        <v>2.04165E7</v>
      </c>
      <c r="H7512" s="197">
        <v>3.49</v>
      </c>
      <c r="I7512" s="7" t="s">
        <v>16815</v>
      </c>
      <c r="J7512" s="7" t="s">
        <v>187</v>
      </c>
      <c r="K7512" s="7" t="s">
        <v>18005</v>
      </c>
      <c r="L7512" s="198" t="s">
        <v>65</v>
      </c>
      <c r="M7512" s="194"/>
      <c r="N7512" s="194"/>
    </row>
    <row r="7513">
      <c r="A7513" s="193" t="s">
        <v>27389</v>
      </c>
      <c r="B7513" s="7" t="s">
        <v>175</v>
      </c>
      <c r="C7513" s="7" t="s">
        <v>17619</v>
      </c>
      <c r="D7513" s="194">
        <v>1999.0</v>
      </c>
      <c r="E7513" s="193"/>
      <c r="F7513" s="195" t="s">
        <v>27390</v>
      </c>
      <c r="G7513" s="196">
        <v>2.0377208E7</v>
      </c>
      <c r="H7513" s="197">
        <v>0.7487</v>
      </c>
      <c r="I7513" s="7" t="s">
        <v>17033</v>
      </c>
      <c r="J7513" s="7" t="s">
        <v>175</v>
      </c>
      <c r="K7513" s="7" t="s">
        <v>17619</v>
      </c>
      <c r="L7513" s="198" t="s">
        <v>65</v>
      </c>
      <c r="M7513" s="194"/>
      <c r="N7513" s="194"/>
    </row>
    <row r="7514">
      <c r="A7514" s="193" t="s">
        <v>27391</v>
      </c>
      <c r="B7514" s="7" t="s">
        <v>16910</v>
      </c>
      <c r="C7514" s="7" t="s">
        <v>16911</v>
      </c>
      <c r="D7514" s="194">
        <v>2021.0</v>
      </c>
      <c r="E7514" s="193"/>
      <c r="F7514" s="195" t="s">
        <v>27392</v>
      </c>
      <c r="G7514" s="196">
        <v>2.035212E7</v>
      </c>
      <c r="H7514" s="197">
        <v>0.4754</v>
      </c>
      <c r="I7514" s="7" t="s">
        <v>16917</v>
      </c>
      <c r="J7514" s="7" t="s">
        <v>16910</v>
      </c>
      <c r="K7514" s="7" t="s">
        <v>16911</v>
      </c>
      <c r="L7514" s="198" t="s">
        <v>65</v>
      </c>
      <c r="M7514" s="194"/>
      <c r="N7514" s="194"/>
    </row>
    <row r="7515">
      <c r="A7515" s="193" t="s">
        <v>27391</v>
      </c>
      <c r="B7515" s="202" t="s">
        <v>16911</v>
      </c>
      <c r="C7515" s="193" t="s">
        <v>16910</v>
      </c>
      <c r="D7515" s="193">
        <v>2021.0</v>
      </c>
      <c r="E7515" s="193"/>
      <c r="F7515" s="203" t="s">
        <v>27392</v>
      </c>
      <c r="G7515" s="200">
        <v>2.035212E7</v>
      </c>
      <c r="H7515" s="205">
        <v>0.423</v>
      </c>
      <c r="J7515" s="202" t="s">
        <v>16911</v>
      </c>
      <c r="K7515" s="193" t="s">
        <v>16910</v>
      </c>
      <c r="L7515" s="193" t="s">
        <v>17471</v>
      </c>
      <c r="M7515" s="193"/>
      <c r="N7515" s="193"/>
    </row>
    <row r="7516">
      <c r="A7516" s="193" t="s">
        <v>27393</v>
      </c>
      <c r="B7516" s="7" t="s">
        <v>187</v>
      </c>
      <c r="C7516" s="7" t="s">
        <v>16846</v>
      </c>
      <c r="D7516" s="194">
        <v>2015.0</v>
      </c>
      <c r="E7516" s="193"/>
      <c r="F7516" s="195" t="s">
        <v>27394</v>
      </c>
      <c r="G7516" s="196">
        <v>2.032966E7</v>
      </c>
      <c r="H7516" s="197">
        <v>1.1</v>
      </c>
      <c r="I7516" s="7" t="s">
        <v>16815</v>
      </c>
      <c r="J7516" s="7" t="s">
        <v>187</v>
      </c>
      <c r="K7516" s="7" t="s">
        <v>16846</v>
      </c>
      <c r="L7516" s="198" t="s">
        <v>65</v>
      </c>
      <c r="M7516" s="194"/>
      <c r="N7516" s="194"/>
    </row>
    <row r="7517">
      <c r="A7517" s="193" t="s">
        <v>27395</v>
      </c>
      <c r="B7517" s="7" t="s">
        <v>187</v>
      </c>
      <c r="C7517" s="7" t="s">
        <v>16969</v>
      </c>
      <c r="D7517" s="199"/>
      <c r="E7517" s="193"/>
      <c r="F7517" s="195" t="s">
        <v>27396</v>
      </c>
      <c r="G7517" s="196">
        <v>2.0213442E7</v>
      </c>
      <c r="H7517" s="197">
        <v>1.42</v>
      </c>
      <c r="I7517" s="7" t="s">
        <v>16815</v>
      </c>
      <c r="J7517" s="7" t="s">
        <v>187</v>
      </c>
      <c r="K7517" s="7" t="s">
        <v>16969</v>
      </c>
      <c r="L7517" s="198" t="s">
        <v>65</v>
      </c>
      <c r="M7517" s="199"/>
      <c r="N7517" s="199"/>
    </row>
    <row r="7518">
      <c r="A7518" s="193" t="s">
        <v>27397</v>
      </c>
      <c r="B7518" s="7" t="s">
        <v>187</v>
      </c>
      <c r="C7518" s="7" t="s">
        <v>16858</v>
      </c>
      <c r="D7518" s="194">
        <v>2018.0</v>
      </c>
      <c r="E7518" s="193"/>
      <c r="F7518" s="195" t="s">
        <v>27398</v>
      </c>
      <c r="G7518" s="196">
        <v>2.0169766E7</v>
      </c>
      <c r="H7518" s="197">
        <v>0.7</v>
      </c>
      <c r="I7518" s="7" t="s">
        <v>16815</v>
      </c>
      <c r="J7518" s="7" t="s">
        <v>187</v>
      </c>
      <c r="K7518" s="7" t="s">
        <v>16858</v>
      </c>
      <c r="L7518" s="198" t="s">
        <v>65</v>
      </c>
      <c r="M7518" s="194"/>
      <c r="N7518" s="194"/>
    </row>
    <row r="7519">
      <c r="A7519" s="193" t="s">
        <v>27399</v>
      </c>
      <c r="B7519" s="7" t="s">
        <v>17629</v>
      </c>
      <c r="C7519" s="7" t="s">
        <v>16899</v>
      </c>
      <c r="D7519" s="194">
        <v>2021.0</v>
      </c>
      <c r="E7519" s="193"/>
      <c r="F7519" s="195" t="s">
        <v>27400</v>
      </c>
      <c r="G7519" s="196">
        <v>2.0162164E7</v>
      </c>
      <c r="H7519" s="197">
        <v>0.5289</v>
      </c>
      <c r="I7519" s="7" t="s">
        <v>16815</v>
      </c>
      <c r="J7519" s="7" t="s">
        <v>17629</v>
      </c>
      <c r="K7519" s="7" t="s">
        <v>16899</v>
      </c>
      <c r="L7519" s="198" t="s">
        <v>65</v>
      </c>
      <c r="M7519" s="194"/>
      <c r="N7519" s="194"/>
    </row>
    <row r="7520">
      <c r="A7520" s="193" t="s">
        <v>27399</v>
      </c>
      <c r="B7520" s="7" t="s">
        <v>16899</v>
      </c>
      <c r="C7520" s="7" t="s">
        <v>17629</v>
      </c>
      <c r="D7520" s="194">
        <v>2021.0</v>
      </c>
      <c r="E7520" s="193"/>
      <c r="F7520" s="195" t="s">
        <v>27400</v>
      </c>
      <c r="G7520" s="200">
        <v>2.0162164E7</v>
      </c>
      <c r="H7520" s="197">
        <v>0.5289</v>
      </c>
      <c r="I7520" s="7" t="s">
        <v>16815</v>
      </c>
      <c r="J7520" s="7" t="s">
        <v>16899</v>
      </c>
      <c r="K7520" s="7" t="s">
        <v>17629</v>
      </c>
      <c r="L7520" s="201" t="s">
        <v>16835</v>
      </c>
      <c r="M7520" s="194"/>
      <c r="N7520" s="194"/>
    </row>
    <row r="7521">
      <c r="A7521" s="193" t="s">
        <v>27401</v>
      </c>
      <c r="B7521" s="7" t="s">
        <v>187</v>
      </c>
      <c r="C7521" s="7" t="s">
        <v>16846</v>
      </c>
      <c r="D7521" s="194">
        <v>2021.0</v>
      </c>
      <c r="E7521" s="193"/>
      <c r="F7521" s="195" t="s">
        <v>27402</v>
      </c>
      <c r="G7521" s="196">
        <v>2.0156288E7</v>
      </c>
      <c r="H7521" s="197">
        <v>0.58</v>
      </c>
      <c r="I7521" s="7" t="s">
        <v>16815</v>
      </c>
      <c r="J7521" s="7" t="s">
        <v>187</v>
      </c>
      <c r="K7521" s="7" t="s">
        <v>16846</v>
      </c>
      <c r="L7521" s="198" t="s">
        <v>65</v>
      </c>
      <c r="M7521" s="194"/>
      <c r="N7521" s="194"/>
    </row>
    <row r="7522">
      <c r="A7522" s="193" t="s">
        <v>27403</v>
      </c>
      <c r="B7522" s="7" t="s">
        <v>18679</v>
      </c>
      <c r="C7522" s="7" t="s">
        <v>16838</v>
      </c>
      <c r="D7522" s="199"/>
      <c r="E7522" s="193"/>
      <c r="F7522" s="195" t="s">
        <v>27404</v>
      </c>
      <c r="G7522" s="200">
        <v>2.0142038E7</v>
      </c>
      <c r="H7522" s="197">
        <v>1.49</v>
      </c>
      <c r="I7522" s="7" t="s">
        <v>16815</v>
      </c>
      <c r="J7522" s="7" t="s">
        <v>18679</v>
      </c>
      <c r="K7522" s="7" t="s">
        <v>16838</v>
      </c>
      <c r="L7522" s="201" t="s">
        <v>16835</v>
      </c>
      <c r="M7522" s="199"/>
      <c r="N7522" s="199"/>
    </row>
    <row r="7523">
      <c r="A7523" s="193" t="s">
        <v>27403</v>
      </c>
      <c r="B7523" s="7" t="s">
        <v>16838</v>
      </c>
      <c r="C7523" s="7" t="s">
        <v>18679</v>
      </c>
      <c r="D7523" s="199"/>
      <c r="E7523" s="193"/>
      <c r="F7523" s="195" t="s">
        <v>27404</v>
      </c>
      <c r="G7523" s="196">
        <v>2.0142038E7</v>
      </c>
      <c r="H7523" s="197">
        <v>1.49</v>
      </c>
      <c r="I7523" s="7" t="s">
        <v>16815</v>
      </c>
      <c r="J7523" s="7" t="s">
        <v>16838</v>
      </c>
      <c r="K7523" s="7" t="s">
        <v>18679</v>
      </c>
      <c r="L7523" s="198" t="s">
        <v>65</v>
      </c>
      <c r="M7523" s="199"/>
      <c r="N7523" s="199"/>
    </row>
    <row r="7524">
      <c r="A7524" s="193" t="s">
        <v>27405</v>
      </c>
      <c r="B7524" s="7" t="s">
        <v>169</v>
      </c>
      <c r="C7524" s="7" t="s">
        <v>16957</v>
      </c>
      <c r="D7524" s="199"/>
      <c r="E7524" s="193"/>
      <c r="F7524" s="195" t="s">
        <v>27406</v>
      </c>
      <c r="G7524" s="196">
        <v>2.004995E7</v>
      </c>
      <c r="H7524" s="197">
        <v>2.54</v>
      </c>
      <c r="I7524" s="7" t="s">
        <v>16815</v>
      </c>
      <c r="J7524" s="7" t="s">
        <v>169</v>
      </c>
      <c r="K7524" s="7" t="s">
        <v>16957</v>
      </c>
      <c r="L7524" s="198" t="s">
        <v>65</v>
      </c>
      <c r="M7524" s="199"/>
      <c r="N7524" s="199"/>
    </row>
    <row r="7525">
      <c r="A7525" s="193" t="s">
        <v>27407</v>
      </c>
      <c r="B7525" s="7" t="s">
        <v>16582</v>
      </c>
      <c r="C7525" s="7" t="s">
        <v>16583</v>
      </c>
      <c r="D7525" s="199"/>
      <c r="E7525" s="193"/>
      <c r="F7525" s="195" t="s">
        <v>27408</v>
      </c>
      <c r="G7525" s="196">
        <v>2.0026219E7</v>
      </c>
      <c r="H7525" s="197">
        <v>1.0354</v>
      </c>
      <c r="I7525" s="7" t="s">
        <v>16815</v>
      </c>
      <c r="J7525" s="7" t="s">
        <v>16582</v>
      </c>
      <c r="K7525" s="7" t="s">
        <v>16583</v>
      </c>
      <c r="L7525" s="198" t="s">
        <v>65</v>
      </c>
      <c r="M7525" s="199"/>
      <c r="N7525" s="199"/>
    </row>
    <row r="7526">
      <c r="A7526" s="193" t="s">
        <v>27409</v>
      </c>
      <c r="B7526" s="7" t="s">
        <v>175</v>
      </c>
      <c r="C7526" s="7" t="s">
        <v>17391</v>
      </c>
      <c r="D7526" s="194">
        <v>2022.0</v>
      </c>
      <c r="E7526" s="193"/>
      <c r="F7526" s="195" t="s">
        <v>27410</v>
      </c>
      <c r="G7526" s="196">
        <v>1.988595E7</v>
      </c>
      <c r="H7526" s="197">
        <v>0.315</v>
      </c>
      <c r="I7526" s="7" t="s">
        <v>17270</v>
      </c>
      <c r="J7526" s="7" t="s">
        <v>175</v>
      </c>
      <c r="K7526" s="7" t="s">
        <v>17391</v>
      </c>
      <c r="L7526" s="198" t="s">
        <v>65</v>
      </c>
      <c r="M7526" s="194"/>
      <c r="N7526" s="194"/>
    </row>
    <row r="7527">
      <c r="A7527" s="193" t="s">
        <v>27411</v>
      </c>
      <c r="B7527" s="7" t="s">
        <v>158</v>
      </c>
      <c r="C7527" s="7" t="s">
        <v>16864</v>
      </c>
      <c r="D7527" s="199"/>
      <c r="E7527" s="193"/>
      <c r="F7527" s="195" t="s">
        <v>27412</v>
      </c>
      <c r="G7527" s="196">
        <v>1.9849562E7</v>
      </c>
      <c r="H7527" s="197">
        <v>1.82</v>
      </c>
      <c r="I7527" s="7" t="s">
        <v>17625</v>
      </c>
      <c r="J7527" s="7" t="s">
        <v>158</v>
      </c>
      <c r="K7527" s="7" t="s">
        <v>16864</v>
      </c>
      <c r="L7527" s="198" t="s">
        <v>65</v>
      </c>
      <c r="M7527" s="199"/>
      <c r="N7527" s="199"/>
    </row>
    <row r="7528">
      <c r="A7528" s="193" t="s">
        <v>27411</v>
      </c>
      <c r="B7528" s="202" t="s">
        <v>16864</v>
      </c>
      <c r="C7528" s="193" t="s">
        <v>158</v>
      </c>
      <c r="D7528" s="206"/>
      <c r="E7528" s="193"/>
      <c r="F7528" s="203" t="s">
        <v>27412</v>
      </c>
      <c r="G7528" s="200">
        <v>1.9849562E7</v>
      </c>
      <c r="H7528" s="205">
        <v>0.4754</v>
      </c>
      <c r="J7528" s="202" t="s">
        <v>16864</v>
      </c>
      <c r="K7528" s="193" t="s">
        <v>158</v>
      </c>
      <c r="L7528" s="193" t="s">
        <v>17471</v>
      </c>
      <c r="M7528" s="206"/>
      <c r="N7528" s="206"/>
    </row>
    <row r="7529">
      <c r="A7529" s="193" t="s">
        <v>27413</v>
      </c>
      <c r="B7529" s="7" t="s">
        <v>16910</v>
      </c>
      <c r="C7529" s="7" t="s">
        <v>17119</v>
      </c>
      <c r="D7529" s="199"/>
      <c r="E7529" s="193"/>
      <c r="F7529" s="195" t="s">
        <v>27414</v>
      </c>
      <c r="G7529" s="196">
        <v>1.9773179E7</v>
      </c>
      <c r="H7529" s="197">
        <v>1.42</v>
      </c>
      <c r="I7529" s="7" t="s">
        <v>16856</v>
      </c>
      <c r="J7529" s="7" t="s">
        <v>16910</v>
      </c>
      <c r="K7529" s="7" t="s">
        <v>17119</v>
      </c>
      <c r="L7529" s="198" t="s">
        <v>65</v>
      </c>
      <c r="M7529" s="199"/>
      <c r="N7529" s="199"/>
    </row>
    <row r="7530">
      <c r="A7530" s="193" t="s">
        <v>27415</v>
      </c>
      <c r="B7530" s="7" t="s">
        <v>169</v>
      </c>
      <c r="C7530" s="7" t="s">
        <v>17321</v>
      </c>
      <c r="D7530" s="194">
        <v>2014.0</v>
      </c>
      <c r="E7530" s="193"/>
      <c r="F7530" s="195" t="s">
        <v>27416</v>
      </c>
      <c r="G7530" s="196">
        <v>1.976169E7</v>
      </c>
      <c r="H7530" s="197">
        <v>0.6501</v>
      </c>
      <c r="I7530" s="7" t="s">
        <v>16815</v>
      </c>
      <c r="J7530" s="7" t="s">
        <v>169</v>
      </c>
      <c r="K7530" s="7" t="s">
        <v>17321</v>
      </c>
      <c r="L7530" s="198" t="s">
        <v>65</v>
      </c>
      <c r="M7530" s="194"/>
      <c r="N7530" s="194"/>
    </row>
    <row r="7531">
      <c r="A7531" s="193" t="s">
        <v>27415</v>
      </c>
      <c r="B7531" s="202" t="s">
        <v>17321</v>
      </c>
      <c r="C7531" s="193" t="s">
        <v>169</v>
      </c>
      <c r="D7531" s="193">
        <v>2014.0</v>
      </c>
      <c r="E7531" s="193"/>
      <c r="F7531" s="203" t="s">
        <v>27416</v>
      </c>
      <c r="G7531" s="200">
        <v>1.976169E7</v>
      </c>
      <c r="H7531" s="205">
        <v>1.82</v>
      </c>
      <c r="J7531" s="202" t="s">
        <v>17321</v>
      </c>
      <c r="K7531" s="193" t="s">
        <v>169</v>
      </c>
      <c r="L7531" s="193" t="s">
        <v>17471</v>
      </c>
      <c r="M7531" s="193"/>
      <c r="N7531" s="193"/>
    </row>
    <row r="7532">
      <c r="A7532" s="193" t="s">
        <v>27417</v>
      </c>
      <c r="B7532" s="7" t="s">
        <v>187</v>
      </c>
      <c r="C7532" s="7" t="s">
        <v>16846</v>
      </c>
      <c r="D7532" s="194">
        <v>2020.0</v>
      </c>
      <c r="E7532" s="193"/>
      <c r="F7532" s="195" t="s">
        <v>27418</v>
      </c>
      <c r="G7532" s="196">
        <v>1.9714942E7</v>
      </c>
      <c r="H7532" s="197">
        <v>1.42</v>
      </c>
      <c r="I7532" s="7" t="s">
        <v>16815</v>
      </c>
      <c r="J7532" s="7" t="s">
        <v>187</v>
      </c>
      <c r="K7532" s="7" t="s">
        <v>16846</v>
      </c>
      <c r="L7532" s="198" t="s">
        <v>65</v>
      </c>
      <c r="M7532" s="194"/>
      <c r="N7532" s="194"/>
    </row>
    <row r="7533">
      <c r="A7533" s="193" t="s">
        <v>27419</v>
      </c>
      <c r="B7533" s="7" t="s">
        <v>187</v>
      </c>
      <c r="C7533" s="7" t="s">
        <v>23634</v>
      </c>
      <c r="D7533" s="199"/>
      <c r="E7533" s="193"/>
      <c r="F7533" s="195" t="s">
        <v>27420</v>
      </c>
      <c r="G7533" s="196">
        <v>1.9657523E7</v>
      </c>
      <c r="H7533" s="197">
        <v>1.23</v>
      </c>
      <c r="I7533" s="7" t="s">
        <v>16815</v>
      </c>
      <c r="J7533" s="7" t="s">
        <v>187</v>
      </c>
      <c r="K7533" s="7" t="s">
        <v>23634</v>
      </c>
      <c r="L7533" s="198" t="s">
        <v>65</v>
      </c>
      <c r="M7533" s="199"/>
      <c r="N7533" s="199"/>
    </row>
    <row r="7534">
      <c r="A7534" s="193" t="s">
        <v>27421</v>
      </c>
      <c r="B7534" s="7" t="s">
        <v>175</v>
      </c>
      <c r="C7534" s="7" t="s">
        <v>17475</v>
      </c>
      <c r="D7534" s="199"/>
      <c r="E7534" s="193"/>
      <c r="F7534" s="195" t="s">
        <v>27422</v>
      </c>
      <c r="G7534" s="196">
        <v>1.9636995E7</v>
      </c>
      <c r="H7534" s="197">
        <v>0.14</v>
      </c>
      <c r="I7534" s="7" t="s">
        <v>16908</v>
      </c>
      <c r="J7534" s="7" t="s">
        <v>175</v>
      </c>
      <c r="K7534" s="7" t="s">
        <v>17475</v>
      </c>
      <c r="L7534" s="198" t="s">
        <v>65</v>
      </c>
      <c r="M7534" s="199"/>
      <c r="N7534" s="199"/>
    </row>
    <row r="7535">
      <c r="A7535" s="193" t="s">
        <v>27421</v>
      </c>
      <c r="B7535" s="202" t="s">
        <v>17475</v>
      </c>
      <c r="C7535" s="193" t="s">
        <v>175</v>
      </c>
      <c r="D7535" s="206"/>
      <c r="E7535" s="193"/>
      <c r="F7535" s="203" t="s">
        <v>27422</v>
      </c>
      <c r="G7535" s="200">
        <v>1.9636995E7</v>
      </c>
      <c r="H7535" s="205">
        <v>0.6501</v>
      </c>
      <c r="J7535" s="202" t="s">
        <v>17475</v>
      </c>
      <c r="K7535" s="193" t="s">
        <v>175</v>
      </c>
      <c r="L7535" s="193" t="s">
        <v>17471</v>
      </c>
      <c r="M7535" s="206"/>
      <c r="N7535" s="206"/>
    </row>
    <row r="7536">
      <c r="A7536" s="193" t="s">
        <v>27423</v>
      </c>
      <c r="B7536" s="7" t="s">
        <v>175</v>
      </c>
      <c r="C7536" s="7" t="s">
        <v>17480</v>
      </c>
      <c r="D7536" s="194">
        <v>2002.0</v>
      </c>
      <c r="E7536" s="193"/>
      <c r="F7536" s="195" t="s">
        <v>27424</v>
      </c>
      <c r="G7536" s="196">
        <v>1.9634407E7</v>
      </c>
      <c r="H7536" s="197">
        <v>1.52</v>
      </c>
      <c r="I7536" s="7" t="s">
        <v>168</v>
      </c>
      <c r="J7536" s="7" t="s">
        <v>175</v>
      </c>
      <c r="K7536" s="7" t="s">
        <v>17480</v>
      </c>
      <c r="L7536" s="198" t="s">
        <v>65</v>
      </c>
      <c r="M7536" s="194"/>
      <c r="N7536" s="194"/>
    </row>
    <row r="7537">
      <c r="A7537" s="193" t="s">
        <v>27425</v>
      </c>
      <c r="B7537" s="7" t="s">
        <v>187</v>
      </c>
      <c r="C7537" s="7" t="s">
        <v>16846</v>
      </c>
      <c r="D7537" s="199"/>
      <c r="E7537" s="193"/>
      <c r="F7537" s="195" t="s">
        <v>27426</v>
      </c>
      <c r="G7537" s="196">
        <v>1.957444E7</v>
      </c>
      <c r="H7537" s="197">
        <v>2.33</v>
      </c>
      <c r="I7537" s="7" t="s">
        <v>16815</v>
      </c>
      <c r="J7537" s="7" t="s">
        <v>187</v>
      </c>
      <c r="K7537" s="7" t="s">
        <v>16846</v>
      </c>
      <c r="L7537" s="198" t="s">
        <v>65</v>
      </c>
      <c r="M7537" s="199"/>
      <c r="N7537" s="199"/>
    </row>
    <row r="7538">
      <c r="A7538" s="193" t="s">
        <v>27427</v>
      </c>
      <c r="B7538" s="7" t="s">
        <v>175</v>
      </c>
      <c r="C7538" s="7" t="s">
        <v>17480</v>
      </c>
      <c r="D7538" s="194">
        <v>2021.0</v>
      </c>
      <c r="E7538" s="193"/>
      <c r="F7538" s="195" t="s">
        <v>27428</v>
      </c>
      <c r="G7538" s="196">
        <v>1.9486183E7</v>
      </c>
      <c r="H7538" s="197">
        <v>0.465</v>
      </c>
      <c r="I7538" s="7" t="s">
        <v>168</v>
      </c>
      <c r="J7538" s="7" t="s">
        <v>175</v>
      </c>
      <c r="K7538" s="7" t="s">
        <v>17480</v>
      </c>
      <c r="L7538" s="198" t="s">
        <v>65</v>
      </c>
      <c r="M7538" s="194"/>
      <c r="N7538" s="194"/>
    </row>
    <row r="7539">
      <c r="A7539" s="193" t="s">
        <v>27429</v>
      </c>
      <c r="B7539" s="7" t="s">
        <v>16582</v>
      </c>
      <c r="C7539" s="7" t="s">
        <v>16817</v>
      </c>
      <c r="D7539" s="199"/>
      <c r="E7539" s="193"/>
      <c r="F7539" s="195" t="s">
        <v>27430</v>
      </c>
      <c r="G7539" s="196">
        <v>1.9402697E7</v>
      </c>
      <c r="H7539" s="197">
        <v>0.109</v>
      </c>
      <c r="I7539" s="7" t="s">
        <v>16815</v>
      </c>
      <c r="J7539" s="7" t="s">
        <v>16582</v>
      </c>
      <c r="K7539" s="7" t="s">
        <v>16817</v>
      </c>
      <c r="L7539" s="198" t="s">
        <v>65</v>
      </c>
      <c r="M7539" s="199"/>
      <c r="N7539" s="199"/>
    </row>
    <row r="7540">
      <c r="A7540" s="193" t="s">
        <v>27431</v>
      </c>
      <c r="B7540" s="7" t="s">
        <v>17112</v>
      </c>
      <c r="C7540" s="7" t="s">
        <v>17218</v>
      </c>
      <c r="D7540" s="194">
        <v>2014.0</v>
      </c>
      <c r="E7540" s="193"/>
      <c r="F7540" s="195" t="s">
        <v>27432</v>
      </c>
      <c r="G7540" s="196">
        <v>1.9358622E7</v>
      </c>
      <c r="H7540" s="197">
        <v>1.8</v>
      </c>
      <c r="I7540" s="7" t="s">
        <v>16815</v>
      </c>
      <c r="J7540" s="7" t="s">
        <v>17112</v>
      </c>
      <c r="K7540" s="7" t="s">
        <v>17218</v>
      </c>
      <c r="L7540" s="198" t="s">
        <v>65</v>
      </c>
      <c r="M7540" s="194"/>
      <c r="N7540" s="194"/>
    </row>
    <row r="7541">
      <c r="A7541" s="193" t="s">
        <v>27433</v>
      </c>
      <c r="B7541" s="7" t="s">
        <v>187</v>
      </c>
      <c r="C7541" s="7" t="s">
        <v>16846</v>
      </c>
      <c r="D7541" s="199"/>
      <c r="E7541" s="193"/>
      <c r="F7541" s="195" t="s">
        <v>27434</v>
      </c>
      <c r="G7541" s="196">
        <v>1.9330201E7</v>
      </c>
      <c r="H7541" s="197">
        <v>1.9</v>
      </c>
      <c r="I7541" s="7" t="s">
        <v>16815</v>
      </c>
      <c r="J7541" s="7" t="s">
        <v>187</v>
      </c>
      <c r="K7541" s="7" t="s">
        <v>16846</v>
      </c>
      <c r="L7541" s="198" t="s">
        <v>65</v>
      </c>
      <c r="M7541" s="199"/>
      <c r="N7541" s="199"/>
    </row>
    <row r="7542">
      <c r="A7542" s="193" t="s">
        <v>27435</v>
      </c>
      <c r="B7542" s="7" t="s">
        <v>16582</v>
      </c>
      <c r="C7542" s="7" t="s">
        <v>17339</v>
      </c>
      <c r="D7542" s="194">
        <v>1994.0</v>
      </c>
      <c r="E7542" s="193"/>
      <c r="F7542" s="195" t="s">
        <v>27436</v>
      </c>
      <c r="G7542" s="196">
        <v>1.9136064E7</v>
      </c>
      <c r="H7542" s="197">
        <v>3.14</v>
      </c>
      <c r="I7542" s="7" t="s">
        <v>16815</v>
      </c>
      <c r="J7542" s="7" t="s">
        <v>16582</v>
      </c>
      <c r="K7542" s="7" t="s">
        <v>17339</v>
      </c>
      <c r="L7542" s="198" t="s">
        <v>65</v>
      </c>
      <c r="M7542" s="194"/>
      <c r="N7542" s="194"/>
    </row>
    <row r="7543">
      <c r="A7543" s="193" t="s">
        <v>27437</v>
      </c>
      <c r="B7543" s="7" t="s">
        <v>16838</v>
      </c>
      <c r="C7543" s="7" t="s">
        <v>19644</v>
      </c>
      <c r="D7543" s="199"/>
      <c r="E7543" s="193"/>
      <c r="F7543" s="195" t="s">
        <v>27438</v>
      </c>
      <c r="G7543" s="196">
        <v>1.9112438E7</v>
      </c>
      <c r="H7543" s="197">
        <v>3.09</v>
      </c>
      <c r="I7543" s="7" t="s">
        <v>16815</v>
      </c>
      <c r="J7543" s="7" t="s">
        <v>16838</v>
      </c>
      <c r="K7543" s="7" t="s">
        <v>19644</v>
      </c>
      <c r="L7543" s="198" t="s">
        <v>65</v>
      </c>
      <c r="M7543" s="199"/>
      <c r="N7543" s="199"/>
    </row>
    <row r="7544">
      <c r="A7544" s="193" t="s">
        <v>27439</v>
      </c>
      <c r="B7544" s="7" t="s">
        <v>187</v>
      </c>
      <c r="C7544" s="7" t="s">
        <v>16846</v>
      </c>
      <c r="D7544" s="194">
        <v>2023.0</v>
      </c>
      <c r="E7544" s="193"/>
      <c r="F7544" s="195" t="s">
        <v>27440</v>
      </c>
      <c r="G7544" s="196">
        <v>1.9101097E7</v>
      </c>
      <c r="H7544" s="197">
        <v>3.3736</v>
      </c>
      <c r="I7544" s="7" t="s">
        <v>16815</v>
      </c>
      <c r="J7544" s="7" t="s">
        <v>187</v>
      </c>
      <c r="K7544" s="7" t="s">
        <v>16846</v>
      </c>
      <c r="L7544" s="198" t="s">
        <v>65</v>
      </c>
      <c r="M7544" s="194"/>
      <c r="N7544" s="194"/>
    </row>
    <row r="7545">
      <c r="A7545" s="193" t="s">
        <v>27441</v>
      </c>
      <c r="B7545" s="7" t="s">
        <v>187</v>
      </c>
      <c r="C7545" s="7" t="s">
        <v>16858</v>
      </c>
      <c r="D7545" s="199"/>
      <c r="E7545" s="193"/>
      <c r="F7545" s="195" t="s">
        <v>27442</v>
      </c>
      <c r="G7545" s="196">
        <v>1.9048479E7</v>
      </c>
      <c r="H7545" s="197">
        <v>2.17</v>
      </c>
      <c r="I7545" s="7" t="s">
        <v>16815</v>
      </c>
      <c r="J7545" s="7" t="s">
        <v>187</v>
      </c>
      <c r="K7545" s="7" t="s">
        <v>16858</v>
      </c>
      <c r="L7545" s="198" t="s">
        <v>65</v>
      </c>
      <c r="M7545" s="199"/>
      <c r="N7545" s="199"/>
    </row>
    <row r="7546">
      <c r="A7546" s="193" t="s">
        <v>27443</v>
      </c>
      <c r="B7546" s="7" t="s">
        <v>175</v>
      </c>
      <c r="C7546" s="7" t="s">
        <v>17031</v>
      </c>
      <c r="D7546" s="194">
        <v>2018.0</v>
      </c>
      <c r="E7546" s="193"/>
      <c r="F7546" s="195" t="s">
        <v>27444</v>
      </c>
      <c r="G7546" s="196">
        <v>1.8990309E7</v>
      </c>
      <c r="H7546" s="197">
        <v>0.4651</v>
      </c>
      <c r="I7546" s="7" t="s">
        <v>168</v>
      </c>
      <c r="J7546" s="7" t="s">
        <v>175</v>
      </c>
      <c r="K7546" s="7" t="s">
        <v>17031</v>
      </c>
      <c r="L7546" s="198" t="s">
        <v>65</v>
      </c>
      <c r="M7546" s="194"/>
      <c r="N7546" s="194"/>
    </row>
    <row r="7547">
      <c r="A7547" s="193" t="s">
        <v>27445</v>
      </c>
      <c r="B7547" s="7" t="s">
        <v>16582</v>
      </c>
      <c r="C7547" s="7" t="s">
        <v>16930</v>
      </c>
      <c r="D7547" s="199"/>
      <c r="E7547" s="193"/>
      <c r="F7547" s="195" t="s">
        <v>27446</v>
      </c>
      <c r="G7547" s="196">
        <v>1.8974799E7</v>
      </c>
      <c r="H7547" s="197">
        <v>3.61</v>
      </c>
      <c r="I7547" s="7" t="s">
        <v>16815</v>
      </c>
      <c r="J7547" s="7" t="s">
        <v>16582</v>
      </c>
      <c r="K7547" s="7" t="s">
        <v>16930</v>
      </c>
      <c r="L7547" s="198" t="s">
        <v>65</v>
      </c>
      <c r="M7547" s="199"/>
      <c r="N7547" s="199"/>
    </row>
    <row r="7548">
      <c r="A7548" s="193" t="s">
        <v>27447</v>
      </c>
      <c r="B7548" s="7" t="s">
        <v>16885</v>
      </c>
      <c r="C7548" s="7" t="s">
        <v>17726</v>
      </c>
      <c r="D7548" s="194">
        <v>2015.0</v>
      </c>
      <c r="E7548" s="193"/>
      <c r="F7548" s="195" t="s">
        <v>27448</v>
      </c>
      <c r="G7548" s="196">
        <v>1.8900687E7</v>
      </c>
      <c r="H7548" s="197">
        <v>0.321</v>
      </c>
      <c r="I7548" s="7" t="s">
        <v>16826</v>
      </c>
      <c r="J7548" s="7" t="s">
        <v>16885</v>
      </c>
      <c r="K7548" s="7" t="s">
        <v>17726</v>
      </c>
      <c r="L7548" s="198" t="s">
        <v>65</v>
      </c>
      <c r="M7548" s="194"/>
      <c r="N7548" s="194"/>
    </row>
    <row r="7549">
      <c r="A7549" s="193" t="s">
        <v>27447</v>
      </c>
      <c r="B7549" s="202" t="s">
        <v>17726</v>
      </c>
      <c r="C7549" s="193" t="s">
        <v>16885</v>
      </c>
      <c r="D7549" s="193">
        <v>2015.0</v>
      </c>
      <c r="E7549" s="193"/>
      <c r="F7549" s="203" t="s">
        <v>27448</v>
      </c>
      <c r="G7549" s="200">
        <v>1.8900687E7</v>
      </c>
      <c r="H7549" s="205">
        <v>0.14</v>
      </c>
      <c r="J7549" s="202" t="s">
        <v>17726</v>
      </c>
      <c r="K7549" s="193" t="s">
        <v>16885</v>
      </c>
      <c r="L7549" s="193" t="s">
        <v>17471</v>
      </c>
      <c r="M7549" s="193"/>
      <c r="N7549" s="193"/>
    </row>
    <row r="7550">
      <c r="A7550" s="193" t="s">
        <v>27449</v>
      </c>
      <c r="D7550" s="194">
        <v>2023.0</v>
      </c>
      <c r="E7550" s="193"/>
      <c r="F7550" s="195" t="s">
        <v>27450</v>
      </c>
      <c r="G7550" s="196">
        <v>1.89E7</v>
      </c>
      <c r="H7550" s="197">
        <v>2.1</v>
      </c>
      <c r="I7550" s="7" t="s">
        <v>16815</v>
      </c>
      <c r="L7550" s="198" t="s">
        <v>65</v>
      </c>
      <c r="M7550" s="194"/>
      <c r="N7550" s="194"/>
    </row>
    <row r="7551">
      <c r="A7551" s="193" t="s">
        <v>27451</v>
      </c>
      <c r="D7551" s="194">
        <v>2023.0</v>
      </c>
      <c r="E7551" s="193"/>
      <c r="F7551" s="195" t="s">
        <v>27452</v>
      </c>
      <c r="G7551" s="196">
        <v>1.89E7</v>
      </c>
      <c r="H7551" s="197">
        <v>2.0</v>
      </c>
      <c r="I7551" s="7" t="s">
        <v>16815</v>
      </c>
      <c r="L7551" s="198" t="s">
        <v>65</v>
      </c>
      <c r="M7551" s="194"/>
      <c r="N7551" s="194"/>
    </row>
    <row r="7552">
      <c r="A7552" s="193" t="s">
        <v>27453</v>
      </c>
      <c r="B7552" s="7" t="s">
        <v>187</v>
      </c>
      <c r="C7552" s="7" t="s">
        <v>16846</v>
      </c>
      <c r="D7552" s="199"/>
      <c r="E7552" s="193"/>
      <c r="F7552" s="195" t="s">
        <v>27454</v>
      </c>
      <c r="G7552" s="196">
        <v>1.8896584E7</v>
      </c>
      <c r="H7552" s="197">
        <v>1.94</v>
      </c>
      <c r="I7552" s="7" t="s">
        <v>16815</v>
      </c>
      <c r="J7552" s="7" t="s">
        <v>187</v>
      </c>
      <c r="K7552" s="7" t="s">
        <v>16846</v>
      </c>
      <c r="L7552" s="198" t="s">
        <v>65</v>
      </c>
      <c r="M7552" s="199"/>
      <c r="N7552" s="199"/>
    </row>
    <row r="7553">
      <c r="A7553" s="193" t="s">
        <v>27455</v>
      </c>
      <c r="B7553" s="7" t="s">
        <v>169</v>
      </c>
      <c r="C7553" s="7" t="s">
        <v>17233</v>
      </c>
      <c r="D7553" s="194">
        <v>2020.0</v>
      </c>
      <c r="E7553" s="193"/>
      <c r="F7553" s="195" t="s">
        <v>27456</v>
      </c>
      <c r="G7553" s="196">
        <v>1.8867E7</v>
      </c>
      <c r="H7553" s="197">
        <v>1.9</v>
      </c>
      <c r="I7553" s="7" t="s">
        <v>16815</v>
      </c>
      <c r="J7553" s="7" t="s">
        <v>169</v>
      </c>
      <c r="K7553" s="7" t="s">
        <v>17233</v>
      </c>
      <c r="L7553" s="198" t="s">
        <v>65</v>
      </c>
      <c r="M7553" s="194"/>
      <c r="N7553" s="194"/>
    </row>
    <row r="7554">
      <c r="A7554" s="193" t="s">
        <v>27457</v>
      </c>
      <c r="B7554" s="7" t="s">
        <v>169</v>
      </c>
      <c r="C7554" s="7" t="s">
        <v>16945</v>
      </c>
      <c r="D7554" s="199"/>
      <c r="E7554" s="193"/>
      <c r="F7554" s="195" t="s">
        <v>27458</v>
      </c>
      <c r="G7554" s="196">
        <v>1.8777463E7</v>
      </c>
      <c r="H7554" s="197">
        <v>1.8</v>
      </c>
      <c r="I7554" s="7" t="s">
        <v>16815</v>
      </c>
      <c r="J7554" s="7" t="s">
        <v>169</v>
      </c>
      <c r="K7554" s="7" t="s">
        <v>16945</v>
      </c>
      <c r="L7554" s="198" t="s">
        <v>65</v>
      </c>
      <c r="M7554" s="199"/>
      <c r="N7554" s="199"/>
    </row>
    <row r="7555">
      <c r="A7555" s="193" t="s">
        <v>27459</v>
      </c>
      <c r="B7555" s="7" t="s">
        <v>16582</v>
      </c>
      <c r="C7555" s="7" t="s">
        <v>16817</v>
      </c>
      <c r="D7555" s="194">
        <v>2014.0</v>
      </c>
      <c r="E7555" s="193"/>
      <c r="F7555" s="195" t="s">
        <v>27460</v>
      </c>
      <c r="G7555" s="196">
        <v>1.8730282E7</v>
      </c>
      <c r="H7555" s="197">
        <v>1.18</v>
      </c>
      <c r="I7555" s="7" t="s">
        <v>16815</v>
      </c>
      <c r="J7555" s="7" t="s">
        <v>16582</v>
      </c>
      <c r="K7555" s="7" t="s">
        <v>16817</v>
      </c>
      <c r="L7555" s="198" t="s">
        <v>65</v>
      </c>
      <c r="M7555" s="194"/>
      <c r="N7555" s="194"/>
    </row>
    <row r="7556">
      <c r="A7556" s="193" t="s">
        <v>27461</v>
      </c>
      <c r="D7556" s="194">
        <v>2015.0</v>
      </c>
      <c r="E7556" s="193"/>
      <c r="F7556" s="195" t="s">
        <v>27462</v>
      </c>
      <c r="G7556" s="196">
        <v>1.8662111E7</v>
      </c>
      <c r="H7556" s="197">
        <v>0.136</v>
      </c>
      <c r="I7556" s="7" t="s">
        <v>16815</v>
      </c>
      <c r="L7556" s="198" t="s">
        <v>65</v>
      </c>
      <c r="M7556" s="194"/>
      <c r="N7556" s="194"/>
    </row>
    <row r="7557">
      <c r="A7557" s="193" t="s">
        <v>27461</v>
      </c>
      <c r="B7557" s="208"/>
      <c r="C7557" s="206"/>
      <c r="D7557" s="193">
        <v>2015.0</v>
      </c>
      <c r="E7557" s="193"/>
      <c r="F7557" s="203" t="s">
        <v>27462</v>
      </c>
      <c r="G7557" s="200">
        <v>1.8662111E7</v>
      </c>
      <c r="H7557" s="205">
        <v>0.321</v>
      </c>
      <c r="J7557" s="208"/>
      <c r="K7557" s="206"/>
      <c r="L7557" s="193" t="s">
        <v>17471</v>
      </c>
      <c r="M7557" s="193"/>
      <c r="N7557" s="193"/>
    </row>
    <row r="7558">
      <c r="A7558" s="193" t="s">
        <v>27463</v>
      </c>
      <c r="B7558" s="7" t="s">
        <v>16582</v>
      </c>
      <c r="C7558" s="7" t="s">
        <v>16583</v>
      </c>
      <c r="D7558" s="194">
        <v>2020.0</v>
      </c>
      <c r="E7558" s="193"/>
      <c r="F7558" s="195" t="s">
        <v>27464</v>
      </c>
      <c r="G7558" s="196">
        <v>1.8636767E7</v>
      </c>
      <c r="H7558" s="197">
        <v>3.5961</v>
      </c>
      <c r="I7558" s="7" t="s">
        <v>16815</v>
      </c>
      <c r="J7558" s="7" t="s">
        <v>16582</v>
      </c>
      <c r="K7558" s="7" t="s">
        <v>16583</v>
      </c>
      <c r="L7558" s="198" t="s">
        <v>65</v>
      </c>
      <c r="M7558" s="194"/>
      <c r="N7558" s="194"/>
    </row>
    <row r="7559">
      <c r="A7559" s="193" t="s">
        <v>27465</v>
      </c>
      <c r="B7559" s="7" t="s">
        <v>17112</v>
      </c>
      <c r="C7559" s="7" t="s">
        <v>16838</v>
      </c>
      <c r="D7559" s="194">
        <v>2020.0</v>
      </c>
      <c r="E7559" s="193"/>
      <c r="F7559" s="195" t="s">
        <v>27466</v>
      </c>
      <c r="G7559" s="200">
        <v>1.8615944E7</v>
      </c>
      <c r="H7559" s="197">
        <v>8.0</v>
      </c>
      <c r="I7559" s="7" t="s">
        <v>16815</v>
      </c>
      <c r="J7559" s="7" t="s">
        <v>17112</v>
      </c>
      <c r="K7559" s="7" t="s">
        <v>16838</v>
      </c>
      <c r="L7559" s="201" t="s">
        <v>16835</v>
      </c>
      <c r="M7559" s="194"/>
      <c r="N7559" s="194"/>
    </row>
    <row r="7560">
      <c r="A7560" s="193" t="s">
        <v>27465</v>
      </c>
      <c r="B7560" s="7" t="s">
        <v>16838</v>
      </c>
      <c r="C7560" s="7" t="s">
        <v>17112</v>
      </c>
      <c r="D7560" s="194">
        <v>2020.0</v>
      </c>
      <c r="E7560" s="193"/>
      <c r="F7560" s="195" t="s">
        <v>27466</v>
      </c>
      <c r="G7560" s="196">
        <v>1.8615944E7</v>
      </c>
      <c r="H7560" s="197">
        <v>8.0</v>
      </c>
      <c r="I7560" s="7" t="s">
        <v>16815</v>
      </c>
      <c r="J7560" s="7" t="s">
        <v>16838</v>
      </c>
      <c r="K7560" s="7" t="s">
        <v>17112</v>
      </c>
      <c r="L7560" s="198" t="s">
        <v>65</v>
      </c>
      <c r="M7560" s="194"/>
      <c r="N7560" s="194"/>
    </row>
    <row r="7561">
      <c r="A7561" s="193" t="s">
        <v>27467</v>
      </c>
      <c r="B7561" s="7" t="s">
        <v>16582</v>
      </c>
      <c r="C7561" s="7" t="s">
        <v>16930</v>
      </c>
      <c r="D7561" s="199"/>
      <c r="E7561" s="193"/>
      <c r="F7561" s="195" t="s">
        <v>27468</v>
      </c>
      <c r="G7561" s="196">
        <v>1.8585983E7</v>
      </c>
      <c r="H7561" s="197">
        <v>8.67</v>
      </c>
      <c r="I7561" s="7" t="s">
        <v>16815</v>
      </c>
      <c r="J7561" s="7" t="s">
        <v>16582</v>
      </c>
      <c r="K7561" s="7" t="s">
        <v>16930</v>
      </c>
      <c r="L7561" s="198" t="s">
        <v>65</v>
      </c>
      <c r="M7561" s="199"/>
      <c r="N7561" s="199"/>
    </row>
    <row r="7562">
      <c r="A7562" s="193" t="s">
        <v>27469</v>
      </c>
      <c r="B7562" s="7" t="s">
        <v>175</v>
      </c>
      <c r="C7562" s="7" t="s">
        <v>17233</v>
      </c>
      <c r="D7562" s="199"/>
      <c r="E7562" s="193"/>
      <c r="F7562" s="195" t="s">
        <v>27470</v>
      </c>
      <c r="G7562" s="196">
        <v>1.8490311E7</v>
      </c>
      <c r="H7562" s="197">
        <v>2.0799</v>
      </c>
      <c r="I7562" s="7" t="s">
        <v>16856</v>
      </c>
      <c r="J7562" s="7" t="s">
        <v>175</v>
      </c>
      <c r="K7562" s="7" t="s">
        <v>17233</v>
      </c>
      <c r="L7562" s="198" t="s">
        <v>65</v>
      </c>
      <c r="M7562" s="199"/>
      <c r="N7562" s="199"/>
    </row>
    <row r="7563">
      <c r="A7563" s="193" t="s">
        <v>27471</v>
      </c>
      <c r="B7563" s="7" t="s">
        <v>187</v>
      </c>
      <c r="C7563" s="7" t="s">
        <v>16846</v>
      </c>
      <c r="D7563" s="199"/>
      <c r="E7563" s="193"/>
      <c r="F7563" s="195" t="s">
        <v>27472</v>
      </c>
      <c r="G7563" s="196">
        <v>1.8480714E7</v>
      </c>
      <c r="H7563" s="197">
        <v>0.1451</v>
      </c>
      <c r="I7563" s="7" t="s">
        <v>16815</v>
      </c>
      <c r="J7563" s="7" t="s">
        <v>187</v>
      </c>
      <c r="K7563" s="7" t="s">
        <v>16846</v>
      </c>
      <c r="L7563" s="198" t="s">
        <v>65</v>
      </c>
      <c r="M7563" s="199"/>
      <c r="N7563" s="199"/>
    </row>
    <row r="7564">
      <c r="A7564" s="193" t="s">
        <v>27473</v>
      </c>
      <c r="B7564" s="7" t="s">
        <v>17112</v>
      </c>
      <c r="C7564" s="7" t="s">
        <v>17218</v>
      </c>
      <c r="D7564" s="194">
        <v>2017.0</v>
      </c>
      <c r="E7564" s="193"/>
      <c r="F7564" s="195" t="s">
        <v>27474</v>
      </c>
      <c r="G7564" s="196">
        <v>1.8477765E7</v>
      </c>
      <c r="H7564" s="197">
        <v>8.7</v>
      </c>
      <c r="I7564" s="7" t="s">
        <v>16815</v>
      </c>
      <c r="J7564" s="7" t="s">
        <v>17112</v>
      </c>
      <c r="K7564" s="7" t="s">
        <v>17218</v>
      </c>
      <c r="L7564" s="198" t="s">
        <v>65</v>
      </c>
      <c r="M7564" s="194"/>
      <c r="N7564" s="194"/>
    </row>
    <row r="7565">
      <c r="A7565" s="193" t="s">
        <v>27473</v>
      </c>
      <c r="B7565" s="7" t="s">
        <v>17218</v>
      </c>
      <c r="C7565" s="7" t="s">
        <v>17112</v>
      </c>
      <c r="D7565" s="194">
        <v>2017.0</v>
      </c>
      <c r="E7565" s="193"/>
      <c r="F7565" s="195" t="s">
        <v>27474</v>
      </c>
      <c r="G7565" s="200">
        <v>1.8477765E7</v>
      </c>
      <c r="H7565" s="197">
        <v>8.7</v>
      </c>
      <c r="I7565" s="7" t="s">
        <v>16815</v>
      </c>
      <c r="J7565" s="7" t="s">
        <v>17218</v>
      </c>
      <c r="K7565" s="7" t="s">
        <v>17112</v>
      </c>
      <c r="L7565" s="201" t="s">
        <v>16835</v>
      </c>
      <c r="M7565" s="194"/>
      <c r="N7565" s="194"/>
    </row>
    <row r="7566">
      <c r="A7566" s="193" t="s">
        <v>27475</v>
      </c>
      <c r="B7566" s="7" t="s">
        <v>187</v>
      </c>
      <c r="C7566" s="7" t="s">
        <v>16858</v>
      </c>
      <c r="D7566" s="194">
        <v>2020.0</v>
      </c>
      <c r="E7566" s="193"/>
      <c r="F7566" s="195" t="s">
        <v>27476</v>
      </c>
      <c r="G7566" s="196">
        <v>1.8448846E7</v>
      </c>
      <c r="H7566" s="197">
        <v>4.25</v>
      </c>
      <c r="I7566" s="7" t="s">
        <v>16815</v>
      </c>
      <c r="J7566" s="7" t="s">
        <v>187</v>
      </c>
      <c r="K7566" s="7" t="s">
        <v>16858</v>
      </c>
      <c r="L7566" s="198" t="s">
        <v>65</v>
      </c>
      <c r="M7566" s="194"/>
      <c r="N7566" s="194"/>
    </row>
    <row r="7567">
      <c r="A7567" s="193" t="s">
        <v>27477</v>
      </c>
      <c r="B7567" s="7" t="s">
        <v>187</v>
      </c>
      <c r="C7567" s="7" t="s">
        <v>16969</v>
      </c>
      <c r="D7567" s="194">
        <v>2021.0</v>
      </c>
      <c r="E7567" s="193"/>
      <c r="F7567" s="195" t="s">
        <v>27478</v>
      </c>
      <c r="G7567" s="196">
        <v>1.8389247E7</v>
      </c>
      <c r="H7567" s="197">
        <v>1.22</v>
      </c>
      <c r="I7567" s="7" t="s">
        <v>16815</v>
      </c>
      <c r="J7567" s="7" t="s">
        <v>187</v>
      </c>
      <c r="K7567" s="7" t="s">
        <v>16969</v>
      </c>
      <c r="L7567" s="198" t="s">
        <v>65</v>
      </c>
      <c r="M7567" s="194"/>
      <c r="N7567" s="194"/>
    </row>
    <row r="7568">
      <c r="A7568" s="193" t="s">
        <v>27479</v>
      </c>
      <c r="B7568" s="7" t="s">
        <v>16838</v>
      </c>
      <c r="C7568" s="7" t="s">
        <v>17452</v>
      </c>
      <c r="D7568" s="199"/>
      <c r="E7568" s="193"/>
      <c r="F7568" s="195" t="s">
        <v>27480</v>
      </c>
      <c r="G7568" s="196">
        <v>1.8339141E7</v>
      </c>
      <c r="H7568" s="197">
        <v>0.9251</v>
      </c>
      <c r="I7568" s="7" t="s">
        <v>16815</v>
      </c>
      <c r="J7568" s="7" t="s">
        <v>16838</v>
      </c>
      <c r="K7568" s="7" t="s">
        <v>17452</v>
      </c>
      <c r="L7568" s="198" t="s">
        <v>65</v>
      </c>
      <c r="M7568" s="199"/>
      <c r="N7568" s="199"/>
    </row>
    <row r="7569">
      <c r="A7569" s="193" t="s">
        <v>27481</v>
      </c>
      <c r="B7569" s="7" t="s">
        <v>16838</v>
      </c>
      <c r="C7569" s="7" t="s">
        <v>16867</v>
      </c>
      <c r="D7569" s="194">
        <v>2021.0</v>
      </c>
      <c r="E7569" s="193"/>
      <c r="F7569" s="195" t="s">
        <v>27482</v>
      </c>
      <c r="G7569" s="196">
        <v>1.833429E7</v>
      </c>
      <c r="H7569" s="197">
        <v>8.2</v>
      </c>
      <c r="I7569" s="7" t="s">
        <v>16815</v>
      </c>
      <c r="J7569" s="7" t="s">
        <v>16838</v>
      </c>
      <c r="K7569" s="7" t="s">
        <v>16867</v>
      </c>
      <c r="L7569" s="198" t="s">
        <v>65</v>
      </c>
      <c r="M7569" s="194"/>
      <c r="N7569" s="194"/>
    </row>
    <row r="7570">
      <c r="A7570" s="193" t="s">
        <v>27483</v>
      </c>
      <c r="B7570" s="7" t="s">
        <v>175</v>
      </c>
      <c r="C7570" s="7" t="s">
        <v>17218</v>
      </c>
      <c r="D7570" s="194">
        <v>1991.0</v>
      </c>
      <c r="E7570" s="193"/>
      <c r="F7570" s="195" t="s">
        <v>27484</v>
      </c>
      <c r="G7570" s="196">
        <v>1.8331974E7</v>
      </c>
      <c r="H7570" s="197">
        <v>0.4022</v>
      </c>
      <c r="I7570" s="7" t="s">
        <v>17222</v>
      </c>
      <c r="J7570" s="7" t="s">
        <v>175</v>
      </c>
      <c r="K7570" s="7" t="s">
        <v>17218</v>
      </c>
      <c r="L7570" s="198" t="s">
        <v>65</v>
      </c>
      <c r="M7570" s="194"/>
      <c r="N7570" s="194"/>
    </row>
    <row r="7571">
      <c r="A7571" s="193" t="s">
        <v>27483</v>
      </c>
      <c r="B7571" s="7" t="s">
        <v>17218</v>
      </c>
      <c r="C7571" s="7" t="s">
        <v>175</v>
      </c>
      <c r="D7571" s="194">
        <v>1991.0</v>
      </c>
      <c r="E7571" s="193"/>
      <c r="F7571" s="195" t="s">
        <v>27484</v>
      </c>
      <c r="G7571" s="200">
        <v>1.8331974E7</v>
      </c>
      <c r="H7571" s="197">
        <v>0.4022</v>
      </c>
      <c r="I7571" s="7" t="s">
        <v>16815</v>
      </c>
      <c r="J7571" s="7" t="s">
        <v>17218</v>
      </c>
      <c r="K7571" s="7" t="s">
        <v>175</v>
      </c>
      <c r="L7571" s="201" t="s">
        <v>16835</v>
      </c>
      <c r="M7571" s="194"/>
      <c r="N7571" s="194"/>
    </row>
    <row r="7572">
      <c r="A7572" s="193" t="s">
        <v>27485</v>
      </c>
      <c r="B7572" s="7" t="s">
        <v>175</v>
      </c>
      <c r="C7572" s="7" t="s">
        <v>16824</v>
      </c>
      <c r="D7572" s="194">
        <v>2021.0</v>
      </c>
      <c r="E7572" s="193"/>
      <c r="F7572" s="195" t="s">
        <v>27486</v>
      </c>
      <c r="G7572" s="196">
        <v>1.8308066E7</v>
      </c>
      <c r="H7572" s="197">
        <v>0.6151</v>
      </c>
      <c r="I7572" s="7" t="s">
        <v>168</v>
      </c>
      <c r="J7572" s="7" t="s">
        <v>175</v>
      </c>
      <c r="K7572" s="7" t="s">
        <v>16824</v>
      </c>
      <c r="L7572" s="198" t="s">
        <v>65</v>
      </c>
      <c r="M7572" s="194"/>
      <c r="N7572" s="194"/>
    </row>
    <row r="7573">
      <c r="A7573" s="193" t="s">
        <v>27487</v>
      </c>
      <c r="B7573" s="7" t="s">
        <v>175</v>
      </c>
      <c r="C7573" s="7" t="s">
        <v>17480</v>
      </c>
      <c r="D7573" s="194">
        <v>2020.0</v>
      </c>
      <c r="E7573" s="193"/>
      <c r="F7573" s="195" t="s">
        <v>27488</v>
      </c>
      <c r="G7573" s="196">
        <v>1.8287921E7</v>
      </c>
      <c r="H7573" s="197">
        <v>2.81</v>
      </c>
      <c r="I7573" s="7" t="s">
        <v>16908</v>
      </c>
      <c r="J7573" s="7" t="s">
        <v>175</v>
      </c>
      <c r="K7573" s="7" t="s">
        <v>17480</v>
      </c>
      <c r="L7573" s="198" t="s">
        <v>65</v>
      </c>
      <c r="M7573" s="194"/>
      <c r="N7573" s="194"/>
    </row>
    <row r="7574">
      <c r="A7574" s="193" t="s">
        <v>27487</v>
      </c>
      <c r="B7574" s="202" t="s">
        <v>17480</v>
      </c>
      <c r="C7574" s="193" t="s">
        <v>175</v>
      </c>
      <c r="D7574" s="193">
        <v>2020.0</v>
      </c>
      <c r="E7574" s="193"/>
      <c r="F7574" s="203" t="s">
        <v>27488</v>
      </c>
      <c r="G7574" s="200">
        <v>1.8287921E7</v>
      </c>
      <c r="H7574" s="205">
        <v>0.136</v>
      </c>
      <c r="J7574" s="202" t="s">
        <v>17480</v>
      </c>
      <c r="K7574" s="193" t="s">
        <v>175</v>
      </c>
      <c r="L7574" s="193" t="s">
        <v>17471</v>
      </c>
      <c r="M7574" s="193"/>
      <c r="N7574" s="193"/>
    </row>
    <row r="7575">
      <c r="A7575" s="193" t="s">
        <v>27489</v>
      </c>
      <c r="B7575" s="7" t="s">
        <v>187</v>
      </c>
      <c r="C7575" s="7" t="s">
        <v>16858</v>
      </c>
      <c r="D7575" s="194">
        <v>2021.0</v>
      </c>
      <c r="E7575" s="193"/>
      <c r="F7575" s="195" t="s">
        <v>27490</v>
      </c>
      <c r="G7575" s="196">
        <v>1.810456E7</v>
      </c>
      <c r="H7575" s="197">
        <v>0.75</v>
      </c>
      <c r="I7575" s="7" t="s">
        <v>16815</v>
      </c>
      <c r="J7575" s="7" t="s">
        <v>187</v>
      </c>
      <c r="K7575" s="7" t="s">
        <v>16858</v>
      </c>
      <c r="L7575" s="198" t="s">
        <v>65</v>
      </c>
      <c r="M7575" s="194"/>
      <c r="N7575" s="194"/>
    </row>
    <row r="7576">
      <c r="A7576" s="193" t="s">
        <v>27491</v>
      </c>
      <c r="B7576" s="7" t="s">
        <v>187</v>
      </c>
      <c r="C7576" s="7" t="s">
        <v>16846</v>
      </c>
      <c r="D7576" s="194">
        <v>2021.0</v>
      </c>
      <c r="E7576" s="193"/>
      <c r="F7576" s="195" t="s">
        <v>27492</v>
      </c>
      <c r="G7576" s="196">
        <v>1.7997492E7</v>
      </c>
      <c r="H7576" s="197">
        <v>0.72</v>
      </c>
      <c r="I7576" s="7" t="s">
        <v>16815</v>
      </c>
      <c r="J7576" s="7" t="s">
        <v>187</v>
      </c>
      <c r="K7576" s="7" t="s">
        <v>16846</v>
      </c>
      <c r="L7576" s="198" t="s">
        <v>65</v>
      </c>
      <c r="M7576" s="194"/>
      <c r="N7576" s="194"/>
    </row>
    <row r="7577">
      <c r="A7577" s="193" t="s">
        <v>27493</v>
      </c>
      <c r="B7577" s="7" t="s">
        <v>187</v>
      </c>
      <c r="C7577" s="7" t="s">
        <v>16858</v>
      </c>
      <c r="D7577" s="194">
        <v>2019.0</v>
      </c>
      <c r="E7577" s="193"/>
      <c r="F7577" s="195" t="s">
        <v>27494</v>
      </c>
      <c r="G7577" s="196">
        <v>1.7932095E7</v>
      </c>
      <c r="H7577" s="197">
        <v>0.39</v>
      </c>
      <c r="I7577" s="7" t="s">
        <v>16815</v>
      </c>
      <c r="J7577" s="7" t="s">
        <v>187</v>
      </c>
      <c r="K7577" s="7" t="s">
        <v>16858</v>
      </c>
      <c r="L7577" s="198" t="s">
        <v>65</v>
      </c>
      <c r="M7577" s="194"/>
      <c r="N7577" s="194"/>
    </row>
    <row r="7578">
      <c r="A7578" s="193" t="s">
        <v>27493</v>
      </c>
      <c r="B7578" s="202" t="s">
        <v>16858</v>
      </c>
      <c r="C7578" s="193" t="s">
        <v>187</v>
      </c>
      <c r="D7578" s="193">
        <v>2019.0</v>
      </c>
      <c r="E7578" s="193"/>
      <c r="F7578" s="203" t="s">
        <v>27494</v>
      </c>
      <c r="G7578" s="200">
        <v>1.7932095E7</v>
      </c>
      <c r="H7578" s="205">
        <v>2.81</v>
      </c>
      <c r="J7578" s="202" t="s">
        <v>16858</v>
      </c>
      <c r="K7578" s="193" t="s">
        <v>187</v>
      </c>
      <c r="L7578" s="193" t="s">
        <v>17471</v>
      </c>
      <c r="M7578" s="193"/>
      <c r="N7578" s="193"/>
    </row>
    <row r="7579">
      <c r="A7579" s="193" t="s">
        <v>27495</v>
      </c>
      <c r="B7579" s="7" t="s">
        <v>16838</v>
      </c>
      <c r="C7579" s="7" t="s">
        <v>17016</v>
      </c>
      <c r="D7579" s="194">
        <v>2022.0</v>
      </c>
      <c r="E7579" s="193"/>
      <c r="F7579" s="195" t="s">
        <v>27496</v>
      </c>
      <c r="G7579" s="196">
        <v>1.7826774E7</v>
      </c>
      <c r="H7579" s="197">
        <v>0.8799</v>
      </c>
      <c r="I7579" s="7" t="s">
        <v>16815</v>
      </c>
      <c r="J7579" s="7" t="s">
        <v>16838</v>
      </c>
      <c r="K7579" s="7" t="s">
        <v>17016</v>
      </c>
      <c r="L7579" s="198" t="s">
        <v>65</v>
      </c>
      <c r="M7579" s="194"/>
      <c r="N7579" s="194"/>
    </row>
    <row r="7580">
      <c r="A7580" s="193" t="s">
        <v>27497</v>
      </c>
      <c r="B7580" s="7" t="s">
        <v>187</v>
      </c>
      <c r="C7580" s="7" t="s">
        <v>16846</v>
      </c>
      <c r="D7580" s="194">
        <v>2020.0</v>
      </c>
      <c r="E7580" s="193"/>
      <c r="F7580" s="195" t="s">
        <v>27498</v>
      </c>
      <c r="G7580" s="196">
        <v>1.7767254E7</v>
      </c>
      <c r="H7580" s="197">
        <v>0.831</v>
      </c>
      <c r="I7580" s="7" t="s">
        <v>16815</v>
      </c>
      <c r="J7580" s="7" t="s">
        <v>187</v>
      </c>
      <c r="K7580" s="7" t="s">
        <v>16846</v>
      </c>
      <c r="L7580" s="198" t="s">
        <v>65</v>
      </c>
      <c r="M7580" s="194"/>
      <c r="N7580" s="194"/>
    </row>
    <row r="7581">
      <c r="A7581" s="193" t="s">
        <v>27499</v>
      </c>
      <c r="B7581" s="7" t="s">
        <v>16582</v>
      </c>
      <c r="C7581" s="7" t="s">
        <v>17435</v>
      </c>
      <c r="D7581" s="194">
        <v>2023.0</v>
      </c>
      <c r="E7581" s="193"/>
      <c r="F7581" s="195" t="s">
        <v>27500</v>
      </c>
      <c r="G7581" s="196">
        <v>1.7735414E7</v>
      </c>
      <c r="H7581" s="197">
        <v>2.91</v>
      </c>
      <c r="I7581" s="7" t="s">
        <v>16815</v>
      </c>
      <c r="J7581" s="7" t="s">
        <v>16582</v>
      </c>
      <c r="K7581" s="7" t="s">
        <v>17435</v>
      </c>
      <c r="L7581" s="198" t="s">
        <v>65</v>
      </c>
      <c r="M7581" s="194"/>
      <c r="N7581" s="194"/>
    </row>
    <row r="7582">
      <c r="A7582" s="193" t="s">
        <v>27501</v>
      </c>
      <c r="B7582" s="7" t="s">
        <v>187</v>
      </c>
      <c r="C7582" s="7" t="s">
        <v>16846</v>
      </c>
      <c r="D7582" s="194">
        <v>2018.0</v>
      </c>
      <c r="E7582" s="193"/>
      <c r="F7582" s="195" t="s">
        <v>27502</v>
      </c>
      <c r="G7582" s="196">
        <v>1.7722669E7</v>
      </c>
      <c r="H7582" s="197">
        <v>1.08</v>
      </c>
      <c r="I7582" s="7" t="s">
        <v>16815</v>
      </c>
      <c r="J7582" s="7" t="s">
        <v>187</v>
      </c>
      <c r="K7582" s="7" t="s">
        <v>16846</v>
      </c>
      <c r="L7582" s="198" t="s">
        <v>65</v>
      </c>
      <c r="M7582" s="194"/>
      <c r="N7582" s="194"/>
    </row>
    <row r="7583">
      <c r="A7583" s="193" t="s">
        <v>27503</v>
      </c>
      <c r="B7583" s="7" t="s">
        <v>16582</v>
      </c>
      <c r="C7583" s="7" t="s">
        <v>17435</v>
      </c>
      <c r="D7583" s="194">
        <v>2021.0</v>
      </c>
      <c r="E7583" s="193"/>
      <c r="F7583" s="195" t="s">
        <v>27504</v>
      </c>
      <c r="G7583" s="196">
        <v>1.7681028E7</v>
      </c>
      <c r="H7583" s="197">
        <v>1.2</v>
      </c>
      <c r="I7583" s="7" t="s">
        <v>16815</v>
      </c>
      <c r="J7583" s="7" t="s">
        <v>16582</v>
      </c>
      <c r="K7583" s="7" t="s">
        <v>17435</v>
      </c>
      <c r="L7583" s="198" t="s">
        <v>65</v>
      </c>
      <c r="M7583" s="194"/>
      <c r="N7583" s="194"/>
    </row>
    <row r="7584">
      <c r="A7584" s="193" t="s">
        <v>27505</v>
      </c>
      <c r="B7584" s="7" t="s">
        <v>187</v>
      </c>
      <c r="C7584" s="7" t="s">
        <v>18529</v>
      </c>
      <c r="D7584" s="199"/>
      <c r="E7584" s="193"/>
      <c r="F7584" s="195" t="s">
        <v>27506</v>
      </c>
      <c r="G7584" s="196">
        <v>1.7662604E7</v>
      </c>
      <c r="H7584" s="197">
        <v>2.17</v>
      </c>
      <c r="I7584" s="7" t="s">
        <v>16815</v>
      </c>
      <c r="J7584" s="7" t="s">
        <v>187</v>
      </c>
      <c r="K7584" s="7" t="s">
        <v>18529</v>
      </c>
      <c r="L7584" s="198" t="s">
        <v>65</v>
      </c>
      <c r="M7584" s="199"/>
      <c r="N7584" s="199"/>
    </row>
    <row r="7585">
      <c r="A7585" s="193" t="s">
        <v>27507</v>
      </c>
      <c r="B7585" s="7" t="s">
        <v>16582</v>
      </c>
      <c r="C7585" s="7" t="s">
        <v>16930</v>
      </c>
      <c r="D7585" s="194">
        <v>2016.0</v>
      </c>
      <c r="E7585" s="193"/>
      <c r="F7585" s="195" t="s">
        <v>27508</v>
      </c>
      <c r="G7585" s="196">
        <v>1.7608022E7</v>
      </c>
      <c r="H7585" s="197">
        <v>0.1463</v>
      </c>
      <c r="I7585" s="7" t="s">
        <v>16815</v>
      </c>
      <c r="J7585" s="7" t="s">
        <v>16582</v>
      </c>
      <c r="K7585" s="7" t="s">
        <v>16930</v>
      </c>
      <c r="L7585" s="198" t="s">
        <v>65</v>
      </c>
      <c r="M7585" s="194"/>
      <c r="N7585" s="194"/>
    </row>
    <row r="7586">
      <c r="A7586" s="193" t="s">
        <v>27509</v>
      </c>
      <c r="B7586" s="7" t="s">
        <v>16582</v>
      </c>
      <c r="C7586" s="7" t="s">
        <v>16899</v>
      </c>
      <c r="D7586" s="199"/>
      <c r="E7586" s="193"/>
      <c r="F7586" s="195" t="s">
        <v>27510</v>
      </c>
      <c r="G7586" s="196">
        <v>1.7509808E7</v>
      </c>
      <c r="H7586" s="197">
        <v>1.14</v>
      </c>
      <c r="I7586" s="7" t="s">
        <v>16815</v>
      </c>
      <c r="J7586" s="7" t="s">
        <v>16582</v>
      </c>
      <c r="K7586" s="7" t="s">
        <v>16899</v>
      </c>
      <c r="L7586" s="198" t="s">
        <v>65</v>
      </c>
      <c r="M7586" s="199"/>
      <c r="N7586" s="199"/>
    </row>
    <row r="7587">
      <c r="A7587" s="193" t="s">
        <v>27511</v>
      </c>
      <c r="B7587" s="7" t="s">
        <v>187</v>
      </c>
      <c r="C7587" s="7" t="s">
        <v>16992</v>
      </c>
      <c r="D7587" s="194">
        <v>2019.0</v>
      </c>
      <c r="E7587" s="193"/>
      <c r="F7587" s="195" t="s">
        <v>27512</v>
      </c>
      <c r="G7587" s="196">
        <v>1.7507553E7</v>
      </c>
      <c r="H7587" s="197">
        <v>2.1</v>
      </c>
      <c r="I7587" s="7" t="s">
        <v>16815</v>
      </c>
      <c r="J7587" s="7" t="s">
        <v>187</v>
      </c>
      <c r="K7587" s="7" t="s">
        <v>16992</v>
      </c>
      <c r="L7587" s="198" t="s">
        <v>65</v>
      </c>
      <c r="M7587" s="194"/>
      <c r="N7587" s="194"/>
    </row>
    <row r="7588">
      <c r="A7588" s="193" t="s">
        <v>27513</v>
      </c>
      <c r="B7588" s="7" t="s">
        <v>187</v>
      </c>
      <c r="C7588" s="7" t="s">
        <v>17509</v>
      </c>
      <c r="D7588" s="199"/>
      <c r="E7588" s="193"/>
      <c r="F7588" s="195" t="s">
        <v>27514</v>
      </c>
      <c r="G7588" s="196">
        <v>1.7467925E7</v>
      </c>
      <c r="H7588" s="197">
        <v>2.23</v>
      </c>
      <c r="I7588" s="7" t="s">
        <v>16815</v>
      </c>
      <c r="J7588" s="7" t="s">
        <v>187</v>
      </c>
      <c r="K7588" s="7" t="s">
        <v>17509</v>
      </c>
      <c r="L7588" s="198" t="s">
        <v>65</v>
      </c>
      <c r="M7588" s="199"/>
      <c r="N7588" s="199"/>
    </row>
    <row r="7589">
      <c r="A7589" s="193" t="s">
        <v>27515</v>
      </c>
      <c r="B7589" s="7" t="s">
        <v>16838</v>
      </c>
      <c r="C7589" s="7" t="s">
        <v>18219</v>
      </c>
      <c r="D7589" s="194">
        <v>2021.0</v>
      </c>
      <c r="E7589" s="193"/>
      <c r="F7589" s="195" t="s">
        <v>27516</v>
      </c>
      <c r="G7589" s="196">
        <v>1.746294E7</v>
      </c>
      <c r="H7589" s="197">
        <v>2.23</v>
      </c>
      <c r="I7589" s="7" t="s">
        <v>16815</v>
      </c>
      <c r="J7589" s="7" t="s">
        <v>16838</v>
      </c>
      <c r="K7589" s="7" t="s">
        <v>18219</v>
      </c>
      <c r="L7589" s="198" t="s">
        <v>65</v>
      </c>
      <c r="M7589" s="194"/>
      <c r="N7589" s="194"/>
    </row>
    <row r="7590">
      <c r="A7590" s="193" t="s">
        <v>27517</v>
      </c>
      <c r="B7590" s="7" t="s">
        <v>16582</v>
      </c>
      <c r="C7590" s="7" t="s">
        <v>17342</v>
      </c>
      <c r="D7590" s="194">
        <v>2016.0</v>
      </c>
      <c r="E7590" s="193"/>
      <c r="F7590" s="195" t="s">
        <v>27518</v>
      </c>
      <c r="G7590" s="196">
        <v>1.746014E7</v>
      </c>
      <c r="H7590" s="197">
        <v>1.675</v>
      </c>
      <c r="I7590" s="7" t="s">
        <v>16815</v>
      </c>
      <c r="J7590" s="7" t="s">
        <v>16582</v>
      </c>
      <c r="K7590" s="7" t="s">
        <v>17342</v>
      </c>
      <c r="L7590" s="198" t="s">
        <v>65</v>
      </c>
      <c r="M7590" s="194"/>
      <c r="N7590" s="194"/>
    </row>
    <row r="7591">
      <c r="A7591" s="193" t="s">
        <v>27519</v>
      </c>
      <c r="B7591" s="7" t="s">
        <v>187</v>
      </c>
      <c r="C7591" s="7" t="s">
        <v>16846</v>
      </c>
      <c r="D7591" s="194">
        <v>2018.0</v>
      </c>
      <c r="E7591" s="193"/>
      <c r="F7591" s="195" t="s">
        <v>27520</v>
      </c>
      <c r="G7591" s="196">
        <v>1.7405099E7</v>
      </c>
      <c r="H7591" s="197">
        <v>0.4956</v>
      </c>
      <c r="I7591" s="7" t="s">
        <v>16815</v>
      </c>
      <c r="J7591" s="7" t="s">
        <v>187</v>
      </c>
      <c r="K7591" s="7" t="s">
        <v>16846</v>
      </c>
      <c r="L7591" s="198" t="s">
        <v>65</v>
      </c>
      <c r="M7591" s="194"/>
      <c r="N7591" s="194"/>
    </row>
    <row r="7592">
      <c r="A7592" s="193" t="s">
        <v>27521</v>
      </c>
      <c r="D7592" s="194">
        <v>2023.0</v>
      </c>
      <c r="E7592" s="193"/>
      <c r="F7592" s="195" t="s">
        <v>27522</v>
      </c>
      <c r="G7592" s="196">
        <v>1.7391379E7</v>
      </c>
      <c r="H7592" s="197">
        <v>0.6799</v>
      </c>
      <c r="I7592" s="7" t="s">
        <v>16815</v>
      </c>
      <c r="L7592" s="198" t="s">
        <v>65</v>
      </c>
      <c r="M7592" s="194"/>
      <c r="N7592" s="194"/>
    </row>
    <row r="7593">
      <c r="A7593" s="193" t="s">
        <v>27523</v>
      </c>
      <c r="B7593" s="7" t="s">
        <v>175</v>
      </c>
      <c r="C7593" s="7" t="s">
        <v>17350</v>
      </c>
      <c r="D7593" s="199"/>
      <c r="E7593" s="193"/>
      <c r="F7593" s="195" t="s">
        <v>27524</v>
      </c>
      <c r="G7593" s="196">
        <v>1.7372001E7</v>
      </c>
      <c r="H7593" s="197">
        <v>1.15</v>
      </c>
      <c r="I7593" s="7" t="s">
        <v>16908</v>
      </c>
      <c r="J7593" s="7" t="s">
        <v>175</v>
      </c>
      <c r="K7593" s="7" t="s">
        <v>17350</v>
      </c>
      <c r="L7593" s="198" t="s">
        <v>65</v>
      </c>
      <c r="M7593" s="199"/>
      <c r="N7593" s="199"/>
    </row>
    <row r="7594">
      <c r="A7594" s="193" t="s">
        <v>27525</v>
      </c>
      <c r="B7594" s="7" t="s">
        <v>187</v>
      </c>
      <c r="C7594" s="7" t="s">
        <v>16846</v>
      </c>
      <c r="D7594" s="199"/>
      <c r="E7594" s="193"/>
      <c r="F7594" s="195" t="s">
        <v>27526</v>
      </c>
      <c r="G7594" s="196">
        <v>1.7364752E7</v>
      </c>
      <c r="H7594" s="197">
        <v>0.61</v>
      </c>
      <c r="I7594" s="7" t="s">
        <v>16815</v>
      </c>
      <c r="J7594" s="7" t="s">
        <v>187</v>
      </c>
      <c r="K7594" s="7" t="s">
        <v>16846</v>
      </c>
      <c r="L7594" s="198" t="s">
        <v>65</v>
      </c>
      <c r="M7594" s="199"/>
      <c r="N7594" s="199"/>
    </row>
    <row r="7595">
      <c r="A7595" s="193" t="s">
        <v>27527</v>
      </c>
      <c r="B7595" s="7" t="s">
        <v>17629</v>
      </c>
      <c r="C7595" s="7" t="s">
        <v>18718</v>
      </c>
      <c r="D7595" s="199"/>
      <c r="E7595" s="193"/>
      <c r="F7595" s="195" t="s">
        <v>27528</v>
      </c>
      <c r="G7595" s="196">
        <v>1.7343001E7</v>
      </c>
      <c r="H7595" s="197">
        <v>0.88</v>
      </c>
      <c r="I7595" s="7" t="s">
        <v>16815</v>
      </c>
      <c r="J7595" s="7" t="s">
        <v>17629</v>
      </c>
      <c r="K7595" s="7" t="s">
        <v>18718</v>
      </c>
      <c r="L7595" s="198" t="s">
        <v>65</v>
      </c>
      <c r="M7595" s="199"/>
      <c r="N7595" s="199"/>
    </row>
    <row r="7596">
      <c r="A7596" s="193" t="s">
        <v>27529</v>
      </c>
      <c r="B7596" s="7" t="s">
        <v>187</v>
      </c>
      <c r="C7596" s="7" t="s">
        <v>16846</v>
      </c>
      <c r="D7596" s="194">
        <v>2004.0</v>
      </c>
      <c r="E7596" s="193"/>
      <c r="F7596" s="195" t="s">
        <v>27530</v>
      </c>
      <c r="G7596" s="196">
        <v>1.7100982E7</v>
      </c>
      <c r="H7596" s="197">
        <v>0.29</v>
      </c>
      <c r="I7596" s="7" t="s">
        <v>16815</v>
      </c>
      <c r="J7596" s="7" t="s">
        <v>187</v>
      </c>
      <c r="K7596" s="7" t="s">
        <v>16846</v>
      </c>
      <c r="L7596" s="198" t="s">
        <v>65</v>
      </c>
      <c r="M7596" s="194"/>
      <c r="N7596" s="194"/>
    </row>
    <row r="7597">
      <c r="A7597" s="193" t="s">
        <v>27531</v>
      </c>
      <c r="B7597" s="7" t="s">
        <v>187</v>
      </c>
      <c r="C7597" s="7" t="s">
        <v>16846</v>
      </c>
      <c r="D7597" s="199"/>
      <c r="E7597" s="193"/>
      <c r="F7597" s="195" t="s">
        <v>27532</v>
      </c>
      <c r="G7597" s="196">
        <v>1.7088577E7</v>
      </c>
      <c r="H7597" s="197">
        <v>3.38</v>
      </c>
      <c r="I7597" s="7" t="s">
        <v>16815</v>
      </c>
      <c r="J7597" s="7" t="s">
        <v>187</v>
      </c>
      <c r="K7597" s="7" t="s">
        <v>16846</v>
      </c>
      <c r="L7597" s="198" t="s">
        <v>65</v>
      </c>
      <c r="M7597" s="199"/>
      <c r="N7597" s="199"/>
    </row>
    <row r="7598">
      <c r="A7598" s="193" t="s">
        <v>27533</v>
      </c>
      <c r="B7598" s="7" t="s">
        <v>175</v>
      </c>
      <c r="C7598" s="7" t="s">
        <v>17391</v>
      </c>
      <c r="D7598" s="199"/>
      <c r="E7598" s="193"/>
      <c r="F7598" s="195" t="s">
        <v>27534</v>
      </c>
      <c r="G7598" s="196">
        <v>1.7067842E7</v>
      </c>
      <c r="H7598" s="197">
        <v>1.2</v>
      </c>
      <c r="I7598" s="7" t="s">
        <v>17270</v>
      </c>
      <c r="J7598" s="7" t="s">
        <v>175</v>
      </c>
      <c r="K7598" s="7" t="s">
        <v>17391</v>
      </c>
      <c r="L7598" s="198" t="s">
        <v>65</v>
      </c>
      <c r="M7598" s="199"/>
      <c r="N7598" s="199"/>
    </row>
    <row r="7599">
      <c r="A7599" s="193" t="s">
        <v>27535</v>
      </c>
      <c r="B7599" s="7" t="s">
        <v>175</v>
      </c>
      <c r="C7599" s="7" t="s">
        <v>16854</v>
      </c>
      <c r="D7599" s="199"/>
      <c r="E7599" s="193"/>
      <c r="F7599" s="195" t="s">
        <v>27536</v>
      </c>
      <c r="G7599" s="196">
        <v>1.706099E7</v>
      </c>
      <c r="H7599" s="197">
        <v>1.85</v>
      </c>
      <c r="I7599" s="7" t="s">
        <v>168</v>
      </c>
      <c r="J7599" s="7" t="s">
        <v>175</v>
      </c>
      <c r="K7599" s="7" t="s">
        <v>16854</v>
      </c>
      <c r="L7599" s="198" t="s">
        <v>65</v>
      </c>
      <c r="M7599" s="199"/>
      <c r="N7599" s="199"/>
    </row>
    <row r="7600">
      <c r="A7600" s="193" t="s">
        <v>27537</v>
      </c>
      <c r="B7600" s="7" t="s">
        <v>175</v>
      </c>
      <c r="C7600" s="7" t="s">
        <v>17812</v>
      </c>
      <c r="D7600" s="194">
        <v>2014.0</v>
      </c>
      <c r="E7600" s="193"/>
      <c r="F7600" s="195" t="s">
        <v>27538</v>
      </c>
      <c r="G7600" s="196">
        <v>1.7004478E7</v>
      </c>
      <c r="H7600" s="197">
        <v>5.29</v>
      </c>
      <c r="I7600" s="7" t="s">
        <v>16826</v>
      </c>
      <c r="J7600" s="7" t="s">
        <v>175</v>
      </c>
      <c r="K7600" s="7" t="s">
        <v>17812</v>
      </c>
      <c r="L7600" s="198" t="s">
        <v>65</v>
      </c>
      <c r="M7600" s="194"/>
      <c r="N7600" s="194"/>
    </row>
    <row r="7601">
      <c r="A7601" s="193" t="s">
        <v>27537</v>
      </c>
      <c r="B7601" s="202" t="s">
        <v>17812</v>
      </c>
      <c r="C7601" s="193" t="s">
        <v>175</v>
      </c>
      <c r="D7601" s="193">
        <v>2014.0</v>
      </c>
      <c r="E7601" s="193"/>
      <c r="F7601" s="203" t="s">
        <v>27538</v>
      </c>
      <c r="G7601" s="200">
        <v>1.7004478E7</v>
      </c>
      <c r="H7601" s="205">
        <v>0.39</v>
      </c>
      <c r="J7601" s="202" t="s">
        <v>17812</v>
      </c>
      <c r="K7601" s="193" t="s">
        <v>175</v>
      </c>
      <c r="L7601" s="193" t="s">
        <v>17471</v>
      </c>
      <c r="M7601" s="193"/>
      <c r="N7601" s="193"/>
    </row>
    <row r="7602">
      <c r="A7602" s="193" t="s">
        <v>27539</v>
      </c>
      <c r="B7602" s="7" t="s">
        <v>187</v>
      </c>
      <c r="C7602" s="7" t="s">
        <v>16846</v>
      </c>
      <c r="D7602" s="194">
        <v>2021.0</v>
      </c>
      <c r="E7602" s="193"/>
      <c r="F7602" s="195" t="s">
        <v>27540</v>
      </c>
      <c r="G7602" s="196">
        <v>1.6973511E7</v>
      </c>
      <c r="H7602" s="197">
        <v>1.0631</v>
      </c>
      <c r="I7602" s="7" t="s">
        <v>16815</v>
      </c>
      <c r="J7602" s="7" t="s">
        <v>187</v>
      </c>
      <c r="K7602" s="7" t="s">
        <v>16846</v>
      </c>
      <c r="L7602" s="198" t="s">
        <v>65</v>
      </c>
      <c r="M7602" s="194"/>
      <c r="N7602" s="194"/>
    </row>
    <row r="7603">
      <c r="A7603" s="193" t="s">
        <v>27541</v>
      </c>
      <c r="B7603" s="7" t="s">
        <v>16582</v>
      </c>
      <c r="C7603" s="7" t="s">
        <v>16930</v>
      </c>
      <c r="D7603" s="194">
        <v>2022.0</v>
      </c>
      <c r="E7603" s="193"/>
      <c r="F7603" s="195" t="s">
        <v>27542</v>
      </c>
      <c r="G7603" s="196">
        <v>1.6903647E7</v>
      </c>
      <c r="H7603" s="197">
        <v>4.1494</v>
      </c>
      <c r="I7603" s="7" t="s">
        <v>16815</v>
      </c>
      <c r="J7603" s="7" t="s">
        <v>16582</v>
      </c>
      <c r="K7603" s="7" t="s">
        <v>16930</v>
      </c>
      <c r="L7603" s="198" t="s">
        <v>65</v>
      </c>
      <c r="M7603" s="194"/>
      <c r="N7603" s="194"/>
    </row>
    <row r="7604">
      <c r="A7604" s="193" t="s">
        <v>27541</v>
      </c>
      <c r="B7604" s="202" t="s">
        <v>16930</v>
      </c>
      <c r="C7604" s="193" t="s">
        <v>16582</v>
      </c>
      <c r="D7604" s="193">
        <v>2022.0</v>
      </c>
      <c r="E7604" s="193"/>
      <c r="F7604" s="203" t="s">
        <v>27542</v>
      </c>
      <c r="G7604" s="200">
        <v>1.6903647E7</v>
      </c>
      <c r="H7604" s="205">
        <v>5.29</v>
      </c>
      <c r="J7604" s="202" t="s">
        <v>16930</v>
      </c>
      <c r="K7604" s="193" t="s">
        <v>16582</v>
      </c>
      <c r="L7604" s="193" t="s">
        <v>17471</v>
      </c>
      <c r="M7604" s="193"/>
      <c r="N7604" s="193"/>
    </row>
    <row r="7605">
      <c r="A7605" s="193" t="s">
        <v>27543</v>
      </c>
      <c r="B7605" s="7" t="s">
        <v>16582</v>
      </c>
      <c r="C7605" s="7" t="s">
        <v>17435</v>
      </c>
      <c r="D7605" s="194">
        <v>2021.0</v>
      </c>
      <c r="E7605" s="193"/>
      <c r="F7605" s="195" t="s">
        <v>27544</v>
      </c>
      <c r="G7605" s="196">
        <v>1.6897559E7</v>
      </c>
      <c r="H7605" s="197">
        <v>3.95</v>
      </c>
      <c r="I7605" s="7" t="s">
        <v>16815</v>
      </c>
      <c r="J7605" s="7" t="s">
        <v>16582</v>
      </c>
      <c r="K7605" s="7" t="s">
        <v>17435</v>
      </c>
      <c r="L7605" s="198" t="s">
        <v>65</v>
      </c>
      <c r="M7605" s="194"/>
      <c r="N7605" s="194"/>
    </row>
    <row r="7606">
      <c r="A7606" s="193" t="s">
        <v>27545</v>
      </c>
      <c r="B7606" s="7" t="s">
        <v>187</v>
      </c>
      <c r="C7606" s="7" t="s">
        <v>18633</v>
      </c>
      <c r="D7606" s="194">
        <v>2020.0</v>
      </c>
      <c r="E7606" s="193"/>
      <c r="F7606" s="195" t="s">
        <v>27546</v>
      </c>
      <c r="G7606" s="196">
        <v>1.6692792E7</v>
      </c>
      <c r="H7606" s="197">
        <v>0.0999</v>
      </c>
      <c r="I7606" s="7" t="s">
        <v>16815</v>
      </c>
      <c r="J7606" s="7" t="s">
        <v>187</v>
      </c>
      <c r="K7606" s="7" t="s">
        <v>18633</v>
      </c>
      <c r="L7606" s="198" t="s">
        <v>65</v>
      </c>
      <c r="M7606" s="194"/>
      <c r="N7606" s="194"/>
    </row>
    <row r="7607">
      <c r="A7607" s="193" t="s">
        <v>27547</v>
      </c>
      <c r="B7607" s="7" t="s">
        <v>16582</v>
      </c>
      <c r="C7607" s="7" t="s">
        <v>16930</v>
      </c>
      <c r="D7607" s="194">
        <v>2022.0</v>
      </c>
      <c r="E7607" s="193"/>
      <c r="F7607" s="195" t="s">
        <v>27548</v>
      </c>
      <c r="G7607" s="196">
        <v>1.6633667E7</v>
      </c>
      <c r="H7607" s="197">
        <v>0.35</v>
      </c>
      <c r="I7607" s="7" t="s">
        <v>16815</v>
      </c>
      <c r="J7607" s="7" t="s">
        <v>16582</v>
      </c>
      <c r="K7607" s="7" t="s">
        <v>16930</v>
      </c>
      <c r="L7607" s="198" t="s">
        <v>65</v>
      </c>
      <c r="M7607" s="194"/>
      <c r="N7607" s="194"/>
    </row>
    <row r="7608">
      <c r="A7608" s="193" t="s">
        <v>27547</v>
      </c>
      <c r="B7608" s="202" t="s">
        <v>16930</v>
      </c>
      <c r="C7608" s="193" t="s">
        <v>16582</v>
      </c>
      <c r="D7608" s="193">
        <v>2022.0</v>
      </c>
      <c r="E7608" s="193"/>
      <c r="F7608" s="203" t="s">
        <v>27548</v>
      </c>
      <c r="G7608" s="200">
        <v>1.6633667E7</v>
      </c>
      <c r="H7608" s="205">
        <v>4.1494</v>
      </c>
      <c r="J7608" s="202" t="s">
        <v>16930</v>
      </c>
      <c r="K7608" s="193" t="s">
        <v>16582</v>
      </c>
      <c r="L7608" s="193" t="s">
        <v>17471</v>
      </c>
      <c r="M7608" s="193"/>
      <c r="N7608" s="193"/>
    </row>
    <row r="7609">
      <c r="A7609" s="193" t="s">
        <v>27549</v>
      </c>
      <c r="B7609" s="7" t="s">
        <v>175</v>
      </c>
      <c r="C7609" s="7" t="s">
        <v>16854</v>
      </c>
      <c r="D7609" s="194">
        <v>2015.0</v>
      </c>
      <c r="E7609" s="193"/>
      <c r="F7609" s="195" t="s">
        <v>27550</v>
      </c>
      <c r="G7609" s="196">
        <v>1.6628362E7</v>
      </c>
      <c r="H7609" s="197">
        <v>2.61</v>
      </c>
      <c r="I7609" s="7" t="s">
        <v>16856</v>
      </c>
      <c r="J7609" s="7" t="s">
        <v>175</v>
      </c>
      <c r="K7609" s="7" t="s">
        <v>16854</v>
      </c>
      <c r="L7609" s="198" t="s">
        <v>65</v>
      </c>
      <c r="M7609" s="194"/>
      <c r="N7609" s="194"/>
    </row>
    <row r="7610">
      <c r="A7610" s="193" t="s">
        <v>27551</v>
      </c>
      <c r="B7610" s="7" t="s">
        <v>169</v>
      </c>
      <c r="C7610" s="7" t="s">
        <v>16899</v>
      </c>
      <c r="D7610" s="199"/>
      <c r="E7610" s="193"/>
      <c r="F7610" s="195" t="s">
        <v>27552</v>
      </c>
      <c r="G7610" s="196">
        <v>1.6615432E7</v>
      </c>
      <c r="H7610" s="197">
        <v>12.05</v>
      </c>
      <c r="I7610" s="7" t="s">
        <v>16815</v>
      </c>
      <c r="J7610" s="7" t="s">
        <v>169</v>
      </c>
      <c r="K7610" s="7" t="s">
        <v>16899</v>
      </c>
      <c r="L7610" s="198" t="s">
        <v>65</v>
      </c>
      <c r="M7610" s="199"/>
      <c r="N7610" s="199"/>
    </row>
    <row r="7611">
      <c r="A7611" s="193" t="s">
        <v>27553</v>
      </c>
      <c r="B7611" s="7" t="s">
        <v>16838</v>
      </c>
      <c r="C7611" s="7" t="s">
        <v>18679</v>
      </c>
      <c r="D7611" s="199"/>
      <c r="E7611" s="193"/>
      <c r="F7611" s="195" t="s">
        <v>27554</v>
      </c>
      <c r="G7611" s="196">
        <v>1.6575618E7</v>
      </c>
      <c r="H7611" s="197">
        <v>1.0</v>
      </c>
      <c r="I7611" s="7" t="s">
        <v>16815</v>
      </c>
      <c r="J7611" s="7" t="s">
        <v>16838</v>
      </c>
      <c r="K7611" s="7" t="s">
        <v>18679</v>
      </c>
      <c r="L7611" s="198" t="s">
        <v>65</v>
      </c>
      <c r="M7611" s="199"/>
      <c r="N7611" s="199"/>
    </row>
    <row r="7612">
      <c r="A7612" s="193" t="s">
        <v>27555</v>
      </c>
      <c r="B7612" s="7" t="s">
        <v>187</v>
      </c>
      <c r="C7612" s="7" t="s">
        <v>23634</v>
      </c>
      <c r="D7612" s="199"/>
      <c r="E7612" s="193"/>
      <c r="F7612" s="195" t="s">
        <v>27556</v>
      </c>
      <c r="G7612" s="196">
        <v>1.6562191E7</v>
      </c>
      <c r="H7612" s="197">
        <v>2.2237</v>
      </c>
      <c r="I7612" s="7" t="s">
        <v>16815</v>
      </c>
      <c r="J7612" s="7" t="s">
        <v>187</v>
      </c>
      <c r="K7612" s="7" t="s">
        <v>23634</v>
      </c>
      <c r="L7612" s="198" t="s">
        <v>65</v>
      </c>
      <c r="M7612" s="199"/>
      <c r="N7612" s="199"/>
    </row>
    <row r="7613">
      <c r="A7613" s="193" t="s">
        <v>27557</v>
      </c>
      <c r="B7613" s="7" t="s">
        <v>187</v>
      </c>
      <c r="C7613" s="7" t="s">
        <v>16846</v>
      </c>
      <c r="D7613" s="194">
        <v>2016.0</v>
      </c>
      <c r="E7613" s="193"/>
      <c r="F7613" s="195" t="s">
        <v>27558</v>
      </c>
      <c r="G7613" s="196">
        <v>1.6528392E7</v>
      </c>
      <c r="H7613" s="197">
        <v>0.4301</v>
      </c>
      <c r="I7613" s="7" t="s">
        <v>16815</v>
      </c>
      <c r="J7613" s="7" t="s">
        <v>187</v>
      </c>
      <c r="K7613" s="7" t="s">
        <v>16846</v>
      </c>
      <c r="L7613" s="198" t="s">
        <v>65</v>
      </c>
      <c r="M7613" s="194"/>
      <c r="N7613" s="194"/>
    </row>
    <row r="7614">
      <c r="A7614" s="193" t="s">
        <v>27559</v>
      </c>
      <c r="B7614" s="7" t="s">
        <v>175</v>
      </c>
      <c r="C7614" s="7" t="s">
        <v>16890</v>
      </c>
      <c r="D7614" s="199"/>
      <c r="E7614" s="193"/>
      <c r="F7614" s="195" t="s">
        <v>27560</v>
      </c>
      <c r="G7614" s="196">
        <v>1.6514803E7</v>
      </c>
      <c r="H7614" s="197">
        <v>4.72</v>
      </c>
      <c r="I7614" s="7" t="s">
        <v>168</v>
      </c>
      <c r="J7614" s="7" t="s">
        <v>175</v>
      </c>
      <c r="K7614" s="7" t="s">
        <v>16890</v>
      </c>
      <c r="L7614" s="198" t="s">
        <v>65</v>
      </c>
      <c r="M7614" s="199"/>
      <c r="N7614" s="199"/>
    </row>
    <row r="7615">
      <c r="A7615" s="193" t="s">
        <v>27561</v>
      </c>
      <c r="B7615" s="7" t="s">
        <v>169</v>
      </c>
      <c r="C7615" s="7" t="s">
        <v>16899</v>
      </c>
      <c r="D7615" s="194">
        <v>1930.0</v>
      </c>
      <c r="E7615" s="193"/>
      <c r="F7615" s="195" t="s">
        <v>27562</v>
      </c>
      <c r="G7615" s="196">
        <v>1.6424244E7</v>
      </c>
      <c r="H7615" s="197">
        <v>17.0</v>
      </c>
      <c r="I7615" s="7" t="s">
        <v>16815</v>
      </c>
      <c r="J7615" s="7" t="s">
        <v>169</v>
      </c>
      <c r="K7615" s="7" t="s">
        <v>16899</v>
      </c>
      <c r="L7615" s="198" t="s">
        <v>65</v>
      </c>
      <c r="M7615" s="194"/>
      <c r="N7615" s="194"/>
    </row>
    <row r="7616">
      <c r="A7616" s="193" t="s">
        <v>27561</v>
      </c>
      <c r="B7616" s="202" t="s">
        <v>16899</v>
      </c>
      <c r="C7616" s="193" t="s">
        <v>169</v>
      </c>
      <c r="D7616" s="193">
        <v>1930.0</v>
      </c>
      <c r="E7616" s="193"/>
      <c r="F7616" s="203" t="s">
        <v>27562</v>
      </c>
      <c r="G7616" s="200">
        <v>1.6424244E7</v>
      </c>
      <c r="H7616" s="205">
        <v>0.35</v>
      </c>
      <c r="J7616" s="202" t="s">
        <v>16899</v>
      </c>
      <c r="K7616" s="193" t="s">
        <v>169</v>
      </c>
      <c r="L7616" s="193" t="s">
        <v>17471</v>
      </c>
      <c r="M7616" s="193"/>
      <c r="N7616" s="193"/>
    </row>
    <row r="7617">
      <c r="A7617" s="193" t="s">
        <v>27563</v>
      </c>
      <c r="B7617" s="7" t="s">
        <v>16838</v>
      </c>
      <c r="C7617" s="7" t="s">
        <v>18219</v>
      </c>
      <c r="D7617" s="199"/>
      <c r="E7617" s="193"/>
      <c r="F7617" s="195" t="s">
        <v>27564</v>
      </c>
      <c r="G7617" s="196">
        <v>1.6391336E7</v>
      </c>
      <c r="H7617" s="197">
        <v>0.16</v>
      </c>
      <c r="I7617" s="7" t="s">
        <v>16815</v>
      </c>
      <c r="J7617" s="7" t="s">
        <v>16838</v>
      </c>
      <c r="K7617" s="7" t="s">
        <v>18219</v>
      </c>
      <c r="L7617" s="198" t="s">
        <v>65</v>
      </c>
      <c r="M7617" s="199"/>
      <c r="N7617" s="199"/>
    </row>
    <row r="7618">
      <c r="A7618" s="193" t="s">
        <v>27565</v>
      </c>
      <c r="B7618" s="7" t="s">
        <v>187</v>
      </c>
      <c r="C7618" s="7" t="s">
        <v>16851</v>
      </c>
      <c r="D7618" s="194">
        <v>2019.0</v>
      </c>
      <c r="E7618" s="193"/>
      <c r="F7618" s="195" t="s">
        <v>27566</v>
      </c>
      <c r="G7618" s="196">
        <v>1.6379459E7</v>
      </c>
      <c r="H7618" s="197">
        <v>0.5225</v>
      </c>
      <c r="I7618" s="7" t="s">
        <v>16815</v>
      </c>
      <c r="J7618" s="7" t="s">
        <v>187</v>
      </c>
      <c r="K7618" s="7" t="s">
        <v>16851</v>
      </c>
      <c r="L7618" s="198" t="s">
        <v>65</v>
      </c>
      <c r="M7618" s="194"/>
      <c r="N7618" s="194"/>
    </row>
    <row r="7619">
      <c r="A7619" s="193" t="s">
        <v>27567</v>
      </c>
      <c r="B7619" s="7" t="s">
        <v>175</v>
      </c>
      <c r="C7619" s="7" t="s">
        <v>16842</v>
      </c>
      <c r="D7619" s="199"/>
      <c r="E7619" s="193"/>
      <c r="F7619" s="195" t="s">
        <v>27568</v>
      </c>
      <c r="G7619" s="196">
        <v>1.6330533E7</v>
      </c>
      <c r="H7619" s="197">
        <v>1.07</v>
      </c>
      <c r="I7619" s="7" t="s">
        <v>174</v>
      </c>
      <c r="J7619" s="7" t="s">
        <v>175</v>
      </c>
      <c r="K7619" s="7" t="s">
        <v>16842</v>
      </c>
      <c r="L7619" s="198" t="s">
        <v>65</v>
      </c>
      <c r="M7619" s="199"/>
      <c r="N7619" s="199"/>
    </row>
    <row r="7620">
      <c r="A7620" s="193" t="s">
        <v>27569</v>
      </c>
      <c r="B7620" s="7" t="s">
        <v>16926</v>
      </c>
      <c r="C7620" s="7" t="s">
        <v>16957</v>
      </c>
      <c r="D7620" s="199"/>
      <c r="E7620" s="193"/>
      <c r="F7620" s="195" t="s">
        <v>27570</v>
      </c>
      <c r="G7620" s="196">
        <v>1.6290946E7</v>
      </c>
      <c r="H7620" s="197">
        <v>1.69</v>
      </c>
      <c r="I7620" s="7" t="s">
        <v>16815</v>
      </c>
      <c r="J7620" s="7" t="s">
        <v>16926</v>
      </c>
      <c r="K7620" s="7" t="s">
        <v>16957</v>
      </c>
      <c r="L7620" s="198" t="s">
        <v>65</v>
      </c>
      <c r="M7620" s="199"/>
      <c r="N7620" s="199"/>
    </row>
    <row r="7621">
      <c r="A7621" s="193" t="s">
        <v>27571</v>
      </c>
      <c r="B7621" s="7" t="s">
        <v>187</v>
      </c>
      <c r="C7621" s="7" t="s">
        <v>16846</v>
      </c>
      <c r="D7621" s="199"/>
      <c r="E7621" s="193"/>
      <c r="F7621" s="195" t="s">
        <v>27572</v>
      </c>
      <c r="G7621" s="196">
        <v>1.6239675E7</v>
      </c>
      <c r="H7621" s="197">
        <v>0.235</v>
      </c>
      <c r="I7621" s="7" t="s">
        <v>16815</v>
      </c>
      <c r="J7621" s="7" t="s">
        <v>187</v>
      </c>
      <c r="K7621" s="7" t="s">
        <v>16846</v>
      </c>
      <c r="L7621" s="198" t="s">
        <v>65</v>
      </c>
      <c r="M7621" s="199"/>
      <c r="N7621" s="199"/>
    </row>
    <row r="7622">
      <c r="A7622" s="193" t="s">
        <v>27573</v>
      </c>
      <c r="B7622" s="7" t="s">
        <v>187</v>
      </c>
      <c r="C7622" s="7" t="s">
        <v>18633</v>
      </c>
      <c r="D7622" s="194">
        <v>2020.0</v>
      </c>
      <c r="E7622" s="193"/>
      <c r="F7622" s="195" t="s">
        <v>27574</v>
      </c>
      <c r="G7622" s="196">
        <v>1.6224775E7</v>
      </c>
      <c r="H7622" s="197">
        <v>0.22</v>
      </c>
      <c r="I7622" s="7" t="s">
        <v>16815</v>
      </c>
      <c r="J7622" s="7" t="s">
        <v>187</v>
      </c>
      <c r="K7622" s="7" t="s">
        <v>18633</v>
      </c>
      <c r="L7622" s="198" t="s">
        <v>65</v>
      </c>
      <c r="M7622" s="194"/>
      <c r="N7622" s="194"/>
    </row>
    <row r="7623">
      <c r="A7623" s="193" t="s">
        <v>27575</v>
      </c>
      <c r="B7623" s="7" t="s">
        <v>16582</v>
      </c>
      <c r="C7623" s="7" t="s">
        <v>17342</v>
      </c>
      <c r="D7623" s="199"/>
      <c r="E7623" s="193"/>
      <c r="F7623" s="195" t="s">
        <v>27576</v>
      </c>
      <c r="G7623" s="196">
        <v>1.6132729E7</v>
      </c>
      <c r="H7623" s="197">
        <v>0.6733</v>
      </c>
      <c r="I7623" s="7" t="s">
        <v>16815</v>
      </c>
      <c r="J7623" s="7" t="s">
        <v>16582</v>
      </c>
      <c r="K7623" s="7" t="s">
        <v>17342</v>
      </c>
      <c r="L7623" s="198" t="s">
        <v>65</v>
      </c>
      <c r="M7623" s="199"/>
      <c r="N7623" s="199"/>
    </row>
    <row r="7624">
      <c r="A7624" s="193" t="s">
        <v>27577</v>
      </c>
      <c r="B7624" s="7" t="s">
        <v>187</v>
      </c>
      <c r="C7624" s="7" t="s">
        <v>16846</v>
      </c>
      <c r="D7624" s="194">
        <v>2021.0</v>
      </c>
      <c r="E7624" s="193"/>
      <c r="F7624" s="195" t="s">
        <v>27578</v>
      </c>
      <c r="G7624" s="196">
        <v>1.6117602E7</v>
      </c>
      <c r="H7624" s="197">
        <v>0.38</v>
      </c>
      <c r="I7624" s="7" t="s">
        <v>16815</v>
      </c>
      <c r="J7624" s="7" t="s">
        <v>187</v>
      </c>
      <c r="K7624" s="7" t="s">
        <v>16846</v>
      </c>
      <c r="L7624" s="198" t="s">
        <v>65</v>
      </c>
      <c r="M7624" s="194"/>
      <c r="N7624" s="194"/>
    </row>
    <row r="7625">
      <c r="A7625" s="193" t="s">
        <v>27579</v>
      </c>
      <c r="B7625" s="7" t="s">
        <v>187</v>
      </c>
      <c r="C7625" s="7" t="s">
        <v>17564</v>
      </c>
      <c r="D7625" s="194">
        <v>1992.0</v>
      </c>
      <c r="E7625" s="193"/>
      <c r="F7625" s="195" t="s">
        <v>27580</v>
      </c>
      <c r="G7625" s="196">
        <v>1.610807E7</v>
      </c>
      <c r="H7625" s="197">
        <v>0.4227</v>
      </c>
      <c r="I7625" s="7" t="s">
        <v>16815</v>
      </c>
      <c r="J7625" s="7" t="s">
        <v>187</v>
      </c>
      <c r="K7625" s="7" t="s">
        <v>17564</v>
      </c>
      <c r="L7625" s="198" t="s">
        <v>65</v>
      </c>
      <c r="M7625" s="194"/>
      <c r="N7625" s="194"/>
    </row>
    <row r="7626">
      <c r="A7626" s="193" t="s">
        <v>27581</v>
      </c>
      <c r="B7626" s="7" t="s">
        <v>187</v>
      </c>
      <c r="C7626" s="7" t="s">
        <v>16846</v>
      </c>
      <c r="D7626" s="194">
        <v>2016.0</v>
      </c>
      <c r="E7626" s="193"/>
      <c r="F7626" s="195" t="s">
        <v>27582</v>
      </c>
      <c r="G7626" s="196">
        <v>1.6097639E7</v>
      </c>
      <c r="H7626" s="197">
        <v>0.54</v>
      </c>
      <c r="I7626" s="7" t="s">
        <v>16815</v>
      </c>
      <c r="J7626" s="7" t="s">
        <v>187</v>
      </c>
      <c r="K7626" s="7" t="s">
        <v>16846</v>
      </c>
      <c r="L7626" s="198" t="s">
        <v>65</v>
      </c>
      <c r="M7626" s="194"/>
      <c r="N7626" s="194"/>
    </row>
    <row r="7627">
      <c r="A7627" s="193" t="s">
        <v>27583</v>
      </c>
      <c r="B7627" s="7" t="s">
        <v>187</v>
      </c>
      <c r="C7627" s="7" t="s">
        <v>16846</v>
      </c>
      <c r="D7627" s="199"/>
      <c r="E7627" s="193"/>
      <c r="F7627" s="195" t="s">
        <v>27584</v>
      </c>
      <c r="G7627" s="196">
        <v>1.6092379E7</v>
      </c>
      <c r="H7627" s="197">
        <v>2.91</v>
      </c>
      <c r="I7627" s="7" t="s">
        <v>16815</v>
      </c>
      <c r="J7627" s="7" t="s">
        <v>187</v>
      </c>
      <c r="K7627" s="7" t="s">
        <v>16846</v>
      </c>
      <c r="L7627" s="198" t="s">
        <v>65</v>
      </c>
      <c r="M7627" s="199"/>
      <c r="N7627" s="199"/>
    </row>
    <row r="7628">
      <c r="A7628" s="193" t="s">
        <v>27585</v>
      </c>
      <c r="B7628" s="7" t="s">
        <v>175</v>
      </c>
      <c r="C7628" s="7" t="s">
        <v>17495</v>
      </c>
      <c r="D7628" s="194">
        <v>2022.0</v>
      </c>
      <c r="E7628" s="193"/>
      <c r="F7628" s="195" t="s">
        <v>27586</v>
      </c>
      <c r="G7628" s="196">
        <v>1.60734E7</v>
      </c>
      <c r="H7628" s="197">
        <v>0.89</v>
      </c>
      <c r="I7628" s="7" t="s">
        <v>18320</v>
      </c>
      <c r="J7628" s="7" t="s">
        <v>175</v>
      </c>
      <c r="K7628" s="7" t="s">
        <v>17495</v>
      </c>
      <c r="L7628" s="198" t="s">
        <v>65</v>
      </c>
      <c r="M7628" s="194"/>
      <c r="N7628" s="194"/>
    </row>
    <row r="7629">
      <c r="A7629" s="193" t="s">
        <v>27587</v>
      </c>
      <c r="B7629" s="7" t="s">
        <v>16582</v>
      </c>
      <c r="C7629" s="7" t="s">
        <v>16817</v>
      </c>
      <c r="D7629" s="199"/>
      <c r="E7629" s="193"/>
      <c r="F7629" s="195" t="s">
        <v>27588</v>
      </c>
      <c r="G7629" s="196">
        <v>1.6041318E7</v>
      </c>
      <c r="H7629" s="197">
        <v>1.49</v>
      </c>
      <c r="I7629" s="7" t="s">
        <v>16815</v>
      </c>
      <c r="J7629" s="7" t="s">
        <v>16582</v>
      </c>
      <c r="K7629" s="7" t="s">
        <v>16817</v>
      </c>
      <c r="L7629" s="198" t="s">
        <v>65</v>
      </c>
      <c r="M7629" s="199"/>
      <c r="N7629" s="199"/>
    </row>
    <row r="7630">
      <c r="A7630" s="193" t="s">
        <v>27589</v>
      </c>
      <c r="B7630" s="7" t="s">
        <v>16582</v>
      </c>
      <c r="C7630" s="7" t="s">
        <v>16817</v>
      </c>
      <c r="D7630" s="194">
        <v>2023.0</v>
      </c>
      <c r="E7630" s="193"/>
      <c r="F7630" s="195" t="s">
        <v>27590</v>
      </c>
      <c r="G7630" s="196">
        <v>1.6032078E7</v>
      </c>
      <c r="H7630" s="197">
        <v>1.13</v>
      </c>
      <c r="I7630" s="7" t="s">
        <v>16815</v>
      </c>
      <c r="J7630" s="7" t="s">
        <v>16582</v>
      </c>
      <c r="K7630" s="7" t="s">
        <v>16817</v>
      </c>
      <c r="L7630" s="198" t="s">
        <v>65</v>
      </c>
      <c r="M7630" s="194"/>
      <c r="N7630" s="194"/>
    </row>
    <row r="7631">
      <c r="A7631" s="193" t="s">
        <v>27591</v>
      </c>
      <c r="B7631" s="7" t="s">
        <v>16838</v>
      </c>
      <c r="C7631" s="7" t="s">
        <v>16867</v>
      </c>
      <c r="D7631" s="199"/>
      <c r="E7631" s="193"/>
      <c r="F7631" s="195" t="s">
        <v>27592</v>
      </c>
      <c r="G7631" s="196">
        <v>1.5993998E7</v>
      </c>
      <c r="H7631" s="197">
        <v>5.5591</v>
      </c>
      <c r="I7631" s="7" t="s">
        <v>16815</v>
      </c>
      <c r="J7631" s="7" t="s">
        <v>16838</v>
      </c>
      <c r="K7631" s="7" t="s">
        <v>16867</v>
      </c>
      <c r="L7631" s="198" t="s">
        <v>65</v>
      </c>
      <c r="M7631" s="199"/>
      <c r="N7631" s="199"/>
    </row>
    <row r="7632">
      <c r="A7632" s="193" t="s">
        <v>27593</v>
      </c>
      <c r="B7632" s="7" t="s">
        <v>187</v>
      </c>
      <c r="C7632" s="7" t="s">
        <v>17564</v>
      </c>
      <c r="D7632" s="199"/>
      <c r="E7632" s="193"/>
      <c r="F7632" s="195" t="s">
        <v>27594</v>
      </c>
      <c r="G7632" s="196">
        <v>1.5980564E7</v>
      </c>
      <c r="H7632" s="197">
        <v>0.95</v>
      </c>
      <c r="I7632" s="7" t="s">
        <v>16815</v>
      </c>
      <c r="J7632" s="7" t="s">
        <v>187</v>
      </c>
      <c r="K7632" s="7" t="s">
        <v>17564</v>
      </c>
      <c r="L7632" s="198" t="s">
        <v>65</v>
      </c>
      <c r="M7632" s="199"/>
      <c r="N7632" s="199"/>
    </row>
    <row r="7633">
      <c r="A7633" s="193" t="s">
        <v>27595</v>
      </c>
      <c r="D7633" s="194">
        <v>2023.0</v>
      </c>
      <c r="E7633" s="193"/>
      <c r="F7633" s="195" t="s">
        <v>27596</v>
      </c>
      <c r="G7633" s="196">
        <v>1.5974853E7</v>
      </c>
      <c r="H7633" s="197">
        <v>1.45</v>
      </c>
      <c r="I7633" s="7" t="s">
        <v>16815</v>
      </c>
      <c r="L7633" s="198" t="s">
        <v>65</v>
      </c>
      <c r="M7633" s="194"/>
      <c r="N7633" s="194"/>
    </row>
    <row r="7634">
      <c r="A7634" s="193" t="s">
        <v>27597</v>
      </c>
      <c r="B7634" s="7" t="s">
        <v>187</v>
      </c>
      <c r="C7634" s="7" t="s">
        <v>16858</v>
      </c>
      <c r="D7634" s="199"/>
      <c r="E7634" s="193"/>
      <c r="F7634" s="195" t="s">
        <v>27598</v>
      </c>
      <c r="G7634" s="196">
        <v>1.5972694E7</v>
      </c>
      <c r="H7634" s="197">
        <v>2.4501</v>
      </c>
      <c r="I7634" s="7" t="s">
        <v>16815</v>
      </c>
      <c r="J7634" s="7" t="s">
        <v>187</v>
      </c>
      <c r="K7634" s="7" t="s">
        <v>16858</v>
      </c>
      <c r="L7634" s="198" t="s">
        <v>65</v>
      </c>
      <c r="M7634" s="199"/>
      <c r="N7634" s="199"/>
    </row>
    <row r="7635">
      <c r="A7635" s="193" t="s">
        <v>27599</v>
      </c>
      <c r="B7635" s="7" t="s">
        <v>187</v>
      </c>
      <c r="C7635" s="7" t="s">
        <v>16846</v>
      </c>
      <c r="D7635" s="194">
        <v>2017.0</v>
      </c>
      <c r="E7635" s="193"/>
      <c r="F7635" s="195" t="s">
        <v>27600</v>
      </c>
      <c r="G7635" s="196">
        <v>1.5956723E7</v>
      </c>
      <c r="H7635" s="197">
        <v>0.4398</v>
      </c>
      <c r="I7635" s="7" t="s">
        <v>16815</v>
      </c>
      <c r="J7635" s="7" t="s">
        <v>187</v>
      </c>
      <c r="K7635" s="7" t="s">
        <v>16846</v>
      </c>
      <c r="L7635" s="198" t="s">
        <v>65</v>
      </c>
      <c r="M7635" s="194"/>
      <c r="N7635" s="194"/>
    </row>
    <row r="7636">
      <c r="A7636" s="193" t="s">
        <v>27601</v>
      </c>
      <c r="B7636" s="7" t="s">
        <v>187</v>
      </c>
      <c r="C7636" s="7" t="s">
        <v>16858</v>
      </c>
      <c r="D7636" s="199"/>
      <c r="E7636" s="193"/>
      <c r="F7636" s="195" t="s">
        <v>27602</v>
      </c>
      <c r="G7636" s="196">
        <v>1.5921951E7</v>
      </c>
      <c r="H7636" s="197">
        <v>1.36</v>
      </c>
      <c r="I7636" s="7" t="s">
        <v>16815</v>
      </c>
      <c r="J7636" s="7" t="s">
        <v>187</v>
      </c>
      <c r="K7636" s="7" t="s">
        <v>16858</v>
      </c>
      <c r="L7636" s="198" t="s">
        <v>65</v>
      </c>
      <c r="M7636" s="199"/>
      <c r="N7636" s="199"/>
    </row>
    <row r="7637">
      <c r="A7637" s="193" t="s">
        <v>27603</v>
      </c>
      <c r="B7637" s="7" t="s">
        <v>187</v>
      </c>
      <c r="C7637" s="7" t="s">
        <v>16846</v>
      </c>
      <c r="D7637" s="199"/>
      <c r="E7637" s="193"/>
      <c r="F7637" s="195" t="s">
        <v>27604</v>
      </c>
      <c r="G7637" s="196">
        <v>1.5905398E7</v>
      </c>
      <c r="H7637" s="197">
        <v>0.295</v>
      </c>
      <c r="I7637" s="7" t="s">
        <v>16815</v>
      </c>
      <c r="J7637" s="7" t="s">
        <v>187</v>
      </c>
      <c r="K7637" s="7" t="s">
        <v>16846</v>
      </c>
      <c r="L7637" s="198" t="s">
        <v>65</v>
      </c>
      <c r="M7637" s="199"/>
      <c r="N7637" s="199"/>
    </row>
    <row r="7638">
      <c r="A7638" s="193" t="s">
        <v>27603</v>
      </c>
      <c r="B7638" s="202" t="s">
        <v>16846</v>
      </c>
      <c r="C7638" s="193" t="s">
        <v>187</v>
      </c>
      <c r="D7638" s="206"/>
      <c r="E7638" s="193"/>
      <c r="F7638" s="203" t="s">
        <v>27604</v>
      </c>
      <c r="G7638" s="200">
        <v>1.5905398E7</v>
      </c>
      <c r="H7638" s="205">
        <v>17.0</v>
      </c>
      <c r="J7638" s="202" t="s">
        <v>16846</v>
      </c>
      <c r="K7638" s="193" t="s">
        <v>187</v>
      </c>
      <c r="L7638" s="193" t="s">
        <v>17471</v>
      </c>
      <c r="M7638" s="206"/>
      <c r="N7638" s="206"/>
    </row>
    <row r="7639">
      <c r="A7639" s="193" t="s">
        <v>27605</v>
      </c>
      <c r="B7639" s="7" t="s">
        <v>169</v>
      </c>
      <c r="C7639" s="7" t="s">
        <v>17321</v>
      </c>
      <c r="D7639" s="194">
        <v>2017.0</v>
      </c>
      <c r="E7639" s="193"/>
      <c r="F7639" s="195" t="s">
        <v>27606</v>
      </c>
      <c r="G7639" s="196">
        <v>1.5887892E7</v>
      </c>
      <c r="H7639" s="197">
        <v>0.5228</v>
      </c>
      <c r="I7639" s="7" t="s">
        <v>16815</v>
      </c>
      <c r="J7639" s="7" t="s">
        <v>169</v>
      </c>
      <c r="K7639" s="7" t="s">
        <v>17321</v>
      </c>
      <c r="L7639" s="198" t="s">
        <v>65</v>
      </c>
      <c r="M7639" s="194"/>
      <c r="N7639" s="194"/>
    </row>
    <row r="7640">
      <c r="A7640" s="193" t="s">
        <v>27607</v>
      </c>
      <c r="B7640" s="7" t="s">
        <v>16885</v>
      </c>
      <c r="C7640" s="7" t="s">
        <v>16886</v>
      </c>
      <c r="D7640" s="199"/>
      <c r="E7640" s="193"/>
      <c r="F7640" s="195" t="s">
        <v>27608</v>
      </c>
      <c r="G7640" s="196">
        <v>1.5880725E7</v>
      </c>
      <c r="H7640" s="197">
        <v>0.4825</v>
      </c>
      <c r="I7640" s="7" t="s">
        <v>16826</v>
      </c>
      <c r="J7640" s="7" t="s">
        <v>16885</v>
      </c>
      <c r="K7640" s="7" t="s">
        <v>16886</v>
      </c>
      <c r="L7640" s="198" t="s">
        <v>65</v>
      </c>
      <c r="M7640" s="199"/>
      <c r="N7640" s="199"/>
    </row>
    <row r="7641">
      <c r="A7641" s="193" t="s">
        <v>27609</v>
      </c>
      <c r="B7641" s="7" t="s">
        <v>16919</v>
      </c>
      <c r="C7641" s="7" t="s">
        <v>17048</v>
      </c>
      <c r="D7641" s="194">
        <v>2007.0</v>
      </c>
      <c r="E7641" s="193"/>
      <c r="F7641" s="195" t="s">
        <v>27610</v>
      </c>
      <c r="G7641" s="196">
        <v>1.5878525E7</v>
      </c>
      <c r="H7641" s="197">
        <v>0.2701</v>
      </c>
      <c r="I7641" s="7" t="s">
        <v>16815</v>
      </c>
      <c r="J7641" s="7" t="s">
        <v>16919</v>
      </c>
      <c r="K7641" s="7" t="s">
        <v>17048</v>
      </c>
      <c r="L7641" s="198" t="s">
        <v>65</v>
      </c>
      <c r="M7641" s="194"/>
      <c r="N7641" s="194"/>
    </row>
    <row r="7642">
      <c r="A7642" s="193" t="s">
        <v>27609</v>
      </c>
      <c r="B7642" s="202" t="s">
        <v>17048</v>
      </c>
      <c r="C7642" s="193" t="s">
        <v>16919</v>
      </c>
      <c r="D7642" s="193">
        <v>2007.0</v>
      </c>
      <c r="E7642" s="193"/>
      <c r="F7642" s="203" t="s">
        <v>27610</v>
      </c>
      <c r="G7642" s="200">
        <v>1.5878525E7</v>
      </c>
      <c r="H7642" s="205">
        <v>0.295</v>
      </c>
      <c r="J7642" s="202" t="s">
        <v>17048</v>
      </c>
      <c r="K7642" s="193" t="s">
        <v>16919</v>
      </c>
      <c r="L7642" s="193" t="s">
        <v>17471</v>
      </c>
      <c r="M7642" s="193"/>
      <c r="N7642" s="193"/>
    </row>
    <row r="7643">
      <c r="A7643" s="193" t="s">
        <v>27611</v>
      </c>
      <c r="B7643" s="7" t="s">
        <v>187</v>
      </c>
      <c r="C7643" s="7" t="s">
        <v>16851</v>
      </c>
      <c r="D7643" s="194">
        <v>2021.0</v>
      </c>
      <c r="E7643" s="193"/>
      <c r="F7643" s="195" t="s">
        <v>27612</v>
      </c>
      <c r="G7643" s="196">
        <v>1.580947E7</v>
      </c>
      <c r="H7643" s="197">
        <v>0.5279</v>
      </c>
      <c r="I7643" s="7" t="s">
        <v>16815</v>
      </c>
      <c r="J7643" s="7" t="s">
        <v>187</v>
      </c>
      <c r="K7643" s="7" t="s">
        <v>16851</v>
      </c>
      <c r="L7643" s="198" t="s">
        <v>65</v>
      </c>
      <c r="M7643" s="194"/>
      <c r="N7643" s="194"/>
    </row>
    <row r="7644">
      <c r="A7644" s="193" t="s">
        <v>27613</v>
      </c>
      <c r="B7644" s="7" t="s">
        <v>187</v>
      </c>
      <c r="C7644" s="7" t="s">
        <v>16992</v>
      </c>
      <c r="D7644" s="199"/>
      <c r="E7644" s="193"/>
      <c r="F7644" s="195" t="s">
        <v>27614</v>
      </c>
      <c r="G7644" s="196">
        <v>1.5793824E7</v>
      </c>
      <c r="H7644" s="197">
        <v>8.4906</v>
      </c>
      <c r="I7644" s="7" t="s">
        <v>16815</v>
      </c>
      <c r="J7644" s="7" t="s">
        <v>187</v>
      </c>
      <c r="K7644" s="7" t="s">
        <v>16992</v>
      </c>
      <c r="L7644" s="198" t="s">
        <v>65</v>
      </c>
      <c r="M7644" s="199"/>
      <c r="N7644" s="199"/>
    </row>
    <row r="7645">
      <c r="A7645" s="193" t="s">
        <v>27615</v>
      </c>
      <c r="B7645" s="7" t="s">
        <v>187</v>
      </c>
      <c r="C7645" s="7" t="s">
        <v>16969</v>
      </c>
      <c r="D7645" s="194">
        <v>2014.0</v>
      </c>
      <c r="E7645" s="193"/>
      <c r="F7645" s="195" t="s">
        <v>27616</v>
      </c>
      <c r="G7645" s="196">
        <v>1.5744976E7</v>
      </c>
      <c r="H7645" s="197">
        <v>4.72</v>
      </c>
      <c r="I7645" s="7" t="s">
        <v>16815</v>
      </c>
      <c r="J7645" s="7" t="s">
        <v>187</v>
      </c>
      <c r="K7645" s="7" t="s">
        <v>16969</v>
      </c>
      <c r="L7645" s="198" t="s">
        <v>65</v>
      </c>
      <c r="M7645" s="194"/>
      <c r="N7645" s="194"/>
    </row>
    <row r="7646">
      <c r="A7646" s="193" t="s">
        <v>27617</v>
      </c>
      <c r="B7646" s="7" t="s">
        <v>187</v>
      </c>
      <c r="C7646" s="7" t="s">
        <v>16846</v>
      </c>
      <c r="D7646" s="194">
        <v>2020.0</v>
      </c>
      <c r="E7646" s="193"/>
      <c r="F7646" s="195" t="s">
        <v>27618</v>
      </c>
      <c r="G7646" s="196">
        <v>1.5725364E7</v>
      </c>
      <c r="H7646" s="197">
        <v>0.58</v>
      </c>
      <c r="I7646" s="7" t="s">
        <v>16815</v>
      </c>
      <c r="J7646" s="7" t="s">
        <v>187</v>
      </c>
      <c r="K7646" s="7" t="s">
        <v>16846</v>
      </c>
      <c r="L7646" s="198" t="s">
        <v>65</v>
      </c>
      <c r="M7646" s="194"/>
      <c r="N7646" s="194"/>
    </row>
    <row r="7647">
      <c r="A7647" s="193" t="s">
        <v>27619</v>
      </c>
      <c r="B7647" s="7" t="s">
        <v>175</v>
      </c>
      <c r="C7647" s="7" t="s">
        <v>17509</v>
      </c>
      <c r="D7647" s="199"/>
      <c r="E7647" s="193"/>
      <c r="F7647" s="195" t="s">
        <v>27620</v>
      </c>
      <c r="G7647" s="196">
        <v>1.5638577E7</v>
      </c>
      <c r="H7647" s="197">
        <v>1.34</v>
      </c>
      <c r="I7647" s="7" t="s">
        <v>16844</v>
      </c>
      <c r="J7647" s="7" t="s">
        <v>175</v>
      </c>
      <c r="K7647" s="7" t="s">
        <v>17509</v>
      </c>
      <c r="L7647" s="198" t="s">
        <v>65</v>
      </c>
      <c r="M7647" s="199"/>
      <c r="N7647" s="199"/>
    </row>
    <row r="7648">
      <c r="A7648" s="193" t="s">
        <v>27621</v>
      </c>
      <c r="B7648" s="7" t="s">
        <v>16582</v>
      </c>
      <c r="C7648" s="7" t="s">
        <v>16817</v>
      </c>
      <c r="D7648" s="194">
        <v>2023.0</v>
      </c>
      <c r="E7648" s="193"/>
      <c r="F7648" s="195" t="s">
        <v>27622</v>
      </c>
      <c r="G7648" s="196">
        <v>1.545948E7</v>
      </c>
      <c r="H7648" s="197">
        <v>1.2</v>
      </c>
      <c r="I7648" s="7" t="s">
        <v>16815</v>
      </c>
      <c r="J7648" s="7" t="s">
        <v>16582</v>
      </c>
      <c r="K7648" s="7" t="s">
        <v>16817</v>
      </c>
      <c r="L7648" s="198" t="s">
        <v>65</v>
      </c>
      <c r="M7648" s="194"/>
      <c r="N7648" s="194"/>
    </row>
    <row r="7649">
      <c r="A7649" s="193" t="s">
        <v>27623</v>
      </c>
      <c r="B7649" s="7" t="s">
        <v>16910</v>
      </c>
      <c r="C7649" s="7" t="s">
        <v>17662</v>
      </c>
      <c r="D7649" s="199"/>
      <c r="E7649" s="193"/>
      <c r="F7649" s="195" t="s">
        <v>27624</v>
      </c>
      <c r="G7649" s="196">
        <v>1.5435E7</v>
      </c>
      <c r="H7649" s="197">
        <v>2.45</v>
      </c>
      <c r="I7649" s="7" t="s">
        <v>16917</v>
      </c>
      <c r="J7649" s="7" t="s">
        <v>16910</v>
      </c>
      <c r="K7649" s="7" t="s">
        <v>17662</v>
      </c>
      <c r="L7649" s="198" t="s">
        <v>65</v>
      </c>
      <c r="M7649" s="199"/>
      <c r="N7649" s="199"/>
    </row>
    <row r="7650">
      <c r="A7650" s="193" t="s">
        <v>27625</v>
      </c>
      <c r="B7650" s="7" t="s">
        <v>175</v>
      </c>
      <c r="C7650" s="7" t="s">
        <v>17457</v>
      </c>
      <c r="D7650" s="194">
        <v>2007.0</v>
      </c>
      <c r="E7650" s="193"/>
      <c r="F7650" s="195" t="s">
        <v>27626</v>
      </c>
      <c r="G7650" s="196">
        <v>1.5340155E7</v>
      </c>
      <c r="H7650" s="197">
        <v>2.84</v>
      </c>
      <c r="I7650" s="7" t="s">
        <v>16856</v>
      </c>
      <c r="J7650" s="7" t="s">
        <v>175</v>
      </c>
      <c r="K7650" s="7" t="s">
        <v>17457</v>
      </c>
      <c r="L7650" s="198" t="s">
        <v>65</v>
      </c>
      <c r="M7650" s="194"/>
      <c r="N7650" s="194"/>
    </row>
    <row r="7651">
      <c r="A7651" s="193" t="s">
        <v>27625</v>
      </c>
      <c r="B7651" s="7" t="s">
        <v>17457</v>
      </c>
      <c r="C7651" s="7" t="s">
        <v>175</v>
      </c>
      <c r="D7651" s="194">
        <v>2007.0</v>
      </c>
      <c r="E7651" s="193"/>
      <c r="F7651" s="195" t="s">
        <v>27626</v>
      </c>
      <c r="G7651" s="200">
        <v>1.5340155E7</v>
      </c>
      <c r="H7651" s="197">
        <v>2.84</v>
      </c>
      <c r="I7651" s="7" t="s">
        <v>16815</v>
      </c>
      <c r="J7651" s="7" t="s">
        <v>17457</v>
      </c>
      <c r="K7651" s="7" t="s">
        <v>175</v>
      </c>
      <c r="L7651" s="201" t="s">
        <v>16835</v>
      </c>
      <c r="M7651" s="194"/>
      <c r="N7651" s="194"/>
    </row>
    <row r="7652">
      <c r="A7652" s="193" t="s">
        <v>27627</v>
      </c>
      <c r="B7652" s="7" t="s">
        <v>187</v>
      </c>
      <c r="C7652" s="7" t="s">
        <v>16846</v>
      </c>
      <c r="D7652" s="194">
        <v>2021.0</v>
      </c>
      <c r="E7652" s="193"/>
      <c r="F7652" s="195" t="s">
        <v>27628</v>
      </c>
      <c r="G7652" s="196">
        <v>1.533675E7</v>
      </c>
      <c r="H7652" s="197">
        <v>0.429</v>
      </c>
      <c r="I7652" s="7" t="s">
        <v>16815</v>
      </c>
      <c r="J7652" s="7" t="s">
        <v>187</v>
      </c>
      <c r="K7652" s="7" t="s">
        <v>16846</v>
      </c>
      <c r="L7652" s="198" t="s">
        <v>65</v>
      </c>
      <c r="M7652" s="194"/>
      <c r="N7652" s="194"/>
    </row>
    <row r="7653">
      <c r="A7653" s="193" t="s">
        <v>27629</v>
      </c>
      <c r="B7653" s="7" t="s">
        <v>16582</v>
      </c>
      <c r="C7653" s="7" t="s">
        <v>17013</v>
      </c>
      <c r="D7653" s="194">
        <v>2023.0</v>
      </c>
      <c r="E7653" s="193"/>
      <c r="F7653" s="195" t="s">
        <v>27630</v>
      </c>
      <c r="G7653" s="196">
        <v>1.5315108E7</v>
      </c>
      <c r="H7653" s="197">
        <v>1.07</v>
      </c>
      <c r="I7653" s="7" t="s">
        <v>16815</v>
      </c>
      <c r="J7653" s="7" t="s">
        <v>16582</v>
      </c>
      <c r="K7653" s="7" t="s">
        <v>17013</v>
      </c>
      <c r="L7653" s="198" t="s">
        <v>65</v>
      </c>
      <c r="M7653" s="194"/>
      <c r="N7653" s="194"/>
    </row>
    <row r="7654">
      <c r="A7654" s="193" t="s">
        <v>27631</v>
      </c>
      <c r="B7654" s="7" t="s">
        <v>16582</v>
      </c>
      <c r="C7654" s="7" t="s">
        <v>16930</v>
      </c>
      <c r="D7654" s="199"/>
      <c r="E7654" s="193"/>
      <c r="F7654" s="195" t="s">
        <v>27632</v>
      </c>
      <c r="G7654" s="196">
        <v>1.5296338E7</v>
      </c>
      <c r="H7654" s="197">
        <v>1.72</v>
      </c>
      <c r="I7654" s="7" t="s">
        <v>16815</v>
      </c>
      <c r="J7654" s="7" t="s">
        <v>16582</v>
      </c>
      <c r="K7654" s="7" t="s">
        <v>16930</v>
      </c>
      <c r="L7654" s="198" t="s">
        <v>65</v>
      </c>
      <c r="M7654" s="199"/>
      <c r="N7654" s="199"/>
    </row>
    <row r="7655">
      <c r="A7655" s="193" t="s">
        <v>27631</v>
      </c>
      <c r="B7655" s="202" t="s">
        <v>16930</v>
      </c>
      <c r="C7655" s="193" t="s">
        <v>16582</v>
      </c>
      <c r="D7655" s="206"/>
      <c r="E7655" s="193"/>
      <c r="F7655" s="203" t="s">
        <v>27632</v>
      </c>
      <c r="G7655" s="200">
        <v>1.5296338E7</v>
      </c>
      <c r="H7655" s="205">
        <v>0.2701</v>
      </c>
      <c r="J7655" s="202" t="s">
        <v>16930</v>
      </c>
      <c r="K7655" s="193" t="s">
        <v>16582</v>
      </c>
      <c r="L7655" s="193" t="s">
        <v>17471</v>
      </c>
      <c r="M7655" s="206"/>
      <c r="N7655" s="206"/>
    </row>
    <row r="7656">
      <c r="A7656" s="193" t="s">
        <v>27633</v>
      </c>
      <c r="B7656" s="7" t="s">
        <v>16969</v>
      </c>
      <c r="C7656" s="7" t="s">
        <v>187</v>
      </c>
      <c r="D7656" s="194">
        <v>2018.0</v>
      </c>
      <c r="E7656" s="193"/>
      <c r="F7656" s="195" t="s">
        <v>27634</v>
      </c>
      <c r="G7656" s="200">
        <v>1.5284449E7</v>
      </c>
      <c r="H7656" s="197">
        <v>2.49</v>
      </c>
      <c r="I7656" s="7" t="s">
        <v>16815</v>
      </c>
      <c r="J7656" s="7" t="s">
        <v>16969</v>
      </c>
      <c r="K7656" s="7" t="s">
        <v>187</v>
      </c>
      <c r="L7656" s="201" t="s">
        <v>16835</v>
      </c>
      <c r="M7656" s="194"/>
      <c r="N7656" s="194"/>
    </row>
    <row r="7657">
      <c r="A7657" s="193" t="s">
        <v>27633</v>
      </c>
      <c r="B7657" s="7" t="s">
        <v>187</v>
      </c>
      <c r="C7657" s="7" t="s">
        <v>16969</v>
      </c>
      <c r="D7657" s="194">
        <v>2018.0</v>
      </c>
      <c r="E7657" s="193"/>
      <c r="F7657" s="195" t="s">
        <v>27634</v>
      </c>
      <c r="G7657" s="196">
        <v>1.5284449E7</v>
      </c>
      <c r="H7657" s="197">
        <v>2.49</v>
      </c>
      <c r="I7657" s="7" t="s">
        <v>16815</v>
      </c>
      <c r="J7657" s="7" t="s">
        <v>187</v>
      </c>
      <c r="K7657" s="7" t="s">
        <v>16969</v>
      </c>
      <c r="L7657" s="198" t="s">
        <v>65</v>
      </c>
      <c r="M7657" s="194"/>
      <c r="N7657" s="194"/>
    </row>
    <row r="7658">
      <c r="A7658" s="193" t="s">
        <v>27635</v>
      </c>
      <c r="B7658" s="7" t="s">
        <v>187</v>
      </c>
      <c r="C7658" s="7" t="s">
        <v>17564</v>
      </c>
      <c r="D7658" s="194">
        <v>2014.0</v>
      </c>
      <c r="E7658" s="193"/>
      <c r="F7658" s="195" t="s">
        <v>27636</v>
      </c>
      <c r="G7658" s="196">
        <v>1.5276332E7</v>
      </c>
      <c r="H7658" s="197">
        <v>0.34</v>
      </c>
      <c r="I7658" s="7" t="s">
        <v>16815</v>
      </c>
      <c r="J7658" s="7" t="s">
        <v>187</v>
      </c>
      <c r="K7658" s="7" t="s">
        <v>17564</v>
      </c>
      <c r="L7658" s="198" t="s">
        <v>65</v>
      </c>
      <c r="M7658" s="194"/>
      <c r="N7658" s="194"/>
    </row>
    <row r="7659">
      <c r="A7659" s="193" t="s">
        <v>27637</v>
      </c>
      <c r="B7659" s="7" t="s">
        <v>16582</v>
      </c>
      <c r="C7659" s="7" t="s">
        <v>16930</v>
      </c>
      <c r="D7659" s="199"/>
      <c r="E7659" s="193"/>
      <c r="F7659" s="195" t="s">
        <v>27638</v>
      </c>
      <c r="G7659" s="196">
        <v>1.5262596E7</v>
      </c>
      <c r="H7659" s="197">
        <v>2.06</v>
      </c>
      <c r="I7659" s="7" t="s">
        <v>16815</v>
      </c>
      <c r="J7659" s="7" t="s">
        <v>16582</v>
      </c>
      <c r="K7659" s="7" t="s">
        <v>16930</v>
      </c>
      <c r="L7659" s="198" t="s">
        <v>65</v>
      </c>
      <c r="M7659" s="199"/>
      <c r="N7659" s="199"/>
    </row>
    <row r="7660">
      <c r="A7660" s="193" t="s">
        <v>27639</v>
      </c>
      <c r="B7660" s="7" t="s">
        <v>16969</v>
      </c>
      <c r="C7660" s="7" t="s">
        <v>187</v>
      </c>
      <c r="D7660" s="194">
        <v>2021.0</v>
      </c>
      <c r="E7660" s="193"/>
      <c r="F7660" s="195" t="s">
        <v>27640</v>
      </c>
      <c r="G7660" s="200">
        <v>1.5197874E7</v>
      </c>
      <c r="H7660" s="197">
        <v>0.28</v>
      </c>
      <c r="I7660" s="7" t="s">
        <v>16815</v>
      </c>
      <c r="J7660" s="7" t="s">
        <v>16969</v>
      </c>
      <c r="K7660" s="7" t="s">
        <v>187</v>
      </c>
      <c r="L7660" s="201" t="s">
        <v>16835</v>
      </c>
      <c r="M7660" s="194"/>
      <c r="N7660" s="194"/>
    </row>
    <row r="7661">
      <c r="A7661" s="193" t="s">
        <v>27639</v>
      </c>
      <c r="B7661" s="7" t="s">
        <v>187</v>
      </c>
      <c r="C7661" s="7" t="s">
        <v>16969</v>
      </c>
      <c r="D7661" s="194">
        <v>2021.0</v>
      </c>
      <c r="E7661" s="193"/>
      <c r="F7661" s="195" t="s">
        <v>27640</v>
      </c>
      <c r="G7661" s="196">
        <v>1.5197874E7</v>
      </c>
      <c r="H7661" s="197">
        <v>0.28</v>
      </c>
      <c r="I7661" s="7" t="s">
        <v>16815</v>
      </c>
      <c r="J7661" s="7" t="s">
        <v>187</v>
      </c>
      <c r="K7661" s="7" t="s">
        <v>16969</v>
      </c>
      <c r="L7661" s="198" t="s">
        <v>65</v>
      </c>
      <c r="M7661" s="194"/>
      <c r="N7661" s="194"/>
    </row>
    <row r="7662">
      <c r="A7662" s="193" t="s">
        <v>27641</v>
      </c>
      <c r="B7662" s="7" t="s">
        <v>175</v>
      </c>
      <c r="C7662" s="7" t="s">
        <v>17480</v>
      </c>
      <c r="D7662" s="194">
        <v>2019.0</v>
      </c>
      <c r="E7662" s="193"/>
      <c r="F7662" s="195" t="s">
        <v>27642</v>
      </c>
      <c r="G7662" s="196">
        <v>1.5139999E7</v>
      </c>
      <c r="H7662" s="197">
        <v>0.7501</v>
      </c>
      <c r="I7662" s="7" t="s">
        <v>16856</v>
      </c>
      <c r="J7662" s="7" t="s">
        <v>175</v>
      </c>
      <c r="K7662" s="7" t="s">
        <v>17480</v>
      </c>
      <c r="L7662" s="198" t="s">
        <v>65</v>
      </c>
      <c r="M7662" s="194"/>
      <c r="N7662" s="194"/>
    </row>
    <row r="7663">
      <c r="A7663" s="193" t="s">
        <v>27643</v>
      </c>
      <c r="B7663" s="7" t="s">
        <v>16582</v>
      </c>
      <c r="C7663" s="7" t="s">
        <v>16583</v>
      </c>
      <c r="D7663" s="199"/>
      <c r="E7663" s="193"/>
      <c r="F7663" s="195" t="s">
        <v>27644</v>
      </c>
      <c r="G7663" s="196">
        <v>1.5137395E7</v>
      </c>
      <c r="H7663" s="197">
        <v>1.3699</v>
      </c>
      <c r="I7663" s="7" t="s">
        <v>16815</v>
      </c>
      <c r="J7663" s="7" t="s">
        <v>16582</v>
      </c>
      <c r="K7663" s="7" t="s">
        <v>16583</v>
      </c>
      <c r="L7663" s="198" t="s">
        <v>65</v>
      </c>
      <c r="M7663" s="199"/>
      <c r="N7663" s="199"/>
    </row>
    <row r="7664">
      <c r="A7664" s="193" t="s">
        <v>27645</v>
      </c>
      <c r="B7664" s="7" t="s">
        <v>16910</v>
      </c>
      <c r="C7664" s="7" t="s">
        <v>17662</v>
      </c>
      <c r="D7664" s="199"/>
      <c r="E7664" s="193"/>
      <c r="F7664" s="195" t="s">
        <v>27646</v>
      </c>
      <c r="G7664" s="196">
        <v>1.5029944E7</v>
      </c>
      <c r="H7664" s="197">
        <v>1.5001</v>
      </c>
      <c r="I7664" s="7" t="s">
        <v>16917</v>
      </c>
      <c r="J7664" s="7" t="s">
        <v>16910</v>
      </c>
      <c r="K7664" s="7" t="s">
        <v>17662</v>
      </c>
      <c r="L7664" s="198" t="s">
        <v>65</v>
      </c>
      <c r="M7664" s="199"/>
      <c r="N7664" s="199"/>
    </row>
    <row r="7665">
      <c r="A7665" s="193" t="s">
        <v>27647</v>
      </c>
      <c r="B7665" s="7" t="s">
        <v>175</v>
      </c>
      <c r="C7665" s="7" t="s">
        <v>17084</v>
      </c>
      <c r="D7665" s="194">
        <v>2013.0</v>
      </c>
      <c r="E7665" s="193"/>
      <c r="F7665" s="195" t="s">
        <v>27648</v>
      </c>
      <c r="G7665" s="196">
        <v>1.499055E7</v>
      </c>
      <c r="H7665" s="197">
        <v>1.2</v>
      </c>
      <c r="I7665" s="7" t="s">
        <v>16856</v>
      </c>
      <c r="J7665" s="7" t="s">
        <v>175</v>
      </c>
      <c r="K7665" s="7" t="s">
        <v>17084</v>
      </c>
      <c r="L7665" s="198" t="s">
        <v>65</v>
      </c>
      <c r="M7665" s="194"/>
      <c r="N7665" s="194"/>
    </row>
    <row r="7666">
      <c r="A7666" s="193" t="s">
        <v>27647</v>
      </c>
      <c r="B7666" s="7" t="s">
        <v>17084</v>
      </c>
      <c r="C7666" s="7" t="s">
        <v>175</v>
      </c>
      <c r="D7666" s="194">
        <v>2013.0</v>
      </c>
      <c r="E7666" s="193"/>
      <c r="F7666" s="195" t="s">
        <v>27648</v>
      </c>
      <c r="G7666" s="200">
        <v>1.499055E7</v>
      </c>
      <c r="H7666" s="197">
        <v>1.2</v>
      </c>
      <c r="I7666" s="7" t="s">
        <v>16815</v>
      </c>
      <c r="J7666" s="7" t="s">
        <v>17084</v>
      </c>
      <c r="K7666" s="7" t="s">
        <v>175</v>
      </c>
      <c r="L7666" s="201" t="s">
        <v>16835</v>
      </c>
      <c r="M7666" s="194"/>
      <c r="N7666" s="194"/>
    </row>
    <row r="7667">
      <c r="A7667" s="193" t="s">
        <v>27649</v>
      </c>
      <c r="B7667" s="7" t="s">
        <v>175</v>
      </c>
      <c r="C7667" s="7" t="s">
        <v>17619</v>
      </c>
      <c r="D7667" s="199"/>
      <c r="E7667" s="193"/>
      <c r="F7667" s="195" t="s">
        <v>27650</v>
      </c>
      <c r="G7667" s="196">
        <v>1.4973249E7</v>
      </c>
      <c r="H7667" s="197">
        <v>0.58</v>
      </c>
      <c r="I7667" s="7" t="s">
        <v>168</v>
      </c>
      <c r="J7667" s="7" t="s">
        <v>175</v>
      </c>
      <c r="K7667" s="7" t="s">
        <v>17619</v>
      </c>
      <c r="L7667" s="198" t="s">
        <v>65</v>
      </c>
      <c r="M7667" s="199"/>
      <c r="N7667" s="199"/>
    </row>
    <row r="7668">
      <c r="A7668" s="193" t="s">
        <v>27651</v>
      </c>
      <c r="B7668" s="7" t="s">
        <v>16926</v>
      </c>
      <c r="C7668" s="7" t="s">
        <v>16927</v>
      </c>
      <c r="D7668" s="199"/>
      <c r="E7668" s="193"/>
      <c r="F7668" s="195" t="s">
        <v>27652</v>
      </c>
      <c r="G7668" s="196">
        <v>1.496706E7</v>
      </c>
      <c r="H7668" s="197">
        <v>2.6258</v>
      </c>
      <c r="I7668" s="7" t="s">
        <v>16815</v>
      </c>
      <c r="J7668" s="7" t="s">
        <v>16926</v>
      </c>
      <c r="K7668" s="7" t="s">
        <v>16927</v>
      </c>
      <c r="L7668" s="198" t="s">
        <v>65</v>
      </c>
      <c r="M7668" s="199"/>
      <c r="N7668" s="199"/>
    </row>
    <row r="7669">
      <c r="A7669" s="193" t="s">
        <v>27653</v>
      </c>
      <c r="B7669" s="7" t="s">
        <v>187</v>
      </c>
      <c r="C7669" s="7" t="s">
        <v>17564</v>
      </c>
      <c r="D7669" s="199"/>
      <c r="E7669" s="193"/>
      <c r="F7669" s="195" t="s">
        <v>27654</v>
      </c>
      <c r="G7669" s="196">
        <v>1.4953284E7</v>
      </c>
      <c r="H7669" s="197">
        <v>0.091</v>
      </c>
      <c r="I7669" s="7" t="s">
        <v>16815</v>
      </c>
      <c r="J7669" s="7" t="s">
        <v>187</v>
      </c>
      <c r="K7669" s="7" t="s">
        <v>17564</v>
      </c>
      <c r="L7669" s="198" t="s">
        <v>65</v>
      </c>
      <c r="M7669" s="199"/>
      <c r="N7669" s="199"/>
    </row>
    <row r="7670">
      <c r="A7670" s="193" t="s">
        <v>27655</v>
      </c>
      <c r="B7670" s="7" t="s">
        <v>169</v>
      </c>
      <c r="C7670" s="7" t="s">
        <v>17619</v>
      </c>
      <c r="D7670" s="194">
        <v>2011.0</v>
      </c>
      <c r="E7670" s="193"/>
      <c r="F7670" s="195" t="s">
        <v>27656</v>
      </c>
      <c r="G7670" s="196">
        <v>1.4922061E7</v>
      </c>
      <c r="H7670" s="197">
        <v>1.23</v>
      </c>
      <c r="I7670" s="7" t="s">
        <v>16815</v>
      </c>
      <c r="J7670" s="7" t="s">
        <v>169</v>
      </c>
      <c r="K7670" s="7" t="s">
        <v>17619</v>
      </c>
      <c r="L7670" s="198" t="s">
        <v>65</v>
      </c>
      <c r="M7670" s="194"/>
      <c r="N7670" s="194"/>
    </row>
    <row r="7671">
      <c r="A7671" s="193" t="s">
        <v>27655</v>
      </c>
      <c r="B7671" s="7" t="s">
        <v>17619</v>
      </c>
      <c r="C7671" s="7" t="s">
        <v>169</v>
      </c>
      <c r="D7671" s="194">
        <v>2011.0</v>
      </c>
      <c r="E7671" s="193"/>
      <c r="F7671" s="195" t="s">
        <v>27656</v>
      </c>
      <c r="G7671" s="200">
        <v>1.4922061E7</v>
      </c>
      <c r="H7671" s="197">
        <v>1.23</v>
      </c>
      <c r="I7671" s="7" t="s">
        <v>16815</v>
      </c>
      <c r="J7671" s="7" t="s">
        <v>17619</v>
      </c>
      <c r="K7671" s="7" t="s">
        <v>169</v>
      </c>
      <c r="L7671" s="201" t="s">
        <v>16835</v>
      </c>
      <c r="M7671" s="194"/>
      <c r="N7671" s="194"/>
    </row>
    <row r="7672">
      <c r="A7672" s="193" t="s">
        <v>27657</v>
      </c>
      <c r="B7672" s="7" t="s">
        <v>187</v>
      </c>
      <c r="C7672" s="7" t="s">
        <v>16846</v>
      </c>
      <c r="D7672" s="194">
        <v>2020.0</v>
      </c>
      <c r="E7672" s="193"/>
      <c r="F7672" s="195" t="s">
        <v>27658</v>
      </c>
      <c r="G7672" s="196">
        <v>1.4916764E7</v>
      </c>
      <c r="H7672" s="197">
        <v>0.775</v>
      </c>
      <c r="I7672" s="7" t="s">
        <v>16815</v>
      </c>
      <c r="J7672" s="7" t="s">
        <v>187</v>
      </c>
      <c r="K7672" s="7" t="s">
        <v>16846</v>
      </c>
      <c r="L7672" s="198" t="s">
        <v>65</v>
      </c>
      <c r="M7672" s="194"/>
      <c r="N7672" s="194"/>
    </row>
    <row r="7673">
      <c r="A7673" s="193" t="s">
        <v>27659</v>
      </c>
      <c r="B7673" s="7" t="s">
        <v>175</v>
      </c>
      <c r="C7673" s="7" t="s">
        <v>18723</v>
      </c>
      <c r="D7673" s="199"/>
      <c r="E7673" s="193"/>
      <c r="F7673" s="195" t="s">
        <v>27660</v>
      </c>
      <c r="G7673" s="196">
        <v>1.4746358E7</v>
      </c>
      <c r="H7673" s="197">
        <v>2.6</v>
      </c>
      <c r="I7673" s="7" t="s">
        <v>16892</v>
      </c>
      <c r="J7673" s="7" t="s">
        <v>175</v>
      </c>
      <c r="K7673" s="7" t="s">
        <v>18723</v>
      </c>
      <c r="L7673" s="198" t="s">
        <v>65</v>
      </c>
      <c r="M7673" s="199"/>
      <c r="N7673" s="199"/>
    </row>
    <row r="7674">
      <c r="A7674" s="193" t="s">
        <v>27661</v>
      </c>
      <c r="B7674" s="7" t="s">
        <v>175</v>
      </c>
      <c r="C7674" s="7" t="s">
        <v>16842</v>
      </c>
      <c r="D7674" s="194">
        <v>2020.0</v>
      </c>
      <c r="E7674" s="193"/>
      <c r="F7674" s="195" t="s">
        <v>27662</v>
      </c>
      <c r="G7674" s="196">
        <v>1.4694455E7</v>
      </c>
      <c r="H7674" s="197">
        <v>0.79</v>
      </c>
      <c r="I7674" s="7" t="s">
        <v>16908</v>
      </c>
      <c r="J7674" s="7" t="s">
        <v>175</v>
      </c>
      <c r="K7674" s="7" t="s">
        <v>16842</v>
      </c>
      <c r="L7674" s="198" t="s">
        <v>65</v>
      </c>
      <c r="M7674" s="194"/>
      <c r="N7674" s="194"/>
    </row>
    <row r="7675">
      <c r="A7675" s="193" t="s">
        <v>27663</v>
      </c>
      <c r="B7675" s="7" t="s">
        <v>187</v>
      </c>
      <c r="C7675" s="7" t="s">
        <v>16846</v>
      </c>
      <c r="D7675" s="194">
        <v>2000.0</v>
      </c>
      <c r="E7675" s="193"/>
      <c r="F7675" s="195" t="s">
        <v>27664</v>
      </c>
      <c r="G7675" s="196">
        <v>1.4639082E7</v>
      </c>
      <c r="H7675" s="197">
        <v>0.5304</v>
      </c>
      <c r="I7675" s="7" t="s">
        <v>16815</v>
      </c>
      <c r="J7675" s="7" t="s">
        <v>187</v>
      </c>
      <c r="K7675" s="7" t="s">
        <v>16846</v>
      </c>
      <c r="L7675" s="198" t="s">
        <v>65</v>
      </c>
      <c r="M7675" s="194"/>
      <c r="N7675" s="194"/>
    </row>
    <row r="7676">
      <c r="A7676" s="193" t="s">
        <v>27665</v>
      </c>
      <c r="B7676" s="7" t="s">
        <v>17112</v>
      </c>
      <c r="C7676" s="7" t="s">
        <v>17787</v>
      </c>
      <c r="D7676" s="199"/>
      <c r="E7676" s="193"/>
      <c r="F7676" s="195" t="s">
        <v>27666</v>
      </c>
      <c r="G7676" s="196">
        <v>1.4631859E7</v>
      </c>
      <c r="H7676" s="197">
        <v>0.384</v>
      </c>
      <c r="I7676" s="7" t="s">
        <v>16815</v>
      </c>
      <c r="J7676" s="7" t="s">
        <v>17112</v>
      </c>
      <c r="K7676" s="7" t="s">
        <v>17787</v>
      </c>
      <c r="L7676" s="198" t="s">
        <v>65</v>
      </c>
      <c r="M7676" s="199"/>
      <c r="N7676" s="199"/>
    </row>
    <row r="7677">
      <c r="A7677" s="193" t="s">
        <v>27665</v>
      </c>
      <c r="B7677" s="202" t="s">
        <v>17787</v>
      </c>
      <c r="C7677" s="193" t="s">
        <v>17112</v>
      </c>
      <c r="D7677" s="206"/>
      <c r="E7677" s="193"/>
      <c r="F7677" s="203" t="s">
        <v>27666</v>
      </c>
      <c r="G7677" s="200">
        <v>1.4631859E7</v>
      </c>
      <c r="H7677" s="205">
        <v>1.72</v>
      </c>
      <c r="J7677" s="202" t="s">
        <v>17787</v>
      </c>
      <c r="K7677" s="193" t="s">
        <v>17112</v>
      </c>
      <c r="L7677" s="193" t="s">
        <v>17471</v>
      </c>
      <c r="M7677" s="206"/>
      <c r="N7677" s="206"/>
    </row>
    <row r="7678">
      <c r="A7678" s="193" t="s">
        <v>27667</v>
      </c>
      <c r="B7678" s="7" t="s">
        <v>187</v>
      </c>
      <c r="C7678" s="7" t="s">
        <v>16846</v>
      </c>
      <c r="D7678" s="199"/>
      <c r="E7678" s="193"/>
      <c r="F7678" s="195" t="s">
        <v>27668</v>
      </c>
      <c r="G7678" s="196">
        <v>1.4593863E7</v>
      </c>
      <c r="H7678" s="197">
        <v>0.64</v>
      </c>
      <c r="I7678" s="7" t="s">
        <v>16815</v>
      </c>
      <c r="J7678" s="7" t="s">
        <v>187</v>
      </c>
      <c r="K7678" s="7" t="s">
        <v>16846</v>
      </c>
      <c r="L7678" s="198" t="s">
        <v>65</v>
      </c>
      <c r="M7678" s="199"/>
      <c r="N7678" s="199"/>
    </row>
    <row r="7679">
      <c r="A7679" s="193" t="s">
        <v>27669</v>
      </c>
      <c r="B7679" s="7" t="s">
        <v>16582</v>
      </c>
      <c r="C7679" s="7" t="s">
        <v>16817</v>
      </c>
      <c r="D7679" s="194">
        <v>2020.0</v>
      </c>
      <c r="E7679" s="193"/>
      <c r="F7679" s="195" t="s">
        <v>27670</v>
      </c>
      <c r="G7679" s="196">
        <v>1.4570118E7</v>
      </c>
      <c r="H7679" s="197">
        <v>0.13</v>
      </c>
      <c r="I7679" s="7" t="s">
        <v>16815</v>
      </c>
      <c r="J7679" s="7" t="s">
        <v>16582</v>
      </c>
      <c r="K7679" s="7" t="s">
        <v>16817</v>
      </c>
      <c r="L7679" s="198" t="s">
        <v>65</v>
      </c>
      <c r="M7679" s="194"/>
      <c r="N7679" s="194"/>
    </row>
    <row r="7680">
      <c r="A7680" s="193" t="s">
        <v>27671</v>
      </c>
      <c r="B7680" s="7" t="s">
        <v>16582</v>
      </c>
      <c r="C7680" s="7" t="s">
        <v>16930</v>
      </c>
      <c r="D7680" s="199"/>
      <c r="E7680" s="193"/>
      <c r="F7680" s="195" t="s">
        <v>27672</v>
      </c>
      <c r="G7680" s="196">
        <v>1.4512987E7</v>
      </c>
      <c r="H7680" s="197">
        <v>0.2238</v>
      </c>
      <c r="I7680" s="7" t="s">
        <v>16815</v>
      </c>
      <c r="J7680" s="7" t="s">
        <v>16582</v>
      </c>
      <c r="K7680" s="7" t="s">
        <v>16930</v>
      </c>
      <c r="L7680" s="198" t="s">
        <v>65</v>
      </c>
      <c r="M7680" s="199"/>
      <c r="N7680" s="199"/>
    </row>
    <row r="7681">
      <c r="A7681" s="193" t="s">
        <v>27673</v>
      </c>
      <c r="B7681" s="7" t="s">
        <v>175</v>
      </c>
      <c r="C7681" s="7" t="s">
        <v>16854</v>
      </c>
      <c r="D7681" s="194">
        <v>2018.0</v>
      </c>
      <c r="E7681" s="193"/>
      <c r="F7681" s="195" t="s">
        <v>27674</v>
      </c>
      <c r="G7681" s="196">
        <v>1.448081E7</v>
      </c>
      <c r="H7681" s="197">
        <v>2.01</v>
      </c>
      <c r="I7681" s="7" t="s">
        <v>168</v>
      </c>
      <c r="J7681" s="7" t="s">
        <v>175</v>
      </c>
      <c r="K7681" s="7" t="s">
        <v>16854</v>
      </c>
      <c r="L7681" s="198" t="s">
        <v>65</v>
      </c>
      <c r="M7681" s="194"/>
      <c r="N7681" s="194"/>
    </row>
    <row r="7682">
      <c r="A7682" s="193" t="s">
        <v>27673</v>
      </c>
      <c r="B7682" s="7" t="s">
        <v>16854</v>
      </c>
      <c r="C7682" s="7" t="s">
        <v>175</v>
      </c>
      <c r="D7682" s="194">
        <v>2018.0</v>
      </c>
      <c r="E7682" s="193"/>
      <c r="F7682" s="195" t="s">
        <v>27675</v>
      </c>
      <c r="G7682" s="200">
        <v>1.448081E7</v>
      </c>
      <c r="H7682" s="197">
        <v>2.01</v>
      </c>
      <c r="I7682" s="7" t="s">
        <v>16815</v>
      </c>
      <c r="J7682" s="7" t="s">
        <v>16854</v>
      </c>
      <c r="K7682" s="7" t="s">
        <v>175</v>
      </c>
      <c r="L7682" s="201" t="s">
        <v>16835</v>
      </c>
      <c r="M7682" s="194"/>
      <c r="N7682" s="194"/>
    </row>
    <row r="7683">
      <c r="A7683" s="193" t="s">
        <v>27676</v>
      </c>
      <c r="B7683" s="7" t="s">
        <v>175</v>
      </c>
      <c r="C7683" s="7" t="s">
        <v>16878</v>
      </c>
      <c r="D7683" s="194">
        <v>2021.0</v>
      </c>
      <c r="E7683" s="193"/>
      <c r="F7683" s="195" t="s">
        <v>27677</v>
      </c>
      <c r="G7683" s="196">
        <v>1.4461764E7</v>
      </c>
      <c r="H7683" s="197">
        <v>1.86</v>
      </c>
      <c r="I7683" s="7" t="s">
        <v>16826</v>
      </c>
      <c r="J7683" s="7" t="s">
        <v>175</v>
      </c>
      <c r="K7683" s="7" t="s">
        <v>16878</v>
      </c>
      <c r="L7683" s="198" t="s">
        <v>65</v>
      </c>
      <c r="M7683" s="194"/>
      <c r="N7683" s="194"/>
    </row>
    <row r="7684">
      <c r="A7684" s="193" t="s">
        <v>27678</v>
      </c>
      <c r="B7684" s="7" t="s">
        <v>158</v>
      </c>
      <c r="C7684" s="7" t="s">
        <v>17171</v>
      </c>
      <c r="D7684" s="199"/>
      <c r="E7684" s="193"/>
      <c r="F7684" s="195" t="s">
        <v>27679</v>
      </c>
      <c r="G7684" s="196">
        <v>1.445187E7</v>
      </c>
      <c r="H7684" s="197">
        <v>0.8</v>
      </c>
      <c r="I7684" s="7" t="s">
        <v>17450</v>
      </c>
      <c r="J7684" s="7" t="s">
        <v>158</v>
      </c>
      <c r="K7684" s="7" t="s">
        <v>17171</v>
      </c>
      <c r="L7684" s="198" t="s">
        <v>65</v>
      </c>
      <c r="M7684" s="199"/>
      <c r="N7684" s="199"/>
    </row>
    <row r="7685">
      <c r="A7685" s="193" t="s">
        <v>27680</v>
      </c>
      <c r="B7685" s="7" t="s">
        <v>187</v>
      </c>
      <c r="C7685" s="7" t="s">
        <v>16846</v>
      </c>
      <c r="D7685" s="199"/>
      <c r="E7685" s="193"/>
      <c r="F7685" s="195" t="s">
        <v>27681</v>
      </c>
      <c r="G7685" s="196">
        <v>1.437697E7</v>
      </c>
      <c r="H7685" s="197">
        <v>3.25</v>
      </c>
      <c r="I7685" s="7" t="s">
        <v>16815</v>
      </c>
      <c r="J7685" s="7" t="s">
        <v>187</v>
      </c>
      <c r="K7685" s="7" t="s">
        <v>16846</v>
      </c>
      <c r="L7685" s="198" t="s">
        <v>65</v>
      </c>
      <c r="M7685" s="199"/>
      <c r="N7685" s="199"/>
    </row>
    <row r="7686">
      <c r="A7686" s="193" t="s">
        <v>27682</v>
      </c>
      <c r="B7686" s="7" t="s">
        <v>187</v>
      </c>
      <c r="C7686" s="7" t="s">
        <v>16858</v>
      </c>
      <c r="D7686" s="194">
        <v>2021.0</v>
      </c>
      <c r="E7686" s="193"/>
      <c r="F7686" s="195" t="s">
        <v>27683</v>
      </c>
      <c r="G7686" s="196">
        <v>1.4371775E7</v>
      </c>
      <c r="H7686" s="197">
        <v>1.74</v>
      </c>
      <c r="I7686" s="7" t="s">
        <v>16815</v>
      </c>
      <c r="J7686" s="7" t="s">
        <v>187</v>
      </c>
      <c r="K7686" s="7" t="s">
        <v>16858</v>
      </c>
      <c r="L7686" s="198" t="s">
        <v>65</v>
      </c>
      <c r="M7686" s="194"/>
      <c r="N7686" s="194"/>
    </row>
    <row r="7687">
      <c r="A7687" s="193" t="s">
        <v>27684</v>
      </c>
      <c r="B7687" s="7" t="s">
        <v>187</v>
      </c>
      <c r="C7687" s="7" t="s">
        <v>16858</v>
      </c>
      <c r="D7687" s="194">
        <v>2019.0</v>
      </c>
      <c r="E7687" s="193"/>
      <c r="F7687" s="195" t="s">
        <v>27685</v>
      </c>
      <c r="G7687" s="196">
        <v>1.4348824E7</v>
      </c>
      <c r="H7687" s="197">
        <v>3.84</v>
      </c>
      <c r="I7687" s="7" t="s">
        <v>16815</v>
      </c>
      <c r="J7687" s="7" t="s">
        <v>187</v>
      </c>
      <c r="K7687" s="7" t="s">
        <v>16858</v>
      </c>
      <c r="L7687" s="198" t="s">
        <v>65</v>
      </c>
      <c r="M7687" s="194"/>
      <c r="N7687" s="194"/>
    </row>
    <row r="7688">
      <c r="A7688" s="193" t="s">
        <v>27686</v>
      </c>
      <c r="B7688" s="7" t="s">
        <v>187</v>
      </c>
      <c r="C7688" s="7" t="s">
        <v>16969</v>
      </c>
      <c r="D7688" s="194">
        <v>2021.0</v>
      </c>
      <c r="E7688" s="193"/>
      <c r="F7688" s="195" t="s">
        <v>27687</v>
      </c>
      <c r="G7688" s="196">
        <v>1.427283E7</v>
      </c>
      <c r="H7688" s="197">
        <v>1.2199</v>
      </c>
      <c r="I7688" s="7" t="s">
        <v>16815</v>
      </c>
      <c r="J7688" s="7" t="s">
        <v>187</v>
      </c>
      <c r="K7688" s="7" t="s">
        <v>16969</v>
      </c>
      <c r="L7688" s="198" t="s">
        <v>65</v>
      </c>
      <c r="M7688" s="194"/>
      <c r="N7688" s="194"/>
    </row>
    <row r="7689">
      <c r="A7689" s="193" t="s">
        <v>27688</v>
      </c>
      <c r="B7689" s="7" t="s">
        <v>169</v>
      </c>
      <c r="C7689" s="7" t="s">
        <v>17509</v>
      </c>
      <c r="D7689" s="194">
        <v>2022.0</v>
      </c>
      <c r="E7689" s="193"/>
      <c r="F7689" s="195" t="s">
        <v>27689</v>
      </c>
      <c r="G7689" s="196">
        <v>1.425E7</v>
      </c>
      <c r="H7689" s="197">
        <v>1.5</v>
      </c>
      <c r="I7689" s="7" t="s">
        <v>16815</v>
      </c>
      <c r="J7689" s="7" t="s">
        <v>169</v>
      </c>
      <c r="K7689" s="7" t="s">
        <v>17509</v>
      </c>
      <c r="L7689" s="198" t="s">
        <v>65</v>
      </c>
      <c r="M7689" s="194"/>
      <c r="N7689" s="194"/>
    </row>
    <row r="7690">
      <c r="A7690" s="193" t="s">
        <v>27690</v>
      </c>
      <c r="B7690" s="7" t="s">
        <v>16838</v>
      </c>
      <c r="C7690" s="7" t="s">
        <v>17112</v>
      </c>
      <c r="D7690" s="194">
        <v>2019.0</v>
      </c>
      <c r="E7690" s="193"/>
      <c r="F7690" s="195" t="s">
        <v>27691</v>
      </c>
      <c r="G7690" s="196">
        <v>1.42496E7</v>
      </c>
      <c r="H7690" s="197">
        <v>1.22</v>
      </c>
      <c r="I7690" s="7" t="s">
        <v>16815</v>
      </c>
      <c r="J7690" s="7" t="s">
        <v>16838</v>
      </c>
      <c r="K7690" s="7" t="s">
        <v>17112</v>
      </c>
      <c r="L7690" s="198" t="s">
        <v>65</v>
      </c>
      <c r="M7690" s="194"/>
      <c r="N7690" s="194"/>
    </row>
    <row r="7691">
      <c r="A7691" s="193" t="s">
        <v>27692</v>
      </c>
      <c r="B7691" s="7" t="s">
        <v>16838</v>
      </c>
      <c r="C7691" s="7" t="s">
        <v>17016</v>
      </c>
      <c r="D7691" s="199"/>
      <c r="E7691" s="193"/>
      <c r="F7691" s="195" t="s">
        <v>27693</v>
      </c>
      <c r="G7691" s="196">
        <v>1.4191392E7</v>
      </c>
      <c r="H7691" s="197">
        <v>0.9901</v>
      </c>
      <c r="I7691" s="7" t="s">
        <v>16815</v>
      </c>
      <c r="J7691" s="7" t="s">
        <v>16838</v>
      </c>
      <c r="K7691" s="7" t="s">
        <v>17016</v>
      </c>
      <c r="L7691" s="198" t="s">
        <v>65</v>
      </c>
      <c r="M7691" s="199"/>
      <c r="N7691" s="199"/>
    </row>
    <row r="7692">
      <c r="A7692" s="193" t="s">
        <v>27694</v>
      </c>
      <c r="B7692" s="7" t="s">
        <v>187</v>
      </c>
      <c r="C7692" s="7" t="s">
        <v>16846</v>
      </c>
      <c r="D7692" s="199"/>
      <c r="E7692" s="193"/>
      <c r="F7692" s="195" t="s">
        <v>27695</v>
      </c>
      <c r="G7692" s="196">
        <v>1.4175197E7</v>
      </c>
      <c r="H7692" s="197">
        <v>0.531</v>
      </c>
      <c r="I7692" s="7" t="s">
        <v>16815</v>
      </c>
      <c r="J7692" s="7" t="s">
        <v>187</v>
      </c>
      <c r="K7692" s="7" t="s">
        <v>16846</v>
      </c>
      <c r="L7692" s="198" t="s">
        <v>65</v>
      </c>
      <c r="M7692" s="199"/>
      <c r="N7692" s="199"/>
    </row>
    <row r="7693">
      <c r="A7693" s="193" t="s">
        <v>27696</v>
      </c>
      <c r="B7693" s="7" t="s">
        <v>187</v>
      </c>
      <c r="C7693" s="7" t="s">
        <v>16846</v>
      </c>
      <c r="D7693" s="194">
        <v>2017.0</v>
      </c>
      <c r="E7693" s="193"/>
      <c r="F7693" s="195" t="s">
        <v>27697</v>
      </c>
      <c r="G7693" s="196">
        <v>1.4162928E7</v>
      </c>
      <c r="H7693" s="197">
        <v>5.57</v>
      </c>
      <c r="I7693" s="7" t="s">
        <v>16815</v>
      </c>
      <c r="J7693" s="7" t="s">
        <v>187</v>
      </c>
      <c r="K7693" s="7" t="s">
        <v>16846</v>
      </c>
      <c r="L7693" s="198" t="s">
        <v>65</v>
      </c>
      <c r="M7693" s="194"/>
      <c r="N7693" s="194"/>
    </row>
    <row r="7694">
      <c r="A7694" s="193" t="s">
        <v>27698</v>
      </c>
      <c r="B7694" s="7" t="s">
        <v>16838</v>
      </c>
      <c r="C7694" s="7" t="s">
        <v>18219</v>
      </c>
      <c r="D7694" s="194">
        <v>2021.0</v>
      </c>
      <c r="E7694" s="193"/>
      <c r="F7694" s="195" t="s">
        <v>27699</v>
      </c>
      <c r="G7694" s="196">
        <v>1.4041508E7</v>
      </c>
      <c r="H7694" s="197">
        <v>0.94</v>
      </c>
      <c r="I7694" s="7" t="s">
        <v>16815</v>
      </c>
      <c r="J7694" s="7" t="s">
        <v>16838</v>
      </c>
      <c r="K7694" s="7" t="s">
        <v>18219</v>
      </c>
      <c r="L7694" s="198" t="s">
        <v>65</v>
      </c>
      <c r="M7694" s="194"/>
      <c r="N7694" s="194"/>
    </row>
    <row r="7695">
      <c r="A7695" s="193" t="s">
        <v>27700</v>
      </c>
      <c r="B7695" s="7" t="s">
        <v>169</v>
      </c>
      <c r="C7695" s="7" t="s">
        <v>17532</v>
      </c>
      <c r="D7695" s="194">
        <v>2017.0</v>
      </c>
      <c r="E7695" s="193"/>
      <c r="F7695" s="195" t="s">
        <v>27701</v>
      </c>
      <c r="G7695" s="196">
        <v>1.40352E7</v>
      </c>
      <c r="H7695" s="197">
        <v>1.36</v>
      </c>
      <c r="I7695" s="7" t="s">
        <v>16815</v>
      </c>
      <c r="J7695" s="7" t="s">
        <v>169</v>
      </c>
      <c r="K7695" s="7" t="s">
        <v>17532</v>
      </c>
      <c r="L7695" s="198" t="s">
        <v>65</v>
      </c>
      <c r="M7695" s="194"/>
      <c r="N7695" s="194"/>
    </row>
    <row r="7696">
      <c r="A7696" s="193" t="s">
        <v>27702</v>
      </c>
      <c r="B7696" s="7" t="s">
        <v>16885</v>
      </c>
      <c r="C7696" s="7" t="s">
        <v>16886</v>
      </c>
      <c r="D7696" s="199"/>
      <c r="E7696" s="193"/>
      <c r="F7696" s="195" t="s">
        <v>27703</v>
      </c>
      <c r="G7696" s="196">
        <v>1.3923E7</v>
      </c>
      <c r="H7696" s="197">
        <v>1.7</v>
      </c>
      <c r="I7696" s="7" t="s">
        <v>16888</v>
      </c>
      <c r="J7696" s="7" t="s">
        <v>16885</v>
      </c>
      <c r="K7696" s="7" t="s">
        <v>16886</v>
      </c>
      <c r="L7696" s="198" t="s">
        <v>65</v>
      </c>
      <c r="M7696" s="199"/>
      <c r="N7696" s="199"/>
    </row>
    <row r="7697">
      <c r="A7697" s="193" t="s">
        <v>27704</v>
      </c>
      <c r="B7697" s="7" t="s">
        <v>175</v>
      </c>
      <c r="C7697" s="7" t="s">
        <v>19996</v>
      </c>
      <c r="D7697" s="194">
        <v>2022.0</v>
      </c>
      <c r="E7697" s="193"/>
      <c r="F7697" s="195" t="s">
        <v>27705</v>
      </c>
      <c r="G7697" s="196">
        <v>1.3864604E7</v>
      </c>
      <c r="H7697" s="197">
        <v>0.5999</v>
      </c>
      <c r="I7697" s="7" t="s">
        <v>168</v>
      </c>
      <c r="J7697" s="7" t="s">
        <v>175</v>
      </c>
      <c r="K7697" s="7" t="s">
        <v>19996</v>
      </c>
      <c r="L7697" s="198" t="s">
        <v>65</v>
      </c>
      <c r="M7697" s="194"/>
      <c r="N7697" s="194"/>
    </row>
    <row r="7698">
      <c r="A7698" s="193" t="s">
        <v>27706</v>
      </c>
      <c r="B7698" s="7" t="s">
        <v>187</v>
      </c>
      <c r="C7698" s="7" t="s">
        <v>16851</v>
      </c>
      <c r="D7698" s="194">
        <v>1988.0</v>
      </c>
      <c r="E7698" s="193"/>
      <c r="F7698" s="195" t="s">
        <v>27707</v>
      </c>
      <c r="G7698" s="196">
        <v>1.386168E7</v>
      </c>
      <c r="H7698" s="197">
        <v>2.22</v>
      </c>
      <c r="I7698" s="7" t="s">
        <v>16815</v>
      </c>
      <c r="J7698" s="7" t="s">
        <v>187</v>
      </c>
      <c r="K7698" s="7" t="s">
        <v>16851</v>
      </c>
      <c r="L7698" s="198" t="s">
        <v>65</v>
      </c>
      <c r="M7698" s="194"/>
      <c r="N7698" s="194"/>
    </row>
    <row r="7699">
      <c r="A7699" s="193" t="s">
        <v>27706</v>
      </c>
      <c r="B7699" s="202" t="s">
        <v>16851</v>
      </c>
      <c r="C7699" s="193" t="s">
        <v>187</v>
      </c>
      <c r="D7699" s="193">
        <v>1988.0</v>
      </c>
      <c r="E7699" s="193"/>
      <c r="F7699" s="203" t="s">
        <v>27707</v>
      </c>
      <c r="G7699" s="200">
        <v>1.386168E7</v>
      </c>
      <c r="H7699" s="205">
        <v>0.384</v>
      </c>
      <c r="J7699" s="202" t="s">
        <v>16851</v>
      </c>
      <c r="K7699" s="193" t="s">
        <v>187</v>
      </c>
      <c r="L7699" s="193" t="s">
        <v>17471</v>
      </c>
      <c r="M7699" s="193"/>
      <c r="N7699" s="193"/>
    </row>
    <row r="7700">
      <c r="A7700" s="193" t="s">
        <v>27708</v>
      </c>
      <c r="B7700" s="7" t="s">
        <v>175</v>
      </c>
      <c r="C7700" s="7" t="s">
        <v>17394</v>
      </c>
      <c r="D7700" s="194">
        <v>2011.0</v>
      </c>
      <c r="E7700" s="193"/>
      <c r="F7700" s="195" t="s">
        <v>27709</v>
      </c>
      <c r="G7700" s="196">
        <v>1.3849083E7</v>
      </c>
      <c r="H7700" s="197">
        <v>0.94</v>
      </c>
      <c r="I7700" s="7" t="s">
        <v>168</v>
      </c>
      <c r="J7700" s="7" t="s">
        <v>175</v>
      </c>
      <c r="K7700" s="7" t="s">
        <v>17394</v>
      </c>
      <c r="L7700" s="198" t="s">
        <v>65</v>
      </c>
      <c r="M7700" s="194"/>
      <c r="N7700" s="194"/>
    </row>
    <row r="7701">
      <c r="A7701" s="193" t="s">
        <v>27708</v>
      </c>
      <c r="B7701" s="7" t="s">
        <v>17394</v>
      </c>
      <c r="C7701" s="7" t="s">
        <v>175</v>
      </c>
      <c r="D7701" s="194">
        <v>2011.0</v>
      </c>
      <c r="E7701" s="193"/>
      <c r="F7701" s="195" t="s">
        <v>27709</v>
      </c>
      <c r="G7701" s="200">
        <v>1.3849083E7</v>
      </c>
      <c r="H7701" s="197">
        <v>0.94</v>
      </c>
      <c r="I7701" s="7" t="s">
        <v>16815</v>
      </c>
      <c r="J7701" s="7" t="s">
        <v>17394</v>
      </c>
      <c r="K7701" s="7" t="s">
        <v>175</v>
      </c>
      <c r="L7701" s="201" t="s">
        <v>16835</v>
      </c>
      <c r="M7701" s="194"/>
      <c r="N7701" s="194"/>
    </row>
    <row r="7702">
      <c r="A7702" s="193" t="s">
        <v>27710</v>
      </c>
      <c r="B7702" s="7" t="s">
        <v>16838</v>
      </c>
      <c r="C7702" s="7" t="s">
        <v>17019</v>
      </c>
      <c r="D7702" s="199"/>
      <c r="E7702" s="193"/>
      <c r="F7702" s="195" t="s">
        <v>27711</v>
      </c>
      <c r="G7702" s="196">
        <v>1.3787597E7</v>
      </c>
      <c r="H7702" s="197">
        <v>7.57</v>
      </c>
      <c r="I7702" s="7" t="s">
        <v>16815</v>
      </c>
      <c r="J7702" s="7" t="s">
        <v>16838</v>
      </c>
      <c r="K7702" s="7" t="s">
        <v>17019</v>
      </c>
      <c r="L7702" s="198" t="s">
        <v>65</v>
      </c>
      <c r="M7702" s="199"/>
      <c r="N7702" s="199"/>
    </row>
    <row r="7703">
      <c r="A7703" s="193" t="s">
        <v>27710</v>
      </c>
      <c r="B7703" s="202" t="s">
        <v>17019</v>
      </c>
      <c r="C7703" s="193" t="s">
        <v>16838</v>
      </c>
      <c r="D7703" s="206"/>
      <c r="E7703" s="193"/>
      <c r="F7703" s="203" t="s">
        <v>27711</v>
      </c>
      <c r="G7703" s="200">
        <v>1.3787597E7</v>
      </c>
      <c r="H7703" s="205">
        <v>2.22</v>
      </c>
      <c r="J7703" s="202" t="s">
        <v>17019</v>
      </c>
      <c r="K7703" s="193" t="s">
        <v>16838</v>
      </c>
      <c r="L7703" s="193" t="s">
        <v>17471</v>
      </c>
      <c r="M7703" s="206"/>
      <c r="N7703" s="206"/>
    </row>
    <row r="7704">
      <c r="A7704" s="193" t="s">
        <v>27712</v>
      </c>
      <c r="B7704" s="7" t="s">
        <v>187</v>
      </c>
      <c r="C7704" s="7" t="s">
        <v>17122</v>
      </c>
      <c r="D7704" s="194">
        <v>2004.0</v>
      </c>
      <c r="E7704" s="193"/>
      <c r="F7704" s="195" t="s">
        <v>27713</v>
      </c>
      <c r="G7704" s="196">
        <v>1.3765644E7</v>
      </c>
      <c r="H7704" s="197">
        <v>0.8698</v>
      </c>
      <c r="I7704" s="7" t="s">
        <v>16815</v>
      </c>
      <c r="J7704" s="7" t="s">
        <v>187</v>
      </c>
      <c r="K7704" s="7" t="s">
        <v>17122</v>
      </c>
      <c r="L7704" s="198" t="s">
        <v>65</v>
      </c>
      <c r="M7704" s="194"/>
      <c r="N7704" s="194"/>
    </row>
    <row r="7705">
      <c r="A7705" s="193" t="s">
        <v>27714</v>
      </c>
      <c r="B7705" s="7" t="s">
        <v>169</v>
      </c>
      <c r="C7705" s="7" t="s">
        <v>20534</v>
      </c>
      <c r="D7705" s="199"/>
      <c r="E7705" s="193"/>
      <c r="F7705" s="195" t="s">
        <v>27715</v>
      </c>
      <c r="G7705" s="196">
        <v>1.37514E7</v>
      </c>
      <c r="H7705" s="197">
        <v>0.533</v>
      </c>
      <c r="I7705" s="7" t="s">
        <v>16815</v>
      </c>
      <c r="J7705" s="7" t="s">
        <v>169</v>
      </c>
      <c r="K7705" s="7" t="s">
        <v>20534</v>
      </c>
      <c r="L7705" s="198" t="s">
        <v>65</v>
      </c>
      <c r="M7705" s="199"/>
      <c r="N7705" s="199"/>
    </row>
    <row r="7706">
      <c r="A7706" s="193" t="s">
        <v>27716</v>
      </c>
      <c r="B7706" s="7" t="s">
        <v>16582</v>
      </c>
      <c r="C7706" s="7" t="s">
        <v>16583</v>
      </c>
      <c r="D7706" s="194">
        <v>2013.0</v>
      </c>
      <c r="E7706" s="193"/>
      <c r="F7706" s="195" t="s">
        <v>27717</v>
      </c>
      <c r="G7706" s="196">
        <v>1.372955E7</v>
      </c>
      <c r="H7706" s="197">
        <v>1.25</v>
      </c>
      <c r="I7706" s="7" t="s">
        <v>16815</v>
      </c>
      <c r="J7706" s="7" t="s">
        <v>16582</v>
      </c>
      <c r="K7706" s="7" t="s">
        <v>16583</v>
      </c>
      <c r="L7706" s="198" t="s">
        <v>65</v>
      </c>
      <c r="M7706" s="194"/>
      <c r="N7706" s="194"/>
    </row>
    <row r="7707">
      <c r="A7707" s="193" t="s">
        <v>27718</v>
      </c>
      <c r="B7707" s="7" t="s">
        <v>16582</v>
      </c>
      <c r="C7707" s="7" t="s">
        <v>16828</v>
      </c>
      <c r="D7707" s="199"/>
      <c r="E7707" s="193"/>
      <c r="F7707" s="195" t="s">
        <v>27719</v>
      </c>
      <c r="G7707" s="196">
        <v>1.3729411E7</v>
      </c>
      <c r="H7707" s="197">
        <v>0.31</v>
      </c>
      <c r="I7707" s="7" t="s">
        <v>16815</v>
      </c>
      <c r="J7707" s="7" t="s">
        <v>16582</v>
      </c>
      <c r="K7707" s="7" t="s">
        <v>16828</v>
      </c>
      <c r="L7707" s="198" t="s">
        <v>65</v>
      </c>
      <c r="M7707" s="199"/>
      <c r="N7707" s="199"/>
    </row>
    <row r="7708">
      <c r="A7708" s="193" t="s">
        <v>27720</v>
      </c>
      <c r="B7708" s="7" t="s">
        <v>187</v>
      </c>
      <c r="C7708" s="7" t="s">
        <v>23634</v>
      </c>
      <c r="D7708" s="199"/>
      <c r="E7708" s="193"/>
      <c r="F7708" s="195" t="s">
        <v>27721</v>
      </c>
      <c r="G7708" s="196">
        <v>1.3723305E7</v>
      </c>
      <c r="H7708" s="197">
        <v>0.6</v>
      </c>
      <c r="I7708" s="7" t="s">
        <v>16815</v>
      </c>
      <c r="J7708" s="7" t="s">
        <v>187</v>
      </c>
      <c r="K7708" s="7" t="s">
        <v>23634</v>
      </c>
      <c r="L7708" s="198" t="s">
        <v>65</v>
      </c>
      <c r="M7708" s="199"/>
      <c r="N7708" s="199"/>
    </row>
    <row r="7709">
      <c r="A7709" s="193" t="s">
        <v>27722</v>
      </c>
      <c r="B7709" s="7" t="s">
        <v>169</v>
      </c>
      <c r="C7709" s="7" t="s">
        <v>16899</v>
      </c>
      <c r="D7709" s="194">
        <v>2021.0</v>
      </c>
      <c r="E7709" s="193"/>
      <c r="F7709" s="195" t="s">
        <v>27723</v>
      </c>
      <c r="G7709" s="196">
        <v>1.3670647E7</v>
      </c>
      <c r="H7709" s="197">
        <v>0.1791</v>
      </c>
      <c r="I7709" s="7" t="s">
        <v>16815</v>
      </c>
      <c r="J7709" s="7" t="s">
        <v>169</v>
      </c>
      <c r="K7709" s="7" t="s">
        <v>16899</v>
      </c>
      <c r="L7709" s="198" t="s">
        <v>65</v>
      </c>
      <c r="M7709" s="194"/>
      <c r="N7709" s="194"/>
    </row>
    <row r="7710">
      <c r="A7710" s="193" t="s">
        <v>27724</v>
      </c>
      <c r="B7710" s="7" t="s">
        <v>17112</v>
      </c>
      <c r="C7710" s="7" t="s">
        <v>16838</v>
      </c>
      <c r="D7710" s="194">
        <v>2014.0</v>
      </c>
      <c r="E7710" s="193"/>
      <c r="F7710" s="195" t="s">
        <v>27725</v>
      </c>
      <c r="G7710" s="200">
        <v>1.3618496E7</v>
      </c>
      <c r="H7710" s="197">
        <v>0.9928</v>
      </c>
      <c r="I7710" s="7" t="s">
        <v>16815</v>
      </c>
      <c r="J7710" s="7" t="s">
        <v>17112</v>
      </c>
      <c r="K7710" s="7" t="s">
        <v>16838</v>
      </c>
      <c r="L7710" s="201" t="s">
        <v>16835</v>
      </c>
      <c r="M7710" s="194"/>
      <c r="N7710" s="194"/>
    </row>
    <row r="7711">
      <c r="A7711" s="193" t="s">
        <v>27724</v>
      </c>
      <c r="B7711" s="7" t="s">
        <v>16838</v>
      </c>
      <c r="C7711" s="7" t="s">
        <v>17112</v>
      </c>
      <c r="D7711" s="194">
        <v>2014.0</v>
      </c>
      <c r="E7711" s="193"/>
      <c r="F7711" s="195" t="s">
        <v>27725</v>
      </c>
      <c r="G7711" s="196">
        <v>1.3618496E7</v>
      </c>
      <c r="H7711" s="197">
        <v>0.9928</v>
      </c>
      <c r="I7711" s="7" t="s">
        <v>16815</v>
      </c>
      <c r="J7711" s="7" t="s">
        <v>16838</v>
      </c>
      <c r="K7711" s="7" t="s">
        <v>17112</v>
      </c>
      <c r="L7711" s="198" t="s">
        <v>65</v>
      </c>
      <c r="M7711" s="194"/>
      <c r="N7711" s="194"/>
    </row>
    <row r="7712">
      <c r="A7712" s="193" t="s">
        <v>27726</v>
      </c>
      <c r="B7712" s="7" t="s">
        <v>187</v>
      </c>
      <c r="C7712" s="7" t="s">
        <v>16858</v>
      </c>
      <c r="D7712" s="199"/>
      <c r="E7712" s="193"/>
      <c r="F7712" s="195" t="s">
        <v>27727</v>
      </c>
      <c r="G7712" s="196">
        <v>1.3561448E7</v>
      </c>
      <c r="H7712" s="197">
        <v>0.705</v>
      </c>
      <c r="I7712" s="7" t="s">
        <v>16815</v>
      </c>
      <c r="J7712" s="7" t="s">
        <v>187</v>
      </c>
      <c r="K7712" s="7" t="s">
        <v>16858</v>
      </c>
      <c r="L7712" s="198" t="s">
        <v>65</v>
      </c>
      <c r="M7712" s="199"/>
      <c r="N7712" s="199"/>
    </row>
    <row r="7713">
      <c r="A7713" s="193" t="s">
        <v>27728</v>
      </c>
      <c r="B7713" s="7" t="s">
        <v>187</v>
      </c>
      <c r="C7713" s="7" t="s">
        <v>16858</v>
      </c>
      <c r="D7713" s="194">
        <v>2014.0</v>
      </c>
      <c r="E7713" s="193"/>
      <c r="F7713" s="195" t="s">
        <v>27729</v>
      </c>
      <c r="G7713" s="196">
        <v>1.3524235E7</v>
      </c>
      <c r="H7713" s="197">
        <v>1.19</v>
      </c>
      <c r="I7713" s="7" t="s">
        <v>16815</v>
      </c>
      <c r="J7713" s="7" t="s">
        <v>187</v>
      </c>
      <c r="K7713" s="7" t="s">
        <v>16858</v>
      </c>
      <c r="L7713" s="198" t="s">
        <v>65</v>
      </c>
      <c r="M7713" s="194"/>
      <c r="N7713" s="194"/>
    </row>
    <row r="7714">
      <c r="A7714" s="193" t="s">
        <v>27730</v>
      </c>
      <c r="B7714" s="7" t="s">
        <v>16582</v>
      </c>
      <c r="C7714" s="7" t="s">
        <v>16817</v>
      </c>
      <c r="D7714" s="194">
        <v>2019.0</v>
      </c>
      <c r="E7714" s="193"/>
      <c r="F7714" s="195" t="s">
        <v>27731</v>
      </c>
      <c r="G7714" s="196">
        <v>1.3521534E7</v>
      </c>
      <c r="H7714" s="197">
        <v>6.53</v>
      </c>
      <c r="I7714" s="7" t="s">
        <v>16815</v>
      </c>
      <c r="J7714" s="7" t="s">
        <v>16582</v>
      </c>
      <c r="K7714" s="7" t="s">
        <v>16817</v>
      </c>
      <c r="L7714" s="198" t="s">
        <v>65</v>
      </c>
      <c r="M7714" s="194"/>
      <c r="N7714" s="194"/>
    </row>
    <row r="7715">
      <c r="A7715" s="193" t="s">
        <v>27732</v>
      </c>
      <c r="B7715" s="7" t="s">
        <v>187</v>
      </c>
      <c r="C7715" s="7" t="s">
        <v>16969</v>
      </c>
      <c r="D7715" s="199"/>
      <c r="E7715" s="193"/>
      <c r="F7715" s="195" t="s">
        <v>27733</v>
      </c>
      <c r="G7715" s="196">
        <v>1.3519664E7</v>
      </c>
      <c r="H7715" s="197">
        <v>1.03</v>
      </c>
      <c r="I7715" s="7" t="s">
        <v>16815</v>
      </c>
      <c r="J7715" s="7" t="s">
        <v>187</v>
      </c>
      <c r="K7715" s="7" t="s">
        <v>16969</v>
      </c>
      <c r="L7715" s="198" t="s">
        <v>65</v>
      </c>
      <c r="M7715" s="199"/>
      <c r="N7715" s="199"/>
    </row>
    <row r="7716">
      <c r="A7716" s="193" t="s">
        <v>27734</v>
      </c>
      <c r="B7716" s="7" t="s">
        <v>175</v>
      </c>
      <c r="C7716" s="7" t="s">
        <v>16939</v>
      </c>
      <c r="D7716" s="199"/>
      <c r="E7716" s="193"/>
      <c r="F7716" s="195" t="s">
        <v>27735</v>
      </c>
      <c r="G7716" s="196">
        <v>1.3515059E7</v>
      </c>
      <c r="H7716" s="197">
        <v>1.1</v>
      </c>
      <c r="I7716" s="7" t="s">
        <v>16908</v>
      </c>
      <c r="J7716" s="7" t="s">
        <v>175</v>
      </c>
      <c r="K7716" s="7" t="s">
        <v>16939</v>
      </c>
      <c r="L7716" s="198" t="s">
        <v>65</v>
      </c>
      <c r="M7716" s="199"/>
      <c r="N7716" s="199"/>
    </row>
    <row r="7717">
      <c r="A7717" s="193" t="s">
        <v>27736</v>
      </c>
      <c r="B7717" s="7" t="s">
        <v>187</v>
      </c>
      <c r="C7717" s="7" t="s">
        <v>16851</v>
      </c>
      <c r="D7717" s="199"/>
      <c r="E7717" s="193"/>
      <c r="F7717" s="195" t="s">
        <v>27737</v>
      </c>
      <c r="G7717" s="196">
        <v>1.3495488E7</v>
      </c>
      <c r="H7717" s="197">
        <v>2.35</v>
      </c>
      <c r="I7717" s="7" t="s">
        <v>16815</v>
      </c>
      <c r="J7717" s="7" t="s">
        <v>187</v>
      </c>
      <c r="K7717" s="7" t="s">
        <v>16851</v>
      </c>
      <c r="L7717" s="198" t="s">
        <v>65</v>
      </c>
      <c r="M7717" s="199"/>
      <c r="N7717" s="199"/>
    </row>
    <row r="7718">
      <c r="A7718" s="193" t="s">
        <v>27738</v>
      </c>
      <c r="B7718" s="7" t="s">
        <v>175</v>
      </c>
      <c r="C7718" s="7" t="s">
        <v>17394</v>
      </c>
      <c r="D7718" s="199"/>
      <c r="E7718" s="193"/>
      <c r="F7718" s="195" t="s">
        <v>27739</v>
      </c>
      <c r="G7718" s="196">
        <v>1.34575E7</v>
      </c>
      <c r="H7718" s="197">
        <v>0.35</v>
      </c>
      <c r="I7718" s="7" t="s">
        <v>16908</v>
      </c>
      <c r="J7718" s="7" t="s">
        <v>175</v>
      </c>
      <c r="K7718" s="7" t="s">
        <v>17394</v>
      </c>
      <c r="L7718" s="198" t="s">
        <v>65</v>
      </c>
      <c r="M7718" s="199"/>
      <c r="N7718" s="199"/>
    </row>
    <row r="7719">
      <c r="A7719" s="193" t="s">
        <v>27738</v>
      </c>
      <c r="B7719" s="7" t="s">
        <v>17394</v>
      </c>
      <c r="C7719" s="7" t="s">
        <v>175</v>
      </c>
      <c r="D7719" s="199"/>
      <c r="E7719" s="193"/>
      <c r="F7719" s="195" t="s">
        <v>27739</v>
      </c>
      <c r="G7719" s="200">
        <v>1.34575E7</v>
      </c>
      <c r="H7719" s="197">
        <v>0.35</v>
      </c>
      <c r="I7719" s="7" t="s">
        <v>16815</v>
      </c>
      <c r="J7719" s="7" t="s">
        <v>17394</v>
      </c>
      <c r="K7719" s="7" t="s">
        <v>175</v>
      </c>
      <c r="L7719" s="201" t="s">
        <v>16835</v>
      </c>
      <c r="M7719" s="199"/>
      <c r="N7719" s="199"/>
    </row>
    <row r="7720">
      <c r="A7720" s="193" t="s">
        <v>27740</v>
      </c>
      <c r="B7720" s="7" t="s">
        <v>187</v>
      </c>
      <c r="C7720" s="7" t="s">
        <v>16846</v>
      </c>
      <c r="D7720" s="194">
        <v>2013.0</v>
      </c>
      <c r="E7720" s="193"/>
      <c r="F7720" s="195" t="s">
        <v>27741</v>
      </c>
      <c r="G7720" s="196">
        <v>1.342568E7</v>
      </c>
      <c r="H7720" s="197">
        <v>0.64</v>
      </c>
      <c r="I7720" s="7" t="s">
        <v>16815</v>
      </c>
      <c r="J7720" s="7" t="s">
        <v>187</v>
      </c>
      <c r="K7720" s="7" t="s">
        <v>16846</v>
      </c>
      <c r="L7720" s="198" t="s">
        <v>65</v>
      </c>
      <c r="M7720" s="194"/>
      <c r="N7720" s="194"/>
    </row>
    <row r="7721">
      <c r="A7721" s="193" t="s">
        <v>27742</v>
      </c>
      <c r="B7721" s="7" t="s">
        <v>187</v>
      </c>
      <c r="C7721" s="7" t="s">
        <v>16846</v>
      </c>
      <c r="D7721" s="199"/>
      <c r="E7721" s="193"/>
      <c r="F7721" s="195" t="s">
        <v>27743</v>
      </c>
      <c r="G7721" s="196">
        <v>1.3397881E7</v>
      </c>
      <c r="H7721" s="197">
        <v>9.85</v>
      </c>
      <c r="I7721" s="7" t="s">
        <v>16815</v>
      </c>
      <c r="J7721" s="7" t="s">
        <v>187</v>
      </c>
      <c r="K7721" s="7" t="s">
        <v>16846</v>
      </c>
      <c r="L7721" s="198" t="s">
        <v>65</v>
      </c>
      <c r="M7721" s="199"/>
      <c r="N7721" s="199"/>
    </row>
    <row r="7722">
      <c r="A7722" s="193" t="s">
        <v>27744</v>
      </c>
      <c r="B7722" s="7" t="s">
        <v>17112</v>
      </c>
      <c r="C7722" s="7" t="s">
        <v>17787</v>
      </c>
      <c r="D7722" s="199"/>
      <c r="E7722" s="193"/>
      <c r="F7722" s="195" t="s">
        <v>27745</v>
      </c>
      <c r="G7722" s="196">
        <v>1.3329293E7</v>
      </c>
      <c r="H7722" s="197">
        <v>8.99</v>
      </c>
      <c r="I7722" s="7" t="s">
        <v>16815</v>
      </c>
      <c r="J7722" s="7" t="s">
        <v>17112</v>
      </c>
      <c r="K7722" s="7" t="s">
        <v>17787</v>
      </c>
      <c r="L7722" s="198" t="s">
        <v>65</v>
      </c>
      <c r="M7722" s="199"/>
      <c r="N7722" s="199"/>
    </row>
    <row r="7723">
      <c r="A7723" s="193" t="s">
        <v>27746</v>
      </c>
      <c r="B7723" s="7" t="s">
        <v>187</v>
      </c>
      <c r="C7723" s="7" t="s">
        <v>16846</v>
      </c>
      <c r="D7723" s="199"/>
      <c r="E7723" s="193"/>
      <c r="F7723" s="195" t="s">
        <v>27747</v>
      </c>
      <c r="G7723" s="196">
        <v>1.3289575E7</v>
      </c>
      <c r="H7723" s="197">
        <v>2.5</v>
      </c>
      <c r="I7723" s="7" t="s">
        <v>16815</v>
      </c>
      <c r="J7723" s="7" t="s">
        <v>187</v>
      </c>
      <c r="K7723" s="7" t="s">
        <v>16846</v>
      </c>
      <c r="L7723" s="198" t="s">
        <v>65</v>
      </c>
      <c r="M7723" s="199"/>
      <c r="N7723" s="199"/>
    </row>
    <row r="7724">
      <c r="A7724" s="193" t="s">
        <v>27748</v>
      </c>
      <c r="B7724" s="7" t="s">
        <v>16582</v>
      </c>
      <c r="C7724" s="7" t="s">
        <v>16583</v>
      </c>
      <c r="D7724" s="194">
        <v>2018.0</v>
      </c>
      <c r="E7724" s="193"/>
      <c r="F7724" s="195" t="s">
        <v>27749</v>
      </c>
      <c r="G7724" s="196">
        <v>1.3288693E7</v>
      </c>
      <c r="H7724" s="197">
        <v>0.1111</v>
      </c>
      <c r="I7724" s="7" t="s">
        <v>16815</v>
      </c>
      <c r="J7724" s="7" t="s">
        <v>16582</v>
      </c>
      <c r="K7724" s="7" t="s">
        <v>16583</v>
      </c>
      <c r="L7724" s="198" t="s">
        <v>65</v>
      </c>
      <c r="M7724" s="194"/>
      <c r="N7724" s="194"/>
    </row>
    <row r="7725">
      <c r="A7725" s="193" t="s">
        <v>27750</v>
      </c>
      <c r="B7725" s="7" t="s">
        <v>175</v>
      </c>
      <c r="C7725" s="7" t="s">
        <v>18268</v>
      </c>
      <c r="D7725" s="199"/>
      <c r="E7725" s="193"/>
      <c r="F7725" s="195" t="s">
        <v>27751</v>
      </c>
      <c r="G7725" s="196">
        <v>1.326934E7</v>
      </c>
      <c r="H7725" s="197">
        <v>2.06</v>
      </c>
      <c r="I7725" s="7" t="s">
        <v>17242</v>
      </c>
      <c r="J7725" s="7" t="s">
        <v>175</v>
      </c>
      <c r="K7725" s="7" t="s">
        <v>18268</v>
      </c>
      <c r="L7725" s="198" t="s">
        <v>65</v>
      </c>
      <c r="M7725" s="199"/>
      <c r="N7725" s="199"/>
    </row>
    <row r="7726">
      <c r="A7726" s="193" t="s">
        <v>27752</v>
      </c>
      <c r="B7726" s="7" t="s">
        <v>187</v>
      </c>
      <c r="C7726" s="7" t="s">
        <v>16846</v>
      </c>
      <c r="D7726" s="194">
        <v>2018.0</v>
      </c>
      <c r="E7726" s="193"/>
      <c r="F7726" s="195" t="s">
        <v>27753</v>
      </c>
      <c r="G7726" s="196">
        <v>1.324839E7</v>
      </c>
      <c r="H7726" s="197">
        <v>0.223</v>
      </c>
      <c r="I7726" s="7" t="s">
        <v>16815</v>
      </c>
      <c r="J7726" s="7" t="s">
        <v>187</v>
      </c>
      <c r="K7726" s="7" t="s">
        <v>16846</v>
      </c>
      <c r="L7726" s="198" t="s">
        <v>65</v>
      </c>
      <c r="M7726" s="194"/>
      <c r="N7726" s="194"/>
    </row>
    <row r="7727">
      <c r="A7727" s="193" t="s">
        <v>27754</v>
      </c>
      <c r="B7727" s="7" t="s">
        <v>16582</v>
      </c>
      <c r="C7727" s="7" t="s">
        <v>16817</v>
      </c>
      <c r="D7727" s="199"/>
      <c r="E7727" s="193"/>
      <c r="F7727" s="195" t="s">
        <v>27755</v>
      </c>
      <c r="G7727" s="196">
        <v>1.3226577E7</v>
      </c>
      <c r="H7727" s="197">
        <v>0.098</v>
      </c>
      <c r="I7727" s="7" t="s">
        <v>16815</v>
      </c>
      <c r="J7727" s="7" t="s">
        <v>16582</v>
      </c>
      <c r="K7727" s="7" t="s">
        <v>16817</v>
      </c>
      <c r="L7727" s="198" t="s">
        <v>65</v>
      </c>
      <c r="M7727" s="199"/>
      <c r="N7727" s="199"/>
    </row>
    <row r="7728">
      <c r="A7728" s="193" t="s">
        <v>27756</v>
      </c>
      <c r="B7728" s="7" t="s">
        <v>16926</v>
      </c>
      <c r="C7728" s="7" t="s">
        <v>16957</v>
      </c>
      <c r="D7728" s="194">
        <v>2017.0</v>
      </c>
      <c r="E7728" s="193"/>
      <c r="F7728" s="195" t="s">
        <v>27757</v>
      </c>
      <c r="G7728" s="196">
        <v>1.3166569E7</v>
      </c>
      <c r="H7728" s="197">
        <v>1.37</v>
      </c>
      <c r="I7728" s="7" t="s">
        <v>16815</v>
      </c>
      <c r="J7728" s="7" t="s">
        <v>16926</v>
      </c>
      <c r="K7728" s="7" t="s">
        <v>16957</v>
      </c>
      <c r="L7728" s="198" t="s">
        <v>65</v>
      </c>
      <c r="M7728" s="194"/>
      <c r="N7728" s="194"/>
    </row>
    <row r="7729">
      <c r="A7729" s="193" t="s">
        <v>27758</v>
      </c>
      <c r="B7729" s="7" t="s">
        <v>187</v>
      </c>
      <c r="C7729" s="7" t="s">
        <v>16858</v>
      </c>
      <c r="D7729" s="194">
        <v>2014.0</v>
      </c>
      <c r="E7729" s="193"/>
      <c r="F7729" s="195" t="s">
        <v>27759</v>
      </c>
      <c r="G7729" s="196">
        <v>1.3151606E7</v>
      </c>
      <c r="H7729" s="197">
        <v>0.2969</v>
      </c>
      <c r="I7729" s="7" t="s">
        <v>16815</v>
      </c>
      <c r="J7729" s="7" t="s">
        <v>187</v>
      </c>
      <c r="K7729" s="7" t="s">
        <v>16858</v>
      </c>
      <c r="L7729" s="198" t="s">
        <v>65</v>
      </c>
      <c r="M7729" s="194"/>
      <c r="N7729" s="194"/>
    </row>
    <row r="7730">
      <c r="A7730" s="193" t="s">
        <v>27760</v>
      </c>
      <c r="B7730" s="7" t="s">
        <v>187</v>
      </c>
      <c r="C7730" s="7" t="s">
        <v>16858</v>
      </c>
      <c r="D7730" s="194">
        <v>2019.0</v>
      </c>
      <c r="E7730" s="193"/>
      <c r="F7730" s="195" t="s">
        <v>27761</v>
      </c>
      <c r="G7730" s="196">
        <v>1.3147081E7</v>
      </c>
      <c r="H7730" s="197">
        <v>4.4601</v>
      </c>
      <c r="I7730" s="7" t="s">
        <v>16815</v>
      </c>
      <c r="J7730" s="7" t="s">
        <v>187</v>
      </c>
      <c r="K7730" s="7" t="s">
        <v>16858</v>
      </c>
      <c r="L7730" s="198" t="s">
        <v>65</v>
      </c>
      <c r="M7730" s="194"/>
      <c r="N7730" s="194"/>
    </row>
    <row r="7731">
      <c r="A7731" s="193" t="s">
        <v>27762</v>
      </c>
      <c r="B7731" s="7" t="s">
        <v>169</v>
      </c>
      <c r="C7731" s="7" t="s">
        <v>17022</v>
      </c>
      <c r="D7731" s="199"/>
      <c r="E7731" s="193"/>
      <c r="F7731" s="195" t="s">
        <v>27763</v>
      </c>
      <c r="G7731" s="196">
        <v>1.3141485E7</v>
      </c>
      <c r="H7731" s="197">
        <v>0.12</v>
      </c>
      <c r="I7731" s="7" t="s">
        <v>16815</v>
      </c>
      <c r="J7731" s="7" t="s">
        <v>169</v>
      </c>
      <c r="K7731" s="7" t="s">
        <v>17022</v>
      </c>
      <c r="L7731" s="198" t="s">
        <v>65</v>
      </c>
      <c r="M7731" s="199"/>
      <c r="N7731" s="199"/>
    </row>
    <row r="7732">
      <c r="A7732" s="193" t="s">
        <v>27762</v>
      </c>
      <c r="B7732" s="202" t="s">
        <v>17022</v>
      </c>
      <c r="C7732" s="193" t="s">
        <v>169</v>
      </c>
      <c r="D7732" s="206"/>
      <c r="E7732" s="193"/>
      <c r="F7732" s="203" t="s">
        <v>27763</v>
      </c>
      <c r="G7732" s="200">
        <v>1.3141485E7</v>
      </c>
      <c r="H7732" s="205">
        <v>7.57</v>
      </c>
      <c r="J7732" s="202" t="s">
        <v>17022</v>
      </c>
      <c r="K7732" s="193" t="s">
        <v>169</v>
      </c>
      <c r="L7732" s="193" t="s">
        <v>17471</v>
      </c>
      <c r="M7732" s="206"/>
      <c r="N7732" s="206"/>
    </row>
    <row r="7733">
      <c r="A7733" s="193" t="s">
        <v>27764</v>
      </c>
      <c r="B7733" s="7" t="s">
        <v>17112</v>
      </c>
      <c r="C7733" s="7" t="s">
        <v>17218</v>
      </c>
      <c r="D7733" s="194">
        <v>2020.0</v>
      </c>
      <c r="E7733" s="193"/>
      <c r="F7733" s="195" t="s">
        <v>27765</v>
      </c>
      <c r="G7733" s="196">
        <v>1.3135123E7</v>
      </c>
      <c r="H7733" s="197">
        <v>0.8502</v>
      </c>
      <c r="I7733" s="7" t="s">
        <v>16815</v>
      </c>
      <c r="J7733" s="7" t="s">
        <v>17112</v>
      </c>
      <c r="K7733" s="7" t="s">
        <v>17218</v>
      </c>
      <c r="L7733" s="198" t="s">
        <v>65</v>
      </c>
      <c r="M7733" s="194"/>
      <c r="N7733" s="194"/>
    </row>
    <row r="7734">
      <c r="A7734" s="193" t="s">
        <v>27766</v>
      </c>
      <c r="B7734" s="7" t="s">
        <v>16838</v>
      </c>
      <c r="C7734" s="7" t="s">
        <v>18219</v>
      </c>
      <c r="D7734" s="194">
        <v>2021.0</v>
      </c>
      <c r="E7734" s="193"/>
      <c r="F7734" s="195" t="s">
        <v>27767</v>
      </c>
      <c r="G7734" s="196">
        <v>1.3072612E7</v>
      </c>
      <c r="H7734" s="197">
        <v>3.92</v>
      </c>
      <c r="I7734" s="7" t="s">
        <v>16815</v>
      </c>
      <c r="J7734" s="7" t="s">
        <v>16838</v>
      </c>
      <c r="K7734" s="7" t="s">
        <v>18219</v>
      </c>
      <c r="L7734" s="198" t="s">
        <v>65</v>
      </c>
      <c r="M7734" s="194"/>
      <c r="N7734" s="194"/>
    </row>
    <row r="7735">
      <c r="A7735" s="193" t="s">
        <v>27768</v>
      </c>
      <c r="B7735" s="7" t="s">
        <v>187</v>
      </c>
      <c r="C7735" s="7" t="s">
        <v>16858</v>
      </c>
      <c r="D7735" s="199"/>
      <c r="E7735" s="193"/>
      <c r="F7735" s="195" t="s">
        <v>27769</v>
      </c>
      <c r="G7735" s="196">
        <v>1.303584E7</v>
      </c>
      <c r="H7735" s="197">
        <v>0.3025</v>
      </c>
      <c r="I7735" s="7" t="s">
        <v>16815</v>
      </c>
      <c r="J7735" s="7" t="s">
        <v>187</v>
      </c>
      <c r="K7735" s="7" t="s">
        <v>16858</v>
      </c>
      <c r="L7735" s="198" t="s">
        <v>65</v>
      </c>
      <c r="M7735" s="199"/>
      <c r="N7735" s="199"/>
    </row>
    <row r="7736">
      <c r="A7736" s="193" t="s">
        <v>27770</v>
      </c>
      <c r="B7736" s="7" t="s">
        <v>187</v>
      </c>
      <c r="C7736" s="7" t="s">
        <v>16846</v>
      </c>
      <c r="D7736" s="199"/>
      <c r="E7736" s="193"/>
      <c r="F7736" s="195" t="s">
        <v>27771</v>
      </c>
      <c r="G7736" s="196">
        <v>1.2987279E7</v>
      </c>
      <c r="H7736" s="197">
        <v>0.64</v>
      </c>
      <c r="I7736" s="7" t="s">
        <v>16815</v>
      </c>
      <c r="J7736" s="7" t="s">
        <v>187</v>
      </c>
      <c r="K7736" s="7" t="s">
        <v>16846</v>
      </c>
      <c r="L7736" s="198" t="s">
        <v>65</v>
      </c>
      <c r="M7736" s="199"/>
      <c r="N7736" s="199"/>
    </row>
    <row r="7737">
      <c r="A7737" s="193" t="s">
        <v>27772</v>
      </c>
      <c r="B7737" s="7" t="s">
        <v>16838</v>
      </c>
      <c r="C7737" s="7" t="s">
        <v>17127</v>
      </c>
      <c r="D7737" s="194">
        <v>2014.0</v>
      </c>
      <c r="E7737" s="193"/>
      <c r="F7737" s="195" t="s">
        <v>27773</v>
      </c>
      <c r="G7737" s="196">
        <v>1.2982711E7</v>
      </c>
      <c r="H7737" s="197">
        <v>1.26</v>
      </c>
      <c r="I7737" s="7" t="s">
        <v>16815</v>
      </c>
      <c r="J7737" s="7" t="s">
        <v>16838</v>
      </c>
      <c r="K7737" s="7" t="s">
        <v>17127</v>
      </c>
      <c r="L7737" s="198" t="s">
        <v>65</v>
      </c>
      <c r="M7737" s="194"/>
      <c r="N7737" s="194"/>
    </row>
    <row r="7738">
      <c r="A7738" s="193" t="s">
        <v>27774</v>
      </c>
      <c r="B7738" s="7" t="s">
        <v>16582</v>
      </c>
      <c r="C7738" s="7" t="s">
        <v>16930</v>
      </c>
      <c r="D7738" s="199"/>
      <c r="E7738" s="193"/>
      <c r="F7738" s="195" t="s">
        <v>27775</v>
      </c>
      <c r="G7738" s="196">
        <v>1.296913E7</v>
      </c>
      <c r="H7738" s="197">
        <v>0.79</v>
      </c>
      <c r="I7738" s="7" t="s">
        <v>16815</v>
      </c>
      <c r="J7738" s="7" t="s">
        <v>16582</v>
      </c>
      <c r="K7738" s="7" t="s">
        <v>16930</v>
      </c>
      <c r="L7738" s="198" t="s">
        <v>65</v>
      </c>
      <c r="M7738" s="199"/>
      <c r="N7738" s="199"/>
    </row>
    <row r="7739">
      <c r="A7739" s="193" t="s">
        <v>27776</v>
      </c>
      <c r="B7739" s="7" t="s">
        <v>16582</v>
      </c>
      <c r="C7739" s="7" t="s">
        <v>16817</v>
      </c>
      <c r="D7739" s="194">
        <v>2018.0</v>
      </c>
      <c r="E7739" s="193"/>
      <c r="F7739" s="195" t="s">
        <v>27777</v>
      </c>
      <c r="G7739" s="196">
        <v>1.2969E7</v>
      </c>
      <c r="H7739" s="197">
        <v>3.93</v>
      </c>
      <c r="I7739" s="7" t="s">
        <v>16815</v>
      </c>
      <c r="J7739" s="7" t="s">
        <v>16582</v>
      </c>
      <c r="K7739" s="7" t="s">
        <v>16817</v>
      </c>
      <c r="L7739" s="198" t="s">
        <v>65</v>
      </c>
      <c r="M7739" s="194"/>
      <c r="N7739" s="194"/>
    </row>
    <row r="7740">
      <c r="A7740" s="193" t="s">
        <v>27778</v>
      </c>
      <c r="B7740" s="7" t="s">
        <v>187</v>
      </c>
      <c r="C7740" s="7" t="s">
        <v>16969</v>
      </c>
      <c r="D7740" s="199"/>
      <c r="E7740" s="193"/>
      <c r="F7740" s="195" t="s">
        <v>27779</v>
      </c>
      <c r="G7740" s="196">
        <v>1.2890762E7</v>
      </c>
      <c r="H7740" s="197">
        <v>3.2</v>
      </c>
      <c r="I7740" s="7" t="s">
        <v>16815</v>
      </c>
      <c r="J7740" s="7" t="s">
        <v>187</v>
      </c>
      <c r="K7740" s="7" t="s">
        <v>16969</v>
      </c>
      <c r="L7740" s="198" t="s">
        <v>65</v>
      </c>
      <c r="M7740" s="199"/>
      <c r="N7740" s="199"/>
    </row>
    <row r="7741">
      <c r="A7741" s="193" t="s">
        <v>27780</v>
      </c>
      <c r="B7741" s="7" t="s">
        <v>187</v>
      </c>
      <c r="C7741" s="7" t="s">
        <v>16846</v>
      </c>
      <c r="D7741" s="199"/>
      <c r="E7741" s="193"/>
      <c r="F7741" s="195" t="s">
        <v>27781</v>
      </c>
      <c r="G7741" s="196">
        <v>1.2881227E7</v>
      </c>
      <c r="H7741" s="197">
        <v>1.57</v>
      </c>
      <c r="I7741" s="7" t="s">
        <v>16815</v>
      </c>
      <c r="J7741" s="7" t="s">
        <v>187</v>
      </c>
      <c r="K7741" s="7" t="s">
        <v>16846</v>
      </c>
      <c r="L7741" s="198" t="s">
        <v>65</v>
      </c>
      <c r="M7741" s="199"/>
      <c r="N7741" s="199"/>
    </row>
    <row r="7742">
      <c r="A7742" s="193" t="s">
        <v>27782</v>
      </c>
      <c r="B7742" s="7" t="s">
        <v>187</v>
      </c>
      <c r="C7742" s="7" t="s">
        <v>17564</v>
      </c>
      <c r="D7742" s="194">
        <v>2022.0</v>
      </c>
      <c r="E7742" s="193"/>
      <c r="F7742" s="195" t="s">
        <v>27783</v>
      </c>
      <c r="G7742" s="196">
        <v>1.282252E7</v>
      </c>
      <c r="H7742" s="197">
        <v>1.46</v>
      </c>
      <c r="I7742" s="7" t="s">
        <v>16815</v>
      </c>
      <c r="J7742" s="7" t="s">
        <v>187</v>
      </c>
      <c r="K7742" s="7" t="s">
        <v>17564</v>
      </c>
      <c r="L7742" s="198" t="s">
        <v>65</v>
      </c>
      <c r="M7742" s="194"/>
      <c r="N7742" s="194"/>
    </row>
    <row r="7743">
      <c r="A7743" s="193" t="s">
        <v>27784</v>
      </c>
      <c r="B7743" s="7" t="s">
        <v>169</v>
      </c>
      <c r="C7743" s="7" t="s">
        <v>16899</v>
      </c>
      <c r="D7743" s="199"/>
      <c r="E7743" s="193"/>
      <c r="F7743" s="195" t="s">
        <v>27785</v>
      </c>
      <c r="G7743" s="196">
        <v>1.2752238E7</v>
      </c>
      <c r="H7743" s="197">
        <v>3.72</v>
      </c>
      <c r="I7743" s="7" t="s">
        <v>16815</v>
      </c>
      <c r="J7743" s="7" t="s">
        <v>169</v>
      </c>
      <c r="K7743" s="7" t="s">
        <v>16899</v>
      </c>
      <c r="L7743" s="198" t="s">
        <v>65</v>
      </c>
      <c r="M7743" s="199"/>
      <c r="N7743" s="199"/>
    </row>
    <row r="7744">
      <c r="A7744" s="193" t="s">
        <v>27786</v>
      </c>
      <c r="B7744" s="7" t="s">
        <v>169</v>
      </c>
      <c r="C7744" s="7" t="s">
        <v>17022</v>
      </c>
      <c r="D7744" s="199"/>
      <c r="E7744" s="193"/>
      <c r="F7744" s="195" t="s">
        <v>27787</v>
      </c>
      <c r="G7744" s="196">
        <v>1.2734905E7</v>
      </c>
      <c r="H7744" s="197">
        <v>7.57</v>
      </c>
      <c r="I7744" s="7" t="s">
        <v>16815</v>
      </c>
      <c r="J7744" s="7" t="s">
        <v>169</v>
      </c>
      <c r="K7744" s="7" t="s">
        <v>17022</v>
      </c>
      <c r="L7744" s="198" t="s">
        <v>65</v>
      </c>
      <c r="M7744" s="199"/>
      <c r="N7744" s="199"/>
    </row>
    <row r="7745">
      <c r="A7745" s="193" t="s">
        <v>27788</v>
      </c>
      <c r="B7745" s="7" t="s">
        <v>169</v>
      </c>
      <c r="C7745" s="7" t="s">
        <v>17233</v>
      </c>
      <c r="D7745" s="194">
        <v>2021.0</v>
      </c>
      <c r="E7745" s="193"/>
      <c r="F7745" s="195" t="s">
        <v>27789</v>
      </c>
      <c r="G7745" s="196">
        <v>1.27092E7</v>
      </c>
      <c r="H7745" s="197">
        <v>1.335</v>
      </c>
      <c r="I7745" s="7" t="s">
        <v>16815</v>
      </c>
      <c r="J7745" s="7" t="s">
        <v>169</v>
      </c>
      <c r="K7745" s="7" t="s">
        <v>17233</v>
      </c>
      <c r="L7745" s="198" t="s">
        <v>65</v>
      </c>
      <c r="M7745" s="194"/>
      <c r="N7745" s="194"/>
    </row>
    <row r="7746">
      <c r="A7746" s="193" t="s">
        <v>27790</v>
      </c>
      <c r="D7746" s="194">
        <v>2023.0</v>
      </c>
      <c r="E7746" s="193"/>
      <c r="F7746" s="195" t="s">
        <v>27791</v>
      </c>
      <c r="G7746" s="196">
        <v>1.270244E7</v>
      </c>
      <c r="H7746" s="197">
        <v>2.55</v>
      </c>
      <c r="I7746" s="7" t="s">
        <v>16815</v>
      </c>
      <c r="L7746" s="198" t="s">
        <v>65</v>
      </c>
      <c r="M7746" s="194"/>
      <c r="N7746" s="194"/>
    </row>
    <row r="7747">
      <c r="A7747" s="193" t="s">
        <v>27790</v>
      </c>
      <c r="B7747" s="208"/>
      <c r="C7747" s="206"/>
      <c r="D7747" s="193">
        <v>2023.0</v>
      </c>
      <c r="E7747" s="193"/>
      <c r="F7747" s="203" t="s">
        <v>27791</v>
      </c>
      <c r="G7747" s="200">
        <v>1.270244E7</v>
      </c>
      <c r="H7747" s="205">
        <v>0.12</v>
      </c>
      <c r="J7747" s="208"/>
      <c r="K7747" s="206"/>
      <c r="L7747" s="193" t="s">
        <v>17471</v>
      </c>
      <c r="M7747" s="193"/>
      <c r="N7747" s="193"/>
    </row>
    <row r="7748">
      <c r="A7748" s="193" t="s">
        <v>27792</v>
      </c>
      <c r="B7748" s="7" t="s">
        <v>187</v>
      </c>
      <c r="C7748" s="7" t="s">
        <v>16992</v>
      </c>
      <c r="D7748" s="199"/>
      <c r="E7748" s="193"/>
      <c r="F7748" s="195" t="s">
        <v>27793</v>
      </c>
      <c r="G7748" s="196">
        <v>1.2629171E7</v>
      </c>
      <c r="H7748" s="197">
        <v>0.409</v>
      </c>
      <c r="I7748" s="7" t="s">
        <v>16815</v>
      </c>
      <c r="J7748" s="7" t="s">
        <v>187</v>
      </c>
      <c r="K7748" s="7" t="s">
        <v>16992</v>
      </c>
      <c r="L7748" s="198" t="s">
        <v>65</v>
      </c>
      <c r="M7748" s="199"/>
      <c r="N7748" s="199"/>
    </row>
    <row r="7749">
      <c r="A7749" s="193" t="s">
        <v>27794</v>
      </c>
      <c r="B7749" s="7" t="s">
        <v>17009</v>
      </c>
      <c r="C7749" s="7" t="s">
        <v>169</v>
      </c>
      <c r="D7749" s="194">
        <v>2014.0</v>
      </c>
      <c r="E7749" s="193"/>
      <c r="F7749" s="195" t="s">
        <v>27795</v>
      </c>
      <c r="G7749" s="200">
        <v>1.2570842E7</v>
      </c>
      <c r="H7749" s="197">
        <v>0.3722</v>
      </c>
      <c r="I7749" s="7" t="s">
        <v>16815</v>
      </c>
      <c r="J7749" s="7" t="s">
        <v>17009</v>
      </c>
      <c r="K7749" s="7" t="s">
        <v>169</v>
      </c>
      <c r="L7749" s="201" t="s">
        <v>16835</v>
      </c>
      <c r="M7749" s="194"/>
      <c r="N7749" s="194"/>
    </row>
    <row r="7750">
      <c r="A7750" s="193" t="s">
        <v>27794</v>
      </c>
      <c r="B7750" s="7" t="s">
        <v>169</v>
      </c>
      <c r="C7750" s="7" t="s">
        <v>17009</v>
      </c>
      <c r="D7750" s="194">
        <v>2014.0</v>
      </c>
      <c r="E7750" s="193"/>
      <c r="F7750" s="195" t="s">
        <v>27795</v>
      </c>
      <c r="G7750" s="196">
        <v>1.2570842E7</v>
      </c>
      <c r="H7750" s="197">
        <v>0.3722</v>
      </c>
      <c r="I7750" s="7" t="s">
        <v>16815</v>
      </c>
      <c r="J7750" s="7" t="s">
        <v>169</v>
      </c>
      <c r="K7750" s="7" t="s">
        <v>17009</v>
      </c>
      <c r="L7750" s="198" t="s">
        <v>65</v>
      </c>
      <c r="M7750" s="194"/>
      <c r="N7750" s="194"/>
    </row>
    <row r="7751">
      <c r="A7751" s="193" t="s">
        <v>27796</v>
      </c>
      <c r="B7751" s="7" t="s">
        <v>158</v>
      </c>
      <c r="C7751" s="7" t="s">
        <v>16864</v>
      </c>
      <c r="D7751" s="199"/>
      <c r="E7751" s="193"/>
      <c r="F7751" s="195" t="s">
        <v>27797</v>
      </c>
      <c r="G7751" s="196">
        <v>1.2552741E7</v>
      </c>
      <c r="H7751" s="197">
        <v>1.63</v>
      </c>
      <c r="I7751" s="7" t="s">
        <v>180</v>
      </c>
      <c r="J7751" s="7" t="s">
        <v>158</v>
      </c>
      <c r="K7751" s="7" t="s">
        <v>16864</v>
      </c>
      <c r="L7751" s="198" t="s">
        <v>65</v>
      </c>
      <c r="M7751" s="199"/>
      <c r="N7751" s="199"/>
    </row>
    <row r="7752">
      <c r="A7752" s="193" t="s">
        <v>27796</v>
      </c>
      <c r="B7752" s="202" t="s">
        <v>16864</v>
      </c>
      <c r="C7752" s="193" t="s">
        <v>158</v>
      </c>
      <c r="D7752" s="206"/>
      <c r="E7752" s="193"/>
      <c r="F7752" s="203" t="s">
        <v>27797</v>
      </c>
      <c r="G7752" s="200">
        <v>1.2552741E7</v>
      </c>
      <c r="H7752" s="205">
        <v>2.55</v>
      </c>
      <c r="J7752" s="202" t="s">
        <v>16864</v>
      </c>
      <c r="K7752" s="193" t="s">
        <v>158</v>
      </c>
      <c r="L7752" s="193" t="s">
        <v>17471</v>
      </c>
      <c r="M7752" s="206"/>
      <c r="N7752" s="206"/>
    </row>
    <row r="7753">
      <c r="A7753" s="193" t="s">
        <v>27798</v>
      </c>
      <c r="B7753" s="7" t="s">
        <v>16926</v>
      </c>
      <c r="C7753" s="7" t="s">
        <v>16957</v>
      </c>
      <c r="D7753" s="199"/>
      <c r="E7753" s="193"/>
      <c r="F7753" s="195" t="s">
        <v>27799</v>
      </c>
      <c r="G7753" s="196">
        <v>1.2528729E7</v>
      </c>
      <c r="H7753" s="197">
        <v>0.67</v>
      </c>
      <c r="I7753" s="7" t="s">
        <v>16815</v>
      </c>
      <c r="J7753" s="7" t="s">
        <v>16926</v>
      </c>
      <c r="K7753" s="7" t="s">
        <v>16957</v>
      </c>
      <c r="L7753" s="198" t="s">
        <v>65</v>
      </c>
      <c r="M7753" s="199"/>
      <c r="N7753" s="199"/>
    </row>
    <row r="7754">
      <c r="A7754" s="193" t="s">
        <v>27800</v>
      </c>
      <c r="B7754" s="7" t="s">
        <v>175</v>
      </c>
      <c r="C7754" s="7" t="s">
        <v>18352</v>
      </c>
      <c r="D7754" s="199"/>
      <c r="E7754" s="193"/>
      <c r="F7754" s="195" t="s">
        <v>27801</v>
      </c>
      <c r="G7754" s="196">
        <v>1.2479688E7</v>
      </c>
      <c r="H7754" s="197">
        <v>0.225</v>
      </c>
      <c r="I7754" s="7" t="s">
        <v>16856</v>
      </c>
      <c r="J7754" s="7" t="s">
        <v>175</v>
      </c>
      <c r="K7754" s="7" t="s">
        <v>18352</v>
      </c>
      <c r="L7754" s="198" t="s">
        <v>65</v>
      </c>
      <c r="M7754" s="199"/>
      <c r="N7754" s="199"/>
    </row>
    <row r="7755">
      <c r="A7755" s="193" t="s">
        <v>27802</v>
      </c>
      <c r="B7755" s="7" t="s">
        <v>187</v>
      </c>
      <c r="C7755" s="7" t="s">
        <v>16846</v>
      </c>
      <c r="D7755" s="199"/>
      <c r="E7755" s="193"/>
      <c r="F7755" s="195" t="s">
        <v>27803</v>
      </c>
      <c r="G7755" s="196">
        <v>1.245076E7</v>
      </c>
      <c r="H7755" s="197">
        <v>1.06</v>
      </c>
      <c r="I7755" s="7" t="s">
        <v>16815</v>
      </c>
      <c r="J7755" s="7" t="s">
        <v>187</v>
      </c>
      <c r="K7755" s="7" t="s">
        <v>16846</v>
      </c>
      <c r="L7755" s="198" t="s">
        <v>65</v>
      </c>
      <c r="M7755" s="199"/>
      <c r="N7755" s="199"/>
    </row>
    <row r="7756">
      <c r="A7756" s="193" t="s">
        <v>27802</v>
      </c>
      <c r="B7756" s="202" t="s">
        <v>16846</v>
      </c>
      <c r="C7756" s="193" t="s">
        <v>187</v>
      </c>
      <c r="D7756" s="206"/>
      <c r="E7756" s="193"/>
      <c r="F7756" s="203" t="s">
        <v>27803</v>
      </c>
      <c r="G7756" s="200">
        <v>1.245076E7</v>
      </c>
      <c r="H7756" s="205">
        <v>1.63</v>
      </c>
      <c r="J7756" s="202" t="s">
        <v>16846</v>
      </c>
      <c r="K7756" s="193" t="s">
        <v>187</v>
      </c>
      <c r="L7756" s="193" t="s">
        <v>17471</v>
      </c>
      <c r="M7756" s="206"/>
      <c r="N7756" s="206"/>
    </row>
    <row r="7757">
      <c r="A7757" s="193" t="s">
        <v>27804</v>
      </c>
      <c r="B7757" s="7" t="s">
        <v>187</v>
      </c>
      <c r="C7757" s="7" t="s">
        <v>16992</v>
      </c>
      <c r="D7757" s="199"/>
      <c r="E7757" s="193"/>
      <c r="F7757" s="195" t="s">
        <v>27805</v>
      </c>
      <c r="G7757" s="196">
        <v>1.2435837E7</v>
      </c>
      <c r="H7757" s="197">
        <v>0.2214</v>
      </c>
      <c r="I7757" s="7" t="s">
        <v>16815</v>
      </c>
      <c r="J7757" s="7" t="s">
        <v>187</v>
      </c>
      <c r="K7757" s="7" t="s">
        <v>16992</v>
      </c>
      <c r="L7757" s="198" t="s">
        <v>65</v>
      </c>
      <c r="M7757" s="199"/>
      <c r="N7757" s="199"/>
    </row>
    <row r="7758">
      <c r="A7758" s="193" t="s">
        <v>27806</v>
      </c>
      <c r="B7758" s="7" t="s">
        <v>175</v>
      </c>
      <c r="C7758" s="7" t="s">
        <v>17069</v>
      </c>
      <c r="D7758" s="194">
        <v>2020.0</v>
      </c>
      <c r="E7758" s="193"/>
      <c r="F7758" s="195" t="s">
        <v>27807</v>
      </c>
      <c r="G7758" s="196">
        <v>1.23984E7</v>
      </c>
      <c r="H7758" s="197">
        <v>0.54</v>
      </c>
      <c r="I7758" s="7" t="s">
        <v>16856</v>
      </c>
      <c r="J7758" s="7" t="s">
        <v>175</v>
      </c>
      <c r="K7758" s="7" t="s">
        <v>17069</v>
      </c>
      <c r="L7758" s="198" t="s">
        <v>65</v>
      </c>
      <c r="M7758" s="194"/>
      <c r="N7758" s="194"/>
    </row>
    <row r="7759">
      <c r="A7759" s="193" t="s">
        <v>27808</v>
      </c>
      <c r="B7759" s="7" t="s">
        <v>187</v>
      </c>
      <c r="C7759" s="7" t="s">
        <v>16858</v>
      </c>
      <c r="D7759" s="194">
        <v>2006.0</v>
      </c>
      <c r="E7759" s="193"/>
      <c r="F7759" s="195" t="s">
        <v>27809</v>
      </c>
      <c r="G7759" s="196">
        <v>1.2346454E7</v>
      </c>
      <c r="H7759" s="197">
        <v>9.94</v>
      </c>
      <c r="I7759" s="7" t="s">
        <v>16815</v>
      </c>
      <c r="J7759" s="7" t="s">
        <v>187</v>
      </c>
      <c r="K7759" s="7" t="s">
        <v>16858</v>
      </c>
      <c r="L7759" s="198" t="s">
        <v>65</v>
      </c>
      <c r="M7759" s="194"/>
      <c r="N7759" s="194"/>
    </row>
    <row r="7760">
      <c r="A7760" s="193" t="s">
        <v>27810</v>
      </c>
      <c r="B7760" s="7" t="s">
        <v>187</v>
      </c>
      <c r="C7760" s="7" t="s">
        <v>16846</v>
      </c>
      <c r="D7760" s="199"/>
      <c r="E7760" s="193"/>
      <c r="F7760" s="195" t="s">
        <v>27811</v>
      </c>
      <c r="G7760" s="196">
        <v>1.2232343E7</v>
      </c>
      <c r="H7760" s="197">
        <v>1.4258</v>
      </c>
      <c r="I7760" s="7" t="s">
        <v>16815</v>
      </c>
      <c r="J7760" s="7" t="s">
        <v>187</v>
      </c>
      <c r="K7760" s="7" t="s">
        <v>16846</v>
      </c>
      <c r="L7760" s="198" t="s">
        <v>65</v>
      </c>
      <c r="M7760" s="199"/>
      <c r="N7760" s="199"/>
    </row>
    <row r="7761">
      <c r="A7761" s="193" t="s">
        <v>27812</v>
      </c>
      <c r="B7761" s="7" t="s">
        <v>187</v>
      </c>
      <c r="C7761" s="7" t="s">
        <v>17564</v>
      </c>
      <c r="D7761" s="199"/>
      <c r="E7761" s="193"/>
      <c r="F7761" s="195" t="s">
        <v>27813</v>
      </c>
      <c r="G7761" s="196">
        <v>1.2182034E7</v>
      </c>
      <c r="H7761" s="197">
        <v>0.8919</v>
      </c>
      <c r="I7761" s="7" t="s">
        <v>16815</v>
      </c>
      <c r="J7761" s="7" t="s">
        <v>187</v>
      </c>
      <c r="K7761" s="7" t="s">
        <v>17564</v>
      </c>
      <c r="L7761" s="198" t="s">
        <v>65</v>
      </c>
      <c r="M7761" s="199"/>
      <c r="N7761" s="199"/>
    </row>
    <row r="7762">
      <c r="A7762" s="193" t="s">
        <v>27814</v>
      </c>
      <c r="B7762" s="7" t="s">
        <v>175</v>
      </c>
      <c r="C7762" s="7" t="s">
        <v>19006</v>
      </c>
      <c r="D7762" s="199"/>
      <c r="E7762" s="193"/>
      <c r="F7762" s="195" t="s">
        <v>27815</v>
      </c>
      <c r="G7762" s="196">
        <v>1.2118644E7</v>
      </c>
      <c r="H7762" s="197">
        <v>2.5282</v>
      </c>
      <c r="I7762" s="7" t="s">
        <v>16908</v>
      </c>
      <c r="J7762" s="7" t="s">
        <v>175</v>
      </c>
      <c r="K7762" s="7" t="s">
        <v>19006</v>
      </c>
      <c r="L7762" s="198" t="s">
        <v>65</v>
      </c>
      <c r="M7762" s="199"/>
      <c r="N7762" s="199"/>
    </row>
    <row r="7763">
      <c r="A7763" s="193" t="s">
        <v>27816</v>
      </c>
      <c r="D7763" s="194">
        <v>2023.0</v>
      </c>
      <c r="E7763" s="193"/>
      <c r="F7763" s="195" t="s">
        <v>27817</v>
      </c>
      <c r="G7763" s="196">
        <v>1.2109411E7</v>
      </c>
      <c r="H7763" s="197">
        <v>1.92</v>
      </c>
      <c r="I7763" s="7" t="s">
        <v>16815</v>
      </c>
      <c r="L7763" s="198" t="s">
        <v>65</v>
      </c>
      <c r="M7763" s="194"/>
      <c r="N7763" s="194"/>
    </row>
    <row r="7764">
      <c r="A7764" s="193" t="s">
        <v>27816</v>
      </c>
      <c r="B7764" s="208"/>
      <c r="C7764" s="206"/>
      <c r="D7764" s="193">
        <v>2023.0</v>
      </c>
      <c r="E7764" s="193"/>
      <c r="F7764" s="203" t="s">
        <v>27817</v>
      </c>
      <c r="G7764" s="200">
        <v>1.2109411E7</v>
      </c>
      <c r="H7764" s="205">
        <v>1.06</v>
      </c>
      <c r="J7764" s="208"/>
      <c r="K7764" s="206"/>
      <c r="L7764" s="193" t="s">
        <v>17471</v>
      </c>
      <c r="M7764" s="193"/>
      <c r="N7764" s="193"/>
    </row>
    <row r="7765">
      <c r="A7765" s="193" t="s">
        <v>27818</v>
      </c>
      <c r="B7765" s="7" t="s">
        <v>175</v>
      </c>
      <c r="C7765" s="7" t="s">
        <v>16942</v>
      </c>
      <c r="D7765" s="194">
        <v>2021.0</v>
      </c>
      <c r="E7765" s="193"/>
      <c r="F7765" s="195" t="s">
        <v>27819</v>
      </c>
      <c r="G7765" s="196">
        <v>1.2086238E7</v>
      </c>
      <c r="H7765" s="197">
        <v>1.935</v>
      </c>
      <c r="I7765" s="7" t="s">
        <v>16908</v>
      </c>
      <c r="J7765" s="7" t="s">
        <v>175</v>
      </c>
      <c r="K7765" s="7" t="s">
        <v>16942</v>
      </c>
      <c r="L7765" s="198" t="s">
        <v>65</v>
      </c>
      <c r="M7765" s="194"/>
      <c r="N7765" s="194"/>
    </row>
    <row r="7766">
      <c r="A7766" s="193" t="s">
        <v>27820</v>
      </c>
      <c r="B7766" s="7" t="s">
        <v>16885</v>
      </c>
      <c r="C7766" s="7" t="s">
        <v>20119</v>
      </c>
      <c r="D7766" s="194">
        <v>2021.0</v>
      </c>
      <c r="E7766" s="193"/>
      <c r="F7766" s="195" t="s">
        <v>27821</v>
      </c>
      <c r="G7766" s="196">
        <v>1.2057192E7</v>
      </c>
      <c r="H7766" s="197">
        <v>0.663</v>
      </c>
      <c r="I7766" s="7" t="s">
        <v>27822</v>
      </c>
      <c r="J7766" s="7" t="s">
        <v>16885</v>
      </c>
      <c r="K7766" s="7" t="s">
        <v>20119</v>
      </c>
      <c r="L7766" s="198" t="s">
        <v>65</v>
      </c>
      <c r="M7766" s="194"/>
      <c r="N7766" s="194"/>
    </row>
    <row r="7767">
      <c r="A7767" s="193" t="s">
        <v>27823</v>
      </c>
      <c r="B7767" s="7" t="s">
        <v>187</v>
      </c>
      <c r="C7767" s="7" t="s">
        <v>17509</v>
      </c>
      <c r="D7767" s="199"/>
      <c r="E7767" s="193"/>
      <c r="F7767" s="195" t="s">
        <v>27824</v>
      </c>
      <c r="G7767" s="196">
        <v>1.2036061E7</v>
      </c>
      <c r="H7767" s="197">
        <v>3.84</v>
      </c>
      <c r="I7767" s="7" t="s">
        <v>16815</v>
      </c>
      <c r="J7767" s="7" t="s">
        <v>187</v>
      </c>
      <c r="K7767" s="7" t="s">
        <v>17509</v>
      </c>
      <c r="L7767" s="198" t="s">
        <v>65</v>
      </c>
      <c r="M7767" s="199"/>
      <c r="N7767" s="199"/>
    </row>
    <row r="7768">
      <c r="A7768" s="193" t="s">
        <v>27825</v>
      </c>
      <c r="B7768" s="7" t="s">
        <v>187</v>
      </c>
      <c r="C7768" s="7" t="s">
        <v>17559</v>
      </c>
      <c r="D7768" s="194">
        <v>2022.0</v>
      </c>
      <c r="E7768" s="193"/>
      <c r="F7768" s="195" t="s">
        <v>27826</v>
      </c>
      <c r="G7768" s="196">
        <v>1.2011737E7</v>
      </c>
      <c r="H7768" s="197">
        <v>1.02</v>
      </c>
      <c r="I7768" s="7" t="s">
        <v>16815</v>
      </c>
      <c r="J7768" s="7" t="s">
        <v>187</v>
      </c>
      <c r="K7768" s="7" t="s">
        <v>17559</v>
      </c>
      <c r="L7768" s="198" t="s">
        <v>65</v>
      </c>
      <c r="M7768" s="194"/>
      <c r="N7768" s="194"/>
    </row>
    <row r="7769">
      <c r="A7769" s="193" t="s">
        <v>27827</v>
      </c>
      <c r="B7769" s="7" t="s">
        <v>169</v>
      </c>
      <c r="C7769" s="7" t="s">
        <v>16899</v>
      </c>
      <c r="D7769" s="194">
        <v>2021.0</v>
      </c>
      <c r="E7769" s="193"/>
      <c r="F7769" s="195" t="s">
        <v>27828</v>
      </c>
      <c r="G7769" s="196">
        <v>1.195702E7</v>
      </c>
      <c r="H7769" s="197">
        <v>0.24</v>
      </c>
      <c r="I7769" s="7" t="s">
        <v>16815</v>
      </c>
      <c r="J7769" s="7" t="s">
        <v>169</v>
      </c>
      <c r="K7769" s="7" t="s">
        <v>16899</v>
      </c>
      <c r="L7769" s="198" t="s">
        <v>65</v>
      </c>
      <c r="M7769" s="194"/>
      <c r="N7769" s="194"/>
    </row>
    <row r="7770">
      <c r="A7770" s="193" t="s">
        <v>27829</v>
      </c>
      <c r="B7770" s="7" t="s">
        <v>16582</v>
      </c>
      <c r="C7770" s="7" t="s">
        <v>16930</v>
      </c>
      <c r="D7770" s="194">
        <v>2021.0</v>
      </c>
      <c r="E7770" s="193"/>
      <c r="F7770" s="195" t="s">
        <v>27830</v>
      </c>
      <c r="G7770" s="196">
        <v>1.1775378E7</v>
      </c>
      <c r="H7770" s="197">
        <v>0.125</v>
      </c>
      <c r="I7770" s="7" t="s">
        <v>16815</v>
      </c>
      <c r="J7770" s="7" t="s">
        <v>16582</v>
      </c>
      <c r="K7770" s="7" t="s">
        <v>16930</v>
      </c>
      <c r="L7770" s="198" t="s">
        <v>65</v>
      </c>
      <c r="M7770" s="194"/>
      <c r="N7770" s="194"/>
    </row>
    <row r="7771">
      <c r="A7771" s="193" t="s">
        <v>27831</v>
      </c>
      <c r="B7771" s="7" t="s">
        <v>187</v>
      </c>
      <c r="C7771" s="7" t="s">
        <v>16858</v>
      </c>
      <c r="D7771" s="199"/>
      <c r="E7771" s="193"/>
      <c r="F7771" s="195" t="s">
        <v>27832</v>
      </c>
      <c r="G7771" s="196">
        <v>1.1769574E7</v>
      </c>
      <c r="H7771" s="197">
        <v>1.35</v>
      </c>
      <c r="I7771" s="7" t="s">
        <v>16815</v>
      </c>
      <c r="J7771" s="7" t="s">
        <v>187</v>
      </c>
      <c r="K7771" s="7" t="s">
        <v>16858</v>
      </c>
      <c r="L7771" s="198" t="s">
        <v>65</v>
      </c>
      <c r="M7771" s="199"/>
      <c r="N7771" s="199"/>
    </row>
    <row r="7772">
      <c r="A7772" s="193" t="s">
        <v>27833</v>
      </c>
      <c r="B7772" s="7" t="s">
        <v>16582</v>
      </c>
      <c r="C7772" s="7" t="s">
        <v>16817</v>
      </c>
      <c r="D7772" s="199"/>
      <c r="E7772" s="193"/>
      <c r="F7772" s="195" t="s">
        <v>27834</v>
      </c>
      <c r="G7772" s="196">
        <v>1.1737033E7</v>
      </c>
      <c r="H7772" s="197">
        <v>1.42</v>
      </c>
      <c r="I7772" s="7" t="s">
        <v>16815</v>
      </c>
      <c r="J7772" s="7" t="s">
        <v>16582</v>
      </c>
      <c r="K7772" s="7" t="s">
        <v>16817</v>
      </c>
      <c r="L7772" s="198" t="s">
        <v>65</v>
      </c>
      <c r="M7772" s="199"/>
      <c r="N7772" s="199"/>
    </row>
    <row r="7773">
      <c r="A7773" s="193" t="s">
        <v>27835</v>
      </c>
      <c r="B7773" s="7" t="s">
        <v>16582</v>
      </c>
      <c r="C7773" s="7" t="s">
        <v>16899</v>
      </c>
      <c r="D7773" s="194">
        <v>2022.0</v>
      </c>
      <c r="E7773" s="193"/>
      <c r="F7773" s="195" t="s">
        <v>27836</v>
      </c>
      <c r="G7773" s="196">
        <v>1.172637E7</v>
      </c>
      <c r="H7773" s="197">
        <v>0.837</v>
      </c>
      <c r="I7773" s="7" t="s">
        <v>16815</v>
      </c>
      <c r="J7773" s="7" t="s">
        <v>16582</v>
      </c>
      <c r="K7773" s="7" t="s">
        <v>16899</v>
      </c>
      <c r="L7773" s="198" t="s">
        <v>65</v>
      </c>
      <c r="M7773" s="194"/>
      <c r="N7773" s="194"/>
    </row>
    <row r="7774">
      <c r="A7774" s="193" t="s">
        <v>27837</v>
      </c>
      <c r="B7774" s="7" t="s">
        <v>17112</v>
      </c>
      <c r="C7774" s="7" t="s">
        <v>17111</v>
      </c>
      <c r="D7774" s="194">
        <v>2018.0</v>
      </c>
      <c r="E7774" s="193"/>
      <c r="F7774" s="195" t="s">
        <v>27838</v>
      </c>
      <c r="G7774" s="196">
        <v>1.1670941E7</v>
      </c>
      <c r="H7774" s="197">
        <v>5.26</v>
      </c>
      <c r="I7774" s="7" t="s">
        <v>16815</v>
      </c>
      <c r="J7774" s="7" t="s">
        <v>17112</v>
      </c>
      <c r="K7774" s="7" t="s">
        <v>17111</v>
      </c>
      <c r="L7774" s="198" t="s">
        <v>65</v>
      </c>
      <c r="M7774" s="194"/>
      <c r="N7774" s="194"/>
    </row>
    <row r="7775">
      <c r="A7775" s="193" t="s">
        <v>27839</v>
      </c>
      <c r="B7775" s="7" t="s">
        <v>16582</v>
      </c>
      <c r="C7775" s="7" t="s">
        <v>17342</v>
      </c>
      <c r="D7775" s="194">
        <v>1983.0</v>
      </c>
      <c r="E7775" s="193"/>
      <c r="F7775" s="195" t="s">
        <v>27840</v>
      </c>
      <c r="G7775" s="196">
        <v>1.1670528E7</v>
      </c>
      <c r="H7775" s="197">
        <v>0.3079</v>
      </c>
      <c r="I7775" s="7" t="s">
        <v>16815</v>
      </c>
      <c r="J7775" s="7" t="s">
        <v>16582</v>
      </c>
      <c r="K7775" s="7" t="s">
        <v>17342</v>
      </c>
      <c r="L7775" s="198" t="s">
        <v>65</v>
      </c>
      <c r="M7775" s="194"/>
      <c r="N7775" s="194"/>
    </row>
    <row r="7776">
      <c r="A7776" s="193" t="s">
        <v>27841</v>
      </c>
      <c r="B7776" s="7" t="s">
        <v>16838</v>
      </c>
      <c r="C7776" s="7" t="s">
        <v>17016</v>
      </c>
      <c r="D7776" s="199"/>
      <c r="E7776" s="193"/>
      <c r="F7776" s="195" t="s">
        <v>27842</v>
      </c>
      <c r="G7776" s="196">
        <v>1.1662455E7</v>
      </c>
      <c r="H7776" s="197">
        <v>0.98</v>
      </c>
      <c r="I7776" s="7" t="s">
        <v>16924</v>
      </c>
      <c r="J7776" s="7" t="s">
        <v>16838</v>
      </c>
      <c r="K7776" s="7" t="s">
        <v>17016</v>
      </c>
      <c r="L7776" s="198" t="s">
        <v>65</v>
      </c>
      <c r="M7776" s="199"/>
      <c r="N7776" s="199"/>
    </row>
    <row r="7777">
      <c r="A7777" s="193" t="s">
        <v>27843</v>
      </c>
      <c r="B7777" s="7" t="s">
        <v>187</v>
      </c>
      <c r="C7777" s="7" t="s">
        <v>16846</v>
      </c>
      <c r="D7777" s="199"/>
      <c r="E7777" s="193"/>
      <c r="F7777" s="195" t="s">
        <v>27844</v>
      </c>
      <c r="G7777" s="196">
        <v>1.1630016E7</v>
      </c>
      <c r="H7777" s="197">
        <v>3.03</v>
      </c>
      <c r="I7777" s="7" t="s">
        <v>16815</v>
      </c>
      <c r="J7777" s="7" t="s">
        <v>187</v>
      </c>
      <c r="K7777" s="7" t="s">
        <v>16846</v>
      </c>
      <c r="L7777" s="198" t="s">
        <v>65</v>
      </c>
      <c r="M7777" s="199"/>
      <c r="N7777" s="199"/>
    </row>
    <row r="7778">
      <c r="A7778" s="193" t="s">
        <v>27845</v>
      </c>
      <c r="B7778" s="7" t="s">
        <v>175</v>
      </c>
      <c r="C7778" s="7" t="s">
        <v>16957</v>
      </c>
      <c r="D7778" s="194">
        <v>2020.0</v>
      </c>
      <c r="E7778" s="193"/>
      <c r="F7778" s="195" t="s">
        <v>27846</v>
      </c>
      <c r="G7778" s="196">
        <v>1.1606348E7</v>
      </c>
      <c r="H7778" s="197">
        <v>0.1555</v>
      </c>
      <c r="I7778" s="7" t="s">
        <v>168</v>
      </c>
      <c r="J7778" s="7" t="s">
        <v>175</v>
      </c>
      <c r="K7778" s="7" t="s">
        <v>16957</v>
      </c>
      <c r="L7778" s="198" t="s">
        <v>65</v>
      </c>
      <c r="M7778" s="194"/>
      <c r="N7778" s="194"/>
    </row>
    <row r="7779">
      <c r="A7779" s="193" t="s">
        <v>27845</v>
      </c>
      <c r="B7779" s="202" t="s">
        <v>16957</v>
      </c>
      <c r="C7779" s="193" t="s">
        <v>175</v>
      </c>
      <c r="D7779" s="193">
        <v>2020.0</v>
      </c>
      <c r="E7779" s="193"/>
      <c r="F7779" s="203" t="s">
        <v>27846</v>
      </c>
      <c r="G7779" s="200">
        <v>1.1606348E7</v>
      </c>
      <c r="H7779" s="205">
        <v>1.92</v>
      </c>
      <c r="J7779" s="202" t="s">
        <v>16957</v>
      </c>
      <c r="K7779" s="193" t="s">
        <v>175</v>
      </c>
      <c r="L7779" s="193" t="s">
        <v>17471</v>
      </c>
      <c r="M7779" s="193"/>
      <c r="N7779" s="193"/>
    </row>
    <row r="7780">
      <c r="A7780" s="193" t="s">
        <v>27847</v>
      </c>
      <c r="B7780" s="7" t="s">
        <v>16919</v>
      </c>
      <c r="C7780" s="7" t="s">
        <v>17048</v>
      </c>
      <c r="D7780" s="194">
        <v>2021.0</v>
      </c>
      <c r="E7780" s="193"/>
      <c r="F7780" s="195" t="s">
        <v>27848</v>
      </c>
      <c r="G7780" s="196">
        <v>1.15995E7</v>
      </c>
      <c r="H7780" s="197">
        <v>2.09</v>
      </c>
      <c r="I7780" s="7" t="s">
        <v>16815</v>
      </c>
      <c r="J7780" s="7" t="s">
        <v>16919</v>
      </c>
      <c r="K7780" s="7" t="s">
        <v>17048</v>
      </c>
      <c r="L7780" s="198" t="s">
        <v>65</v>
      </c>
      <c r="M7780" s="194"/>
      <c r="N7780" s="194"/>
    </row>
    <row r="7781">
      <c r="A7781" s="193" t="s">
        <v>27849</v>
      </c>
      <c r="B7781" s="7" t="s">
        <v>187</v>
      </c>
      <c r="C7781" s="7" t="s">
        <v>16846</v>
      </c>
      <c r="D7781" s="199"/>
      <c r="E7781" s="193"/>
      <c r="F7781" s="195" t="s">
        <v>27850</v>
      </c>
      <c r="G7781" s="196">
        <v>1.1596761E7</v>
      </c>
      <c r="H7781" s="197">
        <v>1.31</v>
      </c>
      <c r="I7781" s="7" t="s">
        <v>16815</v>
      </c>
      <c r="J7781" s="7" t="s">
        <v>187</v>
      </c>
      <c r="K7781" s="7" t="s">
        <v>16846</v>
      </c>
      <c r="L7781" s="198" t="s">
        <v>65</v>
      </c>
      <c r="M7781" s="199"/>
      <c r="N7781" s="199"/>
    </row>
    <row r="7782">
      <c r="A7782" s="193" t="s">
        <v>27851</v>
      </c>
      <c r="B7782" s="7" t="s">
        <v>16910</v>
      </c>
      <c r="C7782" s="7" t="s">
        <v>17013</v>
      </c>
      <c r="D7782" s="194">
        <v>1994.0</v>
      </c>
      <c r="E7782" s="193"/>
      <c r="F7782" s="195" t="s">
        <v>27852</v>
      </c>
      <c r="G7782" s="196">
        <v>1.1575563E7</v>
      </c>
      <c r="H7782" s="197">
        <v>0.5501</v>
      </c>
      <c r="I7782" s="7" t="s">
        <v>16917</v>
      </c>
      <c r="J7782" s="7" t="s">
        <v>16910</v>
      </c>
      <c r="K7782" s="7" t="s">
        <v>17013</v>
      </c>
      <c r="L7782" s="198" t="s">
        <v>65</v>
      </c>
      <c r="M7782" s="194"/>
      <c r="N7782" s="194"/>
    </row>
    <row r="7783">
      <c r="A7783" s="193" t="s">
        <v>27851</v>
      </c>
      <c r="B7783" s="202" t="s">
        <v>17013</v>
      </c>
      <c r="C7783" s="193" t="s">
        <v>16910</v>
      </c>
      <c r="D7783" s="193">
        <v>1994.0</v>
      </c>
      <c r="E7783" s="193"/>
      <c r="F7783" s="203" t="s">
        <v>27852</v>
      </c>
      <c r="G7783" s="200">
        <v>1.1575563E7</v>
      </c>
      <c r="H7783" s="205">
        <v>0.1555</v>
      </c>
      <c r="J7783" s="202" t="s">
        <v>17013</v>
      </c>
      <c r="K7783" s="193" t="s">
        <v>16910</v>
      </c>
      <c r="L7783" s="193" t="s">
        <v>17471</v>
      </c>
      <c r="M7783" s="193"/>
      <c r="N7783" s="193"/>
    </row>
    <row r="7784">
      <c r="A7784" s="193" t="s">
        <v>27853</v>
      </c>
      <c r="B7784" s="7" t="s">
        <v>187</v>
      </c>
      <c r="C7784" s="7" t="s">
        <v>16846</v>
      </c>
      <c r="D7784" s="194">
        <v>2021.0</v>
      </c>
      <c r="E7784" s="193"/>
      <c r="F7784" s="195" t="s">
        <v>27854</v>
      </c>
      <c r="G7784" s="196">
        <v>1.1548526E7</v>
      </c>
      <c r="H7784" s="197">
        <v>1.08</v>
      </c>
      <c r="I7784" s="7" t="s">
        <v>16815</v>
      </c>
      <c r="J7784" s="7" t="s">
        <v>187</v>
      </c>
      <c r="K7784" s="7" t="s">
        <v>16846</v>
      </c>
      <c r="L7784" s="198" t="s">
        <v>65</v>
      </c>
      <c r="M7784" s="194"/>
      <c r="N7784" s="194"/>
    </row>
    <row r="7785">
      <c r="A7785" s="193" t="s">
        <v>27855</v>
      </c>
      <c r="B7785" s="7" t="s">
        <v>187</v>
      </c>
      <c r="C7785" s="7" t="s">
        <v>16846</v>
      </c>
      <c r="D7785" s="194">
        <v>2020.0</v>
      </c>
      <c r="E7785" s="193"/>
      <c r="F7785" s="195" t="s">
        <v>27856</v>
      </c>
      <c r="G7785" s="196">
        <v>1.1530964E7</v>
      </c>
      <c r="H7785" s="197">
        <v>0.42</v>
      </c>
      <c r="I7785" s="7" t="s">
        <v>16815</v>
      </c>
      <c r="J7785" s="7" t="s">
        <v>187</v>
      </c>
      <c r="K7785" s="7" t="s">
        <v>16846</v>
      </c>
      <c r="L7785" s="198" t="s">
        <v>65</v>
      </c>
      <c r="M7785" s="194"/>
      <c r="N7785" s="194"/>
    </row>
    <row r="7786">
      <c r="A7786" s="193" t="s">
        <v>27857</v>
      </c>
      <c r="D7786" s="199"/>
      <c r="E7786" s="193"/>
      <c r="F7786" s="195" t="s">
        <v>27858</v>
      </c>
      <c r="G7786" s="196">
        <v>1.15245E7</v>
      </c>
      <c r="H7786" s="197">
        <v>0.65</v>
      </c>
      <c r="I7786" s="7" t="s">
        <v>16815</v>
      </c>
      <c r="L7786" s="198" t="s">
        <v>65</v>
      </c>
      <c r="M7786" s="199"/>
      <c r="N7786" s="199"/>
    </row>
    <row r="7787">
      <c r="A7787" s="193" t="s">
        <v>27859</v>
      </c>
      <c r="B7787" s="7" t="s">
        <v>187</v>
      </c>
      <c r="C7787" s="7" t="s">
        <v>16969</v>
      </c>
      <c r="D7787" s="194">
        <v>2005.0</v>
      </c>
      <c r="E7787" s="193"/>
      <c r="F7787" s="195" t="s">
        <v>27860</v>
      </c>
      <c r="G7787" s="196">
        <v>1.1521582E7</v>
      </c>
      <c r="H7787" s="197">
        <v>0.33</v>
      </c>
      <c r="I7787" s="7" t="s">
        <v>16815</v>
      </c>
      <c r="J7787" s="7" t="s">
        <v>187</v>
      </c>
      <c r="K7787" s="7" t="s">
        <v>16969</v>
      </c>
      <c r="L7787" s="198" t="s">
        <v>65</v>
      </c>
      <c r="M7787" s="194"/>
      <c r="N7787" s="194"/>
    </row>
    <row r="7788">
      <c r="A7788" s="193" t="s">
        <v>27861</v>
      </c>
      <c r="B7788" s="7" t="s">
        <v>187</v>
      </c>
      <c r="C7788" s="7" t="s">
        <v>16846</v>
      </c>
      <c r="D7788" s="194">
        <v>2018.0</v>
      </c>
      <c r="E7788" s="193"/>
      <c r="F7788" s="195" t="s">
        <v>27862</v>
      </c>
      <c r="G7788" s="196">
        <v>1.1512698E7</v>
      </c>
      <c r="H7788" s="197">
        <v>3.51</v>
      </c>
      <c r="I7788" s="7" t="s">
        <v>16815</v>
      </c>
      <c r="J7788" s="7" t="s">
        <v>187</v>
      </c>
      <c r="K7788" s="7" t="s">
        <v>16846</v>
      </c>
      <c r="L7788" s="198" t="s">
        <v>65</v>
      </c>
      <c r="M7788" s="194"/>
      <c r="N7788" s="194"/>
    </row>
    <row r="7789">
      <c r="A7789" s="193" t="s">
        <v>27863</v>
      </c>
      <c r="B7789" s="7" t="s">
        <v>16582</v>
      </c>
      <c r="C7789" s="7" t="s">
        <v>17183</v>
      </c>
      <c r="D7789" s="194">
        <v>2003.0</v>
      </c>
      <c r="E7789" s="193"/>
      <c r="F7789" s="195" t="s">
        <v>27864</v>
      </c>
      <c r="G7789" s="196">
        <v>1.1425662E7</v>
      </c>
      <c r="H7789" s="197">
        <v>4.94</v>
      </c>
      <c r="I7789" s="7" t="s">
        <v>16815</v>
      </c>
      <c r="J7789" s="7" t="s">
        <v>16582</v>
      </c>
      <c r="K7789" s="7" t="s">
        <v>17183</v>
      </c>
      <c r="L7789" s="198" t="s">
        <v>65</v>
      </c>
      <c r="M7789" s="194"/>
      <c r="N7789" s="194"/>
    </row>
    <row r="7790">
      <c r="A7790" s="193" t="s">
        <v>27863</v>
      </c>
      <c r="B7790" s="202" t="s">
        <v>17183</v>
      </c>
      <c r="C7790" s="193" t="s">
        <v>16582</v>
      </c>
      <c r="D7790" s="193">
        <v>2003.0</v>
      </c>
      <c r="E7790" s="193"/>
      <c r="F7790" s="203" t="s">
        <v>27864</v>
      </c>
      <c r="G7790" s="200">
        <v>1.1425662E7</v>
      </c>
      <c r="H7790" s="205">
        <v>0.5501</v>
      </c>
      <c r="J7790" s="202" t="s">
        <v>17183</v>
      </c>
      <c r="K7790" s="193" t="s">
        <v>16582</v>
      </c>
      <c r="L7790" s="193" t="s">
        <v>17471</v>
      </c>
      <c r="M7790" s="193"/>
      <c r="N7790" s="193"/>
    </row>
    <row r="7791">
      <c r="A7791" s="193" t="s">
        <v>27865</v>
      </c>
      <c r="B7791" s="7" t="s">
        <v>187</v>
      </c>
      <c r="C7791" s="7" t="s">
        <v>16846</v>
      </c>
      <c r="D7791" s="199"/>
      <c r="E7791" s="193"/>
      <c r="F7791" s="195" t="s">
        <v>27866</v>
      </c>
      <c r="G7791" s="196">
        <v>1.1409227E7</v>
      </c>
      <c r="H7791" s="197">
        <v>1.41</v>
      </c>
      <c r="I7791" s="7" t="s">
        <v>16815</v>
      </c>
      <c r="J7791" s="7" t="s">
        <v>187</v>
      </c>
      <c r="K7791" s="7" t="s">
        <v>16846</v>
      </c>
      <c r="L7791" s="198" t="s">
        <v>65</v>
      </c>
      <c r="M7791" s="199"/>
      <c r="N7791" s="199"/>
    </row>
    <row r="7792">
      <c r="A7792" s="193" t="s">
        <v>27867</v>
      </c>
      <c r="D7792" s="194">
        <v>2023.0</v>
      </c>
      <c r="E7792" s="193"/>
      <c r="F7792" s="195" t="s">
        <v>27868</v>
      </c>
      <c r="G7792" s="196">
        <v>1.1372047E7</v>
      </c>
      <c r="H7792" s="197">
        <v>0.95</v>
      </c>
      <c r="I7792" s="7" t="s">
        <v>16815</v>
      </c>
      <c r="L7792" s="198" t="s">
        <v>65</v>
      </c>
      <c r="M7792" s="194"/>
      <c r="N7792" s="194"/>
    </row>
    <row r="7793">
      <c r="A7793" s="193" t="s">
        <v>27869</v>
      </c>
      <c r="B7793" s="7" t="s">
        <v>175</v>
      </c>
      <c r="C7793" s="7" t="s">
        <v>17264</v>
      </c>
      <c r="D7793" s="194">
        <v>2023.0</v>
      </c>
      <c r="E7793" s="193"/>
      <c r="F7793" s="195" t="s">
        <v>27870</v>
      </c>
      <c r="G7793" s="196">
        <v>1.13625E7</v>
      </c>
      <c r="H7793" s="197">
        <v>1.01</v>
      </c>
      <c r="I7793" s="7" t="s">
        <v>168</v>
      </c>
      <c r="J7793" s="7" t="s">
        <v>175</v>
      </c>
      <c r="K7793" s="7" t="s">
        <v>17264</v>
      </c>
      <c r="L7793" s="198" t="s">
        <v>65</v>
      </c>
      <c r="M7793" s="194"/>
      <c r="N7793" s="194"/>
    </row>
    <row r="7794">
      <c r="A7794" s="193" t="s">
        <v>27871</v>
      </c>
      <c r="B7794" s="7" t="s">
        <v>187</v>
      </c>
      <c r="C7794" s="7" t="s">
        <v>16992</v>
      </c>
      <c r="D7794" s="194">
        <v>2022.0</v>
      </c>
      <c r="E7794" s="193"/>
      <c r="F7794" s="195" t="s">
        <v>27872</v>
      </c>
      <c r="G7794" s="196">
        <v>1.1337491E7</v>
      </c>
      <c r="H7794" s="197">
        <v>0.4</v>
      </c>
      <c r="I7794" s="7" t="s">
        <v>16815</v>
      </c>
      <c r="J7794" s="7" t="s">
        <v>187</v>
      </c>
      <c r="K7794" s="7" t="s">
        <v>16992</v>
      </c>
      <c r="L7794" s="198" t="s">
        <v>65</v>
      </c>
      <c r="M7794" s="194"/>
      <c r="N7794" s="194"/>
    </row>
    <row r="7795">
      <c r="A7795" s="193" t="s">
        <v>27873</v>
      </c>
      <c r="B7795" s="7" t="s">
        <v>169</v>
      </c>
      <c r="C7795" s="7" t="s">
        <v>16899</v>
      </c>
      <c r="D7795" s="199"/>
      <c r="E7795" s="193"/>
      <c r="F7795" s="195" t="s">
        <v>27874</v>
      </c>
      <c r="G7795" s="196">
        <v>1.1327058E7</v>
      </c>
      <c r="H7795" s="197">
        <v>1.24</v>
      </c>
      <c r="I7795" s="7" t="s">
        <v>16815</v>
      </c>
      <c r="J7795" s="7" t="s">
        <v>169</v>
      </c>
      <c r="K7795" s="7" t="s">
        <v>16899</v>
      </c>
      <c r="L7795" s="198" t="s">
        <v>65</v>
      </c>
      <c r="M7795" s="199"/>
      <c r="N7795" s="199"/>
    </row>
    <row r="7796">
      <c r="A7796" s="193" t="s">
        <v>27875</v>
      </c>
      <c r="B7796" s="7" t="s">
        <v>169</v>
      </c>
      <c r="C7796" s="7" t="s">
        <v>17827</v>
      </c>
      <c r="D7796" s="199"/>
      <c r="E7796" s="193"/>
      <c r="F7796" s="195" t="s">
        <v>27876</v>
      </c>
      <c r="G7796" s="196">
        <v>1.1283179E7</v>
      </c>
      <c r="H7796" s="197">
        <v>8.1874</v>
      </c>
      <c r="I7796" s="7" t="s">
        <v>16815</v>
      </c>
      <c r="J7796" s="7" t="s">
        <v>169</v>
      </c>
      <c r="K7796" s="7" t="s">
        <v>17827</v>
      </c>
      <c r="L7796" s="198" t="s">
        <v>65</v>
      </c>
      <c r="M7796" s="199"/>
      <c r="N7796" s="199"/>
    </row>
    <row r="7797">
      <c r="A7797" s="193" t="s">
        <v>27877</v>
      </c>
      <c r="B7797" s="7" t="s">
        <v>187</v>
      </c>
      <c r="C7797" s="7" t="s">
        <v>16846</v>
      </c>
      <c r="D7797" s="194">
        <v>2018.0</v>
      </c>
      <c r="E7797" s="193"/>
      <c r="F7797" s="195" t="s">
        <v>27878</v>
      </c>
      <c r="G7797" s="196">
        <v>1.1274854E7</v>
      </c>
      <c r="H7797" s="197">
        <v>0.905</v>
      </c>
      <c r="I7797" s="7" t="s">
        <v>16815</v>
      </c>
      <c r="J7797" s="7" t="s">
        <v>187</v>
      </c>
      <c r="K7797" s="7" t="s">
        <v>16846</v>
      </c>
      <c r="L7797" s="198" t="s">
        <v>65</v>
      </c>
      <c r="M7797" s="194"/>
      <c r="N7797" s="194"/>
    </row>
    <row r="7798">
      <c r="A7798" s="193" t="s">
        <v>27879</v>
      </c>
      <c r="B7798" s="7" t="s">
        <v>16582</v>
      </c>
      <c r="C7798" s="7" t="s">
        <v>16930</v>
      </c>
      <c r="D7798" s="194">
        <v>2021.0</v>
      </c>
      <c r="E7798" s="193"/>
      <c r="F7798" s="195" t="s">
        <v>27880</v>
      </c>
      <c r="G7798" s="196">
        <v>1.1240748E7</v>
      </c>
      <c r="H7798" s="197">
        <v>0.8439</v>
      </c>
      <c r="I7798" s="7" t="s">
        <v>16815</v>
      </c>
      <c r="J7798" s="7" t="s">
        <v>16582</v>
      </c>
      <c r="K7798" s="7" t="s">
        <v>16930</v>
      </c>
      <c r="L7798" s="198" t="s">
        <v>65</v>
      </c>
      <c r="M7798" s="194"/>
      <c r="N7798" s="194"/>
    </row>
    <row r="7799">
      <c r="A7799" s="193" t="s">
        <v>27881</v>
      </c>
      <c r="B7799" s="7" t="s">
        <v>175</v>
      </c>
      <c r="C7799" s="7" t="s">
        <v>19166</v>
      </c>
      <c r="D7799" s="194">
        <v>1997.0</v>
      </c>
      <c r="E7799" s="193"/>
      <c r="F7799" s="195" t="s">
        <v>27882</v>
      </c>
      <c r="G7799" s="196">
        <v>1.1194E7</v>
      </c>
      <c r="H7799" s="197">
        <v>1.45</v>
      </c>
      <c r="I7799" s="7" t="s">
        <v>16908</v>
      </c>
      <c r="J7799" s="7" t="s">
        <v>175</v>
      </c>
      <c r="K7799" s="7" t="s">
        <v>19166</v>
      </c>
      <c r="L7799" s="198" t="s">
        <v>65</v>
      </c>
      <c r="M7799" s="194"/>
      <c r="N7799" s="194"/>
    </row>
    <row r="7800">
      <c r="A7800" s="193" t="s">
        <v>27883</v>
      </c>
      <c r="B7800" s="7" t="s">
        <v>187</v>
      </c>
      <c r="C7800" s="7" t="s">
        <v>16846</v>
      </c>
      <c r="D7800" s="199"/>
      <c r="E7800" s="193"/>
      <c r="F7800" s="195" t="s">
        <v>27884</v>
      </c>
      <c r="G7800" s="196">
        <v>1.1151704E7</v>
      </c>
      <c r="H7800" s="197">
        <v>1.05</v>
      </c>
      <c r="I7800" s="7" t="s">
        <v>16815</v>
      </c>
      <c r="J7800" s="7" t="s">
        <v>187</v>
      </c>
      <c r="K7800" s="7" t="s">
        <v>16846</v>
      </c>
      <c r="L7800" s="198" t="s">
        <v>65</v>
      </c>
      <c r="M7800" s="199"/>
      <c r="N7800" s="199"/>
    </row>
    <row r="7801">
      <c r="A7801" s="193" t="s">
        <v>27885</v>
      </c>
      <c r="B7801" s="7" t="s">
        <v>17629</v>
      </c>
      <c r="C7801" s="7" t="s">
        <v>16899</v>
      </c>
      <c r="D7801" s="194">
        <v>2016.0</v>
      </c>
      <c r="E7801" s="193"/>
      <c r="F7801" s="195" t="s">
        <v>27886</v>
      </c>
      <c r="G7801" s="196">
        <v>1.1136613E7</v>
      </c>
      <c r="H7801" s="197">
        <v>0.86</v>
      </c>
      <c r="I7801" s="7" t="s">
        <v>16815</v>
      </c>
      <c r="J7801" s="7" t="s">
        <v>17629</v>
      </c>
      <c r="K7801" s="7" t="s">
        <v>16899</v>
      </c>
      <c r="L7801" s="198" t="s">
        <v>65</v>
      </c>
      <c r="M7801" s="194"/>
      <c r="N7801" s="194"/>
    </row>
    <row r="7802">
      <c r="A7802" s="193" t="s">
        <v>27887</v>
      </c>
      <c r="B7802" s="7" t="s">
        <v>187</v>
      </c>
      <c r="C7802" s="7" t="s">
        <v>16992</v>
      </c>
      <c r="D7802" s="194">
        <v>2021.0</v>
      </c>
      <c r="E7802" s="193"/>
      <c r="F7802" s="195" t="s">
        <v>27888</v>
      </c>
      <c r="G7802" s="196">
        <v>1.1126723E7</v>
      </c>
      <c r="H7802" s="197">
        <v>3.57</v>
      </c>
      <c r="I7802" s="7" t="s">
        <v>16815</v>
      </c>
      <c r="J7802" s="7" t="s">
        <v>187</v>
      </c>
      <c r="K7802" s="7" t="s">
        <v>16992</v>
      </c>
      <c r="L7802" s="198" t="s">
        <v>65</v>
      </c>
      <c r="M7802" s="194"/>
      <c r="N7802" s="194"/>
    </row>
    <row r="7803">
      <c r="A7803" s="193" t="s">
        <v>27889</v>
      </c>
      <c r="B7803" s="7" t="s">
        <v>16838</v>
      </c>
      <c r="C7803" s="7" t="s">
        <v>18219</v>
      </c>
      <c r="D7803" s="194">
        <v>2021.0</v>
      </c>
      <c r="E7803" s="193"/>
      <c r="F7803" s="195" t="s">
        <v>27890</v>
      </c>
      <c r="G7803" s="196">
        <v>1.1119917E7</v>
      </c>
      <c r="H7803" s="197">
        <v>0.13</v>
      </c>
      <c r="I7803" s="7" t="s">
        <v>16815</v>
      </c>
      <c r="J7803" s="7" t="s">
        <v>16838</v>
      </c>
      <c r="K7803" s="7" t="s">
        <v>18219</v>
      </c>
      <c r="L7803" s="198" t="s">
        <v>65</v>
      </c>
      <c r="M7803" s="194"/>
      <c r="N7803" s="194"/>
    </row>
    <row r="7804">
      <c r="A7804" s="193" t="s">
        <v>27891</v>
      </c>
      <c r="B7804" s="7" t="s">
        <v>16582</v>
      </c>
      <c r="C7804" s="7" t="s">
        <v>16930</v>
      </c>
      <c r="D7804" s="199"/>
      <c r="E7804" s="193"/>
      <c r="F7804" s="195" t="s">
        <v>27892</v>
      </c>
      <c r="G7804" s="196">
        <v>1.1090905E7</v>
      </c>
      <c r="H7804" s="197">
        <v>1.11</v>
      </c>
      <c r="I7804" s="7" t="s">
        <v>16815</v>
      </c>
      <c r="J7804" s="7" t="s">
        <v>16582</v>
      </c>
      <c r="K7804" s="7" t="s">
        <v>16930</v>
      </c>
      <c r="L7804" s="198" t="s">
        <v>65</v>
      </c>
      <c r="M7804" s="199"/>
      <c r="N7804" s="199"/>
    </row>
    <row r="7805">
      <c r="A7805" s="193" t="s">
        <v>27893</v>
      </c>
      <c r="B7805" s="7" t="s">
        <v>16926</v>
      </c>
      <c r="C7805" s="7" t="s">
        <v>16927</v>
      </c>
      <c r="D7805" s="199"/>
      <c r="E7805" s="193"/>
      <c r="F7805" s="195" t="s">
        <v>27894</v>
      </c>
      <c r="G7805" s="196">
        <v>1.1081191E7</v>
      </c>
      <c r="H7805" s="197">
        <v>0.479</v>
      </c>
      <c r="I7805" s="7" t="s">
        <v>16815</v>
      </c>
      <c r="J7805" s="7" t="s">
        <v>16926</v>
      </c>
      <c r="K7805" s="7" t="s">
        <v>16927</v>
      </c>
      <c r="L7805" s="198" t="s">
        <v>65</v>
      </c>
      <c r="M7805" s="199"/>
      <c r="N7805" s="199"/>
    </row>
    <row r="7806">
      <c r="A7806" s="193" t="s">
        <v>27895</v>
      </c>
      <c r="B7806" s="7" t="s">
        <v>17112</v>
      </c>
      <c r="C7806" s="7" t="s">
        <v>17787</v>
      </c>
      <c r="D7806" s="194">
        <v>2020.0</v>
      </c>
      <c r="E7806" s="193"/>
      <c r="F7806" s="195" t="s">
        <v>27896</v>
      </c>
      <c r="G7806" s="196">
        <v>1.1077525E7</v>
      </c>
      <c r="H7806" s="197">
        <v>1.1995</v>
      </c>
      <c r="I7806" s="7" t="s">
        <v>16815</v>
      </c>
      <c r="J7806" s="7" t="s">
        <v>17112</v>
      </c>
      <c r="K7806" s="7" t="s">
        <v>17787</v>
      </c>
      <c r="L7806" s="198" t="s">
        <v>65</v>
      </c>
      <c r="M7806" s="194"/>
      <c r="N7806" s="194"/>
    </row>
    <row r="7807">
      <c r="A7807" s="193" t="s">
        <v>27897</v>
      </c>
      <c r="B7807" s="7" t="s">
        <v>16838</v>
      </c>
      <c r="C7807" s="7" t="s">
        <v>17019</v>
      </c>
      <c r="D7807" s="194">
        <v>1999.0</v>
      </c>
      <c r="E7807" s="193"/>
      <c r="F7807" s="195" t="s">
        <v>27898</v>
      </c>
      <c r="G7807" s="196">
        <v>1.1049714E7</v>
      </c>
      <c r="H7807" s="197">
        <v>1.2269</v>
      </c>
      <c r="I7807" s="7" t="s">
        <v>16815</v>
      </c>
      <c r="J7807" s="7" t="s">
        <v>16838</v>
      </c>
      <c r="K7807" s="7" t="s">
        <v>17019</v>
      </c>
      <c r="L7807" s="198" t="s">
        <v>65</v>
      </c>
      <c r="M7807" s="194"/>
      <c r="N7807" s="194"/>
    </row>
    <row r="7808">
      <c r="A7808" s="193" t="s">
        <v>27897</v>
      </c>
      <c r="B7808" s="202" t="s">
        <v>17019</v>
      </c>
      <c r="C7808" s="193" t="s">
        <v>16838</v>
      </c>
      <c r="D7808" s="193">
        <v>1999.0</v>
      </c>
      <c r="E7808" s="193"/>
      <c r="F7808" s="203" t="s">
        <v>27898</v>
      </c>
      <c r="G7808" s="200">
        <v>1.1049714E7</v>
      </c>
      <c r="H7808" s="205">
        <v>4.94</v>
      </c>
      <c r="J7808" s="202" t="s">
        <v>17019</v>
      </c>
      <c r="K7808" s="193" t="s">
        <v>16838</v>
      </c>
      <c r="L7808" s="193" t="s">
        <v>17471</v>
      </c>
      <c r="M7808" s="193"/>
      <c r="N7808" s="193"/>
    </row>
    <row r="7809">
      <c r="A7809" s="193" t="s">
        <v>27899</v>
      </c>
      <c r="B7809" s="7" t="s">
        <v>187</v>
      </c>
      <c r="C7809" s="7" t="s">
        <v>16846</v>
      </c>
      <c r="D7809" s="199"/>
      <c r="E7809" s="193"/>
      <c r="F7809" s="195" t="s">
        <v>27900</v>
      </c>
      <c r="G7809" s="196">
        <v>1.103472E7</v>
      </c>
      <c r="H7809" s="197">
        <v>7.2</v>
      </c>
      <c r="I7809" s="7" t="s">
        <v>16815</v>
      </c>
      <c r="J7809" s="7" t="s">
        <v>187</v>
      </c>
      <c r="K7809" s="7" t="s">
        <v>16846</v>
      </c>
      <c r="L7809" s="198" t="s">
        <v>65</v>
      </c>
      <c r="M7809" s="199"/>
      <c r="N7809" s="199"/>
    </row>
    <row r="7810">
      <c r="A7810" s="193" t="s">
        <v>27901</v>
      </c>
      <c r="B7810" s="7" t="s">
        <v>16582</v>
      </c>
      <c r="C7810" s="7" t="s">
        <v>16817</v>
      </c>
      <c r="D7810" s="199"/>
      <c r="E7810" s="193"/>
      <c r="F7810" s="195" t="s">
        <v>27902</v>
      </c>
      <c r="G7810" s="196">
        <v>1.1030384E7</v>
      </c>
      <c r="H7810" s="197">
        <v>10.46</v>
      </c>
      <c r="I7810" s="7" t="s">
        <v>16815</v>
      </c>
      <c r="J7810" s="7" t="s">
        <v>16582</v>
      </c>
      <c r="K7810" s="7" t="s">
        <v>16817</v>
      </c>
      <c r="L7810" s="198" t="s">
        <v>65</v>
      </c>
      <c r="M7810" s="199"/>
      <c r="N7810" s="199"/>
    </row>
    <row r="7811">
      <c r="A7811" s="193" t="s">
        <v>27903</v>
      </c>
      <c r="B7811" s="7" t="s">
        <v>16582</v>
      </c>
      <c r="C7811" s="7" t="s">
        <v>16817</v>
      </c>
      <c r="D7811" s="194">
        <v>2019.0</v>
      </c>
      <c r="E7811" s="193"/>
      <c r="F7811" s="195" t="s">
        <v>27904</v>
      </c>
      <c r="G7811" s="196">
        <v>1.0978511E7</v>
      </c>
      <c r="H7811" s="197">
        <v>0.0735</v>
      </c>
      <c r="I7811" s="7" t="s">
        <v>16815</v>
      </c>
      <c r="J7811" s="7" t="s">
        <v>16582</v>
      </c>
      <c r="K7811" s="7" t="s">
        <v>16817</v>
      </c>
      <c r="L7811" s="198" t="s">
        <v>65</v>
      </c>
      <c r="M7811" s="194"/>
      <c r="N7811" s="194"/>
    </row>
    <row r="7812">
      <c r="A7812" s="193" t="s">
        <v>27905</v>
      </c>
      <c r="B7812" s="7" t="s">
        <v>175</v>
      </c>
      <c r="C7812" s="7" t="s">
        <v>17321</v>
      </c>
      <c r="D7812" s="194">
        <v>2022.0</v>
      </c>
      <c r="E7812" s="193"/>
      <c r="F7812" s="195" t="s">
        <v>27906</v>
      </c>
      <c r="G7812" s="196">
        <v>1.0956E7</v>
      </c>
      <c r="H7812" s="197">
        <v>0.88</v>
      </c>
      <c r="I7812" s="7" t="s">
        <v>18432</v>
      </c>
      <c r="J7812" s="7" t="s">
        <v>175</v>
      </c>
      <c r="K7812" s="7" t="s">
        <v>17321</v>
      </c>
      <c r="L7812" s="198" t="s">
        <v>65</v>
      </c>
      <c r="M7812" s="194"/>
      <c r="N7812" s="194"/>
    </row>
    <row r="7813">
      <c r="A7813" s="193" t="s">
        <v>27907</v>
      </c>
      <c r="B7813" s="7" t="s">
        <v>187</v>
      </c>
      <c r="C7813" s="7" t="s">
        <v>16846</v>
      </c>
      <c r="D7813" s="194">
        <v>2022.0</v>
      </c>
      <c r="E7813" s="193"/>
      <c r="F7813" s="195" t="s">
        <v>27908</v>
      </c>
      <c r="G7813" s="196">
        <v>1.0951786E7</v>
      </c>
      <c r="H7813" s="197">
        <v>0.4199</v>
      </c>
      <c r="I7813" s="7" t="s">
        <v>16815</v>
      </c>
      <c r="J7813" s="7" t="s">
        <v>187</v>
      </c>
      <c r="K7813" s="7" t="s">
        <v>16846</v>
      </c>
      <c r="L7813" s="198" t="s">
        <v>65</v>
      </c>
      <c r="M7813" s="194"/>
      <c r="N7813" s="194"/>
    </row>
    <row r="7814">
      <c r="A7814" s="193" t="s">
        <v>27907</v>
      </c>
      <c r="B7814" s="202" t="s">
        <v>16846</v>
      </c>
      <c r="C7814" s="193" t="s">
        <v>187</v>
      </c>
      <c r="D7814" s="193">
        <v>2022.0</v>
      </c>
      <c r="E7814" s="193"/>
      <c r="F7814" s="203" t="s">
        <v>27908</v>
      </c>
      <c r="G7814" s="200">
        <v>1.0951786E7</v>
      </c>
      <c r="H7814" s="205">
        <v>1.2269</v>
      </c>
      <c r="J7814" s="202" t="s">
        <v>16846</v>
      </c>
      <c r="K7814" s="193" t="s">
        <v>187</v>
      </c>
      <c r="L7814" s="193" t="s">
        <v>17471</v>
      </c>
      <c r="M7814" s="193"/>
      <c r="N7814" s="193"/>
    </row>
    <row r="7815">
      <c r="A7815" s="193" t="s">
        <v>27909</v>
      </c>
      <c r="B7815" s="7" t="s">
        <v>175</v>
      </c>
      <c r="C7815" s="7" t="s">
        <v>16854</v>
      </c>
      <c r="D7815" s="199"/>
      <c r="E7815" s="193"/>
      <c r="F7815" s="195" t="s">
        <v>27910</v>
      </c>
      <c r="G7815" s="196">
        <v>1.0930051E7</v>
      </c>
      <c r="H7815" s="197">
        <v>0.7463</v>
      </c>
      <c r="I7815" s="7" t="s">
        <v>16908</v>
      </c>
      <c r="J7815" s="7" t="s">
        <v>175</v>
      </c>
      <c r="K7815" s="7" t="s">
        <v>16854</v>
      </c>
      <c r="L7815" s="198" t="s">
        <v>65</v>
      </c>
      <c r="M7815" s="199"/>
      <c r="N7815" s="199"/>
    </row>
    <row r="7816">
      <c r="A7816" s="193" t="s">
        <v>27911</v>
      </c>
      <c r="B7816" s="7" t="s">
        <v>187</v>
      </c>
      <c r="C7816" s="7" t="s">
        <v>16992</v>
      </c>
      <c r="D7816" s="199"/>
      <c r="E7816" s="193"/>
      <c r="F7816" s="195" t="s">
        <v>27912</v>
      </c>
      <c r="G7816" s="196">
        <v>1.0872487E7</v>
      </c>
      <c r="H7816" s="197">
        <v>0.3556</v>
      </c>
      <c r="I7816" s="7" t="s">
        <v>16815</v>
      </c>
      <c r="J7816" s="7" t="s">
        <v>187</v>
      </c>
      <c r="K7816" s="7" t="s">
        <v>16992</v>
      </c>
      <c r="L7816" s="198" t="s">
        <v>65</v>
      </c>
      <c r="M7816" s="199"/>
      <c r="N7816" s="199"/>
    </row>
    <row r="7817">
      <c r="A7817" s="193" t="s">
        <v>27913</v>
      </c>
      <c r="D7817" s="194">
        <v>2023.0</v>
      </c>
      <c r="E7817" s="193"/>
      <c r="F7817" s="195" t="s">
        <v>27914</v>
      </c>
      <c r="G7817" s="196">
        <v>1.082592E7</v>
      </c>
      <c r="H7817" s="197">
        <v>1.12</v>
      </c>
      <c r="I7817" s="7" t="s">
        <v>16815</v>
      </c>
      <c r="L7817" s="198" t="s">
        <v>65</v>
      </c>
      <c r="M7817" s="194"/>
      <c r="N7817" s="194"/>
    </row>
    <row r="7818">
      <c r="A7818" s="193" t="s">
        <v>27915</v>
      </c>
      <c r="B7818" s="7" t="s">
        <v>16582</v>
      </c>
      <c r="C7818" s="7" t="s">
        <v>16930</v>
      </c>
      <c r="D7818" s="199"/>
      <c r="E7818" s="193"/>
      <c r="F7818" s="195" t="s">
        <v>27916</v>
      </c>
      <c r="G7818" s="196">
        <v>1.0796653E7</v>
      </c>
      <c r="H7818" s="197">
        <v>0.032</v>
      </c>
      <c r="I7818" s="7" t="s">
        <v>16815</v>
      </c>
      <c r="J7818" s="7" t="s">
        <v>16582</v>
      </c>
      <c r="K7818" s="7" t="s">
        <v>16930</v>
      </c>
      <c r="L7818" s="198" t="s">
        <v>65</v>
      </c>
      <c r="M7818" s="199"/>
      <c r="N7818" s="199"/>
    </row>
    <row r="7819">
      <c r="A7819" s="193" t="s">
        <v>27917</v>
      </c>
      <c r="B7819" s="7" t="s">
        <v>187</v>
      </c>
      <c r="C7819" s="7" t="s">
        <v>16846</v>
      </c>
      <c r="D7819" s="199"/>
      <c r="E7819" s="193"/>
      <c r="F7819" s="195" t="s">
        <v>27918</v>
      </c>
      <c r="G7819" s="196">
        <v>1.0744077E7</v>
      </c>
      <c r="H7819" s="197">
        <v>2.01</v>
      </c>
      <c r="I7819" s="7" t="s">
        <v>16815</v>
      </c>
      <c r="J7819" s="7" t="s">
        <v>187</v>
      </c>
      <c r="K7819" s="7" t="s">
        <v>16846</v>
      </c>
      <c r="L7819" s="198" t="s">
        <v>65</v>
      </c>
      <c r="M7819" s="199"/>
      <c r="N7819" s="199"/>
    </row>
    <row r="7820">
      <c r="A7820" s="193" t="s">
        <v>27919</v>
      </c>
      <c r="B7820" s="7" t="s">
        <v>187</v>
      </c>
      <c r="C7820" s="7" t="s">
        <v>16969</v>
      </c>
      <c r="D7820" s="194">
        <v>2017.0</v>
      </c>
      <c r="E7820" s="193"/>
      <c r="F7820" s="195" t="s">
        <v>27920</v>
      </c>
      <c r="G7820" s="196">
        <v>1.072082E7</v>
      </c>
      <c r="H7820" s="197">
        <v>1.9399</v>
      </c>
      <c r="I7820" s="7" t="s">
        <v>16815</v>
      </c>
      <c r="J7820" s="7" t="s">
        <v>187</v>
      </c>
      <c r="K7820" s="7" t="s">
        <v>16969</v>
      </c>
      <c r="L7820" s="198" t="s">
        <v>65</v>
      </c>
      <c r="M7820" s="194"/>
      <c r="N7820" s="194"/>
    </row>
    <row r="7821">
      <c r="A7821" s="193" t="s">
        <v>27921</v>
      </c>
      <c r="B7821" s="7" t="s">
        <v>187</v>
      </c>
      <c r="C7821" s="7" t="s">
        <v>17509</v>
      </c>
      <c r="D7821" s="194">
        <v>2014.0</v>
      </c>
      <c r="E7821" s="193"/>
      <c r="F7821" s="195" t="s">
        <v>27922</v>
      </c>
      <c r="G7821" s="196">
        <v>1.0701608E7</v>
      </c>
      <c r="H7821" s="197">
        <v>0.95</v>
      </c>
      <c r="I7821" s="7" t="s">
        <v>16815</v>
      </c>
      <c r="J7821" s="7" t="s">
        <v>187</v>
      </c>
      <c r="K7821" s="7" t="s">
        <v>17509</v>
      </c>
      <c r="L7821" s="198" t="s">
        <v>65</v>
      </c>
      <c r="M7821" s="194"/>
      <c r="N7821" s="194"/>
    </row>
    <row r="7822">
      <c r="A7822" s="193" t="s">
        <v>27923</v>
      </c>
      <c r="B7822" s="7" t="s">
        <v>16582</v>
      </c>
      <c r="C7822" s="7" t="s">
        <v>16817</v>
      </c>
      <c r="D7822" s="199"/>
      <c r="E7822" s="193"/>
      <c r="F7822" s="195" t="s">
        <v>27924</v>
      </c>
      <c r="G7822" s="196">
        <v>1.0701247E7</v>
      </c>
      <c r="H7822" s="197">
        <v>0.6683</v>
      </c>
      <c r="I7822" s="7" t="s">
        <v>16815</v>
      </c>
      <c r="J7822" s="7" t="s">
        <v>16582</v>
      </c>
      <c r="K7822" s="7" t="s">
        <v>16817</v>
      </c>
      <c r="L7822" s="198" t="s">
        <v>65</v>
      </c>
      <c r="M7822" s="199"/>
      <c r="N7822" s="199"/>
    </row>
    <row r="7823">
      <c r="A7823" s="193" t="s">
        <v>27925</v>
      </c>
      <c r="B7823" s="7" t="s">
        <v>17112</v>
      </c>
      <c r="C7823" s="7" t="s">
        <v>17111</v>
      </c>
      <c r="D7823" s="199"/>
      <c r="E7823" s="193"/>
      <c r="F7823" s="195" t="s">
        <v>27926</v>
      </c>
      <c r="G7823" s="196">
        <v>1.062636E7</v>
      </c>
      <c r="H7823" s="197">
        <v>4.0596</v>
      </c>
      <c r="I7823" s="7" t="s">
        <v>16815</v>
      </c>
      <c r="J7823" s="7" t="s">
        <v>17112</v>
      </c>
      <c r="K7823" s="7" t="s">
        <v>17111</v>
      </c>
      <c r="L7823" s="198" t="s">
        <v>65</v>
      </c>
      <c r="M7823" s="199"/>
      <c r="N7823" s="199"/>
    </row>
    <row r="7824">
      <c r="A7824" s="193" t="s">
        <v>27927</v>
      </c>
      <c r="B7824" s="7" t="s">
        <v>187</v>
      </c>
      <c r="C7824" s="7" t="s">
        <v>16846</v>
      </c>
      <c r="D7824" s="194">
        <v>2021.0</v>
      </c>
      <c r="E7824" s="193"/>
      <c r="F7824" s="195" t="s">
        <v>27928</v>
      </c>
      <c r="G7824" s="196">
        <v>1.0585453E7</v>
      </c>
      <c r="H7824" s="197">
        <v>0.57</v>
      </c>
      <c r="I7824" s="7" t="s">
        <v>16815</v>
      </c>
      <c r="J7824" s="7" t="s">
        <v>187</v>
      </c>
      <c r="K7824" s="7" t="s">
        <v>16846</v>
      </c>
      <c r="L7824" s="198" t="s">
        <v>65</v>
      </c>
      <c r="M7824" s="194"/>
      <c r="N7824" s="194"/>
    </row>
    <row r="7825">
      <c r="A7825" s="193" t="s">
        <v>27929</v>
      </c>
      <c r="B7825" s="7" t="s">
        <v>16838</v>
      </c>
      <c r="C7825" s="7" t="s">
        <v>17112</v>
      </c>
      <c r="D7825" s="199"/>
      <c r="E7825" s="193"/>
      <c r="F7825" s="195" t="s">
        <v>27930</v>
      </c>
      <c r="G7825" s="196">
        <v>1.0529719E7</v>
      </c>
      <c r="H7825" s="197">
        <v>3.51</v>
      </c>
      <c r="I7825" s="7" t="s">
        <v>16872</v>
      </c>
      <c r="J7825" s="7" t="s">
        <v>16838</v>
      </c>
      <c r="K7825" s="7" t="s">
        <v>17112</v>
      </c>
      <c r="L7825" s="198" t="s">
        <v>65</v>
      </c>
      <c r="M7825" s="199"/>
      <c r="N7825" s="199"/>
    </row>
    <row r="7826">
      <c r="A7826" s="193" t="s">
        <v>27929</v>
      </c>
      <c r="B7826" s="202" t="s">
        <v>17112</v>
      </c>
      <c r="C7826" s="193" t="s">
        <v>16838</v>
      </c>
      <c r="D7826" s="206"/>
      <c r="E7826" s="193"/>
      <c r="F7826" s="203" t="s">
        <v>27930</v>
      </c>
      <c r="G7826" s="200">
        <v>1.0529719E7</v>
      </c>
      <c r="H7826" s="205">
        <v>0.4199</v>
      </c>
      <c r="J7826" s="202" t="s">
        <v>17112</v>
      </c>
      <c r="K7826" s="193" t="s">
        <v>16838</v>
      </c>
      <c r="L7826" s="193" t="s">
        <v>17471</v>
      </c>
      <c r="M7826" s="206"/>
      <c r="N7826" s="206"/>
    </row>
    <row r="7827">
      <c r="A7827" s="193" t="s">
        <v>27931</v>
      </c>
      <c r="B7827" s="7" t="s">
        <v>158</v>
      </c>
      <c r="C7827" s="7" t="s">
        <v>16864</v>
      </c>
      <c r="D7827" s="194">
        <v>2023.0</v>
      </c>
      <c r="E7827" s="193"/>
      <c r="F7827" s="195" t="s">
        <v>27932</v>
      </c>
      <c r="G7827" s="196">
        <v>1.05186E7</v>
      </c>
      <c r="H7827" s="197">
        <v>0.3551</v>
      </c>
      <c r="I7827" s="7" t="s">
        <v>16953</v>
      </c>
      <c r="J7827" s="7" t="s">
        <v>158</v>
      </c>
      <c r="K7827" s="7" t="s">
        <v>16864</v>
      </c>
      <c r="L7827" s="198" t="s">
        <v>65</v>
      </c>
      <c r="M7827" s="194"/>
      <c r="N7827" s="194"/>
    </row>
    <row r="7828">
      <c r="A7828" s="193" t="s">
        <v>27931</v>
      </c>
      <c r="B7828" s="202" t="s">
        <v>16864</v>
      </c>
      <c r="C7828" s="193" t="s">
        <v>158</v>
      </c>
      <c r="D7828" s="193">
        <v>2023.0</v>
      </c>
      <c r="E7828" s="193"/>
      <c r="F7828" s="203" t="s">
        <v>27932</v>
      </c>
      <c r="G7828" s="200">
        <v>1.05186E7</v>
      </c>
      <c r="H7828" s="205">
        <v>3.51</v>
      </c>
      <c r="J7828" s="202" t="s">
        <v>16864</v>
      </c>
      <c r="K7828" s="193" t="s">
        <v>158</v>
      </c>
      <c r="L7828" s="193" t="s">
        <v>17471</v>
      </c>
      <c r="M7828" s="193"/>
      <c r="N7828" s="193"/>
    </row>
    <row r="7829">
      <c r="A7829" s="193" t="s">
        <v>27933</v>
      </c>
      <c r="B7829" s="7" t="s">
        <v>16582</v>
      </c>
      <c r="C7829" s="7" t="s">
        <v>17435</v>
      </c>
      <c r="D7829" s="199"/>
      <c r="E7829" s="193"/>
      <c r="F7829" s="195" t="s">
        <v>27934</v>
      </c>
      <c r="G7829" s="196">
        <v>1.0512183E7</v>
      </c>
      <c r="H7829" s="197">
        <v>1.65</v>
      </c>
      <c r="I7829" s="7" t="s">
        <v>16815</v>
      </c>
      <c r="J7829" s="7" t="s">
        <v>16582</v>
      </c>
      <c r="K7829" s="7" t="s">
        <v>17435</v>
      </c>
      <c r="L7829" s="198" t="s">
        <v>65</v>
      </c>
      <c r="M7829" s="199"/>
      <c r="N7829" s="199"/>
    </row>
    <row r="7830">
      <c r="A7830" s="193" t="s">
        <v>27935</v>
      </c>
      <c r="B7830" s="7" t="s">
        <v>175</v>
      </c>
      <c r="C7830" s="7" t="s">
        <v>17057</v>
      </c>
      <c r="D7830" s="199"/>
      <c r="E7830" s="193"/>
      <c r="F7830" s="195" t="s">
        <v>27936</v>
      </c>
      <c r="G7830" s="196">
        <v>1.0511286E7</v>
      </c>
      <c r="H7830" s="197">
        <v>0.257</v>
      </c>
      <c r="I7830" s="7" t="s">
        <v>16908</v>
      </c>
      <c r="J7830" s="7" t="s">
        <v>175</v>
      </c>
      <c r="K7830" s="7" t="s">
        <v>17057</v>
      </c>
      <c r="L7830" s="198" t="s">
        <v>65</v>
      </c>
      <c r="M7830" s="199"/>
      <c r="N7830" s="199"/>
    </row>
    <row r="7831">
      <c r="A7831" s="193" t="s">
        <v>27937</v>
      </c>
      <c r="B7831" s="7" t="s">
        <v>169</v>
      </c>
      <c r="C7831" s="7" t="s">
        <v>17233</v>
      </c>
      <c r="D7831" s="194">
        <v>2022.0</v>
      </c>
      <c r="E7831" s="193"/>
      <c r="F7831" s="195" t="s">
        <v>27938</v>
      </c>
      <c r="G7831" s="196">
        <v>1.0334059E7</v>
      </c>
      <c r="H7831" s="197">
        <v>0.6556</v>
      </c>
      <c r="I7831" s="7" t="s">
        <v>16815</v>
      </c>
      <c r="J7831" s="7" t="s">
        <v>169</v>
      </c>
      <c r="K7831" s="7" t="s">
        <v>17233</v>
      </c>
      <c r="L7831" s="198" t="s">
        <v>65</v>
      </c>
      <c r="M7831" s="194"/>
      <c r="N7831" s="194"/>
    </row>
    <row r="7832">
      <c r="A7832" s="193" t="s">
        <v>27939</v>
      </c>
      <c r="B7832" s="7" t="s">
        <v>187</v>
      </c>
      <c r="C7832" s="7" t="s">
        <v>16846</v>
      </c>
      <c r="D7832" s="194">
        <v>2018.0</v>
      </c>
      <c r="E7832" s="193"/>
      <c r="F7832" s="195" t="s">
        <v>27940</v>
      </c>
      <c r="G7832" s="196">
        <v>1.0302422E7</v>
      </c>
      <c r="H7832" s="197">
        <v>0.79</v>
      </c>
      <c r="I7832" s="7" t="s">
        <v>16815</v>
      </c>
      <c r="J7832" s="7" t="s">
        <v>187</v>
      </c>
      <c r="K7832" s="7" t="s">
        <v>16846</v>
      </c>
      <c r="L7832" s="198" t="s">
        <v>65</v>
      </c>
      <c r="M7832" s="194"/>
      <c r="N7832" s="194"/>
    </row>
    <row r="7833">
      <c r="A7833" s="193" t="s">
        <v>27941</v>
      </c>
      <c r="B7833" s="7" t="s">
        <v>187</v>
      </c>
      <c r="C7833" s="7" t="s">
        <v>16846</v>
      </c>
      <c r="D7833" s="194">
        <v>2014.0</v>
      </c>
      <c r="E7833" s="193"/>
      <c r="F7833" s="195" t="s">
        <v>27942</v>
      </c>
      <c r="G7833" s="196">
        <v>1.0298771E7</v>
      </c>
      <c r="H7833" s="197">
        <v>0.14</v>
      </c>
      <c r="I7833" s="7" t="s">
        <v>16815</v>
      </c>
      <c r="J7833" s="7" t="s">
        <v>187</v>
      </c>
      <c r="K7833" s="7" t="s">
        <v>16846</v>
      </c>
      <c r="L7833" s="198" t="s">
        <v>65</v>
      </c>
      <c r="M7833" s="194"/>
      <c r="N7833" s="194"/>
    </row>
    <row r="7834">
      <c r="A7834" s="193" t="s">
        <v>27943</v>
      </c>
      <c r="B7834" s="7" t="s">
        <v>16582</v>
      </c>
      <c r="C7834" s="7" t="s">
        <v>16930</v>
      </c>
      <c r="D7834" s="199"/>
      <c r="E7834" s="193"/>
      <c r="F7834" s="195" t="s">
        <v>27944</v>
      </c>
      <c r="G7834" s="196">
        <v>1.021466E7</v>
      </c>
      <c r="H7834" s="197">
        <v>1.95</v>
      </c>
      <c r="I7834" s="7" t="s">
        <v>16815</v>
      </c>
      <c r="J7834" s="7" t="s">
        <v>16582</v>
      </c>
      <c r="K7834" s="7" t="s">
        <v>16930</v>
      </c>
      <c r="L7834" s="198" t="s">
        <v>65</v>
      </c>
      <c r="M7834" s="199"/>
      <c r="N7834" s="199"/>
    </row>
    <row r="7835">
      <c r="A7835" s="193" t="s">
        <v>27945</v>
      </c>
      <c r="B7835" s="7" t="s">
        <v>187</v>
      </c>
      <c r="C7835" s="7" t="s">
        <v>18529</v>
      </c>
      <c r="D7835" s="199"/>
      <c r="E7835" s="193"/>
      <c r="F7835" s="195" t="s">
        <v>27946</v>
      </c>
      <c r="G7835" s="196">
        <v>1.0130052E7</v>
      </c>
      <c r="H7835" s="197">
        <v>0.2385</v>
      </c>
      <c r="I7835" s="7" t="s">
        <v>16815</v>
      </c>
      <c r="J7835" s="7" t="s">
        <v>187</v>
      </c>
      <c r="K7835" s="7" t="s">
        <v>18529</v>
      </c>
      <c r="L7835" s="198" t="s">
        <v>65</v>
      </c>
      <c r="M7835" s="199"/>
      <c r="N7835" s="199"/>
    </row>
    <row r="7836">
      <c r="A7836" s="193" t="s">
        <v>27947</v>
      </c>
      <c r="B7836" s="7" t="s">
        <v>175</v>
      </c>
      <c r="C7836" s="7" t="s">
        <v>17233</v>
      </c>
      <c r="D7836" s="199"/>
      <c r="E7836" s="193"/>
      <c r="F7836" s="195" t="s">
        <v>27948</v>
      </c>
      <c r="G7836" s="196">
        <v>1.01222E7</v>
      </c>
      <c r="H7836" s="197">
        <v>0.7999</v>
      </c>
      <c r="I7836" s="193" t="s">
        <v>168</v>
      </c>
      <c r="J7836" s="7" t="s">
        <v>175</v>
      </c>
      <c r="K7836" s="7" t="s">
        <v>17233</v>
      </c>
      <c r="L7836" s="198" t="s">
        <v>65</v>
      </c>
      <c r="M7836" s="199"/>
      <c r="N7836" s="199"/>
    </row>
    <row r="7837">
      <c r="A7837" s="193" t="s">
        <v>27949</v>
      </c>
      <c r="B7837" s="7" t="s">
        <v>169</v>
      </c>
      <c r="C7837" s="7" t="s">
        <v>16899</v>
      </c>
      <c r="D7837" s="199"/>
      <c r="E7837" s="193"/>
      <c r="F7837" s="195" t="s">
        <v>27950</v>
      </c>
      <c r="G7837" s="196">
        <v>1.0118839E7</v>
      </c>
      <c r="H7837" s="197">
        <v>2.0199</v>
      </c>
      <c r="I7837" s="7" t="s">
        <v>16815</v>
      </c>
      <c r="J7837" s="7" t="s">
        <v>169</v>
      </c>
      <c r="K7837" s="7" t="s">
        <v>16899</v>
      </c>
      <c r="L7837" s="198" t="s">
        <v>65</v>
      </c>
      <c r="M7837" s="199"/>
      <c r="N7837" s="199"/>
    </row>
    <row r="7838">
      <c r="A7838" s="193" t="s">
        <v>27951</v>
      </c>
      <c r="B7838" s="7" t="s">
        <v>175</v>
      </c>
      <c r="C7838" s="7" t="s">
        <v>16957</v>
      </c>
      <c r="D7838" s="199"/>
      <c r="E7838" s="193"/>
      <c r="F7838" s="195" t="s">
        <v>27952</v>
      </c>
      <c r="G7838" s="196">
        <v>1.0105764E7</v>
      </c>
      <c r="H7838" s="197">
        <v>0.5523</v>
      </c>
      <c r="I7838" s="7" t="s">
        <v>168</v>
      </c>
      <c r="J7838" s="7" t="s">
        <v>175</v>
      </c>
      <c r="K7838" s="7" t="s">
        <v>16957</v>
      </c>
      <c r="L7838" s="198" t="s">
        <v>65</v>
      </c>
      <c r="M7838" s="199"/>
      <c r="N7838" s="199"/>
    </row>
    <row r="7839">
      <c r="A7839" s="193" t="s">
        <v>27953</v>
      </c>
      <c r="B7839" s="7" t="s">
        <v>175</v>
      </c>
      <c r="C7839" s="7" t="s">
        <v>17233</v>
      </c>
      <c r="D7839" s="194">
        <v>2004.0</v>
      </c>
      <c r="E7839" s="193"/>
      <c r="F7839" s="195" t="s">
        <v>27954</v>
      </c>
      <c r="G7839" s="196">
        <v>9935677.0</v>
      </c>
      <c r="H7839" s="197">
        <v>5.86</v>
      </c>
      <c r="I7839" s="7" t="s">
        <v>16844</v>
      </c>
      <c r="J7839" s="7" t="s">
        <v>175</v>
      </c>
      <c r="K7839" s="7" t="s">
        <v>17233</v>
      </c>
      <c r="L7839" s="198" t="s">
        <v>65</v>
      </c>
      <c r="M7839" s="194"/>
      <c r="N7839" s="194"/>
    </row>
    <row r="7840">
      <c r="A7840" s="193" t="s">
        <v>27955</v>
      </c>
      <c r="B7840" s="7" t="s">
        <v>158</v>
      </c>
      <c r="C7840" s="7" t="s">
        <v>17171</v>
      </c>
      <c r="D7840" s="194">
        <v>2009.0</v>
      </c>
      <c r="E7840" s="193"/>
      <c r="F7840" s="195" t="s">
        <v>27956</v>
      </c>
      <c r="G7840" s="196">
        <v>9933466.0</v>
      </c>
      <c r="H7840" s="197">
        <v>0.2451</v>
      </c>
      <c r="I7840" s="7" t="s">
        <v>17316</v>
      </c>
      <c r="J7840" s="7" t="s">
        <v>158</v>
      </c>
      <c r="K7840" s="7" t="s">
        <v>17171</v>
      </c>
      <c r="L7840" s="198" t="s">
        <v>65</v>
      </c>
      <c r="M7840" s="194"/>
      <c r="N7840" s="194"/>
    </row>
    <row r="7841">
      <c r="A7841" s="193" t="s">
        <v>27957</v>
      </c>
      <c r="B7841" s="7" t="s">
        <v>16582</v>
      </c>
      <c r="C7841" s="7" t="s">
        <v>16583</v>
      </c>
      <c r="D7841" s="194">
        <v>2018.0</v>
      </c>
      <c r="E7841" s="193"/>
      <c r="F7841" s="195" t="s">
        <v>27958</v>
      </c>
      <c r="G7841" s="196">
        <v>9892876.0</v>
      </c>
      <c r="H7841" s="197">
        <v>1.14</v>
      </c>
      <c r="I7841" s="7" t="s">
        <v>16815</v>
      </c>
      <c r="J7841" s="7" t="s">
        <v>16582</v>
      </c>
      <c r="K7841" s="7" t="s">
        <v>16583</v>
      </c>
      <c r="L7841" s="198" t="s">
        <v>65</v>
      </c>
      <c r="M7841" s="194"/>
      <c r="N7841" s="194"/>
    </row>
    <row r="7842">
      <c r="A7842" s="193" t="s">
        <v>27959</v>
      </c>
      <c r="B7842" s="7" t="s">
        <v>17112</v>
      </c>
      <c r="C7842" s="7" t="s">
        <v>17218</v>
      </c>
      <c r="D7842" s="194">
        <v>2021.0</v>
      </c>
      <c r="E7842" s="193"/>
      <c r="F7842" s="195" t="s">
        <v>27960</v>
      </c>
      <c r="G7842" s="196">
        <v>9891024.0</v>
      </c>
      <c r="H7842" s="197">
        <v>0.8646</v>
      </c>
      <c r="I7842" s="7" t="s">
        <v>16815</v>
      </c>
      <c r="J7842" s="7" t="s">
        <v>17112</v>
      </c>
      <c r="K7842" s="7" t="s">
        <v>17218</v>
      </c>
      <c r="L7842" s="198" t="s">
        <v>65</v>
      </c>
      <c r="M7842" s="194"/>
      <c r="N7842" s="194"/>
    </row>
    <row r="7843">
      <c r="A7843" s="193" t="s">
        <v>27961</v>
      </c>
      <c r="B7843" s="7" t="s">
        <v>169</v>
      </c>
      <c r="C7843" s="7" t="s">
        <v>17057</v>
      </c>
      <c r="D7843" s="199"/>
      <c r="E7843" s="193"/>
      <c r="F7843" s="195" t="s">
        <v>27962</v>
      </c>
      <c r="G7843" s="196">
        <v>9869481.0</v>
      </c>
      <c r="H7843" s="197">
        <v>3.0</v>
      </c>
      <c r="I7843" s="7" t="s">
        <v>16815</v>
      </c>
      <c r="J7843" s="7" t="s">
        <v>169</v>
      </c>
      <c r="K7843" s="7" t="s">
        <v>17057</v>
      </c>
      <c r="L7843" s="198" t="s">
        <v>65</v>
      </c>
      <c r="M7843" s="199"/>
      <c r="N7843" s="199"/>
    </row>
    <row r="7844">
      <c r="A7844" s="193" t="s">
        <v>27961</v>
      </c>
      <c r="B7844" s="202" t="s">
        <v>17057</v>
      </c>
      <c r="C7844" s="193" t="s">
        <v>169</v>
      </c>
      <c r="D7844" s="206"/>
      <c r="E7844" s="193"/>
      <c r="F7844" s="203" t="s">
        <v>27962</v>
      </c>
      <c r="G7844" s="200">
        <v>9869481.0</v>
      </c>
      <c r="H7844" s="205">
        <v>0.3551</v>
      </c>
      <c r="J7844" s="202" t="s">
        <v>17057</v>
      </c>
      <c r="K7844" s="193" t="s">
        <v>169</v>
      </c>
      <c r="L7844" s="193" t="s">
        <v>17471</v>
      </c>
      <c r="M7844" s="206"/>
      <c r="N7844" s="206"/>
    </row>
    <row r="7845">
      <c r="A7845" s="193" t="s">
        <v>27963</v>
      </c>
      <c r="B7845" s="7" t="s">
        <v>16582</v>
      </c>
      <c r="C7845" s="7" t="s">
        <v>16930</v>
      </c>
      <c r="D7845" s="194">
        <v>2021.0</v>
      </c>
      <c r="E7845" s="193"/>
      <c r="F7845" s="195" t="s">
        <v>27964</v>
      </c>
      <c r="G7845" s="196">
        <v>9831645.0</v>
      </c>
      <c r="H7845" s="197">
        <v>0.19</v>
      </c>
      <c r="I7845" s="7" t="s">
        <v>16815</v>
      </c>
      <c r="J7845" s="7" t="s">
        <v>16582</v>
      </c>
      <c r="K7845" s="7" t="s">
        <v>16930</v>
      </c>
      <c r="L7845" s="198" t="s">
        <v>65</v>
      </c>
      <c r="M7845" s="194"/>
      <c r="N7845" s="194"/>
    </row>
    <row r="7846">
      <c r="A7846" s="193" t="s">
        <v>27965</v>
      </c>
      <c r="B7846" s="7" t="s">
        <v>16838</v>
      </c>
      <c r="C7846" s="7" t="s">
        <v>17016</v>
      </c>
      <c r="D7846" s="199"/>
      <c r="E7846" s="193"/>
      <c r="F7846" s="195" t="s">
        <v>27966</v>
      </c>
      <c r="G7846" s="196">
        <v>9813843.0</v>
      </c>
      <c r="H7846" s="197">
        <v>0.5298</v>
      </c>
      <c r="I7846" s="7" t="s">
        <v>16924</v>
      </c>
      <c r="J7846" s="7" t="s">
        <v>16838</v>
      </c>
      <c r="K7846" s="7" t="s">
        <v>17016</v>
      </c>
      <c r="L7846" s="198" t="s">
        <v>65</v>
      </c>
      <c r="M7846" s="199"/>
      <c r="N7846" s="199"/>
    </row>
    <row r="7847">
      <c r="A7847" s="193" t="s">
        <v>27967</v>
      </c>
      <c r="D7847" s="194">
        <v>2023.0</v>
      </c>
      <c r="E7847" s="193"/>
      <c r="F7847" s="195" t="s">
        <v>27968</v>
      </c>
      <c r="G7847" s="196">
        <v>9805505.0</v>
      </c>
      <c r="H7847" s="197">
        <v>0.6718</v>
      </c>
      <c r="I7847" s="7" t="s">
        <v>16815</v>
      </c>
      <c r="L7847" s="198" t="s">
        <v>65</v>
      </c>
      <c r="M7847" s="194"/>
      <c r="N7847" s="194"/>
    </row>
    <row r="7848">
      <c r="A7848" s="193" t="s">
        <v>27969</v>
      </c>
      <c r="B7848" s="7" t="s">
        <v>187</v>
      </c>
      <c r="C7848" s="7" t="s">
        <v>16969</v>
      </c>
      <c r="D7848" s="194">
        <v>2021.0</v>
      </c>
      <c r="E7848" s="193"/>
      <c r="F7848" s="195" t="s">
        <v>27970</v>
      </c>
      <c r="G7848" s="196">
        <v>9797230.0</v>
      </c>
      <c r="H7848" s="197">
        <v>1.72</v>
      </c>
      <c r="I7848" s="7" t="s">
        <v>16815</v>
      </c>
      <c r="J7848" s="7" t="s">
        <v>187</v>
      </c>
      <c r="K7848" s="7" t="s">
        <v>16969</v>
      </c>
      <c r="L7848" s="198" t="s">
        <v>65</v>
      </c>
      <c r="M7848" s="194"/>
      <c r="N7848" s="194"/>
    </row>
    <row r="7849">
      <c r="A7849" s="193" t="s">
        <v>27971</v>
      </c>
      <c r="B7849" s="7" t="s">
        <v>187</v>
      </c>
      <c r="C7849" s="7" t="s">
        <v>16846</v>
      </c>
      <c r="D7849" s="199"/>
      <c r="E7849" s="193"/>
      <c r="F7849" s="195" t="s">
        <v>27972</v>
      </c>
      <c r="G7849" s="196">
        <v>9733465.0</v>
      </c>
      <c r="H7849" s="197">
        <v>0.235</v>
      </c>
      <c r="I7849" s="7" t="s">
        <v>16815</v>
      </c>
      <c r="J7849" s="7" t="s">
        <v>187</v>
      </c>
      <c r="K7849" s="7" t="s">
        <v>16846</v>
      </c>
      <c r="L7849" s="198" t="s">
        <v>65</v>
      </c>
      <c r="M7849" s="199"/>
      <c r="N7849" s="199"/>
    </row>
    <row r="7850">
      <c r="A7850" s="193" t="s">
        <v>27973</v>
      </c>
      <c r="B7850" s="7" t="s">
        <v>187</v>
      </c>
      <c r="C7850" s="7" t="s">
        <v>16846</v>
      </c>
      <c r="D7850" s="199"/>
      <c r="E7850" s="193"/>
      <c r="F7850" s="195" t="s">
        <v>27974</v>
      </c>
      <c r="G7850" s="196">
        <v>9729905.0</v>
      </c>
      <c r="H7850" s="197">
        <v>2.3927</v>
      </c>
      <c r="I7850" s="7" t="s">
        <v>16815</v>
      </c>
      <c r="J7850" s="7" t="s">
        <v>187</v>
      </c>
      <c r="K7850" s="7" t="s">
        <v>16846</v>
      </c>
      <c r="L7850" s="198" t="s">
        <v>65</v>
      </c>
      <c r="M7850" s="199"/>
      <c r="N7850" s="199"/>
    </row>
    <row r="7851">
      <c r="A7851" s="193" t="s">
        <v>27975</v>
      </c>
      <c r="B7851" s="7" t="s">
        <v>175</v>
      </c>
      <c r="C7851" s="7" t="s">
        <v>17812</v>
      </c>
      <c r="D7851" s="194">
        <v>2019.0</v>
      </c>
      <c r="E7851" s="193"/>
      <c r="F7851" s="195" t="s">
        <v>27976</v>
      </c>
      <c r="G7851" s="196">
        <v>9726300.0</v>
      </c>
      <c r="H7851" s="197">
        <v>1.01</v>
      </c>
      <c r="I7851" s="7" t="s">
        <v>174</v>
      </c>
      <c r="J7851" s="7" t="s">
        <v>175</v>
      </c>
      <c r="K7851" s="7" t="s">
        <v>17812</v>
      </c>
      <c r="L7851" s="198" t="s">
        <v>65</v>
      </c>
      <c r="M7851" s="194"/>
      <c r="N7851" s="194"/>
    </row>
    <row r="7852">
      <c r="A7852" s="193" t="s">
        <v>27977</v>
      </c>
      <c r="B7852" s="7" t="s">
        <v>187</v>
      </c>
      <c r="C7852" s="7" t="s">
        <v>16846</v>
      </c>
      <c r="D7852" s="194">
        <v>2021.0</v>
      </c>
      <c r="E7852" s="193"/>
      <c r="F7852" s="195" t="s">
        <v>27978</v>
      </c>
      <c r="G7852" s="196">
        <v>9699204.0</v>
      </c>
      <c r="H7852" s="197">
        <v>0.371</v>
      </c>
      <c r="I7852" s="7" t="s">
        <v>16815</v>
      </c>
      <c r="J7852" s="7" t="s">
        <v>187</v>
      </c>
      <c r="K7852" s="7" t="s">
        <v>16846</v>
      </c>
      <c r="L7852" s="198" t="s">
        <v>65</v>
      </c>
      <c r="M7852" s="194"/>
      <c r="N7852" s="194"/>
    </row>
    <row r="7853">
      <c r="A7853" s="193" t="s">
        <v>27979</v>
      </c>
      <c r="D7853" s="199"/>
      <c r="E7853" s="193"/>
      <c r="F7853" s="195" t="s">
        <v>27980</v>
      </c>
      <c r="G7853" s="196">
        <v>9630951.0</v>
      </c>
      <c r="H7853" s="197">
        <v>0.1773</v>
      </c>
      <c r="I7853" s="7" t="s">
        <v>16815</v>
      </c>
      <c r="L7853" s="198" t="s">
        <v>65</v>
      </c>
      <c r="M7853" s="199"/>
      <c r="N7853" s="199"/>
    </row>
    <row r="7854">
      <c r="A7854" s="193" t="s">
        <v>27979</v>
      </c>
      <c r="B7854" s="208"/>
      <c r="C7854" s="206"/>
      <c r="D7854" s="206"/>
      <c r="E7854" s="193"/>
      <c r="F7854" s="203" t="s">
        <v>27980</v>
      </c>
      <c r="G7854" s="200">
        <v>9630951.0</v>
      </c>
      <c r="H7854" s="205">
        <v>3.0</v>
      </c>
      <c r="J7854" s="208"/>
      <c r="K7854" s="206"/>
      <c r="L7854" s="193" t="s">
        <v>17471</v>
      </c>
      <c r="M7854" s="206"/>
      <c r="N7854" s="206"/>
    </row>
    <row r="7855">
      <c r="A7855" s="193" t="s">
        <v>27981</v>
      </c>
      <c r="B7855" s="7" t="s">
        <v>187</v>
      </c>
      <c r="C7855" s="7" t="s">
        <v>16992</v>
      </c>
      <c r="D7855" s="194">
        <v>2021.0</v>
      </c>
      <c r="E7855" s="193"/>
      <c r="F7855" s="195" t="s">
        <v>27982</v>
      </c>
      <c r="G7855" s="196">
        <v>9441316.0</v>
      </c>
      <c r="H7855" s="197">
        <v>1.46</v>
      </c>
      <c r="I7855" s="7" t="s">
        <v>16815</v>
      </c>
      <c r="J7855" s="7" t="s">
        <v>187</v>
      </c>
      <c r="K7855" s="7" t="s">
        <v>16992</v>
      </c>
      <c r="L7855" s="198" t="s">
        <v>65</v>
      </c>
      <c r="M7855" s="194"/>
      <c r="N7855" s="194"/>
    </row>
    <row r="7856">
      <c r="A7856" s="193" t="s">
        <v>27983</v>
      </c>
      <c r="B7856" s="7" t="s">
        <v>187</v>
      </c>
      <c r="C7856" s="7" t="s">
        <v>16846</v>
      </c>
      <c r="D7856" s="194">
        <v>2019.0</v>
      </c>
      <c r="E7856" s="193"/>
      <c r="F7856" s="195" t="s">
        <v>27984</v>
      </c>
      <c r="G7856" s="196">
        <v>9430959.0</v>
      </c>
      <c r="H7856" s="197">
        <v>0.24</v>
      </c>
      <c r="I7856" s="7" t="s">
        <v>16815</v>
      </c>
      <c r="J7856" s="7" t="s">
        <v>187</v>
      </c>
      <c r="K7856" s="7" t="s">
        <v>16846</v>
      </c>
      <c r="L7856" s="198" t="s">
        <v>65</v>
      </c>
      <c r="M7856" s="194"/>
      <c r="N7856" s="194"/>
    </row>
    <row r="7857">
      <c r="A7857" s="193" t="s">
        <v>27985</v>
      </c>
      <c r="B7857" s="7" t="s">
        <v>175</v>
      </c>
      <c r="C7857" s="7" t="s">
        <v>18570</v>
      </c>
      <c r="D7857" s="199"/>
      <c r="E7857" s="193"/>
      <c r="F7857" s="195" t="s">
        <v>27986</v>
      </c>
      <c r="G7857" s="196">
        <v>9383658.0</v>
      </c>
      <c r="H7857" s="197">
        <v>0.6032</v>
      </c>
      <c r="I7857" s="7" t="s">
        <v>16908</v>
      </c>
      <c r="J7857" s="7" t="s">
        <v>175</v>
      </c>
      <c r="K7857" s="7" t="s">
        <v>18570</v>
      </c>
      <c r="L7857" s="198" t="s">
        <v>65</v>
      </c>
      <c r="M7857" s="199"/>
      <c r="N7857" s="199"/>
    </row>
    <row r="7858">
      <c r="A7858" s="193" t="s">
        <v>27987</v>
      </c>
      <c r="B7858" s="7" t="s">
        <v>17112</v>
      </c>
      <c r="C7858" s="7" t="s">
        <v>17218</v>
      </c>
      <c r="D7858" s="194">
        <v>2022.0</v>
      </c>
      <c r="E7858" s="193"/>
      <c r="F7858" s="195" t="s">
        <v>27988</v>
      </c>
      <c r="G7858" s="196">
        <v>9361300.0</v>
      </c>
      <c r="H7858" s="197">
        <v>0.51</v>
      </c>
      <c r="I7858" s="7" t="s">
        <v>16815</v>
      </c>
      <c r="J7858" s="7" t="s">
        <v>17112</v>
      </c>
      <c r="K7858" s="7" t="s">
        <v>17218</v>
      </c>
      <c r="L7858" s="198" t="s">
        <v>65</v>
      </c>
      <c r="M7858" s="194"/>
      <c r="N7858" s="194"/>
    </row>
    <row r="7859">
      <c r="A7859" s="193" t="s">
        <v>27989</v>
      </c>
      <c r="B7859" s="7" t="s">
        <v>16910</v>
      </c>
      <c r="C7859" s="7" t="s">
        <v>17137</v>
      </c>
      <c r="D7859" s="199"/>
      <c r="E7859" s="193"/>
      <c r="F7859" s="195" t="s">
        <v>27990</v>
      </c>
      <c r="G7859" s="196">
        <v>9356576.0</v>
      </c>
      <c r="H7859" s="197">
        <v>0.2241</v>
      </c>
      <c r="I7859" s="7" t="s">
        <v>16856</v>
      </c>
      <c r="J7859" s="7" t="s">
        <v>16910</v>
      </c>
      <c r="K7859" s="7" t="s">
        <v>17137</v>
      </c>
      <c r="L7859" s="198" t="s">
        <v>65</v>
      </c>
      <c r="M7859" s="199"/>
      <c r="N7859" s="199"/>
    </row>
    <row r="7860">
      <c r="A7860" s="193" t="s">
        <v>27991</v>
      </c>
      <c r="B7860" s="7" t="s">
        <v>16838</v>
      </c>
      <c r="C7860" s="7" t="s">
        <v>18219</v>
      </c>
      <c r="D7860" s="194">
        <v>2021.0</v>
      </c>
      <c r="E7860" s="193"/>
      <c r="F7860" s="195" t="s">
        <v>27992</v>
      </c>
      <c r="G7860" s="196">
        <v>9325096.0</v>
      </c>
      <c r="H7860" s="197">
        <v>1.07</v>
      </c>
      <c r="I7860" s="7" t="s">
        <v>16815</v>
      </c>
      <c r="J7860" s="7" t="s">
        <v>16838</v>
      </c>
      <c r="K7860" s="7" t="s">
        <v>18219</v>
      </c>
      <c r="L7860" s="198" t="s">
        <v>65</v>
      </c>
      <c r="M7860" s="194"/>
      <c r="N7860" s="194"/>
    </row>
    <row r="7861">
      <c r="A7861" s="193" t="s">
        <v>27993</v>
      </c>
      <c r="B7861" s="7" t="s">
        <v>16582</v>
      </c>
      <c r="C7861" s="7" t="s">
        <v>16930</v>
      </c>
      <c r="D7861" s="199"/>
      <c r="E7861" s="193"/>
      <c r="F7861" s="195" t="s">
        <v>27994</v>
      </c>
      <c r="G7861" s="196">
        <v>9307271.0</v>
      </c>
      <c r="H7861" s="197">
        <v>0.6116</v>
      </c>
      <c r="I7861" s="7" t="s">
        <v>16815</v>
      </c>
      <c r="J7861" s="7" t="s">
        <v>16582</v>
      </c>
      <c r="K7861" s="7" t="s">
        <v>16930</v>
      </c>
      <c r="L7861" s="198" t="s">
        <v>65</v>
      </c>
      <c r="M7861" s="199"/>
      <c r="N7861" s="199"/>
    </row>
    <row r="7862">
      <c r="A7862" s="193" t="s">
        <v>27995</v>
      </c>
      <c r="B7862" s="7" t="s">
        <v>187</v>
      </c>
      <c r="C7862" s="7" t="s">
        <v>16858</v>
      </c>
      <c r="D7862" s="194">
        <v>2020.0</v>
      </c>
      <c r="E7862" s="193"/>
      <c r="F7862" s="195" t="s">
        <v>27996</v>
      </c>
      <c r="G7862" s="196">
        <v>9218594.0</v>
      </c>
      <c r="H7862" s="197">
        <v>0.0832</v>
      </c>
      <c r="I7862" s="7" t="s">
        <v>16815</v>
      </c>
      <c r="J7862" s="7" t="s">
        <v>187</v>
      </c>
      <c r="K7862" s="7" t="s">
        <v>16858</v>
      </c>
      <c r="L7862" s="198" t="s">
        <v>65</v>
      </c>
      <c r="M7862" s="194"/>
      <c r="N7862" s="194"/>
    </row>
    <row r="7863">
      <c r="A7863" s="193" t="s">
        <v>27997</v>
      </c>
      <c r="B7863" s="7" t="s">
        <v>175</v>
      </c>
      <c r="C7863" s="7" t="s">
        <v>19006</v>
      </c>
      <c r="D7863" s="194">
        <v>2019.0</v>
      </c>
      <c r="E7863" s="193"/>
      <c r="F7863" s="195" t="s">
        <v>27998</v>
      </c>
      <c r="G7863" s="196">
        <v>9197700.0</v>
      </c>
      <c r="H7863" s="197">
        <v>0.93</v>
      </c>
      <c r="I7863" s="7" t="s">
        <v>174</v>
      </c>
      <c r="J7863" s="7" t="s">
        <v>175</v>
      </c>
      <c r="K7863" s="7" t="s">
        <v>19006</v>
      </c>
      <c r="L7863" s="198" t="s">
        <v>65</v>
      </c>
      <c r="M7863" s="194"/>
      <c r="N7863" s="194"/>
    </row>
    <row r="7864">
      <c r="A7864" s="193" t="s">
        <v>27999</v>
      </c>
      <c r="B7864" s="7" t="s">
        <v>169</v>
      </c>
      <c r="C7864" s="7" t="s">
        <v>17532</v>
      </c>
      <c r="D7864" s="194">
        <v>2015.0</v>
      </c>
      <c r="E7864" s="193"/>
      <c r="F7864" s="195" t="s">
        <v>28000</v>
      </c>
      <c r="G7864" s="196">
        <v>9191225.0</v>
      </c>
      <c r="H7864" s="197">
        <v>3.01</v>
      </c>
      <c r="I7864" s="7" t="s">
        <v>16815</v>
      </c>
      <c r="J7864" s="7" t="s">
        <v>169</v>
      </c>
      <c r="K7864" s="7" t="s">
        <v>17532</v>
      </c>
      <c r="L7864" s="198" t="s">
        <v>65</v>
      </c>
      <c r="M7864" s="194"/>
      <c r="N7864" s="194"/>
    </row>
    <row r="7865">
      <c r="A7865" s="193" t="s">
        <v>28001</v>
      </c>
      <c r="B7865" s="7" t="s">
        <v>16838</v>
      </c>
      <c r="C7865" s="7" t="s">
        <v>17127</v>
      </c>
      <c r="D7865" s="194">
        <v>2015.0</v>
      </c>
      <c r="E7865" s="193"/>
      <c r="F7865" s="195" t="s">
        <v>28002</v>
      </c>
      <c r="G7865" s="196">
        <v>9167161.0</v>
      </c>
      <c r="H7865" s="197">
        <v>0.75</v>
      </c>
      <c r="I7865" s="7" t="s">
        <v>16815</v>
      </c>
      <c r="J7865" s="7" t="s">
        <v>16838</v>
      </c>
      <c r="K7865" s="7" t="s">
        <v>17127</v>
      </c>
      <c r="L7865" s="198" t="s">
        <v>65</v>
      </c>
      <c r="M7865" s="194"/>
      <c r="N7865" s="194"/>
    </row>
    <row r="7866">
      <c r="A7866" s="193" t="s">
        <v>28003</v>
      </c>
      <c r="B7866" s="7" t="s">
        <v>175</v>
      </c>
      <c r="C7866" s="7" t="s">
        <v>19996</v>
      </c>
      <c r="D7866" s="194">
        <v>1997.0</v>
      </c>
      <c r="E7866" s="193"/>
      <c r="F7866" s="195" t="s">
        <v>28004</v>
      </c>
      <c r="G7866" s="196">
        <v>9154059.0</v>
      </c>
      <c r="H7866" s="197">
        <v>0.2999</v>
      </c>
      <c r="I7866" s="7" t="s">
        <v>16908</v>
      </c>
      <c r="J7866" s="7" t="s">
        <v>175</v>
      </c>
      <c r="K7866" s="7" t="s">
        <v>19996</v>
      </c>
      <c r="L7866" s="198" t="s">
        <v>65</v>
      </c>
      <c r="M7866" s="194"/>
      <c r="N7866" s="194"/>
    </row>
    <row r="7867">
      <c r="A7867" s="193" t="s">
        <v>28005</v>
      </c>
      <c r="B7867" s="7" t="s">
        <v>187</v>
      </c>
      <c r="C7867" s="7" t="s">
        <v>16846</v>
      </c>
      <c r="D7867" s="199"/>
      <c r="E7867" s="193"/>
      <c r="F7867" s="195" t="s">
        <v>28006</v>
      </c>
      <c r="G7867" s="196">
        <v>9141786.0</v>
      </c>
      <c r="H7867" s="197">
        <v>3.6</v>
      </c>
      <c r="I7867" s="7" t="s">
        <v>16815</v>
      </c>
      <c r="J7867" s="7" t="s">
        <v>187</v>
      </c>
      <c r="K7867" s="7" t="s">
        <v>16846</v>
      </c>
      <c r="L7867" s="198" t="s">
        <v>65</v>
      </c>
      <c r="M7867" s="199"/>
      <c r="N7867" s="199"/>
    </row>
    <row r="7868">
      <c r="A7868" s="193" t="s">
        <v>28005</v>
      </c>
      <c r="B7868" s="202" t="s">
        <v>16846</v>
      </c>
      <c r="C7868" s="193" t="s">
        <v>187</v>
      </c>
      <c r="D7868" s="206"/>
      <c r="E7868" s="193"/>
      <c r="F7868" s="203" t="s">
        <v>28006</v>
      </c>
      <c r="G7868" s="200">
        <v>9141786.0</v>
      </c>
      <c r="H7868" s="205">
        <v>0.1773</v>
      </c>
      <c r="J7868" s="202" t="s">
        <v>16846</v>
      </c>
      <c r="K7868" s="193" t="s">
        <v>187</v>
      </c>
      <c r="L7868" s="193" t="s">
        <v>17471</v>
      </c>
      <c r="M7868" s="206"/>
      <c r="N7868" s="206"/>
    </row>
    <row r="7869">
      <c r="A7869" s="193" t="s">
        <v>28007</v>
      </c>
      <c r="B7869" s="7" t="s">
        <v>187</v>
      </c>
      <c r="C7869" s="7" t="s">
        <v>16846</v>
      </c>
      <c r="D7869" s="194">
        <v>2017.0</v>
      </c>
      <c r="E7869" s="193"/>
      <c r="F7869" s="195" t="s">
        <v>28008</v>
      </c>
      <c r="G7869" s="196">
        <v>9111934.0</v>
      </c>
      <c r="H7869" s="197">
        <v>1.6</v>
      </c>
      <c r="I7869" s="7" t="s">
        <v>16815</v>
      </c>
      <c r="J7869" s="7" t="s">
        <v>187</v>
      </c>
      <c r="K7869" s="7" t="s">
        <v>16846</v>
      </c>
      <c r="L7869" s="198" t="s">
        <v>65</v>
      </c>
      <c r="M7869" s="194"/>
      <c r="N7869" s="194"/>
    </row>
    <row r="7870">
      <c r="A7870" s="193" t="s">
        <v>28009</v>
      </c>
      <c r="B7870" s="7" t="s">
        <v>16838</v>
      </c>
      <c r="C7870" s="7" t="s">
        <v>17016</v>
      </c>
      <c r="D7870" s="199"/>
      <c r="E7870" s="193"/>
      <c r="F7870" s="195" t="s">
        <v>28010</v>
      </c>
      <c r="G7870" s="196">
        <v>9084924.0</v>
      </c>
      <c r="H7870" s="197">
        <v>0.55</v>
      </c>
      <c r="I7870" s="7" t="s">
        <v>16815</v>
      </c>
      <c r="J7870" s="7" t="s">
        <v>16838</v>
      </c>
      <c r="K7870" s="7" t="s">
        <v>17016</v>
      </c>
      <c r="L7870" s="198" t="s">
        <v>65</v>
      </c>
      <c r="M7870" s="199"/>
      <c r="N7870" s="199"/>
    </row>
    <row r="7871">
      <c r="A7871" s="193" t="s">
        <v>28011</v>
      </c>
      <c r="B7871" s="7" t="s">
        <v>175</v>
      </c>
      <c r="C7871" s="7" t="s">
        <v>18063</v>
      </c>
      <c r="D7871" s="194">
        <v>2008.0</v>
      </c>
      <c r="E7871" s="193"/>
      <c r="F7871" s="195" t="s">
        <v>28012</v>
      </c>
      <c r="G7871" s="196">
        <v>8950434.0</v>
      </c>
      <c r="H7871" s="197">
        <v>0.511</v>
      </c>
      <c r="I7871" s="7" t="s">
        <v>17242</v>
      </c>
      <c r="J7871" s="7" t="s">
        <v>175</v>
      </c>
      <c r="K7871" s="7" t="s">
        <v>18063</v>
      </c>
      <c r="L7871" s="198" t="s">
        <v>65</v>
      </c>
      <c r="M7871" s="194"/>
      <c r="N7871" s="194"/>
    </row>
    <row r="7872">
      <c r="A7872" s="193" t="s">
        <v>28013</v>
      </c>
      <c r="B7872" s="7" t="s">
        <v>175</v>
      </c>
      <c r="C7872" s="7" t="s">
        <v>18723</v>
      </c>
      <c r="D7872" s="194">
        <v>2017.0</v>
      </c>
      <c r="E7872" s="193"/>
      <c r="F7872" s="195" t="s">
        <v>28014</v>
      </c>
      <c r="G7872" s="196">
        <v>8943948.0</v>
      </c>
      <c r="H7872" s="197">
        <v>0.285</v>
      </c>
      <c r="I7872" s="7" t="s">
        <v>16908</v>
      </c>
      <c r="J7872" s="7" t="s">
        <v>175</v>
      </c>
      <c r="K7872" s="7" t="s">
        <v>18723</v>
      </c>
      <c r="L7872" s="198" t="s">
        <v>65</v>
      </c>
      <c r="M7872" s="194"/>
      <c r="N7872" s="194"/>
    </row>
    <row r="7873">
      <c r="A7873" s="193" t="s">
        <v>28015</v>
      </c>
      <c r="B7873" s="7" t="s">
        <v>175</v>
      </c>
      <c r="C7873" s="7" t="s">
        <v>16824</v>
      </c>
      <c r="D7873" s="194">
        <v>2020.0</v>
      </c>
      <c r="E7873" s="193"/>
      <c r="F7873" s="195" t="s">
        <v>28016</v>
      </c>
      <c r="G7873" s="196">
        <v>8919380.0</v>
      </c>
      <c r="H7873" s="197">
        <v>0.0886</v>
      </c>
      <c r="I7873" s="7" t="s">
        <v>16856</v>
      </c>
      <c r="J7873" s="7" t="s">
        <v>175</v>
      </c>
      <c r="K7873" s="7" t="s">
        <v>16824</v>
      </c>
      <c r="L7873" s="198" t="s">
        <v>65</v>
      </c>
      <c r="M7873" s="194"/>
      <c r="N7873" s="194"/>
    </row>
    <row r="7874">
      <c r="A7874" s="193" t="s">
        <v>28017</v>
      </c>
      <c r="B7874" s="7" t="s">
        <v>16838</v>
      </c>
      <c r="C7874" s="7" t="s">
        <v>18219</v>
      </c>
      <c r="D7874" s="199"/>
      <c r="E7874" s="193"/>
      <c r="F7874" s="195" t="s">
        <v>28018</v>
      </c>
      <c r="G7874" s="196">
        <v>8901189.0</v>
      </c>
      <c r="H7874" s="197">
        <v>0.2</v>
      </c>
      <c r="I7874" s="7" t="s">
        <v>16924</v>
      </c>
      <c r="J7874" s="7" t="s">
        <v>16838</v>
      </c>
      <c r="K7874" s="7" t="s">
        <v>18219</v>
      </c>
      <c r="L7874" s="198" t="s">
        <v>65</v>
      </c>
      <c r="M7874" s="199"/>
      <c r="N7874" s="199"/>
    </row>
    <row r="7875">
      <c r="A7875" s="193" t="s">
        <v>28019</v>
      </c>
      <c r="B7875" s="7" t="s">
        <v>187</v>
      </c>
      <c r="C7875" s="7" t="s">
        <v>16846</v>
      </c>
      <c r="D7875" s="199"/>
      <c r="E7875" s="193"/>
      <c r="F7875" s="195" t="s">
        <v>28020</v>
      </c>
      <c r="G7875" s="196">
        <v>8899462.0</v>
      </c>
      <c r="H7875" s="197">
        <v>0.95</v>
      </c>
      <c r="I7875" s="7" t="s">
        <v>16815</v>
      </c>
      <c r="J7875" s="7" t="s">
        <v>187</v>
      </c>
      <c r="K7875" s="7" t="s">
        <v>16846</v>
      </c>
      <c r="L7875" s="198" t="s">
        <v>65</v>
      </c>
      <c r="M7875" s="199"/>
      <c r="N7875" s="199"/>
    </row>
    <row r="7876">
      <c r="A7876" s="193" t="s">
        <v>28021</v>
      </c>
      <c r="B7876" s="7" t="s">
        <v>175</v>
      </c>
      <c r="C7876" s="7" t="s">
        <v>18310</v>
      </c>
      <c r="D7876" s="199"/>
      <c r="E7876" s="193"/>
      <c r="F7876" s="195" t="s">
        <v>28022</v>
      </c>
      <c r="G7876" s="196">
        <v>8893976.0</v>
      </c>
      <c r="H7876" s="197">
        <v>0.4796</v>
      </c>
      <c r="I7876" s="7" t="s">
        <v>17242</v>
      </c>
      <c r="J7876" s="7" t="s">
        <v>175</v>
      </c>
      <c r="K7876" s="7" t="s">
        <v>18310</v>
      </c>
      <c r="L7876" s="198" t="s">
        <v>65</v>
      </c>
      <c r="M7876" s="199"/>
      <c r="N7876" s="199"/>
    </row>
    <row r="7877">
      <c r="A7877" s="193" t="s">
        <v>28023</v>
      </c>
      <c r="D7877" s="199"/>
      <c r="E7877" s="193"/>
      <c r="F7877" s="195" t="s">
        <v>28024</v>
      </c>
      <c r="G7877" s="196">
        <v>8847576.0</v>
      </c>
      <c r="H7877" s="197">
        <v>2.3</v>
      </c>
      <c r="I7877" s="7" t="s">
        <v>16815</v>
      </c>
      <c r="L7877" s="198" t="s">
        <v>65</v>
      </c>
      <c r="M7877" s="199"/>
      <c r="N7877" s="199"/>
    </row>
    <row r="7878">
      <c r="A7878" s="193" t="s">
        <v>28025</v>
      </c>
      <c r="B7878" s="7" t="s">
        <v>175</v>
      </c>
      <c r="C7878" s="7" t="s">
        <v>17391</v>
      </c>
      <c r="D7878" s="199"/>
      <c r="E7878" s="193"/>
      <c r="F7878" s="195" t="s">
        <v>28026</v>
      </c>
      <c r="G7878" s="196">
        <v>8826506.0</v>
      </c>
      <c r="H7878" s="197">
        <v>4.91</v>
      </c>
      <c r="I7878" s="7" t="s">
        <v>168</v>
      </c>
      <c r="J7878" s="7" t="s">
        <v>175</v>
      </c>
      <c r="K7878" s="7" t="s">
        <v>17391</v>
      </c>
      <c r="L7878" s="198" t="s">
        <v>65</v>
      </c>
      <c r="M7878" s="199"/>
      <c r="N7878" s="199"/>
    </row>
    <row r="7879">
      <c r="A7879" s="193" t="s">
        <v>28027</v>
      </c>
      <c r="B7879" s="7" t="s">
        <v>187</v>
      </c>
      <c r="C7879" s="7" t="s">
        <v>19444</v>
      </c>
      <c r="D7879" s="199"/>
      <c r="E7879" s="193"/>
      <c r="F7879" s="195" t="s">
        <v>28028</v>
      </c>
      <c r="G7879" s="196">
        <v>8821841.0</v>
      </c>
      <c r="H7879" s="197">
        <v>1.89</v>
      </c>
      <c r="I7879" s="7" t="s">
        <v>16815</v>
      </c>
      <c r="J7879" s="7" t="s">
        <v>187</v>
      </c>
      <c r="K7879" s="7" t="s">
        <v>19444</v>
      </c>
      <c r="L7879" s="198" t="s">
        <v>65</v>
      </c>
      <c r="M7879" s="199"/>
      <c r="N7879" s="199"/>
    </row>
    <row r="7880">
      <c r="A7880" s="193" t="s">
        <v>28029</v>
      </c>
      <c r="B7880" s="7" t="s">
        <v>158</v>
      </c>
      <c r="C7880" s="7" t="s">
        <v>16864</v>
      </c>
      <c r="D7880" s="199"/>
      <c r="E7880" s="193"/>
      <c r="F7880" s="195" t="s">
        <v>28030</v>
      </c>
      <c r="G7880" s="196">
        <v>8820000.0</v>
      </c>
      <c r="H7880" s="197">
        <v>4.41</v>
      </c>
      <c r="I7880" s="7" t="s">
        <v>17098</v>
      </c>
      <c r="J7880" s="7" t="s">
        <v>158</v>
      </c>
      <c r="K7880" s="7" t="s">
        <v>16864</v>
      </c>
      <c r="L7880" s="198" t="s">
        <v>65</v>
      </c>
      <c r="M7880" s="199"/>
      <c r="N7880" s="199"/>
    </row>
    <row r="7881">
      <c r="A7881" s="193" t="s">
        <v>28031</v>
      </c>
      <c r="B7881" s="7" t="s">
        <v>16582</v>
      </c>
      <c r="C7881" s="7" t="s">
        <v>16817</v>
      </c>
      <c r="D7881" s="199"/>
      <c r="E7881" s="193"/>
      <c r="F7881" s="195" t="s">
        <v>28032</v>
      </c>
      <c r="G7881" s="196">
        <v>8804817.0</v>
      </c>
      <c r="H7881" s="197">
        <v>3.55</v>
      </c>
      <c r="I7881" s="7" t="s">
        <v>16815</v>
      </c>
      <c r="J7881" s="7" t="s">
        <v>16582</v>
      </c>
      <c r="K7881" s="7" t="s">
        <v>16817</v>
      </c>
      <c r="L7881" s="198" t="s">
        <v>65</v>
      </c>
      <c r="M7881" s="199"/>
      <c r="N7881" s="199"/>
    </row>
    <row r="7882">
      <c r="A7882" s="193" t="s">
        <v>28033</v>
      </c>
      <c r="B7882" s="7" t="s">
        <v>16582</v>
      </c>
      <c r="C7882" s="7" t="s">
        <v>16930</v>
      </c>
      <c r="D7882" s="194">
        <v>2022.0</v>
      </c>
      <c r="E7882" s="193"/>
      <c r="F7882" s="195" t="s">
        <v>28034</v>
      </c>
      <c r="G7882" s="196">
        <v>8756014.0</v>
      </c>
      <c r="H7882" s="197">
        <v>0.4201</v>
      </c>
      <c r="I7882" s="7" t="s">
        <v>16815</v>
      </c>
      <c r="J7882" s="7" t="s">
        <v>16582</v>
      </c>
      <c r="K7882" s="7" t="s">
        <v>16930</v>
      </c>
      <c r="L7882" s="198" t="s">
        <v>65</v>
      </c>
      <c r="M7882" s="194"/>
      <c r="N7882" s="194"/>
    </row>
    <row r="7883">
      <c r="A7883" s="193" t="s">
        <v>28035</v>
      </c>
      <c r="B7883" s="7" t="s">
        <v>175</v>
      </c>
      <c r="C7883" s="7" t="s">
        <v>18500</v>
      </c>
      <c r="D7883" s="194">
        <v>2021.0</v>
      </c>
      <c r="E7883" s="193"/>
      <c r="F7883" s="195" t="s">
        <v>28036</v>
      </c>
      <c r="G7883" s="196">
        <v>8714844.0</v>
      </c>
      <c r="H7883" s="197">
        <v>0.485</v>
      </c>
      <c r="I7883" s="7" t="s">
        <v>168</v>
      </c>
      <c r="J7883" s="7" t="s">
        <v>175</v>
      </c>
      <c r="K7883" s="7" t="s">
        <v>18500</v>
      </c>
      <c r="L7883" s="198" t="s">
        <v>65</v>
      </c>
      <c r="M7883" s="194"/>
      <c r="N7883" s="194"/>
    </row>
    <row r="7884">
      <c r="A7884" s="193" t="s">
        <v>28035</v>
      </c>
      <c r="B7884" s="202" t="s">
        <v>18500</v>
      </c>
      <c r="C7884" s="193" t="s">
        <v>175</v>
      </c>
      <c r="D7884" s="193">
        <v>2021.0</v>
      </c>
      <c r="E7884" s="193"/>
      <c r="F7884" s="203" t="s">
        <v>28036</v>
      </c>
      <c r="G7884" s="200">
        <v>8714844.0</v>
      </c>
      <c r="H7884" s="205">
        <v>3.6</v>
      </c>
      <c r="J7884" s="202" t="s">
        <v>18500</v>
      </c>
      <c r="K7884" s="193" t="s">
        <v>175</v>
      </c>
      <c r="L7884" s="193" t="s">
        <v>17471</v>
      </c>
      <c r="M7884" s="193"/>
      <c r="N7884" s="193"/>
    </row>
    <row r="7885">
      <c r="A7885" s="193" t="s">
        <v>28037</v>
      </c>
      <c r="B7885" s="7" t="s">
        <v>187</v>
      </c>
      <c r="C7885" s="7" t="s">
        <v>16846</v>
      </c>
      <c r="D7885" s="194">
        <v>2021.0</v>
      </c>
      <c r="E7885" s="193"/>
      <c r="F7885" s="195" t="s">
        <v>28038</v>
      </c>
      <c r="G7885" s="196">
        <v>8647186.0</v>
      </c>
      <c r="H7885" s="197">
        <v>0.14</v>
      </c>
      <c r="I7885" s="7" t="s">
        <v>16815</v>
      </c>
      <c r="J7885" s="7" t="s">
        <v>187</v>
      </c>
      <c r="K7885" s="7" t="s">
        <v>16846</v>
      </c>
      <c r="L7885" s="198" t="s">
        <v>65</v>
      </c>
      <c r="M7885" s="194"/>
      <c r="N7885" s="194"/>
    </row>
    <row r="7886">
      <c r="A7886" s="193" t="s">
        <v>28039</v>
      </c>
      <c r="B7886" s="7" t="s">
        <v>175</v>
      </c>
      <c r="C7886" s="7" t="s">
        <v>19996</v>
      </c>
      <c r="D7886" s="199"/>
      <c r="E7886" s="193"/>
      <c r="F7886" s="195" t="s">
        <v>28040</v>
      </c>
      <c r="G7886" s="196">
        <v>8614801.0</v>
      </c>
      <c r="H7886" s="197">
        <v>1.0051</v>
      </c>
      <c r="I7886" s="7" t="s">
        <v>16908</v>
      </c>
      <c r="J7886" s="7" t="s">
        <v>175</v>
      </c>
      <c r="K7886" s="7" t="s">
        <v>19996</v>
      </c>
      <c r="L7886" s="198" t="s">
        <v>65</v>
      </c>
      <c r="M7886" s="199"/>
      <c r="N7886" s="199"/>
    </row>
    <row r="7887">
      <c r="A7887" s="193" t="s">
        <v>28041</v>
      </c>
      <c r="B7887" s="7" t="s">
        <v>169</v>
      </c>
      <c r="C7887" s="7" t="s">
        <v>17321</v>
      </c>
      <c r="D7887" s="194">
        <v>2016.0</v>
      </c>
      <c r="E7887" s="193"/>
      <c r="F7887" s="195" t="s">
        <v>28042</v>
      </c>
      <c r="G7887" s="196">
        <v>8586850.0</v>
      </c>
      <c r="H7887" s="197">
        <v>2.29</v>
      </c>
      <c r="I7887" s="7" t="s">
        <v>16815</v>
      </c>
      <c r="J7887" s="7" t="s">
        <v>169</v>
      </c>
      <c r="K7887" s="7" t="s">
        <v>17321</v>
      </c>
      <c r="L7887" s="198" t="s">
        <v>65</v>
      </c>
      <c r="M7887" s="194"/>
      <c r="N7887" s="194"/>
    </row>
    <row r="7888">
      <c r="A7888" s="193" t="s">
        <v>28043</v>
      </c>
      <c r="B7888" s="7" t="s">
        <v>187</v>
      </c>
      <c r="C7888" s="7" t="s">
        <v>16992</v>
      </c>
      <c r="D7888" s="194">
        <v>2021.0</v>
      </c>
      <c r="E7888" s="193"/>
      <c r="F7888" s="195" t="s">
        <v>28044</v>
      </c>
      <c r="G7888" s="196">
        <v>8551427.0</v>
      </c>
      <c r="H7888" s="197">
        <v>0.73</v>
      </c>
      <c r="I7888" s="7" t="s">
        <v>16815</v>
      </c>
      <c r="J7888" s="7" t="s">
        <v>187</v>
      </c>
      <c r="K7888" s="7" t="s">
        <v>16992</v>
      </c>
      <c r="L7888" s="198" t="s">
        <v>65</v>
      </c>
      <c r="M7888" s="194"/>
      <c r="N7888" s="194"/>
    </row>
    <row r="7889">
      <c r="A7889" s="193" t="s">
        <v>28045</v>
      </c>
      <c r="B7889" s="7" t="s">
        <v>16910</v>
      </c>
      <c r="C7889" s="7" t="s">
        <v>17119</v>
      </c>
      <c r="D7889" s="194">
        <v>2021.0</v>
      </c>
      <c r="E7889" s="193"/>
      <c r="F7889" s="195" t="s">
        <v>28046</v>
      </c>
      <c r="G7889" s="196">
        <v>8496822.0</v>
      </c>
      <c r="H7889" s="197">
        <v>0.5801</v>
      </c>
      <c r="I7889" s="7" t="s">
        <v>17063</v>
      </c>
      <c r="J7889" s="7" t="s">
        <v>16910</v>
      </c>
      <c r="K7889" s="7" t="s">
        <v>17119</v>
      </c>
      <c r="L7889" s="198" t="s">
        <v>65</v>
      </c>
      <c r="M7889" s="194"/>
      <c r="N7889" s="194"/>
    </row>
    <row r="7890">
      <c r="A7890" s="193" t="s">
        <v>28047</v>
      </c>
      <c r="B7890" s="7" t="s">
        <v>16885</v>
      </c>
      <c r="C7890" s="7" t="s">
        <v>17726</v>
      </c>
      <c r="D7890" s="194">
        <v>2022.0</v>
      </c>
      <c r="E7890" s="193"/>
      <c r="F7890" s="195" t="s">
        <v>28048</v>
      </c>
      <c r="G7890" s="196">
        <v>8492800.0</v>
      </c>
      <c r="H7890" s="197">
        <v>0.64</v>
      </c>
      <c r="I7890" s="7" t="s">
        <v>16888</v>
      </c>
      <c r="J7890" s="7" t="s">
        <v>16885</v>
      </c>
      <c r="K7890" s="7" t="s">
        <v>17726</v>
      </c>
      <c r="L7890" s="198" t="s">
        <v>65</v>
      </c>
      <c r="M7890" s="194"/>
      <c r="N7890" s="194"/>
    </row>
    <row r="7891">
      <c r="A7891" s="193" t="s">
        <v>28047</v>
      </c>
      <c r="B7891" s="202" t="s">
        <v>17726</v>
      </c>
      <c r="C7891" s="193" t="s">
        <v>16885</v>
      </c>
      <c r="D7891" s="193">
        <v>2022.0</v>
      </c>
      <c r="E7891" s="193"/>
      <c r="F7891" s="203" t="s">
        <v>28048</v>
      </c>
      <c r="G7891" s="200">
        <v>8492800.0</v>
      </c>
      <c r="H7891" s="205">
        <v>0.485</v>
      </c>
      <c r="J7891" s="202" t="s">
        <v>17726</v>
      </c>
      <c r="K7891" s="193" t="s">
        <v>16885</v>
      </c>
      <c r="L7891" s="193" t="s">
        <v>17471</v>
      </c>
      <c r="M7891" s="193"/>
      <c r="N7891" s="193"/>
    </row>
    <row r="7892">
      <c r="A7892" s="193" t="s">
        <v>28049</v>
      </c>
      <c r="B7892" s="7" t="s">
        <v>169</v>
      </c>
      <c r="C7892" s="7" t="s">
        <v>17480</v>
      </c>
      <c r="D7892" s="194">
        <v>2023.0</v>
      </c>
      <c r="E7892" s="193"/>
      <c r="F7892" s="195" t="s">
        <v>28050</v>
      </c>
      <c r="G7892" s="196">
        <v>8485105.0</v>
      </c>
      <c r="H7892" s="197">
        <v>1.42</v>
      </c>
      <c r="I7892" s="7" t="s">
        <v>16815</v>
      </c>
      <c r="J7892" s="7" t="s">
        <v>169</v>
      </c>
      <c r="K7892" s="7" t="s">
        <v>17480</v>
      </c>
      <c r="L7892" s="198" t="s">
        <v>65</v>
      </c>
      <c r="M7892" s="194"/>
      <c r="N7892" s="194"/>
    </row>
    <row r="7893">
      <c r="A7893" s="193" t="s">
        <v>28051</v>
      </c>
      <c r="B7893" s="7" t="s">
        <v>187</v>
      </c>
      <c r="C7893" s="7" t="s">
        <v>16846</v>
      </c>
      <c r="D7893" s="194">
        <v>2015.0</v>
      </c>
      <c r="E7893" s="193"/>
      <c r="F7893" s="195" t="s">
        <v>28052</v>
      </c>
      <c r="G7893" s="196">
        <v>8461197.0</v>
      </c>
      <c r="H7893" s="197">
        <v>1.85</v>
      </c>
      <c r="I7893" s="7" t="s">
        <v>16815</v>
      </c>
      <c r="J7893" s="7" t="s">
        <v>187</v>
      </c>
      <c r="K7893" s="7" t="s">
        <v>16846</v>
      </c>
      <c r="L7893" s="198" t="s">
        <v>65</v>
      </c>
      <c r="M7893" s="194"/>
      <c r="N7893" s="194"/>
    </row>
    <row r="7894">
      <c r="A7894" s="193" t="s">
        <v>28053</v>
      </c>
      <c r="B7894" s="7" t="s">
        <v>187</v>
      </c>
      <c r="C7894" s="7" t="s">
        <v>16858</v>
      </c>
      <c r="D7894" s="199"/>
      <c r="E7894" s="193"/>
      <c r="F7894" s="195" t="s">
        <v>28054</v>
      </c>
      <c r="G7894" s="196">
        <v>8431578.0</v>
      </c>
      <c r="H7894" s="197">
        <v>0.39</v>
      </c>
      <c r="I7894" s="7" t="s">
        <v>16815</v>
      </c>
      <c r="J7894" s="7" t="s">
        <v>187</v>
      </c>
      <c r="K7894" s="7" t="s">
        <v>16858</v>
      </c>
      <c r="L7894" s="198" t="s">
        <v>65</v>
      </c>
      <c r="M7894" s="199"/>
      <c r="N7894" s="199"/>
    </row>
    <row r="7895">
      <c r="A7895" s="193" t="s">
        <v>28055</v>
      </c>
      <c r="B7895" s="7" t="s">
        <v>169</v>
      </c>
      <c r="C7895" s="7" t="s">
        <v>16945</v>
      </c>
      <c r="D7895" s="194">
        <v>2020.0</v>
      </c>
      <c r="E7895" s="193"/>
      <c r="F7895" s="195" t="s">
        <v>28056</v>
      </c>
      <c r="G7895" s="196">
        <v>8381312.0</v>
      </c>
      <c r="H7895" s="197">
        <v>0.0584</v>
      </c>
      <c r="I7895" s="7" t="s">
        <v>16815</v>
      </c>
      <c r="J7895" s="7" t="s">
        <v>169</v>
      </c>
      <c r="K7895" s="7" t="s">
        <v>16945</v>
      </c>
      <c r="L7895" s="198" t="s">
        <v>65</v>
      </c>
      <c r="M7895" s="194"/>
      <c r="N7895" s="194"/>
    </row>
    <row r="7896">
      <c r="A7896" s="193" t="s">
        <v>28057</v>
      </c>
      <c r="B7896" s="7" t="s">
        <v>16582</v>
      </c>
      <c r="C7896" s="7" t="s">
        <v>17342</v>
      </c>
      <c r="D7896" s="194">
        <v>2014.0</v>
      </c>
      <c r="E7896" s="193"/>
      <c r="F7896" s="195" t="s">
        <v>28058</v>
      </c>
      <c r="G7896" s="196">
        <v>8378337.0</v>
      </c>
      <c r="H7896" s="197">
        <v>1.82</v>
      </c>
      <c r="I7896" s="7" t="s">
        <v>16815</v>
      </c>
      <c r="J7896" s="7" t="s">
        <v>16582</v>
      </c>
      <c r="K7896" s="7" t="s">
        <v>17342</v>
      </c>
      <c r="L7896" s="198" t="s">
        <v>65</v>
      </c>
      <c r="M7896" s="194"/>
      <c r="N7896" s="194"/>
    </row>
    <row r="7897">
      <c r="A7897" s="193" t="s">
        <v>28059</v>
      </c>
      <c r="B7897" s="7" t="s">
        <v>187</v>
      </c>
      <c r="C7897" s="7" t="s">
        <v>16846</v>
      </c>
      <c r="D7897" s="199"/>
      <c r="E7897" s="193"/>
      <c r="F7897" s="195" t="s">
        <v>28060</v>
      </c>
      <c r="G7897" s="196">
        <v>8330538.0</v>
      </c>
      <c r="H7897" s="197">
        <v>0.469</v>
      </c>
      <c r="I7897" s="7" t="s">
        <v>16815</v>
      </c>
      <c r="J7897" s="7" t="s">
        <v>187</v>
      </c>
      <c r="K7897" s="7" t="s">
        <v>16846</v>
      </c>
      <c r="L7897" s="198" t="s">
        <v>65</v>
      </c>
      <c r="M7897" s="199"/>
      <c r="N7897" s="199"/>
    </row>
    <row r="7898">
      <c r="A7898" s="193" t="s">
        <v>28061</v>
      </c>
      <c r="B7898" s="7" t="s">
        <v>16582</v>
      </c>
      <c r="C7898" s="7" t="s">
        <v>16817</v>
      </c>
      <c r="D7898" s="194">
        <v>2021.0</v>
      </c>
      <c r="E7898" s="193"/>
      <c r="F7898" s="195" t="s">
        <v>28062</v>
      </c>
      <c r="G7898" s="196">
        <v>8265888.0</v>
      </c>
      <c r="H7898" s="197">
        <v>2.415</v>
      </c>
      <c r="I7898" s="7" t="s">
        <v>16815</v>
      </c>
      <c r="J7898" s="7" t="s">
        <v>16582</v>
      </c>
      <c r="K7898" s="7" t="s">
        <v>16817</v>
      </c>
      <c r="L7898" s="198" t="s">
        <v>65</v>
      </c>
      <c r="M7898" s="194"/>
      <c r="N7898" s="194"/>
    </row>
    <row r="7899">
      <c r="A7899" s="193" t="s">
        <v>28063</v>
      </c>
      <c r="B7899" s="7" t="s">
        <v>16926</v>
      </c>
      <c r="C7899" s="7" t="s">
        <v>16957</v>
      </c>
      <c r="D7899" s="194">
        <v>2021.0</v>
      </c>
      <c r="E7899" s="193"/>
      <c r="F7899" s="195" t="s">
        <v>28064</v>
      </c>
      <c r="G7899" s="196">
        <v>8228049.0</v>
      </c>
      <c r="H7899" s="197">
        <v>0.77</v>
      </c>
      <c r="I7899" s="7" t="s">
        <v>16815</v>
      </c>
      <c r="J7899" s="7" t="s">
        <v>16926</v>
      </c>
      <c r="K7899" s="7" t="s">
        <v>16957</v>
      </c>
      <c r="L7899" s="198" t="s">
        <v>65</v>
      </c>
      <c r="M7899" s="194"/>
      <c r="N7899" s="194"/>
    </row>
    <row r="7900">
      <c r="A7900" s="193" t="s">
        <v>28063</v>
      </c>
      <c r="B7900" s="202" t="s">
        <v>16957</v>
      </c>
      <c r="C7900" s="193" t="s">
        <v>16926</v>
      </c>
      <c r="D7900" s="193">
        <v>2021.0</v>
      </c>
      <c r="E7900" s="193"/>
      <c r="F7900" s="203" t="s">
        <v>28064</v>
      </c>
      <c r="G7900" s="200">
        <v>8228049.0</v>
      </c>
      <c r="H7900" s="205">
        <v>0.64</v>
      </c>
      <c r="J7900" s="202" t="s">
        <v>16957</v>
      </c>
      <c r="K7900" s="193" t="s">
        <v>16926</v>
      </c>
      <c r="L7900" s="193" t="s">
        <v>17471</v>
      </c>
      <c r="M7900" s="193"/>
      <c r="N7900" s="193"/>
    </row>
    <row r="7901">
      <c r="A7901" s="193" t="s">
        <v>28065</v>
      </c>
      <c r="B7901" s="7" t="s">
        <v>187</v>
      </c>
      <c r="C7901" s="7" t="s">
        <v>16846</v>
      </c>
      <c r="D7901" s="194">
        <v>2019.0</v>
      </c>
      <c r="E7901" s="193"/>
      <c r="F7901" s="195" t="s">
        <v>28066</v>
      </c>
      <c r="G7901" s="196">
        <v>8200468.0</v>
      </c>
      <c r="H7901" s="197">
        <v>0.2262</v>
      </c>
      <c r="I7901" s="7" t="s">
        <v>16815</v>
      </c>
      <c r="J7901" s="7" t="s">
        <v>187</v>
      </c>
      <c r="K7901" s="7" t="s">
        <v>16846</v>
      </c>
      <c r="L7901" s="198" t="s">
        <v>65</v>
      </c>
      <c r="M7901" s="194"/>
      <c r="N7901" s="194"/>
    </row>
    <row r="7902">
      <c r="A7902" s="193" t="s">
        <v>28067</v>
      </c>
      <c r="B7902" s="7" t="s">
        <v>169</v>
      </c>
      <c r="C7902" s="7" t="s">
        <v>16899</v>
      </c>
      <c r="D7902" s="194">
        <v>2021.0</v>
      </c>
      <c r="E7902" s="193"/>
      <c r="F7902" s="195" t="s">
        <v>28068</v>
      </c>
      <c r="G7902" s="196">
        <v>8149468.0</v>
      </c>
      <c r="H7902" s="197">
        <v>0.13</v>
      </c>
      <c r="I7902" s="7" t="s">
        <v>16815</v>
      </c>
      <c r="J7902" s="7" t="s">
        <v>169</v>
      </c>
      <c r="K7902" s="7" t="s">
        <v>16899</v>
      </c>
      <c r="L7902" s="198" t="s">
        <v>65</v>
      </c>
      <c r="M7902" s="194"/>
      <c r="N7902" s="194"/>
    </row>
    <row r="7903">
      <c r="A7903" s="193" t="s">
        <v>28069</v>
      </c>
      <c r="B7903" s="7" t="s">
        <v>16910</v>
      </c>
      <c r="C7903" s="7" t="s">
        <v>17119</v>
      </c>
      <c r="D7903" s="194">
        <v>2020.0</v>
      </c>
      <c r="E7903" s="193"/>
      <c r="F7903" s="195" t="s">
        <v>28070</v>
      </c>
      <c r="G7903" s="196">
        <v>8141116.0</v>
      </c>
      <c r="H7903" s="197">
        <v>0.8713</v>
      </c>
      <c r="I7903" s="7" t="s">
        <v>23183</v>
      </c>
      <c r="J7903" s="7" t="s">
        <v>16910</v>
      </c>
      <c r="K7903" s="7" t="s">
        <v>17119</v>
      </c>
      <c r="L7903" s="198" t="s">
        <v>65</v>
      </c>
      <c r="M7903" s="194"/>
      <c r="N7903" s="194"/>
    </row>
    <row r="7904">
      <c r="A7904" s="193" t="s">
        <v>28069</v>
      </c>
      <c r="B7904" s="202" t="s">
        <v>17119</v>
      </c>
      <c r="C7904" s="193" t="s">
        <v>16910</v>
      </c>
      <c r="D7904" s="193">
        <v>2020.0</v>
      </c>
      <c r="E7904" s="193"/>
      <c r="F7904" s="203" t="s">
        <v>28070</v>
      </c>
      <c r="G7904" s="200">
        <v>8141116.0</v>
      </c>
      <c r="H7904" s="205">
        <v>0.77</v>
      </c>
      <c r="J7904" s="202" t="s">
        <v>17119</v>
      </c>
      <c r="K7904" s="193" t="s">
        <v>16910</v>
      </c>
      <c r="L7904" s="193" t="s">
        <v>17471</v>
      </c>
      <c r="M7904" s="193"/>
      <c r="N7904" s="193"/>
    </row>
    <row r="7905">
      <c r="A7905" s="193" t="s">
        <v>28071</v>
      </c>
      <c r="B7905" s="7" t="s">
        <v>187</v>
      </c>
      <c r="C7905" s="7" t="s">
        <v>16846</v>
      </c>
      <c r="D7905" s="199"/>
      <c r="E7905" s="193"/>
      <c r="F7905" s="195" t="s">
        <v>28072</v>
      </c>
      <c r="G7905" s="196">
        <v>8136123.0</v>
      </c>
      <c r="H7905" s="197">
        <v>2.7</v>
      </c>
      <c r="I7905" s="7" t="s">
        <v>16815</v>
      </c>
      <c r="J7905" s="7" t="s">
        <v>187</v>
      </c>
      <c r="K7905" s="7" t="s">
        <v>16846</v>
      </c>
      <c r="L7905" s="198" t="s">
        <v>65</v>
      </c>
      <c r="M7905" s="199"/>
      <c r="N7905" s="199"/>
    </row>
    <row r="7906">
      <c r="A7906" s="193" t="s">
        <v>28073</v>
      </c>
      <c r="B7906" s="7" t="s">
        <v>16582</v>
      </c>
      <c r="C7906" s="7" t="s">
        <v>16930</v>
      </c>
      <c r="D7906" s="194">
        <v>2021.0</v>
      </c>
      <c r="E7906" s="193"/>
      <c r="F7906" s="195" t="s">
        <v>28074</v>
      </c>
      <c r="G7906" s="196">
        <v>8131432.0</v>
      </c>
      <c r="H7906" s="197">
        <v>2.0099</v>
      </c>
      <c r="I7906" s="7" t="s">
        <v>16815</v>
      </c>
      <c r="J7906" s="7" t="s">
        <v>16582</v>
      </c>
      <c r="K7906" s="7" t="s">
        <v>16930</v>
      </c>
      <c r="L7906" s="198" t="s">
        <v>65</v>
      </c>
      <c r="M7906" s="194"/>
      <c r="N7906" s="194"/>
    </row>
    <row r="7907">
      <c r="A7907" s="193" t="s">
        <v>28075</v>
      </c>
      <c r="B7907" s="7" t="s">
        <v>17112</v>
      </c>
      <c r="C7907" s="7" t="s">
        <v>17787</v>
      </c>
      <c r="D7907" s="199"/>
      <c r="E7907" s="193"/>
      <c r="F7907" s="195" t="s">
        <v>28076</v>
      </c>
      <c r="G7907" s="196">
        <v>8130643.0</v>
      </c>
      <c r="H7907" s="197">
        <v>69.25</v>
      </c>
      <c r="I7907" s="7" t="s">
        <v>16815</v>
      </c>
      <c r="J7907" s="7" t="s">
        <v>17112</v>
      </c>
      <c r="K7907" s="7" t="s">
        <v>17787</v>
      </c>
      <c r="L7907" s="198" t="s">
        <v>65</v>
      </c>
      <c r="M7907" s="199"/>
      <c r="N7907" s="199"/>
    </row>
    <row r="7908">
      <c r="A7908" s="193" t="s">
        <v>28075</v>
      </c>
      <c r="B7908" s="202" t="s">
        <v>17787</v>
      </c>
      <c r="C7908" s="193" t="s">
        <v>17112</v>
      </c>
      <c r="D7908" s="206"/>
      <c r="E7908" s="193"/>
      <c r="F7908" s="203" t="s">
        <v>28076</v>
      </c>
      <c r="G7908" s="200">
        <v>8130643.0</v>
      </c>
      <c r="H7908" s="205">
        <v>0.8713</v>
      </c>
      <c r="J7908" s="202" t="s">
        <v>17787</v>
      </c>
      <c r="K7908" s="193" t="s">
        <v>17112</v>
      </c>
      <c r="L7908" s="193" t="s">
        <v>17471</v>
      </c>
      <c r="M7908" s="206"/>
      <c r="N7908" s="206"/>
    </row>
    <row r="7909">
      <c r="A7909" s="193" t="s">
        <v>28077</v>
      </c>
      <c r="B7909" s="7" t="s">
        <v>169</v>
      </c>
      <c r="C7909" s="7" t="s">
        <v>17321</v>
      </c>
      <c r="D7909" s="199"/>
      <c r="E7909" s="193"/>
      <c r="F7909" s="195" t="s">
        <v>28078</v>
      </c>
      <c r="G7909" s="196">
        <v>8120400.0</v>
      </c>
      <c r="H7909" s="197">
        <v>2.01</v>
      </c>
      <c r="I7909" s="7" t="s">
        <v>16815</v>
      </c>
      <c r="J7909" s="7" t="s">
        <v>169</v>
      </c>
      <c r="K7909" s="7" t="s">
        <v>17321</v>
      </c>
      <c r="L7909" s="198" t="s">
        <v>65</v>
      </c>
      <c r="M7909" s="199"/>
      <c r="N7909" s="199"/>
    </row>
    <row r="7910">
      <c r="A7910" s="193" t="s">
        <v>28079</v>
      </c>
      <c r="B7910" s="7" t="s">
        <v>187</v>
      </c>
      <c r="C7910" s="7" t="s">
        <v>16846</v>
      </c>
      <c r="D7910" s="199"/>
      <c r="E7910" s="193"/>
      <c r="F7910" s="195" t="s">
        <v>28080</v>
      </c>
      <c r="G7910" s="196">
        <v>8117050.0</v>
      </c>
      <c r="H7910" s="197">
        <v>0.4</v>
      </c>
      <c r="I7910" s="7" t="s">
        <v>16815</v>
      </c>
      <c r="J7910" s="7" t="s">
        <v>187</v>
      </c>
      <c r="K7910" s="7" t="s">
        <v>16846</v>
      </c>
      <c r="L7910" s="198" t="s">
        <v>65</v>
      </c>
      <c r="M7910" s="199"/>
      <c r="N7910" s="199"/>
    </row>
    <row r="7911">
      <c r="A7911" s="193" t="s">
        <v>28081</v>
      </c>
      <c r="B7911" s="7" t="s">
        <v>175</v>
      </c>
      <c r="C7911" s="7" t="s">
        <v>16854</v>
      </c>
      <c r="D7911" s="199"/>
      <c r="E7911" s="193"/>
      <c r="F7911" s="195" t="s">
        <v>28082</v>
      </c>
      <c r="G7911" s="196">
        <v>8098747.0</v>
      </c>
      <c r="H7911" s="197">
        <v>1.0399</v>
      </c>
      <c r="I7911" s="7" t="s">
        <v>16908</v>
      </c>
      <c r="J7911" s="7" t="s">
        <v>175</v>
      </c>
      <c r="K7911" s="7" t="s">
        <v>16854</v>
      </c>
      <c r="L7911" s="198" t="s">
        <v>65</v>
      </c>
      <c r="M7911" s="199"/>
      <c r="N7911" s="199"/>
    </row>
    <row r="7912">
      <c r="A7912" s="193" t="s">
        <v>28083</v>
      </c>
      <c r="D7912" s="199"/>
      <c r="E7912" s="193"/>
      <c r="F7912" s="195" t="s">
        <v>28084</v>
      </c>
      <c r="G7912" s="196">
        <v>8092824.0</v>
      </c>
      <c r="H7912" s="197">
        <v>2.28</v>
      </c>
      <c r="I7912" s="7" t="s">
        <v>16815</v>
      </c>
      <c r="L7912" s="198" t="s">
        <v>65</v>
      </c>
      <c r="M7912" s="199"/>
      <c r="N7912" s="199"/>
    </row>
    <row r="7913">
      <c r="A7913" s="193" t="s">
        <v>28085</v>
      </c>
      <c r="B7913" s="7" t="s">
        <v>187</v>
      </c>
      <c r="C7913" s="7" t="s">
        <v>16846</v>
      </c>
      <c r="D7913" s="194">
        <v>2017.0</v>
      </c>
      <c r="E7913" s="193"/>
      <c r="F7913" s="195" t="s">
        <v>28086</v>
      </c>
      <c r="G7913" s="196">
        <v>8083277.0</v>
      </c>
      <c r="H7913" s="197">
        <v>1.78</v>
      </c>
      <c r="I7913" s="7" t="s">
        <v>16815</v>
      </c>
      <c r="J7913" s="7" t="s">
        <v>187</v>
      </c>
      <c r="K7913" s="7" t="s">
        <v>16846</v>
      </c>
      <c r="L7913" s="198" t="s">
        <v>65</v>
      </c>
      <c r="M7913" s="194"/>
      <c r="N7913" s="194"/>
    </row>
    <row r="7914">
      <c r="A7914" s="193" t="s">
        <v>28087</v>
      </c>
      <c r="B7914" s="7" t="s">
        <v>16582</v>
      </c>
      <c r="C7914" s="7" t="s">
        <v>16930</v>
      </c>
      <c r="D7914" s="194">
        <v>2021.0</v>
      </c>
      <c r="E7914" s="193"/>
      <c r="F7914" s="195" t="s">
        <v>28088</v>
      </c>
      <c r="G7914" s="196">
        <v>8042016.0</v>
      </c>
      <c r="H7914" s="197">
        <v>0.2826</v>
      </c>
      <c r="I7914" s="7" t="s">
        <v>16815</v>
      </c>
      <c r="J7914" s="7" t="s">
        <v>16582</v>
      </c>
      <c r="K7914" s="7" t="s">
        <v>16930</v>
      </c>
      <c r="L7914" s="198" t="s">
        <v>65</v>
      </c>
      <c r="M7914" s="194"/>
      <c r="N7914" s="194"/>
    </row>
    <row r="7915">
      <c r="A7915" s="193" t="s">
        <v>28089</v>
      </c>
      <c r="D7915" s="194">
        <v>2022.0</v>
      </c>
      <c r="E7915" s="193"/>
      <c r="F7915" s="195" t="s">
        <v>28090</v>
      </c>
      <c r="G7915" s="196">
        <v>8025600.0</v>
      </c>
      <c r="H7915" s="197">
        <v>1.0032</v>
      </c>
      <c r="I7915" s="7" t="s">
        <v>16815</v>
      </c>
      <c r="L7915" s="198" t="s">
        <v>65</v>
      </c>
      <c r="M7915" s="194"/>
      <c r="N7915" s="194"/>
    </row>
    <row r="7916">
      <c r="A7916" s="193" t="s">
        <v>28091</v>
      </c>
      <c r="B7916" s="7" t="s">
        <v>187</v>
      </c>
      <c r="C7916" s="7" t="s">
        <v>16846</v>
      </c>
      <c r="D7916" s="199"/>
      <c r="E7916" s="193"/>
      <c r="F7916" s="195" t="s">
        <v>28092</v>
      </c>
      <c r="G7916" s="196">
        <v>8010100.0</v>
      </c>
      <c r="H7916" s="197">
        <v>0.47</v>
      </c>
      <c r="I7916" s="7" t="s">
        <v>16815</v>
      </c>
      <c r="J7916" s="7" t="s">
        <v>187</v>
      </c>
      <c r="K7916" s="7" t="s">
        <v>16846</v>
      </c>
      <c r="L7916" s="198" t="s">
        <v>65</v>
      </c>
      <c r="M7916" s="199"/>
      <c r="N7916" s="199"/>
    </row>
    <row r="7917">
      <c r="A7917" s="193" t="s">
        <v>28091</v>
      </c>
      <c r="B7917" s="202" t="s">
        <v>16846</v>
      </c>
      <c r="C7917" s="193" t="s">
        <v>187</v>
      </c>
      <c r="D7917" s="206"/>
      <c r="E7917" s="193"/>
      <c r="F7917" s="203" t="s">
        <v>28092</v>
      </c>
      <c r="G7917" s="200">
        <v>8010100.0</v>
      </c>
      <c r="H7917" s="205">
        <v>69.25</v>
      </c>
      <c r="J7917" s="202" t="s">
        <v>16846</v>
      </c>
      <c r="K7917" s="193" t="s">
        <v>187</v>
      </c>
      <c r="L7917" s="193" t="s">
        <v>17471</v>
      </c>
      <c r="M7917" s="206"/>
      <c r="N7917" s="206"/>
    </row>
    <row r="7918">
      <c r="A7918" s="193" t="s">
        <v>28093</v>
      </c>
      <c r="B7918" s="7" t="s">
        <v>16582</v>
      </c>
      <c r="C7918" s="7" t="s">
        <v>16813</v>
      </c>
      <c r="D7918" s="199"/>
      <c r="E7918" s="193"/>
      <c r="F7918" s="195" t="s">
        <v>28094</v>
      </c>
      <c r="G7918" s="196">
        <v>7982552.0</v>
      </c>
      <c r="H7918" s="197">
        <v>1.09</v>
      </c>
      <c r="I7918" s="7" t="s">
        <v>16815</v>
      </c>
      <c r="J7918" s="7" t="s">
        <v>16582</v>
      </c>
      <c r="K7918" s="7" t="s">
        <v>16813</v>
      </c>
      <c r="L7918" s="198" t="s">
        <v>65</v>
      </c>
      <c r="M7918" s="199"/>
      <c r="N7918" s="199"/>
    </row>
    <row r="7919">
      <c r="A7919" s="193" t="s">
        <v>28095</v>
      </c>
      <c r="B7919" s="7" t="s">
        <v>16910</v>
      </c>
      <c r="C7919" s="7" t="s">
        <v>17318</v>
      </c>
      <c r="D7919" s="194">
        <v>2013.0</v>
      </c>
      <c r="E7919" s="193"/>
      <c r="F7919" s="195" t="s">
        <v>28096</v>
      </c>
      <c r="G7919" s="196">
        <v>7979202.0</v>
      </c>
      <c r="H7919" s="197">
        <v>1.3167</v>
      </c>
      <c r="I7919" s="7" t="s">
        <v>127</v>
      </c>
      <c r="J7919" s="7" t="s">
        <v>16910</v>
      </c>
      <c r="K7919" s="7" t="s">
        <v>17318</v>
      </c>
      <c r="L7919" s="198" t="s">
        <v>65</v>
      </c>
      <c r="M7919" s="194"/>
      <c r="N7919" s="194"/>
    </row>
    <row r="7920">
      <c r="A7920" s="193" t="s">
        <v>28097</v>
      </c>
      <c r="B7920" s="7" t="s">
        <v>158</v>
      </c>
      <c r="C7920" s="7" t="s">
        <v>17171</v>
      </c>
      <c r="D7920" s="199"/>
      <c r="E7920" s="193"/>
      <c r="F7920" s="195" t="s">
        <v>28098</v>
      </c>
      <c r="G7920" s="196">
        <v>7912182.0</v>
      </c>
      <c r="H7920" s="197">
        <v>0.3449</v>
      </c>
      <c r="I7920" s="7" t="s">
        <v>16897</v>
      </c>
      <c r="J7920" s="7" t="s">
        <v>158</v>
      </c>
      <c r="K7920" s="7" t="s">
        <v>17171</v>
      </c>
      <c r="L7920" s="198" t="s">
        <v>65</v>
      </c>
      <c r="M7920" s="199"/>
      <c r="N7920" s="199"/>
    </row>
    <row r="7921">
      <c r="A7921" s="193" t="s">
        <v>28097</v>
      </c>
      <c r="B7921" s="202" t="s">
        <v>17171</v>
      </c>
      <c r="C7921" s="193" t="s">
        <v>158</v>
      </c>
      <c r="D7921" s="206"/>
      <c r="E7921" s="193"/>
      <c r="F7921" s="203" t="s">
        <v>28098</v>
      </c>
      <c r="G7921" s="200">
        <v>7912182.0</v>
      </c>
      <c r="H7921" s="205">
        <v>0.47</v>
      </c>
      <c r="J7921" s="202" t="s">
        <v>17171</v>
      </c>
      <c r="K7921" s="193" t="s">
        <v>158</v>
      </c>
      <c r="L7921" s="193" t="s">
        <v>17471</v>
      </c>
      <c r="M7921" s="206"/>
      <c r="N7921" s="206"/>
    </row>
    <row r="7922">
      <c r="A7922" s="193" t="s">
        <v>28099</v>
      </c>
      <c r="B7922" s="7" t="s">
        <v>187</v>
      </c>
      <c r="C7922" s="7" t="s">
        <v>16846</v>
      </c>
      <c r="D7922" s="199"/>
      <c r="E7922" s="193"/>
      <c r="F7922" s="195" t="s">
        <v>28100</v>
      </c>
      <c r="G7922" s="196">
        <v>7902373.0</v>
      </c>
      <c r="H7922" s="197">
        <v>1.94</v>
      </c>
      <c r="I7922" s="7" t="s">
        <v>16815</v>
      </c>
      <c r="J7922" s="7" t="s">
        <v>187</v>
      </c>
      <c r="K7922" s="7" t="s">
        <v>16846</v>
      </c>
      <c r="L7922" s="198" t="s">
        <v>65</v>
      </c>
      <c r="M7922" s="199"/>
      <c r="N7922" s="199"/>
    </row>
    <row r="7923">
      <c r="A7923" s="193" t="s">
        <v>28099</v>
      </c>
      <c r="B7923" s="202" t="s">
        <v>16846</v>
      </c>
      <c r="C7923" s="193" t="s">
        <v>187</v>
      </c>
      <c r="D7923" s="206"/>
      <c r="E7923" s="193"/>
      <c r="F7923" s="203" t="s">
        <v>28100</v>
      </c>
      <c r="G7923" s="200">
        <v>7902373.0</v>
      </c>
      <c r="H7923" s="205">
        <v>0.3449</v>
      </c>
      <c r="J7923" s="202" t="s">
        <v>16846</v>
      </c>
      <c r="K7923" s="193" t="s">
        <v>187</v>
      </c>
      <c r="L7923" s="193" t="s">
        <v>17471</v>
      </c>
      <c r="M7923" s="206"/>
      <c r="N7923" s="206"/>
    </row>
    <row r="7924">
      <c r="A7924" s="193" t="s">
        <v>28101</v>
      </c>
      <c r="B7924" s="7" t="s">
        <v>187</v>
      </c>
      <c r="C7924" s="7" t="s">
        <v>16846</v>
      </c>
      <c r="D7924" s="194">
        <v>2015.0</v>
      </c>
      <c r="E7924" s="193"/>
      <c r="F7924" s="195" t="s">
        <v>28102</v>
      </c>
      <c r="G7924" s="196">
        <v>7870547.0</v>
      </c>
      <c r="H7924" s="197">
        <v>2.55</v>
      </c>
      <c r="I7924" s="7" t="s">
        <v>16815</v>
      </c>
      <c r="J7924" s="7" t="s">
        <v>187</v>
      </c>
      <c r="K7924" s="7" t="s">
        <v>16846</v>
      </c>
      <c r="L7924" s="198" t="s">
        <v>65</v>
      </c>
      <c r="M7924" s="194"/>
      <c r="N7924" s="194"/>
    </row>
    <row r="7925">
      <c r="A7925" s="193" t="s">
        <v>28101</v>
      </c>
      <c r="B7925" s="202" t="s">
        <v>16846</v>
      </c>
      <c r="C7925" s="193" t="s">
        <v>187</v>
      </c>
      <c r="D7925" s="193">
        <v>2015.0</v>
      </c>
      <c r="E7925" s="193"/>
      <c r="F7925" s="203" t="s">
        <v>28102</v>
      </c>
      <c r="G7925" s="200">
        <v>7870547.0</v>
      </c>
      <c r="H7925" s="205">
        <v>1.94</v>
      </c>
      <c r="J7925" s="202" t="s">
        <v>16846</v>
      </c>
      <c r="K7925" s="193" t="s">
        <v>187</v>
      </c>
      <c r="L7925" s="193" t="s">
        <v>17471</v>
      </c>
      <c r="M7925" s="193"/>
      <c r="N7925" s="193"/>
    </row>
    <row r="7926">
      <c r="A7926" s="193" t="s">
        <v>28103</v>
      </c>
      <c r="B7926" s="7" t="s">
        <v>175</v>
      </c>
      <c r="C7926" s="7" t="s">
        <v>17757</v>
      </c>
      <c r="D7926" s="194">
        <v>2023.0</v>
      </c>
      <c r="E7926" s="193"/>
      <c r="F7926" s="195" t="s">
        <v>28104</v>
      </c>
      <c r="G7926" s="196">
        <v>7850092.0</v>
      </c>
      <c r="H7926" s="197">
        <v>0.52</v>
      </c>
      <c r="I7926" s="7" t="s">
        <v>16856</v>
      </c>
      <c r="J7926" s="7" t="s">
        <v>175</v>
      </c>
      <c r="K7926" s="7" t="s">
        <v>17757</v>
      </c>
      <c r="L7926" s="198" t="s">
        <v>65</v>
      </c>
      <c r="M7926" s="194"/>
      <c r="N7926" s="194"/>
    </row>
    <row r="7927">
      <c r="A7927" s="193" t="s">
        <v>28105</v>
      </c>
      <c r="B7927" s="7" t="s">
        <v>187</v>
      </c>
      <c r="C7927" s="7" t="s">
        <v>16846</v>
      </c>
      <c r="D7927" s="194">
        <v>2014.0</v>
      </c>
      <c r="E7927" s="193"/>
      <c r="F7927" s="195" t="s">
        <v>28106</v>
      </c>
      <c r="G7927" s="196">
        <v>7815919.0</v>
      </c>
      <c r="H7927" s="197">
        <v>0.57</v>
      </c>
      <c r="I7927" s="7" t="s">
        <v>16815</v>
      </c>
      <c r="J7927" s="7" t="s">
        <v>187</v>
      </c>
      <c r="K7927" s="7" t="s">
        <v>16846</v>
      </c>
      <c r="L7927" s="198" t="s">
        <v>65</v>
      </c>
      <c r="M7927" s="194"/>
      <c r="N7927" s="194"/>
    </row>
    <row r="7928">
      <c r="A7928" s="193" t="s">
        <v>28107</v>
      </c>
      <c r="B7928" s="7" t="s">
        <v>175</v>
      </c>
      <c r="C7928" s="7" t="s">
        <v>17183</v>
      </c>
      <c r="D7928" s="194">
        <v>2020.0</v>
      </c>
      <c r="E7928" s="193"/>
      <c r="F7928" s="195" t="s">
        <v>28108</v>
      </c>
      <c r="G7928" s="196">
        <v>7800456.0</v>
      </c>
      <c r="H7928" s="197">
        <v>1.93</v>
      </c>
      <c r="I7928" s="7" t="s">
        <v>16856</v>
      </c>
      <c r="J7928" s="7" t="s">
        <v>175</v>
      </c>
      <c r="K7928" s="7" t="s">
        <v>17183</v>
      </c>
      <c r="L7928" s="198" t="s">
        <v>65</v>
      </c>
      <c r="M7928" s="194"/>
      <c r="N7928" s="194"/>
    </row>
    <row r="7929">
      <c r="A7929" s="193" t="s">
        <v>28109</v>
      </c>
      <c r="D7929" s="194">
        <v>2022.0</v>
      </c>
      <c r="E7929" s="193"/>
      <c r="F7929" s="195" t="s">
        <v>28110</v>
      </c>
      <c r="G7929" s="196">
        <v>7785113.0</v>
      </c>
      <c r="H7929" s="197">
        <v>6.1</v>
      </c>
      <c r="I7929" s="7" t="s">
        <v>16815</v>
      </c>
      <c r="L7929" s="198" t="s">
        <v>65</v>
      </c>
      <c r="M7929" s="194"/>
      <c r="N7929" s="194"/>
    </row>
    <row r="7930">
      <c r="A7930" s="193" t="s">
        <v>28111</v>
      </c>
      <c r="B7930" s="7" t="s">
        <v>175</v>
      </c>
      <c r="C7930" s="7" t="s">
        <v>16854</v>
      </c>
      <c r="D7930" s="194">
        <v>2018.0</v>
      </c>
      <c r="E7930" s="193"/>
      <c r="F7930" s="195" t="s">
        <v>28112</v>
      </c>
      <c r="G7930" s="196">
        <v>7763824.0</v>
      </c>
      <c r="H7930" s="197">
        <v>0.316</v>
      </c>
      <c r="I7930" s="7" t="s">
        <v>17270</v>
      </c>
      <c r="J7930" s="7" t="s">
        <v>175</v>
      </c>
      <c r="K7930" s="7" t="s">
        <v>16854</v>
      </c>
      <c r="L7930" s="198" t="s">
        <v>65</v>
      </c>
      <c r="M7930" s="194"/>
      <c r="N7930" s="194"/>
    </row>
    <row r="7931">
      <c r="A7931" s="193" t="s">
        <v>28113</v>
      </c>
      <c r="B7931" s="7" t="s">
        <v>16582</v>
      </c>
      <c r="C7931" s="7" t="s">
        <v>16817</v>
      </c>
      <c r="D7931" s="194">
        <v>2007.0</v>
      </c>
      <c r="E7931" s="193"/>
      <c r="F7931" s="195" t="s">
        <v>28114</v>
      </c>
      <c r="G7931" s="196">
        <v>7709031.0</v>
      </c>
      <c r="H7931" s="197">
        <v>0.74</v>
      </c>
      <c r="I7931" s="7" t="s">
        <v>16815</v>
      </c>
      <c r="J7931" s="7" t="s">
        <v>16582</v>
      </c>
      <c r="K7931" s="7" t="s">
        <v>16817</v>
      </c>
      <c r="L7931" s="198" t="s">
        <v>65</v>
      </c>
      <c r="M7931" s="194"/>
      <c r="N7931" s="194"/>
    </row>
    <row r="7932">
      <c r="A7932" s="193" t="s">
        <v>28115</v>
      </c>
      <c r="B7932" s="7" t="s">
        <v>17111</v>
      </c>
      <c r="C7932" s="7" t="s">
        <v>17112</v>
      </c>
      <c r="D7932" s="199"/>
      <c r="E7932" s="193"/>
      <c r="F7932" s="195" t="s">
        <v>28116</v>
      </c>
      <c r="G7932" s="200">
        <v>7698045.0</v>
      </c>
      <c r="H7932" s="197">
        <v>0.48</v>
      </c>
      <c r="I7932" s="7" t="s">
        <v>16815</v>
      </c>
      <c r="J7932" s="7" t="s">
        <v>17111</v>
      </c>
      <c r="K7932" s="7" t="s">
        <v>17112</v>
      </c>
      <c r="L7932" s="201" t="s">
        <v>16835</v>
      </c>
      <c r="M7932" s="199"/>
      <c r="N7932" s="199"/>
    </row>
    <row r="7933">
      <c r="A7933" s="193" t="s">
        <v>28115</v>
      </c>
      <c r="B7933" s="7" t="s">
        <v>17112</v>
      </c>
      <c r="C7933" s="7" t="s">
        <v>17111</v>
      </c>
      <c r="D7933" s="199"/>
      <c r="E7933" s="193"/>
      <c r="F7933" s="195" t="s">
        <v>28116</v>
      </c>
      <c r="G7933" s="196">
        <v>7698045.0</v>
      </c>
      <c r="H7933" s="197">
        <v>0.48</v>
      </c>
      <c r="I7933" s="7" t="s">
        <v>16815</v>
      </c>
      <c r="J7933" s="7" t="s">
        <v>17112</v>
      </c>
      <c r="K7933" s="7" t="s">
        <v>17111</v>
      </c>
      <c r="L7933" s="198" t="s">
        <v>65</v>
      </c>
      <c r="M7933" s="199"/>
      <c r="N7933" s="199"/>
    </row>
    <row r="7934">
      <c r="A7934" s="193" t="s">
        <v>28117</v>
      </c>
      <c r="B7934" s="7" t="s">
        <v>17112</v>
      </c>
      <c r="C7934" s="7" t="s">
        <v>17218</v>
      </c>
      <c r="D7934" s="194">
        <v>2019.0</v>
      </c>
      <c r="E7934" s="193"/>
      <c r="F7934" s="195" t="s">
        <v>28118</v>
      </c>
      <c r="G7934" s="196">
        <v>7674373.0</v>
      </c>
      <c r="H7934" s="197">
        <v>1.74</v>
      </c>
      <c r="I7934" s="7" t="s">
        <v>16815</v>
      </c>
      <c r="J7934" s="7" t="s">
        <v>17112</v>
      </c>
      <c r="K7934" s="7" t="s">
        <v>17218</v>
      </c>
      <c r="L7934" s="198" t="s">
        <v>65</v>
      </c>
      <c r="M7934" s="194"/>
      <c r="N7934" s="194"/>
    </row>
    <row r="7935">
      <c r="A7935" s="193" t="s">
        <v>28119</v>
      </c>
      <c r="B7935" s="7" t="s">
        <v>187</v>
      </c>
      <c r="C7935" s="7" t="s">
        <v>16846</v>
      </c>
      <c r="D7935" s="199"/>
      <c r="E7935" s="193"/>
      <c r="F7935" s="195" t="s">
        <v>28120</v>
      </c>
      <c r="G7935" s="196">
        <v>7673445.0</v>
      </c>
      <c r="H7935" s="197">
        <v>0.3128</v>
      </c>
      <c r="I7935" s="7" t="s">
        <v>16815</v>
      </c>
      <c r="J7935" s="7" t="s">
        <v>187</v>
      </c>
      <c r="K7935" s="7" t="s">
        <v>16846</v>
      </c>
      <c r="L7935" s="198" t="s">
        <v>65</v>
      </c>
      <c r="M7935" s="199"/>
      <c r="N7935" s="199"/>
    </row>
    <row r="7936">
      <c r="A7936" s="193" t="s">
        <v>28121</v>
      </c>
      <c r="B7936" s="7" t="s">
        <v>187</v>
      </c>
      <c r="C7936" s="7" t="s">
        <v>16858</v>
      </c>
      <c r="D7936" s="199"/>
      <c r="E7936" s="193"/>
      <c r="F7936" s="195" t="s">
        <v>28122</v>
      </c>
      <c r="G7936" s="196">
        <v>7670692.0</v>
      </c>
      <c r="H7936" s="197">
        <v>0.1704</v>
      </c>
      <c r="I7936" s="7" t="s">
        <v>16815</v>
      </c>
      <c r="J7936" s="7" t="s">
        <v>187</v>
      </c>
      <c r="K7936" s="7" t="s">
        <v>16858</v>
      </c>
      <c r="L7936" s="198" t="s">
        <v>65</v>
      </c>
      <c r="M7936" s="199"/>
      <c r="N7936" s="199"/>
    </row>
    <row r="7937">
      <c r="A7937" s="193" t="s">
        <v>28123</v>
      </c>
      <c r="B7937" s="7" t="s">
        <v>16582</v>
      </c>
      <c r="C7937" s="7" t="s">
        <v>16817</v>
      </c>
      <c r="D7937" s="194">
        <v>2023.0</v>
      </c>
      <c r="E7937" s="193"/>
      <c r="F7937" s="195" t="s">
        <v>28124</v>
      </c>
      <c r="G7937" s="196">
        <v>7667775.0</v>
      </c>
      <c r="H7937" s="197">
        <v>0.45</v>
      </c>
      <c r="I7937" s="7" t="s">
        <v>16815</v>
      </c>
      <c r="J7937" s="7" t="s">
        <v>16582</v>
      </c>
      <c r="K7937" s="7" t="s">
        <v>16817</v>
      </c>
      <c r="L7937" s="198" t="s">
        <v>65</v>
      </c>
      <c r="M7937" s="194"/>
      <c r="N7937" s="194"/>
    </row>
    <row r="7938">
      <c r="A7938" s="193" t="s">
        <v>28125</v>
      </c>
      <c r="B7938" s="7" t="s">
        <v>16910</v>
      </c>
      <c r="C7938" s="7" t="s">
        <v>17119</v>
      </c>
      <c r="D7938" s="194">
        <v>2018.0</v>
      </c>
      <c r="E7938" s="193"/>
      <c r="F7938" s="195" t="s">
        <v>28126</v>
      </c>
      <c r="G7938" s="196">
        <v>7654646.0</v>
      </c>
      <c r="H7938" s="197">
        <v>1.29</v>
      </c>
      <c r="I7938" s="7" t="s">
        <v>20639</v>
      </c>
      <c r="J7938" s="7" t="s">
        <v>16910</v>
      </c>
      <c r="K7938" s="7" t="s">
        <v>17119</v>
      </c>
      <c r="L7938" s="198" t="s">
        <v>65</v>
      </c>
      <c r="M7938" s="194"/>
      <c r="N7938" s="194"/>
    </row>
    <row r="7939">
      <c r="A7939" s="193" t="s">
        <v>28127</v>
      </c>
      <c r="B7939" s="7" t="s">
        <v>187</v>
      </c>
      <c r="C7939" s="7" t="s">
        <v>16846</v>
      </c>
      <c r="D7939" s="194">
        <v>2019.0</v>
      </c>
      <c r="E7939" s="193"/>
      <c r="F7939" s="195" t="s">
        <v>28128</v>
      </c>
      <c r="G7939" s="196">
        <v>7652509.0</v>
      </c>
      <c r="H7939" s="197">
        <v>6.01</v>
      </c>
      <c r="I7939" s="7" t="s">
        <v>16815</v>
      </c>
      <c r="J7939" s="7" t="s">
        <v>187</v>
      </c>
      <c r="K7939" s="7" t="s">
        <v>16846</v>
      </c>
      <c r="L7939" s="198" t="s">
        <v>65</v>
      </c>
      <c r="M7939" s="194"/>
      <c r="N7939" s="194"/>
    </row>
    <row r="7940">
      <c r="A7940" s="193" t="s">
        <v>28129</v>
      </c>
      <c r="B7940" s="7" t="s">
        <v>187</v>
      </c>
      <c r="C7940" s="7" t="s">
        <v>16846</v>
      </c>
      <c r="D7940" s="199"/>
      <c r="E7940" s="193"/>
      <c r="F7940" s="195" t="s">
        <v>28130</v>
      </c>
      <c r="G7940" s="196">
        <v>7630426.0</v>
      </c>
      <c r="H7940" s="197">
        <v>0.2766</v>
      </c>
      <c r="I7940" s="7" t="s">
        <v>16815</v>
      </c>
      <c r="J7940" s="7" t="s">
        <v>187</v>
      </c>
      <c r="K7940" s="7" t="s">
        <v>16846</v>
      </c>
      <c r="L7940" s="198" t="s">
        <v>65</v>
      </c>
      <c r="M7940" s="199"/>
      <c r="N7940" s="199"/>
    </row>
    <row r="7941">
      <c r="A7941" s="193" t="s">
        <v>28129</v>
      </c>
      <c r="B7941" s="202" t="s">
        <v>16846</v>
      </c>
      <c r="C7941" s="193" t="s">
        <v>187</v>
      </c>
      <c r="D7941" s="206"/>
      <c r="E7941" s="193"/>
      <c r="F7941" s="203" t="s">
        <v>28130</v>
      </c>
      <c r="G7941" s="200">
        <v>7630426.0</v>
      </c>
      <c r="H7941" s="205">
        <v>2.55</v>
      </c>
      <c r="J7941" s="202" t="s">
        <v>16846</v>
      </c>
      <c r="K7941" s="193" t="s">
        <v>187</v>
      </c>
      <c r="L7941" s="193" t="s">
        <v>17471</v>
      </c>
      <c r="M7941" s="206"/>
      <c r="N7941" s="206"/>
    </row>
    <row r="7942">
      <c r="A7942" s="193" t="s">
        <v>28131</v>
      </c>
      <c r="B7942" s="7" t="s">
        <v>187</v>
      </c>
      <c r="C7942" s="7" t="s">
        <v>16846</v>
      </c>
      <c r="D7942" s="194">
        <v>2011.0</v>
      </c>
      <c r="E7942" s="193"/>
      <c r="F7942" s="195" t="s">
        <v>28132</v>
      </c>
      <c r="G7942" s="196">
        <v>7565475.0</v>
      </c>
      <c r="H7942" s="197">
        <v>0.463</v>
      </c>
      <c r="I7942" s="7" t="s">
        <v>16815</v>
      </c>
      <c r="J7942" s="7" t="s">
        <v>187</v>
      </c>
      <c r="K7942" s="7" t="s">
        <v>16846</v>
      </c>
      <c r="L7942" s="198" t="s">
        <v>65</v>
      </c>
      <c r="M7942" s="194"/>
      <c r="N7942" s="194"/>
    </row>
    <row r="7943">
      <c r="A7943" s="193" t="s">
        <v>28133</v>
      </c>
      <c r="B7943" s="7" t="s">
        <v>187</v>
      </c>
      <c r="C7943" s="7" t="s">
        <v>16846</v>
      </c>
      <c r="D7943" s="194">
        <v>2022.0</v>
      </c>
      <c r="E7943" s="193"/>
      <c r="F7943" s="195" t="s">
        <v>28134</v>
      </c>
      <c r="G7943" s="196">
        <v>7564506.0</v>
      </c>
      <c r="H7943" s="197">
        <v>0.4808</v>
      </c>
      <c r="I7943" s="7" t="s">
        <v>16815</v>
      </c>
      <c r="J7943" s="7" t="s">
        <v>187</v>
      </c>
      <c r="K7943" s="7" t="s">
        <v>16846</v>
      </c>
      <c r="L7943" s="198" t="s">
        <v>65</v>
      </c>
      <c r="M7943" s="194"/>
      <c r="N7943" s="194"/>
    </row>
    <row r="7944">
      <c r="A7944" s="193" t="s">
        <v>28135</v>
      </c>
      <c r="B7944" s="7" t="s">
        <v>16838</v>
      </c>
      <c r="C7944" s="7" t="s">
        <v>17016</v>
      </c>
      <c r="D7944" s="194">
        <v>2019.0</v>
      </c>
      <c r="E7944" s="193"/>
      <c r="F7944" s="195" t="s">
        <v>28136</v>
      </c>
      <c r="G7944" s="196">
        <v>7540173.0</v>
      </c>
      <c r="H7944" s="197">
        <v>2.2301</v>
      </c>
      <c r="I7944" s="7" t="s">
        <v>16815</v>
      </c>
      <c r="J7944" s="7" t="s">
        <v>16838</v>
      </c>
      <c r="K7944" s="7" t="s">
        <v>17016</v>
      </c>
      <c r="L7944" s="198" t="s">
        <v>65</v>
      </c>
      <c r="M7944" s="194"/>
      <c r="N7944" s="194"/>
    </row>
    <row r="7945">
      <c r="A7945" s="193" t="s">
        <v>28137</v>
      </c>
      <c r="B7945" s="7" t="s">
        <v>16919</v>
      </c>
      <c r="C7945" s="7" t="s">
        <v>16920</v>
      </c>
      <c r="D7945" s="199"/>
      <c r="E7945" s="193"/>
      <c r="F7945" s="195" t="s">
        <v>28138</v>
      </c>
      <c r="G7945" s="196">
        <v>7535258.0</v>
      </c>
      <c r="H7945" s="197">
        <v>0.5186</v>
      </c>
      <c r="I7945" s="7" t="s">
        <v>16815</v>
      </c>
      <c r="J7945" s="7" t="s">
        <v>16919</v>
      </c>
      <c r="K7945" s="7" t="s">
        <v>16920</v>
      </c>
      <c r="L7945" s="198" t="s">
        <v>65</v>
      </c>
      <c r="M7945" s="199"/>
      <c r="N7945" s="199"/>
    </row>
    <row r="7946">
      <c r="A7946" s="193" t="s">
        <v>28139</v>
      </c>
      <c r="D7946" s="194">
        <v>2023.0</v>
      </c>
      <c r="E7946" s="193"/>
      <c r="F7946" s="195" t="s">
        <v>28140</v>
      </c>
      <c r="G7946" s="196">
        <v>7527220.0</v>
      </c>
      <c r="H7946" s="197">
        <v>0.5005</v>
      </c>
      <c r="I7946" s="7" t="s">
        <v>16815</v>
      </c>
      <c r="L7946" s="198" t="s">
        <v>65</v>
      </c>
      <c r="M7946" s="194"/>
      <c r="N7946" s="194"/>
    </row>
    <row r="7947">
      <c r="A7947" s="193" t="s">
        <v>28141</v>
      </c>
      <c r="B7947" s="7" t="s">
        <v>187</v>
      </c>
      <c r="C7947" s="7" t="s">
        <v>16969</v>
      </c>
      <c r="D7947" s="199"/>
      <c r="E7947" s="193"/>
      <c r="F7947" s="195" t="s">
        <v>28142</v>
      </c>
      <c r="G7947" s="196">
        <v>7520761.0</v>
      </c>
      <c r="H7947" s="197">
        <v>0.0675</v>
      </c>
      <c r="I7947" s="7" t="s">
        <v>16815</v>
      </c>
      <c r="J7947" s="7" t="s">
        <v>187</v>
      </c>
      <c r="K7947" s="7" t="s">
        <v>16969</v>
      </c>
      <c r="L7947" s="198" t="s">
        <v>65</v>
      </c>
      <c r="M7947" s="199"/>
      <c r="N7947" s="199"/>
    </row>
    <row r="7948">
      <c r="A7948" s="193" t="s">
        <v>28143</v>
      </c>
      <c r="B7948" s="7" t="s">
        <v>175</v>
      </c>
      <c r="C7948" s="7" t="s">
        <v>17022</v>
      </c>
      <c r="D7948" s="194">
        <v>2019.0</v>
      </c>
      <c r="E7948" s="193"/>
      <c r="F7948" s="195" t="s">
        <v>28144</v>
      </c>
      <c r="G7948" s="196">
        <v>7502500.0</v>
      </c>
      <c r="H7948" s="197">
        <v>0.3001</v>
      </c>
      <c r="I7948" s="7" t="s">
        <v>16908</v>
      </c>
      <c r="J7948" s="7" t="s">
        <v>175</v>
      </c>
      <c r="K7948" s="7" t="s">
        <v>17022</v>
      </c>
      <c r="L7948" s="198" t="s">
        <v>65</v>
      </c>
      <c r="M7948" s="194"/>
      <c r="N7948" s="194"/>
    </row>
    <row r="7949">
      <c r="A7949" s="193" t="s">
        <v>28145</v>
      </c>
      <c r="B7949" s="7" t="s">
        <v>175</v>
      </c>
      <c r="C7949" s="7" t="s">
        <v>16854</v>
      </c>
      <c r="D7949" s="194">
        <v>2020.0</v>
      </c>
      <c r="E7949" s="193"/>
      <c r="F7949" s="195" t="s">
        <v>28146</v>
      </c>
      <c r="G7949" s="196">
        <v>7462821.0</v>
      </c>
      <c r="H7949" s="197">
        <v>1.21</v>
      </c>
      <c r="I7949" s="7" t="s">
        <v>17872</v>
      </c>
      <c r="J7949" s="7" t="s">
        <v>175</v>
      </c>
      <c r="K7949" s="7" t="s">
        <v>16854</v>
      </c>
      <c r="L7949" s="198" t="s">
        <v>65</v>
      </c>
      <c r="M7949" s="194"/>
      <c r="N7949" s="194"/>
    </row>
    <row r="7950">
      <c r="A7950" s="193" t="s">
        <v>28147</v>
      </c>
      <c r="B7950" s="7" t="s">
        <v>187</v>
      </c>
      <c r="C7950" s="7" t="s">
        <v>16846</v>
      </c>
      <c r="D7950" s="199"/>
      <c r="E7950" s="193"/>
      <c r="F7950" s="195" t="s">
        <v>28148</v>
      </c>
      <c r="G7950" s="196">
        <v>7438107.0</v>
      </c>
      <c r="H7950" s="197">
        <v>0.2889</v>
      </c>
      <c r="I7950" s="7" t="s">
        <v>16815</v>
      </c>
      <c r="J7950" s="7" t="s">
        <v>187</v>
      </c>
      <c r="K7950" s="7" t="s">
        <v>16846</v>
      </c>
      <c r="L7950" s="198" t="s">
        <v>65</v>
      </c>
      <c r="M7950" s="199"/>
      <c r="N7950" s="199"/>
    </row>
    <row r="7951">
      <c r="A7951" s="193" t="s">
        <v>28149</v>
      </c>
      <c r="B7951" s="7" t="s">
        <v>169</v>
      </c>
      <c r="C7951" s="7" t="s">
        <v>17321</v>
      </c>
      <c r="D7951" s="199"/>
      <c r="E7951" s="193"/>
      <c r="F7951" s="195" t="s">
        <v>28150</v>
      </c>
      <c r="G7951" s="196">
        <v>7422025.0</v>
      </c>
      <c r="H7951" s="197">
        <v>0.7397</v>
      </c>
      <c r="I7951" s="7" t="s">
        <v>16815</v>
      </c>
      <c r="J7951" s="7" t="s">
        <v>169</v>
      </c>
      <c r="K7951" s="7" t="s">
        <v>17321</v>
      </c>
      <c r="L7951" s="198" t="s">
        <v>65</v>
      </c>
      <c r="M7951" s="199"/>
      <c r="N7951" s="199"/>
    </row>
    <row r="7952">
      <c r="A7952" s="193" t="s">
        <v>28151</v>
      </c>
      <c r="B7952" s="7" t="s">
        <v>187</v>
      </c>
      <c r="C7952" s="7" t="s">
        <v>16969</v>
      </c>
      <c r="D7952" s="199"/>
      <c r="E7952" s="193"/>
      <c r="F7952" s="195" t="s">
        <v>28152</v>
      </c>
      <c r="G7952" s="196">
        <v>7397673.0</v>
      </c>
      <c r="H7952" s="197">
        <v>0.889</v>
      </c>
      <c r="I7952" s="7" t="s">
        <v>16815</v>
      </c>
      <c r="J7952" s="7" t="s">
        <v>187</v>
      </c>
      <c r="K7952" s="7" t="s">
        <v>16969</v>
      </c>
      <c r="L7952" s="198" t="s">
        <v>65</v>
      </c>
      <c r="M7952" s="199"/>
      <c r="N7952" s="199"/>
    </row>
    <row r="7953">
      <c r="A7953" s="193" t="s">
        <v>28153</v>
      </c>
      <c r="B7953" s="7" t="s">
        <v>175</v>
      </c>
      <c r="C7953" s="7" t="s">
        <v>17025</v>
      </c>
      <c r="D7953" s="194">
        <v>2020.0</v>
      </c>
      <c r="E7953" s="193"/>
      <c r="F7953" s="195" t="s">
        <v>28154</v>
      </c>
      <c r="G7953" s="196">
        <v>7357585.0</v>
      </c>
      <c r="H7953" s="197">
        <v>0.0418</v>
      </c>
      <c r="I7953" s="7" t="s">
        <v>16856</v>
      </c>
      <c r="J7953" s="7" t="s">
        <v>175</v>
      </c>
      <c r="K7953" s="7" t="s">
        <v>17025</v>
      </c>
      <c r="L7953" s="198" t="s">
        <v>65</v>
      </c>
      <c r="M7953" s="194"/>
      <c r="N7953" s="194"/>
    </row>
    <row r="7954">
      <c r="A7954" s="193" t="s">
        <v>28155</v>
      </c>
      <c r="B7954" s="7" t="s">
        <v>187</v>
      </c>
      <c r="C7954" s="7" t="s">
        <v>16846</v>
      </c>
      <c r="D7954" s="194">
        <v>2014.0</v>
      </c>
      <c r="E7954" s="193"/>
      <c r="F7954" s="195" t="s">
        <v>28156</v>
      </c>
      <c r="G7954" s="196">
        <v>7298204.0</v>
      </c>
      <c r="H7954" s="197">
        <v>3.29</v>
      </c>
      <c r="I7954" s="7" t="s">
        <v>16815</v>
      </c>
      <c r="J7954" s="7" t="s">
        <v>187</v>
      </c>
      <c r="K7954" s="7" t="s">
        <v>16846</v>
      </c>
      <c r="L7954" s="198" t="s">
        <v>65</v>
      </c>
      <c r="M7954" s="194"/>
      <c r="N7954" s="194"/>
    </row>
    <row r="7955">
      <c r="A7955" s="193" t="s">
        <v>28157</v>
      </c>
      <c r="B7955" s="7" t="s">
        <v>16838</v>
      </c>
      <c r="C7955" s="7" t="s">
        <v>16837</v>
      </c>
      <c r="D7955" s="199"/>
      <c r="E7955" s="193"/>
      <c r="F7955" s="195" t="s">
        <v>28158</v>
      </c>
      <c r="G7955" s="196">
        <v>7287124.0</v>
      </c>
      <c r="H7955" s="197">
        <v>1.51</v>
      </c>
      <c r="I7955" s="7" t="s">
        <v>16815</v>
      </c>
      <c r="J7955" s="7" t="s">
        <v>16838</v>
      </c>
      <c r="K7955" s="7" t="s">
        <v>16837</v>
      </c>
      <c r="L7955" s="198" t="s">
        <v>65</v>
      </c>
      <c r="M7955" s="199"/>
      <c r="N7955" s="199"/>
    </row>
    <row r="7956">
      <c r="A7956" s="193" t="s">
        <v>28159</v>
      </c>
      <c r="B7956" s="7" t="s">
        <v>16838</v>
      </c>
      <c r="C7956" s="7" t="s">
        <v>17127</v>
      </c>
      <c r="D7956" s="194">
        <v>2014.0</v>
      </c>
      <c r="E7956" s="193"/>
      <c r="F7956" s="195" t="s">
        <v>28160</v>
      </c>
      <c r="G7956" s="196">
        <v>7279090.0</v>
      </c>
      <c r="H7956" s="197">
        <v>1.24</v>
      </c>
      <c r="I7956" s="7" t="s">
        <v>16815</v>
      </c>
      <c r="J7956" s="7" t="s">
        <v>16838</v>
      </c>
      <c r="K7956" s="7" t="s">
        <v>17127</v>
      </c>
      <c r="L7956" s="198" t="s">
        <v>65</v>
      </c>
      <c r="M7956" s="194"/>
      <c r="N7956" s="194"/>
    </row>
    <row r="7957">
      <c r="A7957" s="193" t="s">
        <v>28161</v>
      </c>
      <c r="B7957" s="7" t="s">
        <v>169</v>
      </c>
      <c r="C7957" s="7" t="s">
        <v>18732</v>
      </c>
      <c r="D7957" s="199"/>
      <c r="E7957" s="193"/>
      <c r="F7957" s="195" t="s">
        <v>28162</v>
      </c>
      <c r="G7957" s="196">
        <v>7269206.0</v>
      </c>
      <c r="H7957" s="197">
        <v>0.7225</v>
      </c>
      <c r="I7957" s="7" t="s">
        <v>16815</v>
      </c>
      <c r="J7957" s="7" t="s">
        <v>169</v>
      </c>
      <c r="K7957" s="7" t="s">
        <v>18732</v>
      </c>
      <c r="L7957" s="198" t="s">
        <v>65</v>
      </c>
      <c r="M7957" s="199"/>
      <c r="N7957" s="199"/>
    </row>
    <row r="7958">
      <c r="A7958" s="193" t="s">
        <v>28163</v>
      </c>
      <c r="B7958" s="7" t="s">
        <v>16582</v>
      </c>
      <c r="C7958" s="7" t="s">
        <v>16930</v>
      </c>
      <c r="D7958" s="194">
        <v>2013.0</v>
      </c>
      <c r="E7958" s="193"/>
      <c r="F7958" s="195" t="s">
        <v>28164</v>
      </c>
      <c r="G7958" s="196">
        <v>7205866.0</v>
      </c>
      <c r="H7958" s="197">
        <v>1.92</v>
      </c>
      <c r="I7958" s="7" t="s">
        <v>16815</v>
      </c>
      <c r="J7958" s="7" t="s">
        <v>16582</v>
      </c>
      <c r="K7958" s="7" t="s">
        <v>16930</v>
      </c>
      <c r="L7958" s="198" t="s">
        <v>65</v>
      </c>
      <c r="M7958" s="194"/>
      <c r="N7958" s="194"/>
    </row>
    <row r="7959">
      <c r="A7959" s="193" t="s">
        <v>28165</v>
      </c>
      <c r="B7959" s="7" t="s">
        <v>175</v>
      </c>
      <c r="C7959" s="7" t="s">
        <v>16972</v>
      </c>
      <c r="D7959" s="194">
        <v>2022.0</v>
      </c>
      <c r="E7959" s="193"/>
      <c r="F7959" s="195" t="s">
        <v>28166</v>
      </c>
      <c r="G7959" s="196">
        <v>7186359.0</v>
      </c>
      <c r="H7959" s="197">
        <v>0.3519</v>
      </c>
      <c r="I7959" s="7" t="s">
        <v>168</v>
      </c>
      <c r="J7959" s="7" t="s">
        <v>175</v>
      </c>
      <c r="K7959" s="7" t="s">
        <v>16972</v>
      </c>
      <c r="L7959" s="198" t="s">
        <v>65</v>
      </c>
      <c r="M7959" s="194"/>
      <c r="N7959" s="194"/>
    </row>
    <row r="7960">
      <c r="A7960" s="193" t="s">
        <v>28167</v>
      </c>
      <c r="B7960" s="7" t="s">
        <v>16582</v>
      </c>
      <c r="C7960" s="7" t="s">
        <v>16817</v>
      </c>
      <c r="D7960" s="199"/>
      <c r="E7960" s="193"/>
      <c r="F7960" s="195" t="s">
        <v>28168</v>
      </c>
      <c r="G7960" s="196">
        <v>7179725.0</v>
      </c>
      <c r="H7960" s="197">
        <v>0.219</v>
      </c>
      <c r="I7960" s="7" t="s">
        <v>16815</v>
      </c>
      <c r="J7960" s="7" t="s">
        <v>16582</v>
      </c>
      <c r="K7960" s="7" t="s">
        <v>16817</v>
      </c>
      <c r="L7960" s="198" t="s">
        <v>65</v>
      </c>
      <c r="M7960" s="199"/>
      <c r="N7960" s="199"/>
    </row>
    <row r="7961">
      <c r="A7961" s="193" t="s">
        <v>28169</v>
      </c>
      <c r="B7961" s="7" t="s">
        <v>16838</v>
      </c>
      <c r="C7961" s="7" t="s">
        <v>17016</v>
      </c>
      <c r="D7961" s="194">
        <v>2021.0</v>
      </c>
      <c r="E7961" s="193"/>
      <c r="F7961" s="195" t="s">
        <v>28170</v>
      </c>
      <c r="G7961" s="196">
        <v>7158371.0</v>
      </c>
      <c r="H7961" s="197">
        <v>2.97</v>
      </c>
      <c r="I7961" s="7" t="s">
        <v>16815</v>
      </c>
      <c r="J7961" s="7" t="s">
        <v>16838</v>
      </c>
      <c r="K7961" s="7" t="s">
        <v>17016</v>
      </c>
      <c r="L7961" s="198" t="s">
        <v>65</v>
      </c>
      <c r="M7961" s="194"/>
      <c r="N7961" s="194"/>
    </row>
    <row r="7962">
      <c r="A7962" s="193" t="s">
        <v>28171</v>
      </c>
      <c r="B7962" s="7" t="s">
        <v>187</v>
      </c>
      <c r="C7962" s="7" t="s">
        <v>16858</v>
      </c>
      <c r="D7962" s="199"/>
      <c r="E7962" s="193"/>
      <c r="F7962" s="195" t="s">
        <v>28172</v>
      </c>
      <c r="G7962" s="196">
        <v>7144126.0</v>
      </c>
      <c r="H7962" s="197">
        <v>0.37</v>
      </c>
      <c r="I7962" s="7" t="s">
        <v>16815</v>
      </c>
      <c r="J7962" s="7" t="s">
        <v>187</v>
      </c>
      <c r="K7962" s="7" t="s">
        <v>16858</v>
      </c>
      <c r="L7962" s="198" t="s">
        <v>65</v>
      </c>
      <c r="M7962" s="199"/>
      <c r="N7962" s="199"/>
    </row>
    <row r="7963">
      <c r="A7963" s="193" t="s">
        <v>28173</v>
      </c>
      <c r="B7963" s="7" t="s">
        <v>175</v>
      </c>
      <c r="C7963" s="7" t="s">
        <v>17391</v>
      </c>
      <c r="D7963" s="194">
        <v>2023.0</v>
      </c>
      <c r="E7963" s="193"/>
      <c r="F7963" s="195" t="s">
        <v>28174</v>
      </c>
      <c r="G7963" s="196">
        <v>7140709.0</v>
      </c>
      <c r="H7963" s="197">
        <v>0.5014</v>
      </c>
      <c r="I7963" s="7" t="s">
        <v>168</v>
      </c>
      <c r="J7963" s="7" t="s">
        <v>175</v>
      </c>
      <c r="K7963" s="7" t="s">
        <v>17391</v>
      </c>
      <c r="L7963" s="198" t="s">
        <v>65</v>
      </c>
      <c r="M7963" s="194"/>
      <c r="N7963" s="194"/>
    </row>
    <row r="7964">
      <c r="A7964" s="193" t="s">
        <v>28175</v>
      </c>
      <c r="B7964" s="7" t="s">
        <v>187</v>
      </c>
      <c r="C7964" s="7" t="s">
        <v>17122</v>
      </c>
      <c r="D7964" s="194">
        <v>2017.0</v>
      </c>
      <c r="E7964" s="193"/>
      <c r="F7964" s="195" t="s">
        <v>28176</v>
      </c>
      <c r="G7964" s="196">
        <v>7137449.0</v>
      </c>
      <c r="H7964" s="197">
        <v>0.954</v>
      </c>
      <c r="I7964" s="7" t="s">
        <v>16815</v>
      </c>
      <c r="J7964" s="7" t="s">
        <v>187</v>
      </c>
      <c r="K7964" s="7" t="s">
        <v>17122</v>
      </c>
      <c r="L7964" s="198" t="s">
        <v>65</v>
      </c>
      <c r="M7964" s="194"/>
      <c r="N7964" s="194"/>
    </row>
    <row r="7965">
      <c r="A7965" s="193" t="s">
        <v>28177</v>
      </c>
      <c r="B7965" s="7" t="s">
        <v>187</v>
      </c>
      <c r="C7965" s="7" t="s">
        <v>17256</v>
      </c>
      <c r="D7965" s="199"/>
      <c r="E7965" s="193"/>
      <c r="F7965" s="195" t="s">
        <v>28178</v>
      </c>
      <c r="G7965" s="196">
        <v>7133807.0</v>
      </c>
      <c r="H7965" s="197">
        <v>5.72</v>
      </c>
      <c r="I7965" s="7" t="s">
        <v>16815</v>
      </c>
      <c r="J7965" s="7" t="s">
        <v>187</v>
      </c>
      <c r="K7965" s="7" t="s">
        <v>17256</v>
      </c>
      <c r="L7965" s="198" t="s">
        <v>65</v>
      </c>
      <c r="M7965" s="199"/>
      <c r="N7965" s="199"/>
    </row>
    <row r="7966">
      <c r="A7966" s="193" t="s">
        <v>28179</v>
      </c>
      <c r="B7966" s="7" t="s">
        <v>175</v>
      </c>
      <c r="C7966" s="7" t="s">
        <v>17457</v>
      </c>
      <c r="D7966" s="199"/>
      <c r="E7966" s="193"/>
      <c r="F7966" s="195" t="s">
        <v>28180</v>
      </c>
      <c r="G7966" s="196">
        <v>7104432.0</v>
      </c>
      <c r="H7966" s="197">
        <v>3.05</v>
      </c>
      <c r="I7966" s="7" t="s">
        <v>16892</v>
      </c>
      <c r="J7966" s="7" t="s">
        <v>175</v>
      </c>
      <c r="K7966" s="7" t="s">
        <v>17457</v>
      </c>
      <c r="L7966" s="198" t="s">
        <v>65</v>
      </c>
      <c r="M7966" s="199"/>
      <c r="N7966" s="199"/>
    </row>
    <row r="7967">
      <c r="A7967" s="193" t="s">
        <v>28181</v>
      </c>
      <c r="B7967" s="7" t="s">
        <v>175</v>
      </c>
      <c r="C7967" s="7" t="s">
        <v>16957</v>
      </c>
      <c r="D7967" s="199"/>
      <c r="E7967" s="193"/>
      <c r="F7967" s="195" t="s">
        <v>28182</v>
      </c>
      <c r="G7967" s="196">
        <v>7074849.0</v>
      </c>
      <c r="H7967" s="197">
        <v>1.5</v>
      </c>
      <c r="I7967" s="7" t="s">
        <v>174</v>
      </c>
      <c r="J7967" s="7" t="s">
        <v>175</v>
      </c>
      <c r="K7967" s="7" t="s">
        <v>16957</v>
      </c>
      <c r="L7967" s="198" t="s">
        <v>65</v>
      </c>
      <c r="M7967" s="199"/>
      <c r="N7967" s="199"/>
    </row>
    <row r="7968">
      <c r="A7968" s="193" t="s">
        <v>28183</v>
      </c>
      <c r="B7968" s="7" t="s">
        <v>187</v>
      </c>
      <c r="C7968" s="7" t="s">
        <v>16858</v>
      </c>
      <c r="D7968" s="194">
        <v>2015.0</v>
      </c>
      <c r="E7968" s="193"/>
      <c r="F7968" s="195" t="s">
        <v>28184</v>
      </c>
      <c r="G7968" s="196">
        <v>7070197.0</v>
      </c>
      <c r="H7968" s="197">
        <v>0.2303</v>
      </c>
      <c r="I7968" s="7" t="s">
        <v>16815</v>
      </c>
      <c r="J7968" s="7" t="s">
        <v>187</v>
      </c>
      <c r="K7968" s="7" t="s">
        <v>16858</v>
      </c>
      <c r="L7968" s="198" t="s">
        <v>65</v>
      </c>
      <c r="M7968" s="194"/>
      <c r="N7968" s="194"/>
    </row>
    <row r="7969">
      <c r="A7969" s="193" t="s">
        <v>28185</v>
      </c>
      <c r="B7969" s="7" t="s">
        <v>187</v>
      </c>
      <c r="C7969" s="7" t="s">
        <v>23634</v>
      </c>
      <c r="D7969" s="199"/>
      <c r="E7969" s="193"/>
      <c r="F7969" s="195" t="s">
        <v>28186</v>
      </c>
      <c r="G7969" s="196">
        <v>7041020.0</v>
      </c>
      <c r="H7969" s="197">
        <v>1.45</v>
      </c>
      <c r="I7969" s="7" t="s">
        <v>16815</v>
      </c>
      <c r="J7969" s="7" t="s">
        <v>187</v>
      </c>
      <c r="K7969" s="7" t="s">
        <v>23634</v>
      </c>
      <c r="L7969" s="198" t="s">
        <v>65</v>
      </c>
      <c r="M7969" s="199"/>
      <c r="N7969" s="199"/>
    </row>
    <row r="7970">
      <c r="A7970" s="193" t="s">
        <v>28187</v>
      </c>
      <c r="D7970" s="194">
        <v>2023.0</v>
      </c>
      <c r="E7970" s="193"/>
      <c r="F7970" s="195" t="s">
        <v>28188</v>
      </c>
      <c r="G7970" s="196">
        <v>7020805.0</v>
      </c>
      <c r="H7970" s="197">
        <v>1.16</v>
      </c>
      <c r="I7970" s="7" t="s">
        <v>16815</v>
      </c>
      <c r="L7970" s="198" t="s">
        <v>65</v>
      </c>
      <c r="M7970" s="194"/>
      <c r="N7970" s="194"/>
    </row>
    <row r="7971">
      <c r="A7971" s="193" t="s">
        <v>28189</v>
      </c>
      <c r="B7971" s="7" t="s">
        <v>16582</v>
      </c>
      <c r="C7971" s="7" t="s">
        <v>17342</v>
      </c>
      <c r="D7971" s="199"/>
      <c r="E7971" s="193"/>
      <c r="F7971" s="195" t="s">
        <v>28190</v>
      </c>
      <c r="G7971" s="196">
        <v>7001880.0</v>
      </c>
      <c r="H7971" s="197">
        <v>2.5</v>
      </c>
      <c r="I7971" s="7" t="s">
        <v>16815</v>
      </c>
      <c r="J7971" s="7" t="s">
        <v>16582</v>
      </c>
      <c r="K7971" s="7" t="s">
        <v>17342</v>
      </c>
      <c r="L7971" s="198" t="s">
        <v>65</v>
      </c>
      <c r="M7971" s="199"/>
      <c r="N7971" s="199"/>
    </row>
    <row r="7972">
      <c r="A7972" s="193" t="s">
        <v>28191</v>
      </c>
      <c r="B7972" s="7" t="s">
        <v>187</v>
      </c>
      <c r="C7972" s="7" t="s">
        <v>16969</v>
      </c>
      <c r="D7972" s="199"/>
      <c r="E7972" s="193"/>
      <c r="F7972" s="195" t="s">
        <v>28192</v>
      </c>
      <c r="G7972" s="196">
        <v>6993655.0</v>
      </c>
      <c r="H7972" s="197">
        <v>0.242</v>
      </c>
      <c r="I7972" s="7" t="s">
        <v>16815</v>
      </c>
      <c r="J7972" s="7" t="s">
        <v>187</v>
      </c>
      <c r="K7972" s="7" t="s">
        <v>16969</v>
      </c>
      <c r="L7972" s="198" t="s">
        <v>65</v>
      </c>
      <c r="M7972" s="199"/>
      <c r="N7972" s="199"/>
    </row>
    <row r="7973">
      <c r="A7973" s="193" t="s">
        <v>28193</v>
      </c>
      <c r="B7973" s="7" t="s">
        <v>187</v>
      </c>
      <c r="C7973" s="7" t="s">
        <v>16846</v>
      </c>
      <c r="D7973" s="199"/>
      <c r="E7973" s="193"/>
      <c r="F7973" s="195" t="s">
        <v>28194</v>
      </c>
      <c r="G7973" s="196">
        <v>6984970.0</v>
      </c>
      <c r="H7973" s="197">
        <v>0.6095</v>
      </c>
      <c r="I7973" s="7" t="s">
        <v>16815</v>
      </c>
      <c r="J7973" s="7" t="s">
        <v>187</v>
      </c>
      <c r="K7973" s="7" t="s">
        <v>16846</v>
      </c>
      <c r="L7973" s="198" t="s">
        <v>65</v>
      </c>
      <c r="M7973" s="199"/>
      <c r="N7973" s="199"/>
    </row>
    <row r="7974">
      <c r="A7974" s="193" t="s">
        <v>28195</v>
      </c>
      <c r="B7974" s="7" t="s">
        <v>16910</v>
      </c>
      <c r="C7974" s="7" t="s">
        <v>17119</v>
      </c>
      <c r="D7974" s="199"/>
      <c r="E7974" s="193"/>
      <c r="F7974" s="195" t="s">
        <v>28196</v>
      </c>
      <c r="G7974" s="196">
        <v>6938536.0</v>
      </c>
      <c r="H7974" s="197">
        <v>0.56</v>
      </c>
      <c r="I7974" s="7" t="s">
        <v>127</v>
      </c>
      <c r="J7974" s="7" t="s">
        <v>16910</v>
      </c>
      <c r="K7974" s="7" t="s">
        <v>17119</v>
      </c>
      <c r="L7974" s="198" t="s">
        <v>65</v>
      </c>
      <c r="M7974" s="199"/>
      <c r="N7974" s="199"/>
    </row>
    <row r="7975">
      <c r="A7975" s="193" t="s">
        <v>28197</v>
      </c>
      <c r="B7975" s="7" t="s">
        <v>175</v>
      </c>
      <c r="C7975" s="7" t="s">
        <v>17218</v>
      </c>
      <c r="D7975" s="199"/>
      <c r="E7975" s="193"/>
      <c r="F7975" s="195" t="s">
        <v>28198</v>
      </c>
      <c r="G7975" s="196">
        <v>6887732.0</v>
      </c>
      <c r="H7975" s="197">
        <v>1.65</v>
      </c>
      <c r="I7975" s="7" t="s">
        <v>16856</v>
      </c>
      <c r="J7975" s="7" t="s">
        <v>175</v>
      </c>
      <c r="K7975" s="7" t="s">
        <v>17218</v>
      </c>
      <c r="L7975" s="198" t="s">
        <v>65</v>
      </c>
      <c r="M7975" s="199"/>
      <c r="N7975" s="199"/>
    </row>
    <row r="7976">
      <c r="A7976" s="193" t="s">
        <v>28199</v>
      </c>
      <c r="B7976" s="7" t="s">
        <v>169</v>
      </c>
      <c r="C7976" s="7" t="s">
        <v>16899</v>
      </c>
      <c r="D7976" s="194">
        <v>2022.0</v>
      </c>
      <c r="E7976" s="193"/>
      <c r="F7976" s="195" t="s">
        <v>28200</v>
      </c>
      <c r="G7976" s="196">
        <v>6848687.0</v>
      </c>
      <c r="H7976" s="197">
        <v>0.8298</v>
      </c>
      <c r="I7976" s="7" t="s">
        <v>16815</v>
      </c>
      <c r="J7976" s="7" t="s">
        <v>169</v>
      </c>
      <c r="K7976" s="7" t="s">
        <v>16899</v>
      </c>
      <c r="L7976" s="198" t="s">
        <v>65</v>
      </c>
      <c r="M7976" s="194"/>
      <c r="N7976" s="194"/>
    </row>
    <row r="7977">
      <c r="A7977" s="193" t="s">
        <v>28201</v>
      </c>
      <c r="B7977" s="7" t="s">
        <v>187</v>
      </c>
      <c r="C7977" s="7" t="s">
        <v>16846</v>
      </c>
      <c r="D7977" s="199"/>
      <c r="E7977" s="193"/>
      <c r="F7977" s="195" t="s">
        <v>28202</v>
      </c>
      <c r="G7977" s="196">
        <v>6839767.0</v>
      </c>
      <c r="H7977" s="197">
        <v>0.541</v>
      </c>
      <c r="I7977" s="7" t="s">
        <v>16815</v>
      </c>
      <c r="J7977" s="7" t="s">
        <v>187</v>
      </c>
      <c r="K7977" s="7" t="s">
        <v>16846</v>
      </c>
      <c r="L7977" s="198" t="s">
        <v>65</v>
      </c>
      <c r="M7977" s="199"/>
      <c r="N7977" s="199"/>
    </row>
    <row r="7978">
      <c r="A7978" s="193" t="s">
        <v>28203</v>
      </c>
      <c r="B7978" s="7" t="s">
        <v>16919</v>
      </c>
      <c r="C7978" s="7" t="s">
        <v>110</v>
      </c>
      <c r="D7978" s="194">
        <v>1998.0</v>
      </c>
      <c r="E7978" s="193"/>
      <c r="F7978" s="195" t="s">
        <v>28204</v>
      </c>
      <c r="G7978" s="196">
        <v>6808059.0</v>
      </c>
      <c r="H7978" s="197">
        <v>2.0708</v>
      </c>
      <c r="I7978" s="7" t="s">
        <v>16815</v>
      </c>
      <c r="J7978" s="7" t="s">
        <v>16919</v>
      </c>
      <c r="K7978" s="7" t="s">
        <v>110</v>
      </c>
      <c r="L7978" s="198" t="s">
        <v>65</v>
      </c>
      <c r="M7978" s="194"/>
      <c r="N7978" s="194"/>
    </row>
    <row r="7979">
      <c r="A7979" s="193" t="s">
        <v>28203</v>
      </c>
      <c r="B7979" s="202" t="s">
        <v>110</v>
      </c>
      <c r="C7979" s="193" t="s">
        <v>16919</v>
      </c>
      <c r="D7979" s="193">
        <v>1998.0</v>
      </c>
      <c r="E7979" s="193"/>
      <c r="F7979" s="203" t="s">
        <v>28204</v>
      </c>
      <c r="G7979" s="200">
        <v>6808059.0</v>
      </c>
      <c r="H7979" s="205">
        <v>0.2766</v>
      </c>
      <c r="J7979" s="202" t="s">
        <v>110</v>
      </c>
      <c r="K7979" s="193" t="s">
        <v>16919</v>
      </c>
      <c r="L7979" s="193" t="s">
        <v>17471</v>
      </c>
      <c r="M7979" s="193"/>
      <c r="N7979" s="193"/>
    </row>
    <row r="7980">
      <c r="A7980" s="193" t="s">
        <v>28205</v>
      </c>
      <c r="B7980" s="7" t="s">
        <v>187</v>
      </c>
      <c r="C7980" s="7" t="s">
        <v>16858</v>
      </c>
      <c r="D7980" s="199"/>
      <c r="E7980" s="193"/>
      <c r="F7980" s="195" t="s">
        <v>28206</v>
      </c>
      <c r="G7980" s="196">
        <v>6796704.0</v>
      </c>
      <c r="H7980" s="197">
        <v>0.2501</v>
      </c>
      <c r="I7980" s="7" t="s">
        <v>16815</v>
      </c>
      <c r="J7980" s="7" t="s">
        <v>187</v>
      </c>
      <c r="K7980" s="7" t="s">
        <v>16858</v>
      </c>
      <c r="L7980" s="198" t="s">
        <v>65</v>
      </c>
      <c r="M7980" s="199"/>
      <c r="N7980" s="199"/>
    </row>
    <row r="7981">
      <c r="A7981" s="193" t="s">
        <v>28207</v>
      </c>
      <c r="B7981" s="7" t="s">
        <v>175</v>
      </c>
      <c r="C7981" s="7" t="s">
        <v>16890</v>
      </c>
      <c r="D7981" s="194">
        <v>2017.0</v>
      </c>
      <c r="E7981" s="193"/>
      <c r="F7981" s="195" t="s">
        <v>28208</v>
      </c>
      <c r="G7981" s="196">
        <v>6790829.0</v>
      </c>
      <c r="H7981" s="197">
        <v>0.424</v>
      </c>
      <c r="I7981" s="7" t="s">
        <v>17242</v>
      </c>
      <c r="J7981" s="7" t="s">
        <v>175</v>
      </c>
      <c r="K7981" s="7" t="s">
        <v>16890</v>
      </c>
      <c r="L7981" s="198" t="s">
        <v>65</v>
      </c>
      <c r="M7981" s="194"/>
      <c r="N7981" s="194"/>
    </row>
    <row r="7982">
      <c r="A7982" s="193" t="s">
        <v>28209</v>
      </c>
      <c r="B7982" s="7" t="s">
        <v>175</v>
      </c>
      <c r="C7982" s="7" t="s">
        <v>17391</v>
      </c>
      <c r="D7982" s="199"/>
      <c r="E7982" s="193"/>
      <c r="F7982" s="195" t="s">
        <v>28210</v>
      </c>
      <c r="G7982" s="196">
        <v>6700191.0</v>
      </c>
      <c r="H7982" s="197">
        <v>0.93</v>
      </c>
      <c r="I7982" s="7" t="s">
        <v>16908</v>
      </c>
      <c r="J7982" s="7" t="s">
        <v>175</v>
      </c>
      <c r="K7982" s="7" t="s">
        <v>17391</v>
      </c>
      <c r="L7982" s="198" t="s">
        <v>65</v>
      </c>
      <c r="M7982" s="199"/>
      <c r="N7982" s="199"/>
    </row>
    <row r="7983">
      <c r="A7983" s="193" t="s">
        <v>28211</v>
      </c>
      <c r="B7983" s="7" t="s">
        <v>16582</v>
      </c>
      <c r="C7983" s="7" t="s">
        <v>16930</v>
      </c>
      <c r="D7983" s="199"/>
      <c r="E7983" s="193"/>
      <c r="F7983" s="195" t="s">
        <v>28212</v>
      </c>
      <c r="G7983" s="196">
        <v>6640200.0</v>
      </c>
      <c r="H7983" s="197">
        <v>0.8765</v>
      </c>
      <c r="I7983" s="7" t="s">
        <v>16815</v>
      </c>
      <c r="J7983" s="7" t="s">
        <v>16582</v>
      </c>
      <c r="K7983" s="7" t="s">
        <v>16930</v>
      </c>
      <c r="L7983" s="198" t="s">
        <v>65</v>
      </c>
      <c r="M7983" s="199"/>
      <c r="N7983" s="199"/>
    </row>
    <row r="7984">
      <c r="A7984" s="193" t="s">
        <v>28213</v>
      </c>
      <c r="B7984" s="7" t="s">
        <v>187</v>
      </c>
      <c r="C7984" s="7" t="s">
        <v>16858</v>
      </c>
      <c r="D7984" s="199"/>
      <c r="E7984" s="193"/>
      <c r="F7984" s="195" t="s">
        <v>28214</v>
      </c>
      <c r="G7984" s="196">
        <v>6597935.0</v>
      </c>
      <c r="H7984" s="197">
        <v>0.61</v>
      </c>
      <c r="I7984" s="7" t="s">
        <v>16815</v>
      </c>
      <c r="J7984" s="7" t="s">
        <v>187</v>
      </c>
      <c r="K7984" s="7" t="s">
        <v>16858</v>
      </c>
      <c r="L7984" s="198" t="s">
        <v>65</v>
      </c>
      <c r="M7984" s="199"/>
      <c r="N7984" s="199"/>
    </row>
    <row r="7985">
      <c r="A7985" s="193" t="s">
        <v>28215</v>
      </c>
      <c r="B7985" s="7" t="s">
        <v>187</v>
      </c>
      <c r="C7985" s="7" t="s">
        <v>16846</v>
      </c>
      <c r="D7985" s="194">
        <v>2018.0</v>
      </c>
      <c r="E7985" s="193"/>
      <c r="F7985" s="195" t="s">
        <v>28216</v>
      </c>
      <c r="G7985" s="196">
        <v>6590780.0</v>
      </c>
      <c r="H7985" s="197">
        <v>1.58</v>
      </c>
      <c r="I7985" s="7" t="s">
        <v>16815</v>
      </c>
      <c r="J7985" s="7" t="s">
        <v>187</v>
      </c>
      <c r="K7985" s="7" t="s">
        <v>16846</v>
      </c>
      <c r="L7985" s="198" t="s">
        <v>65</v>
      </c>
      <c r="M7985" s="194"/>
      <c r="N7985" s="194"/>
    </row>
    <row r="7986">
      <c r="A7986" s="193" t="s">
        <v>28217</v>
      </c>
      <c r="B7986" s="7" t="s">
        <v>187</v>
      </c>
      <c r="C7986" s="7" t="s">
        <v>16851</v>
      </c>
      <c r="D7986" s="199"/>
      <c r="E7986" s="193"/>
      <c r="F7986" s="195" t="s">
        <v>28218</v>
      </c>
      <c r="G7986" s="196">
        <v>6583628.0</v>
      </c>
      <c r="H7986" s="197">
        <v>0.41</v>
      </c>
      <c r="I7986" s="7" t="s">
        <v>16815</v>
      </c>
      <c r="J7986" s="7" t="s">
        <v>187</v>
      </c>
      <c r="K7986" s="7" t="s">
        <v>16851</v>
      </c>
      <c r="L7986" s="198" t="s">
        <v>65</v>
      </c>
      <c r="M7986" s="199"/>
      <c r="N7986" s="199"/>
    </row>
    <row r="7987">
      <c r="A7987" s="193" t="s">
        <v>28219</v>
      </c>
      <c r="B7987" s="7" t="s">
        <v>16926</v>
      </c>
      <c r="C7987" s="7" t="s">
        <v>16957</v>
      </c>
      <c r="D7987" s="194">
        <v>2021.0</v>
      </c>
      <c r="E7987" s="193"/>
      <c r="F7987" s="195" t="s">
        <v>28220</v>
      </c>
      <c r="G7987" s="196">
        <v>6571355.0</v>
      </c>
      <c r="H7987" s="197">
        <v>0.09</v>
      </c>
      <c r="I7987" s="7" t="s">
        <v>16815</v>
      </c>
      <c r="J7987" s="7" t="s">
        <v>16926</v>
      </c>
      <c r="K7987" s="7" t="s">
        <v>16957</v>
      </c>
      <c r="L7987" s="198" t="s">
        <v>65</v>
      </c>
      <c r="M7987" s="194"/>
      <c r="N7987" s="194"/>
    </row>
    <row r="7988">
      <c r="A7988" s="193" t="s">
        <v>28221</v>
      </c>
      <c r="B7988" s="7" t="s">
        <v>16582</v>
      </c>
      <c r="C7988" s="7" t="s">
        <v>16899</v>
      </c>
      <c r="D7988" s="194">
        <v>2020.0</v>
      </c>
      <c r="E7988" s="193"/>
      <c r="F7988" s="195" t="s">
        <v>28222</v>
      </c>
      <c r="G7988" s="196">
        <v>6540767.0</v>
      </c>
      <c r="H7988" s="197">
        <v>0.1847</v>
      </c>
      <c r="I7988" s="7" t="s">
        <v>16815</v>
      </c>
      <c r="J7988" s="7" t="s">
        <v>16582</v>
      </c>
      <c r="K7988" s="7" t="s">
        <v>16899</v>
      </c>
      <c r="L7988" s="198" t="s">
        <v>65</v>
      </c>
      <c r="M7988" s="194"/>
      <c r="N7988" s="194"/>
    </row>
    <row r="7989">
      <c r="A7989" s="193" t="s">
        <v>28221</v>
      </c>
      <c r="B7989" s="202" t="s">
        <v>16899</v>
      </c>
      <c r="C7989" s="193" t="s">
        <v>16582</v>
      </c>
      <c r="D7989" s="193">
        <v>2020.0</v>
      </c>
      <c r="E7989" s="193"/>
      <c r="F7989" s="203" t="s">
        <v>28222</v>
      </c>
      <c r="G7989" s="200">
        <v>6540767.0</v>
      </c>
      <c r="H7989" s="205">
        <v>2.0708</v>
      </c>
      <c r="J7989" s="202" t="s">
        <v>16899</v>
      </c>
      <c r="K7989" s="193" t="s">
        <v>16582</v>
      </c>
      <c r="L7989" s="193" t="s">
        <v>17471</v>
      </c>
      <c r="M7989" s="193"/>
      <c r="N7989" s="193"/>
    </row>
    <row r="7990">
      <c r="A7990" s="193" t="s">
        <v>28223</v>
      </c>
      <c r="B7990" s="7" t="s">
        <v>16910</v>
      </c>
      <c r="C7990" s="7" t="s">
        <v>16911</v>
      </c>
      <c r="D7990" s="194">
        <v>2021.0</v>
      </c>
      <c r="E7990" s="193"/>
      <c r="F7990" s="195" t="s">
        <v>28224</v>
      </c>
      <c r="G7990" s="196">
        <v>6534337.0</v>
      </c>
      <c r="H7990" s="197">
        <v>0.2137</v>
      </c>
      <c r="I7990" s="7" t="s">
        <v>16856</v>
      </c>
      <c r="J7990" s="7" t="s">
        <v>16910</v>
      </c>
      <c r="K7990" s="7" t="s">
        <v>16911</v>
      </c>
      <c r="L7990" s="198" t="s">
        <v>65</v>
      </c>
      <c r="M7990" s="194"/>
      <c r="N7990" s="194"/>
    </row>
    <row r="7991">
      <c r="A7991" s="193" t="s">
        <v>28223</v>
      </c>
      <c r="B7991" s="202" t="s">
        <v>16911</v>
      </c>
      <c r="C7991" s="193" t="s">
        <v>16910</v>
      </c>
      <c r="D7991" s="193">
        <v>2021.0</v>
      </c>
      <c r="E7991" s="193"/>
      <c r="F7991" s="203" t="s">
        <v>28224</v>
      </c>
      <c r="G7991" s="200">
        <v>6534337.0</v>
      </c>
      <c r="H7991" s="205">
        <v>0.1847</v>
      </c>
      <c r="J7991" s="202" t="s">
        <v>16911</v>
      </c>
      <c r="K7991" s="193" t="s">
        <v>16910</v>
      </c>
      <c r="L7991" s="193" t="s">
        <v>17471</v>
      </c>
      <c r="M7991" s="193"/>
      <c r="N7991" s="193"/>
    </row>
    <row r="7992">
      <c r="A7992" s="193" t="s">
        <v>28225</v>
      </c>
      <c r="B7992" s="7" t="s">
        <v>187</v>
      </c>
      <c r="C7992" s="7" t="s">
        <v>16846</v>
      </c>
      <c r="D7992" s="194">
        <v>2019.0</v>
      </c>
      <c r="E7992" s="193"/>
      <c r="F7992" s="195" t="s">
        <v>28226</v>
      </c>
      <c r="G7992" s="196">
        <v>6519389.0</v>
      </c>
      <c r="H7992" s="197">
        <v>0.59</v>
      </c>
      <c r="I7992" s="7" t="s">
        <v>16815</v>
      </c>
      <c r="J7992" s="7" t="s">
        <v>187</v>
      </c>
      <c r="K7992" s="7" t="s">
        <v>16846</v>
      </c>
      <c r="L7992" s="198" t="s">
        <v>65</v>
      </c>
      <c r="M7992" s="194"/>
      <c r="N7992" s="194"/>
    </row>
    <row r="7993">
      <c r="A7993" s="193" t="s">
        <v>28227</v>
      </c>
      <c r="B7993" s="7" t="s">
        <v>16582</v>
      </c>
      <c r="C7993" s="7" t="s">
        <v>16930</v>
      </c>
      <c r="D7993" s="194">
        <v>2021.0</v>
      </c>
      <c r="E7993" s="193"/>
      <c r="F7993" s="195" t="s">
        <v>28228</v>
      </c>
      <c r="G7993" s="196">
        <v>6508225.0</v>
      </c>
      <c r="H7993" s="197">
        <v>0.1703</v>
      </c>
      <c r="I7993" s="7" t="s">
        <v>16815</v>
      </c>
      <c r="J7993" s="7" t="s">
        <v>16582</v>
      </c>
      <c r="K7993" s="7" t="s">
        <v>16930</v>
      </c>
      <c r="L7993" s="198" t="s">
        <v>65</v>
      </c>
      <c r="M7993" s="194"/>
      <c r="N7993" s="194"/>
    </row>
    <row r="7994">
      <c r="A7994" s="193" t="s">
        <v>28229</v>
      </c>
      <c r="B7994" s="7" t="s">
        <v>187</v>
      </c>
      <c r="C7994" s="7" t="s">
        <v>16846</v>
      </c>
      <c r="D7994" s="194">
        <v>2020.0</v>
      </c>
      <c r="E7994" s="193"/>
      <c r="F7994" s="195" t="s">
        <v>28230</v>
      </c>
      <c r="G7994" s="196">
        <v>6505814.0</v>
      </c>
      <c r="H7994" s="197">
        <v>0.165</v>
      </c>
      <c r="I7994" s="7" t="s">
        <v>16815</v>
      </c>
      <c r="J7994" s="7" t="s">
        <v>187</v>
      </c>
      <c r="K7994" s="7" t="s">
        <v>16846</v>
      </c>
      <c r="L7994" s="198" t="s">
        <v>65</v>
      </c>
      <c r="M7994" s="194"/>
      <c r="N7994" s="194"/>
    </row>
    <row r="7995">
      <c r="A7995" s="193" t="s">
        <v>28231</v>
      </c>
      <c r="B7995" s="7" t="s">
        <v>187</v>
      </c>
      <c r="C7995" s="7" t="s">
        <v>16846</v>
      </c>
      <c r="D7995" s="194">
        <v>2022.0</v>
      </c>
      <c r="E7995" s="193"/>
      <c r="F7995" s="195" t="s">
        <v>28232</v>
      </c>
      <c r="G7995" s="196">
        <v>6490658.0</v>
      </c>
      <c r="H7995" s="197">
        <v>1.13</v>
      </c>
      <c r="I7995" s="7" t="s">
        <v>16815</v>
      </c>
      <c r="J7995" s="7" t="s">
        <v>187</v>
      </c>
      <c r="K7995" s="7" t="s">
        <v>16846</v>
      </c>
      <c r="L7995" s="198" t="s">
        <v>65</v>
      </c>
      <c r="M7995" s="194"/>
      <c r="N7995" s="194"/>
    </row>
    <row r="7996">
      <c r="A7996" s="193" t="s">
        <v>28233</v>
      </c>
      <c r="B7996" s="7" t="s">
        <v>175</v>
      </c>
      <c r="C7996" s="7" t="s">
        <v>16854</v>
      </c>
      <c r="D7996" s="199"/>
      <c r="E7996" s="193"/>
      <c r="F7996" s="195" t="s">
        <v>28234</v>
      </c>
      <c r="G7996" s="196">
        <v>6452025.0</v>
      </c>
      <c r="H7996" s="197">
        <v>0.95</v>
      </c>
      <c r="I7996" s="7" t="s">
        <v>17270</v>
      </c>
      <c r="J7996" s="7" t="s">
        <v>175</v>
      </c>
      <c r="K7996" s="7" t="s">
        <v>16854</v>
      </c>
      <c r="L7996" s="198" t="s">
        <v>65</v>
      </c>
      <c r="M7996" s="199"/>
      <c r="N7996" s="199"/>
    </row>
    <row r="7997">
      <c r="A7997" s="193" t="s">
        <v>28235</v>
      </c>
      <c r="B7997" s="7" t="s">
        <v>187</v>
      </c>
      <c r="C7997" s="7" t="s">
        <v>17122</v>
      </c>
      <c r="D7997" s="194">
        <v>2020.0</v>
      </c>
      <c r="E7997" s="193"/>
      <c r="F7997" s="195" t="s">
        <v>28236</v>
      </c>
      <c r="G7997" s="196">
        <v>6436999.0</v>
      </c>
      <c r="H7997" s="197">
        <v>0.22</v>
      </c>
      <c r="I7997" s="7" t="s">
        <v>16815</v>
      </c>
      <c r="J7997" s="7" t="s">
        <v>187</v>
      </c>
      <c r="K7997" s="7" t="s">
        <v>17122</v>
      </c>
      <c r="L7997" s="198" t="s">
        <v>65</v>
      </c>
      <c r="M7997" s="194"/>
      <c r="N7997" s="194"/>
    </row>
    <row r="7998">
      <c r="A7998" s="193" t="s">
        <v>28237</v>
      </c>
      <c r="B7998" s="7" t="s">
        <v>175</v>
      </c>
      <c r="C7998" s="7" t="s">
        <v>17457</v>
      </c>
      <c r="D7998" s="194">
        <v>2018.0</v>
      </c>
      <c r="E7998" s="193"/>
      <c r="F7998" s="195" t="s">
        <v>28238</v>
      </c>
      <c r="G7998" s="196">
        <v>6428962.0</v>
      </c>
      <c r="H7998" s="197">
        <v>0.1701</v>
      </c>
      <c r="I7998" s="7" t="s">
        <v>168</v>
      </c>
      <c r="J7998" s="7" t="s">
        <v>175</v>
      </c>
      <c r="K7998" s="7" t="s">
        <v>17457</v>
      </c>
      <c r="L7998" s="198" t="s">
        <v>65</v>
      </c>
      <c r="M7998" s="194"/>
      <c r="N7998" s="194"/>
    </row>
    <row r="7999">
      <c r="A7999" s="193" t="s">
        <v>28239</v>
      </c>
      <c r="B7999" s="7" t="s">
        <v>175</v>
      </c>
      <c r="C7999" s="7" t="s">
        <v>17391</v>
      </c>
      <c r="D7999" s="194">
        <v>2007.0</v>
      </c>
      <c r="E7999" s="193"/>
      <c r="F7999" s="195" t="s">
        <v>28240</v>
      </c>
      <c r="G7999" s="196">
        <v>6425055.0</v>
      </c>
      <c r="H7999" s="197">
        <v>0.72</v>
      </c>
      <c r="I7999" s="7" t="s">
        <v>16826</v>
      </c>
      <c r="J7999" s="7" t="s">
        <v>175</v>
      </c>
      <c r="K7999" s="7" t="s">
        <v>17391</v>
      </c>
      <c r="L7999" s="198" t="s">
        <v>65</v>
      </c>
      <c r="M7999" s="194"/>
      <c r="N7999" s="194"/>
    </row>
    <row r="8000">
      <c r="A8000" s="193" t="s">
        <v>28241</v>
      </c>
      <c r="B8000" s="7" t="s">
        <v>169</v>
      </c>
      <c r="C8000" s="7" t="s">
        <v>16899</v>
      </c>
      <c r="D8000" s="194">
        <v>1994.0</v>
      </c>
      <c r="E8000" s="193"/>
      <c r="F8000" s="195" t="s">
        <v>28242</v>
      </c>
      <c r="G8000" s="196">
        <v>6411764.0</v>
      </c>
      <c r="H8000" s="197">
        <v>4.65</v>
      </c>
      <c r="I8000" s="7" t="s">
        <v>16815</v>
      </c>
      <c r="J8000" s="7" t="s">
        <v>169</v>
      </c>
      <c r="K8000" s="7" t="s">
        <v>16899</v>
      </c>
      <c r="L8000" s="198" t="s">
        <v>65</v>
      </c>
      <c r="M8000" s="194"/>
      <c r="N8000" s="194"/>
    </row>
    <row r="8001">
      <c r="A8001" s="193" t="s">
        <v>28243</v>
      </c>
      <c r="B8001" s="7" t="s">
        <v>16910</v>
      </c>
      <c r="C8001" s="7" t="s">
        <v>16911</v>
      </c>
      <c r="D8001" s="194">
        <v>2021.0</v>
      </c>
      <c r="E8001" s="193"/>
      <c r="F8001" s="195" t="s">
        <v>28244</v>
      </c>
      <c r="G8001" s="196">
        <v>6390491.0</v>
      </c>
      <c r="H8001" s="197">
        <v>0.4</v>
      </c>
      <c r="I8001" s="7" t="s">
        <v>17063</v>
      </c>
      <c r="J8001" s="7" t="s">
        <v>16910</v>
      </c>
      <c r="K8001" s="7" t="s">
        <v>16911</v>
      </c>
      <c r="L8001" s="198" t="s">
        <v>65</v>
      </c>
      <c r="M8001" s="194"/>
      <c r="N8001" s="194"/>
    </row>
    <row r="8002">
      <c r="A8002" s="193" t="s">
        <v>28243</v>
      </c>
      <c r="B8002" s="202" t="s">
        <v>16911</v>
      </c>
      <c r="C8002" s="193" t="s">
        <v>16910</v>
      </c>
      <c r="D8002" s="193">
        <v>2021.0</v>
      </c>
      <c r="E8002" s="193"/>
      <c r="F8002" s="203" t="s">
        <v>28244</v>
      </c>
      <c r="G8002" s="200">
        <v>6390491.0</v>
      </c>
      <c r="H8002" s="205">
        <v>0.2137</v>
      </c>
      <c r="J8002" s="202" t="s">
        <v>16911</v>
      </c>
      <c r="K8002" s="193" t="s">
        <v>16910</v>
      </c>
      <c r="L8002" s="193" t="s">
        <v>17471</v>
      </c>
      <c r="M8002" s="193"/>
      <c r="N8002" s="193"/>
    </row>
    <row r="8003">
      <c r="A8003" s="193" t="s">
        <v>28245</v>
      </c>
      <c r="B8003" s="7" t="s">
        <v>187</v>
      </c>
      <c r="C8003" s="7" t="s">
        <v>16846</v>
      </c>
      <c r="D8003" s="199"/>
      <c r="E8003" s="193"/>
      <c r="F8003" s="195" t="s">
        <v>28246</v>
      </c>
      <c r="G8003" s="196">
        <v>6384191.0</v>
      </c>
      <c r="H8003" s="197">
        <v>1.18</v>
      </c>
      <c r="I8003" s="7" t="s">
        <v>16815</v>
      </c>
      <c r="J8003" s="7" t="s">
        <v>187</v>
      </c>
      <c r="K8003" s="7" t="s">
        <v>16846</v>
      </c>
      <c r="L8003" s="198" t="s">
        <v>65</v>
      </c>
      <c r="M8003" s="199"/>
      <c r="N8003" s="199"/>
    </row>
    <row r="8004">
      <c r="A8004" s="193" t="s">
        <v>28247</v>
      </c>
      <c r="B8004" s="7" t="s">
        <v>169</v>
      </c>
      <c r="C8004" s="7" t="s">
        <v>16945</v>
      </c>
      <c r="D8004" s="194">
        <v>2021.0</v>
      </c>
      <c r="E8004" s="193"/>
      <c r="F8004" s="195" t="s">
        <v>28248</v>
      </c>
      <c r="G8004" s="196">
        <v>6377567.0</v>
      </c>
      <c r="H8004" s="197">
        <v>0.2</v>
      </c>
      <c r="I8004" s="7" t="s">
        <v>16815</v>
      </c>
      <c r="J8004" s="7" t="s">
        <v>169</v>
      </c>
      <c r="K8004" s="7" t="s">
        <v>16945</v>
      </c>
      <c r="L8004" s="198" t="s">
        <v>65</v>
      </c>
      <c r="M8004" s="194"/>
      <c r="N8004" s="194"/>
    </row>
    <row r="8005">
      <c r="A8005" s="193" t="s">
        <v>28249</v>
      </c>
      <c r="B8005" s="7" t="s">
        <v>187</v>
      </c>
      <c r="C8005" s="7" t="s">
        <v>16846</v>
      </c>
      <c r="D8005" s="194">
        <v>2014.0</v>
      </c>
      <c r="E8005" s="193"/>
      <c r="F8005" s="195" t="s">
        <v>28250</v>
      </c>
      <c r="G8005" s="196">
        <v>6354611.0</v>
      </c>
      <c r="H8005" s="197">
        <v>1.7399</v>
      </c>
      <c r="I8005" s="7" t="s">
        <v>16815</v>
      </c>
      <c r="J8005" s="7" t="s">
        <v>187</v>
      </c>
      <c r="K8005" s="7" t="s">
        <v>16846</v>
      </c>
      <c r="L8005" s="198" t="s">
        <v>65</v>
      </c>
      <c r="M8005" s="194"/>
      <c r="N8005" s="194"/>
    </row>
    <row r="8006">
      <c r="A8006" s="193" t="s">
        <v>28251</v>
      </c>
      <c r="B8006" s="7" t="s">
        <v>16910</v>
      </c>
      <c r="C8006" s="7" t="s">
        <v>17013</v>
      </c>
      <c r="D8006" s="199"/>
      <c r="E8006" s="193"/>
      <c r="F8006" s="195" t="s">
        <v>28252</v>
      </c>
      <c r="G8006" s="196">
        <v>6310584.0</v>
      </c>
      <c r="H8006" s="197">
        <v>2.96</v>
      </c>
      <c r="I8006" s="7" t="s">
        <v>127</v>
      </c>
      <c r="J8006" s="7" t="s">
        <v>16910</v>
      </c>
      <c r="K8006" s="7" t="s">
        <v>17013</v>
      </c>
      <c r="L8006" s="198" t="s">
        <v>65</v>
      </c>
      <c r="M8006" s="199"/>
      <c r="N8006" s="199"/>
    </row>
    <row r="8007">
      <c r="A8007" s="193" t="s">
        <v>28253</v>
      </c>
      <c r="B8007" s="7" t="s">
        <v>187</v>
      </c>
      <c r="C8007" s="7" t="s">
        <v>16969</v>
      </c>
      <c r="D8007" s="199"/>
      <c r="E8007" s="193"/>
      <c r="F8007" s="195" t="s">
        <v>28254</v>
      </c>
      <c r="G8007" s="196">
        <v>6309105.0</v>
      </c>
      <c r="H8007" s="197">
        <v>1.395</v>
      </c>
      <c r="I8007" s="7" t="s">
        <v>16815</v>
      </c>
      <c r="J8007" s="7" t="s">
        <v>187</v>
      </c>
      <c r="K8007" s="7" t="s">
        <v>16969</v>
      </c>
      <c r="L8007" s="198" t="s">
        <v>65</v>
      </c>
      <c r="M8007" s="199"/>
      <c r="N8007" s="199"/>
    </row>
    <row r="8008">
      <c r="A8008" s="193" t="s">
        <v>28255</v>
      </c>
      <c r="B8008" s="7" t="s">
        <v>187</v>
      </c>
      <c r="C8008" s="7" t="s">
        <v>16858</v>
      </c>
      <c r="D8008" s="199"/>
      <c r="E8008" s="193"/>
      <c r="F8008" s="195" t="s">
        <v>28256</v>
      </c>
      <c r="G8008" s="196">
        <v>6302339.0</v>
      </c>
      <c r="H8008" s="197">
        <v>0.4197</v>
      </c>
      <c r="I8008" s="7" t="s">
        <v>16815</v>
      </c>
      <c r="J8008" s="7" t="s">
        <v>187</v>
      </c>
      <c r="K8008" s="7" t="s">
        <v>16858</v>
      </c>
      <c r="L8008" s="198" t="s">
        <v>65</v>
      </c>
      <c r="M8008" s="199"/>
      <c r="N8008" s="199"/>
    </row>
    <row r="8009">
      <c r="A8009" s="193" t="s">
        <v>28257</v>
      </c>
      <c r="B8009" s="7" t="s">
        <v>187</v>
      </c>
      <c r="C8009" s="7" t="s">
        <v>16846</v>
      </c>
      <c r="D8009" s="194">
        <v>2021.0</v>
      </c>
      <c r="E8009" s="193"/>
      <c r="F8009" s="195" t="s">
        <v>28258</v>
      </c>
      <c r="G8009" s="196">
        <v>6270505.0</v>
      </c>
      <c r="H8009" s="197">
        <v>3.905</v>
      </c>
      <c r="I8009" s="7" t="s">
        <v>16815</v>
      </c>
      <c r="J8009" s="7" t="s">
        <v>187</v>
      </c>
      <c r="K8009" s="7" t="s">
        <v>16846</v>
      </c>
      <c r="L8009" s="198" t="s">
        <v>65</v>
      </c>
      <c r="M8009" s="194"/>
      <c r="N8009" s="194"/>
    </row>
    <row r="8010">
      <c r="A8010" s="193" t="s">
        <v>28259</v>
      </c>
      <c r="B8010" s="7" t="s">
        <v>16582</v>
      </c>
      <c r="C8010" s="7" t="s">
        <v>17342</v>
      </c>
      <c r="D8010" s="199"/>
      <c r="E8010" s="193"/>
      <c r="F8010" s="195" t="s">
        <v>28260</v>
      </c>
      <c r="G8010" s="196">
        <v>6243681.0</v>
      </c>
      <c r="H8010" s="197">
        <v>0.07</v>
      </c>
      <c r="I8010" s="7" t="s">
        <v>16815</v>
      </c>
      <c r="J8010" s="7" t="s">
        <v>16582</v>
      </c>
      <c r="K8010" s="7" t="s">
        <v>17342</v>
      </c>
      <c r="L8010" s="198" t="s">
        <v>65</v>
      </c>
      <c r="M8010" s="199"/>
      <c r="N8010" s="199"/>
    </row>
    <row r="8011">
      <c r="A8011" s="193" t="s">
        <v>28261</v>
      </c>
      <c r="B8011" s="7" t="s">
        <v>187</v>
      </c>
      <c r="C8011" s="7" t="s">
        <v>23634</v>
      </c>
      <c r="D8011" s="194">
        <v>2021.0</v>
      </c>
      <c r="E8011" s="193"/>
      <c r="F8011" s="195" t="s">
        <v>28262</v>
      </c>
      <c r="G8011" s="196">
        <v>6238532.0</v>
      </c>
      <c r="H8011" s="197">
        <v>0.76</v>
      </c>
      <c r="I8011" s="7" t="s">
        <v>16815</v>
      </c>
      <c r="J8011" s="7" t="s">
        <v>187</v>
      </c>
      <c r="K8011" s="7" t="s">
        <v>23634</v>
      </c>
      <c r="L8011" s="198" t="s">
        <v>65</v>
      </c>
      <c r="M8011" s="194"/>
      <c r="N8011" s="194"/>
    </row>
    <row r="8012">
      <c r="A8012" s="193" t="s">
        <v>28263</v>
      </c>
      <c r="B8012" s="7" t="s">
        <v>187</v>
      </c>
      <c r="C8012" s="7" t="s">
        <v>16846</v>
      </c>
      <c r="D8012" s="199"/>
      <c r="E8012" s="193"/>
      <c r="F8012" s="195" t="s">
        <v>28264</v>
      </c>
      <c r="G8012" s="196">
        <v>6185548.0</v>
      </c>
      <c r="H8012" s="197">
        <v>2.75</v>
      </c>
      <c r="I8012" s="7" t="s">
        <v>16815</v>
      </c>
      <c r="J8012" s="7" t="s">
        <v>187</v>
      </c>
      <c r="K8012" s="7" t="s">
        <v>16846</v>
      </c>
      <c r="L8012" s="198" t="s">
        <v>65</v>
      </c>
      <c r="M8012" s="199"/>
      <c r="N8012" s="199"/>
    </row>
    <row r="8013">
      <c r="A8013" s="193" t="s">
        <v>28265</v>
      </c>
      <c r="B8013" s="7" t="s">
        <v>175</v>
      </c>
      <c r="C8013" s="7" t="s">
        <v>16854</v>
      </c>
      <c r="D8013" s="194">
        <v>2021.0</v>
      </c>
      <c r="E8013" s="193"/>
      <c r="F8013" s="195" t="s">
        <v>28266</v>
      </c>
      <c r="G8013" s="196">
        <v>6156000.0</v>
      </c>
      <c r="H8013" s="197">
        <v>4.05</v>
      </c>
      <c r="I8013" s="7" t="s">
        <v>174</v>
      </c>
      <c r="J8013" s="7" t="s">
        <v>175</v>
      </c>
      <c r="K8013" s="7" t="s">
        <v>16854</v>
      </c>
      <c r="L8013" s="198" t="s">
        <v>65</v>
      </c>
      <c r="M8013" s="194"/>
      <c r="N8013" s="194"/>
    </row>
    <row r="8014">
      <c r="A8014" s="193" t="s">
        <v>28267</v>
      </c>
      <c r="B8014" s="7" t="s">
        <v>17112</v>
      </c>
      <c r="C8014" s="7" t="s">
        <v>17218</v>
      </c>
      <c r="D8014" s="194">
        <v>2020.0</v>
      </c>
      <c r="E8014" s="193"/>
      <c r="F8014" s="195" t="s">
        <v>28268</v>
      </c>
      <c r="G8014" s="196">
        <v>6135799.0</v>
      </c>
      <c r="H8014" s="197">
        <v>0.4603</v>
      </c>
      <c r="I8014" s="7" t="s">
        <v>16815</v>
      </c>
      <c r="J8014" s="7" t="s">
        <v>17112</v>
      </c>
      <c r="K8014" s="7" t="s">
        <v>17218</v>
      </c>
      <c r="L8014" s="198" t="s">
        <v>65</v>
      </c>
      <c r="M8014" s="194"/>
      <c r="N8014" s="194"/>
    </row>
    <row r="8015">
      <c r="A8015" s="193" t="s">
        <v>28269</v>
      </c>
      <c r="B8015" s="7" t="s">
        <v>187</v>
      </c>
      <c r="C8015" s="7" t="s">
        <v>16846</v>
      </c>
      <c r="D8015" s="194">
        <v>2021.0</v>
      </c>
      <c r="E8015" s="193"/>
      <c r="F8015" s="195" t="s">
        <v>28270</v>
      </c>
      <c r="G8015" s="196">
        <v>6127276.0</v>
      </c>
      <c r="H8015" s="197">
        <v>0.151</v>
      </c>
      <c r="I8015" s="7" t="s">
        <v>16815</v>
      </c>
      <c r="J8015" s="7" t="s">
        <v>187</v>
      </c>
      <c r="K8015" s="7" t="s">
        <v>16846</v>
      </c>
      <c r="L8015" s="198" t="s">
        <v>65</v>
      </c>
      <c r="M8015" s="194"/>
      <c r="N8015" s="194"/>
    </row>
    <row r="8016">
      <c r="A8016" s="193" t="s">
        <v>28271</v>
      </c>
      <c r="B8016" s="7" t="s">
        <v>169</v>
      </c>
      <c r="C8016" s="7" t="s">
        <v>17057</v>
      </c>
      <c r="D8016" s="194">
        <v>2019.0</v>
      </c>
      <c r="E8016" s="193"/>
      <c r="F8016" s="195" t="s">
        <v>28272</v>
      </c>
      <c r="G8016" s="196">
        <v>6126459.0</v>
      </c>
      <c r="H8016" s="197">
        <v>3.13</v>
      </c>
      <c r="I8016" s="7" t="s">
        <v>16815</v>
      </c>
      <c r="J8016" s="7" t="s">
        <v>169</v>
      </c>
      <c r="K8016" s="7" t="s">
        <v>17057</v>
      </c>
      <c r="L8016" s="198" t="s">
        <v>65</v>
      </c>
      <c r="M8016" s="194"/>
      <c r="N8016" s="194"/>
    </row>
    <row r="8017">
      <c r="A8017" s="193" t="s">
        <v>28273</v>
      </c>
      <c r="B8017" s="7" t="s">
        <v>187</v>
      </c>
      <c r="C8017" s="7" t="s">
        <v>16969</v>
      </c>
      <c r="D8017" s="194">
        <v>2020.0</v>
      </c>
      <c r="E8017" s="193"/>
      <c r="F8017" s="195" t="s">
        <v>28274</v>
      </c>
      <c r="G8017" s="196">
        <v>6114308.0</v>
      </c>
      <c r="H8017" s="197">
        <v>3.75</v>
      </c>
      <c r="I8017" s="7" t="s">
        <v>16815</v>
      </c>
      <c r="J8017" s="7" t="s">
        <v>187</v>
      </c>
      <c r="K8017" s="7" t="s">
        <v>16969</v>
      </c>
      <c r="L8017" s="198" t="s">
        <v>65</v>
      </c>
      <c r="M8017" s="194"/>
      <c r="N8017" s="194"/>
    </row>
    <row r="8018">
      <c r="A8018" s="193" t="s">
        <v>28275</v>
      </c>
      <c r="B8018" s="7" t="s">
        <v>187</v>
      </c>
      <c r="C8018" s="7" t="s">
        <v>16846</v>
      </c>
      <c r="D8018" s="199"/>
      <c r="E8018" s="193"/>
      <c r="F8018" s="195" t="s">
        <v>28276</v>
      </c>
      <c r="G8018" s="196">
        <v>6094058.0</v>
      </c>
      <c r="H8018" s="197">
        <v>4.26</v>
      </c>
      <c r="I8018" s="7" t="s">
        <v>16815</v>
      </c>
      <c r="J8018" s="7" t="s">
        <v>187</v>
      </c>
      <c r="K8018" s="7" t="s">
        <v>16846</v>
      </c>
      <c r="L8018" s="198" t="s">
        <v>65</v>
      </c>
      <c r="M8018" s="199"/>
      <c r="N8018" s="199"/>
    </row>
    <row r="8019">
      <c r="A8019" s="193" t="s">
        <v>28277</v>
      </c>
      <c r="B8019" s="7" t="s">
        <v>187</v>
      </c>
      <c r="C8019" s="7" t="s">
        <v>16846</v>
      </c>
      <c r="D8019" s="194">
        <v>2019.0</v>
      </c>
      <c r="E8019" s="193"/>
      <c r="F8019" s="195" t="s">
        <v>28278</v>
      </c>
      <c r="G8019" s="196">
        <v>6092799.0</v>
      </c>
      <c r="H8019" s="197">
        <v>1.45</v>
      </c>
      <c r="I8019" s="7" t="s">
        <v>16815</v>
      </c>
      <c r="J8019" s="7" t="s">
        <v>187</v>
      </c>
      <c r="K8019" s="7" t="s">
        <v>16846</v>
      </c>
      <c r="L8019" s="198" t="s">
        <v>65</v>
      </c>
      <c r="M8019" s="194"/>
      <c r="N8019" s="194"/>
    </row>
    <row r="8020">
      <c r="A8020" s="193" t="s">
        <v>28279</v>
      </c>
      <c r="B8020" s="7" t="s">
        <v>187</v>
      </c>
      <c r="C8020" s="7" t="s">
        <v>16992</v>
      </c>
      <c r="D8020" s="199"/>
      <c r="E8020" s="193"/>
      <c r="F8020" s="195" t="s">
        <v>28280</v>
      </c>
      <c r="G8020" s="196">
        <v>6092246.0</v>
      </c>
      <c r="H8020" s="197">
        <v>0.455</v>
      </c>
      <c r="I8020" s="7" t="s">
        <v>16815</v>
      </c>
      <c r="J8020" s="7" t="s">
        <v>187</v>
      </c>
      <c r="K8020" s="7" t="s">
        <v>16992</v>
      </c>
      <c r="L8020" s="198" t="s">
        <v>65</v>
      </c>
      <c r="M8020" s="199"/>
      <c r="N8020" s="199"/>
    </row>
    <row r="8021">
      <c r="A8021" s="193" t="s">
        <v>28281</v>
      </c>
      <c r="B8021" s="7" t="s">
        <v>17112</v>
      </c>
      <c r="C8021" s="7" t="s">
        <v>17111</v>
      </c>
      <c r="D8021" s="194">
        <v>2022.0</v>
      </c>
      <c r="E8021" s="193"/>
      <c r="F8021" s="195" t="s">
        <v>28282</v>
      </c>
      <c r="G8021" s="196">
        <v>6025000.0</v>
      </c>
      <c r="H8021" s="197">
        <v>1.25</v>
      </c>
      <c r="I8021" s="7" t="s">
        <v>16815</v>
      </c>
      <c r="J8021" s="7" t="s">
        <v>17112</v>
      </c>
      <c r="K8021" s="7" t="s">
        <v>17111</v>
      </c>
      <c r="L8021" s="198" t="s">
        <v>65</v>
      </c>
      <c r="M8021" s="194"/>
      <c r="N8021" s="194"/>
    </row>
    <row r="8022">
      <c r="A8022" s="193" t="s">
        <v>28283</v>
      </c>
      <c r="B8022" s="7" t="s">
        <v>16926</v>
      </c>
      <c r="C8022" s="7" t="s">
        <v>16927</v>
      </c>
      <c r="D8022" s="194">
        <v>2022.0</v>
      </c>
      <c r="E8022" s="193"/>
      <c r="F8022" s="195" t="s">
        <v>28284</v>
      </c>
      <c r="G8022" s="196">
        <v>6020000.0</v>
      </c>
      <c r="H8022" s="197">
        <v>0.4</v>
      </c>
      <c r="I8022" s="7" t="s">
        <v>16815</v>
      </c>
      <c r="J8022" s="7" t="s">
        <v>16926</v>
      </c>
      <c r="K8022" s="7" t="s">
        <v>16927</v>
      </c>
      <c r="L8022" s="198" t="s">
        <v>65</v>
      </c>
      <c r="M8022" s="194"/>
      <c r="N8022" s="194"/>
    </row>
    <row r="8023">
      <c r="A8023" s="193" t="s">
        <v>28285</v>
      </c>
      <c r="B8023" s="7" t="s">
        <v>187</v>
      </c>
      <c r="C8023" s="7" t="s">
        <v>17256</v>
      </c>
      <c r="D8023" s="199"/>
      <c r="E8023" s="193"/>
      <c r="F8023" s="195" t="s">
        <v>28286</v>
      </c>
      <c r="G8023" s="196">
        <v>6007149.0</v>
      </c>
      <c r="H8023" s="197">
        <v>1.37</v>
      </c>
      <c r="I8023" s="7" t="s">
        <v>16815</v>
      </c>
      <c r="J8023" s="7" t="s">
        <v>187</v>
      </c>
      <c r="K8023" s="7" t="s">
        <v>17256</v>
      </c>
      <c r="L8023" s="198" t="s">
        <v>65</v>
      </c>
      <c r="M8023" s="199"/>
      <c r="N8023" s="199"/>
    </row>
    <row r="8024">
      <c r="A8024" s="193" t="s">
        <v>28287</v>
      </c>
      <c r="D8024" s="194">
        <v>2023.0</v>
      </c>
      <c r="E8024" s="193"/>
      <c r="F8024" s="195" t="s">
        <v>28288</v>
      </c>
      <c r="G8024" s="196">
        <v>5939300.0</v>
      </c>
      <c r="H8024" s="197">
        <v>0.2651</v>
      </c>
      <c r="I8024" s="7" t="s">
        <v>16815</v>
      </c>
      <c r="L8024" s="198" t="s">
        <v>65</v>
      </c>
      <c r="M8024" s="194"/>
      <c r="N8024" s="194"/>
    </row>
    <row r="8025">
      <c r="A8025" s="193" t="s">
        <v>28289</v>
      </c>
      <c r="B8025" s="7" t="s">
        <v>16910</v>
      </c>
      <c r="C8025" s="7" t="s">
        <v>17119</v>
      </c>
      <c r="D8025" s="194">
        <v>2019.0</v>
      </c>
      <c r="E8025" s="193"/>
      <c r="F8025" s="195" t="s">
        <v>28290</v>
      </c>
      <c r="G8025" s="196">
        <v>5895398.0</v>
      </c>
      <c r="H8025" s="197">
        <v>2.61</v>
      </c>
      <c r="I8025" s="7" t="s">
        <v>17063</v>
      </c>
      <c r="J8025" s="7" t="s">
        <v>16910</v>
      </c>
      <c r="K8025" s="7" t="s">
        <v>17119</v>
      </c>
      <c r="L8025" s="198" t="s">
        <v>65</v>
      </c>
      <c r="M8025" s="194"/>
      <c r="N8025" s="194"/>
    </row>
    <row r="8026">
      <c r="A8026" s="193" t="s">
        <v>28291</v>
      </c>
      <c r="B8026" s="7" t="s">
        <v>17629</v>
      </c>
      <c r="C8026" s="7" t="s">
        <v>17452</v>
      </c>
      <c r="D8026" s="194">
        <v>2023.0</v>
      </c>
      <c r="E8026" s="193"/>
      <c r="F8026" s="195" t="s">
        <v>28292</v>
      </c>
      <c r="G8026" s="196">
        <v>5865517.0</v>
      </c>
      <c r="H8026" s="197">
        <v>0.525</v>
      </c>
      <c r="I8026" s="7" t="s">
        <v>16815</v>
      </c>
      <c r="J8026" s="7" t="s">
        <v>17629</v>
      </c>
      <c r="K8026" s="7" t="s">
        <v>17452</v>
      </c>
      <c r="L8026" s="198" t="s">
        <v>65</v>
      </c>
      <c r="M8026" s="194"/>
      <c r="N8026" s="194"/>
    </row>
    <row r="8027">
      <c r="A8027" s="193" t="s">
        <v>28293</v>
      </c>
      <c r="B8027" s="7" t="s">
        <v>16838</v>
      </c>
      <c r="C8027" s="7" t="s">
        <v>17016</v>
      </c>
      <c r="D8027" s="194">
        <v>2015.0</v>
      </c>
      <c r="E8027" s="193"/>
      <c r="F8027" s="195" t="s">
        <v>28294</v>
      </c>
      <c r="G8027" s="196">
        <v>5860753.0</v>
      </c>
      <c r="H8027" s="197">
        <v>0.4</v>
      </c>
      <c r="I8027" s="7" t="s">
        <v>16815</v>
      </c>
      <c r="J8027" s="7" t="s">
        <v>16838</v>
      </c>
      <c r="K8027" s="7" t="s">
        <v>17016</v>
      </c>
      <c r="L8027" s="198" t="s">
        <v>65</v>
      </c>
      <c r="M8027" s="194"/>
      <c r="N8027" s="194"/>
    </row>
    <row r="8028">
      <c r="A8028" s="193" t="s">
        <v>28295</v>
      </c>
      <c r="B8028" s="7" t="s">
        <v>175</v>
      </c>
      <c r="C8028" s="7" t="s">
        <v>17218</v>
      </c>
      <c r="D8028" s="194">
        <v>2020.0</v>
      </c>
      <c r="E8028" s="193"/>
      <c r="F8028" s="195" t="s">
        <v>28296</v>
      </c>
      <c r="G8028" s="196">
        <v>5858649.0</v>
      </c>
      <c r="H8028" s="197">
        <v>1.38</v>
      </c>
      <c r="I8028" s="7" t="s">
        <v>168</v>
      </c>
      <c r="J8028" s="7" t="s">
        <v>175</v>
      </c>
      <c r="K8028" s="7" t="s">
        <v>17218</v>
      </c>
      <c r="L8028" s="198" t="s">
        <v>65</v>
      </c>
      <c r="M8028" s="194"/>
      <c r="N8028" s="194"/>
    </row>
    <row r="8029">
      <c r="A8029" s="193" t="s">
        <v>28297</v>
      </c>
      <c r="B8029" s="7" t="s">
        <v>187</v>
      </c>
      <c r="C8029" s="7" t="s">
        <v>16851</v>
      </c>
      <c r="D8029" s="199"/>
      <c r="E8029" s="193"/>
      <c r="F8029" s="195" t="s">
        <v>28298</v>
      </c>
      <c r="G8029" s="196">
        <v>5842291.0</v>
      </c>
      <c r="H8029" s="197">
        <v>0.3301</v>
      </c>
      <c r="I8029" s="7" t="s">
        <v>16815</v>
      </c>
      <c r="J8029" s="7" t="s">
        <v>187</v>
      </c>
      <c r="K8029" s="7" t="s">
        <v>16851</v>
      </c>
      <c r="L8029" s="198" t="s">
        <v>65</v>
      </c>
      <c r="M8029" s="199"/>
      <c r="N8029" s="199"/>
    </row>
    <row r="8030">
      <c r="A8030" s="193" t="s">
        <v>28299</v>
      </c>
      <c r="B8030" s="7" t="s">
        <v>187</v>
      </c>
      <c r="C8030" s="7" t="s">
        <v>16846</v>
      </c>
      <c r="D8030" s="194">
        <v>2021.0</v>
      </c>
      <c r="E8030" s="193"/>
      <c r="F8030" s="195" t="s">
        <v>28300</v>
      </c>
      <c r="G8030" s="196">
        <v>5841945.0</v>
      </c>
      <c r="H8030" s="197">
        <v>0.4955</v>
      </c>
      <c r="I8030" s="7" t="s">
        <v>16815</v>
      </c>
      <c r="J8030" s="7" t="s">
        <v>187</v>
      </c>
      <c r="K8030" s="7" t="s">
        <v>16846</v>
      </c>
      <c r="L8030" s="198" t="s">
        <v>65</v>
      </c>
      <c r="M8030" s="194"/>
      <c r="N8030" s="194"/>
    </row>
    <row r="8031">
      <c r="A8031" s="193" t="s">
        <v>28301</v>
      </c>
      <c r="B8031" s="7" t="s">
        <v>16582</v>
      </c>
      <c r="C8031" s="7" t="s">
        <v>16817</v>
      </c>
      <c r="D8031" s="199"/>
      <c r="E8031" s="193"/>
      <c r="F8031" s="195" t="s">
        <v>28302</v>
      </c>
      <c r="G8031" s="196">
        <v>5841453.0</v>
      </c>
      <c r="H8031" s="197">
        <v>1.04</v>
      </c>
      <c r="I8031" s="7" t="s">
        <v>16815</v>
      </c>
      <c r="J8031" s="7" t="s">
        <v>16582</v>
      </c>
      <c r="K8031" s="7" t="s">
        <v>16817</v>
      </c>
      <c r="L8031" s="198" t="s">
        <v>65</v>
      </c>
      <c r="M8031" s="199"/>
      <c r="N8031" s="199"/>
    </row>
    <row r="8032">
      <c r="A8032" s="193" t="s">
        <v>28303</v>
      </c>
      <c r="B8032" s="7" t="s">
        <v>175</v>
      </c>
      <c r="C8032" s="7" t="s">
        <v>18500</v>
      </c>
      <c r="D8032" s="194">
        <v>2021.0</v>
      </c>
      <c r="E8032" s="193"/>
      <c r="F8032" s="195" t="s">
        <v>28304</v>
      </c>
      <c r="G8032" s="196">
        <v>5838349.0</v>
      </c>
      <c r="H8032" s="197">
        <v>0.1794</v>
      </c>
      <c r="I8032" s="7" t="s">
        <v>16908</v>
      </c>
      <c r="J8032" s="7" t="s">
        <v>175</v>
      </c>
      <c r="K8032" s="7" t="s">
        <v>18500</v>
      </c>
      <c r="L8032" s="198" t="s">
        <v>65</v>
      </c>
      <c r="M8032" s="194"/>
      <c r="N8032" s="194"/>
    </row>
    <row r="8033">
      <c r="A8033" s="193" t="s">
        <v>28303</v>
      </c>
      <c r="B8033" s="7" t="s">
        <v>18500</v>
      </c>
      <c r="C8033" s="7" t="s">
        <v>175</v>
      </c>
      <c r="D8033" s="194">
        <v>2021.0</v>
      </c>
      <c r="E8033" s="193"/>
      <c r="F8033" s="195" t="s">
        <v>28304</v>
      </c>
      <c r="G8033" s="200">
        <v>5838349.0</v>
      </c>
      <c r="H8033" s="197">
        <v>0.1794</v>
      </c>
      <c r="I8033" s="7" t="s">
        <v>16815</v>
      </c>
      <c r="J8033" s="7" t="s">
        <v>18500</v>
      </c>
      <c r="K8033" s="7" t="s">
        <v>175</v>
      </c>
      <c r="L8033" s="201" t="s">
        <v>16835</v>
      </c>
      <c r="M8033" s="194"/>
      <c r="N8033" s="194"/>
    </row>
    <row r="8034">
      <c r="A8034" s="193" t="s">
        <v>28305</v>
      </c>
      <c r="D8034" s="194">
        <v>2022.0</v>
      </c>
      <c r="E8034" s="193"/>
      <c r="F8034" s="195" t="s">
        <v>28306</v>
      </c>
      <c r="G8034" s="196">
        <v>5828625.0</v>
      </c>
      <c r="H8034" s="197">
        <v>0.1485</v>
      </c>
      <c r="I8034" s="7" t="s">
        <v>16815</v>
      </c>
      <c r="L8034" s="198" t="s">
        <v>65</v>
      </c>
      <c r="M8034" s="194"/>
      <c r="N8034" s="194"/>
    </row>
    <row r="8035">
      <c r="A8035" s="193" t="s">
        <v>28307</v>
      </c>
      <c r="B8035" s="7" t="s">
        <v>16926</v>
      </c>
      <c r="C8035" s="7" t="s">
        <v>16957</v>
      </c>
      <c r="D8035" s="194">
        <v>2013.0</v>
      </c>
      <c r="E8035" s="193"/>
      <c r="F8035" s="195" t="s">
        <v>28308</v>
      </c>
      <c r="G8035" s="196">
        <v>5825734.0</v>
      </c>
      <c r="H8035" s="197">
        <v>2.44</v>
      </c>
      <c r="I8035" s="7" t="s">
        <v>16815</v>
      </c>
      <c r="J8035" s="7" t="s">
        <v>16926</v>
      </c>
      <c r="K8035" s="7" t="s">
        <v>16957</v>
      </c>
      <c r="L8035" s="198" t="s">
        <v>65</v>
      </c>
      <c r="M8035" s="194"/>
      <c r="N8035" s="194"/>
    </row>
    <row r="8036">
      <c r="A8036" s="193" t="s">
        <v>28309</v>
      </c>
      <c r="B8036" s="7" t="s">
        <v>187</v>
      </c>
      <c r="C8036" s="7" t="s">
        <v>16846</v>
      </c>
      <c r="D8036" s="194">
        <v>2017.0</v>
      </c>
      <c r="E8036" s="193"/>
      <c r="F8036" s="195" t="s">
        <v>28310</v>
      </c>
      <c r="G8036" s="196">
        <v>5800765.0</v>
      </c>
      <c r="H8036" s="197">
        <v>0.071</v>
      </c>
      <c r="I8036" s="7" t="s">
        <v>16815</v>
      </c>
      <c r="J8036" s="7" t="s">
        <v>187</v>
      </c>
      <c r="K8036" s="7" t="s">
        <v>16846</v>
      </c>
      <c r="L8036" s="198" t="s">
        <v>65</v>
      </c>
      <c r="M8036" s="194"/>
      <c r="N8036" s="194"/>
    </row>
    <row r="8037">
      <c r="A8037" s="193" t="s">
        <v>28311</v>
      </c>
      <c r="B8037" s="7" t="s">
        <v>175</v>
      </c>
      <c r="C8037" s="7" t="s">
        <v>16899</v>
      </c>
      <c r="D8037" s="194">
        <v>2018.0</v>
      </c>
      <c r="E8037" s="193"/>
      <c r="F8037" s="195" t="s">
        <v>28312</v>
      </c>
      <c r="G8037" s="196">
        <v>5797204.0</v>
      </c>
      <c r="H8037" s="197">
        <v>0.172</v>
      </c>
      <c r="I8037" s="7" t="s">
        <v>17270</v>
      </c>
      <c r="J8037" s="7" t="s">
        <v>175</v>
      </c>
      <c r="K8037" s="7" t="s">
        <v>16899</v>
      </c>
      <c r="L8037" s="198" t="s">
        <v>65</v>
      </c>
      <c r="M8037" s="194"/>
      <c r="N8037" s="194"/>
    </row>
    <row r="8038">
      <c r="A8038" s="193" t="s">
        <v>28313</v>
      </c>
      <c r="B8038" s="7" t="s">
        <v>187</v>
      </c>
      <c r="C8038" s="7" t="s">
        <v>16846</v>
      </c>
      <c r="D8038" s="194">
        <v>2022.0</v>
      </c>
      <c r="E8038" s="193"/>
      <c r="F8038" s="195" t="s">
        <v>28314</v>
      </c>
      <c r="G8038" s="196">
        <v>5775965.0</v>
      </c>
      <c r="H8038" s="197">
        <v>0.3211</v>
      </c>
      <c r="I8038" s="7" t="s">
        <v>16815</v>
      </c>
      <c r="J8038" s="7" t="s">
        <v>187</v>
      </c>
      <c r="K8038" s="7" t="s">
        <v>16846</v>
      </c>
      <c r="L8038" s="198" t="s">
        <v>65</v>
      </c>
      <c r="M8038" s="194"/>
      <c r="N8038" s="194"/>
    </row>
    <row r="8039">
      <c r="A8039" s="193" t="s">
        <v>28315</v>
      </c>
      <c r="B8039" s="7" t="s">
        <v>158</v>
      </c>
      <c r="C8039" s="7" t="s">
        <v>16864</v>
      </c>
      <c r="D8039" s="194">
        <v>1993.0</v>
      </c>
      <c r="E8039" s="193"/>
      <c r="F8039" s="195" t="s">
        <v>28316</v>
      </c>
      <c r="G8039" s="196">
        <v>5747766.0</v>
      </c>
      <c r="H8039" s="197">
        <v>1.12</v>
      </c>
      <c r="I8039" s="7" t="s">
        <v>21339</v>
      </c>
      <c r="J8039" s="7" t="s">
        <v>158</v>
      </c>
      <c r="K8039" s="7" t="s">
        <v>16864</v>
      </c>
      <c r="L8039" s="198" t="s">
        <v>65</v>
      </c>
      <c r="M8039" s="194"/>
      <c r="N8039" s="194"/>
    </row>
    <row r="8040">
      <c r="A8040" s="193" t="s">
        <v>28315</v>
      </c>
      <c r="B8040" s="202" t="s">
        <v>16864</v>
      </c>
      <c r="C8040" s="193" t="s">
        <v>158</v>
      </c>
      <c r="D8040" s="193">
        <v>1993.0</v>
      </c>
      <c r="E8040" s="193"/>
      <c r="F8040" s="203" t="s">
        <v>28316</v>
      </c>
      <c r="G8040" s="200">
        <v>5747766.0</v>
      </c>
      <c r="H8040" s="205">
        <v>0.4</v>
      </c>
      <c r="J8040" s="202" t="s">
        <v>16864</v>
      </c>
      <c r="K8040" s="193" t="s">
        <v>158</v>
      </c>
      <c r="L8040" s="193" t="s">
        <v>17471</v>
      </c>
      <c r="M8040" s="193"/>
      <c r="N8040" s="193"/>
    </row>
    <row r="8041">
      <c r="A8041" s="193" t="s">
        <v>28317</v>
      </c>
      <c r="B8041" s="7" t="s">
        <v>187</v>
      </c>
      <c r="C8041" s="7" t="s">
        <v>16846</v>
      </c>
      <c r="D8041" s="194">
        <v>2018.0</v>
      </c>
      <c r="E8041" s="193"/>
      <c r="F8041" s="195" t="s">
        <v>28318</v>
      </c>
      <c r="G8041" s="196">
        <v>5740928.0</v>
      </c>
      <c r="H8041" s="197">
        <v>0.3048</v>
      </c>
      <c r="I8041" s="7" t="s">
        <v>16815</v>
      </c>
      <c r="J8041" s="7" t="s">
        <v>187</v>
      </c>
      <c r="K8041" s="7" t="s">
        <v>16846</v>
      </c>
      <c r="L8041" s="198" t="s">
        <v>65</v>
      </c>
      <c r="M8041" s="194"/>
      <c r="N8041" s="194"/>
    </row>
    <row r="8042">
      <c r="A8042" s="193" t="s">
        <v>28319</v>
      </c>
      <c r="B8042" s="7" t="s">
        <v>187</v>
      </c>
      <c r="C8042" s="7" t="s">
        <v>17509</v>
      </c>
      <c r="D8042" s="199"/>
      <c r="E8042" s="193"/>
      <c r="F8042" s="195" t="s">
        <v>28320</v>
      </c>
      <c r="G8042" s="196">
        <v>5718200.0</v>
      </c>
      <c r="H8042" s="197">
        <v>0.73</v>
      </c>
      <c r="I8042" s="7" t="s">
        <v>16815</v>
      </c>
      <c r="J8042" s="7" t="s">
        <v>187</v>
      </c>
      <c r="K8042" s="7" t="s">
        <v>17509</v>
      </c>
      <c r="L8042" s="198" t="s">
        <v>65</v>
      </c>
      <c r="M8042" s="199"/>
      <c r="N8042" s="199"/>
    </row>
    <row r="8043">
      <c r="A8043" s="193" t="s">
        <v>28321</v>
      </c>
      <c r="B8043" s="7" t="s">
        <v>175</v>
      </c>
      <c r="C8043" s="7" t="s">
        <v>16942</v>
      </c>
      <c r="D8043" s="199"/>
      <c r="E8043" s="193"/>
      <c r="F8043" s="195" t="s">
        <v>28322</v>
      </c>
      <c r="G8043" s="196">
        <v>5704015.0</v>
      </c>
      <c r="H8043" s="197">
        <v>0.027</v>
      </c>
      <c r="I8043" s="7" t="s">
        <v>174</v>
      </c>
      <c r="J8043" s="7" t="s">
        <v>175</v>
      </c>
      <c r="K8043" s="7" t="s">
        <v>16942</v>
      </c>
      <c r="L8043" s="198" t="s">
        <v>65</v>
      </c>
      <c r="M8043" s="199"/>
      <c r="N8043" s="199"/>
    </row>
    <row r="8044">
      <c r="A8044" s="193" t="s">
        <v>28323</v>
      </c>
      <c r="B8044" s="7" t="s">
        <v>187</v>
      </c>
      <c r="C8044" s="7" t="s">
        <v>16846</v>
      </c>
      <c r="D8044" s="194">
        <v>2015.0</v>
      </c>
      <c r="E8044" s="193"/>
      <c r="F8044" s="195" t="s">
        <v>28324</v>
      </c>
      <c r="G8044" s="196">
        <v>5629152.0</v>
      </c>
      <c r="H8044" s="197">
        <v>3.42</v>
      </c>
      <c r="I8044" s="7" t="s">
        <v>16815</v>
      </c>
      <c r="J8044" s="7" t="s">
        <v>187</v>
      </c>
      <c r="K8044" s="7" t="s">
        <v>16846</v>
      </c>
      <c r="L8044" s="198" t="s">
        <v>65</v>
      </c>
      <c r="M8044" s="194"/>
      <c r="N8044" s="194"/>
    </row>
    <row r="8045">
      <c r="A8045" s="193" t="s">
        <v>28325</v>
      </c>
      <c r="B8045" s="7" t="s">
        <v>169</v>
      </c>
      <c r="C8045" s="7" t="s">
        <v>16945</v>
      </c>
      <c r="D8045" s="194">
        <v>2015.0</v>
      </c>
      <c r="E8045" s="193"/>
      <c r="F8045" s="195" t="s">
        <v>28326</v>
      </c>
      <c r="G8045" s="196">
        <v>5616378.0</v>
      </c>
      <c r="H8045" s="197">
        <v>2.5299</v>
      </c>
      <c r="I8045" s="7" t="s">
        <v>16815</v>
      </c>
      <c r="J8045" s="7" t="s">
        <v>169</v>
      </c>
      <c r="K8045" s="7" t="s">
        <v>16945</v>
      </c>
      <c r="L8045" s="198" t="s">
        <v>65</v>
      </c>
      <c r="M8045" s="194"/>
      <c r="N8045" s="194"/>
    </row>
    <row r="8046">
      <c r="A8046" s="193" t="s">
        <v>28327</v>
      </c>
      <c r="B8046" s="7" t="s">
        <v>16582</v>
      </c>
      <c r="C8046" s="7" t="s">
        <v>17435</v>
      </c>
      <c r="D8046" s="194">
        <v>2022.0</v>
      </c>
      <c r="E8046" s="193"/>
      <c r="F8046" s="195" t="s">
        <v>28328</v>
      </c>
      <c r="G8046" s="196">
        <v>5607652.0</v>
      </c>
      <c r="H8046" s="197">
        <v>0.276</v>
      </c>
      <c r="I8046" s="7" t="s">
        <v>16815</v>
      </c>
      <c r="J8046" s="7" t="s">
        <v>16582</v>
      </c>
      <c r="K8046" s="7" t="s">
        <v>17435</v>
      </c>
      <c r="L8046" s="198" t="s">
        <v>65</v>
      </c>
      <c r="M8046" s="194"/>
      <c r="N8046" s="194"/>
    </row>
    <row r="8047">
      <c r="A8047" s="193" t="s">
        <v>28329</v>
      </c>
      <c r="B8047" s="7" t="s">
        <v>187</v>
      </c>
      <c r="C8047" s="7" t="s">
        <v>16846</v>
      </c>
      <c r="D8047" s="194">
        <v>2015.0</v>
      </c>
      <c r="E8047" s="193"/>
      <c r="F8047" s="195" t="s">
        <v>28330</v>
      </c>
      <c r="G8047" s="196">
        <v>5582231.0</v>
      </c>
      <c r="H8047" s="197">
        <v>0.292</v>
      </c>
      <c r="I8047" s="7" t="s">
        <v>16815</v>
      </c>
      <c r="J8047" s="7" t="s">
        <v>187</v>
      </c>
      <c r="K8047" s="7" t="s">
        <v>16846</v>
      </c>
      <c r="L8047" s="198" t="s">
        <v>65</v>
      </c>
      <c r="M8047" s="194"/>
      <c r="N8047" s="194"/>
    </row>
    <row r="8048">
      <c r="A8048" s="193" t="s">
        <v>28331</v>
      </c>
      <c r="B8048" s="7" t="s">
        <v>187</v>
      </c>
      <c r="C8048" s="7" t="s">
        <v>23634</v>
      </c>
      <c r="D8048" s="199"/>
      <c r="E8048" s="193"/>
      <c r="F8048" s="195" t="s">
        <v>28332</v>
      </c>
      <c r="G8048" s="196">
        <v>5576803.0</v>
      </c>
      <c r="H8048" s="197">
        <v>0.31</v>
      </c>
      <c r="I8048" s="7" t="s">
        <v>16815</v>
      </c>
      <c r="J8048" s="7" t="s">
        <v>187</v>
      </c>
      <c r="K8048" s="7" t="s">
        <v>23634</v>
      </c>
      <c r="L8048" s="198" t="s">
        <v>65</v>
      </c>
      <c r="M8048" s="199"/>
      <c r="N8048" s="199"/>
    </row>
    <row r="8049">
      <c r="A8049" s="193" t="s">
        <v>28333</v>
      </c>
      <c r="B8049" s="7" t="s">
        <v>16582</v>
      </c>
      <c r="C8049" s="7" t="s">
        <v>16930</v>
      </c>
      <c r="D8049" s="199"/>
      <c r="E8049" s="193"/>
      <c r="F8049" s="195" t="s">
        <v>28334</v>
      </c>
      <c r="G8049" s="196">
        <v>5573013.0</v>
      </c>
      <c r="H8049" s="197">
        <v>1.75</v>
      </c>
      <c r="I8049" s="7" t="s">
        <v>16815</v>
      </c>
      <c r="J8049" s="7" t="s">
        <v>16582</v>
      </c>
      <c r="K8049" s="7" t="s">
        <v>16930</v>
      </c>
      <c r="L8049" s="198" t="s">
        <v>65</v>
      </c>
      <c r="M8049" s="199"/>
      <c r="N8049" s="199"/>
    </row>
    <row r="8050">
      <c r="A8050" s="193" t="s">
        <v>28335</v>
      </c>
      <c r="B8050" s="7" t="s">
        <v>187</v>
      </c>
      <c r="C8050" s="7" t="s">
        <v>16992</v>
      </c>
      <c r="D8050" s="194">
        <v>2023.0</v>
      </c>
      <c r="E8050" s="193"/>
      <c r="F8050" s="195" t="s">
        <v>28336</v>
      </c>
      <c r="G8050" s="196">
        <v>5496904.0</v>
      </c>
      <c r="H8050" s="197">
        <v>0.4221</v>
      </c>
      <c r="I8050" s="7" t="s">
        <v>16815</v>
      </c>
      <c r="J8050" s="7" t="s">
        <v>187</v>
      </c>
      <c r="K8050" s="7" t="s">
        <v>16992</v>
      </c>
      <c r="L8050" s="198" t="s">
        <v>65</v>
      </c>
      <c r="M8050" s="194"/>
      <c r="N8050" s="194"/>
    </row>
    <row r="8051">
      <c r="A8051" s="193" t="s">
        <v>28337</v>
      </c>
      <c r="B8051" s="7" t="s">
        <v>187</v>
      </c>
      <c r="C8051" s="7" t="s">
        <v>16858</v>
      </c>
      <c r="D8051" s="199"/>
      <c r="E8051" s="193"/>
      <c r="F8051" s="195" t="s">
        <v>28338</v>
      </c>
      <c r="G8051" s="196">
        <v>5493022.0</v>
      </c>
      <c r="H8051" s="197">
        <v>0.93</v>
      </c>
      <c r="I8051" s="7" t="s">
        <v>16815</v>
      </c>
      <c r="J8051" s="7" t="s">
        <v>187</v>
      </c>
      <c r="K8051" s="7" t="s">
        <v>16858</v>
      </c>
      <c r="L8051" s="198" t="s">
        <v>65</v>
      </c>
      <c r="M8051" s="199"/>
      <c r="N8051" s="199"/>
    </row>
    <row r="8052">
      <c r="A8052" s="193" t="s">
        <v>28339</v>
      </c>
      <c r="B8052" s="7" t="s">
        <v>17112</v>
      </c>
      <c r="C8052" s="7" t="s">
        <v>17218</v>
      </c>
      <c r="D8052" s="194">
        <v>2020.0</v>
      </c>
      <c r="E8052" s="193"/>
      <c r="F8052" s="195" t="s">
        <v>28340</v>
      </c>
      <c r="G8052" s="196">
        <v>5466800.0</v>
      </c>
      <c r="H8052" s="197">
        <v>0.173</v>
      </c>
      <c r="I8052" s="7" t="s">
        <v>16815</v>
      </c>
      <c r="J8052" s="7" t="s">
        <v>17112</v>
      </c>
      <c r="K8052" s="7" t="s">
        <v>17218</v>
      </c>
      <c r="L8052" s="198" t="s">
        <v>65</v>
      </c>
      <c r="M8052" s="194"/>
      <c r="N8052" s="194"/>
    </row>
    <row r="8053">
      <c r="A8053" s="193" t="s">
        <v>28341</v>
      </c>
      <c r="B8053" s="7" t="s">
        <v>16582</v>
      </c>
      <c r="C8053" s="7" t="s">
        <v>16817</v>
      </c>
      <c r="D8053" s="194">
        <v>2020.0</v>
      </c>
      <c r="E8053" s="193"/>
      <c r="F8053" s="195" t="s">
        <v>28342</v>
      </c>
      <c r="G8053" s="196">
        <v>5463449.0</v>
      </c>
      <c r="H8053" s="197">
        <v>2.1489</v>
      </c>
      <c r="I8053" s="7" t="s">
        <v>16815</v>
      </c>
      <c r="J8053" s="7" t="s">
        <v>16582</v>
      </c>
      <c r="K8053" s="7" t="s">
        <v>16817</v>
      </c>
      <c r="L8053" s="198" t="s">
        <v>65</v>
      </c>
      <c r="M8053" s="194"/>
      <c r="N8053" s="194"/>
    </row>
    <row r="8054">
      <c r="A8054" s="193" t="s">
        <v>28343</v>
      </c>
      <c r="B8054" s="7" t="s">
        <v>187</v>
      </c>
      <c r="C8054" s="7" t="s">
        <v>16851</v>
      </c>
      <c r="D8054" s="194">
        <v>2022.0</v>
      </c>
      <c r="E8054" s="193"/>
      <c r="F8054" s="195" t="s">
        <v>28344</v>
      </c>
      <c r="G8054" s="196">
        <v>5449699.0</v>
      </c>
      <c r="H8054" s="197">
        <v>2.41</v>
      </c>
      <c r="I8054" s="7" t="s">
        <v>16815</v>
      </c>
      <c r="J8054" s="7" t="s">
        <v>187</v>
      </c>
      <c r="K8054" s="7" t="s">
        <v>16851</v>
      </c>
      <c r="L8054" s="198" t="s">
        <v>65</v>
      </c>
      <c r="M8054" s="194"/>
      <c r="N8054" s="194"/>
    </row>
    <row r="8055">
      <c r="A8055" s="193" t="s">
        <v>28345</v>
      </c>
      <c r="B8055" s="7" t="s">
        <v>187</v>
      </c>
      <c r="C8055" s="7" t="s">
        <v>16846</v>
      </c>
      <c r="D8055" s="194">
        <v>2019.0</v>
      </c>
      <c r="E8055" s="193"/>
      <c r="F8055" s="195" t="s">
        <v>28346</v>
      </c>
      <c r="G8055" s="196">
        <v>5447155.0</v>
      </c>
      <c r="H8055" s="197">
        <v>0.124</v>
      </c>
      <c r="I8055" s="7" t="s">
        <v>16815</v>
      </c>
      <c r="J8055" s="7" t="s">
        <v>187</v>
      </c>
      <c r="K8055" s="7" t="s">
        <v>16846</v>
      </c>
      <c r="L8055" s="198" t="s">
        <v>65</v>
      </c>
      <c r="M8055" s="194"/>
      <c r="N8055" s="194"/>
    </row>
    <row r="8056">
      <c r="A8056" s="193" t="s">
        <v>28347</v>
      </c>
      <c r="B8056" s="7" t="s">
        <v>16582</v>
      </c>
      <c r="C8056" s="7" t="s">
        <v>16828</v>
      </c>
      <c r="D8056" s="194">
        <v>2010.0</v>
      </c>
      <c r="E8056" s="193"/>
      <c r="F8056" s="195" t="s">
        <v>28348</v>
      </c>
      <c r="G8056" s="196">
        <v>5406810.0</v>
      </c>
      <c r="H8056" s="197">
        <v>1.1</v>
      </c>
      <c r="I8056" s="7" t="s">
        <v>16815</v>
      </c>
      <c r="J8056" s="7" t="s">
        <v>16582</v>
      </c>
      <c r="K8056" s="7" t="s">
        <v>16828</v>
      </c>
      <c r="L8056" s="198" t="s">
        <v>65</v>
      </c>
      <c r="M8056" s="194"/>
      <c r="N8056" s="194"/>
    </row>
    <row r="8057">
      <c r="A8057" s="193" t="s">
        <v>28349</v>
      </c>
      <c r="B8057" s="7" t="s">
        <v>17112</v>
      </c>
      <c r="C8057" s="7" t="s">
        <v>17218</v>
      </c>
      <c r="D8057" s="199"/>
      <c r="E8057" s="193"/>
      <c r="F8057" s="195" t="s">
        <v>28350</v>
      </c>
      <c r="G8057" s="196">
        <v>5382376.0</v>
      </c>
      <c r="H8057" s="197">
        <v>3.52</v>
      </c>
      <c r="I8057" s="7" t="s">
        <v>16815</v>
      </c>
      <c r="J8057" s="7" t="s">
        <v>17112</v>
      </c>
      <c r="K8057" s="7" t="s">
        <v>17218</v>
      </c>
      <c r="L8057" s="198" t="s">
        <v>65</v>
      </c>
      <c r="M8057" s="199"/>
      <c r="N8057" s="199"/>
    </row>
    <row r="8058">
      <c r="A8058" s="193" t="s">
        <v>28351</v>
      </c>
      <c r="B8058" s="7" t="s">
        <v>187</v>
      </c>
      <c r="C8058" s="7" t="s">
        <v>16846</v>
      </c>
      <c r="D8058" s="194">
        <v>2020.0</v>
      </c>
      <c r="E8058" s="193"/>
      <c r="F8058" s="195" t="s">
        <v>28352</v>
      </c>
      <c r="G8058" s="196">
        <v>5348326.0</v>
      </c>
      <c r="H8058" s="197">
        <v>1.0</v>
      </c>
      <c r="I8058" s="7" t="s">
        <v>16815</v>
      </c>
      <c r="J8058" s="7" t="s">
        <v>187</v>
      </c>
      <c r="K8058" s="7" t="s">
        <v>16846</v>
      </c>
      <c r="L8058" s="198" t="s">
        <v>65</v>
      </c>
      <c r="M8058" s="194"/>
      <c r="N8058" s="194"/>
    </row>
    <row r="8059">
      <c r="A8059" s="193" t="s">
        <v>28353</v>
      </c>
      <c r="B8059" s="7" t="s">
        <v>187</v>
      </c>
      <c r="C8059" s="7" t="s">
        <v>16846</v>
      </c>
      <c r="D8059" s="194">
        <v>2021.0</v>
      </c>
      <c r="E8059" s="193"/>
      <c r="F8059" s="195" t="s">
        <v>28354</v>
      </c>
      <c r="G8059" s="196">
        <v>5343526.0</v>
      </c>
      <c r="H8059" s="197">
        <v>0.225</v>
      </c>
      <c r="I8059" s="7" t="s">
        <v>16815</v>
      </c>
      <c r="J8059" s="7" t="s">
        <v>187</v>
      </c>
      <c r="K8059" s="7" t="s">
        <v>16846</v>
      </c>
      <c r="L8059" s="198" t="s">
        <v>65</v>
      </c>
      <c r="M8059" s="194"/>
      <c r="N8059" s="194"/>
    </row>
    <row r="8060">
      <c r="A8060" s="193" t="s">
        <v>28355</v>
      </c>
      <c r="B8060" s="7" t="s">
        <v>16582</v>
      </c>
      <c r="C8060" s="7" t="s">
        <v>16817</v>
      </c>
      <c r="D8060" s="199"/>
      <c r="E8060" s="193"/>
      <c r="F8060" s="195" t="s">
        <v>28356</v>
      </c>
      <c r="G8060" s="196">
        <v>5327137.0</v>
      </c>
      <c r="H8060" s="197">
        <v>1.8799</v>
      </c>
      <c r="I8060" s="7" t="s">
        <v>16815</v>
      </c>
      <c r="J8060" s="7" t="s">
        <v>16582</v>
      </c>
      <c r="K8060" s="7" t="s">
        <v>16817</v>
      </c>
      <c r="L8060" s="198" t="s">
        <v>65</v>
      </c>
      <c r="M8060" s="199"/>
      <c r="N8060" s="199"/>
    </row>
    <row r="8061">
      <c r="A8061" s="193" t="s">
        <v>28357</v>
      </c>
      <c r="B8061" s="7" t="s">
        <v>175</v>
      </c>
      <c r="C8061" s="7" t="s">
        <v>16842</v>
      </c>
      <c r="D8061" s="194">
        <v>2021.0</v>
      </c>
      <c r="E8061" s="193"/>
      <c r="F8061" s="195" t="s">
        <v>28358</v>
      </c>
      <c r="G8061" s="196">
        <v>5298579.0</v>
      </c>
      <c r="H8061" s="197">
        <v>0.777</v>
      </c>
      <c r="I8061" s="7" t="s">
        <v>16856</v>
      </c>
      <c r="J8061" s="7" t="s">
        <v>175</v>
      </c>
      <c r="K8061" s="7" t="s">
        <v>16842</v>
      </c>
      <c r="L8061" s="198" t="s">
        <v>65</v>
      </c>
      <c r="M8061" s="194"/>
      <c r="N8061" s="194"/>
    </row>
    <row r="8062">
      <c r="A8062" s="193" t="s">
        <v>28359</v>
      </c>
      <c r="B8062" s="7" t="s">
        <v>187</v>
      </c>
      <c r="C8062" s="7" t="s">
        <v>16846</v>
      </c>
      <c r="D8062" s="199"/>
      <c r="E8062" s="193"/>
      <c r="F8062" s="195" t="s">
        <v>28360</v>
      </c>
      <c r="G8062" s="196">
        <v>5290974.0</v>
      </c>
      <c r="H8062" s="197">
        <v>2.1947</v>
      </c>
      <c r="I8062" s="7" t="s">
        <v>16815</v>
      </c>
      <c r="J8062" s="7" t="s">
        <v>187</v>
      </c>
      <c r="K8062" s="7" t="s">
        <v>16846</v>
      </c>
      <c r="L8062" s="198" t="s">
        <v>65</v>
      </c>
      <c r="M8062" s="199"/>
      <c r="N8062" s="199"/>
    </row>
    <row r="8063">
      <c r="A8063" s="193" t="s">
        <v>28361</v>
      </c>
      <c r="B8063" s="7" t="s">
        <v>175</v>
      </c>
      <c r="C8063" s="7" t="s">
        <v>17025</v>
      </c>
      <c r="D8063" s="194">
        <v>2020.0</v>
      </c>
      <c r="E8063" s="193"/>
      <c r="F8063" s="195" t="s">
        <v>28362</v>
      </c>
      <c r="G8063" s="196">
        <v>5288825.0</v>
      </c>
      <c r="H8063" s="197">
        <v>0.0216</v>
      </c>
      <c r="I8063" s="7" t="s">
        <v>16892</v>
      </c>
      <c r="J8063" s="7" t="s">
        <v>175</v>
      </c>
      <c r="K8063" s="7" t="s">
        <v>17025</v>
      </c>
      <c r="L8063" s="198" t="s">
        <v>65</v>
      </c>
      <c r="M8063" s="194"/>
      <c r="N8063" s="194"/>
    </row>
    <row r="8064">
      <c r="A8064" s="193" t="s">
        <v>28363</v>
      </c>
      <c r="D8064" s="194">
        <v>2022.0</v>
      </c>
      <c r="E8064" s="193"/>
      <c r="F8064" s="195" t="s">
        <v>28364</v>
      </c>
      <c r="G8064" s="196">
        <v>5275592.0</v>
      </c>
      <c r="H8064" s="197">
        <v>0.1899</v>
      </c>
      <c r="I8064" s="7" t="s">
        <v>16815</v>
      </c>
      <c r="L8064" s="198" t="s">
        <v>65</v>
      </c>
      <c r="M8064" s="194"/>
      <c r="N8064" s="194"/>
    </row>
    <row r="8065">
      <c r="A8065" s="193" t="s">
        <v>28365</v>
      </c>
      <c r="B8065" s="7" t="s">
        <v>175</v>
      </c>
      <c r="C8065" s="7" t="s">
        <v>18268</v>
      </c>
      <c r="D8065" s="194">
        <v>2023.0</v>
      </c>
      <c r="E8065" s="193"/>
      <c r="F8065" s="195" t="s">
        <v>28366</v>
      </c>
      <c r="G8065" s="196">
        <v>5265040.0</v>
      </c>
      <c r="H8065" s="197">
        <v>0.2123</v>
      </c>
      <c r="I8065" s="7" t="s">
        <v>168</v>
      </c>
      <c r="J8065" s="7" t="s">
        <v>175</v>
      </c>
      <c r="K8065" s="7" t="s">
        <v>18268</v>
      </c>
      <c r="L8065" s="198" t="s">
        <v>65</v>
      </c>
      <c r="M8065" s="194"/>
      <c r="N8065" s="194"/>
    </row>
    <row r="8066">
      <c r="A8066" s="193" t="s">
        <v>28365</v>
      </c>
      <c r="B8066" s="202" t="s">
        <v>18268</v>
      </c>
      <c r="C8066" s="193" t="s">
        <v>175</v>
      </c>
      <c r="D8066" s="193">
        <v>2023.0</v>
      </c>
      <c r="E8066" s="193"/>
      <c r="F8066" s="203" t="s">
        <v>28366</v>
      </c>
      <c r="G8066" s="200">
        <v>5265040.0</v>
      </c>
      <c r="H8066" s="205">
        <v>1.12</v>
      </c>
      <c r="J8066" s="202" t="s">
        <v>18268</v>
      </c>
      <c r="K8066" s="193" t="s">
        <v>175</v>
      </c>
      <c r="L8066" s="193" t="s">
        <v>17471</v>
      </c>
      <c r="M8066" s="193"/>
      <c r="N8066" s="193"/>
    </row>
    <row r="8067">
      <c r="A8067" s="193" t="s">
        <v>28367</v>
      </c>
      <c r="B8067" s="7" t="s">
        <v>158</v>
      </c>
      <c r="C8067" s="7" t="s">
        <v>18063</v>
      </c>
      <c r="D8067" s="194">
        <v>2020.0</v>
      </c>
      <c r="E8067" s="193"/>
      <c r="F8067" s="195" t="s">
        <v>28368</v>
      </c>
      <c r="G8067" s="196">
        <v>5250555.0</v>
      </c>
      <c r="H8067" s="197">
        <v>0.163</v>
      </c>
      <c r="I8067" s="7" t="s">
        <v>17098</v>
      </c>
      <c r="J8067" s="7" t="s">
        <v>158</v>
      </c>
      <c r="K8067" s="7" t="s">
        <v>18063</v>
      </c>
      <c r="L8067" s="198" t="s">
        <v>65</v>
      </c>
      <c r="M8067" s="194"/>
      <c r="N8067" s="194"/>
    </row>
    <row r="8068">
      <c r="A8068" s="193" t="s">
        <v>28369</v>
      </c>
      <c r="B8068" s="7" t="s">
        <v>187</v>
      </c>
      <c r="C8068" s="7" t="s">
        <v>16846</v>
      </c>
      <c r="D8068" s="194">
        <v>2019.0</v>
      </c>
      <c r="E8068" s="193"/>
      <c r="F8068" s="195" t="s">
        <v>28370</v>
      </c>
      <c r="G8068" s="196">
        <v>5220033.0</v>
      </c>
      <c r="H8068" s="197">
        <v>0.3687</v>
      </c>
      <c r="I8068" s="7" t="s">
        <v>16815</v>
      </c>
      <c r="J8068" s="7" t="s">
        <v>187</v>
      </c>
      <c r="K8068" s="7" t="s">
        <v>16846</v>
      </c>
      <c r="L8068" s="198" t="s">
        <v>65</v>
      </c>
      <c r="M8068" s="194"/>
      <c r="N8068" s="194"/>
    </row>
    <row r="8069">
      <c r="A8069" s="193" t="s">
        <v>28371</v>
      </c>
      <c r="B8069" s="7" t="s">
        <v>187</v>
      </c>
      <c r="C8069" s="7" t="s">
        <v>17552</v>
      </c>
      <c r="D8069" s="194">
        <v>2022.0</v>
      </c>
      <c r="E8069" s="193"/>
      <c r="F8069" s="195" t="s">
        <v>28372</v>
      </c>
      <c r="G8069" s="196">
        <v>5218565.0</v>
      </c>
      <c r="H8069" s="197">
        <v>0.404</v>
      </c>
      <c r="I8069" s="7" t="s">
        <v>16815</v>
      </c>
      <c r="J8069" s="7" t="s">
        <v>187</v>
      </c>
      <c r="K8069" s="7" t="s">
        <v>17552</v>
      </c>
      <c r="L8069" s="198" t="s">
        <v>65</v>
      </c>
      <c r="M8069" s="194"/>
      <c r="N8069" s="194"/>
    </row>
    <row r="8070">
      <c r="A8070" s="193" t="s">
        <v>28373</v>
      </c>
      <c r="B8070" s="7" t="s">
        <v>187</v>
      </c>
      <c r="C8070" s="7" t="s">
        <v>16846</v>
      </c>
      <c r="D8070" s="199"/>
      <c r="E8070" s="193"/>
      <c r="F8070" s="195" t="s">
        <v>28374</v>
      </c>
      <c r="G8070" s="196">
        <v>5149466.0</v>
      </c>
      <c r="H8070" s="197">
        <v>0.0401</v>
      </c>
      <c r="I8070" s="7" t="s">
        <v>16815</v>
      </c>
      <c r="J8070" s="7" t="s">
        <v>187</v>
      </c>
      <c r="K8070" s="7" t="s">
        <v>16846</v>
      </c>
      <c r="L8070" s="198" t="s">
        <v>65</v>
      </c>
      <c r="M8070" s="199"/>
      <c r="N8070" s="199"/>
    </row>
    <row r="8071">
      <c r="A8071" s="193" t="s">
        <v>28375</v>
      </c>
      <c r="B8071" s="7" t="s">
        <v>187</v>
      </c>
      <c r="C8071" s="7" t="s">
        <v>16858</v>
      </c>
      <c r="D8071" s="199"/>
      <c r="E8071" s="193"/>
      <c r="F8071" s="195" t="s">
        <v>28376</v>
      </c>
      <c r="G8071" s="196">
        <v>5140497.0</v>
      </c>
      <c r="H8071" s="197">
        <v>0.9985</v>
      </c>
      <c r="I8071" s="7" t="s">
        <v>16815</v>
      </c>
      <c r="J8071" s="7" t="s">
        <v>187</v>
      </c>
      <c r="K8071" s="7" t="s">
        <v>16858</v>
      </c>
      <c r="L8071" s="198" t="s">
        <v>65</v>
      </c>
      <c r="M8071" s="199"/>
      <c r="N8071" s="199"/>
    </row>
    <row r="8072">
      <c r="A8072" s="193" t="s">
        <v>28377</v>
      </c>
      <c r="B8072" s="7" t="s">
        <v>187</v>
      </c>
      <c r="C8072" s="7" t="s">
        <v>16846</v>
      </c>
      <c r="D8072" s="199"/>
      <c r="E8072" s="193"/>
      <c r="F8072" s="195" t="s">
        <v>28378</v>
      </c>
      <c r="G8072" s="196">
        <v>5137094.0</v>
      </c>
      <c r="H8072" s="197">
        <v>0.594</v>
      </c>
      <c r="I8072" s="7" t="s">
        <v>16815</v>
      </c>
      <c r="J8072" s="7" t="s">
        <v>187</v>
      </c>
      <c r="K8072" s="7" t="s">
        <v>16846</v>
      </c>
      <c r="L8072" s="198" t="s">
        <v>65</v>
      </c>
      <c r="M8072" s="199"/>
      <c r="N8072" s="199"/>
    </row>
    <row r="8073">
      <c r="A8073" s="193" t="s">
        <v>28379</v>
      </c>
      <c r="B8073" s="7" t="s">
        <v>187</v>
      </c>
      <c r="C8073" s="7" t="s">
        <v>16969</v>
      </c>
      <c r="D8073" s="199"/>
      <c r="E8073" s="193"/>
      <c r="F8073" s="195" t="s">
        <v>28380</v>
      </c>
      <c r="G8073" s="196">
        <v>5129586.0</v>
      </c>
      <c r="H8073" s="197">
        <v>3.12</v>
      </c>
      <c r="I8073" s="7" t="s">
        <v>16815</v>
      </c>
      <c r="J8073" s="7" t="s">
        <v>187</v>
      </c>
      <c r="K8073" s="7" t="s">
        <v>16969</v>
      </c>
      <c r="L8073" s="198" t="s">
        <v>65</v>
      </c>
      <c r="M8073" s="199"/>
      <c r="N8073" s="199"/>
    </row>
    <row r="8074">
      <c r="A8074" s="193" t="s">
        <v>28381</v>
      </c>
      <c r="D8074" s="194">
        <v>2022.0</v>
      </c>
      <c r="E8074" s="193"/>
      <c r="F8074" s="195" t="s">
        <v>28382</v>
      </c>
      <c r="G8074" s="196">
        <v>5123937.0</v>
      </c>
      <c r="H8074" s="197">
        <v>0.2557</v>
      </c>
      <c r="I8074" s="7" t="s">
        <v>16815</v>
      </c>
      <c r="L8074" s="198" t="s">
        <v>65</v>
      </c>
      <c r="M8074" s="194"/>
      <c r="N8074" s="194"/>
    </row>
    <row r="8075">
      <c r="A8075" s="193" t="s">
        <v>28383</v>
      </c>
      <c r="B8075" s="7" t="s">
        <v>16582</v>
      </c>
      <c r="C8075" s="7" t="s">
        <v>16817</v>
      </c>
      <c r="D8075" s="199"/>
      <c r="E8075" s="193"/>
      <c r="F8075" s="195" t="s">
        <v>28384</v>
      </c>
      <c r="G8075" s="196">
        <v>5099745.0</v>
      </c>
      <c r="H8075" s="197">
        <v>0.4201</v>
      </c>
      <c r="I8075" s="7" t="s">
        <v>16815</v>
      </c>
      <c r="J8075" s="7" t="s">
        <v>16582</v>
      </c>
      <c r="K8075" s="7" t="s">
        <v>16817</v>
      </c>
      <c r="L8075" s="198" t="s">
        <v>65</v>
      </c>
      <c r="M8075" s="199"/>
      <c r="N8075" s="199"/>
    </row>
    <row r="8076">
      <c r="A8076" s="193" t="s">
        <v>28385</v>
      </c>
      <c r="B8076" s="7" t="s">
        <v>175</v>
      </c>
      <c r="C8076" s="7" t="s">
        <v>17480</v>
      </c>
      <c r="D8076" s="194">
        <v>2021.0</v>
      </c>
      <c r="E8076" s="193"/>
      <c r="F8076" s="195" t="s">
        <v>28386</v>
      </c>
      <c r="G8076" s="196">
        <v>5089952.0</v>
      </c>
      <c r="H8076" s="197">
        <v>0.738</v>
      </c>
      <c r="I8076" s="7" t="s">
        <v>168</v>
      </c>
      <c r="J8076" s="7" t="s">
        <v>175</v>
      </c>
      <c r="K8076" s="7" t="s">
        <v>17480</v>
      </c>
      <c r="L8076" s="198" t="s">
        <v>65</v>
      </c>
      <c r="M8076" s="194"/>
      <c r="N8076" s="194"/>
    </row>
    <row r="8077">
      <c r="A8077" s="193" t="s">
        <v>28387</v>
      </c>
      <c r="B8077" s="7" t="s">
        <v>187</v>
      </c>
      <c r="C8077" s="7" t="s">
        <v>16846</v>
      </c>
      <c r="D8077" s="194">
        <v>2021.0</v>
      </c>
      <c r="E8077" s="193"/>
      <c r="F8077" s="195" t="s">
        <v>28388</v>
      </c>
      <c r="G8077" s="196">
        <v>5086160.0</v>
      </c>
      <c r="H8077" s="197">
        <v>3.81</v>
      </c>
      <c r="I8077" s="7" t="s">
        <v>16815</v>
      </c>
      <c r="J8077" s="7" t="s">
        <v>187</v>
      </c>
      <c r="K8077" s="7" t="s">
        <v>16846</v>
      </c>
      <c r="L8077" s="198" t="s">
        <v>65</v>
      </c>
      <c r="M8077" s="194"/>
      <c r="N8077" s="194"/>
    </row>
    <row r="8078">
      <c r="A8078" s="193" t="s">
        <v>28389</v>
      </c>
      <c r="B8078" s="7" t="s">
        <v>16582</v>
      </c>
      <c r="C8078" s="7" t="s">
        <v>16817</v>
      </c>
      <c r="D8078" s="194">
        <v>2023.0</v>
      </c>
      <c r="E8078" s="193"/>
      <c r="F8078" s="195" t="s">
        <v>28390</v>
      </c>
      <c r="G8078" s="196">
        <v>5050287.0</v>
      </c>
      <c r="H8078" s="197">
        <v>0.367</v>
      </c>
      <c r="I8078" s="7" t="s">
        <v>16815</v>
      </c>
      <c r="J8078" s="7" t="s">
        <v>16582</v>
      </c>
      <c r="K8078" s="7" t="s">
        <v>16817</v>
      </c>
      <c r="L8078" s="198" t="s">
        <v>65</v>
      </c>
      <c r="M8078" s="194"/>
      <c r="N8078" s="194"/>
    </row>
    <row r="8079">
      <c r="A8079" s="193" t="s">
        <v>28391</v>
      </c>
      <c r="B8079" s="7" t="s">
        <v>187</v>
      </c>
      <c r="C8079" s="7" t="s">
        <v>16851</v>
      </c>
      <c r="D8079" s="194">
        <v>2020.0</v>
      </c>
      <c r="E8079" s="193"/>
      <c r="F8079" s="195" t="s">
        <v>28392</v>
      </c>
      <c r="G8079" s="196">
        <v>5044105.0</v>
      </c>
      <c r="H8079" s="197">
        <v>0.5775</v>
      </c>
      <c r="I8079" s="7" t="s">
        <v>16815</v>
      </c>
      <c r="J8079" s="7" t="s">
        <v>187</v>
      </c>
      <c r="K8079" s="7" t="s">
        <v>16851</v>
      </c>
      <c r="L8079" s="198" t="s">
        <v>65</v>
      </c>
      <c r="M8079" s="194"/>
      <c r="N8079" s="194"/>
    </row>
    <row r="8080">
      <c r="A8080" s="193" t="s">
        <v>28393</v>
      </c>
      <c r="B8080" s="7" t="s">
        <v>16582</v>
      </c>
      <c r="C8080" s="7" t="s">
        <v>16930</v>
      </c>
      <c r="D8080" s="199"/>
      <c r="E8080" s="193"/>
      <c r="F8080" s="195" t="s">
        <v>28394</v>
      </c>
      <c r="G8080" s="196">
        <v>4982040.0</v>
      </c>
      <c r="H8080" s="197">
        <v>0.28</v>
      </c>
      <c r="I8080" s="7" t="s">
        <v>16815</v>
      </c>
      <c r="J8080" s="7" t="s">
        <v>16582</v>
      </c>
      <c r="K8080" s="7" t="s">
        <v>16930</v>
      </c>
      <c r="L8080" s="198" t="s">
        <v>65</v>
      </c>
      <c r="M8080" s="199"/>
      <c r="N8080" s="199"/>
    </row>
    <row r="8081">
      <c r="A8081" s="193" t="s">
        <v>28395</v>
      </c>
      <c r="B8081" s="7" t="s">
        <v>16582</v>
      </c>
      <c r="C8081" s="7" t="s">
        <v>16930</v>
      </c>
      <c r="D8081" s="199"/>
      <c r="E8081" s="193"/>
      <c r="F8081" s="195" t="s">
        <v>28396</v>
      </c>
      <c r="G8081" s="196">
        <v>4981687.0</v>
      </c>
      <c r="H8081" s="197">
        <v>4.99</v>
      </c>
      <c r="I8081" s="7" t="s">
        <v>16815</v>
      </c>
      <c r="J8081" s="7" t="s">
        <v>16582</v>
      </c>
      <c r="K8081" s="7" t="s">
        <v>16930</v>
      </c>
      <c r="L8081" s="198" t="s">
        <v>65</v>
      </c>
      <c r="M8081" s="199"/>
      <c r="N8081" s="199"/>
    </row>
    <row r="8082">
      <c r="A8082" s="193" t="s">
        <v>28397</v>
      </c>
      <c r="B8082" s="7" t="s">
        <v>187</v>
      </c>
      <c r="C8082" s="7" t="s">
        <v>19444</v>
      </c>
      <c r="D8082" s="194">
        <v>2021.0</v>
      </c>
      <c r="E8082" s="193"/>
      <c r="F8082" s="195" t="s">
        <v>28398</v>
      </c>
      <c r="G8082" s="196">
        <v>4966605.0</v>
      </c>
      <c r="H8082" s="197">
        <v>0.6845</v>
      </c>
      <c r="I8082" s="7" t="s">
        <v>16815</v>
      </c>
      <c r="J8082" s="7" t="s">
        <v>187</v>
      </c>
      <c r="K8082" s="7" t="s">
        <v>19444</v>
      </c>
      <c r="L8082" s="198" t="s">
        <v>65</v>
      </c>
      <c r="M8082" s="194"/>
      <c r="N8082" s="194"/>
    </row>
    <row r="8083">
      <c r="A8083" s="193" t="s">
        <v>28399</v>
      </c>
      <c r="B8083" s="7" t="s">
        <v>187</v>
      </c>
      <c r="C8083" s="7" t="s">
        <v>16846</v>
      </c>
      <c r="D8083" s="194">
        <v>2021.0</v>
      </c>
      <c r="E8083" s="193"/>
      <c r="F8083" s="195" t="s">
        <v>28400</v>
      </c>
      <c r="G8083" s="196">
        <v>4934087.0</v>
      </c>
      <c r="H8083" s="197">
        <v>0.3151</v>
      </c>
      <c r="I8083" s="7" t="s">
        <v>16815</v>
      </c>
      <c r="J8083" s="7" t="s">
        <v>187</v>
      </c>
      <c r="K8083" s="7" t="s">
        <v>16846</v>
      </c>
      <c r="L8083" s="198" t="s">
        <v>65</v>
      </c>
      <c r="M8083" s="194"/>
      <c r="N8083" s="194"/>
    </row>
    <row r="8084">
      <c r="A8084" s="193" t="s">
        <v>28401</v>
      </c>
      <c r="B8084" s="7" t="s">
        <v>187</v>
      </c>
      <c r="C8084" s="7" t="s">
        <v>16992</v>
      </c>
      <c r="D8084" s="199"/>
      <c r="E8084" s="193"/>
      <c r="F8084" s="195" t="s">
        <v>28402</v>
      </c>
      <c r="G8084" s="196">
        <v>4865599.0</v>
      </c>
      <c r="H8084" s="197">
        <v>0.7501</v>
      </c>
      <c r="I8084" s="7" t="s">
        <v>16815</v>
      </c>
      <c r="J8084" s="7" t="s">
        <v>187</v>
      </c>
      <c r="K8084" s="7" t="s">
        <v>16992</v>
      </c>
      <c r="L8084" s="198" t="s">
        <v>65</v>
      </c>
      <c r="M8084" s="199"/>
      <c r="N8084" s="199"/>
    </row>
    <row r="8085">
      <c r="A8085" s="193" t="s">
        <v>28403</v>
      </c>
      <c r="B8085" s="7" t="s">
        <v>16910</v>
      </c>
      <c r="C8085" s="7" t="s">
        <v>17137</v>
      </c>
      <c r="D8085" s="199"/>
      <c r="E8085" s="193"/>
      <c r="F8085" s="195" t="s">
        <v>28404</v>
      </c>
      <c r="G8085" s="196">
        <v>4857872.0</v>
      </c>
      <c r="H8085" s="197">
        <v>3.01</v>
      </c>
      <c r="I8085" s="7" t="s">
        <v>16917</v>
      </c>
      <c r="J8085" s="7" t="s">
        <v>16910</v>
      </c>
      <c r="K8085" s="7" t="s">
        <v>17137</v>
      </c>
      <c r="L8085" s="198" t="s">
        <v>65</v>
      </c>
      <c r="M8085" s="199"/>
      <c r="N8085" s="199"/>
    </row>
    <row r="8086">
      <c r="A8086" s="193" t="s">
        <v>28405</v>
      </c>
      <c r="B8086" s="7" t="s">
        <v>175</v>
      </c>
      <c r="C8086" s="7" t="s">
        <v>18352</v>
      </c>
      <c r="D8086" s="194">
        <v>2017.0</v>
      </c>
      <c r="E8086" s="193"/>
      <c r="F8086" s="195" t="s">
        <v>28406</v>
      </c>
      <c r="G8086" s="196">
        <v>4843243.0</v>
      </c>
      <c r="H8086" s="197">
        <v>0.55</v>
      </c>
      <c r="I8086" s="7" t="s">
        <v>16908</v>
      </c>
      <c r="J8086" s="7" t="s">
        <v>175</v>
      </c>
      <c r="K8086" s="7" t="s">
        <v>18352</v>
      </c>
      <c r="L8086" s="198" t="s">
        <v>65</v>
      </c>
      <c r="M8086" s="194"/>
      <c r="N8086" s="194"/>
    </row>
    <row r="8087">
      <c r="A8087" s="193" t="s">
        <v>28407</v>
      </c>
      <c r="B8087" s="7" t="s">
        <v>175</v>
      </c>
      <c r="C8087" s="7" t="s">
        <v>18352</v>
      </c>
      <c r="D8087" s="194">
        <v>2021.0</v>
      </c>
      <c r="E8087" s="193"/>
      <c r="F8087" s="195" t="s">
        <v>28408</v>
      </c>
      <c r="G8087" s="196">
        <v>4841580.0</v>
      </c>
      <c r="H8087" s="197">
        <v>0.093</v>
      </c>
      <c r="I8087" s="7" t="s">
        <v>16908</v>
      </c>
      <c r="J8087" s="7" t="s">
        <v>175</v>
      </c>
      <c r="K8087" s="7" t="s">
        <v>18352</v>
      </c>
      <c r="L8087" s="198" t="s">
        <v>65</v>
      </c>
      <c r="M8087" s="194"/>
      <c r="N8087" s="194"/>
    </row>
    <row r="8088">
      <c r="A8088" s="193" t="s">
        <v>28409</v>
      </c>
      <c r="B8088" s="7" t="s">
        <v>16919</v>
      </c>
      <c r="C8088" s="7" t="s">
        <v>17176</v>
      </c>
      <c r="D8088" s="199"/>
      <c r="E8088" s="193"/>
      <c r="F8088" s="195" t="s">
        <v>28410</v>
      </c>
      <c r="G8088" s="196">
        <v>4822405.0</v>
      </c>
      <c r="H8088" s="197">
        <v>1.87</v>
      </c>
      <c r="I8088" s="7" t="s">
        <v>16815</v>
      </c>
      <c r="J8088" s="7" t="s">
        <v>16919</v>
      </c>
      <c r="K8088" s="7" t="s">
        <v>17176</v>
      </c>
      <c r="L8088" s="198" t="s">
        <v>65</v>
      </c>
      <c r="M8088" s="199"/>
      <c r="N8088" s="199"/>
    </row>
    <row r="8089">
      <c r="A8089" s="193" t="s">
        <v>28411</v>
      </c>
      <c r="B8089" s="7" t="s">
        <v>16910</v>
      </c>
      <c r="C8089" s="7" t="s">
        <v>17119</v>
      </c>
      <c r="D8089" s="194">
        <v>2005.0</v>
      </c>
      <c r="E8089" s="193"/>
      <c r="F8089" s="195" t="s">
        <v>28412</v>
      </c>
      <c r="G8089" s="196">
        <v>4775243.0</v>
      </c>
      <c r="H8089" s="197">
        <v>0.8365</v>
      </c>
      <c r="I8089" s="7" t="s">
        <v>127</v>
      </c>
      <c r="J8089" s="7" t="s">
        <v>16910</v>
      </c>
      <c r="K8089" s="7" t="s">
        <v>17119</v>
      </c>
      <c r="L8089" s="198" t="s">
        <v>65</v>
      </c>
      <c r="M8089" s="194"/>
      <c r="N8089" s="194"/>
    </row>
    <row r="8090">
      <c r="A8090" s="193" t="s">
        <v>28413</v>
      </c>
      <c r="B8090" s="7" t="s">
        <v>16582</v>
      </c>
      <c r="C8090" s="7" t="s">
        <v>16828</v>
      </c>
      <c r="D8090" s="194">
        <v>2016.0</v>
      </c>
      <c r="E8090" s="193"/>
      <c r="F8090" s="195" t="s">
        <v>28414</v>
      </c>
      <c r="G8090" s="196">
        <v>4751347.0</v>
      </c>
      <c r="H8090" s="197">
        <v>0.1542</v>
      </c>
      <c r="I8090" s="7" t="s">
        <v>16815</v>
      </c>
      <c r="J8090" s="7" t="s">
        <v>16582</v>
      </c>
      <c r="K8090" s="7" t="s">
        <v>16828</v>
      </c>
      <c r="L8090" s="198" t="s">
        <v>65</v>
      </c>
      <c r="M8090" s="194"/>
      <c r="N8090" s="194"/>
    </row>
    <row r="8091">
      <c r="A8091" s="193" t="s">
        <v>28415</v>
      </c>
      <c r="B8091" s="7" t="s">
        <v>16582</v>
      </c>
      <c r="C8091" s="7" t="s">
        <v>16828</v>
      </c>
      <c r="D8091" s="199"/>
      <c r="E8091" s="193"/>
      <c r="F8091" s="195" t="s">
        <v>28416</v>
      </c>
      <c r="G8091" s="196">
        <v>4689754.0</v>
      </c>
      <c r="H8091" s="197">
        <v>0.209</v>
      </c>
      <c r="I8091" s="7" t="s">
        <v>16815</v>
      </c>
      <c r="J8091" s="7" t="s">
        <v>16582</v>
      </c>
      <c r="K8091" s="7" t="s">
        <v>16828</v>
      </c>
      <c r="L8091" s="198" t="s">
        <v>65</v>
      </c>
      <c r="M8091" s="199"/>
      <c r="N8091" s="199"/>
    </row>
    <row r="8092">
      <c r="A8092" s="193" t="s">
        <v>28417</v>
      </c>
      <c r="B8092" s="7" t="s">
        <v>16582</v>
      </c>
      <c r="C8092" s="7" t="s">
        <v>16817</v>
      </c>
      <c r="D8092" s="194">
        <v>2021.0</v>
      </c>
      <c r="E8092" s="193"/>
      <c r="F8092" s="195" t="s">
        <v>28418</v>
      </c>
      <c r="G8092" s="196">
        <v>4686116.0</v>
      </c>
      <c r="H8092" s="197">
        <v>1.71</v>
      </c>
      <c r="I8092" s="7" t="s">
        <v>16815</v>
      </c>
      <c r="J8092" s="7" t="s">
        <v>16582</v>
      </c>
      <c r="K8092" s="7" t="s">
        <v>16817</v>
      </c>
      <c r="L8092" s="198" t="s">
        <v>65</v>
      </c>
      <c r="M8092" s="194"/>
      <c r="N8092" s="194"/>
    </row>
    <row r="8093">
      <c r="A8093" s="193" t="s">
        <v>28419</v>
      </c>
      <c r="B8093" s="7" t="s">
        <v>16582</v>
      </c>
      <c r="C8093" s="7" t="s">
        <v>16930</v>
      </c>
      <c r="D8093" s="194">
        <v>2014.0</v>
      </c>
      <c r="E8093" s="193"/>
      <c r="F8093" s="195" t="s">
        <v>28420</v>
      </c>
      <c r="G8093" s="196">
        <v>4675620.0</v>
      </c>
      <c r="H8093" s="197">
        <v>0.0649</v>
      </c>
      <c r="I8093" s="7" t="s">
        <v>16815</v>
      </c>
      <c r="J8093" s="7" t="s">
        <v>16582</v>
      </c>
      <c r="K8093" s="7" t="s">
        <v>16930</v>
      </c>
      <c r="L8093" s="198" t="s">
        <v>65</v>
      </c>
      <c r="M8093" s="194"/>
      <c r="N8093" s="194"/>
    </row>
    <row r="8094">
      <c r="A8094" s="193" t="s">
        <v>28421</v>
      </c>
      <c r="B8094" s="7" t="s">
        <v>187</v>
      </c>
      <c r="C8094" s="7" t="s">
        <v>16992</v>
      </c>
      <c r="D8094" s="194">
        <v>2021.0</v>
      </c>
      <c r="E8094" s="193"/>
      <c r="F8094" s="195" t="s">
        <v>28422</v>
      </c>
      <c r="G8094" s="196">
        <v>4660700.0</v>
      </c>
      <c r="H8094" s="197">
        <v>0.418</v>
      </c>
      <c r="I8094" s="7" t="s">
        <v>16815</v>
      </c>
      <c r="J8094" s="7" t="s">
        <v>187</v>
      </c>
      <c r="K8094" s="7" t="s">
        <v>16992</v>
      </c>
      <c r="L8094" s="198" t="s">
        <v>65</v>
      </c>
      <c r="M8094" s="194"/>
      <c r="N8094" s="194"/>
    </row>
    <row r="8095">
      <c r="A8095" s="193" t="s">
        <v>28423</v>
      </c>
      <c r="B8095" s="7" t="s">
        <v>187</v>
      </c>
      <c r="C8095" s="7" t="s">
        <v>16992</v>
      </c>
      <c r="D8095" s="194">
        <v>2016.0</v>
      </c>
      <c r="E8095" s="193"/>
      <c r="F8095" s="195" t="s">
        <v>28424</v>
      </c>
      <c r="G8095" s="196">
        <v>4655876.0</v>
      </c>
      <c r="H8095" s="197">
        <v>0.1062</v>
      </c>
      <c r="I8095" s="7" t="s">
        <v>16815</v>
      </c>
      <c r="J8095" s="7" t="s">
        <v>187</v>
      </c>
      <c r="K8095" s="7" t="s">
        <v>16992</v>
      </c>
      <c r="L8095" s="198" t="s">
        <v>65</v>
      </c>
      <c r="M8095" s="194"/>
      <c r="N8095" s="194"/>
    </row>
    <row r="8096">
      <c r="A8096" s="193" t="s">
        <v>28425</v>
      </c>
      <c r="B8096" s="7" t="s">
        <v>187</v>
      </c>
      <c r="C8096" s="7" t="s">
        <v>20775</v>
      </c>
      <c r="D8096" s="194">
        <v>2021.0</v>
      </c>
      <c r="E8096" s="193"/>
      <c r="F8096" s="195" t="s">
        <v>28426</v>
      </c>
      <c r="G8096" s="196">
        <v>4646813.0</v>
      </c>
      <c r="H8096" s="197">
        <v>0.512</v>
      </c>
      <c r="I8096" s="7" t="s">
        <v>16815</v>
      </c>
      <c r="J8096" s="7" t="s">
        <v>187</v>
      </c>
      <c r="K8096" s="7" t="s">
        <v>20775</v>
      </c>
      <c r="L8096" s="198" t="s">
        <v>65</v>
      </c>
      <c r="M8096" s="194"/>
      <c r="N8096" s="194"/>
    </row>
    <row r="8097">
      <c r="A8097" s="193" t="s">
        <v>28427</v>
      </c>
      <c r="B8097" s="7" t="s">
        <v>16910</v>
      </c>
      <c r="C8097" s="7" t="s">
        <v>17119</v>
      </c>
      <c r="D8097" s="194">
        <v>2023.0</v>
      </c>
      <c r="E8097" s="193"/>
      <c r="F8097" s="195" t="s">
        <v>28428</v>
      </c>
      <c r="G8097" s="196">
        <v>4607930.0</v>
      </c>
      <c r="H8097" s="197">
        <v>1.535</v>
      </c>
      <c r="I8097" s="7" t="s">
        <v>16856</v>
      </c>
      <c r="J8097" s="7" t="s">
        <v>16910</v>
      </c>
      <c r="K8097" s="7" t="s">
        <v>17119</v>
      </c>
      <c r="L8097" s="198" t="s">
        <v>65</v>
      </c>
      <c r="M8097" s="194"/>
      <c r="N8097" s="194"/>
    </row>
    <row r="8098">
      <c r="A8098" s="193" t="s">
        <v>28429</v>
      </c>
      <c r="B8098" s="7" t="s">
        <v>187</v>
      </c>
      <c r="C8098" s="7" t="s">
        <v>16846</v>
      </c>
      <c r="D8098" s="199"/>
      <c r="E8098" s="193"/>
      <c r="F8098" s="195" t="s">
        <v>28430</v>
      </c>
      <c r="G8098" s="196">
        <v>4595334.0</v>
      </c>
      <c r="H8098" s="197">
        <v>0.491</v>
      </c>
      <c r="I8098" s="7" t="s">
        <v>16815</v>
      </c>
      <c r="J8098" s="7" t="s">
        <v>187</v>
      </c>
      <c r="K8098" s="7" t="s">
        <v>16846</v>
      </c>
      <c r="L8098" s="198" t="s">
        <v>65</v>
      </c>
      <c r="M8098" s="199"/>
      <c r="N8098" s="199"/>
    </row>
    <row r="8099">
      <c r="A8099" s="193" t="s">
        <v>28431</v>
      </c>
      <c r="B8099" s="7" t="s">
        <v>187</v>
      </c>
      <c r="C8099" s="7" t="s">
        <v>16846</v>
      </c>
      <c r="D8099" s="199"/>
      <c r="E8099" s="193"/>
      <c r="F8099" s="195" t="s">
        <v>28432</v>
      </c>
      <c r="G8099" s="196">
        <v>4591006.0</v>
      </c>
      <c r="H8099" s="197">
        <v>0.6335</v>
      </c>
      <c r="I8099" s="7" t="s">
        <v>16815</v>
      </c>
      <c r="J8099" s="7" t="s">
        <v>187</v>
      </c>
      <c r="K8099" s="7" t="s">
        <v>16846</v>
      </c>
      <c r="L8099" s="198" t="s">
        <v>65</v>
      </c>
      <c r="M8099" s="199"/>
      <c r="N8099" s="199"/>
    </row>
    <row r="8100">
      <c r="A8100" s="193" t="s">
        <v>28433</v>
      </c>
      <c r="B8100" s="7" t="s">
        <v>187</v>
      </c>
      <c r="C8100" s="7" t="s">
        <v>16969</v>
      </c>
      <c r="D8100" s="194">
        <v>2015.0</v>
      </c>
      <c r="E8100" s="193"/>
      <c r="F8100" s="195" t="s">
        <v>28434</v>
      </c>
      <c r="G8100" s="196">
        <v>4589895.0</v>
      </c>
      <c r="H8100" s="197">
        <v>3.35</v>
      </c>
      <c r="I8100" s="7" t="s">
        <v>16815</v>
      </c>
      <c r="J8100" s="7" t="s">
        <v>187</v>
      </c>
      <c r="K8100" s="7" t="s">
        <v>16969</v>
      </c>
      <c r="L8100" s="198" t="s">
        <v>65</v>
      </c>
      <c r="M8100" s="194"/>
      <c r="N8100" s="194"/>
    </row>
    <row r="8101">
      <c r="A8101" s="193" t="s">
        <v>28435</v>
      </c>
      <c r="B8101" s="7" t="s">
        <v>16582</v>
      </c>
      <c r="C8101" s="7" t="s">
        <v>16930</v>
      </c>
      <c r="D8101" s="194">
        <v>2016.0</v>
      </c>
      <c r="E8101" s="193"/>
      <c r="F8101" s="195" t="s">
        <v>28436</v>
      </c>
      <c r="G8101" s="196">
        <v>4585548.0</v>
      </c>
      <c r="H8101" s="197">
        <v>0.0381</v>
      </c>
      <c r="I8101" s="7" t="s">
        <v>16815</v>
      </c>
      <c r="J8101" s="7" t="s">
        <v>16582</v>
      </c>
      <c r="K8101" s="7" t="s">
        <v>16930</v>
      </c>
      <c r="L8101" s="198" t="s">
        <v>65</v>
      </c>
      <c r="M8101" s="194"/>
      <c r="N8101" s="194"/>
    </row>
    <row r="8102">
      <c r="A8102" s="193" t="s">
        <v>28437</v>
      </c>
      <c r="B8102" s="7" t="s">
        <v>16582</v>
      </c>
      <c r="C8102" s="7" t="s">
        <v>16930</v>
      </c>
      <c r="D8102" s="194">
        <v>2022.0</v>
      </c>
      <c r="E8102" s="193"/>
      <c r="F8102" s="195" t="s">
        <v>28438</v>
      </c>
      <c r="G8102" s="196">
        <v>4576644.0</v>
      </c>
      <c r="H8102" s="197">
        <v>0.134</v>
      </c>
      <c r="I8102" s="7" t="s">
        <v>16815</v>
      </c>
      <c r="J8102" s="7" t="s">
        <v>16582</v>
      </c>
      <c r="K8102" s="7" t="s">
        <v>16930</v>
      </c>
      <c r="L8102" s="198" t="s">
        <v>65</v>
      </c>
      <c r="M8102" s="194"/>
      <c r="N8102" s="194"/>
    </row>
    <row r="8103">
      <c r="A8103" s="193" t="s">
        <v>28439</v>
      </c>
      <c r="B8103" s="7" t="s">
        <v>187</v>
      </c>
      <c r="C8103" s="7" t="s">
        <v>16846</v>
      </c>
      <c r="D8103" s="199"/>
      <c r="E8103" s="193"/>
      <c r="F8103" s="195" t="s">
        <v>28440</v>
      </c>
      <c r="G8103" s="196">
        <v>4564206.0</v>
      </c>
      <c r="H8103" s="197">
        <v>1.21</v>
      </c>
      <c r="I8103" s="7" t="s">
        <v>16815</v>
      </c>
      <c r="J8103" s="7" t="s">
        <v>187</v>
      </c>
      <c r="K8103" s="7" t="s">
        <v>16846</v>
      </c>
      <c r="L8103" s="198" t="s">
        <v>65</v>
      </c>
      <c r="M8103" s="199"/>
      <c r="N8103" s="199"/>
    </row>
    <row r="8104">
      <c r="A8104" s="193" t="s">
        <v>28441</v>
      </c>
      <c r="B8104" s="7" t="s">
        <v>187</v>
      </c>
      <c r="C8104" s="7" t="s">
        <v>16969</v>
      </c>
      <c r="D8104" s="194">
        <v>2022.0</v>
      </c>
      <c r="E8104" s="193"/>
      <c r="F8104" s="195" t="s">
        <v>28442</v>
      </c>
      <c r="G8104" s="196">
        <v>4557471.0</v>
      </c>
      <c r="H8104" s="197">
        <v>0.391</v>
      </c>
      <c r="I8104" s="7" t="s">
        <v>16815</v>
      </c>
      <c r="J8104" s="7" t="s">
        <v>187</v>
      </c>
      <c r="K8104" s="7" t="s">
        <v>16969</v>
      </c>
      <c r="L8104" s="198" t="s">
        <v>65</v>
      </c>
      <c r="M8104" s="194"/>
      <c r="N8104" s="194"/>
    </row>
    <row r="8105">
      <c r="A8105" s="193" t="s">
        <v>28443</v>
      </c>
      <c r="B8105" s="7" t="s">
        <v>187</v>
      </c>
      <c r="C8105" s="7" t="s">
        <v>16851</v>
      </c>
      <c r="D8105" s="194">
        <v>2015.0</v>
      </c>
      <c r="E8105" s="193"/>
      <c r="F8105" s="195" t="s">
        <v>28444</v>
      </c>
      <c r="G8105" s="196">
        <v>4538757.0</v>
      </c>
      <c r="H8105" s="197">
        <v>0.51</v>
      </c>
      <c r="I8105" s="7" t="s">
        <v>16815</v>
      </c>
      <c r="J8105" s="7" t="s">
        <v>187</v>
      </c>
      <c r="K8105" s="7" t="s">
        <v>16851</v>
      </c>
      <c r="L8105" s="198" t="s">
        <v>65</v>
      </c>
      <c r="M8105" s="194"/>
      <c r="N8105" s="194"/>
    </row>
    <row r="8106">
      <c r="A8106" s="193" t="s">
        <v>28445</v>
      </c>
      <c r="B8106" s="7" t="s">
        <v>16582</v>
      </c>
      <c r="C8106" s="7" t="s">
        <v>16930</v>
      </c>
      <c r="D8106" s="194">
        <v>2020.0</v>
      </c>
      <c r="E8106" s="193"/>
      <c r="F8106" s="195" t="s">
        <v>28446</v>
      </c>
      <c r="G8106" s="196">
        <v>4517257.0</v>
      </c>
      <c r="H8106" s="197">
        <v>0.0862</v>
      </c>
      <c r="I8106" s="7" t="s">
        <v>16815</v>
      </c>
      <c r="J8106" s="7" t="s">
        <v>16582</v>
      </c>
      <c r="K8106" s="7" t="s">
        <v>16930</v>
      </c>
      <c r="L8106" s="198" t="s">
        <v>65</v>
      </c>
      <c r="M8106" s="194"/>
      <c r="N8106" s="194"/>
    </row>
    <row r="8107">
      <c r="A8107" s="193" t="s">
        <v>28447</v>
      </c>
      <c r="B8107" s="7" t="s">
        <v>175</v>
      </c>
      <c r="C8107" s="7" t="s">
        <v>17480</v>
      </c>
      <c r="D8107" s="194">
        <v>2023.0</v>
      </c>
      <c r="E8107" s="193"/>
      <c r="F8107" s="195" t="s">
        <v>28448</v>
      </c>
      <c r="G8107" s="196">
        <v>4510454.0</v>
      </c>
      <c r="H8107" s="197">
        <v>0.1289</v>
      </c>
      <c r="I8107" s="7" t="s">
        <v>168</v>
      </c>
      <c r="J8107" s="7" t="s">
        <v>175</v>
      </c>
      <c r="K8107" s="7" t="s">
        <v>17480</v>
      </c>
      <c r="L8107" s="198" t="s">
        <v>65</v>
      </c>
      <c r="M8107" s="194"/>
      <c r="N8107" s="194"/>
    </row>
    <row r="8108">
      <c r="A8108" s="193" t="s">
        <v>28447</v>
      </c>
      <c r="B8108" s="202" t="s">
        <v>17480</v>
      </c>
      <c r="C8108" s="193" t="s">
        <v>175</v>
      </c>
      <c r="D8108" s="193">
        <v>2023.0</v>
      </c>
      <c r="E8108" s="193"/>
      <c r="F8108" s="203" t="s">
        <v>28448</v>
      </c>
      <c r="G8108" s="200">
        <v>4510454.0</v>
      </c>
      <c r="H8108" s="205">
        <v>0.2123</v>
      </c>
      <c r="J8108" s="202" t="s">
        <v>17480</v>
      </c>
      <c r="K8108" s="193" t="s">
        <v>175</v>
      </c>
      <c r="L8108" s="193" t="s">
        <v>17471</v>
      </c>
      <c r="M8108" s="193"/>
      <c r="N8108" s="193"/>
    </row>
    <row r="8109">
      <c r="A8109" s="193" t="s">
        <v>28449</v>
      </c>
      <c r="B8109" s="7" t="s">
        <v>175</v>
      </c>
      <c r="C8109" s="7" t="s">
        <v>17812</v>
      </c>
      <c r="D8109" s="199"/>
      <c r="E8109" s="193"/>
      <c r="F8109" s="195" t="s">
        <v>28450</v>
      </c>
      <c r="G8109" s="196">
        <v>4509298.0</v>
      </c>
      <c r="H8109" s="197">
        <v>1.0499</v>
      </c>
      <c r="I8109" s="7" t="s">
        <v>174</v>
      </c>
      <c r="J8109" s="7" t="s">
        <v>175</v>
      </c>
      <c r="K8109" s="7" t="s">
        <v>17812</v>
      </c>
      <c r="L8109" s="198" t="s">
        <v>65</v>
      </c>
      <c r="M8109" s="199"/>
      <c r="N8109" s="199"/>
    </row>
    <row r="8110">
      <c r="A8110" s="193" t="s">
        <v>28451</v>
      </c>
      <c r="B8110" s="7" t="s">
        <v>175</v>
      </c>
      <c r="C8110" s="7" t="s">
        <v>16942</v>
      </c>
      <c r="D8110" s="194">
        <v>2022.0</v>
      </c>
      <c r="E8110" s="193"/>
      <c r="F8110" s="195" t="s">
        <v>28452</v>
      </c>
      <c r="G8110" s="196">
        <v>4494968.0</v>
      </c>
      <c r="H8110" s="197">
        <v>0.3402</v>
      </c>
      <c r="I8110" s="7" t="s">
        <v>26718</v>
      </c>
      <c r="J8110" s="7" t="s">
        <v>175</v>
      </c>
      <c r="K8110" s="7" t="s">
        <v>16942</v>
      </c>
      <c r="L8110" s="198" t="s">
        <v>65</v>
      </c>
      <c r="M8110" s="194"/>
      <c r="N8110" s="194"/>
    </row>
    <row r="8111">
      <c r="A8111" s="193" t="s">
        <v>28453</v>
      </c>
      <c r="B8111" s="7" t="s">
        <v>169</v>
      </c>
      <c r="C8111" s="7" t="s">
        <v>16945</v>
      </c>
      <c r="D8111" s="194">
        <v>2021.0</v>
      </c>
      <c r="E8111" s="193"/>
      <c r="F8111" s="195" t="s">
        <v>28454</v>
      </c>
      <c r="G8111" s="196">
        <v>4481385.0</v>
      </c>
      <c r="H8111" s="197">
        <v>0.09</v>
      </c>
      <c r="I8111" s="7" t="s">
        <v>16815</v>
      </c>
      <c r="J8111" s="7" t="s">
        <v>169</v>
      </c>
      <c r="K8111" s="7" t="s">
        <v>16945</v>
      </c>
      <c r="L8111" s="198" t="s">
        <v>65</v>
      </c>
      <c r="M8111" s="194"/>
      <c r="N8111" s="194"/>
    </row>
    <row r="8112">
      <c r="A8112" s="193" t="s">
        <v>28455</v>
      </c>
      <c r="B8112" s="7" t="s">
        <v>187</v>
      </c>
      <c r="C8112" s="7" t="s">
        <v>16846</v>
      </c>
      <c r="D8112" s="199"/>
      <c r="E8112" s="193"/>
      <c r="F8112" s="195" t="s">
        <v>28456</v>
      </c>
      <c r="G8112" s="196">
        <v>4462889.0</v>
      </c>
      <c r="H8112" s="197">
        <v>5.621</v>
      </c>
      <c r="I8112" s="7" t="s">
        <v>16815</v>
      </c>
      <c r="J8112" s="7" t="s">
        <v>187</v>
      </c>
      <c r="K8112" s="7" t="s">
        <v>16846</v>
      </c>
      <c r="L8112" s="198" t="s">
        <v>65</v>
      </c>
      <c r="M8112" s="199"/>
      <c r="N8112" s="199"/>
    </row>
    <row r="8113">
      <c r="A8113" s="193" t="s">
        <v>28457</v>
      </c>
      <c r="B8113" s="7" t="s">
        <v>187</v>
      </c>
      <c r="C8113" s="7" t="s">
        <v>16846</v>
      </c>
      <c r="D8113" s="199"/>
      <c r="E8113" s="193"/>
      <c r="F8113" s="195" t="s">
        <v>28458</v>
      </c>
      <c r="G8113" s="196">
        <v>4459866.0</v>
      </c>
      <c r="H8113" s="197">
        <v>2.91</v>
      </c>
      <c r="I8113" s="7" t="s">
        <v>16815</v>
      </c>
      <c r="J8113" s="7" t="s">
        <v>187</v>
      </c>
      <c r="K8113" s="7" t="s">
        <v>16846</v>
      </c>
      <c r="L8113" s="198" t="s">
        <v>65</v>
      </c>
      <c r="M8113" s="199"/>
      <c r="N8113" s="199"/>
    </row>
    <row r="8114">
      <c r="A8114" s="193" t="s">
        <v>28459</v>
      </c>
      <c r="B8114" s="7" t="s">
        <v>17112</v>
      </c>
      <c r="C8114" s="7" t="s">
        <v>17111</v>
      </c>
      <c r="D8114" s="199"/>
      <c r="E8114" s="193"/>
      <c r="F8114" s="195" t="s">
        <v>28460</v>
      </c>
      <c r="G8114" s="196">
        <v>4452834.0</v>
      </c>
      <c r="H8114" s="197">
        <v>1.38</v>
      </c>
      <c r="I8114" s="7" t="s">
        <v>16815</v>
      </c>
      <c r="J8114" s="7" t="s">
        <v>17112</v>
      </c>
      <c r="K8114" s="7" t="s">
        <v>17111</v>
      </c>
      <c r="L8114" s="198" t="s">
        <v>65</v>
      </c>
      <c r="M8114" s="199"/>
      <c r="N8114" s="199"/>
    </row>
    <row r="8115">
      <c r="A8115" s="193" t="s">
        <v>28461</v>
      </c>
      <c r="B8115" s="7" t="s">
        <v>175</v>
      </c>
      <c r="C8115" s="7" t="s">
        <v>16942</v>
      </c>
      <c r="D8115" s="194">
        <v>2022.0</v>
      </c>
      <c r="E8115" s="193"/>
      <c r="F8115" s="195" t="s">
        <v>28462</v>
      </c>
      <c r="G8115" s="196">
        <v>4413834.0</v>
      </c>
      <c r="H8115" s="197">
        <v>0.3411</v>
      </c>
      <c r="I8115" s="7" t="s">
        <v>16856</v>
      </c>
      <c r="J8115" s="7" t="s">
        <v>175</v>
      </c>
      <c r="K8115" s="7" t="s">
        <v>16942</v>
      </c>
      <c r="L8115" s="198" t="s">
        <v>65</v>
      </c>
      <c r="M8115" s="194"/>
      <c r="N8115" s="194"/>
    </row>
    <row r="8116">
      <c r="A8116" s="193" t="s">
        <v>28463</v>
      </c>
      <c r="B8116" s="7" t="s">
        <v>175</v>
      </c>
      <c r="C8116" s="7" t="s">
        <v>19139</v>
      </c>
      <c r="D8116" s="199"/>
      <c r="E8116" s="193"/>
      <c r="F8116" s="195" t="s">
        <v>28464</v>
      </c>
      <c r="G8116" s="196">
        <v>4403740.0</v>
      </c>
      <c r="H8116" s="197">
        <v>1.26</v>
      </c>
      <c r="I8116" s="7" t="s">
        <v>16908</v>
      </c>
      <c r="J8116" s="7" t="s">
        <v>175</v>
      </c>
      <c r="K8116" s="7" t="s">
        <v>19139</v>
      </c>
      <c r="L8116" s="198" t="s">
        <v>65</v>
      </c>
      <c r="M8116" s="199"/>
      <c r="N8116" s="199"/>
    </row>
    <row r="8117">
      <c r="A8117" s="193" t="s">
        <v>28465</v>
      </c>
      <c r="D8117" s="194">
        <v>2022.0</v>
      </c>
      <c r="E8117" s="193"/>
      <c r="F8117" s="195" t="s">
        <v>28466</v>
      </c>
      <c r="G8117" s="196">
        <v>4403056.0</v>
      </c>
      <c r="H8117" s="197">
        <v>3.45</v>
      </c>
      <c r="I8117" s="7" t="s">
        <v>16815</v>
      </c>
      <c r="L8117" s="198" t="s">
        <v>65</v>
      </c>
      <c r="M8117" s="194"/>
      <c r="N8117" s="194"/>
    </row>
    <row r="8118">
      <c r="A8118" s="193" t="s">
        <v>28467</v>
      </c>
      <c r="B8118" s="7" t="s">
        <v>187</v>
      </c>
      <c r="C8118" s="7" t="s">
        <v>16846</v>
      </c>
      <c r="D8118" s="199"/>
      <c r="E8118" s="193"/>
      <c r="F8118" s="195" t="s">
        <v>28468</v>
      </c>
      <c r="G8118" s="196">
        <v>4394123.0</v>
      </c>
      <c r="H8118" s="197">
        <v>0.8064</v>
      </c>
      <c r="I8118" s="7" t="s">
        <v>16815</v>
      </c>
      <c r="J8118" s="7" t="s">
        <v>187</v>
      </c>
      <c r="K8118" s="7" t="s">
        <v>16846</v>
      </c>
      <c r="L8118" s="198" t="s">
        <v>65</v>
      </c>
      <c r="M8118" s="199"/>
      <c r="N8118" s="199"/>
    </row>
    <row r="8119">
      <c r="A8119" s="193" t="s">
        <v>28469</v>
      </c>
      <c r="B8119" s="7" t="s">
        <v>16582</v>
      </c>
      <c r="C8119" s="7" t="s">
        <v>17435</v>
      </c>
      <c r="D8119" s="194">
        <v>2023.0</v>
      </c>
      <c r="E8119" s="193"/>
      <c r="F8119" s="195" t="s">
        <v>28470</v>
      </c>
      <c r="G8119" s="196">
        <v>4388144.0</v>
      </c>
      <c r="H8119" s="197">
        <v>0.72</v>
      </c>
      <c r="I8119" s="7" t="s">
        <v>16815</v>
      </c>
      <c r="J8119" s="7" t="s">
        <v>16582</v>
      </c>
      <c r="K8119" s="7" t="s">
        <v>17435</v>
      </c>
      <c r="L8119" s="198" t="s">
        <v>65</v>
      </c>
      <c r="M8119" s="194"/>
      <c r="N8119" s="194"/>
    </row>
    <row r="8120">
      <c r="A8120" s="193" t="s">
        <v>28471</v>
      </c>
      <c r="B8120" s="7" t="s">
        <v>187</v>
      </c>
      <c r="C8120" s="7" t="s">
        <v>16846</v>
      </c>
      <c r="D8120" s="199"/>
      <c r="E8120" s="193"/>
      <c r="F8120" s="195" t="s">
        <v>28472</v>
      </c>
      <c r="G8120" s="196">
        <v>4376871.0</v>
      </c>
      <c r="H8120" s="197">
        <v>0.17</v>
      </c>
      <c r="I8120" s="7" t="s">
        <v>16815</v>
      </c>
      <c r="J8120" s="7" t="s">
        <v>187</v>
      </c>
      <c r="K8120" s="7" t="s">
        <v>16846</v>
      </c>
      <c r="L8120" s="198" t="s">
        <v>65</v>
      </c>
      <c r="M8120" s="199"/>
      <c r="N8120" s="199"/>
    </row>
    <row r="8121">
      <c r="A8121" s="193" t="s">
        <v>28473</v>
      </c>
      <c r="D8121" s="199"/>
      <c r="E8121" s="193"/>
      <c r="F8121" s="195" t="s">
        <v>28474</v>
      </c>
      <c r="G8121" s="196">
        <v>4360433.0</v>
      </c>
      <c r="H8121" s="197">
        <v>0.5399</v>
      </c>
      <c r="I8121" s="7" t="s">
        <v>16815</v>
      </c>
      <c r="L8121" s="198" t="s">
        <v>65</v>
      </c>
      <c r="M8121" s="199"/>
      <c r="N8121" s="199"/>
    </row>
    <row r="8122">
      <c r="A8122" s="193" t="s">
        <v>28475</v>
      </c>
      <c r="B8122" s="7" t="s">
        <v>16838</v>
      </c>
      <c r="C8122" s="7" t="s">
        <v>17016</v>
      </c>
      <c r="D8122" s="194">
        <v>2021.0</v>
      </c>
      <c r="E8122" s="193"/>
      <c r="F8122" s="195" t="s">
        <v>28476</v>
      </c>
      <c r="G8122" s="196">
        <v>4327400.0</v>
      </c>
      <c r="H8122" s="197">
        <v>1.54</v>
      </c>
      <c r="I8122" s="7" t="s">
        <v>16815</v>
      </c>
      <c r="J8122" s="7" t="s">
        <v>16838</v>
      </c>
      <c r="K8122" s="7" t="s">
        <v>17016</v>
      </c>
      <c r="L8122" s="198" t="s">
        <v>65</v>
      </c>
      <c r="M8122" s="194"/>
      <c r="N8122" s="194"/>
    </row>
    <row r="8123">
      <c r="A8123" s="193" t="s">
        <v>28477</v>
      </c>
      <c r="B8123" s="7" t="s">
        <v>187</v>
      </c>
      <c r="C8123" s="7" t="s">
        <v>16969</v>
      </c>
      <c r="D8123" s="194">
        <v>2004.0</v>
      </c>
      <c r="E8123" s="193"/>
      <c r="F8123" s="195" t="s">
        <v>28478</v>
      </c>
      <c r="G8123" s="196">
        <v>4274209.0</v>
      </c>
      <c r="H8123" s="197">
        <v>0.4975</v>
      </c>
      <c r="I8123" s="7" t="s">
        <v>16815</v>
      </c>
      <c r="J8123" s="7" t="s">
        <v>187</v>
      </c>
      <c r="K8123" s="7" t="s">
        <v>16969</v>
      </c>
      <c r="L8123" s="198" t="s">
        <v>65</v>
      </c>
      <c r="M8123" s="194"/>
      <c r="N8123" s="194"/>
    </row>
    <row r="8124">
      <c r="A8124" s="193" t="s">
        <v>28479</v>
      </c>
      <c r="B8124" s="7" t="s">
        <v>187</v>
      </c>
      <c r="C8124" s="7" t="s">
        <v>16969</v>
      </c>
      <c r="D8124" s="199"/>
      <c r="E8124" s="193"/>
      <c r="F8124" s="195" t="s">
        <v>28480</v>
      </c>
      <c r="G8124" s="196">
        <v>4271675.0</v>
      </c>
      <c r="H8124" s="197">
        <v>1.72</v>
      </c>
      <c r="I8124" s="7" t="s">
        <v>16815</v>
      </c>
      <c r="J8124" s="7" t="s">
        <v>187</v>
      </c>
      <c r="K8124" s="7" t="s">
        <v>16969</v>
      </c>
      <c r="L8124" s="198" t="s">
        <v>65</v>
      </c>
      <c r="M8124" s="199"/>
      <c r="N8124" s="199"/>
    </row>
    <row r="8125">
      <c r="A8125" s="193" t="s">
        <v>28481</v>
      </c>
      <c r="B8125" s="7" t="s">
        <v>175</v>
      </c>
      <c r="C8125" s="7" t="s">
        <v>17318</v>
      </c>
      <c r="D8125" s="199"/>
      <c r="E8125" s="193"/>
      <c r="F8125" s="195" t="s">
        <v>28482</v>
      </c>
      <c r="G8125" s="196">
        <v>4227964.0</v>
      </c>
      <c r="H8125" s="197">
        <v>1.36</v>
      </c>
      <c r="I8125" s="7" t="s">
        <v>17242</v>
      </c>
      <c r="J8125" s="7" t="s">
        <v>175</v>
      </c>
      <c r="K8125" s="7" t="s">
        <v>17318</v>
      </c>
      <c r="L8125" s="198" t="s">
        <v>65</v>
      </c>
      <c r="M8125" s="199"/>
      <c r="N8125" s="199"/>
    </row>
    <row r="8126">
      <c r="A8126" s="193" t="s">
        <v>28483</v>
      </c>
      <c r="D8126" s="194">
        <v>2021.0</v>
      </c>
      <c r="E8126" s="193"/>
      <c r="F8126" s="195" t="s">
        <v>28484</v>
      </c>
      <c r="G8126" s="196">
        <v>4212177.0</v>
      </c>
      <c r="H8126" s="197">
        <v>0.17</v>
      </c>
      <c r="I8126" s="7" t="s">
        <v>16815</v>
      </c>
      <c r="L8126" s="198" t="s">
        <v>65</v>
      </c>
      <c r="M8126" s="194"/>
      <c r="N8126" s="194"/>
    </row>
    <row r="8127">
      <c r="A8127" s="193" t="s">
        <v>28485</v>
      </c>
      <c r="B8127" s="7" t="s">
        <v>16885</v>
      </c>
      <c r="C8127" s="7" t="s">
        <v>17726</v>
      </c>
      <c r="D8127" s="199"/>
      <c r="E8127" s="193"/>
      <c r="F8127" s="195" t="s">
        <v>28486</v>
      </c>
      <c r="G8127" s="196">
        <v>4209467.0</v>
      </c>
      <c r="H8127" s="197">
        <v>0.491</v>
      </c>
      <c r="I8127" s="7" t="s">
        <v>16888</v>
      </c>
      <c r="J8127" s="7" t="s">
        <v>16885</v>
      </c>
      <c r="K8127" s="7" t="s">
        <v>17726</v>
      </c>
      <c r="L8127" s="198" t="s">
        <v>65</v>
      </c>
      <c r="M8127" s="199"/>
      <c r="N8127" s="199"/>
    </row>
    <row r="8128">
      <c r="A8128" s="193" t="s">
        <v>28485</v>
      </c>
      <c r="B8128" s="202" t="s">
        <v>17726</v>
      </c>
      <c r="C8128" s="193" t="s">
        <v>16885</v>
      </c>
      <c r="D8128" s="206"/>
      <c r="E8128" s="193"/>
      <c r="F8128" s="203" t="s">
        <v>28486</v>
      </c>
      <c r="G8128" s="200">
        <v>4209467.0</v>
      </c>
      <c r="H8128" s="205">
        <v>0.1289</v>
      </c>
      <c r="J8128" s="202" t="s">
        <v>17726</v>
      </c>
      <c r="K8128" s="193" t="s">
        <v>16885</v>
      </c>
      <c r="L8128" s="193" t="s">
        <v>17471</v>
      </c>
      <c r="M8128" s="206"/>
      <c r="N8128" s="206"/>
    </row>
    <row r="8129">
      <c r="A8129" s="193" t="s">
        <v>28487</v>
      </c>
      <c r="B8129" s="7" t="s">
        <v>187</v>
      </c>
      <c r="C8129" s="7" t="s">
        <v>16846</v>
      </c>
      <c r="D8129" s="199"/>
      <c r="E8129" s="193"/>
      <c r="F8129" s="195" t="s">
        <v>28488</v>
      </c>
      <c r="G8129" s="196">
        <v>4188471.0</v>
      </c>
      <c r="H8129" s="197">
        <v>1.06</v>
      </c>
      <c r="I8129" s="7" t="s">
        <v>16815</v>
      </c>
      <c r="J8129" s="7" t="s">
        <v>187</v>
      </c>
      <c r="K8129" s="7" t="s">
        <v>16846</v>
      </c>
      <c r="L8129" s="198" t="s">
        <v>65</v>
      </c>
      <c r="M8129" s="199"/>
      <c r="N8129" s="199"/>
    </row>
    <row r="8130">
      <c r="A8130" s="193" t="s">
        <v>28489</v>
      </c>
      <c r="B8130" s="7" t="s">
        <v>175</v>
      </c>
      <c r="C8130" s="7" t="s">
        <v>16854</v>
      </c>
      <c r="D8130" s="194">
        <v>2019.0</v>
      </c>
      <c r="E8130" s="193"/>
      <c r="F8130" s="195" t="s">
        <v>28490</v>
      </c>
      <c r="G8130" s="196">
        <v>4183236.0</v>
      </c>
      <c r="H8130" s="197">
        <v>0.032</v>
      </c>
      <c r="I8130" s="7" t="s">
        <v>168</v>
      </c>
      <c r="J8130" s="7" t="s">
        <v>175</v>
      </c>
      <c r="K8130" s="7" t="s">
        <v>16854</v>
      </c>
      <c r="L8130" s="198" t="s">
        <v>65</v>
      </c>
      <c r="M8130" s="194"/>
      <c r="N8130" s="194"/>
    </row>
    <row r="8131">
      <c r="A8131" s="193" t="s">
        <v>28491</v>
      </c>
      <c r="B8131" s="7" t="s">
        <v>187</v>
      </c>
      <c r="C8131" s="7" t="s">
        <v>16846</v>
      </c>
      <c r="D8131" s="194">
        <v>2013.0</v>
      </c>
      <c r="E8131" s="193"/>
      <c r="F8131" s="195" t="s">
        <v>28492</v>
      </c>
      <c r="G8131" s="196">
        <v>4178838.0</v>
      </c>
      <c r="H8131" s="197">
        <v>1.25</v>
      </c>
      <c r="I8131" s="7" t="s">
        <v>16815</v>
      </c>
      <c r="J8131" s="7" t="s">
        <v>187</v>
      </c>
      <c r="K8131" s="7" t="s">
        <v>16846</v>
      </c>
      <c r="L8131" s="198" t="s">
        <v>65</v>
      </c>
      <c r="M8131" s="194"/>
      <c r="N8131" s="194"/>
    </row>
    <row r="8132">
      <c r="A8132" s="193" t="s">
        <v>28493</v>
      </c>
      <c r="B8132" s="7" t="s">
        <v>175</v>
      </c>
      <c r="C8132" s="7" t="s">
        <v>18570</v>
      </c>
      <c r="D8132" s="194">
        <v>2020.0</v>
      </c>
      <c r="E8132" s="193"/>
      <c r="F8132" s="195" t="s">
        <v>28494</v>
      </c>
      <c r="G8132" s="196">
        <v>4176608.0</v>
      </c>
      <c r="H8132" s="197">
        <v>1.98</v>
      </c>
      <c r="I8132" s="7" t="s">
        <v>168</v>
      </c>
      <c r="J8132" s="7" t="s">
        <v>175</v>
      </c>
      <c r="K8132" s="7" t="s">
        <v>18570</v>
      </c>
      <c r="L8132" s="198" t="s">
        <v>65</v>
      </c>
      <c r="M8132" s="194"/>
      <c r="N8132" s="194"/>
    </row>
    <row r="8133">
      <c r="A8133" s="193" t="s">
        <v>28493</v>
      </c>
      <c r="B8133" s="202" t="s">
        <v>18570</v>
      </c>
      <c r="C8133" s="193" t="s">
        <v>175</v>
      </c>
      <c r="D8133" s="193">
        <v>2020.0</v>
      </c>
      <c r="E8133" s="193"/>
      <c r="F8133" s="203" t="s">
        <v>28494</v>
      </c>
      <c r="G8133" s="200">
        <v>4176608.0</v>
      </c>
      <c r="H8133" s="205">
        <v>0.491</v>
      </c>
      <c r="I8133" s="206"/>
      <c r="J8133" s="202" t="s">
        <v>18570</v>
      </c>
      <c r="K8133" s="193" t="s">
        <v>175</v>
      </c>
      <c r="L8133" s="193" t="s">
        <v>17471</v>
      </c>
      <c r="M8133" s="193"/>
      <c r="N8133" s="193"/>
    </row>
    <row r="8134">
      <c r="A8134" s="193" t="s">
        <v>28495</v>
      </c>
      <c r="B8134" s="7" t="s">
        <v>175</v>
      </c>
      <c r="C8134" s="7" t="s">
        <v>16972</v>
      </c>
      <c r="D8134" s="194">
        <v>2019.0</v>
      </c>
      <c r="E8134" s="193"/>
      <c r="F8134" s="195" t="s">
        <v>28496</v>
      </c>
      <c r="G8134" s="196">
        <v>4164759.0</v>
      </c>
      <c r="H8134" s="197">
        <v>1.1601</v>
      </c>
      <c r="I8134" s="7" t="s">
        <v>17242</v>
      </c>
      <c r="J8134" s="7" t="s">
        <v>175</v>
      </c>
      <c r="K8134" s="7" t="s">
        <v>16972</v>
      </c>
      <c r="L8134" s="198" t="s">
        <v>65</v>
      </c>
      <c r="M8134" s="194"/>
      <c r="N8134" s="194"/>
    </row>
    <row r="8135">
      <c r="A8135" s="193" t="s">
        <v>28497</v>
      </c>
      <c r="B8135" s="7" t="s">
        <v>187</v>
      </c>
      <c r="C8135" s="7" t="s">
        <v>16846</v>
      </c>
      <c r="D8135" s="199"/>
      <c r="E8135" s="193"/>
      <c r="F8135" s="195" t="s">
        <v>28498</v>
      </c>
      <c r="G8135" s="196">
        <v>4143421.0</v>
      </c>
      <c r="H8135" s="197">
        <v>0.421</v>
      </c>
      <c r="I8135" s="7" t="s">
        <v>16815</v>
      </c>
      <c r="J8135" s="7" t="s">
        <v>187</v>
      </c>
      <c r="K8135" s="7" t="s">
        <v>16846</v>
      </c>
      <c r="L8135" s="198" t="s">
        <v>65</v>
      </c>
      <c r="M8135" s="199"/>
      <c r="N8135" s="199"/>
    </row>
    <row r="8136">
      <c r="A8136" s="193" t="s">
        <v>28499</v>
      </c>
      <c r="B8136" s="7" t="s">
        <v>175</v>
      </c>
      <c r="C8136" s="7" t="s">
        <v>16972</v>
      </c>
      <c r="D8136" s="194">
        <v>2021.0</v>
      </c>
      <c r="E8136" s="193"/>
      <c r="F8136" s="195" t="s">
        <v>28500</v>
      </c>
      <c r="G8136" s="196">
        <v>4136602.0</v>
      </c>
      <c r="H8136" s="197">
        <v>1.72</v>
      </c>
      <c r="I8136" s="7" t="s">
        <v>16908</v>
      </c>
      <c r="J8136" s="7" t="s">
        <v>175</v>
      </c>
      <c r="K8136" s="7" t="s">
        <v>16972</v>
      </c>
      <c r="L8136" s="198" t="s">
        <v>65</v>
      </c>
      <c r="M8136" s="194"/>
      <c r="N8136" s="194"/>
    </row>
    <row r="8137">
      <c r="A8137" s="193" t="s">
        <v>28501</v>
      </c>
      <c r="B8137" s="7" t="s">
        <v>187</v>
      </c>
      <c r="C8137" s="7" t="s">
        <v>16851</v>
      </c>
      <c r="D8137" s="194">
        <v>2020.0</v>
      </c>
      <c r="E8137" s="193"/>
      <c r="F8137" s="195" t="s">
        <v>28502</v>
      </c>
      <c r="G8137" s="196">
        <v>4076250.0</v>
      </c>
      <c r="H8137" s="197">
        <v>1.025</v>
      </c>
      <c r="I8137" s="7" t="s">
        <v>16815</v>
      </c>
      <c r="J8137" s="7" t="s">
        <v>187</v>
      </c>
      <c r="K8137" s="7" t="s">
        <v>16851</v>
      </c>
      <c r="L8137" s="198" t="s">
        <v>65</v>
      </c>
      <c r="M8137" s="194"/>
      <c r="N8137" s="194"/>
    </row>
    <row r="8138">
      <c r="A8138" s="193" t="s">
        <v>28503</v>
      </c>
      <c r="B8138" s="7" t="s">
        <v>187</v>
      </c>
      <c r="C8138" s="7" t="s">
        <v>17564</v>
      </c>
      <c r="D8138" s="194">
        <v>2022.0</v>
      </c>
      <c r="E8138" s="193"/>
      <c r="F8138" s="195" t="s">
        <v>28504</v>
      </c>
      <c r="G8138" s="196">
        <v>4074100.0</v>
      </c>
      <c r="H8138" s="197">
        <v>0.262</v>
      </c>
      <c r="I8138" s="7" t="s">
        <v>16815</v>
      </c>
      <c r="J8138" s="7" t="s">
        <v>187</v>
      </c>
      <c r="K8138" s="7" t="s">
        <v>17564</v>
      </c>
      <c r="L8138" s="198" t="s">
        <v>65</v>
      </c>
      <c r="M8138" s="194"/>
      <c r="N8138" s="194"/>
    </row>
    <row r="8139">
      <c r="A8139" s="193" t="s">
        <v>28505</v>
      </c>
      <c r="B8139" s="7" t="s">
        <v>16582</v>
      </c>
      <c r="C8139" s="7" t="s">
        <v>16817</v>
      </c>
      <c r="D8139" s="194">
        <v>2023.0</v>
      </c>
      <c r="E8139" s="193"/>
      <c r="F8139" s="195" t="s">
        <v>28506</v>
      </c>
      <c r="G8139" s="196">
        <v>4021367.0</v>
      </c>
      <c r="H8139" s="197">
        <v>0.3331</v>
      </c>
      <c r="I8139" s="7" t="s">
        <v>16815</v>
      </c>
      <c r="J8139" s="7" t="s">
        <v>16582</v>
      </c>
      <c r="K8139" s="7" t="s">
        <v>16817</v>
      </c>
      <c r="L8139" s="198" t="s">
        <v>65</v>
      </c>
      <c r="M8139" s="194"/>
      <c r="N8139" s="194"/>
    </row>
    <row r="8140">
      <c r="A8140" s="193" t="s">
        <v>28507</v>
      </c>
      <c r="B8140" s="7" t="s">
        <v>187</v>
      </c>
      <c r="C8140" s="7" t="s">
        <v>17259</v>
      </c>
      <c r="D8140" s="194">
        <v>1996.0</v>
      </c>
      <c r="E8140" s="193"/>
      <c r="F8140" s="195" t="s">
        <v>28508</v>
      </c>
      <c r="G8140" s="196">
        <v>4011530.0</v>
      </c>
      <c r="H8140" s="197">
        <v>0.5705</v>
      </c>
      <c r="I8140" s="7" t="s">
        <v>16815</v>
      </c>
      <c r="J8140" s="7" t="s">
        <v>187</v>
      </c>
      <c r="K8140" s="7" t="s">
        <v>17259</v>
      </c>
      <c r="L8140" s="198" t="s">
        <v>65</v>
      </c>
      <c r="M8140" s="194"/>
      <c r="N8140" s="194"/>
    </row>
    <row r="8141">
      <c r="A8141" s="193" t="s">
        <v>28507</v>
      </c>
      <c r="B8141" s="202" t="s">
        <v>17259</v>
      </c>
      <c r="C8141" s="193" t="s">
        <v>187</v>
      </c>
      <c r="D8141" s="193">
        <v>1996.0</v>
      </c>
      <c r="E8141" s="193"/>
      <c r="F8141" s="203" t="s">
        <v>28508</v>
      </c>
      <c r="G8141" s="200">
        <v>4011530.0</v>
      </c>
      <c r="H8141" s="205">
        <v>1.98</v>
      </c>
      <c r="I8141" s="206"/>
      <c r="J8141" s="202" t="s">
        <v>17259</v>
      </c>
      <c r="K8141" s="193" t="s">
        <v>187</v>
      </c>
      <c r="L8141" s="193" t="s">
        <v>17471</v>
      </c>
      <c r="M8141" s="193"/>
      <c r="N8141" s="193"/>
    </row>
    <row r="8142">
      <c r="A8142" s="193" t="s">
        <v>28509</v>
      </c>
      <c r="B8142" s="7" t="s">
        <v>16582</v>
      </c>
      <c r="C8142" s="7" t="s">
        <v>17435</v>
      </c>
      <c r="D8142" s="194">
        <v>2021.0</v>
      </c>
      <c r="E8142" s="193"/>
      <c r="F8142" s="195" t="s">
        <v>28510</v>
      </c>
      <c r="G8142" s="196">
        <v>3975729.0</v>
      </c>
      <c r="H8142" s="197">
        <v>0.1511</v>
      </c>
      <c r="I8142" s="7" t="s">
        <v>16815</v>
      </c>
      <c r="J8142" s="7" t="s">
        <v>16582</v>
      </c>
      <c r="K8142" s="7" t="s">
        <v>17435</v>
      </c>
      <c r="L8142" s="198" t="s">
        <v>65</v>
      </c>
      <c r="M8142" s="194"/>
      <c r="N8142" s="194"/>
    </row>
    <row r="8143">
      <c r="A8143" s="193" t="s">
        <v>28511</v>
      </c>
      <c r="B8143" s="7" t="s">
        <v>175</v>
      </c>
      <c r="C8143" s="7" t="s">
        <v>18723</v>
      </c>
      <c r="D8143" s="194">
        <v>2021.0</v>
      </c>
      <c r="E8143" s="193"/>
      <c r="F8143" s="195" t="s">
        <v>28512</v>
      </c>
      <c r="G8143" s="196">
        <v>3970371.0</v>
      </c>
      <c r="H8143" s="197">
        <v>0.0274</v>
      </c>
      <c r="I8143" s="7" t="s">
        <v>16908</v>
      </c>
      <c r="J8143" s="7" t="s">
        <v>175</v>
      </c>
      <c r="K8143" s="7" t="s">
        <v>18723</v>
      </c>
      <c r="L8143" s="198" t="s">
        <v>65</v>
      </c>
      <c r="M8143" s="194"/>
      <c r="N8143" s="194"/>
    </row>
    <row r="8144">
      <c r="A8144" s="193" t="s">
        <v>28513</v>
      </c>
      <c r="B8144" s="7" t="s">
        <v>187</v>
      </c>
      <c r="C8144" s="7" t="s">
        <v>16846</v>
      </c>
      <c r="D8144" s="194">
        <v>2021.0</v>
      </c>
      <c r="E8144" s="193"/>
      <c r="F8144" s="195" t="s">
        <v>28514</v>
      </c>
      <c r="G8144" s="196">
        <v>3951250.0</v>
      </c>
      <c r="H8144" s="197">
        <v>1.09</v>
      </c>
      <c r="I8144" s="7" t="s">
        <v>16815</v>
      </c>
      <c r="J8144" s="7" t="s">
        <v>187</v>
      </c>
      <c r="K8144" s="7" t="s">
        <v>16846</v>
      </c>
      <c r="L8144" s="198" t="s">
        <v>65</v>
      </c>
      <c r="M8144" s="194"/>
      <c r="N8144" s="194"/>
    </row>
    <row r="8145">
      <c r="A8145" s="193" t="s">
        <v>28515</v>
      </c>
      <c r="B8145" s="7" t="s">
        <v>187</v>
      </c>
      <c r="C8145" s="7" t="s">
        <v>16846</v>
      </c>
      <c r="D8145" s="194">
        <v>2021.0</v>
      </c>
      <c r="E8145" s="193"/>
      <c r="F8145" s="195" t="s">
        <v>28516</v>
      </c>
      <c r="G8145" s="196">
        <v>3929462.0</v>
      </c>
      <c r="H8145" s="197">
        <v>0.7315</v>
      </c>
      <c r="I8145" s="7" t="s">
        <v>16815</v>
      </c>
      <c r="J8145" s="7" t="s">
        <v>187</v>
      </c>
      <c r="K8145" s="7" t="s">
        <v>16846</v>
      </c>
      <c r="L8145" s="198" t="s">
        <v>65</v>
      </c>
      <c r="M8145" s="194"/>
      <c r="N8145" s="194"/>
    </row>
    <row r="8146">
      <c r="A8146" s="193" t="s">
        <v>28517</v>
      </c>
      <c r="B8146" s="7" t="s">
        <v>169</v>
      </c>
      <c r="C8146" s="7" t="s">
        <v>17495</v>
      </c>
      <c r="D8146" s="199"/>
      <c r="E8146" s="193"/>
      <c r="F8146" s="195" t="s">
        <v>28518</v>
      </c>
      <c r="G8146" s="196">
        <v>3895456.0</v>
      </c>
      <c r="H8146" s="197">
        <v>0.26</v>
      </c>
      <c r="I8146" s="7" t="s">
        <v>16815</v>
      </c>
      <c r="J8146" s="7" t="s">
        <v>169</v>
      </c>
      <c r="K8146" s="7" t="s">
        <v>17495</v>
      </c>
      <c r="L8146" s="198" t="s">
        <v>65</v>
      </c>
      <c r="M8146" s="199"/>
      <c r="N8146" s="199"/>
    </row>
    <row r="8147">
      <c r="A8147" s="193" t="s">
        <v>28519</v>
      </c>
      <c r="B8147" s="7" t="s">
        <v>187</v>
      </c>
      <c r="C8147" s="7" t="s">
        <v>16846</v>
      </c>
      <c r="D8147" s="194">
        <v>2021.0</v>
      </c>
      <c r="E8147" s="193"/>
      <c r="F8147" s="195" t="s">
        <v>28520</v>
      </c>
      <c r="G8147" s="196">
        <v>3891467.0</v>
      </c>
      <c r="H8147" s="197">
        <v>0.12</v>
      </c>
      <c r="I8147" s="7" t="s">
        <v>16815</v>
      </c>
      <c r="J8147" s="7" t="s">
        <v>187</v>
      </c>
      <c r="K8147" s="7" t="s">
        <v>16846</v>
      </c>
      <c r="L8147" s="198" t="s">
        <v>65</v>
      </c>
      <c r="M8147" s="194"/>
      <c r="N8147" s="194"/>
    </row>
    <row r="8148">
      <c r="A8148" s="193" t="s">
        <v>28521</v>
      </c>
      <c r="B8148" s="7" t="s">
        <v>16582</v>
      </c>
      <c r="C8148" s="7" t="s">
        <v>16930</v>
      </c>
      <c r="D8148" s="199"/>
      <c r="E8148" s="193"/>
      <c r="F8148" s="195" t="s">
        <v>28522</v>
      </c>
      <c r="G8148" s="196">
        <v>3866510.0</v>
      </c>
      <c r="H8148" s="197">
        <v>0.49</v>
      </c>
      <c r="I8148" s="7" t="s">
        <v>16815</v>
      </c>
      <c r="J8148" s="7" t="s">
        <v>16582</v>
      </c>
      <c r="K8148" s="7" t="s">
        <v>16930</v>
      </c>
      <c r="L8148" s="198" t="s">
        <v>65</v>
      </c>
      <c r="M8148" s="199"/>
      <c r="N8148" s="199"/>
    </row>
    <row r="8149">
      <c r="A8149" s="193" t="s">
        <v>28523</v>
      </c>
      <c r="B8149" s="7" t="s">
        <v>187</v>
      </c>
      <c r="C8149" s="7" t="s">
        <v>16846</v>
      </c>
      <c r="D8149" s="194">
        <v>2020.0</v>
      </c>
      <c r="E8149" s="193"/>
      <c r="F8149" s="195" t="s">
        <v>28524</v>
      </c>
      <c r="G8149" s="196">
        <v>3863888.0</v>
      </c>
      <c r="H8149" s="197">
        <v>0.1938</v>
      </c>
      <c r="I8149" s="7" t="s">
        <v>16815</v>
      </c>
      <c r="J8149" s="7" t="s">
        <v>187</v>
      </c>
      <c r="K8149" s="7" t="s">
        <v>16846</v>
      </c>
      <c r="L8149" s="198" t="s">
        <v>65</v>
      </c>
      <c r="M8149" s="194"/>
      <c r="N8149" s="194"/>
    </row>
    <row r="8150">
      <c r="A8150" s="193" t="s">
        <v>28525</v>
      </c>
      <c r="B8150" s="7" t="s">
        <v>187</v>
      </c>
      <c r="C8150" s="7" t="s">
        <v>16846</v>
      </c>
      <c r="D8150" s="194">
        <v>2014.0</v>
      </c>
      <c r="E8150" s="193"/>
      <c r="F8150" s="195" t="s">
        <v>28526</v>
      </c>
      <c r="G8150" s="196">
        <v>3853020.0</v>
      </c>
      <c r="H8150" s="197">
        <v>2.0</v>
      </c>
      <c r="I8150" s="7" t="s">
        <v>16815</v>
      </c>
      <c r="J8150" s="7" t="s">
        <v>187</v>
      </c>
      <c r="K8150" s="7" t="s">
        <v>16846</v>
      </c>
      <c r="L8150" s="198" t="s">
        <v>65</v>
      </c>
      <c r="M8150" s="194"/>
      <c r="N8150" s="194"/>
    </row>
    <row r="8151">
      <c r="A8151" s="193" t="s">
        <v>28527</v>
      </c>
      <c r="B8151" s="7" t="s">
        <v>187</v>
      </c>
      <c r="C8151" s="7" t="s">
        <v>16969</v>
      </c>
      <c r="D8151" s="194">
        <v>2016.0</v>
      </c>
      <c r="E8151" s="193"/>
      <c r="F8151" s="195" t="s">
        <v>28528</v>
      </c>
      <c r="G8151" s="196">
        <v>3820530.0</v>
      </c>
      <c r="H8151" s="197">
        <v>3.87</v>
      </c>
      <c r="I8151" s="7" t="s">
        <v>16815</v>
      </c>
      <c r="J8151" s="7" t="s">
        <v>187</v>
      </c>
      <c r="K8151" s="7" t="s">
        <v>16969</v>
      </c>
      <c r="L8151" s="198" t="s">
        <v>65</v>
      </c>
      <c r="M8151" s="194"/>
      <c r="N8151" s="194"/>
    </row>
    <row r="8152">
      <c r="A8152" s="193" t="s">
        <v>28529</v>
      </c>
      <c r="B8152" s="7" t="s">
        <v>187</v>
      </c>
      <c r="C8152" s="7" t="s">
        <v>23634</v>
      </c>
      <c r="D8152" s="194">
        <v>2023.0</v>
      </c>
      <c r="E8152" s="193"/>
      <c r="F8152" s="195" t="s">
        <v>28530</v>
      </c>
      <c r="G8152" s="196">
        <v>3818658.0</v>
      </c>
      <c r="H8152" s="197">
        <v>0.2164</v>
      </c>
      <c r="I8152" s="7" t="s">
        <v>16815</v>
      </c>
      <c r="J8152" s="7" t="s">
        <v>187</v>
      </c>
      <c r="K8152" s="7" t="s">
        <v>23634</v>
      </c>
      <c r="L8152" s="198" t="s">
        <v>65</v>
      </c>
      <c r="M8152" s="194"/>
      <c r="N8152" s="194"/>
    </row>
    <row r="8153">
      <c r="A8153" s="193" t="s">
        <v>28531</v>
      </c>
      <c r="B8153" s="7" t="s">
        <v>16582</v>
      </c>
      <c r="C8153" s="7" t="s">
        <v>16817</v>
      </c>
      <c r="D8153" s="194">
        <v>2021.0</v>
      </c>
      <c r="E8153" s="193"/>
      <c r="F8153" s="195" t="s">
        <v>28532</v>
      </c>
      <c r="G8153" s="196">
        <v>3789972.0</v>
      </c>
      <c r="H8153" s="197">
        <v>0.19</v>
      </c>
      <c r="I8153" s="7" t="s">
        <v>16815</v>
      </c>
      <c r="J8153" s="7" t="s">
        <v>16582</v>
      </c>
      <c r="K8153" s="7" t="s">
        <v>16817</v>
      </c>
      <c r="L8153" s="198" t="s">
        <v>65</v>
      </c>
      <c r="M8153" s="194"/>
      <c r="N8153" s="194"/>
    </row>
    <row r="8154">
      <c r="A8154" s="193" t="s">
        <v>28533</v>
      </c>
      <c r="B8154" s="7" t="s">
        <v>175</v>
      </c>
      <c r="C8154" s="7" t="s">
        <v>18268</v>
      </c>
      <c r="D8154" s="194">
        <v>2022.0</v>
      </c>
      <c r="E8154" s="193"/>
      <c r="F8154" s="195" t="s">
        <v>28534</v>
      </c>
      <c r="G8154" s="196">
        <v>3767517.0</v>
      </c>
      <c r="H8154" s="197">
        <v>0.7525</v>
      </c>
      <c r="I8154" s="7" t="s">
        <v>168</v>
      </c>
      <c r="J8154" s="7" t="s">
        <v>175</v>
      </c>
      <c r="K8154" s="7" t="s">
        <v>18268</v>
      </c>
      <c r="L8154" s="198" t="s">
        <v>65</v>
      </c>
      <c r="M8154" s="194"/>
      <c r="N8154" s="194"/>
    </row>
    <row r="8155">
      <c r="A8155" s="193" t="s">
        <v>28535</v>
      </c>
      <c r="B8155" s="7" t="s">
        <v>187</v>
      </c>
      <c r="C8155" s="7" t="s">
        <v>16846</v>
      </c>
      <c r="D8155" s="194">
        <v>2021.0</v>
      </c>
      <c r="E8155" s="193"/>
      <c r="F8155" s="195" t="s">
        <v>28536</v>
      </c>
      <c r="G8155" s="196">
        <v>3725006.0</v>
      </c>
      <c r="H8155" s="197">
        <v>1.26</v>
      </c>
      <c r="I8155" s="7" t="s">
        <v>16815</v>
      </c>
      <c r="J8155" s="7" t="s">
        <v>187</v>
      </c>
      <c r="K8155" s="7" t="s">
        <v>16846</v>
      </c>
      <c r="L8155" s="198" t="s">
        <v>65</v>
      </c>
      <c r="M8155" s="194"/>
      <c r="N8155" s="194"/>
    </row>
    <row r="8156">
      <c r="A8156" s="193" t="s">
        <v>28537</v>
      </c>
      <c r="B8156" s="7" t="s">
        <v>187</v>
      </c>
      <c r="C8156" s="7" t="s">
        <v>16846</v>
      </c>
      <c r="D8156" s="199"/>
      <c r="E8156" s="193"/>
      <c r="F8156" s="195" t="s">
        <v>28538</v>
      </c>
      <c r="G8156" s="196">
        <v>3722540.0</v>
      </c>
      <c r="H8156" s="197">
        <v>0.156</v>
      </c>
      <c r="I8156" s="7" t="s">
        <v>16815</v>
      </c>
      <c r="J8156" s="7" t="s">
        <v>187</v>
      </c>
      <c r="K8156" s="7" t="s">
        <v>16846</v>
      </c>
      <c r="L8156" s="198" t="s">
        <v>65</v>
      </c>
      <c r="M8156" s="199"/>
      <c r="N8156" s="199"/>
    </row>
    <row r="8157">
      <c r="A8157" s="193" t="s">
        <v>28539</v>
      </c>
      <c r="B8157" s="7" t="s">
        <v>175</v>
      </c>
      <c r="C8157" s="7" t="s">
        <v>17452</v>
      </c>
      <c r="D8157" s="194">
        <v>2017.0</v>
      </c>
      <c r="E8157" s="193"/>
      <c r="F8157" s="195" t="s">
        <v>28540</v>
      </c>
      <c r="G8157" s="196">
        <v>3682759.0</v>
      </c>
      <c r="H8157" s="197">
        <v>6.12</v>
      </c>
      <c r="I8157" s="7" t="s">
        <v>168</v>
      </c>
      <c r="J8157" s="7" t="s">
        <v>175</v>
      </c>
      <c r="K8157" s="7" t="s">
        <v>17452</v>
      </c>
      <c r="L8157" s="198" t="s">
        <v>65</v>
      </c>
      <c r="M8157" s="194"/>
      <c r="N8157" s="194"/>
    </row>
    <row r="8158">
      <c r="A8158" s="193" t="s">
        <v>28541</v>
      </c>
      <c r="B8158" s="7" t="s">
        <v>187</v>
      </c>
      <c r="C8158" s="7" t="s">
        <v>17122</v>
      </c>
      <c r="D8158" s="199"/>
      <c r="E8158" s="193"/>
      <c r="F8158" s="195" t="s">
        <v>28542</v>
      </c>
      <c r="G8158" s="196">
        <v>3673139.0</v>
      </c>
      <c r="H8158" s="197">
        <v>6.49</v>
      </c>
      <c r="I8158" s="7" t="s">
        <v>16815</v>
      </c>
      <c r="J8158" s="7" t="s">
        <v>187</v>
      </c>
      <c r="K8158" s="7" t="s">
        <v>17122</v>
      </c>
      <c r="L8158" s="198" t="s">
        <v>65</v>
      </c>
      <c r="M8158" s="199"/>
      <c r="N8158" s="199"/>
    </row>
    <row r="8159">
      <c r="A8159" s="193" t="s">
        <v>28543</v>
      </c>
      <c r="B8159" s="7" t="s">
        <v>175</v>
      </c>
      <c r="C8159" s="7" t="s">
        <v>17084</v>
      </c>
      <c r="D8159" s="194">
        <v>2021.0</v>
      </c>
      <c r="E8159" s="193"/>
      <c r="F8159" s="195" t="s">
        <v>28544</v>
      </c>
      <c r="G8159" s="196">
        <v>3665699.0</v>
      </c>
      <c r="H8159" s="197">
        <v>11.56</v>
      </c>
      <c r="I8159" s="7" t="s">
        <v>16908</v>
      </c>
      <c r="J8159" s="7" t="s">
        <v>175</v>
      </c>
      <c r="K8159" s="7" t="s">
        <v>17084</v>
      </c>
      <c r="L8159" s="198" t="s">
        <v>65</v>
      </c>
      <c r="M8159" s="194"/>
      <c r="N8159" s="194"/>
    </row>
    <row r="8160">
      <c r="A8160" s="193" t="s">
        <v>28545</v>
      </c>
      <c r="B8160" s="7" t="s">
        <v>187</v>
      </c>
      <c r="C8160" s="7" t="s">
        <v>16846</v>
      </c>
      <c r="D8160" s="194">
        <v>2019.0</v>
      </c>
      <c r="E8160" s="193"/>
      <c r="F8160" s="195" t="s">
        <v>28546</v>
      </c>
      <c r="G8160" s="196">
        <v>3665676.0</v>
      </c>
      <c r="H8160" s="197">
        <v>1.1101</v>
      </c>
      <c r="I8160" s="7" t="s">
        <v>16815</v>
      </c>
      <c r="J8160" s="7" t="s">
        <v>187</v>
      </c>
      <c r="K8160" s="7" t="s">
        <v>16846</v>
      </c>
      <c r="L8160" s="198" t="s">
        <v>65</v>
      </c>
      <c r="M8160" s="194"/>
      <c r="N8160" s="194"/>
    </row>
    <row r="8161">
      <c r="A8161" s="193" t="s">
        <v>28547</v>
      </c>
      <c r="B8161" s="7" t="s">
        <v>187</v>
      </c>
      <c r="C8161" s="7" t="s">
        <v>16846</v>
      </c>
      <c r="D8161" s="199"/>
      <c r="E8161" s="193"/>
      <c r="F8161" s="195" t="s">
        <v>28548</v>
      </c>
      <c r="G8161" s="196">
        <v>3664824.0</v>
      </c>
      <c r="H8161" s="197">
        <v>1.27</v>
      </c>
      <c r="I8161" s="7" t="s">
        <v>16815</v>
      </c>
      <c r="J8161" s="7" t="s">
        <v>187</v>
      </c>
      <c r="K8161" s="7" t="s">
        <v>16846</v>
      </c>
      <c r="L8161" s="198" t="s">
        <v>65</v>
      </c>
      <c r="M8161" s="199"/>
      <c r="N8161" s="199"/>
    </row>
    <row r="8162">
      <c r="A8162" s="193" t="s">
        <v>28549</v>
      </c>
      <c r="B8162" s="7" t="s">
        <v>16838</v>
      </c>
      <c r="C8162" s="7" t="s">
        <v>17127</v>
      </c>
      <c r="D8162" s="199"/>
      <c r="E8162" s="193"/>
      <c r="F8162" s="195" t="s">
        <v>28550</v>
      </c>
      <c r="G8162" s="196">
        <v>3637146.0</v>
      </c>
      <c r="H8162" s="197">
        <v>2.0001</v>
      </c>
      <c r="I8162" s="7" t="s">
        <v>16815</v>
      </c>
      <c r="J8162" s="7" t="s">
        <v>16838</v>
      </c>
      <c r="K8162" s="7" t="s">
        <v>17127</v>
      </c>
      <c r="L8162" s="198" t="s">
        <v>65</v>
      </c>
      <c r="M8162" s="199"/>
      <c r="N8162" s="199"/>
    </row>
    <row r="8163">
      <c r="A8163" s="193" t="s">
        <v>28551</v>
      </c>
      <c r="B8163" s="7" t="s">
        <v>187</v>
      </c>
      <c r="C8163" s="7" t="s">
        <v>16846</v>
      </c>
      <c r="D8163" s="199"/>
      <c r="E8163" s="193"/>
      <c r="F8163" s="195" t="s">
        <v>28552</v>
      </c>
      <c r="G8163" s="196">
        <v>3633544.0</v>
      </c>
      <c r="H8163" s="197">
        <v>0.53</v>
      </c>
      <c r="I8163" s="7" t="s">
        <v>16815</v>
      </c>
      <c r="J8163" s="7" t="s">
        <v>187</v>
      </c>
      <c r="K8163" s="7" t="s">
        <v>16846</v>
      </c>
      <c r="L8163" s="198" t="s">
        <v>65</v>
      </c>
      <c r="M8163" s="199"/>
      <c r="N8163" s="199"/>
    </row>
    <row r="8164">
      <c r="A8164" s="193" t="s">
        <v>28553</v>
      </c>
      <c r="B8164" s="7" t="s">
        <v>16582</v>
      </c>
      <c r="C8164" s="7" t="s">
        <v>17013</v>
      </c>
      <c r="D8164" s="194">
        <v>2021.0</v>
      </c>
      <c r="E8164" s="193"/>
      <c r="F8164" s="195" t="s">
        <v>28554</v>
      </c>
      <c r="G8164" s="196">
        <v>3622601.0</v>
      </c>
      <c r="H8164" s="197">
        <v>0.267</v>
      </c>
      <c r="I8164" s="7" t="s">
        <v>16815</v>
      </c>
      <c r="J8164" s="7" t="s">
        <v>16582</v>
      </c>
      <c r="K8164" s="7" t="s">
        <v>17013</v>
      </c>
      <c r="L8164" s="198" t="s">
        <v>65</v>
      </c>
      <c r="M8164" s="194"/>
      <c r="N8164" s="194"/>
    </row>
    <row r="8165">
      <c r="A8165" s="193" t="s">
        <v>28555</v>
      </c>
      <c r="B8165" s="7" t="s">
        <v>175</v>
      </c>
      <c r="C8165" s="7" t="s">
        <v>16972</v>
      </c>
      <c r="D8165" s="199"/>
      <c r="E8165" s="193"/>
      <c r="F8165" s="195" t="s">
        <v>28556</v>
      </c>
      <c r="G8165" s="196">
        <v>3609756.0</v>
      </c>
      <c r="H8165" s="197">
        <v>0.08</v>
      </c>
      <c r="I8165" s="7" t="s">
        <v>16908</v>
      </c>
      <c r="J8165" s="7" t="s">
        <v>175</v>
      </c>
      <c r="K8165" s="7" t="s">
        <v>16972</v>
      </c>
      <c r="L8165" s="198" t="s">
        <v>65</v>
      </c>
      <c r="M8165" s="199"/>
      <c r="N8165" s="199"/>
    </row>
    <row r="8166">
      <c r="A8166" s="193" t="s">
        <v>28557</v>
      </c>
      <c r="B8166" s="7" t="s">
        <v>187</v>
      </c>
      <c r="C8166" s="7" t="s">
        <v>16846</v>
      </c>
      <c r="D8166" s="194">
        <v>2015.0</v>
      </c>
      <c r="E8166" s="193"/>
      <c r="F8166" s="195" t="s">
        <v>28558</v>
      </c>
      <c r="G8166" s="196">
        <v>3587249.0</v>
      </c>
      <c r="H8166" s="197">
        <v>0.71</v>
      </c>
      <c r="I8166" s="7" t="s">
        <v>16815</v>
      </c>
      <c r="J8166" s="7" t="s">
        <v>187</v>
      </c>
      <c r="K8166" s="7" t="s">
        <v>16846</v>
      </c>
      <c r="L8166" s="198" t="s">
        <v>65</v>
      </c>
      <c r="M8166" s="194"/>
      <c r="N8166" s="194"/>
    </row>
    <row r="8167">
      <c r="A8167" s="193" t="s">
        <v>28559</v>
      </c>
      <c r="B8167" s="7" t="s">
        <v>16582</v>
      </c>
      <c r="C8167" s="7" t="s">
        <v>16930</v>
      </c>
      <c r="D8167" s="199"/>
      <c r="E8167" s="193"/>
      <c r="F8167" s="195" t="s">
        <v>28560</v>
      </c>
      <c r="G8167" s="196">
        <v>3583720.0</v>
      </c>
      <c r="H8167" s="197">
        <v>2.51</v>
      </c>
      <c r="I8167" s="7" t="s">
        <v>16815</v>
      </c>
      <c r="J8167" s="7" t="s">
        <v>16582</v>
      </c>
      <c r="K8167" s="7" t="s">
        <v>16930</v>
      </c>
      <c r="L8167" s="198" t="s">
        <v>65</v>
      </c>
      <c r="M8167" s="199"/>
      <c r="N8167" s="199"/>
    </row>
    <row r="8168">
      <c r="A8168" s="193" t="s">
        <v>28561</v>
      </c>
      <c r="B8168" s="7" t="s">
        <v>169</v>
      </c>
      <c r="C8168" s="7" t="s">
        <v>16899</v>
      </c>
      <c r="D8168" s="194">
        <v>2017.0</v>
      </c>
      <c r="E8168" s="193"/>
      <c r="F8168" s="195" t="s">
        <v>28562</v>
      </c>
      <c r="G8168" s="196">
        <v>3551338.0</v>
      </c>
      <c r="H8168" s="197">
        <v>0.6601</v>
      </c>
      <c r="I8168" s="7" t="s">
        <v>16815</v>
      </c>
      <c r="J8168" s="7" t="s">
        <v>169</v>
      </c>
      <c r="K8168" s="7" t="s">
        <v>16899</v>
      </c>
      <c r="L8168" s="198" t="s">
        <v>65</v>
      </c>
      <c r="M8168" s="194"/>
      <c r="N8168" s="194"/>
    </row>
    <row r="8169">
      <c r="A8169" s="193" t="s">
        <v>28563</v>
      </c>
      <c r="B8169" s="7" t="s">
        <v>187</v>
      </c>
      <c r="C8169" s="7" t="s">
        <v>16846</v>
      </c>
      <c r="D8169" s="194">
        <v>2020.0</v>
      </c>
      <c r="E8169" s="193"/>
      <c r="F8169" s="195" t="s">
        <v>28564</v>
      </c>
      <c r="G8169" s="196">
        <v>3526490.0</v>
      </c>
      <c r="H8169" s="197">
        <v>0.56</v>
      </c>
      <c r="I8169" s="7" t="s">
        <v>16815</v>
      </c>
      <c r="J8169" s="7" t="s">
        <v>187</v>
      </c>
      <c r="K8169" s="7" t="s">
        <v>16846</v>
      </c>
      <c r="L8169" s="198" t="s">
        <v>65</v>
      </c>
      <c r="M8169" s="194"/>
      <c r="N8169" s="194"/>
    </row>
    <row r="8170">
      <c r="A8170" s="193" t="s">
        <v>28565</v>
      </c>
      <c r="B8170" s="7" t="s">
        <v>175</v>
      </c>
      <c r="C8170" s="7" t="s">
        <v>17480</v>
      </c>
      <c r="D8170" s="194">
        <v>2022.0</v>
      </c>
      <c r="E8170" s="193"/>
      <c r="F8170" s="195" t="s">
        <v>28566</v>
      </c>
      <c r="G8170" s="196">
        <v>3506975.0</v>
      </c>
      <c r="H8170" s="197">
        <v>2.95</v>
      </c>
      <c r="I8170" s="7" t="s">
        <v>168</v>
      </c>
      <c r="J8170" s="7" t="s">
        <v>175</v>
      </c>
      <c r="K8170" s="7" t="s">
        <v>17480</v>
      </c>
      <c r="L8170" s="198" t="s">
        <v>65</v>
      </c>
      <c r="M8170" s="194"/>
      <c r="N8170" s="194"/>
    </row>
    <row r="8171">
      <c r="A8171" s="193" t="s">
        <v>28567</v>
      </c>
      <c r="B8171" s="7" t="s">
        <v>16582</v>
      </c>
      <c r="C8171" s="7" t="s">
        <v>16930</v>
      </c>
      <c r="D8171" s="194">
        <v>2021.0</v>
      </c>
      <c r="E8171" s="193"/>
      <c r="F8171" s="195" t="s">
        <v>28568</v>
      </c>
      <c r="G8171" s="196">
        <v>3486391.0</v>
      </c>
      <c r="H8171" s="197">
        <v>0.3143</v>
      </c>
      <c r="I8171" s="7" t="s">
        <v>16815</v>
      </c>
      <c r="J8171" s="7" t="s">
        <v>16582</v>
      </c>
      <c r="K8171" s="7" t="s">
        <v>16930</v>
      </c>
      <c r="L8171" s="198" t="s">
        <v>65</v>
      </c>
      <c r="M8171" s="194"/>
      <c r="N8171" s="194"/>
    </row>
    <row r="8172">
      <c r="A8172" s="193" t="s">
        <v>28569</v>
      </c>
      <c r="B8172" s="7" t="s">
        <v>16910</v>
      </c>
      <c r="C8172" s="7" t="s">
        <v>16911</v>
      </c>
      <c r="D8172" s="199"/>
      <c r="E8172" s="193"/>
      <c r="F8172" s="195" t="s">
        <v>28570</v>
      </c>
      <c r="G8172" s="196">
        <v>3465956.0</v>
      </c>
      <c r="H8172" s="197">
        <v>0.3181</v>
      </c>
      <c r="I8172" s="7" t="s">
        <v>18397</v>
      </c>
      <c r="J8172" s="7" t="s">
        <v>16910</v>
      </c>
      <c r="K8172" s="7" t="s">
        <v>16911</v>
      </c>
      <c r="L8172" s="198" t="s">
        <v>65</v>
      </c>
      <c r="M8172" s="199"/>
      <c r="N8172" s="199"/>
    </row>
    <row r="8173">
      <c r="A8173" s="193" t="s">
        <v>28571</v>
      </c>
      <c r="B8173" s="7" t="s">
        <v>187</v>
      </c>
      <c r="C8173" s="7" t="s">
        <v>16846</v>
      </c>
      <c r="D8173" s="199"/>
      <c r="E8173" s="193"/>
      <c r="F8173" s="195" t="s">
        <v>28572</v>
      </c>
      <c r="G8173" s="196">
        <v>3464767.0</v>
      </c>
      <c r="H8173" s="197">
        <v>0.8</v>
      </c>
      <c r="I8173" s="7" t="s">
        <v>16815</v>
      </c>
      <c r="J8173" s="7" t="s">
        <v>187</v>
      </c>
      <c r="K8173" s="7" t="s">
        <v>16846</v>
      </c>
      <c r="L8173" s="198" t="s">
        <v>65</v>
      </c>
      <c r="M8173" s="199"/>
      <c r="N8173" s="199"/>
    </row>
    <row r="8174">
      <c r="A8174" s="193" t="s">
        <v>28573</v>
      </c>
      <c r="B8174" s="7" t="s">
        <v>16838</v>
      </c>
      <c r="C8174" s="7" t="s">
        <v>17112</v>
      </c>
      <c r="D8174" s="194">
        <v>2019.0</v>
      </c>
      <c r="E8174" s="193"/>
      <c r="F8174" s="195" t="s">
        <v>28574</v>
      </c>
      <c r="G8174" s="196">
        <v>3440495.0</v>
      </c>
      <c r="H8174" s="197">
        <v>0.93</v>
      </c>
      <c r="I8174" s="7" t="s">
        <v>16815</v>
      </c>
      <c r="J8174" s="7" t="s">
        <v>16838</v>
      </c>
      <c r="K8174" s="7" t="s">
        <v>17112</v>
      </c>
      <c r="L8174" s="198" t="s">
        <v>65</v>
      </c>
      <c r="M8174" s="194"/>
      <c r="N8174" s="194"/>
    </row>
    <row r="8175">
      <c r="A8175" s="193" t="s">
        <v>28575</v>
      </c>
      <c r="B8175" s="7" t="s">
        <v>187</v>
      </c>
      <c r="C8175" s="7" t="s">
        <v>16846</v>
      </c>
      <c r="D8175" s="194">
        <v>2019.0</v>
      </c>
      <c r="E8175" s="193"/>
      <c r="F8175" s="195" t="s">
        <v>28576</v>
      </c>
      <c r="G8175" s="196">
        <v>3437067.0</v>
      </c>
      <c r="H8175" s="197">
        <v>0.018</v>
      </c>
      <c r="I8175" s="7" t="s">
        <v>16815</v>
      </c>
      <c r="J8175" s="7" t="s">
        <v>187</v>
      </c>
      <c r="K8175" s="7" t="s">
        <v>16846</v>
      </c>
      <c r="L8175" s="198" t="s">
        <v>65</v>
      </c>
      <c r="M8175" s="194"/>
      <c r="N8175" s="194"/>
    </row>
    <row r="8176">
      <c r="A8176" s="193" t="s">
        <v>28577</v>
      </c>
      <c r="B8176" s="7" t="s">
        <v>16838</v>
      </c>
      <c r="C8176" s="7" t="s">
        <v>17202</v>
      </c>
      <c r="D8176" s="199"/>
      <c r="E8176" s="193"/>
      <c r="F8176" s="195" t="s">
        <v>28578</v>
      </c>
      <c r="G8176" s="196">
        <v>3425533.0</v>
      </c>
      <c r="H8176" s="197">
        <v>0.3631</v>
      </c>
      <c r="I8176" s="7" t="s">
        <v>16815</v>
      </c>
      <c r="J8176" s="7" t="s">
        <v>16838</v>
      </c>
      <c r="K8176" s="7" t="s">
        <v>17202</v>
      </c>
      <c r="L8176" s="198" t="s">
        <v>65</v>
      </c>
      <c r="M8176" s="199"/>
      <c r="N8176" s="199"/>
    </row>
    <row r="8177">
      <c r="A8177" s="193" t="s">
        <v>28579</v>
      </c>
      <c r="B8177" s="7" t="s">
        <v>16910</v>
      </c>
      <c r="C8177" s="7" t="s">
        <v>17502</v>
      </c>
      <c r="D8177" s="194">
        <v>2019.0</v>
      </c>
      <c r="E8177" s="193"/>
      <c r="F8177" s="195" t="s">
        <v>28580</v>
      </c>
      <c r="G8177" s="196">
        <v>3421369.0</v>
      </c>
      <c r="H8177" s="197">
        <v>0.08</v>
      </c>
      <c r="I8177" s="7" t="s">
        <v>127</v>
      </c>
      <c r="J8177" s="7" t="s">
        <v>16910</v>
      </c>
      <c r="K8177" s="7" t="s">
        <v>17502</v>
      </c>
      <c r="L8177" s="198" t="s">
        <v>65</v>
      </c>
      <c r="M8177" s="194"/>
      <c r="N8177" s="194"/>
    </row>
    <row r="8178">
      <c r="A8178" s="193" t="s">
        <v>28581</v>
      </c>
      <c r="B8178" s="7" t="s">
        <v>187</v>
      </c>
      <c r="C8178" s="7" t="s">
        <v>16851</v>
      </c>
      <c r="D8178" s="194">
        <v>2021.0</v>
      </c>
      <c r="E8178" s="193"/>
      <c r="F8178" s="195" t="s">
        <v>28582</v>
      </c>
      <c r="G8178" s="196">
        <v>3407739.0</v>
      </c>
      <c r="H8178" s="197">
        <v>3.33</v>
      </c>
      <c r="I8178" s="7" t="s">
        <v>16815</v>
      </c>
      <c r="J8178" s="7" t="s">
        <v>187</v>
      </c>
      <c r="K8178" s="7" t="s">
        <v>16851</v>
      </c>
      <c r="L8178" s="198" t="s">
        <v>65</v>
      </c>
      <c r="M8178" s="194"/>
      <c r="N8178" s="194"/>
    </row>
    <row r="8179">
      <c r="A8179" s="193" t="s">
        <v>28583</v>
      </c>
      <c r="B8179" s="7" t="s">
        <v>187</v>
      </c>
      <c r="C8179" s="7" t="s">
        <v>18529</v>
      </c>
      <c r="D8179" s="199"/>
      <c r="E8179" s="193"/>
      <c r="F8179" s="195" t="s">
        <v>28584</v>
      </c>
      <c r="G8179" s="196">
        <v>3397138.0</v>
      </c>
      <c r="H8179" s="197">
        <v>0.695</v>
      </c>
      <c r="I8179" s="7" t="s">
        <v>16815</v>
      </c>
      <c r="J8179" s="7" t="s">
        <v>187</v>
      </c>
      <c r="K8179" s="7" t="s">
        <v>18529</v>
      </c>
      <c r="L8179" s="198" t="s">
        <v>65</v>
      </c>
      <c r="M8179" s="199"/>
      <c r="N8179" s="199"/>
    </row>
    <row r="8180">
      <c r="A8180" s="193" t="s">
        <v>28585</v>
      </c>
      <c r="B8180" s="7" t="s">
        <v>187</v>
      </c>
      <c r="C8180" s="7" t="s">
        <v>16846</v>
      </c>
      <c r="D8180" s="199"/>
      <c r="E8180" s="193"/>
      <c r="F8180" s="195" t="s">
        <v>28586</v>
      </c>
      <c r="G8180" s="196">
        <v>3393691.0</v>
      </c>
      <c r="H8180" s="197">
        <v>1.58</v>
      </c>
      <c r="I8180" s="7" t="s">
        <v>16815</v>
      </c>
      <c r="J8180" s="7" t="s">
        <v>187</v>
      </c>
      <c r="K8180" s="7" t="s">
        <v>16846</v>
      </c>
      <c r="L8180" s="198" t="s">
        <v>65</v>
      </c>
      <c r="M8180" s="199"/>
      <c r="N8180" s="199"/>
    </row>
    <row r="8181">
      <c r="A8181" s="193" t="s">
        <v>28587</v>
      </c>
      <c r="B8181" s="7" t="s">
        <v>187</v>
      </c>
      <c r="C8181" s="7" t="s">
        <v>16846</v>
      </c>
      <c r="D8181" s="199"/>
      <c r="E8181" s="193"/>
      <c r="F8181" s="195" t="s">
        <v>28588</v>
      </c>
      <c r="G8181" s="196">
        <v>3393196.0</v>
      </c>
      <c r="H8181" s="197">
        <v>0.3065</v>
      </c>
      <c r="I8181" s="7" t="s">
        <v>16815</v>
      </c>
      <c r="J8181" s="7" t="s">
        <v>187</v>
      </c>
      <c r="K8181" s="7" t="s">
        <v>16846</v>
      </c>
      <c r="L8181" s="198" t="s">
        <v>65</v>
      </c>
      <c r="M8181" s="199"/>
      <c r="N8181" s="199"/>
    </row>
    <row r="8182">
      <c r="A8182" s="193" t="s">
        <v>28589</v>
      </c>
      <c r="B8182" s="7" t="s">
        <v>187</v>
      </c>
      <c r="C8182" s="7" t="s">
        <v>16969</v>
      </c>
      <c r="D8182" s="199"/>
      <c r="E8182" s="193"/>
      <c r="F8182" s="195" t="s">
        <v>28590</v>
      </c>
      <c r="G8182" s="196">
        <v>3392892.0</v>
      </c>
      <c r="H8182" s="197">
        <v>0.1624</v>
      </c>
      <c r="I8182" s="7" t="s">
        <v>16815</v>
      </c>
      <c r="J8182" s="7" t="s">
        <v>187</v>
      </c>
      <c r="K8182" s="7" t="s">
        <v>16969</v>
      </c>
      <c r="L8182" s="198" t="s">
        <v>65</v>
      </c>
      <c r="M8182" s="199"/>
      <c r="N8182" s="199"/>
    </row>
    <row r="8183">
      <c r="A8183" s="193" t="s">
        <v>28591</v>
      </c>
      <c r="B8183" s="7" t="s">
        <v>17112</v>
      </c>
      <c r="C8183" s="7" t="s">
        <v>17218</v>
      </c>
      <c r="D8183" s="199"/>
      <c r="E8183" s="193"/>
      <c r="F8183" s="195" t="s">
        <v>28592</v>
      </c>
      <c r="G8183" s="196">
        <v>3388289.0</v>
      </c>
      <c r="H8183" s="197">
        <v>0.13</v>
      </c>
      <c r="I8183" s="7" t="s">
        <v>16815</v>
      </c>
      <c r="J8183" s="7" t="s">
        <v>17112</v>
      </c>
      <c r="K8183" s="7" t="s">
        <v>17218</v>
      </c>
      <c r="L8183" s="198" t="s">
        <v>65</v>
      </c>
      <c r="M8183" s="199"/>
      <c r="N8183" s="199"/>
    </row>
    <row r="8184">
      <c r="A8184" s="193" t="s">
        <v>28591</v>
      </c>
      <c r="B8184" s="202" t="s">
        <v>17218</v>
      </c>
      <c r="C8184" s="193" t="s">
        <v>17112</v>
      </c>
      <c r="D8184" s="206"/>
      <c r="E8184" s="193"/>
      <c r="F8184" s="203" t="s">
        <v>28592</v>
      </c>
      <c r="G8184" s="200">
        <v>3388289.0</v>
      </c>
      <c r="H8184" s="205">
        <v>0.5705</v>
      </c>
      <c r="I8184" s="206"/>
      <c r="J8184" s="202" t="s">
        <v>17218</v>
      </c>
      <c r="K8184" s="193" t="s">
        <v>17112</v>
      </c>
      <c r="L8184" s="193" t="s">
        <v>17471</v>
      </c>
      <c r="M8184" s="206"/>
      <c r="N8184" s="206"/>
    </row>
    <row r="8185">
      <c r="A8185" s="193" t="s">
        <v>28593</v>
      </c>
      <c r="B8185" s="7" t="s">
        <v>175</v>
      </c>
      <c r="C8185" s="7" t="s">
        <v>18570</v>
      </c>
      <c r="D8185" s="199"/>
      <c r="E8185" s="193"/>
      <c r="F8185" s="195" t="s">
        <v>28594</v>
      </c>
      <c r="G8185" s="196">
        <v>3379864.0</v>
      </c>
      <c r="H8185" s="197">
        <v>2.3</v>
      </c>
      <c r="I8185" s="7" t="s">
        <v>168</v>
      </c>
      <c r="J8185" s="7" t="s">
        <v>175</v>
      </c>
      <c r="K8185" s="7" t="s">
        <v>18570</v>
      </c>
      <c r="L8185" s="198" t="s">
        <v>65</v>
      </c>
      <c r="M8185" s="199"/>
      <c r="N8185" s="199"/>
    </row>
    <row r="8186">
      <c r="A8186" s="193" t="s">
        <v>28595</v>
      </c>
      <c r="B8186" s="7" t="s">
        <v>16910</v>
      </c>
      <c r="C8186" s="7" t="s">
        <v>28596</v>
      </c>
      <c r="D8186" s="199"/>
      <c r="E8186" s="193"/>
      <c r="F8186" s="195" t="s">
        <v>28597</v>
      </c>
      <c r="G8186" s="196">
        <v>3375785.0</v>
      </c>
      <c r="H8186" s="197">
        <v>0.7999</v>
      </c>
      <c r="I8186" s="7" t="s">
        <v>16917</v>
      </c>
      <c r="J8186" s="7" t="s">
        <v>16910</v>
      </c>
      <c r="K8186" s="7" t="s">
        <v>28596</v>
      </c>
      <c r="L8186" s="198" t="s">
        <v>65</v>
      </c>
      <c r="M8186" s="199"/>
      <c r="N8186" s="199"/>
    </row>
    <row r="8187">
      <c r="A8187" s="193" t="s">
        <v>28598</v>
      </c>
      <c r="B8187" s="7" t="s">
        <v>16582</v>
      </c>
      <c r="C8187" s="7" t="s">
        <v>16583</v>
      </c>
      <c r="D8187" s="194">
        <v>2022.0</v>
      </c>
      <c r="E8187" s="193"/>
      <c r="F8187" s="195" t="s">
        <v>28599</v>
      </c>
      <c r="G8187" s="196">
        <v>3372729.0</v>
      </c>
      <c r="H8187" s="197">
        <v>0.66</v>
      </c>
      <c r="I8187" s="7" t="s">
        <v>16815</v>
      </c>
      <c r="J8187" s="7" t="s">
        <v>16582</v>
      </c>
      <c r="K8187" s="7" t="s">
        <v>16583</v>
      </c>
      <c r="L8187" s="198" t="s">
        <v>65</v>
      </c>
      <c r="M8187" s="194"/>
      <c r="N8187" s="194"/>
    </row>
    <row r="8188">
      <c r="A8188" s="193" t="s">
        <v>28600</v>
      </c>
      <c r="B8188" s="7" t="s">
        <v>16582</v>
      </c>
      <c r="C8188" s="7" t="s">
        <v>16899</v>
      </c>
      <c r="D8188" s="199"/>
      <c r="E8188" s="193"/>
      <c r="F8188" s="195" t="s">
        <v>28601</v>
      </c>
      <c r="G8188" s="196">
        <v>3346298.0</v>
      </c>
      <c r="H8188" s="197">
        <v>1.18</v>
      </c>
      <c r="I8188" s="7" t="s">
        <v>16815</v>
      </c>
      <c r="J8188" s="7" t="s">
        <v>16582</v>
      </c>
      <c r="K8188" s="7" t="s">
        <v>16899</v>
      </c>
      <c r="L8188" s="198" t="s">
        <v>65</v>
      </c>
      <c r="M8188" s="199"/>
      <c r="N8188" s="199"/>
    </row>
    <row r="8189">
      <c r="A8189" s="193" t="s">
        <v>28602</v>
      </c>
      <c r="B8189" s="7" t="s">
        <v>16838</v>
      </c>
      <c r="C8189" s="7" t="s">
        <v>18219</v>
      </c>
      <c r="D8189" s="194">
        <v>2021.0</v>
      </c>
      <c r="E8189" s="193"/>
      <c r="F8189" s="195" t="s">
        <v>28603</v>
      </c>
      <c r="G8189" s="196">
        <v>3312536.0</v>
      </c>
      <c r="H8189" s="197">
        <v>0.09</v>
      </c>
      <c r="I8189" s="7" t="s">
        <v>16815</v>
      </c>
      <c r="J8189" s="7" t="s">
        <v>16838</v>
      </c>
      <c r="K8189" s="7" t="s">
        <v>18219</v>
      </c>
      <c r="L8189" s="198" t="s">
        <v>65</v>
      </c>
      <c r="M8189" s="194"/>
      <c r="N8189" s="194"/>
    </row>
    <row r="8190">
      <c r="A8190" s="193" t="s">
        <v>28604</v>
      </c>
      <c r="B8190" s="7" t="s">
        <v>187</v>
      </c>
      <c r="C8190" s="7" t="s">
        <v>16846</v>
      </c>
      <c r="D8190" s="194">
        <v>2023.0</v>
      </c>
      <c r="E8190" s="193"/>
      <c r="F8190" s="195" t="s">
        <v>28605</v>
      </c>
      <c r="G8190" s="196">
        <v>3306315.0</v>
      </c>
      <c r="H8190" s="197">
        <v>0.5701</v>
      </c>
      <c r="I8190" s="7" t="s">
        <v>16815</v>
      </c>
      <c r="J8190" s="7" t="s">
        <v>187</v>
      </c>
      <c r="K8190" s="7" t="s">
        <v>16846</v>
      </c>
      <c r="L8190" s="198" t="s">
        <v>65</v>
      </c>
      <c r="M8190" s="194"/>
      <c r="N8190" s="194"/>
    </row>
    <row r="8191">
      <c r="A8191" s="193" t="s">
        <v>28606</v>
      </c>
      <c r="B8191" s="7" t="s">
        <v>187</v>
      </c>
      <c r="C8191" s="7" t="s">
        <v>16846</v>
      </c>
      <c r="D8191" s="194">
        <v>2022.0</v>
      </c>
      <c r="E8191" s="193"/>
      <c r="F8191" s="195" t="s">
        <v>28607</v>
      </c>
      <c r="G8191" s="196">
        <v>3292226.0</v>
      </c>
      <c r="H8191" s="197">
        <v>0.188</v>
      </c>
      <c r="I8191" s="7" t="s">
        <v>16815</v>
      </c>
      <c r="J8191" s="7" t="s">
        <v>187</v>
      </c>
      <c r="K8191" s="7" t="s">
        <v>16846</v>
      </c>
      <c r="L8191" s="198" t="s">
        <v>65</v>
      </c>
      <c r="M8191" s="194"/>
      <c r="N8191" s="194"/>
    </row>
    <row r="8192">
      <c r="A8192" s="193" t="s">
        <v>28608</v>
      </c>
      <c r="B8192" s="7" t="s">
        <v>16582</v>
      </c>
      <c r="C8192" s="7" t="s">
        <v>17183</v>
      </c>
      <c r="D8192" s="194">
        <v>2021.0</v>
      </c>
      <c r="E8192" s="193"/>
      <c r="F8192" s="195" t="s">
        <v>28609</v>
      </c>
      <c r="G8192" s="196">
        <v>3291698.0</v>
      </c>
      <c r="H8192" s="197">
        <v>0.056</v>
      </c>
      <c r="I8192" s="7" t="s">
        <v>16815</v>
      </c>
      <c r="J8192" s="7" t="s">
        <v>16582</v>
      </c>
      <c r="K8192" s="7" t="s">
        <v>17183</v>
      </c>
      <c r="L8192" s="198" t="s">
        <v>65</v>
      </c>
      <c r="M8192" s="194"/>
      <c r="N8192" s="194"/>
    </row>
    <row r="8193">
      <c r="A8193" s="193" t="s">
        <v>28610</v>
      </c>
      <c r="B8193" s="7" t="s">
        <v>16910</v>
      </c>
      <c r="C8193" s="7" t="s">
        <v>17662</v>
      </c>
      <c r="D8193" s="199"/>
      <c r="E8193" s="193"/>
      <c r="F8193" s="195" t="s">
        <v>28611</v>
      </c>
      <c r="G8193" s="196">
        <v>3280490.0</v>
      </c>
      <c r="H8193" s="197">
        <v>2.37</v>
      </c>
      <c r="I8193" s="7" t="s">
        <v>17063</v>
      </c>
      <c r="J8193" s="7" t="s">
        <v>16910</v>
      </c>
      <c r="K8193" s="7" t="s">
        <v>17662</v>
      </c>
      <c r="L8193" s="198" t="s">
        <v>65</v>
      </c>
      <c r="M8193" s="199"/>
      <c r="N8193" s="199"/>
    </row>
    <row r="8194">
      <c r="A8194" s="193" t="s">
        <v>28612</v>
      </c>
      <c r="B8194" s="7" t="s">
        <v>187</v>
      </c>
      <c r="C8194" s="7" t="s">
        <v>16851</v>
      </c>
      <c r="D8194" s="194">
        <v>2020.0</v>
      </c>
      <c r="E8194" s="193"/>
      <c r="F8194" s="195" t="s">
        <v>28613</v>
      </c>
      <c r="G8194" s="196">
        <v>3280194.0</v>
      </c>
      <c r="H8194" s="197">
        <v>2.74</v>
      </c>
      <c r="I8194" s="7" t="s">
        <v>16815</v>
      </c>
      <c r="J8194" s="7" t="s">
        <v>187</v>
      </c>
      <c r="K8194" s="7" t="s">
        <v>16851</v>
      </c>
      <c r="L8194" s="198" t="s">
        <v>65</v>
      </c>
      <c r="M8194" s="194"/>
      <c r="N8194" s="194"/>
    </row>
    <row r="8195">
      <c r="A8195" s="193" t="s">
        <v>28614</v>
      </c>
      <c r="B8195" s="7" t="s">
        <v>187</v>
      </c>
      <c r="C8195" s="7" t="s">
        <v>16846</v>
      </c>
      <c r="D8195" s="194">
        <v>2021.0</v>
      </c>
      <c r="E8195" s="193"/>
      <c r="F8195" s="195" t="s">
        <v>28615</v>
      </c>
      <c r="G8195" s="196">
        <v>3249020.0</v>
      </c>
      <c r="H8195" s="197">
        <v>0.0621</v>
      </c>
      <c r="I8195" s="7" t="s">
        <v>16815</v>
      </c>
      <c r="J8195" s="7" t="s">
        <v>187</v>
      </c>
      <c r="K8195" s="7" t="s">
        <v>16846</v>
      </c>
      <c r="L8195" s="198" t="s">
        <v>65</v>
      </c>
      <c r="M8195" s="194"/>
      <c r="N8195" s="194"/>
    </row>
    <row r="8196">
      <c r="A8196" s="193" t="s">
        <v>28616</v>
      </c>
      <c r="B8196" s="7" t="s">
        <v>16838</v>
      </c>
      <c r="C8196" s="7" t="s">
        <v>17016</v>
      </c>
      <c r="D8196" s="199"/>
      <c r="E8196" s="193"/>
      <c r="F8196" s="195" t="s">
        <v>28617</v>
      </c>
      <c r="G8196" s="196">
        <v>3214077.0</v>
      </c>
      <c r="H8196" s="197">
        <v>0.5411</v>
      </c>
      <c r="I8196" s="7" t="s">
        <v>16815</v>
      </c>
      <c r="J8196" s="7" t="s">
        <v>16838</v>
      </c>
      <c r="K8196" s="7" t="s">
        <v>17016</v>
      </c>
      <c r="L8196" s="198" t="s">
        <v>65</v>
      </c>
      <c r="M8196" s="199"/>
      <c r="N8196" s="199"/>
    </row>
    <row r="8197">
      <c r="A8197" s="193" t="s">
        <v>28618</v>
      </c>
      <c r="B8197" s="7" t="s">
        <v>187</v>
      </c>
      <c r="C8197" s="7" t="s">
        <v>16969</v>
      </c>
      <c r="D8197" s="199"/>
      <c r="E8197" s="193"/>
      <c r="F8197" s="195" t="s">
        <v>28619</v>
      </c>
      <c r="G8197" s="196">
        <v>3209057.0</v>
      </c>
      <c r="H8197" s="197">
        <v>1.31</v>
      </c>
      <c r="I8197" s="7" t="s">
        <v>16815</v>
      </c>
      <c r="J8197" s="7" t="s">
        <v>187</v>
      </c>
      <c r="K8197" s="7" t="s">
        <v>16969</v>
      </c>
      <c r="L8197" s="198" t="s">
        <v>65</v>
      </c>
      <c r="M8197" s="199"/>
      <c r="N8197" s="199"/>
    </row>
    <row r="8198">
      <c r="A8198" s="193" t="s">
        <v>28620</v>
      </c>
      <c r="B8198" s="7" t="s">
        <v>17629</v>
      </c>
      <c r="C8198" s="7" t="s">
        <v>17452</v>
      </c>
      <c r="D8198" s="194">
        <v>2017.0</v>
      </c>
      <c r="E8198" s="193"/>
      <c r="F8198" s="195" t="s">
        <v>28621</v>
      </c>
      <c r="G8198" s="196">
        <v>3194332.0</v>
      </c>
      <c r="H8198" s="197">
        <v>0.091</v>
      </c>
      <c r="I8198" s="7" t="s">
        <v>16815</v>
      </c>
      <c r="J8198" s="7" t="s">
        <v>17629</v>
      </c>
      <c r="K8198" s="7" t="s">
        <v>17452</v>
      </c>
      <c r="L8198" s="198" t="s">
        <v>65</v>
      </c>
      <c r="M8198" s="194"/>
      <c r="N8198" s="194"/>
    </row>
    <row r="8199">
      <c r="A8199" s="193" t="s">
        <v>28620</v>
      </c>
      <c r="B8199" s="202" t="s">
        <v>17452</v>
      </c>
      <c r="C8199" s="193" t="s">
        <v>17629</v>
      </c>
      <c r="D8199" s="193">
        <v>2017.0</v>
      </c>
      <c r="E8199" s="193"/>
      <c r="F8199" s="203" t="s">
        <v>28621</v>
      </c>
      <c r="G8199" s="200">
        <v>3194332.0</v>
      </c>
      <c r="H8199" s="205">
        <v>0.13</v>
      </c>
      <c r="I8199" s="206"/>
      <c r="J8199" s="202" t="s">
        <v>17452</v>
      </c>
      <c r="K8199" s="193" t="s">
        <v>17629</v>
      </c>
      <c r="L8199" s="193" t="s">
        <v>17471</v>
      </c>
      <c r="M8199" s="193"/>
      <c r="N8199" s="193"/>
    </row>
    <row r="8200">
      <c r="A8200" s="193" t="s">
        <v>28622</v>
      </c>
      <c r="B8200" s="7" t="s">
        <v>16582</v>
      </c>
      <c r="C8200" s="7" t="s">
        <v>16930</v>
      </c>
      <c r="D8200" s="194">
        <v>2020.0</v>
      </c>
      <c r="E8200" s="193"/>
      <c r="F8200" s="195" t="s">
        <v>28623</v>
      </c>
      <c r="G8200" s="196">
        <v>3167786.0</v>
      </c>
      <c r="H8200" s="197">
        <v>0.2151</v>
      </c>
      <c r="I8200" s="7" t="s">
        <v>16815</v>
      </c>
      <c r="J8200" s="7" t="s">
        <v>16582</v>
      </c>
      <c r="K8200" s="7" t="s">
        <v>16930</v>
      </c>
      <c r="L8200" s="198" t="s">
        <v>65</v>
      </c>
      <c r="M8200" s="194"/>
      <c r="N8200" s="194"/>
    </row>
    <row r="8201">
      <c r="A8201" s="193" t="s">
        <v>28624</v>
      </c>
      <c r="B8201" s="7" t="s">
        <v>187</v>
      </c>
      <c r="C8201" s="7" t="s">
        <v>16969</v>
      </c>
      <c r="D8201" s="199"/>
      <c r="E8201" s="193"/>
      <c r="F8201" s="195" t="s">
        <v>28625</v>
      </c>
      <c r="G8201" s="196">
        <v>3150213.0</v>
      </c>
      <c r="H8201" s="197">
        <v>0.24</v>
      </c>
      <c r="I8201" s="7" t="s">
        <v>16815</v>
      </c>
      <c r="J8201" s="7" t="s">
        <v>187</v>
      </c>
      <c r="K8201" s="7" t="s">
        <v>16969</v>
      </c>
      <c r="L8201" s="198" t="s">
        <v>65</v>
      </c>
      <c r="M8201" s="199"/>
      <c r="N8201" s="199"/>
    </row>
    <row r="8202">
      <c r="A8202" s="193" t="s">
        <v>28626</v>
      </c>
      <c r="B8202" s="7" t="s">
        <v>16838</v>
      </c>
      <c r="C8202" s="7" t="s">
        <v>18219</v>
      </c>
      <c r="D8202" s="194">
        <v>2022.0</v>
      </c>
      <c r="E8202" s="193"/>
      <c r="F8202" s="195" t="s">
        <v>28627</v>
      </c>
      <c r="G8202" s="196">
        <v>3079837.0</v>
      </c>
      <c r="H8202" s="197">
        <v>0.045</v>
      </c>
      <c r="I8202" s="7" t="s">
        <v>16815</v>
      </c>
      <c r="J8202" s="7" t="s">
        <v>16838</v>
      </c>
      <c r="K8202" s="7" t="s">
        <v>18219</v>
      </c>
      <c r="L8202" s="198" t="s">
        <v>65</v>
      </c>
      <c r="M8202" s="194"/>
      <c r="N8202" s="194"/>
    </row>
    <row r="8203">
      <c r="A8203" s="193" t="s">
        <v>28628</v>
      </c>
      <c r="B8203" s="7" t="s">
        <v>16582</v>
      </c>
      <c r="C8203" s="7" t="s">
        <v>16817</v>
      </c>
      <c r="D8203" s="199"/>
      <c r="E8203" s="193"/>
      <c r="F8203" s="195" t="s">
        <v>28629</v>
      </c>
      <c r="G8203" s="196">
        <v>3069501.0</v>
      </c>
      <c r="H8203" s="197">
        <v>1.6501</v>
      </c>
      <c r="I8203" s="7" t="s">
        <v>16815</v>
      </c>
      <c r="J8203" s="7" t="s">
        <v>16582</v>
      </c>
      <c r="K8203" s="7" t="s">
        <v>16817</v>
      </c>
      <c r="L8203" s="198" t="s">
        <v>65</v>
      </c>
      <c r="M8203" s="199"/>
      <c r="N8203" s="199"/>
    </row>
    <row r="8204">
      <c r="A8204" s="193" t="s">
        <v>28630</v>
      </c>
      <c r="B8204" s="7" t="s">
        <v>16926</v>
      </c>
      <c r="C8204" s="7" t="s">
        <v>16957</v>
      </c>
      <c r="D8204" s="194">
        <v>2022.0</v>
      </c>
      <c r="E8204" s="193"/>
      <c r="F8204" s="195" t="s">
        <v>28631</v>
      </c>
      <c r="G8204" s="196">
        <v>3059835.0</v>
      </c>
      <c r="H8204" s="197">
        <v>1.13</v>
      </c>
      <c r="I8204" s="7" t="s">
        <v>16815</v>
      </c>
      <c r="J8204" s="7" t="s">
        <v>16926</v>
      </c>
      <c r="K8204" s="7" t="s">
        <v>16957</v>
      </c>
      <c r="L8204" s="198" t="s">
        <v>65</v>
      </c>
      <c r="M8204" s="194"/>
      <c r="N8204" s="194"/>
    </row>
    <row r="8205">
      <c r="A8205" s="193" t="s">
        <v>28632</v>
      </c>
      <c r="B8205" s="7" t="s">
        <v>187</v>
      </c>
      <c r="C8205" s="7" t="s">
        <v>16846</v>
      </c>
      <c r="D8205" s="199"/>
      <c r="E8205" s="193"/>
      <c r="F8205" s="195" t="s">
        <v>28633</v>
      </c>
      <c r="G8205" s="196">
        <v>3048440.0</v>
      </c>
      <c r="H8205" s="197">
        <v>2.0</v>
      </c>
      <c r="I8205" s="7" t="s">
        <v>16815</v>
      </c>
      <c r="J8205" s="7" t="s">
        <v>187</v>
      </c>
      <c r="K8205" s="7" t="s">
        <v>16846</v>
      </c>
      <c r="L8205" s="198" t="s">
        <v>65</v>
      </c>
      <c r="M8205" s="199"/>
      <c r="N8205" s="199"/>
    </row>
    <row r="8206">
      <c r="A8206" s="193" t="s">
        <v>28634</v>
      </c>
      <c r="B8206" s="7" t="s">
        <v>175</v>
      </c>
      <c r="C8206" s="7" t="s">
        <v>16824</v>
      </c>
      <c r="D8206" s="194">
        <v>2021.0</v>
      </c>
      <c r="E8206" s="193"/>
      <c r="F8206" s="195" t="s">
        <v>28635</v>
      </c>
      <c r="G8206" s="196">
        <v>3042920.0</v>
      </c>
      <c r="H8206" s="197">
        <v>0.3897</v>
      </c>
      <c r="I8206" s="7" t="s">
        <v>168</v>
      </c>
      <c r="J8206" s="7" t="s">
        <v>175</v>
      </c>
      <c r="K8206" s="7" t="s">
        <v>16824</v>
      </c>
      <c r="L8206" s="198" t="s">
        <v>65</v>
      </c>
      <c r="M8206" s="194"/>
      <c r="N8206" s="194"/>
    </row>
    <row r="8207">
      <c r="A8207" s="193" t="s">
        <v>28636</v>
      </c>
      <c r="B8207" s="7" t="s">
        <v>16885</v>
      </c>
      <c r="C8207" s="7" t="s">
        <v>18381</v>
      </c>
      <c r="D8207" s="199"/>
      <c r="E8207" s="193"/>
      <c r="F8207" s="195" t="s">
        <v>28637</v>
      </c>
      <c r="G8207" s="196">
        <v>3019776.0</v>
      </c>
      <c r="H8207" s="197">
        <v>0.3</v>
      </c>
      <c r="I8207" s="7" t="s">
        <v>17372</v>
      </c>
      <c r="J8207" s="7" t="s">
        <v>16885</v>
      </c>
      <c r="K8207" s="7" t="s">
        <v>18381</v>
      </c>
      <c r="L8207" s="198" t="s">
        <v>65</v>
      </c>
      <c r="M8207" s="199"/>
      <c r="N8207" s="199"/>
    </row>
    <row r="8208">
      <c r="A8208" s="193" t="s">
        <v>28636</v>
      </c>
      <c r="B8208" s="202" t="s">
        <v>18381</v>
      </c>
      <c r="C8208" s="193" t="s">
        <v>16885</v>
      </c>
      <c r="D8208" s="206"/>
      <c r="E8208" s="193"/>
      <c r="F8208" s="203" t="s">
        <v>28637</v>
      </c>
      <c r="G8208" s="200">
        <v>3019776.0</v>
      </c>
      <c r="H8208" s="205">
        <v>0.091</v>
      </c>
      <c r="I8208" s="206"/>
      <c r="J8208" s="202" t="s">
        <v>18381</v>
      </c>
      <c r="K8208" s="193" t="s">
        <v>16885</v>
      </c>
      <c r="L8208" s="193" t="s">
        <v>17471</v>
      </c>
      <c r="M8208" s="206"/>
      <c r="N8208" s="206"/>
    </row>
    <row r="8209">
      <c r="A8209" s="193" t="s">
        <v>28638</v>
      </c>
      <c r="B8209" s="7" t="s">
        <v>16885</v>
      </c>
      <c r="C8209" s="7" t="s">
        <v>17726</v>
      </c>
      <c r="D8209" s="194">
        <v>2018.0</v>
      </c>
      <c r="E8209" s="193"/>
      <c r="F8209" s="195" t="s">
        <v>28639</v>
      </c>
      <c r="G8209" s="196">
        <v>2971353.0</v>
      </c>
      <c r="H8209" s="197">
        <v>0.0147</v>
      </c>
      <c r="I8209" s="7" t="s">
        <v>17372</v>
      </c>
      <c r="J8209" s="7" t="s">
        <v>16885</v>
      </c>
      <c r="K8209" s="7" t="s">
        <v>17726</v>
      </c>
      <c r="L8209" s="198" t="s">
        <v>65</v>
      </c>
      <c r="M8209" s="194"/>
      <c r="N8209" s="194"/>
    </row>
    <row r="8210">
      <c r="A8210" s="193" t="s">
        <v>28640</v>
      </c>
      <c r="B8210" s="7" t="s">
        <v>17112</v>
      </c>
      <c r="C8210" s="7" t="s">
        <v>17112</v>
      </c>
      <c r="D8210" s="194">
        <v>2017.0</v>
      </c>
      <c r="E8210" s="193"/>
      <c r="F8210" s="195" t="s">
        <v>28641</v>
      </c>
      <c r="G8210" s="196">
        <v>2956354.0</v>
      </c>
      <c r="H8210" s="197">
        <v>1.57</v>
      </c>
      <c r="I8210" s="7" t="s">
        <v>16815</v>
      </c>
      <c r="J8210" s="7" t="s">
        <v>17112</v>
      </c>
      <c r="K8210" s="7" t="s">
        <v>17112</v>
      </c>
      <c r="L8210" s="198" t="s">
        <v>65</v>
      </c>
      <c r="M8210" s="194"/>
      <c r="N8210" s="194"/>
    </row>
    <row r="8211">
      <c r="A8211" s="193" t="s">
        <v>28640</v>
      </c>
      <c r="B8211" s="202" t="s">
        <v>17112</v>
      </c>
      <c r="C8211" s="193" t="s">
        <v>17112</v>
      </c>
      <c r="D8211" s="193">
        <v>2017.0</v>
      </c>
      <c r="E8211" s="193"/>
      <c r="F8211" s="203" t="s">
        <v>28641</v>
      </c>
      <c r="G8211" s="200">
        <v>2956354.0</v>
      </c>
      <c r="H8211" s="205">
        <v>0.3</v>
      </c>
      <c r="I8211" s="206"/>
      <c r="J8211" s="202" t="s">
        <v>17112</v>
      </c>
      <c r="K8211" s="193" t="s">
        <v>17112</v>
      </c>
      <c r="L8211" s="193" t="s">
        <v>17471</v>
      </c>
      <c r="M8211" s="193"/>
      <c r="N8211" s="193"/>
    </row>
    <row r="8212">
      <c r="A8212" s="193" t="s">
        <v>28642</v>
      </c>
      <c r="B8212" s="7" t="s">
        <v>187</v>
      </c>
      <c r="C8212" s="7" t="s">
        <v>16846</v>
      </c>
      <c r="D8212" s="199"/>
      <c r="E8212" s="193"/>
      <c r="F8212" s="195" t="s">
        <v>28643</v>
      </c>
      <c r="G8212" s="196">
        <v>2936482.0</v>
      </c>
      <c r="H8212" s="197">
        <v>0.11</v>
      </c>
      <c r="I8212" s="7" t="s">
        <v>16815</v>
      </c>
      <c r="J8212" s="7" t="s">
        <v>187</v>
      </c>
      <c r="K8212" s="7" t="s">
        <v>16846</v>
      </c>
      <c r="L8212" s="198" t="s">
        <v>65</v>
      </c>
      <c r="M8212" s="199"/>
      <c r="N8212" s="199"/>
    </row>
    <row r="8213">
      <c r="A8213" s="193" t="s">
        <v>28644</v>
      </c>
      <c r="B8213" s="7" t="s">
        <v>175</v>
      </c>
      <c r="C8213" s="7" t="s">
        <v>17057</v>
      </c>
      <c r="D8213" s="194">
        <v>2021.0</v>
      </c>
      <c r="E8213" s="193"/>
      <c r="F8213" s="195" t="s">
        <v>28645</v>
      </c>
      <c r="G8213" s="196">
        <v>2905075.0</v>
      </c>
      <c r="H8213" s="197">
        <v>1.79</v>
      </c>
      <c r="I8213" s="7" t="s">
        <v>16826</v>
      </c>
      <c r="J8213" s="7" t="s">
        <v>175</v>
      </c>
      <c r="K8213" s="7" t="s">
        <v>17057</v>
      </c>
      <c r="L8213" s="198" t="s">
        <v>65</v>
      </c>
      <c r="M8213" s="194"/>
      <c r="N8213" s="194"/>
    </row>
    <row r="8214">
      <c r="A8214" s="193" t="s">
        <v>28646</v>
      </c>
      <c r="B8214" s="7" t="s">
        <v>169</v>
      </c>
      <c r="C8214" s="7" t="s">
        <v>17442</v>
      </c>
      <c r="D8214" s="199"/>
      <c r="E8214" s="193"/>
      <c r="F8214" s="195" t="s">
        <v>28647</v>
      </c>
      <c r="G8214" s="196">
        <v>2904486.0</v>
      </c>
      <c r="H8214" s="197">
        <v>1.6145</v>
      </c>
      <c r="I8214" s="7" t="s">
        <v>16815</v>
      </c>
      <c r="J8214" s="7" t="s">
        <v>169</v>
      </c>
      <c r="K8214" s="7" t="s">
        <v>17442</v>
      </c>
      <c r="L8214" s="198" t="s">
        <v>65</v>
      </c>
      <c r="M8214" s="199"/>
      <c r="N8214" s="199"/>
    </row>
    <row r="8215">
      <c r="A8215" s="193" t="s">
        <v>28648</v>
      </c>
      <c r="B8215" s="7" t="s">
        <v>17629</v>
      </c>
      <c r="C8215" s="7" t="s">
        <v>16899</v>
      </c>
      <c r="D8215" s="194">
        <v>2018.0</v>
      </c>
      <c r="E8215" s="193"/>
      <c r="F8215" s="195" t="s">
        <v>28649</v>
      </c>
      <c r="G8215" s="196">
        <v>2879200.0</v>
      </c>
      <c r="H8215" s="197">
        <v>0.048</v>
      </c>
      <c r="I8215" s="7" t="s">
        <v>16815</v>
      </c>
      <c r="J8215" s="7" t="s">
        <v>17629</v>
      </c>
      <c r="K8215" s="7" t="s">
        <v>16899</v>
      </c>
      <c r="L8215" s="198" t="s">
        <v>65</v>
      </c>
      <c r="M8215" s="194"/>
      <c r="N8215" s="194"/>
    </row>
    <row r="8216">
      <c r="A8216" s="193" t="s">
        <v>28650</v>
      </c>
      <c r="B8216" s="7" t="s">
        <v>187</v>
      </c>
      <c r="C8216" s="7" t="s">
        <v>16851</v>
      </c>
      <c r="D8216" s="194">
        <v>2021.0</v>
      </c>
      <c r="E8216" s="193"/>
      <c r="F8216" s="195" t="s">
        <v>28651</v>
      </c>
      <c r="G8216" s="196">
        <v>2871005.0</v>
      </c>
      <c r="H8216" s="197">
        <v>8.27</v>
      </c>
      <c r="I8216" s="7" t="s">
        <v>16815</v>
      </c>
      <c r="J8216" s="7" t="s">
        <v>187</v>
      </c>
      <c r="K8216" s="7" t="s">
        <v>16851</v>
      </c>
      <c r="L8216" s="198" t="s">
        <v>65</v>
      </c>
      <c r="M8216" s="194"/>
      <c r="N8216" s="194"/>
    </row>
    <row r="8217">
      <c r="A8217" s="193" t="s">
        <v>28652</v>
      </c>
      <c r="B8217" s="7" t="s">
        <v>175</v>
      </c>
      <c r="C8217" s="7" t="s">
        <v>16972</v>
      </c>
      <c r="D8217" s="199"/>
      <c r="E8217" s="193"/>
      <c r="F8217" s="195" t="s">
        <v>28653</v>
      </c>
      <c r="G8217" s="196">
        <v>2868229.0</v>
      </c>
      <c r="H8217" s="197">
        <v>0.0426</v>
      </c>
      <c r="I8217" s="7" t="s">
        <v>16908</v>
      </c>
      <c r="J8217" s="7" t="s">
        <v>175</v>
      </c>
      <c r="K8217" s="7" t="s">
        <v>16972</v>
      </c>
      <c r="L8217" s="198" t="s">
        <v>65</v>
      </c>
      <c r="M8217" s="199"/>
      <c r="N8217" s="199"/>
    </row>
    <row r="8218">
      <c r="A8218" s="193" t="s">
        <v>28654</v>
      </c>
      <c r="B8218" s="7" t="s">
        <v>16885</v>
      </c>
      <c r="C8218" s="7" t="s">
        <v>17726</v>
      </c>
      <c r="D8218" s="199"/>
      <c r="E8218" s="193"/>
      <c r="F8218" s="195" t="s">
        <v>28655</v>
      </c>
      <c r="G8218" s="196">
        <v>2856336.0</v>
      </c>
      <c r="H8218" s="197">
        <v>0.034</v>
      </c>
      <c r="I8218" s="7" t="s">
        <v>16826</v>
      </c>
      <c r="J8218" s="7" t="s">
        <v>16885</v>
      </c>
      <c r="K8218" s="7" t="s">
        <v>17726</v>
      </c>
      <c r="L8218" s="198" t="s">
        <v>65</v>
      </c>
      <c r="M8218" s="199"/>
      <c r="N8218" s="199"/>
    </row>
    <row r="8219">
      <c r="A8219" s="193" t="s">
        <v>28656</v>
      </c>
      <c r="B8219" s="7" t="s">
        <v>187</v>
      </c>
      <c r="C8219" s="7" t="s">
        <v>16846</v>
      </c>
      <c r="D8219" s="194">
        <v>2015.0</v>
      </c>
      <c r="E8219" s="193"/>
      <c r="F8219" s="195" t="s">
        <v>28657</v>
      </c>
      <c r="G8219" s="196">
        <v>2803903.0</v>
      </c>
      <c r="H8219" s="197">
        <v>0.77</v>
      </c>
      <c r="I8219" s="7" t="s">
        <v>16815</v>
      </c>
      <c r="J8219" s="7" t="s">
        <v>187</v>
      </c>
      <c r="K8219" s="7" t="s">
        <v>16846</v>
      </c>
      <c r="L8219" s="198" t="s">
        <v>65</v>
      </c>
      <c r="M8219" s="194"/>
      <c r="N8219" s="194"/>
    </row>
    <row r="8220">
      <c r="A8220" s="193" t="s">
        <v>28658</v>
      </c>
      <c r="B8220" s="7" t="s">
        <v>187</v>
      </c>
      <c r="C8220" s="7" t="s">
        <v>16858</v>
      </c>
      <c r="D8220" s="194">
        <v>2021.0</v>
      </c>
      <c r="E8220" s="193"/>
      <c r="F8220" s="195" t="s">
        <v>28659</v>
      </c>
      <c r="G8220" s="196">
        <v>2800646.0</v>
      </c>
      <c r="H8220" s="197">
        <v>1.2916</v>
      </c>
      <c r="I8220" s="7" t="s">
        <v>16815</v>
      </c>
      <c r="J8220" s="7" t="s">
        <v>187</v>
      </c>
      <c r="K8220" s="7" t="s">
        <v>16858</v>
      </c>
      <c r="L8220" s="198" t="s">
        <v>65</v>
      </c>
      <c r="M8220" s="194"/>
      <c r="N8220" s="194"/>
    </row>
    <row r="8221">
      <c r="A8221" s="193" t="s">
        <v>28660</v>
      </c>
      <c r="B8221" s="7" t="s">
        <v>175</v>
      </c>
      <c r="C8221" s="7" t="s">
        <v>17812</v>
      </c>
      <c r="D8221" s="199"/>
      <c r="E8221" s="193"/>
      <c r="F8221" s="195" t="s">
        <v>28661</v>
      </c>
      <c r="G8221" s="196">
        <v>2799950.0</v>
      </c>
      <c r="H8221" s="197">
        <v>0.4999</v>
      </c>
      <c r="I8221" s="7" t="s">
        <v>17270</v>
      </c>
      <c r="J8221" s="7" t="s">
        <v>175</v>
      </c>
      <c r="K8221" s="7" t="s">
        <v>17812</v>
      </c>
      <c r="L8221" s="198" t="s">
        <v>65</v>
      </c>
      <c r="M8221" s="199"/>
      <c r="N8221" s="199"/>
    </row>
    <row r="8222">
      <c r="A8222" s="193" t="s">
        <v>28662</v>
      </c>
      <c r="B8222" s="7" t="s">
        <v>175</v>
      </c>
      <c r="C8222" s="7" t="s">
        <v>17218</v>
      </c>
      <c r="D8222" s="194">
        <v>2021.0</v>
      </c>
      <c r="E8222" s="193"/>
      <c r="F8222" s="195" t="s">
        <v>28663</v>
      </c>
      <c r="G8222" s="196">
        <v>2793948.0</v>
      </c>
      <c r="H8222" s="197">
        <v>1.31</v>
      </c>
      <c r="I8222" s="7" t="s">
        <v>168</v>
      </c>
      <c r="J8222" s="7" t="s">
        <v>175</v>
      </c>
      <c r="K8222" s="7" t="s">
        <v>17218</v>
      </c>
      <c r="L8222" s="198" t="s">
        <v>65</v>
      </c>
      <c r="M8222" s="194"/>
      <c r="N8222" s="194"/>
    </row>
    <row r="8223">
      <c r="A8223" s="193" t="s">
        <v>28664</v>
      </c>
      <c r="B8223" s="7" t="s">
        <v>16582</v>
      </c>
      <c r="C8223" s="7" t="s">
        <v>17435</v>
      </c>
      <c r="D8223" s="194">
        <v>2022.0</v>
      </c>
      <c r="E8223" s="193"/>
      <c r="F8223" s="195" t="s">
        <v>28665</v>
      </c>
      <c r="G8223" s="196">
        <v>2787477.0</v>
      </c>
      <c r="H8223" s="197">
        <v>0.3399</v>
      </c>
      <c r="I8223" s="7" t="s">
        <v>16815</v>
      </c>
      <c r="J8223" s="7" t="s">
        <v>16582</v>
      </c>
      <c r="K8223" s="7" t="s">
        <v>17435</v>
      </c>
      <c r="L8223" s="198" t="s">
        <v>65</v>
      </c>
      <c r="M8223" s="194"/>
      <c r="N8223" s="194"/>
    </row>
    <row r="8224">
      <c r="A8224" s="193" t="s">
        <v>28666</v>
      </c>
      <c r="B8224" s="7" t="s">
        <v>187</v>
      </c>
      <c r="C8224" s="7" t="s">
        <v>16846</v>
      </c>
      <c r="D8224" s="199"/>
      <c r="E8224" s="193"/>
      <c r="F8224" s="195" t="s">
        <v>28667</v>
      </c>
      <c r="G8224" s="196">
        <v>2747430.0</v>
      </c>
      <c r="H8224" s="197">
        <v>1.2999</v>
      </c>
      <c r="I8224" s="7" t="s">
        <v>16815</v>
      </c>
      <c r="J8224" s="7" t="s">
        <v>187</v>
      </c>
      <c r="K8224" s="7" t="s">
        <v>16846</v>
      </c>
      <c r="L8224" s="198" t="s">
        <v>65</v>
      </c>
      <c r="M8224" s="199"/>
      <c r="N8224" s="199"/>
    </row>
    <row r="8225">
      <c r="A8225" s="193" t="s">
        <v>28668</v>
      </c>
      <c r="B8225" s="7" t="s">
        <v>187</v>
      </c>
      <c r="C8225" s="7" t="s">
        <v>16851</v>
      </c>
      <c r="D8225" s="194">
        <v>2022.0</v>
      </c>
      <c r="E8225" s="193"/>
      <c r="F8225" s="195" t="s">
        <v>28669</v>
      </c>
      <c r="G8225" s="196">
        <v>2714345.0</v>
      </c>
      <c r="H8225" s="197">
        <v>0.365</v>
      </c>
      <c r="I8225" s="7" t="s">
        <v>16815</v>
      </c>
      <c r="J8225" s="7" t="s">
        <v>187</v>
      </c>
      <c r="K8225" s="7" t="s">
        <v>16851</v>
      </c>
      <c r="L8225" s="198" t="s">
        <v>65</v>
      </c>
      <c r="M8225" s="194"/>
      <c r="N8225" s="194"/>
    </row>
    <row r="8226">
      <c r="A8226" s="193" t="s">
        <v>28670</v>
      </c>
      <c r="B8226" s="7" t="s">
        <v>187</v>
      </c>
      <c r="C8226" s="7" t="s">
        <v>16846</v>
      </c>
      <c r="D8226" s="199"/>
      <c r="E8226" s="193"/>
      <c r="F8226" s="195" t="s">
        <v>28671</v>
      </c>
      <c r="G8226" s="196">
        <v>2710703.0</v>
      </c>
      <c r="H8226" s="197">
        <v>0.335</v>
      </c>
      <c r="I8226" s="7" t="s">
        <v>16815</v>
      </c>
      <c r="J8226" s="7" t="s">
        <v>187</v>
      </c>
      <c r="K8226" s="7" t="s">
        <v>16846</v>
      </c>
      <c r="L8226" s="198" t="s">
        <v>65</v>
      </c>
      <c r="M8226" s="199"/>
      <c r="N8226" s="199"/>
    </row>
    <row r="8227">
      <c r="A8227" s="193" t="s">
        <v>28672</v>
      </c>
      <c r="B8227" s="7" t="s">
        <v>16582</v>
      </c>
      <c r="C8227" s="7" t="s">
        <v>16817</v>
      </c>
      <c r="D8227" s="199"/>
      <c r="E8227" s="193"/>
      <c r="F8227" s="195" t="s">
        <v>28673</v>
      </c>
      <c r="G8227" s="196">
        <v>2707442.0</v>
      </c>
      <c r="H8227" s="197">
        <v>0.0395</v>
      </c>
      <c r="I8227" s="7" t="s">
        <v>16815</v>
      </c>
      <c r="J8227" s="7" t="s">
        <v>16582</v>
      </c>
      <c r="K8227" s="7" t="s">
        <v>16817</v>
      </c>
      <c r="L8227" s="198" t="s">
        <v>65</v>
      </c>
      <c r="M8227" s="199"/>
      <c r="N8227" s="199"/>
    </row>
    <row r="8228">
      <c r="A8228" s="193" t="s">
        <v>28674</v>
      </c>
      <c r="B8228" s="7" t="s">
        <v>187</v>
      </c>
      <c r="C8228" s="7" t="s">
        <v>16846</v>
      </c>
      <c r="D8228" s="194">
        <v>2021.0</v>
      </c>
      <c r="E8228" s="193"/>
      <c r="F8228" s="195" t="s">
        <v>28675</v>
      </c>
      <c r="G8228" s="196">
        <v>2672311.0</v>
      </c>
      <c r="H8228" s="197">
        <v>2.5618</v>
      </c>
      <c r="I8228" s="7" t="s">
        <v>16815</v>
      </c>
      <c r="J8228" s="7" t="s">
        <v>187</v>
      </c>
      <c r="K8228" s="7" t="s">
        <v>16846</v>
      </c>
      <c r="L8228" s="198" t="s">
        <v>65</v>
      </c>
      <c r="M8228" s="194"/>
      <c r="N8228" s="194"/>
    </row>
    <row r="8229">
      <c r="A8229" s="193" t="s">
        <v>28676</v>
      </c>
      <c r="B8229" s="7" t="s">
        <v>169</v>
      </c>
      <c r="C8229" s="7" t="s">
        <v>17827</v>
      </c>
      <c r="D8229" s="199"/>
      <c r="E8229" s="193"/>
      <c r="F8229" s="195" t="s">
        <v>28677</v>
      </c>
      <c r="G8229" s="196">
        <v>2671171.0</v>
      </c>
      <c r="H8229" s="197">
        <v>0.0195</v>
      </c>
      <c r="I8229" s="7" t="s">
        <v>16815</v>
      </c>
      <c r="J8229" s="7" t="s">
        <v>169</v>
      </c>
      <c r="K8229" s="7" t="s">
        <v>17827</v>
      </c>
      <c r="L8229" s="198" t="s">
        <v>65</v>
      </c>
      <c r="M8229" s="199"/>
      <c r="N8229" s="199"/>
    </row>
    <row r="8230">
      <c r="A8230" s="193" t="s">
        <v>28678</v>
      </c>
      <c r="B8230" s="7" t="s">
        <v>187</v>
      </c>
      <c r="C8230" s="7" t="s">
        <v>16846</v>
      </c>
      <c r="D8230" s="194">
        <v>2018.0</v>
      </c>
      <c r="E8230" s="193"/>
      <c r="F8230" s="195" t="s">
        <v>28679</v>
      </c>
      <c r="G8230" s="196">
        <v>2630839.0</v>
      </c>
      <c r="H8230" s="197">
        <v>2.16</v>
      </c>
      <c r="I8230" s="7" t="s">
        <v>16815</v>
      </c>
      <c r="J8230" s="7" t="s">
        <v>187</v>
      </c>
      <c r="K8230" s="7" t="s">
        <v>16846</v>
      </c>
      <c r="L8230" s="198" t="s">
        <v>65</v>
      </c>
      <c r="M8230" s="194"/>
      <c r="N8230" s="194"/>
    </row>
    <row r="8231">
      <c r="A8231" s="193" t="s">
        <v>28680</v>
      </c>
      <c r="B8231" s="7" t="s">
        <v>187</v>
      </c>
      <c r="C8231" s="7" t="s">
        <v>16992</v>
      </c>
      <c r="D8231" s="199"/>
      <c r="E8231" s="193"/>
      <c r="F8231" s="195" t="s">
        <v>28681</v>
      </c>
      <c r="G8231" s="196">
        <v>2628547.0</v>
      </c>
      <c r="H8231" s="197">
        <v>0.2586</v>
      </c>
      <c r="I8231" s="7" t="s">
        <v>16815</v>
      </c>
      <c r="J8231" s="7" t="s">
        <v>187</v>
      </c>
      <c r="K8231" s="7" t="s">
        <v>16992</v>
      </c>
      <c r="L8231" s="198" t="s">
        <v>65</v>
      </c>
      <c r="M8231" s="199"/>
      <c r="N8231" s="199"/>
    </row>
    <row r="8232">
      <c r="A8232" s="193" t="s">
        <v>28682</v>
      </c>
      <c r="B8232" s="7" t="s">
        <v>16885</v>
      </c>
      <c r="C8232" s="7" t="s">
        <v>17726</v>
      </c>
      <c r="D8232" s="199"/>
      <c r="E8232" s="193"/>
      <c r="F8232" s="195" t="s">
        <v>28683</v>
      </c>
      <c r="G8232" s="196">
        <v>2627727.0</v>
      </c>
      <c r="H8232" s="197">
        <v>0.013</v>
      </c>
      <c r="I8232" s="7" t="s">
        <v>17372</v>
      </c>
      <c r="J8232" s="7" t="s">
        <v>16885</v>
      </c>
      <c r="K8232" s="7" t="s">
        <v>17726</v>
      </c>
      <c r="L8232" s="198" t="s">
        <v>65</v>
      </c>
      <c r="M8232" s="199"/>
      <c r="N8232" s="199"/>
    </row>
    <row r="8233">
      <c r="A8233" s="193" t="s">
        <v>28684</v>
      </c>
      <c r="B8233" s="7" t="s">
        <v>187</v>
      </c>
      <c r="C8233" s="7" t="s">
        <v>16846</v>
      </c>
      <c r="D8233" s="199"/>
      <c r="E8233" s="193"/>
      <c r="F8233" s="195" t="s">
        <v>28685</v>
      </c>
      <c r="G8233" s="196">
        <v>2603707.0</v>
      </c>
      <c r="H8233" s="197">
        <v>1.495</v>
      </c>
      <c r="I8233" s="7" t="s">
        <v>16815</v>
      </c>
      <c r="J8233" s="7" t="s">
        <v>187</v>
      </c>
      <c r="K8233" s="7" t="s">
        <v>16846</v>
      </c>
      <c r="L8233" s="198" t="s">
        <v>65</v>
      </c>
      <c r="M8233" s="199"/>
      <c r="N8233" s="199"/>
    </row>
    <row r="8234">
      <c r="A8234" s="193" t="s">
        <v>28686</v>
      </c>
      <c r="B8234" s="7" t="s">
        <v>16582</v>
      </c>
      <c r="C8234" s="7" t="s">
        <v>16817</v>
      </c>
      <c r="D8234" s="199"/>
      <c r="E8234" s="193"/>
      <c r="F8234" s="195" t="s">
        <v>28687</v>
      </c>
      <c r="G8234" s="196">
        <v>2573796.0</v>
      </c>
      <c r="H8234" s="197">
        <v>0.15</v>
      </c>
      <c r="I8234" s="7" t="s">
        <v>16815</v>
      </c>
      <c r="J8234" s="7" t="s">
        <v>16582</v>
      </c>
      <c r="K8234" s="7" t="s">
        <v>16817</v>
      </c>
      <c r="L8234" s="198" t="s">
        <v>65</v>
      </c>
      <c r="M8234" s="199"/>
      <c r="N8234" s="199"/>
    </row>
    <row r="8235">
      <c r="A8235" s="193" t="s">
        <v>28688</v>
      </c>
      <c r="B8235" s="7" t="s">
        <v>169</v>
      </c>
      <c r="C8235" s="7" t="s">
        <v>16851</v>
      </c>
      <c r="D8235" s="199"/>
      <c r="E8235" s="193"/>
      <c r="F8235" s="195" t="s">
        <v>28689</v>
      </c>
      <c r="G8235" s="196">
        <v>2556767.0</v>
      </c>
      <c r="H8235" s="197">
        <v>1.03</v>
      </c>
      <c r="I8235" s="7" t="s">
        <v>16815</v>
      </c>
      <c r="J8235" s="7" t="s">
        <v>169</v>
      </c>
      <c r="K8235" s="7" t="s">
        <v>16851</v>
      </c>
      <c r="L8235" s="198" t="s">
        <v>65</v>
      </c>
      <c r="M8235" s="199"/>
      <c r="N8235" s="199"/>
    </row>
    <row r="8236">
      <c r="A8236" s="193" t="s">
        <v>28690</v>
      </c>
      <c r="B8236" s="7" t="s">
        <v>16838</v>
      </c>
      <c r="C8236" s="7" t="s">
        <v>18219</v>
      </c>
      <c r="D8236" s="199"/>
      <c r="E8236" s="193"/>
      <c r="F8236" s="195" t="s">
        <v>28691</v>
      </c>
      <c r="G8236" s="196">
        <v>2521877.0</v>
      </c>
      <c r="H8236" s="197">
        <v>0.0271</v>
      </c>
      <c r="I8236" s="7" t="s">
        <v>16815</v>
      </c>
      <c r="J8236" s="7" t="s">
        <v>16838</v>
      </c>
      <c r="K8236" s="7" t="s">
        <v>18219</v>
      </c>
      <c r="L8236" s="198" t="s">
        <v>65</v>
      </c>
      <c r="M8236" s="199"/>
      <c r="N8236" s="199"/>
    </row>
    <row r="8237">
      <c r="A8237" s="193" t="s">
        <v>28692</v>
      </c>
      <c r="B8237" s="7" t="s">
        <v>16582</v>
      </c>
      <c r="C8237" s="7" t="s">
        <v>16817</v>
      </c>
      <c r="D8237" s="199"/>
      <c r="E8237" s="193"/>
      <c r="F8237" s="195" t="s">
        <v>28693</v>
      </c>
      <c r="G8237" s="196">
        <v>2490858.0</v>
      </c>
      <c r="H8237" s="197">
        <v>1.28</v>
      </c>
      <c r="I8237" s="7" t="s">
        <v>16815</v>
      </c>
      <c r="J8237" s="7" t="s">
        <v>16582</v>
      </c>
      <c r="K8237" s="7" t="s">
        <v>16817</v>
      </c>
      <c r="L8237" s="198" t="s">
        <v>65</v>
      </c>
      <c r="M8237" s="199"/>
      <c r="N8237" s="199"/>
    </row>
    <row r="8238">
      <c r="A8238" s="193" t="s">
        <v>28694</v>
      </c>
      <c r="B8238" s="7" t="s">
        <v>16838</v>
      </c>
      <c r="C8238" s="7" t="s">
        <v>17104</v>
      </c>
      <c r="D8238" s="199"/>
      <c r="E8238" s="193"/>
      <c r="F8238" s="195" t="s">
        <v>28695</v>
      </c>
      <c r="G8238" s="196">
        <v>2487827.0</v>
      </c>
      <c r="H8238" s="197">
        <v>1.17</v>
      </c>
      <c r="I8238" s="7" t="s">
        <v>16815</v>
      </c>
      <c r="J8238" s="7" t="s">
        <v>16838</v>
      </c>
      <c r="K8238" s="7" t="s">
        <v>17104</v>
      </c>
      <c r="L8238" s="198" t="s">
        <v>65</v>
      </c>
      <c r="M8238" s="199"/>
      <c r="N8238" s="199"/>
    </row>
    <row r="8239">
      <c r="A8239" s="193" t="s">
        <v>28696</v>
      </c>
      <c r="B8239" s="7" t="s">
        <v>187</v>
      </c>
      <c r="C8239" s="7" t="s">
        <v>16969</v>
      </c>
      <c r="D8239" s="199"/>
      <c r="E8239" s="193"/>
      <c r="F8239" s="195" t="s">
        <v>28697</v>
      </c>
      <c r="G8239" s="196">
        <v>2469971.0</v>
      </c>
      <c r="H8239" s="197">
        <v>0.5798</v>
      </c>
      <c r="I8239" s="7" t="s">
        <v>16815</v>
      </c>
      <c r="J8239" s="7" t="s">
        <v>187</v>
      </c>
      <c r="K8239" s="7" t="s">
        <v>16969</v>
      </c>
      <c r="L8239" s="198" t="s">
        <v>65</v>
      </c>
      <c r="M8239" s="199"/>
      <c r="N8239" s="199"/>
    </row>
    <row r="8240">
      <c r="A8240" s="193" t="s">
        <v>28698</v>
      </c>
      <c r="B8240" s="7" t="s">
        <v>16582</v>
      </c>
      <c r="C8240" s="7" t="s">
        <v>16817</v>
      </c>
      <c r="D8240" s="199"/>
      <c r="E8240" s="193"/>
      <c r="F8240" s="195" t="s">
        <v>28699</v>
      </c>
      <c r="G8240" s="196">
        <v>2401896.0</v>
      </c>
      <c r="H8240" s="197">
        <v>0.15</v>
      </c>
      <c r="I8240" s="7" t="s">
        <v>16815</v>
      </c>
      <c r="J8240" s="7" t="s">
        <v>16582</v>
      </c>
      <c r="K8240" s="7" t="s">
        <v>16817</v>
      </c>
      <c r="L8240" s="198" t="s">
        <v>65</v>
      </c>
      <c r="M8240" s="199"/>
      <c r="N8240" s="199"/>
    </row>
    <row r="8241">
      <c r="A8241" s="193" t="s">
        <v>28700</v>
      </c>
      <c r="B8241" s="7" t="s">
        <v>187</v>
      </c>
      <c r="C8241" s="7" t="s">
        <v>16846</v>
      </c>
      <c r="D8241" s="199"/>
      <c r="E8241" s="193"/>
      <c r="F8241" s="195" t="s">
        <v>28701</v>
      </c>
      <c r="G8241" s="196">
        <v>2399604.0</v>
      </c>
      <c r="H8241" s="197">
        <v>1.08</v>
      </c>
      <c r="I8241" s="7" t="s">
        <v>16815</v>
      </c>
      <c r="J8241" s="7" t="s">
        <v>187</v>
      </c>
      <c r="K8241" s="7" t="s">
        <v>16846</v>
      </c>
      <c r="L8241" s="198" t="s">
        <v>65</v>
      </c>
      <c r="M8241" s="199"/>
      <c r="N8241" s="199"/>
    </row>
    <row r="8242">
      <c r="A8242" s="193" t="s">
        <v>28702</v>
      </c>
      <c r="B8242" s="7" t="s">
        <v>175</v>
      </c>
      <c r="C8242" s="7" t="s">
        <v>16957</v>
      </c>
      <c r="D8242" s="199"/>
      <c r="E8242" s="193"/>
      <c r="F8242" s="195" t="s">
        <v>28703</v>
      </c>
      <c r="G8242" s="196">
        <v>2395087.0</v>
      </c>
      <c r="H8242" s="197">
        <v>0.8925</v>
      </c>
      <c r="I8242" s="7" t="s">
        <v>16908</v>
      </c>
      <c r="J8242" s="7" t="s">
        <v>175</v>
      </c>
      <c r="K8242" s="7" t="s">
        <v>16957</v>
      </c>
      <c r="L8242" s="198" t="s">
        <v>65</v>
      </c>
      <c r="M8242" s="199"/>
      <c r="N8242" s="199"/>
    </row>
    <row r="8243">
      <c r="A8243" s="193" t="s">
        <v>28704</v>
      </c>
      <c r="B8243" s="7" t="s">
        <v>16582</v>
      </c>
      <c r="C8243" s="7" t="s">
        <v>16930</v>
      </c>
      <c r="D8243" s="199"/>
      <c r="E8243" s="193"/>
      <c r="F8243" s="195" t="s">
        <v>28705</v>
      </c>
      <c r="G8243" s="196">
        <v>2391544.0</v>
      </c>
      <c r="H8243" s="197">
        <v>4.44</v>
      </c>
      <c r="I8243" s="7" t="s">
        <v>16815</v>
      </c>
      <c r="J8243" s="7" t="s">
        <v>16582</v>
      </c>
      <c r="K8243" s="7" t="s">
        <v>16930</v>
      </c>
      <c r="L8243" s="198" t="s">
        <v>65</v>
      </c>
      <c r="M8243" s="199"/>
      <c r="N8243" s="199"/>
    </row>
    <row r="8244">
      <c r="A8244" s="193" t="s">
        <v>28706</v>
      </c>
      <c r="D8244" s="199"/>
      <c r="E8244" s="193"/>
      <c r="F8244" s="195" t="s">
        <v>28707</v>
      </c>
      <c r="G8244" s="196">
        <v>2374279.0</v>
      </c>
      <c r="H8244" s="197">
        <v>0.0242</v>
      </c>
      <c r="I8244" s="7" t="s">
        <v>16815</v>
      </c>
      <c r="L8244" s="198" t="s">
        <v>65</v>
      </c>
      <c r="M8244" s="199"/>
      <c r="N8244" s="199"/>
    </row>
    <row r="8245">
      <c r="A8245" s="193" t="s">
        <v>28708</v>
      </c>
      <c r="B8245" s="7" t="s">
        <v>16838</v>
      </c>
      <c r="C8245" s="7" t="s">
        <v>17016</v>
      </c>
      <c r="D8245" s="194">
        <v>2021.0</v>
      </c>
      <c r="E8245" s="193"/>
      <c r="F8245" s="195" t="s">
        <v>28709</v>
      </c>
      <c r="G8245" s="196">
        <v>2368784.0</v>
      </c>
      <c r="H8245" s="197">
        <v>0.0512</v>
      </c>
      <c r="I8245" s="7" t="s">
        <v>16815</v>
      </c>
      <c r="J8245" s="7" t="s">
        <v>16838</v>
      </c>
      <c r="K8245" s="7" t="s">
        <v>17016</v>
      </c>
      <c r="L8245" s="198" t="s">
        <v>65</v>
      </c>
      <c r="M8245" s="194"/>
      <c r="N8245" s="194"/>
    </row>
    <row r="8246">
      <c r="A8246" s="193" t="s">
        <v>28710</v>
      </c>
      <c r="B8246" s="7" t="s">
        <v>175</v>
      </c>
      <c r="C8246" s="7" t="s">
        <v>16972</v>
      </c>
      <c r="D8246" s="194">
        <v>2023.0</v>
      </c>
      <c r="E8246" s="193"/>
      <c r="F8246" s="195" t="s">
        <v>28711</v>
      </c>
      <c r="G8246" s="196">
        <v>2344720.0</v>
      </c>
      <c r="H8246" s="197">
        <v>0.632</v>
      </c>
      <c r="I8246" s="7" t="s">
        <v>16908</v>
      </c>
      <c r="J8246" s="7" t="s">
        <v>175</v>
      </c>
      <c r="K8246" s="7" t="s">
        <v>16972</v>
      </c>
      <c r="L8246" s="198" t="s">
        <v>65</v>
      </c>
      <c r="M8246" s="194"/>
      <c r="N8246" s="194"/>
    </row>
    <row r="8247">
      <c r="A8247" s="193" t="s">
        <v>28712</v>
      </c>
      <c r="B8247" s="7" t="s">
        <v>187</v>
      </c>
      <c r="C8247" s="7" t="s">
        <v>16846</v>
      </c>
      <c r="D8247" s="199"/>
      <c r="E8247" s="193"/>
      <c r="F8247" s="195" t="s">
        <v>28713</v>
      </c>
      <c r="G8247" s="196">
        <v>2342982.0</v>
      </c>
      <c r="H8247" s="197">
        <v>0.806</v>
      </c>
      <c r="I8247" s="7" t="s">
        <v>16815</v>
      </c>
      <c r="J8247" s="7" t="s">
        <v>187</v>
      </c>
      <c r="K8247" s="7" t="s">
        <v>16846</v>
      </c>
      <c r="L8247" s="198" t="s">
        <v>65</v>
      </c>
      <c r="M8247" s="199"/>
      <c r="N8247" s="199"/>
    </row>
    <row r="8248">
      <c r="A8248" s="193" t="s">
        <v>28714</v>
      </c>
      <c r="B8248" s="7" t="s">
        <v>17112</v>
      </c>
      <c r="C8248" s="7" t="s">
        <v>17111</v>
      </c>
      <c r="D8248" s="194">
        <v>1998.0</v>
      </c>
      <c r="E8248" s="193"/>
      <c r="F8248" s="195" t="s">
        <v>28715</v>
      </c>
      <c r="G8248" s="196">
        <v>2340900.0</v>
      </c>
      <c r="H8248" s="197">
        <v>0.6906</v>
      </c>
      <c r="I8248" s="7" t="s">
        <v>16815</v>
      </c>
      <c r="J8248" s="7" t="s">
        <v>17112</v>
      </c>
      <c r="K8248" s="7" t="s">
        <v>17111</v>
      </c>
      <c r="L8248" s="198" t="s">
        <v>65</v>
      </c>
      <c r="M8248" s="194"/>
      <c r="N8248" s="194"/>
    </row>
    <row r="8249">
      <c r="A8249" s="193" t="s">
        <v>28714</v>
      </c>
      <c r="B8249" s="202" t="s">
        <v>17111</v>
      </c>
      <c r="C8249" s="193" t="s">
        <v>17112</v>
      </c>
      <c r="D8249" s="193">
        <v>1998.0</v>
      </c>
      <c r="E8249" s="193"/>
      <c r="F8249" s="203" t="s">
        <v>28715</v>
      </c>
      <c r="G8249" s="200">
        <v>2340900.0</v>
      </c>
      <c r="H8249" s="205">
        <v>1.57</v>
      </c>
      <c r="I8249" s="206"/>
      <c r="J8249" s="202" t="s">
        <v>17111</v>
      </c>
      <c r="K8249" s="193" t="s">
        <v>17112</v>
      </c>
      <c r="L8249" s="193" t="s">
        <v>17471</v>
      </c>
      <c r="M8249" s="193"/>
      <c r="N8249" s="193"/>
    </row>
    <row r="8250">
      <c r="A8250" s="193" t="s">
        <v>28716</v>
      </c>
      <c r="B8250" s="7" t="s">
        <v>187</v>
      </c>
      <c r="C8250" s="7" t="s">
        <v>16858</v>
      </c>
      <c r="D8250" s="199"/>
      <c r="E8250" s="193"/>
      <c r="F8250" s="195" t="s">
        <v>28717</v>
      </c>
      <c r="G8250" s="196">
        <v>2329085.0</v>
      </c>
      <c r="H8250" s="197">
        <v>0.75</v>
      </c>
      <c r="I8250" s="7" t="s">
        <v>16815</v>
      </c>
      <c r="J8250" s="7" t="s">
        <v>187</v>
      </c>
      <c r="K8250" s="7" t="s">
        <v>16858</v>
      </c>
      <c r="L8250" s="198" t="s">
        <v>65</v>
      </c>
      <c r="M8250" s="199"/>
      <c r="N8250" s="199"/>
    </row>
    <row r="8251">
      <c r="A8251" s="193" t="s">
        <v>28718</v>
      </c>
      <c r="B8251" s="7" t="s">
        <v>187</v>
      </c>
      <c r="C8251" s="7" t="s">
        <v>16969</v>
      </c>
      <c r="D8251" s="194">
        <v>2018.0</v>
      </c>
      <c r="E8251" s="193"/>
      <c r="F8251" s="195" t="s">
        <v>28719</v>
      </c>
      <c r="G8251" s="196">
        <v>2308100.0</v>
      </c>
      <c r="H8251" s="197">
        <v>0.43</v>
      </c>
      <c r="I8251" s="7" t="s">
        <v>16815</v>
      </c>
      <c r="J8251" s="7" t="s">
        <v>187</v>
      </c>
      <c r="K8251" s="7" t="s">
        <v>16969</v>
      </c>
      <c r="L8251" s="198" t="s">
        <v>65</v>
      </c>
      <c r="M8251" s="194"/>
      <c r="N8251" s="194"/>
    </row>
    <row r="8252">
      <c r="A8252" s="193" t="s">
        <v>28718</v>
      </c>
      <c r="B8252" s="202" t="s">
        <v>16969</v>
      </c>
      <c r="C8252" s="193" t="s">
        <v>187</v>
      </c>
      <c r="D8252" s="193">
        <v>2018.0</v>
      </c>
      <c r="E8252" s="193"/>
      <c r="F8252" s="203" t="s">
        <v>28719</v>
      </c>
      <c r="G8252" s="200">
        <v>2308100.0</v>
      </c>
      <c r="H8252" s="205">
        <v>0.6906</v>
      </c>
      <c r="I8252" s="206"/>
      <c r="J8252" s="202" t="s">
        <v>16969</v>
      </c>
      <c r="K8252" s="193" t="s">
        <v>187</v>
      </c>
      <c r="L8252" s="193" t="s">
        <v>17471</v>
      </c>
      <c r="M8252" s="193"/>
      <c r="N8252" s="193"/>
    </row>
    <row r="8253">
      <c r="A8253" s="193" t="s">
        <v>28720</v>
      </c>
      <c r="B8253" s="7" t="s">
        <v>187</v>
      </c>
      <c r="C8253" s="7" t="s">
        <v>16846</v>
      </c>
      <c r="D8253" s="199"/>
      <c r="E8253" s="193"/>
      <c r="F8253" s="195" t="s">
        <v>28721</v>
      </c>
      <c r="G8253" s="196">
        <v>2292796.0</v>
      </c>
      <c r="H8253" s="197">
        <v>4.4</v>
      </c>
      <c r="I8253" s="7" t="s">
        <v>16815</v>
      </c>
      <c r="J8253" s="7" t="s">
        <v>187</v>
      </c>
      <c r="K8253" s="7" t="s">
        <v>16846</v>
      </c>
      <c r="L8253" s="198" t="s">
        <v>65</v>
      </c>
      <c r="M8253" s="199"/>
      <c r="N8253" s="199"/>
    </row>
    <row r="8254">
      <c r="A8254" s="193" t="s">
        <v>28722</v>
      </c>
      <c r="B8254" s="7" t="s">
        <v>187</v>
      </c>
      <c r="C8254" s="7" t="s">
        <v>16846</v>
      </c>
      <c r="D8254" s="199"/>
      <c r="E8254" s="193"/>
      <c r="F8254" s="195" t="s">
        <v>28723</v>
      </c>
      <c r="G8254" s="196">
        <v>2290952.0</v>
      </c>
      <c r="H8254" s="197">
        <v>0.8</v>
      </c>
      <c r="I8254" s="7" t="s">
        <v>16815</v>
      </c>
      <c r="J8254" s="7" t="s">
        <v>187</v>
      </c>
      <c r="K8254" s="7" t="s">
        <v>16846</v>
      </c>
      <c r="L8254" s="198" t="s">
        <v>65</v>
      </c>
      <c r="M8254" s="199"/>
      <c r="N8254" s="199"/>
    </row>
    <row r="8255">
      <c r="A8255" s="193" t="s">
        <v>28724</v>
      </c>
      <c r="B8255" s="7" t="s">
        <v>16582</v>
      </c>
      <c r="C8255" s="7" t="s">
        <v>17435</v>
      </c>
      <c r="D8255" s="194">
        <v>2022.0</v>
      </c>
      <c r="E8255" s="193"/>
      <c r="F8255" s="195" t="s">
        <v>28725</v>
      </c>
      <c r="G8255" s="196">
        <v>2279831.0</v>
      </c>
      <c r="H8255" s="197">
        <v>0.3564</v>
      </c>
      <c r="I8255" s="7" t="s">
        <v>16815</v>
      </c>
      <c r="J8255" s="7" t="s">
        <v>16582</v>
      </c>
      <c r="K8255" s="7" t="s">
        <v>17435</v>
      </c>
      <c r="L8255" s="198" t="s">
        <v>65</v>
      </c>
      <c r="M8255" s="194"/>
      <c r="N8255" s="194"/>
    </row>
    <row r="8256">
      <c r="A8256" s="193" t="s">
        <v>28724</v>
      </c>
      <c r="B8256" s="202" t="s">
        <v>17435</v>
      </c>
      <c r="C8256" s="193" t="s">
        <v>16582</v>
      </c>
      <c r="D8256" s="193">
        <v>2022.0</v>
      </c>
      <c r="E8256" s="193"/>
      <c r="F8256" s="203" t="s">
        <v>28725</v>
      </c>
      <c r="G8256" s="200">
        <v>2279831.0</v>
      </c>
      <c r="H8256" s="205">
        <v>0.43</v>
      </c>
      <c r="I8256" s="206"/>
      <c r="J8256" s="202" t="s">
        <v>17435</v>
      </c>
      <c r="K8256" s="193" t="s">
        <v>16582</v>
      </c>
      <c r="L8256" s="193" t="s">
        <v>17471</v>
      </c>
      <c r="M8256" s="193"/>
      <c r="N8256" s="193"/>
    </row>
    <row r="8257">
      <c r="A8257" s="193" t="s">
        <v>28726</v>
      </c>
      <c r="B8257" s="7" t="s">
        <v>187</v>
      </c>
      <c r="C8257" s="7" t="s">
        <v>17509</v>
      </c>
      <c r="D8257" s="199"/>
      <c r="E8257" s="193"/>
      <c r="F8257" s="195" t="s">
        <v>28727</v>
      </c>
      <c r="G8257" s="196">
        <v>2212778.0</v>
      </c>
      <c r="H8257" s="197">
        <v>1.67</v>
      </c>
      <c r="I8257" s="7" t="s">
        <v>16815</v>
      </c>
      <c r="J8257" s="7" t="s">
        <v>187</v>
      </c>
      <c r="K8257" s="7" t="s">
        <v>17509</v>
      </c>
      <c r="L8257" s="198" t="s">
        <v>65</v>
      </c>
      <c r="M8257" s="199"/>
      <c r="N8257" s="199"/>
    </row>
    <row r="8258">
      <c r="A8258" s="193" t="s">
        <v>28728</v>
      </c>
      <c r="B8258" s="7" t="s">
        <v>158</v>
      </c>
      <c r="C8258" s="7" t="s">
        <v>16870</v>
      </c>
      <c r="D8258" s="194">
        <v>2018.0</v>
      </c>
      <c r="E8258" s="193"/>
      <c r="F8258" s="195" t="s">
        <v>28729</v>
      </c>
      <c r="G8258" s="196">
        <v>2191755.0</v>
      </c>
      <c r="H8258" s="197">
        <v>0.02</v>
      </c>
      <c r="I8258" s="7" t="s">
        <v>17095</v>
      </c>
      <c r="J8258" s="7" t="s">
        <v>158</v>
      </c>
      <c r="K8258" s="7" t="s">
        <v>16870</v>
      </c>
      <c r="L8258" s="198" t="s">
        <v>65</v>
      </c>
      <c r="M8258" s="194"/>
      <c r="N8258" s="194"/>
    </row>
    <row r="8259">
      <c r="A8259" s="193" t="s">
        <v>28730</v>
      </c>
      <c r="B8259" s="7" t="s">
        <v>16582</v>
      </c>
      <c r="C8259" s="7" t="s">
        <v>16817</v>
      </c>
      <c r="D8259" s="199"/>
      <c r="E8259" s="193"/>
      <c r="F8259" s="195" t="s">
        <v>28731</v>
      </c>
      <c r="G8259" s="196">
        <v>2187500.0</v>
      </c>
      <c r="H8259" s="197">
        <v>1.04</v>
      </c>
      <c r="I8259" s="7" t="s">
        <v>16815</v>
      </c>
      <c r="J8259" s="7" t="s">
        <v>16582</v>
      </c>
      <c r="K8259" s="7" t="s">
        <v>16817</v>
      </c>
      <c r="L8259" s="198" t="s">
        <v>65</v>
      </c>
      <c r="M8259" s="199"/>
      <c r="N8259" s="199"/>
    </row>
    <row r="8260">
      <c r="A8260" s="193" t="s">
        <v>28732</v>
      </c>
      <c r="B8260" s="7" t="s">
        <v>16838</v>
      </c>
      <c r="C8260" s="7" t="s">
        <v>17104</v>
      </c>
      <c r="D8260" s="194">
        <v>2021.0</v>
      </c>
      <c r="E8260" s="193"/>
      <c r="F8260" s="195" t="s">
        <v>28733</v>
      </c>
      <c r="G8260" s="196">
        <v>2174400.0</v>
      </c>
      <c r="H8260" s="197">
        <v>0.72</v>
      </c>
      <c r="I8260" s="7" t="s">
        <v>16815</v>
      </c>
      <c r="J8260" s="7" t="s">
        <v>16838</v>
      </c>
      <c r="K8260" s="7" t="s">
        <v>17104</v>
      </c>
      <c r="L8260" s="198" t="s">
        <v>65</v>
      </c>
      <c r="M8260" s="194"/>
      <c r="N8260" s="194"/>
    </row>
    <row r="8261">
      <c r="A8261" s="193" t="s">
        <v>28734</v>
      </c>
      <c r="B8261" s="7" t="s">
        <v>175</v>
      </c>
      <c r="C8261" s="7" t="s">
        <v>17480</v>
      </c>
      <c r="D8261" s="199"/>
      <c r="E8261" s="193"/>
      <c r="F8261" s="195" t="s">
        <v>28735</v>
      </c>
      <c r="G8261" s="196">
        <v>2159334.0</v>
      </c>
      <c r="H8261" s="197">
        <v>2.78</v>
      </c>
      <c r="I8261" s="7" t="s">
        <v>168</v>
      </c>
      <c r="J8261" s="7" t="s">
        <v>175</v>
      </c>
      <c r="K8261" s="7" t="s">
        <v>17480</v>
      </c>
      <c r="L8261" s="198" t="s">
        <v>65</v>
      </c>
      <c r="M8261" s="199"/>
      <c r="N8261" s="199"/>
    </row>
    <row r="8262">
      <c r="A8262" s="193" t="s">
        <v>28736</v>
      </c>
      <c r="B8262" s="7" t="s">
        <v>187</v>
      </c>
      <c r="C8262" s="7" t="s">
        <v>16846</v>
      </c>
      <c r="D8262" s="194">
        <v>2017.0</v>
      </c>
      <c r="E8262" s="193"/>
      <c r="F8262" s="195" t="s">
        <v>28737</v>
      </c>
      <c r="G8262" s="196">
        <v>2153091.0</v>
      </c>
      <c r="H8262" s="197">
        <v>0.4049</v>
      </c>
      <c r="I8262" s="7" t="s">
        <v>16815</v>
      </c>
      <c r="J8262" s="7" t="s">
        <v>187</v>
      </c>
      <c r="K8262" s="7" t="s">
        <v>16846</v>
      </c>
      <c r="L8262" s="198" t="s">
        <v>65</v>
      </c>
      <c r="M8262" s="194"/>
      <c r="N8262" s="194"/>
    </row>
    <row r="8263">
      <c r="A8263" s="193" t="s">
        <v>28738</v>
      </c>
      <c r="B8263" s="7" t="s">
        <v>187</v>
      </c>
      <c r="C8263" s="7" t="s">
        <v>16846</v>
      </c>
      <c r="D8263" s="194">
        <v>2020.0</v>
      </c>
      <c r="E8263" s="193"/>
      <c r="F8263" s="195" t="s">
        <v>28739</v>
      </c>
      <c r="G8263" s="196">
        <v>2144000.0</v>
      </c>
      <c r="H8263" s="197">
        <v>2.0</v>
      </c>
      <c r="I8263" s="7" t="s">
        <v>16815</v>
      </c>
      <c r="J8263" s="7" t="s">
        <v>187</v>
      </c>
      <c r="K8263" s="7" t="s">
        <v>16846</v>
      </c>
      <c r="L8263" s="198" t="s">
        <v>65</v>
      </c>
      <c r="M8263" s="194"/>
      <c r="N8263" s="194"/>
    </row>
    <row r="8264">
      <c r="A8264" s="193" t="s">
        <v>28740</v>
      </c>
      <c r="B8264" s="7" t="s">
        <v>175</v>
      </c>
      <c r="C8264" s="7" t="s">
        <v>17948</v>
      </c>
      <c r="D8264" s="194">
        <v>2022.0</v>
      </c>
      <c r="E8264" s="193"/>
      <c r="F8264" s="195" t="s">
        <v>28741</v>
      </c>
      <c r="G8264" s="196">
        <v>2136743.0</v>
      </c>
      <c r="H8264" s="197">
        <v>0.0281</v>
      </c>
      <c r="I8264" s="7" t="s">
        <v>168</v>
      </c>
      <c r="J8264" s="7" t="s">
        <v>175</v>
      </c>
      <c r="K8264" s="7" t="s">
        <v>17948</v>
      </c>
      <c r="L8264" s="198" t="s">
        <v>65</v>
      </c>
      <c r="M8264" s="194"/>
      <c r="N8264" s="194"/>
    </row>
    <row r="8265">
      <c r="A8265" s="193" t="s">
        <v>28742</v>
      </c>
      <c r="B8265" s="7" t="s">
        <v>187</v>
      </c>
      <c r="C8265" s="7" t="s">
        <v>16858</v>
      </c>
      <c r="D8265" s="194">
        <v>2015.0</v>
      </c>
      <c r="E8265" s="193"/>
      <c r="F8265" s="195" t="s">
        <v>28743</v>
      </c>
      <c r="G8265" s="196">
        <v>2134638.0</v>
      </c>
      <c r="H8265" s="197">
        <v>0.65</v>
      </c>
      <c r="I8265" s="7" t="s">
        <v>16815</v>
      </c>
      <c r="J8265" s="7" t="s">
        <v>187</v>
      </c>
      <c r="K8265" s="7" t="s">
        <v>16858</v>
      </c>
      <c r="L8265" s="198" t="s">
        <v>65</v>
      </c>
      <c r="M8265" s="194"/>
      <c r="N8265" s="194"/>
    </row>
    <row r="8266">
      <c r="A8266" s="193" t="s">
        <v>28744</v>
      </c>
      <c r="B8266" s="7" t="s">
        <v>187</v>
      </c>
      <c r="C8266" s="7" t="s">
        <v>16969</v>
      </c>
      <c r="D8266" s="194">
        <v>2018.0</v>
      </c>
      <c r="E8266" s="193"/>
      <c r="F8266" s="195" t="s">
        <v>28745</v>
      </c>
      <c r="G8266" s="196">
        <v>2117118.0</v>
      </c>
      <c r="H8266" s="197">
        <v>3.99</v>
      </c>
      <c r="I8266" s="7" t="s">
        <v>16815</v>
      </c>
      <c r="J8266" s="7" t="s">
        <v>187</v>
      </c>
      <c r="K8266" s="7" t="s">
        <v>16969</v>
      </c>
      <c r="L8266" s="198" t="s">
        <v>65</v>
      </c>
      <c r="M8266" s="194"/>
      <c r="N8266" s="194"/>
    </row>
    <row r="8267">
      <c r="A8267" s="193" t="s">
        <v>28746</v>
      </c>
      <c r="B8267" s="7" t="s">
        <v>187</v>
      </c>
      <c r="C8267" s="7" t="s">
        <v>16969</v>
      </c>
      <c r="D8267" s="194">
        <v>2021.0</v>
      </c>
      <c r="E8267" s="193"/>
      <c r="F8267" s="195" t="s">
        <v>28747</v>
      </c>
      <c r="G8267" s="196">
        <v>2107544.0</v>
      </c>
      <c r="H8267" s="197">
        <v>0.37</v>
      </c>
      <c r="I8267" s="7" t="s">
        <v>16815</v>
      </c>
      <c r="J8267" s="7" t="s">
        <v>187</v>
      </c>
      <c r="K8267" s="7" t="s">
        <v>16969</v>
      </c>
      <c r="L8267" s="198" t="s">
        <v>65</v>
      </c>
      <c r="M8267" s="194"/>
      <c r="N8267" s="194"/>
    </row>
    <row r="8268">
      <c r="A8268" s="193" t="s">
        <v>28748</v>
      </c>
      <c r="B8268" s="7" t="s">
        <v>16582</v>
      </c>
      <c r="C8268" s="7" t="s">
        <v>16930</v>
      </c>
      <c r="D8268" s="199"/>
      <c r="E8268" s="193"/>
      <c r="F8268" s="195" t="s">
        <v>28749</v>
      </c>
      <c r="G8268" s="196">
        <v>2100666.0</v>
      </c>
      <c r="H8268" s="197">
        <v>0.0175</v>
      </c>
      <c r="I8268" s="7" t="s">
        <v>16815</v>
      </c>
      <c r="J8268" s="7" t="s">
        <v>16582</v>
      </c>
      <c r="K8268" s="7" t="s">
        <v>16930</v>
      </c>
      <c r="L8268" s="198" t="s">
        <v>65</v>
      </c>
      <c r="M8268" s="199"/>
      <c r="N8268" s="199"/>
    </row>
    <row r="8269">
      <c r="A8269" s="193" t="s">
        <v>28750</v>
      </c>
      <c r="B8269" s="7" t="s">
        <v>187</v>
      </c>
      <c r="C8269" s="7" t="s">
        <v>16846</v>
      </c>
      <c r="D8269" s="194">
        <v>2022.0</v>
      </c>
      <c r="E8269" s="193"/>
      <c r="F8269" s="195" t="s">
        <v>28751</v>
      </c>
      <c r="G8269" s="196">
        <v>2084007.0</v>
      </c>
      <c r="H8269" s="197">
        <v>2.76</v>
      </c>
      <c r="I8269" s="7" t="s">
        <v>16815</v>
      </c>
      <c r="J8269" s="7" t="s">
        <v>187</v>
      </c>
      <c r="K8269" s="7" t="s">
        <v>16846</v>
      </c>
      <c r="L8269" s="198" t="s">
        <v>65</v>
      </c>
      <c r="M8269" s="194"/>
      <c r="N8269" s="194"/>
    </row>
    <row r="8270">
      <c r="A8270" s="193" t="s">
        <v>28750</v>
      </c>
      <c r="B8270" s="202" t="s">
        <v>16846</v>
      </c>
      <c r="C8270" s="193" t="s">
        <v>187</v>
      </c>
      <c r="D8270" s="193">
        <v>2022.0</v>
      </c>
      <c r="E8270" s="193"/>
      <c r="F8270" s="203" t="s">
        <v>28751</v>
      </c>
      <c r="G8270" s="200">
        <v>2084007.0</v>
      </c>
      <c r="H8270" s="205">
        <v>0.3564</v>
      </c>
      <c r="I8270" s="206"/>
      <c r="J8270" s="202" t="s">
        <v>16846</v>
      </c>
      <c r="K8270" s="193" t="s">
        <v>187</v>
      </c>
      <c r="L8270" s="193" t="s">
        <v>17471</v>
      </c>
      <c r="M8270" s="193"/>
      <c r="N8270" s="193"/>
    </row>
    <row r="8271">
      <c r="A8271" s="193" t="s">
        <v>28752</v>
      </c>
      <c r="B8271" s="7" t="s">
        <v>16582</v>
      </c>
      <c r="C8271" s="7" t="s">
        <v>16930</v>
      </c>
      <c r="D8271" s="194">
        <v>2019.0</v>
      </c>
      <c r="E8271" s="193"/>
      <c r="F8271" s="195" t="s">
        <v>28753</v>
      </c>
      <c r="G8271" s="196">
        <v>2083968.0</v>
      </c>
      <c r="H8271" s="197">
        <v>0.446</v>
      </c>
      <c r="I8271" s="7" t="s">
        <v>16815</v>
      </c>
      <c r="J8271" s="7" t="s">
        <v>16582</v>
      </c>
      <c r="K8271" s="7" t="s">
        <v>16930</v>
      </c>
      <c r="L8271" s="198" t="s">
        <v>65</v>
      </c>
      <c r="M8271" s="194"/>
      <c r="N8271" s="194"/>
    </row>
    <row r="8272">
      <c r="A8272" s="193" t="s">
        <v>28754</v>
      </c>
      <c r="B8272" s="7" t="s">
        <v>187</v>
      </c>
      <c r="C8272" s="7" t="s">
        <v>17564</v>
      </c>
      <c r="D8272" s="199"/>
      <c r="E8272" s="193"/>
      <c r="F8272" s="195" t="s">
        <v>28755</v>
      </c>
      <c r="G8272" s="196">
        <v>2066608.0</v>
      </c>
      <c r="H8272" s="197">
        <v>0.0134</v>
      </c>
      <c r="I8272" s="7" t="s">
        <v>16815</v>
      </c>
      <c r="J8272" s="7" t="s">
        <v>187</v>
      </c>
      <c r="K8272" s="7" t="s">
        <v>17564</v>
      </c>
      <c r="L8272" s="198" t="s">
        <v>65</v>
      </c>
      <c r="M8272" s="199"/>
      <c r="N8272" s="199"/>
    </row>
    <row r="8273">
      <c r="A8273" s="193" t="s">
        <v>28756</v>
      </c>
      <c r="B8273" s="7" t="s">
        <v>187</v>
      </c>
      <c r="C8273" s="7" t="s">
        <v>16846</v>
      </c>
      <c r="D8273" s="199"/>
      <c r="E8273" s="193"/>
      <c r="F8273" s="195" t="s">
        <v>28757</v>
      </c>
      <c r="G8273" s="196">
        <v>2065591.0</v>
      </c>
      <c r="H8273" s="197">
        <v>1.18</v>
      </c>
      <c r="I8273" s="7" t="s">
        <v>16815</v>
      </c>
      <c r="J8273" s="7" t="s">
        <v>187</v>
      </c>
      <c r="K8273" s="7" t="s">
        <v>16846</v>
      </c>
      <c r="L8273" s="198" t="s">
        <v>65</v>
      </c>
      <c r="M8273" s="199"/>
      <c r="N8273" s="199"/>
    </row>
    <row r="8274">
      <c r="A8274" s="193" t="s">
        <v>28758</v>
      </c>
      <c r="B8274" s="7" t="s">
        <v>175</v>
      </c>
      <c r="C8274" s="7" t="s">
        <v>17757</v>
      </c>
      <c r="D8274" s="199"/>
      <c r="E8274" s="193"/>
      <c r="F8274" s="195" t="s">
        <v>28759</v>
      </c>
      <c r="G8274" s="196">
        <v>2058507.0</v>
      </c>
      <c r="H8274" s="197">
        <v>0.2151</v>
      </c>
      <c r="I8274" s="7" t="s">
        <v>16826</v>
      </c>
      <c r="J8274" s="7" t="s">
        <v>175</v>
      </c>
      <c r="K8274" s="7" t="s">
        <v>17757</v>
      </c>
      <c r="L8274" s="198" t="s">
        <v>65</v>
      </c>
      <c r="M8274" s="199"/>
      <c r="N8274" s="199"/>
    </row>
    <row r="8275">
      <c r="A8275" s="193" t="s">
        <v>28760</v>
      </c>
      <c r="B8275" s="7" t="s">
        <v>187</v>
      </c>
      <c r="C8275" s="7" t="s">
        <v>16846</v>
      </c>
      <c r="D8275" s="194">
        <v>2022.0</v>
      </c>
      <c r="E8275" s="193"/>
      <c r="F8275" s="195" t="s">
        <v>28761</v>
      </c>
      <c r="G8275" s="196">
        <v>2048285.0</v>
      </c>
      <c r="H8275" s="197">
        <v>0.0663</v>
      </c>
      <c r="I8275" s="7" t="s">
        <v>16815</v>
      </c>
      <c r="J8275" s="7" t="s">
        <v>187</v>
      </c>
      <c r="K8275" s="7" t="s">
        <v>16846</v>
      </c>
      <c r="L8275" s="198" t="s">
        <v>65</v>
      </c>
      <c r="M8275" s="194"/>
      <c r="N8275" s="194"/>
    </row>
    <row r="8276">
      <c r="A8276" s="193" t="s">
        <v>28762</v>
      </c>
      <c r="B8276" s="7" t="s">
        <v>187</v>
      </c>
      <c r="C8276" s="7" t="s">
        <v>16846</v>
      </c>
      <c r="D8276" s="199"/>
      <c r="E8276" s="193"/>
      <c r="F8276" s="195" t="s">
        <v>28763</v>
      </c>
      <c r="G8276" s="196">
        <v>2038545.0</v>
      </c>
      <c r="H8276" s="197">
        <v>0.1769</v>
      </c>
      <c r="I8276" s="7" t="s">
        <v>16815</v>
      </c>
      <c r="J8276" s="7" t="s">
        <v>187</v>
      </c>
      <c r="K8276" s="7" t="s">
        <v>16846</v>
      </c>
      <c r="L8276" s="198" t="s">
        <v>65</v>
      </c>
      <c r="M8276" s="199"/>
      <c r="N8276" s="199"/>
    </row>
    <row r="8277">
      <c r="A8277" s="193" t="s">
        <v>28764</v>
      </c>
      <c r="B8277" s="7" t="s">
        <v>16582</v>
      </c>
      <c r="C8277" s="7" t="s">
        <v>16828</v>
      </c>
      <c r="D8277" s="199"/>
      <c r="E8277" s="193"/>
      <c r="F8277" s="195" t="s">
        <v>28765</v>
      </c>
      <c r="G8277" s="196">
        <v>2038350.0</v>
      </c>
      <c r="H8277" s="197">
        <v>0.343</v>
      </c>
      <c r="I8277" s="7" t="s">
        <v>16815</v>
      </c>
      <c r="J8277" s="7" t="s">
        <v>16582</v>
      </c>
      <c r="K8277" s="7" t="s">
        <v>16828</v>
      </c>
      <c r="L8277" s="198" t="s">
        <v>65</v>
      </c>
      <c r="M8277" s="199"/>
      <c r="N8277" s="199"/>
    </row>
    <row r="8278">
      <c r="A8278" s="193" t="s">
        <v>28766</v>
      </c>
      <c r="B8278" s="7" t="s">
        <v>16582</v>
      </c>
      <c r="C8278" s="7" t="s">
        <v>16930</v>
      </c>
      <c r="D8278" s="194">
        <v>2021.0</v>
      </c>
      <c r="E8278" s="193"/>
      <c r="F8278" s="195" t="s">
        <v>28767</v>
      </c>
      <c r="G8278" s="196">
        <v>2030731.0</v>
      </c>
      <c r="H8278" s="197">
        <v>0.0351</v>
      </c>
      <c r="I8278" s="7" t="s">
        <v>16815</v>
      </c>
      <c r="J8278" s="7" t="s">
        <v>16582</v>
      </c>
      <c r="K8278" s="7" t="s">
        <v>16930</v>
      </c>
      <c r="L8278" s="198" t="s">
        <v>65</v>
      </c>
      <c r="M8278" s="194"/>
      <c r="N8278" s="194"/>
    </row>
    <row r="8279">
      <c r="A8279" s="193" t="s">
        <v>28768</v>
      </c>
      <c r="B8279" s="7" t="s">
        <v>187</v>
      </c>
      <c r="C8279" s="7" t="s">
        <v>16846</v>
      </c>
      <c r="D8279" s="194">
        <v>2017.0</v>
      </c>
      <c r="E8279" s="193"/>
      <c r="F8279" s="195" t="s">
        <v>28769</v>
      </c>
      <c r="G8279" s="196">
        <v>2027213.0</v>
      </c>
      <c r="H8279" s="197">
        <v>0.71</v>
      </c>
      <c r="I8279" s="7" t="s">
        <v>16815</v>
      </c>
      <c r="J8279" s="7" t="s">
        <v>187</v>
      </c>
      <c r="K8279" s="7" t="s">
        <v>16846</v>
      </c>
      <c r="L8279" s="198" t="s">
        <v>65</v>
      </c>
      <c r="M8279" s="194"/>
      <c r="N8279" s="194"/>
    </row>
    <row r="8280">
      <c r="A8280" s="193" t="s">
        <v>28768</v>
      </c>
      <c r="B8280" s="202" t="s">
        <v>16846</v>
      </c>
      <c r="C8280" s="193" t="s">
        <v>187</v>
      </c>
      <c r="D8280" s="193">
        <v>2017.0</v>
      </c>
      <c r="E8280" s="193"/>
      <c r="F8280" s="203" t="s">
        <v>28769</v>
      </c>
      <c r="G8280" s="200">
        <v>2027213.0</v>
      </c>
      <c r="H8280" s="205">
        <v>2.76</v>
      </c>
      <c r="I8280" s="206"/>
      <c r="J8280" s="202" t="s">
        <v>16846</v>
      </c>
      <c r="K8280" s="193" t="s">
        <v>187</v>
      </c>
      <c r="L8280" s="193" t="s">
        <v>17471</v>
      </c>
      <c r="M8280" s="193"/>
      <c r="N8280" s="193"/>
    </row>
    <row r="8281">
      <c r="A8281" s="193" t="s">
        <v>28770</v>
      </c>
      <c r="B8281" s="7" t="s">
        <v>16919</v>
      </c>
      <c r="C8281" s="7" t="s">
        <v>110</v>
      </c>
      <c r="D8281" s="199"/>
      <c r="E8281" s="193"/>
      <c r="F8281" s="195" t="s">
        <v>28771</v>
      </c>
      <c r="G8281" s="196">
        <v>2024264.0</v>
      </c>
      <c r="H8281" s="197">
        <v>0.5371</v>
      </c>
      <c r="I8281" s="7" t="s">
        <v>16815</v>
      </c>
      <c r="J8281" s="7" t="s">
        <v>16919</v>
      </c>
      <c r="K8281" s="7" t="s">
        <v>110</v>
      </c>
      <c r="L8281" s="198" t="s">
        <v>65</v>
      </c>
      <c r="M8281" s="199"/>
      <c r="N8281" s="199"/>
    </row>
    <row r="8282">
      <c r="A8282" s="193" t="s">
        <v>28772</v>
      </c>
      <c r="B8282" s="7" t="s">
        <v>175</v>
      </c>
      <c r="C8282" s="7" t="s">
        <v>19139</v>
      </c>
      <c r="D8282" s="194">
        <v>2020.0</v>
      </c>
      <c r="E8282" s="193"/>
      <c r="F8282" s="195" t="s">
        <v>28773</v>
      </c>
      <c r="G8282" s="196">
        <v>2004658.0</v>
      </c>
      <c r="H8282" s="197">
        <v>0.2251</v>
      </c>
      <c r="I8282" s="7" t="s">
        <v>174</v>
      </c>
      <c r="J8282" s="7" t="s">
        <v>175</v>
      </c>
      <c r="K8282" s="7" t="s">
        <v>19139</v>
      </c>
      <c r="L8282" s="198" t="s">
        <v>65</v>
      </c>
      <c r="M8282" s="194"/>
      <c r="N8282" s="194"/>
    </row>
    <row r="8283">
      <c r="A8283" s="193" t="s">
        <v>28774</v>
      </c>
      <c r="B8283" s="7" t="s">
        <v>187</v>
      </c>
      <c r="C8283" s="7" t="s">
        <v>17122</v>
      </c>
      <c r="D8283" s="199"/>
      <c r="E8283" s="193"/>
      <c r="F8283" s="195" t="s">
        <v>28775</v>
      </c>
      <c r="G8283" s="196">
        <v>1990831.0</v>
      </c>
      <c r="H8283" s="197">
        <v>0.61</v>
      </c>
      <c r="I8283" s="7" t="s">
        <v>16815</v>
      </c>
      <c r="J8283" s="7" t="s">
        <v>187</v>
      </c>
      <c r="K8283" s="7" t="s">
        <v>17122</v>
      </c>
      <c r="L8283" s="198" t="s">
        <v>65</v>
      </c>
      <c r="M8283" s="199"/>
      <c r="N8283" s="199"/>
    </row>
    <row r="8284">
      <c r="A8284" s="193" t="s">
        <v>28776</v>
      </c>
      <c r="B8284" s="7" t="s">
        <v>16582</v>
      </c>
      <c r="C8284" s="7" t="s">
        <v>16930</v>
      </c>
      <c r="D8284" s="194">
        <v>2021.0</v>
      </c>
      <c r="E8284" s="193"/>
      <c r="F8284" s="195" t="s">
        <v>28777</v>
      </c>
      <c r="G8284" s="196">
        <v>1980299.0</v>
      </c>
      <c r="H8284" s="197">
        <v>0.0389</v>
      </c>
      <c r="I8284" s="7" t="s">
        <v>16815</v>
      </c>
      <c r="J8284" s="7" t="s">
        <v>16582</v>
      </c>
      <c r="K8284" s="7" t="s">
        <v>16930</v>
      </c>
      <c r="L8284" s="198" t="s">
        <v>65</v>
      </c>
      <c r="M8284" s="194"/>
      <c r="N8284" s="194"/>
    </row>
    <row r="8285">
      <c r="A8285" s="193" t="s">
        <v>28778</v>
      </c>
      <c r="B8285" s="7" t="s">
        <v>187</v>
      </c>
      <c r="C8285" s="7" t="s">
        <v>16846</v>
      </c>
      <c r="D8285" s="194">
        <v>2016.0</v>
      </c>
      <c r="E8285" s="193"/>
      <c r="F8285" s="195" t="s">
        <v>28779</v>
      </c>
      <c r="G8285" s="196">
        <v>1976869.0</v>
      </c>
      <c r="H8285" s="197">
        <v>0.2764</v>
      </c>
      <c r="I8285" s="7" t="s">
        <v>16815</v>
      </c>
      <c r="J8285" s="7" t="s">
        <v>187</v>
      </c>
      <c r="K8285" s="7" t="s">
        <v>16846</v>
      </c>
      <c r="L8285" s="198" t="s">
        <v>65</v>
      </c>
      <c r="M8285" s="194"/>
      <c r="N8285" s="194"/>
    </row>
    <row r="8286">
      <c r="A8286" s="193" t="s">
        <v>28780</v>
      </c>
      <c r="B8286" s="7" t="s">
        <v>16582</v>
      </c>
      <c r="C8286" s="7" t="s">
        <v>16930</v>
      </c>
      <c r="D8286" s="194">
        <v>2018.0</v>
      </c>
      <c r="E8286" s="193"/>
      <c r="F8286" s="195" t="s">
        <v>28781</v>
      </c>
      <c r="G8286" s="196">
        <v>1948944.0</v>
      </c>
      <c r="H8286" s="197">
        <v>0.2498</v>
      </c>
      <c r="I8286" s="7" t="s">
        <v>16815</v>
      </c>
      <c r="J8286" s="7" t="s">
        <v>16582</v>
      </c>
      <c r="K8286" s="7" t="s">
        <v>16930</v>
      </c>
      <c r="L8286" s="198" t="s">
        <v>65</v>
      </c>
      <c r="M8286" s="194"/>
      <c r="N8286" s="194"/>
    </row>
    <row r="8287">
      <c r="A8287" s="193" t="s">
        <v>28782</v>
      </c>
      <c r="B8287" s="7" t="s">
        <v>187</v>
      </c>
      <c r="C8287" s="7" t="s">
        <v>16992</v>
      </c>
      <c r="D8287" s="194">
        <v>2022.0</v>
      </c>
      <c r="E8287" s="193"/>
      <c r="F8287" s="195" t="s">
        <v>28783</v>
      </c>
      <c r="G8287" s="196">
        <v>1943334.0</v>
      </c>
      <c r="H8287" s="197">
        <v>1.92</v>
      </c>
      <c r="I8287" s="7" t="s">
        <v>16815</v>
      </c>
      <c r="J8287" s="7" t="s">
        <v>187</v>
      </c>
      <c r="K8287" s="7" t="s">
        <v>16992</v>
      </c>
      <c r="L8287" s="198" t="s">
        <v>65</v>
      </c>
      <c r="M8287" s="194"/>
      <c r="N8287" s="194"/>
    </row>
    <row r="8288">
      <c r="A8288" s="193" t="s">
        <v>28784</v>
      </c>
      <c r="B8288" s="7" t="s">
        <v>175</v>
      </c>
      <c r="C8288" s="7" t="s">
        <v>16854</v>
      </c>
      <c r="D8288" s="194">
        <v>2019.0</v>
      </c>
      <c r="E8288" s="193"/>
      <c r="F8288" s="195" t="s">
        <v>28785</v>
      </c>
      <c r="G8288" s="196">
        <v>1930444.0</v>
      </c>
      <c r="H8288" s="197">
        <v>0.3338</v>
      </c>
      <c r="I8288" s="7" t="s">
        <v>16844</v>
      </c>
      <c r="J8288" s="7" t="s">
        <v>175</v>
      </c>
      <c r="K8288" s="7" t="s">
        <v>16854</v>
      </c>
      <c r="L8288" s="198" t="s">
        <v>65</v>
      </c>
      <c r="M8288" s="194"/>
      <c r="N8288" s="194"/>
    </row>
    <row r="8289">
      <c r="A8289" s="193" t="s">
        <v>28786</v>
      </c>
      <c r="B8289" s="7" t="s">
        <v>175</v>
      </c>
      <c r="C8289" s="7" t="s">
        <v>16972</v>
      </c>
      <c r="D8289" s="194">
        <v>2016.0</v>
      </c>
      <c r="E8289" s="193"/>
      <c r="F8289" s="195" t="s">
        <v>28787</v>
      </c>
      <c r="G8289" s="196">
        <v>1903432.0</v>
      </c>
      <c r="H8289" s="197">
        <v>1.71</v>
      </c>
      <c r="I8289" s="7" t="s">
        <v>16856</v>
      </c>
      <c r="J8289" s="7" t="s">
        <v>175</v>
      </c>
      <c r="K8289" s="7" t="s">
        <v>16972</v>
      </c>
      <c r="L8289" s="198" t="s">
        <v>65</v>
      </c>
      <c r="M8289" s="194"/>
      <c r="N8289" s="194"/>
    </row>
    <row r="8290">
      <c r="A8290" s="193" t="s">
        <v>28788</v>
      </c>
      <c r="B8290" s="7" t="s">
        <v>175</v>
      </c>
      <c r="C8290" s="7" t="s">
        <v>16942</v>
      </c>
      <c r="D8290" s="194">
        <v>2018.0</v>
      </c>
      <c r="E8290" s="193"/>
      <c r="F8290" s="195" t="s">
        <v>28789</v>
      </c>
      <c r="G8290" s="196">
        <v>1881367.0</v>
      </c>
      <c r="H8290" s="197">
        <v>0.0702</v>
      </c>
      <c r="I8290" s="7" t="s">
        <v>174</v>
      </c>
      <c r="J8290" s="7" t="s">
        <v>175</v>
      </c>
      <c r="K8290" s="7" t="s">
        <v>16942</v>
      </c>
      <c r="L8290" s="198" t="s">
        <v>65</v>
      </c>
      <c r="M8290" s="194"/>
      <c r="N8290" s="194"/>
    </row>
    <row r="8291">
      <c r="A8291" s="193" t="s">
        <v>28790</v>
      </c>
      <c r="B8291" s="7" t="s">
        <v>16838</v>
      </c>
      <c r="C8291" s="7" t="s">
        <v>17016</v>
      </c>
      <c r="D8291" s="194">
        <v>2018.0</v>
      </c>
      <c r="E8291" s="193"/>
      <c r="F8291" s="195" t="s">
        <v>28791</v>
      </c>
      <c r="G8291" s="196">
        <v>1864524.0</v>
      </c>
      <c r="H8291" s="197">
        <v>0.2311</v>
      </c>
      <c r="I8291" s="7" t="s">
        <v>28792</v>
      </c>
      <c r="J8291" s="7" t="s">
        <v>16838</v>
      </c>
      <c r="K8291" s="7" t="s">
        <v>17016</v>
      </c>
      <c r="L8291" s="198" t="s">
        <v>65</v>
      </c>
      <c r="M8291" s="194"/>
      <c r="N8291" s="194"/>
    </row>
    <row r="8292">
      <c r="A8292" s="193" t="s">
        <v>28793</v>
      </c>
      <c r="D8292" s="194">
        <v>2022.0</v>
      </c>
      <c r="E8292" s="193"/>
      <c r="F8292" s="195" t="s">
        <v>28794</v>
      </c>
      <c r="G8292" s="196">
        <v>1862600.0</v>
      </c>
      <c r="H8292" s="197">
        <v>0.335</v>
      </c>
      <c r="I8292" s="7" t="s">
        <v>16815</v>
      </c>
      <c r="L8292" s="198" t="s">
        <v>65</v>
      </c>
      <c r="M8292" s="194"/>
      <c r="N8292" s="194"/>
    </row>
    <row r="8293">
      <c r="A8293" s="193" t="s">
        <v>28795</v>
      </c>
      <c r="B8293" s="7" t="s">
        <v>187</v>
      </c>
      <c r="C8293" s="7" t="s">
        <v>16846</v>
      </c>
      <c r="D8293" s="199"/>
      <c r="E8293" s="193"/>
      <c r="F8293" s="195" t="s">
        <v>28796</v>
      </c>
      <c r="G8293" s="196">
        <v>1850309.0</v>
      </c>
      <c r="H8293" s="197">
        <v>0.133</v>
      </c>
      <c r="I8293" s="7" t="s">
        <v>16815</v>
      </c>
      <c r="J8293" s="7" t="s">
        <v>187</v>
      </c>
      <c r="K8293" s="7" t="s">
        <v>16846</v>
      </c>
      <c r="L8293" s="198" t="s">
        <v>65</v>
      </c>
      <c r="M8293" s="199"/>
      <c r="N8293" s="199"/>
    </row>
    <row r="8294">
      <c r="A8294" s="193" t="s">
        <v>28797</v>
      </c>
      <c r="B8294" s="7" t="s">
        <v>175</v>
      </c>
      <c r="C8294" s="7" t="s">
        <v>17457</v>
      </c>
      <c r="D8294" s="194">
        <v>2020.0</v>
      </c>
      <c r="E8294" s="193"/>
      <c r="F8294" s="195" t="s">
        <v>28798</v>
      </c>
      <c r="G8294" s="196">
        <v>1840164.0</v>
      </c>
      <c r="H8294" s="197">
        <v>0.79</v>
      </c>
      <c r="I8294" s="7" t="s">
        <v>16892</v>
      </c>
      <c r="J8294" s="7" t="s">
        <v>175</v>
      </c>
      <c r="K8294" s="7" t="s">
        <v>17457</v>
      </c>
      <c r="L8294" s="198" t="s">
        <v>65</v>
      </c>
      <c r="M8294" s="194"/>
      <c r="N8294" s="194"/>
    </row>
    <row r="8295">
      <c r="A8295" s="193" t="s">
        <v>28799</v>
      </c>
      <c r="B8295" s="7" t="s">
        <v>187</v>
      </c>
      <c r="C8295" s="7" t="s">
        <v>16846</v>
      </c>
      <c r="D8295" s="194">
        <v>2017.0</v>
      </c>
      <c r="E8295" s="193"/>
      <c r="F8295" s="195" t="s">
        <v>28800</v>
      </c>
      <c r="G8295" s="196">
        <v>1837898.0</v>
      </c>
      <c r="H8295" s="197">
        <v>0.2246</v>
      </c>
      <c r="I8295" s="7" t="s">
        <v>16815</v>
      </c>
      <c r="J8295" s="7" t="s">
        <v>187</v>
      </c>
      <c r="K8295" s="7" t="s">
        <v>16846</v>
      </c>
      <c r="L8295" s="198" t="s">
        <v>65</v>
      </c>
      <c r="M8295" s="194"/>
      <c r="N8295" s="194"/>
    </row>
    <row r="8296">
      <c r="A8296" s="193" t="s">
        <v>28801</v>
      </c>
      <c r="B8296" s="7" t="s">
        <v>187</v>
      </c>
      <c r="C8296" s="7" t="s">
        <v>16846</v>
      </c>
      <c r="D8296" s="194">
        <v>2015.0</v>
      </c>
      <c r="E8296" s="193"/>
      <c r="F8296" s="195" t="s">
        <v>28802</v>
      </c>
      <c r="G8296" s="196">
        <v>1830550.0</v>
      </c>
      <c r="H8296" s="197">
        <v>0.0904</v>
      </c>
      <c r="I8296" s="7" t="s">
        <v>16815</v>
      </c>
      <c r="J8296" s="7" t="s">
        <v>187</v>
      </c>
      <c r="K8296" s="7" t="s">
        <v>16846</v>
      </c>
      <c r="L8296" s="198" t="s">
        <v>65</v>
      </c>
      <c r="M8296" s="194"/>
      <c r="N8296" s="194"/>
    </row>
    <row r="8297">
      <c r="A8297" s="193" t="s">
        <v>28803</v>
      </c>
      <c r="B8297" s="7" t="s">
        <v>16582</v>
      </c>
      <c r="C8297" s="7" t="s">
        <v>17435</v>
      </c>
      <c r="D8297" s="199"/>
      <c r="E8297" s="193"/>
      <c r="F8297" s="195" t="s">
        <v>28804</v>
      </c>
      <c r="G8297" s="196">
        <v>1829085.0</v>
      </c>
      <c r="H8297" s="197">
        <v>0.75</v>
      </c>
      <c r="I8297" s="7" t="s">
        <v>16815</v>
      </c>
      <c r="J8297" s="7" t="s">
        <v>16582</v>
      </c>
      <c r="K8297" s="7" t="s">
        <v>17435</v>
      </c>
      <c r="L8297" s="198" t="s">
        <v>65</v>
      </c>
      <c r="M8297" s="199"/>
      <c r="N8297" s="199"/>
    </row>
    <row r="8298">
      <c r="A8298" s="193" t="s">
        <v>28805</v>
      </c>
      <c r="B8298" s="7" t="s">
        <v>16838</v>
      </c>
      <c r="C8298" s="7" t="s">
        <v>18219</v>
      </c>
      <c r="D8298" s="199"/>
      <c r="E8298" s="193"/>
      <c r="F8298" s="195" t="s">
        <v>28806</v>
      </c>
      <c r="G8298" s="196">
        <v>1812208.0</v>
      </c>
      <c r="H8298" s="197">
        <v>0.0382</v>
      </c>
      <c r="I8298" s="7" t="s">
        <v>16815</v>
      </c>
      <c r="J8298" s="7" t="s">
        <v>16838</v>
      </c>
      <c r="K8298" s="7" t="s">
        <v>18219</v>
      </c>
      <c r="L8298" s="198" t="s">
        <v>65</v>
      </c>
      <c r="M8298" s="199"/>
      <c r="N8298" s="199"/>
    </row>
    <row r="8299">
      <c r="A8299" s="193" t="s">
        <v>28807</v>
      </c>
      <c r="B8299" s="7" t="s">
        <v>175</v>
      </c>
      <c r="C8299" s="7" t="s">
        <v>17394</v>
      </c>
      <c r="D8299" s="194">
        <v>2021.0</v>
      </c>
      <c r="E8299" s="193"/>
      <c r="F8299" s="195" t="s">
        <v>28808</v>
      </c>
      <c r="G8299" s="196">
        <v>1796433.0</v>
      </c>
      <c r="H8299" s="197">
        <v>0.695</v>
      </c>
      <c r="I8299" s="7" t="s">
        <v>168</v>
      </c>
      <c r="J8299" s="7" t="s">
        <v>175</v>
      </c>
      <c r="K8299" s="7" t="s">
        <v>17394</v>
      </c>
      <c r="L8299" s="198" t="s">
        <v>65</v>
      </c>
      <c r="M8299" s="194"/>
      <c r="N8299" s="194"/>
    </row>
    <row r="8300">
      <c r="A8300" s="193" t="s">
        <v>28809</v>
      </c>
      <c r="B8300" s="7" t="s">
        <v>16582</v>
      </c>
      <c r="C8300" s="7" t="s">
        <v>16930</v>
      </c>
      <c r="D8300" s="199"/>
      <c r="E8300" s="193"/>
      <c r="F8300" s="195" t="s">
        <v>28810</v>
      </c>
      <c r="G8300" s="196">
        <v>1791860.0</v>
      </c>
      <c r="H8300" s="197">
        <v>1.255</v>
      </c>
      <c r="I8300" s="7" t="s">
        <v>16815</v>
      </c>
      <c r="J8300" s="7" t="s">
        <v>16582</v>
      </c>
      <c r="K8300" s="7" t="s">
        <v>16930</v>
      </c>
      <c r="L8300" s="198" t="s">
        <v>65</v>
      </c>
      <c r="M8300" s="199"/>
      <c r="N8300" s="199"/>
    </row>
    <row r="8301">
      <c r="A8301" s="193" t="s">
        <v>28811</v>
      </c>
      <c r="B8301" s="7" t="s">
        <v>16910</v>
      </c>
      <c r="C8301" s="7" t="s">
        <v>17662</v>
      </c>
      <c r="D8301" s="194">
        <v>2022.0</v>
      </c>
      <c r="E8301" s="193"/>
      <c r="F8301" s="195" t="s">
        <v>28812</v>
      </c>
      <c r="G8301" s="196">
        <v>1783889.0</v>
      </c>
      <c r="H8301" s="197">
        <v>0.631</v>
      </c>
      <c r="I8301" s="7" t="s">
        <v>20639</v>
      </c>
      <c r="J8301" s="7" t="s">
        <v>16910</v>
      </c>
      <c r="K8301" s="7" t="s">
        <v>17662</v>
      </c>
      <c r="L8301" s="198" t="s">
        <v>65</v>
      </c>
      <c r="M8301" s="194"/>
      <c r="N8301" s="194"/>
    </row>
    <row r="8302">
      <c r="A8302" s="193" t="s">
        <v>28813</v>
      </c>
      <c r="B8302" s="7" t="s">
        <v>187</v>
      </c>
      <c r="C8302" s="7" t="s">
        <v>16846</v>
      </c>
      <c r="D8302" s="199"/>
      <c r="E8302" s="193"/>
      <c r="F8302" s="195" t="s">
        <v>28814</v>
      </c>
      <c r="G8302" s="196">
        <v>1767247.0</v>
      </c>
      <c r="H8302" s="197">
        <v>0.5975</v>
      </c>
      <c r="I8302" s="7" t="s">
        <v>16815</v>
      </c>
      <c r="J8302" s="7" t="s">
        <v>187</v>
      </c>
      <c r="K8302" s="7" t="s">
        <v>16846</v>
      </c>
      <c r="L8302" s="198" t="s">
        <v>65</v>
      </c>
      <c r="M8302" s="199"/>
      <c r="N8302" s="199"/>
    </row>
    <row r="8303">
      <c r="A8303" s="193" t="s">
        <v>28815</v>
      </c>
      <c r="B8303" s="7" t="s">
        <v>16582</v>
      </c>
      <c r="C8303" s="7" t="s">
        <v>16583</v>
      </c>
      <c r="D8303" s="194">
        <v>2021.0</v>
      </c>
      <c r="E8303" s="193"/>
      <c r="F8303" s="195" t="s">
        <v>28816</v>
      </c>
      <c r="G8303" s="196">
        <v>1763178.0</v>
      </c>
      <c r="H8303" s="197">
        <v>0.0347</v>
      </c>
      <c r="I8303" s="7" t="s">
        <v>16815</v>
      </c>
      <c r="J8303" s="7" t="s">
        <v>16582</v>
      </c>
      <c r="K8303" s="7" t="s">
        <v>16583</v>
      </c>
      <c r="L8303" s="198" t="s">
        <v>65</v>
      </c>
      <c r="M8303" s="194"/>
      <c r="N8303" s="194"/>
    </row>
    <row r="8304">
      <c r="A8304" s="193" t="s">
        <v>28817</v>
      </c>
      <c r="B8304" s="7" t="s">
        <v>16838</v>
      </c>
      <c r="C8304" s="7" t="s">
        <v>17016</v>
      </c>
      <c r="D8304" s="194">
        <v>2021.0</v>
      </c>
      <c r="E8304" s="193"/>
      <c r="F8304" s="195" t="s">
        <v>28818</v>
      </c>
      <c r="G8304" s="196">
        <v>1760938.0</v>
      </c>
      <c r="H8304" s="197">
        <v>0.07</v>
      </c>
      <c r="I8304" s="7" t="s">
        <v>16815</v>
      </c>
      <c r="J8304" s="7" t="s">
        <v>16838</v>
      </c>
      <c r="K8304" s="7" t="s">
        <v>17016</v>
      </c>
      <c r="L8304" s="198" t="s">
        <v>65</v>
      </c>
      <c r="M8304" s="194"/>
      <c r="N8304" s="194"/>
    </row>
    <row r="8305">
      <c r="A8305" s="193" t="s">
        <v>28819</v>
      </c>
      <c r="B8305" s="7" t="s">
        <v>187</v>
      </c>
      <c r="C8305" s="7" t="s">
        <v>17122</v>
      </c>
      <c r="D8305" s="194">
        <v>2021.0</v>
      </c>
      <c r="E8305" s="193"/>
      <c r="F8305" s="195" t="s">
        <v>28820</v>
      </c>
      <c r="G8305" s="196">
        <v>1744548.0</v>
      </c>
      <c r="H8305" s="197">
        <v>1.19</v>
      </c>
      <c r="I8305" s="7" t="s">
        <v>16815</v>
      </c>
      <c r="J8305" s="7" t="s">
        <v>187</v>
      </c>
      <c r="K8305" s="7" t="s">
        <v>17122</v>
      </c>
      <c r="L8305" s="198" t="s">
        <v>65</v>
      </c>
      <c r="M8305" s="194"/>
      <c r="N8305" s="194"/>
    </row>
    <row r="8306">
      <c r="A8306" s="193" t="s">
        <v>28821</v>
      </c>
      <c r="B8306" s="7" t="s">
        <v>16838</v>
      </c>
      <c r="C8306" s="7" t="s">
        <v>18219</v>
      </c>
      <c r="D8306" s="199"/>
      <c r="E8306" s="193"/>
      <c r="F8306" s="195" t="s">
        <v>28822</v>
      </c>
      <c r="G8306" s="196">
        <v>1735917.0</v>
      </c>
      <c r="H8306" s="197">
        <v>0.02</v>
      </c>
      <c r="I8306" s="7" t="s">
        <v>16924</v>
      </c>
      <c r="J8306" s="7" t="s">
        <v>16838</v>
      </c>
      <c r="K8306" s="7" t="s">
        <v>18219</v>
      </c>
      <c r="L8306" s="198" t="s">
        <v>65</v>
      </c>
      <c r="M8306" s="199"/>
      <c r="N8306" s="199"/>
    </row>
    <row r="8307">
      <c r="A8307" s="193" t="s">
        <v>28823</v>
      </c>
      <c r="B8307" s="7" t="s">
        <v>16838</v>
      </c>
      <c r="C8307" s="7" t="s">
        <v>17016</v>
      </c>
      <c r="D8307" s="194">
        <v>2022.0</v>
      </c>
      <c r="E8307" s="193"/>
      <c r="F8307" s="195" t="s">
        <v>28824</v>
      </c>
      <c r="G8307" s="196">
        <v>1731453.0</v>
      </c>
      <c r="H8307" s="197">
        <v>0.1401</v>
      </c>
      <c r="I8307" s="7" t="s">
        <v>16815</v>
      </c>
      <c r="J8307" s="7" t="s">
        <v>16838</v>
      </c>
      <c r="K8307" s="7" t="s">
        <v>17016</v>
      </c>
      <c r="L8307" s="198" t="s">
        <v>65</v>
      </c>
      <c r="M8307" s="194"/>
      <c r="N8307" s="194"/>
    </row>
    <row r="8308">
      <c r="A8308" s="193" t="s">
        <v>28825</v>
      </c>
      <c r="B8308" s="7" t="s">
        <v>187</v>
      </c>
      <c r="C8308" s="7" t="s">
        <v>16851</v>
      </c>
      <c r="D8308" s="194">
        <v>2019.0</v>
      </c>
      <c r="E8308" s="193"/>
      <c r="F8308" s="195" t="s">
        <v>28826</v>
      </c>
      <c r="G8308" s="196">
        <v>1730563.0</v>
      </c>
      <c r="H8308" s="197">
        <v>1.56</v>
      </c>
      <c r="I8308" s="7" t="s">
        <v>16815</v>
      </c>
      <c r="J8308" s="7" t="s">
        <v>187</v>
      </c>
      <c r="K8308" s="7" t="s">
        <v>16851</v>
      </c>
      <c r="L8308" s="198" t="s">
        <v>65</v>
      </c>
      <c r="M8308" s="194"/>
      <c r="N8308" s="194"/>
    </row>
    <row r="8309">
      <c r="A8309" s="193" t="s">
        <v>28827</v>
      </c>
      <c r="B8309" s="7" t="s">
        <v>187</v>
      </c>
      <c r="C8309" s="7" t="s">
        <v>16851</v>
      </c>
      <c r="D8309" s="194">
        <v>2022.0</v>
      </c>
      <c r="E8309" s="193"/>
      <c r="F8309" s="195" t="s">
        <v>28828</v>
      </c>
      <c r="G8309" s="196">
        <v>1721146.0</v>
      </c>
      <c r="H8309" s="197">
        <v>0.1576</v>
      </c>
      <c r="I8309" s="7" t="s">
        <v>16815</v>
      </c>
      <c r="J8309" s="7" t="s">
        <v>187</v>
      </c>
      <c r="K8309" s="7" t="s">
        <v>16851</v>
      </c>
      <c r="L8309" s="198" t="s">
        <v>65</v>
      </c>
      <c r="M8309" s="194"/>
      <c r="N8309" s="194"/>
    </row>
    <row r="8310">
      <c r="A8310" s="193" t="s">
        <v>28829</v>
      </c>
      <c r="B8310" s="7" t="s">
        <v>175</v>
      </c>
      <c r="C8310" s="7" t="s">
        <v>17350</v>
      </c>
      <c r="D8310" s="194">
        <v>2021.0</v>
      </c>
      <c r="E8310" s="193"/>
      <c r="F8310" s="195" t="s">
        <v>28830</v>
      </c>
      <c r="G8310" s="196">
        <v>1718722.0</v>
      </c>
      <c r="H8310" s="197">
        <v>0.0093</v>
      </c>
      <c r="I8310" s="7" t="s">
        <v>168</v>
      </c>
      <c r="J8310" s="7" t="s">
        <v>175</v>
      </c>
      <c r="K8310" s="7" t="s">
        <v>17350</v>
      </c>
      <c r="L8310" s="198" t="s">
        <v>65</v>
      </c>
      <c r="M8310" s="194"/>
      <c r="N8310" s="194"/>
    </row>
    <row r="8311">
      <c r="A8311" s="193" t="s">
        <v>28831</v>
      </c>
      <c r="B8311" s="7" t="s">
        <v>187</v>
      </c>
      <c r="C8311" s="7" t="s">
        <v>16969</v>
      </c>
      <c r="D8311" s="194">
        <v>2014.0</v>
      </c>
      <c r="E8311" s="193"/>
      <c r="F8311" s="195" t="s">
        <v>28832</v>
      </c>
      <c r="G8311" s="196">
        <v>1717297.0</v>
      </c>
      <c r="H8311" s="197">
        <v>0.4081</v>
      </c>
      <c r="I8311" s="7" t="s">
        <v>16815</v>
      </c>
      <c r="J8311" s="7" t="s">
        <v>187</v>
      </c>
      <c r="K8311" s="7" t="s">
        <v>16969</v>
      </c>
      <c r="L8311" s="198" t="s">
        <v>65</v>
      </c>
      <c r="M8311" s="194"/>
      <c r="N8311" s="194"/>
    </row>
    <row r="8312">
      <c r="A8312" s="193" t="s">
        <v>28833</v>
      </c>
      <c r="B8312" s="7" t="s">
        <v>187</v>
      </c>
      <c r="C8312" s="7" t="s">
        <v>17509</v>
      </c>
      <c r="D8312" s="199"/>
      <c r="E8312" s="193"/>
      <c r="F8312" s="195" t="s">
        <v>28834</v>
      </c>
      <c r="G8312" s="196">
        <v>1712200.0</v>
      </c>
      <c r="H8312" s="197">
        <v>1.03</v>
      </c>
      <c r="I8312" s="7" t="s">
        <v>16815</v>
      </c>
      <c r="J8312" s="7" t="s">
        <v>187</v>
      </c>
      <c r="K8312" s="7" t="s">
        <v>17509</v>
      </c>
      <c r="L8312" s="198" t="s">
        <v>65</v>
      </c>
      <c r="M8312" s="199"/>
      <c r="N8312" s="199"/>
    </row>
    <row r="8313">
      <c r="A8313" s="193" t="s">
        <v>28835</v>
      </c>
      <c r="B8313" s="7" t="s">
        <v>187</v>
      </c>
      <c r="C8313" s="7" t="s">
        <v>16969</v>
      </c>
      <c r="D8313" s="194">
        <v>2021.0</v>
      </c>
      <c r="E8313" s="193"/>
      <c r="F8313" s="195" t="s">
        <v>28836</v>
      </c>
      <c r="G8313" s="196">
        <v>1700841.0</v>
      </c>
      <c r="H8313" s="197">
        <v>0.15</v>
      </c>
      <c r="I8313" s="7" t="s">
        <v>16815</v>
      </c>
      <c r="J8313" s="7" t="s">
        <v>187</v>
      </c>
      <c r="K8313" s="7" t="s">
        <v>16969</v>
      </c>
      <c r="L8313" s="198" t="s">
        <v>65</v>
      </c>
      <c r="M8313" s="194"/>
      <c r="N8313" s="194"/>
    </row>
    <row r="8314">
      <c r="A8314" s="193" t="s">
        <v>28837</v>
      </c>
      <c r="B8314" s="7" t="s">
        <v>187</v>
      </c>
      <c r="C8314" s="7" t="s">
        <v>16846</v>
      </c>
      <c r="D8314" s="199"/>
      <c r="E8314" s="193"/>
      <c r="F8314" s="195" t="s">
        <v>28838</v>
      </c>
      <c r="G8314" s="196">
        <v>1695627.0</v>
      </c>
      <c r="H8314" s="197">
        <v>2.44</v>
      </c>
      <c r="I8314" s="7" t="s">
        <v>16815</v>
      </c>
      <c r="J8314" s="7" t="s">
        <v>187</v>
      </c>
      <c r="K8314" s="7" t="s">
        <v>16846</v>
      </c>
      <c r="L8314" s="198" t="s">
        <v>65</v>
      </c>
      <c r="M8314" s="199"/>
      <c r="N8314" s="199"/>
    </row>
    <row r="8315">
      <c r="A8315" s="193" t="s">
        <v>28839</v>
      </c>
      <c r="B8315" s="7" t="s">
        <v>187</v>
      </c>
      <c r="C8315" s="7" t="s">
        <v>18633</v>
      </c>
      <c r="D8315" s="194">
        <v>2021.0</v>
      </c>
      <c r="E8315" s="193"/>
      <c r="F8315" s="195" t="s">
        <v>28840</v>
      </c>
      <c r="G8315" s="196">
        <v>1692675.0</v>
      </c>
      <c r="H8315" s="197">
        <v>0.1662</v>
      </c>
      <c r="I8315" s="7" t="s">
        <v>16815</v>
      </c>
      <c r="J8315" s="7" t="s">
        <v>187</v>
      </c>
      <c r="K8315" s="7" t="s">
        <v>18633</v>
      </c>
      <c r="L8315" s="198" t="s">
        <v>65</v>
      </c>
      <c r="M8315" s="194"/>
      <c r="N8315" s="194"/>
    </row>
    <row r="8316">
      <c r="A8316" s="193" t="s">
        <v>28841</v>
      </c>
      <c r="B8316" s="7" t="s">
        <v>16582</v>
      </c>
      <c r="C8316" s="7" t="s">
        <v>16817</v>
      </c>
      <c r="D8316" s="199"/>
      <c r="E8316" s="193"/>
      <c r="F8316" s="195" t="s">
        <v>28842</v>
      </c>
      <c r="G8316" s="196">
        <v>1668723.0</v>
      </c>
      <c r="H8316" s="197">
        <v>0.1803</v>
      </c>
      <c r="I8316" s="7" t="s">
        <v>16815</v>
      </c>
      <c r="J8316" s="7" t="s">
        <v>16582</v>
      </c>
      <c r="K8316" s="7" t="s">
        <v>16817</v>
      </c>
      <c r="L8316" s="198" t="s">
        <v>65</v>
      </c>
      <c r="M8316" s="199"/>
      <c r="N8316" s="199"/>
    </row>
    <row r="8317">
      <c r="A8317" s="193" t="s">
        <v>28843</v>
      </c>
      <c r="B8317" s="7" t="s">
        <v>16582</v>
      </c>
      <c r="C8317" s="7" t="s">
        <v>16930</v>
      </c>
      <c r="D8317" s="199"/>
      <c r="E8317" s="193"/>
      <c r="F8317" s="195" t="s">
        <v>28844</v>
      </c>
      <c r="G8317" s="196">
        <v>1639268.0</v>
      </c>
      <c r="H8317" s="197">
        <v>0.153</v>
      </c>
      <c r="I8317" s="7" t="s">
        <v>16815</v>
      </c>
      <c r="J8317" s="7" t="s">
        <v>16582</v>
      </c>
      <c r="K8317" s="7" t="s">
        <v>16930</v>
      </c>
      <c r="L8317" s="198" t="s">
        <v>65</v>
      </c>
      <c r="M8317" s="199"/>
      <c r="N8317" s="199"/>
    </row>
    <row r="8318">
      <c r="A8318" s="193" t="s">
        <v>28845</v>
      </c>
      <c r="B8318" s="7" t="s">
        <v>187</v>
      </c>
      <c r="C8318" s="7" t="s">
        <v>16992</v>
      </c>
      <c r="D8318" s="194">
        <v>2022.0</v>
      </c>
      <c r="E8318" s="193"/>
      <c r="F8318" s="195" t="s">
        <v>28846</v>
      </c>
      <c r="G8318" s="196">
        <v>1622228.0</v>
      </c>
      <c r="H8318" s="197">
        <v>0.4181</v>
      </c>
      <c r="I8318" s="7" t="s">
        <v>16815</v>
      </c>
      <c r="J8318" s="7" t="s">
        <v>187</v>
      </c>
      <c r="K8318" s="7" t="s">
        <v>16992</v>
      </c>
      <c r="L8318" s="198" t="s">
        <v>65</v>
      </c>
      <c r="M8318" s="194"/>
      <c r="N8318" s="194"/>
    </row>
    <row r="8319">
      <c r="A8319" s="193" t="s">
        <v>28847</v>
      </c>
      <c r="B8319" s="7" t="s">
        <v>175</v>
      </c>
      <c r="C8319" s="7" t="s">
        <v>17717</v>
      </c>
      <c r="D8319" s="199"/>
      <c r="E8319" s="193"/>
      <c r="F8319" s="195" t="s">
        <v>28848</v>
      </c>
      <c r="G8319" s="196">
        <v>1609007.0</v>
      </c>
      <c r="H8319" s="197">
        <v>0.0145</v>
      </c>
      <c r="I8319" s="7" t="s">
        <v>16826</v>
      </c>
      <c r="J8319" s="7" t="s">
        <v>175</v>
      </c>
      <c r="K8319" s="7" t="s">
        <v>17717</v>
      </c>
      <c r="L8319" s="198" t="s">
        <v>65</v>
      </c>
      <c r="M8319" s="199"/>
      <c r="N8319" s="199"/>
    </row>
    <row r="8320">
      <c r="A8320" s="193" t="s">
        <v>28849</v>
      </c>
      <c r="B8320" s="7" t="s">
        <v>187</v>
      </c>
      <c r="C8320" s="7" t="s">
        <v>16846</v>
      </c>
      <c r="D8320" s="199"/>
      <c r="E8320" s="193"/>
      <c r="F8320" s="195" t="s">
        <v>28850</v>
      </c>
      <c r="G8320" s="196">
        <v>1593187.0</v>
      </c>
      <c r="H8320" s="197">
        <v>0.6744</v>
      </c>
      <c r="I8320" s="7" t="s">
        <v>16815</v>
      </c>
      <c r="J8320" s="7" t="s">
        <v>187</v>
      </c>
      <c r="K8320" s="7" t="s">
        <v>16846</v>
      </c>
      <c r="L8320" s="198" t="s">
        <v>65</v>
      </c>
      <c r="M8320" s="199"/>
      <c r="N8320" s="199"/>
    </row>
    <row r="8321">
      <c r="A8321" s="193" t="s">
        <v>28851</v>
      </c>
      <c r="B8321" s="7" t="s">
        <v>187</v>
      </c>
      <c r="C8321" s="7" t="s">
        <v>17509</v>
      </c>
      <c r="D8321" s="199"/>
      <c r="E8321" s="193"/>
      <c r="F8321" s="195" t="s">
        <v>28852</v>
      </c>
      <c r="G8321" s="196">
        <v>1591957.0</v>
      </c>
      <c r="H8321" s="197">
        <v>0.5079</v>
      </c>
      <c r="I8321" s="7" t="s">
        <v>16815</v>
      </c>
      <c r="J8321" s="7" t="s">
        <v>187</v>
      </c>
      <c r="K8321" s="7" t="s">
        <v>17509</v>
      </c>
      <c r="L8321" s="198" t="s">
        <v>65</v>
      </c>
      <c r="M8321" s="199"/>
      <c r="N8321" s="199"/>
    </row>
    <row r="8322">
      <c r="A8322" s="193" t="s">
        <v>28853</v>
      </c>
      <c r="B8322" s="7" t="s">
        <v>175</v>
      </c>
      <c r="C8322" s="7" t="s">
        <v>16854</v>
      </c>
      <c r="D8322" s="194">
        <v>2019.0</v>
      </c>
      <c r="E8322" s="193"/>
      <c r="F8322" s="195" t="s">
        <v>28854</v>
      </c>
      <c r="G8322" s="196">
        <v>1568714.0</v>
      </c>
      <c r="H8322" s="197">
        <v>0.012</v>
      </c>
      <c r="I8322" s="7" t="s">
        <v>168</v>
      </c>
      <c r="J8322" s="7" t="s">
        <v>175</v>
      </c>
      <c r="K8322" s="7" t="s">
        <v>16854</v>
      </c>
      <c r="L8322" s="198" t="s">
        <v>65</v>
      </c>
      <c r="M8322" s="194"/>
      <c r="N8322" s="194"/>
    </row>
    <row r="8323">
      <c r="A8323" s="193" t="s">
        <v>28855</v>
      </c>
      <c r="B8323" s="7" t="s">
        <v>175</v>
      </c>
      <c r="C8323" s="7" t="s">
        <v>17812</v>
      </c>
      <c r="D8323" s="194">
        <v>2022.0</v>
      </c>
      <c r="E8323" s="193"/>
      <c r="F8323" s="195" t="s">
        <v>28856</v>
      </c>
      <c r="G8323" s="196">
        <v>1531691.0</v>
      </c>
      <c r="H8323" s="197">
        <v>0.5011</v>
      </c>
      <c r="I8323" s="7" t="s">
        <v>16908</v>
      </c>
      <c r="J8323" s="7" t="s">
        <v>175</v>
      </c>
      <c r="K8323" s="7" t="s">
        <v>17812</v>
      </c>
      <c r="L8323" s="198" t="s">
        <v>65</v>
      </c>
      <c r="M8323" s="194"/>
      <c r="N8323" s="194"/>
    </row>
    <row r="8324">
      <c r="A8324" s="193" t="s">
        <v>28855</v>
      </c>
      <c r="B8324" s="202" t="s">
        <v>17812</v>
      </c>
      <c r="C8324" s="193" t="s">
        <v>175</v>
      </c>
      <c r="D8324" s="193">
        <v>2022.0</v>
      </c>
      <c r="E8324" s="193"/>
      <c r="F8324" s="203" t="s">
        <v>28856</v>
      </c>
      <c r="G8324" s="200">
        <v>1531691.0</v>
      </c>
      <c r="H8324" s="205">
        <v>0.71</v>
      </c>
      <c r="I8324" s="206"/>
      <c r="J8324" s="202" t="s">
        <v>17812</v>
      </c>
      <c r="K8324" s="193" t="s">
        <v>175</v>
      </c>
      <c r="L8324" s="193" t="s">
        <v>17471</v>
      </c>
      <c r="M8324" s="193"/>
      <c r="N8324" s="193"/>
    </row>
    <row r="8325">
      <c r="A8325" s="193" t="s">
        <v>28857</v>
      </c>
      <c r="D8325" s="199"/>
      <c r="E8325" s="193"/>
      <c r="F8325" s="195" t="s">
        <v>28858</v>
      </c>
      <c r="G8325" s="196">
        <v>1518980.0</v>
      </c>
      <c r="H8325" s="197">
        <v>0.5199</v>
      </c>
      <c r="I8325" s="7" t="s">
        <v>16815</v>
      </c>
      <c r="L8325" s="198" t="s">
        <v>65</v>
      </c>
      <c r="M8325" s="199"/>
      <c r="N8325" s="199"/>
    </row>
    <row r="8326">
      <c r="A8326" s="193" t="s">
        <v>28859</v>
      </c>
      <c r="D8326" s="194">
        <v>2021.0</v>
      </c>
      <c r="E8326" s="193"/>
      <c r="F8326" s="195" t="s">
        <v>28860</v>
      </c>
      <c r="G8326" s="196">
        <v>1498322.0</v>
      </c>
      <c r="H8326" s="197">
        <v>1.06</v>
      </c>
      <c r="I8326" s="7" t="s">
        <v>16815</v>
      </c>
      <c r="L8326" s="198" t="s">
        <v>65</v>
      </c>
      <c r="M8326" s="194"/>
      <c r="N8326" s="194"/>
    </row>
    <row r="8327">
      <c r="A8327" s="193" t="s">
        <v>28861</v>
      </c>
      <c r="B8327" s="7" t="s">
        <v>16582</v>
      </c>
      <c r="C8327" s="7" t="s">
        <v>16930</v>
      </c>
      <c r="D8327" s="199"/>
      <c r="E8327" s="193"/>
      <c r="F8327" s="195" t="s">
        <v>28862</v>
      </c>
      <c r="G8327" s="196">
        <v>1488609.0</v>
      </c>
      <c r="H8327" s="197">
        <v>1.255</v>
      </c>
      <c r="I8327" s="7" t="s">
        <v>16815</v>
      </c>
      <c r="J8327" s="7" t="s">
        <v>16582</v>
      </c>
      <c r="K8327" s="7" t="s">
        <v>16930</v>
      </c>
      <c r="L8327" s="198" t="s">
        <v>65</v>
      </c>
      <c r="M8327" s="199"/>
      <c r="N8327" s="199"/>
    </row>
    <row r="8328">
      <c r="A8328" s="193" t="s">
        <v>28863</v>
      </c>
      <c r="B8328" s="7" t="s">
        <v>187</v>
      </c>
      <c r="C8328" s="7" t="s">
        <v>16846</v>
      </c>
      <c r="D8328" s="194">
        <v>2021.0</v>
      </c>
      <c r="E8328" s="193"/>
      <c r="F8328" s="195" t="s">
        <v>28864</v>
      </c>
      <c r="G8328" s="196">
        <v>1486020.0</v>
      </c>
      <c r="H8328" s="197">
        <v>0.0949</v>
      </c>
      <c r="I8328" s="7" t="s">
        <v>16815</v>
      </c>
      <c r="J8328" s="7" t="s">
        <v>187</v>
      </c>
      <c r="K8328" s="7" t="s">
        <v>16846</v>
      </c>
      <c r="L8328" s="198" t="s">
        <v>65</v>
      </c>
      <c r="M8328" s="194"/>
      <c r="N8328" s="194"/>
    </row>
    <row r="8329">
      <c r="A8329" s="193" t="s">
        <v>28865</v>
      </c>
      <c r="B8329" s="7" t="s">
        <v>169</v>
      </c>
      <c r="C8329" s="7" t="s">
        <v>17509</v>
      </c>
      <c r="D8329" s="194">
        <v>2022.0</v>
      </c>
      <c r="E8329" s="193"/>
      <c r="F8329" s="195" t="s">
        <v>28866</v>
      </c>
      <c r="G8329" s="196">
        <v>1482000.0</v>
      </c>
      <c r="H8329" s="197">
        <v>0.156</v>
      </c>
      <c r="I8329" s="7" t="s">
        <v>16815</v>
      </c>
      <c r="J8329" s="7" t="s">
        <v>169</v>
      </c>
      <c r="K8329" s="7" t="s">
        <v>17509</v>
      </c>
      <c r="L8329" s="198" t="s">
        <v>65</v>
      </c>
      <c r="M8329" s="194"/>
      <c r="N8329" s="194"/>
    </row>
    <row r="8330">
      <c r="A8330" s="193" t="s">
        <v>28867</v>
      </c>
      <c r="B8330" s="7" t="s">
        <v>187</v>
      </c>
      <c r="C8330" s="7" t="s">
        <v>16969</v>
      </c>
      <c r="D8330" s="199"/>
      <c r="E8330" s="193"/>
      <c r="F8330" s="195" t="s">
        <v>28868</v>
      </c>
      <c r="G8330" s="196">
        <v>1474788.0</v>
      </c>
      <c r="H8330" s="197">
        <v>0.272</v>
      </c>
      <c r="I8330" s="7" t="s">
        <v>16815</v>
      </c>
      <c r="J8330" s="7" t="s">
        <v>187</v>
      </c>
      <c r="K8330" s="7" t="s">
        <v>16969</v>
      </c>
      <c r="L8330" s="198" t="s">
        <v>65</v>
      </c>
      <c r="M8330" s="199"/>
      <c r="N8330" s="199"/>
    </row>
    <row r="8331">
      <c r="A8331" s="193" t="s">
        <v>28869</v>
      </c>
      <c r="B8331" s="7" t="s">
        <v>187</v>
      </c>
      <c r="C8331" s="7" t="s">
        <v>16846</v>
      </c>
      <c r="D8331" s="194">
        <v>2022.0</v>
      </c>
      <c r="E8331" s="193"/>
      <c r="F8331" s="195" t="s">
        <v>28870</v>
      </c>
      <c r="G8331" s="196">
        <v>1470838.0</v>
      </c>
      <c r="H8331" s="197">
        <v>0.0202</v>
      </c>
      <c r="I8331" s="7" t="s">
        <v>16815</v>
      </c>
      <c r="J8331" s="7" t="s">
        <v>187</v>
      </c>
      <c r="K8331" s="7" t="s">
        <v>16846</v>
      </c>
      <c r="L8331" s="198" t="s">
        <v>65</v>
      </c>
      <c r="M8331" s="194"/>
      <c r="N8331" s="194"/>
    </row>
    <row r="8332">
      <c r="A8332" s="193" t="s">
        <v>28871</v>
      </c>
      <c r="B8332" s="7" t="s">
        <v>187</v>
      </c>
      <c r="C8332" s="7" t="s">
        <v>16846</v>
      </c>
      <c r="D8332" s="194">
        <v>2021.0</v>
      </c>
      <c r="E8332" s="193"/>
      <c r="F8332" s="195" t="s">
        <v>28872</v>
      </c>
      <c r="G8332" s="196">
        <v>1465172.0</v>
      </c>
      <c r="H8332" s="197">
        <v>0.043</v>
      </c>
      <c r="I8332" s="7" t="s">
        <v>16815</v>
      </c>
      <c r="J8332" s="7" t="s">
        <v>187</v>
      </c>
      <c r="K8332" s="7" t="s">
        <v>16846</v>
      </c>
      <c r="L8332" s="198" t="s">
        <v>65</v>
      </c>
      <c r="M8332" s="194"/>
      <c r="N8332" s="194"/>
    </row>
    <row r="8333">
      <c r="A8333" s="193" t="s">
        <v>28873</v>
      </c>
      <c r="B8333" s="7" t="s">
        <v>187</v>
      </c>
      <c r="C8333" s="7" t="s">
        <v>17552</v>
      </c>
      <c r="D8333" s="194">
        <v>2022.0</v>
      </c>
      <c r="E8333" s="193"/>
      <c r="F8333" s="195" t="s">
        <v>28874</v>
      </c>
      <c r="G8333" s="196">
        <v>1420896.0</v>
      </c>
      <c r="H8333" s="197">
        <v>0.11</v>
      </c>
      <c r="I8333" s="7" t="s">
        <v>16815</v>
      </c>
      <c r="J8333" s="7" t="s">
        <v>187</v>
      </c>
      <c r="K8333" s="7" t="s">
        <v>17552</v>
      </c>
      <c r="L8333" s="198" t="s">
        <v>65</v>
      </c>
      <c r="M8333" s="194"/>
      <c r="N8333" s="194"/>
    </row>
    <row r="8334">
      <c r="A8334" s="193" t="s">
        <v>28875</v>
      </c>
      <c r="D8334" s="194">
        <v>2006.0</v>
      </c>
      <c r="E8334" s="193"/>
      <c r="F8334" s="195" t="s">
        <v>28876</v>
      </c>
      <c r="G8334" s="196">
        <v>1405609.0</v>
      </c>
      <c r="H8334" s="197">
        <v>0.2299</v>
      </c>
      <c r="I8334" s="7" t="s">
        <v>16815</v>
      </c>
      <c r="L8334" s="198" t="s">
        <v>65</v>
      </c>
      <c r="M8334" s="194"/>
      <c r="N8334" s="194"/>
    </row>
    <row r="8335">
      <c r="A8335" s="193" t="s">
        <v>28877</v>
      </c>
      <c r="B8335" s="7" t="s">
        <v>16838</v>
      </c>
      <c r="C8335" s="7" t="s">
        <v>17019</v>
      </c>
      <c r="D8335" s="194">
        <v>2022.0</v>
      </c>
      <c r="E8335" s="193"/>
      <c r="F8335" s="195" t="s">
        <v>28878</v>
      </c>
      <c r="G8335" s="196">
        <v>1398712.0</v>
      </c>
      <c r="H8335" s="197">
        <v>0.12</v>
      </c>
      <c r="I8335" s="7" t="s">
        <v>16815</v>
      </c>
      <c r="J8335" s="7" t="s">
        <v>16838</v>
      </c>
      <c r="K8335" s="7" t="s">
        <v>17019</v>
      </c>
      <c r="L8335" s="198" t="s">
        <v>65</v>
      </c>
      <c r="M8335" s="194"/>
      <c r="N8335" s="194"/>
    </row>
    <row r="8336">
      <c r="A8336" s="193" t="s">
        <v>28879</v>
      </c>
      <c r="B8336" s="7" t="s">
        <v>187</v>
      </c>
      <c r="C8336" s="7" t="s">
        <v>16858</v>
      </c>
      <c r="D8336" s="194">
        <v>2020.0</v>
      </c>
      <c r="E8336" s="193"/>
      <c r="F8336" s="195" t="s">
        <v>28880</v>
      </c>
      <c r="G8336" s="196">
        <v>1372701.0</v>
      </c>
      <c r="H8336" s="197">
        <v>0.0546</v>
      </c>
      <c r="I8336" s="7" t="s">
        <v>16815</v>
      </c>
      <c r="J8336" s="7" t="s">
        <v>187</v>
      </c>
      <c r="K8336" s="7" t="s">
        <v>16858</v>
      </c>
      <c r="L8336" s="198" t="s">
        <v>65</v>
      </c>
      <c r="M8336" s="194"/>
      <c r="N8336" s="194"/>
    </row>
    <row r="8337">
      <c r="A8337" s="193" t="s">
        <v>28881</v>
      </c>
      <c r="B8337" s="7" t="s">
        <v>175</v>
      </c>
      <c r="C8337" s="7" t="s">
        <v>17717</v>
      </c>
      <c r="D8337" s="194">
        <v>2019.0</v>
      </c>
      <c r="E8337" s="193"/>
      <c r="F8337" s="195" t="s">
        <v>28882</v>
      </c>
      <c r="G8337" s="196">
        <v>1370605.0</v>
      </c>
      <c r="H8337" s="197">
        <v>0.516</v>
      </c>
      <c r="I8337" s="7" t="s">
        <v>16908</v>
      </c>
      <c r="J8337" s="7" t="s">
        <v>175</v>
      </c>
      <c r="K8337" s="7" t="s">
        <v>17717</v>
      </c>
      <c r="L8337" s="198" t="s">
        <v>65</v>
      </c>
      <c r="M8337" s="194"/>
      <c r="N8337" s="194"/>
    </row>
    <row r="8338">
      <c r="A8338" s="193" t="s">
        <v>28883</v>
      </c>
      <c r="B8338" s="7" t="s">
        <v>16582</v>
      </c>
      <c r="C8338" s="7" t="s">
        <v>16930</v>
      </c>
      <c r="D8338" s="194">
        <v>2021.0</v>
      </c>
      <c r="E8338" s="193"/>
      <c r="F8338" s="195" t="s">
        <v>28884</v>
      </c>
      <c r="G8338" s="196">
        <v>1359450.0</v>
      </c>
      <c r="H8338" s="197">
        <v>0.09</v>
      </c>
      <c r="I8338" s="7" t="s">
        <v>16815</v>
      </c>
      <c r="J8338" s="7" t="s">
        <v>16582</v>
      </c>
      <c r="K8338" s="7" t="s">
        <v>16930</v>
      </c>
      <c r="L8338" s="198" t="s">
        <v>65</v>
      </c>
      <c r="M8338" s="194"/>
      <c r="N8338" s="194"/>
    </row>
    <row r="8339">
      <c r="A8339" s="193" t="s">
        <v>28885</v>
      </c>
      <c r="B8339" s="7" t="s">
        <v>187</v>
      </c>
      <c r="C8339" s="7" t="s">
        <v>16846</v>
      </c>
      <c r="D8339" s="194">
        <v>2007.0</v>
      </c>
      <c r="E8339" s="193"/>
      <c r="F8339" s="195" t="s">
        <v>28886</v>
      </c>
      <c r="G8339" s="196">
        <v>1349541.0</v>
      </c>
      <c r="H8339" s="197">
        <v>0.3202</v>
      </c>
      <c r="I8339" s="7" t="s">
        <v>16815</v>
      </c>
      <c r="J8339" s="7" t="s">
        <v>187</v>
      </c>
      <c r="K8339" s="7" t="s">
        <v>16846</v>
      </c>
      <c r="L8339" s="198" t="s">
        <v>65</v>
      </c>
      <c r="M8339" s="194"/>
      <c r="N8339" s="194"/>
    </row>
    <row r="8340">
      <c r="A8340" s="193" t="s">
        <v>28885</v>
      </c>
      <c r="B8340" s="202" t="s">
        <v>16846</v>
      </c>
      <c r="C8340" s="193" t="s">
        <v>187</v>
      </c>
      <c r="D8340" s="193">
        <v>2007.0</v>
      </c>
      <c r="E8340" s="193"/>
      <c r="F8340" s="203" t="s">
        <v>28886</v>
      </c>
      <c r="G8340" s="200">
        <v>1349541.0</v>
      </c>
      <c r="H8340" s="205">
        <v>0.5011</v>
      </c>
      <c r="I8340" s="206"/>
      <c r="J8340" s="202" t="s">
        <v>16846</v>
      </c>
      <c r="K8340" s="193" t="s">
        <v>187</v>
      </c>
      <c r="L8340" s="193" t="s">
        <v>17471</v>
      </c>
      <c r="M8340" s="193"/>
      <c r="N8340" s="193"/>
    </row>
    <row r="8341">
      <c r="A8341" s="193" t="s">
        <v>28887</v>
      </c>
      <c r="B8341" s="7" t="s">
        <v>187</v>
      </c>
      <c r="C8341" s="7" t="s">
        <v>16846</v>
      </c>
      <c r="D8341" s="199"/>
      <c r="E8341" s="193"/>
      <c r="F8341" s="195" t="s">
        <v>28888</v>
      </c>
      <c r="G8341" s="196">
        <v>1294666.0</v>
      </c>
      <c r="H8341" s="197">
        <v>0.389</v>
      </c>
      <c r="I8341" s="7" t="s">
        <v>16815</v>
      </c>
      <c r="J8341" s="7" t="s">
        <v>187</v>
      </c>
      <c r="K8341" s="7" t="s">
        <v>16846</v>
      </c>
      <c r="L8341" s="198" t="s">
        <v>65</v>
      </c>
      <c r="M8341" s="199"/>
      <c r="N8341" s="199"/>
    </row>
    <row r="8342">
      <c r="A8342" s="193" t="s">
        <v>28889</v>
      </c>
      <c r="B8342" s="7" t="s">
        <v>158</v>
      </c>
      <c r="C8342" s="7" t="s">
        <v>18063</v>
      </c>
      <c r="D8342" s="194">
        <v>2020.0</v>
      </c>
      <c r="E8342" s="193"/>
      <c r="F8342" s="195" t="s">
        <v>28890</v>
      </c>
      <c r="G8342" s="196">
        <v>1288480.0</v>
      </c>
      <c r="H8342" s="197">
        <v>0.04</v>
      </c>
      <c r="I8342" s="7" t="s">
        <v>17098</v>
      </c>
      <c r="J8342" s="7" t="s">
        <v>158</v>
      </c>
      <c r="K8342" s="7" t="s">
        <v>18063</v>
      </c>
      <c r="L8342" s="198" t="s">
        <v>65</v>
      </c>
      <c r="M8342" s="194"/>
      <c r="N8342" s="194"/>
    </row>
    <row r="8343">
      <c r="A8343" s="193" t="s">
        <v>28891</v>
      </c>
      <c r="B8343" s="7" t="s">
        <v>187</v>
      </c>
      <c r="C8343" s="7" t="s">
        <v>16846</v>
      </c>
      <c r="D8343" s="199"/>
      <c r="E8343" s="193"/>
      <c r="F8343" s="195" t="s">
        <v>28892</v>
      </c>
      <c r="G8343" s="196">
        <v>1282547.0</v>
      </c>
      <c r="H8343" s="197">
        <v>0.47</v>
      </c>
      <c r="I8343" s="7" t="s">
        <v>16815</v>
      </c>
      <c r="J8343" s="7" t="s">
        <v>187</v>
      </c>
      <c r="K8343" s="7" t="s">
        <v>16846</v>
      </c>
      <c r="L8343" s="198" t="s">
        <v>65</v>
      </c>
      <c r="M8343" s="199"/>
      <c r="N8343" s="199"/>
    </row>
    <row r="8344">
      <c r="A8344" s="193" t="s">
        <v>28893</v>
      </c>
      <c r="B8344" s="7" t="s">
        <v>16926</v>
      </c>
      <c r="C8344" s="7" t="s">
        <v>16927</v>
      </c>
      <c r="D8344" s="194">
        <v>2022.0</v>
      </c>
      <c r="E8344" s="193"/>
      <c r="F8344" s="195" t="s">
        <v>28894</v>
      </c>
      <c r="G8344" s="196">
        <v>1279250.0</v>
      </c>
      <c r="H8344" s="197">
        <v>0.085</v>
      </c>
      <c r="I8344" s="7" t="s">
        <v>16815</v>
      </c>
      <c r="J8344" s="7" t="s">
        <v>16926</v>
      </c>
      <c r="K8344" s="7" t="s">
        <v>16927</v>
      </c>
      <c r="L8344" s="198" t="s">
        <v>65</v>
      </c>
      <c r="M8344" s="194"/>
      <c r="N8344" s="194"/>
    </row>
    <row r="8345">
      <c r="A8345" s="193" t="s">
        <v>28895</v>
      </c>
      <c r="B8345" s="7" t="s">
        <v>16910</v>
      </c>
      <c r="C8345" s="7" t="s">
        <v>16911</v>
      </c>
      <c r="D8345" s="199"/>
      <c r="E8345" s="193"/>
      <c r="F8345" s="195" t="s">
        <v>28896</v>
      </c>
      <c r="G8345" s="196">
        <v>1275552.0</v>
      </c>
      <c r="H8345" s="197">
        <v>1.15</v>
      </c>
      <c r="I8345" s="7" t="s">
        <v>20639</v>
      </c>
      <c r="J8345" s="7" t="s">
        <v>16910</v>
      </c>
      <c r="K8345" s="7" t="s">
        <v>16911</v>
      </c>
      <c r="L8345" s="198" t="s">
        <v>65</v>
      </c>
      <c r="M8345" s="199"/>
      <c r="N8345" s="199"/>
    </row>
    <row r="8346">
      <c r="A8346" s="193" t="s">
        <v>28897</v>
      </c>
      <c r="D8346" s="194">
        <v>2023.0</v>
      </c>
      <c r="E8346" s="193"/>
      <c r="F8346" s="195" t="s">
        <v>28898</v>
      </c>
      <c r="G8346" s="196">
        <v>1242489.0</v>
      </c>
      <c r="H8346" s="197">
        <v>0.09</v>
      </c>
      <c r="I8346" s="7" t="s">
        <v>16815</v>
      </c>
      <c r="L8346" s="198" t="s">
        <v>65</v>
      </c>
      <c r="M8346" s="194"/>
      <c r="N8346" s="194"/>
    </row>
    <row r="8347">
      <c r="A8347" s="193" t="s">
        <v>28899</v>
      </c>
      <c r="B8347" s="7" t="s">
        <v>16838</v>
      </c>
      <c r="C8347" s="7" t="s">
        <v>17019</v>
      </c>
      <c r="D8347" s="199"/>
      <c r="E8347" s="193"/>
      <c r="F8347" s="195" t="s">
        <v>28900</v>
      </c>
      <c r="G8347" s="196">
        <v>1230699.0</v>
      </c>
      <c r="H8347" s="197">
        <v>1.05</v>
      </c>
      <c r="I8347" s="7" t="s">
        <v>16815</v>
      </c>
      <c r="J8347" s="7" t="s">
        <v>16838</v>
      </c>
      <c r="K8347" s="7" t="s">
        <v>17019</v>
      </c>
      <c r="L8347" s="198" t="s">
        <v>65</v>
      </c>
      <c r="M8347" s="199"/>
      <c r="N8347" s="199"/>
    </row>
    <row r="8348">
      <c r="A8348" s="193" t="s">
        <v>28901</v>
      </c>
      <c r="B8348" s="7" t="s">
        <v>16582</v>
      </c>
      <c r="C8348" s="7" t="s">
        <v>16930</v>
      </c>
      <c r="D8348" s="199"/>
      <c r="E8348" s="193"/>
      <c r="F8348" s="195" t="s">
        <v>28902</v>
      </c>
      <c r="G8348" s="196">
        <v>1226113.0</v>
      </c>
      <c r="H8348" s="197">
        <v>0.0124</v>
      </c>
      <c r="I8348" s="7" t="s">
        <v>16815</v>
      </c>
      <c r="J8348" s="7" t="s">
        <v>16582</v>
      </c>
      <c r="K8348" s="7" t="s">
        <v>16930</v>
      </c>
      <c r="L8348" s="198" t="s">
        <v>65</v>
      </c>
      <c r="M8348" s="199"/>
      <c r="N8348" s="199"/>
    </row>
    <row r="8349">
      <c r="A8349" s="193" t="s">
        <v>28903</v>
      </c>
      <c r="B8349" s="7" t="s">
        <v>187</v>
      </c>
      <c r="C8349" s="7" t="s">
        <v>18529</v>
      </c>
      <c r="D8349" s="199"/>
      <c r="E8349" s="193"/>
      <c r="F8349" s="195" t="s">
        <v>28904</v>
      </c>
      <c r="G8349" s="196">
        <v>1219539.0</v>
      </c>
      <c r="H8349" s="197">
        <v>0.175</v>
      </c>
      <c r="I8349" s="7" t="s">
        <v>16815</v>
      </c>
      <c r="J8349" s="7" t="s">
        <v>187</v>
      </c>
      <c r="K8349" s="7" t="s">
        <v>18529</v>
      </c>
      <c r="L8349" s="198" t="s">
        <v>65</v>
      </c>
      <c r="M8349" s="199"/>
      <c r="N8349" s="199"/>
    </row>
    <row r="8350">
      <c r="A8350" s="193" t="s">
        <v>28905</v>
      </c>
      <c r="B8350" s="7" t="s">
        <v>175</v>
      </c>
      <c r="C8350" s="7" t="s">
        <v>17084</v>
      </c>
      <c r="D8350" s="194">
        <v>2021.0</v>
      </c>
      <c r="E8350" s="193"/>
      <c r="F8350" s="195" t="s">
        <v>28906</v>
      </c>
      <c r="G8350" s="196">
        <v>1217672.0</v>
      </c>
      <c r="H8350" s="197">
        <v>3.84</v>
      </c>
      <c r="I8350" s="7" t="s">
        <v>16908</v>
      </c>
      <c r="J8350" s="7" t="s">
        <v>175</v>
      </c>
      <c r="K8350" s="7" t="s">
        <v>17084</v>
      </c>
      <c r="L8350" s="198" t="s">
        <v>65</v>
      </c>
      <c r="M8350" s="194"/>
      <c r="N8350" s="194"/>
    </row>
    <row r="8351">
      <c r="A8351" s="193" t="s">
        <v>28907</v>
      </c>
      <c r="B8351" s="7" t="s">
        <v>187</v>
      </c>
      <c r="C8351" s="7" t="s">
        <v>16969</v>
      </c>
      <c r="D8351" s="199"/>
      <c r="E8351" s="193"/>
      <c r="F8351" s="195" t="s">
        <v>28908</v>
      </c>
      <c r="G8351" s="196">
        <v>1200309.0</v>
      </c>
      <c r="H8351" s="197">
        <v>1.15</v>
      </c>
      <c r="I8351" s="7" t="s">
        <v>16815</v>
      </c>
      <c r="J8351" s="7" t="s">
        <v>187</v>
      </c>
      <c r="K8351" s="7" t="s">
        <v>16969</v>
      </c>
      <c r="L8351" s="198" t="s">
        <v>65</v>
      </c>
      <c r="M8351" s="199"/>
      <c r="N8351" s="199"/>
    </row>
    <row r="8352">
      <c r="A8352" s="193" t="s">
        <v>28909</v>
      </c>
      <c r="B8352" s="7" t="s">
        <v>16582</v>
      </c>
      <c r="C8352" s="7" t="s">
        <v>16899</v>
      </c>
      <c r="D8352" s="194">
        <v>1997.0</v>
      </c>
      <c r="E8352" s="193"/>
      <c r="F8352" s="195" t="s">
        <v>28910</v>
      </c>
      <c r="G8352" s="196">
        <v>1185447.0</v>
      </c>
      <c r="H8352" s="197">
        <v>0.112</v>
      </c>
      <c r="I8352" s="7" t="s">
        <v>16815</v>
      </c>
      <c r="J8352" s="7" t="s">
        <v>16582</v>
      </c>
      <c r="K8352" s="7" t="s">
        <v>16899</v>
      </c>
      <c r="L8352" s="198" t="s">
        <v>65</v>
      </c>
      <c r="M8352" s="194"/>
      <c r="N8352" s="194"/>
    </row>
    <row r="8353">
      <c r="A8353" s="193" t="s">
        <v>28909</v>
      </c>
      <c r="B8353" s="202" t="s">
        <v>16899</v>
      </c>
      <c r="C8353" s="193" t="s">
        <v>16582</v>
      </c>
      <c r="D8353" s="193">
        <v>1997.0</v>
      </c>
      <c r="E8353" s="193"/>
      <c r="F8353" s="203" t="s">
        <v>28910</v>
      </c>
      <c r="G8353" s="200">
        <v>1185447.0</v>
      </c>
      <c r="H8353" s="205">
        <v>0.3202</v>
      </c>
      <c r="I8353" s="206"/>
      <c r="J8353" s="202" t="s">
        <v>16899</v>
      </c>
      <c r="K8353" s="193" t="s">
        <v>16582</v>
      </c>
      <c r="L8353" s="193" t="s">
        <v>17471</v>
      </c>
      <c r="M8353" s="193"/>
      <c r="N8353" s="193"/>
    </row>
    <row r="8354">
      <c r="A8354" s="193" t="s">
        <v>28911</v>
      </c>
      <c r="B8354" s="7" t="s">
        <v>16838</v>
      </c>
      <c r="C8354" s="7" t="s">
        <v>17202</v>
      </c>
      <c r="D8354" s="194">
        <v>2019.0</v>
      </c>
      <c r="E8354" s="193"/>
      <c r="F8354" s="195" t="s">
        <v>28912</v>
      </c>
      <c r="G8354" s="196">
        <v>1153600.0</v>
      </c>
      <c r="H8354" s="197">
        <v>0.0171</v>
      </c>
      <c r="I8354" s="7" t="s">
        <v>186</v>
      </c>
      <c r="J8354" s="7" t="s">
        <v>16838</v>
      </c>
      <c r="K8354" s="7" t="s">
        <v>17202</v>
      </c>
      <c r="L8354" s="198" t="s">
        <v>65</v>
      </c>
      <c r="M8354" s="194"/>
      <c r="N8354" s="194"/>
    </row>
    <row r="8355">
      <c r="A8355" s="193" t="s">
        <v>28913</v>
      </c>
      <c r="B8355" s="7" t="s">
        <v>187</v>
      </c>
      <c r="C8355" s="7" t="s">
        <v>16992</v>
      </c>
      <c r="D8355" s="194">
        <v>2022.0</v>
      </c>
      <c r="E8355" s="193"/>
      <c r="F8355" s="195" t="s">
        <v>28914</v>
      </c>
      <c r="G8355" s="196">
        <v>1122055.0</v>
      </c>
      <c r="H8355" s="197">
        <v>1.82</v>
      </c>
      <c r="I8355" s="7" t="s">
        <v>16815</v>
      </c>
      <c r="J8355" s="7" t="s">
        <v>187</v>
      </c>
      <c r="K8355" s="7" t="s">
        <v>16992</v>
      </c>
      <c r="L8355" s="198" t="s">
        <v>65</v>
      </c>
      <c r="M8355" s="194"/>
      <c r="N8355" s="194"/>
    </row>
    <row r="8356">
      <c r="A8356" s="193" t="s">
        <v>28915</v>
      </c>
      <c r="B8356" s="7" t="s">
        <v>187</v>
      </c>
      <c r="C8356" s="7" t="s">
        <v>16846</v>
      </c>
      <c r="D8356" s="199"/>
      <c r="E8356" s="193"/>
      <c r="F8356" s="195" t="s">
        <v>28916</v>
      </c>
      <c r="G8356" s="196">
        <v>1104753.0</v>
      </c>
      <c r="H8356" s="197">
        <v>0.0511</v>
      </c>
      <c r="I8356" s="7" t="s">
        <v>16815</v>
      </c>
      <c r="J8356" s="7" t="s">
        <v>187</v>
      </c>
      <c r="K8356" s="7" t="s">
        <v>16846</v>
      </c>
      <c r="L8356" s="198" t="s">
        <v>65</v>
      </c>
      <c r="M8356" s="199"/>
      <c r="N8356" s="199"/>
    </row>
    <row r="8357">
      <c r="A8357" s="193" t="s">
        <v>28917</v>
      </c>
      <c r="B8357" s="7" t="s">
        <v>187</v>
      </c>
      <c r="C8357" s="7" t="s">
        <v>16846</v>
      </c>
      <c r="D8357" s="194">
        <v>2019.0</v>
      </c>
      <c r="E8357" s="193"/>
      <c r="F8357" s="195" t="s">
        <v>28918</v>
      </c>
      <c r="G8357" s="196">
        <v>1102791.0</v>
      </c>
      <c r="H8357" s="197">
        <v>1.95</v>
      </c>
      <c r="I8357" s="7" t="s">
        <v>16815</v>
      </c>
      <c r="J8357" s="7" t="s">
        <v>187</v>
      </c>
      <c r="K8357" s="7" t="s">
        <v>16846</v>
      </c>
      <c r="L8357" s="198" t="s">
        <v>65</v>
      </c>
      <c r="M8357" s="194"/>
      <c r="N8357" s="194"/>
    </row>
    <row r="8358">
      <c r="A8358" s="193" t="s">
        <v>28919</v>
      </c>
      <c r="B8358" s="7" t="s">
        <v>169</v>
      </c>
      <c r="C8358" s="7" t="s">
        <v>18732</v>
      </c>
      <c r="D8358" s="199"/>
      <c r="E8358" s="193"/>
      <c r="F8358" s="195" t="s">
        <v>28920</v>
      </c>
      <c r="G8358" s="196">
        <v>1094006.0</v>
      </c>
      <c r="H8358" s="197">
        <v>0.3849</v>
      </c>
      <c r="I8358" s="7" t="s">
        <v>16815</v>
      </c>
      <c r="J8358" s="7" t="s">
        <v>169</v>
      </c>
      <c r="K8358" s="7" t="s">
        <v>18732</v>
      </c>
      <c r="L8358" s="198" t="s">
        <v>65</v>
      </c>
      <c r="M8358" s="199"/>
      <c r="N8358" s="199"/>
    </row>
    <row r="8359">
      <c r="A8359" s="193" t="s">
        <v>28921</v>
      </c>
      <c r="B8359" s="7" t="s">
        <v>16926</v>
      </c>
      <c r="C8359" s="7" t="s">
        <v>16957</v>
      </c>
      <c r="D8359" s="194">
        <v>2020.0</v>
      </c>
      <c r="E8359" s="193"/>
      <c r="F8359" s="195" t="s">
        <v>28922</v>
      </c>
      <c r="G8359" s="196">
        <v>1048597.0</v>
      </c>
      <c r="H8359" s="197">
        <v>0.5656</v>
      </c>
      <c r="I8359" s="7" t="s">
        <v>16815</v>
      </c>
      <c r="J8359" s="7" t="s">
        <v>16926</v>
      </c>
      <c r="K8359" s="7" t="s">
        <v>16957</v>
      </c>
      <c r="L8359" s="198" t="s">
        <v>65</v>
      </c>
      <c r="M8359" s="194"/>
      <c r="N8359" s="194"/>
    </row>
    <row r="8360">
      <c r="A8360" s="193" t="s">
        <v>28923</v>
      </c>
      <c r="B8360" s="7" t="s">
        <v>175</v>
      </c>
      <c r="C8360" s="7" t="s">
        <v>18723</v>
      </c>
      <c r="D8360" s="194">
        <v>2020.0</v>
      </c>
      <c r="E8360" s="193"/>
      <c r="F8360" s="195" t="s">
        <v>28924</v>
      </c>
      <c r="G8360" s="196">
        <v>1039411.0</v>
      </c>
      <c r="H8360" s="197">
        <v>0.0196</v>
      </c>
      <c r="I8360" s="7" t="s">
        <v>16908</v>
      </c>
      <c r="J8360" s="7" t="s">
        <v>175</v>
      </c>
      <c r="K8360" s="7" t="s">
        <v>18723</v>
      </c>
      <c r="L8360" s="198" t="s">
        <v>65</v>
      </c>
      <c r="M8360" s="194"/>
      <c r="N8360" s="194"/>
    </row>
    <row r="8361">
      <c r="A8361" s="193" t="s">
        <v>28925</v>
      </c>
      <c r="B8361" s="7" t="s">
        <v>187</v>
      </c>
      <c r="C8361" s="7" t="s">
        <v>16846</v>
      </c>
      <c r="D8361" s="199"/>
      <c r="E8361" s="193"/>
      <c r="F8361" s="195" t="s">
        <v>28926</v>
      </c>
      <c r="G8361" s="196">
        <v>1020949.0</v>
      </c>
      <c r="H8361" s="197">
        <v>0.0893</v>
      </c>
      <c r="I8361" s="7" t="s">
        <v>16815</v>
      </c>
      <c r="J8361" s="7" t="s">
        <v>187</v>
      </c>
      <c r="K8361" s="7" t="s">
        <v>16846</v>
      </c>
      <c r="L8361" s="198" t="s">
        <v>65</v>
      </c>
      <c r="M8361" s="199"/>
      <c r="N8361" s="199"/>
    </row>
    <row r="8362">
      <c r="A8362" s="193" t="s">
        <v>28925</v>
      </c>
      <c r="B8362" s="202" t="s">
        <v>16846</v>
      </c>
      <c r="C8362" s="193" t="s">
        <v>187</v>
      </c>
      <c r="D8362" s="206"/>
      <c r="E8362" s="193"/>
      <c r="F8362" s="203" t="s">
        <v>28926</v>
      </c>
      <c r="G8362" s="200">
        <v>1020949.0</v>
      </c>
      <c r="H8362" s="205">
        <v>0.112</v>
      </c>
      <c r="I8362" s="206"/>
      <c r="J8362" s="202" t="s">
        <v>16846</v>
      </c>
      <c r="K8362" s="193" t="s">
        <v>187</v>
      </c>
      <c r="L8362" s="193" t="s">
        <v>17471</v>
      </c>
      <c r="M8362" s="206"/>
      <c r="N8362" s="206"/>
    </row>
    <row r="8363">
      <c r="A8363" s="193" t="s">
        <v>28927</v>
      </c>
      <c r="B8363" s="7" t="s">
        <v>175</v>
      </c>
      <c r="C8363" s="7" t="s">
        <v>17812</v>
      </c>
      <c r="D8363" s="194">
        <v>2017.0</v>
      </c>
      <c r="E8363" s="193"/>
      <c r="F8363" s="195" t="s">
        <v>28928</v>
      </c>
      <c r="G8363" s="196">
        <v>1007587.0</v>
      </c>
      <c r="H8363" s="197">
        <v>0.308</v>
      </c>
      <c r="I8363" s="7" t="s">
        <v>16908</v>
      </c>
      <c r="J8363" s="7" t="s">
        <v>175</v>
      </c>
      <c r="K8363" s="7" t="s">
        <v>17812</v>
      </c>
      <c r="L8363" s="198" t="s">
        <v>65</v>
      </c>
      <c r="M8363" s="194"/>
      <c r="N8363" s="194"/>
    </row>
    <row r="8364">
      <c r="A8364" s="193" t="s">
        <v>28929</v>
      </c>
      <c r="B8364" s="7" t="s">
        <v>16910</v>
      </c>
      <c r="C8364" s="7" t="s">
        <v>16911</v>
      </c>
      <c r="D8364" s="199"/>
      <c r="E8364" s="193"/>
      <c r="F8364" s="195" t="s">
        <v>28930</v>
      </c>
      <c r="G8364" s="196">
        <v>1005564.0</v>
      </c>
      <c r="H8364" s="197">
        <v>0.0163</v>
      </c>
      <c r="I8364" s="7" t="s">
        <v>17986</v>
      </c>
      <c r="J8364" s="7" t="s">
        <v>16910</v>
      </c>
      <c r="K8364" s="7" t="s">
        <v>16911</v>
      </c>
      <c r="L8364" s="198" t="s">
        <v>65</v>
      </c>
      <c r="M8364" s="199"/>
      <c r="N8364" s="199"/>
    </row>
    <row r="8365">
      <c r="A8365" s="193" t="s">
        <v>28931</v>
      </c>
      <c r="B8365" s="7" t="s">
        <v>16838</v>
      </c>
      <c r="C8365" s="7" t="s">
        <v>18219</v>
      </c>
      <c r="D8365" s="194">
        <v>2021.0</v>
      </c>
      <c r="E8365" s="193"/>
      <c r="F8365" s="195" t="s">
        <v>28932</v>
      </c>
      <c r="G8365" s="196">
        <v>991467.0</v>
      </c>
      <c r="H8365" s="197">
        <v>0.03</v>
      </c>
      <c r="I8365" s="7" t="s">
        <v>16815</v>
      </c>
      <c r="J8365" s="7" t="s">
        <v>16838</v>
      </c>
      <c r="K8365" s="7" t="s">
        <v>18219</v>
      </c>
      <c r="L8365" s="198" t="s">
        <v>65</v>
      </c>
      <c r="M8365" s="194"/>
      <c r="N8365" s="194"/>
    </row>
    <row r="8366">
      <c r="A8366" s="193" t="s">
        <v>28933</v>
      </c>
      <c r="B8366" s="7" t="s">
        <v>175</v>
      </c>
      <c r="C8366" s="7" t="s">
        <v>17218</v>
      </c>
      <c r="D8366" s="199"/>
      <c r="E8366" s="193"/>
      <c r="F8366" s="195" t="s">
        <v>28934</v>
      </c>
      <c r="G8366" s="196">
        <v>984893.0</v>
      </c>
      <c r="H8366" s="197">
        <v>0.2188</v>
      </c>
      <c r="I8366" s="7" t="s">
        <v>16856</v>
      </c>
      <c r="J8366" s="7" t="s">
        <v>175</v>
      </c>
      <c r="K8366" s="7" t="s">
        <v>17218</v>
      </c>
      <c r="L8366" s="198" t="s">
        <v>65</v>
      </c>
      <c r="M8366" s="199"/>
      <c r="N8366" s="199"/>
    </row>
    <row r="8367">
      <c r="A8367" s="193" t="s">
        <v>28935</v>
      </c>
      <c r="B8367" s="7" t="s">
        <v>169</v>
      </c>
      <c r="C8367" s="7" t="s">
        <v>16899</v>
      </c>
      <c r="D8367" s="194">
        <v>2021.0</v>
      </c>
      <c r="E8367" s="193"/>
      <c r="F8367" s="195" t="s">
        <v>28936</v>
      </c>
      <c r="G8367" s="196">
        <v>984205.0</v>
      </c>
      <c r="H8367" s="197">
        <v>0.0157</v>
      </c>
      <c r="I8367" s="7" t="s">
        <v>16815</v>
      </c>
      <c r="J8367" s="7" t="s">
        <v>169</v>
      </c>
      <c r="K8367" s="7" t="s">
        <v>16899</v>
      </c>
      <c r="L8367" s="198" t="s">
        <v>65</v>
      </c>
      <c r="M8367" s="194"/>
      <c r="N8367" s="194"/>
    </row>
    <row r="8368">
      <c r="A8368" s="193" t="s">
        <v>28937</v>
      </c>
      <c r="B8368" s="7" t="s">
        <v>187</v>
      </c>
      <c r="C8368" s="7" t="s">
        <v>16858</v>
      </c>
      <c r="D8368" s="194">
        <v>2022.0</v>
      </c>
      <c r="E8368" s="193"/>
      <c r="F8368" s="195" t="s">
        <v>28938</v>
      </c>
      <c r="G8368" s="196">
        <v>967184.0</v>
      </c>
      <c r="H8368" s="197">
        <v>0.39</v>
      </c>
      <c r="I8368" s="7" t="s">
        <v>16815</v>
      </c>
      <c r="J8368" s="7" t="s">
        <v>187</v>
      </c>
      <c r="K8368" s="7" t="s">
        <v>16858</v>
      </c>
      <c r="L8368" s="198" t="s">
        <v>65</v>
      </c>
      <c r="M8368" s="194"/>
      <c r="N8368" s="194"/>
    </row>
    <row r="8369">
      <c r="A8369" s="193" t="s">
        <v>28939</v>
      </c>
      <c r="B8369" s="7" t="s">
        <v>16919</v>
      </c>
      <c r="C8369" s="7" t="s">
        <v>16920</v>
      </c>
      <c r="D8369" s="199"/>
      <c r="E8369" s="193"/>
      <c r="F8369" s="195" t="s">
        <v>28940</v>
      </c>
      <c r="G8369" s="196">
        <v>966395.0</v>
      </c>
      <c r="H8369" s="197">
        <v>0.07</v>
      </c>
      <c r="I8369" s="7" t="s">
        <v>16815</v>
      </c>
      <c r="J8369" s="7" t="s">
        <v>16919</v>
      </c>
      <c r="K8369" s="7" t="s">
        <v>16920</v>
      </c>
      <c r="L8369" s="198" t="s">
        <v>65</v>
      </c>
      <c r="M8369" s="199"/>
      <c r="N8369" s="199"/>
    </row>
    <row r="8370">
      <c r="A8370" s="193" t="s">
        <v>28941</v>
      </c>
      <c r="B8370" s="7" t="s">
        <v>187</v>
      </c>
      <c r="C8370" s="7" t="s">
        <v>17564</v>
      </c>
      <c r="D8370" s="194">
        <v>2022.0</v>
      </c>
      <c r="E8370" s="193"/>
      <c r="F8370" s="195" t="s">
        <v>28942</v>
      </c>
      <c r="G8370" s="196">
        <v>966080.0</v>
      </c>
      <c r="H8370" s="197">
        <v>0.11</v>
      </c>
      <c r="I8370" s="7" t="s">
        <v>16815</v>
      </c>
      <c r="J8370" s="7" t="s">
        <v>187</v>
      </c>
      <c r="K8370" s="7" t="s">
        <v>17564</v>
      </c>
      <c r="L8370" s="198" t="s">
        <v>65</v>
      </c>
      <c r="M8370" s="194"/>
      <c r="N8370" s="194"/>
    </row>
    <row r="8371">
      <c r="A8371" s="193" t="s">
        <v>28943</v>
      </c>
      <c r="B8371" s="7" t="s">
        <v>175</v>
      </c>
      <c r="C8371" s="7" t="s">
        <v>17391</v>
      </c>
      <c r="D8371" s="199"/>
      <c r="E8371" s="193"/>
      <c r="F8371" s="195" t="s">
        <v>28944</v>
      </c>
      <c r="G8371" s="196">
        <v>957045.0</v>
      </c>
      <c r="H8371" s="197">
        <v>0.3718</v>
      </c>
      <c r="I8371" s="7" t="s">
        <v>168</v>
      </c>
      <c r="J8371" s="7" t="s">
        <v>175</v>
      </c>
      <c r="K8371" s="7" t="s">
        <v>17391</v>
      </c>
      <c r="L8371" s="198" t="s">
        <v>65</v>
      </c>
      <c r="M8371" s="199"/>
      <c r="N8371" s="199"/>
    </row>
    <row r="8372">
      <c r="A8372" s="193" t="s">
        <v>28945</v>
      </c>
      <c r="B8372" s="7" t="s">
        <v>16582</v>
      </c>
      <c r="C8372" s="7" t="s">
        <v>16828</v>
      </c>
      <c r="D8372" s="194">
        <v>2018.0</v>
      </c>
      <c r="E8372" s="193"/>
      <c r="F8372" s="195" t="s">
        <v>28946</v>
      </c>
      <c r="G8372" s="196">
        <v>954094.0</v>
      </c>
      <c r="H8372" s="197">
        <v>0.145</v>
      </c>
      <c r="I8372" s="7" t="s">
        <v>16815</v>
      </c>
      <c r="J8372" s="7" t="s">
        <v>16582</v>
      </c>
      <c r="K8372" s="7" t="s">
        <v>16828</v>
      </c>
      <c r="L8372" s="198" t="s">
        <v>65</v>
      </c>
      <c r="M8372" s="194"/>
      <c r="N8372" s="194"/>
    </row>
    <row r="8373">
      <c r="A8373" s="193" t="s">
        <v>28947</v>
      </c>
      <c r="B8373" s="7" t="s">
        <v>16582</v>
      </c>
      <c r="C8373" s="7" t="s">
        <v>17339</v>
      </c>
      <c r="D8373" s="199"/>
      <c r="E8373" s="193"/>
      <c r="F8373" s="195" t="s">
        <v>28948</v>
      </c>
      <c r="G8373" s="196">
        <v>935139.0</v>
      </c>
      <c r="H8373" s="197">
        <v>0.9367</v>
      </c>
      <c r="I8373" s="7" t="s">
        <v>16815</v>
      </c>
      <c r="J8373" s="7" t="s">
        <v>16582</v>
      </c>
      <c r="K8373" s="7" t="s">
        <v>17339</v>
      </c>
      <c r="L8373" s="198" t="s">
        <v>65</v>
      </c>
      <c r="M8373" s="199"/>
      <c r="N8373" s="199"/>
    </row>
    <row r="8374">
      <c r="A8374" s="193" t="s">
        <v>28949</v>
      </c>
      <c r="B8374" s="7" t="s">
        <v>16582</v>
      </c>
      <c r="C8374" s="7" t="s">
        <v>16930</v>
      </c>
      <c r="D8374" s="194">
        <v>2021.0</v>
      </c>
      <c r="E8374" s="193"/>
      <c r="F8374" s="195" t="s">
        <v>28950</v>
      </c>
      <c r="G8374" s="196">
        <v>932113.0</v>
      </c>
      <c r="H8374" s="197">
        <v>0.07</v>
      </c>
      <c r="I8374" s="7" t="s">
        <v>16815</v>
      </c>
      <c r="J8374" s="7" t="s">
        <v>16582</v>
      </c>
      <c r="K8374" s="7" t="s">
        <v>16930</v>
      </c>
      <c r="L8374" s="198" t="s">
        <v>65</v>
      </c>
      <c r="M8374" s="194"/>
      <c r="N8374" s="194"/>
    </row>
    <row r="8375">
      <c r="A8375" s="193" t="s">
        <v>28951</v>
      </c>
      <c r="B8375" s="7" t="s">
        <v>158</v>
      </c>
      <c r="C8375" s="7" t="s">
        <v>16864</v>
      </c>
      <c r="D8375" s="199"/>
      <c r="E8375" s="193"/>
      <c r="F8375" s="195" t="s">
        <v>28952</v>
      </c>
      <c r="G8375" s="196">
        <v>917534.0</v>
      </c>
      <c r="H8375" s="197">
        <v>0.3889</v>
      </c>
      <c r="I8375" s="7" t="s">
        <v>17316</v>
      </c>
      <c r="J8375" s="7" t="s">
        <v>158</v>
      </c>
      <c r="K8375" s="7" t="s">
        <v>16864</v>
      </c>
      <c r="L8375" s="198" t="s">
        <v>65</v>
      </c>
      <c r="M8375" s="199"/>
      <c r="N8375" s="199"/>
    </row>
    <row r="8376">
      <c r="A8376" s="193" t="s">
        <v>28953</v>
      </c>
      <c r="B8376" s="7" t="s">
        <v>187</v>
      </c>
      <c r="C8376" s="7" t="s">
        <v>17559</v>
      </c>
      <c r="D8376" s="194">
        <v>2022.0</v>
      </c>
      <c r="E8376" s="193"/>
      <c r="F8376" s="195" t="s">
        <v>28954</v>
      </c>
      <c r="G8376" s="196">
        <v>903236.0</v>
      </c>
      <c r="H8376" s="197">
        <v>0.0767</v>
      </c>
      <c r="I8376" s="7" t="s">
        <v>16815</v>
      </c>
      <c r="J8376" s="7" t="s">
        <v>187</v>
      </c>
      <c r="K8376" s="7" t="s">
        <v>17559</v>
      </c>
      <c r="L8376" s="198" t="s">
        <v>65</v>
      </c>
      <c r="M8376" s="194"/>
      <c r="N8376" s="194"/>
    </row>
    <row r="8377">
      <c r="A8377" s="193" t="s">
        <v>28955</v>
      </c>
      <c r="B8377" s="7" t="s">
        <v>17112</v>
      </c>
      <c r="C8377" s="7" t="s">
        <v>17111</v>
      </c>
      <c r="D8377" s="199"/>
      <c r="E8377" s="193"/>
      <c r="F8377" s="195" t="s">
        <v>28956</v>
      </c>
      <c r="G8377" s="196">
        <v>889980.0</v>
      </c>
      <c r="H8377" s="197">
        <v>0.34</v>
      </c>
      <c r="I8377" s="7" t="s">
        <v>16815</v>
      </c>
      <c r="J8377" s="7" t="s">
        <v>17112</v>
      </c>
      <c r="K8377" s="7" t="s">
        <v>17111</v>
      </c>
      <c r="L8377" s="198" t="s">
        <v>65</v>
      </c>
      <c r="M8377" s="199"/>
      <c r="N8377" s="199"/>
    </row>
    <row r="8378">
      <c r="A8378" s="193" t="s">
        <v>28957</v>
      </c>
      <c r="B8378" s="7" t="s">
        <v>16582</v>
      </c>
      <c r="C8378" s="7" t="s">
        <v>16817</v>
      </c>
      <c r="D8378" s="199"/>
      <c r="E8378" s="193"/>
      <c r="F8378" s="195" t="s">
        <v>27238</v>
      </c>
      <c r="G8378" s="196">
        <v>880400.0</v>
      </c>
      <c r="H8378" s="197">
        <v>0.0064</v>
      </c>
      <c r="I8378" s="7" t="s">
        <v>16815</v>
      </c>
      <c r="J8378" s="7" t="s">
        <v>16582</v>
      </c>
      <c r="K8378" s="7" t="s">
        <v>16817</v>
      </c>
      <c r="L8378" s="198" t="s">
        <v>65</v>
      </c>
      <c r="M8378" s="199"/>
      <c r="N8378" s="199"/>
    </row>
    <row r="8379">
      <c r="A8379" s="193" t="s">
        <v>28958</v>
      </c>
      <c r="B8379" s="7" t="s">
        <v>187</v>
      </c>
      <c r="C8379" s="7" t="s">
        <v>16851</v>
      </c>
      <c r="D8379" s="194">
        <v>2022.0</v>
      </c>
      <c r="E8379" s="193"/>
      <c r="F8379" s="195" t="s">
        <v>28959</v>
      </c>
      <c r="G8379" s="196">
        <v>873678.0</v>
      </c>
      <c r="H8379" s="197">
        <v>0.08</v>
      </c>
      <c r="I8379" s="7" t="s">
        <v>16815</v>
      </c>
      <c r="J8379" s="7" t="s">
        <v>187</v>
      </c>
      <c r="K8379" s="7" t="s">
        <v>16851</v>
      </c>
      <c r="L8379" s="198" t="s">
        <v>65</v>
      </c>
      <c r="M8379" s="194"/>
      <c r="N8379" s="194"/>
    </row>
    <row r="8380">
      <c r="A8380" s="193" t="s">
        <v>28960</v>
      </c>
      <c r="B8380" s="7" t="s">
        <v>17112</v>
      </c>
      <c r="C8380" s="7" t="s">
        <v>17111</v>
      </c>
      <c r="D8380" s="194">
        <v>2020.0</v>
      </c>
      <c r="E8380" s="193"/>
      <c r="F8380" s="195" t="s">
        <v>28961</v>
      </c>
      <c r="G8380" s="196">
        <v>844509.0</v>
      </c>
      <c r="H8380" s="197">
        <v>0.6128</v>
      </c>
      <c r="I8380" s="7" t="s">
        <v>16815</v>
      </c>
      <c r="J8380" s="7" t="s">
        <v>17112</v>
      </c>
      <c r="K8380" s="7" t="s">
        <v>17111</v>
      </c>
      <c r="L8380" s="198" t="s">
        <v>65</v>
      </c>
      <c r="M8380" s="194"/>
      <c r="N8380" s="194"/>
    </row>
    <row r="8381">
      <c r="A8381" s="193" t="s">
        <v>28962</v>
      </c>
      <c r="B8381" s="7" t="s">
        <v>17629</v>
      </c>
      <c r="C8381" s="7" t="s">
        <v>17452</v>
      </c>
      <c r="D8381" s="194">
        <v>2017.0</v>
      </c>
      <c r="E8381" s="193"/>
      <c r="F8381" s="195" t="s">
        <v>28963</v>
      </c>
      <c r="G8381" s="196">
        <v>834689.0</v>
      </c>
      <c r="H8381" s="197">
        <v>0.5907</v>
      </c>
      <c r="I8381" s="7" t="s">
        <v>16815</v>
      </c>
      <c r="J8381" s="7" t="s">
        <v>17629</v>
      </c>
      <c r="K8381" s="7" t="s">
        <v>17452</v>
      </c>
      <c r="L8381" s="198" t="s">
        <v>65</v>
      </c>
      <c r="M8381" s="194"/>
      <c r="N8381" s="194"/>
    </row>
    <row r="8382">
      <c r="A8382" s="193" t="s">
        <v>28964</v>
      </c>
      <c r="B8382" s="7" t="s">
        <v>187</v>
      </c>
      <c r="C8382" s="7" t="s">
        <v>16969</v>
      </c>
      <c r="D8382" s="194">
        <v>2016.0</v>
      </c>
      <c r="E8382" s="193"/>
      <c r="F8382" s="195" t="s">
        <v>28965</v>
      </c>
      <c r="G8382" s="196">
        <v>830314.0</v>
      </c>
      <c r="H8382" s="197">
        <v>0.2405</v>
      </c>
      <c r="I8382" s="7" t="s">
        <v>16815</v>
      </c>
      <c r="J8382" s="7" t="s">
        <v>187</v>
      </c>
      <c r="K8382" s="7" t="s">
        <v>16969</v>
      </c>
      <c r="L8382" s="198" t="s">
        <v>65</v>
      </c>
      <c r="M8382" s="194"/>
      <c r="N8382" s="194"/>
    </row>
    <row r="8383">
      <c r="A8383" s="193" t="s">
        <v>28966</v>
      </c>
      <c r="B8383" s="7" t="s">
        <v>187</v>
      </c>
      <c r="C8383" s="7" t="s">
        <v>16846</v>
      </c>
      <c r="D8383" s="194">
        <v>2020.0</v>
      </c>
      <c r="E8383" s="193"/>
      <c r="F8383" s="195" t="s">
        <v>28967</v>
      </c>
      <c r="G8383" s="196">
        <v>793418.0</v>
      </c>
      <c r="H8383" s="197">
        <v>4.17</v>
      </c>
      <c r="I8383" s="7" t="s">
        <v>16815</v>
      </c>
      <c r="J8383" s="7" t="s">
        <v>187</v>
      </c>
      <c r="K8383" s="7" t="s">
        <v>16846</v>
      </c>
      <c r="L8383" s="198" t="s">
        <v>65</v>
      </c>
      <c r="M8383" s="194"/>
      <c r="N8383" s="194"/>
    </row>
    <row r="8384">
      <c r="A8384" s="193" t="s">
        <v>28968</v>
      </c>
      <c r="B8384" s="7" t="s">
        <v>17112</v>
      </c>
      <c r="C8384" s="7" t="s">
        <v>17111</v>
      </c>
      <c r="D8384" s="194">
        <v>2012.0</v>
      </c>
      <c r="E8384" s="193"/>
      <c r="F8384" s="195" t="s">
        <v>28969</v>
      </c>
      <c r="G8384" s="196">
        <v>786022.0</v>
      </c>
      <c r="H8384" s="197">
        <v>0.2436</v>
      </c>
      <c r="I8384" s="7" t="s">
        <v>16815</v>
      </c>
      <c r="J8384" s="7" t="s">
        <v>17112</v>
      </c>
      <c r="K8384" s="7" t="s">
        <v>17111</v>
      </c>
      <c r="L8384" s="198" t="s">
        <v>65</v>
      </c>
      <c r="M8384" s="194"/>
      <c r="N8384" s="194"/>
    </row>
    <row r="8385">
      <c r="A8385" s="193" t="s">
        <v>28970</v>
      </c>
      <c r="B8385" s="7" t="s">
        <v>16838</v>
      </c>
      <c r="C8385" s="7" t="s">
        <v>18219</v>
      </c>
      <c r="D8385" s="194">
        <v>2021.0</v>
      </c>
      <c r="E8385" s="193"/>
      <c r="F8385" s="195" t="s">
        <v>28971</v>
      </c>
      <c r="G8385" s="196">
        <v>759079.0</v>
      </c>
      <c r="H8385" s="197">
        <v>0.017</v>
      </c>
      <c r="I8385" s="7" t="s">
        <v>16815</v>
      </c>
      <c r="J8385" s="7" t="s">
        <v>16838</v>
      </c>
      <c r="K8385" s="7" t="s">
        <v>18219</v>
      </c>
      <c r="L8385" s="198" t="s">
        <v>65</v>
      </c>
      <c r="M8385" s="194"/>
      <c r="N8385" s="194"/>
    </row>
    <row r="8386">
      <c r="A8386" s="193" t="s">
        <v>28972</v>
      </c>
      <c r="B8386" s="7" t="s">
        <v>16582</v>
      </c>
      <c r="C8386" s="7" t="s">
        <v>16930</v>
      </c>
      <c r="D8386" s="194">
        <v>2020.0</v>
      </c>
      <c r="E8386" s="193"/>
      <c r="F8386" s="195" t="s">
        <v>28973</v>
      </c>
      <c r="G8386" s="196">
        <v>754829.0</v>
      </c>
      <c r="H8386" s="197">
        <v>0.0104</v>
      </c>
      <c r="I8386" s="7" t="s">
        <v>16815</v>
      </c>
      <c r="J8386" s="7" t="s">
        <v>16582</v>
      </c>
      <c r="K8386" s="7" t="s">
        <v>16930</v>
      </c>
      <c r="L8386" s="198" t="s">
        <v>65</v>
      </c>
      <c r="M8386" s="194"/>
      <c r="N8386" s="194"/>
    </row>
    <row r="8387">
      <c r="A8387" s="193" t="s">
        <v>28974</v>
      </c>
      <c r="B8387" s="7" t="s">
        <v>187</v>
      </c>
      <c r="C8387" s="7" t="s">
        <v>16846</v>
      </c>
      <c r="D8387" s="194">
        <v>2014.0</v>
      </c>
      <c r="E8387" s="193"/>
      <c r="F8387" s="195" t="s">
        <v>28975</v>
      </c>
      <c r="G8387" s="196">
        <v>744435.0</v>
      </c>
      <c r="H8387" s="197">
        <v>0.1065</v>
      </c>
      <c r="I8387" s="7" t="s">
        <v>16815</v>
      </c>
      <c r="J8387" s="7" t="s">
        <v>187</v>
      </c>
      <c r="K8387" s="7" t="s">
        <v>16846</v>
      </c>
      <c r="L8387" s="198" t="s">
        <v>65</v>
      </c>
      <c r="M8387" s="194"/>
      <c r="N8387" s="194"/>
    </row>
    <row r="8388">
      <c r="A8388" s="193" t="s">
        <v>28976</v>
      </c>
      <c r="B8388" s="7" t="s">
        <v>16838</v>
      </c>
      <c r="C8388" s="7" t="s">
        <v>18219</v>
      </c>
      <c r="D8388" s="199"/>
      <c r="E8388" s="193"/>
      <c r="F8388" s="195" t="s">
        <v>28977</v>
      </c>
      <c r="G8388" s="196">
        <v>724649.0</v>
      </c>
      <c r="H8388" s="197">
        <v>0.016</v>
      </c>
      <c r="I8388" s="7" t="s">
        <v>16815</v>
      </c>
      <c r="J8388" s="7" t="s">
        <v>16838</v>
      </c>
      <c r="K8388" s="7" t="s">
        <v>18219</v>
      </c>
      <c r="L8388" s="198" t="s">
        <v>65</v>
      </c>
      <c r="M8388" s="199"/>
      <c r="N8388" s="199"/>
    </row>
    <row r="8389">
      <c r="A8389" s="193" t="s">
        <v>28978</v>
      </c>
      <c r="B8389" s="7" t="s">
        <v>187</v>
      </c>
      <c r="C8389" s="7" t="s">
        <v>16846</v>
      </c>
      <c r="D8389" s="194">
        <v>2007.0</v>
      </c>
      <c r="E8389" s="193"/>
      <c r="F8389" s="195" t="s">
        <v>28979</v>
      </c>
      <c r="G8389" s="196">
        <v>723073.0</v>
      </c>
      <c r="H8389" s="197">
        <v>0.1406</v>
      </c>
      <c r="I8389" s="7" t="s">
        <v>16815</v>
      </c>
      <c r="J8389" s="7" t="s">
        <v>187</v>
      </c>
      <c r="K8389" s="7" t="s">
        <v>16846</v>
      </c>
      <c r="L8389" s="198" t="s">
        <v>65</v>
      </c>
      <c r="M8389" s="194"/>
      <c r="N8389" s="194"/>
    </row>
    <row r="8390">
      <c r="A8390" s="193" t="s">
        <v>28980</v>
      </c>
      <c r="B8390" s="7" t="s">
        <v>169</v>
      </c>
      <c r="C8390" s="7" t="s">
        <v>17738</v>
      </c>
      <c r="D8390" s="194">
        <v>2016.0</v>
      </c>
      <c r="E8390" s="193"/>
      <c r="F8390" s="195" t="s">
        <v>28981</v>
      </c>
      <c r="G8390" s="196">
        <v>707030.0</v>
      </c>
      <c r="H8390" s="197">
        <v>0.2385</v>
      </c>
      <c r="I8390" s="7" t="s">
        <v>16815</v>
      </c>
      <c r="J8390" s="7" t="s">
        <v>169</v>
      </c>
      <c r="K8390" s="7" t="s">
        <v>17738</v>
      </c>
      <c r="L8390" s="198" t="s">
        <v>65</v>
      </c>
      <c r="M8390" s="194"/>
      <c r="N8390" s="194"/>
    </row>
    <row r="8391">
      <c r="A8391" s="193" t="s">
        <v>28982</v>
      </c>
      <c r="B8391" s="7" t="s">
        <v>16838</v>
      </c>
      <c r="C8391" s="7" t="s">
        <v>17202</v>
      </c>
      <c r="D8391" s="199"/>
      <c r="E8391" s="193"/>
      <c r="F8391" s="195" t="s">
        <v>28983</v>
      </c>
      <c r="G8391" s="196">
        <v>702843.0</v>
      </c>
      <c r="H8391" s="197">
        <v>0.0745</v>
      </c>
      <c r="I8391" s="7" t="s">
        <v>16815</v>
      </c>
      <c r="J8391" s="7" t="s">
        <v>16838</v>
      </c>
      <c r="K8391" s="7" t="s">
        <v>17202</v>
      </c>
      <c r="L8391" s="198" t="s">
        <v>65</v>
      </c>
      <c r="M8391" s="199"/>
      <c r="N8391" s="199"/>
    </row>
    <row r="8392">
      <c r="A8392" s="193" t="s">
        <v>28984</v>
      </c>
      <c r="B8392" s="7" t="s">
        <v>187</v>
      </c>
      <c r="C8392" s="7" t="s">
        <v>16846</v>
      </c>
      <c r="D8392" s="194">
        <v>2021.0</v>
      </c>
      <c r="E8392" s="193"/>
      <c r="F8392" s="195" t="s">
        <v>28985</v>
      </c>
      <c r="G8392" s="196">
        <v>697845.0</v>
      </c>
      <c r="H8392" s="197">
        <v>0.3445</v>
      </c>
      <c r="I8392" s="7" t="s">
        <v>16815</v>
      </c>
      <c r="J8392" s="7" t="s">
        <v>187</v>
      </c>
      <c r="K8392" s="7" t="s">
        <v>16846</v>
      </c>
      <c r="L8392" s="198" t="s">
        <v>65</v>
      </c>
      <c r="M8392" s="194"/>
      <c r="N8392" s="194"/>
    </row>
    <row r="8393">
      <c r="A8393" s="193" t="s">
        <v>28986</v>
      </c>
      <c r="B8393" s="7" t="s">
        <v>175</v>
      </c>
      <c r="C8393" s="7" t="s">
        <v>16972</v>
      </c>
      <c r="D8393" s="199"/>
      <c r="E8393" s="193"/>
      <c r="F8393" s="195" t="s">
        <v>28987</v>
      </c>
      <c r="G8393" s="196">
        <v>693492.0</v>
      </c>
      <c r="H8393" s="197">
        <v>0.0103</v>
      </c>
      <c r="I8393" s="7" t="s">
        <v>16908</v>
      </c>
      <c r="J8393" s="7" t="s">
        <v>175</v>
      </c>
      <c r="K8393" s="7" t="s">
        <v>16972</v>
      </c>
      <c r="L8393" s="198" t="s">
        <v>65</v>
      </c>
      <c r="M8393" s="199"/>
      <c r="N8393" s="199"/>
    </row>
    <row r="8394">
      <c r="A8394" s="193" t="s">
        <v>28988</v>
      </c>
      <c r="B8394" s="7" t="s">
        <v>16838</v>
      </c>
      <c r="C8394" s="7" t="s">
        <v>17112</v>
      </c>
      <c r="D8394" s="199"/>
      <c r="E8394" s="193"/>
      <c r="F8394" s="195" t="s">
        <v>28989</v>
      </c>
      <c r="G8394" s="196">
        <v>689662.0</v>
      </c>
      <c r="H8394" s="197">
        <v>0.7989</v>
      </c>
      <c r="I8394" s="7" t="s">
        <v>16815</v>
      </c>
      <c r="J8394" s="7" t="s">
        <v>16838</v>
      </c>
      <c r="K8394" s="7" t="s">
        <v>17112</v>
      </c>
      <c r="L8394" s="198" t="s">
        <v>65</v>
      </c>
      <c r="M8394" s="199"/>
      <c r="N8394" s="199"/>
    </row>
    <row r="8395">
      <c r="A8395" s="193" t="s">
        <v>28990</v>
      </c>
      <c r="B8395" s="7" t="s">
        <v>187</v>
      </c>
      <c r="C8395" s="7" t="s">
        <v>16846</v>
      </c>
      <c r="D8395" s="199"/>
      <c r="E8395" s="193"/>
      <c r="F8395" s="195" t="s">
        <v>28991</v>
      </c>
      <c r="G8395" s="196">
        <v>668874.0</v>
      </c>
      <c r="H8395" s="197">
        <v>0.383</v>
      </c>
      <c r="I8395" s="7" t="s">
        <v>16815</v>
      </c>
      <c r="J8395" s="7" t="s">
        <v>187</v>
      </c>
      <c r="K8395" s="7" t="s">
        <v>16846</v>
      </c>
      <c r="L8395" s="198" t="s">
        <v>65</v>
      </c>
      <c r="M8395" s="199"/>
      <c r="N8395" s="199"/>
    </row>
    <row r="8396">
      <c r="A8396" s="193" t="s">
        <v>28992</v>
      </c>
      <c r="B8396" s="7" t="s">
        <v>16582</v>
      </c>
      <c r="C8396" s="7" t="s">
        <v>16899</v>
      </c>
      <c r="D8396" s="199"/>
      <c r="E8396" s="193"/>
      <c r="F8396" s="195" t="s">
        <v>28993</v>
      </c>
      <c r="G8396" s="196">
        <v>667096.0</v>
      </c>
      <c r="H8396" s="197">
        <v>0.221</v>
      </c>
      <c r="I8396" s="7" t="s">
        <v>16815</v>
      </c>
      <c r="J8396" s="7" t="s">
        <v>16582</v>
      </c>
      <c r="K8396" s="7" t="s">
        <v>16899</v>
      </c>
      <c r="L8396" s="198" t="s">
        <v>65</v>
      </c>
      <c r="M8396" s="199"/>
      <c r="N8396" s="199"/>
    </row>
    <row r="8397">
      <c r="A8397" s="193" t="s">
        <v>28994</v>
      </c>
      <c r="B8397" s="7" t="s">
        <v>16838</v>
      </c>
      <c r="C8397" s="7" t="s">
        <v>17016</v>
      </c>
      <c r="D8397" s="199"/>
      <c r="E8397" s="193"/>
      <c r="F8397" s="195" t="s">
        <v>28995</v>
      </c>
      <c r="G8397" s="196">
        <v>662395.0</v>
      </c>
      <c r="H8397" s="197">
        <v>0.305</v>
      </c>
      <c r="I8397" s="7" t="s">
        <v>16815</v>
      </c>
      <c r="J8397" s="7" t="s">
        <v>16838</v>
      </c>
      <c r="K8397" s="7" t="s">
        <v>17016</v>
      </c>
      <c r="L8397" s="198" t="s">
        <v>65</v>
      </c>
      <c r="M8397" s="199"/>
      <c r="N8397" s="199"/>
    </row>
    <row r="8398">
      <c r="A8398" s="193" t="s">
        <v>28994</v>
      </c>
      <c r="B8398" s="202" t="s">
        <v>17016</v>
      </c>
      <c r="C8398" s="193" t="s">
        <v>16838</v>
      </c>
      <c r="D8398" s="206"/>
      <c r="E8398" s="193"/>
      <c r="F8398" s="203" t="s">
        <v>28995</v>
      </c>
      <c r="G8398" s="200">
        <v>662395.0</v>
      </c>
      <c r="H8398" s="205">
        <v>0.0893</v>
      </c>
      <c r="I8398" s="206"/>
      <c r="J8398" s="202" t="s">
        <v>17016</v>
      </c>
      <c r="K8398" s="193" t="s">
        <v>16838</v>
      </c>
      <c r="L8398" s="193" t="s">
        <v>17471</v>
      </c>
      <c r="M8398" s="206"/>
      <c r="N8398" s="206"/>
    </row>
    <row r="8399">
      <c r="A8399" s="193" t="s">
        <v>28996</v>
      </c>
      <c r="B8399" s="7" t="s">
        <v>187</v>
      </c>
      <c r="C8399" s="7" t="s">
        <v>16846</v>
      </c>
      <c r="D8399" s="194">
        <v>2014.0</v>
      </c>
      <c r="E8399" s="193"/>
      <c r="F8399" s="195" t="s">
        <v>28997</v>
      </c>
      <c r="G8399" s="196">
        <v>636216.0</v>
      </c>
      <c r="H8399" s="197">
        <v>0.3787</v>
      </c>
      <c r="I8399" s="7" t="s">
        <v>16815</v>
      </c>
      <c r="J8399" s="7" t="s">
        <v>187</v>
      </c>
      <c r="K8399" s="7" t="s">
        <v>16846</v>
      </c>
      <c r="L8399" s="198" t="s">
        <v>65</v>
      </c>
      <c r="M8399" s="194"/>
      <c r="N8399" s="194"/>
    </row>
    <row r="8400">
      <c r="A8400" s="193" t="s">
        <v>28998</v>
      </c>
      <c r="B8400" s="7" t="s">
        <v>169</v>
      </c>
      <c r="C8400" s="7" t="s">
        <v>16899</v>
      </c>
      <c r="D8400" s="194">
        <v>2021.0</v>
      </c>
      <c r="E8400" s="193"/>
      <c r="F8400" s="195" t="s">
        <v>28999</v>
      </c>
      <c r="G8400" s="196">
        <v>618270.0</v>
      </c>
      <c r="H8400" s="197">
        <v>0.0081</v>
      </c>
      <c r="I8400" s="7" t="s">
        <v>16815</v>
      </c>
      <c r="J8400" s="7" t="s">
        <v>169</v>
      </c>
      <c r="K8400" s="7" t="s">
        <v>16899</v>
      </c>
      <c r="L8400" s="198" t="s">
        <v>65</v>
      </c>
      <c r="M8400" s="194"/>
      <c r="N8400" s="194"/>
    </row>
    <row r="8401">
      <c r="A8401" s="193" t="s">
        <v>29000</v>
      </c>
      <c r="B8401" s="7" t="s">
        <v>16582</v>
      </c>
      <c r="C8401" s="7" t="s">
        <v>16583</v>
      </c>
      <c r="D8401" s="199"/>
      <c r="E8401" s="193"/>
      <c r="F8401" s="195" t="s">
        <v>29001</v>
      </c>
      <c r="G8401" s="196">
        <v>578839.0</v>
      </c>
      <c r="H8401" s="197">
        <v>1.28</v>
      </c>
      <c r="I8401" s="7" t="s">
        <v>16815</v>
      </c>
      <c r="J8401" s="7" t="s">
        <v>16582</v>
      </c>
      <c r="K8401" s="7" t="s">
        <v>16583</v>
      </c>
      <c r="L8401" s="198" t="s">
        <v>65</v>
      </c>
      <c r="M8401" s="199"/>
      <c r="N8401" s="199"/>
    </row>
    <row r="8402">
      <c r="A8402" s="193" t="s">
        <v>29002</v>
      </c>
      <c r="B8402" s="7" t="s">
        <v>187</v>
      </c>
      <c r="C8402" s="7" t="s">
        <v>16846</v>
      </c>
      <c r="D8402" s="194">
        <v>2021.0</v>
      </c>
      <c r="E8402" s="193"/>
      <c r="F8402" s="195" t="s">
        <v>29003</v>
      </c>
      <c r="G8402" s="196">
        <v>577557.0</v>
      </c>
      <c r="H8402" s="197">
        <v>0.0311</v>
      </c>
      <c r="I8402" s="7" t="s">
        <v>16815</v>
      </c>
      <c r="J8402" s="7" t="s">
        <v>187</v>
      </c>
      <c r="K8402" s="7" t="s">
        <v>16846</v>
      </c>
      <c r="L8402" s="198" t="s">
        <v>65</v>
      </c>
      <c r="M8402" s="194"/>
      <c r="N8402" s="194"/>
    </row>
    <row r="8403">
      <c r="A8403" s="193" t="s">
        <v>29004</v>
      </c>
      <c r="D8403" s="194">
        <v>2022.0</v>
      </c>
      <c r="E8403" s="193"/>
      <c r="F8403" s="195" t="s">
        <v>29005</v>
      </c>
      <c r="G8403" s="196">
        <v>551938.0</v>
      </c>
      <c r="H8403" s="197">
        <v>0.0343</v>
      </c>
      <c r="I8403" s="7" t="s">
        <v>16815</v>
      </c>
      <c r="L8403" s="198" t="s">
        <v>65</v>
      </c>
      <c r="M8403" s="194"/>
      <c r="N8403" s="194"/>
    </row>
    <row r="8404">
      <c r="A8404" s="193" t="s">
        <v>29006</v>
      </c>
      <c r="B8404" s="7" t="s">
        <v>187</v>
      </c>
      <c r="C8404" s="7" t="s">
        <v>16858</v>
      </c>
      <c r="D8404" s="199"/>
      <c r="E8404" s="193"/>
      <c r="F8404" s="195" t="s">
        <v>29007</v>
      </c>
      <c r="G8404" s="196">
        <v>540801.0</v>
      </c>
      <c r="H8404" s="197">
        <v>0.0199</v>
      </c>
      <c r="I8404" s="7" t="s">
        <v>16815</v>
      </c>
      <c r="J8404" s="7" t="s">
        <v>187</v>
      </c>
      <c r="K8404" s="7" t="s">
        <v>16858</v>
      </c>
      <c r="L8404" s="198" t="s">
        <v>65</v>
      </c>
      <c r="M8404" s="199"/>
      <c r="N8404" s="199"/>
    </row>
    <row r="8405">
      <c r="A8405" s="193" t="s">
        <v>29008</v>
      </c>
      <c r="B8405" s="7" t="s">
        <v>16582</v>
      </c>
      <c r="C8405" s="7" t="s">
        <v>16930</v>
      </c>
      <c r="D8405" s="194">
        <v>2021.0</v>
      </c>
      <c r="E8405" s="193"/>
      <c r="F8405" s="195" t="s">
        <v>29009</v>
      </c>
      <c r="G8405" s="196">
        <v>512280.0</v>
      </c>
      <c r="H8405" s="197">
        <v>0.0099</v>
      </c>
      <c r="I8405" s="7" t="s">
        <v>16815</v>
      </c>
      <c r="J8405" s="7" t="s">
        <v>16582</v>
      </c>
      <c r="K8405" s="7" t="s">
        <v>16930</v>
      </c>
      <c r="L8405" s="198" t="s">
        <v>65</v>
      </c>
      <c r="M8405" s="194"/>
      <c r="N8405" s="194"/>
    </row>
    <row r="8406">
      <c r="A8406" s="193" t="s">
        <v>29010</v>
      </c>
      <c r="B8406" s="7" t="s">
        <v>16582</v>
      </c>
      <c r="C8406" s="7" t="s">
        <v>16817</v>
      </c>
      <c r="D8406" s="194">
        <v>2021.0</v>
      </c>
      <c r="E8406" s="193"/>
      <c r="F8406" s="195" t="s">
        <v>29011</v>
      </c>
      <c r="G8406" s="196">
        <v>479196.0</v>
      </c>
      <c r="H8406" s="197">
        <v>0.1044</v>
      </c>
      <c r="I8406" s="7" t="s">
        <v>16815</v>
      </c>
      <c r="J8406" s="7" t="s">
        <v>16582</v>
      </c>
      <c r="K8406" s="7" t="s">
        <v>16817</v>
      </c>
      <c r="L8406" s="198" t="s">
        <v>65</v>
      </c>
      <c r="M8406" s="194"/>
      <c r="N8406" s="194"/>
    </row>
    <row r="8407">
      <c r="A8407" s="193" t="s">
        <v>29012</v>
      </c>
      <c r="B8407" s="7" t="s">
        <v>175</v>
      </c>
      <c r="C8407" s="7" t="s">
        <v>16957</v>
      </c>
      <c r="D8407" s="199"/>
      <c r="E8407" s="193"/>
      <c r="F8407" s="195" t="s">
        <v>29013</v>
      </c>
      <c r="G8407" s="196">
        <v>470702.0</v>
      </c>
      <c r="H8407" s="197">
        <v>0.0181</v>
      </c>
      <c r="I8407" s="7" t="s">
        <v>16826</v>
      </c>
      <c r="J8407" s="7" t="s">
        <v>175</v>
      </c>
      <c r="K8407" s="7" t="s">
        <v>16957</v>
      </c>
      <c r="L8407" s="198" t="s">
        <v>65</v>
      </c>
      <c r="M8407" s="199"/>
      <c r="N8407" s="199"/>
    </row>
    <row r="8408">
      <c r="A8408" s="193" t="s">
        <v>29014</v>
      </c>
      <c r="B8408" s="7" t="s">
        <v>16582</v>
      </c>
      <c r="C8408" s="7" t="s">
        <v>16583</v>
      </c>
      <c r="D8408" s="199"/>
      <c r="E8408" s="193"/>
      <c r="F8408" s="195" t="s">
        <v>29015</v>
      </c>
      <c r="G8408" s="196">
        <v>468657.0</v>
      </c>
      <c r="H8408" s="197">
        <v>0.16</v>
      </c>
      <c r="I8408" s="7" t="s">
        <v>16815</v>
      </c>
      <c r="J8408" s="7" t="s">
        <v>16582</v>
      </c>
      <c r="K8408" s="7" t="s">
        <v>16583</v>
      </c>
      <c r="L8408" s="198" t="s">
        <v>65</v>
      </c>
      <c r="M8408" s="199"/>
      <c r="N8408" s="199"/>
    </row>
    <row r="8409">
      <c r="A8409" s="193" t="s">
        <v>29016</v>
      </c>
      <c r="B8409" s="7" t="s">
        <v>187</v>
      </c>
      <c r="C8409" s="7" t="s">
        <v>16846</v>
      </c>
      <c r="D8409" s="199"/>
      <c r="E8409" s="193"/>
      <c r="F8409" s="195" t="s">
        <v>29017</v>
      </c>
      <c r="G8409" s="196">
        <v>458566.0</v>
      </c>
      <c r="H8409" s="197">
        <v>0.2633</v>
      </c>
      <c r="I8409" s="7" t="s">
        <v>16815</v>
      </c>
      <c r="J8409" s="7" t="s">
        <v>187</v>
      </c>
      <c r="K8409" s="7" t="s">
        <v>16846</v>
      </c>
      <c r="L8409" s="198" t="s">
        <v>65</v>
      </c>
      <c r="M8409" s="199"/>
      <c r="N8409" s="199"/>
    </row>
    <row r="8410">
      <c r="A8410" s="193" t="s">
        <v>29018</v>
      </c>
      <c r="D8410" s="199"/>
      <c r="E8410" s="193"/>
      <c r="F8410" s="195" t="s">
        <v>29019</v>
      </c>
      <c r="G8410" s="196">
        <v>443692.0</v>
      </c>
      <c r="H8410" s="197">
        <v>0.1446</v>
      </c>
      <c r="I8410" s="7" t="s">
        <v>16815</v>
      </c>
      <c r="L8410" s="198" t="s">
        <v>65</v>
      </c>
      <c r="M8410" s="199"/>
      <c r="N8410" s="199"/>
    </row>
    <row r="8411">
      <c r="A8411" s="193" t="s">
        <v>29020</v>
      </c>
      <c r="B8411" s="7" t="s">
        <v>16838</v>
      </c>
      <c r="C8411" s="7" t="s">
        <v>18219</v>
      </c>
      <c r="D8411" s="199"/>
      <c r="E8411" s="193"/>
      <c r="F8411" s="195" t="s">
        <v>29021</v>
      </c>
      <c r="G8411" s="196">
        <v>438176.0</v>
      </c>
      <c r="H8411" s="197">
        <v>0.0079</v>
      </c>
      <c r="I8411" s="7" t="s">
        <v>16815</v>
      </c>
      <c r="J8411" s="7" t="s">
        <v>16838</v>
      </c>
      <c r="K8411" s="7" t="s">
        <v>18219</v>
      </c>
      <c r="L8411" s="198" t="s">
        <v>65</v>
      </c>
      <c r="M8411" s="199"/>
      <c r="N8411" s="199"/>
    </row>
    <row r="8412">
      <c r="A8412" s="193" t="s">
        <v>29022</v>
      </c>
      <c r="B8412" s="7" t="s">
        <v>16582</v>
      </c>
      <c r="C8412" s="7" t="s">
        <v>16930</v>
      </c>
      <c r="D8412" s="194">
        <v>2018.0</v>
      </c>
      <c r="E8412" s="193"/>
      <c r="F8412" s="195" t="s">
        <v>29023</v>
      </c>
      <c r="G8412" s="196">
        <v>422371.0</v>
      </c>
      <c r="H8412" s="197">
        <v>0.0062</v>
      </c>
      <c r="I8412" s="7" t="s">
        <v>16815</v>
      </c>
      <c r="J8412" s="7" t="s">
        <v>16582</v>
      </c>
      <c r="K8412" s="7" t="s">
        <v>16930</v>
      </c>
      <c r="L8412" s="198" t="s">
        <v>65</v>
      </c>
      <c r="M8412" s="194"/>
      <c r="N8412" s="194"/>
    </row>
    <row r="8413">
      <c r="A8413" s="193" t="s">
        <v>29024</v>
      </c>
      <c r="B8413" s="7" t="s">
        <v>16838</v>
      </c>
      <c r="C8413" s="7" t="s">
        <v>17016</v>
      </c>
      <c r="D8413" s="199"/>
      <c r="E8413" s="193"/>
      <c r="F8413" s="195" t="s">
        <v>29025</v>
      </c>
      <c r="G8413" s="196">
        <v>418486.0</v>
      </c>
      <c r="H8413" s="197">
        <v>0.0411</v>
      </c>
      <c r="I8413" s="7" t="s">
        <v>16815</v>
      </c>
      <c r="J8413" s="7" t="s">
        <v>16838</v>
      </c>
      <c r="K8413" s="7" t="s">
        <v>17016</v>
      </c>
      <c r="L8413" s="198" t="s">
        <v>65</v>
      </c>
      <c r="M8413" s="199"/>
      <c r="N8413" s="199"/>
    </row>
    <row r="8414">
      <c r="A8414" s="193" t="s">
        <v>29026</v>
      </c>
      <c r="B8414" s="7" t="s">
        <v>187</v>
      </c>
      <c r="C8414" s="7" t="s">
        <v>16846</v>
      </c>
      <c r="D8414" s="199"/>
      <c r="E8414" s="193"/>
      <c r="F8414" s="195" t="s">
        <v>29027</v>
      </c>
      <c r="G8414" s="196">
        <v>406743.0</v>
      </c>
      <c r="H8414" s="197">
        <v>0.6746</v>
      </c>
      <c r="I8414" s="7" t="s">
        <v>16815</v>
      </c>
      <c r="J8414" s="7" t="s">
        <v>187</v>
      </c>
      <c r="K8414" s="7" t="s">
        <v>16846</v>
      </c>
      <c r="L8414" s="198" t="s">
        <v>65</v>
      </c>
      <c r="M8414" s="199"/>
      <c r="N8414" s="199"/>
    </row>
    <row r="8415">
      <c r="A8415" s="193" t="s">
        <v>29028</v>
      </c>
      <c r="B8415" s="7" t="s">
        <v>16838</v>
      </c>
      <c r="C8415" s="7" t="s">
        <v>18219</v>
      </c>
      <c r="D8415" s="194">
        <v>2021.0</v>
      </c>
      <c r="E8415" s="193"/>
      <c r="F8415" s="195" t="s">
        <v>29029</v>
      </c>
      <c r="G8415" s="196">
        <v>404075.0</v>
      </c>
      <c r="H8415" s="197">
        <v>0.0516</v>
      </c>
      <c r="I8415" s="7" t="s">
        <v>16815</v>
      </c>
      <c r="J8415" s="7" t="s">
        <v>16838</v>
      </c>
      <c r="K8415" s="7" t="s">
        <v>18219</v>
      </c>
      <c r="L8415" s="198" t="s">
        <v>65</v>
      </c>
      <c r="M8415" s="194"/>
      <c r="N8415" s="194"/>
    </row>
    <row r="8416">
      <c r="A8416" s="193" t="s">
        <v>29030</v>
      </c>
      <c r="B8416" s="7" t="s">
        <v>175</v>
      </c>
      <c r="C8416" s="7" t="s">
        <v>19006</v>
      </c>
      <c r="D8416" s="199"/>
      <c r="E8416" s="193"/>
      <c r="F8416" s="195" t="s">
        <v>29031</v>
      </c>
      <c r="G8416" s="196">
        <v>390780.0</v>
      </c>
      <c r="H8416" s="197">
        <v>0.5049</v>
      </c>
      <c r="I8416" s="7" t="s">
        <v>16908</v>
      </c>
      <c r="J8416" s="7" t="s">
        <v>175</v>
      </c>
      <c r="K8416" s="7" t="s">
        <v>19006</v>
      </c>
      <c r="L8416" s="198" t="s">
        <v>65</v>
      </c>
      <c r="M8416" s="199"/>
      <c r="N8416" s="199"/>
    </row>
    <row r="8417">
      <c r="A8417" s="193" t="s">
        <v>29032</v>
      </c>
      <c r="B8417" s="7" t="s">
        <v>16582</v>
      </c>
      <c r="C8417" s="7" t="s">
        <v>17435</v>
      </c>
      <c r="D8417" s="194">
        <v>2020.0</v>
      </c>
      <c r="E8417" s="193"/>
      <c r="F8417" s="195" t="s">
        <v>29033</v>
      </c>
      <c r="G8417" s="196">
        <v>388264.0</v>
      </c>
      <c r="H8417" s="197">
        <v>0.015</v>
      </c>
      <c r="I8417" s="7" t="s">
        <v>16815</v>
      </c>
      <c r="J8417" s="7" t="s">
        <v>16582</v>
      </c>
      <c r="K8417" s="7" t="s">
        <v>17435</v>
      </c>
      <c r="L8417" s="198" t="s">
        <v>65</v>
      </c>
      <c r="M8417" s="194"/>
      <c r="N8417" s="194"/>
    </row>
    <row r="8418">
      <c r="A8418" s="193" t="s">
        <v>29034</v>
      </c>
      <c r="B8418" s="7" t="s">
        <v>16838</v>
      </c>
      <c r="C8418" s="7" t="s">
        <v>17019</v>
      </c>
      <c r="D8418" s="194">
        <v>2021.0</v>
      </c>
      <c r="E8418" s="193"/>
      <c r="F8418" s="195" t="s">
        <v>29035</v>
      </c>
      <c r="G8418" s="196">
        <v>384619.0</v>
      </c>
      <c r="H8418" s="197">
        <v>0.07</v>
      </c>
      <c r="I8418" s="7" t="s">
        <v>16815</v>
      </c>
      <c r="J8418" s="7" t="s">
        <v>16838</v>
      </c>
      <c r="K8418" s="7" t="s">
        <v>17019</v>
      </c>
      <c r="L8418" s="198" t="s">
        <v>65</v>
      </c>
      <c r="M8418" s="194"/>
      <c r="N8418" s="194"/>
    </row>
    <row r="8419">
      <c r="A8419" s="193" t="s">
        <v>29036</v>
      </c>
      <c r="B8419" s="7" t="s">
        <v>187</v>
      </c>
      <c r="C8419" s="7" t="s">
        <v>16846</v>
      </c>
      <c r="D8419" s="194">
        <v>2023.0</v>
      </c>
      <c r="E8419" s="193"/>
      <c r="F8419" s="195" t="s">
        <v>29037</v>
      </c>
      <c r="G8419" s="196">
        <v>347972.0</v>
      </c>
      <c r="H8419" s="197">
        <v>0.06</v>
      </c>
      <c r="I8419" s="7" t="s">
        <v>16815</v>
      </c>
      <c r="J8419" s="7" t="s">
        <v>187</v>
      </c>
      <c r="K8419" s="7" t="s">
        <v>16846</v>
      </c>
      <c r="L8419" s="198" t="s">
        <v>65</v>
      </c>
      <c r="M8419" s="194"/>
      <c r="N8419" s="194"/>
    </row>
    <row r="8420">
      <c r="A8420" s="193" t="s">
        <v>29038</v>
      </c>
      <c r="B8420" s="7" t="s">
        <v>16838</v>
      </c>
      <c r="C8420" s="7" t="s">
        <v>17127</v>
      </c>
      <c r="D8420" s="194">
        <v>2014.0</v>
      </c>
      <c r="E8420" s="193"/>
      <c r="F8420" s="195" t="s">
        <v>29039</v>
      </c>
      <c r="G8420" s="196">
        <v>346344.0</v>
      </c>
      <c r="H8420" s="197">
        <v>0.059</v>
      </c>
      <c r="I8420" s="7" t="s">
        <v>16815</v>
      </c>
      <c r="J8420" s="7" t="s">
        <v>16838</v>
      </c>
      <c r="K8420" s="7" t="s">
        <v>17127</v>
      </c>
      <c r="L8420" s="198" t="s">
        <v>65</v>
      </c>
      <c r="M8420" s="194"/>
      <c r="N8420" s="194"/>
    </row>
    <row r="8421">
      <c r="A8421" s="193" t="s">
        <v>29040</v>
      </c>
      <c r="B8421" s="7" t="s">
        <v>16582</v>
      </c>
      <c r="C8421" s="7" t="s">
        <v>17435</v>
      </c>
      <c r="D8421" s="194">
        <v>2022.0</v>
      </c>
      <c r="E8421" s="193"/>
      <c r="F8421" s="195" t="s">
        <v>29041</v>
      </c>
      <c r="G8421" s="196">
        <v>328035.0</v>
      </c>
      <c r="H8421" s="197">
        <v>0.04</v>
      </c>
      <c r="I8421" s="7" t="s">
        <v>16815</v>
      </c>
      <c r="J8421" s="7" t="s">
        <v>16582</v>
      </c>
      <c r="K8421" s="7" t="s">
        <v>17435</v>
      </c>
      <c r="L8421" s="198" t="s">
        <v>65</v>
      </c>
      <c r="M8421" s="194"/>
      <c r="N8421" s="194"/>
    </row>
    <row r="8422">
      <c r="A8422" s="193" t="s">
        <v>29042</v>
      </c>
      <c r="B8422" s="7" t="s">
        <v>175</v>
      </c>
      <c r="C8422" s="7" t="s">
        <v>18723</v>
      </c>
      <c r="D8422" s="199"/>
      <c r="E8422" s="193"/>
      <c r="F8422" s="195" t="s">
        <v>29043</v>
      </c>
      <c r="G8422" s="196">
        <v>320099.0</v>
      </c>
      <c r="H8422" s="197">
        <v>0.0102</v>
      </c>
      <c r="I8422" s="7" t="s">
        <v>16908</v>
      </c>
      <c r="J8422" s="7" t="s">
        <v>175</v>
      </c>
      <c r="K8422" s="7" t="s">
        <v>18723</v>
      </c>
      <c r="L8422" s="198" t="s">
        <v>65</v>
      </c>
      <c r="M8422" s="199"/>
      <c r="N8422" s="199"/>
    </row>
    <row r="8423">
      <c r="A8423" s="193" t="s">
        <v>29044</v>
      </c>
      <c r="B8423" s="7" t="s">
        <v>187</v>
      </c>
      <c r="C8423" s="7" t="s">
        <v>16992</v>
      </c>
      <c r="D8423" s="199"/>
      <c r="E8423" s="193"/>
      <c r="F8423" s="195" t="s">
        <v>29045</v>
      </c>
      <c r="G8423" s="196">
        <v>308808.0</v>
      </c>
      <c r="H8423" s="197">
        <v>0.0101</v>
      </c>
      <c r="I8423" s="7" t="s">
        <v>16815</v>
      </c>
      <c r="J8423" s="7" t="s">
        <v>187</v>
      </c>
      <c r="K8423" s="7" t="s">
        <v>16992</v>
      </c>
      <c r="L8423" s="198" t="s">
        <v>65</v>
      </c>
      <c r="M8423" s="199"/>
      <c r="N8423" s="199"/>
    </row>
    <row r="8424">
      <c r="A8424" s="193" t="s">
        <v>29046</v>
      </c>
      <c r="B8424" s="7" t="s">
        <v>169</v>
      </c>
      <c r="C8424" s="7" t="s">
        <v>16899</v>
      </c>
      <c r="D8424" s="194">
        <v>2021.0</v>
      </c>
      <c r="E8424" s="193"/>
      <c r="F8424" s="195" t="s">
        <v>29047</v>
      </c>
      <c r="G8424" s="196">
        <v>297499.0</v>
      </c>
      <c r="H8424" s="197">
        <v>0.0188</v>
      </c>
      <c r="I8424" s="7" t="s">
        <v>16815</v>
      </c>
      <c r="J8424" s="7" t="s">
        <v>169</v>
      </c>
      <c r="K8424" s="7" t="s">
        <v>16899</v>
      </c>
      <c r="L8424" s="198" t="s">
        <v>65</v>
      </c>
      <c r="M8424" s="194"/>
      <c r="N8424" s="194"/>
    </row>
    <row r="8425">
      <c r="A8425" s="193" t="s">
        <v>29048</v>
      </c>
      <c r="B8425" s="7" t="s">
        <v>17112</v>
      </c>
      <c r="C8425" s="7" t="s">
        <v>17111</v>
      </c>
      <c r="D8425" s="199"/>
      <c r="E8425" s="193"/>
      <c r="F8425" s="195" t="s">
        <v>29049</v>
      </c>
      <c r="G8425" s="196">
        <v>291974.0</v>
      </c>
      <c r="H8425" s="197">
        <v>0.0222</v>
      </c>
      <c r="I8425" s="7" t="s">
        <v>16815</v>
      </c>
      <c r="J8425" s="7" t="s">
        <v>17112</v>
      </c>
      <c r="K8425" s="7" t="s">
        <v>17111</v>
      </c>
      <c r="L8425" s="198" t="s">
        <v>65</v>
      </c>
      <c r="M8425" s="199"/>
      <c r="N8425" s="199"/>
    </row>
    <row r="8426">
      <c r="A8426" s="193" t="s">
        <v>29050</v>
      </c>
      <c r="B8426" s="7" t="s">
        <v>175</v>
      </c>
      <c r="C8426" s="7" t="s">
        <v>16842</v>
      </c>
      <c r="D8426" s="194">
        <v>2020.0</v>
      </c>
      <c r="E8426" s="193"/>
      <c r="F8426" s="195" t="s">
        <v>29051</v>
      </c>
      <c r="G8426" s="196">
        <v>290169.0</v>
      </c>
      <c r="H8426" s="197">
        <v>0.0156</v>
      </c>
      <c r="I8426" s="7" t="s">
        <v>16908</v>
      </c>
      <c r="J8426" s="7" t="s">
        <v>175</v>
      </c>
      <c r="K8426" s="7" t="s">
        <v>16842</v>
      </c>
      <c r="L8426" s="198" t="s">
        <v>65</v>
      </c>
      <c r="M8426" s="194"/>
      <c r="N8426" s="194"/>
    </row>
    <row r="8427">
      <c r="A8427" s="193" t="s">
        <v>29052</v>
      </c>
      <c r="B8427" s="7" t="s">
        <v>16838</v>
      </c>
      <c r="C8427" s="7" t="s">
        <v>18219</v>
      </c>
      <c r="D8427" s="194">
        <v>2021.0</v>
      </c>
      <c r="E8427" s="193"/>
      <c r="F8427" s="195" t="s">
        <v>29053</v>
      </c>
      <c r="G8427" s="196">
        <v>283818.0</v>
      </c>
      <c r="H8427" s="197">
        <v>0.019</v>
      </c>
      <c r="I8427" s="7" t="s">
        <v>16815</v>
      </c>
      <c r="J8427" s="7" t="s">
        <v>16838</v>
      </c>
      <c r="K8427" s="7" t="s">
        <v>18219</v>
      </c>
      <c r="L8427" s="198" t="s">
        <v>65</v>
      </c>
      <c r="M8427" s="194"/>
      <c r="N8427" s="194"/>
    </row>
    <row r="8428">
      <c r="A8428" s="193" t="s">
        <v>29054</v>
      </c>
      <c r="B8428" s="7" t="s">
        <v>16838</v>
      </c>
      <c r="C8428" s="7" t="s">
        <v>16867</v>
      </c>
      <c r="D8428" s="194">
        <v>2013.0</v>
      </c>
      <c r="E8428" s="193"/>
      <c r="F8428" s="195" t="s">
        <v>29055</v>
      </c>
      <c r="G8428" s="196">
        <v>280619.0</v>
      </c>
      <c r="H8428" s="197">
        <v>11.86</v>
      </c>
      <c r="I8428" s="7" t="s">
        <v>16815</v>
      </c>
      <c r="J8428" s="7" t="s">
        <v>16838</v>
      </c>
      <c r="K8428" s="7" t="s">
        <v>16867</v>
      </c>
      <c r="L8428" s="198" t="s">
        <v>65</v>
      </c>
      <c r="M8428" s="194"/>
      <c r="N8428" s="194"/>
    </row>
    <row r="8429">
      <c r="A8429" s="193" t="s">
        <v>29056</v>
      </c>
      <c r="B8429" s="7" t="s">
        <v>16582</v>
      </c>
      <c r="C8429" s="7" t="s">
        <v>16828</v>
      </c>
      <c r="D8429" s="199"/>
      <c r="E8429" s="193"/>
      <c r="F8429" s="195" t="s">
        <v>29057</v>
      </c>
      <c r="G8429" s="196">
        <v>268891.0</v>
      </c>
      <c r="H8429" s="197">
        <v>0.7801</v>
      </c>
      <c r="I8429" s="7" t="s">
        <v>16815</v>
      </c>
      <c r="J8429" s="7" t="s">
        <v>16582</v>
      </c>
      <c r="K8429" s="7" t="s">
        <v>16828</v>
      </c>
      <c r="L8429" s="198" t="s">
        <v>65</v>
      </c>
      <c r="M8429" s="199"/>
      <c r="N8429" s="199"/>
    </row>
    <row r="8430">
      <c r="A8430" s="193" t="s">
        <v>29058</v>
      </c>
      <c r="B8430" s="7" t="s">
        <v>175</v>
      </c>
      <c r="C8430" s="7" t="s">
        <v>17452</v>
      </c>
      <c r="D8430" s="199"/>
      <c r="E8430" s="193"/>
      <c r="F8430" s="195" t="s">
        <v>29059</v>
      </c>
      <c r="G8430" s="196">
        <v>262436.0</v>
      </c>
      <c r="H8430" s="197">
        <v>0.1621</v>
      </c>
      <c r="I8430" s="7" t="s">
        <v>16908</v>
      </c>
      <c r="J8430" s="7" t="s">
        <v>175</v>
      </c>
      <c r="K8430" s="7" t="s">
        <v>17452</v>
      </c>
      <c r="L8430" s="198" t="s">
        <v>65</v>
      </c>
      <c r="M8430" s="199"/>
      <c r="N8430" s="199"/>
    </row>
    <row r="8431">
      <c r="A8431" s="193" t="s">
        <v>29060</v>
      </c>
      <c r="D8431" s="194">
        <v>2022.0</v>
      </c>
      <c r="E8431" s="193"/>
      <c r="F8431" s="195" t="s">
        <v>29061</v>
      </c>
      <c r="G8431" s="196">
        <v>258375.0</v>
      </c>
      <c r="H8431" s="197">
        <v>0.0323</v>
      </c>
      <c r="I8431" s="7" t="s">
        <v>16815</v>
      </c>
      <c r="L8431" s="198" t="s">
        <v>65</v>
      </c>
      <c r="M8431" s="194"/>
      <c r="N8431" s="194"/>
    </row>
    <row r="8432">
      <c r="A8432" s="193" t="s">
        <v>29062</v>
      </c>
      <c r="B8432" s="7" t="s">
        <v>169</v>
      </c>
      <c r="C8432" s="7" t="s">
        <v>20534</v>
      </c>
      <c r="D8432" s="199"/>
      <c r="E8432" s="193"/>
      <c r="F8432" s="195" t="s">
        <v>29063</v>
      </c>
      <c r="G8432" s="196">
        <v>258000.0</v>
      </c>
      <c r="H8432" s="197">
        <v>0.01</v>
      </c>
      <c r="I8432" s="7" t="s">
        <v>16815</v>
      </c>
      <c r="J8432" s="7" t="s">
        <v>169</v>
      </c>
      <c r="K8432" s="7" t="s">
        <v>20534</v>
      </c>
      <c r="L8432" s="198" t="s">
        <v>65</v>
      </c>
      <c r="M8432" s="199"/>
      <c r="N8432" s="199"/>
    </row>
    <row r="8433">
      <c r="A8433" s="193" t="s">
        <v>29064</v>
      </c>
      <c r="B8433" s="7" t="s">
        <v>16582</v>
      </c>
      <c r="C8433" s="7" t="s">
        <v>16930</v>
      </c>
      <c r="D8433" s="194">
        <v>2020.0</v>
      </c>
      <c r="E8433" s="193"/>
      <c r="F8433" s="195" t="s">
        <v>29065</v>
      </c>
      <c r="G8433" s="196">
        <v>256781.0</v>
      </c>
      <c r="H8433" s="197">
        <v>0.0049</v>
      </c>
      <c r="I8433" s="7" t="s">
        <v>16815</v>
      </c>
      <c r="J8433" s="7" t="s">
        <v>16582</v>
      </c>
      <c r="K8433" s="7" t="s">
        <v>16930</v>
      </c>
      <c r="L8433" s="198" t="s">
        <v>65</v>
      </c>
      <c r="M8433" s="194"/>
      <c r="N8433" s="194"/>
    </row>
    <row r="8434">
      <c r="A8434" s="193" t="s">
        <v>29066</v>
      </c>
      <c r="B8434" s="7" t="s">
        <v>175</v>
      </c>
      <c r="C8434" s="7" t="s">
        <v>16972</v>
      </c>
      <c r="D8434" s="199"/>
      <c r="E8434" s="193"/>
      <c r="F8434" s="195" t="s">
        <v>28987</v>
      </c>
      <c r="G8434" s="196">
        <v>242386.0</v>
      </c>
      <c r="H8434" s="197">
        <v>0.0036</v>
      </c>
      <c r="I8434" s="7" t="s">
        <v>16908</v>
      </c>
      <c r="J8434" s="7" t="s">
        <v>175</v>
      </c>
      <c r="K8434" s="7" t="s">
        <v>16972</v>
      </c>
      <c r="L8434" s="198" t="s">
        <v>65</v>
      </c>
      <c r="M8434" s="199"/>
      <c r="N8434" s="199"/>
    </row>
    <row r="8435">
      <c r="A8435" s="193" t="s">
        <v>29067</v>
      </c>
      <c r="B8435" s="7" t="s">
        <v>16582</v>
      </c>
      <c r="C8435" s="7" t="s">
        <v>17435</v>
      </c>
      <c r="D8435" s="199"/>
      <c r="E8435" s="193"/>
      <c r="F8435" s="195" t="s">
        <v>29068</v>
      </c>
      <c r="G8435" s="196">
        <v>228716.0</v>
      </c>
      <c r="H8435" s="197">
        <v>0.0189</v>
      </c>
      <c r="I8435" s="7" t="s">
        <v>16815</v>
      </c>
      <c r="J8435" s="7" t="s">
        <v>16582</v>
      </c>
      <c r="K8435" s="7" t="s">
        <v>17435</v>
      </c>
      <c r="L8435" s="198" t="s">
        <v>65</v>
      </c>
      <c r="M8435" s="199"/>
      <c r="N8435" s="199"/>
    </row>
    <row r="8436">
      <c r="A8436" s="193" t="s">
        <v>29069</v>
      </c>
      <c r="B8436" s="7" t="s">
        <v>187</v>
      </c>
      <c r="C8436" s="7" t="s">
        <v>16846</v>
      </c>
      <c r="D8436" s="194">
        <v>2021.0</v>
      </c>
      <c r="E8436" s="193"/>
      <c r="F8436" s="195" t="s">
        <v>29070</v>
      </c>
      <c r="G8436" s="196">
        <v>227448.0</v>
      </c>
      <c r="H8436" s="197">
        <v>0.0087</v>
      </c>
      <c r="I8436" s="7" t="s">
        <v>16815</v>
      </c>
      <c r="J8436" s="7" t="s">
        <v>187</v>
      </c>
      <c r="K8436" s="7" t="s">
        <v>16846</v>
      </c>
      <c r="L8436" s="198" t="s">
        <v>65</v>
      </c>
      <c r="M8436" s="194"/>
      <c r="N8436" s="194"/>
    </row>
    <row r="8437">
      <c r="A8437" s="193" t="s">
        <v>29071</v>
      </c>
      <c r="B8437" s="7" t="s">
        <v>175</v>
      </c>
      <c r="C8437" s="7" t="s">
        <v>17391</v>
      </c>
      <c r="D8437" s="194">
        <v>2021.0</v>
      </c>
      <c r="E8437" s="193"/>
      <c r="F8437" s="195" t="s">
        <v>29072</v>
      </c>
      <c r="G8437" s="196">
        <v>220133.0</v>
      </c>
      <c r="H8437" s="197">
        <v>0.0132</v>
      </c>
      <c r="I8437" s="7" t="s">
        <v>16844</v>
      </c>
      <c r="J8437" s="7" t="s">
        <v>175</v>
      </c>
      <c r="K8437" s="7" t="s">
        <v>17391</v>
      </c>
      <c r="L8437" s="198" t="s">
        <v>65</v>
      </c>
      <c r="M8437" s="194"/>
      <c r="N8437" s="194"/>
    </row>
    <row r="8438">
      <c r="A8438" s="193" t="s">
        <v>29073</v>
      </c>
      <c r="B8438" s="7" t="s">
        <v>175</v>
      </c>
      <c r="C8438" s="7" t="s">
        <v>17168</v>
      </c>
      <c r="D8438" s="194">
        <v>2021.0</v>
      </c>
      <c r="E8438" s="193"/>
      <c r="F8438" s="195" t="s">
        <v>29074</v>
      </c>
      <c r="G8438" s="196">
        <v>207037.0</v>
      </c>
      <c r="H8438" s="197">
        <v>0.0188</v>
      </c>
      <c r="I8438" s="7" t="s">
        <v>17242</v>
      </c>
      <c r="J8438" s="7" t="s">
        <v>175</v>
      </c>
      <c r="K8438" s="7" t="s">
        <v>17168</v>
      </c>
      <c r="L8438" s="198" t="s">
        <v>65</v>
      </c>
      <c r="M8438" s="194"/>
      <c r="N8438" s="194"/>
    </row>
    <row r="8439">
      <c r="A8439" s="193" t="s">
        <v>29075</v>
      </c>
      <c r="B8439" s="7" t="s">
        <v>187</v>
      </c>
      <c r="C8439" s="7" t="s">
        <v>16846</v>
      </c>
      <c r="D8439" s="199"/>
      <c r="E8439" s="193"/>
      <c r="F8439" s="195" t="s">
        <v>29076</v>
      </c>
      <c r="G8439" s="196">
        <v>179943.0</v>
      </c>
      <c r="H8439" s="197">
        <v>0.08</v>
      </c>
      <c r="I8439" s="7" t="s">
        <v>16815</v>
      </c>
      <c r="J8439" s="7" t="s">
        <v>187</v>
      </c>
      <c r="K8439" s="7" t="s">
        <v>16846</v>
      </c>
      <c r="L8439" s="198" t="s">
        <v>65</v>
      </c>
      <c r="M8439" s="199"/>
      <c r="N8439" s="199"/>
    </row>
    <row r="8440">
      <c r="A8440" s="193" t="s">
        <v>29077</v>
      </c>
      <c r="B8440" s="7" t="s">
        <v>16838</v>
      </c>
      <c r="C8440" s="7" t="s">
        <v>17104</v>
      </c>
      <c r="D8440" s="199"/>
      <c r="E8440" s="193"/>
      <c r="F8440" s="195" t="s">
        <v>29078</v>
      </c>
      <c r="G8440" s="196">
        <v>164792.0</v>
      </c>
      <c r="H8440" s="197">
        <v>0.0775</v>
      </c>
      <c r="I8440" s="7" t="s">
        <v>16815</v>
      </c>
      <c r="J8440" s="7" t="s">
        <v>16838</v>
      </c>
      <c r="K8440" s="7" t="s">
        <v>17104</v>
      </c>
      <c r="L8440" s="198" t="s">
        <v>65</v>
      </c>
      <c r="M8440" s="199"/>
      <c r="N8440" s="199"/>
    </row>
    <row r="8441">
      <c r="A8441" s="193" t="s">
        <v>29079</v>
      </c>
      <c r="B8441" s="7" t="s">
        <v>16582</v>
      </c>
      <c r="C8441" s="7" t="s">
        <v>16930</v>
      </c>
      <c r="D8441" s="194">
        <v>2018.0</v>
      </c>
      <c r="E8441" s="193"/>
      <c r="F8441" s="195" t="s">
        <v>29080</v>
      </c>
      <c r="G8441" s="196">
        <v>155260.0</v>
      </c>
      <c r="H8441" s="197">
        <v>0.0199</v>
      </c>
      <c r="I8441" s="7" t="s">
        <v>16815</v>
      </c>
      <c r="J8441" s="7" t="s">
        <v>16582</v>
      </c>
      <c r="K8441" s="7" t="s">
        <v>16930</v>
      </c>
      <c r="L8441" s="198" t="s">
        <v>65</v>
      </c>
      <c r="M8441" s="194"/>
      <c r="N8441" s="194"/>
    </row>
    <row r="8442">
      <c r="A8442" s="193" t="s">
        <v>29081</v>
      </c>
      <c r="B8442" s="7" t="s">
        <v>16582</v>
      </c>
      <c r="C8442" s="7" t="s">
        <v>16930</v>
      </c>
      <c r="D8442" s="194">
        <v>2021.0</v>
      </c>
      <c r="E8442" s="193"/>
      <c r="F8442" s="195" t="s">
        <v>29082</v>
      </c>
      <c r="G8442" s="196">
        <v>153077.0</v>
      </c>
      <c r="H8442" s="197">
        <v>0.0138</v>
      </c>
      <c r="I8442" s="7" t="s">
        <v>16815</v>
      </c>
      <c r="J8442" s="7" t="s">
        <v>16582</v>
      </c>
      <c r="K8442" s="7" t="s">
        <v>16930</v>
      </c>
      <c r="L8442" s="198" t="s">
        <v>65</v>
      </c>
      <c r="M8442" s="194"/>
      <c r="N8442" s="194"/>
    </row>
    <row r="8443">
      <c r="A8443" s="193" t="s">
        <v>29083</v>
      </c>
      <c r="B8443" s="7" t="s">
        <v>187</v>
      </c>
      <c r="C8443" s="7" t="s">
        <v>17559</v>
      </c>
      <c r="D8443" s="194">
        <v>2021.0</v>
      </c>
      <c r="E8443" s="193"/>
      <c r="F8443" s="195" t="s">
        <v>29084</v>
      </c>
      <c r="G8443" s="196">
        <v>137780.0</v>
      </c>
      <c r="H8443" s="197">
        <v>0.0182</v>
      </c>
      <c r="I8443" s="7" t="s">
        <v>16815</v>
      </c>
      <c r="J8443" s="7" t="s">
        <v>187</v>
      </c>
      <c r="K8443" s="7" t="s">
        <v>17559</v>
      </c>
      <c r="L8443" s="198" t="s">
        <v>65</v>
      </c>
      <c r="M8443" s="194"/>
      <c r="N8443" s="194"/>
    </row>
    <row r="8444">
      <c r="A8444" s="193" t="s">
        <v>29085</v>
      </c>
      <c r="B8444" s="7" t="s">
        <v>169</v>
      </c>
      <c r="C8444" s="7" t="s">
        <v>16899</v>
      </c>
      <c r="D8444" s="199"/>
      <c r="E8444" s="193"/>
      <c r="F8444" s="195" t="s">
        <v>29086</v>
      </c>
      <c r="G8444" s="196">
        <v>124376.0</v>
      </c>
      <c r="H8444" s="197">
        <v>0.0154</v>
      </c>
      <c r="I8444" s="7" t="s">
        <v>16815</v>
      </c>
      <c r="J8444" s="7" t="s">
        <v>169</v>
      </c>
      <c r="K8444" s="7" t="s">
        <v>16899</v>
      </c>
      <c r="L8444" s="198" t="s">
        <v>65</v>
      </c>
      <c r="M8444" s="199"/>
      <c r="N8444" s="199"/>
    </row>
    <row r="8445">
      <c r="A8445" s="193" t="s">
        <v>29087</v>
      </c>
      <c r="B8445" s="7" t="s">
        <v>16926</v>
      </c>
      <c r="C8445" s="7" t="s">
        <v>16957</v>
      </c>
      <c r="D8445" s="194">
        <v>2020.0</v>
      </c>
      <c r="E8445" s="193"/>
      <c r="F8445" s="195" t="s">
        <v>29088</v>
      </c>
      <c r="G8445" s="196">
        <v>113091.0</v>
      </c>
      <c r="H8445" s="197">
        <v>0.061</v>
      </c>
      <c r="I8445" s="7" t="s">
        <v>16815</v>
      </c>
      <c r="J8445" s="7" t="s">
        <v>16926</v>
      </c>
      <c r="K8445" s="7" t="s">
        <v>16957</v>
      </c>
      <c r="L8445" s="198" t="s">
        <v>65</v>
      </c>
      <c r="M8445" s="194"/>
      <c r="N8445" s="194"/>
    </row>
    <row r="8446">
      <c r="A8446" s="193" t="s">
        <v>29089</v>
      </c>
      <c r="B8446" s="7" t="s">
        <v>16582</v>
      </c>
      <c r="C8446" s="7" t="s">
        <v>16930</v>
      </c>
      <c r="D8446" s="199"/>
      <c r="E8446" s="193"/>
      <c r="F8446" s="195" t="s">
        <v>29090</v>
      </c>
      <c r="G8446" s="196">
        <v>112499.0</v>
      </c>
      <c r="H8446" s="197">
        <v>0.0105</v>
      </c>
      <c r="I8446" s="7" t="s">
        <v>16815</v>
      </c>
      <c r="J8446" s="7" t="s">
        <v>16582</v>
      </c>
      <c r="K8446" s="7" t="s">
        <v>16930</v>
      </c>
      <c r="L8446" s="198" t="s">
        <v>65</v>
      </c>
      <c r="M8446" s="199"/>
      <c r="N8446" s="199"/>
    </row>
    <row r="8447">
      <c r="A8447" s="193" t="s">
        <v>29091</v>
      </c>
      <c r="B8447" s="7" t="s">
        <v>187</v>
      </c>
      <c r="C8447" s="7" t="s">
        <v>16851</v>
      </c>
      <c r="D8447" s="194">
        <v>2022.0</v>
      </c>
      <c r="E8447" s="193"/>
      <c r="F8447" s="195" t="s">
        <v>29092</v>
      </c>
      <c r="G8447" s="196">
        <v>106343.0</v>
      </c>
      <c r="H8447" s="197">
        <v>0.0143</v>
      </c>
      <c r="I8447" s="7" t="s">
        <v>16815</v>
      </c>
      <c r="J8447" s="7" t="s">
        <v>187</v>
      </c>
      <c r="K8447" s="7" t="s">
        <v>16851</v>
      </c>
      <c r="L8447" s="198" t="s">
        <v>65</v>
      </c>
      <c r="M8447" s="194"/>
      <c r="N8447" s="194"/>
    </row>
    <row r="8448">
      <c r="A8448" s="193" t="s">
        <v>29093</v>
      </c>
      <c r="B8448" s="7" t="s">
        <v>187</v>
      </c>
      <c r="C8448" s="7" t="s">
        <v>16969</v>
      </c>
      <c r="D8448" s="194">
        <v>2022.0</v>
      </c>
      <c r="E8448" s="193"/>
      <c r="F8448" s="195" t="s">
        <v>29094</v>
      </c>
      <c r="G8448" s="196">
        <v>96086.0</v>
      </c>
      <c r="H8448" s="197">
        <v>0.1879</v>
      </c>
      <c r="I8448" s="7" t="s">
        <v>16815</v>
      </c>
      <c r="J8448" s="7" t="s">
        <v>187</v>
      </c>
      <c r="K8448" s="7" t="s">
        <v>16969</v>
      </c>
      <c r="L8448" s="198" t="s">
        <v>65</v>
      </c>
      <c r="M8448" s="194"/>
      <c r="N8448" s="194"/>
    </row>
    <row r="8449">
      <c r="A8449" s="193" t="s">
        <v>29095</v>
      </c>
      <c r="B8449" s="7" t="s">
        <v>187</v>
      </c>
      <c r="C8449" s="7" t="s">
        <v>16858</v>
      </c>
      <c r="D8449" s="194">
        <v>2021.0</v>
      </c>
      <c r="E8449" s="193"/>
      <c r="F8449" s="195" t="s">
        <v>29096</v>
      </c>
      <c r="G8449" s="196">
        <v>94540.0</v>
      </c>
      <c r="H8449" s="197">
        <v>0.0436</v>
      </c>
      <c r="I8449" s="7" t="s">
        <v>16815</v>
      </c>
      <c r="J8449" s="7" t="s">
        <v>187</v>
      </c>
      <c r="K8449" s="7" t="s">
        <v>16858</v>
      </c>
      <c r="L8449" s="198" t="s">
        <v>65</v>
      </c>
      <c r="M8449" s="194"/>
      <c r="N8449" s="194"/>
    </row>
    <row r="8450">
      <c r="A8450" s="193" t="s">
        <v>29097</v>
      </c>
      <c r="B8450" s="7" t="s">
        <v>158</v>
      </c>
      <c r="C8450" s="7" t="s">
        <v>16899</v>
      </c>
      <c r="D8450" s="194">
        <v>2022.0</v>
      </c>
      <c r="E8450" s="193"/>
      <c r="F8450" s="195" t="s">
        <v>29098</v>
      </c>
      <c r="G8450" s="196">
        <v>85077.0</v>
      </c>
      <c r="H8450" s="197">
        <v>0.025</v>
      </c>
      <c r="I8450" s="7" t="s">
        <v>16897</v>
      </c>
      <c r="J8450" s="7" t="s">
        <v>158</v>
      </c>
      <c r="K8450" s="7" t="s">
        <v>16899</v>
      </c>
      <c r="L8450" s="198" t="s">
        <v>65</v>
      </c>
      <c r="M8450" s="194"/>
      <c r="N8450" s="194"/>
    </row>
    <row r="8451">
      <c r="A8451" s="193" t="s">
        <v>29099</v>
      </c>
      <c r="B8451" s="7" t="s">
        <v>16910</v>
      </c>
      <c r="C8451" s="7" t="s">
        <v>17662</v>
      </c>
      <c r="D8451" s="194">
        <v>2022.0</v>
      </c>
      <c r="E8451" s="193"/>
      <c r="F8451" s="195" t="s">
        <v>29100</v>
      </c>
      <c r="G8451" s="196">
        <v>77745.0</v>
      </c>
      <c r="H8451" s="197">
        <v>0.0275</v>
      </c>
      <c r="I8451" s="7" t="s">
        <v>20639</v>
      </c>
      <c r="J8451" s="7" t="s">
        <v>16910</v>
      </c>
      <c r="K8451" s="7" t="s">
        <v>17662</v>
      </c>
      <c r="L8451" s="198" t="s">
        <v>65</v>
      </c>
      <c r="M8451" s="194"/>
      <c r="N8451" s="194"/>
    </row>
    <row r="8452">
      <c r="A8452" s="193" t="s">
        <v>29101</v>
      </c>
      <c r="B8452" s="7" t="s">
        <v>175</v>
      </c>
      <c r="C8452" s="7" t="s">
        <v>16854</v>
      </c>
      <c r="D8452" s="199"/>
      <c r="E8452" s="193"/>
      <c r="F8452" s="195" t="s">
        <v>29102</v>
      </c>
      <c r="G8452" s="196">
        <v>65199.0</v>
      </c>
      <c r="H8452" s="197">
        <v>0.0096</v>
      </c>
      <c r="I8452" s="7" t="s">
        <v>17270</v>
      </c>
      <c r="J8452" s="7" t="s">
        <v>175</v>
      </c>
      <c r="K8452" s="7" t="s">
        <v>16854</v>
      </c>
      <c r="L8452" s="198" t="s">
        <v>65</v>
      </c>
      <c r="M8452" s="199"/>
      <c r="N8452" s="199"/>
    </row>
    <row r="8453">
      <c r="A8453" s="193" t="s">
        <v>29103</v>
      </c>
      <c r="B8453" s="7" t="s">
        <v>187</v>
      </c>
      <c r="C8453" s="7" t="s">
        <v>16846</v>
      </c>
      <c r="D8453" s="194">
        <v>2020.0</v>
      </c>
      <c r="E8453" s="193"/>
      <c r="F8453" s="195" t="s">
        <v>29104</v>
      </c>
      <c r="G8453" s="196">
        <v>64232.0</v>
      </c>
      <c r="H8453" s="197">
        <v>0.0102</v>
      </c>
      <c r="I8453" s="7" t="s">
        <v>16815</v>
      </c>
      <c r="J8453" s="7" t="s">
        <v>187</v>
      </c>
      <c r="K8453" s="7" t="s">
        <v>16846</v>
      </c>
      <c r="L8453" s="198" t="s">
        <v>65</v>
      </c>
      <c r="M8453" s="194"/>
      <c r="N8453" s="194"/>
    </row>
    <row r="8454">
      <c r="A8454" s="193" t="s">
        <v>29105</v>
      </c>
      <c r="B8454" s="7" t="s">
        <v>169</v>
      </c>
      <c r="C8454" s="7" t="s">
        <v>17057</v>
      </c>
      <c r="D8454" s="194">
        <v>2019.0</v>
      </c>
      <c r="E8454" s="193"/>
      <c r="F8454" s="195" t="s">
        <v>29106</v>
      </c>
      <c r="G8454" s="196">
        <v>57350.0</v>
      </c>
      <c r="H8454" s="197">
        <v>0.0293</v>
      </c>
      <c r="I8454" s="7" t="s">
        <v>16815</v>
      </c>
      <c r="J8454" s="7" t="s">
        <v>169</v>
      </c>
      <c r="K8454" s="7" t="s">
        <v>17057</v>
      </c>
      <c r="L8454" s="198" t="s">
        <v>65</v>
      </c>
      <c r="M8454" s="194"/>
      <c r="N8454" s="194"/>
    </row>
    <row r="8455">
      <c r="A8455" s="193" t="s">
        <v>29107</v>
      </c>
      <c r="B8455" s="7" t="s">
        <v>175</v>
      </c>
      <c r="C8455" s="7" t="s">
        <v>18268</v>
      </c>
      <c r="D8455" s="199"/>
      <c r="E8455" s="193"/>
      <c r="F8455" s="195" t="s">
        <v>29108</v>
      </c>
      <c r="G8455" s="196">
        <v>54752.0</v>
      </c>
      <c r="H8455" s="197">
        <v>0.0085</v>
      </c>
      <c r="I8455" s="7" t="s">
        <v>17242</v>
      </c>
      <c r="J8455" s="7" t="s">
        <v>175</v>
      </c>
      <c r="K8455" s="7" t="s">
        <v>18268</v>
      </c>
      <c r="L8455" s="198" t="s">
        <v>65</v>
      </c>
      <c r="M8455" s="199"/>
      <c r="N8455" s="199"/>
    </row>
    <row r="8456">
      <c r="A8456" s="193" t="s">
        <v>29109</v>
      </c>
      <c r="B8456" s="7" t="s">
        <v>187</v>
      </c>
      <c r="C8456" s="7" t="s">
        <v>16846</v>
      </c>
      <c r="D8456" s="194">
        <v>2017.0</v>
      </c>
      <c r="E8456" s="193"/>
      <c r="F8456" s="195" t="s">
        <v>29110</v>
      </c>
      <c r="G8456" s="196">
        <v>53176.0</v>
      </c>
      <c r="H8456" s="197">
        <v>0.01</v>
      </c>
      <c r="I8456" s="7" t="s">
        <v>16815</v>
      </c>
      <c r="J8456" s="7" t="s">
        <v>187</v>
      </c>
      <c r="K8456" s="7" t="s">
        <v>16846</v>
      </c>
      <c r="L8456" s="198" t="s">
        <v>65</v>
      </c>
      <c r="M8456" s="194"/>
      <c r="N8456" s="194"/>
    </row>
    <row r="8457">
      <c r="A8457" s="193" t="s">
        <v>29111</v>
      </c>
      <c r="B8457" s="7" t="s">
        <v>16582</v>
      </c>
      <c r="C8457" s="7" t="s">
        <v>16930</v>
      </c>
      <c r="D8457" s="199"/>
      <c r="E8457" s="193"/>
      <c r="F8457" s="195" t="s">
        <v>29112</v>
      </c>
      <c r="G8457" s="196">
        <v>51863.0</v>
      </c>
      <c r="H8457" s="197">
        <v>0.007</v>
      </c>
      <c r="I8457" s="7" t="s">
        <v>16815</v>
      </c>
      <c r="J8457" s="7" t="s">
        <v>16582</v>
      </c>
      <c r="K8457" s="7" t="s">
        <v>16930</v>
      </c>
      <c r="L8457" s="198" t="s">
        <v>65</v>
      </c>
      <c r="M8457" s="199"/>
      <c r="N8457" s="199"/>
    </row>
    <row r="8458">
      <c r="A8458" s="193" t="s">
        <v>29113</v>
      </c>
      <c r="B8458" s="7" t="s">
        <v>175</v>
      </c>
      <c r="C8458" s="7" t="s">
        <v>16854</v>
      </c>
      <c r="D8458" s="194">
        <v>2019.0</v>
      </c>
      <c r="E8458" s="193"/>
      <c r="F8458" s="195" t="s">
        <v>29114</v>
      </c>
      <c r="G8458" s="196">
        <v>46129.0</v>
      </c>
      <c r="H8458" s="197">
        <v>0.009</v>
      </c>
      <c r="I8458" s="7" t="s">
        <v>17029</v>
      </c>
      <c r="J8458" s="7" t="s">
        <v>175</v>
      </c>
      <c r="K8458" s="7" t="s">
        <v>16854</v>
      </c>
      <c r="L8458" s="198" t="s">
        <v>65</v>
      </c>
      <c r="M8458" s="194"/>
      <c r="N8458" s="194"/>
    </row>
    <row r="8459">
      <c r="A8459" s="193" t="s">
        <v>29115</v>
      </c>
      <c r="B8459" s="7" t="s">
        <v>16838</v>
      </c>
      <c r="C8459" s="7" t="s">
        <v>18219</v>
      </c>
      <c r="D8459" s="199"/>
      <c r="E8459" s="193"/>
      <c r="F8459" s="195" t="s">
        <v>29116</v>
      </c>
      <c r="G8459" s="196">
        <v>43105.0</v>
      </c>
      <c r="H8459" s="197">
        <v>0.0152</v>
      </c>
      <c r="I8459" s="7" t="s">
        <v>16815</v>
      </c>
      <c r="J8459" s="7" t="s">
        <v>16838</v>
      </c>
      <c r="K8459" s="7" t="s">
        <v>18219</v>
      </c>
      <c r="L8459" s="198" t="s">
        <v>65</v>
      </c>
      <c r="M8459" s="199"/>
      <c r="N8459" s="199"/>
    </row>
    <row r="8460">
      <c r="A8460" s="193" t="s">
        <v>29117</v>
      </c>
      <c r="B8460" s="7" t="s">
        <v>187</v>
      </c>
      <c r="C8460" s="7" t="s">
        <v>16846</v>
      </c>
      <c r="D8460" s="194">
        <v>2021.0</v>
      </c>
      <c r="E8460" s="193"/>
      <c r="F8460" s="195" t="s">
        <v>29118</v>
      </c>
      <c r="G8460" s="196">
        <v>39915.0</v>
      </c>
      <c r="H8460" s="197">
        <v>0.0299</v>
      </c>
      <c r="I8460" s="7" t="s">
        <v>16815</v>
      </c>
      <c r="J8460" s="7" t="s">
        <v>187</v>
      </c>
      <c r="K8460" s="7" t="s">
        <v>16846</v>
      </c>
      <c r="L8460" s="198" t="s">
        <v>65</v>
      </c>
      <c r="M8460" s="194"/>
      <c r="N8460" s="194"/>
    </row>
    <row r="8461">
      <c r="A8461" s="193" t="s">
        <v>29119</v>
      </c>
      <c r="B8461" s="7" t="s">
        <v>175</v>
      </c>
      <c r="C8461" s="7" t="s">
        <v>17452</v>
      </c>
      <c r="D8461" s="194">
        <v>2019.0</v>
      </c>
      <c r="E8461" s="193"/>
      <c r="F8461" s="195" t="s">
        <v>29120</v>
      </c>
      <c r="G8461" s="196">
        <v>37400.0</v>
      </c>
      <c r="H8461" s="197">
        <v>0.0092</v>
      </c>
      <c r="I8461" s="7" t="s">
        <v>168</v>
      </c>
      <c r="J8461" s="7" t="s">
        <v>175</v>
      </c>
      <c r="K8461" s="7" t="s">
        <v>17452</v>
      </c>
      <c r="L8461" s="198" t="s">
        <v>65</v>
      </c>
      <c r="M8461" s="194"/>
      <c r="N8461" s="194"/>
    </row>
    <row r="8462">
      <c r="A8462" s="193" t="s">
        <v>29121</v>
      </c>
      <c r="B8462" s="7" t="s">
        <v>16582</v>
      </c>
      <c r="C8462" s="7" t="s">
        <v>16930</v>
      </c>
      <c r="D8462" s="199"/>
      <c r="E8462" s="193"/>
      <c r="F8462" s="195" t="s">
        <v>29122</v>
      </c>
      <c r="G8462" s="196">
        <v>35561.0</v>
      </c>
      <c r="H8462" s="197">
        <v>0.0079</v>
      </c>
      <c r="I8462" s="7" t="s">
        <v>16815</v>
      </c>
      <c r="J8462" s="7" t="s">
        <v>16582</v>
      </c>
      <c r="K8462" s="7" t="s">
        <v>16930</v>
      </c>
      <c r="L8462" s="198" t="s">
        <v>65</v>
      </c>
      <c r="M8462" s="199"/>
      <c r="N8462" s="199"/>
    </row>
    <row r="8463">
      <c r="A8463" s="193" t="s">
        <v>29123</v>
      </c>
      <c r="B8463" s="7" t="s">
        <v>175</v>
      </c>
      <c r="C8463" s="7" t="s">
        <v>17183</v>
      </c>
      <c r="D8463" s="194">
        <v>2020.0</v>
      </c>
      <c r="E8463" s="193"/>
      <c r="F8463" s="195" t="s">
        <v>29124</v>
      </c>
      <c r="G8463" s="196">
        <v>29908.0</v>
      </c>
      <c r="H8463" s="197">
        <v>0.0074</v>
      </c>
      <c r="I8463" s="7" t="s">
        <v>16856</v>
      </c>
      <c r="J8463" s="7" t="s">
        <v>175</v>
      </c>
      <c r="K8463" s="7" t="s">
        <v>17183</v>
      </c>
      <c r="L8463" s="198" t="s">
        <v>65</v>
      </c>
      <c r="M8463" s="194"/>
      <c r="N8463" s="194"/>
    </row>
    <row r="8464">
      <c r="A8464" s="193" t="s">
        <v>29125</v>
      </c>
      <c r="B8464" s="7" t="s">
        <v>187</v>
      </c>
      <c r="C8464" s="7" t="s">
        <v>16858</v>
      </c>
      <c r="D8464" s="194">
        <v>2022.0</v>
      </c>
      <c r="E8464" s="193"/>
      <c r="F8464" s="195" t="s">
        <v>29126</v>
      </c>
      <c r="G8464" s="196">
        <v>28499.0</v>
      </c>
      <c r="H8464" s="197">
        <v>0.03</v>
      </c>
      <c r="I8464" s="7" t="s">
        <v>16815</v>
      </c>
      <c r="J8464" s="7" t="s">
        <v>187</v>
      </c>
      <c r="K8464" s="7" t="s">
        <v>16858</v>
      </c>
      <c r="L8464" s="198" t="s">
        <v>65</v>
      </c>
      <c r="M8464" s="194"/>
      <c r="N8464" s="194"/>
    </row>
    <row r="8465">
      <c r="A8465" s="193" t="s">
        <v>29127</v>
      </c>
      <c r="B8465" s="7" t="s">
        <v>169</v>
      </c>
      <c r="C8465" s="7" t="s">
        <v>18732</v>
      </c>
      <c r="D8465" s="199"/>
      <c r="E8465" s="193"/>
      <c r="F8465" s="195" t="s">
        <v>29128</v>
      </c>
      <c r="G8465" s="196">
        <v>27286.0</v>
      </c>
      <c r="H8465" s="197">
        <v>0.0096</v>
      </c>
      <c r="I8465" s="7" t="s">
        <v>16815</v>
      </c>
      <c r="J8465" s="7" t="s">
        <v>169</v>
      </c>
      <c r="K8465" s="7" t="s">
        <v>18732</v>
      </c>
      <c r="L8465" s="198" t="s">
        <v>65</v>
      </c>
      <c r="M8465" s="199"/>
      <c r="N8465" s="199"/>
    </row>
    <row r="8466">
      <c r="A8466" s="193" t="s">
        <v>29129</v>
      </c>
      <c r="B8466" s="7" t="s">
        <v>17112</v>
      </c>
      <c r="C8466" s="7" t="s">
        <v>17218</v>
      </c>
      <c r="D8466" s="199"/>
      <c r="E8466" s="193"/>
      <c r="F8466" s="195" t="s">
        <v>29130</v>
      </c>
      <c r="G8466" s="196">
        <v>26453.0</v>
      </c>
      <c r="H8466" s="197">
        <v>0.0173</v>
      </c>
      <c r="I8466" s="7" t="s">
        <v>16815</v>
      </c>
      <c r="J8466" s="7" t="s">
        <v>17112</v>
      </c>
      <c r="K8466" s="7" t="s">
        <v>17218</v>
      </c>
      <c r="L8466" s="198" t="s">
        <v>65</v>
      </c>
      <c r="M8466" s="199"/>
      <c r="N8466" s="199"/>
    </row>
    <row r="8467">
      <c r="A8467" s="193" t="s">
        <v>29131</v>
      </c>
      <c r="B8467" s="7" t="s">
        <v>187</v>
      </c>
      <c r="C8467" s="7" t="s">
        <v>23634</v>
      </c>
      <c r="D8467" s="199"/>
      <c r="E8467" s="193"/>
      <c r="F8467" s="195" t="s">
        <v>29132</v>
      </c>
      <c r="G8467" s="196">
        <v>26217.0</v>
      </c>
      <c r="H8467" s="197">
        <v>0.0172</v>
      </c>
      <c r="I8467" s="7" t="s">
        <v>16815</v>
      </c>
      <c r="J8467" s="7" t="s">
        <v>187</v>
      </c>
      <c r="K8467" s="7" t="s">
        <v>23634</v>
      </c>
      <c r="L8467" s="198" t="s">
        <v>65</v>
      </c>
      <c r="M8467" s="199"/>
      <c r="N8467" s="199"/>
    </row>
    <row r="8468">
      <c r="A8468" s="193" t="s">
        <v>29133</v>
      </c>
      <c r="B8468" s="7" t="s">
        <v>175</v>
      </c>
      <c r="C8468" s="7" t="s">
        <v>17391</v>
      </c>
      <c r="D8468" s="199"/>
      <c r="E8468" s="193"/>
      <c r="F8468" s="195" t="s">
        <v>29134</v>
      </c>
      <c r="G8468" s="196">
        <v>25226.0</v>
      </c>
      <c r="H8468" s="197">
        <v>0.0098</v>
      </c>
      <c r="I8468" s="7" t="s">
        <v>168</v>
      </c>
      <c r="J8468" s="7" t="s">
        <v>175</v>
      </c>
      <c r="K8468" s="7" t="s">
        <v>17391</v>
      </c>
      <c r="L8468" s="198" t="s">
        <v>65</v>
      </c>
      <c r="M8468" s="199"/>
      <c r="N8468" s="199"/>
    </row>
    <row r="8469">
      <c r="A8469" s="193" t="s">
        <v>29135</v>
      </c>
      <c r="B8469" s="7" t="s">
        <v>169</v>
      </c>
      <c r="C8469" s="7" t="s">
        <v>17321</v>
      </c>
      <c r="D8469" s="194">
        <v>2021.0</v>
      </c>
      <c r="E8469" s="193"/>
      <c r="F8469" s="195" t="s">
        <v>29136</v>
      </c>
      <c r="G8469" s="196">
        <v>19789.0</v>
      </c>
      <c r="H8469" s="197">
        <v>0.014</v>
      </c>
      <c r="I8469" s="7" t="s">
        <v>16815</v>
      </c>
      <c r="J8469" s="7" t="s">
        <v>169</v>
      </c>
      <c r="K8469" s="7" t="s">
        <v>17321</v>
      </c>
      <c r="L8469" s="198" t="s">
        <v>65</v>
      </c>
      <c r="M8469" s="194"/>
      <c r="N8469" s="194"/>
    </row>
    <row r="8470">
      <c r="A8470" s="193" t="s">
        <v>29137</v>
      </c>
      <c r="B8470" s="7" t="s">
        <v>175</v>
      </c>
      <c r="C8470" s="7" t="s">
        <v>16972</v>
      </c>
      <c r="D8470" s="199"/>
      <c r="E8470" s="193"/>
      <c r="F8470" s="195" t="s">
        <v>29138</v>
      </c>
      <c r="G8470" s="196">
        <v>19284.0</v>
      </c>
      <c r="H8470" s="197">
        <v>0.0034</v>
      </c>
      <c r="I8470" s="7" t="s">
        <v>16892</v>
      </c>
      <c r="J8470" s="7" t="s">
        <v>175</v>
      </c>
      <c r="K8470" s="7" t="s">
        <v>16972</v>
      </c>
      <c r="L8470" s="198" t="s">
        <v>65</v>
      </c>
      <c r="M8470" s="199"/>
      <c r="N8470" s="199"/>
    </row>
    <row r="8471">
      <c r="A8471" s="193" t="s">
        <v>29139</v>
      </c>
      <c r="B8471" s="7" t="s">
        <v>175</v>
      </c>
      <c r="C8471" s="7" t="s">
        <v>16957</v>
      </c>
      <c r="D8471" s="199"/>
      <c r="E8471" s="193"/>
      <c r="F8471" s="195" t="s">
        <v>29140</v>
      </c>
      <c r="G8471" s="196">
        <v>18750.0</v>
      </c>
      <c r="H8471" s="197">
        <v>0.0075</v>
      </c>
      <c r="I8471" s="7" t="s">
        <v>16908</v>
      </c>
      <c r="J8471" s="7" t="s">
        <v>175</v>
      </c>
      <c r="K8471" s="7" t="s">
        <v>16957</v>
      </c>
      <c r="L8471" s="198" t="s">
        <v>65</v>
      </c>
      <c r="M8471" s="199"/>
      <c r="N8471" s="199"/>
    </row>
    <row r="8472">
      <c r="A8472" s="193" t="s">
        <v>29141</v>
      </c>
      <c r="B8472" s="7" t="s">
        <v>16910</v>
      </c>
      <c r="C8472" s="7" t="s">
        <v>17119</v>
      </c>
      <c r="D8472" s="194">
        <v>2019.0</v>
      </c>
      <c r="E8472" s="193"/>
      <c r="F8472" s="195" t="s">
        <v>29142</v>
      </c>
      <c r="G8472" s="196">
        <v>18070.0</v>
      </c>
      <c r="H8472" s="197">
        <v>0.008</v>
      </c>
      <c r="I8472" s="7" t="s">
        <v>17063</v>
      </c>
      <c r="J8472" s="7" t="s">
        <v>16910</v>
      </c>
      <c r="K8472" s="7" t="s">
        <v>17119</v>
      </c>
      <c r="L8472" s="198" t="s">
        <v>65</v>
      </c>
      <c r="M8472" s="194"/>
      <c r="N8472" s="194"/>
    </row>
    <row r="8473">
      <c r="A8473" s="193" t="s">
        <v>29143</v>
      </c>
      <c r="B8473" s="7" t="s">
        <v>175</v>
      </c>
      <c r="C8473" s="7" t="s">
        <v>17457</v>
      </c>
      <c r="D8473" s="199"/>
      <c r="E8473" s="193"/>
      <c r="F8473" s="195" t="s">
        <v>29144</v>
      </c>
      <c r="G8473" s="196">
        <v>12112.0</v>
      </c>
      <c r="H8473" s="197">
        <v>0.0052</v>
      </c>
      <c r="I8473" s="7" t="s">
        <v>16892</v>
      </c>
      <c r="J8473" s="7" t="s">
        <v>175</v>
      </c>
      <c r="K8473" s="7" t="s">
        <v>17457</v>
      </c>
      <c r="L8473" s="198" t="s">
        <v>65</v>
      </c>
      <c r="M8473" s="199"/>
      <c r="N8473" s="199"/>
    </row>
    <row r="8474">
      <c r="A8474" s="193" t="s">
        <v>29145</v>
      </c>
      <c r="B8474" s="7" t="s">
        <v>16838</v>
      </c>
      <c r="C8474" s="7" t="s">
        <v>17019</v>
      </c>
      <c r="D8474" s="199"/>
      <c r="E8474" s="193"/>
      <c r="F8474" s="195" t="s">
        <v>29146</v>
      </c>
      <c r="G8474" s="196">
        <v>9260.0</v>
      </c>
      <c r="H8474" s="197">
        <v>0.0079</v>
      </c>
      <c r="I8474" s="7" t="s">
        <v>16815</v>
      </c>
      <c r="J8474" s="7" t="s">
        <v>16838</v>
      </c>
      <c r="K8474" s="7" t="s">
        <v>17019</v>
      </c>
      <c r="L8474" s="198" t="s">
        <v>65</v>
      </c>
      <c r="M8474" s="199"/>
      <c r="N8474" s="199"/>
    </row>
    <row r="8475">
      <c r="A8475" s="193" t="s">
        <v>29147</v>
      </c>
      <c r="B8475" s="7" t="s">
        <v>175</v>
      </c>
      <c r="C8475" s="7" t="s">
        <v>17457</v>
      </c>
      <c r="D8475" s="199"/>
      <c r="E8475" s="193"/>
      <c r="F8475" s="195" t="s">
        <v>29144</v>
      </c>
      <c r="G8475" s="196">
        <v>5823.0</v>
      </c>
      <c r="H8475" s="197">
        <v>0.0025</v>
      </c>
      <c r="I8475" s="7" t="s">
        <v>16892</v>
      </c>
      <c r="J8475" s="7" t="s">
        <v>175</v>
      </c>
      <c r="K8475" s="7" t="s">
        <v>17457</v>
      </c>
      <c r="L8475" s="198" t="s">
        <v>65</v>
      </c>
      <c r="M8475" s="199"/>
      <c r="N8475" s="199"/>
    </row>
    <row r="8476">
      <c r="A8476" s="193" t="s">
        <v>29148</v>
      </c>
      <c r="D8476" s="194">
        <v>2022.0</v>
      </c>
      <c r="E8476" s="193"/>
      <c r="F8476" s="195" t="s">
        <v>29149</v>
      </c>
      <c r="G8476" s="196">
        <v>4551.0</v>
      </c>
      <c r="H8476" s="197">
        <v>0.0089</v>
      </c>
      <c r="I8476" s="7" t="s">
        <v>16815</v>
      </c>
      <c r="L8476" s="198" t="s">
        <v>65</v>
      </c>
      <c r="M8476" s="194"/>
      <c r="N8476" s="194"/>
    </row>
    <row r="8477">
      <c r="A8477" s="193" t="s">
        <v>29150</v>
      </c>
      <c r="B8477" s="7" t="s">
        <v>187</v>
      </c>
      <c r="C8477" s="7" t="s">
        <v>16851</v>
      </c>
      <c r="D8477" s="194">
        <v>2019.0</v>
      </c>
      <c r="E8477" s="193"/>
      <c r="F8477" s="195" t="s">
        <v>29151</v>
      </c>
      <c r="G8477" s="196">
        <v>3883.0</v>
      </c>
      <c r="H8477" s="197">
        <v>0.0035</v>
      </c>
      <c r="I8477" s="7" t="s">
        <v>16815</v>
      </c>
      <c r="J8477" s="7" t="s">
        <v>187</v>
      </c>
      <c r="K8477" s="7" t="s">
        <v>16851</v>
      </c>
      <c r="L8477" s="198" t="s">
        <v>65</v>
      </c>
      <c r="M8477" s="194"/>
      <c r="N8477" s="194"/>
    </row>
    <row r="8478">
      <c r="A8478" s="193" t="s">
        <v>29152</v>
      </c>
      <c r="B8478" s="7" t="s">
        <v>175</v>
      </c>
      <c r="C8478" s="7" t="s">
        <v>16824</v>
      </c>
      <c r="D8478" s="194">
        <v>2019.0</v>
      </c>
      <c r="E8478" s="193"/>
      <c r="F8478" s="195" t="s">
        <v>29153</v>
      </c>
      <c r="G8478" s="196">
        <v>11.0</v>
      </c>
      <c r="H8478" s="197">
        <v>10.7</v>
      </c>
      <c r="I8478" s="7" t="s">
        <v>16810</v>
      </c>
      <c r="J8478" s="7" t="s">
        <v>175</v>
      </c>
      <c r="K8478" s="7" t="s">
        <v>16824</v>
      </c>
      <c r="L8478" s="198" t="s">
        <v>65</v>
      </c>
      <c r="M8478" s="194"/>
      <c r="N8478" s="194"/>
    </row>
    <row r="8479">
      <c r="A8479" s="193" t="s">
        <v>29152</v>
      </c>
      <c r="B8479" s="7" t="s">
        <v>16824</v>
      </c>
      <c r="C8479" s="7" t="s">
        <v>175</v>
      </c>
      <c r="D8479" s="194">
        <v>2019.0</v>
      </c>
      <c r="E8479" s="193"/>
      <c r="F8479" s="195" t="s">
        <v>29153</v>
      </c>
      <c r="G8479" s="200">
        <v>11.0</v>
      </c>
      <c r="H8479" s="197">
        <v>10.7</v>
      </c>
      <c r="I8479" s="7" t="s">
        <v>16815</v>
      </c>
      <c r="J8479" s="7" t="s">
        <v>16824</v>
      </c>
      <c r="K8479" s="7" t="s">
        <v>175</v>
      </c>
      <c r="L8479" s="201" t="s">
        <v>16835</v>
      </c>
      <c r="M8479" s="194"/>
      <c r="N8479" s="194"/>
    </row>
    <row r="8480">
      <c r="A8480" s="193" t="s">
        <v>29154</v>
      </c>
      <c r="B8480" s="7" t="s">
        <v>16957</v>
      </c>
      <c r="C8480" s="7" t="s">
        <v>16926</v>
      </c>
      <c r="D8480" s="194">
        <v>2016.0</v>
      </c>
      <c r="E8480" s="193"/>
      <c r="F8480" s="195" t="s">
        <v>29155</v>
      </c>
      <c r="G8480" s="200">
        <v>10.0</v>
      </c>
      <c r="H8480" s="197">
        <v>10.15</v>
      </c>
      <c r="I8480" s="7" t="s">
        <v>16815</v>
      </c>
      <c r="J8480" s="7" t="s">
        <v>16957</v>
      </c>
      <c r="K8480" s="7" t="s">
        <v>16926</v>
      </c>
      <c r="L8480" s="201" t="s">
        <v>16835</v>
      </c>
      <c r="M8480" s="194"/>
      <c r="N8480" s="194"/>
    </row>
    <row r="8481">
      <c r="A8481" s="193" t="s">
        <v>29156</v>
      </c>
      <c r="B8481" s="7" t="s">
        <v>16957</v>
      </c>
      <c r="C8481" s="7" t="s">
        <v>16926</v>
      </c>
      <c r="D8481" s="194">
        <v>2017.0</v>
      </c>
      <c r="E8481" s="193"/>
      <c r="F8481" s="195" t="s">
        <v>29157</v>
      </c>
      <c r="G8481" s="200">
        <v>10.0</v>
      </c>
      <c r="H8481" s="197">
        <v>10.29</v>
      </c>
      <c r="I8481" s="7" t="s">
        <v>16815</v>
      </c>
      <c r="J8481" s="7" t="s">
        <v>16957</v>
      </c>
      <c r="K8481" s="7" t="s">
        <v>16926</v>
      </c>
      <c r="L8481" s="201" t="s">
        <v>16835</v>
      </c>
      <c r="M8481" s="194"/>
      <c r="N8481" s="194"/>
    </row>
    <row r="8482">
      <c r="A8482" s="193" t="s">
        <v>29154</v>
      </c>
      <c r="B8482" s="7" t="s">
        <v>16926</v>
      </c>
      <c r="C8482" s="7" t="s">
        <v>16957</v>
      </c>
      <c r="D8482" s="194">
        <v>2016.0</v>
      </c>
      <c r="E8482" s="193"/>
      <c r="F8482" s="195" t="s">
        <v>29155</v>
      </c>
      <c r="G8482" s="196">
        <v>10.0</v>
      </c>
      <c r="H8482" s="197">
        <v>10.15</v>
      </c>
      <c r="I8482" s="7" t="s">
        <v>16815</v>
      </c>
      <c r="J8482" s="7" t="s">
        <v>16926</v>
      </c>
      <c r="K8482" s="7" t="s">
        <v>16957</v>
      </c>
      <c r="L8482" s="198" t="s">
        <v>65</v>
      </c>
      <c r="M8482" s="194"/>
      <c r="N8482" s="194"/>
    </row>
    <row r="8483">
      <c r="A8483" s="193" t="s">
        <v>29156</v>
      </c>
      <c r="B8483" s="7" t="s">
        <v>16926</v>
      </c>
      <c r="C8483" s="7" t="s">
        <v>16957</v>
      </c>
      <c r="D8483" s="194">
        <v>2017.0</v>
      </c>
      <c r="E8483" s="193"/>
      <c r="F8483" s="195" t="s">
        <v>29157</v>
      </c>
      <c r="G8483" s="196">
        <v>10.0</v>
      </c>
      <c r="H8483" s="197">
        <v>10.29</v>
      </c>
      <c r="I8483" s="7" t="s">
        <v>16815</v>
      </c>
      <c r="J8483" s="7" t="s">
        <v>16926</v>
      </c>
      <c r="K8483" s="7" t="s">
        <v>16957</v>
      </c>
      <c r="L8483" s="198" t="s">
        <v>65</v>
      </c>
      <c r="M8483" s="194"/>
      <c r="N8483" s="194"/>
    </row>
    <row r="8484">
      <c r="A8484" s="193" t="s">
        <v>29158</v>
      </c>
      <c r="B8484" s="7" t="s">
        <v>175</v>
      </c>
      <c r="C8484" s="7" t="s">
        <v>16824</v>
      </c>
      <c r="D8484" s="194">
        <v>2021.0</v>
      </c>
      <c r="E8484" s="193"/>
      <c r="F8484" s="195" t="s">
        <v>29159</v>
      </c>
      <c r="G8484" s="196">
        <v>0.0</v>
      </c>
      <c r="H8484" s="197">
        <v>12.035</v>
      </c>
      <c r="I8484" s="7" t="s">
        <v>16826</v>
      </c>
      <c r="J8484" s="7" t="s">
        <v>175</v>
      </c>
      <c r="K8484" s="7" t="s">
        <v>16824</v>
      </c>
      <c r="L8484" s="198" t="s">
        <v>65</v>
      </c>
      <c r="M8484" s="194"/>
      <c r="N8484" s="194"/>
    </row>
    <row r="8485">
      <c r="A8485" s="193" t="s">
        <v>29160</v>
      </c>
      <c r="B8485" s="7" t="s">
        <v>175</v>
      </c>
      <c r="C8485" s="7" t="s">
        <v>16842</v>
      </c>
      <c r="D8485" s="194">
        <v>2022.0</v>
      </c>
      <c r="E8485" s="193"/>
      <c r="F8485" s="195" t="s">
        <v>29161</v>
      </c>
      <c r="G8485" s="196">
        <v>0.0</v>
      </c>
      <c r="H8485" s="197">
        <v>10.66</v>
      </c>
      <c r="I8485" s="7" t="s">
        <v>16908</v>
      </c>
      <c r="J8485" s="7" t="s">
        <v>175</v>
      </c>
      <c r="K8485" s="7" t="s">
        <v>16842</v>
      </c>
      <c r="L8485" s="198" t="s">
        <v>65</v>
      </c>
      <c r="M8485" s="194"/>
      <c r="N8485" s="194"/>
    </row>
    <row r="8486">
      <c r="A8486" s="193" t="s">
        <v>29162</v>
      </c>
      <c r="B8486" s="7" t="s">
        <v>175</v>
      </c>
      <c r="C8486" s="7" t="s">
        <v>16842</v>
      </c>
      <c r="D8486" s="194">
        <v>2022.0</v>
      </c>
      <c r="E8486" s="193"/>
      <c r="F8486" s="195" t="s">
        <v>29163</v>
      </c>
      <c r="G8486" s="196">
        <v>0.0</v>
      </c>
      <c r="H8486" s="197">
        <v>0.0161</v>
      </c>
      <c r="I8486" s="7" t="s">
        <v>16908</v>
      </c>
      <c r="J8486" s="7" t="s">
        <v>175</v>
      </c>
      <c r="K8486" s="7" t="s">
        <v>16842</v>
      </c>
      <c r="L8486" s="198" t="s">
        <v>65</v>
      </c>
      <c r="M8486" s="194"/>
      <c r="N8486" s="194"/>
    </row>
    <row r="8487">
      <c r="A8487" s="193" t="s">
        <v>29164</v>
      </c>
      <c r="B8487" s="7" t="s">
        <v>175</v>
      </c>
      <c r="C8487" s="7" t="s">
        <v>16854</v>
      </c>
      <c r="D8487" s="194">
        <v>2021.0</v>
      </c>
      <c r="E8487" s="193"/>
      <c r="F8487" s="195" t="s">
        <v>29165</v>
      </c>
      <c r="G8487" s="196">
        <v>0.0</v>
      </c>
      <c r="H8487" s="197">
        <v>12.85</v>
      </c>
      <c r="I8487" s="7" t="s">
        <v>16908</v>
      </c>
      <c r="J8487" s="7" t="s">
        <v>175</v>
      </c>
      <c r="K8487" s="7" t="s">
        <v>16854</v>
      </c>
      <c r="L8487" s="198" t="s">
        <v>65</v>
      </c>
      <c r="M8487" s="194"/>
      <c r="N8487" s="194"/>
    </row>
    <row r="8488">
      <c r="A8488" s="193" t="s">
        <v>29166</v>
      </c>
      <c r="B8488" s="7" t="s">
        <v>175</v>
      </c>
      <c r="C8488" s="7" t="s">
        <v>16854</v>
      </c>
      <c r="D8488" s="194">
        <v>2021.0</v>
      </c>
      <c r="E8488" s="193"/>
      <c r="F8488" s="195" t="s">
        <v>29167</v>
      </c>
      <c r="G8488" s="196">
        <v>0.0</v>
      </c>
      <c r="H8488" s="197">
        <v>13.7</v>
      </c>
      <c r="I8488" s="7" t="s">
        <v>16908</v>
      </c>
      <c r="J8488" s="7" t="s">
        <v>175</v>
      </c>
      <c r="K8488" s="7" t="s">
        <v>16854</v>
      </c>
      <c r="L8488" s="198" t="s">
        <v>65</v>
      </c>
      <c r="M8488" s="194"/>
      <c r="N8488" s="194"/>
    </row>
    <row r="8489">
      <c r="A8489" s="193" t="s">
        <v>29168</v>
      </c>
      <c r="B8489" s="7" t="s">
        <v>175</v>
      </c>
      <c r="C8489" s="7" t="s">
        <v>16854</v>
      </c>
      <c r="D8489" s="194">
        <v>2021.0</v>
      </c>
      <c r="E8489" s="193"/>
      <c r="F8489" s="195" t="s">
        <v>29169</v>
      </c>
      <c r="G8489" s="196">
        <v>0.0</v>
      </c>
      <c r="H8489" s="197">
        <v>0.0999</v>
      </c>
      <c r="I8489" s="7" t="s">
        <v>16908</v>
      </c>
      <c r="J8489" s="7" t="s">
        <v>175</v>
      </c>
      <c r="K8489" s="7" t="s">
        <v>16854</v>
      </c>
      <c r="L8489" s="198" t="s">
        <v>65</v>
      </c>
      <c r="M8489" s="194"/>
      <c r="N8489" s="194"/>
    </row>
    <row r="8490">
      <c r="A8490" s="193" t="s">
        <v>29170</v>
      </c>
      <c r="B8490" s="7" t="s">
        <v>175</v>
      </c>
      <c r="C8490" s="7" t="s">
        <v>17233</v>
      </c>
      <c r="D8490" s="199"/>
      <c r="E8490" s="193"/>
      <c r="F8490" s="195" t="s">
        <v>29171</v>
      </c>
      <c r="G8490" s="196">
        <v>0.0</v>
      </c>
      <c r="H8490" s="197">
        <v>0.421</v>
      </c>
      <c r="I8490" s="7" t="s">
        <v>16908</v>
      </c>
      <c r="J8490" s="7" t="s">
        <v>175</v>
      </c>
      <c r="K8490" s="7" t="s">
        <v>17233</v>
      </c>
      <c r="L8490" s="198" t="s">
        <v>65</v>
      </c>
      <c r="M8490" s="199"/>
      <c r="N8490" s="199"/>
    </row>
    <row r="8491">
      <c r="A8491" s="193" t="s">
        <v>29172</v>
      </c>
      <c r="B8491" s="7" t="s">
        <v>175</v>
      </c>
      <c r="C8491" s="7" t="s">
        <v>16942</v>
      </c>
      <c r="D8491" s="194">
        <v>2021.0</v>
      </c>
      <c r="E8491" s="193"/>
      <c r="F8491" s="195" t="s">
        <v>29173</v>
      </c>
      <c r="G8491" s="196">
        <v>0.0</v>
      </c>
      <c r="H8491" s="197">
        <v>10.93</v>
      </c>
      <c r="I8491" s="7" t="s">
        <v>16908</v>
      </c>
      <c r="J8491" s="7" t="s">
        <v>175</v>
      </c>
      <c r="K8491" s="7" t="s">
        <v>16942</v>
      </c>
      <c r="L8491" s="198" t="s">
        <v>65</v>
      </c>
      <c r="M8491" s="194"/>
      <c r="N8491" s="194"/>
    </row>
    <row r="8492">
      <c r="A8492" s="193" t="s">
        <v>29174</v>
      </c>
      <c r="B8492" s="7" t="s">
        <v>175</v>
      </c>
      <c r="C8492" s="7" t="s">
        <v>16942</v>
      </c>
      <c r="D8492" s="194">
        <v>2021.0</v>
      </c>
      <c r="E8492" s="193"/>
      <c r="F8492" s="195" t="s">
        <v>29175</v>
      </c>
      <c r="G8492" s="196">
        <v>0.0</v>
      </c>
      <c r="H8492" s="197">
        <v>11.0</v>
      </c>
      <c r="I8492" s="7" t="s">
        <v>16908</v>
      </c>
      <c r="J8492" s="7" t="s">
        <v>175</v>
      </c>
      <c r="K8492" s="7" t="s">
        <v>16942</v>
      </c>
      <c r="L8492" s="198" t="s">
        <v>65</v>
      </c>
      <c r="M8492" s="194"/>
      <c r="N8492" s="194"/>
    </row>
    <row r="8493">
      <c r="A8493" s="193" t="s">
        <v>29176</v>
      </c>
      <c r="B8493" s="7" t="s">
        <v>175</v>
      </c>
      <c r="C8493" s="7" t="s">
        <v>16942</v>
      </c>
      <c r="D8493" s="194">
        <v>2021.0</v>
      </c>
      <c r="E8493" s="193"/>
      <c r="F8493" s="195" t="s">
        <v>29177</v>
      </c>
      <c r="G8493" s="196">
        <v>0.0</v>
      </c>
      <c r="H8493" s="197">
        <v>0.0138</v>
      </c>
      <c r="I8493" s="7" t="s">
        <v>16908</v>
      </c>
      <c r="J8493" s="7" t="s">
        <v>175</v>
      </c>
      <c r="K8493" s="7" t="s">
        <v>16942</v>
      </c>
      <c r="L8493" s="198" t="s">
        <v>65</v>
      </c>
      <c r="M8493" s="194"/>
      <c r="N8493" s="194"/>
    </row>
    <row r="8494">
      <c r="A8494" s="193" t="s">
        <v>29178</v>
      </c>
      <c r="B8494" s="7" t="s">
        <v>175</v>
      </c>
      <c r="C8494" s="7" t="s">
        <v>16854</v>
      </c>
      <c r="D8494" s="194">
        <v>2022.0</v>
      </c>
      <c r="E8494" s="193"/>
      <c r="F8494" s="195" t="s">
        <v>29179</v>
      </c>
      <c r="G8494" s="196">
        <v>0.0</v>
      </c>
      <c r="H8494" s="197">
        <v>11.12</v>
      </c>
      <c r="I8494" s="7" t="s">
        <v>16892</v>
      </c>
      <c r="J8494" s="7" t="s">
        <v>175</v>
      </c>
      <c r="K8494" s="7" t="s">
        <v>16854</v>
      </c>
      <c r="L8494" s="198" t="s">
        <v>65</v>
      </c>
      <c r="M8494" s="194"/>
      <c r="N8494" s="194"/>
    </row>
    <row r="8495">
      <c r="A8495" s="193" t="s">
        <v>29180</v>
      </c>
      <c r="B8495" s="7" t="s">
        <v>175</v>
      </c>
      <c r="C8495" s="7" t="s">
        <v>18723</v>
      </c>
      <c r="D8495" s="194">
        <v>2021.0</v>
      </c>
      <c r="E8495" s="193"/>
      <c r="F8495" s="195" t="s">
        <v>29181</v>
      </c>
      <c r="G8495" s="196">
        <v>0.0</v>
      </c>
      <c r="H8495" s="197">
        <v>11.27</v>
      </c>
      <c r="I8495" s="7" t="s">
        <v>18320</v>
      </c>
      <c r="J8495" s="7" t="s">
        <v>175</v>
      </c>
      <c r="K8495" s="7" t="s">
        <v>18723</v>
      </c>
      <c r="L8495" s="198" t="s">
        <v>65</v>
      </c>
      <c r="M8495" s="194"/>
      <c r="N8495" s="194"/>
    </row>
    <row r="8496">
      <c r="A8496" s="193" t="s">
        <v>29182</v>
      </c>
      <c r="B8496" s="7" t="s">
        <v>175</v>
      </c>
      <c r="C8496" s="7" t="s">
        <v>18723</v>
      </c>
      <c r="D8496" s="194">
        <v>2021.0</v>
      </c>
      <c r="E8496" s="193"/>
      <c r="F8496" s="195" t="s">
        <v>29183</v>
      </c>
      <c r="G8496" s="196">
        <v>0.0</v>
      </c>
      <c r="H8496" s="197">
        <v>0.0201</v>
      </c>
      <c r="I8496" s="7" t="s">
        <v>18320</v>
      </c>
      <c r="J8496" s="7" t="s">
        <v>175</v>
      </c>
      <c r="K8496" s="7" t="s">
        <v>18723</v>
      </c>
      <c r="L8496" s="198" t="s">
        <v>65</v>
      </c>
      <c r="M8496" s="194"/>
      <c r="N8496" s="194"/>
    </row>
    <row r="8497">
      <c r="A8497" s="193" t="s">
        <v>29184</v>
      </c>
      <c r="B8497" s="7" t="s">
        <v>175</v>
      </c>
      <c r="C8497" s="7" t="s">
        <v>18723</v>
      </c>
      <c r="D8497" s="194">
        <v>2021.0</v>
      </c>
      <c r="E8497" s="193"/>
      <c r="F8497" s="195" t="s">
        <v>29185</v>
      </c>
      <c r="G8497" s="196">
        <v>0.0</v>
      </c>
      <c r="H8497" s="197">
        <v>0.0067</v>
      </c>
      <c r="I8497" s="7" t="s">
        <v>18320</v>
      </c>
      <c r="J8497" s="7" t="s">
        <v>175</v>
      </c>
      <c r="K8497" s="7" t="s">
        <v>18723</v>
      </c>
      <c r="L8497" s="198" t="s">
        <v>65</v>
      </c>
      <c r="M8497" s="194"/>
      <c r="N8497" s="194"/>
    </row>
    <row r="8498">
      <c r="A8498" s="193" t="s">
        <v>29186</v>
      </c>
      <c r="B8498" s="7" t="s">
        <v>175</v>
      </c>
      <c r="C8498" s="7" t="s">
        <v>17218</v>
      </c>
      <c r="D8498" s="199"/>
      <c r="E8498" s="193"/>
      <c r="F8498" s="195" t="s">
        <v>29187</v>
      </c>
      <c r="G8498" s="196">
        <v>0.0</v>
      </c>
      <c r="H8498" s="197">
        <v>21.96</v>
      </c>
      <c r="I8498" s="7" t="s">
        <v>168</v>
      </c>
      <c r="J8498" s="7" t="s">
        <v>175</v>
      </c>
      <c r="K8498" s="7" t="s">
        <v>17218</v>
      </c>
      <c r="L8498" s="198" t="s">
        <v>65</v>
      </c>
      <c r="M8498" s="199"/>
      <c r="N8498" s="199"/>
    </row>
    <row r="8499">
      <c r="A8499" s="193" t="s">
        <v>29188</v>
      </c>
      <c r="B8499" s="7" t="s">
        <v>175</v>
      </c>
      <c r="C8499" s="7" t="s">
        <v>17218</v>
      </c>
      <c r="D8499" s="199"/>
      <c r="E8499" s="193"/>
      <c r="F8499" s="195" t="s">
        <v>29189</v>
      </c>
      <c r="G8499" s="196">
        <v>0.0</v>
      </c>
      <c r="H8499" s="197">
        <v>25.01</v>
      </c>
      <c r="I8499" s="7" t="s">
        <v>168</v>
      </c>
      <c r="J8499" s="7" t="s">
        <v>175</v>
      </c>
      <c r="K8499" s="7" t="s">
        <v>17218</v>
      </c>
      <c r="L8499" s="198" t="s">
        <v>65</v>
      </c>
      <c r="M8499" s="199"/>
      <c r="N8499" s="199"/>
    </row>
    <row r="8500">
      <c r="A8500" s="193" t="s">
        <v>29190</v>
      </c>
      <c r="B8500" s="7" t="s">
        <v>175</v>
      </c>
      <c r="C8500" s="7" t="s">
        <v>16824</v>
      </c>
      <c r="D8500" s="194">
        <v>2018.0</v>
      </c>
      <c r="E8500" s="193"/>
      <c r="F8500" s="195" t="s">
        <v>29191</v>
      </c>
      <c r="G8500" s="196">
        <v>0.0</v>
      </c>
      <c r="H8500" s="197">
        <v>10.75</v>
      </c>
      <c r="I8500" s="7" t="s">
        <v>16810</v>
      </c>
      <c r="J8500" s="7" t="s">
        <v>175</v>
      </c>
      <c r="K8500" s="7" t="s">
        <v>16824</v>
      </c>
      <c r="L8500" s="198" t="s">
        <v>65</v>
      </c>
      <c r="M8500" s="194"/>
      <c r="N8500" s="194"/>
    </row>
    <row r="8501">
      <c r="A8501" s="193" t="s">
        <v>29192</v>
      </c>
      <c r="B8501" s="7" t="s">
        <v>175</v>
      </c>
      <c r="C8501" s="7" t="s">
        <v>16854</v>
      </c>
      <c r="D8501" s="194">
        <v>2022.0</v>
      </c>
      <c r="E8501" s="193"/>
      <c r="F8501" s="195" t="s">
        <v>29193</v>
      </c>
      <c r="G8501" s="196">
        <v>0.0</v>
      </c>
      <c r="H8501" s="197">
        <v>10.84</v>
      </c>
      <c r="I8501" s="7" t="s">
        <v>17242</v>
      </c>
      <c r="J8501" s="7" t="s">
        <v>175</v>
      </c>
      <c r="K8501" s="7" t="s">
        <v>16854</v>
      </c>
      <c r="L8501" s="198" t="s">
        <v>65</v>
      </c>
      <c r="M8501" s="194"/>
      <c r="N8501" s="194"/>
    </row>
    <row r="8502">
      <c r="A8502" s="193" t="s">
        <v>29194</v>
      </c>
      <c r="B8502" s="7" t="s">
        <v>175</v>
      </c>
      <c r="C8502" s="7" t="s">
        <v>16854</v>
      </c>
      <c r="D8502" s="194">
        <v>2023.0</v>
      </c>
      <c r="E8502" s="193"/>
      <c r="F8502" s="195" t="s">
        <v>29195</v>
      </c>
      <c r="G8502" s="196">
        <v>0.0</v>
      </c>
      <c r="H8502" s="197">
        <v>1.14</v>
      </c>
      <c r="I8502" s="7" t="s">
        <v>17270</v>
      </c>
      <c r="J8502" s="7" t="s">
        <v>175</v>
      </c>
      <c r="K8502" s="7" t="s">
        <v>16854</v>
      </c>
      <c r="L8502" s="198" t="s">
        <v>65</v>
      </c>
      <c r="M8502" s="194"/>
      <c r="N8502" s="194"/>
    </row>
    <row r="8503">
      <c r="A8503" s="193" t="s">
        <v>29196</v>
      </c>
      <c r="B8503" s="7" t="s">
        <v>16910</v>
      </c>
      <c r="C8503" s="7" t="s">
        <v>17662</v>
      </c>
      <c r="D8503" s="194">
        <v>2022.0</v>
      </c>
      <c r="E8503" s="193"/>
      <c r="F8503" s="195" t="s">
        <v>29197</v>
      </c>
      <c r="G8503" s="196">
        <v>0.0</v>
      </c>
      <c r="H8503" s="197">
        <v>10.65</v>
      </c>
      <c r="I8503" s="7" t="s">
        <v>18397</v>
      </c>
      <c r="J8503" s="7" t="s">
        <v>16910</v>
      </c>
      <c r="K8503" s="7" t="s">
        <v>17662</v>
      </c>
      <c r="L8503" s="198" t="s">
        <v>65</v>
      </c>
      <c r="M8503" s="194"/>
      <c r="N8503" s="194"/>
    </row>
    <row r="8504">
      <c r="A8504" s="193" t="s">
        <v>29198</v>
      </c>
      <c r="B8504" s="7" t="s">
        <v>16910</v>
      </c>
      <c r="C8504" s="7" t="s">
        <v>17662</v>
      </c>
      <c r="D8504" s="194">
        <v>2022.0</v>
      </c>
      <c r="E8504" s="193"/>
      <c r="F8504" s="195" t="s">
        <v>29199</v>
      </c>
      <c r="G8504" s="196">
        <v>0.0</v>
      </c>
      <c r="H8504" s="197">
        <v>0.0114</v>
      </c>
      <c r="I8504" s="7" t="s">
        <v>18397</v>
      </c>
      <c r="J8504" s="7" t="s">
        <v>16910</v>
      </c>
      <c r="K8504" s="7" t="s">
        <v>17662</v>
      </c>
      <c r="L8504" s="198" t="s">
        <v>65</v>
      </c>
      <c r="M8504" s="194"/>
      <c r="N8504" s="194"/>
    </row>
    <row r="8505">
      <c r="A8505" s="193" t="s">
        <v>29200</v>
      </c>
      <c r="B8505" s="7" t="s">
        <v>158</v>
      </c>
      <c r="C8505" s="7" t="s">
        <v>16864</v>
      </c>
      <c r="D8505" s="194">
        <v>2021.0</v>
      </c>
      <c r="E8505" s="193"/>
      <c r="F8505" s="195" t="s">
        <v>29201</v>
      </c>
      <c r="G8505" s="196">
        <v>0.0</v>
      </c>
      <c r="H8505" s="197">
        <v>10.51</v>
      </c>
      <c r="I8505" s="7" t="s">
        <v>21339</v>
      </c>
      <c r="J8505" s="7" t="s">
        <v>158</v>
      </c>
      <c r="K8505" s="7" t="s">
        <v>16864</v>
      </c>
      <c r="L8505" s="198" t="s">
        <v>65</v>
      </c>
      <c r="M8505" s="194"/>
      <c r="N8505" s="194"/>
    </row>
    <row r="8506">
      <c r="A8506" s="193" t="s">
        <v>29202</v>
      </c>
      <c r="B8506" s="7" t="s">
        <v>158</v>
      </c>
      <c r="C8506" s="7" t="s">
        <v>16864</v>
      </c>
      <c r="D8506" s="194">
        <v>2022.0</v>
      </c>
      <c r="E8506" s="193"/>
      <c r="F8506" s="195" t="s">
        <v>29203</v>
      </c>
      <c r="G8506" s="196">
        <v>0.0</v>
      </c>
      <c r="H8506" s="197">
        <v>10.72</v>
      </c>
      <c r="I8506" s="7" t="s">
        <v>23524</v>
      </c>
      <c r="J8506" s="7" t="s">
        <v>158</v>
      </c>
      <c r="K8506" s="7" t="s">
        <v>16864</v>
      </c>
      <c r="L8506" s="198" t="s">
        <v>65</v>
      </c>
      <c r="M8506" s="194"/>
      <c r="N8506" s="194"/>
    </row>
    <row r="8507">
      <c r="A8507" s="193" t="s">
        <v>29204</v>
      </c>
      <c r="B8507" s="7" t="s">
        <v>158</v>
      </c>
      <c r="C8507" s="7" t="s">
        <v>16920</v>
      </c>
      <c r="D8507" s="199"/>
      <c r="E8507" s="193"/>
      <c r="F8507" s="195" t="s">
        <v>29205</v>
      </c>
      <c r="G8507" s="196">
        <v>0.0</v>
      </c>
      <c r="H8507" s="197">
        <v>26.33</v>
      </c>
      <c r="I8507" s="7" t="s">
        <v>17098</v>
      </c>
      <c r="J8507" s="7" t="s">
        <v>158</v>
      </c>
      <c r="K8507" s="7" t="s">
        <v>16920</v>
      </c>
      <c r="L8507" s="198" t="s">
        <v>65</v>
      </c>
      <c r="M8507" s="199"/>
      <c r="N8507" s="199"/>
    </row>
    <row r="8508">
      <c r="A8508" s="193" t="s">
        <v>29206</v>
      </c>
      <c r="B8508" s="7" t="s">
        <v>16838</v>
      </c>
      <c r="C8508" s="7" t="s">
        <v>18219</v>
      </c>
      <c r="D8508" s="194">
        <v>2021.0</v>
      </c>
      <c r="E8508" s="193"/>
      <c r="F8508" s="195" t="s">
        <v>29207</v>
      </c>
      <c r="G8508" s="196">
        <v>0.0</v>
      </c>
      <c r="H8508" s="197">
        <v>10.75</v>
      </c>
      <c r="I8508" s="7" t="s">
        <v>16872</v>
      </c>
      <c r="J8508" s="7" t="s">
        <v>16838</v>
      </c>
      <c r="K8508" s="7" t="s">
        <v>18219</v>
      </c>
      <c r="L8508" s="198" t="s">
        <v>65</v>
      </c>
      <c r="M8508" s="194"/>
      <c r="N8508" s="194"/>
    </row>
    <row r="8509">
      <c r="A8509" s="193" t="s">
        <v>29208</v>
      </c>
      <c r="B8509" s="7" t="s">
        <v>16838</v>
      </c>
      <c r="C8509" s="7" t="s">
        <v>18219</v>
      </c>
      <c r="D8509" s="194">
        <v>2021.0</v>
      </c>
      <c r="E8509" s="193"/>
      <c r="F8509" s="195" t="s">
        <v>29209</v>
      </c>
      <c r="G8509" s="196">
        <v>0.0</v>
      </c>
      <c r="H8509" s="197">
        <v>10.7</v>
      </c>
      <c r="I8509" s="7" t="s">
        <v>16872</v>
      </c>
      <c r="J8509" s="7" t="s">
        <v>16838</v>
      </c>
      <c r="K8509" s="7" t="s">
        <v>18219</v>
      </c>
      <c r="L8509" s="198" t="s">
        <v>65</v>
      </c>
      <c r="M8509" s="194"/>
      <c r="N8509" s="194"/>
    </row>
    <row r="8510">
      <c r="A8510" s="193" t="s">
        <v>29210</v>
      </c>
      <c r="B8510" s="7" t="s">
        <v>16838</v>
      </c>
      <c r="C8510" s="7" t="s">
        <v>18219</v>
      </c>
      <c r="D8510" s="194">
        <v>2021.0</v>
      </c>
      <c r="E8510" s="193"/>
      <c r="F8510" s="195" t="s">
        <v>29211</v>
      </c>
      <c r="G8510" s="196">
        <v>0.0</v>
      </c>
      <c r="H8510" s="197">
        <v>0.0579</v>
      </c>
      <c r="I8510" s="7" t="s">
        <v>16872</v>
      </c>
      <c r="J8510" s="7" t="s">
        <v>16838</v>
      </c>
      <c r="K8510" s="7" t="s">
        <v>18219</v>
      </c>
      <c r="L8510" s="198" t="s">
        <v>65</v>
      </c>
      <c r="M8510" s="194"/>
      <c r="N8510" s="194"/>
    </row>
    <row r="8511">
      <c r="A8511" s="193" t="s">
        <v>29212</v>
      </c>
      <c r="B8511" s="7" t="s">
        <v>16838</v>
      </c>
      <c r="C8511" s="7" t="s">
        <v>18219</v>
      </c>
      <c r="D8511" s="194">
        <v>2022.0</v>
      </c>
      <c r="E8511" s="193"/>
      <c r="F8511" s="195" t="s">
        <v>29213</v>
      </c>
      <c r="G8511" s="196">
        <v>0.0</v>
      </c>
      <c r="H8511" s="197">
        <v>10.59</v>
      </c>
      <c r="I8511" s="7" t="s">
        <v>16872</v>
      </c>
      <c r="J8511" s="7" t="s">
        <v>16838</v>
      </c>
      <c r="K8511" s="7" t="s">
        <v>18219</v>
      </c>
      <c r="L8511" s="198" t="s">
        <v>65</v>
      </c>
      <c r="M8511" s="194"/>
      <c r="N8511" s="194"/>
    </row>
    <row r="8512">
      <c r="A8512" s="193" t="s">
        <v>29214</v>
      </c>
      <c r="B8512" s="7" t="s">
        <v>16838</v>
      </c>
      <c r="C8512" s="7" t="s">
        <v>18219</v>
      </c>
      <c r="D8512" s="194">
        <v>2022.0</v>
      </c>
      <c r="E8512" s="193"/>
      <c r="F8512" s="195" t="s">
        <v>29215</v>
      </c>
      <c r="G8512" s="196">
        <v>0.0</v>
      </c>
      <c r="H8512" s="197">
        <v>0.0635</v>
      </c>
      <c r="I8512" s="7" t="s">
        <v>16872</v>
      </c>
      <c r="J8512" s="7" t="s">
        <v>16838</v>
      </c>
      <c r="K8512" s="7" t="s">
        <v>18219</v>
      </c>
      <c r="L8512" s="198" t="s">
        <v>65</v>
      </c>
      <c r="M8512" s="194"/>
      <c r="N8512" s="194"/>
    </row>
    <row r="8513">
      <c r="A8513" s="193" t="s">
        <v>29216</v>
      </c>
      <c r="B8513" s="7" t="s">
        <v>16838</v>
      </c>
      <c r="C8513" s="7" t="s">
        <v>18219</v>
      </c>
      <c r="D8513" s="194">
        <v>2022.0</v>
      </c>
      <c r="E8513" s="193"/>
      <c r="F8513" s="195" t="s">
        <v>29217</v>
      </c>
      <c r="G8513" s="196">
        <v>0.0</v>
      </c>
      <c r="H8513" s="197">
        <v>10.95</v>
      </c>
      <c r="I8513" s="7" t="s">
        <v>16872</v>
      </c>
      <c r="J8513" s="7" t="s">
        <v>16838</v>
      </c>
      <c r="K8513" s="7" t="s">
        <v>18219</v>
      </c>
      <c r="L8513" s="198" t="s">
        <v>65</v>
      </c>
      <c r="M8513" s="194"/>
      <c r="N8513" s="194"/>
    </row>
    <row r="8514">
      <c r="A8514" s="193" t="s">
        <v>29218</v>
      </c>
      <c r="B8514" s="7" t="s">
        <v>16838</v>
      </c>
      <c r="C8514" s="7" t="s">
        <v>18219</v>
      </c>
      <c r="D8514" s="194">
        <v>2022.0</v>
      </c>
      <c r="E8514" s="193"/>
      <c r="F8514" s="195" t="s">
        <v>29219</v>
      </c>
      <c r="G8514" s="196">
        <v>0.0</v>
      </c>
      <c r="H8514" s="197">
        <v>10.99</v>
      </c>
      <c r="I8514" s="7" t="s">
        <v>16872</v>
      </c>
      <c r="J8514" s="7" t="s">
        <v>16838</v>
      </c>
      <c r="K8514" s="7" t="s">
        <v>18219</v>
      </c>
      <c r="L8514" s="198" t="s">
        <v>65</v>
      </c>
      <c r="M8514" s="194"/>
      <c r="N8514" s="194"/>
    </row>
    <row r="8515">
      <c r="A8515" s="193" t="s">
        <v>29220</v>
      </c>
      <c r="B8515" s="7" t="s">
        <v>16838</v>
      </c>
      <c r="C8515" s="7" t="s">
        <v>18219</v>
      </c>
      <c r="D8515" s="194">
        <v>2022.0</v>
      </c>
      <c r="E8515" s="193"/>
      <c r="F8515" s="195" t="s">
        <v>29221</v>
      </c>
      <c r="G8515" s="196">
        <v>0.0</v>
      </c>
      <c r="H8515" s="197">
        <v>0.09</v>
      </c>
      <c r="I8515" s="7" t="s">
        <v>16872</v>
      </c>
      <c r="J8515" s="7" t="s">
        <v>16838</v>
      </c>
      <c r="K8515" s="7" t="s">
        <v>18219</v>
      </c>
      <c r="L8515" s="198" t="s">
        <v>65</v>
      </c>
      <c r="M8515" s="194"/>
      <c r="N8515" s="194"/>
    </row>
    <row r="8516">
      <c r="A8516" s="193" t="s">
        <v>29222</v>
      </c>
      <c r="B8516" s="7" t="s">
        <v>16838</v>
      </c>
      <c r="C8516" s="7" t="s">
        <v>18219</v>
      </c>
      <c r="D8516" s="194">
        <v>2021.0</v>
      </c>
      <c r="E8516" s="193"/>
      <c r="F8516" s="195" t="s">
        <v>29223</v>
      </c>
      <c r="G8516" s="196">
        <v>0.0</v>
      </c>
      <c r="H8516" s="197">
        <v>10.81</v>
      </c>
      <c r="I8516" s="7" t="s">
        <v>16872</v>
      </c>
      <c r="J8516" s="7" t="s">
        <v>16838</v>
      </c>
      <c r="K8516" s="7" t="s">
        <v>18219</v>
      </c>
      <c r="L8516" s="198" t="s">
        <v>65</v>
      </c>
      <c r="M8516" s="194"/>
      <c r="N8516" s="194"/>
    </row>
    <row r="8517">
      <c r="A8517" s="193" t="s">
        <v>29224</v>
      </c>
      <c r="B8517" s="7" t="s">
        <v>16838</v>
      </c>
      <c r="C8517" s="7" t="s">
        <v>18219</v>
      </c>
      <c r="D8517" s="194">
        <v>2021.0</v>
      </c>
      <c r="E8517" s="193"/>
      <c r="F8517" s="195" t="s">
        <v>29225</v>
      </c>
      <c r="G8517" s="196">
        <v>0.0</v>
      </c>
      <c r="H8517" s="197">
        <v>11.3</v>
      </c>
      <c r="I8517" s="7" t="s">
        <v>16872</v>
      </c>
      <c r="J8517" s="7" t="s">
        <v>16838</v>
      </c>
      <c r="K8517" s="7" t="s">
        <v>18219</v>
      </c>
      <c r="L8517" s="198" t="s">
        <v>65</v>
      </c>
      <c r="M8517" s="194"/>
      <c r="N8517" s="194"/>
    </row>
    <row r="8518">
      <c r="A8518" s="193" t="s">
        <v>29226</v>
      </c>
      <c r="B8518" s="7" t="s">
        <v>16838</v>
      </c>
      <c r="C8518" s="7" t="s">
        <v>18219</v>
      </c>
      <c r="D8518" s="194">
        <v>2021.0</v>
      </c>
      <c r="E8518" s="193"/>
      <c r="F8518" s="195" t="s">
        <v>29227</v>
      </c>
      <c r="G8518" s="196">
        <v>0.0</v>
      </c>
      <c r="H8518" s="197">
        <v>0.0301</v>
      </c>
      <c r="I8518" s="7" t="s">
        <v>16872</v>
      </c>
      <c r="J8518" s="7" t="s">
        <v>16838</v>
      </c>
      <c r="K8518" s="7" t="s">
        <v>18219</v>
      </c>
      <c r="L8518" s="198" t="s">
        <v>65</v>
      </c>
      <c r="M8518" s="194"/>
      <c r="N8518" s="194"/>
    </row>
    <row r="8519">
      <c r="A8519" s="193" t="s">
        <v>29228</v>
      </c>
      <c r="B8519" s="7" t="s">
        <v>16838</v>
      </c>
      <c r="C8519" s="7" t="s">
        <v>18219</v>
      </c>
      <c r="D8519" s="194">
        <v>2021.0</v>
      </c>
      <c r="E8519" s="193"/>
      <c r="F8519" s="195" t="s">
        <v>29229</v>
      </c>
      <c r="G8519" s="196">
        <v>0.0</v>
      </c>
      <c r="H8519" s="197">
        <v>10.3</v>
      </c>
      <c r="I8519" s="7" t="s">
        <v>16872</v>
      </c>
      <c r="J8519" s="7" t="s">
        <v>16838</v>
      </c>
      <c r="K8519" s="7" t="s">
        <v>18219</v>
      </c>
      <c r="L8519" s="198" t="s">
        <v>65</v>
      </c>
      <c r="M8519" s="194"/>
      <c r="N8519" s="194"/>
    </row>
    <row r="8520">
      <c r="A8520" s="193" t="s">
        <v>29230</v>
      </c>
      <c r="B8520" s="7" t="s">
        <v>16838</v>
      </c>
      <c r="C8520" s="7" t="s">
        <v>18219</v>
      </c>
      <c r="D8520" s="194">
        <v>2021.0</v>
      </c>
      <c r="E8520" s="193"/>
      <c r="F8520" s="195" t="s">
        <v>29231</v>
      </c>
      <c r="G8520" s="196">
        <v>0.0</v>
      </c>
      <c r="H8520" s="197">
        <v>10.66</v>
      </c>
      <c r="I8520" s="7" t="s">
        <v>16872</v>
      </c>
      <c r="J8520" s="7" t="s">
        <v>16838</v>
      </c>
      <c r="K8520" s="7" t="s">
        <v>18219</v>
      </c>
      <c r="L8520" s="198" t="s">
        <v>65</v>
      </c>
      <c r="M8520" s="194"/>
      <c r="N8520" s="194"/>
    </row>
    <row r="8521">
      <c r="A8521" s="193" t="s">
        <v>29232</v>
      </c>
      <c r="B8521" s="7" t="s">
        <v>16838</v>
      </c>
      <c r="C8521" s="7" t="s">
        <v>18219</v>
      </c>
      <c r="D8521" s="194">
        <v>2021.0</v>
      </c>
      <c r="E8521" s="193"/>
      <c r="F8521" s="195" t="s">
        <v>29233</v>
      </c>
      <c r="G8521" s="196">
        <v>0.0</v>
      </c>
      <c r="H8521" s="197">
        <v>10.86</v>
      </c>
      <c r="I8521" s="7" t="s">
        <v>16872</v>
      </c>
      <c r="J8521" s="7" t="s">
        <v>16838</v>
      </c>
      <c r="K8521" s="7" t="s">
        <v>18219</v>
      </c>
      <c r="L8521" s="198" t="s">
        <v>65</v>
      </c>
      <c r="M8521" s="194"/>
      <c r="N8521" s="194"/>
    </row>
    <row r="8522">
      <c r="A8522" s="193" t="s">
        <v>29234</v>
      </c>
      <c r="B8522" s="7" t="s">
        <v>16838</v>
      </c>
      <c r="C8522" s="7" t="s">
        <v>17202</v>
      </c>
      <c r="D8522" s="194">
        <v>2011.0</v>
      </c>
      <c r="E8522" s="193"/>
      <c r="F8522" s="195" t="s">
        <v>29235</v>
      </c>
      <c r="G8522" s="196">
        <v>0.0</v>
      </c>
      <c r="H8522" s="197">
        <v>6.07</v>
      </c>
      <c r="I8522" s="7" t="s">
        <v>16872</v>
      </c>
      <c r="J8522" s="7" t="s">
        <v>16838</v>
      </c>
      <c r="K8522" s="7" t="s">
        <v>17202</v>
      </c>
      <c r="L8522" s="198" t="s">
        <v>65</v>
      </c>
      <c r="M8522" s="194"/>
      <c r="N8522" s="194"/>
    </row>
    <row r="8523">
      <c r="A8523" s="193" t="s">
        <v>29236</v>
      </c>
      <c r="B8523" s="7" t="s">
        <v>16838</v>
      </c>
      <c r="C8523" s="7" t="s">
        <v>17202</v>
      </c>
      <c r="D8523" s="199"/>
      <c r="E8523" s="193"/>
      <c r="F8523" s="195" t="s">
        <v>29237</v>
      </c>
      <c r="G8523" s="196">
        <v>0.0</v>
      </c>
      <c r="H8523" s="197">
        <v>17.3</v>
      </c>
      <c r="I8523" s="7" t="s">
        <v>16872</v>
      </c>
      <c r="J8523" s="7" t="s">
        <v>16838</v>
      </c>
      <c r="K8523" s="7" t="s">
        <v>17202</v>
      </c>
      <c r="L8523" s="198" t="s">
        <v>65</v>
      </c>
      <c r="M8523" s="199"/>
      <c r="N8523" s="199"/>
    </row>
    <row r="8524">
      <c r="A8524" s="193" t="s">
        <v>29238</v>
      </c>
      <c r="B8524" s="7" t="s">
        <v>16838</v>
      </c>
      <c r="C8524" s="7" t="s">
        <v>18219</v>
      </c>
      <c r="D8524" s="194">
        <v>2021.0</v>
      </c>
      <c r="E8524" s="193"/>
      <c r="F8524" s="195" t="s">
        <v>29239</v>
      </c>
      <c r="G8524" s="196">
        <v>0.0</v>
      </c>
      <c r="H8524" s="197">
        <v>0.0353</v>
      </c>
      <c r="I8524" s="7" t="s">
        <v>186</v>
      </c>
      <c r="J8524" s="7" t="s">
        <v>16838</v>
      </c>
      <c r="K8524" s="7" t="s">
        <v>18219</v>
      </c>
      <c r="L8524" s="198" t="s">
        <v>65</v>
      </c>
      <c r="M8524" s="194"/>
      <c r="N8524" s="194"/>
    </row>
    <row r="8525">
      <c r="A8525" s="193" t="s">
        <v>29240</v>
      </c>
      <c r="B8525" s="7" t="s">
        <v>16838</v>
      </c>
      <c r="C8525" s="7" t="s">
        <v>18219</v>
      </c>
      <c r="D8525" s="194">
        <v>2021.0</v>
      </c>
      <c r="E8525" s="193"/>
      <c r="F8525" s="195" t="s">
        <v>29241</v>
      </c>
      <c r="G8525" s="196">
        <v>0.0</v>
      </c>
      <c r="H8525" s="197">
        <v>0.12</v>
      </c>
      <c r="I8525" s="7" t="s">
        <v>186</v>
      </c>
      <c r="J8525" s="7" t="s">
        <v>16838</v>
      </c>
      <c r="K8525" s="7" t="s">
        <v>18219</v>
      </c>
      <c r="L8525" s="198" t="s">
        <v>65</v>
      </c>
      <c r="M8525" s="194"/>
      <c r="N8525" s="194"/>
    </row>
    <row r="8526">
      <c r="A8526" s="193" t="s">
        <v>29242</v>
      </c>
      <c r="B8526" s="7" t="s">
        <v>16838</v>
      </c>
      <c r="C8526" s="7" t="s">
        <v>18219</v>
      </c>
      <c r="D8526" s="194">
        <v>2022.0</v>
      </c>
      <c r="E8526" s="193"/>
      <c r="F8526" s="195" t="s">
        <v>29243</v>
      </c>
      <c r="G8526" s="196">
        <v>0.0</v>
      </c>
      <c r="H8526" s="197">
        <v>10.77</v>
      </c>
      <c r="I8526" s="7" t="s">
        <v>186</v>
      </c>
      <c r="J8526" s="7" t="s">
        <v>16838</v>
      </c>
      <c r="K8526" s="7" t="s">
        <v>18219</v>
      </c>
      <c r="L8526" s="198" t="s">
        <v>65</v>
      </c>
      <c r="M8526" s="194"/>
      <c r="N8526" s="194"/>
    </row>
    <row r="8527">
      <c r="A8527" s="193" t="s">
        <v>29244</v>
      </c>
      <c r="B8527" s="7" t="s">
        <v>16838</v>
      </c>
      <c r="C8527" s="7" t="s">
        <v>18219</v>
      </c>
      <c r="D8527" s="194">
        <v>2022.0</v>
      </c>
      <c r="E8527" s="193"/>
      <c r="F8527" s="195" t="s">
        <v>29245</v>
      </c>
      <c r="G8527" s="196">
        <v>0.0</v>
      </c>
      <c r="H8527" s="197">
        <v>11.33</v>
      </c>
      <c r="I8527" s="7" t="s">
        <v>186</v>
      </c>
      <c r="J8527" s="7" t="s">
        <v>16838</v>
      </c>
      <c r="K8527" s="7" t="s">
        <v>18219</v>
      </c>
      <c r="L8527" s="198" t="s">
        <v>65</v>
      </c>
      <c r="M8527" s="194"/>
      <c r="N8527" s="194"/>
    </row>
    <row r="8528">
      <c r="A8528" s="193" t="s">
        <v>29246</v>
      </c>
      <c r="B8528" s="7" t="s">
        <v>16838</v>
      </c>
      <c r="C8528" s="7" t="s">
        <v>18219</v>
      </c>
      <c r="D8528" s="194">
        <v>2022.0</v>
      </c>
      <c r="E8528" s="193"/>
      <c r="F8528" s="195" t="s">
        <v>29247</v>
      </c>
      <c r="G8528" s="196">
        <v>0.0</v>
      </c>
      <c r="H8528" s="197">
        <v>0.12</v>
      </c>
      <c r="I8528" s="7" t="s">
        <v>186</v>
      </c>
      <c r="J8528" s="7" t="s">
        <v>16838</v>
      </c>
      <c r="K8528" s="7" t="s">
        <v>18219</v>
      </c>
      <c r="L8528" s="198" t="s">
        <v>65</v>
      </c>
      <c r="M8528" s="194"/>
      <c r="N8528" s="194"/>
    </row>
    <row r="8529">
      <c r="A8529" s="193" t="s">
        <v>29248</v>
      </c>
      <c r="B8529" s="7" t="s">
        <v>16838</v>
      </c>
      <c r="C8529" s="7" t="s">
        <v>19644</v>
      </c>
      <c r="D8529" s="194">
        <v>2013.0</v>
      </c>
      <c r="E8529" s="193"/>
      <c r="F8529" s="195" t="s">
        <v>29249</v>
      </c>
      <c r="G8529" s="196">
        <v>0.0</v>
      </c>
      <c r="H8529" s="197">
        <v>12.85</v>
      </c>
      <c r="I8529" s="7" t="s">
        <v>186</v>
      </c>
      <c r="J8529" s="7" t="s">
        <v>16838</v>
      </c>
      <c r="K8529" s="7" t="s">
        <v>19644</v>
      </c>
      <c r="L8529" s="198" t="s">
        <v>65</v>
      </c>
      <c r="M8529" s="194"/>
      <c r="N8529" s="194"/>
    </row>
    <row r="8530">
      <c r="A8530" s="193" t="s">
        <v>29250</v>
      </c>
      <c r="B8530" s="7" t="s">
        <v>16838</v>
      </c>
      <c r="C8530" s="7" t="s">
        <v>17202</v>
      </c>
      <c r="D8530" s="194">
        <v>2011.0</v>
      </c>
      <c r="E8530" s="193"/>
      <c r="F8530" s="195" t="s">
        <v>29251</v>
      </c>
      <c r="G8530" s="196">
        <v>0.0</v>
      </c>
      <c r="H8530" s="197">
        <v>13.04</v>
      </c>
      <c r="I8530" s="7" t="s">
        <v>186</v>
      </c>
      <c r="J8530" s="7" t="s">
        <v>16838</v>
      </c>
      <c r="K8530" s="7" t="s">
        <v>17202</v>
      </c>
      <c r="L8530" s="198" t="s">
        <v>65</v>
      </c>
      <c r="M8530" s="194"/>
      <c r="N8530" s="194"/>
    </row>
    <row r="8531">
      <c r="A8531" s="193" t="s">
        <v>29252</v>
      </c>
      <c r="B8531" s="7" t="s">
        <v>16838</v>
      </c>
      <c r="C8531" s="7" t="s">
        <v>19579</v>
      </c>
      <c r="D8531" s="194">
        <v>2002.0</v>
      </c>
      <c r="E8531" s="193"/>
      <c r="F8531" s="195" t="s">
        <v>29253</v>
      </c>
      <c r="G8531" s="196">
        <v>0.0</v>
      </c>
      <c r="H8531" s="197">
        <v>9.84</v>
      </c>
      <c r="I8531" s="7" t="s">
        <v>186</v>
      </c>
      <c r="J8531" s="7" t="s">
        <v>16838</v>
      </c>
      <c r="K8531" s="7" t="s">
        <v>19579</v>
      </c>
      <c r="L8531" s="198" t="s">
        <v>65</v>
      </c>
      <c r="M8531" s="194"/>
      <c r="N8531" s="194"/>
    </row>
    <row r="8532">
      <c r="A8532" s="193" t="s">
        <v>29254</v>
      </c>
      <c r="B8532" s="7" t="s">
        <v>16838</v>
      </c>
      <c r="C8532" s="7" t="s">
        <v>19579</v>
      </c>
      <c r="D8532" s="194">
        <v>2006.0</v>
      </c>
      <c r="E8532" s="193"/>
      <c r="F8532" s="195" t="s">
        <v>29255</v>
      </c>
      <c r="G8532" s="196">
        <v>0.0</v>
      </c>
      <c r="H8532" s="197">
        <v>8.77</v>
      </c>
      <c r="I8532" s="7" t="s">
        <v>186</v>
      </c>
      <c r="J8532" s="7" t="s">
        <v>16838</v>
      </c>
      <c r="K8532" s="7" t="s">
        <v>19579</v>
      </c>
      <c r="L8532" s="198" t="s">
        <v>65</v>
      </c>
      <c r="M8532" s="194"/>
      <c r="N8532" s="194"/>
    </row>
    <row r="8533">
      <c r="A8533" s="193" t="s">
        <v>29256</v>
      </c>
      <c r="B8533" s="7" t="s">
        <v>16838</v>
      </c>
      <c r="C8533" s="7" t="s">
        <v>18219</v>
      </c>
      <c r="D8533" s="194">
        <v>2022.0</v>
      </c>
      <c r="E8533" s="193"/>
      <c r="F8533" s="195" t="s">
        <v>29257</v>
      </c>
      <c r="G8533" s="196">
        <v>0.0</v>
      </c>
      <c r="H8533" s="197">
        <v>0.04</v>
      </c>
      <c r="I8533" s="7" t="s">
        <v>28792</v>
      </c>
      <c r="J8533" s="7" t="s">
        <v>16838</v>
      </c>
      <c r="K8533" s="7" t="s">
        <v>18219</v>
      </c>
      <c r="L8533" s="198" t="s">
        <v>65</v>
      </c>
      <c r="M8533" s="194"/>
      <c r="N8533" s="194"/>
    </row>
    <row r="8534">
      <c r="A8534" s="193" t="s">
        <v>29258</v>
      </c>
      <c r="B8534" s="7" t="s">
        <v>16838</v>
      </c>
      <c r="C8534" s="7" t="s">
        <v>18219</v>
      </c>
      <c r="D8534" s="194">
        <v>2022.0</v>
      </c>
      <c r="E8534" s="193"/>
      <c r="F8534" s="195" t="s">
        <v>29259</v>
      </c>
      <c r="G8534" s="196">
        <v>0.0</v>
      </c>
      <c r="H8534" s="197">
        <v>10.72</v>
      </c>
      <c r="I8534" s="7" t="s">
        <v>18666</v>
      </c>
      <c r="J8534" s="7" t="s">
        <v>16838</v>
      </c>
      <c r="K8534" s="7" t="s">
        <v>18219</v>
      </c>
      <c r="L8534" s="198" t="s">
        <v>65</v>
      </c>
      <c r="M8534" s="194"/>
      <c r="N8534" s="194"/>
    </row>
    <row r="8535">
      <c r="A8535" s="193" t="s">
        <v>29260</v>
      </c>
      <c r="B8535" s="7" t="s">
        <v>16838</v>
      </c>
      <c r="C8535" s="7" t="s">
        <v>18219</v>
      </c>
      <c r="D8535" s="194">
        <v>2021.0</v>
      </c>
      <c r="E8535" s="193"/>
      <c r="F8535" s="195" t="s">
        <v>29261</v>
      </c>
      <c r="G8535" s="196">
        <v>0.0</v>
      </c>
      <c r="H8535" s="197">
        <v>10.3</v>
      </c>
      <c r="I8535" s="7" t="s">
        <v>17327</v>
      </c>
      <c r="J8535" s="7" t="s">
        <v>16838</v>
      </c>
      <c r="K8535" s="7" t="s">
        <v>18219</v>
      </c>
      <c r="L8535" s="198" t="s">
        <v>65</v>
      </c>
      <c r="M8535" s="194"/>
      <c r="N8535" s="194"/>
    </row>
    <row r="8536">
      <c r="A8536" s="193" t="s">
        <v>29262</v>
      </c>
      <c r="B8536" s="7" t="s">
        <v>16838</v>
      </c>
      <c r="C8536" s="7" t="s">
        <v>18219</v>
      </c>
      <c r="D8536" s="194">
        <v>2023.0</v>
      </c>
      <c r="E8536" s="193"/>
      <c r="F8536" s="195" t="s">
        <v>29263</v>
      </c>
      <c r="G8536" s="196">
        <v>0.0</v>
      </c>
      <c r="H8536" s="197">
        <v>10.38</v>
      </c>
      <c r="I8536" s="7" t="s">
        <v>17327</v>
      </c>
      <c r="J8536" s="7" t="s">
        <v>16838</v>
      </c>
      <c r="K8536" s="7" t="s">
        <v>18219</v>
      </c>
      <c r="L8536" s="198" t="s">
        <v>65</v>
      </c>
      <c r="M8536" s="194"/>
      <c r="N8536" s="194"/>
    </row>
    <row r="8537">
      <c r="A8537" s="193" t="s">
        <v>29264</v>
      </c>
      <c r="B8537" s="7" t="s">
        <v>16838</v>
      </c>
      <c r="C8537" s="7" t="s">
        <v>18219</v>
      </c>
      <c r="D8537" s="194">
        <v>2023.0</v>
      </c>
      <c r="E8537" s="193"/>
      <c r="F8537" s="195" t="s">
        <v>29265</v>
      </c>
      <c r="G8537" s="196">
        <v>0.0</v>
      </c>
      <c r="H8537" s="197">
        <v>10.4301</v>
      </c>
      <c r="I8537" s="7" t="s">
        <v>17327</v>
      </c>
      <c r="J8537" s="7" t="s">
        <v>16838</v>
      </c>
      <c r="K8537" s="7" t="s">
        <v>18219</v>
      </c>
      <c r="L8537" s="198" t="s">
        <v>65</v>
      </c>
      <c r="M8537" s="194"/>
      <c r="N8537" s="194"/>
    </row>
    <row r="8538">
      <c r="A8538" s="193" t="s">
        <v>29266</v>
      </c>
      <c r="B8538" s="7" t="s">
        <v>16838</v>
      </c>
      <c r="C8538" s="7" t="s">
        <v>18219</v>
      </c>
      <c r="D8538" s="194">
        <v>2022.0</v>
      </c>
      <c r="E8538" s="193"/>
      <c r="F8538" s="195" t="s">
        <v>29267</v>
      </c>
      <c r="G8538" s="196">
        <v>0.0</v>
      </c>
      <c r="H8538" s="197">
        <v>10.88</v>
      </c>
      <c r="I8538" s="7" t="s">
        <v>17327</v>
      </c>
      <c r="J8538" s="7" t="s">
        <v>16838</v>
      </c>
      <c r="K8538" s="7" t="s">
        <v>18219</v>
      </c>
      <c r="L8538" s="198" t="s">
        <v>65</v>
      </c>
      <c r="M8538" s="194"/>
      <c r="N8538" s="194"/>
    </row>
    <row r="8539">
      <c r="A8539" s="193" t="s">
        <v>29268</v>
      </c>
      <c r="B8539" s="7" t="s">
        <v>16838</v>
      </c>
      <c r="C8539" s="7" t="s">
        <v>18219</v>
      </c>
      <c r="D8539" s="194">
        <v>2021.0</v>
      </c>
      <c r="E8539" s="193"/>
      <c r="F8539" s="195" t="s">
        <v>29269</v>
      </c>
      <c r="G8539" s="196">
        <v>0.0</v>
      </c>
      <c r="H8539" s="197">
        <v>10.84</v>
      </c>
      <c r="I8539" s="7" t="s">
        <v>16924</v>
      </c>
      <c r="J8539" s="7" t="s">
        <v>16838</v>
      </c>
      <c r="K8539" s="7" t="s">
        <v>18219</v>
      </c>
      <c r="L8539" s="198" t="s">
        <v>65</v>
      </c>
      <c r="M8539" s="194"/>
      <c r="N8539" s="194"/>
    </row>
    <row r="8540">
      <c r="A8540" s="193" t="s">
        <v>29270</v>
      </c>
      <c r="B8540" s="7" t="s">
        <v>16838</v>
      </c>
      <c r="C8540" s="7" t="s">
        <v>18219</v>
      </c>
      <c r="D8540" s="194">
        <v>2022.0</v>
      </c>
      <c r="E8540" s="193"/>
      <c r="F8540" s="195" t="s">
        <v>29271</v>
      </c>
      <c r="G8540" s="196">
        <v>0.0</v>
      </c>
      <c r="H8540" s="197">
        <v>0.0019</v>
      </c>
      <c r="I8540" s="7" t="s">
        <v>16924</v>
      </c>
      <c r="J8540" s="7" t="s">
        <v>16838</v>
      </c>
      <c r="K8540" s="7" t="s">
        <v>18219</v>
      </c>
      <c r="L8540" s="198" t="s">
        <v>65</v>
      </c>
      <c r="M8540" s="194"/>
      <c r="N8540" s="194"/>
    </row>
    <row r="8541">
      <c r="A8541" s="193" t="s">
        <v>29272</v>
      </c>
      <c r="B8541" s="7" t="s">
        <v>16838</v>
      </c>
      <c r="C8541" s="7" t="s">
        <v>18219</v>
      </c>
      <c r="D8541" s="194">
        <v>2022.0</v>
      </c>
      <c r="E8541" s="193"/>
      <c r="F8541" s="195" t="s">
        <v>29273</v>
      </c>
      <c r="G8541" s="196">
        <v>0.0</v>
      </c>
      <c r="H8541" s="197">
        <v>11.12</v>
      </c>
      <c r="I8541" s="7" t="s">
        <v>16924</v>
      </c>
      <c r="J8541" s="7" t="s">
        <v>16838</v>
      </c>
      <c r="K8541" s="7" t="s">
        <v>18219</v>
      </c>
      <c r="L8541" s="198" t="s">
        <v>65</v>
      </c>
      <c r="M8541" s="194"/>
      <c r="N8541" s="194"/>
    </row>
    <row r="8542">
      <c r="A8542" s="193" t="s">
        <v>29274</v>
      </c>
      <c r="B8542" s="7" t="s">
        <v>16838</v>
      </c>
      <c r="C8542" s="7" t="s">
        <v>18219</v>
      </c>
      <c r="D8542" s="194">
        <v>2022.0</v>
      </c>
      <c r="E8542" s="193"/>
      <c r="F8542" s="195" t="s">
        <v>29275</v>
      </c>
      <c r="G8542" s="196">
        <v>0.0</v>
      </c>
      <c r="H8542" s="197">
        <v>0.0701</v>
      </c>
      <c r="I8542" s="7" t="s">
        <v>16924</v>
      </c>
      <c r="J8542" s="7" t="s">
        <v>16838</v>
      </c>
      <c r="K8542" s="7" t="s">
        <v>18219</v>
      </c>
      <c r="L8542" s="198" t="s">
        <v>65</v>
      </c>
      <c r="M8542" s="194"/>
      <c r="N8542" s="194"/>
    </row>
    <row r="8543">
      <c r="A8543" s="193" t="s">
        <v>29276</v>
      </c>
      <c r="B8543" s="7" t="s">
        <v>16838</v>
      </c>
      <c r="C8543" s="7" t="s">
        <v>18219</v>
      </c>
      <c r="D8543" s="194">
        <v>2021.0</v>
      </c>
      <c r="E8543" s="193"/>
      <c r="F8543" s="195" t="s">
        <v>29277</v>
      </c>
      <c r="G8543" s="196">
        <v>0.0</v>
      </c>
      <c r="H8543" s="197">
        <v>11.58</v>
      </c>
      <c r="I8543" s="7" t="s">
        <v>16924</v>
      </c>
      <c r="J8543" s="7" t="s">
        <v>16838</v>
      </c>
      <c r="K8543" s="7" t="s">
        <v>18219</v>
      </c>
      <c r="L8543" s="198" t="s">
        <v>65</v>
      </c>
      <c r="M8543" s="194"/>
      <c r="N8543" s="194"/>
    </row>
    <row r="8544">
      <c r="A8544" s="193" t="s">
        <v>29278</v>
      </c>
      <c r="B8544" s="7" t="s">
        <v>16838</v>
      </c>
      <c r="C8544" s="7" t="s">
        <v>18219</v>
      </c>
      <c r="D8544" s="194">
        <v>2022.0</v>
      </c>
      <c r="E8544" s="193"/>
      <c r="F8544" s="195" t="s">
        <v>29279</v>
      </c>
      <c r="G8544" s="196">
        <v>0.0</v>
      </c>
      <c r="H8544" s="197">
        <v>0.0058</v>
      </c>
      <c r="I8544" s="7" t="s">
        <v>16924</v>
      </c>
      <c r="J8544" s="7" t="s">
        <v>16838</v>
      </c>
      <c r="K8544" s="7" t="s">
        <v>18219</v>
      </c>
      <c r="L8544" s="198" t="s">
        <v>65</v>
      </c>
      <c r="M8544" s="194"/>
      <c r="N8544" s="194"/>
    </row>
    <row r="8545">
      <c r="A8545" s="193" t="s">
        <v>29280</v>
      </c>
      <c r="B8545" s="7" t="s">
        <v>16838</v>
      </c>
      <c r="C8545" s="7" t="s">
        <v>18219</v>
      </c>
      <c r="D8545" s="194">
        <v>2021.0</v>
      </c>
      <c r="E8545" s="193"/>
      <c r="F8545" s="195" t="s">
        <v>29281</v>
      </c>
      <c r="G8545" s="196">
        <v>0.0</v>
      </c>
      <c r="H8545" s="197">
        <v>10.22</v>
      </c>
      <c r="I8545" s="7" t="s">
        <v>16924</v>
      </c>
      <c r="J8545" s="7" t="s">
        <v>16838</v>
      </c>
      <c r="K8545" s="7" t="s">
        <v>18219</v>
      </c>
      <c r="L8545" s="198" t="s">
        <v>65</v>
      </c>
      <c r="M8545" s="194"/>
      <c r="N8545" s="194"/>
    </row>
    <row r="8546">
      <c r="A8546" s="193" t="s">
        <v>29282</v>
      </c>
      <c r="B8546" s="7" t="s">
        <v>16838</v>
      </c>
      <c r="C8546" s="7" t="s">
        <v>18219</v>
      </c>
      <c r="D8546" s="194">
        <v>2021.0</v>
      </c>
      <c r="E8546" s="193"/>
      <c r="F8546" s="195" t="s">
        <v>29283</v>
      </c>
      <c r="G8546" s="196">
        <v>0.0</v>
      </c>
      <c r="H8546" s="197">
        <v>0.039</v>
      </c>
      <c r="I8546" s="7" t="s">
        <v>16924</v>
      </c>
      <c r="J8546" s="7" t="s">
        <v>16838</v>
      </c>
      <c r="K8546" s="7" t="s">
        <v>18219</v>
      </c>
      <c r="L8546" s="198" t="s">
        <v>65</v>
      </c>
      <c r="M8546" s="194"/>
      <c r="N8546" s="194"/>
    </row>
    <row r="8547">
      <c r="A8547" s="193" t="s">
        <v>29284</v>
      </c>
      <c r="B8547" s="7" t="s">
        <v>16838</v>
      </c>
      <c r="C8547" s="7" t="s">
        <v>18219</v>
      </c>
      <c r="D8547" s="194">
        <v>2021.0</v>
      </c>
      <c r="E8547" s="193"/>
      <c r="F8547" s="195" t="s">
        <v>29285</v>
      </c>
      <c r="G8547" s="196">
        <v>0.0</v>
      </c>
      <c r="H8547" s="197">
        <v>0.0244</v>
      </c>
      <c r="I8547" s="7" t="s">
        <v>16924</v>
      </c>
      <c r="J8547" s="7" t="s">
        <v>16838</v>
      </c>
      <c r="K8547" s="7" t="s">
        <v>18219</v>
      </c>
      <c r="L8547" s="198" t="s">
        <v>65</v>
      </c>
      <c r="M8547" s="194"/>
      <c r="N8547" s="194"/>
    </row>
    <row r="8548">
      <c r="A8548" s="193" t="s">
        <v>29286</v>
      </c>
      <c r="B8548" s="7" t="s">
        <v>16838</v>
      </c>
      <c r="C8548" s="7" t="s">
        <v>18219</v>
      </c>
      <c r="D8548" s="194">
        <v>2022.0</v>
      </c>
      <c r="E8548" s="193"/>
      <c r="F8548" s="195" t="s">
        <v>29287</v>
      </c>
      <c r="G8548" s="196">
        <v>0.0</v>
      </c>
      <c r="H8548" s="197">
        <v>11.01</v>
      </c>
      <c r="I8548" s="7" t="s">
        <v>16924</v>
      </c>
      <c r="J8548" s="7" t="s">
        <v>16838</v>
      </c>
      <c r="K8548" s="7" t="s">
        <v>18219</v>
      </c>
      <c r="L8548" s="198" t="s">
        <v>65</v>
      </c>
      <c r="M8548" s="194"/>
      <c r="N8548" s="194"/>
    </row>
    <row r="8549">
      <c r="A8549" s="193" t="s">
        <v>29288</v>
      </c>
      <c r="B8549" s="7" t="s">
        <v>16838</v>
      </c>
      <c r="C8549" s="7" t="s">
        <v>18219</v>
      </c>
      <c r="D8549" s="194">
        <v>2021.0</v>
      </c>
      <c r="E8549" s="193"/>
      <c r="F8549" s="195" t="s">
        <v>29289</v>
      </c>
      <c r="G8549" s="196">
        <v>0.0</v>
      </c>
      <c r="H8549" s="197">
        <v>10.69</v>
      </c>
      <c r="I8549" s="7" t="s">
        <v>16924</v>
      </c>
      <c r="J8549" s="7" t="s">
        <v>16838</v>
      </c>
      <c r="K8549" s="7" t="s">
        <v>18219</v>
      </c>
      <c r="L8549" s="198" t="s">
        <v>65</v>
      </c>
      <c r="M8549" s="194"/>
      <c r="N8549" s="194"/>
    </row>
    <row r="8550">
      <c r="A8550" s="193" t="s">
        <v>29290</v>
      </c>
      <c r="B8550" s="7" t="s">
        <v>16838</v>
      </c>
      <c r="C8550" s="7" t="s">
        <v>18219</v>
      </c>
      <c r="D8550" s="194">
        <v>2022.0</v>
      </c>
      <c r="E8550" s="193"/>
      <c r="F8550" s="195" t="s">
        <v>29291</v>
      </c>
      <c r="G8550" s="196">
        <v>0.0</v>
      </c>
      <c r="H8550" s="197">
        <v>11.03</v>
      </c>
      <c r="I8550" s="7" t="s">
        <v>16924</v>
      </c>
      <c r="J8550" s="7" t="s">
        <v>16838</v>
      </c>
      <c r="K8550" s="7" t="s">
        <v>18219</v>
      </c>
      <c r="L8550" s="198" t="s">
        <v>65</v>
      </c>
      <c r="M8550" s="194"/>
      <c r="N8550" s="194"/>
    </row>
    <row r="8551">
      <c r="A8551" s="193" t="s">
        <v>29292</v>
      </c>
      <c r="B8551" s="7" t="s">
        <v>16838</v>
      </c>
      <c r="C8551" s="7" t="s">
        <v>18219</v>
      </c>
      <c r="D8551" s="194">
        <v>2021.0</v>
      </c>
      <c r="E8551" s="193"/>
      <c r="F8551" s="195" t="s">
        <v>29293</v>
      </c>
      <c r="G8551" s="196">
        <v>0.0</v>
      </c>
      <c r="H8551" s="197">
        <v>11.03</v>
      </c>
      <c r="I8551" s="7" t="s">
        <v>16924</v>
      </c>
      <c r="J8551" s="7" t="s">
        <v>16838</v>
      </c>
      <c r="K8551" s="7" t="s">
        <v>18219</v>
      </c>
      <c r="L8551" s="198" t="s">
        <v>65</v>
      </c>
      <c r="M8551" s="194"/>
      <c r="N8551" s="194"/>
    </row>
    <row r="8552">
      <c r="A8552" s="193" t="s">
        <v>29294</v>
      </c>
      <c r="B8552" s="7" t="s">
        <v>16838</v>
      </c>
      <c r="C8552" s="7" t="s">
        <v>18219</v>
      </c>
      <c r="D8552" s="194">
        <v>2022.0</v>
      </c>
      <c r="E8552" s="193"/>
      <c r="F8552" s="195" t="s">
        <v>29295</v>
      </c>
      <c r="G8552" s="196">
        <v>0.0</v>
      </c>
      <c r="H8552" s="197">
        <v>0.0289</v>
      </c>
      <c r="I8552" s="7" t="s">
        <v>16924</v>
      </c>
      <c r="J8552" s="7" t="s">
        <v>16838</v>
      </c>
      <c r="K8552" s="7" t="s">
        <v>18219</v>
      </c>
      <c r="L8552" s="198" t="s">
        <v>65</v>
      </c>
      <c r="M8552" s="194"/>
      <c r="N8552" s="194"/>
    </row>
    <row r="8553">
      <c r="A8553" s="193" t="s">
        <v>29296</v>
      </c>
      <c r="B8553" s="7" t="s">
        <v>16838</v>
      </c>
      <c r="C8553" s="7" t="s">
        <v>18219</v>
      </c>
      <c r="D8553" s="194">
        <v>2022.0</v>
      </c>
      <c r="E8553" s="193"/>
      <c r="F8553" s="195" t="s">
        <v>29297</v>
      </c>
      <c r="G8553" s="196">
        <v>0.0</v>
      </c>
      <c r="H8553" s="197">
        <v>10.63</v>
      </c>
      <c r="I8553" s="7" t="s">
        <v>16924</v>
      </c>
      <c r="J8553" s="7" t="s">
        <v>16838</v>
      </c>
      <c r="K8553" s="7" t="s">
        <v>18219</v>
      </c>
      <c r="L8553" s="198" t="s">
        <v>65</v>
      </c>
      <c r="M8553" s="194"/>
      <c r="N8553" s="194"/>
    </row>
    <row r="8554">
      <c r="A8554" s="193" t="s">
        <v>29298</v>
      </c>
      <c r="B8554" s="7" t="s">
        <v>16838</v>
      </c>
      <c r="C8554" s="7" t="s">
        <v>18219</v>
      </c>
      <c r="D8554" s="194">
        <v>2022.0</v>
      </c>
      <c r="E8554" s="193"/>
      <c r="F8554" s="195" t="s">
        <v>29299</v>
      </c>
      <c r="G8554" s="196">
        <v>0.0</v>
      </c>
      <c r="H8554" s="197">
        <v>0.3318</v>
      </c>
      <c r="I8554" s="7" t="s">
        <v>16924</v>
      </c>
      <c r="J8554" s="7" t="s">
        <v>16838</v>
      </c>
      <c r="K8554" s="7" t="s">
        <v>18219</v>
      </c>
      <c r="L8554" s="198" t="s">
        <v>65</v>
      </c>
      <c r="M8554" s="194"/>
      <c r="N8554" s="194"/>
    </row>
    <row r="8555">
      <c r="A8555" s="193" t="s">
        <v>29300</v>
      </c>
      <c r="B8555" s="7" t="s">
        <v>16838</v>
      </c>
      <c r="C8555" s="7" t="s">
        <v>18219</v>
      </c>
      <c r="D8555" s="194">
        <v>2021.0</v>
      </c>
      <c r="E8555" s="193"/>
      <c r="F8555" s="195" t="s">
        <v>29301</v>
      </c>
      <c r="G8555" s="196">
        <v>0.0</v>
      </c>
      <c r="H8555" s="197">
        <v>0.0906</v>
      </c>
      <c r="I8555" s="7" t="s">
        <v>16924</v>
      </c>
      <c r="J8555" s="7" t="s">
        <v>16838</v>
      </c>
      <c r="K8555" s="7" t="s">
        <v>18219</v>
      </c>
      <c r="L8555" s="198" t="s">
        <v>65</v>
      </c>
      <c r="M8555" s="194"/>
      <c r="N8555" s="194"/>
    </row>
    <row r="8556">
      <c r="A8556" s="193" t="s">
        <v>29302</v>
      </c>
      <c r="B8556" s="7" t="s">
        <v>16838</v>
      </c>
      <c r="C8556" s="7" t="s">
        <v>18219</v>
      </c>
      <c r="D8556" s="194">
        <v>2021.0</v>
      </c>
      <c r="E8556" s="193"/>
      <c r="F8556" s="195" t="s">
        <v>29303</v>
      </c>
      <c r="G8556" s="196">
        <v>0.0</v>
      </c>
      <c r="H8556" s="197">
        <v>0.01</v>
      </c>
      <c r="I8556" s="7" t="s">
        <v>16924</v>
      </c>
      <c r="J8556" s="7" t="s">
        <v>16838</v>
      </c>
      <c r="K8556" s="7" t="s">
        <v>18219</v>
      </c>
      <c r="L8556" s="198" t="s">
        <v>65</v>
      </c>
      <c r="M8556" s="194"/>
      <c r="N8556" s="194"/>
    </row>
    <row r="8557">
      <c r="A8557" s="193" t="s">
        <v>29304</v>
      </c>
      <c r="B8557" s="7" t="s">
        <v>16838</v>
      </c>
      <c r="C8557" s="7" t="s">
        <v>18219</v>
      </c>
      <c r="D8557" s="194">
        <v>2021.0</v>
      </c>
      <c r="E8557" s="193"/>
      <c r="F8557" s="195" t="s">
        <v>29305</v>
      </c>
      <c r="G8557" s="196">
        <v>0.0</v>
      </c>
      <c r="H8557" s="197">
        <v>10.47</v>
      </c>
      <c r="I8557" s="7" t="s">
        <v>16924</v>
      </c>
      <c r="J8557" s="7" t="s">
        <v>16838</v>
      </c>
      <c r="K8557" s="7" t="s">
        <v>18219</v>
      </c>
      <c r="L8557" s="198" t="s">
        <v>65</v>
      </c>
      <c r="M8557" s="194"/>
      <c r="N8557" s="194"/>
    </row>
    <row r="8558">
      <c r="A8558" s="193" t="s">
        <v>29306</v>
      </c>
      <c r="B8558" s="7" t="s">
        <v>16838</v>
      </c>
      <c r="C8558" s="7" t="s">
        <v>18219</v>
      </c>
      <c r="D8558" s="194">
        <v>2021.0</v>
      </c>
      <c r="E8558" s="193"/>
      <c r="F8558" s="195" t="s">
        <v>29307</v>
      </c>
      <c r="G8558" s="196">
        <v>0.0</v>
      </c>
      <c r="H8558" s="197">
        <v>0.1065</v>
      </c>
      <c r="I8558" s="7" t="s">
        <v>16924</v>
      </c>
      <c r="J8558" s="7" t="s">
        <v>16838</v>
      </c>
      <c r="K8558" s="7" t="s">
        <v>18219</v>
      </c>
      <c r="L8558" s="198" t="s">
        <v>65</v>
      </c>
      <c r="M8558" s="194"/>
      <c r="N8558" s="194"/>
    </row>
    <row r="8559">
      <c r="A8559" s="193" t="s">
        <v>29308</v>
      </c>
      <c r="B8559" s="7" t="s">
        <v>16838</v>
      </c>
      <c r="C8559" s="7" t="s">
        <v>18219</v>
      </c>
      <c r="D8559" s="194">
        <v>2022.0</v>
      </c>
      <c r="E8559" s="193"/>
      <c r="F8559" s="195" t="s">
        <v>29309</v>
      </c>
      <c r="G8559" s="196">
        <v>0.0</v>
      </c>
      <c r="H8559" s="197">
        <v>10.88</v>
      </c>
      <c r="I8559" s="7" t="s">
        <v>16924</v>
      </c>
      <c r="J8559" s="7" t="s">
        <v>16838</v>
      </c>
      <c r="K8559" s="7" t="s">
        <v>18219</v>
      </c>
      <c r="L8559" s="198" t="s">
        <v>65</v>
      </c>
      <c r="M8559" s="194"/>
      <c r="N8559" s="194"/>
    </row>
    <row r="8560">
      <c r="A8560" s="193" t="s">
        <v>29310</v>
      </c>
      <c r="B8560" s="7" t="s">
        <v>16838</v>
      </c>
      <c r="C8560" s="7" t="s">
        <v>18219</v>
      </c>
      <c r="D8560" s="194">
        <v>2022.0</v>
      </c>
      <c r="E8560" s="193"/>
      <c r="F8560" s="195" t="s">
        <v>29311</v>
      </c>
      <c r="G8560" s="196">
        <v>0.0</v>
      </c>
      <c r="H8560" s="197">
        <v>10.8</v>
      </c>
      <c r="I8560" s="7" t="s">
        <v>16924</v>
      </c>
      <c r="J8560" s="7" t="s">
        <v>16838</v>
      </c>
      <c r="K8560" s="7" t="s">
        <v>18219</v>
      </c>
      <c r="L8560" s="198" t="s">
        <v>65</v>
      </c>
      <c r="M8560" s="194"/>
      <c r="N8560" s="194"/>
    </row>
    <row r="8561">
      <c r="A8561" s="193" t="s">
        <v>29312</v>
      </c>
      <c r="B8561" s="7" t="s">
        <v>16838</v>
      </c>
      <c r="C8561" s="7" t="s">
        <v>18219</v>
      </c>
      <c r="D8561" s="194">
        <v>2022.0</v>
      </c>
      <c r="E8561" s="193"/>
      <c r="F8561" s="195" t="s">
        <v>29313</v>
      </c>
      <c r="G8561" s="196">
        <v>0.0</v>
      </c>
      <c r="H8561" s="197">
        <v>0.09</v>
      </c>
      <c r="I8561" s="7" t="s">
        <v>16924</v>
      </c>
      <c r="J8561" s="7" t="s">
        <v>16838</v>
      </c>
      <c r="K8561" s="7" t="s">
        <v>18219</v>
      </c>
      <c r="L8561" s="198" t="s">
        <v>65</v>
      </c>
      <c r="M8561" s="194"/>
      <c r="N8561" s="194"/>
    </row>
    <row r="8562">
      <c r="A8562" s="193" t="s">
        <v>29314</v>
      </c>
      <c r="B8562" s="7" t="s">
        <v>16838</v>
      </c>
      <c r="C8562" s="7" t="s">
        <v>18219</v>
      </c>
      <c r="D8562" s="194">
        <v>2022.0</v>
      </c>
      <c r="E8562" s="193"/>
      <c r="F8562" s="195" t="s">
        <v>29315</v>
      </c>
      <c r="G8562" s="196">
        <v>0.0</v>
      </c>
      <c r="H8562" s="197">
        <v>10.84</v>
      </c>
      <c r="I8562" s="7" t="s">
        <v>16924</v>
      </c>
      <c r="J8562" s="7" t="s">
        <v>16838</v>
      </c>
      <c r="K8562" s="7" t="s">
        <v>18219</v>
      </c>
      <c r="L8562" s="198" t="s">
        <v>65</v>
      </c>
      <c r="M8562" s="194"/>
      <c r="N8562" s="194"/>
    </row>
    <row r="8563">
      <c r="A8563" s="193" t="s">
        <v>29316</v>
      </c>
      <c r="B8563" s="7" t="s">
        <v>16838</v>
      </c>
      <c r="C8563" s="7" t="s">
        <v>18219</v>
      </c>
      <c r="D8563" s="194">
        <v>2022.0</v>
      </c>
      <c r="E8563" s="193"/>
      <c r="F8563" s="195" t="s">
        <v>29317</v>
      </c>
      <c r="G8563" s="196">
        <v>0.0</v>
      </c>
      <c r="H8563" s="197">
        <v>10.92</v>
      </c>
      <c r="I8563" s="7" t="s">
        <v>16924</v>
      </c>
      <c r="J8563" s="7" t="s">
        <v>16838</v>
      </c>
      <c r="K8563" s="7" t="s">
        <v>18219</v>
      </c>
      <c r="L8563" s="198" t="s">
        <v>65</v>
      </c>
      <c r="M8563" s="194"/>
      <c r="N8563" s="194"/>
    </row>
    <row r="8564">
      <c r="A8564" s="193" t="s">
        <v>29318</v>
      </c>
      <c r="B8564" s="7" t="s">
        <v>16838</v>
      </c>
      <c r="C8564" s="7" t="s">
        <v>18219</v>
      </c>
      <c r="D8564" s="194">
        <v>2022.0</v>
      </c>
      <c r="E8564" s="193"/>
      <c r="F8564" s="195" t="s">
        <v>29319</v>
      </c>
      <c r="G8564" s="196">
        <v>0.0</v>
      </c>
      <c r="H8564" s="197">
        <v>0.1439</v>
      </c>
      <c r="I8564" s="7" t="s">
        <v>16924</v>
      </c>
      <c r="J8564" s="7" t="s">
        <v>16838</v>
      </c>
      <c r="K8564" s="7" t="s">
        <v>18219</v>
      </c>
      <c r="L8564" s="198" t="s">
        <v>65</v>
      </c>
      <c r="M8564" s="194"/>
      <c r="N8564" s="194"/>
    </row>
    <row r="8565">
      <c r="A8565" s="193" t="s">
        <v>29320</v>
      </c>
      <c r="B8565" s="7" t="s">
        <v>16838</v>
      </c>
      <c r="C8565" s="7" t="s">
        <v>18219</v>
      </c>
      <c r="D8565" s="194">
        <v>2022.0</v>
      </c>
      <c r="E8565" s="193"/>
      <c r="F8565" s="195" t="s">
        <v>29321</v>
      </c>
      <c r="G8565" s="196">
        <v>0.0</v>
      </c>
      <c r="H8565" s="197">
        <v>0.0144</v>
      </c>
      <c r="I8565" s="7" t="s">
        <v>16924</v>
      </c>
      <c r="J8565" s="7" t="s">
        <v>16838</v>
      </c>
      <c r="K8565" s="7" t="s">
        <v>18219</v>
      </c>
      <c r="L8565" s="198" t="s">
        <v>65</v>
      </c>
      <c r="M8565" s="194"/>
      <c r="N8565" s="194"/>
    </row>
    <row r="8566">
      <c r="A8566" s="193" t="s">
        <v>29322</v>
      </c>
      <c r="B8566" s="7" t="s">
        <v>16838</v>
      </c>
      <c r="C8566" s="7" t="s">
        <v>18219</v>
      </c>
      <c r="D8566" s="194">
        <v>2022.0</v>
      </c>
      <c r="E8566" s="193"/>
      <c r="F8566" s="195" t="s">
        <v>29323</v>
      </c>
      <c r="G8566" s="196">
        <v>0.0</v>
      </c>
      <c r="H8566" s="197">
        <v>10.78</v>
      </c>
      <c r="I8566" s="7" t="s">
        <v>16924</v>
      </c>
      <c r="J8566" s="7" t="s">
        <v>16838</v>
      </c>
      <c r="K8566" s="7" t="s">
        <v>18219</v>
      </c>
      <c r="L8566" s="198" t="s">
        <v>65</v>
      </c>
      <c r="M8566" s="194"/>
      <c r="N8566" s="194"/>
    </row>
    <row r="8567">
      <c r="A8567" s="193" t="s">
        <v>29324</v>
      </c>
      <c r="B8567" s="7" t="s">
        <v>16838</v>
      </c>
      <c r="C8567" s="7" t="s">
        <v>18219</v>
      </c>
      <c r="D8567" s="194">
        <v>2022.0</v>
      </c>
      <c r="E8567" s="193"/>
      <c r="F8567" s="195" t="s">
        <v>29325</v>
      </c>
      <c r="G8567" s="196">
        <v>0.0</v>
      </c>
      <c r="H8567" s="197">
        <v>10.86</v>
      </c>
      <c r="I8567" s="7" t="s">
        <v>16924</v>
      </c>
      <c r="J8567" s="7" t="s">
        <v>16838</v>
      </c>
      <c r="K8567" s="7" t="s">
        <v>18219</v>
      </c>
      <c r="L8567" s="198" t="s">
        <v>65</v>
      </c>
      <c r="M8567" s="194"/>
      <c r="N8567" s="194"/>
    </row>
    <row r="8568">
      <c r="A8568" s="193" t="s">
        <v>29326</v>
      </c>
      <c r="B8568" s="7" t="s">
        <v>16838</v>
      </c>
      <c r="C8568" s="7" t="s">
        <v>18219</v>
      </c>
      <c r="D8568" s="194">
        <v>2023.0</v>
      </c>
      <c r="E8568" s="193"/>
      <c r="F8568" s="195" t="s">
        <v>29327</v>
      </c>
      <c r="G8568" s="196">
        <v>0.0</v>
      </c>
      <c r="H8568" s="197">
        <v>0.0486</v>
      </c>
      <c r="I8568" s="7" t="s">
        <v>16924</v>
      </c>
      <c r="J8568" s="7" t="s">
        <v>16838</v>
      </c>
      <c r="K8568" s="7" t="s">
        <v>18219</v>
      </c>
      <c r="L8568" s="198" t="s">
        <v>65</v>
      </c>
      <c r="M8568" s="194"/>
      <c r="N8568" s="194"/>
    </row>
    <row r="8569">
      <c r="A8569" s="193" t="s">
        <v>29328</v>
      </c>
      <c r="B8569" s="7" t="s">
        <v>16838</v>
      </c>
      <c r="C8569" s="7" t="s">
        <v>18219</v>
      </c>
      <c r="D8569" s="194">
        <v>2023.0</v>
      </c>
      <c r="E8569" s="193"/>
      <c r="F8569" s="195" t="s">
        <v>29329</v>
      </c>
      <c r="G8569" s="196">
        <v>0.0</v>
      </c>
      <c r="H8569" s="197">
        <v>10.64</v>
      </c>
      <c r="I8569" s="7" t="s">
        <v>16924</v>
      </c>
      <c r="J8569" s="7" t="s">
        <v>16838</v>
      </c>
      <c r="K8569" s="7" t="s">
        <v>18219</v>
      </c>
      <c r="L8569" s="198" t="s">
        <v>65</v>
      </c>
      <c r="M8569" s="194"/>
      <c r="N8569" s="194"/>
    </row>
    <row r="8570">
      <c r="A8570" s="193" t="s">
        <v>29330</v>
      </c>
      <c r="B8570" s="7" t="s">
        <v>16838</v>
      </c>
      <c r="C8570" s="7" t="s">
        <v>18219</v>
      </c>
      <c r="D8570" s="194">
        <v>2023.0</v>
      </c>
      <c r="E8570" s="193"/>
      <c r="F8570" s="195" t="s">
        <v>29331</v>
      </c>
      <c r="G8570" s="196">
        <v>0.0</v>
      </c>
      <c r="H8570" s="197">
        <v>0.13</v>
      </c>
      <c r="I8570" s="7" t="s">
        <v>16924</v>
      </c>
      <c r="J8570" s="7" t="s">
        <v>16838</v>
      </c>
      <c r="K8570" s="7" t="s">
        <v>18219</v>
      </c>
      <c r="L8570" s="198" t="s">
        <v>65</v>
      </c>
      <c r="M8570" s="194"/>
      <c r="N8570" s="194"/>
    </row>
    <row r="8571">
      <c r="A8571" s="193" t="s">
        <v>29332</v>
      </c>
      <c r="B8571" s="7" t="s">
        <v>16838</v>
      </c>
      <c r="C8571" s="7" t="s">
        <v>18219</v>
      </c>
      <c r="D8571" s="194">
        <v>2022.0</v>
      </c>
      <c r="E8571" s="193"/>
      <c r="F8571" s="195" t="s">
        <v>29333</v>
      </c>
      <c r="G8571" s="196">
        <v>0.0</v>
      </c>
      <c r="H8571" s="197">
        <v>10.73</v>
      </c>
      <c r="I8571" s="7" t="s">
        <v>16924</v>
      </c>
      <c r="J8571" s="7" t="s">
        <v>16838</v>
      </c>
      <c r="K8571" s="7" t="s">
        <v>18219</v>
      </c>
      <c r="L8571" s="198" t="s">
        <v>65</v>
      </c>
      <c r="M8571" s="194"/>
      <c r="N8571" s="194"/>
    </row>
    <row r="8572">
      <c r="A8572" s="193" t="s">
        <v>29334</v>
      </c>
      <c r="B8572" s="7" t="s">
        <v>16838</v>
      </c>
      <c r="C8572" s="7" t="s">
        <v>18219</v>
      </c>
      <c r="D8572" s="194">
        <v>2021.0</v>
      </c>
      <c r="E8572" s="193"/>
      <c r="F8572" s="195" t="s">
        <v>29335</v>
      </c>
      <c r="G8572" s="196">
        <v>0.0</v>
      </c>
      <c r="H8572" s="197">
        <v>10.68</v>
      </c>
      <c r="I8572" s="7" t="s">
        <v>16924</v>
      </c>
      <c r="J8572" s="7" t="s">
        <v>16838</v>
      </c>
      <c r="K8572" s="7" t="s">
        <v>18219</v>
      </c>
      <c r="L8572" s="198" t="s">
        <v>65</v>
      </c>
      <c r="M8572" s="194"/>
      <c r="N8572" s="194"/>
    </row>
    <row r="8573">
      <c r="A8573" s="193" t="s">
        <v>29336</v>
      </c>
      <c r="B8573" s="7" t="s">
        <v>16838</v>
      </c>
      <c r="C8573" s="7" t="s">
        <v>18219</v>
      </c>
      <c r="D8573" s="194">
        <v>2021.0</v>
      </c>
      <c r="E8573" s="193"/>
      <c r="F8573" s="195" t="s">
        <v>29337</v>
      </c>
      <c r="G8573" s="196">
        <v>0.0</v>
      </c>
      <c r="H8573" s="197">
        <v>10.88</v>
      </c>
      <c r="I8573" s="7" t="s">
        <v>16924</v>
      </c>
      <c r="J8573" s="7" t="s">
        <v>16838</v>
      </c>
      <c r="K8573" s="7" t="s">
        <v>18219</v>
      </c>
      <c r="L8573" s="198" t="s">
        <v>65</v>
      </c>
      <c r="M8573" s="194"/>
      <c r="N8573" s="194"/>
    </row>
    <row r="8574">
      <c r="A8574" s="193" t="s">
        <v>29338</v>
      </c>
      <c r="B8574" s="7" t="s">
        <v>16838</v>
      </c>
      <c r="C8574" s="7" t="s">
        <v>18219</v>
      </c>
      <c r="D8574" s="194">
        <v>2021.0</v>
      </c>
      <c r="E8574" s="193"/>
      <c r="F8574" s="195" t="s">
        <v>29339</v>
      </c>
      <c r="G8574" s="196">
        <v>0.0</v>
      </c>
      <c r="H8574" s="197">
        <v>11.19</v>
      </c>
      <c r="I8574" s="7" t="s">
        <v>16924</v>
      </c>
      <c r="J8574" s="7" t="s">
        <v>16838</v>
      </c>
      <c r="K8574" s="7" t="s">
        <v>18219</v>
      </c>
      <c r="L8574" s="198" t="s">
        <v>65</v>
      </c>
      <c r="M8574" s="194"/>
      <c r="N8574" s="194"/>
    </row>
    <row r="8575">
      <c r="A8575" s="193" t="s">
        <v>29340</v>
      </c>
      <c r="B8575" s="7" t="s">
        <v>16838</v>
      </c>
      <c r="C8575" s="7" t="s">
        <v>18219</v>
      </c>
      <c r="D8575" s="194">
        <v>2021.0</v>
      </c>
      <c r="E8575" s="193"/>
      <c r="F8575" s="195" t="s">
        <v>29341</v>
      </c>
      <c r="G8575" s="196">
        <v>0.0</v>
      </c>
      <c r="H8575" s="197">
        <v>0.0202</v>
      </c>
      <c r="I8575" s="7" t="s">
        <v>16924</v>
      </c>
      <c r="J8575" s="7" t="s">
        <v>16838</v>
      </c>
      <c r="K8575" s="7" t="s">
        <v>18219</v>
      </c>
      <c r="L8575" s="198" t="s">
        <v>65</v>
      </c>
      <c r="M8575" s="194"/>
      <c r="N8575" s="194"/>
    </row>
    <row r="8576">
      <c r="A8576" s="193" t="s">
        <v>29342</v>
      </c>
      <c r="B8576" s="7" t="s">
        <v>16838</v>
      </c>
      <c r="C8576" s="7" t="s">
        <v>18219</v>
      </c>
      <c r="D8576" s="194">
        <v>2023.0</v>
      </c>
      <c r="E8576" s="193"/>
      <c r="F8576" s="195" t="s">
        <v>29343</v>
      </c>
      <c r="G8576" s="196">
        <v>0.0</v>
      </c>
      <c r="H8576" s="197">
        <v>4.18</v>
      </c>
      <c r="I8576" s="7" t="s">
        <v>16924</v>
      </c>
      <c r="J8576" s="7" t="s">
        <v>16838</v>
      </c>
      <c r="K8576" s="7" t="s">
        <v>18219</v>
      </c>
      <c r="L8576" s="198" t="s">
        <v>65</v>
      </c>
      <c r="M8576" s="194"/>
      <c r="N8576" s="194"/>
    </row>
    <row r="8577">
      <c r="A8577" s="193" t="s">
        <v>29344</v>
      </c>
      <c r="B8577" s="7" t="s">
        <v>16838</v>
      </c>
      <c r="C8577" s="7" t="s">
        <v>18219</v>
      </c>
      <c r="D8577" s="199"/>
      <c r="E8577" s="193"/>
      <c r="F8577" s="195" t="s">
        <v>29345</v>
      </c>
      <c r="G8577" s="196">
        <v>0.0</v>
      </c>
      <c r="H8577" s="197">
        <v>0.018</v>
      </c>
      <c r="I8577" s="7" t="s">
        <v>16924</v>
      </c>
      <c r="J8577" s="7" t="s">
        <v>16838</v>
      </c>
      <c r="K8577" s="7" t="s">
        <v>18219</v>
      </c>
      <c r="L8577" s="198" t="s">
        <v>65</v>
      </c>
      <c r="M8577" s="199"/>
      <c r="N8577" s="199"/>
    </row>
    <row r="8578">
      <c r="A8578" s="193" t="s">
        <v>29346</v>
      </c>
      <c r="B8578" s="7" t="s">
        <v>16838</v>
      </c>
      <c r="C8578" s="7" t="s">
        <v>18219</v>
      </c>
      <c r="D8578" s="194">
        <v>2022.0</v>
      </c>
      <c r="E8578" s="193"/>
      <c r="F8578" s="195" t="s">
        <v>29347</v>
      </c>
      <c r="G8578" s="196">
        <v>0.0</v>
      </c>
      <c r="H8578" s="197">
        <v>10.82</v>
      </c>
      <c r="I8578" s="7" t="s">
        <v>16924</v>
      </c>
      <c r="J8578" s="7" t="s">
        <v>16838</v>
      </c>
      <c r="K8578" s="7" t="s">
        <v>18219</v>
      </c>
      <c r="L8578" s="198" t="s">
        <v>65</v>
      </c>
      <c r="M8578" s="194"/>
      <c r="N8578" s="194"/>
    </row>
    <row r="8579">
      <c r="A8579" s="193" t="s">
        <v>29348</v>
      </c>
      <c r="B8579" s="7" t="s">
        <v>16838</v>
      </c>
      <c r="C8579" s="7" t="s">
        <v>19644</v>
      </c>
      <c r="D8579" s="194">
        <v>2010.0</v>
      </c>
      <c r="E8579" s="193"/>
      <c r="F8579" s="195" t="s">
        <v>29349</v>
      </c>
      <c r="G8579" s="196">
        <v>0.0</v>
      </c>
      <c r="H8579" s="197">
        <v>15.33</v>
      </c>
      <c r="I8579" s="7" t="s">
        <v>16924</v>
      </c>
      <c r="J8579" s="7" t="s">
        <v>16838</v>
      </c>
      <c r="K8579" s="7" t="s">
        <v>19644</v>
      </c>
      <c r="L8579" s="198" t="s">
        <v>65</v>
      </c>
      <c r="M8579" s="194"/>
      <c r="N8579" s="194"/>
    </row>
    <row r="8580">
      <c r="A8580" s="193" t="s">
        <v>29350</v>
      </c>
      <c r="B8580" s="7" t="s">
        <v>16838</v>
      </c>
      <c r="C8580" s="7" t="s">
        <v>19644</v>
      </c>
      <c r="D8580" s="194">
        <v>2005.0</v>
      </c>
      <c r="E8580" s="193"/>
      <c r="F8580" s="195" t="s">
        <v>29351</v>
      </c>
      <c r="G8580" s="196">
        <v>0.0</v>
      </c>
      <c r="H8580" s="197">
        <v>7.35</v>
      </c>
      <c r="I8580" s="7" t="s">
        <v>16924</v>
      </c>
      <c r="J8580" s="7" t="s">
        <v>16838</v>
      </c>
      <c r="K8580" s="7" t="s">
        <v>19644</v>
      </c>
      <c r="L8580" s="198" t="s">
        <v>65</v>
      </c>
      <c r="M8580" s="194"/>
      <c r="N8580" s="194"/>
    </row>
    <row r="8581">
      <c r="A8581" s="193" t="s">
        <v>29352</v>
      </c>
      <c r="B8581" s="7" t="s">
        <v>16838</v>
      </c>
      <c r="C8581" s="7" t="s">
        <v>19644</v>
      </c>
      <c r="D8581" s="199"/>
      <c r="E8581" s="193"/>
      <c r="F8581" s="195" t="s">
        <v>29353</v>
      </c>
      <c r="G8581" s="196">
        <v>0.0</v>
      </c>
      <c r="H8581" s="197">
        <v>9.23</v>
      </c>
      <c r="I8581" s="7" t="s">
        <v>16924</v>
      </c>
      <c r="J8581" s="7" t="s">
        <v>16838</v>
      </c>
      <c r="K8581" s="7" t="s">
        <v>19644</v>
      </c>
      <c r="L8581" s="198" t="s">
        <v>65</v>
      </c>
      <c r="M8581" s="199"/>
      <c r="N8581" s="199"/>
    </row>
    <row r="8582">
      <c r="A8582" s="193" t="s">
        <v>29354</v>
      </c>
      <c r="B8582" s="7" t="s">
        <v>16838</v>
      </c>
      <c r="C8582" s="7" t="s">
        <v>19644</v>
      </c>
      <c r="D8582" s="194">
        <v>2001.0</v>
      </c>
      <c r="E8582" s="193"/>
      <c r="F8582" s="195" t="s">
        <v>29355</v>
      </c>
      <c r="G8582" s="196">
        <v>0.0</v>
      </c>
      <c r="H8582" s="197">
        <v>10.56</v>
      </c>
      <c r="I8582" s="7" t="s">
        <v>16924</v>
      </c>
      <c r="J8582" s="7" t="s">
        <v>16838</v>
      </c>
      <c r="K8582" s="7" t="s">
        <v>19644</v>
      </c>
      <c r="L8582" s="198" t="s">
        <v>65</v>
      </c>
      <c r="M8582" s="194"/>
      <c r="N8582" s="194"/>
    </row>
    <row r="8583">
      <c r="A8583" s="193" t="s">
        <v>29356</v>
      </c>
      <c r="B8583" s="7" t="s">
        <v>16838</v>
      </c>
      <c r="C8583" s="7" t="s">
        <v>18679</v>
      </c>
      <c r="D8583" s="194">
        <v>1972.0</v>
      </c>
      <c r="E8583" s="193"/>
      <c r="F8583" s="195" t="s">
        <v>29357</v>
      </c>
      <c r="G8583" s="196">
        <v>0.0</v>
      </c>
      <c r="H8583" s="197">
        <v>14.38</v>
      </c>
      <c r="I8583" s="7" t="s">
        <v>16924</v>
      </c>
      <c r="J8583" s="7" t="s">
        <v>16838</v>
      </c>
      <c r="K8583" s="7" t="s">
        <v>18679</v>
      </c>
      <c r="L8583" s="198" t="s">
        <v>65</v>
      </c>
      <c r="M8583" s="194"/>
      <c r="N8583" s="194"/>
    </row>
    <row r="8584">
      <c r="A8584" s="193" t="s">
        <v>29358</v>
      </c>
      <c r="B8584" s="7" t="s">
        <v>16838</v>
      </c>
      <c r="C8584" s="7" t="s">
        <v>17202</v>
      </c>
      <c r="D8584" s="194">
        <v>2007.0</v>
      </c>
      <c r="E8584" s="193"/>
      <c r="F8584" s="195" t="s">
        <v>29359</v>
      </c>
      <c r="G8584" s="196">
        <v>0.0</v>
      </c>
      <c r="H8584" s="197">
        <v>7.45</v>
      </c>
      <c r="I8584" s="7" t="s">
        <v>16924</v>
      </c>
      <c r="J8584" s="7" t="s">
        <v>16838</v>
      </c>
      <c r="K8584" s="7" t="s">
        <v>17202</v>
      </c>
      <c r="L8584" s="198" t="s">
        <v>65</v>
      </c>
      <c r="M8584" s="194"/>
      <c r="N8584" s="194"/>
    </row>
    <row r="8585">
      <c r="A8585" s="193" t="s">
        <v>29360</v>
      </c>
      <c r="B8585" s="7" t="s">
        <v>16838</v>
      </c>
      <c r="C8585" s="7" t="s">
        <v>17202</v>
      </c>
      <c r="D8585" s="199"/>
      <c r="E8585" s="193"/>
      <c r="F8585" s="195" t="s">
        <v>29361</v>
      </c>
      <c r="G8585" s="196">
        <v>0.0</v>
      </c>
      <c r="H8585" s="197">
        <v>4.83</v>
      </c>
      <c r="I8585" s="7" t="s">
        <v>16924</v>
      </c>
      <c r="J8585" s="7" t="s">
        <v>16838</v>
      </c>
      <c r="K8585" s="7" t="s">
        <v>17202</v>
      </c>
      <c r="L8585" s="198" t="s">
        <v>65</v>
      </c>
      <c r="M8585" s="199"/>
      <c r="N8585" s="199"/>
    </row>
    <row r="8586">
      <c r="A8586" s="193" t="s">
        <v>29362</v>
      </c>
      <c r="B8586" s="7" t="s">
        <v>16838</v>
      </c>
      <c r="C8586" s="7" t="s">
        <v>17202</v>
      </c>
      <c r="D8586" s="194">
        <v>2020.0</v>
      </c>
      <c r="E8586" s="193"/>
      <c r="F8586" s="195" t="s">
        <v>29363</v>
      </c>
      <c r="G8586" s="196">
        <v>0.0</v>
      </c>
      <c r="H8586" s="197">
        <v>16.22</v>
      </c>
      <c r="I8586" s="7" t="s">
        <v>16924</v>
      </c>
      <c r="J8586" s="7" t="s">
        <v>16838</v>
      </c>
      <c r="K8586" s="7" t="s">
        <v>17202</v>
      </c>
      <c r="L8586" s="198" t="s">
        <v>65</v>
      </c>
      <c r="M8586" s="194"/>
      <c r="N8586" s="194"/>
    </row>
    <row r="8587">
      <c r="A8587" s="193" t="s">
        <v>29364</v>
      </c>
      <c r="B8587" s="7" t="s">
        <v>16838</v>
      </c>
      <c r="C8587" s="7" t="s">
        <v>17202</v>
      </c>
      <c r="D8587" s="194">
        <v>2012.0</v>
      </c>
      <c r="E8587" s="193"/>
      <c r="F8587" s="195" t="s">
        <v>29365</v>
      </c>
      <c r="G8587" s="196">
        <v>0.0</v>
      </c>
      <c r="H8587" s="197">
        <v>12.69</v>
      </c>
      <c r="I8587" s="7" t="s">
        <v>16924</v>
      </c>
      <c r="J8587" s="7" t="s">
        <v>16838</v>
      </c>
      <c r="K8587" s="7" t="s">
        <v>17202</v>
      </c>
      <c r="L8587" s="198" t="s">
        <v>65</v>
      </c>
      <c r="M8587" s="194"/>
      <c r="N8587" s="194"/>
    </row>
    <row r="8588">
      <c r="A8588" s="193" t="s">
        <v>29366</v>
      </c>
      <c r="B8588" s="7" t="s">
        <v>16838</v>
      </c>
      <c r="C8588" s="7" t="s">
        <v>16867</v>
      </c>
      <c r="D8588" s="199"/>
      <c r="E8588" s="193"/>
      <c r="F8588" s="195" t="s">
        <v>29367</v>
      </c>
      <c r="G8588" s="196">
        <v>0.0</v>
      </c>
      <c r="H8588" s="197">
        <v>25.76</v>
      </c>
      <c r="I8588" s="7" t="s">
        <v>16924</v>
      </c>
      <c r="J8588" s="7" t="s">
        <v>16838</v>
      </c>
      <c r="K8588" s="7" t="s">
        <v>16867</v>
      </c>
      <c r="L8588" s="198" t="s">
        <v>65</v>
      </c>
      <c r="M8588" s="199"/>
      <c r="N8588" s="199"/>
    </row>
    <row r="8589">
      <c r="A8589" s="193" t="s">
        <v>29368</v>
      </c>
      <c r="B8589" s="7" t="s">
        <v>16838</v>
      </c>
      <c r="C8589" s="7" t="s">
        <v>19579</v>
      </c>
      <c r="D8589" s="194">
        <v>2003.0</v>
      </c>
      <c r="E8589" s="193"/>
      <c r="F8589" s="195" t="s">
        <v>9540</v>
      </c>
      <c r="G8589" s="196">
        <v>0.0</v>
      </c>
      <c r="H8589" s="197">
        <v>10.07</v>
      </c>
      <c r="I8589" s="7" t="s">
        <v>16924</v>
      </c>
      <c r="J8589" s="7" t="s">
        <v>16838</v>
      </c>
      <c r="K8589" s="7" t="s">
        <v>19579</v>
      </c>
      <c r="L8589" s="198" t="s">
        <v>65</v>
      </c>
      <c r="M8589" s="194"/>
      <c r="N8589" s="194"/>
    </row>
    <row r="8590">
      <c r="A8590" s="193" t="s">
        <v>29369</v>
      </c>
      <c r="B8590" s="7" t="s">
        <v>16838</v>
      </c>
      <c r="C8590" s="7" t="s">
        <v>19579</v>
      </c>
      <c r="D8590" s="194">
        <v>1993.0</v>
      </c>
      <c r="E8590" s="193"/>
      <c r="F8590" s="195" t="s">
        <v>29370</v>
      </c>
      <c r="G8590" s="196">
        <v>0.0</v>
      </c>
      <c r="H8590" s="197">
        <v>9.45</v>
      </c>
      <c r="I8590" s="7" t="s">
        <v>16924</v>
      </c>
      <c r="J8590" s="7" t="s">
        <v>16838</v>
      </c>
      <c r="K8590" s="7" t="s">
        <v>19579</v>
      </c>
      <c r="L8590" s="198" t="s">
        <v>65</v>
      </c>
      <c r="M8590" s="194"/>
      <c r="N8590" s="194"/>
    </row>
    <row r="8591">
      <c r="A8591" s="193" t="s">
        <v>29371</v>
      </c>
      <c r="B8591" s="7" t="s">
        <v>16838</v>
      </c>
      <c r="C8591" s="7" t="s">
        <v>19579</v>
      </c>
      <c r="D8591" s="194">
        <v>2007.0</v>
      </c>
      <c r="E8591" s="193"/>
      <c r="F8591" s="195" t="s">
        <v>29372</v>
      </c>
      <c r="G8591" s="196">
        <v>0.0</v>
      </c>
      <c r="H8591" s="197">
        <v>3.45</v>
      </c>
      <c r="I8591" s="7" t="s">
        <v>16924</v>
      </c>
      <c r="J8591" s="7" t="s">
        <v>16838</v>
      </c>
      <c r="K8591" s="7" t="s">
        <v>19579</v>
      </c>
      <c r="L8591" s="198" t="s">
        <v>65</v>
      </c>
      <c r="M8591" s="194"/>
      <c r="N8591" s="194"/>
    </row>
    <row r="8592">
      <c r="A8592" s="193" t="s">
        <v>29373</v>
      </c>
      <c r="B8592" s="7" t="s">
        <v>16838</v>
      </c>
      <c r="C8592" s="7" t="s">
        <v>19579</v>
      </c>
      <c r="D8592" s="194">
        <v>2012.0</v>
      </c>
      <c r="E8592" s="193"/>
      <c r="F8592" s="195" t="s">
        <v>29374</v>
      </c>
      <c r="G8592" s="196">
        <v>0.0</v>
      </c>
      <c r="H8592" s="197">
        <v>10.94</v>
      </c>
      <c r="I8592" s="7" t="s">
        <v>16924</v>
      </c>
      <c r="J8592" s="7" t="s">
        <v>16838</v>
      </c>
      <c r="K8592" s="7" t="s">
        <v>19579</v>
      </c>
      <c r="L8592" s="198" t="s">
        <v>65</v>
      </c>
      <c r="M8592" s="194"/>
      <c r="N8592" s="194"/>
    </row>
    <row r="8593">
      <c r="A8593" s="193" t="s">
        <v>29375</v>
      </c>
      <c r="B8593" s="7" t="s">
        <v>16838</v>
      </c>
      <c r="C8593" s="7" t="s">
        <v>19579</v>
      </c>
      <c r="D8593" s="194">
        <v>2004.0</v>
      </c>
      <c r="E8593" s="193"/>
      <c r="F8593" s="195" t="s">
        <v>9719</v>
      </c>
      <c r="G8593" s="196">
        <v>0.0</v>
      </c>
      <c r="H8593" s="197">
        <v>12.02</v>
      </c>
      <c r="I8593" s="7" t="s">
        <v>16924</v>
      </c>
      <c r="J8593" s="7" t="s">
        <v>16838</v>
      </c>
      <c r="K8593" s="7" t="s">
        <v>19579</v>
      </c>
      <c r="L8593" s="198" t="s">
        <v>65</v>
      </c>
      <c r="M8593" s="194"/>
      <c r="N8593" s="194"/>
    </row>
    <row r="8594">
      <c r="A8594" s="193" t="s">
        <v>29376</v>
      </c>
      <c r="B8594" s="7" t="s">
        <v>16838</v>
      </c>
      <c r="C8594" s="7" t="s">
        <v>19579</v>
      </c>
      <c r="D8594" s="194">
        <v>2011.0</v>
      </c>
      <c r="E8594" s="193"/>
      <c r="F8594" s="195" t="s">
        <v>29377</v>
      </c>
      <c r="G8594" s="196">
        <v>0.0</v>
      </c>
      <c r="H8594" s="197">
        <v>11.4</v>
      </c>
      <c r="I8594" s="193" t="s">
        <v>16924</v>
      </c>
      <c r="J8594" s="7" t="s">
        <v>16838</v>
      </c>
      <c r="K8594" s="7" t="s">
        <v>19579</v>
      </c>
      <c r="L8594" s="198" t="s">
        <v>65</v>
      </c>
      <c r="M8594" s="194"/>
      <c r="N8594" s="194"/>
    </row>
    <row r="8595">
      <c r="A8595" s="193" t="s">
        <v>29378</v>
      </c>
      <c r="B8595" s="7" t="s">
        <v>187</v>
      </c>
      <c r="C8595" s="7" t="s">
        <v>16858</v>
      </c>
      <c r="D8595" s="194">
        <v>2020.0</v>
      </c>
      <c r="E8595" s="193"/>
      <c r="F8595" s="195" t="s">
        <v>29379</v>
      </c>
      <c r="G8595" s="196">
        <v>0.0</v>
      </c>
      <c r="H8595" s="197">
        <v>11.7351</v>
      </c>
      <c r="I8595" s="7" t="s">
        <v>16815</v>
      </c>
      <c r="J8595" s="7" t="s">
        <v>187</v>
      </c>
      <c r="K8595" s="7" t="s">
        <v>16858</v>
      </c>
      <c r="L8595" s="198" t="s">
        <v>65</v>
      </c>
      <c r="M8595" s="194"/>
      <c r="N8595" s="194"/>
    </row>
    <row r="8596">
      <c r="A8596" s="193" t="s">
        <v>29380</v>
      </c>
      <c r="B8596" s="7" t="s">
        <v>187</v>
      </c>
      <c r="C8596" s="7" t="s">
        <v>16858</v>
      </c>
      <c r="D8596" s="194">
        <v>2021.0</v>
      </c>
      <c r="E8596" s="193"/>
      <c r="F8596" s="195" t="s">
        <v>29381</v>
      </c>
      <c r="G8596" s="196">
        <v>0.0</v>
      </c>
      <c r="H8596" s="197">
        <v>2.0</v>
      </c>
      <c r="I8596" s="7" t="s">
        <v>16815</v>
      </c>
      <c r="J8596" s="7" t="s">
        <v>187</v>
      </c>
      <c r="K8596" s="7" t="s">
        <v>16858</v>
      </c>
      <c r="L8596" s="198" t="s">
        <v>65</v>
      </c>
      <c r="M8596" s="194"/>
      <c r="N8596" s="194"/>
    </row>
    <row r="8597">
      <c r="A8597" s="193" t="s">
        <v>29382</v>
      </c>
      <c r="B8597" s="7" t="s">
        <v>187</v>
      </c>
      <c r="C8597" s="7" t="s">
        <v>16858</v>
      </c>
      <c r="D8597" s="199"/>
      <c r="E8597" s="193"/>
      <c r="F8597" s="195" t="s">
        <v>29383</v>
      </c>
      <c r="G8597" s="196">
        <v>0.0</v>
      </c>
      <c r="H8597" s="197">
        <v>0.11</v>
      </c>
      <c r="I8597" s="7" t="s">
        <v>16815</v>
      </c>
      <c r="J8597" s="7" t="s">
        <v>187</v>
      </c>
      <c r="K8597" s="7" t="s">
        <v>16858</v>
      </c>
      <c r="L8597" s="198" t="s">
        <v>65</v>
      </c>
      <c r="M8597" s="199"/>
      <c r="N8597" s="199"/>
    </row>
    <row r="8598">
      <c r="A8598" s="193" t="s">
        <v>29384</v>
      </c>
      <c r="B8598" s="7" t="s">
        <v>187</v>
      </c>
      <c r="C8598" s="7" t="s">
        <v>16846</v>
      </c>
      <c r="D8598" s="199"/>
      <c r="E8598" s="193"/>
      <c r="F8598" s="195" t="s">
        <v>29385</v>
      </c>
      <c r="G8598" s="196">
        <v>0.0</v>
      </c>
      <c r="H8598" s="197">
        <v>2.15</v>
      </c>
      <c r="I8598" s="7" t="s">
        <v>16815</v>
      </c>
      <c r="J8598" s="7" t="s">
        <v>187</v>
      </c>
      <c r="K8598" s="7" t="s">
        <v>16846</v>
      </c>
      <c r="L8598" s="198" t="s">
        <v>65</v>
      </c>
      <c r="M8598" s="199"/>
      <c r="N8598" s="199"/>
    </row>
    <row r="8599">
      <c r="A8599" s="193" t="s">
        <v>29386</v>
      </c>
      <c r="B8599" s="7" t="s">
        <v>187</v>
      </c>
      <c r="C8599" s="7" t="s">
        <v>16846</v>
      </c>
      <c r="D8599" s="194">
        <v>2021.0</v>
      </c>
      <c r="E8599" s="193"/>
      <c r="F8599" s="195" t="s">
        <v>29387</v>
      </c>
      <c r="G8599" s="196">
        <v>0.0</v>
      </c>
      <c r="H8599" s="197">
        <v>10.8</v>
      </c>
      <c r="I8599" s="7" t="s">
        <v>16815</v>
      </c>
      <c r="J8599" s="7" t="s">
        <v>187</v>
      </c>
      <c r="K8599" s="7" t="s">
        <v>16846</v>
      </c>
      <c r="L8599" s="198" t="s">
        <v>65</v>
      </c>
      <c r="M8599" s="194"/>
      <c r="N8599" s="194"/>
    </row>
    <row r="8600">
      <c r="A8600" s="193" t="s">
        <v>29388</v>
      </c>
      <c r="B8600" s="7" t="s">
        <v>16838</v>
      </c>
      <c r="C8600" s="7" t="s">
        <v>18219</v>
      </c>
      <c r="D8600" s="194">
        <v>2021.0</v>
      </c>
      <c r="E8600" s="193"/>
      <c r="F8600" s="195" t="s">
        <v>29389</v>
      </c>
      <c r="G8600" s="196">
        <v>0.0</v>
      </c>
      <c r="H8600" s="197">
        <v>10.4</v>
      </c>
      <c r="I8600" s="7" t="s">
        <v>16815</v>
      </c>
      <c r="J8600" s="7" t="s">
        <v>16838</v>
      </c>
      <c r="K8600" s="7" t="s">
        <v>18219</v>
      </c>
      <c r="L8600" s="198" t="s">
        <v>65</v>
      </c>
      <c r="M8600" s="194"/>
      <c r="N8600" s="194"/>
    </row>
    <row r="8601">
      <c r="A8601" s="193" t="s">
        <v>29390</v>
      </c>
      <c r="B8601" s="7" t="s">
        <v>16838</v>
      </c>
      <c r="C8601" s="7" t="s">
        <v>18219</v>
      </c>
      <c r="D8601" s="194">
        <v>2021.0</v>
      </c>
      <c r="E8601" s="193"/>
      <c r="F8601" s="195" t="s">
        <v>29391</v>
      </c>
      <c r="G8601" s="196">
        <v>0.0</v>
      </c>
      <c r="H8601" s="197">
        <v>0.0457</v>
      </c>
      <c r="I8601" s="7" t="s">
        <v>16815</v>
      </c>
      <c r="J8601" s="7" t="s">
        <v>16838</v>
      </c>
      <c r="K8601" s="7" t="s">
        <v>18219</v>
      </c>
      <c r="L8601" s="198" t="s">
        <v>65</v>
      </c>
      <c r="M8601" s="194"/>
      <c r="N8601" s="194"/>
    </row>
    <row r="8602">
      <c r="A8602" s="193" t="s">
        <v>29392</v>
      </c>
      <c r="B8602" s="7" t="s">
        <v>16838</v>
      </c>
      <c r="C8602" s="7" t="s">
        <v>18219</v>
      </c>
      <c r="D8602" s="194">
        <v>2021.0</v>
      </c>
      <c r="E8602" s="193"/>
      <c r="F8602" s="195" t="s">
        <v>29393</v>
      </c>
      <c r="G8602" s="196">
        <v>0.0</v>
      </c>
      <c r="H8602" s="197">
        <v>10.72</v>
      </c>
      <c r="I8602" s="7" t="s">
        <v>16815</v>
      </c>
      <c r="J8602" s="7" t="s">
        <v>16838</v>
      </c>
      <c r="K8602" s="7" t="s">
        <v>18219</v>
      </c>
      <c r="L8602" s="198" t="s">
        <v>65</v>
      </c>
      <c r="M8602" s="194"/>
      <c r="N8602" s="194"/>
    </row>
    <row r="8603">
      <c r="A8603" s="193" t="s">
        <v>29394</v>
      </c>
      <c r="B8603" s="7" t="s">
        <v>16838</v>
      </c>
      <c r="C8603" s="7" t="s">
        <v>18219</v>
      </c>
      <c r="D8603" s="194">
        <v>2023.0</v>
      </c>
      <c r="E8603" s="193"/>
      <c r="F8603" s="195" t="s">
        <v>29395</v>
      </c>
      <c r="G8603" s="196">
        <v>0.0</v>
      </c>
      <c r="H8603" s="197">
        <v>10.43</v>
      </c>
      <c r="I8603" s="7" t="s">
        <v>16815</v>
      </c>
      <c r="J8603" s="7" t="s">
        <v>16838</v>
      </c>
      <c r="K8603" s="7" t="s">
        <v>18219</v>
      </c>
      <c r="L8603" s="198" t="s">
        <v>65</v>
      </c>
      <c r="M8603" s="194"/>
      <c r="N8603" s="194"/>
    </row>
    <row r="8604">
      <c r="A8604" s="193" t="s">
        <v>29396</v>
      </c>
      <c r="B8604" s="7" t="s">
        <v>16838</v>
      </c>
      <c r="C8604" s="7" t="s">
        <v>18219</v>
      </c>
      <c r="D8604" s="194">
        <v>2023.0</v>
      </c>
      <c r="E8604" s="193"/>
      <c r="F8604" s="195" t="s">
        <v>29397</v>
      </c>
      <c r="G8604" s="196">
        <v>0.0</v>
      </c>
      <c r="H8604" s="197">
        <v>0.15</v>
      </c>
      <c r="I8604" s="7" t="s">
        <v>16815</v>
      </c>
      <c r="J8604" s="7" t="s">
        <v>16838</v>
      </c>
      <c r="K8604" s="7" t="s">
        <v>18219</v>
      </c>
      <c r="L8604" s="198" t="s">
        <v>65</v>
      </c>
      <c r="M8604" s="194"/>
      <c r="N8604" s="194"/>
    </row>
    <row r="8605">
      <c r="A8605" s="193" t="s">
        <v>29398</v>
      </c>
      <c r="B8605" s="7" t="s">
        <v>16838</v>
      </c>
      <c r="C8605" s="7" t="s">
        <v>18219</v>
      </c>
      <c r="D8605" s="194">
        <v>2023.0</v>
      </c>
      <c r="E8605" s="193"/>
      <c r="F8605" s="195" t="s">
        <v>29399</v>
      </c>
      <c r="G8605" s="196">
        <v>0.0</v>
      </c>
      <c r="H8605" s="197">
        <v>10.69</v>
      </c>
      <c r="I8605" s="7" t="s">
        <v>16815</v>
      </c>
      <c r="J8605" s="7" t="s">
        <v>16838</v>
      </c>
      <c r="K8605" s="7" t="s">
        <v>18219</v>
      </c>
      <c r="L8605" s="198" t="s">
        <v>65</v>
      </c>
      <c r="M8605" s="194"/>
      <c r="N8605" s="194"/>
    </row>
    <row r="8606">
      <c r="A8606" s="193" t="s">
        <v>29400</v>
      </c>
      <c r="B8606" s="7" t="s">
        <v>16838</v>
      </c>
      <c r="C8606" s="7" t="s">
        <v>18219</v>
      </c>
      <c r="D8606" s="194">
        <v>2022.0</v>
      </c>
      <c r="E8606" s="193"/>
      <c r="F8606" s="195" t="s">
        <v>29401</v>
      </c>
      <c r="G8606" s="196">
        <v>0.0</v>
      </c>
      <c r="H8606" s="197">
        <v>10.55</v>
      </c>
      <c r="I8606" s="7" t="s">
        <v>16815</v>
      </c>
      <c r="J8606" s="7" t="s">
        <v>16838</v>
      </c>
      <c r="K8606" s="7" t="s">
        <v>18219</v>
      </c>
      <c r="L8606" s="198" t="s">
        <v>65</v>
      </c>
      <c r="M8606" s="194"/>
      <c r="N8606" s="194"/>
    </row>
    <row r="8607">
      <c r="A8607" s="193" t="s">
        <v>29402</v>
      </c>
      <c r="B8607" s="7" t="s">
        <v>16838</v>
      </c>
      <c r="C8607" s="7" t="s">
        <v>18219</v>
      </c>
      <c r="D8607" s="194">
        <v>2022.0</v>
      </c>
      <c r="E8607" s="193"/>
      <c r="F8607" s="195" t="s">
        <v>29403</v>
      </c>
      <c r="G8607" s="196">
        <v>0.0</v>
      </c>
      <c r="H8607" s="197">
        <v>0.06</v>
      </c>
      <c r="I8607" s="7" t="s">
        <v>16815</v>
      </c>
      <c r="J8607" s="7" t="s">
        <v>16838</v>
      </c>
      <c r="K8607" s="7" t="s">
        <v>18219</v>
      </c>
      <c r="L8607" s="198" t="s">
        <v>65</v>
      </c>
      <c r="M8607" s="194"/>
      <c r="N8607" s="194"/>
    </row>
    <row r="8608">
      <c r="A8608" s="193" t="s">
        <v>29404</v>
      </c>
      <c r="B8608" s="7" t="s">
        <v>16838</v>
      </c>
      <c r="C8608" s="7" t="s">
        <v>18219</v>
      </c>
      <c r="D8608" s="194">
        <v>2022.0</v>
      </c>
      <c r="E8608" s="193"/>
      <c r="F8608" s="195" t="s">
        <v>29405</v>
      </c>
      <c r="G8608" s="196">
        <v>0.0</v>
      </c>
      <c r="H8608" s="197">
        <v>0.0102</v>
      </c>
      <c r="I8608" s="7" t="s">
        <v>16815</v>
      </c>
      <c r="J8608" s="7" t="s">
        <v>16838</v>
      </c>
      <c r="K8608" s="7" t="s">
        <v>18219</v>
      </c>
      <c r="L8608" s="198" t="s">
        <v>65</v>
      </c>
      <c r="M8608" s="194"/>
      <c r="N8608" s="194"/>
    </row>
    <row r="8609">
      <c r="A8609" s="193" t="s">
        <v>29406</v>
      </c>
      <c r="B8609" s="7" t="s">
        <v>16838</v>
      </c>
      <c r="C8609" s="7" t="s">
        <v>18219</v>
      </c>
      <c r="D8609" s="194">
        <v>2021.0</v>
      </c>
      <c r="E8609" s="193"/>
      <c r="F8609" s="195" t="s">
        <v>29407</v>
      </c>
      <c r="G8609" s="196">
        <v>0.0</v>
      </c>
      <c r="H8609" s="197">
        <v>10.5</v>
      </c>
      <c r="I8609" s="7" t="s">
        <v>16815</v>
      </c>
      <c r="J8609" s="7" t="s">
        <v>16838</v>
      </c>
      <c r="K8609" s="7" t="s">
        <v>18219</v>
      </c>
      <c r="L8609" s="198" t="s">
        <v>65</v>
      </c>
      <c r="M8609" s="194"/>
      <c r="N8609" s="194"/>
    </row>
    <row r="8610">
      <c r="A8610" s="193" t="s">
        <v>29408</v>
      </c>
      <c r="B8610" s="7" t="s">
        <v>16838</v>
      </c>
      <c r="C8610" s="7" t="s">
        <v>18219</v>
      </c>
      <c r="D8610" s="194">
        <v>2021.0</v>
      </c>
      <c r="E8610" s="193"/>
      <c r="F8610" s="195" t="s">
        <v>29409</v>
      </c>
      <c r="G8610" s="196">
        <v>0.0</v>
      </c>
      <c r="H8610" s="197">
        <v>10.69</v>
      </c>
      <c r="I8610" s="7" t="s">
        <v>16815</v>
      </c>
      <c r="J8610" s="7" t="s">
        <v>16838</v>
      </c>
      <c r="K8610" s="7" t="s">
        <v>18219</v>
      </c>
      <c r="L8610" s="198" t="s">
        <v>65</v>
      </c>
      <c r="M8610" s="194"/>
      <c r="N8610" s="194"/>
    </row>
    <row r="8611">
      <c r="A8611" s="193" t="s">
        <v>29410</v>
      </c>
      <c r="B8611" s="7" t="s">
        <v>16838</v>
      </c>
      <c r="C8611" s="7" t="s">
        <v>18219</v>
      </c>
      <c r="D8611" s="194">
        <v>2021.0</v>
      </c>
      <c r="E8611" s="193"/>
      <c r="F8611" s="195" t="s">
        <v>29411</v>
      </c>
      <c r="G8611" s="196">
        <v>0.0</v>
      </c>
      <c r="H8611" s="197">
        <v>10.72</v>
      </c>
      <c r="I8611" s="7" t="s">
        <v>16815</v>
      </c>
      <c r="J8611" s="7" t="s">
        <v>16838</v>
      </c>
      <c r="K8611" s="7" t="s">
        <v>18219</v>
      </c>
      <c r="L8611" s="198" t="s">
        <v>65</v>
      </c>
      <c r="M8611" s="194"/>
      <c r="N8611" s="194"/>
    </row>
    <row r="8612">
      <c r="A8612" s="193" t="s">
        <v>29412</v>
      </c>
      <c r="B8612" s="7" t="s">
        <v>16838</v>
      </c>
      <c r="C8612" s="7" t="s">
        <v>18219</v>
      </c>
      <c r="D8612" s="194">
        <v>2021.0</v>
      </c>
      <c r="E8612" s="193"/>
      <c r="F8612" s="195" t="s">
        <v>29413</v>
      </c>
      <c r="G8612" s="196">
        <v>0.0</v>
      </c>
      <c r="H8612" s="197">
        <v>0.3</v>
      </c>
      <c r="I8612" s="7" t="s">
        <v>16815</v>
      </c>
      <c r="J8612" s="7" t="s">
        <v>16838</v>
      </c>
      <c r="K8612" s="7" t="s">
        <v>18219</v>
      </c>
      <c r="L8612" s="198" t="s">
        <v>65</v>
      </c>
      <c r="M8612" s="194"/>
      <c r="N8612" s="194"/>
    </row>
    <row r="8613">
      <c r="A8613" s="193" t="s">
        <v>29414</v>
      </c>
      <c r="B8613" s="7" t="s">
        <v>16838</v>
      </c>
      <c r="C8613" s="7" t="s">
        <v>18219</v>
      </c>
      <c r="D8613" s="194">
        <v>2022.0</v>
      </c>
      <c r="E8613" s="193"/>
      <c r="F8613" s="195" t="s">
        <v>29415</v>
      </c>
      <c r="G8613" s="196">
        <v>0.0</v>
      </c>
      <c r="H8613" s="197">
        <v>10.78</v>
      </c>
      <c r="I8613" s="7" t="s">
        <v>16815</v>
      </c>
      <c r="J8613" s="7" t="s">
        <v>16838</v>
      </c>
      <c r="K8613" s="7" t="s">
        <v>18219</v>
      </c>
      <c r="L8613" s="198" t="s">
        <v>65</v>
      </c>
      <c r="M8613" s="194"/>
      <c r="N8613" s="194"/>
    </row>
    <row r="8614">
      <c r="A8614" s="193" t="s">
        <v>29416</v>
      </c>
      <c r="B8614" s="7" t="s">
        <v>16838</v>
      </c>
      <c r="C8614" s="7" t="s">
        <v>18219</v>
      </c>
      <c r="D8614" s="194">
        <v>2022.0</v>
      </c>
      <c r="E8614" s="193"/>
      <c r="F8614" s="195" t="s">
        <v>29417</v>
      </c>
      <c r="G8614" s="196">
        <v>0.0</v>
      </c>
      <c r="H8614" s="197">
        <v>11.0</v>
      </c>
      <c r="I8614" s="7" t="s">
        <v>16815</v>
      </c>
      <c r="J8614" s="7" t="s">
        <v>16838</v>
      </c>
      <c r="K8614" s="7" t="s">
        <v>18219</v>
      </c>
      <c r="L8614" s="198" t="s">
        <v>65</v>
      </c>
      <c r="M8614" s="194"/>
      <c r="N8614" s="194"/>
    </row>
    <row r="8615">
      <c r="A8615" s="193" t="s">
        <v>29418</v>
      </c>
      <c r="B8615" s="7" t="s">
        <v>16838</v>
      </c>
      <c r="C8615" s="7" t="s">
        <v>18219</v>
      </c>
      <c r="D8615" s="194">
        <v>2022.0</v>
      </c>
      <c r="E8615" s="193"/>
      <c r="F8615" s="195" t="s">
        <v>29419</v>
      </c>
      <c r="G8615" s="196">
        <v>0.0</v>
      </c>
      <c r="H8615" s="197">
        <v>10.745</v>
      </c>
      <c r="I8615" s="7" t="s">
        <v>16815</v>
      </c>
      <c r="J8615" s="7" t="s">
        <v>16838</v>
      </c>
      <c r="K8615" s="7" t="s">
        <v>18219</v>
      </c>
      <c r="L8615" s="198" t="s">
        <v>65</v>
      </c>
      <c r="M8615" s="194"/>
      <c r="N8615" s="194"/>
    </row>
    <row r="8616">
      <c r="A8616" s="193" t="s">
        <v>29420</v>
      </c>
      <c r="B8616" s="7" t="s">
        <v>16838</v>
      </c>
      <c r="C8616" s="7" t="s">
        <v>18219</v>
      </c>
      <c r="D8616" s="194">
        <v>2020.0</v>
      </c>
      <c r="E8616" s="193"/>
      <c r="F8616" s="195" t="s">
        <v>29421</v>
      </c>
      <c r="G8616" s="196">
        <v>0.0</v>
      </c>
      <c r="H8616" s="197">
        <v>11.0101</v>
      </c>
      <c r="I8616" s="7" t="s">
        <v>16815</v>
      </c>
      <c r="J8616" s="7" t="s">
        <v>16838</v>
      </c>
      <c r="K8616" s="7" t="s">
        <v>18219</v>
      </c>
      <c r="L8616" s="198" t="s">
        <v>65</v>
      </c>
      <c r="M8616" s="194"/>
      <c r="N8616" s="194"/>
    </row>
    <row r="8617">
      <c r="A8617" s="193" t="s">
        <v>29422</v>
      </c>
      <c r="B8617" s="7" t="s">
        <v>16838</v>
      </c>
      <c r="C8617" s="7" t="s">
        <v>18219</v>
      </c>
      <c r="D8617" s="194">
        <v>2020.0</v>
      </c>
      <c r="E8617" s="193"/>
      <c r="F8617" s="195" t="s">
        <v>29423</v>
      </c>
      <c r="G8617" s="196">
        <v>0.0</v>
      </c>
      <c r="H8617" s="197">
        <v>0.1019</v>
      </c>
      <c r="I8617" s="7" t="s">
        <v>16815</v>
      </c>
      <c r="J8617" s="7" t="s">
        <v>16838</v>
      </c>
      <c r="K8617" s="7" t="s">
        <v>18219</v>
      </c>
      <c r="L8617" s="198" t="s">
        <v>65</v>
      </c>
      <c r="M8617" s="194"/>
      <c r="N8617" s="194"/>
    </row>
    <row r="8618">
      <c r="A8618" s="193" t="s">
        <v>29424</v>
      </c>
      <c r="B8618" s="7" t="s">
        <v>16838</v>
      </c>
      <c r="C8618" s="7" t="s">
        <v>18219</v>
      </c>
      <c r="D8618" s="194">
        <v>2020.0</v>
      </c>
      <c r="E8618" s="193"/>
      <c r="F8618" s="195" t="s">
        <v>29425</v>
      </c>
      <c r="G8618" s="196">
        <v>0.0</v>
      </c>
      <c r="H8618" s="197">
        <v>0.17</v>
      </c>
      <c r="I8618" s="7" t="s">
        <v>16815</v>
      </c>
      <c r="J8618" s="7" t="s">
        <v>16838</v>
      </c>
      <c r="K8618" s="7" t="s">
        <v>18219</v>
      </c>
      <c r="L8618" s="198" t="s">
        <v>65</v>
      </c>
      <c r="M8618" s="194"/>
      <c r="N8618" s="194"/>
    </row>
    <row r="8619">
      <c r="A8619" s="193" t="s">
        <v>29426</v>
      </c>
      <c r="B8619" s="7" t="s">
        <v>16838</v>
      </c>
      <c r="C8619" s="7" t="s">
        <v>18219</v>
      </c>
      <c r="D8619" s="194">
        <v>2022.0</v>
      </c>
      <c r="E8619" s="193"/>
      <c r="F8619" s="195" t="s">
        <v>29427</v>
      </c>
      <c r="G8619" s="196">
        <v>0.0</v>
      </c>
      <c r="H8619" s="197">
        <v>10.61</v>
      </c>
      <c r="I8619" s="7" t="s">
        <v>16815</v>
      </c>
      <c r="J8619" s="7" t="s">
        <v>16838</v>
      </c>
      <c r="K8619" s="7" t="s">
        <v>18219</v>
      </c>
      <c r="L8619" s="198" t="s">
        <v>65</v>
      </c>
      <c r="M8619" s="194"/>
      <c r="N8619" s="194"/>
    </row>
    <row r="8620">
      <c r="A8620" s="193" t="s">
        <v>29428</v>
      </c>
      <c r="B8620" s="7" t="s">
        <v>16838</v>
      </c>
      <c r="C8620" s="7" t="s">
        <v>18219</v>
      </c>
      <c r="D8620" s="194">
        <v>2021.0</v>
      </c>
      <c r="E8620" s="193"/>
      <c r="F8620" s="195" t="s">
        <v>29429</v>
      </c>
      <c r="G8620" s="196">
        <v>0.0</v>
      </c>
      <c r="H8620" s="197">
        <v>10.61</v>
      </c>
      <c r="I8620" s="7" t="s">
        <v>16815</v>
      </c>
      <c r="J8620" s="7" t="s">
        <v>16838</v>
      </c>
      <c r="K8620" s="7" t="s">
        <v>18219</v>
      </c>
      <c r="L8620" s="198" t="s">
        <v>65</v>
      </c>
      <c r="M8620" s="194"/>
      <c r="N8620" s="194"/>
    </row>
    <row r="8621">
      <c r="A8621" s="193" t="s">
        <v>29430</v>
      </c>
      <c r="B8621" s="7" t="s">
        <v>16838</v>
      </c>
      <c r="C8621" s="7" t="s">
        <v>18219</v>
      </c>
      <c r="D8621" s="194">
        <v>2022.0</v>
      </c>
      <c r="E8621" s="193"/>
      <c r="F8621" s="195" t="s">
        <v>29431</v>
      </c>
      <c r="G8621" s="196">
        <v>0.0</v>
      </c>
      <c r="H8621" s="197">
        <v>0.0128</v>
      </c>
      <c r="I8621" s="7" t="s">
        <v>16815</v>
      </c>
      <c r="J8621" s="7" t="s">
        <v>16838</v>
      </c>
      <c r="K8621" s="7" t="s">
        <v>18219</v>
      </c>
      <c r="L8621" s="198" t="s">
        <v>65</v>
      </c>
      <c r="M8621" s="194"/>
      <c r="N8621" s="194"/>
    </row>
    <row r="8622">
      <c r="A8622" s="193" t="s">
        <v>29432</v>
      </c>
      <c r="B8622" s="7" t="s">
        <v>16838</v>
      </c>
      <c r="C8622" s="7" t="s">
        <v>18219</v>
      </c>
      <c r="D8622" s="194">
        <v>2020.0</v>
      </c>
      <c r="E8622" s="193"/>
      <c r="F8622" s="195" t="s">
        <v>29433</v>
      </c>
      <c r="G8622" s="196">
        <v>0.0</v>
      </c>
      <c r="H8622" s="197">
        <v>0.2699</v>
      </c>
      <c r="I8622" s="7" t="s">
        <v>16815</v>
      </c>
      <c r="J8622" s="7" t="s">
        <v>16838</v>
      </c>
      <c r="K8622" s="7" t="s">
        <v>18219</v>
      </c>
      <c r="L8622" s="198" t="s">
        <v>65</v>
      </c>
      <c r="M8622" s="194"/>
      <c r="N8622" s="194"/>
    </row>
    <row r="8623">
      <c r="A8623" s="193" t="s">
        <v>29434</v>
      </c>
      <c r="B8623" s="7" t="s">
        <v>16838</v>
      </c>
      <c r="C8623" s="7" t="s">
        <v>18219</v>
      </c>
      <c r="D8623" s="194">
        <v>2020.0</v>
      </c>
      <c r="E8623" s="193"/>
      <c r="F8623" s="195" t="s">
        <v>29435</v>
      </c>
      <c r="G8623" s="196">
        <v>0.0</v>
      </c>
      <c r="H8623" s="197">
        <v>11.75</v>
      </c>
      <c r="I8623" s="7" t="s">
        <v>16815</v>
      </c>
      <c r="J8623" s="7" t="s">
        <v>16838</v>
      </c>
      <c r="K8623" s="7" t="s">
        <v>18219</v>
      </c>
      <c r="L8623" s="198" t="s">
        <v>65</v>
      </c>
      <c r="M8623" s="194"/>
      <c r="N8623" s="194"/>
    </row>
    <row r="8624">
      <c r="A8624" s="193" t="s">
        <v>29436</v>
      </c>
      <c r="B8624" s="7" t="s">
        <v>16838</v>
      </c>
      <c r="C8624" s="7" t="s">
        <v>18219</v>
      </c>
      <c r="D8624" s="194">
        <v>2020.0</v>
      </c>
      <c r="E8624" s="193"/>
      <c r="F8624" s="195" t="s">
        <v>29437</v>
      </c>
      <c r="G8624" s="196">
        <v>0.0</v>
      </c>
      <c r="H8624" s="197">
        <v>0.0542</v>
      </c>
      <c r="I8624" s="7" t="s">
        <v>16815</v>
      </c>
      <c r="J8624" s="7" t="s">
        <v>16838</v>
      </c>
      <c r="K8624" s="7" t="s">
        <v>18219</v>
      </c>
      <c r="L8624" s="198" t="s">
        <v>65</v>
      </c>
      <c r="M8624" s="194"/>
      <c r="N8624" s="194"/>
    </row>
    <row r="8625">
      <c r="A8625" s="193" t="s">
        <v>29438</v>
      </c>
      <c r="B8625" s="7" t="s">
        <v>16838</v>
      </c>
      <c r="C8625" s="7" t="s">
        <v>18219</v>
      </c>
      <c r="D8625" s="194">
        <v>2023.0</v>
      </c>
      <c r="E8625" s="193"/>
      <c r="F8625" s="195" t="s">
        <v>29439</v>
      </c>
      <c r="G8625" s="196">
        <v>0.0</v>
      </c>
      <c r="H8625" s="197">
        <v>10.32</v>
      </c>
      <c r="I8625" s="7" t="s">
        <v>16815</v>
      </c>
      <c r="J8625" s="7" t="s">
        <v>16838</v>
      </c>
      <c r="K8625" s="7" t="s">
        <v>18219</v>
      </c>
      <c r="L8625" s="198" t="s">
        <v>65</v>
      </c>
      <c r="M8625" s="194"/>
      <c r="N8625" s="194"/>
    </row>
    <row r="8626">
      <c r="A8626" s="193" t="s">
        <v>29440</v>
      </c>
      <c r="B8626" s="7" t="s">
        <v>16838</v>
      </c>
      <c r="C8626" s="7" t="s">
        <v>18219</v>
      </c>
      <c r="D8626" s="194">
        <v>2023.0</v>
      </c>
      <c r="E8626" s="193"/>
      <c r="F8626" s="195" t="s">
        <v>29441</v>
      </c>
      <c r="G8626" s="196">
        <v>0.0</v>
      </c>
      <c r="H8626" s="197">
        <v>0.09</v>
      </c>
      <c r="I8626" s="7" t="s">
        <v>16815</v>
      </c>
      <c r="J8626" s="7" t="s">
        <v>16838</v>
      </c>
      <c r="K8626" s="7" t="s">
        <v>18219</v>
      </c>
      <c r="L8626" s="198" t="s">
        <v>65</v>
      </c>
      <c r="M8626" s="194"/>
      <c r="N8626" s="194"/>
    </row>
    <row r="8627">
      <c r="A8627" s="193" t="s">
        <v>29442</v>
      </c>
      <c r="B8627" s="7" t="s">
        <v>16838</v>
      </c>
      <c r="C8627" s="7" t="s">
        <v>18219</v>
      </c>
      <c r="D8627" s="194">
        <v>2022.0</v>
      </c>
      <c r="E8627" s="193"/>
      <c r="F8627" s="195" t="s">
        <v>29443</v>
      </c>
      <c r="G8627" s="196">
        <v>0.0</v>
      </c>
      <c r="H8627" s="197">
        <v>10.85</v>
      </c>
      <c r="I8627" s="7" t="s">
        <v>16815</v>
      </c>
      <c r="J8627" s="7" t="s">
        <v>16838</v>
      </c>
      <c r="K8627" s="7" t="s">
        <v>18219</v>
      </c>
      <c r="L8627" s="198" t="s">
        <v>65</v>
      </c>
      <c r="M8627" s="194"/>
      <c r="N8627" s="194"/>
    </row>
    <row r="8628">
      <c r="A8628" s="193" t="s">
        <v>29444</v>
      </c>
      <c r="B8628" s="7" t="s">
        <v>16838</v>
      </c>
      <c r="C8628" s="7" t="s">
        <v>18219</v>
      </c>
      <c r="D8628" s="194">
        <v>2022.0</v>
      </c>
      <c r="E8628" s="193"/>
      <c r="F8628" s="195" t="s">
        <v>29445</v>
      </c>
      <c r="G8628" s="196">
        <v>0.0</v>
      </c>
      <c r="H8628" s="197">
        <v>0.15</v>
      </c>
      <c r="I8628" s="7" t="s">
        <v>16815</v>
      </c>
      <c r="J8628" s="7" t="s">
        <v>16838</v>
      </c>
      <c r="K8628" s="7" t="s">
        <v>18219</v>
      </c>
      <c r="L8628" s="198" t="s">
        <v>65</v>
      </c>
      <c r="M8628" s="194"/>
      <c r="N8628" s="194"/>
    </row>
    <row r="8629">
      <c r="A8629" s="193" t="s">
        <v>29446</v>
      </c>
      <c r="B8629" s="7" t="s">
        <v>16838</v>
      </c>
      <c r="C8629" s="7" t="s">
        <v>18219</v>
      </c>
      <c r="D8629" s="194">
        <v>2022.0</v>
      </c>
      <c r="E8629" s="193"/>
      <c r="F8629" s="195" t="s">
        <v>29447</v>
      </c>
      <c r="G8629" s="196">
        <v>0.0</v>
      </c>
      <c r="H8629" s="197">
        <v>0.0528</v>
      </c>
      <c r="I8629" s="7" t="s">
        <v>16815</v>
      </c>
      <c r="J8629" s="7" t="s">
        <v>16838</v>
      </c>
      <c r="K8629" s="7" t="s">
        <v>18219</v>
      </c>
      <c r="L8629" s="198" t="s">
        <v>65</v>
      </c>
      <c r="M8629" s="194"/>
      <c r="N8629" s="194"/>
    </row>
    <row r="8630">
      <c r="A8630" s="193" t="s">
        <v>29448</v>
      </c>
      <c r="B8630" s="7" t="s">
        <v>16838</v>
      </c>
      <c r="C8630" s="7" t="s">
        <v>18219</v>
      </c>
      <c r="D8630" s="194">
        <v>2022.0</v>
      </c>
      <c r="E8630" s="193"/>
      <c r="F8630" s="195" t="s">
        <v>29449</v>
      </c>
      <c r="G8630" s="196">
        <v>0.0</v>
      </c>
      <c r="H8630" s="197">
        <v>10.6499</v>
      </c>
      <c r="I8630" s="7" t="s">
        <v>16815</v>
      </c>
      <c r="J8630" s="7" t="s">
        <v>16838</v>
      </c>
      <c r="K8630" s="7" t="s">
        <v>18219</v>
      </c>
      <c r="L8630" s="198" t="s">
        <v>65</v>
      </c>
      <c r="M8630" s="194"/>
      <c r="N8630" s="194"/>
    </row>
    <row r="8631">
      <c r="A8631" s="193" t="s">
        <v>29450</v>
      </c>
      <c r="B8631" s="7" t="s">
        <v>16838</v>
      </c>
      <c r="C8631" s="7" t="s">
        <v>18219</v>
      </c>
      <c r="D8631" s="194">
        <v>2022.0</v>
      </c>
      <c r="E8631" s="193"/>
      <c r="F8631" s="195" t="s">
        <v>29451</v>
      </c>
      <c r="G8631" s="196">
        <v>0.0</v>
      </c>
      <c r="H8631" s="197">
        <v>10.8</v>
      </c>
      <c r="I8631" s="7" t="s">
        <v>16815</v>
      </c>
      <c r="J8631" s="7" t="s">
        <v>16838</v>
      </c>
      <c r="K8631" s="7" t="s">
        <v>18219</v>
      </c>
      <c r="L8631" s="198" t="s">
        <v>65</v>
      </c>
      <c r="M8631" s="194"/>
      <c r="N8631" s="194"/>
    </row>
    <row r="8632">
      <c r="A8632" s="193" t="s">
        <v>29452</v>
      </c>
      <c r="B8632" s="7" t="s">
        <v>16838</v>
      </c>
      <c r="C8632" s="7" t="s">
        <v>18219</v>
      </c>
      <c r="D8632" s="194">
        <v>2022.0</v>
      </c>
      <c r="E8632" s="193"/>
      <c r="F8632" s="195" t="s">
        <v>29453</v>
      </c>
      <c r="G8632" s="196">
        <v>0.0</v>
      </c>
      <c r="H8632" s="197">
        <v>10.8</v>
      </c>
      <c r="I8632" s="7" t="s">
        <v>16815</v>
      </c>
      <c r="J8632" s="7" t="s">
        <v>16838</v>
      </c>
      <c r="K8632" s="7" t="s">
        <v>18219</v>
      </c>
      <c r="L8632" s="198" t="s">
        <v>65</v>
      </c>
      <c r="M8632" s="194"/>
      <c r="N8632" s="194"/>
    </row>
    <row r="8633">
      <c r="A8633" s="193" t="s">
        <v>29454</v>
      </c>
      <c r="B8633" s="7" t="s">
        <v>16838</v>
      </c>
      <c r="C8633" s="7" t="s">
        <v>18219</v>
      </c>
      <c r="D8633" s="194">
        <v>2022.0</v>
      </c>
      <c r="E8633" s="193"/>
      <c r="F8633" s="195" t="s">
        <v>29455</v>
      </c>
      <c r="G8633" s="196">
        <v>0.0</v>
      </c>
      <c r="H8633" s="197">
        <v>0.0339</v>
      </c>
      <c r="I8633" s="7" t="s">
        <v>16815</v>
      </c>
      <c r="J8633" s="7" t="s">
        <v>16838</v>
      </c>
      <c r="K8633" s="7" t="s">
        <v>18219</v>
      </c>
      <c r="L8633" s="198" t="s">
        <v>65</v>
      </c>
      <c r="M8633" s="194"/>
      <c r="N8633" s="194"/>
    </row>
    <row r="8634">
      <c r="A8634" s="193" t="s">
        <v>29456</v>
      </c>
      <c r="B8634" s="7" t="s">
        <v>16838</v>
      </c>
      <c r="C8634" s="7" t="s">
        <v>18219</v>
      </c>
      <c r="D8634" s="194">
        <v>2021.0</v>
      </c>
      <c r="E8634" s="193"/>
      <c r="F8634" s="195" t="s">
        <v>29457</v>
      </c>
      <c r="G8634" s="196">
        <v>0.0</v>
      </c>
      <c r="H8634" s="197">
        <v>0.0267</v>
      </c>
      <c r="I8634" s="7" t="s">
        <v>16815</v>
      </c>
      <c r="J8634" s="7" t="s">
        <v>16838</v>
      </c>
      <c r="K8634" s="7" t="s">
        <v>18219</v>
      </c>
      <c r="L8634" s="198" t="s">
        <v>65</v>
      </c>
      <c r="M8634" s="194"/>
      <c r="N8634" s="194"/>
    </row>
    <row r="8635">
      <c r="A8635" s="193" t="s">
        <v>29458</v>
      </c>
      <c r="B8635" s="7" t="s">
        <v>16838</v>
      </c>
      <c r="C8635" s="7" t="s">
        <v>18219</v>
      </c>
      <c r="D8635" s="194">
        <v>2021.0</v>
      </c>
      <c r="E8635" s="193"/>
      <c r="F8635" s="195" t="s">
        <v>29459</v>
      </c>
      <c r="G8635" s="196">
        <v>0.0</v>
      </c>
      <c r="H8635" s="197">
        <v>10.78</v>
      </c>
      <c r="I8635" s="7" t="s">
        <v>16815</v>
      </c>
      <c r="J8635" s="7" t="s">
        <v>16838</v>
      </c>
      <c r="K8635" s="7" t="s">
        <v>18219</v>
      </c>
      <c r="L8635" s="198" t="s">
        <v>65</v>
      </c>
      <c r="M8635" s="194"/>
      <c r="N8635" s="194"/>
    </row>
    <row r="8636">
      <c r="A8636" s="193" t="s">
        <v>29460</v>
      </c>
      <c r="B8636" s="7" t="s">
        <v>16838</v>
      </c>
      <c r="C8636" s="7" t="s">
        <v>18219</v>
      </c>
      <c r="D8636" s="194">
        <v>2021.0</v>
      </c>
      <c r="E8636" s="193"/>
      <c r="F8636" s="195" t="s">
        <v>29461</v>
      </c>
      <c r="G8636" s="196">
        <v>0.0</v>
      </c>
      <c r="H8636" s="197">
        <v>10.9</v>
      </c>
      <c r="I8636" s="7" t="s">
        <v>16815</v>
      </c>
      <c r="J8636" s="7" t="s">
        <v>16838</v>
      </c>
      <c r="K8636" s="7" t="s">
        <v>18219</v>
      </c>
      <c r="L8636" s="198" t="s">
        <v>65</v>
      </c>
      <c r="M8636" s="194"/>
      <c r="N8636" s="194"/>
    </row>
    <row r="8637">
      <c r="A8637" s="193" t="s">
        <v>29462</v>
      </c>
      <c r="B8637" s="7" t="s">
        <v>16838</v>
      </c>
      <c r="C8637" s="7" t="s">
        <v>18219</v>
      </c>
      <c r="D8637" s="194">
        <v>2021.0</v>
      </c>
      <c r="E8637" s="193"/>
      <c r="F8637" s="195" t="s">
        <v>29463</v>
      </c>
      <c r="G8637" s="196">
        <v>0.0</v>
      </c>
      <c r="H8637" s="197">
        <v>11.2</v>
      </c>
      <c r="I8637" s="7" t="s">
        <v>16815</v>
      </c>
      <c r="J8637" s="7" t="s">
        <v>16838</v>
      </c>
      <c r="K8637" s="7" t="s">
        <v>18219</v>
      </c>
      <c r="L8637" s="198" t="s">
        <v>65</v>
      </c>
      <c r="M8637" s="194"/>
      <c r="N8637" s="194"/>
    </row>
    <row r="8638">
      <c r="A8638" s="193" t="s">
        <v>29464</v>
      </c>
      <c r="B8638" s="7" t="s">
        <v>16838</v>
      </c>
      <c r="C8638" s="7" t="s">
        <v>18219</v>
      </c>
      <c r="D8638" s="194">
        <v>2021.0</v>
      </c>
      <c r="E8638" s="193"/>
      <c r="F8638" s="195" t="s">
        <v>29465</v>
      </c>
      <c r="G8638" s="196">
        <v>0.0</v>
      </c>
      <c r="H8638" s="197">
        <v>10.46</v>
      </c>
      <c r="I8638" s="7" t="s">
        <v>16815</v>
      </c>
      <c r="J8638" s="7" t="s">
        <v>16838</v>
      </c>
      <c r="K8638" s="7" t="s">
        <v>18219</v>
      </c>
      <c r="L8638" s="198" t="s">
        <v>65</v>
      </c>
      <c r="M8638" s="194"/>
      <c r="N8638" s="194"/>
    </row>
    <row r="8639">
      <c r="A8639" s="193" t="s">
        <v>29466</v>
      </c>
      <c r="B8639" s="7" t="s">
        <v>16838</v>
      </c>
      <c r="C8639" s="7" t="s">
        <v>18219</v>
      </c>
      <c r="D8639" s="194">
        <v>2021.0</v>
      </c>
      <c r="E8639" s="193"/>
      <c r="F8639" s="195" t="s">
        <v>29467</v>
      </c>
      <c r="G8639" s="196">
        <v>0.0</v>
      </c>
      <c r="H8639" s="197">
        <v>10.54</v>
      </c>
      <c r="I8639" s="7" t="s">
        <v>16815</v>
      </c>
      <c r="J8639" s="7" t="s">
        <v>16838</v>
      </c>
      <c r="K8639" s="7" t="s">
        <v>18219</v>
      </c>
      <c r="L8639" s="198" t="s">
        <v>65</v>
      </c>
      <c r="M8639" s="194"/>
      <c r="N8639" s="194"/>
    </row>
    <row r="8640">
      <c r="A8640" s="193" t="s">
        <v>29468</v>
      </c>
      <c r="B8640" s="7" t="s">
        <v>16838</v>
      </c>
      <c r="C8640" s="7" t="s">
        <v>18219</v>
      </c>
      <c r="D8640" s="194">
        <v>2021.0</v>
      </c>
      <c r="E8640" s="193"/>
      <c r="F8640" s="195" t="s">
        <v>29469</v>
      </c>
      <c r="G8640" s="196">
        <v>0.0</v>
      </c>
      <c r="H8640" s="197">
        <v>0.0745</v>
      </c>
      <c r="I8640" s="7" t="s">
        <v>16815</v>
      </c>
      <c r="J8640" s="7" t="s">
        <v>16838</v>
      </c>
      <c r="K8640" s="7" t="s">
        <v>18219</v>
      </c>
      <c r="L8640" s="198" t="s">
        <v>65</v>
      </c>
      <c r="M8640" s="194"/>
      <c r="N8640" s="194"/>
    </row>
    <row r="8641">
      <c r="A8641" s="193" t="s">
        <v>29470</v>
      </c>
      <c r="B8641" s="7" t="s">
        <v>16838</v>
      </c>
      <c r="C8641" s="7" t="s">
        <v>18219</v>
      </c>
      <c r="D8641" s="194">
        <v>2023.0</v>
      </c>
      <c r="E8641" s="193"/>
      <c r="F8641" s="195" t="s">
        <v>29471</v>
      </c>
      <c r="G8641" s="196">
        <v>0.0</v>
      </c>
      <c r="H8641" s="197">
        <v>10.54</v>
      </c>
      <c r="I8641" s="7" t="s">
        <v>16815</v>
      </c>
      <c r="J8641" s="7" t="s">
        <v>16838</v>
      </c>
      <c r="K8641" s="7" t="s">
        <v>18219</v>
      </c>
      <c r="L8641" s="198" t="s">
        <v>65</v>
      </c>
      <c r="M8641" s="194"/>
      <c r="N8641" s="194"/>
    </row>
    <row r="8642">
      <c r="A8642" s="193" t="s">
        <v>29472</v>
      </c>
      <c r="B8642" s="7" t="s">
        <v>16838</v>
      </c>
      <c r="C8642" s="7" t="s">
        <v>18219</v>
      </c>
      <c r="D8642" s="194">
        <v>2023.0</v>
      </c>
      <c r="E8642" s="193"/>
      <c r="F8642" s="195" t="s">
        <v>29473</v>
      </c>
      <c r="G8642" s="196">
        <v>0.0</v>
      </c>
      <c r="H8642" s="197">
        <v>10.73</v>
      </c>
      <c r="I8642" s="7" t="s">
        <v>16815</v>
      </c>
      <c r="J8642" s="7" t="s">
        <v>16838</v>
      </c>
      <c r="K8642" s="7" t="s">
        <v>18219</v>
      </c>
      <c r="L8642" s="198" t="s">
        <v>65</v>
      </c>
      <c r="M8642" s="194"/>
      <c r="N8642" s="194"/>
    </row>
    <row r="8643">
      <c r="A8643" s="193" t="s">
        <v>29474</v>
      </c>
      <c r="B8643" s="7" t="s">
        <v>16838</v>
      </c>
      <c r="C8643" s="7" t="s">
        <v>18219</v>
      </c>
      <c r="D8643" s="194">
        <v>2022.0</v>
      </c>
      <c r="E8643" s="193"/>
      <c r="F8643" s="195" t="s">
        <v>29475</v>
      </c>
      <c r="G8643" s="196">
        <v>0.0</v>
      </c>
      <c r="H8643" s="197">
        <v>10.72</v>
      </c>
      <c r="I8643" s="7" t="s">
        <v>16815</v>
      </c>
      <c r="J8643" s="7" t="s">
        <v>16838</v>
      </c>
      <c r="K8643" s="7" t="s">
        <v>18219</v>
      </c>
      <c r="L8643" s="198" t="s">
        <v>65</v>
      </c>
      <c r="M8643" s="194"/>
      <c r="N8643" s="194"/>
    </row>
    <row r="8644">
      <c r="A8644" s="193" t="s">
        <v>29476</v>
      </c>
      <c r="B8644" s="7" t="s">
        <v>16838</v>
      </c>
      <c r="C8644" s="7" t="s">
        <v>18219</v>
      </c>
      <c r="D8644" s="194">
        <v>2021.0</v>
      </c>
      <c r="E8644" s="193"/>
      <c r="F8644" s="195" t="s">
        <v>29477</v>
      </c>
      <c r="G8644" s="196">
        <v>0.0</v>
      </c>
      <c r="H8644" s="197">
        <v>10.74</v>
      </c>
      <c r="I8644" s="7" t="s">
        <v>16815</v>
      </c>
      <c r="J8644" s="7" t="s">
        <v>16838</v>
      </c>
      <c r="K8644" s="7" t="s">
        <v>18219</v>
      </c>
      <c r="L8644" s="198" t="s">
        <v>65</v>
      </c>
      <c r="M8644" s="194"/>
      <c r="N8644" s="194"/>
    </row>
    <row r="8645">
      <c r="A8645" s="193" t="s">
        <v>29478</v>
      </c>
      <c r="B8645" s="7" t="s">
        <v>16838</v>
      </c>
      <c r="C8645" s="7" t="s">
        <v>18219</v>
      </c>
      <c r="D8645" s="194">
        <v>2021.0</v>
      </c>
      <c r="E8645" s="193"/>
      <c r="F8645" s="195" t="s">
        <v>29479</v>
      </c>
      <c r="G8645" s="196">
        <v>0.0</v>
      </c>
      <c r="H8645" s="197">
        <v>10.97</v>
      </c>
      <c r="I8645" s="7" t="s">
        <v>16815</v>
      </c>
      <c r="J8645" s="7" t="s">
        <v>16838</v>
      </c>
      <c r="K8645" s="7" t="s">
        <v>18219</v>
      </c>
      <c r="L8645" s="198" t="s">
        <v>65</v>
      </c>
      <c r="M8645" s="194"/>
      <c r="N8645" s="194"/>
    </row>
    <row r="8646">
      <c r="A8646" s="193" t="s">
        <v>29480</v>
      </c>
      <c r="B8646" s="7" t="s">
        <v>16838</v>
      </c>
      <c r="C8646" s="7" t="s">
        <v>18219</v>
      </c>
      <c r="D8646" s="194">
        <v>2022.0</v>
      </c>
      <c r="E8646" s="193"/>
      <c r="F8646" s="195" t="s">
        <v>29481</v>
      </c>
      <c r="G8646" s="196">
        <v>0.0</v>
      </c>
      <c r="H8646" s="197">
        <v>10.9</v>
      </c>
      <c r="I8646" s="7" t="s">
        <v>16815</v>
      </c>
      <c r="J8646" s="7" t="s">
        <v>16838</v>
      </c>
      <c r="K8646" s="7" t="s">
        <v>18219</v>
      </c>
      <c r="L8646" s="198" t="s">
        <v>65</v>
      </c>
      <c r="M8646" s="194"/>
      <c r="N8646" s="194"/>
    </row>
    <row r="8647">
      <c r="A8647" s="193" t="s">
        <v>29482</v>
      </c>
      <c r="B8647" s="7" t="s">
        <v>16838</v>
      </c>
      <c r="C8647" s="7" t="s">
        <v>18219</v>
      </c>
      <c r="D8647" s="194">
        <v>2022.0</v>
      </c>
      <c r="E8647" s="193"/>
      <c r="F8647" s="195" t="s">
        <v>29483</v>
      </c>
      <c r="G8647" s="196">
        <v>0.0</v>
      </c>
      <c r="H8647" s="197">
        <v>10.84</v>
      </c>
      <c r="I8647" s="7" t="s">
        <v>16815</v>
      </c>
      <c r="J8647" s="7" t="s">
        <v>16838</v>
      </c>
      <c r="K8647" s="7" t="s">
        <v>18219</v>
      </c>
      <c r="L8647" s="198" t="s">
        <v>65</v>
      </c>
      <c r="M8647" s="194"/>
      <c r="N8647" s="194"/>
    </row>
    <row r="8648">
      <c r="A8648" s="193" t="s">
        <v>29484</v>
      </c>
      <c r="B8648" s="7" t="s">
        <v>16838</v>
      </c>
      <c r="C8648" s="7" t="s">
        <v>18219</v>
      </c>
      <c r="D8648" s="194">
        <v>2022.0</v>
      </c>
      <c r="E8648" s="193"/>
      <c r="F8648" s="195" t="s">
        <v>29485</v>
      </c>
      <c r="G8648" s="196">
        <v>0.0</v>
      </c>
      <c r="H8648" s="197">
        <v>0.0401</v>
      </c>
      <c r="I8648" s="7" t="s">
        <v>16815</v>
      </c>
      <c r="J8648" s="7" t="s">
        <v>16838</v>
      </c>
      <c r="K8648" s="7" t="s">
        <v>18219</v>
      </c>
      <c r="L8648" s="198" t="s">
        <v>65</v>
      </c>
      <c r="M8648" s="194"/>
      <c r="N8648" s="194"/>
    </row>
    <row r="8649">
      <c r="A8649" s="193" t="s">
        <v>29486</v>
      </c>
      <c r="B8649" s="7" t="s">
        <v>16838</v>
      </c>
      <c r="C8649" s="7" t="s">
        <v>18219</v>
      </c>
      <c r="D8649" s="194">
        <v>2021.0</v>
      </c>
      <c r="E8649" s="193"/>
      <c r="F8649" s="195" t="s">
        <v>29487</v>
      </c>
      <c r="G8649" s="196">
        <v>0.0</v>
      </c>
      <c r="H8649" s="197">
        <v>11.22</v>
      </c>
      <c r="I8649" s="7" t="s">
        <v>16815</v>
      </c>
      <c r="J8649" s="7" t="s">
        <v>16838</v>
      </c>
      <c r="K8649" s="7" t="s">
        <v>18219</v>
      </c>
      <c r="L8649" s="198" t="s">
        <v>65</v>
      </c>
      <c r="M8649" s="194"/>
      <c r="N8649" s="194"/>
    </row>
    <row r="8650">
      <c r="A8650" s="193" t="s">
        <v>29488</v>
      </c>
      <c r="B8650" s="7" t="s">
        <v>16838</v>
      </c>
      <c r="C8650" s="7" t="s">
        <v>18219</v>
      </c>
      <c r="D8650" s="194">
        <v>2021.0</v>
      </c>
      <c r="E8650" s="193"/>
      <c r="F8650" s="195" t="s">
        <v>29489</v>
      </c>
      <c r="G8650" s="196">
        <v>0.0</v>
      </c>
      <c r="H8650" s="197">
        <v>0.0262</v>
      </c>
      <c r="I8650" s="7" t="s">
        <v>16815</v>
      </c>
      <c r="J8650" s="7" t="s">
        <v>16838</v>
      </c>
      <c r="K8650" s="7" t="s">
        <v>18219</v>
      </c>
      <c r="L8650" s="198" t="s">
        <v>65</v>
      </c>
      <c r="M8650" s="194"/>
      <c r="N8650" s="194"/>
    </row>
    <row r="8651">
      <c r="A8651" s="193" t="s">
        <v>29490</v>
      </c>
      <c r="B8651" s="7" t="s">
        <v>16838</v>
      </c>
      <c r="C8651" s="7" t="s">
        <v>18219</v>
      </c>
      <c r="D8651" s="194">
        <v>2022.0</v>
      </c>
      <c r="E8651" s="193"/>
      <c r="F8651" s="195" t="s">
        <v>29491</v>
      </c>
      <c r="G8651" s="196">
        <v>0.0</v>
      </c>
      <c r="H8651" s="197">
        <v>0.0753</v>
      </c>
      <c r="I8651" s="7" t="s">
        <v>16815</v>
      </c>
      <c r="J8651" s="7" t="s">
        <v>16838</v>
      </c>
      <c r="K8651" s="7" t="s">
        <v>18219</v>
      </c>
      <c r="L8651" s="198" t="s">
        <v>65</v>
      </c>
      <c r="M8651" s="194"/>
      <c r="N8651" s="194"/>
    </row>
    <row r="8652">
      <c r="A8652" s="193" t="s">
        <v>29492</v>
      </c>
      <c r="B8652" s="7" t="s">
        <v>16838</v>
      </c>
      <c r="C8652" s="7" t="s">
        <v>18219</v>
      </c>
      <c r="D8652" s="194">
        <v>2022.0</v>
      </c>
      <c r="E8652" s="193"/>
      <c r="F8652" s="195" t="s">
        <v>29493</v>
      </c>
      <c r="G8652" s="196">
        <v>0.0</v>
      </c>
      <c r="H8652" s="197">
        <v>0.0285</v>
      </c>
      <c r="I8652" s="7" t="s">
        <v>16815</v>
      </c>
      <c r="J8652" s="7" t="s">
        <v>16838</v>
      </c>
      <c r="K8652" s="7" t="s">
        <v>18219</v>
      </c>
      <c r="L8652" s="198" t="s">
        <v>65</v>
      </c>
      <c r="M8652" s="194"/>
      <c r="N8652" s="194"/>
    </row>
    <row r="8653">
      <c r="A8653" s="193" t="s">
        <v>29494</v>
      </c>
      <c r="B8653" s="7" t="s">
        <v>16838</v>
      </c>
      <c r="C8653" s="7" t="s">
        <v>18219</v>
      </c>
      <c r="D8653" s="194">
        <v>2022.0</v>
      </c>
      <c r="E8653" s="193"/>
      <c r="F8653" s="195" t="s">
        <v>29495</v>
      </c>
      <c r="G8653" s="196">
        <v>0.0</v>
      </c>
      <c r="H8653" s="197">
        <v>10.8</v>
      </c>
      <c r="I8653" s="7" t="s">
        <v>16815</v>
      </c>
      <c r="J8653" s="7" t="s">
        <v>16838</v>
      </c>
      <c r="K8653" s="7" t="s">
        <v>18219</v>
      </c>
      <c r="L8653" s="198" t="s">
        <v>65</v>
      </c>
      <c r="M8653" s="194"/>
      <c r="N8653" s="194"/>
    </row>
    <row r="8654">
      <c r="A8654" s="193" t="s">
        <v>29496</v>
      </c>
      <c r="B8654" s="7" t="s">
        <v>16838</v>
      </c>
      <c r="C8654" s="7" t="s">
        <v>18219</v>
      </c>
      <c r="D8654" s="194">
        <v>2022.0</v>
      </c>
      <c r="E8654" s="193"/>
      <c r="F8654" s="195" t="s">
        <v>29497</v>
      </c>
      <c r="G8654" s="196">
        <v>0.0</v>
      </c>
      <c r="H8654" s="197">
        <v>0.0276</v>
      </c>
      <c r="I8654" s="7" t="s">
        <v>16815</v>
      </c>
      <c r="J8654" s="7" t="s">
        <v>16838</v>
      </c>
      <c r="K8654" s="7" t="s">
        <v>18219</v>
      </c>
      <c r="L8654" s="198" t="s">
        <v>65</v>
      </c>
      <c r="M8654" s="194"/>
      <c r="N8654" s="194"/>
    </row>
    <row r="8655">
      <c r="A8655" s="193" t="s">
        <v>29498</v>
      </c>
      <c r="B8655" s="7" t="s">
        <v>16838</v>
      </c>
      <c r="C8655" s="7" t="s">
        <v>18219</v>
      </c>
      <c r="D8655" s="194">
        <v>2021.0</v>
      </c>
      <c r="E8655" s="193"/>
      <c r="F8655" s="195" t="s">
        <v>29499</v>
      </c>
      <c r="G8655" s="196">
        <v>0.0</v>
      </c>
      <c r="H8655" s="197">
        <v>10.31</v>
      </c>
      <c r="I8655" s="7" t="s">
        <v>16815</v>
      </c>
      <c r="J8655" s="7" t="s">
        <v>16838</v>
      </c>
      <c r="K8655" s="7" t="s">
        <v>18219</v>
      </c>
      <c r="L8655" s="198" t="s">
        <v>65</v>
      </c>
      <c r="M8655" s="194"/>
      <c r="N8655" s="194"/>
    </row>
    <row r="8656">
      <c r="A8656" s="193" t="s">
        <v>29500</v>
      </c>
      <c r="B8656" s="7" t="s">
        <v>16838</v>
      </c>
      <c r="C8656" s="7" t="s">
        <v>18219</v>
      </c>
      <c r="D8656" s="194">
        <v>2021.0</v>
      </c>
      <c r="E8656" s="193"/>
      <c r="F8656" s="195" t="s">
        <v>29501</v>
      </c>
      <c r="G8656" s="196">
        <v>0.0</v>
      </c>
      <c r="H8656" s="197">
        <v>10.55</v>
      </c>
      <c r="I8656" s="7" t="s">
        <v>16815</v>
      </c>
      <c r="J8656" s="7" t="s">
        <v>16838</v>
      </c>
      <c r="K8656" s="7" t="s">
        <v>18219</v>
      </c>
      <c r="L8656" s="198" t="s">
        <v>65</v>
      </c>
      <c r="M8656" s="194"/>
      <c r="N8656" s="194"/>
    </row>
    <row r="8657">
      <c r="A8657" s="193" t="s">
        <v>29502</v>
      </c>
      <c r="B8657" s="7" t="s">
        <v>16838</v>
      </c>
      <c r="C8657" s="7" t="s">
        <v>18219</v>
      </c>
      <c r="D8657" s="194">
        <v>2022.0</v>
      </c>
      <c r="E8657" s="193"/>
      <c r="F8657" s="195" t="s">
        <v>29503</v>
      </c>
      <c r="G8657" s="196">
        <v>0.0</v>
      </c>
      <c r="H8657" s="197">
        <v>10.8301</v>
      </c>
      <c r="I8657" s="7" t="s">
        <v>16815</v>
      </c>
      <c r="J8657" s="7" t="s">
        <v>16838</v>
      </c>
      <c r="K8657" s="7" t="s">
        <v>18219</v>
      </c>
      <c r="L8657" s="198" t="s">
        <v>65</v>
      </c>
      <c r="M8657" s="194"/>
      <c r="N8657" s="194"/>
    </row>
    <row r="8658">
      <c r="A8658" s="193" t="s">
        <v>29504</v>
      </c>
      <c r="B8658" s="7" t="s">
        <v>16838</v>
      </c>
      <c r="C8658" s="7" t="s">
        <v>18219</v>
      </c>
      <c r="D8658" s="194">
        <v>2022.0</v>
      </c>
      <c r="E8658" s="193"/>
      <c r="F8658" s="195" t="s">
        <v>29505</v>
      </c>
      <c r="G8658" s="196">
        <v>0.0</v>
      </c>
      <c r="H8658" s="197">
        <v>0.018</v>
      </c>
      <c r="I8658" s="7" t="s">
        <v>16815</v>
      </c>
      <c r="J8658" s="7" t="s">
        <v>16838</v>
      </c>
      <c r="K8658" s="7" t="s">
        <v>18219</v>
      </c>
      <c r="L8658" s="198" t="s">
        <v>65</v>
      </c>
      <c r="M8658" s="194"/>
      <c r="N8658" s="194"/>
    </row>
    <row r="8659">
      <c r="A8659" s="193" t="s">
        <v>2322</v>
      </c>
      <c r="B8659" s="7" t="s">
        <v>16838</v>
      </c>
      <c r="C8659" s="7" t="s">
        <v>18219</v>
      </c>
      <c r="D8659" s="194">
        <v>2020.0</v>
      </c>
      <c r="E8659" s="193"/>
      <c r="F8659" s="195" t="s">
        <v>29506</v>
      </c>
      <c r="G8659" s="196">
        <v>0.0</v>
      </c>
      <c r="H8659" s="197">
        <v>10.81</v>
      </c>
      <c r="I8659" s="7" t="s">
        <v>16815</v>
      </c>
      <c r="J8659" s="7" t="s">
        <v>16838</v>
      </c>
      <c r="K8659" s="7" t="s">
        <v>18219</v>
      </c>
      <c r="L8659" s="198" t="s">
        <v>65</v>
      </c>
      <c r="M8659" s="194"/>
      <c r="N8659" s="194"/>
    </row>
    <row r="8660">
      <c r="A8660" s="193" t="s">
        <v>29507</v>
      </c>
      <c r="B8660" s="7" t="s">
        <v>16838</v>
      </c>
      <c r="C8660" s="7" t="s">
        <v>18219</v>
      </c>
      <c r="D8660" s="194">
        <v>2020.0</v>
      </c>
      <c r="E8660" s="193"/>
      <c r="F8660" s="195" t="s">
        <v>29508</v>
      </c>
      <c r="G8660" s="196">
        <v>0.0</v>
      </c>
      <c r="H8660" s="197">
        <v>0.29</v>
      </c>
      <c r="I8660" s="7" t="s">
        <v>16815</v>
      </c>
      <c r="J8660" s="7" t="s">
        <v>16838</v>
      </c>
      <c r="K8660" s="7" t="s">
        <v>18219</v>
      </c>
      <c r="L8660" s="198" t="s">
        <v>65</v>
      </c>
      <c r="M8660" s="194"/>
      <c r="N8660" s="194"/>
    </row>
    <row r="8661">
      <c r="A8661" s="193" t="s">
        <v>29509</v>
      </c>
      <c r="B8661" s="7" t="s">
        <v>16838</v>
      </c>
      <c r="C8661" s="7" t="s">
        <v>18219</v>
      </c>
      <c r="D8661" s="194">
        <v>2021.0</v>
      </c>
      <c r="E8661" s="193"/>
      <c r="F8661" s="195" t="s">
        <v>29510</v>
      </c>
      <c r="G8661" s="196">
        <v>0.0</v>
      </c>
      <c r="H8661" s="197">
        <v>10.61</v>
      </c>
      <c r="I8661" s="7" t="s">
        <v>16815</v>
      </c>
      <c r="J8661" s="7" t="s">
        <v>16838</v>
      </c>
      <c r="K8661" s="7" t="s">
        <v>18219</v>
      </c>
      <c r="L8661" s="198" t="s">
        <v>65</v>
      </c>
      <c r="M8661" s="194"/>
      <c r="N8661" s="194"/>
    </row>
    <row r="8662">
      <c r="A8662" s="193" t="s">
        <v>29511</v>
      </c>
      <c r="B8662" s="7" t="s">
        <v>16838</v>
      </c>
      <c r="C8662" s="7" t="s">
        <v>18219</v>
      </c>
      <c r="D8662" s="194">
        <v>2020.0</v>
      </c>
      <c r="E8662" s="193"/>
      <c r="F8662" s="195" t="s">
        <v>29512</v>
      </c>
      <c r="G8662" s="196">
        <v>0.0</v>
      </c>
      <c r="H8662" s="197">
        <v>10.91</v>
      </c>
      <c r="I8662" s="7" t="s">
        <v>16815</v>
      </c>
      <c r="J8662" s="7" t="s">
        <v>16838</v>
      </c>
      <c r="K8662" s="7" t="s">
        <v>18219</v>
      </c>
      <c r="L8662" s="198" t="s">
        <v>65</v>
      </c>
      <c r="M8662" s="194"/>
      <c r="N8662" s="194"/>
    </row>
    <row r="8663">
      <c r="A8663" s="193" t="s">
        <v>29513</v>
      </c>
      <c r="B8663" s="7" t="s">
        <v>16838</v>
      </c>
      <c r="C8663" s="7" t="s">
        <v>18219</v>
      </c>
      <c r="D8663" s="194">
        <v>2021.0</v>
      </c>
      <c r="E8663" s="193"/>
      <c r="F8663" s="195" t="s">
        <v>29514</v>
      </c>
      <c r="G8663" s="196">
        <v>0.0</v>
      </c>
      <c r="H8663" s="197">
        <v>0.0735</v>
      </c>
      <c r="I8663" s="7" t="s">
        <v>16815</v>
      </c>
      <c r="J8663" s="7" t="s">
        <v>16838</v>
      </c>
      <c r="K8663" s="7" t="s">
        <v>18219</v>
      </c>
      <c r="L8663" s="198" t="s">
        <v>65</v>
      </c>
      <c r="M8663" s="194"/>
      <c r="N8663" s="194"/>
    </row>
    <row r="8664">
      <c r="A8664" s="193" t="s">
        <v>29515</v>
      </c>
      <c r="B8664" s="7" t="s">
        <v>16838</v>
      </c>
      <c r="C8664" s="7" t="s">
        <v>18219</v>
      </c>
      <c r="D8664" s="194">
        <v>2022.0</v>
      </c>
      <c r="E8664" s="193"/>
      <c r="F8664" s="195" t="s">
        <v>29516</v>
      </c>
      <c r="G8664" s="196">
        <v>0.0</v>
      </c>
      <c r="H8664" s="197">
        <v>10.78</v>
      </c>
      <c r="I8664" s="7" t="s">
        <v>16815</v>
      </c>
      <c r="J8664" s="7" t="s">
        <v>16838</v>
      </c>
      <c r="K8664" s="7" t="s">
        <v>18219</v>
      </c>
      <c r="L8664" s="198" t="s">
        <v>65</v>
      </c>
      <c r="M8664" s="194"/>
      <c r="N8664" s="194"/>
    </row>
    <row r="8665">
      <c r="A8665" s="193" t="s">
        <v>29517</v>
      </c>
      <c r="B8665" s="7" t="s">
        <v>16838</v>
      </c>
      <c r="C8665" s="7" t="s">
        <v>18219</v>
      </c>
      <c r="D8665" s="194">
        <v>2022.0</v>
      </c>
      <c r="E8665" s="193"/>
      <c r="F8665" s="195" t="s">
        <v>29518</v>
      </c>
      <c r="G8665" s="196">
        <v>0.0</v>
      </c>
      <c r="H8665" s="197">
        <v>0.09</v>
      </c>
      <c r="I8665" s="7" t="s">
        <v>16815</v>
      </c>
      <c r="J8665" s="7" t="s">
        <v>16838</v>
      </c>
      <c r="K8665" s="7" t="s">
        <v>18219</v>
      </c>
      <c r="L8665" s="198" t="s">
        <v>65</v>
      </c>
      <c r="M8665" s="194"/>
      <c r="N8665" s="194"/>
    </row>
    <row r="8666">
      <c r="A8666" s="193" t="s">
        <v>29519</v>
      </c>
      <c r="B8666" s="7" t="s">
        <v>16838</v>
      </c>
      <c r="C8666" s="7" t="s">
        <v>18219</v>
      </c>
      <c r="D8666" s="194">
        <v>2022.0</v>
      </c>
      <c r="E8666" s="193"/>
      <c r="F8666" s="195" t="s">
        <v>29520</v>
      </c>
      <c r="G8666" s="196">
        <v>0.0</v>
      </c>
      <c r="H8666" s="197">
        <v>0.04</v>
      </c>
      <c r="I8666" s="7" t="s">
        <v>16815</v>
      </c>
      <c r="J8666" s="7" t="s">
        <v>16838</v>
      </c>
      <c r="K8666" s="7" t="s">
        <v>18219</v>
      </c>
      <c r="L8666" s="198" t="s">
        <v>65</v>
      </c>
      <c r="M8666" s="194"/>
      <c r="N8666" s="194"/>
    </row>
    <row r="8667">
      <c r="A8667" s="193" t="s">
        <v>29521</v>
      </c>
      <c r="B8667" s="7" t="s">
        <v>16838</v>
      </c>
      <c r="C8667" s="7" t="s">
        <v>18219</v>
      </c>
      <c r="D8667" s="194">
        <v>2021.0</v>
      </c>
      <c r="E8667" s="193"/>
      <c r="F8667" s="195" t="s">
        <v>29522</v>
      </c>
      <c r="G8667" s="196">
        <v>0.0</v>
      </c>
      <c r="H8667" s="197">
        <v>10.97</v>
      </c>
      <c r="I8667" s="7" t="s">
        <v>16815</v>
      </c>
      <c r="J8667" s="7" t="s">
        <v>16838</v>
      </c>
      <c r="K8667" s="7" t="s">
        <v>18219</v>
      </c>
      <c r="L8667" s="198" t="s">
        <v>65</v>
      </c>
      <c r="M8667" s="194"/>
      <c r="N8667" s="194"/>
    </row>
    <row r="8668">
      <c r="A8668" s="193" t="s">
        <v>29523</v>
      </c>
      <c r="B8668" s="7" t="s">
        <v>16838</v>
      </c>
      <c r="C8668" s="7" t="s">
        <v>18219</v>
      </c>
      <c r="D8668" s="194">
        <v>2021.0</v>
      </c>
      <c r="E8668" s="193"/>
      <c r="F8668" s="195" t="s">
        <v>29524</v>
      </c>
      <c r="G8668" s="196">
        <v>0.0</v>
      </c>
      <c r="H8668" s="197">
        <v>10.47</v>
      </c>
      <c r="I8668" s="7" t="s">
        <v>16815</v>
      </c>
      <c r="J8668" s="7" t="s">
        <v>16838</v>
      </c>
      <c r="K8668" s="7" t="s">
        <v>18219</v>
      </c>
      <c r="L8668" s="198" t="s">
        <v>65</v>
      </c>
      <c r="M8668" s="194"/>
      <c r="N8668" s="194"/>
    </row>
    <row r="8669">
      <c r="A8669" s="193" t="s">
        <v>29525</v>
      </c>
      <c r="B8669" s="7" t="s">
        <v>16838</v>
      </c>
      <c r="C8669" s="7" t="s">
        <v>18219</v>
      </c>
      <c r="D8669" s="194">
        <v>2022.0</v>
      </c>
      <c r="E8669" s="193"/>
      <c r="F8669" s="195" t="s">
        <v>29526</v>
      </c>
      <c r="G8669" s="196">
        <v>0.0</v>
      </c>
      <c r="H8669" s="197">
        <v>10.97</v>
      </c>
      <c r="I8669" s="7" t="s">
        <v>16815</v>
      </c>
      <c r="J8669" s="7" t="s">
        <v>16838</v>
      </c>
      <c r="K8669" s="7" t="s">
        <v>18219</v>
      </c>
      <c r="L8669" s="198" t="s">
        <v>65</v>
      </c>
      <c r="M8669" s="194"/>
      <c r="N8669" s="194"/>
    </row>
    <row r="8670">
      <c r="A8670" s="193" t="s">
        <v>29527</v>
      </c>
      <c r="B8670" s="7" t="s">
        <v>16838</v>
      </c>
      <c r="C8670" s="7" t="s">
        <v>18219</v>
      </c>
      <c r="D8670" s="194">
        <v>2021.0</v>
      </c>
      <c r="E8670" s="193"/>
      <c r="F8670" s="195" t="s">
        <v>29528</v>
      </c>
      <c r="G8670" s="196">
        <v>0.0</v>
      </c>
      <c r="H8670" s="197">
        <v>10.611</v>
      </c>
      <c r="I8670" s="7" t="s">
        <v>16815</v>
      </c>
      <c r="J8670" s="7" t="s">
        <v>16838</v>
      </c>
      <c r="K8670" s="7" t="s">
        <v>18219</v>
      </c>
      <c r="L8670" s="198" t="s">
        <v>65</v>
      </c>
      <c r="M8670" s="194"/>
      <c r="N8670" s="194"/>
    </row>
    <row r="8671">
      <c r="A8671" s="193" t="s">
        <v>29529</v>
      </c>
      <c r="B8671" s="7" t="s">
        <v>16838</v>
      </c>
      <c r="C8671" s="7" t="s">
        <v>18219</v>
      </c>
      <c r="D8671" s="194">
        <v>2021.0</v>
      </c>
      <c r="E8671" s="193"/>
      <c r="F8671" s="195" t="s">
        <v>29530</v>
      </c>
      <c r="G8671" s="196">
        <v>0.0</v>
      </c>
      <c r="H8671" s="197">
        <v>0.0361</v>
      </c>
      <c r="I8671" s="7" t="s">
        <v>16815</v>
      </c>
      <c r="J8671" s="7" t="s">
        <v>16838</v>
      </c>
      <c r="K8671" s="7" t="s">
        <v>18219</v>
      </c>
      <c r="L8671" s="198" t="s">
        <v>65</v>
      </c>
      <c r="M8671" s="194"/>
      <c r="N8671" s="194"/>
    </row>
    <row r="8672">
      <c r="A8672" s="193" t="s">
        <v>29531</v>
      </c>
      <c r="B8672" s="7" t="s">
        <v>16838</v>
      </c>
      <c r="C8672" s="7" t="s">
        <v>18219</v>
      </c>
      <c r="D8672" s="194">
        <v>2021.0</v>
      </c>
      <c r="E8672" s="193"/>
      <c r="F8672" s="195" t="s">
        <v>29532</v>
      </c>
      <c r="G8672" s="196">
        <v>0.0</v>
      </c>
      <c r="H8672" s="197">
        <v>10.59</v>
      </c>
      <c r="I8672" s="7" t="s">
        <v>16815</v>
      </c>
      <c r="J8672" s="7" t="s">
        <v>16838</v>
      </c>
      <c r="K8672" s="7" t="s">
        <v>18219</v>
      </c>
      <c r="L8672" s="198" t="s">
        <v>65</v>
      </c>
      <c r="M8672" s="194"/>
      <c r="N8672" s="194"/>
    </row>
    <row r="8673">
      <c r="A8673" s="193" t="s">
        <v>29533</v>
      </c>
      <c r="B8673" s="7" t="s">
        <v>16838</v>
      </c>
      <c r="C8673" s="7" t="s">
        <v>18219</v>
      </c>
      <c r="D8673" s="194">
        <v>2021.0</v>
      </c>
      <c r="E8673" s="193"/>
      <c r="F8673" s="195" t="s">
        <v>29534</v>
      </c>
      <c r="G8673" s="196">
        <v>0.0</v>
      </c>
      <c r="H8673" s="197">
        <v>10.6</v>
      </c>
      <c r="I8673" s="7" t="s">
        <v>16815</v>
      </c>
      <c r="J8673" s="7" t="s">
        <v>16838</v>
      </c>
      <c r="K8673" s="7" t="s">
        <v>18219</v>
      </c>
      <c r="L8673" s="198" t="s">
        <v>65</v>
      </c>
      <c r="M8673" s="194"/>
      <c r="N8673" s="194"/>
    </row>
    <row r="8674">
      <c r="A8674" s="193" t="s">
        <v>29535</v>
      </c>
      <c r="B8674" s="7" t="s">
        <v>16838</v>
      </c>
      <c r="C8674" s="7" t="s">
        <v>18219</v>
      </c>
      <c r="D8674" s="194">
        <v>2021.0</v>
      </c>
      <c r="E8674" s="193"/>
      <c r="F8674" s="195" t="s">
        <v>29536</v>
      </c>
      <c r="G8674" s="196">
        <v>0.0</v>
      </c>
      <c r="H8674" s="197">
        <v>0.0358</v>
      </c>
      <c r="I8674" s="7" t="s">
        <v>16815</v>
      </c>
      <c r="J8674" s="7" t="s">
        <v>16838</v>
      </c>
      <c r="K8674" s="7" t="s">
        <v>18219</v>
      </c>
      <c r="L8674" s="198" t="s">
        <v>65</v>
      </c>
      <c r="M8674" s="194"/>
      <c r="N8674" s="194"/>
    </row>
    <row r="8675">
      <c r="A8675" s="193" t="s">
        <v>29537</v>
      </c>
      <c r="B8675" s="7" t="s">
        <v>16838</v>
      </c>
      <c r="C8675" s="7" t="s">
        <v>18219</v>
      </c>
      <c r="D8675" s="194">
        <v>2023.0</v>
      </c>
      <c r="E8675" s="193"/>
      <c r="F8675" s="195" t="s">
        <v>29538</v>
      </c>
      <c r="G8675" s="196">
        <v>0.0</v>
      </c>
      <c r="H8675" s="197">
        <v>10.57</v>
      </c>
      <c r="I8675" s="7" t="s">
        <v>16815</v>
      </c>
      <c r="J8675" s="7" t="s">
        <v>16838</v>
      </c>
      <c r="K8675" s="7" t="s">
        <v>18219</v>
      </c>
      <c r="L8675" s="198" t="s">
        <v>65</v>
      </c>
      <c r="M8675" s="194"/>
      <c r="N8675" s="194"/>
    </row>
    <row r="8676">
      <c r="A8676" s="193" t="s">
        <v>29539</v>
      </c>
      <c r="B8676" s="7" t="s">
        <v>16838</v>
      </c>
      <c r="C8676" s="7" t="s">
        <v>18219</v>
      </c>
      <c r="D8676" s="194">
        <v>2023.0</v>
      </c>
      <c r="E8676" s="193"/>
      <c r="F8676" s="195" t="s">
        <v>29540</v>
      </c>
      <c r="G8676" s="196">
        <v>0.0</v>
      </c>
      <c r="H8676" s="197">
        <v>0.0104</v>
      </c>
      <c r="I8676" s="7" t="s">
        <v>16815</v>
      </c>
      <c r="J8676" s="7" t="s">
        <v>16838</v>
      </c>
      <c r="K8676" s="7" t="s">
        <v>18219</v>
      </c>
      <c r="L8676" s="198" t="s">
        <v>65</v>
      </c>
      <c r="M8676" s="194"/>
      <c r="N8676" s="194"/>
    </row>
    <row r="8677">
      <c r="A8677" s="193" t="s">
        <v>29541</v>
      </c>
      <c r="B8677" s="7" t="s">
        <v>16838</v>
      </c>
      <c r="C8677" s="7" t="s">
        <v>18219</v>
      </c>
      <c r="D8677" s="194">
        <v>2022.0</v>
      </c>
      <c r="E8677" s="193"/>
      <c r="F8677" s="195" t="s">
        <v>29542</v>
      </c>
      <c r="G8677" s="196">
        <v>0.0</v>
      </c>
      <c r="H8677" s="197">
        <v>10.51</v>
      </c>
      <c r="I8677" s="7" t="s">
        <v>16815</v>
      </c>
      <c r="J8677" s="7" t="s">
        <v>16838</v>
      </c>
      <c r="K8677" s="7" t="s">
        <v>18219</v>
      </c>
      <c r="L8677" s="198" t="s">
        <v>65</v>
      </c>
      <c r="M8677" s="194"/>
      <c r="N8677" s="194"/>
    </row>
    <row r="8678">
      <c r="A8678" s="193" t="s">
        <v>29543</v>
      </c>
      <c r="B8678" s="7" t="s">
        <v>16838</v>
      </c>
      <c r="C8678" s="7" t="s">
        <v>18219</v>
      </c>
      <c r="D8678" s="194">
        <v>2021.0</v>
      </c>
      <c r="E8678" s="193"/>
      <c r="F8678" s="195" t="s">
        <v>29544</v>
      </c>
      <c r="G8678" s="196">
        <v>0.0</v>
      </c>
      <c r="H8678" s="197">
        <v>10.77</v>
      </c>
      <c r="I8678" s="7" t="s">
        <v>16815</v>
      </c>
      <c r="J8678" s="7" t="s">
        <v>16838</v>
      </c>
      <c r="K8678" s="7" t="s">
        <v>18219</v>
      </c>
      <c r="L8678" s="198" t="s">
        <v>65</v>
      </c>
      <c r="M8678" s="194"/>
      <c r="N8678" s="194"/>
    </row>
    <row r="8679">
      <c r="A8679" s="193" t="s">
        <v>29545</v>
      </c>
      <c r="B8679" s="7" t="s">
        <v>16838</v>
      </c>
      <c r="C8679" s="7" t="s">
        <v>18219</v>
      </c>
      <c r="D8679" s="194">
        <v>2021.0</v>
      </c>
      <c r="E8679" s="193"/>
      <c r="F8679" s="195" t="s">
        <v>29546</v>
      </c>
      <c r="G8679" s="196">
        <v>0.0</v>
      </c>
      <c r="H8679" s="197">
        <v>0.016</v>
      </c>
      <c r="I8679" s="7" t="s">
        <v>16815</v>
      </c>
      <c r="J8679" s="7" t="s">
        <v>16838</v>
      </c>
      <c r="K8679" s="7" t="s">
        <v>18219</v>
      </c>
      <c r="L8679" s="198" t="s">
        <v>65</v>
      </c>
      <c r="M8679" s="194"/>
      <c r="N8679" s="194"/>
    </row>
    <row r="8680">
      <c r="A8680" s="193" t="s">
        <v>29547</v>
      </c>
      <c r="B8680" s="7" t="s">
        <v>16838</v>
      </c>
      <c r="C8680" s="7" t="s">
        <v>18219</v>
      </c>
      <c r="D8680" s="194">
        <v>2022.0</v>
      </c>
      <c r="E8680" s="193"/>
      <c r="F8680" s="195" t="s">
        <v>29548</v>
      </c>
      <c r="G8680" s="196">
        <v>0.0</v>
      </c>
      <c r="H8680" s="197">
        <v>10.76</v>
      </c>
      <c r="I8680" s="7" t="s">
        <v>16815</v>
      </c>
      <c r="J8680" s="7" t="s">
        <v>16838</v>
      </c>
      <c r="K8680" s="7" t="s">
        <v>18219</v>
      </c>
      <c r="L8680" s="198" t="s">
        <v>65</v>
      </c>
      <c r="M8680" s="194"/>
      <c r="N8680" s="194"/>
    </row>
    <row r="8681">
      <c r="A8681" s="193" t="s">
        <v>29549</v>
      </c>
      <c r="B8681" s="7" t="s">
        <v>16838</v>
      </c>
      <c r="C8681" s="7" t="s">
        <v>18219</v>
      </c>
      <c r="D8681" s="194">
        <v>2021.0</v>
      </c>
      <c r="E8681" s="193"/>
      <c r="F8681" s="195" t="s">
        <v>29550</v>
      </c>
      <c r="G8681" s="196">
        <v>0.0</v>
      </c>
      <c r="H8681" s="197">
        <v>10.87</v>
      </c>
      <c r="I8681" s="7" t="s">
        <v>16815</v>
      </c>
      <c r="J8681" s="7" t="s">
        <v>16838</v>
      </c>
      <c r="K8681" s="7" t="s">
        <v>18219</v>
      </c>
      <c r="L8681" s="198" t="s">
        <v>65</v>
      </c>
      <c r="M8681" s="194"/>
      <c r="N8681" s="194"/>
    </row>
    <row r="8682">
      <c r="A8682" s="193" t="s">
        <v>29551</v>
      </c>
      <c r="B8682" s="7" t="s">
        <v>16838</v>
      </c>
      <c r="C8682" s="7" t="s">
        <v>18219</v>
      </c>
      <c r="D8682" s="194">
        <v>2022.0</v>
      </c>
      <c r="E8682" s="193"/>
      <c r="F8682" s="195" t="s">
        <v>29552</v>
      </c>
      <c r="G8682" s="196">
        <v>0.0</v>
      </c>
      <c r="H8682" s="197">
        <v>0.2</v>
      </c>
      <c r="I8682" s="7" t="s">
        <v>16815</v>
      </c>
      <c r="J8682" s="7" t="s">
        <v>16838</v>
      </c>
      <c r="K8682" s="7" t="s">
        <v>18219</v>
      </c>
      <c r="L8682" s="198" t="s">
        <v>65</v>
      </c>
      <c r="M8682" s="194"/>
      <c r="N8682" s="194"/>
    </row>
    <row r="8683">
      <c r="A8683" s="193" t="s">
        <v>29553</v>
      </c>
      <c r="B8683" s="7" t="s">
        <v>16838</v>
      </c>
      <c r="C8683" s="7" t="s">
        <v>18219</v>
      </c>
      <c r="D8683" s="194">
        <v>2022.0</v>
      </c>
      <c r="E8683" s="193"/>
      <c r="F8683" s="195" t="s">
        <v>29554</v>
      </c>
      <c r="G8683" s="196">
        <v>0.0</v>
      </c>
      <c r="H8683" s="197">
        <v>10.87</v>
      </c>
      <c r="I8683" s="7" t="s">
        <v>16815</v>
      </c>
      <c r="J8683" s="7" t="s">
        <v>16838</v>
      </c>
      <c r="K8683" s="7" t="s">
        <v>18219</v>
      </c>
      <c r="L8683" s="198" t="s">
        <v>65</v>
      </c>
      <c r="M8683" s="194"/>
      <c r="N8683" s="194"/>
    </row>
    <row r="8684">
      <c r="A8684" s="193" t="s">
        <v>29555</v>
      </c>
      <c r="B8684" s="7" t="s">
        <v>16838</v>
      </c>
      <c r="C8684" s="7" t="s">
        <v>18219</v>
      </c>
      <c r="D8684" s="194">
        <v>2022.0</v>
      </c>
      <c r="E8684" s="193"/>
      <c r="F8684" s="195" t="s">
        <v>29556</v>
      </c>
      <c r="G8684" s="196">
        <v>0.0</v>
      </c>
      <c r="H8684" s="197">
        <v>0.0143</v>
      </c>
      <c r="I8684" s="7" t="s">
        <v>16815</v>
      </c>
      <c r="J8684" s="7" t="s">
        <v>16838</v>
      </c>
      <c r="K8684" s="7" t="s">
        <v>18219</v>
      </c>
      <c r="L8684" s="198" t="s">
        <v>65</v>
      </c>
      <c r="M8684" s="194"/>
      <c r="N8684" s="194"/>
    </row>
    <row r="8685">
      <c r="A8685" s="193" t="s">
        <v>29557</v>
      </c>
      <c r="B8685" s="7" t="s">
        <v>16838</v>
      </c>
      <c r="C8685" s="7" t="s">
        <v>18219</v>
      </c>
      <c r="D8685" s="194">
        <v>2022.0</v>
      </c>
      <c r="E8685" s="193"/>
      <c r="F8685" s="195" t="s">
        <v>29558</v>
      </c>
      <c r="G8685" s="196">
        <v>0.0</v>
      </c>
      <c r="H8685" s="197">
        <v>10.5</v>
      </c>
      <c r="I8685" s="7" t="s">
        <v>16815</v>
      </c>
      <c r="J8685" s="7" t="s">
        <v>16838</v>
      </c>
      <c r="K8685" s="7" t="s">
        <v>18219</v>
      </c>
      <c r="L8685" s="198" t="s">
        <v>65</v>
      </c>
      <c r="M8685" s="194"/>
      <c r="N8685" s="194"/>
    </row>
    <row r="8686">
      <c r="A8686" s="193" t="s">
        <v>29559</v>
      </c>
      <c r="B8686" s="7" t="s">
        <v>16838</v>
      </c>
      <c r="C8686" s="7" t="s">
        <v>18219</v>
      </c>
      <c r="D8686" s="194">
        <v>2021.0</v>
      </c>
      <c r="E8686" s="193"/>
      <c r="F8686" s="195" t="s">
        <v>29560</v>
      </c>
      <c r="G8686" s="196">
        <v>0.0</v>
      </c>
      <c r="H8686" s="197">
        <v>10.5</v>
      </c>
      <c r="I8686" s="7" t="s">
        <v>16815</v>
      </c>
      <c r="J8686" s="7" t="s">
        <v>16838</v>
      </c>
      <c r="K8686" s="7" t="s">
        <v>18219</v>
      </c>
      <c r="L8686" s="198" t="s">
        <v>65</v>
      </c>
      <c r="M8686" s="194"/>
      <c r="N8686" s="194"/>
    </row>
    <row r="8687">
      <c r="A8687" s="193" t="s">
        <v>29561</v>
      </c>
      <c r="B8687" s="7" t="s">
        <v>16838</v>
      </c>
      <c r="C8687" s="7" t="s">
        <v>18219</v>
      </c>
      <c r="D8687" s="194">
        <v>2022.0</v>
      </c>
      <c r="E8687" s="193"/>
      <c r="F8687" s="195" t="s">
        <v>29562</v>
      </c>
      <c r="G8687" s="196">
        <v>0.0</v>
      </c>
      <c r="H8687" s="197">
        <v>0.059</v>
      </c>
      <c r="I8687" s="7" t="s">
        <v>16815</v>
      </c>
      <c r="J8687" s="7" t="s">
        <v>16838</v>
      </c>
      <c r="K8687" s="7" t="s">
        <v>18219</v>
      </c>
      <c r="L8687" s="198" t="s">
        <v>65</v>
      </c>
      <c r="M8687" s="194"/>
      <c r="N8687" s="194"/>
    </row>
    <row r="8688">
      <c r="A8688" s="193" t="s">
        <v>29563</v>
      </c>
      <c r="B8688" s="7" t="s">
        <v>16838</v>
      </c>
      <c r="C8688" s="7" t="s">
        <v>18219</v>
      </c>
      <c r="D8688" s="194">
        <v>2021.0</v>
      </c>
      <c r="E8688" s="193"/>
      <c r="F8688" s="195" t="s">
        <v>29564</v>
      </c>
      <c r="G8688" s="196">
        <v>0.0</v>
      </c>
      <c r="H8688" s="197">
        <v>10.53</v>
      </c>
      <c r="I8688" s="7" t="s">
        <v>16815</v>
      </c>
      <c r="J8688" s="7" t="s">
        <v>16838</v>
      </c>
      <c r="K8688" s="7" t="s">
        <v>18219</v>
      </c>
      <c r="L8688" s="198" t="s">
        <v>65</v>
      </c>
      <c r="M8688" s="194"/>
      <c r="N8688" s="194"/>
    </row>
    <row r="8689">
      <c r="A8689" s="193" t="s">
        <v>29565</v>
      </c>
      <c r="B8689" s="7" t="s">
        <v>16838</v>
      </c>
      <c r="C8689" s="7" t="s">
        <v>18219</v>
      </c>
      <c r="D8689" s="194">
        <v>2021.0</v>
      </c>
      <c r="E8689" s="193"/>
      <c r="F8689" s="195" t="s">
        <v>29566</v>
      </c>
      <c r="G8689" s="196">
        <v>0.0</v>
      </c>
      <c r="H8689" s="197">
        <v>0.0866</v>
      </c>
      <c r="I8689" s="7" t="s">
        <v>16815</v>
      </c>
      <c r="J8689" s="7" t="s">
        <v>16838</v>
      </c>
      <c r="K8689" s="7" t="s">
        <v>18219</v>
      </c>
      <c r="L8689" s="198" t="s">
        <v>65</v>
      </c>
      <c r="M8689" s="194"/>
      <c r="N8689" s="194"/>
    </row>
    <row r="8690">
      <c r="A8690" s="193" t="s">
        <v>29567</v>
      </c>
      <c r="B8690" s="7" t="s">
        <v>16838</v>
      </c>
      <c r="C8690" s="7" t="s">
        <v>18219</v>
      </c>
      <c r="D8690" s="194">
        <v>2021.0</v>
      </c>
      <c r="E8690" s="193"/>
      <c r="F8690" s="195" t="s">
        <v>29568</v>
      </c>
      <c r="G8690" s="196">
        <v>0.0</v>
      </c>
      <c r="H8690" s="197">
        <v>0.02</v>
      </c>
      <c r="I8690" s="7" t="s">
        <v>16815</v>
      </c>
      <c r="J8690" s="7" t="s">
        <v>16838</v>
      </c>
      <c r="K8690" s="7" t="s">
        <v>18219</v>
      </c>
      <c r="L8690" s="198" t="s">
        <v>65</v>
      </c>
      <c r="M8690" s="194"/>
      <c r="N8690" s="194"/>
    </row>
    <row r="8691">
      <c r="A8691" s="193" t="s">
        <v>29569</v>
      </c>
      <c r="B8691" s="7" t="s">
        <v>16838</v>
      </c>
      <c r="C8691" s="7" t="s">
        <v>18219</v>
      </c>
      <c r="D8691" s="194">
        <v>2021.0</v>
      </c>
      <c r="E8691" s="193"/>
      <c r="F8691" s="195" t="s">
        <v>29570</v>
      </c>
      <c r="G8691" s="196">
        <v>0.0</v>
      </c>
      <c r="H8691" s="197">
        <v>11.31</v>
      </c>
      <c r="I8691" s="7" t="s">
        <v>16815</v>
      </c>
      <c r="J8691" s="7" t="s">
        <v>16838</v>
      </c>
      <c r="K8691" s="7" t="s">
        <v>18219</v>
      </c>
      <c r="L8691" s="198" t="s">
        <v>65</v>
      </c>
      <c r="M8691" s="194"/>
      <c r="N8691" s="194"/>
    </row>
    <row r="8692">
      <c r="A8692" s="193" t="s">
        <v>29571</v>
      </c>
      <c r="B8692" s="7" t="s">
        <v>16838</v>
      </c>
      <c r="C8692" s="7" t="s">
        <v>18219</v>
      </c>
      <c r="D8692" s="194">
        <v>2021.0</v>
      </c>
      <c r="E8692" s="193"/>
      <c r="F8692" s="195" t="s">
        <v>29572</v>
      </c>
      <c r="G8692" s="196">
        <v>0.0</v>
      </c>
      <c r="H8692" s="197">
        <v>0.07</v>
      </c>
      <c r="I8692" s="7" t="s">
        <v>16815</v>
      </c>
      <c r="J8692" s="7" t="s">
        <v>16838</v>
      </c>
      <c r="K8692" s="7" t="s">
        <v>18219</v>
      </c>
      <c r="L8692" s="198" t="s">
        <v>65</v>
      </c>
      <c r="M8692" s="194"/>
      <c r="N8692" s="194"/>
    </row>
    <row r="8693">
      <c r="A8693" s="193" t="s">
        <v>29573</v>
      </c>
      <c r="B8693" s="7" t="s">
        <v>16838</v>
      </c>
      <c r="C8693" s="7" t="s">
        <v>18219</v>
      </c>
      <c r="D8693" s="194">
        <v>2023.0</v>
      </c>
      <c r="E8693" s="193"/>
      <c r="F8693" s="195" t="s">
        <v>29574</v>
      </c>
      <c r="G8693" s="196">
        <v>0.0</v>
      </c>
      <c r="H8693" s="197">
        <v>10.15</v>
      </c>
      <c r="I8693" s="7" t="s">
        <v>16815</v>
      </c>
      <c r="J8693" s="7" t="s">
        <v>16838</v>
      </c>
      <c r="K8693" s="7" t="s">
        <v>18219</v>
      </c>
      <c r="L8693" s="198" t="s">
        <v>65</v>
      </c>
      <c r="M8693" s="194"/>
      <c r="N8693" s="194"/>
    </row>
    <row r="8694">
      <c r="A8694" s="193" t="s">
        <v>29575</v>
      </c>
      <c r="B8694" s="7" t="s">
        <v>16838</v>
      </c>
      <c r="C8694" s="7" t="s">
        <v>18219</v>
      </c>
      <c r="D8694" s="194">
        <v>2022.0</v>
      </c>
      <c r="E8694" s="193"/>
      <c r="F8694" s="195" t="s">
        <v>29576</v>
      </c>
      <c r="G8694" s="196">
        <v>0.0</v>
      </c>
      <c r="H8694" s="197">
        <v>10.7304</v>
      </c>
      <c r="I8694" s="7" t="s">
        <v>16815</v>
      </c>
      <c r="J8694" s="7" t="s">
        <v>16838</v>
      </c>
      <c r="K8694" s="7" t="s">
        <v>18219</v>
      </c>
      <c r="L8694" s="198" t="s">
        <v>65</v>
      </c>
      <c r="M8694" s="194"/>
      <c r="N8694" s="194"/>
    </row>
    <row r="8695">
      <c r="A8695" s="193" t="s">
        <v>29577</v>
      </c>
      <c r="B8695" s="7" t="s">
        <v>16838</v>
      </c>
      <c r="C8695" s="7" t="s">
        <v>18219</v>
      </c>
      <c r="D8695" s="194">
        <v>2022.0</v>
      </c>
      <c r="E8695" s="193"/>
      <c r="F8695" s="195" t="s">
        <v>29578</v>
      </c>
      <c r="G8695" s="196">
        <v>0.0</v>
      </c>
      <c r="H8695" s="197">
        <v>11.05</v>
      </c>
      <c r="I8695" s="7" t="s">
        <v>16815</v>
      </c>
      <c r="J8695" s="7" t="s">
        <v>16838</v>
      </c>
      <c r="K8695" s="7" t="s">
        <v>18219</v>
      </c>
      <c r="L8695" s="198" t="s">
        <v>65</v>
      </c>
      <c r="M8695" s="194"/>
      <c r="N8695" s="194"/>
    </row>
    <row r="8696">
      <c r="A8696" s="193" t="s">
        <v>29579</v>
      </c>
      <c r="B8696" s="7" t="s">
        <v>16838</v>
      </c>
      <c r="C8696" s="7" t="s">
        <v>18219</v>
      </c>
      <c r="D8696" s="194">
        <v>2022.0</v>
      </c>
      <c r="E8696" s="193"/>
      <c r="F8696" s="195" t="s">
        <v>29580</v>
      </c>
      <c r="G8696" s="196">
        <v>0.0</v>
      </c>
      <c r="H8696" s="197">
        <v>0.0297</v>
      </c>
      <c r="I8696" s="7" t="s">
        <v>16815</v>
      </c>
      <c r="J8696" s="7" t="s">
        <v>16838</v>
      </c>
      <c r="K8696" s="7" t="s">
        <v>18219</v>
      </c>
      <c r="L8696" s="198" t="s">
        <v>65</v>
      </c>
      <c r="M8696" s="194"/>
      <c r="N8696" s="194"/>
    </row>
    <row r="8697">
      <c r="A8697" s="193" t="s">
        <v>29581</v>
      </c>
      <c r="B8697" s="7" t="s">
        <v>16838</v>
      </c>
      <c r="C8697" s="7" t="s">
        <v>18219</v>
      </c>
      <c r="D8697" s="194">
        <v>2022.0</v>
      </c>
      <c r="E8697" s="193"/>
      <c r="F8697" s="195" t="s">
        <v>29582</v>
      </c>
      <c r="G8697" s="196">
        <v>0.0</v>
      </c>
      <c r="H8697" s="197">
        <v>10.67</v>
      </c>
      <c r="I8697" s="7" t="s">
        <v>16815</v>
      </c>
      <c r="J8697" s="7" t="s">
        <v>16838</v>
      </c>
      <c r="K8697" s="7" t="s">
        <v>18219</v>
      </c>
      <c r="L8697" s="198" t="s">
        <v>65</v>
      </c>
      <c r="M8697" s="194"/>
      <c r="N8697" s="194"/>
    </row>
    <row r="8698">
      <c r="A8698" s="193" t="s">
        <v>29583</v>
      </c>
      <c r="B8698" s="7" t="s">
        <v>16838</v>
      </c>
      <c r="C8698" s="7" t="s">
        <v>18219</v>
      </c>
      <c r="D8698" s="194">
        <v>2022.0</v>
      </c>
      <c r="E8698" s="193"/>
      <c r="F8698" s="195" t="s">
        <v>29584</v>
      </c>
      <c r="G8698" s="196">
        <v>0.0</v>
      </c>
      <c r="H8698" s="197">
        <v>0.1025</v>
      </c>
      <c r="I8698" s="7" t="s">
        <v>16815</v>
      </c>
      <c r="J8698" s="7" t="s">
        <v>16838</v>
      </c>
      <c r="K8698" s="7" t="s">
        <v>18219</v>
      </c>
      <c r="L8698" s="198" t="s">
        <v>65</v>
      </c>
      <c r="M8698" s="194"/>
      <c r="N8698" s="194"/>
    </row>
    <row r="8699">
      <c r="A8699" s="193" t="s">
        <v>29585</v>
      </c>
      <c r="B8699" s="7" t="s">
        <v>16838</v>
      </c>
      <c r="C8699" s="7" t="s">
        <v>18219</v>
      </c>
      <c r="D8699" s="194">
        <v>2021.0</v>
      </c>
      <c r="E8699" s="193"/>
      <c r="F8699" s="195" t="s">
        <v>29586</v>
      </c>
      <c r="G8699" s="196">
        <v>0.0</v>
      </c>
      <c r="H8699" s="197">
        <v>10.84</v>
      </c>
      <c r="I8699" s="7" t="s">
        <v>16815</v>
      </c>
      <c r="J8699" s="7" t="s">
        <v>16838</v>
      </c>
      <c r="K8699" s="7" t="s">
        <v>18219</v>
      </c>
      <c r="L8699" s="198" t="s">
        <v>65</v>
      </c>
      <c r="M8699" s="194"/>
      <c r="N8699" s="194"/>
    </row>
    <row r="8700">
      <c r="A8700" s="193" t="s">
        <v>29587</v>
      </c>
      <c r="B8700" s="7" t="s">
        <v>16838</v>
      </c>
      <c r="C8700" s="7" t="s">
        <v>18219</v>
      </c>
      <c r="D8700" s="194">
        <v>2021.0</v>
      </c>
      <c r="E8700" s="193"/>
      <c r="F8700" s="195" t="s">
        <v>29588</v>
      </c>
      <c r="G8700" s="196">
        <v>0.0</v>
      </c>
      <c r="H8700" s="197">
        <v>0.0315</v>
      </c>
      <c r="I8700" s="7" t="s">
        <v>16815</v>
      </c>
      <c r="J8700" s="7" t="s">
        <v>16838</v>
      </c>
      <c r="K8700" s="7" t="s">
        <v>18219</v>
      </c>
      <c r="L8700" s="198" t="s">
        <v>65</v>
      </c>
      <c r="M8700" s="194"/>
      <c r="N8700" s="194"/>
    </row>
    <row r="8701">
      <c r="A8701" s="193" t="s">
        <v>29589</v>
      </c>
      <c r="B8701" s="7" t="s">
        <v>16838</v>
      </c>
      <c r="C8701" s="7" t="s">
        <v>18219</v>
      </c>
      <c r="D8701" s="194">
        <v>2021.0</v>
      </c>
      <c r="E8701" s="193"/>
      <c r="F8701" s="195" t="s">
        <v>29590</v>
      </c>
      <c r="G8701" s="196">
        <v>0.0</v>
      </c>
      <c r="H8701" s="197">
        <v>10.46</v>
      </c>
      <c r="I8701" s="7" t="s">
        <v>16815</v>
      </c>
      <c r="J8701" s="7" t="s">
        <v>16838</v>
      </c>
      <c r="K8701" s="7" t="s">
        <v>18219</v>
      </c>
      <c r="L8701" s="198" t="s">
        <v>65</v>
      </c>
      <c r="M8701" s="194"/>
      <c r="N8701" s="194"/>
    </row>
    <row r="8702">
      <c r="A8702" s="193" t="s">
        <v>29591</v>
      </c>
      <c r="B8702" s="7" t="s">
        <v>16838</v>
      </c>
      <c r="C8702" s="7" t="s">
        <v>18219</v>
      </c>
      <c r="D8702" s="194">
        <v>2021.0</v>
      </c>
      <c r="E8702" s="193"/>
      <c r="F8702" s="195" t="s">
        <v>29592</v>
      </c>
      <c r="G8702" s="196">
        <v>0.0</v>
      </c>
      <c r="H8702" s="197">
        <v>0.04</v>
      </c>
      <c r="I8702" s="7" t="s">
        <v>16815</v>
      </c>
      <c r="J8702" s="7" t="s">
        <v>16838</v>
      </c>
      <c r="K8702" s="7" t="s">
        <v>18219</v>
      </c>
      <c r="L8702" s="198" t="s">
        <v>65</v>
      </c>
      <c r="M8702" s="194"/>
      <c r="N8702" s="194"/>
    </row>
    <row r="8703">
      <c r="A8703" s="193" t="s">
        <v>29593</v>
      </c>
      <c r="B8703" s="7" t="s">
        <v>16838</v>
      </c>
      <c r="C8703" s="7" t="s">
        <v>18219</v>
      </c>
      <c r="D8703" s="194">
        <v>2022.0</v>
      </c>
      <c r="E8703" s="193"/>
      <c r="F8703" s="195" t="s">
        <v>29594</v>
      </c>
      <c r="G8703" s="196">
        <v>0.0</v>
      </c>
      <c r="H8703" s="197">
        <v>10.74</v>
      </c>
      <c r="I8703" s="7" t="s">
        <v>16815</v>
      </c>
      <c r="J8703" s="7" t="s">
        <v>16838</v>
      </c>
      <c r="K8703" s="7" t="s">
        <v>18219</v>
      </c>
      <c r="L8703" s="198" t="s">
        <v>65</v>
      </c>
      <c r="M8703" s="194"/>
      <c r="N8703" s="194"/>
    </row>
    <row r="8704">
      <c r="A8704" s="193" t="s">
        <v>29595</v>
      </c>
      <c r="B8704" s="7" t="s">
        <v>16838</v>
      </c>
      <c r="C8704" s="7" t="s">
        <v>18219</v>
      </c>
      <c r="D8704" s="194">
        <v>2022.0</v>
      </c>
      <c r="E8704" s="193"/>
      <c r="F8704" s="195" t="s">
        <v>29596</v>
      </c>
      <c r="G8704" s="196">
        <v>0.0</v>
      </c>
      <c r="H8704" s="197">
        <v>0.017</v>
      </c>
      <c r="I8704" s="7" t="s">
        <v>16815</v>
      </c>
      <c r="J8704" s="7" t="s">
        <v>16838</v>
      </c>
      <c r="K8704" s="7" t="s">
        <v>18219</v>
      </c>
      <c r="L8704" s="198" t="s">
        <v>65</v>
      </c>
      <c r="M8704" s="194"/>
      <c r="N8704" s="194"/>
    </row>
    <row r="8705">
      <c r="A8705" s="193" t="s">
        <v>29597</v>
      </c>
      <c r="B8705" s="7" t="s">
        <v>16838</v>
      </c>
      <c r="C8705" s="7" t="s">
        <v>18219</v>
      </c>
      <c r="D8705" s="194">
        <v>2021.0</v>
      </c>
      <c r="E8705" s="193"/>
      <c r="F8705" s="195" t="s">
        <v>29598</v>
      </c>
      <c r="G8705" s="196">
        <v>0.0</v>
      </c>
      <c r="H8705" s="197">
        <v>10.95</v>
      </c>
      <c r="I8705" s="7" t="s">
        <v>16815</v>
      </c>
      <c r="J8705" s="7" t="s">
        <v>16838</v>
      </c>
      <c r="K8705" s="7" t="s">
        <v>18219</v>
      </c>
      <c r="L8705" s="198" t="s">
        <v>65</v>
      </c>
      <c r="M8705" s="194"/>
      <c r="N8705" s="194"/>
    </row>
    <row r="8706">
      <c r="A8706" s="193" t="s">
        <v>29599</v>
      </c>
      <c r="B8706" s="7" t="s">
        <v>16838</v>
      </c>
      <c r="C8706" s="7" t="s">
        <v>18219</v>
      </c>
      <c r="D8706" s="194">
        <v>2021.0</v>
      </c>
      <c r="E8706" s="193"/>
      <c r="F8706" s="195" t="s">
        <v>29600</v>
      </c>
      <c r="G8706" s="196">
        <v>0.0</v>
      </c>
      <c r="H8706" s="197">
        <v>0.01</v>
      </c>
      <c r="I8706" s="7" t="s">
        <v>16815</v>
      </c>
      <c r="J8706" s="7" t="s">
        <v>16838</v>
      </c>
      <c r="K8706" s="7" t="s">
        <v>18219</v>
      </c>
      <c r="L8706" s="198" t="s">
        <v>65</v>
      </c>
      <c r="M8706" s="194"/>
      <c r="N8706" s="194"/>
    </row>
    <row r="8707">
      <c r="A8707" s="193" t="s">
        <v>29601</v>
      </c>
      <c r="B8707" s="7" t="s">
        <v>16838</v>
      </c>
      <c r="C8707" s="7" t="s">
        <v>18219</v>
      </c>
      <c r="D8707" s="194">
        <v>2023.0</v>
      </c>
      <c r="E8707" s="193"/>
      <c r="F8707" s="195" t="s">
        <v>29602</v>
      </c>
      <c r="G8707" s="196">
        <v>0.0</v>
      </c>
      <c r="H8707" s="197">
        <v>10.5</v>
      </c>
      <c r="I8707" s="7" t="s">
        <v>16815</v>
      </c>
      <c r="J8707" s="7" t="s">
        <v>16838</v>
      </c>
      <c r="K8707" s="7" t="s">
        <v>18219</v>
      </c>
      <c r="L8707" s="198" t="s">
        <v>65</v>
      </c>
      <c r="M8707" s="194"/>
      <c r="N8707" s="194"/>
    </row>
    <row r="8708">
      <c r="A8708" s="193" t="s">
        <v>29603</v>
      </c>
      <c r="B8708" s="7" t="s">
        <v>16838</v>
      </c>
      <c r="C8708" s="7" t="s">
        <v>18219</v>
      </c>
      <c r="D8708" s="194">
        <v>2021.0</v>
      </c>
      <c r="E8708" s="193"/>
      <c r="F8708" s="195" t="s">
        <v>29604</v>
      </c>
      <c r="G8708" s="196">
        <v>0.0</v>
      </c>
      <c r="H8708" s="197">
        <v>10.39</v>
      </c>
      <c r="I8708" s="7" t="s">
        <v>16815</v>
      </c>
      <c r="J8708" s="7" t="s">
        <v>16838</v>
      </c>
      <c r="K8708" s="7" t="s">
        <v>18219</v>
      </c>
      <c r="L8708" s="198" t="s">
        <v>65</v>
      </c>
      <c r="M8708" s="194"/>
      <c r="N8708" s="194"/>
    </row>
    <row r="8709">
      <c r="A8709" s="193" t="s">
        <v>29605</v>
      </c>
      <c r="B8709" s="7" t="s">
        <v>16838</v>
      </c>
      <c r="C8709" s="7" t="s">
        <v>18219</v>
      </c>
      <c r="D8709" s="194">
        <v>2021.0</v>
      </c>
      <c r="E8709" s="193"/>
      <c r="F8709" s="195" t="s">
        <v>29606</v>
      </c>
      <c r="G8709" s="196">
        <v>0.0</v>
      </c>
      <c r="H8709" s="197">
        <v>10.34</v>
      </c>
      <c r="I8709" s="7" t="s">
        <v>16815</v>
      </c>
      <c r="J8709" s="7" t="s">
        <v>16838</v>
      </c>
      <c r="K8709" s="7" t="s">
        <v>18219</v>
      </c>
      <c r="L8709" s="198" t="s">
        <v>65</v>
      </c>
      <c r="M8709" s="194"/>
      <c r="N8709" s="194"/>
    </row>
    <row r="8710">
      <c r="A8710" s="193" t="s">
        <v>29607</v>
      </c>
      <c r="B8710" s="7" t="s">
        <v>16838</v>
      </c>
      <c r="C8710" s="7" t="s">
        <v>18219</v>
      </c>
      <c r="D8710" s="194">
        <v>2022.0</v>
      </c>
      <c r="E8710" s="193"/>
      <c r="F8710" s="195" t="s">
        <v>29608</v>
      </c>
      <c r="G8710" s="196">
        <v>0.0</v>
      </c>
      <c r="H8710" s="197">
        <v>10.9301</v>
      </c>
      <c r="I8710" s="7" t="s">
        <v>16815</v>
      </c>
      <c r="J8710" s="7" t="s">
        <v>16838</v>
      </c>
      <c r="K8710" s="7" t="s">
        <v>18219</v>
      </c>
      <c r="L8710" s="198" t="s">
        <v>65</v>
      </c>
      <c r="M8710" s="194"/>
      <c r="N8710" s="194"/>
    </row>
    <row r="8711">
      <c r="A8711" s="193" t="s">
        <v>29609</v>
      </c>
      <c r="B8711" s="7" t="s">
        <v>16838</v>
      </c>
      <c r="C8711" s="7" t="s">
        <v>18219</v>
      </c>
      <c r="D8711" s="194">
        <v>2022.0</v>
      </c>
      <c r="E8711" s="193"/>
      <c r="F8711" s="195" t="s">
        <v>29610</v>
      </c>
      <c r="G8711" s="196">
        <v>0.0</v>
      </c>
      <c r="H8711" s="197">
        <v>0.0352</v>
      </c>
      <c r="I8711" s="7" t="s">
        <v>16815</v>
      </c>
      <c r="J8711" s="7" t="s">
        <v>16838</v>
      </c>
      <c r="K8711" s="7" t="s">
        <v>18219</v>
      </c>
      <c r="L8711" s="198" t="s">
        <v>65</v>
      </c>
      <c r="M8711" s="194"/>
      <c r="N8711" s="194"/>
    </row>
    <row r="8712">
      <c r="A8712" s="193" t="s">
        <v>29611</v>
      </c>
      <c r="B8712" s="7" t="s">
        <v>16838</v>
      </c>
      <c r="C8712" s="7" t="s">
        <v>18219</v>
      </c>
      <c r="D8712" s="194">
        <v>2021.0</v>
      </c>
      <c r="E8712" s="193"/>
      <c r="F8712" s="195" t="s">
        <v>29612</v>
      </c>
      <c r="G8712" s="196">
        <v>0.0</v>
      </c>
      <c r="H8712" s="197">
        <v>10.56</v>
      </c>
      <c r="I8712" s="7" t="s">
        <v>16815</v>
      </c>
      <c r="J8712" s="7" t="s">
        <v>16838</v>
      </c>
      <c r="K8712" s="7" t="s">
        <v>18219</v>
      </c>
      <c r="L8712" s="198" t="s">
        <v>65</v>
      </c>
      <c r="M8712" s="194"/>
      <c r="N8712" s="194"/>
    </row>
    <row r="8713">
      <c r="A8713" s="193" t="s">
        <v>29613</v>
      </c>
      <c r="B8713" s="7" t="s">
        <v>16838</v>
      </c>
      <c r="C8713" s="7" t="s">
        <v>18219</v>
      </c>
      <c r="D8713" s="194">
        <v>2021.0</v>
      </c>
      <c r="E8713" s="193"/>
      <c r="F8713" s="195" t="s">
        <v>29614</v>
      </c>
      <c r="G8713" s="196">
        <v>0.0</v>
      </c>
      <c r="H8713" s="197">
        <v>10.38</v>
      </c>
      <c r="I8713" s="7" t="s">
        <v>16815</v>
      </c>
      <c r="J8713" s="7" t="s">
        <v>16838</v>
      </c>
      <c r="K8713" s="7" t="s">
        <v>18219</v>
      </c>
      <c r="L8713" s="198" t="s">
        <v>65</v>
      </c>
      <c r="M8713" s="194"/>
      <c r="N8713" s="194"/>
    </row>
    <row r="8714">
      <c r="A8714" s="193" t="s">
        <v>29615</v>
      </c>
      <c r="B8714" s="7" t="s">
        <v>16838</v>
      </c>
      <c r="C8714" s="7" t="s">
        <v>18219</v>
      </c>
      <c r="D8714" s="194">
        <v>2022.0</v>
      </c>
      <c r="E8714" s="193"/>
      <c r="F8714" s="195" t="s">
        <v>29616</v>
      </c>
      <c r="G8714" s="196">
        <v>0.0</v>
      </c>
      <c r="H8714" s="197">
        <v>10.82</v>
      </c>
      <c r="I8714" s="7" t="s">
        <v>16815</v>
      </c>
      <c r="J8714" s="7" t="s">
        <v>16838</v>
      </c>
      <c r="K8714" s="7" t="s">
        <v>18219</v>
      </c>
      <c r="L8714" s="198" t="s">
        <v>65</v>
      </c>
      <c r="M8714" s="194"/>
      <c r="N8714" s="194"/>
    </row>
    <row r="8715">
      <c r="A8715" s="193" t="s">
        <v>29617</v>
      </c>
      <c r="B8715" s="7" t="s">
        <v>16838</v>
      </c>
      <c r="C8715" s="7" t="s">
        <v>18219</v>
      </c>
      <c r="D8715" s="194">
        <v>2021.0</v>
      </c>
      <c r="E8715" s="193"/>
      <c r="F8715" s="195" t="s">
        <v>29618</v>
      </c>
      <c r="G8715" s="196">
        <v>0.0</v>
      </c>
      <c r="H8715" s="197">
        <v>10.43</v>
      </c>
      <c r="I8715" s="7" t="s">
        <v>16815</v>
      </c>
      <c r="J8715" s="7" t="s">
        <v>16838</v>
      </c>
      <c r="K8715" s="7" t="s">
        <v>18219</v>
      </c>
      <c r="L8715" s="198" t="s">
        <v>65</v>
      </c>
      <c r="M8715" s="194"/>
      <c r="N8715" s="194"/>
    </row>
    <row r="8716">
      <c r="A8716" s="193" t="s">
        <v>29619</v>
      </c>
      <c r="B8716" s="7" t="s">
        <v>16838</v>
      </c>
      <c r="C8716" s="7" t="s">
        <v>18219</v>
      </c>
      <c r="D8716" s="194">
        <v>2021.0</v>
      </c>
      <c r="E8716" s="193"/>
      <c r="F8716" s="195" t="s">
        <v>29620</v>
      </c>
      <c r="G8716" s="196">
        <v>0.0</v>
      </c>
      <c r="H8716" s="197">
        <v>0.045</v>
      </c>
      <c r="I8716" s="7" t="s">
        <v>16815</v>
      </c>
      <c r="J8716" s="7" t="s">
        <v>16838</v>
      </c>
      <c r="K8716" s="7" t="s">
        <v>18219</v>
      </c>
      <c r="L8716" s="198" t="s">
        <v>65</v>
      </c>
      <c r="M8716" s="194"/>
      <c r="N8716" s="194"/>
    </row>
    <row r="8717">
      <c r="A8717" s="193" t="s">
        <v>29621</v>
      </c>
      <c r="B8717" s="7" t="s">
        <v>16838</v>
      </c>
      <c r="C8717" s="7" t="s">
        <v>18219</v>
      </c>
      <c r="D8717" s="194">
        <v>2022.0</v>
      </c>
      <c r="E8717" s="193"/>
      <c r="F8717" s="195" t="s">
        <v>29622</v>
      </c>
      <c r="G8717" s="196">
        <v>0.0</v>
      </c>
      <c r="H8717" s="197">
        <v>10.54</v>
      </c>
      <c r="I8717" s="7" t="s">
        <v>16815</v>
      </c>
      <c r="J8717" s="7" t="s">
        <v>16838</v>
      </c>
      <c r="K8717" s="7" t="s">
        <v>18219</v>
      </c>
      <c r="L8717" s="198" t="s">
        <v>65</v>
      </c>
      <c r="M8717" s="194"/>
      <c r="N8717" s="194"/>
    </row>
    <row r="8718">
      <c r="A8718" s="193" t="s">
        <v>29623</v>
      </c>
      <c r="B8718" s="7" t="s">
        <v>16838</v>
      </c>
      <c r="C8718" s="7" t="s">
        <v>18219</v>
      </c>
      <c r="D8718" s="194">
        <v>2022.0</v>
      </c>
      <c r="E8718" s="193"/>
      <c r="F8718" s="195" t="s">
        <v>29624</v>
      </c>
      <c r="G8718" s="196">
        <v>0.0</v>
      </c>
      <c r="H8718" s="197">
        <v>0.09</v>
      </c>
      <c r="I8718" s="7" t="s">
        <v>16815</v>
      </c>
      <c r="J8718" s="7" t="s">
        <v>16838</v>
      </c>
      <c r="K8718" s="7" t="s">
        <v>18219</v>
      </c>
      <c r="L8718" s="198" t="s">
        <v>65</v>
      </c>
      <c r="M8718" s="194"/>
      <c r="N8718" s="194"/>
    </row>
    <row r="8719">
      <c r="A8719" s="193" t="s">
        <v>29625</v>
      </c>
      <c r="B8719" s="7" t="s">
        <v>16838</v>
      </c>
      <c r="C8719" s="7" t="s">
        <v>18219</v>
      </c>
      <c r="D8719" s="194">
        <v>2022.0</v>
      </c>
      <c r="E8719" s="193"/>
      <c r="F8719" s="195" t="s">
        <v>29626</v>
      </c>
      <c r="G8719" s="196">
        <v>0.0</v>
      </c>
      <c r="H8719" s="197">
        <v>0.0217</v>
      </c>
      <c r="I8719" s="7" t="s">
        <v>16815</v>
      </c>
      <c r="J8719" s="7" t="s">
        <v>16838</v>
      </c>
      <c r="K8719" s="7" t="s">
        <v>18219</v>
      </c>
      <c r="L8719" s="198" t="s">
        <v>65</v>
      </c>
      <c r="M8719" s="194"/>
      <c r="N8719" s="194"/>
    </row>
    <row r="8720">
      <c r="A8720" s="193" t="s">
        <v>29627</v>
      </c>
      <c r="B8720" s="7" t="s">
        <v>16838</v>
      </c>
      <c r="C8720" s="7" t="s">
        <v>18219</v>
      </c>
      <c r="D8720" s="194">
        <v>2022.0</v>
      </c>
      <c r="E8720" s="193"/>
      <c r="F8720" s="195" t="s">
        <v>29628</v>
      </c>
      <c r="G8720" s="196">
        <v>0.0</v>
      </c>
      <c r="H8720" s="197">
        <v>10.805</v>
      </c>
      <c r="I8720" s="7" t="s">
        <v>16815</v>
      </c>
      <c r="J8720" s="7" t="s">
        <v>16838</v>
      </c>
      <c r="K8720" s="7" t="s">
        <v>18219</v>
      </c>
      <c r="L8720" s="198" t="s">
        <v>65</v>
      </c>
      <c r="M8720" s="194"/>
      <c r="N8720" s="194"/>
    </row>
    <row r="8721">
      <c r="A8721" s="193" t="s">
        <v>29629</v>
      </c>
      <c r="B8721" s="7" t="s">
        <v>16838</v>
      </c>
      <c r="C8721" s="7" t="s">
        <v>18219</v>
      </c>
      <c r="D8721" s="194">
        <v>2022.0</v>
      </c>
      <c r="E8721" s="193"/>
      <c r="F8721" s="195" t="s">
        <v>29630</v>
      </c>
      <c r="G8721" s="196">
        <v>0.0</v>
      </c>
      <c r="H8721" s="197">
        <v>10.74</v>
      </c>
      <c r="I8721" s="7" t="s">
        <v>16815</v>
      </c>
      <c r="J8721" s="7" t="s">
        <v>16838</v>
      </c>
      <c r="K8721" s="7" t="s">
        <v>18219</v>
      </c>
      <c r="L8721" s="198" t="s">
        <v>65</v>
      </c>
      <c r="M8721" s="194"/>
      <c r="N8721" s="194"/>
    </row>
    <row r="8722">
      <c r="A8722" s="193" t="s">
        <v>29631</v>
      </c>
      <c r="B8722" s="7" t="s">
        <v>16838</v>
      </c>
      <c r="C8722" s="7" t="s">
        <v>18219</v>
      </c>
      <c r="D8722" s="194">
        <v>2022.0</v>
      </c>
      <c r="E8722" s="193"/>
      <c r="F8722" s="195" t="s">
        <v>29632</v>
      </c>
      <c r="G8722" s="196">
        <v>0.0</v>
      </c>
      <c r="H8722" s="197">
        <v>0.0275</v>
      </c>
      <c r="I8722" s="7" t="s">
        <v>16815</v>
      </c>
      <c r="J8722" s="7" t="s">
        <v>16838</v>
      </c>
      <c r="K8722" s="7" t="s">
        <v>18219</v>
      </c>
      <c r="L8722" s="198" t="s">
        <v>65</v>
      </c>
      <c r="M8722" s="194"/>
      <c r="N8722" s="194"/>
    </row>
    <row r="8723">
      <c r="A8723" s="193" t="s">
        <v>29633</v>
      </c>
      <c r="B8723" s="7" t="s">
        <v>16838</v>
      </c>
      <c r="C8723" s="7" t="s">
        <v>18219</v>
      </c>
      <c r="D8723" s="194">
        <v>2022.0</v>
      </c>
      <c r="E8723" s="193"/>
      <c r="F8723" s="195" t="s">
        <v>29634</v>
      </c>
      <c r="G8723" s="196">
        <v>0.0</v>
      </c>
      <c r="H8723" s="197">
        <v>10.43</v>
      </c>
      <c r="I8723" s="7" t="s">
        <v>16815</v>
      </c>
      <c r="J8723" s="7" t="s">
        <v>16838</v>
      </c>
      <c r="K8723" s="7" t="s">
        <v>18219</v>
      </c>
      <c r="L8723" s="198" t="s">
        <v>65</v>
      </c>
      <c r="M8723" s="194"/>
      <c r="N8723" s="194"/>
    </row>
    <row r="8724">
      <c r="A8724" s="193" t="s">
        <v>29635</v>
      </c>
      <c r="B8724" s="7" t="s">
        <v>16838</v>
      </c>
      <c r="C8724" s="7" t="s">
        <v>18219</v>
      </c>
      <c r="D8724" s="194">
        <v>2022.0</v>
      </c>
      <c r="E8724" s="193"/>
      <c r="F8724" s="195" t="s">
        <v>29636</v>
      </c>
      <c r="G8724" s="196">
        <v>0.0</v>
      </c>
      <c r="H8724" s="197">
        <v>10.86</v>
      </c>
      <c r="I8724" s="7" t="s">
        <v>16815</v>
      </c>
      <c r="J8724" s="7" t="s">
        <v>16838</v>
      </c>
      <c r="K8724" s="7" t="s">
        <v>18219</v>
      </c>
      <c r="L8724" s="198" t="s">
        <v>65</v>
      </c>
      <c r="M8724" s="194"/>
      <c r="N8724" s="194"/>
    </row>
    <row r="8725">
      <c r="A8725" s="193" t="s">
        <v>29637</v>
      </c>
      <c r="B8725" s="7" t="s">
        <v>16838</v>
      </c>
      <c r="C8725" s="7" t="s">
        <v>18219</v>
      </c>
      <c r="D8725" s="194">
        <v>2022.0</v>
      </c>
      <c r="E8725" s="193"/>
      <c r="F8725" s="195" t="s">
        <v>29638</v>
      </c>
      <c r="G8725" s="196">
        <v>0.0</v>
      </c>
      <c r="H8725" s="197">
        <v>0.04</v>
      </c>
      <c r="I8725" s="7" t="s">
        <v>16815</v>
      </c>
      <c r="J8725" s="7" t="s">
        <v>16838</v>
      </c>
      <c r="K8725" s="7" t="s">
        <v>18219</v>
      </c>
      <c r="L8725" s="198" t="s">
        <v>65</v>
      </c>
      <c r="M8725" s="194"/>
      <c r="N8725" s="194"/>
    </row>
    <row r="8726">
      <c r="A8726" s="193" t="s">
        <v>29639</v>
      </c>
      <c r="B8726" s="7" t="s">
        <v>16838</v>
      </c>
      <c r="C8726" s="7" t="s">
        <v>18219</v>
      </c>
      <c r="D8726" s="194">
        <v>2023.0</v>
      </c>
      <c r="E8726" s="193"/>
      <c r="F8726" s="195" t="s">
        <v>29640</v>
      </c>
      <c r="G8726" s="196">
        <v>0.0</v>
      </c>
      <c r="H8726" s="197">
        <v>10.35</v>
      </c>
      <c r="I8726" s="7" t="s">
        <v>16815</v>
      </c>
      <c r="J8726" s="7" t="s">
        <v>16838</v>
      </c>
      <c r="K8726" s="7" t="s">
        <v>18219</v>
      </c>
      <c r="L8726" s="198" t="s">
        <v>65</v>
      </c>
      <c r="M8726" s="194"/>
      <c r="N8726" s="194"/>
    </row>
    <row r="8727">
      <c r="A8727" s="193" t="s">
        <v>29641</v>
      </c>
      <c r="B8727" s="7" t="s">
        <v>16838</v>
      </c>
      <c r="C8727" s="7" t="s">
        <v>18219</v>
      </c>
      <c r="D8727" s="194">
        <v>2021.0</v>
      </c>
      <c r="E8727" s="193"/>
      <c r="F8727" s="195" t="s">
        <v>29642</v>
      </c>
      <c r="G8727" s="196">
        <v>0.0</v>
      </c>
      <c r="H8727" s="197">
        <v>11.02</v>
      </c>
      <c r="I8727" s="7" t="s">
        <v>16815</v>
      </c>
      <c r="J8727" s="7" t="s">
        <v>16838</v>
      </c>
      <c r="K8727" s="7" t="s">
        <v>18219</v>
      </c>
      <c r="L8727" s="198" t="s">
        <v>65</v>
      </c>
      <c r="M8727" s="194"/>
      <c r="N8727" s="194"/>
    </row>
    <row r="8728">
      <c r="A8728" s="193" t="s">
        <v>29643</v>
      </c>
      <c r="B8728" s="7" t="s">
        <v>16838</v>
      </c>
      <c r="C8728" s="7" t="s">
        <v>18219</v>
      </c>
      <c r="D8728" s="194">
        <v>2021.0</v>
      </c>
      <c r="E8728" s="193"/>
      <c r="F8728" s="195" t="s">
        <v>29644</v>
      </c>
      <c r="G8728" s="196">
        <v>0.0</v>
      </c>
      <c r="H8728" s="197">
        <v>10.96</v>
      </c>
      <c r="I8728" s="7" t="s">
        <v>16815</v>
      </c>
      <c r="J8728" s="7" t="s">
        <v>16838</v>
      </c>
      <c r="K8728" s="7" t="s">
        <v>18219</v>
      </c>
      <c r="L8728" s="198" t="s">
        <v>65</v>
      </c>
      <c r="M8728" s="194"/>
      <c r="N8728" s="194"/>
    </row>
    <row r="8729">
      <c r="A8729" s="193" t="s">
        <v>29645</v>
      </c>
      <c r="B8729" s="7" t="s">
        <v>16838</v>
      </c>
      <c r="C8729" s="7" t="s">
        <v>18219</v>
      </c>
      <c r="D8729" s="194">
        <v>2021.0</v>
      </c>
      <c r="E8729" s="193"/>
      <c r="F8729" s="195" t="s">
        <v>29646</v>
      </c>
      <c r="G8729" s="196">
        <v>0.0</v>
      </c>
      <c r="H8729" s="197">
        <v>10.74</v>
      </c>
      <c r="I8729" s="7" t="s">
        <v>16815</v>
      </c>
      <c r="J8729" s="7" t="s">
        <v>16838</v>
      </c>
      <c r="K8729" s="7" t="s">
        <v>18219</v>
      </c>
      <c r="L8729" s="198" t="s">
        <v>65</v>
      </c>
      <c r="M8729" s="194"/>
      <c r="N8729" s="194"/>
    </row>
    <row r="8730">
      <c r="A8730" s="193" t="s">
        <v>29647</v>
      </c>
      <c r="B8730" s="7" t="s">
        <v>16838</v>
      </c>
      <c r="C8730" s="7" t="s">
        <v>18219</v>
      </c>
      <c r="D8730" s="194">
        <v>2021.0</v>
      </c>
      <c r="E8730" s="193"/>
      <c r="F8730" s="195" t="s">
        <v>29648</v>
      </c>
      <c r="G8730" s="196">
        <v>0.0</v>
      </c>
      <c r="H8730" s="197">
        <v>0.0483</v>
      </c>
      <c r="I8730" s="7" t="s">
        <v>16815</v>
      </c>
      <c r="J8730" s="7" t="s">
        <v>16838</v>
      </c>
      <c r="K8730" s="7" t="s">
        <v>18219</v>
      </c>
      <c r="L8730" s="198" t="s">
        <v>65</v>
      </c>
      <c r="M8730" s="194"/>
      <c r="N8730" s="194"/>
    </row>
    <row r="8731">
      <c r="A8731" s="193" t="s">
        <v>29649</v>
      </c>
      <c r="B8731" s="7" t="s">
        <v>16838</v>
      </c>
      <c r="C8731" s="7" t="s">
        <v>18219</v>
      </c>
      <c r="D8731" s="194">
        <v>2022.0</v>
      </c>
      <c r="E8731" s="193"/>
      <c r="F8731" s="195" t="s">
        <v>29650</v>
      </c>
      <c r="G8731" s="196">
        <v>0.0</v>
      </c>
      <c r="H8731" s="197">
        <v>10.8801</v>
      </c>
      <c r="I8731" s="7" t="s">
        <v>16815</v>
      </c>
      <c r="J8731" s="7" t="s">
        <v>16838</v>
      </c>
      <c r="K8731" s="7" t="s">
        <v>18219</v>
      </c>
      <c r="L8731" s="198" t="s">
        <v>65</v>
      </c>
      <c r="M8731" s="194"/>
      <c r="N8731" s="194"/>
    </row>
    <row r="8732">
      <c r="A8732" s="193" t="s">
        <v>29651</v>
      </c>
      <c r="B8732" s="7" t="s">
        <v>16838</v>
      </c>
      <c r="C8732" s="7" t="s">
        <v>18219</v>
      </c>
      <c r="D8732" s="194">
        <v>2021.0</v>
      </c>
      <c r="E8732" s="193"/>
      <c r="F8732" s="195" t="s">
        <v>29652</v>
      </c>
      <c r="G8732" s="196">
        <v>0.0</v>
      </c>
      <c r="H8732" s="197">
        <v>10.89</v>
      </c>
      <c r="I8732" s="7" t="s">
        <v>16815</v>
      </c>
      <c r="J8732" s="7" t="s">
        <v>16838</v>
      </c>
      <c r="K8732" s="7" t="s">
        <v>18219</v>
      </c>
      <c r="L8732" s="198" t="s">
        <v>65</v>
      </c>
      <c r="M8732" s="194"/>
      <c r="N8732" s="194"/>
    </row>
    <row r="8733">
      <c r="A8733" s="193" t="s">
        <v>29653</v>
      </c>
      <c r="B8733" s="7" t="s">
        <v>16838</v>
      </c>
      <c r="C8733" s="7" t="s">
        <v>18219</v>
      </c>
      <c r="D8733" s="194">
        <v>2022.0</v>
      </c>
      <c r="E8733" s="193"/>
      <c r="F8733" s="195" t="s">
        <v>29654</v>
      </c>
      <c r="G8733" s="196">
        <v>0.0</v>
      </c>
      <c r="H8733" s="197">
        <v>11.07</v>
      </c>
      <c r="I8733" s="7" t="s">
        <v>16815</v>
      </c>
      <c r="J8733" s="7" t="s">
        <v>16838</v>
      </c>
      <c r="K8733" s="7" t="s">
        <v>18219</v>
      </c>
      <c r="L8733" s="198" t="s">
        <v>65</v>
      </c>
      <c r="M8733" s="194"/>
      <c r="N8733" s="194"/>
    </row>
    <row r="8734">
      <c r="A8734" s="193" t="s">
        <v>29655</v>
      </c>
      <c r="B8734" s="7" t="s">
        <v>16838</v>
      </c>
      <c r="C8734" s="7" t="s">
        <v>18219</v>
      </c>
      <c r="D8734" s="194">
        <v>2022.0</v>
      </c>
      <c r="E8734" s="193"/>
      <c r="F8734" s="195" t="s">
        <v>29656</v>
      </c>
      <c r="G8734" s="196">
        <v>0.0</v>
      </c>
      <c r="H8734" s="197">
        <v>11.07</v>
      </c>
      <c r="I8734" s="7" t="s">
        <v>16815</v>
      </c>
      <c r="J8734" s="7" t="s">
        <v>16838</v>
      </c>
      <c r="K8734" s="7" t="s">
        <v>18219</v>
      </c>
      <c r="L8734" s="198" t="s">
        <v>65</v>
      </c>
      <c r="M8734" s="194"/>
      <c r="N8734" s="194"/>
    </row>
    <row r="8735">
      <c r="A8735" s="193" t="s">
        <v>29657</v>
      </c>
      <c r="B8735" s="7" t="s">
        <v>16838</v>
      </c>
      <c r="C8735" s="7" t="s">
        <v>18219</v>
      </c>
      <c r="D8735" s="194">
        <v>2021.0</v>
      </c>
      <c r="E8735" s="193"/>
      <c r="F8735" s="195" t="s">
        <v>29658</v>
      </c>
      <c r="G8735" s="196">
        <v>0.0</v>
      </c>
      <c r="H8735" s="197">
        <v>10.41</v>
      </c>
      <c r="I8735" s="7" t="s">
        <v>16815</v>
      </c>
      <c r="J8735" s="7" t="s">
        <v>16838</v>
      </c>
      <c r="K8735" s="7" t="s">
        <v>18219</v>
      </c>
      <c r="L8735" s="198" t="s">
        <v>65</v>
      </c>
      <c r="M8735" s="194"/>
      <c r="N8735" s="194"/>
    </row>
    <row r="8736">
      <c r="A8736" s="193" t="s">
        <v>29659</v>
      </c>
      <c r="B8736" s="7" t="s">
        <v>16838</v>
      </c>
      <c r="C8736" s="7" t="s">
        <v>18219</v>
      </c>
      <c r="D8736" s="194">
        <v>2021.0</v>
      </c>
      <c r="E8736" s="193"/>
      <c r="F8736" s="195" t="s">
        <v>29660</v>
      </c>
      <c r="G8736" s="196">
        <v>0.0</v>
      </c>
      <c r="H8736" s="197">
        <v>0.0658</v>
      </c>
      <c r="I8736" s="7" t="s">
        <v>16815</v>
      </c>
      <c r="J8736" s="7" t="s">
        <v>16838</v>
      </c>
      <c r="K8736" s="7" t="s">
        <v>18219</v>
      </c>
      <c r="L8736" s="198" t="s">
        <v>65</v>
      </c>
      <c r="M8736" s="194"/>
      <c r="N8736" s="194"/>
    </row>
    <row r="8737">
      <c r="A8737" s="193" t="s">
        <v>29661</v>
      </c>
      <c r="B8737" s="7" t="s">
        <v>16838</v>
      </c>
      <c r="C8737" s="7" t="s">
        <v>18219</v>
      </c>
      <c r="D8737" s="194">
        <v>2021.0</v>
      </c>
      <c r="E8737" s="193"/>
      <c r="F8737" s="195" t="s">
        <v>29662</v>
      </c>
      <c r="G8737" s="196">
        <v>0.0</v>
      </c>
      <c r="H8737" s="197">
        <v>11.3367</v>
      </c>
      <c r="I8737" s="7" t="s">
        <v>16815</v>
      </c>
      <c r="J8737" s="7" t="s">
        <v>16838</v>
      </c>
      <c r="K8737" s="7" t="s">
        <v>18219</v>
      </c>
      <c r="L8737" s="198" t="s">
        <v>65</v>
      </c>
      <c r="M8737" s="194"/>
      <c r="N8737" s="194"/>
    </row>
    <row r="8738">
      <c r="A8738" s="193" t="s">
        <v>29663</v>
      </c>
      <c r="B8738" s="7" t="s">
        <v>16838</v>
      </c>
      <c r="C8738" s="7" t="s">
        <v>18219</v>
      </c>
      <c r="D8738" s="194">
        <v>2021.0</v>
      </c>
      <c r="E8738" s="193"/>
      <c r="F8738" s="195" t="s">
        <v>29664</v>
      </c>
      <c r="G8738" s="196">
        <v>0.0</v>
      </c>
      <c r="H8738" s="197">
        <v>0.1375</v>
      </c>
      <c r="I8738" s="7" t="s">
        <v>16815</v>
      </c>
      <c r="J8738" s="7" t="s">
        <v>16838</v>
      </c>
      <c r="K8738" s="7" t="s">
        <v>18219</v>
      </c>
      <c r="L8738" s="198" t="s">
        <v>65</v>
      </c>
      <c r="M8738" s="194"/>
      <c r="N8738" s="194"/>
    </row>
    <row r="8739">
      <c r="A8739" s="193" t="s">
        <v>29665</v>
      </c>
      <c r="B8739" s="7" t="s">
        <v>16838</v>
      </c>
      <c r="C8739" s="7" t="s">
        <v>18219</v>
      </c>
      <c r="D8739" s="194">
        <v>2023.0</v>
      </c>
      <c r="E8739" s="193"/>
      <c r="F8739" s="195" t="s">
        <v>29666</v>
      </c>
      <c r="G8739" s="196">
        <v>0.0</v>
      </c>
      <c r="H8739" s="197">
        <v>10.63</v>
      </c>
      <c r="I8739" s="7" t="s">
        <v>16815</v>
      </c>
      <c r="J8739" s="7" t="s">
        <v>16838</v>
      </c>
      <c r="K8739" s="7" t="s">
        <v>18219</v>
      </c>
      <c r="L8739" s="198" t="s">
        <v>65</v>
      </c>
      <c r="M8739" s="194"/>
      <c r="N8739" s="194"/>
    </row>
    <row r="8740">
      <c r="A8740" s="193" t="s">
        <v>29667</v>
      </c>
      <c r="B8740" s="7" t="s">
        <v>16838</v>
      </c>
      <c r="C8740" s="7" t="s">
        <v>18219</v>
      </c>
      <c r="D8740" s="194">
        <v>2023.0</v>
      </c>
      <c r="E8740" s="193"/>
      <c r="F8740" s="195" t="s">
        <v>29668</v>
      </c>
      <c r="G8740" s="196">
        <v>0.0</v>
      </c>
      <c r="H8740" s="197">
        <v>0.0956</v>
      </c>
      <c r="I8740" s="7" t="s">
        <v>16815</v>
      </c>
      <c r="J8740" s="7" t="s">
        <v>16838</v>
      </c>
      <c r="K8740" s="7" t="s">
        <v>18219</v>
      </c>
      <c r="L8740" s="198" t="s">
        <v>65</v>
      </c>
      <c r="M8740" s="194"/>
      <c r="N8740" s="194"/>
    </row>
    <row r="8741">
      <c r="A8741" s="193" t="s">
        <v>29669</v>
      </c>
      <c r="B8741" s="7" t="s">
        <v>16838</v>
      </c>
      <c r="C8741" s="7" t="s">
        <v>18219</v>
      </c>
      <c r="D8741" s="194">
        <v>2023.0</v>
      </c>
      <c r="E8741" s="193"/>
      <c r="F8741" s="195" t="s">
        <v>29670</v>
      </c>
      <c r="G8741" s="196">
        <v>0.0</v>
      </c>
      <c r="H8741" s="197">
        <v>0.035</v>
      </c>
      <c r="I8741" s="7" t="s">
        <v>16815</v>
      </c>
      <c r="J8741" s="7" t="s">
        <v>16838</v>
      </c>
      <c r="K8741" s="7" t="s">
        <v>18219</v>
      </c>
      <c r="L8741" s="198" t="s">
        <v>65</v>
      </c>
      <c r="M8741" s="194"/>
      <c r="N8741" s="194"/>
    </row>
    <row r="8742">
      <c r="A8742" s="193" t="s">
        <v>29671</v>
      </c>
      <c r="B8742" s="7" t="s">
        <v>16838</v>
      </c>
      <c r="C8742" s="7" t="s">
        <v>18219</v>
      </c>
      <c r="D8742" s="194">
        <v>2022.0</v>
      </c>
      <c r="E8742" s="193"/>
      <c r="F8742" s="195" t="s">
        <v>29672</v>
      </c>
      <c r="G8742" s="196">
        <v>0.0</v>
      </c>
      <c r="H8742" s="197">
        <v>10.64</v>
      </c>
      <c r="I8742" s="7" t="s">
        <v>16815</v>
      </c>
      <c r="J8742" s="7" t="s">
        <v>16838</v>
      </c>
      <c r="K8742" s="7" t="s">
        <v>18219</v>
      </c>
      <c r="L8742" s="198" t="s">
        <v>65</v>
      </c>
      <c r="M8742" s="194"/>
      <c r="N8742" s="194"/>
    </row>
    <row r="8743">
      <c r="A8743" s="193" t="s">
        <v>29673</v>
      </c>
      <c r="B8743" s="7" t="s">
        <v>16838</v>
      </c>
      <c r="C8743" s="7" t="s">
        <v>18219</v>
      </c>
      <c r="D8743" s="194">
        <v>2021.0</v>
      </c>
      <c r="E8743" s="193"/>
      <c r="F8743" s="195" t="s">
        <v>29674</v>
      </c>
      <c r="G8743" s="196">
        <v>0.0</v>
      </c>
      <c r="H8743" s="197">
        <v>10.4</v>
      </c>
      <c r="I8743" s="7" t="s">
        <v>16815</v>
      </c>
      <c r="J8743" s="7" t="s">
        <v>16838</v>
      </c>
      <c r="K8743" s="7" t="s">
        <v>18219</v>
      </c>
      <c r="L8743" s="198" t="s">
        <v>65</v>
      </c>
      <c r="M8743" s="194"/>
      <c r="N8743" s="194"/>
    </row>
    <row r="8744">
      <c r="A8744" s="193" t="s">
        <v>29675</v>
      </c>
      <c r="B8744" s="7" t="s">
        <v>16838</v>
      </c>
      <c r="C8744" s="7" t="s">
        <v>18219</v>
      </c>
      <c r="D8744" s="194">
        <v>2021.0</v>
      </c>
      <c r="E8744" s="193"/>
      <c r="F8744" s="195" t="s">
        <v>29676</v>
      </c>
      <c r="G8744" s="196">
        <v>0.0</v>
      </c>
      <c r="H8744" s="197">
        <v>0.0153</v>
      </c>
      <c r="I8744" s="7" t="s">
        <v>16815</v>
      </c>
      <c r="J8744" s="7" t="s">
        <v>16838</v>
      </c>
      <c r="K8744" s="7" t="s">
        <v>18219</v>
      </c>
      <c r="L8744" s="198" t="s">
        <v>65</v>
      </c>
      <c r="M8744" s="194"/>
      <c r="N8744" s="194"/>
    </row>
    <row r="8745">
      <c r="A8745" s="193" t="s">
        <v>29677</v>
      </c>
      <c r="B8745" s="7" t="s">
        <v>16838</v>
      </c>
      <c r="C8745" s="7" t="s">
        <v>18219</v>
      </c>
      <c r="D8745" s="194">
        <v>2022.0</v>
      </c>
      <c r="E8745" s="193"/>
      <c r="F8745" s="195" t="s">
        <v>29678</v>
      </c>
      <c r="G8745" s="196">
        <v>0.0</v>
      </c>
      <c r="H8745" s="197">
        <v>10.64</v>
      </c>
      <c r="I8745" s="7" t="s">
        <v>16815</v>
      </c>
      <c r="J8745" s="7" t="s">
        <v>16838</v>
      </c>
      <c r="K8745" s="7" t="s">
        <v>18219</v>
      </c>
      <c r="L8745" s="198" t="s">
        <v>65</v>
      </c>
      <c r="M8745" s="194"/>
      <c r="N8745" s="194"/>
    </row>
    <row r="8746">
      <c r="A8746" s="193" t="s">
        <v>29679</v>
      </c>
      <c r="B8746" s="7" t="s">
        <v>16838</v>
      </c>
      <c r="C8746" s="7" t="s">
        <v>18219</v>
      </c>
      <c r="D8746" s="194">
        <v>2021.0</v>
      </c>
      <c r="E8746" s="193"/>
      <c r="F8746" s="195" t="s">
        <v>29680</v>
      </c>
      <c r="G8746" s="196">
        <v>0.0</v>
      </c>
      <c r="H8746" s="197">
        <v>11.0</v>
      </c>
      <c r="I8746" s="7" t="s">
        <v>16815</v>
      </c>
      <c r="J8746" s="7" t="s">
        <v>16838</v>
      </c>
      <c r="K8746" s="7" t="s">
        <v>18219</v>
      </c>
      <c r="L8746" s="198" t="s">
        <v>65</v>
      </c>
      <c r="M8746" s="194"/>
      <c r="N8746" s="194"/>
    </row>
    <row r="8747">
      <c r="A8747" s="193" t="s">
        <v>29681</v>
      </c>
      <c r="B8747" s="7" t="s">
        <v>16838</v>
      </c>
      <c r="C8747" s="7" t="s">
        <v>18219</v>
      </c>
      <c r="D8747" s="194">
        <v>2022.0</v>
      </c>
      <c r="E8747" s="193"/>
      <c r="F8747" s="195" t="s">
        <v>29682</v>
      </c>
      <c r="G8747" s="196">
        <v>0.0</v>
      </c>
      <c r="H8747" s="197">
        <v>0.04</v>
      </c>
      <c r="I8747" s="7" t="s">
        <v>16815</v>
      </c>
      <c r="J8747" s="7" t="s">
        <v>16838</v>
      </c>
      <c r="K8747" s="7" t="s">
        <v>18219</v>
      </c>
      <c r="L8747" s="198" t="s">
        <v>65</v>
      </c>
      <c r="M8747" s="194"/>
      <c r="N8747" s="194"/>
    </row>
    <row r="8748">
      <c r="A8748" s="193" t="s">
        <v>29683</v>
      </c>
      <c r="B8748" s="7" t="s">
        <v>16838</v>
      </c>
      <c r="C8748" s="7" t="s">
        <v>18219</v>
      </c>
      <c r="D8748" s="199"/>
      <c r="E8748" s="193"/>
      <c r="F8748" s="195" t="s">
        <v>29684</v>
      </c>
      <c r="G8748" s="196">
        <v>0.0</v>
      </c>
      <c r="H8748" s="197">
        <v>10.61</v>
      </c>
      <c r="I8748" s="7" t="s">
        <v>16815</v>
      </c>
      <c r="J8748" s="7" t="s">
        <v>16838</v>
      </c>
      <c r="K8748" s="7" t="s">
        <v>18219</v>
      </c>
      <c r="L8748" s="198" t="s">
        <v>65</v>
      </c>
      <c r="M8748" s="199"/>
      <c r="N8748" s="199"/>
    </row>
    <row r="8749">
      <c r="A8749" s="193" t="s">
        <v>29685</v>
      </c>
      <c r="B8749" s="7" t="s">
        <v>16838</v>
      </c>
      <c r="C8749" s="7" t="s">
        <v>18219</v>
      </c>
      <c r="D8749" s="199"/>
      <c r="E8749" s="193"/>
      <c r="F8749" s="195" t="s">
        <v>29686</v>
      </c>
      <c r="G8749" s="196">
        <v>0.0</v>
      </c>
      <c r="H8749" s="197">
        <v>10.56</v>
      </c>
      <c r="I8749" s="7" t="s">
        <v>16815</v>
      </c>
      <c r="J8749" s="7" t="s">
        <v>16838</v>
      </c>
      <c r="K8749" s="7" t="s">
        <v>18219</v>
      </c>
      <c r="L8749" s="198" t="s">
        <v>65</v>
      </c>
      <c r="M8749" s="199"/>
      <c r="N8749" s="199"/>
    </row>
    <row r="8750">
      <c r="A8750" s="193" t="s">
        <v>29687</v>
      </c>
      <c r="B8750" s="7" t="s">
        <v>16838</v>
      </c>
      <c r="C8750" s="7" t="s">
        <v>18219</v>
      </c>
      <c r="D8750" s="194">
        <v>2021.0</v>
      </c>
      <c r="E8750" s="193"/>
      <c r="F8750" s="195" t="s">
        <v>29688</v>
      </c>
      <c r="G8750" s="196">
        <v>0.0</v>
      </c>
      <c r="H8750" s="197">
        <v>10.76</v>
      </c>
      <c r="I8750" s="7" t="s">
        <v>16815</v>
      </c>
      <c r="J8750" s="7" t="s">
        <v>16838</v>
      </c>
      <c r="K8750" s="7" t="s">
        <v>18219</v>
      </c>
      <c r="L8750" s="198" t="s">
        <v>65</v>
      </c>
      <c r="M8750" s="194"/>
      <c r="N8750" s="194"/>
    </row>
    <row r="8751">
      <c r="A8751" s="193" t="s">
        <v>29689</v>
      </c>
      <c r="B8751" s="7" t="s">
        <v>16838</v>
      </c>
      <c r="C8751" s="7" t="s">
        <v>18219</v>
      </c>
      <c r="D8751" s="194">
        <v>2021.0</v>
      </c>
      <c r="E8751" s="193"/>
      <c r="F8751" s="195" t="s">
        <v>29690</v>
      </c>
      <c r="G8751" s="196">
        <v>0.0</v>
      </c>
      <c r="H8751" s="197">
        <v>0.1062</v>
      </c>
      <c r="I8751" s="7" t="s">
        <v>16815</v>
      </c>
      <c r="J8751" s="7" t="s">
        <v>16838</v>
      </c>
      <c r="K8751" s="7" t="s">
        <v>18219</v>
      </c>
      <c r="L8751" s="198" t="s">
        <v>65</v>
      </c>
      <c r="M8751" s="194"/>
      <c r="N8751" s="194"/>
    </row>
    <row r="8752">
      <c r="A8752" s="193" t="s">
        <v>29691</v>
      </c>
      <c r="B8752" s="7" t="s">
        <v>16838</v>
      </c>
      <c r="C8752" s="7" t="s">
        <v>18219</v>
      </c>
      <c r="D8752" s="194">
        <v>2022.0</v>
      </c>
      <c r="E8752" s="193"/>
      <c r="F8752" s="195" t="s">
        <v>29692</v>
      </c>
      <c r="G8752" s="196">
        <v>0.0</v>
      </c>
      <c r="H8752" s="197">
        <v>9.25</v>
      </c>
      <c r="I8752" s="7" t="s">
        <v>16815</v>
      </c>
      <c r="J8752" s="7" t="s">
        <v>16838</v>
      </c>
      <c r="K8752" s="7" t="s">
        <v>18219</v>
      </c>
      <c r="L8752" s="198" t="s">
        <v>65</v>
      </c>
      <c r="M8752" s="194"/>
      <c r="N8752" s="194"/>
    </row>
    <row r="8753">
      <c r="A8753" s="193" t="s">
        <v>29693</v>
      </c>
      <c r="B8753" s="7" t="s">
        <v>16838</v>
      </c>
      <c r="C8753" s="7" t="s">
        <v>18219</v>
      </c>
      <c r="D8753" s="194">
        <v>2021.0</v>
      </c>
      <c r="E8753" s="193"/>
      <c r="F8753" s="195" t="s">
        <v>29694</v>
      </c>
      <c r="G8753" s="196">
        <v>0.0</v>
      </c>
      <c r="H8753" s="197">
        <v>9.28</v>
      </c>
      <c r="I8753" s="7" t="s">
        <v>16815</v>
      </c>
      <c r="J8753" s="7" t="s">
        <v>16838</v>
      </c>
      <c r="K8753" s="7" t="s">
        <v>18219</v>
      </c>
      <c r="L8753" s="198" t="s">
        <v>65</v>
      </c>
      <c r="M8753" s="194"/>
      <c r="N8753" s="194"/>
    </row>
    <row r="8754">
      <c r="A8754" s="193" t="s">
        <v>29695</v>
      </c>
      <c r="B8754" s="7" t="s">
        <v>16838</v>
      </c>
      <c r="C8754" s="7" t="s">
        <v>18219</v>
      </c>
      <c r="D8754" s="194">
        <v>2022.0</v>
      </c>
      <c r="E8754" s="193"/>
      <c r="F8754" s="195" t="s">
        <v>29696</v>
      </c>
      <c r="G8754" s="196">
        <v>0.0</v>
      </c>
      <c r="H8754" s="197">
        <v>0.03</v>
      </c>
      <c r="I8754" s="7" t="s">
        <v>16815</v>
      </c>
      <c r="J8754" s="7" t="s">
        <v>16838</v>
      </c>
      <c r="K8754" s="7" t="s">
        <v>18219</v>
      </c>
      <c r="L8754" s="198" t="s">
        <v>65</v>
      </c>
      <c r="M8754" s="194"/>
      <c r="N8754" s="194"/>
    </row>
    <row r="8755">
      <c r="A8755" s="193" t="s">
        <v>29697</v>
      </c>
      <c r="B8755" s="7" t="s">
        <v>16838</v>
      </c>
      <c r="C8755" s="7" t="s">
        <v>18219</v>
      </c>
      <c r="D8755" s="194">
        <v>2023.0</v>
      </c>
      <c r="E8755" s="193"/>
      <c r="F8755" s="195" t="s">
        <v>29698</v>
      </c>
      <c r="G8755" s="196">
        <v>0.0</v>
      </c>
      <c r="H8755" s="197">
        <v>10.24</v>
      </c>
      <c r="I8755" s="7" t="s">
        <v>16815</v>
      </c>
      <c r="J8755" s="7" t="s">
        <v>16838</v>
      </c>
      <c r="K8755" s="7" t="s">
        <v>18219</v>
      </c>
      <c r="L8755" s="198" t="s">
        <v>65</v>
      </c>
      <c r="M8755" s="194"/>
      <c r="N8755" s="194"/>
    </row>
    <row r="8756">
      <c r="A8756" s="193" t="s">
        <v>29699</v>
      </c>
      <c r="B8756" s="7" t="s">
        <v>16838</v>
      </c>
      <c r="C8756" s="7" t="s">
        <v>18219</v>
      </c>
      <c r="D8756" s="194">
        <v>2023.0</v>
      </c>
      <c r="E8756" s="193"/>
      <c r="F8756" s="195" t="s">
        <v>29700</v>
      </c>
      <c r="G8756" s="196">
        <v>0.0</v>
      </c>
      <c r="H8756" s="197">
        <v>10.31</v>
      </c>
      <c r="I8756" s="7" t="s">
        <v>16815</v>
      </c>
      <c r="J8756" s="7" t="s">
        <v>16838</v>
      </c>
      <c r="K8756" s="7" t="s">
        <v>18219</v>
      </c>
      <c r="L8756" s="198" t="s">
        <v>65</v>
      </c>
      <c r="M8756" s="194"/>
      <c r="N8756" s="194"/>
    </row>
    <row r="8757">
      <c r="A8757" s="193" t="s">
        <v>29701</v>
      </c>
      <c r="B8757" s="7" t="s">
        <v>16838</v>
      </c>
      <c r="C8757" s="7" t="s">
        <v>18219</v>
      </c>
      <c r="D8757" s="194">
        <v>2023.0</v>
      </c>
      <c r="E8757" s="193"/>
      <c r="F8757" s="195" t="s">
        <v>29702</v>
      </c>
      <c r="G8757" s="196">
        <v>0.0</v>
      </c>
      <c r="H8757" s="197">
        <v>0.15</v>
      </c>
      <c r="I8757" s="7" t="s">
        <v>16815</v>
      </c>
      <c r="J8757" s="7" t="s">
        <v>16838</v>
      </c>
      <c r="K8757" s="7" t="s">
        <v>18219</v>
      </c>
      <c r="L8757" s="198" t="s">
        <v>65</v>
      </c>
      <c r="M8757" s="194"/>
      <c r="N8757" s="194"/>
    </row>
    <row r="8758">
      <c r="A8758" s="193" t="s">
        <v>29703</v>
      </c>
      <c r="B8758" s="7" t="s">
        <v>16838</v>
      </c>
      <c r="C8758" s="7" t="s">
        <v>18219</v>
      </c>
      <c r="D8758" s="194">
        <v>2021.0</v>
      </c>
      <c r="E8758" s="193"/>
      <c r="F8758" s="195" t="s">
        <v>29704</v>
      </c>
      <c r="G8758" s="196">
        <v>0.0</v>
      </c>
      <c r="H8758" s="197">
        <v>10.3201</v>
      </c>
      <c r="I8758" s="7" t="s">
        <v>16815</v>
      </c>
      <c r="J8758" s="7" t="s">
        <v>16838</v>
      </c>
      <c r="K8758" s="7" t="s">
        <v>18219</v>
      </c>
      <c r="L8758" s="198" t="s">
        <v>65</v>
      </c>
      <c r="M8758" s="194"/>
      <c r="N8758" s="194"/>
    </row>
    <row r="8759">
      <c r="A8759" s="193" t="s">
        <v>29705</v>
      </c>
      <c r="B8759" s="7" t="s">
        <v>16838</v>
      </c>
      <c r="C8759" s="7" t="s">
        <v>18219</v>
      </c>
      <c r="D8759" s="194">
        <v>2021.0</v>
      </c>
      <c r="E8759" s="193"/>
      <c r="F8759" s="195" t="s">
        <v>29706</v>
      </c>
      <c r="G8759" s="196">
        <v>0.0</v>
      </c>
      <c r="H8759" s="197">
        <v>0.025</v>
      </c>
      <c r="I8759" s="7" t="s">
        <v>16815</v>
      </c>
      <c r="J8759" s="7" t="s">
        <v>16838</v>
      </c>
      <c r="K8759" s="7" t="s">
        <v>18219</v>
      </c>
      <c r="L8759" s="198" t="s">
        <v>65</v>
      </c>
      <c r="M8759" s="194"/>
      <c r="N8759" s="194"/>
    </row>
    <row r="8760">
      <c r="A8760" s="193" t="s">
        <v>29707</v>
      </c>
      <c r="B8760" s="7" t="s">
        <v>16838</v>
      </c>
      <c r="C8760" s="7" t="s">
        <v>18219</v>
      </c>
      <c r="D8760" s="194">
        <v>2022.0</v>
      </c>
      <c r="E8760" s="193"/>
      <c r="F8760" s="195" t="s">
        <v>29708</v>
      </c>
      <c r="G8760" s="196">
        <v>0.0</v>
      </c>
      <c r="H8760" s="197">
        <v>10.9899</v>
      </c>
      <c r="I8760" s="7" t="s">
        <v>16815</v>
      </c>
      <c r="J8760" s="7" t="s">
        <v>16838</v>
      </c>
      <c r="K8760" s="7" t="s">
        <v>18219</v>
      </c>
      <c r="L8760" s="198" t="s">
        <v>65</v>
      </c>
      <c r="M8760" s="194"/>
      <c r="N8760" s="194"/>
    </row>
    <row r="8761">
      <c r="A8761" s="193" t="s">
        <v>29709</v>
      </c>
      <c r="B8761" s="7" t="s">
        <v>16838</v>
      </c>
      <c r="C8761" s="7" t="s">
        <v>18219</v>
      </c>
      <c r="D8761" s="194">
        <v>2021.0</v>
      </c>
      <c r="E8761" s="193"/>
      <c r="F8761" s="195" t="s">
        <v>29710</v>
      </c>
      <c r="G8761" s="196">
        <v>0.0</v>
      </c>
      <c r="H8761" s="197">
        <v>0.0148</v>
      </c>
      <c r="I8761" s="7" t="s">
        <v>16815</v>
      </c>
      <c r="J8761" s="7" t="s">
        <v>16838</v>
      </c>
      <c r="K8761" s="7" t="s">
        <v>18219</v>
      </c>
      <c r="L8761" s="198" t="s">
        <v>65</v>
      </c>
      <c r="M8761" s="194"/>
      <c r="N8761" s="194"/>
    </row>
    <row r="8762">
      <c r="A8762" s="193" t="s">
        <v>29711</v>
      </c>
      <c r="B8762" s="7" t="s">
        <v>16838</v>
      </c>
      <c r="C8762" s="7" t="s">
        <v>18219</v>
      </c>
      <c r="D8762" s="194">
        <v>2023.0</v>
      </c>
      <c r="E8762" s="193"/>
      <c r="F8762" s="195" t="s">
        <v>29712</v>
      </c>
      <c r="G8762" s="196">
        <v>0.0</v>
      </c>
      <c r="H8762" s="197">
        <v>10.61</v>
      </c>
      <c r="I8762" s="7" t="s">
        <v>16815</v>
      </c>
      <c r="J8762" s="7" t="s">
        <v>16838</v>
      </c>
      <c r="K8762" s="7" t="s">
        <v>18219</v>
      </c>
      <c r="L8762" s="198" t="s">
        <v>65</v>
      </c>
      <c r="M8762" s="194"/>
      <c r="N8762" s="194"/>
    </row>
    <row r="8763">
      <c r="A8763" s="193" t="s">
        <v>29713</v>
      </c>
      <c r="B8763" s="7" t="s">
        <v>16838</v>
      </c>
      <c r="C8763" s="7" t="s">
        <v>18219</v>
      </c>
      <c r="D8763" s="194">
        <v>2023.0</v>
      </c>
      <c r="E8763" s="193"/>
      <c r="F8763" s="195" t="s">
        <v>29714</v>
      </c>
      <c r="G8763" s="196">
        <v>0.0</v>
      </c>
      <c r="H8763" s="197">
        <v>10.73</v>
      </c>
      <c r="I8763" s="7" t="s">
        <v>16815</v>
      </c>
      <c r="J8763" s="7" t="s">
        <v>16838</v>
      </c>
      <c r="K8763" s="7" t="s">
        <v>18219</v>
      </c>
      <c r="L8763" s="198" t="s">
        <v>65</v>
      </c>
      <c r="M8763" s="194"/>
      <c r="N8763" s="194"/>
    </row>
    <row r="8764">
      <c r="A8764" s="193" t="s">
        <v>29715</v>
      </c>
      <c r="B8764" s="7" t="s">
        <v>16838</v>
      </c>
      <c r="C8764" s="7" t="s">
        <v>18219</v>
      </c>
      <c r="D8764" s="194">
        <v>2023.0</v>
      </c>
      <c r="E8764" s="193"/>
      <c r="F8764" s="195" t="s">
        <v>29716</v>
      </c>
      <c r="G8764" s="196">
        <v>0.0</v>
      </c>
      <c r="H8764" s="197">
        <v>0.093</v>
      </c>
      <c r="I8764" s="7" t="s">
        <v>16815</v>
      </c>
      <c r="J8764" s="7" t="s">
        <v>16838</v>
      </c>
      <c r="K8764" s="7" t="s">
        <v>18219</v>
      </c>
      <c r="L8764" s="198" t="s">
        <v>65</v>
      </c>
      <c r="M8764" s="194"/>
      <c r="N8764" s="194"/>
    </row>
    <row r="8765">
      <c r="A8765" s="193" t="s">
        <v>29717</v>
      </c>
      <c r="B8765" s="7" t="s">
        <v>16838</v>
      </c>
      <c r="C8765" s="7" t="s">
        <v>18219</v>
      </c>
      <c r="D8765" s="194">
        <v>2022.0</v>
      </c>
      <c r="E8765" s="193"/>
      <c r="F8765" s="195" t="s">
        <v>29718</v>
      </c>
      <c r="G8765" s="196">
        <v>0.0</v>
      </c>
      <c r="H8765" s="197">
        <v>10.93</v>
      </c>
      <c r="I8765" s="7" t="s">
        <v>16815</v>
      </c>
      <c r="J8765" s="7" t="s">
        <v>16838</v>
      </c>
      <c r="K8765" s="7" t="s">
        <v>18219</v>
      </c>
      <c r="L8765" s="198" t="s">
        <v>65</v>
      </c>
      <c r="M8765" s="194"/>
      <c r="N8765" s="194"/>
    </row>
    <row r="8766">
      <c r="A8766" s="193" t="s">
        <v>29719</v>
      </c>
      <c r="B8766" s="7" t="s">
        <v>16838</v>
      </c>
      <c r="C8766" s="7" t="s">
        <v>18219</v>
      </c>
      <c r="D8766" s="194">
        <v>2022.0</v>
      </c>
      <c r="E8766" s="193"/>
      <c r="F8766" s="195" t="s">
        <v>29720</v>
      </c>
      <c r="G8766" s="196">
        <v>0.0</v>
      </c>
      <c r="H8766" s="197">
        <v>0.0478</v>
      </c>
      <c r="I8766" s="7" t="s">
        <v>16815</v>
      </c>
      <c r="J8766" s="7" t="s">
        <v>16838</v>
      </c>
      <c r="K8766" s="7" t="s">
        <v>18219</v>
      </c>
      <c r="L8766" s="198" t="s">
        <v>65</v>
      </c>
      <c r="M8766" s="194"/>
      <c r="N8766" s="194"/>
    </row>
    <row r="8767">
      <c r="A8767" s="193" t="s">
        <v>29721</v>
      </c>
      <c r="B8767" s="7" t="s">
        <v>16838</v>
      </c>
      <c r="C8767" s="7" t="s">
        <v>18219</v>
      </c>
      <c r="D8767" s="194">
        <v>2022.0</v>
      </c>
      <c r="E8767" s="193"/>
      <c r="F8767" s="195" t="s">
        <v>29722</v>
      </c>
      <c r="G8767" s="196">
        <v>0.0</v>
      </c>
      <c r="H8767" s="197">
        <v>10.95</v>
      </c>
      <c r="I8767" s="7" t="s">
        <v>16815</v>
      </c>
      <c r="J8767" s="7" t="s">
        <v>16838</v>
      </c>
      <c r="K8767" s="7" t="s">
        <v>18219</v>
      </c>
      <c r="L8767" s="198" t="s">
        <v>65</v>
      </c>
      <c r="M8767" s="194"/>
      <c r="N8767" s="194"/>
    </row>
    <row r="8768">
      <c r="A8768" s="193" t="s">
        <v>29723</v>
      </c>
      <c r="B8768" s="7" t="s">
        <v>16838</v>
      </c>
      <c r="C8768" s="7" t="s">
        <v>18219</v>
      </c>
      <c r="D8768" s="194">
        <v>2022.0</v>
      </c>
      <c r="E8768" s="193"/>
      <c r="F8768" s="195" t="s">
        <v>29724</v>
      </c>
      <c r="G8768" s="196">
        <v>0.0</v>
      </c>
      <c r="H8768" s="197">
        <v>0.15</v>
      </c>
      <c r="I8768" s="7" t="s">
        <v>16815</v>
      </c>
      <c r="J8768" s="7" t="s">
        <v>16838</v>
      </c>
      <c r="K8768" s="7" t="s">
        <v>18219</v>
      </c>
      <c r="L8768" s="198" t="s">
        <v>65</v>
      </c>
      <c r="M8768" s="194"/>
      <c r="N8768" s="194"/>
    </row>
    <row r="8769">
      <c r="A8769" s="193" t="s">
        <v>29725</v>
      </c>
      <c r="B8769" s="7" t="s">
        <v>16838</v>
      </c>
      <c r="C8769" s="7" t="s">
        <v>18219</v>
      </c>
      <c r="D8769" s="194">
        <v>2021.0</v>
      </c>
      <c r="E8769" s="193"/>
      <c r="F8769" s="195" t="s">
        <v>29726</v>
      </c>
      <c r="G8769" s="196">
        <v>0.0</v>
      </c>
      <c r="H8769" s="197">
        <v>10.53</v>
      </c>
      <c r="I8769" s="7" t="s">
        <v>16815</v>
      </c>
      <c r="J8769" s="7" t="s">
        <v>16838</v>
      </c>
      <c r="K8769" s="7" t="s">
        <v>18219</v>
      </c>
      <c r="L8769" s="198" t="s">
        <v>65</v>
      </c>
      <c r="M8769" s="194"/>
      <c r="N8769" s="194"/>
    </row>
    <row r="8770">
      <c r="A8770" s="193" t="s">
        <v>29727</v>
      </c>
      <c r="B8770" s="7" t="s">
        <v>16838</v>
      </c>
      <c r="C8770" s="7" t="s">
        <v>18219</v>
      </c>
      <c r="D8770" s="194">
        <v>2022.0</v>
      </c>
      <c r="E8770" s="193"/>
      <c r="F8770" s="195" t="s">
        <v>29728</v>
      </c>
      <c r="G8770" s="196">
        <v>0.0</v>
      </c>
      <c r="H8770" s="197">
        <v>0.06</v>
      </c>
      <c r="I8770" s="7" t="s">
        <v>16815</v>
      </c>
      <c r="J8770" s="7" t="s">
        <v>16838</v>
      </c>
      <c r="K8770" s="7" t="s">
        <v>18219</v>
      </c>
      <c r="L8770" s="198" t="s">
        <v>65</v>
      </c>
      <c r="M8770" s="194"/>
      <c r="N8770" s="194"/>
    </row>
    <row r="8771">
      <c r="A8771" s="193" t="s">
        <v>29729</v>
      </c>
      <c r="B8771" s="7" t="s">
        <v>16838</v>
      </c>
      <c r="C8771" s="7" t="s">
        <v>18219</v>
      </c>
      <c r="D8771" s="194">
        <v>2021.0</v>
      </c>
      <c r="E8771" s="193"/>
      <c r="F8771" s="195" t="s">
        <v>29730</v>
      </c>
      <c r="G8771" s="196">
        <v>0.0</v>
      </c>
      <c r="H8771" s="197">
        <v>11.05</v>
      </c>
      <c r="I8771" s="7" t="s">
        <v>16815</v>
      </c>
      <c r="J8771" s="7" t="s">
        <v>16838</v>
      </c>
      <c r="K8771" s="7" t="s">
        <v>18219</v>
      </c>
      <c r="L8771" s="198" t="s">
        <v>65</v>
      </c>
      <c r="M8771" s="194"/>
      <c r="N8771" s="194"/>
    </row>
    <row r="8772">
      <c r="A8772" s="193" t="s">
        <v>29731</v>
      </c>
      <c r="B8772" s="7" t="s">
        <v>16838</v>
      </c>
      <c r="C8772" s="7" t="s">
        <v>18219</v>
      </c>
      <c r="D8772" s="194">
        <v>2021.0</v>
      </c>
      <c r="E8772" s="193"/>
      <c r="F8772" s="195" t="s">
        <v>29732</v>
      </c>
      <c r="G8772" s="196">
        <v>0.0</v>
      </c>
      <c r="H8772" s="197">
        <v>11.02</v>
      </c>
      <c r="I8772" s="7" t="s">
        <v>16815</v>
      </c>
      <c r="J8772" s="7" t="s">
        <v>16838</v>
      </c>
      <c r="K8772" s="7" t="s">
        <v>18219</v>
      </c>
      <c r="L8772" s="198" t="s">
        <v>65</v>
      </c>
      <c r="M8772" s="194"/>
      <c r="N8772" s="194"/>
    </row>
    <row r="8773">
      <c r="A8773" s="193" t="s">
        <v>29733</v>
      </c>
      <c r="B8773" s="7" t="s">
        <v>16838</v>
      </c>
      <c r="C8773" s="7" t="s">
        <v>18219</v>
      </c>
      <c r="D8773" s="194">
        <v>2021.0</v>
      </c>
      <c r="E8773" s="193"/>
      <c r="F8773" s="195" t="s">
        <v>29734</v>
      </c>
      <c r="G8773" s="196">
        <v>0.0</v>
      </c>
      <c r="H8773" s="197">
        <v>10.3499</v>
      </c>
      <c r="I8773" s="7" t="s">
        <v>16815</v>
      </c>
      <c r="J8773" s="7" t="s">
        <v>16838</v>
      </c>
      <c r="K8773" s="7" t="s">
        <v>18219</v>
      </c>
      <c r="L8773" s="198" t="s">
        <v>65</v>
      </c>
      <c r="M8773" s="194"/>
      <c r="N8773" s="194"/>
    </row>
    <row r="8774">
      <c r="A8774" s="193" t="s">
        <v>29735</v>
      </c>
      <c r="B8774" s="7" t="s">
        <v>16838</v>
      </c>
      <c r="C8774" s="7" t="s">
        <v>18219</v>
      </c>
      <c r="D8774" s="194">
        <v>2021.0</v>
      </c>
      <c r="E8774" s="193"/>
      <c r="F8774" s="195" t="s">
        <v>29736</v>
      </c>
      <c r="G8774" s="196">
        <v>0.0</v>
      </c>
      <c r="H8774" s="197">
        <v>10.4</v>
      </c>
      <c r="I8774" s="7" t="s">
        <v>16815</v>
      </c>
      <c r="J8774" s="7" t="s">
        <v>16838</v>
      </c>
      <c r="K8774" s="7" t="s">
        <v>18219</v>
      </c>
      <c r="L8774" s="198" t="s">
        <v>65</v>
      </c>
      <c r="M8774" s="194"/>
      <c r="N8774" s="194"/>
    </row>
    <row r="8775">
      <c r="A8775" s="193" t="s">
        <v>29737</v>
      </c>
      <c r="B8775" s="7" t="s">
        <v>16838</v>
      </c>
      <c r="C8775" s="7" t="s">
        <v>18219</v>
      </c>
      <c r="D8775" s="194">
        <v>2021.0</v>
      </c>
      <c r="E8775" s="193"/>
      <c r="F8775" s="195" t="s">
        <v>29738</v>
      </c>
      <c r="G8775" s="196">
        <v>0.0</v>
      </c>
      <c r="H8775" s="197">
        <v>0.0252</v>
      </c>
      <c r="I8775" s="7" t="s">
        <v>16815</v>
      </c>
      <c r="J8775" s="7" t="s">
        <v>16838</v>
      </c>
      <c r="K8775" s="7" t="s">
        <v>18219</v>
      </c>
      <c r="L8775" s="198" t="s">
        <v>65</v>
      </c>
      <c r="M8775" s="194"/>
      <c r="N8775" s="194"/>
    </row>
    <row r="8776">
      <c r="A8776" s="193" t="s">
        <v>29739</v>
      </c>
      <c r="B8776" s="7" t="s">
        <v>16838</v>
      </c>
      <c r="C8776" s="7" t="s">
        <v>18219</v>
      </c>
      <c r="D8776" s="194">
        <v>2022.0</v>
      </c>
      <c r="E8776" s="193"/>
      <c r="F8776" s="195" t="s">
        <v>29740</v>
      </c>
      <c r="G8776" s="196">
        <v>0.0</v>
      </c>
      <c r="H8776" s="197">
        <v>8.92</v>
      </c>
      <c r="I8776" s="7" t="s">
        <v>16815</v>
      </c>
      <c r="J8776" s="7" t="s">
        <v>16838</v>
      </c>
      <c r="K8776" s="7" t="s">
        <v>18219</v>
      </c>
      <c r="L8776" s="198" t="s">
        <v>65</v>
      </c>
      <c r="M8776" s="194"/>
      <c r="N8776" s="194"/>
    </row>
    <row r="8777">
      <c r="A8777" s="193" t="s">
        <v>29741</v>
      </c>
      <c r="B8777" s="7" t="s">
        <v>16838</v>
      </c>
      <c r="C8777" s="7" t="s">
        <v>18219</v>
      </c>
      <c r="D8777" s="194">
        <v>2022.0</v>
      </c>
      <c r="E8777" s="193"/>
      <c r="F8777" s="195" t="s">
        <v>29742</v>
      </c>
      <c r="G8777" s="196">
        <v>0.0</v>
      </c>
      <c r="H8777" s="197">
        <v>0.1201</v>
      </c>
      <c r="I8777" s="7" t="s">
        <v>16815</v>
      </c>
      <c r="J8777" s="7" t="s">
        <v>16838</v>
      </c>
      <c r="K8777" s="7" t="s">
        <v>18219</v>
      </c>
      <c r="L8777" s="198" t="s">
        <v>65</v>
      </c>
      <c r="M8777" s="194"/>
      <c r="N8777" s="194"/>
    </row>
    <row r="8778">
      <c r="A8778" s="193" t="s">
        <v>29743</v>
      </c>
      <c r="B8778" s="7" t="s">
        <v>16838</v>
      </c>
      <c r="C8778" s="7" t="s">
        <v>18219</v>
      </c>
      <c r="D8778" s="194">
        <v>2022.0</v>
      </c>
      <c r="E8778" s="193"/>
      <c r="F8778" s="195" t="s">
        <v>29744</v>
      </c>
      <c r="G8778" s="196">
        <v>0.0</v>
      </c>
      <c r="H8778" s="197">
        <v>8.5</v>
      </c>
      <c r="I8778" s="7" t="s">
        <v>16815</v>
      </c>
      <c r="J8778" s="7" t="s">
        <v>16838</v>
      </c>
      <c r="K8778" s="7" t="s">
        <v>18219</v>
      </c>
      <c r="L8778" s="198" t="s">
        <v>65</v>
      </c>
      <c r="M8778" s="194"/>
      <c r="N8778" s="194"/>
    </row>
    <row r="8779">
      <c r="A8779" s="193" t="s">
        <v>29745</v>
      </c>
      <c r="B8779" s="7" t="s">
        <v>16838</v>
      </c>
      <c r="C8779" s="7" t="s">
        <v>18219</v>
      </c>
      <c r="D8779" s="194">
        <v>2022.0</v>
      </c>
      <c r="E8779" s="193"/>
      <c r="F8779" s="195" t="s">
        <v>29746</v>
      </c>
      <c r="G8779" s="196">
        <v>0.0</v>
      </c>
      <c r="H8779" s="197">
        <v>0.0302</v>
      </c>
      <c r="I8779" s="7" t="s">
        <v>16815</v>
      </c>
      <c r="J8779" s="7" t="s">
        <v>16838</v>
      </c>
      <c r="K8779" s="7" t="s">
        <v>18219</v>
      </c>
      <c r="L8779" s="198" t="s">
        <v>65</v>
      </c>
      <c r="M8779" s="194"/>
      <c r="N8779" s="194"/>
    </row>
    <row r="8780">
      <c r="A8780" s="193" t="s">
        <v>29747</v>
      </c>
      <c r="B8780" s="7" t="s">
        <v>16838</v>
      </c>
      <c r="C8780" s="7" t="s">
        <v>18219</v>
      </c>
      <c r="D8780" s="194">
        <v>2021.0</v>
      </c>
      <c r="E8780" s="193"/>
      <c r="F8780" s="195" t="s">
        <v>29748</v>
      </c>
      <c r="G8780" s="196">
        <v>0.0</v>
      </c>
      <c r="H8780" s="197">
        <v>0.0199</v>
      </c>
      <c r="I8780" s="7" t="s">
        <v>16815</v>
      </c>
      <c r="J8780" s="7" t="s">
        <v>16838</v>
      </c>
      <c r="K8780" s="7" t="s">
        <v>18219</v>
      </c>
      <c r="L8780" s="198" t="s">
        <v>65</v>
      </c>
      <c r="M8780" s="194"/>
      <c r="N8780" s="194"/>
    </row>
    <row r="8781">
      <c r="A8781" s="193" t="s">
        <v>29749</v>
      </c>
      <c r="B8781" s="7" t="s">
        <v>16838</v>
      </c>
      <c r="C8781" s="7" t="s">
        <v>18219</v>
      </c>
      <c r="D8781" s="194">
        <v>2021.0</v>
      </c>
      <c r="E8781" s="193"/>
      <c r="F8781" s="195" t="s">
        <v>29750</v>
      </c>
      <c r="G8781" s="196">
        <v>0.0</v>
      </c>
      <c r="H8781" s="197">
        <v>10.82</v>
      </c>
      <c r="I8781" s="7" t="s">
        <v>16815</v>
      </c>
      <c r="J8781" s="7" t="s">
        <v>16838</v>
      </c>
      <c r="K8781" s="7" t="s">
        <v>18219</v>
      </c>
      <c r="L8781" s="198" t="s">
        <v>65</v>
      </c>
      <c r="M8781" s="194"/>
      <c r="N8781" s="194"/>
    </row>
    <row r="8782">
      <c r="A8782" s="193" t="s">
        <v>29751</v>
      </c>
      <c r="B8782" s="7" t="s">
        <v>16838</v>
      </c>
      <c r="C8782" s="7" t="s">
        <v>18219</v>
      </c>
      <c r="D8782" s="194">
        <v>2022.0</v>
      </c>
      <c r="E8782" s="193"/>
      <c r="F8782" s="195" t="s">
        <v>29752</v>
      </c>
      <c r="G8782" s="196">
        <v>0.0</v>
      </c>
      <c r="H8782" s="197">
        <v>11.27</v>
      </c>
      <c r="I8782" s="7" t="s">
        <v>16815</v>
      </c>
      <c r="J8782" s="7" t="s">
        <v>16838</v>
      </c>
      <c r="K8782" s="7" t="s">
        <v>18219</v>
      </c>
      <c r="L8782" s="198" t="s">
        <v>65</v>
      </c>
      <c r="M8782" s="194"/>
      <c r="N8782" s="194"/>
    </row>
    <row r="8783">
      <c r="A8783" s="193" t="s">
        <v>29753</v>
      </c>
      <c r="B8783" s="7" t="s">
        <v>16838</v>
      </c>
      <c r="C8783" s="7" t="s">
        <v>18219</v>
      </c>
      <c r="D8783" s="194">
        <v>2022.0</v>
      </c>
      <c r="E8783" s="193"/>
      <c r="F8783" s="195" t="s">
        <v>29754</v>
      </c>
      <c r="G8783" s="196">
        <v>0.0</v>
      </c>
      <c r="H8783" s="197">
        <v>0.1167</v>
      </c>
      <c r="I8783" s="7" t="s">
        <v>16815</v>
      </c>
      <c r="J8783" s="7" t="s">
        <v>16838</v>
      </c>
      <c r="K8783" s="7" t="s">
        <v>18219</v>
      </c>
      <c r="L8783" s="198" t="s">
        <v>65</v>
      </c>
      <c r="M8783" s="194"/>
      <c r="N8783" s="194"/>
    </row>
    <row r="8784">
      <c r="A8784" s="193" t="s">
        <v>29755</v>
      </c>
      <c r="B8784" s="7" t="s">
        <v>16838</v>
      </c>
      <c r="C8784" s="7" t="s">
        <v>18219</v>
      </c>
      <c r="D8784" s="194">
        <v>2021.0</v>
      </c>
      <c r="E8784" s="193"/>
      <c r="F8784" s="195" t="s">
        <v>29756</v>
      </c>
      <c r="G8784" s="196">
        <v>0.0</v>
      </c>
      <c r="H8784" s="197">
        <v>10.6</v>
      </c>
      <c r="I8784" s="7" t="s">
        <v>16815</v>
      </c>
      <c r="J8784" s="7" t="s">
        <v>16838</v>
      </c>
      <c r="K8784" s="7" t="s">
        <v>18219</v>
      </c>
      <c r="L8784" s="198" t="s">
        <v>65</v>
      </c>
      <c r="M8784" s="194"/>
      <c r="N8784" s="194"/>
    </row>
    <row r="8785">
      <c r="A8785" s="193" t="s">
        <v>29757</v>
      </c>
      <c r="B8785" s="7" t="s">
        <v>16838</v>
      </c>
      <c r="C8785" s="7" t="s">
        <v>18219</v>
      </c>
      <c r="D8785" s="194">
        <v>2022.0</v>
      </c>
      <c r="E8785" s="193"/>
      <c r="F8785" s="195" t="s">
        <v>29758</v>
      </c>
      <c r="G8785" s="196">
        <v>0.0</v>
      </c>
      <c r="H8785" s="197">
        <v>10.54</v>
      </c>
      <c r="I8785" s="7" t="s">
        <v>16815</v>
      </c>
      <c r="J8785" s="7" t="s">
        <v>16838</v>
      </c>
      <c r="K8785" s="7" t="s">
        <v>18219</v>
      </c>
      <c r="L8785" s="198" t="s">
        <v>65</v>
      </c>
      <c r="M8785" s="194"/>
      <c r="N8785" s="194"/>
    </row>
    <row r="8786">
      <c r="A8786" s="193" t="s">
        <v>29759</v>
      </c>
      <c r="B8786" s="7" t="s">
        <v>16838</v>
      </c>
      <c r="C8786" s="7" t="s">
        <v>18219</v>
      </c>
      <c r="D8786" s="194">
        <v>2021.0</v>
      </c>
      <c r="E8786" s="193"/>
      <c r="F8786" s="195" t="s">
        <v>29760</v>
      </c>
      <c r="G8786" s="196">
        <v>0.0</v>
      </c>
      <c r="H8786" s="197">
        <v>10.68</v>
      </c>
      <c r="I8786" s="7" t="s">
        <v>16815</v>
      </c>
      <c r="J8786" s="7" t="s">
        <v>16838</v>
      </c>
      <c r="K8786" s="7" t="s">
        <v>18219</v>
      </c>
      <c r="L8786" s="198" t="s">
        <v>65</v>
      </c>
      <c r="M8786" s="194"/>
      <c r="N8786" s="194"/>
    </row>
    <row r="8787">
      <c r="A8787" s="193" t="s">
        <v>29761</v>
      </c>
      <c r="B8787" s="7" t="s">
        <v>16838</v>
      </c>
      <c r="C8787" s="7" t="s">
        <v>18219</v>
      </c>
      <c r="D8787" s="194">
        <v>2021.0</v>
      </c>
      <c r="E8787" s="193"/>
      <c r="F8787" s="195" t="s">
        <v>29762</v>
      </c>
      <c r="G8787" s="196">
        <v>0.0</v>
      </c>
      <c r="H8787" s="197">
        <v>0.05</v>
      </c>
      <c r="I8787" s="7" t="s">
        <v>16815</v>
      </c>
      <c r="J8787" s="7" t="s">
        <v>16838</v>
      </c>
      <c r="K8787" s="7" t="s">
        <v>18219</v>
      </c>
      <c r="L8787" s="198" t="s">
        <v>65</v>
      </c>
      <c r="M8787" s="194"/>
      <c r="N8787" s="194"/>
    </row>
    <row r="8788">
      <c r="A8788" s="193" t="s">
        <v>29763</v>
      </c>
      <c r="B8788" s="7" t="s">
        <v>16838</v>
      </c>
      <c r="C8788" s="7" t="s">
        <v>18219</v>
      </c>
      <c r="D8788" s="194">
        <v>2022.0</v>
      </c>
      <c r="E8788" s="193"/>
      <c r="F8788" s="195" t="s">
        <v>29764</v>
      </c>
      <c r="G8788" s="196">
        <v>0.0</v>
      </c>
      <c r="H8788" s="197">
        <v>10.7</v>
      </c>
      <c r="I8788" s="7" t="s">
        <v>16815</v>
      </c>
      <c r="J8788" s="7" t="s">
        <v>16838</v>
      </c>
      <c r="K8788" s="7" t="s">
        <v>18219</v>
      </c>
      <c r="L8788" s="198" t="s">
        <v>65</v>
      </c>
      <c r="M8788" s="194"/>
      <c r="N8788" s="194"/>
    </row>
    <row r="8789">
      <c r="A8789" s="193" t="s">
        <v>29765</v>
      </c>
      <c r="B8789" s="7" t="s">
        <v>16838</v>
      </c>
      <c r="C8789" s="7" t="s">
        <v>18219</v>
      </c>
      <c r="D8789" s="194">
        <v>2022.0</v>
      </c>
      <c r="E8789" s="193"/>
      <c r="F8789" s="195" t="s">
        <v>29766</v>
      </c>
      <c r="G8789" s="196">
        <v>0.0</v>
      </c>
      <c r="H8789" s="197">
        <v>0.2302</v>
      </c>
      <c r="I8789" s="7" t="s">
        <v>16815</v>
      </c>
      <c r="J8789" s="7" t="s">
        <v>16838</v>
      </c>
      <c r="K8789" s="7" t="s">
        <v>18219</v>
      </c>
      <c r="L8789" s="198" t="s">
        <v>65</v>
      </c>
      <c r="M8789" s="194"/>
      <c r="N8789" s="194"/>
    </row>
    <row r="8790">
      <c r="A8790" s="193" t="s">
        <v>29767</v>
      </c>
      <c r="B8790" s="7" t="s">
        <v>16838</v>
      </c>
      <c r="C8790" s="7" t="s">
        <v>18219</v>
      </c>
      <c r="D8790" s="194">
        <v>2022.0</v>
      </c>
      <c r="E8790" s="193"/>
      <c r="F8790" s="195" t="s">
        <v>29768</v>
      </c>
      <c r="G8790" s="196">
        <v>0.0</v>
      </c>
      <c r="H8790" s="197">
        <v>0.014</v>
      </c>
      <c r="I8790" s="7" t="s">
        <v>16815</v>
      </c>
      <c r="J8790" s="7" t="s">
        <v>16838</v>
      </c>
      <c r="K8790" s="7" t="s">
        <v>18219</v>
      </c>
      <c r="L8790" s="198" t="s">
        <v>65</v>
      </c>
      <c r="M8790" s="194"/>
      <c r="N8790" s="194"/>
    </row>
    <row r="8791">
      <c r="A8791" s="193" t="s">
        <v>29769</v>
      </c>
      <c r="B8791" s="7" t="s">
        <v>16838</v>
      </c>
      <c r="C8791" s="7" t="s">
        <v>18219</v>
      </c>
      <c r="D8791" s="194">
        <v>2021.0</v>
      </c>
      <c r="E8791" s="193"/>
      <c r="F8791" s="195" t="s">
        <v>29770</v>
      </c>
      <c r="G8791" s="196">
        <v>0.0</v>
      </c>
      <c r="H8791" s="197">
        <v>10.695</v>
      </c>
      <c r="I8791" s="7" t="s">
        <v>16815</v>
      </c>
      <c r="J8791" s="7" t="s">
        <v>16838</v>
      </c>
      <c r="K8791" s="7" t="s">
        <v>18219</v>
      </c>
      <c r="L8791" s="198" t="s">
        <v>65</v>
      </c>
      <c r="M8791" s="194"/>
      <c r="N8791" s="194"/>
    </row>
    <row r="8792">
      <c r="A8792" s="193" t="s">
        <v>29771</v>
      </c>
      <c r="B8792" s="7" t="s">
        <v>16838</v>
      </c>
      <c r="C8792" s="7" t="s">
        <v>18219</v>
      </c>
      <c r="D8792" s="194">
        <v>2021.0</v>
      </c>
      <c r="E8792" s="193"/>
      <c r="F8792" s="195" t="s">
        <v>29772</v>
      </c>
      <c r="G8792" s="196">
        <v>0.0</v>
      </c>
      <c r="H8792" s="197">
        <v>0.35</v>
      </c>
      <c r="I8792" s="7" t="s">
        <v>16815</v>
      </c>
      <c r="J8792" s="7" t="s">
        <v>16838</v>
      </c>
      <c r="K8792" s="7" t="s">
        <v>18219</v>
      </c>
      <c r="L8792" s="198" t="s">
        <v>65</v>
      </c>
      <c r="M8792" s="194"/>
      <c r="N8792" s="194"/>
    </row>
    <row r="8793">
      <c r="A8793" s="193" t="s">
        <v>29773</v>
      </c>
      <c r="B8793" s="7" t="s">
        <v>16838</v>
      </c>
      <c r="C8793" s="7" t="s">
        <v>18219</v>
      </c>
      <c r="D8793" s="194">
        <v>2021.0</v>
      </c>
      <c r="E8793" s="193"/>
      <c r="F8793" s="195" t="s">
        <v>29774</v>
      </c>
      <c r="G8793" s="196">
        <v>0.0</v>
      </c>
      <c r="H8793" s="197">
        <v>0.0555</v>
      </c>
      <c r="I8793" s="7" t="s">
        <v>16815</v>
      </c>
      <c r="J8793" s="7" t="s">
        <v>16838</v>
      </c>
      <c r="K8793" s="7" t="s">
        <v>18219</v>
      </c>
      <c r="L8793" s="198" t="s">
        <v>65</v>
      </c>
      <c r="M8793" s="194"/>
      <c r="N8793" s="194"/>
    </row>
    <row r="8794">
      <c r="A8794" s="193" t="s">
        <v>29775</v>
      </c>
      <c r="B8794" s="7" t="s">
        <v>16838</v>
      </c>
      <c r="C8794" s="7" t="s">
        <v>18219</v>
      </c>
      <c r="D8794" s="194">
        <v>2021.0</v>
      </c>
      <c r="E8794" s="193"/>
      <c r="F8794" s="195" t="s">
        <v>29776</v>
      </c>
      <c r="G8794" s="196">
        <v>0.0</v>
      </c>
      <c r="H8794" s="197">
        <v>10.72</v>
      </c>
      <c r="I8794" s="7" t="s">
        <v>16815</v>
      </c>
      <c r="J8794" s="7" t="s">
        <v>16838</v>
      </c>
      <c r="K8794" s="7" t="s">
        <v>18219</v>
      </c>
      <c r="L8794" s="198" t="s">
        <v>65</v>
      </c>
      <c r="M8794" s="194"/>
      <c r="N8794" s="194"/>
    </row>
    <row r="8795">
      <c r="A8795" s="193" t="s">
        <v>29777</v>
      </c>
      <c r="B8795" s="7" t="s">
        <v>16838</v>
      </c>
      <c r="C8795" s="7" t="s">
        <v>18219</v>
      </c>
      <c r="D8795" s="194">
        <v>2022.0</v>
      </c>
      <c r="E8795" s="193"/>
      <c r="F8795" s="195" t="s">
        <v>29778</v>
      </c>
      <c r="G8795" s="196">
        <v>0.0</v>
      </c>
      <c r="H8795" s="197">
        <v>0.03</v>
      </c>
      <c r="I8795" s="7" t="s">
        <v>16815</v>
      </c>
      <c r="J8795" s="7" t="s">
        <v>16838</v>
      </c>
      <c r="K8795" s="7" t="s">
        <v>18219</v>
      </c>
      <c r="L8795" s="198" t="s">
        <v>65</v>
      </c>
      <c r="M8795" s="194"/>
      <c r="N8795" s="194"/>
    </row>
    <row r="8796">
      <c r="A8796" s="193" t="s">
        <v>29779</v>
      </c>
      <c r="B8796" s="7" t="s">
        <v>16838</v>
      </c>
      <c r="C8796" s="7" t="s">
        <v>18219</v>
      </c>
      <c r="D8796" s="194">
        <v>2021.0</v>
      </c>
      <c r="E8796" s="193"/>
      <c r="F8796" s="195" t="s">
        <v>29780</v>
      </c>
      <c r="G8796" s="196">
        <v>0.0</v>
      </c>
      <c r="H8796" s="197">
        <v>10.9</v>
      </c>
      <c r="I8796" s="7" t="s">
        <v>16815</v>
      </c>
      <c r="J8796" s="7" t="s">
        <v>16838</v>
      </c>
      <c r="K8796" s="7" t="s">
        <v>18219</v>
      </c>
      <c r="L8796" s="198" t="s">
        <v>65</v>
      </c>
      <c r="M8796" s="194"/>
      <c r="N8796" s="194"/>
    </row>
    <row r="8797">
      <c r="A8797" s="193" t="s">
        <v>29781</v>
      </c>
      <c r="B8797" s="7" t="s">
        <v>16838</v>
      </c>
      <c r="C8797" s="7" t="s">
        <v>18219</v>
      </c>
      <c r="D8797" s="194">
        <v>2021.0</v>
      </c>
      <c r="E8797" s="193"/>
      <c r="F8797" s="195" t="s">
        <v>29782</v>
      </c>
      <c r="G8797" s="196">
        <v>0.0</v>
      </c>
      <c r="H8797" s="197">
        <v>0.0315</v>
      </c>
      <c r="I8797" s="7" t="s">
        <v>16815</v>
      </c>
      <c r="J8797" s="7" t="s">
        <v>16838</v>
      </c>
      <c r="K8797" s="7" t="s">
        <v>18219</v>
      </c>
      <c r="L8797" s="198" t="s">
        <v>65</v>
      </c>
      <c r="M8797" s="194"/>
      <c r="N8797" s="194"/>
    </row>
    <row r="8798">
      <c r="A8798" s="193" t="s">
        <v>29783</v>
      </c>
      <c r="B8798" s="7" t="s">
        <v>16838</v>
      </c>
      <c r="C8798" s="7" t="s">
        <v>18219</v>
      </c>
      <c r="D8798" s="194">
        <v>2022.0</v>
      </c>
      <c r="E8798" s="193"/>
      <c r="F8798" s="195" t="s">
        <v>29784</v>
      </c>
      <c r="G8798" s="196">
        <v>0.0</v>
      </c>
      <c r="H8798" s="197">
        <v>10.93</v>
      </c>
      <c r="I8798" s="7" t="s">
        <v>16815</v>
      </c>
      <c r="J8798" s="7" t="s">
        <v>16838</v>
      </c>
      <c r="K8798" s="7" t="s">
        <v>18219</v>
      </c>
      <c r="L8798" s="198" t="s">
        <v>65</v>
      </c>
      <c r="M8798" s="194"/>
      <c r="N8798" s="194"/>
    </row>
    <row r="8799">
      <c r="A8799" s="193" t="s">
        <v>29785</v>
      </c>
      <c r="B8799" s="7" t="s">
        <v>16838</v>
      </c>
      <c r="C8799" s="7" t="s">
        <v>18219</v>
      </c>
      <c r="D8799" s="194">
        <v>2021.0</v>
      </c>
      <c r="E8799" s="193"/>
      <c r="F8799" s="195" t="s">
        <v>29786</v>
      </c>
      <c r="G8799" s="196">
        <v>0.0</v>
      </c>
      <c r="H8799" s="197">
        <v>10.45</v>
      </c>
      <c r="I8799" s="7" t="s">
        <v>16815</v>
      </c>
      <c r="J8799" s="7" t="s">
        <v>16838</v>
      </c>
      <c r="K8799" s="7" t="s">
        <v>18219</v>
      </c>
      <c r="L8799" s="198" t="s">
        <v>65</v>
      </c>
      <c r="M8799" s="194"/>
      <c r="N8799" s="194"/>
    </row>
    <row r="8800">
      <c r="A8800" s="193" t="s">
        <v>29787</v>
      </c>
      <c r="B8800" s="7" t="s">
        <v>16838</v>
      </c>
      <c r="C8800" s="7" t="s">
        <v>18219</v>
      </c>
      <c r="D8800" s="194">
        <v>2021.0</v>
      </c>
      <c r="E8800" s="193"/>
      <c r="F8800" s="195" t="s">
        <v>29788</v>
      </c>
      <c r="G8800" s="196">
        <v>0.0</v>
      </c>
      <c r="H8800" s="197">
        <v>10.85</v>
      </c>
      <c r="I8800" s="7" t="s">
        <v>16815</v>
      </c>
      <c r="J8800" s="7" t="s">
        <v>16838</v>
      </c>
      <c r="K8800" s="7" t="s">
        <v>18219</v>
      </c>
      <c r="L8800" s="198" t="s">
        <v>65</v>
      </c>
      <c r="M8800" s="194"/>
      <c r="N8800" s="194"/>
    </row>
    <row r="8801">
      <c r="A8801" s="193" t="s">
        <v>29789</v>
      </c>
      <c r="B8801" s="7" t="s">
        <v>16838</v>
      </c>
      <c r="C8801" s="7" t="s">
        <v>18219</v>
      </c>
      <c r="D8801" s="194">
        <v>2021.0</v>
      </c>
      <c r="E8801" s="193"/>
      <c r="F8801" s="195" t="s">
        <v>29790</v>
      </c>
      <c r="G8801" s="196">
        <v>0.0</v>
      </c>
      <c r="H8801" s="197">
        <v>10.94</v>
      </c>
      <c r="I8801" s="7" t="s">
        <v>16815</v>
      </c>
      <c r="J8801" s="7" t="s">
        <v>16838</v>
      </c>
      <c r="K8801" s="7" t="s">
        <v>18219</v>
      </c>
      <c r="L8801" s="198" t="s">
        <v>65</v>
      </c>
      <c r="M8801" s="194"/>
      <c r="N8801" s="194"/>
    </row>
    <row r="8802">
      <c r="A8802" s="193" t="s">
        <v>29791</v>
      </c>
      <c r="B8802" s="7" t="s">
        <v>16838</v>
      </c>
      <c r="C8802" s="7" t="s">
        <v>18219</v>
      </c>
      <c r="D8802" s="194">
        <v>2021.0</v>
      </c>
      <c r="E8802" s="193"/>
      <c r="F8802" s="195" t="s">
        <v>29792</v>
      </c>
      <c r="G8802" s="196">
        <v>0.0</v>
      </c>
      <c r="H8802" s="197">
        <v>11.4</v>
      </c>
      <c r="I8802" s="7" t="s">
        <v>16815</v>
      </c>
      <c r="J8802" s="7" t="s">
        <v>16838</v>
      </c>
      <c r="K8802" s="7" t="s">
        <v>18219</v>
      </c>
      <c r="L8802" s="198" t="s">
        <v>65</v>
      </c>
      <c r="M8802" s="194"/>
      <c r="N8802" s="194"/>
    </row>
    <row r="8803">
      <c r="A8803" s="193" t="s">
        <v>29793</v>
      </c>
      <c r="B8803" s="7" t="s">
        <v>16838</v>
      </c>
      <c r="C8803" s="7" t="s">
        <v>18219</v>
      </c>
      <c r="D8803" s="194">
        <v>2021.0</v>
      </c>
      <c r="E8803" s="193"/>
      <c r="F8803" s="195" t="s">
        <v>29794</v>
      </c>
      <c r="G8803" s="196">
        <v>0.0</v>
      </c>
      <c r="H8803" s="197">
        <v>0.0251</v>
      </c>
      <c r="I8803" s="7" t="s">
        <v>16815</v>
      </c>
      <c r="J8803" s="7" t="s">
        <v>16838</v>
      </c>
      <c r="K8803" s="7" t="s">
        <v>18219</v>
      </c>
      <c r="L8803" s="198" t="s">
        <v>65</v>
      </c>
      <c r="M8803" s="194"/>
      <c r="N8803" s="194"/>
    </row>
    <row r="8804">
      <c r="A8804" s="193" t="s">
        <v>29795</v>
      </c>
      <c r="B8804" s="7" t="s">
        <v>16838</v>
      </c>
      <c r="C8804" s="7" t="s">
        <v>18219</v>
      </c>
      <c r="D8804" s="194">
        <v>2023.0</v>
      </c>
      <c r="E8804" s="193"/>
      <c r="F8804" s="195" t="s">
        <v>29796</v>
      </c>
      <c r="G8804" s="196">
        <v>0.0</v>
      </c>
      <c r="H8804" s="197">
        <v>10.57</v>
      </c>
      <c r="I8804" s="7" t="s">
        <v>16815</v>
      </c>
      <c r="J8804" s="7" t="s">
        <v>16838</v>
      </c>
      <c r="K8804" s="7" t="s">
        <v>18219</v>
      </c>
      <c r="L8804" s="198" t="s">
        <v>65</v>
      </c>
      <c r="M8804" s="194"/>
      <c r="N8804" s="194"/>
    </row>
    <row r="8805">
      <c r="A8805" s="193" t="s">
        <v>29797</v>
      </c>
      <c r="B8805" s="7" t="s">
        <v>16838</v>
      </c>
      <c r="C8805" s="7" t="s">
        <v>18219</v>
      </c>
      <c r="D8805" s="194">
        <v>2023.0</v>
      </c>
      <c r="E8805" s="193"/>
      <c r="F8805" s="195" t="s">
        <v>29798</v>
      </c>
      <c r="G8805" s="196">
        <v>0.0</v>
      </c>
      <c r="H8805" s="197">
        <v>0.22</v>
      </c>
      <c r="I8805" s="7" t="s">
        <v>16815</v>
      </c>
      <c r="J8805" s="7" t="s">
        <v>16838</v>
      </c>
      <c r="K8805" s="7" t="s">
        <v>18219</v>
      </c>
      <c r="L8805" s="198" t="s">
        <v>65</v>
      </c>
      <c r="M8805" s="194"/>
      <c r="N8805" s="194"/>
    </row>
    <row r="8806">
      <c r="A8806" s="193" t="s">
        <v>29799</v>
      </c>
      <c r="B8806" s="7" t="s">
        <v>16838</v>
      </c>
      <c r="C8806" s="7" t="s">
        <v>18219</v>
      </c>
      <c r="D8806" s="194">
        <v>2021.0</v>
      </c>
      <c r="E8806" s="193"/>
      <c r="F8806" s="195" t="s">
        <v>29800</v>
      </c>
      <c r="G8806" s="196">
        <v>0.0</v>
      </c>
      <c r="H8806" s="197">
        <v>11.63</v>
      </c>
      <c r="I8806" s="7" t="s">
        <v>16815</v>
      </c>
      <c r="J8806" s="7" t="s">
        <v>16838</v>
      </c>
      <c r="K8806" s="7" t="s">
        <v>18219</v>
      </c>
      <c r="L8806" s="198" t="s">
        <v>65</v>
      </c>
      <c r="M8806" s="194"/>
      <c r="N8806" s="194"/>
    </row>
    <row r="8807">
      <c r="A8807" s="193" t="s">
        <v>29801</v>
      </c>
      <c r="B8807" s="7" t="s">
        <v>16838</v>
      </c>
      <c r="C8807" s="7" t="s">
        <v>18219</v>
      </c>
      <c r="D8807" s="194">
        <v>2021.0</v>
      </c>
      <c r="E8807" s="193"/>
      <c r="F8807" s="195" t="s">
        <v>29802</v>
      </c>
      <c r="G8807" s="196">
        <v>0.0</v>
      </c>
      <c r="H8807" s="197">
        <v>11.185</v>
      </c>
      <c r="I8807" s="7" t="s">
        <v>16815</v>
      </c>
      <c r="J8807" s="7" t="s">
        <v>16838</v>
      </c>
      <c r="K8807" s="7" t="s">
        <v>18219</v>
      </c>
      <c r="L8807" s="198" t="s">
        <v>65</v>
      </c>
      <c r="M8807" s="194"/>
      <c r="N8807" s="194"/>
    </row>
    <row r="8808">
      <c r="A8808" s="193" t="s">
        <v>29803</v>
      </c>
      <c r="B8808" s="7" t="s">
        <v>16838</v>
      </c>
      <c r="C8808" s="7" t="s">
        <v>18219</v>
      </c>
      <c r="D8808" s="194">
        <v>2022.0</v>
      </c>
      <c r="E8808" s="193"/>
      <c r="F8808" s="195" t="s">
        <v>29804</v>
      </c>
      <c r="G8808" s="196">
        <v>0.0</v>
      </c>
      <c r="H8808" s="197">
        <v>10.79</v>
      </c>
      <c r="I8808" s="7" t="s">
        <v>16815</v>
      </c>
      <c r="J8808" s="7" t="s">
        <v>16838</v>
      </c>
      <c r="K8808" s="7" t="s">
        <v>18219</v>
      </c>
      <c r="L8808" s="198" t="s">
        <v>65</v>
      </c>
      <c r="M8808" s="194"/>
      <c r="N8808" s="194"/>
    </row>
    <row r="8809">
      <c r="A8809" s="193" t="s">
        <v>29805</v>
      </c>
      <c r="B8809" s="7" t="s">
        <v>16838</v>
      </c>
      <c r="C8809" s="7" t="s">
        <v>18219</v>
      </c>
      <c r="D8809" s="194">
        <v>2022.0</v>
      </c>
      <c r="E8809" s="193"/>
      <c r="F8809" s="195" t="s">
        <v>29806</v>
      </c>
      <c r="G8809" s="196">
        <v>0.0</v>
      </c>
      <c r="H8809" s="197">
        <v>0.12</v>
      </c>
      <c r="I8809" s="7" t="s">
        <v>16815</v>
      </c>
      <c r="J8809" s="7" t="s">
        <v>16838</v>
      </c>
      <c r="K8809" s="7" t="s">
        <v>18219</v>
      </c>
      <c r="L8809" s="198" t="s">
        <v>65</v>
      </c>
      <c r="M8809" s="194"/>
      <c r="N8809" s="194"/>
    </row>
    <row r="8810">
      <c r="A8810" s="193" t="s">
        <v>29807</v>
      </c>
      <c r="B8810" s="7" t="s">
        <v>16838</v>
      </c>
      <c r="C8810" s="7" t="s">
        <v>18219</v>
      </c>
      <c r="D8810" s="194">
        <v>2022.0</v>
      </c>
      <c r="E8810" s="193"/>
      <c r="F8810" s="195" t="s">
        <v>29808</v>
      </c>
      <c r="G8810" s="196">
        <v>0.0</v>
      </c>
      <c r="H8810" s="197">
        <v>0.01</v>
      </c>
      <c r="I8810" s="7" t="s">
        <v>16815</v>
      </c>
      <c r="J8810" s="7" t="s">
        <v>16838</v>
      </c>
      <c r="K8810" s="7" t="s">
        <v>18219</v>
      </c>
      <c r="L8810" s="198" t="s">
        <v>65</v>
      </c>
      <c r="M8810" s="194"/>
      <c r="N8810" s="194"/>
    </row>
    <row r="8811">
      <c r="A8811" s="193" t="s">
        <v>29809</v>
      </c>
      <c r="B8811" s="7" t="s">
        <v>16838</v>
      </c>
      <c r="C8811" s="7" t="s">
        <v>18219</v>
      </c>
      <c r="D8811" s="194">
        <v>2021.0</v>
      </c>
      <c r="E8811" s="193"/>
      <c r="F8811" s="195" t="s">
        <v>29810</v>
      </c>
      <c r="G8811" s="196">
        <v>0.0</v>
      </c>
      <c r="H8811" s="197">
        <v>10.76</v>
      </c>
      <c r="I8811" s="7" t="s">
        <v>16815</v>
      </c>
      <c r="J8811" s="7" t="s">
        <v>16838</v>
      </c>
      <c r="K8811" s="7" t="s">
        <v>18219</v>
      </c>
      <c r="L8811" s="198" t="s">
        <v>65</v>
      </c>
      <c r="M8811" s="194"/>
      <c r="N8811" s="194"/>
    </row>
    <row r="8812">
      <c r="A8812" s="193" t="s">
        <v>29811</v>
      </c>
      <c r="B8812" s="7" t="s">
        <v>16838</v>
      </c>
      <c r="C8812" s="7" t="s">
        <v>18219</v>
      </c>
      <c r="D8812" s="194">
        <v>2021.0</v>
      </c>
      <c r="E8812" s="193"/>
      <c r="F8812" s="195" t="s">
        <v>29812</v>
      </c>
      <c r="G8812" s="196">
        <v>0.0</v>
      </c>
      <c r="H8812" s="197">
        <v>0.17</v>
      </c>
      <c r="I8812" s="7" t="s">
        <v>16815</v>
      </c>
      <c r="J8812" s="7" t="s">
        <v>16838</v>
      </c>
      <c r="K8812" s="7" t="s">
        <v>18219</v>
      </c>
      <c r="L8812" s="198" t="s">
        <v>65</v>
      </c>
      <c r="M8812" s="194"/>
      <c r="N8812" s="194"/>
    </row>
    <row r="8813">
      <c r="A8813" s="193" t="s">
        <v>29813</v>
      </c>
      <c r="B8813" s="7" t="s">
        <v>16838</v>
      </c>
      <c r="C8813" s="7" t="s">
        <v>18219</v>
      </c>
      <c r="D8813" s="194">
        <v>2021.0</v>
      </c>
      <c r="E8813" s="193"/>
      <c r="F8813" s="195" t="s">
        <v>29814</v>
      </c>
      <c r="G8813" s="196">
        <v>0.0</v>
      </c>
      <c r="H8813" s="197">
        <v>10.69</v>
      </c>
      <c r="I8813" s="7" t="s">
        <v>16815</v>
      </c>
      <c r="J8813" s="7" t="s">
        <v>16838</v>
      </c>
      <c r="K8813" s="7" t="s">
        <v>18219</v>
      </c>
      <c r="L8813" s="198" t="s">
        <v>65</v>
      </c>
      <c r="M8813" s="194"/>
      <c r="N8813" s="194"/>
    </row>
    <row r="8814">
      <c r="A8814" s="193" t="s">
        <v>29815</v>
      </c>
      <c r="B8814" s="7" t="s">
        <v>16838</v>
      </c>
      <c r="C8814" s="7" t="s">
        <v>18219</v>
      </c>
      <c r="D8814" s="199"/>
      <c r="E8814" s="193"/>
      <c r="F8814" s="195" t="s">
        <v>29816</v>
      </c>
      <c r="G8814" s="196">
        <v>0.0</v>
      </c>
      <c r="H8814" s="197">
        <v>2.65</v>
      </c>
      <c r="I8814" s="7" t="s">
        <v>16815</v>
      </c>
      <c r="J8814" s="7" t="s">
        <v>16838</v>
      </c>
      <c r="K8814" s="7" t="s">
        <v>18219</v>
      </c>
      <c r="L8814" s="198" t="s">
        <v>65</v>
      </c>
      <c r="M8814" s="199"/>
      <c r="N8814" s="199"/>
    </row>
    <row r="8815">
      <c r="A8815" s="193" t="s">
        <v>29817</v>
      </c>
      <c r="B8815" s="7" t="s">
        <v>16838</v>
      </c>
      <c r="C8815" s="7" t="s">
        <v>18219</v>
      </c>
      <c r="D8815" s="199"/>
      <c r="E8815" s="193"/>
      <c r="F8815" s="195" t="s">
        <v>29818</v>
      </c>
      <c r="G8815" s="196">
        <v>0.0</v>
      </c>
      <c r="H8815" s="197">
        <v>0.0236</v>
      </c>
      <c r="I8815" s="7" t="s">
        <v>16815</v>
      </c>
      <c r="J8815" s="7" t="s">
        <v>16838</v>
      </c>
      <c r="K8815" s="7" t="s">
        <v>18219</v>
      </c>
      <c r="L8815" s="198" t="s">
        <v>65</v>
      </c>
      <c r="M8815" s="199"/>
      <c r="N8815" s="199"/>
    </row>
    <row r="8816">
      <c r="A8816" s="193" t="s">
        <v>29819</v>
      </c>
      <c r="B8816" s="7" t="s">
        <v>16838</v>
      </c>
      <c r="C8816" s="7" t="s">
        <v>18219</v>
      </c>
      <c r="D8816" s="194">
        <v>2022.0</v>
      </c>
      <c r="E8816" s="193"/>
      <c r="F8816" s="195" t="s">
        <v>29820</v>
      </c>
      <c r="G8816" s="196">
        <v>0.0</v>
      </c>
      <c r="H8816" s="197">
        <v>10.88</v>
      </c>
      <c r="I8816" s="7" t="s">
        <v>16815</v>
      </c>
      <c r="J8816" s="7" t="s">
        <v>16838</v>
      </c>
      <c r="K8816" s="7" t="s">
        <v>18219</v>
      </c>
      <c r="L8816" s="198" t="s">
        <v>65</v>
      </c>
      <c r="M8816" s="194"/>
      <c r="N8816" s="194"/>
    </row>
    <row r="8817">
      <c r="A8817" s="193" t="s">
        <v>29821</v>
      </c>
      <c r="B8817" s="7" t="s">
        <v>16838</v>
      </c>
      <c r="C8817" s="7" t="s">
        <v>18219</v>
      </c>
      <c r="D8817" s="194">
        <v>2022.0</v>
      </c>
      <c r="E8817" s="193"/>
      <c r="F8817" s="195" t="s">
        <v>29822</v>
      </c>
      <c r="G8817" s="196">
        <v>0.0</v>
      </c>
      <c r="H8817" s="197">
        <v>5.1</v>
      </c>
      <c r="I8817" s="7" t="s">
        <v>16815</v>
      </c>
      <c r="J8817" s="7" t="s">
        <v>16838</v>
      </c>
      <c r="K8817" s="7" t="s">
        <v>18219</v>
      </c>
      <c r="L8817" s="198" t="s">
        <v>65</v>
      </c>
      <c r="M8817" s="194"/>
      <c r="N8817" s="194"/>
    </row>
    <row r="8818">
      <c r="A8818" s="193" t="s">
        <v>29823</v>
      </c>
      <c r="B8818" s="7" t="s">
        <v>16838</v>
      </c>
      <c r="C8818" s="7" t="s">
        <v>18219</v>
      </c>
      <c r="D8818" s="194">
        <v>2022.0</v>
      </c>
      <c r="E8818" s="193"/>
      <c r="F8818" s="195" t="s">
        <v>29824</v>
      </c>
      <c r="G8818" s="196">
        <v>0.0</v>
      </c>
      <c r="H8818" s="197">
        <v>4.81</v>
      </c>
      <c r="I8818" s="7" t="s">
        <v>16815</v>
      </c>
      <c r="J8818" s="7" t="s">
        <v>16838</v>
      </c>
      <c r="K8818" s="7" t="s">
        <v>18219</v>
      </c>
      <c r="L8818" s="198" t="s">
        <v>65</v>
      </c>
      <c r="M8818" s="194"/>
      <c r="N8818" s="194"/>
    </row>
    <row r="8819">
      <c r="A8819" s="193" t="s">
        <v>29825</v>
      </c>
      <c r="B8819" s="7" t="s">
        <v>16838</v>
      </c>
      <c r="C8819" s="7" t="s">
        <v>18219</v>
      </c>
      <c r="D8819" s="194">
        <v>2022.0</v>
      </c>
      <c r="E8819" s="193"/>
      <c r="F8819" s="195" t="s">
        <v>29826</v>
      </c>
      <c r="G8819" s="196">
        <v>0.0</v>
      </c>
      <c r="H8819" s="197">
        <v>0.06</v>
      </c>
      <c r="I8819" s="7" t="s">
        <v>16815</v>
      </c>
      <c r="J8819" s="7" t="s">
        <v>16838</v>
      </c>
      <c r="K8819" s="7" t="s">
        <v>18219</v>
      </c>
      <c r="L8819" s="198" t="s">
        <v>65</v>
      </c>
      <c r="M8819" s="194"/>
      <c r="N8819" s="194"/>
    </row>
    <row r="8820">
      <c r="A8820" s="193" t="s">
        <v>29827</v>
      </c>
      <c r="B8820" s="7" t="s">
        <v>16838</v>
      </c>
      <c r="C8820" s="7" t="s">
        <v>18219</v>
      </c>
      <c r="D8820" s="194">
        <v>2022.0</v>
      </c>
      <c r="E8820" s="193"/>
      <c r="F8820" s="195" t="s">
        <v>29828</v>
      </c>
      <c r="G8820" s="196">
        <v>0.0</v>
      </c>
      <c r="H8820" s="197">
        <v>10.9</v>
      </c>
      <c r="I8820" s="7" t="s">
        <v>16815</v>
      </c>
      <c r="J8820" s="7" t="s">
        <v>16838</v>
      </c>
      <c r="K8820" s="7" t="s">
        <v>18219</v>
      </c>
      <c r="L8820" s="198" t="s">
        <v>65</v>
      </c>
      <c r="M8820" s="194"/>
      <c r="N8820" s="194"/>
    </row>
    <row r="8821">
      <c r="A8821" s="193" t="s">
        <v>29829</v>
      </c>
      <c r="B8821" s="7" t="s">
        <v>16838</v>
      </c>
      <c r="C8821" s="7" t="s">
        <v>18219</v>
      </c>
      <c r="D8821" s="194">
        <v>2022.0</v>
      </c>
      <c r="E8821" s="193"/>
      <c r="F8821" s="195" t="s">
        <v>29830</v>
      </c>
      <c r="G8821" s="196">
        <v>0.0</v>
      </c>
      <c r="H8821" s="197">
        <v>11.0</v>
      </c>
      <c r="I8821" s="7" t="s">
        <v>16815</v>
      </c>
      <c r="J8821" s="7" t="s">
        <v>16838</v>
      </c>
      <c r="K8821" s="7" t="s">
        <v>18219</v>
      </c>
      <c r="L8821" s="198" t="s">
        <v>65</v>
      </c>
      <c r="M8821" s="194"/>
      <c r="N8821" s="194"/>
    </row>
    <row r="8822">
      <c r="A8822" s="193" t="s">
        <v>29831</v>
      </c>
      <c r="B8822" s="7" t="s">
        <v>16838</v>
      </c>
      <c r="C8822" s="7" t="s">
        <v>18219</v>
      </c>
      <c r="D8822" s="199"/>
      <c r="E8822" s="193"/>
      <c r="F8822" s="195" t="s">
        <v>29832</v>
      </c>
      <c r="G8822" s="196">
        <v>0.0</v>
      </c>
      <c r="H8822" s="197">
        <v>10.4001</v>
      </c>
      <c r="I8822" s="7" t="s">
        <v>16815</v>
      </c>
      <c r="J8822" s="7" t="s">
        <v>16838</v>
      </c>
      <c r="K8822" s="7" t="s">
        <v>18219</v>
      </c>
      <c r="L8822" s="198" t="s">
        <v>65</v>
      </c>
      <c r="M8822" s="199"/>
      <c r="N8822" s="199"/>
    </row>
    <row r="8823">
      <c r="A8823" s="193" t="s">
        <v>29833</v>
      </c>
      <c r="B8823" s="7" t="s">
        <v>16838</v>
      </c>
      <c r="C8823" s="7" t="s">
        <v>18219</v>
      </c>
      <c r="D8823" s="194">
        <v>2021.0</v>
      </c>
      <c r="E8823" s="193"/>
      <c r="F8823" s="195" t="s">
        <v>29834</v>
      </c>
      <c r="G8823" s="196">
        <v>0.0</v>
      </c>
      <c r="H8823" s="197">
        <v>11.14</v>
      </c>
      <c r="I8823" s="7" t="s">
        <v>16815</v>
      </c>
      <c r="J8823" s="7" t="s">
        <v>16838</v>
      </c>
      <c r="K8823" s="7" t="s">
        <v>18219</v>
      </c>
      <c r="L8823" s="198" t="s">
        <v>65</v>
      </c>
      <c r="M8823" s="194"/>
      <c r="N8823" s="194"/>
    </row>
    <row r="8824">
      <c r="A8824" s="193" t="s">
        <v>29835</v>
      </c>
      <c r="B8824" s="7" t="s">
        <v>16838</v>
      </c>
      <c r="C8824" s="7" t="s">
        <v>18219</v>
      </c>
      <c r="D8824" s="194">
        <v>2021.0</v>
      </c>
      <c r="E8824" s="193"/>
      <c r="F8824" s="195" t="s">
        <v>29836</v>
      </c>
      <c r="G8824" s="196">
        <v>0.0</v>
      </c>
      <c r="H8824" s="197">
        <v>0.0011</v>
      </c>
      <c r="I8824" s="7" t="s">
        <v>16815</v>
      </c>
      <c r="J8824" s="7" t="s">
        <v>16838</v>
      </c>
      <c r="K8824" s="7" t="s">
        <v>18219</v>
      </c>
      <c r="L8824" s="198" t="s">
        <v>65</v>
      </c>
      <c r="M8824" s="194"/>
      <c r="N8824" s="194"/>
    </row>
    <row r="8825">
      <c r="A8825" s="193" t="s">
        <v>29837</v>
      </c>
      <c r="B8825" s="7" t="s">
        <v>16838</v>
      </c>
      <c r="C8825" s="7" t="s">
        <v>18219</v>
      </c>
      <c r="D8825" s="194">
        <v>2021.0</v>
      </c>
      <c r="E8825" s="193"/>
      <c r="F8825" s="195" t="s">
        <v>29838</v>
      </c>
      <c r="G8825" s="196">
        <v>0.0</v>
      </c>
      <c r="H8825" s="197">
        <v>10.59</v>
      </c>
      <c r="I8825" s="7" t="s">
        <v>16815</v>
      </c>
      <c r="J8825" s="7" t="s">
        <v>16838</v>
      </c>
      <c r="K8825" s="7" t="s">
        <v>18219</v>
      </c>
      <c r="L8825" s="198" t="s">
        <v>65</v>
      </c>
      <c r="M8825" s="194"/>
      <c r="N8825" s="194"/>
    </row>
    <row r="8826">
      <c r="A8826" s="193" t="s">
        <v>29839</v>
      </c>
      <c r="B8826" s="7" t="s">
        <v>16838</v>
      </c>
      <c r="C8826" s="7" t="s">
        <v>18219</v>
      </c>
      <c r="D8826" s="194">
        <v>2021.0</v>
      </c>
      <c r="E8826" s="193"/>
      <c r="F8826" s="195" t="s">
        <v>29840</v>
      </c>
      <c r="G8826" s="196">
        <v>0.0</v>
      </c>
      <c r="H8826" s="197">
        <v>0.09</v>
      </c>
      <c r="I8826" s="7" t="s">
        <v>16815</v>
      </c>
      <c r="J8826" s="7" t="s">
        <v>16838</v>
      </c>
      <c r="K8826" s="7" t="s">
        <v>18219</v>
      </c>
      <c r="L8826" s="198" t="s">
        <v>65</v>
      </c>
      <c r="M8826" s="194"/>
      <c r="N8826" s="194"/>
    </row>
    <row r="8827">
      <c r="A8827" s="193" t="s">
        <v>29841</v>
      </c>
      <c r="B8827" s="7" t="s">
        <v>16838</v>
      </c>
      <c r="C8827" s="7" t="s">
        <v>18219</v>
      </c>
      <c r="D8827" s="194">
        <v>2021.0</v>
      </c>
      <c r="E8827" s="193"/>
      <c r="F8827" s="195" t="s">
        <v>29842</v>
      </c>
      <c r="G8827" s="196">
        <v>0.0</v>
      </c>
      <c r="H8827" s="197">
        <v>11.21</v>
      </c>
      <c r="I8827" s="7" t="s">
        <v>16815</v>
      </c>
      <c r="J8827" s="7" t="s">
        <v>16838</v>
      </c>
      <c r="K8827" s="7" t="s">
        <v>18219</v>
      </c>
      <c r="L8827" s="198" t="s">
        <v>65</v>
      </c>
      <c r="M8827" s="194"/>
      <c r="N8827" s="194"/>
    </row>
    <row r="8828">
      <c r="A8828" s="193" t="s">
        <v>29843</v>
      </c>
      <c r="B8828" s="7" t="s">
        <v>16838</v>
      </c>
      <c r="C8828" s="7" t="s">
        <v>18219</v>
      </c>
      <c r="D8828" s="194">
        <v>2021.0</v>
      </c>
      <c r="E8828" s="193"/>
      <c r="F8828" s="195" t="s">
        <v>29844</v>
      </c>
      <c r="G8828" s="196">
        <v>0.0</v>
      </c>
      <c r="H8828" s="197">
        <v>10.89</v>
      </c>
      <c r="I8828" s="7" t="s">
        <v>16815</v>
      </c>
      <c r="J8828" s="7" t="s">
        <v>16838</v>
      </c>
      <c r="K8828" s="7" t="s">
        <v>18219</v>
      </c>
      <c r="L8828" s="198" t="s">
        <v>65</v>
      </c>
      <c r="M8828" s="194"/>
      <c r="N8828" s="194"/>
    </row>
    <row r="8829">
      <c r="A8829" s="193" t="s">
        <v>29845</v>
      </c>
      <c r="B8829" s="7" t="s">
        <v>16838</v>
      </c>
      <c r="C8829" s="7" t="s">
        <v>18219</v>
      </c>
      <c r="D8829" s="194">
        <v>2021.0</v>
      </c>
      <c r="E8829" s="193"/>
      <c r="F8829" s="195" t="s">
        <v>29846</v>
      </c>
      <c r="G8829" s="196">
        <v>0.0</v>
      </c>
      <c r="H8829" s="197">
        <v>0.0148</v>
      </c>
      <c r="I8829" s="7" t="s">
        <v>16815</v>
      </c>
      <c r="J8829" s="7" t="s">
        <v>16838</v>
      </c>
      <c r="K8829" s="7" t="s">
        <v>18219</v>
      </c>
      <c r="L8829" s="198" t="s">
        <v>65</v>
      </c>
      <c r="M8829" s="194"/>
      <c r="N8829" s="194"/>
    </row>
    <row r="8830">
      <c r="A8830" s="193" t="s">
        <v>29847</v>
      </c>
      <c r="B8830" s="7" t="s">
        <v>16838</v>
      </c>
      <c r="C8830" s="7" t="s">
        <v>18219</v>
      </c>
      <c r="D8830" s="194">
        <v>2021.0</v>
      </c>
      <c r="E8830" s="193"/>
      <c r="F8830" s="195" t="s">
        <v>29848</v>
      </c>
      <c r="G8830" s="196">
        <v>0.0</v>
      </c>
      <c r="H8830" s="197">
        <v>10.59</v>
      </c>
      <c r="I8830" s="7" t="s">
        <v>16815</v>
      </c>
      <c r="J8830" s="7" t="s">
        <v>16838</v>
      </c>
      <c r="K8830" s="7" t="s">
        <v>18219</v>
      </c>
      <c r="L8830" s="198" t="s">
        <v>65</v>
      </c>
      <c r="M8830" s="194"/>
      <c r="N8830" s="194"/>
    </row>
    <row r="8831">
      <c r="A8831" s="193" t="s">
        <v>29849</v>
      </c>
      <c r="B8831" s="7" t="s">
        <v>16838</v>
      </c>
      <c r="C8831" s="7" t="s">
        <v>18219</v>
      </c>
      <c r="D8831" s="194">
        <v>2021.0</v>
      </c>
      <c r="E8831" s="193"/>
      <c r="F8831" s="195" t="s">
        <v>29850</v>
      </c>
      <c r="G8831" s="196">
        <v>0.0</v>
      </c>
      <c r="H8831" s="197">
        <v>11.32</v>
      </c>
      <c r="I8831" s="7" t="s">
        <v>16815</v>
      </c>
      <c r="J8831" s="7" t="s">
        <v>16838</v>
      </c>
      <c r="K8831" s="7" t="s">
        <v>18219</v>
      </c>
      <c r="L8831" s="198" t="s">
        <v>65</v>
      </c>
      <c r="M8831" s="194"/>
      <c r="N8831" s="194"/>
    </row>
    <row r="8832">
      <c r="A8832" s="193" t="s">
        <v>29851</v>
      </c>
      <c r="B8832" s="7" t="s">
        <v>16838</v>
      </c>
      <c r="C8832" s="7" t="s">
        <v>18219</v>
      </c>
      <c r="D8832" s="194">
        <v>2021.0</v>
      </c>
      <c r="E8832" s="193"/>
      <c r="F8832" s="195" t="s">
        <v>29852</v>
      </c>
      <c r="G8832" s="196">
        <v>0.0</v>
      </c>
      <c r="H8832" s="197">
        <v>0.01</v>
      </c>
      <c r="I8832" s="7" t="s">
        <v>16815</v>
      </c>
      <c r="J8832" s="7" t="s">
        <v>16838</v>
      </c>
      <c r="K8832" s="7" t="s">
        <v>18219</v>
      </c>
      <c r="L8832" s="198" t="s">
        <v>65</v>
      </c>
      <c r="M8832" s="194"/>
      <c r="N8832" s="194"/>
    </row>
    <row r="8833">
      <c r="A8833" s="193" t="s">
        <v>29853</v>
      </c>
      <c r="B8833" s="7" t="s">
        <v>16838</v>
      </c>
      <c r="C8833" s="7" t="s">
        <v>18219</v>
      </c>
      <c r="D8833" s="194">
        <v>2021.0</v>
      </c>
      <c r="E8833" s="193"/>
      <c r="F8833" s="195" t="s">
        <v>29854</v>
      </c>
      <c r="G8833" s="196">
        <v>0.0</v>
      </c>
      <c r="H8833" s="197">
        <v>10.62</v>
      </c>
      <c r="I8833" s="7" t="s">
        <v>16815</v>
      </c>
      <c r="J8833" s="7" t="s">
        <v>16838</v>
      </c>
      <c r="K8833" s="7" t="s">
        <v>18219</v>
      </c>
      <c r="L8833" s="198" t="s">
        <v>65</v>
      </c>
      <c r="M8833" s="194"/>
      <c r="N8833" s="194"/>
    </row>
    <row r="8834">
      <c r="A8834" s="193" t="s">
        <v>29855</v>
      </c>
      <c r="B8834" s="7" t="s">
        <v>16838</v>
      </c>
      <c r="C8834" s="7" t="s">
        <v>18219</v>
      </c>
      <c r="D8834" s="194">
        <v>2021.0</v>
      </c>
      <c r="E8834" s="193"/>
      <c r="F8834" s="195" t="s">
        <v>29856</v>
      </c>
      <c r="G8834" s="196">
        <v>0.0</v>
      </c>
      <c r="H8834" s="197">
        <v>10.98</v>
      </c>
      <c r="I8834" s="7" t="s">
        <v>16815</v>
      </c>
      <c r="J8834" s="7" t="s">
        <v>16838</v>
      </c>
      <c r="K8834" s="7" t="s">
        <v>18219</v>
      </c>
      <c r="L8834" s="198" t="s">
        <v>65</v>
      </c>
      <c r="M8834" s="194"/>
      <c r="N8834" s="194"/>
    </row>
    <row r="8835">
      <c r="A8835" s="193" t="s">
        <v>29857</v>
      </c>
      <c r="B8835" s="7" t="s">
        <v>16838</v>
      </c>
      <c r="C8835" s="7" t="s">
        <v>18219</v>
      </c>
      <c r="D8835" s="194">
        <v>2021.0</v>
      </c>
      <c r="E8835" s="193"/>
      <c r="F8835" s="195" t="s">
        <v>29858</v>
      </c>
      <c r="G8835" s="196">
        <v>0.0</v>
      </c>
      <c r="H8835" s="197">
        <v>10.891</v>
      </c>
      <c r="I8835" s="7" t="s">
        <v>16815</v>
      </c>
      <c r="J8835" s="7" t="s">
        <v>16838</v>
      </c>
      <c r="K8835" s="7" t="s">
        <v>18219</v>
      </c>
      <c r="L8835" s="198" t="s">
        <v>65</v>
      </c>
      <c r="M8835" s="194"/>
      <c r="N8835" s="194"/>
    </row>
    <row r="8836">
      <c r="A8836" s="193" t="s">
        <v>29859</v>
      </c>
      <c r="B8836" s="7" t="s">
        <v>16838</v>
      </c>
      <c r="C8836" s="7" t="s">
        <v>18219</v>
      </c>
      <c r="D8836" s="194">
        <v>2022.0</v>
      </c>
      <c r="E8836" s="193"/>
      <c r="F8836" s="195" t="s">
        <v>29860</v>
      </c>
      <c r="G8836" s="196">
        <v>0.0</v>
      </c>
      <c r="H8836" s="197">
        <v>10.92</v>
      </c>
      <c r="I8836" s="7" t="s">
        <v>16815</v>
      </c>
      <c r="J8836" s="7" t="s">
        <v>16838</v>
      </c>
      <c r="K8836" s="7" t="s">
        <v>18219</v>
      </c>
      <c r="L8836" s="198" t="s">
        <v>65</v>
      </c>
      <c r="M8836" s="194"/>
      <c r="N8836" s="194"/>
    </row>
    <row r="8837">
      <c r="A8837" s="193" t="s">
        <v>29861</v>
      </c>
      <c r="B8837" s="7" t="s">
        <v>16838</v>
      </c>
      <c r="C8837" s="7" t="s">
        <v>18219</v>
      </c>
      <c r="D8837" s="194">
        <v>2022.0</v>
      </c>
      <c r="E8837" s="193"/>
      <c r="F8837" s="195" t="s">
        <v>29862</v>
      </c>
      <c r="G8837" s="196">
        <v>0.0</v>
      </c>
      <c r="H8837" s="197">
        <v>10.87</v>
      </c>
      <c r="I8837" s="7" t="s">
        <v>16815</v>
      </c>
      <c r="J8837" s="7" t="s">
        <v>16838</v>
      </c>
      <c r="K8837" s="7" t="s">
        <v>18219</v>
      </c>
      <c r="L8837" s="198" t="s">
        <v>65</v>
      </c>
      <c r="M8837" s="194"/>
      <c r="N8837" s="194"/>
    </row>
    <row r="8838">
      <c r="A8838" s="193" t="s">
        <v>29863</v>
      </c>
      <c r="B8838" s="7" t="s">
        <v>16838</v>
      </c>
      <c r="C8838" s="7" t="s">
        <v>18219</v>
      </c>
      <c r="D8838" s="194">
        <v>2023.0</v>
      </c>
      <c r="E8838" s="193"/>
      <c r="F8838" s="195" t="s">
        <v>29864</v>
      </c>
      <c r="G8838" s="196">
        <v>0.0</v>
      </c>
      <c r="H8838" s="197">
        <v>10.47</v>
      </c>
      <c r="I8838" s="7" t="s">
        <v>16815</v>
      </c>
      <c r="J8838" s="7" t="s">
        <v>16838</v>
      </c>
      <c r="K8838" s="7" t="s">
        <v>18219</v>
      </c>
      <c r="L8838" s="198" t="s">
        <v>65</v>
      </c>
      <c r="M8838" s="194"/>
      <c r="N8838" s="194"/>
    </row>
    <row r="8839">
      <c r="A8839" s="193" t="s">
        <v>29865</v>
      </c>
      <c r="B8839" s="7" t="s">
        <v>16838</v>
      </c>
      <c r="C8839" s="7" t="s">
        <v>18219</v>
      </c>
      <c r="D8839" s="194">
        <v>2023.0</v>
      </c>
      <c r="E8839" s="193"/>
      <c r="F8839" s="195" t="s">
        <v>29866</v>
      </c>
      <c r="G8839" s="196">
        <v>0.0</v>
      </c>
      <c r="H8839" s="197">
        <v>0.03</v>
      </c>
      <c r="I8839" s="7" t="s">
        <v>16815</v>
      </c>
      <c r="J8839" s="7" t="s">
        <v>16838</v>
      </c>
      <c r="K8839" s="7" t="s">
        <v>18219</v>
      </c>
      <c r="L8839" s="198" t="s">
        <v>65</v>
      </c>
      <c r="M8839" s="194"/>
      <c r="N8839" s="194"/>
    </row>
    <row r="8840">
      <c r="A8840" s="193" t="s">
        <v>29867</v>
      </c>
      <c r="B8840" s="7" t="s">
        <v>16838</v>
      </c>
      <c r="C8840" s="7" t="s">
        <v>18219</v>
      </c>
      <c r="D8840" s="194">
        <v>2021.0</v>
      </c>
      <c r="E8840" s="193"/>
      <c r="F8840" s="195" t="s">
        <v>29868</v>
      </c>
      <c r="G8840" s="196">
        <v>0.0</v>
      </c>
      <c r="H8840" s="197">
        <v>10.66</v>
      </c>
      <c r="I8840" s="7" t="s">
        <v>16815</v>
      </c>
      <c r="J8840" s="7" t="s">
        <v>16838</v>
      </c>
      <c r="K8840" s="7" t="s">
        <v>18219</v>
      </c>
      <c r="L8840" s="198" t="s">
        <v>65</v>
      </c>
      <c r="M8840" s="194"/>
      <c r="N8840" s="194"/>
    </row>
    <row r="8841">
      <c r="A8841" s="193" t="s">
        <v>29869</v>
      </c>
      <c r="B8841" s="7" t="s">
        <v>16838</v>
      </c>
      <c r="C8841" s="7" t="s">
        <v>18219</v>
      </c>
      <c r="D8841" s="194">
        <v>2021.0</v>
      </c>
      <c r="E8841" s="193"/>
      <c r="F8841" s="195" t="s">
        <v>29870</v>
      </c>
      <c r="G8841" s="196">
        <v>0.0</v>
      </c>
      <c r="H8841" s="197">
        <v>10.5699</v>
      </c>
      <c r="I8841" s="7" t="s">
        <v>16815</v>
      </c>
      <c r="J8841" s="7" t="s">
        <v>16838</v>
      </c>
      <c r="K8841" s="7" t="s">
        <v>18219</v>
      </c>
      <c r="L8841" s="198" t="s">
        <v>65</v>
      </c>
      <c r="M8841" s="194"/>
      <c r="N8841" s="194"/>
    </row>
    <row r="8842">
      <c r="A8842" s="193" t="s">
        <v>29871</v>
      </c>
      <c r="B8842" s="7" t="s">
        <v>16838</v>
      </c>
      <c r="C8842" s="7" t="s">
        <v>18219</v>
      </c>
      <c r="D8842" s="194">
        <v>2021.0</v>
      </c>
      <c r="E8842" s="193"/>
      <c r="F8842" s="195" t="s">
        <v>29872</v>
      </c>
      <c r="G8842" s="196">
        <v>0.0</v>
      </c>
      <c r="H8842" s="197">
        <v>0.0275</v>
      </c>
      <c r="I8842" s="7" t="s">
        <v>16815</v>
      </c>
      <c r="J8842" s="7" t="s">
        <v>16838</v>
      </c>
      <c r="K8842" s="7" t="s">
        <v>18219</v>
      </c>
      <c r="L8842" s="198" t="s">
        <v>65</v>
      </c>
      <c r="M8842" s="194"/>
      <c r="N8842" s="194"/>
    </row>
    <row r="8843">
      <c r="A8843" s="193" t="s">
        <v>29873</v>
      </c>
      <c r="B8843" s="7" t="s">
        <v>16838</v>
      </c>
      <c r="C8843" s="7" t="s">
        <v>18219</v>
      </c>
      <c r="D8843" s="194">
        <v>2021.0</v>
      </c>
      <c r="E8843" s="193"/>
      <c r="F8843" s="195" t="s">
        <v>29874</v>
      </c>
      <c r="G8843" s="196">
        <v>0.0</v>
      </c>
      <c r="H8843" s="197">
        <v>10.45</v>
      </c>
      <c r="I8843" s="7" t="s">
        <v>16815</v>
      </c>
      <c r="J8843" s="7" t="s">
        <v>16838</v>
      </c>
      <c r="K8843" s="7" t="s">
        <v>18219</v>
      </c>
      <c r="L8843" s="198" t="s">
        <v>65</v>
      </c>
      <c r="M8843" s="194"/>
      <c r="N8843" s="194"/>
    </row>
    <row r="8844">
      <c r="A8844" s="193" t="s">
        <v>29875</v>
      </c>
      <c r="B8844" s="7" t="s">
        <v>16838</v>
      </c>
      <c r="C8844" s="7" t="s">
        <v>18219</v>
      </c>
      <c r="D8844" s="194">
        <v>2021.0</v>
      </c>
      <c r="E8844" s="193"/>
      <c r="F8844" s="195" t="s">
        <v>29876</v>
      </c>
      <c r="G8844" s="196">
        <v>0.0</v>
      </c>
      <c r="H8844" s="197">
        <v>10.46</v>
      </c>
      <c r="I8844" s="7" t="s">
        <v>16815</v>
      </c>
      <c r="J8844" s="7" t="s">
        <v>16838</v>
      </c>
      <c r="K8844" s="7" t="s">
        <v>18219</v>
      </c>
      <c r="L8844" s="198" t="s">
        <v>65</v>
      </c>
      <c r="M8844" s="194"/>
      <c r="N8844" s="194"/>
    </row>
    <row r="8845">
      <c r="A8845" s="193" t="s">
        <v>29877</v>
      </c>
      <c r="B8845" s="7" t="s">
        <v>16838</v>
      </c>
      <c r="C8845" s="7" t="s">
        <v>18219</v>
      </c>
      <c r="D8845" s="194">
        <v>2021.0</v>
      </c>
      <c r="E8845" s="193"/>
      <c r="F8845" s="195" t="s">
        <v>29878</v>
      </c>
      <c r="G8845" s="196">
        <v>0.0</v>
      </c>
      <c r="H8845" s="197">
        <v>0.0406</v>
      </c>
      <c r="I8845" s="7" t="s">
        <v>16815</v>
      </c>
      <c r="J8845" s="7" t="s">
        <v>16838</v>
      </c>
      <c r="K8845" s="7" t="s">
        <v>18219</v>
      </c>
      <c r="L8845" s="198" t="s">
        <v>65</v>
      </c>
      <c r="M8845" s="194"/>
      <c r="N8845" s="194"/>
    </row>
    <row r="8846">
      <c r="A8846" s="193" t="s">
        <v>29879</v>
      </c>
      <c r="B8846" s="7" t="s">
        <v>16838</v>
      </c>
      <c r="C8846" s="7" t="s">
        <v>18219</v>
      </c>
      <c r="D8846" s="194">
        <v>2021.0</v>
      </c>
      <c r="E8846" s="193"/>
      <c r="F8846" s="195" t="s">
        <v>29880</v>
      </c>
      <c r="G8846" s="196">
        <v>0.0</v>
      </c>
      <c r="H8846" s="197">
        <v>10.93</v>
      </c>
      <c r="I8846" s="7" t="s">
        <v>16815</v>
      </c>
      <c r="J8846" s="7" t="s">
        <v>16838</v>
      </c>
      <c r="K8846" s="7" t="s">
        <v>18219</v>
      </c>
      <c r="L8846" s="198" t="s">
        <v>65</v>
      </c>
      <c r="M8846" s="194"/>
      <c r="N8846" s="194"/>
    </row>
    <row r="8847">
      <c r="A8847" s="193" t="s">
        <v>29881</v>
      </c>
      <c r="B8847" s="7" t="s">
        <v>16838</v>
      </c>
      <c r="C8847" s="7" t="s">
        <v>18219</v>
      </c>
      <c r="D8847" s="194">
        <v>2021.0</v>
      </c>
      <c r="E8847" s="193"/>
      <c r="F8847" s="195" t="s">
        <v>29882</v>
      </c>
      <c r="G8847" s="196">
        <v>0.0</v>
      </c>
      <c r="H8847" s="197">
        <v>0.023</v>
      </c>
      <c r="I8847" s="7" t="s">
        <v>16815</v>
      </c>
      <c r="J8847" s="7" t="s">
        <v>16838</v>
      </c>
      <c r="K8847" s="7" t="s">
        <v>18219</v>
      </c>
      <c r="L8847" s="198" t="s">
        <v>65</v>
      </c>
      <c r="M8847" s="194"/>
      <c r="N8847" s="194"/>
    </row>
    <row r="8848">
      <c r="A8848" s="193" t="s">
        <v>29883</v>
      </c>
      <c r="B8848" s="7" t="s">
        <v>16838</v>
      </c>
      <c r="C8848" s="7" t="s">
        <v>18219</v>
      </c>
      <c r="D8848" s="194">
        <v>2022.0</v>
      </c>
      <c r="E8848" s="193"/>
      <c r="F8848" s="195" t="s">
        <v>29884</v>
      </c>
      <c r="G8848" s="196">
        <v>0.0</v>
      </c>
      <c r="H8848" s="197">
        <v>5.57</v>
      </c>
      <c r="I8848" s="7" t="s">
        <v>16815</v>
      </c>
      <c r="J8848" s="7" t="s">
        <v>16838</v>
      </c>
      <c r="K8848" s="7" t="s">
        <v>18219</v>
      </c>
      <c r="L8848" s="198" t="s">
        <v>65</v>
      </c>
      <c r="M8848" s="194"/>
      <c r="N8848" s="194"/>
    </row>
    <row r="8849">
      <c r="A8849" s="193" t="s">
        <v>29885</v>
      </c>
      <c r="B8849" s="7" t="s">
        <v>16838</v>
      </c>
      <c r="C8849" s="7" t="s">
        <v>18219</v>
      </c>
      <c r="D8849" s="194">
        <v>2022.0</v>
      </c>
      <c r="E8849" s="193"/>
      <c r="F8849" s="195" t="s">
        <v>29886</v>
      </c>
      <c r="G8849" s="196">
        <v>0.0</v>
      </c>
      <c r="H8849" s="197">
        <v>0.0351</v>
      </c>
      <c r="I8849" s="7" t="s">
        <v>16815</v>
      </c>
      <c r="J8849" s="7" t="s">
        <v>16838</v>
      </c>
      <c r="K8849" s="7" t="s">
        <v>18219</v>
      </c>
      <c r="L8849" s="198" t="s">
        <v>65</v>
      </c>
      <c r="M8849" s="194"/>
      <c r="N8849" s="194"/>
    </row>
    <row r="8850">
      <c r="A8850" s="193" t="s">
        <v>29887</v>
      </c>
      <c r="B8850" s="7" t="s">
        <v>16838</v>
      </c>
      <c r="C8850" s="7" t="s">
        <v>18219</v>
      </c>
      <c r="D8850" s="194">
        <v>2021.0</v>
      </c>
      <c r="E8850" s="193"/>
      <c r="F8850" s="195" t="s">
        <v>29888</v>
      </c>
      <c r="G8850" s="196">
        <v>0.0</v>
      </c>
      <c r="H8850" s="197">
        <v>11.02</v>
      </c>
      <c r="I8850" s="7" t="s">
        <v>16815</v>
      </c>
      <c r="J8850" s="7" t="s">
        <v>16838</v>
      </c>
      <c r="K8850" s="7" t="s">
        <v>18219</v>
      </c>
      <c r="L8850" s="198" t="s">
        <v>65</v>
      </c>
      <c r="M8850" s="194"/>
      <c r="N8850" s="194"/>
    </row>
    <row r="8851">
      <c r="A8851" s="193" t="s">
        <v>29889</v>
      </c>
      <c r="B8851" s="7" t="s">
        <v>16838</v>
      </c>
      <c r="C8851" s="7" t="s">
        <v>18219</v>
      </c>
      <c r="D8851" s="199"/>
      <c r="E8851" s="193"/>
      <c r="F8851" s="195" t="s">
        <v>29890</v>
      </c>
      <c r="G8851" s="196">
        <v>0.0</v>
      </c>
      <c r="H8851" s="197">
        <v>23.76</v>
      </c>
      <c r="I8851" s="7" t="s">
        <v>16815</v>
      </c>
      <c r="J8851" s="7" t="s">
        <v>16838</v>
      </c>
      <c r="K8851" s="7" t="s">
        <v>18219</v>
      </c>
      <c r="L8851" s="198" t="s">
        <v>65</v>
      </c>
      <c r="M8851" s="199"/>
      <c r="N8851" s="199"/>
    </row>
    <row r="8852">
      <c r="A8852" s="193" t="s">
        <v>29891</v>
      </c>
      <c r="B8852" s="7" t="s">
        <v>16838</v>
      </c>
      <c r="C8852" s="7" t="s">
        <v>18219</v>
      </c>
      <c r="D8852" s="194">
        <v>2021.0</v>
      </c>
      <c r="E8852" s="193"/>
      <c r="F8852" s="195" t="s">
        <v>29892</v>
      </c>
      <c r="G8852" s="196">
        <v>0.0</v>
      </c>
      <c r="H8852" s="197">
        <v>11.13</v>
      </c>
      <c r="I8852" s="7" t="s">
        <v>16815</v>
      </c>
      <c r="J8852" s="7" t="s">
        <v>16838</v>
      </c>
      <c r="K8852" s="7" t="s">
        <v>18219</v>
      </c>
      <c r="L8852" s="198" t="s">
        <v>65</v>
      </c>
      <c r="M8852" s="194"/>
      <c r="N8852" s="194"/>
    </row>
    <row r="8853">
      <c r="A8853" s="193" t="s">
        <v>29893</v>
      </c>
      <c r="B8853" s="7" t="s">
        <v>16838</v>
      </c>
      <c r="C8853" s="7" t="s">
        <v>18219</v>
      </c>
      <c r="D8853" s="194">
        <v>2021.0</v>
      </c>
      <c r="E8853" s="193"/>
      <c r="F8853" s="195" t="s">
        <v>29894</v>
      </c>
      <c r="G8853" s="196">
        <v>0.0</v>
      </c>
      <c r="H8853" s="197">
        <v>0.09</v>
      </c>
      <c r="I8853" s="7" t="s">
        <v>16815</v>
      </c>
      <c r="J8853" s="7" t="s">
        <v>16838</v>
      </c>
      <c r="K8853" s="7" t="s">
        <v>18219</v>
      </c>
      <c r="L8853" s="198" t="s">
        <v>65</v>
      </c>
      <c r="M8853" s="194"/>
      <c r="N8853" s="194"/>
    </row>
    <row r="8854">
      <c r="A8854" s="193" t="s">
        <v>29895</v>
      </c>
      <c r="B8854" s="7" t="s">
        <v>16838</v>
      </c>
      <c r="C8854" s="7" t="s">
        <v>18219</v>
      </c>
      <c r="D8854" s="194">
        <v>2022.0</v>
      </c>
      <c r="E8854" s="193"/>
      <c r="F8854" s="195" t="s">
        <v>29896</v>
      </c>
      <c r="G8854" s="196">
        <v>0.0</v>
      </c>
      <c r="H8854" s="197">
        <v>10.7901</v>
      </c>
      <c r="I8854" s="7" t="s">
        <v>16815</v>
      </c>
      <c r="J8854" s="7" t="s">
        <v>16838</v>
      </c>
      <c r="K8854" s="7" t="s">
        <v>18219</v>
      </c>
      <c r="L8854" s="198" t="s">
        <v>65</v>
      </c>
      <c r="M8854" s="194"/>
      <c r="N8854" s="194"/>
    </row>
    <row r="8855">
      <c r="A8855" s="193" t="s">
        <v>29897</v>
      </c>
      <c r="B8855" s="7" t="s">
        <v>16838</v>
      </c>
      <c r="C8855" s="7" t="s">
        <v>18219</v>
      </c>
      <c r="D8855" s="194">
        <v>2021.0</v>
      </c>
      <c r="E8855" s="193"/>
      <c r="F8855" s="195" t="s">
        <v>29898</v>
      </c>
      <c r="G8855" s="196">
        <v>0.0</v>
      </c>
      <c r="H8855" s="197">
        <v>10.4881</v>
      </c>
      <c r="I8855" s="7" t="s">
        <v>16815</v>
      </c>
      <c r="J8855" s="7" t="s">
        <v>16838</v>
      </c>
      <c r="K8855" s="7" t="s">
        <v>18219</v>
      </c>
      <c r="L8855" s="198" t="s">
        <v>65</v>
      </c>
      <c r="M8855" s="194"/>
      <c r="N8855" s="194"/>
    </row>
    <row r="8856">
      <c r="A8856" s="193" t="s">
        <v>29899</v>
      </c>
      <c r="B8856" s="7" t="s">
        <v>16838</v>
      </c>
      <c r="C8856" s="7" t="s">
        <v>18219</v>
      </c>
      <c r="D8856" s="194">
        <v>2021.0</v>
      </c>
      <c r="E8856" s="193"/>
      <c r="F8856" s="195" t="s">
        <v>29900</v>
      </c>
      <c r="G8856" s="196">
        <v>0.0</v>
      </c>
      <c r="H8856" s="197">
        <v>10.51</v>
      </c>
      <c r="I8856" s="7" t="s">
        <v>16815</v>
      </c>
      <c r="J8856" s="7" t="s">
        <v>16838</v>
      </c>
      <c r="K8856" s="7" t="s">
        <v>18219</v>
      </c>
      <c r="L8856" s="198" t="s">
        <v>65</v>
      </c>
      <c r="M8856" s="194"/>
      <c r="N8856" s="194"/>
    </row>
    <row r="8857">
      <c r="A8857" s="193" t="s">
        <v>29901</v>
      </c>
      <c r="B8857" s="7" t="s">
        <v>16838</v>
      </c>
      <c r="C8857" s="7" t="s">
        <v>18219</v>
      </c>
      <c r="D8857" s="194">
        <v>2021.0</v>
      </c>
      <c r="E8857" s="193"/>
      <c r="F8857" s="195" t="s">
        <v>29902</v>
      </c>
      <c r="G8857" s="196">
        <v>0.0</v>
      </c>
      <c r="H8857" s="197">
        <v>0.0197</v>
      </c>
      <c r="I8857" s="7" t="s">
        <v>16815</v>
      </c>
      <c r="J8857" s="7" t="s">
        <v>16838</v>
      </c>
      <c r="K8857" s="7" t="s">
        <v>18219</v>
      </c>
      <c r="L8857" s="198" t="s">
        <v>65</v>
      </c>
      <c r="M8857" s="194"/>
      <c r="N8857" s="194"/>
    </row>
    <row r="8858">
      <c r="A8858" s="193" t="s">
        <v>29903</v>
      </c>
      <c r="B8858" s="7" t="s">
        <v>16838</v>
      </c>
      <c r="C8858" s="7" t="s">
        <v>18219</v>
      </c>
      <c r="D8858" s="194">
        <v>2021.0</v>
      </c>
      <c r="E8858" s="193"/>
      <c r="F8858" s="195" t="s">
        <v>29904</v>
      </c>
      <c r="G8858" s="196">
        <v>0.0</v>
      </c>
      <c r="H8858" s="197">
        <v>10.82</v>
      </c>
      <c r="I8858" s="7" t="s">
        <v>16815</v>
      </c>
      <c r="J8858" s="7" t="s">
        <v>16838</v>
      </c>
      <c r="K8858" s="7" t="s">
        <v>18219</v>
      </c>
      <c r="L8858" s="198" t="s">
        <v>65</v>
      </c>
      <c r="M8858" s="194"/>
      <c r="N8858" s="194"/>
    </row>
    <row r="8859">
      <c r="A8859" s="193" t="s">
        <v>29905</v>
      </c>
      <c r="B8859" s="7" t="s">
        <v>16838</v>
      </c>
      <c r="C8859" s="7" t="s">
        <v>18219</v>
      </c>
      <c r="D8859" s="194">
        <v>2021.0</v>
      </c>
      <c r="E8859" s="193"/>
      <c r="F8859" s="195" t="s">
        <v>29906</v>
      </c>
      <c r="G8859" s="196">
        <v>0.0</v>
      </c>
      <c r="H8859" s="197">
        <v>0.0396</v>
      </c>
      <c r="I8859" s="7" t="s">
        <v>16815</v>
      </c>
      <c r="J8859" s="7" t="s">
        <v>16838</v>
      </c>
      <c r="K8859" s="7" t="s">
        <v>18219</v>
      </c>
      <c r="L8859" s="198" t="s">
        <v>65</v>
      </c>
      <c r="M8859" s="194"/>
      <c r="N8859" s="194"/>
    </row>
    <row r="8860">
      <c r="A8860" s="193" t="s">
        <v>29907</v>
      </c>
      <c r="B8860" s="7" t="s">
        <v>16838</v>
      </c>
      <c r="C8860" s="7" t="s">
        <v>18219</v>
      </c>
      <c r="D8860" s="194">
        <v>2021.0</v>
      </c>
      <c r="E8860" s="193"/>
      <c r="F8860" s="195" t="s">
        <v>29908</v>
      </c>
      <c r="G8860" s="196">
        <v>0.0</v>
      </c>
      <c r="H8860" s="197">
        <v>10.45</v>
      </c>
      <c r="I8860" s="7" t="s">
        <v>16815</v>
      </c>
      <c r="J8860" s="7" t="s">
        <v>16838</v>
      </c>
      <c r="K8860" s="7" t="s">
        <v>18219</v>
      </c>
      <c r="L8860" s="198" t="s">
        <v>65</v>
      </c>
      <c r="M8860" s="194"/>
      <c r="N8860" s="194"/>
    </row>
    <row r="8861">
      <c r="A8861" s="193" t="s">
        <v>29909</v>
      </c>
      <c r="B8861" s="7" t="s">
        <v>16838</v>
      </c>
      <c r="C8861" s="7" t="s">
        <v>18219</v>
      </c>
      <c r="D8861" s="194">
        <v>2021.0</v>
      </c>
      <c r="E8861" s="193"/>
      <c r="F8861" s="195" t="s">
        <v>29910</v>
      </c>
      <c r="G8861" s="196">
        <v>0.0</v>
      </c>
      <c r="H8861" s="197">
        <v>10.47</v>
      </c>
      <c r="I8861" s="7" t="s">
        <v>16815</v>
      </c>
      <c r="J8861" s="7" t="s">
        <v>16838</v>
      </c>
      <c r="K8861" s="7" t="s">
        <v>18219</v>
      </c>
      <c r="L8861" s="198" t="s">
        <v>65</v>
      </c>
      <c r="M8861" s="194"/>
      <c r="N8861" s="194"/>
    </row>
    <row r="8862">
      <c r="A8862" s="193" t="s">
        <v>29911</v>
      </c>
      <c r="B8862" s="7" t="s">
        <v>16838</v>
      </c>
      <c r="C8862" s="7" t="s">
        <v>18219</v>
      </c>
      <c r="D8862" s="194">
        <v>2021.0</v>
      </c>
      <c r="E8862" s="193"/>
      <c r="F8862" s="195" t="s">
        <v>29912</v>
      </c>
      <c r="G8862" s="196">
        <v>0.0</v>
      </c>
      <c r="H8862" s="197">
        <v>0.071</v>
      </c>
      <c r="I8862" s="7" t="s">
        <v>16815</v>
      </c>
      <c r="J8862" s="7" t="s">
        <v>16838</v>
      </c>
      <c r="K8862" s="7" t="s">
        <v>18219</v>
      </c>
      <c r="L8862" s="198" t="s">
        <v>65</v>
      </c>
      <c r="M8862" s="194"/>
      <c r="N8862" s="194"/>
    </row>
    <row r="8863">
      <c r="A8863" s="193" t="s">
        <v>29913</v>
      </c>
      <c r="B8863" s="7" t="s">
        <v>16838</v>
      </c>
      <c r="C8863" s="7" t="s">
        <v>18219</v>
      </c>
      <c r="D8863" s="194">
        <v>2021.0</v>
      </c>
      <c r="E8863" s="193"/>
      <c r="F8863" s="195" t="s">
        <v>29914</v>
      </c>
      <c r="G8863" s="196">
        <v>0.0</v>
      </c>
      <c r="H8863" s="197">
        <v>11.0</v>
      </c>
      <c r="I8863" s="7" t="s">
        <v>16815</v>
      </c>
      <c r="J8863" s="7" t="s">
        <v>16838</v>
      </c>
      <c r="K8863" s="7" t="s">
        <v>18219</v>
      </c>
      <c r="L8863" s="198" t="s">
        <v>65</v>
      </c>
      <c r="M8863" s="194"/>
      <c r="N8863" s="194"/>
    </row>
    <row r="8864">
      <c r="A8864" s="193" t="s">
        <v>29915</v>
      </c>
      <c r="B8864" s="7" t="s">
        <v>16838</v>
      </c>
      <c r="C8864" s="7" t="s">
        <v>18219</v>
      </c>
      <c r="D8864" s="194">
        <v>2021.0</v>
      </c>
      <c r="E8864" s="193"/>
      <c r="F8864" s="195" t="s">
        <v>29916</v>
      </c>
      <c r="G8864" s="196">
        <v>0.0</v>
      </c>
      <c r="H8864" s="197">
        <v>10.96</v>
      </c>
      <c r="I8864" s="7" t="s">
        <v>16815</v>
      </c>
      <c r="J8864" s="7" t="s">
        <v>16838</v>
      </c>
      <c r="K8864" s="7" t="s">
        <v>18219</v>
      </c>
      <c r="L8864" s="198" t="s">
        <v>65</v>
      </c>
      <c r="M8864" s="194"/>
      <c r="N8864" s="194"/>
    </row>
    <row r="8865">
      <c r="A8865" s="193" t="s">
        <v>29917</v>
      </c>
      <c r="B8865" s="7" t="s">
        <v>16838</v>
      </c>
      <c r="C8865" s="7" t="s">
        <v>18219</v>
      </c>
      <c r="D8865" s="194">
        <v>2022.0</v>
      </c>
      <c r="E8865" s="193"/>
      <c r="F8865" s="195" t="s">
        <v>29918</v>
      </c>
      <c r="G8865" s="196">
        <v>0.0</v>
      </c>
      <c r="H8865" s="197">
        <v>11.03</v>
      </c>
      <c r="I8865" s="7" t="s">
        <v>16815</v>
      </c>
      <c r="J8865" s="7" t="s">
        <v>16838</v>
      </c>
      <c r="K8865" s="7" t="s">
        <v>18219</v>
      </c>
      <c r="L8865" s="198" t="s">
        <v>65</v>
      </c>
      <c r="M8865" s="194"/>
      <c r="N8865" s="194"/>
    </row>
    <row r="8866">
      <c r="A8866" s="193" t="s">
        <v>29919</v>
      </c>
      <c r="B8866" s="7" t="s">
        <v>16838</v>
      </c>
      <c r="C8866" s="7" t="s">
        <v>18219</v>
      </c>
      <c r="D8866" s="194">
        <v>2022.0</v>
      </c>
      <c r="E8866" s="193"/>
      <c r="F8866" s="195" t="s">
        <v>29920</v>
      </c>
      <c r="G8866" s="196">
        <v>0.0</v>
      </c>
      <c r="H8866" s="197">
        <v>10.97</v>
      </c>
      <c r="I8866" s="7" t="s">
        <v>16815</v>
      </c>
      <c r="J8866" s="7" t="s">
        <v>16838</v>
      </c>
      <c r="K8866" s="7" t="s">
        <v>18219</v>
      </c>
      <c r="L8866" s="198" t="s">
        <v>65</v>
      </c>
      <c r="M8866" s="194"/>
      <c r="N8866" s="194"/>
    </row>
    <row r="8867">
      <c r="A8867" s="193" t="s">
        <v>29921</v>
      </c>
      <c r="B8867" s="7" t="s">
        <v>16838</v>
      </c>
      <c r="C8867" s="7" t="s">
        <v>18219</v>
      </c>
      <c r="D8867" s="194">
        <v>2022.0</v>
      </c>
      <c r="E8867" s="193"/>
      <c r="F8867" s="195" t="s">
        <v>29922</v>
      </c>
      <c r="G8867" s="196">
        <v>0.0</v>
      </c>
      <c r="H8867" s="197">
        <v>0.0391</v>
      </c>
      <c r="I8867" s="7" t="s">
        <v>16815</v>
      </c>
      <c r="J8867" s="7" t="s">
        <v>16838</v>
      </c>
      <c r="K8867" s="7" t="s">
        <v>18219</v>
      </c>
      <c r="L8867" s="198" t="s">
        <v>65</v>
      </c>
      <c r="M8867" s="194"/>
      <c r="N8867" s="194"/>
    </row>
    <row r="8868">
      <c r="A8868" s="193" t="s">
        <v>29923</v>
      </c>
      <c r="B8868" s="7" t="s">
        <v>16838</v>
      </c>
      <c r="C8868" s="7" t="s">
        <v>18219</v>
      </c>
      <c r="D8868" s="194">
        <v>2021.0</v>
      </c>
      <c r="E8868" s="193"/>
      <c r="F8868" s="195" t="s">
        <v>29924</v>
      </c>
      <c r="G8868" s="196">
        <v>0.0</v>
      </c>
      <c r="H8868" s="197">
        <v>10.8</v>
      </c>
      <c r="I8868" s="7" t="s">
        <v>16815</v>
      </c>
      <c r="J8868" s="7" t="s">
        <v>16838</v>
      </c>
      <c r="K8868" s="7" t="s">
        <v>18219</v>
      </c>
      <c r="L8868" s="198" t="s">
        <v>65</v>
      </c>
      <c r="M8868" s="194"/>
      <c r="N8868" s="194"/>
    </row>
    <row r="8869">
      <c r="A8869" s="193" t="s">
        <v>29925</v>
      </c>
      <c r="B8869" s="7" t="s">
        <v>16838</v>
      </c>
      <c r="C8869" s="7" t="s">
        <v>18219</v>
      </c>
      <c r="D8869" s="194">
        <v>2021.0</v>
      </c>
      <c r="E8869" s="193"/>
      <c r="F8869" s="195" t="s">
        <v>29926</v>
      </c>
      <c r="G8869" s="196">
        <v>0.0</v>
      </c>
      <c r="H8869" s="197">
        <v>10.7</v>
      </c>
      <c r="I8869" s="7" t="s">
        <v>16815</v>
      </c>
      <c r="J8869" s="7" t="s">
        <v>16838</v>
      </c>
      <c r="K8869" s="7" t="s">
        <v>18219</v>
      </c>
      <c r="L8869" s="198" t="s">
        <v>65</v>
      </c>
      <c r="M8869" s="194"/>
      <c r="N8869" s="194"/>
    </row>
    <row r="8870">
      <c r="A8870" s="193" t="s">
        <v>29927</v>
      </c>
      <c r="B8870" s="7" t="s">
        <v>16838</v>
      </c>
      <c r="C8870" s="7" t="s">
        <v>18219</v>
      </c>
      <c r="D8870" s="194">
        <v>2021.0</v>
      </c>
      <c r="E8870" s="193"/>
      <c r="F8870" s="195" t="s">
        <v>29928</v>
      </c>
      <c r="G8870" s="196">
        <v>0.0</v>
      </c>
      <c r="H8870" s="197">
        <v>0.056</v>
      </c>
      <c r="I8870" s="7" t="s">
        <v>16815</v>
      </c>
      <c r="J8870" s="7" t="s">
        <v>16838</v>
      </c>
      <c r="K8870" s="7" t="s">
        <v>18219</v>
      </c>
      <c r="L8870" s="198" t="s">
        <v>65</v>
      </c>
      <c r="M8870" s="194"/>
      <c r="N8870" s="194"/>
    </row>
    <row r="8871">
      <c r="A8871" s="193" t="s">
        <v>29929</v>
      </c>
      <c r="B8871" s="7" t="s">
        <v>16838</v>
      </c>
      <c r="C8871" s="7" t="s">
        <v>18219</v>
      </c>
      <c r="D8871" s="194">
        <v>2023.0</v>
      </c>
      <c r="E8871" s="193"/>
      <c r="F8871" s="195" t="s">
        <v>29930</v>
      </c>
      <c r="G8871" s="196">
        <v>0.0</v>
      </c>
      <c r="H8871" s="197">
        <v>10.625</v>
      </c>
      <c r="I8871" s="7" t="s">
        <v>16815</v>
      </c>
      <c r="J8871" s="7" t="s">
        <v>16838</v>
      </c>
      <c r="K8871" s="7" t="s">
        <v>18219</v>
      </c>
      <c r="L8871" s="198" t="s">
        <v>65</v>
      </c>
      <c r="M8871" s="194"/>
      <c r="N8871" s="194"/>
    </row>
    <row r="8872">
      <c r="A8872" s="193" t="s">
        <v>29931</v>
      </c>
      <c r="B8872" s="7" t="s">
        <v>16838</v>
      </c>
      <c r="C8872" s="7" t="s">
        <v>18219</v>
      </c>
      <c r="D8872" s="194">
        <v>2022.0</v>
      </c>
      <c r="E8872" s="193"/>
      <c r="F8872" s="195" t="s">
        <v>29932</v>
      </c>
      <c r="G8872" s="196">
        <v>0.0</v>
      </c>
      <c r="H8872" s="197">
        <v>10.8</v>
      </c>
      <c r="I8872" s="7" t="s">
        <v>16815</v>
      </c>
      <c r="J8872" s="7" t="s">
        <v>16838</v>
      </c>
      <c r="K8872" s="7" t="s">
        <v>18219</v>
      </c>
      <c r="L8872" s="198" t="s">
        <v>65</v>
      </c>
      <c r="M8872" s="194"/>
      <c r="N8872" s="194"/>
    </row>
    <row r="8873">
      <c r="A8873" s="193" t="s">
        <v>29933</v>
      </c>
      <c r="B8873" s="7" t="s">
        <v>16838</v>
      </c>
      <c r="C8873" s="7" t="s">
        <v>18219</v>
      </c>
      <c r="D8873" s="194">
        <v>2023.0</v>
      </c>
      <c r="E8873" s="193"/>
      <c r="F8873" s="195" t="s">
        <v>29934</v>
      </c>
      <c r="G8873" s="196">
        <v>0.0</v>
      </c>
      <c r="H8873" s="197">
        <v>0.054</v>
      </c>
      <c r="I8873" s="7" t="s">
        <v>16815</v>
      </c>
      <c r="J8873" s="7" t="s">
        <v>16838</v>
      </c>
      <c r="K8873" s="7" t="s">
        <v>18219</v>
      </c>
      <c r="L8873" s="198" t="s">
        <v>65</v>
      </c>
      <c r="M8873" s="194"/>
      <c r="N8873" s="194"/>
    </row>
    <row r="8874">
      <c r="A8874" s="193" t="s">
        <v>29935</v>
      </c>
      <c r="B8874" s="7" t="s">
        <v>16838</v>
      </c>
      <c r="C8874" s="7" t="s">
        <v>18219</v>
      </c>
      <c r="D8874" s="194">
        <v>2021.0</v>
      </c>
      <c r="E8874" s="193"/>
      <c r="F8874" s="195" t="s">
        <v>29936</v>
      </c>
      <c r="G8874" s="196">
        <v>0.0</v>
      </c>
      <c r="H8874" s="197">
        <v>10.84</v>
      </c>
      <c r="I8874" s="7" t="s">
        <v>16815</v>
      </c>
      <c r="J8874" s="7" t="s">
        <v>16838</v>
      </c>
      <c r="K8874" s="7" t="s">
        <v>18219</v>
      </c>
      <c r="L8874" s="198" t="s">
        <v>65</v>
      </c>
      <c r="M8874" s="194"/>
      <c r="N8874" s="194"/>
    </row>
    <row r="8875">
      <c r="A8875" s="193" t="s">
        <v>29937</v>
      </c>
      <c r="B8875" s="7" t="s">
        <v>16838</v>
      </c>
      <c r="C8875" s="7" t="s">
        <v>18219</v>
      </c>
      <c r="D8875" s="194">
        <v>2022.0</v>
      </c>
      <c r="E8875" s="193"/>
      <c r="F8875" s="195" t="s">
        <v>29938</v>
      </c>
      <c r="G8875" s="196">
        <v>0.0</v>
      </c>
      <c r="H8875" s="197">
        <v>10.64</v>
      </c>
      <c r="I8875" s="7" t="s">
        <v>16815</v>
      </c>
      <c r="J8875" s="7" t="s">
        <v>16838</v>
      </c>
      <c r="K8875" s="7" t="s">
        <v>18219</v>
      </c>
      <c r="L8875" s="198" t="s">
        <v>65</v>
      </c>
      <c r="M8875" s="194"/>
      <c r="N8875" s="194"/>
    </row>
    <row r="8876">
      <c r="A8876" s="193" t="s">
        <v>29939</v>
      </c>
      <c r="B8876" s="7" t="s">
        <v>16838</v>
      </c>
      <c r="C8876" s="7" t="s">
        <v>18219</v>
      </c>
      <c r="D8876" s="194">
        <v>2021.0</v>
      </c>
      <c r="E8876" s="193"/>
      <c r="F8876" s="195" t="s">
        <v>29940</v>
      </c>
      <c r="G8876" s="196">
        <v>0.0</v>
      </c>
      <c r="H8876" s="197">
        <v>10.97</v>
      </c>
      <c r="I8876" s="7" t="s">
        <v>16815</v>
      </c>
      <c r="J8876" s="7" t="s">
        <v>16838</v>
      </c>
      <c r="K8876" s="7" t="s">
        <v>18219</v>
      </c>
      <c r="L8876" s="198" t="s">
        <v>65</v>
      </c>
      <c r="M8876" s="194"/>
      <c r="N8876" s="194"/>
    </row>
    <row r="8877">
      <c r="A8877" s="193" t="s">
        <v>29941</v>
      </c>
      <c r="B8877" s="7" t="s">
        <v>16838</v>
      </c>
      <c r="C8877" s="7" t="s">
        <v>18219</v>
      </c>
      <c r="D8877" s="194">
        <v>2021.0</v>
      </c>
      <c r="E8877" s="193"/>
      <c r="F8877" s="195" t="s">
        <v>29942</v>
      </c>
      <c r="G8877" s="196">
        <v>0.0</v>
      </c>
      <c r="H8877" s="197">
        <v>10.81</v>
      </c>
      <c r="I8877" s="7" t="s">
        <v>16815</v>
      </c>
      <c r="J8877" s="7" t="s">
        <v>16838</v>
      </c>
      <c r="K8877" s="7" t="s">
        <v>18219</v>
      </c>
      <c r="L8877" s="198" t="s">
        <v>65</v>
      </c>
      <c r="M8877" s="194"/>
      <c r="N8877" s="194"/>
    </row>
    <row r="8878">
      <c r="A8878" s="193" t="s">
        <v>29943</v>
      </c>
      <c r="B8878" s="7" t="s">
        <v>16838</v>
      </c>
      <c r="C8878" s="7" t="s">
        <v>18219</v>
      </c>
      <c r="D8878" s="194">
        <v>2021.0</v>
      </c>
      <c r="E8878" s="193"/>
      <c r="F8878" s="195" t="s">
        <v>29944</v>
      </c>
      <c r="G8878" s="196">
        <v>0.0</v>
      </c>
      <c r="H8878" s="197">
        <v>0.02</v>
      </c>
      <c r="I8878" s="7" t="s">
        <v>16815</v>
      </c>
      <c r="J8878" s="7" t="s">
        <v>16838</v>
      </c>
      <c r="K8878" s="7" t="s">
        <v>18219</v>
      </c>
      <c r="L8878" s="198" t="s">
        <v>65</v>
      </c>
      <c r="M8878" s="194"/>
      <c r="N8878" s="194"/>
    </row>
    <row r="8879">
      <c r="A8879" s="193" t="s">
        <v>29945</v>
      </c>
      <c r="B8879" s="7" t="s">
        <v>16838</v>
      </c>
      <c r="C8879" s="7" t="s">
        <v>18219</v>
      </c>
      <c r="D8879" s="194">
        <v>2022.0</v>
      </c>
      <c r="E8879" s="193"/>
      <c r="F8879" s="195" t="s">
        <v>29946</v>
      </c>
      <c r="G8879" s="196">
        <v>0.0</v>
      </c>
      <c r="H8879" s="197">
        <v>10.7707</v>
      </c>
      <c r="I8879" s="7" t="s">
        <v>16815</v>
      </c>
      <c r="J8879" s="7" t="s">
        <v>16838</v>
      </c>
      <c r="K8879" s="7" t="s">
        <v>18219</v>
      </c>
      <c r="L8879" s="198" t="s">
        <v>65</v>
      </c>
      <c r="M8879" s="194"/>
      <c r="N8879" s="194"/>
    </row>
    <row r="8880">
      <c r="A8880" s="193" t="s">
        <v>29947</v>
      </c>
      <c r="B8880" s="7" t="s">
        <v>16838</v>
      </c>
      <c r="C8880" s="7" t="s">
        <v>18219</v>
      </c>
      <c r="D8880" s="194">
        <v>2021.0</v>
      </c>
      <c r="E8880" s="193"/>
      <c r="F8880" s="195" t="s">
        <v>29948</v>
      </c>
      <c r="G8880" s="196">
        <v>0.0</v>
      </c>
      <c r="H8880" s="197">
        <v>10.5</v>
      </c>
      <c r="I8880" s="7" t="s">
        <v>16815</v>
      </c>
      <c r="J8880" s="7" t="s">
        <v>16838</v>
      </c>
      <c r="K8880" s="7" t="s">
        <v>18219</v>
      </c>
      <c r="L8880" s="198" t="s">
        <v>65</v>
      </c>
      <c r="M8880" s="194"/>
      <c r="N8880" s="194"/>
    </row>
    <row r="8881">
      <c r="A8881" s="193" t="s">
        <v>29949</v>
      </c>
      <c r="B8881" s="7" t="s">
        <v>16838</v>
      </c>
      <c r="C8881" s="7" t="s">
        <v>18219</v>
      </c>
      <c r="D8881" s="194">
        <v>2022.0</v>
      </c>
      <c r="E8881" s="193"/>
      <c r="F8881" s="195" t="s">
        <v>29950</v>
      </c>
      <c r="G8881" s="196">
        <v>0.0</v>
      </c>
      <c r="H8881" s="197">
        <v>0.0199</v>
      </c>
      <c r="I8881" s="7" t="s">
        <v>16815</v>
      </c>
      <c r="J8881" s="7" t="s">
        <v>16838</v>
      </c>
      <c r="K8881" s="7" t="s">
        <v>18219</v>
      </c>
      <c r="L8881" s="198" t="s">
        <v>65</v>
      </c>
      <c r="M8881" s="194"/>
      <c r="N8881" s="194"/>
    </row>
    <row r="8882">
      <c r="A8882" s="193" t="s">
        <v>29951</v>
      </c>
      <c r="B8882" s="7" t="s">
        <v>16838</v>
      </c>
      <c r="C8882" s="7" t="s">
        <v>18219</v>
      </c>
      <c r="D8882" s="194">
        <v>2021.0</v>
      </c>
      <c r="E8882" s="193"/>
      <c r="F8882" s="195" t="s">
        <v>29952</v>
      </c>
      <c r="G8882" s="196">
        <v>0.0</v>
      </c>
      <c r="H8882" s="197">
        <v>10.81</v>
      </c>
      <c r="I8882" s="7" t="s">
        <v>16815</v>
      </c>
      <c r="J8882" s="7" t="s">
        <v>16838</v>
      </c>
      <c r="K8882" s="7" t="s">
        <v>18219</v>
      </c>
      <c r="L8882" s="198" t="s">
        <v>65</v>
      </c>
      <c r="M8882" s="194"/>
      <c r="N8882" s="194"/>
    </row>
    <row r="8883">
      <c r="A8883" s="193" t="s">
        <v>29953</v>
      </c>
      <c r="B8883" s="7" t="s">
        <v>16838</v>
      </c>
      <c r="C8883" s="7" t="s">
        <v>18219</v>
      </c>
      <c r="D8883" s="194">
        <v>2021.0</v>
      </c>
      <c r="E8883" s="193"/>
      <c r="F8883" s="195" t="s">
        <v>29954</v>
      </c>
      <c r="G8883" s="196">
        <v>0.0</v>
      </c>
      <c r="H8883" s="197">
        <v>10.8001</v>
      </c>
      <c r="I8883" s="7" t="s">
        <v>16815</v>
      </c>
      <c r="J8883" s="7" t="s">
        <v>16838</v>
      </c>
      <c r="K8883" s="7" t="s">
        <v>18219</v>
      </c>
      <c r="L8883" s="198" t="s">
        <v>65</v>
      </c>
      <c r="M8883" s="194"/>
      <c r="N8883" s="194"/>
    </row>
    <row r="8884">
      <c r="A8884" s="193" t="s">
        <v>29955</v>
      </c>
      <c r="B8884" s="7" t="s">
        <v>16838</v>
      </c>
      <c r="C8884" s="7" t="s">
        <v>18219</v>
      </c>
      <c r="D8884" s="194">
        <v>2021.0</v>
      </c>
      <c r="E8884" s="193"/>
      <c r="F8884" s="195" t="s">
        <v>29956</v>
      </c>
      <c r="G8884" s="196">
        <v>0.0</v>
      </c>
      <c r="H8884" s="197">
        <v>0.0501</v>
      </c>
      <c r="I8884" s="7" t="s">
        <v>16815</v>
      </c>
      <c r="J8884" s="7" t="s">
        <v>16838</v>
      </c>
      <c r="K8884" s="7" t="s">
        <v>18219</v>
      </c>
      <c r="L8884" s="198" t="s">
        <v>65</v>
      </c>
      <c r="M8884" s="194"/>
      <c r="N8884" s="194"/>
    </row>
    <row r="8885">
      <c r="A8885" s="193" t="s">
        <v>29957</v>
      </c>
      <c r="B8885" s="7" t="s">
        <v>16838</v>
      </c>
      <c r="C8885" s="7" t="s">
        <v>18219</v>
      </c>
      <c r="D8885" s="194">
        <v>2023.0</v>
      </c>
      <c r="E8885" s="193"/>
      <c r="F8885" s="195" t="s">
        <v>29958</v>
      </c>
      <c r="G8885" s="196">
        <v>0.0</v>
      </c>
      <c r="H8885" s="197">
        <v>10.61</v>
      </c>
      <c r="I8885" s="7" t="s">
        <v>16815</v>
      </c>
      <c r="J8885" s="7" t="s">
        <v>16838</v>
      </c>
      <c r="K8885" s="7" t="s">
        <v>18219</v>
      </c>
      <c r="L8885" s="198" t="s">
        <v>65</v>
      </c>
      <c r="M8885" s="194"/>
      <c r="N8885" s="194"/>
    </row>
    <row r="8886">
      <c r="A8886" s="193" t="s">
        <v>29959</v>
      </c>
      <c r="B8886" s="7" t="s">
        <v>16838</v>
      </c>
      <c r="C8886" s="7" t="s">
        <v>18219</v>
      </c>
      <c r="D8886" s="194">
        <v>2023.0</v>
      </c>
      <c r="E8886" s="193"/>
      <c r="F8886" s="195" t="s">
        <v>29960</v>
      </c>
      <c r="G8886" s="196">
        <v>0.0</v>
      </c>
      <c r="H8886" s="197">
        <v>10.62</v>
      </c>
      <c r="I8886" s="7" t="s">
        <v>16815</v>
      </c>
      <c r="J8886" s="7" t="s">
        <v>16838</v>
      </c>
      <c r="K8886" s="7" t="s">
        <v>18219</v>
      </c>
      <c r="L8886" s="198" t="s">
        <v>65</v>
      </c>
      <c r="M8886" s="194"/>
      <c r="N8886" s="194"/>
    </row>
    <row r="8887">
      <c r="A8887" s="193" t="s">
        <v>29961</v>
      </c>
      <c r="B8887" s="7" t="s">
        <v>16838</v>
      </c>
      <c r="C8887" s="7" t="s">
        <v>18219</v>
      </c>
      <c r="D8887" s="194">
        <v>2023.0</v>
      </c>
      <c r="E8887" s="193"/>
      <c r="F8887" s="195" t="s">
        <v>29962</v>
      </c>
      <c r="G8887" s="196">
        <v>0.0</v>
      </c>
      <c r="H8887" s="197">
        <v>0.03</v>
      </c>
      <c r="I8887" s="7" t="s">
        <v>16815</v>
      </c>
      <c r="J8887" s="7" t="s">
        <v>16838</v>
      </c>
      <c r="K8887" s="7" t="s">
        <v>18219</v>
      </c>
      <c r="L8887" s="198" t="s">
        <v>65</v>
      </c>
      <c r="M8887" s="194"/>
      <c r="N8887" s="194"/>
    </row>
    <row r="8888">
      <c r="A8888" s="193" t="s">
        <v>29963</v>
      </c>
      <c r="B8888" s="7" t="s">
        <v>16838</v>
      </c>
      <c r="C8888" s="7" t="s">
        <v>18219</v>
      </c>
      <c r="D8888" s="194">
        <v>2022.0</v>
      </c>
      <c r="E8888" s="193"/>
      <c r="F8888" s="195" t="s">
        <v>29964</v>
      </c>
      <c r="G8888" s="196">
        <v>0.0</v>
      </c>
      <c r="H8888" s="197">
        <v>10.63</v>
      </c>
      <c r="I8888" s="7" t="s">
        <v>16815</v>
      </c>
      <c r="J8888" s="7" t="s">
        <v>16838</v>
      </c>
      <c r="K8888" s="7" t="s">
        <v>18219</v>
      </c>
      <c r="L8888" s="198" t="s">
        <v>65</v>
      </c>
      <c r="M8888" s="194"/>
      <c r="N8888" s="194"/>
    </row>
    <row r="8889">
      <c r="A8889" s="193" t="s">
        <v>29965</v>
      </c>
      <c r="B8889" s="7" t="s">
        <v>16838</v>
      </c>
      <c r="C8889" s="7" t="s">
        <v>18219</v>
      </c>
      <c r="D8889" s="194">
        <v>2021.0</v>
      </c>
      <c r="E8889" s="193"/>
      <c r="F8889" s="195" t="s">
        <v>29966</v>
      </c>
      <c r="G8889" s="196">
        <v>0.0</v>
      </c>
      <c r="H8889" s="197">
        <v>10.9</v>
      </c>
      <c r="I8889" s="7" t="s">
        <v>16815</v>
      </c>
      <c r="J8889" s="7" t="s">
        <v>16838</v>
      </c>
      <c r="K8889" s="7" t="s">
        <v>18219</v>
      </c>
      <c r="L8889" s="198" t="s">
        <v>65</v>
      </c>
      <c r="M8889" s="194"/>
      <c r="N8889" s="194"/>
    </row>
    <row r="8890">
      <c r="A8890" s="193" t="s">
        <v>29967</v>
      </c>
      <c r="B8890" s="7" t="s">
        <v>16838</v>
      </c>
      <c r="C8890" s="7" t="s">
        <v>18219</v>
      </c>
      <c r="D8890" s="194">
        <v>2021.0</v>
      </c>
      <c r="E8890" s="193"/>
      <c r="F8890" s="195" t="s">
        <v>29968</v>
      </c>
      <c r="G8890" s="196">
        <v>0.0</v>
      </c>
      <c r="H8890" s="197">
        <v>0.0111</v>
      </c>
      <c r="I8890" s="7" t="s">
        <v>16815</v>
      </c>
      <c r="J8890" s="7" t="s">
        <v>16838</v>
      </c>
      <c r="K8890" s="7" t="s">
        <v>18219</v>
      </c>
      <c r="L8890" s="198" t="s">
        <v>65</v>
      </c>
      <c r="M8890" s="194"/>
      <c r="N8890" s="194"/>
    </row>
    <row r="8891">
      <c r="A8891" s="193" t="s">
        <v>29969</v>
      </c>
      <c r="B8891" s="7" t="s">
        <v>16838</v>
      </c>
      <c r="C8891" s="7" t="s">
        <v>18219</v>
      </c>
      <c r="D8891" s="194">
        <v>2022.0</v>
      </c>
      <c r="E8891" s="193"/>
      <c r="F8891" s="195" t="s">
        <v>29970</v>
      </c>
      <c r="G8891" s="196">
        <v>0.0</v>
      </c>
      <c r="H8891" s="197">
        <v>10.86</v>
      </c>
      <c r="I8891" s="7" t="s">
        <v>16815</v>
      </c>
      <c r="J8891" s="7" t="s">
        <v>16838</v>
      </c>
      <c r="K8891" s="7" t="s">
        <v>18219</v>
      </c>
      <c r="L8891" s="198" t="s">
        <v>65</v>
      </c>
      <c r="M8891" s="194"/>
      <c r="N8891" s="194"/>
    </row>
    <row r="8892">
      <c r="A8892" s="193" t="s">
        <v>29971</v>
      </c>
      <c r="B8892" s="7" t="s">
        <v>16838</v>
      </c>
      <c r="C8892" s="7" t="s">
        <v>18219</v>
      </c>
      <c r="D8892" s="194">
        <v>2022.0</v>
      </c>
      <c r="E8892" s="193"/>
      <c r="F8892" s="195" t="s">
        <v>29972</v>
      </c>
      <c r="G8892" s="196">
        <v>0.0</v>
      </c>
      <c r="H8892" s="197">
        <v>10.91</v>
      </c>
      <c r="I8892" s="7" t="s">
        <v>16815</v>
      </c>
      <c r="J8892" s="7" t="s">
        <v>16838</v>
      </c>
      <c r="K8892" s="7" t="s">
        <v>18219</v>
      </c>
      <c r="L8892" s="198" t="s">
        <v>65</v>
      </c>
      <c r="M8892" s="194"/>
      <c r="N8892" s="194"/>
    </row>
    <row r="8893">
      <c r="A8893" s="193" t="s">
        <v>29973</v>
      </c>
      <c r="B8893" s="7" t="s">
        <v>16838</v>
      </c>
      <c r="C8893" s="7" t="s">
        <v>18219</v>
      </c>
      <c r="D8893" s="194">
        <v>2022.0</v>
      </c>
      <c r="E8893" s="193"/>
      <c r="F8893" s="195" t="s">
        <v>29974</v>
      </c>
      <c r="G8893" s="196">
        <v>0.0</v>
      </c>
      <c r="H8893" s="197">
        <v>0.0252</v>
      </c>
      <c r="I8893" s="7" t="s">
        <v>16815</v>
      </c>
      <c r="J8893" s="7" t="s">
        <v>16838</v>
      </c>
      <c r="K8893" s="7" t="s">
        <v>18219</v>
      </c>
      <c r="L8893" s="198" t="s">
        <v>65</v>
      </c>
      <c r="M8893" s="194"/>
      <c r="N8893" s="194"/>
    </row>
    <row r="8894">
      <c r="A8894" s="193" t="s">
        <v>29975</v>
      </c>
      <c r="B8894" s="7" t="s">
        <v>16838</v>
      </c>
      <c r="C8894" s="7" t="s">
        <v>18219</v>
      </c>
      <c r="D8894" s="194">
        <v>2021.0</v>
      </c>
      <c r="E8894" s="193"/>
      <c r="F8894" s="195" t="s">
        <v>29976</v>
      </c>
      <c r="G8894" s="196">
        <v>0.0</v>
      </c>
      <c r="H8894" s="197">
        <v>10.73</v>
      </c>
      <c r="I8894" s="7" t="s">
        <v>16815</v>
      </c>
      <c r="J8894" s="7" t="s">
        <v>16838</v>
      </c>
      <c r="K8894" s="7" t="s">
        <v>18219</v>
      </c>
      <c r="L8894" s="198" t="s">
        <v>65</v>
      </c>
      <c r="M8894" s="194"/>
      <c r="N8894" s="194"/>
    </row>
    <row r="8895">
      <c r="A8895" s="193" t="s">
        <v>29977</v>
      </c>
      <c r="B8895" s="7" t="s">
        <v>16838</v>
      </c>
      <c r="C8895" s="7" t="s">
        <v>18219</v>
      </c>
      <c r="D8895" s="194">
        <v>2021.0</v>
      </c>
      <c r="E8895" s="193"/>
      <c r="F8895" s="195" t="s">
        <v>29978</v>
      </c>
      <c r="G8895" s="196">
        <v>0.0</v>
      </c>
      <c r="H8895" s="197">
        <v>0.05</v>
      </c>
      <c r="I8895" s="7" t="s">
        <v>16815</v>
      </c>
      <c r="J8895" s="7" t="s">
        <v>16838</v>
      </c>
      <c r="K8895" s="7" t="s">
        <v>18219</v>
      </c>
      <c r="L8895" s="198" t="s">
        <v>65</v>
      </c>
      <c r="M8895" s="194"/>
      <c r="N8895" s="194"/>
    </row>
    <row r="8896">
      <c r="A8896" s="193" t="s">
        <v>29979</v>
      </c>
      <c r="B8896" s="7" t="s">
        <v>16838</v>
      </c>
      <c r="C8896" s="7" t="s">
        <v>18219</v>
      </c>
      <c r="D8896" s="194">
        <v>2021.0</v>
      </c>
      <c r="E8896" s="193"/>
      <c r="F8896" s="195" t="s">
        <v>29980</v>
      </c>
      <c r="G8896" s="196">
        <v>0.0</v>
      </c>
      <c r="H8896" s="197">
        <v>8.5</v>
      </c>
      <c r="I8896" s="7" t="s">
        <v>16815</v>
      </c>
      <c r="J8896" s="7" t="s">
        <v>16838</v>
      </c>
      <c r="K8896" s="7" t="s">
        <v>18219</v>
      </c>
      <c r="L8896" s="198" t="s">
        <v>65</v>
      </c>
      <c r="M8896" s="194"/>
      <c r="N8896" s="194"/>
    </row>
    <row r="8897">
      <c r="A8897" s="193" t="s">
        <v>29981</v>
      </c>
      <c r="B8897" s="7" t="s">
        <v>16838</v>
      </c>
      <c r="C8897" s="7" t="s">
        <v>18219</v>
      </c>
      <c r="D8897" s="194">
        <v>2022.0</v>
      </c>
      <c r="E8897" s="193"/>
      <c r="F8897" s="195" t="s">
        <v>29982</v>
      </c>
      <c r="G8897" s="196">
        <v>0.0</v>
      </c>
      <c r="H8897" s="197">
        <v>10.69</v>
      </c>
      <c r="I8897" s="7" t="s">
        <v>16815</v>
      </c>
      <c r="J8897" s="7" t="s">
        <v>16838</v>
      </c>
      <c r="K8897" s="7" t="s">
        <v>18219</v>
      </c>
      <c r="L8897" s="198" t="s">
        <v>65</v>
      </c>
      <c r="M8897" s="194"/>
      <c r="N8897" s="194"/>
    </row>
    <row r="8898">
      <c r="A8898" s="193" t="s">
        <v>29983</v>
      </c>
      <c r="B8898" s="7" t="s">
        <v>16838</v>
      </c>
      <c r="C8898" s="7" t="s">
        <v>18219</v>
      </c>
      <c r="D8898" s="194">
        <v>2022.0</v>
      </c>
      <c r="E8898" s="193"/>
      <c r="F8898" s="195" t="s">
        <v>29984</v>
      </c>
      <c r="G8898" s="196">
        <v>0.0</v>
      </c>
      <c r="H8898" s="197">
        <v>0.0421</v>
      </c>
      <c r="I8898" s="7" t="s">
        <v>16815</v>
      </c>
      <c r="J8898" s="7" t="s">
        <v>16838</v>
      </c>
      <c r="K8898" s="7" t="s">
        <v>18219</v>
      </c>
      <c r="L8898" s="198" t="s">
        <v>65</v>
      </c>
      <c r="M8898" s="194"/>
      <c r="N8898" s="194"/>
    </row>
    <row r="8899">
      <c r="A8899" s="193" t="s">
        <v>29985</v>
      </c>
      <c r="B8899" s="7" t="s">
        <v>16838</v>
      </c>
      <c r="C8899" s="7" t="s">
        <v>18219</v>
      </c>
      <c r="D8899" s="194">
        <v>2021.0</v>
      </c>
      <c r="E8899" s="193"/>
      <c r="F8899" s="195" t="s">
        <v>29986</v>
      </c>
      <c r="G8899" s="196">
        <v>0.0</v>
      </c>
      <c r="H8899" s="197">
        <v>10.91</v>
      </c>
      <c r="I8899" s="7" t="s">
        <v>16815</v>
      </c>
      <c r="J8899" s="7" t="s">
        <v>16838</v>
      </c>
      <c r="K8899" s="7" t="s">
        <v>18219</v>
      </c>
      <c r="L8899" s="198" t="s">
        <v>65</v>
      </c>
      <c r="M8899" s="194"/>
      <c r="N8899" s="194"/>
    </row>
    <row r="8900">
      <c r="A8900" s="193" t="s">
        <v>29987</v>
      </c>
      <c r="B8900" s="7" t="s">
        <v>16838</v>
      </c>
      <c r="C8900" s="7" t="s">
        <v>18219</v>
      </c>
      <c r="D8900" s="194">
        <v>2022.0</v>
      </c>
      <c r="E8900" s="193"/>
      <c r="F8900" s="195" t="s">
        <v>29988</v>
      </c>
      <c r="G8900" s="196">
        <v>0.0</v>
      </c>
      <c r="H8900" s="197">
        <v>10.88</v>
      </c>
      <c r="I8900" s="7" t="s">
        <v>16815</v>
      </c>
      <c r="J8900" s="7" t="s">
        <v>16838</v>
      </c>
      <c r="K8900" s="7" t="s">
        <v>18219</v>
      </c>
      <c r="L8900" s="198" t="s">
        <v>65</v>
      </c>
      <c r="M8900" s="194"/>
      <c r="N8900" s="194"/>
    </row>
    <row r="8901">
      <c r="A8901" s="193" t="s">
        <v>29989</v>
      </c>
      <c r="B8901" s="7" t="s">
        <v>16838</v>
      </c>
      <c r="C8901" s="7" t="s">
        <v>18219</v>
      </c>
      <c r="D8901" s="194">
        <v>2022.0</v>
      </c>
      <c r="E8901" s="193"/>
      <c r="F8901" s="195" t="s">
        <v>29990</v>
      </c>
      <c r="G8901" s="196">
        <v>0.0</v>
      </c>
      <c r="H8901" s="197">
        <v>10.85</v>
      </c>
      <c r="I8901" s="7" t="s">
        <v>16815</v>
      </c>
      <c r="J8901" s="7" t="s">
        <v>16838</v>
      </c>
      <c r="K8901" s="7" t="s">
        <v>18219</v>
      </c>
      <c r="L8901" s="198" t="s">
        <v>65</v>
      </c>
      <c r="M8901" s="194"/>
      <c r="N8901" s="194"/>
    </row>
    <row r="8902">
      <c r="A8902" s="193" t="s">
        <v>29991</v>
      </c>
      <c r="B8902" s="7" t="s">
        <v>16838</v>
      </c>
      <c r="C8902" s="7" t="s">
        <v>18219</v>
      </c>
      <c r="D8902" s="194">
        <v>2022.0</v>
      </c>
      <c r="E8902" s="193"/>
      <c r="F8902" s="195" t="s">
        <v>29992</v>
      </c>
      <c r="G8902" s="196">
        <v>0.0</v>
      </c>
      <c r="H8902" s="197">
        <v>0.1</v>
      </c>
      <c r="I8902" s="7" t="s">
        <v>16815</v>
      </c>
      <c r="J8902" s="7" t="s">
        <v>16838</v>
      </c>
      <c r="K8902" s="7" t="s">
        <v>18219</v>
      </c>
      <c r="L8902" s="198" t="s">
        <v>65</v>
      </c>
      <c r="M8902" s="194"/>
      <c r="N8902" s="194"/>
    </row>
    <row r="8903">
      <c r="A8903" s="193" t="s">
        <v>29993</v>
      </c>
      <c r="B8903" s="7" t="s">
        <v>16838</v>
      </c>
      <c r="C8903" s="7" t="s">
        <v>18219</v>
      </c>
      <c r="D8903" s="194">
        <v>2022.0</v>
      </c>
      <c r="E8903" s="193"/>
      <c r="F8903" s="195" t="s">
        <v>29994</v>
      </c>
      <c r="G8903" s="196">
        <v>0.0</v>
      </c>
      <c r="H8903" s="197">
        <v>10.66</v>
      </c>
      <c r="I8903" s="7" t="s">
        <v>16815</v>
      </c>
      <c r="J8903" s="7" t="s">
        <v>16838</v>
      </c>
      <c r="K8903" s="7" t="s">
        <v>18219</v>
      </c>
      <c r="L8903" s="198" t="s">
        <v>65</v>
      </c>
      <c r="M8903" s="194"/>
      <c r="N8903" s="194"/>
    </row>
    <row r="8904">
      <c r="A8904" s="193" t="s">
        <v>29995</v>
      </c>
      <c r="B8904" s="7" t="s">
        <v>16838</v>
      </c>
      <c r="C8904" s="7" t="s">
        <v>18219</v>
      </c>
      <c r="D8904" s="194">
        <v>2022.0</v>
      </c>
      <c r="E8904" s="193"/>
      <c r="F8904" s="195" t="s">
        <v>29996</v>
      </c>
      <c r="G8904" s="196">
        <v>0.0</v>
      </c>
      <c r="H8904" s="197">
        <v>0.0211</v>
      </c>
      <c r="I8904" s="7" t="s">
        <v>16815</v>
      </c>
      <c r="J8904" s="7" t="s">
        <v>16838</v>
      </c>
      <c r="K8904" s="7" t="s">
        <v>18219</v>
      </c>
      <c r="L8904" s="198" t="s">
        <v>65</v>
      </c>
      <c r="M8904" s="194"/>
      <c r="N8904" s="194"/>
    </row>
    <row r="8905">
      <c r="A8905" s="193" t="s">
        <v>29997</v>
      </c>
      <c r="B8905" s="7" t="s">
        <v>16838</v>
      </c>
      <c r="C8905" s="7" t="s">
        <v>18219</v>
      </c>
      <c r="D8905" s="194">
        <v>2021.0</v>
      </c>
      <c r="E8905" s="193"/>
      <c r="F8905" s="195" t="s">
        <v>29998</v>
      </c>
      <c r="G8905" s="196">
        <v>0.0</v>
      </c>
      <c r="H8905" s="197">
        <v>10.68</v>
      </c>
      <c r="I8905" s="7" t="s">
        <v>16815</v>
      </c>
      <c r="J8905" s="7" t="s">
        <v>16838</v>
      </c>
      <c r="K8905" s="7" t="s">
        <v>18219</v>
      </c>
      <c r="L8905" s="198" t="s">
        <v>65</v>
      </c>
      <c r="M8905" s="194"/>
      <c r="N8905" s="194"/>
    </row>
    <row r="8906">
      <c r="A8906" s="193" t="s">
        <v>29999</v>
      </c>
      <c r="B8906" s="7" t="s">
        <v>16838</v>
      </c>
      <c r="C8906" s="7" t="s">
        <v>18219</v>
      </c>
      <c r="D8906" s="194">
        <v>2021.0</v>
      </c>
      <c r="E8906" s="193"/>
      <c r="F8906" s="195" t="s">
        <v>30000</v>
      </c>
      <c r="G8906" s="196">
        <v>0.0</v>
      </c>
      <c r="H8906" s="197">
        <v>11.045</v>
      </c>
      <c r="I8906" s="7" t="s">
        <v>16815</v>
      </c>
      <c r="J8906" s="7" t="s">
        <v>16838</v>
      </c>
      <c r="K8906" s="7" t="s">
        <v>18219</v>
      </c>
      <c r="L8906" s="198" t="s">
        <v>65</v>
      </c>
      <c r="M8906" s="194"/>
      <c r="N8906" s="194"/>
    </row>
    <row r="8907">
      <c r="A8907" s="193" t="s">
        <v>30001</v>
      </c>
      <c r="B8907" s="7" t="s">
        <v>16838</v>
      </c>
      <c r="C8907" s="7" t="s">
        <v>18219</v>
      </c>
      <c r="D8907" s="194">
        <v>2021.0</v>
      </c>
      <c r="E8907" s="193"/>
      <c r="F8907" s="195" t="s">
        <v>30002</v>
      </c>
      <c r="G8907" s="196">
        <v>0.0</v>
      </c>
      <c r="H8907" s="197">
        <v>0.0775</v>
      </c>
      <c r="I8907" s="7" t="s">
        <v>16815</v>
      </c>
      <c r="J8907" s="7" t="s">
        <v>16838</v>
      </c>
      <c r="K8907" s="7" t="s">
        <v>18219</v>
      </c>
      <c r="L8907" s="198" t="s">
        <v>65</v>
      </c>
      <c r="M8907" s="194"/>
      <c r="N8907" s="194"/>
    </row>
    <row r="8908">
      <c r="A8908" s="193" t="s">
        <v>30003</v>
      </c>
      <c r="B8908" s="7" t="s">
        <v>16838</v>
      </c>
      <c r="C8908" s="7" t="s">
        <v>18219</v>
      </c>
      <c r="D8908" s="194">
        <v>2022.0</v>
      </c>
      <c r="E8908" s="193"/>
      <c r="F8908" s="195" t="s">
        <v>30004</v>
      </c>
      <c r="G8908" s="196">
        <v>0.0</v>
      </c>
      <c r="H8908" s="197">
        <v>10.6</v>
      </c>
      <c r="I8908" s="7" t="s">
        <v>16815</v>
      </c>
      <c r="J8908" s="7" t="s">
        <v>16838</v>
      </c>
      <c r="K8908" s="7" t="s">
        <v>18219</v>
      </c>
      <c r="L8908" s="198" t="s">
        <v>65</v>
      </c>
      <c r="M8908" s="194"/>
      <c r="N8908" s="194"/>
    </row>
    <row r="8909">
      <c r="A8909" s="193" t="s">
        <v>30005</v>
      </c>
      <c r="B8909" s="7" t="s">
        <v>16838</v>
      </c>
      <c r="C8909" s="7" t="s">
        <v>18219</v>
      </c>
      <c r="D8909" s="194">
        <v>2022.0</v>
      </c>
      <c r="E8909" s="193"/>
      <c r="F8909" s="195" t="s">
        <v>30006</v>
      </c>
      <c r="G8909" s="196">
        <v>0.0</v>
      </c>
      <c r="H8909" s="197">
        <v>0.06</v>
      </c>
      <c r="I8909" s="7" t="s">
        <v>16815</v>
      </c>
      <c r="J8909" s="7" t="s">
        <v>16838</v>
      </c>
      <c r="K8909" s="7" t="s">
        <v>18219</v>
      </c>
      <c r="L8909" s="198" t="s">
        <v>65</v>
      </c>
      <c r="M8909" s="194"/>
      <c r="N8909" s="194"/>
    </row>
    <row r="8910">
      <c r="A8910" s="193" t="s">
        <v>30007</v>
      </c>
      <c r="B8910" s="7" t="s">
        <v>16838</v>
      </c>
      <c r="C8910" s="7" t="s">
        <v>18219</v>
      </c>
      <c r="D8910" s="194">
        <v>2021.0</v>
      </c>
      <c r="E8910" s="193"/>
      <c r="F8910" s="195" t="s">
        <v>30008</v>
      </c>
      <c r="G8910" s="196">
        <v>0.0</v>
      </c>
      <c r="H8910" s="197">
        <v>10.89</v>
      </c>
      <c r="I8910" s="7" t="s">
        <v>16815</v>
      </c>
      <c r="J8910" s="7" t="s">
        <v>16838</v>
      </c>
      <c r="K8910" s="7" t="s">
        <v>18219</v>
      </c>
      <c r="L8910" s="198" t="s">
        <v>65</v>
      </c>
      <c r="M8910" s="194"/>
      <c r="N8910" s="194"/>
    </row>
    <row r="8911">
      <c r="A8911" s="193" t="s">
        <v>30009</v>
      </c>
      <c r="B8911" s="7" t="s">
        <v>16838</v>
      </c>
      <c r="C8911" s="7" t="s">
        <v>18219</v>
      </c>
      <c r="D8911" s="194">
        <v>2021.0</v>
      </c>
      <c r="E8911" s="193"/>
      <c r="F8911" s="195" t="s">
        <v>30010</v>
      </c>
      <c r="G8911" s="196">
        <v>0.0</v>
      </c>
      <c r="H8911" s="197">
        <v>10.93</v>
      </c>
      <c r="I8911" s="7" t="s">
        <v>16815</v>
      </c>
      <c r="J8911" s="7" t="s">
        <v>16838</v>
      </c>
      <c r="K8911" s="7" t="s">
        <v>18219</v>
      </c>
      <c r="L8911" s="198" t="s">
        <v>65</v>
      </c>
      <c r="M8911" s="194"/>
      <c r="N8911" s="194"/>
    </row>
    <row r="8912">
      <c r="A8912" s="193" t="s">
        <v>30011</v>
      </c>
      <c r="B8912" s="7" t="s">
        <v>16838</v>
      </c>
      <c r="C8912" s="7" t="s">
        <v>18219</v>
      </c>
      <c r="D8912" s="194">
        <v>2022.0</v>
      </c>
      <c r="E8912" s="193"/>
      <c r="F8912" s="195" t="s">
        <v>30012</v>
      </c>
      <c r="G8912" s="196">
        <v>0.0</v>
      </c>
      <c r="H8912" s="197">
        <v>10.71</v>
      </c>
      <c r="I8912" s="7" t="s">
        <v>16815</v>
      </c>
      <c r="J8912" s="7" t="s">
        <v>16838</v>
      </c>
      <c r="K8912" s="7" t="s">
        <v>18219</v>
      </c>
      <c r="L8912" s="198" t="s">
        <v>65</v>
      </c>
      <c r="M8912" s="194"/>
      <c r="N8912" s="194"/>
    </row>
    <row r="8913">
      <c r="A8913" s="193" t="s">
        <v>30013</v>
      </c>
      <c r="B8913" s="7" t="s">
        <v>16838</v>
      </c>
      <c r="C8913" s="7" t="s">
        <v>18219</v>
      </c>
      <c r="D8913" s="194">
        <v>2022.0</v>
      </c>
      <c r="E8913" s="193"/>
      <c r="F8913" s="195" t="s">
        <v>30014</v>
      </c>
      <c r="G8913" s="196">
        <v>0.0</v>
      </c>
      <c r="H8913" s="197">
        <v>0.1113</v>
      </c>
      <c r="I8913" s="7" t="s">
        <v>16815</v>
      </c>
      <c r="J8913" s="7" t="s">
        <v>16838</v>
      </c>
      <c r="K8913" s="7" t="s">
        <v>18219</v>
      </c>
      <c r="L8913" s="198" t="s">
        <v>65</v>
      </c>
      <c r="M8913" s="194"/>
      <c r="N8913" s="194"/>
    </row>
    <row r="8914">
      <c r="A8914" s="193" t="s">
        <v>30015</v>
      </c>
      <c r="B8914" s="7" t="s">
        <v>16838</v>
      </c>
      <c r="C8914" s="7" t="s">
        <v>18219</v>
      </c>
      <c r="D8914" s="194">
        <v>2022.0</v>
      </c>
      <c r="E8914" s="193"/>
      <c r="F8914" s="195" t="s">
        <v>30016</v>
      </c>
      <c r="G8914" s="196">
        <v>0.0</v>
      </c>
      <c r="H8914" s="197">
        <v>0.04</v>
      </c>
      <c r="I8914" s="7" t="s">
        <v>16815</v>
      </c>
      <c r="J8914" s="7" t="s">
        <v>16838</v>
      </c>
      <c r="K8914" s="7" t="s">
        <v>18219</v>
      </c>
      <c r="L8914" s="198" t="s">
        <v>65</v>
      </c>
      <c r="M8914" s="194"/>
      <c r="N8914" s="194"/>
    </row>
    <row r="8915">
      <c r="A8915" s="193" t="s">
        <v>30017</v>
      </c>
      <c r="B8915" s="7" t="s">
        <v>16838</v>
      </c>
      <c r="C8915" s="7" t="s">
        <v>18219</v>
      </c>
      <c r="D8915" s="194">
        <v>2022.0</v>
      </c>
      <c r="E8915" s="193"/>
      <c r="F8915" s="195" t="s">
        <v>30018</v>
      </c>
      <c r="G8915" s="196">
        <v>0.0</v>
      </c>
      <c r="H8915" s="197">
        <v>11.0999</v>
      </c>
      <c r="I8915" s="7" t="s">
        <v>16815</v>
      </c>
      <c r="J8915" s="7" t="s">
        <v>16838</v>
      </c>
      <c r="K8915" s="7" t="s">
        <v>18219</v>
      </c>
      <c r="L8915" s="198" t="s">
        <v>65</v>
      </c>
      <c r="M8915" s="194"/>
      <c r="N8915" s="194"/>
    </row>
    <row r="8916">
      <c r="A8916" s="193" t="s">
        <v>30019</v>
      </c>
      <c r="B8916" s="7" t="s">
        <v>16838</v>
      </c>
      <c r="C8916" s="7" t="s">
        <v>18219</v>
      </c>
      <c r="D8916" s="194">
        <v>2022.0</v>
      </c>
      <c r="E8916" s="193"/>
      <c r="F8916" s="195" t="s">
        <v>30020</v>
      </c>
      <c r="G8916" s="196">
        <v>0.0</v>
      </c>
      <c r="H8916" s="197">
        <v>0.1129</v>
      </c>
      <c r="I8916" s="7" t="s">
        <v>16815</v>
      </c>
      <c r="J8916" s="7" t="s">
        <v>16838</v>
      </c>
      <c r="K8916" s="7" t="s">
        <v>18219</v>
      </c>
      <c r="L8916" s="198" t="s">
        <v>65</v>
      </c>
      <c r="M8916" s="194"/>
      <c r="N8916" s="194"/>
    </row>
    <row r="8917">
      <c r="A8917" s="193" t="s">
        <v>30021</v>
      </c>
      <c r="B8917" s="7" t="s">
        <v>16838</v>
      </c>
      <c r="C8917" s="7" t="s">
        <v>18219</v>
      </c>
      <c r="D8917" s="194">
        <v>2023.0</v>
      </c>
      <c r="E8917" s="193"/>
      <c r="F8917" s="195" t="s">
        <v>30022</v>
      </c>
      <c r="G8917" s="196">
        <v>0.0</v>
      </c>
      <c r="H8917" s="197">
        <v>10.26</v>
      </c>
      <c r="I8917" s="7" t="s">
        <v>16815</v>
      </c>
      <c r="J8917" s="7" t="s">
        <v>16838</v>
      </c>
      <c r="K8917" s="7" t="s">
        <v>18219</v>
      </c>
      <c r="L8917" s="198" t="s">
        <v>65</v>
      </c>
      <c r="M8917" s="194"/>
      <c r="N8917" s="194"/>
    </row>
    <row r="8918">
      <c r="A8918" s="193" t="s">
        <v>30023</v>
      </c>
      <c r="B8918" s="7" t="s">
        <v>16838</v>
      </c>
      <c r="C8918" s="7" t="s">
        <v>18219</v>
      </c>
      <c r="D8918" s="194">
        <v>2022.0</v>
      </c>
      <c r="E8918" s="193"/>
      <c r="F8918" s="195" t="s">
        <v>30024</v>
      </c>
      <c r="G8918" s="196">
        <v>0.0</v>
      </c>
      <c r="H8918" s="197">
        <v>10.57</v>
      </c>
      <c r="I8918" s="7" t="s">
        <v>16815</v>
      </c>
      <c r="J8918" s="7" t="s">
        <v>16838</v>
      </c>
      <c r="K8918" s="7" t="s">
        <v>18219</v>
      </c>
      <c r="L8918" s="198" t="s">
        <v>65</v>
      </c>
      <c r="M8918" s="194"/>
      <c r="N8918" s="194"/>
    </row>
    <row r="8919">
      <c r="A8919" s="193" t="s">
        <v>30025</v>
      </c>
      <c r="B8919" s="7" t="s">
        <v>16838</v>
      </c>
      <c r="C8919" s="7" t="s">
        <v>18219</v>
      </c>
      <c r="D8919" s="194">
        <v>2022.0</v>
      </c>
      <c r="E8919" s="193"/>
      <c r="F8919" s="195" t="s">
        <v>30026</v>
      </c>
      <c r="G8919" s="196">
        <v>0.0</v>
      </c>
      <c r="H8919" s="197">
        <v>10.54</v>
      </c>
      <c r="I8919" s="7" t="s">
        <v>16815</v>
      </c>
      <c r="J8919" s="7" t="s">
        <v>16838</v>
      </c>
      <c r="K8919" s="7" t="s">
        <v>18219</v>
      </c>
      <c r="L8919" s="198" t="s">
        <v>65</v>
      </c>
      <c r="M8919" s="194"/>
      <c r="N8919" s="194"/>
    </row>
    <row r="8920">
      <c r="A8920" s="193" t="s">
        <v>30027</v>
      </c>
      <c r="B8920" s="7" t="s">
        <v>16838</v>
      </c>
      <c r="C8920" s="7" t="s">
        <v>18219</v>
      </c>
      <c r="D8920" s="194">
        <v>2022.0</v>
      </c>
      <c r="E8920" s="193"/>
      <c r="F8920" s="195" t="s">
        <v>30028</v>
      </c>
      <c r="G8920" s="196">
        <v>0.0</v>
      </c>
      <c r="H8920" s="197">
        <v>0.12</v>
      </c>
      <c r="I8920" s="7" t="s">
        <v>16815</v>
      </c>
      <c r="J8920" s="7" t="s">
        <v>16838</v>
      </c>
      <c r="K8920" s="7" t="s">
        <v>18219</v>
      </c>
      <c r="L8920" s="198" t="s">
        <v>65</v>
      </c>
      <c r="M8920" s="194"/>
      <c r="N8920" s="194"/>
    </row>
    <row r="8921">
      <c r="A8921" s="193" t="s">
        <v>30029</v>
      </c>
      <c r="B8921" s="7" t="s">
        <v>16838</v>
      </c>
      <c r="C8921" s="7" t="s">
        <v>18219</v>
      </c>
      <c r="D8921" s="194">
        <v>2021.0</v>
      </c>
      <c r="E8921" s="193"/>
      <c r="F8921" s="195" t="s">
        <v>30030</v>
      </c>
      <c r="G8921" s="196">
        <v>0.0</v>
      </c>
      <c r="H8921" s="197">
        <v>10.73</v>
      </c>
      <c r="I8921" s="7" t="s">
        <v>16815</v>
      </c>
      <c r="J8921" s="7" t="s">
        <v>16838</v>
      </c>
      <c r="K8921" s="7" t="s">
        <v>18219</v>
      </c>
      <c r="L8921" s="198" t="s">
        <v>65</v>
      </c>
      <c r="M8921" s="194"/>
      <c r="N8921" s="194"/>
    </row>
    <row r="8922">
      <c r="A8922" s="193" t="s">
        <v>30031</v>
      </c>
      <c r="B8922" s="7" t="s">
        <v>16838</v>
      </c>
      <c r="C8922" s="7" t="s">
        <v>18219</v>
      </c>
      <c r="D8922" s="194">
        <v>2021.0</v>
      </c>
      <c r="E8922" s="193"/>
      <c r="F8922" s="195" t="s">
        <v>30032</v>
      </c>
      <c r="G8922" s="196">
        <v>0.0</v>
      </c>
      <c r="H8922" s="197">
        <v>10.6</v>
      </c>
      <c r="I8922" s="7" t="s">
        <v>16815</v>
      </c>
      <c r="J8922" s="7" t="s">
        <v>16838</v>
      </c>
      <c r="K8922" s="7" t="s">
        <v>18219</v>
      </c>
      <c r="L8922" s="198" t="s">
        <v>65</v>
      </c>
      <c r="M8922" s="194"/>
      <c r="N8922" s="194"/>
    </row>
    <row r="8923">
      <c r="A8923" s="193" t="s">
        <v>30033</v>
      </c>
      <c r="B8923" s="7" t="s">
        <v>16838</v>
      </c>
      <c r="C8923" s="7" t="s">
        <v>18219</v>
      </c>
      <c r="D8923" s="194">
        <v>2021.0</v>
      </c>
      <c r="E8923" s="193"/>
      <c r="F8923" s="195" t="s">
        <v>30034</v>
      </c>
      <c r="G8923" s="196">
        <v>0.0</v>
      </c>
      <c r="H8923" s="197">
        <v>0.11</v>
      </c>
      <c r="I8923" s="7" t="s">
        <v>16815</v>
      </c>
      <c r="J8923" s="7" t="s">
        <v>16838</v>
      </c>
      <c r="K8923" s="7" t="s">
        <v>18219</v>
      </c>
      <c r="L8923" s="198" t="s">
        <v>65</v>
      </c>
      <c r="M8923" s="194"/>
      <c r="N8923" s="194"/>
    </row>
    <row r="8924">
      <c r="A8924" s="193" t="s">
        <v>30035</v>
      </c>
      <c r="B8924" s="7" t="s">
        <v>16838</v>
      </c>
      <c r="C8924" s="7" t="s">
        <v>18219</v>
      </c>
      <c r="D8924" s="194">
        <v>2021.0</v>
      </c>
      <c r="E8924" s="193"/>
      <c r="F8924" s="195" t="s">
        <v>30036</v>
      </c>
      <c r="G8924" s="196">
        <v>0.0</v>
      </c>
      <c r="H8924" s="197">
        <v>10.77</v>
      </c>
      <c r="I8924" s="7" t="s">
        <v>16815</v>
      </c>
      <c r="J8924" s="7" t="s">
        <v>16838</v>
      </c>
      <c r="K8924" s="7" t="s">
        <v>18219</v>
      </c>
      <c r="L8924" s="198" t="s">
        <v>65</v>
      </c>
      <c r="M8924" s="194"/>
      <c r="N8924" s="194"/>
    </row>
    <row r="8925">
      <c r="A8925" s="193" t="s">
        <v>30037</v>
      </c>
      <c r="B8925" s="7" t="s">
        <v>16838</v>
      </c>
      <c r="C8925" s="7" t="s">
        <v>18219</v>
      </c>
      <c r="D8925" s="194">
        <v>2021.0</v>
      </c>
      <c r="E8925" s="193"/>
      <c r="F8925" s="195" t="s">
        <v>30038</v>
      </c>
      <c r="G8925" s="196">
        <v>0.0</v>
      </c>
      <c r="H8925" s="197">
        <v>0.033</v>
      </c>
      <c r="I8925" s="7" t="s">
        <v>16815</v>
      </c>
      <c r="J8925" s="7" t="s">
        <v>16838</v>
      </c>
      <c r="K8925" s="7" t="s">
        <v>18219</v>
      </c>
      <c r="L8925" s="198" t="s">
        <v>65</v>
      </c>
      <c r="M8925" s="194"/>
      <c r="N8925" s="194"/>
    </row>
    <row r="8926">
      <c r="A8926" s="193" t="s">
        <v>30039</v>
      </c>
      <c r="B8926" s="7" t="s">
        <v>16838</v>
      </c>
      <c r="C8926" s="7" t="s">
        <v>18219</v>
      </c>
      <c r="D8926" s="194">
        <v>2022.0</v>
      </c>
      <c r="E8926" s="193"/>
      <c r="F8926" s="195" t="s">
        <v>30040</v>
      </c>
      <c r="G8926" s="196">
        <v>0.0</v>
      </c>
      <c r="H8926" s="197">
        <v>10.82</v>
      </c>
      <c r="I8926" s="7" t="s">
        <v>16815</v>
      </c>
      <c r="J8926" s="7" t="s">
        <v>16838</v>
      </c>
      <c r="K8926" s="7" t="s">
        <v>18219</v>
      </c>
      <c r="L8926" s="198" t="s">
        <v>65</v>
      </c>
      <c r="M8926" s="194"/>
      <c r="N8926" s="194"/>
    </row>
    <row r="8927">
      <c r="A8927" s="193" t="s">
        <v>30041</v>
      </c>
      <c r="B8927" s="7" t="s">
        <v>16838</v>
      </c>
      <c r="C8927" s="7" t="s">
        <v>18219</v>
      </c>
      <c r="D8927" s="194">
        <v>2022.0</v>
      </c>
      <c r="E8927" s="193"/>
      <c r="F8927" s="195" t="s">
        <v>30042</v>
      </c>
      <c r="G8927" s="196">
        <v>0.0</v>
      </c>
      <c r="H8927" s="197">
        <v>10.81</v>
      </c>
      <c r="I8927" s="7" t="s">
        <v>16815</v>
      </c>
      <c r="J8927" s="7" t="s">
        <v>16838</v>
      </c>
      <c r="K8927" s="7" t="s">
        <v>18219</v>
      </c>
      <c r="L8927" s="198" t="s">
        <v>65</v>
      </c>
      <c r="M8927" s="194"/>
      <c r="N8927" s="194"/>
    </row>
    <row r="8928">
      <c r="A8928" s="193" t="s">
        <v>30043</v>
      </c>
      <c r="B8928" s="7" t="s">
        <v>16838</v>
      </c>
      <c r="C8928" s="7" t="s">
        <v>18219</v>
      </c>
      <c r="D8928" s="194">
        <v>2022.0</v>
      </c>
      <c r="E8928" s="193"/>
      <c r="F8928" s="195" t="s">
        <v>30044</v>
      </c>
      <c r="G8928" s="196">
        <v>0.0</v>
      </c>
      <c r="H8928" s="197">
        <v>0.041</v>
      </c>
      <c r="I8928" s="7" t="s">
        <v>16815</v>
      </c>
      <c r="J8928" s="7" t="s">
        <v>16838</v>
      </c>
      <c r="K8928" s="7" t="s">
        <v>18219</v>
      </c>
      <c r="L8928" s="198" t="s">
        <v>65</v>
      </c>
      <c r="M8928" s="194"/>
      <c r="N8928" s="194"/>
    </row>
    <row r="8929">
      <c r="A8929" s="193" t="s">
        <v>30045</v>
      </c>
      <c r="B8929" s="7" t="s">
        <v>16838</v>
      </c>
      <c r="C8929" s="7" t="s">
        <v>18219</v>
      </c>
      <c r="D8929" s="194">
        <v>2021.0</v>
      </c>
      <c r="E8929" s="193"/>
      <c r="F8929" s="195" t="s">
        <v>30046</v>
      </c>
      <c r="G8929" s="196">
        <v>0.0</v>
      </c>
      <c r="H8929" s="197">
        <v>10.85</v>
      </c>
      <c r="I8929" s="7" t="s">
        <v>16815</v>
      </c>
      <c r="J8929" s="7" t="s">
        <v>16838</v>
      </c>
      <c r="K8929" s="7" t="s">
        <v>18219</v>
      </c>
      <c r="L8929" s="198" t="s">
        <v>65</v>
      </c>
      <c r="M8929" s="194"/>
      <c r="N8929" s="194"/>
    </row>
    <row r="8930">
      <c r="A8930" s="193" t="s">
        <v>30047</v>
      </c>
      <c r="B8930" s="7" t="s">
        <v>16838</v>
      </c>
      <c r="C8930" s="7" t="s">
        <v>18219</v>
      </c>
      <c r="D8930" s="194">
        <v>2021.0</v>
      </c>
      <c r="E8930" s="193"/>
      <c r="F8930" s="195" t="s">
        <v>30048</v>
      </c>
      <c r="G8930" s="196">
        <v>0.0</v>
      </c>
      <c r="H8930" s="197">
        <v>10.86</v>
      </c>
      <c r="I8930" s="7" t="s">
        <v>16815</v>
      </c>
      <c r="J8930" s="7" t="s">
        <v>16838</v>
      </c>
      <c r="K8930" s="7" t="s">
        <v>18219</v>
      </c>
      <c r="L8930" s="198" t="s">
        <v>65</v>
      </c>
      <c r="M8930" s="194"/>
      <c r="N8930" s="194"/>
    </row>
    <row r="8931">
      <c r="A8931" s="193" t="s">
        <v>30049</v>
      </c>
      <c r="B8931" s="7" t="s">
        <v>16838</v>
      </c>
      <c r="C8931" s="7" t="s">
        <v>18219</v>
      </c>
      <c r="D8931" s="194">
        <v>2021.0</v>
      </c>
      <c r="E8931" s="193"/>
      <c r="F8931" s="195" t="s">
        <v>30050</v>
      </c>
      <c r="G8931" s="196">
        <v>0.0</v>
      </c>
      <c r="H8931" s="197">
        <v>0.15</v>
      </c>
      <c r="I8931" s="7" t="s">
        <v>16815</v>
      </c>
      <c r="J8931" s="7" t="s">
        <v>16838</v>
      </c>
      <c r="K8931" s="7" t="s">
        <v>18219</v>
      </c>
      <c r="L8931" s="198" t="s">
        <v>65</v>
      </c>
      <c r="M8931" s="194"/>
      <c r="N8931" s="194"/>
    </row>
    <row r="8932">
      <c r="A8932" s="193" t="s">
        <v>30051</v>
      </c>
      <c r="B8932" s="7" t="s">
        <v>16838</v>
      </c>
      <c r="C8932" s="7" t="s">
        <v>18219</v>
      </c>
      <c r="D8932" s="199"/>
      <c r="E8932" s="193"/>
      <c r="F8932" s="195" t="s">
        <v>30052</v>
      </c>
      <c r="G8932" s="196">
        <v>0.0</v>
      </c>
      <c r="H8932" s="197">
        <v>0.0074</v>
      </c>
      <c r="I8932" s="7" t="s">
        <v>16815</v>
      </c>
      <c r="J8932" s="7" t="s">
        <v>16838</v>
      </c>
      <c r="K8932" s="7" t="s">
        <v>18219</v>
      </c>
      <c r="L8932" s="198" t="s">
        <v>65</v>
      </c>
      <c r="M8932" s="199"/>
      <c r="N8932" s="199"/>
    </row>
    <row r="8933">
      <c r="A8933" s="193" t="s">
        <v>30053</v>
      </c>
      <c r="B8933" s="7" t="s">
        <v>16838</v>
      </c>
      <c r="C8933" s="7" t="s">
        <v>18219</v>
      </c>
      <c r="D8933" s="194">
        <v>2021.0</v>
      </c>
      <c r="E8933" s="193"/>
      <c r="F8933" s="195" t="s">
        <v>30054</v>
      </c>
      <c r="G8933" s="196">
        <v>0.0</v>
      </c>
      <c r="H8933" s="197">
        <v>10.82</v>
      </c>
      <c r="I8933" s="7" t="s">
        <v>16815</v>
      </c>
      <c r="J8933" s="7" t="s">
        <v>16838</v>
      </c>
      <c r="K8933" s="7" t="s">
        <v>18219</v>
      </c>
      <c r="L8933" s="198" t="s">
        <v>65</v>
      </c>
      <c r="M8933" s="194"/>
      <c r="N8933" s="194"/>
    </row>
    <row r="8934">
      <c r="A8934" s="193" t="s">
        <v>30055</v>
      </c>
      <c r="B8934" s="7" t="s">
        <v>16838</v>
      </c>
      <c r="C8934" s="7" t="s">
        <v>18219</v>
      </c>
      <c r="D8934" s="194">
        <v>2022.0</v>
      </c>
      <c r="E8934" s="193"/>
      <c r="F8934" s="195" t="s">
        <v>30056</v>
      </c>
      <c r="G8934" s="196">
        <v>0.0</v>
      </c>
      <c r="H8934" s="197">
        <v>10.65</v>
      </c>
      <c r="I8934" s="7" t="s">
        <v>16815</v>
      </c>
      <c r="J8934" s="7" t="s">
        <v>16838</v>
      </c>
      <c r="K8934" s="7" t="s">
        <v>18219</v>
      </c>
      <c r="L8934" s="198" t="s">
        <v>65</v>
      </c>
      <c r="M8934" s="194"/>
      <c r="N8934" s="194"/>
    </row>
    <row r="8935">
      <c r="A8935" s="193" t="s">
        <v>30057</v>
      </c>
      <c r="B8935" s="7" t="s">
        <v>16838</v>
      </c>
      <c r="C8935" s="7" t="s">
        <v>18219</v>
      </c>
      <c r="D8935" s="194">
        <v>2022.0</v>
      </c>
      <c r="E8935" s="193"/>
      <c r="F8935" s="195" t="s">
        <v>30058</v>
      </c>
      <c r="G8935" s="196">
        <v>0.0</v>
      </c>
      <c r="H8935" s="197">
        <v>10.75</v>
      </c>
      <c r="I8935" s="7" t="s">
        <v>16815</v>
      </c>
      <c r="J8935" s="7" t="s">
        <v>16838</v>
      </c>
      <c r="K8935" s="7" t="s">
        <v>18219</v>
      </c>
      <c r="L8935" s="198" t="s">
        <v>65</v>
      </c>
      <c r="M8935" s="194"/>
      <c r="N8935" s="194"/>
    </row>
    <row r="8936">
      <c r="A8936" s="193" t="s">
        <v>30059</v>
      </c>
      <c r="B8936" s="7" t="s">
        <v>16838</v>
      </c>
      <c r="C8936" s="7" t="s">
        <v>18219</v>
      </c>
      <c r="D8936" s="194">
        <v>2022.0</v>
      </c>
      <c r="E8936" s="193"/>
      <c r="F8936" s="195" t="s">
        <v>30060</v>
      </c>
      <c r="G8936" s="196">
        <v>0.0</v>
      </c>
      <c r="H8936" s="197">
        <v>10.9</v>
      </c>
      <c r="I8936" s="7" t="s">
        <v>16815</v>
      </c>
      <c r="J8936" s="7" t="s">
        <v>16838</v>
      </c>
      <c r="K8936" s="7" t="s">
        <v>18219</v>
      </c>
      <c r="L8936" s="198" t="s">
        <v>65</v>
      </c>
      <c r="M8936" s="194"/>
      <c r="N8936" s="194"/>
    </row>
    <row r="8937">
      <c r="A8937" s="193" t="s">
        <v>30061</v>
      </c>
      <c r="B8937" s="7" t="s">
        <v>16838</v>
      </c>
      <c r="C8937" s="7" t="s">
        <v>18219</v>
      </c>
      <c r="D8937" s="194">
        <v>2021.0</v>
      </c>
      <c r="E8937" s="193"/>
      <c r="F8937" s="195" t="s">
        <v>30062</v>
      </c>
      <c r="G8937" s="196">
        <v>0.0</v>
      </c>
      <c r="H8937" s="197">
        <v>10.49</v>
      </c>
      <c r="I8937" s="7" t="s">
        <v>16815</v>
      </c>
      <c r="J8937" s="7" t="s">
        <v>16838</v>
      </c>
      <c r="K8937" s="7" t="s">
        <v>18219</v>
      </c>
      <c r="L8937" s="198" t="s">
        <v>65</v>
      </c>
      <c r="M8937" s="194"/>
      <c r="N8937" s="194"/>
    </row>
    <row r="8938">
      <c r="A8938" s="193" t="s">
        <v>30063</v>
      </c>
      <c r="B8938" s="7" t="s">
        <v>16838</v>
      </c>
      <c r="C8938" s="7" t="s">
        <v>18219</v>
      </c>
      <c r="D8938" s="194">
        <v>2022.0</v>
      </c>
      <c r="E8938" s="193"/>
      <c r="F8938" s="195" t="s">
        <v>30064</v>
      </c>
      <c r="G8938" s="196">
        <v>0.0</v>
      </c>
      <c r="H8938" s="197">
        <v>10.92</v>
      </c>
      <c r="I8938" s="7" t="s">
        <v>16815</v>
      </c>
      <c r="J8938" s="7" t="s">
        <v>16838</v>
      </c>
      <c r="K8938" s="7" t="s">
        <v>18219</v>
      </c>
      <c r="L8938" s="198" t="s">
        <v>65</v>
      </c>
      <c r="M8938" s="194"/>
      <c r="N8938" s="194"/>
    </row>
    <row r="8939">
      <c r="A8939" s="193" t="s">
        <v>30065</v>
      </c>
      <c r="B8939" s="7" t="s">
        <v>16838</v>
      </c>
      <c r="C8939" s="7" t="s">
        <v>18219</v>
      </c>
      <c r="D8939" s="194">
        <v>2021.0</v>
      </c>
      <c r="E8939" s="193"/>
      <c r="F8939" s="195" t="s">
        <v>30066</v>
      </c>
      <c r="G8939" s="196">
        <v>0.0</v>
      </c>
      <c r="H8939" s="197">
        <v>10.98</v>
      </c>
      <c r="I8939" s="7" t="s">
        <v>16815</v>
      </c>
      <c r="J8939" s="7" t="s">
        <v>16838</v>
      </c>
      <c r="K8939" s="7" t="s">
        <v>18219</v>
      </c>
      <c r="L8939" s="198" t="s">
        <v>65</v>
      </c>
      <c r="M8939" s="194"/>
      <c r="N8939" s="194"/>
    </row>
    <row r="8940">
      <c r="A8940" s="193" t="s">
        <v>30067</v>
      </c>
      <c r="B8940" s="7" t="s">
        <v>16838</v>
      </c>
      <c r="C8940" s="7" t="s">
        <v>18219</v>
      </c>
      <c r="D8940" s="194">
        <v>2022.0</v>
      </c>
      <c r="E8940" s="193"/>
      <c r="F8940" s="195" t="s">
        <v>30068</v>
      </c>
      <c r="G8940" s="196">
        <v>0.0</v>
      </c>
      <c r="H8940" s="197">
        <v>0.0699</v>
      </c>
      <c r="I8940" s="7" t="s">
        <v>16815</v>
      </c>
      <c r="J8940" s="7" t="s">
        <v>16838</v>
      </c>
      <c r="K8940" s="7" t="s">
        <v>18219</v>
      </c>
      <c r="L8940" s="198" t="s">
        <v>65</v>
      </c>
      <c r="M8940" s="194"/>
      <c r="N8940" s="194"/>
    </row>
    <row r="8941">
      <c r="A8941" s="193" t="s">
        <v>30069</v>
      </c>
      <c r="B8941" s="7" t="s">
        <v>16838</v>
      </c>
      <c r="C8941" s="7" t="s">
        <v>18219</v>
      </c>
      <c r="D8941" s="194">
        <v>2021.0</v>
      </c>
      <c r="E8941" s="193"/>
      <c r="F8941" s="195" t="s">
        <v>30070</v>
      </c>
      <c r="G8941" s="196">
        <v>0.0</v>
      </c>
      <c r="H8941" s="197">
        <v>10.26</v>
      </c>
      <c r="I8941" s="7" t="s">
        <v>16815</v>
      </c>
      <c r="J8941" s="7" t="s">
        <v>16838</v>
      </c>
      <c r="K8941" s="7" t="s">
        <v>18219</v>
      </c>
      <c r="L8941" s="198" t="s">
        <v>65</v>
      </c>
      <c r="M8941" s="194"/>
      <c r="N8941" s="194"/>
    </row>
    <row r="8942">
      <c r="A8942" s="193" t="s">
        <v>30071</v>
      </c>
      <c r="B8942" s="7" t="s">
        <v>16838</v>
      </c>
      <c r="C8942" s="7" t="s">
        <v>18219</v>
      </c>
      <c r="D8942" s="194">
        <v>2021.0</v>
      </c>
      <c r="E8942" s="193"/>
      <c r="F8942" s="195" t="s">
        <v>30072</v>
      </c>
      <c r="G8942" s="196">
        <v>0.0</v>
      </c>
      <c r="H8942" s="197">
        <v>0.0682</v>
      </c>
      <c r="I8942" s="7" t="s">
        <v>16815</v>
      </c>
      <c r="J8942" s="7" t="s">
        <v>16838</v>
      </c>
      <c r="K8942" s="7" t="s">
        <v>18219</v>
      </c>
      <c r="L8942" s="198" t="s">
        <v>65</v>
      </c>
      <c r="M8942" s="194"/>
      <c r="N8942" s="194"/>
    </row>
    <row r="8943">
      <c r="A8943" s="193" t="s">
        <v>30073</v>
      </c>
      <c r="B8943" s="7" t="s">
        <v>16838</v>
      </c>
      <c r="C8943" s="7" t="s">
        <v>18219</v>
      </c>
      <c r="D8943" s="194">
        <v>2023.0</v>
      </c>
      <c r="E8943" s="193"/>
      <c r="F8943" s="195" t="s">
        <v>30074</v>
      </c>
      <c r="G8943" s="196">
        <v>0.0</v>
      </c>
      <c r="H8943" s="197">
        <v>10.37</v>
      </c>
      <c r="I8943" s="7" t="s">
        <v>16815</v>
      </c>
      <c r="J8943" s="7" t="s">
        <v>16838</v>
      </c>
      <c r="K8943" s="7" t="s">
        <v>18219</v>
      </c>
      <c r="L8943" s="198" t="s">
        <v>65</v>
      </c>
      <c r="M8943" s="194"/>
      <c r="N8943" s="194"/>
    </row>
    <row r="8944">
      <c r="A8944" s="193" t="s">
        <v>30075</v>
      </c>
      <c r="B8944" s="7" t="s">
        <v>16838</v>
      </c>
      <c r="C8944" s="7" t="s">
        <v>18219</v>
      </c>
      <c r="D8944" s="194">
        <v>2023.0</v>
      </c>
      <c r="E8944" s="193"/>
      <c r="F8944" s="195" t="s">
        <v>30076</v>
      </c>
      <c r="G8944" s="196">
        <v>0.0</v>
      </c>
      <c r="H8944" s="197">
        <v>0.1201</v>
      </c>
      <c r="I8944" s="7" t="s">
        <v>16815</v>
      </c>
      <c r="J8944" s="7" t="s">
        <v>16838</v>
      </c>
      <c r="K8944" s="7" t="s">
        <v>18219</v>
      </c>
      <c r="L8944" s="198" t="s">
        <v>65</v>
      </c>
      <c r="M8944" s="194"/>
      <c r="N8944" s="194"/>
    </row>
    <row r="8945">
      <c r="A8945" s="193" t="s">
        <v>30077</v>
      </c>
      <c r="B8945" s="7" t="s">
        <v>16838</v>
      </c>
      <c r="C8945" s="7" t="s">
        <v>18219</v>
      </c>
      <c r="D8945" s="194">
        <v>2022.0</v>
      </c>
      <c r="E8945" s="193"/>
      <c r="F8945" s="195" t="s">
        <v>30078</v>
      </c>
      <c r="G8945" s="196">
        <v>0.0</v>
      </c>
      <c r="H8945" s="197">
        <v>10.58</v>
      </c>
      <c r="I8945" s="7" t="s">
        <v>16815</v>
      </c>
      <c r="J8945" s="7" t="s">
        <v>16838</v>
      </c>
      <c r="K8945" s="7" t="s">
        <v>18219</v>
      </c>
      <c r="L8945" s="198" t="s">
        <v>65</v>
      </c>
      <c r="M8945" s="194"/>
      <c r="N8945" s="194"/>
    </row>
    <row r="8946">
      <c r="A8946" s="193" t="s">
        <v>30079</v>
      </c>
      <c r="B8946" s="7" t="s">
        <v>16838</v>
      </c>
      <c r="C8946" s="7" t="s">
        <v>18219</v>
      </c>
      <c r="D8946" s="194">
        <v>2022.0</v>
      </c>
      <c r="E8946" s="193"/>
      <c r="F8946" s="195" t="s">
        <v>30080</v>
      </c>
      <c r="G8946" s="196">
        <v>0.0</v>
      </c>
      <c r="H8946" s="197">
        <v>10.91</v>
      </c>
      <c r="I8946" s="7" t="s">
        <v>16815</v>
      </c>
      <c r="J8946" s="7" t="s">
        <v>16838</v>
      </c>
      <c r="K8946" s="7" t="s">
        <v>18219</v>
      </c>
      <c r="L8946" s="198" t="s">
        <v>65</v>
      </c>
      <c r="M8946" s="194"/>
      <c r="N8946" s="194"/>
    </row>
    <row r="8947">
      <c r="A8947" s="193" t="s">
        <v>30081</v>
      </c>
      <c r="B8947" s="7" t="s">
        <v>16838</v>
      </c>
      <c r="C8947" s="7" t="s">
        <v>18219</v>
      </c>
      <c r="D8947" s="194">
        <v>2022.0</v>
      </c>
      <c r="E8947" s="193"/>
      <c r="F8947" s="195" t="s">
        <v>30082</v>
      </c>
      <c r="G8947" s="196">
        <v>0.0</v>
      </c>
      <c r="H8947" s="197">
        <v>0.2</v>
      </c>
      <c r="I8947" s="7" t="s">
        <v>16815</v>
      </c>
      <c r="J8947" s="7" t="s">
        <v>16838</v>
      </c>
      <c r="K8947" s="7" t="s">
        <v>18219</v>
      </c>
      <c r="L8947" s="198" t="s">
        <v>65</v>
      </c>
      <c r="M8947" s="194"/>
      <c r="N8947" s="194"/>
    </row>
    <row r="8948">
      <c r="A8948" s="193" t="s">
        <v>30083</v>
      </c>
      <c r="B8948" s="7" t="s">
        <v>16838</v>
      </c>
      <c r="C8948" s="7" t="s">
        <v>18219</v>
      </c>
      <c r="D8948" s="194">
        <v>2022.0</v>
      </c>
      <c r="E8948" s="193"/>
      <c r="F8948" s="195" t="s">
        <v>30084</v>
      </c>
      <c r="G8948" s="196">
        <v>0.0</v>
      </c>
      <c r="H8948" s="197">
        <v>11.21</v>
      </c>
      <c r="I8948" s="7" t="s">
        <v>16815</v>
      </c>
      <c r="J8948" s="7" t="s">
        <v>16838</v>
      </c>
      <c r="K8948" s="7" t="s">
        <v>18219</v>
      </c>
      <c r="L8948" s="198" t="s">
        <v>65</v>
      </c>
      <c r="M8948" s="194"/>
      <c r="N8948" s="194"/>
    </row>
    <row r="8949">
      <c r="A8949" s="193" t="s">
        <v>30085</v>
      </c>
      <c r="B8949" s="7" t="s">
        <v>16838</v>
      </c>
      <c r="C8949" s="7" t="s">
        <v>18219</v>
      </c>
      <c r="D8949" s="194">
        <v>2022.0</v>
      </c>
      <c r="E8949" s="193"/>
      <c r="F8949" s="195" t="s">
        <v>30086</v>
      </c>
      <c r="G8949" s="196">
        <v>0.0</v>
      </c>
      <c r="H8949" s="197">
        <v>11.48</v>
      </c>
      <c r="I8949" s="7" t="s">
        <v>16815</v>
      </c>
      <c r="J8949" s="7" t="s">
        <v>16838</v>
      </c>
      <c r="K8949" s="7" t="s">
        <v>18219</v>
      </c>
      <c r="L8949" s="198" t="s">
        <v>65</v>
      </c>
      <c r="M8949" s="194"/>
      <c r="N8949" s="194"/>
    </row>
    <row r="8950">
      <c r="A8950" s="193" t="s">
        <v>30087</v>
      </c>
      <c r="B8950" s="7" t="s">
        <v>16838</v>
      </c>
      <c r="C8950" s="7" t="s">
        <v>18219</v>
      </c>
      <c r="D8950" s="194">
        <v>2022.0</v>
      </c>
      <c r="E8950" s="193"/>
      <c r="F8950" s="195" t="s">
        <v>30088</v>
      </c>
      <c r="G8950" s="196">
        <v>0.0</v>
      </c>
      <c r="H8950" s="197">
        <v>11.4</v>
      </c>
      <c r="I8950" s="7" t="s">
        <v>16815</v>
      </c>
      <c r="J8950" s="7" t="s">
        <v>16838</v>
      </c>
      <c r="K8950" s="7" t="s">
        <v>18219</v>
      </c>
      <c r="L8950" s="198" t="s">
        <v>65</v>
      </c>
      <c r="M8950" s="194"/>
      <c r="N8950" s="194"/>
    </row>
    <row r="8951">
      <c r="A8951" s="193" t="s">
        <v>30089</v>
      </c>
      <c r="B8951" s="7" t="s">
        <v>16838</v>
      </c>
      <c r="C8951" s="7" t="s">
        <v>18219</v>
      </c>
      <c r="D8951" s="194">
        <v>2022.0</v>
      </c>
      <c r="E8951" s="193"/>
      <c r="F8951" s="195" t="s">
        <v>30090</v>
      </c>
      <c r="G8951" s="196">
        <v>0.0</v>
      </c>
      <c r="H8951" s="197">
        <v>10.97</v>
      </c>
      <c r="I8951" s="7" t="s">
        <v>16815</v>
      </c>
      <c r="J8951" s="7" t="s">
        <v>16838</v>
      </c>
      <c r="K8951" s="7" t="s">
        <v>18219</v>
      </c>
      <c r="L8951" s="198" t="s">
        <v>65</v>
      </c>
      <c r="M8951" s="194"/>
      <c r="N8951" s="194"/>
    </row>
    <row r="8952">
      <c r="A8952" s="193" t="s">
        <v>30091</v>
      </c>
      <c r="B8952" s="7" t="s">
        <v>16838</v>
      </c>
      <c r="C8952" s="7" t="s">
        <v>18219</v>
      </c>
      <c r="D8952" s="194">
        <v>2021.0</v>
      </c>
      <c r="E8952" s="193"/>
      <c r="F8952" s="195" t="s">
        <v>30092</v>
      </c>
      <c r="G8952" s="196">
        <v>0.0</v>
      </c>
      <c r="H8952" s="197">
        <v>11.04</v>
      </c>
      <c r="I8952" s="7" t="s">
        <v>16815</v>
      </c>
      <c r="J8952" s="7" t="s">
        <v>16838</v>
      </c>
      <c r="K8952" s="7" t="s">
        <v>18219</v>
      </c>
      <c r="L8952" s="198" t="s">
        <v>65</v>
      </c>
      <c r="M8952" s="194"/>
      <c r="N8952" s="194"/>
    </row>
    <row r="8953">
      <c r="A8953" s="193" t="s">
        <v>30093</v>
      </c>
      <c r="B8953" s="7" t="s">
        <v>16838</v>
      </c>
      <c r="C8953" s="7" t="s">
        <v>18219</v>
      </c>
      <c r="D8953" s="194">
        <v>2022.0</v>
      </c>
      <c r="E8953" s="193"/>
      <c r="F8953" s="195" t="s">
        <v>30094</v>
      </c>
      <c r="G8953" s="196">
        <v>0.0</v>
      </c>
      <c r="H8953" s="197">
        <v>0.0563</v>
      </c>
      <c r="I8953" s="7" t="s">
        <v>16815</v>
      </c>
      <c r="J8953" s="7" t="s">
        <v>16838</v>
      </c>
      <c r="K8953" s="7" t="s">
        <v>18219</v>
      </c>
      <c r="L8953" s="198" t="s">
        <v>65</v>
      </c>
      <c r="M8953" s="194"/>
      <c r="N8953" s="194"/>
    </row>
    <row r="8954">
      <c r="A8954" s="193" t="s">
        <v>30095</v>
      </c>
      <c r="B8954" s="7" t="s">
        <v>16838</v>
      </c>
      <c r="C8954" s="7" t="s">
        <v>18219</v>
      </c>
      <c r="D8954" s="194">
        <v>2021.0</v>
      </c>
      <c r="E8954" s="193"/>
      <c r="F8954" s="195" t="s">
        <v>30096</v>
      </c>
      <c r="G8954" s="196">
        <v>0.0</v>
      </c>
      <c r="H8954" s="197">
        <v>10.75</v>
      </c>
      <c r="I8954" s="7" t="s">
        <v>16815</v>
      </c>
      <c r="J8954" s="7" t="s">
        <v>16838</v>
      </c>
      <c r="K8954" s="7" t="s">
        <v>18219</v>
      </c>
      <c r="L8954" s="198" t="s">
        <v>65</v>
      </c>
      <c r="M8954" s="194"/>
      <c r="N8954" s="194"/>
    </row>
    <row r="8955">
      <c r="A8955" s="193" t="s">
        <v>30097</v>
      </c>
      <c r="B8955" s="7" t="s">
        <v>16838</v>
      </c>
      <c r="C8955" s="7" t="s">
        <v>18219</v>
      </c>
      <c r="D8955" s="194">
        <v>2021.0</v>
      </c>
      <c r="E8955" s="193"/>
      <c r="F8955" s="195" t="s">
        <v>30098</v>
      </c>
      <c r="G8955" s="196">
        <v>0.0</v>
      </c>
      <c r="H8955" s="197">
        <v>10.76</v>
      </c>
      <c r="I8955" s="7" t="s">
        <v>16815</v>
      </c>
      <c r="J8955" s="7" t="s">
        <v>16838</v>
      </c>
      <c r="K8955" s="7" t="s">
        <v>18219</v>
      </c>
      <c r="L8955" s="198" t="s">
        <v>65</v>
      </c>
      <c r="M8955" s="194"/>
      <c r="N8955" s="194"/>
    </row>
    <row r="8956">
      <c r="A8956" s="193" t="s">
        <v>30099</v>
      </c>
      <c r="B8956" s="7" t="s">
        <v>16838</v>
      </c>
      <c r="C8956" s="7" t="s">
        <v>18219</v>
      </c>
      <c r="D8956" s="194">
        <v>2021.0</v>
      </c>
      <c r="E8956" s="193"/>
      <c r="F8956" s="195" t="s">
        <v>30100</v>
      </c>
      <c r="G8956" s="196">
        <v>0.0</v>
      </c>
      <c r="H8956" s="197">
        <v>0.0202</v>
      </c>
      <c r="I8956" s="7" t="s">
        <v>16815</v>
      </c>
      <c r="J8956" s="7" t="s">
        <v>16838</v>
      </c>
      <c r="K8956" s="7" t="s">
        <v>18219</v>
      </c>
      <c r="L8956" s="198" t="s">
        <v>65</v>
      </c>
      <c r="M8956" s="194"/>
      <c r="N8956" s="194"/>
    </row>
    <row r="8957">
      <c r="A8957" s="193" t="s">
        <v>30101</v>
      </c>
      <c r="B8957" s="7" t="s">
        <v>16838</v>
      </c>
      <c r="C8957" s="7" t="s">
        <v>18219</v>
      </c>
      <c r="D8957" s="194">
        <v>2022.0</v>
      </c>
      <c r="E8957" s="193"/>
      <c r="F8957" s="195" t="s">
        <v>30102</v>
      </c>
      <c r="G8957" s="196">
        <v>0.0</v>
      </c>
      <c r="H8957" s="197">
        <v>11.03</v>
      </c>
      <c r="I8957" s="7" t="s">
        <v>16815</v>
      </c>
      <c r="J8957" s="7" t="s">
        <v>16838</v>
      </c>
      <c r="K8957" s="7" t="s">
        <v>18219</v>
      </c>
      <c r="L8957" s="198" t="s">
        <v>65</v>
      </c>
      <c r="M8957" s="194"/>
      <c r="N8957" s="194"/>
    </row>
    <row r="8958">
      <c r="A8958" s="193" t="s">
        <v>30103</v>
      </c>
      <c r="B8958" s="7" t="s">
        <v>16838</v>
      </c>
      <c r="C8958" s="7" t="s">
        <v>18219</v>
      </c>
      <c r="D8958" s="194">
        <v>2022.0</v>
      </c>
      <c r="E8958" s="193"/>
      <c r="F8958" s="195" t="s">
        <v>30104</v>
      </c>
      <c r="G8958" s="196">
        <v>0.0</v>
      </c>
      <c r="H8958" s="197">
        <v>0.028</v>
      </c>
      <c r="I8958" s="7" t="s">
        <v>16815</v>
      </c>
      <c r="J8958" s="7" t="s">
        <v>16838</v>
      </c>
      <c r="K8958" s="7" t="s">
        <v>18219</v>
      </c>
      <c r="L8958" s="198" t="s">
        <v>65</v>
      </c>
      <c r="M8958" s="194"/>
      <c r="N8958" s="194"/>
    </row>
    <row r="8959">
      <c r="A8959" s="193" t="s">
        <v>30105</v>
      </c>
      <c r="B8959" s="7" t="s">
        <v>16838</v>
      </c>
      <c r="C8959" s="7" t="s">
        <v>18219</v>
      </c>
      <c r="D8959" s="194">
        <v>2023.0</v>
      </c>
      <c r="E8959" s="193"/>
      <c r="F8959" s="195" t="s">
        <v>30106</v>
      </c>
      <c r="G8959" s="196">
        <v>0.0</v>
      </c>
      <c r="H8959" s="197">
        <v>10.47</v>
      </c>
      <c r="I8959" s="7" t="s">
        <v>16815</v>
      </c>
      <c r="J8959" s="7" t="s">
        <v>16838</v>
      </c>
      <c r="K8959" s="7" t="s">
        <v>18219</v>
      </c>
      <c r="L8959" s="198" t="s">
        <v>65</v>
      </c>
      <c r="M8959" s="194"/>
      <c r="N8959" s="194"/>
    </row>
    <row r="8960">
      <c r="A8960" s="193" t="s">
        <v>30107</v>
      </c>
      <c r="B8960" s="7" t="s">
        <v>16838</v>
      </c>
      <c r="C8960" s="7" t="s">
        <v>18219</v>
      </c>
      <c r="D8960" s="194">
        <v>2021.0</v>
      </c>
      <c r="E8960" s="193"/>
      <c r="F8960" s="195" t="s">
        <v>30108</v>
      </c>
      <c r="G8960" s="196">
        <v>0.0</v>
      </c>
      <c r="H8960" s="197">
        <v>10.76</v>
      </c>
      <c r="I8960" s="7" t="s">
        <v>16815</v>
      </c>
      <c r="J8960" s="7" t="s">
        <v>16838</v>
      </c>
      <c r="K8960" s="7" t="s">
        <v>18219</v>
      </c>
      <c r="L8960" s="198" t="s">
        <v>65</v>
      </c>
      <c r="M8960" s="194"/>
      <c r="N8960" s="194"/>
    </row>
    <row r="8961">
      <c r="A8961" s="193" t="s">
        <v>30109</v>
      </c>
      <c r="B8961" s="7" t="s">
        <v>16838</v>
      </c>
      <c r="C8961" s="7" t="s">
        <v>18219</v>
      </c>
      <c r="D8961" s="194">
        <v>2021.0</v>
      </c>
      <c r="E8961" s="193"/>
      <c r="F8961" s="195" t="s">
        <v>30110</v>
      </c>
      <c r="G8961" s="196">
        <v>0.0</v>
      </c>
      <c r="H8961" s="197">
        <v>11.16</v>
      </c>
      <c r="I8961" s="7" t="s">
        <v>16815</v>
      </c>
      <c r="J8961" s="7" t="s">
        <v>16838</v>
      </c>
      <c r="K8961" s="7" t="s">
        <v>18219</v>
      </c>
      <c r="L8961" s="198" t="s">
        <v>65</v>
      </c>
      <c r="M8961" s="194"/>
      <c r="N8961" s="194"/>
    </row>
    <row r="8962">
      <c r="A8962" s="193" t="s">
        <v>30111</v>
      </c>
      <c r="B8962" s="7" t="s">
        <v>16838</v>
      </c>
      <c r="C8962" s="7" t="s">
        <v>18219</v>
      </c>
      <c r="D8962" s="194">
        <v>2021.0</v>
      </c>
      <c r="E8962" s="193"/>
      <c r="F8962" s="195" t="s">
        <v>30112</v>
      </c>
      <c r="G8962" s="196">
        <v>0.0</v>
      </c>
      <c r="H8962" s="197">
        <v>0.055</v>
      </c>
      <c r="I8962" s="7" t="s">
        <v>16815</v>
      </c>
      <c r="J8962" s="7" t="s">
        <v>16838</v>
      </c>
      <c r="K8962" s="7" t="s">
        <v>18219</v>
      </c>
      <c r="L8962" s="198" t="s">
        <v>65</v>
      </c>
      <c r="M8962" s="194"/>
      <c r="N8962" s="194"/>
    </row>
    <row r="8963">
      <c r="A8963" s="193" t="s">
        <v>30113</v>
      </c>
      <c r="B8963" s="7" t="s">
        <v>16838</v>
      </c>
      <c r="C8963" s="7" t="s">
        <v>18219</v>
      </c>
      <c r="D8963" s="194">
        <v>2021.0</v>
      </c>
      <c r="E8963" s="193"/>
      <c r="F8963" s="195" t="s">
        <v>30114</v>
      </c>
      <c r="G8963" s="196">
        <v>0.0</v>
      </c>
      <c r="H8963" s="197">
        <v>10.54</v>
      </c>
      <c r="I8963" s="7" t="s">
        <v>16815</v>
      </c>
      <c r="J8963" s="7" t="s">
        <v>16838</v>
      </c>
      <c r="K8963" s="7" t="s">
        <v>18219</v>
      </c>
      <c r="L8963" s="198" t="s">
        <v>65</v>
      </c>
      <c r="M8963" s="194"/>
      <c r="N8963" s="194"/>
    </row>
    <row r="8964">
      <c r="A8964" s="193" t="s">
        <v>30115</v>
      </c>
      <c r="B8964" s="7" t="s">
        <v>16838</v>
      </c>
      <c r="C8964" s="7" t="s">
        <v>18219</v>
      </c>
      <c r="D8964" s="194">
        <v>2021.0</v>
      </c>
      <c r="E8964" s="193"/>
      <c r="F8964" s="195" t="s">
        <v>30116</v>
      </c>
      <c r="G8964" s="196">
        <v>0.0</v>
      </c>
      <c r="H8964" s="197">
        <v>10.51</v>
      </c>
      <c r="I8964" s="7" t="s">
        <v>16815</v>
      </c>
      <c r="J8964" s="7" t="s">
        <v>16838</v>
      </c>
      <c r="K8964" s="7" t="s">
        <v>18219</v>
      </c>
      <c r="L8964" s="198" t="s">
        <v>65</v>
      </c>
      <c r="M8964" s="194"/>
      <c r="N8964" s="194"/>
    </row>
    <row r="8965">
      <c r="A8965" s="193" t="s">
        <v>30117</v>
      </c>
      <c r="B8965" s="7" t="s">
        <v>16838</v>
      </c>
      <c r="C8965" s="7" t="s">
        <v>18219</v>
      </c>
      <c r="D8965" s="194">
        <v>2021.0</v>
      </c>
      <c r="E8965" s="193"/>
      <c r="F8965" s="195" t="s">
        <v>30118</v>
      </c>
      <c r="G8965" s="196">
        <v>0.0</v>
      </c>
      <c r="H8965" s="197">
        <v>0.0352</v>
      </c>
      <c r="I8965" s="7" t="s">
        <v>16815</v>
      </c>
      <c r="J8965" s="7" t="s">
        <v>16838</v>
      </c>
      <c r="K8965" s="7" t="s">
        <v>18219</v>
      </c>
      <c r="L8965" s="198" t="s">
        <v>65</v>
      </c>
      <c r="M8965" s="194"/>
      <c r="N8965" s="194"/>
    </row>
    <row r="8966">
      <c r="A8966" s="193" t="s">
        <v>30119</v>
      </c>
      <c r="B8966" s="7" t="s">
        <v>16838</v>
      </c>
      <c r="C8966" s="7" t="s">
        <v>18219</v>
      </c>
      <c r="D8966" s="194">
        <v>2021.0</v>
      </c>
      <c r="E8966" s="193"/>
      <c r="F8966" s="195" t="s">
        <v>30120</v>
      </c>
      <c r="G8966" s="196">
        <v>0.0</v>
      </c>
      <c r="H8966" s="197">
        <v>10.92</v>
      </c>
      <c r="I8966" s="7" t="s">
        <v>16815</v>
      </c>
      <c r="J8966" s="7" t="s">
        <v>16838</v>
      </c>
      <c r="K8966" s="7" t="s">
        <v>18219</v>
      </c>
      <c r="L8966" s="198" t="s">
        <v>65</v>
      </c>
      <c r="M8966" s="194"/>
      <c r="N8966" s="194"/>
    </row>
    <row r="8967">
      <c r="A8967" s="193" t="s">
        <v>30121</v>
      </c>
      <c r="B8967" s="7" t="s">
        <v>16838</v>
      </c>
      <c r="C8967" s="7" t="s">
        <v>18219</v>
      </c>
      <c r="D8967" s="194">
        <v>2021.0</v>
      </c>
      <c r="E8967" s="193"/>
      <c r="F8967" s="195" t="s">
        <v>30122</v>
      </c>
      <c r="G8967" s="196">
        <v>0.0</v>
      </c>
      <c r="H8967" s="197">
        <v>10.52</v>
      </c>
      <c r="I8967" s="7" t="s">
        <v>16815</v>
      </c>
      <c r="J8967" s="7" t="s">
        <v>16838</v>
      </c>
      <c r="K8967" s="7" t="s">
        <v>18219</v>
      </c>
      <c r="L8967" s="198" t="s">
        <v>65</v>
      </c>
      <c r="M8967" s="194"/>
      <c r="N8967" s="194"/>
    </row>
    <row r="8968">
      <c r="A8968" s="193" t="s">
        <v>30123</v>
      </c>
      <c r="B8968" s="7" t="s">
        <v>16838</v>
      </c>
      <c r="C8968" s="7" t="s">
        <v>18219</v>
      </c>
      <c r="D8968" s="194">
        <v>2021.0</v>
      </c>
      <c r="E8968" s="193"/>
      <c r="F8968" s="195" t="s">
        <v>30124</v>
      </c>
      <c r="G8968" s="196">
        <v>0.0</v>
      </c>
      <c r="H8968" s="197">
        <v>10.6102</v>
      </c>
      <c r="I8968" s="7" t="s">
        <v>16815</v>
      </c>
      <c r="J8968" s="7" t="s">
        <v>16838</v>
      </c>
      <c r="K8968" s="7" t="s">
        <v>18219</v>
      </c>
      <c r="L8968" s="198" t="s">
        <v>65</v>
      </c>
      <c r="M8968" s="194"/>
      <c r="N8968" s="194"/>
    </row>
    <row r="8969">
      <c r="A8969" s="193" t="s">
        <v>30125</v>
      </c>
      <c r="B8969" s="7" t="s">
        <v>16838</v>
      </c>
      <c r="C8969" s="7" t="s">
        <v>18219</v>
      </c>
      <c r="D8969" s="194">
        <v>2020.0</v>
      </c>
      <c r="E8969" s="193"/>
      <c r="F8969" s="195" t="s">
        <v>30126</v>
      </c>
      <c r="G8969" s="196">
        <v>0.0</v>
      </c>
      <c r="H8969" s="197">
        <v>10.62</v>
      </c>
      <c r="I8969" s="7" t="s">
        <v>16815</v>
      </c>
      <c r="J8969" s="7" t="s">
        <v>16838</v>
      </c>
      <c r="K8969" s="7" t="s">
        <v>18219</v>
      </c>
      <c r="L8969" s="198" t="s">
        <v>65</v>
      </c>
      <c r="M8969" s="194"/>
      <c r="N8969" s="194"/>
    </row>
    <row r="8970">
      <c r="A8970" s="193" t="s">
        <v>30127</v>
      </c>
      <c r="B8970" s="7" t="s">
        <v>16838</v>
      </c>
      <c r="C8970" s="7" t="s">
        <v>18219</v>
      </c>
      <c r="D8970" s="194">
        <v>2021.0</v>
      </c>
      <c r="E8970" s="193"/>
      <c r="F8970" s="195" t="s">
        <v>30128</v>
      </c>
      <c r="G8970" s="196">
        <v>0.0</v>
      </c>
      <c r="H8970" s="197">
        <v>0.0295</v>
      </c>
      <c r="I8970" s="7" t="s">
        <v>16815</v>
      </c>
      <c r="J8970" s="7" t="s">
        <v>16838</v>
      </c>
      <c r="K8970" s="7" t="s">
        <v>18219</v>
      </c>
      <c r="L8970" s="198" t="s">
        <v>65</v>
      </c>
      <c r="M8970" s="194"/>
      <c r="N8970" s="194"/>
    </row>
    <row r="8971">
      <c r="A8971" s="193" t="s">
        <v>30129</v>
      </c>
      <c r="B8971" s="7" t="s">
        <v>16838</v>
      </c>
      <c r="C8971" s="7" t="s">
        <v>18219</v>
      </c>
      <c r="D8971" s="194">
        <v>2022.0</v>
      </c>
      <c r="E8971" s="193"/>
      <c r="F8971" s="195" t="s">
        <v>30130</v>
      </c>
      <c r="G8971" s="196">
        <v>0.0</v>
      </c>
      <c r="H8971" s="197">
        <v>11.06</v>
      </c>
      <c r="I8971" s="7" t="s">
        <v>16815</v>
      </c>
      <c r="J8971" s="7" t="s">
        <v>16838</v>
      </c>
      <c r="K8971" s="7" t="s">
        <v>18219</v>
      </c>
      <c r="L8971" s="198" t="s">
        <v>65</v>
      </c>
      <c r="M8971" s="194"/>
      <c r="N8971" s="194"/>
    </row>
    <row r="8972">
      <c r="A8972" s="193" t="s">
        <v>30131</v>
      </c>
      <c r="B8972" s="7" t="s">
        <v>16838</v>
      </c>
      <c r="C8972" s="7" t="s">
        <v>18219</v>
      </c>
      <c r="D8972" s="194">
        <v>2022.0</v>
      </c>
      <c r="E8972" s="193"/>
      <c r="F8972" s="195" t="s">
        <v>30132</v>
      </c>
      <c r="G8972" s="196">
        <v>0.0</v>
      </c>
      <c r="H8972" s="197">
        <v>10.76</v>
      </c>
      <c r="I8972" s="7" t="s">
        <v>16815</v>
      </c>
      <c r="J8972" s="7" t="s">
        <v>16838</v>
      </c>
      <c r="K8972" s="7" t="s">
        <v>18219</v>
      </c>
      <c r="L8972" s="198" t="s">
        <v>65</v>
      </c>
      <c r="M8972" s="194"/>
      <c r="N8972" s="194"/>
    </row>
    <row r="8973">
      <c r="A8973" s="193" t="s">
        <v>30133</v>
      </c>
      <c r="B8973" s="7" t="s">
        <v>16838</v>
      </c>
      <c r="C8973" s="7" t="s">
        <v>18219</v>
      </c>
      <c r="D8973" s="194">
        <v>2022.0</v>
      </c>
      <c r="E8973" s="193"/>
      <c r="F8973" s="195" t="s">
        <v>30134</v>
      </c>
      <c r="G8973" s="196">
        <v>0.0</v>
      </c>
      <c r="H8973" s="197">
        <v>0.027</v>
      </c>
      <c r="I8973" s="7" t="s">
        <v>16815</v>
      </c>
      <c r="J8973" s="7" t="s">
        <v>16838</v>
      </c>
      <c r="K8973" s="7" t="s">
        <v>18219</v>
      </c>
      <c r="L8973" s="198" t="s">
        <v>65</v>
      </c>
      <c r="M8973" s="194"/>
      <c r="N8973" s="194"/>
    </row>
    <row r="8974">
      <c r="A8974" s="193" t="s">
        <v>30135</v>
      </c>
      <c r="B8974" s="7" t="s">
        <v>16838</v>
      </c>
      <c r="C8974" s="7" t="s">
        <v>18219</v>
      </c>
      <c r="D8974" s="194">
        <v>2021.0</v>
      </c>
      <c r="E8974" s="193"/>
      <c r="F8974" s="195" t="s">
        <v>30136</v>
      </c>
      <c r="G8974" s="196">
        <v>0.0</v>
      </c>
      <c r="H8974" s="197">
        <v>11.12</v>
      </c>
      <c r="I8974" s="7" t="s">
        <v>16815</v>
      </c>
      <c r="J8974" s="7" t="s">
        <v>16838</v>
      </c>
      <c r="K8974" s="7" t="s">
        <v>18219</v>
      </c>
      <c r="L8974" s="198" t="s">
        <v>65</v>
      </c>
      <c r="M8974" s="194"/>
      <c r="N8974" s="194"/>
    </row>
    <row r="8975">
      <c r="A8975" s="193" t="s">
        <v>30137</v>
      </c>
      <c r="B8975" s="7" t="s">
        <v>16838</v>
      </c>
      <c r="C8975" s="7" t="s">
        <v>18219</v>
      </c>
      <c r="D8975" s="194">
        <v>2021.0</v>
      </c>
      <c r="E8975" s="193"/>
      <c r="F8975" s="195" t="s">
        <v>30138</v>
      </c>
      <c r="G8975" s="196">
        <v>0.0</v>
      </c>
      <c r="H8975" s="197">
        <v>0.0148</v>
      </c>
      <c r="I8975" s="7" t="s">
        <v>16815</v>
      </c>
      <c r="J8975" s="7" t="s">
        <v>16838</v>
      </c>
      <c r="K8975" s="7" t="s">
        <v>18219</v>
      </c>
      <c r="L8975" s="198" t="s">
        <v>65</v>
      </c>
      <c r="M8975" s="194"/>
      <c r="N8975" s="194"/>
    </row>
    <row r="8976">
      <c r="A8976" s="193" t="s">
        <v>30139</v>
      </c>
      <c r="B8976" s="7" t="s">
        <v>16838</v>
      </c>
      <c r="C8976" s="7" t="s">
        <v>18219</v>
      </c>
      <c r="D8976" s="194">
        <v>2022.0</v>
      </c>
      <c r="E8976" s="193"/>
      <c r="F8976" s="195" t="s">
        <v>30140</v>
      </c>
      <c r="G8976" s="196">
        <v>0.0</v>
      </c>
      <c r="H8976" s="197">
        <v>11.01</v>
      </c>
      <c r="I8976" s="7" t="s">
        <v>16815</v>
      </c>
      <c r="J8976" s="7" t="s">
        <v>16838</v>
      </c>
      <c r="K8976" s="7" t="s">
        <v>18219</v>
      </c>
      <c r="L8976" s="198" t="s">
        <v>65</v>
      </c>
      <c r="M8976" s="194"/>
      <c r="N8976" s="194"/>
    </row>
    <row r="8977">
      <c r="A8977" s="193" t="s">
        <v>30141</v>
      </c>
      <c r="B8977" s="7" t="s">
        <v>16838</v>
      </c>
      <c r="C8977" s="7" t="s">
        <v>18219</v>
      </c>
      <c r="D8977" s="194">
        <v>2021.0</v>
      </c>
      <c r="E8977" s="193"/>
      <c r="F8977" s="195" t="s">
        <v>30142</v>
      </c>
      <c r="G8977" s="196">
        <v>0.0</v>
      </c>
      <c r="H8977" s="197">
        <v>11.04</v>
      </c>
      <c r="I8977" s="7" t="s">
        <v>16815</v>
      </c>
      <c r="J8977" s="7" t="s">
        <v>16838</v>
      </c>
      <c r="K8977" s="7" t="s">
        <v>18219</v>
      </c>
      <c r="L8977" s="198" t="s">
        <v>65</v>
      </c>
      <c r="M8977" s="194"/>
      <c r="N8977" s="194"/>
    </row>
    <row r="8978">
      <c r="A8978" s="193" t="s">
        <v>30143</v>
      </c>
      <c r="B8978" s="7" t="s">
        <v>16838</v>
      </c>
      <c r="C8978" s="7" t="s">
        <v>18219</v>
      </c>
      <c r="D8978" s="194">
        <v>2022.0</v>
      </c>
      <c r="E8978" s="193"/>
      <c r="F8978" s="195" t="s">
        <v>30144</v>
      </c>
      <c r="G8978" s="196">
        <v>0.0</v>
      </c>
      <c r="H8978" s="197">
        <v>10.79</v>
      </c>
      <c r="I8978" s="7" t="s">
        <v>16815</v>
      </c>
      <c r="J8978" s="7" t="s">
        <v>16838</v>
      </c>
      <c r="K8978" s="7" t="s">
        <v>18219</v>
      </c>
      <c r="L8978" s="198" t="s">
        <v>65</v>
      </c>
      <c r="M8978" s="194"/>
      <c r="N8978" s="194"/>
    </row>
    <row r="8979">
      <c r="A8979" s="193" t="s">
        <v>30145</v>
      </c>
      <c r="B8979" s="7" t="s">
        <v>16838</v>
      </c>
      <c r="C8979" s="7" t="s">
        <v>18219</v>
      </c>
      <c r="D8979" s="194">
        <v>2021.0</v>
      </c>
      <c r="E8979" s="193"/>
      <c r="F8979" s="195" t="s">
        <v>30146</v>
      </c>
      <c r="G8979" s="196">
        <v>0.0</v>
      </c>
      <c r="H8979" s="197">
        <v>10.47</v>
      </c>
      <c r="I8979" s="7" t="s">
        <v>16815</v>
      </c>
      <c r="J8979" s="7" t="s">
        <v>16838</v>
      </c>
      <c r="K8979" s="7" t="s">
        <v>18219</v>
      </c>
      <c r="L8979" s="198" t="s">
        <v>65</v>
      </c>
      <c r="M8979" s="194"/>
      <c r="N8979" s="194"/>
    </row>
    <row r="8980">
      <c r="A8980" s="193" t="s">
        <v>30147</v>
      </c>
      <c r="B8980" s="7" t="s">
        <v>16838</v>
      </c>
      <c r="C8980" s="7" t="s">
        <v>18219</v>
      </c>
      <c r="D8980" s="194">
        <v>2021.0</v>
      </c>
      <c r="E8980" s="193"/>
      <c r="F8980" s="195" t="s">
        <v>30148</v>
      </c>
      <c r="G8980" s="196">
        <v>0.0</v>
      </c>
      <c r="H8980" s="197">
        <v>10.65</v>
      </c>
      <c r="I8980" s="7" t="s">
        <v>16815</v>
      </c>
      <c r="J8980" s="7" t="s">
        <v>16838</v>
      </c>
      <c r="K8980" s="7" t="s">
        <v>18219</v>
      </c>
      <c r="L8980" s="198" t="s">
        <v>65</v>
      </c>
      <c r="M8980" s="194"/>
      <c r="N8980" s="194"/>
    </row>
    <row r="8981">
      <c r="A8981" s="193" t="s">
        <v>30149</v>
      </c>
      <c r="B8981" s="7" t="s">
        <v>16838</v>
      </c>
      <c r="C8981" s="7" t="s">
        <v>18219</v>
      </c>
      <c r="D8981" s="194">
        <v>2021.0</v>
      </c>
      <c r="E8981" s="193"/>
      <c r="F8981" s="195" t="s">
        <v>30150</v>
      </c>
      <c r="G8981" s="196">
        <v>0.0</v>
      </c>
      <c r="H8981" s="197">
        <v>10.65</v>
      </c>
      <c r="I8981" s="7" t="s">
        <v>16815</v>
      </c>
      <c r="J8981" s="7" t="s">
        <v>16838</v>
      </c>
      <c r="K8981" s="7" t="s">
        <v>18219</v>
      </c>
      <c r="L8981" s="198" t="s">
        <v>65</v>
      </c>
      <c r="M8981" s="194"/>
      <c r="N8981" s="194"/>
    </row>
    <row r="8982">
      <c r="A8982" s="193" t="s">
        <v>30151</v>
      </c>
      <c r="B8982" s="7" t="s">
        <v>16838</v>
      </c>
      <c r="C8982" s="7" t="s">
        <v>18219</v>
      </c>
      <c r="D8982" s="194">
        <v>2021.0</v>
      </c>
      <c r="E8982" s="193"/>
      <c r="F8982" s="195" t="s">
        <v>30152</v>
      </c>
      <c r="G8982" s="196">
        <v>0.0</v>
      </c>
      <c r="H8982" s="197">
        <v>0.0351</v>
      </c>
      <c r="I8982" s="7" t="s">
        <v>16815</v>
      </c>
      <c r="J8982" s="7" t="s">
        <v>16838</v>
      </c>
      <c r="K8982" s="7" t="s">
        <v>18219</v>
      </c>
      <c r="L8982" s="198" t="s">
        <v>65</v>
      </c>
      <c r="M8982" s="194"/>
      <c r="N8982" s="194"/>
    </row>
    <row r="8983">
      <c r="A8983" s="193" t="s">
        <v>30153</v>
      </c>
      <c r="B8983" s="7" t="s">
        <v>16838</v>
      </c>
      <c r="C8983" s="7" t="s">
        <v>18219</v>
      </c>
      <c r="D8983" s="194">
        <v>2022.0</v>
      </c>
      <c r="E8983" s="193"/>
      <c r="F8983" s="195" t="s">
        <v>30154</v>
      </c>
      <c r="G8983" s="196">
        <v>0.0</v>
      </c>
      <c r="H8983" s="197">
        <v>10.66</v>
      </c>
      <c r="I8983" s="7" t="s">
        <v>16815</v>
      </c>
      <c r="J8983" s="7" t="s">
        <v>16838</v>
      </c>
      <c r="K8983" s="7" t="s">
        <v>18219</v>
      </c>
      <c r="L8983" s="198" t="s">
        <v>65</v>
      </c>
      <c r="M8983" s="194"/>
      <c r="N8983" s="194"/>
    </row>
    <row r="8984">
      <c r="A8984" s="193" t="s">
        <v>30155</v>
      </c>
      <c r="B8984" s="7" t="s">
        <v>16838</v>
      </c>
      <c r="C8984" s="7" t="s">
        <v>18219</v>
      </c>
      <c r="D8984" s="194">
        <v>2021.0</v>
      </c>
      <c r="E8984" s="193"/>
      <c r="F8984" s="195" t="s">
        <v>30156</v>
      </c>
      <c r="G8984" s="196">
        <v>0.0</v>
      </c>
      <c r="H8984" s="197">
        <v>10.65</v>
      </c>
      <c r="I8984" s="7" t="s">
        <v>16815</v>
      </c>
      <c r="J8984" s="7" t="s">
        <v>16838</v>
      </c>
      <c r="K8984" s="7" t="s">
        <v>18219</v>
      </c>
      <c r="L8984" s="198" t="s">
        <v>65</v>
      </c>
      <c r="M8984" s="194"/>
      <c r="N8984" s="194"/>
    </row>
    <row r="8985">
      <c r="A8985" s="193" t="s">
        <v>30157</v>
      </c>
      <c r="B8985" s="7" t="s">
        <v>16838</v>
      </c>
      <c r="C8985" s="7" t="s">
        <v>18219</v>
      </c>
      <c r="D8985" s="194">
        <v>2021.0</v>
      </c>
      <c r="E8985" s="193"/>
      <c r="F8985" s="195" t="s">
        <v>30158</v>
      </c>
      <c r="G8985" s="196">
        <v>0.0</v>
      </c>
      <c r="H8985" s="197">
        <v>0.0814</v>
      </c>
      <c r="I8985" s="7" t="s">
        <v>16815</v>
      </c>
      <c r="J8985" s="7" t="s">
        <v>16838</v>
      </c>
      <c r="K8985" s="7" t="s">
        <v>18219</v>
      </c>
      <c r="L8985" s="198" t="s">
        <v>65</v>
      </c>
      <c r="M8985" s="194"/>
      <c r="N8985" s="194"/>
    </row>
    <row r="8986">
      <c r="A8986" s="193" t="s">
        <v>30159</v>
      </c>
      <c r="B8986" s="7" t="s">
        <v>16926</v>
      </c>
      <c r="C8986" s="7" t="s">
        <v>16960</v>
      </c>
      <c r="D8986" s="199"/>
      <c r="E8986" s="193"/>
      <c r="F8986" s="195" t="s">
        <v>30160</v>
      </c>
      <c r="G8986" s="196">
        <v>0.0</v>
      </c>
      <c r="H8986" s="197">
        <v>55.63</v>
      </c>
      <c r="I8986" s="7" t="s">
        <v>16815</v>
      </c>
      <c r="J8986" s="7" t="s">
        <v>16926</v>
      </c>
      <c r="K8986" s="7" t="s">
        <v>16960</v>
      </c>
      <c r="L8986" s="198" t="s">
        <v>65</v>
      </c>
      <c r="M8986" s="199"/>
      <c r="N8986" s="199"/>
    </row>
    <row r="8987">
      <c r="A8987" s="193" t="s">
        <v>30161</v>
      </c>
      <c r="B8987" s="7" t="s">
        <v>16838</v>
      </c>
      <c r="C8987" s="7" t="s">
        <v>17002</v>
      </c>
      <c r="D8987" s="194">
        <v>2019.0</v>
      </c>
      <c r="E8987" s="193"/>
      <c r="F8987" s="195" t="s">
        <v>30162</v>
      </c>
      <c r="G8987" s="196">
        <v>0.0</v>
      </c>
      <c r="H8987" s="197">
        <v>22.705</v>
      </c>
      <c r="I8987" s="7" t="s">
        <v>16815</v>
      </c>
      <c r="J8987" s="7" t="s">
        <v>16838</v>
      </c>
      <c r="K8987" s="7" t="s">
        <v>17002</v>
      </c>
      <c r="L8987" s="198" t="s">
        <v>65</v>
      </c>
      <c r="M8987" s="194"/>
      <c r="N8987" s="194"/>
    </row>
    <row r="8988">
      <c r="A8988" s="193" t="s">
        <v>30163</v>
      </c>
      <c r="B8988" s="7" t="s">
        <v>16582</v>
      </c>
      <c r="C8988" s="7" t="s">
        <v>16817</v>
      </c>
      <c r="D8988" s="194">
        <v>2022.0</v>
      </c>
      <c r="E8988" s="193"/>
      <c r="F8988" s="195" t="s">
        <v>30164</v>
      </c>
      <c r="G8988" s="196">
        <v>0.0</v>
      </c>
      <c r="H8988" s="197">
        <v>10.71</v>
      </c>
      <c r="I8988" s="7" t="s">
        <v>16815</v>
      </c>
      <c r="J8988" s="7" t="s">
        <v>16582</v>
      </c>
      <c r="K8988" s="7" t="s">
        <v>16817</v>
      </c>
      <c r="L8988" s="198" t="s">
        <v>65</v>
      </c>
      <c r="M8988" s="194"/>
      <c r="N8988" s="194"/>
    </row>
    <row r="8989">
      <c r="A8989" s="193" t="s">
        <v>30165</v>
      </c>
      <c r="B8989" s="7" t="s">
        <v>16582</v>
      </c>
      <c r="C8989" s="7" t="s">
        <v>16817</v>
      </c>
      <c r="D8989" s="194">
        <v>2021.0</v>
      </c>
      <c r="E8989" s="193"/>
      <c r="F8989" s="195" t="s">
        <v>30166</v>
      </c>
      <c r="G8989" s="196">
        <v>0.0</v>
      </c>
      <c r="H8989" s="197">
        <v>11.31</v>
      </c>
      <c r="I8989" s="7" t="s">
        <v>16815</v>
      </c>
      <c r="J8989" s="7" t="s">
        <v>16582</v>
      </c>
      <c r="K8989" s="7" t="s">
        <v>16817</v>
      </c>
      <c r="L8989" s="198" t="s">
        <v>65</v>
      </c>
      <c r="M8989" s="194"/>
      <c r="N8989" s="194"/>
    </row>
    <row r="8990">
      <c r="A8990" s="193" t="s">
        <v>30167</v>
      </c>
      <c r="B8990" s="7" t="s">
        <v>16582</v>
      </c>
      <c r="C8990" s="7" t="s">
        <v>16817</v>
      </c>
      <c r="D8990" s="194">
        <v>2022.0</v>
      </c>
      <c r="E8990" s="193"/>
      <c r="F8990" s="195" t="s">
        <v>30168</v>
      </c>
      <c r="G8990" s="196">
        <v>0.0</v>
      </c>
      <c r="H8990" s="197">
        <v>0.02</v>
      </c>
      <c r="I8990" s="7" t="s">
        <v>16815</v>
      </c>
      <c r="J8990" s="7" t="s">
        <v>16582</v>
      </c>
      <c r="K8990" s="7" t="s">
        <v>16817</v>
      </c>
      <c r="L8990" s="198" t="s">
        <v>65</v>
      </c>
      <c r="M8990" s="194"/>
      <c r="N8990" s="194"/>
    </row>
    <row r="8991">
      <c r="A8991" s="193" t="s">
        <v>29178</v>
      </c>
      <c r="B8991" s="7" t="s">
        <v>16854</v>
      </c>
      <c r="C8991" s="7" t="s">
        <v>175</v>
      </c>
      <c r="D8991" s="194">
        <v>2022.0</v>
      </c>
      <c r="E8991" s="193"/>
      <c r="F8991" s="195" t="s">
        <v>29179</v>
      </c>
      <c r="G8991" s="200">
        <v>0.0</v>
      </c>
      <c r="H8991" s="197">
        <v>11.12</v>
      </c>
      <c r="I8991" s="7" t="s">
        <v>16815</v>
      </c>
      <c r="J8991" s="7" t="s">
        <v>16854</v>
      </c>
      <c r="K8991" s="7" t="s">
        <v>175</v>
      </c>
      <c r="L8991" s="201" t="s">
        <v>16835</v>
      </c>
      <c r="M8991" s="194"/>
      <c r="N8991" s="194"/>
    </row>
    <row r="8992">
      <c r="A8992" s="193" t="s">
        <v>29192</v>
      </c>
      <c r="B8992" s="7" t="s">
        <v>16854</v>
      </c>
      <c r="C8992" s="7" t="s">
        <v>175</v>
      </c>
      <c r="D8992" s="194">
        <v>2022.0</v>
      </c>
      <c r="E8992" s="193"/>
      <c r="F8992" s="195" t="s">
        <v>29193</v>
      </c>
      <c r="G8992" s="200">
        <v>0.0</v>
      </c>
      <c r="H8992" s="197">
        <v>10.84</v>
      </c>
      <c r="I8992" s="7" t="s">
        <v>16815</v>
      </c>
      <c r="J8992" s="7" t="s">
        <v>16854</v>
      </c>
      <c r="K8992" s="7" t="s">
        <v>175</v>
      </c>
      <c r="L8992" s="201" t="s">
        <v>16835</v>
      </c>
      <c r="M8992" s="194"/>
      <c r="N8992" s="194"/>
    </row>
    <row r="8993">
      <c r="A8993" s="193" t="s">
        <v>29190</v>
      </c>
      <c r="B8993" s="7" t="s">
        <v>16824</v>
      </c>
      <c r="C8993" s="7" t="s">
        <v>175</v>
      </c>
      <c r="D8993" s="194">
        <v>2018.0</v>
      </c>
      <c r="E8993" s="193"/>
      <c r="F8993" s="195" t="s">
        <v>29191</v>
      </c>
      <c r="G8993" s="200">
        <v>0.0</v>
      </c>
      <c r="H8993" s="197">
        <v>10.75</v>
      </c>
      <c r="I8993" s="7" t="s">
        <v>16815</v>
      </c>
      <c r="J8993" s="7" t="s">
        <v>16824</v>
      </c>
      <c r="K8993" s="7" t="s">
        <v>175</v>
      </c>
      <c r="L8993" s="201" t="s">
        <v>16835</v>
      </c>
      <c r="M8993" s="194"/>
      <c r="N8993" s="194"/>
    </row>
    <row r="8994">
      <c r="A8994" s="193" t="s">
        <v>30169</v>
      </c>
      <c r="B8994" s="7" t="s">
        <v>169</v>
      </c>
      <c r="C8994" s="7" t="s">
        <v>17013</v>
      </c>
      <c r="D8994" s="194">
        <v>2021.0</v>
      </c>
      <c r="E8994" s="193"/>
      <c r="F8994" s="195" t="s">
        <v>30170</v>
      </c>
      <c r="G8994" s="196">
        <v>0.0</v>
      </c>
      <c r="H8994" s="197">
        <v>11.65</v>
      </c>
      <c r="I8994" s="7" t="s">
        <v>16815</v>
      </c>
      <c r="J8994" s="7" t="s">
        <v>169</v>
      </c>
      <c r="K8994" s="7" t="s">
        <v>17013</v>
      </c>
      <c r="L8994" s="198" t="s">
        <v>65</v>
      </c>
      <c r="M8994" s="194"/>
      <c r="N8994" s="194"/>
    </row>
    <row r="8995">
      <c r="A8995" s="193" t="s">
        <v>30171</v>
      </c>
      <c r="B8995" s="7" t="s">
        <v>169</v>
      </c>
      <c r="C8995" s="7" t="s">
        <v>17013</v>
      </c>
      <c r="D8995" s="194">
        <v>2021.0</v>
      </c>
      <c r="E8995" s="193"/>
      <c r="F8995" s="195" t="s">
        <v>30172</v>
      </c>
      <c r="G8995" s="196">
        <v>0.0</v>
      </c>
      <c r="H8995" s="197">
        <v>10.83</v>
      </c>
      <c r="I8995" s="7" t="s">
        <v>16815</v>
      </c>
      <c r="J8995" s="7" t="s">
        <v>169</v>
      </c>
      <c r="K8995" s="7" t="s">
        <v>17013</v>
      </c>
      <c r="L8995" s="198" t="s">
        <v>65</v>
      </c>
      <c r="M8995" s="194"/>
      <c r="N8995" s="194"/>
    </row>
    <row r="8996">
      <c r="A8996" s="193" t="s">
        <v>30173</v>
      </c>
      <c r="B8996" s="7" t="s">
        <v>169</v>
      </c>
      <c r="C8996" s="7" t="s">
        <v>17013</v>
      </c>
      <c r="D8996" s="194">
        <v>2021.0</v>
      </c>
      <c r="E8996" s="193"/>
      <c r="F8996" s="195" t="s">
        <v>30174</v>
      </c>
      <c r="G8996" s="196">
        <v>0.0</v>
      </c>
      <c r="H8996" s="197">
        <v>0.0115</v>
      </c>
      <c r="I8996" s="7" t="s">
        <v>16815</v>
      </c>
      <c r="J8996" s="7" t="s">
        <v>169</v>
      </c>
      <c r="K8996" s="7" t="s">
        <v>17013</v>
      </c>
      <c r="L8996" s="198" t="s">
        <v>65</v>
      </c>
      <c r="M8996" s="194"/>
      <c r="N8996" s="194"/>
    </row>
    <row r="8997">
      <c r="A8997" s="193" t="s">
        <v>30175</v>
      </c>
      <c r="B8997" s="7" t="s">
        <v>169</v>
      </c>
      <c r="C8997" s="7" t="s">
        <v>17013</v>
      </c>
      <c r="D8997" s="194">
        <v>2022.0</v>
      </c>
      <c r="E8997" s="193"/>
      <c r="F8997" s="195" t="s">
        <v>30176</v>
      </c>
      <c r="G8997" s="196">
        <v>0.0</v>
      </c>
      <c r="H8997" s="197">
        <v>10.63</v>
      </c>
      <c r="I8997" s="7" t="s">
        <v>16815</v>
      </c>
      <c r="J8997" s="7" t="s">
        <v>169</v>
      </c>
      <c r="K8997" s="7" t="s">
        <v>17013</v>
      </c>
      <c r="L8997" s="198" t="s">
        <v>65</v>
      </c>
      <c r="M8997" s="194"/>
      <c r="N8997" s="194"/>
    </row>
    <row r="8998">
      <c r="A8998" s="193" t="s">
        <v>30177</v>
      </c>
      <c r="B8998" s="7" t="s">
        <v>169</v>
      </c>
      <c r="C8998" s="7" t="s">
        <v>17013</v>
      </c>
      <c r="D8998" s="194">
        <v>2022.0</v>
      </c>
      <c r="E8998" s="193"/>
      <c r="F8998" s="195" t="s">
        <v>30178</v>
      </c>
      <c r="G8998" s="196">
        <v>0.0</v>
      </c>
      <c r="H8998" s="197">
        <v>10.96</v>
      </c>
      <c r="I8998" s="7" t="s">
        <v>16815</v>
      </c>
      <c r="J8998" s="7" t="s">
        <v>169</v>
      </c>
      <c r="K8998" s="7" t="s">
        <v>17013</v>
      </c>
      <c r="L8998" s="198" t="s">
        <v>65</v>
      </c>
      <c r="M8998" s="194"/>
      <c r="N8998" s="194"/>
    </row>
    <row r="8999">
      <c r="A8999" s="193" t="s">
        <v>30179</v>
      </c>
      <c r="B8999" s="7" t="s">
        <v>169</v>
      </c>
      <c r="C8999" s="7" t="s">
        <v>17013</v>
      </c>
      <c r="D8999" s="194">
        <v>2021.0</v>
      </c>
      <c r="E8999" s="193"/>
      <c r="F8999" s="195" t="s">
        <v>30180</v>
      </c>
      <c r="G8999" s="196">
        <v>0.0</v>
      </c>
      <c r="H8999" s="197">
        <v>10.88</v>
      </c>
      <c r="I8999" s="7" t="s">
        <v>16815</v>
      </c>
      <c r="J8999" s="7" t="s">
        <v>169</v>
      </c>
      <c r="K8999" s="7" t="s">
        <v>17013</v>
      </c>
      <c r="L8999" s="198" t="s">
        <v>65</v>
      </c>
      <c r="M8999" s="194"/>
      <c r="N8999" s="194"/>
    </row>
    <row r="9000">
      <c r="A9000" s="193" t="s">
        <v>30181</v>
      </c>
      <c r="B9000" s="7" t="s">
        <v>169</v>
      </c>
      <c r="C9000" s="7" t="s">
        <v>17013</v>
      </c>
      <c r="D9000" s="194">
        <v>2021.0</v>
      </c>
      <c r="E9000" s="193"/>
      <c r="F9000" s="195" t="s">
        <v>30182</v>
      </c>
      <c r="G9000" s="196">
        <v>0.0</v>
      </c>
      <c r="H9000" s="197">
        <v>0.03</v>
      </c>
      <c r="I9000" s="7" t="s">
        <v>16815</v>
      </c>
      <c r="J9000" s="7" t="s">
        <v>169</v>
      </c>
      <c r="K9000" s="7" t="s">
        <v>17013</v>
      </c>
      <c r="L9000" s="198" t="s">
        <v>65</v>
      </c>
      <c r="M9000" s="194"/>
      <c r="N9000" s="194"/>
    </row>
    <row r="9001">
      <c r="A9001" s="193" t="s">
        <v>30183</v>
      </c>
      <c r="B9001" s="7" t="s">
        <v>169</v>
      </c>
      <c r="C9001" s="7" t="s">
        <v>17013</v>
      </c>
      <c r="D9001" s="194">
        <v>2021.0</v>
      </c>
      <c r="E9001" s="193"/>
      <c r="F9001" s="195" t="s">
        <v>30184</v>
      </c>
      <c r="G9001" s="196">
        <v>0.0</v>
      </c>
      <c r="H9001" s="197">
        <v>10.28</v>
      </c>
      <c r="I9001" s="7" t="s">
        <v>16815</v>
      </c>
      <c r="J9001" s="7" t="s">
        <v>169</v>
      </c>
      <c r="K9001" s="7" t="s">
        <v>17013</v>
      </c>
      <c r="L9001" s="198" t="s">
        <v>65</v>
      </c>
      <c r="M9001" s="194"/>
      <c r="N9001" s="194"/>
    </row>
    <row r="9002">
      <c r="A9002" s="193" t="s">
        <v>30185</v>
      </c>
      <c r="B9002" s="7" t="s">
        <v>16838</v>
      </c>
      <c r="C9002" s="7" t="s">
        <v>17838</v>
      </c>
      <c r="D9002" s="194">
        <v>2019.0</v>
      </c>
      <c r="E9002" s="193"/>
      <c r="F9002" s="195" t="s">
        <v>30186</v>
      </c>
      <c r="G9002" s="196">
        <v>0.0</v>
      </c>
      <c r="H9002" s="197">
        <v>23.0303</v>
      </c>
      <c r="I9002" s="7" t="s">
        <v>16815</v>
      </c>
      <c r="J9002" s="7" t="s">
        <v>16838</v>
      </c>
      <c r="K9002" s="7" t="s">
        <v>17838</v>
      </c>
      <c r="L9002" s="198" t="s">
        <v>65</v>
      </c>
      <c r="M9002" s="194"/>
      <c r="N9002" s="194"/>
    </row>
    <row r="9003">
      <c r="A9003" s="193" t="s">
        <v>30187</v>
      </c>
      <c r="B9003" s="7" t="s">
        <v>16582</v>
      </c>
      <c r="C9003" s="7" t="s">
        <v>16930</v>
      </c>
      <c r="D9003" s="199"/>
      <c r="E9003" s="193"/>
      <c r="F9003" s="195" t="s">
        <v>30188</v>
      </c>
      <c r="G9003" s="196">
        <v>0.0</v>
      </c>
      <c r="H9003" s="197">
        <v>0.162</v>
      </c>
      <c r="I9003" s="7" t="s">
        <v>16815</v>
      </c>
      <c r="J9003" s="7" t="s">
        <v>16582</v>
      </c>
      <c r="K9003" s="7" t="s">
        <v>16930</v>
      </c>
      <c r="L9003" s="198" t="s">
        <v>65</v>
      </c>
      <c r="M9003" s="199"/>
      <c r="N9003" s="199"/>
    </row>
    <row r="9004">
      <c r="A9004" s="193" t="s">
        <v>30189</v>
      </c>
      <c r="B9004" s="7" t="s">
        <v>16582</v>
      </c>
      <c r="C9004" s="7" t="s">
        <v>16930</v>
      </c>
      <c r="D9004" s="194">
        <v>2022.0</v>
      </c>
      <c r="E9004" s="193"/>
      <c r="F9004" s="195" t="s">
        <v>30190</v>
      </c>
      <c r="G9004" s="196">
        <v>0.0</v>
      </c>
      <c r="H9004" s="197">
        <v>10.8</v>
      </c>
      <c r="I9004" s="7" t="s">
        <v>16815</v>
      </c>
      <c r="J9004" s="7" t="s">
        <v>16582</v>
      </c>
      <c r="K9004" s="7" t="s">
        <v>16930</v>
      </c>
      <c r="L9004" s="198" t="s">
        <v>65</v>
      </c>
      <c r="M9004" s="194"/>
      <c r="N9004" s="194"/>
    </row>
    <row r="9005">
      <c r="A9005" s="193" t="s">
        <v>30191</v>
      </c>
      <c r="B9005" s="7" t="s">
        <v>16582</v>
      </c>
      <c r="C9005" s="7" t="s">
        <v>16930</v>
      </c>
      <c r="D9005" s="194">
        <v>2022.0</v>
      </c>
      <c r="E9005" s="193"/>
      <c r="F9005" s="195" t="s">
        <v>30192</v>
      </c>
      <c r="G9005" s="196">
        <v>0.0</v>
      </c>
      <c r="H9005" s="197">
        <v>10.86</v>
      </c>
      <c r="I9005" s="7" t="s">
        <v>16815</v>
      </c>
      <c r="J9005" s="7" t="s">
        <v>16582</v>
      </c>
      <c r="K9005" s="7" t="s">
        <v>16930</v>
      </c>
      <c r="L9005" s="198" t="s">
        <v>65</v>
      </c>
      <c r="M9005" s="194"/>
      <c r="N9005" s="194"/>
    </row>
    <row r="9006">
      <c r="A9006" s="193" t="s">
        <v>30193</v>
      </c>
      <c r="B9006" s="7" t="s">
        <v>16582</v>
      </c>
      <c r="C9006" s="7" t="s">
        <v>16930</v>
      </c>
      <c r="D9006" s="194">
        <v>2022.0</v>
      </c>
      <c r="E9006" s="193"/>
      <c r="F9006" s="195" t="s">
        <v>30194</v>
      </c>
      <c r="G9006" s="196">
        <v>0.0</v>
      </c>
      <c r="H9006" s="197">
        <v>0.06</v>
      </c>
      <c r="I9006" s="7" t="s">
        <v>16815</v>
      </c>
      <c r="J9006" s="7" t="s">
        <v>16582</v>
      </c>
      <c r="K9006" s="7" t="s">
        <v>16930</v>
      </c>
      <c r="L9006" s="198" t="s">
        <v>65</v>
      </c>
      <c r="M9006" s="194"/>
      <c r="N9006" s="194"/>
    </row>
    <row r="9007">
      <c r="A9007" s="193" t="s">
        <v>29204</v>
      </c>
      <c r="B9007" s="7" t="s">
        <v>16920</v>
      </c>
      <c r="C9007" s="7" t="s">
        <v>158</v>
      </c>
      <c r="D9007" s="199"/>
      <c r="E9007" s="193"/>
      <c r="F9007" s="195" t="s">
        <v>29205</v>
      </c>
      <c r="G9007" s="200">
        <v>0.0</v>
      </c>
      <c r="H9007" s="197">
        <v>26.33</v>
      </c>
      <c r="I9007" s="7" t="s">
        <v>16815</v>
      </c>
      <c r="J9007" s="7" t="s">
        <v>16920</v>
      </c>
      <c r="K9007" s="7" t="s">
        <v>158</v>
      </c>
      <c r="L9007" s="201" t="s">
        <v>16835</v>
      </c>
      <c r="M9007" s="199"/>
      <c r="N9007" s="199"/>
    </row>
    <row r="9008">
      <c r="A9008" s="193" t="s">
        <v>29200</v>
      </c>
      <c r="B9008" s="7" t="s">
        <v>16864</v>
      </c>
      <c r="C9008" s="7" t="s">
        <v>158</v>
      </c>
      <c r="D9008" s="194">
        <v>2021.0</v>
      </c>
      <c r="E9008" s="193"/>
      <c r="F9008" s="195" t="s">
        <v>29201</v>
      </c>
      <c r="G9008" s="200">
        <v>0.0</v>
      </c>
      <c r="H9008" s="197">
        <v>10.51</v>
      </c>
      <c r="I9008" s="7" t="s">
        <v>16815</v>
      </c>
      <c r="J9008" s="7" t="s">
        <v>16864</v>
      </c>
      <c r="K9008" s="7" t="s">
        <v>158</v>
      </c>
      <c r="L9008" s="201" t="s">
        <v>16835</v>
      </c>
      <c r="M9008" s="194"/>
      <c r="N9008" s="194"/>
    </row>
    <row r="9009">
      <c r="A9009" s="193" t="s">
        <v>29228</v>
      </c>
      <c r="B9009" s="7" t="s">
        <v>18219</v>
      </c>
      <c r="C9009" s="7" t="s">
        <v>16838</v>
      </c>
      <c r="D9009" s="194">
        <v>2021.0</v>
      </c>
      <c r="E9009" s="193"/>
      <c r="F9009" s="195" t="s">
        <v>29229</v>
      </c>
      <c r="G9009" s="200">
        <v>0.0</v>
      </c>
      <c r="H9009" s="197">
        <v>10.3</v>
      </c>
      <c r="I9009" s="7" t="s">
        <v>16815</v>
      </c>
      <c r="J9009" s="7" t="s">
        <v>18219</v>
      </c>
      <c r="K9009" s="7" t="s">
        <v>16838</v>
      </c>
      <c r="L9009" s="201" t="s">
        <v>16835</v>
      </c>
      <c r="M9009" s="194"/>
      <c r="N9009" s="194"/>
    </row>
    <row r="9010">
      <c r="A9010" s="193" t="s">
        <v>29260</v>
      </c>
      <c r="B9010" s="7" t="s">
        <v>18219</v>
      </c>
      <c r="C9010" s="7" t="s">
        <v>16838</v>
      </c>
      <c r="D9010" s="194">
        <v>2021.0</v>
      </c>
      <c r="E9010" s="193"/>
      <c r="F9010" s="195" t="s">
        <v>29261</v>
      </c>
      <c r="G9010" s="200">
        <v>0.0</v>
      </c>
      <c r="H9010" s="197">
        <v>10.3</v>
      </c>
      <c r="I9010" s="7" t="s">
        <v>16815</v>
      </c>
      <c r="J9010" s="7" t="s">
        <v>18219</v>
      </c>
      <c r="K9010" s="7" t="s">
        <v>16838</v>
      </c>
      <c r="L9010" s="201" t="s">
        <v>16835</v>
      </c>
      <c r="M9010" s="194"/>
      <c r="N9010" s="194"/>
    </row>
    <row r="9011">
      <c r="A9011" s="193" t="s">
        <v>29286</v>
      </c>
      <c r="B9011" s="7" t="s">
        <v>18219</v>
      </c>
      <c r="C9011" s="7" t="s">
        <v>16838</v>
      </c>
      <c r="D9011" s="194">
        <v>2022.0</v>
      </c>
      <c r="E9011" s="193"/>
      <c r="F9011" s="195" t="s">
        <v>29287</v>
      </c>
      <c r="G9011" s="200">
        <v>0.0</v>
      </c>
      <c r="H9011" s="197">
        <v>11.01</v>
      </c>
      <c r="I9011" s="7" t="s">
        <v>16815</v>
      </c>
      <c r="J9011" s="7" t="s">
        <v>18219</v>
      </c>
      <c r="K9011" s="7" t="s">
        <v>16838</v>
      </c>
      <c r="L9011" s="201" t="s">
        <v>16835</v>
      </c>
      <c r="M9011" s="194"/>
      <c r="N9011" s="194"/>
    </row>
    <row r="9012">
      <c r="A9012" s="193" t="s">
        <v>29288</v>
      </c>
      <c r="B9012" s="7" t="s">
        <v>18219</v>
      </c>
      <c r="C9012" s="7" t="s">
        <v>16838</v>
      </c>
      <c r="D9012" s="194">
        <v>2021.0</v>
      </c>
      <c r="E9012" s="193"/>
      <c r="F9012" s="195" t="s">
        <v>29289</v>
      </c>
      <c r="G9012" s="200">
        <v>0.0</v>
      </c>
      <c r="H9012" s="197">
        <v>10.69</v>
      </c>
      <c r="I9012" s="7" t="s">
        <v>16815</v>
      </c>
      <c r="J9012" s="7" t="s">
        <v>18219</v>
      </c>
      <c r="K9012" s="7" t="s">
        <v>16838</v>
      </c>
      <c r="L9012" s="201" t="s">
        <v>16835</v>
      </c>
      <c r="M9012" s="194"/>
      <c r="N9012" s="194"/>
    </row>
    <row r="9013">
      <c r="A9013" s="193" t="s">
        <v>29346</v>
      </c>
      <c r="B9013" s="7" t="s">
        <v>18219</v>
      </c>
      <c r="C9013" s="7" t="s">
        <v>16838</v>
      </c>
      <c r="D9013" s="194">
        <v>2022.0</v>
      </c>
      <c r="E9013" s="193"/>
      <c r="F9013" s="195" t="s">
        <v>29347</v>
      </c>
      <c r="G9013" s="200">
        <v>0.0</v>
      </c>
      <c r="H9013" s="197">
        <v>10.82</v>
      </c>
      <c r="I9013" s="7" t="s">
        <v>16815</v>
      </c>
      <c r="J9013" s="7" t="s">
        <v>18219</v>
      </c>
      <c r="K9013" s="7" t="s">
        <v>16838</v>
      </c>
      <c r="L9013" s="201" t="s">
        <v>16835</v>
      </c>
      <c r="M9013" s="194"/>
      <c r="N9013" s="194"/>
    </row>
    <row r="9014">
      <c r="A9014" s="193" t="s">
        <v>29408</v>
      </c>
      <c r="B9014" s="7" t="s">
        <v>18219</v>
      </c>
      <c r="C9014" s="7" t="s">
        <v>16838</v>
      </c>
      <c r="D9014" s="194">
        <v>2021.0</v>
      </c>
      <c r="E9014" s="193"/>
      <c r="F9014" s="195" t="s">
        <v>29409</v>
      </c>
      <c r="G9014" s="200">
        <v>0.0</v>
      </c>
      <c r="H9014" s="197">
        <v>10.69</v>
      </c>
      <c r="I9014" s="7" t="s">
        <v>16815</v>
      </c>
      <c r="J9014" s="7" t="s">
        <v>18219</v>
      </c>
      <c r="K9014" s="7" t="s">
        <v>16838</v>
      </c>
      <c r="L9014" s="201" t="s">
        <v>16835</v>
      </c>
      <c r="M9014" s="194"/>
      <c r="N9014" s="194"/>
    </row>
    <row r="9015">
      <c r="A9015" s="193" t="s">
        <v>29418</v>
      </c>
      <c r="B9015" s="7" t="s">
        <v>18219</v>
      </c>
      <c r="C9015" s="7" t="s">
        <v>16838</v>
      </c>
      <c r="D9015" s="194">
        <v>2022.0</v>
      </c>
      <c r="E9015" s="193"/>
      <c r="F9015" s="195" t="s">
        <v>29419</v>
      </c>
      <c r="G9015" s="200">
        <v>0.0</v>
      </c>
      <c r="H9015" s="197">
        <v>10.745</v>
      </c>
      <c r="I9015" s="7" t="s">
        <v>16815</v>
      </c>
      <c r="J9015" s="7" t="s">
        <v>18219</v>
      </c>
      <c r="K9015" s="7" t="s">
        <v>16838</v>
      </c>
      <c r="L9015" s="201" t="s">
        <v>16835</v>
      </c>
      <c r="M9015" s="194"/>
      <c r="N9015" s="194"/>
    </row>
    <row r="9016">
      <c r="A9016" s="193" t="s">
        <v>29448</v>
      </c>
      <c r="B9016" s="7" t="s">
        <v>18219</v>
      </c>
      <c r="C9016" s="7" t="s">
        <v>16838</v>
      </c>
      <c r="D9016" s="194">
        <v>2022.0</v>
      </c>
      <c r="E9016" s="193"/>
      <c r="F9016" s="195" t="s">
        <v>29449</v>
      </c>
      <c r="G9016" s="200">
        <v>0.0</v>
      </c>
      <c r="H9016" s="197">
        <v>10.6499</v>
      </c>
      <c r="I9016" s="7" t="s">
        <v>16815</v>
      </c>
      <c r="J9016" s="7" t="s">
        <v>18219</v>
      </c>
      <c r="K9016" s="7" t="s">
        <v>16838</v>
      </c>
      <c r="L9016" s="201" t="s">
        <v>16835</v>
      </c>
      <c r="M9016" s="194"/>
      <c r="N9016" s="194"/>
    </row>
    <row r="9017">
      <c r="A9017" s="193" t="s">
        <v>29464</v>
      </c>
      <c r="B9017" s="7" t="s">
        <v>18219</v>
      </c>
      <c r="C9017" s="7" t="s">
        <v>16838</v>
      </c>
      <c r="D9017" s="194">
        <v>2021.0</v>
      </c>
      <c r="E9017" s="193"/>
      <c r="F9017" s="195" t="s">
        <v>29465</v>
      </c>
      <c r="G9017" s="200">
        <v>0.0</v>
      </c>
      <c r="H9017" s="197">
        <v>10.46</v>
      </c>
      <c r="I9017" s="7" t="s">
        <v>16815</v>
      </c>
      <c r="J9017" s="7" t="s">
        <v>18219</v>
      </c>
      <c r="K9017" s="7" t="s">
        <v>16838</v>
      </c>
      <c r="L9017" s="201" t="s">
        <v>16835</v>
      </c>
      <c r="M9017" s="194"/>
      <c r="N9017" s="194"/>
    </row>
    <row r="9018">
      <c r="A9018" s="193" t="s">
        <v>29498</v>
      </c>
      <c r="B9018" s="7" t="s">
        <v>18219</v>
      </c>
      <c r="C9018" s="7" t="s">
        <v>16838</v>
      </c>
      <c r="D9018" s="194">
        <v>2021.0</v>
      </c>
      <c r="E9018" s="193"/>
      <c r="F9018" s="195" t="s">
        <v>29499</v>
      </c>
      <c r="G9018" s="200">
        <v>0.0</v>
      </c>
      <c r="H9018" s="197">
        <v>10.31</v>
      </c>
      <c r="I9018" s="7" t="s">
        <v>16815</v>
      </c>
      <c r="J9018" s="7" t="s">
        <v>18219</v>
      </c>
      <c r="K9018" s="7" t="s">
        <v>16838</v>
      </c>
      <c r="L9018" s="201" t="s">
        <v>16835</v>
      </c>
      <c r="M9018" s="194"/>
      <c r="N9018" s="194"/>
    </row>
    <row r="9019">
      <c r="A9019" s="193" t="s">
        <v>29500</v>
      </c>
      <c r="B9019" s="7" t="s">
        <v>18219</v>
      </c>
      <c r="C9019" s="7" t="s">
        <v>16838</v>
      </c>
      <c r="D9019" s="194">
        <v>2021.0</v>
      </c>
      <c r="E9019" s="193"/>
      <c r="F9019" s="195" t="s">
        <v>29501</v>
      </c>
      <c r="G9019" s="200">
        <v>0.0</v>
      </c>
      <c r="H9019" s="197">
        <v>10.55</v>
      </c>
      <c r="I9019" s="7" t="s">
        <v>16815</v>
      </c>
      <c r="J9019" s="7" t="s">
        <v>18219</v>
      </c>
      <c r="K9019" s="7" t="s">
        <v>16838</v>
      </c>
      <c r="L9019" s="201" t="s">
        <v>16835</v>
      </c>
      <c r="M9019" s="194"/>
      <c r="N9019" s="194"/>
    </row>
    <row r="9020">
      <c r="A9020" s="193" t="s">
        <v>29521</v>
      </c>
      <c r="B9020" s="7" t="s">
        <v>18219</v>
      </c>
      <c r="C9020" s="7" t="s">
        <v>16838</v>
      </c>
      <c r="D9020" s="194">
        <v>2021.0</v>
      </c>
      <c r="E9020" s="193"/>
      <c r="F9020" s="195" t="s">
        <v>29522</v>
      </c>
      <c r="G9020" s="200">
        <v>0.0</v>
      </c>
      <c r="H9020" s="197">
        <v>10.97</v>
      </c>
      <c r="I9020" s="7" t="s">
        <v>16815</v>
      </c>
      <c r="J9020" s="7" t="s">
        <v>18219</v>
      </c>
      <c r="K9020" s="7" t="s">
        <v>16838</v>
      </c>
      <c r="L9020" s="201" t="s">
        <v>16835</v>
      </c>
      <c r="M9020" s="194"/>
      <c r="N9020" s="194"/>
    </row>
    <row r="9021">
      <c r="A9021" s="193" t="s">
        <v>29523</v>
      </c>
      <c r="B9021" s="7" t="s">
        <v>18219</v>
      </c>
      <c r="C9021" s="7" t="s">
        <v>16838</v>
      </c>
      <c r="D9021" s="194">
        <v>2021.0</v>
      </c>
      <c r="E9021" s="193"/>
      <c r="F9021" s="195" t="s">
        <v>29524</v>
      </c>
      <c r="G9021" s="200">
        <v>0.0</v>
      </c>
      <c r="H9021" s="197">
        <v>10.47</v>
      </c>
      <c r="I9021" s="7" t="s">
        <v>16815</v>
      </c>
      <c r="J9021" s="7" t="s">
        <v>18219</v>
      </c>
      <c r="K9021" s="7" t="s">
        <v>16838</v>
      </c>
      <c r="L9021" s="201" t="s">
        <v>16835</v>
      </c>
      <c r="M9021" s="194"/>
      <c r="N9021" s="194"/>
    </row>
    <row r="9022">
      <c r="A9022" s="193" t="s">
        <v>29603</v>
      </c>
      <c r="B9022" s="7" t="s">
        <v>18219</v>
      </c>
      <c r="C9022" s="7" t="s">
        <v>16838</v>
      </c>
      <c r="D9022" s="194">
        <v>2021.0</v>
      </c>
      <c r="E9022" s="193"/>
      <c r="F9022" s="195" t="s">
        <v>29604</v>
      </c>
      <c r="G9022" s="200">
        <v>0.0</v>
      </c>
      <c r="H9022" s="197">
        <v>10.39</v>
      </c>
      <c r="I9022" s="7" t="s">
        <v>16815</v>
      </c>
      <c r="J9022" s="7" t="s">
        <v>18219</v>
      </c>
      <c r="K9022" s="7" t="s">
        <v>16838</v>
      </c>
      <c r="L9022" s="201" t="s">
        <v>16835</v>
      </c>
      <c r="M9022" s="194"/>
      <c r="N9022" s="194"/>
    </row>
    <row r="9023">
      <c r="A9023" s="193" t="s">
        <v>29615</v>
      </c>
      <c r="B9023" s="7" t="s">
        <v>18219</v>
      </c>
      <c r="C9023" s="7" t="s">
        <v>16838</v>
      </c>
      <c r="D9023" s="194">
        <v>2022.0</v>
      </c>
      <c r="E9023" s="193"/>
      <c r="F9023" s="195" t="s">
        <v>29616</v>
      </c>
      <c r="G9023" s="200">
        <v>0.0</v>
      </c>
      <c r="H9023" s="197">
        <v>10.82</v>
      </c>
      <c r="I9023" s="7" t="s">
        <v>16815</v>
      </c>
      <c r="J9023" s="7" t="s">
        <v>18219</v>
      </c>
      <c r="K9023" s="7" t="s">
        <v>16838</v>
      </c>
      <c r="L9023" s="201" t="s">
        <v>16835</v>
      </c>
      <c r="M9023" s="194"/>
      <c r="N9023" s="194"/>
    </row>
    <row r="9024">
      <c r="A9024" s="193" t="s">
        <v>29707</v>
      </c>
      <c r="B9024" s="7" t="s">
        <v>18219</v>
      </c>
      <c r="C9024" s="7" t="s">
        <v>16838</v>
      </c>
      <c r="D9024" s="194">
        <v>2022.0</v>
      </c>
      <c r="E9024" s="193"/>
      <c r="F9024" s="195" t="s">
        <v>29708</v>
      </c>
      <c r="G9024" s="200">
        <v>0.0</v>
      </c>
      <c r="H9024" s="197">
        <v>10.9899</v>
      </c>
      <c r="I9024" s="7" t="s">
        <v>16815</v>
      </c>
      <c r="J9024" s="7" t="s">
        <v>18219</v>
      </c>
      <c r="K9024" s="7" t="s">
        <v>16838</v>
      </c>
      <c r="L9024" s="201" t="s">
        <v>16835</v>
      </c>
      <c r="M9024" s="194"/>
      <c r="N9024" s="194"/>
    </row>
    <row r="9025">
      <c r="A9025" s="193" t="s">
        <v>29755</v>
      </c>
      <c r="B9025" s="7" t="s">
        <v>18219</v>
      </c>
      <c r="C9025" s="7" t="s">
        <v>16838</v>
      </c>
      <c r="D9025" s="194">
        <v>2021.0</v>
      </c>
      <c r="E9025" s="193"/>
      <c r="F9025" s="195" t="s">
        <v>29756</v>
      </c>
      <c r="G9025" s="200">
        <v>0.0</v>
      </c>
      <c r="H9025" s="197">
        <v>10.6</v>
      </c>
      <c r="I9025" s="7" t="s">
        <v>16815</v>
      </c>
      <c r="J9025" s="7" t="s">
        <v>18219</v>
      </c>
      <c r="K9025" s="7" t="s">
        <v>16838</v>
      </c>
      <c r="L9025" s="201" t="s">
        <v>16835</v>
      </c>
      <c r="M9025" s="194"/>
      <c r="N9025" s="194"/>
    </row>
    <row r="9026">
      <c r="A9026" s="193" t="s">
        <v>29757</v>
      </c>
      <c r="B9026" s="7" t="s">
        <v>18219</v>
      </c>
      <c r="C9026" s="7" t="s">
        <v>16838</v>
      </c>
      <c r="D9026" s="194">
        <v>2022.0</v>
      </c>
      <c r="E9026" s="193"/>
      <c r="F9026" s="195" t="s">
        <v>29758</v>
      </c>
      <c r="G9026" s="200">
        <v>0.0</v>
      </c>
      <c r="H9026" s="197">
        <v>10.54</v>
      </c>
      <c r="I9026" s="7" t="s">
        <v>16815</v>
      </c>
      <c r="J9026" s="7" t="s">
        <v>18219</v>
      </c>
      <c r="K9026" s="7" t="s">
        <v>16838</v>
      </c>
      <c r="L9026" s="201" t="s">
        <v>16835</v>
      </c>
      <c r="M9026" s="194"/>
      <c r="N9026" s="194"/>
    </row>
    <row r="9027">
      <c r="A9027" s="193" t="s">
        <v>29775</v>
      </c>
      <c r="B9027" s="7" t="s">
        <v>18219</v>
      </c>
      <c r="C9027" s="7" t="s">
        <v>16838</v>
      </c>
      <c r="D9027" s="194">
        <v>2021.0</v>
      </c>
      <c r="E9027" s="193"/>
      <c r="F9027" s="195" t="s">
        <v>29776</v>
      </c>
      <c r="G9027" s="200">
        <v>0.0</v>
      </c>
      <c r="H9027" s="197">
        <v>10.72</v>
      </c>
      <c r="I9027" s="7" t="s">
        <v>16815</v>
      </c>
      <c r="J9027" s="7" t="s">
        <v>18219</v>
      </c>
      <c r="K9027" s="7" t="s">
        <v>16838</v>
      </c>
      <c r="L9027" s="201" t="s">
        <v>16835</v>
      </c>
      <c r="M9027" s="194"/>
      <c r="N9027" s="194"/>
    </row>
    <row r="9028">
      <c r="A9028" s="193" t="s">
        <v>29785</v>
      </c>
      <c r="B9028" s="7" t="s">
        <v>18219</v>
      </c>
      <c r="C9028" s="7" t="s">
        <v>16838</v>
      </c>
      <c r="D9028" s="194">
        <v>2021.0</v>
      </c>
      <c r="E9028" s="193"/>
      <c r="F9028" s="195" t="s">
        <v>29786</v>
      </c>
      <c r="G9028" s="200">
        <v>0.0</v>
      </c>
      <c r="H9028" s="197">
        <v>10.45</v>
      </c>
      <c r="I9028" s="7" t="s">
        <v>16815</v>
      </c>
      <c r="J9028" s="7" t="s">
        <v>18219</v>
      </c>
      <c r="K9028" s="7" t="s">
        <v>16838</v>
      </c>
      <c r="L9028" s="201" t="s">
        <v>16835</v>
      </c>
      <c r="M9028" s="194"/>
      <c r="N9028" s="194"/>
    </row>
    <row r="9029">
      <c r="A9029" s="193" t="s">
        <v>29819</v>
      </c>
      <c r="B9029" s="7" t="s">
        <v>18219</v>
      </c>
      <c r="C9029" s="7" t="s">
        <v>16838</v>
      </c>
      <c r="D9029" s="194">
        <v>2022.0</v>
      </c>
      <c r="E9029" s="193"/>
      <c r="F9029" s="195" t="s">
        <v>29820</v>
      </c>
      <c r="G9029" s="200">
        <v>0.0</v>
      </c>
      <c r="H9029" s="197">
        <v>10.88</v>
      </c>
      <c r="I9029" s="7" t="s">
        <v>16815</v>
      </c>
      <c r="J9029" s="7" t="s">
        <v>18219</v>
      </c>
      <c r="K9029" s="7" t="s">
        <v>16838</v>
      </c>
      <c r="L9029" s="201" t="s">
        <v>16835</v>
      </c>
      <c r="M9029" s="194"/>
      <c r="N9029" s="194"/>
    </row>
    <row r="9030">
      <c r="A9030" s="193" t="s">
        <v>29831</v>
      </c>
      <c r="B9030" s="7" t="s">
        <v>18219</v>
      </c>
      <c r="C9030" s="7" t="s">
        <v>16838</v>
      </c>
      <c r="D9030" s="199"/>
      <c r="E9030" s="193"/>
      <c r="F9030" s="195" t="s">
        <v>29832</v>
      </c>
      <c r="G9030" s="200">
        <v>0.0</v>
      </c>
      <c r="H9030" s="197">
        <v>10.4001</v>
      </c>
      <c r="I9030" s="7" t="s">
        <v>16815</v>
      </c>
      <c r="J9030" s="7" t="s">
        <v>18219</v>
      </c>
      <c r="K9030" s="7" t="s">
        <v>16838</v>
      </c>
      <c r="L9030" s="201" t="s">
        <v>16835</v>
      </c>
      <c r="M9030" s="199"/>
      <c r="N9030" s="199"/>
    </row>
    <row r="9031">
      <c r="A9031" s="193" t="s">
        <v>29847</v>
      </c>
      <c r="B9031" s="7" t="s">
        <v>18219</v>
      </c>
      <c r="C9031" s="7" t="s">
        <v>16838</v>
      </c>
      <c r="D9031" s="194">
        <v>2021.0</v>
      </c>
      <c r="E9031" s="193"/>
      <c r="F9031" s="195" t="s">
        <v>29848</v>
      </c>
      <c r="G9031" s="200">
        <v>0.0</v>
      </c>
      <c r="H9031" s="197">
        <v>10.59</v>
      </c>
      <c r="I9031" s="7" t="s">
        <v>16815</v>
      </c>
      <c r="J9031" s="7" t="s">
        <v>18219</v>
      </c>
      <c r="K9031" s="7" t="s">
        <v>16838</v>
      </c>
      <c r="L9031" s="201" t="s">
        <v>16835</v>
      </c>
      <c r="M9031" s="194"/>
      <c r="N9031" s="194"/>
    </row>
    <row r="9032">
      <c r="A9032" s="193" t="s">
        <v>29895</v>
      </c>
      <c r="B9032" s="7" t="s">
        <v>18219</v>
      </c>
      <c r="C9032" s="7" t="s">
        <v>16838</v>
      </c>
      <c r="D9032" s="194">
        <v>2022.0</v>
      </c>
      <c r="E9032" s="193"/>
      <c r="F9032" s="195" t="s">
        <v>29896</v>
      </c>
      <c r="G9032" s="200">
        <v>0.0</v>
      </c>
      <c r="H9032" s="197">
        <v>10.7901</v>
      </c>
      <c r="I9032" s="7" t="s">
        <v>16815</v>
      </c>
      <c r="J9032" s="7" t="s">
        <v>18219</v>
      </c>
      <c r="K9032" s="7" t="s">
        <v>16838</v>
      </c>
      <c r="L9032" s="201" t="s">
        <v>16835</v>
      </c>
      <c r="M9032" s="194"/>
      <c r="N9032" s="194"/>
    </row>
    <row r="9033">
      <c r="A9033" s="193" t="s">
        <v>29913</v>
      </c>
      <c r="B9033" s="7" t="s">
        <v>18219</v>
      </c>
      <c r="C9033" s="7" t="s">
        <v>16838</v>
      </c>
      <c r="D9033" s="194">
        <v>2021.0</v>
      </c>
      <c r="E9033" s="193"/>
      <c r="F9033" s="195" t="s">
        <v>29914</v>
      </c>
      <c r="G9033" s="200">
        <v>0.0</v>
      </c>
      <c r="H9033" s="197">
        <v>11.0</v>
      </c>
      <c r="I9033" s="7" t="s">
        <v>16815</v>
      </c>
      <c r="J9033" s="7" t="s">
        <v>18219</v>
      </c>
      <c r="K9033" s="7" t="s">
        <v>16838</v>
      </c>
      <c r="L9033" s="201" t="s">
        <v>16835</v>
      </c>
      <c r="M9033" s="194"/>
      <c r="N9033" s="194"/>
    </row>
    <row r="9034">
      <c r="A9034" s="193" t="s">
        <v>29915</v>
      </c>
      <c r="B9034" s="7" t="s">
        <v>18219</v>
      </c>
      <c r="C9034" s="7" t="s">
        <v>16838</v>
      </c>
      <c r="D9034" s="194">
        <v>2021.0</v>
      </c>
      <c r="E9034" s="193"/>
      <c r="F9034" s="195" t="s">
        <v>29916</v>
      </c>
      <c r="G9034" s="200">
        <v>0.0</v>
      </c>
      <c r="H9034" s="197">
        <v>10.96</v>
      </c>
      <c r="I9034" s="7" t="s">
        <v>16815</v>
      </c>
      <c r="J9034" s="7" t="s">
        <v>18219</v>
      </c>
      <c r="K9034" s="7" t="s">
        <v>16838</v>
      </c>
      <c r="L9034" s="201" t="s">
        <v>16835</v>
      </c>
      <c r="M9034" s="194"/>
      <c r="N9034" s="194"/>
    </row>
    <row r="9035">
      <c r="A9035" s="193" t="s">
        <v>29937</v>
      </c>
      <c r="B9035" s="7" t="s">
        <v>18219</v>
      </c>
      <c r="C9035" s="7" t="s">
        <v>16838</v>
      </c>
      <c r="D9035" s="194">
        <v>2022.0</v>
      </c>
      <c r="E9035" s="193"/>
      <c r="F9035" s="195" t="s">
        <v>29938</v>
      </c>
      <c r="G9035" s="200">
        <v>0.0</v>
      </c>
      <c r="H9035" s="197">
        <v>10.64</v>
      </c>
      <c r="I9035" s="7" t="s">
        <v>16815</v>
      </c>
      <c r="J9035" s="7" t="s">
        <v>18219</v>
      </c>
      <c r="K9035" s="7" t="s">
        <v>16838</v>
      </c>
      <c r="L9035" s="201" t="s">
        <v>16835</v>
      </c>
      <c r="M9035" s="194"/>
      <c r="N9035" s="194"/>
    </row>
    <row r="9036">
      <c r="A9036" s="193" t="s">
        <v>29985</v>
      </c>
      <c r="B9036" s="7" t="s">
        <v>18219</v>
      </c>
      <c r="C9036" s="7" t="s">
        <v>16838</v>
      </c>
      <c r="D9036" s="194">
        <v>2021.0</v>
      </c>
      <c r="E9036" s="193"/>
      <c r="F9036" s="195" t="s">
        <v>29986</v>
      </c>
      <c r="G9036" s="200">
        <v>0.0</v>
      </c>
      <c r="H9036" s="197">
        <v>10.91</v>
      </c>
      <c r="I9036" s="7" t="s">
        <v>16815</v>
      </c>
      <c r="J9036" s="7" t="s">
        <v>18219</v>
      </c>
      <c r="K9036" s="7" t="s">
        <v>16838</v>
      </c>
      <c r="L9036" s="201" t="s">
        <v>16835</v>
      </c>
      <c r="M9036" s="194"/>
      <c r="N9036" s="194"/>
    </row>
    <row r="9037">
      <c r="A9037" s="193" t="s">
        <v>30007</v>
      </c>
      <c r="B9037" s="7" t="s">
        <v>18219</v>
      </c>
      <c r="C9037" s="7" t="s">
        <v>16838</v>
      </c>
      <c r="D9037" s="194">
        <v>2021.0</v>
      </c>
      <c r="E9037" s="193"/>
      <c r="F9037" s="195" t="s">
        <v>30008</v>
      </c>
      <c r="G9037" s="200">
        <v>0.0</v>
      </c>
      <c r="H9037" s="197">
        <v>10.89</v>
      </c>
      <c r="I9037" s="7" t="s">
        <v>16815</v>
      </c>
      <c r="J9037" s="7" t="s">
        <v>18219</v>
      </c>
      <c r="K9037" s="7" t="s">
        <v>16838</v>
      </c>
      <c r="L9037" s="201" t="s">
        <v>16835</v>
      </c>
      <c r="M9037" s="194"/>
      <c r="N9037" s="194"/>
    </row>
    <row r="9038">
      <c r="A9038" s="193" t="s">
        <v>30009</v>
      </c>
      <c r="B9038" s="7" t="s">
        <v>18219</v>
      </c>
      <c r="C9038" s="7" t="s">
        <v>16838</v>
      </c>
      <c r="D9038" s="194">
        <v>2021.0</v>
      </c>
      <c r="E9038" s="193"/>
      <c r="F9038" s="195" t="s">
        <v>30010</v>
      </c>
      <c r="G9038" s="200">
        <v>0.0</v>
      </c>
      <c r="H9038" s="197">
        <v>10.93</v>
      </c>
      <c r="I9038" s="7" t="s">
        <v>16815</v>
      </c>
      <c r="J9038" s="7" t="s">
        <v>18219</v>
      </c>
      <c r="K9038" s="7" t="s">
        <v>16838</v>
      </c>
      <c r="L9038" s="201" t="s">
        <v>16835</v>
      </c>
      <c r="M9038" s="194"/>
      <c r="N9038" s="194"/>
    </row>
    <row r="9039">
      <c r="A9039" s="193" t="s">
        <v>30021</v>
      </c>
      <c r="B9039" s="7" t="s">
        <v>18219</v>
      </c>
      <c r="C9039" s="7" t="s">
        <v>16838</v>
      </c>
      <c r="D9039" s="194">
        <v>2023.0</v>
      </c>
      <c r="E9039" s="193"/>
      <c r="F9039" s="195" t="s">
        <v>30022</v>
      </c>
      <c r="G9039" s="200">
        <v>0.0</v>
      </c>
      <c r="H9039" s="197">
        <v>10.26</v>
      </c>
      <c r="I9039" s="7" t="s">
        <v>16815</v>
      </c>
      <c r="J9039" s="7" t="s">
        <v>18219</v>
      </c>
      <c r="K9039" s="7" t="s">
        <v>16838</v>
      </c>
      <c r="L9039" s="201" t="s">
        <v>16835</v>
      </c>
      <c r="M9039" s="194"/>
      <c r="N9039" s="194"/>
    </row>
    <row r="9040">
      <c r="A9040" s="193" t="s">
        <v>30029</v>
      </c>
      <c r="B9040" s="7" t="s">
        <v>18219</v>
      </c>
      <c r="C9040" s="7" t="s">
        <v>16838</v>
      </c>
      <c r="D9040" s="194">
        <v>2021.0</v>
      </c>
      <c r="E9040" s="193"/>
      <c r="F9040" s="195" t="s">
        <v>30030</v>
      </c>
      <c r="G9040" s="200">
        <v>0.0</v>
      </c>
      <c r="H9040" s="197">
        <v>10.73</v>
      </c>
      <c r="I9040" s="7" t="s">
        <v>16815</v>
      </c>
      <c r="J9040" s="7" t="s">
        <v>18219</v>
      </c>
      <c r="K9040" s="7" t="s">
        <v>16838</v>
      </c>
      <c r="L9040" s="201" t="s">
        <v>16835</v>
      </c>
      <c r="M9040" s="194"/>
      <c r="N9040" s="194"/>
    </row>
    <row r="9041">
      <c r="A9041" s="193" t="s">
        <v>30055</v>
      </c>
      <c r="B9041" s="7" t="s">
        <v>18219</v>
      </c>
      <c r="C9041" s="7" t="s">
        <v>16838</v>
      </c>
      <c r="D9041" s="194">
        <v>2022.0</v>
      </c>
      <c r="E9041" s="193"/>
      <c r="F9041" s="195" t="s">
        <v>30056</v>
      </c>
      <c r="G9041" s="200">
        <v>0.0</v>
      </c>
      <c r="H9041" s="197">
        <v>10.65</v>
      </c>
      <c r="I9041" s="7" t="s">
        <v>16815</v>
      </c>
      <c r="J9041" s="7" t="s">
        <v>18219</v>
      </c>
      <c r="K9041" s="7" t="s">
        <v>16838</v>
      </c>
      <c r="L9041" s="201" t="s">
        <v>16835</v>
      </c>
      <c r="M9041" s="194"/>
      <c r="N9041" s="194"/>
    </row>
    <row r="9042">
      <c r="A9042" s="193" t="s">
        <v>30077</v>
      </c>
      <c r="B9042" s="7" t="s">
        <v>18219</v>
      </c>
      <c r="C9042" s="7" t="s">
        <v>16838</v>
      </c>
      <c r="D9042" s="194">
        <v>2022.0</v>
      </c>
      <c r="E9042" s="193"/>
      <c r="F9042" s="195" t="s">
        <v>30078</v>
      </c>
      <c r="G9042" s="200">
        <v>0.0</v>
      </c>
      <c r="H9042" s="197">
        <v>10.58</v>
      </c>
      <c r="I9042" s="7" t="s">
        <v>16815</v>
      </c>
      <c r="J9042" s="7" t="s">
        <v>18219</v>
      </c>
      <c r="K9042" s="7" t="s">
        <v>16838</v>
      </c>
      <c r="L9042" s="201" t="s">
        <v>16835</v>
      </c>
      <c r="M9042" s="194"/>
      <c r="N9042" s="194"/>
    </row>
    <row r="9043">
      <c r="A9043" s="193" t="s">
        <v>30107</v>
      </c>
      <c r="B9043" s="7" t="s">
        <v>18219</v>
      </c>
      <c r="C9043" s="7" t="s">
        <v>16838</v>
      </c>
      <c r="D9043" s="194">
        <v>2021.0</v>
      </c>
      <c r="E9043" s="193"/>
      <c r="F9043" s="195" t="s">
        <v>30108</v>
      </c>
      <c r="G9043" s="200">
        <v>0.0</v>
      </c>
      <c r="H9043" s="197">
        <v>10.76</v>
      </c>
      <c r="I9043" s="7" t="s">
        <v>16815</v>
      </c>
      <c r="J9043" s="7" t="s">
        <v>18219</v>
      </c>
      <c r="K9043" s="7" t="s">
        <v>16838</v>
      </c>
      <c r="L9043" s="201" t="s">
        <v>16835</v>
      </c>
      <c r="M9043" s="194"/>
      <c r="N9043" s="194"/>
    </row>
    <row r="9044">
      <c r="A9044" s="193" t="s">
        <v>30113</v>
      </c>
      <c r="B9044" s="7" t="s">
        <v>18219</v>
      </c>
      <c r="C9044" s="7" t="s">
        <v>16838</v>
      </c>
      <c r="D9044" s="194">
        <v>2021.0</v>
      </c>
      <c r="E9044" s="193"/>
      <c r="F9044" s="195" t="s">
        <v>30114</v>
      </c>
      <c r="G9044" s="200">
        <v>0.0</v>
      </c>
      <c r="H9044" s="197">
        <v>10.54</v>
      </c>
      <c r="I9044" s="7" t="s">
        <v>16815</v>
      </c>
      <c r="J9044" s="7" t="s">
        <v>18219</v>
      </c>
      <c r="K9044" s="7" t="s">
        <v>16838</v>
      </c>
      <c r="L9044" s="201" t="s">
        <v>16835</v>
      </c>
      <c r="M9044" s="194"/>
      <c r="N9044" s="194"/>
    </row>
    <row r="9045">
      <c r="A9045" s="193" t="s">
        <v>30139</v>
      </c>
      <c r="B9045" s="7" t="s">
        <v>18219</v>
      </c>
      <c r="C9045" s="7" t="s">
        <v>16838</v>
      </c>
      <c r="D9045" s="194">
        <v>2022.0</v>
      </c>
      <c r="E9045" s="193"/>
      <c r="F9045" s="195" t="s">
        <v>30140</v>
      </c>
      <c r="G9045" s="200">
        <v>0.0</v>
      </c>
      <c r="H9045" s="197">
        <v>11.01</v>
      </c>
      <c r="I9045" s="7" t="s">
        <v>16815</v>
      </c>
      <c r="J9045" s="7" t="s">
        <v>18219</v>
      </c>
      <c r="K9045" s="7" t="s">
        <v>16838</v>
      </c>
      <c r="L9045" s="201" t="s">
        <v>16835</v>
      </c>
      <c r="M9045" s="194"/>
      <c r="N9045" s="194"/>
    </row>
    <row r="9046">
      <c r="A9046" s="193" t="s">
        <v>30143</v>
      </c>
      <c r="B9046" s="7" t="s">
        <v>18219</v>
      </c>
      <c r="C9046" s="7" t="s">
        <v>16838</v>
      </c>
      <c r="D9046" s="194">
        <v>2022.0</v>
      </c>
      <c r="E9046" s="193"/>
      <c r="F9046" s="195" t="s">
        <v>30144</v>
      </c>
      <c r="G9046" s="200">
        <v>0.0</v>
      </c>
      <c r="H9046" s="197">
        <v>10.79</v>
      </c>
      <c r="I9046" s="7" t="s">
        <v>16815</v>
      </c>
      <c r="J9046" s="7" t="s">
        <v>18219</v>
      </c>
      <c r="K9046" s="7" t="s">
        <v>16838</v>
      </c>
      <c r="L9046" s="201" t="s">
        <v>16835</v>
      </c>
      <c r="M9046" s="194"/>
      <c r="N9046" s="194"/>
    </row>
    <row r="9047">
      <c r="A9047" s="193" t="s">
        <v>30185</v>
      </c>
      <c r="B9047" s="7" t="s">
        <v>17838</v>
      </c>
      <c r="C9047" s="7" t="s">
        <v>16838</v>
      </c>
      <c r="D9047" s="194">
        <v>2019.0</v>
      </c>
      <c r="E9047" s="193"/>
      <c r="F9047" s="195" t="s">
        <v>30186</v>
      </c>
      <c r="G9047" s="200">
        <v>0.0</v>
      </c>
      <c r="H9047" s="197">
        <v>23.0303</v>
      </c>
      <c r="I9047" s="7" t="s">
        <v>16815</v>
      </c>
      <c r="J9047" s="7" t="s">
        <v>17838</v>
      </c>
      <c r="K9047" s="7" t="s">
        <v>16838</v>
      </c>
      <c r="L9047" s="201" t="s">
        <v>16835</v>
      </c>
      <c r="M9047" s="194"/>
      <c r="N9047" s="194"/>
    </row>
    <row r="9048">
      <c r="A9048" s="193" t="s">
        <v>29248</v>
      </c>
      <c r="B9048" s="7" t="s">
        <v>19644</v>
      </c>
      <c r="C9048" s="7" t="s">
        <v>16838</v>
      </c>
      <c r="D9048" s="194">
        <v>2013.0</v>
      </c>
      <c r="E9048" s="193"/>
      <c r="F9048" s="195" t="s">
        <v>29249</v>
      </c>
      <c r="G9048" s="200">
        <v>0.0</v>
      </c>
      <c r="H9048" s="197">
        <v>12.85</v>
      </c>
      <c r="I9048" s="7" t="s">
        <v>16815</v>
      </c>
      <c r="J9048" s="7" t="s">
        <v>19644</v>
      </c>
      <c r="K9048" s="7" t="s">
        <v>16838</v>
      </c>
      <c r="L9048" s="201" t="s">
        <v>16835</v>
      </c>
      <c r="M9048" s="194"/>
      <c r="N9048" s="194"/>
    </row>
    <row r="9049">
      <c r="A9049" s="193" t="s">
        <v>29348</v>
      </c>
      <c r="B9049" s="7" t="s">
        <v>19644</v>
      </c>
      <c r="C9049" s="7" t="s">
        <v>16838</v>
      </c>
      <c r="D9049" s="194">
        <v>2010.0</v>
      </c>
      <c r="E9049" s="193"/>
      <c r="F9049" s="195" t="s">
        <v>29349</v>
      </c>
      <c r="G9049" s="200">
        <v>0.0</v>
      </c>
      <c r="H9049" s="197">
        <v>15.33</v>
      </c>
      <c r="I9049" s="7" t="s">
        <v>16815</v>
      </c>
      <c r="J9049" s="7" t="s">
        <v>19644</v>
      </c>
      <c r="K9049" s="7" t="s">
        <v>16838</v>
      </c>
      <c r="L9049" s="201" t="s">
        <v>16835</v>
      </c>
      <c r="M9049" s="194"/>
      <c r="N9049" s="194"/>
    </row>
    <row r="9050">
      <c r="A9050" s="193" t="s">
        <v>29350</v>
      </c>
      <c r="B9050" s="7" t="s">
        <v>19644</v>
      </c>
      <c r="C9050" s="7" t="s">
        <v>16838</v>
      </c>
      <c r="D9050" s="194">
        <v>2005.0</v>
      </c>
      <c r="E9050" s="193"/>
      <c r="F9050" s="195" t="s">
        <v>29351</v>
      </c>
      <c r="G9050" s="200">
        <v>0.0</v>
      </c>
      <c r="H9050" s="197">
        <v>7.35</v>
      </c>
      <c r="I9050" s="7" t="s">
        <v>16815</v>
      </c>
      <c r="J9050" s="7" t="s">
        <v>19644</v>
      </c>
      <c r="K9050" s="7" t="s">
        <v>16838</v>
      </c>
      <c r="L9050" s="201" t="s">
        <v>16835</v>
      </c>
      <c r="M9050" s="194"/>
      <c r="N9050" s="194"/>
    </row>
    <row r="9051">
      <c r="A9051" s="193" t="s">
        <v>29352</v>
      </c>
      <c r="B9051" s="7" t="s">
        <v>19644</v>
      </c>
      <c r="C9051" s="7" t="s">
        <v>16838</v>
      </c>
      <c r="D9051" s="199"/>
      <c r="E9051" s="193"/>
      <c r="F9051" s="195" t="s">
        <v>29353</v>
      </c>
      <c r="G9051" s="200">
        <v>0.0</v>
      </c>
      <c r="H9051" s="197">
        <v>9.23</v>
      </c>
      <c r="I9051" s="7" t="s">
        <v>16815</v>
      </c>
      <c r="J9051" s="7" t="s">
        <v>19644</v>
      </c>
      <c r="K9051" s="7" t="s">
        <v>16838</v>
      </c>
      <c r="L9051" s="201" t="s">
        <v>16835</v>
      </c>
      <c r="M9051" s="199"/>
      <c r="N9051" s="199"/>
    </row>
    <row r="9052">
      <c r="A9052" s="193" t="s">
        <v>29354</v>
      </c>
      <c r="B9052" s="7" t="s">
        <v>19644</v>
      </c>
      <c r="C9052" s="7" t="s">
        <v>16838</v>
      </c>
      <c r="D9052" s="194">
        <v>2001.0</v>
      </c>
      <c r="E9052" s="193"/>
      <c r="F9052" s="195" t="s">
        <v>29355</v>
      </c>
      <c r="G9052" s="200">
        <v>0.0</v>
      </c>
      <c r="H9052" s="197">
        <v>10.56</v>
      </c>
      <c r="I9052" s="7" t="s">
        <v>16815</v>
      </c>
      <c r="J9052" s="7" t="s">
        <v>19644</v>
      </c>
      <c r="K9052" s="7" t="s">
        <v>16838</v>
      </c>
      <c r="L9052" s="201" t="s">
        <v>16835</v>
      </c>
      <c r="M9052" s="194"/>
      <c r="N9052" s="194"/>
    </row>
    <row r="9053">
      <c r="A9053" s="193" t="s">
        <v>30195</v>
      </c>
      <c r="B9053" s="7" t="s">
        <v>19644</v>
      </c>
      <c r="C9053" s="7" t="s">
        <v>16838</v>
      </c>
      <c r="D9053" s="194">
        <v>2001.0</v>
      </c>
      <c r="E9053" s="193"/>
      <c r="F9053" s="195" t="s">
        <v>30196</v>
      </c>
      <c r="G9053" s="200">
        <v>0.0</v>
      </c>
      <c r="H9053" s="197">
        <v>9.76</v>
      </c>
      <c r="I9053" s="7" t="s">
        <v>16815</v>
      </c>
      <c r="J9053" s="7" t="s">
        <v>19644</v>
      </c>
      <c r="K9053" s="7" t="s">
        <v>16838</v>
      </c>
      <c r="L9053" s="201" t="s">
        <v>16835</v>
      </c>
      <c r="M9053" s="194"/>
      <c r="N9053" s="194"/>
    </row>
    <row r="9054">
      <c r="A9054" s="193" t="s">
        <v>30197</v>
      </c>
      <c r="B9054" s="7" t="s">
        <v>19644</v>
      </c>
      <c r="C9054" s="7" t="s">
        <v>16838</v>
      </c>
      <c r="D9054" s="199"/>
      <c r="E9054" s="193"/>
      <c r="F9054" s="195" t="s">
        <v>30198</v>
      </c>
      <c r="G9054" s="200">
        <v>0.0</v>
      </c>
      <c r="H9054" s="197">
        <v>8.63</v>
      </c>
      <c r="I9054" s="7" t="s">
        <v>16815</v>
      </c>
      <c r="J9054" s="7" t="s">
        <v>19644</v>
      </c>
      <c r="K9054" s="7" t="s">
        <v>16838</v>
      </c>
      <c r="L9054" s="201" t="s">
        <v>16835</v>
      </c>
      <c r="M9054" s="199"/>
      <c r="N9054" s="199"/>
    </row>
    <row r="9055">
      <c r="A9055" s="193" t="s">
        <v>30199</v>
      </c>
      <c r="B9055" s="7" t="s">
        <v>19644</v>
      </c>
      <c r="C9055" s="7" t="s">
        <v>16838</v>
      </c>
      <c r="D9055" s="194">
        <v>1998.0</v>
      </c>
      <c r="E9055" s="193"/>
      <c r="F9055" s="195" t="s">
        <v>30200</v>
      </c>
      <c r="G9055" s="200">
        <v>0.0</v>
      </c>
      <c r="H9055" s="197">
        <v>2.21</v>
      </c>
      <c r="I9055" s="7" t="s">
        <v>16815</v>
      </c>
      <c r="J9055" s="7" t="s">
        <v>19644</v>
      </c>
      <c r="K9055" s="7" t="s">
        <v>16838</v>
      </c>
      <c r="L9055" s="201" t="s">
        <v>16835</v>
      </c>
      <c r="M9055" s="194"/>
      <c r="N9055" s="194"/>
    </row>
    <row r="9056">
      <c r="A9056" s="193" t="s">
        <v>30201</v>
      </c>
      <c r="B9056" s="7" t="s">
        <v>19644</v>
      </c>
      <c r="C9056" s="7" t="s">
        <v>16838</v>
      </c>
      <c r="D9056" s="194">
        <v>2014.0</v>
      </c>
      <c r="E9056" s="193"/>
      <c r="F9056" s="195" t="s">
        <v>30202</v>
      </c>
      <c r="G9056" s="200">
        <v>0.0</v>
      </c>
      <c r="H9056" s="197">
        <v>13.4</v>
      </c>
      <c r="I9056" s="7" t="s">
        <v>16815</v>
      </c>
      <c r="J9056" s="7" t="s">
        <v>19644</v>
      </c>
      <c r="K9056" s="7" t="s">
        <v>16838</v>
      </c>
      <c r="L9056" s="201" t="s">
        <v>16835</v>
      </c>
      <c r="M9056" s="194"/>
      <c r="N9056" s="194"/>
    </row>
    <row r="9057">
      <c r="A9057" s="193" t="s">
        <v>30203</v>
      </c>
      <c r="B9057" s="7" t="s">
        <v>19644</v>
      </c>
      <c r="C9057" s="7" t="s">
        <v>16838</v>
      </c>
      <c r="D9057" s="194">
        <v>1998.0</v>
      </c>
      <c r="E9057" s="193"/>
      <c r="F9057" s="195" t="s">
        <v>30204</v>
      </c>
      <c r="G9057" s="200">
        <v>0.0</v>
      </c>
      <c r="H9057" s="197">
        <v>10.12</v>
      </c>
      <c r="I9057" s="7" t="s">
        <v>16815</v>
      </c>
      <c r="J9057" s="7" t="s">
        <v>19644</v>
      </c>
      <c r="K9057" s="7" t="s">
        <v>16838</v>
      </c>
      <c r="L9057" s="201" t="s">
        <v>16835</v>
      </c>
      <c r="M9057" s="194"/>
      <c r="N9057" s="194"/>
    </row>
    <row r="9058">
      <c r="A9058" s="193" t="s">
        <v>30205</v>
      </c>
      <c r="B9058" s="7" t="s">
        <v>19644</v>
      </c>
      <c r="C9058" s="7" t="s">
        <v>16838</v>
      </c>
      <c r="D9058" s="194">
        <v>2007.0</v>
      </c>
      <c r="E9058" s="193"/>
      <c r="F9058" s="195" t="s">
        <v>30206</v>
      </c>
      <c r="G9058" s="200">
        <v>0.0</v>
      </c>
      <c r="H9058" s="197">
        <v>4.53</v>
      </c>
      <c r="I9058" s="7" t="s">
        <v>16815</v>
      </c>
      <c r="J9058" s="7" t="s">
        <v>19644</v>
      </c>
      <c r="K9058" s="7" t="s">
        <v>16838</v>
      </c>
      <c r="L9058" s="201" t="s">
        <v>16835</v>
      </c>
      <c r="M9058" s="194"/>
      <c r="N9058" s="194"/>
    </row>
    <row r="9059">
      <c r="A9059" s="193" t="s">
        <v>30207</v>
      </c>
      <c r="B9059" s="7" t="s">
        <v>19644</v>
      </c>
      <c r="C9059" s="7" t="s">
        <v>16838</v>
      </c>
      <c r="D9059" s="194">
        <v>2012.0</v>
      </c>
      <c r="E9059" s="193"/>
      <c r="F9059" s="195" t="s">
        <v>30208</v>
      </c>
      <c r="G9059" s="200">
        <v>0.0</v>
      </c>
      <c r="H9059" s="197">
        <v>4.8</v>
      </c>
      <c r="I9059" s="7" t="s">
        <v>16815</v>
      </c>
      <c r="J9059" s="7" t="s">
        <v>19644</v>
      </c>
      <c r="K9059" s="7" t="s">
        <v>16838</v>
      </c>
      <c r="L9059" s="201" t="s">
        <v>16835</v>
      </c>
      <c r="M9059" s="194"/>
      <c r="N9059" s="194"/>
    </row>
    <row r="9060">
      <c r="A9060" s="193" t="s">
        <v>30209</v>
      </c>
      <c r="B9060" s="7" t="s">
        <v>19644</v>
      </c>
      <c r="C9060" s="7" t="s">
        <v>16838</v>
      </c>
      <c r="D9060" s="194">
        <v>2007.0</v>
      </c>
      <c r="E9060" s="193"/>
      <c r="F9060" s="195" t="s">
        <v>30210</v>
      </c>
      <c r="G9060" s="200">
        <v>0.0</v>
      </c>
      <c r="H9060" s="197">
        <v>7.72</v>
      </c>
      <c r="I9060" s="7" t="s">
        <v>16815</v>
      </c>
      <c r="J9060" s="7" t="s">
        <v>19644</v>
      </c>
      <c r="K9060" s="7" t="s">
        <v>16838</v>
      </c>
      <c r="L9060" s="201" t="s">
        <v>16835</v>
      </c>
      <c r="M9060" s="194"/>
      <c r="N9060" s="194"/>
    </row>
    <row r="9061">
      <c r="A9061" s="193" t="s">
        <v>30211</v>
      </c>
      <c r="B9061" s="7" t="s">
        <v>19644</v>
      </c>
      <c r="C9061" s="7" t="s">
        <v>16838</v>
      </c>
      <c r="D9061" s="194">
        <v>2006.0</v>
      </c>
      <c r="E9061" s="193"/>
      <c r="F9061" s="195" t="s">
        <v>30212</v>
      </c>
      <c r="G9061" s="200">
        <v>0.0</v>
      </c>
      <c r="H9061" s="197">
        <v>11.31</v>
      </c>
      <c r="I9061" s="7" t="s">
        <v>16815</v>
      </c>
      <c r="J9061" s="7" t="s">
        <v>19644</v>
      </c>
      <c r="K9061" s="7" t="s">
        <v>16838</v>
      </c>
      <c r="L9061" s="201" t="s">
        <v>16835</v>
      </c>
      <c r="M9061" s="194"/>
      <c r="N9061" s="194"/>
    </row>
    <row r="9062">
      <c r="A9062" s="193" t="s">
        <v>30213</v>
      </c>
      <c r="B9062" s="7" t="s">
        <v>19644</v>
      </c>
      <c r="C9062" s="7" t="s">
        <v>16838</v>
      </c>
      <c r="D9062" s="194">
        <v>2003.0</v>
      </c>
      <c r="E9062" s="193"/>
      <c r="F9062" s="195" t="s">
        <v>30214</v>
      </c>
      <c r="G9062" s="200">
        <v>0.0</v>
      </c>
      <c r="H9062" s="197">
        <v>19.77</v>
      </c>
      <c r="I9062" s="7" t="s">
        <v>16815</v>
      </c>
      <c r="J9062" s="7" t="s">
        <v>19644</v>
      </c>
      <c r="K9062" s="7" t="s">
        <v>16838</v>
      </c>
      <c r="L9062" s="201" t="s">
        <v>16835</v>
      </c>
      <c r="M9062" s="194"/>
      <c r="N9062" s="194"/>
    </row>
    <row r="9063">
      <c r="A9063" s="193" t="s">
        <v>30215</v>
      </c>
      <c r="B9063" s="7" t="s">
        <v>19644</v>
      </c>
      <c r="C9063" s="7" t="s">
        <v>16838</v>
      </c>
      <c r="D9063" s="194">
        <v>2007.0</v>
      </c>
      <c r="E9063" s="193"/>
      <c r="F9063" s="195" t="s">
        <v>30216</v>
      </c>
      <c r="G9063" s="200">
        <v>0.0</v>
      </c>
      <c r="H9063" s="197">
        <v>7.24</v>
      </c>
      <c r="I9063" s="7" t="s">
        <v>16815</v>
      </c>
      <c r="J9063" s="7" t="s">
        <v>19644</v>
      </c>
      <c r="K9063" s="7" t="s">
        <v>16838</v>
      </c>
      <c r="L9063" s="201" t="s">
        <v>16835</v>
      </c>
      <c r="M9063" s="194"/>
      <c r="N9063" s="194"/>
    </row>
    <row r="9064">
      <c r="A9064" s="193" t="s">
        <v>30217</v>
      </c>
      <c r="B9064" s="7" t="s">
        <v>19644</v>
      </c>
      <c r="C9064" s="7" t="s">
        <v>16838</v>
      </c>
      <c r="D9064" s="194">
        <v>2004.0</v>
      </c>
      <c r="E9064" s="193"/>
      <c r="F9064" s="195" t="s">
        <v>30218</v>
      </c>
      <c r="G9064" s="200">
        <v>0.0</v>
      </c>
      <c r="H9064" s="197">
        <v>9.87</v>
      </c>
      <c r="I9064" s="7" t="s">
        <v>16815</v>
      </c>
      <c r="J9064" s="7" t="s">
        <v>19644</v>
      </c>
      <c r="K9064" s="7" t="s">
        <v>16838</v>
      </c>
      <c r="L9064" s="201" t="s">
        <v>16835</v>
      </c>
      <c r="M9064" s="194"/>
      <c r="N9064" s="194"/>
    </row>
    <row r="9065">
      <c r="A9065" s="193" t="s">
        <v>30219</v>
      </c>
      <c r="B9065" s="7" t="s">
        <v>19644</v>
      </c>
      <c r="C9065" s="7" t="s">
        <v>16838</v>
      </c>
      <c r="D9065" s="194">
        <v>2009.0</v>
      </c>
      <c r="E9065" s="193"/>
      <c r="F9065" s="195" t="s">
        <v>30220</v>
      </c>
      <c r="G9065" s="200">
        <v>0.0</v>
      </c>
      <c r="H9065" s="197">
        <v>11.52</v>
      </c>
      <c r="I9065" s="7" t="s">
        <v>16815</v>
      </c>
      <c r="J9065" s="7" t="s">
        <v>19644</v>
      </c>
      <c r="K9065" s="7" t="s">
        <v>16838</v>
      </c>
      <c r="L9065" s="201" t="s">
        <v>16835</v>
      </c>
      <c r="M9065" s="194"/>
      <c r="N9065" s="194"/>
    </row>
    <row r="9066">
      <c r="A9066" s="193" t="s">
        <v>30221</v>
      </c>
      <c r="B9066" s="7" t="s">
        <v>19644</v>
      </c>
      <c r="C9066" s="7" t="s">
        <v>16838</v>
      </c>
      <c r="D9066" s="194">
        <v>1988.0</v>
      </c>
      <c r="E9066" s="193"/>
      <c r="F9066" s="195" t="s">
        <v>30222</v>
      </c>
      <c r="G9066" s="200">
        <v>0.0</v>
      </c>
      <c r="H9066" s="197">
        <v>3.81</v>
      </c>
      <c r="I9066" s="7" t="s">
        <v>16815</v>
      </c>
      <c r="J9066" s="7" t="s">
        <v>19644</v>
      </c>
      <c r="K9066" s="7" t="s">
        <v>16838</v>
      </c>
      <c r="L9066" s="201" t="s">
        <v>16835</v>
      </c>
      <c r="M9066" s="194"/>
      <c r="N9066" s="194"/>
    </row>
    <row r="9067">
      <c r="A9067" s="193" t="s">
        <v>30223</v>
      </c>
      <c r="B9067" s="7" t="s">
        <v>19644</v>
      </c>
      <c r="C9067" s="7" t="s">
        <v>16838</v>
      </c>
      <c r="D9067" s="194">
        <v>2002.0</v>
      </c>
      <c r="E9067" s="193"/>
      <c r="F9067" s="195" t="s">
        <v>30224</v>
      </c>
      <c r="G9067" s="200">
        <v>0.0</v>
      </c>
      <c r="H9067" s="197">
        <v>14.4</v>
      </c>
      <c r="I9067" s="7" t="s">
        <v>16815</v>
      </c>
      <c r="J9067" s="7" t="s">
        <v>19644</v>
      </c>
      <c r="K9067" s="7" t="s">
        <v>16838</v>
      </c>
      <c r="L9067" s="201" t="s">
        <v>16835</v>
      </c>
      <c r="M9067" s="194"/>
      <c r="N9067" s="194"/>
    </row>
    <row r="9068">
      <c r="A9068" s="193" t="s">
        <v>30225</v>
      </c>
      <c r="B9068" s="7" t="s">
        <v>19644</v>
      </c>
      <c r="C9068" s="7" t="s">
        <v>16838</v>
      </c>
      <c r="D9068" s="194">
        <v>2004.0</v>
      </c>
      <c r="E9068" s="193"/>
      <c r="F9068" s="195" t="s">
        <v>30226</v>
      </c>
      <c r="G9068" s="200">
        <v>0.0</v>
      </c>
      <c r="H9068" s="197">
        <v>16.84</v>
      </c>
      <c r="I9068" s="7" t="s">
        <v>16815</v>
      </c>
      <c r="J9068" s="7" t="s">
        <v>19644</v>
      </c>
      <c r="K9068" s="7" t="s">
        <v>16838</v>
      </c>
      <c r="L9068" s="201" t="s">
        <v>16835</v>
      </c>
      <c r="M9068" s="194"/>
      <c r="N9068" s="194"/>
    </row>
    <row r="9069">
      <c r="A9069" s="193" t="s">
        <v>30227</v>
      </c>
      <c r="B9069" s="7" t="s">
        <v>19644</v>
      </c>
      <c r="C9069" s="7" t="s">
        <v>16838</v>
      </c>
      <c r="D9069" s="194">
        <v>2003.0</v>
      </c>
      <c r="E9069" s="193"/>
      <c r="F9069" s="195" t="s">
        <v>30228</v>
      </c>
      <c r="G9069" s="200">
        <v>0.0</v>
      </c>
      <c r="H9069" s="197">
        <v>8.74</v>
      </c>
      <c r="I9069" s="7" t="s">
        <v>16815</v>
      </c>
      <c r="J9069" s="7" t="s">
        <v>19644</v>
      </c>
      <c r="K9069" s="7" t="s">
        <v>16838</v>
      </c>
      <c r="L9069" s="201" t="s">
        <v>16835</v>
      </c>
      <c r="M9069" s="194"/>
      <c r="N9069" s="194"/>
    </row>
    <row r="9070">
      <c r="A9070" s="193" t="s">
        <v>30229</v>
      </c>
      <c r="B9070" s="7" t="s">
        <v>19644</v>
      </c>
      <c r="C9070" s="7" t="s">
        <v>16838</v>
      </c>
      <c r="D9070" s="194">
        <v>2004.0</v>
      </c>
      <c r="E9070" s="193"/>
      <c r="F9070" s="195" t="s">
        <v>30230</v>
      </c>
      <c r="G9070" s="200">
        <v>0.0</v>
      </c>
      <c r="H9070" s="197">
        <v>4.28</v>
      </c>
      <c r="I9070" s="7" t="s">
        <v>16815</v>
      </c>
      <c r="J9070" s="7" t="s">
        <v>19644</v>
      </c>
      <c r="K9070" s="7" t="s">
        <v>16838</v>
      </c>
      <c r="L9070" s="201" t="s">
        <v>16835</v>
      </c>
      <c r="M9070" s="194"/>
      <c r="N9070" s="194"/>
    </row>
    <row r="9071">
      <c r="A9071" s="193" t="s">
        <v>30231</v>
      </c>
      <c r="B9071" s="7" t="s">
        <v>19644</v>
      </c>
      <c r="C9071" s="7" t="s">
        <v>16838</v>
      </c>
      <c r="D9071" s="194">
        <v>2003.0</v>
      </c>
      <c r="E9071" s="193"/>
      <c r="F9071" s="195" t="s">
        <v>30232</v>
      </c>
      <c r="G9071" s="200">
        <v>0.0</v>
      </c>
      <c r="H9071" s="197">
        <v>5.01</v>
      </c>
      <c r="I9071" s="7" t="s">
        <v>16815</v>
      </c>
      <c r="J9071" s="7" t="s">
        <v>19644</v>
      </c>
      <c r="K9071" s="7" t="s">
        <v>16838</v>
      </c>
      <c r="L9071" s="201" t="s">
        <v>16835</v>
      </c>
      <c r="M9071" s="194"/>
      <c r="N9071" s="194"/>
    </row>
    <row r="9072">
      <c r="A9072" s="193" t="s">
        <v>30233</v>
      </c>
      <c r="B9072" s="7" t="s">
        <v>19644</v>
      </c>
      <c r="C9072" s="7" t="s">
        <v>16838</v>
      </c>
      <c r="D9072" s="194">
        <v>2012.0</v>
      </c>
      <c r="E9072" s="193"/>
      <c r="F9072" s="195" t="s">
        <v>30234</v>
      </c>
      <c r="G9072" s="200">
        <v>0.0</v>
      </c>
      <c r="H9072" s="197">
        <v>10.49</v>
      </c>
      <c r="I9072" s="7" t="s">
        <v>16815</v>
      </c>
      <c r="J9072" s="7" t="s">
        <v>19644</v>
      </c>
      <c r="K9072" s="7" t="s">
        <v>16838</v>
      </c>
      <c r="L9072" s="201" t="s">
        <v>16835</v>
      </c>
      <c r="M9072" s="194"/>
      <c r="N9072" s="194"/>
    </row>
    <row r="9073">
      <c r="A9073" s="193" t="s">
        <v>30235</v>
      </c>
      <c r="B9073" s="7" t="s">
        <v>19644</v>
      </c>
      <c r="C9073" s="7" t="s">
        <v>16838</v>
      </c>
      <c r="D9073" s="194">
        <v>2012.0</v>
      </c>
      <c r="E9073" s="193"/>
      <c r="F9073" s="195" t="s">
        <v>30236</v>
      </c>
      <c r="G9073" s="200">
        <v>0.0</v>
      </c>
      <c r="H9073" s="197">
        <v>17.5</v>
      </c>
      <c r="I9073" s="7" t="s">
        <v>16815</v>
      </c>
      <c r="J9073" s="7" t="s">
        <v>19644</v>
      </c>
      <c r="K9073" s="7" t="s">
        <v>16838</v>
      </c>
      <c r="L9073" s="201" t="s">
        <v>16835</v>
      </c>
      <c r="M9073" s="194"/>
      <c r="N9073" s="194"/>
    </row>
    <row r="9074">
      <c r="A9074" s="193" t="s">
        <v>30237</v>
      </c>
      <c r="B9074" s="7" t="s">
        <v>19644</v>
      </c>
      <c r="C9074" s="7" t="s">
        <v>16838</v>
      </c>
      <c r="D9074" s="199"/>
      <c r="E9074" s="193"/>
      <c r="F9074" s="195" t="s">
        <v>30238</v>
      </c>
      <c r="G9074" s="200">
        <v>0.0</v>
      </c>
      <c r="H9074" s="197">
        <v>7.07</v>
      </c>
      <c r="I9074" s="7" t="s">
        <v>16815</v>
      </c>
      <c r="J9074" s="7" t="s">
        <v>19644</v>
      </c>
      <c r="K9074" s="7" t="s">
        <v>16838</v>
      </c>
      <c r="L9074" s="201" t="s">
        <v>16835</v>
      </c>
      <c r="M9074" s="199"/>
      <c r="N9074" s="199"/>
    </row>
    <row r="9075">
      <c r="A9075" s="193" t="s">
        <v>30239</v>
      </c>
      <c r="B9075" s="7" t="s">
        <v>19644</v>
      </c>
      <c r="C9075" s="7" t="s">
        <v>16838</v>
      </c>
      <c r="D9075" s="194">
        <v>1992.0</v>
      </c>
      <c r="E9075" s="193"/>
      <c r="F9075" s="195" t="s">
        <v>30240</v>
      </c>
      <c r="G9075" s="200">
        <v>0.0</v>
      </c>
      <c r="H9075" s="197">
        <v>10.59</v>
      </c>
      <c r="I9075" s="7" t="s">
        <v>16815</v>
      </c>
      <c r="J9075" s="7" t="s">
        <v>19644</v>
      </c>
      <c r="K9075" s="7" t="s">
        <v>16838</v>
      </c>
      <c r="L9075" s="201" t="s">
        <v>16835</v>
      </c>
      <c r="M9075" s="194"/>
      <c r="N9075" s="194"/>
    </row>
    <row r="9076">
      <c r="A9076" s="193" t="s">
        <v>30241</v>
      </c>
      <c r="B9076" s="7" t="s">
        <v>19644</v>
      </c>
      <c r="C9076" s="7" t="s">
        <v>16838</v>
      </c>
      <c r="D9076" s="199"/>
      <c r="E9076" s="193"/>
      <c r="F9076" s="195" t="s">
        <v>30242</v>
      </c>
      <c r="G9076" s="200">
        <v>0.0</v>
      </c>
      <c r="H9076" s="197">
        <v>9.42</v>
      </c>
      <c r="I9076" s="7" t="s">
        <v>16815</v>
      </c>
      <c r="J9076" s="7" t="s">
        <v>19644</v>
      </c>
      <c r="K9076" s="7" t="s">
        <v>16838</v>
      </c>
      <c r="L9076" s="201" t="s">
        <v>16835</v>
      </c>
      <c r="M9076" s="199"/>
      <c r="N9076" s="199"/>
    </row>
    <row r="9077">
      <c r="A9077" s="193" t="s">
        <v>30243</v>
      </c>
      <c r="B9077" s="7" t="s">
        <v>19644</v>
      </c>
      <c r="C9077" s="7" t="s">
        <v>16838</v>
      </c>
      <c r="D9077" s="194">
        <v>1992.0</v>
      </c>
      <c r="E9077" s="193"/>
      <c r="F9077" s="195" t="s">
        <v>30244</v>
      </c>
      <c r="G9077" s="200">
        <v>0.0</v>
      </c>
      <c r="H9077" s="197">
        <v>9.15</v>
      </c>
      <c r="I9077" s="7" t="s">
        <v>16815</v>
      </c>
      <c r="J9077" s="7" t="s">
        <v>19644</v>
      </c>
      <c r="K9077" s="7" t="s">
        <v>16838</v>
      </c>
      <c r="L9077" s="201" t="s">
        <v>16835</v>
      </c>
      <c r="M9077" s="194"/>
      <c r="N9077" s="194"/>
    </row>
    <row r="9078">
      <c r="A9078" s="193" t="s">
        <v>30245</v>
      </c>
      <c r="B9078" s="7" t="s">
        <v>19644</v>
      </c>
      <c r="C9078" s="7" t="s">
        <v>16838</v>
      </c>
      <c r="D9078" s="194">
        <v>2010.0</v>
      </c>
      <c r="E9078" s="193"/>
      <c r="F9078" s="195" t="s">
        <v>30246</v>
      </c>
      <c r="G9078" s="200">
        <v>0.0</v>
      </c>
      <c r="H9078" s="197">
        <v>14.73</v>
      </c>
      <c r="I9078" s="7" t="s">
        <v>16815</v>
      </c>
      <c r="J9078" s="7" t="s">
        <v>19644</v>
      </c>
      <c r="K9078" s="7" t="s">
        <v>16838</v>
      </c>
      <c r="L9078" s="201" t="s">
        <v>16835</v>
      </c>
      <c r="M9078" s="194"/>
      <c r="N9078" s="194"/>
    </row>
    <row r="9079">
      <c r="A9079" s="193" t="s">
        <v>30247</v>
      </c>
      <c r="B9079" s="7" t="s">
        <v>19644</v>
      </c>
      <c r="C9079" s="7" t="s">
        <v>16838</v>
      </c>
      <c r="D9079" s="194">
        <v>2014.0</v>
      </c>
      <c r="E9079" s="193"/>
      <c r="F9079" s="195" t="s">
        <v>30248</v>
      </c>
      <c r="G9079" s="200">
        <v>0.0</v>
      </c>
      <c r="H9079" s="197">
        <v>10.05</v>
      </c>
      <c r="I9079" s="7" t="s">
        <v>16815</v>
      </c>
      <c r="J9079" s="7" t="s">
        <v>19644</v>
      </c>
      <c r="K9079" s="7" t="s">
        <v>16838</v>
      </c>
      <c r="L9079" s="201" t="s">
        <v>16835</v>
      </c>
      <c r="M9079" s="194"/>
      <c r="N9079" s="194"/>
    </row>
    <row r="9080">
      <c r="A9080" s="193" t="s">
        <v>30249</v>
      </c>
      <c r="B9080" s="7" t="s">
        <v>19644</v>
      </c>
      <c r="C9080" s="7" t="s">
        <v>16838</v>
      </c>
      <c r="D9080" s="194">
        <v>2010.0</v>
      </c>
      <c r="E9080" s="193"/>
      <c r="F9080" s="195" t="s">
        <v>30250</v>
      </c>
      <c r="G9080" s="200">
        <v>0.0</v>
      </c>
      <c r="H9080" s="197">
        <v>33.33</v>
      </c>
      <c r="I9080" s="7" t="s">
        <v>16815</v>
      </c>
      <c r="J9080" s="7" t="s">
        <v>19644</v>
      </c>
      <c r="K9080" s="7" t="s">
        <v>16838</v>
      </c>
      <c r="L9080" s="201" t="s">
        <v>16835</v>
      </c>
      <c r="M9080" s="194"/>
      <c r="N9080" s="194"/>
    </row>
    <row r="9081">
      <c r="A9081" s="193" t="s">
        <v>30251</v>
      </c>
      <c r="B9081" s="7" t="s">
        <v>19644</v>
      </c>
      <c r="C9081" s="7" t="s">
        <v>16838</v>
      </c>
      <c r="D9081" s="194">
        <v>2007.0</v>
      </c>
      <c r="E9081" s="193"/>
      <c r="F9081" s="195" t="s">
        <v>9586</v>
      </c>
      <c r="G9081" s="200">
        <v>0.0</v>
      </c>
      <c r="H9081" s="197">
        <v>10.9</v>
      </c>
      <c r="I9081" s="7" t="s">
        <v>16815</v>
      </c>
      <c r="J9081" s="7" t="s">
        <v>19644</v>
      </c>
      <c r="K9081" s="7" t="s">
        <v>16838</v>
      </c>
      <c r="L9081" s="201" t="s">
        <v>16835</v>
      </c>
      <c r="M9081" s="194"/>
      <c r="N9081" s="194"/>
    </row>
    <row r="9082">
      <c r="A9082" s="193" t="s">
        <v>30252</v>
      </c>
      <c r="B9082" s="7" t="s">
        <v>19644</v>
      </c>
      <c r="C9082" s="7" t="s">
        <v>16838</v>
      </c>
      <c r="D9082" s="199"/>
      <c r="E9082" s="193"/>
      <c r="F9082" s="195" t="s">
        <v>8973</v>
      </c>
      <c r="G9082" s="200">
        <v>0.0</v>
      </c>
      <c r="H9082" s="197">
        <v>10.07</v>
      </c>
      <c r="I9082" s="7" t="s">
        <v>16815</v>
      </c>
      <c r="J9082" s="7" t="s">
        <v>19644</v>
      </c>
      <c r="K9082" s="7" t="s">
        <v>16838</v>
      </c>
      <c r="L9082" s="201" t="s">
        <v>16835</v>
      </c>
      <c r="M9082" s="199"/>
      <c r="N9082" s="199"/>
    </row>
    <row r="9083">
      <c r="A9083" s="193" t="s">
        <v>30253</v>
      </c>
      <c r="B9083" s="7" t="s">
        <v>19644</v>
      </c>
      <c r="C9083" s="7" t="s">
        <v>16838</v>
      </c>
      <c r="D9083" s="194">
        <v>2003.0</v>
      </c>
      <c r="E9083" s="193"/>
      <c r="F9083" s="195" t="s">
        <v>30254</v>
      </c>
      <c r="G9083" s="200">
        <v>0.0</v>
      </c>
      <c r="H9083" s="197">
        <v>7.63</v>
      </c>
      <c r="I9083" s="7" t="s">
        <v>16815</v>
      </c>
      <c r="J9083" s="7" t="s">
        <v>19644</v>
      </c>
      <c r="K9083" s="7" t="s">
        <v>16838</v>
      </c>
      <c r="L9083" s="201" t="s">
        <v>16835</v>
      </c>
      <c r="M9083" s="194"/>
      <c r="N9083" s="194"/>
    </row>
    <row r="9084">
      <c r="A9084" s="193" t="s">
        <v>30255</v>
      </c>
      <c r="B9084" s="7" t="s">
        <v>19644</v>
      </c>
      <c r="C9084" s="7" t="s">
        <v>16838</v>
      </c>
      <c r="D9084" s="194">
        <v>1992.0</v>
      </c>
      <c r="E9084" s="193"/>
      <c r="F9084" s="195" t="s">
        <v>30256</v>
      </c>
      <c r="G9084" s="200">
        <v>0.0</v>
      </c>
      <c r="H9084" s="197">
        <v>7.35</v>
      </c>
      <c r="I9084" s="7" t="s">
        <v>16815</v>
      </c>
      <c r="J9084" s="7" t="s">
        <v>19644</v>
      </c>
      <c r="K9084" s="7" t="s">
        <v>16838</v>
      </c>
      <c r="L9084" s="201" t="s">
        <v>16835</v>
      </c>
      <c r="M9084" s="194"/>
      <c r="N9084" s="194"/>
    </row>
    <row r="9085">
      <c r="A9085" s="193" t="s">
        <v>30257</v>
      </c>
      <c r="B9085" s="7" t="s">
        <v>19644</v>
      </c>
      <c r="C9085" s="7" t="s">
        <v>16838</v>
      </c>
      <c r="D9085" s="194">
        <v>2005.0</v>
      </c>
      <c r="E9085" s="193"/>
      <c r="F9085" s="195" t="s">
        <v>30258</v>
      </c>
      <c r="G9085" s="200">
        <v>0.0</v>
      </c>
      <c r="H9085" s="197">
        <v>6.47</v>
      </c>
      <c r="I9085" s="7" t="s">
        <v>16815</v>
      </c>
      <c r="J9085" s="7" t="s">
        <v>19644</v>
      </c>
      <c r="K9085" s="7" t="s">
        <v>16838</v>
      </c>
      <c r="L9085" s="201" t="s">
        <v>16835</v>
      </c>
      <c r="M9085" s="194"/>
      <c r="N9085" s="194"/>
    </row>
    <row r="9086">
      <c r="A9086" s="193" t="s">
        <v>30259</v>
      </c>
      <c r="B9086" s="7" t="s">
        <v>19644</v>
      </c>
      <c r="C9086" s="7" t="s">
        <v>16838</v>
      </c>
      <c r="D9086" s="194">
        <v>2001.0</v>
      </c>
      <c r="E9086" s="193"/>
      <c r="F9086" s="195" t="s">
        <v>30260</v>
      </c>
      <c r="G9086" s="200">
        <v>0.0</v>
      </c>
      <c r="H9086" s="197">
        <v>6.91</v>
      </c>
      <c r="I9086" s="7" t="s">
        <v>16815</v>
      </c>
      <c r="J9086" s="7" t="s">
        <v>19644</v>
      </c>
      <c r="K9086" s="7" t="s">
        <v>16838</v>
      </c>
      <c r="L9086" s="201" t="s">
        <v>16835</v>
      </c>
      <c r="M9086" s="194"/>
      <c r="N9086" s="194"/>
    </row>
    <row r="9087">
      <c r="A9087" s="193" t="s">
        <v>30261</v>
      </c>
      <c r="B9087" s="7" t="s">
        <v>19644</v>
      </c>
      <c r="C9087" s="7" t="s">
        <v>16838</v>
      </c>
      <c r="D9087" s="194">
        <v>2015.0</v>
      </c>
      <c r="E9087" s="193"/>
      <c r="F9087" s="195" t="s">
        <v>30262</v>
      </c>
      <c r="G9087" s="200">
        <v>0.0</v>
      </c>
      <c r="H9087" s="197">
        <v>10.35</v>
      </c>
      <c r="I9087" s="7" t="s">
        <v>16815</v>
      </c>
      <c r="J9087" s="7" t="s">
        <v>19644</v>
      </c>
      <c r="K9087" s="7" t="s">
        <v>16838</v>
      </c>
      <c r="L9087" s="201" t="s">
        <v>16835</v>
      </c>
      <c r="M9087" s="194"/>
      <c r="N9087" s="194"/>
    </row>
    <row r="9088">
      <c r="A9088" s="193" t="s">
        <v>30263</v>
      </c>
      <c r="B9088" s="7" t="s">
        <v>19644</v>
      </c>
      <c r="C9088" s="7" t="s">
        <v>16838</v>
      </c>
      <c r="D9088" s="199"/>
      <c r="E9088" s="193"/>
      <c r="F9088" s="195" t="s">
        <v>30264</v>
      </c>
      <c r="G9088" s="200">
        <v>0.0</v>
      </c>
      <c r="H9088" s="197">
        <v>35.65</v>
      </c>
      <c r="I9088" s="7" t="s">
        <v>16815</v>
      </c>
      <c r="J9088" s="7" t="s">
        <v>19644</v>
      </c>
      <c r="K9088" s="7" t="s">
        <v>16838</v>
      </c>
      <c r="L9088" s="201" t="s">
        <v>16835</v>
      </c>
      <c r="M9088" s="199"/>
      <c r="N9088" s="199"/>
    </row>
    <row r="9089">
      <c r="A9089" s="193" t="s">
        <v>30265</v>
      </c>
      <c r="B9089" s="7" t="s">
        <v>19644</v>
      </c>
      <c r="C9089" s="7" t="s">
        <v>16838</v>
      </c>
      <c r="D9089" s="199"/>
      <c r="E9089" s="193"/>
      <c r="F9089" s="195" t="s">
        <v>30266</v>
      </c>
      <c r="G9089" s="200">
        <v>0.0</v>
      </c>
      <c r="H9089" s="197">
        <v>7.455</v>
      </c>
      <c r="I9089" s="7" t="s">
        <v>16815</v>
      </c>
      <c r="J9089" s="7" t="s">
        <v>19644</v>
      </c>
      <c r="K9089" s="7" t="s">
        <v>16838</v>
      </c>
      <c r="L9089" s="201" t="s">
        <v>16835</v>
      </c>
      <c r="M9089" s="199"/>
      <c r="N9089" s="199"/>
    </row>
    <row r="9090">
      <c r="A9090" s="193" t="s">
        <v>30267</v>
      </c>
      <c r="B9090" s="7" t="s">
        <v>19644</v>
      </c>
      <c r="C9090" s="7" t="s">
        <v>16838</v>
      </c>
      <c r="D9090" s="194">
        <v>1993.0</v>
      </c>
      <c r="E9090" s="193"/>
      <c r="F9090" s="195" t="s">
        <v>30268</v>
      </c>
      <c r="G9090" s="200">
        <v>0.0</v>
      </c>
      <c r="H9090" s="197">
        <v>4.72</v>
      </c>
      <c r="I9090" s="7" t="s">
        <v>16815</v>
      </c>
      <c r="J9090" s="7" t="s">
        <v>19644</v>
      </c>
      <c r="K9090" s="7" t="s">
        <v>16838</v>
      </c>
      <c r="L9090" s="201" t="s">
        <v>16835</v>
      </c>
      <c r="M9090" s="194"/>
      <c r="N9090" s="194"/>
    </row>
    <row r="9091">
      <c r="A9091" s="193" t="s">
        <v>30269</v>
      </c>
      <c r="B9091" s="7" t="s">
        <v>19644</v>
      </c>
      <c r="C9091" s="7" t="s">
        <v>16838</v>
      </c>
      <c r="D9091" s="194">
        <v>2014.0</v>
      </c>
      <c r="E9091" s="193"/>
      <c r="F9091" s="195" t="s">
        <v>30270</v>
      </c>
      <c r="G9091" s="200">
        <v>0.0</v>
      </c>
      <c r="H9091" s="197">
        <v>16.0</v>
      </c>
      <c r="I9091" s="7" t="s">
        <v>16815</v>
      </c>
      <c r="J9091" s="7" t="s">
        <v>19644</v>
      </c>
      <c r="K9091" s="7" t="s">
        <v>16838</v>
      </c>
      <c r="L9091" s="201" t="s">
        <v>16835</v>
      </c>
      <c r="M9091" s="194"/>
      <c r="N9091" s="194"/>
    </row>
    <row r="9092">
      <c r="A9092" s="193" t="s">
        <v>30271</v>
      </c>
      <c r="B9092" s="7" t="s">
        <v>19644</v>
      </c>
      <c r="C9092" s="7" t="s">
        <v>16838</v>
      </c>
      <c r="D9092" s="194">
        <v>2015.0</v>
      </c>
      <c r="E9092" s="193"/>
      <c r="F9092" s="195" t="s">
        <v>30272</v>
      </c>
      <c r="G9092" s="200">
        <v>0.0</v>
      </c>
      <c r="H9092" s="197">
        <v>10.27</v>
      </c>
      <c r="I9092" s="7" t="s">
        <v>16815</v>
      </c>
      <c r="J9092" s="7" t="s">
        <v>19644</v>
      </c>
      <c r="K9092" s="7" t="s">
        <v>16838</v>
      </c>
      <c r="L9092" s="201" t="s">
        <v>16835</v>
      </c>
      <c r="M9092" s="194"/>
      <c r="N9092" s="194"/>
    </row>
    <row r="9093">
      <c r="A9093" s="193" t="s">
        <v>30273</v>
      </c>
      <c r="B9093" s="7" t="s">
        <v>19644</v>
      </c>
      <c r="C9093" s="7" t="s">
        <v>16838</v>
      </c>
      <c r="D9093" s="194">
        <v>1986.0</v>
      </c>
      <c r="E9093" s="193"/>
      <c r="F9093" s="195" t="s">
        <v>30274</v>
      </c>
      <c r="G9093" s="200">
        <v>0.0</v>
      </c>
      <c r="H9093" s="197">
        <v>6.15</v>
      </c>
      <c r="I9093" s="7" t="s">
        <v>16815</v>
      </c>
      <c r="J9093" s="7" t="s">
        <v>19644</v>
      </c>
      <c r="K9093" s="7" t="s">
        <v>16838</v>
      </c>
      <c r="L9093" s="201" t="s">
        <v>16835</v>
      </c>
      <c r="M9093" s="194"/>
      <c r="N9093" s="194"/>
    </row>
    <row r="9094">
      <c r="A9094" s="193" t="s">
        <v>30275</v>
      </c>
      <c r="B9094" s="7" t="s">
        <v>19644</v>
      </c>
      <c r="C9094" s="7" t="s">
        <v>16838</v>
      </c>
      <c r="D9094" s="194">
        <v>2004.0</v>
      </c>
      <c r="E9094" s="193"/>
      <c r="F9094" s="195" t="s">
        <v>30276</v>
      </c>
      <c r="G9094" s="200">
        <v>0.0</v>
      </c>
      <c r="H9094" s="197">
        <v>20.14</v>
      </c>
      <c r="I9094" s="7" t="s">
        <v>16815</v>
      </c>
      <c r="J9094" s="7" t="s">
        <v>19644</v>
      </c>
      <c r="K9094" s="7" t="s">
        <v>16838</v>
      </c>
      <c r="L9094" s="201" t="s">
        <v>16835</v>
      </c>
      <c r="M9094" s="194"/>
      <c r="N9094" s="194"/>
    </row>
    <row r="9095">
      <c r="A9095" s="193" t="s">
        <v>30277</v>
      </c>
      <c r="B9095" s="7" t="s">
        <v>19644</v>
      </c>
      <c r="C9095" s="7" t="s">
        <v>16838</v>
      </c>
      <c r="D9095" s="194">
        <v>2004.0</v>
      </c>
      <c r="E9095" s="193"/>
      <c r="F9095" s="195" t="s">
        <v>30278</v>
      </c>
      <c r="G9095" s="200">
        <v>0.0</v>
      </c>
      <c r="H9095" s="197">
        <v>8.39</v>
      </c>
      <c r="I9095" s="7" t="s">
        <v>16815</v>
      </c>
      <c r="J9095" s="7" t="s">
        <v>19644</v>
      </c>
      <c r="K9095" s="7" t="s">
        <v>16838</v>
      </c>
      <c r="L9095" s="201" t="s">
        <v>16835</v>
      </c>
      <c r="M9095" s="194"/>
      <c r="N9095" s="194"/>
    </row>
    <row r="9096">
      <c r="A9096" s="193" t="s">
        <v>30279</v>
      </c>
      <c r="B9096" s="7" t="s">
        <v>17016</v>
      </c>
      <c r="C9096" s="7" t="s">
        <v>16838</v>
      </c>
      <c r="D9096" s="199"/>
      <c r="E9096" s="193"/>
      <c r="F9096" s="195" t="s">
        <v>30280</v>
      </c>
      <c r="G9096" s="200">
        <v>0.0</v>
      </c>
      <c r="H9096" s="197">
        <v>24.22</v>
      </c>
      <c r="I9096" s="7" t="s">
        <v>16815</v>
      </c>
      <c r="J9096" s="7" t="s">
        <v>17016</v>
      </c>
      <c r="K9096" s="7" t="s">
        <v>16838</v>
      </c>
      <c r="L9096" s="201" t="s">
        <v>16835</v>
      </c>
      <c r="M9096" s="199"/>
      <c r="N9096" s="199"/>
    </row>
    <row r="9097">
      <c r="A9097" s="193" t="s">
        <v>30281</v>
      </c>
      <c r="B9097" s="7" t="s">
        <v>17016</v>
      </c>
      <c r="C9097" s="7" t="s">
        <v>16838</v>
      </c>
      <c r="D9097" s="199"/>
      <c r="E9097" s="193"/>
      <c r="F9097" s="195" t="s">
        <v>30282</v>
      </c>
      <c r="G9097" s="200">
        <v>0.0</v>
      </c>
      <c r="H9097" s="197">
        <v>26.625</v>
      </c>
      <c r="I9097" s="7" t="s">
        <v>16815</v>
      </c>
      <c r="J9097" s="7" t="s">
        <v>17016</v>
      </c>
      <c r="K9097" s="7" t="s">
        <v>16838</v>
      </c>
      <c r="L9097" s="201" t="s">
        <v>16835</v>
      </c>
      <c r="M9097" s="199"/>
      <c r="N9097" s="199"/>
    </row>
    <row r="9098">
      <c r="A9098" s="193" t="s">
        <v>30283</v>
      </c>
      <c r="B9098" s="7" t="s">
        <v>17016</v>
      </c>
      <c r="C9098" s="7" t="s">
        <v>16838</v>
      </c>
      <c r="D9098" s="194">
        <v>2005.0</v>
      </c>
      <c r="E9098" s="193"/>
      <c r="F9098" s="195" t="s">
        <v>30284</v>
      </c>
      <c r="G9098" s="200">
        <v>0.0</v>
      </c>
      <c r="H9098" s="197">
        <v>11.01</v>
      </c>
      <c r="I9098" s="7" t="s">
        <v>16815</v>
      </c>
      <c r="J9098" s="7" t="s">
        <v>17016</v>
      </c>
      <c r="K9098" s="7" t="s">
        <v>16838</v>
      </c>
      <c r="L9098" s="201" t="s">
        <v>16835</v>
      </c>
      <c r="M9098" s="194"/>
      <c r="N9098" s="194"/>
    </row>
    <row r="9099">
      <c r="A9099" s="193" t="s">
        <v>30285</v>
      </c>
      <c r="B9099" s="7" t="s">
        <v>17016</v>
      </c>
      <c r="C9099" s="7" t="s">
        <v>16838</v>
      </c>
      <c r="D9099" s="199"/>
      <c r="E9099" s="193"/>
      <c r="F9099" s="195" t="s">
        <v>30286</v>
      </c>
      <c r="G9099" s="200">
        <v>0.0</v>
      </c>
      <c r="H9099" s="197">
        <v>21.9207</v>
      </c>
      <c r="I9099" s="7" t="s">
        <v>16815</v>
      </c>
      <c r="J9099" s="7" t="s">
        <v>17016</v>
      </c>
      <c r="K9099" s="7" t="s">
        <v>16838</v>
      </c>
      <c r="L9099" s="201" t="s">
        <v>16835</v>
      </c>
      <c r="M9099" s="199"/>
      <c r="N9099" s="199"/>
    </row>
    <row r="9100">
      <c r="A9100" s="193" t="s">
        <v>30287</v>
      </c>
      <c r="B9100" s="7" t="s">
        <v>18679</v>
      </c>
      <c r="C9100" s="7" t="s">
        <v>16838</v>
      </c>
      <c r="D9100" s="194">
        <v>2002.0</v>
      </c>
      <c r="E9100" s="193"/>
      <c r="F9100" s="195" t="s">
        <v>8875</v>
      </c>
      <c r="G9100" s="200">
        <v>0.0</v>
      </c>
      <c r="H9100" s="197">
        <v>9.6</v>
      </c>
      <c r="I9100" s="7" t="s">
        <v>16815</v>
      </c>
      <c r="J9100" s="7" t="s">
        <v>18679</v>
      </c>
      <c r="K9100" s="7" t="s">
        <v>16838</v>
      </c>
      <c r="L9100" s="201" t="s">
        <v>16835</v>
      </c>
      <c r="M9100" s="194"/>
      <c r="N9100" s="194"/>
    </row>
    <row r="9101">
      <c r="A9101" s="193" t="s">
        <v>30288</v>
      </c>
      <c r="B9101" s="7" t="s">
        <v>18679</v>
      </c>
      <c r="C9101" s="7" t="s">
        <v>16838</v>
      </c>
      <c r="D9101" s="194">
        <v>2002.0</v>
      </c>
      <c r="E9101" s="193"/>
      <c r="F9101" s="195" t="s">
        <v>8747</v>
      </c>
      <c r="G9101" s="200">
        <v>0.0</v>
      </c>
      <c r="H9101" s="197">
        <v>9.56</v>
      </c>
      <c r="I9101" s="7" t="s">
        <v>16815</v>
      </c>
      <c r="J9101" s="7" t="s">
        <v>18679</v>
      </c>
      <c r="K9101" s="7" t="s">
        <v>16838</v>
      </c>
      <c r="L9101" s="201" t="s">
        <v>16835</v>
      </c>
      <c r="M9101" s="194"/>
      <c r="N9101" s="194"/>
    </row>
    <row r="9102">
      <c r="A9102" s="193" t="s">
        <v>30289</v>
      </c>
      <c r="B9102" s="7" t="s">
        <v>18679</v>
      </c>
      <c r="C9102" s="7" t="s">
        <v>16838</v>
      </c>
      <c r="D9102" s="194">
        <v>2012.0</v>
      </c>
      <c r="E9102" s="193"/>
      <c r="F9102" s="195" t="s">
        <v>30290</v>
      </c>
      <c r="G9102" s="200">
        <v>0.0</v>
      </c>
      <c r="H9102" s="197">
        <v>7.45</v>
      </c>
      <c r="I9102" s="7" t="s">
        <v>16815</v>
      </c>
      <c r="J9102" s="7" t="s">
        <v>18679</v>
      </c>
      <c r="K9102" s="7" t="s">
        <v>16838</v>
      </c>
      <c r="L9102" s="201" t="s">
        <v>16835</v>
      </c>
      <c r="M9102" s="194"/>
      <c r="N9102" s="194"/>
    </row>
    <row r="9103">
      <c r="A9103" s="193" t="s">
        <v>30291</v>
      </c>
      <c r="B9103" s="7" t="s">
        <v>18679</v>
      </c>
      <c r="C9103" s="7" t="s">
        <v>16838</v>
      </c>
      <c r="D9103" s="194">
        <v>2019.0</v>
      </c>
      <c r="E9103" s="193"/>
      <c r="F9103" s="195" t="s">
        <v>30292</v>
      </c>
      <c r="G9103" s="200">
        <v>0.0</v>
      </c>
      <c r="H9103" s="197">
        <v>7.59</v>
      </c>
      <c r="I9103" s="7" t="s">
        <v>16815</v>
      </c>
      <c r="J9103" s="7" t="s">
        <v>18679</v>
      </c>
      <c r="K9103" s="7" t="s">
        <v>16838</v>
      </c>
      <c r="L9103" s="201" t="s">
        <v>16835</v>
      </c>
      <c r="M9103" s="194"/>
      <c r="N9103" s="194"/>
    </row>
    <row r="9104">
      <c r="A9104" s="193" t="s">
        <v>30293</v>
      </c>
      <c r="B9104" s="7" t="s">
        <v>18679</v>
      </c>
      <c r="C9104" s="7" t="s">
        <v>16838</v>
      </c>
      <c r="D9104" s="194">
        <v>2017.0</v>
      </c>
      <c r="E9104" s="193"/>
      <c r="F9104" s="195" t="s">
        <v>30294</v>
      </c>
      <c r="G9104" s="200">
        <v>0.0</v>
      </c>
      <c r="H9104" s="197">
        <v>7.715</v>
      </c>
      <c r="I9104" s="7" t="s">
        <v>16815</v>
      </c>
      <c r="J9104" s="7" t="s">
        <v>18679</v>
      </c>
      <c r="K9104" s="7" t="s">
        <v>16838</v>
      </c>
      <c r="L9104" s="201" t="s">
        <v>16835</v>
      </c>
      <c r="M9104" s="194"/>
      <c r="N9104" s="194"/>
    </row>
    <row r="9105">
      <c r="A9105" s="193" t="s">
        <v>30295</v>
      </c>
      <c r="B9105" s="7" t="s">
        <v>18679</v>
      </c>
      <c r="C9105" s="7" t="s">
        <v>16838</v>
      </c>
      <c r="D9105" s="199"/>
      <c r="E9105" s="193"/>
      <c r="F9105" s="195" t="s">
        <v>30296</v>
      </c>
      <c r="G9105" s="200">
        <v>0.0</v>
      </c>
      <c r="H9105" s="197">
        <v>8.36</v>
      </c>
      <c r="I9105" s="7" t="s">
        <v>16815</v>
      </c>
      <c r="J9105" s="7" t="s">
        <v>18679</v>
      </c>
      <c r="K9105" s="7" t="s">
        <v>16838</v>
      </c>
      <c r="L9105" s="201" t="s">
        <v>16835</v>
      </c>
      <c r="M9105" s="199"/>
      <c r="N9105" s="199"/>
    </row>
    <row r="9106">
      <c r="A9106" s="193" t="s">
        <v>30297</v>
      </c>
      <c r="B9106" s="7" t="s">
        <v>18679</v>
      </c>
      <c r="C9106" s="7" t="s">
        <v>16838</v>
      </c>
      <c r="D9106" s="194">
        <v>1987.0</v>
      </c>
      <c r="E9106" s="193"/>
      <c r="F9106" s="195" t="s">
        <v>30298</v>
      </c>
      <c r="G9106" s="200">
        <v>0.0</v>
      </c>
      <c r="H9106" s="197">
        <v>11.3</v>
      </c>
      <c r="I9106" s="7" t="s">
        <v>16815</v>
      </c>
      <c r="J9106" s="7" t="s">
        <v>18679</v>
      </c>
      <c r="K9106" s="7" t="s">
        <v>16838</v>
      </c>
      <c r="L9106" s="201" t="s">
        <v>16835</v>
      </c>
      <c r="M9106" s="194"/>
      <c r="N9106" s="194"/>
    </row>
    <row r="9107">
      <c r="A9107" s="193" t="s">
        <v>30299</v>
      </c>
      <c r="B9107" s="7" t="s">
        <v>18679</v>
      </c>
      <c r="C9107" s="7" t="s">
        <v>16838</v>
      </c>
      <c r="D9107" s="194">
        <v>2004.0</v>
      </c>
      <c r="E9107" s="193"/>
      <c r="F9107" s="195" t="s">
        <v>30300</v>
      </c>
      <c r="G9107" s="200">
        <v>0.0</v>
      </c>
      <c r="H9107" s="197">
        <v>15.56</v>
      </c>
      <c r="I9107" s="7" t="s">
        <v>16815</v>
      </c>
      <c r="J9107" s="7" t="s">
        <v>18679</v>
      </c>
      <c r="K9107" s="7" t="s">
        <v>16838</v>
      </c>
      <c r="L9107" s="201" t="s">
        <v>16835</v>
      </c>
      <c r="M9107" s="194"/>
      <c r="N9107" s="194"/>
    </row>
    <row r="9108">
      <c r="A9108" s="193" t="s">
        <v>30301</v>
      </c>
      <c r="B9108" s="7" t="s">
        <v>18679</v>
      </c>
      <c r="C9108" s="7" t="s">
        <v>16838</v>
      </c>
      <c r="D9108" s="194">
        <v>2006.0</v>
      </c>
      <c r="E9108" s="193"/>
      <c r="F9108" s="195" t="s">
        <v>30302</v>
      </c>
      <c r="G9108" s="200">
        <v>0.0</v>
      </c>
      <c r="H9108" s="197">
        <v>5.735</v>
      </c>
      <c r="I9108" s="7" t="s">
        <v>16815</v>
      </c>
      <c r="J9108" s="7" t="s">
        <v>18679</v>
      </c>
      <c r="K9108" s="7" t="s">
        <v>16838</v>
      </c>
      <c r="L9108" s="201" t="s">
        <v>16835</v>
      </c>
      <c r="M9108" s="194"/>
      <c r="N9108" s="194"/>
    </row>
    <row r="9109">
      <c r="A9109" s="193" t="s">
        <v>30303</v>
      </c>
      <c r="B9109" s="7" t="s">
        <v>18679</v>
      </c>
      <c r="C9109" s="7" t="s">
        <v>16838</v>
      </c>
      <c r="D9109" s="194">
        <v>2012.0</v>
      </c>
      <c r="E9109" s="193"/>
      <c r="F9109" s="195" t="s">
        <v>30304</v>
      </c>
      <c r="G9109" s="200">
        <v>0.0</v>
      </c>
      <c r="H9109" s="197">
        <v>8.47</v>
      </c>
      <c r="I9109" s="7" t="s">
        <v>16815</v>
      </c>
      <c r="J9109" s="7" t="s">
        <v>18679</v>
      </c>
      <c r="K9109" s="7" t="s">
        <v>16838</v>
      </c>
      <c r="L9109" s="201" t="s">
        <v>16835</v>
      </c>
      <c r="M9109" s="194"/>
      <c r="N9109" s="194"/>
    </row>
    <row r="9110">
      <c r="A9110" s="193" t="s">
        <v>30305</v>
      </c>
      <c r="B9110" s="7" t="s">
        <v>18679</v>
      </c>
      <c r="C9110" s="7" t="s">
        <v>16838</v>
      </c>
      <c r="D9110" s="194">
        <v>2007.0</v>
      </c>
      <c r="E9110" s="193"/>
      <c r="F9110" s="195" t="s">
        <v>30306</v>
      </c>
      <c r="G9110" s="200">
        <v>0.0</v>
      </c>
      <c r="H9110" s="197">
        <v>3.24</v>
      </c>
      <c r="I9110" s="7" t="s">
        <v>16815</v>
      </c>
      <c r="J9110" s="7" t="s">
        <v>18679</v>
      </c>
      <c r="K9110" s="7" t="s">
        <v>16838</v>
      </c>
      <c r="L9110" s="201" t="s">
        <v>16835</v>
      </c>
      <c r="M9110" s="194"/>
      <c r="N9110" s="194"/>
    </row>
    <row r="9111">
      <c r="A9111" s="193" t="s">
        <v>30307</v>
      </c>
      <c r="B9111" s="7" t="s">
        <v>18679</v>
      </c>
      <c r="C9111" s="7" t="s">
        <v>16838</v>
      </c>
      <c r="D9111" s="194">
        <v>2011.0</v>
      </c>
      <c r="E9111" s="193"/>
      <c r="F9111" s="195" t="s">
        <v>30308</v>
      </c>
      <c r="G9111" s="200">
        <v>0.0</v>
      </c>
      <c r="H9111" s="197">
        <v>15.65</v>
      </c>
      <c r="I9111" s="7" t="s">
        <v>16815</v>
      </c>
      <c r="J9111" s="7" t="s">
        <v>18679</v>
      </c>
      <c r="K9111" s="7" t="s">
        <v>16838</v>
      </c>
      <c r="L9111" s="201" t="s">
        <v>16835</v>
      </c>
      <c r="M9111" s="194"/>
      <c r="N9111" s="194"/>
    </row>
    <row r="9112">
      <c r="A9112" s="193" t="s">
        <v>30309</v>
      </c>
      <c r="B9112" s="7" t="s">
        <v>18679</v>
      </c>
      <c r="C9112" s="7" t="s">
        <v>16838</v>
      </c>
      <c r="D9112" s="194">
        <v>2005.0</v>
      </c>
      <c r="E9112" s="193"/>
      <c r="F9112" s="195" t="s">
        <v>30310</v>
      </c>
      <c r="G9112" s="200">
        <v>0.0</v>
      </c>
      <c r="H9112" s="197">
        <v>11.33</v>
      </c>
      <c r="I9112" s="7" t="s">
        <v>16815</v>
      </c>
      <c r="J9112" s="7" t="s">
        <v>18679</v>
      </c>
      <c r="K9112" s="7" t="s">
        <v>16838</v>
      </c>
      <c r="L9112" s="201" t="s">
        <v>16835</v>
      </c>
      <c r="M9112" s="194"/>
      <c r="N9112" s="194"/>
    </row>
    <row r="9113">
      <c r="A9113" s="193" t="s">
        <v>30311</v>
      </c>
      <c r="B9113" s="7" t="s">
        <v>18679</v>
      </c>
      <c r="C9113" s="7" t="s">
        <v>16838</v>
      </c>
      <c r="D9113" s="199"/>
      <c r="E9113" s="193"/>
      <c r="F9113" s="195" t="s">
        <v>30312</v>
      </c>
      <c r="G9113" s="200">
        <v>0.0</v>
      </c>
      <c r="H9113" s="197">
        <v>12.93</v>
      </c>
      <c r="I9113" s="7" t="s">
        <v>16815</v>
      </c>
      <c r="J9113" s="7" t="s">
        <v>18679</v>
      </c>
      <c r="K9113" s="7" t="s">
        <v>16838</v>
      </c>
      <c r="L9113" s="201" t="s">
        <v>16835</v>
      </c>
      <c r="M9113" s="199"/>
      <c r="N9113" s="199"/>
    </row>
    <row r="9114">
      <c r="A9114" s="193" t="s">
        <v>30313</v>
      </c>
      <c r="B9114" s="7" t="s">
        <v>18679</v>
      </c>
      <c r="C9114" s="7" t="s">
        <v>16838</v>
      </c>
      <c r="D9114" s="194">
        <v>2017.0</v>
      </c>
      <c r="E9114" s="193"/>
      <c r="F9114" s="195" t="s">
        <v>30314</v>
      </c>
      <c r="G9114" s="200">
        <v>0.0</v>
      </c>
      <c r="H9114" s="197">
        <v>7.97</v>
      </c>
      <c r="I9114" s="7" t="s">
        <v>16815</v>
      </c>
      <c r="J9114" s="7" t="s">
        <v>18679</v>
      </c>
      <c r="K9114" s="7" t="s">
        <v>16838</v>
      </c>
      <c r="L9114" s="201" t="s">
        <v>16835</v>
      </c>
      <c r="M9114" s="194"/>
      <c r="N9114" s="194"/>
    </row>
    <row r="9115">
      <c r="A9115" s="193" t="s">
        <v>30315</v>
      </c>
      <c r="B9115" s="7" t="s">
        <v>18679</v>
      </c>
      <c r="C9115" s="7" t="s">
        <v>16838</v>
      </c>
      <c r="D9115" s="199"/>
      <c r="E9115" s="193"/>
      <c r="F9115" s="195" t="s">
        <v>30316</v>
      </c>
      <c r="G9115" s="200">
        <v>0.0</v>
      </c>
      <c r="H9115" s="197">
        <v>3.7</v>
      </c>
      <c r="I9115" s="7" t="s">
        <v>16815</v>
      </c>
      <c r="J9115" s="7" t="s">
        <v>18679</v>
      </c>
      <c r="K9115" s="7" t="s">
        <v>16838</v>
      </c>
      <c r="L9115" s="201" t="s">
        <v>16835</v>
      </c>
      <c r="M9115" s="199"/>
      <c r="N9115" s="199"/>
    </row>
    <row r="9116">
      <c r="A9116" s="193" t="s">
        <v>30317</v>
      </c>
      <c r="B9116" s="7" t="s">
        <v>18679</v>
      </c>
      <c r="C9116" s="7" t="s">
        <v>16838</v>
      </c>
      <c r="D9116" s="194">
        <v>1998.0</v>
      </c>
      <c r="E9116" s="193"/>
      <c r="F9116" s="195" t="s">
        <v>30318</v>
      </c>
      <c r="G9116" s="200">
        <v>0.0</v>
      </c>
      <c r="H9116" s="197">
        <v>4.44</v>
      </c>
      <c r="I9116" s="7" t="s">
        <v>16815</v>
      </c>
      <c r="J9116" s="7" t="s">
        <v>18679</v>
      </c>
      <c r="K9116" s="7" t="s">
        <v>16838</v>
      </c>
      <c r="L9116" s="201" t="s">
        <v>16835</v>
      </c>
      <c r="M9116" s="194"/>
      <c r="N9116" s="194"/>
    </row>
    <row r="9117">
      <c r="A9117" s="193" t="s">
        <v>30319</v>
      </c>
      <c r="B9117" s="7" t="s">
        <v>18679</v>
      </c>
      <c r="C9117" s="7" t="s">
        <v>16838</v>
      </c>
      <c r="D9117" s="194">
        <v>2010.0</v>
      </c>
      <c r="E9117" s="193"/>
      <c r="F9117" s="195" t="s">
        <v>30320</v>
      </c>
      <c r="G9117" s="200">
        <v>0.0</v>
      </c>
      <c r="H9117" s="197">
        <v>9.28</v>
      </c>
      <c r="I9117" s="7" t="s">
        <v>16815</v>
      </c>
      <c r="J9117" s="7" t="s">
        <v>18679</v>
      </c>
      <c r="K9117" s="7" t="s">
        <v>16838</v>
      </c>
      <c r="L9117" s="201" t="s">
        <v>16835</v>
      </c>
      <c r="M9117" s="194"/>
      <c r="N9117" s="194"/>
    </row>
    <row r="9118">
      <c r="A9118" s="193" t="s">
        <v>30321</v>
      </c>
      <c r="B9118" s="7" t="s">
        <v>18679</v>
      </c>
      <c r="C9118" s="7" t="s">
        <v>16838</v>
      </c>
      <c r="D9118" s="199"/>
      <c r="E9118" s="193"/>
      <c r="F9118" s="195" t="s">
        <v>30322</v>
      </c>
      <c r="G9118" s="200">
        <v>0.0</v>
      </c>
      <c r="H9118" s="197">
        <v>16.85</v>
      </c>
      <c r="I9118" s="7" t="s">
        <v>16815</v>
      </c>
      <c r="J9118" s="7" t="s">
        <v>18679</v>
      </c>
      <c r="K9118" s="7" t="s">
        <v>16838</v>
      </c>
      <c r="L9118" s="201" t="s">
        <v>16835</v>
      </c>
      <c r="M9118" s="199"/>
      <c r="N9118" s="199"/>
    </row>
    <row r="9119">
      <c r="A9119" s="193" t="s">
        <v>30323</v>
      </c>
      <c r="B9119" s="7" t="s">
        <v>18679</v>
      </c>
      <c r="C9119" s="7" t="s">
        <v>16838</v>
      </c>
      <c r="D9119" s="194">
        <v>2018.0</v>
      </c>
      <c r="E9119" s="193"/>
      <c r="F9119" s="195" t="s">
        <v>30324</v>
      </c>
      <c r="G9119" s="200">
        <v>0.0</v>
      </c>
      <c r="H9119" s="197">
        <v>9.64</v>
      </c>
      <c r="I9119" s="7" t="s">
        <v>16815</v>
      </c>
      <c r="J9119" s="7" t="s">
        <v>18679</v>
      </c>
      <c r="K9119" s="7" t="s">
        <v>16838</v>
      </c>
      <c r="L9119" s="201" t="s">
        <v>16835</v>
      </c>
      <c r="M9119" s="194"/>
      <c r="N9119" s="194"/>
    </row>
    <row r="9120">
      <c r="A9120" s="193" t="s">
        <v>30325</v>
      </c>
      <c r="B9120" s="7" t="s">
        <v>18679</v>
      </c>
      <c r="C9120" s="7" t="s">
        <v>16838</v>
      </c>
      <c r="D9120" s="194">
        <v>2001.0</v>
      </c>
      <c r="E9120" s="193"/>
      <c r="F9120" s="195" t="s">
        <v>30326</v>
      </c>
      <c r="G9120" s="200">
        <v>0.0</v>
      </c>
      <c r="H9120" s="197">
        <v>6.48</v>
      </c>
      <c r="I9120" s="7" t="s">
        <v>16815</v>
      </c>
      <c r="J9120" s="7" t="s">
        <v>18679</v>
      </c>
      <c r="K9120" s="7" t="s">
        <v>16838</v>
      </c>
      <c r="L9120" s="201" t="s">
        <v>16835</v>
      </c>
      <c r="M9120" s="194"/>
      <c r="N9120" s="194"/>
    </row>
    <row r="9121">
      <c r="A9121" s="193" t="s">
        <v>30327</v>
      </c>
      <c r="B9121" s="7" t="s">
        <v>18679</v>
      </c>
      <c r="C9121" s="7" t="s">
        <v>16838</v>
      </c>
      <c r="D9121" s="194">
        <v>1988.0</v>
      </c>
      <c r="E9121" s="193"/>
      <c r="F9121" s="195" t="s">
        <v>30328</v>
      </c>
      <c r="G9121" s="200">
        <v>0.0</v>
      </c>
      <c r="H9121" s="197">
        <v>6.21</v>
      </c>
      <c r="I9121" s="7" t="s">
        <v>16815</v>
      </c>
      <c r="J9121" s="7" t="s">
        <v>18679</v>
      </c>
      <c r="K9121" s="7" t="s">
        <v>16838</v>
      </c>
      <c r="L9121" s="201" t="s">
        <v>16835</v>
      </c>
      <c r="M9121" s="194"/>
      <c r="N9121" s="194"/>
    </row>
    <row r="9122">
      <c r="A9122" s="193" t="s">
        <v>30329</v>
      </c>
      <c r="B9122" s="7" t="s">
        <v>18679</v>
      </c>
      <c r="C9122" s="7" t="s">
        <v>16838</v>
      </c>
      <c r="D9122" s="194">
        <v>1992.0</v>
      </c>
      <c r="E9122" s="193"/>
      <c r="F9122" s="195" t="s">
        <v>30330</v>
      </c>
      <c r="G9122" s="200">
        <v>0.0</v>
      </c>
      <c r="H9122" s="197">
        <v>9.9</v>
      </c>
      <c r="I9122" s="7" t="s">
        <v>16815</v>
      </c>
      <c r="J9122" s="7" t="s">
        <v>18679</v>
      </c>
      <c r="K9122" s="7" t="s">
        <v>16838</v>
      </c>
      <c r="L9122" s="201" t="s">
        <v>16835</v>
      </c>
      <c r="M9122" s="194"/>
      <c r="N9122" s="194"/>
    </row>
    <row r="9123">
      <c r="A9123" s="193" t="s">
        <v>30331</v>
      </c>
      <c r="B9123" s="7" t="s">
        <v>18679</v>
      </c>
      <c r="C9123" s="7" t="s">
        <v>16838</v>
      </c>
      <c r="D9123" s="194">
        <v>2012.0</v>
      </c>
      <c r="E9123" s="193"/>
      <c r="F9123" s="195" t="s">
        <v>30332</v>
      </c>
      <c r="G9123" s="200">
        <v>0.0</v>
      </c>
      <c r="H9123" s="197">
        <v>29.98</v>
      </c>
      <c r="I9123" s="7" t="s">
        <v>16815</v>
      </c>
      <c r="J9123" s="7" t="s">
        <v>18679</v>
      </c>
      <c r="K9123" s="7" t="s">
        <v>16838</v>
      </c>
      <c r="L9123" s="201" t="s">
        <v>16835</v>
      </c>
      <c r="M9123" s="194"/>
      <c r="N9123" s="194"/>
    </row>
    <row r="9124">
      <c r="A9124" s="193" t="s">
        <v>30333</v>
      </c>
      <c r="B9124" s="7" t="s">
        <v>18679</v>
      </c>
      <c r="C9124" s="7" t="s">
        <v>16838</v>
      </c>
      <c r="D9124" s="194">
        <v>2002.0</v>
      </c>
      <c r="E9124" s="193"/>
      <c r="F9124" s="195" t="s">
        <v>30334</v>
      </c>
      <c r="G9124" s="200">
        <v>0.0</v>
      </c>
      <c r="H9124" s="197">
        <v>10.14</v>
      </c>
      <c r="I9124" s="7" t="s">
        <v>16815</v>
      </c>
      <c r="J9124" s="7" t="s">
        <v>18679</v>
      </c>
      <c r="K9124" s="7" t="s">
        <v>16838</v>
      </c>
      <c r="L9124" s="201" t="s">
        <v>16835</v>
      </c>
      <c r="M9124" s="194"/>
      <c r="N9124" s="194"/>
    </row>
    <row r="9125">
      <c r="A9125" s="193" t="s">
        <v>30335</v>
      </c>
      <c r="B9125" s="7" t="s">
        <v>18679</v>
      </c>
      <c r="C9125" s="7" t="s">
        <v>16838</v>
      </c>
      <c r="D9125" s="194">
        <v>2002.0</v>
      </c>
      <c r="E9125" s="193"/>
      <c r="F9125" s="195" t="s">
        <v>30336</v>
      </c>
      <c r="G9125" s="200">
        <v>0.0</v>
      </c>
      <c r="H9125" s="197">
        <v>11.07</v>
      </c>
      <c r="I9125" s="7" t="s">
        <v>16815</v>
      </c>
      <c r="J9125" s="7" t="s">
        <v>18679</v>
      </c>
      <c r="K9125" s="7" t="s">
        <v>16838</v>
      </c>
      <c r="L9125" s="201" t="s">
        <v>16835</v>
      </c>
      <c r="M9125" s="194"/>
      <c r="N9125" s="194"/>
    </row>
    <row r="9126">
      <c r="A9126" s="193" t="s">
        <v>30337</v>
      </c>
      <c r="B9126" s="7" t="s">
        <v>18679</v>
      </c>
      <c r="C9126" s="7" t="s">
        <v>16838</v>
      </c>
      <c r="D9126" s="199"/>
      <c r="E9126" s="193"/>
      <c r="F9126" s="195" t="s">
        <v>30338</v>
      </c>
      <c r="G9126" s="200">
        <v>0.0</v>
      </c>
      <c r="H9126" s="197">
        <v>9.75</v>
      </c>
      <c r="I9126" s="7" t="s">
        <v>16815</v>
      </c>
      <c r="J9126" s="7" t="s">
        <v>18679</v>
      </c>
      <c r="K9126" s="7" t="s">
        <v>16838</v>
      </c>
      <c r="L9126" s="201" t="s">
        <v>16835</v>
      </c>
      <c r="M9126" s="199"/>
      <c r="N9126" s="199"/>
    </row>
    <row r="9127">
      <c r="A9127" s="193" t="s">
        <v>30339</v>
      </c>
      <c r="B9127" s="7" t="s">
        <v>18679</v>
      </c>
      <c r="C9127" s="7" t="s">
        <v>16838</v>
      </c>
      <c r="D9127" s="194">
        <v>2003.0</v>
      </c>
      <c r="E9127" s="193"/>
      <c r="F9127" s="195" t="s">
        <v>30340</v>
      </c>
      <c r="G9127" s="200">
        <v>0.0</v>
      </c>
      <c r="H9127" s="197">
        <v>9.31</v>
      </c>
      <c r="I9127" s="7" t="s">
        <v>16815</v>
      </c>
      <c r="J9127" s="7" t="s">
        <v>18679</v>
      </c>
      <c r="K9127" s="7" t="s">
        <v>16838</v>
      </c>
      <c r="L9127" s="201" t="s">
        <v>16835</v>
      </c>
      <c r="M9127" s="194"/>
      <c r="N9127" s="194"/>
    </row>
    <row r="9128">
      <c r="A9128" s="193" t="s">
        <v>30341</v>
      </c>
      <c r="B9128" s="7" t="s">
        <v>18679</v>
      </c>
      <c r="C9128" s="7" t="s">
        <v>16838</v>
      </c>
      <c r="D9128" s="194">
        <v>2001.0</v>
      </c>
      <c r="E9128" s="193"/>
      <c r="F9128" s="195" t="s">
        <v>30342</v>
      </c>
      <c r="G9128" s="200">
        <v>0.0</v>
      </c>
      <c r="H9128" s="197">
        <v>10.82</v>
      </c>
      <c r="I9128" s="7" t="s">
        <v>16815</v>
      </c>
      <c r="J9128" s="7" t="s">
        <v>18679</v>
      </c>
      <c r="K9128" s="7" t="s">
        <v>16838</v>
      </c>
      <c r="L9128" s="201" t="s">
        <v>16835</v>
      </c>
      <c r="M9128" s="194"/>
      <c r="N9128" s="194"/>
    </row>
    <row r="9129">
      <c r="A9129" s="193" t="s">
        <v>30343</v>
      </c>
      <c r="B9129" s="7" t="s">
        <v>18679</v>
      </c>
      <c r="C9129" s="7" t="s">
        <v>16838</v>
      </c>
      <c r="D9129" s="194">
        <v>2016.0</v>
      </c>
      <c r="E9129" s="193"/>
      <c r="F9129" s="195" t="s">
        <v>30344</v>
      </c>
      <c r="G9129" s="200">
        <v>0.0</v>
      </c>
      <c r="H9129" s="197">
        <v>7.85</v>
      </c>
      <c r="I9129" s="7" t="s">
        <v>16815</v>
      </c>
      <c r="J9129" s="7" t="s">
        <v>18679</v>
      </c>
      <c r="K9129" s="7" t="s">
        <v>16838</v>
      </c>
      <c r="L9129" s="201" t="s">
        <v>16835</v>
      </c>
      <c r="M9129" s="194"/>
      <c r="N9129" s="194"/>
    </row>
    <row r="9130">
      <c r="A9130" s="193" t="s">
        <v>30345</v>
      </c>
      <c r="B9130" s="7" t="s">
        <v>18679</v>
      </c>
      <c r="C9130" s="7" t="s">
        <v>16838</v>
      </c>
      <c r="D9130" s="199"/>
      <c r="E9130" s="193"/>
      <c r="F9130" s="195" t="s">
        <v>30346</v>
      </c>
      <c r="G9130" s="200">
        <v>0.0</v>
      </c>
      <c r="H9130" s="197">
        <v>21.27</v>
      </c>
      <c r="I9130" s="7" t="s">
        <v>16815</v>
      </c>
      <c r="J9130" s="7" t="s">
        <v>18679</v>
      </c>
      <c r="K9130" s="7" t="s">
        <v>16838</v>
      </c>
      <c r="L9130" s="201" t="s">
        <v>16835</v>
      </c>
      <c r="M9130" s="199"/>
      <c r="N9130" s="199"/>
    </row>
    <row r="9131">
      <c r="A9131" s="193" t="s">
        <v>30347</v>
      </c>
      <c r="B9131" s="7" t="s">
        <v>18679</v>
      </c>
      <c r="C9131" s="7" t="s">
        <v>16838</v>
      </c>
      <c r="D9131" s="194">
        <v>2004.0</v>
      </c>
      <c r="E9131" s="193"/>
      <c r="F9131" s="195" t="s">
        <v>30348</v>
      </c>
      <c r="G9131" s="200">
        <v>0.0</v>
      </c>
      <c r="H9131" s="197">
        <v>6.49</v>
      </c>
      <c r="I9131" s="7" t="s">
        <v>16815</v>
      </c>
      <c r="J9131" s="7" t="s">
        <v>18679</v>
      </c>
      <c r="K9131" s="7" t="s">
        <v>16838</v>
      </c>
      <c r="L9131" s="201" t="s">
        <v>16835</v>
      </c>
      <c r="M9131" s="194"/>
      <c r="N9131" s="194"/>
    </row>
    <row r="9132">
      <c r="A9132" s="193" t="s">
        <v>30349</v>
      </c>
      <c r="B9132" s="7" t="s">
        <v>18679</v>
      </c>
      <c r="C9132" s="7" t="s">
        <v>16838</v>
      </c>
      <c r="D9132" s="194">
        <v>2003.0</v>
      </c>
      <c r="E9132" s="193"/>
      <c r="F9132" s="195" t="s">
        <v>30350</v>
      </c>
      <c r="G9132" s="200">
        <v>0.0</v>
      </c>
      <c r="H9132" s="197">
        <v>4.41</v>
      </c>
      <c r="I9132" s="7" t="s">
        <v>16815</v>
      </c>
      <c r="J9132" s="7" t="s">
        <v>18679</v>
      </c>
      <c r="K9132" s="7" t="s">
        <v>16838</v>
      </c>
      <c r="L9132" s="201" t="s">
        <v>16835</v>
      </c>
      <c r="M9132" s="194"/>
      <c r="N9132" s="194"/>
    </row>
    <row r="9133">
      <c r="A9133" s="193" t="s">
        <v>30351</v>
      </c>
      <c r="B9133" s="7" t="s">
        <v>18679</v>
      </c>
      <c r="C9133" s="7" t="s">
        <v>16838</v>
      </c>
      <c r="D9133" s="194">
        <v>2001.0</v>
      </c>
      <c r="E9133" s="193"/>
      <c r="F9133" s="195" t="s">
        <v>30352</v>
      </c>
      <c r="G9133" s="200">
        <v>0.0</v>
      </c>
      <c r="H9133" s="197">
        <v>8.57</v>
      </c>
      <c r="I9133" s="7" t="s">
        <v>16815</v>
      </c>
      <c r="J9133" s="7" t="s">
        <v>18679</v>
      </c>
      <c r="K9133" s="7" t="s">
        <v>16838</v>
      </c>
      <c r="L9133" s="201" t="s">
        <v>16835</v>
      </c>
      <c r="M9133" s="194"/>
      <c r="N9133" s="194"/>
    </row>
    <row r="9134">
      <c r="A9134" s="193" t="s">
        <v>30353</v>
      </c>
      <c r="B9134" s="7" t="s">
        <v>18679</v>
      </c>
      <c r="C9134" s="7" t="s">
        <v>16838</v>
      </c>
      <c r="D9134" s="194">
        <v>1992.0</v>
      </c>
      <c r="E9134" s="193"/>
      <c r="F9134" s="195" t="s">
        <v>30354</v>
      </c>
      <c r="G9134" s="200">
        <v>0.0</v>
      </c>
      <c r="H9134" s="197">
        <v>7.33</v>
      </c>
      <c r="I9134" s="7" t="s">
        <v>16815</v>
      </c>
      <c r="J9134" s="7" t="s">
        <v>18679</v>
      </c>
      <c r="K9134" s="7" t="s">
        <v>16838</v>
      </c>
      <c r="L9134" s="201" t="s">
        <v>16835</v>
      </c>
      <c r="M9134" s="194"/>
      <c r="N9134" s="194"/>
    </row>
    <row r="9135">
      <c r="A9135" s="193" t="s">
        <v>30355</v>
      </c>
      <c r="B9135" s="7" t="s">
        <v>18679</v>
      </c>
      <c r="C9135" s="7" t="s">
        <v>16838</v>
      </c>
      <c r="D9135" s="199"/>
      <c r="E9135" s="193"/>
      <c r="F9135" s="195" t="s">
        <v>30356</v>
      </c>
      <c r="G9135" s="200">
        <v>0.0</v>
      </c>
      <c r="H9135" s="197">
        <v>10.93</v>
      </c>
      <c r="I9135" s="7" t="s">
        <v>16815</v>
      </c>
      <c r="J9135" s="7" t="s">
        <v>18679</v>
      </c>
      <c r="K9135" s="7" t="s">
        <v>16838</v>
      </c>
      <c r="L9135" s="201" t="s">
        <v>16835</v>
      </c>
      <c r="M9135" s="199"/>
      <c r="N9135" s="199"/>
    </row>
    <row r="9136">
      <c r="A9136" s="193" t="s">
        <v>30357</v>
      </c>
      <c r="B9136" s="7" t="s">
        <v>18679</v>
      </c>
      <c r="C9136" s="7" t="s">
        <v>16838</v>
      </c>
      <c r="D9136" s="199"/>
      <c r="E9136" s="193"/>
      <c r="F9136" s="195" t="s">
        <v>30358</v>
      </c>
      <c r="G9136" s="200">
        <v>0.0</v>
      </c>
      <c r="H9136" s="197">
        <v>8.14</v>
      </c>
      <c r="I9136" s="7" t="s">
        <v>16815</v>
      </c>
      <c r="J9136" s="7" t="s">
        <v>18679</v>
      </c>
      <c r="K9136" s="7" t="s">
        <v>16838</v>
      </c>
      <c r="L9136" s="201" t="s">
        <v>16835</v>
      </c>
      <c r="M9136" s="199"/>
      <c r="N9136" s="199"/>
    </row>
    <row r="9137">
      <c r="A9137" s="193" t="s">
        <v>30359</v>
      </c>
      <c r="B9137" s="7" t="s">
        <v>17019</v>
      </c>
      <c r="C9137" s="7" t="s">
        <v>16838</v>
      </c>
      <c r="D9137" s="199"/>
      <c r="E9137" s="193"/>
      <c r="F9137" s="195" t="s">
        <v>30360</v>
      </c>
      <c r="G9137" s="200">
        <v>0.0</v>
      </c>
      <c r="H9137" s="197">
        <v>8.2101</v>
      </c>
      <c r="I9137" s="7" t="s">
        <v>16815</v>
      </c>
      <c r="J9137" s="7" t="s">
        <v>17019</v>
      </c>
      <c r="K9137" s="7" t="s">
        <v>16838</v>
      </c>
      <c r="L9137" s="201" t="s">
        <v>16835</v>
      </c>
      <c r="M9137" s="199"/>
      <c r="N9137" s="199"/>
    </row>
    <row r="9138">
      <c r="A9138" s="193" t="s">
        <v>30361</v>
      </c>
      <c r="B9138" s="7" t="s">
        <v>17019</v>
      </c>
      <c r="C9138" s="7" t="s">
        <v>16838</v>
      </c>
      <c r="D9138" s="199"/>
      <c r="E9138" s="193"/>
      <c r="F9138" s="195" t="s">
        <v>30362</v>
      </c>
      <c r="G9138" s="200">
        <v>0.0</v>
      </c>
      <c r="H9138" s="197">
        <v>25.07</v>
      </c>
      <c r="I9138" s="7" t="s">
        <v>16815</v>
      </c>
      <c r="J9138" s="7" t="s">
        <v>17019</v>
      </c>
      <c r="K9138" s="7" t="s">
        <v>16838</v>
      </c>
      <c r="L9138" s="201" t="s">
        <v>16835</v>
      </c>
      <c r="M9138" s="199"/>
      <c r="N9138" s="199"/>
    </row>
    <row r="9139">
      <c r="A9139" s="193" t="s">
        <v>30363</v>
      </c>
      <c r="B9139" s="7" t="s">
        <v>17019</v>
      </c>
      <c r="C9139" s="7" t="s">
        <v>16838</v>
      </c>
      <c r="D9139" s="199"/>
      <c r="E9139" s="193"/>
      <c r="F9139" s="195" t="s">
        <v>30364</v>
      </c>
      <c r="G9139" s="200">
        <v>0.0</v>
      </c>
      <c r="H9139" s="197">
        <v>24.8</v>
      </c>
      <c r="I9139" s="7" t="s">
        <v>16815</v>
      </c>
      <c r="J9139" s="7" t="s">
        <v>17019</v>
      </c>
      <c r="K9139" s="7" t="s">
        <v>16838</v>
      </c>
      <c r="L9139" s="201" t="s">
        <v>16835</v>
      </c>
      <c r="M9139" s="199"/>
      <c r="N9139" s="199"/>
    </row>
    <row r="9140">
      <c r="A9140" s="193" t="s">
        <v>30365</v>
      </c>
      <c r="B9140" s="7" t="s">
        <v>17019</v>
      </c>
      <c r="C9140" s="7" t="s">
        <v>16838</v>
      </c>
      <c r="D9140" s="199"/>
      <c r="E9140" s="193"/>
      <c r="F9140" s="195" t="s">
        <v>30366</v>
      </c>
      <c r="G9140" s="200">
        <v>0.0</v>
      </c>
      <c r="H9140" s="197">
        <v>22.5</v>
      </c>
      <c r="I9140" s="7" t="s">
        <v>16815</v>
      </c>
      <c r="J9140" s="7" t="s">
        <v>17019</v>
      </c>
      <c r="K9140" s="7" t="s">
        <v>16838</v>
      </c>
      <c r="L9140" s="201" t="s">
        <v>16835</v>
      </c>
      <c r="M9140" s="199"/>
      <c r="N9140" s="199"/>
    </row>
    <row r="9141">
      <c r="A9141" s="193" t="s">
        <v>29234</v>
      </c>
      <c r="B9141" s="7" t="s">
        <v>17202</v>
      </c>
      <c r="C9141" s="7" t="s">
        <v>16838</v>
      </c>
      <c r="D9141" s="194">
        <v>2011.0</v>
      </c>
      <c r="E9141" s="193"/>
      <c r="F9141" s="195" t="s">
        <v>29235</v>
      </c>
      <c r="G9141" s="200">
        <v>0.0</v>
      </c>
      <c r="H9141" s="197">
        <v>6.07</v>
      </c>
      <c r="I9141" s="7" t="s">
        <v>16815</v>
      </c>
      <c r="J9141" s="7" t="s">
        <v>17202</v>
      </c>
      <c r="K9141" s="7" t="s">
        <v>16838</v>
      </c>
      <c r="L9141" s="201" t="s">
        <v>16835</v>
      </c>
      <c r="M9141" s="194"/>
      <c r="N9141" s="194"/>
    </row>
    <row r="9142">
      <c r="A9142" s="193" t="s">
        <v>29236</v>
      </c>
      <c r="B9142" s="7" t="s">
        <v>17202</v>
      </c>
      <c r="C9142" s="7" t="s">
        <v>16838</v>
      </c>
      <c r="D9142" s="199"/>
      <c r="E9142" s="193"/>
      <c r="F9142" s="195" t="s">
        <v>29237</v>
      </c>
      <c r="G9142" s="200">
        <v>0.0</v>
      </c>
      <c r="H9142" s="197">
        <v>17.3</v>
      </c>
      <c r="I9142" s="7" t="s">
        <v>16815</v>
      </c>
      <c r="J9142" s="7" t="s">
        <v>17202</v>
      </c>
      <c r="K9142" s="7" t="s">
        <v>16838</v>
      </c>
      <c r="L9142" s="201" t="s">
        <v>16835</v>
      </c>
      <c r="M9142" s="199"/>
      <c r="N9142" s="199"/>
    </row>
    <row r="9143">
      <c r="A9143" s="193" t="s">
        <v>29250</v>
      </c>
      <c r="B9143" s="7" t="s">
        <v>17202</v>
      </c>
      <c r="C9143" s="7" t="s">
        <v>16838</v>
      </c>
      <c r="D9143" s="194">
        <v>2011.0</v>
      </c>
      <c r="E9143" s="193"/>
      <c r="F9143" s="195" t="s">
        <v>29251</v>
      </c>
      <c r="G9143" s="200">
        <v>0.0</v>
      </c>
      <c r="H9143" s="197">
        <v>13.04</v>
      </c>
      <c r="I9143" s="7" t="s">
        <v>16815</v>
      </c>
      <c r="J9143" s="7" t="s">
        <v>17202</v>
      </c>
      <c r="K9143" s="7" t="s">
        <v>16838</v>
      </c>
      <c r="L9143" s="201" t="s">
        <v>16835</v>
      </c>
      <c r="M9143" s="194"/>
      <c r="N9143" s="194"/>
    </row>
    <row r="9144">
      <c r="A9144" s="193" t="s">
        <v>29358</v>
      </c>
      <c r="B9144" s="7" t="s">
        <v>17202</v>
      </c>
      <c r="C9144" s="7" t="s">
        <v>16838</v>
      </c>
      <c r="D9144" s="194">
        <v>2007.0</v>
      </c>
      <c r="E9144" s="193"/>
      <c r="F9144" s="195" t="s">
        <v>29359</v>
      </c>
      <c r="G9144" s="200">
        <v>0.0</v>
      </c>
      <c r="H9144" s="197">
        <v>7.45</v>
      </c>
      <c r="I9144" s="7" t="s">
        <v>16815</v>
      </c>
      <c r="J9144" s="7" t="s">
        <v>17202</v>
      </c>
      <c r="K9144" s="7" t="s">
        <v>16838</v>
      </c>
      <c r="L9144" s="201" t="s">
        <v>16835</v>
      </c>
      <c r="M9144" s="194"/>
      <c r="N9144" s="194"/>
    </row>
    <row r="9145">
      <c r="A9145" s="193" t="s">
        <v>29360</v>
      </c>
      <c r="B9145" s="7" t="s">
        <v>17202</v>
      </c>
      <c r="C9145" s="7" t="s">
        <v>16838</v>
      </c>
      <c r="D9145" s="199"/>
      <c r="E9145" s="193"/>
      <c r="F9145" s="195" t="s">
        <v>29361</v>
      </c>
      <c r="G9145" s="200">
        <v>0.0</v>
      </c>
      <c r="H9145" s="197">
        <v>4.83</v>
      </c>
      <c r="I9145" s="7" t="s">
        <v>16815</v>
      </c>
      <c r="J9145" s="7" t="s">
        <v>17202</v>
      </c>
      <c r="K9145" s="7" t="s">
        <v>16838</v>
      </c>
      <c r="L9145" s="201" t="s">
        <v>16835</v>
      </c>
      <c r="M9145" s="199"/>
      <c r="N9145" s="199"/>
    </row>
    <row r="9146">
      <c r="A9146" s="193" t="s">
        <v>29362</v>
      </c>
      <c r="B9146" s="7" t="s">
        <v>17202</v>
      </c>
      <c r="C9146" s="7" t="s">
        <v>16838</v>
      </c>
      <c r="D9146" s="194">
        <v>2020.0</v>
      </c>
      <c r="E9146" s="193"/>
      <c r="F9146" s="195" t="s">
        <v>29363</v>
      </c>
      <c r="G9146" s="200">
        <v>0.0</v>
      </c>
      <c r="H9146" s="197">
        <v>16.22</v>
      </c>
      <c r="I9146" s="7" t="s">
        <v>16815</v>
      </c>
      <c r="J9146" s="7" t="s">
        <v>17202</v>
      </c>
      <c r="K9146" s="7" t="s">
        <v>16838</v>
      </c>
      <c r="L9146" s="201" t="s">
        <v>16835</v>
      </c>
      <c r="M9146" s="194"/>
      <c r="N9146" s="194"/>
    </row>
    <row r="9147">
      <c r="A9147" s="193" t="s">
        <v>29364</v>
      </c>
      <c r="B9147" s="7" t="s">
        <v>17202</v>
      </c>
      <c r="C9147" s="7" t="s">
        <v>16838</v>
      </c>
      <c r="D9147" s="194">
        <v>2012.0</v>
      </c>
      <c r="E9147" s="193"/>
      <c r="F9147" s="195" t="s">
        <v>29365</v>
      </c>
      <c r="G9147" s="200">
        <v>0.0</v>
      </c>
      <c r="H9147" s="197">
        <v>12.69</v>
      </c>
      <c r="I9147" s="7" t="s">
        <v>16815</v>
      </c>
      <c r="J9147" s="7" t="s">
        <v>17202</v>
      </c>
      <c r="K9147" s="7" t="s">
        <v>16838</v>
      </c>
      <c r="L9147" s="201" t="s">
        <v>16835</v>
      </c>
      <c r="M9147" s="194"/>
      <c r="N9147" s="194"/>
    </row>
    <row r="9148">
      <c r="A9148" s="193" t="s">
        <v>30367</v>
      </c>
      <c r="B9148" s="7" t="s">
        <v>17202</v>
      </c>
      <c r="C9148" s="7" t="s">
        <v>16838</v>
      </c>
      <c r="D9148" s="194">
        <v>1994.0</v>
      </c>
      <c r="E9148" s="193"/>
      <c r="F9148" s="195" t="s">
        <v>30368</v>
      </c>
      <c r="G9148" s="200">
        <v>0.0</v>
      </c>
      <c r="H9148" s="197">
        <v>26.19</v>
      </c>
      <c r="I9148" s="7" t="s">
        <v>16815</v>
      </c>
      <c r="J9148" s="7" t="s">
        <v>17202</v>
      </c>
      <c r="K9148" s="7" t="s">
        <v>16838</v>
      </c>
      <c r="L9148" s="201" t="s">
        <v>16835</v>
      </c>
      <c r="M9148" s="194"/>
      <c r="N9148" s="194"/>
    </row>
    <row r="9149">
      <c r="A9149" s="193" t="s">
        <v>30369</v>
      </c>
      <c r="B9149" s="7" t="s">
        <v>17202</v>
      </c>
      <c r="C9149" s="7" t="s">
        <v>16838</v>
      </c>
      <c r="D9149" s="194">
        <v>2012.0</v>
      </c>
      <c r="E9149" s="193"/>
      <c r="F9149" s="195" t="s">
        <v>30370</v>
      </c>
      <c r="G9149" s="200">
        <v>0.0</v>
      </c>
      <c r="H9149" s="197">
        <v>20.16</v>
      </c>
      <c r="I9149" s="7" t="s">
        <v>16815</v>
      </c>
      <c r="J9149" s="7" t="s">
        <v>17202</v>
      </c>
      <c r="K9149" s="7" t="s">
        <v>16838</v>
      </c>
      <c r="L9149" s="201" t="s">
        <v>16835</v>
      </c>
      <c r="M9149" s="194"/>
      <c r="N9149" s="194"/>
    </row>
    <row r="9150">
      <c r="A9150" s="193" t="s">
        <v>30371</v>
      </c>
      <c r="B9150" s="7" t="s">
        <v>17202</v>
      </c>
      <c r="C9150" s="7" t="s">
        <v>16838</v>
      </c>
      <c r="D9150" s="199"/>
      <c r="E9150" s="193"/>
      <c r="F9150" s="195" t="s">
        <v>30372</v>
      </c>
      <c r="G9150" s="200">
        <v>0.0</v>
      </c>
      <c r="H9150" s="197">
        <v>12.28</v>
      </c>
      <c r="I9150" s="7" t="s">
        <v>16815</v>
      </c>
      <c r="J9150" s="7" t="s">
        <v>17202</v>
      </c>
      <c r="K9150" s="7" t="s">
        <v>16838</v>
      </c>
      <c r="L9150" s="201" t="s">
        <v>16835</v>
      </c>
      <c r="M9150" s="199"/>
      <c r="N9150" s="199"/>
    </row>
    <row r="9151">
      <c r="A9151" s="193" t="s">
        <v>30373</v>
      </c>
      <c r="B9151" s="7" t="s">
        <v>17202</v>
      </c>
      <c r="C9151" s="7" t="s">
        <v>16838</v>
      </c>
      <c r="D9151" s="194">
        <v>2002.0</v>
      </c>
      <c r="E9151" s="193"/>
      <c r="F9151" s="195" t="s">
        <v>30374</v>
      </c>
      <c r="G9151" s="200">
        <v>0.0</v>
      </c>
      <c r="H9151" s="197">
        <v>10.19</v>
      </c>
      <c r="I9151" s="7" t="s">
        <v>16815</v>
      </c>
      <c r="J9151" s="7" t="s">
        <v>17202</v>
      </c>
      <c r="K9151" s="7" t="s">
        <v>16838</v>
      </c>
      <c r="L9151" s="201" t="s">
        <v>16835</v>
      </c>
      <c r="M9151" s="194"/>
      <c r="N9151" s="194"/>
    </row>
    <row r="9152">
      <c r="A9152" s="193" t="s">
        <v>30375</v>
      </c>
      <c r="B9152" s="7" t="s">
        <v>17202</v>
      </c>
      <c r="C9152" s="7" t="s">
        <v>16838</v>
      </c>
      <c r="D9152" s="194">
        <v>2006.0</v>
      </c>
      <c r="E9152" s="193"/>
      <c r="F9152" s="195" t="s">
        <v>30376</v>
      </c>
      <c r="G9152" s="200">
        <v>0.0</v>
      </c>
      <c r="H9152" s="197">
        <v>12.0337</v>
      </c>
      <c r="I9152" s="7" t="s">
        <v>16815</v>
      </c>
      <c r="J9152" s="7" t="s">
        <v>17202</v>
      </c>
      <c r="K9152" s="7" t="s">
        <v>16838</v>
      </c>
      <c r="L9152" s="201" t="s">
        <v>16835</v>
      </c>
      <c r="M9152" s="194"/>
      <c r="N9152" s="194"/>
    </row>
    <row r="9153">
      <c r="A9153" s="193" t="s">
        <v>30377</v>
      </c>
      <c r="B9153" s="7" t="s">
        <v>17202</v>
      </c>
      <c r="C9153" s="7" t="s">
        <v>16838</v>
      </c>
      <c r="D9153" s="199"/>
      <c r="E9153" s="193"/>
      <c r="F9153" s="195" t="s">
        <v>30378</v>
      </c>
      <c r="G9153" s="200">
        <v>0.0</v>
      </c>
      <c r="H9153" s="197">
        <v>10.03</v>
      </c>
      <c r="I9153" s="7" t="s">
        <v>16815</v>
      </c>
      <c r="J9153" s="7" t="s">
        <v>17202</v>
      </c>
      <c r="K9153" s="7" t="s">
        <v>16838</v>
      </c>
      <c r="L9153" s="201" t="s">
        <v>16835</v>
      </c>
      <c r="M9153" s="199"/>
      <c r="N9153" s="199"/>
    </row>
    <row r="9154">
      <c r="A9154" s="193" t="s">
        <v>30379</v>
      </c>
      <c r="B9154" s="7" t="s">
        <v>17202</v>
      </c>
      <c r="C9154" s="7" t="s">
        <v>16838</v>
      </c>
      <c r="D9154" s="194">
        <v>2012.0</v>
      </c>
      <c r="E9154" s="193"/>
      <c r="F9154" s="195" t="s">
        <v>30380</v>
      </c>
      <c r="G9154" s="200">
        <v>0.0</v>
      </c>
      <c r="H9154" s="197">
        <v>31.21</v>
      </c>
      <c r="I9154" s="7" t="s">
        <v>16815</v>
      </c>
      <c r="J9154" s="7" t="s">
        <v>17202</v>
      </c>
      <c r="K9154" s="7" t="s">
        <v>16838</v>
      </c>
      <c r="L9154" s="201" t="s">
        <v>16835</v>
      </c>
      <c r="M9154" s="194"/>
      <c r="N9154" s="194"/>
    </row>
    <row r="9155">
      <c r="A9155" s="193" t="s">
        <v>30381</v>
      </c>
      <c r="B9155" s="7" t="s">
        <v>17202</v>
      </c>
      <c r="C9155" s="7" t="s">
        <v>16838</v>
      </c>
      <c r="D9155" s="194">
        <v>2013.0</v>
      </c>
      <c r="E9155" s="193"/>
      <c r="F9155" s="195" t="s">
        <v>30382</v>
      </c>
      <c r="G9155" s="200">
        <v>0.0</v>
      </c>
      <c r="H9155" s="197">
        <v>16.46</v>
      </c>
      <c r="I9155" s="7" t="s">
        <v>16815</v>
      </c>
      <c r="J9155" s="7" t="s">
        <v>17202</v>
      </c>
      <c r="K9155" s="7" t="s">
        <v>16838</v>
      </c>
      <c r="L9155" s="201" t="s">
        <v>16835</v>
      </c>
      <c r="M9155" s="194"/>
      <c r="N9155" s="194"/>
    </row>
    <row r="9156">
      <c r="A9156" s="193" t="s">
        <v>30383</v>
      </c>
      <c r="B9156" s="7" t="s">
        <v>17202</v>
      </c>
      <c r="C9156" s="7" t="s">
        <v>16838</v>
      </c>
      <c r="D9156" s="194">
        <v>1987.0</v>
      </c>
      <c r="E9156" s="193"/>
      <c r="F9156" s="195" t="s">
        <v>7971</v>
      </c>
      <c r="G9156" s="200">
        <v>0.0</v>
      </c>
      <c r="H9156" s="197">
        <v>9.02</v>
      </c>
      <c r="I9156" s="7" t="s">
        <v>16815</v>
      </c>
      <c r="J9156" s="7" t="s">
        <v>17202</v>
      </c>
      <c r="K9156" s="7" t="s">
        <v>16838</v>
      </c>
      <c r="L9156" s="201" t="s">
        <v>16835</v>
      </c>
      <c r="M9156" s="194"/>
      <c r="N9156" s="194"/>
    </row>
    <row r="9157">
      <c r="A9157" s="193" t="s">
        <v>30384</v>
      </c>
      <c r="B9157" s="7" t="s">
        <v>17202</v>
      </c>
      <c r="C9157" s="7" t="s">
        <v>16838</v>
      </c>
      <c r="D9157" s="194">
        <v>1989.0</v>
      </c>
      <c r="E9157" s="193"/>
      <c r="F9157" s="195" t="s">
        <v>30385</v>
      </c>
      <c r="G9157" s="200">
        <v>0.0</v>
      </c>
      <c r="H9157" s="197">
        <v>5.15</v>
      </c>
      <c r="I9157" s="7" t="s">
        <v>16815</v>
      </c>
      <c r="J9157" s="7" t="s">
        <v>17202</v>
      </c>
      <c r="K9157" s="7" t="s">
        <v>16838</v>
      </c>
      <c r="L9157" s="201" t="s">
        <v>16835</v>
      </c>
      <c r="M9157" s="194"/>
      <c r="N9157" s="194"/>
    </row>
    <row r="9158">
      <c r="A9158" s="193" t="s">
        <v>30386</v>
      </c>
      <c r="B9158" s="7" t="s">
        <v>17202</v>
      </c>
      <c r="C9158" s="7" t="s">
        <v>16838</v>
      </c>
      <c r="D9158" s="194">
        <v>2010.0</v>
      </c>
      <c r="E9158" s="193"/>
      <c r="F9158" s="195" t="s">
        <v>30387</v>
      </c>
      <c r="G9158" s="200">
        <v>0.0</v>
      </c>
      <c r="H9158" s="197">
        <v>4.0</v>
      </c>
      <c r="I9158" s="7" t="s">
        <v>16815</v>
      </c>
      <c r="J9158" s="7" t="s">
        <v>17202</v>
      </c>
      <c r="K9158" s="7" t="s">
        <v>16838</v>
      </c>
      <c r="L9158" s="201" t="s">
        <v>16835</v>
      </c>
      <c r="M9158" s="194"/>
      <c r="N9158" s="194"/>
    </row>
    <row r="9159">
      <c r="A9159" s="193" t="s">
        <v>30388</v>
      </c>
      <c r="B9159" s="7" t="s">
        <v>17202</v>
      </c>
      <c r="C9159" s="7" t="s">
        <v>16838</v>
      </c>
      <c r="D9159" s="194">
        <v>2003.0</v>
      </c>
      <c r="E9159" s="193"/>
      <c r="F9159" s="195" t="s">
        <v>30389</v>
      </c>
      <c r="G9159" s="200">
        <v>0.0</v>
      </c>
      <c r="H9159" s="197">
        <v>6.44</v>
      </c>
      <c r="I9159" s="7" t="s">
        <v>16815</v>
      </c>
      <c r="J9159" s="7" t="s">
        <v>17202</v>
      </c>
      <c r="K9159" s="7" t="s">
        <v>16838</v>
      </c>
      <c r="L9159" s="201" t="s">
        <v>16835</v>
      </c>
      <c r="M9159" s="194"/>
      <c r="N9159" s="194"/>
    </row>
    <row r="9160">
      <c r="A9160" s="193" t="s">
        <v>30390</v>
      </c>
      <c r="B9160" s="7" t="s">
        <v>17202</v>
      </c>
      <c r="C9160" s="7" t="s">
        <v>16838</v>
      </c>
      <c r="D9160" s="194">
        <v>2011.0</v>
      </c>
      <c r="E9160" s="193"/>
      <c r="F9160" s="195" t="s">
        <v>30391</v>
      </c>
      <c r="G9160" s="200">
        <v>0.0</v>
      </c>
      <c r="H9160" s="197">
        <v>32.12</v>
      </c>
      <c r="I9160" s="7" t="s">
        <v>16815</v>
      </c>
      <c r="J9160" s="7" t="s">
        <v>17202</v>
      </c>
      <c r="K9160" s="7" t="s">
        <v>16838</v>
      </c>
      <c r="L9160" s="201" t="s">
        <v>16835</v>
      </c>
      <c r="M9160" s="194"/>
      <c r="N9160" s="194"/>
    </row>
    <row r="9161">
      <c r="A9161" s="193" t="s">
        <v>30392</v>
      </c>
      <c r="B9161" s="7" t="s">
        <v>17202</v>
      </c>
      <c r="C9161" s="7" t="s">
        <v>16838</v>
      </c>
      <c r="D9161" s="194">
        <v>2007.0</v>
      </c>
      <c r="E9161" s="193"/>
      <c r="F9161" s="195" t="s">
        <v>30393</v>
      </c>
      <c r="G9161" s="200">
        <v>0.0</v>
      </c>
      <c r="H9161" s="197">
        <v>4.01</v>
      </c>
      <c r="I9161" s="7" t="s">
        <v>16815</v>
      </c>
      <c r="J9161" s="7" t="s">
        <v>17202</v>
      </c>
      <c r="K9161" s="7" t="s">
        <v>16838</v>
      </c>
      <c r="L9161" s="201" t="s">
        <v>16835</v>
      </c>
      <c r="M9161" s="194"/>
      <c r="N9161" s="194"/>
    </row>
    <row r="9162">
      <c r="A9162" s="193" t="s">
        <v>30394</v>
      </c>
      <c r="B9162" s="7" t="s">
        <v>17202</v>
      </c>
      <c r="C9162" s="7" t="s">
        <v>16838</v>
      </c>
      <c r="D9162" s="194">
        <v>2004.0</v>
      </c>
      <c r="E9162" s="193"/>
      <c r="F9162" s="195" t="s">
        <v>30395</v>
      </c>
      <c r="G9162" s="200">
        <v>0.0</v>
      </c>
      <c r="H9162" s="197">
        <v>15.43</v>
      </c>
      <c r="I9162" s="7" t="s">
        <v>16815</v>
      </c>
      <c r="J9162" s="7" t="s">
        <v>17202</v>
      </c>
      <c r="K9162" s="7" t="s">
        <v>16838</v>
      </c>
      <c r="L9162" s="201" t="s">
        <v>16835</v>
      </c>
      <c r="M9162" s="194"/>
      <c r="N9162" s="194"/>
    </row>
    <row r="9163">
      <c r="A9163" s="193" t="s">
        <v>30396</v>
      </c>
      <c r="B9163" s="7" t="s">
        <v>17202</v>
      </c>
      <c r="C9163" s="7" t="s">
        <v>16838</v>
      </c>
      <c r="D9163" s="194">
        <v>2005.0</v>
      </c>
      <c r="E9163" s="193"/>
      <c r="F9163" s="195" t="s">
        <v>30397</v>
      </c>
      <c r="G9163" s="200">
        <v>0.0</v>
      </c>
      <c r="H9163" s="197">
        <v>9.91</v>
      </c>
      <c r="I9163" s="7" t="s">
        <v>16815</v>
      </c>
      <c r="J9163" s="7" t="s">
        <v>17202</v>
      </c>
      <c r="K9163" s="7" t="s">
        <v>16838</v>
      </c>
      <c r="L9163" s="201" t="s">
        <v>16835</v>
      </c>
      <c r="M9163" s="194"/>
      <c r="N9163" s="194"/>
    </row>
    <row r="9164">
      <c r="A9164" s="193" t="s">
        <v>30398</v>
      </c>
      <c r="B9164" s="7" t="s">
        <v>17202</v>
      </c>
      <c r="C9164" s="7" t="s">
        <v>16838</v>
      </c>
      <c r="D9164" s="194">
        <v>2004.0</v>
      </c>
      <c r="E9164" s="193"/>
      <c r="F9164" s="195" t="s">
        <v>11121</v>
      </c>
      <c r="G9164" s="200">
        <v>0.0</v>
      </c>
      <c r="H9164" s="197">
        <v>16.92</v>
      </c>
      <c r="I9164" s="7" t="s">
        <v>16815</v>
      </c>
      <c r="J9164" s="7" t="s">
        <v>17202</v>
      </c>
      <c r="K9164" s="7" t="s">
        <v>16838</v>
      </c>
      <c r="L9164" s="201" t="s">
        <v>16835</v>
      </c>
      <c r="M9164" s="194"/>
      <c r="N9164" s="194"/>
    </row>
    <row r="9165">
      <c r="A9165" s="193" t="s">
        <v>30399</v>
      </c>
      <c r="B9165" s="7" t="s">
        <v>17202</v>
      </c>
      <c r="C9165" s="7" t="s">
        <v>16838</v>
      </c>
      <c r="D9165" s="194">
        <v>2010.0</v>
      </c>
      <c r="E9165" s="193"/>
      <c r="F9165" s="195" t="s">
        <v>30400</v>
      </c>
      <c r="G9165" s="200">
        <v>0.0</v>
      </c>
      <c r="H9165" s="197">
        <v>10.88</v>
      </c>
      <c r="I9165" s="7" t="s">
        <v>16815</v>
      </c>
      <c r="J9165" s="7" t="s">
        <v>17202</v>
      </c>
      <c r="K9165" s="7" t="s">
        <v>16838</v>
      </c>
      <c r="L9165" s="201" t="s">
        <v>16835</v>
      </c>
      <c r="M9165" s="194"/>
      <c r="N9165" s="194"/>
    </row>
    <row r="9166">
      <c r="A9166" s="193" t="s">
        <v>30401</v>
      </c>
      <c r="B9166" s="7" t="s">
        <v>17202</v>
      </c>
      <c r="C9166" s="7" t="s">
        <v>16838</v>
      </c>
      <c r="D9166" s="194">
        <v>2007.0</v>
      </c>
      <c r="E9166" s="193"/>
      <c r="F9166" s="195" t="s">
        <v>30402</v>
      </c>
      <c r="G9166" s="200">
        <v>0.0</v>
      </c>
      <c r="H9166" s="197">
        <v>7.73</v>
      </c>
      <c r="I9166" s="7" t="s">
        <v>16815</v>
      </c>
      <c r="J9166" s="7" t="s">
        <v>17202</v>
      </c>
      <c r="K9166" s="7" t="s">
        <v>16838</v>
      </c>
      <c r="L9166" s="201" t="s">
        <v>16835</v>
      </c>
      <c r="M9166" s="194"/>
      <c r="N9166" s="194"/>
    </row>
    <row r="9167">
      <c r="A9167" s="193" t="s">
        <v>30403</v>
      </c>
      <c r="B9167" s="7" t="s">
        <v>17202</v>
      </c>
      <c r="C9167" s="7" t="s">
        <v>16838</v>
      </c>
      <c r="D9167" s="194">
        <v>1990.0</v>
      </c>
      <c r="E9167" s="193"/>
      <c r="F9167" s="195" t="s">
        <v>30404</v>
      </c>
      <c r="G9167" s="200">
        <v>0.0</v>
      </c>
      <c r="H9167" s="197">
        <v>8.1235</v>
      </c>
      <c r="I9167" s="7" t="s">
        <v>16815</v>
      </c>
      <c r="J9167" s="7" t="s">
        <v>17202</v>
      </c>
      <c r="K9167" s="7" t="s">
        <v>16838</v>
      </c>
      <c r="L9167" s="201" t="s">
        <v>16835</v>
      </c>
      <c r="M9167" s="194"/>
      <c r="N9167" s="194"/>
    </row>
    <row r="9168">
      <c r="A9168" s="193" t="s">
        <v>30405</v>
      </c>
      <c r="B9168" s="7" t="s">
        <v>17202</v>
      </c>
      <c r="C9168" s="7" t="s">
        <v>16838</v>
      </c>
      <c r="D9168" s="194">
        <v>2011.0</v>
      </c>
      <c r="E9168" s="193"/>
      <c r="F9168" s="195" t="s">
        <v>30406</v>
      </c>
      <c r="G9168" s="200">
        <v>0.0</v>
      </c>
      <c r="H9168" s="197">
        <v>9.47</v>
      </c>
      <c r="I9168" s="7" t="s">
        <v>16815</v>
      </c>
      <c r="J9168" s="7" t="s">
        <v>17202</v>
      </c>
      <c r="K9168" s="7" t="s">
        <v>16838</v>
      </c>
      <c r="L9168" s="201" t="s">
        <v>16835</v>
      </c>
      <c r="M9168" s="194"/>
      <c r="N9168" s="194"/>
    </row>
    <row r="9169">
      <c r="A9169" s="193" t="s">
        <v>30407</v>
      </c>
      <c r="B9169" s="7" t="s">
        <v>17202</v>
      </c>
      <c r="C9169" s="7" t="s">
        <v>16838</v>
      </c>
      <c r="D9169" s="194">
        <v>2003.0</v>
      </c>
      <c r="E9169" s="193"/>
      <c r="F9169" s="195" t="s">
        <v>30408</v>
      </c>
      <c r="G9169" s="200">
        <v>0.0</v>
      </c>
      <c r="H9169" s="197">
        <v>12.58</v>
      </c>
      <c r="I9169" s="7" t="s">
        <v>16815</v>
      </c>
      <c r="J9169" s="7" t="s">
        <v>17202</v>
      </c>
      <c r="K9169" s="7" t="s">
        <v>16838</v>
      </c>
      <c r="L9169" s="201" t="s">
        <v>16835</v>
      </c>
      <c r="M9169" s="194"/>
      <c r="N9169" s="194"/>
    </row>
    <row r="9170">
      <c r="A9170" s="193" t="s">
        <v>30409</v>
      </c>
      <c r="B9170" s="7" t="s">
        <v>17202</v>
      </c>
      <c r="C9170" s="7" t="s">
        <v>16838</v>
      </c>
      <c r="D9170" s="194">
        <v>1988.0</v>
      </c>
      <c r="E9170" s="193"/>
      <c r="F9170" s="195" t="s">
        <v>30410</v>
      </c>
      <c r="G9170" s="200">
        <v>0.0</v>
      </c>
      <c r="H9170" s="197">
        <v>6.58</v>
      </c>
      <c r="I9170" s="7" t="s">
        <v>16815</v>
      </c>
      <c r="J9170" s="7" t="s">
        <v>17202</v>
      </c>
      <c r="K9170" s="7" t="s">
        <v>16838</v>
      </c>
      <c r="L9170" s="201" t="s">
        <v>16835</v>
      </c>
      <c r="M9170" s="194"/>
      <c r="N9170" s="194"/>
    </row>
    <row r="9171">
      <c r="A9171" s="193" t="s">
        <v>30411</v>
      </c>
      <c r="B9171" s="7" t="s">
        <v>17202</v>
      </c>
      <c r="C9171" s="7" t="s">
        <v>16838</v>
      </c>
      <c r="D9171" s="194">
        <v>2010.0</v>
      </c>
      <c r="E9171" s="193"/>
      <c r="F9171" s="195" t="s">
        <v>30412</v>
      </c>
      <c r="G9171" s="200">
        <v>0.0</v>
      </c>
      <c r="H9171" s="197">
        <v>11.27</v>
      </c>
      <c r="I9171" s="7" t="s">
        <v>16815</v>
      </c>
      <c r="J9171" s="7" t="s">
        <v>17202</v>
      </c>
      <c r="K9171" s="7" t="s">
        <v>16838</v>
      </c>
      <c r="L9171" s="201" t="s">
        <v>16835</v>
      </c>
      <c r="M9171" s="194"/>
      <c r="N9171" s="194"/>
    </row>
    <row r="9172">
      <c r="A9172" s="193" t="s">
        <v>30413</v>
      </c>
      <c r="B9172" s="7" t="s">
        <v>17202</v>
      </c>
      <c r="C9172" s="7" t="s">
        <v>16838</v>
      </c>
      <c r="D9172" s="194">
        <v>2005.0</v>
      </c>
      <c r="E9172" s="193"/>
      <c r="F9172" s="195" t="s">
        <v>30414</v>
      </c>
      <c r="G9172" s="200">
        <v>0.0</v>
      </c>
      <c r="H9172" s="197">
        <v>8.14</v>
      </c>
      <c r="I9172" s="7" t="s">
        <v>16815</v>
      </c>
      <c r="J9172" s="7" t="s">
        <v>17202</v>
      </c>
      <c r="K9172" s="7" t="s">
        <v>16838</v>
      </c>
      <c r="L9172" s="201" t="s">
        <v>16835</v>
      </c>
      <c r="M9172" s="194"/>
      <c r="N9172" s="194"/>
    </row>
    <row r="9173">
      <c r="A9173" s="193" t="s">
        <v>30415</v>
      </c>
      <c r="B9173" s="7" t="s">
        <v>17202</v>
      </c>
      <c r="C9173" s="7" t="s">
        <v>16838</v>
      </c>
      <c r="D9173" s="194">
        <v>2009.0</v>
      </c>
      <c r="E9173" s="193"/>
      <c r="F9173" s="195" t="s">
        <v>30416</v>
      </c>
      <c r="G9173" s="200">
        <v>0.0</v>
      </c>
      <c r="H9173" s="197">
        <v>16.02</v>
      </c>
      <c r="I9173" s="7" t="s">
        <v>16815</v>
      </c>
      <c r="J9173" s="7" t="s">
        <v>17202</v>
      </c>
      <c r="K9173" s="7" t="s">
        <v>16838</v>
      </c>
      <c r="L9173" s="201" t="s">
        <v>16835</v>
      </c>
      <c r="M9173" s="194"/>
      <c r="N9173" s="194"/>
    </row>
    <row r="9174">
      <c r="A9174" s="193" t="s">
        <v>30417</v>
      </c>
      <c r="B9174" s="7" t="s">
        <v>17202</v>
      </c>
      <c r="C9174" s="7" t="s">
        <v>16838</v>
      </c>
      <c r="D9174" s="194">
        <v>2011.0</v>
      </c>
      <c r="E9174" s="193"/>
      <c r="F9174" s="195" t="s">
        <v>30418</v>
      </c>
      <c r="G9174" s="200">
        <v>0.0</v>
      </c>
      <c r="H9174" s="197">
        <v>4.81</v>
      </c>
      <c r="I9174" s="7" t="s">
        <v>16815</v>
      </c>
      <c r="J9174" s="7" t="s">
        <v>17202</v>
      </c>
      <c r="K9174" s="7" t="s">
        <v>16838</v>
      </c>
      <c r="L9174" s="201" t="s">
        <v>16835</v>
      </c>
      <c r="M9174" s="194"/>
      <c r="N9174" s="194"/>
    </row>
    <row r="9175">
      <c r="A9175" s="193" t="s">
        <v>30419</v>
      </c>
      <c r="B9175" s="7" t="s">
        <v>17202</v>
      </c>
      <c r="C9175" s="7" t="s">
        <v>16838</v>
      </c>
      <c r="D9175" s="199"/>
      <c r="E9175" s="193"/>
      <c r="F9175" s="195" t="s">
        <v>10658</v>
      </c>
      <c r="G9175" s="200">
        <v>0.0</v>
      </c>
      <c r="H9175" s="197">
        <v>14.92</v>
      </c>
      <c r="I9175" s="7" t="s">
        <v>16815</v>
      </c>
      <c r="J9175" s="7" t="s">
        <v>17202</v>
      </c>
      <c r="K9175" s="7" t="s">
        <v>16838</v>
      </c>
      <c r="L9175" s="201" t="s">
        <v>16835</v>
      </c>
      <c r="M9175" s="199"/>
      <c r="N9175" s="199"/>
    </row>
    <row r="9176">
      <c r="A9176" s="193" t="s">
        <v>30420</v>
      </c>
      <c r="B9176" s="7" t="s">
        <v>17202</v>
      </c>
      <c r="C9176" s="7" t="s">
        <v>16838</v>
      </c>
      <c r="D9176" s="194">
        <v>2014.0</v>
      </c>
      <c r="E9176" s="193"/>
      <c r="F9176" s="195" t="s">
        <v>30421</v>
      </c>
      <c r="G9176" s="200">
        <v>0.0</v>
      </c>
      <c r="H9176" s="197">
        <v>11.23</v>
      </c>
      <c r="I9176" s="7" t="s">
        <v>16815</v>
      </c>
      <c r="J9176" s="7" t="s">
        <v>17202</v>
      </c>
      <c r="K9176" s="7" t="s">
        <v>16838</v>
      </c>
      <c r="L9176" s="201" t="s">
        <v>16835</v>
      </c>
      <c r="M9176" s="194"/>
      <c r="N9176" s="194"/>
    </row>
    <row r="9177">
      <c r="A9177" s="193" t="s">
        <v>30422</v>
      </c>
      <c r="B9177" s="7" t="s">
        <v>17202</v>
      </c>
      <c r="C9177" s="7" t="s">
        <v>16838</v>
      </c>
      <c r="D9177" s="194">
        <v>2009.0</v>
      </c>
      <c r="E9177" s="193"/>
      <c r="F9177" s="195" t="s">
        <v>10789</v>
      </c>
      <c r="G9177" s="200">
        <v>0.0</v>
      </c>
      <c r="H9177" s="197">
        <v>15.76</v>
      </c>
      <c r="I9177" s="7" t="s">
        <v>16815</v>
      </c>
      <c r="J9177" s="7" t="s">
        <v>17202</v>
      </c>
      <c r="K9177" s="7" t="s">
        <v>16838</v>
      </c>
      <c r="L9177" s="201" t="s">
        <v>16835</v>
      </c>
      <c r="M9177" s="194"/>
      <c r="N9177" s="194"/>
    </row>
    <row r="9178">
      <c r="A9178" s="193" t="s">
        <v>30423</v>
      </c>
      <c r="B9178" s="7" t="s">
        <v>17202</v>
      </c>
      <c r="C9178" s="7" t="s">
        <v>16838</v>
      </c>
      <c r="D9178" s="194">
        <v>2003.0</v>
      </c>
      <c r="E9178" s="193"/>
      <c r="F9178" s="195" t="s">
        <v>30424</v>
      </c>
      <c r="G9178" s="200">
        <v>0.0</v>
      </c>
      <c r="H9178" s="197">
        <v>6.19</v>
      </c>
      <c r="I9178" s="7" t="s">
        <v>16815</v>
      </c>
      <c r="J9178" s="7" t="s">
        <v>17202</v>
      </c>
      <c r="K9178" s="7" t="s">
        <v>16838</v>
      </c>
      <c r="L9178" s="201" t="s">
        <v>16835</v>
      </c>
      <c r="M9178" s="194"/>
      <c r="N9178" s="194"/>
    </row>
    <row r="9179">
      <c r="A9179" s="193" t="s">
        <v>30425</v>
      </c>
      <c r="B9179" s="7" t="s">
        <v>17202</v>
      </c>
      <c r="C9179" s="7" t="s">
        <v>16838</v>
      </c>
      <c r="D9179" s="199"/>
      <c r="E9179" s="193"/>
      <c r="F9179" s="195" t="s">
        <v>30426</v>
      </c>
      <c r="G9179" s="200">
        <v>0.0</v>
      </c>
      <c r="H9179" s="197">
        <v>20.5</v>
      </c>
      <c r="I9179" s="7" t="s">
        <v>16815</v>
      </c>
      <c r="J9179" s="7" t="s">
        <v>17202</v>
      </c>
      <c r="K9179" s="7" t="s">
        <v>16838</v>
      </c>
      <c r="L9179" s="201" t="s">
        <v>16835</v>
      </c>
      <c r="M9179" s="199"/>
      <c r="N9179" s="199"/>
    </row>
    <row r="9180">
      <c r="A9180" s="193" t="s">
        <v>30427</v>
      </c>
      <c r="B9180" s="7" t="s">
        <v>17202</v>
      </c>
      <c r="C9180" s="7" t="s">
        <v>16838</v>
      </c>
      <c r="D9180" s="194">
        <v>2013.0</v>
      </c>
      <c r="E9180" s="193"/>
      <c r="F9180" s="195" t="s">
        <v>30428</v>
      </c>
      <c r="G9180" s="200">
        <v>0.0</v>
      </c>
      <c r="H9180" s="197">
        <v>11.64</v>
      </c>
      <c r="I9180" s="7" t="s">
        <v>16815</v>
      </c>
      <c r="J9180" s="7" t="s">
        <v>17202</v>
      </c>
      <c r="K9180" s="7" t="s">
        <v>16838</v>
      </c>
      <c r="L9180" s="201" t="s">
        <v>16835</v>
      </c>
      <c r="M9180" s="194"/>
      <c r="N9180" s="194"/>
    </row>
    <row r="9181">
      <c r="A9181" s="193" t="s">
        <v>30429</v>
      </c>
      <c r="B9181" s="7" t="s">
        <v>17202</v>
      </c>
      <c r="C9181" s="7" t="s">
        <v>16838</v>
      </c>
      <c r="D9181" s="199"/>
      <c r="E9181" s="193"/>
      <c r="F9181" s="195" t="s">
        <v>30430</v>
      </c>
      <c r="G9181" s="200">
        <v>0.0</v>
      </c>
      <c r="H9181" s="197">
        <v>28.3707</v>
      </c>
      <c r="I9181" s="7" t="s">
        <v>16815</v>
      </c>
      <c r="J9181" s="7" t="s">
        <v>17202</v>
      </c>
      <c r="K9181" s="7" t="s">
        <v>16838</v>
      </c>
      <c r="L9181" s="201" t="s">
        <v>16835</v>
      </c>
      <c r="M9181" s="199"/>
      <c r="N9181" s="199"/>
    </row>
    <row r="9182">
      <c r="A9182" s="193" t="s">
        <v>30431</v>
      </c>
      <c r="B9182" s="7" t="s">
        <v>17202</v>
      </c>
      <c r="C9182" s="7" t="s">
        <v>16838</v>
      </c>
      <c r="D9182" s="194">
        <v>2021.0</v>
      </c>
      <c r="E9182" s="193"/>
      <c r="F9182" s="195" t="s">
        <v>30432</v>
      </c>
      <c r="G9182" s="200">
        <v>0.0</v>
      </c>
      <c r="H9182" s="197">
        <v>11.65</v>
      </c>
      <c r="I9182" s="7" t="s">
        <v>16815</v>
      </c>
      <c r="J9182" s="7" t="s">
        <v>17202</v>
      </c>
      <c r="K9182" s="7" t="s">
        <v>16838</v>
      </c>
      <c r="L9182" s="201" t="s">
        <v>16835</v>
      </c>
      <c r="M9182" s="194"/>
      <c r="N9182" s="194"/>
    </row>
    <row r="9183">
      <c r="A9183" s="193" t="s">
        <v>30433</v>
      </c>
      <c r="B9183" s="7" t="s">
        <v>17202</v>
      </c>
      <c r="C9183" s="7" t="s">
        <v>16838</v>
      </c>
      <c r="D9183" s="194">
        <v>2003.0</v>
      </c>
      <c r="E9183" s="193"/>
      <c r="F9183" s="195" t="s">
        <v>30434</v>
      </c>
      <c r="G9183" s="200">
        <v>0.0</v>
      </c>
      <c r="H9183" s="197">
        <v>7.66</v>
      </c>
      <c r="I9183" s="7" t="s">
        <v>16815</v>
      </c>
      <c r="J9183" s="7" t="s">
        <v>17202</v>
      </c>
      <c r="K9183" s="7" t="s">
        <v>16838</v>
      </c>
      <c r="L9183" s="201" t="s">
        <v>16835</v>
      </c>
      <c r="M9183" s="194"/>
      <c r="N9183" s="194"/>
    </row>
    <row r="9184">
      <c r="A9184" s="193" t="s">
        <v>30435</v>
      </c>
      <c r="B9184" s="7" t="s">
        <v>17202</v>
      </c>
      <c r="C9184" s="7" t="s">
        <v>16838</v>
      </c>
      <c r="D9184" s="194">
        <v>2021.0</v>
      </c>
      <c r="E9184" s="193"/>
      <c r="F9184" s="195" t="s">
        <v>30436</v>
      </c>
      <c r="G9184" s="200">
        <v>0.0</v>
      </c>
      <c r="H9184" s="197">
        <v>9.91</v>
      </c>
      <c r="I9184" s="7" t="s">
        <v>16815</v>
      </c>
      <c r="J9184" s="7" t="s">
        <v>17202</v>
      </c>
      <c r="K9184" s="7" t="s">
        <v>16838</v>
      </c>
      <c r="L9184" s="201" t="s">
        <v>16835</v>
      </c>
      <c r="M9184" s="194"/>
      <c r="N9184" s="194"/>
    </row>
    <row r="9185">
      <c r="A9185" s="193" t="s">
        <v>30437</v>
      </c>
      <c r="B9185" s="7" t="s">
        <v>17202</v>
      </c>
      <c r="C9185" s="7" t="s">
        <v>16838</v>
      </c>
      <c r="D9185" s="194">
        <v>2012.0</v>
      </c>
      <c r="E9185" s="193"/>
      <c r="F9185" s="195" t="s">
        <v>30438</v>
      </c>
      <c r="G9185" s="200">
        <v>0.0</v>
      </c>
      <c r="H9185" s="197">
        <v>15.42</v>
      </c>
      <c r="I9185" s="7" t="s">
        <v>16815</v>
      </c>
      <c r="J9185" s="7" t="s">
        <v>17202</v>
      </c>
      <c r="K9185" s="7" t="s">
        <v>16838</v>
      </c>
      <c r="L9185" s="201" t="s">
        <v>16835</v>
      </c>
      <c r="M9185" s="194"/>
      <c r="N9185" s="194"/>
    </row>
    <row r="9186">
      <c r="A9186" s="193" t="s">
        <v>30439</v>
      </c>
      <c r="B9186" s="7" t="s">
        <v>17202</v>
      </c>
      <c r="C9186" s="7" t="s">
        <v>16838</v>
      </c>
      <c r="D9186" s="194">
        <v>1992.0</v>
      </c>
      <c r="E9186" s="193"/>
      <c r="F9186" s="195" t="s">
        <v>30440</v>
      </c>
      <c r="G9186" s="200">
        <v>0.0</v>
      </c>
      <c r="H9186" s="197">
        <v>9.43</v>
      </c>
      <c r="I9186" s="7" t="s">
        <v>16815</v>
      </c>
      <c r="J9186" s="7" t="s">
        <v>17202</v>
      </c>
      <c r="K9186" s="7" t="s">
        <v>16838</v>
      </c>
      <c r="L9186" s="201" t="s">
        <v>16835</v>
      </c>
      <c r="M9186" s="194"/>
      <c r="N9186" s="194"/>
    </row>
    <row r="9187">
      <c r="A9187" s="193" t="s">
        <v>30441</v>
      </c>
      <c r="B9187" s="7" t="s">
        <v>17202</v>
      </c>
      <c r="C9187" s="7" t="s">
        <v>16838</v>
      </c>
      <c r="D9187" s="194">
        <v>1999.0</v>
      </c>
      <c r="E9187" s="193"/>
      <c r="F9187" s="195" t="s">
        <v>30442</v>
      </c>
      <c r="G9187" s="200">
        <v>0.0</v>
      </c>
      <c r="H9187" s="197">
        <v>10.02</v>
      </c>
      <c r="I9187" s="7" t="s">
        <v>16815</v>
      </c>
      <c r="J9187" s="7" t="s">
        <v>17202</v>
      </c>
      <c r="K9187" s="7" t="s">
        <v>16838</v>
      </c>
      <c r="L9187" s="201" t="s">
        <v>16835</v>
      </c>
      <c r="M9187" s="194"/>
      <c r="N9187" s="194"/>
    </row>
    <row r="9188">
      <c r="A9188" s="193" t="s">
        <v>30443</v>
      </c>
      <c r="B9188" s="7" t="s">
        <v>17202</v>
      </c>
      <c r="C9188" s="7" t="s">
        <v>16838</v>
      </c>
      <c r="D9188" s="194">
        <v>1999.0</v>
      </c>
      <c r="E9188" s="193"/>
      <c r="F9188" s="195" t="s">
        <v>30444</v>
      </c>
      <c r="G9188" s="200">
        <v>0.0</v>
      </c>
      <c r="H9188" s="197">
        <v>10.48</v>
      </c>
      <c r="I9188" s="7" t="s">
        <v>16815</v>
      </c>
      <c r="J9188" s="7" t="s">
        <v>17202</v>
      </c>
      <c r="K9188" s="7" t="s">
        <v>16838</v>
      </c>
      <c r="L9188" s="201" t="s">
        <v>16835</v>
      </c>
      <c r="M9188" s="194"/>
      <c r="N9188" s="194"/>
    </row>
    <row r="9189">
      <c r="A9189" s="193" t="s">
        <v>30445</v>
      </c>
      <c r="B9189" s="7" t="s">
        <v>17202</v>
      </c>
      <c r="C9189" s="7" t="s">
        <v>16838</v>
      </c>
      <c r="D9189" s="199"/>
      <c r="E9189" s="193"/>
      <c r="F9189" s="195" t="s">
        <v>7998</v>
      </c>
      <c r="G9189" s="200">
        <v>0.0</v>
      </c>
      <c r="H9189" s="197">
        <v>8.17</v>
      </c>
      <c r="I9189" s="7" t="s">
        <v>16815</v>
      </c>
      <c r="J9189" s="7" t="s">
        <v>17202</v>
      </c>
      <c r="K9189" s="7" t="s">
        <v>16838</v>
      </c>
      <c r="L9189" s="201" t="s">
        <v>16835</v>
      </c>
      <c r="M9189" s="199"/>
      <c r="N9189" s="199"/>
    </row>
    <row r="9190">
      <c r="A9190" s="193" t="s">
        <v>30446</v>
      </c>
      <c r="B9190" s="7" t="s">
        <v>17202</v>
      </c>
      <c r="C9190" s="7" t="s">
        <v>16838</v>
      </c>
      <c r="D9190" s="194">
        <v>2021.0</v>
      </c>
      <c r="E9190" s="193"/>
      <c r="F9190" s="195" t="s">
        <v>30447</v>
      </c>
      <c r="G9190" s="200">
        <v>0.0</v>
      </c>
      <c r="H9190" s="197">
        <v>11.31</v>
      </c>
      <c r="I9190" s="7" t="s">
        <v>16815</v>
      </c>
      <c r="J9190" s="7" t="s">
        <v>17202</v>
      </c>
      <c r="K9190" s="7" t="s">
        <v>16838</v>
      </c>
      <c r="L9190" s="201" t="s">
        <v>16835</v>
      </c>
      <c r="M9190" s="194"/>
      <c r="N9190" s="194"/>
    </row>
    <row r="9191">
      <c r="A9191" s="193" t="s">
        <v>30448</v>
      </c>
      <c r="B9191" s="7" t="s">
        <v>17202</v>
      </c>
      <c r="C9191" s="7" t="s">
        <v>16838</v>
      </c>
      <c r="D9191" s="194">
        <v>1988.0</v>
      </c>
      <c r="E9191" s="193"/>
      <c r="F9191" s="195" t="s">
        <v>30449</v>
      </c>
      <c r="G9191" s="200">
        <v>0.0</v>
      </c>
      <c r="H9191" s="197">
        <v>7.87</v>
      </c>
      <c r="I9191" s="7" t="s">
        <v>16815</v>
      </c>
      <c r="J9191" s="7" t="s">
        <v>17202</v>
      </c>
      <c r="K9191" s="7" t="s">
        <v>16838</v>
      </c>
      <c r="L9191" s="201" t="s">
        <v>16835</v>
      </c>
      <c r="M9191" s="194"/>
      <c r="N9191" s="194"/>
    </row>
    <row r="9192">
      <c r="A9192" s="193" t="s">
        <v>30450</v>
      </c>
      <c r="B9192" s="7" t="s">
        <v>17202</v>
      </c>
      <c r="C9192" s="7" t="s">
        <v>16838</v>
      </c>
      <c r="D9192" s="194">
        <v>1993.0</v>
      </c>
      <c r="E9192" s="193"/>
      <c r="F9192" s="195" t="s">
        <v>30451</v>
      </c>
      <c r="G9192" s="200">
        <v>0.0</v>
      </c>
      <c r="H9192" s="197">
        <v>9.21</v>
      </c>
      <c r="I9192" s="7" t="s">
        <v>16815</v>
      </c>
      <c r="J9192" s="7" t="s">
        <v>17202</v>
      </c>
      <c r="K9192" s="7" t="s">
        <v>16838</v>
      </c>
      <c r="L9192" s="201" t="s">
        <v>16835</v>
      </c>
      <c r="M9192" s="194"/>
      <c r="N9192" s="194"/>
    </row>
    <row r="9193">
      <c r="A9193" s="193" t="s">
        <v>30452</v>
      </c>
      <c r="B9193" s="7" t="s">
        <v>17202</v>
      </c>
      <c r="C9193" s="7" t="s">
        <v>16838</v>
      </c>
      <c r="D9193" s="194">
        <v>2021.0</v>
      </c>
      <c r="E9193" s="193"/>
      <c r="F9193" s="195" t="s">
        <v>30453</v>
      </c>
      <c r="G9193" s="200">
        <v>0.0</v>
      </c>
      <c r="H9193" s="197">
        <v>9.41</v>
      </c>
      <c r="I9193" s="7" t="s">
        <v>16815</v>
      </c>
      <c r="J9193" s="7" t="s">
        <v>17202</v>
      </c>
      <c r="K9193" s="7" t="s">
        <v>16838</v>
      </c>
      <c r="L9193" s="201" t="s">
        <v>16835</v>
      </c>
      <c r="M9193" s="194"/>
      <c r="N9193" s="194"/>
    </row>
    <row r="9194">
      <c r="A9194" s="193" t="s">
        <v>30454</v>
      </c>
      <c r="B9194" s="7" t="s">
        <v>17202</v>
      </c>
      <c r="C9194" s="7" t="s">
        <v>16838</v>
      </c>
      <c r="D9194" s="194">
        <v>1993.0</v>
      </c>
      <c r="E9194" s="193"/>
      <c r="F9194" s="195" t="s">
        <v>30455</v>
      </c>
      <c r="G9194" s="200">
        <v>0.0</v>
      </c>
      <c r="H9194" s="197">
        <v>9.79</v>
      </c>
      <c r="I9194" s="7" t="s">
        <v>16815</v>
      </c>
      <c r="J9194" s="7" t="s">
        <v>17202</v>
      </c>
      <c r="K9194" s="7" t="s">
        <v>16838</v>
      </c>
      <c r="L9194" s="201" t="s">
        <v>16835</v>
      </c>
      <c r="M9194" s="194"/>
      <c r="N9194" s="194"/>
    </row>
    <row r="9195">
      <c r="A9195" s="193" t="s">
        <v>30456</v>
      </c>
      <c r="B9195" s="7" t="s">
        <v>17202</v>
      </c>
      <c r="C9195" s="7" t="s">
        <v>16838</v>
      </c>
      <c r="D9195" s="194">
        <v>2009.0</v>
      </c>
      <c r="E9195" s="193"/>
      <c r="F9195" s="195" t="s">
        <v>30457</v>
      </c>
      <c r="G9195" s="200">
        <v>0.0</v>
      </c>
      <c r="H9195" s="197">
        <v>13.1</v>
      </c>
      <c r="I9195" s="7" t="s">
        <v>16815</v>
      </c>
      <c r="J9195" s="7" t="s">
        <v>17202</v>
      </c>
      <c r="K9195" s="7" t="s">
        <v>16838</v>
      </c>
      <c r="L9195" s="201" t="s">
        <v>16835</v>
      </c>
      <c r="M9195" s="194"/>
      <c r="N9195" s="194"/>
    </row>
    <row r="9196">
      <c r="A9196" s="193" t="s">
        <v>30458</v>
      </c>
      <c r="B9196" s="7" t="s">
        <v>17202</v>
      </c>
      <c r="C9196" s="7" t="s">
        <v>16838</v>
      </c>
      <c r="D9196" s="194">
        <v>2002.0</v>
      </c>
      <c r="E9196" s="193"/>
      <c r="F9196" s="195" t="s">
        <v>30459</v>
      </c>
      <c r="G9196" s="200">
        <v>0.0</v>
      </c>
      <c r="H9196" s="197">
        <v>10.78</v>
      </c>
      <c r="I9196" s="7" t="s">
        <v>16815</v>
      </c>
      <c r="J9196" s="7" t="s">
        <v>17202</v>
      </c>
      <c r="K9196" s="7" t="s">
        <v>16838</v>
      </c>
      <c r="L9196" s="201" t="s">
        <v>16835</v>
      </c>
      <c r="M9196" s="194"/>
      <c r="N9196" s="194"/>
    </row>
    <row r="9197">
      <c r="A9197" s="193" t="s">
        <v>30460</v>
      </c>
      <c r="B9197" s="7" t="s">
        <v>17202</v>
      </c>
      <c r="C9197" s="7" t="s">
        <v>16838</v>
      </c>
      <c r="D9197" s="194">
        <v>2022.0</v>
      </c>
      <c r="E9197" s="193"/>
      <c r="F9197" s="195" t="s">
        <v>30461</v>
      </c>
      <c r="G9197" s="200">
        <v>0.0</v>
      </c>
      <c r="H9197" s="197">
        <v>13.5</v>
      </c>
      <c r="I9197" s="7" t="s">
        <v>16815</v>
      </c>
      <c r="J9197" s="7" t="s">
        <v>17202</v>
      </c>
      <c r="K9197" s="7" t="s">
        <v>16838</v>
      </c>
      <c r="L9197" s="201" t="s">
        <v>16835</v>
      </c>
      <c r="M9197" s="194"/>
      <c r="N9197" s="194"/>
    </row>
    <row r="9198">
      <c r="A9198" s="193" t="s">
        <v>30462</v>
      </c>
      <c r="B9198" s="7" t="s">
        <v>17202</v>
      </c>
      <c r="C9198" s="7" t="s">
        <v>16838</v>
      </c>
      <c r="D9198" s="194">
        <v>2001.0</v>
      </c>
      <c r="E9198" s="193"/>
      <c r="F9198" s="195" t="s">
        <v>30463</v>
      </c>
      <c r="G9198" s="200">
        <v>0.0</v>
      </c>
      <c r="H9198" s="197">
        <v>12.14</v>
      </c>
      <c r="I9198" s="7" t="s">
        <v>16815</v>
      </c>
      <c r="J9198" s="7" t="s">
        <v>17202</v>
      </c>
      <c r="K9198" s="7" t="s">
        <v>16838</v>
      </c>
      <c r="L9198" s="201" t="s">
        <v>16835</v>
      </c>
      <c r="M9198" s="194"/>
      <c r="N9198" s="194"/>
    </row>
    <row r="9199">
      <c r="A9199" s="193" t="s">
        <v>30464</v>
      </c>
      <c r="B9199" s="7" t="s">
        <v>17202</v>
      </c>
      <c r="C9199" s="7" t="s">
        <v>16838</v>
      </c>
      <c r="D9199" s="194">
        <v>2001.0</v>
      </c>
      <c r="E9199" s="193"/>
      <c r="F9199" s="195" t="s">
        <v>30465</v>
      </c>
      <c r="G9199" s="200">
        <v>0.0</v>
      </c>
      <c r="H9199" s="197">
        <v>8.98</v>
      </c>
      <c r="I9199" s="7" t="s">
        <v>16815</v>
      </c>
      <c r="J9199" s="7" t="s">
        <v>17202</v>
      </c>
      <c r="K9199" s="7" t="s">
        <v>16838</v>
      </c>
      <c r="L9199" s="201" t="s">
        <v>16835</v>
      </c>
      <c r="M9199" s="194"/>
      <c r="N9199" s="194"/>
    </row>
    <row r="9200">
      <c r="A9200" s="193" t="s">
        <v>30466</v>
      </c>
      <c r="B9200" s="7" t="s">
        <v>17202</v>
      </c>
      <c r="C9200" s="7" t="s">
        <v>16838</v>
      </c>
      <c r="D9200" s="194">
        <v>1991.0</v>
      </c>
      <c r="E9200" s="193"/>
      <c r="F9200" s="195" t="s">
        <v>30467</v>
      </c>
      <c r="G9200" s="200">
        <v>0.0</v>
      </c>
      <c r="H9200" s="197">
        <v>9.66</v>
      </c>
      <c r="I9200" s="7" t="s">
        <v>16815</v>
      </c>
      <c r="J9200" s="7" t="s">
        <v>17202</v>
      </c>
      <c r="K9200" s="7" t="s">
        <v>16838</v>
      </c>
      <c r="L9200" s="201" t="s">
        <v>16835</v>
      </c>
      <c r="M9200" s="194"/>
      <c r="N9200" s="194"/>
    </row>
    <row r="9201">
      <c r="A9201" s="193" t="s">
        <v>30468</v>
      </c>
      <c r="B9201" s="7" t="s">
        <v>17202</v>
      </c>
      <c r="C9201" s="7" t="s">
        <v>16838</v>
      </c>
      <c r="D9201" s="194">
        <v>2013.0</v>
      </c>
      <c r="E9201" s="193"/>
      <c r="F9201" s="195" t="s">
        <v>30469</v>
      </c>
      <c r="G9201" s="200">
        <v>0.0</v>
      </c>
      <c r="H9201" s="197">
        <v>8.86</v>
      </c>
      <c r="I9201" s="7" t="s">
        <v>16815</v>
      </c>
      <c r="J9201" s="7" t="s">
        <v>17202</v>
      </c>
      <c r="K9201" s="7" t="s">
        <v>16838</v>
      </c>
      <c r="L9201" s="201" t="s">
        <v>16835</v>
      </c>
      <c r="M9201" s="194"/>
      <c r="N9201" s="194"/>
    </row>
    <row r="9202">
      <c r="A9202" s="193" t="s">
        <v>30470</v>
      </c>
      <c r="B9202" s="7" t="s">
        <v>17202</v>
      </c>
      <c r="C9202" s="7" t="s">
        <v>16838</v>
      </c>
      <c r="D9202" s="194">
        <v>2004.0</v>
      </c>
      <c r="E9202" s="193"/>
      <c r="F9202" s="195" t="s">
        <v>30471</v>
      </c>
      <c r="G9202" s="200">
        <v>0.0</v>
      </c>
      <c r="H9202" s="197">
        <v>8.93</v>
      </c>
      <c r="I9202" s="7" t="s">
        <v>16815</v>
      </c>
      <c r="J9202" s="7" t="s">
        <v>17202</v>
      </c>
      <c r="K9202" s="7" t="s">
        <v>16838</v>
      </c>
      <c r="L9202" s="201" t="s">
        <v>16835</v>
      </c>
      <c r="M9202" s="194"/>
      <c r="N9202" s="194"/>
    </row>
    <row r="9203">
      <c r="A9203" s="193" t="s">
        <v>30472</v>
      </c>
      <c r="B9203" s="7" t="s">
        <v>17202</v>
      </c>
      <c r="C9203" s="7" t="s">
        <v>16838</v>
      </c>
      <c r="D9203" s="199"/>
      <c r="E9203" s="193"/>
      <c r="F9203" s="195" t="s">
        <v>30473</v>
      </c>
      <c r="G9203" s="200">
        <v>0.0</v>
      </c>
      <c r="H9203" s="197">
        <v>6.83</v>
      </c>
      <c r="I9203" s="7" t="s">
        <v>16815</v>
      </c>
      <c r="J9203" s="7" t="s">
        <v>17202</v>
      </c>
      <c r="K9203" s="7" t="s">
        <v>16838</v>
      </c>
      <c r="L9203" s="201" t="s">
        <v>16835</v>
      </c>
      <c r="M9203" s="199"/>
      <c r="N9203" s="199"/>
    </row>
    <row r="9204">
      <c r="A9204" s="193" t="s">
        <v>30474</v>
      </c>
      <c r="B9204" s="7" t="s">
        <v>17202</v>
      </c>
      <c r="C9204" s="7" t="s">
        <v>16838</v>
      </c>
      <c r="D9204" s="194">
        <v>2002.0</v>
      </c>
      <c r="E9204" s="193"/>
      <c r="F9204" s="195" t="s">
        <v>30475</v>
      </c>
      <c r="G9204" s="200">
        <v>0.0</v>
      </c>
      <c r="H9204" s="197">
        <v>7.67</v>
      </c>
      <c r="I9204" s="7" t="s">
        <v>16815</v>
      </c>
      <c r="J9204" s="7" t="s">
        <v>17202</v>
      </c>
      <c r="K9204" s="7" t="s">
        <v>16838</v>
      </c>
      <c r="L9204" s="201" t="s">
        <v>16835</v>
      </c>
      <c r="M9204" s="194"/>
      <c r="N9204" s="194"/>
    </row>
    <row r="9205">
      <c r="A9205" s="193" t="s">
        <v>30476</v>
      </c>
      <c r="B9205" s="7" t="s">
        <v>17202</v>
      </c>
      <c r="C9205" s="7" t="s">
        <v>16838</v>
      </c>
      <c r="D9205" s="194">
        <v>2002.0</v>
      </c>
      <c r="E9205" s="193"/>
      <c r="F9205" s="195" t="s">
        <v>30477</v>
      </c>
      <c r="G9205" s="200">
        <v>0.0</v>
      </c>
      <c r="H9205" s="197">
        <v>13.2</v>
      </c>
      <c r="I9205" s="7" t="s">
        <v>16815</v>
      </c>
      <c r="J9205" s="7" t="s">
        <v>17202</v>
      </c>
      <c r="K9205" s="7" t="s">
        <v>16838</v>
      </c>
      <c r="L9205" s="201" t="s">
        <v>16835</v>
      </c>
      <c r="M9205" s="194"/>
      <c r="N9205" s="194"/>
    </row>
    <row r="9206">
      <c r="A9206" s="193" t="s">
        <v>30478</v>
      </c>
      <c r="B9206" s="7" t="s">
        <v>17202</v>
      </c>
      <c r="C9206" s="7" t="s">
        <v>16838</v>
      </c>
      <c r="D9206" s="194">
        <v>2002.0</v>
      </c>
      <c r="E9206" s="193"/>
      <c r="F9206" s="195" t="s">
        <v>30479</v>
      </c>
      <c r="G9206" s="200">
        <v>0.0</v>
      </c>
      <c r="H9206" s="197">
        <v>5.3</v>
      </c>
      <c r="I9206" s="7" t="s">
        <v>16815</v>
      </c>
      <c r="J9206" s="7" t="s">
        <v>17202</v>
      </c>
      <c r="K9206" s="7" t="s">
        <v>16838</v>
      </c>
      <c r="L9206" s="201" t="s">
        <v>16835</v>
      </c>
      <c r="M9206" s="194"/>
      <c r="N9206" s="194"/>
    </row>
    <row r="9207">
      <c r="A9207" s="193" t="s">
        <v>30480</v>
      </c>
      <c r="B9207" s="7" t="s">
        <v>17202</v>
      </c>
      <c r="C9207" s="7" t="s">
        <v>16838</v>
      </c>
      <c r="D9207" s="194">
        <v>2002.0</v>
      </c>
      <c r="E9207" s="193"/>
      <c r="F9207" s="195" t="s">
        <v>30481</v>
      </c>
      <c r="G9207" s="200">
        <v>0.0</v>
      </c>
      <c r="H9207" s="197">
        <v>6.68</v>
      </c>
      <c r="I9207" s="7" t="s">
        <v>16815</v>
      </c>
      <c r="J9207" s="7" t="s">
        <v>17202</v>
      </c>
      <c r="K9207" s="7" t="s">
        <v>16838</v>
      </c>
      <c r="L9207" s="201" t="s">
        <v>16835</v>
      </c>
      <c r="M9207" s="194"/>
      <c r="N9207" s="194"/>
    </row>
    <row r="9208">
      <c r="A9208" s="193" t="s">
        <v>30482</v>
      </c>
      <c r="B9208" s="7" t="s">
        <v>17202</v>
      </c>
      <c r="C9208" s="7" t="s">
        <v>16838</v>
      </c>
      <c r="D9208" s="194">
        <v>2016.0</v>
      </c>
      <c r="E9208" s="193"/>
      <c r="F9208" s="195" t="s">
        <v>30483</v>
      </c>
      <c r="G9208" s="200">
        <v>0.0</v>
      </c>
      <c r="H9208" s="197">
        <v>12.36</v>
      </c>
      <c r="I9208" s="7" t="s">
        <v>16815</v>
      </c>
      <c r="J9208" s="7" t="s">
        <v>17202</v>
      </c>
      <c r="K9208" s="7" t="s">
        <v>16838</v>
      </c>
      <c r="L9208" s="201" t="s">
        <v>16835</v>
      </c>
      <c r="M9208" s="194"/>
      <c r="N9208" s="194"/>
    </row>
    <row r="9209">
      <c r="A9209" s="193" t="s">
        <v>30484</v>
      </c>
      <c r="B9209" s="7" t="s">
        <v>17202</v>
      </c>
      <c r="C9209" s="7" t="s">
        <v>16838</v>
      </c>
      <c r="D9209" s="194">
        <v>1994.0</v>
      </c>
      <c r="E9209" s="193"/>
      <c r="F9209" s="195" t="s">
        <v>30485</v>
      </c>
      <c r="G9209" s="200">
        <v>0.0</v>
      </c>
      <c r="H9209" s="197">
        <v>5.36</v>
      </c>
      <c r="I9209" s="7" t="s">
        <v>16815</v>
      </c>
      <c r="J9209" s="7" t="s">
        <v>17202</v>
      </c>
      <c r="K9209" s="7" t="s">
        <v>16838</v>
      </c>
      <c r="L9209" s="201" t="s">
        <v>16835</v>
      </c>
      <c r="M9209" s="194"/>
      <c r="N9209" s="194"/>
    </row>
    <row r="9210">
      <c r="A9210" s="193" t="s">
        <v>30486</v>
      </c>
      <c r="B9210" s="7" t="s">
        <v>17202</v>
      </c>
      <c r="C9210" s="7" t="s">
        <v>16838</v>
      </c>
      <c r="D9210" s="194">
        <v>2022.0</v>
      </c>
      <c r="E9210" s="193"/>
      <c r="F9210" s="195" t="s">
        <v>30487</v>
      </c>
      <c r="G9210" s="200">
        <v>0.0</v>
      </c>
      <c r="H9210" s="197">
        <v>12.35</v>
      </c>
      <c r="I9210" s="7" t="s">
        <v>16815</v>
      </c>
      <c r="J9210" s="7" t="s">
        <v>17202</v>
      </c>
      <c r="K9210" s="7" t="s">
        <v>16838</v>
      </c>
      <c r="L9210" s="201" t="s">
        <v>16835</v>
      </c>
      <c r="M9210" s="194"/>
      <c r="N9210" s="194"/>
    </row>
    <row r="9211">
      <c r="A9211" s="193" t="s">
        <v>30488</v>
      </c>
      <c r="B9211" s="7" t="s">
        <v>17202</v>
      </c>
      <c r="C9211" s="7" t="s">
        <v>16838</v>
      </c>
      <c r="D9211" s="199"/>
      <c r="E9211" s="193"/>
      <c r="F9211" s="195" t="s">
        <v>30489</v>
      </c>
      <c r="G9211" s="200">
        <v>0.0</v>
      </c>
      <c r="H9211" s="197">
        <v>12.99</v>
      </c>
      <c r="I9211" s="7" t="s">
        <v>16815</v>
      </c>
      <c r="J9211" s="7" t="s">
        <v>17202</v>
      </c>
      <c r="K9211" s="7" t="s">
        <v>16838</v>
      </c>
      <c r="L9211" s="201" t="s">
        <v>16835</v>
      </c>
      <c r="M9211" s="199"/>
      <c r="N9211" s="199"/>
    </row>
    <row r="9212">
      <c r="A9212" s="193" t="s">
        <v>30490</v>
      </c>
      <c r="B9212" s="7" t="s">
        <v>17202</v>
      </c>
      <c r="C9212" s="7" t="s">
        <v>16838</v>
      </c>
      <c r="D9212" s="194">
        <v>2009.0</v>
      </c>
      <c r="E9212" s="193"/>
      <c r="F9212" s="195" t="s">
        <v>30491</v>
      </c>
      <c r="G9212" s="200">
        <v>0.0</v>
      </c>
      <c r="H9212" s="197">
        <v>28.6</v>
      </c>
      <c r="I9212" s="7" t="s">
        <v>16815</v>
      </c>
      <c r="J9212" s="7" t="s">
        <v>17202</v>
      </c>
      <c r="K9212" s="7" t="s">
        <v>16838</v>
      </c>
      <c r="L9212" s="201" t="s">
        <v>16835</v>
      </c>
      <c r="M9212" s="194"/>
      <c r="N9212" s="194"/>
    </row>
    <row r="9213">
      <c r="A9213" s="193" t="s">
        <v>30492</v>
      </c>
      <c r="B9213" s="7" t="s">
        <v>17202</v>
      </c>
      <c r="C9213" s="7" t="s">
        <v>16838</v>
      </c>
      <c r="D9213" s="194">
        <v>2009.0</v>
      </c>
      <c r="E9213" s="193"/>
      <c r="F9213" s="195" t="s">
        <v>30493</v>
      </c>
      <c r="G9213" s="200">
        <v>0.0</v>
      </c>
      <c r="H9213" s="197">
        <v>13.29</v>
      </c>
      <c r="I9213" s="7" t="s">
        <v>16815</v>
      </c>
      <c r="J9213" s="7" t="s">
        <v>17202</v>
      </c>
      <c r="K9213" s="7" t="s">
        <v>16838</v>
      </c>
      <c r="L9213" s="201" t="s">
        <v>16835</v>
      </c>
      <c r="M9213" s="194"/>
      <c r="N9213" s="194"/>
    </row>
    <row r="9214">
      <c r="A9214" s="193" t="s">
        <v>30494</v>
      </c>
      <c r="B9214" s="7" t="s">
        <v>17202</v>
      </c>
      <c r="C9214" s="7" t="s">
        <v>16838</v>
      </c>
      <c r="D9214" s="199"/>
      <c r="E9214" s="193"/>
      <c r="F9214" s="195" t="s">
        <v>30495</v>
      </c>
      <c r="G9214" s="200">
        <v>0.0</v>
      </c>
      <c r="H9214" s="197">
        <v>4.64</v>
      </c>
      <c r="I9214" s="7" t="s">
        <v>16815</v>
      </c>
      <c r="J9214" s="7" t="s">
        <v>17202</v>
      </c>
      <c r="K9214" s="7" t="s">
        <v>16838</v>
      </c>
      <c r="L9214" s="201" t="s">
        <v>16835</v>
      </c>
      <c r="M9214" s="199"/>
      <c r="N9214" s="199"/>
    </row>
    <row r="9215">
      <c r="A9215" s="193" t="s">
        <v>30496</v>
      </c>
      <c r="B9215" s="7" t="s">
        <v>17202</v>
      </c>
      <c r="C9215" s="7" t="s">
        <v>16838</v>
      </c>
      <c r="D9215" s="194">
        <v>2012.0</v>
      </c>
      <c r="E9215" s="193"/>
      <c r="F9215" s="195" t="s">
        <v>30497</v>
      </c>
      <c r="G9215" s="200">
        <v>0.0</v>
      </c>
      <c r="H9215" s="197">
        <v>7.01</v>
      </c>
      <c r="I9215" s="7" t="s">
        <v>16815</v>
      </c>
      <c r="J9215" s="7" t="s">
        <v>17202</v>
      </c>
      <c r="K9215" s="7" t="s">
        <v>16838</v>
      </c>
      <c r="L9215" s="201" t="s">
        <v>16835</v>
      </c>
      <c r="M9215" s="194"/>
      <c r="N9215" s="194"/>
    </row>
    <row r="9216">
      <c r="A9216" s="193" t="s">
        <v>30498</v>
      </c>
      <c r="B9216" s="7" t="s">
        <v>17202</v>
      </c>
      <c r="C9216" s="7" t="s">
        <v>16838</v>
      </c>
      <c r="D9216" s="194">
        <v>1988.0</v>
      </c>
      <c r="E9216" s="193"/>
      <c r="F9216" s="195" t="s">
        <v>30499</v>
      </c>
      <c r="G9216" s="200">
        <v>0.0</v>
      </c>
      <c r="H9216" s="197">
        <v>4.96</v>
      </c>
      <c r="I9216" s="7" t="s">
        <v>16815</v>
      </c>
      <c r="J9216" s="7" t="s">
        <v>17202</v>
      </c>
      <c r="K9216" s="7" t="s">
        <v>16838</v>
      </c>
      <c r="L9216" s="201" t="s">
        <v>16835</v>
      </c>
      <c r="M9216" s="194"/>
      <c r="N9216" s="194"/>
    </row>
    <row r="9217">
      <c r="A9217" s="193" t="s">
        <v>29252</v>
      </c>
      <c r="B9217" s="7" t="s">
        <v>19579</v>
      </c>
      <c r="C9217" s="7" t="s">
        <v>16838</v>
      </c>
      <c r="D9217" s="194">
        <v>2002.0</v>
      </c>
      <c r="E9217" s="193"/>
      <c r="F9217" s="195" t="s">
        <v>29253</v>
      </c>
      <c r="G9217" s="200">
        <v>0.0</v>
      </c>
      <c r="H9217" s="197">
        <v>9.84</v>
      </c>
      <c r="I9217" s="7" t="s">
        <v>16815</v>
      </c>
      <c r="J9217" s="7" t="s">
        <v>19579</v>
      </c>
      <c r="K9217" s="7" t="s">
        <v>16838</v>
      </c>
      <c r="L9217" s="201" t="s">
        <v>16835</v>
      </c>
      <c r="M9217" s="194"/>
      <c r="N9217" s="194"/>
    </row>
    <row r="9218">
      <c r="A9218" s="193" t="s">
        <v>29254</v>
      </c>
      <c r="B9218" s="7" t="s">
        <v>19579</v>
      </c>
      <c r="C9218" s="7" t="s">
        <v>16838</v>
      </c>
      <c r="D9218" s="194">
        <v>2006.0</v>
      </c>
      <c r="E9218" s="193"/>
      <c r="F9218" s="195" t="s">
        <v>29255</v>
      </c>
      <c r="G9218" s="200">
        <v>0.0</v>
      </c>
      <c r="H9218" s="197">
        <v>8.77</v>
      </c>
      <c r="I9218" s="7" t="s">
        <v>16815</v>
      </c>
      <c r="J9218" s="7" t="s">
        <v>19579</v>
      </c>
      <c r="K9218" s="7" t="s">
        <v>16838</v>
      </c>
      <c r="L9218" s="201" t="s">
        <v>16835</v>
      </c>
      <c r="M9218" s="194"/>
      <c r="N9218" s="194"/>
    </row>
    <row r="9219">
      <c r="A9219" s="193" t="s">
        <v>29368</v>
      </c>
      <c r="B9219" s="7" t="s">
        <v>19579</v>
      </c>
      <c r="C9219" s="7" t="s">
        <v>16838</v>
      </c>
      <c r="D9219" s="194">
        <v>2003.0</v>
      </c>
      <c r="E9219" s="193"/>
      <c r="F9219" s="195" t="s">
        <v>9540</v>
      </c>
      <c r="G9219" s="200">
        <v>0.0</v>
      </c>
      <c r="H9219" s="197">
        <v>10.07</v>
      </c>
      <c r="I9219" s="7" t="s">
        <v>16815</v>
      </c>
      <c r="J9219" s="7" t="s">
        <v>19579</v>
      </c>
      <c r="K9219" s="7" t="s">
        <v>16838</v>
      </c>
      <c r="L9219" s="201" t="s">
        <v>16835</v>
      </c>
      <c r="M9219" s="194"/>
      <c r="N9219" s="194"/>
    </row>
    <row r="9220">
      <c r="A9220" s="193" t="s">
        <v>29369</v>
      </c>
      <c r="B9220" s="7" t="s">
        <v>19579</v>
      </c>
      <c r="C9220" s="7" t="s">
        <v>16838</v>
      </c>
      <c r="D9220" s="194">
        <v>1993.0</v>
      </c>
      <c r="E9220" s="193"/>
      <c r="F9220" s="195" t="s">
        <v>29370</v>
      </c>
      <c r="G9220" s="200">
        <v>0.0</v>
      </c>
      <c r="H9220" s="197">
        <v>9.45</v>
      </c>
      <c r="I9220" s="7" t="s">
        <v>16815</v>
      </c>
      <c r="J9220" s="7" t="s">
        <v>19579</v>
      </c>
      <c r="K9220" s="7" t="s">
        <v>16838</v>
      </c>
      <c r="L9220" s="201" t="s">
        <v>16835</v>
      </c>
      <c r="M9220" s="194"/>
      <c r="N9220" s="194"/>
    </row>
    <row r="9221">
      <c r="A9221" s="193" t="s">
        <v>29371</v>
      </c>
      <c r="B9221" s="7" t="s">
        <v>19579</v>
      </c>
      <c r="C9221" s="7" t="s">
        <v>16838</v>
      </c>
      <c r="D9221" s="194">
        <v>2007.0</v>
      </c>
      <c r="E9221" s="193"/>
      <c r="F9221" s="195" t="s">
        <v>29372</v>
      </c>
      <c r="G9221" s="200">
        <v>0.0</v>
      </c>
      <c r="H9221" s="197">
        <v>3.45</v>
      </c>
      <c r="I9221" s="7" t="s">
        <v>16815</v>
      </c>
      <c r="J9221" s="7" t="s">
        <v>19579</v>
      </c>
      <c r="K9221" s="7" t="s">
        <v>16838</v>
      </c>
      <c r="L9221" s="201" t="s">
        <v>16835</v>
      </c>
      <c r="M9221" s="194"/>
      <c r="N9221" s="194"/>
    </row>
    <row r="9222">
      <c r="A9222" s="193" t="s">
        <v>29373</v>
      </c>
      <c r="B9222" s="7" t="s">
        <v>19579</v>
      </c>
      <c r="C9222" s="7" t="s">
        <v>16838</v>
      </c>
      <c r="D9222" s="194">
        <v>2012.0</v>
      </c>
      <c r="E9222" s="193"/>
      <c r="F9222" s="195" t="s">
        <v>29374</v>
      </c>
      <c r="G9222" s="200">
        <v>0.0</v>
      </c>
      <c r="H9222" s="197">
        <v>10.94</v>
      </c>
      <c r="I9222" s="7" t="s">
        <v>16815</v>
      </c>
      <c r="J9222" s="7" t="s">
        <v>19579</v>
      </c>
      <c r="K9222" s="7" t="s">
        <v>16838</v>
      </c>
      <c r="L9222" s="201" t="s">
        <v>16835</v>
      </c>
      <c r="M9222" s="194"/>
      <c r="N9222" s="194"/>
    </row>
    <row r="9223">
      <c r="A9223" s="193" t="s">
        <v>29375</v>
      </c>
      <c r="B9223" s="7" t="s">
        <v>19579</v>
      </c>
      <c r="C9223" s="7" t="s">
        <v>16838</v>
      </c>
      <c r="D9223" s="194">
        <v>2004.0</v>
      </c>
      <c r="E9223" s="193"/>
      <c r="F9223" s="195" t="s">
        <v>9719</v>
      </c>
      <c r="G9223" s="200">
        <v>0.0</v>
      </c>
      <c r="H9223" s="197">
        <v>12.02</v>
      </c>
      <c r="I9223" s="7" t="s">
        <v>16815</v>
      </c>
      <c r="J9223" s="7" t="s">
        <v>19579</v>
      </c>
      <c r="K9223" s="7" t="s">
        <v>16838</v>
      </c>
      <c r="L9223" s="201" t="s">
        <v>16835</v>
      </c>
      <c r="M9223" s="194"/>
      <c r="N9223" s="194"/>
    </row>
    <row r="9224">
      <c r="A9224" s="193" t="s">
        <v>29376</v>
      </c>
      <c r="B9224" s="7" t="s">
        <v>19579</v>
      </c>
      <c r="C9224" s="7" t="s">
        <v>16838</v>
      </c>
      <c r="D9224" s="194">
        <v>2011.0</v>
      </c>
      <c r="E9224" s="193"/>
      <c r="F9224" s="195" t="s">
        <v>29377</v>
      </c>
      <c r="G9224" s="200">
        <v>0.0</v>
      </c>
      <c r="H9224" s="197">
        <v>11.4</v>
      </c>
      <c r="I9224" s="7" t="s">
        <v>16815</v>
      </c>
      <c r="J9224" s="7" t="s">
        <v>19579</v>
      </c>
      <c r="K9224" s="7" t="s">
        <v>16838</v>
      </c>
      <c r="L9224" s="201" t="s">
        <v>16835</v>
      </c>
      <c r="M9224" s="194"/>
      <c r="N9224" s="194"/>
    </row>
    <row r="9225">
      <c r="A9225" s="193" t="s">
        <v>30500</v>
      </c>
      <c r="B9225" s="7" t="s">
        <v>19579</v>
      </c>
      <c r="C9225" s="7" t="s">
        <v>16838</v>
      </c>
      <c r="D9225" s="194">
        <v>2007.0</v>
      </c>
      <c r="E9225" s="193"/>
      <c r="F9225" s="195" t="s">
        <v>30501</v>
      </c>
      <c r="G9225" s="200">
        <v>0.0</v>
      </c>
      <c r="H9225" s="197">
        <v>4.9</v>
      </c>
      <c r="I9225" s="7" t="s">
        <v>16815</v>
      </c>
      <c r="J9225" s="7" t="s">
        <v>19579</v>
      </c>
      <c r="K9225" s="7" t="s">
        <v>16838</v>
      </c>
      <c r="L9225" s="201" t="s">
        <v>16835</v>
      </c>
      <c r="M9225" s="194"/>
      <c r="N9225" s="194"/>
    </row>
    <row r="9226">
      <c r="A9226" s="193" t="s">
        <v>30502</v>
      </c>
      <c r="B9226" s="7" t="s">
        <v>19579</v>
      </c>
      <c r="C9226" s="7" t="s">
        <v>16838</v>
      </c>
      <c r="D9226" s="194">
        <v>2013.0</v>
      </c>
      <c r="E9226" s="193"/>
      <c r="F9226" s="195" t="s">
        <v>30503</v>
      </c>
      <c r="G9226" s="200">
        <v>0.0</v>
      </c>
      <c r="H9226" s="197">
        <v>14.55</v>
      </c>
      <c r="I9226" s="7" t="s">
        <v>16815</v>
      </c>
      <c r="J9226" s="7" t="s">
        <v>19579</v>
      </c>
      <c r="K9226" s="7" t="s">
        <v>16838</v>
      </c>
      <c r="L9226" s="201" t="s">
        <v>16835</v>
      </c>
      <c r="M9226" s="194"/>
      <c r="N9226" s="194"/>
    </row>
    <row r="9227">
      <c r="A9227" s="193" t="s">
        <v>30504</v>
      </c>
      <c r="B9227" s="7" t="s">
        <v>19579</v>
      </c>
      <c r="C9227" s="7" t="s">
        <v>16838</v>
      </c>
      <c r="D9227" s="194">
        <v>1993.0</v>
      </c>
      <c r="E9227" s="193"/>
      <c r="F9227" s="195" t="s">
        <v>30505</v>
      </c>
      <c r="G9227" s="200">
        <v>0.0</v>
      </c>
      <c r="H9227" s="197">
        <v>10.57</v>
      </c>
      <c r="I9227" s="7" t="s">
        <v>16815</v>
      </c>
      <c r="J9227" s="7" t="s">
        <v>19579</v>
      </c>
      <c r="K9227" s="7" t="s">
        <v>16838</v>
      </c>
      <c r="L9227" s="201" t="s">
        <v>16835</v>
      </c>
      <c r="M9227" s="194"/>
      <c r="N9227" s="194"/>
    </row>
    <row r="9228">
      <c r="A9228" s="193" t="s">
        <v>30506</v>
      </c>
      <c r="B9228" s="7" t="s">
        <v>19579</v>
      </c>
      <c r="C9228" s="7" t="s">
        <v>16838</v>
      </c>
      <c r="D9228" s="194">
        <v>2022.0</v>
      </c>
      <c r="E9228" s="193"/>
      <c r="F9228" s="195" t="s">
        <v>30507</v>
      </c>
      <c r="G9228" s="200">
        <v>0.0</v>
      </c>
      <c r="H9228" s="197">
        <v>23.71</v>
      </c>
      <c r="I9228" s="7" t="s">
        <v>16815</v>
      </c>
      <c r="J9228" s="7" t="s">
        <v>19579</v>
      </c>
      <c r="K9228" s="7" t="s">
        <v>16838</v>
      </c>
      <c r="L9228" s="201" t="s">
        <v>16835</v>
      </c>
      <c r="M9228" s="194"/>
      <c r="N9228" s="194"/>
    </row>
    <row r="9229">
      <c r="A9229" s="193" t="s">
        <v>30508</v>
      </c>
      <c r="B9229" s="7" t="s">
        <v>19579</v>
      </c>
      <c r="C9229" s="7" t="s">
        <v>16838</v>
      </c>
      <c r="D9229" s="199"/>
      <c r="E9229" s="193"/>
      <c r="F9229" s="195" t="s">
        <v>30509</v>
      </c>
      <c r="G9229" s="200">
        <v>0.0</v>
      </c>
      <c r="H9229" s="197">
        <v>9.38</v>
      </c>
      <c r="I9229" s="7" t="s">
        <v>16815</v>
      </c>
      <c r="J9229" s="7" t="s">
        <v>19579</v>
      </c>
      <c r="K9229" s="7" t="s">
        <v>16838</v>
      </c>
      <c r="L9229" s="201" t="s">
        <v>16835</v>
      </c>
      <c r="M9229" s="199"/>
      <c r="N9229" s="199"/>
    </row>
    <row r="9230">
      <c r="A9230" s="193" t="s">
        <v>30510</v>
      </c>
      <c r="B9230" s="7" t="s">
        <v>19579</v>
      </c>
      <c r="C9230" s="7" t="s">
        <v>16838</v>
      </c>
      <c r="D9230" s="194">
        <v>2005.0</v>
      </c>
      <c r="E9230" s="193"/>
      <c r="F9230" s="195" t="s">
        <v>30511</v>
      </c>
      <c r="G9230" s="200">
        <v>0.0</v>
      </c>
      <c r="H9230" s="197">
        <v>9.43</v>
      </c>
      <c r="I9230" s="7" t="s">
        <v>16815</v>
      </c>
      <c r="J9230" s="7" t="s">
        <v>19579</v>
      </c>
      <c r="K9230" s="7" t="s">
        <v>16838</v>
      </c>
      <c r="L9230" s="201" t="s">
        <v>16835</v>
      </c>
      <c r="M9230" s="194"/>
      <c r="N9230" s="194"/>
    </row>
    <row r="9231">
      <c r="A9231" s="193" t="s">
        <v>30512</v>
      </c>
      <c r="B9231" s="7" t="s">
        <v>19579</v>
      </c>
      <c r="C9231" s="7" t="s">
        <v>16838</v>
      </c>
      <c r="D9231" s="199"/>
      <c r="E9231" s="193"/>
      <c r="F9231" s="195" t="s">
        <v>30513</v>
      </c>
      <c r="G9231" s="200">
        <v>0.0</v>
      </c>
      <c r="H9231" s="197">
        <v>7.5</v>
      </c>
      <c r="I9231" s="7" t="s">
        <v>16815</v>
      </c>
      <c r="J9231" s="7" t="s">
        <v>19579</v>
      </c>
      <c r="K9231" s="7" t="s">
        <v>16838</v>
      </c>
      <c r="L9231" s="201" t="s">
        <v>16835</v>
      </c>
      <c r="M9231" s="199"/>
      <c r="N9231" s="199"/>
    </row>
    <row r="9232">
      <c r="A9232" s="193" t="s">
        <v>30514</v>
      </c>
      <c r="B9232" s="7" t="s">
        <v>19579</v>
      </c>
      <c r="C9232" s="7" t="s">
        <v>16838</v>
      </c>
      <c r="D9232" s="194">
        <v>2010.0</v>
      </c>
      <c r="E9232" s="193"/>
      <c r="F9232" s="195" t="s">
        <v>30515</v>
      </c>
      <c r="G9232" s="200">
        <v>0.0</v>
      </c>
      <c r="H9232" s="197">
        <v>12.91</v>
      </c>
      <c r="I9232" s="7" t="s">
        <v>16815</v>
      </c>
      <c r="J9232" s="7" t="s">
        <v>19579</v>
      </c>
      <c r="K9232" s="7" t="s">
        <v>16838</v>
      </c>
      <c r="L9232" s="201" t="s">
        <v>16835</v>
      </c>
      <c r="M9232" s="194"/>
      <c r="N9232" s="194"/>
    </row>
    <row r="9233">
      <c r="A9233" s="193" t="s">
        <v>30516</v>
      </c>
      <c r="B9233" s="7" t="s">
        <v>19579</v>
      </c>
      <c r="C9233" s="7" t="s">
        <v>16838</v>
      </c>
      <c r="D9233" s="194">
        <v>2006.0</v>
      </c>
      <c r="E9233" s="193"/>
      <c r="F9233" s="195" t="s">
        <v>30517</v>
      </c>
      <c r="G9233" s="200">
        <v>0.0</v>
      </c>
      <c r="H9233" s="197">
        <v>9.06</v>
      </c>
      <c r="I9233" s="7" t="s">
        <v>16815</v>
      </c>
      <c r="J9233" s="7" t="s">
        <v>19579</v>
      </c>
      <c r="K9233" s="7" t="s">
        <v>16838</v>
      </c>
      <c r="L9233" s="201" t="s">
        <v>16835</v>
      </c>
      <c r="M9233" s="194"/>
      <c r="N9233" s="194"/>
    </row>
    <row r="9234">
      <c r="A9234" s="193" t="s">
        <v>30518</v>
      </c>
      <c r="B9234" s="7" t="s">
        <v>19579</v>
      </c>
      <c r="C9234" s="7" t="s">
        <v>16838</v>
      </c>
      <c r="D9234" s="194">
        <v>2011.0</v>
      </c>
      <c r="E9234" s="193"/>
      <c r="F9234" s="195" t="s">
        <v>30519</v>
      </c>
      <c r="G9234" s="200">
        <v>0.0</v>
      </c>
      <c r="H9234" s="197">
        <v>19.24</v>
      </c>
      <c r="I9234" s="7" t="s">
        <v>16815</v>
      </c>
      <c r="J9234" s="7" t="s">
        <v>19579</v>
      </c>
      <c r="K9234" s="7" t="s">
        <v>16838</v>
      </c>
      <c r="L9234" s="201" t="s">
        <v>16835</v>
      </c>
      <c r="M9234" s="194"/>
      <c r="N9234" s="194"/>
    </row>
    <row r="9235">
      <c r="A9235" s="193" t="s">
        <v>30520</v>
      </c>
      <c r="B9235" s="7" t="s">
        <v>19579</v>
      </c>
      <c r="C9235" s="7" t="s">
        <v>16838</v>
      </c>
      <c r="D9235" s="194">
        <v>2021.0</v>
      </c>
      <c r="E9235" s="193"/>
      <c r="F9235" s="195" t="s">
        <v>30521</v>
      </c>
      <c r="G9235" s="200">
        <v>0.0</v>
      </c>
      <c r="H9235" s="197">
        <v>27.87</v>
      </c>
      <c r="I9235" s="7" t="s">
        <v>16815</v>
      </c>
      <c r="J9235" s="7" t="s">
        <v>19579</v>
      </c>
      <c r="K9235" s="7" t="s">
        <v>16838</v>
      </c>
      <c r="L9235" s="201" t="s">
        <v>16835</v>
      </c>
      <c r="M9235" s="194"/>
      <c r="N9235" s="194"/>
    </row>
    <row r="9236">
      <c r="A9236" s="193" t="s">
        <v>30522</v>
      </c>
      <c r="B9236" s="7" t="s">
        <v>19579</v>
      </c>
      <c r="C9236" s="7" t="s">
        <v>16838</v>
      </c>
      <c r="D9236" s="194">
        <v>2010.0</v>
      </c>
      <c r="E9236" s="193"/>
      <c r="F9236" s="195" t="s">
        <v>30523</v>
      </c>
      <c r="G9236" s="200">
        <v>0.0</v>
      </c>
      <c r="H9236" s="197">
        <v>35.71</v>
      </c>
      <c r="I9236" s="7" t="s">
        <v>16815</v>
      </c>
      <c r="J9236" s="7" t="s">
        <v>19579</v>
      </c>
      <c r="K9236" s="7" t="s">
        <v>16838</v>
      </c>
      <c r="L9236" s="201" t="s">
        <v>16835</v>
      </c>
      <c r="M9236" s="194"/>
      <c r="N9236" s="194"/>
    </row>
    <row r="9237">
      <c r="A9237" s="193" t="s">
        <v>30524</v>
      </c>
      <c r="B9237" s="7" t="s">
        <v>19579</v>
      </c>
      <c r="C9237" s="7" t="s">
        <v>16838</v>
      </c>
      <c r="D9237" s="199"/>
      <c r="E9237" s="193"/>
      <c r="F9237" s="195" t="s">
        <v>4593</v>
      </c>
      <c r="G9237" s="200">
        <v>0.0</v>
      </c>
      <c r="H9237" s="197">
        <v>1.6</v>
      </c>
      <c r="I9237" s="7" t="s">
        <v>16815</v>
      </c>
      <c r="J9237" s="7" t="s">
        <v>19579</v>
      </c>
      <c r="K9237" s="7" t="s">
        <v>16838</v>
      </c>
      <c r="L9237" s="201" t="s">
        <v>16835</v>
      </c>
      <c r="M9237" s="199"/>
      <c r="N9237" s="199"/>
    </row>
    <row r="9238">
      <c r="A9238" s="193" t="s">
        <v>30525</v>
      </c>
      <c r="B9238" s="7" t="s">
        <v>19579</v>
      </c>
      <c r="C9238" s="7" t="s">
        <v>16838</v>
      </c>
      <c r="D9238" s="194">
        <v>2022.0</v>
      </c>
      <c r="E9238" s="193"/>
      <c r="F9238" s="195" t="s">
        <v>30526</v>
      </c>
      <c r="G9238" s="200">
        <v>0.0</v>
      </c>
      <c r="H9238" s="197">
        <v>6.11</v>
      </c>
      <c r="I9238" s="7" t="s">
        <v>16815</v>
      </c>
      <c r="J9238" s="7" t="s">
        <v>19579</v>
      </c>
      <c r="K9238" s="7" t="s">
        <v>16838</v>
      </c>
      <c r="L9238" s="201" t="s">
        <v>16835</v>
      </c>
      <c r="M9238" s="194"/>
      <c r="N9238" s="194"/>
    </row>
    <row r="9239">
      <c r="A9239" s="193" t="s">
        <v>30527</v>
      </c>
      <c r="B9239" s="7" t="s">
        <v>19579</v>
      </c>
      <c r="C9239" s="7" t="s">
        <v>16838</v>
      </c>
      <c r="D9239" s="194">
        <v>2013.0</v>
      </c>
      <c r="E9239" s="193"/>
      <c r="F9239" s="195" t="s">
        <v>30528</v>
      </c>
      <c r="G9239" s="200">
        <v>0.0</v>
      </c>
      <c r="H9239" s="197">
        <v>9.61</v>
      </c>
      <c r="I9239" s="7" t="s">
        <v>16815</v>
      </c>
      <c r="J9239" s="7" t="s">
        <v>19579</v>
      </c>
      <c r="K9239" s="7" t="s">
        <v>16838</v>
      </c>
      <c r="L9239" s="201" t="s">
        <v>16835</v>
      </c>
      <c r="M9239" s="194"/>
      <c r="N9239" s="194"/>
    </row>
    <row r="9240">
      <c r="A9240" s="193" t="s">
        <v>30529</v>
      </c>
      <c r="B9240" s="7" t="s">
        <v>19579</v>
      </c>
      <c r="C9240" s="7" t="s">
        <v>16838</v>
      </c>
      <c r="D9240" s="194">
        <v>2010.0</v>
      </c>
      <c r="E9240" s="193"/>
      <c r="F9240" s="195" t="s">
        <v>30530</v>
      </c>
      <c r="G9240" s="200">
        <v>0.0</v>
      </c>
      <c r="H9240" s="197">
        <v>10.54</v>
      </c>
      <c r="I9240" s="7" t="s">
        <v>16815</v>
      </c>
      <c r="J9240" s="7" t="s">
        <v>19579</v>
      </c>
      <c r="K9240" s="7" t="s">
        <v>16838</v>
      </c>
      <c r="L9240" s="201" t="s">
        <v>16835</v>
      </c>
      <c r="M9240" s="194"/>
      <c r="N9240" s="194"/>
    </row>
    <row r="9241">
      <c r="A9241" s="193" t="s">
        <v>30531</v>
      </c>
      <c r="B9241" s="7" t="s">
        <v>19579</v>
      </c>
      <c r="C9241" s="7" t="s">
        <v>16838</v>
      </c>
      <c r="D9241" s="194">
        <v>2011.0</v>
      </c>
      <c r="E9241" s="193"/>
      <c r="F9241" s="195" t="s">
        <v>30532</v>
      </c>
      <c r="G9241" s="200">
        <v>0.0</v>
      </c>
      <c r="H9241" s="197">
        <v>8.57</v>
      </c>
      <c r="I9241" s="7" t="s">
        <v>16815</v>
      </c>
      <c r="J9241" s="7" t="s">
        <v>19579</v>
      </c>
      <c r="K9241" s="7" t="s">
        <v>16838</v>
      </c>
      <c r="L9241" s="201" t="s">
        <v>16835</v>
      </c>
      <c r="M9241" s="194"/>
      <c r="N9241" s="194"/>
    </row>
    <row r="9242">
      <c r="A9242" s="193" t="s">
        <v>30533</v>
      </c>
      <c r="B9242" s="7" t="s">
        <v>19579</v>
      </c>
      <c r="C9242" s="7" t="s">
        <v>16838</v>
      </c>
      <c r="D9242" s="199"/>
      <c r="E9242" s="193"/>
      <c r="F9242" s="195" t="s">
        <v>30534</v>
      </c>
      <c r="G9242" s="200">
        <v>0.0</v>
      </c>
      <c r="H9242" s="197">
        <v>7.999</v>
      </c>
      <c r="I9242" s="7" t="s">
        <v>16815</v>
      </c>
      <c r="J9242" s="7" t="s">
        <v>19579</v>
      </c>
      <c r="K9242" s="7" t="s">
        <v>16838</v>
      </c>
      <c r="L9242" s="201" t="s">
        <v>16835</v>
      </c>
      <c r="M9242" s="199"/>
      <c r="N9242" s="199"/>
    </row>
    <row r="9243">
      <c r="A9243" s="193" t="s">
        <v>30535</v>
      </c>
      <c r="B9243" s="7" t="s">
        <v>19579</v>
      </c>
      <c r="C9243" s="7" t="s">
        <v>16838</v>
      </c>
      <c r="D9243" s="194">
        <v>2003.0</v>
      </c>
      <c r="E9243" s="193"/>
      <c r="F9243" s="195" t="s">
        <v>30536</v>
      </c>
      <c r="G9243" s="200">
        <v>0.0</v>
      </c>
      <c r="H9243" s="197">
        <v>12.2</v>
      </c>
      <c r="I9243" s="7" t="s">
        <v>16815</v>
      </c>
      <c r="J9243" s="7" t="s">
        <v>19579</v>
      </c>
      <c r="K9243" s="7" t="s">
        <v>16838</v>
      </c>
      <c r="L9243" s="201" t="s">
        <v>16835</v>
      </c>
      <c r="M9243" s="194"/>
      <c r="N9243" s="194"/>
    </row>
    <row r="9244">
      <c r="A9244" s="193" t="s">
        <v>30537</v>
      </c>
      <c r="B9244" s="7" t="s">
        <v>19579</v>
      </c>
      <c r="C9244" s="7" t="s">
        <v>16838</v>
      </c>
      <c r="D9244" s="194">
        <v>2005.0</v>
      </c>
      <c r="E9244" s="193"/>
      <c r="F9244" s="195" t="s">
        <v>30538</v>
      </c>
      <c r="G9244" s="200">
        <v>0.0</v>
      </c>
      <c r="H9244" s="197">
        <v>9.58</v>
      </c>
      <c r="I9244" s="7" t="s">
        <v>16815</v>
      </c>
      <c r="J9244" s="7" t="s">
        <v>19579</v>
      </c>
      <c r="K9244" s="7" t="s">
        <v>16838</v>
      </c>
      <c r="L9244" s="201" t="s">
        <v>16835</v>
      </c>
      <c r="M9244" s="194"/>
      <c r="N9244" s="194"/>
    </row>
    <row r="9245">
      <c r="A9245" s="193" t="s">
        <v>30539</v>
      </c>
      <c r="B9245" s="7" t="s">
        <v>19579</v>
      </c>
      <c r="C9245" s="7" t="s">
        <v>16838</v>
      </c>
      <c r="D9245" s="194">
        <v>2005.0</v>
      </c>
      <c r="E9245" s="193"/>
      <c r="F9245" s="195" t="s">
        <v>30540</v>
      </c>
      <c r="G9245" s="200">
        <v>0.0</v>
      </c>
      <c r="H9245" s="197">
        <v>17.59</v>
      </c>
      <c r="I9245" s="7" t="s">
        <v>16815</v>
      </c>
      <c r="J9245" s="7" t="s">
        <v>19579</v>
      </c>
      <c r="K9245" s="7" t="s">
        <v>16838</v>
      </c>
      <c r="L9245" s="201" t="s">
        <v>16835</v>
      </c>
      <c r="M9245" s="194"/>
      <c r="N9245" s="194"/>
    </row>
    <row r="9246">
      <c r="A9246" s="193" t="s">
        <v>30541</v>
      </c>
      <c r="B9246" s="7" t="s">
        <v>19579</v>
      </c>
      <c r="C9246" s="7" t="s">
        <v>16838</v>
      </c>
      <c r="D9246" s="194">
        <v>2015.0</v>
      </c>
      <c r="E9246" s="193"/>
      <c r="F9246" s="195" t="s">
        <v>30542</v>
      </c>
      <c r="G9246" s="200">
        <v>0.0</v>
      </c>
      <c r="H9246" s="197">
        <v>12.2</v>
      </c>
      <c r="I9246" s="7" t="s">
        <v>16815</v>
      </c>
      <c r="J9246" s="7" t="s">
        <v>19579</v>
      </c>
      <c r="K9246" s="7" t="s">
        <v>16838</v>
      </c>
      <c r="L9246" s="201" t="s">
        <v>16835</v>
      </c>
      <c r="M9246" s="194"/>
      <c r="N9246" s="194"/>
    </row>
    <row r="9247">
      <c r="A9247" s="193" t="s">
        <v>30543</v>
      </c>
      <c r="B9247" s="7" t="s">
        <v>19579</v>
      </c>
      <c r="C9247" s="7" t="s">
        <v>16838</v>
      </c>
      <c r="D9247" s="194">
        <v>2003.0</v>
      </c>
      <c r="E9247" s="193"/>
      <c r="F9247" s="195" t="s">
        <v>30544</v>
      </c>
      <c r="G9247" s="200">
        <v>0.0</v>
      </c>
      <c r="H9247" s="197">
        <v>13.17</v>
      </c>
      <c r="I9247" s="7" t="s">
        <v>16815</v>
      </c>
      <c r="J9247" s="7" t="s">
        <v>19579</v>
      </c>
      <c r="K9247" s="7" t="s">
        <v>16838</v>
      </c>
      <c r="L9247" s="201" t="s">
        <v>16835</v>
      </c>
      <c r="M9247" s="194"/>
      <c r="N9247" s="194"/>
    </row>
    <row r="9248">
      <c r="A9248" s="193" t="s">
        <v>30545</v>
      </c>
      <c r="B9248" s="7" t="s">
        <v>19579</v>
      </c>
      <c r="C9248" s="7" t="s">
        <v>16838</v>
      </c>
      <c r="D9248" s="194">
        <v>2003.0</v>
      </c>
      <c r="E9248" s="193"/>
      <c r="F9248" s="195" t="s">
        <v>30546</v>
      </c>
      <c r="G9248" s="200">
        <v>0.0</v>
      </c>
      <c r="H9248" s="197">
        <v>13.839</v>
      </c>
      <c r="I9248" s="7" t="s">
        <v>16815</v>
      </c>
      <c r="J9248" s="7" t="s">
        <v>19579</v>
      </c>
      <c r="K9248" s="7" t="s">
        <v>16838</v>
      </c>
      <c r="L9248" s="201" t="s">
        <v>16835</v>
      </c>
      <c r="M9248" s="194"/>
      <c r="N9248" s="194"/>
    </row>
    <row r="9249">
      <c r="A9249" s="193" t="s">
        <v>30547</v>
      </c>
      <c r="B9249" s="7" t="s">
        <v>19579</v>
      </c>
      <c r="C9249" s="7" t="s">
        <v>16838</v>
      </c>
      <c r="D9249" s="194">
        <v>2013.0</v>
      </c>
      <c r="E9249" s="193"/>
      <c r="F9249" s="195" t="s">
        <v>30548</v>
      </c>
      <c r="G9249" s="200">
        <v>0.0</v>
      </c>
      <c r="H9249" s="197">
        <v>14.85</v>
      </c>
      <c r="I9249" s="7" t="s">
        <v>16815</v>
      </c>
      <c r="J9249" s="7" t="s">
        <v>19579</v>
      </c>
      <c r="K9249" s="7" t="s">
        <v>16838</v>
      </c>
      <c r="L9249" s="201" t="s">
        <v>16835</v>
      </c>
      <c r="M9249" s="194"/>
      <c r="N9249" s="194"/>
    </row>
    <row r="9250">
      <c r="A9250" s="193" t="s">
        <v>30549</v>
      </c>
      <c r="B9250" s="7" t="s">
        <v>19579</v>
      </c>
      <c r="C9250" s="7" t="s">
        <v>16838</v>
      </c>
      <c r="D9250" s="194">
        <v>2014.0</v>
      </c>
      <c r="E9250" s="193"/>
      <c r="F9250" s="195" t="s">
        <v>30550</v>
      </c>
      <c r="G9250" s="200">
        <v>0.0</v>
      </c>
      <c r="H9250" s="197">
        <v>6.7784</v>
      </c>
      <c r="I9250" s="7" t="s">
        <v>16815</v>
      </c>
      <c r="J9250" s="7" t="s">
        <v>19579</v>
      </c>
      <c r="K9250" s="7" t="s">
        <v>16838</v>
      </c>
      <c r="L9250" s="201" t="s">
        <v>16835</v>
      </c>
      <c r="M9250" s="194"/>
      <c r="N9250" s="194"/>
    </row>
    <row r="9251">
      <c r="A9251" s="193" t="s">
        <v>30551</v>
      </c>
      <c r="B9251" s="7" t="s">
        <v>19579</v>
      </c>
      <c r="C9251" s="7" t="s">
        <v>16838</v>
      </c>
      <c r="D9251" s="194">
        <v>2012.0</v>
      </c>
      <c r="E9251" s="193"/>
      <c r="F9251" s="195" t="s">
        <v>30552</v>
      </c>
      <c r="G9251" s="200">
        <v>0.0</v>
      </c>
      <c r="H9251" s="197">
        <v>10.59</v>
      </c>
      <c r="I9251" s="7" t="s">
        <v>16815</v>
      </c>
      <c r="J9251" s="7" t="s">
        <v>19579</v>
      </c>
      <c r="K9251" s="7" t="s">
        <v>16838</v>
      </c>
      <c r="L9251" s="201" t="s">
        <v>16835</v>
      </c>
      <c r="M9251" s="194"/>
      <c r="N9251" s="194"/>
    </row>
    <row r="9252">
      <c r="A9252" s="193" t="s">
        <v>30553</v>
      </c>
      <c r="B9252" s="7" t="s">
        <v>19579</v>
      </c>
      <c r="C9252" s="7" t="s">
        <v>16838</v>
      </c>
      <c r="D9252" s="194">
        <v>2021.0</v>
      </c>
      <c r="E9252" s="193"/>
      <c r="F9252" s="195" t="s">
        <v>30554</v>
      </c>
      <c r="G9252" s="200">
        <v>0.0</v>
      </c>
      <c r="H9252" s="197">
        <v>13.55</v>
      </c>
      <c r="I9252" s="7" t="s">
        <v>16815</v>
      </c>
      <c r="J9252" s="7" t="s">
        <v>19579</v>
      </c>
      <c r="K9252" s="7" t="s">
        <v>16838</v>
      </c>
      <c r="L9252" s="201" t="s">
        <v>16835</v>
      </c>
      <c r="M9252" s="194"/>
      <c r="N9252" s="194"/>
    </row>
    <row r="9253">
      <c r="A9253" s="193" t="s">
        <v>30555</v>
      </c>
      <c r="B9253" s="7" t="s">
        <v>19579</v>
      </c>
      <c r="C9253" s="7" t="s">
        <v>16838</v>
      </c>
      <c r="D9253" s="194">
        <v>2019.0</v>
      </c>
      <c r="E9253" s="193"/>
      <c r="F9253" s="195" t="s">
        <v>30556</v>
      </c>
      <c r="G9253" s="200">
        <v>0.0</v>
      </c>
      <c r="H9253" s="197">
        <v>7.06</v>
      </c>
      <c r="I9253" s="7" t="s">
        <v>16815</v>
      </c>
      <c r="J9253" s="7" t="s">
        <v>19579</v>
      </c>
      <c r="K9253" s="7" t="s">
        <v>16838</v>
      </c>
      <c r="L9253" s="201" t="s">
        <v>16835</v>
      </c>
      <c r="M9253" s="194"/>
      <c r="N9253" s="194"/>
    </row>
    <row r="9254">
      <c r="A9254" s="193" t="s">
        <v>30557</v>
      </c>
      <c r="B9254" s="7" t="s">
        <v>19579</v>
      </c>
      <c r="C9254" s="7" t="s">
        <v>16838</v>
      </c>
      <c r="D9254" s="194">
        <v>2014.0</v>
      </c>
      <c r="E9254" s="193"/>
      <c r="F9254" s="195" t="s">
        <v>30558</v>
      </c>
      <c r="G9254" s="200">
        <v>0.0</v>
      </c>
      <c r="H9254" s="197">
        <v>9.89</v>
      </c>
      <c r="I9254" s="7" t="s">
        <v>16815</v>
      </c>
      <c r="J9254" s="7" t="s">
        <v>19579</v>
      </c>
      <c r="K9254" s="7" t="s">
        <v>16838</v>
      </c>
      <c r="L9254" s="201" t="s">
        <v>16835</v>
      </c>
      <c r="M9254" s="194"/>
      <c r="N9254" s="194"/>
    </row>
    <row r="9255">
      <c r="A9255" s="193" t="s">
        <v>30559</v>
      </c>
      <c r="B9255" s="7" t="s">
        <v>19579</v>
      </c>
      <c r="C9255" s="7" t="s">
        <v>16838</v>
      </c>
      <c r="D9255" s="194">
        <v>2002.0</v>
      </c>
      <c r="E9255" s="193"/>
      <c r="F9255" s="195" t="s">
        <v>30560</v>
      </c>
      <c r="G9255" s="200">
        <v>0.0</v>
      </c>
      <c r="H9255" s="197">
        <v>14.21</v>
      </c>
      <c r="I9255" s="7" t="s">
        <v>16815</v>
      </c>
      <c r="J9255" s="7" t="s">
        <v>19579</v>
      </c>
      <c r="K9255" s="7" t="s">
        <v>16838</v>
      </c>
      <c r="L9255" s="201" t="s">
        <v>16835</v>
      </c>
      <c r="M9255" s="194"/>
      <c r="N9255" s="194"/>
    </row>
    <row r="9256">
      <c r="A9256" s="193" t="s">
        <v>30561</v>
      </c>
      <c r="B9256" s="7" t="s">
        <v>19579</v>
      </c>
      <c r="C9256" s="7" t="s">
        <v>16838</v>
      </c>
      <c r="D9256" s="199"/>
      <c r="E9256" s="193"/>
      <c r="F9256" s="195" t="s">
        <v>30562</v>
      </c>
      <c r="G9256" s="200">
        <v>0.0</v>
      </c>
      <c r="H9256" s="197">
        <v>4.35</v>
      </c>
      <c r="I9256" s="7" t="s">
        <v>16815</v>
      </c>
      <c r="J9256" s="7" t="s">
        <v>19579</v>
      </c>
      <c r="K9256" s="7" t="s">
        <v>16838</v>
      </c>
      <c r="L9256" s="201" t="s">
        <v>16835</v>
      </c>
      <c r="M9256" s="199"/>
      <c r="N9256" s="199"/>
    </row>
    <row r="9257">
      <c r="A9257" s="193" t="s">
        <v>30563</v>
      </c>
      <c r="B9257" s="7" t="s">
        <v>19579</v>
      </c>
      <c r="C9257" s="7" t="s">
        <v>16838</v>
      </c>
      <c r="D9257" s="194">
        <v>2007.0</v>
      </c>
      <c r="E9257" s="193"/>
      <c r="F9257" s="195" t="s">
        <v>30564</v>
      </c>
      <c r="G9257" s="200">
        <v>0.0</v>
      </c>
      <c r="H9257" s="197">
        <v>5.59</v>
      </c>
      <c r="I9257" s="7" t="s">
        <v>16815</v>
      </c>
      <c r="J9257" s="7" t="s">
        <v>19579</v>
      </c>
      <c r="K9257" s="7" t="s">
        <v>16838</v>
      </c>
      <c r="L9257" s="201" t="s">
        <v>16835</v>
      </c>
      <c r="M9257" s="194"/>
      <c r="N9257" s="194"/>
    </row>
    <row r="9258">
      <c r="A9258" s="193" t="s">
        <v>30565</v>
      </c>
      <c r="B9258" s="7" t="s">
        <v>19579</v>
      </c>
      <c r="C9258" s="7" t="s">
        <v>16838</v>
      </c>
      <c r="D9258" s="194">
        <v>2005.0</v>
      </c>
      <c r="E9258" s="193"/>
      <c r="F9258" s="195" t="s">
        <v>30566</v>
      </c>
      <c r="G9258" s="200">
        <v>0.0</v>
      </c>
      <c r="H9258" s="197">
        <v>4.84</v>
      </c>
      <c r="I9258" s="7" t="s">
        <v>16815</v>
      </c>
      <c r="J9258" s="7" t="s">
        <v>19579</v>
      </c>
      <c r="K9258" s="7" t="s">
        <v>16838</v>
      </c>
      <c r="L9258" s="201" t="s">
        <v>16835</v>
      </c>
      <c r="M9258" s="194"/>
      <c r="N9258" s="194"/>
    </row>
    <row r="9259">
      <c r="A9259" s="193" t="s">
        <v>30567</v>
      </c>
      <c r="B9259" s="7" t="s">
        <v>19579</v>
      </c>
      <c r="C9259" s="7" t="s">
        <v>16838</v>
      </c>
      <c r="D9259" s="194">
        <v>1994.0</v>
      </c>
      <c r="E9259" s="193"/>
      <c r="F9259" s="195" t="s">
        <v>30568</v>
      </c>
      <c r="G9259" s="200">
        <v>0.0</v>
      </c>
      <c r="H9259" s="197">
        <v>22.17</v>
      </c>
      <c r="I9259" s="7" t="s">
        <v>16815</v>
      </c>
      <c r="J9259" s="7" t="s">
        <v>19579</v>
      </c>
      <c r="K9259" s="7" t="s">
        <v>16838</v>
      </c>
      <c r="L9259" s="201" t="s">
        <v>16835</v>
      </c>
      <c r="M9259" s="194"/>
      <c r="N9259" s="194"/>
    </row>
    <row r="9260">
      <c r="A9260" s="193" t="s">
        <v>30569</v>
      </c>
      <c r="B9260" s="7" t="s">
        <v>19579</v>
      </c>
      <c r="C9260" s="7" t="s">
        <v>16838</v>
      </c>
      <c r="D9260" s="194">
        <v>2012.0</v>
      </c>
      <c r="E9260" s="193"/>
      <c r="F9260" s="195" t="s">
        <v>30570</v>
      </c>
      <c r="G9260" s="200">
        <v>0.0</v>
      </c>
      <c r="H9260" s="197">
        <v>11.47</v>
      </c>
      <c r="I9260" s="7" t="s">
        <v>16815</v>
      </c>
      <c r="J9260" s="7" t="s">
        <v>19579</v>
      </c>
      <c r="K9260" s="7" t="s">
        <v>16838</v>
      </c>
      <c r="L9260" s="201" t="s">
        <v>16835</v>
      </c>
      <c r="M9260" s="194"/>
      <c r="N9260" s="194"/>
    </row>
    <row r="9261">
      <c r="A9261" s="193" t="s">
        <v>30571</v>
      </c>
      <c r="B9261" s="7" t="s">
        <v>19579</v>
      </c>
      <c r="C9261" s="7" t="s">
        <v>16838</v>
      </c>
      <c r="D9261" s="194">
        <v>2007.0</v>
      </c>
      <c r="E9261" s="193"/>
      <c r="F9261" s="195" t="s">
        <v>30572</v>
      </c>
      <c r="G9261" s="200">
        <v>0.0</v>
      </c>
      <c r="H9261" s="197">
        <v>12.7</v>
      </c>
      <c r="I9261" s="7" t="s">
        <v>16815</v>
      </c>
      <c r="J9261" s="7" t="s">
        <v>19579</v>
      </c>
      <c r="K9261" s="7" t="s">
        <v>16838</v>
      </c>
      <c r="L9261" s="201" t="s">
        <v>16835</v>
      </c>
      <c r="M9261" s="194"/>
      <c r="N9261" s="194"/>
    </row>
    <row r="9262">
      <c r="A9262" s="193" t="s">
        <v>30573</v>
      </c>
      <c r="B9262" s="7" t="s">
        <v>19579</v>
      </c>
      <c r="C9262" s="7" t="s">
        <v>16838</v>
      </c>
      <c r="D9262" s="194">
        <v>2004.0</v>
      </c>
      <c r="E9262" s="193"/>
      <c r="F9262" s="195" t="s">
        <v>30574</v>
      </c>
      <c r="G9262" s="200">
        <v>0.0</v>
      </c>
      <c r="H9262" s="197">
        <v>8.08</v>
      </c>
      <c r="I9262" s="7" t="s">
        <v>16815</v>
      </c>
      <c r="J9262" s="7" t="s">
        <v>19579</v>
      </c>
      <c r="K9262" s="7" t="s">
        <v>16838</v>
      </c>
      <c r="L9262" s="201" t="s">
        <v>16835</v>
      </c>
      <c r="M9262" s="194"/>
      <c r="N9262" s="194"/>
    </row>
    <row r="9263">
      <c r="A9263" s="193" t="s">
        <v>30575</v>
      </c>
      <c r="B9263" s="7" t="s">
        <v>19579</v>
      </c>
      <c r="C9263" s="7" t="s">
        <v>16838</v>
      </c>
      <c r="D9263" s="199"/>
      <c r="E9263" s="193"/>
      <c r="F9263" s="195" t="s">
        <v>30576</v>
      </c>
      <c r="G9263" s="200">
        <v>0.0</v>
      </c>
      <c r="H9263" s="197">
        <v>5.52</v>
      </c>
      <c r="I9263" s="7" t="s">
        <v>16815</v>
      </c>
      <c r="J9263" s="7" t="s">
        <v>19579</v>
      </c>
      <c r="K9263" s="7" t="s">
        <v>16838</v>
      </c>
      <c r="L9263" s="201" t="s">
        <v>16835</v>
      </c>
      <c r="M9263" s="199"/>
      <c r="N9263" s="199"/>
    </row>
    <row r="9264">
      <c r="A9264" s="193" t="s">
        <v>30577</v>
      </c>
      <c r="B9264" s="7" t="s">
        <v>19579</v>
      </c>
      <c r="C9264" s="7" t="s">
        <v>16838</v>
      </c>
      <c r="D9264" s="194">
        <v>1990.0</v>
      </c>
      <c r="E9264" s="193"/>
      <c r="F9264" s="195" t="s">
        <v>30578</v>
      </c>
      <c r="G9264" s="200">
        <v>0.0</v>
      </c>
      <c r="H9264" s="197">
        <v>7.0</v>
      </c>
      <c r="I9264" s="7" t="s">
        <v>16815</v>
      </c>
      <c r="J9264" s="7" t="s">
        <v>19579</v>
      </c>
      <c r="K9264" s="7" t="s">
        <v>16838</v>
      </c>
      <c r="L9264" s="201" t="s">
        <v>16835</v>
      </c>
      <c r="M9264" s="194"/>
      <c r="N9264" s="194"/>
    </row>
    <row r="9265">
      <c r="A9265" s="193" t="s">
        <v>30579</v>
      </c>
      <c r="B9265" s="7" t="s">
        <v>19579</v>
      </c>
      <c r="C9265" s="7" t="s">
        <v>16838</v>
      </c>
      <c r="D9265" s="194">
        <v>1989.0</v>
      </c>
      <c r="E9265" s="193"/>
      <c r="F9265" s="195" t="s">
        <v>7939</v>
      </c>
      <c r="G9265" s="200">
        <v>0.0</v>
      </c>
      <c r="H9265" s="197">
        <v>7.88</v>
      </c>
      <c r="I9265" s="7" t="s">
        <v>16815</v>
      </c>
      <c r="J9265" s="7" t="s">
        <v>19579</v>
      </c>
      <c r="K9265" s="7" t="s">
        <v>16838</v>
      </c>
      <c r="L9265" s="201" t="s">
        <v>16835</v>
      </c>
      <c r="M9265" s="194"/>
      <c r="N9265" s="194"/>
    </row>
    <row r="9266">
      <c r="A9266" s="193" t="s">
        <v>30580</v>
      </c>
      <c r="B9266" s="7" t="s">
        <v>19579</v>
      </c>
      <c r="C9266" s="7" t="s">
        <v>16838</v>
      </c>
      <c r="D9266" s="194">
        <v>1993.0</v>
      </c>
      <c r="E9266" s="193"/>
      <c r="F9266" s="195" t="s">
        <v>30581</v>
      </c>
      <c r="G9266" s="200">
        <v>0.0</v>
      </c>
      <c r="H9266" s="197">
        <v>6.41</v>
      </c>
      <c r="I9266" s="193" t="s">
        <v>16815</v>
      </c>
      <c r="J9266" s="7" t="s">
        <v>19579</v>
      </c>
      <c r="K9266" s="7" t="s">
        <v>16838</v>
      </c>
      <c r="L9266" s="201" t="s">
        <v>16835</v>
      </c>
      <c r="M9266" s="194"/>
      <c r="N9266" s="194"/>
    </row>
    <row r="9267">
      <c r="A9267" s="193" t="s">
        <v>30582</v>
      </c>
      <c r="B9267" s="7" t="s">
        <v>19579</v>
      </c>
      <c r="C9267" s="7" t="s">
        <v>16838</v>
      </c>
      <c r="D9267" s="199"/>
      <c r="E9267" s="193"/>
      <c r="F9267" s="195" t="s">
        <v>30583</v>
      </c>
      <c r="G9267" s="200">
        <v>0.0</v>
      </c>
      <c r="H9267" s="197">
        <v>16.33</v>
      </c>
      <c r="I9267" s="193" t="s">
        <v>16815</v>
      </c>
      <c r="J9267" s="7" t="s">
        <v>19579</v>
      </c>
      <c r="K9267" s="7" t="s">
        <v>16838</v>
      </c>
      <c r="L9267" s="201" t="s">
        <v>16835</v>
      </c>
      <c r="M9267" s="199"/>
      <c r="N9267" s="199"/>
    </row>
    <row r="9268">
      <c r="A9268" s="193" t="s">
        <v>30584</v>
      </c>
      <c r="B9268" s="7" t="s">
        <v>19579</v>
      </c>
      <c r="C9268" s="7" t="s">
        <v>16838</v>
      </c>
      <c r="D9268" s="194">
        <v>2021.0</v>
      </c>
      <c r="E9268" s="193"/>
      <c r="F9268" s="195" t="s">
        <v>30585</v>
      </c>
      <c r="G9268" s="200">
        <v>0.0</v>
      </c>
      <c r="H9268" s="197">
        <v>10.6</v>
      </c>
      <c r="I9268" s="193" t="s">
        <v>16815</v>
      </c>
      <c r="J9268" s="7" t="s">
        <v>19579</v>
      </c>
      <c r="K9268" s="7" t="s">
        <v>16838</v>
      </c>
      <c r="L9268" s="201" t="s">
        <v>16835</v>
      </c>
      <c r="M9268" s="194"/>
      <c r="N9268" s="194"/>
    </row>
    <row r="9269">
      <c r="A9269" s="193" t="s">
        <v>30586</v>
      </c>
      <c r="B9269" s="7" t="s">
        <v>19579</v>
      </c>
      <c r="C9269" s="7" t="s">
        <v>16838</v>
      </c>
      <c r="D9269" s="194">
        <v>1992.0</v>
      </c>
      <c r="E9269" s="193"/>
      <c r="F9269" s="195" t="s">
        <v>30587</v>
      </c>
      <c r="G9269" s="200">
        <v>0.0</v>
      </c>
      <c r="H9269" s="197">
        <v>8.62</v>
      </c>
      <c r="I9269" s="193" t="s">
        <v>16815</v>
      </c>
      <c r="J9269" s="7" t="s">
        <v>19579</v>
      </c>
      <c r="K9269" s="7" t="s">
        <v>16838</v>
      </c>
      <c r="L9269" s="201" t="s">
        <v>16835</v>
      </c>
      <c r="M9269" s="194"/>
      <c r="N9269" s="194"/>
    </row>
    <row r="9270">
      <c r="A9270" s="193" t="s">
        <v>30588</v>
      </c>
      <c r="B9270" s="7" t="s">
        <v>19579</v>
      </c>
      <c r="C9270" s="7" t="s">
        <v>16838</v>
      </c>
      <c r="D9270" s="194">
        <v>1988.0</v>
      </c>
      <c r="E9270" s="193"/>
      <c r="F9270" s="195" t="s">
        <v>30589</v>
      </c>
      <c r="G9270" s="200">
        <v>0.0</v>
      </c>
      <c r="H9270" s="197">
        <v>8.82</v>
      </c>
      <c r="I9270" s="193" t="s">
        <v>16815</v>
      </c>
      <c r="J9270" s="7" t="s">
        <v>19579</v>
      </c>
      <c r="K9270" s="7" t="s">
        <v>16838</v>
      </c>
      <c r="L9270" s="201" t="s">
        <v>16835</v>
      </c>
      <c r="M9270" s="194"/>
      <c r="N9270" s="194"/>
    </row>
    <row r="9271">
      <c r="A9271" s="193" t="s">
        <v>30590</v>
      </c>
      <c r="B9271" s="7" t="s">
        <v>19579</v>
      </c>
      <c r="C9271" s="7" t="s">
        <v>16838</v>
      </c>
      <c r="D9271" s="194">
        <v>2021.0</v>
      </c>
      <c r="E9271" s="193"/>
      <c r="F9271" s="195" t="s">
        <v>30591</v>
      </c>
      <c r="G9271" s="200">
        <v>0.0</v>
      </c>
      <c r="H9271" s="197">
        <v>15.47</v>
      </c>
      <c r="I9271" s="193" t="s">
        <v>16815</v>
      </c>
      <c r="J9271" s="7" t="s">
        <v>19579</v>
      </c>
      <c r="K9271" s="7" t="s">
        <v>16838</v>
      </c>
      <c r="L9271" s="201" t="s">
        <v>16835</v>
      </c>
      <c r="M9271" s="194"/>
      <c r="N9271" s="194"/>
    </row>
    <row r="9272">
      <c r="A9272" s="193" t="s">
        <v>30592</v>
      </c>
      <c r="B9272" s="7" t="s">
        <v>19579</v>
      </c>
      <c r="C9272" s="7" t="s">
        <v>16838</v>
      </c>
      <c r="D9272" s="194">
        <v>1991.0</v>
      </c>
      <c r="E9272" s="193"/>
      <c r="F9272" s="195" t="s">
        <v>30593</v>
      </c>
      <c r="G9272" s="200">
        <v>0.0</v>
      </c>
      <c r="H9272" s="197">
        <v>10.39</v>
      </c>
      <c r="I9272" s="193" t="s">
        <v>16815</v>
      </c>
      <c r="J9272" s="7" t="s">
        <v>19579</v>
      </c>
      <c r="K9272" s="7" t="s">
        <v>16838</v>
      </c>
      <c r="L9272" s="201" t="s">
        <v>16835</v>
      </c>
      <c r="M9272" s="194"/>
      <c r="N9272" s="194"/>
    </row>
    <row r="9273">
      <c r="A9273" s="193" t="s">
        <v>30594</v>
      </c>
      <c r="B9273" s="7" t="s">
        <v>19579</v>
      </c>
      <c r="C9273" s="7" t="s">
        <v>16838</v>
      </c>
      <c r="D9273" s="194">
        <v>2002.0</v>
      </c>
      <c r="E9273" s="193"/>
      <c r="F9273" s="195" t="s">
        <v>30595</v>
      </c>
      <c r="G9273" s="200">
        <v>0.0</v>
      </c>
      <c r="H9273" s="197">
        <v>9.32</v>
      </c>
      <c r="I9273" s="193" t="s">
        <v>16815</v>
      </c>
      <c r="J9273" s="7" t="s">
        <v>19579</v>
      </c>
      <c r="K9273" s="7" t="s">
        <v>16838</v>
      </c>
      <c r="L9273" s="201" t="s">
        <v>16835</v>
      </c>
      <c r="M9273" s="194"/>
      <c r="N9273" s="194"/>
    </row>
    <row r="9274">
      <c r="A9274" s="193" t="s">
        <v>30596</v>
      </c>
      <c r="B9274" s="7" t="s">
        <v>19579</v>
      </c>
      <c r="C9274" s="7" t="s">
        <v>16838</v>
      </c>
      <c r="D9274" s="194">
        <v>1987.0</v>
      </c>
      <c r="E9274" s="193"/>
      <c r="F9274" s="195" t="s">
        <v>30597</v>
      </c>
      <c r="G9274" s="200">
        <v>0.0</v>
      </c>
      <c r="H9274" s="197">
        <v>8.31</v>
      </c>
      <c r="I9274" s="193" t="s">
        <v>16815</v>
      </c>
      <c r="J9274" s="7" t="s">
        <v>19579</v>
      </c>
      <c r="K9274" s="7" t="s">
        <v>16838</v>
      </c>
      <c r="L9274" s="201" t="s">
        <v>16835</v>
      </c>
      <c r="M9274" s="194"/>
      <c r="N9274" s="194"/>
    </row>
    <row r="9275">
      <c r="A9275" s="193" t="s">
        <v>30598</v>
      </c>
      <c r="B9275" s="7" t="s">
        <v>19579</v>
      </c>
      <c r="C9275" s="7" t="s">
        <v>16838</v>
      </c>
      <c r="D9275" s="199"/>
      <c r="E9275" s="193"/>
      <c r="F9275" s="195" t="s">
        <v>30599</v>
      </c>
      <c r="G9275" s="200">
        <v>0.0</v>
      </c>
      <c r="H9275" s="197">
        <v>11.19</v>
      </c>
      <c r="I9275" s="193" t="s">
        <v>16815</v>
      </c>
      <c r="J9275" s="7" t="s">
        <v>19579</v>
      </c>
      <c r="K9275" s="7" t="s">
        <v>16838</v>
      </c>
      <c r="L9275" s="201" t="s">
        <v>16835</v>
      </c>
      <c r="M9275" s="199"/>
      <c r="N9275" s="199"/>
    </row>
    <row r="9276">
      <c r="A9276" s="193" t="s">
        <v>30600</v>
      </c>
      <c r="B9276" s="7" t="s">
        <v>19579</v>
      </c>
      <c r="C9276" s="7" t="s">
        <v>16838</v>
      </c>
      <c r="D9276" s="199"/>
      <c r="E9276" s="193"/>
      <c r="F9276" s="195" t="s">
        <v>30601</v>
      </c>
      <c r="G9276" s="200">
        <v>0.0</v>
      </c>
      <c r="H9276" s="197">
        <v>6.23</v>
      </c>
      <c r="I9276" s="193" t="s">
        <v>16815</v>
      </c>
      <c r="J9276" s="7" t="s">
        <v>19579</v>
      </c>
      <c r="K9276" s="7" t="s">
        <v>16838</v>
      </c>
      <c r="L9276" s="201" t="s">
        <v>16835</v>
      </c>
      <c r="M9276" s="199"/>
      <c r="N9276" s="199"/>
    </row>
    <row r="9277">
      <c r="A9277" s="193" t="s">
        <v>30602</v>
      </c>
      <c r="B9277" s="7" t="s">
        <v>19579</v>
      </c>
      <c r="C9277" s="7" t="s">
        <v>16838</v>
      </c>
      <c r="D9277" s="194">
        <v>2002.0</v>
      </c>
      <c r="E9277" s="193"/>
      <c r="F9277" s="195" t="s">
        <v>30603</v>
      </c>
      <c r="G9277" s="200">
        <v>0.0</v>
      </c>
      <c r="H9277" s="197">
        <v>5.38</v>
      </c>
      <c r="I9277" s="193" t="s">
        <v>16815</v>
      </c>
      <c r="J9277" s="7" t="s">
        <v>19579</v>
      </c>
      <c r="K9277" s="7" t="s">
        <v>16838</v>
      </c>
      <c r="L9277" s="201" t="s">
        <v>16835</v>
      </c>
      <c r="M9277" s="194"/>
      <c r="N9277" s="194"/>
    </row>
    <row r="9278">
      <c r="A9278" s="193" t="s">
        <v>30604</v>
      </c>
      <c r="B9278" s="7" t="s">
        <v>19579</v>
      </c>
      <c r="C9278" s="7" t="s">
        <v>16838</v>
      </c>
      <c r="D9278" s="194">
        <v>1993.0</v>
      </c>
      <c r="E9278" s="193"/>
      <c r="F9278" s="195" t="s">
        <v>30605</v>
      </c>
      <c r="G9278" s="200">
        <v>0.0</v>
      </c>
      <c r="H9278" s="197">
        <v>7.72</v>
      </c>
      <c r="I9278" s="193" t="s">
        <v>16815</v>
      </c>
      <c r="J9278" s="7" t="s">
        <v>19579</v>
      </c>
      <c r="K9278" s="7" t="s">
        <v>16838</v>
      </c>
      <c r="L9278" s="201" t="s">
        <v>16835</v>
      </c>
      <c r="M9278" s="194"/>
      <c r="N9278" s="194"/>
    </row>
    <row r="9279">
      <c r="A9279" s="193" t="s">
        <v>30606</v>
      </c>
      <c r="B9279" s="7" t="s">
        <v>19579</v>
      </c>
      <c r="C9279" s="7" t="s">
        <v>16838</v>
      </c>
      <c r="D9279" s="194">
        <v>2002.0</v>
      </c>
      <c r="E9279" s="193"/>
      <c r="F9279" s="195" t="s">
        <v>30607</v>
      </c>
      <c r="G9279" s="200">
        <v>0.0</v>
      </c>
      <c r="H9279" s="197">
        <v>6.82</v>
      </c>
      <c r="I9279" s="193" t="s">
        <v>16815</v>
      </c>
      <c r="J9279" s="7" t="s">
        <v>19579</v>
      </c>
      <c r="K9279" s="7" t="s">
        <v>16838</v>
      </c>
      <c r="L9279" s="201" t="s">
        <v>16835</v>
      </c>
      <c r="M9279" s="194"/>
      <c r="N9279" s="194"/>
    </row>
    <row r="9280">
      <c r="A9280" s="193" t="s">
        <v>30608</v>
      </c>
      <c r="B9280" s="7" t="s">
        <v>19579</v>
      </c>
      <c r="C9280" s="7" t="s">
        <v>16838</v>
      </c>
      <c r="D9280" s="194">
        <v>2002.0</v>
      </c>
      <c r="E9280" s="193"/>
      <c r="F9280" s="195" t="s">
        <v>30609</v>
      </c>
      <c r="G9280" s="200">
        <v>0.0</v>
      </c>
      <c r="H9280" s="197">
        <v>6.67</v>
      </c>
      <c r="I9280" s="193" t="s">
        <v>16815</v>
      </c>
      <c r="J9280" s="7" t="s">
        <v>19579</v>
      </c>
      <c r="K9280" s="7" t="s">
        <v>16838</v>
      </c>
      <c r="L9280" s="201" t="s">
        <v>16835</v>
      </c>
      <c r="M9280" s="194"/>
      <c r="N9280" s="194"/>
    </row>
    <row r="9281">
      <c r="A9281" s="193" t="s">
        <v>30610</v>
      </c>
      <c r="B9281" s="7" t="s">
        <v>19579</v>
      </c>
      <c r="C9281" s="7" t="s">
        <v>16838</v>
      </c>
      <c r="D9281" s="194">
        <v>2004.0</v>
      </c>
      <c r="E9281" s="193"/>
      <c r="F9281" s="195" t="s">
        <v>30611</v>
      </c>
      <c r="G9281" s="200">
        <v>0.0</v>
      </c>
      <c r="H9281" s="197">
        <v>12.25</v>
      </c>
      <c r="I9281" s="193" t="s">
        <v>16815</v>
      </c>
      <c r="J9281" s="7" t="s">
        <v>19579</v>
      </c>
      <c r="K9281" s="7" t="s">
        <v>16838</v>
      </c>
      <c r="L9281" s="201" t="s">
        <v>16835</v>
      </c>
      <c r="M9281" s="194"/>
      <c r="N9281" s="194"/>
    </row>
    <row r="9282">
      <c r="A9282" s="193" t="s">
        <v>30612</v>
      </c>
      <c r="B9282" s="7" t="s">
        <v>19579</v>
      </c>
      <c r="C9282" s="7" t="s">
        <v>16838</v>
      </c>
      <c r="D9282" s="199"/>
      <c r="E9282" s="193"/>
      <c r="F9282" s="195" t="s">
        <v>10474</v>
      </c>
      <c r="G9282" s="200">
        <v>0.0</v>
      </c>
      <c r="H9282" s="197">
        <v>14.41</v>
      </c>
      <c r="I9282" s="193" t="s">
        <v>16815</v>
      </c>
      <c r="J9282" s="7" t="s">
        <v>19579</v>
      </c>
      <c r="K9282" s="7" t="s">
        <v>16838</v>
      </c>
      <c r="L9282" s="201" t="s">
        <v>16835</v>
      </c>
      <c r="M9282" s="199"/>
      <c r="N9282" s="199"/>
    </row>
    <row r="9283">
      <c r="A9283" s="193" t="s">
        <v>30613</v>
      </c>
      <c r="B9283" s="7" t="s">
        <v>19579</v>
      </c>
      <c r="C9283" s="7" t="s">
        <v>16838</v>
      </c>
      <c r="D9283" s="194">
        <v>2011.0</v>
      </c>
      <c r="E9283" s="193"/>
      <c r="F9283" s="195" t="s">
        <v>30614</v>
      </c>
      <c r="G9283" s="200">
        <v>0.0</v>
      </c>
      <c r="H9283" s="197">
        <v>27.02</v>
      </c>
      <c r="I9283" s="193" t="s">
        <v>16815</v>
      </c>
      <c r="J9283" s="7" t="s">
        <v>19579</v>
      </c>
      <c r="K9283" s="7" t="s">
        <v>16838</v>
      </c>
      <c r="L9283" s="201" t="s">
        <v>16835</v>
      </c>
      <c r="M9283" s="194"/>
      <c r="N9283" s="194"/>
    </row>
    <row r="9284">
      <c r="A9284" s="193" t="s">
        <v>30615</v>
      </c>
      <c r="B9284" s="7" t="s">
        <v>19579</v>
      </c>
      <c r="C9284" s="7" t="s">
        <v>16838</v>
      </c>
      <c r="D9284" s="194">
        <v>1986.0</v>
      </c>
      <c r="E9284" s="193"/>
      <c r="F9284" s="195" t="s">
        <v>30616</v>
      </c>
      <c r="G9284" s="200">
        <v>0.0</v>
      </c>
      <c r="H9284" s="197">
        <v>31.0</v>
      </c>
      <c r="I9284" s="193" t="s">
        <v>16815</v>
      </c>
      <c r="J9284" s="7" t="s">
        <v>19579</v>
      </c>
      <c r="K9284" s="7" t="s">
        <v>16838</v>
      </c>
      <c r="L9284" s="201" t="s">
        <v>16835</v>
      </c>
      <c r="M9284" s="194"/>
      <c r="N9284" s="194"/>
    </row>
    <row r="9285">
      <c r="A9285" s="193" t="s">
        <v>30617</v>
      </c>
      <c r="B9285" s="7" t="s">
        <v>19579</v>
      </c>
      <c r="C9285" s="7" t="s">
        <v>16838</v>
      </c>
      <c r="D9285" s="199"/>
      <c r="E9285" s="193"/>
      <c r="F9285" s="195" t="s">
        <v>30618</v>
      </c>
      <c r="G9285" s="200">
        <v>0.0</v>
      </c>
      <c r="H9285" s="197">
        <v>14.97</v>
      </c>
      <c r="I9285" s="193" t="s">
        <v>16815</v>
      </c>
      <c r="J9285" s="7" t="s">
        <v>19579</v>
      </c>
      <c r="K9285" s="7" t="s">
        <v>16838</v>
      </c>
      <c r="L9285" s="201" t="s">
        <v>16835</v>
      </c>
      <c r="M9285" s="199"/>
      <c r="N9285" s="199"/>
    </row>
    <row r="9286">
      <c r="A9286" s="193" t="s">
        <v>30619</v>
      </c>
      <c r="B9286" s="7" t="s">
        <v>19579</v>
      </c>
      <c r="C9286" s="7" t="s">
        <v>16838</v>
      </c>
      <c r="D9286" s="194">
        <v>1989.0</v>
      </c>
      <c r="E9286" s="193"/>
      <c r="F9286" s="195" t="s">
        <v>30620</v>
      </c>
      <c r="G9286" s="200">
        <v>0.0</v>
      </c>
      <c r="H9286" s="197">
        <v>9.88</v>
      </c>
      <c r="I9286" s="193" t="s">
        <v>16815</v>
      </c>
      <c r="J9286" s="7" t="s">
        <v>19579</v>
      </c>
      <c r="K9286" s="7" t="s">
        <v>16838</v>
      </c>
      <c r="L9286" s="201" t="s">
        <v>16835</v>
      </c>
      <c r="M9286" s="194"/>
      <c r="N9286" s="194"/>
    </row>
    <row r="9287">
      <c r="A9287" s="193" t="s">
        <v>30621</v>
      </c>
      <c r="B9287" s="7" t="s">
        <v>19579</v>
      </c>
      <c r="C9287" s="7" t="s">
        <v>16838</v>
      </c>
      <c r="D9287" s="194">
        <v>1998.0</v>
      </c>
      <c r="E9287" s="193"/>
      <c r="F9287" s="195" t="s">
        <v>30622</v>
      </c>
      <c r="G9287" s="200">
        <v>0.0</v>
      </c>
      <c r="H9287" s="197">
        <v>4.03</v>
      </c>
      <c r="I9287" s="193" t="s">
        <v>16815</v>
      </c>
      <c r="J9287" s="7" t="s">
        <v>19579</v>
      </c>
      <c r="K9287" s="7" t="s">
        <v>16838</v>
      </c>
      <c r="L9287" s="201" t="s">
        <v>16835</v>
      </c>
      <c r="M9287" s="194"/>
      <c r="N9287" s="194"/>
    </row>
    <row r="9288">
      <c r="A9288" s="193" t="s">
        <v>30623</v>
      </c>
      <c r="B9288" s="7" t="s">
        <v>19579</v>
      </c>
      <c r="C9288" s="7" t="s">
        <v>16838</v>
      </c>
      <c r="D9288" s="194">
        <v>2021.0</v>
      </c>
      <c r="E9288" s="193"/>
      <c r="F9288" s="195" t="s">
        <v>30624</v>
      </c>
      <c r="G9288" s="200">
        <v>0.0</v>
      </c>
      <c r="H9288" s="197">
        <v>12.94</v>
      </c>
      <c r="I9288" s="193" t="s">
        <v>16815</v>
      </c>
      <c r="J9288" s="7" t="s">
        <v>19579</v>
      </c>
      <c r="K9288" s="7" t="s">
        <v>16838</v>
      </c>
      <c r="L9288" s="201" t="s">
        <v>16835</v>
      </c>
      <c r="M9288" s="194"/>
      <c r="N9288" s="194"/>
    </row>
    <row r="9289">
      <c r="A9289" s="193" t="s">
        <v>30625</v>
      </c>
      <c r="B9289" s="7" t="s">
        <v>19579</v>
      </c>
      <c r="C9289" s="7" t="s">
        <v>16838</v>
      </c>
      <c r="D9289" s="194">
        <v>2002.0</v>
      </c>
      <c r="E9289" s="193"/>
      <c r="F9289" s="195" t="s">
        <v>30626</v>
      </c>
      <c r="G9289" s="200">
        <v>0.0</v>
      </c>
      <c r="H9289" s="197">
        <v>10.33</v>
      </c>
      <c r="I9289" s="193" t="s">
        <v>16815</v>
      </c>
      <c r="J9289" s="7" t="s">
        <v>19579</v>
      </c>
      <c r="K9289" s="7" t="s">
        <v>16838</v>
      </c>
      <c r="L9289" s="201" t="s">
        <v>16835</v>
      </c>
      <c r="M9289" s="194"/>
      <c r="N9289" s="194"/>
    </row>
    <row r="9290">
      <c r="A9290" s="193" t="s">
        <v>30627</v>
      </c>
      <c r="B9290" s="7" t="s">
        <v>19579</v>
      </c>
      <c r="C9290" s="7" t="s">
        <v>16838</v>
      </c>
      <c r="D9290" s="194">
        <v>2003.0</v>
      </c>
      <c r="E9290" s="193"/>
      <c r="F9290" s="195" t="s">
        <v>30628</v>
      </c>
      <c r="G9290" s="200">
        <v>0.0</v>
      </c>
      <c r="H9290" s="197">
        <v>7.99</v>
      </c>
      <c r="I9290" s="193" t="s">
        <v>16815</v>
      </c>
      <c r="J9290" s="7" t="s">
        <v>19579</v>
      </c>
      <c r="K9290" s="7" t="s">
        <v>16838</v>
      </c>
      <c r="L9290" s="201" t="s">
        <v>16835</v>
      </c>
      <c r="M9290" s="194"/>
      <c r="N9290" s="194"/>
    </row>
    <row r="9291">
      <c r="A9291" s="193" t="s">
        <v>30195</v>
      </c>
      <c r="B9291" s="7" t="s">
        <v>16838</v>
      </c>
      <c r="C9291" s="7" t="s">
        <v>19644</v>
      </c>
      <c r="D9291" s="194">
        <v>2001.0</v>
      </c>
      <c r="E9291" s="193"/>
      <c r="F9291" s="195" t="s">
        <v>30196</v>
      </c>
      <c r="G9291" s="196">
        <v>0.0</v>
      </c>
      <c r="H9291" s="197">
        <v>9.76</v>
      </c>
      <c r="I9291" s="7" t="s">
        <v>16815</v>
      </c>
      <c r="J9291" s="7" t="s">
        <v>16838</v>
      </c>
      <c r="K9291" s="7" t="s">
        <v>19644</v>
      </c>
      <c r="L9291" s="198" t="s">
        <v>65</v>
      </c>
      <c r="M9291" s="194"/>
      <c r="N9291" s="194"/>
    </row>
    <row r="9292">
      <c r="A9292" s="193" t="s">
        <v>30197</v>
      </c>
      <c r="B9292" s="7" t="s">
        <v>16838</v>
      </c>
      <c r="C9292" s="7" t="s">
        <v>19644</v>
      </c>
      <c r="D9292" s="199"/>
      <c r="E9292" s="193"/>
      <c r="F9292" s="195" t="s">
        <v>30198</v>
      </c>
      <c r="G9292" s="196">
        <v>0.0</v>
      </c>
      <c r="H9292" s="197">
        <v>8.63</v>
      </c>
      <c r="I9292" s="7" t="s">
        <v>16815</v>
      </c>
      <c r="J9292" s="7" t="s">
        <v>16838</v>
      </c>
      <c r="K9292" s="7" t="s">
        <v>19644</v>
      </c>
      <c r="L9292" s="198" t="s">
        <v>65</v>
      </c>
      <c r="M9292" s="199"/>
      <c r="N9292" s="199"/>
    </row>
    <row r="9293">
      <c r="A9293" s="193" t="s">
        <v>30629</v>
      </c>
      <c r="B9293" s="7" t="s">
        <v>16838</v>
      </c>
      <c r="C9293" s="7" t="s">
        <v>19644</v>
      </c>
      <c r="D9293" s="199"/>
      <c r="E9293" s="193"/>
      <c r="F9293" s="195" t="s">
        <v>30630</v>
      </c>
      <c r="G9293" s="196">
        <v>0.0</v>
      </c>
      <c r="H9293" s="197">
        <v>25.32</v>
      </c>
      <c r="I9293" s="7" t="s">
        <v>16815</v>
      </c>
      <c r="J9293" s="7" t="s">
        <v>16838</v>
      </c>
      <c r="K9293" s="7" t="s">
        <v>19644</v>
      </c>
      <c r="L9293" s="198" t="s">
        <v>65</v>
      </c>
      <c r="M9293" s="199"/>
      <c r="N9293" s="199"/>
    </row>
    <row r="9294">
      <c r="A9294" s="193" t="s">
        <v>30199</v>
      </c>
      <c r="B9294" s="7" t="s">
        <v>16838</v>
      </c>
      <c r="C9294" s="7" t="s">
        <v>19644</v>
      </c>
      <c r="D9294" s="194">
        <v>1998.0</v>
      </c>
      <c r="E9294" s="193"/>
      <c r="F9294" s="195" t="s">
        <v>30200</v>
      </c>
      <c r="G9294" s="196">
        <v>0.0</v>
      </c>
      <c r="H9294" s="197">
        <v>2.21</v>
      </c>
      <c r="I9294" s="7" t="s">
        <v>16815</v>
      </c>
      <c r="J9294" s="7" t="s">
        <v>16838</v>
      </c>
      <c r="K9294" s="7" t="s">
        <v>19644</v>
      </c>
      <c r="L9294" s="198" t="s">
        <v>65</v>
      </c>
      <c r="M9294" s="194"/>
      <c r="N9294" s="194"/>
    </row>
    <row r="9295">
      <c r="A9295" s="193" t="s">
        <v>30201</v>
      </c>
      <c r="B9295" s="7" t="s">
        <v>16838</v>
      </c>
      <c r="C9295" s="7" t="s">
        <v>19644</v>
      </c>
      <c r="D9295" s="194">
        <v>2014.0</v>
      </c>
      <c r="E9295" s="193"/>
      <c r="F9295" s="195" t="s">
        <v>30202</v>
      </c>
      <c r="G9295" s="196">
        <v>0.0</v>
      </c>
      <c r="H9295" s="197">
        <v>13.4</v>
      </c>
      <c r="I9295" s="7" t="s">
        <v>16815</v>
      </c>
      <c r="J9295" s="7" t="s">
        <v>16838</v>
      </c>
      <c r="K9295" s="7" t="s">
        <v>19644</v>
      </c>
      <c r="L9295" s="198" t="s">
        <v>65</v>
      </c>
      <c r="M9295" s="194"/>
      <c r="N9295" s="194"/>
    </row>
    <row r="9296">
      <c r="A9296" s="193" t="s">
        <v>30203</v>
      </c>
      <c r="B9296" s="7" t="s">
        <v>16838</v>
      </c>
      <c r="C9296" s="7" t="s">
        <v>19644</v>
      </c>
      <c r="D9296" s="194">
        <v>1998.0</v>
      </c>
      <c r="E9296" s="193"/>
      <c r="F9296" s="195" t="s">
        <v>30204</v>
      </c>
      <c r="G9296" s="196">
        <v>0.0</v>
      </c>
      <c r="H9296" s="197">
        <v>10.12</v>
      </c>
      <c r="I9296" s="7" t="s">
        <v>16815</v>
      </c>
      <c r="J9296" s="7" t="s">
        <v>16838</v>
      </c>
      <c r="K9296" s="7" t="s">
        <v>19644</v>
      </c>
      <c r="L9296" s="198" t="s">
        <v>65</v>
      </c>
      <c r="M9296" s="194"/>
      <c r="N9296" s="194"/>
    </row>
    <row r="9297">
      <c r="A9297" s="193" t="s">
        <v>30205</v>
      </c>
      <c r="B9297" s="7" t="s">
        <v>16838</v>
      </c>
      <c r="C9297" s="7" t="s">
        <v>19644</v>
      </c>
      <c r="D9297" s="194">
        <v>2007.0</v>
      </c>
      <c r="E9297" s="193"/>
      <c r="F9297" s="195" t="s">
        <v>30206</v>
      </c>
      <c r="G9297" s="196">
        <v>0.0</v>
      </c>
      <c r="H9297" s="197">
        <v>4.53</v>
      </c>
      <c r="I9297" s="7" t="s">
        <v>16815</v>
      </c>
      <c r="J9297" s="7" t="s">
        <v>16838</v>
      </c>
      <c r="K9297" s="7" t="s">
        <v>19644</v>
      </c>
      <c r="L9297" s="198" t="s">
        <v>65</v>
      </c>
      <c r="M9297" s="194"/>
      <c r="N9297" s="194"/>
    </row>
    <row r="9298">
      <c r="A9298" s="193" t="s">
        <v>30207</v>
      </c>
      <c r="B9298" s="7" t="s">
        <v>16838</v>
      </c>
      <c r="C9298" s="7" t="s">
        <v>19644</v>
      </c>
      <c r="D9298" s="194">
        <v>2012.0</v>
      </c>
      <c r="E9298" s="193"/>
      <c r="F9298" s="195" t="s">
        <v>30208</v>
      </c>
      <c r="G9298" s="196">
        <v>0.0</v>
      </c>
      <c r="H9298" s="197">
        <v>4.8</v>
      </c>
      <c r="I9298" s="7" t="s">
        <v>16815</v>
      </c>
      <c r="J9298" s="7" t="s">
        <v>16838</v>
      </c>
      <c r="K9298" s="7" t="s">
        <v>19644</v>
      </c>
      <c r="L9298" s="198" t="s">
        <v>65</v>
      </c>
      <c r="M9298" s="194"/>
      <c r="N9298" s="194"/>
    </row>
    <row r="9299">
      <c r="A9299" s="193" t="s">
        <v>30209</v>
      </c>
      <c r="B9299" s="7" t="s">
        <v>16838</v>
      </c>
      <c r="C9299" s="7" t="s">
        <v>19644</v>
      </c>
      <c r="D9299" s="194">
        <v>2007.0</v>
      </c>
      <c r="E9299" s="193"/>
      <c r="F9299" s="195" t="s">
        <v>30210</v>
      </c>
      <c r="G9299" s="196">
        <v>0.0</v>
      </c>
      <c r="H9299" s="197">
        <v>7.72</v>
      </c>
      <c r="I9299" s="7" t="s">
        <v>16815</v>
      </c>
      <c r="J9299" s="7" t="s">
        <v>16838</v>
      </c>
      <c r="K9299" s="7" t="s">
        <v>19644</v>
      </c>
      <c r="L9299" s="198" t="s">
        <v>65</v>
      </c>
      <c r="M9299" s="194"/>
      <c r="N9299" s="194"/>
    </row>
    <row r="9300">
      <c r="A9300" s="193" t="s">
        <v>30211</v>
      </c>
      <c r="B9300" s="7" t="s">
        <v>16838</v>
      </c>
      <c r="C9300" s="7" t="s">
        <v>19644</v>
      </c>
      <c r="D9300" s="194">
        <v>2006.0</v>
      </c>
      <c r="E9300" s="193"/>
      <c r="F9300" s="195" t="s">
        <v>30212</v>
      </c>
      <c r="G9300" s="196">
        <v>0.0</v>
      </c>
      <c r="H9300" s="197">
        <v>11.31</v>
      </c>
      <c r="I9300" s="7" t="s">
        <v>16815</v>
      </c>
      <c r="J9300" s="7" t="s">
        <v>16838</v>
      </c>
      <c r="K9300" s="7" t="s">
        <v>19644</v>
      </c>
      <c r="L9300" s="198" t="s">
        <v>65</v>
      </c>
      <c r="M9300" s="194"/>
      <c r="N9300" s="194"/>
    </row>
    <row r="9301">
      <c r="A9301" s="193" t="s">
        <v>30213</v>
      </c>
      <c r="B9301" s="7" t="s">
        <v>16838</v>
      </c>
      <c r="C9301" s="7" t="s">
        <v>19644</v>
      </c>
      <c r="D9301" s="194">
        <v>2003.0</v>
      </c>
      <c r="E9301" s="193"/>
      <c r="F9301" s="195" t="s">
        <v>30214</v>
      </c>
      <c r="G9301" s="196">
        <v>0.0</v>
      </c>
      <c r="H9301" s="197">
        <v>19.77</v>
      </c>
      <c r="I9301" s="7" t="s">
        <v>16815</v>
      </c>
      <c r="J9301" s="7" t="s">
        <v>16838</v>
      </c>
      <c r="K9301" s="7" t="s">
        <v>19644</v>
      </c>
      <c r="L9301" s="198" t="s">
        <v>65</v>
      </c>
      <c r="M9301" s="194"/>
      <c r="N9301" s="194"/>
    </row>
    <row r="9302">
      <c r="A9302" s="193" t="s">
        <v>30215</v>
      </c>
      <c r="B9302" s="7" t="s">
        <v>16838</v>
      </c>
      <c r="C9302" s="7" t="s">
        <v>19644</v>
      </c>
      <c r="D9302" s="194">
        <v>2007.0</v>
      </c>
      <c r="E9302" s="193"/>
      <c r="F9302" s="195" t="s">
        <v>30216</v>
      </c>
      <c r="G9302" s="196">
        <v>0.0</v>
      </c>
      <c r="H9302" s="197">
        <v>7.24</v>
      </c>
      <c r="I9302" s="7" t="s">
        <v>16815</v>
      </c>
      <c r="J9302" s="7" t="s">
        <v>16838</v>
      </c>
      <c r="K9302" s="7" t="s">
        <v>19644</v>
      </c>
      <c r="L9302" s="198" t="s">
        <v>65</v>
      </c>
      <c r="M9302" s="194"/>
      <c r="N9302" s="194"/>
    </row>
    <row r="9303">
      <c r="A9303" s="193" t="s">
        <v>30217</v>
      </c>
      <c r="B9303" s="7" t="s">
        <v>16838</v>
      </c>
      <c r="C9303" s="7" t="s">
        <v>19644</v>
      </c>
      <c r="D9303" s="194">
        <v>2004.0</v>
      </c>
      <c r="E9303" s="193"/>
      <c r="F9303" s="195" t="s">
        <v>30218</v>
      </c>
      <c r="G9303" s="196">
        <v>0.0</v>
      </c>
      <c r="H9303" s="197">
        <v>9.87</v>
      </c>
      <c r="I9303" s="7" t="s">
        <v>16815</v>
      </c>
      <c r="J9303" s="7" t="s">
        <v>16838</v>
      </c>
      <c r="K9303" s="7" t="s">
        <v>19644</v>
      </c>
      <c r="L9303" s="198" t="s">
        <v>65</v>
      </c>
      <c r="M9303" s="194"/>
      <c r="N9303" s="194"/>
    </row>
    <row r="9304">
      <c r="A9304" s="193" t="s">
        <v>30219</v>
      </c>
      <c r="B9304" s="7" t="s">
        <v>16838</v>
      </c>
      <c r="C9304" s="7" t="s">
        <v>19644</v>
      </c>
      <c r="D9304" s="194">
        <v>2009.0</v>
      </c>
      <c r="E9304" s="193"/>
      <c r="F9304" s="195" t="s">
        <v>30220</v>
      </c>
      <c r="G9304" s="196">
        <v>0.0</v>
      </c>
      <c r="H9304" s="197">
        <v>11.52</v>
      </c>
      <c r="I9304" s="7" t="s">
        <v>16815</v>
      </c>
      <c r="J9304" s="7" t="s">
        <v>16838</v>
      </c>
      <c r="K9304" s="7" t="s">
        <v>19644</v>
      </c>
      <c r="L9304" s="198" t="s">
        <v>65</v>
      </c>
      <c r="M9304" s="194"/>
      <c r="N9304" s="194"/>
    </row>
    <row r="9305">
      <c r="A9305" s="193" t="s">
        <v>30631</v>
      </c>
      <c r="B9305" s="7" t="s">
        <v>16838</v>
      </c>
      <c r="C9305" s="7" t="s">
        <v>19644</v>
      </c>
      <c r="D9305" s="199"/>
      <c r="E9305" s="193"/>
      <c r="F9305" s="195" t="s">
        <v>30632</v>
      </c>
      <c r="G9305" s="196">
        <v>0.0</v>
      </c>
      <c r="H9305" s="197">
        <v>24.19</v>
      </c>
      <c r="I9305" s="7" t="s">
        <v>16815</v>
      </c>
      <c r="J9305" s="7" t="s">
        <v>16838</v>
      </c>
      <c r="K9305" s="7" t="s">
        <v>19644</v>
      </c>
      <c r="L9305" s="198" t="s">
        <v>65</v>
      </c>
      <c r="M9305" s="199"/>
      <c r="N9305" s="199"/>
    </row>
    <row r="9306">
      <c r="A9306" s="193" t="s">
        <v>30633</v>
      </c>
      <c r="B9306" s="7" t="s">
        <v>16838</v>
      </c>
      <c r="C9306" s="7" t="s">
        <v>19644</v>
      </c>
      <c r="D9306" s="199"/>
      <c r="E9306" s="193"/>
      <c r="F9306" s="195" t="s">
        <v>30634</v>
      </c>
      <c r="G9306" s="196">
        <v>0.0</v>
      </c>
      <c r="H9306" s="197">
        <v>24.8001</v>
      </c>
      <c r="I9306" s="7" t="s">
        <v>16815</v>
      </c>
      <c r="J9306" s="7" t="s">
        <v>16838</v>
      </c>
      <c r="K9306" s="7" t="s">
        <v>19644</v>
      </c>
      <c r="L9306" s="198" t="s">
        <v>65</v>
      </c>
      <c r="M9306" s="199"/>
      <c r="N9306" s="199"/>
    </row>
    <row r="9307">
      <c r="A9307" s="193" t="s">
        <v>30221</v>
      </c>
      <c r="B9307" s="7" t="s">
        <v>16838</v>
      </c>
      <c r="C9307" s="7" t="s">
        <v>19644</v>
      </c>
      <c r="D9307" s="194">
        <v>1988.0</v>
      </c>
      <c r="E9307" s="193"/>
      <c r="F9307" s="195" t="s">
        <v>30222</v>
      </c>
      <c r="G9307" s="196">
        <v>0.0</v>
      </c>
      <c r="H9307" s="197">
        <v>3.81</v>
      </c>
      <c r="I9307" s="7" t="s">
        <v>16815</v>
      </c>
      <c r="J9307" s="7" t="s">
        <v>16838</v>
      </c>
      <c r="K9307" s="7" t="s">
        <v>19644</v>
      </c>
      <c r="L9307" s="198" t="s">
        <v>65</v>
      </c>
      <c r="M9307" s="194"/>
      <c r="N9307" s="194"/>
    </row>
    <row r="9308">
      <c r="A9308" s="193" t="s">
        <v>30223</v>
      </c>
      <c r="B9308" s="7" t="s">
        <v>16838</v>
      </c>
      <c r="C9308" s="7" t="s">
        <v>19644</v>
      </c>
      <c r="D9308" s="194">
        <v>2002.0</v>
      </c>
      <c r="E9308" s="193"/>
      <c r="F9308" s="195" t="s">
        <v>30224</v>
      </c>
      <c r="G9308" s="196">
        <v>0.0</v>
      </c>
      <c r="H9308" s="197">
        <v>14.4</v>
      </c>
      <c r="I9308" s="7" t="s">
        <v>16815</v>
      </c>
      <c r="J9308" s="7" t="s">
        <v>16838</v>
      </c>
      <c r="K9308" s="7" t="s">
        <v>19644</v>
      </c>
      <c r="L9308" s="198" t="s">
        <v>65</v>
      </c>
      <c r="M9308" s="194"/>
      <c r="N9308" s="194"/>
    </row>
    <row r="9309">
      <c r="A9309" s="193" t="s">
        <v>30225</v>
      </c>
      <c r="B9309" s="7" t="s">
        <v>16838</v>
      </c>
      <c r="C9309" s="7" t="s">
        <v>19644</v>
      </c>
      <c r="D9309" s="194">
        <v>2004.0</v>
      </c>
      <c r="E9309" s="193"/>
      <c r="F9309" s="195" t="s">
        <v>30226</v>
      </c>
      <c r="G9309" s="196">
        <v>0.0</v>
      </c>
      <c r="H9309" s="197">
        <v>16.84</v>
      </c>
      <c r="I9309" s="7" t="s">
        <v>16815</v>
      </c>
      <c r="J9309" s="7" t="s">
        <v>16838</v>
      </c>
      <c r="K9309" s="7" t="s">
        <v>19644</v>
      </c>
      <c r="L9309" s="198" t="s">
        <v>65</v>
      </c>
      <c r="M9309" s="194"/>
      <c r="N9309" s="194"/>
    </row>
    <row r="9310">
      <c r="A9310" s="193" t="s">
        <v>30227</v>
      </c>
      <c r="B9310" s="7" t="s">
        <v>16838</v>
      </c>
      <c r="C9310" s="7" t="s">
        <v>19644</v>
      </c>
      <c r="D9310" s="194">
        <v>2003.0</v>
      </c>
      <c r="E9310" s="193"/>
      <c r="F9310" s="195" t="s">
        <v>30228</v>
      </c>
      <c r="G9310" s="196">
        <v>0.0</v>
      </c>
      <c r="H9310" s="197">
        <v>8.74</v>
      </c>
      <c r="I9310" s="7" t="s">
        <v>16815</v>
      </c>
      <c r="J9310" s="7" t="s">
        <v>16838</v>
      </c>
      <c r="K9310" s="7" t="s">
        <v>19644</v>
      </c>
      <c r="L9310" s="198" t="s">
        <v>65</v>
      </c>
      <c r="M9310" s="194"/>
      <c r="N9310" s="194"/>
    </row>
    <row r="9311">
      <c r="A9311" s="193" t="s">
        <v>30229</v>
      </c>
      <c r="B9311" s="7" t="s">
        <v>16838</v>
      </c>
      <c r="C9311" s="7" t="s">
        <v>19644</v>
      </c>
      <c r="D9311" s="194">
        <v>2004.0</v>
      </c>
      <c r="E9311" s="193"/>
      <c r="F9311" s="195" t="s">
        <v>30230</v>
      </c>
      <c r="G9311" s="196">
        <v>0.0</v>
      </c>
      <c r="H9311" s="197">
        <v>4.28</v>
      </c>
      <c r="I9311" s="7" t="s">
        <v>16815</v>
      </c>
      <c r="J9311" s="7" t="s">
        <v>16838</v>
      </c>
      <c r="K9311" s="7" t="s">
        <v>19644</v>
      </c>
      <c r="L9311" s="198" t="s">
        <v>65</v>
      </c>
      <c r="M9311" s="194"/>
      <c r="N9311" s="194"/>
    </row>
    <row r="9312">
      <c r="A9312" s="193" t="s">
        <v>30231</v>
      </c>
      <c r="B9312" s="7" t="s">
        <v>16838</v>
      </c>
      <c r="C9312" s="7" t="s">
        <v>19644</v>
      </c>
      <c r="D9312" s="194">
        <v>2003.0</v>
      </c>
      <c r="E9312" s="193"/>
      <c r="F9312" s="195" t="s">
        <v>30232</v>
      </c>
      <c r="G9312" s="196">
        <v>0.0</v>
      </c>
      <c r="H9312" s="197">
        <v>5.01</v>
      </c>
      <c r="I9312" s="7" t="s">
        <v>16815</v>
      </c>
      <c r="J9312" s="7" t="s">
        <v>16838</v>
      </c>
      <c r="K9312" s="7" t="s">
        <v>19644</v>
      </c>
      <c r="L9312" s="198" t="s">
        <v>65</v>
      </c>
      <c r="M9312" s="194"/>
      <c r="N9312" s="194"/>
    </row>
    <row r="9313">
      <c r="A9313" s="193" t="s">
        <v>30233</v>
      </c>
      <c r="B9313" s="7" t="s">
        <v>16838</v>
      </c>
      <c r="C9313" s="7" t="s">
        <v>19644</v>
      </c>
      <c r="D9313" s="194">
        <v>2012.0</v>
      </c>
      <c r="E9313" s="193"/>
      <c r="F9313" s="195" t="s">
        <v>30234</v>
      </c>
      <c r="G9313" s="196">
        <v>0.0</v>
      </c>
      <c r="H9313" s="197">
        <v>10.49</v>
      </c>
      <c r="I9313" s="7" t="s">
        <v>16815</v>
      </c>
      <c r="J9313" s="7" t="s">
        <v>16838</v>
      </c>
      <c r="K9313" s="7" t="s">
        <v>19644</v>
      </c>
      <c r="L9313" s="198" t="s">
        <v>65</v>
      </c>
      <c r="M9313" s="194"/>
      <c r="N9313" s="194"/>
    </row>
    <row r="9314">
      <c r="A9314" s="193" t="s">
        <v>30235</v>
      </c>
      <c r="B9314" s="7" t="s">
        <v>16838</v>
      </c>
      <c r="C9314" s="7" t="s">
        <v>19644</v>
      </c>
      <c r="D9314" s="194">
        <v>2012.0</v>
      </c>
      <c r="E9314" s="193"/>
      <c r="F9314" s="195" t="s">
        <v>30236</v>
      </c>
      <c r="G9314" s="196">
        <v>0.0</v>
      </c>
      <c r="H9314" s="197">
        <v>17.5</v>
      </c>
      <c r="I9314" s="7" t="s">
        <v>16815</v>
      </c>
      <c r="J9314" s="7" t="s">
        <v>16838</v>
      </c>
      <c r="K9314" s="7" t="s">
        <v>19644</v>
      </c>
      <c r="L9314" s="198" t="s">
        <v>65</v>
      </c>
      <c r="M9314" s="194"/>
      <c r="N9314" s="194"/>
    </row>
    <row r="9315">
      <c r="A9315" s="193" t="s">
        <v>30237</v>
      </c>
      <c r="B9315" s="7" t="s">
        <v>16838</v>
      </c>
      <c r="C9315" s="7" t="s">
        <v>19644</v>
      </c>
      <c r="D9315" s="199"/>
      <c r="E9315" s="193"/>
      <c r="F9315" s="195" t="s">
        <v>30238</v>
      </c>
      <c r="G9315" s="196">
        <v>0.0</v>
      </c>
      <c r="H9315" s="197">
        <v>7.07</v>
      </c>
      <c r="I9315" s="7" t="s">
        <v>16815</v>
      </c>
      <c r="J9315" s="7" t="s">
        <v>16838</v>
      </c>
      <c r="K9315" s="7" t="s">
        <v>19644</v>
      </c>
      <c r="L9315" s="198" t="s">
        <v>65</v>
      </c>
      <c r="M9315" s="199"/>
      <c r="N9315" s="199"/>
    </row>
    <row r="9316">
      <c r="A9316" s="193" t="s">
        <v>30239</v>
      </c>
      <c r="B9316" s="7" t="s">
        <v>16838</v>
      </c>
      <c r="C9316" s="7" t="s">
        <v>19644</v>
      </c>
      <c r="D9316" s="194">
        <v>1992.0</v>
      </c>
      <c r="E9316" s="193"/>
      <c r="F9316" s="195" t="s">
        <v>30240</v>
      </c>
      <c r="G9316" s="196">
        <v>0.0</v>
      </c>
      <c r="H9316" s="197">
        <v>10.59</v>
      </c>
      <c r="I9316" s="7" t="s">
        <v>16815</v>
      </c>
      <c r="J9316" s="7" t="s">
        <v>16838</v>
      </c>
      <c r="K9316" s="7" t="s">
        <v>19644</v>
      </c>
      <c r="L9316" s="198" t="s">
        <v>65</v>
      </c>
      <c r="M9316" s="194"/>
      <c r="N9316" s="194"/>
    </row>
    <row r="9317">
      <c r="A9317" s="193" t="s">
        <v>30241</v>
      </c>
      <c r="B9317" s="7" t="s">
        <v>16838</v>
      </c>
      <c r="C9317" s="7" t="s">
        <v>19644</v>
      </c>
      <c r="D9317" s="199"/>
      <c r="E9317" s="193"/>
      <c r="F9317" s="195" t="s">
        <v>30242</v>
      </c>
      <c r="G9317" s="196">
        <v>0.0</v>
      </c>
      <c r="H9317" s="197">
        <v>9.42</v>
      </c>
      <c r="I9317" s="7" t="s">
        <v>16815</v>
      </c>
      <c r="J9317" s="7" t="s">
        <v>16838</v>
      </c>
      <c r="K9317" s="7" t="s">
        <v>19644</v>
      </c>
      <c r="L9317" s="198" t="s">
        <v>65</v>
      </c>
      <c r="M9317" s="199"/>
      <c r="N9317" s="199"/>
    </row>
    <row r="9318">
      <c r="A9318" s="193" t="s">
        <v>30243</v>
      </c>
      <c r="B9318" s="7" t="s">
        <v>16838</v>
      </c>
      <c r="C9318" s="7" t="s">
        <v>19644</v>
      </c>
      <c r="D9318" s="194">
        <v>1992.0</v>
      </c>
      <c r="E9318" s="193"/>
      <c r="F9318" s="195" t="s">
        <v>30244</v>
      </c>
      <c r="G9318" s="196">
        <v>0.0</v>
      </c>
      <c r="H9318" s="197">
        <v>9.15</v>
      </c>
      <c r="I9318" s="7" t="s">
        <v>16815</v>
      </c>
      <c r="J9318" s="7" t="s">
        <v>16838</v>
      </c>
      <c r="K9318" s="7" t="s">
        <v>19644</v>
      </c>
      <c r="L9318" s="198" t="s">
        <v>65</v>
      </c>
      <c r="M9318" s="194"/>
      <c r="N9318" s="194"/>
    </row>
    <row r="9319">
      <c r="A9319" s="193" t="s">
        <v>30245</v>
      </c>
      <c r="B9319" s="7" t="s">
        <v>16838</v>
      </c>
      <c r="C9319" s="7" t="s">
        <v>19644</v>
      </c>
      <c r="D9319" s="194">
        <v>2010.0</v>
      </c>
      <c r="E9319" s="193"/>
      <c r="F9319" s="195" t="s">
        <v>30246</v>
      </c>
      <c r="G9319" s="196">
        <v>0.0</v>
      </c>
      <c r="H9319" s="197">
        <v>14.73</v>
      </c>
      <c r="I9319" s="7" t="s">
        <v>16815</v>
      </c>
      <c r="J9319" s="7" t="s">
        <v>16838</v>
      </c>
      <c r="K9319" s="7" t="s">
        <v>19644</v>
      </c>
      <c r="L9319" s="198" t="s">
        <v>65</v>
      </c>
      <c r="M9319" s="194"/>
      <c r="N9319" s="194"/>
    </row>
    <row r="9320">
      <c r="A9320" s="193" t="s">
        <v>30247</v>
      </c>
      <c r="B9320" s="7" t="s">
        <v>16838</v>
      </c>
      <c r="C9320" s="7" t="s">
        <v>19644</v>
      </c>
      <c r="D9320" s="194">
        <v>2014.0</v>
      </c>
      <c r="E9320" s="193"/>
      <c r="F9320" s="195" t="s">
        <v>30248</v>
      </c>
      <c r="G9320" s="196">
        <v>0.0</v>
      </c>
      <c r="H9320" s="197">
        <v>10.05</v>
      </c>
      <c r="I9320" s="7" t="s">
        <v>16815</v>
      </c>
      <c r="J9320" s="7" t="s">
        <v>16838</v>
      </c>
      <c r="K9320" s="7" t="s">
        <v>19644</v>
      </c>
      <c r="L9320" s="198" t="s">
        <v>65</v>
      </c>
      <c r="M9320" s="194"/>
      <c r="N9320" s="194"/>
    </row>
    <row r="9321">
      <c r="A9321" s="193" t="s">
        <v>30249</v>
      </c>
      <c r="B9321" s="7" t="s">
        <v>16838</v>
      </c>
      <c r="C9321" s="7" t="s">
        <v>19644</v>
      </c>
      <c r="D9321" s="194">
        <v>2010.0</v>
      </c>
      <c r="E9321" s="193"/>
      <c r="F9321" s="195" t="s">
        <v>30250</v>
      </c>
      <c r="G9321" s="196">
        <v>0.0</v>
      </c>
      <c r="H9321" s="197">
        <v>33.33</v>
      </c>
      <c r="I9321" s="7" t="s">
        <v>16815</v>
      </c>
      <c r="J9321" s="7" t="s">
        <v>16838</v>
      </c>
      <c r="K9321" s="7" t="s">
        <v>19644</v>
      </c>
      <c r="L9321" s="198" t="s">
        <v>65</v>
      </c>
      <c r="M9321" s="194"/>
      <c r="N9321" s="194"/>
    </row>
    <row r="9322">
      <c r="A9322" s="193" t="s">
        <v>30251</v>
      </c>
      <c r="B9322" s="7" t="s">
        <v>16838</v>
      </c>
      <c r="C9322" s="7" t="s">
        <v>19644</v>
      </c>
      <c r="D9322" s="194">
        <v>2007.0</v>
      </c>
      <c r="E9322" s="193"/>
      <c r="F9322" s="195" t="s">
        <v>9586</v>
      </c>
      <c r="G9322" s="196">
        <v>0.0</v>
      </c>
      <c r="H9322" s="197">
        <v>10.9</v>
      </c>
      <c r="I9322" s="7" t="s">
        <v>16815</v>
      </c>
      <c r="J9322" s="7" t="s">
        <v>16838</v>
      </c>
      <c r="K9322" s="7" t="s">
        <v>19644</v>
      </c>
      <c r="L9322" s="198" t="s">
        <v>65</v>
      </c>
      <c r="M9322" s="194"/>
      <c r="N9322" s="194"/>
    </row>
    <row r="9323">
      <c r="A9323" s="193" t="s">
        <v>30252</v>
      </c>
      <c r="B9323" s="7" t="s">
        <v>16838</v>
      </c>
      <c r="C9323" s="7" t="s">
        <v>19644</v>
      </c>
      <c r="D9323" s="199"/>
      <c r="E9323" s="193"/>
      <c r="F9323" s="195" t="s">
        <v>8973</v>
      </c>
      <c r="G9323" s="196">
        <v>0.0</v>
      </c>
      <c r="H9323" s="197">
        <v>10.07</v>
      </c>
      <c r="I9323" s="7" t="s">
        <v>16815</v>
      </c>
      <c r="J9323" s="7" t="s">
        <v>16838</v>
      </c>
      <c r="K9323" s="7" t="s">
        <v>19644</v>
      </c>
      <c r="L9323" s="198" t="s">
        <v>65</v>
      </c>
      <c r="M9323" s="199"/>
      <c r="N9323" s="199"/>
    </row>
    <row r="9324">
      <c r="A9324" s="193" t="s">
        <v>30253</v>
      </c>
      <c r="B9324" s="7" t="s">
        <v>16838</v>
      </c>
      <c r="C9324" s="7" t="s">
        <v>19644</v>
      </c>
      <c r="D9324" s="194">
        <v>2003.0</v>
      </c>
      <c r="E9324" s="193"/>
      <c r="F9324" s="195" t="s">
        <v>30254</v>
      </c>
      <c r="G9324" s="196">
        <v>0.0</v>
      </c>
      <c r="H9324" s="197">
        <v>7.63</v>
      </c>
      <c r="I9324" s="7" t="s">
        <v>16815</v>
      </c>
      <c r="J9324" s="7" t="s">
        <v>16838</v>
      </c>
      <c r="K9324" s="7" t="s">
        <v>19644</v>
      </c>
      <c r="L9324" s="198" t="s">
        <v>65</v>
      </c>
      <c r="M9324" s="194"/>
      <c r="N9324" s="194"/>
    </row>
    <row r="9325">
      <c r="A9325" s="193" t="s">
        <v>30255</v>
      </c>
      <c r="B9325" s="7" t="s">
        <v>16838</v>
      </c>
      <c r="C9325" s="7" t="s">
        <v>19644</v>
      </c>
      <c r="D9325" s="194">
        <v>1992.0</v>
      </c>
      <c r="E9325" s="193"/>
      <c r="F9325" s="195" t="s">
        <v>30256</v>
      </c>
      <c r="G9325" s="196">
        <v>0.0</v>
      </c>
      <c r="H9325" s="197">
        <v>7.35</v>
      </c>
      <c r="I9325" s="7" t="s">
        <v>16815</v>
      </c>
      <c r="J9325" s="7" t="s">
        <v>16838</v>
      </c>
      <c r="K9325" s="7" t="s">
        <v>19644</v>
      </c>
      <c r="L9325" s="198" t="s">
        <v>65</v>
      </c>
      <c r="M9325" s="194"/>
      <c r="N9325" s="194"/>
    </row>
    <row r="9326">
      <c r="A9326" s="193" t="s">
        <v>30257</v>
      </c>
      <c r="B9326" s="7" t="s">
        <v>16838</v>
      </c>
      <c r="C9326" s="7" t="s">
        <v>19644</v>
      </c>
      <c r="D9326" s="194">
        <v>2005.0</v>
      </c>
      <c r="E9326" s="193"/>
      <c r="F9326" s="195" t="s">
        <v>30258</v>
      </c>
      <c r="G9326" s="196">
        <v>0.0</v>
      </c>
      <c r="H9326" s="197">
        <v>6.47</v>
      </c>
      <c r="I9326" s="7" t="s">
        <v>16815</v>
      </c>
      <c r="J9326" s="7" t="s">
        <v>16838</v>
      </c>
      <c r="K9326" s="7" t="s">
        <v>19644</v>
      </c>
      <c r="L9326" s="198" t="s">
        <v>65</v>
      </c>
      <c r="M9326" s="194"/>
      <c r="N9326" s="194"/>
    </row>
    <row r="9327">
      <c r="A9327" s="193" t="s">
        <v>30259</v>
      </c>
      <c r="B9327" s="7" t="s">
        <v>16838</v>
      </c>
      <c r="C9327" s="7" t="s">
        <v>19644</v>
      </c>
      <c r="D9327" s="194">
        <v>2001.0</v>
      </c>
      <c r="E9327" s="193"/>
      <c r="F9327" s="195" t="s">
        <v>30260</v>
      </c>
      <c r="G9327" s="196">
        <v>0.0</v>
      </c>
      <c r="H9327" s="197">
        <v>6.91</v>
      </c>
      <c r="I9327" s="7" t="s">
        <v>16815</v>
      </c>
      <c r="J9327" s="7" t="s">
        <v>16838</v>
      </c>
      <c r="K9327" s="7" t="s">
        <v>19644</v>
      </c>
      <c r="L9327" s="198" t="s">
        <v>65</v>
      </c>
      <c r="M9327" s="194"/>
      <c r="N9327" s="194"/>
    </row>
    <row r="9328">
      <c r="A9328" s="193" t="s">
        <v>30635</v>
      </c>
      <c r="B9328" s="7" t="s">
        <v>16838</v>
      </c>
      <c r="C9328" s="7" t="s">
        <v>19644</v>
      </c>
      <c r="D9328" s="199"/>
      <c r="E9328" s="193"/>
      <c r="F9328" s="195" t="s">
        <v>30636</v>
      </c>
      <c r="G9328" s="196">
        <v>0.0</v>
      </c>
      <c r="H9328" s="197">
        <v>22.12</v>
      </c>
      <c r="I9328" s="7" t="s">
        <v>16815</v>
      </c>
      <c r="J9328" s="7" t="s">
        <v>16838</v>
      </c>
      <c r="K9328" s="7" t="s">
        <v>19644</v>
      </c>
      <c r="L9328" s="198" t="s">
        <v>65</v>
      </c>
      <c r="M9328" s="199"/>
      <c r="N9328" s="199"/>
    </row>
    <row r="9329">
      <c r="A9329" s="193" t="s">
        <v>30261</v>
      </c>
      <c r="B9329" s="7" t="s">
        <v>16838</v>
      </c>
      <c r="C9329" s="7" t="s">
        <v>19644</v>
      </c>
      <c r="D9329" s="194">
        <v>2015.0</v>
      </c>
      <c r="E9329" s="193"/>
      <c r="F9329" s="195" t="s">
        <v>30262</v>
      </c>
      <c r="G9329" s="196">
        <v>0.0</v>
      </c>
      <c r="H9329" s="197">
        <v>10.35</v>
      </c>
      <c r="I9329" s="7" t="s">
        <v>16815</v>
      </c>
      <c r="J9329" s="7" t="s">
        <v>16838</v>
      </c>
      <c r="K9329" s="7" t="s">
        <v>19644</v>
      </c>
      <c r="L9329" s="198" t="s">
        <v>65</v>
      </c>
      <c r="M9329" s="194"/>
      <c r="N9329" s="194"/>
    </row>
    <row r="9330">
      <c r="A9330" s="193" t="s">
        <v>30263</v>
      </c>
      <c r="B9330" s="7" t="s">
        <v>16838</v>
      </c>
      <c r="C9330" s="7" t="s">
        <v>19644</v>
      </c>
      <c r="D9330" s="199"/>
      <c r="E9330" s="193"/>
      <c r="F9330" s="195" t="s">
        <v>30264</v>
      </c>
      <c r="G9330" s="196">
        <v>0.0</v>
      </c>
      <c r="H9330" s="197">
        <v>35.65</v>
      </c>
      <c r="I9330" s="7" t="s">
        <v>16815</v>
      </c>
      <c r="J9330" s="7" t="s">
        <v>16838</v>
      </c>
      <c r="K9330" s="7" t="s">
        <v>19644</v>
      </c>
      <c r="L9330" s="198" t="s">
        <v>65</v>
      </c>
      <c r="M9330" s="199"/>
      <c r="N9330" s="199"/>
    </row>
    <row r="9331">
      <c r="A9331" s="193" t="s">
        <v>30265</v>
      </c>
      <c r="B9331" s="7" t="s">
        <v>16838</v>
      </c>
      <c r="C9331" s="7" t="s">
        <v>19644</v>
      </c>
      <c r="D9331" s="199"/>
      <c r="E9331" s="193"/>
      <c r="F9331" s="195" t="s">
        <v>30266</v>
      </c>
      <c r="G9331" s="196">
        <v>0.0</v>
      </c>
      <c r="H9331" s="197">
        <v>7.455</v>
      </c>
      <c r="I9331" s="7" t="s">
        <v>16815</v>
      </c>
      <c r="J9331" s="7" t="s">
        <v>16838</v>
      </c>
      <c r="K9331" s="7" t="s">
        <v>19644</v>
      </c>
      <c r="L9331" s="198" t="s">
        <v>65</v>
      </c>
      <c r="M9331" s="199"/>
      <c r="N9331" s="199"/>
    </row>
    <row r="9332">
      <c r="A9332" s="193" t="s">
        <v>30267</v>
      </c>
      <c r="B9332" s="7" t="s">
        <v>16838</v>
      </c>
      <c r="C9332" s="7" t="s">
        <v>19644</v>
      </c>
      <c r="D9332" s="194">
        <v>1993.0</v>
      </c>
      <c r="E9332" s="193"/>
      <c r="F9332" s="195" t="s">
        <v>30268</v>
      </c>
      <c r="G9332" s="196">
        <v>0.0</v>
      </c>
      <c r="H9332" s="197">
        <v>4.72</v>
      </c>
      <c r="I9332" s="7" t="s">
        <v>16815</v>
      </c>
      <c r="J9332" s="7" t="s">
        <v>16838</v>
      </c>
      <c r="K9332" s="7" t="s">
        <v>19644</v>
      </c>
      <c r="L9332" s="198" t="s">
        <v>65</v>
      </c>
      <c r="M9332" s="194"/>
      <c r="N9332" s="194"/>
    </row>
    <row r="9333">
      <c r="A9333" s="193" t="s">
        <v>30269</v>
      </c>
      <c r="B9333" s="7" t="s">
        <v>16838</v>
      </c>
      <c r="C9333" s="7" t="s">
        <v>19644</v>
      </c>
      <c r="D9333" s="194">
        <v>2014.0</v>
      </c>
      <c r="E9333" s="193"/>
      <c r="F9333" s="195" t="s">
        <v>30270</v>
      </c>
      <c r="G9333" s="196">
        <v>0.0</v>
      </c>
      <c r="H9333" s="197">
        <v>16.0</v>
      </c>
      <c r="I9333" s="7" t="s">
        <v>16815</v>
      </c>
      <c r="J9333" s="7" t="s">
        <v>16838</v>
      </c>
      <c r="K9333" s="7" t="s">
        <v>19644</v>
      </c>
      <c r="L9333" s="198" t="s">
        <v>65</v>
      </c>
      <c r="M9333" s="194"/>
      <c r="N9333" s="194"/>
    </row>
    <row r="9334">
      <c r="A9334" s="193" t="s">
        <v>30271</v>
      </c>
      <c r="B9334" s="7" t="s">
        <v>16838</v>
      </c>
      <c r="C9334" s="7" t="s">
        <v>19644</v>
      </c>
      <c r="D9334" s="194">
        <v>2015.0</v>
      </c>
      <c r="E9334" s="193"/>
      <c r="F9334" s="195" t="s">
        <v>30272</v>
      </c>
      <c r="G9334" s="196">
        <v>0.0</v>
      </c>
      <c r="H9334" s="197">
        <v>10.27</v>
      </c>
      <c r="I9334" s="7" t="s">
        <v>16815</v>
      </c>
      <c r="J9334" s="7" t="s">
        <v>16838</v>
      </c>
      <c r="K9334" s="7" t="s">
        <v>19644</v>
      </c>
      <c r="L9334" s="198" t="s">
        <v>65</v>
      </c>
      <c r="M9334" s="194"/>
      <c r="N9334" s="194"/>
    </row>
    <row r="9335">
      <c r="A9335" s="193" t="s">
        <v>30273</v>
      </c>
      <c r="B9335" s="7" t="s">
        <v>16838</v>
      </c>
      <c r="C9335" s="7" t="s">
        <v>19644</v>
      </c>
      <c r="D9335" s="194">
        <v>1986.0</v>
      </c>
      <c r="E9335" s="193"/>
      <c r="F9335" s="195" t="s">
        <v>30274</v>
      </c>
      <c r="G9335" s="196">
        <v>0.0</v>
      </c>
      <c r="H9335" s="197">
        <v>6.15</v>
      </c>
      <c r="I9335" s="7" t="s">
        <v>16815</v>
      </c>
      <c r="J9335" s="7" t="s">
        <v>16838</v>
      </c>
      <c r="K9335" s="7" t="s">
        <v>19644</v>
      </c>
      <c r="L9335" s="198" t="s">
        <v>65</v>
      </c>
      <c r="M9335" s="194"/>
      <c r="N9335" s="194"/>
    </row>
    <row r="9336">
      <c r="A9336" s="193" t="s">
        <v>30275</v>
      </c>
      <c r="B9336" s="7" t="s">
        <v>16838</v>
      </c>
      <c r="C9336" s="7" t="s">
        <v>19644</v>
      </c>
      <c r="D9336" s="194">
        <v>2004.0</v>
      </c>
      <c r="E9336" s="193"/>
      <c r="F9336" s="195" t="s">
        <v>30276</v>
      </c>
      <c r="G9336" s="196">
        <v>0.0</v>
      </c>
      <c r="H9336" s="197">
        <v>20.14</v>
      </c>
      <c r="I9336" s="7" t="s">
        <v>16815</v>
      </c>
      <c r="J9336" s="7" t="s">
        <v>16838</v>
      </c>
      <c r="K9336" s="7" t="s">
        <v>19644</v>
      </c>
      <c r="L9336" s="198" t="s">
        <v>65</v>
      </c>
      <c r="M9336" s="194"/>
      <c r="N9336" s="194"/>
    </row>
    <row r="9337">
      <c r="A9337" s="193" t="s">
        <v>30277</v>
      </c>
      <c r="B9337" s="7" t="s">
        <v>16838</v>
      </c>
      <c r="C9337" s="7" t="s">
        <v>19644</v>
      </c>
      <c r="D9337" s="194">
        <v>2004.0</v>
      </c>
      <c r="E9337" s="193"/>
      <c r="F9337" s="195" t="s">
        <v>30278</v>
      </c>
      <c r="G9337" s="196">
        <v>0.0</v>
      </c>
      <c r="H9337" s="197">
        <v>8.39</v>
      </c>
      <c r="I9337" s="7" t="s">
        <v>16815</v>
      </c>
      <c r="J9337" s="7" t="s">
        <v>16838</v>
      </c>
      <c r="K9337" s="7" t="s">
        <v>19644</v>
      </c>
      <c r="L9337" s="198" t="s">
        <v>65</v>
      </c>
      <c r="M9337" s="194"/>
      <c r="N9337" s="194"/>
    </row>
    <row r="9338">
      <c r="A9338" s="193" t="s">
        <v>30637</v>
      </c>
      <c r="B9338" s="7" t="s">
        <v>16838</v>
      </c>
      <c r="C9338" s="7" t="s">
        <v>17016</v>
      </c>
      <c r="D9338" s="194">
        <v>2021.0</v>
      </c>
      <c r="E9338" s="193"/>
      <c r="F9338" s="195" t="s">
        <v>30638</v>
      </c>
      <c r="G9338" s="196">
        <v>0.0</v>
      </c>
      <c r="H9338" s="197">
        <v>0.0301</v>
      </c>
      <c r="I9338" s="7" t="s">
        <v>16815</v>
      </c>
      <c r="J9338" s="7" t="s">
        <v>16838</v>
      </c>
      <c r="K9338" s="7" t="s">
        <v>17016</v>
      </c>
      <c r="L9338" s="198" t="s">
        <v>65</v>
      </c>
      <c r="M9338" s="194"/>
      <c r="N9338" s="194"/>
    </row>
    <row r="9339">
      <c r="A9339" s="193" t="s">
        <v>30639</v>
      </c>
      <c r="B9339" s="7" t="s">
        <v>16838</v>
      </c>
      <c r="C9339" s="7" t="s">
        <v>17016</v>
      </c>
      <c r="D9339" s="199"/>
      <c r="E9339" s="193"/>
      <c r="F9339" s="195" t="s">
        <v>30640</v>
      </c>
      <c r="G9339" s="196">
        <v>0.0</v>
      </c>
      <c r="H9339" s="197">
        <v>25.33</v>
      </c>
      <c r="I9339" s="7" t="s">
        <v>16815</v>
      </c>
      <c r="J9339" s="7" t="s">
        <v>16838</v>
      </c>
      <c r="K9339" s="7" t="s">
        <v>17016</v>
      </c>
      <c r="L9339" s="198" t="s">
        <v>65</v>
      </c>
      <c r="M9339" s="199"/>
      <c r="N9339" s="199"/>
    </row>
    <row r="9340">
      <c r="A9340" s="193" t="s">
        <v>30641</v>
      </c>
      <c r="B9340" s="7" t="s">
        <v>16838</v>
      </c>
      <c r="C9340" s="7" t="s">
        <v>17016</v>
      </c>
      <c r="D9340" s="199"/>
      <c r="E9340" s="193"/>
      <c r="F9340" s="195" t="s">
        <v>30642</v>
      </c>
      <c r="G9340" s="196">
        <v>0.0</v>
      </c>
      <c r="H9340" s="197">
        <v>24.98</v>
      </c>
      <c r="I9340" s="7" t="s">
        <v>16815</v>
      </c>
      <c r="J9340" s="7" t="s">
        <v>16838</v>
      </c>
      <c r="K9340" s="7" t="s">
        <v>17016</v>
      </c>
      <c r="L9340" s="198" t="s">
        <v>65</v>
      </c>
      <c r="M9340" s="199"/>
      <c r="N9340" s="199"/>
    </row>
    <row r="9341">
      <c r="A9341" s="193" t="s">
        <v>30279</v>
      </c>
      <c r="B9341" s="7" t="s">
        <v>16838</v>
      </c>
      <c r="C9341" s="7" t="s">
        <v>17016</v>
      </c>
      <c r="D9341" s="199"/>
      <c r="E9341" s="193"/>
      <c r="F9341" s="195" t="s">
        <v>30280</v>
      </c>
      <c r="G9341" s="196">
        <v>0.0</v>
      </c>
      <c r="H9341" s="197">
        <v>24.22</v>
      </c>
      <c r="I9341" s="7" t="s">
        <v>16815</v>
      </c>
      <c r="J9341" s="7" t="s">
        <v>16838</v>
      </c>
      <c r="K9341" s="7" t="s">
        <v>17016</v>
      </c>
      <c r="L9341" s="198" t="s">
        <v>65</v>
      </c>
      <c r="M9341" s="199"/>
      <c r="N9341" s="199"/>
    </row>
    <row r="9342">
      <c r="A9342" s="193" t="s">
        <v>30281</v>
      </c>
      <c r="B9342" s="7" t="s">
        <v>16838</v>
      </c>
      <c r="C9342" s="7" t="s">
        <v>17016</v>
      </c>
      <c r="D9342" s="199"/>
      <c r="E9342" s="193"/>
      <c r="F9342" s="195" t="s">
        <v>30282</v>
      </c>
      <c r="G9342" s="196">
        <v>0.0</v>
      </c>
      <c r="H9342" s="197">
        <v>26.625</v>
      </c>
      <c r="I9342" s="7" t="s">
        <v>16815</v>
      </c>
      <c r="J9342" s="7" t="s">
        <v>16838</v>
      </c>
      <c r="K9342" s="7" t="s">
        <v>17016</v>
      </c>
      <c r="L9342" s="198" t="s">
        <v>65</v>
      </c>
      <c r="M9342" s="199"/>
      <c r="N9342" s="199"/>
    </row>
    <row r="9343">
      <c r="A9343" s="193" t="s">
        <v>30283</v>
      </c>
      <c r="B9343" s="7" t="s">
        <v>16838</v>
      </c>
      <c r="C9343" s="7" t="s">
        <v>17016</v>
      </c>
      <c r="D9343" s="194">
        <v>2005.0</v>
      </c>
      <c r="E9343" s="193"/>
      <c r="F9343" s="195" t="s">
        <v>30284</v>
      </c>
      <c r="G9343" s="196">
        <v>0.0</v>
      </c>
      <c r="H9343" s="197">
        <v>11.01</v>
      </c>
      <c r="I9343" s="7" t="s">
        <v>16815</v>
      </c>
      <c r="J9343" s="7" t="s">
        <v>16838</v>
      </c>
      <c r="K9343" s="7" t="s">
        <v>17016</v>
      </c>
      <c r="L9343" s="198" t="s">
        <v>65</v>
      </c>
      <c r="M9343" s="194"/>
      <c r="N9343" s="194"/>
    </row>
    <row r="9344">
      <c r="A9344" s="193" t="s">
        <v>30285</v>
      </c>
      <c r="B9344" s="7" t="s">
        <v>16838</v>
      </c>
      <c r="C9344" s="7" t="s">
        <v>17016</v>
      </c>
      <c r="D9344" s="199"/>
      <c r="E9344" s="193"/>
      <c r="F9344" s="195" t="s">
        <v>30286</v>
      </c>
      <c r="G9344" s="196">
        <v>0.0</v>
      </c>
      <c r="H9344" s="197">
        <v>21.9207</v>
      </c>
      <c r="I9344" s="7" t="s">
        <v>16815</v>
      </c>
      <c r="J9344" s="7" t="s">
        <v>16838</v>
      </c>
      <c r="K9344" s="7" t="s">
        <v>17016</v>
      </c>
      <c r="L9344" s="198" t="s">
        <v>65</v>
      </c>
      <c r="M9344" s="199"/>
      <c r="N9344" s="199"/>
    </row>
    <row r="9345">
      <c r="A9345" s="193" t="s">
        <v>30287</v>
      </c>
      <c r="B9345" s="7" t="s">
        <v>16838</v>
      </c>
      <c r="C9345" s="7" t="s">
        <v>18679</v>
      </c>
      <c r="D9345" s="194">
        <v>2002.0</v>
      </c>
      <c r="E9345" s="193"/>
      <c r="F9345" s="195" t="s">
        <v>8875</v>
      </c>
      <c r="G9345" s="196">
        <v>0.0</v>
      </c>
      <c r="H9345" s="197">
        <v>9.6</v>
      </c>
      <c r="I9345" s="7" t="s">
        <v>16815</v>
      </c>
      <c r="J9345" s="7" t="s">
        <v>16838</v>
      </c>
      <c r="K9345" s="7" t="s">
        <v>18679</v>
      </c>
      <c r="L9345" s="198" t="s">
        <v>65</v>
      </c>
      <c r="M9345" s="194"/>
      <c r="N9345" s="194"/>
    </row>
    <row r="9346">
      <c r="A9346" s="193" t="s">
        <v>30288</v>
      </c>
      <c r="B9346" s="7" t="s">
        <v>16838</v>
      </c>
      <c r="C9346" s="7" t="s">
        <v>18679</v>
      </c>
      <c r="D9346" s="194">
        <v>2002.0</v>
      </c>
      <c r="E9346" s="193"/>
      <c r="F9346" s="195" t="s">
        <v>8747</v>
      </c>
      <c r="G9346" s="196">
        <v>0.0</v>
      </c>
      <c r="H9346" s="197">
        <v>9.56</v>
      </c>
      <c r="I9346" s="7" t="s">
        <v>16815</v>
      </c>
      <c r="J9346" s="7" t="s">
        <v>16838</v>
      </c>
      <c r="K9346" s="7" t="s">
        <v>18679</v>
      </c>
      <c r="L9346" s="198" t="s">
        <v>65</v>
      </c>
      <c r="M9346" s="194"/>
      <c r="N9346" s="194"/>
    </row>
    <row r="9347">
      <c r="A9347" s="193" t="s">
        <v>30289</v>
      </c>
      <c r="B9347" s="7" t="s">
        <v>16838</v>
      </c>
      <c r="C9347" s="7" t="s">
        <v>18679</v>
      </c>
      <c r="D9347" s="194">
        <v>2012.0</v>
      </c>
      <c r="E9347" s="193"/>
      <c r="F9347" s="195" t="s">
        <v>30290</v>
      </c>
      <c r="G9347" s="196">
        <v>0.0</v>
      </c>
      <c r="H9347" s="197">
        <v>7.45</v>
      </c>
      <c r="I9347" s="7" t="s">
        <v>16815</v>
      </c>
      <c r="J9347" s="7" t="s">
        <v>16838</v>
      </c>
      <c r="K9347" s="7" t="s">
        <v>18679</v>
      </c>
      <c r="L9347" s="198" t="s">
        <v>65</v>
      </c>
      <c r="M9347" s="194"/>
      <c r="N9347" s="194"/>
    </row>
    <row r="9348">
      <c r="A9348" s="193" t="s">
        <v>30291</v>
      </c>
      <c r="B9348" s="7" t="s">
        <v>16838</v>
      </c>
      <c r="C9348" s="7" t="s">
        <v>18679</v>
      </c>
      <c r="D9348" s="194">
        <v>2019.0</v>
      </c>
      <c r="E9348" s="193"/>
      <c r="F9348" s="195" t="s">
        <v>30292</v>
      </c>
      <c r="G9348" s="196">
        <v>0.0</v>
      </c>
      <c r="H9348" s="197">
        <v>7.59</v>
      </c>
      <c r="I9348" s="7" t="s">
        <v>16815</v>
      </c>
      <c r="J9348" s="7" t="s">
        <v>16838</v>
      </c>
      <c r="K9348" s="7" t="s">
        <v>18679</v>
      </c>
      <c r="L9348" s="198" t="s">
        <v>65</v>
      </c>
      <c r="M9348" s="194"/>
      <c r="N9348" s="194"/>
    </row>
    <row r="9349">
      <c r="A9349" s="193" t="s">
        <v>346</v>
      </c>
      <c r="B9349" s="7" t="s">
        <v>16838</v>
      </c>
      <c r="C9349" s="7" t="s">
        <v>18679</v>
      </c>
      <c r="D9349" s="199"/>
      <c r="E9349" s="193"/>
      <c r="F9349" s="195" t="s">
        <v>30643</v>
      </c>
      <c r="G9349" s="196">
        <v>0.0</v>
      </c>
      <c r="H9349" s="197">
        <v>2.685</v>
      </c>
      <c r="I9349" s="7" t="s">
        <v>16815</v>
      </c>
      <c r="J9349" s="7" t="s">
        <v>16838</v>
      </c>
      <c r="K9349" s="7" t="s">
        <v>18679</v>
      </c>
      <c r="L9349" s="198" t="s">
        <v>65</v>
      </c>
      <c r="M9349" s="199"/>
      <c r="N9349" s="199"/>
    </row>
    <row r="9350">
      <c r="A9350" s="193" t="s">
        <v>30644</v>
      </c>
      <c r="B9350" s="7" t="s">
        <v>16838</v>
      </c>
      <c r="C9350" s="7" t="s">
        <v>18679</v>
      </c>
      <c r="D9350" s="194">
        <v>2003.0</v>
      </c>
      <c r="E9350" s="193"/>
      <c r="F9350" s="195" t="s">
        <v>30645</v>
      </c>
      <c r="G9350" s="196">
        <v>0.0</v>
      </c>
      <c r="H9350" s="197">
        <v>7.23</v>
      </c>
      <c r="I9350" s="7" t="s">
        <v>16815</v>
      </c>
      <c r="J9350" s="7" t="s">
        <v>16838</v>
      </c>
      <c r="K9350" s="7" t="s">
        <v>18679</v>
      </c>
      <c r="L9350" s="198" t="s">
        <v>65</v>
      </c>
      <c r="M9350" s="194"/>
      <c r="N9350" s="194"/>
    </row>
    <row r="9351">
      <c r="A9351" s="193" t="s">
        <v>30646</v>
      </c>
      <c r="B9351" s="7" t="s">
        <v>16838</v>
      </c>
      <c r="C9351" s="7" t="s">
        <v>18679</v>
      </c>
      <c r="D9351" s="194">
        <v>2003.0</v>
      </c>
      <c r="E9351" s="193"/>
      <c r="F9351" s="195" t="s">
        <v>30647</v>
      </c>
      <c r="G9351" s="196">
        <v>0.0</v>
      </c>
      <c r="H9351" s="197">
        <v>7.16</v>
      </c>
      <c r="I9351" s="7" t="s">
        <v>16815</v>
      </c>
      <c r="J9351" s="7" t="s">
        <v>16838</v>
      </c>
      <c r="K9351" s="7" t="s">
        <v>18679</v>
      </c>
      <c r="L9351" s="198" t="s">
        <v>65</v>
      </c>
      <c r="M9351" s="194"/>
      <c r="N9351" s="194"/>
    </row>
    <row r="9352">
      <c r="A9352" s="193" t="s">
        <v>30293</v>
      </c>
      <c r="B9352" s="7" t="s">
        <v>16838</v>
      </c>
      <c r="C9352" s="7" t="s">
        <v>18679</v>
      </c>
      <c r="D9352" s="194">
        <v>2017.0</v>
      </c>
      <c r="E9352" s="193"/>
      <c r="F9352" s="195" t="s">
        <v>30294</v>
      </c>
      <c r="G9352" s="196">
        <v>0.0</v>
      </c>
      <c r="H9352" s="197">
        <v>7.715</v>
      </c>
      <c r="I9352" s="7" t="s">
        <v>16815</v>
      </c>
      <c r="J9352" s="7" t="s">
        <v>16838</v>
      </c>
      <c r="K9352" s="7" t="s">
        <v>18679</v>
      </c>
      <c r="L9352" s="198" t="s">
        <v>65</v>
      </c>
      <c r="M9352" s="194"/>
      <c r="N9352" s="194"/>
    </row>
    <row r="9353">
      <c r="A9353" s="193" t="s">
        <v>30648</v>
      </c>
      <c r="B9353" s="7" t="s">
        <v>16838</v>
      </c>
      <c r="C9353" s="7" t="s">
        <v>18679</v>
      </c>
      <c r="D9353" s="194">
        <v>1998.0</v>
      </c>
      <c r="E9353" s="193"/>
      <c r="F9353" s="195" t="s">
        <v>30649</v>
      </c>
      <c r="G9353" s="196">
        <v>0.0</v>
      </c>
      <c r="H9353" s="197">
        <v>1.92</v>
      </c>
      <c r="I9353" s="7" t="s">
        <v>16815</v>
      </c>
      <c r="J9353" s="7" t="s">
        <v>16838</v>
      </c>
      <c r="K9353" s="7" t="s">
        <v>18679</v>
      </c>
      <c r="L9353" s="198" t="s">
        <v>65</v>
      </c>
      <c r="M9353" s="194"/>
      <c r="N9353" s="194"/>
    </row>
    <row r="9354">
      <c r="A9354" s="193" t="s">
        <v>30650</v>
      </c>
      <c r="B9354" s="7" t="s">
        <v>16838</v>
      </c>
      <c r="C9354" s="7" t="s">
        <v>18679</v>
      </c>
      <c r="D9354" s="194">
        <v>2003.0</v>
      </c>
      <c r="E9354" s="193"/>
      <c r="F9354" s="195" t="s">
        <v>30651</v>
      </c>
      <c r="G9354" s="196">
        <v>0.0</v>
      </c>
      <c r="H9354" s="197">
        <v>6.04</v>
      </c>
      <c r="I9354" s="7" t="s">
        <v>16815</v>
      </c>
      <c r="J9354" s="7" t="s">
        <v>16838</v>
      </c>
      <c r="K9354" s="7" t="s">
        <v>18679</v>
      </c>
      <c r="L9354" s="198" t="s">
        <v>65</v>
      </c>
      <c r="M9354" s="194"/>
      <c r="N9354" s="194"/>
    </row>
    <row r="9355">
      <c r="A9355" s="193" t="s">
        <v>30652</v>
      </c>
      <c r="B9355" s="7" t="s">
        <v>16838</v>
      </c>
      <c r="C9355" s="7" t="s">
        <v>18679</v>
      </c>
      <c r="D9355" s="194">
        <v>1986.0</v>
      </c>
      <c r="E9355" s="193"/>
      <c r="F9355" s="195" t="s">
        <v>30653</v>
      </c>
      <c r="G9355" s="196">
        <v>0.0</v>
      </c>
      <c r="H9355" s="197">
        <v>7.47</v>
      </c>
      <c r="I9355" s="7" t="s">
        <v>16815</v>
      </c>
      <c r="J9355" s="7" t="s">
        <v>16838</v>
      </c>
      <c r="K9355" s="7" t="s">
        <v>18679</v>
      </c>
      <c r="L9355" s="198" t="s">
        <v>65</v>
      </c>
      <c r="M9355" s="194"/>
      <c r="N9355" s="194"/>
    </row>
    <row r="9356">
      <c r="A9356" s="193" t="s">
        <v>30654</v>
      </c>
      <c r="B9356" s="7" t="s">
        <v>16838</v>
      </c>
      <c r="C9356" s="7" t="s">
        <v>18679</v>
      </c>
      <c r="D9356" s="194">
        <v>2002.0</v>
      </c>
      <c r="E9356" s="193"/>
      <c r="F9356" s="195" t="s">
        <v>30655</v>
      </c>
      <c r="G9356" s="196">
        <v>0.0</v>
      </c>
      <c r="H9356" s="197">
        <v>9.25</v>
      </c>
      <c r="I9356" s="7" t="s">
        <v>16815</v>
      </c>
      <c r="J9356" s="7" t="s">
        <v>16838</v>
      </c>
      <c r="K9356" s="7" t="s">
        <v>18679</v>
      </c>
      <c r="L9356" s="198" t="s">
        <v>65</v>
      </c>
      <c r="M9356" s="194"/>
      <c r="N9356" s="194"/>
    </row>
    <row r="9357">
      <c r="A9357" s="193" t="s">
        <v>30295</v>
      </c>
      <c r="B9357" s="7" t="s">
        <v>16838</v>
      </c>
      <c r="C9357" s="7" t="s">
        <v>18679</v>
      </c>
      <c r="D9357" s="199"/>
      <c r="E9357" s="193"/>
      <c r="F9357" s="195" t="s">
        <v>30296</v>
      </c>
      <c r="G9357" s="196">
        <v>0.0</v>
      </c>
      <c r="H9357" s="197">
        <v>8.36</v>
      </c>
      <c r="I9357" s="7" t="s">
        <v>16815</v>
      </c>
      <c r="J9357" s="7" t="s">
        <v>16838</v>
      </c>
      <c r="K9357" s="7" t="s">
        <v>18679</v>
      </c>
      <c r="L9357" s="198" t="s">
        <v>65</v>
      </c>
      <c r="M9357" s="199"/>
      <c r="N9357" s="199"/>
    </row>
    <row r="9358">
      <c r="A9358" s="193" t="s">
        <v>30297</v>
      </c>
      <c r="B9358" s="7" t="s">
        <v>16838</v>
      </c>
      <c r="C9358" s="7" t="s">
        <v>18679</v>
      </c>
      <c r="D9358" s="194">
        <v>1987.0</v>
      </c>
      <c r="E9358" s="193"/>
      <c r="F9358" s="195" t="s">
        <v>30298</v>
      </c>
      <c r="G9358" s="196">
        <v>0.0</v>
      </c>
      <c r="H9358" s="197">
        <v>11.3</v>
      </c>
      <c r="I9358" s="7" t="s">
        <v>16815</v>
      </c>
      <c r="J9358" s="7" t="s">
        <v>16838</v>
      </c>
      <c r="K9358" s="7" t="s">
        <v>18679</v>
      </c>
      <c r="L9358" s="198" t="s">
        <v>65</v>
      </c>
      <c r="M9358" s="194"/>
      <c r="N9358" s="194"/>
    </row>
    <row r="9359">
      <c r="A9359" s="193" t="s">
        <v>30656</v>
      </c>
      <c r="B9359" s="7" t="s">
        <v>16838</v>
      </c>
      <c r="C9359" s="7" t="s">
        <v>18679</v>
      </c>
      <c r="D9359" s="194">
        <v>2002.0</v>
      </c>
      <c r="E9359" s="193"/>
      <c r="F9359" s="195" t="s">
        <v>30657</v>
      </c>
      <c r="G9359" s="196">
        <v>0.0</v>
      </c>
      <c r="H9359" s="197">
        <v>8.72</v>
      </c>
      <c r="I9359" s="7" t="s">
        <v>16815</v>
      </c>
      <c r="J9359" s="7" t="s">
        <v>16838</v>
      </c>
      <c r="K9359" s="7" t="s">
        <v>18679</v>
      </c>
      <c r="L9359" s="198" t="s">
        <v>65</v>
      </c>
      <c r="M9359" s="194"/>
      <c r="N9359" s="194"/>
    </row>
    <row r="9360">
      <c r="A9360" s="193" t="s">
        <v>30299</v>
      </c>
      <c r="B9360" s="7" t="s">
        <v>16838</v>
      </c>
      <c r="C9360" s="7" t="s">
        <v>18679</v>
      </c>
      <c r="D9360" s="194">
        <v>2004.0</v>
      </c>
      <c r="E9360" s="193"/>
      <c r="F9360" s="195" t="s">
        <v>30300</v>
      </c>
      <c r="G9360" s="196">
        <v>0.0</v>
      </c>
      <c r="H9360" s="197">
        <v>15.56</v>
      </c>
      <c r="I9360" s="7" t="s">
        <v>16815</v>
      </c>
      <c r="J9360" s="7" t="s">
        <v>16838</v>
      </c>
      <c r="K9360" s="7" t="s">
        <v>18679</v>
      </c>
      <c r="L9360" s="198" t="s">
        <v>65</v>
      </c>
      <c r="M9360" s="194"/>
      <c r="N9360" s="194"/>
    </row>
    <row r="9361">
      <c r="A9361" s="193" t="s">
        <v>30658</v>
      </c>
      <c r="B9361" s="7" t="s">
        <v>16838</v>
      </c>
      <c r="C9361" s="7" t="s">
        <v>18679</v>
      </c>
      <c r="D9361" s="194">
        <v>2003.0</v>
      </c>
      <c r="E9361" s="193"/>
      <c r="F9361" s="195" t="s">
        <v>30659</v>
      </c>
      <c r="G9361" s="196">
        <v>0.0</v>
      </c>
      <c r="H9361" s="197">
        <v>9.13</v>
      </c>
      <c r="I9361" s="7" t="s">
        <v>16815</v>
      </c>
      <c r="J9361" s="7" t="s">
        <v>16838</v>
      </c>
      <c r="K9361" s="7" t="s">
        <v>18679</v>
      </c>
      <c r="L9361" s="198" t="s">
        <v>65</v>
      </c>
      <c r="M9361" s="194"/>
      <c r="N9361" s="194"/>
    </row>
    <row r="9362">
      <c r="A9362" s="193" t="s">
        <v>30660</v>
      </c>
      <c r="B9362" s="7" t="s">
        <v>16838</v>
      </c>
      <c r="C9362" s="7" t="s">
        <v>18679</v>
      </c>
      <c r="D9362" s="194">
        <v>2004.0</v>
      </c>
      <c r="E9362" s="193"/>
      <c r="F9362" s="195" t="s">
        <v>30661</v>
      </c>
      <c r="G9362" s="196">
        <v>0.0</v>
      </c>
      <c r="H9362" s="197">
        <v>8.63</v>
      </c>
      <c r="I9362" s="7" t="s">
        <v>16815</v>
      </c>
      <c r="J9362" s="7" t="s">
        <v>16838</v>
      </c>
      <c r="K9362" s="7" t="s">
        <v>18679</v>
      </c>
      <c r="L9362" s="198" t="s">
        <v>65</v>
      </c>
      <c r="M9362" s="194"/>
      <c r="N9362" s="194"/>
    </row>
    <row r="9363">
      <c r="A9363" s="193" t="s">
        <v>30662</v>
      </c>
      <c r="B9363" s="7" t="s">
        <v>16838</v>
      </c>
      <c r="C9363" s="7" t="s">
        <v>18679</v>
      </c>
      <c r="D9363" s="194">
        <v>2002.0</v>
      </c>
      <c r="E9363" s="193"/>
      <c r="F9363" s="195" t="s">
        <v>30663</v>
      </c>
      <c r="G9363" s="196">
        <v>0.0</v>
      </c>
      <c r="H9363" s="197">
        <v>8.29</v>
      </c>
      <c r="I9363" s="7" t="s">
        <v>16815</v>
      </c>
      <c r="J9363" s="7" t="s">
        <v>16838</v>
      </c>
      <c r="K9363" s="7" t="s">
        <v>18679</v>
      </c>
      <c r="L9363" s="198" t="s">
        <v>65</v>
      </c>
      <c r="M9363" s="194"/>
      <c r="N9363" s="194"/>
    </row>
    <row r="9364">
      <c r="A9364" s="193" t="s">
        <v>30664</v>
      </c>
      <c r="B9364" s="7" t="s">
        <v>16838</v>
      </c>
      <c r="C9364" s="7" t="s">
        <v>18679</v>
      </c>
      <c r="D9364" s="194">
        <v>2003.0</v>
      </c>
      <c r="E9364" s="193"/>
      <c r="F9364" s="195" t="s">
        <v>30665</v>
      </c>
      <c r="G9364" s="196">
        <v>0.0</v>
      </c>
      <c r="H9364" s="197">
        <v>8.88</v>
      </c>
      <c r="I9364" s="7" t="s">
        <v>16815</v>
      </c>
      <c r="J9364" s="7" t="s">
        <v>16838</v>
      </c>
      <c r="K9364" s="7" t="s">
        <v>18679</v>
      </c>
      <c r="L9364" s="198" t="s">
        <v>65</v>
      </c>
      <c r="M9364" s="194"/>
      <c r="N9364" s="194"/>
    </row>
    <row r="9365">
      <c r="A9365" s="193" t="s">
        <v>30301</v>
      </c>
      <c r="B9365" s="7" t="s">
        <v>16838</v>
      </c>
      <c r="C9365" s="7" t="s">
        <v>18679</v>
      </c>
      <c r="D9365" s="194">
        <v>2006.0</v>
      </c>
      <c r="E9365" s="193"/>
      <c r="F9365" s="195" t="s">
        <v>30302</v>
      </c>
      <c r="G9365" s="196">
        <v>0.0</v>
      </c>
      <c r="H9365" s="197">
        <v>5.735</v>
      </c>
      <c r="I9365" s="7" t="s">
        <v>16815</v>
      </c>
      <c r="J9365" s="7" t="s">
        <v>16838</v>
      </c>
      <c r="K9365" s="7" t="s">
        <v>18679</v>
      </c>
      <c r="L9365" s="198" t="s">
        <v>65</v>
      </c>
      <c r="M9365" s="194"/>
      <c r="N9365" s="194"/>
    </row>
    <row r="9366">
      <c r="A9366" s="193" t="s">
        <v>30303</v>
      </c>
      <c r="B9366" s="7" t="s">
        <v>16838</v>
      </c>
      <c r="C9366" s="7" t="s">
        <v>18679</v>
      </c>
      <c r="D9366" s="194">
        <v>2012.0</v>
      </c>
      <c r="E9366" s="193"/>
      <c r="F9366" s="195" t="s">
        <v>30304</v>
      </c>
      <c r="G9366" s="196">
        <v>0.0</v>
      </c>
      <c r="H9366" s="197">
        <v>8.47</v>
      </c>
      <c r="I9366" s="7" t="s">
        <v>16815</v>
      </c>
      <c r="J9366" s="7" t="s">
        <v>16838</v>
      </c>
      <c r="K9366" s="7" t="s">
        <v>18679</v>
      </c>
      <c r="L9366" s="198" t="s">
        <v>65</v>
      </c>
      <c r="M9366" s="194"/>
      <c r="N9366" s="194"/>
    </row>
    <row r="9367">
      <c r="A9367" s="193" t="s">
        <v>30666</v>
      </c>
      <c r="B9367" s="7" t="s">
        <v>16838</v>
      </c>
      <c r="C9367" s="7" t="s">
        <v>18679</v>
      </c>
      <c r="D9367" s="194">
        <v>2004.0</v>
      </c>
      <c r="E9367" s="193"/>
      <c r="F9367" s="195" t="s">
        <v>30667</v>
      </c>
      <c r="G9367" s="196">
        <v>0.0</v>
      </c>
      <c r="H9367" s="197">
        <v>14.26</v>
      </c>
      <c r="I9367" s="7" t="s">
        <v>16815</v>
      </c>
      <c r="J9367" s="7" t="s">
        <v>16838</v>
      </c>
      <c r="K9367" s="7" t="s">
        <v>18679</v>
      </c>
      <c r="L9367" s="198" t="s">
        <v>65</v>
      </c>
      <c r="M9367" s="194"/>
      <c r="N9367" s="194"/>
    </row>
    <row r="9368">
      <c r="A9368" s="193" t="s">
        <v>30305</v>
      </c>
      <c r="B9368" s="7" t="s">
        <v>16838</v>
      </c>
      <c r="C9368" s="7" t="s">
        <v>18679</v>
      </c>
      <c r="D9368" s="194">
        <v>2007.0</v>
      </c>
      <c r="E9368" s="193"/>
      <c r="F9368" s="195" t="s">
        <v>30306</v>
      </c>
      <c r="G9368" s="196">
        <v>0.0</v>
      </c>
      <c r="H9368" s="197">
        <v>3.24</v>
      </c>
      <c r="I9368" s="7" t="s">
        <v>16815</v>
      </c>
      <c r="J9368" s="7" t="s">
        <v>16838</v>
      </c>
      <c r="K9368" s="7" t="s">
        <v>18679</v>
      </c>
      <c r="L9368" s="198" t="s">
        <v>65</v>
      </c>
      <c r="M9368" s="194"/>
      <c r="N9368" s="194"/>
    </row>
    <row r="9369">
      <c r="A9369" s="193" t="s">
        <v>30307</v>
      </c>
      <c r="B9369" s="7" t="s">
        <v>16838</v>
      </c>
      <c r="C9369" s="7" t="s">
        <v>18679</v>
      </c>
      <c r="D9369" s="194">
        <v>2011.0</v>
      </c>
      <c r="E9369" s="193"/>
      <c r="F9369" s="195" t="s">
        <v>30308</v>
      </c>
      <c r="G9369" s="196">
        <v>0.0</v>
      </c>
      <c r="H9369" s="197">
        <v>15.65</v>
      </c>
      <c r="I9369" s="7" t="s">
        <v>16815</v>
      </c>
      <c r="J9369" s="7" t="s">
        <v>16838</v>
      </c>
      <c r="K9369" s="7" t="s">
        <v>18679</v>
      </c>
      <c r="L9369" s="198" t="s">
        <v>65</v>
      </c>
      <c r="M9369" s="194"/>
      <c r="N9369" s="194"/>
    </row>
    <row r="9370">
      <c r="A9370" s="193" t="s">
        <v>30309</v>
      </c>
      <c r="B9370" s="7" t="s">
        <v>16838</v>
      </c>
      <c r="C9370" s="7" t="s">
        <v>18679</v>
      </c>
      <c r="D9370" s="194">
        <v>2005.0</v>
      </c>
      <c r="E9370" s="193"/>
      <c r="F9370" s="195" t="s">
        <v>30310</v>
      </c>
      <c r="G9370" s="196">
        <v>0.0</v>
      </c>
      <c r="H9370" s="197">
        <v>11.33</v>
      </c>
      <c r="I9370" s="7" t="s">
        <v>16815</v>
      </c>
      <c r="J9370" s="7" t="s">
        <v>16838</v>
      </c>
      <c r="K9370" s="7" t="s">
        <v>18679</v>
      </c>
      <c r="L9370" s="198" t="s">
        <v>65</v>
      </c>
      <c r="M9370" s="194"/>
      <c r="N9370" s="194"/>
    </row>
    <row r="9371">
      <c r="A9371" s="193" t="s">
        <v>30668</v>
      </c>
      <c r="B9371" s="7" t="s">
        <v>16838</v>
      </c>
      <c r="C9371" s="7" t="s">
        <v>18679</v>
      </c>
      <c r="D9371" s="194">
        <v>2005.0</v>
      </c>
      <c r="E9371" s="193"/>
      <c r="F9371" s="195" t="s">
        <v>30669</v>
      </c>
      <c r="G9371" s="196">
        <v>0.0</v>
      </c>
      <c r="H9371" s="197">
        <v>3.65</v>
      </c>
      <c r="I9371" s="7" t="s">
        <v>16815</v>
      </c>
      <c r="J9371" s="7" t="s">
        <v>16838</v>
      </c>
      <c r="K9371" s="7" t="s">
        <v>18679</v>
      </c>
      <c r="L9371" s="198" t="s">
        <v>65</v>
      </c>
      <c r="M9371" s="194"/>
      <c r="N9371" s="194"/>
    </row>
    <row r="9372">
      <c r="A9372" s="193" t="s">
        <v>30670</v>
      </c>
      <c r="B9372" s="7" t="s">
        <v>16838</v>
      </c>
      <c r="C9372" s="7" t="s">
        <v>18679</v>
      </c>
      <c r="D9372" s="194">
        <v>2006.0</v>
      </c>
      <c r="E9372" s="193"/>
      <c r="F9372" s="195" t="s">
        <v>30671</v>
      </c>
      <c r="G9372" s="196">
        <v>0.0</v>
      </c>
      <c r="H9372" s="197">
        <v>4.46</v>
      </c>
      <c r="I9372" s="7" t="s">
        <v>16815</v>
      </c>
      <c r="J9372" s="7" t="s">
        <v>16838</v>
      </c>
      <c r="K9372" s="7" t="s">
        <v>18679</v>
      </c>
      <c r="L9372" s="198" t="s">
        <v>65</v>
      </c>
      <c r="M9372" s="194"/>
      <c r="N9372" s="194"/>
    </row>
    <row r="9373">
      <c r="A9373" s="193" t="s">
        <v>30672</v>
      </c>
      <c r="B9373" s="7" t="s">
        <v>16838</v>
      </c>
      <c r="C9373" s="7" t="s">
        <v>18679</v>
      </c>
      <c r="D9373" s="194">
        <v>2005.0</v>
      </c>
      <c r="E9373" s="193"/>
      <c r="F9373" s="195" t="s">
        <v>30673</v>
      </c>
      <c r="G9373" s="196">
        <v>0.0</v>
      </c>
      <c r="H9373" s="197">
        <v>5.61</v>
      </c>
      <c r="I9373" s="7" t="s">
        <v>16815</v>
      </c>
      <c r="J9373" s="7" t="s">
        <v>16838</v>
      </c>
      <c r="K9373" s="7" t="s">
        <v>18679</v>
      </c>
      <c r="L9373" s="198" t="s">
        <v>65</v>
      </c>
      <c r="M9373" s="194"/>
      <c r="N9373" s="194"/>
    </row>
    <row r="9374">
      <c r="A9374" s="193" t="s">
        <v>30311</v>
      </c>
      <c r="B9374" s="7" t="s">
        <v>16838</v>
      </c>
      <c r="C9374" s="7" t="s">
        <v>18679</v>
      </c>
      <c r="D9374" s="199"/>
      <c r="E9374" s="193"/>
      <c r="F9374" s="195" t="s">
        <v>30312</v>
      </c>
      <c r="G9374" s="196">
        <v>0.0</v>
      </c>
      <c r="H9374" s="197">
        <v>12.93</v>
      </c>
      <c r="I9374" s="7" t="s">
        <v>16815</v>
      </c>
      <c r="J9374" s="7" t="s">
        <v>16838</v>
      </c>
      <c r="K9374" s="7" t="s">
        <v>18679</v>
      </c>
      <c r="L9374" s="198" t="s">
        <v>65</v>
      </c>
      <c r="M9374" s="199"/>
      <c r="N9374" s="199"/>
    </row>
    <row r="9375">
      <c r="A9375" s="193" t="s">
        <v>30674</v>
      </c>
      <c r="B9375" s="7" t="s">
        <v>16838</v>
      </c>
      <c r="C9375" s="7" t="s">
        <v>18679</v>
      </c>
      <c r="D9375" s="199"/>
      <c r="E9375" s="193"/>
      <c r="F9375" s="195" t="s">
        <v>30675</v>
      </c>
      <c r="G9375" s="196">
        <v>0.0</v>
      </c>
      <c r="H9375" s="197">
        <v>8.55</v>
      </c>
      <c r="I9375" s="7" t="s">
        <v>16815</v>
      </c>
      <c r="J9375" s="7" t="s">
        <v>16838</v>
      </c>
      <c r="K9375" s="7" t="s">
        <v>18679</v>
      </c>
      <c r="L9375" s="198" t="s">
        <v>65</v>
      </c>
      <c r="M9375" s="199"/>
      <c r="N9375" s="199"/>
    </row>
    <row r="9376">
      <c r="A9376" s="193" t="s">
        <v>30313</v>
      </c>
      <c r="B9376" s="7" t="s">
        <v>16838</v>
      </c>
      <c r="C9376" s="7" t="s">
        <v>18679</v>
      </c>
      <c r="D9376" s="194">
        <v>2017.0</v>
      </c>
      <c r="E9376" s="193"/>
      <c r="F9376" s="195" t="s">
        <v>30314</v>
      </c>
      <c r="G9376" s="196">
        <v>0.0</v>
      </c>
      <c r="H9376" s="197">
        <v>7.97</v>
      </c>
      <c r="I9376" s="7" t="s">
        <v>16815</v>
      </c>
      <c r="J9376" s="7" t="s">
        <v>16838</v>
      </c>
      <c r="K9376" s="7" t="s">
        <v>18679</v>
      </c>
      <c r="L9376" s="198" t="s">
        <v>65</v>
      </c>
      <c r="M9376" s="194"/>
      <c r="N9376" s="194"/>
    </row>
    <row r="9377">
      <c r="A9377" s="193" t="s">
        <v>30315</v>
      </c>
      <c r="B9377" s="7" t="s">
        <v>16838</v>
      </c>
      <c r="C9377" s="7" t="s">
        <v>18679</v>
      </c>
      <c r="D9377" s="199"/>
      <c r="E9377" s="193"/>
      <c r="F9377" s="195" t="s">
        <v>30316</v>
      </c>
      <c r="G9377" s="196">
        <v>0.0</v>
      </c>
      <c r="H9377" s="197">
        <v>3.7</v>
      </c>
      <c r="I9377" s="7" t="s">
        <v>16815</v>
      </c>
      <c r="J9377" s="7" t="s">
        <v>16838</v>
      </c>
      <c r="K9377" s="7" t="s">
        <v>18679</v>
      </c>
      <c r="L9377" s="198" t="s">
        <v>65</v>
      </c>
      <c r="M9377" s="199"/>
      <c r="N9377" s="199"/>
    </row>
    <row r="9378">
      <c r="A9378" s="193" t="s">
        <v>30317</v>
      </c>
      <c r="B9378" s="7" t="s">
        <v>16838</v>
      </c>
      <c r="C9378" s="7" t="s">
        <v>18679</v>
      </c>
      <c r="D9378" s="194">
        <v>1998.0</v>
      </c>
      <c r="E9378" s="193"/>
      <c r="F9378" s="195" t="s">
        <v>30318</v>
      </c>
      <c r="G9378" s="196">
        <v>0.0</v>
      </c>
      <c r="H9378" s="197">
        <v>4.44</v>
      </c>
      <c r="I9378" s="7" t="s">
        <v>16815</v>
      </c>
      <c r="J9378" s="7" t="s">
        <v>16838</v>
      </c>
      <c r="K9378" s="7" t="s">
        <v>18679</v>
      </c>
      <c r="L9378" s="198" t="s">
        <v>65</v>
      </c>
      <c r="M9378" s="194"/>
      <c r="N9378" s="194"/>
    </row>
    <row r="9379">
      <c r="A9379" s="193" t="s">
        <v>30676</v>
      </c>
      <c r="B9379" s="7" t="s">
        <v>16838</v>
      </c>
      <c r="C9379" s="7" t="s">
        <v>18679</v>
      </c>
      <c r="D9379" s="194">
        <v>2007.0</v>
      </c>
      <c r="E9379" s="193"/>
      <c r="F9379" s="195" t="s">
        <v>30677</v>
      </c>
      <c r="G9379" s="196">
        <v>0.0</v>
      </c>
      <c r="H9379" s="197">
        <v>10.29</v>
      </c>
      <c r="I9379" s="7" t="s">
        <v>16815</v>
      </c>
      <c r="J9379" s="7" t="s">
        <v>16838</v>
      </c>
      <c r="K9379" s="7" t="s">
        <v>18679</v>
      </c>
      <c r="L9379" s="198" t="s">
        <v>65</v>
      </c>
      <c r="M9379" s="194"/>
      <c r="N9379" s="194"/>
    </row>
    <row r="9380">
      <c r="A9380" s="193" t="s">
        <v>30678</v>
      </c>
      <c r="B9380" s="7" t="s">
        <v>16838</v>
      </c>
      <c r="C9380" s="7" t="s">
        <v>18679</v>
      </c>
      <c r="D9380" s="194">
        <v>1985.0</v>
      </c>
      <c r="E9380" s="193"/>
      <c r="F9380" s="195" t="s">
        <v>30679</v>
      </c>
      <c r="G9380" s="196">
        <v>0.0</v>
      </c>
      <c r="H9380" s="197">
        <v>3.77</v>
      </c>
      <c r="I9380" s="7" t="s">
        <v>16815</v>
      </c>
      <c r="J9380" s="7" t="s">
        <v>16838</v>
      </c>
      <c r="K9380" s="7" t="s">
        <v>18679</v>
      </c>
      <c r="L9380" s="198" t="s">
        <v>65</v>
      </c>
      <c r="M9380" s="194"/>
      <c r="N9380" s="194"/>
    </row>
    <row r="9381">
      <c r="A9381" s="193" t="s">
        <v>30319</v>
      </c>
      <c r="B9381" s="7" t="s">
        <v>16838</v>
      </c>
      <c r="C9381" s="7" t="s">
        <v>18679</v>
      </c>
      <c r="D9381" s="194">
        <v>2010.0</v>
      </c>
      <c r="E9381" s="193"/>
      <c r="F9381" s="195" t="s">
        <v>30320</v>
      </c>
      <c r="G9381" s="196">
        <v>0.0</v>
      </c>
      <c r="H9381" s="197">
        <v>9.28</v>
      </c>
      <c r="I9381" s="7" t="s">
        <v>16815</v>
      </c>
      <c r="J9381" s="7" t="s">
        <v>16838</v>
      </c>
      <c r="K9381" s="7" t="s">
        <v>18679</v>
      </c>
      <c r="L9381" s="198" t="s">
        <v>65</v>
      </c>
      <c r="M9381" s="194"/>
      <c r="N9381" s="194"/>
    </row>
    <row r="9382">
      <c r="A9382" s="193" t="s">
        <v>30321</v>
      </c>
      <c r="B9382" s="7" t="s">
        <v>16838</v>
      </c>
      <c r="C9382" s="7" t="s">
        <v>18679</v>
      </c>
      <c r="D9382" s="199"/>
      <c r="E9382" s="193"/>
      <c r="F9382" s="195" t="s">
        <v>30322</v>
      </c>
      <c r="G9382" s="196">
        <v>0.0</v>
      </c>
      <c r="H9382" s="197">
        <v>16.85</v>
      </c>
      <c r="I9382" s="7" t="s">
        <v>16815</v>
      </c>
      <c r="J9382" s="7" t="s">
        <v>16838</v>
      </c>
      <c r="K9382" s="7" t="s">
        <v>18679</v>
      </c>
      <c r="L9382" s="198" t="s">
        <v>65</v>
      </c>
      <c r="M9382" s="199"/>
      <c r="N9382" s="199"/>
    </row>
    <row r="9383">
      <c r="A9383" s="193" t="s">
        <v>30323</v>
      </c>
      <c r="B9383" s="7" t="s">
        <v>16838</v>
      </c>
      <c r="C9383" s="7" t="s">
        <v>18679</v>
      </c>
      <c r="D9383" s="194">
        <v>2018.0</v>
      </c>
      <c r="E9383" s="193"/>
      <c r="F9383" s="195" t="s">
        <v>30324</v>
      </c>
      <c r="G9383" s="196">
        <v>0.0</v>
      </c>
      <c r="H9383" s="197">
        <v>9.64</v>
      </c>
      <c r="I9383" s="7" t="s">
        <v>16815</v>
      </c>
      <c r="J9383" s="7" t="s">
        <v>16838</v>
      </c>
      <c r="K9383" s="7" t="s">
        <v>18679</v>
      </c>
      <c r="L9383" s="198" t="s">
        <v>65</v>
      </c>
      <c r="M9383" s="194"/>
      <c r="N9383" s="194"/>
    </row>
    <row r="9384">
      <c r="A9384" s="193" t="s">
        <v>30325</v>
      </c>
      <c r="B9384" s="7" t="s">
        <v>16838</v>
      </c>
      <c r="C9384" s="7" t="s">
        <v>18679</v>
      </c>
      <c r="D9384" s="194">
        <v>2001.0</v>
      </c>
      <c r="E9384" s="193"/>
      <c r="F9384" s="195" t="s">
        <v>30326</v>
      </c>
      <c r="G9384" s="196">
        <v>0.0</v>
      </c>
      <c r="H9384" s="197">
        <v>6.48</v>
      </c>
      <c r="I9384" s="7" t="s">
        <v>16815</v>
      </c>
      <c r="J9384" s="7" t="s">
        <v>16838</v>
      </c>
      <c r="K9384" s="7" t="s">
        <v>18679</v>
      </c>
      <c r="L9384" s="198" t="s">
        <v>65</v>
      </c>
      <c r="M9384" s="194"/>
      <c r="N9384" s="194"/>
    </row>
    <row r="9385">
      <c r="A9385" s="193" t="s">
        <v>30327</v>
      </c>
      <c r="B9385" s="7" t="s">
        <v>16838</v>
      </c>
      <c r="C9385" s="7" t="s">
        <v>18679</v>
      </c>
      <c r="D9385" s="194">
        <v>1988.0</v>
      </c>
      <c r="E9385" s="193"/>
      <c r="F9385" s="195" t="s">
        <v>30328</v>
      </c>
      <c r="G9385" s="196">
        <v>0.0</v>
      </c>
      <c r="H9385" s="197">
        <v>6.21</v>
      </c>
      <c r="I9385" s="7" t="s">
        <v>16815</v>
      </c>
      <c r="J9385" s="7" t="s">
        <v>16838</v>
      </c>
      <c r="K9385" s="7" t="s">
        <v>18679</v>
      </c>
      <c r="L9385" s="198" t="s">
        <v>65</v>
      </c>
      <c r="M9385" s="194"/>
      <c r="N9385" s="194"/>
    </row>
    <row r="9386">
      <c r="A9386" s="193" t="s">
        <v>30329</v>
      </c>
      <c r="B9386" s="7" t="s">
        <v>16838</v>
      </c>
      <c r="C9386" s="7" t="s">
        <v>18679</v>
      </c>
      <c r="D9386" s="194">
        <v>1992.0</v>
      </c>
      <c r="E9386" s="193"/>
      <c r="F9386" s="195" t="s">
        <v>30330</v>
      </c>
      <c r="G9386" s="196">
        <v>0.0</v>
      </c>
      <c r="H9386" s="197">
        <v>9.9</v>
      </c>
      <c r="I9386" s="7" t="s">
        <v>16815</v>
      </c>
      <c r="J9386" s="7" t="s">
        <v>16838</v>
      </c>
      <c r="K9386" s="7" t="s">
        <v>18679</v>
      </c>
      <c r="L9386" s="198" t="s">
        <v>65</v>
      </c>
      <c r="M9386" s="194"/>
      <c r="N9386" s="194"/>
    </row>
    <row r="9387">
      <c r="A9387" s="193" t="s">
        <v>30680</v>
      </c>
      <c r="B9387" s="7" t="s">
        <v>16838</v>
      </c>
      <c r="C9387" s="7" t="s">
        <v>18679</v>
      </c>
      <c r="D9387" s="194">
        <v>2002.0</v>
      </c>
      <c r="E9387" s="193"/>
      <c r="F9387" s="195" t="s">
        <v>30681</v>
      </c>
      <c r="G9387" s="196">
        <v>0.0</v>
      </c>
      <c r="H9387" s="197">
        <v>9.44</v>
      </c>
      <c r="I9387" s="7" t="s">
        <v>16815</v>
      </c>
      <c r="J9387" s="7" t="s">
        <v>16838</v>
      </c>
      <c r="K9387" s="7" t="s">
        <v>18679</v>
      </c>
      <c r="L9387" s="198" t="s">
        <v>65</v>
      </c>
      <c r="M9387" s="194"/>
      <c r="N9387" s="194"/>
    </row>
    <row r="9388">
      <c r="A9388" s="193" t="s">
        <v>30331</v>
      </c>
      <c r="B9388" s="7" t="s">
        <v>16838</v>
      </c>
      <c r="C9388" s="7" t="s">
        <v>18679</v>
      </c>
      <c r="D9388" s="194">
        <v>2012.0</v>
      </c>
      <c r="E9388" s="193"/>
      <c r="F9388" s="195" t="s">
        <v>30332</v>
      </c>
      <c r="G9388" s="196">
        <v>0.0</v>
      </c>
      <c r="H9388" s="197">
        <v>29.98</v>
      </c>
      <c r="I9388" s="7" t="s">
        <v>16815</v>
      </c>
      <c r="J9388" s="7" t="s">
        <v>16838</v>
      </c>
      <c r="K9388" s="7" t="s">
        <v>18679</v>
      </c>
      <c r="L9388" s="198" t="s">
        <v>65</v>
      </c>
      <c r="M9388" s="194"/>
      <c r="N9388" s="194"/>
    </row>
    <row r="9389">
      <c r="A9389" s="193" t="s">
        <v>30333</v>
      </c>
      <c r="B9389" s="7" t="s">
        <v>16838</v>
      </c>
      <c r="C9389" s="7" t="s">
        <v>18679</v>
      </c>
      <c r="D9389" s="194">
        <v>2002.0</v>
      </c>
      <c r="E9389" s="193"/>
      <c r="F9389" s="195" t="s">
        <v>30334</v>
      </c>
      <c r="G9389" s="196">
        <v>0.0</v>
      </c>
      <c r="H9389" s="197">
        <v>10.14</v>
      </c>
      <c r="I9389" s="7" t="s">
        <v>16815</v>
      </c>
      <c r="J9389" s="7" t="s">
        <v>16838</v>
      </c>
      <c r="K9389" s="7" t="s">
        <v>18679</v>
      </c>
      <c r="L9389" s="198" t="s">
        <v>65</v>
      </c>
      <c r="M9389" s="194"/>
      <c r="N9389" s="194"/>
    </row>
    <row r="9390">
      <c r="A9390" s="193" t="s">
        <v>30335</v>
      </c>
      <c r="B9390" s="7" t="s">
        <v>16838</v>
      </c>
      <c r="C9390" s="7" t="s">
        <v>18679</v>
      </c>
      <c r="D9390" s="194">
        <v>2002.0</v>
      </c>
      <c r="E9390" s="193"/>
      <c r="F9390" s="195" t="s">
        <v>30336</v>
      </c>
      <c r="G9390" s="196">
        <v>0.0</v>
      </c>
      <c r="H9390" s="197">
        <v>11.07</v>
      </c>
      <c r="I9390" s="7" t="s">
        <v>16815</v>
      </c>
      <c r="J9390" s="7" t="s">
        <v>16838</v>
      </c>
      <c r="K9390" s="7" t="s">
        <v>18679</v>
      </c>
      <c r="L9390" s="198" t="s">
        <v>65</v>
      </c>
      <c r="M9390" s="194"/>
      <c r="N9390" s="194"/>
    </row>
    <row r="9391">
      <c r="A9391" s="193" t="s">
        <v>30682</v>
      </c>
      <c r="B9391" s="7" t="s">
        <v>16838</v>
      </c>
      <c r="C9391" s="7" t="s">
        <v>18679</v>
      </c>
      <c r="D9391" s="194">
        <v>2013.0</v>
      </c>
      <c r="E9391" s="193"/>
      <c r="F9391" s="195" t="s">
        <v>30683</v>
      </c>
      <c r="G9391" s="196">
        <v>0.0</v>
      </c>
      <c r="H9391" s="197">
        <v>6.6</v>
      </c>
      <c r="I9391" s="7" t="s">
        <v>16815</v>
      </c>
      <c r="J9391" s="7" t="s">
        <v>16838</v>
      </c>
      <c r="K9391" s="7" t="s">
        <v>18679</v>
      </c>
      <c r="L9391" s="198" t="s">
        <v>65</v>
      </c>
      <c r="M9391" s="194"/>
      <c r="N9391" s="194"/>
    </row>
    <row r="9392">
      <c r="A9392" s="193" t="s">
        <v>30337</v>
      </c>
      <c r="B9392" s="7" t="s">
        <v>16838</v>
      </c>
      <c r="C9392" s="7" t="s">
        <v>18679</v>
      </c>
      <c r="D9392" s="199"/>
      <c r="E9392" s="193"/>
      <c r="F9392" s="195" t="s">
        <v>30338</v>
      </c>
      <c r="G9392" s="196">
        <v>0.0</v>
      </c>
      <c r="H9392" s="197">
        <v>9.75</v>
      </c>
      <c r="I9392" s="7" t="s">
        <v>16815</v>
      </c>
      <c r="J9392" s="7" t="s">
        <v>16838</v>
      </c>
      <c r="K9392" s="7" t="s">
        <v>18679</v>
      </c>
      <c r="L9392" s="198" t="s">
        <v>65</v>
      </c>
      <c r="M9392" s="199"/>
      <c r="N9392" s="199"/>
    </row>
    <row r="9393">
      <c r="A9393" s="193" t="s">
        <v>30339</v>
      </c>
      <c r="B9393" s="7" t="s">
        <v>16838</v>
      </c>
      <c r="C9393" s="7" t="s">
        <v>18679</v>
      </c>
      <c r="D9393" s="194">
        <v>2003.0</v>
      </c>
      <c r="E9393" s="193"/>
      <c r="F9393" s="195" t="s">
        <v>30340</v>
      </c>
      <c r="G9393" s="196">
        <v>0.0</v>
      </c>
      <c r="H9393" s="197">
        <v>9.31</v>
      </c>
      <c r="I9393" s="7" t="s">
        <v>16815</v>
      </c>
      <c r="J9393" s="7" t="s">
        <v>16838</v>
      </c>
      <c r="K9393" s="7" t="s">
        <v>18679</v>
      </c>
      <c r="L9393" s="198" t="s">
        <v>65</v>
      </c>
      <c r="M9393" s="194"/>
      <c r="N9393" s="194"/>
    </row>
    <row r="9394">
      <c r="A9394" s="193" t="s">
        <v>30684</v>
      </c>
      <c r="B9394" s="7" t="s">
        <v>16838</v>
      </c>
      <c r="C9394" s="7" t="s">
        <v>18679</v>
      </c>
      <c r="D9394" s="194">
        <v>2003.0</v>
      </c>
      <c r="E9394" s="193"/>
      <c r="F9394" s="195" t="s">
        <v>30685</v>
      </c>
      <c r="G9394" s="196">
        <v>0.0</v>
      </c>
      <c r="H9394" s="197">
        <v>2.705</v>
      </c>
      <c r="I9394" s="7" t="s">
        <v>16815</v>
      </c>
      <c r="J9394" s="7" t="s">
        <v>16838</v>
      </c>
      <c r="K9394" s="7" t="s">
        <v>18679</v>
      </c>
      <c r="L9394" s="198" t="s">
        <v>65</v>
      </c>
      <c r="M9394" s="194"/>
      <c r="N9394" s="194"/>
    </row>
    <row r="9395">
      <c r="A9395" s="193" t="s">
        <v>30341</v>
      </c>
      <c r="B9395" s="7" t="s">
        <v>16838</v>
      </c>
      <c r="C9395" s="7" t="s">
        <v>18679</v>
      </c>
      <c r="D9395" s="194">
        <v>2001.0</v>
      </c>
      <c r="E9395" s="193"/>
      <c r="F9395" s="195" t="s">
        <v>30342</v>
      </c>
      <c r="G9395" s="196">
        <v>0.0</v>
      </c>
      <c r="H9395" s="197">
        <v>10.82</v>
      </c>
      <c r="I9395" s="7" t="s">
        <v>16815</v>
      </c>
      <c r="J9395" s="7" t="s">
        <v>16838</v>
      </c>
      <c r="K9395" s="7" t="s">
        <v>18679</v>
      </c>
      <c r="L9395" s="198" t="s">
        <v>65</v>
      </c>
      <c r="M9395" s="194"/>
      <c r="N9395" s="194"/>
    </row>
    <row r="9396">
      <c r="A9396" s="193" t="s">
        <v>30343</v>
      </c>
      <c r="B9396" s="7" t="s">
        <v>16838</v>
      </c>
      <c r="C9396" s="7" t="s">
        <v>18679</v>
      </c>
      <c r="D9396" s="194">
        <v>2016.0</v>
      </c>
      <c r="E9396" s="193"/>
      <c r="F9396" s="195" t="s">
        <v>30344</v>
      </c>
      <c r="G9396" s="196">
        <v>0.0</v>
      </c>
      <c r="H9396" s="197">
        <v>7.85</v>
      </c>
      <c r="I9396" s="7" t="s">
        <v>16815</v>
      </c>
      <c r="J9396" s="7" t="s">
        <v>16838</v>
      </c>
      <c r="K9396" s="7" t="s">
        <v>18679</v>
      </c>
      <c r="L9396" s="198" t="s">
        <v>65</v>
      </c>
      <c r="M9396" s="194"/>
      <c r="N9396" s="194"/>
    </row>
    <row r="9397">
      <c r="A9397" s="193" t="s">
        <v>30345</v>
      </c>
      <c r="B9397" s="7" t="s">
        <v>16838</v>
      </c>
      <c r="C9397" s="7" t="s">
        <v>18679</v>
      </c>
      <c r="D9397" s="199"/>
      <c r="E9397" s="193"/>
      <c r="F9397" s="195" t="s">
        <v>30346</v>
      </c>
      <c r="G9397" s="196">
        <v>0.0</v>
      </c>
      <c r="H9397" s="197">
        <v>21.27</v>
      </c>
      <c r="I9397" s="7" t="s">
        <v>16815</v>
      </c>
      <c r="J9397" s="7" t="s">
        <v>16838</v>
      </c>
      <c r="K9397" s="7" t="s">
        <v>18679</v>
      </c>
      <c r="L9397" s="198" t="s">
        <v>65</v>
      </c>
      <c r="M9397" s="199"/>
      <c r="N9397" s="199"/>
    </row>
    <row r="9398">
      <c r="A9398" s="193" t="s">
        <v>30347</v>
      </c>
      <c r="B9398" s="7" t="s">
        <v>16838</v>
      </c>
      <c r="C9398" s="7" t="s">
        <v>18679</v>
      </c>
      <c r="D9398" s="194">
        <v>2004.0</v>
      </c>
      <c r="E9398" s="193"/>
      <c r="F9398" s="195" t="s">
        <v>30348</v>
      </c>
      <c r="G9398" s="196">
        <v>0.0</v>
      </c>
      <c r="H9398" s="197">
        <v>6.49</v>
      </c>
      <c r="I9398" s="7" t="s">
        <v>16815</v>
      </c>
      <c r="J9398" s="7" t="s">
        <v>16838</v>
      </c>
      <c r="K9398" s="7" t="s">
        <v>18679</v>
      </c>
      <c r="L9398" s="198" t="s">
        <v>65</v>
      </c>
      <c r="M9398" s="194"/>
      <c r="N9398" s="194"/>
    </row>
    <row r="9399">
      <c r="A9399" s="193" t="s">
        <v>30349</v>
      </c>
      <c r="B9399" s="7" t="s">
        <v>16838</v>
      </c>
      <c r="C9399" s="7" t="s">
        <v>18679</v>
      </c>
      <c r="D9399" s="194">
        <v>2003.0</v>
      </c>
      <c r="E9399" s="193"/>
      <c r="F9399" s="195" t="s">
        <v>30350</v>
      </c>
      <c r="G9399" s="196">
        <v>0.0</v>
      </c>
      <c r="H9399" s="197">
        <v>4.41</v>
      </c>
      <c r="I9399" s="7" t="s">
        <v>16815</v>
      </c>
      <c r="J9399" s="7" t="s">
        <v>16838</v>
      </c>
      <c r="K9399" s="7" t="s">
        <v>18679</v>
      </c>
      <c r="L9399" s="198" t="s">
        <v>65</v>
      </c>
      <c r="M9399" s="194"/>
      <c r="N9399" s="194"/>
    </row>
    <row r="9400">
      <c r="A9400" s="193" t="s">
        <v>30351</v>
      </c>
      <c r="B9400" s="7" t="s">
        <v>16838</v>
      </c>
      <c r="C9400" s="7" t="s">
        <v>18679</v>
      </c>
      <c r="D9400" s="194">
        <v>2001.0</v>
      </c>
      <c r="E9400" s="193"/>
      <c r="F9400" s="195" t="s">
        <v>30352</v>
      </c>
      <c r="G9400" s="196">
        <v>0.0</v>
      </c>
      <c r="H9400" s="197">
        <v>8.57</v>
      </c>
      <c r="I9400" s="7" t="s">
        <v>16815</v>
      </c>
      <c r="J9400" s="7" t="s">
        <v>16838</v>
      </c>
      <c r="K9400" s="7" t="s">
        <v>18679</v>
      </c>
      <c r="L9400" s="198" t="s">
        <v>65</v>
      </c>
      <c r="M9400" s="194"/>
      <c r="N9400" s="194"/>
    </row>
    <row r="9401">
      <c r="A9401" s="193" t="s">
        <v>30353</v>
      </c>
      <c r="B9401" s="7" t="s">
        <v>16838</v>
      </c>
      <c r="C9401" s="7" t="s">
        <v>18679</v>
      </c>
      <c r="D9401" s="194">
        <v>1992.0</v>
      </c>
      <c r="E9401" s="193"/>
      <c r="F9401" s="195" t="s">
        <v>30354</v>
      </c>
      <c r="G9401" s="196">
        <v>0.0</v>
      </c>
      <c r="H9401" s="197">
        <v>7.33</v>
      </c>
      <c r="I9401" s="7" t="s">
        <v>16815</v>
      </c>
      <c r="J9401" s="7" t="s">
        <v>16838</v>
      </c>
      <c r="K9401" s="7" t="s">
        <v>18679</v>
      </c>
      <c r="L9401" s="198" t="s">
        <v>65</v>
      </c>
      <c r="M9401" s="194"/>
      <c r="N9401" s="194"/>
    </row>
    <row r="9402">
      <c r="A9402" s="193" t="s">
        <v>30355</v>
      </c>
      <c r="B9402" s="7" t="s">
        <v>16838</v>
      </c>
      <c r="C9402" s="7" t="s">
        <v>18679</v>
      </c>
      <c r="D9402" s="199"/>
      <c r="E9402" s="193"/>
      <c r="F9402" s="195" t="s">
        <v>30356</v>
      </c>
      <c r="G9402" s="196">
        <v>0.0</v>
      </c>
      <c r="H9402" s="197">
        <v>10.93</v>
      </c>
      <c r="I9402" s="7" t="s">
        <v>16815</v>
      </c>
      <c r="J9402" s="7" t="s">
        <v>16838</v>
      </c>
      <c r="K9402" s="7" t="s">
        <v>18679</v>
      </c>
      <c r="L9402" s="198" t="s">
        <v>65</v>
      </c>
      <c r="M9402" s="199"/>
      <c r="N9402" s="199"/>
    </row>
    <row r="9403">
      <c r="A9403" s="193" t="s">
        <v>30357</v>
      </c>
      <c r="B9403" s="7" t="s">
        <v>16838</v>
      </c>
      <c r="C9403" s="7" t="s">
        <v>18679</v>
      </c>
      <c r="D9403" s="199"/>
      <c r="E9403" s="193"/>
      <c r="F9403" s="195" t="s">
        <v>30358</v>
      </c>
      <c r="G9403" s="196">
        <v>0.0</v>
      </c>
      <c r="H9403" s="197">
        <v>8.14</v>
      </c>
      <c r="I9403" s="7" t="s">
        <v>16815</v>
      </c>
      <c r="J9403" s="7" t="s">
        <v>16838</v>
      </c>
      <c r="K9403" s="7" t="s">
        <v>18679</v>
      </c>
      <c r="L9403" s="198" t="s">
        <v>65</v>
      </c>
      <c r="M9403" s="199"/>
      <c r="N9403" s="199"/>
    </row>
    <row r="9404">
      <c r="A9404" s="193" t="s">
        <v>30686</v>
      </c>
      <c r="B9404" s="7" t="s">
        <v>16838</v>
      </c>
      <c r="C9404" s="7" t="s">
        <v>18679</v>
      </c>
      <c r="D9404" s="194">
        <v>1993.0</v>
      </c>
      <c r="E9404" s="193"/>
      <c r="F9404" s="195" t="s">
        <v>30687</v>
      </c>
      <c r="G9404" s="196">
        <v>0.0</v>
      </c>
      <c r="H9404" s="197">
        <v>8.8</v>
      </c>
      <c r="I9404" s="7" t="s">
        <v>16815</v>
      </c>
      <c r="J9404" s="7" t="s">
        <v>16838</v>
      </c>
      <c r="K9404" s="7" t="s">
        <v>18679</v>
      </c>
      <c r="L9404" s="198" t="s">
        <v>65</v>
      </c>
      <c r="M9404" s="194"/>
      <c r="N9404" s="194"/>
    </row>
    <row r="9405">
      <c r="A9405" s="193" t="s">
        <v>30688</v>
      </c>
      <c r="B9405" s="7" t="s">
        <v>16851</v>
      </c>
      <c r="C9405" s="7" t="s">
        <v>187</v>
      </c>
      <c r="D9405" s="194">
        <v>2021.0</v>
      </c>
      <c r="E9405" s="193"/>
      <c r="F9405" s="195" t="s">
        <v>30689</v>
      </c>
      <c r="G9405" s="200">
        <v>0.0</v>
      </c>
      <c r="H9405" s="197">
        <v>10.83</v>
      </c>
      <c r="I9405" s="7" t="s">
        <v>16815</v>
      </c>
      <c r="J9405" s="7" t="s">
        <v>16851</v>
      </c>
      <c r="K9405" s="7" t="s">
        <v>187</v>
      </c>
      <c r="L9405" s="201" t="s">
        <v>16835</v>
      </c>
      <c r="M9405" s="194"/>
      <c r="N9405" s="194"/>
    </row>
    <row r="9406">
      <c r="A9406" s="193" t="s">
        <v>30690</v>
      </c>
      <c r="B9406" s="7" t="s">
        <v>17629</v>
      </c>
      <c r="C9406" s="7" t="s">
        <v>16899</v>
      </c>
      <c r="D9406" s="194">
        <v>2022.0</v>
      </c>
      <c r="E9406" s="193"/>
      <c r="F9406" s="195" t="s">
        <v>30691</v>
      </c>
      <c r="G9406" s="196">
        <v>0.0</v>
      </c>
      <c r="H9406" s="197">
        <v>10.67</v>
      </c>
      <c r="I9406" s="7" t="s">
        <v>16815</v>
      </c>
      <c r="J9406" s="7" t="s">
        <v>17629</v>
      </c>
      <c r="K9406" s="7" t="s">
        <v>16899</v>
      </c>
      <c r="L9406" s="198" t="s">
        <v>65</v>
      </c>
      <c r="M9406" s="194"/>
      <c r="N9406" s="194"/>
    </row>
    <row r="9407">
      <c r="A9407" s="193" t="s">
        <v>30692</v>
      </c>
      <c r="B9407" s="7" t="s">
        <v>17629</v>
      </c>
      <c r="C9407" s="7" t="s">
        <v>16899</v>
      </c>
      <c r="D9407" s="194">
        <v>2022.0</v>
      </c>
      <c r="E9407" s="193"/>
      <c r="F9407" s="195" t="s">
        <v>30693</v>
      </c>
      <c r="G9407" s="196">
        <v>0.0</v>
      </c>
      <c r="H9407" s="197">
        <v>0.0988</v>
      </c>
      <c r="I9407" s="7" t="s">
        <v>16815</v>
      </c>
      <c r="J9407" s="7" t="s">
        <v>17629</v>
      </c>
      <c r="K9407" s="7" t="s">
        <v>16899</v>
      </c>
      <c r="L9407" s="198" t="s">
        <v>65</v>
      </c>
      <c r="M9407" s="194"/>
      <c r="N9407" s="194"/>
    </row>
    <row r="9408">
      <c r="A9408" s="193" t="s">
        <v>30177</v>
      </c>
      <c r="B9408" s="7" t="s">
        <v>17013</v>
      </c>
      <c r="C9408" s="7" t="s">
        <v>169</v>
      </c>
      <c r="D9408" s="194">
        <v>2022.0</v>
      </c>
      <c r="E9408" s="193"/>
      <c r="F9408" s="195" t="s">
        <v>30178</v>
      </c>
      <c r="G9408" s="200">
        <v>0.0</v>
      </c>
      <c r="H9408" s="197">
        <v>10.96</v>
      </c>
      <c r="I9408" s="7" t="s">
        <v>16815</v>
      </c>
      <c r="J9408" s="7" t="s">
        <v>17013</v>
      </c>
      <c r="K9408" s="7" t="s">
        <v>169</v>
      </c>
      <c r="L9408" s="201" t="s">
        <v>16835</v>
      </c>
      <c r="M9408" s="194"/>
      <c r="N9408" s="194"/>
    </row>
    <row r="9409">
      <c r="A9409" s="193" t="s">
        <v>30694</v>
      </c>
      <c r="B9409" s="7" t="s">
        <v>20534</v>
      </c>
      <c r="C9409" s="7" t="s">
        <v>169</v>
      </c>
      <c r="D9409" s="194">
        <v>2021.0</v>
      </c>
      <c r="E9409" s="193"/>
      <c r="F9409" s="195" t="s">
        <v>30695</v>
      </c>
      <c r="G9409" s="200">
        <v>0.0</v>
      </c>
      <c r="H9409" s="197">
        <v>10.55</v>
      </c>
      <c r="I9409" s="193" t="s">
        <v>16815</v>
      </c>
      <c r="J9409" s="7" t="s">
        <v>20534</v>
      </c>
      <c r="K9409" s="7" t="s">
        <v>169</v>
      </c>
      <c r="L9409" s="201" t="s">
        <v>16835</v>
      </c>
      <c r="M9409" s="194"/>
      <c r="N9409" s="194"/>
    </row>
    <row r="9410">
      <c r="A9410" s="193" t="s">
        <v>30359</v>
      </c>
      <c r="B9410" s="7" t="s">
        <v>16838</v>
      </c>
      <c r="C9410" s="7" t="s">
        <v>17019</v>
      </c>
      <c r="D9410" s="199"/>
      <c r="E9410" s="193"/>
      <c r="F9410" s="195" t="s">
        <v>30360</v>
      </c>
      <c r="G9410" s="196">
        <v>0.0</v>
      </c>
      <c r="H9410" s="197">
        <v>8.2101</v>
      </c>
      <c r="I9410" s="7" t="s">
        <v>16815</v>
      </c>
      <c r="J9410" s="7" t="s">
        <v>16838</v>
      </c>
      <c r="K9410" s="7" t="s">
        <v>17019</v>
      </c>
      <c r="L9410" s="198" t="s">
        <v>65</v>
      </c>
      <c r="M9410" s="199"/>
      <c r="N9410" s="199"/>
    </row>
    <row r="9411">
      <c r="A9411" s="193" t="s">
        <v>30361</v>
      </c>
      <c r="B9411" s="7" t="s">
        <v>16838</v>
      </c>
      <c r="C9411" s="7" t="s">
        <v>17019</v>
      </c>
      <c r="D9411" s="199"/>
      <c r="E9411" s="193"/>
      <c r="F9411" s="195" t="s">
        <v>30362</v>
      </c>
      <c r="G9411" s="196">
        <v>0.0</v>
      </c>
      <c r="H9411" s="197">
        <v>25.07</v>
      </c>
      <c r="I9411" s="7" t="s">
        <v>16815</v>
      </c>
      <c r="J9411" s="7" t="s">
        <v>16838</v>
      </c>
      <c r="K9411" s="7" t="s">
        <v>17019</v>
      </c>
      <c r="L9411" s="198" t="s">
        <v>65</v>
      </c>
      <c r="M9411" s="199"/>
      <c r="N9411" s="199"/>
    </row>
    <row r="9412">
      <c r="A9412" s="193" t="s">
        <v>30363</v>
      </c>
      <c r="B9412" s="7" t="s">
        <v>16838</v>
      </c>
      <c r="C9412" s="7" t="s">
        <v>17019</v>
      </c>
      <c r="D9412" s="199"/>
      <c r="E9412" s="193"/>
      <c r="F9412" s="195" t="s">
        <v>30364</v>
      </c>
      <c r="G9412" s="196">
        <v>0.0</v>
      </c>
      <c r="H9412" s="197">
        <v>24.8</v>
      </c>
      <c r="I9412" s="7" t="s">
        <v>16815</v>
      </c>
      <c r="J9412" s="7" t="s">
        <v>16838</v>
      </c>
      <c r="K9412" s="7" t="s">
        <v>17019</v>
      </c>
      <c r="L9412" s="198" t="s">
        <v>65</v>
      </c>
      <c r="M9412" s="199"/>
      <c r="N9412" s="199"/>
    </row>
    <row r="9413">
      <c r="A9413" s="193" t="s">
        <v>30365</v>
      </c>
      <c r="B9413" s="7" t="s">
        <v>16838</v>
      </c>
      <c r="C9413" s="7" t="s">
        <v>17019</v>
      </c>
      <c r="D9413" s="199"/>
      <c r="E9413" s="193"/>
      <c r="F9413" s="195" t="s">
        <v>30366</v>
      </c>
      <c r="G9413" s="196">
        <v>0.0</v>
      </c>
      <c r="H9413" s="197">
        <v>22.5</v>
      </c>
      <c r="I9413" s="7" t="s">
        <v>16815</v>
      </c>
      <c r="J9413" s="7" t="s">
        <v>16838</v>
      </c>
      <c r="K9413" s="7" t="s">
        <v>17019</v>
      </c>
      <c r="L9413" s="198" t="s">
        <v>65</v>
      </c>
      <c r="M9413" s="199"/>
      <c r="N9413" s="199"/>
    </row>
    <row r="9414">
      <c r="A9414" s="193" t="s">
        <v>30367</v>
      </c>
      <c r="B9414" s="7" t="s">
        <v>16838</v>
      </c>
      <c r="C9414" s="7" t="s">
        <v>17202</v>
      </c>
      <c r="D9414" s="194">
        <v>1994.0</v>
      </c>
      <c r="E9414" s="193"/>
      <c r="F9414" s="195" t="s">
        <v>30368</v>
      </c>
      <c r="G9414" s="196">
        <v>0.0</v>
      </c>
      <c r="H9414" s="197">
        <v>26.19</v>
      </c>
      <c r="I9414" s="7" t="s">
        <v>16815</v>
      </c>
      <c r="J9414" s="7" t="s">
        <v>16838</v>
      </c>
      <c r="K9414" s="7" t="s">
        <v>17202</v>
      </c>
      <c r="L9414" s="198" t="s">
        <v>65</v>
      </c>
      <c r="M9414" s="194"/>
      <c r="N9414" s="194"/>
    </row>
    <row r="9415">
      <c r="A9415" s="193" t="s">
        <v>30369</v>
      </c>
      <c r="B9415" s="7" t="s">
        <v>16838</v>
      </c>
      <c r="C9415" s="7" t="s">
        <v>17202</v>
      </c>
      <c r="D9415" s="194">
        <v>2012.0</v>
      </c>
      <c r="E9415" s="193"/>
      <c r="F9415" s="195" t="s">
        <v>30370</v>
      </c>
      <c r="G9415" s="196">
        <v>0.0</v>
      </c>
      <c r="H9415" s="197">
        <v>20.16</v>
      </c>
      <c r="I9415" s="7" t="s">
        <v>16815</v>
      </c>
      <c r="J9415" s="7" t="s">
        <v>16838</v>
      </c>
      <c r="K9415" s="7" t="s">
        <v>17202</v>
      </c>
      <c r="L9415" s="198" t="s">
        <v>65</v>
      </c>
      <c r="M9415" s="194"/>
      <c r="N9415" s="194"/>
    </row>
    <row r="9416">
      <c r="A9416" s="193" t="s">
        <v>30371</v>
      </c>
      <c r="B9416" s="7" t="s">
        <v>16838</v>
      </c>
      <c r="C9416" s="7" t="s">
        <v>17202</v>
      </c>
      <c r="D9416" s="199"/>
      <c r="E9416" s="193"/>
      <c r="F9416" s="195" t="s">
        <v>30372</v>
      </c>
      <c r="G9416" s="196">
        <v>0.0</v>
      </c>
      <c r="H9416" s="197">
        <v>12.28</v>
      </c>
      <c r="I9416" s="7" t="s">
        <v>16815</v>
      </c>
      <c r="J9416" s="7" t="s">
        <v>16838</v>
      </c>
      <c r="K9416" s="7" t="s">
        <v>17202</v>
      </c>
      <c r="L9416" s="198" t="s">
        <v>65</v>
      </c>
      <c r="M9416" s="199"/>
      <c r="N9416" s="199"/>
    </row>
    <row r="9417">
      <c r="A9417" s="193" t="s">
        <v>30373</v>
      </c>
      <c r="B9417" s="7" t="s">
        <v>16838</v>
      </c>
      <c r="C9417" s="7" t="s">
        <v>17202</v>
      </c>
      <c r="D9417" s="194">
        <v>2002.0</v>
      </c>
      <c r="E9417" s="193"/>
      <c r="F9417" s="195" t="s">
        <v>30374</v>
      </c>
      <c r="G9417" s="196">
        <v>0.0</v>
      </c>
      <c r="H9417" s="197">
        <v>10.19</v>
      </c>
      <c r="I9417" s="7" t="s">
        <v>16815</v>
      </c>
      <c r="J9417" s="7" t="s">
        <v>16838</v>
      </c>
      <c r="K9417" s="7" t="s">
        <v>17202</v>
      </c>
      <c r="L9417" s="198" t="s">
        <v>65</v>
      </c>
      <c r="M9417" s="194"/>
      <c r="N9417" s="194"/>
    </row>
    <row r="9418">
      <c r="A9418" s="193" t="s">
        <v>30375</v>
      </c>
      <c r="B9418" s="7" t="s">
        <v>16838</v>
      </c>
      <c r="C9418" s="7" t="s">
        <v>17202</v>
      </c>
      <c r="D9418" s="194">
        <v>2006.0</v>
      </c>
      <c r="E9418" s="193"/>
      <c r="F9418" s="195" t="s">
        <v>30376</v>
      </c>
      <c r="G9418" s="196">
        <v>0.0</v>
      </c>
      <c r="H9418" s="197">
        <v>12.0337</v>
      </c>
      <c r="I9418" s="7" t="s">
        <v>16815</v>
      </c>
      <c r="J9418" s="7" t="s">
        <v>16838</v>
      </c>
      <c r="K9418" s="7" t="s">
        <v>17202</v>
      </c>
      <c r="L9418" s="198" t="s">
        <v>65</v>
      </c>
      <c r="M9418" s="194"/>
      <c r="N9418" s="194"/>
    </row>
    <row r="9419">
      <c r="A9419" s="193" t="s">
        <v>30696</v>
      </c>
      <c r="B9419" s="7" t="s">
        <v>16838</v>
      </c>
      <c r="C9419" s="7" t="s">
        <v>17202</v>
      </c>
      <c r="D9419" s="194">
        <v>2005.0</v>
      </c>
      <c r="E9419" s="193"/>
      <c r="F9419" s="195" t="s">
        <v>8143</v>
      </c>
      <c r="G9419" s="196">
        <v>0.0</v>
      </c>
      <c r="H9419" s="197">
        <v>8.66</v>
      </c>
      <c r="I9419" s="7" t="s">
        <v>16815</v>
      </c>
      <c r="J9419" s="7" t="s">
        <v>16838</v>
      </c>
      <c r="K9419" s="7" t="s">
        <v>17202</v>
      </c>
      <c r="L9419" s="198" t="s">
        <v>65</v>
      </c>
      <c r="M9419" s="194"/>
      <c r="N9419" s="194"/>
    </row>
    <row r="9420">
      <c r="A9420" s="193" t="s">
        <v>30697</v>
      </c>
      <c r="B9420" s="7" t="s">
        <v>16838</v>
      </c>
      <c r="C9420" s="7" t="s">
        <v>17202</v>
      </c>
      <c r="D9420" s="194">
        <v>2002.0</v>
      </c>
      <c r="E9420" s="193"/>
      <c r="F9420" s="195" t="s">
        <v>30698</v>
      </c>
      <c r="G9420" s="196">
        <v>0.0</v>
      </c>
      <c r="H9420" s="197">
        <v>10.2</v>
      </c>
      <c r="I9420" s="7" t="s">
        <v>16815</v>
      </c>
      <c r="J9420" s="7" t="s">
        <v>16838</v>
      </c>
      <c r="K9420" s="7" t="s">
        <v>17202</v>
      </c>
      <c r="L9420" s="198" t="s">
        <v>65</v>
      </c>
      <c r="M9420" s="194"/>
      <c r="N9420" s="194"/>
    </row>
    <row r="9421">
      <c r="A9421" s="193" t="s">
        <v>30377</v>
      </c>
      <c r="B9421" s="7" t="s">
        <v>16838</v>
      </c>
      <c r="C9421" s="7" t="s">
        <v>17202</v>
      </c>
      <c r="D9421" s="199"/>
      <c r="E9421" s="193"/>
      <c r="F9421" s="195" t="s">
        <v>30378</v>
      </c>
      <c r="G9421" s="196">
        <v>0.0</v>
      </c>
      <c r="H9421" s="197">
        <v>10.03</v>
      </c>
      <c r="I9421" s="7" t="s">
        <v>16815</v>
      </c>
      <c r="J9421" s="7" t="s">
        <v>16838</v>
      </c>
      <c r="K9421" s="7" t="s">
        <v>17202</v>
      </c>
      <c r="L9421" s="198" t="s">
        <v>65</v>
      </c>
      <c r="M9421" s="199"/>
      <c r="N9421" s="199"/>
    </row>
    <row r="9422">
      <c r="A9422" s="193" t="s">
        <v>30699</v>
      </c>
      <c r="B9422" s="7" t="s">
        <v>16838</v>
      </c>
      <c r="C9422" s="7" t="s">
        <v>17202</v>
      </c>
      <c r="D9422" s="194">
        <v>2007.0</v>
      </c>
      <c r="E9422" s="193"/>
      <c r="F9422" s="195" t="s">
        <v>30700</v>
      </c>
      <c r="G9422" s="196">
        <v>0.0</v>
      </c>
      <c r="H9422" s="197">
        <v>5.46</v>
      </c>
      <c r="I9422" s="7" t="s">
        <v>16815</v>
      </c>
      <c r="J9422" s="7" t="s">
        <v>16838</v>
      </c>
      <c r="K9422" s="7" t="s">
        <v>17202</v>
      </c>
      <c r="L9422" s="198" t="s">
        <v>65</v>
      </c>
      <c r="M9422" s="194"/>
      <c r="N9422" s="194"/>
    </row>
    <row r="9423">
      <c r="A9423" s="193" t="s">
        <v>30701</v>
      </c>
      <c r="B9423" s="7" t="s">
        <v>16838</v>
      </c>
      <c r="C9423" s="7" t="s">
        <v>17202</v>
      </c>
      <c r="D9423" s="194">
        <v>2003.0</v>
      </c>
      <c r="E9423" s="193"/>
      <c r="F9423" s="195" t="s">
        <v>30702</v>
      </c>
      <c r="G9423" s="196">
        <v>0.0</v>
      </c>
      <c r="H9423" s="197">
        <v>11.36</v>
      </c>
      <c r="I9423" s="7" t="s">
        <v>16815</v>
      </c>
      <c r="J9423" s="7" t="s">
        <v>16838</v>
      </c>
      <c r="K9423" s="7" t="s">
        <v>17202</v>
      </c>
      <c r="L9423" s="198" t="s">
        <v>65</v>
      </c>
      <c r="M9423" s="194"/>
      <c r="N9423" s="194"/>
    </row>
    <row r="9424">
      <c r="A9424" s="193" t="s">
        <v>30379</v>
      </c>
      <c r="B9424" s="7" t="s">
        <v>16838</v>
      </c>
      <c r="C9424" s="7" t="s">
        <v>17202</v>
      </c>
      <c r="D9424" s="194">
        <v>2012.0</v>
      </c>
      <c r="E9424" s="193"/>
      <c r="F9424" s="195" t="s">
        <v>30380</v>
      </c>
      <c r="G9424" s="196">
        <v>0.0</v>
      </c>
      <c r="H9424" s="197">
        <v>31.21</v>
      </c>
      <c r="I9424" s="7" t="s">
        <v>16815</v>
      </c>
      <c r="J9424" s="7" t="s">
        <v>16838</v>
      </c>
      <c r="K9424" s="7" t="s">
        <v>17202</v>
      </c>
      <c r="L9424" s="198" t="s">
        <v>65</v>
      </c>
      <c r="M9424" s="194"/>
      <c r="N9424" s="194"/>
    </row>
    <row r="9425">
      <c r="A9425" s="193" t="s">
        <v>30703</v>
      </c>
      <c r="B9425" s="7" t="s">
        <v>16838</v>
      </c>
      <c r="C9425" s="7" t="s">
        <v>17202</v>
      </c>
      <c r="D9425" s="199"/>
      <c r="E9425" s="193"/>
      <c r="F9425" s="195" t="s">
        <v>30704</v>
      </c>
      <c r="G9425" s="196">
        <v>0.0</v>
      </c>
      <c r="H9425" s="197">
        <v>2.52</v>
      </c>
      <c r="I9425" s="7" t="s">
        <v>16815</v>
      </c>
      <c r="J9425" s="7" t="s">
        <v>16838</v>
      </c>
      <c r="K9425" s="7" t="s">
        <v>17202</v>
      </c>
      <c r="L9425" s="198" t="s">
        <v>65</v>
      </c>
      <c r="M9425" s="199"/>
      <c r="N9425" s="199"/>
    </row>
    <row r="9426">
      <c r="A9426" s="193" t="s">
        <v>30381</v>
      </c>
      <c r="B9426" s="7" t="s">
        <v>16838</v>
      </c>
      <c r="C9426" s="7" t="s">
        <v>17202</v>
      </c>
      <c r="D9426" s="194">
        <v>2013.0</v>
      </c>
      <c r="E9426" s="193"/>
      <c r="F9426" s="195" t="s">
        <v>30382</v>
      </c>
      <c r="G9426" s="196">
        <v>0.0</v>
      </c>
      <c r="H9426" s="197">
        <v>16.46</v>
      </c>
      <c r="I9426" s="7" t="s">
        <v>16815</v>
      </c>
      <c r="J9426" s="7" t="s">
        <v>16838</v>
      </c>
      <c r="K9426" s="7" t="s">
        <v>17202</v>
      </c>
      <c r="L9426" s="198" t="s">
        <v>65</v>
      </c>
      <c r="M9426" s="194"/>
      <c r="N9426" s="194"/>
    </row>
    <row r="9427">
      <c r="A9427" s="193" t="s">
        <v>30383</v>
      </c>
      <c r="B9427" s="7" t="s">
        <v>16838</v>
      </c>
      <c r="C9427" s="7" t="s">
        <v>17202</v>
      </c>
      <c r="D9427" s="194">
        <v>1987.0</v>
      </c>
      <c r="E9427" s="193"/>
      <c r="F9427" s="195" t="s">
        <v>7971</v>
      </c>
      <c r="G9427" s="196">
        <v>0.0</v>
      </c>
      <c r="H9427" s="197">
        <v>9.02</v>
      </c>
      <c r="I9427" s="7" t="s">
        <v>16815</v>
      </c>
      <c r="J9427" s="7" t="s">
        <v>16838</v>
      </c>
      <c r="K9427" s="7" t="s">
        <v>17202</v>
      </c>
      <c r="L9427" s="198" t="s">
        <v>65</v>
      </c>
      <c r="M9427" s="194"/>
      <c r="N9427" s="194"/>
    </row>
    <row r="9428">
      <c r="A9428" s="193" t="s">
        <v>30384</v>
      </c>
      <c r="B9428" s="7" t="s">
        <v>16838</v>
      </c>
      <c r="C9428" s="7" t="s">
        <v>17202</v>
      </c>
      <c r="D9428" s="194">
        <v>1989.0</v>
      </c>
      <c r="E9428" s="193"/>
      <c r="F9428" s="195" t="s">
        <v>30385</v>
      </c>
      <c r="G9428" s="196">
        <v>0.0</v>
      </c>
      <c r="H9428" s="197">
        <v>5.15</v>
      </c>
      <c r="I9428" s="7" t="s">
        <v>16815</v>
      </c>
      <c r="J9428" s="7" t="s">
        <v>16838</v>
      </c>
      <c r="K9428" s="7" t="s">
        <v>17202</v>
      </c>
      <c r="L9428" s="198" t="s">
        <v>65</v>
      </c>
      <c r="M9428" s="194"/>
      <c r="N9428" s="194"/>
    </row>
    <row r="9429">
      <c r="A9429" s="193" t="s">
        <v>30386</v>
      </c>
      <c r="B9429" s="7" t="s">
        <v>16838</v>
      </c>
      <c r="C9429" s="7" t="s">
        <v>17202</v>
      </c>
      <c r="D9429" s="194">
        <v>2010.0</v>
      </c>
      <c r="E9429" s="193"/>
      <c r="F9429" s="195" t="s">
        <v>30387</v>
      </c>
      <c r="G9429" s="196">
        <v>0.0</v>
      </c>
      <c r="H9429" s="197">
        <v>4.0</v>
      </c>
      <c r="I9429" s="7" t="s">
        <v>16815</v>
      </c>
      <c r="J9429" s="7" t="s">
        <v>16838</v>
      </c>
      <c r="K9429" s="7" t="s">
        <v>17202</v>
      </c>
      <c r="L9429" s="198" t="s">
        <v>65</v>
      </c>
      <c r="M9429" s="194"/>
      <c r="N9429" s="194"/>
    </row>
    <row r="9430">
      <c r="A9430" s="193" t="s">
        <v>30388</v>
      </c>
      <c r="B9430" s="7" t="s">
        <v>16838</v>
      </c>
      <c r="C9430" s="7" t="s">
        <v>17202</v>
      </c>
      <c r="D9430" s="194">
        <v>2003.0</v>
      </c>
      <c r="E9430" s="193"/>
      <c r="F9430" s="195" t="s">
        <v>30389</v>
      </c>
      <c r="G9430" s="196">
        <v>0.0</v>
      </c>
      <c r="H9430" s="197">
        <v>6.44</v>
      </c>
      <c r="I9430" s="7" t="s">
        <v>16815</v>
      </c>
      <c r="J9430" s="7" t="s">
        <v>16838</v>
      </c>
      <c r="K9430" s="7" t="s">
        <v>17202</v>
      </c>
      <c r="L9430" s="198" t="s">
        <v>65</v>
      </c>
      <c r="M9430" s="194"/>
      <c r="N9430" s="194"/>
    </row>
    <row r="9431">
      <c r="A9431" s="193" t="s">
        <v>30390</v>
      </c>
      <c r="B9431" s="7" t="s">
        <v>16838</v>
      </c>
      <c r="C9431" s="7" t="s">
        <v>17202</v>
      </c>
      <c r="D9431" s="194">
        <v>2011.0</v>
      </c>
      <c r="E9431" s="193"/>
      <c r="F9431" s="195" t="s">
        <v>30391</v>
      </c>
      <c r="G9431" s="196">
        <v>0.0</v>
      </c>
      <c r="H9431" s="197">
        <v>32.12</v>
      </c>
      <c r="I9431" s="7" t="s">
        <v>16815</v>
      </c>
      <c r="J9431" s="7" t="s">
        <v>16838</v>
      </c>
      <c r="K9431" s="7" t="s">
        <v>17202</v>
      </c>
      <c r="L9431" s="198" t="s">
        <v>65</v>
      </c>
      <c r="M9431" s="194"/>
      <c r="N9431" s="194"/>
    </row>
    <row r="9432">
      <c r="A9432" s="193" t="s">
        <v>30392</v>
      </c>
      <c r="B9432" s="7" t="s">
        <v>16838</v>
      </c>
      <c r="C9432" s="7" t="s">
        <v>17202</v>
      </c>
      <c r="D9432" s="194">
        <v>2007.0</v>
      </c>
      <c r="E9432" s="193"/>
      <c r="F9432" s="195" t="s">
        <v>30393</v>
      </c>
      <c r="G9432" s="196">
        <v>0.0</v>
      </c>
      <c r="H9432" s="197">
        <v>4.01</v>
      </c>
      <c r="I9432" s="7" t="s">
        <v>16815</v>
      </c>
      <c r="J9432" s="7" t="s">
        <v>16838</v>
      </c>
      <c r="K9432" s="7" t="s">
        <v>17202</v>
      </c>
      <c r="L9432" s="198" t="s">
        <v>65</v>
      </c>
      <c r="M9432" s="194"/>
      <c r="N9432" s="194"/>
    </row>
    <row r="9433">
      <c r="A9433" s="193" t="s">
        <v>30394</v>
      </c>
      <c r="B9433" s="7" t="s">
        <v>16838</v>
      </c>
      <c r="C9433" s="7" t="s">
        <v>17202</v>
      </c>
      <c r="D9433" s="194">
        <v>2004.0</v>
      </c>
      <c r="E9433" s="193"/>
      <c r="F9433" s="195" t="s">
        <v>30395</v>
      </c>
      <c r="G9433" s="196">
        <v>0.0</v>
      </c>
      <c r="H9433" s="197">
        <v>15.43</v>
      </c>
      <c r="I9433" s="7" t="s">
        <v>16815</v>
      </c>
      <c r="J9433" s="7" t="s">
        <v>16838</v>
      </c>
      <c r="K9433" s="7" t="s">
        <v>17202</v>
      </c>
      <c r="L9433" s="198" t="s">
        <v>65</v>
      </c>
      <c r="M9433" s="194"/>
      <c r="N9433" s="194"/>
    </row>
    <row r="9434">
      <c r="A9434" s="193" t="s">
        <v>30396</v>
      </c>
      <c r="B9434" s="7" t="s">
        <v>16838</v>
      </c>
      <c r="C9434" s="7" t="s">
        <v>17202</v>
      </c>
      <c r="D9434" s="194">
        <v>2005.0</v>
      </c>
      <c r="E9434" s="193"/>
      <c r="F9434" s="195" t="s">
        <v>30397</v>
      </c>
      <c r="G9434" s="196">
        <v>0.0</v>
      </c>
      <c r="H9434" s="197">
        <v>9.91</v>
      </c>
      <c r="I9434" s="7" t="s">
        <v>16815</v>
      </c>
      <c r="J9434" s="7" t="s">
        <v>16838</v>
      </c>
      <c r="K9434" s="7" t="s">
        <v>17202</v>
      </c>
      <c r="L9434" s="198" t="s">
        <v>65</v>
      </c>
      <c r="M9434" s="194"/>
      <c r="N9434" s="194"/>
    </row>
    <row r="9435">
      <c r="A9435" s="193" t="s">
        <v>30705</v>
      </c>
      <c r="B9435" s="7" t="s">
        <v>16838</v>
      </c>
      <c r="C9435" s="7" t="s">
        <v>17202</v>
      </c>
      <c r="D9435" s="194">
        <v>1986.0</v>
      </c>
      <c r="E9435" s="193"/>
      <c r="F9435" s="195" t="s">
        <v>30706</v>
      </c>
      <c r="G9435" s="196">
        <v>0.0</v>
      </c>
      <c r="H9435" s="197">
        <v>2.54</v>
      </c>
      <c r="I9435" s="7" t="s">
        <v>16815</v>
      </c>
      <c r="J9435" s="7" t="s">
        <v>16838</v>
      </c>
      <c r="K9435" s="7" t="s">
        <v>17202</v>
      </c>
      <c r="L9435" s="198" t="s">
        <v>65</v>
      </c>
      <c r="M9435" s="194"/>
      <c r="N9435" s="194"/>
    </row>
    <row r="9436">
      <c r="A9436" s="193" t="s">
        <v>30707</v>
      </c>
      <c r="B9436" s="7" t="s">
        <v>16838</v>
      </c>
      <c r="C9436" s="7" t="s">
        <v>17202</v>
      </c>
      <c r="D9436" s="194">
        <v>1992.0</v>
      </c>
      <c r="E9436" s="193"/>
      <c r="F9436" s="195" t="s">
        <v>30708</v>
      </c>
      <c r="G9436" s="196">
        <v>0.0</v>
      </c>
      <c r="H9436" s="197">
        <v>5.86</v>
      </c>
      <c r="I9436" s="7" t="s">
        <v>16815</v>
      </c>
      <c r="J9436" s="7" t="s">
        <v>16838</v>
      </c>
      <c r="K9436" s="7" t="s">
        <v>17202</v>
      </c>
      <c r="L9436" s="198" t="s">
        <v>65</v>
      </c>
      <c r="M9436" s="194"/>
      <c r="N9436" s="194"/>
    </row>
    <row r="9437">
      <c r="A9437" s="193" t="s">
        <v>30398</v>
      </c>
      <c r="B9437" s="7" t="s">
        <v>16838</v>
      </c>
      <c r="C9437" s="7" t="s">
        <v>17202</v>
      </c>
      <c r="D9437" s="194">
        <v>2004.0</v>
      </c>
      <c r="E9437" s="193"/>
      <c r="F9437" s="195" t="s">
        <v>11121</v>
      </c>
      <c r="G9437" s="196">
        <v>0.0</v>
      </c>
      <c r="H9437" s="197">
        <v>16.92</v>
      </c>
      <c r="I9437" s="7" t="s">
        <v>16815</v>
      </c>
      <c r="J9437" s="7" t="s">
        <v>16838</v>
      </c>
      <c r="K9437" s="7" t="s">
        <v>17202</v>
      </c>
      <c r="L9437" s="198" t="s">
        <v>65</v>
      </c>
      <c r="M9437" s="194"/>
      <c r="N9437" s="194"/>
    </row>
    <row r="9438">
      <c r="A9438" s="193" t="s">
        <v>30399</v>
      </c>
      <c r="B9438" s="7" t="s">
        <v>16838</v>
      </c>
      <c r="C9438" s="7" t="s">
        <v>17202</v>
      </c>
      <c r="D9438" s="194">
        <v>2010.0</v>
      </c>
      <c r="E9438" s="193"/>
      <c r="F9438" s="195" t="s">
        <v>30400</v>
      </c>
      <c r="G9438" s="196">
        <v>0.0</v>
      </c>
      <c r="H9438" s="197">
        <v>10.88</v>
      </c>
      <c r="I9438" s="7" t="s">
        <v>16815</v>
      </c>
      <c r="J9438" s="7" t="s">
        <v>16838</v>
      </c>
      <c r="K9438" s="7" t="s">
        <v>17202</v>
      </c>
      <c r="L9438" s="198" t="s">
        <v>65</v>
      </c>
      <c r="M9438" s="194"/>
      <c r="N9438" s="194"/>
    </row>
    <row r="9439">
      <c r="A9439" s="193" t="s">
        <v>30401</v>
      </c>
      <c r="B9439" s="7" t="s">
        <v>16838</v>
      </c>
      <c r="C9439" s="7" t="s">
        <v>17202</v>
      </c>
      <c r="D9439" s="194">
        <v>2007.0</v>
      </c>
      <c r="E9439" s="193"/>
      <c r="F9439" s="195" t="s">
        <v>30402</v>
      </c>
      <c r="G9439" s="196">
        <v>0.0</v>
      </c>
      <c r="H9439" s="197">
        <v>7.73</v>
      </c>
      <c r="I9439" s="7" t="s">
        <v>16815</v>
      </c>
      <c r="J9439" s="7" t="s">
        <v>16838</v>
      </c>
      <c r="K9439" s="7" t="s">
        <v>17202</v>
      </c>
      <c r="L9439" s="198" t="s">
        <v>65</v>
      </c>
      <c r="M9439" s="194"/>
      <c r="N9439" s="194"/>
    </row>
    <row r="9440">
      <c r="A9440" s="193" t="s">
        <v>30403</v>
      </c>
      <c r="B9440" s="7" t="s">
        <v>16838</v>
      </c>
      <c r="C9440" s="7" t="s">
        <v>17202</v>
      </c>
      <c r="D9440" s="194">
        <v>1990.0</v>
      </c>
      <c r="E9440" s="193"/>
      <c r="F9440" s="195" t="s">
        <v>30404</v>
      </c>
      <c r="G9440" s="196">
        <v>0.0</v>
      </c>
      <c r="H9440" s="197">
        <v>8.1235</v>
      </c>
      <c r="I9440" s="7" t="s">
        <v>16815</v>
      </c>
      <c r="J9440" s="7" t="s">
        <v>16838</v>
      </c>
      <c r="K9440" s="7" t="s">
        <v>17202</v>
      </c>
      <c r="L9440" s="198" t="s">
        <v>65</v>
      </c>
      <c r="M9440" s="194"/>
      <c r="N9440" s="194"/>
    </row>
    <row r="9441">
      <c r="A9441" s="193" t="s">
        <v>30405</v>
      </c>
      <c r="B9441" s="7" t="s">
        <v>16838</v>
      </c>
      <c r="C9441" s="7" t="s">
        <v>17202</v>
      </c>
      <c r="D9441" s="194">
        <v>2011.0</v>
      </c>
      <c r="E9441" s="193"/>
      <c r="F9441" s="195" t="s">
        <v>30406</v>
      </c>
      <c r="G9441" s="196">
        <v>0.0</v>
      </c>
      <c r="H9441" s="197">
        <v>9.47</v>
      </c>
      <c r="I9441" s="7" t="s">
        <v>16815</v>
      </c>
      <c r="J9441" s="7" t="s">
        <v>16838</v>
      </c>
      <c r="K9441" s="7" t="s">
        <v>17202</v>
      </c>
      <c r="L9441" s="198" t="s">
        <v>65</v>
      </c>
      <c r="M9441" s="194"/>
      <c r="N9441" s="194"/>
    </row>
    <row r="9442">
      <c r="A9442" s="193" t="s">
        <v>30709</v>
      </c>
      <c r="B9442" s="7" t="s">
        <v>16838</v>
      </c>
      <c r="C9442" s="7" t="s">
        <v>17202</v>
      </c>
      <c r="D9442" s="199"/>
      <c r="E9442" s="193"/>
      <c r="F9442" s="195" t="s">
        <v>30710</v>
      </c>
      <c r="G9442" s="196">
        <v>0.0</v>
      </c>
      <c r="H9442" s="197">
        <v>23.84</v>
      </c>
      <c r="I9442" s="7" t="s">
        <v>16815</v>
      </c>
      <c r="J9442" s="7" t="s">
        <v>16838</v>
      </c>
      <c r="K9442" s="7" t="s">
        <v>17202</v>
      </c>
      <c r="L9442" s="198" t="s">
        <v>65</v>
      </c>
      <c r="M9442" s="199"/>
      <c r="N9442" s="199"/>
    </row>
    <row r="9443">
      <c r="A9443" s="193" t="s">
        <v>30407</v>
      </c>
      <c r="B9443" s="7" t="s">
        <v>16838</v>
      </c>
      <c r="C9443" s="7" t="s">
        <v>17202</v>
      </c>
      <c r="D9443" s="194">
        <v>2003.0</v>
      </c>
      <c r="E9443" s="193"/>
      <c r="F9443" s="195" t="s">
        <v>30408</v>
      </c>
      <c r="G9443" s="196">
        <v>0.0</v>
      </c>
      <c r="H9443" s="197">
        <v>12.58</v>
      </c>
      <c r="I9443" s="7" t="s">
        <v>16815</v>
      </c>
      <c r="J9443" s="7" t="s">
        <v>16838</v>
      </c>
      <c r="K9443" s="7" t="s">
        <v>17202</v>
      </c>
      <c r="L9443" s="198" t="s">
        <v>65</v>
      </c>
      <c r="M9443" s="194"/>
      <c r="N9443" s="194"/>
    </row>
    <row r="9444">
      <c r="A9444" s="193" t="s">
        <v>30409</v>
      </c>
      <c r="B9444" s="7" t="s">
        <v>16838</v>
      </c>
      <c r="C9444" s="7" t="s">
        <v>17202</v>
      </c>
      <c r="D9444" s="194">
        <v>1988.0</v>
      </c>
      <c r="E9444" s="193"/>
      <c r="F9444" s="195" t="s">
        <v>30410</v>
      </c>
      <c r="G9444" s="196">
        <v>0.0</v>
      </c>
      <c r="H9444" s="197">
        <v>6.58</v>
      </c>
      <c r="I9444" s="7" t="s">
        <v>16815</v>
      </c>
      <c r="J9444" s="7" t="s">
        <v>16838</v>
      </c>
      <c r="K9444" s="7" t="s">
        <v>17202</v>
      </c>
      <c r="L9444" s="198" t="s">
        <v>65</v>
      </c>
      <c r="M9444" s="194"/>
      <c r="N9444" s="194"/>
    </row>
    <row r="9445">
      <c r="A9445" s="193" t="s">
        <v>30411</v>
      </c>
      <c r="B9445" s="7" t="s">
        <v>16838</v>
      </c>
      <c r="C9445" s="7" t="s">
        <v>17202</v>
      </c>
      <c r="D9445" s="194">
        <v>2010.0</v>
      </c>
      <c r="E9445" s="193"/>
      <c r="F9445" s="195" t="s">
        <v>30412</v>
      </c>
      <c r="G9445" s="196">
        <v>0.0</v>
      </c>
      <c r="H9445" s="197">
        <v>11.27</v>
      </c>
      <c r="I9445" s="7" t="s">
        <v>16815</v>
      </c>
      <c r="J9445" s="7" t="s">
        <v>16838</v>
      </c>
      <c r="K9445" s="7" t="s">
        <v>17202</v>
      </c>
      <c r="L9445" s="198" t="s">
        <v>65</v>
      </c>
      <c r="M9445" s="194"/>
      <c r="N9445" s="194"/>
    </row>
    <row r="9446">
      <c r="A9446" s="193" t="s">
        <v>30413</v>
      </c>
      <c r="B9446" s="7" t="s">
        <v>16838</v>
      </c>
      <c r="C9446" s="7" t="s">
        <v>17202</v>
      </c>
      <c r="D9446" s="194">
        <v>2005.0</v>
      </c>
      <c r="E9446" s="193"/>
      <c r="F9446" s="195" t="s">
        <v>30414</v>
      </c>
      <c r="G9446" s="196">
        <v>0.0</v>
      </c>
      <c r="H9446" s="197">
        <v>8.14</v>
      </c>
      <c r="I9446" s="7" t="s">
        <v>16815</v>
      </c>
      <c r="J9446" s="7" t="s">
        <v>16838</v>
      </c>
      <c r="K9446" s="7" t="s">
        <v>17202</v>
      </c>
      <c r="L9446" s="198" t="s">
        <v>65</v>
      </c>
      <c r="M9446" s="194"/>
      <c r="N9446" s="194"/>
    </row>
    <row r="9447">
      <c r="A9447" s="193" t="s">
        <v>30415</v>
      </c>
      <c r="B9447" s="7" t="s">
        <v>16838</v>
      </c>
      <c r="C9447" s="7" t="s">
        <v>17202</v>
      </c>
      <c r="D9447" s="194">
        <v>2009.0</v>
      </c>
      <c r="E9447" s="193"/>
      <c r="F9447" s="195" t="s">
        <v>30416</v>
      </c>
      <c r="G9447" s="196">
        <v>0.0</v>
      </c>
      <c r="H9447" s="197">
        <v>16.02</v>
      </c>
      <c r="I9447" s="7" t="s">
        <v>16815</v>
      </c>
      <c r="J9447" s="7" t="s">
        <v>16838</v>
      </c>
      <c r="K9447" s="7" t="s">
        <v>17202</v>
      </c>
      <c r="L9447" s="198" t="s">
        <v>65</v>
      </c>
      <c r="M9447" s="194"/>
      <c r="N9447" s="194"/>
    </row>
    <row r="9448">
      <c r="A9448" s="193" t="s">
        <v>30417</v>
      </c>
      <c r="B9448" s="7" t="s">
        <v>16838</v>
      </c>
      <c r="C9448" s="7" t="s">
        <v>17202</v>
      </c>
      <c r="D9448" s="194">
        <v>2011.0</v>
      </c>
      <c r="E9448" s="193"/>
      <c r="F9448" s="195" t="s">
        <v>30418</v>
      </c>
      <c r="G9448" s="196">
        <v>0.0</v>
      </c>
      <c r="H9448" s="197">
        <v>4.81</v>
      </c>
      <c r="I9448" s="7" t="s">
        <v>16815</v>
      </c>
      <c r="J9448" s="7" t="s">
        <v>16838</v>
      </c>
      <c r="K9448" s="7" t="s">
        <v>17202</v>
      </c>
      <c r="L9448" s="198" t="s">
        <v>65</v>
      </c>
      <c r="M9448" s="194"/>
      <c r="N9448" s="194"/>
    </row>
    <row r="9449">
      <c r="A9449" s="193" t="s">
        <v>30419</v>
      </c>
      <c r="B9449" s="7" t="s">
        <v>16838</v>
      </c>
      <c r="C9449" s="7" t="s">
        <v>17202</v>
      </c>
      <c r="D9449" s="199"/>
      <c r="E9449" s="193"/>
      <c r="F9449" s="195" t="s">
        <v>10658</v>
      </c>
      <c r="G9449" s="196">
        <v>0.0</v>
      </c>
      <c r="H9449" s="197">
        <v>14.92</v>
      </c>
      <c r="I9449" s="7" t="s">
        <v>16815</v>
      </c>
      <c r="J9449" s="7" t="s">
        <v>16838</v>
      </c>
      <c r="K9449" s="7" t="s">
        <v>17202</v>
      </c>
      <c r="L9449" s="198" t="s">
        <v>65</v>
      </c>
      <c r="M9449" s="199"/>
      <c r="N9449" s="199"/>
    </row>
    <row r="9450">
      <c r="A9450" s="193" t="s">
        <v>30420</v>
      </c>
      <c r="B9450" s="7" t="s">
        <v>16838</v>
      </c>
      <c r="C9450" s="7" t="s">
        <v>17202</v>
      </c>
      <c r="D9450" s="194">
        <v>2014.0</v>
      </c>
      <c r="E9450" s="193"/>
      <c r="F9450" s="195" t="s">
        <v>30421</v>
      </c>
      <c r="G9450" s="196">
        <v>0.0</v>
      </c>
      <c r="H9450" s="197">
        <v>11.23</v>
      </c>
      <c r="I9450" s="7" t="s">
        <v>16815</v>
      </c>
      <c r="J9450" s="7" t="s">
        <v>16838</v>
      </c>
      <c r="K9450" s="7" t="s">
        <v>17202</v>
      </c>
      <c r="L9450" s="198" t="s">
        <v>65</v>
      </c>
      <c r="M9450" s="194"/>
      <c r="N9450" s="194"/>
    </row>
    <row r="9451">
      <c r="A9451" s="193" t="s">
        <v>30422</v>
      </c>
      <c r="B9451" s="7" t="s">
        <v>16838</v>
      </c>
      <c r="C9451" s="7" t="s">
        <v>17202</v>
      </c>
      <c r="D9451" s="194">
        <v>2009.0</v>
      </c>
      <c r="E9451" s="193"/>
      <c r="F9451" s="195" t="s">
        <v>10789</v>
      </c>
      <c r="G9451" s="196">
        <v>0.0</v>
      </c>
      <c r="H9451" s="197">
        <v>15.76</v>
      </c>
      <c r="I9451" s="7" t="s">
        <v>16815</v>
      </c>
      <c r="J9451" s="7" t="s">
        <v>16838</v>
      </c>
      <c r="K9451" s="7" t="s">
        <v>17202</v>
      </c>
      <c r="L9451" s="198" t="s">
        <v>65</v>
      </c>
      <c r="M9451" s="194"/>
      <c r="N9451" s="194"/>
    </row>
    <row r="9452">
      <c r="A9452" s="193" t="s">
        <v>30423</v>
      </c>
      <c r="B9452" s="7" t="s">
        <v>16838</v>
      </c>
      <c r="C9452" s="7" t="s">
        <v>17202</v>
      </c>
      <c r="D9452" s="194">
        <v>2003.0</v>
      </c>
      <c r="E9452" s="193"/>
      <c r="F9452" s="195" t="s">
        <v>30424</v>
      </c>
      <c r="G9452" s="196">
        <v>0.0</v>
      </c>
      <c r="H9452" s="197">
        <v>6.19</v>
      </c>
      <c r="I9452" s="7" t="s">
        <v>16815</v>
      </c>
      <c r="J9452" s="7" t="s">
        <v>16838</v>
      </c>
      <c r="K9452" s="7" t="s">
        <v>17202</v>
      </c>
      <c r="L9452" s="198" t="s">
        <v>65</v>
      </c>
      <c r="M9452" s="194"/>
      <c r="N9452" s="194"/>
    </row>
    <row r="9453">
      <c r="A9453" s="193" t="s">
        <v>30425</v>
      </c>
      <c r="B9453" s="7" t="s">
        <v>16838</v>
      </c>
      <c r="C9453" s="7" t="s">
        <v>17202</v>
      </c>
      <c r="D9453" s="199"/>
      <c r="E9453" s="193"/>
      <c r="F9453" s="195" t="s">
        <v>30426</v>
      </c>
      <c r="G9453" s="196">
        <v>0.0</v>
      </c>
      <c r="H9453" s="197">
        <v>20.5</v>
      </c>
      <c r="I9453" s="7" t="s">
        <v>16815</v>
      </c>
      <c r="J9453" s="7" t="s">
        <v>16838</v>
      </c>
      <c r="K9453" s="7" t="s">
        <v>17202</v>
      </c>
      <c r="L9453" s="198" t="s">
        <v>65</v>
      </c>
      <c r="M9453" s="199"/>
      <c r="N9453" s="199"/>
    </row>
    <row r="9454">
      <c r="A9454" s="193" t="s">
        <v>30427</v>
      </c>
      <c r="B9454" s="7" t="s">
        <v>16838</v>
      </c>
      <c r="C9454" s="7" t="s">
        <v>17202</v>
      </c>
      <c r="D9454" s="194">
        <v>2013.0</v>
      </c>
      <c r="E9454" s="193"/>
      <c r="F9454" s="195" t="s">
        <v>30428</v>
      </c>
      <c r="G9454" s="196">
        <v>0.0</v>
      </c>
      <c r="H9454" s="197">
        <v>11.64</v>
      </c>
      <c r="I9454" s="7" t="s">
        <v>16815</v>
      </c>
      <c r="J9454" s="7" t="s">
        <v>16838</v>
      </c>
      <c r="K9454" s="7" t="s">
        <v>17202</v>
      </c>
      <c r="L9454" s="198" t="s">
        <v>65</v>
      </c>
      <c r="M9454" s="194"/>
      <c r="N9454" s="194"/>
    </row>
    <row r="9455">
      <c r="A9455" s="193" t="s">
        <v>30429</v>
      </c>
      <c r="B9455" s="7" t="s">
        <v>16838</v>
      </c>
      <c r="C9455" s="7" t="s">
        <v>17202</v>
      </c>
      <c r="D9455" s="199"/>
      <c r="E9455" s="193"/>
      <c r="F9455" s="195" t="s">
        <v>30430</v>
      </c>
      <c r="G9455" s="196">
        <v>0.0</v>
      </c>
      <c r="H9455" s="197">
        <v>28.3707</v>
      </c>
      <c r="I9455" s="7" t="s">
        <v>16815</v>
      </c>
      <c r="J9455" s="7" t="s">
        <v>16838</v>
      </c>
      <c r="K9455" s="7" t="s">
        <v>17202</v>
      </c>
      <c r="L9455" s="198" t="s">
        <v>65</v>
      </c>
      <c r="M9455" s="199"/>
      <c r="N9455" s="199"/>
    </row>
    <row r="9456">
      <c r="A9456" s="193" t="s">
        <v>30431</v>
      </c>
      <c r="B9456" s="7" t="s">
        <v>16838</v>
      </c>
      <c r="C9456" s="7" t="s">
        <v>17202</v>
      </c>
      <c r="D9456" s="194">
        <v>2021.0</v>
      </c>
      <c r="E9456" s="193"/>
      <c r="F9456" s="195" t="s">
        <v>30432</v>
      </c>
      <c r="G9456" s="196">
        <v>0.0</v>
      </c>
      <c r="H9456" s="197">
        <v>11.65</v>
      </c>
      <c r="I9456" s="7" t="s">
        <v>16815</v>
      </c>
      <c r="J9456" s="7" t="s">
        <v>16838</v>
      </c>
      <c r="K9456" s="7" t="s">
        <v>17202</v>
      </c>
      <c r="L9456" s="198" t="s">
        <v>65</v>
      </c>
      <c r="M9456" s="194"/>
      <c r="N9456" s="194"/>
    </row>
    <row r="9457">
      <c r="A9457" s="193" t="s">
        <v>30433</v>
      </c>
      <c r="B9457" s="7" t="s">
        <v>16838</v>
      </c>
      <c r="C9457" s="7" t="s">
        <v>17202</v>
      </c>
      <c r="D9457" s="194">
        <v>2003.0</v>
      </c>
      <c r="E9457" s="193"/>
      <c r="F9457" s="195" t="s">
        <v>30434</v>
      </c>
      <c r="G9457" s="196">
        <v>0.0</v>
      </c>
      <c r="H9457" s="197">
        <v>7.66</v>
      </c>
      <c r="I9457" s="7" t="s">
        <v>16815</v>
      </c>
      <c r="J9457" s="7" t="s">
        <v>16838</v>
      </c>
      <c r="K9457" s="7" t="s">
        <v>17202</v>
      </c>
      <c r="L9457" s="198" t="s">
        <v>65</v>
      </c>
      <c r="M9457" s="194"/>
      <c r="N9457" s="194"/>
    </row>
    <row r="9458">
      <c r="A9458" s="193" t="s">
        <v>30435</v>
      </c>
      <c r="B9458" s="7" t="s">
        <v>16838</v>
      </c>
      <c r="C9458" s="7" t="s">
        <v>17202</v>
      </c>
      <c r="D9458" s="194">
        <v>2021.0</v>
      </c>
      <c r="E9458" s="193"/>
      <c r="F9458" s="195" t="s">
        <v>30436</v>
      </c>
      <c r="G9458" s="196">
        <v>0.0</v>
      </c>
      <c r="H9458" s="197">
        <v>9.91</v>
      </c>
      <c r="I9458" s="7" t="s">
        <v>16815</v>
      </c>
      <c r="J9458" s="7" t="s">
        <v>16838</v>
      </c>
      <c r="K9458" s="7" t="s">
        <v>17202</v>
      </c>
      <c r="L9458" s="198" t="s">
        <v>65</v>
      </c>
      <c r="M9458" s="194"/>
      <c r="N9458" s="194"/>
    </row>
    <row r="9459">
      <c r="A9459" s="193" t="s">
        <v>30437</v>
      </c>
      <c r="B9459" s="7" t="s">
        <v>16838</v>
      </c>
      <c r="C9459" s="7" t="s">
        <v>17202</v>
      </c>
      <c r="D9459" s="194">
        <v>2012.0</v>
      </c>
      <c r="E9459" s="193"/>
      <c r="F9459" s="195" t="s">
        <v>30438</v>
      </c>
      <c r="G9459" s="196">
        <v>0.0</v>
      </c>
      <c r="H9459" s="197">
        <v>15.42</v>
      </c>
      <c r="I9459" s="7" t="s">
        <v>16815</v>
      </c>
      <c r="J9459" s="7" t="s">
        <v>16838</v>
      </c>
      <c r="K9459" s="7" t="s">
        <v>17202</v>
      </c>
      <c r="L9459" s="198" t="s">
        <v>65</v>
      </c>
      <c r="M9459" s="194"/>
      <c r="N9459" s="194"/>
    </row>
    <row r="9460">
      <c r="A9460" s="193" t="s">
        <v>30439</v>
      </c>
      <c r="B9460" s="7" t="s">
        <v>16838</v>
      </c>
      <c r="C9460" s="7" t="s">
        <v>17202</v>
      </c>
      <c r="D9460" s="194">
        <v>1992.0</v>
      </c>
      <c r="E9460" s="193"/>
      <c r="F9460" s="195" t="s">
        <v>30440</v>
      </c>
      <c r="G9460" s="196">
        <v>0.0</v>
      </c>
      <c r="H9460" s="197">
        <v>9.43</v>
      </c>
      <c r="I9460" s="7" t="s">
        <v>16815</v>
      </c>
      <c r="J9460" s="7" t="s">
        <v>16838</v>
      </c>
      <c r="K9460" s="7" t="s">
        <v>17202</v>
      </c>
      <c r="L9460" s="198" t="s">
        <v>65</v>
      </c>
      <c r="M9460" s="194"/>
      <c r="N9460" s="194"/>
    </row>
    <row r="9461">
      <c r="A9461" s="193" t="s">
        <v>30441</v>
      </c>
      <c r="B9461" s="7" t="s">
        <v>16838</v>
      </c>
      <c r="C9461" s="7" t="s">
        <v>17202</v>
      </c>
      <c r="D9461" s="194">
        <v>1999.0</v>
      </c>
      <c r="E9461" s="193"/>
      <c r="F9461" s="195" t="s">
        <v>30442</v>
      </c>
      <c r="G9461" s="196">
        <v>0.0</v>
      </c>
      <c r="H9461" s="197">
        <v>10.02</v>
      </c>
      <c r="I9461" s="7" t="s">
        <v>16815</v>
      </c>
      <c r="J9461" s="7" t="s">
        <v>16838</v>
      </c>
      <c r="K9461" s="7" t="s">
        <v>17202</v>
      </c>
      <c r="L9461" s="198" t="s">
        <v>65</v>
      </c>
      <c r="M9461" s="194"/>
      <c r="N9461" s="194"/>
    </row>
    <row r="9462">
      <c r="A9462" s="193" t="s">
        <v>30443</v>
      </c>
      <c r="B9462" s="7" t="s">
        <v>16838</v>
      </c>
      <c r="C9462" s="7" t="s">
        <v>17202</v>
      </c>
      <c r="D9462" s="194">
        <v>1999.0</v>
      </c>
      <c r="E9462" s="193"/>
      <c r="F9462" s="195" t="s">
        <v>30444</v>
      </c>
      <c r="G9462" s="196">
        <v>0.0</v>
      </c>
      <c r="H9462" s="197">
        <v>10.48</v>
      </c>
      <c r="I9462" s="7" t="s">
        <v>16815</v>
      </c>
      <c r="J9462" s="7" t="s">
        <v>16838</v>
      </c>
      <c r="K9462" s="7" t="s">
        <v>17202</v>
      </c>
      <c r="L9462" s="198" t="s">
        <v>65</v>
      </c>
      <c r="M9462" s="194"/>
      <c r="N9462" s="194"/>
    </row>
    <row r="9463">
      <c r="A9463" s="193" t="s">
        <v>30445</v>
      </c>
      <c r="B9463" s="7" t="s">
        <v>16838</v>
      </c>
      <c r="C9463" s="7" t="s">
        <v>17202</v>
      </c>
      <c r="D9463" s="199"/>
      <c r="E9463" s="193"/>
      <c r="F9463" s="195" t="s">
        <v>7998</v>
      </c>
      <c r="G9463" s="196">
        <v>0.0</v>
      </c>
      <c r="H9463" s="197">
        <v>8.17</v>
      </c>
      <c r="I9463" s="7" t="s">
        <v>16815</v>
      </c>
      <c r="J9463" s="7" t="s">
        <v>16838</v>
      </c>
      <c r="K9463" s="7" t="s">
        <v>17202</v>
      </c>
      <c r="L9463" s="198" t="s">
        <v>65</v>
      </c>
      <c r="M9463" s="199"/>
      <c r="N9463" s="199"/>
    </row>
    <row r="9464">
      <c r="A9464" s="193" t="s">
        <v>30446</v>
      </c>
      <c r="B9464" s="7" t="s">
        <v>16838</v>
      </c>
      <c r="C9464" s="7" t="s">
        <v>17202</v>
      </c>
      <c r="D9464" s="194">
        <v>2021.0</v>
      </c>
      <c r="E9464" s="193"/>
      <c r="F9464" s="195" t="s">
        <v>30447</v>
      </c>
      <c r="G9464" s="196">
        <v>0.0</v>
      </c>
      <c r="H9464" s="197">
        <v>11.31</v>
      </c>
      <c r="I9464" s="7" t="s">
        <v>16815</v>
      </c>
      <c r="J9464" s="7" t="s">
        <v>16838</v>
      </c>
      <c r="K9464" s="7" t="s">
        <v>17202</v>
      </c>
      <c r="L9464" s="198" t="s">
        <v>65</v>
      </c>
      <c r="M9464" s="194"/>
      <c r="N9464" s="194"/>
    </row>
    <row r="9465">
      <c r="A9465" s="193" t="s">
        <v>30448</v>
      </c>
      <c r="B9465" s="7" t="s">
        <v>16838</v>
      </c>
      <c r="C9465" s="7" t="s">
        <v>17202</v>
      </c>
      <c r="D9465" s="194">
        <v>1988.0</v>
      </c>
      <c r="E9465" s="193"/>
      <c r="F9465" s="195" t="s">
        <v>30449</v>
      </c>
      <c r="G9465" s="196">
        <v>0.0</v>
      </c>
      <c r="H9465" s="197">
        <v>7.87</v>
      </c>
      <c r="I9465" s="7" t="s">
        <v>16815</v>
      </c>
      <c r="J9465" s="7" t="s">
        <v>16838</v>
      </c>
      <c r="K9465" s="7" t="s">
        <v>17202</v>
      </c>
      <c r="L9465" s="198" t="s">
        <v>65</v>
      </c>
      <c r="M9465" s="194"/>
      <c r="N9465" s="194"/>
    </row>
    <row r="9466">
      <c r="A9466" s="193" t="s">
        <v>30450</v>
      </c>
      <c r="B9466" s="7" t="s">
        <v>16838</v>
      </c>
      <c r="C9466" s="7" t="s">
        <v>17202</v>
      </c>
      <c r="D9466" s="194">
        <v>1993.0</v>
      </c>
      <c r="E9466" s="193"/>
      <c r="F9466" s="195" t="s">
        <v>30451</v>
      </c>
      <c r="G9466" s="196">
        <v>0.0</v>
      </c>
      <c r="H9466" s="197">
        <v>9.21</v>
      </c>
      <c r="I9466" s="7" t="s">
        <v>16815</v>
      </c>
      <c r="J9466" s="7" t="s">
        <v>16838</v>
      </c>
      <c r="K9466" s="7" t="s">
        <v>17202</v>
      </c>
      <c r="L9466" s="198" t="s">
        <v>65</v>
      </c>
      <c r="M9466" s="194"/>
      <c r="N9466" s="194"/>
    </row>
    <row r="9467">
      <c r="A9467" s="193" t="s">
        <v>30452</v>
      </c>
      <c r="B9467" s="7" t="s">
        <v>16838</v>
      </c>
      <c r="C9467" s="7" t="s">
        <v>17202</v>
      </c>
      <c r="D9467" s="194">
        <v>2021.0</v>
      </c>
      <c r="E9467" s="193"/>
      <c r="F9467" s="195" t="s">
        <v>30453</v>
      </c>
      <c r="G9467" s="196">
        <v>0.0</v>
      </c>
      <c r="H9467" s="197">
        <v>9.41</v>
      </c>
      <c r="I9467" s="7" t="s">
        <v>16815</v>
      </c>
      <c r="J9467" s="7" t="s">
        <v>16838</v>
      </c>
      <c r="K9467" s="7" t="s">
        <v>17202</v>
      </c>
      <c r="L9467" s="198" t="s">
        <v>65</v>
      </c>
      <c r="M9467" s="194"/>
      <c r="N9467" s="194"/>
    </row>
    <row r="9468">
      <c r="A9468" s="193" t="s">
        <v>30454</v>
      </c>
      <c r="B9468" s="7" t="s">
        <v>16838</v>
      </c>
      <c r="C9468" s="7" t="s">
        <v>17202</v>
      </c>
      <c r="D9468" s="194">
        <v>1993.0</v>
      </c>
      <c r="E9468" s="193"/>
      <c r="F9468" s="195" t="s">
        <v>30455</v>
      </c>
      <c r="G9468" s="196">
        <v>0.0</v>
      </c>
      <c r="H9468" s="197">
        <v>9.79</v>
      </c>
      <c r="I9468" s="7" t="s">
        <v>16815</v>
      </c>
      <c r="J9468" s="7" t="s">
        <v>16838</v>
      </c>
      <c r="K9468" s="7" t="s">
        <v>17202</v>
      </c>
      <c r="L9468" s="198" t="s">
        <v>65</v>
      </c>
      <c r="M9468" s="194"/>
      <c r="N9468" s="194"/>
    </row>
    <row r="9469">
      <c r="A9469" s="193" t="s">
        <v>30456</v>
      </c>
      <c r="B9469" s="7" t="s">
        <v>16838</v>
      </c>
      <c r="C9469" s="7" t="s">
        <v>17202</v>
      </c>
      <c r="D9469" s="194">
        <v>2009.0</v>
      </c>
      <c r="E9469" s="193"/>
      <c r="F9469" s="195" t="s">
        <v>30457</v>
      </c>
      <c r="G9469" s="196">
        <v>0.0</v>
      </c>
      <c r="H9469" s="197">
        <v>13.1</v>
      </c>
      <c r="I9469" s="7" t="s">
        <v>16815</v>
      </c>
      <c r="J9469" s="7" t="s">
        <v>16838</v>
      </c>
      <c r="K9469" s="7" t="s">
        <v>17202</v>
      </c>
      <c r="L9469" s="198" t="s">
        <v>65</v>
      </c>
      <c r="M9469" s="194"/>
      <c r="N9469" s="194"/>
    </row>
    <row r="9470">
      <c r="A9470" s="193" t="s">
        <v>30458</v>
      </c>
      <c r="B9470" s="7" t="s">
        <v>16838</v>
      </c>
      <c r="C9470" s="7" t="s">
        <v>17202</v>
      </c>
      <c r="D9470" s="194">
        <v>2002.0</v>
      </c>
      <c r="E9470" s="193"/>
      <c r="F9470" s="195" t="s">
        <v>30459</v>
      </c>
      <c r="G9470" s="196">
        <v>0.0</v>
      </c>
      <c r="H9470" s="197">
        <v>10.78</v>
      </c>
      <c r="I9470" s="7" t="s">
        <v>16815</v>
      </c>
      <c r="J9470" s="7" t="s">
        <v>16838</v>
      </c>
      <c r="K9470" s="7" t="s">
        <v>17202</v>
      </c>
      <c r="L9470" s="198" t="s">
        <v>65</v>
      </c>
      <c r="M9470" s="194"/>
      <c r="N9470" s="194"/>
    </row>
    <row r="9471">
      <c r="A9471" s="193" t="s">
        <v>30460</v>
      </c>
      <c r="B9471" s="7" t="s">
        <v>16838</v>
      </c>
      <c r="C9471" s="7" t="s">
        <v>17202</v>
      </c>
      <c r="D9471" s="194">
        <v>2022.0</v>
      </c>
      <c r="E9471" s="193"/>
      <c r="F9471" s="195" t="s">
        <v>30461</v>
      </c>
      <c r="G9471" s="196">
        <v>0.0</v>
      </c>
      <c r="H9471" s="197">
        <v>13.5</v>
      </c>
      <c r="I9471" s="7" t="s">
        <v>16815</v>
      </c>
      <c r="J9471" s="7" t="s">
        <v>16838</v>
      </c>
      <c r="K9471" s="7" t="s">
        <v>17202</v>
      </c>
      <c r="L9471" s="198" t="s">
        <v>65</v>
      </c>
      <c r="M9471" s="194"/>
      <c r="N9471" s="194"/>
    </row>
    <row r="9472">
      <c r="A9472" s="193" t="s">
        <v>30462</v>
      </c>
      <c r="B9472" s="7" t="s">
        <v>16838</v>
      </c>
      <c r="C9472" s="7" t="s">
        <v>17202</v>
      </c>
      <c r="D9472" s="194">
        <v>2001.0</v>
      </c>
      <c r="E9472" s="193"/>
      <c r="F9472" s="195" t="s">
        <v>30463</v>
      </c>
      <c r="G9472" s="196">
        <v>0.0</v>
      </c>
      <c r="H9472" s="197">
        <v>12.14</v>
      </c>
      <c r="I9472" s="7" t="s">
        <v>16815</v>
      </c>
      <c r="J9472" s="7" t="s">
        <v>16838</v>
      </c>
      <c r="K9472" s="7" t="s">
        <v>17202</v>
      </c>
      <c r="L9472" s="198" t="s">
        <v>65</v>
      </c>
      <c r="M9472" s="194"/>
      <c r="N9472" s="194"/>
    </row>
    <row r="9473">
      <c r="A9473" s="193" t="s">
        <v>30464</v>
      </c>
      <c r="B9473" s="7" t="s">
        <v>16838</v>
      </c>
      <c r="C9473" s="7" t="s">
        <v>17202</v>
      </c>
      <c r="D9473" s="194">
        <v>2001.0</v>
      </c>
      <c r="E9473" s="193"/>
      <c r="F9473" s="195" t="s">
        <v>30465</v>
      </c>
      <c r="G9473" s="196">
        <v>0.0</v>
      </c>
      <c r="H9473" s="197">
        <v>8.98</v>
      </c>
      <c r="I9473" s="7" t="s">
        <v>16815</v>
      </c>
      <c r="J9473" s="7" t="s">
        <v>16838</v>
      </c>
      <c r="K9473" s="7" t="s">
        <v>17202</v>
      </c>
      <c r="L9473" s="198" t="s">
        <v>65</v>
      </c>
      <c r="M9473" s="194"/>
      <c r="N9473" s="194"/>
    </row>
    <row r="9474">
      <c r="A9474" s="193" t="s">
        <v>30466</v>
      </c>
      <c r="B9474" s="7" t="s">
        <v>16838</v>
      </c>
      <c r="C9474" s="7" t="s">
        <v>17202</v>
      </c>
      <c r="D9474" s="194">
        <v>1991.0</v>
      </c>
      <c r="E9474" s="193"/>
      <c r="F9474" s="195" t="s">
        <v>30467</v>
      </c>
      <c r="G9474" s="196">
        <v>0.0</v>
      </c>
      <c r="H9474" s="197">
        <v>9.66</v>
      </c>
      <c r="I9474" s="7" t="s">
        <v>16815</v>
      </c>
      <c r="J9474" s="7" t="s">
        <v>16838</v>
      </c>
      <c r="K9474" s="7" t="s">
        <v>17202</v>
      </c>
      <c r="L9474" s="198" t="s">
        <v>65</v>
      </c>
      <c r="M9474" s="194"/>
      <c r="N9474" s="194"/>
    </row>
    <row r="9475">
      <c r="A9475" s="193" t="s">
        <v>30468</v>
      </c>
      <c r="B9475" s="7" t="s">
        <v>16838</v>
      </c>
      <c r="C9475" s="7" t="s">
        <v>17202</v>
      </c>
      <c r="D9475" s="194">
        <v>2013.0</v>
      </c>
      <c r="E9475" s="193"/>
      <c r="F9475" s="195" t="s">
        <v>30469</v>
      </c>
      <c r="G9475" s="196">
        <v>0.0</v>
      </c>
      <c r="H9475" s="197">
        <v>8.86</v>
      </c>
      <c r="I9475" s="7" t="s">
        <v>16815</v>
      </c>
      <c r="J9475" s="7" t="s">
        <v>16838</v>
      </c>
      <c r="K9475" s="7" t="s">
        <v>17202</v>
      </c>
      <c r="L9475" s="198" t="s">
        <v>65</v>
      </c>
      <c r="M9475" s="194"/>
      <c r="N9475" s="194"/>
    </row>
    <row r="9476">
      <c r="A9476" s="193" t="s">
        <v>30470</v>
      </c>
      <c r="B9476" s="7" t="s">
        <v>16838</v>
      </c>
      <c r="C9476" s="7" t="s">
        <v>17202</v>
      </c>
      <c r="D9476" s="194">
        <v>2004.0</v>
      </c>
      <c r="E9476" s="193"/>
      <c r="F9476" s="195" t="s">
        <v>30471</v>
      </c>
      <c r="G9476" s="196">
        <v>0.0</v>
      </c>
      <c r="H9476" s="197">
        <v>8.93</v>
      </c>
      <c r="I9476" s="7" t="s">
        <v>16815</v>
      </c>
      <c r="J9476" s="7" t="s">
        <v>16838</v>
      </c>
      <c r="K9476" s="7" t="s">
        <v>17202</v>
      </c>
      <c r="L9476" s="198" t="s">
        <v>65</v>
      </c>
      <c r="M9476" s="194"/>
      <c r="N9476" s="194"/>
    </row>
    <row r="9477">
      <c r="A9477" s="193" t="s">
        <v>30472</v>
      </c>
      <c r="B9477" s="7" t="s">
        <v>16838</v>
      </c>
      <c r="C9477" s="7" t="s">
        <v>17202</v>
      </c>
      <c r="D9477" s="199"/>
      <c r="E9477" s="193"/>
      <c r="F9477" s="195" t="s">
        <v>30473</v>
      </c>
      <c r="G9477" s="196">
        <v>0.0</v>
      </c>
      <c r="H9477" s="197">
        <v>6.83</v>
      </c>
      <c r="I9477" s="7" t="s">
        <v>16815</v>
      </c>
      <c r="J9477" s="7" t="s">
        <v>16838</v>
      </c>
      <c r="K9477" s="7" t="s">
        <v>17202</v>
      </c>
      <c r="L9477" s="198" t="s">
        <v>65</v>
      </c>
      <c r="M9477" s="199"/>
      <c r="N9477" s="199"/>
    </row>
    <row r="9478">
      <c r="A9478" s="193" t="s">
        <v>30474</v>
      </c>
      <c r="B9478" s="7" t="s">
        <v>16838</v>
      </c>
      <c r="C9478" s="7" t="s">
        <v>17202</v>
      </c>
      <c r="D9478" s="194">
        <v>2002.0</v>
      </c>
      <c r="E9478" s="193"/>
      <c r="F9478" s="195" t="s">
        <v>30475</v>
      </c>
      <c r="G9478" s="196">
        <v>0.0</v>
      </c>
      <c r="H9478" s="197">
        <v>7.67</v>
      </c>
      <c r="I9478" s="7" t="s">
        <v>16815</v>
      </c>
      <c r="J9478" s="7" t="s">
        <v>16838</v>
      </c>
      <c r="K9478" s="7" t="s">
        <v>17202</v>
      </c>
      <c r="L9478" s="198" t="s">
        <v>65</v>
      </c>
      <c r="M9478" s="194"/>
      <c r="N9478" s="194"/>
    </row>
    <row r="9479">
      <c r="A9479" s="193" t="s">
        <v>30476</v>
      </c>
      <c r="B9479" s="7" t="s">
        <v>16838</v>
      </c>
      <c r="C9479" s="7" t="s">
        <v>17202</v>
      </c>
      <c r="D9479" s="194">
        <v>2002.0</v>
      </c>
      <c r="E9479" s="193"/>
      <c r="F9479" s="195" t="s">
        <v>30477</v>
      </c>
      <c r="G9479" s="196">
        <v>0.0</v>
      </c>
      <c r="H9479" s="197">
        <v>13.2</v>
      </c>
      <c r="I9479" s="7" t="s">
        <v>16815</v>
      </c>
      <c r="J9479" s="7" t="s">
        <v>16838</v>
      </c>
      <c r="K9479" s="7" t="s">
        <v>17202</v>
      </c>
      <c r="L9479" s="198" t="s">
        <v>65</v>
      </c>
      <c r="M9479" s="194"/>
      <c r="N9479" s="194"/>
    </row>
    <row r="9480">
      <c r="A9480" s="193" t="s">
        <v>30478</v>
      </c>
      <c r="B9480" s="7" t="s">
        <v>16838</v>
      </c>
      <c r="C9480" s="7" t="s">
        <v>17202</v>
      </c>
      <c r="D9480" s="194">
        <v>2002.0</v>
      </c>
      <c r="E9480" s="193"/>
      <c r="F9480" s="195" t="s">
        <v>30479</v>
      </c>
      <c r="G9480" s="196">
        <v>0.0</v>
      </c>
      <c r="H9480" s="197">
        <v>5.3</v>
      </c>
      <c r="I9480" s="7" t="s">
        <v>16815</v>
      </c>
      <c r="J9480" s="7" t="s">
        <v>16838</v>
      </c>
      <c r="K9480" s="7" t="s">
        <v>17202</v>
      </c>
      <c r="L9480" s="198" t="s">
        <v>65</v>
      </c>
      <c r="M9480" s="194"/>
      <c r="N9480" s="194"/>
    </row>
    <row r="9481">
      <c r="A9481" s="193" t="s">
        <v>30480</v>
      </c>
      <c r="B9481" s="7" t="s">
        <v>16838</v>
      </c>
      <c r="C9481" s="7" t="s">
        <v>17202</v>
      </c>
      <c r="D9481" s="194">
        <v>2002.0</v>
      </c>
      <c r="E9481" s="193"/>
      <c r="F9481" s="195" t="s">
        <v>30481</v>
      </c>
      <c r="G9481" s="196">
        <v>0.0</v>
      </c>
      <c r="H9481" s="197">
        <v>6.68</v>
      </c>
      <c r="I9481" s="7" t="s">
        <v>16815</v>
      </c>
      <c r="J9481" s="7" t="s">
        <v>16838</v>
      </c>
      <c r="K9481" s="7" t="s">
        <v>17202</v>
      </c>
      <c r="L9481" s="198" t="s">
        <v>65</v>
      </c>
      <c r="M9481" s="194"/>
      <c r="N9481" s="194"/>
    </row>
    <row r="9482">
      <c r="A9482" s="193" t="s">
        <v>30482</v>
      </c>
      <c r="B9482" s="7" t="s">
        <v>16838</v>
      </c>
      <c r="C9482" s="7" t="s">
        <v>17202</v>
      </c>
      <c r="D9482" s="194">
        <v>2016.0</v>
      </c>
      <c r="E9482" s="193"/>
      <c r="F9482" s="195" t="s">
        <v>30483</v>
      </c>
      <c r="G9482" s="196">
        <v>0.0</v>
      </c>
      <c r="H9482" s="197">
        <v>12.36</v>
      </c>
      <c r="I9482" s="7" t="s">
        <v>16815</v>
      </c>
      <c r="J9482" s="7" t="s">
        <v>16838</v>
      </c>
      <c r="K9482" s="7" t="s">
        <v>17202</v>
      </c>
      <c r="L9482" s="198" t="s">
        <v>65</v>
      </c>
      <c r="M9482" s="194"/>
      <c r="N9482" s="194"/>
    </row>
    <row r="9483">
      <c r="A9483" s="193" t="s">
        <v>30711</v>
      </c>
      <c r="B9483" s="7" t="s">
        <v>16838</v>
      </c>
      <c r="C9483" s="7" t="s">
        <v>17202</v>
      </c>
      <c r="D9483" s="199"/>
      <c r="E9483" s="193"/>
      <c r="F9483" s="195" t="s">
        <v>30712</v>
      </c>
      <c r="G9483" s="196">
        <v>0.0</v>
      </c>
      <c r="H9483" s="197">
        <v>1.6</v>
      </c>
      <c r="I9483" s="7" t="s">
        <v>16815</v>
      </c>
      <c r="J9483" s="7" t="s">
        <v>16838</v>
      </c>
      <c r="K9483" s="7" t="s">
        <v>17202</v>
      </c>
      <c r="L9483" s="198" t="s">
        <v>65</v>
      </c>
      <c r="M9483" s="199"/>
      <c r="N9483" s="199"/>
    </row>
    <row r="9484">
      <c r="A9484" s="193" t="s">
        <v>30484</v>
      </c>
      <c r="B9484" s="7" t="s">
        <v>16838</v>
      </c>
      <c r="C9484" s="7" t="s">
        <v>17202</v>
      </c>
      <c r="D9484" s="194">
        <v>1994.0</v>
      </c>
      <c r="E9484" s="193"/>
      <c r="F9484" s="195" t="s">
        <v>30485</v>
      </c>
      <c r="G9484" s="196">
        <v>0.0</v>
      </c>
      <c r="H9484" s="197">
        <v>5.36</v>
      </c>
      <c r="I9484" s="7" t="s">
        <v>16815</v>
      </c>
      <c r="J9484" s="7" t="s">
        <v>16838</v>
      </c>
      <c r="K9484" s="7" t="s">
        <v>17202</v>
      </c>
      <c r="L9484" s="198" t="s">
        <v>65</v>
      </c>
      <c r="M9484" s="194"/>
      <c r="N9484" s="194"/>
    </row>
    <row r="9485">
      <c r="A9485" s="193" t="s">
        <v>30486</v>
      </c>
      <c r="B9485" s="7" t="s">
        <v>16838</v>
      </c>
      <c r="C9485" s="7" t="s">
        <v>17202</v>
      </c>
      <c r="D9485" s="194">
        <v>2022.0</v>
      </c>
      <c r="E9485" s="193"/>
      <c r="F9485" s="195" t="s">
        <v>30487</v>
      </c>
      <c r="G9485" s="196">
        <v>0.0</v>
      </c>
      <c r="H9485" s="197">
        <v>12.35</v>
      </c>
      <c r="I9485" s="7" t="s">
        <v>16815</v>
      </c>
      <c r="J9485" s="7" t="s">
        <v>16838</v>
      </c>
      <c r="K9485" s="7" t="s">
        <v>17202</v>
      </c>
      <c r="L9485" s="198" t="s">
        <v>65</v>
      </c>
      <c r="M9485" s="194"/>
      <c r="N9485" s="194"/>
    </row>
    <row r="9486">
      <c r="A9486" s="193" t="s">
        <v>30488</v>
      </c>
      <c r="B9486" s="7" t="s">
        <v>16838</v>
      </c>
      <c r="C9486" s="7" t="s">
        <v>17202</v>
      </c>
      <c r="D9486" s="199"/>
      <c r="E9486" s="193"/>
      <c r="F9486" s="195" t="s">
        <v>30489</v>
      </c>
      <c r="G9486" s="196">
        <v>0.0</v>
      </c>
      <c r="H9486" s="197">
        <v>12.99</v>
      </c>
      <c r="I9486" s="7" t="s">
        <v>16815</v>
      </c>
      <c r="J9486" s="7" t="s">
        <v>16838</v>
      </c>
      <c r="K9486" s="7" t="s">
        <v>17202</v>
      </c>
      <c r="L9486" s="198" t="s">
        <v>65</v>
      </c>
      <c r="M9486" s="199"/>
      <c r="N9486" s="199"/>
    </row>
    <row r="9487">
      <c r="A9487" s="193" t="s">
        <v>30490</v>
      </c>
      <c r="B9487" s="7" t="s">
        <v>16838</v>
      </c>
      <c r="C9487" s="7" t="s">
        <v>17202</v>
      </c>
      <c r="D9487" s="194">
        <v>2009.0</v>
      </c>
      <c r="E9487" s="193"/>
      <c r="F9487" s="195" t="s">
        <v>30491</v>
      </c>
      <c r="G9487" s="196">
        <v>0.0</v>
      </c>
      <c r="H9487" s="197">
        <v>28.6</v>
      </c>
      <c r="I9487" s="7" t="s">
        <v>16815</v>
      </c>
      <c r="J9487" s="7" t="s">
        <v>16838</v>
      </c>
      <c r="K9487" s="7" t="s">
        <v>17202</v>
      </c>
      <c r="L9487" s="198" t="s">
        <v>65</v>
      </c>
      <c r="M9487" s="194"/>
      <c r="N9487" s="194"/>
    </row>
    <row r="9488">
      <c r="A9488" s="193" t="s">
        <v>30492</v>
      </c>
      <c r="B9488" s="7" t="s">
        <v>16838</v>
      </c>
      <c r="C9488" s="7" t="s">
        <v>17202</v>
      </c>
      <c r="D9488" s="194">
        <v>2009.0</v>
      </c>
      <c r="E9488" s="193"/>
      <c r="F9488" s="195" t="s">
        <v>30493</v>
      </c>
      <c r="G9488" s="196">
        <v>0.0</v>
      </c>
      <c r="H9488" s="197">
        <v>13.29</v>
      </c>
      <c r="I9488" s="7" t="s">
        <v>16815</v>
      </c>
      <c r="J9488" s="7" t="s">
        <v>16838</v>
      </c>
      <c r="K9488" s="7" t="s">
        <v>17202</v>
      </c>
      <c r="L9488" s="198" t="s">
        <v>65</v>
      </c>
      <c r="M9488" s="194"/>
      <c r="N9488" s="194"/>
    </row>
    <row r="9489">
      <c r="A9489" s="193" t="s">
        <v>30494</v>
      </c>
      <c r="B9489" s="7" t="s">
        <v>16838</v>
      </c>
      <c r="C9489" s="7" t="s">
        <v>17202</v>
      </c>
      <c r="D9489" s="199"/>
      <c r="E9489" s="193"/>
      <c r="F9489" s="195" t="s">
        <v>30495</v>
      </c>
      <c r="G9489" s="196">
        <v>0.0</v>
      </c>
      <c r="H9489" s="197">
        <v>4.64</v>
      </c>
      <c r="I9489" s="7" t="s">
        <v>16815</v>
      </c>
      <c r="J9489" s="7" t="s">
        <v>16838</v>
      </c>
      <c r="K9489" s="7" t="s">
        <v>17202</v>
      </c>
      <c r="L9489" s="198" t="s">
        <v>65</v>
      </c>
      <c r="M9489" s="199"/>
      <c r="N9489" s="199"/>
    </row>
    <row r="9490">
      <c r="A9490" s="193" t="s">
        <v>30713</v>
      </c>
      <c r="B9490" s="7" t="s">
        <v>16838</v>
      </c>
      <c r="C9490" s="7" t="s">
        <v>17202</v>
      </c>
      <c r="D9490" s="194">
        <v>2004.0</v>
      </c>
      <c r="E9490" s="193"/>
      <c r="F9490" s="195" t="s">
        <v>30714</v>
      </c>
      <c r="G9490" s="196">
        <v>0.0</v>
      </c>
      <c r="H9490" s="197">
        <v>24.97</v>
      </c>
      <c r="I9490" s="7" t="s">
        <v>16815</v>
      </c>
      <c r="J9490" s="7" t="s">
        <v>16838</v>
      </c>
      <c r="K9490" s="7" t="s">
        <v>17202</v>
      </c>
      <c r="L9490" s="198" t="s">
        <v>65</v>
      </c>
      <c r="M9490" s="194"/>
      <c r="N9490" s="194"/>
    </row>
    <row r="9491">
      <c r="A9491" s="193" t="s">
        <v>30496</v>
      </c>
      <c r="B9491" s="7" t="s">
        <v>16838</v>
      </c>
      <c r="C9491" s="7" t="s">
        <v>17202</v>
      </c>
      <c r="D9491" s="194">
        <v>2012.0</v>
      </c>
      <c r="E9491" s="193"/>
      <c r="F9491" s="195" t="s">
        <v>30497</v>
      </c>
      <c r="G9491" s="196">
        <v>0.0</v>
      </c>
      <c r="H9491" s="197">
        <v>7.01</v>
      </c>
      <c r="I9491" s="7" t="s">
        <v>16815</v>
      </c>
      <c r="J9491" s="7" t="s">
        <v>16838</v>
      </c>
      <c r="K9491" s="7" t="s">
        <v>17202</v>
      </c>
      <c r="L9491" s="198" t="s">
        <v>65</v>
      </c>
      <c r="M9491" s="194"/>
      <c r="N9491" s="194"/>
    </row>
    <row r="9492">
      <c r="A9492" s="193" t="s">
        <v>30498</v>
      </c>
      <c r="B9492" s="7" t="s">
        <v>16838</v>
      </c>
      <c r="C9492" s="7" t="s">
        <v>17202</v>
      </c>
      <c r="D9492" s="194">
        <v>1988.0</v>
      </c>
      <c r="E9492" s="193"/>
      <c r="F9492" s="195" t="s">
        <v>30499</v>
      </c>
      <c r="G9492" s="196">
        <v>0.0</v>
      </c>
      <c r="H9492" s="197">
        <v>4.96</v>
      </c>
      <c r="I9492" s="7" t="s">
        <v>16815</v>
      </c>
      <c r="J9492" s="7" t="s">
        <v>16838</v>
      </c>
      <c r="K9492" s="7" t="s">
        <v>17202</v>
      </c>
      <c r="L9492" s="198" t="s">
        <v>65</v>
      </c>
      <c r="M9492" s="194"/>
      <c r="N9492" s="194"/>
    </row>
    <row r="9493">
      <c r="A9493" s="193" t="s">
        <v>30688</v>
      </c>
      <c r="B9493" s="7" t="s">
        <v>187</v>
      </c>
      <c r="C9493" s="7" t="s">
        <v>16851</v>
      </c>
      <c r="D9493" s="194">
        <v>2021.0</v>
      </c>
      <c r="E9493" s="193"/>
      <c r="F9493" s="195" t="s">
        <v>30689</v>
      </c>
      <c r="G9493" s="196">
        <v>0.0</v>
      </c>
      <c r="H9493" s="197">
        <v>10.83</v>
      </c>
      <c r="I9493" s="7" t="s">
        <v>16815</v>
      </c>
      <c r="J9493" s="7" t="s">
        <v>187</v>
      </c>
      <c r="K9493" s="7" t="s">
        <v>16851</v>
      </c>
      <c r="L9493" s="198" t="s">
        <v>65</v>
      </c>
      <c r="M9493" s="194"/>
      <c r="N9493" s="194"/>
    </row>
    <row r="9494">
      <c r="A9494" s="193" t="s">
        <v>30715</v>
      </c>
      <c r="B9494" s="7" t="s">
        <v>187</v>
      </c>
      <c r="C9494" s="7" t="s">
        <v>16851</v>
      </c>
      <c r="D9494" s="194">
        <v>2021.0</v>
      </c>
      <c r="E9494" s="193"/>
      <c r="F9494" s="195" t="s">
        <v>30716</v>
      </c>
      <c r="G9494" s="196">
        <v>0.0</v>
      </c>
      <c r="H9494" s="197">
        <v>0.325</v>
      </c>
      <c r="I9494" s="7" t="s">
        <v>16815</v>
      </c>
      <c r="J9494" s="7" t="s">
        <v>187</v>
      </c>
      <c r="K9494" s="7" t="s">
        <v>16851</v>
      </c>
      <c r="L9494" s="198" t="s">
        <v>65</v>
      </c>
      <c r="M9494" s="194"/>
      <c r="N9494" s="194"/>
    </row>
    <row r="9495">
      <c r="A9495" s="193" t="s">
        <v>30717</v>
      </c>
      <c r="B9495" s="7" t="s">
        <v>187</v>
      </c>
      <c r="C9495" s="7" t="s">
        <v>16851</v>
      </c>
      <c r="D9495" s="199"/>
      <c r="E9495" s="193"/>
      <c r="F9495" s="195" t="s">
        <v>30718</v>
      </c>
      <c r="G9495" s="196">
        <v>0.0</v>
      </c>
      <c r="H9495" s="197">
        <v>0.062</v>
      </c>
      <c r="I9495" s="7" t="s">
        <v>16815</v>
      </c>
      <c r="J9495" s="7" t="s">
        <v>187</v>
      </c>
      <c r="K9495" s="7" t="s">
        <v>16851</v>
      </c>
      <c r="L9495" s="198" t="s">
        <v>65</v>
      </c>
      <c r="M9495" s="199"/>
      <c r="N9495" s="199"/>
    </row>
    <row r="9496">
      <c r="A9496" s="193" t="s">
        <v>30719</v>
      </c>
      <c r="B9496" s="7" t="s">
        <v>187</v>
      </c>
      <c r="C9496" s="7" t="s">
        <v>16969</v>
      </c>
      <c r="D9496" s="194">
        <v>2021.0</v>
      </c>
      <c r="E9496" s="193"/>
      <c r="F9496" s="195" t="s">
        <v>30720</v>
      </c>
      <c r="G9496" s="196">
        <v>0.0</v>
      </c>
      <c r="H9496" s="197">
        <v>2.8</v>
      </c>
      <c r="I9496" s="7" t="s">
        <v>16815</v>
      </c>
      <c r="J9496" s="7" t="s">
        <v>187</v>
      </c>
      <c r="K9496" s="7" t="s">
        <v>16969</v>
      </c>
      <c r="L9496" s="198" t="s">
        <v>65</v>
      </c>
      <c r="M9496" s="194"/>
      <c r="N9496" s="194"/>
    </row>
    <row r="9497">
      <c r="A9497" s="193" t="s">
        <v>30721</v>
      </c>
      <c r="B9497" s="7" t="s">
        <v>187</v>
      </c>
      <c r="C9497" s="7" t="s">
        <v>16969</v>
      </c>
      <c r="D9497" s="194">
        <v>2021.0</v>
      </c>
      <c r="E9497" s="193"/>
      <c r="F9497" s="195" t="s">
        <v>30722</v>
      </c>
      <c r="G9497" s="196">
        <v>0.0</v>
      </c>
      <c r="H9497" s="197">
        <v>0.1583</v>
      </c>
      <c r="I9497" s="7" t="s">
        <v>16815</v>
      </c>
      <c r="J9497" s="7" t="s">
        <v>187</v>
      </c>
      <c r="K9497" s="7" t="s">
        <v>16969</v>
      </c>
      <c r="L9497" s="198" t="s">
        <v>65</v>
      </c>
      <c r="M9497" s="194"/>
      <c r="N9497" s="194"/>
    </row>
    <row r="9498">
      <c r="A9498" s="193" t="s">
        <v>30723</v>
      </c>
      <c r="B9498" s="7" t="s">
        <v>187</v>
      </c>
      <c r="C9498" s="7" t="s">
        <v>16969</v>
      </c>
      <c r="D9498" s="194">
        <v>2023.0</v>
      </c>
      <c r="E9498" s="193"/>
      <c r="F9498" s="195" t="s">
        <v>30724</v>
      </c>
      <c r="G9498" s="196">
        <v>0.0</v>
      </c>
      <c r="H9498" s="197">
        <v>2.49</v>
      </c>
      <c r="I9498" s="7" t="s">
        <v>16815</v>
      </c>
      <c r="J9498" s="7" t="s">
        <v>187</v>
      </c>
      <c r="K9498" s="7" t="s">
        <v>16969</v>
      </c>
      <c r="L9498" s="198" t="s">
        <v>65</v>
      </c>
      <c r="M9498" s="194"/>
      <c r="N9498" s="194"/>
    </row>
    <row r="9499">
      <c r="A9499" s="193" t="s">
        <v>30725</v>
      </c>
      <c r="B9499" s="7" t="s">
        <v>187</v>
      </c>
      <c r="C9499" s="7" t="s">
        <v>16969</v>
      </c>
      <c r="D9499" s="194">
        <v>2022.0</v>
      </c>
      <c r="E9499" s="193"/>
      <c r="F9499" s="195" t="s">
        <v>30726</v>
      </c>
      <c r="G9499" s="196">
        <v>0.0</v>
      </c>
      <c r="H9499" s="197">
        <v>10.8204</v>
      </c>
      <c r="I9499" s="7" t="s">
        <v>16815</v>
      </c>
      <c r="J9499" s="7" t="s">
        <v>187</v>
      </c>
      <c r="K9499" s="7" t="s">
        <v>16969</v>
      </c>
      <c r="L9499" s="198" t="s">
        <v>65</v>
      </c>
      <c r="M9499" s="194"/>
      <c r="N9499" s="194"/>
    </row>
    <row r="9500">
      <c r="A9500" s="193" t="s">
        <v>30727</v>
      </c>
      <c r="B9500" s="7" t="s">
        <v>187</v>
      </c>
      <c r="C9500" s="7" t="s">
        <v>16969</v>
      </c>
      <c r="D9500" s="194">
        <v>2022.0</v>
      </c>
      <c r="E9500" s="193"/>
      <c r="F9500" s="195" t="s">
        <v>30728</v>
      </c>
      <c r="G9500" s="196">
        <v>0.0</v>
      </c>
      <c r="H9500" s="197">
        <v>0.12</v>
      </c>
      <c r="I9500" s="7" t="s">
        <v>16815</v>
      </c>
      <c r="J9500" s="7" t="s">
        <v>187</v>
      </c>
      <c r="K9500" s="7" t="s">
        <v>16969</v>
      </c>
      <c r="L9500" s="198" t="s">
        <v>65</v>
      </c>
      <c r="M9500" s="194"/>
      <c r="N9500" s="194"/>
    </row>
    <row r="9501">
      <c r="A9501" s="193" t="s">
        <v>30729</v>
      </c>
      <c r="B9501" s="7" t="s">
        <v>187</v>
      </c>
      <c r="C9501" s="7" t="s">
        <v>16969</v>
      </c>
      <c r="D9501" s="194">
        <v>2022.0</v>
      </c>
      <c r="E9501" s="193"/>
      <c r="F9501" s="195" t="s">
        <v>30730</v>
      </c>
      <c r="G9501" s="196">
        <v>0.0</v>
      </c>
      <c r="H9501" s="197">
        <v>0.0202</v>
      </c>
      <c r="I9501" s="7" t="s">
        <v>16815</v>
      </c>
      <c r="J9501" s="7" t="s">
        <v>187</v>
      </c>
      <c r="K9501" s="7" t="s">
        <v>16969</v>
      </c>
      <c r="L9501" s="198" t="s">
        <v>65</v>
      </c>
      <c r="M9501" s="194"/>
      <c r="N9501" s="194"/>
    </row>
    <row r="9502">
      <c r="A9502" s="193" t="s">
        <v>30731</v>
      </c>
      <c r="B9502" s="7" t="s">
        <v>187</v>
      </c>
      <c r="C9502" s="7" t="s">
        <v>18633</v>
      </c>
      <c r="D9502" s="194">
        <v>2021.0</v>
      </c>
      <c r="E9502" s="193"/>
      <c r="F9502" s="195" t="s">
        <v>30732</v>
      </c>
      <c r="G9502" s="196">
        <v>0.0</v>
      </c>
      <c r="H9502" s="197">
        <v>12.68</v>
      </c>
      <c r="I9502" s="7" t="s">
        <v>16815</v>
      </c>
      <c r="J9502" s="7" t="s">
        <v>187</v>
      </c>
      <c r="K9502" s="7" t="s">
        <v>18633</v>
      </c>
      <c r="L9502" s="198" t="s">
        <v>65</v>
      </c>
      <c r="M9502" s="194"/>
      <c r="N9502" s="194"/>
    </row>
    <row r="9503">
      <c r="A9503" s="193" t="s">
        <v>30733</v>
      </c>
      <c r="B9503" s="7" t="s">
        <v>187</v>
      </c>
      <c r="C9503" s="7" t="s">
        <v>18633</v>
      </c>
      <c r="D9503" s="194">
        <v>2021.0</v>
      </c>
      <c r="E9503" s="193"/>
      <c r="F9503" s="195" t="s">
        <v>30734</v>
      </c>
      <c r="G9503" s="196">
        <v>0.0</v>
      </c>
      <c r="H9503" s="197">
        <v>12.56</v>
      </c>
      <c r="I9503" s="7" t="s">
        <v>16815</v>
      </c>
      <c r="J9503" s="7" t="s">
        <v>187</v>
      </c>
      <c r="K9503" s="7" t="s">
        <v>18633</v>
      </c>
      <c r="L9503" s="198" t="s">
        <v>65</v>
      </c>
      <c r="M9503" s="194"/>
      <c r="N9503" s="194"/>
    </row>
    <row r="9504">
      <c r="A9504" s="193" t="s">
        <v>30735</v>
      </c>
      <c r="B9504" s="7" t="s">
        <v>187</v>
      </c>
      <c r="C9504" s="7" t="s">
        <v>18633</v>
      </c>
      <c r="D9504" s="194">
        <v>2021.0</v>
      </c>
      <c r="E9504" s="193"/>
      <c r="F9504" s="195" t="s">
        <v>30736</v>
      </c>
      <c r="G9504" s="196">
        <v>0.0</v>
      </c>
      <c r="H9504" s="197">
        <v>0.0245</v>
      </c>
      <c r="I9504" s="7" t="s">
        <v>16815</v>
      </c>
      <c r="J9504" s="7" t="s">
        <v>187</v>
      </c>
      <c r="K9504" s="7" t="s">
        <v>18633</v>
      </c>
      <c r="L9504" s="198" t="s">
        <v>65</v>
      </c>
      <c r="M9504" s="194"/>
      <c r="N9504" s="194"/>
    </row>
    <row r="9505">
      <c r="A9505" s="193" t="s">
        <v>30737</v>
      </c>
      <c r="B9505" s="7" t="s">
        <v>187</v>
      </c>
      <c r="C9505" s="7" t="s">
        <v>18633</v>
      </c>
      <c r="D9505" s="194">
        <v>2021.0</v>
      </c>
      <c r="E9505" s="193"/>
      <c r="F9505" s="195" t="s">
        <v>30738</v>
      </c>
      <c r="G9505" s="196">
        <v>0.0</v>
      </c>
      <c r="H9505" s="197">
        <v>0.051</v>
      </c>
      <c r="I9505" s="7" t="s">
        <v>16815</v>
      </c>
      <c r="J9505" s="7" t="s">
        <v>187</v>
      </c>
      <c r="K9505" s="7" t="s">
        <v>18633</v>
      </c>
      <c r="L9505" s="198" t="s">
        <v>65</v>
      </c>
      <c r="M9505" s="194"/>
      <c r="N9505" s="194"/>
    </row>
    <row r="9506">
      <c r="A9506" s="193" t="s">
        <v>30739</v>
      </c>
      <c r="B9506" s="7" t="s">
        <v>17629</v>
      </c>
      <c r="C9506" s="7" t="s">
        <v>18718</v>
      </c>
      <c r="D9506" s="194">
        <v>2023.0</v>
      </c>
      <c r="E9506" s="193"/>
      <c r="F9506" s="195" t="s">
        <v>30740</v>
      </c>
      <c r="G9506" s="196">
        <v>0.0</v>
      </c>
      <c r="H9506" s="197">
        <v>0.03</v>
      </c>
      <c r="I9506" s="7" t="s">
        <v>16815</v>
      </c>
      <c r="J9506" s="7" t="s">
        <v>17629</v>
      </c>
      <c r="K9506" s="7" t="s">
        <v>18718</v>
      </c>
      <c r="L9506" s="198" t="s">
        <v>65</v>
      </c>
      <c r="M9506" s="194"/>
      <c r="N9506" s="194"/>
    </row>
    <row r="9507">
      <c r="A9507" s="193" t="s">
        <v>30741</v>
      </c>
      <c r="B9507" s="7" t="s">
        <v>187</v>
      </c>
      <c r="C9507" s="7" t="s">
        <v>17256</v>
      </c>
      <c r="D9507" s="194">
        <v>2022.0</v>
      </c>
      <c r="E9507" s="193"/>
      <c r="F9507" s="195" t="s">
        <v>30742</v>
      </c>
      <c r="G9507" s="196">
        <v>0.0</v>
      </c>
      <c r="H9507" s="197">
        <v>10.48</v>
      </c>
      <c r="I9507" s="7" t="s">
        <v>16815</v>
      </c>
      <c r="J9507" s="7" t="s">
        <v>187</v>
      </c>
      <c r="K9507" s="7" t="s">
        <v>17256</v>
      </c>
      <c r="L9507" s="198" t="s">
        <v>65</v>
      </c>
      <c r="M9507" s="194"/>
      <c r="N9507" s="194"/>
    </row>
    <row r="9508">
      <c r="A9508" s="193" t="s">
        <v>30743</v>
      </c>
      <c r="B9508" s="7" t="s">
        <v>187</v>
      </c>
      <c r="C9508" s="7" t="s">
        <v>17256</v>
      </c>
      <c r="D9508" s="194">
        <v>2022.0</v>
      </c>
      <c r="E9508" s="193"/>
      <c r="F9508" s="195" t="s">
        <v>30744</v>
      </c>
      <c r="G9508" s="196">
        <v>0.0</v>
      </c>
      <c r="H9508" s="197">
        <v>10.71</v>
      </c>
      <c r="I9508" s="7" t="s">
        <v>16815</v>
      </c>
      <c r="J9508" s="7" t="s">
        <v>187</v>
      </c>
      <c r="K9508" s="7" t="s">
        <v>17256</v>
      </c>
      <c r="L9508" s="198" t="s">
        <v>65</v>
      </c>
      <c r="M9508" s="194"/>
      <c r="N9508" s="194"/>
    </row>
    <row r="9509">
      <c r="A9509" s="193" t="s">
        <v>30745</v>
      </c>
      <c r="B9509" s="7" t="s">
        <v>16919</v>
      </c>
      <c r="C9509" s="7" t="s">
        <v>17176</v>
      </c>
      <c r="D9509" s="194">
        <v>2022.0</v>
      </c>
      <c r="E9509" s="193"/>
      <c r="F9509" s="195" t="s">
        <v>30746</v>
      </c>
      <c r="G9509" s="196">
        <v>0.0</v>
      </c>
      <c r="H9509" s="197">
        <v>10.63</v>
      </c>
      <c r="I9509" s="7" t="s">
        <v>16815</v>
      </c>
      <c r="J9509" s="7" t="s">
        <v>16919</v>
      </c>
      <c r="K9509" s="7" t="s">
        <v>17176</v>
      </c>
      <c r="L9509" s="198" t="s">
        <v>65</v>
      </c>
      <c r="M9509" s="194"/>
      <c r="N9509" s="194"/>
    </row>
    <row r="9510">
      <c r="A9510" s="193" t="s">
        <v>30747</v>
      </c>
      <c r="B9510" s="7" t="s">
        <v>16919</v>
      </c>
      <c r="C9510" s="7" t="s">
        <v>17176</v>
      </c>
      <c r="D9510" s="194">
        <v>2022.0</v>
      </c>
      <c r="E9510" s="193"/>
      <c r="F9510" s="195" t="s">
        <v>30748</v>
      </c>
      <c r="G9510" s="196">
        <v>0.0</v>
      </c>
      <c r="H9510" s="197">
        <v>0.09</v>
      </c>
      <c r="I9510" s="7" t="s">
        <v>16815</v>
      </c>
      <c r="J9510" s="7" t="s">
        <v>16919</v>
      </c>
      <c r="K9510" s="7" t="s">
        <v>17176</v>
      </c>
      <c r="L9510" s="198" t="s">
        <v>65</v>
      </c>
      <c r="M9510" s="194"/>
      <c r="N9510" s="194"/>
    </row>
    <row r="9511">
      <c r="A9511" s="193" t="s">
        <v>30749</v>
      </c>
      <c r="B9511" s="7" t="s">
        <v>16919</v>
      </c>
      <c r="C9511" s="7" t="s">
        <v>17176</v>
      </c>
      <c r="D9511" s="194">
        <v>2022.0</v>
      </c>
      <c r="E9511" s="193"/>
      <c r="F9511" s="195" t="s">
        <v>30750</v>
      </c>
      <c r="G9511" s="196">
        <v>0.0</v>
      </c>
      <c r="H9511" s="197">
        <v>10.72</v>
      </c>
      <c r="I9511" s="7" t="s">
        <v>16815</v>
      </c>
      <c r="J9511" s="7" t="s">
        <v>16919</v>
      </c>
      <c r="K9511" s="7" t="s">
        <v>17176</v>
      </c>
      <c r="L9511" s="198" t="s">
        <v>65</v>
      </c>
      <c r="M9511" s="194"/>
      <c r="N9511" s="194"/>
    </row>
    <row r="9512">
      <c r="A9512" s="193" t="s">
        <v>30751</v>
      </c>
      <c r="B9512" s="7" t="s">
        <v>16919</v>
      </c>
      <c r="C9512" s="7" t="s">
        <v>17176</v>
      </c>
      <c r="D9512" s="194">
        <v>2022.0</v>
      </c>
      <c r="E9512" s="193"/>
      <c r="F9512" s="195" t="s">
        <v>30752</v>
      </c>
      <c r="G9512" s="196">
        <v>0.0</v>
      </c>
      <c r="H9512" s="197">
        <v>0.0368</v>
      </c>
      <c r="I9512" s="7" t="s">
        <v>16815</v>
      </c>
      <c r="J9512" s="7" t="s">
        <v>16919</v>
      </c>
      <c r="K9512" s="7" t="s">
        <v>17176</v>
      </c>
      <c r="L9512" s="198" t="s">
        <v>65</v>
      </c>
      <c r="M9512" s="194"/>
      <c r="N9512" s="194"/>
    </row>
    <row r="9513">
      <c r="A9513" s="193" t="s">
        <v>30753</v>
      </c>
      <c r="B9513" s="7" t="s">
        <v>16582</v>
      </c>
      <c r="C9513" s="7" t="s">
        <v>17342</v>
      </c>
      <c r="D9513" s="194">
        <v>2021.0</v>
      </c>
      <c r="E9513" s="193"/>
      <c r="F9513" s="195" t="s">
        <v>30754</v>
      </c>
      <c r="G9513" s="196">
        <v>0.0</v>
      </c>
      <c r="H9513" s="197">
        <v>11.14</v>
      </c>
      <c r="I9513" s="7" t="s">
        <v>16815</v>
      </c>
      <c r="J9513" s="7" t="s">
        <v>16582</v>
      </c>
      <c r="K9513" s="7" t="s">
        <v>17342</v>
      </c>
      <c r="L9513" s="198" t="s">
        <v>65</v>
      </c>
      <c r="M9513" s="194"/>
      <c r="N9513" s="194"/>
    </row>
    <row r="9514">
      <c r="A9514" s="193" t="s">
        <v>30755</v>
      </c>
      <c r="B9514" s="7" t="s">
        <v>17111</v>
      </c>
      <c r="C9514" s="7" t="s">
        <v>17112</v>
      </c>
      <c r="D9514" s="194">
        <v>2021.0</v>
      </c>
      <c r="E9514" s="193"/>
      <c r="F9514" s="195" t="s">
        <v>30756</v>
      </c>
      <c r="G9514" s="200">
        <v>0.0</v>
      </c>
      <c r="H9514" s="197">
        <v>10.51</v>
      </c>
      <c r="I9514" s="7" t="s">
        <v>16815</v>
      </c>
      <c r="J9514" s="7" t="s">
        <v>17111</v>
      </c>
      <c r="K9514" s="7" t="s">
        <v>17112</v>
      </c>
      <c r="L9514" s="201" t="s">
        <v>16835</v>
      </c>
      <c r="M9514" s="194"/>
      <c r="N9514" s="194"/>
    </row>
    <row r="9515">
      <c r="A9515" s="193" t="s">
        <v>30757</v>
      </c>
      <c r="B9515" s="7" t="s">
        <v>17112</v>
      </c>
      <c r="C9515" s="7" t="s">
        <v>17111</v>
      </c>
      <c r="D9515" s="199"/>
      <c r="E9515" s="193"/>
      <c r="F9515" s="195" t="s">
        <v>30758</v>
      </c>
      <c r="G9515" s="196">
        <v>0.0</v>
      </c>
      <c r="H9515" s="197">
        <v>17.93</v>
      </c>
      <c r="I9515" s="7" t="s">
        <v>16815</v>
      </c>
      <c r="J9515" s="7" t="s">
        <v>17112</v>
      </c>
      <c r="K9515" s="7" t="s">
        <v>17111</v>
      </c>
      <c r="L9515" s="198" t="s">
        <v>65</v>
      </c>
      <c r="M9515" s="199"/>
      <c r="N9515" s="199"/>
    </row>
    <row r="9516">
      <c r="A9516" s="193" t="s">
        <v>30755</v>
      </c>
      <c r="B9516" s="7" t="s">
        <v>17112</v>
      </c>
      <c r="C9516" s="7" t="s">
        <v>17111</v>
      </c>
      <c r="D9516" s="194">
        <v>2021.0</v>
      </c>
      <c r="E9516" s="193"/>
      <c r="F9516" s="195" t="s">
        <v>30756</v>
      </c>
      <c r="G9516" s="196">
        <v>0.0</v>
      </c>
      <c r="H9516" s="197">
        <v>10.51</v>
      </c>
      <c r="I9516" s="7" t="s">
        <v>16815</v>
      </c>
      <c r="J9516" s="7" t="s">
        <v>17112</v>
      </c>
      <c r="K9516" s="7" t="s">
        <v>17111</v>
      </c>
      <c r="L9516" s="198" t="s">
        <v>65</v>
      </c>
      <c r="M9516" s="194"/>
      <c r="N9516" s="194"/>
    </row>
    <row r="9517">
      <c r="A9517" s="193" t="s">
        <v>30759</v>
      </c>
      <c r="B9517" s="7" t="s">
        <v>16582</v>
      </c>
      <c r="C9517" s="7" t="s">
        <v>17435</v>
      </c>
      <c r="D9517" s="199"/>
      <c r="E9517" s="193"/>
      <c r="F9517" s="195" t="s">
        <v>30760</v>
      </c>
      <c r="G9517" s="196">
        <v>0.0</v>
      </c>
      <c r="H9517" s="197">
        <v>0.97</v>
      </c>
      <c r="I9517" s="7" t="s">
        <v>16815</v>
      </c>
      <c r="J9517" s="7" t="s">
        <v>16582</v>
      </c>
      <c r="K9517" s="7" t="s">
        <v>17435</v>
      </c>
      <c r="L9517" s="198" t="s">
        <v>65</v>
      </c>
      <c r="M9517" s="199"/>
      <c r="N9517" s="199"/>
    </row>
    <row r="9518">
      <c r="A9518" s="193" t="s">
        <v>30761</v>
      </c>
      <c r="B9518" s="7" t="s">
        <v>16582</v>
      </c>
      <c r="C9518" s="7" t="s">
        <v>17435</v>
      </c>
      <c r="D9518" s="199"/>
      <c r="E9518" s="193"/>
      <c r="F9518" s="195" t="s">
        <v>30762</v>
      </c>
      <c r="G9518" s="196">
        <v>0.0</v>
      </c>
      <c r="H9518" s="197">
        <v>0.175</v>
      </c>
      <c r="I9518" s="7" t="s">
        <v>16815</v>
      </c>
      <c r="J9518" s="7" t="s">
        <v>16582</v>
      </c>
      <c r="K9518" s="7" t="s">
        <v>17435</v>
      </c>
      <c r="L9518" s="198" t="s">
        <v>65</v>
      </c>
      <c r="M9518" s="199"/>
      <c r="N9518" s="199"/>
    </row>
    <row r="9519">
      <c r="A9519" s="193" t="s">
        <v>30763</v>
      </c>
      <c r="B9519" s="7" t="s">
        <v>16582</v>
      </c>
      <c r="C9519" s="7" t="s">
        <v>16828</v>
      </c>
      <c r="D9519" s="199"/>
      <c r="E9519" s="193"/>
      <c r="F9519" s="195" t="s">
        <v>30764</v>
      </c>
      <c r="G9519" s="196">
        <v>0.0</v>
      </c>
      <c r="H9519" s="197">
        <v>1.26</v>
      </c>
      <c r="I9519" s="7" t="s">
        <v>16815</v>
      </c>
      <c r="J9519" s="7" t="s">
        <v>16582</v>
      </c>
      <c r="K9519" s="7" t="s">
        <v>16828</v>
      </c>
      <c r="L9519" s="198" t="s">
        <v>65</v>
      </c>
      <c r="M9519" s="199"/>
      <c r="N9519" s="199"/>
    </row>
    <row r="9520">
      <c r="A9520" s="193" t="s">
        <v>30765</v>
      </c>
      <c r="B9520" s="7" t="s">
        <v>16582</v>
      </c>
      <c r="C9520" s="7" t="s">
        <v>16828</v>
      </c>
      <c r="D9520" s="194">
        <v>2021.0</v>
      </c>
      <c r="E9520" s="193"/>
      <c r="F9520" s="195" t="s">
        <v>30766</v>
      </c>
      <c r="G9520" s="196">
        <v>0.0</v>
      </c>
      <c r="H9520" s="197">
        <v>1.97</v>
      </c>
      <c r="I9520" s="7" t="s">
        <v>16815</v>
      </c>
      <c r="J9520" s="7" t="s">
        <v>16582</v>
      </c>
      <c r="K9520" s="7" t="s">
        <v>16828</v>
      </c>
      <c r="L9520" s="198" t="s">
        <v>65</v>
      </c>
      <c r="M9520" s="194"/>
      <c r="N9520" s="194"/>
    </row>
    <row r="9521">
      <c r="A9521" s="193" t="s">
        <v>30753</v>
      </c>
      <c r="B9521" s="7" t="s">
        <v>17342</v>
      </c>
      <c r="C9521" s="7" t="s">
        <v>16582</v>
      </c>
      <c r="D9521" s="194">
        <v>2021.0</v>
      </c>
      <c r="E9521" s="193"/>
      <c r="F9521" s="195" t="s">
        <v>30754</v>
      </c>
      <c r="G9521" s="200">
        <v>0.0</v>
      </c>
      <c r="H9521" s="197">
        <v>11.14</v>
      </c>
      <c r="I9521" s="7" t="s">
        <v>16815</v>
      </c>
      <c r="J9521" s="7" t="s">
        <v>17342</v>
      </c>
      <c r="K9521" s="7" t="s">
        <v>16582</v>
      </c>
      <c r="L9521" s="201" t="s">
        <v>16835</v>
      </c>
      <c r="M9521" s="194"/>
      <c r="N9521" s="194"/>
    </row>
    <row r="9522">
      <c r="A9522" s="193" t="s">
        <v>30159</v>
      </c>
      <c r="B9522" s="7" t="s">
        <v>16960</v>
      </c>
      <c r="C9522" s="7" t="s">
        <v>16926</v>
      </c>
      <c r="D9522" s="199"/>
      <c r="E9522" s="193"/>
      <c r="F9522" s="195" t="s">
        <v>30160</v>
      </c>
      <c r="G9522" s="200">
        <v>0.0</v>
      </c>
      <c r="H9522" s="197">
        <v>55.63</v>
      </c>
      <c r="I9522" s="7" t="s">
        <v>16815</v>
      </c>
      <c r="J9522" s="7" t="s">
        <v>16960</v>
      </c>
      <c r="K9522" s="7" t="s">
        <v>16926</v>
      </c>
      <c r="L9522" s="201" t="s">
        <v>16835</v>
      </c>
      <c r="M9522" s="199"/>
      <c r="N9522" s="199"/>
    </row>
    <row r="9523">
      <c r="A9523" s="193" t="s">
        <v>30500</v>
      </c>
      <c r="B9523" s="7" t="s">
        <v>16838</v>
      </c>
      <c r="C9523" s="7" t="s">
        <v>19579</v>
      </c>
      <c r="D9523" s="194">
        <v>2007.0</v>
      </c>
      <c r="E9523" s="193"/>
      <c r="F9523" s="195" t="s">
        <v>30501</v>
      </c>
      <c r="G9523" s="196">
        <v>0.0</v>
      </c>
      <c r="H9523" s="197">
        <v>4.9</v>
      </c>
      <c r="I9523" s="7" t="s">
        <v>16815</v>
      </c>
      <c r="J9523" s="7" t="s">
        <v>16838</v>
      </c>
      <c r="K9523" s="7" t="s">
        <v>19579</v>
      </c>
      <c r="L9523" s="198" t="s">
        <v>65</v>
      </c>
      <c r="M9523" s="194"/>
      <c r="N9523" s="194"/>
    </row>
    <row r="9524">
      <c r="A9524" s="193" t="s">
        <v>30502</v>
      </c>
      <c r="B9524" s="7" t="s">
        <v>16838</v>
      </c>
      <c r="C9524" s="7" t="s">
        <v>19579</v>
      </c>
      <c r="D9524" s="194">
        <v>2013.0</v>
      </c>
      <c r="E9524" s="193"/>
      <c r="F9524" s="195" t="s">
        <v>30503</v>
      </c>
      <c r="G9524" s="196">
        <v>0.0</v>
      </c>
      <c r="H9524" s="197">
        <v>14.55</v>
      </c>
      <c r="I9524" s="7" t="s">
        <v>16815</v>
      </c>
      <c r="J9524" s="7" t="s">
        <v>16838</v>
      </c>
      <c r="K9524" s="7" t="s">
        <v>19579</v>
      </c>
      <c r="L9524" s="198" t="s">
        <v>65</v>
      </c>
      <c r="M9524" s="194"/>
      <c r="N9524" s="194"/>
    </row>
    <row r="9525">
      <c r="A9525" s="193" t="s">
        <v>30504</v>
      </c>
      <c r="B9525" s="7" t="s">
        <v>16838</v>
      </c>
      <c r="C9525" s="7" t="s">
        <v>19579</v>
      </c>
      <c r="D9525" s="194">
        <v>1993.0</v>
      </c>
      <c r="E9525" s="193"/>
      <c r="F9525" s="195" t="s">
        <v>30505</v>
      </c>
      <c r="G9525" s="196">
        <v>0.0</v>
      </c>
      <c r="H9525" s="197">
        <v>10.57</v>
      </c>
      <c r="I9525" s="7" t="s">
        <v>16815</v>
      </c>
      <c r="J9525" s="7" t="s">
        <v>16838</v>
      </c>
      <c r="K9525" s="7" t="s">
        <v>19579</v>
      </c>
      <c r="L9525" s="198" t="s">
        <v>65</v>
      </c>
      <c r="M9525" s="194"/>
      <c r="N9525" s="194"/>
    </row>
    <row r="9526">
      <c r="A9526" s="193" t="s">
        <v>30506</v>
      </c>
      <c r="B9526" s="7" t="s">
        <v>16838</v>
      </c>
      <c r="C9526" s="7" t="s">
        <v>19579</v>
      </c>
      <c r="D9526" s="194">
        <v>2022.0</v>
      </c>
      <c r="E9526" s="193"/>
      <c r="F9526" s="195" t="s">
        <v>30507</v>
      </c>
      <c r="G9526" s="196">
        <v>0.0</v>
      </c>
      <c r="H9526" s="197">
        <v>23.71</v>
      </c>
      <c r="I9526" s="7" t="s">
        <v>16815</v>
      </c>
      <c r="J9526" s="7" t="s">
        <v>16838</v>
      </c>
      <c r="K9526" s="7" t="s">
        <v>19579</v>
      </c>
      <c r="L9526" s="198" t="s">
        <v>65</v>
      </c>
      <c r="M9526" s="194"/>
      <c r="N9526" s="194"/>
    </row>
    <row r="9527">
      <c r="A9527" s="193" t="s">
        <v>30508</v>
      </c>
      <c r="B9527" s="7" t="s">
        <v>16838</v>
      </c>
      <c r="C9527" s="7" t="s">
        <v>19579</v>
      </c>
      <c r="D9527" s="199"/>
      <c r="E9527" s="193"/>
      <c r="F9527" s="195" t="s">
        <v>30509</v>
      </c>
      <c r="G9527" s="196">
        <v>0.0</v>
      </c>
      <c r="H9527" s="197">
        <v>9.38</v>
      </c>
      <c r="I9527" s="7" t="s">
        <v>16815</v>
      </c>
      <c r="J9527" s="7" t="s">
        <v>16838</v>
      </c>
      <c r="K9527" s="7" t="s">
        <v>19579</v>
      </c>
      <c r="L9527" s="198" t="s">
        <v>65</v>
      </c>
      <c r="M9527" s="199"/>
      <c r="N9527" s="199"/>
    </row>
    <row r="9528">
      <c r="A9528" s="193" t="s">
        <v>30510</v>
      </c>
      <c r="B9528" s="7" t="s">
        <v>16838</v>
      </c>
      <c r="C9528" s="7" t="s">
        <v>19579</v>
      </c>
      <c r="D9528" s="194">
        <v>2005.0</v>
      </c>
      <c r="E9528" s="193"/>
      <c r="F9528" s="195" t="s">
        <v>30511</v>
      </c>
      <c r="G9528" s="196">
        <v>0.0</v>
      </c>
      <c r="H9528" s="197">
        <v>9.43</v>
      </c>
      <c r="I9528" s="7" t="s">
        <v>16815</v>
      </c>
      <c r="J9528" s="7" t="s">
        <v>16838</v>
      </c>
      <c r="K9528" s="7" t="s">
        <v>19579</v>
      </c>
      <c r="L9528" s="198" t="s">
        <v>65</v>
      </c>
      <c r="M9528" s="194"/>
      <c r="N9528" s="194"/>
    </row>
    <row r="9529">
      <c r="A9529" s="193" t="s">
        <v>30512</v>
      </c>
      <c r="B9529" s="7" t="s">
        <v>16838</v>
      </c>
      <c r="C9529" s="7" t="s">
        <v>19579</v>
      </c>
      <c r="D9529" s="199"/>
      <c r="E9529" s="193"/>
      <c r="F9529" s="195" t="s">
        <v>30513</v>
      </c>
      <c r="G9529" s="196">
        <v>0.0</v>
      </c>
      <c r="H9529" s="197">
        <v>7.5</v>
      </c>
      <c r="I9529" s="7" t="s">
        <v>16815</v>
      </c>
      <c r="J9529" s="7" t="s">
        <v>16838</v>
      </c>
      <c r="K9529" s="7" t="s">
        <v>19579</v>
      </c>
      <c r="L9529" s="198" t="s">
        <v>65</v>
      </c>
      <c r="M9529" s="199"/>
      <c r="N9529" s="199"/>
    </row>
    <row r="9530">
      <c r="A9530" s="193" t="s">
        <v>30514</v>
      </c>
      <c r="B9530" s="7" t="s">
        <v>16838</v>
      </c>
      <c r="C9530" s="7" t="s">
        <v>19579</v>
      </c>
      <c r="D9530" s="194">
        <v>2010.0</v>
      </c>
      <c r="E9530" s="193"/>
      <c r="F9530" s="195" t="s">
        <v>30515</v>
      </c>
      <c r="G9530" s="196">
        <v>0.0</v>
      </c>
      <c r="H9530" s="197">
        <v>12.91</v>
      </c>
      <c r="I9530" s="7" t="s">
        <v>16815</v>
      </c>
      <c r="J9530" s="7" t="s">
        <v>16838</v>
      </c>
      <c r="K9530" s="7" t="s">
        <v>19579</v>
      </c>
      <c r="L9530" s="198" t="s">
        <v>65</v>
      </c>
      <c r="M9530" s="194"/>
      <c r="N9530" s="194"/>
    </row>
    <row r="9531">
      <c r="A9531" s="193" t="s">
        <v>30516</v>
      </c>
      <c r="B9531" s="7" t="s">
        <v>16838</v>
      </c>
      <c r="C9531" s="7" t="s">
        <v>19579</v>
      </c>
      <c r="D9531" s="194">
        <v>2006.0</v>
      </c>
      <c r="E9531" s="193"/>
      <c r="F9531" s="195" t="s">
        <v>30517</v>
      </c>
      <c r="G9531" s="196">
        <v>0.0</v>
      </c>
      <c r="H9531" s="197">
        <v>9.06</v>
      </c>
      <c r="I9531" s="7" t="s">
        <v>16815</v>
      </c>
      <c r="J9531" s="7" t="s">
        <v>16838</v>
      </c>
      <c r="K9531" s="7" t="s">
        <v>19579</v>
      </c>
      <c r="L9531" s="198" t="s">
        <v>65</v>
      </c>
      <c r="M9531" s="194"/>
      <c r="N9531" s="194"/>
    </row>
    <row r="9532">
      <c r="A9532" s="193" t="s">
        <v>30518</v>
      </c>
      <c r="B9532" s="7" t="s">
        <v>16838</v>
      </c>
      <c r="C9532" s="7" t="s">
        <v>19579</v>
      </c>
      <c r="D9532" s="194">
        <v>2011.0</v>
      </c>
      <c r="E9532" s="193"/>
      <c r="F9532" s="195" t="s">
        <v>30519</v>
      </c>
      <c r="G9532" s="196">
        <v>0.0</v>
      </c>
      <c r="H9532" s="197">
        <v>19.24</v>
      </c>
      <c r="I9532" s="7" t="s">
        <v>16815</v>
      </c>
      <c r="J9532" s="7" t="s">
        <v>16838</v>
      </c>
      <c r="K9532" s="7" t="s">
        <v>19579</v>
      </c>
      <c r="L9532" s="198" t="s">
        <v>65</v>
      </c>
      <c r="M9532" s="194"/>
      <c r="N9532" s="194"/>
    </row>
    <row r="9533">
      <c r="A9533" s="193" t="s">
        <v>30520</v>
      </c>
      <c r="B9533" s="7" t="s">
        <v>16838</v>
      </c>
      <c r="C9533" s="7" t="s">
        <v>19579</v>
      </c>
      <c r="D9533" s="194">
        <v>2021.0</v>
      </c>
      <c r="E9533" s="193"/>
      <c r="F9533" s="195" t="s">
        <v>30521</v>
      </c>
      <c r="G9533" s="196">
        <v>0.0</v>
      </c>
      <c r="H9533" s="197">
        <v>27.87</v>
      </c>
      <c r="I9533" s="7" t="s">
        <v>16815</v>
      </c>
      <c r="J9533" s="7" t="s">
        <v>16838</v>
      </c>
      <c r="K9533" s="7" t="s">
        <v>19579</v>
      </c>
      <c r="L9533" s="198" t="s">
        <v>65</v>
      </c>
      <c r="M9533" s="194"/>
      <c r="N9533" s="194"/>
    </row>
    <row r="9534">
      <c r="A9534" s="193" t="s">
        <v>30767</v>
      </c>
      <c r="B9534" s="7" t="s">
        <v>16838</v>
      </c>
      <c r="C9534" s="7" t="s">
        <v>19579</v>
      </c>
      <c r="D9534" s="199"/>
      <c r="E9534" s="193"/>
      <c r="F9534" s="195" t="s">
        <v>30768</v>
      </c>
      <c r="G9534" s="196">
        <v>0.0</v>
      </c>
      <c r="H9534" s="197">
        <v>18.24</v>
      </c>
      <c r="I9534" s="7" t="s">
        <v>16815</v>
      </c>
      <c r="J9534" s="7" t="s">
        <v>16838</v>
      </c>
      <c r="K9534" s="7" t="s">
        <v>19579</v>
      </c>
      <c r="L9534" s="198" t="s">
        <v>65</v>
      </c>
      <c r="M9534" s="199"/>
      <c r="N9534" s="199"/>
    </row>
    <row r="9535">
      <c r="A9535" s="193" t="s">
        <v>30522</v>
      </c>
      <c r="B9535" s="7" t="s">
        <v>16838</v>
      </c>
      <c r="C9535" s="7" t="s">
        <v>19579</v>
      </c>
      <c r="D9535" s="194">
        <v>2010.0</v>
      </c>
      <c r="E9535" s="193"/>
      <c r="F9535" s="195" t="s">
        <v>30523</v>
      </c>
      <c r="G9535" s="196">
        <v>0.0</v>
      </c>
      <c r="H9535" s="197">
        <v>35.71</v>
      </c>
      <c r="I9535" s="7" t="s">
        <v>16815</v>
      </c>
      <c r="J9535" s="7" t="s">
        <v>16838</v>
      </c>
      <c r="K9535" s="7" t="s">
        <v>19579</v>
      </c>
      <c r="L9535" s="198" t="s">
        <v>65</v>
      </c>
      <c r="M9535" s="194"/>
      <c r="N9535" s="194"/>
    </row>
    <row r="9536">
      <c r="A9536" s="193" t="s">
        <v>30524</v>
      </c>
      <c r="B9536" s="7" t="s">
        <v>16838</v>
      </c>
      <c r="C9536" s="7" t="s">
        <v>19579</v>
      </c>
      <c r="D9536" s="199"/>
      <c r="E9536" s="193"/>
      <c r="F9536" s="195" t="s">
        <v>4593</v>
      </c>
      <c r="G9536" s="196">
        <v>0.0</v>
      </c>
      <c r="H9536" s="197">
        <v>1.6</v>
      </c>
      <c r="I9536" s="7" t="s">
        <v>16815</v>
      </c>
      <c r="J9536" s="7" t="s">
        <v>16838</v>
      </c>
      <c r="K9536" s="7" t="s">
        <v>19579</v>
      </c>
      <c r="L9536" s="198" t="s">
        <v>65</v>
      </c>
      <c r="M9536" s="199"/>
      <c r="N9536" s="199"/>
    </row>
    <row r="9537">
      <c r="A9537" s="193" t="s">
        <v>30525</v>
      </c>
      <c r="B9537" s="7" t="s">
        <v>16838</v>
      </c>
      <c r="C9537" s="7" t="s">
        <v>19579</v>
      </c>
      <c r="D9537" s="194">
        <v>2022.0</v>
      </c>
      <c r="E9537" s="193"/>
      <c r="F9537" s="195" t="s">
        <v>30526</v>
      </c>
      <c r="G9537" s="196">
        <v>0.0</v>
      </c>
      <c r="H9537" s="197">
        <v>6.11</v>
      </c>
      <c r="I9537" s="7" t="s">
        <v>16815</v>
      </c>
      <c r="J9537" s="7" t="s">
        <v>16838</v>
      </c>
      <c r="K9537" s="7" t="s">
        <v>19579</v>
      </c>
      <c r="L9537" s="198" t="s">
        <v>65</v>
      </c>
      <c r="M9537" s="194"/>
      <c r="N9537" s="194"/>
    </row>
    <row r="9538">
      <c r="A9538" s="193" t="s">
        <v>30527</v>
      </c>
      <c r="B9538" s="7" t="s">
        <v>16838</v>
      </c>
      <c r="C9538" s="7" t="s">
        <v>19579</v>
      </c>
      <c r="D9538" s="194">
        <v>2013.0</v>
      </c>
      <c r="E9538" s="193"/>
      <c r="F9538" s="195" t="s">
        <v>30528</v>
      </c>
      <c r="G9538" s="196">
        <v>0.0</v>
      </c>
      <c r="H9538" s="197">
        <v>9.61</v>
      </c>
      <c r="I9538" s="7" t="s">
        <v>16815</v>
      </c>
      <c r="J9538" s="7" t="s">
        <v>16838</v>
      </c>
      <c r="K9538" s="7" t="s">
        <v>19579</v>
      </c>
      <c r="L9538" s="198" t="s">
        <v>65</v>
      </c>
      <c r="M9538" s="194"/>
      <c r="N9538" s="194"/>
    </row>
    <row r="9539">
      <c r="A9539" s="193" t="s">
        <v>30529</v>
      </c>
      <c r="B9539" s="7" t="s">
        <v>16838</v>
      </c>
      <c r="C9539" s="7" t="s">
        <v>19579</v>
      </c>
      <c r="D9539" s="194">
        <v>2010.0</v>
      </c>
      <c r="E9539" s="193"/>
      <c r="F9539" s="195" t="s">
        <v>30530</v>
      </c>
      <c r="G9539" s="196">
        <v>0.0</v>
      </c>
      <c r="H9539" s="197">
        <v>10.54</v>
      </c>
      <c r="I9539" s="7" t="s">
        <v>16815</v>
      </c>
      <c r="J9539" s="7" t="s">
        <v>16838</v>
      </c>
      <c r="K9539" s="7" t="s">
        <v>19579</v>
      </c>
      <c r="L9539" s="198" t="s">
        <v>65</v>
      </c>
      <c r="M9539" s="194"/>
      <c r="N9539" s="194"/>
    </row>
    <row r="9540">
      <c r="A9540" s="193" t="s">
        <v>30531</v>
      </c>
      <c r="B9540" s="7" t="s">
        <v>16838</v>
      </c>
      <c r="C9540" s="7" t="s">
        <v>19579</v>
      </c>
      <c r="D9540" s="194">
        <v>2011.0</v>
      </c>
      <c r="E9540" s="193"/>
      <c r="F9540" s="195" t="s">
        <v>30532</v>
      </c>
      <c r="G9540" s="196">
        <v>0.0</v>
      </c>
      <c r="H9540" s="197">
        <v>8.57</v>
      </c>
      <c r="I9540" s="7" t="s">
        <v>16815</v>
      </c>
      <c r="J9540" s="7" t="s">
        <v>16838</v>
      </c>
      <c r="K9540" s="7" t="s">
        <v>19579</v>
      </c>
      <c r="L9540" s="198" t="s">
        <v>65</v>
      </c>
      <c r="M9540" s="194"/>
      <c r="N9540" s="194"/>
    </row>
    <row r="9541">
      <c r="A9541" s="193" t="s">
        <v>30533</v>
      </c>
      <c r="B9541" s="7" t="s">
        <v>16838</v>
      </c>
      <c r="C9541" s="7" t="s">
        <v>19579</v>
      </c>
      <c r="D9541" s="199"/>
      <c r="E9541" s="193"/>
      <c r="F9541" s="195" t="s">
        <v>30534</v>
      </c>
      <c r="G9541" s="196">
        <v>0.0</v>
      </c>
      <c r="H9541" s="197">
        <v>7.999</v>
      </c>
      <c r="I9541" s="7" t="s">
        <v>16815</v>
      </c>
      <c r="J9541" s="7" t="s">
        <v>16838</v>
      </c>
      <c r="K9541" s="7" t="s">
        <v>19579</v>
      </c>
      <c r="L9541" s="198" t="s">
        <v>65</v>
      </c>
      <c r="M9541" s="199"/>
      <c r="N9541" s="199"/>
    </row>
    <row r="9542">
      <c r="A9542" s="193" t="s">
        <v>30535</v>
      </c>
      <c r="B9542" s="7" t="s">
        <v>16838</v>
      </c>
      <c r="C9542" s="7" t="s">
        <v>19579</v>
      </c>
      <c r="D9542" s="194">
        <v>2003.0</v>
      </c>
      <c r="E9542" s="193"/>
      <c r="F9542" s="195" t="s">
        <v>30536</v>
      </c>
      <c r="G9542" s="196">
        <v>0.0</v>
      </c>
      <c r="H9542" s="197">
        <v>12.2</v>
      </c>
      <c r="I9542" s="7" t="s">
        <v>16815</v>
      </c>
      <c r="J9542" s="7" t="s">
        <v>16838</v>
      </c>
      <c r="K9542" s="7" t="s">
        <v>19579</v>
      </c>
      <c r="L9542" s="198" t="s">
        <v>65</v>
      </c>
      <c r="M9542" s="194"/>
      <c r="N9542" s="194"/>
    </row>
    <row r="9543">
      <c r="A9543" s="193" t="s">
        <v>30537</v>
      </c>
      <c r="B9543" s="7" t="s">
        <v>16838</v>
      </c>
      <c r="C9543" s="7" t="s">
        <v>19579</v>
      </c>
      <c r="D9543" s="194">
        <v>2005.0</v>
      </c>
      <c r="E9543" s="193"/>
      <c r="F9543" s="195" t="s">
        <v>30538</v>
      </c>
      <c r="G9543" s="196">
        <v>0.0</v>
      </c>
      <c r="H9543" s="197">
        <v>9.58</v>
      </c>
      <c r="I9543" s="7" t="s">
        <v>16815</v>
      </c>
      <c r="J9543" s="7" t="s">
        <v>16838</v>
      </c>
      <c r="K9543" s="7" t="s">
        <v>19579</v>
      </c>
      <c r="L9543" s="198" t="s">
        <v>65</v>
      </c>
      <c r="M9543" s="194"/>
      <c r="N9543" s="194"/>
    </row>
    <row r="9544">
      <c r="A9544" s="193" t="s">
        <v>30539</v>
      </c>
      <c r="B9544" s="7" t="s">
        <v>16838</v>
      </c>
      <c r="C9544" s="7" t="s">
        <v>19579</v>
      </c>
      <c r="D9544" s="194">
        <v>2005.0</v>
      </c>
      <c r="E9544" s="193"/>
      <c r="F9544" s="195" t="s">
        <v>30540</v>
      </c>
      <c r="G9544" s="196">
        <v>0.0</v>
      </c>
      <c r="H9544" s="197">
        <v>17.59</v>
      </c>
      <c r="I9544" s="7" t="s">
        <v>16815</v>
      </c>
      <c r="J9544" s="7" t="s">
        <v>16838</v>
      </c>
      <c r="K9544" s="7" t="s">
        <v>19579</v>
      </c>
      <c r="L9544" s="198" t="s">
        <v>65</v>
      </c>
      <c r="M9544" s="194"/>
      <c r="N9544" s="194"/>
    </row>
    <row r="9545">
      <c r="A9545" s="193" t="s">
        <v>30541</v>
      </c>
      <c r="B9545" s="7" t="s">
        <v>16838</v>
      </c>
      <c r="C9545" s="7" t="s">
        <v>19579</v>
      </c>
      <c r="D9545" s="194">
        <v>2015.0</v>
      </c>
      <c r="E9545" s="193"/>
      <c r="F9545" s="195" t="s">
        <v>30542</v>
      </c>
      <c r="G9545" s="196">
        <v>0.0</v>
      </c>
      <c r="H9545" s="197">
        <v>12.2</v>
      </c>
      <c r="I9545" s="7" t="s">
        <v>16815</v>
      </c>
      <c r="J9545" s="7" t="s">
        <v>16838</v>
      </c>
      <c r="K9545" s="7" t="s">
        <v>19579</v>
      </c>
      <c r="L9545" s="198" t="s">
        <v>65</v>
      </c>
      <c r="M9545" s="194"/>
      <c r="N9545" s="194"/>
    </row>
    <row r="9546">
      <c r="A9546" s="193" t="s">
        <v>30543</v>
      </c>
      <c r="B9546" s="7" t="s">
        <v>16838</v>
      </c>
      <c r="C9546" s="7" t="s">
        <v>19579</v>
      </c>
      <c r="D9546" s="194">
        <v>2003.0</v>
      </c>
      <c r="E9546" s="193"/>
      <c r="F9546" s="195" t="s">
        <v>30544</v>
      </c>
      <c r="G9546" s="196">
        <v>0.0</v>
      </c>
      <c r="H9546" s="197">
        <v>13.17</v>
      </c>
      <c r="I9546" s="7" t="s">
        <v>16815</v>
      </c>
      <c r="J9546" s="7" t="s">
        <v>16838</v>
      </c>
      <c r="K9546" s="7" t="s">
        <v>19579</v>
      </c>
      <c r="L9546" s="198" t="s">
        <v>65</v>
      </c>
      <c r="M9546" s="194"/>
      <c r="N9546" s="194"/>
    </row>
    <row r="9547">
      <c r="A9547" s="193" t="s">
        <v>30545</v>
      </c>
      <c r="B9547" s="7" t="s">
        <v>16838</v>
      </c>
      <c r="C9547" s="7" t="s">
        <v>19579</v>
      </c>
      <c r="D9547" s="194">
        <v>2003.0</v>
      </c>
      <c r="E9547" s="193"/>
      <c r="F9547" s="195" t="s">
        <v>30546</v>
      </c>
      <c r="G9547" s="196">
        <v>0.0</v>
      </c>
      <c r="H9547" s="197">
        <v>13.839</v>
      </c>
      <c r="I9547" s="7" t="s">
        <v>16815</v>
      </c>
      <c r="J9547" s="7" t="s">
        <v>16838</v>
      </c>
      <c r="K9547" s="7" t="s">
        <v>19579</v>
      </c>
      <c r="L9547" s="198" t="s">
        <v>65</v>
      </c>
      <c r="M9547" s="194"/>
      <c r="N9547" s="194"/>
    </row>
    <row r="9548">
      <c r="A9548" s="193" t="s">
        <v>30547</v>
      </c>
      <c r="B9548" s="7" t="s">
        <v>16838</v>
      </c>
      <c r="C9548" s="7" t="s">
        <v>19579</v>
      </c>
      <c r="D9548" s="194">
        <v>2013.0</v>
      </c>
      <c r="E9548" s="193"/>
      <c r="F9548" s="195" t="s">
        <v>30548</v>
      </c>
      <c r="G9548" s="196">
        <v>0.0</v>
      </c>
      <c r="H9548" s="197">
        <v>14.85</v>
      </c>
      <c r="I9548" s="7" t="s">
        <v>16815</v>
      </c>
      <c r="J9548" s="7" t="s">
        <v>16838</v>
      </c>
      <c r="K9548" s="7" t="s">
        <v>19579</v>
      </c>
      <c r="L9548" s="198" t="s">
        <v>65</v>
      </c>
      <c r="M9548" s="194"/>
      <c r="N9548" s="194"/>
    </row>
    <row r="9549">
      <c r="A9549" s="193" t="s">
        <v>30549</v>
      </c>
      <c r="B9549" s="7" t="s">
        <v>16838</v>
      </c>
      <c r="C9549" s="7" t="s">
        <v>19579</v>
      </c>
      <c r="D9549" s="194">
        <v>2014.0</v>
      </c>
      <c r="E9549" s="193"/>
      <c r="F9549" s="195" t="s">
        <v>30550</v>
      </c>
      <c r="G9549" s="196">
        <v>0.0</v>
      </c>
      <c r="H9549" s="197">
        <v>6.7784</v>
      </c>
      <c r="I9549" s="7" t="s">
        <v>16815</v>
      </c>
      <c r="J9549" s="7" t="s">
        <v>16838</v>
      </c>
      <c r="K9549" s="7" t="s">
        <v>19579</v>
      </c>
      <c r="L9549" s="198" t="s">
        <v>65</v>
      </c>
      <c r="M9549" s="194"/>
      <c r="N9549" s="194"/>
    </row>
    <row r="9550">
      <c r="A9550" s="193" t="s">
        <v>30551</v>
      </c>
      <c r="B9550" s="7" t="s">
        <v>16838</v>
      </c>
      <c r="C9550" s="7" t="s">
        <v>19579</v>
      </c>
      <c r="D9550" s="194">
        <v>2012.0</v>
      </c>
      <c r="E9550" s="193"/>
      <c r="F9550" s="195" t="s">
        <v>30552</v>
      </c>
      <c r="G9550" s="196">
        <v>0.0</v>
      </c>
      <c r="H9550" s="197">
        <v>10.59</v>
      </c>
      <c r="I9550" s="7" t="s">
        <v>16815</v>
      </c>
      <c r="J9550" s="7" t="s">
        <v>16838</v>
      </c>
      <c r="K9550" s="7" t="s">
        <v>19579</v>
      </c>
      <c r="L9550" s="198" t="s">
        <v>65</v>
      </c>
      <c r="M9550" s="194"/>
      <c r="N9550" s="194"/>
    </row>
    <row r="9551">
      <c r="A9551" s="193" t="s">
        <v>30553</v>
      </c>
      <c r="B9551" s="7" t="s">
        <v>16838</v>
      </c>
      <c r="C9551" s="7" t="s">
        <v>19579</v>
      </c>
      <c r="D9551" s="194">
        <v>2021.0</v>
      </c>
      <c r="E9551" s="193"/>
      <c r="F9551" s="195" t="s">
        <v>30554</v>
      </c>
      <c r="G9551" s="196">
        <v>0.0</v>
      </c>
      <c r="H9551" s="197">
        <v>13.55</v>
      </c>
      <c r="I9551" s="7" t="s">
        <v>16815</v>
      </c>
      <c r="J9551" s="7" t="s">
        <v>16838</v>
      </c>
      <c r="K9551" s="7" t="s">
        <v>19579</v>
      </c>
      <c r="L9551" s="198" t="s">
        <v>65</v>
      </c>
      <c r="M9551" s="194"/>
      <c r="N9551" s="194"/>
    </row>
    <row r="9552">
      <c r="A9552" s="193" t="s">
        <v>30555</v>
      </c>
      <c r="B9552" s="7" t="s">
        <v>16838</v>
      </c>
      <c r="C9552" s="7" t="s">
        <v>19579</v>
      </c>
      <c r="D9552" s="194">
        <v>2019.0</v>
      </c>
      <c r="E9552" s="193"/>
      <c r="F9552" s="195" t="s">
        <v>30556</v>
      </c>
      <c r="G9552" s="196">
        <v>0.0</v>
      </c>
      <c r="H9552" s="197">
        <v>7.06</v>
      </c>
      <c r="I9552" s="7" t="s">
        <v>16815</v>
      </c>
      <c r="J9552" s="7" t="s">
        <v>16838</v>
      </c>
      <c r="K9552" s="7" t="s">
        <v>19579</v>
      </c>
      <c r="L9552" s="198" t="s">
        <v>65</v>
      </c>
      <c r="M9552" s="194"/>
      <c r="N9552" s="194"/>
    </row>
    <row r="9553">
      <c r="A9553" s="193" t="s">
        <v>30557</v>
      </c>
      <c r="B9553" s="7" t="s">
        <v>16838</v>
      </c>
      <c r="C9553" s="7" t="s">
        <v>19579</v>
      </c>
      <c r="D9553" s="194">
        <v>2014.0</v>
      </c>
      <c r="E9553" s="193"/>
      <c r="F9553" s="195" t="s">
        <v>30558</v>
      </c>
      <c r="G9553" s="196">
        <v>0.0</v>
      </c>
      <c r="H9553" s="197">
        <v>9.89</v>
      </c>
      <c r="I9553" s="7" t="s">
        <v>16815</v>
      </c>
      <c r="J9553" s="7" t="s">
        <v>16838</v>
      </c>
      <c r="K9553" s="7" t="s">
        <v>19579</v>
      </c>
      <c r="L9553" s="198" t="s">
        <v>65</v>
      </c>
      <c r="M9553" s="194"/>
      <c r="N9553" s="194"/>
    </row>
    <row r="9554">
      <c r="A9554" s="193" t="s">
        <v>30559</v>
      </c>
      <c r="B9554" s="7" t="s">
        <v>16838</v>
      </c>
      <c r="C9554" s="7" t="s">
        <v>19579</v>
      </c>
      <c r="D9554" s="194">
        <v>2002.0</v>
      </c>
      <c r="E9554" s="193"/>
      <c r="F9554" s="195" t="s">
        <v>30560</v>
      </c>
      <c r="G9554" s="196">
        <v>0.0</v>
      </c>
      <c r="H9554" s="197">
        <v>14.21</v>
      </c>
      <c r="I9554" s="7" t="s">
        <v>16815</v>
      </c>
      <c r="J9554" s="7" t="s">
        <v>16838</v>
      </c>
      <c r="K9554" s="7" t="s">
        <v>19579</v>
      </c>
      <c r="L9554" s="198" t="s">
        <v>65</v>
      </c>
      <c r="M9554" s="194"/>
      <c r="N9554" s="194"/>
    </row>
    <row r="9555">
      <c r="A9555" s="193" t="s">
        <v>30561</v>
      </c>
      <c r="B9555" s="7" t="s">
        <v>16838</v>
      </c>
      <c r="C9555" s="7" t="s">
        <v>19579</v>
      </c>
      <c r="D9555" s="199"/>
      <c r="E9555" s="193"/>
      <c r="F9555" s="195" t="s">
        <v>30562</v>
      </c>
      <c r="G9555" s="196">
        <v>0.0</v>
      </c>
      <c r="H9555" s="197">
        <v>4.35</v>
      </c>
      <c r="I9555" s="7" t="s">
        <v>16815</v>
      </c>
      <c r="J9555" s="7" t="s">
        <v>16838</v>
      </c>
      <c r="K9555" s="7" t="s">
        <v>19579</v>
      </c>
      <c r="L9555" s="198" t="s">
        <v>65</v>
      </c>
      <c r="M9555" s="199"/>
      <c r="N9555" s="199"/>
    </row>
    <row r="9556">
      <c r="A9556" s="193" t="s">
        <v>30563</v>
      </c>
      <c r="B9556" s="7" t="s">
        <v>16838</v>
      </c>
      <c r="C9556" s="7" t="s">
        <v>19579</v>
      </c>
      <c r="D9556" s="194">
        <v>2007.0</v>
      </c>
      <c r="E9556" s="193"/>
      <c r="F9556" s="195" t="s">
        <v>30564</v>
      </c>
      <c r="G9556" s="196">
        <v>0.0</v>
      </c>
      <c r="H9556" s="197">
        <v>5.59</v>
      </c>
      <c r="I9556" s="7" t="s">
        <v>16815</v>
      </c>
      <c r="J9556" s="7" t="s">
        <v>16838</v>
      </c>
      <c r="K9556" s="7" t="s">
        <v>19579</v>
      </c>
      <c r="L9556" s="198" t="s">
        <v>65</v>
      </c>
      <c r="M9556" s="194"/>
      <c r="N9556" s="194"/>
    </row>
    <row r="9557">
      <c r="A9557" s="193" t="s">
        <v>30565</v>
      </c>
      <c r="B9557" s="7" t="s">
        <v>16838</v>
      </c>
      <c r="C9557" s="7" t="s">
        <v>19579</v>
      </c>
      <c r="D9557" s="194">
        <v>2005.0</v>
      </c>
      <c r="E9557" s="193"/>
      <c r="F9557" s="195" t="s">
        <v>30566</v>
      </c>
      <c r="G9557" s="196">
        <v>0.0</v>
      </c>
      <c r="H9557" s="197">
        <v>4.84</v>
      </c>
      <c r="I9557" s="7" t="s">
        <v>16815</v>
      </c>
      <c r="J9557" s="7" t="s">
        <v>16838</v>
      </c>
      <c r="K9557" s="7" t="s">
        <v>19579</v>
      </c>
      <c r="L9557" s="198" t="s">
        <v>65</v>
      </c>
      <c r="M9557" s="194"/>
      <c r="N9557" s="194"/>
    </row>
    <row r="9558">
      <c r="A9558" s="193" t="s">
        <v>30567</v>
      </c>
      <c r="B9558" s="7" t="s">
        <v>16838</v>
      </c>
      <c r="C9558" s="7" t="s">
        <v>19579</v>
      </c>
      <c r="D9558" s="194">
        <v>1994.0</v>
      </c>
      <c r="E9558" s="193"/>
      <c r="F9558" s="195" t="s">
        <v>30568</v>
      </c>
      <c r="G9558" s="196">
        <v>0.0</v>
      </c>
      <c r="H9558" s="197">
        <v>22.17</v>
      </c>
      <c r="I9558" s="7" t="s">
        <v>16815</v>
      </c>
      <c r="J9558" s="7" t="s">
        <v>16838</v>
      </c>
      <c r="K9558" s="7" t="s">
        <v>19579</v>
      </c>
      <c r="L9558" s="198" t="s">
        <v>65</v>
      </c>
      <c r="M9558" s="194"/>
      <c r="N9558" s="194"/>
    </row>
    <row r="9559">
      <c r="A9559" s="193" t="s">
        <v>30569</v>
      </c>
      <c r="B9559" s="7" t="s">
        <v>16838</v>
      </c>
      <c r="C9559" s="7" t="s">
        <v>19579</v>
      </c>
      <c r="D9559" s="194">
        <v>2012.0</v>
      </c>
      <c r="E9559" s="193"/>
      <c r="F9559" s="195" t="s">
        <v>30570</v>
      </c>
      <c r="G9559" s="196">
        <v>0.0</v>
      </c>
      <c r="H9559" s="197">
        <v>11.47</v>
      </c>
      <c r="I9559" s="7" t="s">
        <v>16815</v>
      </c>
      <c r="J9559" s="7" t="s">
        <v>16838</v>
      </c>
      <c r="K9559" s="7" t="s">
        <v>19579</v>
      </c>
      <c r="L9559" s="198" t="s">
        <v>65</v>
      </c>
      <c r="M9559" s="194"/>
      <c r="N9559" s="194"/>
    </row>
    <row r="9560">
      <c r="A9560" s="193" t="s">
        <v>30571</v>
      </c>
      <c r="B9560" s="7" t="s">
        <v>16838</v>
      </c>
      <c r="C9560" s="7" t="s">
        <v>19579</v>
      </c>
      <c r="D9560" s="194">
        <v>2007.0</v>
      </c>
      <c r="E9560" s="193"/>
      <c r="F9560" s="195" t="s">
        <v>30572</v>
      </c>
      <c r="G9560" s="196">
        <v>0.0</v>
      </c>
      <c r="H9560" s="197">
        <v>12.7</v>
      </c>
      <c r="I9560" s="7" t="s">
        <v>16815</v>
      </c>
      <c r="J9560" s="7" t="s">
        <v>16838</v>
      </c>
      <c r="K9560" s="7" t="s">
        <v>19579</v>
      </c>
      <c r="L9560" s="198" t="s">
        <v>65</v>
      </c>
      <c r="M9560" s="194"/>
      <c r="N9560" s="194"/>
    </row>
    <row r="9561">
      <c r="A9561" s="193" t="s">
        <v>30573</v>
      </c>
      <c r="B9561" s="7" t="s">
        <v>16838</v>
      </c>
      <c r="C9561" s="7" t="s">
        <v>19579</v>
      </c>
      <c r="D9561" s="194">
        <v>2004.0</v>
      </c>
      <c r="E9561" s="193"/>
      <c r="F9561" s="195" t="s">
        <v>30574</v>
      </c>
      <c r="G9561" s="196">
        <v>0.0</v>
      </c>
      <c r="H9561" s="197">
        <v>8.08</v>
      </c>
      <c r="I9561" s="7" t="s">
        <v>16815</v>
      </c>
      <c r="J9561" s="7" t="s">
        <v>16838</v>
      </c>
      <c r="K9561" s="7" t="s">
        <v>19579</v>
      </c>
      <c r="L9561" s="198" t="s">
        <v>65</v>
      </c>
      <c r="M9561" s="194"/>
      <c r="N9561" s="194"/>
    </row>
    <row r="9562">
      <c r="A9562" s="193" t="s">
        <v>30575</v>
      </c>
      <c r="B9562" s="7" t="s">
        <v>16838</v>
      </c>
      <c r="C9562" s="7" t="s">
        <v>19579</v>
      </c>
      <c r="D9562" s="199"/>
      <c r="E9562" s="193"/>
      <c r="F9562" s="195" t="s">
        <v>30576</v>
      </c>
      <c r="G9562" s="196">
        <v>0.0</v>
      </c>
      <c r="H9562" s="197">
        <v>5.52</v>
      </c>
      <c r="I9562" s="7" t="s">
        <v>16815</v>
      </c>
      <c r="J9562" s="7" t="s">
        <v>16838</v>
      </c>
      <c r="K9562" s="7" t="s">
        <v>19579</v>
      </c>
      <c r="L9562" s="198" t="s">
        <v>65</v>
      </c>
      <c r="M9562" s="199"/>
      <c r="N9562" s="199"/>
    </row>
    <row r="9563">
      <c r="A9563" s="193" t="s">
        <v>30577</v>
      </c>
      <c r="B9563" s="7" t="s">
        <v>16838</v>
      </c>
      <c r="C9563" s="7" t="s">
        <v>19579</v>
      </c>
      <c r="D9563" s="194">
        <v>1990.0</v>
      </c>
      <c r="E9563" s="193"/>
      <c r="F9563" s="195" t="s">
        <v>30578</v>
      </c>
      <c r="G9563" s="196">
        <v>0.0</v>
      </c>
      <c r="H9563" s="197">
        <v>7.0</v>
      </c>
      <c r="I9563" s="7" t="s">
        <v>16815</v>
      </c>
      <c r="J9563" s="7" t="s">
        <v>16838</v>
      </c>
      <c r="K9563" s="7" t="s">
        <v>19579</v>
      </c>
      <c r="L9563" s="198" t="s">
        <v>65</v>
      </c>
      <c r="M9563" s="194"/>
      <c r="N9563" s="194"/>
    </row>
    <row r="9564">
      <c r="A9564" s="193" t="s">
        <v>30579</v>
      </c>
      <c r="B9564" s="7" t="s">
        <v>16838</v>
      </c>
      <c r="C9564" s="7" t="s">
        <v>19579</v>
      </c>
      <c r="D9564" s="194">
        <v>1989.0</v>
      </c>
      <c r="E9564" s="193"/>
      <c r="F9564" s="195" t="s">
        <v>7939</v>
      </c>
      <c r="G9564" s="196">
        <v>0.0</v>
      </c>
      <c r="H9564" s="197">
        <v>7.88</v>
      </c>
      <c r="I9564" s="7" t="s">
        <v>16815</v>
      </c>
      <c r="J9564" s="7" t="s">
        <v>16838</v>
      </c>
      <c r="K9564" s="7" t="s">
        <v>19579</v>
      </c>
      <c r="L9564" s="198" t="s">
        <v>65</v>
      </c>
      <c r="M9564" s="194"/>
      <c r="N9564" s="194"/>
    </row>
    <row r="9565">
      <c r="A9565" s="193" t="s">
        <v>30580</v>
      </c>
      <c r="B9565" s="7" t="s">
        <v>16838</v>
      </c>
      <c r="C9565" s="7" t="s">
        <v>19579</v>
      </c>
      <c r="D9565" s="194">
        <v>1993.0</v>
      </c>
      <c r="E9565" s="193"/>
      <c r="F9565" s="195" t="s">
        <v>30581</v>
      </c>
      <c r="G9565" s="196">
        <v>0.0</v>
      </c>
      <c r="H9565" s="197">
        <v>6.41</v>
      </c>
      <c r="I9565" s="7" t="s">
        <v>16815</v>
      </c>
      <c r="J9565" s="7" t="s">
        <v>16838</v>
      </c>
      <c r="K9565" s="7" t="s">
        <v>19579</v>
      </c>
      <c r="L9565" s="198" t="s">
        <v>65</v>
      </c>
      <c r="M9565" s="194"/>
      <c r="N9565" s="194"/>
    </row>
    <row r="9566">
      <c r="A9566" s="193" t="s">
        <v>30582</v>
      </c>
      <c r="B9566" s="7" t="s">
        <v>16838</v>
      </c>
      <c r="C9566" s="7" t="s">
        <v>19579</v>
      </c>
      <c r="D9566" s="199"/>
      <c r="E9566" s="193"/>
      <c r="F9566" s="195" t="s">
        <v>30583</v>
      </c>
      <c r="G9566" s="196">
        <v>0.0</v>
      </c>
      <c r="H9566" s="197">
        <v>16.33</v>
      </c>
      <c r="I9566" s="7" t="s">
        <v>16815</v>
      </c>
      <c r="J9566" s="7" t="s">
        <v>16838</v>
      </c>
      <c r="K9566" s="7" t="s">
        <v>19579</v>
      </c>
      <c r="L9566" s="198" t="s">
        <v>65</v>
      </c>
      <c r="M9566" s="199"/>
      <c r="N9566" s="199"/>
    </row>
    <row r="9567">
      <c r="A9567" s="193" t="s">
        <v>30584</v>
      </c>
      <c r="B9567" s="7" t="s">
        <v>16838</v>
      </c>
      <c r="C9567" s="7" t="s">
        <v>19579</v>
      </c>
      <c r="D9567" s="194">
        <v>2021.0</v>
      </c>
      <c r="E9567" s="193"/>
      <c r="F9567" s="195" t="s">
        <v>30585</v>
      </c>
      <c r="G9567" s="196">
        <v>0.0</v>
      </c>
      <c r="H9567" s="197">
        <v>10.6</v>
      </c>
      <c r="I9567" s="7" t="s">
        <v>16815</v>
      </c>
      <c r="J9567" s="7" t="s">
        <v>16838</v>
      </c>
      <c r="K9567" s="7" t="s">
        <v>19579</v>
      </c>
      <c r="L9567" s="198" t="s">
        <v>65</v>
      </c>
      <c r="M9567" s="194"/>
      <c r="N9567" s="194"/>
    </row>
    <row r="9568">
      <c r="A9568" s="193" t="s">
        <v>30769</v>
      </c>
      <c r="B9568" s="7" t="s">
        <v>16838</v>
      </c>
      <c r="C9568" s="7" t="s">
        <v>19579</v>
      </c>
      <c r="D9568" s="199"/>
      <c r="E9568" s="193"/>
      <c r="F9568" s="195" t="s">
        <v>30770</v>
      </c>
      <c r="G9568" s="196">
        <v>0.0</v>
      </c>
      <c r="H9568" s="197">
        <v>7.525</v>
      </c>
      <c r="I9568" s="7" t="s">
        <v>16815</v>
      </c>
      <c r="J9568" s="7" t="s">
        <v>16838</v>
      </c>
      <c r="K9568" s="7" t="s">
        <v>19579</v>
      </c>
      <c r="L9568" s="198" t="s">
        <v>65</v>
      </c>
      <c r="M9568" s="199"/>
      <c r="N9568" s="199"/>
    </row>
    <row r="9569">
      <c r="A9569" s="193" t="s">
        <v>30586</v>
      </c>
      <c r="B9569" s="7" t="s">
        <v>16838</v>
      </c>
      <c r="C9569" s="7" t="s">
        <v>19579</v>
      </c>
      <c r="D9569" s="194">
        <v>1992.0</v>
      </c>
      <c r="E9569" s="193"/>
      <c r="F9569" s="195" t="s">
        <v>30587</v>
      </c>
      <c r="G9569" s="196">
        <v>0.0</v>
      </c>
      <c r="H9569" s="197">
        <v>8.62</v>
      </c>
      <c r="I9569" s="7" t="s">
        <v>16815</v>
      </c>
      <c r="J9569" s="7" t="s">
        <v>16838</v>
      </c>
      <c r="K9569" s="7" t="s">
        <v>19579</v>
      </c>
      <c r="L9569" s="198" t="s">
        <v>65</v>
      </c>
      <c r="M9569" s="194"/>
      <c r="N9569" s="194"/>
    </row>
    <row r="9570">
      <c r="A9570" s="193" t="s">
        <v>30588</v>
      </c>
      <c r="B9570" s="7" t="s">
        <v>16838</v>
      </c>
      <c r="C9570" s="7" t="s">
        <v>19579</v>
      </c>
      <c r="D9570" s="194">
        <v>1988.0</v>
      </c>
      <c r="E9570" s="193"/>
      <c r="F9570" s="195" t="s">
        <v>30589</v>
      </c>
      <c r="G9570" s="196">
        <v>0.0</v>
      </c>
      <c r="H9570" s="197">
        <v>8.82</v>
      </c>
      <c r="I9570" s="7" t="s">
        <v>16815</v>
      </c>
      <c r="J9570" s="7" t="s">
        <v>16838</v>
      </c>
      <c r="K9570" s="7" t="s">
        <v>19579</v>
      </c>
      <c r="L9570" s="198" t="s">
        <v>65</v>
      </c>
      <c r="M9570" s="194"/>
      <c r="N9570" s="194"/>
    </row>
    <row r="9571">
      <c r="A9571" s="193" t="s">
        <v>30590</v>
      </c>
      <c r="B9571" s="7" t="s">
        <v>16838</v>
      </c>
      <c r="C9571" s="7" t="s">
        <v>19579</v>
      </c>
      <c r="D9571" s="194">
        <v>2021.0</v>
      </c>
      <c r="E9571" s="193"/>
      <c r="F9571" s="195" t="s">
        <v>30591</v>
      </c>
      <c r="G9571" s="196">
        <v>0.0</v>
      </c>
      <c r="H9571" s="197">
        <v>15.47</v>
      </c>
      <c r="I9571" s="7" t="s">
        <v>16815</v>
      </c>
      <c r="J9571" s="7" t="s">
        <v>16838</v>
      </c>
      <c r="K9571" s="7" t="s">
        <v>19579</v>
      </c>
      <c r="L9571" s="198" t="s">
        <v>65</v>
      </c>
      <c r="M9571" s="194"/>
      <c r="N9571" s="194"/>
    </row>
    <row r="9572">
      <c r="A9572" s="193" t="s">
        <v>30592</v>
      </c>
      <c r="B9572" s="7" t="s">
        <v>16838</v>
      </c>
      <c r="C9572" s="7" t="s">
        <v>19579</v>
      </c>
      <c r="D9572" s="194">
        <v>1991.0</v>
      </c>
      <c r="E9572" s="193"/>
      <c r="F9572" s="195" t="s">
        <v>30593</v>
      </c>
      <c r="G9572" s="196">
        <v>0.0</v>
      </c>
      <c r="H9572" s="197">
        <v>10.39</v>
      </c>
      <c r="I9572" s="7" t="s">
        <v>16815</v>
      </c>
      <c r="J9572" s="7" t="s">
        <v>16838</v>
      </c>
      <c r="K9572" s="7" t="s">
        <v>19579</v>
      </c>
      <c r="L9572" s="198" t="s">
        <v>65</v>
      </c>
      <c r="M9572" s="194"/>
      <c r="N9572" s="194"/>
    </row>
    <row r="9573">
      <c r="A9573" s="193" t="s">
        <v>30594</v>
      </c>
      <c r="B9573" s="7" t="s">
        <v>16838</v>
      </c>
      <c r="C9573" s="7" t="s">
        <v>19579</v>
      </c>
      <c r="D9573" s="194">
        <v>2002.0</v>
      </c>
      <c r="E9573" s="193"/>
      <c r="F9573" s="195" t="s">
        <v>30595</v>
      </c>
      <c r="G9573" s="196">
        <v>0.0</v>
      </c>
      <c r="H9573" s="197">
        <v>9.32</v>
      </c>
      <c r="I9573" s="7" t="s">
        <v>16815</v>
      </c>
      <c r="J9573" s="7" t="s">
        <v>16838</v>
      </c>
      <c r="K9573" s="7" t="s">
        <v>19579</v>
      </c>
      <c r="L9573" s="198" t="s">
        <v>65</v>
      </c>
      <c r="M9573" s="194"/>
      <c r="N9573" s="194"/>
    </row>
    <row r="9574">
      <c r="A9574" s="193" t="s">
        <v>30596</v>
      </c>
      <c r="B9574" s="7" t="s">
        <v>16838</v>
      </c>
      <c r="C9574" s="7" t="s">
        <v>19579</v>
      </c>
      <c r="D9574" s="194">
        <v>1987.0</v>
      </c>
      <c r="E9574" s="193"/>
      <c r="F9574" s="195" t="s">
        <v>30597</v>
      </c>
      <c r="G9574" s="196">
        <v>0.0</v>
      </c>
      <c r="H9574" s="197">
        <v>8.31</v>
      </c>
      <c r="I9574" s="7" t="s">
        <v>16815</v>
      </c>
      <c r="J9574" s="7" t="s">
        <v>16838</v>
      </c>
      <c r="K9574" s="7" t="s">
        <v>19579</v>
      </c>
      <c r="L9574" s="198" t="s">
        <v>65</v>
      </c>
      <c r="M9574" s="194"/>
      <c r="N9574" s="194"/>
    </row>
    <row r="9575">
      <c r="A9575" s="193" t="s">
        <v>30598</v>
      </c>
      <c r="B9575" s="7" t="s">
        <v>16838</v>
      </c>
      <c r="C9575" s="7" t="s">
        <v>19579</v>
      </c>
      <c r="D9575" s="199"/>
      <c r="E9575" s="193"/>
      <c r="F9575" s="195" t="s">
        <v>30599</v>
      </c>
      <c r="G9575" s="196">
        <v>0.0</v>
      </c>
      <c r="H9575" s="197">
        <v>11.19</v>
      </c>
      <c r="I9575" s="7" t="s">
        <v>16815</v>
      </c>
      <c r="J9575" s="7" t="s">
        <v>16838</v>
      </c>
      <c r="K9575" s="7" t="s">
        <v>19579</v>
      </c>
      <c r="L9575" s="198" t="s">
        <v>65</v>
      </c>
      <c r="M9575" s="199"/>
      <c r="N9575" s="199"/>
    </row>
    <row r="9576">
      <c r="A9576" s="193" t="s">
        <v>30600</v>
      </c>
      <c r="B9576" s="7" t="s">
        <v>16838</v>
      </c>
      <c r="C9576" s="7" t="s">
        <v>19579</v>
      </c>
      <c r="D9576" s="199"/>
      <c r="E9576" s="193"/>
      <c r="F9576" s="195" t="s">
        <v>30601</v>
      </c>
      <c r="G9576" s="196">
        <v>0.0</v>
      </c>
      <c r="H9576" s="197">
        <v>6.23</v>
      </c>
      <c r="I9576" s="7" t="s">
        <v>16815</v>
      </c>
      <c r="J9576" s="7" t="s">
        <v>16838</v>
      </c>
      <c r="K9576" s="7" t="s">
        <v>19579</v>
      </c>
      <c r="L9576" s="198" t="s">
        <v>65</v>
      </c>
      <c r="M9576" s="199"/>
      <c r="N9576" s="199"/>
    </row>
    <row r="9577">
      <c r="A9577" s="193" t="s">
        <v>30602</v>
      </c>
      <c r="B9577" s="7" t="s">
        <v>16838</v>
      </c>
      <c r="C9577" s="7" t="s">
        <v>19579</v>
      </c>
      <c r="D9577" s="194">
        <v>2002.0</v>
      </c>
      <c r="E9577" s="193"/>
      <c r="F9577" s="195" t="s">
        <v>30603</v>
      </c>
      <c r="G9577" s="196">
        <v>0.0</v>
      </c>
      <c r="H9577" s="197">
        <v>5.38</v>
      </c>
      <c r="I9577" s="7" t="s">
        <v>16815</v>
      </c>
      <c r="J9577" s="7" t="s">
        <v>16838</v>
      </c>
      <c r="K9577" s="7" t="s">
        <v>19579</v>
      </c>
      <c r="L9577" s="198" t="s">
        <v>65</v>
      </c>
      <c r="M9577" s="194"/>
      <c r="N9577" s="194"/>
    </row>
    <row r="9578">
      <c r="A9578" s="193" t="s">
        <v>30604</v>
      </c>
      <c r="B9578" s="7" t="s">
        <v>16838</v>
      </c>
      <c r="C9578" s="7" t="s">
        <v>19579</v>
      </c>
      <c r="D9578" s="194">
        <v>1993.0</v>
      </c>
      <c r="E9578" s="193"/>
      <c r="F9578" s="195" t="s">
        <v>30605</v>
      </c>
      <c r="G9578" s="196">
        <v>0.0</v>
      </c>
      <c r="H9578" s="197">
        <v>7.72</v>
      </c>
      <c r="I9578" s="7" t="s">
        <v>16815</v>
      </c>
      <c r="J9578" s="7" t="s">
        <v>16838</v>
      </c>
      <c r="K9578" s="7" t="s">
        <v>19579</v>
      </c>
      <c r="L9578" s="198" t="s">
        <v>65</v>
      </c>
      <c r="M9578" s="194"/>
      <c r="N9578" s="194"/>
    </row>
    <row r="9579">
      <c r="A9579" s="193" t="s">
        <v>30606</v>
      </c>
      <c r="B9579" s="7" t="s">
        <v>16838</v>
      </c>
      <c r="C9579" s="7" t="s">
        <v>19579</v>
      </c>
      <c r="D9579" s="194">
        <v>2002.0</v>
      </c>
      <c r="E9579" s="193"/>
      <c r="F9579" s="195" t="s">
        <v>30607</v>
      </c>
      <c r="G9579" s="196">
        <v>0.0</v>
      </c>
      <c r="H9579" s="197">
        <v>6.82</v>
      </c>
      <c r="I9579" s="7" t="s">
        <v>16815</v>
      </c>
      <c r="J9579" s="7" t="s">
        <v>16838</v>
      </c>
      <c r="K9579" s="7" t="s">
        <v>19579</v>
      </c>
      <c r="L9579" s="198" t="s">
        <v>65</v>
      </c>
      <c r="M9579" s="194"/>
      <c r="N9579" s="194"/>
    </row>
    <row r="9580">
      <c r="A9580" s="193" t="s">
        <v>30608</v>
      </c>
      <c r="B9580" s="7" t="s">
        <v>16838</v>
      </c>
      <c r="C9580" s="7" t="s">
        <v>19579</v>
      </c>
      <c r="D9580" s="194">
        <v>2002.0</v>
      </c>
      <c r="E9580" s="193"/>
      <c r="F9580" s="195" t="s">
        <v>30609</v>
      </c>
      <c r="G9580" s="196">
        <v>0.0</v>
      </c>
      <c r="H9580" s="197">
        <v>6.67</v>
      </c>
      <c r="I9580" s="7" t="s">
        <v>16815</v>
      </c>
      <c r="J9580" s="7" t="s">
        <v>16838</v>
      </c>
      <c r="K9580" s="7" t="s">
        <v>19579</v>
      </c>
      <c r="L9580" s="198" t="s">
        <v>65</v>
      </c>
      <c r="M9580" s="194"/>
      <c r="N9580" s="194"/>
    </row>
    <row r="9581">
      <c r="A9581" s="193" t="s">
        <v>30610</v>
      </c>
      <c r="B9581" s="7" t="s">
        <v>16838</v>
      </c>
      <c r="C9581" s="7" t="s">
        <v>19579</v>
      </c>
      <c r="D9581" s="194">
        <v>2004.0</v>
      </c>
      <c r="E9581" s="193"/>
      <c r="F9581" s="195" t="s">
        <v>30611</v>
      </c>
      <c r="G9581" s="196">
        <v>0.0</v>
      </c>
      <c r="H9581" s="197">
        <v>12.25</v>
      </c>
      <c r="I9581" s="7" t="s">
        <v>16815</v>
      </c>
      <c r="J9581" s="7" t="s">
        <v>16838</v>
      </c>
      <c r="K9581" s="7" t="s">
        <v>19579</v>
      </c>
      <c r="L9581" s="198" t="s">
        <v>65</v>
      </c>
      <c r="M9581" s="194"/>
      <c r="N9581" s="194"/>
    </row>
    <row r="9582">
      <c r="A9582" s="193" t="s">
        <v>30612</v>
      </c>
      <c r="B9582" s="7" t="s">
        <v>16838</v>
      </c>
      <c r="C9582" s="7" t="s">
        <v>19579</v>
      </c>
      <c r="D9582" s="199"/>
      <c r="E9582" s="193"/>
      <c r="F9582" s="195" t="s">
        <v>10474</v>
      </c>
      <c r="G9582" s="196">
        <v>0.0</v>
      </c>
      <c r="H9582" s="197">
        <v>14.41</v>
      </c>
      <c r="I9582" s="7" t="s">
        <v>16815</v>
      </c>
      <c r="J9582" s="7" t="s">
        <v>16838</v>
      </c>
      <c r="K9582" s="7" t="s">
        <v>19579</v>
      </c>
      <c r="L9582" s="198" t="s">
        <v>65</v>
      </c>
      <c r="M9582" s="199"/>
      <c r="N9582" s="199"/>
    </row>
    <row r="9583">
      <c r="A9583" s="193" t="s">
        <v>30613</v>
      </c>
      <c r="B9583" s="7" t="s">
        <v>16838</v>
      </c>
      <c r="C9583" s="7" t="s">
        <v>19579</v>
      </c>
      <c r="D9583" s="194">
        <v>2011.0</v>
      </c>
      <c r="E9583" s="193"/>
      <c r="F9583" s="195" t="s">
        <v>30614</v>
      </c>
      <c r="G9583" s="196">
        <v>0.0</v>
      </c>
      <c r="H9583" s="197">
        <v>27.02</v>
      </c>
      <c r="I9583" s="7" t="s">
        <v>16815</v>
      </c>
      <c r="J9583" s="7" t="s">
        <v>16838</v>
      </c>
      <c r="K9583" s="7" t="s">
        <v>19579</v>
      </c>
      <c r="L9583" s="198" t="s">
        <v>65</v>
      </c>
      <c r="M9583" s="194"/>
      <c r="N9583" s="194"/>
    </row>
    <row r="9584">
      <c r="A9584" s="193" t="s">
        <v>30615</v>
      </c>
      <c r="B9584" s="7" t="s">
        <v>16838</v>
      </c>
      <c r="C9584" s="7" t="s">
        <v>19579</v>
      </c>
      <c r="D9584" s="194">
        <v>1986.0</v>
      </c>
      <c r="E9584" s="193"/>
      <c r="F9584" s="195" t="s">
        <v>30616</v>
      </c>
      <c r="G9584" s="196">
        <v>0.0</v>
      </c>
      <c r="H9584" s="197">
        <v>31.0</v>
      </c>
      <c r="I9584" s="7" t="s">
        <v>16815</v>
      </c>
      <c r="J9584" s="7" t="s">
        <v>16838</v>
      </c>
      <c r="K9584" s="7" t="s">
        <v>19579</v>
      </c>
      <c r="L9584" s="198" t="s">
        <v>65</v>
      </c>
      <c r="M9584" s="194"/>
      <c r="N9584" s="194"/>
    </row>
    <row r="9585">
      <c r="A9585" s="193" t="s">
        <v>30617</v>
      </c>
      <c r="B9585" s="7" t="s">
        <v>16838</v>
      </c>
      <c r="C9585" s="7" t="s">
        <v>19579</v>
      </c>
      <c r="D9585" s="199"/>
      <c r="E9585" s="193"/>
      <c r="F9585" s="195" t="s">
        <v>30618</v>
      </c>
      <c r="G9585" s="196">
        <v>0.0</v>
      </c>
      <c r="H9585" s="197">
        <v>14.97</v>
      </c>
      <c r="I9585" s="7" t="s">
        <v>16815</v>
      </c>
      <c r="J9585" s="7" t="s">
        <v>16838</v>
      </c>
      <c r="K9585" s="7" t="s">
        <v>19579</v>
      </c>
      <c r="L9585" s="198" t="s">
        <v>65</v>
      </c>
      <c r="M9585" s="199"/>
      <c r="N9585" s="199"/>
    </row>
    <row r="9586">
      <c r="A9586" s="193" t="s">
        <v>30619</v>
      </c>
      <c r="B9586" s="7" t="s">
        <v>16838</v>
      </c>
      <c r="C9586" s="7" t="s">
        <v>19579</v>
      </c>
      <c r="D9586" s="194">
        <v>1989.0</v>
      </c>
      <c r="E9586" s="193"/>
      <c r="F9586" s="195" t="s">
        <v>30620</v>
      </c>
      <c r="G9586" s="196">
        <v>0.0</v>
      </c>
      <c r="H9586" s="197">
        <v>9.88</v>
      </c>
      <c r="I9586" s="7" t="s">
        <v>16815</v>
      </c>
      <c r="J9586" s="7" t="s">
        <v>16838</v>
      </c>
      <c r="K9586" s="7" t="s">
        <v>19579</v>
      </c>
      <c r="L9586" s="198" t="s">
        <v>65</v>
      </c>
      <c r="M9586" s="194"/>
      <c r="N9586" s="194"/>
    </row>
    <row r="9587">
      <c r="A9587" s="193" t="s">
        <v>30621</v>
      </c>
      <c r="B9587" s="7" t="s">
        <v>16838</v>
      </c>
      <c r="C9587" s="7" t="s">
        <v>19579</v>
      </c>
      <c r="D9587" s="194">
        <v>1998.0</v>
      </c>
      <c r="E9587" s="193"/>
      <c r="F9587" s="195" t="s">
        <v>30622</v>
      </c>
      <c r="G9587" s="196">
        <v>0.0</v>
      </c>
      <c r="H9587" s="197">
        <v>4.03</v>
      </c>
      <c r="I9587" s="7" t="s">
        <v>16815</v>
      </c>
      <c r="J9587" s="7" t="s">
        <v>16838</v>
      </c>
      <c r="K9587" s="7" t="s">
        <v>19579</v>
      </c>
      <c r="L9587" s="198" t="s">
        <v>65</v>
      </c>
      <c r="M9587" s="194"/>
      <c r="N9587" s="194"/>
    </row>
    <row r="9588">
      <c r="A9588" s="193" t="s">
        <v>30623</v>
      </c>
      <c r="B9588" s="7" t="s">
        <v>16838</v>
      </c>
      <c r="C9588" s="7" t="s">
        <v>19579</v>
      </c>
      <c r="D9588" s="194">
        <v>2021.0</v>
      </c>
      <c r="E9588" s="193"/>
      <c r="F9588" s="195" t="s">
        <v>30624</v>
      </c>
      <c r="G9588" s="196">
        <v>0.0</v>
      </c>
      <c r="H9588" s="197">
        <v>12.94</v>
      </c>
      <c r="I9588" s="7" t="s">
        <v>16815</v>
      </c>
      <c r="J9588" s="7" t="s">
        <v>16838</v>
      </c>
      <c r="K9588" s="7" t="s">
        <v>19579</v>
      </c>
      <c r="L9588" s="198" t="s">
        <v>65</v>
      </c>
      <c r="M9588" s="194"/>
      <c r="N9588" s="194"/>
    </row>
    <row r="9589">
      <c r="A9589" s="193" t="s">
        <v>30625</v>
      </c>
      <c r="B9589" s="7" t="s">
        <v>16838</v>
      </c>
      <c r="C9589" s="7" t="s">
        <v>19579</v>
      </c>
      <c r="D9589" s="194">
        <v>2002.0</v>
      </c>
      <c r="E9589" s="193"/>
      <c r="F9589" s="195" t="s">
        <v>30626</v>
      </c>
      <c r="G9589" s="196">
        <v>0.0</v>
      </c>
      <c r="H9589" s="197">
        <v>10.33</v>
      </c>
      <c r="I9589" s="7" t="s">
        <v>16815</v>
      </c>
      <c r="J9589" s="7" t="s">
        <v>16838</v>
      </c>
      <c r="K9589" s="7" t="s">
        <v>19579</v>
      </c>
      <c r="L9589" s="198" t="s">
        <v>65</v>
      </c>
      <c r="M9589" s="194"/>
      <c r="N9589" s="194"/>
    </row>
    <row r="9590">
      <c r="A9590" s="193" t="s">
        <v>30627</v>
      </c>
      <c r="B9590" s="7" t="s">
        <v>16838</v>
      </c>
      <c r="C9590" s="7" t="s">
        <v>19579</v>
      </c>
      <c r="D9590" s="194">
        <v>2003.0</v>
      </c>
      <c r="E9590" s="193"/>
      <c r="F9590" s="195" t="s">
        <v>30628</v>
      </c>
      <c r="G9590" s="196">
        <v>0.0</v>
      </c>
      <c r="H9590" s="197">
        <v>7.99</v>
      </c>
      <c r="I9590" s="7" t="s">
        <v>16815</v>
      </c>
      <c r="J9590" s="7" t="s">
        <v>16838</v>
      </c>
      <c r="K9590" s="7" t="s">
        <v>19579</v>
      </c>
      <c r="L9590" s="198" t="s">
        <v>65</v>
      </c>
      <c r="M9590" s="194"/>
      <c r="N9590" s="194"/>
    </row>
    <row r="9591">
      <c r="A9591" s="193" t="s">
        <v>30694</v>
      </c>
      <c r="B9591" s="7" t="s">
        <v>169</v>
      </c>
      <c r="C9591" s="7" t="s">
        <v>20534</v>
      </c>
      <c r="D9591" s="194">
        <v>2021.0</v>
      </c>
      <c r="E9591" s="193"/>
      <c r="F9591" s="195" t="s">
        <v>30695</v>
      </c>
      <c r="G9591" s="196">
        <v>0.0</v>
      </c>
      <c r="H9591" s="197">
        <v>10.55</v>
      </c>
      <c r="I9591" s="7" t="s">
        <v>16815</v>
      </c>
      <c r="J9591" s="7" t="s">
        <v>169</v>
      </c>
      <c r="K9591" s="7" t="s">
        <v>20534</v>
      </c>
      <c r="L9591" s="198" t="s">
        <v>65</v>
      </c>
      <c r="M9591" s="194"/>
      <c r="N9591" s="194"/>
    </row>
    <row r="9592">
      <c r="A9592" s="193" t="s">
        <v>30771</v>
      </c>
      <c r="D9592" s="194">
        <v>2023.0</v>
      </c>
      <c r="E9592" s="193"/>
      <c r="F9592" s="195" t="s">
        <v>30772</v>
      </c>
      <c r="G9592" s="196">
        <v>0.0</v>
      </c>
      <c r="H9592" s="197">
        <v>10.3215</v>
      </c>
      <c r="I9592" s="7" t="s">
        <v>16815</v>
      </c>
      <c r="L9592" s="198" t="s">
        <v>65</v>
      </c>
      <c r="M9592" s="194"/>
      <c r="N9592" s="194"/>
    </row>
    <row r="9593">
      <c r="A9593" s="193" t="s">
        <v>30773</v>
      </c>
      <c r="D9593" s="199"/>
      <c r="E9593" s="193"/>
      <c r="F9593" s="195" t="s">
        <v>30774</v>
      </c>
      <c r="G9593" s="196">
        <v>0.0</v>
      </c>
      <c r="H9593" s="197">
        <v>1.68</v>
      </c>
      <c r="I9593" s="7" t="s">
        <v>16815</v>
      </c>
      <c r="L9593" s="198" t="s">
        <v>65</v>
      </c>
      <c r="M9593" s="199"/>
      <c r="N9593" s="199"/>
    </row>
    <row r="9594">
      <c r="A9594" s="193" t="s">
        <v>30775</v>
      </c>
      <c r="D9594" s="194">
        <v>2019.0</v>
      </c>
      <c r="E9594" s="193"/>
      <c r="F9594" s="195" t="s">
        <v>30776</v>
      </c>
      <c r="G9594" s="196">
        <v>0.0</v>
      </c>
      <c r="H9594" s="197">
        <v>19.91</v>
      </c>
      <c r="I9594" s="7" t="s">
        <v>16815</v>
      </c>
      <c r="L9594" s="198" t="s">
        <v>65</v>
      </c>
      <c r="M9594" s="194"/>
      <c r="N9594" s="194"/>
    </row>
    <row r="9595">
      <c r="A9595" s="193" t="s">
        <v>30777</v>
      </c>
      <c r="D9595" s="194">
        <v>2023.0</v>
      </c>
      <c r="E9595" s="193"/>
      <c r="F9595" s="195" t="s">
        <v>30778</v>
      </c>
      <c r="G9595" s="196">
        <v>0.0</v>
      </c>
      <c r="H9595" s="197">
        <v>10.17</v>
      </c>
      <c r="I9595" s="7" t="s">
        <v>16815</v>
      </c>
      <c r="L9595" s="198" t="s">
        <v>65</v>
      </c>
      <c r="M9595" s="194"/>
      <c r="N9595" s="194"/>
    </row>
    <row r="9596">
      <c r="A9596" s="193" t="s">
        <v>30779</v>
      </c>
      <c r="D9596" s="194">
        <v>2023.0</v>
      </c>
      <c r="E9596" s="193"/>
      <c r="F9596" s="195" t="s">
        <v>30780</v>
      </c>
      <c r="G9596" s="196">
        <v>0.0</v>
      </c>
      <c r="H9596" s="197">
        <v>10.065</v>
      </c>
      <c r="I9596" s="7" t="s">
        <v>16815</v>
      </c>
      <c r="L9596" s="198" t="s">
        <v>65</v>
      </c>
      <c r="M9596" s="194"/>
      <c r="N9596" s="194"/>
    </row>
    <row r="9597">
      <c r="A9597" s="193" t="s">
        <v>30781</v>
      </c>
      <c r="D9597" s="194">
        <v>2023.0</v>
      </c>
      <c r="E9597" s="193"/>
      <c r="F9597" s="195" t="s">
        <v>30782</v>
      </c>
      <c r="G9597" s="196">
        <v>0.0</v>
      </c>
      <c r="H9597" s="197">
        <v>26.51</v>
      </c>
      <c r="I9597" s="7" t="s">
        <v>16815</v>
      </c>
      <c r="L9597" s="198" t="s">
        <v>65</v>
      </c>
      <c r="M9597" s="194"/>
      <c r="N9597" s="194"/>
    </row>
    <row r="9598">
      <c r="A9598" s="193" t="s">
        <v>30783</v>
      </c>
      <c r="D9598" s="194">
        <v>2021.0</v>
      </c>
      <c r="E9598" s="193"/>
      <c r="F9598" s="195" t="s">
        <v>30784</v>
      </c>
      <c r="G9598" s="196">
        <v>0.0</v>
      </c>
      <c r="H9598" s="197">
        <v>10.64</v>
      </c>
      <c r="I9598" s="7" t="s">
        <v>16815</v>
      </c>
      <c r="L9598" s="198" t="s">
        <v>65</v>
      </c>
      <c r="M9598" s="194"/>
      <c r="N9598" s="194"/>
    </row>
    <row r="9599">
      <c r="A9599" s="193" t="s">
        <v>30785</v>
      </c>
      <c r="D9599" s="194">
        <v>2021.0</v>
      </c>
      <c r="E9599" s="193"/>
      <c r="F9599" s="195" t="s">
        <v>30786</v>
      </c>
      <c r="G9599" s="196">
        <v>0.0</v>
      </c>
      <c r="H9599" s="197">
        <v>0.0512</v>
      </c>
      <c r="I9599" s="7" t="s">
        <v>16815</v>
      </c>
      <c r="L9599" s="198" t="s">
        <v>65</v>
      </c>
      <c r="M9599" s="194"/>
      <c r="N9599" s="194"/>
    </row>
    <row r="9600">
      <c r="A9600" s="193" t="s">
        <v>30787</v>
      </c>
      <c r="D9600" s="199"/>
      <c r="E9600" s="193"/>
      <c r="F9600" s="195" t="s">
        <v>30788</v>
      </c>
      <c r="G9600" s="196">
        <v>0.0</v>
      </c>
      <c r="H9600" s="197">
        <v>13.94</v>
      </c>
      <c r="I9600" s="7" t="s">
        <v>16815</v>
      </c>
      <c r="L9600" s="198" t="s">
        <v>65</v>
      </c>
      <c r="M9600" s="199"/>
      <c r="N9600" s="199"/>
    </row>
    <row r="9601">
      <c r="A9601" s="193" t="s">
        <v>30789</v>
      </c>
      <c r="D9601" s="194">
        <v>2021.0</v>
      </c>
      <c r="E9601" s="193"/>
      <c r="F9601" s="195" t="s">
        <v>30790</v>
      </c>
      <c r="G9601" s="196">
        <v>0.0</v>
      </c>
      <c r="H9601" s="197">
        <v>14.475</v>
      </c>
      <c r="I9601" s="7" t="s">
        <v>16815</v>
      </c>
      <c r="L9601" s="198" t="s">
        <v>65</v>
      </c>
      <c r="M9601" s="194"/>
      <c r="N9601" s="194"/>
    </row>
    <row r="9602">
      <c r="A9602" s="193" t="s">
        <v>30791</v>
      </c>
      <c r="D9602" s="194">
        <v>2022.0</v>
      </c>
      <c r="E9602" s="193"/>
      <c r="F9602" s="195" t="s">
        <v>30792</v>
      </c>
      <c r="G9602" s="196">
        <v>0.0</v>
      </c>
      <c r="H9602" s="197">
        <v>15.68</v>
      </c>
      <c r="I9602" s="7" t="s">
        <v>16815</v>
      </c>
      <c r="L9602" s="198" t="s">
        <v>65</v>
      </c>
      <c r="M9602" s="194"/>
      <c r="N9602" s="194"/>
    </row>
    <row r="9603">
      <c r="A9603" s="193" t="s">
        <v>30793</v>
      </c>
      <c r="D9603" s="194">
        <v>2023.0</v>
      </c>
      <c r="E9603" s="193"/>
      <c r="F9603" s="195" t="s">
        <v>30794</v>
      </c>
      <c r="G9603" s="196">
        <v>0.0</v>
      </c>
      <c r="H9603" s="197">
        <v>10.37</v>
      </c>
      <c r="I9603" s="7" t="s">
        <v>16815</v>
      </c>
      <c r="L9603" s="198" t="s">
        <v>65</v>
      </c>
      <c r="M9603" s="194"/>
      <c r="N9603" s="194"/>
    </row>
    <row r="9604">
      <c r="A9604" s="193" t="s">
        <v>30795</v>
      </c>
      <c r="D9604" s="194">
        <v>2021.0</v>
      </c>
      <c r="E9604" s="193"/>
      <c r="F9604" s="195" t="s">
        <v>30796</v>
      </c>
      <c r="G9604" s="196">
        <v>0.0</v>
      </c>
      <c r="H9604" s="197">
        <v>3.02</v>
      </c>
      <c r="I9604" s="7" t="s">
        <v>16815</v>
      </c>
      <c r="L9604" s="198" t="s">
        <v>65</v>
      </c>
      <c r="M9604" s="194"/>
      <c r="N9604" s="194"/>
    </row>
    <row r="9605">
      <c r="A9605" s="193" t="s">
        <v>30797</v>
      </c>
      <c r="D9605" s="199"/>
      <c r="E9605" s="193"/>
      <c r="F9605" s="195" t="s">
        <v>30798</v>
      </c>
      <c r="G9605" s="196">
        <v>0.0</v>
      </c>
      <c r="H9605" s="197">
        <v>6.07</v>
      </c>
      <c r="I9605" s="7" t="s">
        <v>16815</v>
      </c>
      <c r="L9605" s="198" t="s">
        <v>65</v>
      </c>
      <c r="M9605" s="199"/>
      <c r="N9605" s="199"/>
    </row>
    <row r="9606">
      <c r="A9606" s="193" t="s">
        <v>30799</v>
      </c>
      <c r="D9606" s="199"/>
      <c r="E9606" s="193"/>
      <c r="F9606" s="195" t="s">
        <v>30800</v>
      </c>
      <c r="G9606" s="196">
        <v>0.0</v>
      </c>
      <c r="H9606" s="197">
        <v>0.07</v>
      </c>
      <c r="I9606" s="7" t="s">
        <v>16815</v>
      </c>
      <c r="L9606" s="198" t="s">
        <v>65</v>
      </c>
      <c r="M9606" s="199"/>
      <c r="N9606" s="199"/>
    </row>
    <row r="9607">
      <c r="A9607" s="193" t="s">
        <v>30801</v>
      </c>
      <c r="D9607" s="199"/>
      <c r="E9607" s="193"/>
      <c r="F9607" s="195" t="s">
        <v>30802</v>
      </c>
      <c r="G9607" s="196">
        <v>0.0</v>
      </c>
      <c r="H9607" s="197">
        <v>41.0</v>
      </c>
      <c r="I9607" s="7" t="s">
        <v>16815</v>
      </c>
      <c r="L9607" s="198" t="s">
        <v>65</v>
      </c>
      <c r="M9607" s="199"/>
      <c r="N9607" s="199"/>
    </row>
    <row r="9608">
      <c r="A9608" s="193" t="s">
        <v>30803</v>
      </c>
      <c r="D9608" s="199"/>
      <c r="E9608" s="193"/>
      <c r="F9608" s="195" t="s">
        <v>30804</v>
      </c>
      <c r="G9608" s="196">
        <v>0.0</v>
      </c>
      <c r="H9608" s="197">
        <v>0.0753</v>
      </c>
      <c r="I9608" s="7" t="s">
        <v>16815</v>
      </c>
      <c r="L9608" s="198" t="s">
        <v>65</v>
      </c>
      <c r="M9608" s="199"/>
      <c r="N9608" s="199"/>
    </row>
    <row r="9609">
      <c r="A9609" s="193" t="s">
        <v>30805</v>
      </c>
      <c r="D9609" s="199"/>
      <c r="E9609" s="193"/>
      <c r="F9609" s="195" t="s">
        <v>30806</v>
      </c>
      <c r="G9609" s="196">
        <v>0.0</v>
      </c>
      <c r="H9609" s="197">
        <v>14.53</v>
      </c>
      <c r="I9609" s="7" t="s">
        <v>16815</v>
      </c>
      <c r="L9609" s="198" t="s">
        <v>65</v>
      </c>
      <c r="M9609" s="199"/>
      <c r="N9609" s="199"/>
    </row>
    <row r="9610">
      <c r="A9610" s="193" t="s">
        <v>30807</v>
      </c>
      <c r="D9610" s="194">
        <v>2012.0</v>
      </c>
      <c r="E9610" s="193"/>
      <c r="F9610" s="195" t="s">
        <v>30808</v>
      </c>
      <c r="G9610" s="196">
        <v>0.0</v>
      </c>
      <c r="H9610" s="197">
        <v>14.15</v>
      </c>
      <c r="I9610" s="7" t="s">
        <v>16815</v>
      </c>
      <c r="L9610" s="198" t="s">
        <v>65</v>
      </c>
      <c r="M9610" s="194"/>
      <c r="N9610" s="194"/>
    </row>
    <row r="9611">
      <c r="A9611" s="193" t="s">
        <v>30809</v>
      </c>
      <c r="D9611" s="194">
        <v>2021.0</v>
      </c>
      <c r="E9611" s="193"/>
      <c r="F9611" s="195" t="s">
        <v>30810</v>
      </c>
      <c r="G9611" s="196">
        <v>0.0</v>
      </c>
      <c r="H9611" s="197">
        <v>0.32</v>
      </c>
      <c r="I9611" s="7" t="s">
        <v>16815</v>
      </c>
      <c r="L9611" s="198" t="s">
        <v>65</v>
      </c>
      <c r="M9611" s="194"/>
      <c r="N9611" s="194"/>
    </row>
    <row r="9612">
      <c r="A9612" s="193" t="s">
        <v>30811</v>
      </c>
      <c r="D9612" s="199"/>
      <c r="E9612" s="193"/>
      <c r="F9612" s="195" t="s">
        <v>30812</v>
      </c>
      <c r="G9612" s="196">
        <v>0.0</v>
      </c>
      <c r="H9612" s="197">
        <v>0.5229</v>
      </c>
      <c r="I9612" s="7" t="s">
        <v>16815</v>
      </c>
      <c r="L9612" s="198" t="s">
        <v>65</v>
      </c>
      <c r="M9612" s="199"/>
      <c r="N9612" s="199"/>
    </row>
    <row r="9613">
      <c r="A9613" s="193" t="s">
        <v>30813</v>
      </c>
      <c r="D9613" s="199"/>
      <c r="E9613" s="193"/>
      <c r="F9613" s="195" t="s">
        <v>30814</v>
      </c>
      <c r="G9613" s="196">
        <v>0.0</v>
      </c>
      <c r="H9613" s="197">
        <v>24.87</v>
      </c>
      <c r="I9613" s="7" t="s">
        <v>16815</v>
      </c>
      <c r="L9613" s="198" t="s">
        <v>65</v>
      </c>
      <c r="M9613" s="199"/>
      <c r="N9613" s="199"/>
    </row>
    <row r="9614">
      <c r="A9614" s="193" t="s">
        <v>30815</v>
      </c>
      <c r="D9614" s="199"/>
      <c r="E9614" s="193"/>
      <c r="F9614" s="195" t="s">
        <v>30816</v>
      </c>
      <c r="G9614" s="196">
        <v>0.0</v>
      </c>
      <c r="H9614" s="197">
        <v>8.4</v>
      </c>
      <c r="I9614" s="7" t="s">
        <v>16815</v>
      </c>
      <c r="L9614" s="198" t="s">
        <v>65</v>
      </c>
      <c r="M9614" s="199"/>
      <c r="N9614" s="199"/>
    </row>
    <row r="9615">
      <c r="A9615" s="193" t="s">
        <v>30817</v>
      </c>
      <c r="D9615" s="199"/>
      <c r="E9615" s="193"/>
      <c r="F9615" s="195" t="s">
        <v>30818</v>
      </c>
      <c r="G9615" s="196">
        <v>0.0</v>
      </c>
      <c r="H9615" s="197">
        <v>0.56</v>
      </c>
      <c r="I9615" s="7" t="s">
        <v>16815</v>
      </c>
      <c r="L9615" s="198" t="s">
        <v>65</v>
      </c>
      <c r="M9615" s="199"/>
      <c r="N9615" s="199"/>
    </row>
    <row r="9616">
      <c r="A9616" s="193" t="s">
        <v>30819</v>
      </c>
      <c r="D9616" s="199"/>
      <c r="E9616" s="193"/>
      <c r="F9616" s="195" t="s">
        <v>30820</v>
      </c>
      <c r="G9616" s="196">
        <v>0.0</v>
      </c>
      <c r="H9616" s="197">
        <v>0.43</v>
      </c>
      <c r="I9616" s="7" t="s">
        <v>16815</v>
      </c>
      <c r="L9616" s="198" t="s">
        <v>65</v>
      </c>
      <c r="M9616" s="199"/>
      <c r="N9616" s="199"/>
    </row>
    <row r="9617">
      <c r="A9617" s="193" t="s">
        <v>30821</v>
      </c>
      <c r="D9617" s="194">
        <v>2023.0</v>
      </c>
      <c r="E9617" s="193"/>
      <c r="F9617" s="195" t="s">
        <v>30822</v>
      </c>
      <c r="G9617" s="196">
        <v>0.0</v>
      </c>
      <c r="H9617" s="197">
        <v>7.07</v>
      </c>
      <c r="I9617" s="7" t="s">
        <v>16815</v>
      </c>
      <c r="L9617" s="198" t="s">
        <v>65</v>
      </c>
      <c r="M9617" s="194"/>
      <c r="N9617" s="194"/>
    </row>
    <row r="9618">
      <c r="A9618" s="193" t="s">
        <v>30823</v>
      </c>
      <c r="D9618" s="199"/>
      <c r="E9618" s="193"/>
      <c r="F9618" s="195" t="s">
        <v>30824</v>
      </c>
      <c r="G9618" s="196">
        <v>0.0</v>
      </c>
      <c r="H9618" s="197">
        <v>11.43</v>
      </c>
      <c r="I9618" s="7" t="s">
        <v>16815</v>
      </c>
      <c r="L9618" s="198" t="s">
        <v>65</v>
      </c>
      <c r="M9618" s="199"/>
      <c r="N9618" s="199"/>
    </row>
    <row r="9619">
      <c r="A9619" s="193" t="s">
        <v>30825</v>
      </c>
      <c r="D9619" s="199"/>
      <c r="E9619" s="193"/>
      <c r="F9619" s="195" t="s">
        <v>30826</v>
      </c>
      <c r="G9619" s="196">
        <v>0.0</v>
      </c>
      <c r="H9619" s="197">
        <v>0.405</v>
      </c>
      <c r="I9619" s="7" t="s">
        <v>16815</v>
      </c>
      <c r="L9619" s="198" t="s">
        <v>65</v>
      </c>
      <c r="M9619" s="199"/>
      <c r="N9619" s="199"/>
    </row>
    <row r="9620">
      <c r="A9620" s="193" t="s">
        <v>30827</v>
      </c>
      <c r="D9620" s="199"/>
      <c r="E9620" s="193"/>
      <c r="F9620" s="195" t="s">
        <v>30828</v>
      </c>
      <c r="G9620" s="196">
        <v>0.0</v>
      </c>
      <c r="H9620" s="197">
        <v>0.6</v>
      </c>
      <c r="I9620" s="7" t="s">
        <v>16815</v>
      </c>
      <c r="L9620" s="198" t="s">
        <v>65</v>
      </c>
      <c r="M9620" s="199"/>
      <c r="N9620" s="199"/>
    </row>
    <row r="9621">
      <c r="A9621" s="193" t="s">
        <v>30829</v>
      </c>
      <c r="D9621" s="199"/>
      <c r="E9621" s="193"/>
      <c r="F9621" s="195" t="s">
        <v>30830</v>
      </c>
      <c r="G9621" s="196">
        <v>0.0</v>
      </c>
      <c r="H9621" s="197">
        <v>5.88</v>
      </c>
      <c r="I9621" s="7" t="s">
        <v>16815</v>
      </c>
      <c r="L9621" s="198" t="s">
        <v>65</v>
      </c>
      <c r="M9621" s="199"/>
      <c r="N9621" s="199"/>
    </row>
    <row r="9622">
      <c r="A9622" s="193" t="s">
        <v>30831</v>
      </c>
      <c r="D9622" s="199"/>
      <c r="E9622" s="193"/>
      <c r="F9622" s="195" t="s">
        <v>30832</v>
      </c>
      <c r="G9622" s="196">
        <v>0.0</v>
      </c>
      <c r="H9622" s="197">
        <v>25.0645</v>
      </c>
      <c r="I9622" s="7" t="s">
        <v>16815</v>
      </c>
      <c r="L9622" s="198" t="s">
        <v>65</v>
      </c>
      <c r="M9622" s="199"/>
      <c r="N9622" s="199"/>
    </row>
    <row r="9623">
      <c r="A9623" s="193" t="s">
        <v>30833</v>
      </c>
      <c r="D9623" s="194">
        <v>2021.0</v>
      </c>
      <c r="E9623" s="193"/>
      <c r="F9623" s="195" t="s">
        <v>30834</v>
      </c>
      <c r="G9623" s="196">
        <v>0.0</v>
      </c>
      <c r="H9623" s="197">
        <v>0.0901</v>
      </c>
      <c r="I9623" s="7" t="s">
        <v>16815</v>
      </c>
      <c r="L9623" s="198" t="s">
        <v>65</v>
      </c>
      <c r="M9623" s="194"/>
      <c r="N9623" s="194"/>
    </row>
    <row r="9624">
      <c r="A9624" s="193" t="s">
        <v>30835</v>
      </c>
      <c r="D9624" s="194">
        <v>2022.0</v>
      </c>
      <c r="E9624" s="193"/>
      <c r="F9624" s="195" t="s">
        <v>30836</v>
      </c>
      <c r="G9624" s="196">
        <v>0.0</v>
      </c>
      <c r="H9624" s="197">
        <v>0.1613</v>
      </c>
      <c r="I9624" s="7" t="s">
        <v>16815</v>
      </c>
      <c r="L9624" s="198" t="s">
        <v>65</v>
      </c>
      <c r="M9624" s="194"/>
      <c r="N9624" s="194"/>
    </row>
    <row r="9625">
      <c r="A9625" s="193" t="s">
        <v>30837</v>
      </c>
      <c r="D9625" s="194">
        <v>2023.0</v>
      </c>
      <c r="E9625" s="193"/>
      <c r="F9625" s="195" t="s">
        <v>30838</v>
      </c>
      <c r="G9625" s="196">
        <v>0.0</v>
      </c>
      <c r="H9625" s="197">
        <v>1.89</v>
      </c>
      <c r="I9625" s="7" t="s">
        <v>16815</v>
      </c>
      <c r="L9625" s="198" t="s">
        <v>65</v>
      </c>
      <c r="M9625" s="194"/>
      <c r="N9625" s="194"/>
    </row>
    <row r="9626">
      <c r="A9626" s="193" t="s">
        <v>30839</v>
      </c>
      <c r="D9626" s="199"/>
      <c r="E9626" s="193"/>
      <c r="F9626" s="195" t="s">
        <v>30840</v>
      </c>
      <c r="G9626" s="196">
        <v>0.0</v>
      </c>
      <c r="H9626" s="197">
        <v>15.0</v>
      </c>
      <c r="I9626" s="7" t="s">
        <v>16815</v>
      </c>
      <c r="L9626" s="198" t="s">
        <v>65</v>
      </c>
      <c r="M9626" s="199"/>
      <c r="N9626" s="199"/>
    </row>
    <row r="9627">
      <c r="A9627" s="193" t="s">
        <v>30841</v>
      </c>
      <c r="D9627" s="194">
        <v>2023.0</v>
      </c>
      <c r="E9627" s="193"/>
      <c r="F9627" s="195" t="s">
        <v>30842</v>
      </c>
      <c r="G9627" s="196">
        <v>0.0</v>
      </c>
      <c r="H9627" s="197">
        <v>10.24</v>
      </c>
      <c r="I9627" s="7" t="s">
        <v>16815</v>
      </c>
      <c r="L9627" s="198" t="s">
        <v>65</v>
      </c>
      <c r="M9627" s="194"/>
      <c r="N9627" s="194"/>
    </row>
    <row r="9628">
      <c r="A9628" s="193" t="s">
        <v>30843</v>
      </c>
      <c r="D9628" s="194">
        <v>2023.0</v>
      </c>
      <c r="E9628" s="193"/>
      <c r="F9628" s="195" t="s">
        <v>30844</v>
      </c>
      <c r="G9628" s="196">
        <v>0.0</v>
      </c>
      <c r="H9628" s="197">
        <v>0.7392</v>
      </c>
      <c r="I9628" s="7" t="s">
        <v>16815</v>
      </c>
      <c r="L9628" s="198" t="s">
        <v>65</v>
      </c>
      <c r="M9628" s="194"/>
      <c r="N9628" s="194"/>
    </row>
    <row r="9629">
      <c r="A9629" s="193" t="s">
        <v>30845</v>
      </c>
      <c r="D9629" s="199"/>
      <c r="E9629" s="193"/>
      <c r="F9629" s="195" t="s">
        <v>30846</v>
      </c>
      <c r="G9629" s="196">
        <v>0.0</v>
      </c>
      <c r="H9629" s="197">
        <v>0.35</v>
      </c>
      <c r="I9629" s="7" t="s">
        <v>16815</v>
      </c>
      <c r="L9629" s="198" t="s">
        <v>65</v>
      </c>
      <c r="M9629" s="199"/>
      <c r="N9629" s="199"/>
    </row>
    <row r="9630">
      <c r="A9630" s="193" t="s">
        <v>30847</v>
      </c>
      <c r="D9630" s="194">
        <v>2021.0</v>
      </c>
      <c r="E9630" s="193"/>
      <c r="F9630" s="195" t="s">
        <v>30848</v>
      </c>
      <c r="G9630" s="196">
        <v>0.0</v>
      </c>
      <c r="H9630" s="197">
        <v>17.5706</v>
      </c>
      <c r="I9630" s="7" t="s">
        <v>16815</v>
      </c>
      <c r="L9630" s="198" t="s">
        <v>65</v>
      </c>
      <c r="M9630" s="194"/>
      <c r="N9630" s="194"/>
    </row>
    <row r="9631">
      <c r="A9631" s="193" t="s">
        <v>30849</v>
      </c>
      <c r="D9631" s="194">
        <v>2023.0</v>
      </c>
      <c r="E9631" s="193"/>
      <c r="F9631" s="195" t="s">
        <v>30850</v>
      </c>
      <c r="G9631" s="196">
        <v>0.0</v>
      </c>
      <c r="H9631" s="197">
        <v>10.27</v>
      </c>
      <c r="I9631" s="7" t="s">
        <v>16815</v>
      </c>
      <c r="L9631" s="198" t="s">
        <v>65</v>
      </c>
      <c r="M9631" s="194"/>
      <c r="N9631" s="194"/>
    </row>
    <row r="9632">
      <c r="A9632" s="193" t="s">
        <v>30851</v>
      </c>
      <c r="D9632" s="194">
        <v>2023.0</v>
      </c>
      <c r="E9632" s="193"/>
      <c r="F9632" s="195" t="s">
        <v>30852</v>
      </c>
      <c r="G9632" s="196">
        <v>0.0</v>
      </c>
      <c r="H9632" s="197">
        <v>10.2802</v>
      </c>
      <c r="I9632" s="7" t="s">
        <v>16815</v>
      </c>
      <c r="L9632" s="198" t="s">
        <v>65</v>
      </c>
      <c r="M9632" s="194"/>
      <c r="N9632" s="194"/>
    </row>
    <row r="9633">
      <c r="A9633" s="193" t="s">
        <v>30853</v>
      </c>
      <c r="D9633" s="194">
        <v>2023.0</v>
      </c>
      <c r="E9633" s="193"/>
      <c r="F9633" s="195" t="s">
        <v>30854</v>
      </c>
      <c r="G9633" s="196">
        <v>0.0</v>
      </c>
      <c r="H9633" s="197">
        <v>0.03</v>
      </c>
      <c r="I9633" s="7" t="s">
        <v>16815</v>
      </c>
      <c r="L9633" s="198" t="s">
        <v>65</v>
      </c>
      <c r="M9633" s="194"/>
      <c r="N9633" s="194"/>
    </row>
    <row r="9634">
      <c r="A9634" s="193" t="s">
        <v>30855</v>
      </c>
      <c r="D9634" s="194">
        <v>2004.0</v>
      </c>
      <c r="E9634" s="193"/>
      <c r="F9634" s="195" t="s">
        <v>30856</v>
      </c>
      <c r="G9634" s="196">
        <v>0.0</v>
      </c>
      <c r="H9634" s="197">
        <v>13.67</v>
      </c>
      <c r="I9634" s="7" t="s">
        <v>16815</v>
      </c>
      <c r="L9634" s="198" t="s">
        <v>65</v>
      </c>
      <c r="M9634" s="194"/>
      <c r="N9634" s="194"/>
    </row>
    <row r="9635">
      <c r="A9635" s="193" t="s">
        <v>30857</v>
      </c>
      <c r="D9635" s="194">
        <v>2021.0</v>
      </c>
      <c r="E9635" s="193"/>
      <c r="F9635" s="195" t="s">
        <v>30858</v>
      </c>
      <c r="G9635" s="196">
        <v>0.0</v>
      </c>
      <c r="H9635" s="197">
        <v>0.074</v>
      </c>
      <c r="I9635" s="7" t="s">
        <v>16815</v>
      </c>
      <c r="L9635" s="198" t="s">
        <v>65</v>
      </c>
      <c r="M9635" s="194"/>
      <c r="N9635" s="194"/>
    </row>
    <row r="9636">
      <c r="A9636" s="193" t="s">
        <v>30859</v>
      </c>
      <c r="D9636" s="199"/>
      <c r="E9636" s="193"/>
      <c r="F9636" s="195" t="s">
        <v>30860</v>
      </c>
      <c r="G9636" s="196">
        <v>0.0</v>
      </c>
      <c r="H9636" s="197">
        <v>23.0</v>
      </c>
      <c r="I9636" s="7" t="s">
        <v>16815</v>
      </c>
      <c r="L9636" s="198" t="s">
        <v>65</v>
      </c>
      <c r="M9636" s="199"/>
      <c r="N9636" s="199"/>
    </row>
    <row r="9637">
      <c r="A9637" s="193" t="s">
        <v>30861</v>
      </c>
      <c r="D9637" s="194">
        <v>2023.0</v>
      </c>
      <c r="E9637" s="193"/>
      <c r="F9637" s="195" t="s">
        <v>30862</v>
      </c>
      <c r="G9637" s="196">
        <v>0.0</v>
      </c>
      <c r="H9637" s="197">
        <v>10.78</v>
      </c>
      <c r="I9637" s="7" t="s">
        <v>16815</v>
      </c>
      <c r="L9637" s="198" t="s">
        <v>65</v>
      </c>
      <c r="M9637" s="194"/>
      <c r="N9637" s="194"/>
    </row>
    <row r="9638">
      <c r="A9638" s="193" t="s">
        <v>30863</v>
      </c>
      <c r="D9638" s="194">
        <v>2004.0</v>
      </c>
      <c r="E9638" s="193"/>
      <c r="F9638" s="195" t="s">
        <v>30864</v>
      </c>
      <c r="G9638" s="196">
        <v>0.0</v>
      </c>
      <c r="H9638" s="197">
        <v>7.07</v>
      </c>
      <c r="I9638" s="7" t="s">
        <v>16815</v>
      </c>
      <c r="L9638" s="198" t="s">
        <v>65</v>
      </c>
      <c r="M9638" s="194"/>
      <c r="N9638" s="194"/>
    </row>
    <row r="9639">
      <c r="A9639" s="193" t="s">
        <v>30865</v>
      </c>
      <c r="D9639" s="199"/>
      <c r="E9639" s="193"/>
      <c r="F9639" s="195" t="s">
        <v>30866</v>
      </c>
      <c r="G9639" s="196">
        <v>0.0</v>
      </c>
      <c r="H9639" s="197">
        <v>0.9503</v>
      </c>
      <c r="I9639" s="7" t="s">
        <v>16815</v>
      </c>
      <c r="L9639" s="198" t="s">
        <v>65</v>
      </c>
      <c r="M9639" s="199"/>
      <c r="N9639" s="199"/>
    </row>
    <row r="9640">
      <c r="A9640" s="193" t="s">
        <v>30867</v>
      </c>
      <c r="D9640" s="199"/>
      <c r="E9640" s="193"/>
      <c r="F9640" s="195" t="s">
        <v>30868</v>
      </c>
      <c r="G9640" s="196">
        <v>0.0</v>
      </c>
      <c r="H9640" s="197">
        <v>0.059</v>
      </c>
      <c r="I9640" s="7" t="s">
        <v>16815</v>
      </c>
      <c r="L9640" s="198" t="s">
        <v>65</v>
      </c>
      <c r="M9640" s="199"/>
      <c r="N9640" s="199"/>
    </row>
    <row r="9641">
      <c r="A9641" s="193" t="s">
        <v>30869</v>
      </c>
      <c r="D9641" s="199"/>
      <c r="E9641" s="193"/>
      <c r="F9641" s="195" t="s">
        <v>30870</v>
      </c>
      <c r="G9641" s="196">
        <v>0.0</v>
      </c>
      <c r="H9641" s="197">
        <v>0.299</v>
      </c>
      <c r="I9641" s="7" t="s">
        <v>16815</v>
      </c>
      <c r="L9641" s="198" t="s">
        <v>65</v>
      </c>
      <c r="M9641" s="199"/>
      <c r="N9641" s="199"/>
    </row>
    <row r="9642">
      <c r="A9642" s="193" t="s">
        <v>30871</v>
      </c>
      <c r="D9642" s="199"/>
      <c r="E9642" s="193"/>
      <c r="F9642" s="195" t="s">
        <v>30872</v>
      </c>
      <c r="G9642" s="196">
        <v>0.0</v>
      </c>
      <c r="H9642" s="197">
        <v>0.0106</v>
      </c>
      <c r="I9642" s="7" t="s">
        <v>16815</v>
      </c>
      <c r="L9642" s="198" t="s">
        <v>65</v>
      </c>
      <c r="M9642" s="199"/>
      <c r="N9642" s="199"/>
    </row>
    <row r="9643">
      <c r="A9643" s="193" t="s">
        <v>30873</v>
      </c>
      <c r="D9643" s="194">
        <v>2023.0</v>
      </c>
      <c r="E9643" s="193"/>
      <c r="F9643" s="195" t="s">
        <v>30874</v>
      </c>
      <c r="G9643" s="196">
        <v>0.0</v>
      </c>
      <c r="H9643" s="197">
        <v>10.2386</v>
      </c>
      <c r="I9643" s="7" t="s">
        <v>16815</v>
      </c>
      <c r="L9643" s="198" t="s">
        <v>65</v>
      </c>
      <c r="M9643" s="194"/>
      <c r="N9643" s="194"/>
    </row>
    <row r="9644">
      <c r="A9644" s="193" t="s">
        <v>30875</v>
      </c>
      <c r="D9644" s="194">
        <v>2023.0</v>
      </c>
      <c r="E9644" s="193"/>
      <c r="F9644" s="195" t="s">
        <v>30876</v>
      </c>
      <c r="G9644" s="196">
        <v>0.0</v>
      </c>
      <c r="H9644" s="197">
        <v>10.28</v>
      </c>
      <c r="I9644" s="7" t="s">
        <v>16815</v>
      </c>
      <c r="L9644" s="198" t="s">
        <v>65</v>
      </c>
      <c r="M9644" s="194"/>
      <c r="N9644" s="194"/>
    </row>
    <row r="9645">
      <c r="A9645" s="193" t="s">
        <v>30877</v>
      </c>
      <c r="D9645" s="194">
        <v>2023.0</v>
      </c>
      <c r="E9645" s="193"/>
      <c r="F9645" s="195" t="s">
        <v>30878</v>
      </c>
      <c r="G9645" s="196">
        <v>0.0</v>
      </c>
      <c r="H9645" s="197">
        <v>0.145</v>
      </c>
      <c r="I9645" s="7" t="s">
        <v>16815</v>
      </c>
      <c r="L9645" s="198" t="s">
        <v>65</v>
      </c>
      <c r="M9645" s="194"/>
      <c r="N9645" s="194"/>
    </row>
    <row r="9646">
      <c r="A9646" s="193" t="s">
        <v>30879</v>
      </c>
      <c r="D9646" s="194">
        <v>2023.0</v>
      </c>
      <c r="E9646" s="193"/>
      <c r="F9646" s="195" t="s">
        <v>30880</v>
      </c>
      <c r="G9646" s="196">
        <v>0.0</v>
      </c>
      <c r="H9646" s="197">
        <v>10.15</v>
      </c>
      <c r="I9646" s="7" t="s">
        <v>16815</v>
      </c>
      <c r="L9646" s="198" t="s">
        <v>65</v>
      </c>
      <c r="M9646" s="194"/>
      <c r="N9646" s="194"/>
    </row>
    <row r="9647">
      <c r="A9647" s="193" t="s">
        <v>30881</v>
      </c>
      <c r="D9647" s="194">
        <v>2023.0</v>
      </c>
      <c r="E9647" s="193"/>
      <c r="F9647" s="195" t="s">
        <v>30882</v>
      </c>
      <c r="G9647" s="196">
        <v>0.0</v>
      </c>
      <c r="H9647" s="197">
        <v>10.2801</v>
      </c>
      <c r="I9647" s="7" t="s">
        <v>16815</v>
      </c>
      <c r="L9647" s="198" t="s">
        <v>65</v>
      </c>
      <c r="M9647" s="194"/>
      <c r="N9647" s="194"/>
    </row>
    <row r="9648">
      <c r="A9648" s="193" t="s">
        <v>30883</v>
      </c>
      <c r="D9648" s="194">
        <v>2023.0</v>
      </c>
      <c r="E9648" s="193"/>
      <c r="F9648" s="195" t="s">
        <v>30884</v>
      </c>
      <c r="G9648" s="196">
        <v>0.0</v>
      </c>
      <c r="H9648" s="197">
        <v>0.0299</v>
      </c>
      <c r="I9648" s="7" t="s">
        <v>16815</v>
      </c>
      <c r="L9648" s="198" t="s">
        <v>65</v>
      </c>
      <c r="M9648" s="194"/>
      <c r="N9648" s="194"/>
    </row>
    <row r="9649">
      <c r="A9649" s="193" t="s">
        <v>30885</v>
      </c>
      <c r="D9649" s="199"/>
      <c r="E9649" s="193"/>
      <c r="F9649" s="195" t="s">
        <v>30886</v>
      </c>
      <c r="G9649" s="196">
        <v>0.0</v>
      </c>
      <c r="H9649" s="197">
        <v>2.4</v>
      </c>
      <c r="I9649" s="7" t="s">
        <v>16815</v>
      </c>
      <c r="L9649" s="198" t="s">
        <v>65</v>
      </c>
      <c r="M9649" s="199"/>
      <c r="N9649" s="199"/>
    </row>
    <row r="9650">
      <c r="A9650" s="193" t="s">
        <v>30887</v>
      </c>
      <c r="D9650" s="194">
        <v>2023.0</v>
      </c>
      <c r="E9650" s="193"/>
      <c r="F9650" s="195" t="s">
        <v>30888</v>
      </c>
      <c r="G9650" s="196">
        <v>0.0</v>
      </c>
      <c r="H9650" s="197">
        <v>10.9</v>
      </c>
      <c r="I9650" s="7" t="s">
        <v>16815</v>
      </c>
      <c r="L9650" s="198" t="s">
        <v>65</v>
      </c>
      <c r="M9650" s="194"/>
      <c r="N9650" s="194"/>
    </row>
    <row r="9651">
      <c r="A9651" s="193" t="s">
        <v>30889</v>
      </c>
      <c r="D9651" s="194">
        <v>2023.0</v>
      </c>
      <c r="E9651" s="193"/>
      <c r="F9651" s="195" t="s">
        <v>30890</v>
      </c>
      <c r="G9651" s="196">
        <v>0.0</v>
      </c>
      <c r="H9651" s="197">
        <v>24.85</v>
      </c>
      <c r="I9651" s="7" t="s">
        <v>16815</v>
      </c>
      <c r="L9651" s="198" t="s">
        <v>65</v>
      </c>
      <c r="M9651" s="194"/>
      <c r="N9651" s="194"/>
    </row>
    <row r="9652">
      <c r="A9652" s="193" t="s">
        <v>30891</v>
      </c>
      <c r="D9652" s="199"/>
      <c r="E9652" s="193"/>
      <c r="F9652" s="195" t="s">
        <v>30892</v>
      </c>
      <c r="G9652" s="196">
        <v>0.0</v>
      </c>
      <c r="H9652" s="197">
        <v>22.05</v>
      </c>
      <c r="I9652" s="7" t="s">
        <v>16815</v>
      </c>
      <c r="L9652" s="198" t="s">
        <v>65</v>
      </c>
      <c r="M9652" s="199"/>
      <c r="N9652" s="199"/>
    </row>
    <row r="9653">
      <c r="A9653" s="193" t="s">
        <v>30893</v>
      </c>
      <c r="D9653" s="199"/>
      <c r="E9653" s="193"/>
      <c r="F9653" s="195" t="s">
        <v>30894</v>
      </c>
      <c r="G9653" s="196">
        <v>0.0</v>
      </c>
      <c r="H9653" s="197">
        <v>23.17</v>
      </c>
      <c r="I9653" s="7" t="s">
        <v>16815</v>
      </c>
      <c r="L9653" s="198" t="s">
        <v>65</v>
      </c>
      <c r="M9653" s="199"/>
      <c r="N9653" s="199"/>
    </row>
    <row r="9654">
      <c r="A9654" s="193" t="s">
        <v>30895</v>
      </c>
      <c r="D9654" s="194">
        <v>2023.0</v>
      </c>
      <c r="E9654" s="193"/>
      <c r="F9654" s="195" t="s">
        <v>30896</v>
      </c>
      <c r="G9654" s="196">
        <v>0.0</v>
      </c>
      <c r="H9654" s="197">
        <v>5.67</v>
      </c>
      <c r="I9654" s="7" t="s">
        <v>16815</v>
      </c>
      <c r="L9654" s="198" t="s">
        <v>65</v>
      </c>
      <c r="M9654" s="194"/>
      <c r="N9654" s="194"/>
    </row>
    <row r="9655">
      <c r="A9655" s="193" t="s">
        <v>30897</v>
      </c>
      <c r="D9655" s="199"/>
      <c r="E9655" s="193"/>
      <c r="F9655" s="195" t="s">
        <v>30898</v>
      </c>
      <c r="G9655" s="196">
        <v>0.0</v>
      </c>
      <c r="H9655" s="197">
        <v>0.7</v>
      </c>
      <c r="I9655" s="7" t="s">
        <v>16815</v>
      </c>
      <c r="L9655" s="198" t="s">
        <v>65</v>
      </c>
      <c r="M9655" s="199"/>
      <c r="N9655" s="199"/>
    </row>
    <row r="9656">
      <c r="A9656" s="193" t="s">
        <v>30899</v>
      </c>
      <c r="D9656" s="194">
        <v>2023.0</v>
      </c>
      <c r="E9656" s="193"/>
      <c r="F9656" s="195" t="s">
        <v>30900</v>
      </c>
      <c r="G9656" s="196">
        <v>0.0</v>
      </c>
      <c r="H9656" s="197">
        <v>1.75</v>
      </c>
      <c r="I9656" s="7" t="s">
        <v>16815</v>
      </c>
      <c r="L9656" s="198" t="s">
        <v>65</v>
      </c>
      <c r="M9656" s="194"/>
      <c r="N9656" s="194"/>
    </row>
    <row r="9657">
      <c r="A9657" s="193" t="s">
        <v>30901</v>
      </c>
      <c r="D9657" s="194">
        <v>2023.0</v>
      </c>
      <c r="E9657" s="193"/>
      <c r="F9657" s="195" t="s">
        <v>30902</v>
      </c>
      <c r="G9657" s="196">
        <v>0.0</v>
      </c>
      <c r="H9657" s="197">
        <v>10.13</v>
      </c>
      <c r="I9657" s="7" t="s">
        <v>16815</v>
      </c>
      <c r="L9657" s="198" t="s">
        <v>65</v>
      </c>
      <c r="M9657" s="194"/>
      <c r="N9657" s="194"/>
    </row>
    <row r="9658">
      <c r="A9658" s="193" t="s">
        <v>30903</v>
      </c>
      <c r="D9658" s="194">
        <v>2023.0</v>
      </c>
      <c r="E9658" s="193"/>
      <c r="F9658" s="195" t="s">
        <v>30904</v>
      </c>
      <c r="G9658" s="196">
        <v>0.0</v>
      </c>
      <c r="H9658" s="197">
        <v>6.05</v>
      </c>
      <c r="I9658" s="7" t="s">
        <v>16815</v>
      </c>
      <c r="L9658" s="198" t="s">
        <v>65</v>
      </c>
      <c r="M9658" s="194"/>
      <c r="N9658" s="194"/>
    </row>
    <row r="9659">
      <c r="A9659" s="193" t="s">
        <v>30905</v>
      </c>
      <c r="D9659" s="199"/>
      <c r="E9659" s="193"/>
      <c r="F9659" s="195" t="s">
        <v>30906</v>
      </c>
      <c r="G9659" s="196">
        <v>0.0</v>
      </c>
      <c r="H9659" s="197">
        <v>24.95</v>
      </c>
      <c r="I9659" s="7" t="s">
        <v>16815</v>
      </c>
      <c r="L9659" s="198" t="s">
        <v>65</v>
      </c>
      <c r="M9659" s="199"/>
      <c r="N9659" s="199"/>
    </row>
    <row r="9660">
      <c r="A9660" s="193" t="s">
        <v>30907</v>
      </c>
      <c r="D9660" s="194">
        <v>2021.0</v>
      </c>
      <c r="E9660" s="193"/>
      <c r="F9660" s="195" t="s">
        <v>30908</v>
      </c>
      <c r="G9660" s="196">
        <v>0.0</v>
      </c>
      <c r="H9660" s="197">
        <v>22.63</v>
      </c>
      <c r="I9660" s="7" t="s">
        <v>16815</v>
      </c>
      <c r="L9660" s="198" t="s">
        <v>65</v>
      </c>
      <c r="M9660" s="194"/>
      <c r="N9660" s="194"/>
    </row>
    <row r="9661">
      <c r="A9661" s="193" t="s">
        <v>30909</v>
      </c>
      <c r="D9661" s="194">
        <v>2023.0</v>
      </c>
      <c r="E9661" s="193"/>
      <c r="F9661" s="195" t="s">
        <v>30910</v>
      </c>
      <c r="G9661" s="196">
        <v>0.0</v>
      </c>
      <c r="H9661" s="197">
        <v>1.86</v>
      </c>
      <c r="I9661" s="7" t="s">
        <v>16815</v>
      </c>
      <c r="L9661" s="198" t="s">
        <v>65</v>
      </c>
      <c r="M9661" s="194"/>
      <c r="N9661" s="194"/>
    </row>
    <row r="9662">
      <c r="A9662" s="193" t="s">
        <v>30911</v>
      </c>
      <c r="D9662" s="199"/>
      <c r="E9662" s="193"/>
      <c r="F9662" s="195" t="s">
        <v>30912</v>
      </c>
      <c r="G9662" s="196">
        <v>0.0</v>
      </c>
      <c r="H9662" s="197">
        <v>4.0612</v>
      </c>
      <c r="I9662" s="7" t="s">
        <v>16815</v>
      </c>
      <c r="L9662" s="198" t="s">
        <v>65</v>
      </c>
      <c r="M9662" s="199"/>
      <c r="N9662" s="199"/>
    </row>
    <row r="9663">
      <c r="A9663" s="193" t="s">
        <v>30913</v>
      </c>
      <c r="D9663" s="199"/>
      <c r="E9663" s="193"/>
      <c r="F9663" s="195" t="s">
        <v>30914</v>
      </c>
      <c r="G9663" s="196">
        <v>0.0</v>
      </c>
      <c r="H9663" s="197">
        <v>1.19</v>
      </c>
      <c r="I9663" s="7" t="s">
        <v>16815</v>
      </c>
      <c r="L9663" s="198" t="s">
        <v>65</v>
      </c>
      <c r="M9663" s="199"/>
      <c r="N9663" s="199"/>
    </row>
    <row r="9664">
      <c r="A9664" s="193" t="s">
        <v>30915</v>
      </c>
      <c r="D9664" s="199"/>
      <c r="E9664" s="193"/>
      <c r="F9664" s="195" t="s">
        <v>30916</v>
      </c>
      <c r="G9664" s="196">
        <v>0.0</v>
      </c>
      <c r="H9664" s="197">
        <v>24.89</v>
      </c>
      <c r="I9664" s="7" t="s">
        <v>16815</v>
      </c>
      <c r="L9664" s="198" t="s">
        <v>65</v>
      </c>
      <c r="M9664" s="199"/>
      <c r="N9664" s="199"/>
    </row>
    <row r="9665">
      <c r="A9665" s="193" t="s">
        <v>30771</v>
      </c>
      <c r="D9665" s="194">
        <v>2023.0</v>
      </c>
      <c r="E9665" s="193"/>
      <c r="F9665" s="195" t="s">
        <v>30772</v>
      </c>
      <c r="G9665" s="200">
        <v>0.0</v>
      </c>
      <c r="H9665" s="197">
        <v>10.3215</v>
      </c>
      <c r="I9665" s="193" t="s">
        <v>16815</v>
      </c>
      <c r="L9665" s="201" t="s">
        <v>16835</v>
      </c>
      <c r="M9665" s="194"/>
      <c r="N9665" s="194"/>
    </row>
    <row r="9666">
      <c r="A9666" s="193" t="s">
        <v>30775</v>
      </c>
      <c r="D9666" s="194">
        <v>2019.0</v>
      </c>
      <c r="E9666" s="193"/>
      <c r="F9666" s="195" t="s">
        <v>30776</v>
      </c>
      <c r="G9666" s="200">
        <v>0.0</v>
      </c>
      <c r="H9666" s="197">
        <v>19.91</v>
      </c>
      <c r="I9666" s="193" t="s">
        <v>16815</v>
      </c>
      <c r="L9666" s="201" t="s">
        <v>16835</v>
      </c>
      <c r="M9666" s="194"/>
      <c r="N9666" s="194"/>
    </row>
    <row r="9667">
      <c r="A9667" s="193" t="s">
        <v>30781</v>
      </c>
      <c r="D9667" s="194">
        <v>2023.0</v>
      </c>
      <c r="E9667" s="193"/>
      <c r="F9667" s="195" t="s">
        <v>30782</v>
      </c>
      <c r="G9667" s="200">
        <v>0.0</v>
      </c>
      <c r="H9667" s="197">
        <v>26.51</v>
      </c>
      <c r="I9667" s="193" t="s">
        <v>16815</v>
      </c>
      <c r="L9667" s="201" t="s">
        <v>16835</v>
      </c>
      <c r="M9667" s="194"/>
      <c r="N9667" s="194"/>
    </row>
    <row r="9668">
      <c r="A9668" s="193" t="s">
        <v>30787</v>
      </c>
      <c r="D9668" s="199"/>
      <c r="E9668" s="193"/>
      <c r="F9668" s="195" t="s">
        <v>30788</v>
      </c>
      <c r="G9668" s="200">
        <v>0.0</v>
      </c>
      <c r="H9668" s="197">
        <v>13.94</v>
      </c>
      <c r="I9668" s="193" t="s">
        <v>16815</v>
      </c>
      <c r="L9668" s="201" t="s">
        <v>16835</v>
      </c>
      <c r="M9668" s="199"/>
      <c r="N9668" s="199"/>
    </row>
    <row r="9669">
      <c r="A9669" s="193" t="s">
        <v>30789</v>
      </c>
      <c r="D9669" s="194">
        <v>2021.0</v>
      </c>
      <c r="E9669" s="193"/>
      <c r="F9669" s="195" t="s">
        <v>30790</v>
      </c>
      <c r="G9669" s="200">
        <v>0.0</v>
      </c>
      <c r="H9669" s="197">
        <v>14.475</v>
      </c>
      <c r="I9669" s="193" t="s">
        <v>16815</v>
      </c>
      <c r="L9669" s="201" t="s">
        <v>16835</v>
      </c>
      <c r="M9669" s="194"/>
      <c r="N9669" s="194"/>
    </row>
    <row r="9670">
      <c r="A9670" s="193" t="s">
        <v>30791</v>
      </c>
      <c r="D9670" s="194">
        <v>2022.0</v>
      </c>
      <c r="E9670" s="193"/>
      <c r="F9670" s="195" t="s">
        <v>30792</v>
      </c>
      <c r="G9670" s="200">
        <v>0.0</v>
      </c>
      <c r="H9670" s="197">
        <v>15.68</v>
      </c>
      <c r="I9670" s="193" t="s">
        <v>16815</v>
      </c>
      <c r="L9670" s="201" t="s">
        <v>16835</v>
      </c>
      <c r="M9670" s="194"/>
      <c r="N9670" s="194"/>
    </row>
    <row r="9671">
      <c r="A9671" s="193" t="s">
        <v>29202</v>
      </c>
      <c r="B9671" s="202" t="s">
        <v>16864</v>
      </c>
      <c r="C9671" s="193" t="s">
        <v>158</v>
      </c>
      <c r="D9671" s="193">
        <v>2022.0</v>
      </c>
      <c r="E9671" s="193"/>
      <c r="F9671" s="203" t="s">
        <v>29203</v>
      </c>
      <c r="G9671" s="200">
        <v>0.0</v>
      </c>
      <c r="H9671" s="205">
        <v>8.55</v>
      </c>
      <c r="I9671" s="206"/>
      <c r="J9671" s="202" t="s">
        <v>16864</v>
      </c>
      <c r="K9671" s="193" t="s">
        <v>158</v>
      </c>
      <c r="L9671" s="193" t="s">
        <v>17471</v>
      </c>
      <c r="M9671" s="193"/>
      <c r="N9671" s="193"/>
    </row>
    <row r="9672">
      <c r="A9672" s="193" t="s">
        <v>29322</v>
      </c>
      <c r="B9672" s="202" t="s">
        <v>18219</v>
      </c>
      <c r="C9672" s="193" t="s">
        <v>16838</v>
      </c>
      <c r="D9672" s="193">
        <v>2022.0</v>
      </c>
      <c r="E9672" s="193"/>
      <c r="F9672" s="203" t="s">
        <v>29323</v>
      </c>
      <c r="G9672" s="200">
        <v>0.0</v>
      </c>
      <c r="H9672" s="205">
        <v>0.305</v>
      </c>
      <c r="I9672" s="206"/>
      <c r="J9672" s="202" t="s">
        <v>18219</v>
      </c>
      <c r="K9672" s="193" t="s">
        <v>16838</v>
      </c>
      <c r="L9672" s="193" t="s">
        <v>17471</v>
      </c>
      <c r="M9672" s="193"/>
      <c r="N9672" s="193"/>
    </row>
    <row r="9673">
      <c r="A9673" s="193" t="s">
        <v>29356</v>
      </c>
      <c r="B9673" s="202" t="s">
        <v>18679</v>
      </c>
      <c r="C9673" s="193" t="s">
        <v>16838</v>
      </c>
      <c r="D9673" s="193">
        <v>1972.0</v>
      </c>
      <c r="E9673" s="193"/>
      <c r="F9673" s="203" t="s">
        <v>29357</v>
      </c>
      <c r="G9673" s="200">
        <v>0.0</v>
      </c>
      <c r="H9673" s="205">
        <v>10.78</v>
      </c>
      <c r="I9673" s="206"/>
      <c r="J9673" s="202" t="s">
        <v>18679</v>
      </c>
      <c r="K9673" s="193" t="s">
        <v>16838</v>
      </c>
      <c r="L9673" s="193" t="s">
        <v>17471</v>
      </c>
      <c r="M9673" s="193"/>
      <c r="N9673" s="193"/>
    </row>
    <row r="9674">
      <c r="A9674" s="193" t="s">
        <v>29342</v>
      </c>
      <c r="B9674" s="202" t="s">
        <v>18219</v>
      </c>
      <c r="C9674" s="193" t="s">
        <v>16838</v>
      </c>
      <c r="D9674" s="193">
        <v>2023.0</v>
      </c>
      <c r="E9674" s="193"/>
      <c r="F9674" s="203" t="s">
        <v>29343</v>
      </c>
      <c r="G9674" s="200">
        <v>0.0</v>
      </c>
      <c r="H9674" s="205">
        <v>14.38</v>
      </c>
      <c r="I9674" s="206"/>
      <c r="J9674" s="202" t="s">
        <v>18219</v>
      </c>
      <c r="K9674" s="193" t="s">
        <v>16838</v>
      </c>
      <c r="L9674" s="193" t="s">
        <v>17471</v>
      </c>
      <c r="M9674" s="193"/>
      <c r="N9674" s="193"/>
    </row>
    <row r="9675">
      <c r="A9675" s="193" t="s">
        <v>29392</v>
      </c>
      <c r="B9675" s="202" t="s">
        <v>18219</v>
      </c>
      <c r="C9675" s="193" t="s">
        <v>16838</v>
      </c>
      <c r="D9675" s="193">
        <v>2021.0</v>
      </c>
      <c r="E9675" s="193"/>
      <c r="F9675" s="203" t="s">
        <v>29393</v>
      </c>
      <c r="G9675" s="200">
        <v>0.0</v>
      </c>
      <c r="H9675" s="205">
        <v>4.18</v>
      </c>
      <c r="I9675" s="206"/>
      <c r="J9675" s="202" t="s">
        <v>18219</v>
      </c>
      <c r="K9675" s="193" t="s">
        <v>16838</v>
      </c>
      <c r="L9675" s="193" t="s">
        <v>17471</v>
      </c>
      <c r="M9675" s="193"/>
      <c r="N9675" s="193"/>
    </row>
    <row r="9676">
      <c r="A9676" s="193" t="s">
        <v>29406</v>
      </c>
      <c r="B9676" s="202" t="s">
        <v>18219</v>
      </c>
      <c r="C9676" s="193" t="s">
        <v>16838</v>
      </c>
      <c r="D9676" s="193">
        <v>2021.0</v>
      </c>
      <c r="E9676" s="193"/>
      <c r="F9676" s="203" t="s">
        <v>29407</v>
      </c>
      <c r="G9676" s="200">
        <v>0.0</v>
      </c>
      <c r="H9676" s="205">
        <v>10.72</v>
      </c>
      <c r="I9676" s="206"/>
      <c r="J9676" s="202" t="s">
        <v>18219</v>
      </c>
      <c r="K9676" s="193" t="s">
        <v>16838</v>
      </c>
      <c r="L9676" s="193" t="s">
        <v>17471</v>
      </c>
      <c r="M9676" s="193"/>
      <c r="N9676" s="193"/>
    </row>
    <row r="9677">
      <c r="A9677" s="193" t="s">
        <v>29478</v>
      </c>
      <c r="B9677" s="202" t="s">
        <v>18219</v>
      </c>
      <c r="C9677" s="193" t="s">
        <v>16838</v>
      </c>
      <c r="D9677" s="193">
        <v>2021.0</v>
      </c>
      <c r="E9677" s="193"/>
      <c r="F9677" s="203" t="s">
        <v>29479</v>
      </c>
      <c r="G9677" s="200">
        <v>0.0</v>
      </c>
      <c r="H9677" s="205">
        <v>10.5</v>
      </c>
      <c r="I9677" s="206"/>
      <c r="J9677" s="202" t="s">
        <v>18219</v>
      </c>
      <c r="K9677" s="193" t="s">
        <v>16838</v>
      </c>
      <c r="L9677" s="193" t="s">
        <v>17471</v>
      </c>
      <c r="M9677" s="193"/>
      <c r="N9677" s="193"/>
    </row>
    <row r="9678">
      <c r="A9678" s="193" t="s">
        <v>346</v>
      </c>
      <c r="B9678" s="202" t="s">
        <v>18679</v>
      </c>
      <c r="C9678" s="193" t="s">
        <v>16838</v>
      </c>
      <c r="D9678" s="206"/>
      <c r="E9678" s="193"/>
      <c r="F9678" s="203" t="s">
        <v>30643</v>
      </c>
      <c r="G9678" s="200">
        <v>0.0</v>
      </c>
      <c r="H9678" s="205">
        <v>10.97</v>
      </c>
      <c r="I9678" s="206"/>
      <c r="J9678" s="202" t="s">
        <v>18679</v>
      </c>
      <c r="K9678" s="193" t="s">
        <v>16838</v>
      </c>
      <c r="L9678" s="193" t="s">
        <v>17471</v>
      </c>
      <c r="M9678" s="206"/>
      <c r="N9678" s="206"/>
    </row>
    <row r="9679">
      <c r="A9679" s="193" t="s">
        <v>30644</v>
      </c>
      <c r="B9679" s="202" t="s">
        <v>18679</v>
      </c>
      <c r="C9679" s="193" t="s">
        <v>16838</v>
      </c>
      <c r="D9679" s="193">
        <v>2003.0</v>
      </c>
      <c r="E9679" s="193"/>
      <c r="F9679" s="203" t="s">
        <v>30645</v>
      </c>
      <c r="G9679" s="200">
        <v>0.0</v>
      </c>
      <c r="H9679" s="205">
        <v>2.0</v>
      </c>
      <c r="I9679" s="206"/>
      <c r="J9679" s="202" t="s">
        <v>18679</v>
      </c>
      <c r="K9679" s="193" t="s">
        <v>16838</v>
      </c>
      <c r="L9679" s="193" t="s">
        <v>17471</v>
      </c>
      <c r="M9679" s="193"/>
      <c r="N9679" s="193"/>
    </row>
    <row r="9680">
      <c r="A9680" s="193" t="s">
        <v>30646</v>
      </c>
      <c r="B9680" s="202" t="s">
        <v>18679</v>
      </c>
      <c r="C9680" s="193" t="s">
        <v>16838</v>
      </c>
      <c r="D9680" s="193">
        <v>2003.0</v>
      </c>
      <c r="E9680" s="193"/>
      <c r="F9680" s="203" t="s">
        <v>30647</v>
      </c>
      <c r="G9680" s="200">
        <v>0.0</v>
      </c>
      <c r="H9680" s="205">
        <v>7.23</v>
      </c>
      <c r="I9680" s="206"/>
      <c r="J9680" s="202" t="s">
        <v>18679</v>
      </c>
      <c r="K9680" s="193" t="s">
        <v>16838</v>
      </c>
      <c r="L9680" s="193" t="s">
        <v>17471</v>
      </c>
      <c r="M9680" s="193"/>
      <c r="N9680" s="193"/>
    </row>
    <row r="9681">
      <c r="A9681" s="193" t="s">
        <v>30648</v>
      </c>
      <c r="B9681" s="202" t="s">
        <v>18679</v>
      </c>
      <c r="C9681" s="193" t="s">
        <v>16838</v>
      </c>
      <c r="D9681" s="193">
        <v>1998.0</v>
      </c>
      <c r="E9681" s="193"/>
      <c r="F9681" s="203" t="s">
        <v>30649</v>
      </c>
      <c r="G9681" s="200">
        <v>0.0</v>
      </c>
      <c r="H9681" s="205">
        <v>7.16</v>
      </c>
      <c r="I9681" s="206"/>
      <c r="J9681" s="202" t="s">
        <v>18679</v>
      </c>
      <c r="K9681" s="193" t="s">
        <v>16838</v>
      </c>
      <c r="L9681" s="193" t="s">
        <v>17471</v>
      </c>
      <c r="M9681" s="193"/>
      <c r="N9681" s="193"/>
    </row>
    <row r="9682">
      <c r="A9682" s="193" t="s">
        <v>29541</v>
      </c>
      <c r="B9682" s="202" t="s">
        <v>18219</v>
      </c>
      <c r="C9682" s="193" t="s">
        <v>16838</v>
      </c>
      <c r="D9682" s="193">
        <v>2022.0</v>
      </c>
      <c r="E9682" s="193"/>
      <c r="F9682" s="203" t="s">
        <v>29542</v>
      </c>
      <c r="G9682" s="200">
        <v>0.0</v>
      </c>
      <c r="H9682" s="205">
        <v>1.92</v>
      </c>
      <c r="I9682" s="206"/>
      <c r="J9682" s="202" t="s">
        <v>18219</v>
      </c>
      <c r="K9682" s="193" t="s">
        <v>16838</v>
      </c>
      <c r="L9682" s="193" t="s">
        <v>17471</v>
      </c>
      <c r="M9682" s="193"/>
      <c r="N9682" s="193"/>
    </row>
    <row r="9683">
      <c r="A9683" s="193" t="s">
        <v>30650</v>
      </c>
      <c r="B9683" s="202" t="s">
        <v>18679</v>
      </c>
      <c r="C9683" s="193" t="s">
        <v>16838</v>
      </c>
      <c r="D9683" s="193">
        <v>2003.0</v>
      </c>
      <c r="E9683" s="193"/>
      <c r="F9683" s="203" t="s">
        <v>30651</v>
      </c>
      <c r="G9683" s="200">
        <v>0.0</v>
      </c>
      <c r="H9683" s="205">
        <v>10.51</v>
      </c>
      <c r="I9683" s="206"/>
      <c r="J9683" s="202" t="s">
        <v>18679</v>
      </c>
      <c r="K9683" s="193" t="s">
        <v>16838</v>
      </c>
      <c r="L9683" s="193" t="s">
        <v>17471</v>
      </c>
      <c r="M9683" s="193"/>
      <c r="N9683" s="193"/>
    </row>
    <row r="9684">
      <c r="A9684" s="193" t="s">
        <v>30652</v>
      </c>
      <c r="B9684" s="202" t="s">
        <v>18679</v>
      </c>
      <c r="C9684" s="193" t="s">
        <v>16838</v>
      </c>
      <c r="D9684" s="193">
        <v>1986.0</v>
      </c>
      <c r="E9684" s="193"/>
      <c r="F9684" s="203" t="s">
        <v>30653</v>
      </c>
      <c r="G9684" s="200">
        <v>0.0</v>
      </c>
      <c r="H9684" s="205">
        <v>6.04</v>
      </c>
      <c r="I9684" s="206"/>
      <c r="J9684" s="202" t="s">
        <v>18679</v>
      </c>
      <c r="K9684" s="193" t="s">
        <v>16838</v>
      </c>
      <c r="L9684" s="193" t="s">
        <v>17471</v>
      </c>
      <c r="M9684" s="193"/>
      <c r="N9684" s="193"/>
    </row>
    <row r="9685">
      <c r="A9685" s="193" t="s">
        <v>30654</v>
      </c>
      <c r="B9685" s="202" t="s">
        <v>18679</v>
      </c>
      <c r="C9685" s="193" t="s">
        <v>16838</v>
      </c>
      <c r="D9685" s="193">
        <v>2002.0</v>
      </c>
      <c r="E9685" s="193"/>
      <c r="F9685" s="203" t="s">
        <v>30655</v>
      </c>
      <c r="G9685" s="200">
        <v>0.0</v>
      </c>
      <c r="H9685" s="205">
        <v>7.47</v>
      </c>
      <c r="I9685" s="206"/>
      <c r="J9685" s="202" t="s">
        <v>18679</v>
      </c>
      <c r="K9685" s="193" t="s">
        <v>16838</v>
      </c>
      <c r="L9685" s="193" t="s">
        <v>17471</v>
      </c>
      <c r="M9685" s="193"/>
      <c r="N9685" s="193"/>
    </row>
    <row r="9686">
      <c r="A9686" s="193" t="s">
        <v>30656</v>
      </c>
      <c r="B9686" s="202" t="s">
        <v>18679</v>
      </c>
      <c r="C9686" s="193" t="s">
        <v>16838</v>
      </c>
      <c r="D9686" s="193">
        <v>2002.0</v>
      </c>
      <c r="E9686" s="193"/>
      <c r="F9686" s="203" t="s">
        <v>30657</v>
      </c>
      <c r="G9686" s="200">
        <v>0.0</v>
      </c>
      <c r="H9686" s="205">
        <v>9.25</v>
      </c>
      <c r="I9686" s="206"/>
      <c r="J9686" s="202" t="s">
        <v>18679</v>
      </c>
      <c r="K9686" s="193" t="s">
        <v>16838</v>
      </c>
      <c r="L9686" s="193" t="s">
        <v>17471</v>
      </c>
      <c r="M9686" s="193"/>
      <c r="N9686" s="193"/>
    </row>
    <row r="9687">
      <c r="A9687" s="193" t="s">
        <v>30658</v>
      </c>
      <c r="B9687" s="202" t="s">
        <v>18679</v>
      </c>
      <c r="C9687" s="193" t="s">
        <v>16838</v>
      </c>
      <c r="D9687" s="193">
        <v>2003.0</v>
      </c>
      <c r="E9687" s="193"/>
      <c r="F9687" s="203" t="s">
        <v>30659</v>
      </c>
      <c r="G9687" s="200">
        <v>0.0</v>
      </c>
      <c r="H9687" s="205">
        <v>8.72</v>
      </c>
      <c r="I9687" s="206"/>
      <c r="J9687" s="202" t="s">
        <v>18679</v>
      </c>
      <c r="K9687" s="193" t="s">
        <v>16838</v>
      </c>
      <c r="L9687" s="193" t="s">
        <v>17471</v>
      </c>
      <c r="M9687" s="193"/>
      <c r="N9687" s="193"/>
    </row>
    <row r="9688">
      <c r="A9688" s="193" t="s">
        <v>30660</v>
      </c>
      <c r="B9688" s="202" t="s">
        <v>18679</v>
      </c>
      <c r="C9688" s="193" t="s">
        <v>16838</v>
      </c>
      <c r="D9688" s="193">
        <v>2004.0</v>
      </c>
      <c r="E9688" s="193"/>
      <c r="F9688" s="203" t="s">
        <v>30661</v>
      </c>
      <c r="G9688" s="200">
        <v>0.0</v>
      </c>
      <c r="H9688" s="205">
        <v>9.13</v>
      </c>
      <c r="I9688" s="206"/>
      <c r="J9688" s="202" t="s">
        <v>18679</v>
      </c>
      <c r="K9688" s="193" t="s">
        <v>16838</v>
      </c>
      <c r="L9688" s="193" t="s">
        <v>17471</v>
      </c>
      <c r="M9688" s="193"/>
      <c r="N9688" s="193"/>
    </row>
    <row r="9689">
      <c r="A9689" s="193" t="s">
        <v>29575</v>
      </c>
      <c r="B9689" s="202" t="s">
        <v>18219</v>
      </c>
      <c r="C9689" s="193" t="s">
        <v>16838</v>
      </c>
      <c r="D9689" s="193">
        <v>2022.0</v>
      </c>
      <c r="E9689" s="193"/>
      <c r="F9689" s="203" t="s">
        <v>29576</v>
      </c>
      <c r="G9689" s="200">
        <v>0.0</v>
      </c>
      <c r="H9689" s="205">
        <v>8.63</v>
      </c>
      <c r="I9689" s="206"/>
      <c r="J9689" s="202" t="s">
        <v>18219</v>
      </c>
      <c r="K9689" s="193" t="s">
        <v>16838</v>
      </c>
      <c r="L9689" s="193" t="s">
        <v>17471</v>
      </c>
      <c r="M9689" s="193"/>
      <c r="N9689" s="193"/>
    </row>
    <row r="9690">
      <c r="A9690" s="193" t="s">
        <v>30662</v>
      </c>
      <c r="B9690" s="202" t="s">
        <v>18679</v>
      </c>
      <c r="C9690" s="193" t="s">
        <v>16838</v>
      </c>
      <c r="D9690" s="193">
        <v>2002.0</v>
      </c>
      <c r="E9690" s="193"/>
      <c r="F9690" s="203" t="s">
        <v>30663</v>
      </c>
      <c r="G9690" s="200">
        <v>0.0</v>
      </c>
      <c r="H9690" s="205">
        <v>10.7304</v>
      </c>
      <c r="I9690" s="206"/>
      <c r="J9690" s="202" t="s">
        <v>18679</v>
      </c>
      <c r="K9690" s="193" t="s">
        <v>16838</v>
      </c>
      <c r="L9690" s="193" t="s">
        <v>17471</v>
      </c>
      <c r="M9690" s="193"/>
      <c r="N9690" s="193"/>
    </row>
    <row r="9691">
      <c r="A9691" s="193" t="s">
        <v>30664</v>
      </c>
      <c r="B9691" s="202" t="s">
        <v>18679</v>
      </c>
      <c r="C9691" s="193" t="s">
        <v>16838</v>
      </c>
      <c r="D9691" s="193">
        <v>2003.0</v>
      </c>
      <c r="E9691" s="193"/>
      <c r="F9691" s="203" t="s">
        <v>30665</v>
      </c>
      <c r="G9691" s="200">
        <v>0.0</v>
      </c>
      <c r="H9691" s="205">
        <v>8.29</v>
      </c>
      <c r="I9691" s="206"/>
      <c r="J9691" s="202" t="s">
        <v>18679</v>
      </c>
      <c r="K9691" s="193" t="s">
        <v>16838</v>
      </c>
      <c r="L9691" s="193" t="s">
        <v>17471</v>
      </c>
      <c r="M9691" s="193"/>
      <c r="N9691" s="193"/>
    </row>
    <row r="9692">
      <c r="A9692" s="193" t="s">
        <v>30705</v>
      </c>
      <c r="B9692" s="202" t="s">
        <v>17202</v>
      </c>
      <c r="C9692" s="193" t="s">
        <v>16838</v>
      </c>
      <c r="D9692" s="193">
        <v>1986.0</v>
      </c>
      <c r="E9692" s="193"/>
      <c r="F9692" s="203" t="s">
        <v>30706</v>
      </c>
      <c r="G9692" s="200">
        <v>0.0</v>
      </c>
      <c r="H9692" s="205">
        <v>8.88</v>
      </c>
      <c r="I9692" s="206"/>
      <c r="J9692" s="202" t="s">
        <v>17202</v>
      </c>
      <c r="K9692" s="193" t="s">
        <v>16838</v>
      </c>
      <c r="L9692" s="193" t="s">
        <v>17471</v>
      </c>
      <c r="M9692" s="193"/>
      <c r="N9692" s="193"/>
    </row>
    <row r="9693">
      <c r="A9693" s="193" t="s">
        <v>30707</v>
      </c>
      <c r="B9693" s="202" t="s">
        <v>17202</v>
      </c>
      <c r="C9693" s="193" t="s">
        <v>16838</v>
      </c>
      <c r="D9693" s="193">
        <v>1992.0</v>
      </c>
      <c r="E9693" s="193"/>
      <c r="F9693" s="203" t="s">
        <v>30708</v>
      </c>
      <c r="G9693" s="200">
        <v>0.0</v>
      </c>
      <c r="H9693" s="205">
        <v>2.54</v>
      </c>
      <c r="I9693" s="206"/>
      <c r="J9693" s="202" t="s">
        <v>17202</v>
      </c>
      <c r="K9693" s="193" t="s">
        <v>16838</v>
      </c>
      <c r="L9693" s="193" t="s">
        <v>17471</v>
      </c>
      <c r="M9693" s="193"/>
      <c r="N9693" s="193"/>
    </row>
    <row r="9694">
      <c r="A9694" s="193" t="s">
        <v>30666</v>
      </c>
      <c r="B9694" s="202" t="s">
        <v>18679</v>
      </c>
      <c r="C9694" s="193" t="s">
        <v>16838</v>
      </c>
      <c r="D9694" s="193">
        <v>2004.0</v>
      </c>
      <c r="E9694" s="193"/>
      <c r="F9694" s="203" t="s">
        <v>30667</v>
      </c>
      <c r="G9694" s="200">
        <v>0.0</v>
      </c>
      <c r="H9694" s="205">
        <v>5.86</v>
      </c>
      <c r="I9694" s="206"/>
      <c r="J9694" s="202" t="s">
        <v>18679</v>
      </c>
      <c r="K9694" s="193" t="s">
        <v>16838</v>
      </c>
      <c r="L9694" s="193" t="s">
        <v>17471</v>
      </c>
      <c r="M9694" s="193"/>
      <c r="N9694" s="193"/>
    </row>
    <row r="9695">
      <c r="A9695" s="193" t="s">
        <v>30668</v>
      </c>
      <c r="B9695" s="202" t="s">
        <v>18679</v>
      </c>
      <c r="C9695" s="193" t="s">
        <v>16838</v>
      </c>
      <c r="D9695" s="193">
        <v>2005.0</v>
      </c>
      <c r="E9695" s="193"/>
      <c r="F9695" s="203" t="s">
        <v>30669</v>
      </c>
      <c r="G9695" s="200">
        <v>0.0</v>
      </c>
      <c r="H9695" s="205">
        <v>14.26</v>
      </c>
      <c r="I9695" s="206"/>
      <c r="J9695" s="202" t="s">
        <v>18679</v>
      </c>
      <c r="K9695" s="193" t="s">
        <v>16838</v>
      </c>
      <c r="L9695" s="193" t="s">
        <v>17471</v>
      </c>
      <c r="M9695" s="193"/>
      <c r="N9695" s="193"/>
    </row>
    <row r="9696">
      <c r="A9696" s="193" t="s">
        <v>30670</v>
      </c>
      <c r="B9696" s="202" t="s">
        <v>18679</v>
      </c>
      <c r="C9696" s="193" t="s">
        <v>16838</v>
      </c>
      <c r="D9696" s="193">
        <v>2006.0</v>
      </c>
      <c r="E9696" s="193"/>
      <c r="F9696" s="203" t="s">
        <v>30671</v>
      </c>
      <c r="G9696" s="200">
        <v>0.0</v>
      </c>
      <c r="H9696" s="205">
        <v>3.65</v>
      </c>
      <c r="I9696" s="206"/>
      <c r="J9696" s="202" t="s">
        <v>18679</v>
      </c>
      <c r="K9696" s="193" t="s">
        <v>16838</v>
      </c>
      <c r="L9696" s="193" t="s">
        <v>17471</v>
      </c>
      <c r="M9696" s="193"/>
      <c r="N9696" s="193"/>
    </row>
    <row r="9697">
      <c r="A9697" s="193" t="s">
        <v>30672</v>
      </c>
      <c r="B9697" s="202" t="s">
        <v>18679</v>
      </c>
      <c r="C9697" s="193" t="s">
        <v>16838</v>
      </c>
      <c r="D9697" s="193">
        <v>2005.0</v>
      </c>
      <c r="E9697" s="193"/>
      <c r="F9697" s="203" t="s">
        <v>30673</v>
      </c>
      <c r="G9697" s="200">
        <v>0.0</v>
      </c>
      <c r="H9697" s="205">
        <v>4.46</v>
      </c>
      <c r="I9697" s="206"/>
      <c r="J9697" s="202" t="s">
        <v>18679</v>
      </c>
      <c r="K9697" s="193" t="s">
        <v>16838</v>
      </c>
      <c r="L9697" s="193" t="s">
        <v>17471</v>
      </c>
      <c r="M9697" s="193"/>
      <c r="N9697" s="193"/>
    </row>
    <row r="9698">
      <c r="A9698" s="193" t="s">
        <v>30674</v>
      </c>
      <c r="B9698" s="202" t="s">
        <v>18679</v>
      </c>
      <c r="C9698" s="193" t="s">
        <v>16838</v>
      </c>
      <c r="D9698" s="206"/>
      <c r="E9698" s="193"/>
      <c r="F9698" s="203" t="s">
        <v>30675</v>
      </c>
      <c r="G9698" s="200">
        <v>0.0</v>
      </c>
      <c r="H9698" s="205">
        <v>5.61</v>
      </c>
      <c r="I9698" s="206"/>
      <c r="J9698" s="202" t="s">
        <v>18679</v>
      </c>
      <c r="K9698" s="193" t="s">
        <v>16838</v>
      </c>
      <c r="L9698" s="193" t="s">
        <v>17471</v>
      </c>
      <c r="M9698" s="206"/>
      <c r="N9698" s="206"/>
    </row>
    <row r="9699">
      <c r="A9699" s="193" t="s">
        <v>30676</v>
      </c>
      <c r="B9699" s="202" t="s">
        <v>18679</v>
      </c>
      <c r="C9699" s="193" t="s">
        <v>16838</v>
      </c>
      <c r="D9699" s="193">
        <v>2007.0</v>
      </c>
      <c r="E9699" s="193"/>
      <c r="F9699" s="203" t="s">
        <v>30677</v>
      </c>
      <c r="G9699" s="200">
        <v>0.0</v>
      </c>
      <c r="H9699" s="205">
        <v>10.72</v>
      </c>
      <c r="I9699" s="206"/>
      <c r="J9699" s="202" t="s">
        <v>18679</v>
      </c>
      <c r="K9699" s="193" t="s">
        <v>16838</v>
      </c>
      <c r="L9699" s="193" t="s">
        <v>17471</v>
      </c>
      <c r="M9699" s="193"/>
      <c r="N9699" s="193"/>
    </row>
    <row r="9700">
      <c r="A9700" s="193" t="s">
        <v>30678</v>
      </c>
      <c r="B9700" s="202" t="s">
        <v>18679</v>
      </c>
      <c r="C9700" s="193" t="s">
        <v>16838</v>
      </c>
      <c r="D9700" s="193">
        <v>1985.0</v>
      </c>
      <c r="E9700" s="193"/>
      <c r="F9700" s="203" t="s">
        <v>30679</v>
      </c>
      <c r="G9700" s="200">
        <v>0.0</v>
      </c>
      <c r="H9700" s="205">
        <v>10.29</v>
      </c>
      <c r="I9700" s="206"/>
      <c r="J9700" s="202" t="s">
        <v>18679</v>
      </c>
      <c r="K9700" s="193" t="s">
        <v>16838</v>
      </c>
      <c r="L9700" s="193" t="s">
        <v>17471</v>
      </c>
      <c r="M9700" s="193"/>
      <c r="N9700" s="193"/>
    </row>
    <row r="9701">
      <c r="A9701" s="193" t="s">
        <v>29749</v>
      </c>
      <c r="B9701" s="202" t="s">
        <v>18219</v>
      </c>
      <c r="C9701" s="193" t="s">
        <v>16838</v>
      </c>
      <c r="D9701" s="193">
        <v>2021.0</v>
      </c>
      <c r="E9701" s="193"/>
      <c r="F9701" s="203" t="s">
        <v>29750</v>
      </c>
      <c r="G9701" s="200">
        <v>0.0</v>
      </c>
      <c r="H9701" s="205">
        <v>3.77</v>
      </c>
      <c r="I9701" s="206"/>
      <c r="J9701" s="202" t="s">
        <v>18219</v>
      </c>
      <c r="K9701" s="193" t="s">
        <v>16838</v>
      </c>
      <c r="L9701" s="193" t="s">
        <v>17471</v>
      </c>
      <c r="M9701" s="193"/>
      <c r="N9701" s="193"/>
    </row>
    <row r="9702">
      <c r="A9702" s="193" t="s">
        <v>30680</v>
      </c>
      <c r="B9702" s="202" t="s">
        <v>18679</v>
      </c>
      <c r="C9702" s="193" t="s">
        <v>16838</v>
      </c>
      <c r="D9702" s="193">
        <v>2002.0</v>
      </c>
      <c r="E9702" s="193"/>
      <c r="F9702" s="203" t="s">
        <v>30681</v>
      </c>
      <c r="G9702" s="200">
        <v>0.0</v>
      </c>
      <c r="H9702" s="205">
        <v>10.82</v>
      </c>
      <c r="I9702" s="206"/>
      <c r="J9702" s="202" t="s">
        <v>18679</v>
      </c>
      <c r="K9702" s="193" t="s">
        <v>16838</v>
      </c>
      <c r="L9702" s="193" t="s">
        <v>17471</v>
      </c>
      <c r="M9702" s="193"/>
      <c r="N9702" s="193"/>
    </row>
    <row r="9703">
      <c r="A9703" s="193" t="s">
        <v>30769</v>
      </c>
      <c r="B9703" s="202" t="s">
        <v>19579</v>
      </c>
      <c r="C9703" s="193" t="s">
        <v>16838</v>
      </c>
      <c r="D9703" s="206"/>
      <c r="E9703" s="193"/>
      <c r="F9703" s="203" t="s">
        <v>30770</v>
      </c>
      <c r="G9703" s="200">
        <v>0.0</v>
      </c>
      <c r="H9703" s="205">
        <v>9.44</v>
      </c>
      <c r="I9703" s="206"/>
      <c r="J9703" s="202" t="s">
        <v>19579</v>
      </c>
      <c r="K9703" s="193" t="s">
        <v>16838</v>
      </c>
      <c r="L9703" s="193" t="s">
        <v>17471</v>
      </c>
      <c r="M9703" s="206"/>
      <c r="N9703" s="206"/>
    </row>
    <row r="9704">
      <c r="A9704" s="193" t="s">
        <v>30682</v>
      </c>
      <c r="B9704" s="202" t="s">
        <v>18679</v>
      </c>
      <c r="C9704" s="193" t="s">
        <v>16838</v>
      </c>
      <c r="D9704" s="193">
        <v>2013.0</v>
      </c>
      <c r="E9704" s="193"/>
      <c r="F9704" s="203" t="s">
        <v>30683</v>
      </c>
      <c r="G9704" s="200">
        <v>0.0</v>
      </c>
      <c r="H9704" s="205">
        <v>7.525</v>
      </c>
      <c r="I9704" s="206"/>
      <c r="J9704" s="202" t="s">
        <v>18679</v>
      </c>
      <c r="K9704" s="193" t="s">
        <v>16838</v>
      </c>
      <c r="L9704" s="193" t="s">
        <v>17471</v>
      </c>
      <c r="M9704" s="193"/>
      <c r="N9704" s="193"/>
    </row>
    <row r="9705">
      <c r="A9705" s="193" t="s">
        <v>30684</v>
      </c>
      <c r="B9705" s="202" t="s">
        <v>18679</v>
      </c>
      <c r="C9705" s="193" t="s">
        <v>16838</v>
      </c>
      <c r="D9705" s="193">
        <v>2003.0</v>
      </c>
      <c r="E9705" s="193"/>
      <c r="F9705" s="203" t="s">
        <v>30685</v>
      </c>
      <c r="G9705" s="200">
        <v>0.0</v>
      </c>
      <c r="H9705" s="205">
        <v>6.6</v>
      </c>
      <c r="I9705" s="206"/>
      <c r="J9705" s="202" t="s">
        <v>18679</v>
      </c>
      <c r="K9705" s="193" t="s">
        <v>16838</v>
      </c>
      <c r="L9705" s="193" t="s">
        <v>17471</v>
      </c>
      <c r="M9705" s="193"/>
      <c r="N9705" s="193"/>
    </row>
    <row r="9706">
      <c r="A9706" s="193" t="s">
        <v>29979</v>
      </c>
      <c r="B9706" s="202" t="s">
        <v>18219</v>
      </c>
      <c r="C9706" s="193" t="s">
        <v>16838</v>
      </c>
      <c r="D9706" s="193">
        <v>2021.0</v>
      </c>
      <c r="E9706" s="193"/>
      <c r="F9706" s="203" t="s">
        <v>29980</v>
      </c>
      <c r="G9706" s="200">
        <v>0.0</v>
      </c>
      <c r="H9706" s="205">
        <v>2.705</v>
      </c>
      <c r="I9706" s="206"/>
      <c r="J9706" s="202" t="s">
        <v>18219</v>
      </c>
      <c r="K9706" s="193" t="s">
        <v>16838</v>
      </c>
      <c r="L9706" s="193" t="s">
        <v>17471</v>
      </c>
      <c r="M9706" s="193"/>
      <c r="N9706" s="193"/>
    </row>
    <row r="9707">
      <c r="A9707" s="193" t="s">
        <v>30711</v>
      </c>
      <c r="B9707" s="202" t="s">
        <v>17202</v>
      </c>
      <c r="C9707" s="193" t="s">
        <v>16838</v>
      </c>
      <c r="D9707" s="206"/>
      <c r="E9707" s="193"/>
      <c r="F9707" s="203" t="s">
        <v>30712</v>
      </c>
      <c r="G9707" s="200">
        <v>0.0</v>
      </c>
      <c r="H9707" s="205">
        <v>8.5</v>
      </c>
      <c r="I9707" s="206"/>
      <c r="J9707" s="202" t="s">
        <v>17202</v>
      </c>
      <c r="K9707" s="193" t="s">
        <v>16838</v>
      </c>
      <c r="L9707" s="193" t="s">
        <v>17471</v>
      </c>
      <c r="M9707" s="206"/>
      <c r="N9707" s="206"/>
    </row>
    <row r="9708">
      <c r="A9708" s="193" t="s">
        <v>30713</v>
      </c>
      <c r="B9708" s="202" t="s">
        <v>17202</v>
      </c>
      <c r="C9708" s="193" t="s">
        <v>16838</v>
      </c>
      <c r="D9708" s="193">
        <v>2004.0</v>
      </c>
      <c r="E9708" s="193"/>
      <c r="F9708" s="203" t="s">
        <v>30714</v>
      </c>
      <c r="G9708" s="200">
        <v>0.0</v>
      </c>
      <c r="H9708" s="205">
        <v>1.75</v>
      </c>
      <c r="I9708" s="206"/>
      <c r="J9708" s="202" t="s">
        <v>17202</v>
      </c>
      <c r="K9708" s="193" t="s">
        <v>16838</v>
      </c>
      <c r="L9708" s="193" t="s">
        <v>17471</v>
      </c>
      <c r="M9708" s="193"/>
      <c r="N9708" s="193"/>
    </row>
    <row r="9709">
      <c r="A9709" s="193" t="s">
        <v>30686</v>
      </c>
      <c r="B9709" s="202" t="s">
        <v>18679</v>
      </c>
      <c r="C9709" s="193" t="s">
        <v>16838</v>
      </c>
      <c r="D9709" s="193">
        <v>1993.0</v>
      </c>
      <c r="E9709" s="193"/>
      <c r="F9709" s="203" t="s">
        <v>30687</v>
      </c>
      <c r="G9709" s="200">
        <v>0.0</v>
      </c>
      <c r="H9709" s="205">
        <v>24.97</v>
      </c>
      <c r="I9709" s="206"/>
      <c r="J9709" s="202" t="s">
        <v>18679</v>
      </c>
      <c r="K9709" s="193" t="s">
        <v>16838</v>
      </c>
      <c r="L9709" s="193" t="s">
        <v>17471</v>
      </c>
      <c r="M9709" s="193"/>
      <c r="N9709" s="193"/>
    </row>
    <row r="9710">
      <c r="A9710" s="193" t="s">
        <v>30145</v>
      </c>
      <c r="B9710" s="202" t="s">
        <v>18219</v>
      </c>
      <c r="C9710" s="193" t="s">
        <v>16838</v>
      </c>
      <c r="D9710" s="193">
        <v>2021.0</v>
      </c>
      <c r="E9710" s="193"/>
      <c r="F9710" s="203" t="s">
        <v>30146</v>
      </c>
      <c r="G9710" s="200">
        <v>0.0</v>
      </c>
      <c r="H9710" s="205">
        <v>8.8</v>
      </c>
      <c r="I9710" s="206"/>
      <c r="J9710" s="202" t="s">
        <v>18219</v>
      </c>
      <c r="K9710" s="193" t="s">
        <v>16838</v>
      </c>
      <c r="L9710" s="193" t="s">
        <v>17471</v>
      </c>
      <c r="M9710" s="193"/>
      <c r="N9710" s="193"/>
    </row>
    <row r="9711">
      <c r="A9711" s="193" t="s">
        <v>29380</v>
      </c>
      <c r="B9711" s="202" t="s">
        <v>16858</v>
      </c>
      <c r="C9711" s="193" t="s">
        <v>187</v>
      </c>
      <c r="D9711" s="193">
        <v>2021.0</v>
      </c>
      <c r="E9711" s="193"/>
      <c r="F9711" s="203" t="s">
        <v>29381</v>
      </c>
      <c r="G9711" s="200">
        <v>0.0</v>
      </c>
      <c r="H9711" s="205">
        <v>2.685</v>
      </c>
      <c r="I9711" s="206"/>
      <c r="J9711" s="202" t="s">
        <v>16858</v>
      </c>
      <c r="K9711" s="193" t="s">
        <v>187</v>
      </c>
      <c r="L9711" s="193" t="s">
        <v>17471</v>
      </c>
      <c r="M9711" s="193"/>
      <c r="N9711" s="193"/>
    </row>
    <row r="9712">
      <c r="A9712" s="193" t="s">
        <v>30807</v>
      </c>
      <c r="D9712" s="194">
        <v>2012.0</v>
      </c>
      <c r="E9712" s="193"/>
      <c r="F9712" s="195" t="s">
        <v>30808</v>
      </c>
      <c r="G9712" s="200">
        <v>0.0</v>
      </c>
      <c r="H9712" s="197">
        <v>14.15</v>
      </c>
      <c r="L9712" s="201" t="s">
        <v>16835</v>
      </c>
      <c r="M9712" s="194"/>
      <c r="N9712" s="194"/>
    </row>
    <row r="9713">
      <c r="A9713" s="193" t="s">
        <v>30813</v>
      </c>
      <c r="D9713" s="199"/>
      <c r="E9713" s="193"/>
      <c r="F9713" s="195" t="s">
        <v>30814</v>
      </c>
      <c r="G9713" s="200">
        <v>0.0</v>
      </c>
      <c r="H9713" s="197">
        <v>24.87</v>
      </c>
      <c r="L9713" s="201" t="s">
        <v>16835</v>
      </c>
      <c r="M9713" s="199"/>
      <c r="N9713" s="199"/>
    </row>
    <row r="9714">
      <c r="A9714" s="193" t="s">
        <v>30821</v>
      </c>
      <c r="D9714" s="194">
        <v>2023.0</v>
      </c>
      <c r="E9714" s="193"/>
      <c r="F9714" s="195" t="s">
        <v>30822</v>
      </c>
      <c r="G9714" s="200">
        <v>0.0</v>
      </c>
      <c r="H9714" s="197">
        <v>7.07</v>
      </c>
      <c r="L9714" s="201" t="s">
        <v>16835</v>
      </c>
      <c r="M9714" s="194"/>
      <c r="N9714" s="194"/>
    </row>
    <row r="9715">
      <c r="A9715" s="193" t="s">
        <v>30829</v>
      </c>
      <c r="D9715" s="199"/>
      <c r="E9715" s="193"/>
      <c r="F9715" s="195" t="s">
        <v>30830</v>
      </c>
      <c r="G9715" s="200">
        <v>0.0</v>
      </c>
      <c r="H9715" s="197">
        <v>5.88</v>
      </c>
      <c r="L9715" s="201" t="s">
        <v>16835</v>
      </c>
      <c r="M9715" s="199"/>
      <c r="N9715" s="199"/>
    </row>
    <row r="9716">
      <c r="A9716" s="193" t="s">
        <v>30839</v>
      </c>
      <c r="D9716" s="199"/>
      <c r="E9716" s="193"/>
      <c r="F9716" s="195" t="s">
        <v>30840</v>
      </c>
      <c r="G9716" s="200">
        <v>0.0</v>
      </c>
      <c r="H9716" s="197">
        <v>15.0</v>
      </c>
      <c r="L9716" s="201" t="s">
        <v>16835</v>
      </c>
      <c r="M9716" s="199"/>
      <c r="N9716" s="199"/>
    </row>
    <row r="9717">
      <c r="A9717" s="193" t="s">
        <v>30841</v>
      </c>
      <c r="D9717" s="194">
        <v>2023.0</v>
      </c>
      <c r="E9717" s="193"/>
      <c r="F9717" s="195" t="s">
        <v>30842</v>
      </c>
      <c r="G9717" s="200">
        <v>0.0</v>
      </c>
      <c r="H9717" s="197">
        <v>10.24</v>
      </c>
      <c r="L9717" s="201" t="s">
        <v>16835</v>
      </c>
      <c r="M9717" s="194"/>
      <c r="N9717" s="194"/>
    </row>
    <row r="9718">
      <c r="A9718" s="193" t="s">
        <v>30847</v>
      </c>
      <c r="D9718" s="194">
        <v>2021.0</v>
      </c>
      <c r="E9718" s="193"/>
      <c r="F9718" s="195" t="s">
        <v>30848</v>
      </c>
      <c r="G9718" s="200">
        <v>0.0</v>
      </c>
      <c r="H9718" s="197">
        <v>17.5706</v>
      </c>
      <c r="L9718" s="201" t="s">
        <v>16835</v>
      </c>
      <c r="M9718" s="194"/>
      <c r="N9718" s="194"/>
    </row>
    <row r="9719">
      <c r="A9719" s="193" t="s">
        <v>30855</v>
      </c>
      <c r="D9719" s="194">
        <v>2004.0</v>
      </c>
      <c r="E9719" s="193"/>
      <c r="F9719" s="195" t="s">
        <v>30856</v>
      </c>
      <c r="G9719" s="200">
        <v>0.0</v>
      </c>
      <c r="H9719" s="197">
        <v>13.67</v>
      </c>
      <c r="L9719" s="201" t="s">
        <v>16835</v>
      </c>
      <c r="M9719" s="194"/>
      <c r="N9719" s="194"/>
    </row>
    <row r="9720">
      <c r="A9720" s="193" t="s">
        <v>30863</v>
      </c>
      <c r="D9720" s="194">
        <v>2004.0</v>
      </c>
      <c r="E9720" s="193"/>
      <c r="F9720" s="195" t="s">
        <v>30864</v>
      </c>
      <c r="G9720" s="200">
        <v>0.0</v>
      </c>
      <c r="H9720" s="197">
        <v>7.07</v>
      </c>
      <c r="L9720" s="201" t="s">
        <v>16835</v>
      </c>
      <c r="M9720" s="194"/>
      <c r="N9720" s="194"/>
    </row>
    <row r="9721">
      <c r="A9721" s="193" t="s">
        <v>30889</v>
      </c>
      <c r="D9721" s="194">
        <v>2023.0</v>
      </c>
      <c r="E9721" s="193"/>
      <c r="F9721" s="195" t="s">
        <v>30890</v>
      </c>
      <c r="G9721" s="200">
        <v>0.0</v>
      </c>
      <c r="H9721" s="197">
        <v>24.85</v>
      </c>
      <c r="L9721" s="201" t="s">
        <v>16835</v>
      </c>
      <c r="M9721" s="194"/>
      <c r="N9721" s="194"/>
    </row>
    <row r="9722">
      <c r="A9722" s="193" t="s">
        <v>30907</v>
      </c>
      <c r="D9722" s="194">
        <v>2021.0</v>
      </c>
      <c r="E9722" s="193"/>
      <c r="F9722" s="195" t="s">
        <v>30908</v>
      </c>
      <c r="G9722" s="200">
        <v>0.0</v>
      </c>
      <c r="H9722" s="197">
        <v>22.63</v>
      </c>
      <c r="L9722" s="201" t="s">
        <v>16835</v>
      </c>
      <c r="M9722" s="194"/>
      <c r="N9722" s="194"/>
    </row>
    <row r="9723">
      <c r="A9723" s="193" t="s">
        <v>30899</v>
      </c>
      <c r="B9723" s="208"/>
      <c r="C9723" s="206"/>
      <c r="D9723" s="193">
        <v>2023.0</v>
      </c>
      <c r="E9723" s="193"/>
      <c r="F9723" s="203" t="s">
        <v>30900</v>
      </c>
      <c r="G9723" s="200">
        <v>0.0</v>
      </c>
      <c r="H9723" s="205">
        <v>1.6</v>
      </c>
      <c r="I9723" s="206"/>
      <c r="J9723" s="208"/>
      <c r="K9723" s="206"/>
      <c r="L9723" s="193" t="s">
        <v>17471</v>
      </c>
      <c r="M9723" s="193"/>
      <c r="N9723" s="193"/>
    </row>
    <row r="9724">
      <c r="A9724" s="193" t="s">
        <v>30917</v>
      </c>
      <c r="B9724" s="7" t="s">
        <v>187</v>
      </c>
      <c r="C9724" s="7" t="s">
        <v>16846</v>
      </c>
      <c r="D9724" s="199"/>
      <c r="E9724" s="193"/>
      <c r="F9724" s="195" t="s">
        <v>30918</v>
      </c>
      <c r="G9724" s="196"/>
      <c r="H9724" s="197">
        <v>0.3</v>
      </c>
      <c r="I9724" s="7" t="s">
        <v>16815</v>
      </c>
      <c r="J9724" s="7" t="s">
        <v>187</v>
      </c>
      <c r="K9724" s="7" t="s">
        <v>16846</v>
      </c>
      <c r="L9724" s="198" t="s">
        <v>65</v>
      </c>
      <c r="M9724" s="199"/>
      <c r="N9724" s="199"/>
    </row>
    <row r="9725">
      <c r="A9725" s="193" t="s">
        <v>30919</v>
      </c>
      <c r="B9725" s="7" t="s">
        <v>16838</v>
      </c>
      <c r="C9725" s="7" t="s">
        <v>18219</v>
      </c>
      <c r="D9725" s="199"/>
      <c r="E9725" s="193"/>
      <c r="F9725" s="195" t="s">
        <v>30920</v>
      </c>
      <c r="G9725" s="196"/>
      <c r="H9725" s="197">
        <v>14.84</v>
      </c>
      <c r="I9725" s="7" t="s">
        <v>16815</v>
      </c>
      <c r="J9725" s="7" t="s">
        <v>16838</v>
      </c>
      <c r="K9725" s="7" t="s">
        <v>18219</v>
      </c>
      <c r="L9725" s="198" t="s">
        <v>65</v>
      </c>
      <c r="M9725" s="199"/>
      <c r="N9725" s="199"/>
    </row>
    <row r="9726">
      <c r="A9726" s="193" t="s">
        <v>30921</v>
      </c>
      <c r="B9726" s="7" t="s">
        <v>16582</v>
      </c>
      <c r="C9726" s="7" t="s">
        <v>16817</v>
      </c>
      <c r="D9726" s="194">
        <v>2023.0</v>
      </c>
      <c r="E9726" s="193"/>
      <c r="F9726" s="195" t="s">
        <v>30922</v>
      </c>
      <c r="G9726" s="196"/>
      <c r="H9726" s="197">
        <v>1.61</v>
      </c>
      <c r="I9726" s="7" t="s">
        <v>16815</v>
      </c>
      <c r="J9726" s="7" t="s">
        <v>16582</v>
      </c>
      <c r="K9726" s="7" t="s">
        <v>16817</v>
      </c>
      <c r="L9726" s="198" t="s">
        <v>65</v>
      </c>
      <c r="M9726" s="194"/>
      <c r="N9726" s="194"/>
    </row>
    <row r="9727">
      <c r="A9727" s="193" t="s">
        <v>30923</v>
      </c>
      <c r="B9727" s="7" t="s">
        <v>16582</v>
      </c>
      <c r="C9727" s="7" t="s">
        <v>16817</v>
      </c>
      <c r="D9727" s="194">
        <v>2023.0</v>
      </c>
      <c r="E9727" s="193"/>
      <c r="F9727" s="195" t="s">
        <v>30924</v>
      </c>
      <c r="G9727" s="196"/>
      <c r="H9727" s="197">
        <v>0.0091</v>
      </c>
      <c r="I9727" s="7" t="s">
        <v>16815</v>
      </c>
      <c r="J9727" s="7" t="s">
        <v>16582</v>
      </c>
      <c r="K9727" s="7" t="s">
        <v>16817</v>
      </c>
      <c r="L9727" s="198" t="s">
        <v>65</v>
      </c>
      <c r="M9727" s="194"/>
      <c r="N9727" s="194"/>
    </row>
    <row r="9728">
      <c r="A9728" s="193" t="s">
        <v>30925</v>
      </c>
      <c r="B9728" s="7" t="s">
        <v>16582</v>
      </c>
      <c r="C9728" s="7" t="s">
        <v>17183</v>
      </c>
      <c r="D9728" s="199"/>
      <c r="E9728" s="193"/>
      <c r="F9728" s="195" t="s">
        <v>30926</v>
      </c>
      <c r="G9728" s="196"/>
      <c r="H9728" s="197">
        <v>3.8501</v>
      </c>
      <c r="I9728" s="7" t="s">
        <v>16815</v>
      </c>
      <c r="J9728" s="7" t="s">
        <v>16582</v>
      </c>
      <c r="K9728" s="7" t="s">
        <v>17183</v>
      </c>
      <c r="L9728" s="198" t="s">
        <v>65</v>
      </c>
      <c r="M9728" s="199"/>
      <c r="N9728" s="199"/>
    </row>
    <row r="9729">
      <c r="A9729" s="193" t="s">
        <v>30927</v>
      </c>
      <c r="B9729" s="7" t="s">
        <v>16838</v>
      </c>
      <c r="C9729" s="7" t="s">
        <v>16867</v>
      </c>
      <c r="D9729" s="199"/>
      <c r="E9729" s="193"/>
      <c r="F9729" s="195" t="s">
        <v>30928</v>
      </c>
      <c r="G9729" s="196"/>
      <c r="H9729" s="197">
        <v>22.6</v>
      </c>
      <c r="I9729" s="7" t="s">
        <v>16815</v>
      </c>
      <c r="J9729" s="7" t="s">
        <v>16838</v>
      </c>
      <c r="K9729" s="7" t="s">
        <v>16867</v>
      </c>
      <c r="L9729" s="198" t="s">
        <v>65</v>
      </c>
      <c r="M9729" s="199"/>
      <c r="N9729" s="199"/>
    </row>
    <row r="9730">
      <c r="A9730" s="193" t="s">
        <v>30929</v>
      </c>
      <c r="B9730" s="7" t="s">
        <v>169</v>
      </c>
      <c r="C9730" s="7" t="s">
        <v>18903</v>
      </c>
      <c r="D9730" s="199"/>
      <c r="E9730" s="193"/>
      <c r="F9730" s="195" t="s">
        <v>30930</v>
      </c>
      <c r="G9730" s="196"/>
      <c r="H9730" s="197">
        <v>24.984</v>
      </c>
      <c r="I9730" s="7" t="s">
        <v>16815</v>
      </c>
      <c r="J9730" s="7" t="s">
        <v>169</v>
      </c>
      <c r="K9730" s="7" t="s">
        <v>18903</v>
      </c>
      <c r="L9730" s="198" t="s">
        <v>65</v>
      </c>
      <c r="M9730" s="199"/>
      <c r="N9730" s="199"/>
    </row>
    <row r="9731">
      <c r="A9731" s="193" t="s">
        <v>30931</v>
      </c>
      <c r="D9731" s="199"/>
      <c r="E9731" s="193"/>
      <c r="F9731" s="195" t="s">
        <v>30932</v>
      </c>
      <c r="G9731" s="196"/>
      <c r="H9731" s="197">
        <v>19.6599</v>
      </c>
      <c r="I9731" s="7" t="s">
        <v>16815</v>
      </c>
      <c r="L9731" s="198" t="s">
        <v>65</v>
      </c>
      <c r="M9731" s="199"/>
      <c r="N9731" s="199"/>
    </row>
    <row r="9732">
      <c r="A9732" s="193" t="s">
        <v>30933</v>
      </c>
      <c r="D9732" s="199"/>
      <c r="E9732" s="193"/>
      <c r="F9732" s="195" t="s">
        <v>30934</v>
      </c>
      <c r="G9732" s="196"/>
      <c r="H9732" s="197">
        <v>23.85</v>
      </c>
      <c r="I9732" s="7" t="s">
        <v>16815</v>
      </c>
      <c r="L9732" s="198" t="s">
        <v>65</v>
      </c>
      <c r="M9732" s="199"/>
      <c r="N9732" s="199"/>
    </row>
    <row r="9733">
      <c r="A9733" s="193" t="s">
        <v>30935</v>
      </c>
      <c r="D9733" s="199"/>
      <c r="E9733" s="193"/>
      <c r="F9733" s="195" t="s">
        <v>30936</v>
      </c>
      <c r="G9733" s="196"/>
      <c r="H9733" s="197">
        <v>16.62</v>
      </c>
      <c r="I9733" s="7" t="s">
        <v>16815</v>
      </c>
      <c r="L9733" s="198" t="s">
        <v>65</v>
      </c>
      <c r="M9733" s="199"/>
      <c r="N9733" s="199"/>
    </row>
    <row r="9734">
      <c r="A9734" s="193" t="s">
        <v>30937</v>
      </c>
      <c r="D9734" s="199"/>
      <c r="E9734" s="193"/>
      <c r="F9734" s="195" t="s">
        <v>30938</v>
      </c>
      <c r="G9734" s="196"/>
      <c r="H9734" s="197">
        <v>16.42</v>
      </c>
      <c r="I9734" s="7" t="s">
        <v>16815</v>
      </c>
      <c r="L9734" s="198" t="s">
        <v>65</v>
      </c>
      <c r="M9734" s="199"/>
      <c r="N9734" s="199"/>
    </row>
    <row r="9735">
      <c r="A9735" s="193" t="s">
        <v>30939</v>
      </c>
      <c r="D9735" s="199"/>
      <c r="E9735" s="193"/>
      <c r="F9735" s="195" t="s">
        <v>30940</v>
      </c>
      <c r="G9735" s="196"/>
      <c r="H9735" s="197">
        <v>17.66</v>
      </c>
      <c r="I9735" s="7" t="s">
        <v>16815</v>
      </c>
      <c r="L9735" s="198" t="s">
        <v>65</v>
      </c>
      <c r="M9735" s="199"/>
      <c r="N9735" s="199"/>
    </row>
    <row r="9736">
      <c r="A9736" s="193" t="s">
        <v>30941</v>
      </c>
      <c r="D9736" s="194">
        <v>2023.0</v>
      </c>
      <c r="E9736" s="193"/>
      <c r="F9736" s="195" t="s">
        <v>30942</v>
      </c>
      <c r="G9736" s="196"/>
      <c r="H9736" s="197">
        <v>10.0</v>
      </c>
      <c r="I9736" s="7" t="s">
        <v>16815</v>
      </c>
      <c r="L9736" s="198" t="s">
        <v>65</v>
      </c>
      <c r="M9736" s="194"/>
      <c r="N9736" s="194"/>
    </row>
    <row r="9737">
      <c r="A9737" s="193" t="s">
        <v>30943</v>
      </c>
      <c r="D9737" s="199"/>
      <c r="E9737" s="193"/>
      <c r="F9737" s="195" t="s">
        <v>30944</v>
      </c>
      <c r="G9737" s="196"/>
      <c r="H9737" s="197">
        <v>21.14</v>
      </c>
      <c r="I9737" s="7" t="s">
        <v>16815</v>
      </c>
      <c r="L9737" s="198" t="s">
        <v>65</v>
      </c>
      <c r="M9737" s="199"/>
      <c r="N9737" s="199"/>
    </row>
    <row r="9738">
      <c r="A9738" s="193" t="s">
        <v>30945</v>
      </c>
      <c r="D9738" s="199"/>
      <c r="E9738" s="193"/>
      <c r="F9738" s="195" t="s">
        <v>30946</v>
      </c>
      <c r="G9738" s="196"/>
      <c r="H9738" s="197">
        <v>22.5</v>
      </c>
      <c r="I9738" s="7" t="s">
        <v>16815</v>
      </c>
      <c r="L9738" s="198" t="s">
        <v>65</v>
      </c>
      <c r="M9738" s="199"/>
      <c r="N9738" s="199"/>
    </row>
    <row r="9739">
      <c r="A9739" s="193" t="s">
        <v>30947</v>
      </c>
      <c r="D9739" s="199"/>
      <c r="E9739" s="193"/>
      <c r="F9739" s="195" t="s">
        <v>30948</v>
      </c>
      <c r="G9739" s="196"/>
      <c r="H9739" s="197">
        <v>19.7101</v>
      </c>
      <c r="I9739" s="7" t="s">
        <v>16815</v>
      </c>
      <c r="L9739" s="198" t="s">
        <v>65</v>
      </c>
      <c r="M9739" s="199"/>
      <c r="N9739" s="199"/>
    </row>
    <row r="9740">
      <c r="A9740" s="193" t="s">
        <v>30949</v>
      </c>
      <c r="D9740" s="199"/>
      <c r="E9740" s="193"/>
      <c r="F9740" s="195" t="s">
        <v>30950</v>
      </c>
      <c r="G9740" s="196"/>
      <c r="H9740" s="197">
        <v>17.37</v>
      </c>
      <c r="I9740" s="7" t="s">
        <v>16815</v>
      </c>
      <c r="L9740" s="198" t="s">
        <v>65</v>
      </c>
      <c r="M9740" s="199"/>
      <c r="N9740" s="199"/>
    </row>
    <row r="9741">
      <c r="A9741" s="193" t="s">
        <v>30951</v>
      </c>
      <c r="D9741" s="199"/>
      <c r="E9741" s="193"/>
      <c r="F9741" s="195" t="s">
        <v>30952</v>
      </c>
      <c r="G9741" s="196"/>
      <c r="H9741" s="197">
        <v>21.92</v>
      </c>
      <c r="I9741" s="7" t="s">
        <v>16815</v>
      </c>
      <c r="L9741" s="198" t="s">
        <v>65</v>
      </c>
      <c r="M9741" s="199"/>
      <c r="N9741" s="199"/>
    </row>
    <row r="9742">
      <c r="A9742" s="193" t="s">
        <v>30953</v>
      </c>
      <c r="D9742" s="199"/>
      <c r="E9742" s="193"/>
      <c r="F9742" s="195" t="s">
        <v>30954</v>
      </c>
      <c r="G9742" s="196"/>
      <c r="H9742" s="197">
        <v>23.81</v>
      </c>
      <c r="I9742" s="7" t="s">
        <v>16815</v>
      </c>
      <c r="L9742" s="198" t="s">
        <v>65</v>
      </c>
      <c r="M9742" s="199"/>
      <c r="N9742" s="199"/>
    </row>
    <row r="9743">
      <c r="A9743" s="193" t="s">
        <v>30955</v>
      </c>
      <c r="D9743" s="199"/>
      <c r="E9743" s="193"/>
      <c r="F9743" s="195" t="s">
        <v>30956</v>
      </c>
      <c r="G9743" s="196"/>
      <c r="H9743" s="197">
        <v>24.945</v>
      </c>
      <c r="I9743" s="7" t="s">
        <v>16815</v>
      </c>
      <c r="L9743" s="198" t="s">
        <v>65</v>
      </c>
      <c r="M9743" s="199"/>
      <c r="N9743" s="199"/>
    </row>
    <row r="9744">
      <c r="A9744" s="193" t="s">
        <v>30957</v>
      </c>
      <c r="D9744" s="199"/>
      <c r="E9744" s="193"/>
      <c r="F9744" s="195" t="s">
        <v>30958</v>
      </c>
      <c r="G9744" s="196"/>
      <c r="H9744" s="197">
        <v>22.0899</v>
      </c>
      <c r="I9744" s="7" t="s">
        <v>16815</v>
      </c>
      <c r="L9744" s="198" t="s">
        <v>65</v>
      </c>
      <c r="M9744" s="199"/>
      <c r="N9744" s="199"/>
    </row>
    <row r="9745">
      <c r="A9745" s="193" t="s">
        <v>30959</v>
      </c>
      <c r="D9745" s="199"/>
      <c r="E9745" s="193"/>
      <c r="F9745" s="195" t="s">
        <v>30960</v>
      </c>
      <c r="G9745" s="196"/>
      <c r="H9745" s="197">
        <v>21.58</v>
      </c>
      <c r="I9745" s="7" t="s">
        <v>16815</v>
      </c>
      <c r="L9745" s="198" t="s">
        <v>65</v>
      </c>
      <c r="M9745" s="199"/>
      <c r="N9745" s="199"/>
    </row>
    <row r="9746">
      <c r="A9746" s="193" t="s">
        <v>30961</v>
      </c>
      <c r="D9746" s="199"/>
      <c r="E9746" s="193"/>
      <c r="F9746" s="195" t="s">
        <v>30962</v>
      </c>
      <c r="G9746" s="196"/>
      <c r="H9746" s="197">
        <v>19.75</v>
      </c>
      <c r="I9746" s="7" t="s">
        <v>16815</v>
      </c>
      <c r="L9746" s="198" t="s">
        <v>65</v>
      </c>
      <c r="M9746" s="199"/>
      <c r="N9746" s="199"/>
    </row>
    <row r="9747">
      <c r="A9747" s="193" t="s">
        <v>30963</v>
      </c>
      <c r="D9747" s="199"/>
      <c r="E9747" s="193"/>
      <c r="F9747" s="195" t="s">
        <v>30964</v>
      </c>
      <c r="G9747" s="196"/>
      <c r="H9747" s="197">
        <v>18.22</v>
      </c>
      <c r="I9747" s="7" t="s">
        <v>16815</v>
      </c>
      <c r="L9747" s="198" t="s">
        <v>65</v>
      </c>
      <c r="M9747" s="199"/>
      <c r="N9747" s="199"/>
    </row>
    <row r="9748">
      <c r="A9748" s="193" t="s">
        <v>30965</v>
      </c>
      <c r="D9748" s="199"/>
      <c r="E9748" s="193"/>
      <c r="F9748" s="195" t="s">
        <v>30966</v>
      </c>
      <c r="G9748" s="196"/>
      <c r="H9748" s="197">
        <v>21.5</v>
      </c>
      <c r="I9748" s="7" t="s">
        <v>16815</v>
      </c>
      <c r="L9748" s="198" t="s">
        <v>65</v>
      </c>
      <c r="M9748" s="199"/>
      <c r="N9748" s="199"/>
    </row>
    <row r="9749">
      <c r="A9749" s="193" t="s">
        <v>30967</v>
      </c>
      <c r="D9749" s="199"/>
      <c r="E9749" s="193"/>
      <c r="F9749" s="195" t="s">
        <v>30968</v>
      </c>
      <c r="G9749" s="196"/>
      <c r="H9749" s="197">
        <v>25.36</v>
      </c>
      <c r="I9749" s="7" t="s">
        <v>16815</v>
      </c>
      <c r="L9749" s="198" t="s">
        <v>65</v>
      </c>
      <c r="M9749" s="199"/>
      <c r="N9749" s="199"/>
    </row>
    <row r="9750">
      <c r="A9750" s="193" t="s">
        <v>30969</v>
      </c>
      <c r="D9750" s="199"/>
      <c r="E9750" s="193"/>
      <c r="F9750" s="195" t="s">
        <v>30970</v>
      </c>
      <c r="G9750" s="196"/>
      <c r="H9750" s="197">
        <v>19.0301</v>
      </c>
      <c r="I9750" s="7" t="s">
        <v>16815</v>
      </c>
      <c r="L9750" s="198" t="s">
        <v>65</v>
      </c>
      <c r="M9750" s="199"/>
      <c r="N9750" s="199"/>
    </row>
    <row r="9751">
      <c r="A9751" s="193" t="s">
        <v>30971</v>
      </c>
      <c r="D9751" s="199"/>
      <c r="E9751" s="193"/>
      <c r="F9751" s="195" t="s">
        <v>30972</v>
      </c>
      <c r="G9751" s="196"/>
      <c r="H9751" s="197">
        <v>17.94</v>
      </c>
      <c r="I9751" s="7" t="s">
        <v>16815</v>
      </c>
      <c r="L9751" s="198" t="s">
        <v>65</v>
      </c>
      <c r="M9751" s="199"/>
      <c r="N9751" s="199"/>
    </row>
    <row r="9752">
      <c r="A9752" s="193" t="s">
        <v>30973</v>
      </c>
      <c r="D9752" s="199"/>
      <c r="E9752" s="193"/>
      <c r="F9752" s="195" t="s">
        <v>30974</v>
      </c>
      <c r="G9752" s="196"/>
      <c r="H9752" s="197">
        <v>11.69</v>
      </c>
      <c r="I9752" s="7" t="s">
        <v>16815</v>
      </c>
      <c r="L9752" s="198" t="s">
        <v>65</v>
      </c>
      <c r="M9752" s="199"/>
      <c r="N9752" s="199"/>
    </row>
    <row r="9753">
      <c r="A9753" s="193" t="s">
        <v>30975</v>
      </c>
      <c r="D9753" s="199"/>
      <c r="E9753" s="193"/>
      <c r="F9753" s="195" t="s">
        <v>30976</v>
      </c>
      <c r="G9753" s="196"/>
      <c r="H9753" s="197">
        <v>9.995</v>
      </c>
      <c r="I9753" s="7" t="s">
        <v>16815</v>
      </c>
      <c r="L9753" s="198" t="s">
        <v>65</v>
      </c>
      <c r="M9753" s="199"/>
      <c r="N9753" s="199"/>
    </row>
    <row r="9754">
      <c r="A9754" s="193" t="s">
        <v>30977</v>
      </c>
      <c r="D9754" s="199"/>
      <c r="E9754" s="193"/>
      <c r="F9754" s="195" t="s">
        <v>30978</v>
      </c>
      <c r="G9754" s="196"/>
      <c r="H9754" s="197">
        <v>12.1927</v>
      </c>
      <c r="I9754" s="7" t="s">
        <v>16815</v>
      </c>
      <c r="L9754" s="198" t="s">
        <v>65</v>
      </c>
      <c r="M9754" s="199"/>
      <c r="N9754" s="199"/>
    </row>
    <row r="9755">
      <c r="A9755" s="193" t="s">
        <v>30979</v>
      </c>
      <c r="D9755" s="199"/>
      <c r="E9755" s="193"/>
      <c r="F9755" s="195" t="s">
        <v>30980</v>
      </c>
      <c r="G9755" s="196"/>
      <c r="H9755" s="197">
        <v>9.895</v>
      </c>
      <c r="I9755" s="7" t="s">
        <v>16815</v>
      </c>
      <c r="L9755" s="198" t="s">
        <v>65</v>
      </c>
      <c r="M9755" s="199"/>
      <c r="N9755" s="199"/>
    </row>
    <row r="9756">
      <c r="A9756" s="193" t="s">
        <v>30981</v>
      </c>
      <c r="D9756" s="199"/>
      <c r="E9756" s="193"/>
      <c r="F9756" s="195" t="s">
        <v>30982</v>
      </c>
      <c r="G9756" s="196"/>
      <c r="H9756" s="197">
        <v>9.9999</v>
      </c>
      <c r="I9756" s="7" t="s">
        <v>16815</v>
      </c>
      <c r="L9756" s="198" t="s">
        <v>65</v>
      </c>
      <c r="M9756" s="199"/>
      <c r="N9756" s="199"/>
    </row>
    <row r="9757">
      <c r="A9757" s="193" t="s">
        <v>30983</v>
      </c>
      <c r="D9757" s="199"/>
      <c r="E9757" s="193"/>
      <c r="F9757" s="195" t="s">
        <v>30984</v>
      </c>
      <c r="G9757" s="196"/>
      <c r="H9757" s="197">
        <v>23.03</v>
      </c>
      <c r="I9757" s="7" t="s">
        <v>16815</v>
      </c>
      <c r="L9757" s="198" t="s">
        <v>65</v>
      </c>
      <c r="M9757" s="199"/>
      <c r="N9757" s="199"/>
    </row>
    <row r="9758">
      <c r="A9758" s="193" t="s">
        <v>30985</v>
      </c>
      <c r="D9758" s="199"/>
      <c r="E9758" s="193"/>
      <c r="F9758" s="195" t="s">
        <v>30986</v>
      </c>
      <c r="G9758" s="196"/>
      <c r="H9758" s="197">
        <v>11.11</v>
      </c>
      <c r="I9758" s="7" t="s">
        <v>16815</v>
      </c>
      <c r="L9758" s="198" t="s">
        <v>65</v>
      </c>
      <c r="M9758" s="199"/>
      <c r="N9758" s="199"/>
    </row>
    <row r="9759">
      <c r="A9759" s="193" t="s">
        <v>30987</v>
      </c>
      <c r="D9759" s="199"/>
      <c r="E9759" s="193"/>
      <c r="F9759" s="195" t="s">
        <v>30986</v>
      </c>
      <c r="G9759" s="196"/>
      <c r="H9759" s="197">
        <v>13.37</v>
      </c>
      <c r="I9759" s="7" t="s">
        <v>16815</v>
      </c>
      <c r="L9759" s="198" t="s">
        <v>65</v>
      </c>
      <c r="M9759" s="199"/>
      <c r="N9759" s="199"/>
    </row>
    <row r="9760">
      <c r="A9760" s="193" t="s">
        <v>30988</v>
      </c>
      <c r="D9760" s="199"/>
      <c r="E9760" s="193"/>
      <c r="F9760" s="195" t="s">
        <v>30989</v>
      </c>
      <c r="G9760" s="196"/>
      <c r="H9760" s="197">
        <v>24.66</v>
      </c>
      <c r="I9760" s="7" t="s">
        <v>16815</v>
      </c>
      <c r="L9760" s="198" t="s">
        <v>65</v>
      </c>
      <c r="M9760" s="199"/>
      <c r="N9760" s="199"/>
    </row>
    <row r="9761">
      <c r="A9761" s="193" t="s">
        <v>30990</v>
      </c>
      <c r="D9761" s="199"/>
      <c r="E9761" s="193"/>
      <c r="F9761" s="195" t="s">
        <v>30991</v>
      </c>
      <c r="G9761" s="196"/>
      <c r="H9761" s="197">
        <v>25.75</v>
      </c>
      <c r="I9761" s="7" t="s">
        <v>16815</v>
      </c>
      <c r="L9761" s="198" t="s">
        <v>65</v>
      </c>
      <c r="M9761" s="199"/>
      <c r="N9761" s="199"/>
    </row>
    <row r="9762">
      <c r="A9762" s="193" t="s">
        <v>30992</v>
      </c>
      <c r="D9762" s="199"/>
      <c r="E9762" s="193"/>
      <c r="F9762" s="195" t="s">
        <v>30993</v>
      </c>
      <c r="G9762" s="196"/>
      <c r="H9762" s="197">
        <v>20.63</v>
      </c>
      <c r="I9762" s="7" t="s">
        <v>16815</v>
      </c>
      <c r="L9762" s="198" t="s">
        <v>65</v>
      </c>
      <c r="M9762" s="199"/>
      <c r="N9762" s="199"/>
    </row>
    <row r="9763">
      <c r="A9763" s="193" t="s">
        <v>30994</v>
      </c>
      <c r="D9763" s="199"/>
      <c r="E9763" s="193"/>
      <c r="F9763" s="195" t="s">
        <v>30995</v>
      </c>
      <c r="G9763" s="196"/>
      <c r="H9763" s="197">
        <v>19.6</v>
      </c>
      <c r="I9763" s="7" t="s">
        <v>16815</v>
      </c>
      <c r="L9763" s="198" t="s">
        <v>65</v>
      </c>
      <c r="M9763" s="199"/>
      <c r="N9763" s="199"/>
    </row>
    <row r="9764">
      <c r="A9764" s="193" t="s">
        <v>30996</v>
      </c>
      <c r="D9764" s="199"/>
      <c r="E9764" s="193"/>
      <c r="F9764" s="195" t="s">
        <v>30997</v>
      </c>
      <c r="G9764" s="196"/>
      <c r="H9764" s="197">
        <v>26.44</v>
      </c>
      <c r="I9764" s="7" t="s">
        <v>16815</v>
      </c>
      <c r="L9764" s="198" t="s">
        <v>65</v>
      </c>
      <c r="M9764" s="199"/>
      <c r="N9764" s="199"/>
    </row>
    <row r="9765">
      <c r="A9765" s="193" t="s">
        <v>30998</v>
      </c>
      <c r="D9765" s="199"/>
      <c r="E9765" s="193"/>
      <c r="F9765" s="195" t="s">
        <v>30999</v>
      </c>
      <c r="G9765" s="196"/>
      <c r="H9765" s="197">
        <v>25.35</v>
      </c>
      <c r="I9765" s="7" t="s">
        <v>16815</v>
      </c>
      <c r="L9765" s="198" t="s">
        <v>65</v>
      </c>
      <c r="M9765" s="199"/>
      <c r="N9765" s="199"/>
    </row>
    <row r="9766">
      <c r="A9766" s="193" t="s">
        <v>31000</v>
      </c>
      <c r="D9766" s="199"/>
      <c r="E9766" s="193"/>
      <c r="F9766" s="195" t="s">
        <v>31001</v>
      </c>
      <c r="G9766" s="196"/>
      <c r="H9766" s="197">
        <v>22.87</v>
      </c>
      <c r="I9766" s="7" t="s">
        <v>16815</v>
      </c>
      <c r="L9766" s="198" t="s">
        <v>65</v>
      </c>
      <c r="M9766" s="199"/>
      <c r="N9766" s="199"/>
    </row>
    <row r="9767">
      <c r="A9767" s="193" t="s">
        <v>31002</v>
      </c>
      <c r="D9767" s="199"/>
      <c r="E9767" s="193"/>
      <c r="F9767" s="195" t="s">
        <v>31003</v>
      </c>
      <c r="G9767" s="196"/>
      <c r="H9767" s="197">
        <v>23.6</v>
      </c>
      <c r="I9767" s="7" t="s">
        <v>16815</v>
      </c>
      <c r="L9767" s="198" t="s">
        <v>65</v>
      </c>
      <c r="M9767" s="199"/>
      <c r="N9767" s="199"/>
    </row>
    <row r="9768">
      <c r="A9768" s="193" t="s">
        <v>31004</v>
      </c>
      <c r="D9768" s="199"/>
      <c r="E9768" s="193"/>
      <c r="F9768" s="195" t="s">
        <v>31005</v>
      </c>
      <c r="G9768" s="196"/>
      <c r="H9768" s="197">
        <v>51.98</v>
      </c>
      <c r="I9768" s="7" t="s">
        <v>16815</v>
      </c>
      <c r="L9768" s="198" t="s">
        <v>65</v>
      </c>
      <c r="M9768" s="199"/>
      <c r="N9768" s="199"/>
    </row>
    <row r="9769">
      <c r="A9769" s="193" t="s">
        <v>31006</v>
      </c>
      <c r="D9769" s="199"/>
      <c r="E9769" s="193"/>
      <c r="F9769" s="195" t="s">
        <v>31007</v>
      </c>
      <c r="G9769" s="196"/>
      <c r="H9769" s="197">
        <v>22.57</v>
      </c>
      <c r="I9769" s="7" t="s">
        <v>16815</v>
      </c>
      <c r="L9769" s="198" t="s">
        <v>65</v>
      </c>
      <c r="M9769" s="199"/>
      <c r="N9769" s="199"/>
    </row>
    <row r="9770">
      <c r="A9770" s="193" t="s">
        <v>31008</v>
      </c>
      <c r="D9770" s="199"/>
      <c r="E9770" s="193"/>
      <c r="F9770" s="195" t="s">
        <v>31009</v>
      </c>
      <c r="G9770" s="196"/>
      <c r="H9770" s="197">
        <v>20.08</v>
      </c>
      <c r="I9770" s="7" t="s">
        <v>16815</v>
      </c>
      <c r="L9770" s="198" t="s">
        <v>65</v>
      </c>
      <c r="M9770" s="199"/>
      <c r="N9770" s="199"/>
    </row>
    <row r="9771">
      <c r="A9771" s="193" t="s">
        <v>31010</v>
      </c>
      <c r="D9771" s="199"/>
      <c r="E9771" s="193"/>
      <c r="F9771" s="195" t="s">
        <v>31011</v>
      </c>
      <c r="G9771" s="196"/>
      <c r="H9771" s="197">
        <v>18.59</v>
      </c>
      <c r="I9771" s="7" t="s">
        <v>16815</v>
      </c>
      <c r="L9771" s="198" t="s">
        <v>65</v>
      </c>
      <c r="M9771" s="199"/>
      <c r="N9771" s="199"/>
    </row>
    <row r="9772">
      <c r="A9772" s="193" t="s">
        <v>31012</v>
      </c>
      <c r="D9772" s="199"/>
      <c r="E9772" s="193"/>
      <c r="F9772" s="195" t="s">
        <v>31013</v>
      </c>
      <c r="G9772" s="196"/>
      <c r="H9772" s="197">
        <v>17.4</v>
      </c>
      <c r="I9772" s="7" t="s">
        <v>16815</v>
      </c>
      <c r="L9772" s="198" t="s">
        <v>65</v>
      </c>
      <c r="M9772" s="199"/>
      <c r="N9772" s="199"/>
    </row>
    <row r="9773">
      <c r="A9773" s="193" t="s">
        <v>31014</v>
      </c>
      <c r="D9773" s="199"/>
      <c r="E9773" s="193"/>
      <c r="F9773" s="195" t="s">
        <v>31015</v>
      </c>
      <c r="G9773" s="196"/>
      <c r="H9773" s="197">
        <v>23.894</v>
      </c>
      <c r="I9773" s="7" t="s">
        <v>16815</v>
      </c>
      <c r="L9773" s="198" t="s">
        <v>65</v>
      </c>
      <c r="M9773" s="199"/>
      <c r="N9773" s="199"/>
    </row>
    <row r="9774">
      <c r="A9774" s="193" t="s">
        <v>31016</v>
      </c>
      <c r="D9774" s="199"/>
      <c r="E9774" s="193"/>
      <c r="F9774" s="195" t="s">
        <v>31017</v>
      </c>
      <c r="G9774" s="196"/>
      <c r="H9774" s="197">
        <v>22.73</v>
      </c>
      <c r="I9774" s="7" t="s">
        <v>16815</v>
      </c>
      <c r="L9774" s="198" t="s">
        <v>65</v>
      </c>
      <c r="M9774" s="199"/>
      <c r="N9774" s="199"/>
    </row>
    <row r="9775">
      <c r="A9775" s="193" t="s">
        <v>31018</v>
      </c>
      <c r="D9775" s="199"/>
      <c r="E9775" s="193"/>
      <c r="F9775" s="195" t="s">
        <v>31019</v>
      </c>
      <c r="G9775" s="196"/>
      <c r="H9775" s="197">
        <v>22.0</v>
      </c>
      <c r="I9775" s="7" t="s">
        <v>16815</v>
      </c>
      <c r="L9775" s="198" t="s">
        <v>65</v>
      </c>
      <c r="M9775" s="199"/>
      <c r="N9775" s="199"/>
    </row>
    <row r="9776">
      <c r="A9776" s="193" t="s">
        <v>31020</v>
      </c>
      <c r="D9776" s="199"/>
      <c r="E9776" s="193"/>
      <c r="F9776" s="195" t="s">
        <v>31021</v>
      </c>
      <c r="G9776" s="196"/>
      <c r="H9776" s="197">
        <v>19.87</v>
      </c>
      <c r="I9776" s="7" t="s">
        <v>16815</v>
      </c>
      <c r="L9776" s="198" t="s">
        <v>65</v>
      </c>
      <c r="M9776" s="199"/>
      <c r="N9776" s="199"/>
    </row>
    <row r="9777">
      <c r="A9777" s="193" t="s">
        <v>31022</v>
      </c>
      <c r="D9777" s="199"/>
      <c r="E9777" s="193"/>
      <c r="F9777" s="195" t="s">
        <v>31023</v>
      </c>
      <c r="G9777" s="196"/>
      <c r="H9777" s="197">
        <v>24.26</v>
      </c>
      <c r="I9777" s="7" t="s">
        <v>16815</v>
      </c>
      <c r="L9777" s="198" t="s">
        <v>65</v>
      </c>
      <c r="M9777" s="199"/>
      <c r="N9777" s="199"/>
    </row>
    <row r="9778">
      <c r="A9778" s="193" t="s">
        <v>31024</v>
      </c>
      <c r="D9778" s="199"/>
      <c r="E9778" s="193"/>
      <c r="F9778" s="195" t="s">
        <v>31025</v>
      </c>
      <c r="G9778" s="196"/>
      <c r="H9778" s="197">
        <v>16.63</v>
      </c>
      <c r="I9778" s="7" t="s">
        <v>16815</v>
      </c>
      <c r="L9778" s="198" t="s">
        <v>65</v>
      </c>
      <c r="M9778" s="199"/>
      <c r="N9778" s="199"/>
    </row>
    <row r="9779">
      <c r="A9779" s="193" t="s">
        <v>31026</v>
      </c>
      <c r="D9779" s="199"/>
      <c r="E9779" s="193"/>
      <c r="F9779" s="195" t="s">
        <v>31027</v>
      </c>
      <c r="G9779" s="196"/>
      <c r="H9779" s="197">
        <v>25.33</v>
      </c>
      <c r="I9779" s="7" t="s">
        <v>16815</v>
      </c>
      <c r="L9779" s="198" t="s">
        <v>65</v>
      </c>
      <c r="M9779" s="199"/>
      <c r="N9779" s="199"/>
    </row>
    <row r="9780">
      <c r="A9780" s="193" t="s">
        <v>31028</v>
      </c>
      <c r="D9780" s="199"/>
      <c r="E9780" s="193"/>
      <c r="F9780" s="195" t="s">
        <v>31029</v>
      </c>
      <c r="G9780" s="196"/>
      <c r="H9780" s="197">
        <v>19.7</v>
      </c>
      <c r="I9780" s="7" t="s">
        <v>16815</v>
      </c>
      <c r="L9780" s="198" t="s">
        <v>65</v>
      </c>
      <c r="M9780" s="199"/>
      <c r="N9780" s="199"/>
    </row>
    <row r="9781">
      <c r="A9781" s="193" t="s">
        <v>31030</v>
      </c>
      <c r="D9781" s="199"/>
      <c r="E9781" s="193"/>
      <c r="F9781" s="195" t="s">
        <v>31031</v>
      </c>
      <c r="G9781" s="196"/>
      <c r="H9781" s="197">
        <v>19.99</v>
      </c>
      <c r="I9781" s="7" t="s">
        <v>16815</v>
      </c>
      <c r="L9781" s="198" t="s">
        <v>65</v>
      </c>
      <c r="M9781" s="199"/>
      <c r="N9781" s="199"/>
    </row>
    <row r="9782">
      <c r="A9782" s="193" t="s">
        <v>31032</v>
      </c>
      <c r="D9782" s="199"/>
      <c r="E9782" s="193"/>
      <c r="F9782" s="195" t="s">
        <v>31033</v>
      </c>
      <c r="G9782" s="196"/>
      <c r="H9782" s="197">
        <v>20.57</v>
      </c>
      <c r="I9782" s="7" t="s">
        <v>16815</v>
      </c>
      <c r="L9782" s="198" t="s">
        <v>65</v>
      </c>
      <c r="M9782" s="199"/>
      <c r="N9782" s="199"/>
    </row>
    <row r="9783">
      <c r="A9783" s="193" t="s">
        <v>31034</v>
      </c>
      <c r="D9783" s="199"/>
      <c r="E9783" s="193"/>
      <c r="F9783" s="195" t="s">
        <v>31035</v>
      </c>
      <c r="G9783" s="196"/>
      <c r="H9783" s="197">
        <v>23.64</v>
      </c>
      <c r="I9783" s="7" t="s">
        <v>16815</v>
      </c>
      <c r="L9783" s="198" t="s">
        <v>65</v>
      </c>
      <c r="M9783" s="199"/>
      <c r="N9783" s="199"/>
    </row>
    <row r="9784">
      <c r="A9784" s="193" t="s">
        <v>31036</v>
      </c>
      <c r="D9784" s="199"/>
      <c r="E9784" s="193"/>
      <c r="F9784" s="195" t="s">
        <v>31037</v>
      </c>
      <c r="G9784" s="196"/>
      <c r="H9784" s="197">
        <v>20.5725</v>
      </c>
      <c r="I9784" s="7" t="s">
        <v>16815</v>
      </c>
      <c r="L9784" s="198" t="s">
        <v>65</v>
      </c>
      <c r="M9784" s="199"/>
      <c r="N9784" s="199"/>
    </row>
    <row r="9785">
      <c r="A9785" s="193" t="s">
        <v>31038</v>
      </c>
      <c r="D9785" s="199"/>
      <c r="E9785" s="193"/>
      <c r="F9785" s="195" t="s">
        <v>31039</v>
      </c>
      <c r="G9785" s="196"/>
      <c r="H9785" s="197">
        <v>22.95</v>
      </c>
      <c r="I9785" s="7" t="s">
        <v>16815</v>
      </c>
      <c r="L9785" s="198" t="s">
        <v>65</v>
      </c>
      <c r="M9785" s="199"/>
      <c r="N9785" s="199"/>
    </row>
    <row r="9786">
      <c r="A9786" s="193" t="s">
        <v>31040</v>
      </c>
      <c r="D9786" s="199"/>
      <c r="E9786" s="193"/>
      <c r="F9786" s="195" t="s">
        <v>31041</v>
      </c>
      <c r="G9786" s="196"/>
      <c r="H9786" s="197">
        <v>1090.0</v>
      </c>
      <c r="I9786" s="7" t="s">
        <v>16815</v>
      </c>
      <c r="L9786" s="198" t="s">
        <v>65</v>
      </c>
      <c r="M9786" s="199"/>
      <c r="N9786" s="199"/>
    </row>
    <row r="9787">
      <c r="A9787" s="193" t="s">
        <v>31042</v>
      </c>
      <c r="D9787" s="199"/>
      <c r="E9787" s="193"/>
      <c r="F9787" s="195" t="s">
        <v>31043</v>
      </c>
      <c r="G9787" s="196"/>
      <c r="H9787" s="197">
        <v>21.74</v>
      </c>
      <c r="I9787" s="7" t="s">
        <v>16815</v>
      </c>
      <c r="L9787" s="198" t="s">
        <v>65</v>
      </c>
      <c r="M9787" s="199"/>
      <c r="N9787" s="199"/>
    </row>
    <row r="9788">
      <c r="A9788" s="193" t="s">
        <v>31044</v>
      </c>
      <c r="D9788" s="199"/>
      <c r="E9788" s="193"/>
      <c r="F9788" s="195" t="s">
        <v>31045</v>
      </c>
      <c r="G9788" s="196"/>
      <c r="H9788" s="197">
        <v>20.25</v>
      </c>
      <c r="I9788" s="7" t="s">
        <v>16815</v>
      </c>
      <c r="L9788" s="198" t="s">
        <v>65</v>
      </c>
      <c r="M9788" s="199"/>
      <c r="N9788" s="199"/>
    </row>
    <row r="9789">
      <c r="A9789" s="193" t="s">
        <v>31046</v>
      </c>
      <c r="D9789" s="199"/>
      <c r="E9789" s="193"/>
      <c r="F9789" s="195" t="s">
        <v>31047</v>
      </c>
      <c r="G9789" s="196"/>
      <c r="H9789" s="197">
        <v>17.65</v>
      </c>
      <c r="I9789" s="7" t="s">
        <v>16815</v>
      </c>
      <c r="L9789" s="198" t="s">
        <v>65</v>
      </c>
      <c r="M9789" s="199"/>
      <c r="N9789" s="199"/>
    </row>
    <row r="9790">
      <c r="A9790" s="193" t="s">
        <v>31048</v>
      </c>
      <c r="D9790" s="199"/>
      <c r="E9790" s="193"/>
      <c r="F9790" s="195" t="s">
        <v>31049</v>
      </c>
      <c r="G9790" s="196"/>
      <c r="H9790" s="197">
        <v>16.6</v>
      </c>
      <c r="I9790" s="7" t="s">
        <v>16815</v>
      </c>
      <c r="L9790" s="198" t="s">
        <v>65</v>
      </c>
      <c r="M9790" s="199"/>
      <c r="N9790" s="199"/>
    </row>
    <row r="9791">
      <c r="A9791" s="193" t="s">
        <v>31050</v>
      </c>
      <c r="D9791" s="199"/>
      <c r="E9791" s="193"/>
      <c r="F9791" s="195" t="s">
        <v>31051</v>
      </c>
      <c r="G9791" s="196"/>
      <c r="H9791" s="197">
        <v>17.07</v>
      </c>
      <c r="I9791" s="7" t="s">
        <v>16815</v>
      </c>
      <c r="L9791" s="198" t="s">
        <v>65</v>
      </c>
      <c r="M9791" s="199"/>
      <c r="N9791" s="199"/>
    </row>
    <row r="9792">
      <c r="A9792" s="193" t="s">
        <v>31052</v>
      </c>
      <c r="D9792" s="199"/>
      <c r="E9792" s="193"/>
      <c r="F9792" s="195" t="s">
        <v>31053</v>
      </c>
      <c r="G9792" s="196"/>
      <c r="H9792" s="197">
        <v>18.77</v>
      </c>
      <c r="I9792" s="7" t="s">
        <v>16815</v>
      </c>
      <c r="L9792" s="198" t="s">
        <v>65</v>
      </c>
      <c r="M9792" s="199"/>
      <c r="N9792" s="199"/>
    </row>
    <row r="9793">
      <c r="A9793" s="193" t="s">
        <v>31054</v>
      </c>
      <c r="D9793" s="199"/>
      <c r="E9793" s="193"/>
      <c r="F9793" s="195" t="s">
        <v>31055</v>
      </c>
      <c r="G9793" s="196"/>
      <c r="H9793" s="197">
        <v>23.88</v>
      </c>
      <c r="I9793" s="7" t="s">
        <v>16815</v>
      </c>
      <c r="L9793" s="198" t="s">
        <v>65</v>
      </c>
      <c r="M9793" s="199"/>
      <c r="N9793" s="199"/>
    </row>
    <row r="9794">
      <c r="A9794" s="193" t="s">
        <v>31056</v>
      </c>
      <c r="D9794" s="199"/>
      <c r="E9794" s="193"/>
      <c r="F9794" s="195" t="s">
        <v>31057</v>
      </c>
      <c r="G9794" s="196"/>
      <c r="H9794" s="197">
        <v>25.1</v>
      </c>
      <c r="I9794" s="7" t="s">
        <v>16815</v>
      </c>
      <c r="L9794" s="198" t="s">
        <v>65</v>
      </c>
      <c r="M9794" s="199"/>
      <c r="N9794" s="199"/>
    </row>
    <row r="9795">
      <c r="A9795" s="193" t="s">
        <v>31058</v>
      </c>
      <c r="D9795" s="199"/>
      <c r="E9795" s="193"/>
      <c r="F9795" s="195" t="s">
        <v>31059</v>
      </c>
      <c r="G9795" s="196"/>
      <c r="H9795" s="197">
        <v>23.14</v>
      </c>
      <c r="I9795" s="7" t="s">
        <v>16815</v>
      </c>
      <c r="L9795" s="198" t="s">
        <v>65</v>
      </c>
      <c r="M9795" s="199"/>
      <c r="N9795" s="199"/>
    </row>
    <row r="9796">
      <c r="A9796" s="193" t="s">
        <v>31060</v>
      </c>
      <c r="D9796" s="199"/>
      <c r="E9796" s="193"/>
      <c r="F9796" s="195" t="s">
        <v>31061</v>
      </c>
      <c r="G9796" s="196"/>
      <c r="H9796" s="197">
        <v>22.09</v>
      </c>
      <c r="I9796" s="7" t="s">
        <v>16815</v>
      </c>
      <c r="L9796" s="198" t="s">
        <v>65</v>
      </c>
      <c r="M9796" s="199"/>
      <c r="N9796" s="199"/>
    </row>
    <row r="9797">
      <c r="A9797" s="193" t="s">
        <v>31062</v>
      </c>
      <c r="D9797" s="199"/>
      <c r="E9797" s="193"/>
      <c r="F9797" s="195" t="s">
        <v>31063</v>
      </c>
      <c r="G9797" s="196"/>
      <c r="H9797" s="197">
        <v>16.54</v>
      </c>
      <c r="I9797" s="7" t="s">
        <v>16815</v>
      </c>
      <c r="L9797" s="198" t="s">
        <v>65</v>
      </c>
      <c r="M9797" s="199"/>
      <c r="N9797" s="199"/>
    </row>
    <row r="9798">
      <c r="A9798" s="193" t="s">
        <v>31064</v>
      </c>
      <c r="D9798" s="199"/>
      <c r="E9798" s="193"/>
      <c r="F9798" s="195" t="s">
        <v>31065</v>
      </c>
      <c r="G9798" s="196"/>
      <c r="H9798" s="197">
        <v>58.72</v>
      </c>
      <c r="I9798" s="7" t="s">
        <v>16815</v>
      </c>
      <c r="L9798" s="198" t="s">
        <v>65</v>
      </c>
      <c r="M9798" s="199"/>
      <c r="N9798" s="199"/>
    </row>
    <row r="9799">
      <c r="A9799" s="193" t="s">
        <v>31066</v>
      </c>
      <c r="D9799" s="199"/>
      <c r="E9799" s="193"/>
      <c r="F9799" s="195" t="s">
        <v>31065</v>
      </c>
      <c r="G9799" s="196"/>
      <c r="H9799" s="197">
        <v>57.02</v>
      </c>
      <c r="I9799" s="7" t="s">
        <v>16815</v>
      </c>
      <c r="L9799" s="198" t="s">
        <v>65</v>
      </c>
      <c r="M9799" s="199"/>
      <c r="N9799" s="199"/>
    </row>
    <row r="9800">
      <c r="A9800" s="193" t="s">
        <v>31067</v>
      </c>
      <c r="D9800" s="199"/>
      <c r="E9800" s="193"/>
      <c r="F9800" s="195" t="s">
        <v>31068</v>
      </c>
      <c r="G9800" s="196"/>
      <c r="H9800" s="197">
        <v>19.77</v>
      </c>
      <c r="I9800" s="7" t="s">
        <v>16815</v>
      </c>
      <c r="L9800" s="198" t="s">
        <v>65</v>
      </c>
      <c r="M9800" s="199"/>
      <c r="N9800" s="199"/>
    </row>
    <row r="9801">
      <c r="A9801" s="193" t="s">
        <v>31069</v>
      </c>
      <c r="D9801" s="199"/>
      <c r="E9801" s="193"/>
      <c r="F9801" s="195" t="s">
        <v>31070</v>
      </c>
      <c r="G9801" s="196"/>
      <c r="H9801" s="197">
        <v>19.65</v>
      </c>
      <c r="I9801" s="7" t="s">
        <v>16815</v>
      </c>
      <c r="L9801" s="198" t="s">
        <v>65</v>
      </c>
      <c r="M9801" s="199"/>
      <c r="N9801" s="199"/>
    </row>
    <row r="9802">
      <c r="A9802" s="193" t="s">
        <v>31071</v>
      </c>
      <c r="D9802" s="199"/>
      <c r="E9802" s="193"/>
      <c r="F9802" s="195" t="s">
        <v>31072</v>
      </c>
      <c r="G9802" s="196"/>
      <c r="H9802" s="197">
        <v>11.455</v>
      </c>
      <c r="I9802" s="7" t="s">
        <v>16815</v>
      </c>
      <c r="L9802" s="198" t="s">
        <v>65</v>
      </c>
      <c r="M9802" s="199"/>
      <c r="N9802" s="199"/>
    </row>
    <row r="9803">
      <c r="A9803" s="193" t="s">
        <v>31073</v>
      </c>
      <c r="D9803" s="199"/>
      <c r="E9803" s="193"/>
      <c r="F9803" s="195" t="s">
        <v>31074</v>
      </c>
      <c r="G9803" s="196"/>
      <c r="H9803" s="197">
        <v>16.92</v>
      </c>
      <c r="I9803" s="7" t="s">
        <v>16815</v>
      </c>
      <c r="L9803" s="198" t="s">
        <v>65</v>
      </c>
      <c r="M9803" s="199"/>
      <c r="N9803" s="199"/>
    </row>
    <row r="9804">
      <c r="A9804" s="193" t="s">
        <v>31075</v>
      </c>
      <c r="D9804" s="199"/>
      <c r="E9804" s="193"/>
      <c r="F9804" s="195" t="s">
        <v>31076</v>
      </c>
      <c r="G9804" s="196"/>
      <c r="H9804" s="197">
        <v>300.1</v>
      </c>
      <c r="I9804" s="7" t="s">
        <v>16815</v>
      </c>
      <c r="L9804" s="198" t="s">
        <v>65</v>
      </c>
      <c r="M9804" s="199"/>
      <c r="N9804" s="199"/>
    </row>
    <row r="9805">
      <c r="A9805" s="193" t="s">
        <v>31077</v>
      </c>
      <c r="D9805" s="199"/>
      <c r="E9805" s="193"/>
      <c r="F9805" s="195" t="s">
        <v>31078</v>
      </c>
      <c r="G9805" s="196"/>
      <c r="H9805" s="197">
        <v>16.65</v>
      </c>
      <c r="I9805" s="7" t="s">
        <v>16815</v>
      </c>
      <c r="L9805" s="198" t="s">
        <v>65</v>
      </c>
      <c r="M9805" s="199"/>
      <c r="N9805" s="199"/>
    </row>
    <row r="9806">
      <c r="A9806" s="193" t="s">
        <v>31079</v>
      </c>
      <c r="D9806" s="199"/>
      <c r="E9806" s="193"/>
      <c r="F9806" s="195" t="s">
        <v>31080</v>
      </c>
      <c r="G9806" s="196"/>
      <c r="H9806" s="197">
        <v>15.8025</v>
      </c>
      <c r="I9806" s="7" t="s">
        <v>16815</v>
      </c>
      <c r="L9806" s="198" t="s">
        <v>65</v>
      </c>
      <c r="M9806" s="199"/>
      <c r="N9806" s="199"/>
    </row>
    <row r="9807">
      <c r="A9807" s="193" t="s">
        <v>31081</v>
      </c>
      <c r="D9807" s="199"/>
      <c r="E9807" s="193"/>
      <c r="F9807" s="195" t="s">
        <v>31082</v>
      </c>
      <c r="G9807" s="196"/>
      <c r="H9807" s="197">
        <v>20.98</v>
      </c>
      <c r="I9807" s="7" t="s">
        <v>16815</v>
      </c>
      <c r="L9807" s="198" t="s">
        <v>65</v>
      </c>
      <c r="M9807" s="199"/>
      <c r="N9807" s="199"/>
    </row>
    <row r="9808">
      <c r="A9808" s="193" t="s">
        <v>31083</v>
      </c>
      <c r="D9808" s="199"/>
      <c r="E9808" s="193"/>
      <c r="F9808" s="195" t="s">
        <v>31084</v>
      </c>
      <c r="G9808" s="196"/>
      <c r="H9808" s="197">
        <v>20.61</v>
      </c>
      <c r="I9808" s="7" t="s">
        <v>16815</v>
      </c>
      <c r="L9808" s="198" t="s">
        <v>65</v>
      </c>
      <c r="M9808" s="199"/>
      <c r="N9808" s="199"/>
    </row>
    <row r="9809">
      <c r="A9809" s="193" t="s">
        <v>31085</v>
      </c>
      <c r="D9809" s="199"/>
      <c r="E9809" s="193"/>
      <c r="F9809" s="195" t="s">
        <v>31086</v>
      </c>
      <c r="G9809" s="196"/>
      <c r="H9809" s="197">
        <v>21.615</v>
      </c>
      <c r="I9809" s="7" t="s">
        <v>16815</v>
      </c>
      <c r="L9809" s="198" t="s">
        <v>65</v>
      </c>
      <c r="M9809" s="199"/>
      <c r="N9809" s="199"/>
    </row>
    <row r="9810">
      <c r="A9810" s="193" t="s">
        <v>31087</v>
      </c>
      <c r="D9810" s="199"/>
      <c r="E9810" s="193"/>
      <c r="F9810" s="195" t="s">
        <v>31088</v>
      </c>
      <c r="G9810" s="196"/>
      <c r="H9810" s="197">
        <v>20.68</v>
      </c>
      <c r="I9810" s="7" t="s">
        <v>16815</v>
      </c>
      <c r="L9810" s="198" t="s">
        <v>65</v>
      </c>
      <c r="M9810" s="199"/>
      <c r="N9810" s="199"/>
    </row>
    <row r="9811">
      <c r="A9811" s="193" t="s">
        <v>31089</v>
      </c>
      <c r="D9811" s="199"/>
      <c r="E9811" s="193"/>
      <c r="F9811" s="195" t="s">
        <v>31090</v>
      </c>
      <c r="G9811" s="196"/>
      <c r="H9811" s="197">
        <v>13.93</v>
      </c>
      <c r="I9811" s="7" t="s">
        <v>16815</v>
      </c>
      <c r="L9811" s="198" t="s">
        <v>65</v>
      </c>
      <c r="M9811" s="199"/>
      <c r="N9811" s="199"/>
    </row>
    <row r="9812">
      <c r="A9812" s="193" t="s">
        <v>31091</v>
      </c>
      <c r="D9812" s="199"/>
      <c r="E9812" s="193"/>
      <c r="F9812" s="195" t="s">
        <v>31092</v>
      </c>
      <c r="G9812" s="196"/>
      <c r="H9812" s="197">
        <v>11.19</v>
      </c>
      <c r="I9812" s="7" t="s">
        <v>16815</v>
      </c>
      <c r="L9812" s="198" t="s">
        <v>65</v>
      </c>
      <c r="M9812" s="199"/>
      <c r="N9812" s="199"/>
    </row>
    <row r="9813">
      <c r="A9813" s="193" t="s">
        <v>31093</v>
      </c>
      <c r="D9813" s="199"/>
      <c r="E9813" s="193"/>
      <c r="F9813" s="195" t="s">
        <v>31094</v>
      </c>
      <c r="G9813" s="196"/>
      <c r="H9813" s="197">
        <v>25.53</v>
      </c>
      <c r="I9813" s="7" t="s">
        <v>16815</v>
      </c>
      <c r="L9813" s="198" t="s">
        <v>65</v>
      </c>
      <c r="M9813" s="199"/>
      <c r="N9813" s="199"/>
    </row>
    <row r="9814">
      <c r="A9814" s="193" t="s">
        <v>31095</v>
      </c>
      <c r="D9814" s="199"/>
      <c r="E9814" s="193"/>
      <c r="F9814" s="195" t="s">
        <v>31096</v>
      </c>
      <c r="G9814" s="196"/>
      <c r="H9814" s="197">
        <v>24.99</v>
      </c>
      <c r="I9814" s="7" t="s">
        <v>16815</v>
      </c>
      <c r="L9814" s="198" t="s">
        <v>65</v>
      </c>
      <c r="M9814" s="199"/>
      <c r="N9814" s="199"/>
    </row>
    <row r="9815">
      <c r="A9815" s="193" t="s">
        <v>31097</v>
      </c>
      <c r="D9815" s="199"/>
      <c r="E9815" s="193"/>
      <c r="F9815" s="195" t="s">
        <v>31098</v>
      </c>
      <c r="G9815" s="196"/>
      <c r="H9815" s="197">
        <v>28.49</v>
      </c>
      <c r="I9815" s="7" t="s">
        <v>16815</v>
      </c>
      <c r="L9815" s="198" t="s">
        <v>65</v>
      </c>
      <c r="M9815" s="199"/>
      <c r="N9815" s="199"/>
    </row>
    <row r="9816">
      <c r="A9816" s="193" t="s">
        <v>31099</v>
      </c>
      <c r="D9816" s="199"/>
      <c r="E9816" s="193"/>
      <c r="F9816" s="195" t="s">
        <v>31100</v>
      </c>
      <c r="G9816" s="196"/>
      <c r="H9816" s="197">
        <v>17.26</v>
      </c>
      <c r="I9816" s="7" t="s">
        <v>16815</v>
      </c>
      <c r="L9816" s="198" t="s">
        <v>65</v>
      </c>
      <c r="M9816" s="199"/>
      <c r="N9816" s="199"/>
    </row>
    <row r="9817">
      <c r="A9817" s="193" t="s">
        <v>31101</v>
      </c>
      <c r="D9817" s="194">
        <v>2023.0</v>
      </c>
      <c r="E9817" s="193"/>
      <c r="F9817" s="195" t="s">
        <v>31102</v>
      </c>
      <c r="G9817" s="196"/>
      <c r="H9817" s="197">
        <v>25.0168</v>
      </c>
      <c r="I9817" s="7" t="s">
        <v>16815</v>
      </c>
      <c r="L9817" s="198" t="s">
        <v>65</v>
      </c>
      <c r="M9817" s="194"/>
      <c r="N9817" s="194"/>
    </row>
    <row r="9818">
      <c r="A9818" s="193" t="s">
        <v>31103</v>
      </c>
      <c r="D9818" s="199"/>
      <c r="E9818" s="193"/>
      <c r="F9818" s="195" t="s">
        <v>31104</v>
      </c>
      <c r="G9818" s="196"/>
      <c r="H9818" s="197">
        <v>13.11</v>
      </c>
      <c r="I9818" s="7" t="s">
        <v>16815</v>
      </c>
      <c r="L9818" s="198" t="s">
        <v>65</v>
      </c>
      <c r="M9818" s="199"/>
      <c r="N9818" s="199"/>
    </row>
    <row r="9819">
      <c r="A9819" s="193" t="s">
        <v>31105</v>
      </c>
      <c r="D9819" s="199"/>
      <c r="E9819" s="193"/>
      <c r="F9819" s="195" t="s">
        <v>31106</v>
      </c>
      <c r="G9819" s="196"/>
      <c r="H9819" s="197">
        <v>11.3393</v>
      </c>
      <c r="I9819" s="7" t="s">
        <v>16815</v>
      </c>
      <c r="L9819" s="198" t="s">
        <v>65</v>
      </c>
      <c r="M9819" s="199"/>
      <c r="N9819" s="199"/>
    </row>
    <row r="9820">
      <c r="A9820" s="193" t="s">
        <v>31107</v>
      </c>
      <c r="D9820" s="199"/>
      <c r="E9820" s="193"/>
      <c r="F9820" s="195" t="s">
        <v>31108</v>
      </c>
      <c r="G9820" s="196"/>
      <c r="H9820" s="197">
        <v>23.8</v>
      </c>
      <c r="I9820" s="7" t="s">
        <v>16815</v>
      </c>
      <c r="L9820" s="198" t="s">
        <v>65</v>
      </c>
      <c r="M9820" s="199"/>
      <c r="N9820" s="199"/>
    </row>
    <row r="9821">
      <c r="A9821" s="193" t="s">
        <v>31109</v>
      </c>
      <c r="D9821" s="199"/>
      <c r="E9821" s="193"/>
      <c r="F9821" s="195" t="s">
        <v>31110</v>
      </c>
      <c r="G9821" s="196"/>
      <c r="H9821" s="197">
        <v>17.23</v>
      </c>
      <c r="I9821" s="7" t="s">
        <v>16815</v>
      </c>
      <c r="L9821" s="198" t="s">
        <v>65</v>
      </c>
      <c r="M9821" s="199"/>
      <c r="N9821" s="199"/>
    </row>
    <row r="9822">
      <c r="A9822" s="193" t="s">
        <v>31111</v>
      </c>
      <c r="D9822" s="199"/>
      <c r="E9822" s="193"/>
      <c r="F9822" s="195" t="s">
        <v>31112</v>
      </c>
      <c r="G9822" s="196"/>
      <c r="H9822" s="197">
        <v>17.54</v>
      </c>
      <c r="I9822" s="7" t="s">
        <v>16815</v>
      </c>
      <c r="L9822" s="198" t="s">
        <v>65</v>
      </c>
      <c r="M9822" s="199"/>
      <c r="N9822" s="199"/>
    </row>
    <row r="9823">
      <c r="A9823" s="193" t="s">
        <v>31113</v>
      </c>
      <c r="D9823" s="199"/>
      <c r="E9823" s="193"/>
      <c r="F9823" s="195" t="s">
        <v>31114</v>
      </c>
      <c r="G9823" s="196"/>
      <c r="H9823" s="197">
        <v>19.2</v>
      </c>
      <c r="I9823" s="7" t="s">
        <v>16815</v>
      </c>
      <c r="L9823" s="198" t="s">
        <v>65</v>
      </c>
      <c r="M9823" s="199"/>
      <c r="N9823" s="199"/>
    </row>
    <row r="9824">
      <c r="A9824" s="193" t="s">
        <v>31115</v>
      </c>
      <c r="D9824" s="199"/>
      <c r="E9824" s="193"/>
      <c r="F9824" s="195" t="s">
        <v>31116</v>
      </c>
      <c r="G9824" s="196"/>
      <c r="H9824" s="197">
        <v>20.91</v>
      </c>
      <c r="I9824" s="7" t="s">
        <v>16815</v>
      </c>
      <c r="L9824" s="198" t="s">
        <v>65</v>
      </c>
      <c r="M9824" s="199"/>
      <c r="N9824" s="199"/>
    </row>
    <row r="9825">
      <c r="A9825" s="193" t="s">
        <v>31117</v>
      </c>
      <c r="D9825" s="199"/>
      <c r="E9825" s="193"/>
      <c r="F9825" s="195" t="s">
        <v>31118</v>
      </c>
      <c r="G9825" s="196"/>
      <c r="H9825" s="197">
        <v>19.09</v>
      </c>
      <c r="I9825" s="7" t="s">
        <v>16815</v>
      </c>
      <c r="L9825" s="198" t="s">
        <v>65</v>
      </c>
      <c r="M9825" s="199"/>
      <c r="N9825" s="199"/>
    </row>
    <row r="9826">
      <c r="A9826" s="193" t="s">
        <v>31119</v>
      </c>
      <c r="D9826" s="199"/>
      <c r="E9826" s="193"/>
      <c r="F9826" s="195" t="s">
        <v>31120</v>
      </c>
      <c r="G9826" s="196"/>
      <c r="H9826" s="197">
        <v>20.9</v>
      </c>
      <c r="I9826" s="7" t="s">
        <v>16815</v>
      </c>
      <c r="L9826" s="198" t="s">
        <v>65</v>
      </c>
      <c r="M9826" s="199"/>
      <c r="N9826" s="199"/>
    </row>
    <row r="9827">
      <c r="A9827" s="193" t="s">
        <v>31121</v>
      </c>
      <c r="D9827" s="199"/>
      <c r="E9827" s="193"/>
      <c r="F9827" s="195" t="s">
        <v>31122</v>
      </c>
      <c r="G9827" s="196"/>
      <c r="H9827" s="197">
        <v>17.5</v>
      </c>
      <c r="I9827" s="7" t="s">
        <v>16815</v>
      </c>
      <c r="L9827" s="198" t="s">
        <v>65</v>
      </c>
      <c r="M9827" s="199"/>
      <c r="N9827" s="199"/>
    </row>
    <row r="9828">
      <c r="A9828" s="193" t="s">
        <v>31123</v>
      </c>
      <c r="D9828" s="199"/>
      <c r="E9828" s="193"/>
      <c r="F9828" s="195" t="s">
        <v>31124</v>
      </c>
      <c r="G9828" s="196"/>
      <c r="H9828" s="197">
        <v>20.57</v>
      </c>
      <c r="I9828" s="7" t="s">
        <v>16815</v>
      </c>
      <c r="L9828" s="198" t="s">
        <v>65</v>
      </c>
      <c r="M9828" s="199"/>
      <c r="N9828" s="199"/>
    </row>
    <row r="9829">
      <c r="A9829" s="193" t="s">
        <v>31125</v>
      </c>
      <c r="D9829" s="199"/>
      <c r="E9829" s="193"/>
      <c r="F9829" s="195" t="s">
        <v>31126</v>
      </c>
      <c r="G9829" s="196"/>
      <c r="H9829" s="197">
        <v>15.9</v>
      </c>
      <c r="I9829" s="7" t="s">
        <v>16815</v>
      </c>
      <c r="L9829" s="198" t="s">
        <v>65</v>
      </c>
      <c r="M9829" s="199"/>
      <c r="N9829" s="199"/>
    </row>
    <row r="9830">
      <c r="A9830" s="193" t="s">
        <v>31127</v>
      </c>
      <c r="D9830" s="199"/>
      <c r="E9830" s="193"/>
      <c r="F9830" s="195" t="s">
        <v>31128</v>
      </c>
      <c r="G9830" s="196"/>
      <c r="H9830" s="197">
        <v>19.75</v>
      </c>
      <c r="I9830" s="7" t="s">
        <v>16815</v>
      </c>
      <c r="L9830" s="198" t="s">
        <v>65</v>
      </c>
      <c r="M9830" s="199"/>
      <c r="N9830" s="199"/>
    </row>
    <row r="9831">
      <c r="A9831" s="193" t="s">
        <v>31129</v>
      </c>
      <c r="D9831" s="199"/>
      <c r="E9831" s="193"/>
      <c r="F9831" s="195" t="s">
        <v>31130</v>
      </c>
      <c r="G9831" s="196"/>
      <c r="H9831" s="197">
        <v>28.6301</v>
      </c>
      <c r="I9831" s="7" t="s">
        <v>16815</v>
      </c>
      <c r="L9831" s="198" t="s">
        <v>65</v>
      </c>
      <c r="M9831" s="199"/>
      <c r="N9831" s="199"/>
    </row>
    <row r="9832">
      <c r="A9832" s="193" t="s">
        <v>31131</v>
      </c>
      <c r="D9832" s="199"/>
      <c r="E9832" s="193"/>
      <c r="F9832" s="195" t="s">
        <v>31132</v>
      </c>
      <c r="G9832" s="196"/>
      <c r="H9832" s="197">
        <v>24.3895</v>
      </c>
      <c r="I9832" s="7" t="s">
        <v>16815</v>
      </c>
      <c r="L9832" s="198" t="s">
        <v>65</v>
      </c>
      <c r="M9832" s="199"/>
      <c r="N9832" s="199"/>
    </row>
    <row r="9833">
      <c r="A9833" s="193" t="s">
        <v>31133</v>
      </c>
      <c r="D9833" s="199"/>
      <c r="E9833" s="193"/>
      <c r="F9833" s="195" t="s">
        <v>31134</v>
      </c>
      <c r="G9833" s="196"/>
      <c r="H9833" s="197">
        <v>25.03</v>
      </c>
      <c r="I9833" s="7" t="s">
        <v>16815</v>
      </c>
      <c r="L9833" s="198" t="s">
        <v>65</v>
      </c>
      <c r="M9833" s="199"/>
      <c r="N9833" s="199"/>
    </row>
    <row r="9834">
      <c r="A9834" s="193" t="s">
        <v>31135</v>
      </c>
      <c r="D9834" s="199"/>
      <c r="E9834" s="193"/>
      <c r="F9834" s="195" t="s">
        <v>31136</v>
      </c>
      <c r="G9834" s="196"/>
      <c r="H9834" s="197">
        <v>25.19</v>
      </c>
      <c r="I9834" s="7" t="s">
        <v>16815</v>
      </c>
      <c r="L9834" s="198" t="s">
        <v>65</v>
      </c>
      <c r="M9834" s="199"/>
      <c r="N9834" s="199"/>
    </row>
    <row r="9835">
      <c r="A9835" s="193" t="s">
        <v>31137</v>
      </c>
      <c r="D9835" s="199"/>
      <c r="E9835" s="193"/>
      <c r="F9835" s="195" t="s">
        <v>31138</v>
      </c>
      <c r="G9835" s="196"/>
      <c r="H9835" s="197">
        <v>25.2</v>
      </c>
      <c r="I9835" s="7" t="s">
        <v>16815</v>
      </c>
      <c r="L9835" s="198" t="s">
        <v>65</v>
      </c>
      <c r="M9835" s="199"/>
      <c r="N9835" s="199"/>
    </row>
    <row r="9836">
      <c r="A9836" s="193" t="s">
        <v>31139</v>
      </c>
      <c r="D9836" s="199"/>
      <c r="E9836" s="193"/>
      <c r="F9836" s="195" t="s">
        <v>31140</v>
      </c>
      <c r="G9836" s="196"/>
      <c r="H9836" s="197">
        <v>85.41</v>
      </c>
      <c r="I9836" s="7" t="s">
        <v>16815</v>
      </c>
      <c r="L9836" s="198" t="s">
        <v>65</v>
      </c>
      <c r="M9836" s="199"/>
      <c r="N9836" s="199"/>
    </row>
    <row r="9837">
      <c r="A9837" s="193" t="s">
        <v>31141</v>
      </c>
      <c r="D9837" s="199"/>
      <c r="E9837" s="193"/>
      <c r="F9837" s="195" t="s">
        <v>31142</v>
      </c>
      <c r="G9837" s="196"/>
      <c r="H9837" s="197">
        <v>19.99</v>
      </c>
      <c r="I9837" s="7" t="s">
        <v>16815</v>
      </c>
      <c r="L9837" s="198" t="s">
        <v>65</v>
      </c>
      <c r="M9837" s="199"/>
      <c r="N9837" s="199"/>
    </row>
    <row r="9838">
      <c r="A9838" s="193" t="s">
        <v>31143</v>
      </c>
      <c r="D9838" s="199"/>
      <c r="E9838" s="193"/>
      <c r="F9838" s="195" t="s">
        <v>31144</v>
      </c>
      <c r="G9838" s="196"/>
      <c r="H9838" s="197">
        <v>15.9399</v>
      </c>
      <c r="I9838" s="7" t="s">
        <v>16815</v>
      </c>
      <c r="L9838" s="198" t="s">
        <v>65</v>
      </c>
      <c r="M9838" s="199"/>
      <c r="N9838" s="199"/>
    </row>
    <row r="9839">
      <c r="A9839" s="193" t="s">
        <v>31145</v>
      </c>
      <c r="D9839" s="199"/>
      <c r="E9839" s="193"/>
      <c r="F9839" s="195" t="s">
        <v>31146</v>
      </c>
      <c r="G9839" s="196"/>
      <c r="H9839" s="197">
        <v>23.1207</v>
      </c>
      <c r="I9839" s="7" t="s">
        <v>16815</v>
      </c>
      <c r="L9839" s="198" t="s">
        <v>65</v>
      </c>
      <c r="M9839" s="199"/>
      <c r="N9839" s="199"/>
    </row>
    <row r="9840">
      <c r="A9840" s="193" t="s">
        <v>31147</v>
      </c>
      <c r="D9840" s="199"/>
      <c r="E9840" s="193"/>
      <c r="F9840" s="195" t="s">
        <v>31148</v>
      </c>
      <c r="G9840" s="196"/>
      <c r="H9840" s="197">
        <v>24.1498</v>
      </c>
      <c r="I9840" s="7" t="s">
        <v>16815</v>
      </c>
      <c r="L9840" s="198" t="s">
        <v>65</v>
      </c>
      <c r="M9840" s="199"/>
      <c r="N9840" s="199"/>
    </row>
    <row r="9841">
      <c r="A9841" s="193" t="s">
        <v>31149</v>
      </c>
      <c r="D9841" s="199"/>
      <c r="E9841" s="193"/>
      <c r="F9841" s="195" t="s">
        <v>31150</v>
      </c>
      <c r="G9841" s="196"/>
      <c r="H9841" s="197">
        <v>24.474</v>
      </c>
      <c r="I9841" s="7" t="s">
        <v>16815</v>
      </c>
      <c r="L9841" s="198" t="s">
        <v>65</v>
      </c>
      <c r="M9841" s="199"/>
      <c r="N9841" s="199"/>
    </row>
    <row r="9842">
      <c r="A9842" s="193" t="s">
        <v>31151</v>
      </c>
      <c r="D9842" s="199"/>
      <c r="E9842" s="193"/>
      <c r="F9842" s="195" t="s">
        <v>31152</v>
      </c>
      <c r="G9842" s="196"/>
      <c r="H9842" s="197">
        <v>17.67</v>
      </c>
      <c r="I9842" s="7" t="s">
        <v>16815</v>
      </c>
      <c r="L9842" s="198" t="s">
        <v>65</v>
      </c>
      <c r="M9842" s="199"/>
      <c r="N9842" s="199"/>
    </row>
    <row r="9843">
      <c r="A9843" s="193" t="s">
        <v>31153</v>
      </c>
      <c r="D9843" s="199"/>
      <c r="E9843" s="193"/>
      <c r="F9843" s="195" t="s">
        <v>31154</v>
      </c>
      <c r="G9843" s="196"/>
      <c r="H9843" s="197">
        <v>17.05</v>
      </c>
      <c r="I9843" s="7" t="s">
        <v>16815</v>
      </c>
      <c r="L9843" s="198" t="s">
        <v>65</v>
      </c>
      <c r="M9843" s="199"/>
      <c r="N9843" s="199"/>
    </row>
    <row r="9844">
      <c r="A9844" s="193" t="s">
        <v>31155</v>
      </c>
      <c r="D9844" s="199"/>
      <c r="E9844" s="193"/>
      <c r="F9844" s="195" t="s">
        <v>31156</v>
      </c>
      <c r="G9844" s="196"/>
      <c r="H9844" s="197">
        <v>16.39</v>
      </c>
      <c r="I9844" s="7" t="s">
        <v>16815</v>
      </c>
      <c r="L9844" s="198" t="s">
        <v>65</v>
      </c>
      <c r="M9844" s="199"/>
      <c r="N9844" s="199"/>
    </row>
    <row r="9845">
      <c r="A9845" s="193" t="s">
        <v>31157</v>
      </c>
      <c r="D9845" s="199"/>
      <c r="E9845" s="193"/>
      <c r="F9845" s="195" t="s">
        <v>31158</v>
      </c>
      <c r="G9845" s="196"/>
      <c r="H9845" s="197">
        <v>15.4</v>
      </c>
      <c r="I9845" s="7" t="s">
        <v>16815</v>
      </c>
      <c r="L9845" s="198" t="s">
        <v>65</v>
      </c>
      <c r="M9845" s="199"/>
      <c r="N9845" s="199"/>
    </row>
    <row r="9846">
      <c r="A9846" s="193" t="s">
        <v>31159</v>
      </c>
      <c r="D9846" s="199"/>
      <c r="E9846" s="193"/>
      <c r="F9846" s="195" t="s">
        <v>31160</v>
      </c>
      <c r="G9846" s="196"/>
      <c r="H9846" s="197">
        <v>15.02</v>
      </c>
      <c r="I9846" s="7" t="s">
        <v>16815</v>
      </c>
      <c r="L9846" s="198" t="s">
        <v>65</v>
      </c>
      <c r="M9846" s="199"/>
      <c r="N9846" s="199"/>
    </row>
    <row r="9847">
      <c r="A9847" s="193" t="s">
        <v>31161</v>
      </c>
      <c r="D9847" s="199"/>
      <c r="E9847" s="193"/>
      <c r="F9847" s="195" t="s">
        <v>31162</v>
      </c>
      <c r="G9847" s="196"/>
      <c r="H9847" s="197">
        <v>3.96</v>
      </c>
      <c r="I9847" s="7" t="s">
        <v>16815</v>
      </c>
      <c r="L9847" s="198" t="s">
        <v>65</v>
      </c>
      <c r="M9847" s="199"/>
      <c r="N9847" s="199"/>
    </row>
    <row r="9848">
      <c r="A9848" s="193" t="s">
        <v>31163</v>
      </c>
      <c r="D9848" s="199"/>
      <c r="E9848" s="193"/>
      <c r="F9848" s="195" t="s">
        <v>31164</v>
      </c>
      <c r="G9848" s="196"/>
      <c r="H9848" s="197">
        <v>10.48</v>
      </c>
      <c r="I9848" s="7" t="s">
        <v>16815</v>
      </c>
      <c r="L9848" s="198" t="s">
        <v>65</v>
      </c>
      <c r="M9848" s="199"/>
      <c r="N9848" s="199"/>
    </row>
    <row r="9849">
      <c r="A9849" s="193" t="s">
        <v>31165</v>
      </c>
      <c r="D9849" s="199"/>
      <c r="E9849" s="193"/>
      <c r="F9849" s="195" t="s">
        <v>31164</v>
      </c>
      <c r="G9849" s="196"/>
      <c r="H9849" s="197">
        <v>9.33</v>
      </c>
      <c r="I9849" s="7" t="s">
        <v>16815</v>
      </c>
      <c r="L9849" s="198" t="s">
        <v>65</v>
      </c>
      <c r="M9849" s="199"/>
      <c r="N9849" s="199"/>
    </row>
    <row r="9850">
      <c r="A9850" s="193" t="s">
        <v>31166</v>
      </c>
      <c r="D9850" s="199"/>
      <c r="E9850" s="193"/>
      <c r="F9850" s="195" t="s">
        <v>31167</v>
      </c>
      <c r="G9850" s="196"/>
      <c r="H9850" s="197">
        <v>23.9999</v>
      </c>
      <c r="I9850" s="7" t="s">
        <v>16815</v>
      </c>
      <c r="L9850" s="198" t="s">
        <v>65</v>
      </c>
      <c r="M9850" s="199"/>
      <c r="N9850" s="199"/>
    </row>
    <row r="9851">
      <c r="A9851" s="193" t="s">
        <v>31168</v>
      </c>
      <c r="D9851" s="199"/>
      <c r="E9851" s="193"/>
      <c r="F9851" s="195" t="s">
        <v>31169</v>
      </c>
      <c r="G9851" s="196"/>
      <c r="H9851" s="197">
        <v>52.5</v>
      </c>
      <c r="I9851" s="7" t="s">
        <v>16815</v>
      </c>
      <c r="L9851" s="198" t="s">
        <v>65</v>
      </c>
      <c r="M9851" s="199"/>
      <c r="N9851" s="199"/>
    </row>
    <row r="9852">
      <c r="A9852" s="193" t="s">
        <v>31170</v>
      </c>
      <c r="D9852" s="199"/>
      <c r="E9852" s="193"/>
      <c r="F9852" s="195" t="s">
        <v>31171</v>
      </c>
      <c r="G9852" s="196"/>
      <c r="H9852" s="197">
        <v>67.9998</v>
      </c>
      <c r="I9852" s="7" t="s">
        <v>16815</v>
      </c>
      <c r="L9852" s="198" t="s">
        <v>65</v>
      </c>
      <c r="M9852" s="199"/>
      <c r="N9852" s="199"/>
    </row>
    <row r="9853">
      <c r="A9853" s="193" t="s">
        <v>31172</v>
      </c>
      <c r="D9853" s="199"/>
      <c r="E9853" s="193"/>
      <c r="F9853" s="195" t="s">
        <v>31173</v>
      </c>
      <c r="G9853" s="196"/>
      <c r="H9853" s="197">
        <v>18.82</v>
      </c>
      <c r="I9853" s="7" t="s">
        <v>16815</v>
      </c>
      <c r="L9853" s="198" t="s">
        <v>65</v>
      </c>
      <c r="M9853" s="199"/>
      <c r="N9853" s="199"/>
    </row>
    <row r="9854">
      <c r="A9854" s="193" t="s">
        <v>31174</v>
      </c>
      <c r="D9854" s="199"/>
      <c r="E9854" s="193"/>
      <c r="F9854" s="195" t="s">
        <v>31175</v>
      </c>
      <c r="G9854" s="196"/>
      <c r="H9854" s="197">
        <v>25.1931</v>
      </c>
      <c r="I9854" s="7" t="s">
        <v>16815</v>
      </c>
      <c r="L9854" s="198" t="s">
        <v>65</v>
      </c>
      <c r="M9854" s="199"/>
      <c r="N9854" s="199"/>
    </row>
    <row r="9855">
      <c r="A9855" s="193" t="s">
        <v>31176</v>
      </c>
      <c r="D9855" s="199"/>
      <c r="E9855" s="193"/>
      <c r="F9855" s="195" t="s">
        <v>31177</v>
      </c>
      <c r="G9855" s="196"/>
      <c r="H9855" s="197">
        <v>24.88</v>
      </c>
      <c r="I9855" s="7" t="s">
        <v>16815</v>
      </c>
      <c r="L9855" s="198" t="s">
        <v>65</v>
      </c>
      <c r="M9855" s="199"/>
      <c r="N9855" s="199"/>
    </row>
    <row r="9856">
      <c r="A9856" s="193" t="s">
        <v>31178</v>
      </c>
      <c r="D9856" s="199"/>
      <c r="E9856" s="193"/>
      <c r="F9856" s="195" t="s">
        <v>31179</v>
      </c>
      <c r="G9856" s="196"/>
      <c r="H9856" s="197">
        <v>21.45</v>
      </c>
      <c r="I9856" s="7" t="s">
        <v>16815</v>
      </c>
      <c r="L9856" s="198" t="s">
        <v>65</v>
      </c>
      <c r="M9856" s="199"/>
      <c r="N9856" s="199"/>
    </row>
    <row r="9857">
      <c r="A9857" s="193" t="s">
        <v>31180</v>
      </c>
      <c r="D9857" s="199"/>
      <c r="E9857" s="193"/>
      <c r="F9857" s="195" t="s">
        <v>31181</v>
      </c>
      <c r="G9857" s="196"/>
      <c r="H9857" s="197">
        <v>20.91</v>
      </c>
      <c r="I9857" s="7" t="s">
        <v>16815</v>
      </c>
      <c r="L9857" s="198" t="s">
        <v>65</v>
      </c>
      <c r="M9857" s="199"/>
      <c r="N9857" s="199"/>
    </row>
    <row r="9858">
      <c r="A9858" s="193" t="s">
        <v>31182</v>
      </c>
      <c r="D9858" s="199"/>
      <c r="E9858" s="193"/>
      <c r="F9858" s="195" t="s">
        <v>31183</v>
      </c>
      <c r="G9858" s="196"/>
      <c r="H9858" s="197">
        <v>20.81</v>
      </c>
      <c r="I9858" s="7" t="s">
        <v>16815</v>
      </c>
      <c r="L9858" s="198" t="s">
        <v>65</v>
      </c>
      <c r="M9858" s="199"/>
      <c r="N9858" s="199"/>
    </row>
    <row r="9859">
      <c r="A9859" s="193" t="s">
        <v>31184</v>
      </c>
      <c r="D9859" s="199"/>
      <c r="E9859" s="193"/>
      <c r="F9859" s="195" t="s">
        <v>31185</v>
      </c>
      <c r="G9859" s="196"/>
      <c r="H9859" s="197">
        <v>23.12</v>
      </c>
      <c r="I9859" s="7" t="s">
        <v>16815</v>
      </c>
      <c r="L9859" s="198" t="s">
        <v>65</v>
      </c>
      <c r="M9859" s="199"/>
      <c r="N9859" s="199"/>
    </row>
    <row r="9860">
      <c r="A9860" s="193" t="s">
        <v>31186</v>
      </c>
      <c r="D9860" s="199"/>
      <c r="E9860" s="193"/>
      <c r="F9860" s="195" t="s">
        <v>31187</v>
      </c>
      <c r="G9860" s="196"/>
      <c r="H9860" s="197">
        <v>24.77</v>
      </c>
      <c r="I9860" s="7" t="s">
        <v>16815</v>
      </c>
      <c r="L9860" s="198" t="s">
        <v>65</v>
      </c>
      <c r="M9860" s="199"/>
      <c r="N9860" s="199"/>
    </row>
    <row r="9861">
      <c r="A9861" s="193" t="s">
        <v>31188</v>
      </c>
      <c r="D9861" s="199"/>
      <c r="E9861" s="193"/>
      <c r="F9861" s="195" t="s">
        <v>31189</v>
      </c>
      <c r="G9861" s="196"/>
      <c r="H9861" s="197">
        <v>20.44</v>
      </c>
      <c r="I9861" s="7" t="s">
        <v>16815</v>
      </c>
      <c r="L9861" s="198" t="s">
        <v>65</v>
      </c>
      <c r="M9861" s="199"/>
      <c r="N9861" s="199"/>
    </row>
    <row r="9862">
      <c r="A9862" s="193" t="s">
        <v>31190</v>
      </c>
      <c r="D9862" s="199"/>
      <c r="E9862" s="193"/>
      <c r="F9862" s="195" t="s">
        <v>31191</v>
      </c>
      <c r="G9862" s="196"/>
      <c r="H9862" s="197">
        <v>23.08</v>
      </c>
      <c r="I9862" s="7" t="s">
        <v>16815</v>
      </c>
      <c r="L9862" s="198" t="s">
        <v>65</v>
      </c>
      <c r="M9862" s="199"/>
      <c r="N9862" s="199"/>
    </row>
    <row r="9863">
      <c r="A9863" s="193" t="s">
        <v>31192</v>
      </c>
      <c r="D9863" s="199"/>
      <c r="E9863" s="193"/>
      <c r="F9863" s="195" t="s">
        <v>31193</v>
      </c>
      <c r="G9863" s="196"/>
      <c r="H9863" s="197">
        <v>20.46</v>
      </c>
      <c r="I9863" s="7" t="s">
        <v>16815</v>
      </c>
      <c r="L9863" s="198" t="s">
        <v>65</v>
      </c>
      <c r="M9863" s="199"/>
      <c r="N9863" s="199"/>
    </row>
    <row r="9864">
      <c r="A9864" s="193" t="s">
        <v>31194</v>
      </c>
      <c r="D9864" s="199"/>
      <c r="E9864" s="193"/>
      <c r="F9864" s="195" t="s">
        <v>31195</v>
      </c>
      <c r="G9864" s="196"/>
      <c r="H9864" s="197">
        <v>25.398</v>
      </c>
      <c r="I9864" s="7" t="s">
        <v>16815</v>
      </c>
      <c r="L9864" s="198" t="s">
        <v>65</v>
      </c>
      <c r="M9864" s="199"/>
      <c r="N9864" s="199"/>
    </row>
    <row r="9865">
      <c r="A9865" s="193" t="s">
        <v>31196</v>
      </c>
      <c r="D9865" s="199"/>
      <c r="E9865" s="193"/>
      <c r="F9865" s="195" t="s">
        <v>31197</v>
      </c>
      <c r="G9865" s="196"/>
      <c r="H9865" s="197">
        <v>25.285</v>
      </c>
      <c r="I9865" s="7" t="s">
        <v>16815</v>
      </c>
      <c r="L9865" s="198" t="s">
        <v>65</v>
      </c>
      <c r="M9865" s="199"/>
      <c r="N9865" s="199"/>
    </row>
    <row r="9866">
      <c r="A9866" s="193" t="s">
        <v>31198</v>
      </c>
      <c r="D9866" s="199"/>
      <c r="E9866" s="193"/>
      <c r="F9866" s="195" t="s">
        <v>31199</v>
      </c>
      <c r="G9866" s="196"/>
      <c r="H9866" s="197">
        <v>24.0</v>
      </c>
      <c r="I9866" s="7" t="s">
        <v>16815</v>
      </c>
      <c r="L9866" s="198" t="s">
        <v>65</v>
      </c>
      <c r="M9866" s="199"/>
      <c r="N9866" s="199"/>
    </row>
    <row r="9867">
      <c r="A9867" s="193" t="s">
        <v>31200</v>
      </c>
      <c r="D9867" s="199"/>
      <c r="E9867" s="193"/>
      <c r="F9867" s="195" t="s">
        <v>31201</v>
      </c>
      <c r="G9867" s="196"/>
      <c r="H9867" s="197">
        <v>22.67</v>
      </c>
      <c r="I9867" s="7" t="s">
        <v>16815</v>
      </c>
      <c r="L9867" s="198" t="s">
        <v>65</v>
      </c>
      <c r="M9867" s="199"/>
      <c r="N9867" s="199"/>
    </row>
    <row r="9868">
      <c r="A9868" s="193" t="s">
        <v>31202</v>
      </c>
      <c r="D9868" s="199"/>
      <c r="E9868" s="193"/>
      <c r="F9868" s="195" t="s">
        <v>31203</v>
      </c>
      <c r="G9868" s="196"/>
      <c r="H9868" s="197">
        <v>19.623</v>
      </c>
      <c r="I9868" s="7" t="s">
        <v>16815</v>
      </c>
      <c r="L9868" s="198" t="s">
        <v>65</v>
      </c>
      <c r="M9868" s="199"/>
      <c r="N9868" s="199"/>
    </row>
    <row r="9869">
      <c r="A9869" s="193" t="s">
        <v>31204</v>
      </c>
      <c r="D9869" s="199"/>
      <c r="E9869" s="193"/>
      <c r="F9869" s="195" t="s">
        <v>31205</v>
      </c>
      <c r="G9869" s="196"/>
      <c r="H9869" s="197">
        <v>21.98</v>
      </c>
      <c r="I9869" s="7" t="s">
        <v>16815</v>
      </c>
      <c r="L9869" s="198" t="s">
        <v>65</v>
      </c>
      <c r="M9869" s="199"/>
      <c r="N9869" s="199"/>
    </row>
    <row r="9870">
      <c r="A9870" s="193" t="s">
        <v>31206</v>
      </c>
      <c r="D9870" s="199"/>
      <c r="E9870" s="193"/>
      <c r="F9870" s="195" t="s">
        <v>31207</v>
      </c>
      <c r="G9870" s="196"/>
      <c r="H9870" s="197">
        <v>22.44</v>
      </c>
      <c r="I9870" s="7" t="s">
        <v>16815</v>
      </c>
      <c r="L9870" s="198" t="s">
        <v>65</v>
      </c>
      <c r="M9870" s="199"/>
      <c r="N9870" s="199"/>
    </row>
    <row r="9871">
      <c r="A9871" s="193" t="s">
        <v>31208</v>
      </c>
      <c r="D9871" s="199"/>
      <c r="E9871" s="193"/>
      <c r="F9871" s="195" t="s">
        <v>31209</v>
      </c>
      <c r="G9871" s="196"/>
      <c r="H9871" s="197">
        <v>19.4</v>
      </c>
      <c r="I9871" s="7" t="s">
        <v>16815</v>
      </c>
      <c r="L9871" s="198" t="s">
        <v>65</v>
      </c>
      <c r="M9871" s="199"/>
      <c r="N9871" s="199"/>
    </row>
    <row r="9872">
      <c r="A9872" s="193" t="s">
        <v>31210</v>
      </c>
      <c r="D9872" s="199"/>
      <c r="E9872" s="193"/>
      <c r="F9872" s="195" t="s">
        <v>31211</v>
      </c>
      <c r="G9872" s="196"/>
      <c r="H9872" s="197">
        <v>22.9</v>
      </c>
      <c r="I9872" s="7" t="s">
        <v>16815</v>
      </c>
      <c r="L9872" s="198" t="s">
        <v>65</v>
      </c>
      <c r="M9872" s="199"/>
      <c r="N9872" s="199"/>
    </row>
    <row r="9873">
      <c r="A9873" s="193" t="s">
        <v>31212</v>
      </c>
      <c r="D9873" s="199"/>
      <c r="E9873" s="193"/>
      <c r="F9873" s="195" t="s">
        <v>31213</v>
      </c>
      <c r="G9873" s="196"/>
      <c r="H9873" s="197">
        <v>45.51</v>
      </c>
      <c r="I9873" s="7" t="s">
        <v>16815</v>
      </c>
      <c r="L9873" s="198" t="s">
        <v>65</v>
      </c>
      <c r="M9873" s="199"/>
      <c r="N9873" s="199"/>
    </row>
    <row r="9874">
      <c r="A9874" s="193" t="s">
        <v>31214</v>
      </c>
      <c r="D9874" s="199"/>
      <c r="E9874" s="193"/>
      <c r="F9874" s="195" t="s">
        <v>31215</v>
      </c>
      <c r="G9874" s="196"/>
      <c r="H9874" s="197">
        <v>19.85</v>
      </c>
      <c r="I9874" s="7" t="s">
        <v>16815</v>
      </c>
      <c r="L9874" s="198" t="s">
        <v>65</v>
      </c>
      <c r="M9874" s="199"/>
      <c r="N9874" s="199"/>
    </row>
    <row r="9875">
      <c r="A9875" s="193" t="s">
        <v>31216</v>
      </c>
      <c r="D9875" s="199"/>
      <c r="E9875" s="193"/>
      <c r="F9875" s="195" t="s">
        <v>31217</v>
      </c>
      <c r="G9875" s="196"/>
      <c r="H9875" s="197">
        <v>26.42</v>
      </c>
      <c r="I9875" s="7" t="s">
        <v>16815</v>
      </c>
      <c r="L9875" s="198" t="s">
        <v>65</v>
      </c>
      <c r="M9875" s="199"/>
      <c r="N9875" s="199"/>
    </row>
    <row r="9876">
      <c r="A9876" s="193" t="s">
        <v>31218</v>
      </c>
      <c r="D9876" s="199"/>
      <c r="E9876" s="193"/>
      <c r="F9876" s="195" t="s">
        <v>31219</v>
      </c>
      <c r="G9876" s="196"/>
      <c r="H9876" s="197">
        <v>18.75</v>
      </c>
      <c r="I9876" s="7" t="s">
        <v>16815</v>
      </c>
      <c r="L9876" s="198" t="s">
        <v>65</v>
      </c>
      <c r="M9876" s="199"/>
      <c r="N9876" s="199"/>
    </row>
    <row r="9877">
      <c r="A9877" s="193" t="s">
        <v>31220</v>
      </c>
      <c r="D9877" s="199"/>
      <c r="E9877" s="193"/>
      <c r="F9877" s="195" t="s">
        <v>31221</v>
      </c>
      <c r="G9877" s="196"/>
      <c r="H9877" s="197">
        <v>24.625</v>
      </c>
      <c r="I9877" s="7" t="s">
        <v>16815</v>
      </c>
      <c r="L9877" s="198" t="s">
        <v>65</v>
      </c>
      <c r="M9877" s="199"/>
      <c r="N9877" s="199"/>
    </row>
    <row r="9878">
      <c r="A9878" s="193" t="s">
        <v>31222</v>
      </c>
      <c r="D9878" s="199"/>
      <c r="E9878" s="193"/>
      <c r="F9878" s="195" t="s">
        <v>31223</v>
      </c>
      <c r="G9878" s="196"/>
      <c r="H9878" s="197">
        <v>18.85</v>
      </c>
      <c r="I9878" s="7" t="s">
        <v>16815</v>
      </c>
      <c r="L9878" s="198" t="s">
        <v>65</v>
      </c>
      <c r="M9878" s="199"/>
      <c r="N9878" s="199"/>
    </row>
    <row r="9879">
      <c r="A9879" s="193" t="s">
        <v>31224</v>
      </c>
      <c r="D9879" s="199"/>
      <c r="E9879" s="193"/>
      <c r="F9879" s="195" t="s">
        <v>31225</v>
      </c>
      <c r="G9879" s="196"/>
      <c r="H9879" s="197">
        <v>14.65</v>
      </c>
      <c r="I9879" s="7" t="s">
        <v>16815</v>
      </c>
      <c r="L9879" s="198" t="s">
        <v>65</v>
      </c>
      <c r="M9879" s="199"/>
      <c r="N9879" s="199"/>
    </row>
    <row r="9880">
      <c r="A9880" s="193" t="s">
        <v>31226</v>
      </c>
      <c r="D9880" s="199"/>
      <c r="E9880" s="193"/>
      <c r="F9880" s="195" t="s">
        <v>31227</v>
      </c>
      <c r="G9880" s="196"/>
      <c r="H9880" s="197">
        <v>25.1193</v>
      </c>
      <c r="I9880" s="7" t="s">
        <v>16815</v>
      </c>
      <c r="L9880" s="198" t="s">
        <v>65</v>
      </c>
      <c r="M9880" s="199"/>
      <c r="N9880" s="199"/>
    </row>
    <row r="9881">
      <c r="A9881" s="193" t="s">
        <v>31228</v>
      </c>
      <c r="D9881" s="199"/>
      <c r="E9881" s="193"/>
      <c r="F9881" s="195" t="s">
        <v>31229</v>
      </c>
      <c r="G9881" s="196"/>
      <c r="H9881" s="197">
        <v>25.07</v>
      </c>
      <c r="I9881" s="7" t="s">
        <v>16815</v>
      </c>
      <c r="L9881" s="198" t="s">
        <v>65</v>
      </c>
      <c r="M9881" s="199"/>
      <c r="N9881" s="199"/>
    </row>
    <row r="9882">
      <c r="A9882" s="193" t="s">
        <v>31230</v>
      </c>
      <c r="D9882" s="199"/>
      <c r="E9882" s="193"/>
      <c r="F9882" s="195" t="s">
        <v>31231</v>
      </c>
      <c r="G9882" s="196"/>
      <c r="H9882" s="197">
        <v>24.66</v>
      </c>
      <c r="I9882" s="7" t="s">
        <v>16815</v>
      </c>
      <c r="L9882" s="198" t="s">
        <v>65</v>
      </c>
      <c r="M9882" s="199"/>
      <c r="N9882" s="199"/>
    </row>
    <row r="9883">
      <c r="A9883" s="193" t="s">
        <v>31232</v>
      </c>
      <c r="D9883" s="199"/>
      <c r="E9883" s="193"/>
      <c r="F9883" s="195" t="s">
        <v>31233</v>
      </c>
      <c r="G9883" s="196"/>
      <c r="H9883" s="197">
        <v>9.58</v>
      </c>
      <c r="I9883" s="7" t="s">
        <v>16815</v>
      </c>
      <c r="L9883" s="198" t="s">
        <v>65</v>
      </c>
      <c r="M9883" s="199"/>
      <c r="N9883" s="199"/>
    </row>
    <row r="9884">
      <c r="A9884" s="193" t="s">
        <v>31234</v>
      </c>
      <c r="D9884" s="199"/>
      <c r="E9884" s="193"/>
      <c r="F9884" s="195" t="s">
        <v>31235</v>
      </c>
      <c r="G9884" s="196"/>
      <c r="H9884" s="197">
        <v>22.29</v>
      </c>
      <c r="I9884" s="7" t="s">
        <v>16815</v>
      </c>
      <c r="L9884" s="198" t="s">
        <v>65</v>
      </c>
      <c r="M9884" s="199"/>
      <c r="N9884" s="199"/>
    </row>
    <row r="9885">
      <c r="A9885" s="193" t="s">
        <v>31236</v>
      </c>
      <c r="D9885" s="199"/>
      <c r="E9885" s="193"/>
      <c r="F9885" s="195" t="s">
        <v>31237</v>
      </c>
      <c r="G9885" s="196"/>
      <c r="H9885" s="197">
        <v>23.38</v>
      </c>
      <c r="I9885" s="7" t="s">
        <v>16815</v>
      </c>
      <c r="L9885" s="198" t="s">
        <v>65</v>
      </c>
      <c r="M9885" s="199"/>
      <c r="N9885" s="199"/>
    </row>
    <row r="9886">
      <c r="A9886" s="193" t="s">
        <v>31238</v>
      </c>
      <c r="D9886" s="199"/>
      <c r="E9886" s="193"/>
      <c r="F9886" s="195" t="s">
        <v>31239</v>
      </c>
      <c r="G9886" s="196"/>
      <c r="H9886" s="197">
        <v>22.84</v>
      </c>
      <c r="I9886" s="7" t="s">
        <v>16815</v>
      </c>
      <c r="L9886" s="198" t="s">
        <v>65</v>
      </c>
      <c r="M9886" s="199"/>
      <c r="N9886" s="199"/>
    </row>
    <row r="9887">
      <c r="A9887" s="193" t="s">
        <v>31240</v>
      </c>
      <c r="D9887" s="199"/>
      <c r="E9887" s="193"/>
      <c r="F9887" s="195" t="s">
        <v>31241</v>
      </c>
      <c r="G9887" s="196"/>
      <c r="H9887" s="197">
        <v>22.47</v>
      </c>
      <c r="I9887" s="7" t="s">
        <v>16815</v>
      </c>
      <c r="L9887" s="198" t="s">
        <v>65</v>
      </c>
      <c r="M9887" s="199"/>
      <c r="N9887" s="199"/>
    </row>
    <row r="9888">
      <c r="A9888" s="193" t="s">
        <v>31242</v>
      </c>
      <c r="D9888" s="199"/>
      <c r="E9888" s="193"/>
      <c r="F9888" s="195" t="s">
        <v>31243</v>
      </c>
      <c r="G9888" s="196"/>
      <c r="H9888" s="197">
        <v>19.09</v>
      </c>
      <c r="I9888" s="7" t="s">
        <v>16815</v>
      </c>
      <c r="L9888" s="198" t="s">
        <v>65</v>
      </c>
      <c r="M9888" s="199"/>
      <c r="N9888" s="199"/>
    </row>
    <row r="9889">
      <c r="A9889" s="193" t="s">
        <v>31244</v>
      </c>
      <c r="D9889" s="199"/>
      <c r="E9889" s="193"/>
      <c r="F9889" s="195" t="s">
        <v>31245</v>
      </c>
      <c r="G9889" s="196"/>
      <c r="H9889" s="197">
        <v>21.585</v>
      </c>
      <c r="I9889" s="7" t="s">
        <v>16815</v>
      </c>
      <c r="L9889" s="198" t="s">
        <v>65</v>
      </c>
      <c r="M9889" s="199"/>
      <c r="N9889" s="199"/>
    </row>
    <row r="9890">
      <c r="A9890" s="193" t="s">
        <v>31246</v>
      </c>
      <c r="D9890" s="199"/>
      <c r="E9890" s="193"/>
      <c r="F9890" s="195" t="s">
        <v>31247</v>
      </c>
      <c r="G9890" s="196"/>
      <c r="H9890" s="197">
        <v>21.44</v>
      </c>
      <c r="I9890" s="7" t="s">
        <v>16815</v>
      </c>
      <c r="L9890" s="198" t="s">
        <v>65</v>
      </c>
      <c r="M9890" s="199"/>
      <c r="N9890" s="199"/>
    </row>
    <row r="9891">
      <c r="A9891" s="193" t="s">
        <v>31248</v>
      </c>
      <c r="D9891" s="199"/>
      <c r="E9891" s="193"/>
      <c r="F9891" s="195" t="s">
        <v>31249</v>
      </c>
      <c r="G9891" s="196"/>
      <c r="H9891" s="197">
        <v>23.56</v>
      </c>
      <c r="I9891" s="7" t="s">
        <v>16815</v>
      </c>
      <c r="L9891" s="198" t="s">
        <v>65</v>
      </c>
      <c r="M9891" s="199"/>
      <c r="N9891" s="199"/>
    </row>
    <row r="9892">
      <c r="A9892" s="193" t="s">
        <v>31250</v>
      </c>
      <c r="D9892" s="199"/>
      <c r="E9892" s="193"/>
      <c r="F9892" s="195" t="s">
        <v>31251</v>
      </c>
      <c r="G9892" s="196"/>
      <c r="H9892" s="197">
        <v>20.1</v>
      </c>
      <c r="I9892" s="7" t="s">
        <v>16815</v>
      </c>
      <c r="L9892" s="198" t="s">
        <v>65</v>
      </c>
      <c r="M9892" s="199"/>
      <c r="N9892" s="199"/>
    </row>
    <row r="9893">
      <c r="A9893" s="193" t="s">
        <v>31252</v>
      </c>
      <c r="D9893" s="199"/>
      <c r="E9893" s="193"/>
      <c r="F9893" s="195" t="s">
        <v>31253</v>
      </c>
      <c r="G9893" s="196"/>
      <c r="H9893" s="197">
        <v>14.35</v>
      </c>
      <c r="I9893" s="7" t="s">
        <v>16815</v>
      </c>
      <c r="L9893" s="198" t="s">
        <v>65</v>
      </c>
      <c r="M9893" s="199"/>
      <c r="N9893" s="199"/>
    </row>
    <row r="9894">
      <c r="A9894" s="193" t="s">
        <v>31254</v>
      </c>
      <c r="D9894" s="199"/>
      <c r="E9894" s="193"/>
      <c r="F9894" s="195" t="s">
        <v>31255</v>
      </c>
      <c r="G9894" s="196"/>
      <c r="H9894" s="197">
        <v>24.01</v>
      </c>
      <c r="I9894" s="7" t="s">
        <v>16815</v>
      </c>
      <c r="L9894" s="198" t="s">
        <v>65</v>
      </c>
      <c r="M9894" s="199"/>
      <c r="N9894" s="199"/>
    </row>
    <row r="9895">
      <c r="A9895" s="193" t="s">
        <v>31256</v>
      </c>
      <c r="D9895" s="199"/>
      <c r="E9895" s="193"/>
      <c r="F9895" s="195" t="s">
        <v>31257</v>
      </c>
      <c r="G9895" s="196"/>
      <c r="H9895" s="197">
        <v>21.25</v>
      </c>
      <c r="I9895" s="7" t="s">
        <v>16815</v>
      </c>
      <c r="L9895" s="198" t="s">
        <v>65</v>
      </c>
      <c r="M9895" s="199"/>
      <c r="N9895" s="199"/>
    </row>
    <row r="9896">
      <c r="A9896" s="193" t="s">
        <v>31258</v>
      </c>
      <c r="D9896" s="199"/>
      <c r="E9896" s="193"/>
      <c r="F9896" s="195" t="s">
        <v>31259</v>
      </c>
      <c r="G9896" s="196"/>
      <c r="H9896" s="197">
        <v>20.73</v>
      </c>
      <c r="I9896" s="7" t="s">
        <v>16815</v>
      </c>
      <c r="L9896" s="198" t="s">
        <v>65</v>
      </c>
      <c r="M9896" s="199"/>
      <c r="N9896" s="199"/>
    </row>
    <row r="9897">
      <c r="A9897" s="193" t="s">
        <v>31260</v>
      </c>
      <c r="D9897" s="199"/>
      <c r="E9897" s="193"/>
      <c r="F9897" s="195" t="s">
        <v>31261</v>
      </c>
      <c r="G9897" s="196"/>
      <c r="H9897" s="197">
        <v>20.87</v>
      </c>
      <c r="I9897" s="7" t="s">
        <v>16815</v>
      </c>
      <c r="L9897" s="198" t="s">
        <v>65</v>
      </c>
      <c r="M9897" s="199"/>
      <c r="N9897" s="199"/>
    </row>
    <row r="9898">
      <c r="A9898" s="193" t="s">
        <v>31262</v>
      </c>
      <c r="D9898" s="199"/>
      <c r="E9898" s="193"/>
      <c r="F9898" s="195" t="s">
        <v>31263</v>
      </c>
      <c r="G9898" s="196"/>
      <c r="H9898" s="197">
        <v>21.0788</v>
      </c>
      <c r="I9898" s="7" t="s">
        <v>16815</v>
      </c>
      <c r="L9898" s="198" t="s">
        <v>65</v>
      </c>
      <c r="M9898" s="199"/>
      <c r="N9898" s="199"/>
    </row>
    <row r="9899">
      <c r="A9899" s="193" t="s">
        <v>31264</v>
      </c>
      <c r="D9899" s="199"/>
      <c r="E9899" s="193"/>
      <c r="F9899" s="195" t="s">
        <v>31265</v>
      </c>
      <c r="G9899" s="196"/>
      <c r="H9899" s="197">
        <v>24.39</v>
      </c>
      <c r="I9899" s="7" t="s">
        <v>16815</v>
      </c>
      <c r="L9899" s="198" t="s">
        <v>65</v>
      </c>
      <c r="M9899" s="199"/>
      <c r="N9899" s="199"/>
    </row>
    <row r="9900">
      <c r="A9900" s="193" t="s">
        <v>31266</v>
      </c>
      <c r="D9900" s="199"/>
      <c r="E9900" s="193"/>
      <c r="F9900" s="195" t="s">
        <v>31267</v>
      </c>
      <c r="G9900" s="196"/>
      <c r="H9900" s="197">
        <v>49.3599</v>
      </c>
      <c r="I9900" s="7" t="s">
        <v>16815</v>
      </c>
      <c r="L9900" s="198" t="s">
        <v>65</v>
      </c>
      <c r="M9900" s="199"/>
      <c r="N9900" s="199"/>
    </row>
    <row r="9901">
      <c r="A9901" s="193" t="s">
        <v>31268</v>
      </c>
      <c r="D9901" s="199"/>
      <c r="E9901" s="193"/>
      <c r="F9901" s="195" t="s">
        <v>31269</v>
      </c>
      <c r="G9901" s="196"/>
      <c r="H9901" s="197">
        <v>22.95</v>
      </c>
      <c r="I9901" s="7" t="s">
        <v>16815</v>
      </c>
      <c r="L9901" s="198" t="s">
        <v>65</v>
      </c>
      <c r="M9901" s="199"/>
      <c r="N9901" s="199"/>
    </row>
    <row r="9902">
      <c r="A9902" s="193" t="s">
        <v>31270</v>
      </c>
      <c r="D9902" s="199"/>
      <c r="E9902" s="193"/>
      <c r="F9902" s="195" t="s">
        <v>31271</v>
      </c>
      <c r="G9902" s="196"/>
      <c r="H9902" s="197">
        <v>18.07</v>
      </c>
      <c r="I9902" s="7" t="s">
        <v>16815</v>
      </c>
      <c r="L9902" s="198" t="s">
        <v>65</v>
      </c>
      <c r="M9902" s="199"/>
      <c r="N9902" s="199"/>
    </row>
    <row r="9903">
      <c r="A9903" s="193" t="s">
        <v>31272</v>
      </c>
      <c r="D9903" s="199"/>
      <c r="E9903" s="193"/>
      <c r="F9903" s="195" t="s">
        <v>31273</v>
      </c>
      <c r="G9903" s="196"/>
      <c r="H9903" s="197">
        <v>21.2701</v>
      </c>
      <c r="I9903" s="7" t="s">
        <v>16815</v>
      </c>
      <c r="L9903" s="198" t="s">
        <v>65</v>
      </c>
      <c r="M9903" s="199"/>
      <c r="N9903" s="199"/>
    </row>
    <row r="9904">
      <c r="A9904" s="193" t="s">
        <v>31274</v>
      </c>
      <c r="D9904" s="199"/>
      <c r="E9904" s="193"/>
      <c r="F9904" s="195" t="s">
        <v>31275</v>
      </c>
      <c r="G9904" s="196"/>
      <c r="H9904" s="197">
        <v>22.88</v>
      </c>
      <c r="I9904" s="7" t="s">
        <v>16815</v>
      </c>
      <c r="L9904" s="198" t="s">
        <v>65</v>
      </c>
      <c r="M9904" s="199"/>
      <c r="N9904" s="199"/>
    </row>
    <row r="9905">
      <c r="A9905" s="193" t="s">
        <v>31276</v>
      </c>
      <c r="D9905" s="199"/>
      <c r="E9905" s="193"/>
      <c r="F9905" s="195" t="s">
        <v>31277</v>
      </c>
      <c r="G9905" s="196"/>
      <c r="H9905" s="197">
        <v>19.2</v>
      </c>
      <c r="I9905" s="7" t="s">
        <v>16815</v>
      </c>
      <c r="L9905" s="198" t="s">
        <v>65</v>
      </c>
      <c r="M9905" s="199"/>
      <c r="N9905" s="199"/>
    </row>
    <row r="9906">
      <c r="A9906" s="193" t="s">
        <v>31278</v>
      </c>
      <c r="D9906" s="199"/>
      <c r="E9906" s="193"/>
      <c r="F9906" s="195" t="s">
        <v>31279</v>
      </c>
      <c r="G9906" s="196"/>
      <c r="H9906" s="197">
        <v>23.9715</v>
      </c>
      <c r="I9906" s="7" t="s">
        <v>16815</v>
      </c>
      <c r="L9906" s="198" t="s">
        <v>65</v>
      </c>
      <c r="M9906" s="199"/>
      <c r="N9906" s="199"/>
    </row>
    <row r="9907">
      <c r="A9907" s="193" t="s">
        <v>31280</v>
      </c>
      <c r="D9907" s="199"/>
      <c r="E9907" s="193"/>
      <c r="F9907" s="195" t="s">
        <v>31281</v>
      </c>
      <c r="G9907" s="196"/>
      <c r="H9907" s="197">
        <v>21.27</v>
      </c>
      <c r="I9907" s="7" t="s">
        <v>16815</v>
      </c>
      <c r="L9907" s="198" t="s">
        <v>65</v>
      </c>
      <c r="M9907" s="199"/>
      <c r="N9907" s="199"/>
    </row>
    <row r="9908">
      <c r="A9908" s="193" t="s">
        <v>31282</v>
      </c>
      <c r="D9908" s="199"/>
      <c r="E9908" s="193"/>
      <c r="F9908" s="195" t="s">
        <v>31283</v>
      </c>
      <c r="G9908" s="196"/>
      <c r="H9908" s="197">
        <v>24.745</v>
      </c>
      <c r="I9908" s="7" t="s">
        <v>16815</v>
      </c>
      <c r="L9908" s="198" t="s">
        <v>65</v>
      </c>
      <c r="M9908" s="199"/>
      <c r="N9908" s="199"/>
    </row>
    <row r="9909">
      <c r="A9909" s="193" t="s">
        <v>31284</v>
      </c>
      <c r="D9909" s="199"/>
      <c r="E9909" s="193"/>
      <c r="F9909" s="195" t="s">
        <v>31285</v>
      </c>
      <c r="G9909" s="196"/>
      <c r="H9909" s="197">
        <v>23.37</v>
      </c>
      <c r="I9909" s="7" t="s">
        <v>16815</v>
      </c>
      <c r="L9909" s="198" t="s">
        <v>65</v>
      </c>
      <c r="M9909" s="199"/>
      <c r="N9909" s="199"/>
    </row>
    <row r="9910">
      <c r="A9910" s="193" t="s">
        <v>31286</v>
      </c>
      <c r="D9910" s="199"/>
      <c r="E9910" s="193"/>
      <c r="F9910" s="195" t="s">
        <v>31287</v>
      </c>
      <c r="G9910" s="196"/>
      <c r="H9910" s="197">
        <v>24.7</v>
      </c>
      <c r="I9910" s="7" t="s">
        <v>16815</v>
      </c>
      <c r="L9910" s="198" t="s">
        <v>65</v>
      </c>
      <c r="M9910" s="199"/>
      <c r="N9910" s="199"/>
    </row>
    <row r="9911">
      <c r="A9911" s="193" t="s">
        <v>31288</v>
      </c>
      <c r="D9911" s="199"/>
      <c r="E9911" s="193"/>
      <c r="F9911" s="195" t="s">
        <v>31289</v>
      </c>
      <c r="G9911" s="196"/>
      <c r="H9911" s="197">
        <v>25.4775</v>
      </c>
      <c r="I9911" s="7" t="s">
        <v>16815</v>
      </c>
      <c r="L9911" s="198" t="s">
        <v>65</v>
      </c>
      <c r="M9911" s="199"/>
      <c r="N9911" s="199"/>
    </row>
    <row r="9912">
      <c r="A9912" s="193" t="s">
        <v>31290</v>
      </c>
      <c r="D9912" s="199"/>
      <c r="E9912" s="193"/>
      <c r="F9912" s="195" t="s">
        <v>31291</v>
      </c>
      <c r="G9912" s="196"/>
      <c r="H9912" s="197">
        <v>47.77</v>
      </c>
      <c r="I9912" s="7" t="s">
        <v>16815</v>
      </c>
      <c r="L9912" s="198" t="s">
        <v>65</v>
      </c>
      <c r="M9912" s="199"/>
      <c r="N9912" s="199"/>
    </row>
    <row r="9913">
      <c r="A9913" s="193" t="s">
        <v>31292</v>
      </c>
      <c r="D9913" s="199"/>
      <c r="E9913" s="193"/>
      <c r="F9913" s="195" t="s">
        <v>31293</v>
      </c>
      <c r="G9913" s="196"/>
      <c r="H9913" s="197">
        <v>50.3001</v>
      </c>
      <c r="I9913" s="7" t="s">
        <v>16815</v>
      </c>
      <c r="L9913" s="198" t="s">
        <v>65</v>
      </c>
      <c r="M9913" s="199"/>
      <c r="N9913" s="199"/>
    </row>
    <row r="9914">
      <c r="A9914" s="193" t="s">
        <v>31294</v>
      </c>
      <c r="D9914" s="199"/>
      <c r="E9914" s="193"/>
      <c r="F9914" s="195" t="s">
        <v>31295</v>
      </c>
      <c r="G9914" s="196"/>
      <c r="H9914" s="197">
        <v>23.96</v>
      </c>
      <c r="I9914" s="7" t="s">
        <v>16815</v>
      </c>
      <c r="L9914" s="198" t="s">
        <v>65</v>
      </c>
      <c r="M9914" s="199"/>
      <c r="N9914" s="199"/>
    </row>
    <row r="9915">
      <c r="A9915" s="193" t="s">
        <v>31296</v>
      </c>
      <c r="D9915" s="199"/>
      <c r="E9915" s="193"/>
      <c r="F9915" s="195" t="s">
        <v>31297</v>
      </c>
      <c r="G9915" s="196"/>
      <c r="H9915" s="197">
        <v>18.15</v>
      </c>
      <c r="I9915" s="7" t="s">
        <v>16815</v>
      </c>
      <c r="L9915" s="198" t="s">
        <v>65</v>
      </c>
      <c r="M9915" s="199"/>
      <c r="N9915" s="199"/>
    </row>
    <row r="9916">
      <c r="A9916" s="193" t="s">
        <v>31298</v>
      </c>
      <c r="D9916" s="199"/>
      <c r="E9916" s="193"/>
      <c r="F9916" s="195" t="s">
        <v>31299</v>
      </c>
      <c r="G9916" s="196"/>
      <c r="H9916" s="197">
        <v>17.32</v>
      </c>
      <c r="I9916" s="7" t="s">
        <v>16815</v>
      </c>
      <c r="L9916" s="198" t="s">
        <v>65</v>
      </c>
      <c r="M9916" s="199"/>
      <c r="N9916" s="199"/>
    </row>
    <row r="9917">
      <c r="A9917" s="193" t="s">
        <v>31300</v>
      </c>
      <c r="D9917" s="199"/>
      <c r="E9917" s="193"/>
      <c r="F9917" s="195" t="s">
        <v>31301</v>
      </c>
      <c r="G9917" s="196"/>
      <c r="H9917" s="197">
        <v>18.69</v>
      </c>
      <c r="I9917" s="7" t="s">
        <v>16815</v>
      </c>
      <c r="L9917" s="198" t="s">
        <v>65</v>
      </c>
      <c r="M9917" s="199"/>
      <c r="N9917" s="199"/>
    </row>
    <row r="9918">
      <c r="A9918" s="193" t="s">
        <v>31302</v>
      </c>
      <c r="D9918" s="199"/>
      <c r="E9918" s="193"/>
      <c r="F9918" s="195" t="s">
        <v>31303</v>
      </c>
      <c r="G9918" s="196"/>
      <c r="H9918" s="197">
        <v>18.2</v>
      </c>
      <c r="I9918" s="7" t="s">
        <v>16815</v>
      </c>
      <c r="L9918" s="198" t="s">
        <v>65</v>
      </c>
      <c r="M9918" s="199"/>
      <c r="N9918" s="199"/>
    </row>
    <row r="9919">
      <c r="A9919" s="193" t="s">
        <v>31304</v>
      </c>
      <c r="D9919" s="199"/>
      <c r="E9919" s="193"/>
      <c r="F9919" s="195" t="s">
        <v>31305</v>
      </c>
      <c r="G9919" s="196"/>
      <c r="H9919" s="197">
        <v>21.7501</v>
      </c>
      <c r="I9919" s="7" t="s">
        <v>16815</v>
      </c>
      <c r="L9919" s="198" t="s">
        <v>65</v>
      </c>
      <c r="M9919" s="199"/>
      <c r="N9919" s="199"/>
    </row>
    <row r="9920">
      <c r="A9920" s="193" t="s">
        <v>31306</v>
      </c>
      <c r="D9920" s="199"/>
      <c r="E9920" s="193"/>
      <c r="F9920" s="195" t="s">
        <v>31307</v>
      </c>
      <c r="G9920" s="196"/>
      <c r="H9920" s="197">
        <v>16.69</v>
      </c>
      <c r="I9920" s="7" t="s">
        <v>16815</v>
      </c>
      <c r="L9920" s="198" t="s">
        <v>65</v>
      </c>
      <c r="M9920" s="199"/>
      <c r="N9920" s="199"/>
    </row>
    <row r="9921">
      <c r="A9921" s="193" t="s">
        <v>31308</v>
      </c>
      <c r="D9921" s="199"/>
      <c r="E9921" s="193"/>
      <c r="F9921" s="195" t="s">
        <v>31309</v>
      </c>
      <c r="G9921" s="196"/>
      <c r="H9921" s="197">
        <v>17.67</v>
      </c>
      <c r="I9921" s="7" t="s">
        <v>16815</v>
      </c>
      <c r="L9921" s="198" t="s">
        <v>65</v>
      </c>
      <c r="M9921" s="199"/>
      <c r="N9921" s="199"/>
    </row>
    <row r="9922">
      <c r="A9922" s="193" t="s">
        <v>31310</v>
      </c>
      <c r="D9922" s="199"/>
      <c r="E9922" s="193"/>
      <c r="F9922" s="195" t="s">
        <v>31311</v>
      </c>
      <c r="G9922" s="196"/>
      <c r="H9922" s="197">
        <v>21.67</v>
      </c>
      <c r="I9922" s="7" t="s">
        <v>16815</v>
      </c>
      <c r="L9922" s="198" t="s">
        <v>65</v>
      </c>
      <c r="M9922" s="199"/>
      <c r="N9922" s="199"/>
    </row>
    <row r="9923">
      <c r="A9923" s="193" t="s">
        <v>31312</v>
      </c>
      <c r="D9923" s="199"/>
      <c r="E9923" s="193"/>
      <c r="F9923" s="195" t="s">
        <v>31313</v>
      </c>
      <c r="G9923" s="196"/>
      <c r="H9923" s="197">
        <v>21.5</v>
      </c>
      <c r="I9923" s="7" t="s">
        <v>16815</v>
      </c>
      <c r="L9923" s="198" t="s">
        <v>65</v>
      </c>
      <c r="M9923" s="199"/>
      <c r="N9923" s="199"/>
    </row>
    <row r="9924">
      <c r="A9924" s="193" t="s">
        <v>31314</v>
      </c>
      <c r="D9924" s="199"/>
      <c r="E9924" s="193"/>
      <c r="F9924" s="195" t="s">
        <v>31315</v>
      </c>
      <c r="G9924" s="196"/>
      <c r="H9924" s="197">
        <v>21.55</v>
      </c>
      <c r="I9924" s="7" t="s">
        <v>16815</v>
      </c>
      <c r="L9924" s="198" t="s">
        <v>65</v>
      </c>
      <c r="M9924" s="199"/>
      <c r="N9924" s="199"/>
    </row>
    <row r="9925">
      <c r="A9925" s="193" t="s">
        <v>31316</v>
      </c>
      <c r="D9925" s="199"/>
      <c r="E9925" s="193"/>
      <c r="F9925" s="195" t="s">
        <v>31317</v>
      </c>
      <c r="G9925" s="196"/>
      <c r="H9925" s="197">
        <v>25.19</v>
      </c>
      <c r="I9925" s="7" t="s">
        <v>16815</v>
      </c>
      <c r="L9925" s="198" t="s">
        <v>65</v>
      </c>
      <c r="M9925" s="199"/>
      <c r="N9925" s="199"/>
    </row>
    <row r="9926">
      <c r="A9926" s="193" t="s">
        <v>31318</v>
      </c>
      <c r="D9926" s="199"/>
      <c r="E9926" s="193"/>
      <c r="F9926" s="195" t="s">
        <v>31319</v>
      </c>
      <c r="G9926" s="196"/>
      <c r="H9926" s="197">
        <v>25.18</v>
      </c>
      <c r="I9926" s="7" t="s">
        <v>16815</v>
      </c>
      <c r="L9926" s="198" t="s">
        <v>65</v>
      </c>
      <c r="M9926" s="199"/>
      <c r="N9926" s="199"/>
    </row>
    <row r="9927">
      <c r="A9927" s="193" t="s">
        <v>31320</v>
      </c>
      <c r="D9927" s="199"/>
      <c r="E9927" s="193"/>
      <c r="F9927" s="195" t="s">
        <v>31321</v>
      </c>
      <c r="G9927" s="196"/>
      <c r="H9927" s="197">
        <v>49.14</v>
      </c>
      <c r="I9927" s="7" t="s">
        <v>16815</v>
      </c>
      <c r="L9927" s="198" t="s">
        <v>65</v>
      </c>
      <c r="M9927" s="199"/>
      <c r="N9927" s="199"/>
    </row>
    <row r="9928">
      <c r="A9928" s="193" t="s">
        <v>31322</v>
      </c>
      <c r="D9928" s="199"/>
      <c r="E9928" s="193"/>
      <c r="F9928" s="195" t="s">
        <v>31323</v>
      </c>
      <c r="G9928" s="196"/>
      <c r="H9928" s="197">
        <v>22.65</v>
      </c>
      <c r="I9928" s="7" t="s">
        <v>16815</v>
      </c>
      <c r="L9928" s="198" t="s">
        <v>65</v>
      </c>
      <c r="M9928" s="199"/>
      <c r="N9928" s="199"/>
    </row>
    <row r="9929">
      <c r="A9929" s="193" t="s">
        <v>31324</v>
      </c>
      <c r="D9929" s="199"/>
      <c r="E9929" s="193"/>
      <c r="F9929" s="195" t="s">
        <v>31325</v>
      </c>
      <c r="G9929" s="196"/>
      <c r="H9929" s="197">
        <v>133.02</v>
      </c>
      <c r="I9929" s="7" t="s">
        <v>16815</v>
      </c>
      <c r="L9929" s="198" t="s">
        <v>65</v>
      </c>
      <c r="M9929" s="199"/>
      <c r="N9929" s="199"/>
    </row>
    <row r="9930">
      <c r="A9930" s="193" t="s">
        <v>31326</v>
      </c>
      <c r="D9930" s="199"/>
      <c r="E9930" s="193"/>
      <c r="F9930" s="195" t="s">
        <v>31327</v>
      </c>
      <c r="G9930" s="196"/>
      <c r="H9930" s="197">
        <v>17.39</v>
      </c>
      <c r="I9930" s="7" t="s">
        <v>16815</v>
      </c>
      <c r="L9930" s="198" t="s">
        <v>65</v>
      </c>
      <c r="M9930" s="199"/>
      <c r="N9930" s="199"/>
    </row>
    <row r="9931">
      <c r="A9931" s="193" t="s">
        <v>31328</v>
      </c>
      <c r="D9931" s="199"/>
      <c r="E9931" s="193"/>
      <c r="F9931" s="195" t="s">
        <v>31329</v>
      </c>
      <c r="G9931" s="196"/>
      <c r="H9931" s="197">
        <v>23.61</v>
      </c>
      <c r="I9931" s="7" t="s">
        <v>16815</v>
      </c>
      <c r="L9931" s="198" t="s">
        <v>65</v>
      </c>
      <c r="M9931" s="199"/>
      <c r="N9931" s="199"/>
    </row>
    <row r="9932">
      <c r="A9932" s="193" t="s">
        <v>31330</v>
      </c>
      <c r="D9932" s="199"/>
      <c r="E9932" s="193"/>
      <c r="F9932" s="195" t="s">
        <v>31331</v>
      </c>
      <c r="G9932" s="196"/>
      <c r="H9932" s="197">
        <v>52.38</v>
      </c>
      <c r="I9932" s="7" t="s">
        <v>16815</v>
      </c>
      <c r="L9932" s="198" t="s">
        <v>65</v>
      </c>
      <c r="M9932" s="199"/>
      <c r="N9932" s="199"/>
    </row>
    <row r="9933">
      <c r="A9933" s="193" t="s">
        <v>31332</v>
      </c>
      <c r="D9933" s="199"/>
      <c r="E9933" s="193"/>
      <c r="F9933" s="195" t="s">
        <v>31333</v>
      </c>
      <c r="G9933" s="196"/>
      <c r="H9933" s="197">
        <v>11.49</v>
      </c>
      <c r="I9933" s="7" t="s">
        <v>16815</v>
      </c>
      <c r="L9933" s="198" t="s">
        <v>65</v>
      </c>
      <c r="M9933" s="199"/>
      <c r="N9933" s="199"/>
    </row>
    <row r="9934">
      <c r="A9934" s="193" t="s">
        <v>31334</v>
      </c>
      <c r="D9934" s="199"/>
      <c r="E9934" s="193"/>
      <c r="F9934" s="195" t="s">
        <v>31335</v>
      </c>
      <c r="G9934" s="196"/>
      <c r="H9934" s="197">
        <v>24.9242</v>
      </c>
      <c r="I9934" s="7" t="s">
        <v>16815</v>
      </c>
      <c r="L9934" s="198" t="s">
        <v>65</v>
      </c>
      <c r="M9934" s="199"/>
      <c r="N9934" s="199"/>
    </row>
    <row r="9935">
      <c r="A9935" s="193" t="s">
        <v>31336</v>
      </c>
      <c r="D9935" s="199"/>
      <c r="E9935" s="193"/>
      <c r="F9935" s="195" t="s">
        <v>31337</v>
      </c>
      <c r="G9935" s="196"/>
      <c r="H9935" s="197">
        <v>24.93</v>
      </c>
      <c r="I9935" s="7" t="s">
        <v>16815</v>
      </c>
      <c r="L9935" s="198" t="s">
        <v>65</v>
      </c>
      <c r="M9935" s="199"/>
      <c r="N9935" s="199"/>
    </row>
    <row r="9936">
      <c r="A9936" s="193" t="s">
        <v>31338</v>
      </c>
      <c r="D9936" s="199"/>
      <c r="E9936" s="193"/>
      <c r="F9936" s="195" t="s">
        <v>31339</v>
      </c>
      <c r="G9936" s="196"/>
      <c r="H9936" s="197">
        <v>24.93</v>
      </c>
      <c r="I9936" s="7" t="s">
        <v>16815</v>
      </c>
      <c r="L9936" s="198" t="s">
        <v>65</v>
      </c>
      <c r="M9936" s="199"/>
      <c r="N9936" s="199"/>
    </row>
    <row r="9937">
      <c r="A9937" s="193" t="s">
        <v>31340</v>
      </c>
      <c r="D9937" s="199"/>
      <c r="E9937" s="193"/>
      <c r="F9937" s="195" t="s">
        <v>31341</v>
      </c>
      <c r="G9937" s="196"/>
      <c r="H9937" s="197">
        <v>28.75</v>
      </c>
      <c r="I9937" s="7" t="s">
        <v>16815</v>
      </c>
      <c r="L9937" s="198" t="s">
        <v>65</v>
      </c>
      <c r="M9937" s="199"/>
      <c r="N9937" s="199"/>
    </row>
    <row r="9938">
      <c r="A9938" s="193" t="s">
        <v>31342</v>
      </c>
      <c r="D9938" s="199"/>
      <c r="E9938" s="193"/>
      <c r="F9938" s="195" t="s">
        <v>31343</v>
      </c>
      <c r="G9938" s="196"/>
      <c r="H9938" s="197">
        <v>52.52</v>
      </c>
      <c r="I9938" s="7" t="s">
        <v>16815</v>
      </c>
      <c r="L9938" s="198" t="s">
        <v>65</v>
      </c>
      <c r="M9938" s="199"/>
      <c r="N9938" s="199"/>
    </row>
    <row r="9939">
      <c r="A9939" s="193" t="s">
        <v>31344</v>
      </c>
      <c r="D9939" s="199"/>
      <c r="E9939" s="193"/>
      <c r="F9939" s="195" t="s">
        <v>31345</v>
      </c>
      <c r="G9939" s="196"/>
      <c r="H9939" s="197">
        <v>18.82</v>
      </c>
      <c r="I9939" s="7" t="s">
        <v>16815</v>
      </c>
      <c r="L9939" s="198" t="s">
        <v>65</v>
      </c>
      <c r="M9939" s="199"/>
      <c r="N9939" s="199"/>
    </row>
    <row r="9940">
      <c r="A9940" s="193" t="s">
        <v>31346</v>
      </c>
      <c r="D9940" s="199"/>
      <c r="E9940" s="193"/>
      <c r="F9940" s="195" t="s">
        <v>31347</v>
      </c>
      <c r="G9940" s="196"/>
      <c r="H9940" s="197">
        <v>25.632</v>
      </c>
      <c r="I9940" s="7" t="s">
        <v>16815</v>
      </c>
      <c r="L9940" s="198" t="s">
        <v>65</v>
      </c>
      <c r="M9940" s="199"/>
      <c r="N9940" s="199"/>
    </row>
    <row r="9941">
      <c r="A9941" s="193" t="s">
        <v>31348</v>
      </c>
      <c r="D9941" s="199"/>
      <c r="E9941" s="193"/>
      <c r="F9941" s="195" t="s">
        <v>31349</v>
      </c>
      <c r="G9941" s="196"/>
      <c r="H9941" s="197">
        <v>19.6</v>
      </c>
      <c r="I9941" s="7" t="s">
        <v>16815</v>
      </c>
      <c r="L9941" s="198" t="s">
        <v>65</v>
      </c>
      <c r="M9941" s="199"/>
      <c r="N9941" s="199"/>
    </row>
    <row r="9942">
      <c r="A9942" s="193" t="s">
        <v>31350</v>
      </c>
      <c r="D9942" s="199"/>
      <c r="E9942" s="193"/>
      <c r="F9942" s="195" t="s">
        <v>31351</v>
      </c>
      <c r="G9942" s="196"/>
      <c r="H9942" s="197">
        <v>19.09</v>
      </c>
      <c r="I9942" s="7" t="s">
        <v>16815</v>
      </c>
      <c r="L9942" s="198" t="s">
        <v>65</v>
      </c>
      <c r="M9942" s="199"/>
      <c r="N9942" s="199"/>
    </row>
    <row r="9943">
      <c r="A9943" s="193" t="s">
        <v>31352</v>
      </c>
      <c r="D9943" s="199"/>
      <c r="E9943" s="193"/>
      <c r="F9943" s="195" t="s">
        <v>31353</v>
      </c>
      <c r="G9943" s="196"/>
      <c r="H9943" s="197">
        <v>21.63</v>
      </c>
      <c r="I9943" s="7" t="s">
        <v>16815</v>
      </c>
      <c r="L9943" s="198" t="s">
        <v>65</v>
      </c>
      <c r="M9943" s="199"/>
      <c r="N9943" s="199"/>
    </row>
    <row r="9944">
      <c r="A9944" s="193" t="s">
        <v>31354</v>
      </c>
      <c r="D9944" s="199"/>
      <c r="E9944" s="193"/>
      <c r="F9944" s="195" t="s">
        <v>31355</v>
      </c>
      <c r="G9944" s="196"/>
      <c r="H9944" s="197">
        <v>19.48</v>
      </c>
      <c r="I9944" s="7" t="s">
        <v>16815</v>
      </c>
      <c r="L9944" s="198" t="s">
        <v>65</v>
      </c>
      <c r="M9944" s="199"/>
      <c r="N9944" s="199"/>
    </row>
    <row r="9945">
      <c r="A9945" s="193" t="s">
        <v>31356</v>
      </c>
      <c r="D9945" s="199"/>
      <c r="E9945" s="193"/>
      <c r="F9945" s="195" t="s">
        <v>31357</v>
      </c>
      <c r="G9945" s="196"/>
      <c r="H9945" s="197">
        <v>24.75</v>
      </c>
      <c r="I9945" s="7" t="s">
        <v>16815</v>
      </c>
      <c r="L9945" s="198" t="s">
        <v>65</v>
      </c>
      <c r="M9945" s="199"/>
      <c r="N9945" s="199"/>
    </row>
    <row r="9946">
      <c r="A9946" s="193" t="s">
        <v>31358</v>
      </c>
      <c r="D9946" s="199"/>
      <c r="E9946" s="193"/>
      <c r="F9946" s="195" t="s">
        <v>31359</v>
      </c>
      <c r="G9946" s="196"/>
      <c r="H9946" s="197">
        <v>23.59</v>
      </c>
      <c r="I9946" s="7" t="s">
        <v>16815</v>
      </c>
      <c r="L9946" s="198" t="s">
        <v>65</v>
      </c>
      <c r="M9946" s="199"/>
      <c r="N9946" s="199"/>
    </row>
    <row r="9947">
      <c r="A9947" s="193" t="s">
        <v>31360</v>
      </c>
      <c r="D9947" s="199"/>
      <c r="E9947" s="193"/>
      <c r="F9947" s="195" t="s">
        <v>31361</v>
      </c>
      <c r="G9947" s="196"/>
      <c r="H9947" s="197">
        <v>20.17</v>
      </c>
      <c r="I9947" s="7" t="s">
        <v>16815</v>
      </c>
      <c r="L9947" s="198" t="s">
        <v>65</v>
      </c>
      <c r="M9947" s="199"/>
      <c r="N9947" s="199"/>
    </row>
    <row r="9948">
      <c r="A9948" s="193" t="s">
        <v>31362</v>
      </c>
      <c r="D9948" s="199"/>
      <c r="E9948" s="193"/>
      <c r="F9948" s="195" t="s">
        <v>31363</v>
      </c>
      <c r="G9948" s="196"/>
      <c r="H9948" s="197">
        <v>19.38</v>
      </c>
      <c r="I9948" s="7" t="s">
        <v>16815</v>
      </c>
      <c r="L9948" s="198" t="s">
        <v>65</v>
      </c>
      <c r="M9948" s="199"/>
      <c r="N9948" s="199"/>
    </row>
    <row r="9949">
      <c r="A9949" s="193" t="s">
        <v>31364</v>
      </c>
      <c r="D9949" s="199"/>
      <c r="E9949" s="193"/>
      <c r="F9949" s="195" t="s">
        <v>31365</v>
      </c>
      <c r="G9949" s="196"/>
      <c r="H9949" s="197">
        <v>19.67</v>
      </c>
      <c r="I9949" s="7" t="s">
        <v>16815</v>
      </c>
      <c r="L9949" s="198" t="s">
        <v>65</v>
      </c>
      <c r="M9949" s="199"/>
      <c r="N9949" s="199"/>
    </row>
    <row r="9950">
      <c r="A9950" s="193" t="s">
        <v>31366</v>
      </c>
      <c r="D9950" s="199"/>
      <c r="E9950" s="193"/>
      <c r="F9950" s="195" t="s">
        <v>31367</v>
      </c>
      <c r="G9950" s="196"/>
      <c r="H9950" s="197">
        <v>18.03</v>
      </c>
      <c r="I9950" s="7" t="s">
        <v>16815</v>
      </c>
      <c r="L9950" s="198" t="s">
        <v>65</v>
      </c>
      <c r="M9950" s="199"/>
      <c r="N9950" s="199"/>
    </row>
    <row r="9951">
      <c r="A9951" s="193" t="s">
        <v>31368</v>
      </c>
      <c r="D9951" s="199"/>
      <c r="E9951" s="193"/>
      <c r="F9951" s="195" t="s">
        <v>31369</v>
      </c>
      <c r="G9951" s="196"/>
      <c r="H9951" s="197">
        <v>25.08</v>
      </c>
      <c r="I9951" s="7" t="s">
        <v>16815</v>
      </c>
      <c r="L9951" s="198" t="s">
        <v>65</v>
      </c>
      <c r="M9951" s="199"/>
      <c r="N9951" s="199"/>
    </row>
    <row r="9952">
      <c r="A9952" s="193" t="s">
        <v>31370</v>
      </c>
      <c r="D9952" s="199"/>
      <c r="E9952" s="193"/>
      <c r="F9952" s="195" t="s">
        <v>31371</v>
      </c>
      <c r="G9952" s="196"/>
      <c r="H9952" s="197">
        <v>19.4</v>
      </c>
      <c r="I9952" s="7" t="s">
        <v>16815</v>
      </c>
      <c r="L9952" s="198" t="s">
        <v>65</v>
      </c>
      <c r="M9952" s="199"/>
      <c r="N9952" s="199"/>
    </row>
    <row r="9953">
      <c r="A9953" s="193" t="s">
        <v>31372</v>
      </c>
      <c r="D9953" s="199"/>
      <c r="E9953" s="193"/>
      <c r="F9953" s="195" t="s">
        <v>31373</v>
      </c>
      <c r="G9953" s="196"/>
      <c r="H9953" s="197">
        <v>17.5</v>
      </c>
      <c r="I9953" s="7" t="s">
        <v>16815</v>
      </c>
      <c r="L9953" s="198" t="s">
        <v>65</v>
      </c>
      <c r="M9953" s="199"/>
      <c r="N9953" s="199"/>
    </row>
    <row r="9954">
      <c r="A9954" s="193" t="s">
        <v>31374</v>
      </c>
      <c r="D9954" s="199"/>
      <c r="E9954" s="193"/>
      <c r="F9954" s="195" t="s">
        <v>31375</v>
      </c>
      <c r="G9954" s="196"/>
      <c r="H9954" s="197">
        <v>17.28</v>
      </c>
      <c r="I9954" s="7" t="s">
        <v>16815</v>
      </c>
      <c r="L9954" s="198" t="s">
        <v>65</v>
      </c>
      <c r="M9954" s="199"/>
      <c r="N9954" s="199"/>
    </row>
    <row r="9955">
      <c r="A9955" s="193" t="s">
        <v>31376</v>
      </c>
      <c r="D9955" s="199"/>
      <c r="E9955" s="193"/>
      <c r="F9955" s="195" t="s">
        <v>31377</v>
      </c>
      <c r="G9955" s="196"/>
      <c r="H9955" s="197">
        <v>18.67</v>
      </c>
      <c r="I9955" s="7" t="s">
        <v>16815</v>
      </c>
      <c r="L9955" s="198" t="s">
        <v>65</v>
      </c>
      <c r="M9955" s="199"/>
      <c r="N9955" s="199"/>
    </row>
    <row r="9956">
      <c r="A9956" s="193" t="s">
        <v>31378</v>
      </c>
      <c r="D9956" s="199"/>
      <c r="E9956" s="193"/>
      <c r="F9956" s="195" t="s">
        <v>31379</v>
      </c>
      <c r="G9956" s="196"/>
      <c r="H9956" s="197">
        <v>20.6601</v>
      </c>
      <c r="I9956" s="7" t="s">
        <v>16815</v>
      </c>
      <c r="L9956" s="198" t="s">
        <v>65</v>
      </c>
      <c r="M9956" s="199"/>
      <c r="N9956" s="199"/>
    </row>
    <row r="9957">
      <c r="A9957" s="193" t="s">
        <v>31380</v>
      </c>
      <c r="D9957" s="199"/>
      <c r="E9957" s="193"/>
      <c r="F9957" s="195" t="s">
        <v>31381</v>
      </c>
      <c r="G9957" s="196"/>
      <c r="H9957" s="197">
        <v>21.56</v>
      </c>
      <c r="I9957" s="7" t="s">
        <v>16815</v>
      </c>
      <c r="L9957" s="198" t="s">
        <v>65</v>
      </c>
      <c r="M9957" s="199"/>
      <c r="N9957" s="199"/>
    </row>
    <row r="9958">
      <c r="A9958" s="193" t="s">
        <v>31382</v>
      </c>
      <c r="D9958" s="199"/>
      <c r="E9958" s="193"/>
      <c r="F9958" s="195" t="s">
        <v>31383</v>
      </c>
      <c r="G9958" s="196"/>
      <c r="H9958" s="197">
        <v>16.61</v>
      </c>
      <c r="I9958" s="7" t="s">
        <v>16815</v>
      </c>
      <c r="L9958" s="198" t="s">
        <v>65</v>
      </c>
      <c r="M9958" s="199"/>
      <c r="N9958" s="199"/>
    </row>
    <row r="9959">
      <c r="A9959" s="193" t="s">
        <v>31384</v>
      </c>
      <c r="D9959" s="199"/>
      <c r="E9959" s="193"/>
      <c r="F9959" s="195" t="s">
        <v>31385</v>
      </c>
      <c r="G9959" s="196"/>
      <c r="H9959" s="197">
        <v>17.0</v>
      </c>
      <c r="I9959" s="7" t="s">
        <v>16815</v>
      </c>
      <c r="L9959" s="198" t="s">
        <v>65</v>
      </c>
      <c r="M9959" s="199"/>
      <c r="N9959" s="199"/>
    </row>
    <row r="9960">
      <c r="A9960" s="193" t="s">
        <v>31386</v>
      </c>
      <c r="D9960" s="199"/>
      <c r="E9960" s="193"/>
      <c r="F9960" s="195" t="s">
        <v>31387</v>
      </c>
      <c r="G9960" s="196"/>
      <c r="H9960" s="197">
        <v>26.73</v>
      </c>
      <c r="I9960" s="7" t="s">
        <v>16815</v>
      </c>
      <c r="L9960" s="198" t="s">
        <v>65</v>
      </c>
      <c r="M9960" s="199"/>
      <c r="N9960" s="199"/>
    </row>
    <row r="9961">
      <c r="A9961" s="193" t="s">
        <v>31388</v>
      </c>
      <c r="D9961" s="199"/>
      <c r="E9961" s="193"/>
      <c r="F9961" s="195" t="s">
        <v>31389</v>
      </c>
      <c r="G9961" s="196"/>
      <c r="H9961" s="197">
        <v>44.1474</v>
      </c>
      <c r="I9961" s="7" t="s">
        <v>16815</v>
      </c>
      <c r="L9961" s="198" t="s">
        <v>65</v>
      </c>
      <c r="M9961" s="199"/>
      <c r="N9961" s="199"/>
    </row>
    <row r="9962">
      <c r="A9962" s="193" t="s">
        <v>31390</v>
      </c>
      <c r="D9962" s="199"/>
      <c r="E9962" s="193"/>
      <c r="F9962" s="195" t="s">
        <v>31391</v>
      </c>
      <c r="G9962" s="196"/>
      <c r="H9962" s="197">
        <v>54.3328</v>
      </c>
      <c r="I9962" s="7" t="s">
        <v>16815</v>
      </c>
      <c r="L9962" s="198" t="s">
        <v>65</v>
      </c>
      <c r="M9962" s="199"/>
      <c r="N9962" s="199"/>
    </row>
    <row r="9963">
      <c r="A9963" s="193" t="s">
        <v>31392</v>
      </c>
      <c r="D9963" s="199"/>
      <c r="E9963" s="193"/>
      <c r="F9963" s="195" t="s">
        <v>31393</v>
      </c>
      <c r="G9963" s="196"/>
      <c r="H9963" s="197">
        <v>23.49</v>
      </c>
      <c r="I9963" s="7" t="s">
        <v>16815</v>
      </c>
      <c r="L9963" s="198" t="s">
        <v>65</v>
      </c>
      <c r="M9963" s="199"/>
      <c r="N9963" s="199"/>
    </row>
    <row r="9964">
      <c r="A9964" s="193" t="s">
        <v>31394</v>
      </c>
      <c r="D9964" s="199"/>
      <c r="E9964" s="193"/>
      <c r="F9964" s="195" t="s">
        <v>31395</v>
      </c>
      <c r="G9964" s="196"/>
      <c r="H9964" s="197">
        <v>25.42</v>
      </c>
      <c r="I9964" s="7" t="s">
        <v>16815</v>
      </c>
      <c r="L9964" s="198" t="s">
        <v>65</v>
      </c>
      <c r="M9964" s="199"/>
      <c r="N9964" s="199"/>
    </row>
    <row r="9965">
      <c r="A9965" s="193" t="s">
        <v>31396</v>
      </c>
      <c r="D9965" s="199"/>
      <c r="E9965" s="193"/>
      <c r="F9965" s="195" t="s">
        <v>31397</v>
      </c>
      <c r="G9965" s="196"/>
      <c r="H9965" s="197">
        <v>23.1</v>
      </c>
      <c r="I9965" s="7" t="s">
        <v>16815</v>
      </c>
      <c r="L9965" s="198" t="s">
        <v>65</v>
      </c>
      <c r="M9965" s="199"/>
      <c r="N9965" s="199"/>
    </row>
    <row r="9966">
      <c r="A9966" s="193" t="s">
        <v>31398</v>
      </c>
      <c r="D9966" s="199"/>
      <c r="E9966" s="193"/>
      <c r="F9966" s="195" t="s">
        <v>31399</v>
      </c>
      <c r="G9966" s="196"/>
      <c r="H9966" s="197">
        <v>23.08</v>
      </c>
      <c r="I9966" s="7" t="s">
        <v>16815</v>
      </c>
      <c r="L9966" s="198" t="s">
        <v>65</v>
      </c>
      <c r="M9966" s="199"/>
      <c r="N9966" s="199"/>
    </row>
    <row r="9967">
      <c r="A9967" s="193" t="s">
        <v>31400</v>
      </c>
      <c r="D9967" s="199"/>
      <c r="E9967" s="193"/>
      <c r="F9967" s="195" t="s">
        <v>31401</v>
      </c>
      <c r="G9967" s="196"/>
      <c r="H9967" s="197">
        <v>19.96</v>
      </c>
      <c r="I9967" s="7" t="s">
        <v>16815</v>
      </c>
      <c r="L9967" s="198" t="s">
        <v>65</v>
      </c>
      <c r="M9967" s="199"/>
      <c r="N9967" s="199"/>
    </row>
    <row r="9968">
      <c r="A9968" s="193" t="s">
        <v>31402</v>
      </c>
      <c r="D9968" s="199"/>
      <c r="E9968" s="193"/>
      <c r="F9968" s="195" t="s">
        <v>31403</v>
      </c>
      <c r="G9968" s="196"/>
      <c r="H9968" s="197">
        <v>18.3</v>
      </c>
      <c r="I9968" s="7" t="s">
        <v>16815</v>
      </c>
      <c r="L9968" s="198" t="s">
        <v>65</v>
      </c>
      <c r="M9968" s="199"/>
      <c r="N9968" s="199"/>
    </row>
    <row r="9969">
      <c r="A9969" s="193" t="s">
        <v>31404</v>
      </c>
      <c r="D9969" s="199"/>
      <c r="E9969" s="193"/>
      <c r="F9969" s="195" t="s">
        <v>31405</v>
      </c>
      <c r="G9969" s="196"/>
      <c r="H9969" s="197">
        <v>18.86</v>
      </c>
      <c r="I9969" s="7" t="s">
        <v>16815</v>
      </c>
      <c r="L9969" s="198" t="s">
        <v>65</v>
      </c>
      <c r="M9969" s="199"/>
      <c r="N9969" s="199"/>
    </row>
    <row r="9970">
      <c r="A9970" s="193" t="s">
        <v>31406</v>
      </c>
      <c r="D9970" s="199"/>
      <c r="E9970" s="193"/>
      <c r="F9970" s="195" t="s">
        <v>31407</v>
      </c>
      <c r="G9970" s="196"/>
      <c r="H9970" s="197">
        <v>17.3813</v>
      </c>
      <c r="I9970" s="7" t="s">
        <v>16815</v>
      </c>
      <c r="L9970" s="198" t="s">
        <v>65</v>
      </c>
      <c r="M9970" s="199"/>
      <c r="N9970" s="199"/>
    </row>
    <row r="9971">
      <c r="A9971" s="193" t="s">
        <v>31408</v>
      </c>
      <c r="D9971" s="199"/>
      <c r="E9971" s="193"/>
      <c r="F9971" s="195" t="s">
        <v>31409</v>
      </c>
      <c r="G9971" s="196"/>
      <c r="H9971" s="197">
        <v>16.79</v>
      </c>
      <c r="I9971" s="7" t="s">
        <v>16815</v>
      </c>
      <c r="L9971" s="198" t="s">
        <v>65</v>
      </c>
      <c r="M9971" s="199"/>
      <c r="N9971" s="199"/>
    </row>
    <row r="9972">
      <c r="A9972" s="193" t="s">
        <v>31410</v>
      </c>
      <c r="D9972" s="199"/>
      <c r="E9972" s="193"/>
      <c r="F9972" s="195" t="s">
        <v>31411</v>
      </c>
      <c r="G9972" s="196"/>
      <c r="H9972" s="197">
        <v>19.9</v>
      </c>
      <c r="I9972" s="7" t="s">
        <v>16815</v>
      </c>
      <c r="L9972" s="198" t="s">
        <v>65</v>
      </c>
      <c r="M9972" s="199"/>
      <c r="N9972" s="199"/>
    </row>
    <row r="9973">
      <c r="A9973" s="193" t="s">
        <v>31412</v>
      </c>
      <c r="D9973" s="199"/>
      <c r="E9973" s="193"/>
      <c r="F9973" s="195" t="s">
        <v>31413</v>
      </c>
      <c r="G9973" s="196"/>
      <c r="H9973" s="197">
        <v>21.59</v>
      </c>
      <c r="I9973" s="7" t="s">
        <v>16815</v>
      </c>
      <c r="L9973" s="198" t="s">
        <v>65</v>
      </c>
      <c r="M9973" s="199"/>
      <c r="N9973" s="199"/>
    </row>
    <row r="9974">
      <c r="A9974" s="193" t="s">
        <v>31414</v>
      </c>
      <c r="D9974" s="199"/>
      <c r="E9974" s="193"/>
      <c r="F9974" s="195" t="s">
        <v>31415</v>
      </c>
      <c r="G9974" s="196"/>
      <c r="H9974" s="197">
        <v>25.33</v>
      </c>
      <c r="I9974" s="7" t="s">
        <v>16815</v>
      </c>
      <c r="L9974" s="198" t="s">
        <v>65</v>
      </c>
      <c r="M9974" s="199"/>
      <c r="N9974" s="199"/>
    </row>
    <row r="9975">
      <c r="A9975" s="193" t="s">
        <v>31416</v>
      </c>
      <c r="D9975" s="199"/>
      <c r="E9975" s="193"/>
      <c r="F9975" s="195" t="s">
        <v>31417</v>
      </c>
      <c r="G9975" s="196"/>
      <c r="H9975" s="197">
        <v>24.96</v>
      </c>
      <c r="I9975" s="7" t="s">
        <v>16815</v>
      </c>
      <c r="L9975" s="198" t="s">
        <v>65</v>
      </c>
      <c r="M9975" s="199"/>
      <c r="N9975" s="199"/>
    </row>
    <row r="9976">
      <c r="A9976" s="193" t="s">
        <v>31418</v>
      </c>
      <c r="D9976" s="199"/>
      <c r="E9976" s="193"/>
      <c r="F9976" s="195" t="s">
        <v>31419</v>
      </c>
      <c r="G9976" s="196"/>
      <c r="H9976" s="197">
        <v>24.38</v>
      </c>
      <c r="I9976" s="7" t="s">
        <v>16815</v>
      </c>
      <c r="L9976" s="198" t="s">
        <v>65</v>
      </c>
      <c r="M9976" s="199"/>
      <c r="N9976" s="199"/>
    </row>
    <row r="9977">
      <c r="A9977" s="193" t="s">
        <v>31420</v>
      </c>
      <c r="D9977" s="199"/>
      <c r="E9977" s="193"/>
      <c r="F9977" s="195" t="s">
        <v>31421</v>
      </c>
      <c r="G9977" s="196"/>
      <c r="H9977" s="197">
        <v>23.09</v>
      </c>
      <c r="I9977" s="7" t="s">
        <v>16815</v>
      </c>
      <c r="L9977" s="198" t="s">
        <v>65</v>
      </c>
      <c r="M9977" s="199"/>
      <c r="N9977" s="199"/>
    </row>
    <row r="9978">
      <c r="A9978" s="193" t="s">
        <v>31422</v>
      </c>
      <c r="D9978" s="199"/>
      <c r="E9978" s="193"/>
      <c r="F9978" s="195" t="s">
        <v>31423</v>
      </c>
      <c r="G9978" s="196"/>
      <c r="H9978" s="197">
        <v>19.82</v>
      </c>
      <c r="I9978" s="7" t="s">
        <v>16815</v>
      </c>
      <c r="L9978" s="198" t="s">
        <v>65</v>
      </c>
      <c r="M9978" s="199"/>
      <c r="N9978" s="199"/>
    </row>
    <row r="9979">
      <c r="A9979" s="193" t="s">
        <v>31424</v>
      </c>
      <c r="D9979" s="199"/>
      <c r="E9979" s="193"/>
      <c r="F9979" s="195" t="s">
        <v>31425</v>
      </c>
      <c r="G9979" s="196"/>
      <c r="H9979" s="197">
        <v>17.54</v>
      </c>
      <c r="I9979" s="7" t="s">
        <v>16815</v>
      </c>
      <c r="L9979" s="198" t="s">
        <v>65</v>
      </c>
      <c r="M9979" s="199"/>
      <c r="N9979" s="199"/>
    </row>
    <row r="9980">
      <c r="A9980" s="193" t="s">
        <v>31426</v>
      </c>
      <c r="D9980" s="199"/>
      <c r="E9980" s="193"/>
      <c r="F9980" s="195" t="s">
        <v>31427</v>
      </c>
      <c r="G9980" s="196"/>
      <c r="H9980" s="197">
        <v>25.46</v>
      </c>
      <c r="I9980" s="7" t="s">
        <v>16815</v>
      </c>
      <c r="L9980" s="198" t="s">
        <v>65</v>
      </c>
      <c r="M9980" s="199"/>
      <c r="N9980" s="199"/>
    </row>
    <row r="9981">
      <c r="A9981" s="193" t="s">
        <v>31428</v>
      </c>
      <c r="D9981" s="199"/>
      <c r="E9981" s="193"/>
      <c r="F9981" s="195" t="s">
        <v>31429</v>
      </c>
      <c r="G9981" s="196"/>
      <c r="H9981" s="197">
        <v>22.6169</v>
      </c>
      <c r="I9981" s="7" t="s">
        <v>16815</v>
      </c>
      <c r="L9981" s="198" t="s">
        <v>65</v>
      </c>
      <c r="M9981" s="199"/>
      <c r="N9981" s="199"/>
    </row>
    <row r="9982">
      <c r="A9982" s="193" t="s">
        <v>31430</v>
      </c>
      <c r="D9982" s="199"/>
      <c r="E9982" s="193"/>
      <c r="F9982" s="195" t="s">
        <v>31431</v>
      </c>
      <c r="G9982" s="196"/>
      <c r="H9982" s="197">
        <v>20.8</v>
      </c>
      <c r="I9982" s="7" t="s">
        <v>16815</v>
      </c>
      <c r="L9982" s="198" t="s">
        <v>65</v>
      </c>
      <c r="M9982" s="199"/>
      <c r="N9982" s="199"/>
    </row>
    <row r="9983">
      <c r="A9983" s="193" t="s">
        <v>31432</v>
      </c>
      <c r="D9983" s="199"/>
      <c r="E9983" s="193"/>
      <c r="F9983" s="195" t="s">
        <v>31433</v>
      </c>
      <c r="G9983" s="196"/>
      <c r="H9983" s="197">
        <v>20.55</v>
      </c>
      <c r="I9983" s="7" t="s">
        <v>16815</v>
      </c>
      <c r="L9983" s="198" t="s">
        <v>65</v>
      </c>
      <c r="M9983" s="199"/>
      <c r="N9983" s="199"/>
    </row>
    <row r="9984">
      <c r="A9984" s="193" t="s">
        <v>31434</v>
      </c>
      <c r="D9984" s="199"/>
      <c r="E9984" s="193"/>
      <c r="F9984" s="195" t="s">
        <v>31435</v>
      </c>
      <c r="G9984" s="196"/>
      <c r="H9984" s="197">
        <v>23.41</v>
      </c>
      <c r="I9984" s="7" t="s">
        <v>16815</v>
      </c>
      <c r="L9984" s="198" t="s">
        <v>65</v>
      </c>
      <c r="M9984" s="199"/>
      <c r="N9984" s="199"/>
    </row>
    <row r="9985">
      <c r="A9985" s="193" t="s">
        <v>31436</v>
      </c>
      <c r="D9985" s="199"/>
      <c r="E9985" s="193"/>
      <c r="F9985" s="195" t="s">
        <v>31437</v>
      </c>
      <c r="G9985" s="196"/>
      <c r="H9985" s="197">
        <v>36.45</v>
      </c>
      <c r="I9985" s="7" t="s">
        <v>16815</v>
      </c>
      <c r="L9985" s="198" t="s">
        <v>65</v>
      </c>
      <c r="M9985" s="199"/>
      <c r="N9985" s="199"/>
    </row>
    <row r="9986">
      <c r="A9986" s="193" t="s">
        <v>31438</v>
      </c>
      <c r="D9986" s="199"/>
      <c r="E9986" s="193"/>
      <c r="F9986" s="195" t="s">
        <v>31439</v>
      </c>
      <c r="G9986" s="196"/>
      <c r="H9986" s="197">
        <v>25.2592</v>
      </c>
      <c r="I9986" s="7" t="s">
        <v>16815</v>
      </c>
      <c r="L9986" s="198" t="s">
        <v>65</v>
      </c>
      <c r="M9986" s="199"/>
      <c r="N9986" s="199"/>
    </row>
    <row r="9987">
      <c r="A9987" s="193" t="s">
        <v>31440</v>
      </c>
      <c r="D9987" s="199"/>
      <c r="E9987" s="193"/>
      <c r="F9987" s="195" t="s">
        <v>31441</v>
      </c>
      <c r="G9987" s="196"/>
      <c r="H9987" s="197">
        <v>24.14</v>
      </c>
      <c r="I9987" s="7" t="s">
        <v>16815</v>
      </c>
      <c r="L9987" s="198" t="s">
        <v>65</v>
      </c>
      <c r="M9987" s="199"/>
      <c r="N9987" s="199"/>
    </row>
    <row r="9988">
      <c r="A9988" s="193" t="s">
        <v>31442</v>
      </c>
      <c r="D9988" s="199"/>
      <c r="E9988" s="193"/>
      <c r="F9988" s="195" t="s">
        <v>31443</v>
      </c>
      <c r="G9988" s="196"/>
      <c r="H9988" s="197">
        <v>24.97</v>
      </c>
      <c r="I9988" s="7" t="s">
        <v>16815</v>
      </c>
      <c r="L9988" s="198" t="s">
        <v>65</v>
      </c>
      <c r="M9988" s="199"/>
      <c r="N9988" s="199"/>
    </row>
    <row r="9989">
      <c r="A9989" s="193" t="s">
        <v>31444</v>
      </c>
      <c r="D9989" s="199"/>
      <c r="E9989" s="193"/>
      <c r="F9989" s="195" t="s">
        <v>31445</v>
      </c>
      <c r="G9989" s="196"/>
      <c r="H9989" s="197">
        <v>25.08</v>
      </c>
      <c r="I9989" s="7" t="s">
        <v>16815</v>
      </c>
      <c r="L9989" s="198" t="s">
        <v>65</v>
      </c>
      <c r="M9989" s="199"/>
      <c r="N9989" s="199"/>
    </row>
    <row r="9990">
      <c r="A9990" s="193" t="s">
        <v>31446</v>
      </c>
      <c r="D9990" s="199"/>
      <c r="E9990" s="193"/>
      <c r="F9990" s="195" t="s">
        <v>31447</v>
      </c>
      <c r="G9990" s="196"/>
      <c r="H9990" s="197">
        <v>24.71</v>
      </c>
      <c r="I9990" s="7" t="s">
        <v>16815</v>
      </c>
      <c r="L9990" s="198" t="s">
        <v>65</v>
      </c>
      <c r="M9990" s="199"/>
      <c r="N9990" s="199"/>
    </row>
    <row r="9991">
      <c r="A9991" s="193" t="s">
        <v>31448</v>
      </c>
      <c r="D9991" s="199"/>
      <c r="E9991" s="193"/>
      <c r="F9991" s="195" t="s">
        <v>31449</v>
      </c>
      <c r="G9991" s="196"/>
      <c r="H9991" s="197">
        <v>23.68</v>
      </c>
      <c r="I9991" s="7" t="s">
        <v>16815</v>
      </c>
      <c r="L9991" s="198" t="s">
        <v>65</v>
      </c>
      <c r="M9991" s="199"/>
      <c r="N9991" s="199"/>
    </row>
    <row r="9992">
      <c r="A9992" s="193" t="s">
        <v>31450</v>
      </c>
      <c r="D9992" s="199"/>
      <c r="E9992" s="193"/>
      <c r="F9992" s="195" t="s">
        <v>31451</v>
      </c>
      <c r="G9992" s="196"/>
      <c r="H9992" s="197">
        <v>20.57</v>
      </c>
      <c r="I9992" s="7" t="s">
        <v>16815</v>
      </c>
      <c r="L9992" s="198" t="s">
        <v>65</v>
      </c>
      <c r="M9992" s="199"/>
      <c r="N9992" s="199"/>
    </row>
    <row r="9993">
      <c r="A9993" s="193" t="s">
        <v>31452</v>
      </c>
      <c r="D9993" s="199"/>
      <c r="E9993" s="193"/>
      <c r="F9993" s="195" t="s">
        <v>31453</v>
      </c>
      <c r="G9993" s="196"/>
      <c r="H9993" s="197">
        <v>18.0</v>
      </c>
      <c r="I9993" s="7" t="s">
        <v>16815</v>
      </c>
      <c r="L9993" s="198" t="s">
        <v>65</v>
      </c>
      <c r="M9993" s="199"/>
      <c r="N9993" s="199"/>
    </row>
    <row r="9994">
      <c r="A9994" s="193" t="s">
        <v>31454</v>
      </c>
      <c r="D9994" s="199"/>
      <c r="E9994" s="193"/>
      <c r="F9994" s="195" t="s">
        <v>31455</v>
      </c>
      <c r="G9994" s="196"/>
      <c r="H9994" s="197">
        <v>88.16</v>
      </c>
      <c r="I9994" s="7" t="s">
        <v>16815</v>
      </c>
      <c r="L9994" s="198" t="s">
        <v>65</v>
      </c>
      <c r="M9994" s="199"/>
      <c r="N9994" s="199"/>
    </row>
    <row r="9995">
      <c r="A9995" s="193" t="s">
        <v>31456</v>
      </c>
      <c r="D9995" s="199"/>
      <c r="E9995" s="193"/>
      <c r="F9995" s="195" t="s">
        <v>31455</v>
      </c>
      <c r="G9995" s="196"/>
      <c r="H9995" s="197">
        <v>85.97</v>
      </c>
      <c r="I9995" s="7" t="s">
        <v>16815</v>
      </c>
      <c r="L9995" s="198" t="s">
        <v>65</v>
      </c>
      <c r="M9995" s="199"/>
      <c r="N9995" s="199"/>
    </row>
    <row r="9996">
      <c r="A9996" s="193" t="s">
        <v>31457</v>
      </c>
      <c r="D9996" s="199"/>
      <c r="E9996" s="193"/>
      <c r="F9996" s="195" t="s">
        <v>31458</v>
      </c>
      <c r="G9996" s="196"/>
      <c r="H9996" s="197">
        <v>18.72</v>
      </c>
      <c r="I9996" s="7" t="s">
        <v>16815</v>
      </c>
      <c r="L9996" s="198" t="s">
        <v>65</v>
      </c>
      <c r="M9996" s="199"/>
      <c r="N9996" s="199"/>
    </row>
    <row r="9997">
      <c r="A9997" s="193" t="s">
        <v>31459</v>
      </c>
      <c r="D9997" s="199"/>
      <c r="E9997" s="193"/>
      <c r="F9997" s="195" t="s">
        <v>31460</v>
      </c>
      <c r="G9997" s="196"/>
      <c r="H9997" s="197">
        <v>25.683</v>
      </c>
      <c r="I9997" s="7" t="s">
        <v>16815</v>
      </c>
      <c r="L9997" s="198" t="s">
        <v>65</v>
      </c>
      <c r="M9997" s="199"/>
      <c r="N9997" s="199"/>
    </row>
    <row r="9998">
      <c r="A9998" s="193" t="s">
        <v>31461</v>
      </c>
      <c r="D9998" s="199"/>
      <c r="E9998" s="193"/>
      <c r="F9998" s="195" t="s">
        <v>31462</v>
      </c>
      <c r="G9998" s="196"/>
      <c r="H9998" s="197">
        <v>25.1</v>
      </c>
      <c r="I9998" s="7" t="s">
        <v>16815</v>
      </c>
      <c r="L9998" s="198" t="s">
        <v>65</v>
      </c>
      <c r="M9998" s="199"/>
      <c r="N9998" s="199"/>
    </row>
    <row r="9999">
      <c r="A9999" s="193" t="s">
        <v>31463</v>
      </c>
      <c r="D9999" s="199"/>
      <c r="E9999" s="193"/>
      <c r="F9999" s="195" t="s">
        <v>31464</v>
      </c>
      <c r="G9999" s="196"/>
      <c r="H9999" s="197">
        <v>25.4901</v>
      </c>
      <c r="I9999" s="7" t="s">
        <v>16815</v>
      </c>
      <c r="L9999" s="198" t="s">
        <v>65</v>
      </c>
      <c r="M9999" s="199"/>
      <c r="N9999" s="199"/>
    </row>
    <row r="10000">
      <c r="A10000" s="193" t="s">
        <v>31465</v>
      </c>
      <c r="D10000" s="199"/>
      <c r="E10000" s="193"/>
      <c r="F10000" s="195" t="s">
        <v>31466</v>
      </c>
      <c r="G10000" s="196"/>
      <c r="H10000" s="197">
        <v>21.66</v>
      </c>
      <c r="I10000" s="7" t="s">
        <v>16815</v>
      </c>
      <c r="L10000" s="198" t="s">
        <v>65</v>
      </c>
      <c r="M10000" s="199"/>
      <c r="N10000" s="199"/>
    </row>
    <row r="10001">
      <c r="A10001" s="193" t="s">
        <v>31467</v>
      </c>
      <c r="D10001" s="199"/>
      <c r="E10001" s="193"/>
      <c r="F10001" s="195" t="s">
        <v>31468</v>
      </c>
      <c r="G10001" s="196"/>
      <c r="H10001" s="197">
        <v>15.0637</v>
      </c>
      <c r="I10001" s="7" t="s">
        <v>16815</v>
      </c>
      <c r="L10001" s="198" t="s">
        <v>65</v>
      </c>
      <c r="M10001" s="199"/>
      <c r="N10001" s="199"/>
    </row>
    <row r="10002">
      <c r="A10002" s="193" t="s">
        <v>31469</v>
      </c>
      <c r="D10002" s="199"/>
      <c r="E10002" s="193"/>
      <c r="F10002" s="195" t="s">
        <v>31470</v>
      </c>
      <c r="G10002" s="196"/>
      <c r="H10002" s="197">
        <v>23.08</v>
      </c>
      <c r="I10002" s="7" t="s">
        <v>16815</v>
      </c>
      <c r="L10002" s="198" t="s">
        <v>65</v>
      </c>
      <c r="M10002" s="199"/>
      <c r="N10002" s="199"/>
    </row>
    <row r="10003">
      <c r="A10003" s="193" t="s">
        <v>31471</v>
      </c>
      <c r="D10003" s="199"/>
      <c r="E10003" s="193"/>
      <c r="F10003" s="195" t="s">
        <v>31472</v>
      </c>
      <c r="G10003" s="196"/>
      <c r="H10003" s="197">
        <v>35.16</v>
      </c>
      <c r="I10003" s="7" t="s">
        <v>16815</v>
      </c>
      <c r="L10003" s="198" t="s">
        <v>65</v>
      </c>
      <c r="M10003" s="199"/>
      <c r="N10003" s="199"/>
    </row>
    <row r="10004">
      <c r="A10004" s="193" t="s">
        <v>31473</v>
      </c>
      <c r="D10004" s="194">
        <v>2021.0</v>
      </c>
      <c r="E10004" s="193"/>
      <c r="F10004" s="195" t="s">
        <v>31474</v>
      </c>
      <c r="G10004" s="196"/>
      <c r="H10004" s="197">
        <v>0.6532</v>
      </c>
      <c r="I10004" s="7" t="s">
        <v>16815</v>
      </c>
      <c r="L10004" s="198" t="s">
        <v>65</v>
      </c>
      <c r="M10004" s="194"/>
      <c r="N10004" s="194"/>
    </row>
    <row r="10005">
      <c r="A10005" s="193" t="s">
        <v>31475</v>
      </c>
      <c r="D10005" s="199"/>
      <c r="E10005" s="193"/>
      <c r="F10005" s="195" t="s">
        <v>31476</v>
      </c>
      <c r="G10005" s="196"/>
      <c r="H10005" s="197">
        <v>20.4307</v>
      </c>
      <c r="I10005" s="7" t="s">
        <v>16815</v>
      </c>
      <c r="L10005" s="198" t="s">
        <v>65</v>
      </c>
      <c r="M10005" s="199"/>
      <c r="N10005" s="199"/>
    </row>
    <row r="10006">
      <c r="A10006" s="193" t="s">
        <v>31477</v>
      </c>
      <c r="D10006" s="199"/>
      <c r="E10006" s="193"/>
      <c r="F10006" s="195" t="s">
        <v>31478</v>
      </c>
      <c r="G10006" s="196"/>
      <c r="H10006" s="197">
        <v>20.1782</v>
      </c>
      <c r="I10006" s="7" t="s">
        <v>16815</v>
      </c>
      <c r="L10006" s="198" t="s">
        <v>65</v>
      </c>
      <c r="M10006" s="199"/>
      <c r="N10006" s="199"/>
    </row>
    <row r="10007">
      <c r="A10007" s="193" t="s">
        <v>31479</v>
      </c>
      <c r="D10007" s="199"/>
      <c r="E10007" s="193"/>
      <c r="F10007" s="195" t="s">
        <v>31480</v>
      </c>
      <c r="G10007" s="196"/>
      <c r="H10007" s="197">
        <v>17.2</v>
      </c>
      <c r="I10007" s="7" t="s">
        <v>16815</v>
      </c>
      <c r="L10007" s="198" t="s">
        <v>65</v>
      </c>
      <c r="M10007" s="199"/>
      <c r="N10007" s="199"/>
    </row>
    <row r="10008">
      <c r="A10008" s="193" t="s">
        <v>31481</v>
      </c>
      <c r="D10008" s="199"/>
      <c r="E10008" s="193"/>
      <c r="F10008" s="195" t="s">
        <v>31482</v>
      </c>
      <c r="G10008" s="196"/>
      <c r="H10008" s="197">
        <v>19.26</v>
      </c>
      <c r="I10008" s="7" t="s">
        <v>16815</v>
      </c>
      <c r="L10008" s="198" t="s">
        <v>65</v>
      </c>
      <c r="M10008" s="199"/>
      <c r="N10008" s="199"/>
    </row>
    <row r="10009">
      <c r="A10009" s="193" t="s">
        <v>31483</v>
      </c>
      <c r="D10009" s="199"/>
      <c r="E10009" s="193"/>
      <c r="F10009" s="195" t="s">
        <v>31484</v>
      </c>
      <c r="G10009" s="196"/>
      <c r="H10009" s="197">
        <v>15.9</v>
      </c>
      <c r="I10009" s="7" t="s">
        <v>16815</v>
      </c>
      <c r="L10009" s="198" t="s">
        <v>65</v>
      </c>
      <c r="M10009" s="199"/>
      <c r="N10009" s="199"/>
    </row>
    <row r="10010">
      <c r="A10010" s="193" t="s">
        <v>31485</v>
      </c>
      <c r="D10010" s="199"/>
      <c r="E10010" s="193"/>
      <c r="F10010" s="195" t="s">
        <v>31486</v>
      </c>
      <c r="G10010" s="196"/>
      <c r="H10010" s="197">
        <v>20.5</v>
      </c>
      <c r="I10010" s="7" t="s">
        <v>16815</v>
      </c>
      <c r="L10010" s="198" t="s">
        <v>65</v>
      </c>
      <c r="M10010" s="199"/>
      <c r="N10010" s="199"/>
    </row>
    <row r="10011">
      <c r="A10011" s="193" t="s">
        <v>31487</v>
      </c>
      <c r="D10011" s="199"/>
      <c r="E10011" s="193"/>
      <c r="F10011" s="195" t="s">
        <v>31488</v>
      </c>
      <c r="G10011" s="196"/>
      <c r="H10011" s="197">
        <v>17.17</v>
      </c>
      <c r="I10011" s="7" t="s">
        <v>16815</v>
      </c>
      <c r="L10011" s="198" t="s">
        <v>65</v>
      </c>
      <c r="M10011" s="199"/>
      <c r="N10011" s="199"/>
    </row>
    <row r="10012">
      <c r="A10012" s="193" t="s">
        <v>31489</v>
      </c>
      <c r="D10012" s="199"/>
      <c r="E10012" s="193"/>
      <c r="F10012" s="195" t="s">
        <v>31490</v>
      </c>
      <c r="G10012" s="196"/>
      <c r="H10012" s="197">
        <v>16.28</v>
      </c>
      <c r="I10012" s="7" t="s">
        <v>16815</v>
      </c>
      <c r="L10012" s="198" t="s">
        <v>65</v>
      </c>
      <c r="M10012" s="199"/>
      <c r="N10012" s="199"/>
    </row>
    <row r="10013">
      <c r="A10013" s="193" t="s">
        <v>31491</v>
      </c>
      <c r="D10013" s="199"/>
      <c r="E10013" s="193"/>
      <c r="F10013" s="195" t="s">
        <v>31492</v>
      </c>
      <c r="G10013" s="196"/>
      <c r="H10013" s="197">
        <v>16.0001</v>
      </c>
      <c r="I10013" s="7" t="s">
        <v>16815</v>
      </c>
      <c r="L10013" s="198" t="s">
        <v>65</v>
      </c>
      <c r="M10013" s="199"/>
      <c r="N10013" s="199"/>
    </row>
    <row r="10014">
      <c r="A10014" s="193" t="s">
        <v>31493</v>
      </c>
      <c r="D10014" s="199"/>
      <c r="E10014" s="193"/>
      <c r="F10014" s="195" t="s">
        <v>31494</v>
      </c>
      <c r="G10014" s="196"/>
      <c r="H10014" s="197">
        <v>16.22</v>
      </c>
      <c r="I10014" s="7" t="s">
        <v>16815</v>
      </c>
      <c r="L10014" s="198" t="s">
        <v>65</v>
      </c>
      <c r="M10014" s="199"/>
      <c r="N10014" s="199"/>
    </row>
    <row r="10015">
      <c r="A10015" s="193" t="s">
        <v>31495</v>
      </c>
      <c r="D10015" s="199"/>
      <c r="E10015" s="193"/>
      <c r="F10015" s="195" t="s">
        <v>31496</v>
      </c>
      <c r="G10015" s="196"/>
      <c r="H10015" s="197">
        <v>15.35</v>
      </c>
      <c r="I10015" s="7" t="s">
        <v>16815</v>
      </c>
      <c r="L10015" s="198" t="s">
        <v>65</v>
      </c>
      <c r="M10015" s="199"/>
      <c r="N10015" s="199"/>
    </row>
    <row r="10016">
      <c r="A10016" s="193" t="s">
        <v>31497</v>
      </c>
      <c r="D10016" s="199"/>
      <c r="E10016" s="193"/>
      <c r="F10016" s="195" t="s">
        <v>31498</v>
      </c>
      <c r="G10016" s="196"/>
      <c r="H10016" s="197">
        <v>14.7</v>
      </c>
      <c r="I10016" s="7" t="s">
        <v>16815</v>
      </c>
      <c r="L10016" s="198" t="s">
        <v>65</v>
      </c>
      <c r="M10016" s="199"/>
      <c r="N10016" s="199"/>
    </row>
    <row r="10017">
      <c r="A10017" s="193" t="s">
        <v>31499</v>
      </c>
      <c r="D10017" s="199"/>
      <c r="E10017" s="193"/>
      <c r="F10017" s="195" t="s">
        <v>31500</v>
      </c>
      <c r="G10017" s="196"/>
      <c r="H10017" s="197">
        <v>14.0</v>
      </c>
      <c r="I10017" s="7" t="s">
        <v>16815</v>
      </c>
      <c r="L10017" s="198" t="s">
        <v>65</v>
      </c>
      <c r="M10017" s="199"/>
      <c r="N10017" s="199"/>
    </row>
    <row r="10018">
      <c r="A10018" s="193" t="s">
        <v>31501</v>
      </c>
      <c r="D10018" s="199"/>
      <c r="E10018" s="193"/>
      <c r="F10018" s="195" t="s">
        <v>31502</v>
      </c>
      <c r="G10018" s="196"/>
      <c r="H10018" s="197">
        <v>18.24</v>
      </c>
      <c r="I10018" s="7" t="s">
        <v>16815</v>
      </c>
      <c r="L10018" s="198" t="s">
        <v>65</v>
      </c>
      <c r="M10018" s="199"/>
      <c r="N10018" s="199"/>
    </row>
    <row r="10019">
      <c r="A10019" s="193" t="s">
        <v>31503</v>
      </c>
      <c r="D10019" s="199"/>
      <c r="E10019" s="193"/>
      <c r="F10019" s="195" t="s">
        <v>31504</v>
      </c>
      <c r="G10019" s="196"/>
      <c r="H10019" s="197">
        <v>18.24</v>
      </c>
      <c r="I10019" s="7" t="s">
        <v>16815</v>
      </c>
      <c r="L10019" s="198" t="s">
        <v>65</v>
      </c>
      <c r="M10019" s="199"/>
      <c r="N10019" s="199"/>
    </row>
    <row r="10020">
      <c r="A10020" s="193" t="s">
        <v>31505</v>
      </c>
      <c r="D10020" s="199"/>
      <c r="E10020" s="193"/>
      <c r="F10020" s="195" t="s">
        <v>31506</v>
      </c>
      <c r="G10020" s="196"/>
      <c r="H10020" s="197">
        <v>17.7</v>
      </c>
      <c r="I10020" s="7" t="s">
        <v>16815</v>
      </c>
      <c r="L10020" s="198" t="s">
        <v>65</v>
      </c>
      <c r="M10020" s="199"/>
      <c r="N10020" s="199"/>
    </row>
    <row r="10021">
      <c r="A10021" s="193" t="s">
        <v>31507</v>
      </c>
      <c r="D10021" s="199"/>
      <c r="E10021" s="193"/>
      <c r="F10021" s="195" t="s">
        <v>31508</v>
      </c>
      <c r="G10021" s="196"/>
      <c r="H10021" s="197">
        <v>15.9</v>
      </c>
      <c r="I10021" s="7" t="s">
        <v>16815</v>
      </c>
      <c r="L10021" s="198" t="s">
        <v>65</v>
      </c>
      <c r="M10021" s="199"/>
      <c r="N10021" s="199"/>
    </row>
    <row r="10022">
      <c r="A10022" s="193" t="s">
        <v>31509</v>
      </c>
      <c r="D10022" s="199"/>
      <c r="E10022" s="193"/>
      <c r="F10022" s="195" t="s">
        <v>31510</v>
      </c>
      <c r="G10022" s="196"/>
      <c r="H10022" s="197">
        <v>21.99</v>
      </c>
      <c r="I10022" s="7" t="s">
        <v>16815</v>
      </c>
      <c r="L10022" s="198" t="s">
        <v>65</v>
      </c>
      <c r="M10022" s="199"/>
      <c r="N10022" s="199"/>
    </row>
    <row r="10023">
      <c r="A10023" s="193" t="s">
        <v>31511</v>
      </c>
      <c r="D10023" s="199"/>
      <c r="E10023" s="193"/>
      <c r="F10023" s="195" t="s">
        <v>31512</v>
      </c>
      <c r="G10023" s="196"/>
      <c r="H10023" s="197">
        <v>21.7</v>
      </c>
      <c r="I10023" s="7" t="s">
        <v>16815</v>
      </c>
      <c r="L10023" s="198" t="s">
        <v>65</v>
      </c>
      <c r="M10023" s="199"/>
      <c r="N10023" s="199"/>
    </row>
    <row r="10024">
      <c r="A10024" s="193" t="s">
        <v>31513</v>
      </c>
      <c r="D10024" s="199"/>
      <c r="E10024" s="193"/>
      <c r="F10024" s="195" t="s">
        <v>31514</v>
      </c>
      <c r="G10024" s="196"/>
      <c r="H10024" s="197">
        <v>17.43</v>
      </c>
      <c r="I10024" s="7" t="s">
        <v>16815</v>
      </c>
      <c r="L10024" s="198" t="s">
        <v>65</v>
      </c>
      <c r="M10024" s="199"/>
      <c r="N10024" s="199"/>
    </row>
    <row r="10025">
      <c r="A10025" s="193" t="s">
        <v>31515</v>
      </c>
      <c r="D10025" s="199"/>
      <c r="E10025" s="193"/>
      <c r="F10025" s="195" t="s">
        <v>31516</v>
      </c>
      <c r="G10025" s="196"/>
      <c r="H10025" s="197">
        <v>17.87</v>
      </c>
      <c r="I10025" s="7" t="s">
        <v>16815</v>
      </c>
      <c r="L10025" s="198" t="s">
        <v>65</v>
      </c>
      <c r="M10025" s="199"/>
      <c r="N10025" s="199"/>
    </row>
    <row r="10026">
      <c r="A10026" s="193" t="s">
        <v>31517</v>
      </c>
      <c r="D10026" s="199"/>
      <c r="E10026" s="193"/>
      <c r="F10026" s="195" t="s">
        <v>31518</v>
      </c>
      <c r="G10026" s="196"/>
      <c r="H10026" s="197">
        <v>23.2387</v>
      </c>
      <c r="I10026" s="7" t="s">
        <v>16815</v>
      </c>
      <c r="L10026" s="198" t="s">
        <v>65</v>
      </c>
      <c r="M10026" s="199"/>
      <c r="N10026" s="199"/>
    </row>
    <row r="10027">
      <c r="A10027" s="193" t="s">
        <v>31519</v>
      </c>
      <c r="D10027" s="199"/>
      <c r="E10027" s="193"/>
      <c r="F10027" s="195" t="s">
        <v>31520</v>
      </c>
      <c r="G10027" s="196"/>
      <c r="H10027" s="197">
        <v>23.05</v>
      </c>
      <c r="I10027" s="7" t="s">
        <v>16815</v>
      </c>
      <c r="L10027" s="198" t="s">
        <v>65</v>
      </c>
      <c r="M10027" s="199"/>
      <c r="N10027" s="199"/>
    </row>
    <row r="10028">
      <c r="A10028" s="193" t="s">
        <v>31521</v>
      </c>
      <c r="D10028" s="199"/>
      <c r="E10028" s="193"/>
      <c r="F10028" s="195" t="s">
        <v>31522</v>
      </c>
      <c r="G10028" s="196"/>
      <c r="H10028" s="197">
        <v>23.31</v>
      </c>
      <c r="I10028" s="7" t="s">
        <v>16815</v>
      </c>
      <c r="L10028" s="198" t="s">
        <v>65</v>
      </c>
      <c r="M10028" s="199"/>
      <c r="N10028" s="199"/>
    </row>
    <row r="10029">
      <c r="A10029" s="193" t="s">
        <v>31523</v>
      </c>
      <c r="D10029" s="199"/>
      <c r="E10029" s="193"/>
      <c r="F10029" s="195" t="s">
        <v>31524</v>
      </c>
      <c r="G10029" s="196"/>
      <c r="H10029" s="197">
        <v>22.86</v>
      </c>
      <c r="I10029" s="7" t="s">
        <v>16815</v>
      </c>
      <c r="L10029" s="198" t="s">
        <v>65</v>
      </c>
      <c r="M10029" s="199"/>
      <c r="N10029" s="199"/>
    </row>
    <row r="10030">
      <c r="A10030" s="193" t="s">
        <v>31525</v>
      </c>
      <c r="D10030" s="199"/>
      <c r="E10030" s="193"/>
      <c r="F10030" s="195" t="s">
        <v>31526</v>
      </c>
      <c r="G10030" s="196"/>
      <c r="H10030" s="197">
        <v>22.16</v>
      </c>
      <c r="I10030" s="7" t="s">
        <v>16815</v>
      </c>
      <c r="L10030" s="198" t="s">
        <v>65</v>
      </c>
      <c r="M10030" s="199"/>
      <c r="N10030" s="199"/>
    </row>
    <row r="10031">
      <c r="A10031" s="193" t="s">
        <v>31527</v>
      </c>
      <c r="D10031" s="199"/>
      <c r="E10031" s="193"/>
      <c r="F10031" s="195" t="s">
        <v>31528</v>
      </c>
      <c r="G10031" s="196"/>
      <c r="H10031" s="197">
        <v>21.89</v>
      </c>
      <c r="I10031" s="7" t="s">
        <v>16815</v>
      </c>
      <c r="L10031" s="198" t="s">
        <v>65</v>
      </c>
      <c r="M10031" s="199"/>
      <c r="N10031" s="199"/>
    </row>
    <row r="10032">
      <c r="A10032" s="193" t="s">
        <v>31529</v>
      </c>
      <c r="D10032" s="199"/>
      <c r="E10032" s="193"/>
      <c r="F10032" s="195" t="s">
        <v>31530</v>
      </c>
      <c r="G10032" s="196"/>
      <c r="H10032" s="197">
        <v>20.35</v>
      </c>
      <c r="I10032" s="7" t="s">
        <v>16815</v>
      </c>
      <c r="L10032" s="198" t="s">
        <v>65</v>
      </c>
      <c r="M10032" s="199"/>
      <c r="N10032" s="199"/>
    </row>
    <row r="10033">
      <c r="A10033" s="193" t="s">
        <v>31531</v>
      </c>
      <c r="D10033" s="199"/>
      <c r="E10033" s="193"/>
      <c r="F10033" s="195" t="s">
        <v>31532</v>
      </c>
      <c r="G10033" s="196"/>
      <c r="H10033" s="197">
        <v>22.19</v>
      </c>
      <c r="I10033" s="7" t="s">
        <v>16815</v>
      </c>
      <c r="L10033" s="198" t="s">
        <v>65</v>
      </c>
      <c r="M10033" s="199"/>
      <c r="N10033" s="199"/>
    </row>
    <row r="10034">
      <c r="A10034" s="193" t="s">
        <v>31533</v>
      </c>
      <c r="D10034" s="199"/>
      <c r="E10034" s="193"/>
      <c r="F10034" s="195" t="s">
        <v>31534</v>
      </c>
      <c r="G10034" s="196"/>
      <c r="H10034" s="197">
        <v>22.11</v>
      </c>
      <c r="I10034" s="7" t="s">
        <v>16815</v>
      </c>
      <c r="L10034" s="198" t="s">
        <v>65</v>
      </c>
      <c r="M10034" s="199"/>
      <c r="N10034" s="199"/>
    </row>
    <row r="10035">
      <c r="A10035" s="193" t="s">
        <v>31535</v>
      </c>
      <c r="D10035" s="199"/>
      <c r="E10035" s="193"/>
      <c r="F10035" s="195" t="s">
        <v>31536</v>
      </c>
      <c r="G10035" s="196"/>
      <c r="H10035" s="197">
        <v>22.47</v>
      </c>
      <c r="I10035" s="7" t="s">
        <v>16815</v>
      </c>
      <c r="L10035" s="198" t="s">
        <v>65</v>
      </c>
      <c r="M10035" s="199"/>
      <c r="N10035" s="199"/>
    </row>
    <row r="10036">
      <c r="A10036" s="193" t="s">
        <v>31537</v>
      </c>
      <c r="D10036" s="199"/>
      <c r="E10036" s="193"/>
      <c r="F10036" s="195" t="s">
        <v>31538</v>
      </c>
      <c r="G10036" s="196"/>
      <c r="H10036" s="197">
        <v>23.46</v>
      </c>
      <c r="I10036" s="7" t="s">
        <v>16815</v>
      </c>
      <c r="L10036" s="198" t="s">
        <v>65</v>
      </c>
      <c r="M10036" s="199"/>
      <c r="N10036" s="199"/>
    </row>
    <row r="10037">
      <c r="A10037" s="193" t="s">
        <v>31539</v>
      </c>
      <c r="D10037" s="199"/>
      <c r="E10037" s="193"/>
      <c r="F10037" s="195" t="s">
        <v>31540</v>
      </c>
      <c r="G10037" s="196"/>
      <c r="H10037" s="197">
        <v>20.8</v>
      </c>
      <c r="I10037" s="7" t="s">
        <v>16815</v>
      </c>
      <c r="L10037" s="198" t="s">
        <v>65</v>
      </c>
      <c r="M10037" s="199"/>
      <c r="N10037" s="199"/>
    </row>
    <row r="10038">
      <c r="A10038" s="193" t="s">
        <v>31541</v>
      </c>
      <c r="D10038" s="199"/>
      <c r="E10038" s="193"/>
      <c r="F10038" s="195" t="s">
        <v>31542</v>
      </c>
      <c r="G10038" s="196"/>
      <c r="H10038" s="197">
        <v>19.55</v>
      </c>
      <c r="I10038" s="7" t="s">
        <v>16815</v>
      </c>
      <c r="L10038" s="198" t="s">
        <v>65</v>
      </c>
      <c r="M10038" s="199"/>
      <c r="N10038" s="199"/>
    </row>
    <row r="10039">
      <c r="A10039" s="193" t="s">
        <v>31543</v>
      </c>
      <c r="D10039" s="199"/>
      <c r="E10039" s="193"/>
      <c r="F10039" s="195" t="s">
        <v>31544</v>
      </c>
      <c r="G10039" s="196"/>
      <c r="H10039" s="197">
        <v>19.625</v>
      </c>
      <c r="I10039" s="7" t="s">
        <v>16815</v>
      </c>
      <c r="L10039" s="198" t="s">
        <v>65</v>
      </c>
      <c r="M10039" s="199"/>
      <c r="N10039" s="199"/>
    </row>
    <row r="10040">
      <c r="A10040" s="193" t="s">
        <v>31545</v>
      </c>
      <c r="D10040" s="199"/>
      <c r="E10040" s="193"/>
      <c r="F10040" s="195" t="s">
        <v>31546</v>
      </c>
      <c r="G10040" s="196"/>
      <c r="H10040" s="197">
        <v>19.5107</v>
      </c>
      <c r="I10040" s="7" t="s">
        <v>16815</v>
      </c>
      <c r="L10040" s="198" t="s">
        <v>65</v>
      </c>
      <c r="M10040" s="199"/>
      <c r="N10040" s="199"/>
    </row>
    <row r="10041">
      <c r="A10041" s="193" t="s">
        <v>31547</v>
      </c>
      <c r="D10041" s="199"/>
      <c r="E10041" s="193"/>
      <c r="F10041" s="195" t="s">
        <v>31548</v>
      </c>
      <c r="G10041" s="196"/>
      <c r="H10041" s="197">
        <v>17.11</v>
      </c>
      <c r="I10041" s="7" t="s">
        <v>16815</v>
      </c>
      <c r="L10041" s="198" t="s">
        <v>65</v>
      </c>
      <c r="M10041" s="199"/>
      <c r="N10041" s="199"/>
    </row>
    <row r="10042">
      <c r="A10042" s="193" t="s">
        <v>31549</v>
      </c>
      <c r="D10042" s="199"/>
      <c r="E10042" s="193"/>
      <c r="F10042" s="195" t="s">
        <v>31550</v>
      </c>
      <c r="G10042" s="196"/>
      <c r="H10042" s="197">
        <v>15.97</v>
      </c>
      <c r="I10042" s="7" t="s">
        <v>16815</v>
      </c>
      <c r="L10042" s="198" t="s">
        <v>65</v>
      </c>
      <c r="M10042" s="199"/>
      <c r="N10042" s="199"/>
    </row>
    <row r="10043">
      <c r="A10043" s="193" t="s">
        <v>31551</v>
      </c>
      <c r="D10043" s="199"/>
      <c r="E10043" s="193"/>
      <c r="F10043" s="195" t="s">
        <v>31552</v>
      </c>
      <c r="G10043" s="196"/>
      <c r="H10043" s="197">
        <v>16.2954</v>
      </c>
      <c r="I10043" s="7" t="s">
        <v>16815</v>
      </c>
      <c r="L10043" s="198" t="s">
        <v>65</v>
      </c>
      <c r="M10043" s="199"/>
      <c r="N10043" s="199"/>
    </row>
    <row r="10044">
      <c r="A10044" s="193" t="s">
        <v>31553</v>
      </c>
      <c r="D10044" s="199"/>
      <c r="E10044" s="193"/>
      <c r="F10044" s="195" t="s">
        <v>31554</v>
      </c>
      <c r="G10044" s="196"/>
      <c r="H10044" s="197">
        <v>16.65</v>
      </c>
      <c r="I10044" s="7" t="s">
        <v>16815</v>
      </c>
      <c r="L10044" s="198" t="s">
        <v>65</v>
      </c>
      <c r="M10044" s="199"/>
      <c r="N10044" s="199"/>
    </row>
    <row r="10045">
      <c r="A10045" s="193" t="s">
        <v>31555</v>
      </c>
      <c r="D10045" s="199"/>
      <c r="E10045" s="193"/>
      <c r="F10045" s="195" t="s">
        <v>31556</v>
      </c>
      <c r="G10045" s="196"/>
      <c r="H10045" s="197">
        <v>16.23</v>
      </c>
      <c r="I10045" s="7" t="s">
        <v>16815</v>
      </c>
      <c r="L10045" s="198" t="s">
        <v>65</v>
      </c>
      <c r="M10045" s="199"/>
      <c r="N10045" s="199"/>
    </row>
    <row r="10046">
      <c r="A10046" s="193" t="s">
        <v>31557</v>
      </c>
      <c r="D10046" s="199"/>
      <c r="E10046" s="193"/>
      <c r="F10046" s="195" t="s">
        <v>31558</v>
      </c>
      <c r="G10046" s="196"/>
      <c r="H10046" s="197">
        <v>16.58</v>
      </c>
      <c r="I10046" s="7" t="s">
        <v>16815</v>
      </c>
      <c r="L10046" s="198" t="s">
        <v>65</v>
      </c>
      <c r="M10046" s="199"/>
      <c r="N10046" s="199"/>
    </row>
    <row r="10047">
      <c r="A10047" s="193" t="s">
        <v>31559</v>
      </c>
      <c r="D10047" s="199"/>
      <c r="E10047" s="193"/>
      <c r="F10047" s="195" t="s">
        <v>31560</v>
      </c>
      <c r="G10047" s="196"/>
      <c r="H10047" s="197">
        <v>16.9</v>
      </c>
      <c r="I10047" s="7" t="s">
        <v>16815</v>
      </c>
      <c r="L10047" s="198" t="s">
        <v>65</v>
      </c>
      <c r="M10047" s="199"/>
      <c r="N10047" s="199"/>
    </row>
    <row r="10048">
      <c r="A10048" s="193" t="s">
        <v>31561</v>
      </c>
      <c r="D10048" s="199"/>
      <c r="E10048" s="193"/>
      <c r="F10048" s="195" t="s">
        <v>31562</v>
      </c>
      <c r="G10048" s="196"/>
      <c r="H10048" s="197">
        <v>15.9</v>
      </c>
      <c r="I10048" s="7" t="s">
        <v>16815</v>
      </c>
      <c r="L10048" s="198" t="s">
        <v>65</v>
      </c>
      <c r="M10048" s="199"/>
      <c r="N10048" s="199"/>
    </row>
    <row r="10049">
      <c r="A10049" s="193" t="s">
        <v>31563</v>
      </c>
      <c r="D10049" s="194">
        <v>2023.0</v>
      </c>
      <c r="E10049" s="193"/>
      <c r="F10049" s="195" t="s">
        <v>31564</v>
      </c>
      <c r="G10049" s="196"/>
      <c r="H10049" s="197">
        <v>10.14</v>
      </c>
      <c r="I10049" s="7" t="s">
        <v>16815</v>
      </c>
      <c r="L10049" s="198" t="s">
        <v>65</v>
      </c>
      <c r="M10049" s="194"/>
      <c r="N10049" s="194"/>
    </row>
    <row r="10050">
      <c r="A10050" s="193" t="s">
        <v>31565</v>
      </c>
      <c r="D10050" s="199"/>
      <c r="E10050" s="193"/>
      <c r="F10050" s="195" t="s">
        <v>31566</v>
      </c>
      <c r="G10050" s="196"/>
      <c r="H10050" s="197">
        <v>19.81</v>
      </c>
      <c r="I10050" s="7" t="s">
        <v>16815</v>
      </c>
      <c r="L10050" s="198" t="s">
        <v>65</v>
      </c>
      <c r="M10050" s="199"/>
      <c r="N10050" s="199"/>
    </row>
    <row r="10051">
      <c r="A10051" s="193" t="s">
        <v>31567</v>
      </c>
      <c r="D10051" s="199"/>
      <c r="E10051" s="193"/>
      <c r="F10051" s="195" t="s">
        <v>31568</v>
      </c>
      <c r="G10051" s="196"/>
      <c r="H10051" s="197">
        <v>18.74</v>
      </c>
      <c r="I10051" s="7" t="s">
        <v>16815</v>
      </c>
      <c r="L10051" s="198" t="s">
        <v>65</v>
      </c>
      <c r="M10051" s="199"/>
      <c r="N10051" s="199"/>
    </row>
    <row r="10052">
      <c r="A10052" s="193" t="s">
        <v>31569</v>
      </c>
      <c r="D10052" s="199"/>
      <c r="E10052" s="193"/>
      <c r="F10052" s="195" t="s">
        <v>31570</v>
      </c>
      <c r="G10052" s="196"/>
      <c r="H10052" s="197">
        <v>21.63</v>
      </c>
      <c r="I10052" s="7" t="s">
        <v>16815</v>
      </c>
      <c r="L10052" s="198" t="s">
        <v>65</v>
      </c>
      <c r="M10052" s="199"/>
      <c r="N10052" s="199"/>
    </row>
    <row r="10053">
      <c r="A10053" s="193" t="s">
        <v>31571</v>
      </c>
      <c r="D10053" s="199"/>
      <c r="E10053" s="193"/>
      <c r="F10053" s="195" t="s">
        <v>31572</v>
      </c>
      <c r="G10053" s="196"/>
      <c r="H10053" s="197">
        <v>20.5</v>
      </c>
      <c r="I10053" s="7" t="s">
        <v>16815</v>
      </c>
      <c r="L10053" s="198" t="s">
        <v>65</v>
      </c>
      <c r="M10053" s="199"/>
      <c r="N10053" s="199"/>
    </row>
    <row r="10054">
      <c r="A10054" s="193" t="s">
        <v>31573</v>
      </c>
      <c r="D10054" s="199"/>
      <c r="E10054" s="193"/>
      <c r="F10054" s="195" t="s">
        <v>31574</v>
      </c>
      <c r="G10054" s="196"/>
      <c r="H10054" s="197">
        <v>22.25</v>
      </c>
      <c r="I10054" s="7" t="s">
        <v>16815</v>
      </c>
      <c r="L10054" s="198" t="s">
        <v>65</v>
      </c>
      <c r="M10054" s="199"/>
      <c r="N10054" s="199"/>
    </row>
    <row r="10055">
      <c r="A10055" s="193" t="s">
        <v>31575</v>
      </c>
      <c r="D10055" s="199"/>
      <c r="E10055" s="193"/>
      <c r="F10055" s="195" t="s">
        <v>31576</v>
      </c>
      <c r="G10055" s="196"/>
      <c r="H10055" s="197">
        <v>19.15</v>
      </c>
      <c r="I10055" s="7" t="s">
        <v>16815</v>
      </c>
      <c r="L10055" s="198" t="s">
        <v>65</v>
      </c>
      <c r="M10055" s="199"/>
      <c r="N10055" s="199"/>
    </row>
    <row r="10056">
      <c r="A10056" s="193" t="s">
        <v>31577</v>
      </c>
      <c r="D10056" s="199"/>
      <c r="E10056" s="193"/>
      <c r="F10056" s="195" t="s">
        <v>31578</v>
      </c>
      <c r="G10056" s="196"/>
      <c r="H10056" s="197">
        <v>16.205</v>
      </c>
      <c r="I10056" s="7" t="s">
        <v>16815</v>
      </c>
      <c r="L10056" s="198" t="s">
        <v>65</v>
      </c>
      <c r="M10056" s="199"/>
      <c r="N10056" s="199"/>
    </row>
    <row r="10057">
      <c r="A10057" s="193" t="s">
        <v>31579</v>
      </c>
      <c r="D10057" s="199"/>
      <c r="E10057" s="193"/>
      <c r="F10057" s="195" t="s">
        <v>31580</v>
      </c>
      <c r="G10057" s="196"/>
      <c r="H10057" s="197">
        <v>0.75</v>
      </c>
      <c r="I10057" s="7" t="s">
        <v>16815</v>
      </c>
      <c r="L10057" s="198" t="s">
        <v>65</v>
      </c>
      <c r="M10057" s="199"/>
      <c r="N10057" s="199"/>
    </row>
    <row r="10058">
      <c r="A10058" s="193" t="s">
        <v>31581</v>
      </c>
      <c r="D10058" s="199"/>
      <c r="E10058" s="193"/>
      <c r="F10058" s="195" t="s">
        <v>31582</v>
      </c>
      <c r="G10058" s="196"/>
      <c r="H10058" s="197">
        <v>22.98</v>
      </c>
      <c r="I10058" s="7" t="s">
        <v>16815</v>
      </c>
      <c r="L10058" s="198" t="s">
        <v>65</v>
      </c>
      <c r="M10058" s="199"/>
      <c r="N10058" s="199"/>
    </row>
    <row r="10059">
      <c r="A10059" s="193" t="s">
        <v>31583</v>
      </c>
      <c r="D10059" s="199"/>
      <c r="E10059" s="193"/>
      <c r="F10059" s="195" t="s">
        <v>31584</v>
      </c>
      <c r="G10059" s="196"/>
      <c r="H10059" s="197">
        <v>22.03</v>
      </c>
      <c r="I10059" s="7" t="s">
        <v>16815</v>
      </c>
      <c r="L10059" s="198" t="s">
        <v>65</v>
      </c>
      <c r="M10059" s="199"/>
      <c r="N10059" s="199"/>
    </row>
    <row r="10060">
      <c r="A10060" s="193" t="s">
        <v>31585</v>
      </c>
      <c r="D10060" s="199"/>
      <c r="E10060" s="193"/>
      <c r="F10060" s="195" t="s">
        <v>31586</v>
      </c>
      <c r="G10060" s="196"/>
      <c r="H10060" s="197">
        <v>19.37</v>
      </c>
      <c r="I10060" s="7" t="s">
        <v>16815</v>
      </c>
      <c r="L10060" s="198" t="s">
        <v>65</v>
      </c>
      <c r="M10060" s="199"/>
      <c r="N10060" s="199"/>
    </row>
    <row r="10061">
      <c r="A10061" s="193" t="s">
        <v>31587</v>
      </c>
      <c r="D10061" s="199"/>
      <c r="E10061" s="193"/>
      <c r="F10061" s="195" t="s">
        <v>31588</v>
      </c>
      <c r="G10061" s="196"/>
      <c r="H10061" s="197">
        <v>20.4</v>
      </c>
      <c r="I10061" s="7" t="s">
        <v>16815</v>
      </c>
      <c r="L10061" s="198" t="s">
        <v>65</v>
      </c>
      <c r="M10061" s="199"/>
      <c r="N10061" s="199"/>
    </row>
    <row r="10062">
      <c r="A10062" s="193" t="s">
        <v>31589</v>
      </c>
      <c r="D10062" s="199"/>
      <c r="E10062" s="193"/>
      <c r="F10062" s="195" t="s">
        <v>31590</v>
      </c>
      <c r="G10062" s="196"/>
      <c r="H10062" s="197">
        <v>22.45</v>
      </c>
      <c r="I10062" s="7" t="s">
        <v>16815</v>
      </c>
      <c r="L10062" s="198" t="s">
        <v>65</v>
      </c>
      <c r="M10062" s="199"/>
      <c r="N10062" s="199"/>
    </row>
    <row r="10063">
      <c r="A10063" s="193" t="s">
        <v>31591</v>
      </c>
      <c r="D10063" s="199"/>
      <c r="E10063" s="193"/>
      <c r="F10063" s="195" t="s">
        <v>31592</v>
      </c>
      <c r="G10063" s="196"/>
      <c r="H10063" s="197">
        <v>24.66</v>
      </c>
      <c r="I10063" s="7" t="s">
        <v>16815</v>
      </c>
      <c r="L10063" s="198" t="s">
        <v>65</v>
      </c>
      <c r="M10063" s="199"/>
      <c r="N10063" s="199"/>
    </row>
    <row r="10064">
      <c r="A10064" s="193" t="s">
        <v>31593</v>
      </c>
      <c r="D10064" s="199"/>
      <c r="E10064" s="193"/>
      <c r="F10064" s="195" t="s">
        <v>31594</v>
      </c>
      <c r="G10064" s="196"/>
      <c r="H10064" s="197">
        <v>23.4</v>
      </c>
      <c r="I10064" s="7" t="s">
        <v>16815</v>
      </c>
      <c r="L10064" s="198" t="s">
        <v>65</v>
      </c>
      <c r="M10064" s="199"/>
      <c r="N10064" s="199"/>
    </row>
    <row r="10065">
      <c r="A10065" s="193" t="s">
        <v>31595</v>
      </c>
      <c r="D10065" s="199"/>
      <c r="E10065" s="193"/>
      <c r="F10065" s="195" t="s">
        <v>31596</v>
      </c>
      <c r="G10065" s="196"/>
      <c r="H10065" s="197">
        <v>24.75</v>
      </c>
      <c r="I10065" s="7" t="s">
        <v>16815</v>
      </c>
      <c r="L10065" s="198" t="s">
        <v>65</v>
      </c>
      <c r="M10065" s="199"/>
      <c r="N10065" s="199"/>
    </row>
    <row r="10066">
      <c r="A10066" s="193" t="s">
        <v>31597</v>
      </c>
      <c r="D10066" s="199"/>
      <c r="E10066" s="193"/>
      <c r="F10066" s="195" t="s">
        <v>31598</v>
      </c>
      <c r="G10066" s="196"/>
      <c r="H10066" s="197">
        <v>22.1</v>
      </c>
      <c r="I10066" s="7" t="s">
        <v>16815</v>
      </c>
      <c r="L10066" s="198" t="s">
        <v>65</v>
      </c>
      <c r="M10066" s="199"/>
      <c r="N10066" s="199"/>
    </row>
    <row r="10067">
      <c r="A10067" s="193" t="s">
        <v>31599</v>
      </c>
      <c r="D10067" s="199"/>
      <c r="E10067" s="193"/>
      <c r="F10067" s="195" t="s">
        <v>31600</v>
      </c>
      <c r="G10067" s="196"/>
      <c r="H10067" s="197">
        <v>16.14</v>
      </c>
      <c r="I10067" s="7" t="s">
        <v>16815</v>
      </c>
      <c r="L10067" s="198" t="s">
        <v>65</v>
      </c>
      <c r="M10067" s="199"/>
      <c r="N10067" s="199"/>
    </row>
    <row r="10068">
      <c r="A10068" s="193" t="s">
        <v>31601</v>
      </c>
      <c r="D10068" s="199"/>
      <c r="E10068" s="193"/>
      <c r="F10068" s="195" t="s">
        <v>31602</v>
      </c>
      <c r="G10068" s="196"/>
      <c r="H10068" s="197">
        <v>50.903</v>
      </c>
      <c r="I10068" s="7" t="s">
        <v>16815</v>
      </c>
      <c r="L10068" s="198" t="s">
        <v>65</v>
      </c>
      <c r="M10068" s="199"/>
      <c r="N10068" s="199"/>
    </row>
    <row r="10069">
      <c r="A10069" s="193" t="s">
        <v>31603</v>
      </c>
      <c r="D10069" s="199"/>
      <c r="E10069" s="193"/>
      <c r="F10069" s="195" t="s">
        <v>31604</v>
      </c>
      <c r="G10069" s="196"/>
      <c r="H10069" s="197">
        <v>23.39</v>
      </c>
      <c r="I10069" s="7" t="s">
        <v>16815</v>
      </c>
      <c r="L10069" s="198" t="s">
        <v>65</v>
      </c>
      <c r="M10069" s="199"/>
      <c r="N10069" s="199"/>
    </row>
    <row r="10070">
      <c r="A10070" s="193" t="s">
        <v>31605</v>
      </c>
      <c r="D10070" s="199"/>
      <c r="E10070" s="193"/>
      <c r="F10070" s="195" t="s">
        <v>31606</v>
      </c>
      <c r="G10070" s="196"/>
      <c r="H10070" s="197">
        <v>19.58</v>
      </c>
      <c r="I10070" s="7" t="s">
        <v>16815</v>
      </c>
      <c r="L10070" s="198" t="s">
        <v>65</v>
      </c>
      <c r="M10070" s="199"/>
      <c r="N10070" s="199"/>
    </row>
    <row r="10071">
      <c r="A10071" s="193" t="s">
        <v>31607</v>
      </c>
      <c r="D10071" s="199"/>
      <c r="E10071" s="193"/>
      <c r="F10071" s="195" t="s">
        <v>31608</v>
      </c>
      <c r="G10071" s="196"/>
      <c r="H10071" s="197">
        <v>24.5501</v>
      </c>
      <c r="I10071" s="7" t="s">
        <v>16815</v>
      </c>
      <c r="L10071" s="198" t="s">
        <v>65</v>
      </c>
      <c r="M10071" s="199"/>
      <c r="N10071" s="199"/>
    </row>
    <row r="10072">
      <c r="A10072" s="193" t="s">
        <v>31609</v>
      </c>
      <c r="D10072" s="199"/>
      <c r="E10072" s="193"/>
      <c r="F10072" s="195" t="s">
        <v>31610</v>
      </c>
      <c r="G10072" s="196"/>
      <c r="H10072" s="197">
        <v>24.65</v>
      </c>
      <c r="I10072" s="7" t="s">
        <v>16815</v>
      </c>
      <c r="L10072" s="198" t="s">
        <v>65</v>
      </c>
      <c r="M10072" s="199"/>
      <c r="N10072" s="199"/>
    </row>
    <row r="10073">
      <c r="A10073" s="193" t="s">
        <v>31611</v>
      </c>
      <c r="D10073" s="199"/>
      <c r="E10073" s="193"/>
      <c r="F10073" s="195" t="s">
        <v>31612</v>
      </c>
      <c r="G10073" s="196"/>
      <c r="H10073" s="197">
        <v>18.8</v>
      </c>
      <c r="I10073" s="7" t="s">
        <v>16815</v>
      </c>
      <c r="L10073" s="198" t="s">
        <v>65</v>
      </c>
      <c r="M10073" s="199"/>
      <c r="N10073" s="199"/>
    </row>
    <row r="10074">
      <c r="A10074" s="193" t="s">
        <v>31613</v>
      </c>
      <c r="D10074" s="199"/>
      <c r="E10074" s="193"/>
      <c r="F10074" s="195" t="s">
        <v>31614</v>
      </c>
      <c r="G10074" s="196"/>
      <c r="H10074" s="197">
        <v>24.48</v>
      </c>
      <c r="I10074" s="7" t="s">
        <v>16815</v>
      </c>
      <c r="L10074" s="198" t="s">
        <v>65</v>
      </c>
      <c r="M10074" s="199"/>
      <c r="N10074" s="199"/>
    </row>
    <row r="10075">
      <c r="A10075" s="193" t="s">
        <v>31615</v>
      </c>
      <c r="D10075" s="199"/>
      <c r="E10075" s="193"/>
      <c r="F10075" s="195" t="s">
        <v>31616</v>
      </c>
      <c r="G10075" s="196"/>
      <c r="H10075" s="197">
        <v>20.24</v>
      </c>
      <c r="I10075" s="7" t="s">
        <v>16815</v>
      </c>
      <c r="L10075" s="198" t="s">
        <v>65</v>
      </c>
      <c r="M10075" s="199"/>
      <c r="N10075" s="199"/>
    </row>
    <row r="10076">
      <c r="A10076" s="193" t="s">
        <v>31617</v>
      </c>
      <c r="D10076" s="199"/>
      <c r="E10076" s="193"/>
      <c r="F10076" s="195" t="s">
        <v>31618</v>
      </c>
      <c r="G10076" s="196"/>
      <c r="H10076" s="197">
        <v>22.72</v>
      </c>
      <c r="I10076" s="7" t="s">
        <v>16815</v>
      </c>
      <c r="L10076" s="198" t="s">
        <v>65</v>
      </c>
      <c r="M10076" s="199"/>
      <c r="N10076" s="199"/>
    </row>
    <row r="10077">
      <c r="A10077" s="193" t="s">
        <v>31619</v>
      </c>
      <c r="D10077" s="199"/>
      <c r="E10077" s="193"/>
      <c r="F10077" s="195" t="s">
        <v>31620</v>
      </c>
      <c r="G10077" s="196"/>
      <c r="H10077" s="197">
        <v>18.7</v>
      </c>
      <c r="I10077" s="7" t="s">
        <v>16815</v>
      </c>
      <c r="L10077" s="198" t="s">
        <v>65</v>
      </c>
      <c r="M10077" s="199"/>
      <c r="N10077" s="199"/>
    </row>
    <row r="10078">
      <c r="A10078" s="193" t="s">
        <v>31621</v>
      </c>
      <c r="D10078" s="199"/>
      <c r="E10078" s="193"/>
      <c r="F10078" s="195" t="s">
        <v>31622</v>
      </c>
      <c r="G10078" s="196"/>
      <c r="H10078" s="197">
        <v>24.49</v>
      </c>
      <c r="I10078" s="7" t="s">
        <v>16815</v>
      </c>
      <c r="L10078" s="198" t="s">
        <v>65</v>
      </c>
      <c r="M10078" s="199"/>
      <c r="N10078" s="199"/>
    </row>
    <row r="10079">
      <c r="A10079" s="193" t="s">
        <v>31623</v>
      </c>
      <c r="D10079" s="199"/>
      <c r="E10079" s="193"/>
      <c r="F10079" s="195" t="s">
        <v>31624</v>
      </c>
      <c r="G10079" s="196"/>
      <c r="H10079" s="197">
        <v>18.795</v>
      </c>
      <c r="I10079" s="7" t="s">
        <v>16815</v>
      </c>
      <c r="L10079" s="198" t="s">
        <v>65</v>
      </c>
      <c r="M10079" s="199"/>
      <c r="N10079" s="199"/>
    </row>
    <row r="10080">
      <c r="A10080" s="193" t="s">
        <v>31625</v>
      </c>
      <c r="D10080" s="199"/>
      <c r="E10080" s="193"/>
      <c r="F10080" s="195" t="s">
        <v>31626</v>
      </c>
      <c r="G10080" s="196"/>
      <c r="H10080" s="197">
        <v>24.49</v>
      </c>
      <c r="I10080" s="7" t="s">
        <v>16815</v>
      </c>
      <c r="L10080" s="198" t="s">
        <v>65</v>
      </c>
      <c r="M10080" s="199"/>
      <c r="N10080" s="199"/>
    </row>
    <row r="10081">
      <c r="A10081" s="193" t="s">
        <v>31627</v>
      </c>
      <c r="D10081" s="199"/>
      <c r="E10081" s="193"/>
      <c r="F10081" s="195" t="s">
        <v>31628</v>
      </c>
      <c r="G10081" s="196"/>
      <c r="H10081" s="197">
        <v>23.46</v>
      </c>
      <c r="I10081" s="7" t="s">
        <v>16815</v>
      </c>
      <c r="L10081" s="198" t="s">
        <v>65</v>
      </c>
      <c r="M10081" s="199"/>
      <c r="N10081" s="199"/>
    </row>
    <row r="10082">
      <c r="A10082" s="193" t="s">
        <v>31629</v>
      </c>
      <c r="D10082" s="199"/>
      <c r="E10082" s="193"/>
      <c r="F10082" s="195" t="s">
        <v>31630</v>
      </c>
      <c r="G10082" s="196"/>
      <c r="H10082" s="197">
        <v>23.63</v>
      </c>
      <c r="I10082" s="7" t="s">
        <v>16815</v>
      </c>
      <c r="L10082" s="198" t="s">
        <v>65</v>
      </c>
      <c r="M10082" s="199"/>
      <c r="N10082" s="199"/>
    </row>
    <row r="10083">
      <c r="A10083" s="193" t="s">
        <v>31631</v>
      </c>
      <c r="D10083" s="199"/>
      <c r="E10083" s="193"/>
      <c r="F10083" s="195" t="s">
        <v>31632</v>
      </c>
      <c r="G10083" s="196"/>
      <c r="H10083" s="197">
        <v>23.05</v>
      </c>
      <c r="I10083" s="7" t="s">
        <v>16815</v>
      </c>
      <c r="L10083" s="198" t="s">
        <v>65</v>
      </c>
      <c r="M10083" s="199"/>
      <c r="N10083" s="199"/>
    </row>
    <row r="10084">
      <c r="A10084" s="193" t="s">
        <v>31633</v>
      </c>
      <c r="D10084" s="199"/>
      <c r="E10084" s="193"/>
      <c r="F10084" s="195" t="s">
        <v>31634</v>
      </c>
      <c r="G10084" s="196"/>
      <c r="H10084" s="197">
        <v>16.88</v>
      </c>
      <c r="I10084" s="7" t="s">
        <v>16815</v>
      </c>
      <c r="L10084" s="198" t="s">
        <v>65</v>
      </c>
      <c r="M10084" s="199"/>
      <c r="N10084" s="199"/>
    </row>
    <row r="10085">
      <c r="A10085" s="193" t="s">
        <v>31635</v>
      </c>
      <c r="D10085" s="199"/>
      <c r="E10085" s="193"/>
      <c r="F10085" s="195" t="s">
        <v>31636</v>
      </c>
      <c r="G10085" s="196"/>
      <c r="H10085" s="197">
        <v>20.5501</v>
      </c>
      <c r="I10085" s="7" t="s">
        <v>16815</v>
      </c>
      <c r="L10085" s="198" t="s">
        <v>65</v>
      </c>
      <c r="M10085" s="199"/>
      <c r="N10085" s="199"/>
    </row>
    <row r="10086">
      <c r="A10086" s="193" t="s">
        <v>31637</v>
      </c>
      <c r="D10086" s="199"/>
      <c r="E10086" s="193"/>
      <c r="F10086" s="195" t="s">
        <v>31638</v>
      </c>
      <c r="G10086" s="196"/>
      <c r="H10086" s="197">
        <v>19.0501</v>
      </c>
      <c r="I10086" s="7" t="s">
        <v>16815</v>
      </c>
      <c r="L10086" s="198" t="s">
        <v>65</v>
      </c>
      <c r="M10086" s="199"/>
      <c r="N10086" s="199"/>
    </row>
    <row r="10087">
      <c r="A10087" s="193" t="s">
        <v>31639</v>
      </c>
      <c r="D10087" s="199"/>
      <c r="E10087" s="193"/>
      <c r="F10087" s="195" t="s">
        <v>31640</v>
      </c>
      <c r="G10087" s="196"/>
      <c r="H10087" s="197">
        <v>22.0</v>
      </c>
      <c r="I10087" s="7" t="s">
        <v>16815</v>
      </c>
      <c r="L10087" s="198" t="s">
        <v>65</v>
      </c>
      <c r="M10087" s="199"/>
      <c r="N10087" s="199"/>
    </row>
    <row r="10088">
      <c r="A10088" s="193" t="s">
        <v>31641</v>
      </c>
      <c r="D10088" s="199"/>
      <c r="E10088" s="193"/>
      <c r="F10088" s="195" t="s">
        <v>31642</v>
      </c>
      <c r="G10088" s="196"/>
      <c r="H10088" s="197">
        <v>17.9</v>
      </c>
      <c r="I10088" s="7" t="s">
        <v>16815</v>
      </c>
      <c r="L10088" s="198" t="s">
        <v>65</v>
      </c>
      <c r="M10088" s="199"/>
      <c r="N10088" s="199"/>
    </row>
    <row r="10089">
      <c r="A10089" s="193" t="s">
        <v>31643</v>
      </c>
      <c r="D10089" s="199"/>
      <c r="E10089" s="193"/>
      <c r="F10089" s="195" t="s">
        <v>31644</v>
      </c>
      <c r="G10089" s="196"/>
      <c r="H10089" s="197">
        <v>24.78</v>
      </c>
      <c r="I10089" s="7" t="s">
        <v>16815</v>
      </c>
      <c r="L10089" s="198" t="s">
        <v>65</v>
      </c>
      <c r="M10089" s="199"/>
      <c r="N10089" s="199"/>
    </row>
    <row r="10090">
      <c r="A10090" s="193" t="s">
        <v>31645</v>
      </c>
      <c r="D10090" s="199"/>
      <c r="E10090" s="193"/>
      <c r="F10090" s="195" t="s">
        <v>31646</v>
      </c>
      <c r="G10090" s="196"/>
      <c r="H10090" s="197">
        <v>23.11</v>
      </c>
      <c r="I10090" s="7" t="s">
        <v>16815</v>
      </c>
      <c r="L10090" s="198" t="s">
        <v>65</v>
      </c>
      <c r="M10090" s="199"/>
      <c r="N10090" s="199"/>
    </row>
    <row r="10091">
      <c r="A10091" s="193" t="s">
        <v>31647</v>
      </c>
      <c r="D10091" s="199"/>
      <c r="E10091" s="193"/>
      <c r="F10091" s="195" t="s">
        <v>31648</v>
      </c>
      <c r="G10091" s="196"/>
      <c r="H10091" s="197">
        <v>22.2</v>
      </c>
      <c r="I10091" s="7" t="s">
        <v>16815</v>
      </c>
      <c r="L10091" s="198" t="s">
        <v>65</v>
      </c>
      <c r="M10091" s="199"/>
      <c r="N10091" s="199"/>
    </row>
    <row r="10092">
      <c r="A10092" s="193" t="s">
        <v>31649</v>
      </c>
      <c r="D10092" s="199"/>
      <c r="E10092" s="193"/>
      <c r="F10092" s="195" t="s">
        <v>31650</v>
      </c>
      <c r="G10092" s="196"/>
      <c r="H10092" s="197">
        <v>54.5301</v>
      </c>
      <c r="I10092" s="7" t="s">
        <v>16815</v>
      </c>
      <c r="L10092" s="198" t="s">
        <v>65</v>
      </c>
      <c r="M10092" s="199"/>
      <c r="N10092" s="199"/>
    </row>
    <row r="10093">
      <c r="A10093" s="193" t="s">
        <v>31651</v>
      </c>
      <c r="D10093" s="199"/>
      <c r="E10093" s="193"/>
      <c r="F10093" s="195" t="s">
        <v>31652</v>
      </c>
      <c r="G10093" s="196"/>
      <c r="H10093" s="197">
        <v>23.29</v>
      </c>
      <c r="I10093" s="7" t="s">
        <v>16815</v>
      </c>
      <c r="L10093" s="198" t="s">
        <v>65</v>
      </c>
      <c r="M10093" s="199"/>
      <c r="N10093" s="199"/>
    </row>
    <row r="10094">
      <c r="A10094" s="193" t="s">
        <v>31653</v>
      </c>
      <c r="D10094" s="199"/>
      <c r="E10094" s="193"/>
      <c r="F10094" s="195" t="s">
        <v>31654</v>
      </c>
      <c r="G10094" s="196"/>
      <c r="H10094" s="197">
        <v>25.21</v>
      </c>
      <c r="I10094" s="7" t="s">
        <v>16815</v>
      </c>
      <c r="L10094" s="198" t="s">
        <v>65</v>
      </c>
      <c r="M10094" s="199"/>
      <c r="N10094" s="199"/>
    </row>
    <row r="10095">
      <c r="A10095" s="193" t="s">
        <v>31655</v>
      </c>
      <c r="D10095" s="199"/>
      <c r="E10095" s="193"/>
      <c r="F10095" s="195" t="s">
        <v>31656</v>
      </c>
      <c r="G10095" s="196"/>
      <c r="H10095" s="197">
        <v>23.47</v>
      </c>
      <c r="I10095" s="7" t="s">
        <v>16815</v>
      </c>
      <c r="L10095" s="198" t="s">
        <v>65</v>
      </c>
      <c r="M10095" s="199"/>
      <c r="N10095" s="199"/>
    </row>
    <row r="10096">
      <c r="A10096" s="193" t="s">
        <v>31657</v>
      </c>
      <c r="D10096" s="199"/>
      <c r="E10096" s="193"/>
      <c r="F10096" s="195" t="s">
        <v>31658</v>
      </c>
      <c r="G10096" s="196"/>
      <c r="H10096" s="197">
        <v>23.5501</v>
      </c>
      <c r="I10096" s="7" t="s">
        <v>16815</v>
      </c>
      <c r="L10096" s="198" t="s">
        <v>65</v>
      </c>
      <c r="M10096" s="199"/>
      <c r="N10096" s="199"/>
    </row>
    <row r="10097">
      <c r="A10097" s="193" t="s">
        <v>31659</v>
      </c>
      <c r="D10097" s="199"/>
      <c r="E10097" s="193"/>
      <c r="F10097" s="195" t="s">
        <v>31660</v>
      </c>
      <c r="G10097" s="196"/>
      <c r="H10097" s="197">
        <v>23.92</v>
      </c>
      <c r="I10097" s="7" t="s">
        <v>16815</v>
      </c>
      <c r="L10097" s="198" t="s">
        <v>65</v>
      </c>
      <c r="M10097" s="199"/>
      <c r="N10097" s="199"/>
    </row>
    <row r="10098">
      <c r="A10098" s="193" t="s">
        <v>31661</v>
      </c>
      <c r="D10098" s="199"/>
      <c r="E10098" s="193"/>
      <c r="F10098" s="195" t="s">
        <v>31662</v>
      </c>
      <c r="G10098" s="196"/>
      <c r="H10098" s="197">
        <v>25.18</v>
      </c>
      <c r="I10098" s="7" t="s">
        <v>16815</v>
      </c>
      <c r="L10098" s="198" t="s">
        <v>65</v>
      </c>
      <c r="M10098" s="199"/>
      <c r="N10098" s="199"/>
    </row>
    <row r="10099">
      <c r="A10099" s="193" t="s">
        <v>31663</v>
      </c>
      <c r="D10099" s="199"/>
      <c r="E10099" s="193"/>
      <c r="F10099" s="195" t="s">
        <v>31664</v>
      </c>
      <c r="G10099" s="196"/>
      <c r="H10099" s="197">
        <v>22.92</v>
      </c>
      <c r="I10099" s="7" t="s">
        <v>16815</v>
      </c>
      <c r="L10099" s="198" t="s">
        <v>65</v>
      </c>
      <c r="M10099" s="199"/>
      <c r="N10099" s="199"/>
    </row>
    <row r="10100">
      <c r="A10100" s="193" t="s">
        <v>31665</v>
      </c>
      <c r="D10100" s="199"/>
      <c r="E10100" s="193"/>
      <c r="F10100" s="195" t="s">
        <v>31666</v>
      </c>
      <c r="G10100" s="196"/>
      <c r="H10100" s="197">
        <v>15.58</v>
      </c>
      <c r="I10100" s="7" t="s">
        <v>16815</v>
      </c>
      <c r="L10100" s="198" t="s">
        <v>65</v>
      </c>
      <c r="M10100" s="199"/>
      <c r="N10100" s="199"/>
    </row>
    <row r="10101">
      <c r="A10101" s="193" t="s">
        <v>31667</v>
      </c>
      <c r="D10101" s="199"/>
      <c r="E10101" s="193"/>
      <c r="F10101" s="195" t="s">
        <v>31668</v>
      </c>
      <c r="G10101" s="196"/>
      <c r="H10101" s="197">
        <v>18.95</v>
      </c>
      <c r="I10101" s="7" t="s">
        <v>16815</v>
      </c>
      <c r="L10101" s="198" t="s">
        <v>65</v>
      </c>
      <c r="M10101" s="199"/>
      <c r="N10101" s="199"/>
    </row>
    <row r="10102">
      <c r="A10102" s="193" t="s">
        <v>31669</v>
      </c>
      <c r="D10102" s="199"/>
      <c r="E10102" s="193"/>
      <c r="F10102" s="195" t="s">
        <v>31670</v>
      </c>
      <c r="G10102" s="196"/>
      <c r="H10102" s="197">
        <v>18.04</v>
      </c>
      <c r="I10102" s="7" t="s">
        <v>16815</v>
      </c>
      <c r="L10102" s="198" t="s">
        <v>65</v>
      </c>
      <c r="M10102" s="199"/>
      <c r="N10102" s="199"/>
    </row>
    <row r="10103">
      <c r="A10103" s="193" t="s">
        <v>31671</v>
      </c>
      <c r="D10103" s="199"/>
      <c r="E10103" s="193"/>
      <c r="F10103" s="195" t="s">
        <v>31672</v>
      </c>
      <c r="G10103" s="196"/>
      <c r="H10103" s="197">
        <v>15.36</v>
      </c>
      <c r="I10103" s="7" t="s">
        <v>16815</v>
      </c>
      <c r="L10103" s="198" t="s">
        <v>65</v>
      </c>
      <c r="M10103" s="199"/>
      <c r="N10103" s="199"/>
    </row>
    <row r="10104">
      <c r="A10104" s="193" t="s">
        <v>31673</v>
      </c>
      <c r="D10104" s="199"/>
      <c r="E10104" s="193"/>
      <c r="F10104" s="195" t="s">
        <v>31674</v>
      </c>
      <c r="G10104" s="196"/>
      <c r="H10104" s="197">
        <v>13.43</v>
      </c>
      <c r="I10104" s="7" t="s">
        <v>16815</v>
      </c>
      <c r="L10104" s="198" t="s">
        <v>65</v>
      </c>
      <c r="M10104" s="199"/>
      <c r="N10104" s="199"/>
    </row>
    <row r="10105">
      <c r="A10105" s="193" t="s">
        <v>31675</v>
      </c>
      <c r="D10105" s="199"/>
      <c r="E10105" s="193"/>
      <c r="F10105" s="195" t="s">
        <v>31676</v>
      </c>
      <c r="G10105" s="196"/>
      <c r="H10105" s="197">
        <v>21.25</v>
      </c>
      <c r="I10105" s="7" t="s">
        <v>16815</v>
      </c>
      <c r="L10105" s="198" t="s">
        <v>65</v>
      </c>
      <c r="M10105" s="199"/>
      <c r="N10105" s="199"/>
    </row>
    <row r="10106">
      <c r="A10106" s="193" t="s">
        <v>31677</v>
      </c>
      <c r="D10106" s="199"/>
      <c r="E10106" s="193"/>
      <c r="F10106" s="195" t="s">
        <v>31678</v>
      </c>
      <c r="G10106" s="196"/>
      <c r="H10106" s="197">
        <v>21.27</v>
      </c>
      <c r="I10106" s="7" t="s">
        <v>16815</v>
      </c>
      <c r="L10106" s="198" t="s">
        <v>65</v>
      </c>
      <c r="M10106" s="199"/>
      <c r="N10106" s="199"/>
    </row>
    <row r="10107">
      <c r="A10107" s="193" t="s">
        <v>31679</v>
      </c>
      <c r="D10107" s="199"/>
      <c r="E10107" s="193"/>
      <c r="F10107" s="195" t="s">
        <v>31680</v>
      </c>
      <c r="G10107" s="196"/>
      <c r="H10107" s="197">
        <v>18.84</v>
      </c>
      <c r="I10107" s="7" t="s">
        <v>16815</v>
      </c>
      <c r="L10107" s="198" t="s">
        <v>65</v>
      </c>
      <c r="M10107" s="199"/>
      <c r="N10107" s="199"/>
    </row>
    <row r="10108">
      <c r="A10108" s="193" t="s">
        <v>31681</v>
      </c>
      <c r="D10108" s="199"/>
      <c r="E10108" s="193"/>
      <c r="F10108" s="195" t="s">
        <v>31682</v>
      </c>
      <c r="G10108" s="196"/>
      <c r="H10108" s="197">
        <v>24.82</v>
      </c>
      <c r="I10108" s="7" t="s">
        <v>16815</v>
      </c>
      <c r="L10108" s="198" t="s">
        <v>65</v>
      </c>
      <c r="M10108" s="199"/>
      <c r="N10108" s="199"/>
    </row>
    <row r="10109">
      <c r="A10109" s="193" t="s">
        <v>31683</v>
      </c>
      <c r="D10109" s="199"/>
      <c r="E10109" s="193"/>
      <c r="F10109" s="195" t="s">
        <v>31684</v>
      </c>
      <c r="G10109" s="196"/>
      <c r="H10109" s="197">
        <v>24.25</v>
      </c>
      <c r="I10109" s="7" t="s">
        <v>16815</v>
      </c>
      <c r="L10109" s="198" t="s">
        <v>65</v>
      </c>
      <c r="M10109" s="199"/>
      <c r="N10109" s="199"/>
    </row>
    <row r="10110">
      <c r="A10110" s="193" t="s">
        <v>31685</v>
      </c>
      <c r="D10110" s="199"/>
      <c r="E10110" s="193"/>
      <c r="F10110" s="195" t="s">
        <v>31686</v>
      </c>
      <c r="G10110" s="196"/>
      <c r="H10110" s="197">
        <v>25.66</v>
      </c>
      <c r="I10110" s="7" t="s">
        <v>16815</v>
      </c>
      <c r="L10110" s="198" t="s">
        <v>65</v>
      </c>
      <c r="M10110" s="199"/>
      <c r="N10110" s="199"/>
    </row>
    <row r="10111">
      <c r="A10111" s="193" t="s">
        <v>31687</v>
      </c>
      <c r="D10111" s="199"/>
      <c r="E10111" s="193"/>
      <c r="F10111" s="195" t="s">
        <v>31688</v>
      </c>
      <c r="G10111" s="196"/>
      <c r="H10111" s="197">
        <v>25.5</v>
      </c>
      <c r="I10111" s="7" t="s">
        <v>16815</v>
      </c>
      <c r="L10111" s="198" t="s">
        <v>65</v>
      </c>
      <c r="M10111" s="199"/>
      <c r="N10111" s="199"/>
    </row>
    <row r="10112">
      <c r="A10112" s="193" t="s">
        <v>31689</v>
      </c>
      <c r="D10112" s="199"/>
      <c r="E10112" s="193"/>
      <c r="F10112" s="195" t="s">
        <v>31690</v>
      </c>
      <c r="G10112" s="196"/>
      <c r="H10112" s="197">
        <v>25.6</v>
      </c>
      <c r="I10112" s="7" t="s">
        <v>16815</v>
      </c>
      <c r="L10112" s="198" t="s">
        <v>65</v>
      </c>
      <c r="M10112" s="199"/>
      <c r="N10112" s="199"/>
    </row>
    <row r="10113">
      <c r="A10113" s="193" t="s">
        <v>31691</v>
      </c>
      <c r="D10113" s="199"/>
      <c r="E10113" s="193"/>
      <c r="F10113" s="195" t="s">
        <v>31692</v>
      </c>
      <c r="G10113" s="196"/>
      <c r="H10113" s="197">
        <v>24.555</v>
      </c>
      <c r="I10113" s="7" t="s">
        <v>16815</v>
      </c>
      <c r="L10113" s="198" t="s">
        <v>65</v>
      </c>
      <c r="M10113" s="199"/>
      <c r="N10113" s="199"/>
    </row>
    <row r="10114">
      <c r="A10114" s="193" t="s">
        <v>31693</v>
      </c>
      <c r="D10114" s="199"/>
      <c r="E10114" s="193"/>
      <c r="F10114" s="195" t="s">
        <v>31694</v>
      </c>
      <c r="G10114" s="196"/>
      <c r="H10114" s="197">
        <v>23.6396</v>
      </c>
      <c r="I10114" s="7" t="s">
        <v>16815</v>
      </c>
      <c r="L10114" s="198" t="s">
        <v>65</v>
      </c>
      <c r="M10114" s="199"/>
      <c r="N10114" s="199"/>
    </row>
    <row r="10115">
      <c r="A10115" s="193" t="s">
        <v>31695</v>
      </c>
      <c r="D10115" s="199"/>
      <c r="E10115" s="193"/>
      <c r="F10115" s="195" t="s">
        <v>31696</v>
      </c>
      <c r="G10115" s="196"/>
      <c r="H10115" s="197">
        <v>22.34</v>
      </c>
      <c r="I10115" s="7" t="s">
        <v>16815</v>
      </c>
      <c r="L10115" s="198" t="s">
        <v>65</v>
      </c>
      <c r="M10115" s="199"/>
      <c r="N10115" s="199"/>
    </row>
    <row r="10116">
      <c r="A10116" s="193" t="s">
        <v>31697</v>
      </c>
      <c r="D10116" s="199"/>
      <c r="E10116" s="193"/>
      <c r="F10116" s="195" t="s">
        <v>31698</v>
      </c>
      <c r="G10116" s="196"/>
      <c r="H10116" s="197">
        <v>18.93</v>
      </c>
      <c r="I10116" s="7" t="s">
        <v>16815</v>
      </c>
      <c r="L10116" s="198" t="s">
        <v>65</v>
      </c>
      <c r="M10116" s="199"/>
      <c r="N10116" s="199"/>
    </row>
    <row r="10117">
      <c r="A10117" s="193" t="s">
        <v>31699</v>
      </c>
      <c r="D10117" s="199"/>
      <c r="E10117" s="193"/>
      <c r="F10117" s="195" t="s">
        <v>31700</v>
      </c>
      <c r="G10117" s="196"/>
      <c r="H10117" s="197">
        <v>14.9227</v>
      </c>
      <c r="I10117" s="7" t="s">
        <v>16815</v>
      </c>
      <c r="L10117" s="198" t="s">
        <v>65</v>
      </c>
      <c r="M10117" s="199"/>
      <c r="N10117" s="199"/>
    </row>
    <row r="10118">
      <c r="A10118" s="193" t="s">
        <v>31701</v>
      </c>
      <c r="D10118" s="199"/>
      <c r="E10118" s="193"/>
      <c r="F10118" s="195" t="s">
        <v>31702</v>
      </c>
      <c r="G10118" s="196"/>
      <c r="H10118" s="197">
        <v>20.74</v>
      </c>
      <c r="I10118" s="7" t="s">
        <v>16815</v>
      </c>
      <c r="L10118" s="198" t="s">
        <v>65</v>
      </c>
      <c r="M10118" s="199"/>
      <c r="N10118" s="199"/>
    </row>
    <row r="10119">
      <c r="A10119" s="193" t="s">
        <v>31703</v>
      </c>
      <c r="D10119" s="199"/>
      <c r="E10119" s="193"/>
      <c r="F10119" s="195" t="s">
        <v>31704</v>
      </c>
      <c r="G10119" s="196"/>
      <c r="H10119" s="197">
        <v>19.81</v>
      </c>
      <c r="I10119" s="7" t="s">
        <v>16815</v>
      </c>
      <c r="L10119" s="198" t="s">
        <v>65</v>
      </c>
      <c r="M10119" s="199"/>
      <c r="N10119" s="199"/>
    </row>
    <row r="10120">
      <c r="A10120" s="193" t="s">
        <v>31705</v>
      </c>
      <c r="D10120" s="199"/>
      <c r="E10120" s="193"/>
      <c r="F10120" s="195" t="s">
        <v>31706</v>
      </c>
      <c r="G10120" s="196"/>
      <c r="H10120" s="197">
        <v>20.13</v>
      </c>
      <c r="I10120" s="7" t="s">
        <v>16815</v>
      </c>
      <c r="L10120" s="198" t="s">
        <v>65</v>
      </c>
      <c r="M10120" s="199"/>
      <c r="N10120" s="199"/>
    </row>
    <row r="10121">
      <c r="A10121" s="193" t="s">
        <v>31707</v>
      </c>
      <c r="D10121" s="199"/>
      <c r="E10121" s="193"/>
      <c r="F10121" s="195" t="s">
        <v>31708</v>
      </c>
      <c r="G10121" s="196"/>
      <c r="H10121" s="197">
        <v>42.1</v>
      </c>
      <c r="I10121" s="7" t="s">
        <v>16815</v>
      </c>
      <c r="L10121" s="198" t="s">
        <v>65</v>
      </c>
      <c r="M10121" s="199"/>
      <c r="N10121" s="199"/>
    </row>
    <row r="10122">
      <c r="A10122" s="193" t="s">
        <v>31709</v>
      </c>
      <c r="D10122" s="199"/>
      <c r="E10122" s="193"/>
      <c r="F10122" s="195" t="s">
        <v>31710</v>
      </c>
      <c r="G10122" s="196"/>
      <c r="H10122" s="197">
        <v>21.8501</v>
      </c>
      <c r="I10122" s="7" t="s">
        <v>16815</v>
      </c>
      <c r="L10122" s="198" t="s">
        <v>65</v>
      </c>
      <c r="M10122" s="199"/>
      <c r="N10122" s="199"/>
    </row>
    <row r="10123">
      <c r="A10123" s="193" t="s">
        <v>31711</v>
      </c>
      <c r="D10123" s="199"/>
      <c r="E10123" s="193"/>
      <c r="F10123" s="195" t="s">
        <v>31712</v>
      </c>
      <c r="G10123" s="196"/>
      <c r="H10123" s="197">
        <v>786.99</v>
      </c>
      <c r="I10123" s="7" t="s">
        <v>16815</v>
      </c>
      <c r="L10123" s="198" t="s">
        <v>65</v>
      </c>
      <c r="M10123" s="199"/>
      <c r="N10123" s="199"/>
    </row>
    <row r="10124">
      <c r="A10124" s="193" t="s">
        <v>31713</v>
      </c>
      <c r="D10124" s="199"/>
      <c r="E10124" s="193"/>
      <c r="F10124" s="195" t="s">
        <v>31714</v>
      </c>
      <c r="G10124" s="196"/>
      <c r="H10124" s="197">
        <v>19.91</v>
      </c>
      <c r="I10124" s="7" t="s">
        <v>16815</v>
      </c>
      <c r="L10124" s="198" t="s">
        <v>65</v>
      </c>
      <c r="M10124" s="199"/>
      <c r="N10124" s="199"/>
    </row>
    <row r="10125">
      <c r="A10125" s="193" t="s">
        <v>31715</v>
      </c>
      <c r="D10125" s="199"/>
      <c r="E10125" s="193"/>
      <c r="F10125" s="195" t="s">
        <v>31716</v>
      </c>
      <c r="G10125" s="196"/>
      <c r="H10125" s="197">
        <v>21.6</v>
      </c>
      <c r="I10125" s="7" t="s">
        <v>16815</v>
      </c>
      <c r="L10125" s="198" t="s">
        <v>65</v>
      </c>
      <c r="M10125" s="199"/>
      <c r="N10125" s="199"/>
    </row>
    <row r="10126">
      <c r="A10126" s="193" t="s">
        <v>31717</v>
      </c>
      <c r="D10126" s="199"/>
      <c r="E10126" s="193"/>
      <c r="F10126" s="195" t="s">
        <v>31718</v>
      </c>
      <c r="G10126" s="196"/>
      <c r="H10126" s="197">
        <v>15.45</v>
      </c>
      <c r="I10126" s="7" t="s">
        <v>16815</v>
      </c>
      <c r="L10126" s="198" t="s">
        <v>65</v>
      </c>
      <c r="M10126" s="199"/>
      <c r="N10126" s="199"/>
    </row>
    <row r="10127">
      <c r="A10127" s="193" t="s">
        <v>31719</v>
      </c>
      <c r="D10127" s="199"/>
      <c r="E10127" s="193"/>
      <c r="F10127" s="195" t="s">
        <v>31720</v>
      </c>
      <c r="G10127" s="196"/>
      <c r="H10127" s="197">
        <v>16.0901</v>
      </c>
      <c r="I10127" s="7" t="s">
        <v>16815</v>
      </c>
      <c r="L10127" s="198" t="s">
        <v>65</v>
      </c>
      <c r="M10127" s="199"/>
      <c r="N10127" s="199"/>
    </row>
    <row r="10128">
      <c r="A10128" s="193" t="s">
        <v>31721</v>
      </c>
      <c r="D10128" s="199"/>
      <c r="E10128" s="193"/>
      <c r="F10128" s="195" t="s">
        <v>31722</v>
      </c>
      <c r="G10128" s="196"/>
      <c r="H10128" s="197">
        <v>18.4</v>
      </c>
      <c r="I10128" s="7" t="s">
        <v>16815</v>
      </c>
      <c r="L10128" s="198" t="s">
        <v>65</v>
      </c>
      <c r="M10128" s="199"/>
      <c r="N10128" s="199"/>
    </row>
    <row r="10129">
      <c r="A10129" s="193" t="s">
        <v>31723</v>
      </c>
      <c r="D10129" s="199"/>
      <c r="E10129" s="193"/>
      <c r="F10129" s="195" t="s">
        <v>31724</v>
      </c>
      <c r="G10129" s="196"/>
      <c r="H10129" s="197">
        <v>14.93</v>
      </c>
      <c r="I10129" s="7" t="s">
        <v>16815</v>
      </c>
      <c r="L10129" s="198" t="s">
        <v>65</v>
      </c>
      <c r="M10129" s="199"/>
      <c r="N10129" s="199"/>
    </row>
    <row r="10130">
      <c r="A10130" s="193" t="s">
        <v>31725</v>
      </c>
      <c r="D10130" s="199"/>
      <c r="E10130" s="193"/>
      <c r="F10130" s="195" t="s">
        <v>31726</v>
      </c>
      <c r="G10130" s="196"/>
      <c r="H10130" s="197">
        <v>14.4</v>
      </c>
      <c r="I10130" s="7" t="s">
        <v>16815</v>
      </c>
      <c r="L10130" s="198" t="s">
        <v>65</v>
      </c>
      <c r="M10130" s="199"/>
      <c r="N10130" s="199"/>
    </row>
    <row r="10131">
      <c r="A10131" s="193" t="s">
        <v>31727</v>
      </c>
      <c r="D10131" s="199"/>
      <c r="E10131" s="193"/>
      <c r="F10131" s="195" t="s">
        <v>31728</v>
      </c>
      <c r="G10131" s="196"/>
      <c r="H10131" s="197">
        <v>14.67</v>
      </c>
      <c r="I10131" s="7" t="s">
        <v>16815</v>
      </c>
      <c r="L10131" s="198" t="s">
        <v>65</v>
      </c>
      <c r="M10131" s="199"/>
      <c r="N10131" s="199"/>
    </row>
    <row r="10132">
      <c r="A10132" s="193" t="s">
        <v>31729</v>
      </c>
      <c r="D10132" s="199"/>
      <c r="E10132" s="193"/>
      <c r="F10132" s="195" t="s">
        <v>31730</v>
      </c>
      <c r="G10132" s="196"/>
      <c r="H10132" s="197">
        <v>12.33</v>
      </c>
      <c r="I10132" s="7" t="s">
        <v>16815</v>
      </c>
      <c r="L10132" s="198" t="s">
        <v>65</v>
      </c>
      <c r="M10132" s="199"/>
      <c r="N10132" s="199"/>
    </row>
    <row r="10133">
      <c r="A10133" s="193" t="s">
        <v>31731</v>
      </c>
      <c r="D10133" s="199"/>
      <c r="E10133" s="193"/>
      <c r="F10133" s="195" t="s">
        <v>31732</v>
      </c>
      <c r="G10133" s="196"/>
      <c r="H10133" s="197">
        <v>20.67</v>
      </c>
      <c r="I10133" s="7" t="s">
        <v>16815</v>
      </c>
      <c r="L10133" s="198" t="s">
        <v>65</v>
      </c>
      <c r="M10133" s="199"/>
      <c r="N10133" s="199"/>
    </row>
    <row r="10134">
      <c r="A10134" s="193" t="s">
        <v>31733</v>
      </c>
      <c r="D10134" s="199"/>
      <c r="E10134" s="193"/>
      <c r="F10134" s="195" t="s">
        <v>31734</v>
      </c>
      <c r="G10134" s="196"/>
      <c r="H10134" s="197">
        <v>16.0</v>
      </c>
      <c r="I10134" s="7" t="s">
        <v>16815</v>
      </c>
      <c r="L10134" s="198" t="s">
        <v>65</v>
      </c>
      <c r="M10134" s="199"/>
      <c r="N10134" s="199"/>
    </row>
    <row r="10135">
      <c r="A10135" s="193" t="s">
        <v>31735</v>
      </c>
      <c r="D10135" s="199"/>
      <c r="E10135" s="193"/>
      <c r="F10135" s="195" t="s">
        <v>31736</v>
      </c>
      <c r="G10135" s="196"/>
      <c r="H10135" s="197">
        <v>17.02</v>
      </c>
      <c r="I10135" s="7" t="s">
        <v>16815</v>
      </c>
      <c r="L10135" s="198" t="s">
        <v>65</v>
      </c>
      <c r="M10135" s="199"/>
      <c r="N10135" s="199"/>
    </row>
    <row r="10136">
      <c r="A10136" s="193" t="s">
        <v>31737</v>
      </c>
      <c r="D10136" s="199"/>
      <c r="E10136" s="193"/>
      <c r="F10136" s="195" t="s">
        <v>31738</v>
      </c>
      <c r="G10136" s="196"/>
      <c r="H10136" s="197">
        <v>20.5</v>
      </c>
      <c r="I10136" s="7" t="s">
        <v>16815</v>
      </c>
      <c r="L10136" s="198" t="s">
        <v>65</v>
      </c>
      <c r="M10136" s="199"/>
      <c r="N10136" s="199"/>
    </row>
    <row r="10137">
      <c r="A10137" s="193" t="s">
        <v>31739</v>
      </c>
      <c r="D10137" s="199"/>
      <c r="E10137" s="193"/>
      <c r="F10137" s="195" t="s">
        <v>31740</v>
      </c>
      <c r="G10137" s="196"/>
      <c r="H10137" s="197">
        <v>26.9</v>
      </c>
      <c r="I10137" s="7" t="s">
        <v>16815</v>
      </c>
      <c r="L10137" s="198" t="s">
        <v>65</v>
      </c>
      <c r="M10137" s="199"/>
      <c r="N10137" s="199"/>
    </row>
    <row r="10138">
      <c r="A10138" s="193" t="s">
        <v>31741</v>
      </c>
      <c r="D10138" s="199"/>
      <c r="E10138" s="193"/>
      <c r="F10138" s="195" t="s">
        <v>31742</v>
      </c>
      <c r="G10138" s="196"/>
      <c r="H10138" s="197">
        <v>18.56</v>
      </c>
      <c r="I10138" s="7" t="s">
        <v>16815</v>
      </c>
      <c r="L10138" s="198" t="s">
        <v>65</v>
      </c>
      <c r="M10138" s="199"/>
      <c r="N10138" s="199"/>
    </row>
    <row r="10139">
      <c r="A10139" s="193" t="s">
        <v>31743</v>
      </c>
      <c r="D10139" s="199"/>
      <c r="E10139" s="193"/>
      <c r="F10139" s="195" t="s">
        <v>31744</v>
      </c>
      <c r="G10139" s="196"/>
      <c r="H10139" s="197">
        <v>16.945</v>
      </c>
      <c r="I10139" s="7" t="s">
        <v>16815</v>
      </c>
      <c r="L10139" s="198" t="s">
        <v>65</v>
      </c>
      <c r="M10139" s="199"/>
      <c r="N10139" s="199"/>
    </row>
    <row r="10140">
      <c r="A10140" s="193" t="s">
        <v>31745</v>
      </c>
      <c r="D10140" s="199"/>
      <c r="E10140" s="193"/>
      <c r="F10140" s="195" t="s">
        <v>31746</v>
      </c>
      <c r="G10140" s="196"/>
      <c r="H10140" s="197">
        <v>16.43</v>
      </c>
      <c r="I10140" s="7" t="s">
        <v>16815</v>
      </c>
      <c r="L10140" s="198" t="s">
        <v>65</v>
      </c>
      <c r="M10140" s="199"/>
      <c r="N10140" s="199"/>
    </row>
    <row r="10141">
      <c r="A10141" s="193" t="s">
        <v>31747</v>
      </c>
      <c r="D10141" s="199"/>
      <c r="E10141" s="193"/>
      <c r="F10141" s="195" t="s">
        <v>31748</v>
      </c>
      <c r="G10141" s="196"/>
      <c r="H10141" s="197">
        <v>1099.9648</v>
      </c>
      <c r="I10141" s="7" t="s">
        <v>16815</v>
      </c>
      <c r="L10141" s="198" t="s">
        <v>65</v>
      </c>
      <c r="M10141" s="199"/>
      <c r="N10141" s="199"/>
    </row>
    <row r="10142">
      <c r="A10142" s="193" t="s">
        <v>31749</v>
      </c>
      <c r="D10142" s="199"/>
      <c r="E10142" s="193"/>
      <c r="F10142" s="195" t="s">
        <v>31750</v>
      </c>
      <c r="G10142" s="196"/>
      <c r="H10142" s="197">
        <v>25.27</v>
      </c>
      <c r="I10142" s="7" t="s">
        <v>16815</v>
      </c>
      <c r="L10142" s="198" t="s">
        <v>65</v>
      </c>
      <c r="M10142" s="199"/>
      <c r="N10142" s="199"/>
    </row>
    <row r="10143">
      <c r="A10143" s="193" t="s">
        <v>31751</v>
      </c>
      <c r="D10143" s="199"/>
      <c r="E10143" s="193"/>
      <c r="F10143" s="195" t="s">
        <v>31752</v>
      </c>
      <c r="G10143" s="196"/>
      <c r="H10143" s="197">
        <v>22.41</v>
      </c>
      <c r="I10143" s="7" t="s">
        <v>16815</v>
      </c>
      <c r="L10143" s="198" t="s">
        <v>65</v>
      </c>
      <c r="M10143" s="199"/>
      <c r="N10143" s="199"/>
    </row>
    <row r="10144">
      <c r="A10144" s="193" t="s">
        <v>31753</v>
      </c>
      <c r="D10144" s="199"/>
      <c r="E10144" s="193"/>
      <c r="F10144" s="195" t="s">
        <v>31754</v>
      </c>
      <c r="G10144" s="196"/>
      <c r="H10144" s="197">
        <v>18.57</v>
      </c>
      <c r="I10144" s="7" t="s">
        <v>16815</v>
      </c>
      <c r="L10144" s="198" t="s">
        <v>65</v>
      </c>
      <c r="M10144" s="199"/>
      <c r="N10144" s="199"/>
    </row>
    <row r="10145">
      <c r="A10145" s="193" t="s">
        <v>31755</v>
      </c>
      <c r="D10145" s="199"/>
      <c r="E10145" s="193"/>
      <c r="F10145" s="195" t="s">
        <v>31756</v>
      </c>
      <c r="G10145" s="196"/>
      <c r="H10145" s="197">
        <v>8.54</v>
      </c>
      <c r="I10145" s="7" t="s">
        <v>16815</v>
      </c>
      <c r="L10145" s="198" t="s">
        <v>65</v>
      </c>
      <c r="M10145" s="199"/>
      <c r="N10145" s="199"/>
    </row>
    <row r="10146">
      <c r="A10146" s="193" t="s">
        <v>31757</v>
      </c>
      <c r="D10146" s="199"/>
      <c r="E10146" s="193"/>
      <c r="F10146" s="195" t="s">
        <v>31758</v>
      </c>
      <c r="G10146" s="196"/>
      <c r="H10146" s="197">
        <v>22.78</v>
      </c>
      <c r="I10146" s="7" t="s">
        <v>16815</v>
      </c>
      <c r="L10146" s="198" t="s">
        <v>65</v>
      </c>
      <c r="M10146" s="199"/>
      <c r="N10146" s="199"/>
    </row>
    <row r="10147">
      <c r="A10147" s="193" t="s">
        <v>31759</v>
      </c>
      <c r="D10147" s="199"/>
      <c r="E10147" s="193"/>
      <c r="F10147" s="195" t="s">
        <v>31760</v>
      </c>
      <c r="G10147" s="196"/>
      <c r="H10147" s="197">
        <v>20.5147</v>
      </c>
      <c r="I10147" s="7" t="s">
        <v>16815</v>
      </c>
      <c r="L10147" s="198" t="s">
        <v>65</v>
      </c>
      <c r="M10147" s="199"/>
      <c r="N10147" s="199"/>
    </row>
    <row r="10148">
      <c r="A10148" s="193" t="s">
        <v>31761</v>
      </c>
      <c r="D10148" s="199"/>
      <c r="E10148" s="193"/>
      <c r="F10148" s="195" t="s">
        <v>31762</v>
      </c>
      <c r="G10148" s="196"/>
      <c r="H10148" s="197">
        <v>19.09</v>
      </c>
      <c r="I10148" s="7" t="s">
        <v>16815</v>
      </c>
      <c r="L10148" s="198" t="s">
        <v>65</v>
      </c>
      <c r="M10148" s="199"/>
      <c r="N10148" s="199"/>
    </row>
    <row r="10149">
      <c r="A10149" s="193" t="s">
        <v>31763</v>
      </c>
      <c r="D10149" s="199"/>
      <c r="E10149" s="193"/>
      <c r="F10149" s="195" t="s">
        <v>31764</v>
      </c>
      <c r="G10149" s="196"/>
      <c r="H10149" s="197">
        <v>16.97</v>
      </c>
      <c r="I10149" s="7" t="s">
        <v>16815</v>
      </c>
      <c r="L10149" s="198" t="s">
        <v>65</v>
      </c>
      <c r="M10149" s="199"/>
      <c r="N10149" s="199"/>
    </row>
    <row r="10150">
      <c r="A10150" s="193" t="s">
        <v>31765</v>
      </c>
      <c r="D10150" s="199"/>
      <c r="E10150" s="193"/>
      <c r="F10150" s="195" t="s">
        <v>31766</v>
      </c>
      <c r="G10150" s="196"/>
      <c r="H10150" s="197">
        <v>375.0</v>
      </c>
      <c r="I10150" s="7" t="s">
        <v>16815</v>
      </c>
      <c r="L10150" s="198" t="s">
        <v>65</v>
      </c>
      <c r="M10150" s="199"/>
      <c r="N10150" s="199"/>
    </row>
    <row r="10151">
      <c r="A10151" s="193" t="s">
        <v>31767</v>
      </c>
      <c r="D10151" s="199"/>
      <c r="E10151" s="193"/>
      <c r="F10151" s="195" t="s">
        <v>31768</v>
      </c>
      <c r="G10151" s="196"/>
      <c r="H10151" s="197">
        <v>24.45</v>
      </c>
      <c r="I10151" s="7" t="s">
        <v>16815</v>
      </c>
      <c r="L10151" s="198" t="s">
        <v>65</v>
      </c>
      <c r="M10151" s="199"/>
      <c r="N10151" s="199"/>
    </row>
    <row r="10152">
      <c r="A10152" s="193" t="s">
        <v>31769</v>
      </c>
      <c r="D10152" s="199"/>
      <c r="E10152" s="193"/>
      <c r="F10152" s="195" t="s">
        <v>31770</v>
      </c>
      <c r="G10152" s="196"/>
      <c r="H10152" s="197">
        <v>0.92</v>
      </c>
      <c r="I10152" s="7" t="s">
        <v>16815</v>
      </c>
      <c r="L10152" s="198" t="s">
        <v>65</v>
      </c>
      <c r="M10152" s="199"/>
      <c r="N10152" s="199"/>
    </row>
    <row r="10153">
      <c r="A10153" s="216"/>
      <c r="B10153" s="217"/>
      <c r="C10153" s="217"/>
      <c r="D10153" s="218"/>
      <c r="E10153" s="216"/>
      <c r="F10153" s="219"/>
      <c r="G10153" s="220"/>
      <c r="H10153" s="217"/>
      <c r="I10153" s="7" t="s">
        <v>16815</v>
      </c>
      <c r="J10153" s="217"/>
      <c r="K10153" s="217"/>
      <c r="L10153" s="221"/>
      <c r="M10153" s="218"/>
      <c r="N10153" s="218"/>
    </row>
    <row r="10154">
      <c r="A10154" s="193" t="s">
        <v>30931</v>
      </c>
      <c r="D10154" s="199"/>
      <c r="E10154" s="193"/>
      <c r="F10154" s="195" t="s">
        <v>30932</v>
      </c>
      <c r="G10154" s="222"/>
      <c r="H10154" s="197">
        <v>19.6599</v>
      </c>
      <c r="I10154" s="193" t="s">
        <v>16815</v>
      </c>
      <c r="L10154" s="201" t="s">
        <v>16835</v>
      </c>
      <c r="M10154" s="199"/>
      <c r="N10154" s="199"/>
    </row>
    <row r="10155">
      <c r="A10155" s="193" t="s">
        <v>30933</v>
      </c>
      <c r="D10155" s="199"/>
      <c r="E10155" s="193"/>
      <c r="F10155" s="195" t="s">
        <v>31771</v>
      </c>
      <c r="G10155" s="222"/>
      <c r="H10155" s="197">
        <v>23.85</v>
      </c>
      <c r="I10155" s="193" t="s">
        <v>16815</v>
      </c>
      <c r="L10155" s="201" t="s">
        <v>16835</v>
      </c>
      <c r="M10155" s="199"/>
      <c r="N10155" s="199"/>
    </row>
    <row r="10156">
      <c r="A10156" s="193" t="s">
        <v>30935</v>
      </c>
      <c r="D10156" s="199"/>
      <c r="E10156" s="193"/>
      <c r="F10156" s="195" t="s">
        <v>30936</v>
      </c>
      <c r="G10156" s="222"/>
      <c r="H10156" s="197">
        <v>16.62</v>
      </c>
      <c r="I10156" s="193" t="s">
        <v>16815</v>
      </c>
      <c r="L10156" s="201" t="s">
        <v>16835</v>
      </c>
      <c r="M10156" s="199"/>
      <c r="N10156" s="199"/>
    </row>
    <row r="10157">
      <c r="A10157" s="193" t="s">
        <v>30937</v>
      </c>
      <c r="D10157" s="199"/>
      <c r="E10157" s="193"/>
      <c r="F10157" s="195" t="s">
        <v>30938</v>
      </c>
      <c r="G10157" s="222"/>
      <c r="H10157" s="197">
        <v>16.42</v>
      </c>
      <c r="I10157" s="193" t="s">
        <v>16815</v>
      </c>
      <c r="L10157" s="201" t="s">
        <v>16835</v>
      </c>
      <c r="M10157" s="199"/>
      <c r="N10157" s="199"/>
    </row>
    <row r="10158">
      <c r="A10158" s="193" t="s">
        <v>30939</v>
      </c>
      <c r="D10158" s="199"/>
      <c r="E10158" s="193"/>
      <c r="F10158" s="195" t="s">
        <v>31772</v>
      </c>
      <c r="G10158" s="222"/>
      <c r="H10158" s="197">
        <v>17.66</v>
      </c>
      <c r="I10158" s="193" t="s">
        <v>16815</v>
      </c>
      <c r="L10158" s="201" t="s">
        <v>16835</v>
      </c>
      <c r="M10158" s="199"/>
      <c r="N10158" s="199"/>
    </row>
    <row r="10159">
      <c r="A10159" s="193" t="s">
        <v>30943</v>
      </c>
      <c r="D10159" s="199"/>
      <c r="E10159" s="193"/>
      <c r="F10159" s="195" t="s">
        <v>30944</v>
      </c>
      <c r="G10159" s="222"/>
      <c r="H10159" s="197">
        <v>21.14</v>
      </c>
      <c r="I10159" s="193" t="s">
        <v>16815</v>
      </c>
      <c r="L10159" s="201" t="s">
        <v>16835</v>
      </c>
      <c r="M10159" s="199"/>
      <c r="N10159" s="199"/>
    </row>
    <row r="10160">
      <c r="A10160" s="193" t="s">
        <v>30945</v>
      </c>
      <c r="D10160" s="199"/>
      <c r="E10160" s="193"/>
      <c r="F10160" s="195" t="s">
        <v>30946</v>
      </c>
      <c r="G10160" s="222"/>
      <c r="H10160" s="197">
        <v>22.5</v>
      </c>
      <c r="I10160" s="193" t="s">
        <v>16815</v>
      </c>
      <c r="L10160" s="201" t="s">
        <v>16835</v>
      </c>
      <c r="M10160" s="199"/>
      <c r="N10160" s="199"/>
    </row>
    <row r="10161">
      <c r="A10161" s="193" t="s">
        <v>30947</v>
      </c>
      <c r="D10161" s="199"/>
      <c r="E10161" s="193"/>
      <c r="F10161" s="195" t="s">
        <v>30948</v>
      </c>
      <c r="G10161" s="222"/>
      <c r="H10161" s="197">
        <v>19.7101</v>
      </c>
      <c r="I10161" s="193" t="s">
        <v>16815</v>
      </c>
      <c r="L10161" s="201" t="s">
        <v>16835</v>
      </c>
      <c r="M10161" s="199"/>
      <c r="N10161" s="199"/>
    </row>
    <row r="10162">
      <c r="A10162" s="193" t="s">
        <v>30949</v>
      </c>
      <c r="D10162" s="199"/>
      <c r="E10162" s="193"/>
      <c r="F10162" s="195" t="s">
        <v>31773</v>
      </c>
      <c r="G10162" s="222"/>
      <c r="H10162" s="197">
        <v>17.37</v>
      </c>
      <c r="I10162" s="193" t="s">
        <v>16815</v>
      </c>
      <c r="L10162" s="201" t="s">
        <v>16835</v>
      </c>
      <c r="M10162" s="199"/>
      <c r="N10162" s="199"/>
    </row>
    <row r="10163">
      <c r="A10163" s="193" t="s">
        <v>30951</v>
      </c>
      <c r="D10163" s="199"/>
      <c r="E10163" s="193"/>
      <c r="F10163" s="195" t="s">
        <v>30952</v>
      </c>
      <c r="G10163" s="222"/>
      <c r="H10163" s="197">
        <v>21.92</v>
      </c>
      <c r="I10163" s="193" t="s">
        <v>16815</v>
      </c>
      <c r="L10163" s="201" t="s">
        <v>16835</v>
      </c>
      <c r="M10163" s="199"/>
      <c r="N10163" s="199"/>
    </row>
    <row r="10164">
      <c r="A10164" s="193" t="s">
        <v>30953</v>
      </c>
      <c r="D10164" s="199"/>
      <c r="E10164" s="193"/>
      <c r="F10164" s="195" t="s">
        <v>30954</v>
      </c>
      <c r="G10164" s="222"/>
      <c r="H10164" s="197">
        <v>23.81</v>
      </c>
      <c r="I10164" s="193" t="s">
        <v>16815</v>
      </c>
      <c r="L10164" s="201" t="s">
        <v>16835</v>
      </c>
      <c r="M10164" s="199"/>
      <c r="N10164" s="199"/>
    </row>
    <row r="10165">
      <c r="A10165" s="193" t="s">
        <v>30955</v>
      </c>
      <c r="D10165" s="199"/>
      <c r="E10165" s="193"/>
      <c r="F10165" s="195" t="s">
        <v>30956</v>
      </c>
      <c r="G10165" s="222"/>
      <c r="H10165" s="197">
        <v>24.945</v>
      </c>
      <c r="I10165" s="193" t="s">
        <v>16815</v>
      </c>
      <c r="L10165" s="201" t="s">
        <v>16835</v>
      </c>
      <c r="M10165" s="199"/>
      <c r="N10165" s="199"/>
    </row>
    <row r="10166">
      <c r="A10166" s="193" t="s">
        <v>30957</v>
      </c>
      <c r="D10166" s="199"/>
      <c r="E10166" s="193"/>
      <c r="F10166" s="195" t="s">
        <v>30958</v>
      </c>
      <c r="G10166" s="222"/>
      <c r="H10166" s="197">
        <v>22.0899</v>
      </c>
      <c r="I10166" s="193" t="s">
        <v>16815</v>
      </c>
      <c r="L10166" s="201" t="s">
        <v>16835</v>
      </c>
      <c r="M10166" s="199"/>
      <c r="N10166" s="199"/>
    </row>
    <row r="10167">
      <c r="A10167" s="193" t="s">
        <v>30959</v>
      </c>
      <c r="D10167" s="199"/>
      <c r="E10167" s="193"/>
      <c r="F10167" s="195" t="s">
        <v>30960</v>
      </c>
      <c r="G10167" s="222"/>
      <c r="H10167" s="197">
        <v>21.58</v>
      </c>
      <c r="I10167" s="193" t="s">
        <v>16815</v>
      </c>
      <c r="L10167" s="201" t="s">
        <v>16835</v>
      </c>
      <c r="M10167" s="199"/>
      <c r="N10167" s="199"/>
    </row>
    <row r="10168">
      <c r="A10168" s="193" t="s">
        <v>30961</v>
      </c>
      <c r="D10168" s="199"/>
      <c r="E10168" s="193"/>
      <c r="F10168" s="195" t="s">
        <v>30962</v>
      </c>
      <c r="G10168" s="222"/>
      <c r="H10168" s="197">
        <v>19.75</v>
      </c>
      <c r="I10168" s="193" t="s">
        <v>16815</v>
      </c>
      <c r="L10168" s="201" t="s">
        <v>16835</v>
      </c>
      <c r="M10168" s="199"/>
      <c r="N10168" s="199"/>
    </row>
    <row r="10169">
      <c r="A10169" s="193" t="s">
        <v>30963</v>
      </c>
      <c r="D10169" s="199"/>
      <c r="E10169" s="193"/>
      <c r="F10169" s="195" t="s">
        <v>30964</v>
      </c>
      <c r="G10169" s="222"/>
      <c r="H10169" s="197">
        <v>18.22</v>
      </c>
      <c r="I10169" s="193" t="s">
        <v>16815</v>
      </c>
      <c r="L10169" s="201" t="s">
        <v>16835</v>
      </c>
      <c r="M10169" s="199"/>
      <c r="N10169" s="199"/>
    </row>
    <row r="10170">
      <c r="A10170" s="193" t="s">
        <v>30965</v>
      </c>
      <c r="D10170" s="199"/>
      <c r="E10170" s="193"/>
      <c r="F10170" s="195" t="s">
        <v>30966</v>
      </c>
      <c r="G10170" s="222"/>
      <c r="H10170" s="197">
        <v>21.5</v>
      </c>
      <c r="I10170" s="193" t="s">
        <v>16815</v>
      </c>
      <c r="L10170" s="201" t="s">
        <v>16835</v>
      </c>
      <c r="M10170" s="199"/>
      <c r="N10170" s="199"/>
    </row>
    <row r="10171">
      <c r="A10171" s="193" t="s">
        <v>30967</v>
      </c>
      <c r="D10171" s="199"/>
      <c r="E10171" s="193"/>
      <c r="F10171" s="195" t="s">
        <v>30968</v>
      </c>
      <c r="G10171" s="222"/>
      <c r="H10171" s="197">
        <v>25.36</v>
      </c>
      <c r="I10171" s="193" t="s">
        <v>16815</v>
      </c>
      <c r="L10171" s="201" t="s">
        <v>16835</v>
      </c>
      <c r="M10171" s="199"/>
      <c r="N10171" s="199"/>
    </row>
    <row r="10172">
      <c r="A10172" s="193" t="s">
        <v>30969</v>
      </c>
      <c r="D10172" s="199"/>
      <c r="E10172" s="193"/>
      <c r="F10172" s="195" t="s">
        <v>30970</v>
      </c>
      <c r="G10172" s="222"/>
      <c r="H10172" s="197">
        <v>19.0301</v>
      </c>
      <c r="I10172" s="193" t="s">
        <v>16815</v>
      </c>
      <c r="L10172" s="201" t="s">
        <v>16835</v>
      </c>
      <c r="M10172" s="199"/>
      <c r="N10172" s="199"/>
    </row>
    <row r="10173">
      <c r="A10173" s="193" t="s">
        <v>30971</v>
      </c>
      <c r="D10173" s="199"/>
      <c r="E10173" s="193"/>
      <c r="F10173" s="195" t="s">
        <v>30972</v>
      </c>
      <c r="G10173" s="222"/>
      <c r="H10173" s="197">
        <v>17.94</v>
      </c>
      <c r="I10173" s="193" t="s">
        <v>16815</v>
      </c>
      <c r="L10173" s="201" t="s">
        <v>16835</v>
      </c>
      <c r="M10173" s="199"/>
      <c r="N10173" s="199"/>
    </row>
    <row r="10174">
      <c r="A10174" s="193" t="s">
        <v>30973</v>
      </c>
      <c r="D10174" s="199"/>
      <c r="E10174" s="193"/>
      <c r="F10174" s="195" t="s">
        <v>30974</v>
      </c>
      <c r="G10174" s="222"/>
      <c r="H10174" s="197">
        <v>11.69</v>
      </c>
      <c r="I10174" s="193" t="s">
        <v>16815</v>
      </c>
      <c r="L10174" s="201" t="s">
        <v>16835</v>
      </c>
      <c r="M10174" s="199"/>
      <c r="N10174" s="199"/>
    </row>
    <row r="10175">
      <c r="A10175" s="193" t="s">
        <v>30975</v>
      </c>
      <c r="D10175" s="199"/>
      <c r="E10175" s="193"/>
      <c r="F10175" s="195" t="s">
        <v>30976</v>
      </c>
      <c r="G10175" s="222"/>
      <c r="H10175" s="197">
        <v>9.995</v>
      </c>
      <c r="I10175" s="193" t="s">
        <v>16815</v>
      </c>
      <c r="L10175" s="201" t="s">
        <v>16835</v>
      </c>
      <c r="M10175" s="199"/>
      <c r="N10175" s="199"/>
    </row>
    <row r="10176">
      <c r="A10176" s="193" t="s">
        <v>30977</v>
      </c>
      <c r="D10176" s="199"/>
      <c r="E10176" s="193"/>
      <c r="F10176" s="195" t="s">
        <v>30978</v>
      </c>
      <c r="G10176" s="222"/>
      <c r="H10176" s="197">
        <v>12.1927</v>
      </c>
      <c r="I10176" s="193" t="s">
        <v>16815</v>
      </c>
      <c r="L10176" s="201" t="s">
        <v>16835</v>
      </c>
      <c r="M10176" s="199"/>
      <c r="N10176" s="199"/>
    </row>
    <row r="10177">
      <c r="A10177" s="193" t="s">
        <v>30979</v>
      </c>
      <c r="D10177" s="199"/>
      <c r="E10177" s="193"/>
      <c r="F10177" s="195" t="s">
        <v>30980</v>
      </c>
      <c r="G10177" s="222"/>
      <c r="H10177" s="197">
        <v>9.895</v>
      </c>
      <c r="I10177" s="193" t="s">
        <v>16815</v>
      </c>
      <c r="L10177" s="201" t="s">
        <v>16835</v>
      </c>
      <c r="M10177" s="199"/>
      <c r="N10177" s="199"/>
    </row>
    <row r="10178">
      <c r="A10178" s="193" t="s">
        <v>30981</v>
      </c>
      <c r="D10178" s="199"/>
      <c r="E10178" s="193"/>
      <c r="F10178" s="195" t="s">
        <v>30982</v>
      </c>
      <c r="G10178" s="222"/>
      <c r="H10178" s="197">
        <v>9.9999</v>
      </c>
      <c r="I10178" s="193" t="s">
        <v>16815</v>
      </c>
      <c r="L10178" s="201" t="s">
        <v>16835</v>
      </c>
      <c r="M10178" s="199"/>
      <c r="N10178" s="199"/>
    </row>
    <row r="10179">
      <c r="A10179" s="193" t="s">
        <v>30983</v>
      </c>
      <c r="D10179" s="199"/>
      <c r="E10179" s="193"/>
      <c r="F10179" s="195" t="s">
        <v>30984</v>
      </c>
      <c r="G10179" s="222"/>
      <c r="H10179" s="197">
        <v>23.03</v>
      </c>
      <c r="I10179" s="193" t="s">
        <v>16815</v>
      </c>
      <c r="L10179" s="201" t="s">
        <v>16835</v>
      </c>
      <c r="M10179" s="199"/>
      <c r="N10179" s="199"/>
    </row>
    <row r="10180">
      <c r="A10180" s="193" t="s">
        <v>30985</v>
      </c>
      <c r="D10180" s="199"/>
      <c r="E10180" s="193"/>
      <c r="F10180" s="195" t="s">
        <v>30986</v>
      </c>
      <c r="G10180" s="222"/>
      <c r="H10180" s="197">
        <v>11.11</v>
      </c>
      <c r="I10180" s="193" t="s">
        <v>16815</v>
      </c>
      <c r="L10180" s="201" t="s">
        <v>16835</v>
      </c>
      <c r="M10180" s="199"/>
      <c r="N10180" s="199"/>
    </row>
    <row r="10181">
      <c r="A10181" s="193" t="s">
        <v>30987</v>
      </c>
      <c r="D10181" s="199"/>
      <c r="E10181" s="193"/>
      <c r="F10181" s="195" t="s">
        <v>30986</v>
      </c>
      <c r="G10181" s="222"/>
      <c r="H10181" s="197">
        <v>13.37</v>
      </c>
      <c r="I10181" s="193" t="s">
        <v>16815</v>
      </c>
      <c r="L10181" s="201" t="s">
        <v>16835</v>
      </c>
      <c r="M10181" s="199"/>
      <c r="N10181" s="199"/>
    </row>
    <row r="10182">
      <c r="A10182" s="193" t="s">
        <v>30988</v>
      </c>
      <c r="D10182" s="199"/>
      <c r="E10182" s="193"/>
      <c r="F10182" s="195" t="s">
        <v>30989</v>
      </c>
      <c r="G10182" s="222"/>
      <c r="H10182" s="197">
        <v>24.66</v>
      </c>
      <c r="I10182" s="193" t="s">
        <v>16815</v>
      </c>
      <c r="L10182" s="201" t="s">
        <v>16835</v>
      </c>
      <c r="M10182" s="199"/>
      <c r="N10182" s="199"/>
    </row>
    <row r="10183">
      <c r="A10183" s="193" t="s">
        <v>30990</v>
      </c>
      <c r="D10183" s="199"/>
      <c r="E10183" s="193"/>
      <c r="F10183" s="195" t="s">
        <v>30991</v>
      </c>
      <c r="G10183" s="222"/>
      <c r="H10183" s="197">
        <v>25.75</v>
      </c>
      <c r="I10183" s="193" t="s">
        <v>16815</v>
      </c>
      <c r="L10183" s="201" t="s">
        <v>16835</v>
      </c>
      <c r="M10183" s="199"/>
      <c r="N10183" s="199"/>
    </row>
    <row r="10184">
      <c r="A10184" s="193" t="s">
        <v>30992</v>
      </c>
      <c r="D10184" s="199"/>
      <c r="E10184" s="193"/>
      <c r="F10184" s="195" t="s">
        <v>30993</v>
      </c>
      <c r="G10184" s="222"/>
      <c r="H10184" s="197">
        <v>20.63</v>
      </c>
      <c r="I10184" s="193" t="s">
        <v>16815</v>
      </c>
      <c r="L10184" s="201" t="s">
        <v>16835</v>
      </c>
      <c r="M10184" s="199"/>
      <c r="N10184" s="199"/>
    </row>
    <row r="10185">
      <c r="A10185" s="193" t="s">
        <v>30994</v>
      </c>
      <c r="D10185" s="199"/>
      <c r="E10185" s="193"/>
      <c r="F10185" s="195" t="s">
        <v>30995</v>
      </c>
      <c r="G10185" s="222"/>
      <c r="H10185" s="197">
        <v>19.6</v>
      </c>
      <c r="I10185" s="193" t="s">
        <v>16815</v>
      </c>
      <c r="L10185" s="201" t="s">
        <v>16835</v>
      </c>
      <c r="M10185" s="199"/>
      <c r="N10185" s="199"/>
    </row>
    <row r="10186">
      <c r="A10186" s="193" t="s">
        <v>30996</v>
      </c>
      <c r="D10186" s="199"/>
      <c r="E10186" s="193"/>
      <c r="F10186" s="195" t="s">
        <v>30997</v>
      </c>
      <c r="G10186" s="222"/>
      <c r="H10186" s="197">
        <v>26.44</v>
      </c>
      <c r="I10186" s="193" t="s">
        <v>16815</v>
      </c>
      <c r="L10186" s="201" t="s">
        <v>16835</v>
      </c>
      <c r="M10186" s="199"/>
      <c r="N10186" s="199"/>
    </row>
    <row r="10187">
      <c r="A10187" s="193" t="s">
        <v>30998</v>
      </c>
      <c r="D10187" s="199"/>
      <c r="E10187" s="193"/>
      <c r="F10187" s="195" t="s">
        <v>30999</v>
      </c>
      <c r="G10187" s="222"/>
      <c r="H10187" s="197">
        <v>25.35</v>
      </c>
      <c r="I10187" s="193" t="s">
        <v>16815</v>
      </c>
      <c r="L10187" s="201" t="s">
        <v>16835</v>
      </c>
      <c r="M10187" s="199"/>
      <c r="N10187" s="199"/>
    </row>
    <row r="10188">
      <c r="A10188" s="193" t="s">
        <v>31000</v>
      </c>
      <c r="D10188" s="199"/>
      <c r="E10188" s="193"/>
      <c r="F10188" s="195" t="s">
        <v>31001</v>
      </c>
      <c r="G10188" s="222"/>
      <c r="H10188" s="197">
        <v>22.87</v>
      </c>
      <c r="I10188" s="193" t="s">
        <v>16815</v>
      </c>
      <c r="L10188" s="201" t="s">
        <v>16835</v>
      </c>
      <c r="M10188" s="199"/>
      <c r="N10188" s="199"/>
    </row>
    <row r="10189">
      <c r="A10189" s="193" t="s">
        <v>31002</v>
      </c>
      <c r="D10189" s="199"/>
      <c r="E10189" s="193"/>
      <c r="F10189" s="195" t="s">
        <v>31003</v>
      </c>
      <c r="G10189" s="222"/>
      <c r="H10189" s="197">
        <v>23.6</v>
      </c>
      <c r="I10189" s="193" t="s">
        <v>16815</v>
      </c>
      <c r="L10189" s="201" t="s">
        <v>16835</v>
      </c>
      <c r="M10189" s="199"/>
      <c r="N10189" s="199"/>
    </row>
    <row r="10190">
      <c r="A10190" s="193" t="s">
        <v>31004</v>
      </c>
      <c r="D10190" s="199"/>
      <c r="E10190" s="193"/>
      <c r="F10190" s="195" t="s">
        <v>31005</v>
      </c>
      <c r="G10190" s="222"/>
      <c r="H10190" s="197">
        <v>51.98</v>
      </c>
      <c r="I10190" s="193" t="s">
        <v>16815</v>
      </c>
      <c r="L10190" s="201" t="s">
        <v>16835</v>
      </c>
      <c r="M10190" s="199"/>
      <c r="N10190" s="199"/>
    </row>
    <row r="10191">
      <c r="A10191" s="193" t="s">
        <v>31006</v>
      </c>
      <c r="D10191" s="199"/>
      <c r="E10191" s="193"/>
      <c r="F10191" s="195" t="s">
        <v>31007</v>
      </c>
      <c r="G10191" s="222"/>
      <c r="H10191" s="197">
        <v>22.57</v>
      </c>
      <c r="I10191" s="193" t="s">
        <v>16815</v>
      </c>
      <c r="L10191" s="201" t="s">
        <v>16835</v>
      </c>
      <c r="M10191" s="199"/>
      <c r="N10191" s="199"/>
    </row>
    <row r="10192">
      <c r="A10192" s="193" t="s">
        <v>31008</v>
      </c>
      <c r="D10192" s="199"/>
      <c r="E10192" s="193"/>
      <c r="F10192" s="195" t="s">
        <v>31009</v>
      </c>
      <c r="G10192" s="222"/>
      <c r="H10192" s="197">
        <v>20.08</v>
      </c>
      <c r="I10192" s="193" t="s">
        <v>16815</v>
      </c>
      <c r="L10192" s="201" t="s">
        <v>16835</v>
      </c>
      <c r="M10192" s="199"/>
      <c r="N10192" s="199"/>
    </row>
    <row r="10193">
      <c r="A10193" s="193" t="s">
        <v>31010</v>
      </c>
      <c r="D10193" s="199"/>
      <c r="E10193" s="193"/>
      <c r="F10193" s="195" t="s">
        <v>31011</v>
      </c>
      <c r="G10193" s="222"/>
      <c r="H10193" s="197">
        <v>18.59</v>
      </c>
      <c r="I10193" s="193" t="s">
        <v>16815</v>
      </c>
      <c r="L10193" s="201" t="s">
        <v>16835</v>
      </c>
      <c r="M10193" s="199"/>
      <c r="N10193" s="199"/>
    </row>
    <row r="10194">
      <c r="A10194" s="193" t="s">
        <v>31012</v>
      </c>
      <c r="D10194" s="199"/>
      <c r="E10194" s="193"/>
      <c r="F10194" s="195" t="s">
        <v>31013</v>
      </c>
      <c r="G10194" s="222"/>
      <c r="H10194" s="197">
        <v>17.4</v>
      </c>
      <c r="I10194" s="193" t="s">
        <v>16815</v>
      </c>
      <c r="L10194" s="201" t="s">
        <v>16835</v>
      </c>
      <c r="M10194" s="199"/>
      <c r="N10194" s="199"/>
    </row>
    <row r="10195">
      <c r="A10195" s="193" t="s">
        <v>31014</v>
      </c>
      <c r="D10195" s="199"/>
      <c r="E10195" s="193"/>
      <c r="F10195" s="195" t="s">
        <v>31015</v>
      </c>
      <c r="G10195" s="222"/>
      <c r="H10195" s="197">
        <v>23.894</v>
      </c>
      <c r="I10195" s="193" t="s">
        <v>16815</v>
      </c>
      <c r="L10195" s="201" t="s">
        <v>16835</v>
      </c>
      <c r="M10195" s="199"/>
      <c r="N10195" s="199"/>
    </row>
    <row r="10196">
      <c r="A10196" s="193" t="s">
        <v>31016</v>
      </c>
      <c r="D10196" s="199"/>
      <c r="E10196" s="193"/>
      <c r="F10196" s="195" t="s">
        <v>31017</v>
      </c>
      <c r="G10196" s="222"/>
      <c r="H10196" s="197">
        <v>22.73</v>
      </c>
      <c r="I10196" s="193" t="s">
        <v>16815</v>
      </c>
      <c r="L10196" s="201" t="s">
        <v>16835</v>
      </c>
      <c r="M10196" s="199"/>
      <c r="N10196" s="199"/>
    </row>
    <row r="10197">
      <c r="A10197" s="193" t="s">
        <v>31018</v>
      </c>
      <c r="D10197" s="199"/>
      <c r="E10197" s="193"/>
      <c r="F10197" s="195" t="s">
        <v>31019</v>
      </c>
      <c r="G10197" s="222"/>
      <c r="H10197" s="197">
        <v>22.0</v>
      </c>
      <c r="I10197" s="193" t="s">
        <v>16815</v>
      </c>
      <c r="L10197" s="201" t="s">
        <v>16835</v>
      </c>
      <c r="M10197" s="199"/>
      <c r="N10197" s="199"/>
    </row>
    <row r="10198">
      <c r="A10198" s="193" t="s">
        <v>31020</v>
      </c>
      <c r="D10198" s="199"/>
      <c r="E10198" s="193"/>
      <c r="F10198" s="195" t="s">
        <v>31021</v>
      </c>
      <c r="G10198" s="222"/>
      <c r="H10198" s="197">
        <v>19.87</v>
      </c>
      <c r="I10198" s="193" t="s">
        <v>16815</v>
      </c>
      <c r="L10198" s="201" t="s">
        <v>16835</v>
      </c>
      <c r="M10198" s="199"/>
      <c r="N10198" s="199"/>
    </row>
    <row r="10199">
      <c r="A10199" s="193" t="s">
        <v>31022</v>
      </c>
      <c r="D10199" s="199"/>
      <c r="E10199" s="193"/>
      <c r="F10199" s="195" t="s">
        <v>31023</v>
      </c>
      <c r="G10199" s="222"/>
      <c r="H10199" s="197">
        <v>24.26</v>
      </c>
      <c r="I10199" s="193" t="s">
        <v>16815</v>
      </c>
      <c r="L10199" s="201" t="s">
        <v>16835</v>
      </c>
      <c r="M10199" s="199"/>
      <c r="N10199" s="199"/>
    </row>
    <row r="10200">
      <c r="A10200" s="193" t="s">
        <v>31024</v>
      </c>
      <c r="D10200" s="199"/>
      <c r="E10200" s="193"/>
      <c r="F10200" s="195" t="s">
        <v>31025</v>
      </c>
      <c r="G10200" s="222"/>
      <c r="H10200" s="197">
        <v>16.63</v>
      </c>
      <c r="I10200" s="193" t="s">
        <v>16815</v>
      </c>
      <c r="L10200" s="201" t="s">
        <v>16835</v>
      </c>
      <c r="M10200" s="199"/>
      <c r="N10200" s="199"/>
    </row>
    <row r="10201">
      <c r="A10201" s="193" t="s">
        <v>31026</v>
      </c>
      <c r="D10201" s="199"/>
      <c r="E10201" s="193"/>
      <c r="F10201" s="195" t="s">
        <v>31027</v>
      </c>
      <c r="G10201" s="222"/>
      <c r="H10201" s="197">
        <v>25.33</v>
      </c>
      <c r="I10201" s="193" t="s">
        <v>16815</v>
      </c>
      <c r="L10201" s="201" t="s">
        <v>16835</v>
      </c>
      <c r="M10201" s="199"/>
      <c r="N10201" s="199"/>
    </row>
    <row r="10202">
      <c r="A10202" s="193" t="s">
        <v>31028</v>
      </c>
      <c r="D10202" s="199"/>
      <c r="E10202" s="193"/>
      <c r="F10202" s="195" t="s">
        <v>31029</v>
      </c>
      <c r="G10202" s="222"/>
      <c r="H10202" s="197">
        <v>19.7</v>
      </c>
      <c r="I10202" s="193" t="s">
        <v>16815</v>
      </c>
      <c r="L10202" s="201" t="s">
        <v>16835</v>
      </c>
      <c r="M10202" s="199"/>
      <c r="N10202" s="199"/>
    </row>
    <row r="10203">
      <c r="A10203" s="193" t="s">
        <v>31032</v>
      </c>
      <c r="D10203" s="199"/>
      <c r="E10203" s="193"/>
      <c r="F10203" s="195" t="s">
        <v>31033</v>
      </c>
      <c r="G10203" s="222"/>
      <c r="H10203" s="197">
        <v>20.57</v>
      </c>
      <c r="I10203" s="193" t="s">
        <v>16815</v>
      </c>
      <c r="L10203" s="201" t="s">
        <v>16835</v>
      </c>
      <c r="M10203" s="199"/>
      <c r="N10203" s="199"/>
    </row>
    <row r="10204">
      <c r="A10204" s="193" t="s">
        <v>31034</v>
      </c>
      <c r="D10204" s="199"/>
      <c r="E10204" s="193"/>
      <c r="F10204" s="195" t="s">
        <v>31035</v>
      </c>
      <c r="G10204" s="222"/>
      <c r="H10204" s="197">
        <v>23.64</v>
      </c>
      <c r="I10204" s="193" t="s">
        <v>16815</v>
      </c>
      <c r="L10204" s="201" t="s">
        <v>16835</v>
      </c>
      <c r="M10204" s="199"/>
      <c r="N10204" s="199"/>
    </row>
    <row r="10205">
      <c r="A10205" s="193" t="s">
        <v>31036</v>
      </c>
      <c r="D10205" s="199"/>
      <c r="E10205" s="193"/>
      <c r="F10205" s="195" t="s">
        <v>31037</v>
      </c>
      <c r="G10205" s="222"/>
      <c r="H10205" s="197">
        <v>20.5725</v>
      </c>
      <c r="I10205" s="193" t="s">
        <v>16815</v>
      </c>
      <c r="L10205" s="201" t="s">
        <v>16835</v>
      </c>
      <c r="M10205" s="199"/>
      <c r="N10205" s="199"/>
    </row>
    <row r="10206">
      <c r="A10206" s="193" t="s">
        <v>31038</v>
      </c>
      <c r="D10206" s="199"/>
      <c r="E10206" s="193"/>
      <c r="F10206" s="195" t="s">
        <v>31039</v>
      </c>
      <c r="G10206" s="222"/>
      <c r="H10206" s="197">
        <v>22.95</v>
      </c>
      <c r="I10206" s="193" t="s">
        <v>16815</v>
      </c>
      <c r="L10206" s="201" t="s">
        <v>16835</v>
      </c>
      <c r="M10206" s="199"/>
      <c r="N10206" s="199"/>
    </row>
    <row r="10207">
      <c r="A10207" s="193" t="s">
        <v>31040</v>
      </c>
      <c r="D10207" s="199"/>
      <c r="E10207" s="193"/>
      <c r="F10207" s="195" t="s">
        <v>31041</v>
      </c>
      <c r="G10207" s="222"/>
      <c r="H10207" s="197">
        <v>1090.0</v>
      </c>
      <c r="I10207" s="193" t="s">
        <v>16815</v>
      </c>
      <c r="L10207" s="201" t="s">
        <v>16835</v>
      </c>
      <c r="M10207" s="199"/>
      <c r="N10207" s="199"/>
    </row>
    <row r="10208">
      <c r="A10208" s="193" t="s">
        <v>31042</v>
      </c>
      <c r="D10208" s="199"/>
      <c r="E10208" s="193"/>
      <c r="F10208" s="195" t="s">
        <v>31043</v>
      </c>
      <c r="G10208" s="222"/>
      <c r="H10208" s="197">
        <v>21.74</v>
      </c>
      <c r="I10208" s="193" t="s">
        <v>16815</v>
      </c>
      <c r="L10208" s="201" t="s">
        <v>16835</v>
      </c>
      <c r="M10208" s="199"/>
      <c r="N10208" s="199"/>
    </row>
    <row r="10209">
      <c r="A10209" s="193" t="s">
        <v>31044</v>
      </c>
      <c r="D10209" s="199"/>
      <c r="E10209" s="193"/>
      <c r="F10209" s="195" t="s">
        <v>31045</v>
      </c>
      <c r="G10209" s="222"/>
      <c r="H10209" s="197">
        <v>20.25</v>
      </c>
      <c r="I10209" s="193" t="s">
        <v>16815</v>
      </c>
      <c r="L10209" s="201" t="s">
        <v>16835</v>
      </c>
      <c r="M10209" s="199"/>
      <c r="N10209" s="199"/>
    </row>
    <row r="10210">
      <c r="A10210" s="193" t="s">
        <v>31046</v>
      </c>
      <c r="D10210" s="199"/>
      <c r="E10210" s="193"/>
      <c r="F10210" s="195" t="s">
        <v>31047</v>
      </c>
      <c r="G10210" s="222"/>
      <c r="H10210" s="197">
        <v>17.65</v>
      </c>
      <c r="I10210" s="193" t="s">
        <v>16815</v>
      </c>
      <c r="L10210" s="201" t="s">
        <v>16835</v>
      </c>
      <c r="M10210" s="199"/>
      <c r="N10210" s="199"/>
    </row>
    <row r="10211">
      <c r="A10211" s="193" t="s">
        <v>31048</v>
      </c>
      <c r="D10211" s="199"/>
      <c r="E10211" s="193"/>
      <c r="F10211" s="195" t="s">
        <v>31049</v>
      </c>
      <c r="G10211" s="222"/>
      <c r="H10211" s="197">
        <v>16.6</v>
      </c>
      <c r="I10211" s="193" t="s">
        <v>16815</v>
      </c>
      <c r="L10211" s="201" t="s">
        <v>16835</v>
      </c>
      <c r="M10211" s="199"/>
      <c r="N10211" s="199"/>
    </row>
    <row r="10212">
      <c r="A10212" s="193" t="s">
        <v>31050</v>
      </c>
      <c r="D10212" s="199"/>
      <c r="E10212" s="193"/>
      <c r="F10212" s="195" t="s">
        <v>31051</v>
      </c>
      <c r="G10212" s="222"/>
      <c r="H10212" s="197">
        <v>17.07</v>
      </c>
      <c r="I10212" s="193" t="s">
        <v>16815</v>
      </c>
      <c r="L10212" s="201" t="s">
        <v>16835</v>
      </c>
      <c r="M10212" s="199"/>
      <c r="N10212" s="199"/>
    </row>
    <row r="10213">
      <c r="A10213" s="193" t="s">
        <v>31052</v>
      </c>
      <c r="D10213" s="199"/>
      <c r="E10213" s="193"/>
      <c r="F10213" s="195" t="s">
        <v>31053</v>
      </c>
      <c r="G10213" s="222"/>
      <c r="H10213" s="197">
        <v>18.77</v>
      </c>
      <c r="I10213" s="193" t="s">
        <v>16815</v>
      </c>
      <c r="L10213" s="201" t="s">
        <v>16835</v>
      </c>
      <c r="M10213" s="199"/>
      <c r="N10213" s="199"/>
    </row>
    <row r="10214">
      <c r="A10214" s="193" t="s">
        <v>31054</v>
      </c>
      <c r="D10214" s="199"/>
      <c r="E10214" s="193"/>
      <c r="F10214" s="195" t="s">
        <v>31055</v>
      </c>
      <c r="G10214" s="222"/>
      <c r="H10214" s="197">
        <v>23.88</v>
      </c>
      <c r="I10214" s="193" t="s">
        <v>16815</v>
      </c>
      <c r="L10214" s="201" t="s">
        <v>16835</v>
      </c>
      <c r="M10214" s="199"/>
      <c r="N10214" s="199"/>
    </row>
    <row r="10215">
      <c r="A10215" s="193" t="s">
        <v>31056</v>
      </c>
      <c r="D10215" s="199"/>
      <c r="E10215" s="193"/>
      <c r="F10215" s="195" t="s">
        <v>31057</v>
      </c>
      <c r="G10215" s="222"/>
      <c r="H10215" s="197">
        <v>25.1</v>
      </c>
      <c r="I10215" s="193" t="s">
        <v>16815</v>
      </c>
      <c r="L10215" s="201" t="s">
        <v>16835</v>
      </c>
      <c r="M10215" s="199"/>
      <c r="N10215" s="199"/>
    </row>
    <row r="10216">
      <c r="A10216" s="193" t="s">
        <v>31058</v>
      </c>
      <c r="D10216" s="199"/>
      <c r="E10216" s="193"/>
      <c r="F10216" s="195" t="s">
        <v>31059</v>
      </c>
      <c r="G10216" s="222"/>
      <c r="H10216" s="197">
        <v>23.14</v>
      </c>
      <c r="I10216" s="193" t="s">
        <v>16815</v>
      </c>
      <c r="L10216" s="201" t="s">
        <v>16835</v>
      </c>
      <c r="M10216" s="199"/>
      <c r="N10216" s="199"/>
    </row>
    <row r="10217">
      <c r="A10217" s="193" t="s">
        <v>31062</v>
      </c>
      <c r="D10217" s="199"/>
      <c r="E10217" s="193"/>
      <c r="F10217" s="195" t="s">
        <v>31063</v>
      </c>
      <c r="G10217" s="222"/>
      <c r="H10217" s="197">
        <v>16.54</v>
      </c>
      <c r="I10217" s="193" t="s">
        <v>16815</v>
      </c>
      <c r="L10217" s="201" t="s">
        <v>16835</v>
      </c>
      <c r="M10217" s="199"/>
      <c r="N10217" s="199"/>
    </row>
    <row r="10218">
      <c r="A10218" s="193" t="s">
        <v>31064</v>
      </c>
      <c r="D10218" s="199"/>
      <c r="E10218" s="193"/>
      <c r="F10218" s="195" t="s">
        <v>31065</v>
      </c>
      <c r="G10218" s="222"/>
      <c r="H10218" s="197">
        <v>58.72</v>
      </c>
      <c r="I10218" s="193" t="s">
        <v>16815</v>
      </c>
      <c r="L10218" s="201" t="s">
        <v>16835</v>
      </c>
      <c r="M10218" s="199"/>
      <c r="N10218" s="199"/>
    </row>
    <row r="10219">
      <c r="A10219" s="193" t="s">
        <v>31066</v>
      </c>
      <c r="D10219" s="199"/>
      <c r="E10219" s="193"/>
      <c r="F10219" s="195" t="s">
        <v>31065</v>
      </c>
      <c r="G10219" s="222"/>
      <c r="H10219" s="197">
        <v>57.02</v>
      </c>
      <c r="I10219" s="193" t="s">
        <v>16815</v>
      </c>
      <c r="L10219" s="201" t="s">
        <v>16835</v>
      </c>
      <c r="M10219" s="199"/>
      <c r="N10219" s="199"/>
    </row>
    <row r="10220">
      <c r="A10220" s="193" t="s">
        <v>31067</v>
      </c>
      <c r="D10220" s="199"/>
      <c r="E10220" s="193"/>
      <c r="F10220" s="195" t="s">
        <v>31068</v>
      </c>
      <c r="G10220" s="222"/>
      <c r="H10220" s="197">
        <v>19.77</v>
      </c>
      <c r="I10220" s="193" t="s">
        <v>16815</v>
      </c>
      <c r="L10220" s="201" t="s">
        <v>16835</v>
      </c>
      <c r="M10220" s="199"/>
      <c r="N10220" s="199"/>
    </row>
    <row r="10221">
      <c r="A10221" s="193" t="s">
        <v>31069</v>
      </c>
      <c r="D10221" s="199"/>
      <c r="E10221" s="193"/>
      <c r="F10221" s="195" t="s">
        <v>31070</v>
      </c>
      <c r="G10221" s="222"/>
      <c r="H10221" s="197">
        <v>19.65</v>
      </c>
      <c r="I10221" s="193" t="s">
        <v>16815</v>
      </c>
      <c r="L10221" s="201" t="s">
        <v>16835</v>
      </c>
      <c r="M10221" s="199"/>
      <c r="N10221" s="199"/>
    </row>
    <row r="10222">
      <c r="A10222" s="193" t="s">
        <v>31071</v>
      </c>
      <c r="D10222" s="199"/>
      <c r="E10222" s="193"/>
      <c r="F10222" s="195" t="s">
        <v>31072</v>
      </c>
      <c r="G10222" s="222"/>
      <c r="H10222" s="197">
        <v>11.455</v>
      </c>
      <c r="I10222" s="193" t="s">
        <v>16815</v>
      </c>
      <c r="L10222" s="201" t="s">
        <v>16835</v>
      </c>
      <c r="M10222" s="199"/>
      <c r="N10222" s="199"/>
    </row>
    <row r="10223">
      <c r="A10223" s="193" t="s">
        <v>31073</v>
      </c>
      <c r="D10223" s="199"/>
      <c r="E10223" s="193"/>
      <c r="F10223" s="195" t="s">
        <v>31774</v>
      </c>
      <c r="G10223" s="222"/>
      <c r="H10223" s="197">
        <v>16.92</v>
      </c>
      <c r="I10223" s="193" t="s">
        <v>16815</v>
      </c>
      <c r="L10223" s="201" t="s">
        <v>16835</v>
      </c>
      <c r="M10223" s="199"/>
      <c r="N10223" s="199"/>
    </row>
    <row r="10224">
      <c r="A10224" s="193" t="s">
        <v>31075</v>
      </c>
      <c r="D10224" s="199"/>
      <c r="E10224" s="193"/>
      <c r="F10224" s="195" t="s">
        <v>31076</v>
      </c>
      <c r="G10224" s="222"/>
      <c r="H10224" s="197">
        <v>300.1</v>
      </c>
      <c r="I10224" s="193" t="s">
        <v>16815</v>
      </c>
      <c r="L10224" s="201" t="s">
        <v>16835</v>
      </c>
      <c r="M10224" s="199"/>
      <c r="N10224" s="199"/>
    </row>
    <row r="10225">
      <c r="A10225" s="193" t="s">
        <v>31077</v>
      </c>
      <c r="D10225" s="199"/>
      <c r="E10225" s="193"/>
      <c r="F10225" s="195" t="s">
        <v>31078</v>
      </c>
      <c r="G10225" s="222"/>
      <c r="H10225" s="197">
        <v>16.65</v>
      </c>
      <c r="I10225" s="193" t="s">
        <v>16815</v>
      </c>
      <c r="L10225" s="201" t="s">
        <v>16835</v>
      </c>
      <c r="M10225" s="199"/>
      <c r="N10225" s="199"/>
    </row>
    <row r="10226">
      <c r="A10226" s="193" t="s">
        <v>31079</v>
      </c>
      <c r="D10226" s="199"/>
      <c r="E10226" s="193"/>
      <c r="F10226" s="195" t="s">
        <v>31080</v>
      </c>
      <c r="G10226" s="222"/>
      <c r="H10226" s="197">
        <v>15.8025</v>
      </c>
      <c r="I10226" s="193" t="s">
        <v>16815</v>
      </c>
      <c r="L10226" s="201" t="s">
        <v>16835</v>
      </c>
      <c r="M10226" s="199"/>
      <c r="N10226" s="199"/>
    </row>
    <row r="10227">
      <c r="A10227" s="193" t="s">
        <v>31081</v>
      </c>
      <c r="D10227" s="199"/>
      <c r="E10227" s="193"/>
      <c r="F10227" s="195" t="s">
        <v>31775</v>
      </c>
      <c r="G10227" s="222"/>
      <c r="H10227" s="197">
        <v>20.98</v>
      </c>
      <c r="I10227" s="193" t="s">
        <v>16815</v>
      </c>
      <c r="L10227" s="201" t="s">
        <v>16835</v>
      </c>
      <c r="M10227" s="199"/>
      <c r="N10227" s="199"/>
    </row>
    <row r="10228">
      <c r="A10228" s="193" t="s">
        <v>31083</v>
      </c>
      <c r="D10228" s="199"/>
      <c r="E10228" s="193"/>
      <c r="F10228" s="195" t="s">
        <v>31084</v>
      </c>
      <c r="G10228" s="222"/>
      <c r="H10228" s="197">
        <v>20.61</v>
      </c>
      <c r="I10228" s="193" t="s">
        <v>16815</v>
      </c>
      <c r="L10228" s="201" t="s">
        <v>16835</v>
      </c>
      <c r="M10228" s="199"/>
      <c r="N10228" s="199"/>
    </row>
    <row r="10229">
      <c r="A10229" s="193" t="s">
        <v>31085</v>
      </c>
      <c r="D10229" s="199"/>
      <c r="E10229" s="193"/>
      <c r="F10229" s="195" t="s">
        <v>31086</v>
      </c>
      <c r="G10229" s="222"/>
      <c r="H10229" s="197">
        <v>21.615</v>
      </c>
      <c r="I10229" s="193" t="s">
        <v>16815</v>
      </c>
      <c r="L10229" s="201" t="s">
        <v>16835</v>
      </c>
      <c r="M10229" s="199"/>
      <c r="N10229" s="199"/>
    </row>
    <row r="10230">
      <c r="A10230" s="193" t="s">
        <v>31087</v>
      </c>
      <c r="D10230" s="199"/>
      <c r="E10230" s="193"/>
      <c r="F10230" s="195" t="s">
        <v>31088</v>
      </c>
      <c r="G10230" s="222"/>
      <c r="H10230" s="197">
        <v>20.68</v>
      </c>
      <c r="I10230" s="193" t="s">
        <v>16815</v>
      </c>
      <c r="L10230" s="201" t="s">
        <v>16835</v>
      </c>
      <c r="M10230" s="199"/>
      <c r="N10230" s="199"/>
    </row>
    <row r="10231">
      <c r="A10231" s="193" t="s">
        <v>31089</v>
      </c>
      <c r="D10231" s="199"/>
      <c r="E10231" s="193"/>
      <c r="F10231" s="195" t="s">
        <v>31090</v>
      </c>
      <c r="G10231" s="222"/>
      <c r="H10231" s="197">
        <v>13.93</v>
      </c>
      <c r="I10231" s="193" t="s">
        <v>16815</v>
      </c>
      <c r="L10231" s="201" t="s">
        <v>16835</v>
      </c>
      <c r="M10231" s="199"/>
      <c r="N10231" s="199"/>
    </row>
    <row r="10232">
      <c r="A10232" s="193" t="s">
        <v>31091</v>
      </c>
      <c r="D10232" s="199"/>
      <c r="E10232" s="193"/>
      <c r="F10232" s="195" t="s">
        <v>31092</v>
      </c>
      <c r="G10232" s="222"/>
      <c r="H10232" s="197">
        <v>11.19</v>
      </c>
      <c r="I10232" s="193" t="s">
        <v>16815</v>
      </c>
      <c r="L10232" s="201" t="s">
        <v>16835</v>
      </c>
      <c r="M10232" s="199"/>
      <c r="N10232" s="199"/>
    </row>
    <row r="10233">
      <c r="A10233" s="193" t="s">
        <v>31093</v>
      </c>
      <c r="D10233" s="199"/>
      <c r="E10233" s="193"/>
      <c r="F10233" s="195" t="s">
        <v>31094</v>
      </c>
      <c r="G10233" s="222"/>
      <c r="H10233" s="197">
        <v>25.53</v>
      </c>
      <c r="I10233" s="193" t="s">
        <v>16815</v>
      </c>
      <c r="L10233" s="201" t="s">
        <v>16835</v>
      </c>
      <c r="M10233" s="199"/>
      <c r="N10233" s="199"/>
    </row>
    <row r="10234">
      <c r="A10234" s="193" t="s">
        <v>31095</v>
      </c>
      <c r="D10234" s="199"/>
      <c r="E10234" s="193"/>
      <c r="F10234" s="195" t="s">
        <v>31096</v>
      </c>
      <c r="G10234" s="222"/>
      <c r="H10234" s="197">
        <v>24.99</v>
      </c>
      <c r="I10234" s="193" t="s">
        <v>16815</v>
      </c>
      <c r="L10234" s="201" t="s">
        <v>16835</v>
      </c>
      <c r="M10234" s="199"/>
      <c r="N10234" s="199"/>
    </row>
    <row r="10235">
      <c r="A10235" s="193" t="s">
        <v>31097</v>
      </c>
      <c r="D10235" s="199"/>
      <c r="E10235" s="193"/>
      <c r="F10235" s="195" t="s">
        <v>31098</v>
      </c>
      <c r="G10235" s="222"/>
      <c r="H10235" s="197">
        <v>28.49</v>
      </c>
      <c r="I10235" s="193" t="s">
        <v>16815</v>
      </c>
      <c r="L10235" s="201" t="s">
        <v>16835</v>
      </c>
      <c r="M10235" s="199"/>
      <c r="N10235" s="199"/>
    </row>
    <row r="10236">
      <c r="A10236" s="193" t="s">
        <v>31099</v>
      </c>
      <c r="D10236" s="199"/>
      <c r="E10236" s="193"/>
      <c r="F10236" s="195" t="s">
        <v>31100</v>
      </c>
      <c r="G10236" s="222"/>
      <c r="H10236" s="197">
        <v>17.26</v>
      </c>
      <c r="I10236" s="193" t="s">
        <v>16815</v>
      </c>
      <c r="L10236" s="201" t="s">
        <v>16835</v>
      </c>
      <c r="M10236" s="199"/>
      <c r="N10236" s="199"/>
    </row>
    <row r="10237">
      <c r="A10237" s="193" t="s">
        <v>31101</v>
      </c>
      <c r="D10237" s="194">
        <v>2023.0</v>
      </c>
      <c r="E10237" s="193"/>
      <c r="F10237" s="195" t="s">
        <v>31102</v>
      </c>
      <c r="G10237" s="222"/>
      <c r="H10237" s="197">
        <v>25.0168</v>
      </c>
      <c r="I10237" s="193" t="s">
        <v>16815</v>
      </c>
      <c r="L10237" s="201" t="s">
        <v>16835</v>
      </c>
      <c r="M10237" s="194"/>
      <c r="N10237" s="194"/>
    </row>
    <row r="10238">
      <c r="A10238" s="193" t="s">
        <v>31103</v>
      </c>
      <c r="D10238" s="199"/>
      <c r="E10238" s="193"/>
      <c r="F10238" s="195" t="s">
        <v>31104</v>
      </c>
      <c r="G10238" s="222"/>
      <c r="H10238" s="197">
        <v>13.11</v>
      </c>
      <c r="I10238" s="193" t="s">
        <v>16815</v>
      </c>
      <c r="L10238" s="201" t="s">
        <v>16835</v>
      </c>
      <c r="M10238" s="199"/>
      <c r="N10238" s="199"/>
    </row>
    <row r="10239">
      <c r="A10239" s="193" t="s">
        <v>31105</v>
      </c>
      <c r="D10239" s="199"/>
      <c r="E10239" s="193"/>
      <c r="F10239" s="195" t="s">
        <v>31106</v>
      </c>
      <c r="G10239" s="222"/>
      <c r="H10239" s="197">
        <v>11.3393</v>
      </c>
      <c r="I10239" s="193" t="s">
        <v>16815</v>
      </c>
      <c r="L10239" s="201" t="s">
        <v>16835</v>
      </c>
      <c r="M10239" s="199"/>
      <c r="N10239" s="199"/>
    </row>
    <row r="10240">
      <c r="A10240" s="193" t="s">
        <v>31107</v>
      </c>
      <c r="D10240" s="199"/>
      <c r="E10240" s="193"/>
      <c r="F10240" s="195" t="s">
        <v>31108</v>
      </c>
      <c r="G10240" s="222"/>
      <c r="H10240" s="197">
        <v>23.8</v>
      </c>
      <c r="I10240" s="193" t="s">
        <v>16815</v>
      </c>
      <c r="L10240" s="201" t="s">
        <v>16835</v>
      </c>
      <c r="M10240" s="199"/>
      <c r="N10240" s="199"/>
    </row>
    <row r="10241">
      <c r="A10241" s="193" t="s">
        <v>31109</v>
      </c>
      <c r="D10241" s="199"/>
      <c r="E10241" s="193"/>
      <c r="F10241" s="195" t="s">
        <v>31110</v>
      </c>
      <c r="G10241" s="222"/>
      <c r="H10241" s="197">
        <v>17.23</v>
      </c>
      <c r="I10241" s="193" t="s">
        <v>16815</v>
      </c>
      <c r="L10241" s="201" t="s">
        <v>16835</v>
      </c>
      <c r="M10241" s="199"/>
      <c r="N10241" s="199"/>
    </row>
    <row r="10242">
      <c r="A10242" s="193" t="s">
        <v>31111</v>
      </c>
      <c r="D10242" s="199"/>
      <c r="E10242" s="193"/>
      <c r="F10242" s="195" t="s">
        <v>31112</v>
      </c>
      <c r="G10242" s="222"/>
      <c r="H10242" s="197">
        <v>17.54</v>
      </c>
      <c r="I10242" s="193" t="s">
        <v>16815</v>
      </c>
      <c r="L10242" s="201" t="s">
        <v>16835</v>
      </c>
      <c r="M10242" s="199"/>
      <c r="N10242" s="199"/>
    </row>
    <row r="10243">
      <c r="A10243" s="193" t="s">
        <v>31113</v>
      </c>
      <c r="D10243" s="199"/>
      <c r="E10243" s="193"/>
      <c r="F10243" s="195" t="s">
        <v>31114</v>
      </c>
      <c r="G10243" s="222"/>
      <c r="H10243" s="197">
        <v>19.2</v>
      </c>
      <c r="I10243" s="193" t="s">
        <v>16815</v>
      </c>
      <c r="L10243" s="201" t="s">
        <v>16835</v>
      </c>
      <c r="M10243" s="199"/>
      <c r="N10243" s="199"/>
    </row>
    <row r="10244">
      <c r="A10244" s="193" t="s">
        <v>31115</v>
      </c>
      <c r="D10244" s="199"/>
      <c r="E10244" s="193"/>
      <c r="F10244" s="195" t="s">
        <v>31116</v>
      </c>
      <c r="G10244" s="222"/>
      <c r="H10244" s="197">
        <v>20.91</v>
      </c>
      <c r="I10244" s="193" t="s">
        <v>16815</v>
      </c>
      <c r="L10244" s="201" t="s">
        <v>16835</v>
      </c>
      <c r="M10244" s="199"/>
      <c r="N10244" s="199"/>
    </row>
    <row r="10245">
      <c r="A10245" s="193" t="s">
        <v>31117</v>
      </c>
      <c r="D10245" s="199"/>
      <c r="E10245" s="193"/>
      <c r="F10245" s="195" t="s">
        <v>31118</v>
      </c>
      <c r="G10245" s="222"/>
      <c r="H10245" s="197">
        <v>19.09</v>
      </c>
      <c r="I10245" s="193" t="s">
        <v>16815</v>
      </c>
      <c r="L10245" s="201" t="s">
        <v>16835</v>
      </c>
      <c r="M10245" s="199"/>
      <c r="N10245" s="199"/>
    </row>
    <row r="10246">
      <c r="A10246" s="193" t="s">
        <v>31119</v>
      </c>
      <c r="D10246" s="199"/>
      <c r="E10246" s="193"/>
      <c r="F10246" s="195" t="s">
        <v>31120</v>
      </c>
      <c r="G10246" s="222"/>
      <c r="H10246" s="197">
        <v>20.9</v>
      </c>
      <c r="I10246" s="193" t="s">
        <v>16815</v>
      </c>
      <c r="L10246" s="201" t="s">
        <v>16835</v>
      </c>
      <c r="M10246" s="199"/>
      <c r="N10246" s="199"/>
    </row>
    <row r="10247">
      <c r="A10247" s="193" t="s">
        <v>31121</v>
      </c>
      <c r="D10247" s="199"/>
      <c r="E10247" s="193"/>
      <c r="F10247" s="195" t="s">
        <v>31776</v>
      </c>
      <c r="G10247" s="222"/>
      <c r="H10247" s="197">
        <v>17.5</v>
      </c>
      <c r="I10247" s="193" t="s">
        <v>16815</v>
      </c>
      <c r="L10247" s="201" t="s">
        <v>16835</v>
      </c>
      <c r="M10247" s="199"/>
      <c r="N10247" s="199"/>
    </row>
    <row r="10248">
      <c r="A10248" s="193" t="s">
        <v>31123</v>
      </c>
      <c r="D10248" s="199"/>
      <c r="E10248" s="193"/>
      <c r="F10248" s="195" t="s">
        <v>31124</v>
      </c>
      <c r="G10248" s="222"/>
      <c r="H10248" s="197">
        <v>20.57</v>
      </c>
      <c r="I10248" s="193" t="s">
        <v>16815</v>
      </c>
      <c r="L10248" s="201" t="s">
        <v>16835</v>
      </c>
      <c r="M10248" s="199"/>
      <c r="N10248" s="199"/>
    </row>
    <row r="10249">
      <c r="A10249" s="193" t="s">
        <v>31125</v>
      </c>
      <c r="D10249" s="199"/>
      <c r="E10249" s="193"/>
      <c r="F10249" s="195" t="s">
        <v>31126</v>
      </c>
      <c r="G10249" s="222"/>
      <c r="H10249" s="197">
        <v>15.9</v>
      </c>
      <c r="I10249" s="7" t="s">
        <v>22135</v>
      </c>
      <c r="L10249" s="201" t="s">
        <v>16835</v>
      </c>
      <c r="M10249" s="199"/>
      <c r="N10249" s="199"/>
    </row>
    <row r="10250">
      <c r="A10250" s="193"/>
      <c r="D10250" s="194"/>
      <c r="E10250" s="193"/>
      <c r="F10250" s="195"/>
      <c r="G10250" s="196"/>
      <c r="L10250" s="198"/>
      <c r="M10250" s="194"/>
      <c r="N10250" s="194"/>
    </row>
    <row r="10251">
      <c r="A10251" s="193"/>
      <c r="D10251" s="194"/>
      <c r="E10251" s="193"/>
      <c r="F10251" s="195"/>
      <c r="G10251" s="200"/>
      <c r="L10251" s="201"/>
      <c r="M10251" s="194"/>
      <c r="N10251" s="194"/>
    </row>
    <row r="10252">
      <c r="A10252" s="193" t="s">
        <v>31127</v>
      </c>
      <c r="D10252" s="199"/>
      <c r="E10252" s="193"/>
      <c r="F10252" s="195" t="s">
        <v>31128</v>
      </c>
      <c r="G10252" s="222"/>
      <c r="H10252" s="197">
        <v>19.75</v>
      </c>
      <c r="L10252" s="201" t="s">
        <v>16835</v>
      </c>
      <c r="M10252" s="199"/>
      <c r="N10252" s="199"/>
    </row>
    <row r="10253">
      <c r="A10253" s="193" t="s">
        <v>31129</v>
      </c>
      <c r="D10253" s="199"/>
      <c r="E10253" s="193"/>
      <c r="F10253" s="195" t="s">
        <v>31130</v>
      </c>
      <c r="G10253" s="222"/>
      <c r="H10253" s="197">
        <v>28.6301</v>
      </c>
      <c r="L10253" s="201" t="s">
        <v>16835</v>
      </c>
      <c r="M10253" s="199"/>
      <c r="N10253" s="199"/>
    </row>
    <row r="10254">
      <c r="A10254" s="193" t="s">
        <v>31131</v>
      </c>
      <c r="D10254" s="199"/>
      <c r="E10254" s="193"/>
      <c r="F10254" s="195" t="s">
        <v>31132</v>
      </c>
      <c r="G10254" s="222"/>
      <c r="H10254" s="197">
        <v>24.3895</v>
      </c>
      <c r="L10254" s="201" t="s">
        <v>16835</v>
      </c>
      <c r="M10254" s="199"/>
      <c r="N10254" s="199"/>
    </row>
    <row r="10255">
      <c r="A10255" s="193" t="s">
        <v>31133</v>
      </c>
      <c r="D10255" s="199"/>
      <c r="E10255" s="193"/>
      <c r="F10255" s="195" t="s">
        <v>31134</v>
      </c>
      <c r="G10255" s="222"/>
      <c r="H10255" s="197">
        <v>25.03</v>
      </c>
      <c r="L10255" s="201" t="s">
        <v>16835</v>
      </c>
      <c r="M10255" s="199"/>
      <c r="N10255" s="199"/>
    </row>
    <row r="10256">
      <c r="A10256" s="193" t="s">
        <v>31135</v>
      </c>
      <c r="D10256" s="199"/>
      <c r="E10256" s="193"/>
      <c r="F10256" s="195" t="s">
        <v>31136</v>
      </c>
      <c r="G10256" s="222"/>
      <c r="H10256" s="197">
        <v>25.19</v>
      </c>
      <c r="L10256" s="201" t="s">
        <v>16835</v>
      </c>
      <c r="M10256" s="199"/>
      <c r="N10256" s="199"/>
    </row>
    <row r="10257">
      <c r="A10257" s="193" t="s">
        <v>31137</v>
      </c>
      <c r="D10257" s="199"/>
      <c r="E10257" s="193"/>
      <c r="F10257" s="195" t="s">
        <v>31138</v>
      </c>
      <c r="G10257" s="222"/>
      <c r="H10257" s="197">
        <v>25.2</v>
      </c>
      <c r="L10257" s="201" t="s">
        <v>16835</v>
      </c>
      <c r="M10257" s="199"/>
      <c r="N10257" s="199"/>
    </row>
    <row r="10258">
      <c r="A10258" s="193" t="s">
        <v>31139</v>
      </c>
      <c r="D10258" s="199"/>
      <c r="E10258" s="193"/>
      <c r="F10258" s="195" t="s">
        <v>31140</v>
      </c>
      <c r="G10258" s="222"/>
      <c r="H10258" s="197">
        <v>85.41</v>
      </c>
      <c r="L10258" s="201" t="s">
        <v>16835</v>
      </c>
      <c r="M10258" s="199"/>
      <c r="N10258" s="199"/>
    </row>
    <row r="10259">
      <c r="A10259" s="193" t="s">
        <v>31141</v>
      </c>
      <c r="D10259" s="199"/>
      <c r="E10259" s="193"/>
      <c r="F10259" s="195" t="s">
        <v>31142</v>
      </c>
      <c r="G10259" s="222"/>
      <c r="H10259" s="197">
        <v>19.99</v>
      </c>
      <c r="L10259" s="201" t="s">
        <v>16835</v>
      </c>
      <c r="M10259" s="199"/>
      <c r="N10259" s="199"/>
    </row>
    <row r="10260">
      <c r="A10260" s="193" t="s">
        <v>31143</v>
      </c>
      <c r="D10260" s="199"/>
      <c r="E10260" s="193"/>
      <c r="F10260" s="195" t="s">
        <v>31144</v>
      </c>
      <c r="G10260" s="222"/>
      <c r="H10260" s="197">
        <v>15.9399</v>
      </c>
      <c r="L10260" s="201" t="s">
        <v>16835</v>
      </c>
      <c r="M10260" s="199"/>
      <c r="N10260" s="199"/>
    </row>
    <row r="10261">
      <c r="A10261" s="193" t="s">
        <v>31145</v>
      </c>
      <c r="D10261" s="199"/>
      <c r="E10261" s="193"/>
      <c r="F10261" s="195" t="s">
        <v>31146</v>
      </c>
      <c r="G10261" s="222"/>
      <c r="H10261" s="197">
        <v>23.1207</v>
      </c>
      <c r="L10261" s="201" t="s">
        <v>16835</v>
      </c>
      <c r="M10261" s="199"/>
      <c r="N10261" s="199"/>
    </row>
    <row r="10262">
      <c r="A10262" s="193" t="s">
        <v>31147</v>
      </c>
      <c r="D10262" s="199"/>
      <c r="E10262" s="193"/>
      <c r="F10262" s="195" t="s">
        <v>31148</v>
      </c>
      <c r="G10262" s="222"/>
      <c r="H10262" s="197">
        <v>24.1498</v>
      </c>
      <c r="L10262" s="201" t="s">
        <v>16835</v>
      </c>
      <c r="M10262" s="199"/>
      <c r="N10262" s="199"/>
    </row>
    <row r="10263">
      <c r="A10263" s="193" t="s">
        <v>31149</v>
      </c>
      <c r="D10263" s="199"/>
      <c r="E10263" s="193"/>
      <c r="F10263" s="195" t="s">
        <v>31150</v>
      </c>
      <c r="G10263" s="222"/>
      <c r="H10263" s="197">
        <v>24.474</v>
      </c>
      <c r="L10263" s="201" t="s">
        <v>16835</v>
      </c>
      <c r="M10263" s="199"/>
      <c r="N10263" s="199"/>
    </row>
    <row r="10264">
      <c r="A10264" s="193" t="s">
        <v>31151</v>
      </c>
      <c r="D10264" s="199"/>
      <c r="E10264" s="193"/>
      <c r="F10264" s="195" t="s">
        <v>31152</v>
      </c>
      <c r="G10264" s="222"/>
      <c r="H10264" s="197">
        <v>17.67</v>
      </c>
      <c r="L10264" s="201" t="s">
        <v>16835</v>
      </c>
      <c r="M10264" s="199"/>
      <c r="N10264" s="199"/>
    </row>
    <row r="10265">
      <c r="A10265" s="193" t="s">
        <v>31153</v>
      </c>
      <c r="D10265" s="199"/>
      <c r="E10265" s="193"/>
      <c r="F10265" s="195" t="s">
        <v>31154</v>
      </c>
      <c r="G10265" s="222"/>
      <c r="H10265" s="197">
        <v>17.05</v>
      </c>
      <c r="L10265" s="201" t="s">
        <v>16835</v>
      </c>
      <c r="M10265" s="199"/>
      <c r="N10265" s="199"/>
    </row>
    <row r="10266">
      <c r="A10266" s="193" t="s">
        <v>31155</v>
      </c>
      <c r="D10266" s="199"/>
      <c r="E10266" s="193"/>
      <c r="F10266" s="195" t="s">
        <v>31156</v>
      </c>
      <c r="G10266" s="222"/>
      <c r="H10266" s="197">
        <v>16.39</v>
      </c>
      <c r="L10266" s="201" t="s">
        <v>16835</v>
      </c>
      <c r="M10266" s="199"/>
      <c r="N10266" s="199"/>
    </row>
    <row r="10267">
      <c r="A10267" s="193" t="s">
        <v>31157</v>
      </c>
      <c r="D10267" s="199"/>
      <c r="E10267" s="193"/>
      <c r="F10267" s="195" t="s">
        <v>31158</v>
      </c>
      <c r="G10267" s="222"/>
      <c r="H10267" s="197">
        <v>15.4</v>
      </c>
      <c r="L10267" s="201" t="s">
        <v>16835</v>
      </c>
      <c r="M10267" s="199"/>
      <c r="N10267" s="199"/>
    </row>
    <row r="10268">
      <c r="A10268" s="193" t="s">
        <v>31159</v>
      </c>
      <c r="D10268" s="199"/>
      <c r="E10268" s="193"/>
      <c r="F10268" s="195" t="s">
        <v>31160</v>
      </c>
      <c r="G10268" s="222"/>
      <c r="H10268" s="197">
        <v>15.02</v>
      </c>
      <c r="L10268" s="201" t="s">
        <v>16835</v>
      </c>
      <c r="M10268" s="199"/>
      <c r="N10268" s="199"/>
    </row>
    <row r="10269">
      <c r="A10269" s="193" t="s">
        <v>31161</v>
      </c>
      <c r="D10269" s="199"/>
      <c r="E10269" s="193"/>
      <c r="F10269" s="195" t="s">
        <v>31162</v>
      </c>
      <c r="G10269" s="222"/>
      <c r="H10269" s="197">
        <v>3.96</v>
      </c>
      <c r="L10269" s="201" t="s">
        <v>16835</v>
      </c>
      <c r="M10269" s="199"/>
      <c r="N10269" s="199"/>
    </row>
    <row r="10270">
      <c r="A10270" s="193" t="s">
        <v>31163</v>
      </c>
      <c r="D10270" s="199"/>
      <c r="E10270" s="193"/>
      <c r="F10270" s="195" t="s">
        <v>31164</v>
      </c>
      <c r="G10270" s="222"/>
      <c r="H10270" s="197">
        <v>10.48</v>
      </c>
      <c r="L10270" s="201" t="s">
        <v>16835</v>
      </c>
      <c r="M10270" s="199"/>
      <c r="N10270" s="199"/>
    </row>
    <row r="10271">
      <c r="A10271" s="193" t="s">
        <v>31165</v>
      </c>
      <c r="D10271" s="199"/>
      <c r="E10271" s="193"/>
      <c r="F10271" s="195" t="s">
        <v>31164</v>
      </c>
      <c r="G10271" s="222"/>
      <c r="H10271" s="197">
        <v>9.33</v>
      </c>
      <c r="L10271" s="201" t="s">
        <v>16835</v>
      </c>
      <c r="M10271" s="199"/>
      <c r="N10271" s="199"/>
    </row>
    <row r="10272">
      <c r="A10272" s="193" t="s">
        <v>31166</v>
      </c>
      <c r="D10272" s="199"/>
      <c r="E10272" s="193"/>
      <c r="F10272" s="195" t="s">
        <v>31167</v>
      </c>
      <c r="G10272" s="222"/>
      <c r="H10272" s="197">
        <v>23.9999</v>
      </c>
      <c r="L10272" s="201" t="s">
        <v>16835</v>
      </c>
      <c r="M10272" s="199"/>
      <c r="N10272" s="199"/>
    </row>
    <row r="10273">
      <c r="A10273" s="193" t="s">
        <v>31168</v>
      </c>
      <c r="D10273" s="199"/>
      <c r="E10273" s="193"/>
      <c r="F10273" s="195" t="s">
        <v>31169</v>
      </c>
      <c r="G10273" s="222"/>
      <c r="H10273" s="197">
        <v>52.5</v>
      </c>
      <c r="L10273" s="201" t="s">
        <v>16835</v>
      </c>
      <c r="M10273" s="199"/>
      <c r="N10273" s="199"/>
    </row>
    <row r="10274">
      <c r="A10274" s="193" t="s">
        <v>31170</v>
      </c>
      <c r="D10274" s="199"/>
      <c r="E10274" s="193"/>
      <c r="F10274" s="195" t="s">
        <v>31171</v>
      </c>
      <c r="G10274" s="222"/>
      <c r="H10274" s="197">
        <v>67.9998</v>
      </c>
      <c r="L10274" s="201" t="s">
        <v>16835</v>
      </c>
      <c r="M10274" s="199"/>
      <c r="N10274" s="199"/>
    </row>
    <row r="10275">
      <c r="A10275" s="193" t="s">
        <v>31172</v>
      </c>
      <c r="D10275" s="199"/>
      <c r="E10275" s="193"/>
      <c r="F10275" s="195" t="s">
        <v>31173</v>
      </c>
      <c r="G10275" s="222"/>
      <c r="H10275" s="197">
        <v>18.82</v>
      </c>
      <c r="L10275" s="201" t="s">
        <v>16835</v>
      </c>
      <c r="M10275" s="199"/>
      <c r="N10275" s="199"/>
    </row>
    <row r="10276">
      <c r="A10276" s="193" t="s">
        <v>31174</v>
      </c>
      <c r="D10276" s="199"/>
      <c r="E10276" s="193"/>
      <c r="F10276" s="195" t="s">
        <v>31175</v>
      </c>
      <c r="G10276" s="222"/>
      <c r="H10276" s="197">
        <v>25.1931</v>
      </c>
      <c r="L10276" s="201" t="s">
        <v>16835</v>
      </c>
      <c r="M10276" s="199"/>
      <c r="N10276" s="199"/>
    </row>
    <row r="10277">
      <c r="A10277" s="193" t="s">
        <v>31176</v>
      </c>
      <c r="D10277" s="199"/>
      <c r="E10277" s="193"/>
      <c r="F10277" s="195" t="s">
        <v>31177</v>
      </c>
      <c r="G10277" s="222"/>
      <c r="H10277" s="197">
        <v>24.88</v>
      </c>
      <c r="L10277" s="201" t="s">
        <v>16835</v>
      </c>
      <c r="M10277" s="199"/>
      <c r="N10277" s="199"/>
    </row>
    <row r="10278">
      <c r="A10278" s="193" t="s">
        <v>31178</v>
      </c>
      <c r="D10278" s="199"/>
      <c r="E10278" s="193"/>
      <c r="F10278" s="195" t="s">
        <v>31179</v>
      </c>
      <c r="G10278" s="222"/>
      <c r="H10278" s="197">
        <v>21.45</v>
      </c>
      <c r="L10278" s="201" t="s">
        <v>16835</v>
      </c>
      <c r="M10278" s="199"/>
      <c r="N10278" s="199"/>
    </row>
    <row r="10279">
      <c r="A10279" s="193" t="s">
        <v>31180</v>
      </c>
      <c r="D10279" s="199"/>
      <c r="E10279" s="193"/>
      <c r="F10279" s="195" t="s">
        <v>31181</v>
      </c>
      <c r="G10279" s="222"/>
      <c r="H10279" s="197">
        <v>20.91</v>
      </c>
      <c r="L10279" s="201" t="s">
        <v>16835</v>
      </c>
      <c r="M10279" s="199"/>
      <c r="N10279" s="199"/>
    </row>
    <row r="10280">
      <c r="A10280" s="193" t="s">
        <v>31182</v>
      </c>
      <c r="D10280" s="199"/>
      <c r="E10280" s="193"/>
      <c r="F10280" s="195" t="s">
        <v>31183</v>
      </c>
      <c r="G10280" s="222"/>
      <c r="H10280" s="197">
        <v>20.81</v>
      </c>
      <c r="L10280" s="201" t="s">
        <v>16835</v>
      </c>
      <c r="M10280" s="199"/>
      <c r="N10280" s="199"/>
    </row>
    <row r="10281">
      <c r="A10281" s="193" t="s">
        <v>31184</v>
      </c>
      <c r="D10281" s="199"/>
      <c r="E10281" s="193"/>
      <c r="F10281" s="195" t="s">
        <v>31185</v>
      </c>
      <c r="G10281" s="222"/>
      <c r="H10281" s="197">
        <v>23.12</v>
      </c>
      <c r="L10281" s="201" t="s">
        <v>16835</v>
      </c>
      <c r="M10281" s="199"/>
      <c r="N10281" s="199"/>
    </row>
    <row r="10282">
      <c r="A10282" s="193" t="s">
        <v>31186</v>
      </c>
      <c r="D10282" s="199"/>
      <c r="E10282" s="193"/>
      <c r="F10282" s="195" t="s">
        <v>31187</v>
      </c>
      <c r="G10282" s="222"/>
      <c r="H10282" s="197">
        <v>24.77</v>
      </c>
      <c r="L10282" s="201" t="s">
        <v>16835</v>
      </c>
      <c r="M10282" s="199"/>
      <c r="N10282" s="199"/>
    </row>
    <row r="10283">
      <c r="A10283" s="193" t="s">
        <v>31188</v>
      </c>
      <c r="D10283" s="199"/>
      <c r="E10283" s="193"/>
      <c r="F10283" s="195" t="s">
        <v>31189</v>
      </c>
      <c r="G10283" s="222"/>
      <c r="H10283" s="197">
        <v>20.44</v>
      </c>
      <c r="L10283" s="201" t="s">
        <v>16835</v>
      </c>
      <c r="M10283" s="199"/>
      <c r="N10283" s="199"/>
    </row>
    <row r="10284">
      <c r="A10284" s="193" t="s">
        <v>31190</v>
      </c>
      <c r="D10284" s="199"/>
      <c r="E10284" s="193"/>
      <c r="F10284" s="195" t="s">
        <v>31191</v>
      </c>
      <c r="G10284" s="222"/>
      <c r="H10284" s="197">
        <v>23.08</v>
      </c>
      <c r="L10284" s="201" t="s">
        <v>16835</v>
      </c>
      <c r="M10284" s="199"/>
      <c r="N10284" s="199"/>
    </row>
    <row r="10285">
      <c r="A10285" s="193" t="s">
        <v>31192</v>
      </c>
      <c r="D10285" s="199"/>
      <c r="E10285" s="193"/>
      <c r="F10285" s="195" t="s">
        <v>31193</v>
      </c>
      <c r="G10285" s="222"/>
      <c r="H10285" s="197">
        <v>20.46</v>
      </c>
      <c r="L10285" s="201" t="s">
        <v>16835</v>
      </c>
      <c r="M10285" s="199"/>
      <c r="N10285" s="199"/>
    </row>
    <row r="10286">
      <c r="A10286" s="193" t="s">
        <v>31194</v>
      </c>
      <c r="D10286" s="199"/>
      <c r="E10286" s="193"/>
      <c r="F10286" s="195" t="s">
        <v>31195</v>
      </c>
      <c r="G10286" s="222"/>
      <c r="H10286" s="197">
        <v>25.398</v>
      </c>
      <c r="L10286" s="201" t="s">
        <v>16835</v>
      </c>
      <c r="M10286" s="199"/>
      <c r="N10286" s="199"/>
    </row>
    <row r="10287">
      <c r="A10287" s="193" t="s">
        <v>31196</v>
      </c>
      <c r="D10287" s="199"/>
      <c r="E10287" s="193"/>
      <c r="F10287" s="195" t="s">
        <v>31197</v>
      </c>
      <c r="G10287" s="222"/>
      <c r="H10287" s="197">
        <v>25.285</v>
      </c>
      <c r="L10287" s="201" t="s">
        <v>16835</v>
      </c>
      <c r="M10287" s="199"/>
      <c r="N10287" s="199"/>
    </row>
    <row r="10288">
      <c r="A10288" s="193" t="s">
        <v>31198</v>
      </c>
      <c r="D10288" s="199"/>
      <c r="E10288" s="193"/>
      <c r="F10288" s="195" t="s">
        <v>31199</v>
      </c>
      <c r="G10288" s="222"/>
      <c r="H10288" s="197">
        <v>24.0</v>
      </c>
      <c r="L10288" s="201" t="s">
        <v>16835</v>
      </c>
      <c r="M10288" s="199"/>
      <c r="N10288" s="199"/>
    </row>
    <row r="10289">
      <c r="A10289" s="193" t="s">
        <v>31200</v>
      </c>
      <c r="D10289" s="199"/>
      <c r="E10289" s="193"/>
      <c r="F10289" s="195" t="s">
        <v>31201</v>
      </c>
      <c r="G10289" s="222"/>
      <c r="H10289" s="197">
        <v>22.67</v>
      </c>
      <c r="L10289" s="201" t="s">
        <v>16835</v>
      </c>
      <c r="M10289" s="199"/>
      <c r="N10289" s="199"/>
    </row>
    <row r="10290">
      <c r="A10290" s="193" t="s">
        <v>31202</v>
      </c>
      <c r="D10290" s="199"/>
      <c r="E10290" s="193"/>
      <c r="F10290" s="195" t="s">
        <v>31203</v>
      </c>
      <c r="G10290" s="222"/>
      <c r="H10290" s="197">
        <v>19.623</v>
      </c>
      <c r="L10290" s="201" t="s">
        <v>16835</v>
      </c>
      <c r="M10290" s="199"/>
      <c r="N10290" s="199"/>
    </row>
    <row r="10291">
      <c r="A10291" s="193" t="s">
        <v>31206</v>
      </c>
      <c r="D10291" s="199"/>
      <c r="E10291" s="193"/>
      <c r="F10291" s="195" t="s">
        <v>31207</v>
      </c>
      <c r="G10291" s="222"/>
      <c r="H10291" s="197">
        <v>22.44</v>
      </c>
      <c r="L10291" s="201" t="s">
        <v>16835</v>
      </c>
      <c r="M10291" s="199"/>
      <c r="N10291" s="199"/>
    </row>
    <row r="10292">
      <c r="A10292" s="193" t="s">
        <v>31208</v>
      </c>
      <c r="D10292" s="199"/>
      <c r="E10292" s="193"/>
      <c r="F10292" s="195" t="s">
        <v>31209</v>
      </c>
      <c r="G10292" s="222"/>
      <c r="H10292" s="197">
        <v>19.4</v>
      </c>
      <c r="L10292" s="201" t="s">
        <v>16835</v>
      </c>
      <c r="M10292" s="199"/>
      <c r="N10292" s="199"/>
    </row>
    <row r="10293">
      <c r="A10293" s="193" t="s">
        <v>31210</v>
      </c>
      <c r="D10293" s="199"/>
      <c r="E10293" s="193"/>
      <c r="F10293" s="195" t="s">
        <v>31211</v>
      </c>
      <c r="G10293" s="222"/>
      <c r="H10293" s="197">
        <v>22.9</v>
      </c>
      <c r="L10293" s="201" t="s">
        <v>16835</v>
      </c>
      <c r="M10293" s="199"/>
      <c r="N10293" s="199"/>
    </row>
    <row r="10294">
      <c r="A10294" s="193" t="s">
        <v>31212</v>
      </c>
      <c r="D10294" s="199"/>
      <c r="E10294" s="193"/>
      <c r="F10294" s="195" t="s">
        <v>31213</v>
      </c>
      <c r="G10294" s="222"/>
      <c r="H10294" s="197">
        <v>45.51</v>
      </c>
      <c r="L10294" s="201" t="s">
        <v>16835</v>
      </c>
      <c r="M10294" s="199"/>
      <c r="N10294" s="199"/>
    </row>
    <row r="10295">
      <c r="A10295" s="193" t="s">
        <v>31214</v>
      </c>
      <c r="D10295" s="199"/>
      <c r="E10295" s="193"/>
      <c r="F10295" s="195" t="s">
        <v>31215</v>
      </c>
      <c r="G10295" s="222"/>
      <c r="H10295" s="197">
        <v>19.85</v>
      </c>
      <c r="L10295" s="201" t="s">
        <v>16835</v>
      </c>
      <c r="M10295" s="199"/>
      <c r="N10295" s="199"/>
    </row>
    <row r="10296">
      <c r="A10296" s="193" t="s">
        <v>31216</v>
      </c>
      <c r="D10296" s="199"/>
      <c r="E10296" s="193"/>
      <c r="F10296" s="195" t="s">
        <v>31217</v>
      </c>
      <c r="G10296" s="222"/>
      <c r="H10296" s="197">
        <v>26.42</v>
      </c>
      <c r="L10296" s="201" t="s">
        <v>16835</v>
      </c>
      <c r="M10296" s="199"/>
      <c r="N10296" s="199"/>
    </row>
    <row r="10297">
      <c r="A10297" s="193" t="s">
        <v>31218</v>
      </c>
      <c r="D10297" s="199"/>
      <c r="E10297" s="193"/>
      <c r="F10297" s="195" t="s">
        <v>31219</v>
      </c>
      <c r="G10297" s="222"/>
      <c r="H10297" s="197">
        <v>18.75</v>
      </c>
      <c r="L10297" s="201" t="s">
        <v>16835</v>
      </c>
      <c r="M10297" s="199"/>
      <c r="N10297" s="199"/>
    </row>
    <row r="10298">
      <c r="A10298" s="193" t="s">
        <v>31220</v>
      </c>
      <c r="D10298" s="199"/>
      <c r="E10298" s="193"/>
      <c r="F10298" s="195" t="s">
        <v>31221</v>
      </c>
      <c r="G10298" s="222"/>
      <c r="H10298" s="197">
        <v>24.625</v>
      </c>
      <c r="L10298" s="201" t="s">
        <v>16835</v>
      </c>
      <c r="M10298" s="199"/>
      <c r="N10298" s="199"/>
    </row>
    <row r="10299">
      <c r="A10299" s="193" t="s">
        <v>31222</v>
      </c>
      <c r="D10299" s="199"/>
      <c r="E10299" s="193"/>
      <c r="F10299" s="195" t="s">
        <v>31223</v>
      </c>
      <c r="G10299" s="222"/>
      <c r="H10299" s="197">
        <v>18.85</v>
      </c>
      <c r="L10299" s="201" t="s">
        <v>16835</v>
      </c>
      <c r="M10299" s="199"/>
      <c r="N10299" s="199"/>
    </row>
    <row r="10300">
      <c r="A10300" s="193" t="s">
        <v>31224</v>
      </c>
      <c r="D10300" s="199"/>
      <c r="E10300" s="193"/>
      <c r="F10300" s="195" t="s">
        <v>31225</v>
      </c>
      <c r="G10300" s="222"/>
      <c r="H10300" s="197">
        <v>14.65</v>
      </c>
      <c r="L10300" s="201" t="s">
        <v>16835</v>
      </c>
      <c r="M10300" s="199"/>
      <c r="N10300" s="199"/>
    </row>
    <row r="10301">
      <c r="A10301" s="193" t="s">
        <v>31226</v>
      </c>
      <c r="D10301" s="199"/>
      <c r="E10301" s="193"/>
      <c r="F10301" s="195" t="s">
        <v>31227</v>
      </c>
      <c r="G10301" s="222"/>
      <c r="H10301" s="197">
        <v>25.1193</v>
      </c>
      <c r="L10301" s="201" t="s">
        <v>16835</v>
      </c>
      <c r="M10301" s="199"/>
      <c r="N10301" s="199"/>
    </row>
    <row r="10302">
      <c r="A10302" s="193" t="s">
        <v>31228</v>
      </c>
      <c r="D10302" s="199"/>
      <c r="E10302" s="193"/>
      <c r="F10302" s="195" t="s">
        <v>31229</v>
      </c>
      <c r="G10302" s="222"/>
      <c r="H10302" s="197">
        <v>25.07</v>
      </c>
      <c r="L10302" s="201" t="s">
        <v>16835</v>
      </c>
      <c r="M10302" s="199"/>
      <c r="N10302" s="199"/>
    </row>
    <row r="10303">
      <c r="A10303" s="193" t="s">
        <v>31230</v>
      </c>
      <c r="D10303" s="199"/>
      <c r="E10303" s="193"/>
      <c r="F10303" s="195" t="s">
        <v>31231</v>
      </c>
      <c r="G10303" s="222"/>
      <c r="H10303" s="197">
        <v>24.66</v>
      </c>
      <c r="L10303" s="201" t="s">
        <v>16835</v>
      </c>
      <c r="M10303" s="199"/>
      <c r="N10303" s="199"/>
    </row>
    <row r="10304">
      <c r="A10304" s="193" t="s">
        <v>31232</v>
      </c>
      <c r="D10304" s="199"/>
      <c r="E10304" s="193"/>
      <c r="F10304" s="195" t="s">
        <v>31233</v>
      </c>
      <c r="G10304" s="222"/>
      <c r="H10304" s="197">
        <v>9.58</v>
      </c>
      <c r="L10304" s="201" t="s">
        <v>16835</v>
      </c>
      <c r="M10304" s="199"/>
      <c r="N10304" s="199"/>
    </row>
    <row r="10305">
      <c r="A10305" s="193" t="s">
        <v>31234</v>
      </c>
      <c r="D10305" s="199"/>
      <c r="E10305" s="193"/>
      <c r="F10305" s="195" t="s">
        <v>31235</v>
      </c>
      <c r="G10305" s="222"/>
      <c r="H10305" s="197">
        <v>22.29</v>
      </c>
      <c r="L10305" s="201" t="s">
        <v>16835</v>
      </c>
      <c r="M10305" s="199"/>
      <c r="N10305" s="199"/>
    </row>
    <row r="10306">
      <c r="A10306" s="193" t="s">
        <v>31236</v>
      </c>
      <c r="D10306" s="199"/>
      <c r="E10306" s="193"/>
      <c r="F10306" s="195" t="s">
        <v>31237</v>
      </c>
      <c r="G10306" s="222"/>
      <c r="H10306" s="197">
        <v>23.38</v>
      </c>
      <c r="L10306" s="201" t="s">
        <v>16835</v>
      </c>
      <c r="M10306" s="199"/>
      <c r="N10306" s="199"/>
    </row>
    <row r="10307">
      <c r="A10307" s="193" t="s">
        <v>31238</v>
      </c>
      <c r="D10307" s="199"/>
      <c r="E10307" s="193"/>
      <c r="F10307" s="195" t="s">
        <v>31239</v>
      </c>
      <c r="G10307" s="222"/>
      <c r="H10307" s="197">
        <v>22.84</v>
      </c>
      <c r="L10307" s="201" t="s">
        <v>16835</v>
      </c>
      <c r="M10307" s="199"/>
      <c r="N10307" s="199"/>
    </row>
    <row r="10308">
      <c r="A10308" s="193" t="s">
        <v>31240</v>
      </c>
      <c r="D10308" s="199"/>
      <c r="E10308" s="193"/>
      <c r="F10308" s="195" t="s">
        <v>31241</v>
      </c>
      <c r="G10308" s="222"/>
      <c r="H10308" s="197">
        <v>22.47</v>
      </c>
      <c r="L10308" s="201" t="s">
        <v>16835</v>
      </c>
      <c r="M10308" s="199"/>
      <c r="N10308" s="199"/>
    </row>
    <row r="10309">
      <c r="A10309" s="193" t="s">
        <v>31242</v>
      </c>
      <c r="D10309" s="199"/>
      <c r="E10309" s="193"/>
      <c r="F10309" s="195" t="s">
        <v>31243</v>
      </c>
      <c r="G10309" s="222"/>
      <c r="H10309" s="197">
        <v>19.09</v>
      </c>
      <c r="L10309" s="201" t="s">
        <v>16835</v>
      </c>
      <c r="M10309" s="199"/>
      <c r="N10309" s="199"/>
    </row>
    <row r="10310">
      <c r="A10310" s="193" t="s">
        <v>31244</v>
      </c>
      <c r="D10310" s="199"/>
      <c r="E10310" s="193"/>
      <c r="F10310" s="195" t="s">
        <v>31245</v>
      </c>
      <c r="G10310" s="222"/>
      <c r="H10310" s="197">
        <v>21.585</v>
      </c>
      <c r="L10310" s="201" t="s">
        <v>16835</v>
      </c>
      <c r="M10310" s="199"/>
      <c r="N10310" s="199"/>
    </row>
    <row r="10311">
      <c r="A10311" s="193" t="s">
        <v>31246</v>
      </c>
      <c r="D10311" s="199"/>
      <c r="E10311" s="193"/>
      <c r="F10311" s="195" t="s">
        <v>31247</v>
      </c>
      <c r="G10311" s="222"/>
      <c r="H10311" s="197">
        <v>21.44</v>
      </c>
      <c r="L10311" s="201" t="s">
        <v>16835</v>
      </c>
      <c r="M10311" s="199"/>
      <c r="N10311" s="199"/>
    </row>
    <row r="10312">
      <c r="A10312" s="193" t="s">
        <v>31248</v>
      </c>
      <c r="D10312" s="199"/>
      <c r="E10312" s="193"/>
      <c r="F10312" s="195" t="s">
        <v>31249</v>
      </c>
      <c r="G10312" s="222"/>
      <c r="H10312" s="197">
        <v>23.56</v>
      </c>
      <c r="L10312" s="201" t="s">
        <v>16835</v>
      </c>
      <c r="M10312" s="199"/>
      <c r="N10312" s="199"/>
    </row>
    <row r="10313">
      <c r="A10313" s="193" t="s">
        <v>31250</v>
      </c>
      <c r="D10313" s="199"/>
      <c r="E10313" s="193"/>
      <c r="F10313" s="195" t="s">
        <v>31251</v>
      </c>
      <c r="G10313" s="222"/>
      <c r="H10313" s="197">
        <v>20.1</v>
      </c>
      <c r="L10313" s="201" t="s">
        <v>16835</v>
      </c>
      <c r="M10313" s="199"/>
      <c r="N10313" s="199"/>
    </row>
    <row r="10314">
      <c r="A10314" s="193" t="s">
        <v>31252</v>
      </c>
      <c r="D10314" s="199"/>
      <c r="E10314" s="193"/>
      <c r="F10314" s="195" t="s">
        <v>31253</v>
      </c>
      <c r="G10314" s="222"/>
      <c r="H10314" s="197">
        <v>14.35</v>
      </c>
      <c r="L10314" s="201" t="s">
        <v>16835</v>
      </c>
      <c r="M10314" s="199"/>
      <c r="N10314" s="199"/>
    </row>
    <row r="10315">
      <c r="A10315" s="193" t="s">
        <v>31254</v>
      </c>
      <c r="D10315" s="199"/>
      <c r="E10315" s="193"/>
      <c r="F10315" s="195" t="s">
        <v>31777</v>
      </c>
      <c r="G10315" s="222"/>
      <c r="H10315" s="197">
        <v>24.01</v>
      </c>
      <c r="L10315" s="201" t="s">
        <v>16835</v>
      </c>
      <c r="M10315" s="199"/>
      <c r="N10315" s="199"/>
    </row>
    <row r="10316">
      <c r="A10316" s="193" t="s">
        <v>31256</v>
      </c>
      <c r="D10316" s="199"/>
      <c r="E10316" s="193"/>
      <c r="F10316" s="195" t="s">
        <v>31257</v>
      </c>
      <c r="G10316" s="222"/>
      <c r="H10316" s="197">
        <v>21.25</v>
      </c>
      <c r="L10316" s="201" t="s">
        <v>16835</v>
      </c>
      <c r="M10316" s="199"/>
      <c r="N10316" s="199"/>
    </row>
    <row r="10317">
      <c r="A10317" s="193" t="s">
        <v>31258</v>
      </c>
      <c r="D10317" s="199"/>
      <c r="E10317" s="193"/>
      <c r="F10317" s="195" t="s">
        <v>31259</v>
      </c>
      <c r="G10317" s="222"/>
      <c r="H10317" s="197">
        <v>20.73</v>
      </c>
      <c r="L10317" s="201" t="s">
        <v>16835</v>
      </c>
      <c r="M10317" s="199"/>
      <c r="N10317" s="199"/>
    </row>
    <row r="10318">
      <c r="A10318" s="193" t="s">
        <v>31260</v>
      </c>
      <c r="D10318" s="199"/>
      <c r="E10318" s="193"/>
      <c r="F10318" s="195" t="s">
        <v>31261</v>
      </c>
      <c r="G10318" s="222"/>
      <c r="H10318" s="197">
        <v>20.87</v>
      </c>
      <c r="L10318" s="201" t="s">
        <v>16835</v>
      </c>
      <c r="M10318" s="199"/>
      <c r="N10318" s="199"/>
    </row>
    <row r="10319">
      <c r="A10319" s="193" t="s">
        <v>31262</v>
      </c>
      <c r="D10319" s="199"/>
      <c r="E10319" s="193"/>
      <c r="F10319" s="195" t="s">
        <v>31263</v>
      </c>
      <c r="G10319" s="222"/>
      <c r="H10319" s="197">
        <v>21.0788</v>
      </c>
      <c r="L10319" s="201" t="s">
        <v>16835</v>
      </c>
      <c r="M10319" s="199"/>
      <c r="N10319" s="199"/>
    </row>
    <row r="10320">
      <c r="A10320" s="193" t="s">
        <v>31264</v>
      </c>
      <c r="D10320" s="199"/>
      <c r="E10320" s="193"/>
      <c r="F10320" s="195" t="s">
        <v>31265</v>
      </c>
      <c r="G10320" s="222"/>
      <c r="H10320" s="197">
        <v>24.39</v>
      </c>
      <c r="L10320" s="201" t="s">
        <v>16835</v>
      </c>
      <c r="M10320" s="199"/>
      <c r="N10320" s="199"/>
    </row>
    <row r="10321">
      <c r="A10321" s="193" t="s">
        <v>31266</v>
      </c>
      <c r="D10321" s="199"/>
      <c r="E10321" s="193"/>
      <c r="F10321" s="195" t="s">
        <v>31267</v>
      </c>
      <c r="G10321" s="222"/>
      <c r="H10321" s="197">
        <v>49.3599</v>
      </c>
      <c r="L10321" s="201" t="s">
        <v>16835</v>
      </c>
      <c r="M10321" s="199"/>
      <c r="N10321" s="199"/>
    </row>
    <row r="10322">
      <c r="A10322" s="193" t="s">
        <v>31268</v>
      </c>
      <c r="D10322" s="199"/>
      <c r="E10322" s="193"/>
      <c r="F10322" s="195" t="s">
        <v>31269</v>
      </c>
      <c r="G10322" s="222"/>
      <c r="H10322" s="197">
        <v>22.95</v>
      </c>
      <c r="L10322" s="201" t="s">
        <v>16835</v>
      </c>
      <c r="M10322" s="199"/>
      <c r="N10322" s="199"/>
    </row>
    <row r="10323">
      <c r="A10323" s="193" t="s">
        <v>31270</v>
      </c>
      <c r="D10323" s="199"/>
      <c r="E10323" s="193"/>
      <c r="F10323" s="195" t="s">
        <v>31271</v>
      </c>
      <c r="G10323" s="222"/>
      <c r="H10323" s="197">
        <v>18.07</v>
      </c>
      <c r="L10323" s="201" t="s">
        <v>16835</v>
      </c>
      <c r="M10323" s="199"/>
      <c r="N10323" s="199"/>
    </row>
    <row r="10324">
      <c r="A10324" s="193" t="s">
        <v>31274</v>
      </c>
      <c r="D10324" s="199"/>
      <c r="E10324" s="193"/>
      <c r="F10324" s="195" t="s">
        <v>31275</v>
      </c>
      <c r="G10324" s="222"/>
      <c r="H10324" s="197">
        <v>22.88</v>
      </c>
      <c r="L10324" s="201" t="s">
        <v>16835</v>
      </c>
      <c r="M10324" s="199"/>
      <c r="N10324" s="199"/>
    </row>
    <row r="10325">
      <c r="A10325" s="193" t="s">
        <v>31276</v>
      </c>
      <c r="D10325" s="199"/>
      <c r="E10325" s="193"/>
      <c r="F10325" s="195" t="s">
        <v>31277</v>
      </c>
      <c r="G10325" s="222"/>
      <c r="H10325" s="197">
        <v>19.2</v>
      </c>
      <c r="L10325" s="201" t="s">
        <v>16835</v>
      </c>
      <c r="M10325" s="199"/>
      <c r="N10325" s="199"/>
    </row>
    <row r="10326">
      <c r="A10326" s="193" t="s">
        <v>31278</v>
      </c>
      <c r="D10326" s="199"/>
      <c r="E10326" s="193"/>
      <c r="F10326" s="195" t="s">
        <v>31279</v>
      </c>
      <c r="G10326" s="222"/>
      <c r="H10326" s="197">
        <v>23.9715</v>
      </c>
      <c r="L10326" s="201" t="s">
        <v>16835</v>
      </c>
      <c r="M10326" s="199"/>
      <c r="N10326" s="199"/>
    </row>
    <row r="10327">
      <c r="A10327" s="193" t="s">
        <v>31280</v>
      </c>
      <c r="D10327" s="199"/>
      <c r="E10327" s="193"/>
      <c r="F10327" s="195" t="s">
        <v>31281</v>
      </c>
      <c r="G10327" s="222"/>
      <c r="H10327" s="197">
        <v>21.27</v>
      </c>
      <c r="L10327" s="201" t="s">
        <v>16835</v>
      </c>
      <c r="M10327" s="199"/>
      <c r="N10327" s="199"/>
    </row>
    <row r="10328">
      <c r="A10328" s="193" t="s">
        <v>31282</v>
      </c>
      <c r="D10328" s="199"/>
      <c r="E10328" s="193"/>
      <c r="F10328" s="195" t="s">
        <v>31283</v>
      </c>
      <c r="G10328" s="222"/>
      <c r="H10328" s="197">
        <v>24.745</v>
      </c>
      <c r="L10328" s="201" t="s">
        <v>16835</v>
      </c>
      <c r="M10328" s="199"/>
      <c r="N10328" s="199"/>
    </row>
    <row r="10329">
      <c r="A10329" s="193" t="s">
        <v>31284</v>
      </c>
      <c r="D10329" s="199"/>
      <c r="E10329" s="193"/>
      <c r="F10329" s="195" t="s">
        <v>31285</v>
      </c>
      <c r="G10329" s="222"/>
      <c r="H10329" s="197">
        <v>23.37</v>
      </c>
      <c r="L10329" s="201" t="s">
        <v>16835</v>
      </c>
      <c r="M10329" s="199"/>
      <c r="N10329" s="199"/>
    </row>
    <row r="10330">
      <c r="A10330" s="193" t="s">
        <v>31286</v>
      </c>
      <c r="D10330" s="199"/>
      <c r="E10330" s="193"/>
      <c r="F10330" s="195" t="s">
        <v>31287</v>
      </c>
      <c r="G10330" s="222"/>
      <c r="H10330" s="197">
        <v>24.7</v>
      </c>
      <c r="L10330" s="201" t="s">
        <v>16835</v>
      </c>
      <c r="M10330" s="199"/>
      <c r="N10330" s="199"/>
    </row>
    <row r="10331">
      <c r="A10331" s="193" t="s">
        <v>31288</v>
      </c>
      <c r="D10331" s="199"/>
      <c r="E10331" s="193"/>
      <c r="F10331" s="195" t="s">
        <v>31289</v>
      </c>
      <c r="G10331" s="222"/>
      <c r="H10331" s="197">
        <v>25.4775</v>
      </c>
      <c r="L10331" s="201" t="s">
        <v>16835</v>
      </c>
      <c r="M10331" s="199"/>
      <c r="N10331" s="199"/>
    </row>
    <row r="10332">
      <c r="A10332" s="193" t="s">
        <v>31294</v>
      </c>
      <c r="D10332" s="199"/>
      <c r="E10332" s="193"/>
      <c r="F10332" s="195" t="s">
        <v>31295</v>
      </c>
      <c r="G10332" s="222"/>
      <c r="H10332" s="197">
        <v>23.96</v>
      </c>
      <c r="L10332" s="201" t="s">
        <v>16835</v>
      </c>
      <c r="M10332" s="199"/>
      <c r="N10332" s="199"/>
    </row>
    <row r="10333">
      <c r="A10333" s="193" t="s">
        <v>31296</v>
      </c>
      <c r="D10333" s="199"/>
      <c r="E10333" s="193"/>
      <c r="F10333" s="195" t="s">
        <v>31297</v>
      </c>
      <c r="G10333" s="222"/>
      <c r="H10333" s="197">
        <v>18.15</v>
      </c>
      <c r="L10333" s="201" t="s">
        <v>16835</v>
      </c>
      <c r="M10333" s="199"/>
      <c r="N10333" s="199"/>
    </row>
    <row r="10334">
      <c r="A10334" s="193" t="s">
        <v>31298</v>
      </c>
      <c r="D10334" s="199"/>
      <c r="E10334" s="193"/>
      <c r="F10334" s="195" t="s">
        <v>31299</v>
      </c>
      <c r="G10334" s="222"/>
      <c r="H10334" s="197">
        <v>17.32</v>
      </c>
      <c r="L10334" s="201" t="s">
        <v>16835</v>
      </c>
      <c r="M10334" s="199"/>
      <c r="N10334" s="199"/>
    </row>
    <row r="10335">
      <c r="A10335" s="193" t="s">
        <v>31300</v>
      </c>
      <c r="D10335" s="199"/>
      <c r="E10335" s="193"/>
      <c r="F10335" s="195" t="s">
        <v>31301</v>
      </c>
      <c r="G10335" s="222"/>
      <c r="H10335" s="197">
        <v>18.69</v>
      </c>
      <c r="L10335" s="201" t="s">
        <v>16835</v>
      </c>
      <c r="M10335" s="199"/>
      <c r="N10335" s="199"/>
    </row>
    <row r="10336">
      <c r="A10336" s="193" t="s">
        <v>31302</v>
      </c>
      <c r="D10336" s="199"/>
      <c r="E10336" s="193"/>
      <c r="F10336" s="195" t="s">
        <v>31303</v>
      </c>
      <c r="G10336" s="222"/>
      <c r="H10336" s="197">
        <v>18.2</v>
      </c>
      <c r="L10336" s="201" t="s">
        <v>16835</v>
      </c>
      <c r="M10336" s="199"/>
      <c r="N10336" s="199"/>
    </row>
    <row r="10337">
      <c r="A10337" s="193" t="s">
        <v>31304</v>
      </c>
      <c r="D10337" s="199"/>
      <c r="E10337" s="193"/>
      <c r="F10337" s="195" t="s">
        <v>31778</v>
      </c>
      <c r="G10337" s="222"/>
      <c r="H10337" s="197">
        <v>21.7501</v>
      </c>
      <c r="L10337" s="201" t="s">
        <v>16835</v>
      </c>
      <c r="M10337" s="199"/>
      <c r="N10337" s="199"/>
    </row>
    <row r="10338">
      <c r="A10338" s="193" t="s">
        <v>31306</v>
      </c>
      <c r="D10338" s="199"/>
      <c r="E10338" s="193"/>
      <c r="F10338" s="195" t="s">
        <v>31307</v>
      </c>
      <c r="G10338" s="222"/>
      <c r="H10338" s="197">
        <v>16.69</v>
      </c>
      <c r="L10338" s="201" t="s">
        <v>16835</v>
      </c>
      <c r="M10338" s="199"/>
      <c r="N10338" s="199"/>
    </row>
    <row r="10339">
      <c r="A10339" s="193" t="s">
        <v>31308</v>
      </c>
      <c r="D10339" s="199"/>
      <c r="E10339" s="193"/>
      <c r="F10339" s="195" t="s">
        <v>31309</v>
      </c>
      <c r="G10339" s="222"/>
      <c r="H10339" s="197">
        <v>17.67</v>
      </c>
      <c r="L10339" s="201" t="s">
        <v>16835</v>
      </c>
      <c r="M10339" s="199"/>
      <c r="N10339" s="199"/>
    </row>
    <row r="10340">
      <c r="A10340" s="193" t="s">
        <v>31310</v>
      </c>
      <c r="D10340" s="199"/>
      <c r="E10340" s="193"/>
      <c r="F10340" s="195" t="s">
        <v>31311</v>
      </c>
      <c r="G10340" s="222"/>
      <c r="H10340" s="197">
        <v>21.67</v>
      </c>
      <c r="L10340" s="201" t="s">
        <v>16835</v>
      </c>
      <c r="M10340" s="199"/>
      <c r="N10340" s="199"/>
    </row>
    <row r="10341">
      <c r="A10341" s="193" t="s">
        <v>31312</v>
      </c>
      <c r="D10341" s="199"/>
      <c r="E10341" s="193"/>
      <c r="F10341" s="195" t="s">
        <v>31313</v>
      </c>
      <c r="G10341" s="222"/>
      <c r="H10341" s="197">
        <v>21.5</v>
      </c>
      <c r="L10341" s="201" t="s">
        <v>16835</v>
      </c>
      <c r="M10341" s="199"/>
      <c r="N10341" s="199"/>
    </row>
    <row r="10342">
      <c r="A10342" s="193" t="s">
        <v>31314</v>
      </c>
      <c r="D10342" s="199"/>
      <c r="E10342" s="193"/>
      <c r="F10342" s="195" t="s">
        <v>31315</v>
      </c>
      <c r="G10342" s="222"/>
      <c r="H10342" s="197">
        <v>21.55</v>
      </c>
      <c r="L10342" s="201" t="s">
        <v>16835</v>
      </c>
      <c r="M10342" s="199"/>
      <c r="N10342" s="199"/>
    </row>
    <row r="10343">
      <c r="A10343" s="193" t="s">
        <v>31316</v>
      </c>
      <c r="D10343" s="199"/>
      <c r="E10343" s="193"/>
      <c r="F10343" s="195" t="s">
        <v>31317</v>
      </c>
      <c r="G10343" s="222"/>
      <c r="H10343" s="197">
        <v>25.19</v>
      </c>
      <c r="L10343" s="201" t="s">
        <v>16835</v>
      </c>
      <c r="M10343" s="199"/>
      <c r="N10343" s="199"/>
    </row>
    <row r="10344">
      <c r="A10344" s="193" t="s">
        <v>31318</v>
      </c>
      <c r="D10344" s="199"/>
      <c r="E10344" s="193"/>
      <c r="F10344" s="195" t="s">
        <v>31319</v>
      </c>
      <c r="G10344" s="222"/>
      <c r="H10344" s="197">
        <v>25.18</v>
      </c>
      <c r="L10344" s="201" t="s">
        <v>16835</v>
      </c>
      <c r="M10344" s="199"/>
      <c r="N10344" s="199"/>
    </row>
    <row r="10345">
      <c r="A10345" s="193" t="s">
        <v>31320</v>
      </c>
      <c r="D10345" s="199"/>
      <c r="E10345" s="193"/>
      <c r="F10345" s="195" t="s">
        <v>31321</v>
      </c>
      <c r="G10345" s="222"/>
      <c r="H10345" s="197">
        <v>49.14</v>
      </c>
      <c r="L10345" s="201" t="s">
        <v>16835</v>
      </c>
      <c r="M10345" s="199"/>
      <c r="N10345" s="199"/>
    </row>
    <row r="10346">
      <c r="A10346" s="193" t="s">
        <v>31322</v>
      </c>
      <c r="D10346" s="199"/>
      <c r="E10346" s="193"/>
      <c r="F10346" s="195" t="s">
        <v>31323</v>
      </c>
      <c r="G10346" s="222"/>
      <c r="H10346" s="197">
        <v>22.65</v>
      </c>
      <c r="L10346" s="201" t="s">
        <v>16835</v>
      </c>
      <c r="M10346" s="199"/>
      <c r="N10346" s="199"/>
    </row>
    <row r="10347">
      <c r="A10347" s="193" t="s">
        <v>31324</v>
      </c>
      <c r="D10347" s="199"/>
      <c r="E10347" s="193"/>
      <c r="F10347" s="195" t="s">
        <v>31325</v>
      </c>
      <c r="G10347" s="222"/>
      <c r="H10347" s="197">
        <v>133.02</v>
      </c>
      <c r="L10347" s="201" t="s">
        <v>16835</v>
      </c>
      <c r="M10347" s="199"/>
      <c r="N10347" s="199"/>
    </row>
    <row r="10348">
      <c r="A10348" s="193" t="s">
        <v>31326</v>
      </c>
      <c r="D10348" s="199"/>
      <c r="E10348" s="193"/>
      <c r="F10348" s="195" t="s">
        <v>31327</v>
      </c>
      <c r="G10348" s="222"/>
      <c r="H10348" s="197">
        <v>17.39</v>
      </c>
      <c r="L10348" s="201" t="s">
        <v>16835</v>
      </c>
      <c r="M10348" s="199"/>
      <c r="N10348" s="199"/>
    </row>
    <row r="10349">
      <c r="A10349" s="193" t="s">
        <v>31328</v>
      </c>
      <c r="D10349" s="199"/>
      <c r="E10349" s="193"/>
      <c r="F10349" s="195" t="s">
        <v>31329</v>
      </c>
      <c r="G10349" s="222"/>
      <c r="H10349" s="197">
        <v>23.61</v>
      </c>
      <c r="L10349" s="201" t="s">
        <v>16835</v>
      </c>
      <c r="M10349" s="199"/>
      <c r="N10349" s="199"/>
    </row>
    <row r="10350">
      <c r="A10350" s="193" t="s">
        <v>31330</v>
      </c>
      <c r="D10350" s="199"/>
      <c r="E10350" s="193"/>
      <c r="F10350" s="195" t="s">
        <v>31331</v>
      </c>
      <c r="G10350" s="222"/>
      <c r="H10350" s="197">
        <v>52.38</v>
      </c>
      <c r="L10350" s="201" t="s">
        <v>16835</v>
      </c>
      <c r="M10350" s="199"/>
      <c r="N10350" s="199"/>
    </row>
    <row r="10351">
      <c r="A10351" s="193" t="s">
        <v>31332</v>
      </c>
      <c r="D10351" s="199"/>
      <c r="E10351" s="193"/>
      <c r="F10351" s="195" t="s">
        <v>31333</v>
      </c>
      <c r="G10351" s="222"/>
      <c r="H10351" s="197">
        <v>11.49</v>
      </c>
      <c r="L10351" s="201" t="s">
        <v>16835</v>
      </c>
      <c r="M10351" s="199"/>
      <c r="N10351" s="199"/>
    </row>
    <row r="10352">
      <c r="A10352" s="193" t="s">
        <v>31334</v>
      </c>
      <c r="D10352" s="199"/>
      <c r="E10352" s="193"/>
      <c r="F10352" s="195" t="s">
        <v>31335</v>
      </c>
      <c r="G10352" s="222"/>
      <c r="H10352" s="197">
        <v>24.9242</v>
      </c>
      <c r="L10352" s="201" t="s">
        <v>16835</v>
      </c>
      <c r="M10352" s="199"/>
      <c r="N10352" s="199"/>
    </row>
    <row r="10353">
      <c r="A10353" s="193" t="s">
        <v>31336</v>
      </c>
      <c r="D10353" s="199"/>
      <c r="E10353" s="193"/>
      <c r="F10353" s="195" t="s">
        <v>31337</v>
      </c>
      <c r="G10353" s="222"/>
      <c r="H10353" s="197">
        <v>24.93</v>
      </c>
      <c r="L10353" s="201" t="s">
        <v>16835</v>
      </c>
      <c r="M10353" s="199"/>
      <c r="N10353" s="199"/>
    </row>
    <row r="10354">
      <c r="A10354" s="193" t="s">
        <v>31338</v>
      </c>
      <c r="D10354" s="199"/>
      <c r="E10354" s="193"/>
      <c r="F10354" s="195" t="s">
        <v>31339</v>
      </c>
      <c r="G10354" s="222"/>
      <c r="H10354" s="197">
        <v>24.93</v>
      </c>
      <c r="L10354" s="201" t="s">
        <v>16835</v>
      </c>
      <c r="M10354" s="199"/>
      <c r="N10354" s="199"/>
    </row>
    <row r="10355">
      <c r="A10355" s="193" t="s">
        <v>31340</v>
      </c>
      <c r="D10355" s="199"/>
      <c r="E10355" s="193"/>
      <c r="F10355" s="195" t="s">
        <v>31341</v>
      </c>
      <c r="G10355" s="222"/>
      <c r="H10355" s="197">
        <v>28.75</v>
      </c>
      <c r="L10355" s="201" t="s">
        <v>16835</v>
      </c>
      <c r="M10355" s="199"/>
      <c r="N10355" s="199"/>
    </row>
    <row r="10356">
      <c r="A10356" s="193" t="s">
        <v>31344</v>
      </c>
      <c r="D10356" s="199"/>
      <c r="E10356" s="193"/>
      <c r="F10356" s="195" t="s">
        <v>31345</v>
      </c>
      <c r="G10356" s="222"/>
      <c r="H10356" s="197">
        <v>18.82</v>
      </c>
      <c r="L10356" s="201" t="s">
        <v>16835</v>
      </c>
      <c r="M10356" s="199"/>
      <c r="N10356" s="199"/>
    </row>
    <row r="10357">
      <c r="A10357" s="193" t="s">
        <v>31346</v>
      </c>
      <c r="D10357" s="199"/>
      <c r="E10357" s="193"/>
      <c r="F10357" s="195" t="s">
        <v>31347</v>
      </c>
      <c r="G10357" s="222"/>
      <c r="H10357" s="197">
        <v>25.632</v>
      </c>
      <c r="L10357" s="201" t="s">
        <v>16835</v>
      </c>
      <c r="M10357" s="199"/>
      <c r="N10357" s="199"/>
    </row>
    <row r="10358">
      <c r="A10358" s="193" t="s">
        <v>31348</v>
      </c>
      <c r="D10358" s="199"/>
      <c r="E10358" s="193"/>
      <c r="F10358" s="195" t="s">
        <v>31349</v>
      </c>
      <c r="G10358" s="222"/>
      <c r="H10358" s="197">
        <v>19.6</v>
      </c>
      <c r="L10358" s="201" t="s">
        <v>16835</v>
      </c>
      <c r="M10358" s="199"/>
      <c r="N10358" s="199"/>
    </row>
    <row r="10359">
      <c r="A10359" s="193" t="s">
        <v>31350</v>
      </c>
      <c r="D10359" s="199"/>
      <c r="E10359" s="193"/>
      <c r="F10359" s="195" t="s">
        <v>31351</v>
      </c>
      <c r="G10359" s="222"/>
      <c r="H10359" s="197">
        <v>19.09</v>
      </c>
      <c r="L10359" s="201" t="s">
        <v>16835</v>
      </c>
      <c r="M10359" s="199"/>
      <c r="N10359" s="199"/>
    </row>
    <row r="10360">
      <c r="A10360" s="193" t="s">
        <v>31352</v>
      </c>
      <c r="D10360" s="199"/>
      <c r="E10360" s="193"/>
      <c r="F10360" s="195" t="s">
        <v>31353</v>
      </c>
      <c r="G10360" s="222"/>
      <c r="H10360" s="197">
        <v>21.63</v>
      </c>
      <c r="L10360" s="201" t="s">
        <v>16835</v>
      </c>
      <c r="M10360" s="199"/>
      <c r="N10360" s="199"/>
    </row>
    <row r="10361">
      <c r="A10361" s="193" t="s">
        <v>31354</v>
      </c>
      <c r="D10361" s="199"/>
      <c r="E10361" s="193"/>
      <c r="F10361" s="195" t="s">
        <v>31355</v>
      </c>
      <c r="G10361" s="222"/>
      <c r="H10361" s="197">
        <v>19.48</v>
      </c>
      <c r="L10361" s="201" t="s">
        <v>16835</v>
      </c>
      <c r="M10361" s="199"/>
      <c r="N10361" s="199"/>
    </row>
    <row r="10362">
      <c r="A10362" s="193" t="s">
        <v>31356</v>
      </c>
      <c r="D10362" s="199"/>
      <c r="E10362" s="193"/>
      <c r="F10362" s="195" t="s">
        <v>31779</v>
      </c>
      <c r="G10362" s="222"/>
      <c r="H10362" s="197">
        <v>24.75</v>
      </c>
      <c r="L10362" s="201" t="s">
        <v>16835</v>
      </c>
      <c r="M10362" s="199"/>
      <c r="N10362" s="199"/>
    </row>
    <row r="10363">
      <c r="A10363" s="193" t="s">
        <v>31358</v>
      </c>
      <c r="D10363" s="199"/>
      <c r="E10363" s="193"/>
      <c r="F10363" s="195" t="s">
        <v>31780</v>
      </c>
      <c r="G10363" s="222"/>
      <c r="H10363" s="197">
        <v>23.59</v>
      </c>
      <c r="L10363" s="201" t="s">
        <v>16835</v>
      </c>
      <c r="M10363" s="199"/>
      <c r="N10363" s="199"/>
    </row>
    <row r="10364">
      <c r="A10364" s="193" t="s">
        <v>31360</v>
      </c>
      <c r="D10364" s="199"/>
      <c r="E10364" s="193"/>
      <c r="F10364" s="195" t="s">
        <v>31361</v>
      </c>
      <c r="G10364" s="222"/>
      <c r="H10364" s="197">
        <v>20.17</v>
      </c>
      <c r="L10364" s="201" t="s">
        <v>16835</v>
      </c>
      <c r="M10364" s="199"/>
      <c r="N10364" s="199"/>
    </row>
    <row r="10365">
      <c r="A10365" s="193" t="s">
        <v>31362</v>
      </c>
      <c r="D10365" s="199"/>
      <c r="E10365" s="193"/>
      <c r="F10365" s="195" t="s">
        <v>31363</v>
      </c>
      <c r="G10365" s="222"/>
      <c r="H10365" s="197">
        <v>19.38</v>
      </c>
      <c r="L10365" s="201" t="s">
        <v>16835</v>
      </c>
      <c r="M10365" s="199"/>
      <c r="N10365" s="199"/>
    </row>
    <row r="10366">
      <c r="A10366" s="193" t="s">
        <v>31364</v>
      </c>
      <c r="D10366" s="199"/>
      <c r="E10366" s="193"/>
      <c r="F10366" s="195" t="s">
        <v>31365</v>
      </c>
      <c r="G10366" s="222"/>
      <c r="H10366" s="197">
        <v>19.67</v>
      </c>
      <c r="L10366" s="201" t="s">
        <v>16835</v>
      </c>
      <c r="M10366" s="199"/>
      <c r="N10366" s="199"/>
    </row>
    <row r="10367">
      <c r="A10367" s="193" t="s">
        <v>31366</v>
      </c>
      <c r="D10367" s="199"/>
      <c r="E10367" s="193"/>
      <c r="F10367" s="195" t="s">
        <v>31367</v>
      </c>
      <c r="G10367" s="222"/>
      <c r="H10367" s="197">
        <v>18.03</v>
      </c>
      <c r="L10367" s="201" t="s">
        <v>16835</v>
      </c>
      <c r="M10367" s="199"/>
      <c r="N10367" s="199"/>
    </row>
    <row r="10368">
      <c r="A10368" s="193" t="s">
        <v>31368</v>
      </c>
      <c r="D10368" s="199"/>
      <c r="E10368" s="193"/>
      <c r="F10368" s="195" t="s">
        <v>31369</v>
      </c>
      <c r="G10368" s="222"/>
      <c r="H10368" s="197">
        <v>25.08</v>
      </c>
      <c r="L10368" s="201" t="s">
        <v>16835</v>
      </c>
      <c r="M10368" s="199"/>
      <c r="N10368" s="199"/>
    </row>
    <row r="10369">
      <c r="A10369" s="193" t="s">
        <v>31370</v>
      </c>
      <c r="D10369" s="199"/>
      <c r="E10369" s="193"/>
      <c r="F10369" s="195" t="s">
        <v>31371</v>
      </c>
      <c r="G10369" s="222"/>
      <c r="H10369" s="197">
        <v>19.4</v>
      </c>
      <c r="L10369" s="201" t="s">
        <v>16835</v>
      </c>
      <c r="M10369" s="199"/>
      <c r="N10369" s="199"/>
    </row>
    <row r="10370">
      <c r="A10370" s="193" t="s">
        <v>31372</v>
      </c>
      <c r="D10370" s="199"/>
      <c r="E10370" s="193"/>
      <c r="F10370" s="195" t="s">
        <v>31373</v>
      </c>
      <c r="G10370" s="222"/>
      <c r="H10370" s="197">
        <v>17.5</v>
      </c>
      <c r="L10370" s="201" t="s">
        <v>16835</v>
      </c>
      <c r="M10370" s="199"/>
      <c r="N10370" s="199"/>
    </row>
    <row r="10371">
      <c r="A10371" s="193" t="s">
        <v>31374</v>
      </c>
      <c r="D10371" s="199"/>
      <c r="E10371" s="193"/>
      <c r="F10371" s="195" t="s">
        <v>31375</v>
      </c>
      <c r="G10371" s="222"/>
      <c r="H10371" s="197">
        <v>17.28</v>
      </c>
      <c r="L10371" s="201" t="s">
        <v>16835</v>
      </c>
      <c r="M10371" s="199"/>
      <c r="N10371" s="199"/>
    </row>
    <row r="10372">
      <c r="A10372" s="193" t="s">
        <v>31376</v>
      </c>
      <c r="D10372" s="199"/>
      <c r="E10372" s="193"/>
      <c r="F10372" s="195" t="s">
        <v>31377</v>
      </c>
      <c r="G10372" s="222"/>
      <c r="H10372" s="197">
        <v>18.67</v>
      </c>
      <c r="L10372" s="201" t="s">
        <v>16835</v>
      </c>
      <c r="M10372" s="199"/>
      <c r="N10372" s="199"/>
    </row>
    <row r="10373">
      <c r="A10373" s="193" t="s">
        <v>31378</v>
      </c>
      <c r="D10373" s="199"/>
      <c r="E10373" s="193"/>
      <c r="F10373" s="195" t="s">
        <v>31379</v>
      </c>
      <c r="G10373" s="222"/>
      <c r="H10373" s="197">
        <v>20.6601</v>
      </c>
      <c r="L10373" s="201" t="s">
        <v>16835</v>
      </c>
      <c r="M10373" s="199"/>
      <c r="N10373" s="199"/>
    </row>
    <row r="10374">
      <c r="A10374" s="193" t="s">
        <v>31380</v>
      </c>
      <c r="D10374" s="199"/>
      <c r="E10374" s="193"/>
      <c r="F10374" s="195" t="s">
        <v>31381</v>
      </c>
      <c r="G10374" s="222"/>
      <c r="H10374" s="197">
        <v>21.56</v>
      </c>
      <c r="L10374" s="201" t="s">
        <v>16835</v>
      </c>
      <c r="M10374" s="199"/>
      <c r="N10374" s="199"/>
    </row>
    <row r="10375">
      <c r="A10375" s="193" t="s">
        <v>31382</v>
      </c>
      <c r="D10375" s="199"/>
      <c r="E10375" s="193"/>
      <c r="F10375" s="195" t="s">
        <v>31383</v>
      </c>
      <c r="G10375" s="222"/>
      <c r="H10375" s="197">
        <v>16.61</v>
      </c>
      <c r="L10375" s="201" t="s">
        <v>16835</v>
      </c>
      <c r="M10375" s="199"/>
      <c r="N10375" s="199"/>
    </row>
    <row r="10376">
      <c r="A10376" s="193" t="s">
        <v>31384</v>
      </c>
      <c r="D10376" s="199"/>
      <c r="E10376" s="193"/>
      <c r="F10376" s="195" t="s">
        <v>31385</v>
      </c>
      <c r="G10376" s="222"/>
      <c r="H10376" s="197">
        <v>17.0</v>
      </c>
      <c r="L10376" s="201" t="s">
        <v>16835</v>
      </c>
      <c r="M10376" s="199"/>
      <c r="N10376" s="199"/>
    </row>
    <row r="10377">
      <c r="A10377" s="193" t="s">
        <v>31386</v>
      </c>
      <c r="D10377" s="199"/>
      <c r="E10377" s="193"/>
      <c r="F10377" s="195" t="s">
        <v>31387</v>
      </c>
      <c r="G10377" s="222"/>
      <c r="H10377" s="197">
        <v>26.73</v>
      </c>
      <c r="L10377" s="201" t="s">
        <v>16835</v>
      </c>
      <c r="M10377" s="199"/>
      <c r="N10377" s="199"/>
    </row>
    <row r="10378">
      <c r="A10378" s="193" t="s">
        <v>31388</v>
      </c>
      <c r="D10378" s="199"/>
      <c r="E10378" s="193"/>
      <c r="F10378" s="195" t="s">
        <v>31389</v>
      </c>
      <c r="G10378" s="222"/>
      <c r="H10378" s="197">
        <v>44.1474</v>
      </c>
      <c r="L10378" s="201" t="s">
        <v>16835</v>
      </c>
      <c r="M10378" s="199"/>
      <c r="N10378" s="199"/>
    </row>
    <row r="10379">
      <c r="A10379" s="193" t="s">
        <v>31390</v>
      </c>
      <c r="D10379" s="199"/>
      <c r="E10379" s="193"/>
      <c r="F10379" s="195" t="s">
        <v>31391</v>
      </c>
      <c r="G10379" s="222"/>
      <c r="H10379" s="197">
        <v>54.3328</v>
      </c>
      <c r="L10379" s="201" t="s">
        <v>16835</v>
      </c>
      <c r="M10379" s="199"/>
      <c r="N10379" s="199"/>
    </row>
    <row r="10380">
      <c r="A10380" s="193" t="s">
        <v>31392</v>
      </c>
      <c r="D10380" s="199"/>
      <c r="E10380" s="193"/>
      <c r="F10380" s="195" t="s">
        <v>31393</v>
      </c>
      <c r="G10380" s="222"/>
      <c r="H10380" s="197">
        <v>23.49</v>
      </c>
      <c r="L10380" s="201" t="s">
        <v>16835</v>
      </c>
      <c r="M10380" s="199"/>
      <c r="N10380" s="199"/>
    </row>
    <row r="10381">
      <c r="A10381" s="193" t="s">
        <v>31394</v>
      </c>
      <c r="D10381" s="199"/>
      <c r="E10381" s="193"/>
      <c r="F10381" s="195" t="s">
        <v>31395</v>
      </c>
      <c r="G10381" s="222"/>
      <c r="H10381" s="197">
        <v>25.42</v>
      </c>
      <c r="L10381" s="201" t="s">
        <v>16835</v>
      </c>
      <c r="M10381" s="199"/>
      <c r="N10381" s="199"/>
    </row>
    <row r="10382">
      <c r="A10382" s="193" t="s">
        <v>31396</v>
      </c>
      <c r="D10382" s="199"/>
      <c r="E10382" s="193"/>
      <c r="F10382" s="195" t="s">
        <v>31397</v>
      </c>
      <c r="G10382" s="222"/>
      <c r="H10382" s="197">
        <v>23.1</v>
      </c>
      <c r="L10382" s="201" t="s">
        <v>16835</v>
      </c>
      <c r="M10382" s="199"/>
      <c r="N10382" s="199"/>
    </row>
    <row r="10383">
      <c r="A10383" s="193" t="s">
        <v>31398</v>
      </c>
      <c r="D10383" s="199"/>
      <c r="E10383" s="193"/>
      <c r="F10383" s="195" t="s">
        <v>31399</v>
      </c>
      <c r="G10383" s="222"/>
      <c r="H10383" s="197">
        <v>23.08</v>
      </c>
      <c r="L10383" s="201" t="s">
        <v>16835</v>
      </c>
      <c r="M10383" s="199"/>
      <c r="N10383" s="199"/>
    </row>
    <row r="10384">
      <c r="A10384" s="193" t="s">
        <v>31400</v>
      </c>
      <c r="D10384" s="199"/>
      <c r="E10384" s="193"/>
      <c r="F10384" s="195" t="s">
        <v>31401</v>
      </c>
      <c r="G10384" s="222"/>
      <c r="H10384" s="197">
        <v>19.96</v>
      </c>
      <c r="L10384" s="201" t="s">
        <v>16835</v>
      </c>
      <c r="M10384" s="199"/>
      <c r="N10384" s="199"/>
    </row>
    <row r="10385">
      <c r="A10385" s="193" t="s">
        <v>31402</v>
      </c>
      <c r="D10385" s="199"/>
      <c r="E10385" s="193"/>
      <c r="F10385" s="195" t="s">
        <v>31403</v>
      </c>
      <c r="G10385" s="222"/>
      <c r="H10385" s="197">
        <v>18.3</v>
      </c>
      <c r="L10385" s="201" t="s">
        <v>16835</v>
      </c>
      <c r="M10385" s="199"/>
      <c r="N10385" s="199"/>
    </row>
    <row r="10386">
      <c r="A10386" s="193" t="s">
        <v>31404</v>
      </c>
      <c r="D10386" s="199"/>
      <c r="E10386" s="193"/>
      <c r="F10386" s="195" t="s">
        <v>31405</v>
      </c>
      <c r="G10386" s="222"/>
      <c r="H10386" s="197">
        <v>18.86</v>
      </c>
      <c r="L10386" s="201" t="s">
        <v>16835</v>
      </c>
      <c r="M10386" s="199"/>
      <c r="N10386" s="199"/>
    </row>
    <row r="10387">
      <c r="A10387" s="193" t="s">
        <v>31406</v>
      </c>
      <c r="D10387" s="199"/>
      <c r="E10387" s="193"/>
      <c r="F10387" s="195" t="s">
        <v>31407</v>
      </c>
      <c r="G10387" s="222"/>
      <c r="H10387" s="197">
        <v>17.3813</v>
      </c>
      <c r="L10387" s="201" t="s">
        <v>16835</v>
      </c>
      <c r="M10387" s="199"/>
      <c r="N10387" s="199"/>
    </row>
    <row r="10388">
      <c r="A10388" s="193" t="s">
        <v>31408</v>
      </c>
      <c r="D10388" s="199"/>
      <c r="E10388" s="193"/>
      <c r="F10388" s="195" t="s">
        <v>31409</v>
      </c>
      <c r="G10388" s="222"/>
      <c r="H10388" s="197">
        <v>16.79</v>
      </c>
      <c r="L10388" s="201" t="s">
        <v>16835</v>
      </c>
      <c r="M10388" s="199"/>
      <c r="N10388" s="199"/>
    </row>
    <row r="10389">
      <c r="A10389" s="193" t="s">
        <v>31410</v>
      </c>
      <c r="D10389" s="199"/>
      <c r="E10389" s="193"/>
      <c r="F10389" s="195" t="s">
        <v>31411</v>
      </c>
      <c r="G10389" s="222"/>
      <c r="H10389" s="197">
        <v>19.9</v>
      </c>
      <c r="L10389" s="201" t="s">
        <v>16835</v>
      </c>
      <c r="M10389" s="199"/>
      <c r="N10389" s="199"/>
    </row>
    <row r="10390">
      <c r="A10390" s="193" t="s">
        <v>31412</v>
      </c>
      <c r="D10390" s="199"/>
      <c r="E10390" s="193"/>
      <c r="F10390" s="195" t="s">
        <v>31413</v>
      </c>
      <c r="G10390" s="222"/>
      <c r="H10390" s="197">
        <v>21.59</v>
      </c>
      <c r="L10390" s="201" t="s">
        <v>16835</v>
      </c>
      <c r="M10390" s="199"/>
      <c r="N10390" s="199"/>
    </row>
    <row r="10391">
      <c r="A10391" s="193" t="s">
        <v>31414</v>
      </c>
      <c r="D10391" s="199"/>
      <c r="E10391" s="193"/>
      <c r="F10391" s="195" t="s">
        <v>31415</v>
      </c>
      <c r="G10391" s="222"/>
      <c r="H10391" s="197">
        <v>25.33</v>
      </c>
      <c r="L10391" s="201" t="s">
        <v>16835</v>
      </c>
      <c r="M10391" s="199"/>
      <c r="N10391" s="199"/>
    </row>
    <row r="10392">
      <c r="A10392" s="193" t="s">
        <v>31416</v>
      </c>
      <c r="D10392" s="199"/>
      <c r="E10392" s="193"/>
      <c r="F10392" s="195" t="s">
        <v>31417</v>
      </c>
      <c r="G10392" s="222"/>
      <c r="H10392" s="197">
        <v>24.96</v>
      </c>
      <c r="L10392" s="201" t="s">
        <v>16835</v>
      </c>
      <c r="M10392" s="199"/>
      <c r="N10392" s="199"/>
    </row>
    <row r="10393">
      <c r="A10393" s="193" t="s">
        <v>31418</v>
      </c>
      <c r="D10393" s="199"/>
      <c r="E10393" s="193"/>
      <c r="F10393" s="195" t="s">
        <v>31419</v>
      </c>
      <c r="G10393" s="222"/>
      <c r="H10393" s="197">
        <v>24.38</v>
      </c>
      <c r="L10393" s="201" t="s">
        <v>16835</v>
      </c>
      <c r="M10393" s="199"/>
      <c r="N10393" s="199"/>
    </row>
    <row r="10394">
      <c r="A10394" s="193" t="s">
        <v>31420</v>
      </c>
      <c r="D10394" s="199"/>
      <c r="E10394" s="193"/>
      <c r="F10394" s="195" t="s">
        <v>31781</v>
      </c>
      <c r="G10394" s="222"/>
      <c r="H10394" s="197">
        <v>23.09</v>
      </c>
      <c r="L10394" s="201" t="s">
        <v>16835</v>
      </c>
      <c r="M10394" s="199"/>
      <c r="N10394" s="199"/>
    </row>
    <row r="10395">
      <c r="A10395" s="193" t="s">
        <v>31422</v>
      </c>
      <c r="D10395" s="199"/>
      <c r="E10395" s="193"/>
      <c r="F10395" s="195" t="s">
        <v>31423</v>
      </c>
      <c r="G10395" s="222"/>
      <c r="H10395" s="197">
        <v>19.82</v>
      </c>
      <c r="L10395" s="201" t="s">
        <v>16835</v>
      </c>
      <c r="M10395" s="199"/>
      <c r="N10395" s="199"/>
    </row>
    <row r="10396">
      <c r="A10396" s="193" t="s">
        <v>31424</v>
      </c>
      <c r="D10396" s="199"/>
      <c r="E10396" s="193"/>
      <c r="F10396" s="195" t="s">
        <v>31425</v>
      </c>
      <c r="G10396" s="222"/>
      <c r="H10396" s="197">
        <v>17.54</v>
      </c>
      <c r="L10396" s="201" t="s">
        <v>16835</v>
      </c>
      <c r="M10396" s="199"/>
      <c r="N10396" s="199"/>
    </row>
    <row r="10397">
      <c r="A10397" s="193" t="s">
        <v>31426</v>
      </c>
      <c r="D10397" s="199"/>
      <c r="E10397" s="193"/>
      <c r="F10397" s="195" t="s">
        <v>31427</v>
      </c>
      <c r="G10397" s="222"/>
      <c r="H10397" s="197">
        <v>25.46</v>
      </c>
      <c r="L10397" s="201" t="s">
        <v>16835</v>
      </c>
      <c r="M10397" s="199"/>
      <c r="N10397" s="199"/>
    </row>
    <row r="10398">
      <c r="A10398" s="193" t="s">
        <v>31428</v>
      </c>
      <c r="D10398" s="199"/>
      <c r="E10398" s="193"/>
      <c r="F10398" s="195" t="s">
        <v>31429</v>
      </c>
      <c r="G10398" s="222"/>
      <c r="H10398" s="197">
        <v>22.6169</v>
      </c>
      <c r="L10398" s="201" t="s">
        <v>16835</v>
      </c>
      <c r="M10398" s="199"/>
      <c r="N10398" s="199"/>
    </row>
    <row r="10399">
      <c r="A10399" s="193" t="s">
        <v>31430</v>
      </c>
      <c r="D10399" s="199"/>
      <c r="E10399" s="193"/>
      <c r="F10399" s="195" t="s">
        <v>31431</v>
      </c>
      <c r="G10399" s="222"/>
      <c r="H10399" s="197">
        <v>20.8</v>
      </c>
      <c r="L10399" s="201" t="s">
        <v>16835</v>
      </c>
      <c r="M10399" s="199"/>
      <c r="N10399" s="199"/>
    </row>
    <row r="10400">
      <c r="A10400" s="193" t="s">
        <v>31432</v>
      </c>
      <c r="D10400" s="199"/>
      <c r="E10400" s="193"/>
      <c r="F10400" s="195" t="s">
        <v>31433</v>
      </c>
      <c r="G10400" s="222"/>
      <c r="H10400" s="197">
        <v>20.55</v>
      </c>
      <c r="L10400" s="201" t="s">
        <v>16835</v>
      </c>
      <c r="M10400" s="199"/>
      <c r="N10400" s="199"/>
    </row>
    <row r="10401">
      <c r="A10401" s="193" t="s">
        <v>31434</v>
      </c>
      <c r="D10401" s="199"/>
      <c r="E10401" s="193"/>
      <c r="F10401" s="195" t="s">
        <v>31435</v>
      </c>
      <c r="G10401" s="222"/>
      <c r="H10401" s="197">
        <v>23.41</v>
      </c>
      <c r="L10401" s="201" t="s">
        <v>16835</v>
      </c>
      <c r="M10401" s="199"/>
      <c r="N10401" s="199"/>
    </row>
    <row r="10402">
      <c r="A10402" s="193" t="s">
        <v>31436</v>
      </c>
      <c r="D10402" s="199"/>
      <c r="E10402" s="193"/>
      <c r="F10402" s="195" t="s">
        <v>31437</v>
      </c>
      <c r="G10402" s="222"/>
      <c r="H10402" s="197">
        <v>36.45</v>
      </c>
      <c r="L10402" s="201" t="s">
        <v>16835</v>
      </c>
      <c r="M10402" s="199"/>
      <c r="N10402" s="199"/>
    </row>
    <row r="10403">
      <c r="A10403" s="193" t="s">
        <v>31438</v>
      </c>
      <c r="D10403" s="199"/>
      <c r="E10403" s="193"/>
      <c r="F10403" s="195" t="s">
        <v>31439</v>
      </c>
      <c r="G10403" s="222"/>
      <c r="H10403" s="197">
        <v>25.2592</v>
      </c>
      <c r="L10403" s="201" t="s">
        <v>16835</v>
      </c>
      <c r="M10403" s="199"/>
      <c r="N10403" s="199"/>
    </row>
    <row r="10404">
      <c r="A10404" s="193" t="s">
        <v>31440</v>
      </c>
      <c r="D10404" s="199"/>
      <c r="E10404" s="193"/>
      <c r="F10404" s="195" t="s">
        <v>31782</v>
      </c>
      <c r="G10404" s="222"/>
      <c r="H10404" s="197">
        <v>24.14</v>
      </c>
      <c r="L10404" s="201" t="s">
        <v>16835</v>
      </c>
      <c r="M10404" s="199"/>
      <c r="N10404" s="199"/>
    </row>
    <row r="10405">
      <c r="A10405" s="193" t="s">
        <v>31442</v>
      </c>
      <c r="D10405" s="199"/>
      <c r="E10405" s="193"/>
      <c r="F10405" s="195" t="s">
        <v>31443</v>
      </c>
      <c r="G10405" s="222"/>
      <c r="H10405" s="197">
        <v>24.97</v>
      </c>
      <c r="L10405" s="201" t="s">
        <v>16835</v>
      </c>
      <c r="M10405" s="199"/>
      <c r="N10405" s="199"/>
    </row>
    <row r="10406">
      <c r="A10406" s="193" t="s">
        <v>31444</v>
      </c>
      <c r="D10406" s="199"/>
      <c r="E10406" s="193"/>
      <c r="F10406" s="195" t="s">
        <v>31445</v>
      </c>
      <c r="G10406" s="222"/>
      <c r="H10406" s="197">
        <v>25.08</v>
      </c>
      <c r="L10406" s="201" t="s">
        <v>16835</v>
      </c>
      <c r="M10406" s="199"/>
      <c r="N10406" s="199"/>
    </row>
    <row r="10407">
      <c r="A10407" s="193" t="s">
        <v>31446</v>
      </c>
      <c r="D10407" s="199"/>
      <c r="E10407" s="193"/>
      <c r="F10407" s="195" t="s">
        <v>31447</v>
      </c>
      <c r="G10407" s="222"/>
      <c r="H10407" s="197">
        <v>24.71</v>
      </c>
      <c r="L10407" s="201" t="s">
        <v>16835</v>
      </c>
      <c r="M10407" s="199"/>
      <c r="N10407" s="199"/>
    </row>
    <row r="10408">
      <c r="A10408" s="193" t="s">
        <v>31448</v>
      </c>
      <c r="D10408" s="199"/>
      <c r="E10408" s="193"/>
      <c r="F10408" s="195" t="s">
        <v>31449</v>
      </c>
      <c r="G10408" s="222"/>
      <c r="H10408" s="197">
        <v>23.68</v>
      </c>
      <c r="L10408" s="201" t="s">
        <v>16835</v>
      </c>
      <c r="M10408" s="199"/>
      <c r="N10408" s="199"/>
    </row>
    <row r="10409">
      <c r="A10409" s="193" t="s">
        <v>31450</v>
      </c>
      <c r="D10409" s="199"/>
      <c r="E10409" s="193"/>
      <c r="F10409" s="195" t="s">
        <v>31451</v>
      </c>
      <c r="G10409" s="222"/>
      <c r="H10409" s="197">
        <v>20.57</v>
      </c>
      <c r="L10409" s="201" t="s">
        <v>16835</v>
      </c>
      <c r="M10409" s="199"/>
      <c r="N10409" s="199"/>
    </row>
    <row r="10410">
      <c r="A10410" s="193" t="s">
        <v>31452</v>
      </c>
      <c r="D10410" s="199"/>
      <c r="E10410" s="193"/>
      <c r="F10410" s="195" t="s">
        <v>31453</v>
      </c>
      <c r="G10410" s="222"/>
      <c r="H10410" s="197">
        <v>18.0</v>
      </c>
      <c r="L10410" s="201" t="s">
        <v>16835</v>
      </c>
      <c r="M10410" s="199"/>
      <c r="N10410" s="199"/>
    </row>
    <row r="10411">
      <c r="A10411" s="193" t="s">
        <v>31454</v>
      </c>
      <c r="D10411" s="199"/>
      <c r="E10411" s="193"/>
      <c r="F10411" s="195" t="s">
        <v>31455</v>
      </c>
      <c r="G10411" s="222"/>
      <c r="H10411" s="197">
        <v>88.16</v>
      </c>
      <c r="L10411" s="201" t="s">
        <v>16835</v>
      </c>
      <c r="M10411" s="199"/>
      <c r="N10411" s="199"/>
    </row>
    <row r="10412">
      <c r="A10412" s="193" t="s">
        <v>31456</v>
      </c>
      <c r="D10412" s="199"/>
      <c r="E10412" s="193"/>
      <c r="F10412" s="195" t="s">
        <v>31455</v>
      </c>
      <c r="G10412" s="222"/>
      <c r="H10412" s="197">
        <v>85.97</v>
      </c>
      <c r="L10412" s="201" t="s">
        <v>16835</v>
      </c>
      <c r="M10412" s="199"/>
      <c r="N10412" s="199"/>
    </row>
    <row r="10413">
      <c r="A10413" s="193" t="s">
        <v>31457</v>
      </c>
      <c r="D10413" s="199"/>
      <c r="E10413" s="193"/>
      <c r="F10413" s="195" t="s">
        <v>31458</v>
      </c>
      <c r="G10413" s="222"/>
      <c r="H10413" s="197">
        <v>18.72</v>
      </c>
      <c r="L10413" s="201" t="s">
        <v>16835</v>
      </c>
      <c r="M10413" s="199"/>
      <c r="N10413" s="199"/>
    </row>
    <row r="10414">
      <c r="A10414" s="193" t="s">
        <v>31459</v>
      </c>
      <c r="D10414" s="199"/>
      <c r="E10414" s="193"/>
      <c r="F10414" s="195" t="s">
        <v>31460</v>
      </c>
      <c r="G10414" s="222"/>
      <c r="H10414" s="197">
        <v>25.683</v>
      </c>
      <c r="L10414" s="201" t="s">
        <v>16835</v>
      </c>
      <c r="M10414" s="199"/>
      <c r="N10414" s="199"/>
    </row>
    <row r="10415">
      <c r="A10415" s="193" t="s">
        <v>31461</v>
      </c>
      <c r="D10415" s="199"/>
      <c r="E10415" s="193"/>
      <c r="F10415" s="195" t="s">
        <v>31462</v>
      </c>
      <c r="G10415" s="222"/>
      <c r="H10415" s="197">
        <v>25.1</v>
      </c>
      <c r="L10415" s="201" t="s">
        <v>16835</v>
      </c>
      <c r="M10415" s="199"/>
      <c r="N10415" s="199"/>
    </row>
    <row r="10416">
      <c r="A10416" s="193" t="s">
        <v>31463</v>
      </c>
      <c r="D10416" s="199"/>
      <c r="E10416" s="193"/>
      <c r="F10416" s="195" t="s">
        <v>31464</v>
      </c>
      <c r="G10416" s="222"/>
      <c r="H10416" s="197">
        <v>25.4901</v>
      </c>
      <c r="L10416" s="201" t="s">
        <v>16835</v>
      </c>
      <c r="M10416" s="199"/>
      <c r="N10416" s="199"/>
    </row>
    <row r="10417">
      <c r="A10417" s="193" t="s">
        <v>31465</v>
      </c>
      <c r="D10417" s="199"/>
      <c r="E10417" s="193"/>
      <c r="F10417" s="195" t="s">
        <v>31466</v>
      </c>
      <c r="G10417" s="222"/>
      <c r="H10417" s="197">
        <v>21.66</v>
      </c>
      <c r="L10417" s="201" t="s">
        <v>16835</v>
      </c>
      <c r="M10417" s="199"/>
      <c r="N10417" s="199"/>
    </row>
    <row r="10418">
      <c r="A10418" s="193" t="s">
        <v>31467</v>
      </c>
      <c r="D10418" s="199"/>
      <c r="E10418" s="193"/>
      <c r="F10418" s="195" t="s">
        <v>31468</v>
      </c>
      <c r="G10418" s="222"/>
      <c r="H10418" s="197">
        <v>15.0637</v>
      </c>
      <c r="L10418" s="201" t="s">
        <v>16835</v>
      </c>
      <c r="M10418" s="199"/>
      <c r="N10418" s="199"/>
    </row>
    <row r="10419">
      <c r="A10419" s="193" t="s">
        <v>31469</v>
      </c>
      <c r="D10419" s="199"/>
      <c r="E10419" s="193"/>
      <c r="F10419" s="195" t="s">
        <v>31470</v>
      </c>
      <c r="G10419" s="222"/>
      <c r="H10419" s="197">
        <v>23.08</v>
      </c>
      <c r="L10419" s="201" t="s">
        <v>16835</v>
      </c>
      <c r="M10419" s="199"/>
      <c r="N10419" s="199"/>
    </row>
    <row r="10420">
      <c r="A10420" s="193" t="s">
        <v>31471</v>
      </c>
      <c r="D10420" s="199"/>
      <c r="E10420" s="193"/>
      <c r="F10420" s="195" t="s">
        <v>31472</v>
      </c>
      <c r="G10420" s="222"/>
      <c r="H10420" s="197">
        <v>35.16</v>
      </c>
      <c r="L10420" s="201" t="s">
        <v>16835</v>
      </c>
      <c r="M10420" s="199"/>
      <c r="N10420" s="199"/>
    </row>
    <row r="10421">
      <c r="A10421" s="193" t="s">
        <v>31475</v>
      </c>
      <c r="D10421" s="199"/>
      <c r="E10421" s="193"/>
      <c r="F10421" s="195" t="s">
        <v>31476</v>
      </c>
      <c r="G10421" s="222"/>
      <c r="H10421" s="197">
        <v>20.4307</v>
      </c>
      <c r="L10421" s="201" t="s">
        <v>16835</v>
      </c>
      <c r="M10421" s="199"/>
      <c r="N10421" s="199"/>
    </row>
    <row r="10422">
      <c r="A10422" s="193" t="s">
        <v>31477</v>
      </c>
      <c r="D10422" s="199"/>
      <c r="E10422" s="193"/>
      <c r="F10422" s="195" t="s">
        <v>31478</v>
      </c>
      <c r="G10422" s="222"/>
      <c r="H10422" s="197">
        <v>20.1782</v>
      </c>
      <c r="L10422" s="201" t="s">
        <v>16835</v>
      </c>
      <c r="M10422" s="199"/>
      <c r="N10422" s="199"/>
    </row>
    <row r="10423">
      <c r="A10423" s="193" t="s">
        <v>31479</v>
      </c>
      <c r="D10423" s="199"/>
      <c r="E10423" s="193"/>
      <c r="F10423" s="195" t="s">
        <v>31480</v>
      </c>
      <c r="G10423" s="222"/>
      <c r="H10423" s="197">
        <v>17.2</v>
      </c>
      <c r="L10423" s="201" t="s">
        <v>16835</v>
      </c>
      <c r="M10423" s="199"/>
      <c r="N10423" s="199"/>
    </row>
    <row r="10424">
      <c r="A10424" s="193" t="s">
        <v>31481</v>
      </c>
      <c r="D10424" s="199"/>
      <c r="E10424" s="193"/>
      <c r="F10424" s="195" t="s">
        <v>31482</v>
      </c>
      <c r="G10424" s="222"/>
      <c r="H10424" s="197">
        <v>19.26</v>
      </c>
      <c r="L10424" s="201" t="s">
        <v>16835</v>
      </c>
      <c r="M10424" s="199"/>
      <c r="N10424" s="199"/>
    </row>
    <row r="10425">
      <c r="A10425" s="193" t="s">
        <v>31483</v>
      </c>
      <c r="D10425" s="199"/>
      <c r="E10425" s="193"/>
      <c r="F10425" s="195" t="s">
        <v>31484</v>
      </c>
      <c r="G10425" s="222"/>
      <c r="H10425" s="197">
        <v>15.9</v>
      </c>
      <c r="L10425" s="201" t="s">
        <v>16835</v>
      </c>
      <c r="M10425" s="199"/>
      <c r="N10425" s="199"/>
    </row>
    <row r="10426">
      <c r="A10426" s="193" t="s">
        <v>31501</v>
      </c>
      <c r="D10426" s="199"/>
      <c r="E10426" s="193"/>
      <c r="F10426" s="195" t="s">
        <v>31502</v>
      </c>
      <c r="G10426" s="222"/>
      <c r="H10426" s="197">
        <v>18.24</v>
      </c>
      <c r="L10426" s="201" t="s">
        <v>16835</v>
      </c>
      <c r="M10426" s="199"/>
      <c r="N10426" s="199"/>
    </row>
    <row r="10427">
      <c r="A10427" s="193" t="s">
        <v>31503</v>
      </c>
      <c r="D10427" s="199"/>
      <c r="E10427" s="193"/>
      <c r="F10427" s="195" t="s">
        <v>31504</v>
      </c>
      <c r="G10427" s="222"/>
      <c r="H10427" s="197">
        <v>18.24</v>
      </c>
      <c r="L10427" s="201" t="s">
        <v>16835</v>
      </c>
      <c r="M10427" s="199"/>
      <c r="N10427" s="199"/>
    </row>
    <row r="10428">
      <c r="A10428" s="193" t="s">
        <v>31505</v>
      </c>
      <c r="D10428" s="199"/>
      <c r="E10428" s="193"/>
      <c r="F10428" s="195" t="s">
        <v>31506</v>
      </c>
      <c r="G10428" s="222"/>
      <c r="H10428" s="197">
        <v>17.7</v>
      </c>
      <c r="L10428" s="201" t="s">
        <v>16835</v>
      </c>
      <c r="M10428" s="199"/>
      <c r="N10428" s="199"/>
    </row>
    <row r="10429">
      <c r="A10429" s="193" t="s">
        <v>31507</v>
      </c>
      <c r="D10429" s="199"/>
      <c r="E10429" s="193"/>
      <c r="F10429" s="195" t="s">
        <v>31508</v>
      </c>
      <c r="G10429" s="222"/>
      <c r="H10429" s="197">
        <v>15.9</v>
      </c>
      <c r="L10429" s="201" t="s">
        <v>16835</v>
      </c>
      <c r="M10429" s="199"/>
      <c r="N10429" s="199"/>
    </row>
    <row r="10430">
      <c r="A10430" s="193" t="s">
        <v>31509</v>
      </c>
      <c r="D10430" s="199"/>
      <c r="E10430" s="193"/>
      <c r="F10430" s="195" t="s">
        <v>31510</v>
      </c>
      <c r="G10430" s="222"/>
      <c r="H10430" s="197">
        <v>21.99</v>
      </c>
      <c r="L10430" s="201" t="s">
        <v>16835</v>
      </c>
      <c r="M10430" s="199"/>
      <c r="N10430" s="199"/>
    </row>
    <row r="10431">
      <c r="A10431" s="193" t="s">
        <v>31511</v>
      </c>
      <c r="D10431" s="199"/>
      <c r="E10431" s="193"/>
      <c r="F10431" s="195" t="s">
        <v>31512</v>
      </c>
      <c r="G10431" s="222"/>
      <c r="H10431" s="197">
        <v>21.7</v>
      </c>
      <c r="L10431" s="201" t="s">
        <v>16835</v>
      </c>
      <c r="M10431" s="199"/>
      <c r="N10431" s="199"/>
    </row>
    <row r="10432">
      <c r="A10432" s="193" t="s">
        <v>31513</v>
      </c>
      <c r="D10432" s="199"/>
      <c r="E10432" s="193"/>
      <c r="F10432" s="195" t="s">
        <v>31514</v>
      </c>
      <c r="G10432" s="222"/>
      <c r="H10432" s="197">
        <v>17.43</v>
      </c>
      <c r="L10432" s="201" t="s">
        <v>16835</v>
      </c>
      <c r="M10432" s="199"/>
      <c r="N10432" s="199"/>
    </row>
    <row r="10433">
      <c r="A10433" s="193" t="s">
        <v>31515</v>
      </c>
      <c r="D10433" s="199"/>
      <c r="E10433" s="193"/>
      <c r="F10433" s="195" t="s">
        <v>31516</v>
      </c>
      <c r="G10433" s="222"/>
      <c r="H10433" s="197">
        <v>17.87</v>
      </c>
      <c r="L10433" s="201" t="s">
        <v>16835</v>
      </c>
      <c r="M10433" s="199"/>
      <c r="N10433" s="199"/>
    </row>
    <row r="10434">
      <c r="A10434" s="193" t="s">
        <v>31517</v>
      </c>
      <c r="D10434" s="199"/>
      <c r="E10434" s="193"/>
      <c r="F10434" s="195" t="s">
        <v>31518</v>
      </c>
      <c r="G10434" s="222"/>
      <c r="H10434" s="197">
        <v>23.2387</v>
      </c>
      <c r="L10434" s="201" t="s">
        <v>16835</v>
      </c>
      <c r="M10434" s="199"/>
      <c r="N10434" s="199"/>
    </row>
    <row r="10435">
      <c r="A10435" s="193" t="s">
        <v>31519</v>
      </c>
      <c r="D10435" s="199"/>
      <c r="E10435" s="193"/>
      <c r="F10435" s="195" t="s">
        <v>31520</v>
      </c>
      <c r="G10435" s="222"/>
      <c r="H10435" s="197">
        <v>23.05</v>
      </c>
      <c r="L10435" s="201" t="s">
        <v>16835</v>
      </c>
      <c r="M10435" s="199"/>
      <c r="N10435" s="199"/>
    </row>
    <row r="10436">
      <c r="A10436" s="193" t="s">
        <v>31521</v>
      </c>
      <c r="D10436" s="199"/>
      <c r="E10436" s="193"/>
      <c r="F10436" s="195" t="s">
        <v>31522</v>
      </c>
      <c r="G10436" s="222"/>
      <c r="H10436" s="197">
        <v>23.31</v>
      </c>
      <c r="L10436" s="201" t="s">
        <v>16835</v>
      </c>
      <c r="M10436" s="199"/>
      <c r="N10436" s="199"/>
    </row>
    <row r="10437">
      <c r="A10437" s="193" t="s">
        <v>31523</v>
      </c>
      <c r="D10437" s="199"/>
      <c r="E10437" s="193"/>
      <c r="F10437" s="195" t="s">
        <v>31524</v>
      </c>
      <c r="G10437" s="222"/>
      <c r="H10437" s="197">
        <v>22.86</v>
      </c>
      <c r="L10437" s="201" t="s">
        <v>16835</v>
      </c>
      <c r="M10437" s="199"/>
      <c r="N10437" s="199"/>
    </row>
    <row r="10438">
      <c r="A10438" s="193" t="s">
        <v>31525</v>
      </c>
      <c r="D10438" s="199"/>
      <c r="E10438" s="193"/>
      <c r="F10438" s="195" t="s">
        <v>31526</v>
      </c>
      <c r="G10438" s="222"/>
      <c r="H10438" s="197">
        <v>22.16</v>
      </c>
      <c r="L10438" s="201" t="s">
        <v>16835</v>
      </c>
      <c r="M10438" s="199"/>
      <c r="N10438" s="199"/>
    </row>
    <row r="10439">
      <c r="A10439" s="193" t="s">
        <v>31527</v>
      </c>
      <c r="D10439" s="199"/>
      <c r="E10439" s="193"/>
      <c r="F10439" s="195" t="s">
        <v>31528</v>
      </c>
      <c r="G10439" s="222"/>
      <c r="H10439" s="197">
        <v>21.89</v>
      </c>
      <c r="L10439" s="201" t="s">
        <v>16835</v>
      </c>
      <c r="M10439" s="199"/>
      <c r="N10439" s="199"/>
    </row>
    <row r="10440">
      <c r="A10440" s="193" t="s">
        <v>31529</v>
      </c>
      <c r="D10440" s="199"/>
      <c r="E10440" s="193"/>
      <c r="F10440" s="195" t="s">
        <v>31530</v>
      </c>
      <c r="G10440" s="222"/>
      <c r="H10440" s="197">
        <v>20.35</v>
      </c>
      <c r="L10440" s="201" t="s">
        <v>16835</v>
      </c>
      <c r="M10440" s="199"/>
      <c r="N10440" s="199"/>
    </row>
    <row r="10441">
      <c r="A10441" s="193" t="s">
        <v>31531</v>
      </c>
      <c r="D10441" s="199"/>
      <c r="E10441" s="193"/>
      <c r="F10441" s="195" t="s">
        <v>31532</v>
      </c>
      <c r="G10441" s="222"/>
      <c r="H10441" s="197">
        <v>22.19</v>
      </c>
      <c r="L10441" s="201" t="s">
        <v>16835</v>
      </c>
      <c r="M10441" s="199"/>
      <c r="N10441" s="199"/>
    </row>
    <row r="10442">
      <c r="A10442" s="193" t="s">
        <v>31533</v>
      </c>
      <c r="D10442" s="199"/>
      <c r="E10442" s="193"/>
      <c r="F10442" s="195" t="s">
        <v>31534</v>
      </c>
      <c r="G10442" s="222"/>
      <c r="H10442" s="197">
        <v>22.11</v>
      </c>
      <c r="L10442" s="201" t="s">
        <v>16835</v>
      </c>
      <c r="M10442" s="199"/>
      <c r="N10442" s="199"/>
    </row>
    <row r="10443">
      <c r="A10443" s="193" t="s">
        <v>31535</v>
      </c>
      <c r="D10443" s="199"/>
      <c r="E10443" s="193"/>
      <c r="F10443" s="195" t="s">
        <v>31536</v>
      </c>
      <c r="G10443" s="222"/>
      <c r="H10443" s="197">
        <v>22.47</v>
      </c>
      <c r="L10443" s="201" t="s">
        <v>16835</v>
      </c>
      <c r="M10443" s="199"/>
      <c r="N10443" s="199"/>
    </row>
    <row r="10444">
      <c r="A10444" s="193" t="s">
        <v>31537</v>
      </c>
      <c r="D10444" s="199"/>
      <c r="E10444" s="193"/>
      <c r="F10444" s="195" t="s">
        <v>31783</v>
      </c>
      <c r="G10444" s="222"/>
      <c r="H10444" s="197">
        <v>23.46</v>
      </c>
      <c r="L10444" s="201" t="s">
        <v>16835</v>
      </c>
      <c r="M10444" s="199"/>
      <c r="N10444" s="199"/>
    </row>
    <row r="10445">
      <c r="A10445" s="193" t="s">
        <v>31539</v>
      </c>
      <c r="D10445" s="199"/>
      <c r="E10445" s="193"/>
      <c r="F10445" s="195" t="s">
        <v>31540</v>
      </c>
      <c r="G10445" s="222"/>
      <c r="H10445" s="197">
        <v>20.8</v>
      </c>
      <c r="L10445" s="201" t="s">
        <v>16835</v>
      </c>
      <c r="M10445" s="199"/>
      <c r="N10445" s="199"/>
    </row>
    <row r="10446">
      <c r="A10446" s="193" t="s">
        <v>31541</v>
      </c>
      <c r="D10446" s="199"/>
      <c r="E10446" s="193"/>
      <c r="F10446" s="195" t="s">
        <v>31542</v>
      </c>
      <c r="G10446" s="222"/>
      <c r="H10446" s="197">
        <v>19.55</v>
      </c>
      <c r="L10446" s="201" t="s">
        <v>16835</v>
      </c>
      <c r="M10446" s="199"/>
      <c r="N10446" s="199"/>
    </row>
    <row r="10447">
      <c r="A10447" s="193" t="s">
        <v>31543</v>
      </c>
      <c r="D10447" s="199"/>
      <c r="E10447" s="193"/>
      <c r="F10447" s="195" t="s">
        <v>31544</v>
      </c>
      <c r="G10447" s="222"/>
      <c r="H10447" s="197">
        <v>19.625</v>
      </c>
      <c r="L10447" s="201" t="s">
        <v>16835</v>
      </c>
      <c r="M10447" s="199"/>
      <c r="N10447" s="199"/>
    </row>
    <row r="10448">
      <c r="A10448" s="193" t="s">
        <v>31545</v>
      </c>
      <c r="D10448" s="199"/>
      <c r="E10448" s="193"/>
      <c r="F10448" s="195" t="s">
        <v>31546</v>
      </c>
      <c r="G10448" s="222"/>
      <c r="H10448" s="197">
        <v>19.5107</v>
      </c>
      <c r="L10448" s="201" t="s">
        <v>16835</v>
      </c>
      <c r="M10448" s="199"/>
      <c r="N10448" s="199"/>
    </row>
    <row r="10449">
      <c r="A10449" s="193" t="s">
        <v>31547</v>
      </c>
      <c r="D10449" s="199"/>
      <c r="E10449" s="193"/>
      <c r="F10449" s="195" t="s">
        <v>31548</v>
      </c>
      <c r="G10449" s="222"/>
      <c r="H10449" s="197">
        <v>17.11</v>
      </c>
      <c r="L10449" s="201" t="s">
        <v>16835</v>
      </c>
      <c r="M10449" s="199"/>
      <c r="N10449" s="199"/>
    </row>
    <row r="10450">
      <c r="A10450" s="193" t="s">
        <v>31549</v>
      </c>
      <c r="D10450" s="199"/>
      <c r="E10450" s="193"/>
      <c r="F10450" s="195" t="s">
        <v>31550</v>
      </c>
      <c r="G10450" s="222"/>
      <c r="H10450" s="197">
        <v>15.97</v>
      </c>
      <c r="L10450" s="201" t="s">
        <v>16835</v>
      </c>
      <c r="M10450" s="199"/>
      <c r="N10450" s="199"/>
    </row>
    <row r="10451">
      <c r="A10451" s="193" t="s">
        <v>31551</v>
      </c>
      <c r="D10451" s="199"/>
      <c r="E10451" s="193"/>
      <c r="F10451" s="195" t="s">
        <v>31552</v>
      </c>
      <c r="G10451" s="222"/>
      <c r="H10451" s="197">
        <v>16.2954</v>
      </c>
      <c r="L10451" s="201" t="s">
        <v>16835</v>
      </c>
      <c r="M10451" s="199"/>
      <c r="N10451" s="199"/>
    </row>
    <row r="10452">
      <c r="A10452" s="193" t="s">
        <v>31553</v>
      </c>
      <c r="D10452" s="199"/>
      <c r="E10452" s="193"/>
      <c r="F10452" s="195" t="s">
        <v>31554</v>
      </c>
      <c r="G10452" s="222"/>
      <c r="H10452" s="197">
        <v>16.65</v>
      </c>
      <c r="L10452" s="201" t="s">
        <v>16835</v>
      </c>
      <c r="M10452" s="199"/>
      <c r="N10452" s="199"/>
    </row>
    <row r="10453">
      <c r="A10453" s="193" t="s">
        <v>31555</v>
      </c>
      <c r="D10453" s="199"/>
      <c r="E10453" s="193"/>
      <c r="F10453" s="195" t="s">
        <v>31556</v>
      </c>
      <c r="G10453" s="222"/>
      <c r="H10453" s="197">
        <v>16.23</v>
      </c>
      <c r="L10453" s="201" t="s">
        <v>16835</v>
      </c>
      <c r="M10453" s="199"/>
      <c r="N10453" s="199"/>
    </row>
    <row r="10454">
      <c r="A10454" s="193" t="s">
        <v>31557</v>
      </c>
      <c r="D10454" s="199"/>
      <c r="E10454" s="193"/>
      <c r="F10454" s="195" t="s">
        <v>31558</v>
      </c>
      <c r="G10454" s="222"/>
      <c r="H10454" s="197">
        <v>16.58</v>
      </c>
      <c r="L10454" s="201" t="s">
        <v>16835</v>
      </c>
      <c r="M10454" s="199"/>
      <c r="N10454" s="199"/>
    </row>
    <row r="10455">
      <c r="A10455" s="193" t="s">
        <v>31559</v>
      </c>
      <c r="D10455" s="199"/>
      <c r="E10455" s="193"/>
      <c r="F10455" s="195" t="s">
        <v>31560</v>
      </c>
      <c r="G10455" s="222"/>
      <c r="H10455" s="197">
        <v>16.9</v>
      </c>
      <c r="L10455" s="201" t="s">
        <v>16835</v>
      </c>
      <c r="M10455" s="199"/>
      <c r="N10455" s="199"/>
    </row>
    <row r="10456">
      <c r="A10456" s="193" t="s">
        <v>31561</v>
      </c>
      <c r="D10456" s="199"/>
      <c r="E10456" s="193"/>
      <c r="F10456" s="195" t="s">
        <v>31562</v>
      </c>
      <c r="G10456" s="222"/>
      <c r="H10456" s="197">
        <v>15.9</v>
      </c>
      <c r="L10456" s="201" t="s">
        <v>16835</v>
      </c>
      <c r="M10456" s="199"/>
      <c r="N10456" s="199"/>
    </row>
    <row r="10457">
      <c r="A10457" s="193" t="s">
        <v>31565</v>
      </c>
      <c r="D10457" s="199"/>
      <c r="E10457" s="193"/>
      <c r="F10457" s="195" t="s">
        <v>31566</v>
      </c>
      <c r="G10457" s="222"/>
      <c r="H10457" s="197">
        <v>19.81</v>
      </c>
      <c r="L10457" s="201" t="s">
        <v>16835</v>
      </c>
      <c r="M10457" s="199"/>
      <c r="N10457" s="199"/>
    </row>
    <row r="10458">
      <c r="A10458" s="193" t="s">
        <v>31567</v>
      </c>
      <c r="D10458" s="199"/>
      <c r="E10458" s="193"/>
      <c r="F10458" s="195" t="s">
        <v>31568</v>
      </c>
      <c r="G10458" s="222"/>
      <c r="H10458" s="197">
        <v>18.74</v>
      </c>
      <c r="L10458" s="201" t="s">
        <v>16835</v>
      </c>
      <c r="M10458" s="199"/>
      <c r="N10458" s="199"/>
    </row>
    <row r="10459">
      <c r="A10459" s="193" t="s">
        <v>31569</v>
      </c>
      <c r="D10459" s="199"/>
      <c r="E10459" s="193"/>
      <c r="F10459" s="195" t="s">
        <v>31570</v>
      </c>
      <c r="G10459" s="222"/>
      <c r="H10459" s="197">
        <v>21.63</v>
      </c>
      <c r="L10459" s="201" t="s">
        <v>16835</v>
      </c>
      <c r="M10459" s="199"/>
      <c r="N10459" s="199"/>
    </row>
    <row r="10460">
      <c r="A10460" s="193" t="s">
        <v>31571</v>
      </c>
      <c r="D10460" s="199"/>
      <c r="E10460" s="193"/>
      <c r="F10460" s="195" t="s">
        <v>31572</v>
      </c>
      <c r="G10460" s="222"/>
      <c r="H10460" s="197">
        <v>20.5</v>
      </c>
      <c r="L10460" s="201" t="s">
        <v>16835</v>
      </c>
      <c r="M10460" s="199"/>
      <c r="N10460" s="199"/>
    </row>
    <row r="10461">
      <c r="A10461" s="193" t="s">
        <v>31573</v>
      </c>
      <c r="D10461" s="199"/>
      <c r="E10461" s="193"/>
      <c r="F10461" s="195" t="s">
        <v>31574</v>
      </c>
      <c r="G10461" s="222"/>
      <c r="H10461" s="197">
        <v>22.25</v>
      </c>
      <c r="L10461" s="201" t="s">
        <v>16835</v>
      </c>
      <c r="M10461" s="199"/>
      <c r="N10461" s="199"/>
    </row>
    <row r="10462">
      <c r="A10462" s="193" t="s">
        <v>31575</v>
      </c>
      <c r="D10462" s="199"/>
      <c r="E10462" s="193"/>
      <c r="F10462" s="195" t="s">
        <v>31784</v>
      </c>
      <c r="G10462" s="222"/>
      <c r="H10462" s="197">
        <v>19.15</v>
      </c>
      <c r="L10462" s="201" t="s">
        <v>16835</v>
      </c>
      <c r="M10462" s="199"/>
      <c r="N10462" s="199"/>
    </row>
    <row r="10463">
      <c r="A10463" s="193" t="s">
        <v>31577</v>
      </c>
      <c r="D10463" s="199"/>
      <c r="E10463" s="193"/>
      <c r="F10463" s="195" t="s">
        <v>31578</v>
      </c>
      <c r="G10463" s="222"/>
      <c r="H10463" s="197">
        <v>16.205</v>
      </c>
      <c r="L10463" s="201" t="s">
        <v>16835</v>
      </c>
      <c r="M10463" s="199"/>
      <c r="N10463" s="199"/>
    </row>
    <row r="10464">
      <c r="A10464" s="193" t="s">
        <v>31581</v>
      </c>
      <c r="D10464" s="199"/>
      <c r="E10464" s="193"/>
      <c r="F10464" s="195" t="s">
        <v>31582</v>
      </c>
      <c r="G10464" s="222"/>
      <c r="H10464" s="197">
        <v>22.98</v>
      </c>
      <c r="L10464" s="201" t="s">
        <v>16835</v>
      </c>
      <c r="M10464" s="199"/>
      <c r="N10464" s="199"/>
    </row>
    <row r="10465">
      <c r="A10465" s="193" t="s">
        <v>31583</v>
      </c>
      <c r="D10465" s="199"/>
      <c r="E10465" s="193"/>
      <c r="F10465" s="195" t="s">
        <v>31584</v>
      </c>
      <c r="G10465" s="222"/>
      <c r="H10465" s="197">
        <v>22.03</v>
      </c>
      <c r="L10465" s="201" t="s">
        <v>16835</v>
      </c>
      <c r="M10465" s="199"/>
      <c r="N10465" s="199"/>
    </row>
    <row r="10466">
      <c r="A10466" s="193" t="s">
        <v>31585</v>
      </c>
      <c r="D10466" s="199"/>
      <c r="E10466" s="193"/>
      <c r="F10466" s="195" t="s">
        <v>31586</v>
      </c>
      <c r="G10466" s="222"/>
      <c r="H10466" s="197">
        <v>19.37</v>
      </c>
      <c r="L10466" s="201" t="s">
        <v>16835</v>
      </c>
      <c r="M10466" s="199"/>
      <c r="N10466" s="199"/>
    </row>
    <row r="10467">
      <c r="A10467" s="193" t="s">
        <v>31587</v>
      </c>
      <c r="D10467" s="199"/>
      <c r="E10467" s="193"/>
      <c r="F10467" s="195" t="s">
        <v>31588</v>
      </c>
      <c r="G10467" s="222"/>
      <c r="H10467" s="197">
        <v>20.4</v>
      </c>
      <c r="L10467" s="201" t="s">
        <v>16835</v>
      </c>
      <c r="M10467" s="199"/>
      <c r="N10467" s="199"/>
    </row>
    <row r="10468">
      <c r="A10468" s="193" t="s">
        <v>31589</v>
      </c>
      <c r="D10468" s="199"/>
      <c r="E10468" s="193"/>
      <c r="F10468" s="195" t="s">
        <v>31590</v>
      </c>
      <c r="G10468" s="222"/>
      <c r="H10468" s="197">
        <v>22.45</v>
      </c>
      <c r="L10468" s="201" t="s">
        <v>16835</v>
      </c>
      <c r="M10468" s="199"/>
      <c r="N10468" s="199"/>
    </row>
    <row r="10469">
      <c r="A10469" s="193" t="s">
        <v>31591</v>
      </c>
      <c r="D10469" s="199"/>
      <c r="E10469" s="193"/>
      <c r="F10469" s="195" t="s">
        <v>31592</v>
      </c>
      <c r="G10469" s="222"/>
      <c r="H10469" s="197">
        <v>24.66</v>
      </c>
      <c r="L10469" s="201" t="s">
        <v>16835</v>
      </c>
      <c r="M10469" s="199"/>
      <c r="N10469" s="199"/>
    </row>
    <row r="10470">
      <c r="A10470" s="193" t="s">
        <v>31593</v>
      </c>
      <c r="D10470" s="199"/>
      <c r="E10470" s="193"/>
      <c r="F10470" s="195" t="s">
        <v>31785</v>
      </c>
      <c r="G10470" s="222"/>
      <c r="H10470" s="197">
        <v>23.4</v>
      </c>
      <c r="L10470" s="201" t="s">
        <v>16835</v>
      </c>
      <c r="M10470" s="199"/>
      <c r="N10470" s="199"/>
    </row>
    <row r="10471">
      <c r="A10471" s="193" t="s">
        <v>31595</v>
      </c>
      <c r="D10471" s="199"/>
      <c r="E10471" s="193"/>
      <c r="F10471" s="195" t="s">
        <v>31596</v>
      </c>
      <c r="G10471" s="222"/>
      <c r="H10471" s="197">
        <v>24.75</v>
      </c>
      <c r="L10471" s="201" t="s">
        <v>16835</v>
      </c>
      <c r="M10471" s="199"/>
      <c r="N10471" s="199"/>
    </row>
    <row r="10472">
      <c r="A10472" s="193" t="s">
        <v>31597</v>
      </c>
      <c r="D10472" s="199"/>
      <c r="E10472" s="193"/>
      <c r="F10472" s="195" t="s">
        <v>31598</v>
      </c>
      <c r="G10472" s="222"/>
      <c r="H10472" s="197">
        <v>22.1</v>
      </c>
      <c r="L10472" s="201" t="s">
        <v>16835</v>
      </c>
      <c r="M10472" s="199"/>
      <c r="N10472" s="199"/>
    </row>
    <row r="10473">
      <c r="A10473" s="193" t="s">
        <v>31599</v>
      </c>
      <c r="D10473" s="199"/>
      <c r="E10473" s="193"/>
      <c r="F10473" s="195" t="s">
        <v>31600</v>
      </c>
      <c r="G10473" s="222"/>
      <c r="H10473" s="197">
        <v>16.14</v>
      </c>
      <c r="L10473" s="201" t="s">
        <v>16835</v>
      </c>
      <c r="M10473" s="199"/>
      <c r="N10473" s="199"/>
    </row>
    <row r="10474">
      <c r="A10474" s="193" t="s">
        <v>31601</v>
      </c>
      <c r="D10474" s="199"/>
      <c r="E10474" s="193"/>
      <c r="F10474" s="195" t="s">
        <v>31602</v>
      </c>
      <c r="G10474" s="222"/>
      <c r="H10474" s="197">
        <v>50.903</v>
      </c>
      <c r="L10474" s="201" t="s">
        <v>16835</v>
      </c>
      <c r="M10474" s="199"/>
      <c r="N10474" s="199"/>
    </row>
    <row r="10475">
      <c r="A10475" s="193" t="s">
        <v>31603</v>
      </c>
      <c r="D10475" s="199"/>
      <c r="E10475" s="193"/>
      <c r="F10475" s="195" t="s">
        <v>31604</v>
      </c>
      <c r="G10475" s="222"/>
      <c r="H10475" s="197">
        <v>23.39</v>
      </c>
      <c r="L10475" s="201" t="s">
        <v>16835</v>
      </c>
      <c r="M10475" s="199"/>
      <c r="N10475" s="199"/>
    </row>
    <row r="10476">
      <c r="A10476" s="193" t="s">
        <v>31607</v>
      </c>
      <c r="D10476" s="199"/>
      <c r="E10476" s="193"/>
      <c r="F10476" s="195" t="s">
        <v>31608</v>
      </c>
      <c r="G10476" s="222"/>
      <c r="H10476" s="197">
        <v>24.5501</v>
      </c>
      <c r="L10476" s="201" t="s">
        <v>16835</v>
      </c>
      <c r="M10476" s="199"/>
      <c r="N10476" s="199"/>
    </row>
    <row r="10477">
      <c r="A10477" s="193" t="s">
        <v>31609</v>
      </c>
      <c r="D10477" s="199"/>
      <c r="E10477" s="193"/>
      <c r="F10477" s="195" t="s">
        <v>31610</v>
      </c>
      <c r="G10477" s="222"/>
      <c r="H10477" s="197">
        <v>24.65</v>
      </c>
      <c r="L10477" s="201" t="s">
        <v>16835</v>
      </c>
      <c r="M10477" s="199"/>
      <c r="N10477" s="199"/>
    </row>
    <row r="10478">
      <c r="A10478" s="193" t="s">
        <v>31611</v>
      </c>
      <c r="D10478" s="199"/>
      <c r="E10478" s="193"/>
      <c r="F10478" s="195" t="s">
        <v>31612</v>
      </c>
      <c r="G10478" s="222"/>
      <c r="H10478" s="197">
        <v>18.8</v>
      </c>
      <c r="L10478" s="201" t="s">
        <v>16835</v>
      </c>
      <c r="M10478" s="199"/>
      <c r="N10478" s="199"/>
    </row>
    <row r="10479">
      <c r="A10479" s="193" t="s">
        <v>31613</v>
      </c>
      <c r="D10479" s="199"/>
      <c r="E10479" s="193"/>
      <c r="F10479" s="195" t="s">
        <v>31614</v>
      </c>
      <c r="G10479" s="222"/>
      <c r="H10479" s="197">
        <v>24.48</v>
      </c>
      <c r="L10479" s="201" t="s">
        <v>16835</v>
      </c>
      <c r="M10479" s="199"/>
      <c r="N10479" s="199"/>
    </row>
    <row r="10480">
      <c r="A10480" s="193" t="s">
        <v>31615</v>
      </c>
      <c r="D10480" s="199"/>
      <c r="E10480" s="193"/>
      <c r="F10480" s="195" t="s">
        <v>31616</v>
      </c>
      <c r="G10480" s="222"/>
      <c r="H10480" s="197">
        <v>20.24</v>
      </c>
      <c r="L10480" s="201" t="s">
        <v>16835</v>
      </c>
      <c r="M10480" s="199"/>
      <c r="N10480" s="199"/>
    </row>
    <row r="10481">
      <c r="A10481" s="193" t="s">
        <v>31617</v>
      </c>
      <c r="D10481" s="199"/>
      <c r="E10481" s="193"/>
      <c r="F10481" s="195" t="s">
        <v>31618</v>
      </c>
      <c r="G10481" s="222"/>
      <c r="H10481" s="197">
        <v>22.72</v>
      </c>
      <c r="L10481" s="201" t="s">
        <v>16835</v>
      </c>
      <c r="M10481" s="199"/>
      <c r="N10481" s="199"/>
    </row>
    <row r="10482">
      <c r="A10482" s="193" t="s">
        <v>31619</v>
      </c>
      <c r="D10482" s="199"/>
      <c r="E10482" s="193"/>
      <c r="F10482" s="195" t="s">
        <v>31620</v>
      </c>
      <c r="G10482" s="222"/>
      <c r="H10482" s="197">
        <v>18.7</v>
      </c>
      <c r="L10482" s="201" t="s">
        <v>16835</v>
      </c>
      <c r="M10482" s="199"/>
      <c r="N10482" s="199"/>
    </row>
    <row r="10483">
      <c r="A10483" s="193" t="s">
        <v>31621</v>
      </c>
      <c r="D10483" s="199"/>
      <c r="E10483" s="193"/>
      <c r="F10483" s="195" t="s">
        <v>31622</v>
      </c>
      <c r="G10483" s="222"/>
      <c r="H10483" s="197">
        <v>24.49</v>
      </c>
      <c r="L10483" s="201" t="s">
        <v>16835</v>
      </c>
      <c r="M10483" s="199"/>
      <c r="N10483" s="199"/>
    </row>
    <row r="10484">
      <c r="A10484" s="193" t="s">
        <v>31623</v>
      </c>
      <c r="D10484" s="199"/>
      <c r="E10484" s="193"/>
      <c r="F10484" s="195" t="s">
        <v>31624</v>
      </c>
      <c r="G10484" s="222"/>
      <c r="H10484" s="197">
        <v>18.795</v>
      </c>
      <c r="L10484" s="201" t="s">
        <v>16835</v>
      </c>
      <c r="M10484" s="199"/>
      <c r="N10484" s="199"/>
    </row>
    <row r="10485">
      <c r="A10485" s="193" t="s">
        <v>31625</v>
      </c>
      <c r="D10485" s="199"/>
      <c r="E10485" s="193"/>
      <c r="F10485" s="195" t="s">
        <v>31626</v>
      </c>
      <c r="G10485" s="222"/>
      <c r="H10485" s="197">
        <v>24.49</v>
      </c>
      <c r="L10485" s="201" t="s">
        <v>16835</v>
      </c>
      <c r="M10485" s="199"/>
      <c r="N10485" s="199"/>
    </row>
    <row r="10486">
      <c r="A10486" s="193" t="s">
        <v>31627</v>
      </c>
      <c r="D10486" s="199"/>
      <c r="E10486" s="193"/>
      <c r="F10486" s="195" t="s">
        <v>31628</v>
      </c>
      <c r="G10486" s="222"/>
      <c r="H10486" s="197">
        <v>23.46</v>
      </c>
      <c r="L10486" s="201" t="s">
        <v>16835</v>
      </c>
      <c r="M10486" s="199"/>
      <c r="N10486" s="199"/>
    </row>
    <row r="10487">
      <c r="A10487" s="193" t="s">
        <v>31629</v>
      </c>
      <c r="D10487" s="199"/>
      <c r="E10487" s="193"/>
      <c r="F10487" s="195" t="s">
        <v>31786</v>
      </c>
      <c r="G10487" s="222"/>
      <c r="H10487" s="197">
        <v>23.63</v>
      </c>
      <c r="L10487" s="201" t="s">
        <v>16835</v>
      </c>
      <c r="M10487" s="199"/>
      <c r="N10487" s="199"/>
    </row>
    <row r="10488">
      <c r="A10488" s="193" t="s">
        <v>31631</v>
      </c>
      <c r="D10488" s="199"/>
      <c r="E10488" s="193"/>
      <c r="F10488" s="195" t="s">
        <v>31632</v>
      </c>
      <c r="G10488" s="222"/>
      <c r="H10488" s="197">
        <v>23.05</v>
      </c>
      <c r="L10488" s="201" t="s">
        <v>16835</v>
      </c>
      <c r="M10488" s="199"/>
      <c r="N10488" s="199"/>
    </row>
    <row r="10489">
      <c r="A10489" s="193" t="s">
        <v>31633</v>
      </c>
      <c r="D10489" s="199"/>
      <c r="E10489" s="193"/>
      <c r="F10489" s="195" t="s">
        <v>31634</v>
      </c>
      <c r="G10489" s="222"/>
      <c r="H10489" s="197">
        <v>16.88</v>
      </c>
      <c r="L10489" s="201" t="s">
        <v>16835</v>
      </c>
      <c r="M10489" s="199"/>
      <c r="N10489" s="199"/>
    </row>
    <row r="10490">
      <c r="A10490" s="193" t="s">
        <v>31635</v>
      </c>
      <c r="D10490" s="199"/>
      <c r="E10490" s="193"/>
      <c r="F10490" s="195" t="s">
        <v>31636</v>
      </c>
      <c r="G10490" s="222"/>
      <c r="H10490" s="197">
        <v>20.5501</v>
      </c>
      <c r="L10490" s="201" t="s">
        <v>16835</v>
      </c>
      <c r="M10490" s="199"/>
      <c r="N10490" s="199"/>
    </row>
    <row r="10491">
      <c r="A10491" s="193" t="s">
        <v>31637</v>
      </c>
      <c r="D10491" s="199"/>
      <c r="E10491" s="193"/>
      <c r="F10491" s="195" t="s">
        <v>31638</v>
      </c>
      <c r="G10491" s="222"/>
      <c r="H10491" s="197">
        <v>19.0501</v>
      </c>
      <c r="L10491" s="201" t="s">
        <v>16835</v>
      </c>
      <c r="M10491" s="199"/>
      <c r="N10491" s="199"/>
    </row>
    <row r="10492">
      <c r="A10492" s="193" t="s">
        <v>31639</v>
      </c>
      <c r="D10492" s="199"/>
      <c r="E10492" s="193"/>
      <c r="F10492" s="195" t="s">
        <v>31640</v>
      </c>
      <c r="G10492" s="222"/>
      <c r="H10492" s="197">
        <v>22.0</v>
      </c>
      <c r="L10492" s="201" t="s">
        <v>16835</v>
      </c>
      <c r="M10492" s="199"/>
      <c r="N10492" s="199"/>
    </row>
    <row r="10493">
      <c r="A10493" s="193" t="s">
        <v>31641</v>
      </c>
      <c r="D10493" s="199"/>
      <c r="E10493" s="193"/>
      <c r="F10493" s="195" t="s">
        <v>31642</v>
      </c>
      <c r="G10493" s="222"/>
      <c r="H10493" s="197">
        <v>17.9</v>
      </c>
      <c r="L10493" s="201" t="s">
        <v>16835</v>
      </c>
      <c r="M10493" s="199"/>
      <c r="N10493" s="199"/>
    </row>
    <row r="10494">
      <c r="A10494" s="193" t="s">
        <v>31643</v>
      </c>
      <c r="D10494" s="199"/>
      <c r="E10494" s="193"/>
      <c r="F10494" s="195" t="s">
        <v>31644</v>
      </c>
      <c r="G10494" s="222"/>
      <c r="H10494" s="197">
        <v>24.78</v>
      </c>
      <c r="L10494" s="201" t="s">
        <v>16835</v>
      </c>
      <c r="M10494" s="199"/>
      <c r="N10494" s="199"/>
    </row>
    <row r="10495">
      <c r="A10495" s="193" t="s">
        <v>31645</v>
      </c>
      <c r="D10495" s="199"/>
      <c r="E10495" s="193"/>
      <c r="F10495" s="195" t="s">
        <v>31646</v>
      </c>
      <c r="G10495" s="222"/>
      <c r="H10495" s="197">
        <v>23.11</v>
      </c>
      <c r="L10495" s="201" t="s">
        <v>16835</v>
      </c>
      <c r="M10495" s="199"/>
      <c r="N10495" s="199"/>
    </row>
    <row r="10496">
      <c r="A10496" s="193" t="s">
        <v>31647</v>
      </c>
      <c r="D10496" s="199"/>
      <c r="E10496" s="193"/>
      <c r="F10496" s="195" t="s">
        <v>31648</v>
      </c>
      <c r="G10496" s="222"/>
      <c r="H10496" s="197">
        <v>22.2</v>
      </c>
      <c r="L10496" s="201" t="s">
        <v>16835</v>
      </c>
      <c r="M10496" s="199"/>
      <c r="N10496" s="199"/>
    </row>
    <row r="10497">
      <c r="A10497" s="193" t="s">
        <v>31649</v>
      </c>
      <c r="D10497" s="199"/>
      <c r="E10497" s="193"/>
      <c r="F10497" s="195" t="s">
        <v>31650</v>
      </c>
      <c r="G10497" s="222"/>
      <c r="H10497" s="197">
        <v>54.5301</v>
      </c>
      <c r="L10497" s="201" t="s">
        <v>16835</v>
      </c>
      <c r="M10497" s="199"/>
      <c r="N10497" s="199"/>
    </row>
    <row r="10498">
      <c r="A10498" s="193" t="s">
        <v>31651</v>
      </c>
      <c r="D10498" s="199"/>
      <c r="E10498" s="193"/>
      <c r="F10498" s="195" t="s">
        <v>31652</v>
      </c>
      <c r="G10498" s="222"/>
      <c r="H10498" s="197">
        <v>23.29</v>
      </c>
      <c r="L10498" s="201" t="s">
        <v>16835</v>
      </c>
      <c r="M10498" s="199"/>
      <c r="N10498" s="199"/>
    </row>
    <row r="10499">
      <c r="A10499" s="193" t="s">
        <v>31653</v>
      </c>
      <c r="D10499" s="199"/>
      <c r="E10499" s="193"/>
      <c r="F10499" s="195" t="s">
        <v>31654</v>
      </c>
      <c r="G10499" s="222"/>
      <c r="H10499" s="197">
        <v>25.21</v>
      </c>
      <c r="L10499" s="201" t="s">
        <v>16835</v>
      </c>
      <c r="M10499" s="199"/>
      <c r="N10499" s="199"/>
    </row>
    <row r="10500">
      <c r="A10500" s="193" t="s">
        <v>31655</v>
      </c>
      <c r="D10500" s="199"/>
      <c r="E10500" s="193"/>
      <c r="F10500" s="195" t="s">
        <v>31656</v>
      </c>
      <c r="G10500" s="222"/>
      <c r="H10500" s="197">
        <v>23.47</v>
      </c>
      <c r="L10500" s="201" t="s">
        <v>16835</v>
      </c>
      <c r="M10500" s="199"/>
      <c r="N10500" s="199"/>
    </row>
    <row r="10501">
      <c r="A10501" s="193" t="s">
        <v>31657</v>
      </c>
      <c r="D10501" s="199"/>
      <c r="E10501" s="193"/>
      <c r="F10501" s="195" t="s">
        <v>31658</v>
      </c>
      <c r="G10501" s="222"/>
      <c r="H10501" s="197">
        <v>23.5501</v>
      </c>
      <c r="L10501" s="201" t="s">
        <v>16835</v>
      </c>
      <c r="M10501" s="199"/>
      <c r="N10501" s="199"/>
    </row>
    <row r="10502">
      <c r="A10502" s="193" t="s">
        <v>31659</v>
      </c>
      <c r="D10502" s="199"/>
      <c r="E10502" s="193"/>
      <c r="F10502" s="195" t="s">
        <v>31660</v>
      </c>
      <c r="G10502" s="222"/>
      <c r="H10502" s="197">
        <v>23.92</v>
      </c>
      <c r="L10502" s="201" t="s">
        <v>16835</v>
      </c>
      <c r="M10502" s="199"/>
      <c r="N10502" s="199"/>
    </row>
    <row r="10503">
      <c r="A10503" s="193" t="s">
        <v>31661</v>
      </c>
      <c r="D10503" s="199"/>
      <c r="E10503" s="193"/>
      <c r="F10503" s="195" t="s">
        <v>31662</v>
      </c>
      <c r="G10503" s="222"/>
      <c r="H10503" s="197">
        <v>25.18</v>
      </c>
      <c r="L10503" s="201" t="s">
        <v>16835</v>
      </c>
      <c r="M10503" s="199"/>
      <c r="N10503" s="199"/>
    </row>
    <row r="10504">
      <c r="A10504" s="193" t="s">
        <v>31663</v>
      </c>
      <c r="D10504" s="199"/>
      <c r="E10504" s="193"/>
      <c r="F10504" s="195" t="s">
        <v>31664</v>
      </c>
      <c r="G10504" s="222"/>
      <c r="H10504" s="197">
        <v>22.92</v>
      </c>
      <c r="L10504" s="201" t="s">
        <v>16835</v>
      </c>
      <c r="M10504" s="199"/>
      <c r="N10504" s="199"/>
    </row>
    <row r="10505">
      <c r="A10505" s="193" t="s">
        <v>31665</v>
      </c>
      <c r="D10505" s="199"/>
      <c r="E10505" s="193"/>
      <c r="F10505" s="195" t="s">
        <v>31666</v>
      </c>
      <c r="G10505" s="222"/>
      <c r="H10505" s="197">
        <v>15.58</v>
      </c>
      <c r="L10505" s="201" t="s">
        <v>16835</v>
      </c>
      <c r="M10505" s="199"/>
      <c r="N10505" s="199"/>
    </row>
    <row r="10506">
      <c r="A10506" s="193" t="s">
        <v>31667</v>
      </c>
      <c r="D10506" s="199"/>
      <c r="E10506" s="193"/>
      <c r="F10506" s="195" t="s">
        <v>31668</v>
      </c>
      <c r="G10506" s="222"/>
      <c r="H10506" s="197">
        <v>18.95</v>
      </c>
      <c r="L10506" s="201" t="s">
        <v>16835</v>
      </c>
      <c r="M10506" s="199"/>
      <c r="N10506" s="199"/>
    </row>
    <row r="10507">
      <c r="A10507" s="193" t="s">
        <v>31669</v>
      </c>
      <c r="D10507" s="199"/>
      <c r="E10507" s="193"/>
      <c r="F10507" s="195" t="s">
        <v>31670</v>
      </c>
      <c r="G10507" s="222"/>
      <c r="H10507" s="197">
        <v>18.04</v>
      </c>
      <c r="L10507" s="201" t="s">
        <v>16835</v>
      </c>
      <c r="M10507" s="199"/>
      <c r="N10507" s="199"/>
    </row>
    <row r="10508">
      <c r="A10508" s="193" t="s">
        <v>31671</v>
      </c>
      <c r="D10508" s="199"/>
      <c r="E10508" s="193"/>
      <c r="F10508" s="195" t="s">
        <v>31672</v>
      </c>
      <c r="G10508" s="222"/>
      <c r="H10508" s="197">
        <v>15.36</v>
      </c>
      <c r="L10508" s="201" t="s">
        <v>16835</v>
      </c>
      <c r="M10508" s="199"/>
      <c r="N10508" s="199"/>
    </row>
    <row r="10509">
      <c r="A10509" s="193" t="s">
        <v>31673</v>
      </c>
      <c r="D10509" s="199"/>
      <c r="E10509" s="193"/>
      <c r="F10509" s="195" t="s">
        <v>31674</v>
      </c>
      <c r="G10509" s="222"/>
      <c r="H10509" s="197">
        <v>13.43</v>
      </c>
      <c r="L10509" s="201" t="s">
        <v>16835</v>
      </c>
      <c r="M10509" s="199"/>
      <c r="N10509" s="199"/>
    </row>
    <row r="10510">
      <c r="A10510" s="193" t="s">
        <v>31675</v>
      </c>
      <c r="D10510" s="199"/>
      <c r="E10510" s="193"/>
      <c r="F10510" s="195" t="s">
        <v>31676</v>
      </c>
      <c r="G10510" s="222"/>
      <c r="H10510" s="197">
        <v>21.25</v>
      </c>
      <c r="L10510" s="201" t="s">
        <v>16835</v>
      </c>
      <c r="M10510" s="199"/>
      <c r="N10510" s="199"/>
    </row>
    <row r="10511">
      <c r="A10511" s="193" t="s">
        <v>31677</v>
      </c>
      <c r="D10511" s="199"/>
      <c r="E10511" s="193"/>
      <c r="F10511" s="195" t="s">
        <v>31678</v>
      </c>
      <c r="G10511" s="222"/>
      <c r="H10511" s="197">
        <v>21.27</v>
      </c>
      <c r="L10511" s="201" t="s">
        <v>16835</v>
      </c>
      <c r="M10511" s="199"/>
      <c r="N10511" s="199"/>
    </row>
    <row r="10512">
      <c r="A10512" s="193" t="s">
        <v>31679</v>
      </c>
      <c r="D10512" s="199"/>
      <c r="E10512" s="193"/>
      <c r="F10512" s="195" t="s">
        <v>31680</v>
      </c>
      <c r="G10512" s="222"/>
      <c r="H10512" s="197">
        <v>18.84</v>
      </c>
      <c r="L10512" s="201" t="s">
        <v>16835</v>
      </c>
      <c r="M10512" s="199"/>
      <c r="N10512" s="199"/>
    </row>
    <row r="10513">
      <c r="A10513" s="193" t="s">
        <v>31681</v>
      </c>
      <c r="D10513" s="199"/>
      <c r="E10513" s="193"/>
      <c r="F10513" s="195" t="s">
        <v>31682</v>
      </c>
      <c r="G10513" s="222"/>
      <c r="H10513" s="197">
        <v>24.82</v>
      </c>
      <c r="L10513" s="201" t="s">
        <v>16835</v>
      </c>
      <c r="M10513" s="199"/>
      <c r="N10513" s="199"/>
    </row>
    <row r="10514">
      <c r="A10514" s="193" t="s">
        <v>31683</v>
      </c>
      <c r="D10514" s="199"/>
      <c r="E10514" s="193"/>
      <c r="F10514" s="195" t="s">
        <v>31684</v>
      </c>
      <c r="G10514" s="222"/>
      <c r="H10514" s="197">
        <v>24.25</v>
      </c>
      <c r="L10514" s="201" t="s">
        <v>16835</v>
      </c>
      <c r="M10514" s="199"/>
      <c r="N10514" s="199"/>
    </row>
    <row r="10515">
      <c r="A10515" s="193" t="s">
        <v>31685</v>
      </c>
      <c r="D10515" s="199"/>
      <c r="E10515" s="193"/>
      <c r="F10515" s="195" t="s">
        <v>31686</v>
      </c>
      <c r="G10515" s="222"/>
      <c r="H10515" s="197">
        <v>25.66</v>
      </c>
      <c r="L10515" s="201" t="s">
        <v>16835</v>
      </c>
      <c r="M10515" s="199"/>
      <c r="N10515" s="199"/>
    </row>
    <row r="10516">
      <c r="A10516" s="193" t="s">
        <v>31687</v>
      </c>
      <c r="D10516" s="199"/>
      <c r="E10516" s="193"/>
      <c r="F10516" s="195" t="s">
        <v>31688</v>
      </c>
      <c r="G10516" s="222"/>
      <c r="H10516" s="197">
        <v>25.5</v>
      </c>
      <c r="L10516" s="201" t="s">
        <v>16835</v>
      </c>
      <c r="M10516" s="199"/>
      <c r="N10516" s="199"/>
    </row>
    <row r="10517">
      <c r="A10517" s="193" t="s">
        <v>31689</v>
      </c>
      <c r="D10517" s="199"/>
      <c r="E10517" s="193"/>
      <c r="F10517" s="195" t="s">
        <v>31787</v>
      </c>
      <c r="G10517" s="222"/>
      <c r="H10517" s="197">
        <v>25.6</v>
      </c>
      <c r="L10517" s="201" t="s">
        <v>16835</v>
      </c>
      <c r="M10517" s="199"/>
      <c r="N10517" s="199"/>
    </row>
    <row r="10518">
      <c r="A10518" s="193" t="s">
        <v>31691</v>
      </c>
      <c r="D10518" s="199"/>
      <c r="E10518" s="193"/>
      <c r="F10518" s="195" t="s">
        <v>31692</v>
      </c>
      <c r="G10518" s="222"/>
      <c r="H10518" s="197">
        <v>24.555</v>
      </c>
      <c r="L10518" s="201" t="s">
        <v>16835</v>
      </c>
      <c r="M10518" s="199"/>
      <c r="N10518" s="199"/>
    </row>
    <row r="10519">
      <c r="A10519" s="193" t="s">
        <v>31693</v>
      </c>
      <c r="D10519" s="199"/>
      <c r="E10519" s="193"/>
      <c r="F10519" s="195" t="s">
        <v>31694</v>
      </c>
      <c r="G10519" s="222"/>
      <c r="H10519" s="197">
        <v>23.6396</v>
      </c>
      <c r="L10519" s="201" t="s">
        <v>16835</v>
      </c>
      <c r="M10519" s="199"/>
      <c r="N10519" s="199"/>
    </row>
    <row r="10520">
      <c r="A10520" s="193" t="s">
        <v>31695</v>
      </c>
      <c r="D10520" s="199"/>
      <c r="E10520" s="193"/>
      <c r="F10520" s="195" t="s">
        <v>31696</v>
      </c>
      <c r="G10520" s="222"/>
      <c r="H10520" s="197">
        <v>22.34</v>
      </c>
      <c r="L10520" s="201" t="s">
        <v>16835</v>
      </c>
      <c r="M10520" s="199"/>
      <c r="N10520" s="199"/>
    </row>
    <row r="10521">
      <c r="A10521" s="193" t="s">
        <v>31697</v>
      </c>
      <c r="D10521" s="199"/>
      <c r="E10521" s="193"/>
      <c r="F10521" s="195" t="s">
        <v>31698</v>
      </c>
      <c r="G10521" s="222"/>
      <c r="H10521" s="197">
        <v>18.93</v>
      </c>
      <c r="L10521" s="201" t="s">
        <v>16835</v>
      </c>
      <c r="M10521" s="199"/>
      <c r="N10521" s="199"/>
    </row>
    <row r="10522">
      <c r="A10522" s="193" t="s">
        <v>31699</v>
      </c>
      <c r="D10522" s="199"/>
      <c r="E10522" s="193"/>
      <c r="F10522" s="195" t="s">
        <v>31700</v>
      </c>
      <c r="G10522" s="222"/>
      <c r="H10522" s="197">
        <v>14.9227</v>
      </c>
      <c r="L10522" s="201" t="s">
        <v>16835</v>
      </c>
      <c r="M10522" s="199"/>
      <c r="N10522" s="199"/>
    </row>
    <row r="10523">
      <c r="A10523" s="193" t="s">
        <v>31701</v>
      </c>
      <c r="D10523" s="199"/>
      <c r="E10523" s="193"/>
      <c r="F10523" s="195" t="s">
        <v>31702</v>
      </c>
      <c r="G10523" s="222"/>
      <c r="H10523" s="197">
        <v>20.74</v>
      </c>
      <c r="L10523" s="201" t="s">
        <v>16835</v>
      </c>
      <c r="M10523" s="199"/>
      <c r="N10523" s="199"/>
    </row>
    <row r="10524">
      <c r="A10524" s="193" t="s">
        <v>31703</v>
      </c>
      <c r="D10524" s="199"/>
      <c r="E10524" s="193"/>
      <c r="F10524" s="195" t="s">
        <v>31704</v>
      </c>
      <c r="G10524" s="222"/>
      <c r="H10524" s="197">
        <v>19.81</v>
      </c>
      <c r="L10524" s="201" t="s">
        <v>16835</v>
      </c>
      <c r="M10524" s="199"/>
      <c r="N10524" s="199"/>
    </row>
    <row r="10525">
      <c r="A10525" s="193" t="s">
        <v>31705</v>
      </c>
      <c r="D10525" s="199"/>
      <c r="E10525" s="193"/>
      <c r="F10525" s="195" t="s">
        <v>31706</v>
      </c>
      <c r="G10525" s="222"/>
      <c r="H10525" s="197">
        <v>20.13</v>
      </c>
      <c r="L10525" s="201" t="s">
        <v>16835</v>
      </c>
      <c r="M10525" s="199"/>
      <c r="N10525" s="199"/>
    </row>
    <row r="10526">
      <c r="A10526" s="193" t="s">
        <v>31707</v>
      </c>
      <c r="D10526" s="199"/>
      <c r="E10526" s="193"/>
      <c r="F10526" s="195" t="s">
        <v>31708</v>
      </c>
      <c r="G10526" s="222"/>
      <c r="H10526" s="197">
        <v>42.1</v>
      </c>
      <c r="L10526" s="201" t="s">
        <v>16835</v>
      </c>
      <c r="M10526" s="199"/>
      <c r="N10526" s="199"/>
    </row>
    <row r="10527">
      <c r="A10527" s="193" t="s">
        <v>31709</v>
      </c>
      <c r="D10527" s="199"/>
      <c r="E10527" s="193"/>
      <c r="F10527" s="195" t="s">
        <v>31710</v>
      </c>
      <c r="G10527" s="222"/>
      <c r="H10527" s="197">
        <v>21.8501</v>
      </c>
      <c r="L10527" s="201" t="s">
        <v>16835</v>
      </c>
      <c r="M10527" s="199"/>
      <c r="N10527" s="199"/>
    </row>
    <row r="10528">
      <c r="A10528" s="193" t="s">
        <v>31711</v>
      </c>
      <c r="D10528" s="199"/>
      <c r="E10528" s="193"/>
      <c r="F10528" s="195" t="s">
        <v>31712</v>
      </c>
      <c r="G10528" s="222"/>
      <c r="H10528" s="197">
        <v>786.99</v>
      </c>
      <c r="L10528" s="201" t="s">
        <v>16835</v>
      </c>
      <c r="M10528" s="199"/>
      <c r="N10528" s="199"/>
    </row>
    <row r="10529">
      <c r="A10529" s="193" t="s">
        <v>31713</v>
      </c>
      <c r="D10529" s="199"/>
      <c r="E10529" s="193"/>
      <c r="F10529" s="195" t="s">
        <v>31714</v>
      </c>
      <c r="G10529" s="222"/>
      <c r="H10529" s="197">
        <v>19.91</v>
      </c>
      <c r="L10529" s="201" t="s">
        <v>16835</v>
      </c>
      <c r="M10529" s="199"/>
      <c r="N10529" s="199"/>
    </row>
    <row r="10530">
      <c r="A10530" s="193" t="s">
        <v>31715</v>
      </c>
      <c r="D10530" s="199"/>
      <c r="E10530" s="193"/>
      <c r="F10530" s="195" t="s">
        <v>31716</v>
      </c>
      <c r="G10530" s="222"/>
      <c r="H10530" s="197">
        <v>21.6</v>
      </c>
      <c r="L10530" s="201" t="s">
        <v>16835</v>
      </c>
      <c r="M10530" s="199"/>
      <c r="N10530" s="199"/>
    </row>
    <row r="10531">
      <c r="A10531" s="193" t="s">
        <v>31717</v>
      </c>
      <c r="D10531" s="199"/>
      <c r="E10531" s="193"/>
      <c r="F10531" s="195" t="s">
        <v>31718</v>
      </c>
      <c r="G10531" s="222"/>
      <c r="H10531" s="197">
        <v>15.45</v>
      </c>
      <c r="L10531" s="201" t="s">
        <v>16835</v>
      </c>
      <c r="M10531" s="199"/>
      <c r="N10531" s="199"/>
    </row>
    <row r="10532">
      <c r="A10532" s="193" t="s">
        <v>31719</v>
      </c>
      <c r="D10532" s="199"/>
      <c r="E10532" s="193"/>
      <c r="F10532" s="195" t="s">
        <v>31720</v>
      </c>
      <c r="G10532" s="222"/>
      <c r="H10532" s="197">
        <v>16.0901</v>
      </c>
      <c r="L10532" s="201" t="s">
        <v>16835</v>
      </c>
      <c r="M10532" s="199"/>
      <c r="N10532" s="199"/>
    </row>
    <row r="10533">
      <c r="A10533" s="193" t="s">
        <v>31721</v>
      </c>
      <c r="D10533" s="199"/>
      <c r="E10533" s="193"/>
      <c r="F10533" s="195" t="s">
        <v>31722</v>
      </c>
      <c r="G10533" s="222"/>
      <c r="H10533" s="197">
        <v>18.4</v>
      </c>
      <c r="L10533" s="201" t="s">
        <v>16835</v>
      </c>
      <c r="M10533" s="199"/>
      <c r="N10533" s="199"/>
    </row>
    <row r="10534">
      <c r="A10534" s="193" t="s">
        <v>31723</v>
      </c>
      <c r="D10534" s="199"/>
      <c r="E10534" s="193"/>
      <c r="F10534" s="195" t="s">
        <v>31724</v>
      </c>
      <c r="G10534" s="222"/>
      <c r="H10534" s="197">
        <v>14.93</v>
      </c>
      <c r="I10534" s="223"/>
      <c r="L10534" s="201" t="s">
        <v>16835</v>
      </c>
      <c r="M10534" s="199"/>
      <c r="N10534" s="199"/>
    </row>
    <row r="10535">
      <c r="A10535" s="193" t="s">
        <v>31725</v>
      </c>
      <c r="D10535" s="199"/>
      <c r="E10535" s="193"/>
      <c r="F10535" s="195" t="s">
        <v>31726</v>
      </c>
      <c r="G10535" s="222"/>
      <c r="H10535" s="197">
        <v>14.4</v>
      </c>
      <c r="L10535" s="201" t="s">
        <v>16835</v>
      </c>
      <c r="M10535" s="199"/>
      <c r="N10535" s="199"/>
    </row>
    <row r="10536">
      <c r="A10536" s="193" t="s">
        <v>31727</v>
      </c>
      <c r="D10536" s="199"/>
      <c r="E10536" s="193"/>
      <c r="F10536" s="195" t="s">
        <v>31728</v>
      </c>
      <c r="G10536" s="222"/>
      <c r="H10536" s="197">
        <v>14.67</v>
      </c>
      <c r="L10536" s="201" t="s">
        <v>16835</v>
      </c>
      <c r="M10536" s="199"/>
      <c r="N10536" s="199"/>
    </row>
    <row r="10537">
      <c r="A10537" s="193" t="s">
        <v>31729</v>
      </c>
      <c r="D10537" s="199"/>
      <c r="E10537" s="193"/>
      <c r="F10537" s="195" t="s">
        <v>31730</v>
      </c>
      <c r="G10537" s="222"/>
      <c r="H10537" s="197">
        <v>12.33</v>
      </c>
      <c r="L10537" s="201" t="s">
        <v>16835</v>
      </c>
      <c r="M10537" s="199"/>
      <c r="N10537" s="199"/>
    </row>
    <row r="10538">
      <c r="A10538" s="193" t="s">
        <v>31731</v>
      </c>
      <c r="D10538" s="199"/>
      <c r="E10538" s="193"/>
      <c r="F10538" s="195" t="s">
        <v>31732</v>
      </c>
      <c r="G10538" s="222"/>
      <c r="H10538" s="197">
        <v>20.67</v>
      </c>
      <c r="L10538" s="201" t="s">
        <v>16835</v>
      </c>
      <c r="M10538" s="199"/>
      <c r="N10538" s="199"/>
    </row>
    <row r="10539">
      <c r="A10539" s="193" t="s">
        <v>31733</v>
      </c>
      <c r="D10539" s="199"/>
      <c r="E10539" s="193"/>
      <c r="F10539" s="195" t="s">
        <v>31734</v>
      </c>
      <c r="G10539" s="222"/>
      <c r="H10539" s="197">
        <v>16.0</v>
      </c>
      <c r="L10539" s="201" t="s">
        <v>16835</v>
      </c>
      <c r="M10539" s="199"/>
      <c r="N10539" s="199"/>
    </row>
    <row r="10540">
      <c r="A10540" s="193" t="s">
        <v>31735</v>
      </c>
      <c r="D10540" s="199"/>
      <c r="E10540" s="193"/>
      <c r="F10540" s="195" t="s">
        <v>31736</v>
      </c>
      <c r="G10540" s="222"/>
      <c r="H10540" s="197">
        <v>17.02</v>
      </c>
      <c r="L10540" s="201" t="s">
        <v>16835</v>
      </c>
      <c r="M10540" s="199"/>
      <c r="N10540" s="199"/>
    </row>
    <row r="10541">
      <c r="A10541" s="193" t="s">
        <v>31737</v>
      </c>
      <c r="D10541" s="199"/>
      <c r="E10541" s="193"/>
      <c r="F10541" s="195" t="s">
        <v>31738</v>
      </c>
      <c r="G10541" s="222"/>
      <c r="H10541" s="197">
        <v>20.5</v>
      </c>
      <c r="L10541" s="201" t="s">
        <v>16835</v>
      </c>
      <c r="M10541" s="199"/>
      <c r="N10541" s="199"/>
    </row>
    <row r="10542">
      <c r="A10542" s="193" t="s">
        <v>31739</v>
      </c>
      <c r="D10542" s="199"/>
      <c r="E10542" s="193"/>
      <c r="F10542" s="195" t="s">
        <v>31740</v>
      </c>
      <c r="G10542" s="222"/>
      <c r="H10542" s="197">
        <v>26.9</v>
      </c>
      <c r="L10542" s="201" t="s">
        <v>16835</v>
      </c>
      <c r="M10542" s="199"/>
      <c r="N10542" s="199"/>
    </row>
    <row r="10543">
      <c r="A10543" s="193" t="s">
        <v>31741</v>
      </c>
      <c r="D10543" s="199"/>
      <c r="E10543" s="193"/>
      <c r="F10543" s="195" t="s">
        <v>31742</v>
      </c>
      <c r="G10543" s="222"/>
      <c r="H10543" s="197">
        <v>18.56</v>
      </c>
      <c r="L10543" s="201" t="s">
        <v>16835</v>
      </c>
      <c r="M10543" s="199"/>
      <c r="N10543" s="199"/>
    </row>
    <row r="10544">
      <c r="A10544" s="193" t="s">
        <v>31743</v>
      </c>
      <c r="D10544" s="199"/>
      <c r="E10544" s="193"/>
      <c r="F10544" s="195" t="s">
        <v>31744</v>
      </c>
      <c r="G10544" s="222"/>
      <c r="H10544" s="197">
        <v>16.945</v>
      </c>
      <c r="L10544" s="201" t="s">
        <v>16835</v>
      </c>
      <c r="M10544" s="199"/>
      <c r="N10544" s="199"/>
    </row>
    <row r="10545">
      <c r="A10545" s="193" t="s">
        <v>31745</v>
      </c>
      <c r="D10545" s="199"/>
      <c r="E10545" s="193"/>
      <c r="F10545" s="195" t="s">
        <v>31788</v>
      </c>
      <c r="G10545" s="222"/>
      <c r="H10545" s="197">
        <v>16.43</v>
      </c>
      <c r="L10545" s="201" t="s">
        <v>16835</v>
      </c>
      <c r="M10545" s="199"/>
      <c r="N10545" s="199"/>
    </row>
    <row r="10546">
      <c r="A10546" s="193" t="s">
        <v>31747</v>
      </c>
      <c r="D10546" s="199"/>
      <c r="E10546" s="193"/>
      <c r="F10546" s="195" t="s">
        <v>31748</v>
      </c>
      <c r="G10546" s="222"/>
      <c r="H10546" s="197">
        <v>1099.9648</v>
      </c>
      <c r="L10546" s="201" t="s">
        <v>16835</v>
      </c>
      <c r="M10546" s="199"/>
      <c r="N10546" s="199"/>
    </row>
    <row r="10547">
      <c r="A10547" s="193" t="s">
        <v>31749</v>
      </c>
      <c r="D10547" s="199"/>
      <c r="E10547" s="193"/>
      <c r="F10547" s="195" t="s">
        <v>31750</v>
      </c>
      <c r="G10547" s="222"/>
      <c r="H10547" s="197">
        <v>25.27</v>
      </c>
      <c r="L10547" s="201" t="s">
        <v>16835</v>
      </c>
      <c r="M10547" s="199"/>
      <c r="N10547" s="199"/>
    </row>
    <row r="10548">
      <c r="A10548" s="193" t="s">
        <v>31751</v>
      </c>
      <c r="D10548" s="199"/>
      <c r="E10548" s="193"/>
      <c r="F10548" s="195" t="s">
        <v>31752</v>
      </c>
      <c r="G10548" s="222"/>
      <c r="H10548" s="197">
        <v>22.41</v>
      </c>
      <c r="L10548" s="201" t="s">
        <v>16835</v>
      </c>
      <c r="M10548" s="199"/>
      <c r="N10548" s="199"/>
    </row>
    <row r="10549">
      <c r="A10549" s="193" t="s">
        <v>31753</v>
      </c>
      <c r="D10549" s="199"/>
      <c r="E10549" s="193"/>
      <c r="F10549" s="195" t="s">
        <v>31754</v>
      </c>
      <c r="G10549" s="222"/>
      <c r="H10549" s="197">
        <v>18.57</v>
      </c>
      <c r="L10549" s="201" t="s">
        <v>16835</v>
      </c>
      <c r="M10549" s="199"/>
      <c r="N10549" s="199"/>
    </row>
    <row r="10550">
      <c r="A10550" s="193" t="s">
        <v>31755</v>
      </c>
      <c r="D10550" s="199"/>
      <c r="E10550" s="193"/>
      <c r="F10550" s="195" t="s">
        <v>31756</v>
      </c>
      <c r="G10550" s="222"/>
      <c r="H10550" s="197">
        <v>8.54</v>
      </c>
      <c r="L10550" s="201" t="s">
        <v>16835</v>
      </c>
      <c r="M10550" s="199"/>
      <c r="N10550" s="199"/>
    </row>
    <row r="10551">
      <c r="A10551" s="193" t="s">
        <v>31757</v>
      </c>
      <c r="D10551" s="199"/>
      <c r="E10551" s="193"/>
      <c r="F10551" s="195" t="s">
        <v>31758</v>
      </c>
      <c r="G10551" s="222"/>
      <c r="H10551" s="197">
        <v>22.78</v>
      </c>
      <c r="L10551" s="201" t="s">
        <v>16835</v>
      </c>
      <c r="M10551" s="199"/>
      <c r="N10551" s="199"/>
    </row>
    <row r="10552">
      <c r="A10552" s="193" t="s">
        <v>31759</v>
      </c>
      <c r="D10552" s="199"/>
      <c r="E10552" s="193"/>
      <c r="F10552" s="195" t="s">
        <v>31760</v>
      </c>
      <c r="G10552" s="222"/>
      <c r="H10552" s="197">
        <v>20.5147</v>
      </c>
      <c r="L10552" s="201" t="s">
        <v>16835</v>
      </c>
      <c r="M10552" s="199"/>
      <c r="N10552" s="199"/>
    </row>
    <row r="10553">
      <c r="A10553" s="193" t="s">
        <v>31761</v>
      </c>
      <c r="D10553" s="199"/>
      <c r="E10553" s="193"/>
      <c r="F10553" s="195" t="s">
        <v>31762</v>
      </c>
      <c r="G10553" s="222"/>
      <c r="H10553" s="197">
        <v>19.09</v>
      </c>
      <c r="L10553" s="201" t="s">
        <v>16835</v>
      </c>
      <c r="M10553" s="199"/>
      <c r="N10553" s="199"/>
    </row>
    <row r="10554">
      <c r="A10554" s="193" t="s">
        <v>31763</v>
      </c>
      <c r="D10554" s="199"/>
      <c r="E10554" s="193"/>
      <c r="F10554" s="195" t="s">
        <v>31764</v>
      </c>
      <c r="G10554" s="222"/>
      <c r="H10554" s="197">
        <v>16.97</v>
      </c>
      <c r="L10554" s="201" t="s">
        <v>16835</v>
      </c>
      <c r="M10554" s="199"/>
      <c r="N10554" s="199"/>
    </row>
    <row r="10555">
      <c r="A10555" s="193" t="s">
        <v>31765</v>
      </c>
      <c r="D10555" s="199"/>
      <c r="E10555" s="193"/>
      <c r="F10555" s="195" t="s">
        <v>31766</v>
      </c>
      <c r="G10555" s="222"/>
      <c r="H10555" s="197">
        <v>375.0</v>
      </c>
      <c r="L10555" s="201" t="s">
        <v>16835</v>
      </c>
      <c r="M10555" s="199"/>
      <c r="N10555" s="199"/>
    </row>
    <row r="10556">
      <c r="A10556" s="193" t="s">
        <v>31767</v>
      </c>
      <c r="D10556" s="199"/>
      <c r="E10556" s="193"/>
      <c r="F10556" s="195" t="s">
        <v>31768</v>
      </c>
      <c r="G10556" s="222"/>
      <c r="H10556" s="197">
        <v>24.45</v>
      </c>
      <c r="L10556" s="201" t="s">
        <v>16835</v>
      </c>
      <c r="M10556" s="199"/>
      <c r="N10556" s="199"/>
    </row>
    <row r="10557">
      <c r="A10557" s="193" t="s">
        <v>31030</v>
      </c>
      <c r="B10557" s="208"/>
      <c r="C10557" s="206"/>
      <c r="D10557" s="206"/>
      <c r="E10557" s="193"/>
      <c r="F10557" s="203" t="s">
        <v>31031</v>
      </c>
      <c r="G10557" s="222"/>
      <c r="H10557" s="205">
        <v>10.47</v>
      </c>
      <c r="I10557" s="206"/>
      <c r="J10557" s="208"/>
      <c r="K10557" s="206"/>
      <c r="L10557" s="193" t="s">
        <v>17471</v>
      </c>
      <c r="M10557" s="206"/>
      <c r="N10557" s="206"/>
    </row>
    <row r="10558">
      <c r="A10558" s="193" t="s">
        <v>31060</v>
      </c>
      <c r="B10558" s="208"/>
      <c r="C10558" s="206"/>
      <c r="D10558" s="206"/>
      <c r="E10558" s="193"/>
      <c r="F10558" s="203" t="s">
        <v>31061</v>
      </c>
      <c r="G10558" s="222"/>
      <c r="H10558" s="205">
        <v>19.99</v>
      </c>
      <c r="I10558" s="206"/>
      <c r="J10558" s="208"/>
      <c r="K10558" s="206"/>
      <c r="L10558" s="193" t="s">
        <v>17471</v>
      </c>
      <c r="M10558" s="206"/>
      <c r="N10558" s="206"/>
    </row>
    <row r="10559">
      <c r="A10559" s="193" t="s">
        <v>31204</v>
      </c>
      <c r="B10559" s="208"/>
      <c r="C10559" s="206"/>
      <c r="D10559" s="206"/>
      <c r="E10559" s="193"/>
      <c r="F10559" s="203" t="s">
        <v>31205</v>
      </c>
      <c r="G10559" s="222"/>
      <c r="H10559" s="205">
        <v>22.09</v>
      </c>
      <c r="I10559" s="206"/>
      <c r="J10559" s="208"/>
      <c r="K10559" s="206"/>
      <c r="L10559" s="193" t="s">
        <v>17471</v>
      </c>
      <c r="M10559" s="206"/>
      <c r="N10559" s="206"/>
    </row>
    <row r="10560">
      <c r="A10560" s="193" t="s">
        <v>31272</v>
      </c>
      <c r="B10560" s="208"/>
      <c r="C10560" s="206"/>
      <c r="D10560" s="206"/>
      <c r="E10560" s="193"/>
      <c r="F10560" s="203" t="s">
        <v>31273</v>
      </c>
      <c r="G10560" s="222"/>
      <c r="H10560" s="205">
        <v>21.98</v>
      </c>
      <c r="I10560" s="206"/>
      <c r="J10560" s="208"/>
      <c r="K10560" s="206"/>
      <c r="L10560" s="193" t="s">
        <v>17471</v>
      </c>
      <c r="M10560" s="206"/>
      <c r="N10560" s="206"/>
    </row>
    <row r="10561">
      <c r="A10561" s="193" t="s">
        <v>31290</v>
      </c>
      <c r="B10561" s="208"/>
      <c r="C10561" s="206"/>
      <c r="D10561" s="206"/>
      <c r="E10561" s="193"/>
      <c r="F10561" s="203" t="s">
        <v>31291</v>
      </c>
      <c r="G10561" s="222"/>
      <c r="H10561" s="205">
        <v>21.2701</v>
      </c>
      <c r="I10561" s="206"/>
      <c r="J10561" s="208"/>
      <c r="K10561" s="206"/>
      <c r="L10561" s="193" t="s">
        <v>17471</v>
      </c>
      <c r="M10561" s="206"/>
      <c r="N10561" s="206"/>
    </row>
    <row r="10562">
      <c r="A10562" s="193" t="s">
        <v>31292</v>
      </c>
      <c r="B10562" s="208"/>
      <c r="C10562" s="206"/>
      <c r="D10562" s="206"/>
      <c r="E10562" s="193"/>
      <c r="F10562" s="203" t="s">
        <v>31293</v>
      </c>
      <c r="G10562" s="222"/>
      <c r="H10562" s="205">
        <v>47.77</v>
      </c>
      <c r="I10562" s="206"/>
      <c r="J10562" s="208"/>
      <c r="K10562" s="206"/>
      <c r="L10562" s="193" t="s">
        <v>17471</v>
      </c>
      <c r="M10562" s="206"/>
      <c r="N10562" s="206"/>
    </row>
    <row r="10563">
      <c r="A10563" s="193" t="s">
        <v>31342</v>
      </c>
      <c r="B10563" s="208"/>
      <c r="C10563" s="206"/>
      <c r="D10563" s="206"/>
      <c r="E10563" s="193"/>
      <c r="F10563" s="203" t="s">
        <v>31343</v>
      </c>
      <c r="G10563" s="222"/>
      <c r="H10563" s="205">
        <v>50.3001</v>
      </c>
      <c r="I10563" s="206"/>
      <c r="J10563" s="208"/>
      <c r="K10563" s="206"/>
      <c r="L10563" s="193" t="s">
        <v>17471</v>
      </c>
      <c r="M10563" s="206"/>
      <c r="N10563" s="206"/>
    </row>
    <row r="10564">
      <c r="A10564" s="193" t="s">
        <v>31485</v>
      </c>
      <c r="B10564" s="208"/>
      <c r="C10564" s="206"/>
      <c r="D10564" s="206"/>
      <c r="E10564" s="193"/>
      <c r="F10564" s="203" t="s">
        <v>31486</v>
      </c>
      <c r="G10564" s="222"/>
      <c r="H10564" s="205">
        <v>52.52</v>
      </c>
      <c r="I10564" s="206"/>
      <c r="J10564" s="208"/>
      <c r="K10564" s="206"/>
      <c r="L10564" s="193" t="s">
        <v>17471</v>
      </c>
      <c r="M10564" s="206"/>
      <c r="N10564" s="206"/>
    </row>
    <row r="10565">
      <c r="A10565" s="193" t="s">
        <v>31487</v>
      </c>
      <c r="B10565" s="208"/>
      <c r="C10565" s="206"/>
      <c r="D10565" s="206"/>
      <c r="E10565" s="193"/>
      <c r="F10565" s="203" t="s">
        <v>31488</v>
      </c>
      <c r="G10565" s="222"/>
      <c r="H10565" s="205">
        <v>20.5</v>
      </c>
      <c r="I10565" s="206"/>
      <c r="J10565" s="208"/>
      <c r="K10565" s="206"/>
      <c r="L10565" s="193" t="s">
        <v>17471</v>
      </c>
      <c r="M10565" s="206"/>
      <c r="N10565" s="206"/>
    </row>
    <row r="10566">
      <c r="A10566" s="193" t="s">
        <v>31489</v>
      </c>
      <c r="B10566" s="208"/>
      <c r="C10566" s="206"/>
      <c r="D10566" s="206"/>
      <c r="E10566" s="193"/>
      <c r="F10566" s="203" t="s">
        <v>31490</v>
      </c>
      <c r="G10566" s="222"/>
      <c r="H10566" s="205">
        <v>17.17</v>
      </c>
      <c r="I10566" s="206"/>
      <c r="J10566" s="208"/>
      <c r="K10566" s="206"/>
      <c r="L10566" s="193" t="s">
        <v>17471</v>
      </c>
      <c r="M10566" s="206"/>
      <c r="N10566" s="206"/>
    </row>
    <row r="10567">
      <c r="A10567" s="193" t="s">
        <v>31491</v>
      </c>
      <c r="B10567" s="208"/>
      <c r="C10567" s="206"/>
      <c r="D10567" s="206"/>
      <c r="E10567" s="193"/>
      <c r="F10567" s="203" t="s">
        <v>31492</v>
      </c>
      <c r="G10567" s="222"/>
      <c r="H10567" s="205">
        <v>16.28</v>
      </c>
      <c r="I10567" s="206"/>
      <c r="J10567" s="208"/>
      <c r="K10567" s="206"/>
      <c r="L10567" s="193" t="s">
        <v>17471</v>
      </c>
      <c r="M10567" s="206"/>
      <c r="N10567" s="206"/>
    </row>
    <row r="10568">
      <c r="A10568" s="193" t="s">
        <v>31493</v>
      </c>
      <c r="B10568" s="208"/>
      <c r="C10568" s="206"/>
      <c r="D10568" s="206"/>
      <c r="E10568" s="193"/>
      <c r="F10568" s="203" t="s">
        <v>31494</v>
      </c>
      <c r="G10568" s="222"/>
      <c r="H10568" s="205">
        <v>16.0001</v>
      </c>
      <c r="I10568" s="206"/>
      <c r="J10568" s="208"/>
      <c r="K10568" s="206"/>
      <c r="L10568" s="193" t="s">
        <v>17471</v>
      </c>
      <c r="M10568" s="206"/>
      <c r="N10568" s="206"/>
    </row>
    <row r="10569">
      <c r="A10569" s="193" t="s">
        <v>31495</v>
      </c>
      <c r="B10569" s="208"/>
      <c r="C10569" s="206"/>
      <c r="D10569" s="206"/>
      <c r="E10569" s="193"/>
      <c r="F10569" s="203" t="s">
        <v>31496</v>
      </c>
      <c r="G10569" s="222"/>
      <c r="H10569" s="205">
        <v>16.22</v>
      </c>
      <c r="I10569" s="206"/>
      <c r="J10569" s="208"/>
      <c r="K10569" s="206"/>
      <c r="L10569" s="193" t="s">
        <v>17471</v>
      </c>
      <c r="M10569" s="206"/>
      <c r="N10569" s="206"/>
    </row>
    <row r="10570">
      <c r="A10570" s="193" t="s">
        <v>31497</v>
      </c>
      <c r="B10570" s="208"/>
      <c r="C10570" s="206"/>
      <c r="D10570" s="206"/>
      <c r="E10570" s="193"/>
      <c r="F10570" s="203" t="s">
        <v>31498</v>
      </c>
      <c r="G10570" s="222"/>
      <c r="H10570" s="205">
        <v>15.35</v>
      </c>
      <c r="I10570" s="206"/>
      <c r="J10570" s="208"/>
      <c r="K10570" s="206"/>
      <c r="L10570" s="193" t="s">
        <v>17471</v>
      </c>
      <c r="M10570" s="206"/>
      <c r="N10570" s="206"/>
    </row>
    <row r="10571">
      <c r="A10571" s="193" t="s">
        <v>31499</v>
      </c>
      <c r="B10571" s="208"/>
      <c r="C10571" s="206"/>
      <c r="D10571" s="206"/>
      <c r="E10571" s="193"/>
      <c r="F10571" s="203" t="s">
        <v>31500</v>
      </c>
      <c r="G10571" s="222"/>
      <c r="H10571" s="205">
        <v>14.7</v>
      </c>
      <c r="I10571" s="206"/>
      <c r="J10571" s="208"/>
      <c r="K10571" s="206"/>
      <c r="L10571" s="193" t="s">
        <v>17471</v>
      </c>
      <c r="M10571" s="206"/>
      <c r="N10571" s="206"/>
    </row>
    <row r="10572">
      <c r="A10572" s="193" t="s">
        <v>31579</v>
      </c>
      <c r="B10572" s="208"/>
      <c r="C10572" s="206"/>
      <c r="D10572" s="206"/>
      <c r="E10572" s="193"/>
      <c r="F10572" s="203" t="s">
        <v>31580</v>
      </c>
      <c r="G10572" s="222"/>
      <c r="H10572" s="205">
        <v>14.0</v>
      </c>
      <c r="I10572" s="206"/>
      <c r="J10572" s="208"/>
      <c r="K10572" s="206"/>
      <c r="L10572" s="193" t="s">
        <v>17471</v>
      </c>
      <c r="M10572" s="206"/>
      <c r="N10572" s="206"/>
    </row>
    <row r="10573">
      <c r="A10573" s="193" t="s">
        <v>31605</v>
      </c>
      <c r="B10573" s="208"/>
      <c r="C10573" s="206"/>
      <c r="D10573" s="206"/>
      <c r="E10573" s="193"/>
      <c r="F10573" s="203" t="s">
        <v>31606</v>
      </c>
      <c r="G10573" s="222"/>
      <c r="H10573" s="205">
        <v>0.75</v>
      </c>
      <c r="I10573" s="206"/>
      <c r="J10573" s="208"/>
      <c r="K10573" s="206"/>
      <c r="L10573" s="193" t="s">
        <v>17471</v>
      </c>
      <c r="M10573" s="206"/>
      <c r="N10573" s="206"/>
    </row>
    <row r="10574">
      <c r="A10574" s="224" t="s">
        <v>31769</v>
      </c>
      <c r="B10574" s="225"/>
      <c r="C10574" s="226"/>
      <c r="D10574" s="226"/>
      <c r="E10574" s="224"/>
      <c r="F10574" s="227" t="s">
        <v>31770</v>
      </c>
      <c r="G10574" s="228"/>
      <c r="H10574" s="229">
        <v>19.58</v>
      </c>
      <c r="I10574" s="226"/>
      <c r="J10574" s="225"/>
      <c r="K10574" s="226"/>
      <c r="L10574" s="224" t="s">
        <v>17471</v>
      </c>
      <c r="M10574" s="226"/>
      <c r="N10574" s="226"/>
      <c r="O10574" s="88"/>
      <c r="P10574" s="88"/>
      <c r="Q10574" s="88"/>
      <c r="R10574" s="88"/>
      <c r="S10574" s="88"/>
      <c r="T10574" s="88"/>
      <c r="U10574" s="88"/>
      <c r="V10574" s="88"/>
      <c r="W10574" s="88"/>
      <c r="X10574" s="88"/>
      <c r="Y10574" s="88"/>
      <c r="Z10574" s="88"/>
      <c r="AA10574" s="88"/>
      <c r="AB10574" s="88"/>
      <c r="AC10574" s="88"/>
      <c r="AD10574" s="88"/>
    </row>
  </sheetData>
  <conditionalFormatting sqref="B7396:B10268 J7396:J10268">
    <cfRule type="notContainsBlanks" dxfId="0" priority="1">
      <formula>LEN(TRIM(B7396))&gt;0</formula>
    </cfRule>
  </conditionalFormatting>
  <conditionalFormatting sqref="A1:A10574">
    <cfRule type="expression" dxfId="0" priority="2">
      <formula>COUNTIF (A:A, A1)&gt;1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0" t="s">
        <v>430</v>
      </c>
      <c r="B1" s="231" t="s">
        <v>83</v>
      </c>
      <c r="C1" s="231" t="s">
        <v>348</v>
      </c>
    </row>
    <row r="2">
      <c r="A2" s="130"/>
      <c r="B2" s="71"/>
      <c r="C2" s="71"/>
      <c r="G2" s="71" t="s">
        <v>16813</v>
      </c>
    </row>
    <row r="3">
      <c r="A3" s="130"/>
      <c r="B3" s="71"/>
      <c r="C3" s="71"/>
      <c r="G3" s="71" t="s">
        <v>16817</v>
      </c>
    </row>
    <row r="4">
      <c r="A4" s="232" t="s">
        <v>16832</v>
      </c>
      <c r="B4" s="71"/>
      <c r="C4" s="71"/>
      <c r="G4" s="71" t="s">
        <v>16583</v>
      </c>
    </row>
    <row r="5">
      <c r="A5" s="130" t="s">
        <v>394</v>
      </c>
      <c r="B5" s="71" t="s">
        <v>16813</v>
      </c>
      <c r="C5" s="71" t="s">
        <v>16582</v>
      </c>
      <c r="G5" s="71" t="s">
        <v>16583</v>
      </c>
    </row>
    <row r="6">
      <c r="A6" s="130" t="s">
        <v>16816</v>
      </c>
      <c r="B6" s="71" t="s">
        <v>16817</v>
      </c>
      <c r="C6" s="71" t="s">
        <v>16582</v>
      </c>
      <c r="G6" s="71" t="s">
        <v>16824</v>
      </c>
    </row>
    <row r="7">
      <c r="A7" s="130" t="s">
        <v>16819</v>
      </c>
      <c r="B7" s="71" t="s">
        <v>16583</v>
      </c>
      <c r="C7" s="71" t="s">
        <v>16582</v>
      </c>
      <c r="G7" s="71" t="s">
        <v>16828</v>
      </c>
    </row>
    <row r="8">
      <c r="A8" s="130" t="s">
        <v>16821</v>
      </c>
      <c r="B8" s="71" t="s">
        <v>16583</v>
      </c>
      <c r="C8" s="71" t="s">
        <v>16582</v>
      </c>
      <c r="G8" s="71" t="s">
        <v>16583</v>
      </c>
    </row>
    <row r="9">
      <c r="A9" s="130" t="s">
        <v>16823</v>
      </c>
      <c r="B9" s="71" t="s">
        <v>16824</v>
      </c>
      <c r="C9" s="233" t="s">
        <v>175</v>
      </c>
    </row>
    <row r="10">
      <c r="A10" s="130" t="s">
        <v>16827</v>
      </c>
      <c r="B10" s="71" t="s">
        <v>16828</v>
      </c>
      <c r="C10" s="71" t="s">
        <v>16582</v>
      </c>
    </row>
    <row r="11">
      <c r="A11" s="130" t="s">
        <v>16830</v>
      </c>
      <c r="B11" s="71" t="s">
        <v>16583</v>
      </c>
      <c r="C11" s="71" t="s">
        <v>16582</v>
      </c>
    </row>
    <row r="12">
      <c r="A12" s="130" t="s">
        <v>16834</v>
      </c>
      <c r="B12" s="71"/>
      <c r="C12" s="71"/>
    </row>
    <row r="13">
      <c r="A13" s="234" t="s">
        <v>16836</v>
      </c>
      <c r="B13" s="71" t="s">
        <v>16837</v>
      </c>
      <c r="C13" s="71" t="s">
        <v>16838</v>
      </c>
    </row>
    <row r="14">
      <c r="A14" s="234" t="s">
        <v>16836</v>
      </c>
      <c r="B14" s="71" t="s">
        <v>16838</v>
      </c>
      <c r="C14" s="71" t="s">
        <v>16837</v>
      </c>
    </row>
    <row r="15">
      <c r="A15" s="130" t="s">
        <v>16841</v>
      </c>
      <c r="B15" s="71" t="s">
        <v>175</v>
      </c>
      <c r="C15" s="71" t="s">
        <v>16842</v>
      </c>
    </row>
    <row r="16">
      <c r="A16" s="234" t="s">
        <v>16845</v>
      </c>
      <c r="B16" s="71" t="s">
        <v>187</v>
      </c>
      <c r="C16" s="71" t="s">
        <v>16846</v>
      </c>
    </row>
    <row r="17">
      <c r="A17" s="234" t="s">
        <v>16845</v>
      </c>
      <c r="B17" s="71" t="s">
        <v>16846</v>
      </c>
      <c r="C17" s="71" t="s">
        <v>187</v>
      </c>
    </row>
    <row r="18">
      <c r="A18" s="234" t="s">
        <v>16848</v>
      </c>
      <c r="B18" s="71" t="s">
        <v>16582</v>
      </c>
      <c r="C18" s="71" t="s">
        <v>16828</v>
      </c>
    </row>
    <row r="19">
      <c r="A19" s="234" t="s">
        <v>16848</v>
      </c>
      <c r="B19" s="71" t="s">
        <v>16828</v>
      </c>
      <c r="C19" s="71" t="s">
        <v>16582</v>
      </c>
    </row>
    <row r="20">
      <c r="A20" s="234" t="s">
        <v>16850</v>
      </c>
      <c r="B20" s="71" t="s">
        <v>16851</v>
      </c>
      <c r="C20" s="71" t="s">
        <v>187</v>
      </c>
    </row>
    <row r="21">
      <c r="A21" s="234" t="s">
        <v>16850</v>
      </c>
      <c r="B21" s="71" t="s">
        <v>187</v>
      </c>
      <c r="C21" s="71" t="s">
        <v>16851</v>
      </c>
    </row>
    <row r="22">
      <c r="A22" s="234" t="s">
        <v>16853</v>
      </c>
      <c r="B22" s="71" t="s">
        <v>175</v>
      </c>
      <c r="C22" s="71" t="s">
        <v>16854</v>
      </c>
    </row>
    <row r="23">
      <c r="A23" s="234" t="s">
        <v>16853</v>
      </c>
      <c r="B23" s="71" t="s">
        <v>16854</v>
      </c>
      <c r="C23" s="71" t="s">
        <v>175</v>
      </c>
    </row>
    <row r="24">
      <c r="A24" s="234" t="s">
        <v>16857</v>
      </c>
      <c r="B24" s="71" t="s">
        <v>187</v>
      </c>
      <c r="C24" s="71" t="s">
        <v>16858</v>
      </c>
    </row>
    <row r="25">
      <c r="A25" s="234" t="s">
        <v>16857</v>
      </c>
      <c r="B25" s="71" t="s">
        <v>16858</v>
      </c>
      <c r="C25" s="71" t="s">
        <v>187</v>
      </c>
    </row>
    <row r="26">
      <c r="A26" s="234" t="s">
        <v>16860</v>
      </c>
      <c r="B26" s="71" t="s">
        <v>175</v>
      </c>
      <c r="C26" s="71" t="s">
        <v>16861</v>
      </c>
    </row>
    <row r="27">
      <c r="A27" s="234" t="s">
        <v>16860</v>
      </c>
      <c r="B27" s="71" t="s">
        <v>16861</v>
      </c>
      <c r="C27" s="71" t="s">
        <v>175</v>
      </c>
    </row>
    <row r="28">
      <c r="A28" s="234" t="s">
        <v>16863</v>
      </c>
      <c r="B28" s="71" t="s">
        <v>158</v>
      </c>
      <c r="C28" s="71" t="s">
        <v>16864</v>
      </c>
    </row>
    <row r="29">
      <c r="A29" s="234" t="s">
        <v>16863</v>
      </c>
      <c r="B29" s="71" t="s">
        <v>16864</v>
      </c>
      <c r="C29" s="71" t="s">
        <v>158</v>
      </c>
    </row>
    <row r="30">
      <c r="A30" s="234" t="s">
        <v>16866</v>
      </c>
      <c r="B30" s="71" t="s">
        <v>16867</v>
      </c>
      <c r="C30" s="71" t="s">
        <v>16838</v>
      </c>
    </row>
    <row r="31">
      <c r="A31" s="234" t="s">
        <v>16866</v>
      </c>
      <c r="B31" s="71" t="s">
        <v>16838</v>
      </c>
      <c r="C31" s="71" t="s">
        <v>16867</v>
      </c>
    </row>
    <row r="32">
      <c r="A32" s="234" t="s">
        <v>16869</v>
      </c>
      <c r="B32" s="71" t="s">
        <v>158</v>
      </c>
      <c r="C32" s="71" t="s">
        <v>16870</v>
      </c>
    </row>
    <row r="33">
      <c r="A33" s="234" t="s">
        <v>16869</v>
      </c>
      <c r="B33" s="71" t="s">
        <v>16870</v>
      </c>
      <c r="C33" s="71" t="s">
        <v>158</v>
      </c>
    </row>
    <row r="34">
      <c r="A34" s="130" t="s">
        <v>16873</v>
      </c>
      <c r="B34" s="71" t="s">
        <v>16582</v>
      </c>
      <c r="C34" s="71" t="s">
        <v>16828</v>
      </c>
    </row>
    <row r="35">
      <c r="A35" s="234" t="s">
        <v>16875</v>
      </c>
      <c r="B35" s="71" t="s">
        <v>175</v>
      </c>
      <c r="C35" s="71" t="s">
        <v>16854</v>
      </c>
    </row>
    <row r="36">
      <c r="A36" s="234" t="s">
        <v>16875</v>
      </c>
      <c r="B36" s="71" t="s">
        <v>16854</v>
      </c>
      <c r="C36" s="71" t="s">
        <v>175</v>
      </c>
    </row>
    <row r="37">
      <c r="A37" s="234" t="s">
        <v>16877</v>
      </c>
      <c r="B37" s="71" t="s">
        <v>175</v>
      </c>
      <c r="C37" s="71" t="s">
        <v>16878</v>
      </c>
    </row>
    <row r="38">
      <c r="A38" s="234" t="s">
        <v>16877</v>
      </c>
      <c r="B38" s="71" t="s">
        <v>16878</v>
      </c>
      <c r="C38" s="71" t="s">
        <v>175</v>
      </c>
    </row>
    <row r="39">
      <c r="A39" s="234" t="s">
        <v>16880</v>
      </c>
      <c r="B39" s="71" t="s">
        <v>187</v>
      </c>
      <c r="C39" s="71" t="s">
        <v>16846</v>
      </c>
    </row>
    <row r="40">
      <c r="A40" s="234" t="s">
        <v>16880</v>
      </c>
      <c r="B40" s="71" t="s">
        <v>16846</v>
      </c>
      <c r="C40" s="71" t="s">
        <v>187</v>
      </c>
    </row>
    <row r="41">
      <c r="A41" s="234" t="s">
        <v>16882</v>
      </c>
      <c r="B41" s="71" t="s">
        <v>16582</v>
      </c>
      <c r="C41" s="71" t="s">
        <v>16817</v>
      </c>
    </row>
    <row r="42">
      <c r="A42" s="234" t="s">
        <v>16882</v>
      </c>
      <c r="B42" s="71" t="s">
        <v>16817</v>
      </c>
      <c r="C42" s="71" t="s">
        <v>16582</v>
      </c>
    </row>
    <row r="43">
      <c r="A43" s="234" t="s">
        <v>16884</v>
      </c>
      <c r="B43" s="71" t="s">
        <v>16885</v>
      </c>
      <c r="C43" s="71" t="s">
        <v>16886</v>
      </c>
    </row>
    <row r="44">
      <c r="A44" s="234" t="s">
        <v>16884</v>
      </c>
      <c r="B44" s="71" t="s">
        <v>16886</v>
      </c>
      <c r="C44" s="71" t="s">
        <v>16885</v>
      </c>
    </row>
    <row r="45">
      <c r="A45" s="234" t="s">
        <v>16889</v>
      </c>
      <c r="B45" s="71" t="s">
        <v>175</v>
      </c>
      <c r="C45" s="71" t="s">
        <v>16890</v>
      </c>
    </row>
    <row r="46">
      <c r="A46" s="234" t="s">
        <v>16889</v>
      </c>
      <c r="B46" s="71" t="s">
        <v>16890</v>
      </c>
      <c r="C46" s="71" t="s">
        <v>175</v>
      </c>
    </row>
    <row r="47">
      <c r="A47" s="130" t="s">
        <v>16893</v>
      </c>
      <c r="B47" s="71" t="s">
        <v>16582</v>
      </c>
      <c r="C47" s="71" t="s">
        <v>16817</v>
      </c>
    </row>
    <row r="48">
      <c r="A48" s="234" t="s">
        <v>16895</v>
      </c>
      <c r="B48" s="71" t="s">
        <v>158</v>
      </c>
      <c r="C48" s="71" t="s">
        <v>16870</v>
      </c>
    </row>
    <row r="49">
      <c r="A49" s="234" t="s">
        <v>16895</v>
      </c>
      <c r="B49" s="71" t="s">
        <v>16870</v>
      </c>
      <c r="C49" s="71" t="s">
        <v>158</v>
      </c>
    </row>
    <row r="50">
      <c r="A50" s="130" t="s">
        <v>16898</v>
      </c>
      <c r="B50" s="71" t="s">
        <v>16582</v>
      </c>
      <c r="C50" s="71" t="s">
        <v>16899</v>
      </c>
    </row>
    <row r="51">
      <c r="A51" s="234" t="s">
        <v>16901</v>
      </c>
      <c r="B51" s="71" t="s">
        <v>175</v>
      </c>
      <c r="C51" s="71" t="s">
        <v>16842</v>
      </c>
    </row>
    <row r="52">
      <c r="A52" s="234" t="s">
        <v>16901</v>
      </c>
      <c r="B52" s="71" t="s">
        <v>16842</v>
      </c>
      <c r="C52" s="71" t="s">
        <v>175</v>
      </c>
    </row>
    <row r="53">
      <c r="A53" s="234" t="s">
        <v>16904</v>
      </c>
      <c r="B53" s="71" t="s">
        <v>187</v>
      </c>
      <c r="C53" s="71" t="s">
        <v>16846</v>
      </c>
    </row>
    <row r="54">
      <c r="A54" s="234" t="s">
        <v>16904</v>
      </c>
      <c r="B54" s="71" t="s">
        <v>16846</v>
      </c>
      <c r="C54" s="71" t="s">
        <v>187</v>
      </c>
    </row>
    <row r="55">
      <c r="A55" s="130" t="s">
        <v>16906</v>
      </c>
      <c r="B55" s="71" t="s">
        <v>175</v>
      </c>
      <c r="C55" s="71" t="s">
        <v>16861</v>
      </c>
    </row>
    <row r="56">
      <c r="A56" s="234" t="s">
        <v>16909</v>
      </c>
      <c r="B56" s="71" t="s">
        <v>16910</v>
      </c>
      <c r="C56" s="71" t="s">
        <v>16911</v>
      </c>
    </row>
    <row r="57">
      <c r="A57" s="234" t="s">
        <v>16909</v>
      </c>
      <c r="B57" s="71" t="s">
        <v>16911</v>
      </c>
      <c r="C57" s="71" t="s">
        <v>16910</v>
      </c>
    </row>
    <row r="58">
      <c r="A58" s="234" t="s">
        <v>16913</v>
      </c>
      <c r="B58" s="71" t="s">
        <v>187</v>
      </c>
      <c r="C58" s="71" t="s">
        <v>16846</v>
      </c>
    </row>
    <row r="59">
      <c r="A59" s="234" t="s">
        <v>16913</v>
      </c>
      <c r="B59" s="71" t="s">
        <v>16846</v>
      </c>
      <c r="C59" s="71" t="s">
        <v>187</v>
      </c>
    </row>
    <row r="60">
      <c r="A60" s="130" t="s">
        <v>16915</v>
      </c>
      <c r="B60" s="71" t="s">
        <v>16910</v>
      </c>
      <c r="C60" s="71" t="s">
        <v>16911</v>
      </c>
    </row>
    <row r="61">
      <c r="A61" s="234" t="s">
        <v>16918</v>
      </c>
      <c r="B61" s="71" t="s">
        <v>16919</v>
      </c>
      <c r="C61" s="71" t="s">
        <v>16920</v>
      </c>
    </row>
    <row r="62">
      <c r="A62" s="234" t="s">
        <v>16918</v>
      </c>
      <c r="B62" s="71" t="s">
        <v>16920</v>
      </c>
      <c r="C62" s="71" t="s">
        <v>16919</v>
      </c>
    </row>
    <row r="63">
      <c r="A63" s="234" t="s">
        <v>16922</v>
      </c>
      <c r="B63" s="71" t="s">
        <v>16838</v>
      </c>
      <c r="C63" s="71" t="s">
        <v>16867</v>
      </c>
    </row>
    <row r="64">
      <c r="A64" s="234" t="s">
        <v>16922</v>
      </c>
      <c r="B64" s="71" t="s">
        <v>16867</v>
      </c>
      <c r="C64" s="71" t="s">
        <v>16838</v>
      </c>
    </row>
    <row r="65">
      <c r="A65" s="130" t="s">
        <v>16925</v>
      </c>
      <c r="B65" s="71" t="s">
        <v>16926</v>
      </c>
      <c r="C65" s="71" t="s">
        <v>16927</v>
      </c>
    </row>
    <row r="66">
      <c r="A66" s="234" t="s">
        <v>16929</v>
      </c>
      <c r="B66" s="71" t="s">
        <v>16582</v>
      </c>
      <c r="C66" s="71" t="s">
        <v>16930</v>
      </c>
    </row>
    <row r="67">
      <c r="A67" s="234" t="s">
        <v>16929</v>
      </c>
      <c r="B67" s="71" t="s">
        <v>16930</v>
      </c>
      <c r="C67" s="71" t="s">
        <v>16582</v>
      </c>
    </row>
    <row r="68">
      <c r="A68" s="234" t="s">
        <v>16932</v>
      </c>
      <c r="B68" s="71" t="s">
        <v>175</v>
      </c>
      <c r="C68" s="71" t="s">
        <v>16824</v>
      </c>
    </row>
    <row r="69">
      <c r="A69" s="234" t="s">
        <v>16932</v>
      </c>
      <c r="B69" s="71" t="s">
        <v>16824</v>
      </c>
      <c r="C69" s="71" t="s">
        <v>175</v>
      </c>
    </row>
    <row r="70">
      <c r="A70" s="234" t="s">
        <v>16934</v>
      </c>
      <c r="B70" s="71" t="s">
        <v>16582</v>
      </c>
      <c r="C70" s="71" t="s">
        <v>16817</v>
      </c>
    </row>
    <row r="71">
      <c r="A71" s="234" t="s">
        <v>16934</v>
      </c>
      <c r="B71" s="71" t="s">
        <v>16817</v>
      </c>
      <c r="C71" s="71" t="s">
        <v>16582</v>
      </c>
    </row>
    <row r="72">
      <c r="A72" s="234" t="s">
        <v>16936</v>
      </c>
      <c r="B72" s="71" t="s">
        <v>187</v>
      </c>
      <c r="C72" s="71" t="s">
        <v>16846</v>
      </c>
    </row>
    <row r="73">
      <c r="A73" s="234" t="s">
        <v>16936</v>
      </c>
      <c r="B73" s="71" t="s">
        <v>16846</v>
      </c>
      <c r="C73" s="71" t="s">
        <v>187</v>
      </c>
    </row>
    <row r="74">
      <c r="A74" s="130" t="s">
        <v>16938</v>
      </c>
      <c r="B74" s="71" t="s">
        <v>175</v>
      </c>
      <c r="C74" s="71" t="s">
        <v>16939</v>
      </c>
    </row>
    <row r="75">
      <c r="A75" s="234" t="s">
        <v>16941</v>
      </c>
      <c r="B75" s="71" t="s">
        <v>175</v>
      </c>
      <c r="C75" s="71" t="s">
        <v>16942</v>
      </c>
    </row>
    <row r="76">
      <c r="A76" s="234" t="s">
        <v>16941</v>
      </c>
      <c r="B76" s="71" t="s">
        <v>16942</v>
      </c>
      <c r="C76" s="71" t="s">
        <v>175</v>
      </c>
    </row>
    <row r="77">
      <c r="A77" s="130" t="s">
        <v>16944</v>
      </c>
      <c r="B77" s="71" t="s">
        <v>169</v>
      </c>
      <c r="C77" s="71" t="s">
        <v>16945</v>
      </c>
    </row>
    <row r="78">
      <c r="A78" s="130" t="s">
        <v>16947</v>
      </c>
      <c r="B78" s="71" t="s">
        <v>16582</v>
      </c>
      <c r="C78" s="71" t="s">
        <v>16828</v>
      </c>
    </row>
    <row r="79">
      <c r="A79" s="234" t="s">
        <v>16949</v>
      </c>
      <c r="B79" s="71" t="s">
        <v>16582</v>
      </c>
      <c r="C79" s="71" t="s">
        <v>16930</v>
      </c>
    </row>
    <row r="80">
      <c r="A80" s="234" t="s">
        <v>16949</v>
      </c>
      <c r="B80" s="71" t="s">
        <v>16930</v>
      </c>
      <c r="C80" s="71" t="s">
        <v>16582</v>
      </c>
    </row>
    <row r="81">
      <c r="A81" s="234" t="s">
        <v>16952</v>
      </c>
      <c r="B81" s="71" t="s">
        <v>158</v>
      </c>
      <c r="C81" s="71" t="s">
        <v>16864</v>
      </c>
    </row>
    <row r="82">
      <c r="A82" s="234" t="s">
        <v>16952</v>
      </c>
      <c r="B82" s="71" t="s">
        <v>16864</v>
      </c>
      <c r="C82" s="71" t="s">
        <v>158</v>
      </c>
    </row>
    <row r="83">
      <c r="A83" s="234" t="s">
        <v>16954</v>
      </c>
      <c r="B83" s="71" t="s">
        <v>169</v>
      </c>
      <c r="C83" s="71" t="s">
        <v>16899</v>
      </c>
    </row>
    <row r="84">
      <c r="A84" s="234" t="s">
        <v>16954</v>
      </c>
      <c r="B84" s="71" t="s">
        <v>16899</v>
      </c>
      <c r="C84" s="71" t="s">
        <v>169</v>
      </c>
    </row>
    <row r="85">
      <c r="A85" s="130" t="s">
        <v>16956</v>
      </c>
      <c r="B85" s="71" t="s">
        <v>16926</v>
      </c>
      <c r="C85" s="71" t="s">
        <v>16957</v>
      </c>
    </row>
    <row r="86">
      <c r="A86" s="130" t="s">
        <v>16959</v>
      </c>
      <c r="B86" s="71" t="s">
        <v>16926</v>
      </c>
      <c r="C86" s="71" t="s">
        <v>16960</v>
      </c>
    </row>
    <row r="87">
      <c r="A87" s="234" t="s">
        <v>16962</v>
      </c>
      <c r="B87" s="71" t="s">
        <v>187</v>
      </c>
      <c r="C87" s="71" t="s">
        <v>16846</v>
      </c>
    </row>
    <row r="88">
      <c r="A88" s="234" t="s">
        <v>16962</v>
      </c>
      <c r="B88" s="71" t="s">
        <v>16846</v>
      </c>
      <c r="C88" s="71" t="s">
        <v>187</v>
      </c>
    </row>
    <row r="89">
      <c r="A89" s="234" t="s">
        <v>16964</v>
      </c>
      <c r="B89" s="71" t="s">
        <v>16957</v>
      </c>
      <c r="C89" s="71" t="s">
        <v>16926</v>
      </c>
    </row>
    <row r="90">
      <c r="A90" s="234" t="s">
        <v>16964</v>
      </c>
      <c r="B90" s="71" t="s">
        <v>16926</v>
      </c>
      <c r="C90" s="71" t="s">
        <v>16957</v>
      </c>
    </row>
    <row r="91">
      <c r="A91" s="130" t="s">
        <v>16966</v>
      </c>
      <c r="B91" s="71" t="s">
        <v>16582</v>
      </c>
      <c r="C91" s="71" t="s">
        <v>16828</v>
      </c>
    </row>
    <row r="92">
      <c r="A92" s="234" t="s">
        <v>16968</v>
      </c>
      <c r="B92" s="71" t="s">
        <v>16969</v>
      </c>
      <c r="C92" s="71" t="s">
        <v>187</v>
      </c>
    </row>
    <row r="93">
      <c r="A93" s="234" t="s">
        <v>16968</v>
      </c>
      <c r="B93" s="71" t="s">
        <v>187</v>
      </c>
      <c r="C93" s="71" t="s">
        <v>16969</v>
      </c>
    </row>
    <row r="94">
      <c r="A94" s="234" t="s">
        <v>16971</v>
      </c>
      <c r="B94" s="71" t="s">
        <v>175</v>
      </c>
      <c r="C94" s="71" t="s">
        <v>16972</v>
      </c>
    </row>
    <row r="95">
      <c r="A95" s="234" t="s">
        <v>16971</v>
      </c>
      <c r="B95" s="71" t="s">
        <v>16972</v>
      </c>
      <c r="C95" s="71" t="s">
        <v>175</v>
      </c>
    </row>
    <row r="96">
      <c r="A96" s="234" t="s">
        <v>16974</v>
      </c>
      <c r="B96" s="71" t="s">
        <v>175</v>
      </c>
      <c r="C96" s="71" t="s">
        <v>16975</v>
      </c>
    </row>
    <row r="97">
      <c r="A97" s="234" t="s">
        <v>16974</v>
      </c>
      <c r="B97" s="71" t="s">
        <v>16975</v>
      </c>
      <c r="C97" s="71" t="s">
        <v>175</v>
      </c>
    </row>
    <row r="98">
      <c r="A98" s="234" t="s">
        <v>16977</v>
      </c>
      <c r="B98" s="71" t="s">
        <v>16957</v>
      </c>
      <c r="C98" s="71" t="s">
        <v>16926</v>
      </c>
    </row>
    <row r="99">
      <c r="A99" s="234" t="s">
        <v>16977</v>
      </c>
      <c r="B99" s="71" t="s">
        <v>16926</v>
      </c>
      <c r="C99" s="71" t="s">
        <v>16957</v>
      </c>
    </row>
    <row r="100">
      <c r="A100" s="130" t="s">
        <v>16979</v>
      </c>
      <c r="B100" s="71" t="s">
        <v>16926</v>
      </c>
      <c r="C100" s="71" t="s">
        <v>16957</v>
      </c>
    </row>
    <row r="101">
      <c r="A101" s="234" t="s">
        <v>16981</v>
      </c>
      <c r="B101" s="71" t="s">
        <v>16867</v>
      </c>
      <c r="C101" s="71" t="s">
        <v>16838</v>
      </c>
    </row>
    <row r="102">
      <c r="A102" s="234" t="s">
        <v>16981</v>
      </c>
      <c r="B102" s="71" t="s">
        <v>16838</v>
      </c>
      <c r="C102" s="71" t="s">
        <v>16867</v>
      </c>
    </row>
    <row r="103">
      <c r="A103" s="130" t="s">
        <v>16983</v>
      </c>
      <c r="B103" s="71" t="s">
        <v>16582</v>
      </c>
      <c r="C103" s="71" t="s">
        <v>16817</v>
      </c>
    </row>
    <row r="104">
      <c r="A104" s="234" t="s">
        <v>16985</v>
      </c>
      <c r="B104" s="71" t="s">
        <v>169</v>
      </c>
      <c r="C104" s="71" t="s">
        <v>16899</v>
      </c>
    </row>
    <row r="105">
      <c r="A105" s="234" t="s">
        <v>16985</v>
      </c>
      <c r="B105" s="71" t="s">
        <v>16899</v>
      </c>
      <c r="C105" s="71" t="s">
        <v>169</v>
      </c>
    </row>
    <row r="106">
      <c r="A106" s="130" t="s">
        <v>16987</v>
      </c>
      <c r="B106" s="71" t="s">
        <v>175</v>
      </c>
      <c r="C106" s="71" t="s">
        <v>16854</v>
      </c>
    </row>
    <row r="107">
      <c r="A107" s="130" t="s">
        <v>16989</v>
      </c>
      <c r="B107" s="71" t="s">
        <v>187</v>
      </c>
      <c r="C107" s="71" t="s">
        <v>16846</v>
      </c>
    </row>
    <row r="108">
      <c r="A108" s="234" t="s">
        <v>16991</v>
      </c>
      <c r="B108" s="71" t="s">
        <v>16992</v>
      </c>
      <c r="C108" s="71" t="s">
        <v>187</v>
      </c>
    </row>
    <row r="109">
      <c r="A109" s="234" t="s">
        <v>16991</v>
      </c>
      <c r="B109" s="71" t="s">
        <v>187</v>
      </c>
      <c r="C109" s="71" t="s">
        <v>16992</v>
      </c>
    </row>
    <row r="110">
      <c r="A110" s="130" t="s">
        <v>16994</v>
      </c>
      <c r="B110" s="71" t="s">
        <v>16582</v>
      </c>
      <c r="C110" s="71" t="s">
        <v>16995</v>
      </c>
    </row>
    <row r="111">
      <c r="A111" s="234" t="s">
        <v>16997</v>
      </c>
      <c r="B111" s="71" t="s">
        <v>158</v>
      </c>
      <c r="C111" s="71" t="s">
        <v>16870</v>
      </c>
    </row>
    <row r="112">
      <c r="A112" s="234" t="s">
        <v>16997</v>
      </c>
      <c r="B112" s="71" t="s">
        <v>16870</v>
      </c>
      <c r="C112" s="71" t="s">
        <v>158</v>
      </c>
    </row>
    <row r="113">
      <c r="A113" s="234" t="s">
        <v>16999</v>
      </c>
      <c r="B113" s="71" t="s">
        <v>16582</v>
      </c>
      <c r="C113" s="71" t="s">
        <v>16813</v>
      </c>
    </row>
    <row r="114">
      <c r="A114" s="234" t="s">
        <v>16999</v>
      </c>
      <c r="B114" s="71" t="s">
        <v>16813</v>
      </c>
      <c r="C114" s="71" t="s">
        <v>16582</v>
      </c>
    </row>
    <row r="115">
      <c r="A115" s="234" t="s">
        <v>17001</v>
      </c>
      <c r="B115" s="71" t="s">
        <v>16838</v>
      </c>
      <c r="C115" s="71" t="s">
        <v>17002</v>
      </c>
    </row>
    <row r="116">
      <c r="A116" s="234" t="s">
        <v>17001</v>
      </c>
      <c r="B116" s="71" t="s">
        <v>17002</v>
      </c>
      <c r="C116" s="71" t="s">
        <v>16838</v>
      </c>
    </row>
    <row r="117">
      <c r="A117" s="130" t="s">
        <v>17004</v>
      </c>
      <c r="B117" s="71" t="s">
        <v>16582</v>
      </c>
      <c r="C117" s="71" t="s">
        <v>16828</v>
      </c>
    </row>
    <row r="118">
      <c r="A118" s="234" t="s">
        <v>17006</v>
      </c>
      <c r="B118" s="71" t="s">
        <v>16582</v>
      </c>
      <c r="C118" s="71" t="s">
        <v>16817</v>
      </c>
    </row>
    <row r="119">
      <c r="A119" s="234" t="s">
        <v>17006</v>
      </c>
      <c r="B119" s="71" t="s">
        <v>16817</v>
      </c>
      <c r="C119" s="71" t="s">
        <v>16582</v>
      </c>
    </row>
    <row r="120">
      <c r="A120" s="234" t="s">
        <v>17008</v>
      </c>
      <c r="B120" s="71" t="s">
        <v>17009</v>
      </c>
      <c r="C120" s="71" t="s">
        <v>169</v>
      </c>
    </row>
    <row r="121">
      <c r="A121" s="234" t="s">
        <v>17008</v>
      </c>
      <c r="B121" s="71" t="s">
        <v>169</v>
      </c>
      <c r="C121" s="71" t="s">
        <v>17009</v>
      </c>
    </row>
    <row r="122">
      <c r="A122" s="130" t="s">
        <v>17011</v>
      </c>
      <c r="B122" s="71" t="s">
        <v>16582</v>
      </c>
      <c r="C122" s="71" t="s">
        <v>16828</v>
      </c>
    </row>
    <row r="123">
      <c r="A123" s="234" t="s">
        <v>343</v>
      </c>
      <c r="B123" s="71" t="s">
        <v>16582</v>
      </c>
      <c r="C123" s="71" t="s">
        <v>17013</v>
      </c>
    </row>
    <row r="124">
      <c r="A124" s="234" t="s">
        <v>343</v>
      </c>
      <c r="B124" s="71" t="s">
        <v>17013</v>
      </c>
      <c r="C124" s="71" t="s">
        <v>16582</v>
      </c>
    </row>
    <row r="125">
      <c r="A125" s="234" t="s">
        <v>17015</v>
      </c>
      <c r="B125" s="71" t="s">
        <v>17016</v>
      </c>
      <c r="C125" s="71" t="s">
        <v>16838</v>
      </c>
    </row>
    <row r="126">
      <c r="A126" s="234" t="s">
        <v>17015</v>
      </c>
      <c r="B126" s="71" t="s">
        <v>16838</v>
      </c>
      <c r="C126" s="71" t="s">
        <v>17016</v>
      </c>
    </row>
    <row r="127">
      <c r="A127" s="234" t="s">
        <v>17018</v>
      </c>
      <c r="B127" s="71" t="s">
        <v>17019</v>
      </c>
      <c r="C127" s="71" t="s">
        <v>16838</v>
      </c>
    </row>
    <row r="128">
      <c r="A128" s="234" t="s">
        <v>17018</v>
      </c>
      <c r="B128" s="71" t="s">
        <v>16838</v>
      </c>
      <c r="C128" s="71" t="s">
        <v>17019</v>
      </c>
    </row>
    <row r="129">
      <c r="A129" s="130" t="s">
        <v>17021</v>
      </c>
      <c r="B129" s="71" t="s">
        <v>169</v>
      </c>
      <c r="C129" s="71" t="s">
        <v>17022</v>
      </c>
    </row>
    <row r="130">
      <c r="A130" s="234" t="s">
        <v>17024</v>
      </c>
      <c r="B130" s="71" t="s">
        <v>169</v>
      </c>
      <c r="C130" s="71" t="s">
        <v>17025</v>
      </c>
    </row>
    <row r="131">
      <c r="A131" s="234" t="s">
        <v>17024</v>
      </c>
      <c r="B131" s="71" t="s">
        <v>17025</v>
      </c>
      <c r="C131" s="71" t="s">
        <v>169</v>
      </c>
    </row>
    <row r="132">
      <c r="A132" s="234" t="s">
        <v>17027</v>
      </c>
      <c r="B132" s="71" t="s">
        <v>175</v>
      </c>
      <c r="C132" s="71" t="s">
        <v>16878</v>
      </c>
    </row>
    <row r="133">
      <c r="A133" s="234" t="s">
        <v>17027</v>
      </c>
      <c r="B133" s="71" t="s">
        <v>16878</v>
      </c>
      <c r="C133" s="71" t="s">
        <v>175</v>
      </c>
    </row>
    <row r="134">
      <c r="A134" s="130" t="s">
        <v>17030</v>
      </c>
      <c r="B134" s="71" t="s">
        <v>175</v>
      </c>
      <c r="C134" s="71" t="s">
        <v>17031</v>
      </c>
    </row>
    <row r="135">
      <c r="A135" s="130" t="s">
        <v>17034</v>
      </c>
      <c r="B135" s="71" t="s">
        <v>175</v>
      </c>
      <c r="C135" s="71" t="s">
        <v>16942</v>
      </c>
    </row>
    <row r="136">
      <c r="A136" s="234" t="s">
        <v>17036</v>
      </c>
      <c r="B136" s="71" t="s">
        <v>169</v>
      </c>
      <c r="C136" s="71" t="s">
        <v>17022</v>
      </c>
    </row>
    <row r="137">
      <c r="A137" s="234" t="s">
        <v>17036</v>
      </c>
      <c r="B137" s="71" t="s">
        <v>17022</v>
      </c>
      <c r="C137" s="71" t="s">
        <v>169</v>
      </c>
    </row>
    <row r="138">
      <c r="A138" s="234" t="s">
        <v>17038</v>
      </c>
      <c r="B138" s="71" t="s">
        <v>169</v>
      </c>
      <c r="C138" s="71" t="s">
        <v>17022</v>
      </c>
    </row>
    <row r="139">
      <c r="A139" s="234" t="s">
        <v>17038</v>
      </c>
      <c r="B139" s="71" t="s">
        <v>17022</v>
      </c>
      <c r="C139" s="71" t="s">
        <v>169</v>
      </c>
    </row>
    <row r="140">
      <c r="A140" s="234" t="s">
        <v>17040</v>
      </c>
      <c r="B140" s="71"/>
      <c r="C140" s="71"/>
    </row>
    <row r="141">
      <c r="A141" s="234" t="s">
        <v>17040</v>
      </c>
      <c r="B141" s="71"/>
      <c r="C141" s="71"/>
    </row>
    <row r="142">
      <c r="A142" s="234" t="s">
        <v>17042</v>
      </c>
      <c r="B142" s="71" t="s">
        <v>17043</v>
      </c>
      <c r="C142" s="71" t="s">
        <v>169</v>
      </c>
    </row>
    <row r="143">
      <c r="A143" s="234" t="s">
        <v>17042</v>
      </c>
      <c r="B143" s="71" t="s">
        <v>169</v>
      </c>
      <c r="C143" s="71" t="s">
        <v>17043</v>
      </c>
    </row>
    <row r="144">
      <c r="A144" s="130" t="s">
        <v>17045</v>
      </c>
      <c r="B144" s="71" t="s">
        <v>187</v>
      </c>
      <c r="C144" s="71" t="s">
        <v>16846</v>
      </c>
    </row>
    <row r="145">
      <c r="A145" s="234" t="s">
        <v>17047</v>
      </c>
      <c r="B145" s="71" t="s">
        <v>16919</v>
      </c>
      <c r="C145" s="71" t="s">
        <v>17048</v>
      </c>
    </row>
    <row r="146">
      <c r="A146" s="234" t="s">
        <v>17047</v>
      </c>
      <c r="B146" s="71" t="s">
        <v>17048</v>
      </c>
      <c r="C146" s="71" t="s">
        <v>16919</v>
      </c>
    </row>
    <row r="147">
      <c r="A147" s="234" t="s">
        <v>17050</v>
      </c>
      <c r="B147" s="71" t="s">
        <v>16838</v>
      </c>
      <c r="C147" s="71" t="s">
        <v>17016</v>
      </c>
    </row>
    <row r="148">
      <c r="A148" s="234" t="s">
        <v>17050</v>
      </c>
      <c r="B148" s="71" t="s">
        <v>17016</v>
      </c>
      <c r="C148" s="71" t="s">
        <v>16838</v>
      </c>
    </row>
    <row r="149">
      <c r="A149" s="234" t="s">
        <v>17052</v>
      </c>
      <c r="B149" s="71" t="s">
        <v>175</v>
      </c>
      <c r="C149" s="71" t="s">
        <v>16890</v>
      </c>
    </row>
    <row r="150">
      <c r="A150" s="234" t="s">
        <v>17052</v>
      </c>
      <c r="B150" s="71" t="s">
        <v>16890</v>
      </c>
      <c r="C150" s="71" t="s">
        <v>175</v>
      </c>
    </row>
    <row r="151">
      <c r="A151" s="234" t="s">
        <v>17054</v>
      </c>
      <c r="B151" s="71" t="s">
        <v>16957</v>
      </c>
      <c r="C151" s="71" t="s">
        <v>16926</v>
      </c>
    </row>
    <row r="152">
      <c r="A152" s="234" t="s">
        <v>17054</v>
      </c>
      <c r="B152" s="71" t="s">
        <v>16926</v>
      </c>
      <c r="C152" s="71" t="s">
        <v>16957</v>
      </c>
    </row>
    <row r="153">
      <c r="A153" s="234" t="s">
        <v>17056</v>
      </c>
      <c r="B153" s="71" t="s">
        <v>17057</v>
      </c>
      <c r="C153" s="71" t="s">
        <v>169</v>
      </c>
    </row>
    <row r="154">
      <c r="A154" s="234" t="s">
        <v>17056</v>
      </c>
      <c r="B154" s="71" t="s">
        <v>169</v>
      </c>
      <c r="C154" s="71" t="s">
        <v>17057</v>
      </c>
    </row>
    <row r="155">
      <c r="A155" s="234" t="s">
        <v>17059</v>
      </c>
      <c r="B155" s="71"/>
      <c r="C155" s="71"/>
    </row>
    <row r="156">
      <c r="A156" s="234" t="s">
        <v>17059</v>
      </c>
      <c r="B156" s="71"/>
      <c r="C156" s="71"/>
    </row>
    <row r="157">
      <c r="A157" s="234" t="s">
        <v>17061</v>
      </c>
      <c r="B157" s="71" t="s">
        <v>16910</v>
      </c>
      <c r="C157" s="71" t="s">
        <v>17013</v>
      </c>
    </row>
    <row r="158">
      <c r="A158" s="234" t="s">
        <v>17061</v>
      </c>
      <c r="B158" s="71" t="s">
        <v>17013</v>
      </c>
      <c r="C158" s="71" t="s">
        <v>16910</v>
      </c>
    </row>
    <row r="159">
      <c r="A159" s="234" t="s">
        <v>17064</v>
      </c>
      <c r="B159" s="71" t="s">
        <v>169</v>
      </c>
      <c r="C159" s="71" t="s">
        <v>16899</v>
      </c>
    </row>
    <row r="160">
      <c r="A160" s="234" t="s">
        <v>17064</v>
      </c>
      <c r="B160" s="71" t="s">
        <v>16899</v>
      </c>
      <c r="C160" s="71" t="s">
        <v>169</v>
      </c>
    </row>
    <row r="161">
      <c r="A161" s="234" t="s">
        <v>17066</v>
      </c>
      <c r="B161" s="71" t="s">
        <v>16851</v>
      </c>
      <c r="C161" s="71" t="s">
        <v>187</v>
      </c>
    </row>
    <row r="162">
      <c r="A162" s="234" t="s">
        <v>17066</v>
      </c>
      <c r="B162" s="71" t="s">
        <v>187</v>
      </c>
      <c r="C162" s="71" t="s">
        <v>16851</v>
      </c>
    </row>
    <row r="163">
      <c r="A163" s="130" t="s">
        <v>17068</v>
      </c>
      <c r="B163" s="71" t="s">
        <v>175</v>
      </c>
      <c r="C163" s="71" t="s">
        <v>17069</v>
      </c>
    </row>
    <row r="164">
      <c r="A164" s="234" t="s">
        <v>17071</v>
      </c>
      <c r="B164" s="71" t="s">
        <v>16885</v>
      </c>
      <c r="C164" s="71" t="s">
        <v>16886</v>
      </c>
    </row>
    <row r="165">
      <c r="A165" s="234" t="s">
        <v>17071</v>
      </c>
      <c r="B165" s="71" t="s">
        <v>16886</v>
      </c>
      <c r="C165" s="71" t="s">
        <v>16885</v>
      </c>
    </row>
    <row r="166">
      <c r="A166" s="234" t="s">
        <v>17073</v>
      </c>
      <c r="B166" s="71" t="s">
        <v>17019</v>
      </c>
      <c r="C166" s="71" t="s">
        <v>16838</v>
      </c>
    </row>
    <row r="167">
      <c r="A167" s="234" t="s">
        <v>17073</v>
      </c>
      <c r="B167" s="71" t="s">
        <v>16838</v>
      </c>
      <c r="C167" s="71" t="s">
        <v>17019</v>
      </c>
    </row>
    <row r="168">
      <c r="A168" s="234" t="s">
        <v>17075</v>
      </c>
      <c r="B168" s="71" t="s">
        <v>16582</v>
      </c>
      <c r="C168" s="71" t="s">
        <v>16930</v>
      </c>
    </row>
    <row r="169">
      <c r="A169" s="234" t="s">
        <v>17075</v>
      </c>
      <c r="B169" s="71" t="s">
        <v>16930</v>
      </c>
      <c r="C169" s="71" t="s">
        <v>16582</v>
      </c>
    </row>
    <row r="170">
      <c r="A170" s="234" t="s">
        <v>17077</v>
      </c>
      <c r="B170" s="71" t="s">
        <v>16838</v>
      </c>
      <c r="C170" s="71" t="s">
        <v>17002</v>
      </c>
    </row>
    <row r="171">
      <c r="A171" s="234" t="s">
        <v>17077</v>
      </c>
      <c r="B171" s="71" t="s">
        <v>17002</v>
      </c>
      <c r="C171" s="71" t="s">
        <v>16838</v>
      </c>
    </row>
    <row r="172">
      <c r="A172" s="234" t="s">
        <v>17079</v>
      </c>
      <c r="B172" s="71" t="s">
        <v>16838</v>
      </c>
      <c r="C172" s="71" t="s">
        <v>17002</v>
      </c>
    </row>
    <row r="173">
      <c r="A173" s="234" t="s">
        <v>17079</v>
      </c>
      <c r="B173" s="71" t="s">
        <v>17002</v>
      </c>
      <c r="C173" s="71" t="s">
        <v>16838</v>
      </c>
    </row>
    <row r="174">
      <c r="A174" s="234" t="s">
        <v>17081</v>
      </c>
      <c r="B174" s="71" t="s">
        <v>16838</v>
      </c>
      <c r="C174" s="71" t="s">
        <v>17002</v>
      </c>
    </row>
    <row r="175">
      <c r="A175" s="234" t="s">
        <v>17081</v>
      </c>
      <c r="B175" s="71" t="s">
        <v>17002</v>
      </c>
      <c r="C175" s="71" t="s">
        <v>16838</v>
      </c>
    </row>
    <row r="176">
      <c r="A176" s="234" t="s">
        <v>17083</v>
      </c>
      <c r="B176" s="71" t="s">
        <v>175</v>
      </c>
      <c r="C176" s="71" t="s">
        <v>17084</v>
      </c>
    </row>
    <row r="177">
      <c r="A177" s="234" t="s">
        <v>17083</v>
      </c>
      <c r="B177" s="71" t="s">
        <v>17084</v>
      </c>
      <c r="C177" s="71" t="s">
        <v>175</v>
      </c>
    </row>
    <row r="178">
      <c r="A178" s="234" t="s">
        <v>17086</v>
      </c>
      <c r="B178" s="71" t="s">
        <v>16969</v>
      </c>
      <c r="C178" s="71" t="s">
        <v>187</v>
      </c>
    </row>
    <row r="179">
      <c r="A179" s="234" t="s">
        <v>17086</v>
      </c>
      <c r="B179" s="71" t="s">
        <v>187</v>
      </c>
      <c r="C179" s="71" t="s">
        <v>16969</v>
      </c>
    </row>
    <row r="180">
      <c r="A180" s="234" t="s">
        <v>17088</v>
      </c>
      <c r="B180" s="71" t="s">
        <v>16910</v>
      </c>
      <c r="C180" s="71" t="s">
        <v>16911</v>
      </c>
    </row>
    <row r="181">
      <c r="A181" s="234" t="s">
        <v>17088</v>
      </c>
      <c r="B181" s="71" t="s">
        <v>16911</v>
      </c>
      <c r="C181" s="71" t="s">
        <v>16910</v>
      </c>
    </row>
    <row r="182">
      <c r="A182" s="234" t="s">
        <v>17090</v>
      </c>
      <c r="B182" s="71" t="s">
        <v>158</v>
      </c>
      <c r="C182" s="71" t="s">
        <v>16870</v>
      </c>
    </row>
    <row r="183">
      <c r="A183" s="234" t="s">
        <v>17090</v>
      </c>
      <c r="B183" s="71" t="s">
        <v>16870</v>
      </c>
      <c r="C183" s="71" t="s">
        <v>158</v>
      </c>
    </row>
    <row r="184">
      <c r="A184" s="234" t="s">
        <v>17091</v>
      </c>
      <c r="B184" s="71" t="s">
        <v>187</v>
      </c>
      <c r="C184" s="71" t="s">
        <v>16846</v>
      </c>
    </row>
    <row r="185">
      <c r="A185" s="234" t="s">
        <v>17091</v>
      </c>
      <c r="B185" s="71" t="s">
        <v>16846</v>
      </c>
      <c r="C185" s="71" t="s">
        <v>187</v>
      </c>
    </row>
    <row r="186">
      <c r="A186" s="234" t="s">
        <v>17093</v>
      </c>
      <c r="B186" s="71" t="s">
        <v>158</v>
      </c>
      <c r="C186" s="71" t="s">
        <v>16870</v>
      </c>
    </row>
    <row r="187">
      <c r="A187" s="234" t="s">
        <v>17093</v>
      </c>
      <c r="B187" s="71" t="s">
        <v>16870</v>
      </c>
      <c r="C187" s="71" t="s">
        <v>158</v>
      </c>
    </row>
    <row r="188">
      <c r="A188" s="234" t="s">
        <v>17096</v>
      </c>
      <c r="B188" s="71" t="s">
        <v>158</v>
      </c>
      <c r="C188" s="71" t="s">
        <v>16864</v>
      </c>
    </row>
    <row r="189">
      <c r="A189" s="234" t="s">
        <v>17096</v>
      </c>
      <c r="B189" s="71" t="s">
        <v>16864</v>
      </c>
      <c r="C189" s="71" t="s">
        <v>158</v>
      </c>
    </row>
    <row r="190">
      <c r="A190" s="234" t="s">
        <v>17099</v>
      </c>
      <c r="B190" s="71" t="s">
        <v>17019</v>
      </c>
      <c r="C190" s="71" t="s">
        <v>16838</v>
      </c>
    </row>
    <row r="191">
      <c r="A191" s="234" t="s">
        <v>17099</v>
      </c>
      <c r="B191" s="71" t="s">
        <v>16838</v>
      </c>
      <c r="C191" s="71" t="s">
        <v>17019</v>
      </c>
    </row>
    <row r="192">
      <c r="A192" s="234" t="s">
        <v>17101</v>
      </c>
      <c r="B192" s="71" t="s">
        <v>17019</v>
      </c>
      <c r="C192" s="71" t="s">
        <v>16838</v>
      </c>
    </row>
    <row r="193">
      <c r="A193" s="234" t="s">
        <v>17101</v>
      </c>
      <c r="B193" s="71" t="s">
        <v>16838</v>
      </c>
      <c r="C193" s="71" t="s">
        <v>17019</v>
      </c>
    </row>
    <row r="194">
      <c r="A194" s="234" t="s">
        <v>17103</v>
      </c>
      <c r="B194" s="71" t="s">
        <v>17104</v>
      </c>
      <c r="C194" s="71" t="s">
        <v>16838</v>
      </c>
    </row>
    <row r="195">
      <c r="A195" s="234" t="s">
        <v>17103</v>
      </c>
      <c r="B195" s="71" t="s">
        <v>16838</v>
      </c>
      <c r="C195" s="71" t="s">
        <v>17104</v>
      </c>
    </row>
    <row r="196">
      <c r="A196" s="130" t="s">
        <v>17106</v>
      </c>
      <c r="B196" s="71" t="s">
        <v>187</v>
      </c>
      <c r="C196" s="71" t="s">
        <v>16846</v>
      </c>
    </row>
    <row r="197">
      <c r="A197" s="130" t="s">
        <v>17108</v>
      </c>
      <c r="B197" s="71" t="s">
        <v>187</v>
      </c>
      <c r="C197" s="71" t="s">
        <v>16969</v>
      </c>
    </row>
    <row r="198">
      <c r="A198" s="234" t="s">
        <v>17110</v>
      </c>
      <c r="B198" s="71" t="s">
        <v>17111</v>
      </c>
      <c r="C198" s="71" t="s">
        <v>17112</v>
      </c>
    </row>
    <row r="199">
      <c r="A199" s="234" t="s">
        <v>17110</v>
      </c>
      <c r="B199" s="71" t="s">
        <v>17112</v>
      </c>
      <c r="C199" s="71" t="s">
        <v>17111</v>
      </c>
    </row>
    <row r="200">
      <c r="A200" s="130" t="s">
        <v>17114</v>
      </c>
      <c r="B200" s="71" t="s">
        <v>187</v>
      </c>
      <c r="C200" s="71" t="s">
        <v>16846</v>
      </c>
    </row>
    <row r="201">
      <c r="A201" s="130" t="s">
        <v>17116</v>
      </c>
      <c r="B201" s="71" t="s">
        <v>187</v>
      </c>
      <c r="C201" s="71" t="s">
        <v>16846</v>
      </c>
    </row>
    <row r="202">
      <c r="A202" s="130" t="s">
        <v>17118</v>
      </c>
      <c r="B202" s="71" t="s">
        <v>16910</v>
      </c>
      <c r="C202" s="71" t="s">
        <v>17119</v>
      </c>
    </row>
    <row r="203">
      <c r="A203" s="234" t="s">
        <v>17121</v>
      </c>
      <c r="B203" s="71" t="s">
        <v>187</v>
      </c>
      <c r="C203" s="71" t="s">
        <v>17122</v>
      </c>
    </row>
    <row r="204">
      <c r="A204" s="234" t="s">
        <v>17121</v>
      </c>
      <c r="B204" s="71" t="s">
        <v>17122</v>
      </c>
      <c r="C204" s="71" t="s">
        <v>187</v>
      </c>
    </row>
    <row r="205">
      <c r="A205" s="130" t="s">
        <v>17124</v>
      </c>
      <c r="B205" s="71" t="s">
        <v>16582</v>
      </c>
      <c r="C205" s="71" t="s">
        <v>16930</v>
      </c>
    </row>
    <row r="206">
      <c r="A206" s="234" t="s">
        <v>17126</v>
      </c>
      <c r="B206" s="71" t="s">
        <v>17127</v>
      </c>
      <c r="C206" s="71" t="s">
        <v>16838</v>
      </c>
    </row>
    <row r="207">
      <c r="A207" s="234" t="s">
        <v>17126</v>
      </c>
      <c r="B207" s="71" t="s">
        <v>16838</v>
      </c>
      <c r="C207" s="71" t="s">
        <v>17127</v>
      </c>
    </row>
    <row r="208">
      <c r="A208" s="234" t="s">
        <v>17129</v>
      </c>
      <c r="B208" s="71" t="s">
        <v>17127</v>
      </c>
      <c r="C208" s="71" t="s">
        <v>16838</v>
      </c>
    </row>
    <row r="209">
      <c r="A209" s="234" t="s">
        <v>17129</v>
      </c>
      <c r="B209" s="71" t="s">
        <v>16838</v>
      </c>
      <c r="C209" s="71" t="s">
        <v>17127</v>
      </c>
    </row>
    <row r="210">
      <c r="A210" s="130" t="s">
        <v>17132</v>
      </c>
      <c r="B210" s="71" t="s">
        <v>16582</v>
      </c>
      <c r="C210" s="71" t="s">
        <v>16899</v>
      </c>
    </row>
    <row r="211">
      <c r="A211" s="234" t="s">
        <v>17134</v>
      </c>
      <c r="B211" s="71" t="s">
        <v>169</v>
      </c>
      <c r="C211" s="71" t="s">
        <v>16899</v>
      </c>
    </row>
    <row r="212">
      <c r="A212" s="234" t="s">
        <v>17134</v>
      </c>
      <c r="B212" s="71" t="s">
        <v>16899</v>
      </c>
      <c r="C212" s="71" t="s">
        <v>169</v>
      </c>
    </row>
    <row r="213">
      <c r="A213" s="234" t="s">
        <v>17136</v>
      </c>
      <c r="B213" s="71" t="s">
        <v>16910</v>
      </c>
      <c r="C213" s="71" t="s">
        <v>17137</v>
      </c>
    </row>
    <row r="214">
      <c r="A214" s="234" t="s">
        <v>17136</v>
      </c>
      <c r="B214" s="71" t="s">
        <v>17137</v>
      </c>
      <c r="C214" s="71" t="s">
        <v>16910</v>
      </c>
    </row>
    <row r="215">
      <c r="A215" s="130" t="s">
        <v>17139</v>
      </c>
      <c r="B215" s="71" t="s">
        <v>187</v>
      </c>
      <c r="C215" s="71" t="s">
        <v>16846</v>
      </c>
    </row>
    <row r="216">
      <c r="A216" s="130" t="s">
        <v>17141</v>
      </c>
      <c r="B216" s="71" t="s">
        <v>16582</v>
      </c>
      <c r="C216" s="71" t="s">
        <v>16828</v>
      </c>
    </row>
    <row r="217">
      <c r="A217" s="234" t="s">
        <v>17143</v>
      </c>
      <c r="B217" s="71" t="s">
        <v>16851</v>
      </c>
      <c r="C217" s="71" t="s">
        <v>187</v>
      </c>
    </row>
    <row r="218">
      <c r="A218" s="234" t="s">
        <v>17143</v>
      </c>
      <c r="B218" s="71" t="s">
        <v>187</v>
      </c>
      <c r="C218" s="71" t="s">
        <v>16851</v>
      </c>
    </row>
    <row r="219">
      <c r="A219" s="234" t="s">
        <v>17145</v>
      </c>
      <c r="B219" s="71" t="s">
        <v>17111</v>
      </c>
      <c r="C219" s="71" t="s">
        <v>17112</v>
      </c>
    </row>
    <row r="220">
      <c r="A220" s="234" t="s">
        <v>17145</v>
      </c>
      <c r="B220" s="71" t="s">
        <v>17112</v>
      </c>
      <c r="C220" s="71" t="s">
        <v>17111</v>
      </c>
    </row>
    <row r="221">
      <c r="A221" s="234" t="s">
        <v>17147</v>
      </c>
      <c r="B221" s="71" t="s">
        <v>16867</v>
      </c>
      <c r="C221" s="71" t="s">
        <v>16838</v>
      </c>
    </row>
    <row r="222">
      <c r="A222" s="234" t="s">
        <v>17147</v>
      </c>
      <c r="B222" s="71" t="s">
        <v>16838</v>
      </c>
      <c r="C222" s="71" t="s">
        <v>16867</v>
      </c>
    </row>
    <row r="223">
      <c r="A223" s="130" t="s">
        <v>17149</v>
      </c>
      <c r="B223" s="71" t="s">
        <v>16582</v>
      </c>
      <c r="C223" s="71" t="s">
        <v>16828</v>
      </c>
    </row>
    <row r="224">
      <c r="A224" s="234" t="s">
        <v>17151</v>
      </c>
      <c r="B224" s="71" t="s">
        <v>16867</v>
      </c>
      <c r="C224" s="71" t="s">
        <v>16838</v>
      </c>
    </row>
    <row r="225">
      <c r="A225" s="234" t="s">
        <v>17151</v>
      </c>
      <c r="B225" s="71" t="s">
        <v>16838</v>
      </c>
      <c r="C225" s="71" t="s">
        <v>16867</v>
      </c>
    </row>
    <row r="226">
      <c r="A226" s="234" t="s">
        <v>17153</v>
      </c>
      <c r="B226" s="71" t="s">
        <v>16910</v>
      </c>
      <c r="C226" s="71" t="s">
        <v>16911</v>
      </c>
    </row>
    <row r="227">
      <c r="A227" s="234" t="s">
        <v>17153</v>
      </c>
      <c r="B227" s="71" t="s">
        <v>16911</v>
      </c>
      <c r="C227" s="71" t="s">
        <v>16910</v>
      </c>
    </row>
    <row r="228">
      <c r="A228" s="234" t="s">
        <v>17155</v>
      </c>
      <c r="B228" s="71" t="s">
        <v>16838</v>
      </c>
      <c r="C228" s="71" t="s">
        <v>17002</v>
      </c>
    </row>
    <row r="229">
      <c r="A229" s="234" t="s">
        <v>17155</v>
      </c>
      <c r="B229" s="71" t="s">
        <v>17002</v>
      </c>
      <c r="C229" s="71" t="s">
        <v>16838</v>
      </c>
    </row>
    <row r="230">
      <c r="A230" s="130" t="s">
        <v>17157</v>
      </c>
      <c r="B230" s="71" t="s">
        <v>16582</v>
      </c>
      <c r="C230" s="71" t="s">
        <v>16817</v>
      </c>
    </row>
    <row r="231">
      <c r="A231" s="234" t="s">
        <v>17159</v>
      </c>
      <c r="B231" s="71"/>
      <c r="C231" s="71"/>
    </row>
    <row r="232">
      <c r="A232" s="234" t="s">
        <v>17159</v>
      </c>
      <c r="B232" s="71"/>
      <c r="C232" s="71"/>
    </row>
    <row r="233">
      <c r="A233" s="130" t="s">
        <v>17161</v>
      </c>
      <c r="B233" s="71" t="s">
        <v>16582</v>
      </c>
      <c r="C233" s="71" t="s">
        <v>16995</v>
      </c>
    </row>
    <row r="234">
      <c r="A234" s="130" t="s">
        <v>17163</v>
      </c>
      <c r="B234" s="71" t="s">
        <v>16838</v>
      </c>
      <c r="C234" s="71" t="s">
        <v>17019</v>
      </c>
    </row>
    <row r="235">
      <c r="A235" s="234" t="s">
        <v>17165</v>
      </c>
      <c r="B235" s="71" t="s">
        <v>187</v>
      </c>
      <c r="C235" s="71" t="s">
        <v>16846</v>
      </c>
    </row>
    <row r="236">
      <c r="A236" s="234" t="s">
        <v>17165</v>
      </c>
      <c r="B236" s="71" t="s">
        <v>16846</v>
      </c>
      <c r="C236" s="71" t="s">
        <v>187</v>
      </c>
    </row>
    <row r="237">
      <c r="A237" s="130" t="s">
        <v>17167</v>
      </c>
      <c r="B237" s="71" t="s">
        <v>175</v>
      </c>
      <c r="C237" s="71" t="s">
        <v>17168</v>
      </c>
    </row>
    <row r="238">
      <c r="A238" s="234" t="s">
        <v>17170</v>
      </c>
      <c r="B238" s="71" t="s">
        <v>158</v>
      </c>
      <c r="C238" s="71" t="s">
        <v>17171</v>
      </c>
    </row>
    <row r="239">
      <c r="A239" s="234" t="s">
        <v>17170</v>
      </c>
      <c r="B239" s="71" t="s">
        <v>17171</v>
      </c>
      <c r="C239" s="71" t="s">
        <v>158</v>
      </c>
    </row>
    <row r="240">
      <c r="A240" s="234" t="s">
        <v>17173</v>
      </c>
      <c r="B240" s="71" t="s">
        <v>16969</v>
      </c>
      <c r="C240" s="71" t="s">
        <v>187</v>
      </c>
    </row>
    <row r="241">
      <c r="A241" s="234" t="s">
        <v>17173</v>
      </c>
      <c r="B241" s="71" t="s">
        <v>187</v>
      </c>
      <c r="C241" s="71" t="s">
        <v>16969</v>
      </c>
    </row>
    <row r="242">
      <c r="A242" s="234" t="s">
        <v>17175</v>
      </c>
      <c r="B242" s="71" t="s">
        <v>16919</v>
      </c>
      <c r="C242" s="71" t="s">
        <v>17176</v>
      </c>
    </row>
    <row r="243">
      <c r="A243" s="234" t="s">
        <v>17175</v>
      </c>
      <c r="B243" s="71" t="s">
        <v>17176</v>
      </c>
      <c r="C243" s="71" t="s">
        <v>16919</v>
      </c>
    </row>
    <row r="244">
      <c r="A244" s="130" t="s">
        <v>17178</v>
      </c>
      <c r="B244" s="71" t="s">
        <v>16582</v>
      </c>
      <c r="C244" s="71" t="s">
        <v>16817</v>
      </c>
    </row>
    <row r="245">
      <c r="A245" s="234" t="s">
        <v>17180</v>
      </c>
      <c r="B245" s="71" t="s">
        <v>175</v>
      </c>
      <c r="C245" s="71" t="s">
        <v>16854</v>
      </c>
    </row>
    <row r="246">
      <c r="A246" s="234" t="s">
        <v>17180</v>
      </c>
      <c r="B246" s="71" t="s">
        <v>16854</v>
      </c>
      <c r="C246" s="71" t="s">
        <v>175</v>
      </c>
    </row>
    <row r="247">
      <c r="A247" s="130" t="s">
        <v>17182</v>
      </c>
      <c r="B247" s="71" t="s">
        <v>16582</v>
      </c>
      <c r="C247" s="71" t="s">
        <v>17183</v>
      </c>
    </row>
    <row r="248">
      <c r="A248" s="234" t="s">
        <v>17185</v>
      </c>
      <c r="B248" s="71"/>
      <c r="C248" s="71"/>
    </row>
    <row r="249">
      <c r="A249" s="234" t="s">
        <v>17185</v>
      </c>
      <c r="B249" s="71"/>
      <c r="C249" s="71"/>
    </row>
    <row r="250">
      <c r="A250" s="130" t="s">
        <v>17187</v>
      </c>
      <c r="B250" s="71" t="s">
        <v>17112</v>
      </c>
      <c r="C250" s="71" t="s">
        <v>17111</v>
      </c>
    </row>
    <row r="251">
      <c r="A251" s="234" t="s">
        <v>17189</v>
      </c>
      <c r="B251" s="71" t="s">
        <v>158</v>
      </c>
      <c r="C251" s="71" t="s">
        <v>16864</v>
      </c>
    </row>
    <row r="252">
      <c r="A252" s="234" t="s">
        <v>17189</v>
      </c>
      <c r="B252" s="71" t="s">
        <v>16864</v>
      </c>
      <c r="C252" s="71" t="s">
        <v>158</v>
      </c>
    </row>
    <row r="253">
      <c r="A253" s="130" t="s">
        <v>17191</v>
      </c>
      <c r="B253" s="71" t="s">
        <v>16582</v>
      </c>
      <c r="C253" s="71" t="s">
        <v>16817</v>
      </c>
    </row>
    <row r="254">
      <c r="A254" s="234" t="s">
        <v>17193</v>
      </c>
      <c r="B254" s="71" t="s">
        <v>158</v>
      </c>
      <c r="C254" s="71" t="s">
        <v>16920</v>
      </c>
    </row>
    <row r="255">
      <c r="A255" s="234" t="s">
        <v>17193</v>
      </c>
      <c r="B255" s="71" t="s">
        <v>16920</v>
      </c>
      <c r="C255" s="71" t="s">
        <v>158</v>
      </c>
    </row>
    <row r="256">
      <c r="A256" s="234" t="s">
        <v>17195</v>
      </c>
      <c r="B256" s="71" t="s">
        <v>16992</v>
      </c>
      <c r="C256" s="71" t="s">
        <v>187</v>
      </c>
    </row>
    <row r="257">
      <c r="A257" s="234" t="s">
        <v>17195</v>
      </c>
      <c r="B257" s="71" t="s">
        <v>187</v>
      </c>
      <c r="C257" s="71" t="s">
        <v>16992</v>
      </c>
    </row>
    <row r="258">
      <c r="A258" s="234" t="s">
        <v>17197</v>
      </c>
      <c r="B258" s="71" t="s">
        <v>187</v>
      </c>
      <c r="C258" s="71" t="s">
        <v>16846</v>
      </c>
    </row>
    <row r="259">
      <c r="A259" s="234" t="s">
        <v>17197</v>
      </c>
      <c r="B259" s="71" t="s">
        <v>16846</v>
      </c>
      <c r="C259" s="71" t="s">
        <v>187</v>
      </c>
    </row>
    <row r="260">
      <c r="A260" s="234" t="s">
        <v>17199</v>
      </c>
      <c r="B260" s="71" t="s">
        <v>158</v>
      </c>
      <c r="C260" s="71" t="s">
        <v>16864</v>
      </c>
    </row>
    <row r="261">
      <c r="A261" s="234" t="s">
        <v>17199</v>
      </c>
      <c r="B261" s="71" t="s">
        <v>16864</v>
      </c>
      <c r="C261" s="71" t="s">
        <v>158</v>
      </c>
    </row>
    <row r="262">
      <c r="A262" s="234" t="s">
        <v>17201</v>
      </c>
      <c r="B262" s="71" t="s">
        <v>17202</v>
      </c>
      <c r="C262" s="71" t="s">
        <v>16838</v>
      </c>
    </row>
    <row r="263">
      <c r="A263" s="234" t="s">
        <v>17201</v>
      </c>
      <c r="B263" s="71" t="s">
        <v>16838</v>
      </c>
      <c r="C263" s="71" t="s">
        <v>17202</v>
      </c>
    </row>
    <row r="264">
      <c r="A264" s="234" t="s">
        <v>17204</v>
      </c>
      <c r="B264" s="71" t="s">
        <v>16582</v>
      </c>
      <c r="C264" s="71" t="s">
        <v>16930</v>
      </c>
    </row>
    <row r="265">
      <c r="A265" s="234" t="s">
        <v>17204</v>
      </c>
      <c r="B265" s="71" t="s">
        <v>16930</v>
      </c>
      <c r="C265" s="71" t="s">
        <v>16582</v>
      </c>
    </row>
    <row r="266">
      <c r="A266" s="234" t="s">
        <v>17206</v>
      </c>
      <c r="B266" s="71" t="s">
        <v>169</v>
      </c>
      <c r="C266" s="71" t="s">
        <v>16899</v>
      </c>
    </row>
    <row r="267">
      <c r="A267" s="234" t="s">
        <v>17206</v>
      </c>
      <c r="B267" s="71" t="s">
        <v>16899</v>
      </c>
      <c r="C267" s="71" t="s">
        <v>169</v>
      </c>
    </row>
    <row r="268">
      <c r="A268" s="234" t="s">
        <v>17208</v>
      </c>
      <c r="B268" s="71" t="s">
        <v>169</v>
      </c>
      <c r="C268" s="71" t="s">
        <v>16899</v>
      </c>
    </row>
    <row r="269">
      <c r="A269" s="234" t="s">
        <v>17208</v>
      </c>
      <c r="B269" s="71" t="s">
        <v>16899</v>
      </c>
      <c r="C269" s="71" t="s">
        <v>169</v>
      </c>
    </row>
    <row r="270">
      <c r="A270" s="234" t="s">
        <v>17210</v>
      </c>
      <c r="B270" s="71" t="s">
        <v>16885</v>
      </c>
      <c r="C270" s="71" t="s">
        <v>16886</v>
      </c>
    </row>
    <row r="271">
      <c r="A271" s="234" t="s">
        <v>17210</v>
      </c>
      <c r="B271" s="71" t="s">
        <v>16886</v>
      </c>
      <c r="C271" s="71" t="s">
        <v>16885</v>
      </c>
    </row>
    <row r="272">
      <c r="A272" s="130" t="s">
        <v>17213</v>
      </c>
      <c r="B272" s="71" t="s">
        <v>175</v>
      </c>
      <c r="C272" s="71" t="s">
        <v>16854</v>
      </c>
    </row>
    <row r="273">
      <c r="A273" s="234" t="s">
        <v>17215</v>
      </c>
      <c r="B273" s="71" t="s">
        <v>16919</v>
      </c>
      <c r="C273" s="71" t="s">
        <v>110</v>
      </c>
    </row>
    <row r="274">
      <c r="A274" s="234" t="s">
        <v>17215</v>
      </c>
      <c r="B274" s="71" t="s">
        <v>110</v>
      </c>
      <c r="C274" s="71" t="s">
        <v>16919</v>
      </c>
    </row>
    <row r="275">
      <c r="A275" s="234" t="s">
        <v>17217</v>
      </c>
      <c r="B275" s="71" t="s">
        <v>175</v>
      </c>
      <c r="C275" s="71" t="s">
        <v>17218</v>
      </c>
    </row>
    <row r="276">
      <c r="A276" s="234" t="s">
        <v>17217</v>
      </c>
      <c r="B276" s="71" t="s">
        <v>17218</v>
      </c>
      <c r="C276" s="71" t="s">
        <v>175</v>
      </c>
    </row>
    <row r="277">
      <c r="A277" s="234" t="s">
        <v>17220</v>
      </c>
      <c r="B277" s="71" t="s">
        <v>175</v>
      </c>
      <c r="C277" s="71" t="s">
        <v>16854</v>
      </c>
    </row>
    <row r="278">
      <c r="A278" s="234" t="s">
        <v>17220</v>
      </c>
      <c r="B278" s="71" t="s">
        <v>16854</v>
      </c>
      <c r="C278" s="71" t="s">
        <v>175</v>
      </c>
    </row>
    <row r="279">
      <c r="A279" s="234" t="s">
        <v>17223</v>
      </c>
      <c r="B279" s="71" t="s">
        <v>16969</v>
      </c>
      <c r="C279" s="71" t="s">
        <v>187</v>
      </c>
    </row>
    <row r="280">
      <c r="A280" s="234" t="s">
        <v>17223</v>
      </c>
      <c r="B280" s="71" t="s">
        <v>187</v>
      </c>
      <c r="C280" s="71" t="s">
        <v>16969</v>
      </c>
    </row>
    <row r="281">
      <c r="A281" s="234" t="s">
        <v>17225</v>
      </c>
      <c r="B281" s="71" t="s">
        <v>16919</v>
      </c>
      <c r="C281" s="71" t="s">
        <v>17176</v>
      </c>
    </row>
    <row r="282">
      <c r="A282" s="234" t="s">
        <v>17225</v>
      </c>
      <c r="B282" s="71" t="s">
        <v>17176</v>
      </c>
      <c r="C282" s="71" t="s">
        <v>16919</v>
      </c>
    </row>
    <row r="283">
      <c r="A283" s="234" t="s">
        <v>17227</v>
      </c>
      <c r="B283" s="71" t="s">
        <v>16992</v>
      </c>
      <c r="C283" s="71" t="s">
        <v>187</v>
      </c>
    </row>
    <row r="284">
      <c r="A284" s="234" t="s">
        <v>17227</v>
      </c>
      <c r="B284" s="71" t="s">
        <v>187</v>
      </c>
      <c r="C284" s="71" t="s">
        <v>16992</v>
      </c>
    </row>
    <row r="285">
      <c r="A285" s="234" t="s">
        <v>17230</v>
      </c>
      <c r="B285" s="71" t="s">
        <v>16838</v>
      </c>
      <c r="C285" s="71" t="s">
        <v>17104</v>
      </c>
    </row>
    <row r="286">
      <c r="A286" s="234" t="s">
        <v>17230</v>
      </c>
      <c r="B286" s="71" t="s">
        <v>17104</v>
      </c>
      <c r="C286" s="71" t="s">
        <v>16838</v>
      </c>
    </row>
    <row r="287">
      <c r="A287" s="234" t="s">
        <v>17232</v>
      </c>
      <c r="B287" s="71" t="s">
        <v>17233</v>
      </c>
      <c r="C287" s="71" t="s">
        <v>169</v>
      </c>
    </row>
    <row r="288">
      <c r="A288" s="234" t="s">
        <v>17232</v>
      </c>
      <c r="B288" s="71" t="s">
        <v>169</v>
      </c>
      <c r="C288" s="71" t="s">
        <v>17233</v>
      </c>
    </row>
    <row r="289">
      <c r="A289" s="234" t="s">
        <v>17235</v>
      </c>
      <c r="B289" s="71" t="s">
        <v>17009</v>
      </c>
      <c r="C289" s="71" t="s">
        <v>169</v>
      </c>
    </row>
    <row r="290">
      <c r="A290" s="234" t="s">
        <v>17235</v>
      </c>
      <c r="B290" s="71" t="s">
        <v>169</v>
      </c>
      <c r="C290" s="71" t="s">
        <v>17009</v>
      </c>
    </row>
    <row r="291">
      <c r="A291" s="234" t="s">
        <v>17237</v>
      </c>
      <c r="B291" s="71" t="s">
        <v>175</v>
      </c>
      <c r="C291" s="71" t="s">
        <v>16842</v>
      </c>
    </row>
    <row r="292">
      <c r="A292" s="234" t="s">
        <v>17237</v>
      </c>
      <c r="B292" s="71" t="s">
        <v>16842</v>
      </c>
      <c r="C292" s="71" t="s">
        <v>175</v>
      </c>
    </row>
    <row r="293">
      <c r="A293" s="234" t="s">
        <v>17240</v>
      </c>
      <c r="B293" s="71" t="s">
        <v>175</v>
      </c>
      <c r="C293" s="71" t="s">
        <v>16890</v>
      </c>
    </row>
    <row r="294">
      <c r="A294" s="234" t="s">
        <v>17240</v>
      </c>
      <c r="B294" s="71" t="s">
        <v>16890</v>
      </c>
      <c r="C294" s="71" t="s">
        <v>175</v>
      </c>
    </row>
    <row r="295">
      <c r="A295" s="234" t="s">
        <v>17243</v>
      </c>
      <c r="B295" s="71" t="s">
        <v>16582</v>
      </c>
      <c r="C295" s="71" t="s">
        <v>16817</v>
      </c>
    </row>
    <row r="296">
      <c r="A296" s="234" t="s">
        <v>17243</v>
      </c>
      <c r="B296" s="71" t="s">
        <v>16817</v>
      </c>
      <c r="C296" s="71" t="s">
        <v>16582</v>
      </c>
    </row>
    <row r="297">
      <c r="A297" s="234" t="s">
        <v>17245</v>
      </c>
      <c r="B297" s="71" t="s">
        <v>16582</v>
      </c>
      <c r="C297" s="71" t="s">
        <v>16995</v>
      </c>
    </row>
    <row r="298">
      <c r="A298" s="234" t="s">
        <v>17245</v>
      </c>
      <c r="B298" s="71" t="s">
        <v>16995</v>
      </c>
      <c r="C298" s="71" t="s">
        <v>16582</v>
      </c>
    </row>
    <row r="299">
      <c r="A299" s="234" t="s">
        <v>17247</v>
      </c>
      <c r="B299" s="71" t="s">
        <v>16838</v>
      </c>
      <c r="C299" s="71" t="s">
        <v>17002</v>
      </c>
    </row>
    <row r="300">
      <c r="A300" s="234" t="s">
        <v>17247</v>
      </c>
      <c r="B300" s="71" t="s">
        <v>17002</v>
      </c>
      <c r="C300" s="71" t="s">
        <v>16838</v>
      </c>
    </row>
    <row r="301">
      <c r="A301" s="234" t="s">
        <v>17249</v>
      </c>
      <c r="B301" s="71" t="s">
        <v>17016</v>
      </c>
      <c r="C301" s="71" t="s">
        <v>16838</v>
      </c>
    </row>
    <row r="302">
      <c r="A302" s="234" t="s">
        <v>17249</v>
      </c>
      <c r="B302" s="71" t="s">
        <v>16838</v>
      </c>
      <c r="C302" s="71" t="s">
        <v>17016</v>
      </c>
    </row>
    <row r="303">
      <c r="A303" s="234" t="s">
        <v>17251</v>
      </c>
      <c r="B303" s="71" t="s">
        <v>17019</v>
      </c>
      <c r="C303" s="71" t="s">
        <v>16838</v>
      </c>
    </row>
    <row r="304">
      <c r="A304" s="234" t="s">
        <v>17251</v>
      </c>
      <c r="B304" s="71" t="s">
        <v>16838</v>
      </c>
      <c r="C304" s="71" t="s">
        <v>17019</v>
      </c>
    </row>
    <row r="305">
      <c r="A305" s="234" t="s">
        <v>17253</v>
      </c>
      <c r="B305" s="71" t="s">
        <v>16838</v>
      </c>
      <c r="C305" s="71" t="s">
        <v>17002</v>
      </c>
    </row>
    <row r="306">
      <c r="A306" s="234" t="s">
        <v>17253</v>
      </c>
      <c r="B306" s="71" t="s">
        <v>17002</v>
      </c>
      <c r="C306" s="71" t="s">
        <v>16838</v>
      </c>
    </row>
    <row r="307">
      <c r="A307" s="234" t="s">
        <v>17255</v>
      </c>
      <c r="B307" s="71" t="s">
        <v>17256</v>
      </c>
      <c r="C307" s="71" t="s">
        <v>187</v>
      </c>
    </row>
    <row r="308">
      <c r="A308" s="234" t="s">
        <v>17255</v>
      </c>
      <c r="B308" s="71" t="s">
        <v>187</v>
      </c>
      <c r="C308" s="71" t="s">
        <v>17256</v>
      </c>
    </row>
    <row r="309">
      <c r="A309" s="234" t="s">
        <v>17258</v>
      </c>
      <c r="B309" s="71" t="s">
        <v>17259</v>
      </c>
      <c r="C309" s="71" t="s">
        <v>187</v>
      </c>
    </row>
    <row r="310">
      <c r="A310" s="234" t="s">
        <v>17258</v>
      </c>
      <c r="B310" s="71" t="s">
        <v>187</v>
      </c>
      <c r="C310" s="71" t="s">
        <v>17259</v>
      </c>
    </row>
    <row r="311">
      <c r="A311" s="234" t="s">
        <v>17261</v>
      </c>
      <c r="B311" s="71" t="s">
        <v>175</v>
      </c>
      <c r="C311" s="71" t="s">
        <v>16878</v>
      </c>
    </row>
    <row r="312">
      <c r="A312" s="234" t="s">
        <v>17261</v>
      </c>
      <c r="B312" s="71" t="s">
        <v>16878</v>
      </c>
      <c r="C312" s="71" t="s">
        <v>175</v>
      </c>
    </row>
    <row r="313">
      <c r="A313" s="234" t="s">
        <v>17263</v>
      </c>
      <c r="B313" s="71" t="s">
        <v>175</v>
      </c>
      <c r="C313" s="71" t="s">
        <v>17264</v>
      </c>
    </row>
    <row r="314">
      <c r="A314" s="234" t="s">
        <v>17263</v>
      </c>
      <c r="B314" s="71" t="s">
        <v>17264</v>
      </c>
      <c r="C314" s="71" t="s">
        <v>175</v>
      </c>
    </row>
    <row r="315">
      <c r="A315" s="234" t="s">
        <v>17266</v>
      </c>
      <c r="B315" s="71" t="s">
        <v>175</v>
      </c>
      <c r="C315" s="71" t="s">
        <v>17031</v>
      </c>
    </row>
    <row r="316">
      <c r="A316" s="234" t="s">
        <v>17266</v>
      </c>
      <c r="B316" s="71" t="s">
        <v>17031</v>
      </c>
      <c r="C316" s="71" t="s">
        <v>175</v>
      </c>
    </row>
    <row r="317">
      <c r="A317" s="234" t="s">
        <v>17268</v>
      </c>
      <c r="B317" s="71" t="s">
        <v>175</v>
      </c>
      <c r="C317" s="71" t="s">
        <v>16842</v>
      </c>
    </row>
    <row r="318">
      <c r="A318" s="234" t="s">
        <v>17268</v>
      </c>
      <c r="B318" s="71" t="s">
        <v>16842</v>
      </c>
      <c r="C318" s="71" t="s">
        <v>175</v>
      </c>
    </row>
    <row r="319">
      <c r="A319" s="234" t="s">
        <v>17271</v>
      </c>
      <c r="B319" s="71" t="s">
        <v>16851</v>
      </c>
      <c r="C319" s="71" t="s">
        <v>187</v>
      </c>
    </row>
    <row r="320">
      <c r="A320" s="234" t="s">
        <v>17271</v>
      </c>
      <c r="B320" s="71" t="s">
        <v>187</v>
      </c>
      <c r="C320" s="71" t="s">
        <v>16851</v>
      </c>
    </row>
    <row r="321">
      <c r="A321" s="130" t="s">
        <v>17273</v>
      </c>
      <c r="B321" s="71" t="s">
        <v>169</v>
      </c>
      <c r="C321" s="71" t="s">
        <v>17009</v>
      </c>
    </row>
    <row r="322">
      <c r="A322" s="130" t="s">
        <v>17275</v>
      </c>
      <c r="B322" s="71" t="s">
        <v>16926</v>
      </c>
      <c r="C322" s="71" t="s">
        <v>16960</v>
      </c>
    </row>
    <row r="323">
      <c r="A323" s="130" t="s">
        <v>17277</v>
      </c>
      <c r="B323" s="71" t="s">
        <v>16582</v>
      </c>
      <c r="C323" s="71" t="s">
        <v>16930</v>
      </c>
    </row>
    <row r="324">
      <c r="A324" s="234" t="s">
        <v>17279</v>
      </c>
      <c r="B324" s="71" t="s">
        <v>16867</v>
      </c>
      <c r="C324" s="71" t="s">
        <v>16838</v>
      </c>
    </row>
    <row r="325">
      <c r="A325" s="234" t="s">
        <v>17279</v>
      </c>
      <c r="B325" s="71" t="s">
        <v>16838</v>
      </c>
      <c r="C325" s="71" t="s">
        <v>16867</v>
      </c>
    </row>
    <row r="326">
      <c r="A326" s="130" t="s">
        <v>17281</v>
      </c>
      <c r="B326" s="71" t="s">
        <v>175</v>
      </c>
      <c r="C326" s="71" t="s">
        <v>16854</v>
      </c>
    </row>
    <row r="327">
      <c r="A327" s="234" t="s">
        <v>17283</v>
      </c>
      <c r="B327" s="71" t="s">
        <v>16945</v>
      </c>
      <c r="C327" s="71" t="s">
        <v>169</v>
      </c>
    </row>
    <row r="328">
      <c r="A328" s="234" t="s">
        <v>17283</v>
      </c>
      <c r="B328" s="71" t="s">
        <v>169</v>
      </c>
      <c r="C328" s="71" t="s">
        <v>16945</v>
      </c>
    </row>
    <row r="329">
      <c r="A329" s="130" t="s">
        <v>17285</v>
      </c>
      <c r="B329" s="71" t="s">
        <v>175</v>
      </c>
      <c r="C329" s="71" t="s">
        <v>17286</v>
      </c>
    </row>
    <row r="330">
      <c r="A330" s="234" t="s">
        <v>17288</v>
      </c>
      <c r="B330" s="71" t="s">
        <v>175</v>
      </c>
      <c r="C330" s="71" t="s">
        <v>16942</v>
      </c>
    </row>
    <row r="331">
      <c r="A331" s="234" t="s">
        <v>17288</v>
      </c>
      <c r="B331" s="71" t="s">
        <v>16942</v>
      </c>
      <c r="C331" s="71" t="s">
        <v>175</v>
      </c>
    </row>
    <row r="332">
      <c r="A332" s="130" t="s">
        <v>17290</v>
      </c>
      <c r="B332" s="71" t="s">
        <v>175</v>
      </c>
      <c r="C332" s="71" t="s">
        <v>17168</v>
      </c>
    </row>
    <row r="333">
      <c r="A333" s="234" t="s">
        <v>17292</v>
      </c>
      <c r="B333" s="71" t="s">
        <v>158</v>
      </c>
      <c r="C333" s="71" t="s">
        <v>16864</v>
      </c>
    </row>
    <row r="334">
      <c r="A334" s="234" t="s">
        <v>17292</v>
      </c>
      <c r="B334" s="71" t="s">
        <v>16864</v>
      </c>
      <c r="C334" s="71" t="s">
        <v>158</v>
      </c>
    </row>
    <row r="335">
      <c r="A335" s="130" t="s">
        <v>17294</v>
      </c>
      <c r="B335" s="71" t="s">
        <v>16910</v>
      </c>
      <c r="C335" s="71" t="s">
        <v>16911</v>
      </c>
    </row>
    <row r="336">
      <c r="A336" s="234" t="s">
        <v>17296</v>
      </c>
      <c r="B336" s="71" t="s">
        <v>175</v>
      </c>
      <c r="C336" s="71" t="s">
        <v>16842</v>
      </c>
    </row>
    <row r="337">
      <c r="A337" s="234" t="s">
        <v>17296</v>
      </c>
      <c r="B337" s="71" t="s">
        <v>16842</v>
      </c>
      <c r="C337" s="71" t="s">
        <v>175</v>
      </c>
    </row>
    <row r="338">
      <c r="A338" s="234" t="s">
        <v>17298</v>
      </c>
      <c r="B338" s="71" t="s">
        <v>16919</v>
      </c>
      <c r="C338" s="71" t="s">
        <v>16920</v>
      </c>
    </row>
    <row r="339">
      <c r="A339" s="234" t="s">
        <v>17298</v>
      </c>
      <c r="B339" s="71" t="s">
        <v>16920</v>
      </c>
      <c r="C339" s="71" t="s">
        <v>16919</v>
      </c>
    </row>
    <row r="340">
      <c r="A340" s="234" t="s">
        <v>17300</v>
      </c>
      <c r="B340" s="71"/>
      <c r="C340" s="71"/>
    </row>
    <row r="341">
      <c r="A341" s="234" t="s">
        <v>17300</v>
      </c>
      <c r="B341" s="71"/>
      <c r="C341" s="71"/>
    </row>
    <row r="342">
      <c r="A342" s="130" t="s">
        <v>17302</v>
      </c>
      <c r="B342" s="71" t="s">
        <v>169</v>
      </c>
      <c r="C342" s="71" t="s">
        <v>16899</v>
      </c>
    </row>
    <row r="343">
      <c r="A343" s="234" t="s">
        <v>17304</v>
      </c>
      <c r="B343" s="71" t="s">
        <v>158</v>
      </c>
      <c r="C343" s="71" t="s">
        <v>16870</v>
      </c>
    </row>
    <row r="344">
      <c r="A344" s="234" t="s">
        <v>17304</v>
      </c>
      <c r="B344" s="71" t="s">
        <v>16870</v>
      </c>
      <c r="C344" s="71" t="s">
        <v>158</v>
      </c>
    </row>
    <row r="345">
      <c r="A345" s="234" t="s">
        <v>17306</v>
      </c>
      <c r="B345" s="71" t="s">
        <v>17057</v>
      </c>
      <c r="C345" s="71" t="s">
        <v>169</v>
      </c>
    </row>
    <row r="346">
      <c r="A346" s="234" t="s">
        <v>17306</v>
      </c>
      <c r="B346" s="71" t="s">
        <v>169</v>
      </c>
      <c r="C346" s="71" t="s">
        <v>17057</v>
      </c>
    </row>
    <row r="347">
      <c r="A347" s="234" t="s">
        <v>17308</v>
      </c>
      <c r="B347" s="71" t="s">
        <v>16957</v>
      </c>
      <c r="C347" s="71" t="s">
        <v>16926</v>
      </c>
    </row>
    <row r="348">
      <c r="A348" s="234" t="s">
        <v>17308</v>
      </c>
      <c r="B348" s="71" t="s">
        <v>16926</v>
      </c>
      <c r="C348" s="71" t="s">
        <v>16957</v>
      </c>
    </row>
    <row r="349">
      <c r="A349" s="234" t="s">
        <v>17310</v>
      </c>
      <c r="B349" s="71" t="s">
        <v>16885</v>
      </c>
      <c r="C349" s="71" t="s">
        <v>16886</v>
      </c>
    </row>
    <row r="350">
      <c r="A350" s="234" t="s">
        <v>17310</v>
      </c>
      <c r="B350" s="71" t="s">
        <v>16886</v>
      </c>
      <c r="C350" s="71" t="s">
        <v>16885</v>
      </c>
    </row>
    <row r="351">
      <c r="A351" s="234" t="s">
        <v>17312</v>
      </c>
      <c r="B351" s="71" t="s">
        <v>17202</v>
      </c>
      <c r="C351" s="71" t="s">
        <v>16838</v>
      </c>
    </row>
    <row r="352">
      <c r="A352" s="234" t="s">
        <v>17312</v>
      </c>
      <c r="B352" s="71" t="s">
        <v>16838</v>
      </c>
      <c r="C352" s="71" t="s">
        <v>17202</v>
      </c>
    </row>
    <row r="353">
      <c r="A353" s="234" t="s">
        <v>17314</v>
      </c>
      <c r="B353" s="71" t="s">
        <v>158</v>
      </c>
      <c r="C353" s="71" t="s">
        <v>16864</v>
      </c>
    </row>
    <row r="354">
      <c r="A354" s="234" t="s">
        <v>17314</v>
      </c>
      <c r="B354" s="71" t="s">
        <v>16864</v>
      </c>
      <c r="C354" s="71" t="s">
        <v>158</v>
      </c>
    </row>
    <row r="355">
      <c r="A355" s="130" t="s">
        <v>17317</v>
      </c>
      <c r="B355" s="71" t="s">
        <v>175</v>
      </c>
      <c r="C355" s="71" t="s">
        <v>17318</v>
      </c>
    </row>
    <row r="356">
      <c r="A356" s="234" t="s">
        <v>17320</v>
      </c>
      <c r="B356" s="71" t="s">
        <v>17321</v>
      </c>
      <c r="C356" s="71" t="s">
        <v>169</v>
      </c>
    </row>
    <row r="357">
      <c r="A357" s="234" t="s">
        <v>17320</v>
      </c>
      <c r="B357" s="71" t="s">
        <v>169</v>
      </c>
      <c r="C357" s="71" t="s">
        <v>17321</v>
      </c>
    </row>
    <row r="358">
      <c r="A358" s="234" t="s">
        <v>17323</v>
      </c>
      <c r="B358" s="71" t="s">
        <v>158</v>
      </c>
      <c r="C358" s="71" t="s">
        <v>16864</v>
      </c>
    </row>
    <row r="359">
      <c r="A359" s="234" t="s">
        <v>17323</v>
      </c>
      <c r="B359" s="71" t="s">
        <v>16864</v>
      </c>
      <c r="C359" s="71" t="s">
        <v>158</v>
      </c>
    </row>
    <row r="360">
      <c r="A360" s="234" t="s">
        <v>17325</v>
      </c>
      <c r="B360" s="71" t="s">
        <v>16838</v>
      </c>
      <c r="C360" s="71" t="s">
        <v>17104</v>
      </c>
    </row>
    <row r="361">
      <c r="A361" s="234" t="s">
        <v>17325</v>
      </c>
      <c r="B361" s="71" t="s">
        <v>17104</v>
      </c>
      <c r="C361" s="71" t="s">
        <v>16838</v>
      </c>
    </row>
    <row r="362">
      <c r="A362" s="130" t="s">
        <v>17328</v>
      </c>
      <c r="B362" s="71"/>
      <c r="C362" s="71"/>
    </row>
    <row r="363">
      <c r="A363" s="234" t="s">
        <v>17330</v>
      </c>
      <c r="B363" s="71" t="s">
        <v>16867</v>
      </c>
      <c r="C363" s="71" t="s">
        <v>16838</v>
      </c>
    </row>
    <row r="364">
      <c r="A364" s="234" t="s">
        <v>17330</v>
      </c>
      <c r="B364" s="71" t="s">
        <v>16838</v>
      </c>
      <c r="C364" s="71" t="s">
        <v>16867</v>
      </c>
    </row>
    <row r="365">
      <c r="A365" s="234" t="s">
        <v>17332</v>
      </c>
      <c r="B365" s="71" t="s">
        <v>16582</v>
      </c>
      <c r="C365" s="71" t="s">
        <v>16813</v>
      </c>
    </row>
    <row r="366">
      <c r="A366" s="234" t="s">
        <v>17332</v>
      </c>
      <c r="B366" s="71" t="s">
        <v>16813</v>
      </c>
      <c r="C366" s="71" t="s">
        <v>16582</v>
      </c>
    </row>
    <row r="367">
      <c r="A367" s="234" t="s">
        <v>17334</v>
      </c>
      <c r="B367" s="71" t="s">
        <v>16582</v>
      </c>
      <c r="C367" s="71" t="s">
        <v>16817</v>
      </c>
    </row>
    <row r="368">
      <c r="A368" s="234" t="s">
        <v>17334</v>
      </c>
      <c r="B368" s="71" t="s">
        <v>16817</v>
      </c>
      <c r="C368" s="71" t="s">
        <v>16582</v>
      </c>
    </row>
    <row r="369">
      <c r="A369" s="234" t="s">
        <v>17336</v>
      </c>
      <c r="B369" s="71" t="s">
        <v>175</v>
      </c>
      <c r="C369" s="71" t="s">
        <v>17218</v>
      </c>
    </row>
    <row r="370">
      <c r="A370" s="234" t="s">
        <v>17336</v>
      </c>
      <c r="B370" s="71" t="s">
        <v>17218</v>
      </c>
      <c r="C370" s="71" t="s">
        <v>175</v>
      </c>
    </row>
    <row r="371">
      <c r="A371" s="234" t="s">
        <v>17338</v>
      </c>
      <c r="B371" s="71" t="s">
        <v>16582</v>
      </c>
      <c r="C371" s="71" t="s">
        <v>17339</v>
      </c>
    </row>
    <row r="372">
      <c r="A372" s="234" t="s">
        <v>17338</v>
      </c>
      <c r="B372" s="71" t="s">
        <v>17339</v>
      </c>
      <c r="C372" s="71" t="s">
        <v>16582</v>
      </c>
    </row>
    <row r="373">
      <c r="A373" s="234" t="s">
        <v>17341</v>
      </c>
      <c r="B373" s="71" t="s">
        <v>16582</v>
      </c>
      <c r="C373" s="233" t="s">
        <v>17342</v>
      </c>
    </row>
    <row r="374">
      <c r="A374" s="234" t="s">
        <v>17341</v>
      </c>
      <c r="B374" s="71" t="s">
        <v>17342</v>
      </c>
      <c r="C374" s="71" t="s">
        <v>16582</v>
      </c>
    </row>
    <row r="375">
      <c r="A375" s="234" t="s">
        <v>17344</v>
      </c>
      <c r="B375" s="71" t="s">
        <v>16867</v>
      </c>
      <c r="C375" s="71" t="s">
        <v>16838</v>
      </c>
    </row>
    <row r="376">
      <c r="A376" s="234" t="s">
        <v>17344</v>
      </c>
      <c r="B376" s="71" t="s">
        <v>16838</v>
      </c>
      <c r="C376" s="71" t="s">
        <v>16867</v>
      </c>
    </row>
    <row r="377">
      <c r="A377" s="234" t="s">
        <v>17346</v>
      </c>
      <c r="B377" s="71" t="s">
        <v>17347</v>
      </c>
      <c r="C377" s="71" t="s">
        <v>16838</v>
      </c>
    </row>
    <row r="378">
      <c r="A378" s="234" t="s">
        <v>17346</v>
      </c>
      <c r="B378" s="71" t="s">
        <v>16838</v>
      </c>
      <c r="C378" s="71" t="s">
        <v>17347</v>
      </c>
    </row>
    <row r="379">
      <c r="A379" s="234" t="s">
        <v>17349</v>
      </c>
      <c r="B379" s="71" t="s">
        <v>169</v>
      </c>
      <c r="C379" s="71" t="s">
        <v>17350</v>
      </c>
    </row>
    <row r="380">
      <c r="A380" s="234" t="s">
        <v>17349</v>
      </c>
      <c r="B380" s="71" t="s">
        <v>17350</v>
      </c>
      <c r="C380" s="71" t="s">
        <v>169</v>
      </c>
    </row>
    <row r="381">
      <c r="A381" s="234" t="s">
        <v>17352</v>
      </c>
      <c r="B381" s="71" t="s">
        <v>16969</v>
      </c>
      <c r="C381" s="71" t="s">
        <v>187</v>
      </c>
    </row>
    <row r="382">
      <c r="A382" s="234" t="s">
        <v>17352</v>
      </c>
      <c r="B382" s="71" t="s">
        <v>187</v>
      </c>
      <c r="C382" s="71" t="s">
        <v>16969</v>
      </c>
    </row>
    <row r="383">
      <c r="A383" s="234" t="s">
        <v>17354</v>
      </c>
      <c r="B383" s="71" t="s">
        <v>16838</v>
      </c>
      <c r="C383" s="71" t="s">
        <v>17002</v>
      </c>
    </row>
    <row r="384">
      <c r="A384" s="234" t="s">
        <v>17354</v>
      </c>
      <c r="B384" s="71" t="s">
        <v>17002</v>
      </c>
      <c r="C384" s="71" t="s">
        <v>16838</v>
      </c>
    </row>
    <row r="385">
      <c r="A385" s="234" t="s">
        <v>17356</v>
      </c>
      <c r="B385" s="71" t="s">
        <v>175</v>
      </c>
      <c r="C385" s="71" t="s">
        <v>16878</v>
      </c>
    </row>
    <row r="386">
      <c r="A386" s="234" t="s">
        <v>17356</v>
      </c>
      <c r="B386" s="71" t="s">
        <v>16878</v>
      </c>
      <c r="C386" s="71" t="s">
        <v>175</v>
      </c>
    </row>
    <row r="387">
      <c r="A387" s="130" t="s">
        <v>17358</v>
      </c>
      <c r="B387" s="71" t="s">
        <v>175</v>
      </c>
      <c r="C387" s="71" t="s">
        <v>17318</v>
      </c>
    </row>
    <row r="388">
      <c r="A388" s="234" t="s">
        <v>17360</v>
      </c>
      <c r="B388" s="71" t="s">
        <v>175</v>
      </c>
      <c r="C388" s="71" t="s">
        <v>16861</v>
      </c>
    </row>
    <row r="389">
      <c r="A389" s="234" t="s">
        <v>17360</v>
      </c>
      <c r="B389" s="71" t="s">
        <v>16861</v>
      </c>
      <c r="C389" s="71" t="s">
        <v>175</v>
      </c>
    </row>
    <row r="390">
      <c r="A390" s="234" t="s">
        <v>17362</v>
      </c>
      <c r="B390" s="71" t="s">
        <v>158</v>
      </c>
      <c r="C390" s="71" t="s">
        <v>16870</v>
      </c>
    </row>
    <row r="391">
      <c r="A391" s="234" t="s">
        <v>17362</v>
      </c>
      <c r="B391" s="71" t="s">
        <v>16870</v>
      </c>
      <c r="C391" s="71" t="s">
        <v>158</v>
      </c>
    </row>
    <row r="392">
      <c r="A392" s="234" t="s">
        <v>17364</v>
      </c>
      <c r="B392" s="71" t="s">
        <v>16919</v>
      </c>
      <c r="C392" s="71" t="s">
        <v>110</v>
      </c>
    </row>
    <row r="393">
      <c r="A393" s="234" t="s">
        <v>17364</v>
      </c>
      <c r="B393" s="71" t="s">
        <v>110</v>
      </c>
      <c r="C393" s="71" t="s">
        <v>16919</v>
      </c>
    </row>
    <row r="394">
      <c r="A394" s="234" t="s">
        <v>17366</v>
      </c>
      <c r="B394" s="71" t="s">
        <v>16582</v>
      </c>
      <c r="C394" s="71" t="s">
        <v>17013</v>
      </c>
    </row>
    <row r="395">
      <c r="A395" s="234" t="s">
        <v>17366</v>
      </c>
      <c r="B395" s="71" t="s">
        <v>17013</v>
      </c>
      <c r="C395" s="71" t="s">
        <v>16582</v>
      </c>
    </row>
    <row r="396">
      <c r="A396" s="234" t="s">
        <v>17368</v>
      </c>
      <c r="B396" s="71" t="s">
        <v>16838</v>
      </c>
      <c r="C396" s="71" t="s">
        <v>17002</v>
      </c>
    </row>
    <row r="397">
      <c r="A397" s="234" t="s">
        <v>17368</v>
      </c>
      <c r="B397" s="71" t="s">
        <v>17002</v>
      </c>
      <c r="C397" s="71" t="s">
        <v>16838</v>
      </c>
    </row>
    <row r="398">
      <c r="A398" s="234" t="s">
        <v>17370</v>
      </c>
      <c r="B398" s="71" t="s">
        <v>16885</v>
      </c>
      <c r="C398" s="71" t="s">
        <v>16886</v>
      </c>
    </row>
    <row r="399">
      <c r="A399" s="234" t="s">
        <v>17370</v>
      </c>
      <c r="B399" s="71" t="s">
        <v>16886</v>
      </c>
      <c r="C399" s="71" t="s">
        <v>16885</v>
      </c>
    </row>
    <row r="400">
      <c r="A400" s="234" t="s">
        <v>17373</v>
      </c>
      <c r="B400" s="71" t="s">
        <v>16919</v>
      </c>
      <c r="C400" s="71" t="s">
        <v>17176</v>
      </c>
    </row>
    <row r="401">
      <c r="A401" s="234" t="s">
        <v>17373</v>
      </c>
      <c r="B401" s="71" t="s">
        <v>17176</v>
      </c>
      <c r="C401" s="71" t="s">
        <v>16919</v>
      </c>
    </row>
    <row r="402">
      <c r="A402" s="234" t="s">
        <v>17375</v>
      </c>
      <c r="B402" s="71" t="s">
        <v>16838</v>
      </c>
      <c r="C402" s="71" t="s">
        <v>17202</v>
      </c>
    </row>
    <row r="403">
      <c r="A403" s="234" t="s">
        <v>17375</v>
      </c>
      <c r="B403" s="71" t="s">
        <v>17202</v>
      </c>
      <c r="C403" s="71" t="s">
        <v>16838</v>
      </c>
    </row>
    <row r="404">
      <c r="A404" s="130" t="s">
        <v>17377</v>
      </c>
      <c r="B404" s="71" t="s">
        <v>16582</v>
      </c>
      <c r="C404" s="71" t="s">
        <v>16828</v>
      </c>
    </row>
    <row r="405">
      <c r="A405" s="234" t="s">
        <v>17379</v>
      </c>
      <c r="B405" s="71" t="s">
        <v>16867</v>
      </c>
      <c r="C405" s="71" t="s">
        <v>16838</v>
      </c>
    </row>
    <row r="406">
      <c r="A406" s="234" t="s">
        <v>17379</v>
      </c>
      <c r="B406" s="71" t="s">
        <v>16838</v>
      </c>
      <c r="C406" s="71" t="s">
        <v>16867</v>
      </c>
    </row>
    <row r="407">
      <c r="A407" s="234" t="s">
        <v>17381</v>
      </c>
      <c r="B407" s="71" t="s">
        <v>175</v>
      </c>
      <c r="C407" s="71" t="s">
        <v>17286</v>
      </c>
    </row>
    <row r="408">
      <c r="A408" s="234" t="s">
        <v>17381</v>
      </c>
      <c r="B408" s="71" t="s">
        <v>17286</v>
      </c>
      <c r="C408" s="71" t="s">
        <v>175</v>
      </c>
    </row>
    <row r="409">
      <c r="A409" s="234" t="s">
        <v>17383</v>
      </c>
      <c r="B409" s="71" t="s">
        <v>16838</v>
      </c>
      <c r="C409" s="71" t="s">
        <v>17384</v>
      </c>
    </row>
    <row r="410">
      <c r="A410" s="234" t="s">
        <v>17383</v>
      </c>
      <c r="B410" s="71" t="s">
        <v>17384</v>
      </c>
      <c r="C410" s="71" t="s">
        <v>16838</v>
      </c>
    </row>
    <row r="411">
      <c r="A411" s="130" t="s">
        <v>17386</v>
      </c>
      <c r="B411" s="71" t="s">
        <v>16582</v>
      </c>
      <c r="C411" s="71" t="s">
        <v>16828</v>
      </c>
    </row>
    <row r="412">
      <c r="A412" s="130" t="s">
        <v>17388</v>
      </c>
      <c r="B412" s="71" t="s">
        <v>16582</v>
      </c>
      <c r="C412" s="71" t="s">
        <v>16817</v>
      </c>
    </row>
    <row r="413">
      <c r="A413" s="234" t="s">
        <v>17390</v>
      </c>
      <c r="B413" s="71" t="s">
        <v>175</v>
      </c>
      <c r="C413" s="71" t="s">
        <v>17391</v>
      </c>
    </row>
    <row r="414">
      <c r="A414" s="234" t="s">
        <v>17390</v>
      </c>
      <c r="B414" s="71" t="s">
        <v>17391</v>
      </c>
      <c r="C414" s="71" t="s">
        <v>175</v>
      </c>
    </row>
    <row r="415">
      <c r="A415" s="130" t="s">
        <v>17393</v>
      </c>
      <c r="B415" s="71" t="s">
        <v>175</v>
      </c>
      <c r="C415" s="71" t="s">
        <v>17394</v>
      </c>
    </row>
    <row r="416">
      <c r="A416" s="130" t="s">
        <v>17396</v>
      </c>
      <c r="B416" s="71" t="s">
        <v>175</v>
      </c>
      <c r="C416" s="71" t="s">
        <v>16842</v>
      </c>
    </row>
    <row r="417">
      <c r="A417" s="234" t="s">
        <v>17398</v>
      </c>
      <c r="B417" s="71" t="s">
        <v>17111</v>
      </c>
      <c r="C417" s="71" t="s">
        <v>17112</v>
      </c>
    </row>
    <row r="418">
      <c r="A418" s="234" t="s">
        <v>17398</v>
      </c>
      <c r="B418" s="71" t="s">
        <v>17112</v>
      </c>
      <c r="C418" s="71" t="s">
        <v>17111</v>
      </c>
    </row>
    <row r="419">
      <c r="A419" s="130" t="s">
        <v>17400</v>
      </c>
      <c r="B419" s="71" t="s">
        <v>16582</v>
      </c>
      <c r="C419" s="71" t="s">
        <v>16817</v>
      </c>
    </row>
    <row r="420">
      <c r="A420" s="130" t="s">
        <v>17402</v>
      </c>
      <c r="B420" s="71" t="s">
        <v>16582</v>
      </c>
      <c r="C420" s="71" t="s">
        <v>16817</v>
      </c>
    </row>
    <row r="421">
      <c r="A421" s="234" t="s">
        <v>17404</v>
      </c>
      <c r="B421" s="71" t="s">
        <v>16838</v>
      </c>
      <c r="C421" s="71" t="s">
        <v>17002</v>
      </c>
    </row>
    <row r="422">
      <c r="A422" s="234" t="s">
        <v>17404</v>
      </c>
      <c r="B422" s="71" t="s">
        <v>17002</v>
      </c>
      <c r="C422" s="71" t="s">
        <v>16838</v>
      </c>
    </row>
    <row r="423">
      <c r="A423" s="234" t="s">
        <v>17406</v>
      </c>
      <c r="B423" s="71" t="s">
        <v>16838</v>
      </c>
      <c r="C423" s="71" t="s">
        <v>17347</v>
      </c>
    </row>
    <row r="424">
      <c r="A424" s="234" t="s">
        <v>17406</v>
      </c>
      <c r="B424" s="71" t="s">
        <v>17347</v>
      </c>
      <c r="C424" s="71" t="s">
        <v>16838</v>
      </c>
    </row>
    <row r="425">
      <c r="A425" s="234" t="s">
        <v>17408</v>
      </c>
      <c r="B425" s="71" t="s">
        <v>17347</v>
      </c>
      <c r="C425" s="71" t="s">
        <v>16838</v>
      </c>
    </row>
    <row r="426">
      <c r="A426" s="234" t="s">
        <v>17408</v>
      </c>
      <c r="B426" s="71" t="s">
        <v>16838</v>
      </c>
      <c r="C426" s="71" t="s">
        <v>17347</v>
      </c>
    </row>
    <row r="427">
      <c r="A427" s="234" t="s">
        <v>17410</v>
      </c>
      <c r="B427" s="71" t="s">
        <v>17009</v>
      </c>
      <c r="C427" s="71" t="s">
        <v>169</v>
      </c>
    </row>
    <row r="428">
      <c r="A428" s="234" t="s">
        <v>17410</v>
      </c>
      <c r="B428" s="71" t="s">
        <v>169</v>
      </c>
      <c r="C428" s="71" t="s">
        <v>17009</v>
      </c>
    </row>
    <row r="429">
      <c r="A429" s="234" t="s">
        <v>17412</v>
      </c>
      <c r="B429" s="71" t="s">
        <v>16919</v>
      </c>
      <c r="C429" s="71" t="s">
        <v>17413</v>
      </c>
    </row>
    <row r="430">
      <c r="A430" s="234" t="s">
        <v>17412</v>
      </c>
      <c r="B430" s="71" t="s">
        <v>17413</v>
      </c>
      <c r="C430" s="71" t="s">
        <v>16919</v>
      </c>
    </row>
    <row r="431">
      <c r="A431" s="234" t="s">
        <v>17415</v>
      </c>
      <c r="B431" s="71" t="s">
        <v>16910</v>
      </c>
      <c r="C431" s="71" t="s">
        <v>16911</v>
      </c>
    </row>
    <row r="432">
      <c r="A432" s="234" t="s">
        <v>17415</v>
      </c>
      <c r="B432" s="71" t="s">
        <v>16911</v>
      </c>
      <c r="C432" s="71" t="s">
        <v>16910</v>
      </c>
    </row>
    <row r="433">
      <c r="A433" s="234" t="s">
        <v>17417</v>
      </c>
      <c r="B433" s="71" t="s">
        <v>158</v>
      </c>
      <c r="C433" s="71" t="s">
        <v>16864</v>
      </c>
    </row>
    <row r="434">
      <c r="A434" s="234" t="s">
        <v>17417</v>
      </c>
      <c r="B434" s="71" t="s">
        <v>16864</v>
      </c>
      <c r="C434" s="71" t="s">
        <v>158</v>
      </c>
    </row>
    <row r="435">
      <c r="A435" s="130" t="s">
        <v>17420</v>
      </c>
      <c r="B435" s="71" t="s">
        <v>16910</v>
      </c>
      <c r="C435" s="71" t="s">
        <v>16911</v>
      </c>
    </row>
    <row r="436">
      <c r="A436" s="234" t="s">
        <v>17422</v>
      </c>
      <c r="B436" s="71" t="s">
        <v>169</v>
      </c>
      <c r="C436" s="71" t="s">
        <v>16899</v>
      </c>
    </row>
    <row r="437">
      <c r="A437" s="234" t="s">
        <v>17422</v>
      </c>
      <c r="B437" s="71" t="s">
        <v>16899</v>
      </c>
      <c r="C437" s="71" t="s">
        <v>169</v>
      </c>
    </row>
    <row r="438">
      <c r="A438" s="71"/>
      <c r="B438" s="71"/>
      <c r="C438" s="71"/>
    </row>
    <row r="439">
      <c r="A439" s="130" t="s">
        <v>17424</v>
      </c>
      <c r="B439" s="71"/>
      <c r="C439" s="71"/>
    </row>
    <row r="440">
      <c r="A440" s="130" t="s">
        <v>17426</v>
      </c>
      <c r="B440" s="71" t="s">
        <v>17111</v>
      </c>
      <c r="C440" s="71" t="s">
        <v>17112</v>
      </c>
    </row>
    <row r="441">
      <c r="A441" s="71"/>
      <c r="B441" s="71"/>
      <c r="C441" s="71"/>
    </row>
    <row r="442">
      <c r="A442" s="130" t="s">
        <v>17428</v>
      </c>
      <c r="B442" s="71" t="s">
        <v>169</v>
      </c>
      <c r="C442" s="71" t="s">
        <v>17043</v>
      </c>
    </row>
    <row r="443">
      <c r="A443" s="71"/>
      <c r="B443" s="71"/>
      <c r="C443" s="71"/>
    </row>
    <row r="444">
      <c r="A444" s="130" t="s">
        <v>17430</v>
      </c>
      <c r="B444" s="71" t="s">
        <v>16911</v>
      </c>
      <c r="C444" s="71" t="s">
        <v>16910</v>
      </c>
    </row>
    <row r="445">
      <c r="A445" s="71"/>
      <c r="B445" s="71"/>
      <c r="C445" s="71"/>
    </row>
    <row r="446">
      <c r="A446" s="130" t="s">
        <v>17432</v>
      </c>
      <c r="B446" s="71" t="s">
        <v>17048</v>
      </c>
      <c r="C446" s="71" t="s">
        <v>16919</v>
      </c>
    </row>
    <row r="447">
      <c r="A447" s="71"/>
      <c r="B447" s="71"/>
      <c r="C447" s="71"/>
    </row>
    <row r="448">
      <c r="A448" s="130" t="s">
        <v>17434</v>
      </c>
      <c r="B448" s="71" t="s">
        <v>17435</v>
      </c>
      <c r="C448" s="71" t="s">
        <v>16582</v>
      </c>
    </row>
    <row r="449">
      <c r="A449" s="234" t="s">
        <v>17437</v>
      </c>
      <c r="B449" s="71" t="s">
        <v>187</v>
      </c>
      <c r="C449" s="71" t="s">
        <v>16846</v>
      </c>
    </row>
    <row r="450">
      <c r="A450" s="234" t="s">
        <v>17437</v>
      </c>
      <c r="B450" s="71" t="s">
        <v>16846</v>
      </c>
      <c r="C450" s="71" t="s">
        <v>187</v>
      </c>
    </row>
    <row r="451">
      <c r="A451" s="234" t="s">
        <v>17439</v>
      </c>
      <c r="B451" s="71" t="s">
        <v>16919</v>
      </c>
      <c r="C451" s="71" t="s">
        <v>16920</v>
      </c>
    </row>
    <row r="452">
      <c r="A452" s="234" t="s">
        <v>17439</v>
      </c>
      <c r="B452" s="71" t="s">
        <v>16920</v>
      </c>
      <c r="C452" s="71" t="s">
        <v>16919</v>
      </c>
    </row>
    <row r="453">
      <c r="A453" s="234" t="s">
        <v>17441</v>
      </c>
      <c r="B453" s="71" t="s">
        <v>169</v>
      </c>
      <c r="C453" s="71" t="s">
        <v>17442</v>
      </c>
    </row>
    <row r="454">
      <c r="A454" s="234" t="s">
        <v>17441</v>
      </c>
      <c r="B454" s="71" t="s">
        <v>17442</v>
      </c>
      <c r="C454" s="71" t="s">
        <v>169</v>
      </c>
    </row>
    <row r="455">
      <c r="A455" s="130" t="s">
        <v>17444</v>
      </c>
      <c r="B455" s="71" t="s">
        <v>16582</v>
      </c>
      <c r="C455" s="71" t="s">
        <v>16828</v>
      </c>
    </row>
    <row r="456">
      <c r="A456" s="130" t="s">
        <v>17446</v>
      </c>
      <c r="B456" s="71" t="s">
        <v>175</v>
      </c>
      <c r="C456" s="71" t="s">
        <v>17084</v>
      </c>
    </row>
    <row r="457">
      <c r="A457" s="234" t="s">
        <v>17448</v>
      </c>
      <c r="B457" s="71" t="s">
        <v>158</v>
      </c>
      <c r="C457" s="71" t="s">
        <v>16870</v>
      </c>
    </row>
    <row r="458">
      <c r="A458" s="234" t="s">
        <v>17448</v>
      </c>
      <c r="B458" s="71" t="s">
        <v>16870</v>
      </c>
      <c r="C458" s="71" t="s">
        <v>158</v>
      </c>
    </row>
    <row r="459">
      <c r="A459" s="130" t="s">
        <v>17451</v>
      </c>
      <c r="B459" s="71" t="s">
        <v>175</v>
      </c>
      <c r="C459" s="71" t="s">
        <v>17452</v>
      </c>
    </row>
    <row r="460">
      <c r="A460" s="234" t="s">
        <v>17454</v>
      </c>
      <c r="B460" s="71" t="s">
        <v>16919</v>
      </c>
      <c r="C460" s="71" t="s">
        <v>17176</v>
      </c>
    </row>
    <row r="461">
      <c r="A461" s="234" t="s">
        <v>17454</v>
      </c>
      <c r="B461" s="71" t="s">
        <v>17176</v>
      </c>
      <c r="C461" s="71" t="s">
        <v>16919</v>
      </c>
    </row>
    <row r="462">
      <c r="A462" s="234" t="s">
        <v>17456</v>
      </c>
      <c r="B462" s="71" t="s">
        <v>175</v>
      </c>
      <c r="C462" s="71" t="s">
        <v>17457</v>
      </c>
    </row>
    <row r="463">
      <c r="A463" s="234" t="s">
        <v>17456</v>
      </c>
      <c r="B463" s="71" t="s">
        <v>17457</v>
      </c>
      <c r="C463" s="71" t="s">
        <v>175</v>
      </c>
    </row>
    <row r="464">
      <c r="A464" s="234" t="s">
        <v>17459</v>
      </c>
      <c r="B464" s="71" t="s">
        <v>175</v>
      </c>
      <c r="C464" s="71" t="s">
        <v>17168</v>
      </c>
    </row>
    <row r="465">
      <c r="A465" s="234" t="s">
        <v>17459</v>
      </c>
      <c r="B465" s="71" t="s">
        <v>17168</v>
      </c>
      <c r="C465" s="71" t="s">
        <v>175</v>
      </c>
    </row>
    <row r="466">
      <c r="A466" s="234" t="s">
        <v>17461</v>
      </c>
      <c r="B466" s="71" t="s">
        <v>17111</v>
      </c>
      <c r="C466" s="71" t="s">
        <v>17112</v>
      </c>
    </row>
    <row r="467">
      <c r="A467" s="234" t="s">
        <v>17461</v>
      </c>
      <c r="B467" s="71" t="s">
        <v>17112</v>
      </c>
      <c r="C467" s="71" t="s">
        <v>17111</v>
      </c>
    </row>
    <row r="468">
      <c r="A468" s="234" t="s">
        <v>17463</v>
      </c>
      <c r="B468" s="71" t="s">
        <v>16867</v>
      </c>
      <c r="C468" s="71" t="s">
        <v>16838</v>
      </c>
    </row>
    <row r="469">
      <c r="A469" s="234" t="s">
        <v>17463</v>
      </c>
      <c r="B469" s="71" t="s">
        <v>16838</v>
      </c>
      <c r="C469" s="71" t="s">
        <v>16867</v>
      </c>
    </row>
    <row r="470">
      <c r="A470" s="234" t="s">
        <v>17465</v>
      </c>
      <c r="B470" s="71" t="s">
        <v>16919</v>
      </c>
      <c r="C470" s="71" t="s">
        <v>16920</v>
      </c>
    </row>
    <row r="471">
      <c r="A471" s="234" t="s">
        <v>17465</v>
      </c>
      <c r="B471" s="71" t="s">
        <v>16920</v>
      </c>
      <c r="C471" s="71" t="s">
        <v>16919</v>
      </c>
    </row>
    <row r="472">
      <c r="A472" s="234" t="s">
        <v>17467</v>
      </c>
      <c r="B472" s="71" t="s">
        <v>175</v>
      </c>
      <c r="C472" s="71" t="s">
        <v>16878</v>
      </c>
    </row>
    <row r="473">
      <c r="A473" s="234" t="s">
        <v>17467</v>
      </c>
      <c r="B473" s="71" t="s">
        <v>16878</v>
      </c>
      <c r="C473" s="71" t="s">
        <v>175</v>
      </c>
    </row>
    <row r="474">
      <c r="A474" s="234" t="s">
        <v>17469</v>
      </c>
      <c r="B474" s="71" t="s">
        <v>16919</v>
      </c>
      <c r="C474" s="71" t="s">
        <v>17413</v>
      </c>
    </row>
    <row r="475">
      <c r="A475" s="234" t="s">
        <v>17469</v>
      </c>
      <c r="B475" s="71" t="s">
        <v>17413</v>
      </c>
      <c r="C475" s="130" t="s">
        <v>16919</v>
      </c>
    </row>
    <row r="476">
      <c r="A476" s="130" t="s">
        <v>17472</v>
      </c>
      <c r="B476" s="71" t="s">
        <v>16919</v>
      </c>
      <c r="C476" s="71" t="s">
        <v>17048</v>
      </c>
    </row>
    <row r="477">
      <c r="A477" s="234" t="s">
        <v>17474</v>
      </c>
      <c r="B477" s="71" t="s">
        <v>175</v>
      </c>
      <c r="C477" s="71" t="s">
        <v>17475</v>
      </c>
    </row>
    <row r="478">
      <c r="A478" s="234" t="s">
        <v>17474</v>
      </c>
      <c r="B478" s="71" t="s">
        <v>17475</v>
      </c>
      <c r="C478" s="71" t="s">
        <v>175</v>
      </c>
    </row>
    <row r="479">
      <c r="A479" s="234" t="s">
        <v>17477</v>
      </c>
      <c r="B479" s="71" t="s">
        <v>175</v>
      </c>
      <c r="C479" s="71" t="s">
        <v>16854</v>
      </c>
    </row>
    <row r="480">
      <c r="A480" s="234" t="s">
        <v>17477</v>
      </c>
      <c r="B480" s="71" t="s">
        <v>16854</v>
      </c>
      <c r="C480" s="71" t="s">
        <v>175</v>
      </c>
    </row>
    <row r="481">
      <c r="A481" s="130" t="s">
        <v>17479</v>
      </c>
      <c r="B481" s="71" t="s">
        <v>175</v>
      </c>
      <c r="C481" s="71" t="s">
        <v>17480</v>
      </c>
    </row>
    <row r="482">
      <c r="A482" s="130" t="s">
        <v>17482</v>
      </c>
      <c r="B482" s="71" t="s">
        <v>16910</v>
      </c>
      <c r="C482" s="71" t="s">
        <v>17119</v>
      </c>
    </row>
    <row r="483">
      <c r="A483" s="130" t="s">
        <v>17484</v>
      </c>
      <c r="B483" s="71" t="s">
        <v>187</v>
      </c>
      <c r="C483" s="71" t="s">
        <v>16858</v>
      </c>
    </row>
    <row r="484">
      <c r="A484" s="234" t="s">
        <v>17486</v>
      </c>
      <c r="B484" s="71" t="s">
        <v>17256</v>
      </c>
      <c r="C484" s="71" t="s">
        <v>187</v>
      </c>
    </row>
    <row r="485">
      <c r="A485" s="234" t="s">
        <v>17486</v>
      </c>
      <c r="B485" s="71" t="s">
        <v>187</v>
      </c>
      <c r="C485" s="71" t="s">
        <v>17256</v>
      </c>
    </row>
    <row r="486">
      <c r="A486" s="234" t="s">
        <v>17488</v>
      </c>
      <c r="B486" s="71" t="s">
        <v>16867</v>
      </c>
      <c r="C486" s="71" t="s">
        <v>16838</v>
      </c>
    </row>
    <row r="487">
      <c r="A487" s="234" t="s">
        <v>17488</v>
      </c>
      <c r="B487" s="71" t="s">
        <v>16838</v>
      </c>
      <c r="C487" s="71" t="s">
        <v>16867</v>
      </c>
    </row>
    <row r="488">
      <c r="A488" s="234" t="s">
        <v>17490</v>
      </c>
      <c r="B488" s="71" t="s">
        <v>16582</v>
      </c>
      <c r="C488" s="71" t="s">
        <v>16899</v>
      </c>
    </row>
    <row r="489">
      <c r="A489" s="234" t="s">
        <v>17490</v>
      </c>
      <c r="B489" s="71" t="s">
        <v>16899</v>
      </c>
      <c r="C489" s="71" t="s">
        <v>16582</v>
      </c>
    </row>
    <row r="490">
      <c r="A490" s="234" t="s">
        <v>17492</v>
      </c>
      <c r="B490" s="71" t="s">
        <v>175</v>
      </c>
      <c r="C490" s="71" t="s">
        <v>16842</v>
      </c>
    </row>
    <row r="491">
      <c r="A491" s="234" t="s">
        <v>17492</v>
      </c>
      <c r="B491" s="71" t="s">
        <v>16842</v>
      </c>
      <c r="C491" s="71" t="s">
        <v>175</v>
      </c>
    </row>
    <row r="492">
      <c r="A492" s="234" t="s">
        <v>17494</v>
      </c>
      <c r="B492" s="71" t="s">
        <v>17495</v>
      </c>
      <c r="C492" s="71" t="s">
        <v>169</v>
      </c>
    </row>
    <row r="493">
      <c r="A493" s="234" t="s">
        <v>17494</v>
      </c>
      <c r="B493" s="71" t="s">
        <v>169</v>
      </c>
      <c r="C493" s="71" t="s">
        <v>17495</v>
      </c>
    </row>
    <row r="494">
      <c r="A494" s="130" t="s">
        <v>17497</v>
      </c>
      <c r="B494" s="71" t="s">
        <v>16919</v>
      </c>
      <c r="C494" s="71" t="s">
        <v>17176</v>
      </c>
    </row>
    <row r="495">
      <c r="A495" s="234" t="s">
        <v>17499</v>
      </c>
      <c r="B495" s="71" t="s">
        <v>16867</v>
      </c>
      <c r="C495" s="71" t="s">
        <v>16838</v>
      </c>
    </row>
    <row r="496">
      <c r="A496" s="234" t="s">
        <v>17499</v>
      </c>
      <c r="B496" s="71" t="s">
        <v>16838</v>
      </c>
      <c r="C496" s="71" t="s">
        <v>16867</v>
      </c>
    </row>
    <row r="497">
      <c r="A497" s="234" t="s">
        <v>17501</v>
      </c>
      <c r="B497" s="71" t="s">
        <v>16910</v>
      </c>
      <c r="C497" s="71" t="s">
        <v>17502</v>
      </c>
    </row>
    <row r="498">
      <c r="A498" s="234" t="s">
        <v>17501</v>
      </c>
      <c r="B498" s="71" t="s">
        <v>17502</v>
      </c>
      <c r="C498" s="71" t="s">
        <v>16910</v>
      </c>
    </row>
    <row r="499">
      <c r="A499" s="130" t="s">
        <v>17504</v>
      </c>
      <c r="B499" s="71" t="s">
        <v>16582</v>
      </c>
      <c r="C499" s="71" t="s">
        <v>16995</v>
      </c>
    </row>
    <row r="500">
      <c r="A500" s="234" t="s">
        <v>17506</v>
      </c>
      <c r="B500" s="71" t="s">
        <v>17111</v>
      </c>
      <c r="C500" s="71" t="s">
        <v>17112</v>
      </c>
    </row>
    <row r="501">
      <c r="A501" s="234" t="s">
        <v>17506</v>
      </c>
      <c r="B501" s="71" t="s">
        <v>17112</v>
      </c>
      <c r="C501" s="71" t="s">
        <v>17111</v>
      </c>
    </row>
    <row r="502">
      <c r="A502" s="234" t="s">
        <v>17508</v>
      </c>
      <c r="B502" s="71" t="s">
        <v>17509</v>
      </c>
      <c r="C502" s="71" t="s">
        <v>187</v>
      </c>
    </row>
    <row r="503">
      <c r="A503" s="234" t="s">
        <v>17508</v>
      </c>
      <c r="B503" s="71" t="s">
        <v>187</v>
      </c>
      <c r="C503" s="71" t="s">
        <v>17509</v>
      </c>
    </row>
    <row r="504">
      <c r="A504" s="130" t="s">
        <v>17511</v>
      </c>
      <c r="B504" s="71" t="s">
        <v>16919</v>
      </c>
      <c r="C504" s="71" t="s">
        <v>17048</v>
      </c>
    </row>
    <row r="505">
      <c r="A505" s="234" t="s">
        <v>17513</v>
      </c>
      <c r="B505" s="71" t="s">
        <v>158</v>
      </c>
      <c r="C505" s="71" t="s">
        <v>16864</v>
      </c>
    </row>
    <row r="506">
      <c r="A506" s="234" t="s">
        <v>17513</v>
      </c>
      <c r="B506" s="71" t="s">
        <v>16864</v>
      </c>
      <c r="C506" s="71" t="s">
        <v>158</v>
      </c>
    </row>
    <row r="507">
      <c r="A507" s="234" t="s">
        <v>17515</v>
      </c>
      <c r="B507" s="71" t="s">
        <v>17127</v>
      </c>
      <c r="C507" s="71" t="s">
        <v>16838</v>
      </c>
    </row>
    <row r="508">
      <c r="A508" s="234" t="s">
        <v>17515</v>
      </c>
      <c r="B508" s="71" t="s">
        <v>16838</v>
      </c>
      <c r="C508" s="71" t="s">
        <v>17127</v>
      </c>
    </row>
    <row r="509">
      <c r="A509" s="234" t="s">
        <v>17517</v>
      </c>
      <c r="B509" s="71" t="s">
        <v>16910</v>
      </c>
      <c r="C509" s="71" t="s">
        <v>17119</v>
      </c>
    </row>
    <row r="510">
      <c r="A510" s="234" t="s">
        <v>17517</v>
      </c>
      <c r="B510" s="71" t="s">
        <v>17119</v>
      </c>
      <c r="C510" s="71" t="s">
        <v>16910</v>
      </c>
    </row>
    <row r="511">
      <c r="A511" s="234" t="s">
        <v>17519</v>
      </c>
      <c r="B511" s="71" t="s">
        <v>16851</v>
      </c>
      <c r="C511" s="71" t="s">
        <v>187</v>
      </c>
    </row>
    <row r="512">
      <c r="A512" s="234" t="s">
        <v>17519</v>
      </c>
      <c r="B512" s="71" t="s">
        <v>187</v>
      </c>
      <c r="C512" s="71" t="s">
        <v>16851</v>
      </c>
    </row>
    <row r="513">
      <c r="A513" s="130" t="s">
        <v>17521</v>
      </c>
      <c r="B513" s="71" t="s">
        <v>175</v>
      </c>
      <c r="C513" s="71" t="s">
        <v>16842</v>
      </c>
    </row>
    <row r="514">
      <c r="A514" s="234" t="s">
        <v>17523</v>
      </c>
      <c r="B514" s="71" t="s">
        <v>16910</v>
      </c>
      <c r="C514" s="71" t="s">
        <v>17119</v>
      </c>
    </row>
    <row r="515">
      <c r="A515" s="234" t="s">
        <v>17523</v>
      </c>
      <c r="B515" s="71" t="s">
        <v>17119</v>
      </c>
      <c r="C515" s="71" t="s">
        <v>16910</v>
      </c>
    </row>
    <row r="516">
      <c r="A516" s="234" t="s">
        <v>17525</v>
      </c>
      <c r="B516" s="71" t="s">
        <v>16582</v>
      </c>
      <c r="C516" s="71" t="s">
        <v>16828</v>
      </c>
    </row>
    <row r="517">
      <c r="A517" s="234" t="s">
        <v>17525</v>
      </c>
      <c r="B517" s="71" t="s">
        <v>16828</v>
      </c>
      <c r="C517" s="71" t="s">
        <v>16582</v>
      </c>
    </row>
    <row r="518">
      <c r="A518" s="234" t="s">
        <v>17527</v>
      </c>
      <c r="B518" s="71" t="s">
        <v>17111</v>
      </c>
      <c r="C518" s="71" t="s">
        <v>17112</v>
      </c>
    </row>
    <row r="519">
      <c r="A519" s="234" t="s">
        <v>17527</v>
      </c>
      <c r="B519" s="71" t="s">
        <v>17112</v>
      </c>
      <c r="C519" s="71" t="s">
        <v>17111</v>
      </c>
    </row>
    <row r="520">
      <c r="A520" s="234" t="s">
        <v>17529</v>
      </c>
      <c r="B520" s="71" t="s">
        <v>16919</v>
      </c>
      <c r="C520" s="71" t="s">
        <v>17048</v>
      </c>
    </row>
    <row r="521">
      <c r="A521" s="234" t="s">
        <v>17529</v>
      </c>
      <c r="B521" s="71" t="s">
        <v>17048</v>
      </c>
      <c r="C521" s="71" t="s">
        <v>16919</v>
      </c>
    </row>
    <row r="522">
      <c r="A522" s="234" t="s">
        <v>17531</v>
      </c>
      <c r="B522" s="71" t="s">
        <v>17532</v>
      </c>
      <c r="C522" s="71" t="s">
        <v>169</v>
      </c>
    </row>
    <row r="523">
      <c r="A523" s="234" t="s">
        <v>17531</v>
      </c>
      <c r="B523" s="71" t="s">
        <v>169</v>
      </c>
      <c r="C523" s="71" t="s">
        <v>17532</v>
      </c>
    </row>
    <row r="524">
      <c r="A524" s="234" t="s">
        <v>17534</v>
      </c>
      <c r="B524" s="71" t="s">
        <v>16919</v>
      </c>
      <c r="C524" s="71" t="s">
        <v>16864</v>
      </c>
    </row>
    <row r="525">
      <c r="A525" s="234" t="s">
        <v>17534</v>
      </c>
      <c r="B525" s="71" t="s">
        <v>16864</v>
      </c>
      <c r="C525" s="71" t="s">
        <v>16919</v>
      </c>
    </row>
    <row r="526">
      <c r="A526" s="234" t="s">
        <v>17536</v>
      </c>
      <c r="B526" s="71" t="s">
        <v>175</v>
      </c>
      <c r="C526" s="71" t="s">
        <v>16878</v>
      </c>
    </row>
    <row r="527">
      <c r="A527" s="234" t="s">
        <v>17536</v>
      </c>
      <c r="B527" s="71" t="s">
        <v>16878</v>
      </c>
      <c r="C527" s="71" t="s">
        <v>175</v>
      </c>
    </row>
    <row r="528">
      <c r="A528" s="130" t="s">
        <v>17538</v>
      </c>
      <c r="B528" s="71" t="s">
        <v>16582</v>
      </c>
      <c r="C528" s="71" t="s">
        <v>16583</v>
      </c>
    </row>
    <row r="529">
      <c r="A529" s="234" t="s">
        <v>17540</v>
      </c>
      <c r="B529" s="71"/>
      <c r="C529" s="71"/>
    </row>
    <row r="530">
      <c r="A530" s="234" t="s">
        <v>17540</v>
      </c>
      <c r="B530" s="71"/>
      <c r="C530" s="71"/>
    </row>
    <row r="531">
      <c r="A531" s="234" t="s">
        <v>17542</v>
      </c>
      <c r="B531" s="71" t="s">
        <v>175</v>
      </c>
      <c r="C531" s="71" t="s">
        <v>16842</v>
      </c>
    </row>
    <row r="532">
      <c r="A532" s="234" t="s">
        <v>17542</v>
      </c>
      <c r="B532" s="71" t="s">
        <v>16842</v>
      </c>
      <c r="C532" s="71" t="s">
        <v>175</v>
      </c>
    </row>
    <row r="533">
      <c r="A533" s="234" t="s">
        <v>17544</v>
      </c>
      <c r="B533" s="71" t="s">
        <v>175</v>
      </c>
      <c r="C533" s="71" t="s">
        <v>17545</v>
      </c>
    </row>
    <row r="534">
      <c r="A534" s="234" t="s">
        <v>17544</v>
      </c>
      <c r="B534" s="71" t="s">
        <v>17545</v>
      </c>
      <c r="C534" s="71" t="s">
        <v>175</v>
      </c>
    </row>
    <row r="535">
      <c r="A535" s="234" t="s">
        <v>17547</v>
      </c>
      <c r="B535" s="71" t="s">
        <v>16919</v>
      </c>
      <c r="C535" s="71" t="s">
        <v>16920</v>
      </c>
    </row>
    <row r="536">
      <c r="A536" s="234" t="s">
        <v>17547</v>
      </c>
      <c r="B536" s="71" t="s">
        <v>16920</v>
      </c>
      <c r="C536" s="71" t="s">
        <v>16919</v>
      </c>
    </row>
    <row r="537">
      <c r="A537" s="234" t="s">
        <v>17549</v>
      </c>
      <c r="B537" s="71" t="s">
        <v>175</v>
      </c>
      <c r="C537" s="71" t="s">
        <v>17168</v>
      </c>
    </row>
    <row r="538">
      <c r="A538" s="234" t="s">
        <v>17549</v>
      </c>
      <c r="B538" s="71" t="s">
        <v>17168</v>
      </c>
      <c r="C538" s="71" t="s">
        <v>175</v>
      </c>
    </row>
    <row r="539">
      <c r="A539" s="234" t="s">
        <v>17551</v>
      </c>
      <c r="B539" s="71" t="s">
        <v>17552</v>
      </c>
      <c r="C539" s="71" t="s">
        <v>187</v>
      </c>
    </row>
    <row r="540">
      <c r="A540" s="234" t="s">
        <v>17551</v>
      </c>
      <c r="B540" s="71" t="s">
        <v>187</v>
      </c>
      <c r="C540" s="71" t="s">
        <v>17552</v>
      </c>
    </row>
    <row r="541">
      <c r="A541" s="130" t="s">
        <v>17554</v>
      </c>
      <c r="B541" s="71" t="s">
        <v>187</v>
      </c>
      <c r="C541" s="71" t="s">
        <v>16969</v>
      </c>
    </row>
    <row r="542">
      <c r="A542" s="234" t="s">
        <v>17556</v>
      </c>
      <c r="B542" s="71" t="s">
        <v>17111</v>
      </c>
      <c r="C542" s="71" t="s">
        <v>17112</v>
      </c>
    </row>
    <row r="543">
      <c r="A543" s="234" t="s">
        <v>17556</v>
      </c>
      <c r="B543" s="71" t="s">
        <v>17112</v>
      </c>
      <c r="C543" s="71" t="s">
        <v>17111</v>
      </c>
    </row>
    <row r="544">
      <c r="A544" s="234" t="s">
        <v>17558</v>
      </c>
      <c r="B544" s="71" t="s">
        <v>187</v>
      </c>
      <c r="C544" s="71" t="s">
        <v>17559</v>
      </c>
    </row>
    <row r="545">
      <c r="A545" s="234" t="s">
        <v>17558</v>
      </c>
      <c r="B545" s="71" t="s">
        <v>17559</v>
      </c>
      <c r="C545" s="71" t="s">
        <v>187</v>
      </c>
    </row>
    <row r="546">
      <c r="A546" s="130" t="s">
        <v>17561</v>
      </c>
      <c r="B546" s="71" t="s">
        <v>16582</v>
      </c>
      <c r="C546" s="71" t="s">
        <v>16817</v>
      </c>
    </row>
    <row r="547">
      <c r="A547" s="130" t="s">
        <v>17563</v>
      </c>
      <c r="B547" s="71" t="s">
        <v>187</v>
      </c>
      <c r="C547" s="71" t="s">
        <v>17564</v>
      </c>
    </row>
    <row r="548">
      <c r="A548" s="234" t="s">
        <v>17566</v>
      </c>
      <c r="B548" s="71" t="s">
        <v>175</v>
      </c>
      <c r="C548" s="71" t="s">
        <v>16942</v>
      </c>
    </row>
    <row r="549">
      <c r="A549" s="234" t="s">
        <v>17566</v>
      </c>
      <c r="B549" s="71" t="s">
        <v>16942</v>
      </c>
      <c r="C549" s="71" t="s">
        <v>175</v>
      </c>
    </row>
    <row r="550">
      <c r="A550" s="234" t="s">
        <v>17568</v>
      </c>
      <c r="B550" s="71" t="s">
        <v>158</v>
      </c>
      <c r="C550" s="71" t="s">
        <v>16864</v>
      </c>
    </row>
    <row r="551">
      <c r="A551" s="234" t="s">
        <v>17568</v>
      </c>
      <c r="B551" s="71" t="s">
        <v>16864</v>
      </c>
      <c r="C551" s="71" t="s">
        <v>158</v>
      </c>
    </row>
    <row r="552">
      <c r="A552" s="234" t="s">
        <v>17570</v>
      </c>
      <c r="B552" s="71" t="s">
        <v>16957</v>
      </c>
      <c r="C552" s="71" t="s">
        <v>16926</v>
      </c>
    </row>
    <row r="553">
      <c r="A553" s="234" t="s">
        <v>17570</v>
      </c>
      <c r="B553" s="71" t="s">
        <v>16926</v>
      </c>
      <c r="C553" s="71" t="s">
        <v>16957</v>
      </c>
    </row>
    <row r="554">
      <c r="A554" s="234" t="s">
        <v>17572</v>
      </c>
      <c r="B554" s="71" t="s">
        <v>16867</v>
      </c>
      <c r="C554" s="71" t="s">
        <v>16838</v>
      </c>
    </row>
    <row r="555">
      <c r="A555" s="234" t="s">
        <v>17572</v>
      </c>
      <c r="B555" s="71" t="s">
        <v>16838</v>
      </c>
      <c r="C555" s="71" t="s">
        <v>16867</v>
      </c>
    </row>
    <row r="556">
      <c r="A556" s="234" t="s">
        <v>17574</v>
      </c>
      <c r="B556" s="71" t="s">
        <v>169</v>
      </c>
      <c r="C556" s="71" t="s">
        <v>16899</v>
      </c>
    </row>
    <row r="557">
      <c r="A557" s="234" t="s">
        <v>17574</v>
      </c>
      <c r="B557" s="71" t="s">
        <v>16899</v>
      </c>
      <c r="C557" s="71" t="s">
        <v>169</v>
      </c>
    </row>
    <row r="558">
      <c r="A558" s="130" t="s">
        <v>47</v>
      </c>
      <c r="B558" s="71" t="s">
        <v>169</v>
      </c>
      <c r="C558" s="71" t="s">
        <v>16899</v>
      </c>
    </row>
    <row r="559">
      <c r="A559" s="234" t="s">
        <v>17577</v>
      </c>
      <c r="B559" s="71"/>
      <c r="C559" s="71"/>
    </row>
    <row r="560">
      <c r="A560" s="234" t="s">
        <v>17577</v>
      </c>
      <c r="B560" s="71"/>
      <c r="C560" s="71"/>
    </row>
    <row r="561">
      <c r="A561" s="234" t="s">
        <v>17579</v>
      </c>
      <c r="B561" s="71" t="s">
        <v>169</v>
      </c>
      <c r="C561" s="71" t="s">
        <v>16899</v>
      </c>
    </row>
    <row r="562">
      <c r="A562" s="234" t="s">
        <v>17579</v>
      </c>
      <c r="B562" s="71" t="s">
        <v>16899</v>
      </c>
      <c r="C562" s="71" t="s">
        <v>169</v>
      </c>
    </row>
    <row r="563">
      <c r="A563" s="234" t="s">
        <v>17581</v>
      </c>
      <c r="B563" s="71" t="s">
        <v>175</v>
      </c>
      <c r="C563" s="71" t="s">
        <v>17457</v>
      </c>
    </row>
    <row r="564">
      <c r="A564" s="234" t="s">
        <v>17581</v>
      </c>
      <c r="B564" s="71" t="s">
        <v>17457</v>
      </c>
      <c r="C564" s="71" t="s">
        <v>175</v>
      </c>
    </row>
    <row r="565">
      <c r="A565" s="234" t="s">
        <v>17583</v>
      </c>
      <c r="B565" s="71" t="s">
        <v>16945</v>
      </c>
      <c r="C565" s="71" t="s">
        <v>169</v>
      </c>
    </row>
    <row r="566">
      <c r="A566" s="234" t="s">
        <v>17583</v>
      </c>
      <c r="B566" s="71" t="s">
        <v>169</v>
      </c>
      <c r="C566" s="71" t="s">
        <v>16945</v>
      </c>
    </row>
    <row r="567">
      <c r="A567" s="130" t="s">
        <v>17585</v>
      </c>
      <c r="B567" s="71" t="s">
        <v>169</v>
      </c>
      <c r="C567" s="71" t="s">
        <v>17321</v>
      </c>
    </row>
    <row r="568">
      <c r="A568" s="234" t="s">
        <v>17587</v>
      </c>
      <c r="B568" s="71" t="s">
        <v>169</v>
      </c>
      <c r="C568" s="71" t="s">
        <v>16899</v>
      </c>
    </row>
    <row r="569">
      <c r="A569" s="234" t="s">
        <v>17587</v>
      </c>
      <c r="B569" s="71" t="s">
        <v>16899</v>
      </c>
      <c r="C569" s="71" t="s">
        <v>169</v>
      </c>
    </row>
    <row r="570">
      <c r="A570" s="130" t="s">
        <v>17589</v>
      </c>
      <c r="B570" s="71" t="s">
        <v>175</v>
      </c>
      <c r="C570" s="71" t="s">
        <v>16854</v>
      </c>
    </row>
    <row r="571">
      <c r="A571" s="130" t="s">
        <v>17591</v>
      </c>
      <c r="B571" s="71" t="s">
        <v>175</v>
      </c>
      <c r="C571" s="71" t="s">
        <v>16890</v>
      </c>
    </row>
    <row r="572">
      <c r="A572" s="234" t="s">
        <v>17593</v>
      </c>
      <c r="B572" s="71" t="s">
        <v>158</v>
      </c>
      <c r="C572" s="71" t="s">
        <v>17171</v>
      </c>
    </row>
    <row r="573">
      <c r="A573" s="234" t="s">
        <v>17593</v>
      </c>
      <c r="B573" s="71" t="s">
        <v>17171</v>
      </c>
      <c r="C573" s="71" t="s">
        <v>158</v>
      </c>
    </row>
    <row r="574">
      <c r="A574" s="234" t="s">
        <v>17595</v>
      </c>
      <c r="B574" s="71" t="s">
        <v>175</v>
      </c>
      <c r="C574" s="71" t="s">
        <v>17391</v>
      </c>
    </row>
    <row r="575">
      <c r="A575" s="234" t="s">
        <v>17595</v>
      </c>
      <c r="B575" s="71" t="s">
        <v>17391</v>
      </c>
      <c r="C575" s="71" t="s">
        <v>175</v>
      </c>
    </row>
    <row r="576">
      <c r="A576" s="234" t="s">
        <v>17597</v>
      </c>
      <c r="B576" s="71" t="s">
        <v>16838</v>
      </c>
      <c r="C576" s="71" t="s">
        <v>17127</v>
      </c>
    </row>
    <row r="577">
      <c r="A577" s="234" t="s">
        <v>17597</v>
      </c>
      <c r="B577" s="71" t="s">
        <v>17127</v>
      </c>
      <c r="C577" s="71" t="s">
        <v>16838</v>
      </c>
    </row>
    <row r="578">
      <c r="A578" s="234" t="s">
        <v>17599</v>
      </c>
      <c r="B578" s="71"/>
      <c r="C578" s="71"/>
    </row>
    <row r="579">
      <c r="A579" s="234" t="s">
        <v>17599</v>
      </c>
      <c r="B579" s="71"/>
      <c r="C579" s="71"/>
    </row>
    <row r="580">
      <c r="A580" s="130" t="s">
        <v>17601</v>
      </c>
      <c r="B580" s="71" t="s">
        <v>16582</v>
      </c>
      <c r="C580" s="71" t="s">
        <v>16817</v>
      </c>
    </row>
    <row r="581">
      <c r="A581" s="234" t="s">
        <v>17603</v>
      </c>
      <c r="B581" s="71" t="s">
        <v>16838</v>
      </c>
      <c r="C581" s="71" t="s">
        <v>17202</v>
      </c>
    </row>
    <row r="582">
      <c r="A582" s="234" t="s">
        <v>17603</v>
      </c>
      <c r="B582" s="71" t="s">
        <v>17202</v>
      </c>
      <c r="C582" s="71" t="s">
        <v>16838</v>
      </c>
    </row>
    <row r="583">
      <c r="A583" s="234" t="s">
        <v>17605</v>
      </c>
      <c r="B583" s="71" t="s">
        <v>175</v>
      </c>
      <c r="C583" s="71" t="s">
        <v>17606</v>
      </c>
    </row>
    <row r="584">
      <c r="A584" s="234" t="s">
        <v>17605</v>
      </c>
      <c r="B584" s="71" t="s">
        <v>17606</v>
      </c>
      <c r="C584" s="71" t="s">
        <v>175</v>
      </c>
    </row>
    <row r="585">
      <c r="A585" s="234" t="s">
        <v>17608</v>
      </c>
      <c r="B585" s="71" t="s">
        <v>16919</v>
      </c>
      <c r="C585" s="71" t="s">
        <v>17176</v>
      </c>
    </row>
    <row r="586">
      <c r="A586" s="234" t="s">
        <v>17608</v>
      </c>
      <c r="B586" s="71" t="s">
        <v>17176</v>
      </c>
      <c r="C586" s="71" t="s">
        <v>16919</v>
      </c>
    </row>
    <row r="587">
      <c r="A587" s="234" t="s">
        <v>17610</v>
      </c>
      <c r="B587" s="71" t="s">
        <v>16582</v>
      </c>
      <c r="C587" s="71" t="s">
        <v>17013</v>
      </c>
    </row>
    <row r="588">
      <c r="A588" s="234" t="s">
        <v>17610</v>
      </c>
      <c r="B588" s="71" t="s">
        <v>17013</v>
      </c>
      <c r="C588" s="71" t="s">
        <v>16582</v>
      </c>
    </row>
    <row r="589">
      <c r="A589" s="234" t="s">
        <v>17612</v>
      </c>
      <c r="B589" s="71" t="s">
        <v>17347</v>
      </c>
      <c r="C589" s="71" t="s">
        <v>16838</v>
      </c>
    </row>
    <row r="590">
      <c r="A590" s="234" t="s">
        <v>17612</v>
      </c>
      <c r="B590" s="71" t="s">
        <v>16838</v>
      </c>
      <c r="C590" s="71" t="s">
        <v>17347</v>
      </c>
    </row>
    <row r="591">
      <c r="A591" s="234" t="s">
        <v>17614</v>
      </c>
      <c r="B591" s="71" t="s">
        <v>16838</v>
      </c>
      <c r="C591" s="71" t="s">
        <v>17202</v>
      </c>
    </row>
    <row r="592">
      <c r="A592" s="234" t="s">
        <v>17614</v>
      </c>
      <c r="B592" s="71" t="s">
        <v>17202</v>
      </c>
      <c r="C592" s="71" t="s">
        <v>16838</v>
      </c>
    </row>
    <row r="593">
      <c r="A593" s="130" t="s">
        <v>17616</v>
      </c>
      <c r="B593" s="71" t="s">
        <v>16582</v>
      </c>
      <c r="C593" s="71" t="s">
        <v>16930</v>
      </c>
    </row>
    <row r="594">
      <c r="A594" s="234" t="s">
        <v>17618</v>
      </c>
      <c r="B594" s="71" t="s">
        <v>175</v>
      </c>
      <c r="C594" s="71" t="s">
        <v>17619</v>
      </c>
    </row>
    <row r="595">
      <c r="A595" s="234" t="s">
        <v>17618</v>
      </c>
      <c r="B595" s="71" t="s">
        <v>17619</v>
      </c>
      <c r="C595" s="71" t="s">
        <v>175</v>
      </c>
    </row>
    <row r="596">
      <c r="A596" s="234" t="s">
        <v>17621</v>
      </c>
      <c r="B596" s="71" t="s">
        <v>16838</v>
      </c>
      <c r="C596" s="71" t="s">
        <v>16867</v>
      </c>
    </row>
    <row r="597">
      <c r="A597" s="234" t="s">
        <v>17621</v>
      </c>
      <c r="B597" s="71" t="s">
        <v>16867</v>
      </c>
      <c r="C597" s="71" t="s">
        <v>16838</v>
      </c>
    </row>
    <row r="598">
      <c r="A598" s="234" t="s">
        <v>17623</v>
      </c>
      <c r="B598" s="71" t="s">
        <v>158</v>
      </c>
      <c r="C598" s="71" t="s">
        <v>16870</v>
      </c>
    </row>
    <row r="599">
      <c r="A599" s="234" t="s">
        <v>17623</v>
      </c>
      <c r="B599" s="71" t="s">
        <v>16870</v>
      </c>
      <c r="C599" s="130" t="s">
        <v>158</v>
      </c>
    </row>
    <row r="600">
      <c r="A600" s="130" t="s">
        <v>17626</v>
      </c>
      <c r="B600" s="71" t="s">
        <v>16919</v>
      </c>
      <c r="C600" s="71" t="s">
        <v>17176</v>
      </c>
    </row>
    <row r="601">
      <c r="A601" s="234" t="s">
        <v>17628</v>
      </c>
      <c r="B601" s="71" t="s">
        <v>17629</v>
      </c>
      <c r="C601" s="71" t="s">
        <v>17629</v>
      </c>
    </row>
    <row r="602">
      <c r="A602" s="234" t="s">
        <v>17628</v>
      </c>
      <c r="B602" s="71" t="s">
        <v>17629</v>
      </c>
      <c r="C602" s="71" t="s">
        <v>17629</v>
      </c>
    </row>
    <row r="603">
      <c r="A603" s="130" t="s">
        <v>17631</v>
      </c>
      <c r="B603" s="71" t="s">
        <v>187</v>
      </c>
      <c r="C603" s="71" t="s">
        <v>16858</v>
      </c>
    </row>
    <row r="604">
      <c r="A604" s="130" t="s">
        <v>17633</v>
      </c>
      <c r="B604" s="71" t="s">
        <v>175</v>
      </c>
      <c r="C604" s="71" t="s">
        <v>16854</v>
      </c>
    </row>
    <row r="605">
      <c r="A605" s="234" t="s">
        <v>17635</v>
      </c>
      <c r="B605" s="71" t="s">
        <v>175</v>
      </c>
      <c r="C605" s="71" t="s">
        <v>17218</v>
      </c>
    </row>
    <row r="606">
      <c r="A606" s="234" t="s">
        <v>17635</v>
      </c>
      <c r="B606" s="71" t="s">
        <v>17218</v>
      </c>
      <c r="C606" s="71" t="s">
        <v>175</v>
      </c>
    </row>
    <row r="607">
      <c r="A607" s="130" t="s">
        <v>17637</v>
      </c>
      <c r="B607" s="71" t="s">
        <v>16838</v>
      </c>
      <c r="C607" s="71" t="s">
        <v>17127</v>
      </c>
    </row>
    <row r="608">
      <c r="A608" s="234" t="s">
        <v>17639</v>
      </c>
      <c r="B608" s="71" t="s">
        <v>16582</v>
      </c>
      <c r="C608" s="71" t="s">
        <v>17342</v>
      </c>
    </row>
    <row r="609">
      <c r="A609" s="234" t="s">
        <v>17639</v>
      </c>
      <c r="B609" s="71" t="s">
        <v>17342</v>
      </c>
      <c r="C609" s="130" t="s">
        <v>16582</v>
      </c>
    </row>
    <row r="610">
      <c r="A610" s="234" t="s">
        <v>17641</v>
      </c>
      <c r="B610" s="71" t="s">
        <v>169</v>
      </c>
      <c r="C610" s="71" t="s">
        <v>17339</v>
      </c>
    </row>
    <row r="611">
      <c r="A611" s="234" t="s">
        <v>17641</v>
      </c>
      <c r="B611" s="71" t="s">
        <v>17339</v>
      </c>
      <c r="C611" s="71" t="s">
        <v>169</v>
      </c>
    </row>
    <row r="612">
      <c r="A612" s="130" t="s">
        <v>17643</v>
      </c>
      <c r="B612" s="71" t="s">
        <v>16582</v>
      </c>
      <c r="C612" s="71" t="s">
        <v>16817</v>
      </c>
    </row>
    <row r="613">
      <c r="A613" s="234" t="s">
        <v>17645</v>
      </c>
      <c r="B613" s="71" t="s">
        <v>16582</v>
      </c>
      <c r="C613" s="71" t="s">
        <v>16817</v>
      </c>
    </row>
    <row r="614">
      <c r="A614" s="234" t="s">
        <v>17645</v>
      </c>
      <c r="B614" s="71" t="s">
        <v>16817</v>
      </c>
      <c r="C614" s="71" t="s">
        <v>16582</v>
      </c>
    </row>
    <row r="615">
      <c r="A615" s="234" t="s">
        <v>17647</v>
      </c>
      <c r="B615" s="71" t="s">
        <v>16910</v>
      </c>
      <c r="C615" s="71" t="s">
        <v>17648</v>
      </c>
    </row>
    <row r="616">
      <c r="A616" s="234" t="s">
        <v>17647</v>
      </c>
      <c r="B616" s="71" t="s">
        <v>17648</v>
      </c>
      <c r="C616" s="71" t="s">
        <v>16910</v>
      </c>
    </row>
    <row r="617">
      <c r="A617" s="234" t="s">
        <v>17651</v>
      </c>
      <c r="B617" s="71" t="s">
        <v>16957</v>
      </c>
      <c r="C617" s="71" t="s">
        <v>16926</v>
      </c>
    </row>
    <row r="618">
      <c r="A618" s="234" t="s">
        <v>17651</v>
      </c>
      <c r="B618" s="71" t="s">
        <v>16926</v>
      </c>
      <c r="C618" s="71" t="s">
        <v>16957</v>
      </c>
    </row>
    <row r="619">
      <c r="A619" s="130" t="s">
        <v>17653</v>
      </c>
      <c r="B619" s="71" t="s">
        <v>16582</v>
      </c>
      <c r="C619" s="71" t="s">
        <v>16583</v>
      </c>
    </row>
    <row r="620">
      <c r="A620" s="234" t="s">
        <v>17655</v>
      </c>
      <c r="B620" s="71" t="s">
        <v>175</v>
      </c>
      <c r="C620" s="71" t="s">
        <v>16854</v>
      </c>
    </row>
    <row r="621">
      <c r="A621" s="234" t="s">
        <v>17655</v>
      </c>
      <c r="B621" s="71" t="s">
        <v>16854</v>
      </c>
      <c r="C621" s="71" t="s">
        <v>175</v>
      </c>
    </row>
    <row r="622">
      <c r="A622" s="234" t="s">
        <v>17657</v>
      </c>
      <c r="B622" s="71" t="s">
        <v>169</v>
      </c>
      <c r="C622" s="71" t="s">
        <v>16899</v>
      </c>
    </row>
    <row r="623">
      <c r="A623" s="234" t="s">
        <v>17657</v>
      </c>
      <c r="B623" s="71" t="s">
        <v>16899</v>
      </c>
      <c r="C623" s="71" t="s">
        <v>169</v>
      </c>
    </row>
    <row r="624">
      <c r="A624" s="234" t="s">
        <v>17659</v>
      </c>
      <c r="B624" s="71"/>
      <c r="C624" s="71"/>
    </row>
    <row r="625">
      <c r="A625" s="234" t="s">
        <v>17659</v>
      </c>
      <c r="B625" s="71"/>
      <c r="C625" s="71"/>
    </row>
    <row r="626">
      <c r="A626" s="234" t="s">
        <v>17661</v>
      </c>
      <c r="B626" s="71" t="s">
        <v>16910</v>
      </c>
      <c r="C626" s="71" t="s">
        <v>17662</v>
      </c>
    </row>
    <row r="627">
      <c r="A627" s="234" t="s">
        <v>17661</v>
      </c>
      <c r="B627" s="71" t="s">
        <v>17662</v>
      </c>
      <c r="C627" s="71" t="s">
        <v>16910</v>
      </c>
    </row>
    <row r="628">
      <c r="A628" s="234" t="s">
        <v>17664</v>
      </c>
      <c r="B628" s="71" t="s">
        <v>16919</v>
      </c>
      <c r="C628" s="71" t="s">
        <v>17176</v>
      </c>
    </row>
    <row r="629">
      <c r="A629" s="234" t="s">
        <v>17664</v>
      </c>
      <c r="B629" s="71" t="s">
        <v>17176</v>
      </c>
      <c r="C629" s="71" t="s">
        <v>16919</v>
      </c>
    </row>
    <row r="630">
      <c r="A630" s="234" t="s">
        <v>17666</v>
      </c>
      <c r="B630" s="71" t="s">
        <v>16919</v>
      </c>
      <c r="C630" s="71" t="s">
        <v>17048</v>
      </c>
    </row>
    <row r="631">
      <c r="A631" s="234" t="s">
        <v>17666</v>
      </c>
      <c r="B631" s="71" t="s">
        <v>17048</v>
      </c>
      <c r="C631" s="71" t="s">
        <v>16919</v>
      </c>
    </row>
    <row r="632">
      <c r="A632" s="234" t="s">
        <v>17668</v>
      </c>
      <c r="B632" s="71" t="s">
        <v>17016</v>
      </c>
      <c r="C632" s="71" t="s">
        <v>16838</v>
      </c>
    </row>
    <row r="633">
      <c r="A633" s="234" t="s">
        <v>17668</v>
      </c>
      <c r="B633" s="71" t="s">
        <v>16838</v>
      </c>
      <c r="C633" s="71" t="s">
        <v>17016</v>
      </c>
    </row>
    <row r="634">
      <c r="A634" s="234" t="s">
        <v>17670</v>
      </c>
      <c r="B634" s="71" t="s">
        <v>16945</v>
      </c>
      <c r="C634" s="71" t="s">
        <v>169</v>
      </c>
    </row>
    <row r="635">
      <c r="A635" s="234" t="s">
        <v>17670</v>
      </c>
      <c r="B635" s="71" t="s">
        <v>169</v>
      </c>
      <c r="C635" s="71" t="s">
        <v>16945</v>
      </c>
    </row>
    <row r="636">
      <c r="A636" s="234" t="s">
        <v>17672</v>
      </c>
      <c r="B636" s="71" t="s">
        <v>175</v>
      </c>
      <c r="C636" s="71" t="s">
        <v>17673</v>
      </c>
    </row>
    <row r="637">
      <c r="A637" s="234" t="s">
        <v>17672</v>
      </c>
      <c r="B637" s="71" t="s">
        <v>17673</v>
      </c>
      <c r="C637" s="71" t="s">
        <v>175</v>
      </c>
    </row>
    <row r="638">
      <c r="A638" s="234" t="s">
        <v>17675</v>
      </c>
      <c r="B638" s="71" t="s">
        <v>17347</v>
      </c>
      <c r="C638" s="71" t="s">
        <v>16838</v>
      </c>
    </row>
    <row r="639">
      <c r="A639" s="234" t="s">
        <v>17675</v>
      </c>
      <c r="B639" s="71" t="s">
        <v>16838</v>
      </c>
      <c r="C639" s="71" t="s">
        <v>17347</v>
      </c>
    </row>
    <row r="640">
      <c r="A640" s="130" t="s">
        <v>17677</v>
      </c>
      <c r="B640" s="71" t="s">
        <v>175</v>
      </c>
      <c r="C640" s="71" t="s">
        <v>16972</v>
      </c>
    </row>
    <row r="641">
      <c r="A641" s="130" t="s">
        <v>17679</v>
      </c>
      <c r="B641" s="71" t="s">
        <v>16838</v>
      </c>
      <c r="C641" s="71" t="s">
        <v>17019</v>
      </c>
    </row>
    <row r="642">
      <c r="A642" s="234" t="s">
        <v>17681</v>
      </c>
      <c r="B642" s="71" t="s">
        <v>16838</v>
      </c>
      <c r="C642" s="71" t="s">
        <v>16867</v>
      </c>
    </row>
    <row r="643">
      <c r="A643" s="234" t="s">
        <v>17681</v>
      </c>
      <c r="B643" s="71" t="s">
        <v>16867</v>
      </c>
      <c r="C643" s="71" t="s">
        <v>16838</v>
      </c>
    </row>
    <row r="644">
      <c r="A644" s="234" t="s">
        <v>17683</v>
      </c>
      <c r="B644" s="71" t="s">
        <v>169</v>
      </c>
      <c r="C644" s="71" t="s">
        <v>16899</v>
      </c>
    </row>
    <row r="645">
      <c r="A645" s="234" t="s">
        <v>17683</v>
      </c>
      <c r="B645" s="71" t="s">
        <v>16899</v>
      </c>
      <c r="C645" s="71" t="s">
        <v>169</v>
      </c>
    </row>
    <row r="646">
      <c r="A646" s="234" t="s">
        <v>17685</v>
      </c>
      <c r="B646" s="71" t="s">
        <v>16945</v>
      </c>
      <c r="C646" s="71" t="s">
        <v>169</v>
      </c>
    </row>
    <row r="647">
      <c r="A647" s="234" t="s">
        <v>17685</v>
      </c>
      <c r="B647" s="71" t="s">
        <v>169</v>
      </c>
      <c r="C647" s="71" t="s">
        <v>16945</v>
      </c>
    </row>
    <row r="648">
      <c r="A648" s="234" t="s">
        <v>17687</v>
      </c>
      <c r="B648" s="71" t="s">
        <v>17111</v>
      </c>
      <c r="C648" s="71" t="s">
        <v>17112</v>
      </c>
    </row>
    <row r="649">
      <c r="A649" s="234" t="s">
        <v>17687</v>
      </c>
      <c r="B649" s="71" t="s">
        <v>17112</v>
      </c>
      <c r="C649" s="71" t="s">
        <v>17111</v>
      </c>
    </row>
    <row r="650">
      <c r="A650" s="234" t="s">
        <v>17689</v>
      </c>
      <c r="B650" s="71" t="s">
        <v>158</v>
      </c>
      <c r="C650" s="71" t="s">
        <v>16864</v>
      </c>
    </row>
    <row r="651">
      <c r="A651" s="234" t="s">
        <v>17689</v>
      </c>
      <c r="B651" s="71" t="s">
        <v>16864</v>
      </c>
      <c r="C651" s="71" t="s">
        <v>158</v>
      </c>
    </row>
    <row r="652">
      <c r="A652" s="130" t="s">
        <v>17691</v>
      </c>
      <c r="B652" s="71" t="s">
        <v>16582</v>
      </c>
      <c r="C652" s="71" t="s">
        <v>16828</v>
      </c>
    </row>
    <row r="653">
      <c r="A653" s="130" t="s">
        <v>17693</v>
      </c>
      <c r="B653" s="71" t="s">
        <v>16582</v>
      </c>
      <c r="C653" s="71" t="s">
        <v>16828</v>
      </c>
    </row>
    <row r="654">
      <c r="A654" s="234" t="s">
        <v>17695</v>
      </c>
      <c r="B654" s="71" t="s">
        <v>175</v>
      </c>
      <c r="C654" s="71" t="s">
        <v>16854</v>
      </c>
    </row>
    <row r="655">
      <c r="A655" s="234" t="s">
        <v>17695</v>
      </c>
      <c r="B655" s="71" t="s">
        <v>16854</v>
      </c>
      <c r="C655" s="71" t="s">
        <v>175</v>
      </c>
    </row>
    <row r="656">
      <c r="A656" s="130" t="s">
        <v>17697</v>
      </c>
      <c r="B656" s="71" t="s">
        <v>175</v>
      </c>
      <c r="C656" s="71" t="s">
        <v>16824</v>
      </c>
    </row>
    <row r="657">
      <c r="A657" s="130" t="s">
        <v>17699</v>
      </c>
      <c r="B657" s="71" t="s">
        <v>158</v>
      </c>
      <c r="C657" s="71" t="s">
        <v>16864</v>
      </c>
    </row>
    <row r="658">
      <c r="A658" s="234" t="s">
        <v>17701</v>
      </c>
      <c r="B658" s="71" t="s">
        <v>17702</v>
      </c>
      <c r="C658" s="71" t="s">
        <v>169</v>
      </c>
    </row>
    <row r="659">
      <c r="A659" s="234" t="s">
        <v>17701</v>
      </c>
      <c r="B659" s="71" t="s">
        <v>169</v>
      </c>
      <c r="C659" s="71" t="s">
        <v>17702</v>
      </c>
    </row>
    <row r="660">
      <c r="A660" s="130" t="s">
        <v>17704</v>
      </c>
      <c r="B660" s="71" t="s">
        <v>16838</v>
      </c>
      <c r="C660" s="71" t="s">
        <v>16867</v>
      </c>
    </row>
    <row r="661">
      <c r="A661" s="234" t="s">
        <v>17706</v>
      </c>
      <c r="B661" s="71" t="s">
        <v>17702</v>
      </c>
      <c r="C661" s="71" t="s">
        <v>169</v>
      </c>
    </row>
    <row r="662">
      <c r="A662" s="234" t="s">
        <v>17706</v>
      </c>
      <c r="B662" s="71" t="s">
        <v>169</v>
      </c>
      <c r="C662" s="71" t="s">
        <v>17702</v>
      </c>
    </row>
    <row r="663">
      <c r="A663" s="234" t="s">
        <v>17708</v>
      </c>
      <c r="B663" s="71" t="s">
        <v>17347</v>
      </c>
      <c r="C663" s="71" t="s">
        <v>16838</v>
      </c>
    </row>
    <row r="664">
      <c r="A664" s="234" t="s">
        <v>17708</v>
      </c>
      <c r="B664" s="71" t="s">
        <v>16838</v>
      </c>
      <c r="C664" s="71" t="s">
        <v>17347</v>
      </c>
    </row>
    <row r="665">
      <c r="A665" s="130" t="s">
        <v>17710</v>
      </c>
      <c r="B665" s="71" t="s">
        <v>16910</v>
      </c>
      <c r="C665" s="71" t="s">
        <v>16911</v>
      </c>
    </row>
    <row r="666">
      <c r="A666" s="234" t="s">
        <v>17712</v>
      </c>
      <c r="B666" s="71" t="s">
        <v>16957</v>
      </c>
      <c r="C666" s="71" t="s">
        <v>16926</v>
      </c>
    </row>
    <row r="667">
      <c r="A667" s="234" t="s">
        <v>17712</v>
      </c>
      <c r="B667" s="71" t="s">
        <v>16926</v>
      </c>
      <c r="C667" s="71" t="s">
        <v>16957</v>
      </c>
    </row>
    <row r="668">
      <c r="A668" s="234" t="s">
        <v>17714</v>
      </c>
      <c r="B668" s="71" t="s">
        <v>169</v>
      </c>
      <c r="C668" s="71" t="s">
        <v>16899</v>
      </c>
    </row>
    <row r="669">
      <c r="A669" s="234" t="s">
        <v>17714</v>
      </c>
      <c r="B669" s="71" t="s">
        <v>16899</v>
      </c>
      <c r="C669" s="71" t="s">
        <v>169</v>
      </c>
    </row>
    <row r="670">
      <c r="A670" s="234" t="s">
        <v>17716</v>
      </c>
      <c r="B670" s="71" t="s">
        <v>175</v>
      </c>
      <c r="C670" s="71" t="s">
        <v>17717</v>
      </c>
    </row>
    <row r="671">
      <c r="A671" s="234" t="s">
        <v>17716</v>
      </c>
      <c r="B671" s="71" t="s">
        <v>17717</v>
      </c>
      <c r="C671" s="71" t="s">
        <v>175</v>
      </c>
    </row>
    <row r="672">
      <c r="A672" s="130" t="s">
        <v>17719</v>
      </c>
      <c r="B672" s="71" t="s">
        <v>16926</v>
      </c>
      <c r="C672" s="71" t="s">
        <v>16957</v>
      </c>
    </row>
    <row r="673">
      <c r="A673" s="234" t="s">
        <v>17721</v>
      </c>
      <c r="B673" s="71" t="s">
        <v>16582</v>
      </c>
      <c r="C673" s="71" t="s">
        <v>16813</v>
      </c>
    </row>
    <row r="674">
      <c r="A674" s="234" t="s">
        <v>17721</v>
      </c>
      <c r="B674" s="71" t="s">
        <v>16813</v>
      </c>
      <c r="C674" s="71" t="s">
        <v>16582</v>
      </c>
    </row>
    <row r="675">
      <c r="A675" s="234" t="s">
        <v>17723</v>
      </c>
      <c r="B675" s="71" t="s">
        <v>16919</v>
      </c>
      <c r="C675" s="71" t="s">
        <v>17413</v>
      </c>
    </row>
    <row r="676">
      <c r="A676" s="234" t="s">
        <v>17723</v>
      </c>
      <c r="B676" s="71" t="s">
        <v>17413</v>
      </c>
      <c r="C676" s="130" t="s">
        <v>16919</v>
      </c>
    </row>
    <row r="677">
      <c r="A677" s="234" t="s">
        <v>17725</v>
      </c>
      <c r="B677" s="71" t="s">
        <v>16885</v>
      </c>
      <c r="C677" s="71" t="s">
        <v>17726</v>
      </c>
    </row>
    <row r="678">
      <c r="A678" s="234" t="s">
        <v>17725</v>
      </c>
      <c r="B678" s="71" t="s">
        <v>17726</v>
      </c>
      <c r="C678" s="71" t="s">
        <v>16885</v>
      </c>
    </row>
    <row r="679">
      <c r="A679" s="130" t="s">
        <v>17727</v>
      </c>
      <c r="B679" s="71" t="s">
        <v>187</v>
      </c>
      <c r="C679" s="71" t="s">
        <v>16858</v>
      </c>
    </row>
    <row r="680">
      <c r="A680" s="130" t="s">
        <v>17729</v>
      </c>
      <c r="B680" s="71" t="s">
        <v>16582</v>
      </c>
      <c r="C680" s="71" t="s">
        <v>16817</v>
      </c>
    </row>
    <row r="681">
      <c r="A681" s="234" t="s">
        <v>17731</v>
      </c>
      <c r="B681" s="71"/>
      <c r="C681" s="71"/>
    </row>
    <row r="682">
      <c r="A682" s="234" t="s">
        <v>17731</v>
      </c>
      <c r="B682" s="71"/>
      <c r="C682" s="71"/>
    </row>
    <row r="683">
      <c r="A683" s="130" t="s">
        <v>17733</v>
      </c>
      <c r="B683" s="71" t="s">
        <v>187</v>
      </c>
      <c r="C683" s="71" t="s">
        <v>16858</v>
      </c>
    </row>
    <row r="684">
      <c r="A684" s="234" t="s">
        <v>17735</v>
      </c>
      <c r="B684" s="71" t="s">
        <v>16582</v>
      </c>
      <c r="C684" s="71" t="s">
        <v>16817</v>
      </c>
    </row>
    <row r="685">
      <c r="A685" s="234" t="s">
        <v>17735</v>
      </c>
      <c r="B685" s="71" t="s">
        <v>16817</v>
      </c>
      <c r="C685" s="71" t="s">
        <v>16582</v>
      </c>
    </row>
    <row r="686">
      <c r="A686" s="234" t="s">
        <v>17737</v>
      </c>
      <c r="B686" s="71" t="s">
        <v>169</v>
      </c>
      <c r="C686" s="71" t="s">
        <v>17738</v>
      </c>
    </row>
    <row r="687">
      <c r="A687" s="234" t="s">
        <v>17737</v>
      </c>
      <c r="B687" s="71" t="s">
        <v>17738</v>
      </c>
      <c r="C687" s="71" t="s">
        <v>169</v>
      </c>
    </row>
    <row r="688">
      <c r="A688" s="234" t="s">
        <v>17740</v>
      </c>
      <c r="B688" s="71" t="s">
        <v>17532</v>
      </c>
      <c r="C688" s="71" t="s">
        <v>169</v>
      </c>
    </row>
    <row r="689">
      <c r="A689" s="234" t="s">
        <v>17740</v>
      </c>
      <c r="B689" s="71" t="s">
        <v>169</v>
      </c>
      <c r="C689" s="71" t="s">
        <v>17532</v>
      </c>
    </row>
    <row r="690">
      <c r="A690" s="234" t="s">
        <v>17742</v>
      </c>
      <c r="B690" s="71" t="s">
        <v>175</v>
      </c>
      <c r="C690" s="71" t="s">
        <v>16861</v>
      </c>
    </row>
    <row r="691">
      <c r="A691" s="234" t="s">
        <v>17742</v>
      </c>
      <c r="B691" s="71" t="s">
        <v>16861</v>
      </c>
      <c r="C691" s="71" t="s">
        <v>175</v>
      </c>
    </row>
    <row r="692">
      <c r="A692" s="130" t="s">
        <v>17744</v>
      </c>
      <c r="B692" s="71" t="s">
        <v>16582</v>
      </c>
      <c r="C692" s="71" t="s">
        <v>16930</v>
      </c>
    </row>
    <row r="693">
      <c r="A693" s="234" t="s">
        <v>17746</v>
      </c>
      <c r="B693" s="71" t="s">
        <v>16910</v>
      </c>
      <c r="C693" s="71" t="s">
        <v>16911</v>
      </c>
    </row>
    <row r="694">
      <c r="A694" s="234" t="s">
        <v>17746</v>
      </c>
      <c r="B694" s="71" t="s">
        <v>16911</v>
      </c>
      <c r="C694" s="71" t="s">
        <v>16910</v>
      </c>
    </row>
    <row r="695">
      <c r="A695" s="234" t="s">
        <v>17748</v>
      </c>
      <c r="B695" s="71" t="s">
        <v>175</v>
      </c>
      <c r="C695" s="71" t="s">
        <v>17218</v>
      </c>
    </row>
    <row r="696">
      <c r="A696" s="234" t="s">
        <v>17748</v>
      </c>
      <c r="B696" s="71" t="s">
        <v>17218</v>
      </c>
      <c r="C696" s="71" t="s">
        <v>175</v>
      </c>
    </row>
    <row r="697">
      <c r="A697" s="234" t="s">
        <v>17750</v>
      </c>
      <c r="B697" s="71" t="s">
        <v>17256</v>
      </c>
      <c r="C697" s="71" t="s">
        <v>187</v>
      </c>
    </row>
    <row r="698">
      <c r="A698" s="234" t="s">
        <v>17750</v>
      </c>
      <c r="B698" s="71" t="s">
        <v>187</v>
      </c>
      <c r="C698" s="71" t="s">
        <v>17256</v>
      </c>
    </row>
    <row r="699">
      <c r="A699" s="234" t="s">
        <v>17752</v>
      </c>
      <c r="B699" s="71" t="s">
        <v>16919</v>
      </c>
      <c r="C699" s="71" t="s">
        <v>17176</v>
      </c>
    </row>
    <row r="700">
      <c r="A700" s="234" t="s">
        <v>17752</v>
      </c>
      <c r="B700" s="71" t="s">
        <v>17176</v>
      </c>
      <c r="C700" s="71" t="s">
        <v>16919</v>
      </c>
    </row>
    <row r="701">
      <c r="A701" s="130" t="s">
        <v>17754</v>
      </c>
      <c r="B701" s="71"/>
      <c r="C701" s="71"/>
    </row>
    <row r="702">
      <c r="A702" s="234" t="s">
        <v>17756</v>
      </c>
      <c r="B702" s="71" t="s">
        <v>169</v>
      </c>
      <c r="C702" s="71" t="s">
        <v>17757</v>
      </c>
    </row>
    <row r="703">
      <c r="A703" s="234" t="s">
        <v>17756</v>
      </c>
      <c r="B703" s="71" t="s">
        <v>17757</v>
      </c>
      <c r="C703" s="71" t="s">
        <v>169</v>
      </c>
    </row>
    <row r="704">
      <c r="A704" s="234" t="s">
        <v>17759</v>
      </c>
      <c r="B704" s="71" t="s">
        <v>16969</v>
      </c>
      <c r="C704" s="71" t="s">
        <v>187</v>
      </c>
    </row>
    <row r="705">
      <c r="A705" s="234" t="s">
        <v>17759</v>
      </c>
      <c r="B705" s="71" t="s">
        <v>187</v>
      </c>
      <c r="C705" s="71" t="s">
        <v>16969</v>
      </c>
    </row>
    <row r="706">
      <c r="A706" s="234" t="s">
        <v>17761</v>
      </c>
      <c r="B706" s="71" t="s">
        <v>17111</v>
      </c>
      <c r="C706" s="71" t="s">
        <v>17112</v>
      </c>
    </row>
    <row r="707">
      <c r="A707" s="234" t="s">
        <v>17761</v>
      </c>
      <c r="B707" s="71" t="s">
        <v>17112</v>
      </c>
      <c r="C707" s="71" t="s">
        <v>17111</v>
      </c>
    </row>
    <row r="708">
      <c r="A708" s="130" t="s">
        <v>17763</v>
      </c>
      <c r="B708" s="71" t="s">
        <v>16582</v>
      </c>
      <c r="C708" s="71" t="s">
        <v>16817</v>
      </c>
    </row>
    <row r="709">
      <c r="A709" s="130" t="s">
        <v>17765</v>
      </c>
      <c r="B709" s="71" t="s">
        <v>175</v>
      </c>
      <c r="C709" s="71" t="s">
        <v>16861</v>
      </c>
    </row>
    <row r="710">
      <c r="A710" s="234" t="s">
        <v>17767</v>
      </c>
      <c r="B710" s="71"/>
      <c r="C710" s="71"/>
    </row>
    <row r="711">
      <c r="A711" s="234" t="s">
        <v>17767</v>
      </c>
      <c r="B711" s="71"/>
      <c r="C711" s="71"/>
    </row>
    <row r="712">
      <c r="A712" s="234" t="s">
        <v>17769</v>
      </c>
      <c r="B712" s="71" t="s">
        <v>16582</v>
      </c>
      <c r="C712" s="71" t="s">
        <v>16930</v>
      </c>
    </row>
    <row r="713">
      <c r="A713" s="234" t="s">
        <v>17769</v>
      </c>
      <c r="B713" s="71" t="s">
        <v>16930</v>
      </c>
      <c r="C713" s="71" t="s">
        <v>16582</v>
      </c>
    </row>
    <row r="714">
      <c r="A714" s="130" t="s">
        <v>17771</v>
      </c>
      <c r="B714" s="71" t="s">
        <v>16838</v>
      </c>
      <c r="C714" s="71" t="s">
        <v>17104</v>
      </c>
    </row>
    <row r="715">
      <c r="A715" s="234" t="s">
        <v>17773</v>
      </c>
      <c r="B715" s="71" t="s">
        <v>16919</v>
      </c>
      <c r="C715" s="71" t="s">
        <v>17048</v>
      </c>
    </row>
    <row r="716">
      <c r="A716" s="234" t="s">
        <v>17773</v>
      </c>
      <c r="B716" s="71" t="s">
        <v>17048</v>
      </c>
      <c r="C716" s="71" t="s">
        <v>16919</v>
      </c>
    </row>
    <row r="717">
      <c r="A717" s="130" t="s">
        <v>17775</v>
      </c>
      <c r="B717" s="71" t="s">
        <v>16926</v>
      </c>
      <c r="C717" s="71" t="s">
        <v>16960</v>
      </c>
    </row>
    <row r="718">
      <c r="A718" s="130" t="s">
        <v>17777</v>
      </c>
      <c r="B718" s="71" t="s">
        <v>16582</v>
      </c>
      <c r="C718" s="71" t="s">
        <v>16817</v>
      </c>
    </row>
    <row r="719">
      <c r="A719" s="234" t="s">
        <v>17779</v>
      </c>
      <c r="B719" s="71" t="s">
        <v>175</v>
      </c>
      <c r="C719" s="71" t="s">
        <v>16854</v>
      </c>
    </row>
    <row r="720">
      <c r="A720" s="234" t="s">
        <v>17779</v>
      </c>
      <c r="B720" s="71" t="s">
        <v>16854</v>
      </c>
      <c r="C720" s="71" t="s">
        <v>175</v>
      </c>
    </row>
    <row r="721">
      <c r="A721" s="234" t="s">
        <v>17781</v>
      </c>
      <c r="B721" s="71" t="s">
        <v>16919</v>
      </c>
      <c r="C721" s="71" t="s">
        <v>17048</v>
      </c>
    </row>
    <row r="722">
      <c r="A722" s="234" t="s">
        <v>17781</v>
      </c>
      <c r="B722" s="71" t="s">
        <v>17048</v>
      </c>
      <c r="C722" s="71" t="s">
        <v>16919</v>
      </c>
    </row>
    <row r="723">
      <c r="A723" s="234" t="s">
        <v>17783</v>
      </c>
      <c r="B723" s="71" t="s">
        <v>175</v>
      </c>
      <c r="C723" s="71" t="s">
        <v>17233</v>
      </c>
    </row>
    <row r="724">
      <c r="A724" s="234" t="s">
        <v>17783</v>
      </c>
      <c r="B724" s="71" t="s">
        <v>17233</v>
      </c>
      <c r="C724" s="71" t="s">
        <v>175</v>
      </c>
    </row>
    <row r="725">
      <c r="A725" s="234" t="s">
        <v>17786</v>
      </c>
      <c r="B725" s="71" t="s">
        <v>17112</v>
      </c>
      <c r="C725" s="71" t="s">
        <v>17787</v>
      </c>
    </row>
    <row r="726">
      <c r="A726" s="234" t="s">
        <v>17786</v>
      </c>
      <c r="B726" s="71" t="s">
        <v>17787</v>
      </c>
      <c r="C726" s="71" t="s">
        <v>17112</v>
      </c>
    </row>
    <row r="727">
      <c r="A727" s="130" t="s">
        <v>17789</v>
      </c>
      <c r="B727" s="71" t="s">
        <v>16582</v>
      </c>
      <c r="C727" s="71" t="s">
        <v>16828</v>
      </c>
    </row>
    <row r="728">
      <c r="A728" s="234" t="s">
        <v>17791</v>
      </c>
      <c r="B728" s="71" t="s">
        <v>158</v>
      </c>
      <c r="C728" s="71" t="s">
        <v>16864</v>
      </c>
    </row>
    <row r="729">
      <c r="A729" s="234" t="s">
        <v>17791</v>
      </c>
      <c r="B729" s="71" t="s">
        <v>16864</v>
      </c>
      <c r="C729" s="71" t="s">
        <v>158</v>
      </c>
    </row>
    <row r="730">
      <c r="A730" s="234" t="s">
        <v>17793</v>
      </c>
      <c r="B730" s="71" t="s">
        <v>17794</v>
      </c>
      <c r="C730" s="71" t="s">
        <v>16919</v>
      </c>
    </row>
    <row r="731">
      <c r="A731" s="234" t="s">
        <v>17793</v>
      </c>
      <c r="B731" s="71" t="s">
        <v>16919</v>
      </c>
      <c r="C731" s="71" t="s">
        <v>17794</v>
      </c>
    </row>
    <row r="732">
      <c r="A732" s="130" t="s">
        <v>17796</v>
      </c>
      <c r="B732" s="71" t="s">
        <v>187</v>
      </c>
      <c r="C732" s="71" t="s">
        <v>16858</v>
      </c>
    </row>
    <row r="733">
      <c r="A733" s="234" t="s">
        <v>17798</v>
      </c>
      <c r="B733" s="71" t="s">
        <v>16582</v>
      </c>
      <c r="C733" s="71" t="s">
        <v>16930</v>
      </c>
    </row>
    <row r="734">
      <c r="A734" s="234" t="s">
        <v>17798</v>
      </c>
      <c r="B734" s="71" t="s">
        <v>16930</v>
      </c>
      <c r="C734" s="71" t="s">
        <v>16582</v>
      </c>
    </row>
    <row r="735">
      <c r="A735" s="130" t="s">
        <v>17800</v>
      </c>
      <c r="B735" s="71" t="s">
        <v>16838</v>
      </c>
      <c r="C735" s="71" t="s">
        <v>16867</v>
      </c>
    </row>
    <row r="736">
      <c r="A736" s="234" t="s">
        <v>17802</v>
      </c>
      <c r="B736" s="71" t="s">
        <v>17111</v>
      </c>
      <c r="C736" s="71" t="s">
        <v>17112</v>
      </c>
    </row>
    <row r="737">
      <c r="A737" s="234" t="s">
        <v>17802</v>
      </c>
      <c r="B737" s="71" t="s">
        <v>17112</v>
      </c>
      <c r="C737" s="71" t="s">
        <v>17111</v>
      </c>
    </row>
    <row r="738">
      <c r="A738" s="234" t="s">
        <v>17804</v>
      </c>
      <c r="B738" s="71" t="s">
        <v>169</v>
      </c>
      <c r="C738" s="71" t="s">
        <v>17805</v>
      </c>
    </row>
    <row r="739">
      <c r="A739" s="234" t="s">
        <v>17804</v>
      </c>
      <c r="B739" s="71" t="s">
        <v>17805</v>
      </c>
      <c r="C739" s="71" t="s">
        <v>169</v>
      </c>
    </row>
    <row r="740">
      <c r="A740" s="130" t="s">
        <v>17807</v>
      </c>
      <c r="B740" s="71" t="s">
        <v>17112</v>
      </c>
      <c r="C740" s="71" t="s">
        <v>17111</v>
      </c>
    </row>
    <row r="741">
      <c r="A741" s="234" t="s">
        <v>17809</v>
      </c>
      <c r="B741" s="71" t="s">
        <v>16957</v>
      </c>
      <c r="C741" s="71" t="s">
        <v>169</v>
      </c>
    </row>
    <row r="742">
      <c r="A742" s="234" t="s">
        <v>17809</v>
      </c>
      <c r="B742" s="71" t="s">
        <v>169</v>
      </c>
      <c r="C742" s="71" t="s">
        <v>16957</v>
      </c>
    </row>
    <row r="743">
      <c r="A743" s="234" t="s">
        <v>17811</v>
      </c>
      <c r="B743" s="71" t="s">
        <v>175</v>
      </c>
      <c r="C743" s="71" t="s">
        <v>17812</v>
      </c>
    </row>
    <row r="744">
      <c r="A744" s="234" t="s">
        <v>17811</v>
      </c>
      <c r="B744" s="71" t="s">
        <v>17812</v>
      </c>
      <c r="C744" s="71" t="s">
        <v>175</v>
      </c>
    </row>
    <row r="745">
      <c r="A745" s="234" t="s">
        <v>17814</v>
      </c>
      <c r="B745" s="71" t="s">
        <v>16885</v>
      </c>
      <c r="C745" s="71" t="s">
        <v>17726</v>
      </c>
    </row>
    <row r="746">
      <c r="A746" s="234" t="s">
        <v>17814</v>
      </c>
      <c r="B746" s="71" t="s">
        <v>17726</v>
      </c>
      <c r="C746" s="71" t="s">
        <v>16885</v>
      </c>
    </row>
    <row r="747">
      <c r="A747" s="234" t="s">
        <v>17816</v>
      </c>
      <c r="B747" s="71" t="s">
        <v>17112</v>
      </c>
      <c r="C747" s="71" t="s">
        <v>17787</v>
      </c>
    </row>
    <row r="748">
      <c r="A748" s="234" t="s">
        <v>17816</v>
      </c>
      <c r="B748" s="71" t="s">
        <v>17787</v>
      </c>
      <c r="C748" s="71" t="s">
        <v>17112</v>
      </c>
    </row>
    <row r="749">
      <c r="A749" s="234" t="s">
        <v>17818</v>
      </c>
      <c r="B749" s="71" t="s">
        <v>169</v>
      </c>
      <c r="C749" s="71" t="s">
        <v>16899</v>
      </c>
    </row>
    <row r="750">
      <c r="A750" s="234" t="s">
        <v>17818</v>
      </c>
      <c r="B750" s="71" t="s">
        <v>16899</v>
      </c>
      <c r="C750" s="71" t="s">
        <v>169</v>
      </c>
    </row>
    <row r="751">
      <c r="A751" s="234" t="s">
        <v>17820</v>
      </c>
      <c r="B751" s="71" t="s">
        <v>16867</v>
      </c>
      <c r="C751" s="71" t="s">
        <v>16838</v>
      </c>
    </row>
    <row r="752">
      <c r="A752" s="234" t="s">
        <v>17820</v>
      </c>
      <c r="B752" s="71" t="s">
        <v>16838</v>
      </c>
      <c r="C752" s="71" t="s">
        <v>16867</v>
      </c>
    </row>
    <row r="753">
      <c r="A753" s="234" t="s">
        <v>17822</v>
      </c>
      <c r="B753" s="71"/>
      <c r="C753" s="71"/>
    </row>
    <row r="754">
      <c r="A754" s="234" t="s">
        <v>17822</v>
      </c>
      <c r="B754" s="71"/>
      <c r="C754" s="71"/>
    </row>
    <row r="755">
      <c r="A755" s="234" t="s">
        <v>17824</v>
      </c>
      <c r="B755" s="71" t="s">
        <v>169</v>
      </c>
      <c r="C755" s="71" t="s">
        <v>17022</v>
      </c>
    </row>
    <row r="756">
      <c r="A756" s="234" t="s">
        <v>17824</v>
      </c>
      <c r="B756" s="71" t="s">
        <v>17022</v>
      </c>
      <c r="C756" s="71" t="s">
        <v>169</v>
      </c>
    </row>
    <row r="757">
      <c r="A757" s="234" t="s">
        <v>17826</v>
      </c>
      <c r="B757" s="71" t="s">
        <v>169</v>
      </c>
      <c r="C757" s="71" t="s">
        <v>17827</v>
      </c>
    </row>
    <row r="758">
      <c r="A758" s="234" t="s">
        <v>17826</v>
      </c>
      <c r="B758" s="71" t="s">
        <v>17827</v>
      </c>
      <c r="C758" s="71" t="s">
        <v>169</v>
      </c>
    </row>
    <row r="759">
      <c r="A759" s="234" t="s">
        <v>17829</v>
      </c>
      <c r="B759" s="71" t="s">
        <v>17016</v>
      </c>
      <c r="C759" s="71" t="s">
        <v>16838</v>
      </c>
    </row>
    <row r="760">
      <c r="A760" s="234" t="s">
        <v>17829</v>
      </c>
      <c r="B760" s="71" t="s">
        <v>16838</v>
      </c>
      <c r="C760" s="71" t="s">
        <v>17016</v>
      </c>
    </row>
    <row r="761">
      <c r="A761" s="234" t="s">
        <v>17831</v>
      </c>
      <c r="B761" s="71" t="s">
        <v>16957</v>
      </c>
      <c r="C761" s="71" t="s">
        <v>16926</v>
      </c>
    </row>
    <row r="762">
      <c r="A762" s="234" t="s">
        <v>17831</v>
      </c>
      <c r="B762" s="71" t="s">
        <v>16926</v>
      </c>
      <c r="C762" s="71" t="s">
        <v>16957</v>
      </c>
    </row>
    <row r="763">
      <c r="A763" s="234" t="s">
        <v>17833</v>
      </c>
      <c r="B763" s="71" t="s">
        <v>16957</v>
      </c>
      <c r="C763" s="71" t="s">
        <v>16926</v>
      </c>
    </row>
    <row r="764">
      <c r="A764" s="234" t="s">
        <v>17833</v>
      </c>
      <c r="B764" s="71" t="s">
        <v>16926</v>
      </c>
      <c r="C764" s="71" t="s">
        <v>16957</v>
      </c>
    </row>
    <row r="765">
      <c r="A765" s="234" t="s">
        <v>17835</v>
      </c>
      <c r="B765" s="71" t="s">
        <v>17112</v>
      </c>
      <c r="C765" s="71" t="s">
        <v>16838</v>
      </c>
    </row>
    <row r="766">
      <c r="A766" s="234" t="s">
        <v>17835</v>
      </c>
      <c r="B766" s="71" t="s">
        <v>16838</v>
      </c>
      <c r="C766" s="71" t="s">
        <v>17112</v>
      </c>
    </row>
    <row r="767">
      <c r="A767" s="234" t="s">
        <v>17837</v>
      </c>
      <c r="B767" s="71" t="s">
        <v>16838</v>
      </c>
      <c r="C767" s="71" t="s">
        <v>17838</v>
      </c>
    </row>
    <row r="768">
      <c r="A768" s="234" t="s">
        <v>17837</v>
      </c>
      <c r="B768" s="71" t="s">
        <v>17838</v>
      </c>
      <c r="C768" s="71" t="s">
        <v>16838</v>
      </c>
    </row>
    <row r="769">
      <c r="A769" s="234" t="s">
        <v>17840</v>
      </c>
      <c r="B769" s="71" t="s">
        <v>169</v>
      </c>
      <c r="C769" s="71" t="s">
        <v>16899</v>
      </c>
    </row>
    <row r="770">
      <c r="A770" s="234" t="s">
        <v>17840</v>
      </c>
      <c r="B770" s="71" t="s">
        <v>16899</v>
      </c>
      <c r="C770" s="71" t="s">
        <v>169</v>
      </c>
    </row>
    <row r="771">
      <c r="A771" s="234" t="s">
        <v>17842</v>
      </c>
      <c r="B771" s="71" t="s">
        <v>17127</v>
      </c>
      <c r="C771" s="71" t="s">
        <v>16838</v>
      </c>
    </row>
    <row r="772">
      <c r="A772" s="234" t="s">
        <v>17842</v>
      </c>
      <c r="B772" s="71" t="s">
        <v>16838</v>
      </c>
      <c r="C772" s="71" t="s">
        <v>17127</v>
      </c>
    </row>
    <row r="773">
      <c r="A773" s="130" t="s">
        <v>17844</v>
      </c>
      <c r="B773" s="71" t="s">
        <v>16838</v>
      </c>
      <c r="C773" s="71" t="s">
        <v>17016</v>
      </c>
    </row>
    <row r="774">
      <c r="A774" s="234" t="s">
        <v>17846</v>
      </c>
      <c r="B774" s="71" t="s">
        <v>175</v>
      </c>
      <c r="C774" s="71" t="s">
        <v>16878</v>
      </c>
    </row>
    <row r="775">
      <c r="A775" s="234" t="s">
        <v>17846</v>
      </c>
      <c r="B775" s="71" t="s">
        <v>16878</v>
      </c>
      <c r="C775" s="71" t="s">
        <v>175</v>
      </c>
    </row>
    <row r="776">
      <c r="A776" s="234" t="s">
        <v>17848</v>
      </c>
      <c r="B776" s="71" t="s">
        <v>169</v>
      </c>
      <c r="C776" s="71" t="s">
        <v>16899</v>
      </c>
    </row>
    <row r="777">
      <c r="A777" s="234" t="s">
        <v>17848</v>
      </c>
      <c r="B777" s="71" t="s">
        <v>16899</v>
      </c>
      <c r="C777" s="71" t="s">
        <v>169</v>
      </c>
    </row>
    <row r="778">
      <c r="A778" s="234" t="s">
        <v>17850</v>
      </c>
      <c r="B778" s="71" t="s">
        <v>17509</v>
      </c>
      <c r="C778" s="71" t="s">
        <v>187</v>
      </c>
    </row>
    <row r="779">
      <c r="A779" s="234" t="s">
        <v>17850</v>
      </c>
      <c r="B779" s="71" t="s">
        <v>187</v>
      </c>
      <c r="C779" s="71" t="s">
        <v>17509</v>
      </c>
    </row>
    <row r="780">
      <c r="A780" s="234" t="s">
        <v>17852</v>
      </c>
      <c r="B780" s="71" t="s">
        <v>17111</v>
      </c>
      <c r="C780" s="71" t="s">
        <v>17112</v>
      </c>
    </row>
    <row r="781">
      <c r="A781" s="234" t="s">
        <v>17852</v>
      </c>
      <c r="B781" s="71" t="s">
        <v>17112</v>
      </c>
      <c r="C781" s="71" t="s">
        <v>17111</v>
      </c>
    </row>
    <row r="782">
      <c r="A782" s="234" t="s">
        <v>17854</v>
      </c>
      <c r="B782" s="71" t="s">
        <v>175</v>
      </c>
      <c r="C782" s="71" t="s">
        <v>17031</v>
      </c>
    </row>
    <row r="783">
      <c r="A783" s="234" t="s">
        <v>17854</v>
      </c>
      <c r="B783" s="71" t="s">
        <v>17031</v>
      </c>
      <c r="C783" s="71" t="s">
        <v>175</v>
      </c>
    </row>
    <row r="784">
      <c r="A784" s="130" t="s">
        <v>17856</v>
      </c>
      <c r="B784" s="71" t="s">
        <v>175</v>
      </c>
      <c r="C784" s="71" t="s">
        <v>16854</v>
      </c>
    </row>
    <row r="785">
      <c r="A785" s="130" t="s">
        <v>17858</v>
      </c>
      <c r="B785" s="71" t="s">
        <v>16838</v>
      </c>
      <c r="C785" s="71" t="s">
        <v>17019</v>
      </c>
    </row>
    <row r="786">
      <c r="A786" s="234" t="s">
        <v>17860</v>
      </c>
      <c r="B786" s="71" t="s">
        <v>16838</v>
      </c>
      <c r="C786" s="71" t="s">
        <v>17002</v>
      </c>
    </row>
    <row r="787">
      <c r="A787" s="234" t="s">
        <v>17860</v>
      </c>
      <c r="B787" s="71" t="s">
        <v>17002</v>
      </c>
      <c r="C787" s="71" t="s">
        <v>16838</v>
      </c>
    </row>
    <row r="788">
      <c r="A788" s="234" t="s">
        <v>17862</v>
      </c>
      <c r="B788" s="71" t="s">
        <v>16926</v>
      </c>
      <c r="C788" s="71" t="s">
        <v>16960</v>
      </c>
    </row>
    <row r="789">
      <c r="A789" s="234" t="s">
        <v>17862</v>
      </c>
      <c r="B789" s="71" t="s">
        <v>16960</v>
      </c>
      <c r="C789" s="71" t="s">
        <v>16926</v>
      </c>
    </row>
    <row r="790">
      <c r="A790" s="130" t="s">
        <v>17864</v>
      </c>
      <c r="B790" s="71" t="s">
        <v>175</v>
      </c>
      <c r="C790" s="71" t="s">
        <v>16890</v>
      </c>
    </row>
    <row r="791">
      <c r="A791" s="234" t="s">
        <v>17866</v>
      </c>
      <c r="B791" s="71" t="s">
        <v>16582</v>
      </c>
      <c r="C791" s="71" t="s">
        <v>16817</v>
      </c>
    </row>
    <row r="792">
      <c r="A792" s="234" t="s">
        <v>17866</v>
      </c>
      <c r="B792" s="71" t="s">
        <v>16817</v>
      </c>
      <c r="C792" s="71" t="s">
        <v>16582</v>
      </c>
    </row>
    <row r="793">
      <c r="A793" s="234" t="s">
        <v>17868</v>
      </c>
      <c r="B793" s="71" t="s">
        <v>175</v>
      </c>
      <c r="C793" s="71" t="s">
        <v>17350</v>
      </c>
    </row>
    <row r="794">
      <c r="A794" s="234" t="s">
        <v>17868</v>
      </c>
      <c r="B794" s="71" t="s">
        <v>17350</v>
      </c>
      <c r="C794" s="71" t="s">
        <v>175</v>
      </c>
    </row>
    <row r="795">
      <c r="A795" s="234" t="s">
        <v>17870</v>
      </c>
      <c r="B795" s="71" t="s">
        <v>175</v>
      </c>
      <c r="C795" s="71" t="s">
        <v>16942</v>
      </c>
    </row>
    <row r="796">
      <c r="A796" s="234" t="s">
        <v>17870</v>
      </c>
      <c r="B796" s="71" t="s">
        <v>16942</v>
      </c>
      <c r="C796" s="71" t="s">
        <v>175</v>
      </c>
    </row>
    <row r="797">
      <c r="A797" s="234" t="s">
        <v>17873</v>
      </c>
      <c r="B797" s="71" t="s">
        <v>16582</v>
      </c>
      <c r="C797" s="71" t="s">
        <v>16930</v>
      </c>
    </row>
    <row r="798">
      <c r="A798" s="234" t="s">
        <v>17873</v>
      </c>
      <c r="B798" s="71" t="s">
        <v>16930</v>
      </c>
      <c r="C798" s="71" t="s">
        <v>16582</v>
      </c>
    </row>
    <row r="799">
      <c r="A799" s="130" t="s">
        <v>17875</v>
      </c>
      <c r="B799" s="71" t="s">
        <v>16582</v>
      </c>
      <c r="C799" s="71" t="s">
        <v>16930</v>
      </c>
    </row>
    <row r="800">
      <c r="A800" s="234" t="s">
        <v>17877</v>
      </c>
      <c r="B800" s="71" t="s">
        <v>16969</v>
      </c>
      <c r="C800" s="71" t="s">
        <v>187</v>
      </c>
    </row>
    <row r="801">
      <c r="A801" s="234" t="s">
        <v>17877</v>
      </c>
      <c r="B801" s="71" t="s">
        <v>187</v>
      </c>
      <c r="C801" s="71" t="s">
        <v>16969</v>
      </c>
    </row>
    <row r="802">
      <c r="A802" s="234" t="s">
        <v>17879</v>
      </c>
      <c r="B802" s="71" t="s">
        <v>17019</v>
      </c>
      <c r="C802" s="71" t="s">
        <v>16838</v>
      </c>
    </row>
    <row r="803">
      <c r="A803" s="234" t="s">
        <v>17879</v>
      </c>
      <c r="B803" s="71" t="s">
        <v>16838</v>
      </c>
      <c r="C803" s="71" t="s">
        <v>17019</v>
      </c>
    </row>
    <row r="804">
      <c r="A804" s="234" t="s">
        <v>17881</v>
      </c>
      <c r="B804" s="71" t="s">
        <v>16582</v>
      </c>
      <c r="C804" s="71" t="s">
        <v>16583</v>
      </c>
    </row>
    <row r="805">
      <c r="A805" s="234" t="s">
        <v>17881</v>
      </c>
      <c r="B805" s="71" t="s">
        <v>16583</v>
      </c>
      <c r="C805" s="71" t="s">
        <v>16582</v>
      </c>
    </row>
    <row r="806">
      <c r="A806" s="130" t="s">
        <v>17883</v>
      </c>
      <c r="B806" s="71" t="s">
        <v>187</v>
      </c>
      <c r="C806" s="71" t="s">
        <v>17559</v>
      </c>
    </row>
    <row r="807">
      <c r="A807" s="234" t="s">
        <v>17885</v>
      </c>
      <c r="B807" s="71" t="s">
        <v>17016</v>
      </c>
      <c r="C807" s="71" t="s">
        <v>16838</v>
      </c>
    </row>
    <row r="808">
      <c r="A808" s="234" t="s">
        <v>17885</v>
      </c>
      <c r="B808" s="71" t="s">
        <v>16838</v>
      </c>
      <c r="C808" s="71" t="s">
        <v>17016</v>
      </c>
    </row>
    <row r="809">
      <c r="A809" s="234" t="s">
        <v>17887</v>
      </c>
      <c r="B809" s="71" t="s">
        <v>16851</v>
      </c>
      <c r="C809" s="71" t="s">
        <v>187</v>
      </c>
    </row>
    <row r="810">
      <c r="A810" s="234" t="s">
        <v>17887</v>
      </c>
      <c r="B810" s="71" t="s">
        <v>187</v>
      </c>
      <c r="C810" s="71" t="s">
        <v>16851</v>
      </c>
    </row>
    <row r="811">
      <c r="A811" s="234" t="s">
        <v>17889</v>
      </c>
      <c r="B811" s="71" t="s">
        <v>16867</v>
      </c>
      <c r="C811" s="71" t="s">
        <v>16838</v>
      </c>
    </row>
    <row r="812">
      <c r="A812" s="234" t="s">
        <v>17889</v>
      </c>
      <c r="B812" s="71" t="s">
        <v>16838</v>
      </c>
      <c r="C812" s="71" t="s">
        <v>16867</v>
      </c>
    </row>
    <row r="813">
      <c r="A813" s="234" t="s">
        <v>17891</v>
      </c>
      <c r="B813" s="71" t="s">
        <v>175</v>
      </c>
      <c r="C813" s="71" t="s">
        <v>16854</v>
      </c>
    </row>
    <row r="814">
      <c r="A814" s="234" t="s">
        <v>17891</v>
      </c>
      <c r="B814" s="71" t="s">
        <v>16854</v>
      </c>
      <c r="C814" s="71" t="s">
        <v>175</v>
      </c>
    </row>
    <row r="815">
      <c r="A815" s="234" t="s">
        <v>17893</v>
      </c>
      <c r="B815" s="71" t="s">
        <v>17104</v>
      </c>
      <c r="C815" s="71" t="s">
        <v>16838</v>
      </c>
    </row>
    <row r="816">
      <c r="A816" s="234" t="s">
        <v>17893</v>
      </c>
      <c r="B816" s="71" t="s">
        <v>16838</v>
      </c>
      <c r="C816" s="71" t="s">
        <v>17104</v>
      </c>
    </row>
    <row r="817">
      <c r="A817" s="234" t="s">
        <v>17895</v>
      </c>
      <c r="B817" s="71" t="s">
        <v>17111</v>
      </c>
      <c r="C817" s="71" t="s">
        <v>17112</v>
      </c>
    </row>
    <row r="818">
      <c r="A818" s="234" t="s">
        <v>17895</v>
      </c>
      <c r="B818" s="71" t="s">
        <v>17112</v>
      </c>
      <c r="C818" s="71" t="s">
        <v>17111</v>
      </c>
    </row>
    <row r="819">
      <c r="A819" s="130" t="s">
        <v>17897</v>
      </c>
      <c r="B819" s="71" t="s">
        <v>16838</v>
      </c>
      <c r="C819" s="71" t="s">
        <v>17019</v>
      </c>
    </row>
    <row r="820">
      <c r="A820" s="130" t="s">
        <v>17899</v>
      </c>
      <c r="B820" s="71" t="s">
        <v>175</v>
      </c>
      <c r="C820" s="71" t="s">
        <v>16854</v>
      </c>
    </row>
    <row r="821">
      <c r="A821" s="234" t="s">
        <v>17901</v>
      </c>
      <c r="B821" s="71" t="s">
        <v>16957</v>
      </c>
      <c r="C821" s="71" t="s">
        <v>16926</v>
      </c>
    </row>
    <row r="822">
      <c r="A822" s="234" t="s">
        <v>17901</v>
      </c>
      <c r="B822" s="71" t="s">
        <v>16926</v>
      </c>
      <c r="C822" s="71" t="s">
        <v>16957</v>
      </c>
    </row>
    <row r="823">
      <c r="A823" s="234" t="s">
        <v>17903</v>
      </c>
      <c r="B823" s="71" t="s">
        <v>17532</v>
      </c>
      <c r="C823" s="71" t="s">
        <v>169</v>
      </c>
    </row>
    <row r="824">
      <c r="A824" s="234" t="s">
        <v>17903</v>
      </c>
      <c r="B824" s="71" t="s">
        <v>169</v>
      </c>
      <c r="C824" s="71" t="s">
        <v>17532</v>
      </c>
    </row>
    <row r="825">
      <c r="A825" s="234" t="s">
        <v>17905</v>
      </c>
      <c r="B825" s="71" t="s">
        <v>16919</v>
      </c>
      <c r="C825" s="71" t="s">
        <v>17048</v>
      </c>
    </row>
    <row r="826">
      <c r="A826" s="234" t="s">
        <v>17905</v>
      </c>
      <c r="B826" s="71" t="s">
        <v>17048</v>
      </c>
      <c r="C826" s="71" t="s">
        <v>16919</v>
      </c>
    </row>
    <row r="827">
      <c r="A827" s="130" t="s">
        <v>17907</v>
      </c>
      <c r="B827" s="71" t="s">
        <v>16838</v>
      </c>
      <c r="C827" s="71" t="s">
        <v>16867</v>
      </c>
    </row>
    <row r="828">
      <c r="A828" s="234" t="s">
        <v>17909</v>
      </c>
      <c r="B828" s="71" t="s">
        <v>17321</v>
      </c>
      <c r="C828" s="71" t="s">
        <v>169</v>
      </c>
    </row>
    <row r="829">
      <c r="A829" s="234" t="s">
        <v>17909</v>
      </c>
      <c r="B829" s="71" t="s">
        <v>169</v>
      </c>
      <c r="C829" s="71" t="s">
        <v>17321</v>
      </c>
    </row>
    <row r="830">
      <c r="A830" s="234" t="s">
        <v>17911</v>
      </c>
      <c r="B830" s="71" t="s">
        <v>16919</v>
      </c>
      <c r="C830" s="71" t="s">
        <v>17048</v>
      </c>
    </row>
    <row r="831">
      <c r="A831" s="234" t="s">
        <v>17911</v>
      </c>
      <c r="B831" s="71" t="s">
        <v>17048</v>
      </c>
      <c r="C831" s="71" t="s">
        <v>16919</v>
      </c>
    </row>
    <row r="832">
      <c r="A832" s="130" t="s">
        <v>17913</v>
      </c>
      <c r="B832" s="71" t="s">
        <v>187</v>
      </c>
      <c r="C832" s="71" t="s">
        <v>16846</v>
      </c>
    </row>
    <row r="833">
      <c r="A833" s="234" t="s">
        <v>17915</v>
      </c>
      <c r="B833" s="71" t="s">
        <v>158</v>
      </c>
      <c r="C833" s="71" t="s">
        <v>16864</v>
      </c>
    </row>
    <row r="834">
      <c r="A834" s="234" t="s">
        <v>17915</v>
      </c>
      <c r="B834" s="71" t="s">
        <v>16864</v>
      </c>
      <c r="C834" s="71" t="s">
        <v>158</v>
      </c>
    </row>
    <row r="835">
      <c r="A835" s="234" t="s">
        <v>17917</v>
      </c>
      <c r="B835" s="71" t="s">
        <v>16919</v>
      </c>
      <c r="C835" s="71" t="s">
        <v>17048</v>
      </c>
    </row>
    <row r="836">
      <c r="A836" s="234" t="s">
        <v>17917</v>
      </c>
      <c r="B836" s="71" t="s">
        <v>17048</v>
      </c>
      <c r="C836" s="71" t="s">
        <v>16919</v>
      </c>
    </row>
    <row r="837">
      <c r="A837" s="234" t="s">
        <v>17919</v>
      </c>
      <c r="B837" s="71" t="s">
        <v>17009</v>
      </c>
      <c r="C837" s="71" t="s">
        <v>169</v>
      </c>
    </row>
    <row r="838">
      <c r="A838" s="234" t="s">
        <v>17919</v>
      </c>
      <c r="B838" s="71" t="s">
        <v>169</v>
      </c>
      <c r="C838" s="71" t="s">
        <v>17009</v>
      </c>
    </row>
    <row r="839">
      <c r="A839" s="234" t="s">
        <v>17921</v>
      </c>
      <c r="B839" s="71" t="s">
        <v>175</v>
      </c>
      <c r="C839" s="71" t="s">
        <v>16972</v>
      </c>
    </row>
    <row r="840">
      <c r="A840" s="234" t="s">
        <v>17921</v>
      </c>
      <c r="B840" s="71" t="s">
        <v>16972</v>
      </c>
      <c r="C840" s="71" t="s">
        <v>175</v>
      </c>
    </row>
    <row r="841">
      <c r="A841" s="234" t="s">
        <v>17923</v>
      </c>
      <c r="B841" s="71" t="s">
        <v>16919</v>
      </c>
      <c r="C841" s="71" t="s">
        <v>17176</v>
      </c>
    </row>
    <row r="842">
      <c r="A842" s="234" t="s">
        <v>17923</v>
      </c>
      <c r="B842" s="71" t="s">
        <v>17176</v>
      </c>
      <c r="C842" s="71" t="s">
        <v>16919</v>
      </c>
    </row>
    <row r="843">
      <c r="A843" s="234" t="s">
        <v>17925</v>
      </c>
      <c r="B843" s="71" t="s">
        <v>16919</v>
      </c>
      <c r="C843" s="71" t="s">
        <v>17048</v>
      </c>
    </row>
    <row r="844">
      <c r="A844" s="234" t="s">
        <v>17925</v>
      </c>
      <c r="B844" s="71" t="s">
        <v>17048</v>
      </c>
      <c r="C844" s="71" t="s">
        <v>16919</v>
      </c>
    </row>
    <row r="845">
      <c r="A845" s="234" t="s">
        <v>17927</v>
      </c>
      <c r="B845" s="71" t="s">
        <v>17509</v>
      </c>
      <c r="C845" s="71" t="s">
        <v>187</v>
      </c>
    </row>
    <row r="846">
      <c r="A846" s="234" t="s">
        <v>17927</v>
      </c>
      <c r="B846" s="71" t="s">
        <v>187</v>
      </c>
      <c r="C846" s="71" t="s">
        <v>17509</v>
      </c>
    </row>
    <row r="847">
      <c r="A847" s="234" t="s">
        <v>17929</v>
      </c>
      <c r="B847" s="71" t="s">
        <v>17043</v>
      </c>
      <c r="C847" s="71" t="s">
        <v>169</v>
      </c>
    </row>
    <row r="848">
      <c r="A848" s="234" t="s">
        <v>17929</v>
      </c>
      <c r="B848" s="71" t="s">
        <v>169</v>
      </c>
      <c r="C848" s="71" t="s">
        <v>17043</v>
      </c>
    </row>
    <row r="849">
      <c r="A849" s="234" t="s">
        <v>17931</v>
      </c>
      <c r="B849" s="71" t="s">
        <v>16582</v>
      </c>
      <c r="C849" s="71" t="s">
        <v>17342</v>
      </c>
    </row>
    <row r="850">
      <c r="A850" s="234" t="s">
        <v>17931</v>
      </c>
      <c r="B850" s="71" t="s">
        <v>17342</v>
      </c>
      <c r="C850" s="71" t="s">
        <v>16582</v>
      </c>
    </row>
    <row r="851">
      <c r="A851" s="234" t="s">
        <v>17933</v>
      </c>
      <c r="B851" s="71" t="s">
        <v>16867</v>
      </c>
      <c r="C851" s="71" t="s">
        <v>16838</v>
      </c>
    </row>
    <row r="852">
      <c r="A852" s="234" t="s">
        <v>17933</v>
      </c>
      <c r="B852" s="71" t="s">
        <v>16838</v>
      </c>
      <c r="C852" s="71" t="s">
        <v>16867</v>
      </c>
    </row>
    <row r="853">
      <c r="A853" s="130" t="s">
        <v>17935</v>
      </c>
      <c r="B853" s="71" t="s">
        <v>16838</v>
      </c>
      <c r="C853" s="71" t="s">
        <v>17019</v>
      </c>
    </row>
    <row r="854">
      <c r="A854" s="234" t="s">
        <v>17937</v>
      </c>
      <c r="B854" s="71"/>
      <c r="C854" s="71"/>
    </row>
    <row r="855">
      <c r="A855" s="234" t="s">
        <v>17937</v>
      </c>
      <c r="B855" s="71"/>
      <c r="C855" s="71"/>
    </row>
    <row r="856">
      <c r="A856" s="234" t="s">
        <v>17939</v>
      </c>
      <c r="B856" s="71" t="s">
        <v>17112</v>
      </c>
      <c r="C856" s="71" t="s">
        <v>16838</v>
      </c>
    </row>
    <row r="857">
      <c r="A857" s="234" t="s">
        <v>17939</v>
      </c>
      <c r="B857" s="71" t="s">
        <v>16838</v>
      </c>
      <c r="C857" s="71" t="s">
        <v>17112</v>
      </c>
    </row>
    <row r="858">
      <c r="A858" s="234" t="s">
        <v>17941</v>
      </c>
      <c r="B858" s="71" t="s">
        <v>175</v>
      </c>
      <c r="C858" s="71" t="s">
        <v>17457</v>
      </c>
    </row>
    <row r="859">
      <c r="A859" s="234" t="s">
        <v>17941</v>
      </c>
      <c r="B859" s="71" t="s">
        <v>17457</v>
      </c>
      <c r="C859" s="71" t="s">
        <v>175</v>
      </c>
    </row>
    <row r="860">
      <c r="A860" s="130" t="s">
        <v>17943</v>
      </c>
      <c r="B860" s="71" t="s">
        <v>175</v>
      </c>
      <c r="C860" s="71" t="s">
        <v>17480</v>
      </c>
    </row>
    <row r="861">
      <c r="A861" s="234" t="s">
        <v>17945</v>
      </c>
      <c r="B861" s="71" t="s">
        <v>16582</v>
      </c>
      <c r="C861" s="71" t="s">
        <v>16828</v>
      </c>
    </row>
    <row r="862">
      <c r="A862" s="234" t="s">
        <v>17945</v>
      </c>
      <c r="B862" s="71" t="s">
        <v>16828</v>
      </c>
      <c r="C862" s="71" t="s">
        <v>16582</v>
      </c>
    </row>
    <row r="863">
      <c r="A863" s="234" t="s">
        <v>17947</v>
      </c>
      <c r="B863" s="71" t="s">
        <v>175</v>
      </c>
      <c r="C863" s="71" t="s">
        <v>17948</v>
      </c>
    </row>
    <row r="864">
      <c r="A864" s="234" t="s">
        <v>17947</v>
      </c>
      <c r="B864" s="71" t="s">
        <v>17948</v>
      </c>
      <c r="C864" s="71" t="s">
        <v>175</v>
      </c>
    </row>
    <row r="865">
      <c r="A865" s="234" t="s">
        <v>17950</v>
      </c>
      <c r="B865" s="71" t="s">
        <v>17202</v>
      </c>
      <c r="C865" s="71" t="s">
        <v>16838</v>
      </c>
    </row>
    <row r="866">
      <c r="A866" s="234" t="s">
        <v>17950</v>
      </c>
      <c r="B866" s="71" t="s">
        <v>16838</v>
      </c>
      <c r="C866" s="71" t="s">
        <v>17202</v>
      </c>
    </row>
    <row r="867">
      <c r="A867" s="234" t="s">
        <v>17952</v>
      </c>
      <c r="B867" s="71" t="s">
        <v>16919</v>
      </c>
      <c r="C867" s="71" t="s">
        <v>16920</v>
      </c>
    </row>
    <row r="868">
      <c r="A868" s="234" t="s">
        <v>17952</v>
      </c>
      <c r="B868" s="71" t="s">
        <v>16920</v>
      </c>
      <c r="C868" s="71" t="s">
        <v>16919</v>
      </c>
    </row>
    <row r="869">
      <c r="A869" s="234" t="s">
        <v>17954</v>
      </c>
      <c r="B869" s="71" t="s">
        <v>16919</v>
      </c>
      <c r="C869" s="71" t="s">
        <v>17048</v>
      </c>
    </row>
    <row r="870">
      <c r="A870" s="234" t="s">
        <v>17954</v>
      </c>
      <c r="B870" s="71" t="s">
        <v>17048</v>
      </c>
      <c r="C870" s="71" t="s">
        <v>16919</v>
      </c>
    </row>
    <row r="871">
      <c r="A871" s="234" t="s">
        <v>17956</v>
      </c>
      <c r="B871" s="71" t="s">
        <v>16838</v>
      </c>
      <c r="C871" s="71" t="s">
        <v>17112</v>
      </c>
    </row>
    <row r="872">
      <c r="A872" s="234" t="s">
        <v>17956</v>
      </c>
      <c r="B872" s="71" t="s">
        <v>17112</v>
      </c>
      <c r="C872" s="71" t="s">
        <v>16838</v>
      </c>
    </row>
    <row r="873">
      <c r="A873" s="234" t="s">
        <v>17958</v>
      </c>
      <c r="B873" s="71" t="s">
        <v>16919</v>
      </c>
      <c r="C873" s="71" t="s">
        <v>17048</v>
      </c>
    </row>
    <row r="874">
      <c r="A874" s="234" t="s">
        <v>17958</v>
      </c>
      <c r="B874" s="71" t="s">
        <v>17048</v>
      </c>
      <c r="C874" s="71" t="s">
        <v>16919</v>
      </c>
    </row>
    <row r="875">
      <c r="A875" s="130" t="s">
        <v>17960</v>
      </c>
      <c r="B875" s="71" t="s">
        <v>16582</v>
      </c>
      <c r="C875" s="71" t="s">
        <v>16583</v>
      </c>
    </row>
    <row r="876">
      <c r="A876" s="234" t="s">
        <v>17962</v>
      </c>
      <c r="B876" s="71" t="s">
        <v>16582</v>
      </c>
      <c r="C876" s="71" t="s">
        <v>16583</v>
      </c>
    </row>
    <row r="877">
      <c r="A877" s="234" t="s">
        <v>17962</v>
      </c>
      <c r="B877" s="71" t="s">
        <v>16583</v>
      </c>
      <c r="C877" s="71" t="s">
        <v>16582</v>
      </c>
    </row>
    <row r="878">
      <c r="A878" s="234" t="s">
        <v>17964</v>
      </c>
      <c r="B878" s="71" t="s">
        <v>16838</v>
      </c>
      <c r="C878" s="71" t="s">
        <v>17452</v>
      </c>
    </row>
    <row r="879">
      <c r="A879" s="234" t="s">
        <v>17964</v>
      </c>
      <c r="B879" s="71" t="s">
        <v>17452</v>
      </c>
      <c r="C879" s="71" t="s">
        <v>16838</v>
      </c>
    </row>
    <row r="880">
      <c r="A880" s="234" t="s">
        <v>17966</v>
      </c>
      <c r="B880" s="71" t="s">
        <v>175</v>
      </c>
      <c r="C880" s="71" t="s">
        <v>16942</v>
      </c>
    </row>
    <row r="881">
      <c r="A881" s="234" t="s">
        <v>17966</v>
      </c>
      <c r="B881" s="71" t="s">
        <v>16942</v>
      </c>
      <c r="C881" s="71" t="s">
        <v>175</v>
      </c>
    </row>
    <row r="882">
      <c r="A882" s="234" t="s">
        <v>17968</v>
      </c>
      <c r="B882" s="71"/>
      <c r="C882" s="71"/>
    </row>
    <row r="883">
      <c r="A883" s="234" t="s">
        <v>17968</v>
      </c>
      <c r="B883" s="71"/>
      <c r="C883" s="71"/>
    </row>
    <row r="884">
      <c r="A884" s="234" t="s">
        <v>17970</v>
      </c>
      <c r="B884" s="71" t="s">
        <v>169</v>
      </c>
      <c r="C884" s="71" t="s">
        <v>16899</v>
      </c>
    </row>
    <row r="885">
      <c r="A885" s="234" t="s">
        <v>17970</v>
      </c>
      <c r="B885" s="71" t="s">
        <v>16899</v>
      </c>
      <c r="C885" s="71" t="s">
        <v>169</v>
      </c>
    </row>
    <row r="886">
      <c r="A886" s="234" t="s">
        <v>17972</v>
      </c>
      <c r="B886" s="71"/>
      <c r="C886" s="71"/>
    </row>
    <row r="887">
      <c r="A887" s="234" t="s">
        <v>17972</v>
      </c>
      <c r="B887" s="71"/>
      <c r="C887" s="71"/>
    </row>
    <row r="888">
      <c r="A888" s="234" t="s">
        <v>17974</v>
      </c>
      <c r="B888" s="71" t="s">
        <v>16945</v>
      </c>
      <c r="C888" s="71" t="s">
        <v>169</v>
      </c>
    </row>
    <row r="889">
      <c r="A889" s="234" t="s">
        <v>17974</v>
      </c>
      <c r="B889" s="71" t="s">
        <v>169</v>
      </c>
      <c r="C889" s="71" t="s">
        <v>16945</v>
      </c>
    </row>
    <row r="890">
      <c r="A890" s="234" t="s">
        <v>17976</v>
      </c>
      <c r="B890" s="71" t="s">
        <v>169</v>
      </c>
      <c r="C890" s="71" t="s">
        <v>16899</v>
      </c>
    </row>
    <row r="891">
      <c r="A891" s="234" t="s">
        <v>17976</v>
      </c>
      <c r="B891" s="71" t="s">
        <v>16899</v>
      </c>
      <c r="C891" s="71" t="s">
        <v>169</v>
      </c>
    </row>
    <row r="892">
      <c r="A892" s="234" t="s">
        <v>17978</v>
      </c>
      <c r="B892" s="71" t="s">
        <v>175</v>
      </c>
      <c r="C892" s="71" t="s">
        <v>16942</v>
      </c>
    </row>
    <row r="893">
      <c r="A893" s="234" t="s">
        <v>17978</v>
      </c>
      <c r="B893" s="71" t="s">
        <v>16942</v>
      </c>
      <c r="C893" s="71" t="s">
        <v>175</v>
      </c>
    </row>
    <row r="894">
      <c r="A894" s="130" t="s">
        <v>17980</v>
      </c>
      <c r="B894" s="71" t="s">
        <v>169</v>
      </c>
      <c r="C894" s="71" t="s">
        <v>17532</v>
      </c>
    </row>
    <row r="895">
      <c r="A895" s="130" t="s">
        <v>17982</v>
      </c>
      <c r="B895" s="71" t="s">
        <v>16582</v>
      </c>
      <c r="C895" s="71" t="s">
        <v>16817</v>
      </c>
    </row>
    <row r="896">
      <c r="A896" s="130" t="s">
        <v>17984</v>
      </c>
      <c r="B896" s="71" t="s">
        <v>16910</v>
      </c>
      <c r="C896" s="71" t="s">
        <v>17137</v>
      </c>
    </row>
    <row r="897">
      <c r="A897" s="130" t="s">
        <v>17987</v>
      </c>
      <c r="B897" s="71" t="s">
        <v>169</v>
      </c>
      <c r="C897" s="71" t="s">
        <v>17043</v>
      </c>
    </row>
    <row r="898">
      <c r="A898" s="234" t="s">
        <v>17989</v>
      </c>
      <c r="B898" s="71" t="s">
        <v>16582</v>
      </c>
      <c r="C898" s="71" t="s">
        <v>16828</v>
      </c>
    </row>
    <row r="899">
      <c r="A899" s="234" t="s">
        <v>17989</v>
      </c>
      <c r="B899" s="71" t="s">
        <v>16828</v>
      </c>
      <c r="C899" s="71" t="s">
        <v>16582</v>
      </c>
    </row>
    <row r="900">
      <c r="A900" s="234" t="s">
        <v>17991</v>
      </c>
      <c r="B900" s="71" t="s">
        <v>16919</v>
      </c>
      <c r="C900" s="71" t="s">
        <v>17176</v>
      </c>
    </row>
    <row r="901">
      <c r="A901" s="234" t="s">
        <v>17991</v>
      </c>
      <c r="B901" s="71" t="s">
        <v>17176</v>
      </c>
      <c r="C901" s="71" t="s">
        <v>16919</v>
      </c>
    </row>
    <row r="902">
      <c r="A902" s="130" t="s">
        <v>17993</v>
      </c>
      <c r="B902" s="71" t="s">
        <v>175</v>
      </c>
      <c r="C902" s="71" t="s">
        <v>17619</v>
      </c>
    </row>
    <row r="903">
      <c r="A903" s="234" t="s">
        <v>17995</v>
      </c>
      <c r="B903" s="71" t="s">
        <v>16910</v>
      </c>
      <c r="C903" s="71" t="s">
        <v>17996</v>
      </c>
    </row>
    <row r="904">
      <c r="A904" s="234" t="s">
        <v>17995</v>
      </c>
      <c r="B904" s="71" t="s">
        <v>17996</v>
      </c>
      <c r="C904" s="71" t="s">
        <v>16910</v>
      </c>
    </row>
    <row r="905">
      <c r="A905" s="234" t="s">
        <v>17998</v>
      </c>
      <c r="B905" s="71" t="s">
        <v>175</v>
      </c>
      <c r="C905" s="71" t="s">
        <v>17457</v>
      </c>
    </row>
    <row r="906">
      <c r="A906" s="234" t="s">
        <v>17998</v>
      </c>
      <c r="B906" s="71" t="s">
        <v>17457</v>
      </c>
      <c r="C906" s="71" t="s">
        <v>175</v>
      </c>
    </row>
    <row r="907">
      <c r="A907" s="234" t="s">
        <v>18000</v>
      </c>
      <c r="B907" s="71" t="s">
        <v>16910</v>
      </c>
      <c r="C907" s="71" t="s">
        <v>17119</v>
      </c>
    </row>
    <row r="908">
      <c r="A908" s="234" t="s">
        <v>18000</v>
      </c>
      <c r="B908" s="71" t="s">
        <v>17119</v>
      </c>
      <c r="C908" s="71" t="s">
        <v>16910</v>
      </c>
    </row>
    <row r="909">
      <c r="A909" s="234" t="s">
        <v>18002</v>
      </c>
      <c r="B909" s="71" t="s">
        <v>17127</v>
      </c>
      <c r="C909" s="71" t="s">
        <v>16838</v>
      </c>
    </row>
    <row r="910">
      <c r="A910" s="234" t="s">
        <v>18002</v>
      </c>
      <c r="B910" s="71" t="s">
        <v>16838</v>
      </c>
      <c r="C910" s="71" t="s">
        <v>17127</v>
      </c>
    </row>
    <row r="911">
      <c r="A911" s="130" t="s">
        <v>18004</v>
      </c>
      <c r="B911" s="71" t="s">
        <v>187</v>
      </c>
      <c r="C911" s="71" t="s">
        <v>18005</v>
      </c>
    </row>
    <row r="912">
      <c r="A912" s="234" t="s">
        <v>18007</v>
      </c>
      <c r="B912" s="71" t="s">
        <v>16582</v>
      </c>
      <c r="C912" s="71" t="s">
        <v>16817</v>
      </c>
    </row>
    <row r="913">
      <c r="A913" s="234" t="s">
        <v>18007</v>
      </c>
      <c r="B913" s="71" t="s">
        <v>16817</v>
      </c>
      <c r="C913" s="71" t="s">
        <v>16582</v>
      </c>
    </row>
    <row r="914">
      <c r="A914" s="234" t="s">
        <v>18009</v>
      </c>
      <c r="B914" s="71" t="s">
        <v>17532</v>
      </c>
      <c r="C914" s="71" t="s">
        <v>169</v>
      </c>
    </row>
    <row r="915">
      <c r="A915" s="234" t="s">
        <v>18009</v>
      </c>
      <c r="B915" s="71" t="s">
        <v>169</v>
      </c>
      <c r="C915" s="71" t="s">
        <v>17532</v>
      </c>
    </row>
    <row r="916">
      <c r="A916" s="234" t="s">
        <v>18011</v>
      </c>
      <c r="B916" s="71" t="s">
        <v>17127</v>
      </c>
      <c r="C916" s="71" t="s">
        <v>16838</v>
      </c>
    </row>
    <row r="917">
      <c r="A917" s="234" t="s">
        <v>18011</v>
      </c>
      <c r="B917" s="71" t="s">
        <v>16838</v>
      </c>
      <c r="C917" s="71" t="s">
        <v>17127</v>
      </c>
    </row>
    <row r="918">
      <c r="A918" s="234" t="s">
        <v>18013</v>
      </c>
      <c r="B918" s="71" t="s">
        <v>158</v>
      </c>
      <c r="C918" s="71" t="s">
        <v>16864</v>
      </c>
    </row>
    <row r="919">
      <c r="A919" s="234" t="s">
        <v>18013</v>
      </c>
      <c r="B919" s="71" t="s">
        <v>16864</v>
      </c>
      <c r="C919" s="71" t="s">
        <v>158</v>
      </c>
    </row>
    <row r="920">
      <c r="A920" s="234" t="s">
        <v>18015</v>
      </c>
      <c r="B920" s="71" t="s">
        <v>16919</v>
      </c>
      <c r="C920" s="71" t="s">
        <v>17048</v>
      </c>
    </row>
    <row r="921">
      <c r="A921" s="234" t="s">
        <v>18015</v>
      </c>
      <c r="B921" s="71" t="s">
        <v>17048</v>
      </c>
      <c r="C921" s="71" t="s">
        <v>16919</v>
      </c>
    </row>
    <row r="922">
      <c r="A922" s="234" t="s">
        <v>18017</v>
      </c>
      <c r="B922" s="71" t="s">
        <v>18005</v>
      </c>
      <c r="C922" s="71" t="s">
        <v>187</v>
      </c>
    </row>
    <row r="923">
      <c r="A923" s="234" t="s">
        <v>18017</v>
      </c>
      <c r="B923" s="71" t="s">
        <v>187</v>
      </c>
      <c r="C923" s="71" t="s">
        <v>18005</v>
      </c>
    </row>
    <row r="924">
      <c r="A924" s="130" t="s">
        <v>18019</v>
      </c>
      <c r="B924" s="71" t="s">
        <v>169</v>
      </c>
      <c r="C924" s="71" t="s">
        <v>16899</v>
      </c>
    </row>
    <row r="925">
      <c r="A925" s="234" t="s">
        <v>18021</v>
      </c>
      <c r="B925" s="71" t="s">
        <v>16910</v>
      </c>
      <c r="C925" s="71" t="s">
        <v>17119</v>
      </c>
    </row>
    <row r="926">
      <c r="A926" s="234" t="s">
        <v>18021</v>
      </c>
      <c r="B926" s="71" t="s">
        <v>17119</v>
      </c>
      <c r="C926" s="71" t="s">
        <v>16910</v>
      </c>
    </row>
    <row r="927">
      <c r="A927" s="234" t="s">
        <v>18023</v>
      </c>
      <c r="B927" s="71" t="s">
        <v>16851</v>
      </c>
      <c r="C927" s="71" t="s">
        <v>187</v>
      </c>
    </row>
    <row r="928">
      <c r="A928" s="234" t="s">
        <v>18023</v>
      </c>
      <c r="B928" s="71" t="s">
        <v>187</v>
      </c>
      <c r="C928" s="71" t="s">
        <v>16851</v>
      </c>
    </row>
    <row r="929">
      <c r="A929" s="234" t="s">
        <v>18025</v>
      </c>
      <c r="B929" s="71" t="s">
        <v>169</v>
      </c>
      <c r="C929" s="71" t="s">
        <v>17339</v>
      </c>
    </row>
    <row r="930">
      <c r="A930" s="234" t="s">
        <v>18025</v>
      </c>
      <c r="B930" s="71" t="s">
        <v>17339</v>
      </c>
      <c r="C930" s="71" t="s">
        <v>169</v>
      </c>
    </row>
    <row r="931">
      <c r="A931" s="234" t="s">
        <v>18027</v>
      </c>
      <c r="B931" s="71" t="s">
        <v>17111</v>
      </c>
      <c r="C931" s="71" t="s">
        <v>17112</v>
      </c>
    </row>
    <row r="932">
      <c r="A932" s="234" t="s">
        <v>18027</v>
      </c>
      <c r="B932" s="71" t="s">
        <v>17112</v>
      </c>
      <c r="C932" s="71" t="s">
        <v>17111</v>
      </c>
    </row>
    <row r="933">
      <c r="A933" s="234" t="s">
        <v>18029</v>
      </c>
      <c r="B933" s="71" t="s">
        <v>16910</v>
      </c>
      <c r="C933" s="71" t="s">
        <v>16911</v>
      </c>
    </row>
    <row r="934">
      <c r="A934" s="234" t="s">
        <v>18029</v>
      </c>
      <c r="B934" s="71" t="s">
        <v>16911</v>
      </c>
      <c r="C934" s="71" t="s">
        <v>16910</v>
      </c>
    </row>
    <row r="935">
      <c r="A935" s="130" t="s">
        <v>18032</v>
      </c>
      <c r="B935" s="71" t="s">
        <v>16838</v>
      </c>
      <c r="C935" s="71" t="s">
        <v>17019</v>
      </c>
    </row>
    <row r="936">
      <c r="A936" s="130" t="s">
        <v>18034</v>
      </c>
      <c r="B936" s="71" t="s">
        <v>16582</v>
      </c>
      <c r="C936" s="71" t="s">
        <v>16583</v>
      </c>
    </row>
    <row r="937">
      <c r="A937" s="130" t="s">
        <v>18036</v>
      </c>
      <c r="B937" s="71" t="s">
        <v>16582</v>
      </c>
      <c r="C937" s="71" t="s">
        <v>16817</v>
      </c>
    </row>
    <row r="938">
      <c r="A938" s="234" t="s">
        <v>18038</v>
      </c>
      <c r="B938" s="71" t="s">
        <v>17111</v>
      </c>
      <c r="C938" s="71" t="s">
        <v>17112</v>
      </c>
    </row>
    <row r="939">
      <c r="A939" s="234" t="s">
        <v>18038</v>
      </c>
      <c r="B939" s="71" t="s">
        <v>17112</v>
      </c>
      <c r="C939" s="71" t="s">
        <v>17111</v>
      </c>
    </row>
    <row r="940">
      <c r="A940" s="234" t="s">
        <v>18040</v>
      </c>
      <c r="B940" s="71" t="s">
        <v>16919</v>
      </c>
      <c r="C940" s="71" t="s">
        <v>17048</v>
      </c>
    </row>
    <row r="941">
      <c r="A941" s="234" t="s">
        <v>18040</v>
      </c>
      <c r="B941" s="71" t="s">
        <v>17048</v>
      </c>
      <c r="C941" s="71" t="s">
        <v>16919</v>
      </c>
    </row>
    <row r="942">
      <c r="A942" s="234" t="s">
        <v>18042</v>
      </c>
      <c r="B942" s="71" t="s">
        <v>175</v>
      </c>
      <c r="C942" s="71" t="s">
        <v>16854</v>
      </c>
    </row>
    <row r="943">
      <c r="A943" s="234" t="s">
        <v>18042</v>
      </c>
      <c r="B943" s="71" t="s">
        <v>16854</v>
      </c>
      <c r="C943" s="71" t="s">
        <v>175</v>
      </c>
    </row>
    <row r="944">
      <c r="A944" s="130" t="s">
        <v>18044</v>
      </c>
      <c r="B944" s="71" t="s">
        <v>16838</v>
      </c>
      <c r="C944" s="71" t="s">
        <v>16867</v>
      </c>
    </row>
    <row r="945">
      <c r="A945" s="130" t="s">
        <v>18046</v>
      </c>
      <c r="B945" s="71" t="s">
        <v>16838</v>
      </c>
      <c r="C945" s="71" t="s">
        <v>16867</v>
      </c>
    </row>
    <row r="946">
      <c r="A946" s="234" t="s">
        <v>18048</v>
      </c>
      <c r="B946" s="71" t="s">
        <v>16957</v>
      </c>
      <c r="C946" s="71" t="s">
        <v>16926</v>
      </c>
    </row>
    <row r="947">
      <c r="A947" s="234" t="s">
        <v>18048</v>
      </c>
      <c r="B947" s="71" t="s">
        <v>16926</v>
      </c>
      <c r="C947" s="71" t="s">
        <v>16957</v>
      </c>
    </row>
    <row r="948">
      <c r="A948" s="234" t="s">
        <v>18050</v>
      </c>
      <c r="B948" s="71" t="s">
        <v>175</v>
      </c>
      <c r="C948" s="71" t="s">
        <v>16972</v>
      </c>
    </row>
    <row r="949">
      <c r="A949" s="234" t="s">
        <v>18050</v>
      </c>
      <c r="B949" s="71" t="s">
        <v>16972</v>
      </c>
      <c r="C949" s="71" t="s">
        <v>175</v>
      </c>
    </row>
    <row r="950">
      <c r="A950" s="234" t="s">
        <v>18052</v>
      </c>
      <c r="B950" s="71" t="s">
        <v>17057</v>
      </c>
      <c r="C950" s="71" t="s">
        <v>169</v>
      </c>
    </row>
    <row r="951">
      <c r="A951" s="234" t="s">
        <v>18052</v>
      </c>
      <c r="B951" s="71" t="s">
        <v>169</v>
      </c>
      <c r="C951" s="71" t="s">
        <v>17057</v>
      </c>
    </row>
    <row r="952">
      <c r="A952" s="234" t="s">
        <v>18054</v>
      </c>
      <c r="B952" s="71" t="s">
        <v>16919</v>
      </c>
      <c r="C952" s="71" t="s">
        <v>17048</v>
      </c>
    </row>
    <row r="953">
      <c r="A953" s="234" t="s">
        <v>18054</v>
      </c>
      <c r="B953" s="71" t="s">
        <v>17048</v>
      </c>
      <c r="C953" s="71" t="s">
        <v>16919</v>
      </c>
    </row>
    <row r="954">
      <c r="A954" s="130" t="s">
        <v>18056</v>
      </c>
      <c r="B954" s="71" t="s">
        <v>175</v>
      </c>
      <c r="C954" s="71" t="s">
        <v>16972</v>
      </c>
    </row>
    <row r="955">
      <c r="A955" s="234" t="s">
        <v>18058</v>
      </c>
      <c r="B955" s="71" t="s">
        <v>17104</v>
      </c>
      <c r="C955" s="71" t="s">
        <v>16838</v>
      </c>
    </row>
    <row r="956">
      <c r="A956" s="234" t="s">
        <v>18058</v>
      </c>
      <c r="B956" s="71" t="s">
        <v>16838</v>
      </c>
      <c r="C956" s="71" t="s">
        <v>17104</v>
      </c>
    </row>
    <row r="957">
      <c r="A957" s="130" t="s">
        <v>18060</v>
      </c>
      <c r="B957" s="71" t="s">
        <v>17112</v>
      </c>
      <c r="C957" s="71" t="s">
        <v>17111</v>
      </c>
    </row>
    <row r="958">
      <c r="A958" s="130" t="s">
        <v>18062</v>
      </c>
      <c r="B958" s="71" t="s">
        <v>175</v>
      </c>
      <c r="C958" s="71" t="s">
        <v>18063</v>
      </c>
    </row>
    <row r="959">
      <c r="A959" s="234" t="s">
        <v>18065</v>
      </c>
      <c r="B959" s="71" t="s">
        <v>16919</v>
      </c>
      <c r="C959" s="71" t="s">
        <v>17048</v>
      </c>
    </row>
    <row r="960">
      <c r="A960" s="234" t="s">
        <v>18065</v>
      </c>
      <c r="B960" s="71" t="s">
        <v>17048</v>
      </c>
      <c r="C960" s="71" t="s">
        <v>16919</v>
      </c>
    </row>
    <row r="961">
      <c r="A961" s="130" t="s">
        <v>18067</v>
      </c>
      <c r="B961" s="71" t="s">
        <v>175</v>
      </c>
      <c r="C961" s="71" t="s">
        <v>16854</v>
      </c>
    </row>
    <row r="962">
      <c r="A962" s="234" t="s">
        <v>18069</v>
      </c>
      <c r="B962" s="71" t="s">
        <v>16910</v>
      </c>
      <c r="C962" s="71" t="s">
        <v>17996</v>
      </c>
    </row>
    <row r="963">
      <c r="A963" s="234" t="s">
        <v>18069</v>
      </c>
      <c r="B963" s="71" t="s">
        <v>17996</v>
      </c>
      <c r="C963" s="71" t="s">
        <v>16910</v>
      </c>
    </row>
    <row r="964">
      <c r="A964" s="234" t="s">
        <v>18071</v>
      </c>
      <c r="B964" s="71" t="s">
        <v>17127</v>
      </c>
      <c r="C964" s="71" t="s">
        <v>16838</v>
      </c>
    </row>
    <row r="965">
      <c r="A965" s="234" t="s">
        <v>18071</v>
      </c>
      <c r="B965" s="71" t="s">
        <v>16838</v>
      </c>
      <c r="C965" s="71" t="s">
        <v>17127</v>
      </c>
    </row>
    <row r="966">
      <c r="A966" s="234" t="s">
        <v>18073</v>
      </c>
      <c r="B966" s="71" t="s">
        <v>175</v>
      </c>
      <c r="C966" s="71" t="s">
        <v>17233</v>
      </c>
    </row>
    <row r="967">
      <c r="A967" s="234" t="s">
        <v>18073</v>
      </c>
      <c r="B967" s="71" t="s">
        <v>17233</v>
      </c>
      <c r="C967" s="71" t="s">
        <v>175</v>
      </c>
    </row>
    <row r="968">
      <c r="A968" s="234" t="s">
        <v>18075</v>
      </c>
      <c r="B968" s="71" t="s">
        <v>16969</v>
      </c>
      <c r="C968" s="71" t="s">
        <v>187</v>
      </c>
    </row>
    <row r="969">
      <c r="A969" s="234" t="s">
        <v>18075</v>
      </c>
      <c r="B969" s="71" t="s">
        <v>187</v>
      </c>
      <c r="C969" s="71" t="s">
        <v>16969</v>
      </c>
    </row>
    <row r="970">
      <c r="A970" s="234" t="s">
        <v>18077</v>
      </c>
      <c r="B970" s="71" t="s">
        <v>17111</v>
      </c>
      <c r="C970" s="71" t="s">
        <v>17112</v>
      </c>
    </row>
    <row r="971">
      <c r="A971" s="234" t="s">
        <v>18077</v>
      </c>
      <c r="B971" s="71" t="s">
        <v>17112</v>
      </c>
      <c r="C971" s="71" t="s">
        <v>17111</v>
      </c>
    </row>
    <row r="972">
      <c r="A972" s="130" t="s">
        <v>18079</v>
      </c>
      <c r="B972" s="71" t="s">
        <v>16838</v>
      </c>
      <c r="C972" s="71" t="s">
        <v>17384</v>
      </c>
    </row>
    <row r="973">
      <c r="A973" s="234" t="s">
        <v>18081</v>
      </c>
      <c r="B973" s="71" t="s">
        <v>175</v>
      </c>
      <c r="C973" s="71" t="s">
        <v>17545</v>
      </c>
    </row>
    <row r="974">
      <c r="A974" s="234" t="s">
        <v>18081</v>
      </c>
      <c r="B974" s="71" t="s">
        <v>17545</v>
      </c>
      <c r="C974" s="71" t="s">
        <v>175</v>
      </c>
    </row>
    <row r="975">
      <c r="A975" s="234" t="s">
        <v>18083</v>
      </c>
      <c r="B975" s="71" t="s">
        <v>16919</v>
      </c>
      <c r="C975" s="71" t="s">
        <v>17413</v>
      </c>
    </row>
    <row r="976">
      <c r="A976" s="234" t="s">
        <v>18083</v>
      </c>
      <c r="B976" s="71" t="s">
        <v>17413</v>
      </c>
      <c r="C976" s="71" t="s">
        <v>16919</v>
      </c>
    </row>
    <row r="977">
      <c r="A977" s="130" t="s">
        <v>18085</v>
      </c>
      <c r="B977" s="71" t="s">
        <v>175</v>
      </c>
      <c r="C977" s="71" t="s">
        <v>17069</v>
      </c>
    </row>
    <row r="978">
      <c r="A978" s="234" t="s">
        <v>18087</v>
      </c>
      <c r="B978" s="71" t="s">
        <v>17016</v>
      </c>
      <c r="C978" s="71" t="s">
        <v>16838</v>
      </c>
    </row>
    <row r="979">
      <c r="A979" s="234" t="s">
        <v>18087</v>
      </c>
      <c r="B979" s="71" t="s">
        <v>16838</v>
      </c>
      <c r="C979" s="71" t="s">
        <v>17016</v>
      </c>
    </row>
    <row r="980">
      <c r="A980" s="234" t="s">
        <v>18089</v>
      </c>
      <c r="B980" s="71" t="s">
        <v>175</v>
      </c>
      <c r="C980" s="71" t="s">
        <v>17452</v>
      </c>
    </row>
    <row r="981">
      <c r="A981" s="234" t="s">
        <v>18089</v>
      </c>
      <c r="B981" s="71" t="s">
        <v>17452</v>
      </c>
      <c r="C981" s="71" t="s">
        <v>175</v>
      </c>
    </row>
    <row r="982">
      <c r="A982" s="234" t="s">
        <v>18091</v>
      </c>
      <c r="B982" s="71" t="s">
        <v>175</v>
      </c>
      <c r="C982" s="71" t="s">
        <v>17812</v>
      </c>
    </row>
    <row r="983">
      <c r="A983" s="234" t="s">
        <v>18091</v>
      </c>
      <c r="B983" s="71" t="s">
        <v>17812</v>
      </c>
      <c r="C983" s="71" t="s">
        <v>175</v>
      </c>
    </row>
    <row r="984">
      <c r="A984" s="234" t="s">
        <v>18093</v>
      </c>
      <c r="B984" s="71" t="s">
        <v>16582</v>
      </c>
      <c r="C984" s="71" t="s">
        <v>17339</v>
      </c>
    </row>
    <row r="985">
      <c r="A985" s="234" t="s">
        <v>18093</v>
      </c>
      <c r="B985" s="71" t="s">
        <v>17339</v>
      </c>
      <c r="C985" s="71" t="s">
        <v>16582</v>
      </c>
    </row>
    <row r="986">
      <c r="A986" s="130" t="s">
        <v>18095</v>
      </c>
      <c r="B986" s="71" t="s">
        <v>16838</v>
      </c>
      <c r="C986" s="71" t="s">
        <v>16867</v>
      </c>
    </row>
    <row r="987">
      <c r="A987" s="130" t="s">
        <v>18097</v>
      </c>
      <c r="B987" s="71" t="s">
        <v>169</v>
      </c>
      <c r="C987" s="71" t="s">
        <v>18098</v>
      </c>
    </row>
    <row r="988">
      <c r="A988" s="130" t="s">
        <v>18100</v>
      </c>
      <c r="B988" s="71" t="s">
        <v>187</v>
      </c>
      <c r="C988" s="71" t="s">
        <v>17552</v>
      </c>
    </row>
    <row r="989">
      <c r="A989" s="234" t="s">
        <v>18102</v>
      </c>
      <c r="B989" s="71" t="s">
        <v>175</v>
      </c>
      <c r="C989" s="71" t="s">
        <v>16975</v>
      </c>
    </row>
    <row r="990">
      <c r="A990" s="234" t="s">
        <v>18102</v>
      </c>
      <c r="B990" s="71" t="s">
        <v>16975</v>
      </c>
      <c r="C990" s="71" t="s">
        <v>175</v>
      </c>
    </row>
    <row r="991">
      <c r="A991" s="130" t="s">
        <v>18104</v>
      </c>
      <c r="B991" s="71" t="s">
        <v>187</v>
      </c>
      <c r="C991" s="71" t="s">
        <v>16846</v>
      </c>
    </row>
    <row r="992">
      <c r="A992" s="234" t="s">
        <v>18106</v>
      </c>
      <c r="B992" s="71" t="s">
        <v>16919</v>
      </c>
      <c r="C992" s="71" t="s">
        <v>17176</v>
      </c>
    </row>
    <row r="993">
      <c r="A993" s="234" t="s">
        <v>18106</v>
      </c>
      <c r="B993" s="71" t="s">
        <v>17176</v>
      </c>
      <c r="C993" s="71" t="s">
        <v>16919</v>
      </c>
    </row>
    <row r="994">
      <c r="A994" s="130" t="s">
        <v>18108</v>
      </c>
      <c r="B994" s="71" t="s">
        <v>16582</v>
      </c>
      <c r="C994" s="71" t="s">
        <v>17183</v>
      </c>
    </row>
    <row r="995">
      <c r="A995" s="234" t="s">
        <v>18110</v>
      </c>
      <c r="B995" s="71" t="s">
        <v>158</v>
      </c>
      <c r="C995" s="71" t="s">
        <v>16864</v>
      </c>
    </row>
    <row r="996">
      <c r="A996" s="234" t="s">
        <v>18110</v>
      </c>
      <c r="B996" s="71" t="s">
        <v>16864</v>
      </c>
      <c r="C996" s="71" t="s">
        <v>158</v>
      </c>
    </row>
    <row r="997">
      <c r="A997" s="234" t="s">
        <v>18112</v>
      </c>
      <c r="B997" s="71" t="s">
        <v>16838</v>
      </c>
      <c r="C997" s="71" t="s">
        <v>16867</v>
      </c>
    </row>
    <row r="998">
      <c r="A998" s="234" t="s">
        <v>18112</v>
      </c>
      <c r="B998" s="71" t="s">
        <v>16867</v>
      </c>
      <c r="C998" s="71" t="s">
        <v>16838</v>
      </c>
    </row>
    <row r="999">
      <c r="A999" s="234" t="s">
        <v>18114</v>
      </c>
      <c r="B999" s="71" t="s">
        <v>16582</v>
      </c>
      <c r="C999" s="71" t="s">
        <v>16899</v>
      </c>
    </row>
    <row r="1000">
      <c r="A1000" s="234" t="s">
        <v>18114</v>
      </c>
      <c r="B1000" s="71" t="s">
        <v>16899</v>
      </c>
      <c r="C1000" s="71" t="s">
        <v>16582</v>
      </c>
    </row>
    <row r="1001">
      <c r="A1001" s="130" t="s">
        <v>18116</v>
      </c>
      <c r="B1001" s="71" t="s">
        <v>169</v>
      </c>
      <c r="C1001" s="71" t="s">
        <v>17619</v>
      </c>
    </row>
    <row r="1002">
      <c r="A1002" s="130" t="s">
        <v>18118</v>
      </c>
      <c r="B1002" s="71" t="s">
        <v>187</v>
      </c>
      <c r="C1002" s="71" t="s">
        <v>16846</v>
      </c>
    </row>
    <row r="1003">
      <c r="A1003" s="234" t="s">
        <v>18120</v>
      </c>
      <c r="B1003" s="71" t="s">
        <v>16838</v>
      </c>
      <c r="C1003" s="71" t="s">
        <v>17002</v>
      </c>
    </row>
    <row r="1004">
      <c r="A1004" s="234" t="s">
        <v>18120</v>
      </c>
      <c r="B1004" s="71" t="s">
        <v>17002</v>
      </c>
      <c r="C1004" s="71" t="s">
        <v>16838</v>
      </c>
    </row>
    <row r="1005">
      <c r="A1005" s="130" t="s">
        <v>18122</v>
      </c>
      <c r="B1005" s="71" t="s">
        <v>16838</v>
      </c>
      <c r="C1005" s="71" t="s">
        <v>17127</v>
      </c>
    </row>
    <row r="1006">
      <c r="A1006" s="234" t="s">
        <v>18124</v>
      </c>
      <c r="B1006" s="71" t="s">
        <v>16945</v>
      </c>
      <c r="C1006" s="71" t="s">
        <v>169</v>
      </c>
    </row>
    <row r="1007">
      <c r="A1007" s="234" t="s">
        <v>18124</v>
      </c>
      <c r="B1007" s="71" t="s">
        <v>169</v>
      </c>
      <c r="C1007" s="71" t="s">
        <v>16945</v>
      </c>
    </row>
    <row r="1008">
      <c r="A1008" s="130" t="s">
        <v>18126</v>
      </c>
      <c r="B1008" s="71" t="s">
        <v>187</v>
      </c>
      <c r="C1008" s="71" t="s">
        <v>16851</v>
      </c>
    </row>
    <row r="1009">
      <c r="A1009" s="234" t="s">
        <v>18128</v>
      </c>
      <c r="B1009" s="71" t="s">
        <v>16582</v>
      </c>
      <c r="C1009" s="71" t="s">
        <v>17339</v>
      </c>
    </row>
    <row r="1010">
      <c r="A1010" s="234" t="s">
        <v>18128</v>
      </c>
      <c r="B1010" s="71" t="s">
        <v>17339</v>
      </c>
      <c r="C1010" s="71" t="s">
        <v>16582</v>
      </c>
    </row>
    <row r="1011">
      <c r="A1011" s="130" t="s">
        <v>18130</v>
      </c>
      <c r="B1011" s="71" t="s">
        <v>16838</v>
      </c>
      <c r="C1011" s="71" t="s">
        <v>17016</v>
      </c>
    </row>
    <row r="1012">
      <c r="A1012" s="130" t="s">
        <v>18132</v>
      </c>
      <c r="B1012" s="71" t="s">
        <v>16582</v>
      </c>
      <c r="C1012" s="233" t="s">
        <v>17342</v>
      </c>
    </row>
    <row r="1013">
      <c r="A1013" s="234" t="s">
        <v>18134</v>
      </c>
      <c r="B1013" s="71" t="s">
        <v>169</v>
      </c>
      <c r="C1013" s="71" t="s">
        <v>17475</v>
      </c>
    </row>
    <row r="1014">
      <c r="A1014" s="234" t="s">
        <v>18134</v>
      </c>
      <c r="B1014" s="71" t="s">
        <v>17475</v>
      </c>
      <c r="C1014" s="71" t="s">
        <v>169</v>
      </c>
    </row>
    <row r="1015">
      <c r="A1015" s="130" t="s">
        <v>18136</v>
      </c>
      <c r="B1015" s="71" t="s">
        <v>16582</v>
      </c>
      <c r="C1015" s="71" t="s">
        <v>17435</v>
      </c>
    </row>
    <row r="1016">
      <c r="A1016" s="234" t="s">
        <v>18138</v>
      </c>
      <c r="B1016" s="71" t="s">
        <v>17321</v>
      </c>
      <c r="C1016" s="71" t="s">
        <v>169</v>
      </c>
    </row>
    <row r="1017">
      <c r="A1017" s="234" t="s">
        <v>18138</v>
      </c>
      <c r="B1017" s="71" t="s">
        <v>169</v>
      </c>
      <c r="C1017" s="71" t="s">
        <v>17321</v>
      </c>
    </row>
    <row r="1018">
      <c r="A1018" s="234" t="s">
        <v>18140</v>
      </c>
      <c r="B1018" s="71" t="s">
        <v>175</v>
      </c>
      <c r="C1018" s="71" t="s">
        <v>16890</v>
      </c>
    </row>
    <row r="1019">
      <c r="A1019" s="234" t="s">
        <v>18140</v>
      </c>
      <c r="B1019" s="71" t="s">
        <v>16890</v>
      </c>
      <c r="C1019" s="71" t="s">
        <v>175</v>
      </c>
    </row>
    <row r="1020">
      <c r="A1020" s="130" t="s">
        <v>18142</v>
      </c>
      <c r="B1020" s="71" t="s">
        <v>17112</v>
      </c>
      <c r="C1020" s="71" t="s">
        <v>17111</v>
      </c>
    </row>
    <row r="1021">
      <c r="A1021" s="234" t="s">
        <v>18144</v>
      </c>
      <c r="B1021" s="71" t="s">
        <v>169</v>
      </c>
      <c r="C1021" s="71" t="s">
        <v>17738</v>
      </c>
    </row>
    <row r="1022">
      <c r="A1022" s="234" t="s">
        <v>18144</v>
      </c>
      <c r="B1022" s="71" t="s">
        <v>17738</v>
      </c>
      <c r="C1022" s="71" t="s">
        <v>169</v>
      </c>
    </row>
    <row r="1023">
      <c r="A1023" s="234" t="s">
        <v>18146</v>
      </c>
      <c r="B1023" s="71" t="s">
        <v>16910</v>
      </c>
      <c r="C1023" s="71" t="s">
        <v>17119</v>
      </c>
    </row>
    <row r="1024">
      <c r="A1024" s="234" t="s">
        <v>18146</v>
      </c>
      <c r="B1024" s="71" t="s">
        <v>17119</v>
      </c>
      <c r="C1024" s="71" t="s">
        <v>16910</v>
      </c>
    </row>
    <row r="1025">
      <c r="A1025" s="130" t="s">
        <v>18148</v>
      </c>
      <c r="B1025" s="71" t="s">
        <v>16582</v>
      </c>
      <c r="C1025" s="71" t="s">
        <v>17183</v>
      </c>
    </row>
    <row r="1026">
      <c r="A1026" s="234" t="s">
        <v>18150</v>
      </c>
      <c r="B1026" s="71" t="s">
        <v>169</v>
      </c>
      <c r="C1026" s="71" t="s">
        <v>17827</v>
      </c>
    </row>
    <row r="1027">
      <c r="A1027" s="234" t="s">
        <v>18150</v>
      </c>
      <c r="B1027" s="71" t="s">
        <v>17827</v>
      </c>
      <c r="C1027" s="71" t="s">
        <v>169</v>
      </c>
    </row>
    <row r="1028">
      <c r="A1028" s="234" t="s">
        <v>18152</v>
      </c>
      <c r="B1028" s="71" t="s">
        <v>175</v>
      </c>
      <c r="C1028" s="71" t="s">
        <v>17350</v>
      </c>
    </row>
    <row r="1029">
      <c r="A1029" s="234" t="s">
        <v>18152</v>
      </c>
      <c r="B1029" s="71" t="s">
        <v>17350</v>
      </c>
      <c r="C1029" s="71" t="s">
        <v>175</v>
      </c>
    </row>
    <row r="1030">
      <c r="A1030" s="130" t="s">
        <v>18154</v>
      </c>
      <c r="B1030" s="71" t="s">
        <v>17112</v>
      </c>
      <c r="C1030" s="71" t="s">
        <v>17111</v>
      </c>
    </row>
    <row r="1031">
      <c r="A1031" s="234" t="s">
        <v>18156</v>
      </c>
      <c r="B1031" s="71" t="s">
        <v>175</v>
      </c>
      <c r="C1031" s="71" t="s">
        <v>17391</v>
      </c>
    </row>
    <row r="1032">
      <c r="A1032" s="234" t="s">
        <v>18156</v>
      </c>
      <c r="B1032" s="71" t="s">
        <v>17391</v>
      </c>
      <c r="C1032" s="71" t="s">
        <v>175</v>
      </c>
    </row>
    <row r="1033">
      <c r="A1033" s="234" t="s">
        <v>18158</v>
      </c>
      <c r="B1033" s="71" t="s">
        <v>16851</v>
      </c>
      <c r="C1033" s="71" t="s">
        <v>187</v>
      </c>
    </row>
    <row r="1034">
      <c r="A1034" s="234" t="s">
        <v>18158</v>
      </c>
      <c r="B1034" s="71" t="s">
        <v>187</v>
      </c>
      <c r="C1034" s="71" t="s">
        <v>16851</v>
      </c>
    </row>
    <row r="1035">
      <c r="A1035" s="234" t="s">
        <v>18160</v>
      </c>
      <c r="B1035" s="71" t="s">
        <v>169</v>
      </c>
      <c r="C1035" s="71" t="s">
        <v>17022</v>
      </c>
    </row>
    <row r="1036">
      <c r="A1036" s="234" t="s">
        <v>18160</v>
      </c>
      <c r="B1036" s="71" t="s">
        <v>17022</v>
      </c>
      <c r="C1036" s="71" t="s">
        <v>169</v>
      </c>
    </row>
    <row r="1037">
      <c r="A1037" s="130" t="s">
        <v>18162</v>
      </c>
      <c r="B1037" s="71" t="s">
        <v>16838</v>
      </c>
      <c r="C1037" s="71" t="s">
        <v>16867</v>
      </c>
    </row>
    <row r="1038">
      <c r="A1038" s="234" t="s">
        <v>18164</v>
      </c>
      <c r="B1038" s="71" t="s">
        <v>16582</v>
      </c>
      <c r="C1038" s="71" t="s">
        <v>16817</v>
      </c>
    </row>
    <row r="1039">
      <c r="A1039" s="234" t="s">
        <v>18164</v>
      </c>
      <c r="B1039" s="71" t="s">
        <v>16817</v>
      </c>
      <c r="C1039" s="71" t="s">
        <v>16582</v>
      </c>
    </row>
    <row r="1040">
      <c r="A1040" s="234" t="s">
        <v>18166</v>
      </c>
      <c r="B1040" s="71" t="s">
        <v>16885</v>
      </c>
      <c r="C1040" s="71" t="s">
        <v>16886</v>
      </c>
    </row>
    <row r="1041">
      <c r="A1041" s="234" t="s">
        <v>18166</v>
      </c>
      <c r="B1041" s="71" t="s">
        <v>16886</v>
      </c>
      <c r="C1041" s="71" t="s">
        <v>16885</v>
      </c>
    </row>
    <row r="1042">
      <c r="A1042" s="234" t="s">
        <v>18168</v>
      </c>
      <c r="B1042" s="71" t="s">
        <v>175</v>
      </c>
      <c r="C1042" s="71" t="s">
        <v>16899</v>
      </c>
    </row>
    <row r="1043">
      <c r="A1043" s="234" t="s">
        <v>18168</v>
      </c>
      <c r="B1043" s="71" t="s">
        <v>16899</v>
      </c>
      <c r="C1043" s="71" t="s">
        <v>175</v>
      </c>
    </row>
    <row r="1044">
      <c r="A1044" s="130" t="s">
        <v>18170</v>
      </c>
      <c r="B1044" s="71" t="s">
        <v>175</v>
      </c>
      <c r="C1044" s="71" t="s">
        <v>16842</v>
      </c>
    </row>
    <row r="1045">
      <c r="A1045" s="130" t="s">
        <v>18172</v>
      </c>
      <c r="B1045" s="71" t="s">
        <v>187</v>
      </c>
      <c r="C1045" s="71" t="s">
        <v>17509</v>
      </c>
    </row>
    <row r="1046">
      <c r="A1046" s="234" t="s">
        <v>18174</v>
      </c>
      <c r="B1046" s="71" t="s">
        <v>17127</v>
      </c>
      <c r="C1046" s="71" t="s">
        <v>16838</v>
      </c>
    </row>
    <row r="1047">
      <c r="A1047" s="234" t="s">
        <v>18174</v>
      </c>
      <c r="B1047" s="71" t="s">
        <v>16838</v>
      </c>
      <c r="C1047" s="71" t="s">
        <v>17127</v>
      </c>
    </row>
    <row r="1048">
      <c r="A1048" s="130" t="s">
        <v>18176</v>
      </c>
      <c r="B1048" s="71" t="s">
        <v>16582</v>
      </c>
      <c r="C1048" s="71" t="s">
        <v>16930</v>
      </c>
    </row>
    <row r="1049">
      <c r="A1049" s="234" t="s">
        <v>18178</v>
      </c>
      <c r="B1049" s="71" t="s">
        <v>158</v>
      </c>
      <c r="C1049" s="71" t="s">
        <v>16864</v>
      </c>
    </row>
    <row r="1050">
      <c r="A1050" s="234" t="s">
        <v>18178</v>
      </c>
      <c r="B1050" s="71" t="s">
        <v>16864</v>
      </c>
      <c r="C1050" s="71" t="s">
        <v>158</v>
      </c>
    </row>
    <row r="1051">
      <c r="A1051" s="234" t="s">
        <v>18180</v>
      </c>
      <c r="B1051" s="71" t="s">
        <v>16919</v>
      </c>
      <c r="C1051" s="71" t="s">
        <v>16920</v>
      </c>
    </row>
    <row r="1052">
      <c r="A1052" s="234" t="s">
        <v>18180</v>
      </c>
      <c r="B1052" s="71" t="s">
        <v>16920</v>
      </c>
      <c r="C1052" s="71" t="s">
        <v>16919</v>
      </c>
    </row>
    <row r="1053">
      <c r="A1053" s="130" t="s">
        <v>18182</v>
      </c>
      <c r="B1053" s="71" t="s">
        <v>16838</v>
      </c>
      <c r="C1053" s="71" t="s">
        <v>16867</v>
      </c>
    </row>
    <row r="1054">
      <c r="A1054" s="130" t="s">
        <v>18184</v>
      </c>
      <c r="B1054" s="71" t="s">
        <v>16582</v>
      </c>
      <c r="C1054" s="71" t="s">
        <v>17183</v>
      </c>
    </row>
    <row r="1055">
      <c r="A1055" s="130" t="s">
        <v>18186</v>
      </c>
      <c r="B1055" s="71" t="s">
        <v>169</v>
      </c>
      <c r="C1055" s="71" t="s">
        <v>17619</v>
      </c>
    </row>
    <row r="1056">
      <c r="A1056" s="234" t="s">
        <v>18188</v>
      </c>
      <c r="B1056" s="71" t="s">
        <v>175</v>
      </c>
      <c r="C1056" s="71" t="s">
        <v>17475</v>
      </c>
    </row>
    <row r="1057">
      <c r="A1057" s="234" t="s">
        <v>18188</v>
      </c>
      <c r="B1057" s="71" t="s">
        <v>17475</v>
      </c>
      <c r="C1057" s="71" t="s">
        <v>175</v>
      </c>
    </row>
    <row r="1058">
      <c r="A1058" s="234" t="s">
        <v>18190</v>
      </c>
      <c r="B1058" s="71" t="s">
        <v>169</v>
      </c>
      <c r="C1058" s="71" t="s">
        <v>17805</v>
      </c>
    </row>
    <row r="1059">
      <c r="A1059" s="234" t="s">
        <v>18190</v>
      </c>
      <c r="B1059" s="71" t="s">
        <v>17805</v>
      </c>
      <c r="C1059" s="71" t="s">
        <v>169</v>
      </c>
    </row>
    <row r="1060">
      <c r="A1060" s="130" t="s">
        <v>18192</v>
      </c>
      <c r="B1060" s="71" t="s">
        <v>16582</v>
      </c>
      <c r="C1060" s="71" t="s">
        <v>16828</v>
      </c>
    </row>
    <row r="1061">
      <c r="A1061" s="130" t="s">
        <v>18194</v>
      </c>
      <c r="B1061" s="71" t="s">
        <v>16582</v>
      </c>
      <c r="C1061" s="71" t="s">
        <v>16828</v>
      </c>
    </row>
    <row r="1062">
      <c r="A1062" s="234" t="s">
        <v>18196</v>
      </c>
      <c r="B1062" s="71" t="s">
        <v>17111</v>
      </c>
      <c r="C1062" s="71" t="s">
        <v>17112</v>
      </c>
    </row>
    <row r="1063">
      <c r="A1063" s="234" t="s">
        <v>18196</v>
      </c>
      <c r="B1063" s="71" t="s">
        <v>17112</v>
      </c>
      <c r="C1063" s="71" t="s">
        <v>17111</v>
      </c>
    </row>
    <row r="1064">
      <c r="A1064" s="130" t="s">
        <v>18198</v>
      </c>
      <c r="B1064" s="71" t="s">
        <v>16582</v>
      </c>
      <c r="C1064" s="71" t="s">
        <v>16828</v>
      </c>
    </row>
    <row r="1065">
      <c r="A1065" s="130" t="s">
        <v>18200</v>
      </c>
      <c r="B1065" s="71" t="s">
        <v>16838</v>
      </c>
      <c r="C1065" s="71" t="s">
        <v>16867</v>
      </c>
    </row>
    <row r="1066">
      <c r="A1066" s="234" t="s">
        <v>18202</v>
      </c>
      <c r="B1066" s="71" t="s">
        <v>17111</v>
      </c>
      <c r="C1066" s="71" t="s">
        <v>17112</v>
      </c>
    </row>
    <row r="1067">
      <c r="A1067" s="234" t="s">
        <v>18202</v>
      </c>
      <c r="B1067" s="71" t="s">
        <v>17112</v>
      </c>
      <c r="C1067" s="71" t="s">
        <v>17111</v>
      </c>
    </row>
    <row r="1068">
      <c r="A1068" s="234" t="s">
        <v>18204</v>
      </c>
      <c r="B1068" s="71" t="s">
        <v>175</v>
      </c>
      <c r="C1068" s="71" t="s">
        <v>16899</v>
      </c>
    </row>
    <row r="1069">
      <c r="A1069" s="234" t="s">
        <v>18204</v>
      </c>
      <c r="B1069" s="71" t="s">
        <v>16899</v>
      </c>
      <c r="C1069" s="71" t="s">
        <v>175</v>
      </c>
    </row>
    <row r="1070">
      <c r="A1070" s="234" t="s">
        <v>18206</v>
      </c>
      <c r="B1070" s="71" t="s">
        <v>16582</v>
      </c>
      <c r="C1070" s="71" t="s">
        <v>16930</v>
      </c>
    </row>
    <row r="1071">
      <c r="A1071" s="234" t="s">
        <v>18206</v>
      </c>
      <c r="B1071" s="71" t="s">
        <v>16930</v>
      </c>
      <c r="C1071" s="71" t="s">
        <v>16582</v>
      </c>
    </row>
    <row r="1072">
      <c r="A1072" s="130" t="s">
        <v>18208</v>
      </c>
      <c r="B1072" s="71" t="s">
        <v>169</v>
      </c>
      <c r="C1072" s="71" t="s">
        <v>17619</v>
      </c>
    </row>
    <row r="1073">
      <c r="A1073" s="130" t="s">
        <v>18210</v>
      </c>
      <c r="B1073" s="71" t="s">
        <v>16582</v>
      </c>
      <c r="C1073" s="71" t="s">
        <v>16813</v>
      </c>
    </row>
    <row r="1074">
      <c r="A1074" s="234" t="s">
        <v>18212</v>
      </c>
      <c r="B1074" s="71" t="s">
        <v>16919</v>
      </c>
      <c r="C1074" s="71" t="s">
        <v>17048</v>
      </c>
    </row>
    <row r="1075">
      <c r="A1075" s="234" t="s">
        <v>18212</v>
      </c>
      <c r="B1075" s="71" t="s">
        <v>17048</v>
      </c>
      <c r="C1075" s="71" t="s">
        <v>16919</v>
      </c>
    </row>
    <row r="1076">
      <c r="A1076" s="234" t="s">
        <v>18214</v>
      </c>
      <c r="B1076" s="71" t="s">
        <v>169</v>
      </c>
      <c r="C1076" s="71" t="s">
        <v>16899</v>
      </c>
    </row>
    <row r="1077">
      <c r="A1077" s="234" t="s">
        <v>18214</v>
      </c>
      <c r="B1077" s="71" t="s">
        <v>16899</v>
      </c>
      <c r="C1077" s="71" t="s">
        <v>169</v>
      </c>
    </row>
    <row r="1078">
      <c r="A1078" s="234" t="s">
        <v>18216</v>
      </c>
      <c r="B1078" s="71" t="s">
        <v>16867</v>
      </c>
      <c r="C1078" s="71" t="s">
        <v>16838</v>
      </c>
    </row>
    <row r="1079">
      <c r="A1079" s="234" t="s">
        <v>18216</v>
      </c>
      <c r="B1079" s="71" t="s">
        <v>16838</v>
      </c>
      <c r="C1079" s="71" t="s">
        <v>16867</v>
      </c>
    </row>
    <row r="1080">
      <c r="A1080" s="130" t="s">
        <v>18218</v>
      </c>
      <c r="B1080" s="71" t="s">
        <v>16838</v>
      </c>
      <c r="C1080" s="71" t="s">
        <v>18219</v>
      </c>
    </row>
    <row r="1081">
      <c r="A1081" s="234" t="s">
        <v>18221</v>
      </c>
      <c r="B1081" s="71" t="s">
        <v>175</v>
      </c>
      <c r="C1081" s="71" t="s">
        <v>16939</v>
      </c>
    </row>
    <row r="1082">
      <c r="A1082" s="234" t="s">
        <v>18221</v>
      </c>
      <c r="B1082" s="71" t="s">
        <v>16939</v>
      </c>
      <c r="C1082" s="71" t="s">
        <v>175</v>
      </c>
    </row>
    <row r="1083">
      <c r="A1083" s="234" t="s">
        <v>18223</v>
      </c>
      <c r="B1083" s="71" t="s">
        <v>175</v>
      </c>
      <c r="C1083" s="71" t="s">
        <v>17475</v>
      </c>
    </row>
    <row r="1084">
      <c r="A1084" s="234" t="s">
        <v>18223</v>
      </c>
      <c r="B1084" s="71" t="s">
        <v>17475</v>
      </c>
      <c r="C1084" s="71" t="s">
        <v>175</v>
      </c>
    </row>
    <row r="1085">
      <c r="A1085" s="130" t="s">
        <v>18225</v>
      </c>
      <c r="B1085" s="71" t="s">
        <v>17112</v>
      </c>
      <c r="C1085" s="71" t="s">
        <v>17111</v>
      </c>
    </row>
    <row r="1086">
      <c r="A1086" s="130" t="s">
        <v>18227</v>
      </c>
      <c r="B1086" s="71" t="s">
        <v>17112</v>
      </c>
      <c r="C1086" s="71" t="s">
        <v>17111</v>
      </c>
    </row>
    <row r="1087">
      <c r="A1087" s="234" t="s">
        <v>18229</v>
      </c>
      <c r="B1087" s="71" t="s">
        <v>175</v>
      </c>
      <c r="C1087" s="71" t="s">
        <v>17031</v>
      </c>
    </row>
    <row r="1088">
      <c r="A1088" s="234" t="s">
        <v>18229</v>
      </c>
      <c r="B1088" s="71" t="s">
        <v>17031</v>
      </c>
      <c r="C1088" s="71" t="s">
        <v>175</v>
      </c>
    </row>
    <row r="1089">
      <c r="A1089" s="234" t="s">
        <v>18231</v>
      </c>
      <c r="B1089" s="71" t="s">
        <v>16945</v>
      </c>
      <c r="C1089" s="71" t="s">
        <v>169</v>
      </c>
    </row>
    <row r="1090">
      <c r="A1090" s="234" t="s">
        <v>18231</v>
      </c>
      <c r="B1090" s="71" t="s">
        <v>169</v>
      </c>
      <c r="C1090" s="71" t="s">
        <v>16945</v>
      </c>
    </row>
    <row r="1091">
      <c r="A1091" s="234" t="s">
        <v>18233</v>
      </c>
      <c r="B1091" s="71"/>
      <c r="C1091" s="71"/>
    </row>
    <row r="1092">
      <c r="A1092" s="234" t="s">
        <v>18233</v>
      </c>
      <c r="B1092" s="71"/>
      <c r="C1092" s="71"/>
    </row>
    <row r="1093">
      <c r="A1093" s="234" t="s">
        <v>18235</v>
      </c>
      <c r="B1093" s="71" t="s">
        <v>16910</v>
      </c>
      <c r="C1093" s="71" t="s">
        <v>17119</v>
      </c>
    </row>
    <row r="1094">
      <c r="A1094" s="234" t="s">
        <v>18235</v>
      </c>
      <c r="B1094" s="71" t="s">
        <v>17119</v>
      </c>
      <c r="C1094" s="71" t="s">
        <v>16910</v>
      </c>
    </row>
    <row r="1095">
      <c r="A1095" s="234" t="s">
        <v>18237</v>
      </c>
      <c r="B1095" s="71" t="s">
        <v>16867</v>
      </c>
      <c r="C1095" s="71" t="s">
        <v>16838</v>
      </c>
    </row>
    <row r="1096">
      <c r="A1096" s="234" t="s">
        <v>18237</v>
      </c>
      <c r="B1096" s="71" t="s">
        <v>16838</v>
      </c>
      <c r="C1096" s="71" t="s">
        <v>16867</v>
      </c>
    </row>
    <row r="1097">
      <c r="A1097" s="234" t="s">
        <v>18239</v>
      </c>
      <c r="B1097" s="71" t="s">
        <v>16582</v>
      </c>
      <c r="C1097" s="71" t="s">
        <v>16930</v>
      </c>
    </row>
    <row r="1098">
      <c r="A1098" s="234" t="s">
        <v>18239</v>
      </c>
      <c r="B1098" s="71" t="s">
        <v>16930</v>
      </c>
      <c r="C1098" s="71" t="s">
        <v>16582</v>
      </c>
    </row>
    <row r="1099">
      <c r="A1099" s="130" t="s">
        <v>18241</v>
      </c>
      <c r="B1099" s="71" t="s">
        <v>169</v>
      </c>
      <c r="C1099" s="71" t="s">
        <v>17619</v>
      </c>
    </row>
    <row r="1100">
      <c r="A1100" s="234" t="s">
        <v>18243</v>
      </c>
      <c r="B1100" s="71" t="s">
        <v>17111</v>
      </c>
      <c r="C1100" s="71" t="s">
        <v>17112</v>
      </c>
    </row>
    <row r="1101">
      <c r="A1101" s="234" t="s">
        <v>18243</v>
      </c>
      <c r="B1101" s="71" t="s">
        <v>17112</v>
      </c>
      <c r="C1101" s="71" t="s">
        <v>17111</v>
      </c>
    </row>
    <row r="1102">
      <c r="A1102" s="130" t="s">
        <v>18245</v>
      </c>
      <c r="B1102" s="71" t="s">
        <v>169</v>
      </c>
      <c r="C1102" s="71" t="s">
        <v>17339</v>
      </c>
    </row>
    <row r="1103">
      <c r="A1103" s="234" t="s">
        <v>18247</v>
      </c>
      <c r="B1103" s="71" t="s">
        <v>17702</v>
      </c>
      <c r="C1103" s="71" t="s">
        <v>169</v>
      </c>
    </row>
    <row r="1104">
      <c r="A1104" s="234" t="s">
        <v>18247</v>
      </c>
      <c r="B1104" s="71" t="s">
        <v>169</v>
      </c>
      <c r="C1104" s="71" t="s">
        <v>17702</v>
      </c>
    </row>
    <row r="1105">
      <c r="A1105" s="130" t="s">
        <v>18249</v>
      </c>
      <c r="B1105" s="71" t="s">
        <v>187</v>
      </c>
      <c r="C1105" s="71" t="s">
        <v>16846</v>
      </c>
    </row>
    <row r="1106">
      <c r="A1106" s="234" t="s">
        <v>18251</v>
      </c>
      <c r="B1106" s="71" t="s">
        <v>16838</v>
      </c>
      <c r="C1106" s="71" t="s">
        <v>17347</v>
      </c>
    </row>
    <row r="1107">
      <c r="A1107" s="234" t="s">
        <v>18251</v>
      </c>
      <c r="B1107" s="71" t="s">
        <v>17347</v>
      </c>
      <c r="C1107" s="71" t="s">
        <v>16838</v>
      </c>
    </row>
    <row r="1108">
      <c r="A1108" s="130" t="s">
        <v>18253</v>
      </c>
      <c r="B1108" s="71" t="s">
        <v>16910</v>
      </c>
      <c r="C1108" s="71" t="s">
        <v>16911</v>
      </c>
    </row>
    <row r="1109">
      <c r="A1109" s="234" t="s">
        <v>18255</v>
      </c>
      <c r="B1109" s="71" t="s">
        <v>16910</v>
      </c>
      <c r="C1109" s="71" t="s">
        <v>17119</v>
      </c>
    </row>
    <row r="1110">
      <c r="A1110" s="234" t="s">
        <v>18255</v>
      </c>
      <c r="B1110" s="71" t="s">
        <v>17119</v>
      </c>
      <c r="C1110" s="71" t="s">
        <v>16910</v>
      </c>
    </row>
    <row r="1111">
      <c r="A1111" s="234" t="s">
        <v>18257</v>
      </c>
      <c r="B1111" s="71" t="s">
        <v>169</v>
      </c>
      <c r="C1111" s="71" t="s">
        <v>17025</v>
      </c>
    </row>
    <row r="1112">
      <c r="A1112" s="234" t="s">
        <v>18257</v>
      </c>
      <c r="B1112" s="71" t="s">
        <v>17025</v>
      </c>
      <c r="C1112" s="71" t="s">
        <v>169</v>
      </c>
    </row>
    <row r="1113">
      <c r="A1113" s="234" t="s">
        <v>18259</v>
      </c>
      <c r="B1113" s="71" t="s">
        <v>175</v>
      </c>
      <c r="C1113" s="71" t="s">
        <v>17168</v>
      </c>
    </row>
    <row r="1114">
      <c r="A1114" s="234" t="s">
        <v>18259</v>
      </c>
      <c r="B1114" s="71" t="s">
        <v>17168</v>
      </c>
      <c r="C1114" s="71" t="s">
        <v>175</v>
      </c>
    </row>
    <row r="1115">
      <c r="A1115" s="234" t="s">
        <v>18261</v>
      </c>
      <c r="B1115" s="71" t="s">
        <v>175</v>
      </c>
      <c r="C1115" s="71" t="s">
        <v>17606</v>
      </c>
    </row>
    <row r="1116">
      <c r="A1116" s="234" t="s">
        <v>18261</v>
      </c>
      <c r="B1116" s="71" t="s">
        <v>17606</v>
      </c>
      <c r="C1116" s="71" t="s">
        <v>175</v>
      </c>
    </row>
    <row r="1117">
      <c r="A1117" s="130" t="s">
        <v>18263</v>
      </c>
      <c r="B1117" s="71" t="s">
        <v>16582</v>
      </c>
      <c r="C1117" s="71" t="s">
        <v>16817</v>
      </c>
    </row>
    <row r="1118">
      <c r="A1118" s="234" t="s">
        <v>18265</v>
      </c>
      <c r="B1118" s="71" t="s">
        <v>169</v>
      </c>
      <c r="C1118" s="71" t="s">
        <v>17805</v>
      </c>
    </row>
    <row r="1119">
      <c r="A1119" s="234" t="s">
        <v>18265</v>
      </c>
      <c r="B1119" s="71" t="s">
        <v>17805</v>
      </c>
      <c r="C1119" s="71" t="s">
        <v>169</v>
      </c>
    </row>
    <row r="1120">
      <c r="A1120" s="234" t="s">
        <v>18267</v>
      </c>
      <c r="B1120" s="71" t="s">
        <v>175</v>
      </c>
      <c r="C1120" s="71" t="s">
        <v>18268</v>
      </c>
    </row>
    <row r="1121">
      <c r="A1121" s="234" t="s">
        <v>18267</v>
      </c>
      <c r="B1121" s="71" t="s">
        <v>18268</v>
      </c>
      <c r="C1121" s="71" t="s">
        <v>175</v>
      </c>
    </row>
    <row r="1122">
      <c r="A1122" s="234" t="s">
        <v>18270</v>
      </c>
      <c r="B1122" s="71" t="s">
        <v>17545</v>
      </c>
      <c r="C1122" s="71" t="s">
        <v>169</v>
      </c>
    </row>
    <row r="1123">
      <c r="A1123" s="234" t="s">
        <v>18270</v>
      </c>
      <c r="B1123" s="71" t="s">
        <v>169</v>
      </c>
      <c r="C1123" s="71" t="s">
        <v>17545</v>
      </c>
    </row>
    <row r="1124">
      <c r="A1124" s="130" t="s">
        <v>18272</v>
      </c>
      <c r="B1124" s="71" t="s">
        <v>16582</v>
      </c>
      <c r="C1124" s="71" t="s">
        <v>16817</v>
      </c>
    </row>
    <row r="1125">
      <c r="A1125" s="234" t="s">
        <v>18274</v>
      </c>
      <c r="B1125" s="71" t="s">
        <v>175</v>
      </c>
      <c r="C1125" s="71" t="s">
        <v>16899</v>
      </c>
    </row>
    <row r="1126">
      <c r="A1126" s="234" t="s">
        <v>18274</v>
      </c>
      <c r="B1126" s="71" t="s">
        <v>16899</v>
      </c>
      <c r="C1126" s="71" t="s">
        <v>175</v>
      </c>
    </row>
    <row r="1127">
      <c r="A1127" s="130" t="s">
        <v>18276</v>
      </c>
      <c r="B1127" s="71" t="s">
        <v>16582</v>
      </c>
      <c r="C1127" s="71" t="s">
        <v>16995</v>
      </c>
    </row>
    <row r="1128">
      <c r="A1128" s="234" t="s">
        <v>18278</v>
      </c>
      <c r="B1128" s="71" t="s">
        <v>169</v>
      </c>
      <c r="C1128" s="71" t="s">
        <v>17442</v>
      </c>
    </row>
    <row r="1129">
      <c r="A1129" s="234" t="s">
        <v>18278</v>
      </c>
      <c r="B1129" s="71" t="s">
        <v>17442</v>
      </c>
      <c r="C1129" s="71" t="s">
        <v>169</v>
      </c>
    </row>
    <row r="1130">
      <c r="A1130" s="234" t="s">
        <v>18280</v>
      </c>
      <c r="B1130" s="71" t="s">
        <v>16945</v>
      </c>
      <c r="C1130" s="71" t="s">
        <v>169</v>
      </c>
    </row>
    <row r="1131">
      <c r="A1131" s="234" t="s">
        <v>18280</v>
      </c>
      <c r="B1131" s="71" t="s">
        <v>169</v>
      </c>
      <c r="C1131" s="71" t="s">
        <v>16945</v>
      </c>
    </row>
    <row r="1132">
      <c r="A1132" s="130" t="s">
        <v>18282</v>
      </c>
      <c r="B1132" s="71" t="s">
        <v>16838</v>
      </c>
      <c r="C1132" s="71" t="s">
        <v>17104</v>
      </c>
    </row>
    <row r="1133">
      <c r="A1133" s="234" t="s">
        <v>18284</v>
      </c>
      <c r="B1133" s="71" t="s">
        <v>16582</v>
      </c>
      <c r="C1133" s="71" t="s">
        <v>17435</v>
      </c>
    </row>
    <row r="1134">
      <c r="A1134" s="234" t="s">
        <v>18284</v>
      </c>
      <c r="B1134" s="71" t="s">
        <v>17435</v>
      </c>
      <c r="C1134" s="71" t="s">
        <v>16582</v>
      </c>
    </row>
    <row r="1135">
      <c r="A1135" s="130" t="s">
        <v>18286</v>
      </c>
      <c r="B1135" s="71" t="s">
        <v>169</v>
      </c>
      <c r="C1135" s="71" t="s">
        <v>16899</v>
      </c>
    </row>
    <row r="1136">
      <c r="A1136" s="130" t="s">
        <v>18288</v>
      </c>
      <c r="B1136" s="71" t="s">
        <v>175</v>
      </c>
      <c r="C1136" s="71" t="s">
        <v>17509</v>
      </c>
    </row>
    <row r="1137">
      <c r="A1137" s="234" t="s">
        <v>18290</v>
      </c>
      <c r="B1137" s="71" t="s">
        <v>175</v>
      </c>
      <c r="C1137" s="71" t="s">
        <v>17619</v>
      </c>
    </row>
    <row r="1138">
      <c r="A1138" s="234" t="s">
        <v>18290</v>
      </c>
      <c r="B1138" s="71" t="s">
        <v>17619</v>
      </c>
      <c r="C1138" s="71" t="s">
        <v>175</v>
      </c>
    </row>
    <row r="1139">
      <c r="A1139" s="234" t="s">
        <v>18292</v>
      </c>
      <c r="B1139" s="71" t="s">
        <v>17111</v>
      </c>
      <c r="C1139" s="71" t="s">
        <v>17112</v>
      </c>
    </row>
    <row r="1140">
      <c r="A1140" s="234" t="s">
        <v>18292</v>
      </c>
      <c r="B1140" s="71" t="s">
        <v>17112</v>
      </c>
      <c r="C1140" s="71" t="s">
        <v>17111</v>
      </c>
    </row>
    <row r="1141">
      <c r="A1141" s="234" t="s">
        <v>18294</v>
      </c>
      <c r="B1141" s="71" t="s">
        <v>169</v>
      </c>
      <c r="C1141" s="71" t="s">
        <v>17509</v>
      </c>
    </row>
    <row r="1142">
      <c r="A1142" s="234" t="s">
        <v>18294</v>
      </c>
      <c r="B1142" s="71" t="s">
        <v>17509</v>
      </c>
      <c r="C1142" s="71" t="s">
        <v>169</v>
      </c>
    </row>
    <row r="1143">
      <c r="A1143" s="234" t="s">
        <v>18296</v>
      </c>
      <c r="B1143" s="71" t="s">
        <v>158</v>
      </c>
      <c r="C1143" s="71" t="s">
        <v>16864</v>
      </c>
    </row>
    <row r="1144">
      <c r="A1144" s="234" t="s">
        <v>18296</v>
      </c>
      <c r="B1144" s="71" t="s">
        <v>16864</v>
      </c>
      <c r="C1144" s="71" t="s">
        <v>158</v>
      </c>
    </row>
    <row r="1145">
      <c r="A1145" s="234" t="s">
        <v>18298</v>
      </c>
      <c r="B1145" s="71" t="s">
        <v>175</v>
      </c>
      <c r="C1145" s="71" t="s">
        <v>17673</v>
      </c>
    </row>
    <row r="1146">
      <c r="A1146" s="234" t="s">
        <v>18298</v>
      </c>
      <c r="B1146" s="71" t="s">
        <v>17673</v>
      </c>
      <c r="C1146" s="71" t="s">
        <v>175</v>
      </c>
    </row>
    <row r="1147">
      <c r="A1147" s="234" t="s">
        <v>18300</v>
      </c>
      <c r="B1147" s="71" t="s">
        <v>169</v>
      </c>
      <c r="C1147" s="71" t="s">
        <v>17827</v>
      </c>
    </row>
    <row r="1148">
      <c r="A1148" s="234" t="s">
        <v>18300</v>
      </c>
      <c r="B1148" s="71" t="s">
        <v>17827</v>
      </c>
      <c r="C1148" s="71" t="s">
        <v>169</v>
      </c>
    </row>
    <row r="1149">
      <c r="A1149" s="130" t="s">
        <v>18302</v>
      </c>
      <c r="B1149" s="71" t="s">
        <v>16838</v>
      </c>
      <c r="C1149" s="71" t="s">
        <v>17019</v>
      </c>
    </row>
    <row r="1150">
      <c r="A1150" s="130" t="s">
        <v>18304</v>
      </c>
      <c r="B1150" s="71" t="s">
        <v>175</v>
      </c>
      <c r="C1150" s="71" t="s">
        <v>17031</v>
      </c>
    </row>
    <row r="1151">
      <c r="A1151" s="234" t="s">
        <v>18306</v>
      </c>
      <c r="B1151" s="71" t="s">
        <v>175</v>
      </c>
      <c r="C1151" s="71" t="s">
        <v>16842</v>
      </c>
    </row>
    <row r="1152">
      <c r="A1152" s="234" t="s">
        <v>18306</v>
      </c>
      <c r="B1152" s="71" t="s">
        <v>16842</v>
      </c>
      <c r="C1152" s="71" t="s">
        <v>175</v>
      </c>
    </row>
    <row r="1153">
      <c r="A1153" s="130" t="s">
        <v>18309</v>
      </c>
      <c r="B1153" s="71" t="s">
        <v>175</v>
      </c>
      <c r="C1153" s="71" t="s">
        <v>18310</v>
      </c>
    </row>
    <row r="1154">
      <c r="A1154" s="130" t="s">
        <v>18312</v>
      </c>
      <c r="B1154" s="71" t="s">
        <v>16919</v>
      </c>
      <c r="C1154" s="71" t="s">
        <v>17176</v>
      </c>
    </row>
    <row r="1155">
      <c r="A1155" s="234" t="s">
        <v>18314</v>
      </c>
      <c r="B1155" s="71" t="s">
        <v>16582</v>
      </c>
      <c r="C1155" s="71" t="s">
        <v>16930</v>
      </c>
    </row>
    <row r="1156">
      <c r="A1156" s="234" t="s">
        <v>18314</v>
      </c>
      <c r="B1156" s="71" t="s">
        <v>16930</v>
      </c>
      <c r="C1156" s="71" t="s">
        <v>16582</v>
      </c>
    </row>
    <row r="1157">
      <c r="A1157" s="130" t="s">
        <v>18316</v>
      </c>
      <c r="B1157" s="71" t="s">
        <v>16582</v>
      </c>
      <c r="C1157" s="71" t="s">
        <v>16817</v>
      </c>
    </row>
    <row r="1158">
      <c r="A1158" s="234" t="s">
        <v>18318</v>
      </c>
      <c r="B1158" s="71" t="s">
        <v>175</v>
      </c>
      <c r="C1158" s="71" t="s">
        <v>17168</v>
      </c>
    </row>
    <row r="1159">
      <c r="A1159" s="234" t="s">
        <v>18318</v>
      </c>
      <c r="B1159" s="71" t="s">
        <v>17168</v>
      </c>
      <c r="C1159" s="71" t="s">
        <v>175</v>
      </c>
    </row>
    <row r="1160">
      <c r="A1160" s="234" t="s">
        <v>18321</v>
      </c>
      <c r="B1160" s="71" t="s">
        <v>16919</v>
      </c>
      <c r="C1160" s="71" t="s">
        <v>17048</v>
      </c>
    </row>
    <row r="1161">
      <c r="A1161" s="234" t="s">
        <v>18321</v>
      </c>
      <c r="B1161" s="71" t="s">
        <v>17048</v>
      </c>
      <c r="C1161" s="71" t="s">
        <v>16919</v>
      </c>
    </row>
    <row r="1162">
      <c r="A1162" s="234" t="s">
        <v>18323</v>
      </c>
      <c r="B1162" s="71" t="s">
        <v>17347</v>
      </c>
      <c r="C1162" s="71" t="s">
        <v>16838</v>
      </c>
    </row>
    <row r="1163">
      <c r="A1163" s="234" t="s">
        <v>18323</v>
      </c>
      <c r="B1163" s="71" t="s">
        <v>16838</v>
      </c>
      <c r="C1163" s="71" t="s">
        <v>17347</v>
      </c>
    </row>
    <row r="1164">
      <c r="A1164" s="130" t="s">
        <v>18325</v>
      </c>
      <c r="B1164" s="71" t="s">
        <v>175</v>
      </c>
      <c r="C1164" s="71" t="s">
        <v>16824</v>
      </c>
    </row>
    <row r="1165">
      <c r="A1165" s="130" t="s">
        <v>18327</v>
      </c>
      <c r="B1165" s="71" t="s">
        <v>175</v>
      </c>
      <c r="C1165" s="71" t="s">
        <v>16854</v>
      </c>
    </row>
    <row r="1166">
      <c r="A1166" s="234" t="s">
        <v>18329</v>
      </c>
      <c r="B1166" s="71" t="s">
        <v>17111</v>
      </c>
      <c r="C1166" s="71" t="s">
        <v>17112</v>
      </c>
    </row>
    <row r="1167">
      <c r="A1167" s="234" t="s">
        <v>18329</v>
      </c>
      <c r="B1167" s="71" t="s">
        <v>17112</v>
      </c>
      <c r="C1167" s="71" t="s">
        <v>17111</v>
      </c>
    </row>
    <row r="1168">
      <c r="A1168" s="234" t="s">
        <v>18331</v>
      </c>
      <c r="B1168" s="71" t="s">
        <v>17016</v>
      </c>
      <c r="C1168" s="71" t="s">
        <v>16838</v>
      </c>
    </row>
    <row r="1169">
      <c r="A1169" s="234" t="s">
        <v>18331</v>
      </c>
      <c r="B1169" s="71" t="s">
        <v>16838</v>
      </c>
      <c r="C1169" s="71" t="s">
        <v>17016</v>
      </c>
    </row>
    <row r="1170">
      <c r="A1170" s="234" t="s">
        <v>18333</v>
      </c>
      <c r="B1170" s="71" t="s">
        <v>158</v>
      </c>
      <c r="C1170" s="71" t="s">
        <v>16864</v>
      </c>
    </row>
    <row r="1171">
      <c r="A1171" s="234" t="s">
        <v>18333</v>
      </c>
      <c r="B1171" s="71" t="s">
        <v>16864</v>
      </c>
      <c r="C1171" s="71" t="s">
        <v>158</v>
      </c>
    </row>
    <row r="1172">
      <c r="A1172" s="234" t="s">
        <v>18335</v>
      </c>
      <c r="B1172" s="71" t="s">
        <v>16910</v>
      </c>
      <c r="C1172" s="71" t="s">
        <v>17648</v>
      </c>
    </row>
    <row r="1173">
      <c r="A1173" s="234" t="s">
        <v>18335</v>
      </c>
      <c r="B1173" s="71" t="s">
        <v>17648</v>
      </c>
      <c r="C1173" s="71" t="s">
        <v>16910</v>
      </c>
    </row>
    <row r="1174">
      <c r="A1174" s="234" t="s">
        <v>18337</v>
      </c>
      <c r="B1174" s="71" t="s">
        <v>17019</v>
      </c>
      <c r="C1174" s="71" t="s">
        <v>16838</v>
      </c>
    </row>
    <row r="1175">
      <c r="A1175" s="234" t="s">
        <v>18337</v>
      </c>
      <c r="B1175" s="71" t="s">
        <v>16838</v>
      </c>
      <c r="C1175" s="71" t="s">
        <v>17019</v>
      </c>
    </row>
    <row r="1176">
      <c r="A1176" s="234" t="s">
        <v>18339</v>
      </c>
      <c r="B1176" s="71" t="s">
        <v>175</v>
      </c>
      <c r="C1176" s="71" t="s">
        <v>17218</v>
      </c>
    </row>
    <row r="1177">
      <c r="A1177" s="234" t="s">
        <v>18339</v>
      </c>
      <c r="B1177" s="71" t="s">
        <v>17218</v>
      </c>
      <c r="C1177" s="71" t="s">
        <v>175</v>
      </c>
    </row>
    <row r="1178">
      <c r="A1178" s="130" t="s">
        <v>18341</v>
      </c>
      <c r="B1178" s="71" t="s">
        <v>16926</v>
      </c>
      <c r="C1178" s="71" t="s">
        <v>16960</v>
      </c>
    </row>
    <row r="1179">
      <c r="A1179" s="130" t="s">
        <v>18343</v>
      </c>
      <c r="B1179" s="71" t="s">
        <v>16926</v>
      </c>
      <c r="C1179" s="71" t="s">
        <v>16960</v>
      </c>
    </row>
    <row r="1180">
      <c r="A1180" s="130" t="s">
        <v>18345</v>
      </c>
      <c r="B1180" s="71" t="s">
        <v>17112</v>
      </c>
      <c r="C1180" s="71" t="s">
        <v>17111</v>
      </c>
    </row>
    <row r="1181">
      <c r="A1181" s="234" t="s">
        <v>18347</v>
      </c>
      <c r="B1181" s="71" t="s">
        <v>16910</v>
      </c>
      <c r="C1181" s="71" t="s">
        <v>17119</v>
      </c>
    </row>
    <row r="1182">
      <c r="A1182" s="234" t="s">
        <v>18347</v>
      </c>
      <c r="B1182" s="71" t="s">
        <v>17119</v>
      </c>
      <c r="C1182" s="71" t="s">
        <v>16910</v>
      </c>
    </row>
    <row r="1183">
      <c r="A1183" s="234" t="s">
        <v>18349</v>
      </c>
      <c r="B1183" s="71" t="s">
        <v>16910</v>
      </c>
      <c r="C1183" s="71" t="s">
        <v>16911</v>
      </c>
    </row>
    <row r="1184">
      <c r="A1184" s="234" t="s">
        <v>18349</v>
      </c>
      <c r="B1184" s="71" t="s">
        <v>16911</v>
      </c>
      <c r="C1184" s="71" t="s">
        <v>16910</v>
      </c>
    </row>
    <row r="1185">
      <c r="A1185" s="130" t="s">
        <v>18351</v>
      </c>
      <c r="B1185" s="71" t="s">
        <v>175</v>
      </c>
      <c r="C1185" s="71" t="s">
        <v>18352</v>
      </c>
    </row>
    <row r="1186">
      <c r="A1186" s="234" t="s">
        <v>18354</v>
      </c>
      <c r="B1186" s="71" t="s">
        <v>17259</v>
      </c>
      <c r="C1186" s="71" t="s">
        <v>187</v>
      </c>
    </row>
    <row r="1187">
      <c r="A1187" s="234" t="s">
        <v>18354</v>
      </c>
      <c r="B1187" s="71" t="s">
        <v>187</v>
      </c>
      <c r="C1187" s="71" t="s">
        <v>17259</v>
      </c>
    </row>
    <row r="1188">
      <c r="A1188" s="234" t="s">
        <v>18356</v>
      </c>
      <c r="B1188" s="71" t="s">
        <v>17104</v>
      </c>
      <c r="C1188" s="71" t="s">
        <v>16838</v>
      </c>
    </row>
    <row r="1189">
      <c r="A1189" s="234" t="s">
        <v>18356</v>
      </c>
      <c r="B1189" s="71" t="s">
        <v>16838</v>
      </c>
      <c r="C1189" s="71" t="s">
        <v>17104</v>
      </c>
    </row>
    <row r="1190">
      <c r="A1190" s="130" t="s">
        <v>18358</v>
      </c>
      <c r="B1190" s="71" t="s">
        <v>175</v>
      </c>
      <c r="C1190" s="71" t="s">
        <v>18310</v>
      </c>
    </row>
    <row r="1191">
      <c r="A1191" s="130" t="s">
        <v>18360</v>
      </c>
      <c r="B1191" s="71" t="s">
        <v>16838</v>
      </c>
      <c r="C1191" s="71" t="s">
        <v>17112</v>
      </c>
    </row>
    <row r="1192">
      <c r="A1192" s="234" t="s">
        <v>18362</v>
      </c>
      <c r="B1192" s="71" t="s">
        <v>17111</v>
      </c>
      <c r="C1192" s="71" t="s">
        <v>17112</v>
      </c>
    </row>
    <row r="1193">
      <c r="A1193" s="234" t="s">
        <v>18362</v>
      </c>
      <c r="B1193" s="71" t="s">
        <v>17112</v>
      </c>
      <c r="C1193" s="71" t="s">
        <v>17111</v>
      </c>
    </row>
    <row r="1194">
      <c r="A1194" s="130" t="s">
        <v>18364</v>
      </c>
      <c r="B1194" s="71" t="s">
        <v>16838</v>
      </c>
      <c r="C1194" s="71" t="s">
        <v>17112</v>
      </c>
    </row>
    <row r="1195">
      <c r="A1195" s="130" t="s">
        <v>18366</v>
      </c>
      <c r="B1195" s="71" t="s">
        <v>187</v>
      </c>
      <c r="C1195" s="71" t="s">
        <v>17559</v>
      </c>
    </row>
    <row r="1196">
      <c r="A1196" s="234" t="s">
        <v>18368</v>
      </c>
      <c r="B1196" s="71" t="s">
        <v>16919</v>
      </c>
      <c r="C1196" s="71" t="s">
        <v>17048</v>
      </c>
    </row>
    <row r="1197">
      <c r="A1197" s="234" t="s">
        <v>18368</v>
      </c>
      <c r="B1197" s="71" t="s">
        <v>17048</v>
      </c>
      <c r="C1197" s="71" t="s">
        <v>16919</v>
      </c>
    </row>
    <row r="1198">
      <c r="A1198" s="234" t="s">
        <v>18370</v>
      </c>
      <c r="B1198" s="71" t="s">
        <v>16867</v>
      </c>
      <c r="C1198" s="71" t="s">
        <v>16838</v>
      </c>
    </row>
    <row r="1199">
      <c r="A1199" s="234" t="s">
        <v>18370</v>
      </c>
      <c r="B1199" s="71" t="s">
        <v>16838</v>
      </c>
      <c r="C1199" s="71" t="s">
        <v>16867</v>
      </c>
    </row>
    <row r="1200">
      <c r="A1200" s="234" t="s">
        <v>18372</v>
      </c>
      <c r="B1200" s="71" t="s">
        <v>175</v>
      </c>
      <c r="C1200" s="71" t="s">
        <v>17233</v>
      </c>
    </row>
    <row r="1201">
      <c r="A1201" s="234" t="s">
        <v>18372</v>
      </c>
      <c r="B1201" s="71" t="s">
        <v>17233</v>
      </c>
      <c r="C1201" s="71" t="s">
        <v>175</v>
      </c>
    </row>
    <row r="1202">
      <c r="A1202" s="130" t="s">
        <v>18374</v>
      </c>
      <c r="B1202" s="71" t="s">
        <v>16838</v>
      </c>
      <c r="C1202" s="71" t="s">
        <v>17112</v>
      </c>
    </row>
    <row r="1203">
      <c r="A1203" s="130" t="s">
        <v>18376</v>
      </c>
      <c r="B1203" s="71" t="s">
        <v>16926</v>
      </c>
      <c r="C1203" s="71" t="s">
        <v>16960</v>
      </c>
    </row>
    <row r="1204">
      <c r="A1204" s="130" t="s">
        <v>18378</v>
      </c>
      <c r="B1204" s="71" t="s">
        <v>17112</v>
      </c>
      <c r="C1204" s="71" t="s">
        <v>17111</v>
      </c>
    </row>
    <row r="1205">
      <c r="A1205" s="234" t="s">
        <v>18380</v>
      </c>
      <c r="B1205" s="71" t="s">
        <v>16885</v>
      </c>
      <c r="C1205" s="71" t="s">
        <v>18381</v>
      </c>
    </row>
    <row r="1206">
      <c r="A1206" s="234" t="s">
        <v>18380</v>
      </c>
      <c r="B1206" s="71" t="s">
        <v>18381</v>
      </c>
      <c r="C1206" s="71" t="s">
        <v>16885</v>
      </c>
    </row>
    <row r="1207">
      <c r="A1207" s="234" t="s">
        <v>18383</v>
      </c>
      <c r="B1207" s="71" t="s">
        <v>16838</v>
      </c>
      <c r="C1207" s="71" t="s">
        <v>17202</v>
      </c>
    </row>
    <row r="1208">
      <c r="A1208" s="234" t="s">
        <v>18383</v>
      </c>
      <c r="B1208" s="71" t="s">
        <v>17202</v>
      </c>
      <c r="C1208" s="71" t="s">
        <v>16838</v>
      </c>
    </row>
    <row r="1209">
      <c r="A1209" s="234" t="s">
        <v>18385</v>
      </c>
      <c r="B1209" s="71" t="s">
        <v>16885</v>
      </c>
      <c r="C1209" s="71" t="s">
        <v>17726</v>
      </c>
    </row>
    <row r="1210">
      <c r="A1210" s="234" t="s">
        <v>18385</v>
      </c>
      <c r="B1210" s="71" t="s">
        <v>17726</v>
      </c>
      <c r="C1210" s="71" t="s">
        <v>16885</v>
      </c>
    </row>
    <row r="1211">
      <c r="A1211" s="130" t="s">
        <v>18387</v>
      </c>
      <c r="B1211" s="71" t="s">
        <v>16838</v>
      </c>
      <c r="C1211" s="71" t="s">
        <v>17202</v>
      </c>
    </row>
    <row r="1212">
      <c r="A1212" s="130" t="s">
        <v>18389</v>
      </c>
      <c r="B1212" s="71" t="s">
        <v>16919</v>
      </c>
      <c r="C1212" s="71" t="s">
        <v>17176</v>
      </c>
    </row>
    <row r="1213">
      <c r="A1213" s="130" t="s">
        <v>18391</v>
      </c>
      <c r="B1213" s="71" t="s">
        <v>16582</v>
      </c>
      <c r="C1213" s="71" t="s">
        <v>17339</v>
      </c>
    </row>
    <row r="1214">
      <c r="A1214" s="234" t="s">
        <v>18393</v>
      </c>
      <c r="B1214" s="71" t="s">
        <v>16582</v>
      </c>
      <c r="C1214" s="71" t="s">
        <v>17183</v>
      </c>
    </row>
    <row r="1215">
      <c r="A1215" s="234" t="s">
        <v>18393</v>
      </c>
      <c r="B1215" s="71" t="s">
        <v>17183</v>
      </c>
      <c r="C1215" s="71" t="s">
        <v>16582</v>
      </c>
    </row>
    <row r="1216">
      <c r="A1216" s="130" t="s">
        <v>18395</v>
      </c>
      <c r="B1216" s="71" t="s">
        <v>158</v>
      </c>
      <c r="C1216" s="71" t="s">
        <v>16864</v>
      </c>
    </row>
    <row r="1217">
      <c r="A1217" s="234" t="s">
        <v>18398</v>
      </c>
      <c r="B1217" s="71" t="s">
        <v>17112</v>
      </c>
      <c r="C1217" s="71" t="s">
        <v>17218</v>
      </c>
    </row>
    <row r="1218">
      <c r="A1218" s="234" t="s">
        <v>18398</v>
      </c>
      <c r="B1218" s="71" t="s">
        <v>17218</v>
      </c>
      <c r="C1218" s="71" t="s">
        <v>17112</v>
      </c>
    </row>
    <row r="1219">
      <c r="A1219" s="130" t="s">
        <v>18400</v>
      </c>
      <c r="B1219" s="71" t="s">
        <v>16838</v>
      </c>
      <c r="C1219" s="71" t="s">
        <v>17016</v>
      </c>
    </row>
    <row r="1220">
      <c r="A1220" s="130" t="s">
        <v>18402</v>
      </c>
      <c r="B1220" s="71" t="s">
        <v>17112</v>
      </c>
      <c r="C1220" s="71" t="s">
        <v>17111</v>
      </c>
    </row>
    <row r="1221">
      <c r="A1221" s="234" t="s">
        <v>18404</v>
      </c>
      <c r="B1221" s="71" t="s">
        <v>175</v>
      </c>
      <c r="C1221" s="71" t="s">
        <v>17057</v>
      </c>
    </row>
    <row r="1222">
      <c r="A1222" s="234" t="s">
        <v>18404</v>
      </c>
      <c r="B1222" s="71" t="s">
        <v>17057</v>
      </c>
      <c r="C1222" s="71" t="s">
        <v>175</v>
      </c>
    </row>
    <row r="1223">
      <c r="A1223" s="234" t="s">
        <v>18406</v>
      </c>
      <c r="B1223" s="71" t="s">
        <v>175</v>
      </c>
      <c r="C1223" s="71" t="s">
        <v>17168</v>
      </c>
    </row>
    <row r="1224">
      <c r="A1224" s="234" t="s">
        <v>18406</v>
      </c>
      <c r="B1224" s="71" t="s">
        <v>17168</v>
      </c>
      <c r="C1224" s="71" t="s">
        <v>175</v>
      </c>
    </row>
    <row r="1225">
      <c r="A1225" s="130" t="s">
        <v>18408</v>
      </c>
      <c r="B1225" s="71" t="s">
        <v>16582</v>
      </c>
      <c r="C1225" s="71" t="s">
        <v>16817</v>
      </c>
    </row>
    <row r="1226">
      <c r="A1226" s="130" t="s">
        <v>18410</v>
      </c>
      <c r="B1226" s="71" t="s">
        <v>16582</v>
      </c>
      <c r="C1226" s="71" t="s">
        <v>16930</v>
      </c>
    </row>
    <row r="1227">
      <c r="A1227" s="234" t="s">
        <v>18412</v>
      </c>
      <c r="B1227" s="71" t="s">
        <v>16910</v>
      </c>
      <c r="C1227" s="71" t="s">
        <v>17119</v>
      </c>
    </row>
    <row r="1228">
      <c r="A1228" s="234" t="s">
        <v>18412</v>
      </c>
      <c r="B1228" s="71" t="s">
        <v>17119</v>
      </c>
      <c r="C1228" s="71" t="s">
        <v>16910</v>
      </c>
    </row>
    <row r="1229">
      <c r="A1229" s="234" t="s">
        <v>18414</v>
      </c>
      <c r="B1229" s="71" t="s">
        <v>175</v>
      </c>
      <c r="C1229" s="71" t="s">
        <v>17391</v>
      </c>
    </row>
    <row r="1230">
      <c r="A1230" s="234" t="s">
        <v>18414</v>
      </c>
      <c r="B1230" s="71" t="s">
        <v>17391</v>
      </c>
      <c r="C1230" s="71" t="s">
        <v>175</v>
      </c>
    </row>
    <row r="1231">
      <c r="A1231" s="234" t="s">
        <v>18416</v>
      </c>
      <c r="B1231" s="71" t="s">
        <v>17111</v>
      </c>
      <c r="C1231" s="71" t="s">
        <v>17112</v>
      </c>
    </row>
    <row r="1232">
      <c r="A1232" s="234" t="s">
        <v>18416</v>
      </c>
      <c r="B1232" s="71" t="s">
        <v>17112</v>
      </c>
      <c r="C1232" s="71" t="s">
        <v>17111</v>
      </c>
    </row>
    <row r="1233">
      <c r="A1233" s="234" t="s">
        <v>18418</v>
      </c>
      <c r="B1233" s="71" t="s">
        <v>169</v>
      </c>
      <c r="C1233" s="71" t="s">
        <v>16899</v>
      </c>
    </row>
    <row r="1234">
      <c r="A1234" s="234" t="s">
        <v>18418</v>
      </c>
      <c r="B1234" s="71" t="s">
        <v>16899</v>
      </c>
      <c r="C1234" s="71" t="s">
        <v>169</v>
      </c>
    </row>
    <row r="1235">
      <c r="A1235" s="130" t="s">
        <v>18420</v>
      </c>
      <c r="B1235" s="71" t="s">
        <v>16838</v>
      </c>
      <c r="C1235" s="71" t="s">
        <v>16867</v>
      </c>
    </row>
    <row r="1236">
      <c r="A1236" s="130" t="s">
        <v>18422</v>
      </c>
      <c r="B1236" s="71" t="s">
        <v>187</v>
      </c>
      <c r="C1236" s="71" t="s">
        <v>16992</v>
      </c>
    </row>
    <row r="1237">
      <c r="A1237" s="234" t="s">
        <v>18424</v>
      </c>
      <c r="B1237" s="71" t="s">
        <v>169</v>
      </c>
      <c r="C1237" s="71" t="s">
        <v>17738</v>
      </c>
    </row>
    <row r="1238">
      <c r="A1238" s="234" t="s">
        <v>18424</v>
      </c>
      <c r="B1238" s="71" t="s">
        <v>17738</v>
      </c>
      <c r="C1238" s="71" t="s">
        <v>169</v>
      </c>
    </row>
    <row r="1239">
      <c r="A1239" s="130" t="s">
        <v>18426</v>
      </c>
      <c r="B1239" s="71" t="s">
        <v>169</v>
      </c>
      <c r="C1239" s="71" t="s">
        <v>17619</v>
      </c>
    </row>
    <row r="1240">
      <c r="A1240" s="234" t="s">
        <v>18428</v>
      </c>
      <c r="B1240" s="71" t="s">
        <v>17347</v>
      </c>
      <c r="C1240" s="71" t="s">
        <v>16838</v>
      </c>
    </row>
    <row r="1241">
      <c r="A1241" s="234" t="s">
        <v>18428</v>
      </c>
      <c r="B1241" s="71" t="s">
        <v>16838</v>
      </c>
      <c r="C1241" s="71" t="s">
        <v>17347</v>
      </c>
    </row>
    <row r="1242">
      <c r="A1242" s="234" t="s">
        <v>18430</v>
      </c>
      <c r="B1242" s="71" t="s">
        <v>175</v>
      </c>
      <c r="C1242" s="71" t="s">
        <v>16854</v>
      </c>
    </row>
    <row r="1243">
      <c r="A1243" s="234" t="s">
        <v>18430</v>
      </c>
      <c r="B1243" s="71" t="s">
        <v>16854</v>
      </c>
      <c r="C1243" s="71" t="s">
        <v>175</v>
      </c>
    </row>
    <row r="1244">
      <c r="A1244" s="234" t="s">
        <v>18433</v>
      </c>
      <c r="B1244" s="71" t="s">
        <v>187</v>
      </c>
      <c r="C1244" s="71" t="s">
        <v>16846</v>
      </c>
    </row>
    <row r="1245">
      <c r="A1245" s="234" t="s">
        <v>18433</v>
      </c>
      <c r="B1245" s="71" t="s">
        <v>16846</v>
      </c>
      <c r="C1245" s="71" t="s">
        <v>187</v>
      </c>
    </row>
    <row r="1246">
      <c r="A1246" s="130" t="s">
        <v>18435</v>
      </c>
      <c r="B1246" s="71" t="s">
        <v>16838</v>
      </c>
      <c r="C1246" s="71" t="s">
        <v>17202</v>
      </c>
    </row>
    <row r="1247">
      <c r="A1247" s="130" t="s">
        <v>18437</v>
      </c>
      <c r="B1247" s="71" t="s">
        <v>175</v>
      </c>
      <c r="C1247" s="71" t="s">
        <v>17168</v>
      </c>
    </row>
    <row r="1248">
      <c r="A1248" s="130" t="s">
        <v>18439</v>
      </c>
      <c r="B1248" s="71" t="s">
        <v>187</v>
      </c>
      <c r="C1248" s="71" t="s">
        <v>16969</v>
      </c>
    </row>
    <row r="1249">
      <c r="A1249" s="234" t="s">
        <v>18441</v>
      </c>
      <c r="B1249" s="71" t="s">
        <v>169</v>
      </c>
      <c r="C1249" s="71" t="s">
        <v>16899</v>
      </c>
    </row>
    <row r="1250">
      <c r="A1250" s="234" t="s">
        <v>18441</v>
      </c>
      <c r="B1250" s="71" t="s">
        <v>16899</v>
      </c>
      <c r="C1250" s="71" t="s">
        <v>169</v>
      </c>
    </row>
    <row r="1251">
      <c r="A1251" s="130" t="s">
        <v>18443</v>
      </c>
      <c r="B1251" s="71" t="s">
        <v>16582</v>
      </c>
      <c r="C1251" s="71" t="s">
        <v>16817</v>
      </c>
    </row>
    <row r="1252">
      <c r="A1252" s="130" t="s">
        <v>18445</v>
      </c>
      <c r="B1252" s="71" t="s">
        <v>187</v>
      </c>
      <c r="C1252" s="71" t="s">
        <v>16851</v>
      </c>
    </row>
    <row r="1253">
      <c r="A1253" s="130" t="s">
        <v>18447</v>
      </c>
      <c r="B1253" s="71" t="s">
        <v>16582</v>
      </c>
      <c r="C1253" s="71" t="s">
        <v>17435</v>
      </c>
    </row>
    <row r="1254">
      <c r="A1254" s="234" t="s">
        <v>18449</v>
      </c>
      <c r="B1254" s="71" t="s">
        <v>17111</v>
      </c>
      <c r="C1254" s="71" t="s">
        <v>17112</v>
      </c>
    </row>
    <row r="1255">
      <c r="A1255" s="234" t="s">
        <v>18449</v>
      </c>
      <c r="B1255" s="71" t="s">
        <v>17112</v>
      </c>
      <c r="C1255" s="71" t="s">
        <v>17111</v>
      </c>
    </row>
    <row r="1256">
      <c r="A1256" s="234" t="s">
        <v>18451</v>
      </c>
      <c r="B1256" s="71" t="s">
        <v>17127</v>
      </c>
      <c r="C1256" s="71" t="s">
        <v>16838</v>
      </c>
    </row>
    <row r="1257">
      <c r="A1257" s="234" t="s">
        <v>18451</v>
      </c>
      <c r="B1257" s="71" t="s">
        <v>16838</v>
      </c>
      <c r="C1257" s="71" t="s">
        <v>17127</v>
      </c>
    </row>
    <row r="1258">
      <c r="A1258" s="130" t="s">
        <v>18453</v>
      </c>
      <c r="B1258" s="71" t="s">
        <v>16838</v>
      </c>
      <c r="C1258" s="71" t="s">
        <v>17112</v>
      </c>
    </row>
    <row r="1259">
      <c r="A1259" s="130" t="s">
        <v>18455</v>
      </c>
      <c r="B1259" s="71" t="s">
        <v>169</v>
      </c>
      <c r="C1259" s="71" t="s">
        <v>16899</v>
      </c>
    </row>
    <row r="1260">
      <c r="A1260" s="234" t="s">
        <v>18457</v>
      </c>
      <c r="B1260" s="71" t="s">
        <v>17509</v>
      </c>
      <c r="C1260" s="71" t="s">
        <v>187</v>
      </c>
    </row>
    <row r="1261">
      <c r="A1261" s="234" t="s">
        <v>18457</v>
      </c>
      <c r="B1261" s="71" t="s">
        <v>187</v>
      </c>
      <c r="C1261" s="71" t="s">
        <v>17509</v>
      </c>
    </row>
    <row r="1262">
      <c r="A1262" s="130" t="s">
        <v>18459</v>
      </c>
      <c r="B1262" s="71" t="s">
        <v>158</v>
      </c>
      <c r="C1262" s="71" t="s">
        <v>16920</v>
      </c>
    </row>
    <row r="1263">
      <c r="A1263" s="234" t="s">
        <v>18461</v>
      </c>
      <c r="B1263" s="71" t="s">
        <v>17347</v>
      </c>
      <c r="C1263" s="71" t="s">
        <v>16838</v>
      </c>
    </row>
    <row r="1264">
      <c r="A1264" s="234" t="s">
        <v>18461</v>
      </c>
      <c r="B1264" s="71" t="s">
        <v>16838</v>
      </c>
      <c r="C1264" s="71" t="s">
        <v>17347</v>
      </c>
    </row>
    <row r="1265">
      <c r="A1265" s="234" t="s">
        <v>18463</v>
      </c>
      <c r="B1265" s="71" t="s">
        <v>16919</v>
      </c>
      <c r="C1265" s="71" t="s">
        <v>16920</v>
      </c>
    </row>
    <row r="1266">
      <c r="A1266" s="234" t="s">
        <v>18463</v>
      </c>
      <c r="B1266" s="71" t="s">
        <v>16920</v>
      </c>
      <c r="C1266" s="71" t="s">
        <v>16919</v>
      </c>
    </row>
    <row r="1267">
      <c r="A1267" s="234" t="s">
        <v>18465</v>
      </c>
      <c r="B1267" s="71" t="s">
        <v>16582</v>
      </c>
      <c r="C1267" s="71" t="s">
        <v>16817</v>
      </c>
    </row>
    <row r="1268">
      <c r="A1268" s="234" t="s">
        <v>18465</v>
      </c>
      <c r="B1268" s="71" t="s">
        <v>16817</v>
      </c>
      <c r="C1268" s="71" t="s">
        <v>16582</v>
      </c>
    </row>
    <row r="1269">
      <c r="A1269" s="130" t="s">
        <v>18467</v>
      </c>
      <c r="B1269" s="71" t="s">
        <v>16582</v>
      </c>
      <c r="C1269" s="71" t="s">
        <v>16828</v>
      </c>
    </row>
    <row r="1270">
      <c r="A1270" s="234" t="s">
        <v>18469</v>
      </c>
      <c r="B1270" s="71" t="s">
        <v>16919</v>
      </c>
      <c r="C1270" s="71" t="s">
        <v>110</v>
      </c>
    </row>
    <row r="1271">
      <c r="A1271" s="234" t="s">
        <v>18469</v>
      </c>
      <c r="B1271" s="71" t="s">
        <v>110</v>
      </c>
      <c r="C1271" s="71" t="s">
        <v>16919</v>
      </c>
    </row>
    <row r="1272">
      <c r="A1272" s="130" t="s">
        <v>18471</v>
      </c>
      <c r="B1272" s="71" t="s">
        <v>187</v>
      </c>
      <c r="C1272" s="71" t="s">
        <v>16846</v>
      </c>
    </row>
    <row r="1273">
      <c r="A1273" s="130" t="s">
        <v>18473</v>
      </c>
      <c r="B1273" s="71" t="s">
        <v>169</v>
      </c>
      <c r="C1273" s="71" t="s">
        <v>16899</v>
      </c>
    </row>
    <row r="1274">
      <c r="A1274" s="234" t="s">
        <v>18475</v>
      </c>
      <c r="B1274" s="71" t="s">
        <v>17127</v>
      </c>
      <c r="C1274" s="71" t="s">
        <v>16838</v>
      </c>
    </row>
    <row r="1275">
      <c r="A1275" s="234" t="s">
        <v>18475</v>
      </c>
      <c r="B1275" s="71" t="s">
        <v>16838</v>
      </c>
      <c r="C1275" s="71" t="s">
        <v>17127</v>
      </c>
    </row>
    <row r="1276">
      <c r="A1276" s="130" t="s">
        <v>18477</v>
      </c>
      <c r="B1276" s="71" t="s">
        <v>187</v>
      </c>
      <c r="C1276" s="71" t="s">
        <v>16858</v>
      </c>
    </row>
    <row r="1277">
      <c r="A1277" s="234" t="s">
        <v>18479</v>
      </c>
      <c r="B1277" s="71" t="s">
        <v>16838</v>
      </c>
      <c r="C1277" s="71" t="s">
        <v>17002</v>
      </c>
    </row>
    <row r="1278">
      <c r="A1278" s="234" t="s">
        <v>18479</v>
      </c>
      <c r="B1278" s="71" t="s">
        <v>17002</v>
      </c>
      <c r="C1278" s="71" t="s">
        <v>16838</v>
      </c>
    </row>
    <row r="1279">
      <c r="A1279" s="234" t="s">
        <v>18481</v>
      </c>
      <c r="B1279" s="71" t="s">
        <v>16919</v>
      </c>
      <c r="C1279" s="71" t="s">
        <v>17048</v>
      </c>
    </row>
    <row r="1280">
      <c r="A1280" s="234" t="s">
        <v>18481</v>
      </c>
      <c r="B1280" s="71" t="s">
        <v>17048</v>
      </c>
      <c r="C1280" s="71" t="s">
        <v>16919</v>
      </c>
    </row>
    <row r="1281">
      <c r="A1281" s="130" t="s">
        <v>18483</v>
      </c>
      <c r="B1281" s="71" t="s">
        <v>169</v>
      </c>
      <c r="C1281" s="71" t="s">
        <v>17043</v>
      </c>
    </row>
    <row r="1282">
      <c r="A1282" s="234" t="s">
        <v>18485</v>
      </c>
      <c r="B1282" s="71" t="s">
        <v>175</v>
      </c>
      <c r="C1282" s="71" t="s">
        <v>17606</v>
      </c>
    </row>
    <row r="1283">
      <c r="A1283" s="234" t="s">
        <v>18485</v>
      </c>
      <c r="B1283" s="71" t="s">
        <v>17606</v>
      </c>
      <c r="C1283" s="71" t="s">
        <v>175</v>
      </c>
    </row>
    <row r="1284">
      <c r="A1284" s="130" t="s">
        <v>18487</v>
      </c>
      <c r="B1284" s="71" t="s">
        <v>187</v>
      </c>
      <c r="C1284" s="71" t="s">
        <v>16846</v>
      </c>
    </row>
    <row r="1285">
      <c r="A1285" s="234" t="s">
        <v>18489</v>
      </c>
      <c r="B1285" s="71" t="s">
        <v>169</v>
      </c>
      <c r="C1285" s="71" t="s">
        <v>17827</v>
      </c>
    </row>
    <row r="1286">
      <c r="A1286" s="234" t="s">
        <v>18489</v>
      </c>
      <c r="B1286" s="71" t="s">
        <v>17827</v>
      </c>
      <c r="C1286" s="71" t="s">
        <v>169</v>
      </c>
    </row>
    <row r="1287">
      <c r="A1287" s="130" t="s">
        <v>18491</v>
      </c>
      <c r="B1287" s="71" t="s">
        <v>169</v>
      </c>
      <c r="C1287" s="71" t="s">
        <v>16899</v>
      </c>
    </row>
    <row r="1288">
      <c r="A1288" s="234" t="s">
        <v>18493</v>
      </c>
      <c r="B1288" s="71" t="s">
        <v>16919</v>
      </c>
      <c r="C1288" s="71" t="s">
        <v>16920</v>
      </c>
    </row>
    <row r="1289">
      <c r="A1289" s="234" t="s">
        <v>18493</v>
      </c>
      <c r="B1289" s="71" t="s">
        <v>16920</v>
      </c>
      <c r="C1289" s="71" t="s">
        <v>16919</v>
      </c>
    </row>
    <row r="1290">
      <c r="A1290" s="130" t="s">
        <v>18495</v>
      </c>
      <c r="B1290" s="71" t="s">
        <v>158</v>
      </c>
      <c r="C1290" s="71" t="s">
        <v>16864</v>
      </c>
    </row>
    <row r="1291">
      <c r="A1291" s="234" t="s">
        <v>18497</v>
      </c>
      <c r="B1291" s="71" t="s">
        <v>16582</v>
      </c>
      <c r="C1291" s="71" t="s">
        <v>17435</v>
      </c>
    </row>
    <row r="1292">
      <c r="A1292" s="234" t="s">
        <v>18497</v>
      </c>
      <c r="B1292" s="71" t="s">
        <v>17435</v>
      </c>
      <c r="C1292" s="71" t="s">
        <v>16582</v>
      </c>
    </row>
    <row r="1293">
      <c r="A1293" s="234" t="s">
        <v>18499</v>
      </c>
      <c r="B1293" s="71" t="s">
        <v>175</v>
      </c>
      <c r="C1293" s="71" t="s">
        <v>18500</v>
      </c>
    </row>
    <row r="1294">
      <c r="A1294" s="234" t="s">
        <v>18499</v>
      </c>
      <c r="B1294" s="71" t="s">
        <v>18500</v>
      </c>
      <c r="C1294" s="71" t="s">
        <v>175</v>
      </c>
    </row>
    <row r="1295">
      <c r="A1295" s="234" t="s">
        <v>18502</v>
      </c>
      <c r="B1295" s="71" t="s">
        <v>16919</v>
      </c>
      <c r="C1295" s="71" t="s">
        <v>17176</v>
      </c>
    </row>
    <row r="1296">
      <c r="A1296" s="234" t="s">
        <v>18502</v>
      </c>
      <c r="B1296" s="71" t="s">
        <v>17176</v>
      </c>
      <c r="C1296" s="71" t="s">
        <v>16919</v>
      </c>
    </row>
    <row r="1297">
      <c r="A1297" s="234" t="s">
        <v>18504</v>
      </c>
      <c r="B1297" s="71" t="s">
        <v>16582</v>
      </c>
      <c r="C1297" s="71" t="s">
        <v>16817</v>
      </c>
    </row>
    <row r="1298">
      <c r="A1298" s="234" t="s">
        <v>18504</v>
      </c>
      <c r="B1298" s="71" t="s">
        <v>16817</v>
      </c>
      <c r="C1298" s="71" t="s">
        <v>16582</v>
      </c>
    </row>
    <row r="1299">
      <c r="A1299" s="130" t="s">
        <v>18506</v>
      </c>
      <c r="B1299" s="71" t="s">
        <v>158</v>
      </c>
      <c r="C1299" s="71" t="s">
        <v>16864</v>
      </c>
    </row>
    <row r="1300">
      <c r="A1300" s="234" t="s">
        <v>18508</v>
      </c>
      <c r="B1300" s="71" t="s">
        <v>16919</v>
      </c>
      <c r="C1300" s="71" t="s">
        <v>17048</v>
      </c>
    </row>
    <row r="1301">
      <c r="A1301" s="234" t="s">
        <v>18508</v>
      </c>
      <c r="B1301" s="71" t="s">
        <v>17048</v>
      </c>
      <c r="C1301" s="71" t="s">
        <v>16919</v>
      </c>
    </row>
    <row r="1302">
      <c r="A1302" s="130" t="s">
        <v>18510</v>
      </c>
      <c r="B1302" s="71" t="s">
        <v>175</v>
      </c>
      <c r="C1302" s="71" t="s">
        <v>17394</v>
      </c>
    </row>
    <row r="1303">
      <c r="A1303" s="234" t="s">
        <v>18512</v>
      </c>
      <c r="B1303" s="71" t="s">
        <v>158</v>
      </c>
      <c r="C1303" s="71" t="s">
        <v>16864</v>
      </c>
    </row>
    <row r="1304">
      <c r="A1304" s="234" t="s">
        <v>18512</v>
      </c>
      <c r="B1304" s="71" t="s">
        <v>16864</v>
      </c>
      <c r="C1304" s="71" t="s">
        <v>158</v>
      </c>
    </row>
    <row r="1305">
      <c r="A1305" s="234" t="s">
        <v>18514</v>
      </c>
      <c r="B1305" s="71" t="s">
        <v>16919</v>
      </c>
      <c r="C1305" s="71" t="s">
        <v>17048</v>
      </c>
    </row>
    <row r="1306">
      <c r="A1306" s="234" t="s">
        <v>18514</v>
      </c>
      <c r="B1306" s="71" t="s">
        <v>17048</v>
      </c>
      <c r="C1306" s="71" t="s">
        <v>16919</v>
      </c>
    </row>
    <row r="1307">
      <c r="A1307" s="234" t="s">
        <v>18516</v>
      </c>
      <c r="B1307" s="71" t="s">
        <v>16867</v>
      </c>
      <c r="C1307" s="71" t="s">
        <v>16838</v>
      </c>
    </row>
    <row r="1308">
      <c r="A1308" s="234" t="s">
        <v>18516</v>
      </c>
      <c r="B1308" s="71" t="s">
        <v>16838</v>
      </c>
      <c r="C1308" s="71" t="s">
        <v>16867</v>
      </c>
    </row>
    <row r="1309">
      <c r="A1309" s="130" t="s">
        <v>18518</v>
      </c>
      <c r="B1309" s="71" t="s">
        <v>169</v>
      </c>
      <c r="C1309" s="71" t="s">
        <v>17619</v>
      </c>
    </row>
    <row r="1310">
      <c r="A1310" s="234" t="s">
        <v>18520</v>
      </c>
      <c r="B1310" s="71" t="s">
        <v>17016</v>
      </c>
      <c r="C1310" s="71" t="s">
        <v>16838</v>
      </c>
    </row>
    <row r="1311">
      <c r="A1311" s="234" t="s">
        <v>18520</v>
      </c>
      <c r="B1311" s="71" t="s">
        <v>16838</v>
      </c>
      <c r="C1311" s="71" t="s">
        <v>17016</v>
      </c>
    </row>
    <row r="1312">
      <c r="A1312" s="234" t="s">
        <v>18522</v>
      </c>
      <c r="B1312" s="71" t="s">
        <v>169</v>
      </c>
      <c r="C1312" s="71" t="s">
        <v>17442</v>
      </c>
    </row>
    <row r="1313">
      <c r="A1313" s="234" t="s">
        <v>18522</v>
      </c>
      <c r="B1313" s="71" t="s">
        <v>17442</v>
      </c>
      <c r="C1313" s="71" t="s">
        <v>169</v>
      </c>
    </row>
    <row r="1314">
      <c r="A1314" s="234" t="s">
        <v>18524</v>
      </c>
      <c r="B1314" s="71" t="s">
        <v>16582</v>
      </c>
      <c r="C1314" s="71" t="s">
        <v>16817</v>
      </c>
    </row>
    <row r="1315">
      <c r="A1315" s="234" t="s">
        <v>18524</v>
      </c>
      <c r="B1315" s="71" t="s">
        <v>16817</v>
      </c>
      <c r="C1315" s="71" t="s">
        <v>16582</v>
      </c>
    </row>
    <row r="1316">
      <c r="A1316" s="234" t="s">
        <v>18526</v>
      </c>
      <c r="B1316" s="71" t="s">
        <v>169</v>
      </c>
      <c r="C1316" s="71" t="s">
        <v>16899</v>
      </c>
    </row>
    <row r="1317">
      <c r="A1317" s="234" t="s">
        <v>18526</v>
      </c>
      <c r="B1317" s="71" t="s">
        <v>16899</v>
      </c>
      <c r="C1317" s="71" t="s">
        <v>169</v>
      </c>
    </row>
    <row r="1318">
      <c r="A1318" s="234" t="s">
        <v>18528</v>
      </c>
      <c r="B1318" s="71" t="s">
        <v>18529</v>
      </c>
      <c r="C1318" s="71" t="s">
        <v>187</v>
      </c>
    </row>
    <row r="1319">
      <c r="A1319" s="234" t="s">
        <v>18528</v>
      </c>
      <c r="B1319" s="71" t="s">
        <v>187</v>
      </c>
      <c r="C1319" s="71" t="s">
        <v>18529</v>
      </c>
    </row>
    <row r="1320">
      <c r="A1320" s="234" t="s">
        <v>18531</v>
      </c>
      <c r="B1320" s="71" t="s">
        <v>175</v>
      </c>
      <c r="C1320" s="71" t="s">
        <v>17394</v>
      </c>
    </row>
    <row r="1321">
      <c r="A1321" s="234" t="s">
        <v>18531</v>
      </c>
      <c r="B1321" s="71" t="s">
        <v>17394</v>
      </c>
      <c r="C1321" s="71" t="s">
        <v>175</v>
      </c>
    </row>
    <row r="1322">
      <c r="A1322" s="234" t="s">
        <v>18533</v>
      </c>
      <c r="B1322" s="71" t="s">
        <v>175</v>
      </c>
      <c r="C1322" s="71" t="s">
        <v>17394</v>
      </c>
    </row>
    <row r="1323">
      <c r="A1323" s="234" t="s">
        <v>18533</v>
      </c>
      <c r="B1323" s="71" t="s">
        <v>17394</v>
      </c>
      <c r="C1323" s="71" t="s">
        <v>175</v>
      </c>
    </row>
    <row r="1324">
      <c r="A1324" s="130" t="s">
        <v>18535</v>
      </c>
      <c r="B1324" s="71"/>
      <c r="C1324" s="71"/>
    </row>
    <row r="1325">
      <c r="A1325" s="234" t="s">
        <v>18537</v>
      </c>
      <c r="B1325" s="71" t="s">
        <v>169</v>
      </c>
      <c r="C1325" s="71" t="s">
        <v>17757</v>
      </c>
    </row>
    <row r="1326">
      <c r="A1326" s="234" t="s">
        <v>18537</v>
      </c>
      <c r="B1326" s="71" t="s">
        <v>17757</v>
      </c>
      <c r="C1326" s="71" t="s">
        <v>169</v>
      </c>
    </row>
    <row r="1327">
      <c r="A1327" s="130" t="s">
        <v>18539</v>
      </c>
      <c r="B1327" s="71" t="s">
        <v>175</v>
      </c>
      <c r="C1327" s="71" t="s">
        <v>16861</v>
      </c>
    </row>
    <row r="1328">
      <c r="A1328" s="130" t="s">
        <v>18541</v>
      </c>
      <c r="B1328" s="71" t="s">
        <v>16838</v>
      </c>
      <c r="C1328" s="71" t="s">
        <v>17202</v>
      </c>
    </row>
    <row r="1329">
      <c r="A1329" s="234" t="s">
        <v>18543</v>
      </c>
      <c r="B1329" s="71" t="s">
        <v>16582</v>
      </c>
      <c r="C1329" s="71" t="s">
        <v>16817</v>
      </c>
    </row>
    <row r="1330">
      <c r="A1330" s="234" t="s">
        <v>18543</v>
      </c>
      <c r="B1330" s="71" t="s">
        <v>16817</v>
      </c>
      <c r="C1330" s="71" t="s">
        <v>16582</v>
      </c>
    </row>
    <row r="1331">
      <c r="A1331" s="234" t="s">
        <v>18545</v>
      </c>
      <c r="B1331" s="71"/>
      <c r="C1331" s="71"/>
    </row>
    <row r="1332">
      <c r="A1332" s="234" t="s">
        <v>18545</v>
      </c>
      <c r="B1332" s="71"/>
      <c r="C1332" s="71"/>
    </row>
    <row r="1333">
      <c r="A1333" s="234" t="s">
        <v>18547</v>
      </c>
      <c r="B1333" s="71" t="s">
        <v>16838</v>
      </c>
      <c r="C1333" s="71" t="s">
        <v>17002</v>
      </c>
    </row>
    <row r="1334">
      <c r="A1334" s="234" t="s">
        <v>18547</v>
      </c>
      <c r="B1334" s="71" t="s">
        <v>17002</v>
      </c>
      <c r="C1334" s="71" t="s">
        <v>16838</v>
      </c>
    </row>
    <row r="1335">
      <c r="A1335" s="130" t="s">
        <v>18549</v>
      </c>
      <c r="B1335" s="71" t="s">
        <v>175</v>
      </c>
      <c r="C1335" s="71" t="s">
        <v>17168</v>
      </c>
    </row>
    <row r="1336">
      <c r="A1336" s="234" t="s">
        <v>18551</v>
      </c>
      <c r="B1336" s="71" t="s">
        <v>187</v>
      </c>
      <c r="C1336" s="71" t="s">
        <v>16846</v>
      </c>
    </row>
    <row r="1337">
      <c r="A1337" s="234" t="s">
        <v>18551</v>
      </c>
      <c r="B1337" s="71" t="s">
        <v>16846</v>
      </c>
      <c r="C1337" s="71" t="s">
        <v>187</v>
      </c>
    </row>
    <row r="1338">
      <c r="A1338" s="234" t="s">
        <v>18553</v>
      </c>
      <c r="B1338" s="71" t="s">
        <v>169</v>
      </c>
      <c r="C1338" s="71" t="s">
        <v>17475</v>
      </c>
    </row>
    <row r="1339">
      <c r="A1339" s="234" t="s">
        <v>18553</v>
      </c>
      <c r="B1339" s="71" t="s">
        <v>17475</v>
      </c>
      <c r="C1339" s="71" t="s">
        <v>169</v>
      </c>
    </row>
    <row r="1340">
      <c r="A1340" s="130" t="s">
        <v>18555</v>
      </c>
      <c r="B1340" s="71" t="s">
        <v>16582</v>
      </c>
      <c r="C1340" s="71" t="s">
        <v>16930</v>
      </c>
    </row>
    <row r="1341">
      <c r="A1341" s="234" t="s">
        <v>18557</v>
      </c>
      <c r="B1341" s="71" t="s">
        <v>158</v>
      </c>
      <c r="C1341" s="71" t="s">
        <v>16864</v>
      </c>
    </row>
    <row r="1342">
      <c r="A1342" s="234" t="s">
        <v>18557</v>
      </c>
      <c r="B1342" s="71" t="s">
        <v>16864</v>
      </c>
      <c r="C1342" s="71" t="s">
        <v>158</v>
      </c>
    </row>
    <row r="1343">
      <c r="A1343" s="234" t="s">
        <v>18559</v>
      </c>
      <c r="B1343" s="71" t="s">
        <v>175</v>
      </c>
      <c r="C1343" s="71" t="s">
        <v>17069</v>
      </c>
    </row>
    <row r="1344">
      <c r="A1344" s="234" t="s">
        <v>18559</v>
      </c>
      <c r="B1344" s="71" t="s">
        <v>17069</v>
      </c>
      <c r="C1344" s="71" t="s">
        <v>175</v>
      </c>
    </row>
    <row r="1345">
      <c r="A1345" s="234" t="s">
        <v>18561</v>
      </c>
      <c r="B1345" s="71"/>
      <c r="C1345" s="71"/>
    </row>
    <row r="1346">
      <c r="A1346" s="234" t="s">
        <v>18561</v>
      </c>
      <c r="B1346" s="71"/>
      <c r="C1346" s="71"/>
    </row>
    <row r="1347">
      <c r="A1347" s="234" t="s">
        <v>18563</v>
      </c>
      <c r="B1347" s="71" t="s">
        <v>175</v>
      </c>
      <c r="C1347" s="71" t="s">
        <v>17480</v>
      </c>
    </row>
    <row r="1348">
      <c r="A1348" s="234" t="s">
        <v>18563</v>
      </c>
      <c r="B1348" s="71" t="s">
        <v>17480</v>
      </c>
      <c r="C1348" s="71" t="s">
        <v>175</v>
      </c>
    </row>
    <row r="1349">
      <c r="A1349" s="130" t="s">
        <v>18565</v>
      </c>
      <c r="B1349" s="71" t="s">
        <v>16838</v>
      </c>
      <c r="C1349" s="71" t="s">
        <v>16867</v>
      </c>
    </row>
    <row r="1350">
      <c r="A1350" s="234" t="s">
        <v>18567</v>
      </c>
      <c r="B1350" s="71" t="s">
        <v>17111</v>
      </c>
      <c r="C1350" s="71" t="s">
        <v>17112</v>
      </c>
    </row>
    <row r="1351">
      <c r="A1351" s="234" t="s">
        <v>18567</v>
      </c>
      <c r="B1351" s="71" t="s">
        <v>17112</v>
      </c>
      <c r="C1351" s="71" t="s">
        <v>17111</v>
      </c>
    </row>
    <row r="1352">
      <c r="A1352" s="234" t="s">
        <v>18569</v>
      </c>
      <c r="B1352" s="71" t="s">
        <v>175</v>
      </c>
      <c r="C1352" s="71" t="s">
        <v>18570</v>
      </c>
    </row>
    <row r="1353">
      <c r="A1353" s="234" t="s">
        <v>18569</v>
      </c>
      <c r="B1353" s="71" t="s">
        <v>18570</v>
      </c>
      <c r="C1353" s="71" t="s">
        <v>175</v>
      </c>
    </row>
    <row r="1354">
      <c r="A1354" s="234" t="s">
        <v>18572</v>
      </c>
      <c r="B1354" s="71" t="s">
        <v>175</v>
      </c>
      <c r="C1354" s="71" t="s">
        <v>17606</v>
      </c>
    </row>
    <row r="1355">
      <c r="A1355" s="234" t="s">
        <v>18572</v>
      </c>
      <c r="B1355" s="71" t="s">
        <v>17606</v>
      </c>
      <c r="C1355" s="71" t="s">
        <v>175</v>
      </c>
    </row>
    <row r="1356">
      <c r="A1356" s="130" t="s">
        <v>18574</v>
      </c>
      <c r="B1356" s="71" t="s">
        <v>17112</v>
      </c>
      <c r="C1356" s="71" t="s">
        <v>17111</v>
      </c>
    </row>
    <row r="1357">
      <c r="A1357" s="234" t="s">
        <v>18576</v>
      </c>
      <c r="B1357" s="71" t="s">
        <v>17111</v>
      </c>
      <c r="C1357" s="71" t="s">
        <v>17112</v>
      </c>
    </row>
    <row r="1358">
      <c r="A1358" s="234" t="s">
        <v>18576</v>
      </c>
      <c r="B1358" s="71" t="s">
        <v>17112</v>
      </c>
      <c r="C1358" s="71" t="s">
        <v>17111</v>
      </c>
    </row>
    <row r="1359">
      <c r="A1359" s="130" t="s">
        <v>18578</v>
      </c>
      <c r="B1359" s="71" t="s">
        <v>16926</v>
      </c>
      <c r="C1359" s="71" t="s">
        <v>16927</v>
      </c>
    </row>
    <row r="1360">
      <c r="A1360" s="234" t="s">
        <v>18580</v>
      </c>
      <c r="B1360" s="71" t="s">
        <v>16969</v>
      </c>
      <c r="C1360" s="71" t="s">
        <v>187</v>
      </c>
    </row>
    <row r="1361">
      <c r="A1361" s="234" t="s">
        <v>18580</v>
      </c>
      <c r="B1361" s="71" t="s">
        <v>187</v>
      </c>
      <c r="C1361" s="71" t="s">
        <v>16969</v>
      </c>
    </row>
    <row r="1362">
      <c r="A1362" s="234" t="s">
        <v>18582</v>
      </c>
      <c r="B1362" s="71" t="s">
        <v>17321</v>
      </c>
      <c r="C1362" s="71" t="s">
        <v>169</v>
      </c>
    </row>
    <row r="1363">
      <c r="A1363" s="234" t="s">
        <v>18582</v>
      </c>
      <c r="B1363" s="71" t="s">
        <v>169</v>
      </c>
      <c r="C1363" s="71" t="s">
        <v>17321</v>
      </c>
    </row>
    <row r="1364">
      <c r="A1364" s="130" t="s">
        <v>18584</v>
      </c>
      <c r="B1364" s="71" t="s">
        <v>175</v>
      </c>
      <c r="C1364" s="71" t="s">
        <v>17168</v>
      </c>
    </row>
    <row r="1365">
      <c r="A1365" s="130" t="s">
        <v>18586</v>
      </c>
      <c r="B1365" s="71" t="s">
        <v>16582</v>
      </c>
      <c r="C1365" s="71" t="s">
        <v>16817</v>
      </c>
    </row>
    <row r="1366">
      <c r="A1366" s="130" t="s">
        <v>18588</v>
      </c>
      <c r="B1366" s="71" t="s">
        <v>175</v>
      </c>
      <c r="C1366" s="71" t="s">
        <v>18063</v>
      </c>
    </row>
    <row r="1367">
      <c r="A1367" s="130" t="s">
        <v>18590</v>
      </c>
      <c r="B1367" s="71" t="s">
        <v>16582</v>
      </c>
      <c r="C1367" s="71" t="s">
        <v>16817</v>
      </c>
    </row>
    <row r="1368">
      <c r="A1368" s="234" t="s">
        <v>18592</v>
      </c>
      <c r="B1368" s="71" t="s">
        <v>17794</v>
      </c>
      <c r="C1368" s="71" t="s">
        <v>16919</v>
      </c>
    </row>
    <row r="1369">
      <c r="A1369" s="234" t="s">
        <v>18592</v>
      </c>
      <c r="B1369" s="71" t="s">
        <v>16919</v>
      </c>
      <c r="C1369" s="71" t="s">
        <v>17794</v>
      </c>
    </row>
    <row r="1370">
      <c r="A1370" s="130" t="s">
        <v>18594</v>
      </c>
      <c r="B1370" s="71" t="s">
        <v>16838</v>
      </c>
      <c r="C1370" s="71" t="s">
        <v>16867</v>
      </c>
    </row>
    <row r="1371">
      <c r="A1371" s="234" t="s">
        <v>18596</v>
      </c>
      <c r="B1371" s="71" t="s">
        <v>16945</v>
      </c>
      <c r="C1371" s="71" t="s">
        <v>169</v>
      </c>
    </row>
    <row r="1372">
      <c r="A1372" s="234" t="s">
        <v>18596</v>
      </c>
      <c r="B1372" s="71" t="s">
        <v>169</v>
      </c>
      <c r="C1372" s="71" t="s">
        <v>16945</v>
      </c>
    </row>
    <row r="1373">
      <c r="A1373" s="234" t="s">
        <v>18598</v>
      </c>
      <c r="B1373" s="71" t="s">
        <v>175</v>
      </c>
      <c r="C1373" s="71" t="s">
        <v>16861</v>
      </c>
    </row>
    <row r="1374">
      <c r="A1374" s="234" t="s">
        <v>18598</v>
      </c>
      <c r="B1374" s="71" t="s">
        <v>16861</v>
      </c>
      <c r="C1374" s="71" t="s">
        <v>175</v>
      </c>
    </row>
    <row r="1375">
      <c r="A1375" s="234" t="s">
        <v>18600</v>
      </c>
      <c r="B1375" s="71" t="s">
        <v>17233</v>
      </c>
      <c r="C1375" s="71" t="s">
        <v>169</v>
      </c>
    </row>
    <row r="1376">
      <c r="A1376" s="234" t="s">
        <v>18600</v>
      </c>
      <c r="B1376" s="71" t="s">
        <v>169</v>
      </c>
      <c r="C1376" s="71" t="s">
        <v>17233</v>
      </c>
    </row>
    <row r="1377">
      <c r="A1377" s="130" t="s">
        <v>18602</v>
      </c>
      <c r="B1377" s="71" t="s">
        <v>16838</v>
      </c>
      <c r="C1377" s="71" t="s">
        <v>16867</v>
      </c>
    </row>
    <row r="1378">
      <c r="A1378" s="130" t="s">
        <v>18604</v>
      </c>
      <c r="B1378" s="71" t="s">
        <v>187</v>
      </c>
      <c r="C1378" s="71" t="s">
        <v>16858</v>
      </c>
    </row>
    <row r="1379">
      <c r="A1379" s="234" t="s">
        <v>18606</v>
      </c>
      <c r="B1379" s="71" t="s">
        <v>16838</v>
      </c>
      <c r="C1379" s="71" t="s">
        <v>17127</v>
      </c>
    </row>
    <row r="1380">
      <c r="A1380" s="234" t="s">
        <v>18606</v>
      </c>
      <c r="B1380" s="71" t="s">
        <v>17127</v>
      </c>
      <c r="C1380" s="71" t="s">
        <v>16838</v>
      </c>
    </row>
    <row r="1381">
      <c r="A1381" s="234" t="s">
        <v>18608</v>
      </c>
      <c r="B1381" s="71" t="s">
        <v>175</v>
      </c>
      <c r="C1381" s="71" t="s">
        <v>17452</v>
      </c>
    </row>
    <row r="1382">
      <c r="A1382" s="234" t="s">
        <v>18608</v>
      </c>
      <c r="B1382" s="71" t="s">
        <v>17452</v>
      </c>
      <c r="C1382" s="71" t="s">
        <v>175</v>
      </c>
    </row>
    <row r="1383">
      <c r="A1383" s="234" t="s">
        <v>18610</v>
      </c>
      <c r="B1383" s="71" t="s">
        <v>17104</v>
      </c>
      <c r="C1383" s="71" t="s">
        <v>16838</v>
      </c>
    </row>
    <row r="1384">
      <c r="A1384" s="234" t="s">
        <v>18610</v>
      </c>
      <c r="B1384" s="71" t="s">
        <v>16838</v>
      </c>
      <c r="C1384" s="71" t="s">
        <v>17104</v>
      </c>
    </row>
    <row r="1385">
      <c r="A1385" s="234" t="s">
        <v>18612</v>
      </c>
      <c r="B1385" s="71" t="s">
        <v>17347</v>
      </c>
      <c r="C1385" s="71" t="s">
        <v>16838</v>
      </c>
    </row>
    <row r="1386">
      <c r="A1386" s="234" t="s">
        <v>18612</v>
      </c>
      <c r="B1386" s="71" t="s">
        <v>16838</v>
      </c>
      <c r="C1386" s="71" t="s">
        <v>17347</v>
      </c>
    </row>
    <row r="1387">
      <c r="A1387" s="130" t="s">
        <v>18614</v>
      </c>
      <c r="B1387" s="71" t="s">
        <v>16582</v>
      </c>
      <c r="C1387" s="71" t="s">
        <v>16828</v>
      </c>
    </row>
    <row r="1388">
      <c r="A1388" s="234" t="s">
        <v>18616</v>
      </c>
      <c r="B1388" s="71" t="s">
        <v>17259</v>
      </c>
      <c r="C1388" s="71" t="s">
        <v>187</v>
      </c>
    </row>
    <row r="1389">
      <c r="A1389" s="234" t="s">
        <v>18616</v>
      </c>
      <c r="B1389" s="71" t="s">
        <v>187</v>
      </c>
      <c r="C1389" s="71" t="s">
        <v>17259</v>
      </c>
    </row>
    <row r="1390">
      <c r="A1390" s="130" t="s">
        <v>18618</v>
      </c>
      <c r="B1390" s="71" t="s">
        <v>175</v>
      </c>
      <c r="C1390" s="71" t="s">
        <v>16972</v>
      </c>
    </row>
    <row r="1391">
      <c r="A1391" s="234" t="s">
        <v>18620</v>
      </c>
      <c r="B1391" s="71" t="s">
        <v>169</v>
      </c>
      <c r="C1391" s="71" t="s">
        <v>17827</v>
      </c>
    </row>
    <row r="1392">
      <c r="A1392" s="234" t="s">
        <v>18620</v>
      </c>
      <c r="B1392" s="71" t="s">
        <v>17827</v>
      </c>
      <c r="C1392" s="71" t="s">
        <v>169</v>
      </c>
    </row>
    <row r="1393">
      <c r="A1393" s="234" t="s">
        <v>18622</v>
      </c>
      <c r="B1393" s="71" t="s">
        <v>187</v>
      </c>
      <c r="C1393" s="71" t="s">
        <v>17559</v>
      </c>
    </row>
    <row r="1394">
      <c r="A1394" s="234" t="s">
        <v>18622</v>
      </c>
      <c r="B1394" s="71" t="s">
        <v>17559</v>
      </c>
      <c r="C1394" s="71" t="s">
        <v>187</v>
      </c>
    </row>
    <row r="1395">
      <c r="A1395" s="234" t="s">
        <v>18624</v>
      </c>
      <c r="B1395" s="71" t="s">
        <v>175</v>
      </c>
      <c r="C1395" s="71" t="s">
        <v>17475</v>
      </c>
    </row>
    <row r="1396">
      <c r="A1396" s="234" t="s">
        <v>18624</v>
      </c>
      <c r="B1396" s="71" t="s">
        <v>17475</v>
      </c>
      <c r="C1396" s="71" t="s">
        <v>175</v>
      </c>
    </row>
    <row r="1397">
      <c r="A1397" s="130" t="s">
        <v>18626</v>
      </c>
      <c r="B1397" s="71" t="s">
        <v>16838</v>
      </c>
      <c r="C1397" s="71" t="s">
        <v>17019</v>
      </c>
    </row>
    <row r="1398">
      <c r="A1398" s="234" t="s">
        <v>18628</v>
      </c>
      <c r="B1398" s="71" t="s">
        <v>16582</v>
      </c>
      <c r="C1398" s="71" t="s">
        <v>17435</v>
      </c>
    </row>
    <row r="1399">
      <c r="A1399" s="234" t="s">
        <v>18628</v>
      </c>
      <c r="B1399" s="71" t="s">
        <v>17435</v>
      </c>
      <c r="C1399" s="71" t="s">
        <v>16582</v>
      </c>
    </row>
    <row r="1400">
      <c r="A1400" s="130" t="s">
        <v>18630</v>
      </c>
      <c r="B1400" s="71" t="s">
        <v>16582</v>
      </c>
      <c r="C1400" s="71" t="s">
        <v>16817</v>
      </c>
    </row>
    <row r="1401">
      <c r="A1401" s="234" t="s">
        <v>18632</v>
      </c>
      <c r="B1401" s="71" t="s">
        <v>18633</v>
      </c>
      <c r="C1401" s="71" t="s">
        <v>187</v>
      </c>
    </row>
    <row r="1402">
      <c r="A1402" s="234" t="s">
        <v>18632</v>
      </c>
      <c r="B1402" s="71" t="s">
        <v>187</v>
      </c>
      <c r="C1402" s="71" t="s">
        <v>18633</v>
      </c>
    </row>
    <row r="1403">
      <c r="A1403" s="234" t="s">
        <v>18634</v>
      </c>
      <c r="B1403" s="71" t="s">
        <v>175</v>
      </c>
      <c r="C1403" s="71" t="s">
        <v>16878</v>
      </c>
    </row>
    <row r="1404">
      <c r="A1404" s="234" t="s">
        <v>18634</v>
      </c>
      <c r="B1404" s="71" t="s">
        <v>16878</v>
      </c>
      <c r="C1404" s="71" t="s">
        <v>175</v>
      </c>
    </row>
    <row r="1405">
      <c r="A1405" s="234" t="s">
        <v>18636</v>
      </c>
      <c r="B1405" s="71" t="s">
        <v>169</v>
      </c>
      <c r="C1405" s="71" t="s">
        <v>110</v>
      </c>
    </row>
    <row r="1406">
      <c r="A1406" s="234" t="s">
        <v>18636</v>
      </c>
      <c r="B1406" s="71" t="s">
        <v>110</v>
      </c>
      <c r="C1406" s="71" t="s">
        <v>169</v>
      </c>
    </row>
    <row r="1407">
      <c r="A1407" s="234" t="s">
        <v>18638</v>
      </c>
      <c r="B1407" s="71" t="s">
        <v>17111</v>
      </c>
      <c r="C1407" s="71" t="s">
        <v>17112</v>
      </c>
    </row>
    <row r="1408">
      <c r="A1408" s="234" t="s">
        <v>18638</v>
      </c>
      <c r="B1408" s="71" t="s">
        <v>17112</v>
      </c>
      <c r="C1408" s="71" t="s">
        <v>17111</v>
      </c>
    </row>
    <row r="1409">
      <c r="A1409" s="234" t="s">
        <v>18640</v>
      </c>
      <c r="B1409" s="71" t="s">
        <v>175</v>
      </c>
      <c r="C1409" s="71" t="s">
        <v>18641</v>
      </c>
    </row>
    <row r="1410">
      <c r="A1410" s="234" t="s">
        <v>18640</v>
      </c>
      <c r="B1410" s="71" t="s">
        <v>18641</v>
      </c>
      <c r="C1410" s="71" t="s">
        <v>175</v>
      </c>
    </row>
    <row r="1411">
      <c r="A1411" s="130" t="s">
        <v>18643</v>
      </c>
      <c r="B1411" s="71" t="s">
        <v>175</v>
      </c>
      <c r="C1411" s="71" t="s">
        <v>16842</v>
      </c>
    </row>
    <row r="1412">
      <c r="A1412" s="234" t="s">
        <v>18645</v>
      </c>
      <c r="B1412" s="71" t="s">
        <v>169</v>
      </c>
      <c r="C1412" s="71" t="s">
        <v>16899</v>
      </c>
    </row>
    <row r="1413">
      <c r="A1413" s="234" t="s">
        <v>18645</v>
      </c>
      <c r="B1413" s="71" t="s">
        <v>16899</v>
      </c>
      <c r="C1413" s="71" t="s">
        <v>169</v>
      </c>
    </row>
    <row r="1414">
      <c r="A1414" s="130" t="s">
        <v>18647</v>
      </c>
      <c r="B1414" s="71" t="s">
        <v>158</v>
      </c>
      <c r="C1414" s="71" t="s">
        <v>16864</v>
      </c>
    </row>
    <row r="1415">
      <c r="A1415" s="234" t="s">
        <v>18649</v>
      </c>
      <c r="B1415" s="71" t="s">
        <v>187</v>
      </c>
      <c r="C1415" s="71" t="s">
        <v>16858</v>
      </c>
    </row>
    <row r="1416">
      <c r="A1416" s="234" t="s">
        <v>18649</v>
      </c>
      <c r="B1416" s="71" t="s">
        <v>16858</v>
      </c>
      <c r="C1416" s="71" t="s">
        <v>187</v>
      </c>
    </row>
    <row r="1417">
      <c r="A1417" s="234" t="s">
        <v>18651</v>
      </c>
      <c r="B1417" s="71" t="s">
        <v>16582</v>
      </c>
      <c r="C1417" s="71" t="s">
        <v>16995</v>
      </c>
    </row>
    <row r="1418">
      <c r="A1418" s="234" t="s">
        <v>18651</v>
      </c>
      <c r="B1418" s="71" t="s">
        <v>16995</v>
      </c>
      <c r="C1418" s="71" t="s">
        <v>16582</v>
      </c>
    </row>
    <row r="1419">
      <c r="A1419" s="234" t="s">
        <v>18653</v>
      </c>
      <c r="B1419" s="71" t="s">
        <v>17016</v>
      </c>
      <c r="C1419" s="71" t="s">
        <v>16838</v>
      </c>
    </row>
    <row r="1420">
      <c r="A1420" s="234" t="s">
        <v>18653</v>
      </c>
      <c r="B1420" s="71" t="s">
        <v>16838</v>
      </c>
      <c r="C1420" s="71" t="s">
        <v>17016</v>
      </c>
    </row>
    <row r="1421">
      <c r="A1421" s="234" t="s">
        <v>18655</v>
      </c>
      <c r="B1421" s="71" t="s">
        <v>175</v>
      </c>
      <c r="C1421" s="71" t="s">
        <v>17457</v>
      </c>
    </row>
    <row r="1422">
      <c r="A1422" s="234" t="s">
        <v>18655</v>
      </c>
      <c r="B1422" s="71" t="s">
        <v>17457</v>
      </c>
      <c r="C1422" s="71" t="s">
        <v>175</v>
      </c>
    </row>
    <row r="1423">
      <c r="A1423" s="234" t="s">
        <v>18658</v>
      </c>
      <c r="B1423" s="71" t="s">
        <v>175</v>
      </c>
      <c r="C1423" s="71" t="s">
        <v>17757</v>
      </c>
    </row>
    <row r="1424">
      <c r="A1424" s="234" t="s">
        <v>18658</v>
      </c>
      <c r="B1424" s="71" t="s">
        <v>17757</v>
      </c>
      <c r="C1424" s="71" t="s">
        <v>175</v>
      </c>
    </row>
    <row r="1425">
      <c r="A1425" s="234" t="s">
        <v>18660</v>
      </c>
      <c r="B1425" s="71" t="s">
        <v>175</v>
      </c>
      <c r="C1425" s="71" t="s">
        <v>16824</v>
      </c>
    </row>
    <row r="1426">
      <c r="A1426" s="234" t="s">
        <v>18660</v>
      </c>
      <c r="B1426" s="71" t="s">
        <v>16824</v>
      </c>
      <c r="C1426" s="71" t="s">
        <v>175</v>
      </c>
    </row>
    <row r="1427">
      <c r="A1427" s="130" t="s">
        <v>18662</v>
      </c>
      <c r="B1427" s="71" t="s">
        <v>158</v>
      </c>
      <c r="C1427" s="71" t="s">
        <v>16864</v>
      </c>
    </row>
    <row r="1428">
      <c r="A1428" s="234" t="s">
        <v>18664</v>
      </c>
      <c r="B1428" s="71" t="s">
        <v>16838</v>
      </c>
      <c r="C1428" s="71" t="s">
        <v>17127</v>
      </c>
    </row>
    <row r="1429">
      <c r="A1429" s="234" t="s">
        <v>18664</v>
      </c>
      <c r="B1429" s="71" t="s">
        <v>17127</v>
      </c>
      <c r="C1429" s="71" t="s">
        <v>16838</v>
      </c>
    </row>
    <row r="1430">
      <c r="A1430" s="130" t="s">
        <v>18667</v>
      </c>
      <c r="B1430" s="71" t="s">
        <v>175</v>
      </c>
      <c r="C1430" s="71" t="s">
        <v>16854</v>
      </c>
    </row>
    <row r="1431">
      <c r="A1431" s="234" t="s">
        <v>18669</v>
      </c>
      <c r="B1431" s="71" t="s">
        <v>175</v>
      </c>
      <c r="C1431" s="71" t="s">
        <v>17218</v>
      </c>
    </row>
    <row r="1432">
      <c r="A1432" s="234" t="s">
        <v>18669</v>
      </c>
      <c r="B1432" s="71" t="s">
        <v>17218</v>
      </c>
      <c r="C1432" s="71" t="s">
        <v>175</v>
      </c>
    </row>
    <row r="1433">
      <c r="A1433" s="234" t="s">
        <v>18671</v>
      </c>
      <c r="B1433" s="71" t="s">
        <v>16957</v>
      </c>
      <c r="C1433" s="71" t="s">
        <v>16926</v>
      </c>
    </row>
    <row r="1434">
      <c r="A1434" s="234" t="s">
        <v>18671</v>
      </c>
      <c r="B1434" s="71" t="s">
        <v>16926</v>
      </c>
      <c r="C1434" s="71" t="s">
        <v>16957</v>
      </c>
    </row>
    <row r="1435">
      <c r="A1435" s="234" t="s">
        <v>18673</v>
      </c>
      <c r="B1435" s="71" t="s">
        <v>16838</v>
      </c>
      <c r="C1435" s="71" t="s">
        <v>17002</v>
      </c>
    </row>
    <row r="1436">
      <c r="A1436" s="234" t="s">
        <v>18673</v>
      </c>
      <c r="B1436" s="71" t="s">
        <v>17002</v>
      </c>
      <c r="C1436" s="71" t="s">
        <v>16838</v>
      </c>
    </row>
    <row r="1437">
      <c r="A1437" s="234" t="s">
        <v>18675</v>
      </c>
      <c r="B1437" s="71" t="s">
        <v>175</v>
      </c>
      <c r="C1437" s="71" t="s">
        <v>18676</v>
      </c>
    </row>
    <row r="1438">
      <c r="A1438" s="234" t="s">
        <v>18675</v>
      </c>
      <c r="B1438" s="71" t="s">
        <v>18676</v>
      </c>
      <c r="C1438" s="71" t="s">
        <v>175</v>
      </c>
    </row>
    <row r="1439">
      <c r="A1439" s="234" t="s">
        <v>18678</v>
      </c>
      <c r="B1439" s="71" t="s">
        <v>16838</v>
      </c>
      <c r="C1439" s="71" t="s">
        <v>18679</v>
      </c>
    </row>
    <row r="1440">
      <c r="A1440" s="234" t="s">
        <v>18678</v>
      </c>
      <c r="B1440" s="71" t="s">
        <v>18679</v>
      </c>
      <c r="C1440" s="130" t="s">
        <v>16838</v>
      </c>
    </row>
    <row r="1441">
      <c r="A1441" s="234" t="s">
        <v>18681</v>
      </c>
      <c r="B1441" s="71" t="s">
        <v>169</v>
      </c>
      <c r="C1441" s="71" t="s">
        <v>16899</v>
      </c>
    </row>
    <row r="1442">
      <c r="A1442" s="234" t="s">
        <v>18681</v>
      </c>
      <c r="B1442" s="71" t="s">
        <v>16899</v>
      </c>
      <c r="C1442" s="71" t="s">
        <v>169</v>
      </c>
    </row>
    <row r="1443">
      <c r="A1443" s="234" t="s">
        <v>18683</v>
      </c>
      <c r="B1443" s="71" t="s">
        <v>17111</v>
      </c>
      <c r="C1443" s="71" t="s">
        <v>17112</v>
      </c>
    </row>
    <row r="1444">
      <c r="A1444" s="234" t="s">
        <v>18683</v>
      </c>
      <c r="B1444" s="71" t="s">
        <v>17112</v>
      </c>
      <c r="C1444" s="71" t="s">
        <v>17111</v>
      </c>
    </row>
    <row r="1445">
      <c r="A1445" s="130" t="s">
        <v>18685</v>
      </c>
      <c r="B1445" s="71" t="s">
        <v>169</v>
      </c>
      <c r="C1445" s="71" t="s">
        <v>17827</v>
      </c>
    </row>
    <row r="1446">
      <c r="A1446" s="234" t="s">
        <v>18687</v>
      </c>
      <c r="B1446" s="71" t="s">
        <v>175</v>
      </c>
      <c r="C1446" s="71" t="s">
        <v>16861</v>
      </c>
    </row>
    <row r="1447">
      <c r="A1447" s="234" t="s">
        <v>18687</v>
      </c>
      <c r="B1447" s="71" t="s">
        <v>16861</v>
      </c>
      <c r="C1447" s="71" t="s">
        <v>175</v>
      </c>
    </row>
    <row r="1448">
      <c r="A1448" s="234" t="s">
        <v>18689</v>
      </c>
      <c r="B1448" s="71" t="s">
        <v>16838</v>
      </c>
      <c r="C1448" s="71" t="s">
        <v>17384</v>
      </c>
    </row>
    <row r="1449">
      <c r="A1449" s="234" t="s">
        <v>18689</v>
      </c>
      <c r="B1449" s="71" t="s">
        <v>17384</v>
      </c>
      <c r="C1449" s="71" t="s">
        <v>16838</v>
      </c>
    </row>
    <row r="1450">
      <c r="A1450" s="234" t="s">
        <v>18691</v>
      </c>
      <c r="B1450" s="71" t="s">
        <v>17794</v>
      </c>
      <c r="C1450" s="71" t="s">
        <v>16919</v>
      </c>
    </row>
    <row r="1451">
      <c r="A1451" s="234" t="s">
        <v>18691</v>
      </c>
      <c r="B1451" s="71" t="s">
        <v>16919</v>
      </c>
      <c r="C1451" s="71" t="s">
        <v>17794</v>
      </c>
    </row>
    <row r="1452">
      <c r="A1452" s="130" t="s">
        <v>18693</v>
      </c>
      <c r="B1452" s="71" t="s">
        <v>16838</v>
      </c>
      <c r="C1452" s="71" t="s">
        <v>17019</v>
      </c>
    </row>
    <row r="1453">
      <c r="A1453" s="130" t="s">
        <v>18695</v>
      </c>
      <c r="B1453" s="71" t="s">
        <v>187</v>
      </c>
      <c r="C1453" s="71" t="s">
        <v>17559</v>
      </c>
    </row>
    <row r="1454">
      <c r="A1454" s="234" t="s">
        <v>18697</v>
      </c>
      <c r="B1454" s="71" t="s">
        <v>169</v>
      </c>
      <c r="C1454" s="71" t="s">
        <v>17805</v>
      </c>
    </row>
    <row r="1455">
      <c r="A1455" s="234" t="s">
        <v>18697</v>
      </c>
      <c r="B1455" s="71" t="s">
        <v>17805</v>
      </c>
      <c r="C1455" s="71" t="s">
        <v>169</v>
      </c>
    </row>
    <row r="1456">
      <c r="A1456" s="234" t="s">
        <v>18699</v>
      </c>
      <c r="B1456" s="71" t="s">
        <v>175</v>
      </c>
      <c r="C1456" s="71" t="s">
        <v>16972</v>
      </c>
    </row>
    <row r="1457">
      <c r="A1457" s="234" t="s">
        <v>18699</v>
      </c>
      <c r="B1457" s="71" t="s">
        <v>16972</v>
      </c>
      <c r="C1457" s="71" t="s">
        <v>175</v>
      </c>
    </row>
    <row r="1458">
      <c r="A1458" s="234" t="s">
        <v>18701</v>
      </c>
      <c r="B1458" s="71" t="s">
        <v>175</v>
      </c>
      <c r="C1458" s="71" t="s">
        <v>16890</v>
      </c>
    </row>
    <row r="1459">
      <c r="A1459" s="234" t="s">
        <v>18701</v>
      </c>
      <c r="B1459" s="71" t="s">
        <v>16890</v>
      </c>
      <c r="C1459" s="71" t="s">
        <v>175</v>
      </c>
    </row>
    <row r="1460">
      <c r="A1460" s="130" t="s">
        <v>18703</v>
      </c>
      <c r="B1460" s="71" t="s">
        <v>169</v>
      </c>
      <c r="C1460" s="71" t="s">
        <v>17057</v>
      </c>
    </row>
    <row r="1461">
      <c r="A1461" s="130" t="s">
        <v>18705</v>
      </c>
      <c r="B1461" s="71" t="s">
        <v>16582</v>
      </c>
      <c r="C1461" s="71" t="s">
        <v>16817</v>
      </c>
    </row>
    <row r="1462">
      <c r="A1462" s="234" t="s">
        <v>18707</v>
      </c>
      <c r="B1462" s="71" t="s">
        <v>175</v>
      </c>
      <c r="C1462" s="71" t="s">
        <v>16824</v>
      </c>
    </row>
    <row r="1463">
      <c r="A1463" s="234" t="s">
        <v>18707</v>
      </c>
      <c r="B1463" s="71" t="s">
        <v>16824</v>
      </c>
      <c r="C1463" s="71" t="s">
        <v>175</v>
      </c>
    </row>
    <row r="1464">
      <c r="A1464" s="130" t="s">
        <v>18709</v>
      </c>
      <c r="B1464" s="71" t="s">
        <v>187</v>
      </c>
      <c r="C1464" s="71" t="s">
        <v>16851</v>
      </c>
    </row>
    <row r="1465">
      <c r="A1465" s="234" t="s">
        <v>18711</v>
      </c>
      <c r="B1465" s="71" t="s">
        <v>16957</v>
      </c>
      <c r="C1465" s="71" t="s">
        <v>16926</v>
      </c>
    </row>
    <row r="1466">
      <c r="A1466" s="234" t="s">
        <v>18711</v>
      </c>
      <c r="B1466" s="71" t="s">
        <v>16926</v>
      </c>
      <c r="C1466" s="71" t="s">
        <v>16957</v>
      </c>
    </row>
    <row r="1467">
      <c r="A1467" s="234" t="s">
        <v>18713</v>
      </c>
      <c r="B1467" s="71" t="s">
        <v>17347</v>
      </c>
      <c r="C1467" s="71" t="s">
        <v>16838</v>
      </c>
    </row>
    <row r="1468">
      <c r="A1468" s="234" t="s">
        <v>18713</v>
      </c>
      <c r="B1468" s="71" t="s">
        <v>16838</v>
      </c>
      <c r="C1468" s="71" t="s">
        <v>17347</v>
      </c>
    </row>
    <row r="1469">
      <c r="A1469" s="234" t="s">
        <v>18715</v>
      </c>
      <c r="B1469" s="71" t="s">
        <v>16885</v>
      </c>
      <c r="C1469" s="71" t="s">
        <v>16886</v>
      </c>
    </row>
    <row r="1470">
      <c r="A1470" s="234" t="s">
        <v>18715</v>
      </c>
      <c r="B1470" s="71" t="s">
        <v>16886</v>
      </c>
      <c r="C1470" s="71" t="s">
        <v>16885</v>
      </c>
    </row>
    <row r="1471">
      <c r="A1471" s="234" t="s">
        <v>18717</v>
      </c>
      <c r="B1471" s="71" t="s">
        <v>18718</v>
      </c>
      <c r="C1471" s="71" t="s">
        <v>17629</v>
      </c>
    </row>
    <row r="1472">
      <c r="A1472" s="234" t="s">
        <v>18717</v>
      </c>
      <c r="B1472" s="71" t="s">
        <v>17629</v>
      </c>
      <c r="C1472" s="71" t="s">
        <v>18718</v>
      </c>
    </row>
    <row r="1473">
      <c r="A1473" s="130" t="s">
        <v>18720</v>
      </c>
      <c r="B1473" s="71" t="s">
        <v>16582</v>
      </c>
      <c r="C1473" s="71" t="s">
        <v>16930</v>
      </c>
    </row>
    <row r="1474">
      <c r="A1474" s="130" t="s">
        <v>18722</v>
      </c>
      <c r="B1474" s="71" t="s">
        <v>175</v>
      </c>
      <c r="C1474" s="71" t="s">
        <v>18723</v>
      </c>
    </row>
    <row r="1475">
      <c r="A1475" s="130" t="s">
        <v>18725</v>
      </c>
      <c r="B1475" s="71" t="s">
        <v>169</v>
      </c>
      <c r="C1475" s="71" t="s">
        <v>17619</v>
      </c>
    </row>
    <row r="1476">
      <c r="A1476" s="130" t="s">
        <v>18727</v>
      </c>
      <c r="B1476" s="71" t="s">
        <v>175</v>
      </c>
      <c r="C1476" s="71" t="s">
        <v>16854</v>
      </c>
    </row>
    <row r="1477">
      <c r="A1477" s="234" t="s">
        <v>18729</v>
      </c>
      <c r="B1477" s="71" t="s">
        <v>17127</v>
      </c>
      <c r="C1477" s="71" t="s">
        <v>16838</v>
      </c>
    </row>
    <row r="1478">
      <c r="A1478" s="234" t="s">
        <v>18729</v>
      </c>
      <c r="B1478" s="71" t="s">
        <v>16838</v>
      </c>
      <c r="C1478" s="71" t="s">
        <v>17127</v>
      </c>
    </row>
    <row r="1479">
      <c r="A1479" s="234" t="s">
        <v>18731</v>
      </c>
      <c r="B1479" s="71" t="s">
        <v>18732</v>
      </c>
      <c r="C1479" s="71" t="s">
        <v>169</v>
      </c>
    </row>
    <row r="1480">
      <c r="A1480" s="234" t="s">
        <v>18731</v>
      </c>
      <c r="B1480" s="71" t="s">
        <v>169</v>
      </c>
      <c r="C1480" s="71" t="s">
        <v>18732</v>
      </c>
    </row>
    <row r="1481">
      <c r="A1481" s="130" t="s">
        <v>18734</v>
      </c>
      <c r="B1481" s="71" t="s">
        <v>175</v>
      </c>
      <c r="C1481" s="71" t="s">
        <v>18723</v>
      </c>
    </row>
    <row r="1482">
      <c r="A1482" s="234" t="s">
        <v>18736</v>
      </c>
      <c r="B1482" s="71" t="s">
        <v>16919</v>
      </c>
      <c r="C1482" s="71" t="s">
        <v>17048</v>
      </c>
    </row>
    <row r="1483">
      <c r="A1483" s="234" t="s">
        <v>18736</v>
      </c>
      <c r="B1483" s="71" t="s">
        <v>17048</v>
      </c>
      <c r="C1483" s="71" t="s">
        <v>16919</v>
      </c>
    </row>
    <row r="1484">
      <c r="A1484" s="130" t="s">
        <v>18738</v>
      </c>
      <c r="B1484" s="71" t="s">
        <v>187</v>
      </c>
      <c r="C1484" s="71" t="s">
        <v>16858</v>
      </c>
    </row>
    <row r="1485">
      <c r="A1485" s="234" t="s">
        <v>18740</v>
      </c>
      <c r="B1485" s="71" t="s">
        <v>17111</v>
      </c>
      <c r="C1485" s="71" t="s">
        <v>17112</v>
      </c>
    </row>
    <row r="1486">
      <c r="A1486" s="234" t="s">
        <v>18740</v>
      </c>
      <c r="B1486" s="71" t="s">
        <v>17112</v>
      </c>
      <c r="C1486" s="71" t="s">
        <v>17111</v>
      </c>
    </row>
    <row r="1487">
      <c r="A1487" s="130" t="s">
        <v>18742</v>
      </c>
      <c r="B1487" s="71" t="s">
        <v>175</v>
      </c>
      <c r="C1487" s="71" t="s">
        <v>17057</v>
      </c>
    </row>
    <row r="1488">
      <c r="A1488" s="234" t="s">
        <v>18744</v>
      </c>
      <c r="B1488" s="71" t="s">
        <v>17111</v>
      </c>
      <c r="C1488" s="71" t="s">
        <v>17112</v>
      </c>
    </row>
    <row r="1489">
      <c r="A1489" s="234" t="s">
        <v>18744</v>
      </c>
      <c r="B1489" s="71" t="s">
        <v>17112</v>
      </c>
      <c r="C1489" s="71" t="s">
        <v>17111</v>
      </c>
    </row>
    <row r="1490">
      <c r="A1490" s="130" t="s">
        <v>18746</v>
      </c>
      <c r="B1490" s="71" t="s">
        <v>158</v>
      </c>
      <c r="C1490" s="71" t="s">
        <v>16899</v>
      </c>
    </row>
    <row r="1491">
      <c r="A1491" s="234" t="s">
        <v>18748</v>
      </c>
      <c r="B1491" s="71" t="s">
        <v>175</v>
      </c>
      <c r="C1491" s="71" t="s">
        <v>17812</v>
      </c>
    </row>
    <row r="1492">
      <c r="A1492" s="234" t="s">
        <v>18748</v>
      </c>
      <c r="B1492" s="71" t="s">
        <v>17812</v>
      </c>
      <c r="C1492" s="71" t="s">
        <v>175</v>
      </c>
    </row>
    <row r="1493">
      <c r="A1493" s="234" t="s">
        <v>18750</v>
      </c>
      <c r="B1493" s="71" t="s">
        <v>175</v>
      </c>
      <c r="C1493" s="71" t="s">
        <v>16861</v>
      </c>
    </row>
    <row r="1494">
      <c r="A1494" s="234" t="s">
        <v>18750</v>
      </c>
      <c r="B1494" s="71" t="s">
        <v>16861</v>
      </c>
      <c r="C1494" s="71" t="s">
        <v>175</v>
      </c>
    </row>
    <row r="1495">
      <c r="A1495" s="234" t="s">
        <v>18752</v>
      </c>
      <c r="B1495" s="71" t="s">
        <v>175</v>
      </c>
      <c r="C1495" s="71" t="s">
        <v>17350</v>
      </c>
    </row>
    <row r="1496">
      <c r="A1496" s="234" t="s">
        <v>18752</v>
      </c>
      <c r="B1496" s="71" t="s">
        <v>17350</v>
      </c>
      <c r="C1496" s="71" t="s">
        <v>175</v>
      </c>
    </row>
    <row r="1497">
      <c r="A1497" s="130" t="s">
        <v>18754</v>
      </c>
      <c r="B1497" s="71" t="s">
        <v>16838</v>
      </c>
      <c r="C1497" s="71" t="s">
        <v>17112</v>
      </c>
    </row>
    <row r="1498">
      <c r="A1498" s="130" t="s">
        <v>18756</v>
      </c>
      <c r="B1498" s="71" t="s">
        <v>16838</v>
      </c>
      <c r="C1498" s="71" t="s">
        <v>17019</v>
      </c>
    </row>
    <row r="1499">
      <c r="A1499" s="130" t="s">
        <v>18758</v>
      </c>
      <c r="B1499" s="71" t="s">
        <v>16582</v>
      </c>
      <c r="C1499" s="71" t="s">
        <v>16583</v>
      </c>
    </row>
    <row r="1500">
      <c r="A1500" s="130" t="s">
        <v>18760</v>
      </c>
      <c r="B1500" s="71" t="s">
        <v>16838</v>
      </c>
      <c r="C1500" s="71" t="s">
        <v>17127</v>
      </c>
    </row>
    <row r="1501">
      <c r="A1501" s="234" t="s">
        <v>18762</v>
      </c>
      <c r="B1501" s="71" t="s">
        <v>17532</v>
      </c>
      <c r="C1501" s="71" t="s">
        <v>169</v>
      </c>
    </row>
    <row r="1502">
      <c r="A1502" s="234" t="s">
        <v>18762</v>
      </c>
      <c r="B1502" s="71" t="s">
        <v>169</v>
      </c>
      <c r="C1502" s="71" t="s">
        <v>17532</v>
      </c>
    </row>
    <row r="1503">
      <c r="A1503" s="234" t="s">
        <v>18764</v>
      </c>
      <c r="B1503" s="71" t="s">
        <v>17043</v>
      </c>
      <c r="C1503" s="71" t="s">
        <v>169</v>
      </c>
    </row>
    <row r="1504">
      <c r="A1504" s="234" t="s">
        <v>18764</v>
      </c>
      <c r="B1504" s="71" t="s">
        <v>169</v>
      </c>
      <c r="C1504" s="71" t="s">
        <v>17043</v>
      </c>
    </row>
    <row r="1505">
      <c r="A1505" s="130" t="s">
        <v>18766</v>
      </c>
      <c r="B1505" s="71" t="s">
        <v>175</v>
      </c>
      <c r="C1505" s="71" t="s">
        <v>17350</v>
      </c>
    </row>
    <row r="1506">
      <c r="A1506" s="234" t="s">
        <v>18768</v>
      </c>
      <c r="B1506" s="71" t="s">
        <v>16919</v>
      </c>
      <c r="C1506" s="71" t="s">
        <v>17048</v>
      </c>
    </row>
    <row r="1507">
      <c r="A1507" s="234" t="s">
        <v>18768</v>
      </c>
      <c r="B1507" s="71" t="s">
        <v>17048</v>
      </c>
      <c r="C1507" s="71" t="s">
        <v>16919</v>
      </c>
    </row>
    <row r="1508">
      <c r="A1508" s="130" t="s">
        <v>18770</v>
      </c>
      <c r="B1508" s="71" t="s">
        <v>16838</v>
      </c>
      <c r="C1508" s="71" t="s">
        <v>16867</v>
      </c>
    </row>
    <row r="1509">
      <c r="A1509" s="234" t="s">
        <v>18772</v>
      </c>
      <c r="B1509" s="71" t="s">
        <v>158</v>
      </c>
      <c r="C1509" s="71" t="s">
        <v>16864</v>
      </c>
    </row>
    <row r="1510">
      <c r="A1510" s="234" t="s">
        <v>18772</v>
      </c>
      <c r="B1510" s="71" t="s">
        <v>16864</v>
      </c>
      <c r="C1510" s="71" t="s">
        <v>158</v>
      </c>
    </row>
    <row r="1511">
      <c r="A1511" s="234" t="s">
        <v>18774</v>
      </c>
      <c r="B1511" s="71" t="s">
        <v>16582</v>
      </c>
      <c r="C1511" s="71" t="s">
        <v>16899</v>
      </c>
    </row>
    <row r="1512">
      <c r="A1512" s="234" t="s">
        <v>18774</v>
      </c>
      <c r="B1512" s="71" t="s">
        <v>16899</v>
      </c>
      <c r="C1512" s="71" t="s">
        <v>16582</v>
      </c>
    </row>
    <row r="1513">
      <c r="A1513" s="130" t="s">
        <v>18776</v>
      </c>
      <c r="B1513" s="71" t="s">
        <v>16582</v>
      </c>
      <c r="C1513" s="71" t="s">
        <v>16930</v>
      </c>
    </row>
    <row r="1514">
      <c r="A1514" s="130" t="s">
        <v>18778</v>
      </c>
      <c r="B1514" s="71" t="s">
        <v>169</v>
      </c>
      <c r="C1514" s="71" t="s">
        <v>17619</v>
      </c>
    </row>
    <row r="1515">
      <c r="A1515" s="130" t="s">
        <v>18780</v>
      </c>
      <c r="B1515" s="71" t="s">
        <v>16582</v>
      </c>
      <c r="C1515" s="71" t="s">
        <v>16828</v>
      </c>
    </row>
    <row r="1516">
      <c r="A1516" s="234" t="s">
        <v>18782</v>
      </c>
      <c r="B1516" s="71" t="s">
        <v>175</v>
      </c>
      <c r="C1516" s="71" t="s">
        <v>17812</v>
      </c>
    </row>
    <row r="1517">
      <c r="A1517" s="234" t="s">
        <v>18782</v>
      </c>
      <c r="B1517" s="71" t="s">
        <v>17812</v>
      </c>
      <c r="C1517" s="71" t="s">
        <v>175</v>
      </c>
    </row>
    <row r="1518">
      <c r="A1518" s="234" t="s">
        <v>18784</v>
      </c>
      <c r="B1518" s="71" t="s">
        <v>17127</v>
      </c>
      <c r="C1518" s="71" t="s">
        <v>16838</v>
      </c>
    </row>
    <row r="1519">
      <c r="A1519" s="234" t="s">
        <v>18784</v>
      </c>
      <c r="B1519" s="71" t="s">
        <v>16838</v>
      </c>
      <c r="C1519" s="71" t="s">
        <v>17127</v>
      </c>
    </row>
    <row r="1520">
      <c r="A1520" s="234" t="s">
        <v>18786</v>
      </c>
      <c r="B1520" s="71" t="s">
        <v>17111</v>
      </c>
      <c r="C1520" s="71" t="s">
        <v>17112</v>
      </c>
    </row>
    <row r="1521">
      <c r="A1521" s="234" t="s">
        <v>18786</v>
      </c>
      <c r="B1521" s="71" t="s">
        <v>17112</v>
      </c>
      <c r="C1521" s="71" t="s">
        <v>17111</v>
      </c>
    </row>
    <row r="1522">
      <c r="A1522" s="234" t="s">
        <v>18788</v>
      </c>
      <c r="B1522" s="71" t="s">
        <v>17111</v>
      </c>
      <c r="C1522" s="71" t="s">
        <v>17112</v>
      </c>
    </row>
    <row r="1523">
      <c r="A1523" s="234" t="s">
        <v>18788</v>
      </c>
      <c r="B1523" s="71" t="s">
        <v>17112</v>
      </c>
      <c r="C1523" s="71" t="s">
        <v>17111</v>
      </c>
    </row>
    <row r="1524">
      <c r="A1524" s="234" t="s">
        <v>18790</v>
      </c>
      <c r="B1524" s="71" t="s">
        <v>175</v>
      </c>
      <c r="C1524" s="71" t="s">
        <v>17394</v>
      </c>
    </row>
    <row r="1525">
      <c r="A1525" s="234" t="s">
        <v>18790</v>
      </c>
      <c r="B1525" s="71" t="s">
        <v>17394</v>
      </c>
      <c r="C1525" s="71" t="s">
        <v>175</v>
      </c>
    </row>
    <row r="1526">
      <c r="A1526" s="234" t="s">
        <v>18792</v>
      </c>
      <c r="B1526" s="71" t="s">
        <v>17112</v>
      </c>
      <c r="C1526" s="71" t="s">
        <v>17218</v>
      </c>
    </row>
    <row r="1527">
      <c r="A1527" s="234" t="s">
        <v>18792</v>
      </c>
      <c r="B1527" s="71" t="s">
        <v>17218</v>
      </c>
      <c r="C1527" s="71" t="s">
        <v>17112</v>
      </c>
    </row>
    <row r="1528">
      <c r="A1528" s="234" t="s">
        <v>18794</v>
      </c>
      <c r="B1528" s="71" t="s">
        <v>158</v>
      </c>
      <c r="C1528" s="71" t="s">
        <v>16864</v>
      </c>
    </row>
    <row r="1529">
      <c r="A1529" s="234" t="s">
        <v>18794</v>
      </c>
      <c r="B1529" s="71" t="s">
        <v>16864</v>
      </c>
      <c r="C1529" s="71" t="s">
        <v>158</v>
      </c>
    </row>
    <row r="1530">
      <c r="A1530" s="234" t="s">
        <v>18796</v>
      </c>
      <c r="B1530" s="71" t="s">
        <v>158</v>
      </c>
      <c r="C1530" s="71" t="s">
        <v>16864</v>
      </c>
    </row>
    <row r="1531">
      <c r="A1531" s="234" t="s">
        <v>18796</v>
      </c>
      <c r="B1531" s="71" t="s">
        <v>16864</v>
      </c>
      <c r="C1531" s="71" t="s">
        <v>158</v>
      </c>
    </row>
    <row r="1532">
      <c r="A1532" s="130" t="s">
        <v>18798</v>
      </c>
      <c r="B1532" s="71" t="s">
        <v>175</v>
      </c>
      <c r="C1532" s="71" t="s">
        <v>17031</v>
      </c>
    </row>
    <row r="1533">
      <c r="A1533" s="234" t="s">
        <v>18800</v>
      </c>
      <c r="B1533" s="71" t="s">
        <v>175</v>
      </c>
      <c r="C1533" s="71" t="s">
        <v>16975</v>
      </c>
    </row>
    <row r="1534">
      <c r="A1534" s="234" t="s">
        <v>18800</v>
      </c>
      <c r="B1534" s="71" t="s">
        <v>16975</v>
      </c>
      <c r="C1534" s="71" t="s">
        <v>175</v>
      </c>
    </row>
    <row r="1535">
      <c r="A1535" s="234" t="s">
        <v>18802</v>
      </c>
      <c r="B1535" s="71" t="s">
        <v>16838</v>
      </c>
      <c r="C1535" s="71" t="s">
        <v>16867</v>
      </c>
    </row>
    <row r="1536">
      <c r="A1536" s="234" t="s">
        <v>18802</v>
      </c>
      <c r="B1536" s="71" t="s">
        <v>16867</v>
      </c>
      <c r="C1536" s="71" t="s">
        <v>16838</v>
      </c>
    </row>
    <row r="1537">
      <c r="A1537" s="234" t="s">
        <v>18804</v>
      </c>
      <c r="B1537" s="71" t="s">
        <v>16885</v>
      </c>
      <c r="C1537" s="71" t="s">
        <v>18805</v>
      </c>
    </row>
    <row r="1538">
      <c r="A1538" s="234" t="s">
        <v>18804</v>
      </c>
      <c r="B1538" s="71" t="s">
        <v>18805</v>
      </c>
      <c r="C1538" s="71" t="s">
        <v>16885</v>
      </c>
    </row>
    <row r="1539">
      <c r="A1539" s="234" t="s">
        <v>18807</v>
      </c>
      <c r="B1539" s="71" t="s">
        <v>17532</v>
      </c>
      <c r="C1539" s="71" t="s">
        <v>169</v>
      </c>
    </row>
    <row r="1540">
      <c r="A1540" s="234" t="s">
        <v>18807</v>
      </c>
      <c r="B1540" s="71" t="s">
        <v>169</v>
      </c>
      <c r="C1540" s="71" t="s">
        <v>17532</v>
      </c>
    </row>
    <row r="1541">
      <c r="A1541" s="234" t="s">
        <v>18809</v>
      </c>
      <c r="B1541" s="71"/>
      <c r="C1541" s="71"/>
    </row>
    <row r="1542">
      <c r="A1542" s="234" t="s">
        <v>18809</v>
      </c>
      <c r="B1542" s="71"/>
      <c r="C1542" s="71"/>
    </row>
    <row r="1543">
      <c r="A1543" s="234" t="s">
        <v>18811</v>
      </c>
      <c r="B1543" s="71" t="s">
        <v>175</v>
      </c>
      <c r="C1543" s="71" t="s">
        <v>17057</v>
      </c>
    </row>
    <row r="1544">
      <c r="A1544" s="234" t="s">
        <v>18811</v>
      </c>
      <c r="B1544" s="71" t="s">
        <v>17057</v>
      </c>
      <c r="C1544" s="71" t="s">
        <v>175</v>
      </c>
    </row>
    <row r="1545">
      <c r="A1545" s="234" t="s">
        <v>18813</v>
      </c>
      <c r="B1545" s="71" t="s">
        <v>16582</v>
      </c>
      <c r="C1545" s="71" t="s">
        <v>16930</v>
      </c>
    </row>
    <row r="1546">
      <c r="A1546" s="234" t="s">
        <v>18813</v>
      </c>
      <c r="B1546" s="71" t="s">
        <v>16930</v>
      </c>
      <c r="C1546" s="71" t="s">
        <v>16582</v>
      </c>
    </row>
    <row r="1547">
      <c r="A1547" s="234" t="s">
        <v>18815</v>
      </c>
      <c r="B1547" s="71" t="s">
        <v>175</v>
      </c>
      <c r="C1547" s="71" t="s">
        <v>17350</v>
      </c>
    </row>
    <row r="1548">
      <c r="A1548" s="234" t="s">
        <v>18815</v>
      </c>
      <c r="B1548" s="71" t="s">
        <v>17350</v>
      </c>
      <c r="C1548" s="71" t="s">
        <v>175</v>
      </c>
    </row>
    <row r="1549">
      <c r="A1549" s="234" t="s">
        <v>18817</v>
      </c>
      <c r="B1549" s="71" t="s">
        <v>17321</v>
      </c>
      <c r="C1549" s="71" t="s">
        <v>169</v>
      </c>
    </row>
    <row r="1550">
      <c r="A1550" s="234" t="s">
        <v>18817</v>
      </c>
      <c r="B1550" s="71" t="s">
        <v>169</v>
      </c>
      <c r="C1550" s="71" t="s">
        <v>17321</v>
      </c>
    </row>
    <row r="1551">
      <c r="A1551" s="234" t="s">
        <v>18819</v>
      </c>
      <c r="B1551" s="71" t="s">
        <v>175</v>
      </c>
      <c r="C1551" s="71" t="s">
        <v>16975</v>
      </c>
    </row>
    <row r="1552">
      <c r="A1552" s="234" t="s">
        <v>18819</v>
      </c>
      <c r="B1552" s="71" t="s">
        <v>16975</v>
      </c>
      <c r="C1552" s="71" t="s">
        <v>175</v>
      </c>
    </row>
    <row r="1553">
      <c r="A1553" s="234" t="s">
        <v>18821</v>
      </c>
      <c r="B1553" s="71" t="s">
        <v>18529</v>
      </c>
      <c r="C1553" s="71" t="s">
        <v>187</v>
      </c>
    </row>
    <row r="1554">
      <c r="A1554" s="234" t="s">
        <v>18821</v>
      </c>
      <c r="B1554" s="71" t="s">
        <v>187</v>
      </c>
      <c r="C1554" s="71" t="s">
        <v>18529</v>
      </c>
    </row>
    <row r="1555">
      <c r="A1555" s="130" t="s">
        <v>18823</v>
      </c>
      <c r="B1555" s="71" t="s">
        <v>175</v>
      </c>
      <c r="C1555" s="71" t="s">
        <v>16854</v>
      </c>
    </row>
    <row r="1556">
      <c r="A1556" s="130" t="s">
        <v>18825</v>
      </c>
      <c r="B1556" s="71" t="s">
        <v>187</v>
      </c>
      <c r="C1556" s="71" t="s">
        <v>16846</v>
      </c>
    </row>
    <row r="1557">
      <c r="A1557" s="234" t="s">
        <v>18827</v>
      </c>
      <c r="B1557" s="71" t="s">
        <v>17111</v>
      </c>
      <c r="C1557" s="71" t="s">
        <v>17112</v>
      </c>
    </row>
    <row r="1558">
      <c r="A1558" s="234" t="s">
        <v>18827</v>
      </c>
      <c r="B1558" s="71" t="s">
        <v>17112</v>
      </c>
      <c r="C1558" s="71" t="s">
        <v>17111</v>
      </c>
    </row>
    <row r="1559">
      <c r="A1559" s="234" t="s">
        <v>18829</v>
      </c>
      <c r="B1559" s="71" t="s">
        <v>16885</v>
      </c>
      <c r="C1559" s="71" t="s">
        <v>18381</v>
      </c>
    </row>
    <row r="1560">
      <c r="A1560" s="234" t="s">
        <v>18829</v>
      </c>
      <c r="B1560" s="71" t="s">
        <v>18381</v>
      </c>
      <c r="C1560" s="71" t="s">
        <v>16885</v>
      </c>
    </row>
    <row r="1561">
      <c r="A1561" s="130" t="s">
        <v>18831</v>
      </c>
      <c r="B1561" s="71" t="s">
        <v>16582</v>
      </c>
      <c r="C1561" s="71" t="s">
        <v>16817</v>
      </c>
    </row>
    <row r="1562">
      <c r="A1562" s="234" t="s">
        <v>18833</v>
      </c>
      <c r="B1562" s="71" t="s">
        <v>16582</v>
      </c>
      <c r="C1562" s="71" t="s">
        <v>16817</v>
      </c>
    </row>
    <row r="1563">
      <c r="A1563" s="234" t="s">
        <v>18833</v>
      </c>
      <c r="B1563" s="71" t="s">
        <v>16817</v>
      </c>
      <c r="C1563" s="71" t="s">
        <v>16582</v>
      </c>
    </row>
    <row r="1564">
      <c r="A1564" s="234" t="s">
        <v>18835</v>
      </c>
      <c r="B1564" s="71" t="s">
        <v>175</v>
      </c>
      <c r="C1564" s="71" t="s">
        <v>17318</v>
      </c>
    </row>
    <row r="1565">
      <c r="A1565" s="234" t="s">
        <v>18835</v>
      </c>
      <c r="B1565" s="71" t="s">
        <v>17318</v>
      </c>
      <c r="C1565" s="71" t="s">
        <v>175</v>
      </c>
    </row>
    <row r="1566">
      <c r="A1566" s="234" t="s">
        <v>18837</v>
      </c>
      <c r="B1566" s="71" t="s">
        <v>16582</v>
      </c>
      <c r="C1566" s="71" t="s">
        <v>16817</v>
      </c>
    </row>
    <row r="1567">
      <c r="A1567" s="234" t="s">
        <v>18837</v>
      </c>
      <c r="B1567" s="71" t="s">
        <v>16817</v>
      </c>
      <c r="C1567" s="71" t="s">
        <v>16582</v>
      </c>
    </row>
    <row r="1568">
      <c r="A1568" s="234" t="s">
        <v>18839</v>
      </c>
      <c r="B1568" s="71" t="s">
        <v>175</v>
      </c>
      <c r="C1568" s="71" t="s">
        <v>16942</v>
      </c>
    </row>
    <row r="1569">
      <c r="A1569" s="234" t="s">
        <v>18839</v>
      </c>
      <c r="B1569" s="71" t="s">
        <v>16942</v>
      </c>
      <c r="C1569" s="71" t="s">
        <v>175</v>
      </c>
    </row>
    <row r="1570">
      <c r="A1570" s="130" t="s">
        <v>18841</v>
      </c>
      <c r="B1570" s="71" t="s">
        <v>16838</v>
      </c>
      <c r="C1570" s="71" t="s">
        <v>17019</v>
      </c>
    </row>
    <row r="1571">
      <c r="A1571" s="234" t="s">
        <v>18843</v>
      </c>
      <c r="B1571" s="71" t="s">
        <v>16582</v>
      </c>
      <c r="C1571" s="71" t="s">
        <v>16817</v>
      </c>
    </row>
    <row r="1572">
      <c r="A1572" s="234" t="s">
        <v>18843</v>
      </c>
      <c r="B1572" s="71" t="s">
        <v>16817</v>
      </c>
      <c r="C1572" s="71" t="s">
        <v>16582</v>
      </c>
    </row>
    <row r="1573">
      <c r="A1573" s="130" t="s">
        <v>18845</v>
      </c>
      <c r="B1573" s="71" t="s">
        <v>187</v>
      </c>
      <c r="C1573" s="71" t="s">
        <v>16846</v>
      </c>
    </row>
    <row r="1574">
      <c r="A1574" s="234" t="s">
        <v>18847</v>
      </c>
      <c r="B1574" s="71" t="s">
        <v>175</v>
      </c>
      <c r="C1574" s="71" t="s">
        <v>17350</v>
      </c>
    </row>
    <row r="1575">
      <c r="A1575" s="234" t="s">
        <v>18847</v>
      </c>
      <c r="B1575" s="71" t="s">
        <v>17350</v>
      </c>
      <c r="C1575" s="71" t="s">
        <v>175</v>
      </c>
    </row>
    <row r="1576">
      <c r="A1576" s="234" t="s">
        <v>18849</v>
      </c>
      <c r="B1576" s="71" t="s">
        <v>16582</v>
      </c>
      <c r="C1576" s="71" t="s">
        <v>16817</v>
      </c>
    </row>
    <row r="1577">
      <c r="A1577" s="234" t="s">
        <v>18849</v>
      </c>
      <c r="B1577" s="71" t="s">
        <v>16817</v>
      </c>
      <c r="C1577" s="71" t="s">
        <v>16582</v>
      </c>
    </row>
    <row r="1578">
      <c r="A1578" s="130" t="s">
        <v>18851</v>
      </c>
      <c r="B1578" s="71" t="s">
        <v>16582</v>
      </c>
      <c r="C1578" s="71" t="s">
        <v>16817</v>
      </c>
    </row>
    <row r="1579">
      <c r="A1579" s="130" t="s">
        <v>18853</v>
      </c>
      <c r="B1579" s="71" t="s">
        <v>16582</v>
      </c>
      <c r="C1579" s="71" t="s">
        <v>17339</v>
      </c>
    </row>
    <row r="1580">
      <c r="A1580" s="234" t="s">
        <v>18855</v>
      </c>
      <c r="B1580" s="71" t="s">
        <v>16582</v>
      </c>
      <c r="C1580" s="71" t="s">
        <v>16930</v>
      </c>
    </row>
    <row r="1581">
      <c r="A1581" s="234" t="s">
        <v>18855</v>
      </c>
      <c r="B1581" s="71" t="s">
        <v>16930</v>
      </c>
      <c r="C1581" s="71" t="s">
        <v>16582</v>
      </c>
    </row>
    <row r="1582">
      <c r="A1582" s="234" t="s">
        <v>18857</v>
      </c>
      <c r="B1582" s="71" t="s">
        <v>175</v>
      </c>
      <c r="C1582" s="71" t="s">
        <v>16854</v>
      </c>
    </row>
    <row r="1583">
      <c r="A1583" s="234" t="s">
        <v>18857</v>
      </c>
      <c r="B1583" s="71" t="s">
        <v>16854</v>
      </c>
      <c r="C1583" s="71" t="s">
        <v>175</v>
      </c>
    </row>
    <row r="1584">
      <c r="A1584" s="234" t="s">
        <v>18859</v>
      </c>
      <c r="B1584" s="71" t="s">
        <v>175</v>
      </c>
      <c r="C1584" s="71" t="s">
        <v>17321</v>
      </c>
    </row>
    <row r="1585">
      <c r="A1585" s="234" t="s">
        <v>18859</v>
      </c>
      <c r="B1585" s="71" t="s">
        <v>17321</v>
      </c>
      <c r="C1585" s="71" t="s">
        <v>175</v>
      </c>
    </row>
    <row r="1586">
      <c r="A1586" s="234" t="s">
        <v>18861</v>
      </c>
      <c r="B1586" s="71" t="s">
        <v>18862</v>
      </c>
      <c r="C1586" s="71" t="s">
        <v>169</v>
      </c>
    </row>
    <row r="1587">
      <c r="A1587" s="234" t="s">
        <v>18861</v>
      </c>
      <c r="B1587" s="71" t="s">
        <v>169</v>
      </c>
      <c r="C1587" s="71" t="s">
        <v>18862</v>
      </c>
    </row>
    <row r="1588">
      <c r="A1588" s="130" t="s">
        <v>18864</v>
      </c>
      <c r="B1588" s="71" t="s">
        <v>16582</v>
      </c>
      <c r="C1588" s="71" t="s">
        <v>16817</v>
      </c>
    </row>
    <row r="1589">
      <c r="A1589" s="234" t="s">
        <v>18866</v>
      </c>
      <c r="B1589" s="71" t="s">
        <v>16582</v>
      </c>
      <c r="C1589" s="71" t="s">
        <v>16930</v>
      </c>
    </row>
    <row r="1590">
      <c r="A1590" s="234" t="s">
        <v>18866</v>
      </c>
      <c r="B1590" s="71" t="s">
        <v>16930</v>
      </c>
      <c r="C1590" s="71" t="s">
        <v>16582</v>
      </c>
    </row>
    <row r="1591">
      <c r="A1591" s="234" t="s">
        <v>18868</v>
      </c>
      <c r="B1591" s="71" t="s">
        <v>17347</v>
      </c>
      <c r="C1591" s="71" t="s">
        <v>16838</v>
      </c>
    </row>
    <row r="1592">
      <c r="A1592" s="234" t="s">
        <v>18868</v>
      </c>
      <c r="B1592" s="71" t="s">
        <v>16838</v>
      </c>
      <c r="C1592" s="71" t="s">
        <v>17347</v>
      </c>
    </row>
    <row r="1593">
      <c r="A1593" s="234" t="s">
        <v>18870</v>
      </c>
      <c r="B1593" s="71" t="s">
        <v>175</v>
      </c>
      <c r="C1593" s="71" t="s">
        <v>16957</v>
      </c>
    </row>
    <row r="1594">
      <c r="A1594" s="234" t="s">
        <v>18870</v>
      </c>
      <c r="B1594" s="71" t="s">
        <v>16957</v>
      </c>
      <c r="C1594" s="71" t="s">
        <v>175</v>
      </c>
    </row>
    <row r="1595">
      <c r="A1595" s="234" t="s">
        <v>18872</v>
      </c>
      <c r="B1595" s="71" t="s">
        <v>17347</v>
      </c>
      <c r="C1595" s="71" t="s">
        <v>16838</v>
      </c>
    </row>
    <row r="1596">
      <c r="A1596" s="234" t="s">
        <v>18872</v>
      </c>
      <c r="B1596" s="71" t="s">
        <v>16838</v>
      </c>
      <c r="C1596" s="71" t="s">
        <v>17347</v>
      </c>
    </row>
    <row r="1597">
      <c r="A1597" s="234" t="s">
        <v>18874</v>
      </c>
      <c r="B1597" s="71" t="s">
        <v>17532</v>
      </c>
      <c r="C1597" s="71" t="s">
        <v>169</v>
      </c>
    </row>
    <row r="1598">
      <c r="A1598" s="234" t="s">
        <v>18874</v>
      </c>
      <c r="B1598" s="71" t="s">
        <v>169</v>
      </c>
      <c r="C1598" s="71" t="s">
        <v>17532</v>
      </c>
    </row>
    <row r="1599">
      <c r="A1599" s="234" t="s">
        <v>18876</v>
      </c>
      <c r="B1599" s="71" t="s">
        <v>175</v>
      </c>
      <c r="C1599" s="71" t="s">
        <v>18310</v>
      </c>
    </row>
    <row r="1600">
      <c r="A1600" s="234" t="s">
        <v>18876</v>
      </c>
      <c r="B1600" s="71" t="s">
        <v>18310</v>
      </c>
      <c r="C1600" s="71" t="s">
        <v>175</v>
      </c>
    </row>
    <row r="1601">
      <c r="A1601" s="234" t="s">
        <v>18878</v>
      </c>
      <c r="B1601" s="71" t="s">
        <v>158</v>
      </c>
      <c r="C1601" s="71" t="s">
        <v>16864</v>
      </c>
    </row>
    <row r="1602">
      <c r="A1602" s="234" t="s">
        <v>18878</v>
      </c>
      <c r="B1602" s="71" t="s">
        <v>16864</v>
      </c>
      <c r="C1602" s="71" t="s">
        <v>158</v>
      </c>
    </row>
    <row r="1603">
      <c r="A1603" s="234" t="s">
        <v>18880</v>
      </c>
      <c r="B1603" s="71" t="s">
        <v>17019</v>
      </c>
      <c r="C1603" s="71" t="s">
        <v>16838</v>
      </c>
    </row>
    <row r="1604">
      <c r="A1604" s="234" t="s">
        <v>18880</v>
      </c>
      <c r="B1604" s="71" t="s">
        <v>16838</v>
      </c>
      <c r="C1604" s="71" t="s">
        <v>17019</v>
      </c>
    </row>
    <row r="1605">
      <c r="A1605" s="234" t="s">
        <v>18882</v>
      </c>
      <c r="B1605" s="71" t="s">
        <v>17019</v>
      </c>
      <c r="C1605" s="71" t="s">
        <v>16838</v>
      </c>
    </row>
    <row r="1606">
      <c r="A1606" s="234" t="s">
        <v>18882</v>
      </c>
      <c r="B1606" s="71" t="s">
        <v>16838</v>
      </c>
      <c r="C1606" s="71" t="s">
        <v>17019</v>
      </c>
    </row>
    <row r="1607">
      <c r="A1607" s="130" t="s">
        <v>18884</v>
      </c>
      <c r="B1607" s="71" t="s">
        <v>16582</v>
      </c>
      <c r="C1607" s="71" t="s">
        <v>16817</v>
      </c>
    </row>
    <row r="1608">
      <c r="A1608" s="234" t="s">
        <v>18886</v>
      </c>
      <c r="B1608" s="71" t="s">
        <v>175</v>
      </c>
      <c r="C1608" s="71" t="s">
        <v>17717</v>
      </c>
    </row>
    <row r="1609">
      <c r="A1609" s="234" t="s">
        <v>18886</v>
      </c>
      <c r="B1609" s="71" t="s">
        <v>17717</v>
      </c>
      <c r="C1609" s="71" t="s">
        <v>175</v>
      </c>
    </row>
    <row r="1610">
      <c r="A1610" s="130" t="s">
        <v>18888</v>
      </c>
      <c r="B1610" s="71" t="s">
        <v>16582</v>
      </c>
      <c r="C1610" s="71" t="s">
        <v>16817</v>
      </c>
    </row>
    <row r="1611">
      <c r="A1611" s="234" t="s">
        <v>18890</v>
      </c>
      <c r="B1611" s="71" t="s">
        <v>17057</v>
      </c>
      <c r="C1611" s="71" t="s">
        <v>169</v>
      </c>
    </row>
    <row r="1612">
      <c r="A1612" s="234" t="s">
        <v>18890</v>
      </c>
      <c r="B1612" s="71" t="s">
        <v>169</v>
      </c>
      <c r="C1612" s="71" t="s">
        <v>17057</v>
      </c>
    </row>
    <row r="1613">
      <c r="A1613" s="234" t="s">
        <v>18892</v>
      </c>
      <c r="B1613" s="71" t="s">
        <v>17112</v>
      </c>
      <c r="C1613" s="71" t="s">
        <v>16838</v>
      </c>
    </row>
    <row r="1614">
      <c r="A1614" s="234" t="s">
        <v>18892</v>
      </c>
      <c r="B1614" s="71" t="s">
        <v>16838</v>
      </c>
      <c r="C1614" s="71" t="s">
        <v>17112</v>
      </c>
    </row>
    <row r="1615">
      <c r="A1615" s="234" t="s">
        <v>18894</v>
      </c>
      <c r="B1615" s="71" t="s">
        <v>17202</v>
      </c>
      <c r="C1615" s="71" t="s">
        <v>16838</v>
      </c>
    </row>
    <row r="1616">
      <c r="A1616" s="234" t="s">
        <v>18894</v>
      </c>
      <c r="B1616" s="71" t="s">
        <v>16838</v>
      </c>
      <c r="C1616" s="71" t="s">
        <v>17202</v>
      </c>
    </row>
    <row r="1617">
      <c r="A1617" s="234" t="s">
        <v>18896</v>
      </c>
      <c r="B1617" s="71" t="s">
        <v>175</v>
      </c>
      <c r="C1617" s="71" t="s">
        <v>17394</v>
      </c>
    </row>
    <row r="1618">
      <c r="A1618" s="234" t="s">
        <v>18896</v>
      </c>
      <c r="B1618" s="71" t="s">
        <v>17394</v>
      </c>
      <c r="C1618" s="71" t="s">
        <v>175</v>
      </c>
    </row>
    <row r="1619">
      <c r="A1619" s="234" t="s">
        <v>18898</v>
      </c>
      <c r="B1619" s="71" t="s">
        <v>175</v>
      </c>
      <c r="C1619" s="71" t="s">
        <v>17084</v>
      </c>
    </row>
    <row r="1620">
      <c r="A1620" s="234" t="s">
        <v>18898</v>
      </c>
      <c r="B1620" s="71" t="s">
        <v>17084</v>
      </c>
      <c r="C1620" s="71" t="s">
        <v>175</v>
      </c>
    </row>
    <row r="1621">
      <c r="A1621" s="130" t="s">
        <v>18900</v>
      </c>
      <c r="B1621" s="71" t="s">
        <v>169</v>
      </c>
      <c r="C1621" s="71" t="s">
        <v>17726</v>
      </c>
    </row>
    <row r="1622">
      <c r="A1622" s="130" t="s">
        <v>18902</v>
      </c>
      <c r="B1622" s="71" t="s">
        <v>169</v>
      </c>
      <c r="C1622" s="71" t="s">
        <v>18903</v>
      </c>
    </row>
    <row r="1623">
      <c r="A1623" s="234" t="s">
        <v>18905</v>
      </c>
      <c r="B1623" s="71" t="s">
        <v>169</v>
      </c>
      <c r="C1623" s="71" t="s">
        <v>16899</v>
      </c>
    </row>
    <row r="1624">
      <c r="A1624" s="234" t="s">
        <v>18905</v>
      </c>
      <c r="B1624" s="71" t="s">
        <v>16899</v>
      </c>
      <c r="C1624" s="71" t="s">
        <v>169</v>
      </c>
    </row>
    <row r="1625">
      <c r="A1625" s="234" t="s">
        <v>18907</v>
      </c>
      <c r="B1625" s="71" t="s">
        <v>16969</v>
      </c>
      <c r="C1625" s="71" t="s">
        <v>187</v>
      </c>
    </row>
    <row r="1626">
      <c r="A1626" s="234" t="s">
        <v>18907</v>
      </c>
      <c r="B1626" s="71" t="s">
        <v>187</v>
      </c>
      <c r="C1626" s="71" t="s">
        <v>16969</v>
      </c>
    </row>
    <row r="1627">
      <c r="A1627" s="130" t="s">
        <v>18909</v>
      </c>
      <c r="B1627" s="71"/>
      <c r="C1627" s="71"/>
    </row>
    <row r="1628">
      <c r="A1628" s="234" t="s">
        <v>18911</v>
      </c>
      <c r="B1628" s="71" t="s">
        <v>17111</v>
      </c>
      <c r="C1628" s="71" t="s">
        <v>17112</v>
      </c>
    </row>
    <row r="1629">
      <c r="A1629" s="234" t="s">
        <v>18911</v>
      </c>
      <c r="B1629" s="71" t="s">
        <v>17112</v>
      </c>
      <c r="C1629" s="71" t="s">
        <v>17111</v>
      </c>
    </row>
    <row r="1630">
      <c r="A1630" s="130" t="s">
        <v>18913</v>
      </c>
      <c r="B1630" s="71" t="s">
        <v>175</v>
      </c>
      <c r="C1630" s="71" t="s">
        <v>16942</v>
      </c>
    </row>
    <row r="1631">
      <c r="A1631" s="234" t="s">
        <v>18915</v>
      </c>
      <c r="B1631" s="71"/>
      <c r="C1631" s="71"/>
    </row>
    <row r="1632">
      <c r="A1632" s="234" t="s">
        <v>18915</v>
      </c>
      <c r="B1632" s="71"/>
      <c r="C1632" s="71"/>
    </row>
    <row r="1633">
      <c r="A1633" s="234" t="s">
        <v>18917</v>
      </c>
      <c r="B1633" s="71" t="s">
        <v>16838</v>
      </c>
      <c r="C1633" s="71" t="s">
        <v>17002</v>
      </c>
    </row>
    <row r="1634">
      <c r="A1634" s="234" t="s">
        <v>18917</v>
      </c>
      <c r="B1634" s="71" t="s">
        <v>17002</v>
      </c>
      <c r="C1634" s="71" t="s">
        <v>16838</v>
      </c>
    </row>
    <row r="1635">
      <c r="A1635" s="130" t="s">
        <v>18919</v>
      </c>
      <c r="B1635" s="71" t="s">
        <v>175</v>
      </c>
      <c r="C1635" s="71" t="s">
        <v>17350</v>
      </c>
    </row>
    <row r="1636">
      <c r="A1636" s="130" t="s">
        <v>18921</v>
      </c>
      <c r="B1636" s="71" t="s">
        <v>16582</v>
      </c>
      <c r="C1636" s="71" t="s">
        <v>16930</v>
      </c>
    </row>
    <row r="1637">
      <c r="A1637" s="130" t="s">
        <v>18923</v>
      </c>
      <c r="B1637" s="71" t="s">
        <v>16838</v>
      </c>
      <c r="C1637" s="71" t="s">
        <v>17127</v>
      </c>
    </row>
    <row r="1638">
      <c r="A1638" s="130" t="s">
        <v>18925</v>
      </c>
      <c r="B1638" s="71" t="s">
        <v>169</v>
      </c>
      <c r="C1638" s="71" t="s">
        <v>17321</v>
      </c>
    </row>
    <row r="1639">
      <c r="A1639" s="234" t="s">
        <v>18927</v>
      </c>
      <c r="B1639" s="71" t="s">
        <v>18732</v>
      </c>
      <c r="C1639" s="71" t="s">
        <v>169</v>
      </c>
    </row>
    <row r="1640">
      <c r="A1640" s="234" t="s">
        <v>18927</v>
      </c>
      <c r="B1640" s="71" t="s">
        <v>169</v>
      </c>
      <c r="C1640" s="71" t="s">
        <v>18732</v>
      </c>
    </row>
    <row r="1641">
      <c r="A1641" s="234" t="s">
        <v>18929</v>
      </c>
      <c r="B1641" s="71" t="s">
        <v>175</v>
      </c>
      <c r="C1641" s="71" t="s">
        <v>17394</v>
      </c>
    </row>
    <row r="1642">
      <c r="A1642" s="234" t="s">
        <v>18929</v>
      </c>
      <c r="B1642" s="71" t="s">
        <v>17394</v>
      </c>
      <c r="C1642" s="71" t="s">
        <v>175</v>
      </c>
    </row>
    <row r="1643">
      <c r="A1643" s="234" t="s">
        <v>18931</v>
      </c>
      <c r="B1643" s="71" t="s">
        <v>16919</v>
      </c>
      <c r="C1643" s="71" t="s">
        <v>17176</v>
      </c>
    </row>
    <row r="1644">
      <c r="A1644" s="234" t="s">
        <v>18931</v>
      </c>
      <c r="B1644" s="71" t="s">
        <v>17176</v>
      </c>
      <c r="C1644" s="71" t="s">
        <v>16919</v>
      </c>
    </row>
    <row r="1645">
      <c r="A1645" s="234" t="s">
        <v>18933</v>
      </c>
      <c r="B1645" s="71" t="s">
        <v>16582</v>
      </c>
      <c r="C1645" s="71" t="s">
        <v>16930</v>
      </c>
    </row>
    <row r="1646">
      <c r="A1646" s="234" t="s">
        <v>18933</v>
      </c>
      <c r="B1646" s="71" t="s">
        <v>16930</v>
      </c>
      <c r="C1646" s="71" t="s">
        <v>16582</v>
      </c>
    </row>
    <row r="1647">
      <c r="A1647" s="234" t="s">
        <v>18935</v>
      </c>
      <c r="B1647" s="71" t="s">
        <v>16919</v>
      </c>
      <c r="C1647" s="71" t="s">
        <v>17048</v>
      </c>
    </row>
    <row r="1648">
      <c r="A1648" s="234" t="s">
        <v>18935</v>
      </c>
      <c r="B1648" s="71" t="s">
        <v>17048</v>
      </c>
      <c r="C1648" s="71" t="s">
        <v>16919</v>
      </c>
    </row>
    <row r="1649">
      <c r="A1649" s="130" t="s">
        <v>18937</v>
      </c>
      <c r="B1649" s="71" t="s">
        <v>187</v>
      </c>
      <c r="C1649" s="71" t="s">
        <v>16846</v>
      </c>
    </row>
    <row r="1650">
      <c r="A1650" s="130" t="s">
        <v>18939</v>
      </c>
      <c r="B1650" s="71" t="s">
        <v>175</v>
      </c>
      <c r="C1650" s="71" t="s">
        <v>18500</v>
      </c>
    </row>
    <row r="1651">
      <c r="A1651" s="234" t="s">
        <v>18941</v>
      </c>
      <c r="B1651" s="71" t="s">
        <v>16867</v>
      </c>
      <c r="C1651" s="71" t="s">
        <v>16838</v>
      </c>
    </row>
    <row r="1652">
      <c r="A1652" s="234" t="s">
        <v>18941</v>
      </c>
      <c r="B1652" s="71" t="s">
        <v>16838</v>
      </c>
      <c r="C1652" s="71" t="s">
        <v>16867</v>
      </c>
    </row>
    <row r="1653">
      <c r="A1653" s="130" t="s">
        <v>18943</v>
      </c>
      <c r="B1653" s="71" t="s">
        <v>175</v>
      </c>
      <c r="C1653" s="71" t="s">
        <v>16854</v>
      </c>
    </row>
    <row r="1654">
      <c r="A1654" s="130" t="s">
        <v>18945</v>
      </c>
      <c r="B1654" s="71" t="s">
        <v>16919</v>
      </c>
      <c r="C1654" s="71" t="s">
        <v>17413</v>
      </c>
    </row>
    <row r="1655">
      <c r="A1655" s="234" t="s">
        <v>18947</v>
      </c>
      <c r="B1655" s="71" t="s">
        <v>16919</v>
      </c>
      <c r="C1655" s="71" t="s">
        <v>17176</v>
      </c>
    </row>
    <row r="1656">
      <c r="A1656" s="234" t="s">
        <v>18947</v>
      </c>
      <c r="B1656" s="71" t="s">
        <v>17176</v>
      </c>
      <c r="C1656" s="71" t="s">
        <v>16919</v>
      </c>
    </row>
    <row r="1657">
      <c r="A1657" s="130" t="s">
        <v>18949</v>
      </c>
      <c r="B1657" s="71" t="s">
        <v>187</v>
      </c>
      <c r="C1657" s="71" t="s">
        <v>16851</v>
      </c>
    </row>
    <row r="1658">
      <c r="A1658" s="130" t="s">
        <v>18951</v>
      </c>
      <c r="B1658" s="71" t="s">
        <v>16582</v>
      </c>
      <c r="C1658" s="71" t="s">
        <v>16828</v>
      </c>
    </row>
    <row r="1659">
      <c r="A1659" s="234" t="s">
        <v>18953</v>
      </c>
      <c r="B1659" s="71" t="s">
        <v>158</v>
      </c>
      <c r="C1659" s="71" t="s">
        <v>16864</v>
      </c>
    </row>
    <row r="1660">
      <c r="A1660" s="234" t="s">
        <v>18953</v>
      </c>
      <c r="B1660" s="71" t="s">
        <v>16864</v>
      </c>
      <c r="C1660" s="71" t="s">
        <v>158</v>
      </c>
    </row>
    <row r="1661">
      <c r="A1661" s="234" t="s">
        <v>18955</v>
      </c>
      <c r="B1661" s="71" t="s">
        <v>16838</v>
      </c>
      <c r="C1661" s="71" t="s">
        <v>18956</v>
      </c>
    </row>
    <row r="1662">
      <c r="A1662" s="234" t="s">
        <v>18955</v>
      </c>
      <c r="B1662" s="71" t="s">
        <v>18956</v>
      </c>
      <c r="C1662" s="71" t="s">
        <v>16838</v>
      </c>
    </row>
    <row r="1663">
      <c r="A1663" s="130" t="s">
        <v>18958</v>
      </c>
      <c r="B1663" s="71" t="s">
        <v>16926</v>
      </c>
      <c r="C1663" s="71" t="s">
        <v>16960</v>
      </c>
    </row>
    <row r="1664">
      <c r="A1664" s="234" t="s">
        <v>18960</v>
      </c>
      <c r="B1664" s="71" t="s">
        <v>16910</v>
      </c>
      <c r="C1664" s="71" t="s">
        <v>17119</v>
      </c>
    </row>
    <row r="1665">
      <c r="A1665" s="234" t="s">
        <v>18960</v>
      </c>
      <c r="B1665" s="71" t="s">
        <v>17119</v>
      </c>
      <c r="C1665" s="71" t="s">
        <v>16910</v>
      </c>
    </row>
    <row r="1666">
      <c r="A1666" s="234" t="s">
        <v>18962</v>
      </c>
      <c r="B1666" s="71" t="s">
        <v>169</v>
      </c>
      <c r="C1666" s="71" t="s">
        <v>17757</v>
      </c>
    </row>
    <row r="1667">
      <c r="A1667" s="234" t="s">
        <v>18962</v>
      </c>
      <c r="B1667" s="71" t="s">
        <v>17757</v>
      </c>
      <c r="C1667" s="71" t="s">
        <v>169</v>
      </c>
    </row>
    <row r="1668">
      <c r="A1668" s="130" t="s">
        <v>18964</v>
      </c>
      <c r="B1668" s="71" t="s">
        <v>158</v>
      </c>
      <c r="C1668" s="71" t="s">
        <v>16864</v>
      </c>
    </row>
    <row r="1669">
      <c r="A1669" s="130" t="s">
        <v>18966</v>
      </c>
      <c r="B1669" s="71" t="s">
        <v>16582</v>
      </c>
      <c r="C1669" s="71" t="s">
        <v>16817</v>
      </c>
    </row>
    <row r="1670">
      <c r="A1670" s="130" t="s">
        <v>18968</v>
      </c>
      <c r="B1670" s="71" t="s">
        <v>16838</v>
      </c>
      <c r="C1670" s="71" t="s">
        <v>16867</v>
      </c>
    </row>
    <row r="1671">
      <c r="A1671" s="234" t="s">
        <v>18970</v>
      </c>
      <c r="B1671" s="71" t="s">
        <v>16910</v>
      </c>
      <c r="C1671" s="71" t="s">
        <v>17119</v>
      </c>
    </row>
    <row r="1672">
      <c r="A1672" s="234" t="s">
        <v>18970</v>
      </c>
      <c r="B1672" s="71" t="s">
        <v>17119</v>
      </c>
      <c r="C1672" s="71" t="s">
        <v>16910</v>
      </c>
    </row>
    <row r="1673">
      <c r="A1673" s="234" t="s">
        <v>18972</v>
      </c>
      <c r="B1673" s="71" t="s">
        <v>17112</v>
      </c>
      <c r="C1673" s="71" t="s">
        <v>16838</v>
      </c>
    </row>
    <row r="1674">
      <c r="A1674" s="234" t="s">
        <v>18972</v>
      </c>
      <c r="B1674" s="71" t="s">
        <v>16838</v>
      </c>
      <c r="C1674" s="71" t="s">
        <v>17112</v>
      </c>
    </row>
    <row r="1675">
      <c r="A1675" s="234" t="s">
        <v>18974</v>
      </c>
      <c r="B1675" s="71" t="s">
        <v>16885</v>
      </c>
      <c r="C1675" s="71" t="s">
        <v>18805</v>
      </c>
    </row>
    <row r="1676">
      <c r="A1676" s="234" t="s">
        <v>18974</v>
      </c>
      <c r="B1676" s="71" t="s">
        <v>18805</v>
      </c>
      <c r="C1676" s="71" t="s">
        <v>16885</v>
      </c>
    </row>
    <row r="1677">
      <c r="A1677" s="234" t="s">
        <v>18976</v>
      </c>
      <c r="B1677" s="71" t="s">
        <v>16885</v>
      </c>
      <c r="C1677" s="71" t="s">
        <v>17726</v>
      </c>
    </row>
    <row r="1678">
      <c r="A1678" s="234" t="s">
        <v>18976</v>
      </c>
      <c r="B1678" s="71" t="s">
        <v>17726</v>
      </c>
      <c r="C1678" s="71" t="s">
        <v>16885</v>
      </c>
    </row>
    <row r="1679">
      <c r="A1679" s="130" t="s">
        <v>18978</v>
      </c>
      <c r="B1679" s="71" t="s">
        <v>16838</v>
      </c>
      <c r="C1679" s="71" t="s">
        <v>17838</v>
      </c>
    </row>
    <row r="1680">
      <c r="A1680" s="130" t="s">
        <v>18980</v>
      </c>
      <c r="B1680" s="71" t="s">
        <v>187</v>
      </c>
      <c r="C1680" s="71" t="s">
        <v>16846</v>
      </c>
    </row>
    <row r="1681">
      <c r="A1681" s="234" t="s">
        <v>18982</v>
      </c>
      <c r="B1681" s="71" t="s">
        <v>16582</v>
      </c>
      <c r="C1681" s="71" t="s">
        <v>16828</v>
      </c>
    </row>
    <row r="1682">
      <c r="A1682" s="234" t="s">
        <v>18982</v>
      </c>
      <c r="B1682" s="71" t="s">
        <v>16828</v>
      </c>
      <c r="C1682" s="71" t="s">
        <v>16582</v>
      </c>
    </row>
    <row r="1683">
      <c r="A1683" s="234" t="s">
        <v>18984</v>
      </c>
      <c r="B1683" s="71" t="s">
        <v>17321</v>
      </c>
      <c r="C1683" s="71" t="s">
        <v>169</v>
      </c>
    </row>
    <row r="1684">
      <c r="A1684" s="234" t="s">
        <v>18984</v>
      </c>
      <c r="B1684" s="71" t="s">
        <v>169</v>
      </c>
      <c r="C1684" s="71" t="s">
        <v>17321</v>
      </c>
    </row>
    <row r="1685">
      <c r="A1685" s="234" t="s">
        <v>18986</v>
      </c>
      <c r="B1685" s="71" t="s">
        <v>16919</v>
      </c>
      <c r="C1685" s="71" t="s">
        <v>17176</v>
      </c>
    </row>
    <row r="1686">
      <c r="A1686" s="234" t="s">
        <v>18986</v>
      </c>
      <c r="B1686" s="71" t="s">
        <v>17176</v>
      </c>
      <c r="C1686" s="71" t="s">
        <v>16919</v>
      </c>
    </row>
    <row r="1687">
      <c r="A1687" s="234" t="s">
        <v>18988</v>
      </c>
      <c r="B1687" s="71" t="s">
        <v>158</v>
      </c>
      <c r="C1687" s="71" t="s">
        <v>16864</v>
      </c>
    </row>
    <row r="1688">
      <c r="A1688" s="234" t="s">
        <v>18988</v>
      </c>
      <c r="B1688" s="71" t="s">
        <v>16864</v>
      </c>
      <c r="C1688" s="71" t="s">
        <v>158</v>
      </c>
    </row>
    <row r="1689">
      <c r="A1689" s="130" t="s">
        <v>18990</v>
      </c>
      <c r="B1689" s="71" t="s">
        <v>16926</v>
      </c>
      <c r="C1689" s="71" t="s">
        <v>16960</v>
      </c>
    </row>
    <row r="1690">
      <c r="A1690" s="234" t="s">
        <v>18992</v>
      </c>
      <c r="B1690" s="71" t="s">
        <v>175</v>
      </c>
      <c r="C1690" s="71" t="s">
        <v>17475</v>
      </c>
    </row>
    <row r="1691">
      <c r="A1691" s="234" t="s">
        <v>18992</v>
      </c>
      <c r="B1691" s="71" t="s">
        <v>17475</v>
      </c>
      <c r="C1691" s="71" t="s">
        <v>175</v>
      </c>
    </row>
    <row r="1692">
      <c r="A1692" s="130" t="s">
        <v>18993</v>
      </c>
      <c r="B1692" s="71"/>
      <c r="C1692" s="71"/>
    </row>
    <row r="1693">
      <c r="A1693" s="234" t="s">
        <v>18995</v>
      </c>
      <c r="B1693" s="71" t="s">
        <v>175</v>
      </c>
      <c r="C1693" s="71" t="s">
        <v>17757</v>
      </c>
    </row>
    <row r="1694">
      <c r="A1694" s="234" t="s">
        <v>18995</v>
      </c>
      <c r="B1694" s="71" t="s">
        <v>17757</v>
      </c>
      <c r="C1694" s="71" t="s">
        <v>175</v>
      </c>
    </row>
    <row r="1695">
      <c r="A1695" s="130" t="s">
        <v>18997</v>
      </c>
      <c r="B1695" s="71" t="s">
        <v>16838</v>
      </c>
      <c r="C1695" s="71" t="s">
        <v>16867</v>
      </c>
    </row>
    <row r="1696">
      <c r="A1696" s="234" t="s">
        <v>18999</v>
      </c>
      <c r="B1696" s="71" t="s">
        <v>175</v>
      </c>
      <c r="C1696" s="71" t="s">
        <v>16842</v>
      </c>
    </row>
    <row r="1697">
      <c r="A1697" s="234" t="s">
        <v>18999</v>
      </c>
      <c r="B1697" s="71" t="s">
        <v>16842</v>
      </c>
      <c r="C1697" s="71" t="s">
        <v>175</v>
      </c>
    </row>
    <row r="1698">
      <c r="A1698" s="234" t="s">
        <v>19001</v>
      </c>
      <c r="B1698" s="71" t="s">
        <v>16582</v>
      </c>
      <c r="C1698" s="71" t="s">
        <v>16930</v>
      </c>
    </row>
    <row r="1699">
      <c r="A1699" s="234" t="s">
        <v>19001</v>
      </c>
      <c r="B1699" s="71" t="s">
        <v>16930</v>
      </c>
      <c r="C1699" s="71" t="s">
        <v>16582</v>
      </c>
    </row>
    <row r="1700">
      <c r="A1700" s="234" t="s">
        <v>19003</v>
      </c>
      <c r="B1700" s="71" t="s">
        <v>175</v>
      </c>
      <c r="C1700" s="71" t="s">
        <v>17673</v>
      </c>
    </row>
    <row r="1701">
      <c r="A1701" s="234" t="s">
        <v>19003</v>
      </c>
      <c r="B1701" s="71" t="s">
        <v>17673</v>
      </c>
      <c r="C1701" s="71" t="s">
        <v>175</v>
      </c>
    </row>
    <row r="1702">
      <c r="A1702" s="130" t="s">
        <v>19005</v>
      </c>
      <c r="B1702" s="71" t="s">
        <v>175</v>
      </c>
      <c r="C1702" s="71" t="s">
        <v>19006</v>
      </c>
    </row>
    <row r="1703">
      <c r="A1703" s="234" t="s">
        <v>19008</v>
      </c>
      <c r="B1703" s="71"/>
      <c r="C1703" s="71"/>
    </row>
    <row r="1704">
      <c r="A1704" s="234" t="s">
        <v>19008</v>
      </c>
      <c r="B1704" s="71"/>
      <c r="C1704" s="71"/>
    </row>
    <row r="1705">
      <c r="A1705" s="234" t="s">
        <v>19010</v>
      </c>
      <c r="B1705" s="71" t="s">
        <v>175</v>
      </c>
      <c r="C1705" s="71" t="s">
        <v>17022</v>
      </c>
    </row>
    <row r="1706">
      <c r="A1706" s="234" t="s">
        <v>19010</v>
      </c>
      <c r="B1706" s="71" t="s">
        <v>17022</v>
      </c>
      <c r="C1706" s="71" t="s">
        <v>175</v>
      </c>
    </row>
    <row r="1707">
      <c r="A1707" s="130" t="s">
        <v>19012</v>
      </c>
      <c r="B1707" s="71" t="s">
        <v>187</v>
      </c>
      <c r="C1707" s="71" t="s">
        <v>16858</v>
      </c>
    </row>
    <row r="1708">
      <c r="A1708" s="234" t="s">
        <v>19014</v>
      </c>
      <c r="B1708" s="71" t="s">
        <v>16582</v>
      </c>
      <c r="C1708" s="71" t="s">
        <v>17183</v>
      </c>
    </row>
    <row r="1709">
      <c r="A1709" s="234" t="s">
        <v>19014</v>
      </c>
      <c r="B1709" s="71" t="s">
        <v>17183</v>
      </c>
      <c r="C1709" s="71" t="s">
        <v>16582</v>
      </c>
    </row>
    <row r="1710">
      <c r="A1710" s="234" t="s">
        <v>19016</v>
      </c>
      <c r="B1710" s="71" t="s">
        <v>16919</v>
      </c>
      <c r="C1710" s="71" t="s">
        <v>16957</v>
      </c>
    </row>
    <row r="1711">
      <c r="A1711" s="234" t="s">
        <v>19016</v>
      </c>
      <c r="B1711" s="71" t="s">
        <v>16957</v>
      </c>
      <c r="C1711" s="71" t="s">
        <v>16919</v>
      </c>
    </row>
    <row r="1712">
      <c r="A1712" s="234" t="s">
        <v>19018</v>
      </c>
      <c r="B1712" s="71" t="s">
        <v>16838</v>
      </c>
      <c r="C1712" s="71" t="s">
        <v>17002</v>
      </c>
    </row>
    <row r="1713">
      <c r="A1713" s="234" t="s">
        <v>19018</v>
      </c>
      <c r="B1713" s="71" t="s">
        <v>17002</v>
      </c>
      <c r="C1713" s="71" t="s">
        <v>16838</v>
      </c>
    </row>
    <row r="1714">
      <c r="A1714" s="234" t="s">
        <v>19020</v>
      </c>
      <c r="B1714" s="71" t="s">
        <v>16582</v>
      </c>
      <c r="C1714" s="233" t="s">
        <v>17342</v>
      </c>
    </row>
    <row r="1715">
      <c r="A1715" s="234" t="s">
        <v>19020</v>
      </c>
      <c r="B1715" s="71" t="s">
        <v>17342</v>
      </c>
      <c r="C1715" s="71" t="s">
        <v>16582</v>
      </c>
    </row>
    <row r="1716">
      <c r="A1716" s="234" t="s">
        <v>19022</v>
      </c>
      <c r="B1716" s="71" t="s">
        <v>175</v>
      </c>
      <c r="C1716" s="71" t="s">
        <v>17218</v>
      </c>
    </row>
    <row r="1717">
      <c r="A1717" s="234" t="s">
        <v>19022</v>
      </c>
      <c r="B1717" s="71" t="s">
        <v>17218</v>
      </c>
      <c r="C1717" s="71" t="s">
        <v>175</v>
      </c>
    </row>
    <row r="1718">
      <c r="A1718" s="234" t="s">
        <v>19024</v>
      </c>
      <c r="B1718" s="71" t="s">
        <v>175</v>
      </c>
      <c r="C1718" s="71" t="s">
        <v>18570</v>
      </c>
    </row>
    <row r="1719">
      <c r="A1719" s="234" t="s">
        <v>19024</v>
      </c>
      <c r="B1719" s="71" t="s">
        <v>18570</v>
      </c>
      <c r="C1719" s="71" t="s">
        <v>175</v>
      </c>
    </row>
    <row r="1720">
      <c r="A1720" s="234" t="s">
        <v>19026</v>
      </c>
      <c r="B1720" s="71" t="s">
        <v>16957</v>
      </c>
      <c r="C1720" s="71" t="s">
        <v>16926</v>
      </c>
    </row>
    <row r="1721">
      <c r="A1721" s="234" t="s">
        <v>19026</v>
      </c>
      <c r="B1721" s="71" t="s">
        <v>16926</v>
      </c>
      <c r="C1721" s="71" t="s">
        <v>16957</v>
      </c>
    </row>
    <row r="1722">
      <c r="A1722" s="130" t="s">
        <v>19028</v>
      </c>
      <c r="B1722" s="71" t="s">
        <v>169</v>
      </c>
      <c r="C1722" s="71" t="s">
        <v>16899</v>
      </c>
    </row>
    <row r="1723">
      <c r="A1723" s="130" t="s">
        <v>19030</v>
      </c>
      <c r="B1723" s="71"/>
      <c r="C1723" s="71"/>
    </row>
    <row r="1724">
      <c r="A1724" s="234" t="s">
        <v>19032</v>
      </c>
      <c r="B1724" s="71" t="s">
        <v>175</v>
      </c>
      <c r="C1724" s="71" t="s">
        <v>17022</v>
      </c>
    </row>
    <row r="1725">
      <c r="A1725" s="234" t="s">
        <v>19032</v>
      </c>
      <c r="B1725" s="71" t="s">
        <v>17022</v>
      </c>
      <c r="C1725" s="71" t="s">
        <v>175</v>
      </c>
    </row>
    <row r="1726">
      <c r="A1726" s="130" t="s">
        <v>19034</v>
      </c>
      <c r="B1726" s="71" t="s">
        <v>16582</v>
      </c>
      <c r="C1726" s="71" t="s">
        <v>16583</v>
      </c>
    </row>
    <row r="1727">
      <c r="A1727" s="234" t="s">
        <v>19036</v>
      </c>
      <c r="B1727" s="71" t="s">
        <v>175</v>
      </c>
      <c r="C1727" s="71" t="s">
        <v>17318</v>
      </c>
    </row>
    <row r="1728">
      <c r="A1728" s="234" t="s">
        <v>19036</v>
      </c>
      <c r="B1728" s="71" t="s">
        <v>17318</v>
      </c>
      <c r="C1728" s="71" t="s">
        <v>175</v>
      </c>
    </row>
    <row r="1729">
      <c r="A1729" s="234" t="s">
        <v>19038</v>
      </c>
      <c r="B1729" s="71" t="s">
        <v>16945</v>
      </c>
      <c r="C1729" s="71" t="s">
        <v>169</v>
      </c>
    </row>
    <row r="1730">
      <c r="A1730" s="234" t="s">
        <v>19038</v>
      </c>
      <c r="B1730" s="71" t="s">
        <v>169</v>
      </c>
      <c r="C1730" s="71" t="s">
        <v>16945</v>
      </c>
    </row>
    <row r="1731">
      <c r="A1731" s="234" t="s">
        <v>19040</v>
      </c>
      <c r="B1731" s="71" t="s">
        <v>158</v>
      </c>
      <c r="C1731" s="71" t="s">
        <v>16864</v>
      </c>
    </row>
    <row r="1732">
      <c r="A1732" s="234" t="s">
        <v>19040</v>
      </c>
      <c r="B1732" s="71" t="s">
        <v>16864</v>
      </c>
      <c r="C1732" s="71" t="s">
        <v>158</v>
      </c>
    </row>
    <row r="1733">
      <c r="A1733" s="130" t="s">
        <v>19042</v>
      </c>
      <c r="B1733" s="71" t="s">
        <v>16838</v>
      </c>
      <c r="C1733" s="71" t="s">
        <v>17202</v>
      </c>
    </row>
    <row r="1734">
      <c r="A1734" s="130" t="s">
        <v>19044</v>
      </c>
      <c r="B1734" s="71" t="s">
        <v>16910</v>
      </c>
      <c r="C1734" s="71" t="s">
        <v>16911</v>
      </c>
    </row>
    <row r="1735">
      <c r="A1735" s="130" t="s">
        <v>19046</v>
      </c>
      <c r="B1735" s="71" t="s">
        <v>187</v>
      </c>
      <c r="C1735" s="71" t="s">
        <v>16846</v>
      </c>
    </row>
    <row r="1736">
      <c r="A1736" s="234" t="s">
        <v>19048</v>
      </c>
      <c r="B1736" s="71" t="s">
        <v>175</v>
      </c>
      <c r="C1736" s="71" t="s">
        <v>17168</v>
      </c>
    </row>
    <row r="1737">
      <c r="A1737" s="234" t="s">
        <v>19048</v>
      </c>
      <c r="B1737" s="71" t="s">
        <v>17168</v>
      </c>
      <c r="C1737" s="71" t="s">
        <v>175</v>
      </c>
    </row>
    <row r="1738">
      <c r="A1738" s="130" t="s">
        <v>19050</v>
      </c>
      <c r="B1738" s="71" t="s">
        <v>16885</v>
      </c>
      <c r="C1738" s="71" t="s">
        <v>18805</v>
      </c>
    </row>
    <row r="1739">
      <c r="A1739" s="234" t="s">
        <v>19052</v>
      </c>
      <c r="B1739" s="71" t="s">
        <v>175</v>
      </c>
      <c r="C1739" s="71" t="s">
        <v>17321</v>
      </c>
    </row>
    <row r="1740">
      <c r="A1740" s="234" t="s">
        <v>19052</v>
      </c>
      <c r="B1740" s="71" t="s">
        <v>17321</v>
      </c>
      <c r="C1740" s="71" t="s">
        <v>175</v>
      </c>
    </row>
    <row r="1741">
      <c r="A1741" s="234" t="s">
        <v>19054</v>
      </c>
      <c r="B1741" s="71"/>
      <c r="C1741" s="71"/>
    </row>
    <row r="1742">
      <c r="A1742" s="234" t="s">
        <v>19054</v>
      </c>
      <c r="B1742" s="71"/>
      <c r="C1742" s="71"/>
    </row>
    <row r="1743">
      <c r="A1743" s="234" t="s">
        <v>19056</v>
      </c>
      <c r="B1743" s="71" t="s">
        <v>175</v>
      </c>
      <c r="C1743" s="71" t="s">
        <v>17069</v>
      </c>
    </row>
    <row r="1744">
      <c r="A1744" s="234" t="s">
        <v>19056</v>
      </c>
      <c r="B1744" s="71" t="s">
        <v>17069</v>
      </c>
      <c r="C1744" s="71" t="s">
        <v>175</v>
      </c>
    </row>
    <row r="1745">
      <c r="A1745" s="130" t="s">
        <v>19058</v>
      </c>
      <c r="B1745" s="71" t="s">
        <v>16926</v>
      </c>
      <c r="C1745" s="71" t="s">
        <v>16960</v>
      </c>
    </row>
    <row r="1746">
      <c r="A1746" s="234" t="s">
        <v>19060</v>
      </c>
      <c r="B1746" s="71" t="s">
        <v>17111</v>
      </c>
      <c r="C1746" s="71" t="s">
        <v>17112</v>
      </c>
    </row>
    <row r="1747">
      <c r="A1747" s="234" t="s">
        <v>19060</v>
      </c>
      <c r="B1747" s="71" t="s">
        <v>17112</v>
      </c>
      <c r="C1747" s="71" t="s">
        <v>17111</v>
      </c>
    </row>
    <row r="1748">
      <c r="A1748" s="130" t="s">
        <v>19062</v>
      </c>
      <c r="B1748" s="71" t="s">
        <v>16582</v>
      </c>
      <c r="C1748" s="71" t="s">
        <v>16817</v>
      </c>
    </row>
    <row r="1749">
      <c r="A1749" s="234" t="s">
        <v>19064</v>
      </c>
      <c r="B1749" s="71" t="s">
        <v>16867</v>
      </c>
      <c r="C1749" s="71" t="s">
        <v>16838</v>
      </c>
    </row>
    <row r="1750">
      <c r="A1750" s="234" t="s">
        <v>19064</v>
      </c>
      <c r="B1750" s="71" t="s">
        <v>16838</v>
      </c>
      <c r="C1750" s="71" t="s">
        <v>16867</v>
      </c>
    </row>
    <row r="1751">
      <c r="A1751" s="234" t="s">
        <v>19066</v>
      </c>
      <c r="B1751" s="71" t="s">
        <v>169</v>
      </c>
      <c r="C1751" s="71" t="s">
        <v>17738</v>
      </c>
    </row>
    <row r="1752">
      <c r="A1752" s="234" t="s">
        <v>19066</v>
      </c>
      <c r="B1752" s="71" t="s">
        <v>17738</v>
      </c>
      <c r="C1752" s="71" t="s">
        <v>169</v>
      </c>
    </row>
    <row r="1753">
      <c r="A1753" s="234" t="s">
        <v>19068</v>
      </c>
      <c r="B1753" s="71" t="s">
        <v>17509</v>
      </c>
      <c r="C1753" s="71" t="s">
        <v>187</v>
      </c>
    </row>
    <row r="1754">
      <c r="A1754" s="234" t="s">
        <v>19068</v>
      </c>
      <c r="B1754" s="71" t="s">
        <v>187</v>
      </c>
      <c r="C1754" s="71" t="s">
        <v>17509</v>
      </c>
    </row>
    <row r="1755">
      <c r="A1755" s="234" t="s">
        <v>19070</v>
      </c>
      <c r="B1755" s="71" t="s">
        <v>17259</v>
      </c>
      <c r="C1755" s="71" t="s">
        <v>187</v>
      </c>
    </row>
    <row r="1756">
      <c r="A1756" s="234" t="s">
        <v>19070</v>
      </c>
      <c r="B1756" s="71" t="s">
        <v>187</v>
      </c>
      <c r="C1756" s="71" t="s">
        <v>17259</v>
      </c>
    </row>
    <row r="1757">
      <c r="A1757" s="234" t="s">
        <v>19072</v>
      </c>
      <c r="B1757" s="71" t="s">
        <v>17321</v>
      </c>
      <c r="C1757" s="71" t="s">
        <v>169</v>
      </c>
    </row>
    <row r="1758">
      <c r="A1758" s="234" t="s">
        <v>19072</v>
      </c>
      <c r="B1758" s="71" t="s">
        <v>169</v>
      </c>
      <c r="C1758" s="71" t="s">
        <v>17321</v>
      </c>
    </row>
    <row r="1759">
      <c r="A1759" s="234" t="s">
        <v>19074</v>
      </c>
      <c r="B1759" s="71" t="s">
        <v>169</v>
      </c>
      <c r="C1759" s="71" t="s">
        <v>16899</v>
      </c>
    </row>
    <row r="1760">
      <c r="A1760" s="234" t="s">
        <v>19074</v>
      </c>
      <c r="B1760" s="71" t="s">
        <v>16899</v>
      </c>
      <c r="C1760" s="71" t="s">
        <v>169</v>
      </c>
    </row>
    <row r="1761">
      <c r="A1761" s="234" t="s">
        <v>19076</v>
      </c>
      <c r="B1761" s="71" t="s">
        <v>17111</v>
      </c>
      <c r="C1761" s="71" t="s">
        <v>17112</v>
      </c>
    </row>
    <row r="1762">
      <c r="A1762" s="234" t="s">
        <v>19076</v>
      </c>
      <c r="B1762" s="71" t="s">
        <v>17112</v>
      </c>
      <c r="C1762" s="71" t="s">
        <v>17111</v>
      </c>
    </row>
    <row r="1763">
      <c r="A1763" s="130" t="s">
        <v>19078</v>
      </c>
      <c r="B1763" s="71" t="s">
        <v>169</v>
      </c>
      <c r="C1763" s="71" t="s">
        <v>16899</v>
      </c>
    </row>
    <row r="1764">
      <c r="A1764" s="130" t="s">
        <v>19080</v>
      </c>
      <c r="B1764" s="71" t="s">
        <v>16582</v>
      </c>
      <c r="C1764" s="71" t="s">
        <v>16930</v>
      </c>
    </row>
    <row r="1765">
      <c r="A1765" s="130" t="s">
        <v>19082</v>
      </c>
      <c r="B1765" s="71" t="s">
        <v>175</v>
      </c>
      <c r="C1765" s="71" t="s">
        <v>16942</v>
      </c>
    </row>
    <row r="1766">
      <c r="A1766" s="234" t="s">
        <v>19084</v>
      </c>
      <c r="B1766" s="71" t="s">
        <v>175</v>
      </c>
      <c r="C1766" s="71" t="s">
        <v>16899</v>
      </c>
    </row>
    <row r="1767">
      <c r="A1767" s="234" t="s">
        <v>19084</v>
      </c>
      <c r="B1767" s="71" t="s">
        <v>16899</v>
      </c>
      <c r="C1767" s="71" t="s">
        <v>175</v>
      </c>
    </row>
    <row r="1768">
      <c r="A1768" s="234" t="s">
        <v>19086</v>
      </c>
      <c r="B1768" s="71" t="s">
        <v>17127</v>
      </c>
      <c r="C1768" s="71" t="s">
        <v>16838</v>
      </c>
    </row>
    <row r="1769">
      <c r="A1769" s="234" t="s">
        <v>19086</v>
      </c>
      <c r="B1769" s="71" t="s">
        <v>16838</v>
      </c>
      <c r="C1769" s="71" t="s">
        <v>17127</v>
      </c>
    </row>
    <row r="1770">
      <c r="A1770" s="130" t="s">
        <v>19088</v>
      </c>
      <c r="B1770" s="71" t="s">
        <v>16838</v>
      </c>
      <c r="C1770" s="71" t="s">
        <v>17127</v>
      </c>
    </row>
    <row r="1771">
      <c r="A1771" s="234" t="s">
        <v>19090</v>
      </c>
      <c r="B1771" s="71" t="s">
        <v>17057</v>
      </c>
      <c r="C1771" s="71" t="s">
        <v>169</v>
      </c>
    </row>
    <row r="1772">
      <c r="A1772" s="234" t="s">
        <v>19090</v>
      </c>
      <c r="B1772" s="71" t="s">
        <v>169</v>
      </c>
      <c r="C1772" s="71" t="s">
        <v>17057</v>
      </c>
    </row>
    <row r="1773">
      <c r="A1773" s="130" t="s">
        <v>19092</v>
      </c>
      <c r="B1773" s="71" t="s">
        <v>16910</v>
      </c>
      <c r="C1773" s="71" t="s">
        <v>17996</v>
      </c>
    </row>
    <row r="1774">
      <c r="A1774" s="234" t="s">
        <v>19094</v>
      </c>
      <c r="B1774" s="71" t="s">
        <v>17019</v>
      </c>
      <c r="C1774" s="71" t="s">
        <v>16838</v>
      </c>
    </row>
    <row r="1775">
      <c r="A1775" s="234" t="s">
        <v>19094</v>
      </c>
      <c r="B1775" s="71" t="s">
        <v>16838</v>
      </c>
      <c r="C1775" s="71" t="s">
        <v>17019</v>
      </c>
    </row>
    <row r="1776">
      <c r="A1776" s="130" t="s">
        <v>19096</v>
      </c>
      <c r="B1776" s="71" t="s">
        <v>187</v>
      </c>
      <c r="C1776" s="71" t="s">
        <v>16846</v>
      </c>
    </row>
    <row r="1777">
      <c r="A1777" s="234" t="s">
        <v>19098</v>
      </c>
      <c r="B1777" s="71"/>
      <c r="C1777" s="71"/>
    </row>
    <row r="1778">
      <c r="A1778" s="234" t="s">
        <v>19098</v>
      </c>
      <c r="B1778" s="71"/>
      <c r="C1778" s="71"/>
    </row>
    <row r="1779">
      <c r="A1779" s="234" t="s">
        <v>19100</v>
      </c>
      <c r="B1779" s="71" t="s">
        <v>16910</v>
      </c>
      <c r="C1779" s="71" t="s">
        <v>17119</v>
      </c>
    </row>
    <row r="1780">
      <c r="A1780" s="234" t="s">
        <v>19100</v>
      </c>
      <c r="B1780" s="71" t="s">
        <v>17119</v>
      </c>
      <c r="C1780" s="71" t="s">
        <v>16910</v>
      </c>
    </row>
    <row r="1781">
      <c r="A1781" s="234" t="s">
        <v>19102</v>
      </c>
      <c r="B1781" s="71" t="s">
        <v>16919</v>
      </c>
      <c r="C1781" s="71" t="s">
        <v>16957</v>
      </c>
    </row>
    <row r="1782">
      <c r="A1782" s="234" t="s">
        <v>19102</v>
      </c>
      <c r="B1782" s="71" t="s">
        <v>16957</v>
      </c>
      <c r="C1782" s="71" t="s">
        <v>16919</v>
      </c>
    </row>
    <row r="1783">
      <c r="A1783" s="234" t="s">
        <v>19104</v>
      </c>
      <c r="B1783" s="71" t="s">
        <v>16969</v>
      </c>
      <c r="C1783" s="71" t="s">
        <v>187</v>
      </c>
    </row>
    <row r="1784">
      <c r="A1784" s="234" t="s">
        <v>19104</v>
      </c>
      <c r="B1784" s="71" t="s">
        <v>187</v>
      </c>
      <c r="C1784" s="71" t="s">
        <v>16969</v>
      </c>
    </row>
    <row r="1785">
      <c r="A1785" s="130" t="s">
        <v>19106</v>
      </c>
      <c r="B1785" s="71" t="s">
        <v>169</v>
      </c>
      <c r="C1785" s="71" t="s">
        <v>17043</v>
      </c>
    </row>
    <row r="1786">
      <c r="A1786" s="234" t="s">
        <v>19108</v>
      </c>
      <c r="B1786" s="71" t="s">
        <v>175</v>
      </c>
      <c r="C1786" s="71" t="s">
        <v>16842</v>
      </c>
    </row>
    <row r="1787">
      <c r="A1787" s="234" t="s">
        <v>19108</v>
      </c>
      <c r="B1787" s="71" t="s">
        <v>16842</v>
      </c>
      <c r="C1787" s="71" t="s">
        <v>175</v>
      </c>
    </row>
    <row r="1788">
      <c r="A1788" s="234" t="s">
        <v>19110</v>
      </c>
      <c r="B1788" s="71" t="s">
        <v>187</v>
      </c>
      <c r="C1788" s="71" t="s">
        <v>16846</v>
      </c>
    </row>
    <row r="1789">
      <c r="A1789" s="234" t="s">
        <v>19110</v>
      </c>
      <c r="B1789" s="71" t="s">
        <v>16846</v>
      </c>
      <c r="C1789" s="71" t="s">
        <v>187</v>
      </c>
    </row>
    <row r="1790">
      <c r="A1790" s="234" t="s">
        <v>19112</v>
      </c>
      <c r="B1790" s="71" t="s">
        <v>16582</v>
      </c>
      <c r="C1790" s="71" t="s">
        <v>16930</v>
      </c>
    </row>
    <row r="1791">
      <c r="A1791" s="234" t="s">
        <v>19112</v>
      </c>
      <c r="B1791" s="71" t="s">
        <v>16930</v>
      </c>
      <c r="C1791" s="71" t="s">
        <v>16582</v>
      </c>
    </row>
    <row r="1792">
      <c r="A1792" s="234" t="s">
        <v>19114</v>
      </c>
      <c r="B1792" s="71" t="s">
        <v>175</v>
      </c>
      <c r="C1792" s="71" t="s">
        <v>17013</v>
      </c>
    </row>
    <row r="1793">
      <c r="A1793" s="234" t="s">
        <v>19114</v>
      </c>
      <c r="B1793" s="71" t="s">
        <v>17013</v>
      </c>
      <c r="C1793" s="71" t="s">
        <v>175</v>
      </c>
    </row>
    <row r="1794">
      <c r="A1794" s="130" t="s">
        <v>19116</v>
      </c>
      <c r="B1794" s="71" t="s">
        <v>187</v>
      </c>
      <c r="C1794" s="71" t="s">
        <v>16969</v>
      </c>
    </row>
    <row r="1795">
      <c r="A1795" s="234" t="s">
        <v>19118</v>
      </c>
      <c r="B1795" s="71" t="s">
        <v>17111</v>
      </c>
      <c r="C1795" s="71" t="s">
        <v>17112</v>
      </c>
    </row>
    <row r="1796">
      <c r="A1796" s="234" t="s">
        <v>19118</v>
      </c>
      <c r="B1796" s="71" t="s">
        <v>17112</v>
      </c>
      <c r="C1796" s="71" t="s">
        <v>17111</v>
      </c>
    </row>
    <row r="1797">
      <c r="A1797" s="234" t="s">
        <v>19120</v>
      </c>
      <c r="B1797" s="71" t="s">
        <v>16919</v>
      </c>
      <c r="C1797" s="71" t="s">
        <v>16920</v>
      </c>
    </row>
    <row r="1798">
      <c r="A1798" s="234" t="s">
        <v>19120</v>
      </c>
      <c r="B1798" s="71" t="s">
        <v>16920</v>
      </c>
      <c r="C1798" s="71" t="s">
        <v>16919</v>
      </c>
    </row>
    <row r="1799">
      <c r="A1799" s="234" t="s">
        <v>19122</v>
      </c>
      <c r="B1799" s="71" t="s">
        <v>17112</v>
      </c>
      <c r="C1799" s="71" t="s">
        <v>17218</v>
      </c>
    </row>
    <row r="1800">
      <c r="A1800" s="234" t="s">
        <v>19122</v>
      </c>
      <c r="B1800" s="71" t="s">
        <v>17218</v>
      </c>
      <c r="C1800" s="71" t="s">
        <v>17112</v>
      </c>
    </row>
    <row r="1801">
      <c r="A1801" s="130" t="s">
        <v>19124</v>
      </c>
      <c r="B1801" s="71" t="s">
        <v>175</v>
      </c>
      <c r="C1801" s="71" t="s">
        <v>19006</v>
      </c>
    </row>
    <row r="1802">
      <c r="A1802" s="234" t="s">
        <v>19126</v>
      </c>
      <c r="B1802" s="71"/>
      <c r="C1802" s="71"/>
    </row>
    <row r="1803">
      <c r="A1803" s="234" t="s">
        <v>19126</v>
      </c>
      <c r="B1803" s="71"/>
      <c r="C1803" s="71"/>
    </row>
    <row r="1804">
      <c r="A1804" s="130" t="s">
        <v>19128</v>
      </c>
      <c r="B1804" s="71" t="s">
        <v>175</v>
      </c>
      <c r="C1804" s="71" t="s">
        <v>17022</v>
      </c>
    </row>
    <row r="1805">
      <c r="A1805" s="234" t="s">
        <v>19130</v>
      </c>
      <c r="B1805" s="71" t="s">
        <v>16867</v>
      </c>
      <c r="C1805" s="71" t="s">
        <v>16838</v>
      </c>
    </row>
    <row r="1806">
      <c r="A1806" s="234" t="s">
        <v>19130</v>
      </c>
      <c r="B1806" s="71" t="s">
        <v>16838</v>
      </c>
      <c r="C1806" s="71" t="s">
        <v>16867</v>
      </c>
    </row>
    <row r="1807">
      <c r="A1807" s="234" t="s">
        <v>19132</v>
      </c>
      <c r="B1807" s="71" t="s">
        <v>16582</v>
      </c>
      <c r="C1807" s="71" t="s">
        <v>16930</v>
      </c>
    </row>
    <row r="1808">
      <c r="A1808" s="234" t="s">
        <v>19132</v>
      </c>
      <c r="B1808" s="71" t="s">
        <v>16930</v>
      </c>
      <c r="C1808" s="71" t="s">
        <v>16582</v>
      </c>
    </row>
    <row r="1809">
      <c r="A1809" s="130" t="s">
        <v>19134</v>
      </c>
      <c r="B1809" s="71" t="s">
        <v>187</v>
      </c>
      <c r="C1809" s="71" t="s">
        <v>16969</v>
      </c>
    </row>
    <row r="1810">
      <c r="A1810" s="130" t="s">
        <v>19136</v>
      </c>
      <c r="B1810" s="71" t="s">
        <v>175</v>
      </c>
      <c r="C1810" s="71" t="s">
        <v>16854</v>
      </c>
    </row>
    <row r="1811">
      <c r="A1811" s="234" t="s">
        <v>19138</v>
      </c>
      <c r="B1811" s="71" t="s">
        <v>175</v>
      </c>
      <c r="C1811" s="71" t="s">
        <v>19139</v>
      </c>
    </row>
    <row r="1812">
      <c r="A1812" s="234" t="s">
        <v>19138</v>
      </c>
      <c r="B1812" s="71" t="s">
        <v>19139</v>
      </c>
      <c r="C1812" s="71" t="s">
        <v>175</v>
      </c>
    </row>
    <row r="1813">
      <c r="A1813" s="130" t="s">
        <v>19141</v>
      </c>
      <c r="B1813" s="71" t="s">
        <v>16582</v>
      </c>
      <c r="C1813" s="71" t="s">
        <v>16930</v>
      </c>
    </row>
    <row r="1814">
      <c r="A1814" s="234" t="s">
        <v>19143</v>
      </c>
      <c r="B1814" s="71" t="s">
        <v>17202</v>
      </c>
      <c r="C1814" s="71" t="s">
        <v>16838</v>
      </c>
    </row>
    <row r="1815">
      <c r="A1815" s="234" t="s">
        <v>19143</v>
      </c>
      <c r="B1815" s="71" t="s">
        <v>16838</v>
      </c>
      <c r="C1815" s="71" t="s">
        <v>17202</v>
      </c>
    </row>
    <row r="1816">
      <c r="A1816" s="130" t="s">
        <v>19145</v>
      </c>
      <c r="B1816" s="71" t="s">
        <v>16582</v>
      </c>
      <c r="C1816" s="71" t="s">
        <v>16828</v>
      </c>
    </row>
    <row r="1817">
      <c r="A1817" s="234" t="s">
        <v>19147</v>
      </c>
      <c r="B1817" s="71" t="s">
        <v>175</v>
      </c>
      <c r="C1817" s="71" t="s">
        <v>17812</v>
      </c>
    </row>
    <row r="1818">
      <c r="A1818" s="234" t="s">
        <v>19147</v>
      </c>
      <c r="B1818" s="71" t="s">
        <v>17812</v>
      </c>
      <c r="C1818" s="71" t="s">
        <v>175</v>
      </c>
    </row>
    <row r="1819">
      <c r="A1819" s="234" t="s">
        <v>19149</v>
      </c>
      <c r="B1819" s="71" t="s">
        <v>169</v>
      </c>
      <c r="C1819" s="71" t="s">
        <v>17442</v>
      </c>
    </row>
    <row r="1820">
      <c r="A1820" s="234" t="s">
        <v>19149</v>
      </c>
      <c r="B1820" s="71" t="s">
        <v>17442</v>
      </c>
      <c r="C1820" s="71" t="s">
        <v>169</v>
      </c>
    </row>
    <row r="1821">
      <c r="A1821" s="234" t="s">
        <v>19151</v>
      </c>
      <c r="B1821" s="71" t="s">
        <v>175</v>
      </c>
      <c r="C1821" s="71" t="s">
        <v>17394</v>
      </c>
    </row>
    <row r="1822">
      <c r="A1822" s="234" t="s">
        <v>19151</v>
      </c>
      <c r="B1822" s="71" t="s">
        <v>17394</v>
      </c>
      <c r="C1822" s="71" t="s">
        <v>175</v>
      </c>
    </row>
    <row r="1823">
      <c r="A1823" s="234" t="s">
        <v>19153</v>
      </c>
      <c r="B1823" s="71" t="s">
        <v>17321</v>
      </c>
      <c r="C1823" s="71" t="s">
        <v>169</v>
      </c>
    </row>
    <row r="1824">
      <c r="A1824" s="234" t="s">
        <v>19153</v>
      </c>
      <c r="B1824" s="71" t="s">
        <v>169</v>
      </c>
      <c r="C1824" s="71" t="s">
        <v>17321</v>
      </c>
    </row>
    <row r="1825">
      <c r="A1825" s="130" t="s">
        <v>19155</v>
      </c>
      <c r="B1825" s="71" t="s">
        <v>187</v>
      </c>
      <c r="C1825" s="71" t="s">
        <v>17259</v>
      </c>
    </row>
    <row r="1826">
      <c r="A1826" s="234" t="s">
        <v>19157</v>
      </c>
      <c r="B1826" s="71" t="s">
        <v>175</v>
      </c>
      <c r="C1826" s="71" t="s">
        <v>17318</v>
      </c>
    </row>
    <row r="1827">
      <c r="A1827" s="234" t="s">
        <v>19157</v>
      </c>
      <c r="B1827" s="71" t="s">
        <v>17318</v>
      </c>
      <c r="C1827" s="71" t="s">
        <v>175</v>
      </c>
    </row>
    <row r="1828">
      <c r="A1828" s="130" t="s">
        <v>19159</v>
      </c>
      <c r="B1828" s="71" t="s">
        <v>16582</v>
      </c>
      <c r="C1828" s="71" t="s">
        <v>16817</v>
      </c>
    </row>
    <row r="1829">
      <c r="A1829" s="234" t="s">
        <v>19161</v>
      </c>
      <c r="B1829" s="71" t="s">
        <v>17111</v>
      </c>
      <c r="C1829" s="71" t="s">
        <v>17112</v>
      </c>
    </row>
    <row r="1830">
      <c r="A1830" s="234" t="s">
        <v>19161</v>
      </c>
      <c r="B1830" s="71" t="s">
        <v>17112</v>
      </c>
      <c r="C1830" s="71" t="s">
        <v>17111</v>
      </c>
    </row>
    <row r="1831">
      <c r="A1831" s="130" t="s">
        <v>19163</v>
      </c>
      <c r="B1831" s="71" t="s">
        <v>16582</v>
      </c>
      <c r="C1831" s="71" t="s">
        <v>16817</v>
      </c>
    </row>
    <row r="1832">
      <c r="A1832" s="234" t="s">
        <v>19165</v>
      </c>
      <c r="B1832" s="71" t="s">
        <v>175</v>
      </c>
      <c r="C1832" s="71" t="s">
        <v>19166</v>
      </c>
    </row>
    <row r="1833">
      <c r="A1833" s="234" t="s">
        <v>19165</v>
      </c>
      <c r="B1833" s="71" t="s">
        <v>19166</v>
      </c>
      <c r="C1833" s="71" t="s">
        <v>175</v>
      </c>
    </row>
    <row r="1834">
      <c r="A1834" s="130" t="s">
        <v>19168</v>
      </c>
      <c r="B1834" s="71" t="s">
        <v>169</v>
      </c>
      <c r="C1834" s="71" t="s">
        <v>17495</v>
      </c>
    </row>
    <row r="1835">
      <c r="A1835" s="234" t="s">
        <v>19170</v>
      </c>
      <c r="B1835" s="71" t="s">
        <v>17111</v>
      </c>
      <c r="C1835" s="71" t="s">
        <v>17112</v>
      </c>
    </row>
    <row r="1836">
      <c r="A1836" s="234" t="s">
        <v>19170</v>
      </c>
      <c r="B1836" s="71" t="s">
        <v>17112</v>
      </c>
      <c r="C1836" s="71" t="s">
        <v>17111</v>
      </c>
    </row>
    <row r="1837">
      <c r="A1837" s="234" t="s">
        <v>19173</v>
      </c>
      <c r="B1837" s="71" t="s">
        <v>16919</v>
      </c>
      <c r="C1837" s="71" t="s">
        <v>17048</v>
      </c>
    </row>
    <row r="1838">
      <c r="A1838" s="234" t="s">
        <v>19173</v>
      </c>
      <c r="B1838" s="71" t="s">
        <v>17048</v>
      </c>
      <c r="C1838" s="71" t="s">
        <v>16919</v>
      </c>
    </row>
    <row r="1839">
      <c r="A1839" s="130" t="s">
        <v>19175</v>
      </c>
      <c r="B1839" s="71" t="s">
        <v>169</v>
      </c>
      <c r="C1839" s="71" t="s">
        <v>16899</v>
      </c>
    </row>
    <row r="1840">
      <c r="A1840" s="130" t="s">
        <v>19177</v>
      </c>
      <c r="B1840" s="71" t="s">
        <v>158</v>
      </c>
      <c r="C1840" s="71" t="s">
        <v>17339</v>
      </c>
    </row>
    <row r="1841">
      <c r="A1841" s="234" t="s">
        <v>19179</v>
      </c>
      <c r="B1841" s="71" t="s">
        <v>175</v>
      </c>
      <c r="C1841" s="71" t="s">
        <v>17168</v>
      </c>
    </row>
    <row r="1842">
      <c r="A1842" s="234" t="s">
        <v>19179</v>
      </c>
      <c r="B1842" s="71" t="s">
        <v>17168</v>
      </c>
      <c r="C1842" s="71" t="s">
        <v>175</v>
      </c>
    </row>
    <row r="1843">
      <c r="A1843" s="234" t="s">
        <v>19181</v>
      </c>
      <c r="B1843" s="71" t="s">
        <v>175</v>
      </c>
      <c r="C1843" s="71" t="s">
        <v>17480</v>
      </c>
    </row>
    <row r="1844">
      <c r="A1844" s="234" t="s">
        <v>19181</v>
      </c>
      <c r="B1844" s="71" t="s">
        <v>17480</v>
      </c>
      <c r="C1844" s="71" t="s">
        <v>175</v>
      </c>
    </row>
    <row r="1845">
      <c r="A1845" s="234" t="s">
        <v>19183</v>
      </c>
      <c r="B1845" s="71" t="s">
        <v>169</v>
      </c>
      <c r="C1845" s="71" t="s">
        <v>16899</v>
      </c>
    </row>
    <row r="1846">
      <c r="A1846" s="234" t="s">
        <v>19183</v>
      </c>
      <c r="B1846" s="71" t="s">
        <v>16899</v>
      </c>
      <c r="C1846" s="71" t="s">
        <v>169</v>
      </c>
    </row>
    <row r="1847">
      <c r="A1847" s="130" t="s">
        <v>19185</v>
      </c>
      <c r="B1847" s="71" t="s">
        <v>17112</v>
      </c>
      <c r="C1847" s="71" t="s">
        <v>17111</v>
      </c>
    </row>
    <row r="1848">
      <c r="A1848" s="130" t="s">
        <v>19187</v>
      </c>
      <c r="B1848" s="71" t="s">
        <v>16838</v>
      </c>
      <c r="C1848" s="71" t="s">
        <v>16867</v>
      </c>
    </row>
    <row r="1849">
      <c r="A1849" s="234" t="s">
        <v>19189</v>
      </c>
      <c r="B1849" s="71" t="s">
        <v>17552</v>
      </c>
      <c r="C1849" s="71" t="s">
        <v>187</v>
      </c>
    </row>
    <row r="1850">
      <c r="A1850" s="234" t="s">
        <v>19189</v>
      </c>
      <c r="B1850" s="71" t="s">
        <v>187</v>
      </c>
      <c r="C1850" s="71" t="s">
        <v>17552</v>
      </c>
    </row>
    <row r="1851">
      <c r="A1851" s="234" t="s">
        <v>19191</v>
      </c>
      <c r="B1851" s="71" t="s">
        <v>175</v>
      </c>
      <c r="C1851" s="71" t="s">
        <v>17318</v>
      </c>
    </row>
    <row r="1852">
      <c r="A1852" s="234" t="s">
        <v>19191</v>
      </c>
      <c r="B1852" s="71" t="s">
        <v>17318</v>
      </c>
      <c r="C1852" s="71" t="s">
        <v>175</v>
      </c>
    </row>
    <row r="1853">
      <c r="A1853" s="234" t="s">
        <v>19193</v>
      </c>
      <c r="B1853" s="71" t="s">
        <v>17111</v>
      </c>
      <c r="C1853" s="71" t="s">
        <v>17112</v>
      </c>
    </row>
    <row r="1854">
      <c r="A1854" s="234" t="s">
        <v>19193</v>
      </c>
      <c r="B1854" s="71" t="s">
        <v>17112</v>
      </c>
      <c r="C1854" s="71" t="s">
        <v>17111</v>
      </c>
    </row>
    <row r="1855">
      <c r="A1855" s="234" t="s">
        <v>19195</v>
      </c>
      <c r="B1855" s="71" t="s">
        <v>16919</v>
      </c>
      <c r="C1855" s="71" t="s">
        <v>16920</v>
      </c>
    </row>
    <row r="1856">
      <c r="A1856" s="234" t="s">
        <v>19195</v>
      </c>
      <c r="B1856" s="71" t="s">
        <v>16920</v>
      </c>
      <c r="C1856" s="71" t="s">
        <v>16919</v>
      </c>
    </row>
    <row r="1857">
      <c r="A1857" s="234" t="s">
        <v>19197</v>
      </c>
      <c r="B1857" s="71" t="s">
        <v>175</v>
      </c>
      <c r="C1857" s="71" t="s">
        <v>17233</v>
      </c>
    </row>
    <row r="1858">
      <c r="A1858" s="234" t="s">
        <v>19197</v>
      </c>
      <c r="B1858" s="71" t="s">
        <v>17233</v>
      </c>
      <c r="C1858" s="71" t="s">
        <v>175</v>
      </c>
    </row>
    <row r="1859">
      <c r="A1859" s="234" t="s">
        <v>19199</v>
      </c>
      <c r="B1859" s="71" t="s">
        <v>175</v>
      </c>
      <c r="C1859" s="71" t="s">
        <v>17168</v>
      </c>
    </row>
    <row r="1860">
      <c r="A1860" s="234" t="s">
        <v>19199</v>
      </c>
      <c r="B1860" s="71" t="s">
        <v>17168</v>
      </c>
      <c r="C1860" s="71" t="s">
        <v>175</v>
      </c>
    </row>
    <row r="1861">
      <c r="A1861" s="234" t="s">
        <v>19201</v>
      </c>
      <c r="B1861" s="71" t="s">
        <v>17202</v>
      </c>
      <c r="C1861" s="71" t="s">
        <v>16838</v>
      </c>
    </row>
    <row r="1862">
      <c r="A1862" s="234" t="s">
        <v>19201</v>
      </c>
      <c r="B1862" s="71" t="s">
        <v>16838</v>
      </c>
      <c r="C1862" s="71" t="s">
        <v>17202</v>
      </c>
    </row>
    <row r="1863">
      <c r="A1863" s="130" t="s">
        <v>19203</v>
      </c>
      <c r="B1863" s="71" t="s">
        <v>16582</v>
      </c>
      <c r="C1863" s="71" t="s">
        <v>16930</v>
      </c>
    </row>
    <row r="1864">
      <c r="A1864" s="234" t="s">
        <v>19205</v>
      </c>
      <c r="B1864" s="71" t="s">
        <v>175</v>
      </c>
      <c r="C1864" s="71" t="s">
        <v>17031</v>
      </c>
    </row>
    <row r="1865">
      <c r="A1865" s="234" t="s">
        <v>19205</v>
      </c>
      <c r="B1865" s="71" t="s">
        <v>17031</v>
      </c>
      <c r="C1865" s="71" t="s">
        <v>175</v>
      </c>
    </row>
    <row r="1866">
      <c r="A1866" s="234" t="s">
        <v>19207</v>
      </c>
      <c r="B1866" s="71" t="s">
        <v>17532</v>
      </c>
      <c r="C1866" s="71" t="s">
        <v>169</v>
      </c>
    </row>
    <row r="1867">
      <c r="A1867" s="234" t="s">
        <v>19207</v>
      </c>
      <c r="B1867" s="71" t="s">
        <v>169</v>
      </c>
      <c r="C1867" s="71" t="s">
        <v>17532</v>
      </c>
    </row>
    <row r="1868">
      <c r="A1868" s="130" t="s">
        <v>19209</v>
      </c>
      <c r="B1868" s="71" t="s">
        <v>187</v>
      </c>
      <c r="C1868" s="71" t="s">
        <v>16846</v>
      </c>
    </row>
    <row r="1869">
      <c r="A1869" s="234" t="s">
        <v>19211</v>
      </c>
      <c r="B1869" s="71" t="s">
        <v>17202</v>
      </c>
      <c r="C1869" s="71" t="s">
        <v>16838</v>
      </c>
    </row>
    <row r="1870">
      <c r="A1870" s="234" t="s">
        <v>19211</v>
      </c>
      <c r="B1870" s="71" t="s">
        <v>16838</v>
      </c>
      <c r="C1870" s="71" t="s">
        <v>17202</v>
      </c>
    </row>
    <row r="1871">
      <c r="A1871" s="234" t="s">
        <v>19213</v>
      </c>
      <c r="B1871" s="71" t="s">
        <v>175</v>
      </c>
      <c r="C1871" s="71" t="s">
        <v>17168</v>
      </c>
    </row>
    <row r="1872">
      <c r="A1872" s="234" t="s">
        <v>19213</v>
      </c>
      <c r="B1872" s="71" t="s">
        <v>17168</v>
      </c>
      <c r="C1872" s="71" t="s">
        <v>175</v>
      </c>
    </row>
    <row r="1873">
      <c r="A1873" s="234" t="s">
        <v>19215</v>
      </c>
      <c r="B1873" s="71" t="s">
        <v>17104</v>
      </c>
      <c r="C1873" s="71" t="s">
        <v>16838</v>
      </c>
    </row>
    <row r="1874">
      <c r="A1874" s="234" t="s">
        <v>19215</v>
      </c>
      <c r="B1874" s="71" t="s">
        <v>16838</v>
      </c>
      <c r="C1874" s="71" t="s">
        <v>17104</v>
      </c>
    </row>
    <row r="1875">
      <c r="A1875" s="234" t="s">
        <v>19217</v>
      </c>
      <c r="B1875" s="71" t="s">
        <v>17111</v>
      </c>
      <c r="C1875" s="71" t="s">
        <v>17112</v>
      </c>
    </row>
    <row r="1876">
      <c r="A1876" s="234" t="s">
        <v>19217</v>
      </c>
      <c r="B1876" s="71" t="s">
        <v>17112</v>
      </c>
      <c r="C1876" s="71" t="s">
        <v>17111</v>
      </c>
    </row>
    <row r="1877">
      <c r="A1877" s="234" t="s">
        <v>19219</v>
      </c>
      <c r="B1877" s="71" t="s">
        <v>175</v>
      </c>
      <c r="C1877" s="71" t="s">
        <v>16854</v>
      </c>
    </row>
    <row r="1878">
      <c r="A1878" s="234" t="s">
        <v>19219</v>
      </c>
      <c r="B1878" s="71" t="s">
        <v>16854</v>
      </c>
      <c r="C1878" s="71" t="s">
        <v>175</v>
      </c>
    </row>
    <row r="1879">
      <c r="A1879" s="234" t="s">
        <v>19221</v>
      </c>
      <c r="B1879" s="71" t="s">
        <v>175</v>
      </c>
      <c r="C1879" s="71" t="s">
        <v>16972</v>
      </c>
    </row>
    <row r="1880">
      <c r="A1880" s="234" t="s">
        <v>19221</v>
      </c>
      <c r="B1880" s="71" t="s">
        <v>16972</v>
      </c>
      <c r="C1880" s="71" t="s">
        <v>175</v>
      </c>
    </row>
    <row r="1881">
      <c r="A1881" s="130" t="s">
        <v>19223</v>
      </c>
      <c r="B1881" s="71" t="s">
        <v>16582</v>
      </c>
      <c r="C1881" s="71" t="s">
        <v>16817</v>
      </c>
    </row>
    <row r="1882">
      <c r="A1882" s="130" t="s">
        <v>19225</v>
      </c>
      <c r="B1882" s="71" t="s">
        <v>16582</v>
      </c>
      <c r="C1882" s="71" t="s">
        <v>16828</v>
      </c>
    </row>
    <row r="1883">
      <c r="A1883" s="234" t="s">
        <v>19227</v>
      </c>
      <c r="B1883" s="71" t="s">
        <v>175</v>
      </c>
      <c r="C1883" s="71" t="s">
        <v>17318</v>
      </c>
    </row>
    <row r="1884">
      <c r="A1884" s="234" t="s">
        <v>19227</v>
      </c>
      <c r="B1884" s="71" t="s">
        <v>17318</v>
      </c>
      <c r="C1884" s="71" t="s">
        <v>175</v>
      </c>
    </row>
    <row r="1885">
      <c r="A1885" s="234" t="s">
        <v>19229</v>
      </c>
      <c r="B1885" s="71" t="s">
        <v>17259</v>
      </c>
      <c r="C1885" s="71" t="s">
        <v>187</v>
      </c>
    </row>
    <row r="1886">
      <c r="A1886" s="234" t="s">
        <v>19229</v>
      </c>
      <c r="B1886" s="71" t="s">
        <v>187</v>
      </c>
      <c r="C1886" s="71" t="s">
        <v>17259</v>
      </c>
    </row>
    <row r="1887">
      <c r="A1887" s="234" t="s">
        <v>19231</v>
      </c>
      <c r="B1887" s="71" t="s">
        <v>158</v>
      </c>
      <c r="C1887" s="71" t="s">
        <v>16864</v>
      </c>
    </row>
    <row r="1888">
      <c r="A1888" s="234" t="s">
        <v>19231</v>
      </c>
      <c r="B1888" s="71" t="s">
        <v>16864</v>
      </c>
      <c r="C1888" s="130" t="s">
        <v>158</v>
      </c>
    </row>
    <row r="1889">
      <c r="A1889" s="234" t="s">
        <v>19233</v>
      </c>
      <c r="B1889" s="71" t="s">
        <v>16945</v>
      </c>
      <c r="C1889" s="71" t="s">
        <v>169</v>
      </c>
    </row>
    <row r="1890">
      <c r="A1890" s="234" t="s">
        <v>19233</v>
      </c>
      <c r="B1890" s="71" t="s">
        <v>169</v>
      </c>
      <c r="C1890" s="71" t="s">
        <v>16945</v>
      </c>
    </row>
    <row r="1891">
      <c r="A1891" s="234" t="s">
        <v>19235</v>
      </c>
      <c r="B1891" s="71" t="s">
        <v>16867</v>
      </c>
      <c r="C1891" s="71" t="s">
        <v>16838</v>
      </c>
    </row>
    <row r="1892">
      <c r="A1892" s="234" t="s">
        <v>19235</v>
      </c>
      <c r="B1892" s="71" t="s">
        <v>16838</v>
      </c>
      <c r="C1892" s="71" t="s">
        <v>16867</v>
      </c>
    </row>
    <row r="1893">
      <c r="A1893" s="234" t="s">
        <v>19237</v>
      </c>
      <c r="B1893" s="71" t="s">
        <v>16582</v>
      </c>
      <c r="C1893" s="71" t="s">
        <v>16930</v>
      </c>
    </row>
    <row r="1894">
      <c r="A1894" s="234" t="s">
        <v>19237</v>
      </c>
      <c r="B1894" s="71" t="s">
        <v>16930</v>
      </c>
      <c r="C1894" s="71" t="s">
        <v>16582</v>
      </c>
    </row>
    <row r="1895">
      <c r="A1895" s="130" t="s">
        <v>19239</v>
      </c>
      <c r="B1895" s="71" t="s">
        <v>16582</v>
      </c>
      <c r="C1895" s="71" t="s">
        <v>16930</v>
      </c>
    </row>
    <row r="1896">
      <c r="A1896" s="130" t="s">
        <v>19241</v>
      </c>
      <c r="B1896" s="71" t="s">
        <v>175</v>
      </c>
      <c r="C1896" s="71" t="s">
        <v>17509</v>
      </c>
    </row>
    <row r="1897">
      <c r="A1897" s="234" t="s">
        <v>19243</v>
      </c>
      <c r="B1897" s="71" t="s">
        <v>175</v>
      </c>
      <c r="C1897" s="71" t="s">
        <v>19139</v>
      </c>
    </row>
    <row r="1898">
      <c r="A1898" s="234" t="s">
        <v>19243</v>
      </c>
      <c r="B1898" s="71" t="s">
        <v>19139</v>
      </c>
      <c r="C1898" s="71" t="s">
        <v>175</v>
      </c>
    </row>
    <row r="1899">
      <c r="A1899" s="234" t="s">
        <v>19245</v>
      </c>
      <c r="B1899" s="71" t="s">
        <v>175</v>
      </c>
      <c r="C1899" s="71" t="s">
        <v>17452</v>
      </c>
    </row>
    <row r="1900">
      <c r="A1900" s="234" t="s">
        <v>19245</v>
      </c>
      <c r="B1900" s="71" t="s">
        <v>17452</v>
      </c>
      <c r="C1900" s="71" t="s">
        <v>175</v>
      </c>
    </row>
    <row r="1901">
      <c r="A1901" s="234" t="s">
        <v>19247</v>
      </c>
      <c r="B1901" s="71" t="s">
        <v>17111</v>
      </c>
      <c r="C1901" s="71" t="s">
        <v>17112</v>
      </c>
    </row>
    <row r="1902">
      <c r="A1902" s="234" t="s">
        <v>19247</v>
      </c>
      <c r="B1902" s="71" t="s">
        <v>17112</v>
      </c>
      <c r="C1902" s="71" t="s">
        <v>17111</v>
      </c>
    </row>
    <row r="1903">
      <c r="A1903" s="234" t="s">
        <v>19249</v>
      </c>
      <c r="B1903" s="71" t="s">
        <v>158</v>
      </c>
      <c r="C1903" s="71" t="s">
        <v>16864</v>
      </c>
    </row>
    <row r="1904">
      <c r="A1904" s="234" t="s">
        <v>19249</v>
      </c>
      <c r="B1904" s="71" t="s">
        <v>16864</v>
      </c>
      <c r="C1904" s="71" t="s">
        <v>158</v>
      </c>
    </row>
    <row r="1905">
      <c r="A1905" s="234" t="s">
        <v>19251</v>
      </c>
      <c r="B1905" s="71" t="s">
        <v>16945</v>
      </c>
      <c r="C1905" s="71" t="s">
        <v>169</v>
      </c>
    </row>
    <row r="1906">
      <c r="A1906" s="234" t="s">
        <v>19251</v>
      </c>
      <c r="B1906" s="71" t="s">
        <v>169</v>
      </c>
      <c r="C1906" s="71" t="s">
        <v>16945</v>
      </c>
    </row>
    <row r="1907">
      <c r="A1907" s="130" t="s">
        <v>19253</v>
      </c>
      <c r="B1907" s="71" t="s">
        <v>158</v>
      </c>
      <c r="C1907" s="71" t="s">
        <v>16864</v>
      </c>
    </row>
    <row r="1908">
      <c r="A1908" s="130" t="s">
        <v>19255</v>
      </c>
      <c r="B1908" s="71" t="s">
        <v>187</v>
      </c>
      <c r="C1908" s="71" t="s">
        <v>16851</v>
      </c>
    </row>
    <row r="1909">
      <c r="A1909" s="234" t="s">
        <v>19257</v>
      </c>
      <c r="B1909" s="71" t="s">
        <v>158</v>
      </c>
      <c r="C1909" s="71" t="s">
        <v>16870</v>
      </c>
    </row>
    <row r="1910">
      <c r="A1910" s="234" t="s">
        <v>19257</v>
      </c>
      <c r="B1910" s="71" t="s">
        <v>16870</v>
      </c>
      <c r="C1910" s="71" t="s">
        <v>158</v>
      </c>
    </row>
    <row r="1911">
      <c r="A1911" s="234" t="s">
        <v>19259</v>
      </c>
      <c r="B1911" s="71" t="s">
        <v>158</v>
      </c>
      <c r="C1911" s="71" t="s">
        <v>16870</v>
      </c>
    </row>
    <row r="1912">
      <c r="A1912" s="234" t="s">
        <v>19259</v>
      </c>
      <c r="B1912" s="71" t="s">
        <v>16870</v>
      </c>
      <c r="C1912" s="71" t="s">
        <v>158</v>
      </c>
    </row>
    <row r="1913">
      <c r="A1913" s="130" t="s">
        <v>19261</v>
      </c>
      <c r="B1913" s="71" t="s">
        <v>187</v>
      </c>
      <c r="C1913" s="71" t="s">
        <v>16858</v>
      </c>
    </row>
    <row r="1914">
      <c r="A1914" s="234" t="s">
        <v>19263</v>
      </c>
      <c r="B1914" s="71" t="s">
        <v>175</v>
      </c>
      <c r="C1914" s="71" t="s">
        <v>17475</v>
      </c>
    </row>
    <row r="1915">
      <c r="A1915" s="234" t="s">
        <v>19263</v>
      </c>
      <c r="B1915" s="71" t="s">
        <v>17475</v>
      </c>
      <c r="C1915" s="71" t="s">
        <v>175</v>
      </c>
    </row>
    <row r="1916">
      <c r="A1916" s="234" t="s">
        <v>19265</v>
      </c>
      <c r="B1916" s="71" t="s">
        <v>17532</v>
      </c>
      <c r="C1916" s="71" t="s">
        <v>169</v>
      </c>
    </row>
    <row r="1917">
      <c r="A1917" s="234" t="s">
        <v>19265</v>
      </c>
      <c r="B1917" s="71" t="s">
        <v>169</v>
      </c>
      <c r="C1917" s="71" t="s">
        <v>17532</v>
      </c>
    </row>
    <row r="1918">
      <c r="A1918" s="234" t="s">
        <v>19267</v>
      </c>
      <c r="B1918" s="71" t="s">
        <v>16919</v>
      </c>
      <c r="C1918" s="71" t="s">
        <v>16864</v>
      </c>
    </row>
    <row r="1919">
      <c r="A1919" s="234" t="s">
        <v>19267</v>
      </c>
      <c r="B1919" s="71" t="s">
        <v>16864</v>
      </c>
      <c r="C1919" s="71" t="s">
        <v>16919</v>
      </c>
    </row>
    <row r="1920">
      <c r="A1920" s="234" t="s">
        <v>19269</v>
      </c>
      <c r="B1920" s="71" t="s">
        <v>187</v>
      </c>
      <c r="C1920" s="71" t="s">
        <v>16846</v>
      </c>
    </row>
    <row r="1921">
      <c r="A1921" s="234" t="s">
        <v>19269</v>
      </c>
      <c r="B1921" s="71" t="s">
        <v>16846</v>
      </c>
      <c r="C1921" s="71" t="s">
        <v>187</v>
      </c>
    </row>
    <row r="1922">
      <c r="A1922" s="234" t="s">
        <v>19271</v>
      </c>
      <c r="B1922" s="71" t="s">
        <v>175</v>
      </c>
      <c r="C1922" s="71" t="s">
        <v>16878</v>
      </c>
    </row>
    <row r="1923">
      <c r="A1923" s="234" t="s">
        <v>19271</v>
      </c>
      <c r="B1923" s="71" t="s">
        <v>16878</v>
      </c>
      <c r="C1923" s="71" t="s">
        <v>175</v>
      </c>
    </row>
    <row r="1924">
      <c r="A1924" s="130" t="s">
        <v>19273</v>
      </c>
      <c r="B1924" s="71" t="s">
        <v>16838</v>
      </c>
      <c r="C1924" s="71" t="s">
        <v>16867</v>
      </c>
    </row>
    <row r="1925">
      <c r="A1925" s="234" t="s">
        <v>19275</v>
      </c>
      <c r="B1925" s="71" t="s">
        <v>17202</v>
      </c>
      <c r="C1925" s="71" t="s">
        <v>16838</v>
      </c>
    </row>
    <row r="1926">
      <c r="A1926" s="234" t="s">
        <v>19275</v>
      </c>
      <c r="B1926" s="71" t="s">
        <v>16838</v>
      </c>
      <c r="C1926" s="71" t="s">
        <v>17202</v>
      </c>
    </row>
    <row r="1927">
      <c r="A1927" s="130" t="s">
        <v>19277</v>
      </c>
      <c r="B1927" s="71" t="s">
        <v>169</v>
      </c>
      <c r="C1927" s="71" t="s">
        <v>17057</v>
      </c>
    </row>
    <row r="1928">
      <c r="A1928" s="234" t="s">
        <v>19279</v>
      </c>
      <c r="B1928" s="71" t="s">
        <v>16867</v>
      </c>
      <c r="C1928" s="71" t="s">
        <v>16838</v>
      </c>
    </row>
    <row r="1929">
      <c r="A1929" s="234" t="s">
        <v>19279</v>
      </c>
      <c r="B1929" s="71" t="s">
        <v>16838</v>
      </c>
      <c r="C1929" s="71" t="s">
        <v>16867</v>
      </c>
    </row>
    <row r="1930">
      <c r="A1930" s="130" t="s">
        <v>19281</v>
      </c>
      <c r="B1930" s="71" t="s">
        <v>16838</v>
      </c>
      <c r="C1930" s="71" t="s">
        <v>17016</v>
      </c>
    </row>
    <row r="1931">
      <c r="A1931" s="234" t="s">
        <v>19283</v>
      </c>
      <c r="B1931" s="71" t="s">
        <v>17127</v>
      </c>
      <c r="C1931" s="71" t="s">
        <v>16838</v>
      </c>
    </row>
    <row r="1932">
      <c r="A1932" s="234" t="s">
        <v>19283</v>
      </c>
      <c r="B1932" s="71" t="s">
        <v>16838</v>
      </c>
      <c r="C1932" s="71" t="s">
        <v>17127</v>
      </c>
    </row>
    <row r="1933">
      <c r="A1933" s="130" t="s">
        <v>19285</v>
      </c>
      <c r="B1933" s="71" t="s">
        <v>187</v>
      </c>
      <c r="C1933" s="71" t="s">
        <v>16846</v>
      </c>
    </row>
    <row r="1934">
      <c r="A1934" s="130" t="s">
        <v>19287</v>
      </c>
      <c r="B1934" s="71" t="s">
        <v>16582</v>
      </c>
      <c r="C1934" s="71" t="s">
        <v>16930</v>
      </c>
    </row>
    <row r="1935">
      <c r="A1935" s="234" t="s">
        <v>19289</v>
      </c>
      <c r="B1935" s="71" t="s">
        <v>16910</v>
      </c>
      <c r="C1935" s="71" t="s">
        <v>17119</v>
      </c>
    </row>
    <row r="1936">
      <c r="A1936" s="234" t="s">
        <v>19289</v>
      </c>
      <c r="B1936" s="71" t="s">
        <v>17119</v>
      </c>
      <c r="C1936" s="71" t="s">
        <v>16910</v>
      </c>
    </row>
    <row r="1937">
      <c r="A1937" s="130" t="s">
        <v>19291</v>
      </c>
      <c r="B1937" s="71" t="s">
        <v>187</v>
      </c>
      <c r="C1937" s="71" t="s">
        <v>16846</v>
      </c>
    </row>
    <row r="1938">
      <c r="A1938" s="234" t="s">
        <v>19293</v>
      </c>
      <c r="B1938" s="71" t="s">
        <v>175</v>
      </c>
      <c r="C1938" s="71" t="s">
        <v>18570</v>
      </c>
    </row>
    <row r="1939">
      <c r="A1939" s="234" t="s">
        <v>19293</v>
      </c>
      <c r="B1939" s="71" t="s">
        <v>18570</v>
      </c>
      <c r="C1939" s="71" t="s">
        <v>175</v>
      </c>
    </row>
    <row r="1940">
      <c r="A1940" s="234" t="s">
        <v>19295</v>
      </c>
      <c r="B1940" s="71" t="s">
        <v>16582</v>
      </c>
      <c r="C1940" s="71" t="s">
        <v>16817</v>
      </c>
    </row>
    <row r="1941">
      <c r="A1941" s="234" t="s">
        <v>19295</v>
      </c>
      <c r="B1941" s="71" t="s">
        <v>16817</v>
      </c>
      <c r="C1941" s="71" t="s">
        <v>16582</v>
      </c>
    </row>
    <row r="1942">
      <c r="A1942" s="234" t="s">
        <v>19297</v>
      </c>
      <c r="B1942" s="71" t="s">
        <v>16919</v>
      </c>
      <c r="C1942" s="71" t="s">
        <v>17413</v>
      </c>
    </row>
    <row r="1943">
      <c r="A1943" s="234" t="s">
        <v>19297</v>
      </c>
      <c r="B1943" s="71" t="s">
        <v>17413</v>
      </c>
      <c r="C1943" s="71" t="s">
        <v>16919</v>
      </c>
    </row>
    <row r="1944">
      <c r="A1944" s="234" t="s">
        <v>19299</v>
      </c>
      <c r="B1944" s="71" t="s">
        <v>175</v>
      </c>
      <c r="C1944" s="71" t="s">
        <v>16824</v>
      </c>
    </row>
    <row r="1945">
      <c r="A1945" s="234" t="s">
        <v>19299</v>
      </c>
      <c r="B1945" s="71" t="s">
        <v>16824</v>
      </c>
      <c r="C1945" s="71" t="s">
        <v>175</v>
      </c>
    </row>
    <row r="1946">
      <c r="A1946" s="130" t="s">
        <v>19301</v>
      </c>
      <c r="B1946" s="71" t="s">
        <v>16582</v>
      </c>
      <c r="C1946" s="71" t="s">
        <v>16930</v>
      </c>
    </row>
    <row r="1947">
      <c r="A1947" s="234" t="s">
        <v>19303</v>
      </c>
      <c r="B1947" s="71"/>
      <c r="C1947" s="71"/>
    </row>
    <row r="1948">
      <c r="A1948" s="234" t="s">
        <v>19303</v>
      </c>
      <c r="B1948" s="71"/>
      <c r="C1948" s="71"/>
    </row>
    <row r="1949">
      <c r="A1949" s="234" t="s">
        <v>19305</v>
      </c>
      <c r="B1949" s="71" t="s">
        <v>17321</v>
      </c>
      <c r="C1949" s="71" t="s">
        <v>169</v>
      </c>
    </row>
    <row r="1950">
      <c r="A1950" s="234" t="s">
        <v>19305</v>
      </c>
      <c r="B1950" s="71" t="s">
        <v>169</v>
      </c>
      <c r="C1950" s="71" t="s">
        <v>17321</v>
      </c>
    </row>
    <row r="1951">
      <c r="A1951" s="130" t="s">
        <v>19307</v>
      </c>
      <c r="B1951" s="71" t="s">
        <v>187</v>
      </c>
      <c r="C1951" s="71" t="s">
        <v>18633</v>
      </c>
    </row>
    <row r="1952">
      <c r="A1952" s="234" t="s">
        <v>19309</v>
      </c>
      <c r="B1952" s="71" t="s">
        <v>16919</v>
      </c>
      <c r="C1952" s="71" t="s">
        <v>16920</v>
      </c>
    </row>
    <row r="1953">
      <c r="A1953" s="234" t="s">
        <v>19309</v>
      </c>
      <c r="B1953" s="71" t="s">
        <v>16920</v>
      </c>
      <c r="C1953" s="71" t="s">
        <v>16919</v>
      </c>
    </row>
    <row r="1954">
      <c r="A1954" s="130" t="s">
        <v>19311</v>
      </c>
      <c r="B1954" s="71" t="s">
        <v>16838</v>
      </c>
      <c r="C1954" s="71" t="s">
        <v>16867</v>
      </c>
    </row>
    <row r="1955">
      <c r="A1955" s="234" t="s">
        <v>19313</v>
      </c>
      <c r="B1955" s="71" t="s">
        <v>158</v>
      </c>
      <c r="C1955" s="71" t="s">
        <v>16864</v>
      </c>
    </row>
    <row r="1956">
      <c r="A1956" s="234" t="s">
        <v>19313</v>
      </c>
      <c r="B1956" s="71" t="s">
        <v>16864</v>
      </c>
      <c r="C1956" s="71" t="s">
        <v>158</v>
      </c>
    </row>
    <row r="1957">
      <c r="A1957" s="234" t="s">
        <v>19315</v>
      </c>
      <c r="B1957" s="71" t="s">
        <v>17629</v>
      </c>
      <c r="C1957" s="71" t="s">
        <v>16899</v>
      </c>
    </row>
    <row r="1958">
      <c r="A1958" s="234" t="s">
        <v>19315</v>
      </c>
      <c r="B1958" s="71" t="s">
        <v>16899</v>
      </c>
      <c r="C1958" s="71" t="s">
        <v>17629</v>
      </c>
    </row>
    <row r="1959">
      <c r="A1959" s="234" t="s">
        <v>19317</v>
      </c>
      <c r="B1959" s="71" t="s">
        <v>169</v>
      </c>
      <c r="C1959" s="71" t="s">
        <v>17532</v>
      </c>
    </row>
    <row r="1960">
      <c r="A1960" s="234" t="s">
        <v>19317</v>
      </c>
      <c r="B1960" s="71" t="s">
        <v>17532</v>
      </c>
      <c r="C1960" s="130" t="s">
        <v>169</v>
      </c>
    </row>
    <row r="1961">
      <c r="A1961" s="234" t="s">
        <v>19319</v>
      </c>
      <c r="B1961" s="71" t="s">
        <v>175</v>
      </c>
      <c r="C1961" s="71" t="s">
        <v>17084</v>
      </c>
    </row>
    <row r="1962">
      <c r="A1962" s="234" t="s">
        <v>19319</v>
      </c>
      <c r="B1962" s="71" t="s">
        <v>17084</v>
      </c>
      <c r="C1962" s="71" t="s">
        <v>175</v>
      </c>
    </row>
    <row r="1963">
      <c r="A1963" s="234" t="s">
        <v>19321</v>
      </c>
      <c r="B1963" s="71" t="s">
        <v>169</v>
      </c>
      <c r="C1963" s="71" t="s">
        <v>16899</v>
      </c>
    </row>
    <row r="1964">
      <c r="A1964" s="234" t="s">
        <v>19321</v>
      </c>
      <c r="B1964" s="71" t="s">
        <v>16899</v>
      </c>
      <c r="C1964" s="71" t="s">
        <v>169</v>
      </c>
    </row>
    <row r="1965">
      <c r="A1965" s="234" t="s">
        <v>19323</v>
      </c>
      <c r="B1965" s="71" t="s">
        <v>169</v>
      </c>
      <c r="C1965" s="71" t="s">
        <v>16899</v>
      </c>
    </row>
    <row r="1966">
      <c r="A1966" s="234" t="s">
        <v>19323</v>
      </c>
      <c r="B1966" s="71" t="s">
        <v>16899</v>
      </c>
      <c r="C1966" s="71" t="s">
        <v>169</v>
      </c>
    </row>
    <row r="1967">
      <c r="A1967" s="130" t="s">
        <v>19325</v>
      </c>
      <c r="B1967" s="71" t="s">
        <v>16582</v>
      </c>
      <c r="C1967" s="71" t="s">
        <v>16817</v>
      </c>
    </row>
    <row r="1968">
      <c r="A1968" s="130" t="s">
        <v>19327</v>
      </c>
      <c r="B1968" s="71" t="s">
        <v>16582</v>
      </c>
      <c r="C1968" s="71" t="s">
        <v>16828</v>
      </c>
    </row>
    <row r="1969">
      <c r="A1969" s="130" t="s">
        <v>19329</v>
      </c>
      <c r="B1969" s="71" t="s">
        <v>169</v>
      </c>
      <c r="C1969" s="71" t="s">
        <v>17619</v>
      </c>
    </row>
    <row r="1970">
      <c r="A1970" s="234" t="s">
        <v>19331</v>
      </c>
      <c r="B1970" s="71" t="s">
        <v>175</v>
      </c>
      <c r="C1970" s="71" t="s">
        <v>19006</v>
      </c>
    </row>
    <row r="1971">
      <c r="A1971" s="234" t="s">
        <v>19331</v>
      </c>
      <c r="B1971" s="71" t="s">
        <v>19006</v>
      </c>
      <c r="C1971" s="71" t="s">
        <v>175</v>
      </c>
    </row>
    <row r="1972">
      <c r="A1972" s="234" t="s">
        <v>19333</v>
      </c>
      <c r="B1972" s="71" t="s">
        <v>169</v>
      </c>
      <c r="C1972" s="71" t="s">
        <v>17805</v>
      </c>
    </row>
    <row r="1973">
      <c r="A1973" s="234" t="s">
        <v>19333</v>
      </c>
      <c r="B1973" s="71" t="s">
        <v>17805</v>
      </c>
      <c r="C1973" s="71" t="s">
        <v>169</v>
      </c>
    </row>
    <row r="1974">
      <c r="A1974" s="130" t="s">
        <v>19335</v>
      </c>
      <c r="B1974" s="71" t="s">
        <v>175</v>
      </c>
      <c r="C1974" s="71" t="s">
        <v>17480</v>
      </c>
    </row>
    <row r="1975">
      <c r="A1975" s="130" t="s">
        <v>19337</v>
      </c>
      <c r="B1975" s="71" t="s">
        <v>187</v>
      </c>
      <c r="C1975" s="71" t="s">
        <v>16858</v>
      </c>
    </row>
    <row r="1976">
      <c r="A1976" s="234" t="s">
        <v>19339</v>
      </c>
      <c r="B1976" s="71" t="s">
        <v>17321</v>
      </c>
      <c r="C1976" s="71" t="s">
        <v>169</v>
      </c>
    </row>
    <row r="1977">
      <c r="A1977" s="234" t="s">
        <v>19339</v>
      </c>
      <c r="B1977" s="71" t="s">
        <v>169</v>
      </c>
      <c r="C1977" s="71" t="s">
        <v>17321</v>
      </c>
    </row>
    <row r="1978">
      <c r="A1978" s="130" t="s">
        <v>19341</v>
      </c>
      <c r="B1978" s="71" t="s">
        <v>16838</v>
      </c>
      <c r="C1978" s="71" t="s">
        <v>16867</v>
      </c>
    </row>
    <row r="1979">
      <c r="A1979" s="234" t="s">
        <v>19343</v>
      </c>
      <c r="B1979" s="71" t="s">
        <v>17127</v>
      </c>
      <c r="C1979" s="71" t="s">
        <v>16838</v>
      </c>
    </row>
    <row r="1980">
      <c r="A1980" s="234" t="s">
        <v>19343</v>
      </c>
      <c r="B1980" s="71" t="s">
        <v>16838</v>
      </c>
      <c r="C1980" s="71" t="s">
        <v>17127</v>
      </c>
    </row>
    <row r="1981">
      <c r="A1981" s="234" t="s">
        <v>19345</v>
      </c>
      <c r="B1981" s="71" t="s">
        <v>175</v>
      </c>
      <c r="C1981" s="71" t="s">
        <v>17457</v>
      </c>
    </row>
    <row r="1982">
      <c r="A1982" s="234" t="s">
        <v>19345</v>
      </c>
      <c r="B1982" s="71" t="s">
        <v>17457</v>
      </c>
      <c r="C1982" s="71" t="s">
        <v>175</v>
      </c>
    </row>
    <row r="1983">
      <c r="A1983" s="130" t="s">
        <v>19347</v>
      </c>
      <c r="B1983" s="71" t="s">
        <v>16838</v>
      </c>
      <c r="C1983" s="71" t="s">
        <v>17202</v>
      </c>
    </row>
    <row r="1984">
      <c r="A1984" s="130" t="s">
        <v>19349</v>
      </c>
      <c r="B1984" s="71" t="s">
        <v>16838</v>
      </c>
      <c r="C1984" s="71" t="s">
        <v>16867</v>
      </c>
    </row>
    <row r="1985">
      <c r="A1985" s="234" t="s">
        <v>19351</v>
      </c>
      <c r="B1985" s="71" t="s">
        <v>175</v>
      </c>
      <c r="C1985" s="71" t="s">
        <v>16942</v>
      </c>
    </row>
    <row r="1986">
      <c r="A1986" s="234" t="s">
        <v>19351</v>
      </c>
      <c r="B1986" s="71" t="s">
        <v>16942</v>
      </c>
      <c r="C1986" s="71" t="s">
        <v>175</v>
      </c>
    </row>
    <row r="1987">
      <c r="A1987" s="234" t="s">
        <v>19353</v>
      </c>
      <c r="B1987" s="71" t="s">
        <v>169</v>
      </c>
      <c r="C1987" s="71" t="s">
        <v>17457</v>
      </c>
    </row>
    <row r="1988">
      <c r="A1988" s="234" t="s">
        <v>19353</v>
      </c>
      <c r="B1988" s="71" t="s">
        <v>17457</v>
      </c>
      <c r="C1988" s="71" t="s">
        <v>169</v>
      </c>
    </row>
    <row r="1989">
      <c r="A1989" s="234" t="s">
        <v>19355</v>
      </c>
      <c r="B1989" s="71" t="s">
        <v>16957</v>
      </c>
      <c r="C1989" s="71" t="s">
        <v>16926</v>
      </c>
    </row>
    <row r="1990">
      <c r="A1990" s="234" t="s">
        <v>19355</v>
      </c>
      <c r="B1990" s="71" t="s">
        <v>16926</v>
      </c>
      <c r="C1990" s="71" t="s">
        <v>16957</v>
      </c>
    </row>
    <row r="1991">
      <c r="A1991" s="234" t="s">
        <v>19357</v>
      </c>
      <c r="B1991" s="71" t="s">
        <v>16885</v>
      </c>
      <c r="C1991" s="71" t="s">
        <v>17726</v>
      </c>
    </row>
    <row r="1992">
      <c r="A1992" s="234" t="s">
        <v>19357</v>
      </c>
      <c r="B1992" s="71" t="s">
        <v>17726</v>
      </c>
      <c r="C1992" s="71" t="s">
        <v>16885</v>
      </c>
    </row>
    <row r="1993">
      <c r="A1993" s="130" t="s">
        <v>19359</v>
      </c>
      <c r="B1993" s="71" t="s">
        <v>175</v>
      </c>
      <c r="C1993" s="71" t="s">
        <v>16861</v>
      </c>
    </row>
    <row r="1994">
      <c r="A1994" s="234" t="s">
        <v>19361</v>
      </c>
      <c r="B1994" s="71" t="s">
        <v>169</v>
      </c>
      <c r="C1994" s="71" t="s">
        <v>16899</v>
      </c>
    </row>
    <row r="1995">
      <c r="A1995" s="234" t="s">
        <v>19361</v>
      </c>
      <c r="B1995" s="71" t="s">
        <v>16899</v>
      </c>
      <c r="C1995" s="71" t="s">
        <v>169</v>
      </c>
    </row>
    <row r="1996">
      <c r="A1996" s="234" t="s">
        <v>19363</v>
      </c>
      <c r="B1996" s="71" t="s">
        <v>16867</v>
      </c>
      <c r="C1996" s="71" t="s">
        <v>16838</v>
      </c>
    </row>
    <row r="1997">
      <c r="A1997" s="234" t="s">
        <v>19363</v>
      </c>
      <c r="B1997" s="71" t="s">
        <v>16838</v>
      </c>
      <c r="C1997" s="71" t="s">
        <v>16867</v>
      </c>
    </row>
    <row r="1998">
      <c r="A1998" s="234" t="s">
        <v>19365</v>
      </c>
      <c r="B1998" s="71" t="s">
        <v>16582</v>
      </c>
      <c r="C1998" s="71" t="s">
        <v>16817</v>
      </c>
    </row>
    <row r="1999">
      <c r="A1999" s="234" t="s">
        <v>19365</v>
      </c>
      <c r="B1999" s="71" t="s">
        <v>16817</v>
      </c>
      <c r="C1999" s="71" t="s">
        <v>16582</v>
      </c>
    </row>
    <row r="2000">
      <c r="A2000" s="130" t="s">
        <v>19367</v>
      </c>
      <c r="B2000" s="71" t="s">
        <v>175</v>
      </c>
      <c r="C2000" s="71" t="s">
        <v>16975</v>
      </c>
    </row>
    <row r="2001">
      <c r="A2001" s="130" t="s">
        <v>19369</v>
      </c>
      <c r="B2001" s="71" t="s">
        <v>16885</v>
      </c>
      <c r="C2001" s="71" t="s">
        <v>17726</v>
      </c>
    </row>
    <row r="2002">
      <c r="A2002" s="234" t="s">
        <v>19371</v>
      </c>
      <c r="B2002" s="71" t="s">
        <v>175</v>
      </c>
      <c r="C2002" s="71" t="s">
        <v>16861</v>
      </c>
    </row>
    <row r="2003">
      <c r="A2003" s="234" t="s">
        <v>19371</v>
      </c>
      <c r="B2003" s="71" t="s">
        <v>16861</v>
      </c>
      <c r="C2003" s="71" t="s">
        <v>175</v>
      </c>
    </row>
    <row r="2004">
      <c r="A2004" s="130" t="s">
        <v>19373</v>
      </c>
      <c r="B2004" s="71" t="s">
        <v>16838</v>
      </c>
      <c r="C2004" s="71" t="s">
        <v>17019</v>
      </c>
    </row>
    <row r="2005">
      <c r="A2005" s="234" t="s">
        <v>19375</v>
      </c>
      <c r="B2005" s="71" t="s">
        <v>16945</v>
      </c>
      <c r="C2005" s="71" t="s">
        <v>169</v>
      </c>
    </row>
    <row r="2006">
      <c r="A2006" s="234" t="s">
        <v>19375</v>
      </c>
      <c r="B2006" s="71" t="s">
        <v>169</v>
      </c>
      <c r="C2006" s="71" t="s">
        <v>16945</v>
      </c>
    </row>
    <row r="2007">
      <c r="A2007" s="130" t="s">
        <v>19377</v>
      </c>
      <c r="B2007" s="71" t="s">
        <v>175</v>
      </c>
      <c r="C2007" s="71" t="s">
        <v>16890</v>
      </c>
    </row>
    <row r="2008">
      <c r="A2008" s="130" t="s">
        <v>19379</v>
      </c>
      <c r="B2008" s="71" t="s">
        <v>16838</v>
      </c>
      <c r="C2008" s="71" t="s">
        <v>16867</v>
      </c>
    </row>
    <row r="2009">
      <c r="A2009" s="234" t="s">
        <v>19381</v>
      </c>
      <c r="B2009" s="71" t="s">
        <v>169</v>
      </c>
      <c r="C2009" s="71" t="s">
        <v>16899</v>
      </c>
    </row>
    <row r="2010">
      <c r="A2010" s="234" t="s">
        <v>19381</v>
      </c>
      <c r="B2010" s="71" t="s">
        <v>16899</v>
      </c>
      <c r="C2010" s="71" t="s">
        <v>169</v>
      </c>
    </row>
    <row r="2011">
      <c r="A2011" s="234" t="s">
        <v>19383</v>
      </c>
      <c r="B2011" s="71" t="s">
        <v>175</v>
      </c>
      <c r="C2011" s="71" t="s">
        <v>17233</v>
      </c>
    </row>
    <row r="2012">
      <c r="A2012" s="234" t="s">
        <v>19383</v>
      </c>
      <c r="B2012" s="71" t="s">
        <v>17233</v>
      </c>
      <c r="C2012" s="71" t="s">
        <v>175</v>
      </c>
    </row>
    <row r="2013">
      <c r="A2013" s="130" t="s">
        <v>19385</v>
      </c>
      <c r="B2013" s="71" t="s">
        <v>169</v>
      </c>
      <c r="C2013" s="71" t="s">
        <v>16899</v>
      </c>
    </row>
    <row r="2014">
      <c r="A2014" s="234" t="s">
        <v>19387</v>
      </c>
      <c r="B2014" s="71" t="s">
        <v>16919</v>
      </c>
      <c r="C2014" s="71" t="s">
        <v>17048</v>
      </c>
    </row>
    <row r="2015">
      <c r="A2015" s="234" t="s">
        <v>19387</v>
      </c>
      <c r="B2015" s="71" t="s">
        <v>17048</v>
      </c>
      <c r="C2015" s="71" t="s">
        <v>16919</v>
      </c>
    </row>
    <row r="2016">
      <c r="A2016" s="130" t="s">
        <v>19389</v>
      </c>
      <c r="B2016" s="71" t="s">
        <v>175</v>
      </c>
      <c r="C2016" s="71" t="s">
        <v>16957</v>
      </c>
    </row>
    <row r="2017">
      <c r="A2017" s="234" t="s">
        <v>19391</v>
      </c>
      <c r="B2017" s="71" t="s">
        <v>175</v>
      </c>
      <c r="C2017" s="71" t="s">
        <v>17350</v>
      </c>
    </row>
    <row r="2018">
      <c r="A2018" s="234" t="s">
        <v>19391</v>
      </c>
      <c r="B2018" s="71" t="s">
        <v>17350</v>
      </c>
      <c r="C2018" s="71" t="s">
        <v>175</v>
      </c>
    </row>
    <row r="2019">
      <c r="A2019" s="130" t="s">
        <v>19393</v>
      </c>
      <c r="B2019" s="71" t="s">
        <v>169</v>
      </c>
      <c r="C2019" s="71" t="s">
        <v>16899</v>
      </c>
    </row>
    <row r="2020">
      <c r="A2020" s="234" t="s">
        <v>19395</v>
      </c>
      <c r="B2020" s="71" t="s">
        <v>175</v>
      </c>
      <c r="C2020" s="71" t="s">
        <v>17218</v>
      </c>
    </row>
    <row r="2021">
      <c r="A2021" s="234" t="s">
        <v>19395</v>
      </c>
      <c r="B2021" s="71" t="s">
        <v>17218</v>
      </c>
      <c r="C2021" s="71" t="s">
        <v>175</v>
      </c>
    </row>
    <row r="2022">
      <c r="A2022" s="234" t="s">
        <v>19397</v>
      </c>
      <c r="B2022" s="71" t="s">
        <v>16582</v>
      </c>
      <c r="C2022" s="71" t="s">
        <v>17183</v>
      </c>
    </row>
    <row r="2023">
      <c r="A2023" s="234" t="s">
        <v>19397</v>
      </c>
      <c r="B2023" s="71" t="s">
        <v>17183</v>
      </c>
      <c r="C2023" s="71" t="s">
        <v>16582</v>
      </c>
    </row>
    <row r="2024">
      <c r="A2024" s="234" t="s">
        <v>19399</v>
      </c>
      <c r="B2024" s="71" t="s">
        <v>17111</v>
      </c>
      <c r="C2024" s="71" t="s">
        <v>17112</v>
      </c>
    </row>
    <row r="2025">
      <c r="A2025" s="234" t="s">
        <v>19399</v>
      </c>
      <c r="B2025" s="71" t="s">
        <v>17112</v>
      </c>
      <c r="C2025" s="71" t="s">
        <v>17111</v>
      </c>
    </row>
    <row r="2026">
      <c r="A2026" s="130" t="s">
        <v>19401</v>
      </c>
      <c r="B2026" s="71" t="s">
        <v>187</v>
      </c>
      <c r="C2026" s="71" t="s">
        <v>16846</v>
      </c>
    </row>
    <row r="2027">
      <c r="A2027" s="234" t="s">
        <v>19403</v>
      </c>
      <c r="B2027" s="71" t="s">
        <v>16582</v>
      </c>
      <c r="C2027" s="71" t="s">
        <v>16930</v>
      </c>
    </row>
    <row r="2028">
      <c r="A2028" s="234" t="s">
        <v>19403</v>
      </c>
      <c r="B2028" s="71" t="s">
        <v>16930</v>
      </c>
      <c r="C2028" s="71" t="s">
        <v>16582</v>
      </c>
    </row>
    <row r="2029">
      <c r="A2029" s="234" t="s">
        <v>19405</v>
      </c>
      <c r="B2029" s="71" t="s">
        <v>16582</v>
      </c>
      <c r="C2029" s="71" t="s">
        <v>16817</v>
      </c>
    </row>
    <row r="2030">
      <c r="A2030" s="234" t="s">
        <v>19405</v>
      </c>
      <c r="B2030" s="71" t="s">
        <v>16817</v>
      </c>
      <c r="C2030" s="71" t="s">
        <v>16582</v>
      </c>
    </row>
    <row r="2031">
      <c r="A2031" s="130" t="s">
        <v>19407</v>
      </c>
      <c r="B2031" s="71" t="s">
        <v>16582</v>
      </c>
      <c r="C2031" s="71" t="s">
        <v>16930</v>
      </c>
    </row>
    <row r="2032">
      <c r="A2032" s="234" t="s">
        <v>19409</v>
      </c>
      <c r="B2032" s="71" t="s">
        <v>17347</v>
      </c>
      <c r="C2032" s="71" t="s">
        <v>16838</v>
      </c>
    </row>
    <row r="2033">
      <c r="A2033" s="234" t="s">
        <v>19409</v>
      </c>
      <c r="B2033" s="71" t="s">
        <v>16838</v>
      </c>
      <c r="C2033" s="71" t="s">
        <v>17347</v>
      </c>
    </row>
    <row r="2034">
      <c r="A2034" s="234" t="s">
        <v>19411</v>
      </c>
      <c r="B2034" s="71" t="s">
        <v>16919</v>
      </c>
      <c r="C2034" s="71" t="s">
        <v>17048</v>
      </c>
    </row>
    <row r="2035">
      <c r="A2035" s="234" t="s">
        <v>19411</v>
      </c>
      <c r="B2035" s="71" t="s">
        <v>17048</v>
      </c>
      <c r="C2035" s="71" t="s">
        <v>16919</v>
      </c>
    </row>
    <row r="2036">
      <c r="A2036" s="234" t="s">
        <v>19413</v>
      </c>
      <c r="B2036" s="71" t="s">
        <v>16945</v>
      </c>
      <c r="C2036" s="71" t="s">
        <v>169</v>
      </c>
    </row>
    <row r="2037">
      <c r="A2037" s="234" t="s">
        <v>19413</v>
      </c>
      <c r="B2037" s="71" t="s">
        <v>169</v>
      </c>
      <c r="C2037" s="71" t="s">
        <v>16945</v>
      </c>
    </row>
    <row r="2038">
      <c r="A2038" s="234" t="s">
        <v>19415</v>
      </c>
      <c r="B2038" s="71" t="s">
        <v>16919</v>
      </c>
      <c r="C2038" s="71" t="s">
        <v>17176</v>
      </c>
    </row>
    <row r="2039">
      <c r="A2039" s="234" t="s">
        <v>19415</v>
      </c>
      <c r="B2039" s="71" t="s">
        <v>17176</v>
      </c>
      <c r="C2039" s="71" t="s">
        <v>16919</v>
      </c>
    </row>
    <row r="2040">
      <c r="A2040" s="234" t="s">
        <v>19417</v>
      </c>
      <c r="B2040" s="71" t="s">
        <v>16945</v>
      </c>
      <c r="C2040" s="71" t="s">
        <v>169</v>
      </c>
    </row>
    <row r="2041">
      <c r="A2041" s="234" t="s">
        <v>19417</v>
      </c>
      <c r="B2041" s="71" t="s">
        <v>169</v>
      </c>
      <c r="C2041" s="71" t="s">
        <v>16945</v>
      </c>
    </row>
    <row r="2042">
      <c r="A2042" s="234" t="s">
        <v>19419</v>
      </c>
      <c r="B2042" s="71" t="s">
        <v>158</v>
      </c>
      <c r="C2042" s="71" t="s">
        <v>16864</v>
      </c>
    </row>
    <row r="2043">
      <c r="A2043" s="234" t="s">
        <v>19419</v>
      </c>
      <c r="B2043" s="71" t="s">
        <v>16864</v>
      </c>
      <c r="C2043" s="71" t="s">
        <v>158</v>
      </c>
    </row>
    <row r="2044">
      <c r="A2044" s="234" t="s">
        <v>19421</v>
      </c>
      <c r="B2044" s="71" t="s">
        <v>17495</v>
      </c>
      <c r="C2044" s="71" t="s">
        <v>169</v>
      </c>
    </row>
    <row r="2045">
      <c r="A2045" s="234" t="s">
        <v>19421</v>
      </c>
      <c r="B2045" s="71" t="s">
        <v>169</v>
      </c>
      <c r="C2045" s="71" t="s">
        <v>17495</v>
      </c>
    </row>
    <row r="2046">
      <c r="A2046" s="234" t="s">
        <v>19423</v>
      </c>
      <c r="B2046" s="71" t="s">
        <v>16582</v>
      </c>
      <c r="C2046" s="71" t="s">
        <v>17435</v>
      </c>
    </row>
    <row r="2047">
      <c r="A2047" s="234" t="s">
        <v>19423</v>
      </c>
      <c r="B2047" s="71" t="s">
        <v>17435</v>
      </c>
      <c r="C2047" s="71" t="s">
        <v>16582</v>
      </c>
    </row>
    <row r="2048">
      <c r="A2048" s="234" t="s">
        <v>19425</v>
      </c>
      <c r="B2048" s="71" t="s">
        <v>16582</v>
      </c>
      <c r="C2048" s="71" t="s">
        <v>16930</v>
      </c>
    </row>
    <row r="2049">
      <c r="A2049" s="234" t="s">
        <v>19425</v>
      </c>
      <c r="B2049" s="71" t="s">
        <v>16930</v>
      </c>
      <c r="C2049" s="71" t="s">
        <v>16582</v>
      </c>
    </row>
    <row r="2050">
      <c r="A2050" s="234" t="s">
        <v>19427</v>
      </c>
      <c r="B2050" s="71" t="s">
        <v>17112</v>
      </c>
      <c r="C2050" s="71" t="s">
        <v>16838</v>
      </c>
    </row>
    <row r="2051">
      <c r="A2051" s="234" t="s">
        <v>19427</v>
      </c>
      <c r="B2051" s="71" t="s">
        <v>16838</v>
      </c>
      <c r="C2051" s="71" t="s">
        <v>17112</v>
      </c>
    </row>
    <row r="2052">
      <c r="A2052" s="234" t="s">
        <v>19429</v>
      </c>
      <c r="B2052" s="71" t="s">
        <v>175</v>
      </c>
      <c r="C2052" s="71" t="s">
        <v>17457</v>
      </c>
    </row>
    <row r="2053">
      <c r="A2053" s="234" t="s">
        <v>19429</v>
      </c>
      <c r="B2053" s="71" t="s">
        <v>17457</v>
      </c>
      <c r="C2053" s="71" t="s">
        <v>175</v>
      </c>
    </row>
    <row r="2054">
      <c r="A2054" s="234" t="s">
        <v>19431</v>
      </c>
      <c r="B2054" s="71" t="s">
        <v>175</v>
      </c>
      <c r="C2054" s="71" t="s">
        <v>17318</v>
      </c>
    </row>
    <row r="2055">
      <c r="A2055" s="234" t="s">
        <v>19431</v>
      </c>
      <c r="B2055" s="71" t="s">
        <v>17318</v>
      </c>
      <c r="C2055" s="71" t="s">
        <v>175</v>
      </c>
    </row>
    <row r="2056">
      <c r="A2056" s="234" t="s">
        <v>19433</v>
      </c>
      <c r="B2056" s="71" t="s">
        <v>175</v>
      </c>
      <c r="C2056" s="71" t="s">
        <v>16854</v>
      </c>
    </row>
    <row r="2057">
      <c r="A2057" s="234" t="s">
        <v>19433</v>
      </c>
      <c r="B2057" s="71" t="s">
        <v>16854</v>
      </c>
      <c r="C2057" s="71" t="s">
        <v>175</v>
      </c>
    </row>
    <row r="2058">
      <c r="A2058" s="130" t="s">
        <v>19435</v>
      </c>
      <c r="B2058" s="71" t="s">
        <v>175</v>
      </c>
      <c r="C2058" s="71" t="s">
        <v>17318</v>
      </c>
    </row>
    <row r="2059">
      <c r="A2059" s="130" t="s">
        <v>19437</v>
      </c>
      <c r="B2059" s="71" t="s">
        <v>16910</v>
      </c>
      <c r="C2059" s="71" t="s">
        <v>17119</v>
      </c>
    </row>
    <row r="2060">
      <c r="A2060" s="130" t="s">
        <v>19439</v>
      </c>
      <c r="B2060" s="71" t="s">
        <v>16838</v>
      </c>
      <c r="C2060" s="71" t="s">
        <v>16867</v>
      </c>
    </row>
    <row r="2061">
      <c r="A2061" s="130" t="s">
        <v>19441</v>
      </c>
      <c r="B2061" s="71" t="s">
        <v>16582</v>
      </c>
      <c r="C2061" s="71" t="s">
        <v>16930</v>
      </c>
    </row>
    <row r="2062">
      <c r="A2062" s="234" t="s">
        <v>19443</v>
      </c>
      <c r="B2062" s="71" t="s">
        <v>19444</v>
      </c>
      <c r="C2062" s="71" t="s">
        <v>187</v>
      </c>
    </row>
    <row r="2063">
      <c r="A2063" s="234" t="s">
        <v>19443</v>
      </c>
      <c r="B2063" s="71" t="s">
        <v>187</v>
      </c>
      <c r="C2063" s="71" t="s">
        <v>19444</v>
      </c>
    </row>
    <row r="2064">
      <c r="A2064" s="130" t="s">
        <v>19446</v>
      </c>
      <c r="B2064" s="71" t="s">
        <v>187</v>
      </c>
      <c r="C2064" s="71" t="s">
        <v>17122</v>
      </c>
    </row>
    <row r="2065">
      <c r="A2065" s="234" t="s">
        <v>19448</v>
      </c>
      <c r="B2065" s="71" t="s">
        <v>16838</v>
      </c>
      <c r="C2065" s="71" t="s">
        <v>17127</v>
      </c>
    </row>
    <row r="2066">
      <c r="A2066" s="234" t="s">
        <v>19448</v>
      </c>
      <c r="B2066" s="71" t="s">
        <v>17127</v>
      </c>
      <c r="C2066" s="71" t="s">
        <v>16838</v>
      </c>
    </row>
    <row r="2067">
      <c r="A2067" s="234" t="s">
        <v>19450</v>
      </c>
      <c r="B2067" s="71" t="s">
        <v>175</v>
      </c>
      <c r="C2067" s="71" t="s">
        <v>18500</v>
      </c>
    </row>
    <row r="2068">
      <c r="A2068" s="234" t="s">
        <v>19450</v>
      </c>
      <c r="B2068" s="71" t="s">
        <v>18500</v>
      </c>
      <c r="C2068" s="71" t="s">
        <v>175</v>
      </c>
    </row>
    <row r="2069">
      <c r="A2069" s="130" t="s">
        <v>19452</v>
      </c>
      <c r="B2069" s="71" t="s">
        <v>187</v>
      </c>
      <c r="C2069" s="71" t="s">
        <v>16846</v>
      </c>
    </row>
    <row r="2070">
      <c r="A2070" s="130" t="s">
        <v>19454</v>
      </c>
      <c r="B2070" s="71" t="s">
        <v>16582</v>
      </c>
      <c r="C2070" s="71" t="s">
        <v>16817</v>
      </c>
    </row>
    <row r="2071">
      <c r="A2071" s="234" t="s">
        <v>19456</v>
      </c>
      <c r="B2071" s="71" t="s">
        <v>17111</v>
      </c>
      <c r="C2071" s="71" t="s">
        <v>17112</v>
      </c>
    </row>
    <row r="2072">
      <c r="A2072" s="234" t="s">
        <v>19456</v>
      </c>
      <c r="B2072" s="71" t="s">
        <v>17112</v>
      </c>
      <c r="C2072" s="71" t="s">
        <v>17111</v>
      </c>
    </row>
    <row r="2073">
      <c r="A2073" s="234" t="s">
        <v>19458</v>
      </c>
      <c r="B2073" s="71" t="s">
        <v>16582</v>
      </c>
      <c r="C2073" s="71" t="s">
        <v>16930</v>
      </c>
    </row>
    <row r="2074">
      <c r="A2074" s="234" t="s">
        <v>19458</v>
      </c>
      <c r="B2074" s="71" t="s">
        <v>16930</v>
      </c>
      <c r="C2074" s="71" t="s">
        <v>16582</v>
      </c>
    </row>
    <row r="2075">
      <c r="A2075" s="130" t="s">
        <v>19460</v>
      </c>
      <c r="B2075" s="71" t="s">
        <v>16919</v>
      </c>
      <c r="C2075" s="71" t="s">
        <v>110</v>
      </c>
    </row>
    <row r="2076">
      <c r="A2076" s="234" t="s">
        <v>19462</v>
      </c>
      <c r="B2076" s="71"/>
      <c r="C2076" s="71"/>
    </row>
    <row r="2077">
      <c r="A2077" s="234" t="s">
        <v>19462</v>
      </c>
      <c r="B2077" s="71"/>
      <c r="C2077" s="71"/>
    </row>
    <row r="2078">
      <c r="A2078" s="130" t="s">
        <v>19464</v>
      </c>
      <c r="B2078" s="71" t="s">
        <v>16910</v>
      </c>
      <c r="C2078" s="71" t="s">
        <v>16911</v>
      </c>
    </row>
    <row r="2079">
      <c r="A2079" s="234" t="s">
        <v>19466</v>
      </c>
      <c r="B2079" s="71" t="s">
        <v>175</v>
      </c>
      <c r="C2079" s="71" t="s">
        <v>17233</v>
      </c>
    </row>
    <row r="2080">
      <c r="A2080" s="234" t="s">
        <v>19466</v>
      </c>
      <c r="B2080" s="71" t="s">
        <v>17233</v>
      </c>
      <c r="C2080" s="71" t="s">
        <v>175</v>
      </c>
    </row>
    <row r="2081">
      <c r="A2081" s="234" t="s">
        <v>19468</v>
      </c>
      <c r="B2081" s="71" t="s">
        <v>16838</v>
      </c>
      <c r="C2081" s="71" t="s">
        <v>17384</v>
      </c>
    </row>
    <row r="2082">
      <c r="A2082" s="234" t="s">
        <v>19468</v>
      </c>
      <c r="B2082" s="71" t="s">
        <v>17384</v>
      </c>
      <c r="C2082" s="71" t="s">
        <v>16838</v>
      </c>
    </row>
    <row r="2083">
      <c r="A2083" s="130" t="s">
        <v>19470</v>
      </c>
      <c r="B2083" s="71" t="s">
        <v>16838</v>
      </c>
      <c r="C2083" s="71" t="s">
        <v>17112</v>
      </c>
    </row>
    <row r="2084">
      <c r="A2084" s="234" t="s">
        <v>19472</v>
      </c>
      <c r="B2084" s="71" t="s">
        <v>16945</v>
      </c>
      <c r="C2084" s="71" t="s">
        <v>169</v>
      </c>
    </row>
    <row r="2085">
      <c r="A2085" s="234" t="s">
        <v>19472</v>
      </c>
      <c r="B2085" s="71" t="s">
        <v>169</v>
      </c>
      <c r="C2085" s="71" t="s">
        <v>16945</v>
      </c>
    </row>
    <row r="2086">
      <c r="A2086" s="234" t="s">
        <v>19474</v>
      </c>
      <c r="B2086" s="71" t="s">
        <v>16838</v>
      </c>
      <c r="C2086" s="71" t="s">
        <v>17202</v>
      </c>
    </row>
    <row r="2087">
      <c r="A2087" s="234" t="s">
        <v>19474</v>
      </c>
      <c r="B2087" s="71" t="s">
        <v>17202</v>
      </c>
      <c r="C2087" s="71" t="s">
        <v>16838</v>
      </c>
    </row>
    <row r="2088">
      <c r="A2088" s="234" t="s">
        <v>19476</v>
      </c>
      <c r="B2088" s="71" t="s">
        <v>17016</v>
      </c>
      <c r="C2088" s="71" t="s">
        <v>16838</v>
      </c>
    </row>
    <row r="2089">
      <c r="A2089" s="234" t="s">
        <v>19476</v>
      </c>
      <c r="B2089" s="71" t="s">
        <v>16838</v>
      </c>
      <c r="C2089" s="71" t="s">
        <v>17016</v>
      </c>
    </row>
    <row r="2090">
      <c r="A2090" s="130" t="s">
        <v>19478</v>
      </c>
      <c r="B2090" s="71" t="s">
        <v>16926</v>
      </c>
      <c r="C2090" s="71" t="s">
        <v>16957</v>
      </c>
    </row>
    <row r="2091">
      <c r="A2091" s="130" t="s">
        <v>19480</v>
      </c>
      <c r="B2091" s="71" t="s">
        <v>175</v>
      </c>
      <c r="C2091" s="71" t="s">
        <v>17168</v>
      </c>
    </row>
    <row r="2092">
      <c r="A2092" s="234" t="s">
        <v>19482</v>
      </c>
      <c r="B2092" s="71" t="s">
        <v>16919</v>
      </c>
      <c r="C2092" s="71" t="s">
        <v>17048</v>
      </c>
    </row>
    <row r="2093">
      <c r="A2093" s="234" t="s">
        <v>19482</v>
      </c>
      <c r="B2093" s="71" t="s">
        <v>17048</v>
      </c>
      <c r="C2093" s="71" t="s">
        <v>16919</v>
      </c>
    </row>
    <row r="2094">
      <c r="A2094" s="130" t="s">
        <v>19484</v>
      </c>
      <c r="B2094" s="71" t="s">
        <v>175</v>
      </c>
      <c r="C2094" s="71" t="s">
        <v>16854</v>
      </c>
    </row>
    <row r="2095">
      <c r="A2095" s="130" t="s">
        <v>19486</v>
      </c>
      <c r="B2095" s="71" t="s">
        <v>16838</v>
      </c>
      <c r="C2095" s="71" t="s">
        <v>17104</v>
      </c>
    </row>
    <row r="2096">
      <c r="A2096" s="130" t="s">
        <v>19488</v>
      </c>
      <c r="B2096" s="71"/>
      <c r="C2096" s="71"/>
    </row>
    <row r="2097">
      <c r="A2097" s="130" t="s">
        <v>19490</v>
      </c>
      <c r="B2097" s="71" t="s">
        <v>175</v>
      </c>
      <c r="C2097" s="71" t="s">
        <v>17069</v>
      </c>
    </row>
    <row r="2098">
      <c r="A2098" s="234" t="s">
        <v>19492</v>
      </c>
      <c r="B2098" s="71" t="s">
        <v>158</v>
      </c>
      <c r="C2098" s="71" t="s">
        <v>16864</v>
      </c>
    </row>
    <row r="2099">
      <c r="A2099" s="234" t="s">
        <v>19492</v>
      </c>
      <c r="B2099" s="71" t="s">
        <v>16864</v>
      </c>
      <c r="C2099" s="71" t="s">
        <v>158</v>
      </c>
    </row>
    <row r="2100">
      <c r="A2100" s="234" t="s">
        <v>19494</v>
      </c>
      <c r="B2100" s="71" t="s">
        <v>169</v>
      </c>
      <c r="C2100" s="71" t="s">
        <v>116</v>
      </c>
    </row>
    <row r="2101">
      <c r="A2101" s="234" t="s">
        <v>19494</v>
      </c>
      <c r="B2101" s="71" t="s">
        <v>116</v>
      </c>
      <c r="C2101" s="71" t="s">
        <v>169</v>
      </c>
    </row>
    <row r="2102">
      <c r="A2102" s="234" t="s">
        <v>19496</v>
      </c>
      <c r="B2102" s="71" t="s">
        <v>175</v>
      </c>
      <c r="C2102" s="71" t="s">
        <v>17031</v>
      </c>
    </row>
    <row r="2103">
      <c r="A2103" s="234" t="s">
        <v>19496</v>
      </c>
      <c r="B2103" s="71" t="s">
        <v>17031</v>
      </c>
      <c r="C2103" s="71" t="s">
        <v>175</v>
      </c>
    </row>
    <row r="2104">
      <c r="A2104" s="234" t="s">
        <v>19498</v>
      </c>
      <c r="B2104" s="71" t="s">
        <v>16969</v>
      </c>
      <c r="C2104" s="71" t="s">
        <v>187</v>
      </c>
    </row>
    <row r="2105">
      <c r="A2105" s="234" t="s">
        <v>19498</v>
      </c>
      <c r="B2105" s="71" t="s">
        <v>187</v>
      </c>
      <c r="C2105" s="71" t="s">
        <v>16969</v>
      </c>
    </row>
    <row r="2106">
      <c r="A2106" s="130" t="s">
        <v>19500</v>
      </c>
      <c r="B2106" s="71" t="s">
        <v>187</v>
      </c>
      <c r="C2106" s="71" t="s">
        <v>16846</v>
      </c>
    </row>
    <row r="2107">
      <c r="A2107" s="234" t="s">
        <v>19502</v>
      </c>
      <c r="B2107" s="71" t="s">
        <v>16582</v>
      </c>
      <c r="C2107" s="71" t="s">
        <v>16930</v>
      </c>
    </row>
    <row r="2108">
      <c r="A2108" s="234" t="s">
        <v>19502</v>
      </c>
      <c r="B2108" s="71" t="s">
        <v>16930</v>
      </c>
      <c r="C2108" s="71" t="s">
        <v>16582</v>
      </c>
    </row>
    <row r="2109">
      <c r="A2109" s="234" t="s">
        <v>19504</v>
      </c>
      <c r="B2109" s="71" t="s">
        <v>16910</v>
      </c>
      <c r="C2109" s="71" t="s">
        <v>17119</v>
      </c>
    </row>
    <row r="2110">
      <c r="A2110" s="234" t="s">
        <v>19504</v>
      </c>
      <c r="B2110" s="71" t="s">
        <v>17119</v>
      </c>
      <c r="C2110" s="71" t="s">
        <v>16910</v>
      </c>
    </row>
    <row r="2111">
      <c r="A2111" s="234" t="s">
        <v>19506</v>
      </c>
      <c r="B2111" s="71" t="s">
        <v>169</v>
      </c>
      <c r="C2111" s="71" t="s">
        <v>17475</v>
      </c>
    </row>
    <row r="2112">
      <c r="A2112" s="234" t="s">
        <v>19506</v>
      </c>
      <c r="B2112" s="71" t="s">
        <v>17475</v>
      </c>
      <c r="C2112" s="71" t="s">
        <v>169</v>
      </c>
    </row>
    <row r="2113">
      <c r="A2113" s="234" t="s">
        <v>19508</v>
      </c>
      <c r="B2113" s="71" t="s">
        <v>17321</v>
      </c>
      <c r="C2113" s="71" t="s">
        <v>169</v>
      </c>
    </row>
    <row r="2114">
      <c r="A2114" s="234" t="s">
        <v>19508</v>
      </c>
      <c r="B2114" s="71" t="s">
        <v>169</v>
      </c>
      <c r="C2114" s="71" t="s">
        <v>17321</v>
      </c>
    </row>
    <row r="2115">
      <c r="A2115" s="130" t="s">
        <v>19510</v>
      </c>
      <c r="B2115" s="71" t="s">
        <v>187</v>
      </c>
      <c r="C2115" s="71" t="s">
        <v>17564</v>
      </c>
    </row>
    <row r="2116">
      <c r="A2116" s="130" t="s">
        <v>19512</v>
      </c>
      <c r="B2116" s="71" t="s">
        <v>175</v>
      </c>
      <c r="C2116" s="71" t="s">
        <v>16842</v>
      </c>
    </row>
    <row r="2117">
      <c r="A2117" s="234" t="s">
        <v>19514</v>
      </c>
      <c r="B2117" s="71" t="s">
        <v>17111</v>
      </c>
      <c r="C2117" s="71" t="s">
        <v>17112</v>
      </c>
    </row>
    <row r="2118">
      <c r="A2118" s="234" t="s">
        <v>19514</v>
      </c>
      <c r="B2118" s="71" t="s">
        <v>17112</v>
      </c>
      <c r="C2118" s="71" t="s">
        <v>17111</v>
      </c>
    </row>
    <row r="2119">
      <c r="A2119" s="234" t="s">
        <v>19516</v>
      </c>
      <c r="B2119" s="71" t="s">
        <v>16919</v>
      </c>
      <c r="C2119" s="71" t="s">
        <v>17048</v>
      </c>
    </row>
    <row r="2120">
      <c r="A2120" s="234" t="s">
        <v>19516</v>
      </c>
      <c r="B2120" s="71" t="s">
        <v>17048</v>
      </c>
      <c r="C2120" s="71" t="s">
        <v>16919</v>
      </c>
    </row>
    <row r="2121">
      <c r="A2121" s="130" t="s">
        <v>19518</v>
      </c>
      <c r="B2121" s="71" t="s">
        <v>175</v>
      </c>
      <c r="C2121" s="71" t="s">
        <v>16939</v>
      </c>
    </row>
    <row r="2122">
      <c r="A2122" s="234" t="s">
        <v>19520</v>
      </c>
      <c r="B2122" s="71" t="s">
        <v>16582</v>
      </c>
      <c r="C2122" s="71" t="s">
        <v>16817</v>
      </c>
    </row>
    <row r="2123">
      <c r="A2123" s="234" t="s">
        <v>19520</v>
      </c>
      <c r="B2123" s="71" t="s">
        <v>16817</v>
      </c>
      <c r="C2123" s="71" t="s">
        <v>16582</v>
      </c>
    </row>
    <row r="2124">
      <c r="A2124" s="130" t="s">
        <v>19522</v>
      </c>
      <c r="B2124" s="71" t="s">
        <v>16582</v>
      </c>
      <c r="C2124" s="71" t="s">
        <v>16817</v>
      </c>
    </row>
    <row r="2125">
      <c r="A2125" s="130" t="s">
        <v>19524</v>
      </c>
      <c r="B2125" s="71" t="s">
        <v>175</v>
      </c>
      <c r="C2125" s="71" t="s">
        <v>17218</v>
      </c>
    </row>
    <row r="2126">
      <c r="A2126" s="234" t="s">
        <v>19526</v>
      </c>
      <c r="B2126" s="71" t="s">
        <v>16582</v>
      </c>
      <c r="C2126" s="71" t="s">
        <v>17435</v>
      </c>
    </row>
    <row r="2127">
      <c r="A2127" s="234" t="s">
        <v>19526</v>
      </c>
      <c r="B2127" s="71" t="s">
        <v>17435</v>
      </c>
      <c r="C2127" s="71" t="s">
        <v>16582</v>
      </c>
    </row>
    <row r="2128">
      <c r="A2128" s="234" t="s">
        <v>19528</v>
      </c>
      <c r="B2128" s="71" t="s">
        <v>16919</v>
      </c>
      <c r="C2128" s="71" t="s">
        <v>16920</v>
      </c>
    </row>
    <row r="2129">
      <c r="A2129" s="234" t="s">
        <v>19528</v>
      </c>
      <c r="B2129" s="71" t="s">
        <v>16920</v>
      </c>
      <c r="C2129" s="71" t="s">
        <v>16919</v>
      </c>
    </row>
    <row r="2130">
      <c r="A2130" s="234" t="s">
        <v>19530</v>
      </c>
      <c r="B2130" s="71" t="s">
        <v>16919</v>
      </c>
      <c r="C2130" s="71" t="s">
        <v>17176</v>
      </c>
    </row>
    <row r="2131">
      <c r="A2131" s="234" t="s">
        <v>19530</v>
      </c>
      <c r="B2131" s="71" t="s">
        <v>17176</v>
      </c>
      <c r="C2131" s="71" t="s">
        <v>16919</v>
      </c>
    </row>
    <row r="2132">
      <c r="A2132" s="130" t="s">
        <v>19532</v>
      </c>
      <c r="B2132" s="71" t="s">
        <v>16582</v>
      </c>
      <c r="C2132" s="71" t="s">
        <v>16899</v>
      </c>
    </row>
    <row r="2133">
      <c r="A2133" s="234" t="s">
        <v>16346</v>
      </c>
      <c r="B2133" s="71" t="s">
        <v>175</v>
      </c>
      <c r="C2133" s="71" t="s">
        <v>17480</v>
      </c>
    </row>
    <row r="2134">
      <c r="A2134" s="234" t="s">
        <v>16346</v>
      </c>
      <c r="B2134" s="71" t="s">
        <v>17480</v>
      </c>
      <c r="C2134" s="71" t="s">
        <v>175</v>
      </c>
    </row>
    <row r="2135">
      <c r="A2135" s="130" t="s">
        <v>19535</v>
      </c>
      <c r="B2135" s="71" t="s">
        <v>16838</v>
      </c>
      <c r="C2135" s="71" t="s">
        <v>17202</v>
      </c>
    </row>
    <row r="2136">
      <c r="A2136" s="130" t="s">
        <v>19537</v>
      </c>
      <c r="B2136" s="71" t="s">
        <v>16838</v>
      </c>
      <c r="C2136" s="71" t="s">
        <v>16867</v>
      </c>
    </row>
    <row r="2137">
      <c r="A2137" s="234" t="s">
        <v>19539</v>
      </c>
      <c r="B2137" s="71" t="s">
        <v>175</v>
      </c>
      <c r="C2137" s="71" t="s">
        <v>16854</v>
      </c>
    </row>
    <row r="2138">
      <c r="A2138" s="234" t="s">
        <v>19539</v>
      </c>
      <c r="B2138" s="71" t="s">
        <v>16854</v>
      </c>
      <c r="C2138" s="71" t="s">
        <v>175</v>
      </c>
    </row>
    <row r="2139">
      <c r="A2139" s="234" t="s">
        <v>19541</v>
      </c>
      <c r="B2139" s="71" t="s">
        <v>16945</v>
      </c>
      <c r="C2139" s="71" t="s">
        <v>169</v>
      </c>
    </row>
    <row r="2140">
      <c r="A2140" s="234" t="s">
        <v>19541</v>
      </c>
      <c r="B2140" s="71" t="s">
        <v>169</v>
      </c>
      <c r="C2140" s="71" t="s">
        <v>16945</v>
      </c>
    </row>
    <row r="2141">
      <c r="A2141" s="234" t="s">
        <v>19543</v>
      </c>
      <c r="B2141" s="71" t="s">
        <v>18732</v>
      </c>
      <c r="C2141" s="71" t="s">
        <v>169</v>
      </c>
    </row>
    <row r="2142">
      <c r="A2142" s="234" t="s">
        <v>19543</v>
      </c>
      <c r="B2142" s="71" t="s">
        <v>169</v>
      </c>
      <c r="C2142" s="71" t="s">
        <v>18732</v>
      </c>
    </row>
    <row r="2143">
      <c r="A2143" s="234" t="s">
        <v>19545</v>
      </c>
      <c r="B2143" s="71" t="s">
        <v>158</v>
      </c>
      <c r="C2143" s="71" t="s">
        <v>16864</v>
      </c>
    </row>
    <row r="2144">
      <c r="A2144" s="234" t="s">
        <v>19545</v>
      </c>
      <c r="B2144" s="71" t="s">
        <v>16864</v>
      </c>
      <c r="C2144" s="71" t="s">
        <v>158</v>
      </c>
    </row>
    <row r="2145">
      <c r="A2145" s="130" t="s">
        <v>19547</v>
      </c>
      <c r="B2145" s="71" t="s">
        <v>16838</v>
      </c>
      <c r="C2145" s="71" t="s">
        <v>16837</v>
      </c>
    </row>
    <row r="2146">
      <c r="A2146" s="130" t="s">
        <v>19549</v>
      </c>
      <c r="B2146" s="71" t="s">
        <v>187</v>
      </c>
      <c r="C2146" s="71" t="s">
        <v>16858</v>
      </c>
    </row>
    <row r="2147">
      <c r="A2147" s="130" t="s">
        <v>19551</v>
      </c>
      <c r="B2147" s="71" t="s">
        <v>16582</v>
      </c>
      <c r="C2147" s="71" t="s">
        <v>16828</v>
      </c>
    </row>
    <row r="2148">
      <c r="A2148" s="234" t="s">
        <v>19553</v>
      </c>
      <c r="B2148" s="71" t="s">
        <v>16838</v>
      </c>
      <c r="C2148" s="71" t="s">
        <v>17347</v>
      </c>
    </row>
    <row r="2149">
      <c r="A2149" s="234" t="s">
        <v>19553</v>
      </c>
      <c r="B2149" s="71" t="s">
        <v>17347</v>
      </c>
      <c r="C2149" s="71" t="s">
        <v>16838</v>
      </c>
    </row>
    <row r="2150">
      <c r="A2150" s="234" t="s">
        <v>19555</v>
      </c>
      <c r="B2150" s="71" t="s">
        <v>16919</v>
      </c>
      <c r="C2150" s="71" t="s">
        <v>17048</v>
      </c>
    </row>
    <row r="2151">
      <c r="A2151" s="234" t="s">
        <v>19555</v>
      </c>
      <c r="B2151" s="71" t="s">
        <v>17048</v>
      </c>
      <c r="C2151" s="71" t="s">
        <v>16919</v>
      </c>
    </row>
    <row r="2152">
      <c r="A2152" s="234" t="s">
        <v>19557</v>
      </c>
      <c r="B2152" s="71" t="s">
        <v>16582</v>
      </c>
      <c r="C2152" s="71" t="s">
        <v>16930</v>
      </c>
    </row>
    <row r="2153">
      <c r="A2153" s="234" t="s">
        <v>19557</v>
      </c>
      <c r="B2153" s="71" t="s">
        <v>16930</v>
      </c>
      <c r="C2153" s="71" t="s">
        <v>16582</v>
      </c>
    </row>
    <row r="2154">
      <c r="A2154" s="234" t="s">
        <v>19559</v>
      </c>
      <c r="B2154" s="71" t="s">
        <v>17111</v>
      </c>
      <c r="C2154" s="71" t="s">
        <v>17112</v>
      </c>
    </row>
    <row r="2155">
      <c r="A2155" s="234" t="s">
        <v>19559</v>
      </c>
      <c r="B2155" s="71" t="s">
        <v>17112</v>
      </c>
      <c r="C2155" s="71" t="s">
        <v>17111</v>
      </c>
    </row>
    <row r="2156">
      <c r="A2156" s="130" t="s">
        <v>19561</v>
      </c>
      <c r="B2156" s="71" t="s">
        <v>187</v>
      </c>
      <c r="C2156" s="71" t="s">
        <v>16858</v>
      </c>
    </row>
    <row r="2157">
      <c r="A2157" s="130" t="s">
        <v>19563</v>
      </c>
      <c r="B2157" s="71" t="s">
        <v>16582</v>
      </c>
      <c r="C2157" s="71" t="s">
        <v>17183</v>
      </c>
    </row>
    <row r="2158">
      <c r="A2158" s="234" t="s">
        <v>19565</v>
      </c>
      <c r="B2158" s="71" t="s">
        <v>17321</v>
      </c>
      <c r="C2158" s="71" t="s">
        <v>169</v>
      </c>
    </row>
    <row r="2159">
      <c r="A2159" s="234" t="s">
        <v>19565</v>
      </c>
      <c r="B2159" s="71" t="s">
        <v>169</v>
      </c>
      <c r="C2159" s="71" t="s">
        <v>17321</v>
      </c>
    </row>
    <row r="2160">
      <c r="A2160" s="234" t="s">
        <v>19567</v>
      </c>
      <c r="B2160" s="71" t="s">
        <v>16885</v>
      </c>
      <c r="C2160" s="71" t="s">
        <v>18805</v>
      </c>
    </row>
    <row r="2161">
      <c r="A2161" s="234" t="s">
        <v>19567</v>
      </c>
      <c r="B2161" s="71" t="s">
        <v>18805</v>
      </c>
      <c r="C2161" s="71" t="s">
        <v>16885</v>
      </c>
    </row>
    <row r="2162">
      <c r="A2162" s="130" t="s">
        <v>19570</v>
      </c>
      <c r="B2162" s="71" t="s">
        <v>169</v>
      </c>
      <c r="C2162" s="71" t="s">
        <v>17827</v>
      </c>
    </row>
    <row r="2163">
      <c r="A2163" s="234" t="s">
        <v>19572</v>
      </c>
      <c r="B2163" s="71" t="s">
        <v>16867</v>
      </c>
      <c r="C2163" s="71" t="s">
        <v>16838</v>
      </c>
    </row>
    <row r="2164">
      <c r="A2164" s="234" t="s">
        <v>19572</v>
      </c>
      <c r="B2164" s="71" t="s">
        <v>16838</v>
      </c>
      <c r="C2164" s="71" t="s">
        <v>16867</v>
      </c>
    </row>
    <row r="2165">
      <c r="A2165" s="234" t="s">
        <v>19574</v>
      </c>
      <c r="B2165" s="71" t="s">
        <v>169</v>
      </c>
      <c r="C2165" s="71" t="s">
        <v>16899</v>
      </c>
    </row>
    <row r="2166">
      <c r="A2166" s="234" t="s">
        <v>19574</v>
      </c>
      <c r="B2166" s="71" t="s">
        <v>16899</v>
      </c>
      <c r="C2166" s="71" t="s">
        <v>169</v>
      </c>
    </row>
    <row r="2167">
      <c r="A2167" s="234" t="s">
        <v>19576</v>
      </c>
      <c r="B2167" s="71" t="s">
        <v>175</v>
      </c>
      <c r="C2167" s="71" t="s">
        <v>16890</v>
      </c>
    </row>
    <row r="2168">
      <c r="A2168" s="234" t="s">
        <v>19576</v>
      </c>
      <c r="B2168" s="71" t="s">
        <v>16890</v>
      </c>
      <c r="C2168" s="71" t="s">
        <v>175</v>
      </c>
    </row>
    <row r="2169">
      <c r="A2169" s="234" t="s">
        <v>19578</v>
      </c>
      <c r="B2169" s="71" t="s">
        <v>19579</v>
      </c>
      <c r="C2169" s="71" t="s">
        <v>16838</v>
      </c>
    </row>
    <row r="2170">
      <c r="A2170" s="234" t="s">
        <v>19578</v>
      </c>
      <c r="B2170" s="71" t="s">
        <v>16838</v>
      </c>
      <c r="C2170" s="71" t="s">
        <v>19579</v>
      </c>
    </row>
    <row r="2171">
      <c r="A2171" s="234" t="s">
        <v>19581</v>
      </c>
      <c r="B2171" s="71" t="s">
        <v>16919</v>
      </c>
      <c r="C2171" s="71" t="s">
        <v>17048</v>
      </c>
    </row>
    <row r="2172">
      <c r="A2172" s="234" t="s">
        <v>19581</v>
      </c>
      <c r="B2172" s="71" t="s">
        <v>17048</v>
      </c>
      <c r="C2172" s="71" t="s">
        <v>16919</v>
      </c>
    </row>
    <row r="2173">
      <c r="A2173" s="234" t="s">
        <v>19583</v>
      </c>
      <c r="B2173" s="71" t="s">
        <v>16945</v>
      </c>
      <c r="C2173" s="71" t="s">
        <v>169</v>
      </c>
    </row>
    <row r="2174">
      <c r="A2174" s="234" t="s">
        <v>19583</v>
      </c>
      <c r="B2174" s="71" t="s">
        <v>169</v>
      </c>
      <c r="C2174" s="71" t="s">
        <v>16945</v>
      </c>
    </row>
    <row r="2175">
      <c r="A2175" s="130" t="s">
        <v>19585</v>
      </c>
      <c r="B2175" s="71" t="s">
        <v>16910</v>
      </c>
      <c r="C2175" s="71" t="s">
        <v>17648</v>
      </c>
    </row>
    <row r="2176">
      <c r="A2176" s="130" t="s">
        <v>19588</v>
      </c>
      <c r="B2176" s="71" t="s">
        <v>16582</v>
      </c>
      <c r="C2176" s="71" t="s">
        <v>16828</v>
      </c>
    </row>
    <row r="2177">
      <c r="A2177" s="234" t="s">
        <v>19590</v>
      </c>
      <c r="B2177" s="71" t="s">
        <v>175</v>
      </c>
      <c r="C2177" s="71" t="s">
        <v>17394</v>
      </c>
    </row>
    <row r="2178">
      <c r="A2178" s="234" t="s">
        <v>19590</v>
      </c>
      <c r="B2178" s="71" t="s">
        <v>17394</v>
      </c>
      <c r="C2178" s="71" t="s">
        <v>175</v>
      </c>
    </row>
    <row r="2179">
      <c r="A2179" s="234" t="s">
        <v>19592</v>
      </c>
      <c r="B2179" s="71" t="s">
        <v>175</v>
      </c>
      <c r="C2179" s="71" t="s">
        <v>17452</v>
      </c>
    </row>
    <row r="2180">
      <c r="A2180" s="234" t="s">
        <v>19592</v>
      </c>
      <c r="B2180" s="71" t="s">
        <v>17452</v>
      </c>
      <c r="C2180" s="71" t="s">
        <v>175</v>
      </c>
    </row>
    <row r="2181">
      <c r="A2181" s="130" t="s">
        <v>19594</v>
      </c>
      <c r="B2181" s="71" t="s">
        <v>16582</v>
      </c>
      <c r="C2181" s="71" t="s">
        <v>16817</v>
      </c>
    </row>
    <row r="2182">
      <c r="A2182" s="234" t="s">
        <v>19596</v>
      </c>
      <c r="B2182" s="71" t="s">
        <v>16919</v>
      </c>
      <c r="C2182" s="71" t="s">
        <v>16864</v>
      </c>
    </row>
    <row r="2183">
      <c r="A2183" s="234" t="s">
        <v>19596</v>
      </c>
      <c r="B2183" s="71" t="s">
        <v>16864</v>
      </c>
      <c r="C2183" s="71" t="s">
        <v>16919</v>
      </c>
    </row>
    <row r="2184">
      <c r="A2184" s="234" t="s">
        <v>19598</v>
      </c>
      <c r="B2184" s="71" t="s">
        <v>16957</v>
      </c>
      <c r="C2184" s="71" t="s">
        <v>16926</v>
      </c>
    </row>
    <row r="2185">
      <c r="A2185" s="234" t="s">
        <v>19598</v>
      </c>
      <c r="B2185" s="71" t="s">
        <v>16926</v>
      </c>
      <c r="C2185" s="71" t="s">
        <v>16957</v>
      </c>
    </row>
    <row r="2186">
      <c r="A2186" s="234" t="s">
        <v>19600</v>
      </c>
      <c r="B2186" s="71" t="s">
        <v>17016</v>
      </c>
      <c r="C2186" s="71" t="s">
        <v>16838</v>
      </c>
    </row>
    <row r="2187">
      <c r="A2187" s="234" t="s">
        <v>19600</v>
      </c>
      <c r="B2187" s="71" t="s">
        <v>16838</v>
      </c>
      <c r="C2187" s="71" t="s">
        <v>17016</v>
      </c>
    </row>
    <row r="2188">
      <c r="A2188" s="130" t="s">
        <v>19602</v>
      </c>
      <c r="B2188" s="71" t="s">
        <v>169</v>
      </c>
      <c r="C2188" s="71" t="s">
        <v>18903</v>
      </c>
    </row>
    <row r="2189">
      <c r="A2189" s="130" t="s">
        <v>19604</v>
      </c>
      <c r="B2189" s="71" t="s">
        <v>16838</v>
      </c>
      <c r="C2189" s="71" t="s">
        <v>17127</v>
      </c>
    </row>
    <row r="2190">
      <c r="A2190" s="130" t="s">
        <v>19606</v>
      </c>
      <c r="B2190" s="71" t="s">
        <v>17112</v>
      </c>
      <c r="C2190" s="71" t="s">
        <v>17218</v>
      </c>
    </row>
    <row r="2191">
      <c r="A2191" s="234" t="s">
        <v>19608</v>
      </c>
      <c r="B2191" s="71" t="s">
        <v>16910</v>
      </c>
      <c r="C2191" s="71" t="s">
        <v>16911</v>
      </c>
    </row>
    <row r="2192">
      <c r="A2192" s="234" t="s">
        <v>19608</v>
      </c>
      <c r="B2192" s="71" t="s">
        <v>16911</v>
      </c>
      <c r="C2192" s="71" t="s">
        <v>16910</v>
      </c>
    </row>
    <row r="2193">
      <c r="A2193" s="234" t="s">
        <v>19610</v>
      </c>
      <c r="B2193" s="71"/>
      <c r="C2193" s="71"/>
    </row>
    <row r="2194">
      <c r="A2194" s="234" t="s">
        <v>19610</v>
      </c>
      <c r="B2194" s="71"/>
      <c r="C2194" s="71"/>
    </row>
    <row r="2195">
      <c r="A2195" s="234" t="s">
        <v>19612</v>
      </c>
      <c r="B2195" s="71" t="s">
        <v>175</v>
      </c>
      <c r="C2195" s="71" t="s">
        <v>16972</v>
      </c>
    </row>
    <row r="2196">
      <c r="A2196" s="234" t="s">
        <v>19612</v>
      </c>
      <c r="B2196" s="71" t="s">
        <v>16972</v>
      </c>
      <c r="C2196" s="71" t="s">
        <v>175</v>
      </c>
    </row>
    <row r="2197">
      <c r="A2197" s="130" t="s">
        <v>19614</v>
      </c>
      <c r="B2197" s="71" t="s">
        <v>16838</v>
      </c>
      <c r="C2197" s="71" t="s">
        <v>16867</v>
      </c>
    </row>
    <row r="2198">
      <c r="A2198" s="234" t="s">
        <v>19616</v>
      </c>
      <c r="B2198" s="71" t="s">
        <v>17111</v>
      </c>
      <c r="C2198" s="71" t="s">
        <v>17112</v>
      </c>
    </row>
    <row r="2199">
      <c r="A2199" s="234" t="s">
        <v>19616</v>
      </c>
      <c r="B2199" s="71" t="s">
        <v>17112</v>
      </c>
      <c r="C2199" s="71" t="s">
        <v>17111</v>
      </c>
    </row>
    <row r="2200">
      <c r="A2200" s="234" t="s">
        <v>19618</v>
      </c>
      <c r="B2200" s="71" t="s">
        <v>16919</v>
      </c>
      <c r="C2200" s="71" t="s">
        <v>17048</v>
      </c>
    </row>
    <row r="2201">
      <c r="A2201" s="234" t="s">
        <v>19618</v>
      </c>
      <c r="B2201" s="71" t="s">
        <v>17048</v>
      </c>
      <c r="C2201" s="71" t="s">
        <v>16919</v>
      </c>
    </row>
    <row r="2202">
      <c r="A2202" s="234" t="s">
        <v>19620</v>
      </c>
      <c r="B2202" s="71" t="s">
        <v>17127</v>
      </c>
      <c r="C2202" s="71" t="s">
        <v>16838</v>
      </c>
    </row>
    <row r="2203">
      <c r="A2203" s="234" t="s">
        <v>19620</v>
      </c>
      <c r="B2203" s="71" t="s">
        <v>16838</v>
      </c>
      <c r="C2203" s="71" t="s">
        <v>17127</v>
      </c>
    </row>
    <row r="2204">
      <c r="A2204" s="234" t="s">
        <v>19622</v>
      </c>
      <c r="B2204" s="71" t="s">
        <v>17111</v>
      </c>
      <c r="C2204" s="71" t="s">
        <v>17112</v>
      </c>
    </row>
    <row r="2205">
      <c r="A2205" s="234" t="s">
        <v>19622</v>
      </c>
      <c r="B2205" s="71" t="s">
        <v>17112</v>
      </c>
      <c r="C2205" s="71" t="s">
        <v>17111</v>
      </c>
    </row>
    <row r="2206">
      <c r="A2206" s="234" t="s">
        <v>19624</v>
      </c>
      <c r="B2206" s="71" t="s">
        <v>175</v>
      </c>
      <c r="C2206" s="71" t="s">
        <v>17812</v>
      </c>
    </row>
    <row r="2207">
      <c r="A2207" s="234" t="s">
        <v>19624</v>
      </c>
      <c r="B2207" s="71" t="s">
        <v>17812</v>
      </c>
      <c r="C2207" s="71" t="s">
        <v>175</v>
      </c>
    </row>
    <row r="2208">
      <c r="A2208" s="234" t="s">
        <v>19626</v>
      </c>
      <c r="B2208" s="71" t="s">
        <v>158</v>
      </c>
      <c r="C2208" s="71" t="s">
        <v>16870</v>
      </c>
    </row>
    <row r="2209">
      <c r="A2209" s="234" t="s">
        <v>19626</v>
      </c>
      <c r="B2209" s="71" t="s">
        <v>16870</v>
      </c>
      <c r="C2209" s="71" t="s">
        <v>158</v>
      </c>
    </row>
    <row r="2210">
      <c r="A2210" s="234" t="s">
        <v>19628</v>
      </c>
      <c r="B2210" s="71" t="s">
        <v>16582</v>
      </c>
      <c r="C2210" s="71" t="s">
        <v>16828</v>
      </c>
    </row>
    <row r="2211">
      <c r="A2211" s="234" t="s">
        <v>19628</v>
      </c>
      <c r="B2211" s="71" t="s">
        <v>16828</v>
      </c>
      <c r="C2211" s="71" t="s">
        <v>16582</v>
      </c>
    </row>
    <row r="2212">
      <c r="A2212" s="234" t="s">
        <v>19630</v>
      </c>
      <c r="B2212" s="71" t="s">
        <v>17202</v>
      </c>
      <c r="C2212" s="71" t="s">
        <v>16838</v>
      </c>
    </row>
    <row r="2213">
      <c r="A2213" s="234" t="s">
        <v>19630</v>
      </c>
      <c r="B2213" s="71" t="s">
        <v>16838</v>
      </c>
      <c r="C2213" s="71" t="s">
        <v>17202</v>
      </c>
    </row>
    <row r="2214">
      <c r="A2214" s="234" t="s">
        <v>19632</v>
      </c>
      <c r="B2214" s="71" t="s">
        <v>175</v>
      </c>
      <c r="C2214" s="71" t="s">
        <v>17457</v>
      </c>
    </row>
    <row r="2215">
      <c r="A2215" s="234" t="s">
        <v>19632</v>
      </c>
      <c r="B2215" s="71" t="s">
        <v>17457</v>
      </c>
      <c r="C2215" s="71" t="s">
        <v>175</v>
      </c>
    </row>
    <row r="2216">
      <c r="A2216" s="234" t="s">
        <v>19634</v>
      </c>
      <c r="B2216" s="71" t="s">
        <v>16582</v>
      </c>
      <c r="C2216" s="71" t="s">
        <v>16930</v>
      </c>
    </row>
    <row r="2217">
      <c r="A2217" s="234" t="s">
        <v>19634</v>
      </c>
      <c r="B2217" s="71" t="s">
        <v>16930</v>
      </c>
      <c r="C2217" s="71" t="s">
        <v>16582</v>
      </c>
    </row>
    <row r="2218">
      <c r="A2218" s="234" t="s">
        <v>19636</v>
      </c>
      <c r="B2218" s="71" t="s">
        <v>17127</v>
      </c>
      <c r="C2218" s="71" t="s">
        <v>16838</v>
      </c>
    </row>
    <row r="2219">
      <c r="A2219" s="234" t="s">
        <v>19636</v>
      </c>
      <c r="B2219" s="71" t="s">
        <v>16838</v>
      </c>
      <c r="C2219" s="71" t="s">
        <v>17127</v>
      </c>
    </row>
    <row r="2220">
      <c r="A2220" s="234" t="s">
        <v>19637</v>
      </c>
      <c r="B2220" s="71" t="s">
        <v>175</v>
      </c>
      <c r="C2220" s="71" t="s">
        <v>17812</v>
      </c>
    </row>
    <row r="2221">
      <c r="A2221" s="234" t="s">
        <v>19637</v>
      </c>
      <c r="B2221" s="71" t="s">
        <v>17812</v>
      </c>
      <c r="C2221" s="71" t="s">
        <v>175</v>
      </c>
    </row>
    <row r="2222">
      <c r="A2222" s="234" t="s">
        <v>19639</v>
      </c>
      <c r="B2222" s="71" t="s">
        <v>16919</v>
      </c>
      <c r="C2222" s="71" t="s">
        <v>17048</v>
      </c>
    </row>
    <row r="2223">
      <c r="A2223" s="234" t="s">
        <v>19639</v>
      </c>
      <c r="B2223" s="71" t="s">
        <v>17048</v>
      </c>
      <c r="C2223" s="71" t="s">
        <v>16919</v>
      </c>
    </row>
    <row r="2224">
      <c r="A2224" s="130" t="s">
        <v>19641</v>
      </c>
      <c r="B2224" s="71" t="s">
        <v>16582</v>
      </c>
      <c r="C2224" s="71" t="s">
        <v>16828</v>
      </c>
    </row>
    <row r="2225">
      <c r="A2225" s="130" t="s">
        <v>19643</v>
      </c>
      <c r="B2225" s="71" t="s">
        <v>16838</v>
      </c>
      <c r="C2225" s="71" t="s">
        <v>19644</v>
      </c>
    </row>
    <row r="2226">
      <c r="A2226" s="130" t="s">
        <v>19646</v>
      </c>
      <c r="B2226" s="71" t="s">
        <v>175</v>
      </c>
      <c r="C2226" s="71" t="s">
        <v>17321</v>
      </c>
    </row>
    <row r="2227">
      <c r="A2227" s="234" t="s">
        <v>19648</v>
      </c>
      <c r="B2227" s="71" t="s">
        <v>16919</v>
      </c>
      <c r="C2227" s="71" t="s">
        <v>17048</v>
      </c>
    </row>
    <row r="2228">
      <c r="A2228" s="234" t="s">
        <v>19648</v>
      </c>
      <c r="B2228" s="71" t="s">
        <v>17048</v>
      </c>
      <c r="C2228" s="71" t="s">
        <v>16919</v>
      </c>
    </row>
    <row r="2229">
      <c r="A2229" s="130" t="s">
        <v>19650</v>
      </c>
      <c r="B2229" s="71" t="s">
        <v>187</v>
      </c>
      <c r="C2229" s="71" t="s">
        <v>16969</v>
      </c>
    </row>
    <row r="2230">
      <c r="A2230" s="234" t="s">
        <v>19652</v>
      </c>
      <c r="B2230" s="71" t="s">
        <v>16867</v>
      </c>
      <c r="C2230" s="71" t="s">
        <v>16838</v>
      </c>
    </row>
    <row r="2231">
      <c r="A2231" s="234" t="s">
        <v>19652</v>
      </c>
      <c r="B2231" s="71" t="s">
        <v>16838</v>
      </c>
      <c r="C2231" s="71" t="s">
        <v>16867</v>
      </c>
    </row>
    <row r="2232">
      <c r="A2232" s="130" t="s">
        <v>19654</v>
      </c>
      <c r="B2232" s="71" t="s">
        <v>17112</v>
      </c>
      <c r="C2232" s="71" t="s">
        <v>17111</v>
      </c>
    </row>
    <row r="2233">
      <c r="A2233" s="234" t="s">
        <v>19656</v>
      </c>
      <c r="B2233" s="71" t="s">
        <v>16867</v>
      </c>
      <c r="C2233" s="71" t="s">
        <v>16838</v>
      </c>
    </row>
    <row r="2234">
      <c r="A2234" s="234" t="s">
        <v>19656</v>
      </c>
      <c r="B2234" s="71" t="s">
        <v>16838</v>
      </c>
      <c r="C2234" s="71" t="s">
        <v>16867</v>
      </c>
    </row>
    <row r="2235">
      <c r="A2235" s="130" t="s">
        <v>19658</v>
      </c>
      <c r="B2235" s="71" t="s">
        <v>16838</v>
      </c>
      <c r="C2235" s="71" t="s">
        <v>16867</v>
      </c>
    </row>
    <row r="2236">
      <c r="A2236" s="234" t="s">
        <v>19660</v>
      </c>
      <c r="B2236" s="71" t="s">
        <v>17702</v>
      </c>
      <c r="C2236" s="71" t="s">
        <v>169</v>
      </c>
    </row>
    <row r="2237">
      <c r="A2237" s="234" t="s">
        <v>19660</v>
      </c>
      <c r="B2237" s="71" t="s">
        <v>169</v>
      </c>
      <c r="C2237" s="71" t="s">
        <v>17702</v>
      </c>
    </row>
    <row r="2238">
      <c r="A2238" s="130" t="s">
        <v>19662</v>
      </c>
      <c r="B2238" s="71" t="s">
        <v>16838</v>
      </c>
      <c r="C2238" s="71" t="s">
        <v>17202</v>
      </c>
    </row>
    <row r="2239">
      <c r="A2239" s="234" t="s">
        <v>19664</v>
      </c>
      <c r="B2239" s="71" t="s">
        <v>16919</v>
      </c>
      <c r="C2239" s="71" t="s">
        <v>17413</v>
      </c>
    </row>
    <row r="2240">
      <c r="A2240" s="234" t="s">
        <v>19664</v>
      </c>
      <c r="B2240" s="71" t="s">
        <v>17413</v>
      </c>
      <c r="C2240" s="71" t="s">
        <v>16919</v>
      </c>
    </row>
    <row r="2241">
      <c r="A2241" s="234" t="s">
        <v>19666</v>
      </c>
      <c r="B2241" s="71" t="s">
        <v>16919</v>
      </c>
      <c r="C2241" s="71" t="s">
        <v>17048</v>
      </c>
    </row>
    <row r="2242">
      <c r="A2242" s="234" t="s">
        <v>19666</v>
      </c>
      <c r="B2242" s="71" t="s">
        <v>17048</v>
      </c>
      <c r="C2242" s="71" t="s">
        <v>16919</v>
      </c>
    </row>
    <row r="2243">
      <c r="A2243" s="234" t="s">
        <v>19668</v>
      </c>
      <c r="B2243" s="71" t="s">
        <v>16867</v>
      </c>
      <c r="C2243" s="71" t="s">
        <v>16838</v>
      </c>
    </row>
    <row r="2244">
      <c r="A2244" s="234" t="s">
        <v>19668</v>
      </c>
      <c r="B2244" s="71" t="s">
        <v>16838</v>
      </c>
      <c r="C2244" s="71" t="s">
        <v>16867</v>
      </c>
    </row>
    <row r="2245">
      <c r="A2245" s="234" t="s">
        <v>19670</v>
      </c>
      <c r="B2245" s="71" t="s">
        <v>175</v>
      </c>
      <c r="C2245" s="71" t="s">
        <v>16842</v>
      </c>
    </row>
    <row r="2246">
      <c r="A2246" s="234" t="s">
        <v>19670</v>
      </c>
      <c r="B2246" s="71" t="s">
        <v>16842</v>
      </c>
      <c r="C2246" s="71" t="s">
        <v>175</v>
      </c>
    </row>
    <row r="2247">
      <c r="A2247" s="130" t="s">
        <v>19672</v>
      </c>
      <c r="B2247" s="71" t="s">
        <v>16838</v>
      </c>
      <c r="C2247" s="71" t="s">
        <v>16867</v>
      </c>
    </row>
    <row r="2248">
      <c r="A2248" s="130" t="s">
        <v>19674</v>
      </c>
      <c r="B2248" s="71" t="s">
        <v>16919</v>
      </c>
      <c r="C2248" s="71" t="s">
        <v>110</v>
      </c>
    </row>
    <row r="2249">
      <c r="A2249" s="130" t="s">
        <v>19676</v>
      </c>
      <c r="B2249" s="71" t="s">
        <v>187</v>
      </c>
      <c r="C2249" s="71" t="s">
        <v>16846</v>
      </c>
    </row>
    <row r="2250">
      <c r="A2250" s="234" t="s">
        <v>19678</v>
      </c>
      <c r="B2250" s="71" t="s">
        <v>17111</v>
      </c>
      <c r="C2250" s="71" t="s">
        <v>17112</v>
      </c>
    </row>
    <row r="2251">
      <c r="A2251" s="234" t="s">
        <v>19678</v>
      </c>
      <c r="B2251" s="71" t="s">
        <v>17112</v>
      </c>
      <c r="C2251" s="71" t="s">
        <v>17111</v>
      </c>
    </row>
    <row r="2252">
      <c r="A2252" s="130" t="s">
        <v>19680</v>
      </c>
      <c r="B2252" s="71" t="s">
        <v>187</v>
      </c>
      <c r="C2252" s="71" t="s">
        <v>16851</v>
      </c>
    </row>
    <row r="2253">
      <c r="A2253" s="130" t="s">
        <v>19682</v>
      </c>
      <c r="B2253" s="71" t="s">
        <v>16838</v>
      </c>
      <c r="C2253" s="71" t="s">
        <v>17202</v>
      </c>
    </row>
    <row r="2254">
      <c r="A2254" s="234" t="s">
        <v>19684</v>
      </c>
      <c r="B2254" s="71" t="s">
        <v>175</v>
      </c>
      <c r="C2254" s="71" t="s">
        <v>17233</v>
      </c>
    </row>
    <row r="2255">
      <c r="A2255" s="234" t="s">
        <v>19684</v>
      </c>
      <c r="B2255" s="71" t="s">
        <v>17233</v>
      </c>
      <c r="C2255" s="71" t="s">
        <v>175</v>
      </c>
    </row>
    <row r="2256">
      <c r="A2256" s="234" t="s">
        <v>19686</v>
      </c>
      <c r="B2256" s="71" t="s">
        <v>16582</v>
      </c>
      <c r="C2256" s="71" t="s">
        <v>16817</v>
      </c>
    </row>
    <row r="2257">
      <c r="A2257" s="234" t="s">
        <v>19686</v>
      </c>
      <c r="B2257" s="71" t="s">
        <v>16817</v>
      </c>
      <c r="C2257" s="71" t="s">
        <v>16582</v>
      </c>
    </row>
    <row r="2258">
      <c r="A2258" s="130" t="s">
        <v>19688</v>
      </c>
      <c r="B2258" s="71" t="s">
        <v>187</v>
      </c>
      <c r="C2258" s="71" t="s">
        <v>16846</v>
      </c>
    </row>
    <row r="2259">
      <c r="A2259" s="130" t="s">
        <v>19690</v>
      </c>
      <c r="B2259" s="71" t="s">
        <v>16582</v>
      </c>
      <c r="C2259" s="71" t="s">
        <v>16817</v>
      </c>
    </row>
    <row r="2260">
      <c r="A2260" s="130" t="s">
        <v>19692</v>
      </c>
      <c r="B2260" s="71" t="s">
        <v>16838</v>
      </c>
      <c r="C2260" s="71" t="s">
        <v>19644</v>
      </c>
    </row>
    <row r="2261">
      <c r="A2261" s="130" t="s">
        <v>19694</v>
      </c>
      <c r="B2261" s="71" t="s">
        <v>16582</v>
      </c>
      <c r="C2261" s="71" t="s">
        <v>16828</v>
      </c>
    </row>
    <row r="2262">
      <c r="A2262" s="130" t="s">
        <v>19696</v>
      </c>
      <c r="B2262" s="71" t="s">
        <v>187</v>
      </c>
      <c r="C2262" s="71" t="s">
        <v>16846</v>
      </c>
    </row>
    <row r="2263">
      <c r="A2263" s="130" t="s">
        <v>19698</v>
      </c>
      <c r="B2263" s="71" t="s">
        <v>175</v>
      </c>
      <c r="C2263" s="71" t="s">
        <v>16878</v>
      </c>
    </row>
    <row r="2264">
      <c r="A2264" s="130" t="s">
        <v>19700</v>
      </c>
      <c r="B2264" s="71" t="s">
        <v>16582</v>
      </c>
      <c r="C2264" s="71" t="s">
        <v>16817</v>
      </c>
    </row>
    <row r="2265">
      <c r="A2265" s="130" t="s">
        <v>19702</v>
      </c>
      <c r="B2265" s="71" t="s">
        <v>16582</v>
      </c>
      <c r="C2265" s="71" t="s">
        <v>16930</v>
      </c>
    </row>
    <row r="2266">
      <c r="A2266" s="234" t="s">
        <v>19704</v>
      </c>
      <c r="B2266" s="71" t="s">
        <v>16582</v>
      </c>
      <c r="C2266" s="71" t="s">
        <v>16817</v>
      </c>
    </row>
    <row r="2267">
      <c r="A2267" s="234" t="s">
        <v>19704</v>
      </c>
      <c r="B2267" s="71" t="s">
        <v>16817</v>
      </c>
      <c r="C2267" s="71" t="s">
        <v>16582</v>
      </c>
    </row>
    <row r="2268">
      <c r="A2268" s="234" t="s">
        <v>19706</v>
      </c>
      <c r="B2268" s="71" t="s">
        <v>169</v>
      </c>
      <c r="C2268" s="71" t="s">
        <v>18570</v>
      </c>
    </row>
    <row r="2269">
      <c r="A2269" s="234" t="s">
        <v>19706</v>
      </c>
      <c r="B2269" s="71" t="s">
        <v>18570</v>
      </c>
      <c r="C2269" s="71" t="s">
        <v>169</v>
      </c>
    </row>
    <row r="2270">
      <c r="A2270" s="234" t="s">
        <v>19708</v>
      </c>
      <c r="B2270" s="71" t="s">
        <v>17111</v>
      </c>
      <c r="C2270" s="71" t="s">
        <v>17112</v>
      </c>
    </row>
    <row r="2271">
      <c r="A2271" s="234" t="s">
        <v>19708</v>
      </c>
      <c r="B2271" s="71" t="s">
        <v>17112</v>
      </c>
      <c r="C2271" s="71" t="s">
        <v>17111</v>
      </c>
    </row>
    <row r="2272">
      <c r="A2272" s="234" t="s">
        <v>19710</v>
      </c>
      <c r="B2272" s="71" t="s">
        <v>17043</v>
      </c>
      <c r="C2272" s="71" t="s">
        <v>169</v>
      </c>
    </row>
    <row r="2273">
      <c r="A2273" s="234" t="s">
        <v>19710</v>
      </c>
      <c r="B2273" s="71" t="s">
        <v>169</v>
      </c>
      <c r="C2273" s="71" t="s">
        <v>17043</v>
      </c>
    </row>
    <row r="2274">
      <c r="A2274" s="130" t="s">
        <v>19712</v>
      </c>
      <c r="B2274" s="71" t="s">
        <v>175</v>
      </c>
      <c r="C2274" s="71" t="s">
        <v>16942</v>
      </c>
    </row>
    <row r="2275">
      <c r="A2275" s="234" t="s">
        <v>19714</v>
      </c>
      <c r="B2275" s="71" t="s">
        <v>16885</v>
      </c>
      <c r="C2275" s="71" t="s">
        <v>17726</v>
      </c>
    </row>
    <row r="2276">
      <c r="A2276" s="234" t="s">
        <v>19714</v>
      </c>
      <c r="B2276" s="71" t="s">
        <v>17726</v>
      </c>
      <c r="C2276" s="130" t="s">
        <v>16885</v>
      </c>
    </row>
    <row r="2277">
      <c r="A2277" s="130" t="s">
        <v>19716</v>
      </c>
      <c r="B2277" s="71" t="s">
        <v>16582</v>
      </c>
      <c r="C2277" s="71" t="s">
        <v>16583</v>
      </c>
    </row>
    <row r="2278">
      <c r="A2278" s="234" t="s">
        <v>19718</v>
      </c>
      <c r="B2278" s="71" t="s">
        <v>19719</v>
      </c>
      <c r="C2278" s="71" t="s">
        <v>169</v>
      </c>
    </row>
    <row r="2279">
      <c r="A2279" s="234" t="s">
        <v>19718</v>
      </c>
      <c r="B2279" s="71" t="s">
        <v>169</v>
      </c>
      <c r="C2279" s="71" t="s">
        <v>19719</v>
      </c>
    </row>
    <row r="2280">
      <c r="A2280" s="130" t="s">
        <v>19721</v>
      </c>
      <c r="B2280" s="71" t="s">
        <v>175</v>
      </c>
      <c r="C2280" s="71" t="s">
        <v>16854</v>
      </c>
    </row>
    <row r="2281">
      <c r="A2281" s="130" t="s">
        <v>19723</v>
      </c>
      <c r="B2281" s="71" t="s">
        <v>16582</v>
      </c>
      <c r="C2281" s="71" t="s">
        <v>16817</v>
      </c>
    </row>
    <row r="2282">
      <c r="A2282" s="234" t="s">
        <v>19725</v>
      </c>
      <c r="B2282" s="71" t="s">
        <v>175</v>
      </c>
      <c r="C2282" s="71" t="s">
        <v>16878</v>
      </c>
    </row>
    <row r="2283">
      <c r="A2283" s="234" t="s">
        <v>19725</v>
      </c>
      <c r="B2283" s="71" t="s">
        <v>16878</v>
      </c>
      <c r="C2283" s="71" t="s">
        <v>175</v>
      </c>
    </row>
    <row r="2284">
      <c r="A2284" s="234" t="s">
        <v>19727</v>
      </c>
      <c r="B2284" s="71" t="s">
        <v>17127</v>
      </c>
      <c r="C2284" s="71" t="s">
        <v>16838</v>
      </c>
    </row>
    <row r="2285">
      <c r="A2285" s="234" t="s">
        <v>19727</v>
      </c>
      <c r="B2285" s="71" t="s">
        <v>16838</v>
      </c>
      <c r="C2285" s="71" t="s">
        <v>17127</v>
      </c>
    </row>
    <row r="2286">
      <c r="A2286" s="234" t="s">
        <v>19729</v>
      </c>
      <c r="B2286" s="71" t="s">
        <v>16919</v>
      </c>
      <c r="C2286" s="71" t="s">
        <v>17048</v>
      </c>
    </row>
    <row r="2287">
      <c r="A2287" s="234" t="s">
        <v>19729</v>
      </c>
      <c r="B2287" s="71" t="s">
        <v>17048</v>
      </c>
      <c r="C2287" s="71" t="s">
        <v>16919</v>
      </c>
    </row>
    <row r="2288">
      <c r="A2288" s="234" t="s">
        <v>19731</v>
      </c>
      <c r="B2288" s="71" t="s">
        <v>187</v>
      </c>
      <c r="C2288" s="71" t="s">
        <v>16846</v>
      </c>
    </row>
    <row r="2289">
      <c r="A2289" s="234" t="s">
        <v>19731</v>
      </c>
      <c r="B2289" s="71" t="s">
        <v>16846</v>
      </c>
      <c r="C2289" s="71" t="s">
        <v>187</v>
      </c>
    </row>
    <row r="2290">
      <c r="A2290" s="234" t="s">
        <v>19733</v>
      </c>
      <c r="B2290" s="71" t="s">
        <v>16582</v>
      </c>
      <c r="C2290" s="71" t="s">
        <v>16930</v>
      </c>
    </row>
    <row r="2291">
      <c r="A2291" s="234" t="s">
        <v>19733</v>
      </c>
      <c r="B2291" s="71" t="s">
        <v>16930</v>
      </c>
      <c r="C2291" s="71" t="s">
        <v>16582</v>
      </c>
    </row>
    <row r="2292">
      <c r="A2292" s="234" t="s">
        <v>19735</v>
      </c>
      <c r="B2292" s="71" t="s">
        <v>175</v>
      </c>
      <c r="C2292" s="71" t="s">
        <v>19736</v>
      </c>
    </row>
    <row r="2293">
      <c r="A2293" s="234" t="s">
        <v>19735</v>
      </c>
      <c r="B2293" s="71" t="s">
        <v>19736</v>
      </c>
      <c r="C2293" s="71" t="s">
        <v>175</v>
      </c>
    </row>
    <row r="2294">
      <c r="A2294" s="234" t="s">
        <v>19738</v>
      </c>
      <c r="B2294" s="71" t="s">
        <v>169</v>
      </c>
      <c r="C2294" s="71" t="s">
        <v>16899</v>
      </c>
    </row>
    <row r="2295">
      <c r="A2295" s="234" t="s">
        <v>19738</v>
      </c>
      <c r="B2295" s="71" t="s">
        <v>16899</v>
      </c>
      <c r="C2295" s="71" t="s">
        <v>169</v>
      </c>
    </row>
    <row r="2296">
      <c r="A2296" s="234" t="s">
        <v>19740</v>
      </c>
      <c r="B2296" s="71" t="s">
        <v>175</v>
      </c>
      <c r="C2296" s="71" t="s">
        <v>17069</v>
      </c>
    </row>
    <row r="2297">
      <c r="A2297" s="234" t="s">
        <v>19740</v>
      </c>
      <c r="B2297" s="71" t="s">
        <v>17069</v>
      </c>
      <c r="C2297" s="71" t="s">
        <v>175</v>
      </c>
    </row>
    <row r="2298">
      <c r="A2298" s="130" t="s">
        <v>19742</v>
      </c>
      <c r="B2298" s="71" t="s">
        <v>169</v>
      </c>
      <c r="C2298" s="71" t="s">
        <v>16945</v>
      </c>
    </row>
    <row r="2299">
      <c r="A2299" s="234" t="s">
        <v>19744</v>
      </c>
      <c r="B2299" s="71" t="s">
        <v>16582</v>
      </c>
      <c r="C2299" s="71" t="s">
        <v>16930</v>
      </c>
    </row>
    <row r="2300">
      <c r="A2300" s="234" t="s">
        <v>19744</v>
      </c>
      <c r="B2300" s="71" t="s">
        <v>16930</v>
      </c>
      <c r="C2300" s="71" t="s">
        <v>16582</v>
      </c>
    </row>
    <row r="2301">
      <c r="A2301" s="234" t="s">
        <v>19746</v>
      </c>
      <c r="B2301" s="71" t="s">
        <v>158</v>
      </c>
      <c r="C2301" s="71" t="s">
        <v>16864</v>
      </c>
    </row>
    <row r="2302">
      <c r="A2302" s="234" t="s">
        <v>19746</v>
      </c>
      <c r="B2302" s="71" t="s">
        <v>16864</v>
      </c>
      <c r="C2302" s="71" t="s">
        <v>158</v>
      </c>
    </row>
    <row r="2303">
      <c r="A2303" s="130" t="s">
        <v>19748</v>
      </c>
      <c r="B2303" s="71" t="s">
        <v>16910</v>
      </c>
      <c r="C2303" s="71" t="s">
        <v>17119</v>
      </c>
    </row>
    <row r="2304">
      <c r="A2304" s="130" t="s">
        <v>19750</v>
      </c>
      <c r="B2304" s="71" t="s">
        <v>16582</v>
      </c>
      <c r="C2304" s="71" t="s">
        <v>16828</v>
      </c>
    </row>
    <row r="2305">
      <c r="A2305" s="130" t="s">
        <v>19752</v>
      </c>
      <c r="B2305" s="71" t="s">
        <v>16582</v>
      </c>
      <c r="C2305" s="71" t="s">
        <v>16930</v>
      </c>
    </row>
    <row r="2306">
      <c r="A2306" s="234" t="s">
        <v>19754</v>
      </c>
      <c r="B2306" s="71" t="s">
        <v>158</v>
      </c>
      <c r="C2306" s="71" t="s">
        <v>16864</v>
      </c>
    </row>
    <row r="2307">
      <c r="A2307" s="234" t="s">
        <v>19754</v>
      </c>
      <c r="B2307" s="71" t="s">
        <v>16864</v>
      </c>
      <c r="C2307" s="71" t="s">
        <v>158</v>
      </c>
    </row>
    <row r="2308">
      <c r="A2308" s="234" t="s">
        <v>19756</v>
      </c>
      <c r="B2308" s="71" t="s">
        <v>16919</v>
      </c>
      <c r="C2308" s="71" t="s">
        <v>16920</v>
      </c>
    </row>
    <row r="2309">
      <c r="A2309" s="234" t="s">
        <v>19756</v>
      </c>
      <c r="B2309" s="71" t="s">
        <v>16920</v>
      </c>
      <c r="C2309" s="71" t="s">
        <v>16919</v>
      </c>
    </row>
    <row r="2310">
      <c r="A2310" s="234" t="s">
        <v>19758</v>
      </c>
      <c r="B2310" s="71"/>
      <c r="C2310" s="71"/>
    </row>
    <row r="2311">
      <c r="A2311" s="234" t="s">
        <v>19758</v>
      </c>
      <c r="B2311" s="71"/>
      <c r="C2311" s="71"/>
    </row>
    <row r="2312">
      <c r="A2312" s="130" t="s">
        <v>19760</v>
      </c>
      <c r="B2312" s="71" t="s">
        <v>16582</v>
      </c>
      <c r="C2312" s="71" t="s">
        <v>16930</v>
      </c>
    </row>
    <row r="2313">
      <c r="A2313" s="130" t="s">
        <v>19762</v>
      </c>
      <c r="B2313" s="71" t="s">
        <v>16838</v>
      </c>
      <c r="C2313" s="71" t="s">
        <v>16867</v>
      </c>
    </row>
    <row r="2314">
      <c r="A2314" s="130" t="s">
        <v>19764</v>
      </c>
      <c r="B2314" s="71" t="s">
        <v>175</v>
      </c>
      <c r="C2314" s="71" t="s">
        <v>17812</v>
      </c>
    </row>
    <row r="2315">
      <c r="A2315" s="234" t="s">
        <v>19766</v>
      </c>
      <c r="B2315" s="71" t="s">
        <v>17702</v>
      </c>
      <c r="C2315" s="71" t="s">
        <v>169</v>
      </c>
    </row>
    <row r="2316">
      <c r="A2316" s="234" t="s">
        <v>19766</v>
      </c>
      <c r="B2316" s="71" t="s">
        <v>169</v>
      </c>
      <c r="C2316" s="71" t="s">
        <v>17702</v>
      </c>
    </row>
    <row r="2317">
      <c r="A2317" s="234" t="s">
        <v>19768</v>
      </c>
      <c r="B2317" s="71" t="s">
        <v>17347</v>
      </c>
      <c r="C2317" s="71" t="s">
        <v>16838</v>
      </c>
    </row>
    <row r="2318">
      <c r="A2318" s="234" t="s">
        <v>19768</v>
      </c>
      <c r="B2318" s="71" t="s">
        <v>16838</v>
      </c>
      <c r="C2318" s="71" t="s">
        <v>17347</v>
      </c>
    </row>
    <row r="2319">
      <c r="A2319" s="234" t="s">
        <v>19770</v>
      </c>
      <c r="B2319" s="71" t="s">
        <v>16838</v>
      </c>
      <c r="C2319" s="71" t="s">
        <v>17127</v>
      </c>
    </row>
    <row r="2320">
      <c r="A2320" s="234" t="s">
        <v>19770</v>
      </c>
      <c r="B2320" s="71" t="s">
        <v>17127</v>
      </c>
      <c r="C2320" s="71" t="s">
        <v>16838</v>
      </c>
    </row>
    <row r="2321">
      <c r="A2321" s="130" t="s">
        <v>19772</v>
      </c>
      <c r="B2321" s="71" t="s">
        <v>16838</v>
      </c>
      <c r="C2321" s="71" t="s">
        <v>16867</v>
      </c>
    </row>
    <row r="2322">
      <c r="A2322" s="234" t="s">
        <v>19774</v>
      </c>
      <c r="B2322" s="71" t="s">
        <v>158</v>
      </c>
      <c r="C2322" s="71" t="s">
        <v>16864</v>
      </c>
    </row>
    <row r="2323">
      <c r="A2323" s="234" t="s">
        <v>19774</v>
      </c>
      <c r="B2323" s="71" t="s">
        <v>16864</v>
      </c>
      <c r="C2323" s="71" t="s">
        <v>158</v>
      </c>
    </row>
    <row r="2324">
      <c r="A2324" s="234" t="s">
        <v>19776</v>
      </c>
      <c r="B2324" s="71" t="s">
        <v>175</v>
      </c>
      <c r="C2324" s="71" t="s">
        <v>17545</v>
      </c>
    </row>
    <row r="2325">
      <c r="A2325" s="234" t="s">
        <v>19776</v>
      </c>
      <c r="B2325" s="71" t="s">
        <v>17545</v>
      </c>
      <c r="C2325" s="71" t="s">
        <v>175</v>
      </c>
    </row>
    <row r="2326">
      <c r="A2326" s="234" t="s">
        <v>19778</v>
      </c>
      <c r="B2326" s="71" t="s">
        <v>16969</v>
      </c>
      <c r="C2326" s="71" t="s">
        <v>187</v>
      </c>
    </row>
    <row r="2327">
      <c r="A2327" s="234" t="s">
        <v>19778</v>
      </c>
      <c r="B2327" s="71" t="s">
        <v>187</v>
      </c>
      <c r="C2327" s="71" t="s">
        <v>16969</v>
      </c>
    </row>
    <row r="2328">
      <c r="A2328" s="234" t="s">
        <v>19780</v>
      </c>
      <c r="B2328" s="71" t="s">
        <v>175</v>
      </c>
      <c r="C2328" s="71" t="s">
        <v>18352</v>
      </c>
    </row>
    <row r="2329">
      <c r="A2329" s="234" t="s">
        <v>19780</v>
      </c>
      <c r="B2329" s="71" t="s">
        <v>18352</v>
      </c>
      <c r="C2329" s="71" t="s">
        <v>175</v>
      </c>
    </row>
    <row r="2330">
      <c r="A2330" s="234" t="s">
        <v>19782</v>
      </c>
      <c r="B2330" s="71" t="s">
        <v>16969</v>
      </c>
      <c r="C2330" s="71" t="s">
        <v>187</v>
      </c>
    </row>
    <row r="2331">
      <c r="A2331" s="234" t="s">
        <v>19782</v>
      </c>
      <c r="B2331" s="71" t="s">
        <v>187</v>
      </c>
      <c r="C2331" s="71" t="s">
        <v>16969</v>
      </c>
    </row>
    <row r="2332">
      <c r="A2332" s="130" t="s">
        <v>19784</v>
      </c>
      <c r="B2332" s="71" t="s">
        <v>16838</v>
      </c>
      <c r="C2332" s="71" t="s">
        <v>17016</v>
      </c>
    </row>
    <row r="2333">
      <c r="A2333" s="234" t="s">
        <v>19786</v>
      </c>
      <c r="B2333" s="71" t="s">
        <v>16582</v>
      </c>
      <c r="C2333" s="71" t="s">
        <v>16817</v>
      </c>
    </row>
    <row r="2334">
      <c r="A2334" s="234" t="s">
        <v>19786</v>
      </c>
      <c r="B2334" s="71" t="s">
        <v>16817</v>
      </c>
      <c r="C2334" s="71" t="s">
        <v>16582</v>
      </c>
    </row>
    <row r="2335">
      <c r="A2335" s="234" t="s">
        <v>19788</v>
      </c>
      <c r="B2335" s="71" t="s">
        <v>17111</v>
      </c>
      <c r="C2335" s="71" t="s">
        <v>17112</v>
      </c>
    </row>
    <row r="2336">
      <c r="A2336" s="234" t="s">
        <v>19788</v>
      </c>
      <c r="B2336" s="71" t="s">
        <v>17112</v>
      </c>
      <c r="C2336" s="71" t="s">
        <v>17111</v>
      </c>
    </row>
    <row r="2337">
      <c r="A2337" s="234" t="s">
        <v>19790</v>
      </c>
      <c r="B2337" s="71" t="s">
        <v>175</v>
      </c>
      <c r="C2337" s="71" t="s">
        <v>17084</v>
      </c>
    </row>
    <row r="2338">
      <c r="A2338" s="234" t="s">
        <v>19790</v>
      </c>
      <c r="B2338" s="71" t="s">
        <v>17084</v>
      </c>
      <c r="C2338" s="71" t="s">
        <v>175</v>
      </c>
    </row>
    <row r="2339">
      <c r="A2339" s="234" t="s">
        <v>19792</v>
      </c>
      <c r="B2339" s="71" t="s">
        <v>175</v>
      </c>
      <c r="C2339" s="71" t="s">
        <v>17394</v>
      </c>
    </row>
    <row r="2340">
      <c r="A2340" s="234" t="s">
        <v>19792</v>
      </c>
      <c r="B2340" s="71" t="s">
        <v>17394</v>
      </c>
      <c r="C2340" s="71" t="s">
        <v>175</v>
      </c>
    </row>
    <row r="2341">
      <c r="A2341" s="130" t="s">
        <v>19794</v>
      </c>
      <c r="B2341" s="71" t="s">
        <v>16838</v>
      </c>
      <c r="C2341" s="71" t="s">
        <v>17202</v>
      </c>
    </row>
    <row r="2342">
      <c r="A2342" s="234" t="s">
        <v>19796</v>
      </c>
      <c r="B2342" s="71" t="s">
        <v>16919</v>
      </c>
      <c r="C2342" s="71" t="s">
        <v>17048</v>
      </c>
    </row>
    <row r="2343">
      <c r="A2343" s="234" t="s">
        <v>19796</v>
      </c>
      <c r="B2343" s="71" t="s">
        <v>17048</v>
      </c>
      <c r="C2343" s="71" t="s">
        <v>16919</v>
      </c>
    </row>
    <row r="2344">
      <c r="A2344" s="130" t="s">
        <v>19798</v>
      </c>
      <c r="B2344" s="71" t="s">
        <v>187</v>
      </c>
      <c r="C2344" s="71" t="s">
        <v>16851</v>
      </c>
    </row>
    <row r="2345">
      <c r="A2345" s="234" t="s">
        <v>19800</v>
      </c>
      <c r="B2345" s="71" t="s">
        <v>158</v>
      </c>
      <c r="C2345" s="71" t="s">
        <v>16864</v>
      </c>
    </row>
    <row r="2346">
      <c r="A2346" s="234" t="s">
        <v>19800</v>
      </c>
      <c r="B2346" s="71" t="s">
        <v>16864</v>
      </c>
      <c r="C2346" s="71" t="s">
        <v>158</v>
      </c>
    </row>
    <row r="2347">
      <c r="A2347" s="234" t="s">
        <v>19802</v>
      </c>
      <c r="B2347" s="71" t="s">
        <v>169</v>
      </c>
      <c r="C2347" s="71" t="s">
        <v>16899</v>
      </c>
    </row>
    <row r="2348">
      <c r="A2348" s="234" t="s">
        <v>19802</v>
      </c>
      <c r="B2348" s="71" t="s">
        <v>16899</v>
      </c>
      <c r="C2348" s="71" t="s">
        <v>169</v>
      </c>
    </row>
    <row r="2349">
      <c r="A2349" s="130" t="s">
        <v>19804</v>
      </c>
      <c r="B2349" s="71" t="s">
        <v>187</v>
      </c>
      <c r="C2349" s="71" t="s">
        <v>16846</v>
      </c>
    </row>
    <row r="2350">
      <c r="A2350" s="130" t="s">
        <v>19806</v>
      </c>
      <c r="B2350" s="71" t="s">
        <v>175</v>
      </c>
      <c r="C2350" s="71" t="s">
        <v>17948</v>
      </c>
    </row>
    <row r="2351">
      <c r="A2351" s="130" t="s">
        <v>19808</v>
      </c>
      <c r="B2351" s="71" t="s">
        <v>175</v>
      </c>
      <c r="C2351" s="71" t="s">
        <v>17233</v>
      </c>
    </row>
    <row r="2352">
      <c r="A2352" s="234" t="s">
        <v>19810</v>
      </c>
      <c r="B2352" s="71" t="s">
        <v>16582</v>
      </c>
      <c r="C2352" s="71" t="s">
        <v>16899</v>
      </c>
    </row>
    <row r="2353">
      <c r="A2353" s="234" t="s">
        <v>19810</v>
      </c>
      <c r="B2353" s="71" t="s">
        <v>16899</v>
      </c>
      <c r="C2353" s="71" t="s">
        <v>16582</v>
      </c>
    </row>
    <row r="2354">
      <c r="A2354" s="234" t="s">
        <v>19812</v>
      </c>
      <c r="B2354" s="71" t="s">
        <v>17111</v>
      </c>
      <c r="C2354" s="71" t="s">
        <v>17112</v>
      </c>
    </row>
    <row r="2355">
      <c r="A2355" s="234" t="s">
        <v>19812</v>
      </c>
      <c r="B2355" s="71" t="s">
        <v>17112</v>
      </c>
      <c r="C2355" s="71" t="s">
        <v>17111</v>
      </c>
    </row>
    <row r="2356">
      <c r="A2356" s="234" t="s">
        <v>19814</v>
      </c>
      <c r="B2356" s="71" t="s">
        <v>175</v>
      </c>
      <c r="C2356" s="71" t="s">
        <v>17168</v>
      </c>
    </row>
    <row r="2357">
      <c r="A2357" s="234" t="s">
        <v>19814</v>
      </c>
      <c r="B2357" s="71" t="s">
        <v>17168</v>
      </c>
      <c r="C2357" s="71" t="s">
        <v>175</v>
      </c>
    </row>
    <row r="2358">
      <c r="A2358" s="234" t="s">
        <v>19816</v>
      </c>
      <c r="B2358" s="71" t="s">
        <v>158</v>
      </c>
      <c r="C2358" s="71" t="s">
        <v>16864</v>
      </c>
    </row>
    <row r="2359">
      <c r="A2359" s="234" t="s">
        <v>19816</v>
      </c>
      <c r="B2359" s="71" t="s">
        <v>16864</v>
      </c>
      <c r="C2359" s="71" t="s">
        <v>158</v>
      </c>
    </row>
    <row r="2360">
      <c r="A2360" s="234" t="s">
        <v>19818</v>
      </c>
      <c r="B2360" s="71" t="s">
        <v>17202</v>
      </c>
      <c r="C2360" s="71" t="s">
        <v>16838</v>
      </c>
    </row>
    <row r="2361">
      <c r="A2361" s="234" t="s">
        <v>19818</v>
      </c>
      <c r="B2361" s="71" t="s">
        <v>16838</v>
      </c>
      <c r="C2361" s="71" t="s">
        <v>17202</v>
      </c>
    </row>
    <row r="2362">
      <c r="A2362" s="234" t="s">
        <v>19820</v>
      </c>
      <c r="B2362" s="71" t="s">
        <v>16945</v>
      </c>
      <c r="C2362" s="71" t="s">
        <v>169</v>
      </c>
    </row>
    <row r="2363">
      <c r="A2363" s="234" t="s">
        <v>19820</v>
      </c>
      <c r="B2363" s="71" t="s">
        <v>169</v>
      </c>
      <c r="C2363" s="71" t="s">
        <v>16945</v>
      </c>
    </row>
    <row r="2364">
      <c r="A2364" s="234" t="s">
        <v>19822</v>
      </c>
      <c r="B2364" s="71" t="s">
        <v>16919</v>
      </c>
      <c r="C2364" s="71" t="s">
        <v>17048</v>
      </c>
    </row>
    <row r="2365">
      <c r="A2365" s="234" t="s">
        <v>19822</v>
      </c>
      <c r="B2365" s="71" t="s">
        <v>17048</v>
      </c>
      <c r="C2365" s="71" t="s">
        <v>16919</v>
      </c>
    </row>
    <row r="2366">
      <c r="A2366" s="234" t="s">
        <v>19824</v>
      </c>
      <c r="B2366" s="71" t="s">
        <v>175</v>
      </c>
      <c r="C2366" s="71" t="s">
        <v>17457</v>
      </c>
    </row>
    <row r="2367">
      <c r="A2367" s="234" t="s">
        <v>19824</v>
      </c>
      <c r="B2367" s="71" t="s">
        <v>17457</v>
      </c>
      <c r="C2367" s="71" t="s">
        <v>175</v>
      </c>
    </row>
    <row r="2368">
      <c r="A2368" s="234" t="s">
        <v>19826</v>
      </c>
      <c r="B2368" s="71" t="s">
        <v>175</v>
      </c>
      <c r="C2368" s="71" t="s">
        <v>17022</v>
      </c>
    </row>
    <row r="2369">
      <c r="A2369" s="234" t="s">
        <v>19826</v>
      </c>
      <c r="B2369" s="71" t="s">
        <v>17022</v>
      </c>
      <c r="C2369" s="71" t="s">
        <v>175</v>
      </c>
    </row>
    <row r="2370">
      <c r="A2370" s="130" t="s">
        <v>19828</v>
      </c>
      <c r="B2370" s="71" t="s">
        <v>16582</v>
      </c>
      <c r="C2370" s="71" t="s">
        <v>16930</v>
      </c>
    </row>
    <row r="2371">
      <c r="A2371" s="234" t="s">
        <v>19830</v>
      </c>
      <c r="B2371" s="71" t="s">
        <v>175</v>
      </c>
      <c r="C2371" s="71" t="s">
        <v>17812</v>
      </c>
    </row>
    <row r="2372">
      <c r="A2372" s="234" t="s">
        <v>19830</v>
      </c>
      <c r="B2372" s="71" t="s">
        <v>17812</v>
      </c>
      <c r="C2372" s="71" t="s">
        <v>175</v>
      </c>
    </row>
    <row r="2373">
      <c r="A2373" s="130" t="s">
        <v>19832</v>
      </c>
      <c r="B2373" s="71" t="s">
        <v>175</v>
      </c>
      <c r="C2373" s="71" t="s">
        <v>17168</v>
      </c>
    </row>
    <row r="2374">
      <c r="A2374" s="234" t="s">
        <v>19834</v>
      </c>
      <c r="B2374" s="71" t="s">
        <v>17016</v>
      </c>
      <c r="C2374" s="71" t="s">
        <v>16838</v>
      </c>
    </row>
    <row r="2375">
      <c r="A2375" s="234" t="s">
        <v>19834</v>
      </c>
      <c r="B2375" s="71" t="s">
        <v>16838</v>
      </c>
      <c r="C2375" s="71" t="s">
        <v>17016</v>
      </c>
    </row>
    <row r="2376">
      <c r="A2376" s="130" t="s">
        <v>19836</v>
      </c>
      <c r="B2376" s="71" t="s">
        <v>187</v>
      </c>
      <c r="C2376" s="71" t="s">
        <v>16846</v>
      </c>
    </row>
    <row r="2377">
      <c r="A2377" s="130" t="s">
        <v>19838</v>
      </c>
      <c r="B2377" s="71" t="s">
        <v>17112</v>
      </c>
      <c r="C2377" s="71" t="s">
        <v>17111</v>
      </c>
    </row>
    <row r="2378">
      <c r="A2378" s="234" t="s">
        <v>19840</v>
      </c>
      <c r="B2378" s="71" t="s">
        <v>18732</v>
      </c>
      <c r="C2378" s="71" t="s">
        <v>169</v>
      </c>
    </row>
    <row r="2379">
      <c r="A2379" s="234" t="s">
        <v>19840</v>
      </c>
      <c r="B2379" s="71" t="s">
        <v>169</v>
      </c>
      <c r="C2379" s="71" t="s">
        <v>18732</v>
      </c>
    </row>
    <row r="2380">
      <c r="A2380" s="234" t="s">
        <v>19842</v>
      </c>
      <c r="B2380" s="71" t="s">
        <v>175</v>
      </c>
      <c r="C2380" s="71" t="s">
        <v>19006</v>
      </c>
    </row>
    <row r="2381">
      <c r="A2381" s="234" t="s">
        <v>19842</v>
      </c>
      <c r="B2381" s="71" t="s">
        <v>19006</v>
      </c>
      <c r="C2381" s="71" t="s">
        <v>175</v>
      </c>
    </row>
    <row r="2382">
      <c r="A2382" s="234" t="s">
        <v>19844</v>
      </c>
      <c r="B2382" s="71" t="s">
        <v>16582</v>
      </c>
      <c r="C2382" s="71" t="s">
        <v>16817</v>
      </c>
    </row>
    <row r="2383">
      <c r="A2383" s="234" t="s">
        <v>19844</v>
      </c>
      <c r="B2383" s="71" t="s">
        <v>16817</v>
      </c>
      <c r="C2383" s="71" t="s">
        <v>16582</v>
      </c>
    </row>
    <row r="2384">
      <c r="A2384" s="234" t="s">
        <v>19846</v>
      </c>
      <c r="B2384" s="71" t="s">
        <v>17111</v>
      </c>
      <c r="C2384" s="71" t="s">
        <v>17112</v>
      </c>
    </row>
    <row r="2385">
      <c r="A2385" s="234" t="s">
        <v>19846</v>
      </c>
      <c r="B2385" s="71" t="s">
        <v>17112</v>
      </c>
      <c r="C2385" s="71" t="s">
        <v>17111</v>
      </c>
    </row>
    <row r="2386">
      <c r="A2386" s="234" t="s">
        <v>19848</v>
      </c>
      <c r="B2386" s="71" t="s">
        <v>175</v>
      </c>
      <c r="C2386" s="71" t="s">
        <v>19006</v>
      </c>
    </row>
    <row r="2387">
      <c r="A2387" s="234" t="s">
        <v>19848</v>
      </c>
      <c r="B2387" s="71" t="s">
        <v>19006</v>
      </c>
      <c r="C2387" s="71" t="s">
        <v>175</v>
      </c>
    </row>
    <row r="2388">
      <c r="A2388" s="234" t="s">
        <v>19850</v>
      </c>
      <c r="B2388" s="71" t="s">
        <v>16957</v>
      </c>
      <c r="C2388" s="71" t="s">
        <v>16926</v>
      </c>
    </row>
    <row r="2389">
      <c r="A2389" s="234" t="s">
        <v>19850</v>
      </c>
      <c r="B2389" s="71" t="s">
        <v>16926</v>
      </c>
      <c r="C2389" s="71" t="s">
        <v>16957</v>
      </c>
    </row>
    <row r="2390">
      <c r="A2390" s="234" t="s">
        <v>19852</v>
      </c>
      <c r="B2390" s="71" t="s">
        <v>175</v>
      </c>
      <c r="C2390" s="71" t="s">
        <v>16942</v>
      </c>
    </row>
    <row r="2391">
      <c r="A2391" s="234" t="s">
        <v>19852</v>
      </c>
      <c r="B2391" s="71" t="s">
        <v>16942</v>
      </c>
      <c r="C2391" s="71" t="s">
        <v>175</v>
      </c>
    </row>
    <row r="2392">
      <c r="A2392" s="130" t="s">
        <v>19854</v>
      </c>
      <c r="B2392" s="71" t="s">
        <v>16838</v>
      </c>
      <c r="C2392" s="71" t="s">
        <v>16867</v>
      </c>
    </row>
    <row r="2393">
      <c r="A2393" s="234" t="s">
        <v>19856</v>
      </c>
      <c r="B2393" s="71" t="s">
        <v>17321</v>
      </c>
      <c r="C2393" s="71" t="s">
        <v>169</v>
      </c>
    </row>
    <row r="2394">
      <c r="A2394" s="234" t="s">
        <v>19856</v>
      </c>
      <c r="B2394" s="71" t="s">
        <v>169</v>
      </c>
      <c r="C2394" s="71" t="s">
        <v>17321</v>
      </c>
    </row>
    <row r="2395">
      <c r="A2395" s="130" t="s">
        <v>19858</v>
      </c>
      <c r="B2395" s="71" t="s">
        <v>16582</v>
      </c>
      <c r="C2395" s="71" t="s">
        <v>16817</v>
      </c>
    </row>
    <row r="2396">
      <c r="A2396" s="130" t="s">
        <v>19860</v>
      </c>
      <c r="B2396" s="71" t="s">
        <v>175</v>
      </c>
      <c r="C2396" s="71" t="s">
        <v>17069</v>
      </c>
    </row>
    <row r="2397">
      <c r="A2397" s="130" t="s">
        <v>19862</v>
      </c>
      <c r="B2397" s="71" t="s">
        <v>16838</v>
      </c>
      <c r="C2397" s="71" t="s">
        <v>16837</v>
      </c>
    </row>
    <row r="2398">
      <c r="A2398" s="234" t="s">
        <v>19864</v>
      </c>
      <c r="B2398" s="71" t="s">
        <v>17347</v>
      </c>
      <c r="C2398" s="71" t="s">
        <v>16838</v>
      </c>
    </row>
    <row r="2399">
      <c r="A2399" s="234" t="s">
        <v>19864</v>
      </c>
      <c r="B2399" s="71" t="s">
        <v>16838</v>
      </c>
      <c r="C2399" s="71" t="s">
        <v>17347</v>
      </c>
    </row>
    <row r="2400">
      <c r="A2400" s="130" t="s">
        <v>19866</v>
      </c>
      <c r="B2400" s="71" t="s">
        <v>17112</v>
      </c>
      <c r="C2400" s="71" t="s">
        <v>17111</v>
      </c>
    </row>
    <row r="2401">
      <c r="A2401" s="234" t="s">
        <v>19868</v>
      </c>
      <c r="B2401" s="71" t="s">
        <v>16910</v>
      </c>
      <c r="C2401" s="71" t="s">
        <v>17648</v>
      </c>
    </row>
    <row r="2402">
      <c r="A2402" s="234" t="s">
        <v>19868</v>
      </c>
      <c r="B2402" s="71" t="s">
        <v>17648</v>
      </c>
      <c r="C2402" s="71" t="s">
        <v>16910</v>
      </c>
    </row>
    <row r="2403">
      <c r="A2403" s="234" t="s">
        <v>19870</v>
      </c>
      <c r="B2403" s="71" t="s">
        <v>16582</v>
      </c>
      <c r="C2403" s="71" t="s">
        <v>16899</v>
      </c>
    </row>
    <row r="2404">
      <c r="A2404" s="234" t="s">
        <v>19870</v>
      </c>
      <c r="B2404" s="71" t="s">
        <v>16899</v>
      </c>
      <c r="C2404" s="71" t="s">
        <v>16582</v>
      </c>
    </row>
    <row r="2405">
      <c r="A2405" s="234" t="s">
        <v>19872</v>
      </c>
      <c r="B2405" s="71" t="s">
        <v>158</v>
      </c>
      <c r="C2405" s="71" t="s">
        <v>16864</v>
      </c>
    </row>
    <row r="2406">
      <c r="A2406" s="234" t="s">
        <v>19872</v>
      </c>
      <c r="B2406" s="71" t="s">
        <v>16864</v>
      </c>
      <c r="C2406" s="71" t="s">
        <v>158</v>
      </c>
    </row>
    <row r="2407">
      <c r="A2407" s="130" t="s">
        <v>19874</v>
      </c>
      <c r="B2407" s="71" t="s">
        <v>175</v>
      </c>
      <c r="C2407" s="71" t="s">
        <v>17480</v>
      </c>
    </row>
    <row r="2408">
      <c r="A2408" s="234" t="s">
        <v>19876</v>
      </c>
      <c r="B2408" s="71" t="s">
        <v>158</v>
      </c>
      <c r="C2408" s="71" t="s">
        <v>16864</v>
      </c>
    </row>
    <row r="2409">
      <c r="A2409" s="234" t="s">
        <v>19876</v>
      </c>
      <c r="B2409" s="71" t="s">
        <v>16864</v>
      </c>
      <c r="C2409" s="71" t="s">
        <v>158</v>
      </c>
    </row>
    <row r="2410">
      <c r="A2410" s="234" t="s">
        <v>19878</v>
      </c>
      <c r="B2410" s="71" t="s">
        <v>16867</v>
      </c>
      <c r="C2410" s="71" t="s">
        <v>16838</v>
      </c>
    </row>
    <row r="2411">
      <c r="A2411" s="234" t="s">
        <v>19878</v>
      </c>
      <c r="B2411" s="71" t="s">
        <v>16838</v>
      </c>
      <c r="C2411" s="71" t="s">
        <v>16867</v>
      </c>
    </row>
    <row r="2412">
      <c r="A2412" s="130" t="s">
        <v>19880</v>
      </c>
      <c r="B2412" s="71" t="s">
        <v>175</v>
      </c>
      <c r="C2412" s="71" t="s">
        <v>19006</v>
      </c>
    </row>
    <row r="2413">
      <c r="A2413" s="234" t="s">
        <v>19882</v>
      </c>
      <c r="B2413" s="71" t="s">
        <v>169</v>
      </c>
      <c r="C2413" s="71" t="s">
        <v>17662</v>
      </c>
    </row>
    <row r="2414">
      <c r="A2414" s="234" t="s">
        <v>19882</v>
      </c>
      <c r="B2414" s="71" t="s">
        <v>17662</v>
      </c>
      <c r="C2414" s="130" t="s">
        <v>169</v>
      </c>
    </row>
    <row r="2415">
      <c r="A2415" s="130" t="s">
        <v>19884</v>
      </c>
      <c r="B2415" s="71" t="s">
        <v>16838</v>
      </c>
      <c r="C2415" s="71" t="s">
        <v>17104</v>
      </c>
    </row>
    <row r="2416">
      <c r="A2416" s="130" t="s">
        <v>19886</v>
      </c>
      <c r="B2416" s="71" t="s">
        <v>187</v>
      </c>
      <c r="C2416" s="71" t="s">
        <v>16846</v>
      </c>
    </row>
    <row r="2417">
      <c r="A2417" s="234" t="s">
        <v>19888</v>
      </c>
      <c r="B2417" s="71" t="s">
        <v>17111</v>
      </c>
      <c r="C2417" s="71" t="s">
        <v>17112</v>
      </c>
    </row>
    <row r="2418">
      <c r="A2418" s="234" t="s">
        <v>19888</v>
      </c>
      <c r="B2418" s="71" t="s">
        <v>17112</v>
      </c>
      <c r="C2418" s="71" t="s">
        <v>17111</v>
      </c>
    </row>
    <row r="2419">
      <c r="A2419" s="234" t="s">
        <v>19890</v>
      </c>
      <c r="B2419" s="71"/>
      <c r="C2419" s="71"/>
    </row>
    <row r="2420">
      <c r="A2420" s="234" t="s">
        <v>19890</v>
      </c>
      <c r="B2420" s="71"/>
      <c r="C2420" s="71"/>
    </row>
    <row r="2421">
      <c r="A2421" s="234" t="s">
        <v>19892</v>
      </c>
      <c r="B2421" s="71" t="s">
        <v>17321</v>
      </c>
      <c r="C2421" s="71" t="s">
        <v>169</v>
      </c>
    </row>
    <row r="2422">
      <c r="A2422" s="234" t="s">
        <v>19892</v>
      </c>
      <c r="B2422" s="71" t="s">
        <v>169</v>
      </c>
      <c r="C2422" s="71" t="s">
        <v>17321</v>
      </c>
    </row>
    <row r="2423">
      <c r="A2423" s="234" t="s">
        <v>19894</v>
      </c>
      <c r="B2423" s="71" t="s">
        <v>18679</v>
      </c>
      <c r="C2423" s="71" t="s">
        <v>16838</v>
      </c>
    </row>
    <row r="2424">
      <c r="A2424" s="234" t="s">
        <v>19894</v>
      </c>
      <c r="B2424" s="71" t="s">
        <v>16838</v>
      </c>
      <c r="C2424" s="71" t="s">
        <v>18679</v>
      </c>
    </row>
    <row r="2425">
      <c r="A2425" s="234" t="s">
        <v>19896</v>
      </c>
      <c r="B2425" s="71" t="s">
        <v>175</v>
      </c>
      <c r="C2425" s="71" t="s">
        <v>17084</v>
      </c>
    </row>
    <row r="2426">
      <c r="A2426" s="234" t="s">
        <v>19896</v>
      </c>
      <c r="B2426" s="71" t="s">
        <v>17084</v>
      </c>
      <c r="C2426" s="71" t="s">
        <v>175</v>
      </c>
    </row>
    <row r="2427">
      <c r="A2427" s="234" t="s">
        <v>19898</v>
      </c>
      <c r="B2427" s="71" t="s">
        <v>17532</v>
      </c>
      <c r="C2427" s="71" t="s">
        <v>169</v>
      </c>
    </row>
    <row r="2428">
      <c r="A2428" s="234" t="s">
        <v>19898</v>
      </c>
      <c r="B2428" s="71" t="s">
        <v>169</v>
      </c>
      <c r="C2428" s="71" t="s">
        <v>17532</v>
      </c>
    </row>
    <row r="2429">
      <c r="A2429" s="130" t="s">
        <v>19900</v>
      </c>
      <c r="B2429" s="71" t="s">
        <v>16838</v>
      </c>
      <c r="C2429" s="71" t="s">
        <v>17016</v>
      </c>
    </row>
    <row r="2430">
      <c r="A2430" s="130" t="s">
        <v>19902</v>
      </c>
      <c r="B2430" s="71" t="s">
        <v>16582</v>
      </c>
      <c r="C2430" s="71" t="s">
        <v>16817</v>
      </c>
    </row>
    <row r="2431">
      <c r="A2431" s="130" t="s">
        <v>19904</v>
      </c>
      <c r="B2431" s="71" t="s">
        <v>17112</v>
      </c>
      <c r="C2431" s="71" t="s">
        <v>17111</v>
      </c>
    </row>
    <row r="2432">
      <c r="A2432" s="234" t="s">
        <v>19906</v>
      </c>
      <c r="B2432" s="71" t="s">
        <v>16885</v>
      </c>
      <c r="C2432" s="71" t="s">
        <v>17726</v>
      </c>
    </row>
    <row r="2433">
      <c r="A2433" s="234" t="s">
        <v>19906</v>
      </c>
      <c r="B2433" s="71" t="s">
        <v>17726</v>
      </c>
      <c r="C2433" s="71" t="s">
        <v>16885</v>
      </c>
    </row>
    <row r="2434">
      <c r="A2434" s="234" t="s">
        <v>19908</v>
      </c>
      <c r="B2434" s="71" t="s">
        <v>16919</v>
      </c>
      <c r="C2434" s="71" t="s">
        <v>17413</v>
      </c>
    </row>
    <row r="2435">
      <c r="A2435" s="234" t="s">
        <v>19908</v>
      </c>
      <c r="B2435" s="71" t="s">
        <v>17413</v>
      </c>
      <c r="C2435" s="71" t="s">
        <v>16919</v>
      </c>
    </row>
    <row r="2436">
      <c r="A2436" s="234" t="s">
        <v>19910</v>
      </c>
      <c r="B2436" s="71" t="s">
        <v>17111</v>
      </c>
      <c r="C2436" s="71" t="s">
        <v>17112</v>
      </c>
    </row>
    <row r="2437">
      <c r="A2437" s="234" t="s">
        <v>19910</v>
      </c>
      <c r="B2437" s="71" t="s">
        <v>17112</v>
      </c>
      <c r="C2437" s="71" t="s">
        <v>17111</v>
      </c>
    </row>
    <row r="2438">
      <c r="A2438" s="234" t="s">
        <v>19912</v>
      </c>
      <c r="B2438" s="71" t="s">
        <v>18903</v>
      </c>
      <c r="C2438" s="71" t="s">
        <v>169</v>
      </c>
    </row>
    <row r="2439">
      <c r="A2439" s="234" t="s">
        <v>19912</v>
      </c>
      <c r="B2439" s="71" t="s">
        <v>169</v>
      </c>
      <c r="C2439" s="71" t="s">
        <v>18903</v>
      </c>
    </row>
    <row r="2440">
      <c r="A2440" s="234" t="s">
        <v>19914</v>
      </c>
      <c r="B2440" s="71" t="s">
        <v>16919</v>
      </c>
      <c r="C2440" s="71" t="s">
        <v>17048</v>
      </c>
    </row>
    <row r="2441">
      <c r="A2441" s="234" t="s">
        <v>19914</v>
      </c>
      <c r="B2441" s="71" t="s">
        <v>17048</v>
      </c>
      <c r="C2441" s="71" t="s">
        <v>16919</v>
      </c>
    </row>
    <row r="2442">
      <c r="A2442" s="234" t="s">
        <v>19916</v>
      </c>
      <c r="B2442" s="71" t="s">
        <v>16919</v>
      </c>
      <c r="C2442" s="71" t="s">
        <v>17176</v>
      </c>
    </row>
    <row r="2443">
      <c r="A2443" s="234" t="s">
        <v>19916</v>
      </c>
      <c r="B2443" s="71" t="s">
        <v>17176</v>
      </c>
      <c r="C2443" s="71" t="s">
        <v>16919</v>
      </c>
    </row>
    <row r="2444">
      <c r="A2444" s="234" t="s">
        <v>19918</v>
      </c>
      <c r="B2444" s="71" t="s">
        <v>175</v>
      </c>
      <c r="C2444" s="71" t="s">
        <v>18063</v>
      </c>
    </row>
    <row r="2445">
      <c r="A2445" s="234" t="s">
        <v>19918</v>
      </c>
      <c r="B2445" s="71" t="s">
        <v>18063</v>
      </c>
      <c r="C2445" s="71" t="s">
        <v>175</v>
      </c>
    </row>
    <row r="2446">
      <c r="A2446" s="234" t="s">
        <v>19920</v>
      </c>
      <c r="B2446" s="71" t="s">
        <v>175</v>
      </c>
      <c r="C2446" s="71" t="s">
        <v>17286</v>
      </c>
    </row>
    <row r="2447">
      <c r="A2447" s="234" t="s">
        <v>19920</v>
      </c>
      <c r="B2447" s="71" t="s">
        <v>17286</v>
      </c>
      <c r="C2447" s="71" t="s">
        <v>175</v>
      </c>
    </row>
    <row r="2448">
      <c r="A2448" s="130" t="s">
        <v>19922</v>
      </c>
      <c r="B2448" s="71" t="s">
        <v>16582</v>
      </c>
      <c r="C2448" s="71" t="s">
        <v>16899</v>
      </c>
    </row>
    <row r="2449">
      <c r="A2449" s="234" t="s">
        <v>19924</v>
      </c>
      <c r="B2449" s="71" t="s">
        <v>158</v>
      </c>
      <c r="C2449" s="71" t="s">
        <v>16864</v>
      </c>
    </row>
    <row r="2450">
      <c r="A2450" s="234" t="s">
        <v>19924</v>
      </c>
      <c r="B2450" s="71" t="s">
        <v>16864</v>
      </c>
      <c r="C2450" s="71" t="s">
        <v>158</v>
      </c>
    </row>
    <row r="2451">
      <c r="A2451" s="130" t="s">
        <v>19926</v>
      </c>
      <c r="B2451" s="71" t="s">
        <v>187</v>
      </c>
      <c r="C2451" s="71" t="s">
        <v>17259</v>
      </c>
    </row>
    <row r="2452">
      <c r="A2452" s="234" t="s">
        <v>19928</v>
      </c>
      <c r="B2452" s="71" t="s">
        <v>169</v>
      </c>
      <c r="C2452" s="71" t="s">
        <v>17025</v>
      </c>
    </row>
    <row r="2453">
      <c r="A2453" s="234" t="s">
        <v>19928</v>
      </c>
      <c r="B2453" s="71" t="s">
        <v>17025</v>
      </c>
      <c r="C2453" s="71" t="s">
        <v>169</v>
      </c>
    </row>
    <row r="2454">
      <c r="A2454" s="234" t="s">
        <v>19930</v>
      </c>
      <c r="B2454" s="71" t="s">
        <v>16582</v>
      </c>
      <c r="C2454" s="71" t="s">
        <v>16930</v>
      </c>
    </row>
    <row r="2455">
      <c r="A2455" s="234" t="s">
        <v>19930</v>
      </c>
      <c r="B2455" s="71" t="s">
        <v>16930</v>
      </c>
      <c r="C2455" s="71" t="s">
        <v>16582</v>
      </c>
    </row>
    <row r="2456">
      <c r="A2456" s="130" t="s">
        <v>19932</v>
      </c>
      <c r="B2456" s="71" t="s">
        <v>187</v>
      </c>
      <c r="C2456" s="71" t="s">
        <v>16846</v>
      </c>
    </row>
    <row r="2457">
      <c r="A2457" s="130" t="s">
        <v>19934</v>
      </c>
      <c r="B2457" s="71" t="s">
        <v>187</v>
      </c>
      <c r="C2457" s="71" t="s">
        <v>16846</v>
      </c>
    </row>
    <row r="2458">
      <c r="A2458" s="234" t="s">
        <v>19936</v>
      </c>
      <c r="B2458" s="71" t="s">
        <v>169</v>
      </c>
      <c r="C2458" s="71" t="s">
        <v>16899</v>
      </c>
    </row>
    <row r="2459">
      <c r="A2459" s="234" t="s">
        <v>19936</v>
      </c>
      <c r="B2459" s="71" t="s">
        <v>16899</v>
      </c>
      <c r="C2459" s="71" t="s">
        <v>169</v>
      </c>
    </row>
    <row r="2460">
      <c r="A2460" s="234" t="s">
        <v>19938</v>
      </c>
      <c r="B2460" s="71" t="s">
        <v>17532</v>
      </c>
      <c r="C2460" s="71" t="s">
        <v>169</v>
      </c>
    </row>
    <row r="2461">
      <c r="A2461" s="234" t="s">
        <v>19938</v>
      </c>
      <c r="B2461" s="71" t="s">
        <v>169</v>
      </c>
      <c r="C2461" s="71" t="s">
        <v>17532</v>
      </c>
    </row>
    <row r="2462">
      <c r="A2462" s="130" t="s">
        <v>19940</v>
      </c>
      <c r="B2462" s="71" t="s">
        <v>175</v>
      </c>
      <c r="C2462" s="71" t="s">
        <v>17084</v>
      </c>
    </row>
    <row r="2463">
      <c r="A2463" s="130" t="s">
        <v>19942</v>
      </c>
      <c r="B2463" s="71" t="s">
        <v>17112</v>
      </c>
      <c r="C2463" s="71" t="s">
        <v>17111</v>
      </c>
    </row>
    <row r="2464">
      <c r="A2464" s="130" t="s">
        <v>19944</v>
      </c>
      <c r="B2464" s="71" t="s">
        <v>187</v>
      </c>
      <c r="C2464" s="71" t="s">
        <v>17564</v>
      </c>
    </row>
    <row r="2465">
      <c r="A2465" s="130" t="s">
        <v>19946</v>
      </c>
      <c r="B2465" s="71" t="s">
        <v>175</v>
      </c>
      <c r="C2465" s="71" t="s">
        <v>17168</v>
      </c>
    </row>
    <row r="2466">
      <c r="A2466" s="130" t="s">
        <v>19948</v>
      </c>
      <c r="B2466" s="71" t="s">
        <v>16926</v>
      </c>
      <c r="C2466" s="71" t="s">
        <v>16960</v>
      </c>
    </row>
    <row r="2467">
      <c r="A2467" s="130" t="s">
        <v>19950</v>
      </c>
      <c r="B2467" s="71" t="s">
        <v>187</v>
      </c>
      <c r="C2467" s="71" t="s">
        <v>16846</v>
      </c>
    </row>
    <row r="2468">
      <c r="A2468" s="234" t="s">
        <v>19952</v>
      </c>
      <c r="B2468" s="71" t="s">
        <v>175</v>
      </c>
      <c r="C2468" s="71" t="s">
        <v>17233</v>
      </c>
    </row>
    <row r="2469">
      <c r="A2469" s="234" t="s">
        <v>19952</v>
      </c>
      <c r="B2469" s="71" t="s">
        <v>17233</v>
      </c>
      <c r="C2469" s="71" t="s">
        <v>175</v>
      </c>
    </row>
    <row r="2470">
      <c r="A2470" s="130" t="s">
        <v>19954</v>
      </c>
      <c r="B2470" s="71" t="s">
        <v>16919</v>
      </c>
      <c r="C2470" s="71" t="s">
        <v>17048</v>
      </c>
    </row>
    <row r="2471">
      <c r="A2471" s="130" t="s">
        <v>19956</v>
      </c>
      <c r="B2471" s="71" t="s">
        <v>16910</v>
      </c>
      <c r="C2471" s="71" t="s">
        <v>17119</v>
      </c>
    </row>
    <row r="2472">
      <c r="A2472" s="234" t="s">
        <v>19958</v>
      </c>
      <c r="B2472" s="71" t="s">
        <v>175</v>
      </c>
      <c r="C2472" s="71" t="s">
        <v>17318</v>
      </c>
    </row>
    <row r="2473">
      <c r="A2473" s="234" t="s">
        <v>19958</v>
      </c>
      <c r="B2473" s="71" t="s">
        <v>17318</v>
      </c>
      <c r="C2473" s="71" t="s">
        <v>175</v>
      </c>
    </row>
    <row r="2474">
      <c r="A2474" s="130" t="s">
        <v>19960</v>
      </c>
      <c r="B2474" s="71" t="s">
        <v>16838</v>
      </c>
      <c r="C2474" s="71" t="s">
        <v>16867</v>
      </c>
    </row>
    <row r="2475">
      <c r="A2475" s="234" t="s">
        <v>19962</v>
      </c>
      <c r="B2475" s="71" t="s">
        <v>158</v>
      </c>
      <c r="C2475" s="71" t="s">
        <v>16864</v>
      </c>
    </row>
    <row r="2476">
      <c r="A2476" s="234" t="s">
        <v>19962</v>
      </c>
      <c r="B2476" s="71" t="s">
        <v>16864</v>
      </c>
      <c r="C2476" s="71" t="s">
        <v>158</v>
      </c>
    </row>
    <row r="2477">
      <c r="A2477" s="130" t="s">
        <v>19964</v>
      </c>
      <c r="B2477" s="71" t="s">
        <v>169</v>
      </c>
      <c r="C2477" s="71" t="s">
        <v>17619</v>
      </c>
    </row>
    <row r="2478">
      <c r="A2478" s="130" t="s">
        <v>19966</v>
      </c>
      <c r="B2478" s="71" t="s">
        <v>16838</v>
      </c>
      <c r="C2478" s="71" t="s">
        <v>16867</v>
      </c>
    </row>
    <row r="2479">
      <c r="A2479" s="234" t="s">
        <v>19968</v>
      </c>
      <c r="B2479" s="71" t="s">
        <v>175</v>
      </c>
      <c r="C2479" s="71" t="s">
        <v>17218</v>
      </c>
    </row>
    <row r="2480">
      <c r="A2480" s="234" t="s">
        <v>19968</v>
      </c>
      <c r="B2480" s="71" t="s">
        <v>17218</v>
      </c>
      <c r="C2480" s="71" t="s">
        <v>175</v>
      </c>
    </row>
    <row r="2481">
      <c r="A2481" s="234" t="s">
        <v>19970</v>
      </c>
      <c r="B2481" s="71" t="s">
        <v>175</v>
      </c>
      <c r="C2481" s="71" t="s">
        <v>17457</v>
      </c>
    </row>
    <row r="2482">
      <c r="A2482" s="234" t="s">
        <v>19970</v>
      </c>
      <c r="B2482" s="71" t="s">
        <v>17457</v>
      </c>
      <c r="C2482" s="71" t="s">
        <v>175</v>
      </c>
    </row>
    <row r="2483">
      <c r="A2483" s="234" t="s">
        <v>19972</v>
      </c>
      <c r="B2483" s="71" t="s">
        <v>16945</v>
      </c>
      <c r="C2483" s="71" t="s">
        <v>169</v>
      </c>
    </row>
    <row r="2484">
      <c r="A2484" s="234" t="s">
        <v>19972</v>
      </c>
      <c r="B2484" s="71" t="s">
        <v>169</v>
      </c>
      <c r="C2484" s="71" t="s">
        <v>16945</v>
      </c>
    </row>
    <row r="2485">
      <c r="A2485" s="234" t="s">
        <v>19973</v>
      </c>
      <c r="B2485" s="71" t="s">
        <v>158</v>
      </c>
      <c r="C2485" s="71" t="s">
        <v>16864</v>
      </c>
    </row>
    <row r="2486">
      <c r="A2486" s="234" t="s">
        <v>19973</v>
      </c>
      <c r="B2486" s="71" t="s">
        <v>16864</v>
      </c>
      <c r="C2486" s="71" t="s">
        <v>158</v>
      </c>
    </row>
    <row r="2487">
      <c r="A2487" s="130" t="s">
        <v>19975</v>
      </c>
      <c r="B2487" s="71" t="s">
        <v>16838</v>
      </c>
      <c r="C2487" s="71" t="s">
        <v>17019</v>
      </c>
    </row>
    <row r="2488">
      <c r="A2488" s="130" t="s">
        <v>19977</v>
      </c>
      <c r="B2488" s="71" t="s">
        <v>16582</v>
      </c>
      <c r="C2488" s="71" t="s">
        <v>17183</v>
      </c>
    </row>
    <row r="2489">
      <c r="A2489" s="130" t="s">
        <v>19979</v>
      </c>
      <c r="B2489" s="71" t="s">
        <v>16582</v>
      </c>
      <c r="C2489" s="71" t="s">
        <v>16817</v>
      </c>
    </row>
    <row r="2490">
      <c r="A2490" s="234" t="s">
        <v>19981</v>
      </c>
      <c r="B2490" s="71" t="s">
        <v>17016</v>
      </c>
      <c r="C2490" s="71" t="s">
        <v>16838</v>
      </c>
    </row>
    <row r="2491">
      <c r="A2491" s="234" t="s">
        <v>19981</v>
      </c>
      <c r="B2491" s="71" t="s">
        <v>16838</v>
      </c>
      <c r="C2491" s="71" t="s">
        <v>17016</v>
      </c>
    </row>
    <row r="2492">
      <c r="A2492" s="130" t="s">
        <v>19983</v>
      </c>
      <c r="B2492" s="71" t="s">
        <v>16582</v>
      </c>
      <c r="C2492" s="71" t="s">
        <v>16817</v>
      </c>
    </row>
    <row r="2493">
      <c r="A2493" s="130" t="s">
        <v>19985</v>
      </c>
      <c r="B2493" s="71" t="s">
        <v>169</v>
      </c>
      <c r="C2493" s="71" t="s">
        <v>17022</v>
      </c>
    </row>
    <row r="2494">
      <c r="A2494" s="234" t="s">
        <v>19987</v>
      </c>
      <c r="B2494" s="71" t="s">
        <v>175</v>
      </c>
      <c r="C2494" s="71" t="s">
        <v>17233</v>
      </c>
    </row>
    <row r="2495">
      <c r="A2495" s="234" t="s">
        <v>19987</v>
      </c>
      <c r="B2495" s="71" t="s">
        <v>17233</v>
      </c>
      <c r="C2495" s="71" t="s">
        <v>175</v>
      </c>
    </row>
    <row r="2496">
      <c r="A2496" s="234" t="s">
        <v>19989</v>
      </c>
      <c r="B2496" s="71" t="s">
        <v>158</v>
      </c>
      <c r="C2496" s="71" t="s">
        <v>17171</v>
      </c>
    </row>
    <row r="2497">
      <c r="A2497" s="234" t="s">
        <v>19989</v>
      </c>
      <c r="B2497" s="71" t="s">
        <v>17171</v>
      </c>
      <c r="C2497" s="71" t="s">
        <v>158</v>
      </c>
    </row>
    <row r="2498">
      <c r="A2498" s="130" t="s">
        <v>19991</v>
      </c>
      <c r="B2498" s="71" t="s">
        <v>187</v>
      </c>
      <c r="C2498" s="71" t="s">
        <v>16846</v>
      </c>
    </row>
    <row r="2499">
      <c r="A2499" s="130" t="s">
        <v>19993</v>
      </c>
      <c r="B2499" s="71" t="s">
        <v>175</v>
      </c>
      <c r="C2499" s="71" t="s">
        <v>16957</v>
      </c>
    </row>
    <row r="2500">
      <c r="A2500" s="234" t="s">
        <v>19995</v>
      </c>
      <c r="B2500" s="71" t="s">
        <v>175</v>
      </c>
      <c r="C2500" s="71" t="s">
        <v>19996</v>
      </c>
    </row>
    <row r="2501">
      <c r="A2501" s="234" t="s">
        <v>19995</v>
      </c>
      <c r="B2501" s="71" t="s">
        <v>19996</v>
      </c>
      <c r="C2501" s="71" t="s">
        <v>175</v>
      </c>
    </row>
    <row r="2502">
      <c r="A2502" s="234" t="s">
        <v>19998</v>
      </c>
      <c r="B2502" s="71" t="s">
        <v>175</v>
      </c>
      <c r="C2502" s="71" t="s">
        <v>17233</v>
      </c>
    </row>
    <row r="2503">
      <c r="A2503" s="234" t="s">
        <v>19998</v>
      </c>
      <c r="B2503" s="71" t="s">
        <v>17233</v>
      </c>
      <c r="C2503" s="71" t="s">
        <v>175</v>
      </c>
    </row>
    <row r="2504">
      <c r="A2504" s="130" t="s">
        <v>20000</v>
      </c>
      <c r="B2504" s="71" t="s">
        <v>175</v>
      </c>
      <c r="C2504" s="71" t="s">
        <v>17350</v>
      </c>
    </row>
    <row r="2505">
      <c r="A2505" s="234" t="s">
        <v>20002</v>
      </c>
      <c r="B2505" s="71"/>
      <c r="C2505" s="71"/>
    </row>
    <row r="2506">
      <c r="A2506" s="234" t="s">
        <v>20002</v>
      </c>
      <c r="B2506" s="71"/>
      <c r="C2506" s="71"/>
    </row>
    <row r="2507">
      <c r="A2507" s="234" t="s">
        <v>20004</v>
      </c>
      <c r="B2507" s="71" t="s">
        <v>17532</v>
      </c>
      <c r="C2507" s="71" t="s">
        <v>169</v>
      </c>
    </row>
    <row r="2508">
      <c r="A2508" s="234" t="s">
        <v>20004</v>
      </c>
      <c r="B2508" s="71" t="s">
        <v>169</v>
      </c>
      <c r="C2508" s="71" t="s">
        <v>17532</v>
      </c>
    </row>
    <row r="2509">
      <c r="A2509" s="234" t="s">
        <v>20006</v>
      </c>
      <c r="B2509" s="71" t="s">
        <v>16582</v>
      </c>
      <c r="C2509" s="71" t="s">
        <v>16817</v>
      </c>
    </row>
    <row r="2510">
      <c r="A2510" s="234" t="s">
        <v>20006</v>
      </c>
      <c r="B2510" s="71" t="s">
        <v>16817</v>
      </c>
      <c r="C2510" s="71" t="s">
        <v>16582</v>
      </c>
    </row>
    <row r="2511">
      <c r="A2511" s="234" t="s">
        <v>20008</v>
      </c>
      <c r="B2511" s="71" t="s">
        <v>158</v>
      </c>
      <c r="C2511" s="71" t="s">
        <v>16864</v>
      </c>
    </row>
    <row r="2512">
      <c r="A2512" s="234" t="s">
        <v>20008</v>
      </c>
      <c r="B2512" s="71" t="s">
        <v>16864</v>
      </c>
      <c r="C2512" s="71" t="s">
        <v>158</v>
      </c>
    </row>
    <row r="2513">
      <c r="A2513" s="130" t="s">
        <v>20010</v>
      </c>
      <c r="B2513" s="71" t="s">
        <v>169</v>
      </c>
      <c r="C2513" s="71" t="s">
        <v>17619</v>
      </c>
    </row>
    <row r="2514">
      <c r="A2514" s="234" t="s">
        <v>20012</v>
      </c>
      <c r="B2514" s="71" t="s">
        <v>175</v>
      </c>
      <c r="C2514" s="71" t="s">
        <v>17457</v>
      </c>
    </row>
    <row r="2515">
      <c r="A2515" s="234" t="s">
        <v>20012</v>
      </c>
      <c r="B2515" s="71" t="s">
        <v>17457</v>
      </c>
      <c r="C2515" s="71" t="s">
        <v>175</v>
      </c>
    </row>
    <row r="2516">
      <c r="A2516" s="130" t="s">
        <v>20014</v>
      </c>
      <c r="B2516" s="71" t="s">
        <v>16838</v>
      </c>
      <c r="C2516" s="71" t="s">
        <v>17019</v>
      </c>
    </row>
    <row r="2517">
      <c r="A2517" s="234" t="s">
        <v>20016</v>
      </c>
      <c r="B2517" s="71" t="s">
        <v>16582</v>
      </c>
      <c r="C2517" s="71" t="s">
        <v>16930</v>
      </c>
    </row>
    <row r="2518">
      <c r="A2518" s="234" t="s">
        <v>20016</v>
      </c>
      <c r="B2518" s="71" t="s">
        <v>16930</v>
      </c>
      <c r="C2518" s="71" t="s">
        <v>16582</v>
      </c>
    </row>
    <row r="2519">
      <c r="A2519" s="130" t="s">
        <v>20018</v>
      </c>
      <c r="B2519" s="71" t="s">
        <v>16910</v>
      </c>
      <c r="C2519" s="71" t="s">
        <v>17502</v>
      </c>
    </row>
    <row r="2520">
      <c r="A2520" s="234" t="s">
        <v>20020</v>
      </c>
      <c r="B2520" s="71" t="s">
        <v>175</v>
      </c>
      <c r="C2520" s="71" t="s">
        <v>16854</v>
      </c>
    </row>
    <row r="2521">
      <c r="A2521" s="234" t="s">
        <v>20020</v>
      </c>
      <c r="B2521" s="71" t="s">
        <v>16854</v>
      </c>
      <c r="C2521" s="71" t="s">
        <v>175</v>
      </c>
    </row>
    <row r="2522">
      <c r="A2522" s="234" t="s">
        <v>20022</v>
      </c>
      <c r="B2522" s="71" t="s">
        <v>16919</v>
      </c>
      <c r="C2522" s="71" t="s">
        <v>17176</v>
      </c>
    </row>
    <row r="2523">
      <c r="A2523" s="234" t="s">
        <v>20022</v>
      </c>
      <c r="B2523" s="71" t="s">
        <v>17176</v>
      </c>
      <c r="C2523" s="71" t="s">
        <v>16919</v>
      </c>
    </row>
    <row r="2524">
      <c r="A2524" s="130" t="s">
        <v>20024</v>
      </c>
      <c r="B2524" s="71" t="s">
        <v>16582</v>
      </c>
      <c r="C2524" s="71" t="s">
        <v>16817</v>
      </c>
    </row>
    <row r="2525">
      <c r="A2525" s="130" t="s">
        <v>20026</v>
      </c>
      <c r="B2525" s="71" t="s">
        <v>158</v>
      </c>
      <c r="C2525" s="71" t="s">
        <v>16864</v>
      </c>
    </row>
    <row r="2526">
      <c r="A2526" s="130" t="s">
        <v>20028</v>
      </c>
      <c r="B2526" s="71" t="s">
        <v>16582</v>
      </c>
      <c r="C2526" s="71" t="s">
        <v>16817</v>
      </c>
    </row>
    <row r="2527">
      <c r="A2527" s="234" t="s">
        <v>20030</v>
      </c>
      <c r="B2527" s="71" t="s">
        <v>169</v>
      </c>
      <c r="C2527" s="71" t="s">
        <v>17619</v>
      </c>
    </row>
    <row r="2528">
      <c r="A2528" s="234" t="s">
        <v>20030</v>
      </c>
      <c r="B2528" s="71" t="s">
        <v>17619</v>
      </c>
      <c r="C2528" s="71" t="s">
        <v>169</v>
      </c>
    </row>
    <row r="2529">
      <c r="A2529" s="234" t="s">
        <v>20032</v>
      </c>
      <c r="B2529" s="71" t="s">
        <v>17321</v>
      </c>
      <c r="C2529" s="71" t="s">
        <v>169</v>
      </c>
    </row>
    <row r="2530">
      <c r="A2530" s="234" t="s">
        <v>20032</v>
      </c>
      <c r="B2530" s="71" t="s">
        <v>169</v>
      </c>
      <c r="C2530" s="71" t="s">
        <v>17321</v>
      </c>
    </row>
    <row r="2531">
      <c r="A2531" s="234" t="s">
        <v>20034</v>
      </c>
      <c r="B2531" s="71" t="s">
        <v>175</v>
      </c>
      <c r="C2531" s="71" t="s">
        <v>18570</v>
      </c>
    </row>
    <row r="2532">
      <c r="A2532" s="234" t="s">
        <v>20034</v>
      </c>
      <c r="B2532" s="71" t="s">
        <v>18570</v>
      </c>
      <c r="C2532" s="71" t="s">
        <v>175</v>
      </c>
    </row>
    <row r="2533">
      <c r="A2533" s="130" t="s">
        <v>20036</v>
      </c>
      <c r="B2533" s="71" t="s">
        <v>187</v>
      </c>
      <c r="C2533" s="71" t="s">
        <v>16969</v>
      </c>
    </row>
    <row r="2534">
      <c r="A2534" s="130" t="s">
        <v>20038</v>
      </c>
      <c r="B2534" s="71" t="s">
        <v>175</v>
      </c>
      <c r="C2534" s="71" t="s">
        <v>17394</v>
      </c>
    </row>
    <row r="2535">
      <c r="A2535" s="130" t="s">
        <v>20040</v>
      </c>
      <c r="B2535" s="71" t="s">
        <v>16582</v>
      </c>
      <c r="C2535" s="71" t="s">
        <v>16817</v>
      </c>
    </row>
    <row r="2536">
      <c r="A2536" s="130" t="s">
        <v>20042</v>
      </c>
      <c r="B2536" s="71" t="s">
        <v>187</v>
      </c>
      <c r="C2536" s="71" t="s">
        <v>16846</v>
      </c>
    </row>
    <row r="2537">
      <c r="A2537" s="234" t="s">
        <v>20044</v>
      </c>
      <c r="B2537" s="71"/>
      <c r="C2537" s="71"/>
    </row>
    <row r="2538">
      <c r="A2538" s="234" t="s">
        <v>20044</v>
      </c>
      <c r="B2538" s="71"/>
      <c r="C2538" s="71"/>
    </row>
    <row r="2539">
      <c r="A2539" s="234" t="s">
        <v>20046</v>
      </c>
      <c r="B2539" s="71" t="s">
        <v>17202</v>
      </c>
      <c r="C2539" s="71" t="s">
        <v>16838</v>
      </c>
    </row>
    <row r="2540">
      <c r="A2540" s="234" t="s">
        <v>20046</v>
      </c>
      <c r="B2540" s="71" t="s">
        <v>16838</v>
      </c>
      <c r="C2540" s="71" t="s">
        <v>17202</v>
      </c>
    </row>
    <row r="2541">
      <c r="A2541" s="130" t="s">
        <v>20048</v>
      </c>
      <c r="B2541" s="71" t="s">
        <v>187</v>
      </c>
      <c r="C2541" s="71" t="s">
        <v>18633</v>
      </c>
    </row>
    <row r="2542">
      <c r="A2542" s="234" t="s">
        <v>20050</v>
      </c>
      <c r="B2542" s="71" t="s">
        <v>158</v>
      </c>
      <c r="C2542" s="71" t="s">
        <v>16870</v>
      </c>
    </row>
    <row r="2543">
      <c r="A2543" s="234" t="s">
        <v>20050</v>
      </c>
      <c r="B2543" s="71" t="s">
        <v>16870</v>
      </c>
      <c r="C2543" s="71" t="s">
        <v>158</v>
      </c>
    </row>
    <row r="2544">
      <c r="A2544" s="234" t="s">
        <v>20052</v>
      </c>
      <c r="B2544" s="71"/>
      <c r="C2544" s="71"/>
    </row>
    <row r="2545">
      <c r="A2545" s="234" t="s">
        <v>20052</v>
      </c>
      <c r="B2545" s="71"/>
      <c r="C2545" s="71"/>
    </row>
    <row r="2546">
      <c r="A2546" s="130" t="s">
        <v>20054</v>
      </c>
      <c r="B2546" s="71" t="s">
        <v>17629</v>
      </c>
      <c r="C2546" s="71" t="s">
        <v>16899</v>
      </c>
    </row>
    <row r="2547">
      <c r="A2547" s="234" t="s">
        <v>20056</v>
      </c>
      <c r="B2547" s="71" t="s">
        <v>175</v>
      </c>
      <c r="C2547" s="71" t="s">
        <v>17318</v>
      </c>
    </row>
    <row r="2548">
      <c r="A2548" s="234" t="s">
        <v>20056</v>
      </c>
      <c r="B2548" s="71" t="s">
        <v>17318</v>
      </c>
      <c r="C2548" s="71" t="s">
        <v>175</v>
      </c>
    </row>
    <row r="2549">
      <c r="A2549" s="234" t="s">
        <v>20058</v>
      </c>
      <c r="B2549" s="71" t="s">
        <v>187</v>
      </c>
      <c r="C2549" s="71" t="s">
        <v>17122</v>
      </c>
    </row>
    <row r="2550">
      <c r="A2550" s="234" t="s">
        <v>20058</v>
      </c>
      <c r="B2550" s="71" t="s">
        <v>17122</v>
      </c>
      <c r="C2550" s="71" t="s">
        <v>187</v>
      </c>
    </row>
    <row r="2551">
      <c r="A2551" s="234" t="s">
        <v>20060</v>
      </c>
      <c r="B2551" s="71" t="s">
        <v>16582</v>
      </c>
      <c r="C2551" s="71" t="s">
        <v>17339</v>
      </c>
    </row>
    <row r="2552">
      <c r="A2552" s="234" t="s">
        <v>20060</v>
      </c>
      <c r="B2552" s="71" t="s">
        <v>17339</v>
      </c>
      <c r="C2552" s="71" t="s">
        <v>16582</v>
      </c>
    </row>
    <row r="2553">
      <c r="A2553" s="130" t="s">
        <v>20062</v>
      </c>
      <c r="B2553" s="71" t="s">
        <v>16582</v>
      </c>
      <c r="C2553" s="71" t="s">
        <v>16817</v>
      </c>
    </row>
    <row r="2554">
      <c r="A2554" s="234" t="s">
        <v>20064</v>
      </c>
      <c r="B2554" s="71" t="s">
        <v>158</v>
      </c>
      <c r="C2554" s="71" t="s">
        <v>16864</v>
      </c>
    </row>
    <row r="2555">
      <c r="A2555" s="234" t="s">
        <v>20064</v>
      </c>
      <c r="B2555" s="71" t="s">
        <v>16864</v>
      </c>
      <c r="C2555" s="71" t="s">
        <v>158</v>
      </c>
    </row>
    <row r="2556">
      <c r="A2556" s="130" t="s">
        <v>20066</v>
      </c>
      <c r="B2556" s="71" t="s">
        <v>16838</v>
      </c>
      <c r="C2556" s="71" t="s">
        <v>17347</v>
      </c>
    </row>
    <row r="2557">
      <c r="A2557" s="130" t="s">
        <v>20068</v>
      </c>
      <c r="B2557" s="71" t="s">
        <v>16582</v>
      </c>
      <c r="C2557" s="71" t="s">
        <v>16930</v>
      </c>
    </row>
    <row r="2558">
      <c r="A2558" s="234" t="s">
        <v>20070</v>
      </c>
      <c r="B2558" s="71" t="s">
        <v>175</v>
      </c>
      <c r="C2558" s="71" t="s">
        <v>17218</v>
      </c>
    </row>
    <row r="2559">
      <c r="A2559" s="234" t="s">
        <v>20070</v>
      </c>
      <c r="B2559" s="71" t="s">
        <v>17218</v>
      </c>
      <c r="C2559" s="71" t="s">
        <v>175</v>
      </c>
    </row>
    <row r="2560">
      <c r="A2560" s="130" t="s">
        <v>20072</v>
      </c>
      <c r="B2560" s="71" t="s">
        <v>16582</v>
      </c>
      <c r="C2560" s="71" t="s">
        <v>16828</v>
      </c>
    </row>
    <row r="2561">
      <c r="A2561" s="234" t="s">
        <v>20074</v>
      </c>
      <c r="B2561" s="71" t="s">
        <v>169</v>
      </c>
      <c r="C2561" s="71" t="s">
        <v>16899</v>
      </c>
    </row>
    <row r="2562">
      <c r="A2562" s="234" t="s">
        <v>20074</v>
      </c>
      <c r="B2562" s="71" t="s">
        <v>16899</v>
      </c>
      <c r="C2562" s="71" t="s">
        <v>169</v>
      </c>
    </row>
    <row r="2563">
      <c r="A2563" s="234" t="s">
        <v>20076</v>
      </c>
      <c r="B2563" s="71" t="s">
        <v>175</v>
      </c>
      <c r="C2563" s="71" t="s">
        <v>16861</v>
      </c>
    </row>
    <row r="2564">
      <c r="A2564" s="234" t="s">
        <v>20076</v>
      </c>
      <c r="B2564" s="71" t="s">
        <v>16861</v>
      </c>
      <c r="C2564" s="71" t="s">
        <v>175</v>
      </c>
    </row>
    <row r="2565">
      <c r="A2565" s="234" t="s">
        <v>20078</v>
      </c>
      <c r="B2565" s="71" t="s">
        <v>187</v>
      </c>
      <c r="C2565" s="71" t="s">
        <v>17122</v>
      </c>
    </row>
    <row r="2566">
      <c r="A2566" s="234" t="s">
        <v>20078</v>
      </c>
      <c r="B2566" s="71" t="s">
        <v>17122</v>
      </c>
      <c r="C2566" s="71" t="s">
        <v>187</v>
      </c>
    </row>
    <row r="2567">
      <c r="A2567" s="234" t="s">
        <v>20080</v>
      </c>
      <c r="B2567" s="71" t="s">
        <v>16919</v>
      </c>
      <c r="C2567" s="71" t="s">
        <v>17413</v>
      </c>
    </row>
    <row r="2568">
      <c r="A2568" s="234" t="s">
        <v>20080</v>
      </c>
      <c r="B2568" s="71" t="s">
        <v>17413</v>
      </c>
      <c r="C2568" s="71" t="s">
        <v>16919</v>
      </c>
    </row>
    <row r="2569">
      <c r="A2569" s="130" t="s">
        <v>20082</v>
      </c>
      <c r="B2569" s="71" t="s">
        <v>169</v>
      </c>
      <c r="C2569" s="71" t="s">
        <v>18098</v>
      </c>
    </row>
    <row r="2570">
      <c r="A2570" s="234" t="s">
        <v>20084</v>
      </c>
      <c r="B2570" s="71" t="s">
        <v>175</v>
      </c>
      <c r="C2570" s="71" t="s">
        <v>16972</v>
      </c>
    </row>
    <row r="2571">
      <c r="A2571" s="234" t="s">
        <v>20084</v>
      </c>
      <c r="B2571" s="71" t="s">
        <v>16972</v>
      </c>
      <c r="C2571" s="71" t="s">
        <v>175</v>
      </c>
    </row>
    <row r="2572">
      <c r="A2572" s="234" t="s">
        <v>20086</v>
      </c>
      <c r="B2572" s="71" t="s">
        <v>17016</v>
      </c>
      <c r="C2572" s="71" t="s">
        <v>16838</v>
      </c>
    </row>
    <row r="2573">
      <c r="A2573" s="234" t="s">
        <v>20086</v>
      </c>
      <c r="B2573" s="71" t="s">
        <v>16838</v>
      </c>
      <c r="C2573" s="71" t="s">
        <v>17016</v>
      </c>
    </row>
    <row r="2574">
      <c r="A2574" s="234" t="s">
        <v>20088</v>
      </c>
      <c r="B2574" s="71" t="s">
        <v>16926</v>
      </c>
      <c r="C2574" s="71" t="s">
        <v>16960</v>
      </c>
    </row>
    <row r="2575">
      <c r="A2575" s="234" t="s">
        <v>20088</v>
      </c>
      <c r="B2575" s="71" t="s">
        <v>16960</v>
      </c>
      <c r="C2575" s="71" t="s">
        <v>16926</v>
      </c>
    </row>
    <row r="2576">
      <c r="A2576" s="130" t="s">
        <v>20090</v>
      </c>
      <c r="B2576" s="71" t="s">
        <v>16919</v>
      </c>
      <c r="C2576" s="71" t="s">
        <v>17176</v>
      </c>
    </row>
    <row r="2577">
      <c r="A2577" s="234" t="s">
        <v>20092</v>
      </c>
      <c r="B2577" s="71" t="s">
        <v>17202</v>
      </c>
      <c r="C2577" s="71" t="s">
        <v>16838</v>
      </c>
    </row>
    <row r="2578">
      <c r="A2578" s="234" t="s">
        <v>20092</v>
      </c>
      <c r="B2578" s="71" t="s">
        <v>16838</v>
      </c>
      <c r="C2578" s="71" t="s">
        <v>17202</v>
      </c>
    </row>
    <row r="2579">
      <c r="A2579" s="234" t="s">
        <v>20094</v>
      </c>
      <c r="B2579" s="71" t="s">
        <v>16945</v>
      </c>
      <c r="C2579" s="71" t="s">
        <v>169</v>
      </c>
    </row>
    <row r="2580">
      <c r="A2580" s="234" t="s">
        <v>20094</v>
      </c>
      <c r="B2580" s="71" t="s">
        <v>169</v>
      </c>
      <c r="C2580" s="71" t="s">
        <v>16945</v>
      </c>
    </row>
    <row r="2581">
      <c r="A2581" s="234" t="s">
        <v>20096</v>
      </c>
      <c r="B2581" s="71" t="s">
        <v>16838</v>
      </c>
      <c r="C2581" s="71" t="s">
        <v>17202</v>
      </c>
    </row>
    <row r="2582">
      <c r="A2582" s="234" t="s">
        <v>20096</v>
      </c>
      <c r="B2582" s="71" t="s">
        <v>17202</v>
      </c>
      <c r="C2582" s="71" t="s">
        <v>16838</v>
      </c>
    </row>
    <row r="2583">
      <c r="A2583" s="234" t="s">
        <v>20099</v>
      </c>
      <c r="B2583" s="71" t="s">
        <v>158</v>
      </c>
      <c r="C2583" s="71" t="s">
        <v>20100</v>
      </c>
    </row>
    <row r="2584">
      <c r="A2584" s="234" t="s">
        <v>20099</v>
      </c>
      <c r="B2584" s="71" t="s">
        <v>20100</v>
      </c>
      <c r="C2584" s="71" t="s">
        <v>158</v>
      </c>
    </row>
    <row r="2585">
      <c r="A2585" s="234" t="s">
        <v>20102</v>
      </c>
      <c r="B2585" s="71" t="s">
        <v>175</v>
      </c>
      <c r="C2585" s="71" t="s">
        <v>17350</v>
      </c>
    </row>
    <row r="2586">
      <c r="A2586" s="234" t="s">
        <v>20102</v>
      </c>
      <c r="B2586" s="71" t="s">
        <v>17350</v>
      </c>
      <c r="C2586" s="71" t="s">
        <v>175</v>
      </c>
    </row>
    <row r="2587">
      <c r="A2587" s="234" t="s">
        <v>20104</v>
      </c>
      <c r="B2587" s="71" t="s">
        <v>158</v>
      </c>
      <c r="C2587" s="71" t="s">
        <v>20100</v>
      </c>
    </row>
    <row r="2588">
      <c r="A2588" s="234" t="s">
        <v>20104</v>
      </c>
      <c r="B2588" s="71" t="s">
        <v>20100</v>
      </c>
      <c r="C2588" s="71" t="s">
        <v>158</v>
      </c>
    </row>
    <row r="2589">
      <c r="A2589" s="234" t="s">
        <v>20106</v>
      </c>
      <c r="B2589" s="71" t="s">
        <v>158</v>
      </c>
      <c r="C2589" s="71" t="s">
        <v>20100</v>
      </c>
    </row>
    <row r="2590">
      <c r="A2590" s="234" t="s">
        <v>20106</v>
      </c>
      <c r="B2590" s="71" t="s">
        <v>20100</v>
      </c>
      <c r="C2590" s="71" t="s">
        <v>158</v>
      </c>
    </row>
    <row r="2591">
      <c r="A2591" s="130" t="s">
        <v>20108</v>
      </c>
      <c r="B2591" s="71" t="s">
        <v>169</v>
      </c>
      <c r="C2591" s="71" t="s">
        <v>16945</v>
      </c>
    </row>
    <row r="2592">
      <c r="A2592" s="130" t="s">
        <v>20110</v>
      </c>
      <c r="B2592" s="71" t="s">
        <v>169</v>
      </c>
      <c r="C2592" s="71" t="s">
        <v>17827</v>
      </c>
    </row>
    <row r="2593">
      <c r="A2593" s="234" t="s">
        <v>20112</v>
      </c>
      <c r="B2593" s="71" t="s">
        <v>17202</v>
      </c>
      <c r="C2593" s="71" t="s">
        <v>16838</v>
      </c>
    </row>
    <row r="2594">
      <c r="A2594" s="234" t="s">
        <v>20112</v>
      </c>
      <c r="B2594" s="71" t="s">
        <v>16838</v>
      </c>
      <c r="C2594" s="71" t="s">
        <v>17202</v>
      </c>
    </row>
    <row r="2595">
      <c r="A2595" s="234" t="s">
        <v>20114</v>
      </c>
      <c r="B2595" s="71" t="s">
        <v>16969</v>
      </c>
      <c r="C2595" s="71" t="s">
        <v>187</v>
      </c>
    </row>
    <row r="2596">
      <c r="A2596" s="234" t="s">
        <v>20114</v>
      </c>
      <c r="B2596" s="71" t="s">
        <v>187</v>
      </c>
      <c r="C2596" s="71" t="s">
        <v>16969</v>
      </c>
    </row>
    <row r="2597">
      <c r="A2597" s="234" t="s">
        <v>20116</v>
      </c>
      <c r="B2597" s="71" t="s">
        <v>16945</v>
      </c>
      <c r="C2597" s="71" t="s">
        <v>169</v>
      </c>
    </row>
    <row r="2598">
      <c r="A2598" s="234" t="s">
        <v>20116</v>
      </c>
      <c r="B2598" s="71" t="s">
        <v>169</v>
      </c>
      <c r="C2598" s="71" t="s">
        <v>16945</v>
      </c>
    </row>
    <row r="2599">
      <c r="A2599" s="234" t="s">
        <v>20118</v>
      </c>
      <c r="B2599" s="71" t="s">
        <v>16885</v>
      </c>
      <c r="C2599" s="71" t="s">
        <v>20119</v>
      </c>
    </row>
    <row r="2600">
      <c r="A2600" s="234" t="s">
        <v>20118</v>
      </c>
      <c r="B2600" s="71" t="s">
        <v>20119</v>
      </c>
      <c r="C2600" s="71" t="s">
        <v>16885</v>
      </c>
    </row>
    <row r="2601">
      <c r="A2601" s="234" t="s">
        <v>20121</v>
      </c>
      <c r="B2601" s="71" t="s">
        <v>16582</v>
      </c>
      <c r="C2601" s="71" t="s">
        <v>16817</v>
      </c>
    </row>
    <row r="2602">
      <c r="A2602" s="234" t="s">
        <v>20121</v>
      </c>
      <c r="B2602" s="71" t="s">
        <v>16817</v>
      </c>
      <c r="C2602" s="71" t="s">
        <v>16582</v>
      </c>
    </row>
    <row r="2603">
      <c r="A2603" s="130" t="s">
        <v>20123</v>
      </c>
      <c r="B2603" s="71" t="s">
        <v>169</v>
      </c>
      <c r="C2603" s="71" t="s">
        <v>17321</v>
      </c>
    </row>
    <row r="2604">
      <c r="A2604" s="130" t="s">
        <v>20125</v>
      </c>
      <c r="B2604" s="71" t="s">
        <v>16582</v>
      </c>
      <c r="C2604" s="71" t="s">
        <v>16828</v>
      </c>
    </row>
    <row r="2605">
      <c r="A2605" s="130" t="s">
        <v>20127</v>
      </c>
      <c r="B2605" s="71" t="s">
        <v>187</v>
      </c>
      <c r="C2605" s="71" t="s">
        <v>16851</v>
      </c>
    </row>
    <row r="2606">
      <c r="A2606" s="234" t="s">
        <v>20129</v>
      </c>
      <c r="B2606" s="71" t="s">
        <v>17111</v>
      </c>
      <c r="C2606" s="71" t="s">
        <v>17112</v>
      </c>
    </row>
    <row r="2607">
      <c r="A2607" s="234" t="s">
        <v>20129</v>
      </c>
      <c r="B2607" s="71" t="s">
        <v>17112</v>
      </c>
      <c r="C2607" s="71" t="s">
        <v>17111</v>
      </c>
    </row>
    <row r="2608">
      <c r="A2608" s="234" t="s">
        <v>20131</v>
      </c>
      <c r="B2608" s="71" t="s">
        <v>16838</v>
      </c>
      <c r="C2608" s="71" t="s">
        <v>17202</v>
      </c>
    </row>
    <row r="2609">
      <c r="A2609" s="234" t="s">
        <v>20131</v>
      </c>
      <c r="B2609" s="71" t="s">
        <v>17202</v>
      </c>
      <c r="C2609" s="71" t="s">
        <v>16838</v>
      </c>
    </row>
    <row r="2610">
      <c r="A2610" s="130" t="s">
        <v>20133</v>
      </c>
      <c r="B2610" s="71" t="s">
        <v>16838</v>
      </c>
      <c r="C2610" s="71" t="s">
        <v>18679</v>
      </c>
    </row>
    <row r="2611">
      <c r="A2611" s="234" t="s">
        <v>20135</v>
      </c>
      <c r="B2611" s="71" t="s">
        <v>169</v>
      </c>
      <c r="C2611" s="71" t="s">
        <v>16899</v>
      </c>
    </row>
    <row r="2612">
      <c r="A2612" s="234" t="s">
        <v>20135</v>
      </c>
      <c r="B2612" s="71" t="s">
        <v>16899</v>
      </c>
      <c r="C2612" s="71" t="s">
        <v>169</v>
      </c>
    </row>
    <row r="2613">
      <c r="A2613" s="234" t="s">
        <v>20137</v>
      </c>
      <c r="B2613" s="71" t="s">
        <v>17321</v>
      </c>
      <c r="C2613" s="71" t="s">
        <v>169</v>
      </c>
    </row>
    <row r="2614">
      <c r="A2614" s="234" t="s">
        <v>20137</v>
      </c>
      <c r="B2614" s="71" t="s">
        <v>169</v>
      </c>
      <c r="C2614" s="71" t="s">
        <v>17321</v>
      </c>
    </row>
    <row r="2615">
      <c r="A2615" s="130" t="s">
        <v>20139</v>
      </c>
      <c r="B2615" s="71" t="s">
        <v>16582</v>
      </c>
      <c r="C2615" s="71" t="s">
        <v>16828</v>
      </c>
    </row>
    <row r="2616">
      <c r="A2616" s="130" t="s">
        <v>20141</v>
      </c>
      <c r="B2616" s="71" t="s">
        <v>175</v>
      </c>
      <c r="C2616" s="71" t="s">
        <v>16854</v>
      </c>
    </row>
    <row r="2617">
      <c r="A2617" s="130" t="s">
        <v>20143</v>
      </c>
      <c r="B2617" s="71" t="s">
        <v>187</v>
      </c>
      <c r="C2617" s="71" t="s">
        <v>18529</v>
      </c>
    </row>
    <row r="2618">
      <c r="A2618" s="130" t="s">
        <v>20145</v>
      </c>
      <c r="B2618" s="71" t="s">
        <v>187</v>
      </c>
      <c r="C2618" s="71" t="s">
        <v>16846</v>
      </c>
    </row>
    <row r="2619">
      <c r="A2619" s="130" t="s">
        <v>20147</v>
      </c>
      <c r="B2619" s="71" t="s">
        <v>16582</v>
      </c>
      <c r="C2619" s="71" t="s">
        <v>16930</v>
      </c>
    </row>
    <row r="2620">
      <c r="A2620" s="234" t="s">
        <v>20149</v>
      </c>
      <c r="B2620" s="71"/>
      <c r="C2620" s="71"/>
    </row>
    <row r="2621">
      <c r="A2621" s="234" t="s">
        <v>20149</v>
      </c>
      <c r="B2621" s="71"/>
      <c r="C2621" s="71"/>
    </row>
    <row r="2622">
      <c r="A2622" s="130" t="s">
        <v>20151</v>
      </c>
      <c r="B2622" s="71" t="s">
        <v>169</v>
      </c>
      <c r="C2622" s="71" t="s">
        <v>17339</v>
      </c>
    </row>
    <row r="2623">
      <c r="A2623" s="130" t="s">
        <v>20153</v>
      </c>
      <c r="B2623" s="71" t="s">
        <v>16582</v>
      </c>
      <c r="C2623" s="71" t="s">
        <v>16930</v>
      </c>
    </row>
    <row r="2624">
      <c r="A2624" s="234" t="s">
        <v>20155</v>
      </c>
      <c r="B2624" s="71" t="s">
        <v>169</v>
      </c>
      <c r="C2624" s="71" t="s">
        <v>17022</v>
      </c>
    </row>
    <row r="2625">
      <c r="A2625" s="234" t="s">
        <v>20155</v>
      </c>
      <c r="B2625" s="71" t="s">
        <v>17022</v>
      </c>
      <c r="C2625" s="71" t="s">
        <v>169</v>
      </c>
    </row>
    <row r="2626">
      <c r="A2626" s="234" t="s">
        <v>20157</v>
      </c>
      <c r="B2626" s="71" t="s">
        <v>17794</v>
      </c>
      <c r="C2626" s="71" t="s">
        <v>16919</v>
      </c>
    </row>
    <row r="2627">
      <c r="A2627" s="234" t="s">
        <v>20157</v>
      </c>
      <c r="B2627" s="71" t="s">
        <v>16919</v>
      </c>
      <c r="C2627" s="71" t="s">
        <v>17794</v>
      </c>
    </row>
    <row r="2628">
      <c r="A2628" s="130" t="s">
        <v>20159</v>
      </c>
      <c r="B2628" s="71" t="s">
        <v>187</v>
      </c>
      <c r="C2628" s="71" t="s">
        <v>16846</v>
      </c>
    </row>
    <row r="2629">
      <c r="A2629" s="130" t="s">
        <v>20161</v>
      </c>
      <c r="B2629" s="71" t="s">
        <v>16582</v>
      </c>
      <c r="C2629" s="71" t="s">
        <v>17183</v>
      </c>
    </row>
    <row r="2630">
      <c r="A2630" s="234" t="s">
        <v>20163</v>
      </c>
      <c r="B2630" s="71" t="s">
        <v>187</v>
      </c>
      <c r="C2630" s="71" t="s">
        <v>16846</v>
      </c>
    </row>
    <row r="2631">
      <c r="A2631" s="234" t="s">
        <v>20163</v>
      </c>
      <c r="B2631" s="71" t="s">
        <v>16846</v>
      </c>
      <c r="C2631" s="71" t="s">
        <v>187</v>
      </c>
    </row>
    <row r="2632">
      <c r="A2632" s="130" t="s">
        <v>20165</v>
      </c>
      <c r="B2632" s="71" t="s">
        <v>187</v>
      </c>
      <c r="C2632" s="71" t="s">
        <v>16969</v>
      </c>
    </row>
    <row r="2633">
      <c r="A2633" s="234" t="s">
        <v>20167</v>
      </c>
      <c r="B2633" s="71" t="s">
        <v>175</v>
      </c>
      <c r="C2633" s="71" t="s">
        <v>17318</v>
      </c>
    </row>
    <row r="2634">
      <c r="A2634" s="234" t="s">
        <v>20167</v>
      </c>
      <c r="B2634" s="71" t="s">
        <v>17318</v>
      </c>
      <c r="C2634" s="71" t="s">
        <v>175</v>
      </c>
    </row>
    <row r="2635">
      <c r="A2635" s="234" t="s">
        <v>20169</v>
      </c>
      <c r="B2635" s="71" t="s">
        <v>16582</v>
      </c>
      <c r="C2635" s="71" t="s">
        <v>16817</v>
      </c>
    </row>
    <row r="2636">
      <c r="A2636" s="234" t="s">
        <v>20169</v>
      </c>
      <c r="B2636" s="71" t="s">
        <v>16817</v>
      </c>
      <c r="C2636" s="71" t="s">
        <v>16582</v>
      </c>
    </row>
    <row r="2637">
      <c r="A2637" s="130" t="s">
        <v>20171</v>
      </c>
      <c r="B2637" s="71" t="s">
        <v>169</v>
      </c>
      <c r="C2637" s="71" t="s">
        <v>16945</v>
      </c>
    </row>
    <row r="2638">
      <c r="A2638" s="234" t="s">
        <v>20173</v>
      </c>
      <c r="B2638" s="71" t="s">
        <v>17104</v>
      </c>
      <c r="C2638" s="71" t="s">
        <v>16838</v>
      </c>
    </row>
    <row r="2639">
      <c r="A2639" s="234" t="s">
        <v>20173</v>
      </c>
      <c r="B2639" s="71" t="s">
        <v>16838</v>
      </c>
      <c r="C2639" s="71" t="s">
        <v>17104</v>
      </c>
    </row>
    <row r="2640">
      <c r="A2640" s="234" t="s">
        <v>20175</v>
      </c>
      <c r="B2640" s="71" t="s">
        <v>187</v>
      </c>
      <c r="C2640" s="71" t="s">
        <v>16846</v>
      </c>
    </row>
    <row r="2641">
      <c r="A2641" s="234" t="s">
        <v>20175</v>
      </c>
      <c r="B2641" s="71" t="s">
        <v>16846</v>
      </c>
      <c r="C2641" s="71" t="s">
        <v>187</v>
      </c>
    </row>
    <row r="2642">
      <c r="A2642" s="234" t="s">
        <v>20177</v>
      </c>
      <c r="B2642" s="71" t="s">
        <v>17112</v>
      </c>
      <c r="C2642" s="71" t="s">
        <v>17457</v>
      </c>
    </row>
    <row r="2643">
      <c r="A2643" s="234" t="s">
        <v>20177</v>
      </c>
      <c r="B2643" s="71" t="s">
        <v>17457</v>
      </c>
      <c r="C2643" s="71" t="s">
        <v>17112</v>
      </c>
    </row>
    <row r="2644">
      <c r="A2644" s="130" t="s">
        <v>20179</v>
      </c>
      <c r="B2644" s="71" t="s">
        <v>16582</v>
      </c>
      <c r="C2644" s="71" t="s">
        <v>16817</v>
      </c>
    </row>
    <row r="2645">
      <c r="A2645" s="130" t="s">
        <v>20181</v>
      </c>
      <c r="B2645" s="71" t="s">
        <v>169</v>
      </c>
      <c r="C2645" s="71" t="s">
        <v>18732</v>
      </c>
    </row>
    <row r="2646">
      <c r="A2646" s="234" t="s">
        <v>20183</v>
      </c>
      <c r="B2646" s="71" t="s">
        <v>17794</v>
      </c>
      <c r="C2646" s="71" t="s">
        <v>16919</v>
      </c>
    </row>
    <row r="2647">
      <c r="A2647" s="234" t="s">
        <v>20183</v>
      </c>
      <c r="B2647" s="71" t="s">
        <v>16919</v>
      </c>
      <c r="C2647" s="71" t="s">
        <v>17794</v>
      </c>
    </row>
    <row r="2648">
      <c r="A2648" s="130" t="s">
        <v>20185</v>
      </c>
      <c r="B2648" s="71" t="s">
        <v>187</v>
      </c>
      <c r="C2648" s="71" t="s">
        <v>16969</v>
      </c>
    </row>
    <row r="2649">
      <c r="A2649" s="234" t="s">
        <v>20187</v>
      </c>
      <c r="B2649" s="71" t="s">
        <v>17202</v>
      </c>
      <c r="C2649" s="71" t="s">
        <v>16838</v>
      </c>
    </row>
    <row r="2650">
      <c r="A2650" s="234" t="s">
        <v>20187</v>
      </c>
      <c r="B2650" s="71" t="s">
        <v>16838</v>
      </c>
      <c r="C2650" s="71" t="s">
        <v>17202</v>
      </c>
    </row>
    <row r="2651">
      <c r="A2651" s="130" t="s">
        <v>20189</v>
      </c>
      <c r="B2651" s="71" t="s">
        <v>16582</v>
      </c>
      <c r="C2651" s="71" t="s">
        <v>16817</v>
      </c>
    </row>
    <row r="2652">
      <c r="A2652" s="130" t="s">
        <v>20191</v>
      </c>
      <c r="B2652" s="71" t="s">
        <v>175</v>
      </c>
      <c r="C2652" s="71" t="s">
        <v>17391</v>
      </c>
    </row>
    <row r="2653">
      <c r="A2653" s="234" t="s">
        <v>20193</v>
      </c>
      <c r="B2653" s="71" t="s">
        <v>16969</v>
      </c>
      <c r="C2653" s="71" t="s">
        <v>187</v>
      </c>
    </row>
    <row r="2654">
      <c r="A2654" s="234" t="s">
        <v>20193</v>
      </c>
      <c r="B2654" s="71" t="s">
        <v>187</v>
      </c>
      <c r="C2654" s="71" t="s">
        <v>16969</v>
      </c>
    </row>
    <row r="2655">
      <c r="A2655" s="234" t="s">
        <v>20195</v>
      </c>
      <c r="B2655" s="71" t="s">
        <v>17111</v>
      </c>
      <c r="C2655" s="71" t="s">
        <v>17112</v>
      </c>
    </row>
    <row r="2656">
      <c r="A2656" s="234" t="s">
        <v>20195</v>
      </c>
      <c r="B2656" s="71" t="s">
        <v>17112</v>
      </c>
      <c r="C2656" s="71" t="s">
        <v>17111</v>
      </c>
    </row>
    <row r="2657">
      <c r="A2657" s="234" t="s">
        <v>20197</v>
      </c>
      <c r="B2657" s="71" t="s">
        <v>17259</v>
      </c>
      <c r="C2657" s="71" t="s">
        <v>187</v>
      </c>
    </row>
    <row r="2658">
      <c r="A2658" s="234" t="s">
        <v>20197</v>
      </c>
      <c r="B2658" s="71" t="s">
        <v>187</v>
      </c>
      <c r="C2658" s="71" t="s">
        <v>17259</v>
      </c>
    </row>
    <row r="2659">
      <c r="A2659" s="234" t="s">
        <v>20199</v>
      </c>
      <c r="B2659" s="71" t="s">
        <v>169</v>
      </c>
      <c r="C2659" s="71" t="s">
        <v>17738</v>
      </c>
    </row>
    <row r="2660">
      <c r="A2660" s="234" t="s">
        <v>20199</v>
      </c>
      <c r="B2660" s="71" t="s">
        <v>17738</v>
      </c>
      <c r="C2660" s="71" t="s">
        <v>169</v>
      </c>
    </row>
    <row r="2661">
      <c r="A2661" s="234" t="s">
        <v>20201</v>
      </c>
      <c r="B2661" s="71" t="s">
        <v>175</v>
      </c>
      <c r="C2661" s="71" t="s">
        <v>16854</v>
      </c>
    </row>
    <row r="2662">
      <c r="A2662" s="234" t="s">
        <v>20201</v>
      </c>
      <c r="B2662" s="71" t="s">
        <v>16854</v>
      </c>
      <c r="C2662" s="71" t="s">
        <v>175</v>
      </c>
    </row>
    <row r="2663">
      <c r="A2663" s="130" t="s">
        <v>20203</v>
      </c>
      <c r="B2663" s="71" t="s">
        <v>158</v>
      </c>
      <c r="C2663" s="71" t="s">
        <v>20100</v>
      </c>
    </row>
    <row r="2664">
      <c r="A2664" s="130" t="s">
        <v>20205</v>
      </c>
      <c r="B2664" s="71" t="s">
        <v>16926</v>
      </c>
      <c r="C2664" s="71" t="s">
        <v>16957</v>
      </c>
    </row>
    <row r="2665">
      <c r="A2665" s="234" t="s">
        <v>20207</v>
      </c>
      <c r="B2665" s="71" t="s">
        <v>158</v>
      </c>
      <c r="C2665" s="71" t="s">
        <v>16899</v>
      </c>
    </row>
    <row r="2666">
      <c r="A2666" s="234" t="s">
        <v>20207</v>
      </c>
      <c r="B2666" s="71" t="s">
        <v>16899</v>
      </c>
      <c r="C2666" s="71" t="s">
        <v>158</v>
      </c>
    </row>
    <row r="2667">
      <c r="A2667" s="234" t="s">
        <v>20209</v>
      </c>
      <c r="B2667" s="71" t="s">
        <v>17112</v>
      </c>
      <c r="C2667" s="71" t="s">
        <v>17218</v>
      </c>
    </row>
    <row r="2668">
      <c r="A2668" s="234" t="s">
        <v>20209</v>
      </c>
      <c r="B2668" s="71" t="s">
        <v>17218</v>
      </c>
      <c r="C2668" s="71" t="s">
        <v>17112</v>
      </c>
    </row>
    <row r="2669">
      <c r="A2669" s="130" t="s">
        <v>20211</v>
      </c>
      <c r="B2669" s="71" t="s">
        <v>187</v>
      </c>
      <c r="C2669" s="71" t="s">
        <v>16846</v>
      </c>
    </row>
    <row r="2670">
      <c r="A2670" s="130" t="s">
        <v>20213</v>
      </c>
      <c r="B2670" s="71" t="s">
        <v>16582</v>
      </c>
      <c r="C2670" s="71" t="s">
        <v>17339</v>
      </c>
    </row>
    <row r="2671">
      <c r="A2671" s="130" t="s">
        <v>20215</v>
      </c>
      <c r="B2671" s="71" t="s">
        <v>187</v>
      </c>
      <c r="C2671" s="71" t="s">
        <v>16858</v>
      </c>
    </row>
    <row r="2672">
      <c r="A2672" s="234" t="s">
        <v>20217</v>
      </c>
      <c r="B2672" s="71" t="s">
        <v>17629</v>
      </c>
      <c r="C2672" s="71" t="s">
        <v>16899</v>
      </c>
    </row>
    <row r="2673">
      <c r="A2673" s="234" t="s">
        <v>20217</v>
      </c>
      <c r="B2673" s="71" t="s">
        <v>16899</v>
      </c>
      <c r="C2673" s="71" t="s">
        <v>17629</v>
      </c>
    </row>
    <row r="2674">
      <c r="A2674" s="130" t="s">
        <v>20219</v>
      </c>
      <c r="B2674" s="71" t="s">
        <v>16838</v>
      </c>
      <c r="C2674" s="71" t="s">
        <v>17019</v>
      </c>
    </row>
    <row r="2675">
      <c r="A2675" s="130" t="s">
        <v>20221</v>
      </c>
      <c r="B2675" s="71" t="s">
        <v>16582</v>
      </c>
      <c r="C2675" s="71" t="s">
        <v>16817</v>
      </c>
    </row>
    <row r="2676">
      <c r="A2676" s="234" t="s">
        <v>20223</v>
      </c>
      <c r="B2676" s="71" t="s">
        <v>16910</v>
      </c>
      <c r="C2676" s="71" t="s">
        <v>17119</v>
      </c>
    </row>
    <row r="2677">
      <c r="A2677" s="234" t="s">
        <v>20223</v>
      </c>
      <c r="B2677" s="71" t="s">
        <v>17119</v>
      </c>
      <c r="C2677" s="71" t="s">
        <v>16910</v>
      </c>
    </row>
    <row r="2678">
      <c r="A2678" s="234" t="s">
        <v>20225</v>
      </c>
      <c r="B2678" s="71" t="s">
        <v>175</v>
      </c>
      <c r="C2678" s="71" t="s">
        <v>17168</v>
      </c>
    </row>
    <row r="2679">
      <c r="A2679" s="234" t="s">
        <v>20225</v>
      </c>
      <c r="B2679" s="71" t="s">
        <v>17168</v>
      </c>
      <c r="C2679" s="71" t="s">
        <v>175</v>
      </c>
    </row>
    <row r="2680">
      <c r="A2680" s="234" t="s">
        <v>20227</v>
      </c>
      <c r="B2680" s="71" t="s">
        <v>16885</v>
      </c>
      <c r="C2680" s="71" t="s">
        <v>17726</v>
      </c>
    </row>
    <row r="2681">
      <c r="A2681" s="234" t="s">
        <v>20227</v>
      </c>
      <c r="B2681" s="71" t="s">
        <v>17726</v>
      </c>
      <c r="C2681" s="71" t="s">
        <v>16885</v>
      </c>
    </row>
    <row r="2682">
      <c r="A2682" s="130" t="s">
        <v>20229</v>
      </c>
      <c r="B2682" s="71" t="s">
        <v>16838</v>
      </c>
      <c r="C2682" s="71" t="s">
        <v>16867</v>
      </c>
    </row>
    <row r="2683">
      <c r="A2683" s="234" t="s">
        <v>20231</v>
      </c>
      <c r="B2683" s="71" t="s">
        <v>175</v>
      </c>
      <c r="C2683" s="71" t="s">
        <v>17350</v>
      </c>
    </row>
    <row r="2684">
      <c r="A2684" s="234" t="s">
        <v>20231</v>
      </c>
      <c r="B2684" s="71" t="s">
        <v>17350</v>
      </c>
      <c r="C2684" s="71" t="s">
        <v>175</v>
      </c>
    </row>
    <row r="2685">
      <c r="A2685" s="130" t="s">
        <v>20232</v>
      </c>
      <c r="B2685" s="71" t="s">
        <v>16582</v>
      </c>
      <c r="C2685" s="71" t="s">
        <v>16930</v>
      </c>
    </row>
    <row r="2686">
      <c r="A2686" s="130" t="s">
        <v>20234</v>
      </c>
      <c r="B2686" s="71" t="s">
        <v>16838</v>
      </c>
      <c r="C2686" s="71" t="s">
        <v>16867</v>
      </c>
    </row>
    <row r="2687">
      <c r="A2687" s="234" t="s">
        <v>20236</v>
      </c>
      <c r="B2687" s="71" t="s">
        <v>175</v>
      </c>
      <c r="C2687" s="71" t="s">
        <v>16854</v>
      </c>
    </row>
    <row r="2688">
      <c r="A2688" s="234" t="s">
        <v>20236</v>
      </c>
      <c r="B2688" s="71" t="s">
        <v>16854</v>
      </c>
      <c r="C2688" s="71" t="s">
        <v>175</v>
      </c>
    </row>
    <row r="2689">
      <c r="A2689" s="234" t="s">
        <v>20238</v>
      </c>
      <c r="B2689" s="71" t="s">
        <v>175</v>
      </c>
      <c r="C2689" s="71" t="s">
        <v>17318</v>
      </c>
    </row>
    <row r="2690">
      <c r="A2690" s="234" t="s">
        <v>20238</v>
      </c>
      <c r="B2690" s="71" t="s">
        <v>17318</v>
      </c>
      <c r="C2690" s="71" t="s">
        <v>175</v>
      </c>
    </row>
    <row r="2691">
      <c r="A2691" s="234" t="s">
        <v>20240</v>
      </c>
      <c r="B2691" s="71" t="s">
        <v>17347</v>
      </c>
      <c r="C2691" s="71" t="s">
        <v>16838</v>
      </c>
    </row>
    <row r="2692">
      <c r="A2692" s="234" t="s">
        <v>20240</v>
      </c>
      <c r="B2692" s="71" t="s">
        <v>16838</v>
      </c>
      <c r="C2692" s="71" t="s">
        <v>17347</v>
      </c>
    </row>
    <row r="2693">
      <c r="A2693" s="130" t="s">
        <v>20242</v>
      </c>
      <c r="B2693" s="71" t="s">
        <v>187</v>
      </c>
      <c r="C2693" s="71" t="s">
        <v>16846</v>
      </c>
    </row>
    <row r="2694">
      <c r="A2694" s="130" t="s">
        <v>20244</v>
      </c>
      <c r="B2694" s="71" t="s">
        <v>16582</v>
      </c>
      <c r="C2694" s="71" t="s">
        <v>16817</v>
      </c>
    </row>
    <row r="2695">
      <c r="A2695" s="130" t="s">
        <v>20246</v>
      </c>
      <c r="B2695" s="71" t="s">
        <v>169</v>
      </c>
      <c r="C2695" s="71" t="s">
        <v>17043</v>
      </c>
    </row>
    <row r="2696">
      <c r="A2696" s="130" t="s">
        <v>20248</v>
      </c>
      <c r="B2696" s="71" t="s">
        <v>16838</v>
      </c>
      <c r="C2696" s="71" t="s">
        <v>16867</v>
      </c>
    </row>
    <row r="2697">
      <c r="A2697" s="234" t="s">
        <v>20250</v>
      </c>
      <c r="B2697" s="71" t="s">
        <v>175</v>
      </c>
      <c r="C2697" s="71" t="s">
        <v>17457</v>
      </c>
    </row>
    <row r="2698">
      <c r="A2698" s="234" t="s">
        <v>20250</v>
      </c>
      <c r="B2698" s="71" t="s">
        <v>17457</v>
      </c>
      <c r="C2698" s="71" t="s">
        <v>175</v>
      </c>
    </row>
    <row r="2699">
      <c r="A2699" s="130" t="s">
        <v>20252</v>
      </c>
      <c r="B2699" s="71" t="s">
        <v>16838</v>
      </c>
      <c r="C2699" s="71" t="s">
        <v>17452</v>
      </c>
    </row>
    <row r="2700">
      <c r="A2700" s="234" t="s">
        <v>20254</v>
      </c>
      <c r="B2700" s="71" t="s">
        <v>175</v>
      </c>
      <c r="C2700" s="71" t="s">
        <v>18268</v>
      </c>
    </row>
    <row r="2701">
      <c r="A2701" s="234" t="s">
        <v>20254</v>
      </c>
      <c r="B2701" s="71" t="s">
        <v>18268</v>
      </c>
      <c r="C2701" s="71" t="s">
        <v>175</v>
      </c>
    </row>
    <row r="2702">
      <c r="A2702" s="234" t="s">
        <v>20256</v>
      </c>
      <c r="B2702" s="71" t="s">
        <v>17111</v>
      </c>
      <c r="C2702" s="71" t="s">
        <v>17112</v>
      </c>
    </row>
    <row r="2703">
      <c r="A2703" s="234" t="s">
        <v>20256</v>
      </c>
      <c r="B2703" s="71" t="s">
        <v>17112</v>
      </c>
      <c r="C2703" s="71" t="s">
        <v>17111</v>
      </c>
    </row>
    <row r="2704">
      <c r="A2704" s="130" t="s">
        <v>20258</v>
      </c>
      <c r="B2704" s="71" t="s">
        <v>16582</v>
      </c>
      <c r="C2704" s="71" t="s">
        <v>17339</v>
      </c>
    </row>
    <row r="2705">
      <c r="A2705" s="130" t="s">
        <v>20260</v>
      </c>
      <c r="B2705" s="71" t="s">
        <v>16838</v>
      </c>
      <c r="C2705" s="71" t="s">
        <v>16867</v>
      </c>
    </row>
    <row r="2706">
      <c r="A2706" s="130" t="s">
        <v>20262</v>
      </c>
      <c r="B2706" s="71" t="s">
        <v>16910</v>
      </c>
      <c r="C2706" s="71" t="s">
        <v>17648</v>
      </c>
    </row>
    <row r="2707">
      <c r="A2707" s="234" t="s">
        <v>20264</v>
      </c>
      <c r="B2707" s="71" t="s">
        <v>17111</v>
      </c>
      <c r="C2707" s="71" t="s">
        <v>17112</v>
      </c>
    </row>
    <row r="2708">
      <c r="A2708" s="234" t="s">
        <v>20264</v>
      </c>
      <c r="B2708" s="71" t="s">
        <v>17112</v>
      </c>
      <c r="C2708" s="71" t="s">
        <v>17111</v>
      </c>
    </row>
    <row r="2709">
      <c r="A2709" s="130" t="s">
        <v>20266</v>
      </c>
      <c r="B2709" s="71" t="s">
        <v>187</v>
      </c>
      <c r="C2709" s="71" t="s">
        <v>16846</v>
      </c>
    </row>
    <row r="2710">
      <c r="A2710" s="130" t="s">
        <v>20268</v>
      </c>
      <c r="B2710" s="71" t="s">
        <v>16926</v>
      </c>
      <c r="C2710" s="71" t="s">
        <v>16957</v>
      </c>
    </row>
    <row r="2711">
      <c r="A2711" s="130" t="s">
        <v>20270</v>
      </c>
      <c r="B2711" s="71" t="s">
        <v>16838</v>
      </c>
      <c r="C2711" s="71" t="s">
        <v>17104</v>
      </c>
    </row>
    <row r="2712">
      <c r="A2712" s="234" t="s">
        <v>20272</v>
      </c>
      <c r="B2712" s="71" t="s">
        <v>158</v>
      </c>
      <c r="C2712" s="71" t="s">
        <v>20100</v>
      </c>
    </row>
    <row r="2713">
      <c r="A2713" s="234" t="s">
        <v>20272</v>
      </c>
      <c r="B2713" s="71" t="s">
        <v>20100</v>
      </c>
      <c r="C2713" s="71" t="s">
        <v>158</v>
      </c>
    </row>
    <row r="2714">
      <c r="A2714" s="234" t="s">
        <v>20274</v>
      </c>
      <c r="B2714" s="71" t="s">
        <v>175</v>
      </c>
      <c r="C2714" s="71" t="s">
        <v>17168</v>
      </c>
    </row>
    <row r="2715">
      <c r="A2715" s="234" t="s">
        <v>20274</v>
      </c>
      <c r="B2715" s="71" t="s">
        <v>17168</v>
      </c>
      <c r="C2715" s="71" t="s">
        <v>175</v>
      </c>
    </row>
    <row r="2716">
      <c r="A2716" s="234" t="s">
        <v>20276</v>
      </c>
      <c r="B2716" s="71" t="s">
        <v>187</v>
      </c>
      <c r="C2716" s="71" t="s">
        <v>16858</v>
      </c>
    </row>
    <row r="2717">
      <c r="A2717" s="234" t="s">
        <v>20276</v>
      </c>
      <c r="B2717" s="71" t="s">
        <v>16858</v>
      </c>
      <c r="C2717" s="71" t="s">
        <v>187</v>
      </c>
    </row>
    <row r="2718">
      <c r="A2718" s="130" t="s">
        <v>20278</v>
      </c>
      <c r="B2718" s="71" t="s">
        <v>16838</v>
      </c>
      <c r="C2718" s="71" t="s">
        <v>16867</v>
      </c>
    </row>
    <row r="2719">
      <c r="A2719" s="130" t="s">
        <v>20280</v>
      </c>
      <c r="B2719" s="71" t="s">
        <v>16582</v>
      </c>
      <c r="C2719" s="71" t="s">
        <v>16828</v>
      </c>
    </row>
    <row r="2720">
      <c r="A2720" s="234" t="s">
        <v>20282</v>
      </c>
      <c r="B2720" s="71" t="s">
        <v>16957</v>
      </c>
      <c r="C2720" s="71" t="s">
        <v>16926</v>
      </c>
    </row>
    <row r="2721">
      <c r="A2721" s="234" t="s">
        <v>20282</v>
      </c>
      <c r="B2721" s="71" t="s">
        <v>16926</v>
      </c>
      <c r="C2721" s="71" t="s">
        <v>16957</v>
      </c>
    </row>
    <row r="2722">
      <c r="A2722" s="234" t="s">
        <v>20284</v>
      </c>
      <c r="B2722" s="71" t="s">
        <v>16838</v>
      </c>
      <c r="C2722" s="71" t="s">
        <v>17002</v>
      </c>
    </row>
    <row r="2723">
      <c r="A2723" s="234" t="s">
        <v>20284</v>
      </c>
      <c r="B2723" s="71" t="s">
        <v>17002</v>
      </c>
      <c r="C2723" s="71" t="s">
        <v>16838</v>
      </c>
    </row>
    <row r="2724">
      <c r="A2724" s="234" t="s">
        <v>20286</v>
      </c>
      <c r="B2724" s="71" t="s">
        <v>175</v>
      </c>
      <c r="C2724" s="71" t="s">
        <v>17168</v>
      </c>
    </row>
    <row r="2725">
      <c r="A2725" s="234" t="s">
        <v>20286</v>
      </c>
      <c r="B2725" s="71" t="s">
        <v>17168</v>
      </c>
      <c r="C2725" s="71" t="s">
        <v>175</v>
      </c>
    </row>
    <row r="2726">
      <c r="A2726" s="130" t="s">
        <v>20288</v>
      </c>
      <c r="B2726" s="71" t="s">
        <v>16582</v>
      </c>
      <c r="C2726" s="71" t="s">
        <v>16817</v>
      </c>
    </row>
    <row r="2727">
      <c r="A2727" s="234" t="s">
        <v>20290</v>
      </c>
      <c r="B2727" s="71" t="s">
        <v>175</v>
      </c>
      <c r="C2727" s="71" t="s">
        <v>17350</v>
      </c>
    </row>
    <row r="2728">
      <c r="A2728" s="234" t="s">
        <v>20290</v>
      </c>
      <c r="B2728" s="71" t="s">
        <v>17350</v>
      </c>
      <c r="C2728" s="71" t="s">
        <v>175</v>
      </c>
    </row>
    <row r="2729">
      <c r="A2729" s="234" t="s">
        <v>20292</v>
      </c>
      <c r="B2729" s="71" t="s">
        <v>175</v>
      </c>
      <c r="C2729" s="71" t="s">
        <v>17457</v>
      </c>
    </row>
    <row r="2730">
      <c r="A2730" s="234" t="s">
        <v>20292</v>
      </c>
      <c r="B2730" s="71" t="s">
        <v>17457</v>
      </c>
      <c r="C2730" s="71" t="s">
        <v>175</v>
      </c>
    </row>
    <row r="2731">
      <c r="A2731" s="130" t="s">
        <v>20294</v>
      </c>
      <c r="B2731" s="71" t="s">
        <v>16838</v>
      </c>
      <c r="C2731" s="71" t="s">
        <v>16867</v>
      </c>
    </row>
    <row r="2732">
      <c r="A2732" s="234" t="s">
        <v>20296</v>
      </c>
      <c r="B2732" s="71" t="s">
        <v>16582</v>
      </c>
      <c r="C2732" s="71" t="s">
        <v>16817</v>
      </c>
    </row>
    <row r="2733">
      <c r="A2733" s="234" t="s">
        <v>20296</v>
      </c>
      <c r="B2733" s="71" t="s">
        <v>16817</v>
      </c>
      <c r="C2733" s="71" t="s">
        <v>16582</v>
      </c>
    </row>
    <row r="2734">
      <c r="A2734" s="234" t="s">
        <v>20298</v>
      </c>
      <c r="B2734" s="71" t="s">
        <v>16885</v>
      </c>
      <c r="C2734" s="71" t="s">
        <v>16886</v>
      </c>
    </row>
    <row r="2735">
      <c r="A2735" s="234" t="s">
        <v>20298</v>
      </c>
      <c r="B2735" s="71" t="s">
        <v>16886</v>
      </c>
      <c r="C2735" s="71" t="s">
        <v>16885</v>
      </c>
    </row>
    <row r="2736">
      <c r="A2736" s="234" t="s">
        <v>20300</v>
      </c>
      <c r="B2736" s="71" t="s">
        <v>17111</v>
      </c>
      <c r="C2736" s="71" t="s">
        <v>17112</v>
      </c>
    </row>
    <row r="2737">
      <c r="A2737" s="234" t="s">
        <v>20300</v>
      </c>
      <c r="B2737" s="71" t="s">
        <v>17112</v>
      </c>
      <c r="C2737" s="71" t="s">
        <v>17111</v>
      </c>
    </row>
    <row r="2738">
      <c r="A2738" s="130" t="s">
        <v>20302</v>
      </c>
      <c r="B2738" s="71" t="s">
        <v>175</v>
      </c>
      <c r="C2738" s="71" t="s">
        <v>17457</v>
      </c>
    </row>
    <row r="2739">
      <c r="A2739" s="234" t="s">
        <v>20304</v>
      </c>
      <c r="B2739" s="71" t="s">
        <v>17019</v>
      </c>
      <c r="C2739" s="71" t="s">
        <v>16838</v>
      </c>
    </row>
    <row r="2740">
      <c r="A2740" s="234" t="s">
        <v>20304</v>
      </c>
      <c r="B2740" s="71" t="s">
        <v>16838</v>
      </c>
      <c r="C2740" s="71" t="s">
        <v>17019</v>
      </c>
    </row>
    <row r="2741">
      <c r="A2741" s="130" t="s">
        <v>20306</v>
      </c>
      <c r="B2741" s="71" t="s">
        <v>175</v>
      </c>
      <c r="C2741" s="71" t="s">
        <v>18500</v>
      </c>
    </row>
    <row r="2742">
      <c r="A2742" s="234" t="s">
        <v>20308</v>
      </c>
      <c r="B2742" s="71" t="s">
        <v>18633</v>
      </c>
      <c r="C2742" s="71" t="s">
        <v>187</v>
      </c>
    </row>
    <row r="2743">
      <c r="A2743" s="234" t="s">
        <v>20308</v>
      </c>
      <c r="B2743" s="71" t="s">
        <v>187</v>
      </c>
      <c r="C2743" s="71" t="s">
        <v>18633</v>
      </c>
    </row>
    <row r="2744">
      <c r="A2744" s="130" t="s">
        <v>20310</v>
      </c>
      <c r="B2744" s="71" t="s">
        <v>16582</v>
      </c>
      <c r="C2744" s="71" t="s">
        <v>16583</v>
      </c>
    </row>
    <row r="2745">
      <c r="A2745" s="130" t="s">
        <v>20312</v>
      </c>
      <c r="B2745" s="71" t="s">
        <v>169</v>
      </c>
      <c r="C2745" s="71" t="s">
        <v>18570</v>
      </c>
    </row>
    <row r="2746">
      <c r="A2746" s="234" t="s">
        <v>20314</v>
      </c>
      <c r="B2746" s="71" t="s">
        <v>158</v>
      </c>
      <c r="C2746" s="71" t="s">
        <v>16920</v>
      </c>
    </row>
    <row r="2747">
      <c r="A2747" s="234" t="s">
        <v>20314</v>
      </c>
      <c r="B2747" s="71" t="s">
        <v>16920</v>
      </c>
      <c r="C2747" s="71" t="s">
        <v>158</v>
      </c>
    </row>
    <row r="2748">
      <c r="A2748" s="234" t="s">
        <v>20316</v>
      </c>
      <c r="B2748" s="71" t="s">
        <v>17111</v>
      </c>
      <c r="C2748" s="71" t="s">
        <v>17112</v>
      </c>
    </row>
    <row r="2749">
      <c r="A2749" s="234" t="s">
        <v>20316</v>
      </c>
      <c r="B2749" s="71" t="s">
        <v>17112</v>
      </c>
      <c r="C2749" s="71" t="s">
        <v>17111</v>
      </c>
    </row>
    <row r="2750">
      <c r="A2750" s="234" t="s">
        <v>20318</v>
      </c>
      <c r="B2750" s="71" t="s">
        <v>16838</v>
      </c>
      <c r="C2750" s="71" t="s">
        <v>17452</v>
      </c>
    </row>
    <row r="2751">
      <c r="A2751" s="234" t="s">
        <v>20318</v>
      </c>
      <c r="B2751" s="71" t="s">
        <v>17452</v>
      </c>
      <c r="C2751" s="71" t="s">
        <v>16838</v>
      </c>
    </row>
    <row r="2752">
      <c r="A2752" s="130" t="s">
        <v>20320</v>
      </c>
      <c r="B2752" s="71" t="s">
        <v>16838</v>
      </c>
      <c r="C2752" s="71" t="s">
        <v>16867</v>
      </c>
    </row>
    <row r="2753">
      <c r="A2753" s="234" t="s">
        <v>20322</v>
      </c>
      <c r="B2753" s="71" t="s">
        <v>169</v>
      </c>
      <c r="C2753" s="71" t="s">
        <v>17805</v>
      </c>
    </row>
    <row r="2754">
      <c r="A2754" s="234" t="s">
        <v>20322</v>
      </c>
      <c r="B2754" s="71" t="s">
        <v>17805</v>
      </c>
      <c r="C2754" s="71" t="s">
        <v>169</v>
      </c>
    </row>
    <row r="2755">
      <c r="A2755" s="234" t="s">
        <v>20324</v>
      </c>
      <c r="B2755" s="71" t="s">
        <v>16910</v>
      </c>
      <c r="C2755" s="71" t="s">
        <v>17996</v>
      </c>
    </row>
    <row r="2756">
      <c r="A2756" s="234" t="s">
        <v>20324</v>
      </c>
      <c r="B2756" s="71" t="s">
        <v>17996</v>
      </c>
      <c r="C2756" s="71" t="s">
        <v>16910</v>
      </c>
    </row>
    <row r="2757">
      <c r="A2757" s="130" t="s">
        <v>20326</v>
      </c>
      <c r="B2757" s="71" t="s">
        <v>175</v>
      </c>
      <c r="C2757" s="71" t="s">
        <v>16824</v>
      </c>
    </row>
    <row r="2758">
      <c r="A2758" s="234" t="s">
        <v>20328</v>
      </c>
      <c r="B2758" s="71" t="s">
        <v>175</v>
      </c>
      <c r="C2758" s="71" t="s">
        <v>16957</v>
      </c>
    </row>
    <row r="2759">
      <c r="A2759" s="234" t="s">
        <v>20328</v>
      </c>
      <c r="B2759" s="71" t="s">
        <v>16957</v>
      </c>
      <c r="C2759" s="130" t="s">
        <v>175</v>
      </c>
    </row>
    <row r="2760">
      <c r="A2760" s="130" t="s">
        <v>20330</v>
      </c>
      <c r="B2760" s="71" t="s">
        <v>175</v>
      </c>
      <c r="C2760" s="71" t="s">
        <v>17233</v>
      </c>
    </row>
    <row r="2761">
      <c r="A2761" s="234" t="s">
        <v>20332</v>
      </c>
      <c r="B2761" s="71" t="s">
        <v>175</v>
      </c>
      <c r="C2761" s="71" t="s">
        <v>18268</v>
      </c>
    </row>
    <row r="2762">
      <c r="A2762" s="234" t="s">
        <v>20332</v>
      </c>
      <c r="B2762" s="71" t="s">
        <v>18268</v>
      </c>
      <c r="C2762" s="71" t="s">
        <v>175</v>
      </c>
    </row>
    <row r="2763">
      <c r="A2763" s="234" t="s">
        <v>20334</v>
      </c>
      <c r="B2763" s="71" t="s">
        <v>16957</v>
      </c>
      <c r="C2763" s="71" t="s">
        <v>16926</v>
      </c>
    </row>
    <row r="2764">
      <c r="A2764" s="234" t="s">
        <v>20334</v>
      </c>
      <c r="B2764" s="71" t="s">
        <v>16926</v>
      </c>
      <c r="C2764" s="71" t="s">
        <v>16957</v>
      </c>
    </row>
    <row r="2765">
      <c r="A2765" s="234" t="s">
        <v>20336</v>
      </c>
      <c r="B2765" s="71" t="s">
        <v>17202</v>
      </c>
      <c r="C2765" s="71" t="s">
        <v>16838</v>
      </c>
    </row>
    <row r="2766">
      <c r="A2766" s="234" t="s">
        <v>20336</v>
      </c>
      <c r="B2766" s="71" t="s">
        <v>16838</v>
      </c>
      <c r="C2766" s="71" t="s">
        <v>17202</v>
      </c>
    </row>
    <row r="2767">
      <c r="A2767" s="234" t="s">
        <v>20338</v>
      </c>
      <c r="B2767" s="71" t="s">
        <v>17111</v>
      </c>
      <c r="C2767" s="71" t="s">
        <v>17112</v>
      </c>
    </row>
    <row r="2768">
      <c r="A2768" s="234" t="s">
        <v>20338</v>
      </c>
      <c r="B2768" s="71" t="s">
        <v>17112</v>
      </c>
      <c r="C2768" s="71" t="s">
        <v>17111</v>
      </c>
    </row>
    <row r="2769">
      <c r="A2769" s="130" t="s">
        <v>20340</v>
      </c>
      <c r="B2769" s="71" t="s">
        <v>158</v>
      </c>
      <c r="C2769" s="71" t="s">
        <v>17048</v>
      </c>
    </row>
    <row r="2770">
      <c r="A2770" s="234" t="s">
        <v>20341</v>
      </c>
      <c r="B2770" s="71" t="s">
        <v>16919</v>
      </c>
      <c r="C2770" s="71" t="s">
        <v>17176</v>
      </c>
    </row>
    <row r="2771">
      <c r="A2771" s="234" t="s">
        <v>20341</v>
      </c>
      <c r="B2771" s="71" t="s">
        <v>17176</v>
      </c>
      <c r="C2771" s="71" t="s">
        <v>16919</v>
      </c>
    </row>
    <row r="2772">
      <c r="A2772" s="234" t="s">
        <v>20343</v>
      </c>
      <c r="B2772" s="71" t="s">
        <v>175</v>
      </c>
      <c r="C2772" s="71" t="s">
        <v>20344</v>
      </c>
    </row>
    <row r="2773">
      <c r="A2773" s="234" t="s">
        <v>20343</v>
      </c>
      <c r="B2773" s="71" t="s">
        <v>20344</v>
      </c>
      <c r="C2773" s="71" t="s">
        <v>175</v>
      </c>
    </row>
    <row r="2774">
      <c r="A2774" s="234" t="s">
        <v>20346</v>
      </c>
      <c r="B2774" s="71" t="s">
        <v>16582</v>
      </c>
      <c r="C2774" s="71" t="s">
        <v>16930</v>
      </c>
    </row>
    <row r="2775">
      <c r="A2775" s="234" t="s">
        <v>20346</v>
      </c>
      <c r="B2775" s="71" t="s">
        <v>16930</v>
      </c>
      <c r="C2775" s="71" t="s">
        <v>16582</v>
      </c>
    </row>
    <row r="2776">
      <c r="A2776" s="234" t="s">
        <v>20348</v>
      </c>
      <c r="B2776" s="71"/>
      <c r="C2776" s="71"/>
    </row>
    <row r="2777">
      <c r="A2777" s="234" t="s">
        <v>20348</v>
      </c>
      <c r="B2777" s="71"/>
      <c r="C2777" s="71"/>
    </row>
    <row r="2778">
      <c r="A2778" s="130" t="s">
        <v>20350</v>
      </c>
      <c r="B2778" s="71" t="s">
        <v>187</v>
      </c>
      <c r="C2778" s="71" t="s">
        <v>16846</v>
      </c>
    </row>
    <row r="2779">
      <c r="A2779" s="130" t="s">
        <v>20352</v>
      </c>
      <c r="B2779" s="71" t="s">
        <v>175</v>
      </c>
      <c r="C2779" s="71" t="s">
        <v>16854</v>
      </c>
    </row>
    <row r="2780">
      <c r="A2780" s="234" t="s">
        <v>20354</v>
      </c>
      <c r="B2780" s="71" t="s">
        <v>16992</v>
      </c>
      <c r="C2780" s="71" t="s">
        <v>187</v>
      </c>
    </row>
    <row r="2781">
      <c r="A2781" s="234" t="s">
        <v>20354</v>
      </c>
      <c r="B2781" s="71" t="s">
        <v>187</v>
      </c>
      <c r="C2781" s="71" t="s">
        <v>16992</v>
      </c>
    </row>
    <row r="2782">
      <c r="A2782" s="130" t="s">
        <v>20356</v>
      </c>
      <c r="B2782" s="71" t="s">
        <v>16582</v>
      </c>
      <c r="C2782" s="71" t="s">
        <v>17435</v>
      </c>
    </row>
    <row r="2783">
      <c r="A2783" s="234" t="s">
        <v>20358</v>
      </c>
      <c r="B2783" s="71" t="s">
        <v>16867</v>
      </c>
      <c r="C2783" s="71" t="s">
        <v>16838</v>
      </c>
    </row>
    <row r="2784">
      <c r="A2784" s="234" t="s">
        <v>20358</v>
      </c>
      <c r="B2784" s="71" t="s">
        <v>16838</v>
      </c>
      <c r="C2784" s="71" t="s">
        <v>16867</v>
      </c>
    </row>
    <row r="2785">
      <c r="A2785" s="234" t="s">
        <v>20360</v>
      </c>
      <c r="B2785" s="71" t="s">
        <v>17057</v>
      </c>
      <c r="C2785" s="71" t="s">
        <v>169</v>
      </c>
    </row>
    <row r="2786">
      <c r="A2786" s="234" t="s">
        <v>20360</v>
      </c>
      <c r="B2786" s="71" t="s">
        <v>169</v>
      </c>
      <c r="C2786" s="71" t="s">
        <v>17057</v>
      </c>
    </row>
    <row r="2787">
      <c r="A2787" s="234" t="s">
        <v>20362</v>
      </c>
      <c r="B2787" s="71" t="s">
        <v>16838</v>
      </c>
      <c r="C2787" s="71" t="s">
        <v>16867</v>
      </c>
    </row>
    <row r="2788">
      <c r="A2788" s="234" t="s">
        <v>20362</v>
      </c>
      <c r="B2788" s="71" t="s">
        <v>16867</v>
      </c>
      <c r="C2788" s="71" t="s">
        <v>16838</v>
      </c>
    </row>
    <row r="2789">
      <c r="A2789" s="130" t="s">
        <v>20364</v>
      </c>
      <c r="B2789" s="71" t="s">
        <v>187</v>
      </c>
      <c r="C2789" s="71" t="s">
        <v>16969</v>
      </c>
    </row>
    <row r="2790">
      <c r="A2790" s="234" t="s">
        <v>20366</v>
      </c>
      <c r="B2790" s="71" t="s">
        <v>16919</v>
      </c>
      <c r="C2790" s="71" t="s">
        <v>16920</v>
      </c>
    </row>
    <row r="2791">
      <c r="A2791" s="234" t="s">
        <v>20366</v>
      </c>
      <c r="B2791" s="71" t="s">
        <v>16920</v>
      </c>
      <c r="C2791" s="71" t="s">
        <v>16919</v>
      </c>
    </row>
    <row r="2792">
      <c r="A2792" s="234" t="s">
        <v>20368</v>
      </c>
      <c r="B2792" s="71" t="s">
        <v>17347</v>
      </c>
      <c r="C2792" s="71" t="s">
        <v>16838</v>
      </c>
    </row>
    <row r="2793">
      <c r="A2793" s="234" t="s">
        <v>20368</v>
      </c>
      <c r="B2793" s="71" t="s">
        <v>16838</v>
      </c>
      <c r="C2793" s="71" t="s">
        <v>17347</v>
      </c>
    </row>
    <row r="2794">
      <c r="A2794" s="130" t="s">
        <v>20370</v>
      </c>
      <c r="B2794" s="71" t="s">
        <v>187</v>
      </c>
      <c r="C2794" s="71" t="s">
        <v>16851</v>
      </c>
    </row>
    <row r="2795">
      <c r="A2795" s="234" t="s">
        <v>20372</v>
      </c>
      <c r="B2795" s="71" t="s">
        <v>17111</v>
      </c>
      <c r="C2795" s="71" t="s">
        <v>17112</v>
      </c>
    </row>
    <row r="2796">
      <c r="A2796" s="234" t="s">
        <v>20372</v>
      </c>
      <c r="B2796" s="71" t="s">
        <v>17112</v>
      </c>
      <c r="C2796" s="71" t="s">
        <v>17111</v>
      </c>
    </row>
    <row r="2797">
      <c r="A2797" s="130" t="s">
        <v>20374</v>
      </c>
      <c r="B2797" s="71" t="s">
        <v>16838</v>
      </c>
      <c r="C2797" s="71" t="s">
        <v>16867</v>
      </c>
    </row>
    <row r="2798">
      <c r="A2798" s="234" t="s">
        <v>20376</v>
      </c>
      <c r="B2798" s="71" t="s">
        <v>175</v>
      </c>
      <c r="C2798" s="71" t="s">
        <v>17452</v>
      </c>
    </row>
    <row r="2799">
      <c r="A2799" s="234" t="s">
        <v>20376</v>
      </c>
      <c r="B2799" s="71" t="s">
        <v>17452</v>
      </c>
      <c r="C2799" s="71" t="s">
        <v>175</v>
      </c>
    </row>
    <row r="2800">
      <c r="A2800" s="130" t="s">
        <v>20378</v>
      </c>
      <c r="B2800" s="71" t="s">
        <v>158</v>
      </c>
      <c r="C2800" s="71" t="s">
        <v>16864</v>
      </c>
    </row>
    <row r="2801">
      <c r="A2801" s="234" t="s">
        <v>20380</v>
      </c>
      <c r="B2801" s="71" t="s">
        <v>17111</v>
      </c>
      <c r="C2801" s="71" t="s">
        <v>17112</v>
      </c>
    </row>
    <row r="2802">
      <c r="A2802" s="234" t="s">
        <v>20380</v>
      </c>
      <c r="B2802" s="71" t="s">
        <v>17112</v>
      </c>
      <c r="C2802" s="71" t="s">
        <v>17111</v>
      </c>
    </row>
    <row r="2803">
      <c r="A2803" s="130" t="s">
        <v>20382</v>
      </c>
      <c r="B2803" s="71" t="s">
        <v>16582</v>
      </c>
      <c r="C2803" s="71" t="s">
        <v>16828</v>
      </c>
    </row>
    <row r="2804">
      <c r="A2804" s="234" t="s">
        <v>20384</v>
      </c>
      <c r="B2804" s="71" t="s">
        <v>17321</v>
      </c>
      <c r="C2804" s="71" t="s">
        <v>169</v>
      </c>
    </row>
    <row r="2805">
      <c r="A2805" s="234" t="s">
        <v>20384</v>
      </c>
      <c r="B2805" s="71" t="s">
        <v>169</v>
      </c>
      <c r="C2805" s="71" t="s">
        <v>17321</v>
      </c>
    </row>
    <row r="2806">
      <c r="A2806" s="234" t="s">
        <v>20386</v>
      </c>
      <c r="B2806" s="71" t="s">
        <v>175</v>
      </c>
      <c r="C2806" s="71" t="s">
        <v>17318</v>
      </c>
    </row>
    <row r="2807">
      <c r="A2807" s="234" t="s">
        <v>20386</v>
      </c>
      <c r="B2807" s="71" t="s">
        <v>17318</v>
      </c>
      <c r="C2807" s="71" t="s">
        <v>175</v>
      </c>
    </row>
    <row r="2808">
      <c r="A2808" s="130" t="s">
        <v>20388</v>
      </c>
      <c r="B2808" s="71" t="s">
        <v>169</v>
      </c>
      <c r="C2808" s="71" t="s">
        <v>16945</v>
      </c>
    </row>
    <row r="2809">
      <c r="A2809" s="234" t="s">
        <v>20390</v>
      </c>
      <c r="B2809" s="71" t="s">
        <v>17019</v>
      </c>
      <c r="C2809" s="71" t="s">
        <v>16838</v>
      </c>
    </row>
    <row r="2810">
      <c r="A2810" s="234" t="s">
        <v>20390</v>
      </c>
      <c r="B2810" s="71" t="s">
        <v>16838</v>
      </c>
      <c r="C2810" s="71" t="s">
        <v>17019</v>
      </c>
    </row>
    <row r="2811">
      <c r="A2811" s="234" t="s">
        <v>20392</v>
      </c>
      <c r="B2811" s="71" t="s">
        <v>17111</v>
      </c>
      <c r="C2811" s="71" t="s">
        <v>17112</v>
      </c>
    </row>
    <row r="2812">
      <c r="A2812" s="234" t="s">
        <v>20392</v>
      </c>
      <c r="B2812" s="71" t="s">
        <v>17112</v>
      </c>
      <c r="C2812" s="71" t="s">
        <v>17111</v>
      </c>
    </row>
    <row r="2813">
      <c r="A2813" s="130" t="s">
        <v>20394</v>
      </c>
      <c r="B2813" s="71" t="s">
        <v>16838</v>
      </c>
      <c r="C2813" s="71" t="s">
        <v>16867</v>
      </c>
    </row>
    <row r="2814">
      <c r="A2814" s="130" t="s">
        <v>20396</v>
      </c>
      <c r="B2814" s="71" t="s">
        <v>175</v>
      </c>
      <c r="C2814" s="71" t="s">
        <v>17812</v>
      </c>
    </row>
    <row r="2815">
      <c r="A2815" s="234" t="s">
        <v>20398</v>
      </c>
      <c r="B2815" s="71" t="s">
        <v>175</v>
      </c>
      <c r="C2815" s="71" t="s">
        <v>17168</v>
      </c>
    </row>
    <row r="2816">
      <c r="A2816" s="234" t="s">
        <v>20398</v>
      </c>
      <c r="B2816" s="71" t="s">
        <v>17168</v>
      </c>
      <c r="C2816" s="71" t="s">
        <v>175</v>
      </c>
    </row>
    <row r="2817">
      <c r="A2817" s="130" t="s">
        <v>20401</v>
      </c>
      <c r="B2817" s="71" t="s">
        <v>187</v>
      </c>
      <c r="C2817" s="71" t="s">
        <v>16846</v>
      </c>
    </row>
    <row r="2818">
      <c r="A2818" s="234" t="s">
        <v>20403</v>
      </c>
      <c r="B2818" s="71" t="s">
        <v>17127</v>
      </c>
      <c r="C2818" s="71" t="s">
        <v>16838</v>
      </c>
    </row>
    <row r="2819">
      <c r="A2819" s="234" t="s">
        <v>20403</v>
      </c>
      <c r="B2819" s="71" t="s">
        <v>16838</v>
      </c>
      <c r="C2819" s="71" t="s">
        <v>17127</v>
      </c>
    </row>
    <row r="2820">
      <c r="A2820" s="234" t="s">
        <v>20405</v>
      </c>
      <c r="B2820" s="71"/>
      <c r="C2820" s="71"/>
    </row>
    <row r="2821">
      <c r="A2821" s="234" t="s">
        <v>20405</v>
      </c>
      <c r="B2821" s="71"/>
      <c r="C2821" s="71"/>
    </row>
    <row r="2822">
      <c r="A2822" s="130" t="s">
        <v>20407</v>
      </c>
      <c r="B2822" s="71" t="s">
        <v>175</v>
      </c>
      <c r="C2822" s="71" t="s">
        <v>16975</v>
      </c>
    </row>
    <row r="2823">
      <c r="A2823" s="234" t="s">
        <v>20409</v>
      </c>
      <c r="B2823" s="71" t="s">
        <v>175</v>
      </c>
      <c r="C2823" s="71" t="s">
        <v>17031</v>
      </c>
    </row>
    <row r="2824">
      <c r="A2824" s="234" t="s">
        <v>20409</v>
      </c>
      <c r="B2824" s="71" t="s">
        <v>17031</v>
      </c>
      <c r="C2824" s="71" t="s">
        <v>175</v>
      </c>
    </row>
    <row r="2825">
      <c r="A2825" s="130" t="s">
        <v>20411</v>
      </c>
      <c r="B2825" s="71" t="s">
        <v>187</v>
      </c>
      <c r="C2825" s="71" t="s">
        <v>16851</v>
      </c>
    </row>
    <row r="2826">
      <c r="A2826" s="130" t="s">
        <v>20413</v>
      </c>
      <c r="B2826" s="71" t="s">
        <v>16838</v>
      </c>
      <c r="C2826" s="71" t="s">
        <v>17016</v>
      </c>
    </row>
    <row r="2827">
      <c r="A2827" s="234" t="s">
        <v>20415</v>
      </c>
      <c r="B2827" s="71" t="s">
        <v>16582</v>
      </c>
      <c r="C2827" s="71" t="s">
        <v>16817</v>
      </c>
    </row>
    <row r="2828">
      <c r="A2828" s="234" t="s">
        <v>20415</v>
      </c>
      <c r="B2828" s="71" t="s">
        <v>16817</v>
      </c>
      <c r="C2828" s="71" t="s">
        <v>16582</v>
      </c>
    </row>
    <row r="2829">
      <c r="A2829" s="234" t="s">
        <v>20417</v>
      </c>
      <c r="B2829" s="71" t="s">
        <v>187</v>
      </c>
      <c r="C2829" s="71" t="s">
        <v>16846</v>
      </c>
    </row>
    <row r="2830">
      <c r="A2830" s="234" t="s">
        <v>20417</v>
      </c>
      <c r="B2830" s="71" t="s">
        <v>16846</v>
      </c>
      <c r="C2830" s="71" t="s">
        <v>187</v>
      </c>
    </row>
    <row r="2831">
      <c r="A2831" s="234" t="s">
        <v>20419</v>
      </c>
      <c r="B2831" s="71" t="s">
        <v>16582</v>
      </c>
      <c r="C2831" s="71" t="s">
        <v>16817</v>
      </c>
    </row>
    <row r="2832">
      <c r="A2832" s="234" t="s">
        <v>20419</v>
      </c>
      <c r="B2832" s="71" t="s">
        <v>16817</v>
      </c>
      <c r="C2832" s="71" t="s">
        <v>16582</v>
      </c>
    </row>
    <row r="2833">
      <c r="A2833" s="130" t="s">
        <v>20421</v>
      </c>
      <c r="B2833" s="71" t="s">
        <v>16838</v>
      </c>
      <c r="C2833" s="71" t="s">
        <v>17016</v>
      </c>
    </row>
    <row r="2834">
      <c r="A2834" s="234" t="s">
        <v>20423</v>
      </c>
      <c r="B2834" s="71" t="s">
        <v>16945</v>
      </c>
      <c r="C2834" s="71" t="s">
        <v>169</v>
      </c>
    </row>
    <row r="2835">
      <c r="A2835" s="234" t="s">
        <v>20423</v>
      </c>
      <c r="B2835" s="71" t="s">
        <v>169</v>
      </c>
      <c r="C2835" s="71" t="s">
        <v>16945</v>
      </c>
    </row>
    <row r="2836">
      <c r="A2836" s="130" t="s">
        <v>20425</v>
      </c>
      <c r="B2836" s="71" t="s">
        <v>187</v>
      </c>
      <c r="C2836" s="71" t="s">
        <v>17122</v>
      </c>
    </row>
    <row r="2837">
      <c r="A2837" s="130" t="s">
        <v>20427</v>
      </c>
      <c r="B2837" s="71" t="s">
        <v>169</v>
      </c>
      <c r="C2837" s="71" t="s">
        <v>18903</v>
      </c>
    </row>
    <row r="2838">
      <c r="A2838" s="130" t="s">
        <v>20429</v>
      </c>
      <c r="B2838" s="71" t="s">
        <v>16838</v>
      </c>
      <c r="C2838" s="71" t="s">
        <v>16867</v>
      </c>
    </row>
    <row r="2839">
      <c r="A2839" s="234" t="s">
        <v>20431</v>
      </c>
      <c r="B2839" s="71" t="s">
        <v>158</v>
      </c>
      <c r="C2839" s="71" t="s">
        <v>20100</v>
      </c>
    </row>
    <row r="2840">
      <c r="A2840" s="234" t="s">
        <v>20431</v>
      </c>
      <c r="B2840" s="71" t="s">
        <v>20100</v>
      </c>
      <c r="C2840" s="71" t="s">
        <v>158</v>
      </c>
    </row>
    <row r="2841">
      <c r="A2841" s="234" t="s">
        <v>20433</v>
      </c>
      <c r="B2841" s="71" t="s">
        <v>17111</v>
      </c>
      <c r="C2841" s="71" t="s">
        <v>17112</v>
      </c>
    </row>
    <row r="2842">
      <c r="A2842" s="234" t="s">
        <v>20433</v>
      </c>
      <c r="B2842" s="71" t="s">
        <v>17112</v>
      </c>
      <c r="C2842" s="71" t="s">
        <v>17111</v>
      </c>
    </row>
    <row r="2843">
      <c r="A2843" s="130" t="s">
        <v>20435</v>
      </c>
      <c r="B2843" s="71" t="s">
        <v>175</v>
      </c>
      <c r="C2843" s="71" t="s">
        <v>17452</v>
      </c>
    </row>
    <row r="2844">
      <c r="A2844" s="130" t="s">
        <v>20437</v>
      </c>
      <c r="B2844" s="71" t="s">
        <v>16838</v>
      </c>
      <c r="C2844" s="71" t="s">
        <v>16867</v>
      </c>
    </row>
    <row r="2845">
      <c r="A2845" s="234" t="s">
        <v>20439</v>
      </c>
      <c r="B2845" s="71" t="s">
        <v>19719</v>
      </c>
      <c r="C2845" s="71" t="s">
        <v>169</v>
      </c>
    </row>
    <row r="2846">
      <c r="A2846" s="234" t="s">
        <v>20439</v>
      </c>
      <c r="B2846" s="71" t="s">
        <v>169</v>
      </c>
      <c r="C2846" s="71" t="s">
        <v>19719</v>
      </c>
    </row>
    <row r="2847">
      <c r="A2847" s="130" t="s">
        <v>20441</v>
      </c>
      <c r="B2847" s="71" t="s">
        <v>16910</v>
      </c>
      <c r="C2847" s="71" t="s">
        <v>17662</v>
      </c>
    </row>
    <row r="2848">
      <c r="A2848" s="234" t="s">
        <v>20443</v>
      </c>
      <c r="B2848" s="71" t="s">
        <v>16945</v>
      </c>
      <c r="C2848" s="71" t="s">
        <v>169</v>
      </c>
    </row>
    <row r="2849">
      <c r="A2849" s="234" t="s">
        <v>20443</v>
      </c>
      <c r="B2849" s="71" t="s">
        <v>169</v>
      </c>
      <c r="C2849" s="71" t="s">
        <v>16945</v>
      </c>
    </row>
    <row r="2850">
      <c r="A2850" s="130" t="s">
        <v>20445</v>
      </c>
      <c r="B2850" s="71" t="s">
        <v>169</v>
      </c>
      <c r="C2850" s="71" t="s">
        <v>18903</v>
      </c>
    </row>
    <row r="2851">
      <c r="A2851" s="234" t="s">
        <v>20447</v>
      </c>
      <c r="B2851" s="71" t="s">
        <v>17629</v>
      </c>
      <c r="C2851" s="71" t="s">
        <v>16899</v>
      </c>
    </row>
    <row r="2852">
      <c r="A2852" s="234" t="s">
        <v>20447</v>
      </c>
      <c r="B2852" s="71" t="s">
        <v>16899</v>
      </c>
      <c r="C2852" s="71" t="s">
        <v>17629</v>
      </c>
    </row>
    <row r="2853">
      <c r="A2853" s="234" t="s">
        <v>20449</v>
      </c>
      <c r="B2853" s="71" t="s">
        <v>17112</v>
      </c>
      <c r="C2853" s="71" t="s">
        <v>17218</v>
      </c>
    </row>
    <row r="2854">
      <c r="A2854" s="234" t="s">
        <v>20449</v>
      </c>
      <c r="B2854" s="71" t="s">
        <v>17218</v>
      </c>
      <c r="C2854" s="71" t="s">
        <v>17112</v>
      </c>
    </row>
    <row r="2855">
      <c r="A2855" s="130" t="s">
        <v>20451</v>
      </c>
      <c r="B2855" s="71" t="s">
        <v>16582</v>
      </c>
      <c r="C2855" s="71" t="s">
        <v>16828</v>
      </c>
    </row>
    <row r="2856">
      <c r="A2856" s="234" t="s">
        <v>20453</v>
      </c>
      <c r="B2856" s="71" t="s">
        <v>17202</v>
      </c>
      <c r="C2856" s="71" t="s">
        <v>16838</v>
      </c>
    </row>
    <row r="2857">
      <c r="A2857" s="234" t="s">
        <v>20453</v>
      </c>
      <c r="B2857" s="71" t="s">
        <v>16838</v>
      </c>
      <c r="C2857" s="71" t="s">
        <v>17202</v>
      </c>
    </row>
    <row r="2858">
      <c r="A2858" s="234" t="s">
        <v>20455</v>
      </c>
      <c r="B2858" s="71"/>
      <c r="C2858" s="71"/>
    </row>
    <row r="2859">
      <c r="A2859" s="234" t="s">
        <v>20455</v>
      </c>
      <c r="B2859" s="71"/>
      <c r="C2859" s="71"/>
    </row>
    <row r="2860">
      <c r="A2860" s="234" t="s">
        <v>20457</v>
      </c>
      <c r="B2860" s="71" t="s">
        <v>17111</v>
      </c>
      <c r="C2860" s="71" t="s">
        <v>17112</v>
      </c>
    </row>
    <row r="2861">
      <c r="A2861" s="234" t="s">
        <v>20457</v>
      </c>
      <c r="B2861" s="71" t="s">
        <v>17112</v>
      </c>
      <c r="C2861" s="71" t="s">
        <v>17111</v>
      </c>
    </row>
    <row r="2862">
      <c r="A2862" s="130" t="s">
        <v>20459</v>
      </c>
      <c r="B2862" s="71" t="s">
        <v>16582</v>
      </c>
      <c r="C2862" s="71" t="s">
        <v>16817</v>
      </c>
    </row>
    <row r="2863">
      <c r="A2863" s="130" t="s">
        <v>20461</v>
      </c>
      <c r="B2863" s="71" t="s">
        <v>187</v>
      </c>
      <c r="C2863" s="71" t="s">
        <v>16858</v>
      </c>
    </row>
    <row r="2864">
      <c r="A2864" s="234" t="s">
        <v>20463</v>
      </c>
      <c r="B2864" s="71" t="s">
        <v>175</v>
      </c>
      <c r="C2864" s="71" t="s">
        <v>16861</v>
      </c>
    </row>
    <row r="2865">
      <c r="A2865" s="234" t="s">
        <v>20463</v>
      </c>
      <c r="B2865" s="71" t="s">
        <v>16861</v>
      </c>
      <c r="C2865" s="71" t="s">
        <v>175</v>
      </c>
    </row>
    <row r="2866">
      <c r="A2866" s="130" t="s">
        <v>20465</v>
      </c>
      <c r="B2866" s="71" t="s">
        <v>16582</v>
      </c>
      <c r="C2866" s="71" t="s">
        <v>16828</v>
      </c>
    </row>
    <row r="2867">
      <c r="A2867" s="130" t="s">
        <v>20467</v>
      </c>
      <c r="B2867" s="71" t="s">
        <v>16582</v>
      </c>
      <c r="C2867" s="71" t="s">
        <v>16583</v>
      </c>
    </row>
    <row r="2868">
      <c r="A2868" s="234" t="s">
        <v>20469</v>
      </c>
      <c r="B2868" s="71" t="s">
        <v>169</v>
      </c>
      <c r="C2868" s="71" t="s">
        <v>19139</v>
      </c>
    </row>
    <row r="2869">
      <c r="A2869" s="234" t="s">
        <v>20469</v>
      </c>
      <c r="B2869" s="71" t="s">
        <v>19139</v>
      </c>
      <c r="C2869" s="71" t="s">
        <v>169</v>
      </c>
    </row>
    <row r="2870">
      <c r="A2870" s="130" t="s">
        <v>20471</v>
      </c>
      <c r="B2870" s="71" t="s">
        <v>187</v>
      </c>
      <c r="C2870" s="71" t="s">
        <v>16846</v>
      </c>
    </row>
    <row r="2871">
      <c r="A2871" s="130" t="s">
        <v>20473</v>
      </c>
      <c r="B2871" s="71" t="s">
        <v>169</v>
      </c>
      <c r="C2871" s="71" t="s">
        <v>17726</v>
      </c>
    </row>
    <row r="2872">
      <c r="A2872" s="234" t="s">
        <v>20475</v>
      </c>
      <c r="B2872" s="71" t="s">
        <v>17016</v>
      </c>
      <c r="C2872" s="71" t="s">
        <v>16838</v>
      </c>
    </row>
    <row r="2873">
      <c r="A2873" s="234" t="s">
        <v>20475</v>
      </c>
      <c r="B2873" s="71" t="s">
        <v>16838</v>
      </c>
      <c r="C2873" s="71" t="s">
        <v>17016</v>
      </c>
    </row>
    <row r="2874">
      <c r="A2874" s="130" t="s">
        <v>20477</v>
      </c>
      <c r="B2874" s="71" t="s">
        <v>16885</v>
      </c>
      <c r="C2874" s="71" t="s">
        <v>16886</v>
      </c>
    </row>
    <row r="2875">
      <c r="A2875" s="130" t="s">
        <v>20479</v>
      </c>
      <c r="B2875" s="71" t="s">
        <v>187</v>
      </c>
      <c r="C2875" s="71" t="s">
        <v>16858</v>
      </c>
    </row>
    <row r="2876">
      <c r="A2876" s="234" t="s">
        <v>20481</v>
      </c>
      <c r="B2876" s="71"/>
      <c r="C2876" s="71"/>
    </row>
    <row r="2877">
      <c r="A2877" s="234" t="s">
        <v>20481</v>
      </c>
      <c r="B2877" s="71"/>
      <c r="C2877" s="71"/>
    </row>
    <row r="2878">
      <c r="A2878" s="130" t="s">
        <v>20483</v>
      </c>
      <c r="B2878" s="71" t="s">
        <v>175</v>
      </c>
      <c r="C2878" s="71" t="s">
        <v>18352</v>
      </c>
    </row>
    <row r="2879">
      <c r="A2879" s="234" t="s">
        <v>20485</v>
      </c>
      <c r="B2879" s="71" t="s">
        <v>158</v>
      </c>
      <c r="C2879" s="71" t="s">
        <v>16864</v>
      </c>
    </row>
    <row r="2880">
      <c r="A2880" s="234" t="s">
        <v>20485</v>
      </c>
      <c r="B2880" s="71" t="s">
        <v>16864</v>
      </c>
      <c r="C2880" s="71" t="s">
        <v>158</v>
      </c>
    </row>
    <row r="2881">
      <c r="A2881" s="234" t="s">
        <v>20487</v>
      </c>
      <c r="B2881" s="71" t="s">
        <v>158</v>
      </c>
      <c r="C2881" s="71" t="s">
        <v>16899</v>
      </c>
    </row>
    <row r="2882">
      <c r="A2882" s="234" t="s">
        <v>20487</v>
      </c>
      <c r="B2882" s="71" t="s">
        <v>16899</v>
      </c>
      <c r="C2882" s="71" t="s">
        <v>158</v>
      </c>
    </row>
    <row r="2883">
      <c r="A2883" s="130" t="s">
        <v>20489</v>
      </c>
      <c r="B2883" s="71" t="s">
        <v>175</v>
      </c>
      <c r="C2883" s="71" t="s">
        <v>17233</v>
      </c>
    </row>
    <row r="2884">
      <c r="A2884" s="234" t="s">
        <v>20491</v>
      </c>
      <c r="B2884" s="71" t="s">
        <v>175</v>
      </c>
      <c r="C2884" s="71" t="s">
        <v>17350</v>
      </c>
    </row>
    <row r="2885">
      <c r="A2885" s="234" t="s">
        <v>20491</v>
      </c>
      <c r="B2885" s="71" t="s">
        <v>17350</v>
      </c>
      <c r="C2885" s="71" t="s">
        <v>175</v>
      </c>
    </row>
    <row r="2886">
      <c r="A2886" s="130" t="s">
        <v>20493</v>
      </c>
      <c r="B2886" s="71" t="s">
        <v>169</v>
      </c>
      <c r="C2886" s="71" t="s">
        <v>18903</v>
      </c>
    </row>
    <row r="2887">
      <c r="A2887" s="234" t="s">
        <v>20495</v>
      </c>
      <c r="B2887" s="71" t="s">
        <v>16885</v>
      </c>
      <c r="C2887" s="71" t="s">
        <v>17726</v>
      </c>
    </row>
    <row r="2888">
      <c r="A2888" s="234" t="s">
        <v>20495</v>
      </c>
      <c r="B2888" s="71" t="s">
        <v>17726</v>
      </c>
      <c r="C2888" s="71" t="s">
        <v>16885</v>
      </c>
    </row>
    <row r="2889">
      <c r="A2889" s="130" t="s">
        <v>20497</v>
      </c>
      <c r="B2889" s="71" t="s">
        <v>187</v>
      </c>
      <c r="C2889" s="71" t="s">
        <v>16846</v>
      </c>
    </row>
    <row r="2890">
      <c r="A2890" s="130" t="s">
        <v>20499</v>
      </c>
      <c r="B2890" s="71" t="s">
        <v>175</v>
      </c>
      <c r="C2890" s="71" t="s">
        <v>18570</v>
      </c>
    </row>
    <row r="2891">
      <c r="A2891" s="130" t="s">
        <v>20501</v>
      </c>
      <c r="B2891" s="71" t="s">
        <v>16582</v>
      </c>
      <c r="C2891" s="71" t="s">
        <v>17342</v>
      </c>
    </row>
    <row r="2892">
      <c r="A2892" s="234" t="s">
        <v>20503</v>
      </c>
      <c r="B2892" s="71" t="s">
        <v>16582</v>
      </c>
      <c r="C2892" s="71" t="s">
        <v>17183</v>
      </c>
    </row>
    <row r="2893">
      <c r="A2893" s="234" t="s">
        <v>20503</v>
      </c>
      <c r="B2893" s="71" t="s">
        <v>17183</v>
      </c>
      <c r="C2893" s="71" t="s">
        <v>16582</v>
      </c>
    </row>
    <row r="2894">
      <c r="A2894" s="234" t="s">
        <v>20505</v>
      </c>
      <c r="B2894" s="71" t="s">
        <v>17702</v>
      </c>
      <c r="C2894" s="71" t="s">
        <v>169</v>
      </c>
    </row>
    <row r="2895">
      <c r="A2895" s="234" t="s">
        <v>20505</v>
      </c>
      <c r="B2895" s="71" t="s">
        <v>169</v>
      </c>
      <c r="C2895" s="71" t="s">
        <v>17702</v>
      </c>
    </row>
    <row r="2896">
      <c r="A2896" s="234" t="s">
        <v>20507</v>
      </c>
      <c r="B2896" s="71" t="s">
        <v>16910</v>
      </c>
      <c r="C2896" s="71" t="s">
        <v>17662</v>
      </c>
    </row>
    <row r="2897">
      <c r="A2897" s="234" t="s">
        <v>20507</v>
      </c>
      <c r="B2897" s="71" t="s">
        <v>17662</v>
      </c>
      <c r="C2897" s="71" t="s">
        <v>16910</v>
      </c>
    </row>
    <row r="2898">
      <c r="A2898" s="130" t="s">
        <v>20509</v>
      </c>
      <c r="B2898" s="71" t="s">
        <v>169</v>
      </c>
      <c r="C2898" s="71" t="s">
        <v>17043</v>
      </c>
    </row>
    <row r="2899">
      <c r="A2899" s="234" t="s">
        <v>20511</v>
      </c>
      <c r="B2899" s="71" t="s">
        <v>16582</v>
      </c>
      <c r="C2899" s="71" t="s">
        <v>16899</v>
      </c>
    </row>
    <row r="2900">
      <c r="A2900" s="234" t="s">
        <v>20511</v>
      </c>
      <c r="B2900" s="71" t="s">
        <v>16899</v>
      </c>
      <c r="C2900" s="71" t="s">
        <v>16582</v>
      </c>
    </row>
    <row r="2901">
      <c r="A2901" s="234" t="s">
        <v>20513</v>
      </c>
      <c r="B2901" s="71" t="s">
        <v>175</v>
      </c>
      <c r="C2901" s="71" t="s">
        <v>17233</v>
      </c>
    </row>
    <row r="2902">
      <c r="A2902" s="234" t="s">
        <v>20513</v>
      </c>
      <c r="B2902" s="71" t="s">
        <v>17233</v>
      </c>
      <c r="C2902" s="71" t="s">
        <v>175</v>
      </c>
    </row>
    <row r="2903">
      <c r="A2903" s="234" t="s">
        <v>20515</v>
      </c>
      <c r="B2903" s="71" t="s">
        <v>175</v>
      </c>
      <c r="C2903" s="71" t="s">
        <v>16942</v>
      </c>
    </row>
    <row r="2904">
      <c r="A2904" s="234" t="s">
        <v>20515</v>
      </c>
      <c r="B2904" s="71" t="s">
        <v>16942</v>
      </c>
      <c r="C2904" s="71" t="s">
        <v>175</v>
      </c>
    </row>
    <row r="2905">
      <c r="A2905" s="130" t="s">
        <v>20517</v>
      </c>
      <c r="B2905" s="71" t="s">
        <v>16838</v>
      </c>
      <c r="C2905" s="71" t="s">
        <v>16867</v>
      </c>
    </row>
    <row r="2906">
      <c r="A2906" s="130" t="s">
        <v>20519</v>
      </c>
      <c r="B2906" s="71" t="s">
        <v>175</v>
      </c>
      <c r="C2906" s="71" t="s">
        <v>19996</v>
      </c>
    </row>
    <row r="2907">
      <c r="A2907" s="234" t="s">
        <v>20521</v>
      </c>
      <c r="B2907" s="71" t="s">
        <v>175</v>
      </c>
      <c r="C2907" s="71" t="s">
        <v>16957</v>
      </c>
    </row>
    <row r="2908">
      <c r="A2908" s="234" t="s">
        <v>20521</v>
      </c>
      <c r="B2908" s="71" t="s">
        <v>16957</v>
      </c>
      <c r="C2908" s="71" t="s">
        <v>175</v>
      </c>
    </row>
    <row r="2909">
      <c r="A2909" s="130" t="s">
        <v>20523</v>
      </c>
      <c r="B2909" s="71" t="s">
        <v>16838</v>
      </c>
      <c r="C2909" s="71" t="s">
        <v>17104</v>
      </c>
    </row>
    <row r="2910">
      <c r="A2910" s="130" t="s">
        <v>20525</v>
      </c>
      <c r="B2910" s="71" t="s">
        <v>16838</v>
      </c>
      <c r="C2910" s="71" t="s">
        <v>17016</v>
      </c>
    </row>
    <row r="2911">
      <c r="A2911" s="234" t="s">
        <v>20527</v>
      </c>
      <c r="B2911" s="71" t="s">
        <v>17016</v>
      </c>
      <c r="C2911" s="71" t="s">
        <v>16838</v>
      </c>
    </row>
    <row r="2912">
      <c r="A2912" s="234" t="s">
        <v>20527</v>
      </c>
      <c r="B2912" s="71" t="s">
        <v>16838</v>
      </c>
      <c r="C2912" s="71" t="s">
        <v>17016</v>
      </c>
    </row>
    <row r="2913">
      <c r="A2913" s="234" t="s">
        <v>20529</v>
      </c>
      <c r="B2913" s="71" t="s">
        <v>158</v>
      </c>
      <c r="C2913" s="71" t="s">
        <v>16864</v>
      </c>
    </row>
    <row r="2914">
      <c r="A2914" s="234" t="s">
        <v>20529</v>
      </c>
      <c r="B2914" s="71" t="s">
        <v>16864</v>
      </c>
      <c r="C2914" s="71" t="s">
        <v>158</v>
      </c>
    </row>
    <row r="2915">
      <c r="A2915" s="234" t="s">
        <v>20532</v>
      </c>
      <c r="B2915" s="71" t="s">
        <v>16957</v>
      </c>
      <c r="C2915" s="71" t="s">
        <v>16926</v>
      </c>
    </row>
    <row r="2916">
      <c r="A2916" s="234" t="s">
        <v>20532</v>
      </c>
      <c r="B2916" s="71" t="s">
        <v>16926</v>
      </c>
      <c r="C2916" s="71" t="s">
        <v>16957</v>
      </c>
    </row>
    <row r="2917">
      <c r="A2917" s="234" t="s">
        <v>20533</v>
      </c>
      <c r="B2917" s="71" t="s">
        <v>20534</v>
      </c>
      <c r="C2917" s="71" t="s">
        <v>169</v>
      </c>
    </row>
    <row r="2918">
      <c r="A2918" s="234" t="s">
        <v>20533</v>
      </c>
      <c r="B2918" s="71" t="s">
        <v>169</v>
      </c>
      <c r="C2918" s="71" t="s">
        <v>20534</v>
      </c>
    </row>
    <row r="2919">
      <c r="A2919" s="234" t="s">
        <v>20536</v>
      </c>
      <c r="B2919" s="71" t="s">
        <v>16910</v>
      </c>
      <c r="C2919" s="71" t="s">
        <v>18381</v>
      </c>
    </row>
    <row r="2920">
      <c r="A2920" s="234" t="s">
        <v>20536</v>
      </c>
      <c r="B2920" s="71" t="s">
        <v>18381</v>
      </c>
      <c r="C2920" s="71" t="s">
        <v>16910</v>
      </c>
    </row>
    <row r="2921">
      <c r="A2921" s="130" t="s">
        <v>20538</v>
      </c>
      <c r="B2921" s="71" t="s">
        <v>16838</v>
      </c>
      <c r="C2921" s="71" t="s">
        <v>17127</v>
      </c>
    </row>
    <row r="2922">
      <c r="A2922" s="130" t="s">
        <v>20540</v>
      </c>
      <c r="B2922" s="71" t="s">
        <v>175</v>
      </c>
      <c r="C2922" s="71" t="s">
        <v>17218</v>
      </c>
    </row>
    <row r="2923">
      <c r="A2923" s="234" t="s">
        <v>20542</v>
      </c>
      <c r="B2923" s="71" t="s">
        <v>187</v>
      </c>
      <c r="C2923" s="71" t="s">
        <v>20543</v>
      </c>
    </row>
    <row r="2924">
      <c r="A2924" s="234" t="s">
        <v>20542</v>
      </c>
      <c r="B2924" s="71" t="s">
        <v>20543</v>
      </c>
      <c r="C2924" s="71" t="s">
        <v>187</v>
      </c>
    </row>
    <row r="2925">
      <c r="A2925" s="130" t="s">
        <v>20545</v>
      </c>
      <c r="B2925" s="71" t="s">
        <v>169</v>
      </c>
      <c r="C2925" s="71" t="s">
        <v>17619</v>
      </c>
    </row>
    <row r="2926">
      <c r="A2926" s="130" t="s">
        <v>20547</v>
      </c>
      <c r="B2926" s="71" t="s">
        <v>16582</v>
      </c>
      <c r="C2926" s="71" t="s">
        <v>16828</v>
      </c>
    </row>
    <row r="2927">
      <c r="A2927" s="130" t="s">
        <v>20549</v>
      </c>
      <c r="B2927" s="71" t="s">
        <v>16582</v>
      </c>
      <c r="C2927" s="71" t="s">
        <v>16817</v>
      </c>
    </row>
    <row r="2928">
      <c r="A2928" s="130" t="s">
        <v>20551</v>
      </c>
      <c r="B2928" s="71" t="s">
        <v>16838</v>
      </c>
      <c r="C2928" s="71" t="s">
        <v>16867</v>
      </c>
    </row>
    <row r="2929">
      <c r="A2929" s="130" t="s">
        <v>20553</v>
      </c>
      <c r="B2929" s="71" t="s">
        <v>16926</v>
      </c>
      <c r="C2929" s="71" t="s">
        <v>16957</v>
      </c>
    </row>
    <row r="2930">
      <c r="A2930" s="130" t="s">
        <v>20555</v>
      </c>
      <c r="B2930" s="71" t="s">
        <v>16838</v>
      </c>
      <c r="C2930" s="71" t="s">
        <v>16867</v>
      </c>
    </row>
    <row r="2931">
      <c r="A2931" s="130" t="s">
        <v>20557</v>
      </c>
      <c r="B2931" s="71" t="s">
        <v>175</v>
      </c>
      <c r="C2931" s="71" t="s">
        <v>16854</v>
      </c>
    </row>
    <row r="2932">
      <c r="A2932" s="234" t="s">
        <v>20558</v>
      </c>
      <c r="B2932" s="71" t="s">
        <v>16885</v>
      </c>
      <c r="C2932" s="71" t="s">
        <v>16886</v>
      </c>
    </row>
    <row r="2933">
      <c r="A2933" s="234" t="s">
        <v>20558</v>
      </c>
      <c r="B2933" s="71" t="s">
        <v>16886</v>
      </c>
      <c r="C2933" s="71" t="s">
        <v>16885</v>
      </c>
    </row>
    <row r="2934">
      <c r="A2934" s="234" t="s">
        <v>20560</v>
      </c>
      <c r="B2934" s="71" t="s">
        <v>169</v>
      </c>
      <c r="C2934" s="71" t="s">
        <v>17022</v>
      </c>
    </row>
    <row r="2935">
      <c r="A2935" s="234" t="s">
        <v>20560</v>
      </c>
      <c r="B2935" s="71" t="s">
        <v>17022</v>
      </c>
      <c r="C2935" s="71" t="s">
        <v>169</v>
      </c>
    </row>
    <row r="2936">
      <c r="A2936" s="234" t="s">
        <v>20562</v>
      </c>
      <c r="B2936" s="71" t="s">
        <v>175</v>
      </c>
      <c r="C2936" s="71" t="s">
        <v>17475</v>
      </c>
    </row>
    <row r="2937">
      <c r="A2937" s="234" t="s">
        <v>20562</v>
      </c>
      <c r="B2937" s="71" t="s">
        <v>17475</v>
      </c>
      <c r="C2937" s="71" t="s">
        <v>175</v>
      </c>
    </row>
    <row r="2938">
      <c r="A2938" s="130" t="s">
        <v>20564</v>
      </c>
      <c r="B2938" s="71" t="s">
        <v>175</v>
      </c>
      <c r="C2938" s="71" t="s">
        <v>18063</v>
      </c>
    </row>
    <row r="2939">
      <c r="A2939" s="130" t="s">
        <v>20566</v>
      </c>
      <c r="B2939" s="71" t="s">
        <v>169</v>
      </c>
      <c r="C2939" s="71" t="s">
        <v>17057</v>
      </c>
    </row>
    <row r="2940">
      <c r="A2940" s="234" t="s">
        <v>20568</v>
      </c>
      <c r="B2940" s="71"/>
      <c r="C2940" s="71"/>
    </row>
    <row r="2941">
      <c r="A2941" s="234" t="s">
        <v>20568</v>
      </c>
      <c r="B2941" s="71"/>
      <c r="C2941" s="71"/>
    </row>
    <row r="2942">
      <c r="A2942" s="130" t="s">
        <v>20570</v>
      </c>
      <c r="B2942" s="71" t="s">
        <v>187</v>
      </c>
      <c r="C2942" s="71" t="s">
        <v>16858</v>
      </c>
    </row>
    <row r="2943">
      <c r="A2943" s="234" t="s">
        <v>20572</v>
      </c>
      <c r="B2943" s="71" t="s">
        <v>16838</v>
      </c>
      <c r="C2943" s="71" t="s">
        <v>16867</v>
      </c>
    </row>
    <row r="2944">
      <c r="A2944" s="234" t="s">
        <v>20572</v>
      </c>
      <c r="B2944" s="71" t="s">
        <v>16867</v>
      </c>
      <c r="C2944" s="71" t="s">
        <v>16838</v>
      </c>
    </row>
    <row r="2945">
      <c r="A2945" s="234" t="s">
        <v>20574</v>
      </c>
      <c r="B2945" s="71" t="s">
        <v>17111</v>
      </c>
      <c r="C2945" s="71" t="s">
        <v>17112</v>
      </c>
    </row>
    <row r="2946">
      <c r="A2946" s="234" t="s">
        <v>20574</v>
      </c>
      <c r="B2946" s="71" t="s">
        <v>17112</v>
      </c>
      <c r="C2946" s="71" t="s">
        <v>17111</v>
      </c>
    </row>
    <row r="2947">
      <c r="A2947" s="130" t="s">
        <v>20576</v>
      </c>
      <c r="B2947" s="71" t="s">
        <v>187</v>
      </c>
      <c r="C2947" s="71" t="s">
        <v>16969</v>
      </c>
    </row>
    <row r="2948">
      <c r="A2948" s="234" t="s">
        <v>20578</v>
      </c>
      <c r="B2948" s="71" t="s">
        <v>17112</v>
      </c>
      <c r="C2948" s="71" t="s">
        <v>17218</v>
      </c>
    </row>
    <row r="2949">
      <c r="A2949" s="234" t="s">
        <v>20578</v>
      </c>
      <c r="B2949" s="71" t="s">
        <v>17218</v>
      </c>
      <c r="C2949" s="71" t="s">
        <v>17112</v>
      </c>
    </row>
    <row r="2950">
      <c r="A2950" s="234" t="s">
        <v>20580</v>
      </c>
      <c r="B2950" s="71" t="s">
        <v>17111</v>
      </c>
      <c r="C2950" s="71" t="s">
        <v>17112</v>
      </c>
    </row>
    <row r="2951">
      <c r="A2951" s="234" t="s">
        <v>20580</v>
      </c>
      <c r="B2951" s="71" t="s">
        <v>17112</v>
      </c>
      <c r="C2951" s="71" t="s">
        <v>17111</v>
      </c>
    </row>
    <row r="2952">
      <c r="A2952" s="234" t="s">
        <v>20582</v>
      </c>
      <c r="B2952" s="71" t="s">
        <v>16867</v>
      </c>
      <c r="C2952" s="71" t="s">
        <v>16838</v>
      </c>
    </row>
    <row r="2953">
      <c r="A2953" s="234" t="s">
        <v>20582</v>
      </c>
      <c r="B2953" s="71" t="s">
        <v>16838</v>
      </c>
      <c r="C2953" s="71" t="s">
        <v>16867</v>
      </c>
    </row>
    <row r="2954">
      <c r="A2954" s="234" t="s">
        <v>20584</v>
      </c>
      <c r="B2954" s="71" t="s">
        <v>17111</v>
      </c>
      <c r="C2954" s="71" t="s">
        <v>17112</v>
      </c>
    </row>
    <row r="2955">
      <c r="A2955" s="234" t="s">
        <v>20584</v>
      </c>
      <c r="B2955" s="71" t="s">
        <v>17112</v>
      </c>
      <c r="C2955" s="71" t="s">
        <v>17111</v>
      </c>
    </row>
    <row r="2956">
      <c r="A2956" s="130" t="s">
        <v>20586</v>
      </c>
      <c r="B2956" s="71" t="s">
        <v>16838</v>
      </c>
      <c r="C2956" s="71" t="s">
        <v>16867</v>
      </c>
    </row>
    <row r="2957">
      <c r="A2957" s="234" t="s">
        <v>20588</v>
      </c>
      <c r="B2957" s="71" t="s">
        <v>16919</v>
      </c>
      <c r="C2957" s="71" t="s">
        <v>17048</v>
      </c>
    </row>
    <row r="2958">
      <c r="A2958" s="234" t="s">
        <v>20588</v>
      </c>
      <c r="B2958" s="71" t="s">
        <v>17048</v>
      </c>
      <c r="C2958" s="71" t="s">
        <v>16919</v>
      </c>
    </row>
    <row r="2959">
      <c r="A2959" s="234" t="s">
        <v>20590</v>
      </c>
      <c r="B2959" s="71" t="s">
        <v>16582</v>
      </c>
      <c r="C2959" s="71" t="s">
        <v>16930</v>
      </c>
    </row>
    <row r="2960">
      <c r="A2960" s="234" t="s">
        <v>20590</v>
      </c>
      <c r="B2960" s="71" t="s">
        <v>16930</v>
      </c>
      <c r="C2960" s="71" t="s">
        <v>16582</v>
      </c>
    </row>
    <row r="2961">
      <c r="A2961" s="130" t="s">
        <v>20592</v>
      </c>
      <c r="B2961" s="71" t="s">
        <v>16838</v>
      </c>
      <c r="C2961" s="71" t="s">
        <v>16867</v>
      </c>
    </row>
    <row r="2962">
      <c r="A2962" s="130" t="s">
        <v>20594</v>
      </c>
      <c r="B2962" s="71" t="s">
        <v>16582</v>
      </c>
      <c r="C2962" s="71" t="s">
        <v>16930</v>
      </c>
    </row>
    <row r="2963">
      <c r="A2963" s="130" t="s">
        <v>20596</v>
      </c>
      <c r="B2963" s="71" t="s">
        <v>187</v>
      </c>
      <c r="C2963" s="71" t="s">
        <v>16846</v>
      </c>
    </row>
    <row r="2964">
      <c r="A2964" s="130" t="s">
        <v>20598</v>
      </c>
      <c r="B2964" s="71" t="s">
        <v>187</v>
      </c>
      <c r="C2964" s="71" t="s">
        <v>16846</v>
      </c>
    </row>
    <row r="2965">
      <c r="A2965" s="234" t="s">
        <v>20600</v>
      </c>
      <c r="B2965" s="71" t="s">
        <v>175</v>
      </c>
      <c r="C2965" s="71" t="s">
        <v>17457</v>
      </c>
    </row>
    <row r="2966">
      <c r="A2966" s="234" t="s">
        <v>20600</v>
      </c>
      <c r="B2966" s="71" t="s">
        <v>17457</v>
      </c>
      <c r="C2966" s="71" t="s">
        <v>175</v>
      </c>
    </row>
    <row r="2967">
      <c r="A2967" s="234" t="s">
        <v>20602</v>
      </c>
      <c r="B2967" s="71" t="s">
        <v>175</v>
      </c>
      <c r="C2967" s="71" t="s">
        <v>17084</v>
      </c>
    </row>
    <row r="2968">
      <c r="A2968" s="234" t="s">
        <v>20602</v>
      </c>
      <c r="B2968" s="71" t="s">
        <v>17084</v>
      </c>
      <c r="C2968" s="71" t="s">
        <v>175</v>
      </c>
    </row>
    <row r="2969">
      <c r="A2969" s="234" t="s">
        <v>20604</v>
      </c>
      <c r="B2969" s="71" t="s">
        <v>169</v>
      </c>
      <c r="C2969" s="71" t="s">
        <v>17509</v>
      </c>
    </row>
    <row r="2970">
      <c r="A2970" s="234" t="s">
        <v>20604</v>
      </c>
      <c r="B2970" s="71" t="s">
        <v>17509</v>
      </c>
      <c r="C2970" s="71" t="s">
        <v>169</v>
      </c>
    </row>
    <row r="2971">
      <c r="A2971" s="234" t="s">
        <v>20606</v>
      </c>
      <c r="B2971" s="71" t="s">
        <v>158</v>
      </c>
      <c r="C2971" s="71" t="s">
        <v>16864</v>
      </c>
    </row>
    <row r="2972">
      <c r="A2972" s="234" t="s">
        <v>20606</v>
      </c>
      <c r="B2972" s="71" t="s">
        <v>16864</v>
      </c>
      <c r="C2972" s="71" t="s">
        <v>158</v>
      </c>
    </row>
    <row r="2973">
      <c r="A2973" s="130" t="s">
        <v>20608</v>
      </c>
      <c r="B2973" s="71" t="s">
        <v>16910</v>
      </c>
      <c r="C2973" s="71" t="s">
        <v>17119</v>
      </c>
    </row>
    <row r="2974">
      <c r="A2974" s="234" t="s">
        <v>20610</v>
      </c>
      <c r="B2974" s="71" t="s">
        <v>175</v>
      </c>
      <c r="C2974" s="71" t="s">
        <v>17084</v>
      </c>
    </row>
    <row r="2975">
      <c r="A2975" s="234" t="s">
        <v>20610</v>
      </c>
      <c r="B2975" s="71" t="s">
        <v>17084</v>
      </c>
      <c r="C2975" s="71" t="s">
        <v>175</v>
      </c>
    </row>
    <row r="2976">
      <c r="A2976" s="234" t="s">
        <v>20612</v>
      </c>
      <c r="B2976" s="71" t="s">
        <v>17019</v>
      </c>
      <c r="C2976" s="71" t="s">
        <v>16838</v>
      </c>
    </row>
    <row r="2977">
      <c r="A2977" s="234" t="s">
        <v>20612</v>
      </c>
      <c r="B2977" s="71" t="s">
        <v>16838</v>
      </c>
      <c r="C2977" s="71" t="s">
        <v>17019</v>
      </c>
    </row>
    <row r="2978">
      <c r="A2978" s="234" t="s">
        <v>20614</v>
      </c>
      <c r="B2978" s="71" t="s">
        <v>16885</v>
      </c>
      <c r="C2978" s="71" t="s">
        <v>20119</v>
      </c>
    </row>
    <row r="2979">
      <c r="A2979" s="234" t="s">
        <v>20614</v>
      </c>
      <c r="B2979" s="71" t="s">
        <v>20119</v>
      </c>
      <c r="C2979" s="130" t="s">
        <v>16885</v>
      </c>
    </row>
    <row r="2980">
      <c r="A2980" s="234" t="s">
        <v>20616</v>
      </c>
      <c r="B2980" s="71" t="s">
        <v>16919</v>
      </c>
      <c r="C2980" s="71" t="s">
        <v>17048</v>
      </c>
    </row>
    <row r="2981">
      <c r="A2981" s="234" t="s">
        <v>20616</v>
      </c>
      <c r="B2981" s="71" t="s">
        <v>17048</v>
      </c>
      <c r="C2981" s="71" t="s">
        <v>16919</v>
      </c>
    </row>
    <row r="2982">
      <c r="A2982" s="234" t="s">
        <v>20618</v>
      </c>
      <c r="B2982" s="71" t="s">
        <v>158</v>
      </c>
      <c r="C2982" s="71" t="s">
        <v>17171</v>
      </c>
    </row>
    <row r="2983">
      <c r="A2983" s="234" t="s">
        <v>20618</v>
      </c>
      <c r="B2983" s="71" t="s">
        <v>17171</v>
      </c>
      <c r="C2983" s="71" t="s">
        <v>158</v>
      </c>
    </row>
    <row r="2984">
      <c r="A2984" s="234" t="s">
        <v>20620</v>
      </c>
      <c r="B2984" s="71" t="s">
        <v>16910</v>
      </c>
      <c r="C2984" s="71" t="s">
        <v>16911</v>
      </c>
    </row>
    <row r="2985">
      <c r="A2985" s="234" t="s">
        <v>20620</v>
      </c>
      <c r="B2985" s="71" t="s">
        <v>16911</v>
      </c>
      <c r="C2985" s="71" t="s">
        <v>16910</v>
      </c>
    </row>
    <row r="2986">
      <c r="A2986" s="234" t="s">
        <v>20622</v>
      </c>
      <c r="B2986" s="71" t="s">
        <v>16582</v>
      </c>
      <c r="C2986" s="71" t="s">
        <v>17435</v>
      </c>
    </row>
    <row r="2987">
      <c r="A2987" s="234" t="s">
        <v>20622</v>
      </c>
      <c r="B2987" s="71" t="s">
        <v>17435</v>
      </c>
      <c r="C2987" s="71" t="s">
        <v>16582</v>
      </c>
    </row>
    <row r="2988">
      <c r="A2988" s="234" t="s">
        <v>20624</v>
      </c>
      <c r="B2988" s="71" t="s">
        <v>158</v>
      </c>
      <c r="C2988" s="71" t="s">
        <v>16920</v>
      </c>
    </row>
    <row r="2989">
      <c r="A2989" s="234" t="s">
        <v>20624</v>
      </c>
      <c r="B2989" s="71" t="s">
        <v>16920</v>
      </c>
      <c r="C2989" s="71" t="s">
        <v>158</v>
      </c>
    </row>
    <row r="2990">
      <c r="A2990" s="234" t="s">
        <v>20627</v>
      </c>
      <c r="B2990" s="71" t="s">
        <v>169</v>
      </c>
      <c r="C2990" s="71" t="s">
        <v>16899</v>
      </c>
    </row>
    <row r="2991">
      <c r="A2991" s="234" t="s">
        <v>20627</v>
      </c>
      <c r="B2991" s="71" t="s">
        <v>16899</v>
      </c>
      <c r="C2991" s="71" t="s">
        <v>169</v>
      </c>
    </row>
    <row r="2992">
      <c r="A2992" s="234" t="s">
        <v>20629</v>
      </c>
      <c r="B2992" s="71" t="s">
        <v>20534</v>
      </c>
      <c r="C2992" s="71" t="s">
        <v>169</v>
      </c>
    </row>
    <row r="2993">
      <c r="A2993" s="234" t="s">
        <v>20629</v>
      </c>
      <c r="B2993" s="71" t="s">
        <v>169</v>
      </c>
      <c r="C2993" s="71" t="s">
        <v>20534</v>
      </c>
    </row>
    <row r="2994">
      <c r="A2994" s="130" t="s">
        <v>20631</v>
      </c>
      <c r="B2994" s="71" t="s">
        <v>187</v>
      </c>
      <c r="C2994" s="71" t="s">
        <v>16858</v>
      </c>
    </row>
    <row r="2995">
      <c r="A2995" s="234" t="s">
        <v>20633</v>
      </c>
      <c r="B2995" s="71" t="s">
        <v>16838</v>
      </c>
      <c r="C2995" s="71" t="s">
        <v>17002</v>
      </c>
    </row>
    <row r="2996">
      <c r="A2996" s="234" t="s">
        <v>20633</v>
      </c>
      <c r="B2996" s="71" t="s">
        <v>17002</v>
      </c>
      <c r="C2996" s="71" t="s">
        <v>16838</v>
      </c>
    </row>
    <row r="2997">
      <c r="A2997" s="130" t="s">
        <v>20635</v>
      </c>
      <c r="B2997" s="71" t="s">
        <v>16582</v>
      </c>
      <c r="C2997" s="71" t="s">
        <v>17435</v>
      </c>
    </row>
    <row r="2998">
      <c r="A2998" s="130" t="s">
        <v>20637</v>
      </c>
      <c r="B2998" s="71" t="s">
        <v>16910</v>
      </c>
      <c r="C2998" s="71" t="s">
        <v>17648</v>
      </c>
    </row>
    <row r="2999">
      <c r="A2999" s="130" t="s">
        <v>20640</v>
      </c>
      <c r="B2999" s="71" t="s">
        <v>16582</v>
      </c>
      <c r="C2999" s="71" t="s">
        <v>16583</v>
      </c>
    </row>
    <row r="3000">
      <c r="A3000" s="130" t="s">
        <v>20642</v>
      </c>
      <c r="B3000" s="71" t="s">
        <v>175</v>
      </c>
      <c r="C3000" s="71" t="s">
        <v>17457</v>
      </c>
    </row>
    <row r="3001">
      <c r="A3001" s="130" t="s">
        <v>20644</v>
      </c>
      <c r="B3001" s="71" t="s">
        <v>16838</v>
      </c>
      <c r="C3001" s="71" t="s">
        <v>19644</v>
      </c>
    </row>
    <row r="3002">
      <c r="A3002" s="234" t="s">
        <v>20646</v>
      </c>
      <c r="B3002" s="71" t="s">
        <v>175</v>
      </c>
      <c r="C3002" s="71" t="s">
        <v>17457</v>
      </c>
    </row>
    <row r="3003">
      <c r="A3003" s="234" t="s">
        <v>20646</v>
      </c>
      <c r="B3003" s="71" t="s">
        <v>17457</v>
      </c>
      <c r="C3003" s="71" t="s">
        <v>175</v>
      </c>
    </row>
    <row r="3004">
      <c r="A3004" s="130" t="s">
        <v>20648</v>
      </c>
      <c r="B3004" s="71" t="s">
        <v>16926</v>
      </c>
      <c r="C3004" s="71" t="s">
        <v>16957</v>
      </c>
    </row>
    <row r="3005">
      <c r="A3005" s="234" t="s">
        <v>20650</v>
      </c>
      <c r="B3005" s="71" t="s">
        <v>158</v>
      </c>
      <c r="C3005" s="71" t="s">
        <v>16864</v>
      </c>
    </row>
    <row r="3006">
      <c r="A3006" s="234" t="s">
        <v>20650</v>
      </c>
      <c r="B3006" s="71" t="s">
        <v>16864</v>
      </c>
      <c r="C3006" s="71" t="s">
        <v>158</v>
      </c>
    </row>
    <row r="3007">
      <c r="A3007" s="234" t="s">
        <v>20652</v>
      </c>
      <c r="B3007" s="71" t="s">
        <v>158</v>
      </c>
      <c r="C3007" s="71" t="s">
        <v>16864</v>
      </c>
    </row>
    <row r="3008">
      <c r="A3008" s="234" t="s">
        <v>20652</v>
      </c>
      <c r="B3008" s="71" t="s">
        <v>16864</v>
      </c>
      <c r="C3008" s="71" t="s">
        <v>158</v>
      </c>
    </row>
    <row r="3009">
      <c r="A3009" s="234" t="s">
        <v>20654</v>
      </c>
      <c r="B3009" s="71" t="s">
        <v>16582</v>
      </c>
      <c r="C3009" s="71" t="s">
        <v>16817</v>
      </c>
    </row>
    <row r="3010">
      <c r="A3010" s="234" t="s">
        <v>20654</v>
      </c>
      <c r="B3010" s="71" t="s">
        <v>16817</v>
      </c>
      <c r="C3010" s="71" t="s">
        <v>16582</v>
      </c>
    </row>
    <row r="3011">
      <c r="A3011" s="234" t="s">
        <v>20656</v>
      </c>
      <c r="B3011" s="71" t="s">
        <v>16910</v>
      </c>
      <c r="C3011" s="71" t="s">
        <v>17119</v>
      </c>
    </row>
    <row r="3012">
      <c r="A3012" s="234" t="s">
        <v>20656</v>
      </c>
      <c r="B3012" s="71" t="s">
        <v>17119</v>
      </c>
      <c r="C3012" s="71" t="s">
        <v>16910</v>
      </c>
    </row>
    <row r="3013">
      <c r="A3013" s="130" t="s">
        <v>20658</v>
      </c>
      <c r="B3013" s="71" t="s">
        <v>16582</v>
      </c>
      <c r="C3013" s="71" t="s">
        <v>16930</v>
      </c>
    </row>
    <row r="3014">
      <c r="A3014" s="130" t="s">
        <v>20660</v>
      </c>
      <c r="B3014" s="71" t="s">
        <v>16582</v>
      </c>
      <c r="C3014" s="71" t="s">
        <v>16828</v>
      </c>
    </row>
    <row r="3015">
      <c r="A3015" s="234" t="s">
        <v>20662</v>
      </c>
      <c r="B3015" s="71" t="s">
        <v>175</v>
      </c>
      <c r="C3015" s="71" t="s">
        <v>17233</v>
      </c>
    </row>
    <row r="3016">
      <c r="A3016" s="234" t="s">
        <v>20662</v>
      </c>
      <c r="B3016" s="71" t="s">
        <v>17233</v>
      </c>
      <c r="C3016" s="71" t="s">
        <v>175</v>
      </c>
    </row>
    <row r="3017">
      <c r="A3017" s="130" t="s">
        <v>20664</v>
      </c>
      <c r="B3017" s="71" t="s">
        <v>17112</v>
      </c>
      <c r="C3017" s="71" t="s">
        <v>17218</v>
      </c>
    </row>
    <row r="3018">
      <c r="A3018" s="130" t="s">
        <v>20666</v>
      </c>
      <c r="B3018" s="71" t="s">
        <v>16582</v>
      </c>
      <c r="C3018" s="71" t="s">
        <v>17435</v>
      </c>
    </row>
    <row r="3019">
      <c r="A3019" s="130" t="s">
        <v>20668</v>
      </c>
      <c r="B3019" s="71" t="s">
        <v>16582</v>
      </c>
      <c r="C3019" s="71" t="s">
        <v>16930</v>
      </c>
    </row>
    <row r="3020">
      <c r="A3020" s="130" t="s">
        <v>20670</v>
      </c>
      <c r="B3020" s="71" t="s">
        <v>16582</v>
      </c>
      <c r="C3020" s="71" t="s">
        <v>16930</v>
      </c>
    </row>
    <row r="3021">
      <c r="A3021" s="130" t="s">
        <v>20672</v>
      </c>
      <c r="B3021" s="71" t="s">
        <v>187</v>
      </c>
      <c r="C3021" s="71" t="s">
        <v>17564</v>
      </c>
    </row>
    <row r="3022">
      <c r="A3022" s="130" t="s">
        <v>20674</v>
      </c>
      <c r="B3022" s="71" t="s">
        <v>17112</v>
      </c>
      <c r="C3022" s="71" t="s">
        <v>17218</v>
      </c>
    </row>
    <row r="3023">
      <c r="A3023" s="234" t="s">
        <v>20676</v>
      </c>
      <c r="B3023" s="71" t="s">
        <v>16910</v>
      </c>
      <c r="C3023" s="71" t="s">
        <v>17502</v>
      </c>
    </row>
    <row r="3024">
      <c r="A3024" s="234" t="s">
        <v>20676</v>
      </c>
      <c r="B3024" s="71" t="s">
        <v>17502</v>
      </c>
      <c r="C3024" s="71" t="s">
        <v>16910</v>
      </c>
    </row>
    <row r="3025">
      <c r="A3025" s="234" t="s">
        <v>20678</v>
      </c>
      <c r="B3025" s="71" t="s">
        <v>17111</v>
      </c>
      <c r="C3025" s="71" t="s">
        <v>17112</v>
      </c>
    </row>
    <row r="3026">
      <c r="A3026" s="234" t="s">
        <v>20678</v>
      </c>
      <c r="B3026" s="71" t="s">
        <v>17112</v>
      </c>
      <c r="C3026" s="71" t="s">
        <v>17111</v>
      </c>
    </row>
    <row r="3027">
      <c r="A3027" s="234" t="s">
        <v>20680</v>
      </c>
      <c r="B3027" s="71" t="s">
        <v>16582</v>
      </c>
      <c r="C3027" s="71" t="s">
        <v>16930</v>
      </c>
    </row>
    <row r="3028">
      <c r="A3028" s="234" t="s">
        <v>20680</v>
      </c>
      <c r="B3028" s="71" t="s">
        <v>16930</v>
      </c>
      <c r="C3028" s="71" t="s">
        <v>16582</v>
      </c>
    </row>
    <row r="3029">
      <c r="A3029" s="234" t="s">
        <v>20682</v>
      </c>
      <c r="B3029" s="71" t="s">
        <v>17111</v>
      </c>
      <c r="C3029" s="71" t="s">
        <v>17112</v>
      </c>
    </row>
    <row r="3030">
      <c r="A3030" s="234" t="s">
        <v>20682</v>
      </c>
      <c r="B3030" s="71" t="s">
        <v>17112</v>
      </c>
      <c r="C3030" s="71" t="s">
        <v>17111</v>
      </c>
    </row>
    <row r="3031">
      <c r="A3031" s="130" t="s">
        <v>20684</v>
      </c>
      <c r="B3031" s="71" t="s">
        <v>158</v>
      </c>
      <c r="C3031" s="71" t="s">
        <v>16899</v>
      </c>
    </row>
    <row r="3032">
      <c r="A3032" s="234" t="s">
        <v>20686</v>
      </c>
      <c r="B3032" s="71" t="s">
        <v>16582</v>
      </c>
      <c r="C3032" s="71" t="s">
        <v>16817</v>
      </c>
    </row>
    <row r="3033">
      <c r="A3033" s="234" t="s">
        <v>20686</v>
      </c>
      <c r="B3033" s="71" t="s">
        <v>16817</v>
      </c>
      <c r="C3033" s="71" t="s">
        <v>16582</v>
      </c>
    </row>
    <row r="3034">
      <c r="A3034" s="130" t="s">
        <v>20688</v>
      </c>
      <c r="B3034" s="71" t="s">
        <v>187</v>
      </c>
      <c r="C3034" s="71" t="s">
        <v>18633</v>
      </c>
    </row>
    <row r="3035">
      <c r="A3035" s="130" t="s">
        <v>20690</v>
      </c>
      <c r="B3035" s="71" t="s">
        <v>169</v>
      </c>
      <c r="C3035" s="71" t="s">
        <v>17022</v>
      </c>
    </row>
    <row r="3036">
      <c r="A3036" s="234" t="s">
        <v>20692</v>
      </c>
      <c r="B3036" s="71" t="s">
        <v>158</v>
      </c>
      <c r="C3036" s="71" t="s">
        <v>16920</v>
      </c>
    </row>
    <row r="3037">
      <c r="A3037" s="234" t="s">
        <v>20692</v>
      </c>
      <c r="B3037" s="71" t="s">
        <v>16920</v>
      </c>
      <c r="C3037" s="71" t="s">
        <v>158</v>
      </c>
    </row>
    <row r="3038">
      <c r="A3038" s="130" t="s">
        <v>20694</v>
      </c>
      <c r="B3038" s="71" t="s">
        <v>16582</v>
      </c>
      <c r="C3038" s="71" t="s">
        <v>16828</v>
      </c>
    </row>
    <row r="3039">
      <c r="A3039" s="234" t="s">
        <v>20696</v>
      </c>
      <c r="B3039" s="71" t="s">
        <v>16885</v>
      </c>
      <c r="C3039" s="71" t="s">
        <v>17726</v>
      </c>
    </row>
    <row r="3040">
      <c r="A3040" s="234" t="s">
        <v>20696</v>
      </c>
      <c r="B3040" s="71" t="s">
        <v>17726</v>
      </c>
      <c r="C3040" s="71" t="s">
        <v>16885</v>
      </c>
    </row>
    <row r="3041">
      <c r="A3041" s="130" t="s">
        <v>20698</v>
      </c>
      <c r="B3041" s="71" t="s">
        <v>187</v>
      </c>
      <c r="C3041" s="71" t="s">
        <v>16846</v>
      </c>
    </row>
    <row r="3042">
      <c r="A3042" s="130" t="s">
        <v>20700</v>
      </c>
      <c r="B3042" s="71" t="s">
        <v>169</v>
      </c>
      <c r="C3042" s="71" t="s">
        <v>17619</v>
      </c>
    </row>
    <row r="3043">
      <c r="A3043" s="130" t="s">
        <v>20702</v>
      </c>
      <c r="B3043" s="71" t="s">
        <v>175</v>
      </c>
      <c r="C3043" s="71" t="s">
        <v>16942</v>
      </c>
    </row>
    <row r="3044">
      <c r="A3044" s="234" t="s">
        <v>20704</v>
      </c>
      <c r="B3044" s="71"/>
      <c r="C3044" s="71"/>
    </row>
    <row r="3045">
      <c r="A3045" s="234" t="s">
        <v>20704</v>
      </c>
      <c r="B3045" s="71"/>
      <c r="C3045" s="71"/>
    </row>
    <row r="3046">
      <c r="A3046" s="130" t="s">
        <v>20706</v>
      </c>
      <c r="B3046" s="71" t="s">
        <v>175</v>
      </c>
      <c r="C3046" s="71" t="s">
        <v>17350</v>
      </c>
    </row>
    <row r="3047">
      <c r="A3047" s="130" t="s">
        <v>20708</v>
      </c>
      <c r="B3047" s="71" t="s">
        <v>175</v>
      </c>
      <c r="C3047" s="71" t="s">
        <v>19996</v>
      </c>
    </row>
    <row r="3048">
      <c r="A3048" s="234" t="s">
        <v>20710</v>
      </c>
      <c r="B3048" s="71" t="s">
        <v>16582</v>
      </c>
      <c r="C3048" s="71" t="s">
        <v>16828</v>
      </c>
    </row>
    <row r="3049">
      <c r="A3049" s="234" t="s">
        <v>20710</v>
      </c>
      <c r="B3049" s="71" t="s">
        <v>16828</v>
      </c>
      <c r="C3049" s="71" t="s">
        <v>16582</v>
      </c>
    </row>
    <row r="3050">
      <c r="A3050" s="234" t="s">
        <v>20712</v>
      </c>
      <c r="B3050" s="71" t="s">
        <v>169</v>
      </c>
      <c r="C3050" s="71" t="s">
        <v>17475</v>
      </c>
    </row>
    <row r="3051">
      <c r="A3051" s="234" t="s">
        <v>20712</v>
      </c>
      <c r="B3051" s="71" t="s">
        <v>17475</v>
      </c>
      <c r="C3051" s="71" t="s">
        <v>169</v>
      </c>
    </row>
    <row r="3052">
      <c r="A3052" s="234" t="s">
        <v>20714</v>
      </c>
      <c r="B3052" s="71" t="s">
        <v>16838</v>
      </c>
      <c r="C3052" s="71" t="s">
        <v>16837</v>
      </c>
    </row>
    <row r="3053">
      <c r="A3053" s="234" t="s">
        <v>20714</v>
      </c>
      <c r="B3053" s="71" t="s">
        <v>16837</v>
      </c>
      <c r="C3053" s="71" t="s">
        <v>16838</v>
      </c>
    </row>
    <row r="3054">
      <c r="A3054" s="234" t="s">
        <v>20716</v>
      </c>
      <c r="B3054" s="71" t="s">
        <v>175</v>
      </c>
      <c r="C3054" s="71" t="s">
        <v>17452</v>
      </c>
    </row>
    <row r="3055">
      <c r="A3055" s="234" t="s">
        <v>20716</v>
      </c>
      <c r="B3055" s="71" t="s">
        <v>17452</v>
      </c>
      <c r="C3055" s="71" t="s">
        <v>175</v>
      </c>
    </row>
    <row r="3056">
      <c r="A3056" s="130" t="s">
        <v>20718</v>
      </c>
      <c r="B3056" s="71" t="s">
        <v>16910</v>
      </c>
      <c r="C3056" s="71" t="s">
        <v>16911</v>
      </c>
    </row>
    <row r="3057">
      <c r="A3057" s="130" t="s">
        <v>20720</v>
      </c>
      <c r="B3057" s="71" t="s">
        <v>169</v>
      </c>
      <c r="C3057" s="71" t="s">
        <v>17757</v>
      </c>
    </row>
    <row r="3058">
      <c r="A3058" s="130" t="s">
        <v>20722</v>
      </c>
      <c r="B3058" s="71" t="s">
        <v>16582</v>
      </c>
      <c r="C3058" s="71" t="s">
        <v>16583</v>
      </c>
    </row>
    <row r="3059">
      <c r="A3059" s="234" t="s">
        <v>20724</v>
      </c>
      <c r="B3059" s="71" t="s">
        <v>16867</v>
      </c>
      <c r="C3059" s="71" t="s">
        <v>16838</v>
      </c>
    </row>
    <row r="3060">
      <c r="A3060" s="234" t="s">
        <v>20724</v>
      </c>
      <c r="B3060" s="71" t="s">
        <v>16838</v>
      </c>
      <c r="C3060" s="71" t="s">
        <v>16867</v>
      </c>
    </row>
    <row r="3061">
      <c r="A3061" s="130" t="s">
        <v>20726</v>
      </c>
      <c r="B3061" s="71" t="s">
        <v>175</v>
      </c>
      <c r="C3061" s="71" t="s">
        <v>16842</v>
      </c>
    </row>
    <row r="3062">
      <c r="A3062" s="130" t="s">
        <v>20728</v>
      </c>
      <c r="B3062" s="71" t="s">
        <v>16919</v>
      </c>
      <c r="C3062" s="71" t="s">
        <v>17048</v>
      </c>
    </row>
    <row r="3063">
      <c r="A3063" s="130" t="s">
        <v>20730</v>
      </c>
      <c r="B3063" s="71" t="s">
        <v>16838</v>
      </c>
      <c r="C3063" s="71" t="s">
        <v>17019</v>
      </c>
    </row>
    <row r="3064">
      <c r="A3064" s="130" t="s">
        <v>20732</v>
      </c>
      <c r="B3064" s="71" t="s">
        <v>17629</v>
      </c>
      <c r="C3064" s="71" t="s">
        <v>16899</v>
      </c>
    </row>
    <row r="3065">
      <c r="A3065" s="130" t="s">
        <v>20734</v>
      </c>
      <c r="B3065" s="71" t="s">
        <v>169</v>
      </c>
      <c r="C3065" s="71" t="s">
        <v>17057</v>
      </c>
    </row>
    <row r="3066">
      <c r="A3066" s="130" t="s">
        <v>20736</v>
      </c>
      <c r="B3066" s="71" t="s">
        <v>16838</v>
      </c>
      <c r="C3066" s="71" t="s">
        <v>17202</v>
      </c>
    </row>
    <row r="3067">
      <c r="A3067" s="130" t="s">
        <v>20738</v>
      </c>
      <c r="B3067" s="71" t="s">
        <v>16838</v>
      </c>
      <c r="C3067" s="71" t="s">
        <v>17016</v>
      </c>
    </row>
    <row r="3068">
      <c r="A3068" s="130" t="s">
        <v>20740</v>
      </c>
      <c r="B3068" s="71" t="s">
        <v>16582</v>
      </c>
      <c r="C3068" s="71" t="s">
        <v>16817</v>
      </c>
    </row>
    <row r="3069">
      <c r="A3069" s="130" t="s">
        <v>20742</v>
      </c>
      <c r="B3069" s="71" t="s">
        <v>16582</v>
      </c>
      <c r="C3069" s="71" t="s">
        <v>16930</v>
      </c>
    </row>
    <row r="3070">
      <c r="A3070" s="130" t="s">
        <v>20744</v>
      </c>
      <c r="B3070" s="71" t="s">
        <v>16838</v>
      </c>
      <c r="C3070" s="71" t="s">
        <v>16867</v>
      </c>
    </row>
    <row r="3071">
      <c r="A3071" s="130" t="s">
        <v>20746</v>
      </c>
      <c r="B3071" s="71" t="s">
        <v>16838</v>
      </c>
      <c r="C3071" s="71" t="s">
        <v>17202</v>
      </c>
    </row>
    <row r="3072">
      <c r="A3072" s="234" t="s">
        <v>20748</v>
      </c>
      <c r="B3072" s="71"/>
      <c r="C3072" s="71"/>
    </row>
    <row r="3073">
      <c r="A3073" s="234" t="s">
        <v>20748</v>
      </c>
      <c r="B3073" s="71"/>
      <c r="C3073" s="71"/>
    </row>
    <row r="3074">
      <c r="A3074" s="234" t="s">
        <v>20750</v>
      </c>
      <c r="B3074" s="71" t="s">
        <v>175</v>
      </c>
      <c r="C3074" s="71" t="s">
        <v>17457</v>
      </c>
    </row>
    <row r="3075">
      <c r="A3075" s="234" t="s">
        <v>20750</v>
      </c>
      <c r="B3075" s="71" t="s">
        <v>17457</v>
      </c>
      <c r="C3075" s="71" t="s">
        <v>175</v>
      </c>
    </row>
    <row r="3076">
      <c r="A3076" s="234" t="s">
        <v>20752</v>
      </c>
      <c r="B3076" s="71" t="s">
        <v>16957</v>
      </c>
      <c r="C3076" s="71" t="s">
        <v>16926</v>
      </c>
    </row>
    <row r="3077">
      <c r="A3077" s="234" t="s">
        <v>20752</v>
      </c>
      <c r="B3077" s="71" t="s">
        <v>16926</v>
      </c>
      <c r="C3077" s="71" t="s">
        <v>16957</v>
      </c>
    </row>
    <row r="3078">
      <c r="A3078" s="234" t="s">
        <v>20754</v>
      </c>
      <c r="B3078" s="71" t="s">
        <v>158</v>
      </c>
      <c r="C3078" s="71" t="s">
        <v>16864</v>
      </c>
    </row>
    <row r="3079">
      <c r="A3079" s="234" t="s">
        <v>20754</v>
      </c>
      <c r="B3079" s="71" t="s">
        <v>16864</v>
      </c>
      <c r="C3079" s="71" t="s">
        <v>158</v>
      </c>
    </row>
    <row r="3080">
      <c r="A3080" s="234" t="s">
        <v>20756</v>
      </c>
      <c r="B3080" s="71" t="s">
        <v>16582</v>
      </c>
      <c r="C3080" s="71" t="s">
        <v>17435</v>
      </c>
    </row>
    <row r="3081">
      <c r="A3081" s="234" t="s">
        <v>20756</v>
      </c>
      <c r="B3081" s="71" t="s">
        <v>17435</v>
      </c>
      <c r="C3081" s="71" t="s">
        <v>16582</v>
      </c>
    </row>
    <row r="3082">
      <c r="A3082" s="234" t="s">
        <v>20758</v>
      </c>
      <c r="B3082" s="71" t="s">
        <v>17111</v>
      </c>
      <c r="C3082" s="71" t="s">
        <v>17112</v>
      </c>
    </row>
    <row r="3083">
      <c r="A3083" s="234" t="s">
        <v>20758</v>
      </c>
      <c r="B3083" s="71" t="s">
        <v>17112</v>
      </c>
      <c r="C3083" s="71" t="s">
        <v>17111</v>
      </c>
    </row>
    <row r="3084">
      <c r="A3084" s="130" t="s">
        <v>20760</v>
      </c>
      <c r="B3084" s="71" t="s">
        <v>16838</v>
      </c>
      <c r="C3084" s="71" t="s">
        <v>17384</v>
      </c>
    </row>
    <row r="3085">
      <c r="A3085" s="130" t="s">
        <v>20762</v>
      </c>
      <c r="B3085" s="71" t="s">
        <v>16582</v>
      </c>
      <c r="C3085" s="71" t="s">
        <v>16583</v>
      </c>
    </row>
    <row r="3086">
      <c r="A3086" s="130" t="s">
        <v>20764</v>
      </c>
      <c r="B3086" s="71" t="s">
        <v>169</v>
      </c>
      <c r="C3086" s="71" t="s">
        <v>17532</v>
      </c>
    </row>
    <row r="3087">
      <c r="A3087" s="234" t="s">
        <v>20766</v>
      </c>
      <c r="B3087" s="71" t="s">
        <v>17321</v>
      </c>
      <c r="C3087" s="71" t="s">
        <v>169</v>
      </c>
    </row>
    <row r="3088">
      <c r="A3088" s="234" t="s">
        <v>20766</v>
      </c>
      <c r="B3088" s="71" t="s">
        <v>169</v>
      </c>
      <c r="C3088" s="71" t="s">
        <v>17321</v>
      </c>
    </row>
    <row r="3089">
      <c r="A3089" s="234" t="s">
        <v>20768</v>
      </c>
      <c r="B3089" s="71" t="s">
        <v>16582</v>
      </c>
      <c r="C3089" s="71" t="s">
        <v>16817</v>
      </c>
    </row>
    <row r="3090">
      <c r="A3090" s="234" t="s">
        <v>20768</v>
      </c>
      <c r="B3090" s="71" t="s">
        <v>16817</v>
      </c>
      <c r="C3090" s="71" t="s">
        <v>16582</v>
      </c>
    </row>
    <row r="3091">
      <c r="A3091" s="234" t="s">
        <v>20770</v>
      </c>
      <c r="B3091" s="71" t="s">
        <v>17202</v>
      </c>
      <c r="C3091" s="71" t="s">
        <v>16838</v>
      </c>
    </row>
    <row r="3092">
      <c r="A3092" s="234" t="s">
        <v>20770</v>
      </c>
      <c r="B3092" s="71" t="s">
        <v>16838</v>
      </c>
      <c r="C3092" s="71" t="s">
        <v>17202</v>
      </c>
    </row>
    <row r="3093">
      <c r="A3093" s="130" t="s">
        <v>20772</v>
      </c>
      <c r="B3093" s="71" t="s">
        <v>158</v>
      </c>
      <c r="C3093" s="71" t="s">
        <v>16864</v>
      </c>
    </row>
    <row r="3094">
      <c r="A3094" s="130" t="s">
        <v>20774</v>
      </c>
      <c r="B3094" s="71" t="s">
        <v>187</v>
      </c>
      <c r="C3094" s="71" t="s">
        <v>20775</v>
      </c>
    </row>
    <row r="3095">
      <c r="A3095" s="130" t="s">
        <v>20777</v>
      </c>
      <c r="B3095" s="71" t="s">
        <v>16582</v>
      </c>
      <c r="C3095" s="71" t="s">
        <v>16930</v>
      </c>
    </row>
    <row r="3096">
      <c r="A3096" s="234" t="s">
        <v>20779</v>
      </c>
      <c r="B3096" s="71" t="s">
        <v>17111</v>
      </c>
      <c r="C3096" s="71" t="s">
        <v>17112</v>
      </c>
    </row>
    <row r="3097">
      <c r="A3097" s="234" t="s">
        <v>20779</v>
      </c>
      <c r="B3097" s="71" t="s">
        <v>17112</v>
      </c>
      <c r="C3097" s="71" t="s">
        <v>17111</v>
      </c>
    </row>
    <row r="3098">
      <c r="A3098" s="130" t="s">
        <v>20781</v>
      </c>
      <c r="B3098" s="71" t="s">
        <v>17112</v>
      </c>
      <c r="C3098" s="71" t="s">
        <v>17111</v>
      </c>
    </row>
    <row r="3099">
      <c r="A3099" s="130" t="s">
        <v>20783</v>
      </c>
      <c r="B3099" s="71" t="s">
        <v>16582</v>
      </c>
      <c r="C3099" s="71" t="s">
        <v>16828</v>
      </c>
    </row>
    <row r="3100">
      <c r="A3100" s="234" t="s">
        <v>20785</v>
      </c>
      <c r="B3100" s="71" t="s">
        <v>17127</v>
      </c>
      <c r="C3100" s="71" t="s">
        <v>16838</v>
      </c>
    </row>
    <row r="3101">
      <c r="A3101" s="234" t="s">
        <v>20785</v>
      </c>
      <c r="B3101" s="71" t="s">
        <v>16838</v>
      </c>
      <c r="C3101" s="71" t="s">
        <v>17127</v>
      </c>
    </row>
    <row r="3102">
      <c r="A3102" s="130" t="s">
        <v>20787</v>
      </c>
      <c r="B3102" s="71" t="s">
        <v>17112</v>
      </c>
      <c r="C3102" s="71" t="s">
        <v>17218</v>
      </c>
    </row>
    <row r="3103">
      <c r="A3103" s="234" t="s">
        <v>20789</v>
      </c>
      <c r="B3103" s="71" t="s">
        <v>158</v>
      </c>
      <c r="C3103" s="71" t="s">
        <v>16870</v>
      </c>
    </row>
    <row r="3104">
      <c r="A3104" s="234" t="s">
        <v>20789</v>
      </c>
      <c r="B3104" s="71" t="s">
        <v>16870</v>
      </c>
      <c r="C3104" s="71" t="s">
        <v>158</v>
      </c>
    </row>
    <row r="3105">
      <c r="A3105" s="234" t="s">
        <v>20792</v>
      </c>
      <c r="B3105" s="71" t="s">
        <v>175</v>
      </c>
      <c r="C3105" s="71" t="s">
        <v>17168</v>
      </c>
    </row>
    <row r="3106">
      <c r="A3106" s="234" t="s">
        <v>20792</v>
      </c>
      <c r="B3106" s="71" t="s">
        <v>17168</v>
      </c>
      <c r="C3106" s="71" t="s">
        <v>175</v>
      </c>
    </row>
    <row r="3107">
      <c r="A3107" s="234" t="s">
        <v>20794</v>
      </c>
      <c r="B3107" s="71" t="s">
        <v>17111</v>
      </c>
      <c r="C3107" s="71" t="s">
        <v>17112</v>
      </c>
    </row>
    <row r="3108">
      <c r="A3108" s="234" t="s">
        <v>20794</v>
      </c>
      <c r="B3108" s="71" t="s">
        <v>17112</v>
      </c>
      <c r="C3108" s="71" t="s">
        <v>17111</v>
      </c>
    </row>
    <row r="3109">
      <c r="A3109" s="234" t="s">
        <v>20796</v>
      </c>
      <c r="B3109" s="71" t="s">
        <v>16885</v>
      </c>
      <c r="C3109" s="71" t="s">
        <v>18381</v>
      </c>
    </row>
    <row r="3110">
      <c r="A3110" s="234" t="s">
        <v>20796</v>
      </c>
      <c r="B3110" s="71" t="s">
        <v>18381</v>
      </c>
      <c r="C3110" s="71" t="s">
        <v>16885</v>
      </c>
    </row>
    <row r="3111">
      <c r="A3111" s="130" t="s">
        <v>20798</v>
      </c>
      <c r="B3111" s="71" t="s">
        <v>175</v>
      </c>
      <c r="C3111" s="71" t="s">
        <v>16854</v>
      </c>
    </row>
    <row r="3112">
      <c r="A3112" s="234" t="s">
        <v>20800</v>
      </c>
      <c r="B3112" s="71" t="s">
        <v>16919</v>
      </c>
      <c r="C3112" s="71" t="s">
        <v>17048</v>
      </c>
    </row>
    <row r="3113">
      <c r="A3113" s="234" t="s">
        <v>20800</v>
      </c>
      <c r="B3113" s="71" t="s">
        <v>17048</v>
      </c>
      <c r="C3113" s="71" t="s">
        <v>16919</v>
      </c>
    </row>
    <row r="3114">
      <c r="A3114" s="130" t="s">
        <v>20801</v>
      </c>
      <c r="B3114" s="71" t="s">
        <v>187</v>
      </c>
      <c r="C3114" s="71" t="s">
        <v>16851</v>
      </c>
    </row>
    <row r="3115">
      <c r="A3115" s="130" t="s">
        <v>20803</v>
      </c>
      <c r="B3115" s="71" t="s">
        <v>187</v>
      </c>
      <c r="C3115" s="71" t="s">
        <v>16969</v>
      </c>
    </row>
    <row r="3116">
      <c r="A3116" s="130" t="s">
        <v>20805</v>
      </c>
      <c r="B3116" s="71" t="s">
        <v>175</v>
      </c>
      <c r="C3116" s="71" t="s">
        <v>16861</v>
      </c>
    </row>
    <row r="3117">
      <c r="A3117" s="130" t="s">
        <v>20807</v>
      </c>
      <c r="B3117" s="71" t="s">
        <v>175</v>
      </c>
      <c r="C3117" s="71" t="s">
        <v>16942</v>
      </c>
    </row>
    <row r="3118">
      <c r="A3118" s="234" t="s">
        <v>20809</v>
      </c>
      <c r="B3118" s="71" t="s">
        <v>17794</v>
      </c>
      <c r="C3118" s="71" t="s">
        <v>16919</v>
      </c>
    </row>
    <row r="3119">
      <c r="A3119" s="234" t="s">
        <v>20809</v>
      </c>
      <c r="B3119" s="71" t="s">
        <v>16919</v>
      </c>
      <c r="C3119" s="71" t="s">
        <v>17794</v>
      </c>
    </row>
    <row r="3120">
      <c r="A3120" s="234" t="s">
        <v>20811</v>
      </c>
      <c r="B3120" s="71" t="s">
        <v>16582</v>
      </c>
      <c r="C3120" s="71" t="s">
        <v>16930</v>
      </c>
    </row>
    <row r="3121">
      <c r="A3121" s="234" t="s">
        <v>20811</v>
      </c>
      <c r="B3121" s="71" t="s">
        <v>16930</v>
      </c>
      <c r="C3121" s="71" t="s">
        <v>16582</v>
      </c>
    </row>
    <row r="3122">
      <c r="A3122" s="234" t="s">
        <v>20813</v>
      </c>
      <c r="B3122" s="71" t="s">
        <v>17057</v>
      </c>
      <c r="C3122" s="71" t="s">
        <v>169</v>
      </c>
    </row>
    <row r="3123">
      <c r="A3123" s="234" t="s">
        <v>20813</v>
      </c>
      <c r="B3123" s="71" t="s">
        <v>169</v>
      </c>
      <c r="C3123" s="71" t="s">
        <v>17057</v>
      </c>
    </row>
    <row r="3124">
      <c r="A3124" s="130" t="s">
        <v>20815</v>
      </c>
      <c r="B3124" s="71" t="s">
        <v>187</v>
      </c>
      <c r="C3124" s="71" t="s">
        <v>16846</v>
      </c>
    </row>
    <row r="3125">
      <c r="A3125" s="130" t="s">
        <v>20817</v>
      </c>
      <c r="B3125" s="71" t="s">
        <v>16582</v>
      </c>
      <c r="C3125" s="71" t="s">
        <v>16930</v>
      </c>
    </row>
    <row r="3126">
      <c r="A3126" s="130" t="s">
        <v>20819</v>
      </c>
      <c r="B3126" s="71" t="s">
        <v>175</v>
      </c>
      <c r="C3126" s="71" t="s">
        <v>17812</v>
      </c>
    </row>
    <row r="3127">
      <c r="A3127" s="234" t="s">
        <v>20821</v>
      </c>
      <c r="B3127" s="71" t="s">
        <v>16838</v>
      </c>
      <c r="C3127" s="71" t="s">
        <v>17127</v>
      </c>
    </row>
    <row r="3128">
      <c r="A3128" s="234" t="s">
        <v>20821</v>
      </c>
      <c r="B3128" s="71" t="s">
        <v>17127</v>
      </c>
      <c r="C3128" s="71" t="s">
        <v>16838</v>
      </c>
    </row>
    <row r="3129">
      <c r="A3129" s="234" t="s">
        <v>20823</v>
      </c>
      <c r="B3129" s="71" t="s">
        <v>187</v>
      </c>
      <c r="C3129" s="71" t="s">
        <v>16846</v>
      </c>
    </row>
    <row r="3130">
      <c r="A3130" s="234" t="s">
        <v>20823</v>
      </c>
      <c r="B3130" s="71" t="s">
        <v>16846</v>
      </c>
      <c r="C3130" s="71" t="s">
        <v>187</v>
      </c>
    </row>
    <row r="3131">
      <c r="A3131" s="234" t="s">
        <v>20825</v>
      </c>
      <c r="B3131" s="71" t="s">
        <v>175</v>
      </c>
      <c r="C3131" s="71" t="s">
        <v>17480</v>
      </c>
    </row>
    <row r="3132">
      <c r="A3132" s="234" t="s">
        <v>20825</v>
      </c>
      <c r="B3132" s="71" t="s">
        <v>17480</v>
      </c>
      <c r="C3132" s="71" t="s">
        <v>175</v>
      </c>
    </row>
    <row r="3133">
      <c r="A3133" s="130" t="s">
        <v>20827</v>
      </c>
      <c r="B3133" s="71" t="s">
        <v>16582</v>
      </c>
      <c r="C3133" s="71" t="s">
        <v>16817</v>
      </c>
    </row>
    <row r="3134">
      <c r="A3134" s="130" t="s">
        <v>20829</v>
      </c>
      <c r="B3134" s="71" t="s">
        <v>16838</v>
      </c>
      <c r="C3134" s="71" t="s">
        <v>17019</v>
      </c>
    </row>
    <row r="3135">
      <c r="A3135" s="130" t="s">
        <v>20831</v>
      </c>
      <c r="B3135" s="71" t="s">
        <v>16582</v>
      </c>
      <c r="C3135" s="71" t="s">
        <v>16899</v>
      </c>
    </row>
    <row r="3136">
      <c r="A3136" s="234" t="s">
        <v>20833</v>
      </c>
      <c r="B3136" s="71" t="s">
        <v>175</v>
      </c>
      <c r="C3136" s="71" t="s">
        <v>16972</v>
      </c>
    </row>
    <row r="3137">
      <c r="A3137" s="234" t="s">
        <v>20833</v>
      </c>
      <c r="B3137" s="71" t="s">
        <v>16972</v>
      </c>
      <c r="C3137" s="71" t="s">
        <v>175</v>
      </c>
    </row>
    <row r="3138">
      <c r="A3138" s="130" t="s">
        <v>20835</v>
      </c>
      <c r="B3138" s="71" t="s">
        <v>16838</v>
      </c>
      <c r="C3138" s="71" t="s">
        <v>16867</v>
      </c>
    </row>
    <row r="3139">
      <c r="A3139" s="234" t="s">
        <v>20837</v>
      </c>
      <c r="B3139" s="71" t="s">
        <v>16945</v>
      </c>
      <c r="C3139" s="71" t="s">
        <v>169</v>
      </c>
    </row>
    <row r="3140">
      <c r="A3140" s="234" t="s">
        <v>20837</v>
      </c>
      <c r="B3140" s="71" t="s">
        <v>169</v>
      </c>
      <c r="C3140" s="71" t="s">
        <v>16945</v>
      </c>
    </row>
    <row r="3141">
      <c r="A3141" s="130" t="s">
        <v>20839</v>
      </c>
      <c r="B3141" s="71" t="s">
        <v>175</v>
      </c>
      <c r="C3141" s="71" t="s">
        <v>17475</v>
      </c>
    </row>
    <row r="3142">
      <c r="A3142" s="130" t="s">
        <v>20841</v>
      </c>
      <c r="B3142" s="71" t="s">
        <v>169</v>
      </c>
      <c r="C3142" s="71" t="s">
        <v>19719</v>
      </c>
    </row>
    <row r="3143">
      <c r="A3143" s="234" t="s">
        <v>20843</v>
      </c>
      <c r="B3143" s="71" t="s">
        <v>175</v>
      </c>
      <c r="C3143" s="71" t="s">
        <v>17084</v>
      </c>
    </row>
    <row r="3144">
      <c r="A3144" s="234" t="s">
        <v>20843</v>
      </c>
      <c r="B3144" s="71" t="s">
        <v>17084</v>
      </c>
      <c r="C3144" s="71" t="s">
        <v>175</v>
      </c>
    </row>
    <row r="3145">
      <c r="A3145" s="234" t="s">
        <v>20845</v>
      </c>
      <c r="B3145" s="71" t="s">
        <v>175</v>
      </c>
      <c r="C3145" s="71" t="s">
        <v>16972</v>
      </c>
    </row>
    <row r="3146">
      <c r="A3146" s="234" t="s">
        <v>20845</v>
      </c>
      <c r="B3146" s="71" t="s">
        <v>16972</v>
      </c>
      <c r="C3146" s="71" t="s">
        <v>175</v>
      </c>
    </row>
    <row r="3147">
      <c r="A3147" s="234" t="s">
        <v>20847</v>
      </c>
      <c r="B3147" s="71" t="s">
        <v>17112</v>
      </c>
      <c r="C3147" s="71" t="s">
        <v>16838</v>
      </c>
    </row>
    <row r="3148">
      <c r="A3148" s="234" t="s">
        <v>20847</v>
      </c>
      <c r="B3148" s="71" t="s">
        <v>16838</v>
      </c>
      <c r="C3148" s="71" t="s">
        <v>17112</v>
      </c>
    </row>
    <row r="3149">
      <c r="A3149" s="130" t="s">
        <v>20849</v>
      </c>
      <c r="B3149" s="71"/>
      <c r="C3149" s="71"/>
    </row>
    <row r="3150">
      <c r="A3150" s="234" t="s">
        <v>20851</v>
      </c>
      <c r="B3150" s="71" t="s">
        <v>17009</v>
      </c>
      <c r="C3150" s="71" t="s">
        <v>169</v>
      </c>
    </row>
    <row r="3151">
      <c r="A3151" s="234" t="s">
        <v>20851</v>
      </c>
      <c r="B3151" s="71" t="s">
        <v>169</v>
      </c>
      <c r="C3151" s="71" t="s">
        <v>17009</v>
      </c>
    </row>
    <row r="3152">
      <c r="A3152" s="130" t="s">
        <v>20853</v>
      </c>
      <c r="B3152" s="71" t="s">
        <v>16582</v>
      </c>
      <c r="C3152" s="71" t="s">
        <v>17435</v>
      </c>
    </row>
    <row r="3153">
      <c r="A3153" s="130" t="s">
        <v>20855</v>
      </c>
      <c r="B3153" s="71" t="s">
        <v>16582</v>
      </c>
      <c r="C3153" s="71" t="s">
        <v>16828</v>
      </c>
    </row>
    <row r="3154">
      <c r="A3154" s="130" t="s">
        <v>20857</v>
      </c>
      <c r="B3154" s="71" t="s">
        <v>175</v>
      </c>
      <c r="C3154" s="71" t="s">
        <v>17948</v>
      </c>
    </row>
    <row r="3155">
      <c r="A3155" s="234" t="s">
        <v>20859</v>
      </c>
      <c r="B3155" s="71" t="s">
        <v>17111</v>
      </c>
      <c r="C3155" s="71" t="s">
        <v>17112</v>
      </c>
    </row>
    <row r="3156">
      <c r="A3156" s="234" t="s">
        <v>20859</v>
      </c>
      <c r="B3156" s="71" t="s">
        <v>17112</v>
      </c>
      <c r="C3156" s="71" t="s">
        <v>17111</v>
      </c>
    </row>
    <row r="3157">
      <c r="A3157" s="234" t="s">
        <v>20861</v>
      </c>
      <c r="B3157" s="71" t="s">
        <v>17112</v>
      </c>
      <c r="C3157" s="71" t="s">
        <v>16838</v>
      </c>
    </row>
    <row r="3158">
      <c r="A3158" s="234" t="s">
        <v>20861</v>
      </c>
      <c r="B3158" s="71" t="s">
        <v>16838</v>
      </c>
      <c r="C3158" s="71" t="s">
        <v>17112</v>
      </c>
    </row>
    <row r="3159">
      <c r="A3159" s="234" t="s">
        <v>20863</v>
      </c>
      <c r="B3159" s="71" t="s">
        <v>169</v>
      </c>
      <c r="C3159" s="71" t="s">
        <v>17022</v>
      </c>
    </row>
    <row r="3160">
      <c r="A3160" s="234" t="s">
        <v>20863</v>
      </c>
      <c r="B3160" s="71" t="s">
        <v>17022</v>
      </c>
      <c r="C3160" s="71" t="s">
        <v>169</v>
      </c>
    </row>
    <row r="3161">
      <c r="A3161" s="130" t="s">
        <v>20865</v>
      </c>
      <c r="B3161" s="71" t="s">
        <v>187</v>
      </c>
      <c r="C3161" s="71" t="s">
        <v>16846</v>
      </c>
    </row>
    <row r="3162">
      <c r="A3162" s="130" t="s">
        <v>20867</v>
      </c>
      <c r="B3162" s="71" t="s">
        <v>175</v>
      </c>
      <c r="C3162" s="71" t="s">
        <v>17233</v>
      </c>
    </row>
    <row r="3163">
      <c r="A3163" s="130" t="s">
        <v>20869</v>
      </c>
      <c r="B3163" s="71" t="s">
        <v>16582</v>
      </c>
      <c r="C3163" s="71" t="s">
        <v>16899</v>
      </c>
    </row>
    <row r="3164">
      <c r="A3164" s="234" t="s">
        <v>20871</v>
      </c>
      <c r="B3164" s="71" t="s">
        <v>158</v>
      </c>
      <c r="C3164" s="71" t="s">
        <v>16864</v>
      </c>
    </row>
    <row r="3165">
      <c r="A3165" s="234" t="s">
        <v>20871</v>
      </c>
      <c r="B3165" s="71" t="s">
        <v>16864</v>
      </c>
      <c r="C3165" s="71" t="s">
        <v>158</v>
      </c>
    </row>
    <row r="3166">
      <c r="A3166" s="234" t="s">
        <v>20873</v>
      </c>
      <c r="B3166" s="71" t="s">
        <v>16582</v>
      </c>
      <c r="C3166" s="71" t="s">
        <v>16817</v>
      </c>
    </row>
    <row r="3167">
      <c r="A3167" s="234" t="s">
        <v>20873</v>
      </c>
      <c r="B3167" s="71" t="s">
        <v>16817</v>
      </c>
      <c r="C3167" s="71" t="s">
        <v>16582</v>
      </c>
    </row>
    <row r="3168">
      <c r="A3168" s="130" t="s">
        <v>20875</v>
      </c>
      <c r="B3168" s="71" t="s">
        <v>16838</v>
      </c>
      <c r="C3168" s="71" t="s">
        <v>16867</v>
      </c>
    </row>
    <row r="3169">
      <c r="A3169" s="130" t="s">
        <v>20877</v>
      </c>
      <c r="B3169" s="71" t="s">
        <v>187</v>
      </c>
      <c r="C3169" s="71" t="s">
        <v>16846</v>
      </c>
    </row>
    <row r="3170">
      <c r="A3170" s="130" t="s">
        <v>20879</v>
      </c>
      <c r="B3170" s="71" t="s">
        <v>16582</v>
      </c>
      <c r="C3170" s="71" t="s">
        <v>16930</v>
      </c>
    </row>
    <row r="3171">
      <c r="A3171" s="234" t="s">
        <v>20881</v>
      </c>
      <c r="B3171" s="71" t="s">
        <v>17111</v>
      </c>
      <c r="C3171" s="71" t="s">
        <v>17112</v>
      </c>
    </row>
    <row r="3172">
      <c r="A3172" s="234" t="s">
        <v>20881</v>
      </c>
      <c r="B3172" s="71" t="s">
        <v>17112</v>
      </c>
      <c r="C3172" s="71" t="s">
        <v>17111</v>
      </c>
    </row>
    <row r="3173">
      <c r="A3173" s="234" t="s">
        <v>20883</v>
      </c>
      <c r="B3173" s="71" t="s">
        <v>16582</v>
      </c>
      <c r="C3173" s="71" t="s">
        <v>16930</v>
      </c>
    </row>
    <row r="3174">
      <c r="A3174" s="234" t="s">
        <v>20883</v>
      </c>
      <c r="B3174" s="71" t="s">
        <v>16930</v>
      </c>
      <c r="C3174" s="71" t="s">
        <v>16582</v>
      </c>
    </row>
    <row r="3175">
      <c r="A3175" s="234" t="s">
        <v>20885</v>
      </c>
      <c r="B3175" s="71" t="s">
        <v>17111</v>
      </c>
      <c r="C3175" s="71" t="s">
        <v>17112</v>
      </c>
    </row>
    <row r="3176">
      <c r="A3176" s="234" t="s">
        <v>20885</v>
      </c>
      <c r="B3176" s="71" t="s">
        <v>17112</v>
      </c>
      <c r="C3176" s="71" t="s">
        <v>17111</v>
      </c>
    </row>
    <row r="3177">
      <c r="A3177" s="234" t="s">
        <v>20887</v>
      </c>
      <c r="B3177" s="71" t="s">
        <v>175</v>
      </c>
      <c r="C3177" s="71" t="s">
        <v>17022</v>
      </c>
    </row>
    <row r="3178">
      <c r="A3178" s="234" t="s">
        <v>20887</v>
      </c>
      <c r="B3178" s="71" t="s">
        <v>17022</v>
      </c>
      <c r="C3178" s="71" t="s">
        <v>175</v>
      </c>
    </row>
    <row r="3179">
      <c r="A3179" s="130" t="s">
        <v>20889</v>
      </c>
      <c r="B3179" s="71" t="s">
        <v>16838</v>
      </c>
      <c r="C3179" s="71" t="s">
        <v>17112</v>
      </c>
    </row>
    <row r="3180">
      <c r="A3180" s="130" t="s">
        <v>20891</v>
      </c>
      <c r="B3180" s="71" t="s">
        <v>16582</v>
      </c>
      <c r="C3180" s="71" t="s">
        <v>16930</v>
      </c>
    </row>
    <row r="3181">
      <c r="A3181" s="234" t="s">
        <v>20893</v>
      </c>
      <c r="B3181" s="71" t="s">
        <v>16867</v>
      </c>
      <c r="C3181" s="71" t="s">
        <v>16838</v>
      </c>
    </row>
    <row r="3182">
      <c r="A3182" s="234" t="s">
        <v>20893</v>
      </c>
      <c r="B3182" s="71" t="s">
        <v>16838</v>
      </c>
      <c r="C3182" s="71" t="s">
        <v>16867</v>
      </c>
    </row>
    <row r="3183">
      <c r="A3183" s="130" t="s">
        <v>20894</v>
      </c>
      <c r="B3183" s="71" t="s">
        <v>187</v>
      </c>
      <c r="C3183" s="71" t="s">
        <v>17122</v>
      </c>
    </row>
    <row r="3184">
      <c r="A3184" s="234" t="s">
        <v>20896</v>
      </c>
      <c r="B3184" s="71" t="s">
        <v>16838</v>
      </c>
      <c r="C3184" s="71" t="s">
        <v>17002</v>
      </c>
    </row>
    <row r="3185">
      <c r="A3185" s="234" t="s">
        <v>20896</v>
      </c>
      <c r="B3185" s="71" t="s">
        <v>17002</v>
      </c>
      <c r="C3185" s="71" t="s">
        <v>16838</v>
      </c>
    </row>
    <row r="3186">
      <c r="A3186" s="234" t="s">
        <v>20898</v>
      </c>
      <c r="B3186" s="71"/>
      <c r="C3186" s="71"/>
    </row>
    <row r="3187">
      <c r="A3187" s="234" t="s">
        <v>20898</v>
      </c>
      <c r="B3187" s="71"/>
      <c r="C3187" s="71"/>
    </row>
    <row r="3188">
      <c r="A3188" s="234" t="s">
        <v>20900</v>
      </c>
      <c r="B3188" s="71" t="s">
        <v>17111</v>
      </c>
      <c r="C3188" s="71" t="s">
        <v>17112</v>
      </c>
    </row>
    <row r="3189">
      <c r="A3189" s="234" t="s">
        <v>20900</v>
      </c>
      <c r="B3189" s="71" t="s">
        <v>17112</v>
      </c>
      <c r="C3189" s="71" t="s">
        <v>17111</v>
      </c>
    </row>
    <row r="3190">
      <c r="A3190" s="234" t="s">
        <v>20902</v>
      </c>
      <c r="B3190" s="71" t="s">
        <v>16919</v>
      </c>
      <c r="C3190" s="71" t="s">
        <v>17413</v>
      </c>
    </row>
    <row r="3191">
      <c r="A3191" s="234" t="s">
        <v>20902</v>
      </c>
      <c r="B3191" s="71" t="s">
        <v>17413</v>
      </c>
      <c r="C3191" s="71" t="s">
        <v>16919</v>
      </c>
    </row>
    <row r="3192">
      <c r="A3192" s="130" t="s">
        <v>20904</v>
      </c>
      <c r="B3192" s="71" t="s">
        <v>16838</v>
      </c>
      <c r="C3192" s="71" t="s">
        <v>16867</v>
      </c>
    </row>
    <row r="3193">
      <c r="A3193" s="234" t="s">
        <v>20906</v>
      </c>
      <c r="B3193" s="71" t="s">
        <v>16838</v>
      </c>
      <c r="C3193" s="71" t="s">
        <v>18679</v>
      </c>
    </row>
    <row r="3194">
      <c r="A3194" s="234" t="s">
        <v>20906</v>
      </c>
      <c r="B3194" s="71" t="s">
        <v>18679</v>
      </c>
      <c r="C3194" s="71" t="s">
        <v>16838</v>
      </c>
    </row>
    <row r="3195">
      <c r="A3195" s="234" t="s">
        <v>20908</v>
      </c>
      <c r="B3195" s="71" t="s">
        <v>175</v>
      </c>
      <c r="C3195" s="71" t="s">
        <v>19006</v>
      </c>
    </row>
    <row r="3196">
      <c r="A3196" s="234" t="s">
        <v>20908</v>
      </c>
      <c r="B3196" s="71" t="s">
        <v>19006</v>
      </c>
      <c r="C3196" s="71" t="s">
        <v>175</v>
      </c>
    </row>
    <row r="3197">
      <c r="A3197" s="130" t="s">
        <v>20910</v>
      </c>
      <c r="B3197" s="71" t="s">
        <v>16838</v>
      </c>
      <c r="C3197" s="71" t="s">
        <v>16867</v>
      </c>
    </row>
    <row r="3198">
      <c r="A3198" s="130" t="s">
        <v>20912</v>
      </c>
      <c r="B3198" s="71" t="s">
        <v>187</v>
      </c>
      <c r="C3198" s="71" t="s">
        <v>16846</v>
      </c>
    </row>
    <row r="3199">
      <c r="A3199" s="234" t="s">
        <v>20914</v>
      </c>
      <c r="B3199" s="71"/>
      <c r="C3199" s="71"/>
    </row>
    <row r="3200">
      <c r="A3200" s="234" t="s">
        <v>20914</v>
      </c>
      <c r="B3200" s="71"/>
      <c r="C3200" s="71"/>
    </row>
    <row r="3201">
      <c r="A3201" s="130" t="s">
        <v>20916</v>
      </c>
      <c r="B3201" s="71" t="s">
        <v>16926</v>
      </c>
      <c r="C3201" s="71" t="s">
        <v>16960</v>
      </c>
    </row>
    <row r="3202">
      <c r="A3202" s="234" t="s">
        <v>20918</v>
      </c>
      <c r="B3202" s="71" t="s">
        <v>16582</v>
      </c>
      <c r="C3202" s="71" t="s">
        <v>16899</v>
      </c>
    </row>
    <row r="3203">
      <c r="A3203" s="234" t="s">
        <v>20918</v>
      </c>
      <c r="B3203" s="71" t="s">
        <v>16899</v>
      </c>
      <c r="C3203" s="71" t="s">
        <v>16582</v>
      </c>
    </row>
    <row r="3204">
      <c r="A3204" s="130" t="s">
        <v>20920</v>
      </c>
      <c r="B3204" s="71" t="s">
        <v>16838</v>
      </c>
      <c r="C3204" s="71" t="s">
        <v>16867</v>
      </c>
    </row>
    <row r="3205">
      <c r="A3205" s="234" t="s">
        <v>20922</v>
      </c>
      <c r="B3205" s="71" t="s">
        <v>16957</v>
      </c>
      <c r="C3205" s="71" t="s">
        <v>16926</v>
      </c>
    </row>
    <row r="3206">
      <c r="A3206" s="234" t="s">
        <v>20922</v>
      </c>
      <c r="B3206" s="71" t="s">
        <v>16926</v>
      </c>
      <c r="C3206" s="71" t="s">
        <v>16957</v>
      </c>
    </row>
    <row r="3207">
      <c r="A3207" s="234" t="s">
        <v>20924</v>
      </c>
      <c r="B3207" s="71" t="s">
        <v>169</v>
      </c>
      <c r="C3207" s="71" t="s">
        <v>17457</v>
      </c>
    </row>
    <row r="3208">
      <c r="A3208" s="234" t="s">
        <v>20924</v>
      </c>
      <c r="B3208" s="71" t="s">
        <v>17457</v>
      </c>
      <c r="C3208" s="71" t="s">
        <v>169</v>
      </c>
    </row>
    <row r="3209">
      <c r="A3209" s="130" t="s">
        <v>20926</v>
      </c>
      <c r="B3209" s="71" t="s">
        <v>16838</v>
      </c>
      <c r="C3209" s="71" t="s">
        <v>16867</v>
      </c>
    </row>
    <row r="3210">
      <c r="A3210" s="234" t="s">
        <v>20928</v>
      </c>
      <c r="B3210" s="71" t="s">
        <v>16582</v>
      </c>
      <c r="C3210" s="71" t="s">
        <v>16828</v>
      </c>
    </row>
    <row r="3211">
      <c r="A3211" s="234" t="s">
        <v>20928</v>
      </c>
      <c r="B3211" s="71" t="s">
        <v>16828</v>
      </c>
      <c r="C3211" s="71" t="s">
        <v>16582</v>
      </c>
    </row>
    <row r="3212">
      <c r="A3212" s="234" t="s">
        <v>20930</v>
      </c>
      <c r="B3212" s="71" t="s">
        <v>169</v>
      </c>
      <c r="C3212" s="71" t="s">
        <v>16899</v>
      </c>
    </row>
    <row r="3213">
      <c r="A3213" s="234" t="s">
        <v>20930</v>
      </c>
      <c r="B3213" s="71" t="s">
        <v>16899</v>
      </c>
      <c r="C3213" s="71" t="s">
        <v>169</v>
      </c>
    </row>
    <row r="3214">
      <c r="A3214" s="234" t="s">
        <v>20932</v>
      </c>
      <c r="B3214" s="71" t="s">
        <v>17127</v>
      </c>
      <c r="C3214" s="71" t="s">
        <v>16838</v>
      </c>
    </row>
    <row r="3215">
      <c r="A3215" s="234" t="s">
        <v>20932</v>
      </c>
      <c r="B3215" s="71" t="s">
        <v>16838</v>
      </c>
      <c r="C3215" s="71" t="s">
        <v>17127</v>
      </c>
    </row>
    <row r="3216">
      <c r="A3216" s="234" t="s">
        <v>20934</v>
      </c>
      <c r="B3216" s="71" t="s">
        <v>16582</v>
      </c>
      <c r="C3216" s="71" t="s">
        <v>16930</v>
      </c>
    </row>
    <row r="3217">
      <c r="A3217" s="234" t="s">
        <v>20934</v>
      </c>
      <c r="B3217" s="71" t="s">
        <v>16930</v>
      </c>
      <c r="C3217" s="71" t="s">
        <v>16582</v>
      </c>
    </row>
    <row r="3218">
      <c r="A3218" s="234" t="s">
        <v>20936</v>
      </c>
      <c r="B3218" s="71" t="s">
        <v>17202</v>
      </c>
      <c r="C3218" s="71" t="s">
        <v>16838</v>
      </c>
    </row>
    <row r="3219">
      <c r="A3219" s="234" t="s">
        <v>20936</v>
      </c>
      <c r="B3219" s="71" t="s">
        <v>16838</v>
      </c>
      <c r="C3219" s="71" t="s">
        <v>17202</v>
      </c>
    </row>
    <row r="3220">
      <c r="A3220" s="130" t="s">
        <v>20938</v>
      </c>
      <c r="B3220" s="71" t="s">
        <v>16582</v>
      </c>
      <c r="C3220" s="71" t="s">
        <v>16817</v>
      </c>
    </row>
    <row r="3221">
      <c r="A3221" s="234" t="s">
        <v>20940</v>
      </c>
      <c r="B3221" s="71" t="s">
        <v>16885</v>
      </c>
      <c r="C3221" s="71" t="s">
        <v>18805</v>
      </c>
    </row>
    <row r="3222">
      <c r="A3222" s="234" t="s">
        <v>20940</v>
      </c>
      <c r="B3222" s="71" t="s">
        <v>18805</v>
      </c>
      <c r="C3222" s="71" t="s">
        <v>16885</v>
      </c>
    </row>
    <row r="3223">
      <c r="A3223" s="130" t="s">
        <v>20942</v>
      </c>
      <c r="B3223" s="71" t="s">
        <v>187</v>
      </c>
      <c r="C3223" s="71" t="s">
        <v>16858</v>
      </c>
    </row>
    <row r="3224">
      <c r="A3224" s="130" t="s">
        <v>20944</v>
      </c>
      <c r="B3224" s="71" t="s">
        <v>187</v>
      </c>
      <c r="C3224" s="71" t="s">
        <v>16846</v>
      </c>
    </row>
    <row r="3225">
      <c r="A3225" s="130" t="s">
        <v>20946</v>
      </c>
      <c r="B3225" s="71" t="s">
        <v>16838</v>
      </c>
      <c r="C3225" s="71" t="s">
        <v>16867</v>
      </c>
    </row>
    <row r="3226">
      <c r="A3226" s="130" t="s">
        <v>20948</v>
      </c>
      <c r="B3226" s="71" t="s">
        <v>17112</v>
      </c>
      <c r="C3226" s="71" t="s">
        <v>17111</v>
      </c>
    </row>
    <row r="3227">
      <c r="A3227" s="130" t="s">
        <v>20950</v>
      </c>
      <c r="B3227" s="71" t="s">
        <v>16838</v>
      </c>
      <c r="C3227" s="71" t="s">
        <v>16867</v>
      </c>
    </row>
    <row r="3228">
      <c r="A3228" s="130" t="s">
        <v>20952</v>
      </c>
      <c r="B3228" s="71" t="s">
        <v>187</v>
      </c>
      <c r="C3228" s="71" t="s">
        <v>16846</v>
      </c>
    </row>
    <row r="3229">
      <c r="A3229" s="234" t="s">
        <v>20954</v>
      </c>
      <c r="B3229" s="71" t="s">
        <v>17019</v>
      </c>
      <c r="C3229" s="71" t="s">
        <v>16838</v>
      </c>
    </row>
    <row r="3230">
      <c r="A3230" s="234" t="s">
        <v>20954</v>
      </c>
      <c r="B3230" s="71" t="s">
        <v>16838</v>
      </c>
      <c r="C3230" s="71" t="s">
        <v>17019</v>
      </c>
    </row>
    <row r="3231">
      <c r="A3231" s="130" t="s">
        <v>20957</v>
      </c>
      <c r="B3231" s="71" t="s">
        <v>175</v>
      </c>
      <c r="C3231" s="71" t="s">
        <v>17350</v>
      </c>
    </row>
    <row r="3232">
      <c r="A3232" s="130" t="s">
        <v>20959</v>
      </c>
      <c r="B3232" s="71" t="s">
        <v>175</v>
      </c>
      <c r="C3232" s="71" t="s">
        <v>17495</v>
      </c>
    </row>
    <row r="3233">
      <c r="A3233" s="130" t="s">
        <v>20961</v>
      </c>
      <c r="B3233" s="71" t="s">
        <v>16838</v>
      </c>
      <c r="C3233" s="71" t="s">
        <v>17016</v>
      </c>
    </row>
    <row r="3234">
      <c r="A3234" s="234" t="s">
        <v>20963</v>
      </c>
      <c r="B3234" s="71" t="s">
        <v>175</v>
      </c>
      <c r="C3234" s="71" t="s">
        <v>17495</v>
      </c>
    </row>
    <row r="3235">
      <c r="A3235" s="234" t="s">
        <v>20963</v>
      </c>
      <c r="B3235" s="71" t="s">
        <v>17495</v>
      </c>
      <c r="C3235" s="71" t="s">
        <v>175</v>
      </c>
    </row>
    <row r="3236">
      <c r="A3236" s="130" t="s">
        <v>20965</v>
      </c>
      <c r="B3236" s="71"/>
      <c r="C3236" s="71"/>
    </row>
    <row r="3237">
      <c r="A3237" s="234" t="s">
        <v>20967</v>
      </c>
      <c r="B3237" s="71" t="s">
        <v>175</v>
      </c>
      <c r="C3237" s="71" t="s">
        <v>18723</v>
      </c>
    </row>
    <row r="3238">
      <c r="A3238" s="234" t="s">
        <v>20967</v>
      </c>
      <c r="B3238" s="71" t="s">
        <v>18723</v>
      </c>
      <c r="C3238" s="71" t="s">
        <v>175</v>
      </c>
    </row>
    <row r="3239">
      <c r="A3239" s="234" t="s">
        <v>20969</v>
      </c>
      <c r="B3239" s="71" t="s">
        <v>16582</v>
      </c>
      <c r="C3239" s="71" t="s">
        <v>16930</v>
      </c>
    </row>
    <row r="3240">
      <c r="A3240" s="234" t="s">
        <v>20969</v>
      </c>
      <c r="B3240" s="71" t="s">
        <v>16930</v>
      </c>
      <c r="C3240" s="71" t="s">
        <v>16582</v>
      </c>
    </row>
    <row r="3241">
      <c r="A3241" s="234" t="s">
        <v>20971</v>
      </c>
      <c r="B3241" s="71" t="s">
        <v>17321</v>
      </c>
      <c r="C3241" s="71" t="s">
        <v>169</v>
      </c>
    </row>
    <row r="3242">
      <c r="A3242" s="234" t="s">
        <v>20971</v>
      </c>
      <c r="B3242" s="71" t="s">
        <v>169</v>
      </c>
      <c r="C3242" s="71" t="s">
        <v>17321</v>
      </c>
    </row>
    <row r="3243">
      <c r="A3243" s="234" t="s">
        <v>20973</v>
      </c>
      <c r="B3243" s="71" t="s">
        <v>158</v>
      </c>
      <c r="C3243" s="71" t="s">
        <v>16864</v>
      </c>
    </row>
    <row r="3244">
      <c r="A3244" s="234" t="s">
        <v>20973</v>
      </c>
      <c r="B3244" s="71" t="s">
        <v>16864</v>
      </c>
      <c r="C3244" s="71" t="s">
        <v>158</v>
      </c>
    </row>
    <row r="3245">
      <c r="A3245" s="130" t="s">
        <v>20975</v>
      </c>
      <c r="B3245" s="71" t="s">
        <v>175</v>
      </c>
      <c r="C3245" s="71" t="s">
        <v>17031</v>
      </c>
    </row>
    <row r="3246">
      <c r="A3246" s="234" t="s">
        <v>20977</v>
      </c>
      <c r="B3246" s="71" t="s">
        <v>16945</v>
      </c>
      <c r="C3246" s="71" t="s">
        <v>169</v>
      </c>
    </row>
    <row r="3247">
      <c r="A3247" s="234" t="s">
        <v>20977</v>
      </c>
      <c r="B3247" s="71" t="s">
        <v>169</v>
      </c>
      <c r="C3247" s="71" t="s">
        <v>16945</v>
      </c>
    </row>
    <row r="3248">
      <c r="A3248" s="130" t="s">
        <v>20979</v>
      </c>
      <c r="B3248" s="71" t="s">
        <v>169</v>
      </c>
      <c r="C3248" s="71" t="s">
        <v>17827</v>
      </c>
    </row>
    <row r="3249">
      <c r="A3249" s="130" t="s">
        <v>20981</v>
      </c>
      <c r="B3249" s="71" t="s">
        <v>16582</v>
      </c>
      <c r="C3249" s="71" t="s">
        <v>16828</v>
      </c>
    </row>
    <row r="3250">
      <c r="A3250" s="234" t="s">
        <v>20983</v>
      </c>
      <c r="B3250" s="71" t="s">
        <v>175</v>
      </c>
      <c r="C3250" s="71" t="s">
        <v>16878</v>
      </c>
    </row>
    <row r="3251">
      <c r="A3251" s="234" t="s">
        <v>20983</v>
      </c>
      <c r="B3251" s="71" t="s">
        <v>16878</v>
      </c>
      <c r="C3251" s="71" t="s">
        <v>175</v>
      </c>
    </row>
    <row r="3252">
      <c r="A3252" s="130" t="s">
        <v>20985</v>
      </c>
      <c r="B3252" s="71" t="s">
        <v>16838</v>
      </c>
      <c r="C3252" s="71" t="s">
        <v>17002</v>
      </c>
    </row>
    <row r="3253">
      <c r="A3253" s="130" t="s">
        <v>20987</v>
      </c>
      <c r="B3253" s="71" t="s">
        <v>16838</v>
      </c>
      <c r="C3253" s="71" t="s">
        <v>17347</v>
      </c>
    </row>
    <row r="3254">
      <c r="A3254" s="130" t="s">
        <v>20989</v>
      </c>
      <c r="B3254" s="71" t="s">
        <v>175</v>
      </c>
      <c r="C3254" s="71" t="s">
        <v>17350</v>
      </c>
    </row>
    <row r="3255">
      <c r="A3255" s="234" t="s">
        <v>20991</v>
      </c>
      <c r="B3255" s="71" t="s">
        <v>17202</v>
      </c>
      <c r="C3255" s="71" t="s">
        <v>16838</v>
      </c>
    </row>
    <row r="3256">
      <c r="A3256" s="234" t="s">
        <v>20991</v>
      </c>
      <c r="B3256" s="71" t="s">
        <v>16838</v>
      </c>
      <c r="C3256" s="71" t="s">
        <v>17202</v>
      </c>
    </row>
    <row r="3257">
      <c r="A3257" s="234" t="s">
        <v>20993</v>
      </c>
      <c r="B3257" s="71" t="s">
        <v>169</v>
      </c>
      <c r="C3257" s="71" t="s">
        <v>19139</v>
      </c>
    </row>
    <row r="3258">
      <c r="A3258" s="234" t="s">
        <v>20993</v>
      </c>
      <c r="B3258" s="71" t="s">
        <v>19139</v>
      </c>
      <c r="C3258" s="71" t="s">
        <v>169</v>
      </c>
    </row>
    <row r="3259">
      <c r="A3259" s="234" t="s">
        <v>20995</v>
      </c>
      <c r="B3259" s="71" t="s">
        <v>16910</v>
      </c>
      <c r="C3259" s="71" t="s">
        <v>17119</v>
      </c>
    </row>
    <row r="3260">
      <c r="A3260" s="234" t="s">
        <v>20995</v>
      </c>
      <c r="B3260" s="71" t="s">
        <v>17119</v>
      </c>
      <c r="C3260" s="71" t="s">
        <v>16910</v>
      </c>
    </row>
    <row r="3261">
      <c r="A3261" s="234" t="s">
        <v>20997</v>
      </c>
      <c r="B3261" s="71" t="s">
        <v>175</v>
      </c>
      <c r="C3261" s="71" t="s">
        <v>17350</v>
      </c>
    </row>
    <row r="3262">
      <c r="A3262" s="234" t="s">
        <v>20997</v>
      </c>
      <c r="B3262" s="71" t="s">
        <v>17350</v>
      </c>
      <c r="C3262" s="71" t="s">
        <v>175</v>
      </c>
    </row>
    <row r="3263">
      <c r="A3263" s="234" t="s">
        <v>20999</v>
      </c>
      <c r="B3263" s="71" t="s">
        <v>17111</v>
      </c>
      <c r="C3263" s="71" t="s">
        <v>17112</v>
      </c>
    </row>
    <row r="3264">
      <c r="A3264" s="234" t="s">
        <v>20999</v>
      </c>
      <c r="B3264" s="71" t="s">
        <v>17112</v>
      </c>
      <c r="C3264" s="71" t="s">
        <v>17111</v>
      </c>
    </row>
    <row r="3265">
      <c r="A3265" s="234" t="s">
        <v>21001</v>
      </c>
      <c r="B3265" s="71" t="s">
        <v>17347</v>
      </c>
      <c r="C3265" s="71" t="s">
        <v>16838</v>
      </c>
    </row>
    <row r="3266">
      <c r="A3266" s="234" t="s">
        <v>21001</v>
      </c>
      <c r="B3266" s="71" t="s">
        <v>16838</v>
      </c>
      <c r="C3266" s="71" t="s">
        <v>17347</v>
      </c>
    </row>
    <row r="3267">
      <c r="A3267" s="234" t="s">
        <v>21003</v>
      </c>
      <c r="B3267" s="71" t="s">
        <v>17112</v>
      </c>
      <c r="C3267" s="71" t="s">
        <v>16838</v>
      </c>
    </row>
    <row r="3268">
      <c r="A3268" s="234" t="s">
        <v>21003</v>
      </c>
      <c r="B3268" s="71" t="s">
        <v>16838</v>
      </c>
      <c r="C3268" s="71" t="s">
        <v>17112</v>
      </c>
    </row>
    <row r="3269">
      <c r="A3269" s="234" t="s">
        <v>21005</v>
      </c>
      <c r="B3269" s="71" t="s">
        <v>16838</v>
      </c>
      <c r="C3269" s="71" t="s">
        <v>19644</v>
      </c>
    </row>
    <row r="3270">
      <c r="A3270" s="234" t="s">
        <v>21005</v>
      </c>
      <c r="B3270" s="71" t="s">
        <v>19644</v>
      </c>
      <c r="C3270" s="71" t="s">
        <v>16838</v>
      </c>
    </row>
    <row r="3271">
      <c r="A3271" s="130" t="s">
        <v>21007</v>
      </c>
      <c r="B3271" s="71" t="s">
        <v>16838</v>
      </c>
      <c r="C3271" s="71" t="s">
        <v>16867</v>
      </c>
    </row>
    <row r="3272">
      <c r="A3272" s="234" t="s">
        <v>21009</v>
      </c>
      <c r="B3272" s="71" t="s">
        <v>16919</v>
      </c>
      <c r="C3272" s="71" t="s">
        <v>16864</v>
      </c>
    </row>
    <row r="3273">
      <c r="A3273" s="234" t="s">
        <v>21009</v>
      </c>
      <c r="B3273" s="71" t="s">
        <v>16864</v>
      </c>
      <c r="C3273" s="71" t="s">
        <v>16919</v>
      </c>
    </row>
    <row r="3274">
      <c r="A3274" s="130" t="s">
        <v>21011</v>
      </c>
      <c r="B3274" s="71" t="s">
        <v>187</v>
      </c>
      <c r="C3274" s="71" t="s">
        <v>16846</v>
      </c>
    </row>
    <row r="3275">
      <c r="A3275" s="130" t="s">
        <v>21013</v>
      </c>
      <c r="B3275" s="71" t="s">
        <v>16838</v>
      </c>
      <c r="C3275" s="71" t="s">
        <v>16837</v>
      </c>
    </row>
    <row r="3276">
      <c r="A3276" s="234" t="s">
        <v>21015</v>
      </c>
      <c r="B3276" s="71" t="s">
        <v>175</v>
      </c>
      <c r="C3276" s="71" t="s">
        <v>16972</v>
      </c>
    </row>
    <row r="3277">
      <c r="A3277" s="234" t="s">
        <v>21015</v>
      </c>
      <c r="B3277" s="71" t="s">
        <v>16972</v>
      </c>
      <c r="C3277" s="71" t="s">
        <v>175</v>
      </c>
    </row>
    <row r="3278">
      <c r="A3278" s="234" t="s">
        <v>21017</v>
      </c>
      <c r="B3278" s="71" t="s">
        <v>16582</v>
      </c>
      <c r="C3278" s="71" t="s">
        <v>16930</v>
      </c>
    </row>
    <row r="3279">
      <c r="A3279" s="234" t="s">
        <v>21017</v>
      </c>
      <c r="B3279" s="71" t="s">
        <v>16930</v>
      </c>
      <c r="C3279" s="71" t="s">
        <v>16582</v>
      </c>
    </row>
    <row r="3280">
      <c r="A3280" s="130" t="s">
        <v>21019</v>
      </c>
      <c r="B3280" s="71" t="s">
        <v>17112</v>
      </c>
      <c r="C3280" s="71" t="s">
        <v>17111</v>
      </c>
    </row>
    <row r="3281">
      <c r="A3281" s="234" t="s">
        <v>21021</v>
      </c>
      <c r="B3281" s="71" t="s">
        <v>16838</v>
      </c>
      <c r="C3281" s="71" t="s">
        <v>19579</v>
      </c>
    </row>
    <row r="3282">
      <c r="A3282" s="234" t="s">
        <v>21021</v>
      </c>
      <c r="B3282" s="71" t="s">
        <v>19579</v>
      </c>
      <c r="C3282" s="71" t="s">
        <v>16838</v>
      </c>
    </row>
    <row r="3283">
      <c r="A3283" s="234" t="s">
        <v>21023</v>
      </c>
      <c r="B3283" s="71" t="s">
        <v>17127</v>
      </c>
      <c r="C3283" s="71" t="s">
        <v>16838</v>
      </c>
    </row>
    <row r="3284">
      <c r="A3284" s="234" t="s">
        <v>21023</v>
      </c>
      <c r="B3284" s="71" t="s">
        <v>16838</v>
      </c>
      <c r="C3284" s="71" t="s">
        <v>17127</v>
      </c>
    </row>
    <row r="3285">
      <c r="A3285" s="234" t="s">
        <v>21025</v>
      </c>
      <c r="B3285" s="71" t="s">
        <v>16838</v>
      </c>
      <c r="C3285" s="71" t="s">
        <v>16867</v>
      </c>
    </row>
    <row r="3286">
      <c r="A3286" s="234" t="s">
        <v>21025</v>
      </c>
      <c r="B3286" s="71" t="s">
        <v>16867</v>
      </c>
      <c r="C3286" s="130" t="s">
        <v>16838</v>
      </c>
    </row>
    <row r="3287">
      <c r="A3287" s="234" t="s">
        <v>21027</v>
      </c>
      <c r="B3287" s="71" t="s">
        <v>16837</v>
      </c>
      <c r="C3287" s="71" t="s">
        <v>16838</v>
      </c>
    </row>
    <row r="3288">
      <c r="A3288" s="234" t="s">
        <v>21027</v>
      </c>
      <c r="B3288" s="71" t="s">
        <v>16838</v>
      </c>
      <c r="C3288" s="71" t="s">
        <v>16837</v>
      </c>
    </row>
    <row r="3289">
      <c r="A3289" s="130" t="s">
        <v>21029</v>
      </c>
      <c r="B3289" s="71" t="s">
        <v>175</v>
      </c>
      <c r="C3289" s="71" t="s">
        <v>17264</v>
      </c>
    </row>
    <row r="3290">
      <c r="A3290" s="130" t="s">
        <v>21031</v>
      </c>
      <c r="B3290" s="71" t="s">
        <v>187</v>
      </c>
      <c r="C3290" s="71" t="s">
        <v>16846</v>
      </c>
    </row>
    <row r="3291">
      <c r="A3291" s="234" t="s">
        <v>21033</v>
      </c>
      <c r="B3291" s="71" t="s">
        <v>17111</v>
      </c>
      <c r="C3291" s="71" t="s">
        <v>17112</v>
      </c>
    </row>
    <row r="3292">
      <c r="A3292" s="234" t="s">
        <v>21033</v>
      </c>
      <c r="B3292" s="71" t="s">
        <v>17112</v>
      </c>
      <c r="C3292" s="71" t="s">
        <v>17111</v>
      </c>
    </row>
    <row r="3293">
      <c r="A3293" s="234" t="s">
        <v>21035</v>
      </c>
      <c r="B3293" s="71" t="s">
        <v>175</v>
      </c>
      <c r="C3293" s="71" t="s">
        <v>17084</v>
      </c>
    </row>
    <row r="3294">
      <c r="A3294" s="234" t="s">
        <v>21035</v>
      </c>
      <c r="B3294" s="71" t="s">
        <v>17084</v>
      </c>
      <c r="C3294" s="71" t="s">
        <v>175</v>
      </c>
    </row>
    <row r="3295">
      <c r="A3295" s="130" t="s">
        <v>21037</v>
      </c>
      <c r="B3295" s="71" t="s">
        <v>175</v>
      </c>
      <c r="C3295" s="71" t="s">
        <v>17480</v>
      </c>
    </row>
    <row r="3296">
      <c r="A3296" s="130" t="s">
        <v>21039</v>
      </c>
      <c r="B3296" s="71" t="s">
        <v>187</v>
      </c>
      <c r="C3296" s="71" t="s">
        <v>16846</v>
      </c>
    </row>
    <row r="3297">
      <c r="A3297" s="130" t="s">
        <v>21041</v>
      </c>
      <c r="B3297" s="71" t="s">
        <v>17629</v>
      </c>
      <c r="C3297" s="71" t="s">
        <v>16899</v>
      </c>
    </row>
    <row r="3298">
      <c r="A3298" s="234" t="s">
        <v>21043</v>
      </c>
      <c r="B3298" s="71" t="s">
        <v>175</v>
      </c>
      <c r="C3298" s="71" t="s">
        <v>16878</v>
      </c>
    </row>
    <row r="3299">
      <c r="A3299" s="234" t="s">
        <v>21043</v>
      </c>
      <c r="B3299" s="71" t="s">
        <v>16878</v>
      </c>
      <c r="C3299" s="71" t="s">
        <v>175</v>
      </c>
    </row>
    <row r="3300">
      <c r="A3300" s="130" t="s">
        <v>21045</v>
      </c>
      <c r="B3300" s="71"/>
      <c r="C3300" s="71"/>
    </row>
    <row r="3301">
      <c r="A3301" s="234" t="s">
        <v>21047</v>
      </c>
      <c r="B3301" s="71" t="s">
        <v>175</v>
      </c>
      <c r="C3301" s="71" t="s">
        <v>18676</v>
      </c>
    </row>
    <row r="3302">
      <c r="A3302" s="234" t="s">
        <v>21047</v>
      </c>
      <c r="B3302" s="71" t="s">
        <v>18676</v>
      </c>
      <c r="C3302" s="71" t="s">
        <v>175</v>
      </c>
    </row>
    <row r="3303">
      <c r="A3303" s="234" t="s">
        <v>21049</v>
      </c>
      <c r="B3303" s="71" t="s">
        <v>175</v>
      </c>
      <c r="C3303" s="71" t="s">
        <v>17394</v>
      </c>
    </row>
    <row r="3304">
      <c r="A3304" s="234" t="s">
        <v>21049</v>
      </c>
      <c r="B3304" s="71" t="s">
        <v>17394</v>
      </c>
      <c r="C3304" s="71" t="s">
        <v>175</v>
      </c>
    </row>
    <row r="3305">
      <c r="A3305" s="130" t="s">
        <v>21051</v>
      </c>
      <c r="B3305" s="71" t="s">
        <v>187</v>
      </c>
      <c r="C3305" s="71" t="s">
        <v>16969</v>
      </c>
    </row>
    <row r="3306">
      <c r="A3306" s="130" t="s">
        <v>21053</v>
      </c>
      <c r="B3306" s="71" t="s">
        <v>169</v>
      </c>
      <c r="C3306" s="71" t="s">
        <v>17662</v>
      </c>
    </row>
    <row r="3307">
      <c r="A3307" s="234" t="s">
        <v>21055</v>
      </c>
      <c r="B3307" s="71"/>
      <c r="C3307" s="71"/>
    </row>
    <row r="3308">
      <c r="A3308" s="234" t="s">
        <v>21055</v>
      </c>
      <c r="B3308" s="71"/>
      <c r="C3308" s="71"/>
    </row>
    <row r="3309">
      <c r="A3309" s="234" t="s">
        <v>21057</v>
      </c>
      <c r="B3309" s="71" t="s">
        <v>17347</v>
      </c>
      <c r="C3309" s="71" t="s">
        <v>16838</v>
      </c>
    </row>
    <row r="3310">
      <c r="A3310" s="234" t="s">
        <v>21057</v>
      </c>
      <c r="B3310" s="71" t="s">
        <v>16838</v>
      </c>
      <c r="C3310" s="71" t="s">
        <v>17347</v>
      </c>
    </row>
    <row r="3311">
      <c r="A3311" s="234" t="s">
        <v>21059</v>
      </c>
      <c r="B3311" s="71" t="s">
        <v>17127</v>
      </c>
      <c r="C3311" s="71" t="s">
        <v>16838</v>
      </c>
    </row>
    <row r="3312">
      <c r="A3312" s="234" t="s">
        <v>21059</v>
      </c>
      <c r="B3312" s="71" t="s">
        <v>16838</v>
      </c>
      <c r="C3312" s="71" t="s">
        <v>17127</v>
      </c>
    </row>
    <row r="3313">
      <c r="A3313" s="234" t="s">
        <v>21061</v>
      </c>
      <c r="B3313" s="71" t="s">
        <v>16910</v>
      </c>
      <c r="C3313" s="71" t="s">
        <v>17648</v>
      </c>
    </row>
    <row r="3314">
      <c r="A3314" s="234" t="s">
        <v>21061</v>
      </c>
      <c r="B3314" s="71" t="s">
        <v>17648</v>
      </c>
      <c r="C3314" s="71" t="s">
        <v>16910</v>
      </c>
    </row>
    <row r="3315">
      <c r="A3315" s="130" t="s">
        <v>21063</v>
      </c>
      <c r="B3315" s="71" t="s">
        <v>175</v>
      </c>
      <c r="C3315" s="71" t="s">
        <v>18063</v>
      </c>
    </row>
    <row r="3316">
      <c r="A3316" s="234" t="s">
        <v>21065</v>
      </c>
      <c r="B3316" s="71" t="s">
        <v>16838</v>
      </c>
      <c r="C3316" s="71" t="s">
        <v>17127</v>
      </c>
    </row>
    <row r="3317">
      <c r="A3317" s="234" t="s">
        <v>21065</v>
      </c>
      <c r="B3317" s="71" t="s">
        <v>17127</v>
      </c>
      <c r="C3317" s="71" t="s">
        <v>16838</v>
      </c>
    </row>
    <row r="3318">
      <c r="A3318" s="234" t="s">
        <v>21067</v>
      </c>
      <c r="B3318" s="71"/>
      <c r="C3318" s="71"/>
    </row>
    <row r="3319">
      <c r="A3319" s="234" t="s">
        <v>21067</v>
      </c>
      <c r="B3319" s="71"/>
      <c r="C3319" s="71"/>
    </row>
    <row r="3320">
      <c r="A3320" s="234" t="s">
        <v>21069</v>
      </c>
      <c r="B3320" s="71" t="s">
        <v>17019</v>
      </c>
      <c r="C3320" s="71" t="s">
        <v>16838</v>
      </c>
    </row>
    <row r="3321">
      <c r="A3321" s="234" t="s">
        <v>21069</v>
      </c>
      <c r="B3321" s="71" t="s">
        <v>16838</v>
      </c>
      <c r="C3321" s="71" t="s">
        <v>17019</v>
      </c>
    </row>
    <row r="3322">
      <c r="A3322" s="234" t="s">
        <v>21071</v>
      </c>
      <c r="B3322" s="71" t="s">
        <v>17111</v>
      </c>
      <c r="C3322" s="71" t="s">
        <v>17112</v>
      </c>
    </row>
    <row r="3323">
      <c r="A3323" s="234" t="s">
        <v>21071</v>
      </c>
      <c r="B3323" s="71" t="s">
        <v>17112</v>
      </c>
      <c r="C3323" s="71" t="s">
        <v>17111</v>
      </c>
    </row>
    <row r="3324">
      <c r="A3324" s="234" t="s">
        <v>21073</v>
      </c>
      <c r="B3324" s="71" t="s">
        <v>175</v>
      </c>
      <c r="C3324" s="71" t="s">
        <v>17233</v>
      </c>
    </row>
    <row r="3325">
      <c r="A3325" s="234" t="s">
        <v>21073</v>
      </c>
      <c r="B3325" s="71" t="s">
        <v>17233</v>
      </c>
      <c r="C3325" s="71" t="s">
        <v>175</v>
      </c>
    </row>
    <row r="3326">
      <c r="A3326" s="234" t="s">
        <v>21075</v>
      </c>
      <c r="B3326" s="71"/>
      <c r="C3326" s="71"/>
    </row>
    <row r="3327">
      <c r="A3327" s="234" t="s">
        <v>21075</v>
      </c>
      <c r="B3327" s="71"/>
      <c r="C3327" s="71"/>
    </row>
    <row r="3328">
      <c r="A3328" s="234" t="s">
        <v>21077</v>
      </c>
      <c r="B3328" s="71" t="s">
        <v>175</v>
      </c>
      <c r="C3328" s="71" t="s">
        <v>18676</v>
      </c>
    </row>
    <row r="3329">
      <c r="A3329" s="234" t="s">
        <v>21077</v>
      </c>
      <c r="B3329" s="71" t="s">
        <v>18676</v>
      </c>
      <c r="C3329" s="71" t="s">
        <v>175</v>
      </c>
    </row>
    <row r="3330">
      <c r="A3330" s="130" t="s">
        <v>21078</v>
      </c>
      <c r="B3330" s="71" t="s">
        <v>169</v>
      </c>
      <c r="C3330" s="71" t="s">
        <v>20534</v>
      </c>
    </row>
    <row r="3331">
      <c r="A3331" s="234" t="s">
        <v>21080</v>
      </c>
      <c r="B3331" s="71" t="s">
        <v>175</v>
      </c>
      <c r="C3331" s="71" t="s">
        <v>17233</v>
      </c>
    </row>
    <row r="3332">
      <c r="A3332" s="234" t="s">
        <v>21080</v>
      </c>
      <c r="B3332" s="71" t="s">
        <v>17233</v>
      </c>
      <c r="C3332" s="71" t="s">
        <v>175</v>
      </c>
    </row>
    <row r="3333">
      <c r="A3333" s="130" t="s">
        <v>21082</v>
      </c>
      <c r="B3333" s="71" t="s">
        <v>16582</v>
      </c>
      <c r="C3333" s="71" t="s">
        <v>16995</v>
      </c>
    </row>
    <row r="3334">
      <c r="A3334" s="130" t="s">
        <v>21084</v>
      </c>
      <c r="B3334" s="71" t="s">
        <v>16910</v>
      </c>
      <c r="C3334" s="71" t="s">
        <v>16911</v>
      </c>
    </row>
    <row r="3335">
      <c r="A3335" s="234" t="s">
        <v>21086</v>
      </c>
      <c r="B3335" s="71" t="s">
        <v>158</v>
      </c>
      <c r="C3335" s="71" t="s">
        <v>16870</v>
      </c>
    </row>
    <row r="3336">
      <c r="A3336" s="234" t="s">
        <v>21086</v>
      </c>
      <c r="B3336" s="71" t="s">
        <v>16870</v>
      </c>
      <c r="C3336" s="71" t="s">
        <v>158</v>
      </c>
    </row>
    <row r="3337">
      <c r="A3337" s="130" t="s">
        <v>21088</v>
      </c>
      <c r="B3337" s="71" t="s">
        <v>187</v>
      </c>
      <c r="C3337" s="71" t="s">
        <v>17552</v>
      </c>
    </row>
    <row r="3338">
      <c r="A3338" s="130" t="s">
        <v>21090</v>
      </c>
      <c r="B3338" s="71" t="s">
        <v>17112</v>
      </c>
      <c r="C3338" s="71" t="s">
        <v>17218</v>
      </c>
    </row>
    <row r="3339">
      <c r="A3339" s="234" t="s">
        <v>21092</v>
      </c>
      <c r="B3339" s="71" t="s">
        <v>19579</v>
      </c>
      <c r="C3339" s="71" t="s">
        <v>16838</v>
      </c>
    </row>
    <row r="3340">
      <c r="A3340" s="234" t="s">
        <v>21092</v>
      </c>
      <c r="B3340" s="71" t="s">
        <v>16838</v>
      </c>
      <c r="C3340" s="71" t="s">
        <v>19579</v>
      </c>
    </row>
    <row r="3341">
      <c r="A3341" s="130" t="s">
        <v>21094</v>
      </c>
      <c r="B3341" s="71" t="s">
        <v>175</v>
      </c>
      <c r="C3341" s="71" t="s">
        <v>19006</v>
      </c>
    </row>
    <row r="3342">
      <c r="A3342" s="234" t="s">
        <v>21096</v>
      </c>
      <c r="B3342" s="71" t="s">
        <v>158</v>
      </c>
      <c r="C3342" s="71" t="s">
        <v>17171</v>
      </c>
    </row>
    <row r="3343">
      <c r="A3343" s="234" t="s">
        <v>21096</v>
      </c>
      <c r="B3343" s="71" t="s">
        <v>17171</v>
      </c>
      <c r="C3343" s="71" t="s">
        <v>158</v>
      </c>
    </row>
    <row r="3344">
      <c r="A3344" s="234" t="s">
        <v>21098</v>
      </c>
      <c r="B3344" s="71" t="s">
        <v>175</v>
      </c>
      <c r="C3344" s="71" t="s">
        <v>17350</v>
      </c>
    </row>
    <row r="3345">
      <c r="A3345" s="234" t="s">
        <v>21098</v>
      </c>
      <c r="B3345" s="71" t="s">
        <v>17350</v>
      </c>
      <c r="C3345" s="71" t="s">
        <v>175</v>
      </c>
    </row>
    <row r="3346">
      <c r="A3346" s="130" t="s">
        <v>21100</v>
      </c>
      <c r="B3346" s="71" t="s">
        <v>16838</v>
      </c>
      <c r="C3346" s="71" t="s">
        <v>18679</v>
      </c>
    </row>
    <row r="3347">
      <c r="A3347" s="234" t="s">
        <v>21102</v>
      </c>
      <c r="B3347" s="71" t="s">
        <v>19719</v>
      </c>
      <c r="C3347" s="71" t="s">
        <v>169</v>
      </c>
    </row>
    <row r="3348">
      <c r="A3348" s="234" t="s">
        <v>21102</v>
      </c>
      <c r="B3348" s="71" t="s">
        <v>169</v>
      </c>
      <c r="C3348" s="71" t="s">
        <v>19719</v>
      </c>
    </row>
    <row r="3349">
      <c r="A3349" s="130" t="s">
        <v>21104</v>
      </c>
      <c r="B3349" s="71" t="s">
        <v>16838</v>
      </c>
      <c r="C3349" s="71" t="s">
        <v>16867</v>
      </c>
    </row>
    <row r="3350">
      <c r="A3350" s="130" t="s">
        <v>21106</v>
      </c>
      <c r="B3350" s="71" t="s">
        <v>16582</v>
      </c>
      <c r="C3350" s="71" t="s">
        <v>16899</v>
      </c>
    </row>
    <row r="3351">
      <c r="A3351" s="130" t="s">
        <v>21108</v>
      </c>
      <c r="B3351" s="71" t="s">
        <v>187</v>
      </c>
      <c r="C3351" s="71" t="s">
        <v>16851</v>
      </c>
    </row>
    <row r="3352">
      <c r="A3352" s="234" t="s">
        <v>21110</v>
      </c>
      <c r="B3352" s="71" t="s">
        <v>16992</v>
      </c>
      <c r="C3352" s="71" t="s">
        <v>187</v>
      </c>
    </row>
    <row r="3353">
      <c r="A3353" s="234" t="s">
        <v>21110</v>
      </c>
      <c r="B3353" s="71" t="s">
        <v>187</v>
      </c>
      <c r="C3353" s="71" t="s">
        <v>16992</v>
      </c>
    </row>
    <row r="3354">
      <c r="A3354" s="130" t="s">
        <v>21112</v>
      </c>
      <c r="B3354" s="71" t="s">
        <v>187</v>
      </c>
      <c r="C3354" s="71" t="s">
        <v>17122</v>
      </c>
    </row>
    <row r="3355">
      <c r="A3355" s="130" t="s">
        <v>21114</v>
      </c>
      <c r="B3355" s="71" t="s">
        <v>187</v>
      </c>
      <c r="C3355" s="71" t="s">
        <v>16858</v>
      </c>
    </row>
    <row r="3356">
      <c r="A3356" s="234" t="s">
        <v>21116</v>
      </c>
      <c r="B3356" s="71" t="s">
        <v>16582</v>
      </c>
      <c r="C3356" s="71" t="s">
        <v>16930</v>
      </c>
    </row>
    <row r="3357">
      <c r="A3357" s="234" t="s">
        <v>21116</v>
      </c>
      <c r="B3357" s="71" t="s">
        <v>16930</v>
      </c>
      <c r="C3357" s="71" t="s">
        <v>16582</v>
      </c>
    </row>
    <row r="3358">
      <c r="A3358" s="130" t="s">
        <v>21118</v>
      </c>
      <c r="B3358" s="71" t="s">
        <v>16582</v>
      </c>
      <c r="C3358" s="71" t="s">
        <v>17435</v>
      </c>
    </row>
    <row r="3359">
      <c r="A3359" s="234" t="s">
        <v>21120</v>
      </c>
      <c r="B3359" s="71" t="s">
        <v>16838</v>
      </c>
      <c r="C3359" s="71" t="s">
        <v>17384</v>
      </c>
    </row>
    <row r="3360">
      <c r="A3360" s="234" t="s">
        <v>21120</v>
      </c>
      <c r="B3360" s="71" t="s">
        <v>17384</v>
      </c>
      <c r="C3360" s="71" t="s">
        <v>16838</v>
      </c>
    </row>
    <row r="3361">
      <c r="A3361" s="130" t="s">
        <v>21122</v>
      </c>
      <c r="B3361" s="71" t="s">
        <v>17112</v>
      </c>
      <c r="C3361" s="71" t="s">
        <v>17111</v>
      </c>
    </row>
    <row r="3362">
      <c r="A3362" s="130" t="s">
        <v>21124</v>
      </c>
      <c r="B3362" s="71"/>
      <c r="C3362" s="71"/>
    </row>
    <row r="3363">
      <c r="A3363" s="234" t="s">
        <v>21126</v>
      </c>
      <c r="B3363" s="71" t="s">
        <v>169</v>
      </c>
      <c r="C3363" s="71" t="s">
        <v>16899</v>
      </c>
    </row>
    <row r="3364">
      <c r="A3364" s="234" t="s">
        <v>21126</v>
      </c>
      <c r="B3364" s="71" t="s">
        <v>16899</v>
      </c>
      <c r="C3364" s="71" t="s">
        <v>169</v>
      </c>
    </row>
    <row r="3365">
      <c r="A3365" s="234" t="s">
        <v>21128</v>
      </c>
      <c r="B3365" s="71" t="s">
        <v>17016</v>
      </c>
      <c r="C3365" s="71" t="s">
        <v>16838</v>
      </c>
    </row>
    <row r="3366">
      <c r="A3366" s="234" t="s">
        <v>21128</v>
      </c>
      <c r="B3366" s="71" t="s">
        <v>16838</v>
      </c>
      <c r="C3366" s="71" t="s">
        <v>17016</v>
      </c>
    </row>
    <row r="3367">
      <c r="A3367" s="234" t="s">
        <v>21130</v>
      </c>
      <c r="B3367" s="71"/>
      <c r="C3367" s="71"/>
    </row>
    <row r="3368">
      <c r="A3368" s="234" t="s">
        <v>21130</v>
      </c>
      <c r="B3368" s="71"/>
      <c r="C3368" s="71"/>
    </row>
    <row r="3369">
      <c r="A3369" s="234" t="s">
        <v>21132</v>
      </c>
      <c r="B3369" s="71" t="s">
        <v>17019</v>
      </c>
      <c r="C3369" s="71" t="s">
        <v>16838</v>
      </c>
    </row>
    <row r="3370">
      <c r="A3370" s="234" t="s">
        <v>21132</v>
      </c>
      <c r="B3370" s="71" t="s">
        <v>16838</v>
      </c>
      <c r="C3370" s="71" t="s">
        <v>17019</v>
      </c>
    </row>
    <row r="3371">
      <c r="A3371" s="234" t="s">
        <v>21134</v>
      </c>
      <c r="B3371" s="71" t="s">
        <v>169</v>
      </c>
      <c r="C3371" s="71" t="s">
        <v>16899</v>
      </c>
    </row>
    <row r="3372">
      <c r="A3372" s="234" t="s">
        <v>21134</v>
      </c>
      <c r="B3372" s="71" t="s">
        <v>16899</v>
      </c>
      <c r="C3372" s="71" t="s">
        <v>169</v>
      </c>
    </row>
    <row r="3373">
      <c r="A3373" s="234" t="s">
        <v>21136</v>
      </c>
      <c r="B3373" s="71" t="s">
        <v>158</v>
      </c>
      <c r="C3373" s="71" t="s">
        <v>17171</v>
      </c>
    </row>
    <row r="3374">
      <c r="A3374" s="234" t="s">
        <v>21136</v>
      </c>
      <c r="B3374" s="71" t="s">
        <v>17171</v>
      </c>
      <c r="C3374" s="71" t="s">
        <v>158</v>
      </c>
    </row>
    <row r="3375">
      <c r="A3375" s="234" t="s">
        <v>21138</v>
      </c>
      <c r="B3375" s="71" t="s">
        <v>175</v>
      </c>
      <c r="C3375" s="71" t="s">
        <v>18723</v>
      </c>
    </row>
    <row r="3376">
      <c r="A3376" s="234" t="s">
        <v>21138</v>
      </c>
      <c r="B3376" s="71" t="s">
        <v>18723</v>
      </c>
      <c r="C3376" s="71" t="s">
        <v>175</v>
      </c>
    </row>
    <row r="3377">
      <c r="A3377" s="234" t="s">
        <v>21140</v>
      </c>
      <c r="B3377" s="71" t="s">
        <v>175</v>
      </c>
      <c r="C3377" s="71" t="s">
        <v>17218</v>
      </c>
    </row>
    <row r="3378">
      <c r="A3378" s="234" t="s">
        <v>21140</v>
      </c>
      <c r="B3378" s="71" t="s">
        <v>17218</v>
      </c>
      <c r="C3378" s="71" t="s">
        <v>175</v>
      </c>
    </row>
    <row r="3379">
      <c r="A3379" s="234" t="s">
        <v>21142</v>
      </c>
      <c r="B3379" s="71" t="s">
        <v>16838</v>
      </c>
      <c r="C3379" s="71" t="s">
        <v>18679</v>
      </c>
    </row>
    <row r="3380">
      <c r="A3380" s="234" t="s">
        <v>21142</v>
      </c>
      <c r="B3380" s="71" t="s">
        <v>18679</v>
      </c>
      <c r="C3380" s="71" t="s">
        <v>16838</v>
      </c>
    </row>
    <row r="3381">
      <c r="A3381" s="234" t="s">
        <v>21144</v>
      </c>
      <c r="B3381" s="71" t="s">
        <v>16582</v>
      </c>
      <c r="C3381" s="71" t="s">
        <v>16930</v>
      </c>
    </row>
    <row r="3382">
      <c r="A3382" s="234" t="s">
        <v>21144</v>
      </c>
      <c r="B3382" s="71" t="s">
        <v>16930</v>
      </c>
      <c r="C3382" s="71" t="s">
        <v>16582</v>
      </c>
    </row>
    <row r="3383">
      <c r="A3383" s="234" t="s">
        <v>21146</v>
      </c>
      <c r="B3383" s="71" t="s">
        <v>169</v>
      </c>
      <c r="C3383" s="71" t="s">
        <v>19139</v>
      </c>
    </row>
    <row r="3384">
      <c r="A3384" s="234" t="s">
        <v>21146</v>
      </c>
      <c r="B3384" s="71" t="s">
        <v>19139</v>
      </c>
      <c r="C3384" s="71" t="s">
        <v>169</v>
      </c>
    </row>
    <row r="3385">
      <c r="A3385" s="234" t="s">
        <v>21148</v>
      </c>
      <c r="B3385" s="71" t="s">
        <v>17019</v>
      </c>
      <c r="C3385" s="71" t="s">
        <v>16838</v>
      </c>
    </row>
    <row r="3386">
      <c r="A3386" s="234" t="s">
        <v>21148</v>
      </c>
      <c r="B3386" s="71" t="s">
        <v>16838</v>
      </c>
      <c r="C3386" s="71" t="s">
        <v>17019</v>
      </c>
    </row>
    <row r="3387">
      <c r="A3387" s="234" t="s">
        <v>21150</v>
      </c>
      <c r="B3387" s="71" t="s">
        <v>17112</v>
      </c>
      <c r="C3387" s="71" t="s">
        <v>16838</v>
      </c>
    </row>
    <row r="3388">
      <c r="A3388" s="234" t="s">
        <v>21150</v>
      </c>
      <c r="B3388" s="71" t="s">
        <v>16838</v>
      </c>
      <c r="C3388" s="71" t="s">
        <v>17112</v>
      </c>
    </row>
    <row r="3389">
      <c r="A3389" s="130" t="s">
        <v>21152</v>
      </c>
      <c r="B3389" s="71" t="s">
        <v>169</v>
      </c>
      <c r="C3389" s="71" t="s">
        <v>18903</v>
      </c>
    </row>
    <row r="3390">
      <c r="A3390" s="234" t="s">
        <v>21154</v>
      </c>
      <c r="B3390" s="71" t="s">
        <v>175</v>
      </c>
      <c r="C3390" s="71" t="s">
        <v>17394</v>
      </c>
    </row>
    <row r="3391">
      <c r="A3391" s="234" t="s">
        <v>21154</v>
      </c>
      <c r="B3391" s="71" t="s">
        <v>17394</v>
      </c>
      <c r="C3391" s="71" t="s">
        <v>175</v>
      </c>
    </row>
    <row r="3392">
      <c r="A3392" s="234" t="s">
        <v>21156</v>
      </c>
      <c r="B3392" s="71" t="s">
        <v>175</v>
      </c>
      <c r="C3392" s="71" t="s">
        <v>17394</v>
      </c>
    </row>
    <row r="3393">
      <c r="A3393" s="234" t="s">
        <v>21156</v>
      </c>
      <c r="B3393" s="71" t="s">
        <v>17394</v>
      </c>
      <c r="C3393" s="71" t="s">
        <v>175</v>
      </c>
    </row>
    <row r="3394">
      <c r="A3394" s="130" t="s">
        <v>21158</v>
      </c>
      <c r="B3394" s="71" t="s">
        <v>187</v>
      </c>
      <c r="C3394" s="71" t="s">
        <v>16851</v>
      </c>
    </row>
    <row r="3395">
      <c r="A3395" s="130" t="s">
        <v>21160</v>
      </c>
      <c r="B3395" s="71" t="s">
        <v>16582</v>
      </c>
      <c r="C3395" s="71" t="s">
        <v>16899</v>
      </c>
    </row>
    <row r="3396">
      <c r="A3396" s="234" t="s">
        <v>21162</v>
      </c>
      <c r="B3396" s="71" t="s">
        <v>175</v>
      </c>
      <c r="C3396" s="71" t="s">
        <v>17233</v>
      </c>
    </row>
    <row r="3397">
      <c r="A3397" s="234" t="s">
        <v>21162</v>
      </c>
      <c r="B3397" s="71" t="s">
        <v>17233</v>
      </c>
      <c r="C3397" s="71" t="s">
        <v>175</v>
      </c>
    </row>
    <row r="3398">
      <c r="A3398" s="234" t="s">
        <v>21164</v>
      </c>
      <c r="B3398" s="71" t="s">
        <v>169</v>
      </c>
      <c r="C3398" s="71" t="s">
        <v>16899</v>
      </c>
    </row>
    <row r="3399">
      <c r="A3399" s="234" t="s">
        <v>21164</v>
      </c>
      <c r="B3399" s="71" t="s">
        <v>16899</v>
      </c>
      <c r="C3399" s="71" t="s">
        <v>169</v>
      </c>
    </row>
    <row r="3400">
      <c r="A3400" s="130" t="s">
        <v>21166</v>
      </c>
      <c r="B3400" s="71" t="s">
        <v>175</v>
      </c>
      <c r="C3400" s="71" t="s">
        <v>16942</v>
      </c>
    </row>
    <row r="3401">
      <c r="A3401" s="234" t="s">
        <v>21168</v>
      </c>
      <c r="B3401" s="71" t="s">
        <v>169</v>
      </c>
      <c r="C3401" s="71" t="s">
        <v>17738</v>
      </c>
    </row>
    <row r="3402">
      <c r="A3402" s="234" t="s">
        <v>21168</v>
      </c>
      <c r="B3402" s="71" t="s">
        <v>17738</v>
      </c>
      <c r="C3402" s="71" t="s">
        <v>169</v>
      </c>
    </row>
    <row r="3403">
      <c r="A3403" s="234" t="s">
        <v>21170</v>
      </c>
      <c r="B3403" s="71" t="s">
        <v>17019</v>
      </c>
      <c r="C3403" s="71" t="s">
        <v>16838</v>
      </c>
    </row>
    <row r="3404">
      <c r="A3404" s="234" t="s">
        <v>21170</v>
      </c>
      <c r="B3404" s="71" t="s">
        <v>16838</v>
      </c>
      <c r="C3404" s="71" t="s">
        <v>17019</v>
      </c>
    </row>
    <row r="3405">
      <c r="A3405" s="234" t="s">
        <v>21172</v>
      </c>
      <c r="B3405" s="71" t="s">
        <v>17019</v>
      </c>
      <c r="C3405" s="71" t="s">
        <v>16838</v>
      </c>
    </row>
    <row r="3406">
      <c r="A3406" s="234" t="s">
        <v>21172</v>
      </c>
      <c r="B3406" s="71" t="s">
        <v>16838</v>
      </c>
      <c r="C3406" s="71" t="s">
        <v>17019</v>
      </c>
    </row>
    <row r="3407">
      <c r="A3407" s="234" t="s">
        <v>21174</v>
      </c>
      <c r="B3407" s="71" t="s">
        <v>175</v>
      </c>
      <c r="C3407" s="71" t="s">
        <v>17183</v>
      </c>
    </row>
    <row r="3408">
      <c r="A3408" s="234" t="s">
        <v>21174</v>
      </c>
      <c r="B3408" s="71" t="s">
        <v>17183</v>
      </c>
      <c r="C3408" s="71" t="s">
        <v>175</v>
      </c>
    </row>
    <row r="3409">
      <c r="A3409" s="130" t="s">
        <v>21176</v>
      </c>
      <c r="B3409" s="71" t="s">
        <v>169</v>
      </c>
      <c r="C3409" s="71" t="s">
        <v>16945</v>
      </c>
    </row>
    <row r="3410">
      <c r="A3410" s="130" t="s">
        <v>21178</v>
      </c>
      <c r="B3410" s="71"/>
      <c r="C3410" s="71"/>
    </row>
    <row r="3411">
      <c r="A3411" s="234" t="s">
        <v>21180</v>
      </c>
      <c r="B3411" s="71" t="s">
        <v>17111</v>
      </c>
      <c r="C3411" s="71" t="s">
        <v>17112</v>
      </c>
    </row>
    <row r="3412">
      <c r="A3412" s="234" t="s">
        <v>21180</v>
      </c>
      <c r="B3412" s="71" t="s">
        <v>17112</v>
      </c>
      <c r="C3412" s="71" t="s">
        <v>17111</v>
      </c>
    </row>
    <row r="3413">
      <c r="A3413" s="130" t="s">
        <v>21182</v>
      </c>
      <c r="B3413" s="71" t="s">
        <v>187</v>
      </c>
      <c r="C3413" s="71" t="s">
        <v>16846</v>
      </c>
    </row>
    <row r="3414">
      <c r="A3414" s="130" t="s">
        <v>21184</v>
      </c>
      <c r="B3414" s="71" t="s">
        <v>175</v>
      </c>
      <c r="C3414" s="71" t="s">
        <v>17452</v>
      </c>
    </row>
    <row r="3415">
      <c r="A3415" s="234" t="s">
        <v>21186</v>
      </c>
      <c r="B3415" s="71" t="s">
        <v>175</v>
      </c>
      <c r="C3415" s="71" t="s">
        <v>16972</v>
      </c>
    </row>
    <row r="3416">
      <c r="A3416" s="234" t="s">
        <v>21186</v>
      </c>
      <c r="B3416" s="71" t="s">
        <v>16972</v>
      </c>
      <c r="C3416" s="71" t="s">
        <v>175</v>
      </c>
    </row>
    <row r="3417">
      <c r="A3417" s="130" t="s">
        <v>21188</v>
      </c>
      <c r="B3417" s="71" t="s">
        <v>16582</v>
      </c>
      <c r="C3417" s="71" t="s">
        <v>17435</v>
      </c>
    </row>
    <row r="3418">
      <c r="A3418" s="234" t="s">
        <v>21190</v>
      </c>
      <c r="B3418" s="71" t="s">
        <v>16919</v>
      </c>
      <c r="C3418" s="71" t="s">
        <v>16864</v>
      </c>
    </row>
    <row r="3419">
      <c r="A3419" s="234" t="s">
        <v>21190</v>
      </c>
      <c r="B3419" s="71" t="s">
        <v>16864</v>
      </c>
      <c r="C3419" s="71" t="s">
        <v>16919</v>
      </c>
    </row>
    <row r="3420">
      <c r="A3420" s="234" t="s">
        <v>21192</v>
      </c>
      <c r="B3420" s="71" t="s">
        <v>17111</v>
      </c>
      <c r="C3420" s="71" t="s">
        <v>17112</v>
      </c>
    </row>
    <row r="3421">
      <c r="A3421" s="234" t="s">
        <v>21192</v>
      </c>
      <c r="B3421" s="71" t="s">
        <v>17112</v>
      </c>
      <c r="C3421" s="71" t="s">
        <v>17111</v>
      </c>
    </row>
    <row r="3422">
      <c r="A3422" s="234" t="s">
        <v>21194</v>
      </c>
      <c r="B3422" s="71" t="s">
        <v>16919</v>
      </c>
      <c r="C3422" s="71" t="s">
        <v>16920</v>
      </c>
    </row>
    <row r="3423">
      <c r="A3423" s="234" t="s">
        <v>21194</v>
      </c>
      <c r="B3423" s="71" t="s">
        <v>16920</v>
      </c>
      <c r="C3423" s="71" t="s">
        <v>16919</v>
      </c>
    </row>
    <row r="3424">
      <c r="A3424" s="130" t="s">
        <v>21196</v>
      </c>
      <c r="B3424" s="71" t="s">
        <v>175</v>
      </c>
      <c r="C3424" s="71" t="s">
        <v>17480</v>
      </c>
    </row>
    <row r="3425">
      <c r="A3425" s="234" t="s">
        <v>21198</v>
      </c>
      <c r="B3425" s="71" t="s">
        <v>158</v>
      </c>
      <c r="C3425" s="71" t="s">
        <v>16864</v>
      </c>
    </row>
    <row r="3426">
      <c r="A3426" s="234" t="s">
        <v>21198</v>
      </c>
      <c r="B3426" s="71" t="s">
        <v>16864</v>
      </c>
      <c r="C3426" s="71" t="s">
        <v>158</v>
      </c>
    </row>
    <row r="3427">
      <c r="A3427" s="234" t="s">
        <v>21200</v>
      </c>
      <c r="B3427" s="71" t="s">
        <v>175</v>
      </c>
      <c r="C3427" s="71" t="s">
        <v>17233</v>
      </c>
    </row>
    <row r="3428">
      <c r="A3428" s="234" t="s">
        <v>21200</v>
      </c>
      <c r="B3428" s="71" t="s">
        <v>17233</v>
      </c>
      <c r="C3428" s="71" t="s">
        <v>175</v>
      </c>
    </row>
    <row r="3429">
      <c r="A3429" s="130" t="s">
        <v>21202</v>
      </c>
      <c r="B3429" s="71" t="s">
        <v>16910</v>
      </c>
      <c r="C3429" s="71" t="s">
        <v>17648</v>
      </c>
    </row>
    <row r="3430">
      <c r="A3430" s="234" t="s">
        <v>21204</v>
      </c>
      <c r="B3430" s="71" t="s">
        <v>169</v>
      </c>
      <c r="C3430" s="71" t="s">
        <v>16899</v>
      </c>
    </row>
    <row r="3431">
      <c r="A3431" s="234" t="s">
        <v>21204</v>
      </c>
      <c r="B3431" s="71" t="s">
        <v>16899</v>
      </c>
      <c r="C3431" s="71" t="s">
        <v>169</v>
      </c>
    </row>
    <row r="3432">
      <c r="A3432" s="234" t="s">
        <v>21206</v>
      </c>
      <c r="B3432" s="71" t="s">
        <v>17019</v>
      </c>
      <c r="C3432" s="71" t="s">
        <v>16838</v>
      </c>
    </row>
    <row r="3433">
      <c r="A3433" s="234" t="s">
        <v>21206</v>
      </c>
      <c r="B3433" s="71" t="s">
        <v>16838</v>
      </c>
      <c r="C3433" s="71" t="s">
        <v>17019</v>
      </c>
    </row>
    <row r="3434">
      <c r="A3434" s="130" t="s">
        <v>21208</v>
      </c>
      <c r="B3434" s="71" t="s">
        <v>16838</v>
      </c>
      <c r="C3434" s="71" t="s">
        <v>17016</v>
      </c>
    </row>
    <row r="3435">
      <c r="A3435" s="130" t="s">
        <v>21210</v>
      </c>
      <c r="B3435" s="71" t="s">
        <v>187</v>
      </c>
      <c r="C3435" s="71" t="s">
        <v>16846</v>
      </c>
    </row>
    <row r="3436">
      <c r="A3436" s="130" t="s">
        <v>21212</v>
      </c>
      <c r="B3436" s="71" t="s">
        <v>175</v>
      </c>
      <c r="C3436" s="71" t="s">
        <v>16942</v>
      </c>
    </row>
    <row r="3437">
      <c r="A3437" s="130" t="s">
        <v>21214</v>
      </c>
      <c r="B3437" s="71" t="s">
        <v>16582</v>
      </c>
      <c r="C3437" s="71" t="s">
        <v>16817</v>
      </c>
    </row>
    <row r="3438">
      <c r="A3438" s="130" t="s">
        <v>21216</v>
      </c>
      <c r="B3438" s="71" t="s">
        <v>17112</v>
      </c>
      <c r="C3438" s="71" t="s">
        <v>17111</v>
      </c>
    </row>
    <row r="3439">
      <c r="A3439" s="130" t="s">
        <v>21218</v>
      </c>
      <c r="B3439" s="71" t="s">
        <v>16838</v>
      </c>
      <c r="C3439" s="71" t="s">
        <v>16867</v>
      </c>
    </row>
    <row r="3440">
      <c r="A3440" s="234" t="s">
        <v>21220</v>
      </c>
      <c r="B3440" s="71" t="s">
        <v>17019</v>
      </c>
      <c r="C3440" s="71" t="s">
        <v>16838</v>
      </c>
    </row>
    <row r="3441">
      <c r="A3441" s="234" t="s">
        <v>21220</v>
      </c>
      <c r="B3441" s="71" t="s">
        <v>16838</v>
      </c>
      <c r="C3441" s="71" t="s">
        <v>17019</v>
      </c>
    </row>
    <row r="3442">
      <c r="A3442" s="130" t="s">
        <v>21222</v>
      </c>
      <c r="B3442" s="71" t="s">
        <v>16926</v>
      </c>
      <c r="C3442" s="71" t="s">
        <v>16960</v>
      </c>
    </row>
    <row r="3443">
      <c r="A3443" s="234" t="s">
        <v>21224</v>
      </c>
      <c r="B3443" s="71" t="s">
        <v>175</v>
      </c>
      <c r="C3443" s="71" t="s">
        <v>17084</v>
      </c>
    </row>
    <row r="3444">
      <c r="A3444" s="234" t="s">
        <v>21224</v>
      </c>
      <c r="B3444" s="71" t="s">
        <v>17084</v>
      </c>
      <c r="C3444" s="71" t="s">
        <v>175</v>
      </c>
    </row>
    <row r="3445">
      <c r="A3445" s="234" t="s">
        <v>21226</v>
      </c>
      <c r="B3445" s="71" t="s">
        <v>16957</v>
      </c>
      <c r="C3445" s="71" t="s">
        <v>16926</v>
      </c>
    </row>
    <row r="3446">
      <c r="A3446" s="234" t="s">
        <v>21226</v>
      </c>
      <c r="B3446" s="71" t="s">
        <v>16926</v>
      </c>
      <c r="C3446" s="71" t="s">
        <v>16957</v>
      </c>
    </row>
    <row r="3447">
      <c r="A3447" s="234" t="s">
        <v>21228</v>
      </c>
      <c r="B3447" s="71" t="s">
        <v>17127</v>
      </c>
      <c r="C3447" s="71" t="s">
        <v>16838</v>
      </c>
    </row>
    <row r="3448">
      <c r="A3448" s="234" t="s">
        <v>21228</v>
      </c>
      <c r="B3448" s="71" t="s">
        <v>16838</v>
      </c>
      <c r="C3448" s="71" t="s">
        <v>17127</v>
      </c>
    </row>
    <row r="3449">
      <c r="A3449" s="234" t="s">
        <v>21230</v>
      </c>
      <c r="B3449" s="71" t="s">
        <v>175</v>
      </c>
      <c r="C3449" s="71" t="s">
        <v>16942</v>
      </c>
    </row>
    <row r="3450">
      <c r="A3450" s="234" t="s">
        <v>21230</v>
      </c>
      <c r="B3450" s="71" t="s">
        <v>16942</v>
      </c>
      <c r="C3450" s="71" t="s">
        <v>175</v>
      </c>
    </row>
    <row r="3451">
      <c r="A3451" s="130" t="s">
        <v>21232</v>
      </c>
      <c r="B3451" s="71" t="s">
        <v>16582</v>
      </c>
      <c r="C3451" s="71" t="s">
        <v>16930</v>
      </c>
    </row>
    <row r="3452">
      <c r="A3452" s="130" t="s">
        <v>21234</v>
      </c>
      <c r="B3452" s="71" t="s">
        <v>16926</v>
      </c>
      <c r="C3452" s="71" t="s">
        <v>16960</v>
      </c>
    </row>
    <row r="3453">
      <c r="A3453" s="130" t="s">
        <v>21236</v>
      </c>
      <c r="B3453" s="71"/>
      <c r="C3453" s="71"/>
    </row>
    <row r="3454">
      <c r="A3454" s="234" t="s">
        <v>21238</v>
      </c>
      <c r="B3454" s="71"/>
      <c r="C3454" s="71"/>
    </row>
    <row r="3455">
      <c r="A3455" s="234" t="s">
        <v>21238</v>
      </c>
      <c r="B3455" s="71"/>
      <c r="C3455" s="71"/>
    </row>
    <row r="3456">
      <c r="A3456" s="130" t="s">
        <v>21240</v>
      </c>
      <c r="B3456" s="71" t="s">
        <v>16838</v>
      </c>
      <c r="C3456" s="71" t="s">
        <v>16867</v>
      </c>
    </row>
    <row r="3457">
      <c r="A3457" s="130" t="s">
        <v>21242</v>
      </c>
      <c r="B3457" s="71" t="s">
        <v>16838</v>
      </c>
      <c r="C3457" s="71" t="s">
        <v>16867</v>
      </c>
    </row>
    <row r="3458">
      <c r="A3458" s="130" t="s">
        <v>21244</v>
      </c>
      <c r="B3458" s="71" t="s">
        <v>16838</v>
      </c>
      <c r="C3458" s="71" t="s">
        <v>16867</v>
      </c>
    </row>
    <row r="3459">
      <c r="A3459" s="234" t="s">
        <v>21246</v>
      </c>
      <c r="B3459" s="71" t="s">
        <v>158</v>
      </c>
      <c r="C3459" s="71" t="s">
        <v>16864</v>
      </c>
    </row>
    <row r="3460">
      <c r="A3460" s="234" t="s">
        <v>21246</v>
      </c>
      <c r="B3460" s="71" t="s">
        <v>16864</v>
      </c>
      <c r="C3460" s="71" t="s">
        <v>158</v>
      </c>
    </row>
    <row r="3461">
      <c r="A3461" s="130" t="s">
        <v>21248</v>
      </c>
      <c r="B3461" s="71" t="s">
        <v>169</v>
      </c>
      <c r="C3461" s="71" t="s">
        <v>17339</v>
      </c>
    </row>
    <row r="3462">
      <c r="A3462" s="130" t="s">
        <v>21250</v>
      </c>
      <c r="B3462" s="71" t="s">
        <v>175</v>
      </c>
      <c r="C3462" s="71" t="s">
        <v>17233</v>
      </c>
    </row>
    <row r="3463">
      <c r="A3463" s="130" t="s">
        <v>21252</v>
      </c>
      <c r="B3463" s="71" t="s">
        <v>16582</v>
      </c>
      <c r="C3463" s="71" t="s">
        <v>16930</v>
      </c>
    </row>
    <row r="3464">
      <c r="A3464" s="234" t="s">
        <v>21254</v>
      </c>
      <c r="B3464" s="71" t="s">
        <v>17111</v>
      </c>
      <c r="C3464" s="71" t="s">
        <v>17112</v>
      </c>
    </row>
    <row r="3465">
      <c r="A3465" s="234" t="s">
        <v>21254</v>
      </c>
      <c r="B3465" s="71" t="s">
        <v>17112</v>
      </c>
      <c r="C3465" s="71" t="s">
        <v>17111</v>
      </c>
    </row>
    <row r="3466">
      <c r="A3466" s="234" t="s">
        <v>21256</v>
      </c>
      <c r="B3466" s="71" t="s">
        <v>16867</v>
      </c>
      <c r="C3466" s="71" t="s">
        <v>16838</v>
      </c>
    </row>
    <row r="3467">
      <c r="A3467" s="234" t="s">
        <v>21256</v>
      </c>
      <c r="B3467" s="71" t="s">
        <v>16838</v>
      </c>
      <c r="C3467" s="71" t="s">
        <v>16867</v>
      </c>
    </row>
    <row r="3468">
      <c r="A3468" s="234" t="s">
        <v>21258</v>
      </c>
      <c r="B3468" s="71" t="s">
        <v>17019</v>
      </c>
      <c r="C3468" s="71" t="s">
        <v>16838</v>
      </c>
    </row>
    <row r="3469">
      <c r="A3469" s="234" t="s">
        <v>21258</v>
      </c>
      <c r="B3469" s="71" t="s">
        <v>16838</v>
      </c>
      <c r="C3469" s="71" t="s">
        <v>17019</v>
      </c>
    </row>
    <row r="3470">
      <c r="A3470" s="130" t="s">
        <v>21261</v>
      </c>
      <c r="B3470" s="71" t="s">
        <v>16838</v>
      </c>
      <c r="C3470" s="71" t="s">
        <v>17127</v>
      </c>
    </row>
    <row r="3471">
      <c r="A3471" s="234" t="s">
        <v>21263</v>
      </c>
      <c r="B3471" s="71" t="s">
        <v>17112</v>
      </c>
      <c r="C3471" s="71" t="s">
        <v>16838</v>
      </c>
    </row>
    <row r="3472">
      <c r="A3472" s="234" t="s">
        <v>21263</v>
      </c>
      <c r="B3472" s="71" t="s">
        <v>16838</v>
      </c>
      <c r="C3472" s="71" t="s">
        <v>17112</v>
      </c>
    </row>
    <row r="3473">
      <c r="A3473" s="130" t="s">
        <v>21265</v>
      </c>
      <c r="B3473" s="71" t="s">
        <v>169</v>
      </c>
      <c r="C3473" s="71" t="s">
        <v>17043</v>
      </c>
    </row>
    <row r="3474">
      <c r="A3474" s="234" t="s">
        <v>21267</v>
      </c>
      <c r="B3474" s="71" t="s">
        <v>169</v>
      </c>
      <c r="C3474" s="71" t="s">
        <v>19139</v>
      </c>
    </row>
    <row r="3475">
      <c r="A3475" s="234" t="s">
        <v>21267</v>
      </c>
      <c r="B3475" s="71" t="s">
        <v>19139</v>
      </c>
      <c r="C3475" s="71" t="s">
        <v>169</v>
      </c>
    </row>
    <row r="3476">
      <c r="A3476" s="130" t="s">
        <v>21269</v>
      </c>
      <c r="B3476" s="71" t="s">
        <v>17112</v>
      </c>
      <c r="C3476" s="71" t="s">
        <v>17111</v>
      </c>
    </row>
    <row r="3477">
      <c r="A3477" s="234" t="s">
        <v>21271</v>
      </c>
      <c r="B3477" s="71" t="s">
        <v>175</v>
      </c>
      <c r="C3477" s="71" t="s">
        <v>17233</v>
      </c>
    </row>
    <row r="3478">
      <c r="A3478" s="234" t="s">
        <v>21271</v>
      </c>
      <c r="B3478" s="71" t="s">
        <v>17233</v>
      </c>
      <c r="C3478" s="71" t="s">
        <v>175</v>
      </c>
    </row>
    <row r="3479">
      <c r="A3479" s="234" t="s">
        <v>21273</v>
      </c>
      <c r="B3479" s="71" t="s">
        <v>17111</v>
      </c>
      <c r="C3479" s="71" t="s">
        <v>17112</v>
      </c>
    </row>
    <row r="3480">
      <c r="A3480" s="234" t="s">
        <v>21273</v>
      </c>
      <c r="B3480" s="71" t="s">
        <v>17112</v>
      </c>
      <c r="C3480" s="71" t="s">
        <v>17111</v>
      </c>
    </row>
    <row r="3481">
      <c r="A3481" s="130" t="s">
        <v>21275</v>
      </c>
      <c r="B3481" s="71"/>
      <c r="C3481" s="71"/>
    </row>
    <row r="3482">
      <c r="A3482" s="130" t="s">
        <v>21277</v>
      </c>
      <c r="B3482" s="71" t="s">
        <v>175</v>
      </c>
      <c r="C3482" s="71" t="s">
        <v>17218</v>
      </c>
    </row>
    <row r="3483">
      <c r="A3483" s="130" t="s">
        <v>21279</v>
      </c>
      <c r="B3483" s="71" t="s">
        <v>16838</v>
      </c>
      <c r="C3483" s="71" t="s">
        <v>16867</v>
      </c>
    </row>
    <row r="3484">
      <c r="A3484" s="234" t="s">
        <v>21281</v>
      </c>
      <c r="B3484" s="71" t="s">
        <v>17112</v>
      </c>
      <c r="C3484" s="71" t="s">
        <v>16838</v>
      </c>
    </row>
    <row r="3485">
      <c r="A3485" s="234" t="s">
        <v>21281</v>
      </c>
      <c r="B3485" s="71" t="s">
        <v>16838</v>
      </c>
      <c r="C3485" s="71" t="s">
        <v>17112</v>
      </c>
    </row>
    <row r="3486">
      <c r="A3486" s="234" t="s">
        <v>21283</v>
      </c>
      <c r="B3486" s="71" t="s">
        <v>16582</v>
      </c>
      <c r="C3486" s="71" t="s">
        <v>16817</v>
      </c>
    </row>
    <row r="3487">
      <c r="A3487" s="234" t="s">
        <v>21283</v>
      </c>
      <c r="B3487" s="71" t="s">
        <v>16817</v>
      </c>
      <c r="C3487" s="71" t="s">
        <v>16582</v>
      </c>
    </row>
    <row r="3488">
      <c r="A3488" s="234" t="s">
        <v>21285</v>
      </c>
      <c r="B3488" s="71" t="s">
        <v>158</v>
      </c>
      <c r="C3488" s="71" t="s">
        <v>17171</v>
      </c>
    </row>
    <row r="3489">
      <c r="A3489" s="234" t="s">
        <v>21285</v>
      </c>
      <c r="B3489" s="71" t="s">
        <v>17171</v>
      </c>
      <c r="C3489" s="71" t="s">
        <v>158</v>
      </c>
    </row>
    <row r="3490">
      <c r="A3490" s="130" t="s">
        <v>21287</v>
      </c>
      <c r="B3490" s="71" t="s">
        <v>175</v>
      </c>
      <c r="C3490" s="71" t="s">
        <v>16942</v>
      </c>
    </row>
    <row r="3491">
      <c r="A3491" s="130" t="s">
        <v>21289</v>
      </c>
      <c r="B3491" s="71" t="s">
        <v>187</v>
      </c>
      <c r="C3491" s="71" t="s">
        <v>16846</v>
      </c>
    </row>
    <row r="3492">
      <c r="A3492" s="130" t="s">
        <v>21291</v>
      </c>
      <c r="B3492" s="71" t="s">
        <v>16582</v>
      </c>
      <c r="C3492" s="71" t="s">
        <v>17339</v>
      </c>
    </row>
    <row r="3493">
      <c r="A3493" s="234" t="s">
        <v>21293</v>
      </c>
      <c r="B3493" s="71" t="s">
        <v>16582</v>
      </c>
      <c r="C3493" s="71" t="s">
        <v>16930</v>
      </c>
    </row>
    <row r="3494">
      <c r="A3494" s="234" t="s">
        <v>21293</v>
      </c>
      <c r="B3494" s="71" t="s">
        <v>16930</v>
      </c>
      <c r="C3494" s="71" t="s">
        <v>16582</v>
      </c>
    </row>
    <row r="3495">
      <c r="A3495" s="130" t="s">
        <v>21295</v>
      </c>
      <c r="B3495" s="71" t="s">
        <v>16838</v>
      </c>
      <c r="C3495" s="71" t="s">
        <v>16867</v>
      </c>
    </row>
    <row r="3496">
      <c r="A3496" s="130" t="s">
        <v>21297</v>
      </c>
      <c r="B3496" s="71"/>
      <c r="C3496" s="71"/>
    </row>
    <row r="3497">
      <c r="A3497" s="130" t="s">
        <v>21299</v>
      </c>
      <c r="B3497" s="71" t="s">
        <v>175</v>
      </c>
      <c r="C3497" s="71" t="s">
        <v>17218</v>
      </c>
    </row>
    <row r="3498">
      <c r="A3498" s="130" t="s">
        <v>21301</v>
      </c>
      <c r="B3498" s="71" t="s">
        <v>16582</v>
      </c>
      <c r="C3498" s="71" t="s">
        <v>16930</v>
      </c>
    </row>
    <row r="3499">
      <c r="A3499" s="234" t="s">
        <v>21303</v>
      </c>
      <c r="B3499" s="71" t="s">
        <v>19579</v>
      </c>
      <c r="C3499" s="71" t="s">
        <v>16838</v>
      </c>
    </row>
    <row r="3500">
      <c r="A3500" s="234" t="s">
        <v>21303</v>
      </c>
      <c r="B3500" s="71" t="s">
        <v>16838</v>
      </c>
      <c r="C3500" s="71" t="s">
        <v>19579</v>
      </c>
    </row>
    <row r="3501">
      <c r="A3501" s="130" t="s">
        <v>21305</v>
      </c>
      <c r="B3501" s="71" t="s">
        <v>169</v>
      </c>
      <c r="C3501" s="71" t="s">
        <v>16899</v>
      </c>
    </row>
    <row r="3502">
      <c r="A3502" s="234" t="s">
        <v>21307</v>
      </c>
      <c r="B3502" s="71" t="s">
        <v>16867</v>
      </c>
      <c r="C3502" s="71" t="s">
        <v>16838</v>
      </c>
    </row>
    <row r="3503">
      <c r="A3503" s="234" t="s">
        <v>21307</v>
      </c>
      <c r="B3503" s="71" t="s">
        <v>16838</v>
      </c>
      <c r="C3503" s="71" t="s">
        <v>16867</v>
      </c>
    </row>
    <row r="3504">
      <c r="A3504" s="234" t="s">
        <v>21309</v>
      </c>
      <c r="B3504" s="71" t="s">
        <v>17019</v>
      </c>
      <c r="C3504" s="71" t="s">
        <v>16838</v>
      </c>
    </row>
    <row r="3505">
      <c r="A3505" s="234" t="s">
        <v>21309</v>
      </c>
      <c r="B3505" s="71" t="s">
        <v>16838</v>
      </c>
      <c r="C3505" s="71" t="s">
        <v>17019</v>
      </c>
    </row>
    <row r="3506">
      <c r="A3506" s="234" t="s">
        <v>21312</v>
      </c>
      <c r="B3506" s="71" t="s">
        <v>19644</v>
      </c>
      <c r="C3506" s="71" t="s">
        <v>16838</v>
      </c>
    </row>
    <row r="3507">
      <c r="A3507" s="234" t="s">
        <v>21312</v>
      </c>
      <c r="B3507" s="71" t="s">
        <v>16838</v>
      </c>
      <c r="C3507" s="71" t="s">
        <v>19644</v>
      </c>
    </row>
    <row r="3508">
      <c r="A3508" s="234" t="s">
        <v>21314</v>
      </c>
      <c r="B3508" s="71" t="s">
        <v>18633</v>
      </c>
      <c r="C3508" s="71" t="s">
        <v>187</v>
      </c>
    </row>
    <row r="3509">
      <c r="A3509" s="234" t="s">
        <v>21314</v>
      </c>
      <c r="B3509" s="71" t="s">
        <v>187</v>
      </c>
      <c r="C3509" s="71" t="s">
        <v>18633</v>
      </c>
    </row>
    <row r="3510">
      <c r="A3510" s="130" t="s">
        <v>21316</v>
      </c>
      <c r="B3510" s="71" t="s">
        <v>187</v>
      </c>
      <c r="C3510" s="71" t="s">
        <v>17552</v>
      </c>
    </row>
    <row r="3511">
      <c r="A3511" s="234" t="s">
        <v>21318</v>
      </c>
      <c r="B3511" s="71" t="s">
        <v>18098</v>
      </c>
      <c r="C3511" s="71" t="s">
        <v>169</v>
      </c>
    </row>
    <row r="3512">
      <c r="A3512" s="234" t="s">
        <v>21318</v>
      </c>
      <c r="B3512" s="71" t="s">
        <v>169</v>
      </c>
      <c r="C3512" s="71" t="s">
        <v>18098</v>
      </c>
    </row>
    <row r="3513">
      <c r="A3513" s="234" t="s">
        <v>21320</v>
      </c>
      <c r="B3513" s="71" t="s">
        <v>16867</v>
      </c>
      <c r="C3513" s="71" t="s">
        <v>16838</v>
      </c>
    </row>
    <row r="3514">
      <c r="A3514" s="234" t="s">
        <v>21320</v>
      </c>
      <c r="B3514" s="71" t="s">
        <v>16838</v>
      </c>
      <c r="C3514" s="71" t="s">
        <v>16867</v>
      </c>
    </row>
    <row r="3515">
      <c r="A3515" s="234" t="s">
        <v>21322</v>
      </c>
      <c r="B3515" s="71" t="s">
        <v>16885</v>
      </c>
      <c r="C3515" s="71" t="s">
        <v>16886</v>
      </c>
    </row>
    <row r="3516">
      <c r="A3516" s="234" t="s">
        <v>21322</v>
      </c>
      <c r="B3516" s="71" t="s">
        <v>16886</v>
      </c>
      <c r="C3516" s="71" t="s">
        <v>16885</v>
      </c>
    </row>
    <row r="3517">
      <c r="A3517" s="130" t="s">
        <v>21324</v>
      </c>
      <c r="B3517" s="71" t="s">
        <v>16582</v>
      </c>
      <c r="C3517" s="71" t="s">
        <v>16817</v>
      </c>
    </row>
    <row r="3518">
      <c r="A3518" s="234" t="s">
        <v>21326</v>
      </c>
      <c r="B3518" s="71" t="s">
        <v>169</v>
      </c>
      <c r="C3518" s="71" t="s">
        <v>19139</v>
      </c>
    </row>
    <row r="3519">
      <c r="A3519" s="234" t="s">
        <v>21326</v>
      </c>
      <c r="B3519" s="71" t="s">
        <v>19139</v>
      </c>
      <c r="C3519" s="71" t="s">
        <v>169</v>
      </c>
    </row>
    <row r="3520">
      <c r="A3520" s="130" t="s">
        <v>21328</v>
      </c>
      <c r="B3520" s="71" t="s">
        <v>175</v>
      </c>
      <c r="C3520" s="71" t="s">
        <v>17812</v>
      </c>
    </row>
    <row r="3521">
      <c r="A3521" s="234" t="s">
        <v>21330</v>
      </c>
      <c r="B3521" s="71" t="s">
        <v>16885</v>
      </c>
      <c r="C3521" s="71" t="s">
        <v>17726</v>
      </c>
    </row>
    <row r="3522">
      <c r="A3522" s="234" t="s">
        <v>21330</v>
      </c>
      <c r="B3522" s="71" t="s">
        <v>17726</v>
      </c>
      <c r="C3522" s="130" t="s">
        <v>16885</v>
      </c>
    </row>
    <row r="3523">
      <c r="A3523" s="234" t="s">
        <v>21332</v>
      </c>
      <c r="B3523" s="71" t="s">
        <v>17019</v>
      </c>
      <c r="C3523" s="71" t="s">
        <v>16838</v>
      </c>
    </row>
    <row r="3524">
      <c r="A3524" s="234" t="s">
        <v>21332</v>
      </c>
      <c r="B3524" s="71" t="s">
        <v>16838</v>
      </c>
      <c r="C3524" s="71" t="s">
        <v>17019</v>
      </c>
    </row>
    <row r="3525">
      <c r="A3525" s="130" t="s">
        <v>21335</v>
      </c>
      <c r="B3525" s="71" t="s">
        <v>175</v>
      </c>
      <c r="C3525" s="71" t="s">
        <v>17350</v>
      </c>
    </row>
    <row r="3526">
      <c r="A3526" s="234" t="s">
        <v>21337</v>
      </c>
      <c r="B3526" s="71" t="s">
        <v>158</v>
      </c>
      <c r="C3526" s="71" t="s">
        <v>18063</v>
      </c>
    </row>
    <row r="3527">
      <c r="A3527" s="234" t="s">
        <v>21337</v>
      </c>
      <c r="B3527" s="71" t="s">
        <v>18063</v>
      </c>
      <c r="C3527" s="71" t="s">
        <v>158</v>
      </c>
    </row>
    <row r="3528">
      <c r="A3528" s="234" t="s">
        <v>21340</v>
      </c>
      <c r="B3528" s="71" t="s">
        <v>17202</v>
      </c>
      <c r="C3528" s="71" t="s">
        <v>16838</v>
      </c>
    </row>
    <row r="3529">
      <c r="A3529" s="234" t="s">
        <v>21340</v>
      </c>
      <c r="B3529" s="71" t="s">
        <v>16838</v>
      </c>
      <c r="C3529" s="71" t="s">
        <v>17202</v>
      </c>
    </row>
    <row r="3530">
      <c r="A3530" s="130" t="s">
        <v>21342</v>
      </c>
      <c r="B3530" s="71" t="s">
        <v>187</v>
      </c>
      <c r="C3530" s="71" t="s">
        <v>16858</v>
      </c>
    </row>
    <row r="3531">
      <c r="A3531" s="130" t="s">
        <v>21344</v>
      </c>
      <c r="B3531" s="71" t="s">
        <v>158</v>
      </c>
      <c r="C3531" s="71" t="s">
        <v>16864</v>
      </c>
    </row>
    <row r="3532">
      <c r="A3532" s="130" t="s">
        <v>21346</v>
      </c>
      <c r="B3532" s="71" t="s">
        <v>16582</v>
      </c>
      <c r="C3532" s="71" t="s">
        <v>16930</v>
      </c>
    </row>
    <row r="3533">
      <c r="A3533" s="234" t="s">
        <v>21348</v>
      </c>
      <c r="B3533" s="71" t="s">
        <v>17019</v>
      </c>
      <c r="C3533" s="71" t="s">
        <v>16838</v>
      </c>
    </row>
    <row r="3534">
      <c r="A3534" s="234" t="s">
        <v>21348</v>
      </c>
      <c r="B3534" s="71" t="s">
        <v>16838</v>
      </c>
      <c r="C3534" s="71" t="s">
        <v>17019</v>
      </c>
    </row>
    <row r="3535">
      <c r="A3535" s="234" t="s">
        <v>21350</v>
      </c>
      <c r="B3535" s="71" t="s">
        <v>175</v>
      </c>
      <c r="C3535" s="71" t="s">
        <v>17084</v>
      </c>
    </row>
    <row r="3536">
      <c r="A3536" s="234" t="s">
        <v>21350</v>
      </c>
      <c r="B3536" s="71" t="s">
        <v>17084</v>
      </c>
      <c r="C3536" s="71" t="s">
        <v>175</v>
      </c>
    </row>
    <row r="3537">
      <c r="A3537" s="234" t="s">
        <v>21352</v>
      </c>
      <c r="B3537" s="71" t="s">
        <v>17111</v>
      </c>
      <c r="C3537" s="71" t="s">
        <v>17112</v>
      </c>
    </row>
    <row r="3538">
      <c r="A3538" s="234" t="s">
        <v>21352</v>
      </c>
      <c r="B3538" s="71" t="s">
        <v>17112</v>
      </c>
      <c r="C3538" s="71" t="s">
        <v>17111</v>
      </c>
    </row>
    <row r="3539">
      <c r="A3539" s="130" t="s">
        <v>21354</v>
      </c>
      <c r="B3539" s="71" t="s">
        <v>175</v>
      </c>
      <c r="C3539" s="71" t="s">
        <v>18500</v>
      </c>
    </row>
    <row r="3540">
      <c r="A3540" s="130" t="s">
        <v>21356</v>
      </c>
      <c r="B3540" s="71" t="s">
        <v>187</v>
      </c>
      <c r="C3540" s="71" t="s">
        <v>16846</v>
      </c>
    </row>
    <row r="3541">
      <c r="A3541" s="130" t="s">
        <v>21358</v>
      </c>
      <c r="B3541" s="71" t="s">
        <v>16582</v>
      </c>
      <c r="C3541" s="71" t="s">
        <v>16813</v>
      </c>
    </row>
    <row r="3542">
      <c r="A3542" s="234" t="s">
        <v>21360</v>
      </c>
      <c r="B3542" s="71" t="s">
        <v>17019</v>
      </c>
      <c r="C3542" s="71" t="s">
        <v>16838</v>
      </c>
    </row>
    <row r="3543">
      <c r="A3543" s="234" t="s">
        <v>21360</v>
      </c>
      <c r="B3543" s="71" t="s">
        <v>16838</v>
      </c>
      <c r="C3543" s="71" t="s">
        <v>17019</v>
      </c>
    </row>
    <row r="3544">
      <c r="A3544" s="130" t="s">
        <v>21362</v>
      </c>
      <c r="B3544" s="71" t="s">
        <v>16838</v>
      </c>
      <c r="C3544" s="71" t="s">
        <v>17112</v>
      </c>
    </row>
    <row r="3545">
      <c r="A3545" s="130" t="s">
        <v>21364</v>
      </c>
      <c r="B3545" s="71" t="s">
        <v>187</v>
      </c>
      <c r="C3545" s="71" t="s">
        <v>16846</v>
      </c>
    </row>
    <row r="3546">
      <c r="A3546" s="234" t="s">
        <v>21366</v>
      </c>
      <c r="B3546" s="71" t="s">
        <v>16910</v>
      </c>
      <c r="C3546" s="71" t="s">
        <v>17013</v>
      </c>
    </row>
    <row r="3547">
      <c r="A3547" s="234" t="s">
        <v>21366</v>
      </c>
      <c r="B3547" s="71" t="s">
        <v>17013</v>
      </c>
      <c r="C3547" s="71" t="s">
        <v>16910</v>
      </c>
    </row>
    <row r="3548">
      <c r="A3548" s="130" t="s">
        <v>21368</v>
      </c>
      <c r="B3548" s="71" t="s">
        <v>16838</v>
      </c>
      <c r="C3548" s="71" t="s">
        <v>16867</v>
      </c>
    </row>
    <row r="3549">
      <c r="A3549" s="130" t="s">
        <v>21370</v>
      </c>
      <c r="B3549" s="71" t="s">
        <v>187</v>
      </c>
      <c r="C3549" s="71" t="s">
        <v>16969</v>
      </c>
    </row>
    <row r="3550">
      <c r="A3550" s="234" t="s">
        <v>21372</v>
      </c>
      <c r="B3550" s="71" t="s">
        <v>19579</v>
      </c>
      <c r="C3550" s="71" t="s">
        <v>16838</v>
      </c>
    </row>
    <row r="3551">
      <c r="A3551" s="234" t="s">
        <v>21372</v>
      </c>
      <c r="B3551" s="71" t="s">
        <v>16838</v>
      </c>
      <c r="C3551" s="71" t="s">
        <v>19579</v>
      </c>
    </row>
    <row r="3552">
      <c r="A3552" s="130" t="s">
        <v>21374</v>
      </c>
      <c r="B3552" s="71" t="s">
        <v>16838</v>
      </c>
      <c r="C3552" s="71" t="s">
        <v>16867</v>
      </c>
    </row>
    <row r="3553">
      <c r="A3553" s="130" t="s">
        <v>21376</v>
      </c>
      <c r="B3553" s="71" t="s">
        <v>16838</v>
      </c>
      <c r="C3553" s="71" t="s">
        <v>17202</v>
      </c>
    </row>
    <row r="3554">
      <c r="A3554" s="130" t="s">
        <v>21378</v>
      </c>
      <c r="B3554" s="71" t="s">
        <v>187</v>
      </c>
      <c r="C3554" s="71" t="s">
        <v>16846</v>
      </c>
    </row>
    <row r="3555">
      <c r="A3555" s="234" t="s">
        <v>21380</v>
      </c>
      <c r="B3555" s="71" t="s">
        <v>169</v>
      </c>
      <c r="C3555" s="71" t="s">
        <v>16899</v>
      </c>
    </row>
    <row r="3556">
      <c r="A3556" s="234" t="s">
        <v>21380</v>
      </c>
      <c r="B3556" s="71" t="s">
        <v>16899</v>
      </c>
      <c r="C3556" s="71" t="s">
        <v>169</v>
      </c>
    </row>
    <row r="3557">
      <c r="A3557" s="234" t="s">
        <v>21382</v>
      </c>
      <c r="B3557" s="71" t="s">
        <v>17019</v>
      </c>
      <c r="C3557" s="71" t="s">
        <v>16838</v>
      </c>
    </row>
    <row r="3558">
      <c r="A3558" s="234" t="s">
        <v>21382</v>
      </c>
      <c r="B3558" s="71" t="s">
        <v>16838</v>
      </c>
      <c r="C3558" s="71" t="s">
        <v>17019</v>
      </c>
    </row>
    <row r="3559">
      <c r="A3559" s="234" t="s">
        <v>21384</v>
      </c>
      <c r="B3559" s="71" t="s">
        <v>17111</v>
      </c>
      <c r="C3559" s="71" t="s">
        <v>17112</v>
      </c>
    </row>
    <row r="3560">
      <c r="A3560" s="234" t="s">
        <v>21384</v>
      </c>
      <c r="B3560" s="71" t="s">
        <v>17112</v>
      </c>
      <c r="C3560" s="71" t="s">
        <v>17111</v>
      </c>
    </row>
    <row r="3561">
      <c r="A3561" s="234" t="s">
        <v>21386</v>
      </c>
      <c r="B3561" s="71" t="s">
        <v>17019</v>
      </c>
      <c r="C3561" s="71" t="s">
        <v>16838</v>
      </c>
    </row>
    <row r="3562">
      <c r="A3562" s="234" t="s">
        <v>21386</v>
      </c>
      <c r="B3562" s="71" t="s">
        <v>16838</v>
      </c>
      <c r="C3562" s="71" t="s">
        <v>17019</v>
      </c>
    </row>
    <row r="3563">
      <c r="A3563" s="130" t="s">
        <v>21388</v>
      </c>
      <c r="B3563" s="71" t="s">
        <v>169</v>
      </c>
      <c r="C3563" s="71" t="s">
        <v>16899</v>
      </c>
    </row>
    <row r="3564">
      <c r="A3564" s="234" t="s">
        <v>21390</v>
      </c>
      <c r="B3564" s="71" t="s">
        <v>16945</v>
      </c>
      <c r="C3564" s="71" t="s">
        <v>169</v>
      </c>
    </row>
    <row r="3565">
      <c r="A3565" s="234" t="s">
        <v>21390</v>
      </c>
      <c r="B3565" s="71" t="s">
        <v>169</v>
      </c>
      <c r="C3565" s="71" t="s">
        <v>16945</v>
      </c>
    </row>
    <row r="3566">
      <c r="A3566" s="130" t="s">
        <v>21392</v>
      </c>
      <c r="B3566" s="71" t="s">
        <v>17112</v>
      </c>
      <c r="C3566" s="71" t="s">
        <v>17111</v>
      </c>
    </row>
    <row r="3567">
      <c r="A3567" s="130" t="s">
        <v>21394</v>
      </c>
      <c r="B3567" s="71" t="s">
        <v>16838</v>
      </c>
      <c r="C3567" s="71" t="s">
        <v>16867</v>
      </c>
    </row>
    <row r="3568">
      <c r="A3568" s="234" t="s">
        <v>21396</v>
      </c>
      <c r="B3568" s="71" t="s">
        <v>17111</v>
      </c>
      <c r="C3568" s="71" t="s">
        <v>17112</v>
      </c>
    </row>
    <row r="3569">
      <c r="A3569" s="234" t="s">
        <v>21396</v>
      </c>
      <c r="B3569" s="71" t="s">
        <v>17112</v>
      </c>
      <c r="C3569" s="71" t="s">
        <v>17111</v>
      </c>
    </row>
    <row r="3570">
      <c r="A3570" s="130" t="s">
        <v>21398</v>
      </c>
      <c r="B3570" s="71" t="s">
        <v>187</v>
      </c>
      <c r="C3570" s="71" t="s">
        <v>16846</v>
      </c>
    </row>
    <row r="3571">
      <c r="A3571" s="130" t="s">
        <v>21400</v>
      </c>
      <c r="B3571" s="71" t="s">
        <v>175</v>
      </c>
      <c r="C3571" s="71" t="s">
        <v>16939</v>
      </c>
    </row>
    <row r="3572">
      <c r="A3572" s="234" t="s">
        <v>21402</v>
      </c>
      <c r="B3572" s="71"/>
      <c r="C3572" s="71"/>
    </row>
    <row r="3573">
      <c r="A3573" s="234" t="s">
        <v>21402</v>
      </c>
      <c r="B3573" s="71"/>
      <c r="C3573" s="71"/>
    </row>
    <row r="3574">
      <c r="A3574" s="130" t="s">
        <v>21404</v>
      </c>
      <c r="B3574" s="71" t="s">
        <v>16838</v>
      </c>
      <c r="C3574" s="71" t="s">
        <v>16867</v>
      </c>
    </row>
    <row r="3575">
      <c r="A3575" s="234" t="s">
        <v>21406</v>
      </c>
      <c r="B3575" s="71" t="s">
        <v>17321</v>
      </c>
      <c r="C3575" s="71" t="s">
        <v>169</v>
      </c>
    </row>
    <row r="3576">
      <c r="A3576" s="234" t="s">
        <v>21406</v>
      </c>
      <c r="B3576" s="71" t="s">
        <v>169</v>
      </c>
      <c r="C3576" s="71" t="s">
        <v>17321</v>
      </c>
    </row>
    <row r="3577">
      <c r="A3577" s="130" t="s">
        <v>21408</v>
      </c>
      <c r="B3577" s="71"/>
      <c r="C3577" s="71"/>
    </row>
    <row r="3578">
      <c r="A3578" s="234" t="s">
        <v>21410</v>
      </c>
      <c r="B3578" s="71" t="s">
        <v>175</v>
      </c>
      <c r="C3578" s="71" t="s">
        <v>16854</v>
      </c>
    </row>
    <row r="3579">
      <c r="A3579" s="234" t="s">
        <v>21410</v>
      </c>
      <c r="B3579" s="71" t="s">
        <v>16854</v>
      </c>
      <c r="C3579" s="71" t="s">
        <v>175</v>
      </c>
    </row>
    <row r="3580">
      <c r="A3580" s="130" t="s">
        <v>21412</v>
      </c>
      <c r="B3580" s="71" t="s">
        <v>16582</v>
      </c>
      <c r="C3580" s="71" t="s">
        <v>16817</v>
      </c>
    </row>
    <row r="3581">
      <c r="A3581" s="130" t="s">
        <v>21414</v>
      </c>
      <c r="B3581" s="71" t="s">
        <v>16838</v>
      </c>
      <c r="C3581" s="71" t="s">
        <v>16867</v>
      </c>
    </row>
    <row r="3582">
      <c r="A3582" s="130" t="s">
        <v>21416</v>
      </c>
      <c r="B3582" s="71" t="s">
        <v>16582</v>
      </c>
      <c r="C3582" s="71" t="s">
        <v>16930</v>
      </c>
    </row>
    <row r="3583">
      <c r="A3583" s="130" t="s">
        <v>21418</v>
      </c>
      <c r="B3583" s="71" t="s">
        <v>16582</v>
      </c>
      <c r="C3583" s="71" t="s">
        <v>16828</v>
      </c>
    </row>
    <row r="3584">
      <c r="A3584" s="130" t="s">
        <v>21420</v>
      </c>
      <c r="B3584" s="71" t="s">
        <v>16838</v>
      </c>
      <c r="C3584" s="71" t="s">
        <v>17347</v>
      </c>
    </row>
    <row r="3585">
      <c r="A3585" s="130" t="s">
        <v>21422</v>
      </c>
      <c r="B3585" s="71" t="s">
        <v>175</v>
      </c>
      <c r="C3585" s="71" t="s">
        <v>16899</v>
      </c>
    </row>
    <row r="3586">
      <c r="A3586" s="130" t="s">
        <v>21424</v>
      </c>
      <c r="B3586" s="71" t="s">
        <v>16838</v>
      </c>
      <c r="C3586" s="71" t="s">
        <v>16867</v>
      </c>
    </row>
    <row r="3587">
      <c r="A3587" s="234" t="s">
        <v>21426</v>
      </c>
      <c r="B3587" s="71" t="s">
        <v>169</v>
      </c>
      <c r="C3587" s="71" t="s">
        <v>16899</v>
      </c>
    </row>
    <row r="3588">
      <c r="A3588" s="234" t="s">
        <v>21426</v>
      </c>
      <c r="B3588" s="71" t="s">
        <v>16899</v>
      </c>
      <c r="C3588" s="71" t="s">
        <v>169</v>
      </c>
    </row>
    <row r="3589">
      <c r="A3589" s="130" t="s">
        <v>21428</v>
      </c>
      <c r="B3589" s="71" t="s">
        <v>16838</v>
      </c>
      <c r="C3589" s="71" t="s">
        <v>16867</v>
      </c>
    </row>
    <row r="3590">
      <c r="A3590" s="234" t="s">
        <v>21430</v>
      </c>
      <c r="B3590" s="71" t="s">
        <v>16957</v>
      </c>
      <c r="C3590" s="71" t="s">
        <v>16926</v>
      </c>
    </row>
    <row r="3591">
      <c r="A3591" s="234" t="s">
        <v>21430</v>
      </c>
      <c r="B3591" s="71" t="s">
        <v>16926</v>
      </c>
      <c r="C3591" s="71" t="s">
        <v>16957</v>
      </c>
    </row>
    <row r="3592">
      <c r="A3592" s="130" t="s">
        <v>21431</v>
      </c>
      <c r="B3592" s="71" t="s">
        <v>187</v>
      </c>
      <c r="C3592" s="71" t="s">
        <v>17564</v>
      </c>
    </row>
    <row r="3593">
      <c r="A3593" s="234" t="s">
        <v>21433</v>
      </c>
      <c r="B3593" s="71" t="s">
        <v>16957</v>
      </c>
      <c r="C3593" s="71" t="s">
        <v>16926</v>
      </c>
    </row>
    <row r="3594">
      <c r="A3594" s="234" t="s">
        <v>21433</v>
      </c>
      <c r="B3594" s="71" t="s">
        <v>16926</v>
      </c>
      <c r="C3594" s="71" t="s">
        <v>16957</v>
      </c>
    </row>
    <row r="3595">
      <c r="A3595" s="234" t="s">
        <v>21434</v>
      </c>
      <c r="B3595" s="71" t="s">
        <v>16885</v>
      </c>
      <c r="C3595" s="71" t="s">
        <v>17726</v>
      </c>
    </row>
    <row r="3596">
      <c r="A3596" s="234" t="s">
        <v>21434</v>
      </c>
      <c r="B3596" s="71" t="s">
        <v>17726</v>
      </c>
      <c r="C3596" s="71" t="s">
        <v>16885</v>
      </c>
    </row>
    <row r="3597">
      <c r="A3597" s="234" t="s">
        <v>21436</v>
      </c>
      <c r="B3597" s="71" t="s">
        <v>169</v>
      </c>
      <c r="C3597" s="71" t="s">
        <v>17619</v>
      </c>
    </row>
    <row r="3598">
      <c r="A3598" s="234" t="s">
        <v>21436</v>
      </c>
      <c r="B3598" s="71" t="s">
        <v>17619</v>
      </c>
      <c r="C3598" s="71" t="s">
        <v>169</v>
      </c>
    </row>
    <row r="3599">
      <c r="A3599" s="234" t="s">
        <v>21438</v>
      </c>
      <c r="B3599" s="71" t="s">
        <v>17016</v>
      </c>
      <c r="C3599" s="71" t="s">
        <v>16838</v>
      </c>
    </row>
    <row r="3600">
      <c r="A3600" s="234" t="s">
        <v>21438</v>
      </c>
      <c r="B3600" s="71" t="s">
        <v>16838</v>
      </c>
      <c r="C3600" s="71" t="s">
        <v>17016</v>
      </c>
    </row>
    <row r="3601">
      <c r="A3601" s="130" t="s">
        <v>21440</v>
      </c>
      <c r="B3601" s="71" t="s">
        <v>158</v>
      </c>
      <c r="C3601" s="71" t="s">
        <v>20100</v>
      </c>
    </row>
    <row r="3602">
      <c r="A3602" s="234" t="s">
        <v>21442</v>
      </c>
      <c r="B3602" s="71" t="s">
        <v>19579</v>
      </c>
      <c r="C3602" s="71" t="s">
        <v>16838</v>
      </c>
    </row>
    <row r="3603">
      <c r="A3603" s="234" t="s">
        <v>21442</v>
      </c>
      <c r="B3603" s="71" t="s">
        <v>16838</v>
      </c>
      <c r="C3603" s="71" t="s">
        <v>19579</v>
      </c>
    </row>
    <row r="3604">
      <c r="A3604" s="234" t="s">
        <v>21444</v>
      </c>
      <c r="B3604" s="71" t="s">
        <v>175</v>
      </c>
      <c r="C3604" s="71" t="s">
        <v>17318</v>
      </c>
    </row>
    <row r="3605">
      <c r="A3605" s="234" t="s">
        <v>21444</v>
      </c>
      <c r="B3605" s="71" t="s">
        <v>17318</v>
      </c>
      <c r="C3605" s="71" t="s">
        <v>175</v>
      </c>
    </row>
    <row r="3606">
      <c r="A3606" s="234" t="s">
        <v>21446</v>
      </c>
      <c r="B3606" s="71" t="s">
        <v>19579</v>
      </c>
      <c r="C3606" s="71" t="s">
        <v>16838</v>
      </c>
    </row>
    <row r="3607">
      <c r="A3607" s="234" t="s">
        <v>21446</v>
      </c>
      <c r="B3607" s="71" t="s">
        <v>16838</v>
      </c>
      <c r="C3607" s="71" t="s">
        <v>19579</v>
      </c>
    </row>
    <row r="3608">
      <c r="A3608" s="130" t="s">
        <v>21448</v>
      </c>
      <c r="B3608" s="71" t="s">
        <v>187</v>
      </c>
      <c r="C3608" s="71" t="s">
        <v>18633</v>
      </c>
    </row>
    <row r="3609">
      <c r="A3609" s="130" t="s">
        <v>21450</v>
      </c>
      <c r="B3609" s="71" t="s">
        <v>187</v>
      </c>
      <c r="C3609" s="71" t="s">
        <v>16846</v>
      </c>
    </row>
    <row r="3610">
      <c r="A3610" s="130" t="s">
        <v>21452</v>
      </c>
      <c r="B3610" s="71" t="s">
        <v>187</v>
      </c>
      <c r="C3610" s="71" t="s">
        <v>16846</v>
      </c>
    </row>
    <row r="3611">
      <c r="A3611" s="234" t="s">
        <v>21454</v>
      </c>
      <c r="B3611" s="71" t="s">
        <v>175</v>
      </c>
      <c r="C3611" s="71" t="s">
        <v>18570</v>
      </c>
    </row>
    <row r="3612">
      <c r="A3612" s="234" t="s">
        <v>21454</v>
      </c>
      <c r="B3612" s="71" t="s">
        <v>18570</v>
      </c>
      <c r="C3612" s="71" t="s">
        <v>175</v>
      </c>
    </row>
    <row r="3613">
      <c r="A3613" s="234" t="s">
        <v>21456</v>
      </c>
      <c r="B3613" s="71" t="s">
        <v>16919</v>
      </c>
      <c r="C3613" s="71" t="s">
        <v>17413</v>
      </c>
    </row>
    <row r="3614">
      <c r="A3614" s="234" t="s">
        <v>21456</v>
      </c>
      <c r="B3614" s="71" t="s">
        <v>17413</v>
      </c>
      <c r="C3614" s="71" t="s">
        <v>16919</v>
      </c>
    </row>
    <row r="3615">
      <c r="A3615" s="234" t="s">
        <v>21458</v>
      </c>
      <c r="B3615" s="71" t="s">
        <v>16885</v>
      </c>
      <c r="C3615" s="71" t="s">
        <v>20119</v>
      </c>
    </row>
    <row r="3616">
      <c r="A3616" s="234" t="s">
        <v>21458</v>
      </c>
      <c r="B3616" s="71" t="s">
        <v>20119</v>
      </c>
      <c r="C3616" s="130" t="s">
        <v>16885</v>
      </c>
    </row>
    <row r="3617">
      <c r="A3617" s="234" t="s">
        <v>21460</v>
      </c>
      <c r="B3617" s="71" t="s">
        <v>17019</v>
      </c>
      <c r="C3617" s="71" t="s">
        <v>16838</v>
      </c>
    </row>
    <row r="3618">
      <c r="A3618" s="234" t="s">
        <v>21460</v>
      </c>
      <c r="B3618" s="71" t="s">
        <v>16838</v>
      </c>
      <c r="C3618" s="71" t="s">
        <v>17019</v>
      </c>
    </row>
    <row r="3619">
      <c r="A3619" s="234" t="s">
        <v>21462</v>
      </c>
      <c r="B3619" s="71" t="s">
        <v>16867</v>
      </c>
      <c r="C3619" s="71" t="s">
        <v>16838</v>
      </c>
    </row>
    <row r="3620">
      <c r="A3620" s="234" t="s">
        <v>21462</v>
      </c>
      <c r="B3620" s="71" t="s">
        <v>16838</v>
      </c>
      <c r="C3620" s="71" t="s">
        <v>16867</v>
      </c>
    </row>
    <row r="3621">
      <c r="A3621" s="234" t="s">
        <v>21464</v>
      </c>
      <c r="B3621" s="71" t="s">
        <v>17111</v>
      </c>
      <c r="C3621" s="71" t="s">
        <v>17112</v>
      </c>
    </row>
    <row r="3622">
      <c r="A3622" s="234" t="s">
        <v>21464</v>
      </c>
      <c r="B3622" s="71" t="s">
        <v>17112</v>
      </c>
      <c r="C3622" s="71" t="s">
        <v>17111</v>
      </c>
    </row>
    <row r="3623">
      <c r="A3623" s="130" t="s">
        <v>21466</v>
      </c>
      <c r="B3623" s="71" t="s">
        <v>16582</v>
      </c>
      <c r="C3623" s="71" t="s">
        <v>16583</v>
      </c>
    </row>
    <row r="3624">
      <c r="A3624" s="130" t="s">
        <v>21468</v>
      </c>
      <c r="B3624" s="71" t="s">
        <v>187</v>
      </c>
      <c r="C3624" s="71" t="s">
        <v>16846</v>
      </c>
    </row>
    <row r="3625">
      <c r="A3625" s="130" t="s">
        <v>21470</v>
      </c>
      <c r="B3625" s="71" t="s">
        <v>187</v>
      </c>
      <c r="C3625" s="71" t="s">
        <v>16846</v>
      </c>
    </row>
    <row r="3626">
      <c r="A3626" s="130" t="s">
        <v>21472</v>
      </c>
      <c r="B3626" s="71" t="s">
        <v>16582</v>
      </c>
      <c r="C3626" s="71" t="s">
        <v>16930</v>
      </c>
    </row>
    <row r="3627">
      <c r="A3627" s="130" t="s">
        <v>21474</v>
      </c>
      <c r="B3627" s="71" t="s">
        <v>16838</v>
      </c>
      <c r="C3627" s="71" t="s">
        <v>16867</v>
      </c>
    </row>
    <row r="3628">
      <c r="A3628" s="234" t="s">
        <v>21476</v>
      </c>
      <c r="B3628" s="71" t="s">
        <v>19579</v>
      </c>
      <c r="C3628" s="71" t="s">
        <v>16838</v>
      </c>
    </row>
    <row r="3629">
      <c r="A3629" s="234" t="s">
        <v>21476</v>
      </c>
      <c r="B3629" s="71" t="s">
        <v>16838</v>
      </c>
      <c r="C3629" s="71" t="s">
        <v>19579</v>
      </c>
    </row>
    <row r="3630">
      <c r="A3630" s="234" t="s">
        <v>21478</v>
      </c>
      <c r="B3630" s="71" t="s">
        <v>175</v>
      </c>
      <c r="C3630" s="71" t="s">
        <v>16842</v>
      </c>
    </row>
    <row r="3631">
      <c r="A3631" s="234" t="s">
        <v>21478</v>
      </c>
      <c r="B3631" s="71" t="s">
        <v>16842</v>
      </c>
      <c r="C3631" s="71" t="s">
        <v>175</v>
      </c>
    </row>
    <row r="3632">
      <c r="A3632" s="234" t="s">
        <v>21480</v>
      </c>
      <c r="B3632" s="71" t="s">
        <v>16851</v>
      </c>
      <c r="C3632" s="71" t="s">
        <v>187</v>
      </c>
    </row>
    <row r="3633">
      <c r="A3633" s="234" t="s">
        <v>21480</v>
      </c>
      <c r="B3633" s="71" t="s">
        <v>187</v>
      </c>
      <c r="C3633" s="71" t="s">
        <v>16851</v>
      </c>
    </row>
    <row r="3634">
      <c r="A3634" s="130" t="s">
        <v>21482</v>
      </c>
      <c r="B3634" s="71" t="s">
        <v>16838</v>
      </c>
      <c r="C3634" s="71" t="s">
        <v>17347</v>
      </c>
    </row>
    <row r="3635">
      <c r="A3635" s="234" t="s">
        <v>21484</v>
      </c>
      <c r="B3635" s="71" t="s">
        <v>17127</v>
      </c>
      <c r="C3635" s="71" t="s">
        <v>16838</v>
      </c>
    </row>
    <row r="3636">
      <c r="A3636" s="234" t="s">
        <v>21484</v>
      </c>
      <c r="B3636" s="71" t="s">
        <v>16838</v>
      </c>
      <c r="C3636" s="71" t="s">
        <v>17127</v>
      </c>
    </row>
    <row r="3637">
      <c r="A3637" s="234" t="s">
        <v>21486</v>
      </c>
      <c r="B3637" s="71" t="s">
        <v>16885</v>
      </c>
      <c r="C3637" s="71" t="s">
        <v>17726</v>
      </c>
    </row>
    <row r="3638">
      <c r="A3638" s="234" t="s">
        <v>21486</v>
      </c>
      <c r="B3638" s="71" t="s">
        <v>17726</v>
      </c>
      <c r="C3638" s="71" t="s">
        <v>16885</v>
      </c>
    </row>
    <row r="3639">
      <c r="A3639" s="234" t="s">
        <v>21488</v>
      </c>
      <c r="B3639" s="71" t="s">
        <v>16838</v>
      </c>
      <c r="C3639" s="71" t="s">
        <v>17002</v>
      </c>
    </row>
    <row r="3640">
      <c r="A3640" s="234" t="s">
        <v>21488</v>
      </c>
      <c r="B3640" s="71" t="s">
        <v>17002</v>
      </c>
      <c r="C3640" s="71" t="s">
        <v>16838</v>
      </c>
    </row>
    <row r="3641">
      <c r="A3641" s="234" t="s">
        <v>21490</v>
      </c>
      <c r="B3641" s="71" t="s">
        <v>187</v>
      </c>
      <c r="C3641" s="71" t="s">
        <v>16846</v>
      </c>
    </row>
    <row r="3642">
      <c r="A3642" s="234" t="s">
        <v>21490</v>
      </c>
      <c r="B3642" s="71" t="s">
        <v>16846</v>
      </c>
      <c r="C3642" s="71" t="s">
        <v>187</v>
      </c>
    </row>
    <row r="3643">
      <c r="A3643" s="234" t="s">
        <v>21492</v>
      </c>
      <c r="B3643" s="71" t="s">
        <v>16910</v>
      </c>
      <c r="C3643" s="71" t="s">
        <v>17013</v>
      </c>
    </row>
    <row r="3644">
      <c r="A3644" s="234" t="s">
        <v>21492</v>
      </c>
      <c r="B3644" s="71" t="s">
        <v>17013</v>
      </c>
      <c r="C3644" s="71" t="s">
        <v>16910</v>
      </c>
    </row>
    <row r="3645">
      <c r="A3645" s="130" t="s">
        <v>21494</v>
      </c>
      <c r="B3645" s="71" t="s">
        <v>175</v>
      </c>
      <c r="C3645" s="71" t="s">
        <v>16942</v>
      </c>
    </row>
    <row r="3646">
      <c r="A3646" s="234" t="s">
        <v>21496</v>
      </c>
      <c r="B3646" s="71" t="s">
        <v>17111</v>
      </c>
      <c r="C3646" s="71" t="s">
        <v>17112</v>
      </c>
    </row>
    <row r="3647">
      <c r="A3647" s="234" t="s">
        <v>21496</v>
      </c>
      <c r="B3647" s="71" t="s">
        <v>17112</v>
      </c>
      <c r="C3647" s="71" t="s">
        <v>17111</v>
      </c>
    </row>
    <row r="3648">
      <c r="A3648" s="130" t="s">
        <v>21498</v>
      </c>
      <c r="B3648" s="71" t="s">
        <v>16582</v>
      </c>
      <c r="C3648" s="71" t="s">
        <v>16817</v>
      </c>
    </row>
    <row r="3649">
      <c r="A3649" s="130" t="s">
        <v>21500</v>
      </c>
      <c r="B3649" s="71" t="s">
        <v>175</v>
      </c>
      <c r="C3649" s="71" t="s">
        <v>17391</v>
      </c>
    </row>
    <row r="3650">
      <c r="A3650" s="234" t="s">
        <v>21502</v>
      </c>
      <c r="B3650" s="71" t="s">
        <v>175</v>
      </c>
      <c r="C3650" s="71" t="s">
        <v>17452</v>
      </c>
    </row>
    <row r="3651">
      <c r="A3651" s="234" t="s">
        <v>21502</v>
      </c>
      <c r="B3651" s="71" t="s">
        <v>17452</v>
      </c>
      <c r="C3651" s="71" t="s">
        <v>175</v>
      </c>
    </row>
    <row r="3652">
      <c r="A3652" s="130" t="s">
        <v>21504</v>
      </c>
      <c r="B3652" s="71" t="s">
        <v>16838</v>
      </c>
      <c r="C3652" s="71" t="s">
        <v>16867</v>
      </c>
    </row>
    <row r="3653">
      <c r="A3653" s="130" t="s">
        <v>21506</v>
      </c>
      <c r="B3653" s="71" t="s">
        <v>16582</v>
      </c>
      <c r="C3653" s="71" t="s">
        <v>16930</v>
      </c>
    </row>
    <row r="3654">
      <c r="A3654" s="130" t="s">
        <v>21508</v>
      </c>
      <c r="B3654" s="71" t="s">
        <v>175</v>
      </c>
      <c r="C3654" s="71" t="s">
        <v>16957</v>
      </c>
    </row>
    <row r="3655">
      <c r="A3655" s="234" t="s">
        <v>21510</v>
      </c>
      <c r="B3655" s="71" t="s">
        <v>175</v>
      </c>
      <c r="C3655" s="71" t="s">
        <v>17495</v>
      </c>
    </row>
    <row r="3656">
      <c r="A3656" s="234" t="s">
        <v>21510</v>
      </c>
      <c r="B3656" s="71" t="s">
        <v>17495</v>
      </c>
      <c r="C3656" s="71" t="s">
        <v>175</v>
      </c>
    </row>
    <row r="3657">
      <c r="A3657" s="234" t="s">
        <v>21512</v>
      </c>
      <c r="B3657" s="71" t="s">
        <v>16867</v>
      </c>
      <c r="C3657" s="71" t="s">
        <v>16838</v>
      </c>
    </row>
    <row r="3658">
      <c r="A3658" s="234" t="s">
        <v>21512</v>
      </c>
      <c r="B3658" s="71" t="s">
        <v>16838</v>
      </c>
      <c r="C3658" s="71" t="s">
        <v>16867</v>
      </c>
    </row>
    <row r="3659">
      <c r="A3659" s="234" t="s">
        <v>21514</v>
      </c>
      <c r="B3659" s="71" t="s">
        <v>175</v>
      </c>
      <c r="C3659" s="71" t="s">
        <v>18570</v>
      </c>
    </row>
    <row r="3660">
      <c r="A3660" s="234" t="s">
        <v>21514</v>
      </c>
      <c r="B3660" s="71" t="s">
        <v>18570</v>
      </c>
      <c r="C3660" s="71" t="s">
        <v>175</v>
      </c>
    </row>
    <row r="3661">
      <c r="A3661" s="234" t="s">
        <v>21516</v>
      </c>
      <c r="B3661" s="71" t="s">
        <v>187</v>
      </c>
      <c r="C3661" s="71" t="s">
        <v>16846</v>
      </c>
    </row>
    <row r="3662">
      <c r="A3662" s="234" t="s">
        <v>21516</v>
      </c>
      <c r="B3662" s="71" t="s">
        <v>16846</v>
      </c>
      <c r="C3662" s="71" t="s">
        <v>187</v>
      </c>
    </row>
    <row r="3663">
      <c r="A3663" s="234" t="s">
        <v>21518</v>
      </c>
      <c r="B3663" s="71" t="s">
        <v>158</v>
      </c>
      <c r="C3663" s="71" t="s">
        <v>16864</v>
      </c>
    </row>
    <row r="3664">
      <c r="A3664" s="234" t="s">
        <v>21518</v>
      </c>
      <c r="B3664" s="71" t="s">
        <v>16864</v>
      </c>
      <c r="C3664" s="71" t="s">
        <v>158</v>
      </c>
    </row>
    <row r="3665">
      <c r="A3665" s="234" t="s">
        <v>21520</v>
      </c>
      <c r="B3665" s="71" t="s">
        <v>175</v>
      </c>
      <c r="C3665" s="71" t="s">
        <v>17233</v>
      </c>
    </row>
    <row r="3666">
      <c r="A3666" s="234" t="s">
        <v>21520</v>
      </c>
      <c r="B3666" s="71" t="s">
        <v>17233</v>
      </c>
      <c r="C3666" s="71" t="s">
        <v>175</v>
      </c>
    </row>
    <row r="3667">
      <c r="A3667" s="130" t="s">
        <v>21522</v>
      </c>
      <c r="B3667" s="71" t="s">
        <v>175</v>
      </c>
      <c r="C3667" s="71" t="s">
        <v>17031</v>
      </c>
    </row>
    <row r="3668">
      <c r="A3668" s="130" t="s">
        <v>21524</v>
      </c>
      <c r="B3668" s="71" t="s">
        <v>187</v>
      </c>
      <c r="C3668" s="71" t="s">
        <v>16846</v>
      </c>
    </row>
    <row r="3669">
      <c r="A3669" s="130" t="s">
        <v>21526</v>
      </c>
      <c r="B3669" s="71" t="s">
        <v>16838</v>
      </c>
      <c r="C3669" s="71" t="s">
        <v>16867</v>
      </c>
    </row>
    <row r="3670">
      <c r="A3670" s="130" t="s">
        <v>21528</v>
      </c>
      <c r="B3670" s="71" t="s">
        <v>16838</v>
      </c>
      <c r="C3670" s="71" t="s">
        <v>17347</v>
      </c>
    </row>
    <row r="3671">
      <c r="A3671" s="234" t="s">
        <v>21530</v>
      </c>
      <c r="B3671" s="71" t="s">
        <v>17111</v>
      </c>
      <c r="C3671" s="71" t="s">
        <v>17112</v>
      </c>
    </row>
    <row r="3672">
      <c r="A3672" s="234" t="s">
        <v>21530</v>
      </c>
      <c r="B3672" s="71" t="s">
        <v>17112</v>
      </c>
      <c r="C3672" s="71" t="s">
        <v>17111</v>
      </c>
    </row>
    <row r="3673">
      <c r="A3673" s="234" t="s">
        <v>21532</v>
      </c>
      <c r="B3673" s="71" t="s">
        <v>16945</v>
      </c>
      <c r="C3673" s="71" t="s">
        <v>169</v>
      </c>
    </row>
    <row r="3674">
      <c r="A3674" s="234" t="s">
        <v>21532</v>
      </c>
      <c r="B3674" s="71" t="s">
        <v>169</v>
      </c>
      <c r="C3674" s="71" t="s">
        <v>16945</v>
      </c>
    </row>
    <row r="3675">
      <c r="A3675" s="130" t="s">
        <v>21534</v>
      </c>
      <c r="B3675" s="71" t="s">
        <v>16838</v>
      </c>
      <c r="C3675" s="71" t="s">
        <v>18679</v>
      </c>
    </row>
    <row r="3676">
      <c r="A3676" s="234" t="s">
        <v>21536</v>
      </c>
      <c r="B3676" s="71" t="s">
        <v>17256</v>
      </c>
      <c r="C3676" s="71" t="s">
        <v>187</v>
      </c>
    </row>
    <row r="3677">
      <c r="A3677" s="234" t="s">
        <v>21536</v>
      </c>
      <c r="B3677" s="71" t="s">
        <v>187</v>
      </c>
      <c r="C3677" s="71" t="s">
        <v>17256</v>
      </c>
    </row>
    <row r="3678">
      <c r="A3678" s="130" t="s">
        <v>21538</v>
      </c>
      <c r="B3678" s="71" t="s">
        <v>16582</v>
      </c>
      <c r="C3678" s="71" t="s">
        <v>16817</v>
      </c>
    </row>
    <row r="3679">
      <c r="A3679" s="130" t="s">
        <v>21540</v>
      </c>
      <c r="B3679" s="71" t="s">
        <v>16582</v>
      </c>
      <c r="C3679" s="71" t="s">
        <v>16583</v>
      </c>
    </row>
    <row r="3680">
      <c r="A3680" s="234" t="s">
        <v>21542</v>
      </c>
      <c r="B3680" s="71" t="s">
        <v>19579</v>
      </c>
      <c r="C3680" s="71" t="s">
        <v>16838</v>
      </c>
    </row>
    <row r="3681">
      <c r="A3681" s="234" t="s">
        <v>21542</v>
      </c>
      <c r="B3681" s="71" t="s">
        <v>16838</v>
      </c>
      <c r="C3681" s="71" t="s">
        <v>19579</v>
      </c>
    </row>
    <row r="3682">
      <c r="A3682" s="234" t="s">
        <v>21544</v>
      </c>
      <c r="B3682" s="71" t="s">
        <v>169</v>
      </c>
      <c r="C3682" s="71" t="s">
        <v>17702</v>
      </c>
    </row>
    <row r="3683">
      <c r="A3683" s="234" t="s">
        <v>21544</v>
      </c>
      <c r="B3683" s="71" t="s">
        <v>17702</v>
      </c>
      <c r="C3683" s="130" t="s">
        <v>169</v>
      </c>
    </row>
    <row r="3684">
      <c r="A3684" s="130" t="s">
        <v>21546</v>
      </c>
      <c r="B3684" s="71" t="s">
        <v>187</v>
      </c>
      <c r="C3684" s="71" t="s">
        <v>17564</v>
      </c>
    </row>
    <row r="3685">
      <c r="A3685" s="234" t="s">
        <v>21548</v>
      </c>
      <c r="B3685" s="71" t="s">
        <v>16919</v>
      </c>
      <c r="C3685" s="71" t="s">
        <v>17048</v>
      </c>
    </row>
    <row r="3686">
      <c r="A3686" s="234" t="s">
        <v>21548</v>
      </c>
      <c r="B3686" s="71" t="s">
        <v>17048</v>
      </c>
      <c r="C3686" s="71" t="s">
        <v>16919</v>
      </c>
    </row>
    <row r="3687">
      <c r="A3687" s="234" t="s">
        <v>21550</v>
      </c>
      <c r="B3687" s="71" t="s">
        <v>175</v>
      </c>
      <c r="C3687" s="71" t="s">
        <v>16942</v>
      </c>
    </row>
    <row r="3688">
      <c r="A3688" s="234" t="s">
        <v>21550</v>
      </c>
      <c r="B3688" s="71" t="s">
        <v>16942</v>
      </c>
      <c r="C3688" s="71" t="s">
        <v>175</v>
      </c>
    </row>
    <row r="3689">
      <c r="A3689" s="130" t="s">
        <v>21552</v>
      </c>
      <c r="B3689" s="71" t="s">
        <v>158</v>
      </c>
      <c r="C3689" s="71" t="s">
        <v>17171</v>
      </c>
    </row>
    <row r="3690">
      <c r="A3690" s="234" t="s">
        <v>21554</v>
      </c>
      <c r="B3690" s="71" t="s">
        <v>169</v>
      </c>
      <c r="C3690" s="71" t="s">
        <v>17022</v>
      </c>
    </row>
    <row r="3691">
      <c r="A3691" s="234" t="s">
        <v>21554</v>
      </c>
      <c r="B3691" s="71" t="s">
        <v>17022</v>
      </c>
      <c r="C3691" s="71" t="s">
        <v>169</v>
      </c>
    </row>
    <row r="3692">
      <c r="A3692" s="234" t="s">
        <v>21556</v>
      </c>
      <c r="B3692" s="71" t="s">
        <v>19579</v>
      </c>
      <c r="C3692" s="71" t="s">
        <v>16838</v>
      </c>
    </row>
    <row r="3693">
      <c r="A3693" s="234" t="s">
        <v>21556</v>
      </c>
      <c r="B3693" s="71" t="s">
        <v>16838</v>
      </c>
      <c r="C3693" s="71" t="s">
        <v>19579</v>
      </c>
    </row>
    <row r="3694">
      <c r="A3694" s="130" t="s">
        <v>21558</v>
      </c>
      <c r="B3694" s="71" t="s">
        <v>16838</v>
      </c>
      <c r="C3694" s="71" t="s">
        <v>16867</v>
      </c>
    </row>
    <row r="3695">
      <c r="A3695" s="234" t="s">
        <v>21560</v>
      </c>
      <c r="B3695" s="71" t="s">
        <v>16867</v>
      </c>
      <c r="C3695" s="71" t="s">
        <v>16838</v>
      </c>
    </row>
    <row r="3696">
      <c r="A3696" s="234" t="s">
        <v>21560</v>
      </c>
      <c r="B3696" s="71" t="s">
        <v>16838</v>
      </c>
      <c r="C3696" s="71" t="s">
        <v>16867</v>
      </c>
    </row>
    <row r="3697">
      <c r="A3697" s="130" t="s">
        <v>21562</v>
      </c>
      <c r="B3697" s="71" t="s">
        <v>175</v>
      </c>
      <c r="C3697" s="71" t="s">
        <v>17545</v>
      </c>
    </row>
    <row r="3698">
      <c r="A3698" s="130" t="s">
        <v>21564</v>
      </c>
      <c r="B3698" s="71" t="s">
        <v>16582</v>
      </c>
      <c r="C3698" s="71" t="s">
        <v>16828</v>
      </c>
    </row>
    <row r="3699">
      <c r="A3699" s="130" t="s">
        <v>21566</v>
      </c>
      <c r="B3699" s="71" t="s">
        <v>16582</v>
      </c>
      <c r="C3699" s="71" t="s">
        <v>16813</v>
      </c>
    </row>
    <row r="3700">
      <c r="A3700" s="234" t="s">
        <v>21568</v>
      </c>
      <c r="B3700" s="71" t="s">
        <v>175</v>
      </c>
      <c r="C3700" s="71" t="s">
        <v>17168</v>
      </c>
    </row>
    <row r="3701">
      <c r="A3701" s="234" t="s">
        <v>21568</v>
      </c>
      <c r="B3701" s="71" t="s">
        <v>17168</v>
      </c>
      <c r="C3701" s="71" t="s">
        <v>175</v>
      </c>
    </row>
    <row r="3702">
      <c r="A3702" s="234" t="s">
        <v>21570</v>
      </c>
      <c r="B3702" s="71" t="s">
        <v>17111</v>
      </c>
      <c r="C3702" s="71" t="s">
        <v>17112</v>
      </c>
    </row>
    <row r="3703">
      <c r="A3703" s="234" t="s">
        <v>21570</v>
      </c>
      <c r="B3703" s="71" t="s">
        <v>17112</v>
      </c>
      <c r="C3703" s="71" t="s">
        <v>17111</v>
      </c>
    </row>
    <row r="3704">
      <c r="A3704" s="234" t="s">
        <v>21572</v>
      </c>
      <c r="B3704" s="71" t="s">
        <v>175</v>
      </c>
      <c r="C3704" s="71" t="s">
        <v>16972</v>
      </c>
    </row>
    <row r="3705">
      <c r="A3705" s="234" t="s">
        <v>21572</v>
      </c>
      <c r="B3705" s="71" t="s">
        <v>16972</v>
      </c>
      <c r="C3705" s="71" t="s">
        <v>175</v>
      </c>
    </row>
    <row r="3706">
      <c r="A3706" s="234" t="s">
        <v>21574</v>
      </c>
      <c r="B3706" s="71" t="s">
        <v>17111</v>
      </c>
      <c r="C3706" s="71" t="s">
        <v>17112</v>
      </c>
    </row>
    <row r="3707">
      <c r="A3707" s="234" t="s">
        <v>21574</v>
      </c>
      <c r="B3707" s="71" t="s">
        <v>17112</v>
      </c>
      <c r="C3707" s="71" t="s">
        <v>17111</v>
      </c>
    </row>
    <row r="3708">
      <c r="A3708" s="234" t="s">
        <v>21576</v>
      </c>
      <c r="B3708" s="71" t="s">
        <v>175</v>
      </c>
      <c r="C3708" s="71" t="s">
        <v>17452</v>
      </c>
    </row>
    <row r="3709">
      <c r="A3709" s="234" t="s">
        <v>21576</v>
      </c>
      <c r="B3709" s="71" t="s">
        <v>17452</v>
      </c>
      <c r="C3709" s="71" t="s">
        <v>175</v>
      </c>
    </row>
    <row r="3710">
      <c r="A3710" s="234" t="s">
        <v>21578</v>
      </c>
      <c r="B3710" s="71" t="s">
        <v>169</v>
      </c>
      <c r="C3710" s="71" t="s">
        <v>17662</v>
      </c>
    </row>
    <row r="3711">
      <c r="A3711" s="234" t="s">
        <v>21578</v>
      </c>
      <c r="B3711" s="71" t="s">
        <v>17662</v>
      </c>
      <c r="C3711" s="71" t="s">
        <v>169</v>
      </c>
    </row>
    <row r="3712">
      <c r="A3712" s="234" t="s">
        <v>21580</v>
      </c>
      <c r="B3712" s="71" t="s">
        <v>175</v>
      </c>
      <c r="C3712" s="71" t="s">
        <v>17168</v>
      </c>
    </row>
    <row r="3713">
      <c r="A3713" s="234" t="s">
        <v>21580</v>
      </c>
      <c r="B3713" s="71" t="s">
        <v>17168</v>
      </c>
      <c r="C3713" s="71" t="s">
        <v>175</v>
      </c>
    </row>
    <row r="3714">
      <c r="A3714" s="234" t="s">
        <v>21582</v>
      </c>
      <c r="B3714" s="71" t="s">
        <v>175</v>
      </c>
      <c r="C3714" s="71" t="s">
        <v>16942</v>
      </c>
    </row>
    <row r="3715">
      <c r="A3715" s="234" t="s">
        <v>21582</v>
      </c>
      <c r="B3715" s="71" t="s">
        <v>16942</v>
      </c>
      <c r="C3715" s="71" t="s">
        <v>175</v>
      </c>
    </row>
    <row r="3716">
      <c r="A3716" s="130" t="s">
        <v>21584</v>
      </c>
      <c r="B3716" s="71" t="s">
        <v>16838</v>
      </c>
      <c r="C3716" s="71" t="s">
        <v>16867</v>
      </c>
    </row>
    <row r="3717">
      <c r="A3717" s="234" t="s">
        <v>21586</v>
      </c>
      <c r="B3717" s="71" t="s">
        <v>17111</v>
      </c>
      <c r="C3717" s="71" t="s">
        <v>17112</v>
      </c>
    </row>
    <row r="3718">
      <c r="A3718" s="234" t="s">
        <v>21586</v>
      </c>
      <c r="B3718" s="71" t="s">
        <v>17112</v>
      </c>
      <c r="C3718" s="71" t="s">
        <v>17111</v>
      </c>
    </row>
    <row r="3719">
      <c r="A3719" s="234" t="s">
        <v>21587</v>
      </c>
      <c r="B3719" s="71" t="s">
        <v>16838</v>
      </c>
      <c r="C3719" s="71" t="s">
        <v>17002</v>
      </c>
    </row>
    <row r="3720">
      <c r="A3720" s="234" t="s">
        <v>21587</v>
      </c>
      <c r="B3720" s="71" t="s">
        <v>17002</v>
      </c>
      <c r="C3720" s="71" t="s">
        <v>16838</v>
      </c>
    </row>
    <row r="3721">
      <c r="A3721" s="130" t="s">
        <v>21590</v>
      </c>
      <c r="B3721" s="71" t="s">
        <v>16926</v>
      </c>
      <c r="C3721" s="71" t="s">
        <v>16957</v>
      </c>
    </row>
    <row r="3722">
      <c r="A3722" s="130" t="s">
        <v>21592</v>
      </c>
      <c r="B3722" s="71" t="s">
        <v>16838</v>
      </c>
      <c r="C3722" s="71" t="s">
        <v>16867</v>
      </c>
    </row>
    <row r="3723">
      <c r="A3723" s="234" t="s">
        <v>21594</v>
      </c>
      <c r="B3723" s="71"/>
      <c r="C3723" s="71"/>
    </row>
    <row r="3724">
      <c r="A3724" s="234" t="s">
        <v>21594</v>
      </c>
      <c r="B3724" s="71"/>
      <c r="C3724" s="71"/>
    </row>
    <row r="3725">
      <c r="A3725" s="130" t="s">
        <v>21596</v>
      </c>
      <c r="B3725" s="71" t="s">
        <v>169</v>
      </c>
      <c r="C3725" s="71" t="s">
        <v>17757</v>
      </c>
    </row>
    <row r="3726">
      <c r="A3726" s="130" t="s">
        <v>21598</v>
      </c>
      <c r="B3726" s="71" t="s">
        <v>175</v>
      </c>
      <c r="C3726" s="71" t="s">
        <v>17350</v>
      </c>
    </row>
    <row r="3727">
      <c r="A3727" s="130" t="s">
        <v>21600</v>
      </c>
      <c r="B3727" s="71"/>
      <c r="C3727" s="71"/>
    </row>
    <row r="3728">
      <c r="A3728" s="234" t="s">
        <v>21602</v>
      </c>
      <c r="B3728" s="71" t="s">
        <v>18633</v>
      </c>
      <c r="C3728" s="71" t="s">
        <v>187</v>
      </c>
    </row>
    <row r="3729">
      <c r="A3729" s="234" t="s">
        <v>21602</v>
      </c>
      <c r="B3729" s="71" t="s">
        <v>187</v>
      </c>
      <c r="C3729" s="71" t="s">
        <v>18633</v>
      </c>
    </row>
    <row r="3730">
      <c r="A3730" s="130" t="s">
        <v>21604</v>
      </c>
      <c r="B3730" s="71" t="s">
        <v>175</v>
      </c>
      <c r="C3730" s="71" t="s">
        <v>17812</v>
      </c>
    </row>
    <row r="3731">
      <c r="A3731" s="234" t="s">
        <v>21606</v>
      </c>
      <c r="B3731" s="71" t="s">
        <v>17321</v>
      </c>
      <c r="C3731" s="71" t="s">
        <v>169</v>
      </c>
    </row>
    <row r="3732">
      <c r="A3732" s="234" t="s">
        <v>21606</v>
      </c>
      <c r="B3732" s="71" t="s">
        <v>169</v>
      </c>
      <c r="C3732" s="71" t="s">
        <v>17321</v>
      </c>
    </row>
    <row r="3733">
      <c r="A3733" s="130" t="s">
        <v>21608</v>
      </c>
      <c r="B3733" s="71" t="s">
        <v>175</v>
      </c>
      <c r="C3733" s="71" t="s">
        <v>16972</v>
      </c>
    </row>
    <row r="3734">
      <c r="A3734" s="130" t="s">
        <v>21610</v>
      </c>
      <c r="B3734" s="71" t="s">
        <v>169</v>
      </c>
      <c r="C3734" s="71" t="s">
        <v>17509</v>
      </c>
    </row>
    <row r="3735">
      <c r="A3735" s="234" t="s">
        <v>21612</v>
      </c>
      <c r="B3735" s="71" t="s">
        <v>17104</v>
      </c>
      <c r="C3735" s="71" t="s">
        <v>16838</v>
      </c>
    </row>
    <row r="3736">
      <c r="A3736" s="234" t="s">
        <v>21612</v>
      </c>
      <c r="B3736" s="71" t="s">
        <v>16838</v>
      </c>
      <c r="C3736" s="71" t="s">
        <v>17104</v>
      </c>
    </row>
    <row r="3737">
      <c r="A3737" s="234" t="s">
        <v>21614</v>
      </c>
      <c r="B3737" s="71" t="s">
        <v>16582</v>
      </c>
      <c r="C3737" s="71" t="s">
        <v>16930</v>
      </c>
    </row>
    <row r="3738">
      <c r="A3738" s="234" t="s">
        <v>21614</v>
      </c>
      <c r="B3738" s="71" t="s">
        <v>16930</v>
      </c>
      <c r="C3738" s="71" t="s">
        <v>16582</v>
      </c>
    </row>
    <row r="3739">
      <c r="A3739" s="130" t="s">
        <v>21616</v>
      </c>
      <c r="B3739" s="71" t="s">
        <v>16582</v>
      </c>
      <c r="C3739" s="71" t="s">
        <v>16930</v>
      </c>
    </row>
    <row r="3740">
      <c r="A3740" s="130" t="s">
        <v>21618</v>
      </c>
      <c r="B3740" s="71" t="s">
        <v>187</v>
      </c>
      <c r="C3740" s="71" t="s">
        <v>16846</v>
      </c>
    </row>
    <row r="3741">
      <c r="A3741" s="234" t="s">
        <v>21620</v>
      </c>
      <c r="B3741" s="71" t="s">
        <v>16885</v>
      </c>
      <c r="C3741" s="71" t="s">
        <v>18805</v>
      </c>
    </row>
    <row r="3742">
      <c r="A3742" s="234" t="s">
        <v>21620</v>
      </c>
      <c r="B3742" s="71" t="s">
        <v>18805</v>
      </c>
      <c r="C3742" s="71" t="s">
        <v>16885</v>
      </c>
    </row>
    <row r="3743">
      <c r="A3743" s="234" t="s">
        <v>21622</v>
      </c>
      <c r="B3743" s="71" t="s">
        <v>175</v>
      </c>
      <c r="C3743" s="71" t="s">
        <v>19139</v>
      </c>
    </row>
    <row r="3744">
      <c r="A3744" s="234" t="s">
        <v>21622</v>
      </c>
      <c r="B3744" s="71" t="s">
        <v>19139</v>
      </c>
      <c r="C3744" s="130" t="s">
        <v>175</v>
      </c>
    </row>
    <row r="3745">
      <c r="A3745" s="130" t="s">
        <v>21624</v>
      </c>
      <c r="B3745" s="71" t="s">
        <v>187</v>
      </c>
      <c r="C3745" s="71" t="s">
        <v>16846</v>
      </c>
    </row>
    <row r="3746">
      <c r="A3746" s="130" t="s">
        <v>21626</v>
      </c>
      <c r="B3746" s="71" t="s">
        <v>16582</v>
      </c>
      <c r="C3746" s="71" t="s">
        <v>16930</v>
      </c>
    </row>
    <row r="3747">
      <c r="A3747" s="234" t="s">
        <v>21628</v>
      </c>
      <c r="B3747" s="71" t="s">
        <v>175</v>
      </c>
      <c r="C3747" s="71" t="s">
        <v>17318</v>
      </c>
    </row>
    <row r="3748">
      <c r="A3748" s="234" t="s">
        <v>21628</v>
      </c>
      <c r="B3748" s="71" t="s">
        <v>17318</v>
      </c>
      <c r="C3748" s="71" t="s">
        <v>175</v>
      </c>
    </row>
    <row r="3749">
      <c r="A3749" s="234" t="s">
        <v>21630</v>
      </c>
      <c r="B3749" s="71" t="s">
        <v>175</v>
      </c>
      <c r="C3749" s="71" t="s">
        <v>17452</v>
      </c>
    </row>
    <row r="3750">
      <c r="A3750" s="234" t="s">
        <v>21630</v>
      </c>
      <c r="B3750" s="71" t="s">
        <v>17452</v>
      </c>
      <c r="C3750" s="71" t="s">
        <v>175</v>
      </c>
    </row>
    <row r="3751">
      <c r="A3751" s="130" t="s">
        <v>21632</v>
      </c>
      <c r="B3751" s="71" t="s">
        <v>175</v>
      </c>
      <c r="C3751" s="71" t="s">
        <v>18676</v>
      </c>
    </row>
    <row r="3752">
      <c r="A3752" s="130" t="s">
        <v>21634</v>
      </c>
      <c r="B3752" s="71" t="s">
        <v>16838</v>
      </c>
      <c r="C3752" s="71" t="s">
        <v>16867</v>
      </c>
    </row>
    <row r="3753">
      <c r="A3753" s="234" t="s">
        <v>21636</v>
      </c>
      <c r="B3753" s="71" t="s">
        <v>16910</v>
      </c>
      <c r="C3753" s="71" t="s">
        <v>16911</v>
      </c>
    </row>
    <row r="3754">
      <c r="A3754" s="234" t="s">
        <v>21636</v>
      </c>
      <c r="B3754" s="71" t="s">
        <v>16911</v>
      </c>
      <c r="C3754" s="71" t="s">
        <v>16910</v>
      </c>
    </row>
    <row r="3755">
      <c r="A3755" s="234" t="s">
        <v>21638</v>
      </c>
      <c r="B3755" s="71" t="s">
        <v>17016</v>
      </c>
      <c r="C3755" s="71" t="s">
        <v>16838</v>
      </c>
    </row>
    <row r="3756">
      <c r="A3756" s="234" t="s">
        <v>21638</v>
      </c>
      <c r="B3756" s="71" t="s">
        <v>16838</v>
      </c>
      <c r="C3756" s="71" t="s">
        <v>17016</v>
      </c>
    </row>
    <row r="3757">
      <c r="A3757" s="130" t="s">
        <v>21640</v>
      </c>
      <c r="B3757" s="71" t="s">
        <v>16582</v>
      </c>
      <c r="C3757" s="71" t="s">
        <v>17342</v>
      </c>
    </row>
    <row r="3758">
      <c r="A3758" s="234" t="s">
        <v>21642</v>
      </c>
      <c r="B3758" s="71" t="s">
        <v>17111</v>
      </c>
      <c r="C3758" s="71" t="s">
        <v>17112</v>
      </c>
    </row>
    <row r="3759">
      <c r="A3759" s="234" t="s">
        <v>21642</v>
      </c>
      <c r="B3759" s="71" t="s">
        <v>17112</v>
      </c>
      <c r="C3759" s="71" t="s">
        <v>17111</v>
      </c>
    </row>
    <row r="3760">
      <c r="A3760" s="234" t="s">
        <v>21644</v>
      </c>
      <c r="B3760" s="71" t="s">
        <v>16582</v>
      </c>
      <c r="C3760" s="71" t="s">
        <v>16817</v>
      </c>
    </row>
    <row r="3761">
      <c r="A3761" s="234" t="s">
        <v>21644</v>
      </c>
      <c r="B3761" s="71" t="s">
        <v>16817</v>
      </c>
      <c r="C3761" s="71" t="s">
        <v>16582</v>
      </c>
    </row>
    <row r="3762">
      <c r="A3762" s="234" t="s">
        <v>21646</v>
      </c>
      <c r="B3762" s="71" t="s">
        <v>16867</v>
      </c>
      <c r="C3762" s="71" t="s">
        <v>16838</v>
      </c>
    </row>
    <row r="3763">
      <c r="A3763" s="234" t="s">
        <v>21646</v>
      </c>
      <c r="B3763" s="71" t="s">
        <v>16838</v>
      </c>
      <c r="C3763" s="71" t="s">
        <v>16867</v>
      </c>
    </row>
    <row r="3764">
      <c r="A3764" s="234" t="s">
        <v>21648</v>
      </c>
      <c r="B3764" s="71" t="s">
        <v>158</v>
      </c>
      <c r="C3764" s="71" t="s">
        <v>18063</v>
      </c>
    </row>
    <row r="3765">
      <c r="A3765" s="234" t="s">
        <v>21648</v>
      </c>
      <c r="B3765" s="71" t="s">
        <v>18063</v>
      </c>
      <c r="C3765" s="71" t="s">
        <v>158</v>
      </c>
    </row>
    <row r="3766">
      <c r="A3766" s="234" t="s">
        <v>21650</v>
      </c>
      <c r="B3766" s="71" t="s">
        <v>16957</v>
      </c>
      <c r="C3766" s="71" t="s">
        <v>16926</v>
      </c>
    </row>
    <row r="3767">
      <c r="A3767" s="234" t="s">
        <v>21650</v>
      </c>
      <c r="B3767" s="71" t="s">
        <v>16926</v>
      </c>
      <c r="C3767" s="71" t="s">
        <v>16957</v>
      </c>
    </row>
    <row r="3768">
      <c r="A3768" s="130" t="s">
        <v>21652</v>
      </c>
      <c r="B3768" s="71" t="s">
        <v>175</v>
      </c>
      <c r="C3768" s="71" t="s">
        <v>17168</v>
      </c>
    </row>
    <row r="3769">
      <c r="A3769" s="234" t="s">
        <v>21654</v>
      </c>
      <c r="B3769" s="71" t="s">
        <v>16582</v>
      </c>
      <c r="C3769" s="71" t="s">
        <v>17339</v>
      </c>
    </row>
    <row r="3770">
      <c r="A3770" s="234" t="s">
        <v>21654</v>
      </c>
      <c r="B3770" s="71" t="s">
        <v>17339</v>
      </c>
      <c r="C3770" s="71" t="s">
        <v>16582</v>
      </c>
    </row>
    <row r="3771">
      <c r="A3771" s="130" t="s">
        <v>21656</v>
      </c>
      <c r="B3771" s="71" t="s">
        <v>175</v>
      </c>
      <c r="C3771" s="71" t="s">
        <v>17318</v>
      </c>
    </row>
    <row r="3772">
      <c r="A3772" s="130" t="s">
        <v>21658</v>
      </c>
      <c r="B3772" s="71" t="s">
        <v>158</v>
      </c>
      <c r="C3772" s="71" t="s">
        <v>16870</v>
      </c>
    </row>
    <row r="3773">
      <c r="A3773" s="234" t="s">
        <v>21660</v>
      </c>
      <c r="B3773" s="71" t="s">
        <v>16885</v>
      </c>
      <c r="C3773" s="71" t="s">
        <v>17726</v>
      </c>
    </row>
    <row r="3774">
      <c r="A3774" s="234" t="s">
        <v>21660</v>
      </c>
      <c r="B3774" s="71" t="s">
        <v>17726</v>
      </c>
      <c r="C3774" s="130" t="s">
        <v>16885</v>
      </c>
    </row>
    <row r="3775">
      <c r="A3775" s="234" t="s">
        <v>21662</v>
      </c>
      <c r="B3775" s="71" t="s">
        <v>16885</v>
      </c>
      <c r="C3775" s="71" t="s">
        <v>17726</v>
      </c>
    </row>
    <row r="3776">
      <c r="A3776" s="234" t="s">
        <v>21662</v>
      </c>
      <c r="B3776" s="71" t="s">
        <v>17726</v>
      </c>
      <c r="C3776" s="71" t="s">
        <v>16885</v>
      </c>
    </row>
    <row r="3777">
      <c r="A3777" s="130" t="s">
        <v>21664</v>
      </c>
      <c r="B3777" s="71" t="s">
        <v>175</v>
      </c>
      <c r="C3777" s="71" t="s">
        <v>19139</v>
      </c>
    </row>
    <row r="3778">
      <c r="A3778" s="130" t="s">
        <v>21666</v>
      </c>
      <c r="B3778" s="71" t="s">
        <v>187</v>
      </c>
      <c r="C3778" s="71" t="s">
        <v>16969</v>
      </c>
    </row>
    <row r="3779">
      <c r="A3779" s="130" t="s">
        <v>21668</v>
      </c>
      <c r="B3779" s="71" t="s">
        <v>175</v>
      </c>
      <c r="C3779" s="71" t="s">
        <v>17480</v>
      </c>
    </row>
    <row r="3780">
      <c r="A3780" s="130" t="s">
        <v>21670</v>
      </c>
      <c r="B3780" s="71" t="s">
        <v>187</v>
      </c>
      <c r="C3780" s="71" t="s">
        <v>16858</v>
      </c>
    </row>
    <row r="3781">
      <c r="A3781" s="130" t="s">
        <v>21672</v>
      </c>
      <c r="B3781" s="71" t="s">
        <v>175</v>
      </c>
      <c r="C3781" s="71" t="s">
        <v>17391</v>
      </c>
    </row>
    <row r="3782">
      <c r="A3782" s="234" t="s">
        <v>21674</v>
      </c>
      <c r="B3782" s="71" t="s">
        <v>17016</v>
      </c>
      <c r="C3782" s="71" t="s">
        <v>16838</v>
      </c>
    </row>
    <row r="3783">
      <c r="A3783" s="234" t="s">
        <v>21674</v>
      </c>
      <c r="B3783" s="71" t="s">
        <v>16838</v>
      </c>
      <c r="C3783" s="71" t="s">
        <v>17016</v>
      </c>
    </row>
    <row r="3784">
      <c r="A3784" s="234" t="s">
        <v>21676</v>
      </c>
      <c r="B3784" s="71" t="s">
        <v>17552</v>
      </c>
      <c r="C3784" s="71" t="s">
        <v>187</v>
      </c>
    </row>
    <row r="3785">
      <c r="A3785" s="234" t="s">
        <v>21676</v>
      </c>
      <c r="B3785" s="71" t="s">
        <v>187</v>
      </c>
      <c r="C3785" s="71" t="s">
        <v>17552</v>
      </c>
    </row>
    <row r="3786">
      <c r="A3786" s="130" t="s">
        <v>21678</v>
      </c>
      <c r="B3786" s="71" t="s">
        <v>16838</v>
      </c>
      <c r="C3786" s="71" t="s">
        <v>17112</v>
      </c>
    </row>
    <row r="3787">
      <c r="A3787" s="130" t="s">
        <v>21680</v>
      </c>
      <c r="B3787" s="71" t="s">
        <v>187</v>
      </c>
      <c r="C3787" s="71" t="s">
        <v>16846</v>
      </c>
    </row>
    <row r="3788">
      <c r="A3788" s="130" t="s">
        <v>21682</v>
      </c>
      <c r="B3788" s="71" t="s">
        <v>187</v>
      </c>
      <c r="C3788" s="71" t="s">
        <v>16846</v>
      </c>
    </row>
    <row r="3789">
      <c r="A3789" s="234" t="s">
        <v>21684</v>
      </c>
      <c r="B3789" s="71" t="s">
        <v>16885</v>
      </c>
      <c r="C3789" s="71" t="s">
        <v>16886</v>
      </c>
    </row>
    <row r="3790">
      <c r="A3790" s="234" t="s">
        <v>21684</v>
      </c>
      <c r="B3790" s="71" t="s">
        <v>16886</v>
      </c>
      <c r="C3790" s="71" t="s">
        <v>16885</v>
      </c>
    </row>
    <row r="3791">
      <c r="A3791" s="130" t="s">
        <v>21686</v>
      </c>
      <c r="B3791" s="71" t="s">
        <v>16926</v>
      </c>
      <c r="C3791" s="71" t="s">
        <v>16957</v>
      </c>
    </row>
    <row r="3792">
      <c r="A3792" s="130" t="s">
        <v>21688</v>
      </c>
      <c r="B3792" s="71"/>
      <c r="C3792" s="71"/>
    </row>
    <row r="3793">
      <c r="A3793" s="234" t="s">
        <v>21690</v>
      </c>
      <c r="B3793" s="71" t="s">
        <v>175</v>
      </c>
      <c r="C3793" s="71" t="s">
        <v>17457</v>
      </c>
    </row>
    <row r="3794">
      <c r="A3794" s="234" t="s">
        <v>21690</v>
      </c>
      <c r="B3794" s="71" t="s">
        <v>17457</v>
      </c>
      <c r="C3794" s="71" t="s">
        <v>175</v>
      </c>
    </row>
    <row r="3795">
      <c r="A3795" s="130" t="s">
        <v>21692</v>
      </c>
      <c r="B3795" s="71" t="s">
        <v>187</v>
      </c>
      <c r="C3795" s="71" t="s">
        <v>16846</v>
      </c>
    </row>
    <row r="3796">
      <c r="A3796" s="234" t="s">
        <v>21694</v>
      </c>
      <c r="B3796" s="71" t="s">
        <v>17127</v>
      </c>
      <c r="C3796" s="71" t="s">
        <v>16838</v>
      </c>
    </row>
    <row r="3797">
      <c r="A3797" s="234" t="s">
        <v>21694</v>
      </c>
      <c r="B3797" s="71" t="s">
        <v>16838</v>
      </c>
      <c r="C3797" s="71" t="s">
        <v>17127</v>
      </c>
    </row>
    <row r="3798">
      <c r="A3798" s="234" t="s">
        <v>21696</v>
      </c>
      <c r="B3798" s="71" t="s">
        <v>19579</v>
      </c>
      <c r="C3798" s="71" t="s">
        <v>16838</v>
      </c>
    </row>
    <row r="3799">
      <c r="A3799" s="234" t="s">
        <v>21696</v>
      </c>
      <c r="B3799" s="71" t="s">
        <v>16838</v>
      </c>
      <c r="C3799" s="71" t="s">
        <v>19579</v>
      </c>
    </row>
    <row r="3800">
      <c r="A3800" s="234" t="s">
        <v>21698</v>
      </c>
      <c r="B3800" s="71" t="s">
        <v>17111</v>
      </c>
      <c r="C3800" s="71" t="s">
        <v>17112</v>
      </c>
    </row>
    <row r="3801">
      <c r="A3801" s="234" t="s">
        <v>21698</v>
      </c>
      <c r="B3801" s="71" t="s">
        <v>17112</v>
      </c>
      <c r="C3801" s="71" t="s">
        <v>17111</v>
      </c>
    </row>
    <row r="3802">
      <c r="A3802" s="234" t="s">
        <v>21700</v>
      </c>
      <c r="B3802" s="71" t="s">
        <v>169</v>
      </c>
      <c r="C3802" s="71" t="s">
        <v>17509</v>
      </c>
    </row>
    <row r="3803">
      <c r="A3803" s="234" t="s">
        <v>21700</v>
      </c>
      <c r="B3803" s="71" t="s">
        <v>17509</v>
      </c>
      <c r="C3803" s="71" t="s">
        <v>169</v>
      </c>
    </row>
    <row r="3804">
      <c r="A3804" s="234" t="s">
        <v>21702</v>
      </c>
      <c r="B3804" s="71" t="s">
        <v>17111</v>
      </c>
      <c r="C3804" s="71" t="s">
        <v>17112</v>
      </c>
    </row>
    <row r="3805">
      <c r="A3805" s="234" t="s">
        <v>21702</v>
      </c>
      <c r="B3805" s="71" t="s">
        <v>17112</v>
      </c>
      <c r="C3805" s="71" t="s">
        <v>17111</v>
      </c>
    </row>
    <row r="3806">
      <c r="A3806" s="130" t="s">
        <v>21704</v>
      </c>
      <c r="B3806" s="71" t="s">
        <v>187</v>
      </c>
      <c r="C3806" s="71" t="s">
        <v>16846</v>
      </c>
    </row>
    <row r="3807">
      <c r="A3807" s="234" t="s">
        <v>21706</v>
      </c>
      <c r="B3807" s="71" t="s">
        <v>16867</v>
      </c>
      <c r="C3807" s="71" t="s">
        <v>16838</v>
      </c>
    </row>
    <row r="3808">
      <c r="A3808" s="234" t="s">
        <v>21706</v>
      </c>
      <c r="B3808" s="71" t="s">
        <v>16838</v>
      </c>
      <c r="C3808" s="71" t="s">
        <v>16867</v>
      </c>
    </row>
    <row r="3809">
      <c r="A3809" s="130" t="s">
        <v>21708</v>
      </c>
      <c r="B3809" s="71" t="s">
        <v>17112</v>
      </c>
      <c r="C3809" s="71" t="s">
        <v>17111</v>
      </c>
    </row>
    <row r="3810">
      <c r="A3810" s="234" t="s">
        <v>21710</v>
      </c>
      <c r="B3810" s="71" t="s">
        <v>175</v>
      </c>
      <c r="C3810" s="71" t="s">
        <v>17757</v>
      </c>
    </row>
    <row r="3811">
      <c r="A3811" s="234" t="s">
        <v>21710</v>
      </c>
      <c r="B3811" s="71" t="s">
        <v>17757</v>
      </c>
      <c r="C3811" s="71" t="s">
        <v>175</v>
      </c>
    </row>
    <row r="3812">
      <c r="A3812" s="234" t="s">
        <v>21712</v>
      </c>
      <c r="B3812" s="71" t="s">
        <v>175</v>
      </c>
      <c r="C3812" s="71" t="s">
        <v>17452</v>
      </c>
    </row>
    <row r="3813">
      <c r="A3813" s="234" t="s">
        <v>21712</v>
      </c>
      <c r="B3813" s="71" t="s">
        <v>17452</v>
      </c>
      <c r="C3813" s="71" t="s">
        <v>175</v>
      </c>
    </row>
    <row r="3814">
      <c r="A3814" s="130" t="s">
        <v>21714</v>
      </c>
      <c r="B3814" s="71" t="s">
        <v>175</v>
      </c>
      <c r="C3814" s="71" t="s">
        <v>17168</v>
      </c>
    </row>
    <row r="3815">
      <c r="A3815" s="234" t="s">
        <v>21716</v>
      </c>
      <c r="B3815" s="71" t="s">
        <v>17111</v>
      </c>
      <c r="C3815" s="71" t="s">
        <v>17112</v>
      </c>
    </row>
    <row r="3816">
      <c r="A3816" s="234" t="s">
        <v>21716</v>
      </c>
      <c r="B3816" s="71" t="s">
        <v>17112</v>
      </c>
      <c r="C3816" s="71" t="s">
        <v>17111</v>
      </c>
    </row>
    <row r="3817">
      <c r="A3817" s="234" t="s">
        <v>21718</v>
      </c>
      <c r="B3817" s="71" t="s">
        <v>17509</v>
      </c>
      <c r="C3817" s="71" t="s">
        <v>187</v>
      </c>
    </row>
    <row r="3818">
      <c r="A3818" s="234" t="s">
        <v>21718</v>
      </c>
      <c r="B3818" s="71" t="s">
        <v>187</v>
      </c>
      <c r="C3818" s="71" t="s">
        <v>17509</v>
      </c>
    </row>
    <row r="3819">
      <c r="A3819" s="130" t="s">
        <v>21720</v>
      </c>
      <c r="B3819" s="71" t="s">
        <v>16582</v>
      </c>
      <c r="C3819" s="71" t="s">
        <v>16828</v>
      </c>
    </row>
    <row r="3820">
      <c r="A3820" s="130" t="s">
        <v>21722</v>
      </c>
      <c r="B3820" s="71" t="s">
        <v>16838</v>
      </c>
      <c r="C3820" s="71" t="s">
        <v>17127</v>
      </c>
    </row>
    <row r="3821">
      <c r="A3821" s="130" t="s">
        <v>21724</v>
      </c>
      <c r="B3821" s="71" t="s">
        <v>16838</v>
      </c>
      <c r="C3821" s="71" t="s">
        <v>16867</v>
      </c>
    </row>
    <row r="3822">
      <c r="A3822" s="234" t="s">
        <v>21726</v>
      </c>
      <c r="B3822" s="71" t="s">
        <v>19579</v>
      </c>
      <c r="C3822" s="71" t="s">
        <v>16838</v>
      </c>
    </row>
    <row r="3823">
      <c r="A3823" s="234" t="s">
        <v>21726</v>
      </c>
      <c r="B3823" s="71" t="s">
        <v>16838</v>
      </c>
      <c r="C3823" s="71" t="s">
        <v>19579</v>
      </c>
    </row>
    <row r="3824">
      <c r="A3824" s="234" t="s">
        <v>21728</v>
      </c>
      <c r="B3824" s="71" t="s">
        <v>17112</v>
      </c>
      <c r="C3824" s="71" t="s">
        <v>16838</v>
      </c>
    </row>
    <row r="3825">
      <c r="A3825" s="234" t="s">
        <v>21728</v>
      </c>
      <c r="B3825" s="71" t="s">
        <v>16838</v>
      </c>
      <c r="C3825" s="71" t="s">
        <v>17112</v>
      </c>
    </row>
    <row r="3826">
      <c r="A3826" s="130" t="s">
        <v>21730</v>
      </c>
      <c r="B3826" s="71" t="s">
        <v>175</v>
      </c>
      <c r="C3826" s="71" t="s">
        <v>16878</v>
      </c>
    </row>
    <row r="3827">
      <c r="A3827" s="130" t="s">
        <v>21732</v>
      </c>
      <c r="B3827" s="71" t="s">
        <v>16926</v>
      </c>
      <c r="C3827" s="71" t="s">
        <v>17321</v>
      </c>
    </row>
    <row r="3828">
      <c r="A3828" s="234" t="s">
        <v>21734</v>
      </c>
      <c r="B3828" s="71"/>
      <c r="C3828" s="71"/>
    </row>
    <row r="3829">
      <c r="A3829" s="234" t="s">
        <v>21734</v>
      </c>
      <c r="B3829" s="71"/>
      <c r="C3829" s="71"/>
    </row>
    <row r="3830">
      <c r="A3830" s="234" t="s">
        <v>21736</v>
      </c>
      <c r="B3830" s="71" t="s">
        <v>16910</v>
      </c>
      <c r="C3830" s="71" t="s">
        <v>17662</v>
      </c>
    </row>
    <row r="3831">
      <c r="A3831" s="234" t="s">
        <v>21736</v>
      </c>
      <c r="B3831" s="71" t="s">
        <v>17662</v>
      </c>
      <c r="C3831" s="71" t="s">
        <v>16910</v>
      </c>
    </row>
    <row r="3832">
      <c r="A3832" s="130" t="s">
        <v>21738</v>
      </c>
      <c r="B3832" s="71" t="s">
        <v>187</v>
      </c>
      <c r="C3832" s="71" t="s">
        <v>16851</v>
      </c>
    </row>
    <row r="3833">
      <c r="A3833" s="130" t="s">
        <v>21740</v>
      </c>
      <c r="B3833" s="71" t="s">
        <v>169</v>
      </c>
      <c r="C3833" s="71" t="s">
        <v>16899</v>
      </c>
    </row>
    <row r="3834">
      <c r="A3834" s="130" t="s">
        <v>21742</v>
      </c>
      <c r="B3834" s="71" t="s">
        <v>17112</v>
      </c>
      <c r="C3834" s="71" t="s">
        <v>17111</v>
      </c>
    </row>
    <row r="3835">
      <c r="A3835" s="234" t="s">
        <v>21744</v>
      </c>
      <c r="B3835" s="71" t="s">
        <v>17009</v>
      </c>
      <c r="C3835" s="71" t="s">
        <v>169</v>
      </c>
    </row>
    <row r="3836">
      <c r="A3836" s="234" t="s">
        <v>21744</v>
      </c>
      <c r="B3836" s="71" t="s">
        <v>169</v>
      </c>
      <c r="C3836" s="71" t="s">
        <v>17009</v>
      </c>
    </row>
    <row r="3837">
      <c r="A3837" s="234" t="s">
        <v>21746</v>
      </c>
      <c r="B3837" s="71"/>
      <c r="C3837" s="71"/>
    </row>
    <row r="3838">
      <c r="A3838" s="234" t="s">
        <v>21746</v>
      </c>
      <c r="B3838" s="71"/>
      <c r="C3838" s="71"/>
    </row>
    <row r="3839">
      <c r="A3839" s="130" t="s">
        <v>21748</v>
      </c>
      <c r="B3839" s="71" t="s">
        <v>16582</v>
      </c>
      <c r="C3839" s="71" t="s">
        <v>17435</v>
      </c>
    </row>
    <row r="3840">
      <c r="A3840" s="130" t="s">
        <v>21750</v>
      </c>
      <c r="B3840" s="71" t="s">
        <v>175</v>
      </c>
      <c r="C3840" s="71" t="s">
        <v>17218</v>
      </c>
    </row>
    <row r="3841">
      <c r="A3841" s="234" t="s">
        <v>21752</v>
      </c>
      <c r="B3841" s="71" t="s">
        <v>17112</v>
      </c>
      <c r="C3841" s="71" t="s">
        <v>17111</v>
      </c>
    </row>
    <row r="3842">
      <c r="A3842" s="234" t="s">
        <v>21752</v>
      </c>
      <c r="B3842" s="71" t="s">
        <v>17111</v>
      </c>
      <c r="C3842" s="130" t="s">
        <v>17112</v>
      </c>
    </row>
    <row r="3843">
      <c r="A3843" s="130" t="s">
        <v>21754</v>
      </c>
      <c r="B3843" s="71" t="s">
        <v>169</v>
      </c>
      <c r="C3843" s="71" t="s">
        <v>17702</v>
      </c>
    </row>
    <row r="3844">
      <c r="A3844" s="130" t="s">
        <v>21756</v>
      </c>
      <c r="B3844" s="71" t="s">
        <v>16838</v>
      </c>
      <c r="C3844" s="71" t="s">
        <v>17127</v>
      </c>
    </row>
    <row r="3845">
      <c r="A3845" s="130" t="s">
        <v>21758</v>
      </c>
      <c r="B3845" s="71" t="s">
        <v>16838</v>
      </c>
      <c r="C3845" s="71" t="s">
        <v>16867</v>
      </c>
    </row>
    <row r="3846">
      <c r="A3846" s="234" t="s">
        <v>21760</v>
      </c>
      <c r="B3846" s="71" t="s">
        <v>17111</v>
      </c>
      <c r="C3846" s="71" t="s">
        <v>17112</v>
      </c>
    </row>
    <row r="3847">
      <c r="A3847" s="234" t="s">
        <v>21760</v>
      </c>
      <c r="B3847" s="71" t="s">
        <v>17112</v>
      </c>
      <c r="C3847" s="71" t="s">
        <v>17111</v>
      </c>
    </row>
    <row r="3848">
      <c r="A3848" s="130" t="s">
        <v>21762</v>
      </c>
      <c r="B3848" s="71" t="s">
        <v>158</v>
      </c>
      <c r="C3848" s="71" t="s">
        <v>16864</v>
      </c>
    </row>
    <row r="3849">
      <c r="A3849" s="130" t="s">
        <v>21764</v>
      </c>
      <c r="B3849" s="71" t="s">
        <v>175</v>
      </c>
      <c r="C3849" s="71" t="s">
        <v>17168</v>
      </c>
    </row>
    <row r="3850">
      <c r="A3850" s="234" t="s">
        <v>21766</v>
      </c>
      <c r="B3850" s="71" t="s">
        <v>16910</v>
      </c>
      <c r="C3850" s="71" t="s">
        <v>17662</v>
      </c>
    </row>
    <row r="3851">
      <c r="A3851" s="234" t="s">
        <v>21766</v>
      </c>
      <c r="B3851" s="71" t="s">
        <v>17662</v>
      </c>
      <c r="C3851" s="71" t="s">
        <v>16910</v>
      </c>
    </row>
    <row r="3852">
      <c r="A3852" s="130" t="s">
        <v>21768</v>
      </c>
      <c r="B3852" s="71" t="s">
        <v>187</v>
      </c>
      <c r="C3852" s="71" t="s">
        <v>16846</v>
      </c>
    </row>
    <row r="3853">
      <c r="A3853" s="234" t="s">
        <v>21770</v>
      </c>
      <c r="B3853" s="71" t="s">
        <v>16919</v>
      </c>
      <c r="C3853" s="71" t="s">
        <v>17048</v>
      </c>
    </row>
    <row r="3854">
      <c r="A3854" s="234" t="s">
        <v>21770</v>
      </c>
      <c r="B3854" s="71" t="s">
        <v>17048</v>
      </c>
      <c r="C3854" s="71" t="s">
        <v>16919</v>
      </c>
    </row>
    <row r="3855">
      <c r="A3855" s="130" t="s">
        <v>21772</v>
      </c>
      <c r="B3855" s="71" t="s">
        <v>187</v>
      </c>
      <c r="C3855" s="71" t="s">
        <v>16846</v>
      </c>
    </row>
    <row r="3856">
      <c r="A3856" s="234" t="s">
        <v>21774</v>
      </c>
      <c r="B3856" s="71" t="s">
        <v>16582</v>
      </c>
      <c r="C3856" s="71" t="s">
        <v>16930</v>
      </c>
    </row>
    <row r="3857">
      <c r="A3857" s="234" t="s">
        <v>21774</v>
      </c>
      <c r="B3857" s="71" t="s">
        <v>16930</v>
      </c>
      <c r="C3857" s="71" t="s">
        <v>16582</v>
      </c>
    </row>
    <row r="3858">
      <c r="A3858" s="130" t="s">
        <v>21776</v>
      </c>
      <c r="B3858" s="71" t="s">
        <v>16582</v>
      </c>
      <c r="C3858" s="71" t="s">
        <v>16817</v>
      </c>
    </row>
    <row r="3859">
      <c r="A3859" s="234" t="s">
        <v>21778</v>
      </c>
      <c r="B3859" s="71" t="s">
        <v>175</v>
      </c>
      <c r="C3859" s="71" t="s">
        <v>17168</v>
      </c>
    </row>
    <row r="3860">
      <c r="A3860" s="234" t="s">
        <v>21778</v>
      </c>
      <c r="B3860" s="71" t="s">
        <v>17168</v>
      </c>
      <c r="C3860" s="71" t="s">
        <v>175</v>
      </c>
    </row>
    <row r="3861">
      <c r="A3861" s="234" t="s">
        <v>21781</v>
      </c>
      <c r="B3861" s="71" t="s">
        <v>18679</v>
      </c>
      <c r="C3861" s="71" t="s">
        <v>16838</v>
      </c>
    </row>
    <row r="3862">
      <c r="A3862" s="234" t="s">
        <v>21781</v>
      </c>
      <c r="B3862" s="71" t="s">
        <v>16838</v>
      </c>
      <c r="C3862" s="71" t="s">
        <v>18679</v>
      </c>
    </row>
    <row r="3863">
      <c r="A3863" s="130" t="s">
        <v>21783</v>
      </c>
      <c r="B3863" s="71" t="s">
        <v>16838</v>
      </c>
      <c r="C3863" s="71" t="s">
        <v>18679</v>
      </c>
    </row>
    <row r="3864">
      <c r="A3864" s="234" t="s">
        <v>21785</v>
      </c>
      <c r="B3864" s="71" t="s">
        <v>158</v>
      </c>
      <c r="C3864" s="71" t="s">
        <v>18063</v>
      </c>
    </row>
    <row r="3865">
      <c r="A3865" s="234" t="s">
        <v>21785</v>
      </c>
      <c r="B3865" s="71" t="s">
        <v>18063</v>
      </c>
      <c r="C3865" s="71" t="s">
        <v>158</v>
      </c>
    </row>
    <row r="3866">
      <c r="A3866" s="234" t="s">
        <v>21787</v>
      </c>
      <c r="B3866" s="71" t="s">
        <v>17202</v>
      </c>
      <c r="C3866" s="71" t="s">
        <v>16838</v>
      </c>
    </row>
    <row r="3867">
      <c r="A3867" s="234" t="s">
        <v>21787</v>
      </c>
      <c r="B3867" s="71" t="s">
        <v>16838</v>
      </c>
      <c r="C3867" s="71" t="s">
        <v>17202</v>
      </c>
    </row>
    <row r="3868">
      <c r="A3868" s="234" t="s">
        <v>21789</v>
      </c>
      <c r="B3868" s="71" t="s">
        <v>187</v>
      </c>
      <c r="C3868" s="71" t="s">
        <v>17259</v>
      </c>
    </row>
    <row r="3869">
      <c r="A3869" s="234" t="s">
        <v>21789</v>
      </c>
      <c r="B3869" s="71" t="s">
        <v>17259</v>
      </c>
      <c r="C3869" s="130" t="s">
        <v>187</v>
      </c>
    </row>
    <row r="3870">
      <c r="A3870" s="130" t="s">
        <v>21791</v>
      </c>
      <c r="B3870" s="71" t="s">
        <v>16838</v>
      </c>
      <c r="C3870" s="71" t="s">
        <v>16867</v>
      </c>
    </row>
    <row r="3871">
      <c r="A3871" s="234" t="s">
        <v>21793</v>
      </c>
      <c r="B3871" s="71" t="s">
        <v>16885</v>
      </c>
      <c r="C3871" s="71" t="s">
        <v>16886</v>
      </c>
    </row>
    <row r="3872">
      <c r="A3872" s="234" t="s">
        <v>21793</v>
      </c>
      <c r="B3872" s="71" t="s">
        <v>16886</v>
      </c>
      <c r="C3872" s="71" t="s">
        <v>16885</v>
      </c>
    </row>
    <row r="3873">
      <c r="A3873" s="234" t="s">
        <v>21795</v>
      </c>
      <c r="B3873" s="71" t="s">
        <v>16885</v>
      </c>
      <c r="C3873" s="71" t="s">
        <v>17726</v>
      </c>
    </row>
    <row r="3874">
      <c r="A3874" s="234" t="s">
        <v>21795</v>
      </c>
      <c r="B3874" s="71" t="s">
        <v>17726</v>
      </c>
      <c r="C3874" s="71" t="s">
        <v>16885</v>
      </c>
    </row>
    <row r="3875">
      <c r="A3875" s="130" t="s">
        <v>21797</v>
      </c>
      <c r="B3875" s="71" t="s">
        <v>187</v>
      </c>
      <c r="C3875" s="71" t="s">
        <v>16846</v>
      </c>
    </row>
    <row r="3876">
      <c r="A3876" s="130" t="s">
        <v>21799</v>
      </c>
      <c r="B3876" s="71" t="s">
        <v>16838</v>
      </c>
      <c r="C3876" s="71" t="s">
        <v>16867</v>
      </c>
    </row>
    <row r="3877">
      <c r="A3877" s="130" t="s">
        <v>21801</v>
      </c>
      <c r="B3877" s="71" t="s">
        <v>16919</v>
      </c>
      <c r="C3877" s="71" t="s">
        <v>17794</v>
      </c>
    </row>
    <row r="3878">
      <c r="A3878" s="234" t="s">
        <v>21803</v>
      </c>
      <c r="B3878" s="71" t="s">
        <v>17321</v>
      </c>
      <c r="C3878" s="71" t="s">
        <v>169</v>
      </c>
    </row>
    <row r="3879">
      <c r="A3879" s="234" t="s">
        <v>21803</v>
      </c>
      <c r="B3879" s="71" t="s">
        <v>169</v>
      </c>
      <c r="C3879" s="71" t="s">
        <v>17321</v>
      </c>
    </row>
    <row r="3880">
      <c r="A3880" s="234" t="s">
        <v>21805</v>
      </c>
      <c r="B3880" s="71" t="s">
        <v>16910</v>
      </c>
      <c r="C3880" s="71" t="s">
        <v>17662</v>
      </c>
    </row>
    <row r="3881">
      <c r="A3881" s="234" t="s">
        <v>21805</v>
      </c>
      <c r="B3881" s="71" t="s">
        <v>17662</v>
      </c>
      <c r="C3881" s="71" t="s">
        <v>16910</v>
      </c>
    </row>
    <row r="3882">
      <c r="A3882" s="234" t="s">
        <v>21807</v>
      </c>
      <c r="B3882" s="71" t="s">
        <v>17112</v>
      </c>
      <c r="C3882" s="71" t="s">
        <v>17111</v>
      </c>
    </row>
    <row r="3883">
      <c r="A3883" s="234" t="s">
        <v>21807</v>
      </c>
      <c r="B3883" s="71" t="s">
        <v>17111</v>
      </c>
      <c r="C3883" s="130" t="s">
        <v>17112</v>
      </c>
    </row>
    <row r="3884">
      <c r="A3884" s="130" t="s">
        <v>21809</v>
      </c>
      <c r="B3884" s="71" t="s">
        <v>187</v>
      </c>
      <c r="C3884" s="71" t="s">
        <v>16969</v>
      </c>
    </row>
    <row r="3885">
      <c r="A3885" s="234" t="s">
        <v>21811</v>
      </c>
      <c r="B3885" s="71" t="s">
        <v>175</v>
      </c>
      <c r="C3885" s="71" t="s">
        <v>17757</v>
      </c>
    </row>
    <row r="3886">
      <c r="A3886" s="234" t="s">
        <v>21811</v>
      </c>
      <c r="B3886" s="71" t="s">
        <v>17757</v>
      </c>
      <c r="C3886" s="71" t="s">
        <v>175</v>
      </c>
    </row>
    <row r="3887">
      <c r="A3887" s="234" t="s">
        <v>21813</v>
      </c>
      <c r="B3887" s="71" t="s">
        <v>175</v>
      </c>
      <c r="C3887" s="71" t="s">
        <v>16972</v>
      </c>
    </row>
    <row r="3888">
      <c r="A3888" s="234" t="s">
        <v>21813</v>
      </c>
      <c r="B3888" s="71" t="s">
        <v>16972</v>
      </c>
      <c r="C3888" s="71" t="s">
        <v>175</v>
      </c>
    </row>
    <row r="3889">
      <c r="A3889" s="130" t="s">
        <v>21815</v>
      </c>
      <c r="B3889" s="71" t="s">
        <v>16582</v>
      </c>
      <c r="C3889" s="71" t="s">
        <v>16828</v>
      </c>
    </row>
    <row r="3890">
      <c r="A3890" s="234" t="s">
        <v>21817</v>
      </c>
      <c r="B3890" s="71" t="s">
        <v>17112</v>
      </c>
      <c r="C3890" s="71" t="s">
        <v>17111</v>
      </c>
    </row>
    <row r="3891">
      <c r="A3891" s="234" t="s">
        <v>21817</v>
      </c>
      <c r="B3891" s="71" t="s">
        <v>17111</v>
      </c>
      <c r="C3891" s="130" t="s">
        <v>17112</v>
      </c>
    </row>
    <row r="3892">
      <c r="A3892" s="130" t="s">
        <v>21819</v>
      </c>
      <c r="B3892" s="71" t="s">
        <v>187</v>
      </c>
      <c r="C3892" s="71" t="s">
        <v>16969</v>
      </c>
    </row>
    <row r="3893">
      <c r="A3893" s="234" t="s">
        <v>21821</v>
      </c>
      <c r="B3893" s="71" t="s">
        <v>16837</v>
      </c>
      <c r="C3893" s="71" t="s">
        <v>16838</v>
      </c>
    </row>
    <row r="3894">
      <c r="A3894" s="234" t="s">
        <v>21821</v>
      </c>
      <c r="B3894" s="71" t="s">
        <v>16838</v>
      </c>
      <c r="C3894" s="71" t="s">
        <v>16837</v>
      </c>
    </row>
    <row r="3895">
      <c r="A3895" s="234" t="s">
        <v>21823</v>
      </c>
      <c r="B3895" s="71" t="s">
        <v>16867</v>
      </c>
      <c r="C3895" s="71" t="s">
        <v>16838</v>
      </c>
    </row>
    <row r="3896">
      <c r="A3896" s="234" t="s">
        <v>21823</v>
      </c>
      <c r="B3896" s="71" t="s">
        <v>16838</v>
      </c>
      <c r="C3896" s="71" t="s">
        <v>16867</v>
      </c>
    </row>
    <row r="3897">
      <c r="A3897" s="130" t="s">
        <v>21825</v>
      </c>
      <c r="B3897" s="71" t="s">
        <v>175</v>
      </c>
      <c r="C3897" s="71" t="s">
        <v>17480</v>
      </c>
    </row>
    <row r="3898">
      <c r="A3898" s="130" t="s">
        <v>21827</v>
      </c>
      <c r="B3898" s="71" t="s">
        <v>16582</v>
      </c>
      <c r="C3898" s="71" t="s">
        <v>16817</v>
      </c>
    </row>
    <row r="3899">
      <c r="A3899" s="234" t="s">
        <v>21829</v>
      </c>
      <c r="B3899" s="71" t="s">
        <v>17111</v>
      </c>
      <c r="C3899" s="71" t="s">
        <v>17112</v>
      </c>
    </row>
    <row r="3900">
      <c r="A3900" s="234" t="s">
        <v>21829</v>
      </c>
      <c r="B3900" s="71" t="s">
        <v>17112</v>
      </c>
      <c r="C3900" s="71" t="s">
        <v>17111</v>
      </c>
    </row>
    <row r="3901">
      <c r="A3901" s="234" t="s">
        <v>21831</v>
      </c>
      <c r="B3901" s="71" t="s">
        <v>175</v>
      </c>
      <c r="C3901" s="71" t="s">
        <v>17480</v>
      </c>
    </row>
    <row r="3902">
      <c r="A3902" s="234" t="s">
        <v>21831</v>
      </c>
      <c r="B3902" s="71" t="s">
        <v>17480</v>
      </c>
      <c r="C3902" s="71" t="s">
        <v>175</v>
      </c>
    </row>
    <row r="3903">
      <c r="A3903" s="234" t="s">
        <v>21833</v>
      </c>
      <c r="B3903" s="71" t="s">
        <v>175</v>
      </c>
      <c r="C3903" s="71" t="s">
        <v>17233</v>
      </c>
    </row>
    <row r="3904">
      <c r="A3904" s="234" t="s">
        <v>21833</v>
      </c>
      <c r="B3904" s="71" t="s">
        <v>17233</v>
      </c>
      <c r="C3904" s="71" t="s">
        <v>175</v>
      </c>
    </row>
    <row r="3905">
      <c r="A3905" s="234" t="s">
        <v>21835</v>
      </c>
      <c r="B3905" s="71" t="s">
        <v>175</v>
      </c>
      <c r="C3905" s="71" t="s">
        <v>17233</v>
      </c>
    </row>
    <row r="3906">
      <c r="A3906" s="234" t="s">
        <v>21835</v>
      </c>
      <c r="B3906" s="71" t="s">
        <v>17233</v>
      </c>
      <c r="C3906" s="71" t="s">
        <v>175</v>
      </c>
    </row>
    <row r="3907">
      <c r="A3907" s="130" t="s">
        <v>21837</v>
      </c>
      <c r="B3907" s="71" t="s">
        <v>175</v>
      </c>
      <c r="C3907" s="71" t="s">
        <v>17031</v>
      </c>
    </row>
    <row r="3908">
      <c r="A3908" s="234" t="s">
        <v>21839</v>
      </c>
      <c r="B3908" s="71" t="s">
        <v>158</v>
      </c>
      <c r="C3908" s="71" t="s">
        <v>16899</v>
      </c>
    </row>
    <row r="3909">
      <c r="A3909" s="234" t="s">
        <v>21839</v>
      </c>
      <c r="B3909" s="71" t="s">
        <v>16899</v>
      </c>
      <c r="C3909" s="71" t="s">
        <v>158</v>
      </c>
    </row>
    <row r="3910">
      <c r="A3910" s="234" t="s">
        <v>21841</v>
      </c>
      <c r="B3910" s="71" t="s">
        <v>16919</v>
      </c>
      <c r="C3910" s="71" t="s">
        <v>17048</v>
      </c>
    </row>
    <row r="3911">
      <c r="A3911" s="234" t="s">
        <v>21841</v>
      </c>
      <c r="B3911" s="71" t="s">
        <v>17048</v>
      </c>
      <c r="C3911" s="71" t="s">
        <v>16919</v>
      </c>
    </row>
    <row r="3912">
      <c r="A3912" s="130" t="s">
        <v>21843</v>
      </c>
      <c r="B3912" s="71" t="s">
        <v>16910</v>
      </c>
      <c r="C3912" s="71" t="s">
        <v>17502</v>
      </c>
    </row>
    <row r="3913">
      <c r="A3913" s="130" t="s">
        <v>21845</v>
      </c>
      <c r="B3913" s="71" t="s">
        <v>187</v>
      </c>
      <c r="C3913" s="71" t="s">
        <v>16846</v>
      </c>
    </row>
    <row r="3914">
      <c r="A3914" s="130" t="s">
        <v>21847</v>
      </c>
      <c r="B3914" s="71" t="s">
        <v>187</v>
      </c>
      <c r="C3914" s="71" t="s">
        <v>16846</v>
      </c>
    </row>
    <row r="3915">
      <c r="A3915" s="130" t="s">
        <v>21849</v>
      </c>
      <c r="B3915" s="71" t="s">
        <v>16838</v>
      </c>
      <c r="C3915" s="71" t="s">
        <v>16867</v>
      </c>
    </row>
    <row r="3916">
      <c r="A3916" s="234" t="s">
        <v>21851</v>
      </c>
      <c r="B3916" s="71" t="s">
        <v>16838</v>
      </c>
      <c r="C3916" s="71" t="s">
        <v>17104</v>
      </c>
    </row>
    <row r="3917">
      <c r="A3917" s="234" t="s">
        <v>21851</v>
      </c>
      <c r="B3917" s="71" t="s">
        <v>17104</v>
      </c>
      <c r="C3917" s="71" t="s">
        <v>16838</v>
      </c>
    </row>
    <row r="3918">
      <c r="A3918" s="234" t="s">
        <v>21853</v>
      </c>
      <c r="B3918" s="71" t="s">
        <v>17111</v>
      </c>
      <c r="C3918" s="71" t="s">
        <v>17112</v>
      </c>
    </row>
    <row r="3919">
      <c r="A3919" s="234" t="s">
        <v>21853</v>
      </c>
      <c r="B3919" s="71" t="s">
        <v>17112</v>
      </c>
      <c r="C3919" s="71" t="s">
        <v>17111</v>
      </c>
    </row>
    <row r="3920">
      <c r="A3920" s="130" t="s">
        <v>21855</v>
      </c>
      <c r="B3920" s="71" t="s">
        <v>175</v>
      </c>
      <c r="C3920" s="71" t="s">
        <v>17031</v>
      </c>
    </row>
    <row r="3921">
      <c r="A3921" s="234" t="s">
        <v>21857</v>
      </c>
      <c r="B3921" s="71" t="s">
        <v>16838</v>
      </c>
      <c r="C3921" s="71" t="s">
        <v>17127</v>
      </c>
    </row>
    <row r="3922">
      <c r="A3922" s="234" t="s">
        <v>21857</v>
      </c>
      <c r="B3922" s="71" t="s">
        <v>17127</v>
      </c>
      <c r="C3922" s="71" t="s">
        <v>16838</v>
      </c>
    </row>
    <row r="3923">
      <c r="A3923" s="234" t="s">
        <v>21859</v>
      </c>
      <c r="B3923" s="71" t="s">
        <v>175</v>
      </c>
      <c r="C3923" s="71" t="s">
        <v>17031</v>
      </c>
    </row>
    <row r="3924">
      <c r="A3924" s="234" t="s">
        <v>21859</v>
      </c>
      <c r="B3924" s="71" t="s">
        <v>17031</v>
      </c>
      <c r="C3924" s="71" t="s">
        <v>175</v>
      </c>
    </row>
    <row r="3925">
      <c r="A3925" s="130" t="s">
        <v>21861</v>
      </c>
      <c r="B3925" s="71" t="s">
        <v>187</v>
      </c>
      <c r="C3925" s="71" t="s">
        <v>16846</v>
      </c>
    </row>
    <row r="3926">
      <c r="A3926" s="234" t="s">
        <v>21863</v>
      </c>
      <c r="B3926" s="71" t="s">
        <v>175</v>
      </c>
      <c r="C3926" s="71" t="s">
        <v>17318</v>
      </c>
    </row>
    <row r="3927">
      <c r="A3927" s="234" t="s">
        <v>21863</v>
      </c>
      <c r="B3927" s="71" t="s">
        <v>17318</v>
      </c>
      <c r="C3927" s="71" t="s">
        <v>175</v>
      </c>
    </row>
    <row r="3928">
      <c r="A3928" s="234" t="s">
        <v>21865</v>
      </c>
      <c r="B3928" s="71" t="s">
        <v>17111</v>
      </c>
      <c r="C3928" s="71" t="s">
        <v>17112</v>
      </c>
    </row>
    <row r="3929">
      <c r="A3929" s="234" t="s">
        <v>21865</v>
      </c>
      <c r="B3929" s="71" t="s">
        <v>17112</v>
      </c>
      <c r="C3929" s="71" t="s">
        <v>17111</v>
      </c>
    </row>
    <row r="3930">
      <c r="A3930" s="130" t="s">
        <v>21867</v>
      </c>
      <c r="B3930" s="71" t="s">
        <v>16838</v>
      </c>
      <c r="C3930" s="71" t="s">
        <v>17347</v>
      </c>
    </row>
    <row r="3931">
      <c r="A3931" s="130" t="s">
        <v>21869</v>
      </c>
      <c r="B3931" s="71" t="s">
        <v>187</v>
      </c>
      <c r="C3931" s="71" t="s">
        <v>16846</v>
      </c>
    </row>
    <row r="3932">
      <c r="A3932" s="234" t="s">
        <v>21871</v>
      </c>
      <c r="B3932" s="71" t="s">
        <v>17111</v>
      </c>
      <c r="C3932" s="71" t="s">
        <v>17112</v>
      </c>
    </row>
    <row r="3933">
      <c r="A3933" s="234" t="s">
        <v>21871</v>
      </c>
      <c r="B3933" s="71" t="s">
        <v>17112</v>
      </c>
      <c r="C3933" s="71" t="s">
        <v>17111</v>
      </c>
    </row>
    <row r="3934">
      <c r="A3934" s="130" t="s">
        <v>21873</v>
      </c>
      <c r="B3934" s="71" t="s">
        <v>16838</v>
      </c>
      <c r="C3934" s="71" t="s">
        <v>16867</v>
      </c>
    </row>
    <row r="3935">
      <c r="A3935" s="130" t="s">
        <v>21875</v>
      </c>
      <c r="B3935" s="71" t="s">
        <v>175</v>
      </c>
      <c r="C3935" s="71" t="s">
        <v>16972</v>
      </c>
    </row>
    <row r="3936">
      <c r="A3936" s="130" t="s">
        <v>21877</v>
      </c>
      <c r="B3936" s="71" t="s">
        <v>16582</v>
      </c>
      <c r="C3936" s="71" t="s">
        <v>16899</v>
      </c>
    </row>
    <row r="3937">
      <c r="A3937" s="234" t="s">
        <v>21879</v>
      </c>
      <c r="B3937" s="71" t="s">
        <v>175</v>
      </c>
      <c r="C3937" s="71" t="s">
        <v>17318</v>
      </c>
    </row>
    <row r="3938">
      <c r="A3938" s="234" t="s">
        <v>21879</v>
      </c>
      <c r="B3938" s="71" t="s">
        <v>17318</v>
      </c>
      <c r="C3938" s="71" t="s">
        <v>175</v>
      </c>
    </row>
    <row r="3939">
      <c r="A3939" s="130" t="s">
        <v>21881</v>
      </c>
      <c r="B3939" s="71" t="s">
        <v>16919</v>
      </c>
      <c r="C3939" s="71" t="s">
        <v>16864</v>
      </c>
    </row>
    <row r="3940">
      <c r="A3940" s="130" t="s">
        <v>21883</v>
      </c>
      <c r="B3940" s="71" t="s">
        <v>16919</v>
      </c>
      <c r="C3940" s="71" t="s">
        <v>17794</v>
      </c>
    </row>
    <row r="3941">
      <c r="A3941" s="234" t="s">
        <v>21885</v>
      </c>
      <c r="B3941" s="71" t="s">
        <v>16885</v>
      </c>
      <c r="C3941" s="71" t="s">
        <v>16886</v>
      </c>
    </row>
    <row r="3942">
      <c r="A3942" s="234" t="s">
        <v>21885</v>
      </c>
      <c r="B3942" s="71" t="s">
        <v>16886</v>
      </c>
      <c r="C3942" s="130" t="s">
        <v>16885</v>
      </c>
    </row>
    <row r="3943">
      <c r="A3943" s="234" t="s">
        <v>21887</v>
      </c>
      <c r="B3943" s="71" t="s">
        <v>19644</v>
      </c>
      <c r="C3943" s="71" t="s">
        <v>16838</v>
      </c>
    </row>
    <row r="3944">
      <c r="A3944" s="234" t="s">
        <v>21887</v>
      </c>
      <c r="B3944" s="71" t="s">
        <v>16838</v>
      </c>
      <c r="C3944" s="71" t="s">
        <v>19644</v>
      </c>
    </row>
    <row r="3945">
      <c r="A3945" s="234" t="s">
        <v>21889</v>
      </c>
      <c r="B3945" s="71" t="s">
        <v>16926</v>
      </c>
      <c r="C3945" s="71" t="s">
        <v>16960</v>
      </c>
    </row>
    <row r="3946">
      <c r="A3946" s="234" t="s">
        <v>21889</v>
      </c>
      <c r="B3946" s="71" t="s">
        <v>16960</v>
      </c>
      <c r="C3946" s="71" t="s">
        <v>16926</v>
      </c>
    </row>
    <row r="3947">
      <c r="A3947" s="130" t="s">
        <v>21891</v>
      </c>
      <c r="B3947" s="71" t="s">
        <v>16582</v>
      </c>
      <c r="C3947" s="71" t="s">
        <v>16817</v>
      </c>
    </row>
    <row r="3948">
      <c r="A3948" s="130" t="s">
        <v>21893</v>
      </c>
      <c r="B3948" s="71" t="s">
        <v>187</v>
      </c>
      <c r="C3948" s="71" t="s">
        <v>17559</v>
      </c>
    </row>
    <row r="3949">
      <c r="A3949" s="234" t="s">
        <v>21895</v>
      </c>
      <c r="B3949" s="71" t="s">
        <v>17112</v>
      </c>
      <c r="C3949" s="71" t="s">
        <v>17111</v>
      </c>
    </row>
    <row r="3950">
      <c r="A3950" s="234" t="s">
        <v>21895</v>
      </c>
      <c r="B3950" s="71" t="s">
        <v>17111</v>
      </c>
      <c r="C3950" s="130" t="s">
        <v>17112</v>
      </c>
    </row>
    <row r="3951">
      <c r="A3951" s="130" t="s">
        <v>21897</v>
      </c>
      <c r="B3951" s="71" t="s">
        <v>187</v>
      </c>
      <c r="C3951" s="71" t="s">
        <v>16846</v>
      </c>
    </row>
    <row r="3952">
      <c r="A3952" s="234" t="s">
        <v>21899</v>
      </c>
      <c r="B3952" s="71" t="s">
        <v>16945</v>
      </c>
      <c r="C3952" s="71" t="s">
        <v>169</v>
      </c>
    </row>
    <row r="3953">
      <c r="A3953" s="234" t="s">
        <v>21899</v>
      </c>
      <c r="B3953" s="71" t="s">
        <v>169</v>
      </c>
      <c r="C3953" s="71" t="s">
        <v>16945</v>
      </c>
    </row>
    <row r="3954">
      <c r="A3954" s="130" t="s">
        <v>21901</v>
      </c>
      <c r="B3954" s="71" t="s">
        <v>16838</v>
      </c>
      <c r="C3954" s="71" t="s">
        <v>16867</v>
      </c>
    </row>
    <row r="3955">
      <c r="A3955" s="234" t="s">
        <v>21903</v>
      </c>
      <c r="B3955" s="71" t="s">
        <v>175</v>
      </c>
      <c r="C3955" s="71" t="s">
        <v>16972</v>
      </c>
    </row>
    <row r="3956">
      <c r="A3956" s="234" t="s">
        <v>21903</v>
      </c>
      <c r="B3956" s="71" t="s">
        <v>16972</v>
      </c>
      <c r="C3956" s="71" t="s">
        <v>175</v>
      </c>
    </row>
    <row r="3957">
      <c r="A3957" s="130" t="s">
        <v>21905</v>
      </c>
      <c r="B3957" s="71" t="s">
        <v>187</v>
      </c>
      <c r="C3957" s="71" t="s">
        <v>16858</v>
      </c>
    </row>
    <row r="3958">
      <c r="A3958" s="130" t="s">
        <v>21907</v>
      </c>
      <c r="B3958" s="71" t="s">
        <v>187</v>
      </c>
      <c r="C3958" s="71" t="s">
        <v>16846</v>
      </c>
    </row>
    <row r="3959">
      <c r="A3959" s="234" t="s">
        <v>21909</v>
      </c>
      <c r="B3959" s="71" t="s">
        <v>16885</v>
      </c>
      <c r="C3959" s="71" t="s">
        <v>17726</v>
      </c>
    </row>
    <row r="3960">
      <c r="A3960" s="234" t="s">
        <v>21909</v>
      </c>
      <c r="B3960" s="71" t="s">
        <v>17726</v>
      </c>
      <c r="C3960" s="130" t="s">
        <v>16885</v>
      </c>
    </row>
    <row r="3961">
      <c r="A3961" s="130" t="s">
        <v>21911</v>
      </c>
      <c r="B3961" s="71" t="s">
        <v>187</v>
      </c>
      <c r="C3961" s="71" t="s">
        <v>16858</v>
      </c>
    </row>
    <row r="3962">
      <c r="A3962" s="130" t="s">
        <v>21913</v>
      </c>
      <c r="B3962" s="71" t="s">
        <v>187</v>
      </c>
      <c r="C3962" s="71" t="s">
        <v>16846</v>
      </c>
    </row>
    <row r="3963">
      <c r="A3963" s="130" t="s">
        <v>21915</v>
      </c>
      <c r="B3963" s="71" t="s">
        <v>16582</v>
      </c>
      <c r="C3963" s="71" t="s">
        <v>16899</v>
      </c>
    </row>
    <row r="3964">
      <c r="A3964" s="234" t="s">
        <v>21917</v>
      </c>
      <c r="B3964" s="71" t="s">
        <v>187</v>
      </c>
      <c r="C3964" s="71" t="s">
        <v>16846</v>
      </c>
    </row>
    <row r="3965">
      <c r="A3965" s="234" t="s">
        <v>21917</v>
      </c>
      <c r="B3965" s="71" t="s">
        <v>16846</v>
      </c>
      <c r="C3965" s="71" t="s">
        <v>187</v>
      </c>
    </row>
    <row r="3966">
      <c r="A3966" s="130" t="s">
        <v>21919</v>
      </c>
      <c r="B3966" s="71" t="s">
        <v>175</v>
      </c>
      <c r="C3966" s="71" t="s">
        <v>16942</v>
      </c>
    </row>
    <row r="3967">
      <c r="A3967" s="234" t="s">
        <v>21921</v>
      </c>
      <c r="B3967" s="71" t="s">
        <v>16582</v>
      </c>
      <c r="C3967" s="71" t="s">
        <v>16817</v>
      </c>
    </row>
    <row r="3968">
      <c r="A3968" s="234" t="s">
        <v>21921</v>
      </c>
      <c r="B3968" s="71" t="s">
        <v>16817</v>
      </c>
      <c r="C3968" s="71" t="s">
        <v>16582</v>
      </c>
    </row>
    <row r="3969">
      <c r="A3969" s="130" t="s">
        <v>21923</v>
      </c>
      <c r="B3969" s="71" t="s">
        <v>16582</v>
      </c>
      <c r="C3969" s="71" t="s">
        <v>16583</v>
      </c>
    </row>
    <row r="3970">
      <c r="A3970" s="130" t="s">
        <v>21925</v>
      </c>
      <c r="B3970" s="71" t="s">
        <v>16919</v>
      </c>
      <c r="C3970" s="71" t="s">
        <v>16920</v>
      </c>
    </row>
    <row r="3971">
      <c r="A3971" s="234" t="s">
        <v>21927</v>
      </c>
      <c r="B3971" s="71" t="s">
        <v>158</v>
      </c>
      <c r="C3971" s="71" t="s">
        <v>17171</v>
      </c>
    </row>
    <row r="3972">
      <c r="A3972" s="234" t="s">
        <v>21927</v>
      </c>
      <c r="B3972" s="71" t="s">
        <v>17171</v>
      </c>
      <c r="C3972" s="71" t="s">
        <v>158</v>
      </c>
    </row>
    <row r="3973">
      <c r="A3973" s="130" t="s">
        <v>21929</v>
      </c>
      <c r="B3973" s="71"/>
      <c r="C3973" s="71"/>
    </row>
    <row r="3974">
      <c r="A3974" s="234" t="s">
        <v>21931</v>
      </c>
      <c r="B3974" s="71" t="s">
        <v>16582</v>
      </c>
      <c r="C3974" s="71" t="s">
        <v>16817</v>
      </c>
    </row>
    <row r="3975">
      <c r="A3975" s="234" t="s">
        <v>21931</v>
      </c>
      <c r="B3975" s="71" t="s">
        <v>16817</v>
      </c>
      <c r="C3975" s="71" t="s">
        <v>16582</v>
      </c>
    </row>
    <row r="3976">
      <c r="A3976" s="130" t="s">
        <v>21933</v>
      </c>
      <c r="B3976" s="71" t="s">
        <v>175</v>
      </c>
      <c r="C3976" s="71" t="s">
        <v>17168</v>
      </c>
    </row>
    <row r="3977">
      <c r="A3977" s="234" t="s">
        <v>21935</v>
      </c>
      <c r="B3977" s="71" t="s">
        <v>16582</v>
      </c>
      <c r="C3977" s="71" t="s">
        <v>16930</v>
      </c>
    </row>
    <row r="3978">
      <c r="A3978" s="234" t="s">
        <v>21935</v>
      </c>
      <c r="B3978" s="71" t="s">
        <v>16930</v>
      </c>
      <c r="C3978" s="71" t="s">
        <v>16582</v>
      </c>
    </row>
    <row r="3979">
      <c r="A3979" s="234" t="s">
        <v>21937</v>
      </c>
      <c r="B3979" s="71" t="s">
        <v>175</v>
      </c>
      <c r="C3979" s="71" t="s">
        <v>16942</v>
      </c>
    </row>
    <row r="3980">
      <c r="A3980" s="234" t="s">
        <v>21937</v>
      </c>
      <c r="B3980" s="71" t="s">
        <v>16942</v>
      </c>
      <c r="C3980" s="71" t="s">
        <v>175</v>
      </c>
    </row>
    <row r="3981">
      <c r="A3981" s="130" t="s">
        <v>21939</v>
      </c>
      <c r="B3981" s="71" t="s">
        <v>169</v>
      </c>
      <c r="C3981" s="71" t="s">
        <v>17495</v>
      </c>
    </row>
    <row r="3982">
      <c r="A3982" s="130" t="s">
        <v>21941</v>
      </c>
      <c r="B3982" s="71" t="s">
        <v>16582</v>
      </c>
      <c r="C3982" s="71" t="s">
        <v>16828</v>
      </c>
    </row>
    <row r="3983">
      <c r="A3983" s="130" t="s">
        <v>21943</v>
      </c>
      <c r="B3983" s="71" t="s">
        <v>187</v>
      </c>
      <c r="C3983" s="71" t="s">
        <v>16992</v>
      </c>
    </row>
    <row r="3984">
      <c r="A3984" s="130" t="s">
        <v>21945</v>
      </c>
      <c r="B3984" s="71" t="s">
        <v>16838</v>
      </c>
      <c r="C3984" s="71" t="s">
        <v>16867</v>
      </c>
    </row>
    <row r="3985">
      <c r="A3985" s="130" t="s">
        <v>21947</v>
      </c>
      <c r="B3985" s="71" t="s">
        <v>175</v>
      </c>
      <c r="C3985" s="71" t="s">
        <v>18500</v>
      </c>
    </row>
    <row r="3986">
      <c r="A3986" s="130" t="s">
        <v>21949</v>
      </c>
      <c r="B3986" s="71" t="s">
        <v>16838</v>
      </c>
      <c r="C3986" s="71" t="s">
        <v>16867</v>
      </c>
    </row>
    <row r="3987">
      <c r="A3987" s="130" t="s">
        <v>21951</v>
      </c>
      <c r="B3987" s="71" t="s">
        <v>158</v>
      </c>
      <c r="C3987" s="71" t="s">
        <v>17339</v>
      </c>
    </row>
    <row r="3988">
      <c r="A3988" s="234" t="s">
        <v>21953</v>
      </c>
      <c r="B3988" s="71" t="s">
        <v>17127</v>
      </c>
      <c r="C3988" s="71" t="s">
        <v>16838</v>
      </c>
    </row>
    <row r="3989">
      <c r="A3989" s="234" t="s">
        <v>21953</v>
      </c>
      <c r="B3989" s="71" t="s">
        <v>16838</v>
      </c>
      <c r="C3989" s="71" t="s">
        <v>17127</v>
      </c>
    </row>
    <row r="3990">
      <c r="A3990" s="130" t="s">
        <v>21955</v>
      </c>
      <c r="B3990" s="71"/>
      <c r="C3990" s="71"/>
    </row>
    <row r="3991">
      <c r="A3991" s="234" t="s">
        <v>21957</v>
      </c>
      <c r="B3991" s="71" t="s">
        <v>17111</v>
      </c>
      <c r="C3991" s="71" t="s">
        <v>17112</v>
      </c>
    </row>
    <row r="3992">
      <c r="A3992" s="234" t="s">
        <v>21957</v>
      </c>
      <c r="B3992" s="71" t="s">
        <v>17112</v>
      </c>
      <c r="C3992" s="71" t="s">
        <v>17111</v>
      </c>
    </row>
    <row r="3993">
      <c r="A3993" s="130" t="s">
        <v>21959</v>
      </c>
      <c r="B3993" s="71" t="s">
        <v>16582</v>
      </c>
      <c r="C3993" s="71" t="s">
        <v>16817</v>
      </c>
    </row>
    <row r="3994">
      <c r="A3994" s="234" t="s">
        <v>21961</v>
      </c>
      <c r="B3994" s="71" t="s">
        <v>17019</v>
      </c>
      <c r="C3994" s="71" t="s">
        <v>16838</v>
      </c>
    </row>
    <row r="3995">
      <c r="A3995" s="234" t="s">
        <v>21961</v>
      </c>
      <c r="B3995" s="71" t="s">
        <v>16838</v>
      </c>
      <c r="C3995" s="71" t="s">
        <v>17019</v>
      </c>
    </row>
    <row r="3996">
      <c r="A3996" s="130" t="s">
        <v>21963</v>
      </c>
      <c r="B3996" s="71" t="s">
        <v>158</v>
      </c>
      <c r="C3996" s="71" t="s">
        <v>16899</v>
      </c>
    </row>
    <row r="3997">
      <c r="A3997" s="234" t="s">
        <v>21965</v>
      </c>
      <c r="B3997" s="71" t="s">
        <v>16838</v>
      </c>
      <c r="C3997" s="71" t="s">
        <v>18679</v>
      </c>
    </row>
    <row r="3998">
      <c r="A3998" s="234" t="s">
        <v>21965</v>
      </c>
      <c r="B3998" s="71" t="s">
        <v>18679</v>
      </c>
      <c r="C3998" s="71" t="s">
        <v>16838</v>
      </c>
    </row>
    <row r="3999">
      <c r="A3999" s="130" t="s">
        <v>21967</v>
      </c>
      <c r="B3999" s="71" t="s">
        <v>187</v>
      </c>
      <c r="C3999" s="71" t="s">
        <v>16846</v>
      </c>
    </row>
    <row r="4000">
      <c r="A4000" s="130" t="s">
        <v>21969</v>
      </c>
      <c r="B4000" s="71" t="s">
        <v>16838</v>
      </c>
      <c r="C4000" s="71" t="s">
        <v>17127</v>
      </c>
    </row>
    <row r="4001">
      <c r="A4001" s="130" t="s">
        <v>21971</v>
      </c>
      <c r="B4001" s="71" t="s">
        <v>169</v>
      </c>
      <c r="C4001" s="71" t="s">
        <v>17025</v>
      </c>
    </row>
    <row r="4002">
      <c r="A4002" s="130" t="s">
        <v>21973</v>
      </c>
      <c r="B4002" s="71" t="s">
        <v>175</v>
      </c>
      <c r="C4002" s="71" t="s">
        <v>17350</v>
      </c>
    </row>
    <row r="4003">
      <c r="A4003" s="234" t="s">
        <v>21975</v>
      </c>
      <c r="B4003" s="71" t="s">
        <v>16885</v>
      </c>
      <c r="C4003" s="71" t="s">
        <v>20119</v>
      </c>
    </row>
    <row r="4004">
      <c r="A4004" s="234" t="s">
        <v>21975</v>
      </c>
      <c r="B4004" s="71" t="s">
        <v>20119</v>
      </c>
      <c r="C4004" s="71" t="s">
        <v>16885</v>
      </c>
    </row>
    <row r="4005">
      <c r="A4005" s="130" t="s">
        <v>21977</v>
      </c>
      <c r="B4005" s="71" t="s">
        <v>169</v>
      </c>
      <c r="C4005" s="71" t="s">
        <v>17043</v>
      </c>
    </row>
    <row r="4006">
      <c r="A4006" s="130" t="s">
        <v>21979</v>
      </c>
      <c r="B4006" s="71" t="s">
        <v>175</v>
      </c>
      <c r="C4006" s="71" t="s">
        <v>16842</v>
      </c>
    </row>
    <row r="4007">
      <c r="A4007" s="130" t="s">
        <v>21981</v>
      </c>
      <c r="B4007" s="71" t="s">
        <v>169</v>
      </c>
      <c r="C4007" s="71" t="s">
        <v>17509</v>
      </c>
    </row>
    <row r="4008">
      <c r="A4008" s="234" t="s">
        <v>21983</v>
      </c>
      <c r="B4008" s="71" t="s">
        <v>16582</v>
      </c>
      <c r="C4008" s="71" t="s">
        <v>16930</v>
      </c>
    </row>
    <row r="4009">
      <c r="A4009" s="234" t="s">
        <v>21983</v>
      </c>
      <c r="B4009" s="71" t="s">
        <v>16930</v>
      </c>
      <c r="C4009" s="71" t="s">
        <v>16582</v>
      </c>
    </row>
    <row r="4010">
      <c r="A4010" s="234" t="s">
        <v>21985</v>
      </c>
      <c r="B4010" s="71" t="s">
        <v>175</v>
      </c>
      <c r="C4010" s="71" t="s">
        <v>16972</v>
      </c>
    </row>
    <row r="4011">
      <c r="A4011" s="234" t="s">
        <v>21985</v>
      </c>
      <c r="B4011" s="71" t="s">
        <v>16972</v>
      </c>
      <c r="C4011" s="71" t="s">
        <v>175</v>
      </c>
    </row>
    <row r="4012">
      <c r="A4012" s="234" t="s">
        <v>21987</v>
      </c>
      <c r="B4012" s="71" t="s">
        <v>17112</v>
      </c>
      <c r="C4012" s="71" t="s">
        <v>17111</v>
      </c>
    </row>
    <row r="4013">
      <c r="A4013" s="234" t="s">
        <v>21987</v>
      </c>
      <c r="B4013" s="71" t="s">
        <v>17111</v>
      </c>
      <c r="C4013" s="130" t="s">
        <v>17112</v>
      </c>
    </row>
    <row r="4014">
      <c r="A4014" s="234" t="s">
        <v>21989</v>
      </c>
      <c r="B4014" s="71" t="s">
        <v>17111</v>
      </c>
      <c r="C4014" s="71" t="s">
        <v>17112</v>
      </c>
    </row>
    <row r="4015">
      <c r="A4015" s="234" t="s">
        <v>21989</v>
      </c>
      <c r="B4015" s="71" t="s">
        <v>17112</v>
      </c>
      <c r="C4015" s="71" t="s">
        <v>17111</v>
      </c>
    </row>
    <row r="4016">
      <c r="A4016" s="130" t="s">
        <v>21991</v>
      </c>
      <c r="B4016" s="71" t="s">
        <v>187</v>
      </c>
      <c r="C4016" s="71" t="s">
        <v>16846</v>
      </c>
    </row>
    <row r="4017">
      <c r="A4017" s="234" t="s">
        <v>21993</v>
      </c>
      <c r="B4017" s="71" t="s">
        <v>17127</v>
      </c>
      <c r="C4017" s="71" t="s">
        <v>16838</v>
      </c>
    </row>
    <row r="4018">
      <c r="A4018" s="234" t="s">
        <v>21993</v>
      </c>
      <c r="B4018" s="71" t="s">
        <v>16838</v>
      </c>
      <c r="C4018" s="71" t="s">
        <v>17127</v>
      </c>
    </row>
    <row r="4019">
      <c r="A4019" s="234" t="s">
        <v>21995</v>
      </c>
      <c r="B4019" s="71" t="s">
        <v>17112</v>
      </c>
      <c r="C4019" s="71" t="s">
        <v>17218</v>
      </c>
    </row>
    <row r="4020">
      <c r="A4020" s="234" t="s">
        <v>21995</v>
      </c>
      <c r="B4020" s="71" t="s">
        <v>17218</v>
      </c>
      <c r="C4020" s="71" t="s">
        <v>17112</v>
      </c>
    </row>
    <row r="4021">
      <c r="A4021" s="234" t="s">
        <v>21997</v>
      </c>
      <c r="B4021" s="71" t="s">
        <v>175</v>
      </c>
      <c r="C4021" s="71" t="s">
        <v>17509</v>
      </c>
    </row>
    <row r="4022">
      <c r="A4022" s="234" t="s">
        <v>21997</v>
      </c>
      <c r="B4022" s="71" t="s">
        <v>17509</v>
      </c>
      <c r="C4022" s="71" t="s">
        <v>175</v>
      </c>
    </row>
    <row r="4023">
      <c r="A4023" s="234" t="s">
        <v>21999</v>
      </c>
      <c r="B4023" s="71" t="s">
        <v>175</v>
      </c>
      <c r="C4023" s="71" t="s">
        <v>17475</v>
      </c>
    </row>
    <row r="4024">
      <c r="A4024" s="234" t="s">
        <v>21999</v>
      </c>
      <c r="B4024" s="71" t="s">
        <v>17475</v>
      </c>
      <c r="C4024" s="71" t="s">
        <v>175</v>
      </c>
    </row>
    <row r="4025">
      <c r="A4025" s="130" t="s">
        <v>22001</v>
      </c>
      <c r="B4025" s="71" t="s">
        <v>187</v>
      </c>
      <c r="C4025" s="71" t="s">
        <v>16846</v>
      </c>
    </row>
    <row r="4026">
      <c r="A4026" s="234" t="s">
        <v>22003</v>
      </c>
      <c r="B4026" s="71" t="s">
        <v>169</v>
      </c>
      <c r="C4026" s="71" t="s">
        <v>17025</v>
      </c>
    </row>
    <row r="4027">
      <c r="A4027" s="234" t="s">
        <v>22003</v>
      </c>
      <c r="B4027" s="71" t="s">
        <v>17025</v>
      </c>
      <c r="C4027" s="71" t="s">
        <v>169</v>
      </c>
    </row>
    <row r="4028">
      <c r="A4028" s="130" t="s">
        <v>22005</v>
      </c>
      <c r="B4028" s="71" t="s">
        <v>16838</v>
      </c>
      <c r="C4028" s="71" t="s">
        <v>16867</v>
      </c>
    </row>
    <row r="4029">
      <c r="A4029" s="130" t="s">
        <v>22007</v>
      </c>
      <c r="B4029" s="71" t="s">
        <v>187</v>
      </c>
      <c r="C4029" s="71" t="s">
        <v>16858</v>
      </c>
    </row>
    <row r="4030">
      <c r="A4030" s="130" t="s">
        <v>22009</v>
      </c>
      <c r="B4030" s="71" t="s">
        <v>16838</v>
      </c>
      <c r="C4030" s="71" t="s">
        <v>17127</v>
      </c>
    </row>
    <row r="4031">
      <c r="A4031" s="234" t="s">
        <v>22011</v>
      </c>
      <c r="B4031" s="71" t="s">
        <v>175</v>
      </c>
      <c r="C4031" s="71" t="s">
        <v>16972</v>
      </c>
    </row>
    <row r="4032">
      <c r="A4032" s="234" t="s">
        <v>22011</v>
      </c>
      <c r="B4032" s="71" t="s">
        <v>16972</v>
      </c>
      <c r="C4032" s="71" t="s">
        <v>175</v>
      </c>
    </row>
    <row r="4033">
      <c r="A4033" s="234" t="s">
        <v>22013</v>
      </c>
      <c r="B4033" s="71" t="s">
        <v>17321</v>
      </c>
      <c r="C4033" s="71" t="s">
        <v>169</v>
      </c>
    </row>
    <row r="4034">
      <c r="A4034" s="234" t="s">
        <v>22013</v>
      </c>
      <c r="B4034" s="71" t="s">
        <v>169</v>
      </c>
      <c r="C4034" s="71" t="s">
        <v>17321</v>
      </c>
    </row>
    <row r="4035">
      <c r="A4035" s="234" t="s">
        <v>22015</v>
      </c>
      <c r="B4035" s="71" t="s">
        <v>16867</v>
      </c>
      <c r="C4035" s="71" t="s">
        <v>16838</v>
      </c>
    </row>
    <row r="4036">
      <c r="A4036" s="234" t="s">
        <v>22015</v>
      </c>
      <c r="B4036" s="71" t="s">
        <v>16838</v>
      </c>
      <c r="C4036" s="71" t="s">
        <v>16867</v>
      </c>
    </row>
    <row r="4037">
      <c r="A4037" s="130" t="s">
        <v>22017</v>
      </c>
      <c r="B4037" s="71" t="s">
        <v>16838</v>
      </c>
      <c r="C4037" s="71" t="s">
        <v>19644</v>
      </c>
    </row>
    <row r="4038">
      <c r="A4038" s="234" t="s">
        <v>22019</v>
      </c>
      <c r="B4038" s="71" t="s">
        <v>17111</v>
      </c>
      <c r="C4038" s="71" t="s">
        <v>17112</v>
      </c>
    </row>
    <row r="4039">
      <c r="A4039" s="234" t="s">
        <v>22019</v>
      </c>
      <c r="B4039" s="71" t="s">
        <v>17112</v>
      </c>
      <c r="C4039" s="71" t="s">
        <v>17111</v>
      </c>
    </row>
    <row r="4040">
      <c r="A4040" s="130" t="s">
        <v>22021</v>
      </c>
      <c r="B4040" s="71" t="s">
        <v>187</v>
      </c>
      <c r="C4040" s="71" t="s">
        <v>16846</v>
      </c>
    </row>
    <row r="4041">
      <c r="A4041" s="234" t="s">
        <v>22023</v>
      </c>
      <c r="B4041" s="71" t="s">
        <v>175</v>
      </c>
      <c r="C4041" s="71" t="s">
        <v>17031</v>
      </c>
    </row>
    <row r="4042">
      <c r="A4042" s="234" t="s">
        <v>22023</v>
      </c>
      <c r="B4042" s="71" t="s">
        <v>17031</v>
      </c>
      <c r="C4042" s="71" t="s">
        <v>175</v>
      </c>
    </row>
    <row r="4043">
      <c r="A4043" s="234" t="s">
        <v>22025</v>
      </c>
      <c r="B4043" s="71" t="s">
        <v>175</v>
      </c>
      <c r="C4043" s="71" t="s">
        <v>16899</v>
      </c>
    </row>
    <row r="4044">
      <c r="A4044" s="234" t="s">
        <v>22025</v>
      </c>
      <c r="B4044" s="71" t="s">
        <v>16899</v>
      </c>
      <c r="C4044" s="71" t="s">
        <v>175</v>
      </c>
    </row>
    <row r="4045">
      <c r="A4045" s="234" t="s">
        <v>22027</v>
      </c>
      <c r="B4045" s="71" t="s">
        <v>17112</v>
      </c>
      <c r="C4045" s="71" t="s">
        <v>17111</v>
      </c>
    </row>
    <row r="4046">
      <c r="A4046" s="234" t="s">
        <v>22027</v>
      </c>
      <c r="B4046" s="71" t="s">
        <v>17111</v>
      </c>
      <c r="C4046" s="130" t="s">
        <v>17112</v>
      </c>
    </row>
    <row r="4047">
      <c r="A4047" s="130" t="s">
        <v>22029</v>
      </c>
      <c r="B4047" s="71" t="s">
        <v>187</v>
      </c>
      <c r="C4047" s="71" t="s">
        <v>16846</v>
      </c>
    </row>
    <row r="4048">
      <c r="A4048" s="234" t="s">
        <v>22031</v>
      </c>
      <c r="B4048" s="71" t="s">
        <v>17111</v>
      </c>
      <c r="C4048" s="71" t="s">
        <v>17112</v>
      </c>
    </row>
    <row r="4049">
      <c r="A4049" s="234" t="s">
        <v>22031</v>
      </c>
      <c r="B4049" s="71" t="s">
        <v>17112</v>
      </c>
      <c r="C4049" s="71" t="s">
        <v>17111</v>
      </c>
    </row>
    <row r="4050">
      <c r="A4050" s="234" t="s">
        <v>22033</v>
      </c>
      <c r="B4050" s="71" t="s">
        <v>175</v>
      </c>
      <c r="C4050" s="71" t="s">
        <v>17233</v>
      </c>
    </row>
    <row r="4051">
      <c r="A4051" s="234" t="s">
        <v>22033</v>
      </c>
      <c r="B4051" s="71" t="s">
        <v>17233</v>
      </c>
      <c r="C4051" s="71" t="s">
        <v>175</v>
      </c>
    </row>
    <row r="4052">
      <c r="A4052" s="130" t="s">
        <v>22035</v>
      </c>
      <c r="B4052" s="71" t="s">
        <v>187</v>
      </c>
      <c r="C4052" s="71" t="s">
        <v>16858</v>
      </c>
    </row>
    <row r="4053">
      <c r="A4053" s="234" t="s">
        <v>22037</v>
      </c>
      <c r="B4053" s="71" t="s">
        <v>19579</v>
      </c>
      <c r="C4053" s="71" t="s">
        <v>16838</v>
      </c>
    </row>
    <row r="4054">
      <c r="A4054" s="234" t="s">
        <v>22037</v>
      </c>
      <c r="B4054" s="71" t="s">
        <v>16838</v>
      </c>
      <c r="C4054" s="71" t="s">
        <v>19579</v>
      </c>
    </row>
    <row r="4055">
      <c r="A4055" s="130" t="s">
        <v>22039</v>
      </c>
      <c r="B4055" s="71" t="s">
        <v>16838</v>
      </c>
      <c r="C4055" s="71" t="s">
        <v>17016</v>
      </c>
    </row>
    <row r="4056">
      <c r="A4056" s="234" t="s">
        <v>22041</v>
      </c>
      <c r="B4056" s="71" t="s">
        <v>17509</v>
      </c>
      <c r="C4056" s="71" t="s">
        <v>187</v>
      </c>
    </row>
    <row r="4057">
      <c r="A4057" s="234" t="s">
        <v>22041</v>
      </c>
      <c r="B4057" s="71" t="s">
        <v>187</v>
      </c>
      <c r="C4057" s="71" t="s">
        <v>17509</v>
      </c>
    </row>
    <row r="4058">
      <c r="A4058" s="234" t="s">
        <v>22043</v>
      </c>
      <c r="B4058" s="71" t="s">
        <v>17019</v>
      </c>
      <c r="C4058" s="71" t="s">
        <v>16838</v>
      </c>
    </row>
    <row r="4059">
      <c r="A4059" s="234" t="s">
        <v>22043</v>
      </c>
      <c r="B4059" s="71" t="s">
        <v>16838</v>
      </c>
      <c r="C4059" s="71" t="s">
        <v>17019</v>
      </c>
    </row>
    <row r="4060">
      <c r="A4060" s="234" t="s">
        <v>22045</v>
      </c>
      <c r="B4060" s="71" t="s">
        <v>16838</v>
      </c>
      <c r="C4060" s="71" t="s">
        <v>17838</v>
      </c>
    </row>
    <row r="4061">
      <c r="A4061" s="234" t="s">
        <v>22045</v>
      </c>
      <c r="B4061" s="71" t="s">
        <v>17838</v>
      </c>
      <c r="C4061" s="71" t="s">
        <v>16838</v>
      </c>
    </row>
    <row r="4062">
      <c r="A4062" s="234" t="s">
        <v>22047</v>
      </c>
      <c r="B4062" s="71" t="s">
        <v>17321</v>
      </c>
      <c r="C4062" s="71" t="s">
        <v>169</v>
      </c>
    </row>
    <row r="4063">
      <c r="A4063" s="234" t="s">
        <v>22047</v>
      </c>
      <c r="B4063" s="71" t="s">
        <v>169</v>
      </c>
      <c r="C4063" s="71" t="s">
        <v>17321</v>
      </c>
    </row>
    <row r="4064">
      <c r="A4064" s="234" t="s">
        <v>22049</v>
      </c>
      <c r="B4064" s="71" t="s">
        <v>17111</v>
      </c>
      <c r="C4064" s="71" t="s">
        <v>17112</v>
      </c>
    </row>
    <row r="4065">
      <c r="A4065" s="234" t="s">
        <v>22049</v>
      </c>
      <c r="B4065" s="71" t="s">
        <v>17112</v>
      </c>
      <c r="C4065" s="71" t="s">
        <v>17111</v>
      </c>
    </row>
    <row r="4066">
      <c r="A4066" s="130" t="s">
        <v>22051</v>
      </c>
      <c r="B4066" s="71" t="s">
        <v>175</v>
      </c>
      <c r="C4066" s="71" t="s">
        <v>17606</v>
      </c>
    </row>
    <row r="4067">
      <c r="A4067" s="234" t="s">
        <v>22053</v>
      </c>
      <c r="B4067" s="71" t="s">
        <v>175</v>
      </c>
      <c r="C4067" s="71" t="s">
        <v>16824</v>
      </c>
    </row>
    <row r="4068">
      <c r="A4068" s="234" t="s">
        <v>22053</v>
      </c>
      <c r="B4068" s="71" t="s">
        <v>16824</v>
      </c>
      <c r="C4068" s="71" t="s">
        <v>175</v>
      </c>
    </row>
    <row r="4069">
      <c r="A4069" s="130" t="s">
        <v>22055</v>
      </c>
      <c r="B4069" s="71" t="s">
        <v>16838</v>
      </c>
      <c r="C4069" s="71" t="s">
        <v>17202</v>
      </c>
    </row>
    <row r="4070">
      <c r="A4070" s="234" t="s">
        <v>22057</v>
      </c>
      <c r="B4070" s="71" t="s">
        <v>17495</v>
      </c>
      <c r="C4070" s="71" t="s">
        <v>17629</v>
      </c>
    </row>
    <row r="4071">
      <c r="A4071" s="234" t="s">
        <v>22057</v>
      </c>
      <c r="B4071" s="71" t="s">
        <v>17629</v>
      </c>
      <c r="C4071" s="71" t="s">
        <v>17495</v>
      </c>
    </row>
    <row r="4072">
      <c r="A4072" s="234" t="s">
        <v>22059</v>
      </c>
      <c r="B4072" s="71" t="s">
        <v>17202</v>
      </c>
      <c r="C4072" s="71" t="s">
        <v>16838</v>
      </c>
    </row>
    <row r="4073">
      <c r="A4073" s="234" t="s">
        <v>22059</v>
      </c>
      <c r="B4073" s="71" t="s">
        <v>16838</v>
      </c>
      <c r="C4073" s="71" t="s">
        <v>17202</v>
      </c>
    </row>
    <row r="4074">
      <c r="A4074" s="234" t="s">
        <v>22061</v>
      </c>
      <c r="B4074" s="71" t="s">
        <v>16582</v>
      </c>
      <c r="C4074" s="71" t="s">
        <v>16930</v>
      </c>
    </row>
    <row r="4075">
      <c r="A4075" s="234" t="s">
        <v>22061</v>
      </c>
      <c r="B4075" s="71" t="s">
        <v>16930</v>
      </c>
      <c r="C4075" s="71" t="s">
        <v>16582</v>
      </c>
    </row>
    <row r="4076">
      <c r="A4076" s="130" t="s">
        <v>22063</v>
      </c>
      <c r="B4076" s="71" t="s">
        <v>187</v>
      </c>
      <c r="C4076" s="71" t="s">
        <v>16846</v>
      </c>
    </row>
    <row r="4077">
      <c r="A4077" s="234" t="s">
        <v>22065</v>
      </c>
      <c r="B4077" s="71" t="s">
        <v>17112</v>
      </c>
      <c r="C4077" s="71" t="s">
        <v>17111</v>
      </c>
    </row>
    <row r="4078">
      <c r="A4078" s="234" t="s">
        <v>22065</v>
      </c>
      <c r="B4078" s="71" t="s">
        <v>17111</v>
      </c>
      <c r="C4078" s="130" t="s">
        <v>17112</v>
      </c>
    </row>
    <row r="4079">
      <c r="A4079" s="130" t="s">
        <v>22067</v>
      </c>
      <c r="B4079" s="71" t="s">
        <v>187</v>
      </c>
      <c r="C4079" s="71" t="s">
        <v>16858</v>
      </c>
    </row>
    <row r="4080">
      <c r="A4080" s="130" t="s">
        <v>22069</v>
      </c>
      <c r="B4080" s="71" t="s">
        <v>187</v>
      </c>
      <c r="C4080" s="71" t="s">
        <v>16846</v>
      </c>
    </row>
    <row r="4081">
      <c r="A4081" s="130" t="s">
        <v>22071</v>
      </c>
      <c r="B4081" s="71" t="s">
        <v>16838</v>
      </c>
      <c r="C4081" s="71" t="s">
        <v>16867</v>
      </c>
    </row>
    <row r="4082">
      <c r="A4082" s="130" t="s">
        <v>22073</v>
      </c>
      <c r="B4082" s="71" t="s">
        <v>187</v>
      </c>
      <c r="C4082" s="71" t="s">
        <v>18633</v>
      </c>
    </row>
    <row r="4083">
      <c r="A4083" s="130" t="s">
        <v>22075</v>
      </c>
      <c r="B4083" s="71" t="s">
        <v>175</v>
      </c>
      <c r="C4083" s="71" t="s">
        <v>16957</v>
      </c>
    </row>
    <row r="4084">
      <c r="A4084" s="130" t="s">
        <v>22077</v>
      </c>
      <c r="B4084" s="71" t="s">
        <v>16926</v>
      </c>
      <c r="C4084" s="71" t="s">
        <v>16957</v>
      </c>
    </row>
    <row r="4085">
      <c r="A4085" s="130" t="s">
        <v>22079</v>
      </c>
      <c r="B4085" s="71" t="s">
        <v>16582</v>
      </c>
      <c r="C4085" s="71" t="s">
        <v>16828</v>
      </c>
    </row>
    <row r="4086">
      <c r="A4086" s="130" t="s">
        <v>22081</v>
      </c>
      <c r="B4086" s="71" t="s">
        <v>175</v>
      </c>
      <c r="C4086" s="71" t="s">
        <v>17057</v>
      </c>
    </row>
    <row r="4087">
      <c r="A4087" s="130" t="s">
        <v>22083</v>
      </c>
      <c r="B4087" s="71" t="s">
        <v>16582</v>
      </c>
      <c r="C4087" s="71" t="s">
        <v>16583</v>
      </c>
    </row>
    <row r="4088">
      <c r="A4088" s="234" t="s">
        <v>22085</v>
      </c>
      <c r="B4088" s="71" t="s">
        <v>17111</v>
      </c>
      <c r="C4088" s="71" t="s">
        <v>17112</v>
      </c>
    </row>
    <row r="4089">
      <c r="A4089" s="234" t="s">
        <v>22085</v>
      </c>
      <c r="B4089" s="71" t="s">
        <v>17112</v>
      </c>
      <c r="C4089" s="71" t="s">
        <v>17111</v>
      </c>
    </row>
    <row r="4090">
      <c r="A4090" s="130" t="s">
        <v>22087</v>
      </c>
      <c r="B4090" s="71" t="s">
        <v>187</v>
      </c>
      <c r="C4090" s="71" t="s">
        <v>16969</v>
      </c>
    </row>
    <row r="4091">
      <c r="A4091" s="130" t="s">
        <v>22089</v>
      </c>
      <c r="B4091" s="71" t="s">
        <v>16919</v>
      </c>
      <c r="C4091" s="71" t="s">
        <v>16920</v>
      </c>
    </row>
    <row r="4092">
      <c r="A4092" s="130" t="s">
        <v>22091</v>
      </c>
      <c r="B4092" s="71" t="s">
        <v>16582</v>
      </c>
      <c r="C4092" s="71" t="s">
        <v>16828</v>
      </c>
    </row>
    <row r="4093">
      <c r="A4093" s="234" t="s">
        <v>22093</v>
      </c>
      <c r="B4093" s="71" t="s">
        <v>16885</v>
      </c>
      <c r="C4093" s="71" t="s">
        <v>17726</v>
      </c>
    </row>
    <row r="4094">
      <c r="A4094" s="234" t="s">
        <v>22093</v>
      </c>
      <c r="B4094" s="71" t="s">
        <v>17726</v>
      </c>
      <c r="C4094" s="130" t="s">
        <v>16885</v>
      </c>
    </row>
    <row r="4095">
      <c r="A4095" s="234" t="s">
        <v>22095</v>
      </c>
      <c r="B4095" s="71" t="s">
        <v>175</v>
      </c>
      <c r="C4095" s="71" t="s">
        <v>17084</v>
      </c>
    </row>
    <row r="4096">
      <c r="A4096" s="234" t="s">
        <v>22095</v>
      </c>
      <c r="B4096" s="71" t="s">
        <v>17084</v>
      </c>
      <c r="C4096" s="71" t="s">
        <v>175</v>
      </c>
    </row>
    <row r="4097">
      <c r="A4097" s="130" t="s">
        <v>22097</v>
      </c>
      <c r="B4097" s="71" t="s">
        <v>187</v>
      </c>
      <c r="C4097" s="71" t="s">
        <v>16846</v>
      </c>
    </row>
    <row r="4098">
      <c r="A4098" s="234" t="s">
        <v>22099</v>
      </c>
      <c r="B4098" s="71" t="s">
        <v>175</v>
      </c>
      <c r="C4098" s="71" t="s">
        <v>16975</v>
      </c>
    </row>
    <row r="4099">
      <c r="A4099" s="234" t="s">
        <v>22099</v>
      </c>
      <c r="B4099" s="71" t="s">
        <v>16975</v>
      </c>
      <c r="C4099" s="71" t="s">
        <v>175</v>
      </c>
    </row>
    <row r="4100">
      <c r="A4100" s="130" t="s">
        <v>22101</v>
      </c>
      <c r="B4100" s="71" t="s">
        <v>187</v>
      </c>
      <c r="C4100" s="71" t="s">
        <v>16846</v>
      </c>
    </row>
    <row r="4101">
      <c r="A4101" s="234" t="s">
        <v>22103</v>
      </c>
      <c r="B4101" s="71" t="s">
        <v>17111</v>
      </c>
      <c r="C4101" s="71" t="s">
        <v>17112</v>
      </c>
    </row>
    <row r="4102">
      <c r="A4102" s="234" t="s">
        <v>22103</v>
      </c>
      <c r="B4102" s="71" t="s">
        <v>17112</v>
      </c>
      <c r="C4102" s="71" t="s">
        <v>17111</v>
      </c>
    </row>
    <row r="4103">
      <c r="A4103" s="130" t="s">
        <v>22105</v>
      </c>
      <c r="B4103" s="71" t="s">
        <v>158</v>
      </c>
      <c r="C4103" s="71" t="s">
        <v>20100</v>
      </c>
    </row>
    <row r="4104">
      <c r="A4104" s="234" t="s">
        <v>22107</v>
      </c>
      <c r="B4104" s="71"/>
      <c r="C4104" s="71"/>
    </row>
    <row r="4105">
      <c r="A4105" s="234" t="s">
        <v>22107</v>
      </c>
      <c r="B4105" s="71"/>
      <c r="C4105" s="71"/>
    </row>
    <row r="4106">
      <c r="A4106" s="234" t="s">
        <v>22109</v>
      </c>
      <c r="B4106" s="71"/>
      <c r="C4106" s="71"/>
    </row>
    <row r="4107">
      <c r="A4107" s="234" t="s">
        <v>22109</v>
      </c>
      <c r="B4107" s="71"/>
      <c r="C4107" s="71"/>
    </row>
    <row r="4108">
      <c r="A4108" s="130" t="s">
        <v>22111</v>
      </c>
      <c r="B4108" s="71" t="s">
        <v>16838</v>
      </c>
      <c r="C4108" s="71" t="s">
        <v>16867</v>
      </c>
    </row>
    <row r="4109">
      <c r="A4109" s="234" t="s">
        <v>22113</v>
      </c>
      <c r="B4109" s="71" t="s">
        <v>17202</v>
      </c>
      <c r="C4109" s="71" t="s">
        <v>16838</v>
      </c>
    </row>
    <row r="4110">
      <c r="A4110" s="234" t="s">
        <v>22113</v>
      </c>
      <c r="B4110" s="71" t="s">
        <v>16838</v>
      </c>
      <c r="C4110" s="71" t="s">
        <v>17202</v>
      </c>
    </row>
    <row r="4111">
      <c r="A4111" s="130" t="s">
        <v>22115</v>
      </c>
      <c r="B4111" s="71" t="s">
        <v>16838</v>
      </c>
      <c r="C4111" s="71" t="s">
        <v>16867</v>
      </c>
    </row>
    <row r="4112">
      <c r="A4112" s="234" t="s">
        <v>22117</v>
      </c>
      <c r="B4112" s="71" t="s">
        <v>175</v>
      </c>
      <c r="C4112" s="71" t="s">
        <v>17457</v>
      </c>
    </row>
    <row r="4113">
      <c r="A4113" s="234" t="s">
        <v>22117</v>
      </c>
      <c r="B4113" s="71" t="s">
        <v>17457</v>
      </c>
      <c r="C4113" s="71" t="s">
        <v>175</v>
      </c>
    </row>
    <row r="4114">
      <c r="A4114" s="234" t="s">
        <v>22119</v>
      </c>
      <c r="B4114" s="71" t="s">
        <v>175</v>
      </c>
      <c r="C4114" s="71" t="s">
        <v>16972</v>
      </c>
    </row>
    <row r="4115">
      <c r="A4115" s="234" t="s">
        <v>22119</v>
      </c>
      <c r="B4115" s="71" t="s">
        <v>16972</v>
      </c>
      <c r="C4115" s="71" t="s">
        <v>175</v>
      </c>
    </row>
    <row r="4116">
      <c r="A4116" s="130" t="s">
        <v>22121</v>
      </c>
      <c r="B4116" s="71" t="s">
        <v>17629</v>
      </c>
      <c r="C4116" s="71" t="s">
        <v>16899</v>
      </c>
    </row>
    <row r="4117">
      <c r="A4117" s="130" t="s">
        <v>22123</v>
      </c>
      <c r="B4117" s="71" t="s">
        <v>16582</v>
      </c>
      <c r="C4117" s="71" t="s">
        <v>16930</v>
      </c>
    </row>
    <row r="4118">
      <c r="A4118" s="234" t="s">
        <v>22125</v>
      </c>
      <c r="B4118" s="71" t="s">
        <v>158</v>
      </c>
      <c r="C4118" s="71" t="s">
        <v>20100</v>
      </c>
    </row>
    <row r="4119">
      <c r="A4119" s="234" t="s">
        <v>22125</v>
      </c>
      <c r="B4119" s="71" t="s">
        <v>20100</v>
      </c>
      <c r="C4119" s="71" t="s">
        <v>158</v>
      </c>
    </row>
    <row r="4120">
      <c r="A4120" s="234" t="s">
        <v>22127</v>
      </c>
      <c r="B4120" s="71" t="s">
        <v>16910</v>
      </c>
      <c r="C4120" s="71" t="s">
        <v>17119</v>
      </c>
    </row>
    <row r="4121">
      <c r="A4121" s="234" t="s">
        <v>22127</v>
      </c>
      <c r="B4121" s="71" t="s">
        <v>17119</v>
      </c>
      <c r="C4121" s="71" t="s">
        <v>16910</v>
      </c>
    </row>
    <row r="4122">
      <c r="A4122" s="130" t="s">
        <v>22129</v>
      </c>
      <c r="B4122" s="71" t="s">
        <v>16919</v>
      </c>
      <c r="C4122" s="71" t="s">
        <v>16957</v>
      </c>
    </row>
    <row r="4123">
      <c r="A4123" s="130" t="s">
        <v>22131</v>
      </c>
      <c r="B4123" s="71" t="s">
        <v>175</v>
      </c>
      <c r="C4123" s="71" t="s">
        <v>16972</v>
      </c>
    </row>
    <row r="4124">
      <c r="A4124" s="234" t="s">
        <v>22133</v>
      </c>
      <c r="B4124" s="71"/>
      <c r="C4124" s="71"/>
    </row>
    <row r="4125">
      <c r="A4125" s="234" t="s">
        <v>22133</v>
      </c>
      <c r="B4125" s="71"/>
      <c r="C4125" s="71"/>
    </row>
    <row r="4126">
      <c r="A4126" s="234" t="s">
        <v>22136</v>
      </c>
      <c r="B4126" s="71" t="s">
        <v>175</v>
      </c>
      <c r="C4126" s="71" t="s">
        <v>16854</v>
      </c>
    </row>
    <row r="4127">
      <c r="A4127" s="234" t="s">
        <v>22136</v>
      </c>
      <c r="B4127" s="71" t="s">
        <v>16854</v>
      </c>
      <c r="C4127" s="71" t="s">
        <v>175</v>
      </c>
    </row>
    <row r="4128">
      <c r="A4128" s="234" t="s">
        <v>22138</v>
      </c>
      <c r="B4128" s="71" t="s">
        <v>16885</v>
      </c>
      <c r="C4128" s="71" t="s">
        <v>17726</v>
      </c>
    </row>
    <row r="4129">
      <c r="A4129" s="234" t="s">
        <v>22138</v>
      </c>
      <c r="B4129" s="71" t="s">
        <v>17726</v>
      </c>
      <c r="C4129" s="71" t="s">
        <v>16885</v>
      </c>
    </row>
    <row r="4130">
      <c r="A4130" s="130" t="s">
        <v>22140</v>
      </c>
      <c r="B4130" s="71" t="s">
        <v>187</v>
      </c>
      <c r="C4130" s="71" t="s">
        <v>17122</v>
      </c>
    </row>
    <row r="4131">
      <c r="A4131" s="234" t="s">
        <v>22142</v>
      </c>
      <c r="B4131" s="71" t="s">
        <v>16919</v>
      </c>
      <c r="C4131" s="71" t="s">
        <v>17048</v>
      </c>
    </row>
    <row r="4132">
      <c r="A4132" s="234" t="s">
        <v>22142</v>
      </c>
      <c r="B4132" s="71" t="s">
        <v>17048</v>
      </c>
      <c r="C4132" s="71" t="s">
        <v>16919</v>
      </c>
    </row>
    <row r="4133">
      <c r="A4133" s="234" t="s">
        <v>22144</v>
      </c>
      <c r="B4133" s="71" t="s">
        <v>175</v>
      </c>
      <c r="C4133" s="71" t="s">
        <v>16842</v>
      </c>
    </row>
    <row r="4134">
      <c r="A4134" s="234" t="s">
        <v>22144</v>
      </c>
      <c r="B4134" s="71" t="s">
        <v>16842</v>
      </c>
      <c r="C4134" s="71" t="s">
        <v>175</v>
      </c>
    </row>
    <row r="4135">
      <c r="A4135" s="130" t="s">
        <v>22146</v>
      </c>
      <c r="B4135" s="71" t="s">
        <v>187</v>
      </c>
      <c r="C4135" s="71" t="s">
        <v>16851</v>
      </c>
    </row>
    <row r="4136">
      <c r="A4136" s="234" t="s">
        <v>22148</v>
      </c>
      <c r="B4136" s="71" t="s">
        <v>175</v>
      </c>
      <c r="C4136" s="71" t="s">
        <v>17606</v>
      </c>
    </row>
    <row r="4137">
      <c r="A4137" s="234" t="s">
        <v>22148</v>
      </c>
      <c r="B4137" s="71" t="s">
        <v>17606</v>
      </c>
      <c r="C4137" s="71" t="s">
        <v>175</v>
      </c>
    </row>
    <row r="4138">
      <c r="A4138" s="234" t="s">
        <v>22150</v>
      </c>
      <c r="B4138" s="71" t="s">
        <v>175</v>
      </c>
      <c r="C4138" s="71" t="s">
        <v>17480</v>
      </c>
    </row>
    <row r="4139">
      <c r="A4139" s="234" t="s">
        <v>22150</v>
      </c>
      <c r="B4139" s="71" t="s">
        <v>17480</v>
      </c>
      <c r="C4139" s="71" t="s">
        <v>175</v>
      </c>
    </row>
    <row r="4140">
      <c r="A4140" s="234" t="s">
        <v>22152</v>
      </c>
      <c r="B4140" s="71" t="s">
        <v>16945</v>
      </c>
      <c r="C4140" s="71" t="s">
        <v>169</v>
      </c>
    </row>
    <row r="4141">
      <c r="A4141" s="234" t="s">
        <v>22152</v>
      </c>
      <c r="B4141" s="71" t="s">
        <v>169</v>
      </c>
      <c r="C4141" s="71" t="s">
        <v>16945</v>
      </c>
    </row>
    <row r="4142">
      <c r="A4142" s="234" t="s">
        <v>22154</v>
      </c>
      <c r="B4142" s="71" t="s">
        <v>16838</v>
      </c>
      <c r="C4142" s="71" t="s">
        <v>18956</v>
      </c>
    </row>
    <row r="4143">
      <c r="A4143" s="234" t="s">
        <v>22154</v>
      </c>
      <c r="B4143" s="71" t="s">
        <v>18956</v>
      </c>
      <c r="C4143" s="71" t="s">
        <v>16838</v>
      </c>
    </row>
    <row r="4144">
      <c r="A4144" s="130" t="s">
        <v>22156</v>
      </c>
      <c r="B4144" s="71" t="s">
        <v>187</v>
      </c>
      <c r="C4144" s="71" t="s">
        <v>16846</v>
      </c>
    </row>
    <row r="4145">
      <c r="A4145" s="130" t="s">
        <v>22158</v>
      </c>
      <c r="B4145" s="71" t="s">
        <v>169</v>
      </c>
      <c r="C4145" s="71" t="s">
        <v>17321</v>
      </c>
    </row>
    <row r="4146">
      <c r="A4146" s="234" t="s">
        <v>22160</v>
      </c>
      <c r="B4146" s="71" t="s">
        <v>17495</v>
      </c>
      <c r="C4146" s="71" t="s">
        <v>169</v>
      </c>
    </row>
    <row r="4147">
      <c r="A4147" s="234" t="s">
        <v>22160</v>
      </c>
      <c r="B4147" s="71" t="s">
        <v>169</v>
      </c>
      <c r="C4147" s="71" t="s">
        <v>17495</v>
      </c>
    </row>
    <row r="4148">
      <c r="A4148" s="234" t="s">
        <v>22162</v>
      </c>
      <c r="B4148" s="71" t="s">
        <v>16582</v>
      </c>
      <c r="C4148" s="71" t="s">
        <v>16930</v>
      </c>
    </row>
    <row r="4149">
      <c r="A4149" s="234" t="s">
        <v>22162</v>
      </c>
      <c r="B4149" s="71" t="s">
        <v>16930</v>
      </c>
      <c r="C4149" s="71" t="s">
        <v>16582</v>
      </c>
    </row>
    <row r="4150">
      <c r="A4150" s="130" t="s">
        <v>22164</v>
      </c>
      <c r="B4150" s="71" t="s">
        <v>16838</v>
      </c>
      <c r="C4150" s="71" t="s">
        <v>17016</v>
      </c>
    </row>
    <row r="4151">
      <c r="A4151" s="130" t="s">
        <v>22166</v>
      </c>
      <c r="B4151" s="71" t="s">
        <v>16838</v>
      </c>
      <c r="C4151" s="71" t="s">
        <v>16867</v>
      </c>
    </row>
    <row r="4152">
      <c r="A4152" s="130" t="s">
        <v>22168</v>
      </c>
      <c r="B4152" s="71" t="s">
        <v>187</v>
      </c>
      <c r="C4152" s="71" t="s">
        <v>16846</v>
      </c>
    </row>
    <row r="4153">
      <c r="A4153" s="234" t="s">
        <v>22170</v>
      </c>
      <c r="B4153" s="71" t="s">
        <v>175</v>
      </c>
      <c r="C4153" s="71" t="s">
        <v>17233</v>
      </c>
    </row>
    <row r="4154">
      <c r="A4154" s="234" t="s">
        <v>22170</v>
      </c>
      <c r="B4154" s="71" t="s">
        <v>17233</v>
      </c>
      <c r="C4154" s="71" t="s">
        <v>175</v>
      </c>
    </row>
    <row r="4155">
      <c r="A4155" s="130" t="s">
        <v>22172</v>
      </c>
      <c r="B4155" s="71" t="s">
        <v>16582</v>
      </c>
      <c r="C4155" s="71" t="s">
        <v>16930</v>
      </c>
    </row>
    <row r="4156">
      <c r="A4156" s="130" t="s">
        <v>22174</v>
      </c>
      <c r="B4156" s="71" t="s">
        <v>187</v>
      </c>
      <c r="C4156" s="71" t="s">
        <v>16846</v>
      </c>
    </row>
    <row r="4157">
      <c r="A4157" s="130" t="s">
        <v>22176</v>
      </c>
      <c r="B4157" s="71" t="s">
        <v>158</v>
      </c>
      <c r="C4157" s="71" t="s">
        <v>18063</v>
      </c>
    </row>
    <row r="4158">
      <c r="A4158" s="234" t="s">
        <v>22178</v>
      </c>
      <c r="B4158" s="71" t="s">
        <v>169</v>
      </c>
      <c r="C4158" s="71" t="s">
        <v>16899</v>
      </c>
    </row>
    <row r="4159">
      <c r="A4159" s="234" t="s">
        <v>22178</v>
      </c>
      <c r="B4159" s="71" t="s">
        <v>16899</v>
      </c>
      <c r="C4159" s="71" t="s">
        <v>169</v>
      </c>
    </row>
    <row r="4160">
      <c r="A4160" s="234" t="s">
        <v>22180</v>
      </c>
      <c r="B4160" s="71" t="s">
        <v>17202</v>
      </c>
      <c r="C4160" s="71" t="s">
        <v>16838</v>
      </c>
    </row>
    <row r="4161">
      <c r="A4161" s="234" t="s">
        <v>22180</v>
      </c>
      <c r="B4161" s="71" t="s">
        <v>16838</v>
      </c>
      <c r="C4161" s="71" t="s">
        <v>17202</v>
      </c>
    </row>
    <row r="4162">
      <c r="A4162" s="130" t="s">
        <v>22182</v>
      </c>
      <c r="B4162" s="71" t="s">
        <v>169</v>
      </c>
      <c r="C4162" s="71" t="s">
        <v>17233</v>
      </c>
    </row>
    <row r="4163">
      <c r="A4163" s="234" t="s">
        <v>22184</v>
      </c>
      <c r="B4163" s="71" t="s">
        <v>158</v>
      </c>
      <c r="C4163" s="71" t="s">
        <v>17171</v>
      </c>
    </row>
    <row r="4164">
      <c r="A4164" s="234" t="s">
        <v>22184</v>
      </c>
      <c r="B4164" s="71" t="s">
        <v>17171</v>
      </c>
      <c r="C4164" s="71" t="s">
        <v>158</v>
      </c>
    </row>
    <row r="4165">
      <c r="A4165" s="234" t="s">
        <v>22186</v>
      </c>
      <c r="B4165" s="71" t="s">
        <v>18679</v>
      </c>
      <c r="C4165" s="71" t="s">
        <v>16838</v>
      </c>
    </row>
    <row r="4166">
      <c r="A4166" s="234" t="s">
        <v>22186</v>
      </c>
      <c r="B4166" s="71" t="s">
        <v>16838</v>
      </c>
      <c r="C4166" s="71" t="s">
        <v>18679</v>
      </c>
    </row>
    <row r="4167">
      <c r="A4167" s="130" t="s">
        <v>22188</v>
      </c>
      <c r="B4167" s="71" t="s">
        <v>16838</v>
      </c>
      <c r="C4167" s="71" t="s">
        <v>17202</v>
      </c>
    </row>
    <row r="4168">
      <c r="A4168" s="234" t="s">
        <v>22190</v>
      </c>
      <c r="B4168" s="71" t="s">
        <v>158</v>
      </c>
      <c r="C4168" s="71" t="s">
        <v>16864</v>
      </c>
    </row>
    <row r="4169">
      <c r="A4169" s="234" t="s">
        <v>22190</v>
      </c>
      <c r="B4169" s="71" t="s">
        <v>16864</v>
      </c>
      <c r="C4169" s="71" t="s">
        <v>158</v>
      </c>
    </row>
    <row r="4170">
      <c r="A4170" s="130" t="s">
        <v>22192</v>
      </c>
      <c r="B4170" s="71" t="s">
        <v>16838</v>
      </c>
      <c r="C4170" s="71" t="s">
        <v>16867</v>
      </c>
    </row>
    <row r="4171">
      <c r="A4171" s="130" t="s">
        <v>22194</v>
      </c>
      <c r="B4171" s="71" t="s">
        <v>175</v>
      </c>
      <c r="C4171" s="71" t="s">
        <v>16878</v>
      </c>
    </row>
    <row r="4172">
      <c r="A4172" s="130" t="s">
        <v>22196</v>
      </c>
      <c r="B4172" s="71" t="s">
        <v>16838</v>
      </c>
      <c r="C4172" s="71" t="s">
        <v>17347</v>
      </c>
    </row>
    <row r="4173">
      <c r="A4173" s="234" t="s">
        <v>22198</v>
      </c>
      <c r="B4173" s="71"/>
      <c r="C4173" s="71"/>
    </row>
    <row r="4174">
      <c r="A4174" s="234" t="s">
        <v>22198</v>
      </c>
      <c r="B4174" s="71"/>
      <c r="C4174" s="71"/>
    </row>
    <row r="4175">
      <c r="A4175" s="234" t="s">
        <v>22200</v>
      </c>
      <c r="B4175" s="71" t="s">
        <v>17532</v>
      </c>
      <c r="C4175" s="71" t="s">
        <v>169</v>
      </c>
    </row>
    <row r="4176">
      <c r="A4176" s="234" t="s">
        <v>22200</v>
      </c>
      <c r="B4176" s="71" t="s">
        <v>169</v>
      </c>
      <c r="C4176" s="71" t="s">
        <v>17532</v>
      </c>
    </row>
    <row r="4177">
      <c r="A4177" s="234" t="s">
        <v>22202</v>
      </c>
      <c r="B4177" s="71" t="s">
        <v>16582</v>
      </c>
      <c r="C4177" s="71" t="s">
        <v>16583</v>
      </c>
    </row>
    <row r="4178">
      <c r="A4178" s="234" t="s">
        <v>22202</v>
      </c>
      <c r="B4178" s="71" t="s">
        <v>16583</v>
      </c>
      <c r="C4178" s="71" t="s">
        <v>16582</v>
      </c>
    </row>
    <row r="4179">
      <c r="A4179" s="130" t="s">
        <v>22204</v>
      </c>
      <c r="B4179" s="71" t="s">
        <v>16838</v>
      </c>
      <c r="C4179" s="71" t="s">
        <v>18679</v>
      </c>
    </row>
    <row r="4180">
      <c r="A4180" s="234" t="s">
        <v>22206</v>
      </c>
      <c r="B4180" s="71" t="s">
        <v>16582</v>
      </c>
      <c r="C4180" s="71" t="s">
        <v>17339</v>
      </c>
    </row>
    <row r="4181">
      <c r="A4181" s="234" t="s">
        <v>22206</v>
      </c>
      <c r="B4181" s="71" t="s">
        <v>17339</v>
      </c>
      <c r="C4181" s="71" t="s">
        <v>16582</v>
      </c>
    </row>
    <row r="4182">
      <c r="A4182" s="130" t="s">
        <v>22208</v>
      </c>
      <c r="B4182" s="71" t="s">
        <v>16838</v>
      </c>
      <c r="C4182" s="71" t="s">
        <v>16867</v>
      </c>
    </row>
    <row r="4183">
      <c r="A4183" s="130" t="s">
        <v>22210</v>
      </c>
      <c r="B4183" s="71" t="s">
        <v>187</v>
      </c>
      <c r="C4183" s="71" t="s">
        <v>16846</v>
      </c>
    </row>
    <row r="4184">
      <c r="A4184" s="234" t="s">
        <v>22212</v>
      </c>
      <c r="B4184" s="71" t="s">
        <v>16992</v>
      </c>
      <c r="C4184" s="71" t="s">
        <v>187</v>
      </c>
    </row>
    <row r="4185">
      <c r="A4185" s="234" t="s">
        <v>22212</v>
      </c>
      <c r="B4185" s="71" t="s">
        <v>187</v>
      </c>
      <c r="C4185" s="71" t="s">
        <v>16992</v>
      </c>
    </row>
    <row r="4186">
      <c r="A4186" s="130" t="s">
        <v>22214</v>
      </c>
      <c r="B4186" s="71" t="s">
        <v>16838</v>
      </c>
      <c r="C4186" s="71" t="s">
        <v>16867</v>
      </c>
    </row>
    <row r="4187">
      <c r="A4187" s="234" t="s">
        <v>22216</v>
      </c>
      <c r="B4187" s="71" t="s">
        <v>17112</v>
      </c>
      <c r="C4187" s="71" t="s">
        <v>16838</v>
      </c>
    </row>
    <row r="4188">
      <c r="A4188" s="234" t="s">
        <v>22216</v>
      </c>
      <c r="B4188" s="71" t="s">
        <v>16838</v>
      </c>
      <c r="C4188" s="71" t="s">
        <v>17112</v>
      </c>
    </row>
    <row r="4189">
      <c r="A4189" s="130" t="s">
        <v>22218</v>
      </c>
      <c r="B4189" s="71" t="s">
        <v>187</v>
      </c>
      <c r="C4189" s="71" t="s">
        <v>16846</v>
      </c>
    </row>
    <row r="4190">
      <c r="A4190" s="234" t="s">
        <v>22220</v>
      </c>
      <c r="B4190" s="71" t="s">
        <v>19444</v>
      </c>
      <c r="C4190" s="71" t="s">
        <v>187</v>
      </c>
    </row>
    <row r="4191">
      <c r="A4191" s="234" t="s">
        <v>22220</v>
      </c>
      <c r="B4191" s="71" t="s">
        <v>187</v>
      </c>
      <c r="C4191" s="71" t="s">
        <v>19444</v>
      </c>
    </row>
    <row r="4192">
      <c r="A4192" s="130" t="s">
        <v>22222</v>
      </c>
      <c r="B4192" s="71" t="s">
        <v>169</v>
      </c>
      <c r="C4192" s="71" t="s">
        <v>17619</v>
      </c>
    </row>
    <row r="4193">
      <c r="A4193" s="234" t="s">
        <v>22224</v>
      </c>
      <c r="B4193" s="71" t="s">
        <v>16885</v>
      </c>
      <c r="C4193" s="71" t="s">
        <v>18805</v>
      </c>
    </row>
    <row r="4194">
      <c r="A4194" s="234" t="s">
        <v>22224</v>
      </c>
      <c r="B4194" s="71" t="s">
        <v>18805</v>
      </c>
      <c r="C4194" s="71" t="s">
        <v>16885</v>
      </c>
    </row>
    <row r="4195">
      <c r="A4195" s="234" t="s">
        <v>22226</v>
      </c>
      <c r="B4195" s="71" t="s">
        <v>16838</v>
      </c>
      <c r="C4195" s="71" t="s">
        <v>17002</v>
      </c>
    </row>
    <row r="4196">
      <c r="A4196" s="234" t="s">
        <v>22226</v>
      </c>
      <c r="B4196" s="71" t="s">
        <v>17002</v>
      </c>
      <c r="C4196" s="71" t="s">
        <v>16838</v>
      </c>
    </row>
    <row r="4197">
      <c r="A4197" s="130" t="s">
        <v>22228</v>
      </c>
      <c r="B4197" s="71" t="s">
        <v>16838</v>
      </c>
      <c r="C4197" s="71" t="s">
        <v>18679</v>
      </c>
    </row>
    <row r="4198">
      <c r="A4198" s="130" t="s">
        <v>22230</v>
      </c>
      <c r="B4198" s="71" t="s">
        <v>16582</v>
      </c>
      <c r="C4198" s="71" t="s">
        <v>16828</v>
      </c>
    </row>
    <row r="4199">
      <c r="A4199" s="130" t="s">
        <v>22232</v>
      </c>
      <c r="B4199" s="71" t="s">
        <v>17112</v>
      </c>
      <c r="C4199" s="71" t="s">
        <v>17111</v>
      </c>
    </row>
    <row r="4200">
      <c r="A4200" s="130" t="s">
        <v>22234</v>
      </c>
      <c r="B4200" s="71" t="s">
        <v>16582</v>
      </c>
      <c r="C4200" s="71" t="s">
        <v>16817</v>
      </c>
    </row>
    <row r="4201">
      <c r="A4201" s="130" t="s">
        <v>22236</v>
      </c>
      <c r="B4201" s="71" t="s">
        <v>187</v>
      </c>
      <c r="C4201" s="71" t="s">
        <v>16846</v>
      </c>
    </row>
    <row r="4202">
      <c r="A4202" s="234" t="s">
        <v>22238</v>
      </c>
      <c r="B4202" s="71" t="s">
        <v>16867</v>
      </c>
      <c r="C4202" s="71" t="s">
        <v>16838</v>
      </c>
    </row>
    <row r="4203">
      <c r="A4203" s="234" t="s">
        <v>22238</v>
      </c>
      <c r="B4203" s="71" t="s">
        <v>16838</v>
      </c>
      <c r="C4203" s="71" t="s">
        <v>16867</v>
      </c>
    </row>
    <row r="4204">
      <c r="A4204" s="130" t="s">
        <v>22240</v>
      </c>
      <c r="B4204" s="71" t="s">
        <v>17629</v>
      </c>
      <c r="C4204" s="71" t="s">
        <v>17452</v>
      </c>
    </row>
    <row r="4205">
      <c r="A4205" s="130" t="s">
        <v>22242</v>
      </c>
      <c r="B4205" s="71" t="s">
        <v>187</v>
      </c>
      <c r="C4205" s="71" t="s">
        <v>16858</v>
      </c>
    </row>
    <row r="4206">
      <c r="A4206" s="130" t="s">
        <v>22244</v>
      </c>
      <c r="B4206" s="71" t="s">
        <v>16838</v>
      </c>
      <c r="C4206" s="71" t="s">
        <v>16867</v>
      </c>
    </row>
    <row r="4207">
      <c r="A4207" s="234" t="s">
        <v>22246</v>
      </c>
      <c r="B4207" s="71" t="s">
        <v>17202</v>
      </c>
      <c r="C4207" s="71" t="s">
        <v>16838</v>
      </c>
    </row>
    <row r="4208">
      <c r="A4208" s="234" t="s">
        <v>22246</v>
      </c>
      <c r="B4208" s="71" t="s">
        <v>16838</v>
      </c>
      <c r="C4208" s="71" t="s">
        <v>17202</v>
      </c>
    </row>
    <row r="4209">
      <c r="A4209" s="130" t="s">
        <v>22248</v>
      </c>
      <c r="B4209" s="71" t="s">
        <v>187</v>
      </c>
      <c r="C4209" s="71" t="s">
        <v>16969</v>
      </c>
    </row>
    <row r="4210">
      <c r="A4210" s="234" t="s">
        <v>22250</v>
      </c>
      <c r="B4210" s="71" t="s">
        <v>17202</v>
      </c>
      <c r="C4210" s="71" t="s">
        <v>16838</v>
      </c>
    </row>
    <row r="4211">
      <c r="A4211" s="234" t="s">
        <v>22250</v>
      </c>
      <c r="B4211" s="71" t="s">
        <v>16838</v>
      </c>
      <c r="C4211" s="71" t="s">
        <v>17202</v>
      </c>
    </row>
    <row r="4212">
      <c r="A4212" s="130" t="s">
        <v>22252</v>
      </c>
      <c r="B4212" s="71" t="s">
        <v>175</v>
      </c>
      <c r="C4212" s="71" t="s">
        <v>17948</v>
      </c>
    </row>
    <row r="4213">
      <c r="A4213" s="234" t="s">
        <v>22254</v>
      </c>
      <c r="B4213" s="71" t="s">
        <v>158</v>
      </c>
      <c r="C4213" s="71" t="s">
        <v>16864</v>
      </c>
    </row>
    <row r="4214">
      <c r="A4214" s="234" t="s">
        <v>22254</v>
      </c>
      <c r="B4214" s="71" t="s">
        <v>16864</v>
      </c>
      <c r="C4214" s="71" t="s">
        <v>158</v>
      </c>
    </row>
    <row r="4215">
      <c r="A4215" s="234" t="s">
        <v>22255</v>
      </c>
      <c r="B4215" s="71" t="s">
        <v>16919</v>
      </c>
      <c r="C4215" s="71" t="s">
        <v>17048</v>
      </c>
    </row>
    <row r="4216">
      <c r="A4216" s="234" t="s">
        <v>22255</v>
      </c>
      <c r="B4216" s="71" t="s">
        <v>17048</v>
      </c>
      <c r="C4216" s="71" t="s">
        <v>16919</v>
      </c>
    </row>
    <row r="4217">
      <c r="A4217" s="234" t="s">
        <v>22257</v>
      </c>
      <c r="B4217" s="71" t="s">
        <v>17111</v>
      </c>
      <c r="C4217" s="71" t="s">
        <v>17112</v>
      </c>
    </row>
    <row r="4218">
      <c r="A4218" s="234" t="s">
        <v>22257</v>
      </c>
      <c r="B4218" s="71" t="s">
        <v>17112</v>
      </c>
      <c r="C4218" s="71" t="s">
        <v>17111</v>
      </c>
    </row>
    <row r="4219">
      <c r="A4219" s="130" t="s">
        <v>22259</v>
      </c>
      <c r="B4219" s="71" t="s">
        <v>187</v>
      </c>
      <c r="C4219" s="71" t="s">
        <v>16846</v>
      </c>
    </row>
    <row r="4220">
      <c r="A4220" s="234" t="s">
        <v>22261</v>
      </c>
      <c r="B4220" s="71" t="s">
        <v>17702</v>
      </c>
      <c r="C4220" s="71" t="s">
        <v>169</v>
      </c>
    </row>
    <row r="4221">
      <c r="A4221" s="234" t="s">
        <v>22261</v>
      </c>
      <c r="B4221" s="71" t="s">
        <v>169</v>
      </c>
      <c r="C4221" s="71" t="s">
        <v>17702</v>
      </c>
    </row>
    <row r="4222">
      <c r="A4222" s="130" t="s">
        <v>22263</v>
      </c>
      <c r="B4222" s="71" t="s">
        <v>175</v>
      </c>
      <c r="C4222" s="71" t="s">
        <v>16957</v>
      </c>
    </row>
    <row r="4223">
      <c r="A4223" s="130" t="s">
        <v>22265</v>
      </c>
      <c r="B4223" s="71" t="s">
        <v>16582</v>
      </c>
      <c r="C4223" s="71" t="s">
        <v>16817</v>
      </c>
    </row>
    <row r="4224">
      <c r="A4224" s="234" t="s">
        <v>22267</v>
      </c>
      <c r="B4224" s="71" t="s">
        <v>17202</v>
      </c>
      <c r="C4224" s="71" t="s">
        <v>16838</v>
      </c>
    </row>
    <row r="4225">
      <c r="A4225" s="234" t="s">
        <v>22267</v>
      </c>
      <c r="B4225" s="71" t="s">
        <v>16838</v>
      </c>
      <c r="C4225" s="71" t="s">
        <v>17202</v>
      </c>
    </row>
    <row r="4226">
      <c r="A4226" s="130" t="s">
        <v>22269</v>
      </c>
      <c r="B4226" s="71" t="s">
        <v>187</v>
      </c>
      <c r="C4226" s="71" t="s">
        <v>16846</v>
      </c>
    </row>
    <row r="4227">
      <c r="A4227" s="130" t="s">
        <v>22271</v>
      </c>
      <c r="B4227" s="71" t="s">
        <v>16582</v>
      </c>
      <c r="C4227" s="71" t="s">
        <v>16930</v>
      </c>
    </row>
    <row r="4228">
      <c r="A4228" s="130" t="s">
        <v>22273</v>
      </c>
      <c r="B4228" s="71" t="s">
        <v>187</v>
      </c>
      <c r="C4228" s="71" t="s">
        <v>16846</v>
      </c>
    </row>
    <row r="4229">
      <c r="A4229" s="234" t="s">
        <v>22275</v>
      </c>
      <c r="B4229" s="71" t="s">
        <v>158</v>
      </c>
      <c r="C4229" s="71" t="s">
        <v>18063</v>
      </c>
    </row>
    <row r="4230">
      <c r="A4230" s="234" t="s">
        <v>22275</v>
      </c>
      <c r="B4230" s="71" t="s">
        <v>18063</v>
      </c>
      <c r="C4230" s="71" t="s">
        <v>158</v>
      </c>
    </row>
    <row r="4231">
      <c r="A4231" s="234" t="s">
        <v>22277</v>
      </c>
      <c r="B4231" s="71" t="s">
        <v>16582</v>
      </c>
      <c r="C4231" s="71" t="s">
        <v>17339</v>
      </c>
    </row>
    <row r="4232">
      <c r="A4232" s="234" t="s">
        <v>22277</v>
      </c>
      <c r="B4232" s="71" t="s">
        <v>17339</v>
      </c>
      <c r="C4232" s="71" t="s">
        <v>16582</v>
      </c>
    </row>
    <row r="4233">
      <c r="A4233" s="130" t="s">
        <v>22279</v>
      </c>
      <c r="B4233" s="71" t="s">
        <v>16838</v>
      </c>
      <c r="C4233" s="71" t="s">
        <v>16867</v>
      </c>
    </row>
    <row r="4234">
      <c r="A4234" s="130" t="s">
        <v>22281</v>
      </c>
      <c r="B4234" s="71" t="s">
        <v>16885</v>
      </c>
      <c r="C4234" s="71" t="s">
        <v>16886</v>
      </c>
    </row>
    <row r="4235">
      <c r="A4235" s="130" t="s">
        <v>22283</v>
      </c>
      <c r="B4235" s="71" t="s">
        <v>16582</v>
      </c>
      <c r="C4235" s="71" t="s">
        <v>16817</v>
      </c>
    </row>
    <row r="4236">
      <c r="A4236" s="130" t="s">
        <v>22285</v>
      </c>
      <c r="B4236" s="71" t="s">
        <v>187</v>
      </c>
      <c r="C4236" s="71" t="s">
        <v>16846</v>
      </c>
    </row>
    <row r="4237">
      <c r="A4237" s="130" t="s">
        <v>22287</v>
      </c>
      <c r="B4237" s="71" t="s">
        <v>187</v>
      </c>
      <c r="C4237" s="71" t="s">
        <v>16846</v>
      </c>
    </row>
    <row r="4238">
      <c r="A4238" s="130" t="s">
        <v>22289</v>
      </c>
      <c r="B4238" s="71" t="s">
        <v>187</v>
      </c>
      <c r="C4238" s="71" t="s">
        <v>16846</v>
      </c>
    </row>
    <row r="4239">
      <c r="A4239" s="130" t="s">
        <v>22291</v>
      </c>
      <c r="B4239" s="71" t="s">
        <v>16838</v>
      </c>
      <c r="C4239" s="71" t="s">
        <v>16867</v>
      </c>
    </row>
    <row r="4240">
      <c r="A4240" s="234" t="s">
        <v>22293</v>
      </c>
      <c r="B4240" s="71" t="s">
        <v>175</v>
      </c>
      <c r="C4240" s="71" t="s">
        <v>16854</v>
      </c>
    </row>
    <row r="4241">
      <c r="A4241" s="234" t="s">
        <v>22293</v>
      </c>
      <c r="B4241" s="71" t="s">
        <v>16854</v>
      </c>
      <c r="C4241" s="71" t="s">
        <v>175</v>
      </c>
    </row>
    <row r="4242">
      <c r="A4242" s="234" t="s">
        <v>22295</v>
      </c>
      <c r="B4242" s="71" t="s">
        <v>175</v>
      </c>
      <c r="C4242" s="71" t="s">
        <v>16854</v>
      </c>
    </row>
    <row r="4243">
      <c r="A4243" s="234" t="s">
        <v>22295</v>
      </c>
      <c r="B4243" s="71" t="s">
        <v>16854</v>
      </c>
      <c r="C4243" s="71" t="s">
        <v>175</v>
      </c>
    </row>
    <row r="4244">
      <c r="A4244" s="130" t="s">
        <v>22297</v>
      </c>
      <c r="B4244" s="71" t="s">
        <v>187</v>
      </c>
      <c r="C4244" s="71" t="s">
        <v>16846</v>
      </c>
    </row>
    <row r="4245">
      <c r="A4245" s="234" t="s">
        <v>22299</v>
      </c>
      <c r="B4245" s="71" t="s">
        <v>16582</v>
      </c>
      <c r="C4245" s="71" t="s">
        <v>16930</v>
      </c>
    </row>
    <row r="4246">
      <c r="A4246" s="234" t="s">
        <v>22299</v>
      </c>
      <c r="B4246" s="71" t="s">
        <v>16930</v>
      </c>
      <c r="C4246" s="71" t="s">
        <v>16582</v>
      </c>
    </row>
    <row r="4247">
      <c r="A4247" s="234" t="s">
        <v>22301</v>
      </c>
      <c r="B4247" s="71" t="s">
        <v>169</v>
      </c>
      <c r="C4247" s="71" t="s">
        <v>17509</v>
      </c>
    </row>
    <row r="4248">
      <c r="A4248" s="234" t="s">
        <v>22301</v>
      </c>
      <c r="B4248" s="71" t="s">
        <v>17509</v>
      </c>
      <c r="C4248" s="71" t="s">
        <v>169</v>
      </c>
    </row>
    <row r="4249">
      <c r="A4249" s="130" t="s">
        <v>22303</v>
      </c>
      <c r="B4249" s="71" t="s">
        <v>16582</v>
      </c>
      <c r="C4249" s="71" t="s">
        <v>16930</v>
      </c>
    </row>
    <row r="4250">
      <c r="A4250" s="234" t="s">
        <v>22305</v>
      </c>
      <c r="B4250" s="71" t="s">
        <v>169</v>
      </c>
      <c r="C4250" s="71" t="s">
        <v>17738</v>
      </c>
    </row>
    <row r="4251">
      <c r="A4251" s="234" t="s">
        <v>22305</v>
      </c>
      <c r="B4251" s="71" t="s">
        <v>17738</v>
      </c>
      <c r="C4251" s="71" t="s">
        <v>169</v>
      </c>
    </row>
    <row r="4252">
      <c r="A4252" s="130" t="s">
        <v>22307</v>
      </c>
      <c r="B4252" s="71" t="s">
        <v>16838</v>
      </c>
      <c r="C4252" s="71" t="s">
        <v>16867</v>
      </c>
    </row>
    <row r="4253">
      <c r="A4253" s="234" t="s">
        <v>22309</v>
      </c>
      <c r="B4253" s="71" t="s">
        <v>17111</v>
      </c>
      <c r="C4253" s="71" t="s">
        <v>17112</v>
      </c>
    </row>
    <row r="4254">
      <c r="A4254" s="234" t="s">
        <v>22309</v>
      </c>
      <c r="B4254" s="71" t="s">
        <v>17112</v>
      </c>
      <c r="C4254" s="71" t="s">
        <v>17111</v>
      </c>
    </row>
    <row r="4255">
      <c r="A4255" s="234" t="s">
        <v>22311</v>
      </c>
      <c r="B4255" s="71" t="s">
        <v>17256</v>
      </c>
      <c r="C4255" s="71" t="s">
        <v>187</v>
      </c>
    </row>
    <row r="4256">
      <c r="A4256" s="234" t="s">
        <v>22311</v>
      </c>
      <c r="B4256" s="71" t="s">
        <v>187</v>
      </c>
      <c r="C4256" s="71" t="s">
        <v>17256</v>
      </c>
    </row>
    <row r="4257">
      <c r="A4257" s="130" t="s">
        <v>22313</v>
      </c>
      <c r="B4257" s="71" t="s">
        <v>175</v>
      </c>
      <c r="C4257" s="71" t="s">
        <v>16942</v>
      </c>
    </row>
    <row r="4258">
      <c r="A4258" s="130" t="s">
        <v>22315</v>
      </c>
      <c r="B4258" s="71" t="s">
        <v>16838</v>
      </c>
      <c r="C4258" s="71" t="s">
        <v>16867</v>
      </c>
    </row>
    <row r="4259">
      <c r="A4259" s="130" t="s">
        <v>22317</v>
      </c>
      <c r="B4259" s="71" t="s">
        <v>187</v>
      </c>
      <c r="C4259" s="71" t="s">
        <v>16846</v>
      </c>
    </row>
    <row r="4260">
      <c r="A4260" s="130" t="s">
        <v>22319</v>
      </c>
      <c r="B4260" s="71" t="s">
        <v>175</v>
      </c>
      <c r="C4260" s="71" t="s">
        <v>17168</v>
      </c>
    </row>
    <row r="4261">
      <c r="A4261" s="234" t="s">
        <v>22321</v>
      </c>
      <c r="B4261" s="71" t="s">
        <v>17019</v>
      </c>
      <c r="C4261" s="71" t="s">
        <v>16838</v>
      </c>
    </row>
    <row r="4262">
      <c r="A4262" s="234" t="s">
        <v>22321</v>
      </c>
      <c r="B4262" s="71" t="s">
        <v>16838</v>
      </c>
      <c r="C4262" s="71" t="s">
        <v>17019</v>
      </c>
    </row>
    <row r="4263">
      <c r="A4263" s="234" t="s">
        <v>22323</v>
      </c>
      <c r="B4263" s="71" t="s">
        <v>158</v>
      </c>
      <c r="C4263" s="71" t="s">
        <v>16864</v>
      </c>
    </row>
    <row r="4264">
      <c r="A4264" s="234" t="s">
        <v>22323</v>
      </c>
      <c r="B4264" s="71" t="s">
        <v>16864</v>
      </c>
      <c r="C4264" s="71" t="s">
        <v>158</v>
      </c>
    </row>
    <row r="4265">
      <c r="A4265" s="234" t="s">
        <v>22325</v>
      </c>
      <c r="B4265" s="71" t="s">
        <v>158</v>
      </c>
      <c r="C4265" s="71" t="s">
        <v>16864</v>
      </c>
    </row>
    <row r="4266">
      <c r="A4266" s="234" t="s">
        <v>22325</v>
      </c>
      <c r="B4266" s="71" t="s">
        <v>16864</v>
      </c>
      <c r="C4266" s="71" t="s">
        <v>158</v>
      </c>
    </row>
    <row r="4267">
      <c r="A4267" s="234" t="s">
        <v>22327</v>
      </c>
      <c r="B4267" s="71" t="s">
        <v>158</v>
      </c>
      <c r="C4267" s="71" t="s">
        <v>16864</v>
      </c>
    </row>
    <row r="4268">
      <c r="A4268" s="234" t="s">
        <v>22327</v>
      </c>
      <c r="B4268" s="71" t="s">
        <v>16864</v>
      </c>
      <c r="C4268" s="71" t="s">
        <v>158</v>
      </c>
    </row>
    <row r="4269">
      <c r="A4269" s="234" t="s">
        <v>22329</v>
      </c>
      <c r="B4269" s="71" t="s">
        <v>16885</v>
      </c>
      <c r="C4269" s="71" t="s">
        <v>17726</v>
      </c>
    </row>
    <row r="4270">
      <c r="A4270" s="234" t="s">
        <v>22329</v>
      </c>
      <c r="B4270" s="71" t="s">
        <v>17726</v>
      </c>
      <c r="C4270" s="71" t="s">
        <v>16885</v>
      </c>
    </row>
    <row r="4271">
      <c r="A4271" s="234" t="s">
        <v>22331</v>
      </c>
      <c r="B4271" s="71" t="s">
        <v>16838</v>
      </c>
      <c r="C4271" s="71" t="s">
        <v>18219</v>
      </c>
    </row>
    <row r="4272">
      <c r="A4272" s="234" t="s">
        <v>22331</v>
      </c>
      <c r="B4272" s="71" t="s">
        <v>18219</v>
      </c>
      <c r="C4272" s="71" t="s">
        <v>16838</v>
      </c>
    </row>
    <row r="4273">
      <c r="A4273" s="130" t="s">
        <v>22333</v>
      </c>
      <c r="B4273" s="71" t="s">
        <v>187</v>
      </c>
      <c r="C4273" s="71" t="s">
        <v>16992</v>
      </c>
    </row>
    <row r="4274">
      <c r="A4274" s="130" t="s">
        <v>22335</v>
      </c>
      <c r="B4274" s="71" t="s">
        <v>16838</v>
      </c>
      <c r="C4274" s="71" t="s">
        <v>18679</v>
      </c>
    </row>
    <row r="4275">
      <c r="A4275" s="130" t="s">
        <v>22337</v>
      </c>
      <c r="B4275" s="71" t="s">
        <v>16582</v>
      </c>
      <c r="C4275" s="71" t="s">
        <v>16828</v>
      </c>
    </row>
    <row r="4276">
      <c r="A4276" s="234" t="s">
        <v>22339</v>
      </c>
      <c r="B4276" s="71" t="s">
        <v>16582</v>
      </c>
      <c r="C4276" s="71" t="s">
        <v>16583</v>
      </c>
    </row>
    <row r="4277">
      <c r="A4277" s="234" t="s">
        <v>22339</v>
      </c>
      <c r="B4277" s="71" t="s">
        <v>16583</v>
      </c>
      <c r="C4277" s="71" t="s">
        <v>16582</v>
      </c>
    </row>
    <row r="4278">
      <c r="A4278" s="234" t="s">
        <v>22342</v>
      </c>
      <c r="B4278" s="71" t="s">
        <v>169</v>
      </c>
      <c r="C4278" s="71" t="s">
        <v>17805</v>
      </c>
    </row>
    <row r="4279">
      <c r="A4279" s="234" t="s">
        <v>22342</v>
      </c>
      <c r="B4279" s="71" t="s">
        <v>17805</v>
      </c>
      <c r="C4279" s="71" t="s">
        <v>169</v>
      </c>
    </row>
    <row r="4280">
      <c r="A4280" s="130" t="s">
        <v>22344</v>
      </c>
      <c r="B4280" s="71" t="s">
        <v>175</v>
      </c>
      <c r="C4280" s="71" t="s">
        <v>17031</v>
      </c>
    </row>
    <row r="4281">
      <c r="A4281" s="130" t="s">
        <v>22346</v>
      </c>
      <c r="B4281" s="71" t="s">
        <v>169</v>
      </c>
      <c r="C4281" s="71" t="s">
        <v>16899</v>
      </c>
    </row>
    <row r="4282">
      <c r="A4282" s="130" t="s">
        <v>22348</v>
      </c>
      <c r="B4282" s="71" t="s">
        <v>16926</v>
      </c>
      <c r="C4282" s="71" t="s">
        <v>16957</v>
      </c>
    </row>
    <row r="4283">
      <c r="A4283" s="234" t="s">
        <v>22350</v>
      </c>
      <c r="B4283" s="71" t="s">
        <v>16582</v>
      </c>
      <c r="C4283" s="71" t="s">
        <v>16930</v>
      </c>
    </row>
    <row r="4284">
      <c r="A4284" s="234" t="s">
        <v>22350</v>
      </c>
      <c r="B4284" s="71" t="s">
        <v>16930</v>
      </c>
      <c r="C4284" s="71" t="s">
        <v>16582</v>
      </c>
    </row>
    <row r="4285">
      <c r="A4285" s="234" t="s">
        <v>22352</v>
      </c>
      <c r="B4285" s="71" t="s">
        <v>17111</v>
      </c>
      <c r="C4285" s="71" t="s">
        <v>17112</v>
      </c>
    </row>
    <row r="4286">
      <c r="A4286" s="234" t="s">
        <v>22352</v>
      </c>
      <c r="B4286" s="71" t="s">
        <v>17112</v>
      </c>
      <c r="C4286" s="71" t="s">
        <v>17111</v>
      </c>
    </row>
    <row r="4287">
      <c r="A4287" s="130" t="s">
        <v>22354</v>
      </c>
      <c r="B4287" s="71" t="s">
        <v>16582</v>
      </c>
      <c r="C4287" s="71" t="s">
        <v>16995</v>
      </c>
    </row>
    <row r="4288">
      <c r="A4288" s="234" t="s">
        <v>22356</v>
      </c>
      <c r="B4288" s="71" t="s">
        <v>18098</v>
      </c>
      <c r="C4288" s="71" t="s">
        <v>169</v>
      </c>
    </row>
    <row r="4289">
      <c r="A4289" s="234" t="s">
        <v>22356</v>
      </c>
      <c r="B4289" s="71" t="s">
        <v>169</v>
      </c>
      <c r="C4289" s="71" t="s">
        <v>18098</v>
      </c>
    </row>
    <row r="4290">
      <c r="A4290" s="234" t="s">
        <v>22358</v>
      </c>
      <c r="B4290" s="71" t="s">
        <v>18679</v>
      </c>
      <c r="C4290" s="71" t="s">
        <v>16838</v>
      </c>
    </row>
    <row r="4291">
      <c r="A4291" s="234" t="s">
        <v>22358</v>
      </c>
      <c r="B4291" s="71" t="s">
        <v>16838</v>
      </c>
      <c r="C4291" s="71" t="s">
        <v>18679</v>
      </c>
    </row>
    <row r="4292">
      <c r="A4292" s="130" t="s">
        <v>22360</v>
      </c>
      <c r="B4292" s="71" t="s">
        <v>17112</v>
      </c>
      <c r="C4292" s="71" t="s">
        <v>17111</v>
      </c>
    </row>
    <row r="4293">
      <c r="A4293" s="130" t="s">
        <v>22362</v>
      </c>
      <c r="B4293" s="71" t="s">
        <v>187</v>
      </c>
      <c r="C4293" s="71" t="s">
        <v>16846</v>
      </c>
    </row>
    <row r="4294">
      <c r="A4294" s="130" t="s">
        <v>22364</v>
      </c>
      <c r="B4294" s="71" t="s">
        <v>175</v>
      </c>
      <c r="C4294" s="71" t="s">
        <v>17013</v>
      </c>
    </row>
    <row r="4295">
      <c r="A4295" s="130" t="s">
        <v>22366</v>
      </c>
      <c r="B4295" s="71" t="s">
        <v>16838</v>
      </c>
      <c r="C4295" s="71" t="s">
        <v>17016</v>
      </c>
    </row>
    <row r="4296">
      <c r="A4296" s="130" t="s">
        <v>22367</v>
      </c>
      <c r="B4296" s="71" t="s">
        <v>175</v>
      </c>
      <c r="C4296" s="71" t="s">
        <v>16854</v>
      </c>
    </row>
    <row r="4297">
      <c r="A4297" s="234" t="s">
        <v>22369</v>
      </c>
      <c r="B4297" s="71" t="s">
        <v>17016</v>
      </c>
      <c r="C4297" s="71" t="s">
        <v>16838</v>
      </c>
    </row>
    <row r="4298">
      <c r="A4298" s="234" t="s">
        <v>22369</v>
      </c>
      <c r="B4298" s="71" t="s">
        <v>16838</v>
      </c>
      <c r="C4298" s="71" t="s">
        <v>17016</v>
      </c>
    </row>
    <row r="4299">
      <c r="A4299" s="234" t="s">
        <v>22371</v>
      </c>
      <c r="B4299" s="71" t="s">
        <v>17111</v>
      </c>
      <c r="C4299" s="71" t="s">
        <v>17112</v>
      </c>
    </row>
    <row r="4300">
      <c r="A4300" s="234" t="s">
        <v>22371</v>
      </c>
      <c r="B4300" s="71" t="s">
        <v>17112</v>
      </c>
      <c r="C4300" s="71" t="s">
        <v>17111</v>
      </c>
    </row>
    <row r="4301">
      <c r="A4301" s="130" t="s">
        <v>22373</v>
      </c>
      <c r="B4301" s="71" t="s">
        <v>175</v>
      </c>
      <c r="C4301" s="71" t="s">
        <v>17812</v>
      </c>
    </row>
    <row r="4302">
      <c r="A4302" s="130" t="s">
        <v>22375</v>
      </c>
      <c r="B4302" s="71" t="s">
        <v>16582</v>
      </c>
      <c r="C4302" s="71" t="s">
        <v>16817</v>
      </c>
    </row>
    <row r="4303">
      <c r="A4303" s="130" t="s">
        <v>22377</v>
      </c>
      <c r="B4303" s="71" t="s">
        <v>187</v>
      </c>
      <c r="C4303" s="71" t="s">
        <v>16846</v>
      </c>
    </row>
    <row r="4304">
      <c r="A4304" s="130" t="s">
        <v>22379</v>
      </c>
      <c r="B4304" s="71" t="s">
        <v>16919</v>
      </c>
      <c r="C4304" s="71" t="s">
        <v>110</v>
      </c>
    </row>
    <row r="4305">
      <c r="A4305" s="234" t="s">
        <v>22381</v>
      </c>
      <c r="B4305" s="71" t="s">
        <v>17259</v>
      </c>
      <c r="C4305" s="71" t="s">
        <v>187</v>
      </c>
    </row>
    <row r="4306">
      <c r="A4306" s="234" t="s">
        <v>22381</v>
      </c>
      <c r="B4306" s="71" t="s">
        <v>187</v>
      </c>
      <c r="C4306" s="71" t="s">
        <v>17259</v>
      </c>
    </row>
    <row r="4307">
      <c r="A4307" s="130" t="s">
        <v>22383</v>
      </c>
      <c r="B4307" s="71" t="s">
        <v>187</v>
      </c>
      <c r="C4307" s="71" t="s">
        <v>16992</v>
      </c>
    </row>
    <row r="4308">
      <c r="A4308" s="130" t="s">
        <v>22385</v>
      </c>
      <c r="B4308" s="71" t="s">
        <v>16838</v>
      </c>
      <c r="C4308" s="71" t="s">
        <v>16867</v>
      </c>
    </row>
    <row r="4309">
      <c r="A4309" s="130" t="s">
        <v>22387</v>
      </c>
      <c r="B4309" s="71" t="s">
        <v>187</v>
      </c>
      <c r="C4309" s="71" t="s">
        <v>16858</v>
      </c>
    </row>
    <row r="4310">
      <c r="A4310" s="234" t="s">
        <v>22389</v>
      </c>
      <c r="B4310" s="71" t="s">
        <v>169</v>
      </c>
      <c r="C4310" s="71" t="s">
        <v>17702</v>
      </c>
    </row>
    <row r="4311">
      <c r="A4311" s="234" t="s">
        <v>22389</v>
      </c>
      <c r="B4311" s="71" t="s">
        <v>17702</v>
      </c>
      <c r="C4311" s="130" t="s">
        <v>169</v>
      </c>
    </row>
    <row r="4312">
      <c r="A4312" s="130" t="s">
        <v>22391</v>
      </c>
      <c r="B4312" s="71" t="s">
        <v>16838</v>
      </c>
      <c r="C4312" s="71" t="s">
        <v>16867</v>
      </c>
    </row>
    <row r="4313">
      <c r="A4313" s="234" t="s">
        <v>22393</v>
      </c>
      <c r="B4313" s="71" t="s">
        <v>175</v>
      </c>
      <c r="C4313" s="71" t="s">
        <v>17391</v>
      </c>
    </row>
    <row r="4314">
      <c r="A4314" s="234" t="s">
        <v>22393</v>
      </c>
      <c r="B4314" s="71" t="s">
        <v>17391</v>
      </c>
      <c r="C4314" s="71" t="s">
        <v>175</v>
      </c>
    </row>
    <row r="4315">
      <c r="A4315" s="130" t="s">
        <v>22395</v>
      </c>
      <c r="B4315" s="71" t="s">
        <v>169</v>
      </c>
      <c r="C4315" s="71" t="s">
        <v>17339</v>
      </c>
    </row>
    <row r="4316">
      <c r="A4316" s="130" t="s">
        <v>22397</v>
      </c>
      <c r="B4316" s="71" t="s">
        <v>16838</v>
      </c>
      <c r="C4316" s="71" t="s">
        <v>17202</v>
      </c>
    </row>
    <row r="4317">
      <c r="A4317" s="234" t="s">
        <v>22399</v>
      </c>
      <c r="B4317" s="71" t="s">
        <v>169</v>
      </c>
      <c r="C4317" s="71" t="s">
        <v>17022</v>
      </c>
    </row>
    <row r="4318">
      <c r="A4318" s="234" t="s">
        <v>22399</v>
      </c>
      <c r="B4318" s="71" t="s">
        <v>17022</v>
      </c>
      <c r="C4318" s="71" t="s">
        <v>169</v>
      </c>
    </row>
    <row r="4319">
      <c r="A4319" s="234" t="s">
        <v>22401</v>
      </c>
      <c r="B4319" s="71" t="s">
        <v>175</v>
      </c>
      <c r="C4319" s="71" t="s">
        <v>17350</v>
      </c>
    </row>
    <row r="4320">
      <c r="A4320" s="234" t="s">
        <v>22401</v>
      </c>
      <c r="B4320" s="71" t="s">
        <v>17350</v>
      </c>
      <c r="C4320" s="71" t="s">
        <v>175</v>
      </c>
    </row>
    <row r="4321">
      <c r="A4321" s="234" t="s">
        <v>22403</v>
      </c>
      <c r="B4321" s="71" t="s">
        <v>17111</v>
      </c>
      <c r="C4321" s="71" t="s">
        <v>17112</v>
      </c>
    </row>
    <row r="4322">
      <c r="A4322" s="234" t="s">
        <v>22403</v>
      </c>
      <c r="B4322" s="71" t="s">
        <v>17112</v>
      </c>
      <c r="C4322" s="71" t="s">
        <v>17111</v>
      </c>
    </row>
    <row r="4323">
      <c r="A4323" s="234" t="s">
        <v>22405</v>
      </c>
      <c r="B4323" s="71"/>
      <c r="C4323" s="71"/>
    </row>
    <row r="4324">
      <c r="A4324" s="234" t="s">
        <v>22405</v>
      </c>
      <c r="B4324" s="71"/>
      <c r="C4324" s="71"/>
    </row>
    <row r="4325">
      <c r="A4325" s="130" t="s">
        <v>22407</v>
      </c>
      <c r="B4325" s="71" t="s">
        <v>187</v>
      </c>
      <c r="C4325" s="71" t="s">
        <v>16846</v>
      </c>
    </row>
    <row r="4326">
      <c r="A4326" s="234" t="s">
        <v>22409</v>
      </c>
      <c r="B4326" s="71" t="s">
        <v>175</v>
      </c>
      <c r="C4326" s="71" t="s">
        <v>17812</v>
      </c>
    </row>
    <row r="4327">
      <c r="A4327" s="234" t="s">
        <v>22409</v>
      </c>
      <c r="B4327" s="71" t="s">
        <v>17812</v>
      </c>
      <c r="C4327" s="71" t="s">
        <v>175</v>
      </c>
    </row>
    <row r="4328">
      <c r="A4328" s="234" t="s">
        <v>22411</v>
      </c>
      <c r="B4328" s="71" t="s">
        <v>16919</v>
      </c>
      <c r="C4328" s="71" t="s">
        <v>17176</v>
      </c>
    </row>
    <row r="4329">
      <c r="A4329" s="234" t="s">
        <v>22411</v>
      </c>
      <c r="B4329" s="71" t="s">
        <v>17176</v>
      </c>
      <c r="C4329" s="71" t="s">
        <v>16919</v>
      </c>
    </row>
    <row r="4330">
      <c r="A4330" s="130" t="s">
        <v>22413</v>
      </c>
      <c r="B4330" s="71" t="s">
        <v>16838</v>
      </c>
      <c r="C4330" s="71" t="s">
        <v>17019</v>
      </c>
    </row>
    <row r="4331">
      <c r="A4331" s="130" t="s">
        <v>22415</v>
      </c>
      <c r="B4331" s="71" t="s">
        <v>187</v>
      </c>
      <c r="C4331" s="71" t="s">
        <v>16851</v>
      </c>
    </row>
    <row r="4332">
      <c r="A4332" s="130" t="s">
        <v>22417</v>
      </c>
      <c r="B4332" s="71" t="s">
        <v>16582</v>
      </c>
      <c r="C4332" s="71" t="s">
        <v>16930</v>
      </c>
    </row>
    <row r="4333">
      <c r="A4333" s="130" t="s">
        <v>22419</v>
      </c>
      <c r="B4333" s="71" t="s">
        <v>169</v>
      </c>
      <c r="C4333" s="71" t="s">
        <v>17827</v>
      </c>
    </row>
    <row r="4334">
      <c r="A4334" s="234" t="s">
        <v>22421</v>
      </c>
      <c r="B4334" s="71" t="s">
        <v>17532</v>
      </c>
      <c r="C4334" s="71" t="s">
        <v>169</v>
      </c>
    </row>
    <row r="4335">
      <c r="A4335" s="234" t="s">
        <v>22421</v>
      </c>
      <c r="B4335" s="71" t="s">
        <v>169</v>
      </c>
      <c r="C4335" s="71" t="s">
        <v>17532</v>
      </c>
    </row>
    <row r="4336">
      <c r="A4336" s="234" t="s">
        <v>22423</v>
      </c>
      <c r="B4336" s="71" t="s">
        <v>169</v>
      </c>
      <c r="C4336" s="71" t="s">
        <v>17025</v>
      </c>
    </row>
    <row r="4337">
      <c r="A4337" s="234" t="s">
        <v>22423</v>
      </c>
      <c r="B4337" s="71" t="s">
        <v>17025</v>
      </c>
      <c r="C4337" s="71" t="s">
        <v>169</v>
      </c>
    </row>
    <row r="4338">
      <c r="A4338" s="234" t="s">
        <v>22425</v>
      </c>
      <c r="B4338" s="71" t="s">
        <v>16867</v>
      </c>
      <c r="C4338" s="71" t="s">
        <v>16838</v>
      </c>
    </row>
    <row r="4339">
      <c r="A4339" s="234" t="s">
        <v>22425</v>
      </c>
      <c r="B4339" s="71" t="s">
        <v>16838</v>
      </c>
      <c r="C4339" s="71" t="s">
        <v>16867</v>
      </c>
    </row>
    <row r="4340">
      <c r="A4340" s="130" t="s">
        <v>22427</v>
      </c>
      <c r="B4340" s="71" t="s">
        <v>158</v>
      </c>
      <c r="C4340" s="71" t="s">
        <v>20100</v>
      </c>
    </row>
    <row r="4341">
      <c r="A4341" s="234" t="s">
        <v>22429</v>
      </c>
      <c r="B4341" s="71" t="s">
        <v>17259</v>
      </c>
      <c r="C4341" s="71" t="s">
        <v>187</v>
      </c>
    </row>
    <row r="4342">
      <c r="A4342" s="234" t="s">
        <v>22429</v>
      </c>
      <c r="B4342" s="71" t="s">
        <v>187</v>
      </c>
      <c r="C4342" s="71" t="s">
        <v>17259</v>
      </c>
    </row>
    <row r="4343">
      <c r="A4343" s="234" t="s">
        <v>22431</v>
      </c>
      <c r="B4343" s="71" t="s">
        <v>16910</v>
      </c>
      <c r="C4343" s="71" t="s">
        <v>17013</v>
      </c>
    </row>
    <row r="4344">
      <c r="A4344" s="234" t="s">
        <v>22431</v>
      </c>
      <c r="B4344" s="71" t="s">
        <v>17013</v>
      </c>
      <c r="C4344" s="71" t="s">
        <v>16910</v>
      </c>
    </row>
    <row r="4345">
      <c r="A4345" s="234" t="s">
        <v>22433</v>
      </c>
      <c r="B4345" s="71" t="s">
        <v>16885</v>
      </c>
      <c r="C4345" s="71" t="s">
        <v>16886</v>
      </c>
    </row>
    <row r="4346">
      <c r="A4346" s="234" t="s">
        <v>22433</v>
      </c>
      <c r="B4346" s="71" t="s">
        <v>16886</v>
      </c>
      <c r="C4346" s="71" t="s">
        <v>16885</v>
      </c>
    </row>
    <row r="4347">
      <c r="A4347" s="234" t="s">
        <v>22435</v>
      </c>
      <c r="B4347" s="71" t="s">
        <v>17111</v>
      </c>
      <c r="C4347" s="71" t="s">
        <v>17112</v>
      </c>
    </row>
    <row r="4348">
      <c r="A4348" s="234" t="s">
        <v>22435</v>
      </c>
      <c r="B4348" s="71" t="s">
        <v>17112</v>
      </c>
      <c r="C4348" s="71" t="s">
        <v>17111</v>
      </c>
    </row>
    <row r="4349">
      <c r="A4349" s="234" t="s">
        <v>22437</v>
      </c>
      <c r="B4349" s="71" t="s">
        <v>17111</v>
      </c>
      <c r="C4349" s="71" t="s">
        <v>17112</v>
      </c>
    </row>
    <row r="4350">
      <c r="A4350" s="234" t="s">
        <v>22437</v>
      </c>
      <c r="B4350" s="71" t="s">
        <v>17112</v>
      </c>
      <c r="C4350" s="71" t="s">
        <v>17111</v>
      </c>
    </row>
    <row r="4351">
      <c r="A4351" s="130" t="s">
        <v>22439</v>
      </c>
      <c r="B4351" s="71" t="s">
        <v>16838</v>
      </c>
      <c r="C4351" s="71" t="s">
        <v>17016</v>
      </c>
    </row>
    <row r="4352">
      <c r="A4352" s="234" t="s">
        <v>22441</v>
      </c>
      <c r="B4352" s="71" t="s">
        <v>16838</v>
      </c>
      <c r="C4352" s="71" t="s">
        <v>17104</v>
      </c>
    </row>
    <row r="4353">
      <c r="A4353" s="234" t="s">
        <v>22441</v>
      </c>
      <c r="B4353" s="71" t="s">
        <v>17104</v>
      </c>
      <c r="C4353" s="71" t="s">
        <v>16838</v>
      </c>
    </row>
    <row r="4354">
      <c r="A4354" s="130" t="s">
        <v>22443</v>
      </c>
      <c r="B4354" s="71" t="s">
        <v>187</v>
      </c>
      <c r="C4354" s="71" t="s">
        <v>16858</v>
      </c>
    </row>
    <row r="4355">
      <c r="A4355" s="234" t="s">
        <v>22445</v>
      </c>
      <c r="B4355" s="71" t="s">
        <v>175</v>
      </c>
      <c r="C4355" s="71" t="s">
        <v>17350</v>
      </c>
    </row>
    <row r="4356">
      <c r="A4356" s="234" t="s">
        <v>22445</v>
      </c>
      <c r="B4356" s="71" t="s">
        <v>17350</v>
      </c>
      <c r="C4356" s="71" t="s">
        <v>175</v>
      </c>
    </row>
    <row r="4357">
      <c r="A4357" s="130" t="s">
        <v>22447</v>
      </c>
      <c r="B4357" s="71" t="s">
        <v>16838</v>
      </c>
      <c r="C4357" s="71" t="s">
        <v>16867</v>
      </c>
    </row>
    <row r="4358">
      <c r="A4358" s="234" t="s">
        <v>22449</v>
      </c>
      <c r="B4358" s="71" t="s">
        <v>17321</v>
      </c>
      <c r="C4358" s="71" t="s">
        <v>169</v>
      </c>
    </row>
    <row r="4359">
      <c r="A4359" s="234" t="s">
        <v>22449</v>
      </c>
      <c r="B4359" s="71" t="s">
        <v>169</v>
      </c>
      <c r="C4359" s="71" t="s">
        <v>17321</v>
      </c>
    </row>
    <row r="4360">
      <c r="A4360" s="234" t="s">
        <v>22451</v>
      </c>
      <c r="B4360" s="71" t="s">
        <v>175</v>
      </c>
      <c r="C4360" s="71" t="s">
        <v>17069</v>
      </c>
    </row>
    <row r="4361">
      <c r="A4361" s="234" t="s">
        <v>22451</v>
      </c>
      <c r="B4361" s="71" t="s">
        <v>17069</v>
      </c>
      <c r="C4361" s="71" t="s">
        <v>175</v>
      </c>
    </row>
    <row r="4362">
      <c r="A4362" s="234" t="s">
        <v>22453</v>
      </c>
      <c r="B4362" s="71" t="s">
        <v>16885</v>
      </c>
      <c r="C4362" s="71" t="s">
        <v>17726</v>
      </c>
    </row>
    <row r="4363">
      <c r="A4363" s="234" t="s">
        <v>22453</v>
      </c>
      <c r="B4363" s="71" t="s">
        <v>17726</v>
      </c>
      <c r="C4363" s="130" t="s">
        <v>16885</v>
      </c>
    </row>
    <row r="4364">
      <c r="A4364" s="130" t="s">
        <v>22455</v>
      </c>
      <c r="B4364" s="71" t="s">
        <v>16838</v>
      </c>
      <c r="C4364" s="71" t="s">
        <v>16837</v>
      </c>
    </row>
    <row r="4365">
      <c r="A4365" s="130" t="s">
        <v>22457</v>
      </c>
      <c r="B4365" s="71" t="s">
        <v>169</v>
      </c>
      <c r="C4365" s="71" t="s">
        <v>17532</v>
      </c>
    </row>
    <row r="4366">
      <c r="A4366" s="130" t="s">
        <v>22459</v>
      </c>
      <c r="B4366" s="71" t="s">
        <v>175</v>
      </c>
      <c r="C4366" s="71" t="s">
        <v>16854</v>
      </c>
    </row>
    <row r="4367">
      <c r="A4367" s="130" t="s">
        <v>22461</v>
      </c>
      <c r="B4367" s="71" t="s">
        <v>16582</v>
      </c>
      <c r="C4367" s="71" t="s">
        <v>16817</v>
      </c>
    </row>
    <row r="4368">
      <c r="A4368" s="130" t="s">
        <v>22463</v>
      </c>
      <c r="B4368" s="71" t="s">
        <v>16838</v>
      </c>
      <c r="C4368" s="71" t="s">
        <v>17019</v>
      </c>
    </row>
    <row r="4369">
      <c r="A4369" s="130" t="s">
        <v>22465</v>
      </c>
      <c r="B4369" s="71" t="s">
        <v>175</v>
      </c>
      <c r="C4369" s="71" t="s">
        <v>17606</v>
      </c>
    </row>
    <row r="4370">
      <c r="A4370" s="130" t="s">
        <v>22467</v>
      </c>
      <c r="B4370" s="71" t="s">
        <v>16582</v>
      </c>
      <c r="C4370" s="71" t="s">
        <v>16817</v>
      </c>
    </row>
    <row r="4371">
      <c r="A4371" s="234" t="s">
        <v>22469</v>
      </c>
      <c r="B4371" s="71" t="s">
        <v>16885</v>
      </c>
      <c r="C4371" s="71" t="s">
        <v>16886</v>
      </c>
    </row>
    <row r="4372">
      <c r="A4372" s="234" t="s">
        <v>22469</v>
      </c>
      <c r="B4372" s="71" t="s">
        <v>16886</v>
      </c>
      <c r="C4372" s="71" t="s">
        <v>16885</v>
      </c>
    </row>
    <row r="4373">
      <c r="A4373" s="130" t="s">
        <v>22471</v>
      </c>
      <c r="B4373" s="71" t="s">
        <v>16838</v>
      </c>
      <c r="C4373" s="71" t="s">
        <v>16867</v>
      </c>
    </row>
    <row r="4374">
      <c r="A4374" s="130" t="s">
        <v>22473</v>
      </c>
      <c r="B4374" s="71" t="s">
        <v>169</v>
      </c>
      <c r="C4374" s="71" t="s">
        <v>17057</v>
      </c>
    </row>
    <row r="4375">
      <c r="A4375" s="130" t="s">
        <v>22475</v>
      </c>
      <c r="B4375" s="71" t="s">
        <v>175</v>
      </c>
      <c r="C4375" s="71" t="s">
        <v>16878</v>
      </c>
    </row>
    <row r="4376">
      <c r="A4376" s="130" t="s">
        <v>22477</v>
      </c>
      <c r="B4376" s="71" t="s">
        <v>175</v>
      </c>
      <c r="C4376" s="71" t="s">
        <v>17480</v>
      </c>
    </row>
    <row r="4377">
      <c r="A4377" s="130" t="s">
        <v>22479</v>
      </c>
      <c r="B4377" s="71" t="s">
        <v>187</v>
      </c>
      <c r="C4377" s="71" t="s">
        <v>18633</v>
      </c>
    </row>
    <row r="4378">
      <c r="A4378" s="130" t="s">
        <v>22481</v>
      </c>
      <c r="B4378" s="71" t="s">
        <v>16838</v>
      </c>
      <c r="C4378" s="71" t="s">
        <v>16867</v>
      </c>
    </row>
    <row r="4379">
      <c r="A4379" s="130" t="s">
        <v>22483</v>
      </c>
      <c r="B4379" s="71" t="s">
        <v>16582</v>
      </c>
      <c r="C4379" s="71" t="s">
        <v>16899</v>
      </c>
    </row>
    <row r="4380">
      <c r="A4380" s="130" t="s">
        <v>22485</v>
      </c>
      <c r="B4380" s="71" t="s">
        <v>16919</v>
      </c>
      <c r="C4380" s="71" t="s">
        <v>16920</v>
      </c>
    </row>
    <row r="4381">
      <c r="A4381" s="130" t="s">
        <v>22487</v>
      </c>
      <c r="B4381" s="71" t="s">
        <v>169</v>
      </c>
      <c r="C4381" s="71" t="s">
        <v>16945</v>
      </c>
    </row>
    <row r="4382">
      <c r="A4382" s="234" t="s">
        <v>22489</v>
      </c>
      <c r="B4382" s="71" t="s">
        <v>16945</v>
      </c>
      <c r="C4382" s="71" t="s">
        <v>169</v>
      </c>
    </row>
    <row r="4383">
      <c r="A4383" s="234" t="s">
        <v>22489</v>
      </c>
      <c r="B4383" s="71" t="s">
        <v>169</v>
      </c>
      <c r="C4383" s="71" t="s">
        <v>16945</v>
      </c>
    </row>
    <row r="4384">
      <c r="A4384" s="234" t="s">
        <v>22491</v>
      </c>
      <c r="B4384" s="71" t="s">
        <v>169</v>
      </c>
      <c r="C4384" s="71" t="s">
        <v>17619</v>
      </c>
    </row>
    <row r="4385">
      <c r="A4385" s="234" t="s">
        <v>22491</v>
      </c>
      <c r="B4385" s="71" t="s">
        <v>17619</v>
      </c>
      <c r="C4385" s="71" t="s">
        <v>169</v>
      </c>
    </row>
    <row r="4386">
      <c r="A4386" s="130" t="s">
        <v>22493</v>
      </c>
      <c r="B4386" s="71" t="s">
        <v>16582</v>
      </c>
      <c r="C4386" s="71" t="s">
        <v>17435</v>
      </c>
    </row>
    <row r="4387">
      <c r="A4387" s="130" t="s">
        <v>22495</v>
      </c>
      <c r="B4387" s="71" t="s">
        <v>16582</v>
      </c>
      <c r="C4387" s="71" t="s">
        <v>16817</v>
      </c>
    </row>
    <row r="4388">
      <c r="A4388" s="234" t="s">
        <v>22497</v>
      </c>
      <c r="B4388" s="71" t="s">
        <v>17111</v>
      </c>
      <c r="C4388" s="71" t="s">
        <v>17112</v>
      </c>
    </row>
    <row r="4389">
      <c r="A4389" s="234" t="s">
        <v>22497</v>
      </c>
      <c r="B4389" s="71" t="s">
        <v>17112</v>
      </c>
      <c r="C4389" s="71" t="s">
        <v>17111</v>
      </c>
    </row>
    <row r="4390">
      <c r="A4390" s="234" t="s">
        <v>22499</v>
      </c>
      <c r="B4390" s="71" t="s">
        <v>16885</v>
      </c>
      <c r="C4390" s="71" t="s">
        <v>18381</v>
      </c>
    </row>
    <row r="4391">
      <c r="A4391" s="234" t="s">
        <v>22499</v>
      </c>
      <c r="B4391" s="71" t="s">
        <v>18381</v>
      </c>
      <c r="C4391" s="71" t="s">
        <v>16885</v>
      </c>
    </row>
    <row r="4392">
      <c r="A4392" s="234" t="s">
        <v>22501</v>
      </c>
      <c r="B4392" s="71" t="s">
        <v>17016</v>
      </c>
      <c r="C4392" s="71" t="s">
        <v>16838</v>
      </c>
    </row>
    <row r="4393">
      <c r="A4393" s="234" t="s">
        <v>22501</v>
      </c>
      <c r="B4393" s="71" t="s">
        <v>16838</v>
      </c>
      <c r="C4393" s="71" t="s">
        <v>17016</v>
      </c>
    </row>
    <row r="4394">
      <c r="A4394" s="130" t="s">
        <v>22503</v>
      </c>
      <c r="B4394" s="71" t="s">
        <v>175</v>
      </c>
      <c r="C4394" s="71" t="s">
        <v>19996</v>
      </c>
    </row>
    <row r="4395">
      <c r="A4395" s="234" t="s">
        <v>22505</v>
      </c>
      <c r="B4395" s="71"/>
      <c r="C4395" s="71"/>
    </row>
    <row r="4396">
      <c r="A4396" s="234" t="s">
        <v>22505</v>
      </c>
      <c r="B4396" s="71"/>
      <c r="C4396" s="71"/>
    </row>
    <row r="4397">
      <c r="A4397" s="234" t="s">
        <v>22507</v>
      </c>
      <c r="B4397" s="71"/>
      <c r="C4397" s="71"/>
    </row>
    <row r="4398">
      <c r="A4398" s="234" t="s">
        <v>22507</v>
      </c>
      <c r="B4398" s="71"/>
      <c r="C4398" s="71"/>
    </row>
    <row r="4399">
      <c r="A4399" s="234" t="s">
        <v>22509</v>
      </c>
      <c r="B4399" s="71" t="s">
        <v>19644</v>
      </c>
      <c r="C4399" s="71" t="s">
        <v>16838</v>
      </c>
    </row>
    <row r="4400">
      <c r="A4400" s="234" t="s">
        <v>22509</v>
      </c>
      <c r="B4400" s="71" t="s">
        <v>16838</v>
      </c>
      <c r="C4400" s="71" t="s">
        <v>19644</v>
      </c>
    </row>
    <row r="4401">
      <c r="A4401" s="234" t="s">
        <v>22511</v>
      </c>
      <c r="B4401" s="71" t="s">
        <v>17532</v>
      </c>
      <c r="C4401" s="71" t="s">
        <v>169</v>
      </c>
    </row>
    <row r="4402">
      <c r="A4402" s="234" t="s">
        <v>22511</v>
      </c>
      <c r="B4402" s="71" t="s">
        <v>169</v>
      </c>
      <c r="C4402" s="71" t="s">
        <v>17532</v>
      </c>
    </row>
    <row r="4403">
      <c r="A4403" s="130" t="s">
        <v>22513</v>
      </c>
      <c r="B4403" s="71" t="s">
        <v>16582</v>
      </c>
      <c r="C4403" s="71" t="s">
        <v>16817</v>
      </c>
    </row>
    <row r="4404">
      <c r="A4404" s="234" t="s">
        <v>22515</v>
      </c>
      <c r="B4404" s="71" t="s">
        <v>16838</v>
      </c>
      <c r="C4404" s="71" t="s">
        <v>16867</v>
      </c>
    </row>
    <row r="4405">
      <c r="A4405" s="234" t="s">
        <v>22515</v>
      </c>
      <c r="B4405" s="71" t="s">
        <v>16867</v>
      </c>
      <c r="C4405" s="130" t="s">
        <v>16838</v>
      </c>
    </row>
    <row r="4406">
      <c r="A4406" s="234" t="s">
        <v>22517</v>
      </c>
      <c r="B4406" s="71" t="s">
        <v>16838</v>
      </c>
      <c r="C4406" s="71" t="s">
        <v>17019</v>
      </c>
    </row>
    <row r="4407">
      <c r="A4407" s="234" t="s">
        <v>22517</v>
      </c>
      <c r="B4407" s="71" t="s">
        <v>17019</v>
      </c>
      <c r="C4407" s="71" t="s">
        <v>16838</v>
      </c>
    </row>
    <row r="4408">
      <c r="A4408" s="234" t="s">
        <v>22519</v>
      </c>
      <c r="B4408" s="71" t="s">
        <v>17202</v>
      </c>
      <c r="C4408" s="71" t="s">
        <v>16838</v>
      </c>
    </row>
    <row r="4409">
      <c r="A4409" s="234" t="s">
        <v>22519</v>
      </c>
      <c r="B4409" s="71" t="s">
        <v>16838</v>
      </c>
      <c r="C4409" s="71" t="s">
        <v>17202</v>
      </c>
    </row>
    <row r="4410">
      <c r="A4410" s="234" t="s">
        <v>22521</v>
      </c>
      <c r="B4410" s="71" t="s">
        <v>16582</v>
      </c>
      <c r="C4410" s="71" t="s">
        <v>16583</v>
      </c>
    </row>
    <row r="4411">
      <c r="A4411" s="234" t="s">
        <v>22521</v>
      </c>
      <c r="B4411" s="71" t="s">
        <v>16583</v>
      </c>
      <c r="C4411" s="71" t="s">
        <v>16582</v>
      </c>
    </row>
    <row r="4412">
      <c r="A4412" s="130" t="s">
        <v>22523</v>
      </c>
      <c r="B4412" s="71" t="s">
        <v>187</v>
      </c>
      <c r="C4412" s="71" t="s">
        <v>16846</v>
      </c>
    </row>
    <row r="4413">
      <c r="A4413" s="130" t="s">
        <v>22525</v>
      </c>
      <c r="B4413" s="71" t="s">
        <v>175</v>
      </c>
      <c r="C4413" s="71" t="s">
        <v>17812</v>
      </c>
    </row>
    <row r="4414">
      <c r="A4414" s="130" t="s">
        <v>22527</v>
      </c>
      <c r="B4414" s="71" t="s">
        <v>16838</v>
      </c>
      <c r="C4414" s="71" t="s">
        <v>17016</v>
      </c>
    </row>
    <row r="4415">
      <c r="A4415" s="130" t="s">
        <v>22529</v>
      </c>
      <c r="B4415" s="71" t="s">
        <v>187</v>
      </c>
      <c r="C4415" s="71" t="s">
        <v>16846</v>
      </c>
    </row>
    <row r="4416">
      <c r="A4416" s="130" t="s">
        <v>22531</v>
      </c>
      <c r="B4416" s="71" t="s">
        <v>187</v>
      </c>
      <c r="C4416" s="71" t="s">
        <v>16858</v>
      </c>
    </row>
    <row r="4417">
      <c r="A4417" s="234" t="s">
        <v>22533</v>
      </c>
      <c r="B4417" s="71" t="s">
        <v>16885</v>
      </c>
      <c r="C4417" s="71" t="s">
        <v>17726</v>
      </c>
    </row>
    <row r="4418">
      <c r="A4418" s="234" t="s">
        <v>22533</v>
      </c>
      <c r="B4418" s="71" t="s">
        <v>17726</v>
      </c>
      <c r="C4418" s="71" t="s">
        <v>16885</v>
      </c>
    </row>
    <row r="4419">
      <c r="A4419" s="130" t="s">
        <v>22535</v>
      </c>
      <c r="B4419" s="71" t="s">
        <v>16582</v>
      </c>
      <c r="C4419" s="71" t="s">
        <v>16899</v>
      </c>
    </row>
    <row r="4420">
      <c r="A4420" s="130" t="s">
        <v>22537</v>
      </c>
      <c r="B4420" s="71" t="s">
        <v>16838</v>
      </c>
      <c r="C4420" s="71" t="s">
        <v>17112</v>
      </c>
    </row>
    <row r="4421">
      <c r="A4421" s="130" t="s">
        <v>22539</v>
      </c>
      <c r="B4421" s="71" t="s">
        <v>17112</v>
      </c>
      <c r="C4421" s="71" t="s">
        <v>17111</v>
      </c>
    </row>
    <row r="4422">
      <c r="A4422" s="234" t="s">
        <v>22541</v>
      </c>
      <c r="B4422" s="71" t="s">
        <v>16838</v>
      </c>
      <c r="C4422" s="71" t="s">
        <v>18679</v>
      </c>
    </row>
    <row r="4423">
      <c r="A4423" s="234" t="s">
        <v>22541</v>
      </c>
      <c r="B4423" s="71" t="s">
        <v>18679</v>
      </c>
      <c r="C4423" s="71" t="s">
        <v>16838</v>
      </c>
    </row>
    <row r="4424">
      <c r="A4424" s="130" t="s">
        <v>22543</v>
      </c>
      <c r="B4424" s="71" t="s">
        <v>16838</v>
      </c>
      <c r="C4424" s="71" t="s">
        <v>17202</v>
      </c>
    </row>
    <row r="4425">
      <c r="A4425" s="130" t="s">
        <v>22545</v>
      </c>
      <c r="B4425" s="71" t="s">
        <v>187</v>
      </c>
      <c r="C4425" s="71" t="s">
        <v>16846</v>
      </c>
    </row>
    <row r="4426">
      <c r="A4426" s="234" t="s">
        <v>22547</v>
      </c>
      <c r="B4426" s="71" t="s">
        <v>175</v>
      </c>
      <c r="C4426" s="71" t="s">
        <v>16824</v>
      </c>
    </row>
    <row r="4427">
      <c r="A4427" s="234" t="s">
        <v>22547</v>
      </c>
      <c r="B4427" s="71" t="s">
        <v>16824</v>
      </c>
      <c r="C4427" s="71" t="s">
        <v>175</v>
      </c>
    </row>
    <row r="4428">
      <c r="A4428" s="234" t="s">
        <v>22549</v>
      </c>
      <c r="B4428" s="71" t="s">
        <v>17016</v>
      </c>
      <c r="C4428" s="71" t="s">
        <v>16838</v>
      </c>
    </row>
    <row r="4429">
      <c r="A4429" s="234" t="s">
        <v>22549</v>
      </c>
      <c r="B4429" s="71" t="s">
        <v>16838</v>
      </c>
      <c r="C4429" s="71" t="s">
        <v>17016</v>
      </c>
    </row>
    <row r="4430">
      <c r="A4430" s="130" t="s">
        <v>22551</v>
      </c>
      <c r="B4430" s="71" t="s">
        <v>17112</v>
      </c>
      <c r="C4430" s="71" t="s">
        <v>17111</v>
      </c>
    </row>
    <row r="4431">
      <c r="A4431" s="234" t="s">
        <v>22553</v>
      </c>
      <c r="B4431" s="71" t="s">
        <v>16910</v>
      </c>
      <c r="C4431" s="71" t="s">
        <v>17119</v>
      </c>
    </row>
    <row r="4432">
      <c r="A4432" s="234" t="s">
        <v>22553</v>
      </c>
      <c r="B4432" s="71" t="s">
        <v>17119</v>
      </c>
      <c r="C4432" s="71" t="s">
        <v>16910</v>
      </c>
    </row>
    <row r="4433">
      <c r="A4433" s="234" t="s">
        <v>22555</v>
      </c>
      <c r="B4433" s="71" t="s">
        <v>17111</v>
      </c>
      <c r="C4433" s="71" t="s">
        <v>17112</v>
      </c>
    </row>
    <row r="4434">
      <c r="A4434" s="234" t="s">
        <v>22555</v>
      </c>
      <c r="B4434" s="71" t="s">
        <v>17112</v>
      </c>
      <c r="C4434" s="71" t="s">
        <v>17111</v>
      </c>
    </row>
    <row r="4435">
      <c r="A4435" s="130" t="s">
        <v>22557</v>
      </c>
      <c r="B4435" s="71" t="s">
        <v>187</v>
      </c>
      <c r="C4435" s="71" t="s">
        <v>16858</v>
      </c>
    </row>
    <row r="4436">
      <c r="A4436" s="130" t="s">
        <v>22559</v>
      </c>
      <c r="B4436" s="71" t="s">
        <v>16582</v>
      </c>
      <c r="C4436" s="71" t="s">
        <v>16930</v>
      </c>
    </row>
    <row r="4437">
      <c r="A4437" s="234" t="s">
        <v>22561</v>
      </c>
      <c r="B4437" s="71" t="s">
        <v>17202</v>
      </c>
      <c r="C4437" s="71" t="s">
        <v>16838</v>
      </c>
    </row>
    <row r="4438">
      <c r="A4438" s="234" t="s">
        <v>22561</v>
      </c>
      <c r="B4438" s="71" t="s">
        <v>16838</v>
      </c>
      <c r="C4438" s="71" t="s">
        <v>17202</v>
      </c>
    </row>
    <row r="4439">
      <c r="A4439" s="234" t="s">
        <v>22563</v>
      </c>
      <c r="B4439" s="71" t="s">
        <v>17495</v>
      </c>
      <c r="C4439" s="71" t="s">
        <v>17629</v>
      </c>
    </row>
    <row r="4440">
      <c r="A4440" s="234" t="s">
        <v>22563</v>
      </c>
      <c r="B4440" s="71" t="s">
        <v>17629</v>
      </c>
      <c r="C4440" s="71" t="s">
        <v>17495</v>
      </c>
    </row>
    <row r="4441">
      <c r="A4441" s="130" t="s">
        <v>22565</v>
      </c>
      <c r="B4441" s="71" t="s">
        <v>169</v>
      </c>
      <c r="C4441" s="71" t="s">
        <v>17025</v>
      </c>
    </row>
    <row r="4442">
      <c r="A4442" s="234" t="s">
        <v>22567</v>
      </c>
      <c r="B4442" s="71" t="s">
        <v>16957</v>
      </c>
      <c r="C4442" s="71" t="s">
        <v>16926</v>
      </c>
    </row>
    <row r="4443">
      <c r="A4443" s="234" t="s">
        <v>22567</v>
      </c>
      <c r="B4443" s="71" t="s">
        <v>16926</v>
      </c>
      <c r="C4443" s="71" t="s">
        <v>16957</v>
      </c>
    </row>
    <row r="4444">
      <c r="A4444" s="130" t="s">
        <v>22569</v>
      </c>
      <c r="B4444" s="71" t="s">
        <v>16582</v>
      </c>
      <c r="C4444" s="71" t="s">
        <v>16995</v>
      </c>
    </row>
    <row r="4445">
      <c r="A4445" s="234" t="s">
        <v>22571</v>
      </c>
      <c r="B4445" s="71" t="s">
        <v>17111</v>
      </c>
      <c r="C4445" s="71" t="s">
        <v>17112</v>
      </c>
    </row>
    <row r="4446">
      <c r="A4446" s="234" t="s">
        <v>22571</v>
      </c>
      <c r="B4446" s="71" t="s">
        <v>17112</v>
      </c>
      <c r="C4446" s="71" t="s">
        <v>17111</v>
      </c>
    </row>
    <row r="4447">
      <c r="A4447" s="234" t="s">
        <v>22573</v>
      </c>
      <c r="B4447" s="71" t="s">
        <v>187</v>
      </c>
      <c r="C4447" s="71" t="s">
        <v>17122</v>
      </c>
    </row>
    <row r="4448">
      <c r="A4448" s="234" t="s">
        <v>22573</v>
      </c>
      <c r="B4448" s="71" t="s">
        <v>17122</v>
      </c>
      <c r="C4448" s="71" t="s">
        <v>187</v>
      </c>
    </row>
    <row r="4449">
      <c r="A4449" s="234" t="s">
        <v>22575</v>
      </c>
      <c r="B4449" s="71" t="s">
        <v>169</v>
      </c>
      <c r="C4449" s="71" t="s">
        <v>17442</v>
      </c>
    </row>
    <row r="4450">
      <c r="A4450" s="234" t="s">
        <v>22575</v>
      </c>
      <c r="B4450" s="71" t="s">
        <v>17442</v>
      </c>
      <c r="C4450" s="71" t="s">
        <v>169</v>
      </c>
    </row>
    <row r="4451">
      <c r="A4451" s="130" t="s">
        <v>22577</v>
      </c>
      <c r="B4451" s="71" t="s">
        <v>169</v>
      </c>
      <c r="C4451" s="71" t="s">
        <v>17339</v>
      </c>
    </row>
    <row r="4452">
      <c r="A4452" s="234" t="s">
        <v>22579</v>
      </c>
      <c r="B4452" s="71" t="s">
        <v>19644</v>
      </c>
      <c r="C4452" s="71" t="s">
        <v>16838</v>
      </c>
    </row>
    <row r="4453">
      <c r="A4453" s="234" t="s">
        <v>22579</v>
      </c>
      <c r="B4453" s="71" t="s">
        <v>16838</v>
      </c>
      <c r="C4453" s="71" t="s">
        <v>19644</v>
      </c>
    </row>
    <row r="4454">
      <c r="A4454" s="234" t="s">
        <v>22581</v>
      </c>
      <c r="B4454" s="71" t="s">
        <v>17016</v>
      </c>
      <c r="C4454" s="71" t="s">
        <v>16838</v>
      </c>
    </row>
    <row r="4455">
      <c r="A4455" s="234" t="s">
        <v>22581</v>
      </c>
      <c r="B4455" s="71" t="s">
        <v>16838</v>
      </c>
      <c r="C4455" s="71" t="s">
        <v>17016</v>
      </c>
    </row>
    <row r="4456">
      <c r="A4456" s="130" t="s">
        <v>22583</v>
      </c>
      <c r="B4456" s="71" t="s">
        <v>187</v>
      </c>
      <c r="C4456" s="71" t="s">
        <v>17259</v>
      </c>
    </row>
    <row r="4457">
      <c r="A4457" s="234" t="s">
        <v>22585</v>
      </c>
      <c r="B4457" s="71" t="s">
        <v>175</v>
      </c>
      <c r="C4457" s="71" t="s">
        <v>20534</v>
      </c>
    </row>
    <row r="4458">
      <c r="A4458" s="234" t="s">
        <v>22585</v>
      </c>
      <c r="B4458" s="71" t="s">
        <v>20534</v>
      </c>
      <c r="C4458" s="71" t="s">
        <v>175</v>
      </c>
    </row>
    <row r="4459">
      <c r="A4459" s="234" t="s">
        <v>22587</v>
      </c>
      <c r="B4459" s="71" t="s">
        <v>169</v>
      </c>
      <c r="C4459" s="71" t="s">
        <v>17619</v>
      </c>
    </row>
    <row r="4460">
      <c r="A4460" s="234" t="s">
        <v>22587</v>
      </c>
      <c r="B4460" s="71" t="s">
        <v>17619</v>
      </c>
      <c r="C4460" s="71" t="s">
        <v>169</v>
      </c>
    </row>
    <row r="4461">
      <c r="A4461" s="130" t="s">
        <v>22589</v>
      </c>
      <c r="B4461" s="71" t="s">
        <v>16838</v>
      </c>
      <c r="C4461" s="71" t="s">
        <v>16867</v>
      </c>
    </row>
    <row r="4462">
      <c r="A4462" s="130" t="s">
        <v>22591</v>
      </c>
      <c r="B4462" s="71" t="s">
        <v>16838</v>
      </c>
      <c r="C4462" s="71" t="s">
        <v>16867</v>
      </c>
    </row>
    <row r="4463">
      <c r="A4463" s="130" t="s">
        <v>22593</v>
      </c>
      <c r="B4463" s="71" t="s">
        <v>16582</v>
      </c>
      <c r="C4463" s="71" t="s">
        <v>16828</v>
      </c>
    </row>
    <row r="4464">
      <c r="A4464" s="130" t="s">
        <v>22595</v>
      </c>
      <c r="B4464" s="71" t="s">
        <v>175</v>
      </c>
      <c r="C4464" s="71" t="s">
        <v>16854</v>
      </c>
    </row>
    <row r="4465">
      <c r="A4465" s="234" t="s">
        <v>22597</v>
      </c>
      <c r="B4465" s="71" t="s">
        <v>16582</v>
      </c>
      <c r="C4465" s="71" t="s">
        <v>16930</v>
      </c>
    </row>
    <row r="4466">
      <c r="A4466" s="234" t="s">
        <v>22597</v>
      </c>
      <c r="B4466" s="71" t="s">
        <v>16930</v>
      </c>
      <c r="C4466" s="71" t="s">
        <v>16582</v>
      </c>
    </row>
    <row r="4467">
      <c r="A4467" s="234" t="s">
        <v>22599</v>
      </c>
      <c r="B4467" s="71" t="s">
        <v>17111</v>
      </c>
      <c r="C4467" s="71" t="s">
        <v>17112</v>
      </c>
    </row>
    <row r="4468">
      <c r="A4468" s="234" t="s">
        <v>22599</v>
      </c>
      <c r="B4468" s="71" t="s">
        <v>17112</v>
      </c>
      <c r="C4468" s="71" t="s">
        <v>17111</v>
      </c>
    </row>
    <row r="4469">
      <c r="A4469" s="130" t="s">
        <v>22601</v>
      </c>
      <c r="B4469" s="71" t="s">
        <v>175</v>
      </c>
      <c r="C4469" s="71" t="s">
        <v>17812</v>
      </c>
    </row>
    <row r="4470">
      <c r="A4470" s="234" t="s">
        <v>22603</v>
      </c>
      <c r="B4470" s="71" t="s">
        <v>17057</v>
      </c>
      <c r="C4470" s="71" t="s">
        <v>169</v>
      </c>
    </row>
    <row r="4471">
      <c r="A4471" s="234" t="s">
        <v>22603</v>
      </c>
      <c r="B4471" s="71" t="s">
        <v>169</v>
      </c>
      <c r="C4471" s="71" t="s">
        <v>17057</v>
      </c>
    </row>
    <row r="4472">
      <c r="A4472" s="130" t="s">
        <v>22605</v>
      </c>
      <c r="B4472" s="71" t="s">
        <v>187</v>
      </c>
      <c r="C4472" s="71" t="s">
        <v>16846</v>
      </c>
    </row>
    <row r="4473">
      <c r="A4473" s="234" t="s">
        <v>22607</v>
      </c>
      <c r="B4473" s="71" t="s">
        <v>17112</v>
      </c>
      <c r="C4473" s="71" t="s">
        <v>17787</v>
      </c>
    </row>
    <row r="4474">
      <c r="A4474" s="234" t="s">
        <v>22607</v>
      </c>
      <c r="B4474" s="71" t="s">
        <v>17787</v>
      </c>
      <c r="C4474" s="71" t="s">
        <v>17112</v>
      </c>
    </row>
    <row r="4475">
      <c r="A4475" s="130" t="s">
        <v>22609</v>
      </c>
      <c r="B4475" s="71" t="s">
        <v>175</v>
      </c>
      <c r="C4475" s="71" t="s">
        <v>17812</v>
      </c>
    </row>
    <row r="4476">
      <c r="A4476" s="234" t="s">
        <v>22611</v>
      </c>
      <c r="B4476" s="71" t="s">
        <v>175</v>
      </c>
      <c r="C4476" s="71" t="s">
        <v>17031</v>
      </c>
    </row>
    <row r="4477">
      <c r="A4477" s="234" t="s">
        <v>22611</v>
      </c>
      <c r="B4477" s="71" t="s">
        <v>17031</v>
      </c>
      <c r="C4477" s="71" t="s">
        <v>175</v>
      </c>
    </row>
    <row r="4478">
      <c r="A4478" s="234" t="s">
        <v>22613</v>
      </c>
      <c r="B4478" s="71" t="s">
        <v>16838</v>
      </c>
      <c r="C4478" s="71" t="s">
        <v>17112</v>
      </c>
    </row>
    <row r="4479">
      <c r="A4479" s="234" t="s">
        <v>22613</v>
      </c>
      <c r="B4479" s="71" t="s">
        <v>17112</v>
      </c>
      <c r="C4479" s="71" t="s">
        <v>16838</v>
      </c>
    </row>
    <row r="4480">
      <c r="A4480" s="130" t="s">
        <v>22615</v>
      </c>
      <c r="B4480" s="71" t="s">
        <v>16838</v>
      </c>
      <c r="C4480" s="71" t="s">
        <v>16837</v>
      </c>
    </row>
    <row r="4481">
      <c r="A4481" s="234" t="s">
        <v>22617</v>
      </c>
      <c r="B4481" s="71" t="s">
        <v>16919</v>
      </c>
      <c r="C4481" s="71" t="s">
        <v>17176</v>
      </c>
    </row>
    <row r="4482">
      <c r="A4482" s="234" t="s">
        <v>22617</v>
      </c>
      <c r="B4482" s="71" t="s">
        <v>17176</v>
      </c>
      <c r="C4482" s="71" t="s">
        <v>16919</v>
      </c>
    </row>
    <row r="4483">
      <c r="A4483" s="130" t="s">
        <v>22619</v>
      </c>
      <c r="B4483" s="71" t="s">
        <v>187</v>
      </c>
      <c r="C4483" s="71" t="s">
        <v>16846</v>
      </c>
    </row>
    <row r="4484">
      <c r="A4484" s="130" t="s">
        <v>22621</v>
      </c>
      <c r="B4484" s="71" t="s">
        <v>16838</v>
      </c>
      <c r="C4484" s="71" t="s">
        <v>17016</v>
      </c>
    </row>
    <row r="4485">
      <c r="A4485" s="130" t="s">
        <v>22623</v>
      </c>
      <c r="B4485" s="71" t="s">
        <v>175</v>
      </c>
      <c r="C4485" s="71" t="s">
        <v>18723</v>
      </c>
    </row>
    <row r="4486">
      <c r="A4486" s="130" t="s">
        <v>22625</v>
      </c>
      <c r="B4486" s="71" t="s">
        <v>175</v>
      </c>
      <c r="C4486" s="71" t="s">
        <v>17031</v>
      </c>
    </row>
    <row r="4487">
      <c r="A4487" s="234" t="s">
        <v>22627</v>
      </c>
      <c r="B4487" s="71" t="s">
        <v>16910</v>
      </c>
      <c r="C4487" s="71" t="s">
        <v>16911</v>
      </c>
    </row>
    <row r="4488">
      <c r="A4488" s="234" t="s">
        <v>22627</v>
      </c>
      <c r="B4488" s="71" t="s">
        <v>16911</v>
      </c>
      <c r="C4488" s="71" t="s">
        <v>16910</v>
      </c>
    </row>
    <row r="4489">
      <c r="A4489" s="234" t="s">
        <v>22629</v>
      </c>
      <c r="B4489" s="71" t="s">
        <v>175</v>
      </c>
      <c r="C4489" s="71" t="s">
        <v>17233</v>
      </c>
    </row>
    <row r="4490">
      <c r="A4490" s="234" t="s">
        <v>22629</v>
      </c>
      <c r="B4490" s="71" t="s">
        <v>17233</v>
      </c>
      <c r="C4490" s="71" t="s">
        <v>175</v>
      </c>
    </row>
    <row r="4491">
      <c r="A4491" s="130" t="s">
        <v>22631</v>
      </c>
      <c r="B4491" s="71" t="s">
        <v>175</v>
      </c>
      <c r="C4491" s="71" t="s">
        <v>17509</v>
      </c>
    </row>
    <row r="4492">
      <c r="A4492" s="130" t="s">
        <v>22633</v>
      </c>
      <c r="B4492" s="71" t="s">
        <v>175</v>
      </c>
      <c r="C4492" s="71" t="s">
        <v>17812</v>
      </c>
    </row>
    <row r="4493">
      <c r="A4493" s="234" t="s">
        <v>22635</v>
      </c>
      <c r="B4493" s="71" t="s">
        <v>17111</v>
      </c>
      <c r="C4493" s="71" t="s">
        <v>17112</v>
      </c>
    </row>
    <row r="4494">
      <c r="A4494" s="234" t="s">
        <v>22635</v>
      </c>
      <c r="B4494" s="71" t="s">
        <v>17112</v>
      </c>
      <c r="C4494" s="71" t="s">
        <v>17111</v>
      </c>
    </row>
    <row r="4495">
      <c r="A4495" s="130" t="s">
        <v>22637</v>
      </c>
      <c r="B4495" s="71" t="s">
        <v>16838</v>
      </c>
      <c r="C4495" s="71" t="s">
        <v>16867</v>
      </c>
    </row>
    <row r="4496">
      <c r="A4496" s="234" t="s">
        <v>22639</v>
      </c>
      <c r="B4496" s="71" t="s">
        <v>175</v>
      </c>
      <c r="C4496" s="71" t="s">
        <v>17350</v>
      </c>
    </row>
    <row r="4497">
      <c r="A4497" s="234" t="s">
        <v>22639</v>
      </c>
      <c r="B4497" s="71" t="s">
        <v>17350</v>
      </c>
      <c r="C4497" s="71" t="s">
        <v>175</v>
      </c>
    </row>
    <row r="4498">
      <c r="A4498" s="130" t="s">
        <v>22641</v>
      </c>
      <c r="B4498" s="71" t="s">
        <v>16838</v>
      </c>
      <c r="C4498" s="71" t="s">
        <v>16867</v>
      </c>
    </row>
    <row r="4499">
      <c r="A4499" s="130" t="s">
        <v>22643</v>
      </c>
      <c r="B4499" s="71" t="s">
        <v>187</v>
      </c>
      <c r="C4499" s="71" t="s">
        <v>18633</v>
      </c>
    </row>
    <row r="4500">
      <c r="A4500" s="234" t="s">
        <v>22645</v>
      </c>
      <c r="B4500" s="71" t="s">
        <v>16582</v>
      </c>
      <c r="C4500" s="71" t="s">
        <v>16930</v>
      </c>
    </row>
    <row r="4501">
      <c r="A4501" s="234" t="s">
        <v>22645</v>
      </c>
      <c r="B4501" s="71" t="s">
        <v>16930</v>
      </c>
      <c r="C4501" s="71" t="s">
        <v>16582</v>
      </c>
    </row>
    <row r="4502">
      <c r="A4502" s="234" t="s">
        <v>22647</v>
      </c>
      <c r="B4502" s="71" t="s">
        <v>17202</v>
      </c>
      <c r="C4502" s="71" t="s">
        <v>16838</v>
      </c>
    </row>
    <row r="4503">
      <c r="A4503" s="234" t="s">
        <v>22647</v>
      </c>
      <c r="B4503" s="71" t="s">
        <v>16838</v>
      </c>
      <c r="C4503" s="71" t="s">
        <v>17202</v>
      </c>
    </row>
    <row r="4504">
      <c r="A4504" s="130" t="s">
        <v>22649</v>
      </c>
      <c r="B4504" s="71" t="s">
        <v>16838</v>
      </c>
      <c r="C4504" s="71" t="s">
        <v>17202</v>
      </c>
    </row>
    <row r="4505">
      <c r="A4505" s="130" t="s">
        <v>22651</v>
      </c>
      <c r="B4505" s="71" t="s">
        <v>169</v>
      </c>
      <c r="C4505" s="71" t="s">
        <v>18862</v>
      </c>
    </row>
    <row r="4506">
      <c r="A4506" s="234" t="s">
        <v>22653</v>
      </c>
      <c r="B4506" s="71" t="s">
        <v>17202</v>
      </c>
      <c r="C4506" s="71" t="s">
        <v>16838</v>
      </c>
    </row>
    <row r="4507">
      <c r="A4507" s="234" t="s">
        <v>22653</v>
      </c>
      <c r="B4507" s="71" t="s">
        <v>16838</v>
      </c>
      <c r="C4507" s="71" t="s">
        <v>17202</v>
      </c>
    </row>
    <row r="4508">
      <c r="A4508" s="130" t="s">
        <v>22655</v>
      </c>
      <c r="B4508" s="71" t="s">
        <v>187</v>
      </c>
      <c r="C4508" s="71" t="s">
        <v>16846</v>
      </c>
    </row>
    <row r="4509">
      <c r="A4509" s="130" t="s">
        <v>22657</v>
      </c>
      <c r="B4509" s="71" t="s">
        <v>175</v>
      </c>
      <c r="C4509" s="71" t="s">
        <v>16854</v>
      </c>
    </row>
    <row r="4510">
      <c r="A4510" s="234" t="s">
        <v>22659</v>
      </c>
      <c r="B4510" s="71" t="s">
        <v>175</v>
      </c>
      <c r="C4510" s="71" t="s">
        <v>16854</v>
      </c>
    </row>
    <row r="4511">
      <c r="A4511" s="234" t="s">
        <v>22659</v>
      </c>
      <c r="B4511" s="71" t="s">
        <v>16854</v>
      </c>
      <c r="C4511" s="71" t="s">
        <v>175</v>
      </c>
    </row>
    <row r="4512">
      <c r="A4512" s="130" t="s">
        <v>22661</v>
      </c>
      <c r="B4512" s="71" t="s">
        <v>187</v>
      </c>
      <c r="C4512" s="71" t="s">
        <v>17122</v>
      </c>
    </row>
    <row r="4513">
      <c r="A4513" s="130" t="s">
        <v>22663</v>
      </c>
      <c r="B4513" s="71" t="s">
        <v>16582</v>
      </c>
      <c r="C4513" s="71" t="s">
        <v>16817</v>
      </c>
    </row>
    <row r="4514">
      <c r="A4514" s="234" t="s">
        <v>22665</v>
      </c>
      <c r="B4514" s="71" t="s">
        <v>17111</v>
      </c>
      <c r="C4514" s="71" t="s">
        <v>17112</v>
      </c>
    </row>
    <row r="4515">
      <c r="A4515" s="234" t="s">
        <v>22665</v>
      </c>
      <c r="B4515" s="71" t="s">
        <v>17112</v>
      </c>
      <c r="C4515" s="71" t="s">
        <v>17111</v>
      </c>
    </row>
    <row r="4516">
      <c r="A4516" s="234" t="s">
        <v>22667</v>
      </c>
      <c r="B4516" s="71" t="s">
        <v>175</v>
      </c>
      <c r="C4516" s="71" t="s">
        <v>16975</v>
      </c>
    </row>
    <row r="4517">
      <c r="A4517" s="234" t="s">
        <v>22667</v>
      </c>
      <c r="B4517" s="71" t="s">
        <v>16975</v>
      </c>
      <c r="C4517" s="71" t="s">
        <v>175</v>
      </c>
    </row>
    <row r="4518">
      <c r="A4518" s="234" t="s">
        <v>22669</v>
      </c>
      <c r="B4518" s="71" t="s">
        <v>16919</v>
      </c>
      <c r="C4518" s="71" t="s">
        <v>17176</v>
      </c>
    </row>
    <row r="4519">
      <c r="A4519" s="234" t="s">
        <v>22669</v>
      </c>
      <c r="B4519" s="71" t="s">
        <v>17176</v>
      </c>
      <c r="C4519" s="71" t="s">
        <v>16919</v>
      </c>
    </row>
    <row r="4520">
      <c r="A4520" s="130" t="s">
        <v>22671</v>
      </c>
      <c r="B4520" s="71" t="s">
        <v>187</v>
      </c>
      <c r="C4520" s="71" t="s">
        <v>16992</v>
      </c>
    </row>
    <row r="4521">
      <c r="A4521" s="234" t="s">
        <v>22673</v>
      </c>
      <c r="B4521" s="71" t="s">
        <v>17127</v>
      </c>
      <c r="C4521" s="71" t="s">
        <v>16838</v>
      </c>
    </row>
    <row r="4522">
      <c r="A4522" s="234" t="s">
        <v>22673</v>
      </c>
      <c r="B4522" s="71" t="s">
        <v>16838</v>
      </c>
      <c r="C4522" s="71" t="s">
        <v>17127</v>
      </c>
    </row>
    <row r="4523">
      <c r="A4523" s="130" t="s">
        <v>22675</v>
      </c>
      <c r="B4523" s="71" t="s">
        <v>16582</v>
      </c>
      <c r="C4523" s="71" t="s">
        <v>16828</v>
      </c>
    </row>
    <row r="4524">
      <c r="A4524" s="234" t="s">
        <v>22677</v>
      </c>
      <c r="B4524" s="71" t="s">
        <v>16945</v>
      </c>
      <c r="C4524" s="71" t="s">
        <v>169</v>
      </c>
    </row>
    <row r="4525">
      <c r="A4525" s="234" t="s">
        <v>22677</v>
      </c>
      <c r="B4525" s="71" t="s">
        <v>169</v>
      </c>
      <c r="C4525" s="71" t="s">
        <v>16945</v>
      </c>
    </row>
    <row r="4526">
      <c r="A4526" s="130" t="s">
        <v>22679</v>
      </c>
      <c r="B4526" s="71" t="s">
        <v>187</v>
      </c>
      <c r="C4526" s="71" t="s">
        <v>16992</v>
      </c>
    </row>
    <row r="4527">
      <c r="A4527" s="234" t="s">
        <v>22681</v>
      </c>
      <c r="B4527" s="71" t="s">
        <v>16838</v>
      </c>
      <c r="C4527" s="71" t="s">
        <v>17127</v>
      </c>
    </row>
    <row r="4528">
      <c r="A4528" s="234" t="s">
        <v>22681</v>
      </c>
      <c r="B4528" s="71" t="s">
        <v>17127</v>
      </c>
      <c r="C4528" s="71" t="s">
        <v>16838</v>
      </c>
    </row>
    <row r="4529">
      <c r="A4529" s="234" t="s">
        <v>22683</v>
      </c>
      <c r="B4529" s="71" t="s">
        <v>17111</v>
      </c>
      <c r="C4529" s="71" t="s">
        <v>17112</v>
      </c>
    </row>
    <row r="4530">
      <c r="A4530" s="234" t="s">
        <v>22683</v>
      </c>
      <c r="B4530" s="71" t="s">
        <v>17112</v>
      </c>
      <c r="C4530" s="71" t="s">
        <v>17111</v>
      </c>
    </row>
    <row r="4531">
      <c r="A4531" s="234" t="s">
        <v>22685</v>
      </c>
      <c r="B4531" s="71" t="s">
        <v>16838</v>
      </c>
      <c r="C4531" s="71" t="s">
        <v>17002</v>
      </c>
    </row>
    <row r="4532">
      <c r="A4532" s="234" t="s">
        <v>22685</v>
      </c>
      <c r="B4532" s="71" t="s">
        <v>17002</v>
      </c>
      <c r="C4532" s="71" t="s">
        <v>16838</v>
      </c>
    </row>
    <row r="4533">
      <c r="A4533" s="130" t="s">
        <v>22687</v>
      </c>
      <c r="B4533" s="71" t="s">
        <v>16838</v>
      </c>
      <c r="C4533" s="71" t="s">
        <v>16867</v>
      </c>
    </row>
    <row r="4534">
      <c r="A4534" s="130" t="s">
        <v>22689</v>
      </c>
      <c r="B4534" s="71" t="s">
        <v>16838</v>
      </c>
      <c r="C4534" s="71" t="s">
        <v>17016</v>
      </c>
    </row>
    <row r="4535">
      <c r="A4535" s="234" t="s">
        <v>22691</v>
      </c>
      <c r="B4535" s="71" t="s">
        <v>175</v>
      </c>
      <c r="C4535" s="71" t="s">
        <v>17069</v>
      </c>
    </row>
    <row r="4536">
      <c r="A4536" s="234" t="s">
        <v>22691</v>
      </c>
      <c r="B4536" s="71" t="s">
        <v>17069</v>
      </c>
      <c r="C4536" s="71" t="s">
        <v>175</v>
      </c>
    </row>
    <row r="4537">
      <c r="A4537" s="234" t="s">
        <v>22693</v>
      </c>
      <c r="B4537" s="71" t="s">
        <v>175</v>
      </c>
      <c r="C4537" s="71" t="s">
        <v>16942</v>
      </c>
    </row>
    <row r="4538">
      <c r="A4538" s="234" t="s">
        <v>22693</v>
      </c>
      <c r="B4538" s="71" t="s">
        <v>16942</v>
      </c>
      <c r="C4538" s="71" t="s">
        <v>175</v>
      </c>
    </row>
    <row r="4539">
      <c r="A4539" s="130" t="s">
        <v>22695</v>
      </c>
      <c r="B4539" s="71"/>
      <c r="C4539" s="71"/>
    </row>
    <row r="4540">
      <c r="A4540" s="130" t="s">
        <v>22697</v>
      </c>
      <c r="B4540" s="71" t="s">
        <v>187</v>
      </c>
      <c r="C4540" s="71" t="s">
        <v>16858</v>
      </c>
    </row>
    <row r="4541">
      <c r="A4541" s="130" t="s">
        <v>22699</v>
      </c>
      <c r="B4541" s="71" t="s">
        <v>169</v>
      </c>
      <c r="C4541" s="71" t="s">
        <v>17509</v>
      </c>
    </row>
    <row r="4542">
      <c r="A4542" s="130" t="s">
        <v>22701</v>
      </c>
      <c r="B4542" s="71" t="s">
        <v>16838</v>
      </c>
      <c r="C4542" s="71" t="s">
        <v>18679</v>
      </c>
    </row>
    <row r="4543">
      <c r="A4543" s="130" t="s">
        <v>22703</v>
      </c>
      <c r="B4543" s="71" t="s">
        <v>169</v>
      </c>
      <c r="C4543" s="71" t="s">
        <v>17738</v>
      </c>
    </row>
    <row r="4544">
      <c r="A4544" s="130" t="s">
        <v>22705</v>
      </c>
      <c r="B4544" s="71"/>
      <c r="C4544" s="71"/>
    </row>
    <row r="4545">
      <c r="A4545" s="234" t="s">
        <v>22707</v>
      </c>
      <c r="B4545" s="71" t="s">
        <v>175</v>
      </c>
      <c r="C4545" s="71" t="s">
        <v>18570</v>
      </c>
    </row>
    <row r="4546">
      <c r="A4546" s="234" t="s">
        <v>22707</v>
      </c>
      <c r="B4546" s="71" t="s">
        <v>18570</v>
      </c>
      <c r="C4546" s="71" t="s">
        <v>175</v>
      </c>
    </row>
    <row r="4547">
      <c r="A4547" s="130" t="s">
        <v>22709</v>
      </c>
      <c r="B4547" s="71" t="s">
        <v>16910</v>
      </c>
      <c r="C4547" s="71" t="s">
        <v>16911</v>
      </c>
    </row>
    <row r="4548">
      <c r="A4548" s="234" t="s">
        <v>22711</v>
      </c>
      <c r="B4548" s="71" t="s">
        <v>17127</v>
      </c>
      <c r="C4548" s="71" t="s">
        <v>16838</v>
      </c>
    </row>
    <row r="4549">
      <c r="A4549" s="234" t="s">
        <v>22711</v>
      </c>
      <c r="B4549" s="71" t="s">
        <v>16838</v>
      </c>
      <c r="C4549" s="71" t="s">
        <v>17127</v>
      </c>
    </row>
    <row r="4550">
      <c r="A4550" s="234" t="s">
        <v>22713</v>
      </c>
      <c r="B4550" s="71" t="s">
        <v>16838</v>
      </c>
      <c r="C4550" s="71" t="s">
        <v>16867</v>
      </c>
    </row>
    <row r="4551">
      <c r="A4551" s="234" t="s">
        <v>22713</v>
      </c>
      <c r="B4551" s="71" t="s">
        <v>16867</v>
      </c>
      <c r="C4551" s="71" t="s">
        <v>16838</v>
      </c>
    </row>
    <row r="4552">
      <c r="A4552" s="234" t="s">
        <v>22715</v>
      </c>
      <c r="B4552" s="71" t="s">
        <v>16919</v>
      </c>
      <c r="C4552" s="71" t="s">
        <v>17176</v>
      </c>
    </row>
    <row r="4553">
      <c r="A4553" s="234" t="s">
        <v>22715</v>
      </c>
      <c r="B4553" s="71" t="s">
        <v>17176</v>
      </c>
      <c r="C4553" s="71" t="s">
        <v>16919</v>
      </c>
    </row>
    <row r="4554">
      <c r="A4554" s="234" t="s">
        <v>22717</v>
      </c>
      <c r="B4554" s="71" t="s">
        <v>175</v>
      </c>
      <c r="C4554" s="71" t="s">
        <v>17233</v>
      </c>
    </row>
    <row r="4555">
      <c r="A4555" s="234" t="s">
        <v>22717</v>
      </c>
      <c r="B4555" s="71" t="s">
        <v>17233</v>
      </c>
      <c r="C4555" s="71" t="s">
        <v>175</v>
      </c>
    </row>
    <row r="4556">
      <c r="A4556" s="130" t="s">
        <v>22719</v>
      </c>
      <c r="B4556" s="71" t="s">
        <v>187</v>
      </c>
      <c r="C4556" s="71" t="s">
        <v>16858</v>
      </c>
    </row>
    <row r="4557">
      <c r="A4557" s="130" t="s">
        <v>22721</v>
      </c>
      <c r="B4557" s="71" t="s">
        <v>175</v>
      </c>
      <c r="C4557" s="71" t="s">
        <v>16854</v>
      </c>
    </row>
    <row r="4558">
      <c r="A4558" s="234" t="s">
        <v>22723</v>
      </c>
      <c r="B4558" s="71" t="s">
        <v>16945</v>
      </c>
      <c r="C4558" s="71" t="s">
        <v>169</v>
      </c>
    </row>
    <row r="4559">
      <c r="A4559" s="234" t="s">
        <v>22723</v>
      </c>
      <c r="B4559" s="71" t="s">
        <v>169</v>
      </c>
      <c r="C4559" s="71" t="s">
        <v>16945</v>
      </c>
    </row>
    <row r="4560">
      <c r="A4560" s="130" t="s">
        <v>22725</v>
      </c>
      <c r="B4560" s="71" t="s">
        <v>16838</v>
      </c>
      <c r="C4560" s="71" t="s">
        <v>17202</v>
      </c>
    </row>
    <row r="4561">
      <c r="A4561" s="234" t="s">
        <v>22727</v>
      </c>
      <c r="B4561" s="71" t="s">
        <v>175</v>
      </c>
      <c r="C4561" s="71" t="s">
        <v>17233</v>
      </c>
    </row>
    <row r="4562">
      <c r="A4562" s="234" t="s">
        <v>22727</v>
      </c>
      <c r="B4562" s="71" t="s">
        <v>17233</v>
      </c>
      <c r="C4562" s="71" t="s">
        <v>175</v>
      </c>
    </row>
    <row r="4563">
      <c r="A4563" s="130" t="s">
        <v>22729</v>
      </c>
      <c r="B4563" s="71" t="s">
        <v>175</v>
      </c>
      <c r="C4563" s="71" t="s">
        <v>17509</v>
      </c>
    </row>
    <row r="4564">
      <c r="A4564" s="234" t="s">
        <v>22731</v>
      </c>
      <c r="B4564" s="71" t="s">
        <v>175</v>
      </c>
      <c r="C4564" s="71" t="s">
        <v>16854</v>
      </c>
    </row>
    <row r="4565">
      <c r="A4565" s="234" t="s">
        <v>22731</v>
      </c>
      <c r="B4565" s="71" t="s">
        <v>16854</v>
      </c>
      <c r="C4565" s="71" t="s">
        <v>175</v>
      </c>
    </row>
    <row r="4566">
      <c r="A4566" s="130" t="s">
        <v>22733</v>
      </c>
      <c r="B4566" s="71" t="s">
        <v>175</v>
      </c>
      <c r="C4566" s="71" t="s">
        <v>17812</v>
      </c>
    </row>
    <row r="4567">
      <c r="A4567" s="234" t="s">
        <v>22735</v>
      </c>
      <c r="B4567" s="71" t="s">
        <v>16838</v>
      </c>
      <c r="C4567" s="71" t="s">
        <v>16867</v>
      </c>
    </row>
    <row r="4568">
      <c r="A4568" s="234" t="s">
        <v>22735</v>
      </c>
      <c r="B4568" s="71" t="s">
        <v>16867</v>
      </c>
      <c r="C4568" s="71" t="s">
        <v>16838</v>
      </c>
    </row>
    <row r="4569">
      <c r="A4569" s="234" t="s">
        <v>22737</v>
      </c>
      <c r="B4569" s="71" t="s">
        <v>175</v>
      </c>
      <c r="C4569" s="71" t="s">
        <v>16890</v>
      </c>
    </row>
    <row r="4570">
      <c r="A4570" s="234" t="s">
        <v>22737</v>
      </c>
      <c r="B4570" s="71" t="s">
        <v>16890</v>
      </c>
      <c r="C4570" s="71" t="s">
        <v>175</v>
      </c>
    </row>
    <row r="4571">
      <c r="A4571" s="130" t="s">
        <v>22739</v>
      </c>
      <c r="B4571" s="71" t="s">
        <v>16582</v>
      </c>
      <c r="C4571" s="71" t="s">
        <v>17339</v>
      </c>
    </row>
    <row r="4572">
      <c r="A4572" s="234" t="s">
        <v>22741</v>
      </c>
      <c r="B4572" s="71" t="s">
        <v>17111</v>
      </c>
      <c r="C4572" s="71" t="s">
        <v>17112</v>
      </c>
    </row>
    <row r="4573">
      <c r="A4573" s="234" t="s">
        <v>22741</v>
      </c>
      <c r="B4573" s="71" t="s">
        <v>17112</v>
      </c>
      <c r="C4573" s="71" t="s">
        <v>17111</v>
      </c>
    </row>
    <row r="4574">
      <c r="A4574" s="130" t="s">
        <v>22743</v>
      </c>
      <c r="B4574" s="71" t="s">
        <v>16582</v>
      </c>
      <c r="C4574" s="71" t="s">
        <v>16817</v>
      </c>
    </row>
    <row r="4575">
      <c r="A4575" s="234" t="s">
        <v>22745</v>
      </c>
      <c r="B4575" s="71" t="s">
        <v>175</v>
      </c>
      <c r="C4575" s="71" t="s">
        <v>17350</v>
      </c>
    </row>
    <row r="4576">
      <c r="A4576" s="234" t="s">
        <v>22745</v>
      </c>
      <c r="B4576" s="71" t="s">
        <v>17350</v>
      </c>
      <c r="C4576" s="71" t="s">
        <v>175</v>
      </c>
    </row>
    <row r="4577">
      <c r="A4577" s="234" t="s">
        <v>22747</v>
      </c>
      <c r="B4577" s="71" t="s">
        <v>175</v>
      </c>
      <c r="C4577" s="71" t="s">
        <v>16854</v>
      </c>
    </row>
    <row r="4578">
      <c r="A4578" s="234" t="s">
        <v>22747</v>
      </c>
      <c r="B4578" s="71" t="s">
        <v>16854</v>
      </c>
      <c r="C4578" s="71" t="s">
        <v>175</v>
      </c>
    </row>
    <row r="4579">
      <c r="A4579" s="130" t="s">
        <v>22749</v>
      </c>
      <c r="B4579" s="71" t="s">
        <v>169</v>
      </c>
      <c r="C4579" s="71" t="s">
        <v>18098</v>
      </c>
    </row>
    <row r="4580">
      <c r="A4580" s="130" t="s">
        <v>22751</v>
      </c>
      <c r="B4580" s="71" t="s">
        <v>16582</v>
      </c>
      <c r="C4580" s="71" t="s">
        <v>16930</v>
      </c>
    </row>
    <row r="4581">
      <c r="A4581" s="130" t="s">
        <v>22753</v>
      </c>
      <c r="B4581" s="71" t="s">
        <v>187</v>
      </c>
      <c r="C4581" s="71" t="s">
        <v>16969</v>
      </c>
    </row>
    <row r="4582">
      <c r="A4582" s="234" t="s">
        <v>22755</v>
      </c>
      <c r="B4582" s="71" t="s">
        <v>17016</v>
      </c>
      <c r="C4582" s="71" t="s">
        <v>16838</v>
      </c>
    </row>
    <row r="4583">
      <c r="A4583" s="234" t="s">
        <v>22755</v>
      </c>
      <c r="B4583" s="71" t="s">
        <v>16838</v>
      </c>
      <c r="C4583" s="71" t="s">
        <v>17016</v>
      </c>
    </row>
    <row r="4584">
      <c r="A4584" s="234" t="s">
        <v>22757</v>
      </c>
      <c r="B4584" s="71" t="s">
        <v>175</v>
      </c>
      <c r="C4584" s="71" t="s">
        <v>17391</v>
      </c>
    </row>
    <row r="4585">
      <c r="A4585" s="234" t="s">
        <v>22757</v>
      </c>
      <c r="B4585" s="71" t="s">
        <v>17391</v>
      </c>
      <c r="C4585" s="71" t="s">
        <v>175</v>
      </c>
    </row>
    <row r="4586">
      <c r="A4586" s="234" t="s">
        <v>22759</v>
      </c>
      <c r="B4586" s="71" t="s">
        <v>175</v>
      </c>
      <c r="C4586" s="71" t="s">
        <v>16854</v>
      </c>
    </row>
    <row r="4587">
      <c r="A4587" s="234" t="s">
        <v>22759</v>
      </c>
      <c r="B4587" s="71" t="s">
        <v>16854</v>
      </c>
      <c r="C4587" s="71" t="s">
        <v>175</v>
      </c>
    </row>
    <row r="4588">
      <c r="A4588" s="130" t="s">
        <v>22761</v>
      </c>
      <c r="B4588" s="71" t="s">
        <v>16838</v>
      </c>
      <c r="C4588" s="71" t="s">
        <v>16867</v>
      </c>
    </row>
    <row r="4589">
      <c r="A4589" s="234" t="s">
        <v>22763</v>
      </c>
      <c r="B4589" s="71" t="s">
        <v>175</v>
      </c>
      <c r="C4589" s="71" t="s">
        <v>16854</v>
      </c>
    </row>
    <row r="4590">
      <c r="A4590" s="234" t="s">
        <v>22763</v>
      </c>
      <c r="B4590" s="71" t="s">
        <v>16854</v>
      </c>
      <c r="C4590" s="71" t="s">
        <v>175</v>
      </c>
    </row>
    <row r="4591">
      <c r="A4591" s="234" t="s">
        <v>22765</v>
      </c>
      <c r="B4591" s="71" t="s">
        <v>19579</v>
      </c>
      <c r="C4591" s="71" t="s">
        <v>16838</v>
      </c>
    </row>
    <row r="4592">
      <c r="A4592" s="234" t="s">
        <v>22765</v>
      </c>
      <c r="B4592" s="71" t="s">
        <v>16838</v>
      </c>
      <c r="C4592" s="71" t="s">
        <v>19579</v>
      </c>
    </row>
    <row r="4593">
      <c r="A4593" s="234" t="s">
        <v>22767</v>
      </c>
      <c r="B4593" s="71" t="s">
        <v>158</v>
      </c>
      <c r="C4593" s="71" t="s">
        <v>16864</v>
      </c>
    </row>
    <row r="4594">
      <c r="A4594" s="234" t="s">
        <v>22767</v>
      </c>
      <c r="B4594" s="71" t="s">
        <v>16864</v>
      </c>
      <c r="C4594" s="71" t="s">
        <v>158</v>
      </c>
    </row>
    <row r="4595">
      <c r="A4595" s="130" t="s">
        <v>22769</v>
      </c>
      <c r="B4595" s="71" t="s">
        <v>169</v>
      </c>
      <c r="C4595" s="71" t="s">
        <v>16899</v>
      </c>
    </row>
    <row r="4596">
      <c r="A4596" s="130" t="s">
        <v>22771</v>
      </c>
      <c r="B4596" s="71" t="s">
        <v>16838</v>
      </c>
      <c r="C4596" s="71" t="s">
        <v>17127</v>
      </c>
    </row>
    <row r="4597">
      <c r="A4597" s="234" t="s">
        <v>22773</v>
      </c>
      <c r="B4597" s="71" t="s">
        <v>158</v>
      </c>
      <c r="C4597" s="71" t="s">
        <v>16864</v>
      </c>
    </row>
    <row r="4598">
      <c r="A4598" s="234" t="s">
        <v>22773</v>
      </c>
      <c r="B4598" s="71" t="s">
        <v>16864</v>
      </c>
      <c r="C4598" s="130" t="s">
        <v>158</v>
      </c>
    </row>
    <row r="4599">
      <c r="A4599" s="130" t="s">
        <v>22775</v>
      </c>
      <c r="B4599" s="71" t="s">
        <v>16838</v>
      </c>
      <c r="C4599" s="71" t="s">
        <v>17016</v>
      </c>
    </row>
    <row r="4600">
      <c r="A4600" s="130" t="s">
        <v>22777</v>
      </c>
      <c r="B4600" s="71" t="s">
        <v>187</v>
      </c>
      <c r="C4600" s="71" t="s">
        <v>16846</v>
      </c>
    </row>
    <row r="4601">
      <c r="A4601" s="130" t="s">
        <v>22779</v>
      </c>
      <c r="B4601" s="71" t="s">
        <v>17112</v>
      </c>
      <c r="C4601" s="71" t="s">
        <v>17111</v>
      </c>
    </row>
    <row r="4602">
      <c r="A4602" s="234" t="s">
        <v>22781</v>
      </c>
      <c r="B4602" s="71" t="s">
        <v>175</v>
      </c>
      <c r="C4602" s="71" t="s">
        <v>16972</v>
      </c>
    </row>
    <row r="4603">
      <c r="A4603" s="234" t="s">
        <v>22781</v>
      </c>
      <c r="B4603" s="71" t="s">
        <v>16972</v>
      </c>
      <c r="C4603" s="71" t="s">
        <v>175</v>
      </c>
    </row>
    <row r="4604">
      <c r="A4604" s="130" t="s">
        <v>22783</v>
      </c>
      <c r="B4604" s="71" t="s">
        <v>16838</v>
      </c>
      <c r="C4604" s="71" t="s">
        <v>17016</v>
      </c>
    </row>
    <row r="4605">
      <c r="A4605" s="130" t="s">
        <v>22785</v>
      </c>
      <c r="B4605" s="71" t="s">
        <v>16838</v>
      </c>
      <c r="C4605" s="71" t="s">
        <v>18679</v>
      </c>
    </row>
    <row r="4606">
      <c r="A4606" s="234" t="s">
        <v>22787</v>
      </c>
      <c r="B4606" s="71" t="s">
        <v>17112</v>
      </c>
      <c r="C4606" s="71" t="s">
        <v>17218</v>
      </c>
    </row>
    <row r="4607">
      <c r="A4607" s="234" t="s">
        <v>22787</v>
      </c>
      <c r="B4607" s="71" t="s">
        <v>17218</v>
      </c>
      <c r="C4607" s="71" t="s">
        <v>17112</v>
      </c>
    </row>
    <row r="4608">
      <c r="A4608" s="130" t="s">
        <v>22789</v>
      </c>
      <c r="B4608" s="71" t="s">
        <v>175</v>
      </c>
      <c r="C4608" s="71" t="s">
        <v>16842</v>
      </c>
    </row>
    <row r="4609">
      <c r="A4609" s="130" t="s">
        <v>22791</v>
      </c>
      <c r="B4609" s="71" t="s">
        <v>175</v>
      </c>
      <c r="C4609" s="71" t="s">
        <v>17218</v>
      </c>
    </row>
    <row r="4610">
      <c r="A4610" s="130" t="s">
        <v>22793</v>
      </c>
      <c r="B4610" s="71" t="s">
        <v>16838</v>
      </c>
      <c r="C4610" s="71" t="s">
        <v>17016</v>
      </c>
    </row>
    <row r="4611">
      <c r="A4611" s="130" t="s">
        <v>22795</v>
      </c>
      <c r="B4611" s="71" t="s">
        <v>175</v>
      </c>
      <c r="C4611" s="71" t="s">
        <v>16942</v>
      </c>
    </row>
    <row r="4612">
      <c r="A4612" s="130" t="s">
        <v>22797</v>
      </c>
      <c r="B4612" s="71"/>
      <c r="C4612" s="71"/>
    </row>
    <row r="4613">
      <c r="A4613" s="130" t="s">
        <v>22799</v>
      </c>
      <c r="B4613" s="71" t="s">
        <v>16910</v>
      </c>
      <c r="C4613" s="71" t="s">
        <v>17662</v>
      </c>
    </row>
    <row r="4614">
      <c r="A4614" s="130" t="s">
        <v>22801</v>
      </c>
      <c r="B4614" s="71" t="s">
        <v>16838</v>
      </c>
      <c r="C4614" s="71" t="s">
        <v>17202</v>
      </c>
    </row>
    <row r="4615">
      <c r="A4615" s="130" t="s">
        <v>22803</v>
      </c>
      <c r="B4615" s="71" t="s">
        <v>187</v>
      </c>
      <c r="C4615" s="71" t="s">
        <v>16858</v>
      </c>
    </row>
    <row r="4616">
      <c r="A4616" s="234" t="s">
        <v>22805</v>
      </c>
      <c r="B4616" s="71"/>
      <c r="C4616" s="71"/>
    </row>
    <row r="4617">
      <c r="A4617" s="234" t="s">
        <v>22805</v>
      </c>
      <c r="B4617" s="71"/>
      <c r="C4617" s="71"/>
    </row>
    <row r="4618">
      <c r="A4618" s="130" t="s">
        <v>22807</v>
      </c>
      <c r="B4618" s="71" t="s">
        <v>16838</v>
      </c>
      <c r="C4618" s="71" t="s">
        <v>16867</v>
      </c>
    </row>
    <row r="4619">
      <c r="A4619" s="234" t="s">
        <v>22809</v>
      </c>
      <c r="B4619" s="71" t="s">
        <v>169</v>
      </c>
      <c r="C4619" s="71" t="s">
        <v>17022</v>
      </c>
    </row>
    <row r="4620">
      <c r="A4620" s="234" t="s">
        <v>22809</v>
      </c>
      <c r="B4620" s="71" t="s">
        <v>17022</v>
      </c>
      <c r="C4620" s="71" t="s">
        <v>169</v>
      </c>
    </row>
    <row r="4621">
      <c r="A4621" s="234" t="s">
        <v>22811</v>
      </c>
      <c r="B4621" s="71" t="s">
        <v>158</v>
      </c>
      <c r="C4621" s="71" t="s">
        <v>16899</v>
      </c>
    </row>
    <row r="4622">
      <c r="A4622" s="234" t="s">
        <v>22811</v>
      </c>
      <c r="B4622" s="71" t="s">
        <v>16899</v>
      </c>
      <c r="C4622" s="71" t="s">
        <v>158</v>
      </c>
    </row>
    <row r="4623">
      <c r="A4623" s="130" t="s">
        <v>22813</v>
      </c>
      <c r="B4623" s="71" t="s">
        <v>16582</v>
      </c>
      <c r="C4623" s="71" t="s">
        <v>16930</v>
      </c>
    </row>
    <row r="4624">
      <c r="A4624" s="130" t="s">
        <v>22815</v>
      </c>
      <c r="B4624" s="71" t="s">
        <v>169</v>
      </c>
      <c r="C4624" s="71" t="s">
        <v>116</v>
      </c>
    </row>
    <row r="4625">
      <c r="A4625" s="234" t="s">
        <v>22817</v>
      </c>
      <c r="B4625" s="71" t="s">
        <v>175</v>
      </c>
      <c r="C4625" s="71" t="s">
        <v>17233</v>
      </c>
    </row>
    <row r="4626">
      <c r="A4626" s="234" t="s">
        <v>22817</v>
      </c>
      <c r="B4626" s="71" t="s">
        <v>17233</v>
      </c>
      <c r="C4626" s="71" t="s">
        <v>175</v>
      </c>
    </row>
    <row r="4627">
      <c r="A4627" s="130" t="s">
        <v>22819</v>
      </c>
      <c r="B4627" s="71" t="s">
        <v>16838</v>
      </c>
      <c r="C4627" s="71" t="s">
        <v>16867</v>
      </c>
    </row>
    <row r="4628">
      <c r="A4628" s="130" t="s">
        <v>22821</v>
      </c>
      <c r="B4628" s="71" t="s">
        <v>16582</v>
      </c>
      <c r="C4628" s="71" t="s">
        <v>16583</v>
      </c>
    </row>
    <row r="4629">
      <c r="A4629" s="234" t="s">
        <v>22823</v>
      </c>
      <c r="B4629" s="71" t="s">
        <v>175</v>
      </c>
      <c r="C4629" s="71" t="s">
        <v>17350</v>
      </c>
    </row>
    <row r="4630">
      <c r="A4630" s="234" t="s">
        <v>22823</v>
      </c>
      <c r="B4630" s="71" t="s">
        <v>17350</v>
      </c>
      <c r="C4630" s="71" t="s">
        <v>175</v>
      </c>
    </row>
    <row r="4631">
      <c r="A4631" s="130" t="s">
        <v>22825</v>
      </c>
      <c r="B4631" s="71" t="s">
        <v>175</v>
      </c>
      <c r="C4631" s="71" t="s">
        <v>16854</v>
      </c>
    </row>
    <row r="4632">
      <c r="A4632" s="130" t="s">
        <v>22827</v>
      </c>
      <c r="B4632" s="71" t="s">
        <v>169</v>
      </c>
      <c r="C4632" s="71" t="s">
        <v>17043</v>
      </c>
    </row>
    <row r="4633">
      <c r="A4633" s="130" t="s">
        <v>22829</v>
      </c>
      <c r="B4633" s="71" t="s">
        <v>16838</v>
      </c>
      <c r="C4633" s="71" t="s">
        <v>17016</v>
      </c>
    </row>
    <row r="4634">
      <c r="A4634" s="234" t="s">
        <v>22831</v>
      </c>
      <c r="B4634" s="71" t="s">
        <v>16582</v>
      </c>
      <c r="C4634" s="71" t="s">
        <v>16930</v>
      </c>
    </row>
    <row r="4635">
      <c r="A4635" s="234" t="s">
        <v>22831</v>
      </c>
      <c r="B4635" s="71" t="s">
        <v>16930</v>
      </c>
      <c r="C4635" s="71" t="s">
        <v>16582</v>
      </c>
    </row>
    <row r="4636">
      <c r="A4636" s="234" t="s">
        <v>22833</v>
      </c>
      <c r="B4636" s="71" t="s">
        <v>175</v>
      </c>
      <c r="C4636" s="71" t="s">
        <v>17286</v>
      </c>
    </row>
    <row r="4637">
      <c r="A4637" s="234" t="s">
        <v>22833</v>
      </c>
      <c r="B4637" s="71" t="s">
        <v>17286</v>
      </c>
      <c r="C4637" s="71" t="s">
        <v>175</v>
      </c>
    </row>
    <row r="4638">
      <c r="A4638" s="130" t="s">
        <v>22836</v>
      </c>
      <c r="B4638" s="71" t="s">
        <v>16838</v>
      </c>
      <c r="C4638" s="71" t="s">
        <v>17112</v>
      </c>
    </row>
    <row r="4639">
      <c r="A4639" s="234" t="s">
        <v>22838</v>
      </c>
      <c r="B4639" s="71" t="s">
        <v>16867</v>
      </c>
      <c r="C4639" s="71" t="s">
        <v>16838</v>
      </c>
    </row>
    <row r="4640">
      <c r="A4640" s="234" t="s">
        <v>22838</v>
      </c>
      <c r="B4640" s="71" t="s">
        <v>16838</v>
      </c>
      <c r="C4640" s="71" t="s">
        <v>16867</v>
      </c>
    </row>
    <row r="4641">
      <c r="A4641" s="130" t="s">
        <v>22840</v>
      </c>
      <c r="B4641" s="71" t="s">
        <v>16838</v>
      </c>
      <c r="C4641" s="71" t="s">
        <v>16867</v>
      </c>
    </row>
    <row r="4642">
      <c r="A4642" s="234" t="s">
        <v>22842</v>
      </c>
      <c r="B4642" s="71" t="s">
        <v>17111</v>
      </c>
      <c r="C4642" s="71" t="s">
        <v>17112</v>
      </c>
    </row>
    <row r="4643">
      <c r="A4643" s="234" t="s">
        <v>22842</v>
      </c>
      <c r="B4643" s="71" t="s">
        <v>17112</v>
      </c>
      <c r="C4643" s="71" t="s">
        <v>17111</v>
      </c>
    </row>
    <row r="4644">
      <c r="A4644" s="234" t="s">
        <v>22844</v>
      </c>
      <c r="B4644" s="71" t="s">
        <v>16945</v>
      </c>
      <c r="C4644" s="71" t="s">
        <v>169</v>
      </c>
    </row>
    <row r="4645">
      <c r="A4645" s="234" t="s">
        <v>22844</v>
      </c>
      <c r="B4645" s="71" t="s">
        <v>169</v>
      </c>
      <c r="C4645" s="71" t="s">
        <v>16945</v>
      </c>
    </row>
    <row r="4646">
      <c r="A4646" s="130" t="s">
        <v>22846</v>
      </c>
      <c r="B4646" s="71" t="s">
        <v>175</v>
      </c>
      <c r="C4646" s="71" t="s">
        <v>16854</v>
      </c>
    </row>
    <row r="4647">
      <c r="A4647" s="234" t="s">
        <v>22848</v>
      </c>
      <c r="B4647" s="71" t="s">
        <v>175</v>
      </c>
      <c r="C4647" s="71" t="s">
        <v>19996</v>
      </c>
    </row>
    <row r="4648">
      <c r="A4648" s="234" t="s">
        <v>22848</v>
      </c>
      <c r="B4648" s="71" t="s">
        <v>19996</v>
      </c>
      <c r="C4648" s="71" t="s">
        <v>175</v>
      </c>
    </row>
    <row r="4649">
      <c r="A4649" s="130" t="s">
        <v>22850</v>
      </c>
      <c r="B4649" s="71" t="s">
        <v>16838</v>
      </c>
      <c r="C4649" s="71" t="s">
        <v>18219</v>
      </c>
    </row>
    <row r="4650">
      <c r="A4650" s="130" t="s">
        <v>22852</v>
      </c>
      <c r="B4650" s="71" t="s">
        <v>16885</v>
      </c>
      <c r="C4650" s="71" t="s">
        <v>18381</v>
      </c>
    </row>
    <row r="4651">
      <c r="A4651" s="130" t="s">
        <v>22854</v>
      </c>
      <c r="B4651" s="71" t="s">
        <v>175</v>
      </c>
      <c r="C4651" s="71" t="s">
        <v>17084</v>
      </c>
    </row>
    <row r="4652">
      <c r="A4652" s="234" t="s">
        <v>22856</v>
      </c>
      <c r="B4652" s="71" t="s">
        <v>169</v>
      </c>
      <c r="C4652" s="71" t="s">
        <v>17025</v>
      </c>
    </row>
    <row r="4653">
      <c r="A4653" s="234" t="s">
        <v>22856</v>
      </c>
      <c r="B4653" s="71" t="s">
        <v>17025</v>
      </c>
      <c r="C4653" s="71" t="s">
        <v>169</v>
      </c>
    </row>
    <row r="4654">
      <c r="A4654" s="130" t="s">
        <v>22858</v>
      </c>
      <c r="B4654" s="71" t="s">
        <v>16926</v>
      </c>
      <c r="C4654" s="71" t="s">
        <v>16960</v>
      </c>
    </row>
    <row r="4655">
      <c r="A4655" s="130" t="s">
        <v>22860</v>
      </c>
      <c r="B4655" s="71" t="s">
        <v>16838</v>
      </c>
      <c r="C4655" s="71" t="s">
        <v>16867</v>
      </c>
    </row>
    <row r="4656">
      <c r="A4656" s="234" t="s">
        <v>22862</v>
      </c>
      <c r="B4656" s="71" t="s">
        <v>17111</v>
      </c>
      <c r="C4656" s="71" t="s">
        <v>17112</v>
      </c>
    </row>
    <row r="4657">
      <c r="A4657" s="234" t="s">
        <v>22862</v>
      </c>
      <c r="B4657" s="71" t="s">
        <v>17112</v>
      </c>
      <c r="C4657" s="71" t="s">
        <v>17111</v>
      </c>
    </row>
    <row r="4658">
      <c r="A4658" s="130" t="s">
        <v>22864</v>
      </c>
      <c r="B4658" s="71" t="s">
        <v>16838</v>
      </c>
      <c r="C4658" s="71" t="s">
        <v>16867</v>
      </c>
    </row>
    <row r="4659">
      <c r="A4659" s="130" t="s">
        <v>22866</v>
      </c>
      <c r="B4659" s="71" t="s">
        <v>175</v>
      </c>
      <c r="C4659" s="71" t="s">
        <v>16854</v>
      </c>
    </row>
    <row r="4660">
      <c r="A4660" s="130" t="s">
        <v>22868</v>
      </c>
      <c r="B4660" s="71" t="s">
        <v>187</v>
      </c>
      <c r="C4660" s="71" t="s">
        <v>16846</v>
      </c>
    </row>
    <row r="4661">
      <c r="A4661" s="130" t="s">
        <v>22870</v>
      </c>
      <c r="B4661" s="71" t="s">
        <v>16838</v>
      </c>
      <c r="C4661" s="71" t="s">
        <v>17202</v>
      </c>
    </row>
    <row r="4662">
      <c r="A4662" s="130" t="s">
        <v>22872</v>
      </c>
      <c r="B4662" s="71"/>
      <c r="C4662" s="71"/>
    </row>
    <row r="4663">
      <c r="A4663" s="130" t="s">
        <v>22874</v>
      </c>
      <c r="B4663" s="71" t="s">
        <v>169</v>
      </c>
      <c r="C4663" s="71" t="s">
        <v>19719</v>
      </c>
    </row>
    <row r="4664">
      <c r="A4664" s="234" t="s">
        <v>22876</v>
      </c>
      <c r="B4664" s="71" t="s">
        <v>18679</v>
      </c>
      <c r="C4664" s="71" t="s">
        <v>16838</v>
      </c>
    </row>
    <row r="4665">
      <c r="A4665" s="234" t="s">
        <v>22876</v>
      </c>
      <c r="B4665" s="71" t="s">
        <v>16838</v>
      </c>
      <c r="C4665" s="71" t="s">
        <v>18679</v>
      </c>
    </row>
    <row r="4666">
      <c r="A4666" s="234" t="s">
        <v>22878</v>
      </c>
      <c r="B4666" s="71" t="s">
        <v>16910</v>
      </c>
      <c r="C4666" s="71" t="s">
        <v>17119</v>
      </c>
    </row>
    <row r="4667">
      <c r="A4667" s="234" t="s">
        <v>22878</v>
      </c>
      <c r="B4667" s="71" t="s">
        <v>17119</v>
      </c>
      <c r="C4667" s="71" t="s">
        <v>16910</v>
      </c>
    </row>
    <row r="4668">
      <c r="A4668" s="130" t="s">
        <v>22880</v>
      </c>
      <c r="B4668" s="71" t="s">
        <v>187</v>
      </c>
      <c r="C4668" s="71" t="s">
        <v>16846</v>
      </c>
    </row>
    <row r="4669">
      <c r="A4669" s="130" t="s">
        <v>22882</v>
      </c>
      <c r="B4669" s="71" t="s">
        <v>187</v>
      </c>
      <c r="C4669" s="71" t="s">
        <v>16846</v>
      </c>
    </row>
    <row r="4670">
      <c r="A4670" s="234" t="s">
        <v>22884</v>
      </c>
      <c r="B4670" s="71" t="s">
        <v>169</v>
      </c>
      <c r="C4670" s="71" t="s">
        <v>16899</v>
      </c>
    </row>
    <row r="4671">
      <c r="A4671" s="234" t="s">
        <v>22884</v>
      </c>
      <c r="B4671" s="71" t="s">
        <v>16899</v>
      </c>
      <c r="C4671" s="71" t="s">
        <v>169</v>
      </c>
    </row>
    <row r="4672">
      <c r="A4672" s="130" t="s">
        <v>22886</v>
      </c>
      <c r="B4672" s="71" t="s">
        <v>16838</v>
      </c>
      <c r="C4672" s="71" t="s">
        <v>16867</v>
      </c>
    </row>
    <row r="4673">
      <c r="A4673" s="130" t="s">
        <v>22888</v>
      </c>
      <c r="B4673" s="71" t="s">
        <v>187</v>
      </c>
      <c r="C4673" s="71" t="s">
        <v>16969</v>
      </c>
    </row>
    <row r="4674">
      <c r="A4674" s="130" t="s">
        <v>22890</v>
      </c>
      <c r="B4674" s="71" t="s">
        <v>175</v>
      </c>
      <c r="C4674" s="71" t="s">
        <v>17069</v>
      </c>
    </row>
    <row r="4675">
      <c r="A4675" s="130" t="s">
        <v>22892</v>
      </c>
      <c r="B4675" s="71" t="s">
        <v>16582</v>
      </c>
      <c r="C4675" s="71" t="s">
        <v>16817</v>
      </c>
    </row>
    <row r="4676">
      <c r="A4676" s="130" t="s">
        <v>22894</v>
      </c>
      <c r="B4676" s="71" t="s">
        <v>187</v>
      </c>
      <c r="C4676" s="71" t="s">
        <v>19444</v>
      </c>
    </row>
    <row r="4677">
      <c r="A4677" s="130" t="s">
        <v>22896</v>
      </c>
      <c r="B4677" s="71" t="s">
        <v>187</v>
      </c>
      <c r="C4677" s="71" t="s">
        <v>16846</v>
      </c>
    </row>
    <row r="4678">
      <c r="A4678" s="130" t="s">
        <v>22898</v>
      </c>
      <c r="B4678" s="71" t="s">
        <v>187</v>
      </c>
      <c r="C4678" s="71" t="s">
        <v>16858</v>
      </c>
    </row>
    <row r="4679">
      <c r="A4679" s="130" t="s">
        <v>22900</v>
      </c>
      <c r="B4679" s="71" t="s">
        <v>16838</v>
      </c>
      <c r="C4679" s="71" t="s">
        <v>17002</v>
      </c>
    </row>
    <row r="4680">
      <c r="A4680" s="234" t="s">
        <v>22902</v>
      </c>
      <c r="B4680" s="71" t="s">
        <v>175</v>
      </c>
      <c r="C4680" s="71" t="s">
        <v>17757</v>
      </c>
    </row>
    <row r="4681">
      <c r="A4681" s="234" t="s">
        <v>22902</v>
      </c>
      <c r="B4681" s="71" t="s">
        <v>17757</v>
      </c>
      <c r="C4681" s="71" t="s">
        <v>175</v>
      </c>
    </row>
    <row r="4682">
      <c r="A4682" s="234" t="s">
        <v>22904</v>
      </c>
      <c r="B4682" s="71" t="s">
        <v>17321</v>
      </c>
      <c r="C4682" s="71" t="s">
        <v>169</v>
      </c>
    </row>
    <row r="4683">
      <c r="A4683" s="234" t="s">
        <v>22904</v>
      </c>
      <c r="B4683" s="71" t="s">
        <v>169</v>
      </c>
      <c r="C4683" s="71" t="s">
        <v>17321</v>
      </c>
    </row>
    <row r="4684">
      <c r="A4684" s="130" t="s">
        <v>22906</v>
      </c>
      <c r="B4684" s="71" t="s">
        <v>16838</v>
      </c>
      <c r="C4684" s="71" t="s">
        <v>17016</v>
      </c>
    </row>
    <row r="4685">
      <c r="A4685" s="130" t="s">
        <v>22908</v>
      </c>
      <c r="B4685" s="71" t="s">
        <v>187</v>
      </c>
      <c r="C4685" s="71" t="s">
        <v>16858</v>
      </c>
    </row>
    <row r="4686">
      <c r="A4686" s="130" t="s">
        <v>22910</v>
      </c>
      <c r="B4686" s="71" t="s">
        <v>175</v>
      </c>
      <c r="C4686" s="71" t="s">
        <v>16842</v>
      </c>
    </row>
    <row r="4687">
      <c r="A4687" s="130" t="s">
        <v>22912</v>
      </c>
      <c r="B4687" s="71" t="s">
        <v>175</v>
      </c>
      <c r="C4687" s="71" t="s">
        <v>17606</v>
      </c>
    </row>
    <row r="4688">
      <c r="A4688" s="130" t="s">
        <v>22914</v>
      </c>
      <c r="B4688" s="71" t="s">
        <v>16838</v>
      </c>
      <c r="C4688" s="71" t="s">
        <v>17202</v>
      </c>
    </row>
    <row r="4689">
      <c r="A4689" s="130" t="s">
        <v>22916</v>
      </c>
      <c r="B4689" s="71" t="s">
        <v>16838</v>
      </c>
      <c r="C4689" s="71" t="s">
        <v>16867</v>
      </c>
    </row>
    <row r="4690">
      <c r="A4690" s="234" t="s">
        <v>22918</v>
      </c>
      <c r="B4690" s="71" t="s">
        <v>17202</v>
      </c>
      <c r="C4690" s="71" t="s">
        <v>16838</v>
      </c>
    </row>
    <row r="4691">
      <c r="A4691" s="234" t="s">
        <v>22918</v>
      </c>
      <c r="B4691" s="71" t="s">
        <v>16838</v>
      </c>
      <c r="C4691" s="71" t="s">
        <v>17202</v>
      </c>
    </row>
    <row r="4692">
      <c r="A4692" s="234" t="s">
        <v>22920</v>
      </c>
      <c r="B4692" s="71" t="s">
        <v>19579</v>
      </c>
      <c r="C4692" s="71" t="s">
        <v>16838</v>
      </c>
    </row>
    <row r="4693">
      <c r="A4693" s="234" t="s">
        <v>22920</v>
      </c>
      <c r="B4693" s="71" t="s">
        <v>16838</v>
      </c>
      <c r="C4693" s="71" t="s">
        <v>19579</v>
      </c>
    </row>
    <row r="4694">
      <c r="A4694" s="130" t="s">
        <v>22922</v>
      </c>
      <c r="B4694" s="71" t="s">
        <v>175</v>
      </c>
      <c r="C4694" s="71" t="s">
        <v>17812</v>
      </c>
    </row>
    <row r="4695">
      <c r="A4695" s="130" t="s">
        <v>22924</v>
      </c>
      <c r="B4695" s="71" t="s">
        <v>175</v>
      </c>
      <c r="C4695" s="71" t="s">
        <v>16942</v>
      </c>
    </row>
    <row r="4696">
      <c r="A4696" s="130" t="s">
        <v>22926</v>
      </c>
      <c r="B4696" s="71" t="s">
        <v>16582</v>
      </c>
      <c r="C4696" s="71" t="s">
        <v>16899</v>
      </c>
    </row>
    <row r="4697">
      <c r="A4697" s="130" t="s">
        <v>22928</v>
      </c>
      <c r="B4697" s="71" t="s">
        <v>16838</v>
      </c>
      <c r="C4697" s="71" t="s">
        <v>18956</v>
      </c>
    </row>
    <row r="4698">
      <c r="A4698" s="130" t="s">
        <v>22930</v>
      </c>
      <c r="B4698" s="71" t="s">
        <v>16838</v>
      </c>
      <c r="C4698" s="71" t="s">
        <v>16867</v>
      </c>
    </row>
    <row r="4699">
      <c r="A4699" s="234" t="s">
        <v>22932</v>
      </c>
      <c r="B4699" s="71" t="s">
        <v>16885</v>
      </c>
      <c r="C4699" s="71" t="s">
        <v>18381</v>
      </c>
    </row>
    <row r="4700">
      <c r="A4700" s="234" t="s">
        <v>22932</v>
      </c>
      <c r="B4700" s="71" t="s">
        <v>18381</v>
      </c>
      <c r="C4700" s="71" t="s">
        <v>16885</v>
      </c>
    </row>
    <row r="4701">
      <c r="A4701" s="130" t="s">
        <v>22934</v>
      </c>
      <c r="B4701" s="71" t="s">
        <v>16582</v>
      </c>
      <c r="C4701" s="71" t="s">
        <v>16828</v>
      </c>
    </row>
    <row r="4702">
      <c r="A4702" s="234" t="s">
        <v>22936</v>
      </c>
      <c r="B4702" s="71" t="s">
        <v>19579</v>
      </c>
      <c r="C4702" s="71" t="s">
        <v>16838</v>
      </c>
    </row>
    <row r="4703">
      <c r="A4703" s="234" t="s">
        <v>22936</v>
      </c>
      <c r="B4703" s="71" t="s">
        <v>16838</v>
      </c>
      <c r="C4703" s="71" t="s">
        <v>19579</v>
      </c>
    </row>
    <row r="4704">
      <c r="A4704" s="130" t="s">
        <v>22938</v>
      </c>
      <c r="B4704" s="71" t="s">
        <v>175</v>
      </c>
      <c r="C4704" s="71" t="s">
        <v>16942</v>
      </c>
    </row>
    <row r="4705">
      <c r="A4705" s="130" t="s">
        <v>22940</v>
      </c>
      <c r="B4705" s="71" t="s">
        <v>169</v>
      </c>
      <c r="C4705" s="71" t="s">
        <v>17619</v>
      </c>
    </row>
    <row r="4706">
      <c r="A4706" s="234" t="s">
        <v>22942</v>
      </c>
      <c r="B4706" s="71" t="s">
        <v>175</v>
      </c>
      <c r="C4706" s="71" t="s">
        <v>17084</v>
      </c>
    </row>
    <row r="4707">
      <c r="A4707" s="234" t="s">
        <v>22942</v>
      </c>
      <c r="B4707" s="71" t="s">
        <v>17084</v>
      </c>
      <c r="C4707" s="71" t="s">
        <v>175</v>
      </c>
    </row>
    <row r="4708">
      <c r="A4708" s="130" t="s">
        <v>22944</v>
      </c>
      <c r="B4708" s="71" t="s">
        <v>175</v>
      </c>
      <c r="C4708" s="71" t="s">
        <v>17025</v>
      </c>
    </row>
    <row r="4709">
      <c r="A4709" s="130" t="s">
        <v>22946</v>
      </c>
      <c r="B4709" s="71" t="s">
        <v>187</v>
      </c>
      <c r="C4709" s="71" t="s">
        <v>17256</v>
      </c>
    </row>
    <row r="4710">
      <c r="A4710" s="130" t="s">
        <v>22948</v>
      </c>
      <c r="B4710" s="71" t="s">
        <v>169</v>
      </c>
      <c r="C4710" s="71" t="s">
        <v>17321</v>
      </c>
    </row>
    <row r="4711">
      <c r="A4711" s="234" t="s">
        <v>22950</v>
      </c>
      <c r="B4711" s="71" t="s">
        <v>17532</v>
      </c>
      <c r="C4711" s="71" t="s">
        <v>169</v>
      </c>
    </row>
    <row r="4712">
      <c r="A4712" s="234" t="s">
        <v>22950</v>
      </c>
      <c r="B4712" s="71" t="s">
        <v>169</v>
      </c>
      <c r="C4712" s="71" t="s">
        <v>17532</v>
      </c>
    </row>
    <row r="4713">
      <c r="A4713" s="130" t="s">
        <v>22952</v>
      </c>
      <c r="B4713" s="71" t="s">
        <v>16838</v>
      </c>
      <c r="C4713" s="71" t="s">
        <v>16867</v>
      </c>
    </row>
    <row r="4714">
      <c r="A4714" s="130" t="s">
        <v>22954</v>
      </c>
      <c r="B4714" s="71" t="s">
        <v>175</v>
      </c>
      <c r="C4714" s="71" t="s">
        <v>17480</v>
      </c>
    </row>
    <row r="4715">
      <c r="A4715" s="234" t="s">
        <v>22956</v>
      </c>
      <c r="B4715" s="71" t="s">
        <v>158</v>
      </c>
      <c r="C4715" s="71" t="s">
        <v>16864</v>
      </c>
    </row>
    <row r="4716">
      <c r="A4716" s="234" t="s">
        <v>22956</v>
      </c>
      <c r="B4716" s="71" t="s">
        <v>16864</v>
      </c>
      <c r="C4716" s="71" t="s">
        <v>158</v>
      </c>
    </row>
    <row r="4717">
      <c r="A4717" s="234" t="s">
        <v>22958</v>
      </c>
      <c r="B4717" s="71" t="s">
        <v>175</v>
      </c>
      <c r="C4717" s="71" t="s">
        <v>17233</v>
      </c>
    </row>
    <row r="4718">
      <c r="A4718" s="234" t="s">
        <v>22958</v>
      </c>
      <c r="B4718" s="71" t="s">
        <v>17233</v>
      </c>
      <c r="C4718" s="71" t="s">
        <v>175</v>
      </c>
    </row>
    <row r="4719">
      <c r="A4719" s="234" t="s">
        <v>22960</v>
      </c>
      <c r="B4719" s="71" t="s">
        <v>19579</v>
      </c>
      <c r="C4719" s="71" t="s">
        <v>16838</v>
      </c>
    </row>
    <row r="4720">
      <c r="A4720" s="234" t="s">
        <v>22960</v>
      </c>
      <c r="B4720" s="71" t="s">
        <v>16838</v>
      </c>
      <c r="C4720" s="71" t="s">
        <v>19579</v>
      </c>
    </row>
    <row r="4721">
      <c r="A4721" s="130" t="s">
        <v>22962</v>
      </c>
      <c r="B4721" s="71" t="s">
        <v>16926</v>
      </c>
      <c r="C4721" s="71" t="s">
        <v>16957</v>
      </c>
    </row>
    <row r="4722">
      <c r="A4722" s="130" t="s">
        <v>22964</v>
      </c>
      <c r="B4722" s="71" t="s">
        <v>16838</v>
      </c>
      <c r="C4722" s="71" t="s">
        <v>17016</v>
      </c>
    </row>
    <row r="4723">
      <c r="A4723" s="234" t="s">
        <v>22966</v>
      </c>
      <c r="B4723" s="71" t="s">
        <v>17016</v>
      </c>
      <c r="C4723" s="71" t="s">
        <v>16838</v>
      </c>
    </row>
    <row r="4724">
      <c r="A4724" s="234" t="s">
        <v>22966</v>
      </c>
      <c r="B4724" s="71" t="s">
        <v>16838</v>
      </c>
      <c r="C4724" s="71" t="s">
        <v>17016</v>
      </c>
    </row>
    <row r="4725">
      <c r="A4725" s="130" t="s">
        <v>22968</v>
      </c>
      <c r="B4725" s="71" t="s">
        <v>169</v>
      </c>
      <c r="C4725" s="71" t="s">
        <v>17480</v>
      </c>
    </row>
    <row r="4726">
      <c r="A4726" s="130" t="s">
        <v>22970</v>
      </c>
      <c r="B4726" s="71" t="s">
        <v>187</v>
      </c>
      <c r="C4726" s="71" t="s">
        <v>16992</v>
      </c>
    </row>
    <row r="4727">
      <c r="A4727" s="234" t="s">
        <v>22972</v>
      </c>
      <c r="B4727" s="71" t="s">
        <v>16582</v>
      </c>
      <c r="C4727" s="71" t="s">
        <v>16930</v>
      </c>
    </row>
    <row r="4728">
      <c r="A4728" s="234" t="s">
        <v>22972</v>
      </c>
      <c r="B4728" s="71" t="s">
        <v>16930</v>
      </c>
      <c r="C4728" s="71" t="s">
        <v>16582</v>
      </c>
    </row>
    <row r="4729">
      <c r="A4729" s="130" t="s">
        <v>22974</v>
      </c>
      <c r="B4729" s="71" t="s">
        <v>175</v>
      </c>
      <c r="C4729" s="71" t="s">
        <v>19736</v>
      </c>
    </row>
    <row r="4730">
      <c r="A4730" s="130" t="s">
        <v>22976</v>
      </c>
      <c r="B4730" s="71" t="s">
        <v>187</v>
      </c>
      <c r="C4730" s="71" t="s">
        <v>16846</v>
      </c>
    </row>
    <row r="4731">
      <c r="A4731" s="234" t="s">
        <v>22978</v>
      </c>
      <c r="B4731" s="71" t="s">
        <v>16838</v>
      </c>
      <c r="C4731" s="71" t="s">
        <v>18679</v>
      </c>
    </row>
    <row r="4732">
      <c r="A4732" s="234" t="s">
        <v>22978</v>
      </c>
      <c r="B4732" s="71" t="s">
        <v>18679</v>
      </c>
      <c r="C4732" s="71" t="s">
        <v>16838</v>
      </c>
    </row>
    <row r="4733">
      <c r="A4733" s="130" t="s">
        <v>22980</v>
      </c>
      <c r="B4733" s="71" t="s">
        <v>16582</v>
      </c>
      <c r="C4733" s="71" t="s">
        <v>16583</v>
      </c>
    </row>
    <row r="4734">
      <c r="A4734" s="130" t="s">
        <v>22982</v>
      </c>
      <c r="B4734" s="71" t="s">
        <v>187</v>
      </c>
      <c r="C4734" s="71" t="s">
        <v>16846</v>
      </c>
    </row>
    <row r="4735">
      <c r="A4735" s="130" t="s">
        <v>22984</v>
      </c>
      <c r="B4735" s="71" t="s">
        <v>187</v>
      </c>
      <c r="C4735" s="71" t="s">
        <v>16846</v>
      </c>
    </row>
    <row r="4736">
      <c r="A4736" s="130" t="s">
        <v>22986</v>
      </c>
      <c r="B4736" s="71" t="s">
        <v>187</v>
      </c>
      <c r="C4736" s="71" t="s">
        <v>16858</v>
      </c>
    </row>
    <row r="4737">
      <c r="A4737" s="130" t="s">
        <v>22988</v>
      </c>
      <c r="B4737" s="71" t="s">
        <v>187</v>
      </c>
      <c r="C4737" s="71" t="s">
        <v>17509</v>
      </c>
    </row>
    <row r="4738">
      <c r="A4738" s="234" t="s">
        <v>22990</v>
      </c>
      <c r="B4738" s="71" t="s">
        <v>158</v>
      </c>
      <c r="C4738" s="71" t="s">
        <v>16864</v>
      </c>
    </row>
    <row r="4739">
      <c r="A4739" s="234" t="s">
        <v>22990</v>
      </c>
      <c r="B4739" s="71" t="s">
        <v>16864</v>
      </c>
      <c r="C4739" s="71" t="s">
        <v>158</v>
      </c>
    </row>
    <row r="4740">
      <c r="A4740" s="234" t="s">
        <v>22992</v>
      </c>
      <c r="B4740" s="71" t="s">
        <v>16582</v>
      </c>
      <c r="C4740" s="71" t="s">
        <v>16817</v>
      </c>
    </row>
    <row r="4741">
      <c r="A4741" s="234" t="s">
        <v>22992</v>
      </c>
      <c r="B4741" s="71" t="s">
        <v>16817</v>
      </c>
      <c r="C4741" s="71" t="s">
        <v>16582</v>
      </c>
    </row>
    <row r="4742">
      <c r="A4742" s="130" t="s">
        <v>22994</v>
      </c>
      <c r="B4742" s="71" t="s">
        <v>16838</v>
      </c>
      <c r="C4742" s="71" t="s">
        <v>17016</v>
      </c>
    </row>
    <row r="4743">
      <c r="A4743" s="234" t="s">
        <v>22996</v>
      </c>
      <c r="B4743" s="71" t="s">
        <v>17057</v>
      </c>
      <c r="C4743" s="71" t="s">
        <v>169</v>
      </c>
    </row>
    <row r="4744">
      <c r="A4744" s="234" t="s">
        <v>22996</v>
      </c>
      <c r="B4744" s="71" t="s">
        <v>169</v>
      </c>
      <c r="C4744" s="71" t="s">
        <v>17057</v>
      </c>
    </row>
    <row r="4745">
      <c r="A4745" s="234" t="s">
        <v>22998</v>
      </c>
      <c r="B4745" s="71" t="s">
        <v>16582</v>
      </c>
      <c r="C4745" s="71" t="s">
        <v>16930</v>
      </c>
    </row>
    <row r="4746">
      <c r="A4746" s="234" t="s">
        <v>22998</v>
      </c>
      <c r="B4746" s="71" t="s">
        <v>16930</v>
      </c>
      <c r="C4746" s="71" t="s">
        <v>16582</v>
      </c>
    </row>
    <row r="4747">
      <c r="A4747" s="130" t="s">
        <v>23000</v>
      </c>
      <c r="B4747" s="71" t="s">
        <v>187</v>
      </c>
      <c r="C4747" s="71" t="s">
        <v>16846</v>
      </c>
    </row>
    <row r="4748">
      <c r="A4748" s="130" t="s">
        <v>23002</v>
      </c>
      <c r="B4748" s="71" t="s">
        <v>187</v>
      </c>
      <c r="C4748" s="71" t="s">
        <v>16846</v>
      </c>
    </row>
    <row r="4749">
      <c r="A4749" s="234" t="s">
        <v>23004</v>
      </c>
      <c r="B4749" s="71" t="s">
        <v>18098</v>
      </c>
      <c r="C4749" s="71" t="s">
        <v>169</v>
      </c>
    </row>
    <row r="4750">
      <c r="A4750" s="234" t="s">
        <v>23004</v>
      </c>
      <c r="B4750" s="71" t="s">
        <v>169</v>
      </c>
      <c r="C4750" s="71" t="s">
        <v>18098</v>
      </c>
    </row>
    <row r="4751">
      <c r="A4751" s="130" t="s">
        <v>23006</v>
      </c>
      <c r="B4751" s="71" t="s">
        <v>175</v>
      </c>
      <c r="C4751" s="71" t="s">
        <v>17218</v>
      </c>
    </row>
    <row r="4752">
      <c r="A4752" s="130" t="s">
        <v>23008</v>
      </c>
      <c r="B4752" s="71" t="s">
        <v>16838</v>
      </c>
      <c r="C4752" s="71" t="s">
        <v>17202</v>
      </c>
    </row>
    <row r="4753">
      <c r="A4753" s="130" t="s">
        <v>23010</v>
      </c>
      <c r="B4753" s="71" t="s">
        <v>16919</v>
      </c>
      <c r="C4753" s="71" t="s">
        <v>110</v>
      </c>
    </row>
    <row r="4754">
      <c r="A4754" s="234" t="s">
        <v>23012</v>
      </c>
      <c r="B4754" s="71" t="s">
        <v>17202</v>
      </c>
      <c r="C4754" s="71" t="s">
        <v>16838</v>
      </c>
    </row>
    <row r="4755">
      <c r="A4755" s="234" t="s">
        <v>23012</v>
      </c>
      <c r="B4755" s="71" t="s">
        <v>16838</v>
      </c>
      <c r="C4755" s="71" t="s">
        <v>17202</v>
      </c>
    </row>
    <row r="4756">
      <c r="A4756" s="130" t="s">
        <v>23014</v>
      </c>
      <c r="B4756" s="71" t="s">
        <v>187</v>
      </c>
      <c r="C4756" s="71" t="s">
        <v>16969</v>
      </c>
    </row>
    <row r="4757">
      <c r="A4757" s="130" t="s">
        <v>23016</v>
      </c>
      <c r="B4757" s="71" t="s">
        <v>16838</v>
      </c>
      <c r="C4757" s="71" t="s">
        <v>18679</v>
      </c>
    </row>
    <row r="4758">
      <c r="A4758" s="234" t="s">
        <v>23018</v>
      </c>
      <c r="B4758" s="71" t="s">
        <v>158</v>
      </c>
      <c r="C4758" s="71" t="s">
        <v>16864</v>
      </c>
    </row>
    <row r="4759">
      <c r="A4759" s="234" t="s">
        <v>23018</v>
      </c>
      <c r="B4759" s="71" t="s">
        <v>16864</v>
      </c>
      <c r="C4759" s="71" t="s">
        <v>158</v>
      </c>
    </row>
    <row r="4760">
      <c r="A4760" s="130" t="s">
        <v>23020</v>
      </c>
      <c r="B4760" s="71" t="s">
        <v>16582</v>
      </c>
      <c r="C4760" s="71" t="s">
        <v>16583</v>
      </c>
    </row>
    <row r="4761">
      <c r="A4761" s="234" t="s">
        <v>23022</v>
      </c>
      <c r="B4761" s="71" t="s">
        <v>175</v>
      </c>
      <c r="C4761" s="71" t="s">
        <v>17495</v>
      </c>
    </row>
    <row r="4762">
      <c r="A4762" s="234" t="s">
        <v>23022</v>
      </c>
      <c r="B4762" s="71" t="s">
        <v>17495</v>
      </c>
      <c r="C4762" s="71" t="s">
        <v>175</v>
      </c>
    </row>
    <row r="4763">
      <c r="A4763" s="130" t="s">
        <v>23024</v>
      </c>
      <c r="B4763" s="71" t="s">
        <v>16838</v>
      </c>
      <c r="C4763" s="71" t="s">
        <v>17202</v>
      </c>
    </row>
    <row r="4764">
      <c r="A4764" s="234" t="s">
        <v>23026</v>
      </c>
      <c r="B4764" s="71" t="s">
        <v>17202</v>
      </c>
      <c r="C4764" s="71" t="s">
        <v>16838</v>
      </c>
    </row>
    <row r="4765">
      <c r="A4765" s="234" t="s">
        <v>23026</v>
      </c>
      <c r="B4765" s="71" t="s">
        <v>16838</v>
      </c>
      <c r="C4765" s="71" t="s">
        <v>17202</v>
      </c>
    </row>
    <row r="4766">
      <c r="A4766" s="234" t="s">
        <v>23028</v>
      </c>
      <c r="B4766" s="71"/>
      <c r="C4766" s="71"/>
    </row>
    <row r="4767">
      <c r="A4767" s="234" t="s">
        <v>23028</v>
      </c>
      <c r="B4767" s="71"/>
      <c r="C4767" s="71"/>
    </row>
    <row r="4768">
      <c r="A4768" s="234" t="s">
        <v>23030</v>
      </c>
      <c r="B4768" s="71" t="s">
        <v>169</v>
      </c>
      <c r="C4768" s="71" t="s">
        <v>16899</v>
      </c>
    </row>
    <row r="4769">
      <c r="A4769" s="234" t="s">
        <v>23030</v>
      </c>
      <c r="B4769" s="71" t="s">
        <v>16899</v>
      </c>
      <c r="C4769" s="71" t="s">
        <v>169</v>
      </c>
    </row>
    <row r="4770">
      <c r="A4770" s="234" t="s">
        <v>23032</v>
      </c>
      <c r="B4770" s="71" t="s">
        <v>16582</v>
      </c>
      <c r="C4770" s="71" t="s">
        <v>16583</v>
      </c>
    </row>
    <row r="4771">
      <c r="A4771" s="234" t="s">
        <v>23032</v>
      </c>
      <c r="B4771" s="71" t="s">
        <v>16583</v>
      </c>
      <c r="C4771" s="71" t="s">
        <v>16582</v>
      </c>
    </row>
    <row r="4772">
      <c r="A4772" s="130" t="s">
        <v>23034</v>
      </c>
      <c r="B4772" s="71" t="s">
        <v>175</v>
      </c>
      <c r="C4772" s="71" t="s">
        <v>17509</v>
      </c>
    </row>
    <row r="4773">
      <c r="A4773" s="130" t="s">
        <v>23036</v>
      </c>
      <c r="B4773" s="71" t="s">
        <v>16838</v>
      </c>
      <c r="C4773" s="71" t="s">
        <v>16867</v>
      </c>
    </row>
    <row r="4774">
      <c r="A4774" s="130" t="s">
        <v>23038</v>
      </c>
      <c r="B4774" s="71" t="s">
        <v>169</v>
      </c>
      <c r="C4774" s="71" t="s">
        <v>18732</v>
      </c>
    </row>
    <row r="4775">
      <c r="A4775" s="234" t="s">
        <v>23040</v>
      </c>
      <c r="B4775" s="71" t="s">
        <v>158</v>
      </c>
      <c r="C4775" s="71" t="s">
        <v>16864</v>
      </c>
    </row>
    <row r="4776">
      <c r="A4776" s="234" t="s">
        <v>23040</v>
      </c>
      <c r="B4776" s="71" t="s">
        <v>16864</v>
      </c>
      <c r="C4776" s="71" t="s">
        <v>158</v>
      </c>
    </row>
    <row r="4777">
      <c r="A4777" s="130" t="s">
        <v>23042</v>
      </c>
      <c r="B4777" s="71" t="s">
        <v>175</v>
      </c>
      <c r="C4777" s="71" t="s">
        <v>16854</v>
      </c>
    </row>
    <row r="4778">
      <c r="A4778" s="234" t="s">
        <v>23044</v>
      </c>
      <c r="B4778" s="71" t="s">
        <v>16969</v>
      </c>
      <c r="C4778" s="71" t="s">
        <v>187</v>
      </c>
    </row>
    <row r="4779">
      <c r="A4779" s="234" t="s">
        <v>23044</v>
      </c>
      <c r="B4779" s="71" t="s">
        <v>187</v>
      </c>
      <c r="C4779" s="71" t="s">
        <v>16969</v>
      </c>
    </row>
    <row r="4780">
      <c r="A4780" s="130" t="s">
        <v>23046</v>
      </c>
      <c r="B4780" s="71" t="s">
        <v>175</v>
      </c>
      <c r="C4780" s="71" t="s">
        <v>18570</v>
      </c>
    </row>
    <row r="4781">
      <c r="A4781" s="130" t="s">
        <v>23048</v>
      </c>
      <c r="B4781" s="71" t="s">
        <v>175</v>
      </c>
      <c r="C4781" s="71" t="s">
        <v>17457</v>
      </c>
    </row>
    <row r="4782">
      <c r="A4782" s="130" t="s">
        <v>23050</v>
      </c>
      <c r="B4782" s="71" t="s">
        <v>16838</v>
      </c>
      <c r="C4782" s="71" t="s">
        <v>16867</v>
      </c>
    </row>
    <row r="4783">
      <c r="A4783" s="234" t="s">
        <v>23052</v>
      </c>
      <c r="B4783" s="71" t="s">
        <v>175</v>
      </c>
      <c r="C4783" s="71" t="s">
        <v>17233</v>
      </c>
    </row>
    <row r="4784">
      <c r="A4784" s="234" t="s">
        <v>23052</v>
      </c>
      <c r="B4784" s="71" t="s">
        <v>17233</v>
      </c>
      <c r="C4784" s="71" t="s">
        <v>175</v>
      </c>
    </row>
    <row r="4785">
      <c r="A4785" s="234" t="s">
        <v>23054</v>
      </c>
      <c r="B4785" s="71" t="s">
        <v>17111</v>
      </c>
      <c r="C4785" s="71" t="s">
        <v>17112</v>
      </c>
    </row>
    <row r="4786">
      <c r="A4786" s="234" t="s">
        <v>23054</v>
      </c>
      <c r="B4786" s="71" t="s">
        <v>17112</v>
      </c>
      <c r="C4786" s="71" t="s">
        <v>17111</v>
      </c>
    </row>
    <row r="4787">
      <c r="A4787" s="130" t="s">
        <v>23056</v>
      </c>
      <c r="B4787" s="71" t="s">
        <v>16582</v>
      </c>
      <c r="C4787" s="71" t="s">
        <v>16995</v>
      </c>
    </row>
    <row r="4788">
      <c r="A4788" s="234" t="s">
        <v>7688</v>
      </c>
      <c r="B4788" s="71" t="s">
        <v>16582</v>
      </c>
      <c r="C4788" s="71" t="s">
        <v>16817</v>
      </c>
    </row>
    <row r="4789">
      <c r="A4789" s="234" t="s">
        <v>7688</v>
      </c>
      <c r="B4789" s="71" t="s">
        <v>16817</v>
      </c>
      <c r="C4789" s="71" t="s">
        <v>16582</v>
      </c>
    </row>
    <row r="4790">
      <c r="A4790" s="130" t="s">
        <v>23059</v>
      </c>
      <c r="B4790" s="71" t="s">
        <v>16838</v>
      </c>
      <c r="C4790" s="71" t="s">
        <v>17112</v>
      </c>
    </row>
    <row r="4791">
      <c r="A4791" s="130" t="s">
        <v>23061</v>
      </c>
      <c r="B4791" s="71" t="s">
        <v>169</v>
      </c>
      <c r="C4791" s="71" t="s">
        <v>16899</v>
      </c>
    </row>
    <row r="4792">
      <c r="A4792" s="130" t="s">
        <v>23063</v>
      </c>
      <c r="B4792" s="71" t="s">
        <v>175</v>
      </c>
      <c r="C4792" s="71" t="s">
        <v>16854</v>
      </c>
    </row>
    <row r="4793">
      <c r="A4793" s="130" t="s">
        <v>23065</v>
      </c>
      <c r="B4793" s="71" t="s">
        <v>187</v>
      </c>
      <c r="C4793" s="71" t="s">
        <v>16846</v>
      </c>
    </row>
    <row r="4794">
      <c r="A4794" s="130" t="s">
        <v>23067</v>
      </c>
      <c r="B4794" s="71" t="s">
        <v>158</v>
      </c>
      <c r="C4794" s="71" t="s">
        <v>16864</v>
      </c>
    </row>
    <row r="4795">
      <c r="A4795" s="130" t="s">
        <v>23069</v>
      </c>
      <c r="B4795" s="71" t="s">
        <v>16838</v>
      </c>
      <c r="C4795" s="71" t="s">
        <v>17127</v>
      </c>
    </row>
    <row r="4796">
      <c r="A4796" s="130" t="s">
        <v>23071</v>
      </c>
      <c r="B4796" s="71" t="s">
        <v>17112</v>
      </c>
      <c r="C4796" s="71" t="s">
        <v>17218</v>
      </c>
    </row>
    <row r="4797">
      <c r="A4797" s="234" t="s">
        <v>23073</v>
      </c>
      <c r="B4797" s="71" t="s">
        <v>158</v>
      </c>
      <c r="C4797" s="71" t="s">
        <v>16864</v>
      </c>
    </row>
    <row r="4798">
      <c r="A4798" s="234" t="s">
        <v>23073</v>
      </c>
      <c r="B4798" s="71" t="s">
        <v>16864</v>
      </c>
      <c r="C4798" s="130" t="s">
        <v>158</v>
      </c>
    </row>
    <row r="4799">
      <c r="A4799" s="234" t="s">
        <v>23075</v>
      </c>
      <c r="B4799" s="71" t="s">
        <v>17112</v>
      </c>
      <c r="C4799" s="71" t="s">
        <v>17218</v>
      </c>
    </row>
    <row r="4800">
      <c r="A4800" s="234" t="s">
        <v>23075</v>
      </c>
      <c r="B4800" s="71" t="s">
        <v>17218</v>
      </c>
      <c r="C4800" s="71" t="s">
        <v>17112</v>
      </c>
    </row>
    <row r="4801">
      <c r="A4801" s="130" t="s">
        <v>23077</v>
      </c>
      <c r="B4801" s="71" t="s">
        <v>175</v>
      </c>
      <c r="C4801" s="71" t="s">
        <v>16854</v>
      </c>
    </row>
    <row r="4802">
      <c r="A4802" s="130" t="s">
        <v>23079</v>
      </c>
      <c r="B4802" s="71" t="s">
        <v>187</v>
      </c>
      <c r="C4802" s="71" t="s">
        <v>16992</v>
      </c>
    </row>
    <row r="4803">
      <c r="A4803" s="130" t="s">
        <v>23081</v>
      </c>
      <c r="B4803" s="71" t="s">
        <v>187</v>
      </c>
      <c r="C4803" s="71" t="s">
        <v>16846</v>
      </c>
    </row>
    <row r="4804">
      <c r="A4804" s="234" t="s">
        <v>23083</v>
      </c>
      <c r="B4804" s="71" t="s">
        <v>17111</v>
      </c>
      <c r="C4804" s="71" t="s">
        <v>17112</v>
      </c>
    </row>
    <row r="4805">
      <c r="A4805" s="234" t="s">
        <v>23083</v>
      </c>
      <c r="B4805" s="71" t="s">
        <v>17112</v>
      </c>
      <c r="C4805" s="71" t="s">
        <v>17111</v>
      </c>
    </row>
    <row r="4806">
      <c r="A4806" s="130" t="s">
        <v>23085</v>
      </c>
      <c r="B4806" s="71" t="s">
        <v>16919</v>
      </c>
      <c r="C4806" s="71" t="s">
        <v>17794</v>
      </c>
    </row>
    <row r="4807">
      <c r="A4807" s="130" t="s">
        <v>23087</v>
      </c>
      <c r="B4807" s="71" t="s">
        <v>187</v>
      </c>
      <c r="C4807" s="71" t="s">
        <v>16846</v>
      </c>
    </row>
    <row r="4808">
      <c r="A4808" s="234" t="s">
        <v>23089</v>
      </c>
      <c r="B4808" s="71" t="s">
        <v>158</v>
      </c>
      <c r="C4808" s="71" t="s">
        <v>16864</v>
      </c>
    </row>
    <row r="4809">
      <c r="A4809" s="234" t="s">
        <v>23089</v>
      </c>
      <c r="B4809" s="71" t="s">
        <v>16864</v>
      </c>
      <c r="C4809" s="71" t="s">
        <v>158</v>
      </c>
    </row>
    <row r="4810">
      <c r="A4810" s="130" t="s">
        <v>23091</v>
      </c>
      <c r="B4810" s="71" t="s">
        <v>175</v>
      </c>
      <c r="C4810" s="71" t="s">
        <v>17480</v>
      </c>
    </row>
    <row r="4811">
      <c r="A4811" s="234" t="s">
        <v>23093</v>
      </c>
      <c r="B4811" s="71" t="s">
        <v>175</v>
      </c>
      <c r="C4811" s="71" t="s">
        <v>16824</v>
      </c>
    </row>
    <row r="4812">
      <c r="A4812" s="234" t="s">
        <v>23093</v>
      </c>
      <c r="B4812" s="71" t="s">
        <v>16824</v>
      </c>
      <c r="C4812" s="71" t="s">
        <v>175</v>
      </c>
    </row>
    <row r="4813">
      <c r="A4813" s="130" t="s">
        <v>23095</v>
      </c>
      <c r="B4813" s="71"/>
      <c r="C4813" s="71"/>
    </row>
    <row r="4814">
      <c r="A4814" s="130" t="s">
        <v>23097</v>
      </c>
      <c r="B4814" s="71" t="s">
        <v>158</v>
      </c>
      <c r="C4814" s="71" t="s">
        <v>16870</v>
      </c>
    </row>
    <row r="4815">
      <c r="A4815" s="130" t="s">
        <v>23099</v>
      </c>
      <c r="B4815" s="71" t="s">
        <v>187</v>
      </c>
      <c r="C4815" s="71" t="s">
        <v>16846</v>
      </c>
    </row>
    <row r="4816">
      <c r="A4816" s="130" t="s">
        <v>23101</v>
      </c>
      <c r="B4816" s="71" t="s">
        <v>169</v>
      </c>
      <c r="C4816" s="71" t="s">
        <v>17043</v>
      </c>
    </row>
    <row r="4817">
      <c r="A4817" s="130" t="s">
        <v>23103</v>
      </c>
      <c r="B4817" s="71" t="s">
        <v>16919</v>
      </c>
      <c r="C4817" s="71" t="s">
        <v>17794</v>
      </c>
    </row>
    <row r="4818">
      <c r="A4818" s="234" t="s">
        <v>23105</v>
      </c>
      <c r="B4818" s="71" t="s">
        <v>158</v>
      </c>
      <c r="C4818" s="71" t="s">
        <v>17171</v>
      </c>
    </row>
    <row r="4819">
      <c r="A4819" s="234" t="s">
        <v>23105</v>
      </c>
      <c r="B4819" s="71" t="s">
        <v>17171</v>
      </c>
      <c r="C4819" s="71" t="s">
        <v>158</v>
      </c>
    </row>
    <row r="4820">
      <c r="A4820" s="234" t="s">
        <v>23107</v>
      </c>
      <c r="B4820" s="71" t="s">
        <v>175</v>
      </c>
      <c r="C4820" s="71" t="s">
        <v>18310</v>
      </c>
    </row>
    <row r="4821">
      <c r="A4821" s="234" t="s">
        <v>23107</v>
      </c>
      <c r="B4821" s="71" t="s">
        <v>18310</v>
      </c>
      <c r="C4821" s="71" t="s">
        <v>175</v>
      </c>
    </row>
    <row r="4822">
      <c r="A4822" s="234" t="s">
        <v>23109</v>
      </c>
      <c r="B4822" s="71" t="s">
        <v>16919</v>
      </c>
      <c r="C4822" s="71" t="s">
        <v>16920</v>
      </c>
    </row>
    <row r="4823">
      <c r="A4823" s="234" t="s">
        <v>23109</v>
      </c>
      <c r="B4823" s="71" t="s">
        <v>16920</v>
      </c>
      <c r="C4823" s="71" t="s">
        <v>16919</v>
      </c>
    </row>
    <row r="4824">
      <c r="A4824" s="130" t="s">
        <v>23111</v>
      </c>
      <c r="B4824" s="71" t="s">
        <v>175</v>
      </c>
      <c r="C4824" s="71" t="s">
        <v>16942</v>
      </c>
    </row>
    <row r="4825">
      <c r="A4825" s="234" t="s">
        <v>23113</v>
      </c>
      <c r="B4825" s="71" t="s">
        <v>17202</v>
      </c>
      <c r="C4825" s="71" t="s">
        <v>16838</v>
      </c>
    </row>
    <row r="4826">
      <c r="A4826" s="234" t="s">
        <v>23115</v>
      </c>
      <c r="B4826" s="71" t="s">
        <v>17202</v>
      </c>
      <c r="C4826" s="71" t="s">
        <v>16838</v>
      </c>
    </row>
    <row r="4827">
      <c r="A4827" s="234" t="s">
        <v>23113</v>
      </c>
      <c r="B4827" s="71" t="s">
        <v>16838</v>
      </c>
      <c r="C4827" s="71" t="s">
        <v>17202</v>
      </c>
    </row>
    <row r="4828">
      <c r="A4828" s="234" t="s">
        <v>23115</v>
      </c>
      <c r="B4828" s="71" t="s">
        <v>16838</v>
      </c>
      <c r="C4828" s="71" t="s">
        <v>17202</v>
      </c>
    </row>
    <row r="4829">
      <c r="A4829" s="130" t="s">
        <v>23117</v>
      </c>
      <c r="B4829" s="71" t="s">
        <v>187</v>
      </c>
      <c r="C4829" s="71" t="s">
        <v>16846</v>
      </c>
    </row>
    <row r="4830">
      <c r="A4830" s="130" t="s">
        <v>23119</v>
      </c>
      <c r="B4830" s="71" t="s">
        <v>16838</v>
      </c>
      <c r="C4830" s="71" t="s">
        <v>16867</v>
      </c>
    </row>
    <row r="4831">
      <c r="A4831" s="130" t="s">
        <v>23121</v>
      </c>
      <c r="B4831" s="71" t="s">
        <v>187</v>
      </c>
      <c r="C4831" s="71" t="s">
        <v>16846</v>
      </c>
    </row>
    <row r="4832">
      <c r="A4832" s="234" t="s">
        <v>23123</v>
      </c>
      <c r="B4832" s="71" t="s">
        <v>17111</v>
      </c>
      <c r="C4832" s="71" t="s">
        <v>17112</v>
      </c>
    </row>
    <row r="4833">
      <c r="A4833" s="234" t="s">
        <v>23123</v>
      </c>
      <c r="B4833" s="71" t="s">
        <v>17112</v>
      </c>
      <c r="C4833" s="71" t="s">
        <v>17111</v>
      </c>
    </row>
    <row r="4834">
      <c r="A4834" s="130" t="s">
        <v>23125</v>
      </c>
      <c r="B4834" s="71" t="s">
        <v>16838</v>
      </c>
      <c r="C4834" s="71" t="s">
        <v>16867</v>
      </c>
    </row>
    <row r="4835">
      <c r="A4835" s="130" t="s">
        <v>23127</v>
      </c>
      <c r="B4835" s="71" t="s">
        <v>175</v>
      </c>
      <c r="C4835" s="71" t="s">
        <v>17452</v>
      </c>
    </row>
    <row r="4836">
      <c r="A4836" s="234" t="s">
        <v>23129</v>
      </c>
      <c r="B4836" s="71" t="s">
        <v>16885</v>
      </c>
      <c r="C4836" s="71" t="s">
        <v>20119</v>
      </c>
    </row>
    <row r="4837">
      <c r="A4837" s="234" t="s">
        <v>23129</v>
      </c>
      <c r="B4837" s="71" t="s">
        <v>20119</v>
      </c>
      <c r="C4837" s="130" t="s">
        <v>16885</v>
      </c>
    </row>
    <row r="4838">
      <c r="A4838" s="234" t="s">
        <v>23131</v>
      </c>
      <c r="B4838" s="71" t="s">
        <v>18679</v>
      </c>
      <c r="C4838" s="71" t="s">
        <v>16838</v>
      </c>
    </row>
    <row r="4839">
      <c r="A4839" s="234" t="s">
        <v>23131</v>
      </c>
      <c r="B4839" s="71" t="s">
        <v>16838</v>
      </c>
      <c r="C4839" s="71" t="s">
        <v>18679</v>
      </c>
    </row>
    <row r="4840">
      <c r="A4840" s="130" t="s">
        <v>23133</v>
      </c>
      <c r="B4840" s="71" t="s">
        <v>16582</v>
      </c>
      <c r="C4840" s="71" t="s">
        <v>16583</v>
      </c>
    </row>
    <row r="4841">
      <c r="A4841" s="130" t="s">
        <v>23135</v>
      </c>
      <c r="B4841" s="71" t="s">
        <v>16582</v>
      </c>
      <c r="C4841" s="71" t="s">
        <v>16817</v>
      </c>
    </row>
    <row r="4842">
      <c r="A4842" s="234" t="s">
        <v>23137</v>
      </c>
      <c r="B4842" s="71" t="s">
        <v>17111</v>
      </c>
      <c r="C4842" s="71" t="s">
        <v>17112</v>
      </c>
    </row>
    <row r="4843">
      <c r="A4843" s="234" t="s">
        <v>23137</v>
      </c>
      <c r="B4843" s="71" t="s">
        <v>17112</v>
      </c>
      <c r="C4843" s="71" t="s">
        <v>17111</v>
      </c>
    </row>
    <row r="4844">
      <c r="A4844" s="130" t="s">
        <v>23139</v>
      </c>
      <c r="B4844" s="71" t="s">
        <v>16838</v>
      </c>
      <c r="C4844" s="71" t="s">
        <v>18219</v>
      </c>
    </row>
    <row r="4845">
      <c r="A4845" s="234" t="s">
        <v>23141</v>
      </c>
      <c r="B4845" s="71" t="s">
        <v>17794</v>
      </c>
      <c r="C4845" s="71" t="s">
        <v>16919</v>
      </c>
    </row>
    <row r="4846">
      <c r="A4846" s="234" t="s">
        <v>23141</v>
      </c>
      <c r="B4846" s="71" t="s">
        <v>16919</v>
      </c>
      <c r="C4846" s="71" t="s">
        <v>17794</v>
      </c>
    </row>
    <row r="4847">
      <c r="A4847" s="130" t="s">
        <v>23143</v>
      </c>
      <c r="B4847" s="71" t="s">
        <v>16838</v>
      </c>
      <c r="C4847" s="71" t="s">
        <v>16867</v>
      </c>
    </row>
    <row r="4848">
      <c r="A4848" s="130" t="s">
        <v>23145</v>
      </c>
      <c r="B4848" s="71" t="s">
        <v>187</v>
      </c>
      <c r="C4848" s="71" t="s">
        <v>16846</v>
      </c>
    </row>
    <row r="4849">
      <c r="A4849" s="234" t="s">
        <v>23147</v>
      </c>
      <c r="B4849" s="71" t="s">
        <v>17202</v>
      </c>
      <c r="C4849" s="71" t="s">
        <v>16838</v>
      </c>
    </row>
    <row r="4850">
      <c r="A4850" s="234" t="s">
        <v>23147</v>
      </c>
      <c r="B4850" s="71" t="s">
        <v>16838</v>
      </c>
      <c r="C4850" s="71" t="s">
        <v>17202</v>
      </c>
    </row>
    <row r="4851">
      <c r="A4851" s="130" t="s">
        <v>23149</v>
      </c>
      <c r="B4851" s="71" t="s">
        <v>16885</v>
      </c>
      <c r="C4851" s="71" t="s">
        <v>17726</v>
      </c>
    </row>
    <row r="4852">
      <c r="A4852" s="130" t="s">
        <v>23151</v>
      </c>
      <c r="B4852" s="71" t="s">
        <v>187</v>
      </c>
      <c r="C4852" s="71" t="s">
        <v>16846</v>
      </c>
    </row>
    <row r="4853">
      <c r="A4853" s="130" t="s">
        <v>23153</v>
      </c>
      <c r="B4853" s="71" t="s">
        <v>16838</v>
      </c>
      <c r="C4853" s="71" t="s">
        <v>16867</v>
      </c>
    </row>
    <row r="4854">
      <c r="A4854" s="130" t="s">
        <v>23155</v>
      </c>
      <c r="B4854" s="71" t="s">
        <v>16838</v>
      </c>
      <c r="C4854" s="71" t="s">
        <v>16867</v>
      </c>
    </row>
    <row r="4855">
      <c r="A4855" s="130" t="s">
        <v>23157</v>
      </c>
      <c r="B4855" s="71" t="s">
        <v>187</v>
      </c>
      <c r="C4855" s="71" t="s">
        <v>16858</v>
      </c>
    </row>
    <row r="4856">
      <c r="A4856" s="130" t="s">
        <v>23159</v>
      </c>
      <c r="B4856" s="71" t="s">
        <v>175</v>
      </c>
      <c r="C4856" s="71" t="s">
        <v>19006</v>
      </c>
    </row>
    <row r="4857">
      <c r="A4857" s="234" t="s">
        <v>23161</v>
      </c>
      <c r="B4857" s="71" t="s">
        <v>17111</v>
      </c>
      <c r="C4857" s="71" t="s">
        <v>17112</v>
      </c>
    </row>
    <row r="4858">
      <c r="A4858" s="234" t="s">
        <v>23161</v>
      </c>
      <c r="B4858" s="71" t="s">
        <v>17112</v>
      </c>
      <c r="C4858" s="71" t="s">
        <v>17111</v>
      </c>
    </row>
    <row r="4859">
      <c r="A4859" s="234" t="s">
        <v>23163</v>
      </c>
      <c r="B4859" s="71" t="s">
        <v>17112</v>
      </c>
      <c r="C4859" s="71" t="s">
        <v>17457</v>
      </c>
    </row>
    <row r="4860">
      <c r="A4860" s="234" t="s">
        <v>23163</v>
      </c>
      <c r="B4860" s="71" t="s">
        <v>17457</v>
      </c>
      <c r="C4860" s="71" t="s">
        <v>17112</v>
      </c>
    </row>
    <row r="4861">
      <c r="A4861" s="130" t="s">
        <v>23165</v>
      </c>
      <c r="B4861" s="71" t="s">
        <v>169</v>
      </c>
      <c r="C4861" s="71" t="s">
        <v>16899</v>
      </c>
    </row>
    <row r="4862">
      <c r="A4862" s="130" t="s">
        <v>23167</v>
      </c>
      <c r="B4862" s="71" t="s">
        <v>187</v>
      </c>
      <c r="C4862" s="71" t="s">
        <v>16846</v>
      </c>
    </row>
    <row r="4863">
      <c r="A4863" s="234" t="s">
        <v>23169</v>
      </c>
      <c r="B4863" s="71" t="s">
        <v>17112</v>
      </c>
      <c r="C4863" s="71" t="s">
        <v>16838</v>
      </c>
    </row>
    <row r="4864">
      <c r="A4864" s="234" t="s">
        <v>23169</v>
      </c>
      <c r="B4864" s="71" t="s">
        <v>16838</v>
      </c>
      <c r="C4864" s="71" t="s">
        <v>17112</v>
      </c>
    </row>
    <row r="4865">
      <c r="A4865" s="130" t="s">
        <v>23171</v>
      </c>
      <c r="B4865" s="71" t="s">
        <v>187</v>
      </c>
      <c r="C4865" s="71" t="s">
        <v>16846</v>
      </c>
    </row>
    <row r="4866">
      <c r="A4866" s="130" t="s">
        <v>23173</v>
      </c>
      <c r="B4866" s="71" t="s">
        <v>16838</v>
      </c>
      <c r="C4866" s="71" t="s">
        <v>16867</v>
      </c>
    </row>
    <row r="4867">
      <c r="A4867" s="234" t="s">
        <v>23175</v>
      </c>
      <c r="B4867" s="71" t="s">
        <v>175</v>
      </c>
      <c r="C4867" s="71" t="s">
        <v>17457</v>
      </c>
    </row>
    <row r="4868">
      <c r="A4868" s="234" t="s">
        <v>23175</v>
      </c>
      <c r="B4868" s="71" t="s">
        <v>17457</v>
      </c>
      <c r="C4868" s="71" t="s">
        <v>175</v>
      </c>
    </row>
    <row r="4869">
      <c r="A4869" s="234" t="s">
        <v>23177</v>
      </c>
      <c r="B4869" s="71" t="s">
        <v>17112</v>
      </c>
      <c r="C4869" s="71" t="s">
        <v>16838</v>
      </c>
    </row>
    <row r="4870">
      <c r="A4870" s="234" t="s">
        <v>23177</v>
      </c>
      <c r="B4870" s="71" t="s">
        <v>16838</v>
      </c>
      <c r="C4870" s="71" t="s">
        <v>17112</v>
      </c>
    </row>
    <row r="4871">
      <c r="A4871" s="234" t="s">
        <v>23179</v>
      </c>
      <c r="B4871" s="71" t="s">
        <v>16838</v>
      </c>
      <c r="C4871" s="71" t="s">
        <v>18679</v>
      </c>
    </row>
    <row r="4872">
      <c r="A4872" s="234" t="s">
        <v>23179</v>
      </c>
      <c r="B4872" s="71" t="s">
        <v>18679</v>
      </c>
      <c r="C4872" s="130" t="s">
        <v>16838</v>
      </c>
    </row>
    <row r="4873">
      <c r="A4873" s="234" t="s">
        <v>23181</v>
      </c>
      <c r="B4873" s="71" t="s">
        <v>16910</v>
      </c>
      <c r="C4873" s="71" t="s">
        <v>17662</v>
      </c>
    </row>
    <row r="4874">
      <c r="A4874" s="234" t="s">
        <v>23181</v>
      </c>
      <c r="B4874" s="71" t="s">
        <v>17662</v>
      </c>
      <c r="C4874" s="71" t="s">
        <v>16910</v>
      </c>
    </row>
    <row r="4875">
      <c r="A4875" s="130" t="s">
        <v>23184</v>
      </c>
      <c r="B4875" s="71" t="s">
        <v>16910</v>
      </c>
      <c r="C4875" s="71" t="s">
        <v>17119</v>
      </c>
    </row>
    <row r="4876">
      <c r="A4876" s="234" t="s">
        <v>23186</v>
      </c>
      <c r="B4876" s="71" t="s">
        <v>175</v>
      </c>
      <c r="C4876" s="71" t="s">
        <v>17218</v>
      </c>
    </row>
    <row r="4877">
      <c r="A4877" s="234" t="s">
        <v>23186</v>
      </c>
      <c r="B4877" s="71" t="s">
        <v>17218</v>
      </c>
      <c r="C4877" s="71" t="s">
        <v>175</v>
      </c>
    </row>
    <row r="4878">
      <c r="A4878" s="130" t="s">
        <v>23188</v>
      </c>
      <c r="B4878" s="71" t="s">
        <v>187</v>
      </c>
      <c r="C4878" s="71" t="s">
        <v>16969</v>
      </c>
    </row>
    <row r="4879">
      <c r="A4879" s="130" t="s">
        <v>23190</v>
      </c>
      <c r="B4879" s="71" t="s">
        <v>16838</v>
      </c>
      <c r="C4879" s="71" t="s">
        <v>17019</v>
      </c>
    </row>
    <row r="4880">
      <c r="A4880" s="130" t="s">
        <v>23192</v>
      </c>
      <c r="B4880" s="71" t="s">
        <v>16838</v>
      </c>
      <c r="C4880" s="71" t="s">
        <v>16867</v>
      </c>
    </row>
    <row r="4881">
      <c r="A4881" s="130" t="s">
        <v>23194</v>
      </c>
      <c r="B4881" s="71" t="s">
        <v>17112</v>
      </c>
      <c r="C4881" s="71" t="s">
        <v>17111</v>
      </c>
    </row>
    <row r="4882">
      <c r="A4882" s="130" t="s">
        <v>23196</v>
      </c>
      <c r="B4882" s="71" t="s">
        <v>16838</v>
      </c>
      <c r="C4882" s="71" t="s">
        <v>17127</v>
      </c>
    </row>
    <row r="4883">
      <c r="A4883" s="130" t="s">
        <v>23198</v>
      </c>
      <c r="B4883" s="71" t="s">
        <v>17112</v>
      </c>
      <c r="C4883" s="71" t="s">
        <v>17111</v>
      </c>
    </row>
    <row r="4884">
      <c r="A4884" s="234" t="s">
        <v>23200</v>
      </c>
      <c r="B4884" s="71" t="s">
        <v>169</v>
      </c>
      <c r="C4884" s="71" t="s">
        <v>17025</v>
      </c>
    </row>
    <row r="4885">
      <c r="A4885" s="234" t="s">
        <v>23200</v>
      </c>
      <c r="B4885" s="71" t="s">
        <v>17025</v>
      </c>
      <c r="C4885" s="71" t="s">
        <v>169</v>
      </c>
    </row>
    <row r="4886">
      <c r="A4886" s="234" t="s">
        <v>23202</v>
      </c>
      <c r="B4886" s="71" t="s">
        <v>19579</v>
      </c>
      <c r="C4886" s="71" t="s">
        <v>16838</v>
      </c>
    </row>
    <row r="4887">
      <c r="A4887" s="234" t="s">
        <v>23202</v>
      </c>
      <c r="B4887" s="71" t="s">
        <v>16838</v>
      </c>
      <c r="C4887" s="71" t="s">
        <v>19579</v>
      </c>
    </row>
    <row r="4888">
      <c r="A4888" s="130" t="s">
        <v>23203</v>
      </c>
      <c r="B4888" s="71" t="s">
        <v>16582</v>
      </c>
      <c r="C4888" s="71" t="s">
        <v>17183</v>
      </c>
    </row>
    <row r="4889">
      <c r="A4889" s="130" t="s">
        <v>23205</v>
      </c>
      <c r="B4889" s="71" t="s">
        <v>187</v>
      </c>
      <c r="C4889" s="71" t="s">
        <v>16846</v>
      </c>
    </row>
    <row r="4890">
      <c r="A4890" s="130" t="s">
        <v>23207</v>
      </c>
      <c r="B4890" s="71" t="s">
        <v>16838</v>
      </c>
      <c r="C4890" s="71" t="s">
        <v>17202</v>
      </c>
    </row>
    <row r="4891">
      <c r="A4891" s="130" t="s">
        <v>23209</v>
      </c>
      <c r="B4891" s="71" t="s">
        <v>16926</v>
      </c>
      <c r="C4891" s="71" t="s">
        <v>16957</v>
      </c>
    </row>
    <row r="4892">
      <c r="A4892" s="130" t="s">
        <v>23211</v>
      </c>
      <c r="B4892" s="71" t="s">
        <v>169</v>
      </c>
      <c r="C4892" s="71" t="s">
        <v>17702</v>
      </c>
    </row>
    <row r="4893">
      <c r="A4893" s="130" t="s">
        <v>23213</v>
      </c>
      <c r="B4893" s="71" t="s">
        <v>16838</v>
      </c>
      <c r="C4893" s="71" t="s">
        <v>18679</v>
      </c>
    </row>
    <row r="4894">
      <c r="A4894" s="130" t="s">
        <v>23215</v>
      </c>
      <c r="B4894" s="71" t="s">
        <v>16926</v>
      </c>
      <c r="C4894" s="71" t="s">
        <v>16957</v>
      </c>
    </row>
    <row r="4895">
      <c r="A4895" s="130" t="s">
        <v>23217</v>
      </c>
      <c r="B4895" s="71" t="s">
        <v>187</v>
      </c>
      <c r="C4895" s="71" t="s">
        <v>16992</v>
      </c>
    </row>
    <row r="4896">
      <c r="A4896" s="130" t="s">
        <v>23219</v>
      </c>
      <c r="B4896" s="71" t="s">
        <v>16838</v>
      </c>
      <c r="C4896" s="71" t="s">
        <v>16867</v>
      </c>
    </row>
    <row r="4897">
      <c r="A4897" s="130" t="s">
        <v>23221</v>
      </c>
      <c r="B4897" s="71" t="s">
        <v>16582</v>
      </c>
      <c r="C4897" s="71" t="s">
        <v>16828</v>
      </c>
    </row>
    <row r="4898">
      <c r="A4898" s="234" t="s">
        <v>23223</v>
      </c>
      <c r="B4898" s="71" t="s">
        <v>19579</v>
      </c>
      <c r="C4898" s="71" t="s">
        <v>16838</v>
      </c>
    </row>
    <row r="4899">
      <c r="A4899" s="234" t="s">
        <v>23223</v>
      </c>
      <c r="B4899" s="71" t="s">
        <v>16838</v>
      </c>
      <c r="C4899" s="71" t="s">
        <v>19579</v>
      </c>
    </row>
    <row r="4900">
      <c r="A4900" s="130" t="s">
        <v>23225</v>
      </c>
      <c r="B4900" s="71" t="s">
        <v>16838</v>
      </c>
      <c r="C4900" s="71" t="s">
        <v>16867</v>
      </c>
    </row>
    <row r="4901">
      <c r="A4901" s="234" t="s">
        <v>23227</v>
      </c>
      <c r="B4901" s="71" t="s">
        <v>19579</v>
      </c>
      <c r="C4901" s="71" t="s">
        <v>16838</v>
      </c>
    </row>
    <row r="4902">
      <c r="A4902" s="234" t="s">
        <v>23227</v>
      </c>
      <c r="B4902" s="71" t="s">
        <v>16838</v>
      </c>
      <c r="C4902" s="71" t="s">
        <v>19579</v>
      </c>
    </row>
    <row r="4903">
      <c r="A4903" s="234" t="s">
        <v>23229</v>
      </c>
      <c r="B4903" s="71" t="s">
        <v>17202</v>
      </c>
      <c r="C4903" s="71" t="s">
        <v>16838</v>
      </c>
    </row>
    <row r="4904">
      <c r="A4904" s="234" t="s">
        <v>23229</v>
      </c>
      <c r="B4904" s="71" t="s">
        <v>16838</v>
      </c>
      <c r="C4904" s="71" t="s">
        <v>17202</v>
      </c>
    </row>
    <row r="4905">
      <c r="A4905" s="130" t="s">
        <v>23231</v>
      </c>
      <c r="B4905" s="71" t="s">
        <v>175</v>
      </c>
      <c r="C4905" s="71" t="s">
        <v>16824</v>
      </c>
    </row>
    <row r="4906">
      <c r="A4906" s="130" t="s">
        <v>23233</v>
      </c>
      <c r="B4906" s="71" t="s">
        <v>17629</v>
      </c>
      <c r="C4906" s="71" t="s">
        <v>18718</v>
      </c>
    </row>
    <row r="4907">
      <c r="A4907" s="130" t="s">
        <v>23235</v>
      </c>
      <c r="B4907" s="71" t="s">
        <v>16582</v>
      </c>
      <c r="C4907" s="71" t="s">
        <v>16995</v>
      </c>
    </row>
    <row r="4908">
      <c r="A4908" s="130" t="s">
        <v>23237</v>
      </c>
      <c r="B4908" s="71" t="s">
        <v>16838</v>
      </c>
      <c r="C4908" s="71" t="s">
        <v>17016</v>
      </c>
    </row>
    <row r="4909">
      <c r="A4909" s="130" t="s">
        <v>23239</v>
      </c>
      <c r="B4909" s="71" t="s">
        <v>16838</v>
      </c>
      <c r="C4909" s="71" t="s">
        <v>17127</v>
      </c>
    </row>
    <row r="4910">
      <c r="A4910" s="234" t="s">
        <v>23241</v>
      </c>
      <c r="B4910" s="71" t="s">
        <v>169</v>
      </c>
      <c r="C4910" s="71" t="s">
        <v>17339</v>
      </c>
    </row>
    <row r="4911">
      <c r="A4911" s="234" t="s">
        <v>23241</v>
      </c>
      <c r="B4911" s="71" t="s">
        <v>17339</v>
      </c>
      <c r="C4911" s="71" t="s">
        <v>169</v>
      </c>
    </row>
    <row r="4912">
      <c r="A4912" s="130" t="s">
        <v>23243</v>
      </c>
      <c r="B4912" s="71" t="s">
        <v>169</v>
      </c>
      <c r="C4912" s="71" t="s">
        <v>17057</v>
      </c>
    </row>
    <row r="4913">
      <c r="A4913" s="130" t="s">
        <v>23245</v>
      </c>
      <c r="B4913" s="71" t="s">
        <v>175</v>
      </c>
      <c r="C4913" s="71" t="s">
        <v>16878</v>
      </c>
    </row>
    <row r="4914">
      <c r="A4914" s="130" t="s">
        <v>23247</v>
      </c>
      <c r="B4914" s="71" t="s">
        <v>17112</v>
      </c>
      <c r="C4914" s="71" t="s">
        <v>17112</v>
      </c>
    </row>
    <row r="4915">
      <c r="A4915" s="130" t="s">
        <v>23249</v>
      </c>
      <c r="B4915" s="71" t="s">
        <v>16838</v>
      </c>
      <c r="C4915" s="71" t="s">
        <v>18956</v>
      </c>
    </row>
    <row r="4916">
      <c r="A4916" s="234" t="s">
        <v>23251</v>
      </c>
      <c r="B4916" s="71" t="s">
        <v>175</v>
      </c>
      <c r="C4916" s="71" t="s">
        <v>18723</v>
      </c>
    </row>
    <row r="4917">
      <c r="A4917" s="234" t="s">
        <v>23251</v>
      </c>
      <c r="B4917" s="71" t="s">
        <v>18723</v>
      </c>
      <c r="C4917" s="71" t="s">
        <v>175</v>
      </c>
    </row>
    <row r="4918">
      <c r="A4918" s="130" t="s">
        <v>23253</v>
      </c>
      <c r="B4918" s="71" t="s">
        <v>175</v>
      </c>
      <c r="C4918" s="71" t="s">
        <v>17480</v>
      </c>
    </row>
    <row r="4919">
      <c r="A4919" s="130" t="s">
        <v>23255</v>
      </c>
      <c r="B4919" s="71" t="s">
        <v>175</v>
      </c>
      <c r="C4919" s="71" t="s">
        <v>16972</v>
      </c>
    </row>
    <row r="4920">
      <c r="A4920" s="130" t="s">
        <v>23257</v>
      </c>
      <c r="B4920" s="71" t="s">
        <v>187</v>
      </c>
      <c r="C4920" s="71" t="s">
        <v>17122</v>
      </c>
    </row>
    <row r="4921">
      <c r="A4921" s="234" t="s">
        <v>23259</v>
      </c>
      <c r="B4921" s="71" t="s">
        <v>17127</v>
      </c>
      <c r="C4921" s="71" t="s">
        <v>16838</v>
      </c>
    </row>
    <row r="4922">
      <c r="A4922" s="234" t="s">
        <v>23259</v>
      </c>
      <c r="B4922" s="71" t="s">
        <v>16838</v>
      </c>
      <c r="C4922" s="71" t="s">
        <v>17127</v>
      </c>
    </row>
    <row r="4923">
      <c r="A4923" s="130" t="s">
        <v>23261</v>
      </c>
      <c r="B4923" s="71" t="s">
        <v>187</v>
      </c>
      <c r="C4923" s="71" t="s">
        <v>16969</v>
      </c>
    </row>
    <row r="4924">
      <c r="A4924" s="130" t="s">
        <v>23263</v>
      </c>
      <c r="B4924" s="71" t="s">
        <v>175</v>
      </c>
      <c r="C4924" s="71" t="s">
        <v>17394</v>
      </c>
    </row>
    <row r="4925">
      <c r="A4925" s="130" t="s">
        <v>23265</v>
      </c>
      <c r="B4925" s="71" t="s">
        <v>16838</v>
      </c>
      <c r="C4925" s="71" t="s">
        <v>16867</v>
      </c>
    </row>
    <row r="4926">
      <c r="A4926" s="234" t="s">
        <v>23267</v>
      </c>
      <c r="B4926" s="71" t="s">
        <v>17016</v>
      </c>
      <c r="C4926" s="71" t="s">
        <v>16838</v>
      </c>
    </row>
    <row r="4927">
      <c r="A4927" s="234" t="s">
        <v>23267</v>
      </c>
      <c r="B4927" s="71" t="s">
        <v>16838</v>
      </c>
      <c r="C4927" s="71" t="s">
        <v>17016</v>
      </c>
    </row>
    <row r="4928">
      <c r="A4928" s="130" t="s">
        <v>23269</v>
      </c>
      <c r="B4928" s="71" t="s">
        <v>175</v>
      </c>
      <c r="C4928" s="71" t="s">
        <v>18268</v>
      </c>
    </row>
    <row r="4929">
      <c r="A4929" s="234" t="s">
        <v>23271</v>
      </c>
      <c r="B4929" s="71" t="s">
        <v>175</v>
      </c>
      <c r="C4929" s="71" t="s">
        <v>17480</v>
      </c>
    </row>
    <row r="4930">
      <c r="A4930" s="234" t="s">
        <v>23271</v>
      </c>
      <c r="B4930" s="71" t="s">
        <v>17480</v>
      </c>
      <c r="C4930" s="71" t="s">
        <v>175</v>
      </c>
    </row>
    <row r="4931">
      <c r="A4931" s="130" t="s">
        <v>23273</v>
      </c>
      <c r="B4931" s="71" t="s">
        <v>187</v>
      </c>
      <c r="C4931" s="71" t="s">
        <v>16858</v>
      </c>
    </row>
    <row r="4932">
      <c r="A4932" s="130" t="s">
        <v>23275</v>
      </c>
      <c r="B4932" s="71" t="s">
        <v>16582</v>
      </c>
      <c r="C4932" s="71" t="s">
        <v>16583</v>
      </c>
    </row>
    <row r="4933">
      <c r="A4933" s="130" t="s">
        <v>23277</v>
      </c>
      <c r="B4933" s="71" t="s">
        <v>16838</v>
      </c>
      <c r="C4933" s="71" t="s">
        <v>16867</v>
      </c>
    </row>
    <row r="4934">
      <c r="A4934" s="130" t="s">
        <v>23279</v>
      </c>
      <c r="B4934" s="71" t="s">
        <v>16838</v>
      </c>
      <c r="C4934" s="71" t="s">
        <v>16867</v>
      </c>
    </row>
    <row r="4935">
      <c r="A4935" s="234" t="s">
        <v>23281</v>
      </c>
      <c r="B4935" s="71" t="s">
        <v>175</v>
      </c>
      <c r="C4935" s="71" t="s">
        <v>16824</v>
      </c>
    </row>
    <row r="4936">
      <c r="A4936" s="234" t="s">
        <v>23281</v>
      </c>
      <c r="B4936" s="71" t="s">
        <v>16824</v>
      </c>
      <c r="C4936" s="71" t="s">
        <v>175</v>
      </c>
    </row>
    <row r="4937">
      <c r="A4937" s="234" t="s">
        <v>23283</v>
      </c>
      <c r="B4937" s="71" t="s">
        <v>169</v>
      </c>
      <c r="C4937" s="71" t="s">
        <v>17057</v>
      </c>
    </row>
    <row r="4938">
      <c r="A4938" s="234" t="s">
        <v>23283</v>
      </c>
      <c r="B4938" s="71" t="s">
        <v>17057</v>
      </c>
      <c r="C4938" s="130" t="s">
        <v>169</v>
      </c>
    </row>
    <row r="4939">
      <c r="A4939" s="130" t="s">
        <v>23285</v>
      </c>
      <c r="B4939" s="71" t="s">
        <v>16838</v>
      </c>
      <c r="C4939" s="71" t="s">
        <v>16867</v>
      </c>
    </row>
    <row r="4940">
      <c r="A4940" s="130" t="s">
        <v>23287</v>
      </c>
      <c r="B4940" s="71" t="s">
        <v>187</v>
      </c>
      <c r="C4940" s="71" t="s">
        <v>16846</v>
      </c>
    </row>
    <row r="4941">
      <c r="A4941" s="130" t="s">
        <v>23289</v>
      </c>
      <c r="B4941" s="71" t="s">
        <v>16582</v>
      </c>
      <c r="C4941" s="71" t="s">
        <v>16930</v>
      </c>
    </row>
    <row r="4942">
      <c r="A4942" s="234" t="s">
        <v>23291</v>
      </c>
      <c r="B4942" s="71" t="s">
        <v>16919</v>
      </c>
      <c r="C4942" s="71" t="s">
        <v>17048</v>
      </c>
    </row>
    <row r="4943">
      <c r="A4943" s="234" t="s">
        <v>23291</v>
      </c>
      <c r="B4943" s="71" t="s">
        <v>17048</v>
      </c>
      <c r="C4943" s="71" t="s">
        <v>16919</v>
      </c>
    </row>
    <row r="4944">
      <c r="A4944" s="130" t="s">
        <v>23293</v>
      </c>
      <c r="B4944" s="71" t="s">
        <v>16838</v>
      </c>
      <c r="C4944" s="71" t="s">
        <v>17202</v>
      </c>
    </row>
    <row r="4945">
      <c r="A4945" s="234" t="s">
        <v>23295</v>
      </c>
      <c r="B4945" s="71" t="s">
        <v>175</v>
      </c>
      <c r="C4945" s="71" t="s">
        <v>17233</v>
      </c>
    </row>
    <row r="4946">
      <c r="A4946" s="234" t="s">
        <v>23295</v>
      </c>
      <c r="B4946" s="71" t="s">
        <v>17233</v>
      </c>
      <c r="C4946" s="71" t="s">
        <v>175</v>
      </c>
    </row>
    <row r="4947">
      <c r="A4947" s="234" t="s">
        <v>23296</v>
      </c>
      <c r="B4947" s="71" t="s">
        <v>17127</v>
      </c>
      <c r="C4947" s="71" t="s">
        <v>16838</v>
      </c>
    </row>
    <row r="4948">
      <c r="A4948" s="234" t="s">
        <v>23296</v>
      </c>
      <c r="B4948" s="71" t="s">
        <v>16838</v>
      </c>
      <c r="C4948" s="71" t="s">
        <v>17127</v>
      </c>
    </row>
    <row r="4949">
      <c r="A4949" s="130" t="s">
        <v>23298</v>
      </c>
      <c r="B4949" s="71" t="s">
        <v>16838</v>
      </c>
      <c r="C4949" s="71" t="s">
        <v>16837</v>
      </c>
    </row>
    <row r="4950">
      <c r="A4950" s="234" t="s">
        <v>23300</v>
      </c>
      <c r="B4950" s="71" t="s">
        <v>17259</v>
      </c>
      <c r="C4950" s="71" t="s">
        <v>187</v>
      </c>
    </row>
    <row r="4951">
      <c r="A4951" s="234" t="s">
        <v>23300</v>
      </c>
      <c r="B4951" s="71" t="s">
        <v>187</v>
      </c>
      <c r="C4951" s="71" t="s">
        <v>17259</v>
      </c>
    </row>
    <row r="4952">
      <c r="A4952" s="234" t="s">
        <v>23302</v>
      </c>
      <c r="B4952" s="71" t="s">
        <v>17629</v>
      </c>
      <c r="C4952" s="71" t="s">
        <v>17452</v>
      </c>
    </row>
    <row r="4953">
      <c r="A4953" s="234" t="s">
        <v>23302</v>
      </c>
      <c r="B4953" s="71" t="s">
        <v>17452</v>
      </c>
      <c r="C4953" s="71" t="s">
        <v>17629</v>
      </c>
    </row>
    <row r="4954">
      <c r="A4954" s="130" t="s">
        <v>23304</v>
      </c>
      <c r="B4954" s="71" t="s">
        <v>187</v>
      </c>
      <c r="C4954" s="71" t="s">
        <v>16846</v>
      </c>
    </row>
    <row r="4955">
      <c r="A4955" s="130" t="s">
        <v>23306</v>
      </c>
      <c r="B4955" s="71" t="s">
        <v>16582</v>
      </c>
      <c r="C4955" s="71" t="s">
        <v>16930</v>
      </c>
    </row>
    <row r="4956">
      <c r="A4956" s="130" t="s">
        <v>23308</v>
      </c>
      <c r="B4956" s="71" t="s">
        <v>175</v>
      </c>
      <c r="C4956" s="71" t="s">
        <v>16942</v>
      </c>
    </row>
    <row r="4957">
      <c r="A4957" s="234" t="s">
        <v>23310</v>
      </c>
      <c r="B4957" s="71" t="s">
        <v>17111</v>
      </c>
      <c r="C4957" s="71" t="s">
        <v>17112</v>
      </c>
    </row>
    <row r="4958">
      <c r="A4958" s="234" t="s">
        <v>23310</v>
      </c>
      <c r="B4958" s="71" t="s">
        <v>17112</v>
      </c>
      <c r="C4958" s="71" t="s">
        <v>17111</v>
      </c>
    </row>
    <row r="4959">
      <c r="A4959" s="130" t="s">
        <v>23312</v>
      </c>
      <c r="B4959" s="71" t="s">
        <v>158</v>
      </c>
      <c r="C4959" s="71" t="s">
        <v>16899</v>
      </c>
    </row>
    <row r="4960">
      <c r="A4960" s="130" t="s">
        <v>23315</v>
      </c>
      <c r="B4960" s="71" t="s">
        <v>175</v>
      </c>
      <c r="C4960" s="71" t="s">
        <v>16899</v>
      </c>
    </row>
    <row r="4961">
      <c r="A4961" s="234" t="s">
        <v>23317</v>
      </c>
      <c r="B4961" s="71" t="s">
        <v>175</v>
      </c>
      <c r="C4961" s="71" t="s">
        <v>17218</v>
      </c>
    </row>
    <row r="4962">
      <c r="A4962" s="234" t="s">
        <v>23317</v>
      </c>
      <c r="B4962" s="71" t="s">
        <v>17218</v>
      </c>
      <c r="C4962" s="71" t="s">
        <v>175</v>
      </c>
    </row>
    <row r="4963">
      <c r="A4963" s="130" t="s">
        <v>23319</v>
      </c>
      <c r="B4963" s="71" t="s">
        <v>187</v>
      </c>
      <c r="C4963" s="71" t="s">
        <v>16851</v>
      </c>
    </row>
    <row r="4964">
      <c r="A4964" s="130" t="s">
        <v>23321</v>
      </c>
      <c r="B4964" s="71" t="s">
        <v>175</v>
      </c>
      <c r="C4964" s="71" t="s">
        <v>16854</v>
      </c>
    </row>
    <row r="4965">
      <c r="A4965" s="234" t="s">
        <v>23323</v>
      </c>
      <c r="B4965" s="71" t="s">
        <v>19644</v>
      </c>
      <c r="C4965" s="71" t="s">
        <v>16838</v>
      </c>
    </row>
    <row r="4966">
      <c r="A4966" s="234" t="s">
        <v>23323</v>
      </c>
      <c r="B4966" s="71" t="s">
        <v>16838</v>
      </c>
      <c r="C4966" s="71" t="s">
        <v>19644</v>
      </c>
    </row>
    <row r="4967">
      <c r="A4967" s="130" t="s">
        <v>23325</v>
      </c>
      <c r="B4967" s="71" t="s">
        <v>16838</v>
      </c>
      <c r="C4967" s="71" t="s">
        <v>17202</v>
      </c>
    </row>
    <row r="4968">
      <c r="A4968" s="130" t="s">
        <v>23327</v>
      </c>
      <c r="B4968" s="71" t="s">
        <v>187</v>
      </c>
      <c r="C4968" s="71" t="s">
        <v>17559</v>
      </c>
    </row>
    <row r="4969">
      <c r="A4969" s="130" t="s">
        <v>23329</v>
      </c>
      <c r="B4969" s="71" t="s">
        <v>175</v>
      </c>
      <c r="C4969" s="71" t="s">
        <v>17452</v>
      </c>
    </row>
    <row r="4970">
      <c r="A4970" s="234" t="s">
        <v>23331</v>
      </c>
      <c r="B4970" s="71" t="s">
        <v>175</v>
      </c>
      <c r="C4970" s="71" t="s">
        <v>17069</v>
      </c>
    </row>
    <row r="4971">
      <c r="A4971" s="234" t="s">
        <v>23331</v>
      </c>
      <c r="B4971" s="71" t="s">
        <v>17069</v>
      </c>
      <c r="C4971" s="71" t="s">
        <v>175</v>
      </c>
    </row>
    <row r="4972">
      <c r="A4972" s="130" t="s">
        <v>23333</v>
      </c>
      <c r="B4972" s="71" t="s">
        <v>175</v>
      </c>
      <c r="C4972" s="71" t="s">
        <v>16824</v>
      </c>
    </row>
    <row r="4973">
      <c r="A4973" s="130" t="s">
        <v>23335</v>
      </c>
      <c r="B4973" s="71" t="s">
        <v>169</v>
      </c>
      <c r="C4973" s="71" t="s">
        <v>110</v>
      </c>
    </row>
    <row r="4974">
      <c r="A4974" s="130" t="s">
        <v>23337</v>
      </c>
      <c r="B4974" s="71" t="s">
        <v>16582</v>
      </c>
      <c r="C4974" s="71" t="s">
        <v>16817</v>
      </c>
    </row>
    <row r="4975">
      <c r="A4975" s="234" t="s">
        <v>23339</v>
      </c>
      <c r="B4975" s="71" t="s">
        <v>175</v>
      </c>
      <c r="C4975" s="71" t="s">
        <v>17168</v>
      </c>
    </row>
    <row r="4976">
      <c r="A4976" s="234" t="s">
        <v>23339</v>
      </c>
      <c r="B4976" s="71" t="s">
        <v>17168</v>
      </c>
      <c r="C4976" s="71" t="s">
        <v>175</v>
      </c>
    </row>
    <row r="4977">
      <c r="A4977" s="130" t="s">
        <v>23341</v>
      </c>
      <c r="B4977" s="71" t="s">
        <v>169</v>
      </c>
      <c r="C4977" s="71" t="s">
        <v>16899</v>
      </c>
    </row>
    <row r="4978">
      <c r="A4978" s="130" t="s">
        <v>23343</v>
      </c>
      <c r="B4978" s="71" t="s">
        <v>16838</v>
      </c>
      <c r="C4978" s="71" t="s">
        <v>16867</v>
      </c>
    </row>
    <row r="4979">
      <c r="A4979" s="130" t="s">
        <v>23345</v>
      </c>
      <c r="B4979" s="71" t="s">
        <v>187</v>
      </c>
      <c r="C4979" s="71" t="s">
        <v>16846</v>
      </c>
    </row>
    <row r="4980">
      <c r="A4980" s="234" t="s">
        <v>23347</v>
      </c>
      <c r="B4980" s="71" t="s">
        <v>175</v>
      </c>
      <c r="C4980" s="71" t="s">
        <v>16878</v>
      </c>
    </row>
    <row r="4981">
      <c r="A4981" s="234" t="s">
        <v>23347</v>
      </c>
      <c r="B4981" s="71" t="s">
        <v>16878</v>
      </c>
      <c r="C4981" s="71" t="s">
        <v>175</v>
      </c>
    </row>
    <row r="4982">
      <c r="A4982" s="234" t="s">
        <v>23349</v>
      </c>
      <c r="B4982" s="71" t="s">
        <v>17321</v>
      </c>
      <c r="C4982" s="71" t="s">
        <v>169</v>
      </c>
    </row>
    <row r="4983">
      <c r="A4983" s="234" t="s">
        <v>23349</v>
      </c>
      <c r="B4983" s="71" t="s">
        <v>169</v>
      </c>
      <c r="C4983" s="71" t="s">
        <v>17321</v>
      </c>
    </row>
    <row r="4984">
      <c r="A4984" s="234" t="s">
        <v>23351</v>
      </c>
      <c r="B4984" s="71" t="s">
        <v>175</v>
      </c>
      <c r="C4984" s="71" t="s">
        <v>17264</v>
      </c>
    </row>
    <row r="4985">
      <c r="A4985" s="234" t="s">
        <v>23351</v>
      </c>
      <c r="B4985" s="71" t="s">
        <v>17264</v>
      </c>
      <c r="C4985" s="71" t="s">
        <v>175</v>
      </c>
    </row>
    <row r="4986">
      <c r="A4986" s="234" t="s">
        <v>23353</v>
      </c>
      <c r="B4986" s="71" t="s">
        <v>17016</v>
      </c>
      <c r="C4986" s="71" t="s">
        <v>16838</v>
      </c>
    </row>
    <row r="4987">
      <c r="A4987" s="234" t="s">
        <v>23353</v>
      </c>
      <c r="B4987" s="71" t="s">
        <v>16838</v>
      </c>
      <c r="C4987" s="71" t="s">
        <v>17016</v>
      </c>
    </row>
    <row r="4988">
      <c r="A4988" s="234" t="s">
        <v>23355</v>
      </c>
      <c r="B4988" s="71" t="s">
        <v>16867</v>
      </c>
      <c r="C4988" s="71" t="s">
        <v>16838</v>
      </c>
    </row>
    <row r="4989">
      <c r="A4989" s="234" t="s">
        <v>23355</v>
      </c>
      <c r="B4989" s="71" t="s">
        <v>16838</v>
      </c>
      <c r="C4989" s="71" t="s">
        <v>16867</v>
      </c>
    </row>
    <row r="4990">
      <c r="A4990" s="130" t="s">
        <v>23357</v>
      </c>
      <c r="B4990" s="71" t="s">
        <v>175</v>
      </c>
      <c r="C4990" s="71" t="s">
        <v>17480</v>
      </c>
    </row>
    <row r="4991">
      <c r="A4991" s="234" t="s">
        <v>23359</v>
      </c>
      <c r="B4991" s="71" t="s">
        <v>169</v>
      </c>
      <c r="C4991" s="71" t="s">
        <v>16945</v>
      </c>
    </row>
    <row r="4992">
      <c r="A4992" s="234" t="s">
        <v>23359</v>
      </c>
      <c r="B4992" s="71" t="s">
        <v>16945</v>
      </c>
      <c r="C4992" s="130" t="s">
        <v>169</v>
      </c>
    </row>
    <row r="4993">
      <c r="A4993" s="234" t="s">
        <v>23361</v>
      </c>
      <c r="B4993" s="71" t="s">
        <v>175</v>
      </c>
      <c r="C4993" s="71" t="s">
        <v>17025</v>
      </c>
    </row>
    <row r="4994">
      <c r="A4994" s="234" t="s">
        <v>23361</v>
      </c>
      <c r="B4994" s="71" t="s">
        <v>17025</v>
      </c>
      <c r="C4994" s="71" t="s">
        <v>175</v>
      </c>
    </row>
    <row r="4995">
      <c r="A4995" s="130" t="s">
        <v>23363</v>
      </c>
      <c r="B4995" s="71" t="s">
        <v>16838</v>
      </c>
      <c r="C4995" s="71" t="s">
        <v>17112</v>
      </c>
    </row>
    <row r="4996">
      <c r="A4996" s="130" t="s">
        <v>23365</v>
      </c>
      <c r="B4996" s="71" t="s">
        <v>187</v>
      </c>
      <c r="C4996" s="71" t="s">
        <v>16846</v>
      </c>
    </row>
    <row r="4997">
      <c r="A4997" s="234" t="s">
        <v>23367</v>
      </c>
      <c r="B4997" s="71" t="s">
        <v>175</v>
      </c>
      <c r="C4997" s="71" t="s">
        <v>17168</v>
      </c>
    </row>
    <row r="4998">
      <c r="A4998" s="234" t="s">
        <v>23367</v>
      </c>
      <c r="B4998" s="71" t="s">
        <v>17168</v>
      </c>
      <c r="C4998" s="71" t="s">
        <v>175</v>
      </c>
    </row>
    <row r="4999">
      <c r="A4999" s="234" t="s">
        <v>23369</v>
      </c>
      <c r="B4999" s="71" t="s">
        <v>17112</v>
      </c>
      <c r="C4999" s="71" t="s">
        <v>16838</v>
      </c>
    </row>
    <row r="5000">
      <c r="A5000" s="234" t="s">
        <v>23369</v>
      </c>
      <c r="B5000" s="71" t="s">
        <v>16838</v>
      </c>
      <c r="C5000" s="71" t="s">
        <v>17112</v>
      </c>
    </row>
    <row r="5001">
      <c r="A5001" s="130" t="s">
        <v>23371</v>
      </c>
      <c r="B5001" s="71" t="s">
        <v>16838</v>
      </c>
      <c r="C5001" s="71" t="s">
        <v>16867</v>
      </c>
    </row>
    <row r="5002">
      <c r="A5002" s="234" t="s">
        <v>23373</v>
      </c>
      <c r="B5002" s="71" t="s">
        <v>175</v>
      </c>
      <c r="C5002" s="71" t="s">
        <v>17350</v>
      </c>
    </row>
    <row r="5003">
      <c r="A5003" s="234" t="s">
        <v>23373</v>
      </c>
      <c r="B5003" s="71" t="s">
        <v>17350</v>
      </c>
      <c r="C5003" s="71" t="s">
        <v>175</v>
      </c>
    </row>
    <row r="5004">
      <c r="A5004" s="130" t="s">
        <v>23375</v>
      </c>
      <c r="B5004" s="71" t="s">
        <v>16838</v>
      </c>
      <c r="C5004" s="71" t="s">
        <v>16867</v>
      </c>
    </row>
    <row r="5005">
      <c r="A5005" s="130" t="s">
        <v>23377</v>
      </c>
      <c r="B5005" s="71" t="s">
        <v>16838</v>
      </c>
      <c r="C5005" s="71" t="s">
        <v>17016</v>
      </c>
    </row>
    <row r="5006">
      <c r="A5006" s="130" t="s">
        <v>23379</v>
      </c>
      <c r="B5006" s="71" t="s">
        <v>16910</v>
      </c>
      <c r="C5006" s="71" t="s">
        <v>17119</v>
      </c>
    </row>
    <row r="5007">
      <c r="A5007" s="130" t="s">
        <v>23381</v>
      </c>
      <c r="B5007" s="71" t="s">
        <v>175</v>
      </c>
      <c r="C5007" s="71" t="s">
        <v>17057</v>
      </c>
    </row>
    <row r="5008">
      <c r="A5008" s="130" t="s">
        <v>23383</v>
      </c>
      <c r="B5008" s="71" t="s">
        <v>187</v>
      </c>
      <c r="C5008" s="71" t="s">
        <v>16969</v>
      </c>
    </row>
    <row r="5009">
      <c r="A5009" s="130" t="s">
        <v>23385</v>
      </c>
      <c r="B5009" s="71" t="s">
        <v>16582</v>
      </c>
      <c r="C5009" s="71" t="s">
        <v>16930</v>
      </c>
    </row>
    <row r="5010">
      <c r="A5010" s="234" t="s">
        <v>23387</v>
      </c>
      <c r="B5010" s="71" t="s">
        <v>16582</v>
      </c>
      <c r="C5010" s="71" t="s">
        <v>16817</v>
      </c>
    </row>
    <row r="5011">
      <c r="A5011" s="234" t="s">
        <v>23387</v>
      </c>
      <c r="B5011" s="71" t="s">
        <v>16817</v>
      </c>
      <c r="C5011" s="71" t="s">
        <v>16582</v>
      </c>
    </row>
    <row r="5012">
      <c r="A5012" s="234" t="s">
        <v>23389</v>
      </c>
      <c r="B5012" s="71" t="s">
        <v>175</v>
      </c>
      <c r="C5012" s="71" t="s">
        <v>17350</v>
      </c>
    </row>
    <row r="5013">
      <c r="A5013" s="234" t="s">
        <v>23389</v>
      </c>
      <c r="B5013" s="71" t="s">
        <v>17350</v>
      </c>
      <c r="C5013" s="71" t="s">
        <v>175</v>
      </c>
    </row>
    <row r="5014">
      <c r="A5014" s="130" t="s">
        <v>23392</v>
      </c>
      <c r="B5014" s="71" t="s">
        <v>16910</v>
      </c>
      <c r="C5014" s="71" t="s">
        <v>17119</v>
      </c>
    </row>
    <row r="5015">
      <c r="A5015" s="130" t="s">
        <v>23394</v>
      </c>
      <c r="B5015" s="71" t="s">
        <v>187</v>
      </c>
      <c r="C5015" s="71" t="s">
        <v>16851</v>
      </c>
    </row>
    <row r="5016">
      <c r="A5016" s="130" t="s">
        <v>23396</v>
      </c>
      <c r="B5016" s="71" t="s">
        <v>17112</v>
      </c>
      <c r="C5016" s="71" t="s">
        <v>17111</v>
      </c>
    </row>
    <row r="5017">
      <c r="A5017" s="130" t="s">
        <v>23398</v>
      </c>
      <c r="B5017" s="71" t="s">
        <v>187</v>
      </c>
      <c r="C5017" s="71" t="s">
        <v>16858</v>
      </c>
    </row>
    <row r="5018">
      <c r="A5018" s="130" t="s">
        <v>23400</v>
      </c>
      <c r="B5018" s="71" t="s">
        <v>17629</v>
      </c>
      <c r="C5018" s="71" t="s">
        <v>16899</v>
      </c>
    </row>
    <row r="5019">
      <c r="A5019" s="130" t="s">
        <v>23402</v>
      </c>
      <c r="B5019" s="71" t="s">
        <v>17112</v>
      </c>
      <c r="C5019" s="71" t="s">
        <v>17111</v>
      </c>
    </row>
    <row r="5020">
      <c r="A5020" s="234" t="s">
        <v>23404</v>
      </c>
      <c r="B5020" s="71" t="s">
        <v>169</v>
      </c>
      <c r="C5020" s="71" t="s">
        <v>17442</v>
      </c>
    </row>
    <row r="5021">
      <c r="A5021" s="234" t="s">
        <v>23404</v>
      </c>
      <c r="B5021" s="71" t="s">
        <v>17442</v>
      </c>
      <c r="C5021" s="71" t="s">
        <v>169</v>
      </c>
    </row>
    <row r="5022">
      <c r="A5022" s="130" t="s">
        <v>23406</v>
      </c>
      <c r="B5022" s="71" t="s">
        <v>187</v>
      </c>
      <c r="C5022" s="71" t="s">
        <v>16846</v>
      </c>
    </row>
    <row r="5023">
      <c r="A5023" s="130" t="s">
        <v>23408</v>
      </c>
      <c r="B5023" s="71" t="s">
        <v>16838</v>
      </c>
      <c r="C5023" s="71" t="s">
        <v>16867</v>
      </c>
    </row>
    <row r="5024">
      <c r="A5024" s="130" t="s">
        <v>23410</v>
      </c>
      <c r="B5024" s="71" t="s">
        <v>16838</v>
      </c>
      <c r="C5024" s="71" t="s">
        <v>16867</v>
      </c>
    </row>
    <row r="5025">
      <c r="A5025" s="130" t="s">
        <v>23412</v>
      </c>
      <c r="B5025" s="71" t="s">
        <v>16838</v>
      </c>
      <c r="C5025" s="71" t="s">
        <v>17002</v>
      </c>
    </row>
    <row r="5026">
      <c r="A5026" s="130" t="s">
        <v>23413</v>
      </c>
      <c r="B5026" s="71" t="s">
        <v>16838</v>
      </c>
      <c r="C5026" s="71" t="s">
        <v>16867</v>
      </c>
    </row>
    <row r="5027">
      <c r="A5027" s="234" t="s">
        <v>23415</v>
      </c>
      <c r="B5027" s="71" t="s">
        <v>17016</v>
      </c>
      <c r="C5027" s="71" t="s">
        <v>16838</v>
      </c>
    </row>
    <row r="5028">
      <c r="A5028" s="234" t="s">
        <v>23415</v>
      </c>
      <c r="B5028" s="71" t="s">
        <v>16838</v>
      </c>
      <c r="C5028" s="71" t="s">
        <v>17016</v>
      </c>
    </row>
    <row r="5029">
      <c r="A5029" s="130" t="s">
        <v>23417</v>
      </c>
      <c r="B5029" s="71" t="s">
        <v>175</v>
      </c>
      <c r="C5029" s="71" t="s">
        <v>17502</v>
      </c>
    </row>
    <row r="5030">
      <c r="A5030" s="234" t="s">
        <v>23419</v>
      </c>
      <c r="B5030" s="71" t="s">
        <v>17104</v>
      </c>
      <c r="C5030" s="71" t="s">
        <v>16838</v>
      </c>
    </row>
    <row r="5031">
      <c r="A5031" s="234" t="s">
        <v>23419</v>
      </c>
      <c r="B5031" s="71" t="s">
        <v>16838</v>
      </c>
      <c r="C5031" s="71" t="s">
        <v>17104</v>
      </c>
    </row>
    <row r="5032">
      <c r="A5032" s="130" t="s">
        <v>23421</v>
      </c>
      <c r="B5032" s="71" t="s">
        <v>16838</v>
      </c>
      <c r="C5032" s="71" t="s">
        <v>17127</v>
      </c>
    </row>
    <row r="5033">
      <c r="A5033" s="130" t="s">
        <v>23423</v>
      </c>
      <c r="B5033" s="71" t="s">
        <v>16582</v>
      </c>
      <c r="C5033" s="71" t="s">
        <v>16930</v>
      </c>
    </row>
    <row r="5034">
      <c r="A5034" s="130" t="s">
        <v>23425</v>
      </c>
      <c r="B5034" s="71" t="s">
        <v>175</v>
      </c>
      <c r="C5034" s="71" t="s">
        <v>16854</v>
      </c>
    </row>
    <row r="5035">
      <c r="A5035" s="130" t="s">
        <v>23427</v>
      </c>
      <c r="B5035" s="71" t="s">
        <v>16838</v>
      </c>
      <c r="C5035" s="71" t="s">
        <v>17202</v>
      </c>
    </row>
    <row r="5036">
      <c r="A5036" s="130" t="s">
        <v>23429</v>
      </c>
      <c r="B5036" s="71" t="s">
        <v>17112</v>
      </c>
      <c r="C5036" s="71" t="s">
        <v>17111</v>
      </c>
    </row>
    <row r="5037">
      <c r="A5037" s="234" t="s">
        <v>23431</v>
      </c>
      <c r="B5037" s="71" t="s">
        <v>17111</v>
      </c>
      <c r="C5037" s="71" t="s">
        <v>17112</v>
      </c>
    </row>
    <row r="5038">
      <c r="A5038" s="234" t="s">
        <v>23431</v>
      </c>
      <c r="B5038" s="71" t="s">
        <v>17112</v>
      </c>
      <c r="C5038" s="71" t="s">
        <v>17111</v>
      </c>
    </row>
    <row r="5039">
      <c r="A5039" s="234" t="s">
        <v>23433</v>
      </c>
      <c r="B5039" s="71" t="s">
        <v>16582</v>
      </c>
      <c r="C5039" s="71" t="s">
        <v>16817</v>
      </c>
    </row>
    <row r="5040">
      <c r="A5040" s="234" t="s">
        <v>23433</v>
      </c>
      <c r="B5040" s="71" t="s">
        <v>16817</v>
      </c>
      <c r="C5040" s="71" t="s">
        <v>16582</v>
      </c>
    </row>
    <row r="5041">
      <c r="A5041" s="130" t="s">
        <v>23435</v>
      </c>
      <c r="B5041" s="71" t="s">
        <v>16919</v>
      </c>
      <c r="C5041" s="71" t="s">
        <v>16957</v>
      </c>
    </row>
    <row r="5042">
      <c r="A5042" s="130" t="s">
        <v>23437</v>
      </c>
      <c r="B5042" s="71" t="s">
        <v>187</v>
      </c>
      <c r="C5042" s="71" t="s">
        <v>16846</v>
      </c>
    </row>
    <row r="5043">
      <c r="A5043" s="130" t="s">
        <v>23439</v>
      </c>
      <c r="B5043" s="71" t="s">
        <v>187</v>
      </c>
      <c r="C5043" s="71" t="s">
        <v>16846</v>
      </c>
    </row>
    <row r="5044">
      <c r="A5044" s="234" t="s">
        <v>23441</v>
      </c>
      <c r="B5044" s="71" t="s">
        <v>17111</v>
      </c>
      <c r="C5044" s="71" t="s">
        <v>17112</v>
      </c>
    </row>
    <row r="5045">
      <c r="A5045" s="234" t="s">
        <v>23441</v>
      </c>
      <c r="B5045" s="71" t="s">
        <v>17112</v>
      </c>
      <c r="C5045" s="71" t="s">
        <v>17111</v>
      </c>
    </row>
    <row r="5046">
      <c r="A5046" s="130" t="s">
        <v>23443</v>
      </c>
      <c r="B5046" s="71" t="s">
        <v>16838</v>
      </c>
      <c r="C5046" s="71" t="s">
        <v>16867</v>
      </c>
    </row>
    <row r="5047">
      <c r="A5047" s="234" t="s">
        <v>23445</v>
      </c>
      <c r="B5047" s="71" t="s">
        <v>175</v>
      </c>
      <c r="C5047" s="71" t="s">
        <v>16861</v>
      </c>
    </row>
    <row r="5048">
      <c r="A5048" s="234" t="s">
        <v>23445</v>
      </c>
      <c r="B5048" s="71" t="s">
        <v>16861</v>
      </c>
      <c r="C5048" s="71" t="s">
        <v>175</v>
      </c>
    </row>
    <row r="5049">
      <c r="A5049" s="130" t="s">
        <v>23447</v>
      </c>
      <c r="B5049" s="71" t="s">
        <v>16838</v>
      </c>
      <c r="C5049" s="71" t="s">
        <v>16867</v>
      </c>
    </row>
    <row r="5050">
      <c r="A5050" s="130" t="s">
        <v>23449</v>
      </c>
      <c r="B5050" s="71" t="s">
        <v>16838</v>
      </c>
      <c r="C5050" s="71" t="s">
        <v>16867</v>
      </c>
    </row>
    <row r="5051">
      <c r="A5051" s="130" t="s">
        <v>23451</v>
      </c>
      <c r="B5051" s="71" t="s">
        <v>16582</v>
      </c>
      <c r="C5051" s="71" t="s">
        <v>16817</v>
      </c>
    </row>
    <row r="5052">
      <c r="A5052" s="130" t="s">
        <v>23453</v>
      </c>
      <c r="B5052" s="71" t="s">
        <v>16838</v>
      </c>
      <c r="C5052" s="71" t="s">
        <v>18219</v>
      </c>
    </row>
    <row r="5053">
      <c r="A5053" s="234" t="s">
        <v>23455</v>
      </c>
      <c r="B5053" s="71"/>
      <c r="C5053" s="71"/>
    </row>
    <row r="5054">
      <c r="A5054" s="234" t="s">
        <v>23455</v>
      </c>
      <c r="B5054" s="71"/>
      <c r="C5054" s="71"/>
    </row>
    <row r="5055">
      <c r="A5055" s="130" t="s">
        <v>23458</v>
      </c>
      <c r="B5055" s="71" t="s">
        <v>187</v>
      </c>
      <c r="C5055" s="71" t="s">
        <v>18633</v>
      </c>
    </row>
    <row r="5056">
      <c r="A5056" s="130" t="s">
        <v>23460</v>
      </c>
      <c r="B5056" s="71" t="s">
        <v>169</v>
      </c>
      <c r="C5056" s="71" t="s">
        <v>17057</v>
      </c>
    </row>
    <row r="5057">
      <c r="A5057" s="234" t="s">
        <v>23462</v>
      </c>
      <c r="B5057" s="71" t="s">
        <v>17112</v>
      </c>
      <c r="C5057" s="71" t="s">
        <v>16838</v>
      </c>
    </row>
    <row r="5058">
      <c r="A5058" s="234" t="s">
        <v>23462</v>
      </c>
      <c r="B5058" s="71" t="s">
        <v>16838</v>
      </c>
      <c r="C5058" s="71" t="s">
        <v>17112</v>
      </c>
    </row>
    <row r="5059">
      <c r="A5059" s="234" t="s">
        <v>23464</v>
      </c>
      <c r="B5059" s="71" t="s">
        <v>16838</v>
      </c>
      <c r="C5059" s="71" t="s">
        <v>18219</v>
      </c>
    </row>
    <row r="5060">
      <c r="A5060" s="234" t="s">
        <v>23464</v>
      </c>
      <c r="B5060" s="71" t="s">
        <v>18219</v>
      </c>
      <c r="C5060" s="71" t="s">
        <v>16838</v>
      </c>
    </row>
    <row r="5061">
      <c r="A5061" s="234" t="s">
        <v>23466</v>
      </c>
      <c r="B5061" s="71" t="s">
        <v>19579</v>
      </c>
      <c r="C5061" s="71" t="s">
        <v>16838</v>
      </c>
    </row>
    <row r="5062">
      <c r="A5062" s="234" t="s">
        <v>23466</v>
      </c>
      <c r="B5062" s="71" t="s">
        <v>16838</v>
      </c>
      <c r="C5062" s="71" t="s">
        <v>19579</v>
      </c>
    </row>
    <row r="5063">
      <c r="A5063" s="130" t="s">
        <v>23468</v>
      </c>
      <c r="B5063" s="71" t="s">
        <v>187</v>
      </c>
      <c r="C5063" s="71" t="s">
        <v>16858</v>
      </c>
    </row>
    <row r="5064">
      <c r="A5064" s="130" t="s">
        <v>23470</v>
      </c>
      <c r="B5064" s="71" t="s">
        <v>16838</v>
      </c>
      <c r="C5064" s="71" t="s">
        <v>17202</v>
      </c>
    </row>
    <row r="5065">
      <c r="A5065" s="130" t="s">
        <v>23472</v>
      </c>
      <c r="B5065" s="71" t="s">
        <v>16838</v>
      </c>
      <c r="C5065" s="71" t="s">
        <v>16867</v>
      </c>
    </row>
    <row r="5066">
      <c r="A5066" s="130" t="s">
        <v>23474</v>
      </c>
      <c r="B5066" s="71" t="s">
        <v>169</v>
      </c>
      <c r="C5066" s="71" t="s">
        <v>17339</v>
      </c>
    </row>
    <row r="5067">
      <c r="A5067" s="234" t="s">
        <v>23476</v>
      </c>
      <c r="B5067" s="71" t="s">
        <v>175</v>
      </c>
      <c r="C5067" s="71" t="s">
        <v>18268</v>
      </c>
    </row>
    <row r="5068">
      <c r="A5068" s="234" t="s">
        <v>23476</v>
      </c>
      <c r="B5068" s="71" t="s">
        <v>18268</v>
      </c>
      <c r="C5068" s="71" t="s">
        <v>175</v>
      </c>
    </row>
    <row r="5069">
      <c r="A5069" s="130" t="s">
        <v>23478</v>
      </c>
      <c r="B5069" s="71" t="s">
        <v>187</v>
      </c>
      <c r="C5069" s="71" t="s">
        <v>16846</v>
      </c>
    </row>
    <row r="5070">
      <c r="A5070" s="130" t="s">
        <v>23480</v>
      </c>
      <c r="B5070" s="71" t="s">
        <v>16919</v>
      </c>
      <c r="C5070" s="71" t="s">
        <v>17794</v>
      </c>
    </row>
    <row r="5071">
      <c r="A5071" s="130" t="s">
        <v>23482</v>
      </c>
      <c r="B5071" s="71" t="s">
        <v>16838</v>
      </c>
      <c r="C5071" s="71" t="s">
        <v>18956</v>
      </c>
    </row>
    <row r="5072">
      <c r="A5072" s="234" t="s">
        <v>23484</v>
      </c>
      <c r="B5072" s="71" t="s">
        <v>175</v>
      </c>
      <c r="C5072" s="71" t="s">
        <v>17480</v>
      </c>
    </row>
    <row r="5073">
      <c r="A5073" s="234" t="s">
        <v>23484</v>
      </c>
      <c r="B5073" s="71" t="s">
        <v>17480</v>
      </c>
      <c r="C5073" s="71" t="s">
        <v>175</v>
      </c>
    </row>
    <row r="5074">
      <c r="A5074" s="130" t="s">
        <v>23486</v>
      </c>
      <c r="B5074" s="71" t="s">
        <v>187</v>
      </c>
      <c r="C5074" s="71" t="s">
        <v>16846</v>
      </c>
    </row>
    <row r="5075">
      <c r="A5075" s="130" t="s">
        <v>23488</v>
      </c>
      <c r="B5075" s="71" t="s">
        <v>16838</v>
      </c>
      <c r="C5075" s="71" t="s">
        <v>16867</v>
      </c>
    </row>
    <row r="5076">
      <c r="A5076" s="130" t="s">
        <v>23490</v>
      </c>
      <c r="B5076" s="71" t="s">
        <v>16838</v>
      </c>
      <c r="C5076" s="71" t="s">
        <v>16867</v>
      </c>
    </row>
    <row r="5077">
      <c r="A5077" s="234" t="s">
        <v>23492</v>
      </c>
      <c r="B5077" s="71"/>
      <c r="C5077" s="71"/>
    </row>
    <row r="5078">
      <c r="A5078" s="234" t="s">
        <v>23492</v>
      </c>
      <c r="B5078" s="71"/>
      <c r="C5078" s="71"/>
    </row>
    <row r="5079">
      <c r="A5079" s="130" t="s">
        <v>23494</v>
      </c>
      <c r="B5079" s="71" t="s">
        <v>16838</v>
      </c>
      <c r="C5079" s="71" t="s">
        <v>17202</v>
      </c>
    </row>
    <row r="5080">
      <c r="A5080" s="130" t="s">
        <v>23496</v>
      </c>
      <c r="B5080" s="71" t="s">
        <v>175</v>
      </c>
      <c r="C5080" s="71" t="s">
        <v>16942</v>
      </c>
    </row>
    <row r="5081">
      <c r="A5081" s="234" t="s">
        <v>23498</v>
      </c>
      <c r="B5081" s="71" t="s">
        <v>175</v>
      </c>
      <c r="C5081" s="71" t="s">
        <v>17233</v>
      </c>
    </row>
    <row r="5082">
      <c r="A5082" s="234" t="s">
        <v>23498</v>
      </c>
      <c r="B5082" s="71" t="s">
        <v>17233</v>
      </c>
      <c r="C5082" s="71" t="s">
        <v>175</v>
      </c>
    </row>
    <row r="5083">
      <c r="A5083" s="130" t="s">
        <v>23500</v>
      </c>
      <c r="B5083" s="71" t="s">
        <v>16582</v>
      </c>
      <c r="C5083" s="71" t="s">
        <v>17435</v>
      </c>
    </row>
    <row r="5084">
      <c r="A5084" s="234" t="s">
        <v>23502</v>
      </c>
      <c r="B5084" s="71" t="s">
        <v>19579</v>
      </c>
      <c r="C5084" s="71" t="s">
        <v>16838</v>
      </c>
    </row>
    <row r="5085">
      <c r="A5085" s="234" t="s">
        <v>23502</v>
      </c>
      <c r="B5085" s="71" t="s">
        <v>16838</v>
      </c>
      <c r="C5085" s="71" t="s">
        <v>19579</v>
      </c>
    </row>
    <row r="5086">
      <c r="A5086" s="130" t="s">
        <v>23504</v>
      </c>
      <c r="B5086" s="71" t="s">
        <v>16838</v>
      </c>
      <c r="C5086" s="71" t="s">
        <v>16867</v>
      </c>
    </row>
    <row r="5087">
      <c r="A5087" s="234" t="s">
        <v>23506</v>
      </c>
      <c r="B5087" s="71" t="s">
        <v>175</v>
      </c>
      <c r="C5087" s="71" t="s">
        <v>17812</v>
      </c>
    </row>
    <row r="5088">
      <c r="A5088" s="234" t="s">
        <v>23506</v>
      </c>
      <c r="B5088" s="71" t="s">
        <v>17812</v>
      </c>
      <c r="C5088" s="71" t="s">
        <v>175</v>
      </c>
    </row>
    <row r="5089">
      <c r="A5089" s="130" t="s">
        <v>23508</v>
      </c>
      <c r="B5089" s="71" t="s">
        <v>175</v>
      </c>
      <c r="C5089" s="71" t="s">
        <v>17391</v>
      </c>
    </row>
    <row r="5090">
      <c r="A5090" s="130" t="s">
        <v>23510</v>
      </c>
      <c r="B5090" s="71" t="s">
        <v>175</v>
      </c>
      <c r="C5090" s="71" t="s">
        <v>18310</v>
      </c>
    </row>
    <row r="5091">
      <c r="A5091" s="234" t="s">
        <v>23512</v>
      </c>
      <c r="B5091" s="71" t="s">
        <v>175</v>
      </c>
      <c r="C5091" s="71" t="s">
        <v>19006</v>
      </c>
    </row>
    <row r="5092">
      <c r="A5092" s="234" t="s">
        <v>23512</v>
      </c>
      <c r="B5092" s="71" t="s">
        <v>19006</v>
      </c>
      <c r="C5092" s="71" t="s">
        <v>175</v>
      </c>
    </row>
    <row r="5093">
      <c r="A5093" s="130" t="s">
        <v>23514</v>
      </c>
      <c r="B5093" s="71" t="s">
        <v>187</v>
      </c>
      <c r="C5093" s="71" t="s">
        <v>16846</v>
      </c>
    </row>
    <row r="5094">
      <c r="A5094" s="234" t="s">
        <v>23516</v>
      </c>
      <c r="B5094" s="71" t="s">
        <v>17016</v>
      </c>
      <c r="C5094" s="71" t="s">
        <v>16838</v>
      </c>
    </row>
    <row r="5095">
      <c r="A5095" s="234" t="s">
        <v>23516</v>
      </c>
      <c r="B5095" s="71" t="s">
        <v>16838</v>
      </c>
      <c r="C5095" s="71" t="s">
        <v>17016</v>
      </c>
    </row>
    <row r="5096">
      <c r="A5096" s="130" t="s">
        <v>23518</v>
      </c>
      <c r="B5096" s="71" t="s">
        <v>16838</v>
      </c>
      <c r="C5096" s="71" t="s">
        <v>17016</v>
      </c>
    </row>
    <row r="5097">
      <c r="A5097" s="130" t="s">
        <v>23520</v>
      </c>
      <c r="B5097" s="71" t="s">
        <v>187</v>
      </c>
      <c r="C5097" s="71" t="s">
        <v>16846</v>
      </c>
    </row>
    <row r="5098">
      <c r="A5098" s="130" t="s">
        <v>23522</v>
      </c>
      <c r="B5098" s="71" t="s">
        <v>158</v>
      </c>
      <c r="C5098" s="71" t="s">
        <v>20100</v>
      </c>
    </row>
    <row r="5099">
      <c r="A5099" s="234" t="s">
        <v>23525</v>
      </c>
      <c r="B5099" s="71" t="s">
        <v>17016</v>
      </c>
      <c r="C5099" s="71" t="s">
        <v>16838</v>
      </c>
    </row>
    <row r="5100">
      <c r="A5100" s="234" t="s">
        <v>23525</v>
      </c>
      <c r="B5100" s="71" t="s">
        <v>16838</v>
      </c>
      <c r="C5100" s="71" t="s">
        <v>17016</v>
      </c>
    </row>
    <row r="5101">
      <c r="A5101" s="130" t="s">
        <v>23527</v>
      </c>
      <c r="B5101" s="71" t="s">
        <v>16910</v>
      </c>
      <c r="C5101" s="71" t="s">
        <v>17119</v>
      </c>
    </row>
    <row r="5102">
      <c r="A5102" s="130" t="s">
        <v>23529</v>
      </c>
      <c r="B5102" s="71" t="s">
        <v>16838</v>
      </c>
      <c r="C5102" s="71" t="s">
        <v>17016</v>
      </c>
    </row>
    <row r="5103">
      <c r="A5103" s="130" t="s">
        <v>23531</v>
      </c>
      <c r="B5103" s="71" t="s">
        <v>187</v>
      </c>
      <c r="C5103" s="71" t="s">
        <v>16846</v>
      </c>
    </row>
    <row r="5104">
      <c r="A5104" s="130" t="s">
        <v>23533</v>
      </c>
      <c r="B5104" s="71" t="s">
        <v>17112</v>
      </c>
      <c r="C5104" s="71" t="s">
        <v>17218</v>
      </c>
    </row>
    <row r="5105">
      <c r="A5105" s="130" t="s">
        <v>23535</v>
      </c>
      <c r="B5105" s="71" t="s">
        <v>187</v>
      </c>
      <c r="C5105" s="71" t="s">
        <v>16851</v>
      </c>
    </row>
    <row r="5106">
      <c r="A5106" s="234" t="s">
        <v>23537</v>
      </c>
      <c r="B5106" s="71" t="s">
        <v>175</v>
      </c>
      <c r="C5106" s="71" t="s">
        <v>17480</v>
      </c>
    </row>
    <row r="5107">
      <c r="A5107" s="234" t="s">
        <v>23537</v>
      </c>
      <c r="B5107" s="71" t="s">
        <v>17480</v>
      </c>
      <c r="C5107" s="71" t="s">
        <v>175</v>
      </c>
    </row>
    <row r="5108">
      <c r="A5108" s="130" t="s">
        <v>23539</v>
      </c>
      <c r="B5108" s="71" t="s">
        <v>175</v>
      </c>
      <c r="C5108" s="71" t="s">
        <v>17757</v>
      </c>
    </row>
    <row r="5109">
      <c r="A5109" s="234" t="s">
        <v>23541</v>
      </c>
      <c r="B5109" s="71" t="s">
        <v>17111</v>
      </c>
      <c r="C5109" s="71" t="s">
        <v>17112</v>
      </c>
    </row>
    <row r="5110">
      <c r="A5110" s="234" t="s">
        <v>23541</v>
      </c>
      <c r="B5110" s="71" t="s">
        <v>17112</v>
      </c>
      <c r="C5110" s="71" t="s">
        <v>17111</v>
      </c>
    </row>
    <row r="5111">
      <c r="A5111" s="130" t="s">
        <v>23543</v>
      </c>
      <c r="B5111" s="71" t="s">
        <v>169</v>
      </c>
      <c r="C5111" s="71" t="s">
        <v>17043</v>
      </c>
    </row>
    <row r="5112">
      <c r="A5112" s="234" t="s">
        <v>23545</v>
      </c>
      <c r="B5112" s="71" t="s">
        <v>17111</v>
      </c>
      <c r="C5112" s="71" t="s">
        <v>17112</v>
      </c>
    </row>
    <row r="5113">
      <c r="A5113" s="234" t="s">
        <v>23545</v>
      </c>
      <c r="B5113" s="71" t="s">
        <v>17112</v>
      </c>
      <c r="C5113" s="71" t="s">
        <v>17111</v>
      </c>
    </row>
    <row r="5114">
      <c r="A5114" s="130" t="s">
        <v>23547</v>
      </c>
      <c r="B5114" s="71" t="s">
        <v>187</v>
      </c>
      <c r="C5114" s="71" t="s">
        <v>16846</v>
      </c>
    </row>
    <row r="5115">
      <c r="A5115" s="234" t="s">
        <v>23549</v>
      </c>
      <c r="B5115" s="71" t="s">
        <v>16582</v>
      </c>
      <c r="C5115" s="71" t="s">
        <v>16583</v>
      </c>
    </row>
    <row r="5116">
      <c r="A5116" s="234" t="s">
        <v>23549</v>
      </c>
      <c r="B5116" s="71" t="s">
        <v>16583</v>
      </c>
      <c r="C5116" s="71" t="s">
        <v>16582</v>
      </c>
    </row>
    <row r="5117">
      <c r="A5117" s="130" t="s">
        <v>23551</v>
      </c>
      <c r="B5117" s="71" t="s">
        <v>16838</v>
      </c>
      <c r="C5117" s="71" t="s">
        <v>17127</v>
      </c>
    </row>
    <row r="5118">
      <c r="A5118" s="234" t="s">
        <v>23553</v>
      </c>
      <c r="B5118" s="71" t="s">
        <v>17019</v>
      </c>
      <c r="C5118" s="71" t="s">
        <v>16838</v>
      </c>
    </row>
    <row r="5119">
      <c r="A5119" s="234" t="s">
        <v>23553</v>
      </c>
      <c r="B5119" s="71" t="s">
        <v>16838</v>
      </c>
      <c r="C5119" s="71" t="s">
        <v>17019</v>
      </c>
    </row>
    <row r="5120">
      <c r="A5120" s="130" t="s">
        <v>23555</v>
      </c>
      <c r="B5120" s="71" t="s">
        <v>16838</v>
      </c>
      <c r="C5120" s="71" t="s">
        <v>16867</v>
      </c>
    </row>
    <row r="5121">
      <c r="A5121" s="234" t="s">
        <v>23557</v>
      </c>
      <c r="B5121" s="71" t="s">
        <v>16582</v>
      </c>
      <c r="C5121" s="71" t="s">
        <v>16817</v>
      </c>
    </row>
    <row r="5122">
      <c r="A5122" s="234" t="s">
        <v>23557</v>
      </c>
      <c r="B5122" s="71" t="s">
        <v>16817</v>
      </c>
      <c r="C5122" s="71" t="s">
        <v>16582</v>
      </c>
    </row>
    <row r="5123">
      <c r="A5123" s="130" t="s">
        <v>23559</v>
      </c>
      <c r="B5123" s="71" t="s">
        <v>187</v>
      </c>
      <c r="C5123" s="71" t="s">
        <v>16846</v>
      </c>
    </row>
    <row r="5124">
      <c r="A5124" s="234" t="s">
        <v>23561</v>
      </c>
      <c r="B5124" s="71" t="s">
        <v>16867</v>
      </c>
      <c r="C5124" s="71" t="s">
        <v>16838</v>
      </c>
    </row>
    <row r="5125">
      <c r="A5125" s="234" t="s">
        <v>23561</v>
      </c>
      <c r="B5125" s="71" t="s">
        <v>16838</v>
      </c>
      <c r="C5125" s="71" t="s">
        <v>16867</v>
      </c>
    </row>
    <row r="5126">
      <c r="A5126" s="234" t="s">
        <v>23563</v>
      </c>
      <c r="B5126" s="71" t="s">
        <v>17321</v>
      </c>
      <c r="C5126" s="71" t="s">
        <v>169</v>
      </c>
    </row>
    <row r="5127">
      <c r="A5127" s="234" t="s">
        <v>23563</v>
      </c>
      <c r="B5127" s="71" t="s">
        <v>169</v>
      </c>
      <c r="C5127" s="71" t="s">
        <v>17321</v>
      </c>
    </row>
    <row r="5128">
      <c r="A5128" s="130" t="s">
        <v>23565</v>
      </c>
      <c r="B5128" s="71" t="s">
        <v>187</v>
      </c>
      <c r="C5128" s="71" t="s">
        <v>16846</v>
      </c>
    </row>
    <row r="5129">
      <c r="A5129" s="234" t="s">
        <v>23567</v>
      </c>
      <c r="B5129" s="71" t="s">
        <v>19644</v>
      </c>
      <c r="C5129" s="71" t="s">
        <v>16838</v>
      </c>
    </row>
    <row r="5130">
      <c r="A5130" s="234" t="s">
        <v>23567</v>
      </c>
      <c r="B5130" s="71" t="s">
        <v>16838</v>
      </c>
      <c r="C5130" s="71" t="s">
        <v>19644</v>
      </c>
    </row>
    <row r="5131">
      <c r="A5131" s="234" t="s">
        <v>23569</v>
      </c>
      <c r="B5131" s="71" t="s">
        <v>16838</v>
      </c>
      <c r="C5131" s="71" t="s">
        <v>16867</v>
      </c>
    </row>
    <row r="5132">
      <c r="A5132" s="234" t="s">
        <v>23569</v>
      </c>
      <c r="B5132" s="71" t="s">
        <v>16867</v>
      </c>
      <c r="C5132" s="130" t="s">
        <v>16838</v>
      </c>
    </row>
    <row r="5133">
      <c r="A5133" s="130" t="s">
        <v>23571</v>
      </c>
      <c r="B5133" s="71" t="s">
        <v>16582</v>
      </c>
      <c r="C5133" s="71" t="s">
        <v>16583</v>
      </c>
    </row>
    <row r="5134">
      <c r="A5134" s="130" t="s">
        <v>23573</v>
      </c>
      <c r="B5134" s="71" t="s">
        <v>16582</v>
      </c>
      <c r="C5134" s="233" t="s">
        <v>17342</v>
      </c>
    </row>
    <row r="5135">
      <c r="A5135" s="234" t="s">
        <v>23575</v>
      </c>
      <c r="B5135" s="71" t="s">
        <v>175</v>
      </c>
      <c r="C5135" s="71" t="s">
        <v>17233</v>
      </c>
    </row>
    <row r="5136">
      <c r="A5136" s="234" t="s">
        <v>23575</v>
      </c>
      <c r="B5136" s="71" t="s">
        <v>17233</v>
      </c>
      <c r="C5136" s="71" t="s">
        <v>175</v>
      </c>
    </row>
    <row r="5137">
      <c r="A5137" s="130" t="s">
        <v>23577</v>
      </c>
      <c r="B5137" s="71" t="s">
        <v>16838</v>
      </c>
      <c r="C5137" s="71" t="s">
        <v>18679</v>
      </c>
    </row>
    <row r="5138">
      <c r="A5138" s="130" t="s">
        <v>23579</v>
      </c>
      <c r="B5138" s="71" t="s">
        <v>175</v>
      </c>
      <c r="C5138" s="71" t="s">
        <v>16972</v>
      </c>
    </row>
    <row r="5139">
      <c r="A5139" s="130" t="s">
        <v>23581</v>
      </c>
      <c r="B5139" s="71" t="s">
        <v>16838</v>
      </c>
      <c r="C5139" s="71" t="s">
        <v>17127</v>
      </c>
    </row>
    <row r="5140">
      <c r="A5140" s="234" t="s">
        <v>23583</v>
      </c>
      <c r="B5140" s="71" t="s">
        <v>169</v>
      </c>
      <c r="C5140" s="71" t="s">
        <v>16899</v>
      </c>
    </row>
    <row r="5141">
      <c r="A5141" s="234" t="s">
        <v>23583</v>
      </c>
      <c r="B5141" s="71" t="s">
        <v>16899</v>
      </c>
      <c r="C5141" s="71" t="s">
        <v>169</v>
      </c>
    </row>
    <row r="5142">
      <c r="A5142" s="130" t="s">
        <v>23585</v>
      </c>
      <c r="B5142" s="71" t="s">
        <v>187</v>
      </c>
      <c r="C5142" s="71" t="s">
        <v>17122</v>
      </c>
    </row>
    <row r="5143">
      <c r="A5143" s="234" t="s">
        <v>23587</v>
      </c>
      <c r="B5143" s="71" t="s">
        <v>175</v>
      </c>
      <c r="C5143" s="71" t="s">
        <v>23588</v>
      </c>
    </row>
    <row r="5144">
      <c r="A5144" s="234" t="s">
        <v>23587</v>
      </c>
      <c r="B5144" s="71" t="s">
        <v>23588</v>
      </c>
      <c r="C5144" s="71" t="s">
        <v>175</v>
      </c>
    </row>
    <row r="5145">
      <c r="A5145" s="130" t="s">
        <v>23590</v>
      </c>
      <c r="B5145" s="71" t="s">
        <v>16838</v>
      </c>
      <c r="C5145" s="71" t="s">
        <v>17002</v>
      </c>
    </row>
    <row r="5146">
      <c r="A5146" s="130" t="s">
        <v>23592</v>
      </c>
      <c r="B5146" s="71" t="s">
        <v>187</v>
      </c>
      <c r="C5146" s="71" t="s">
        <v>16846</v>
      </c>
    </row>
    <row r="5147">
      <c r="A5147" s="130" t="s">
        <v>23594</v>
      </c>
      <c r="B5147" s="71" t="s">
        <v>16838</v>
      </c>
      <c r="C5147" s="71" t="s">
        <v>17127</v>
      </c>
    </row>
    <row r="5148">
      <c r="A5148" s="130" t="s">
        <v>23596</v>
      </c>
      <c r="B5148" s="71" t="s">
        <v>16582</v>
      </c>
      <c r="C5148" s="71" t="s">
        <v>16930</v>
      </c>
    </row>
    <row r="5149">
      <c r="A5149" s="234" t="s">
        <v>23598</v>
      </c>
      <c r="B5149" s="71" t="s">
        <v>16582</v>
      </c>
      <c r="C5149" s="71" t="s">
        <v>17339</v>
      </c>
    </row>
    <row r="5150">
      <c r="A5150" s="234" t="s">
        <v>23598</v>
      </c>
      <c r="B5150" s="71" t="s">
        <v>17339</v>
      </c>
      <c r="C5150" s="71" t="s">
        <v>16582</v>
      </c>
    </row>
    <row r="5151">
      <c r="A5151" s="234" t="s">
        <v>23600</v>
      </c>
      <c r="B5151" s="71" t="s">
        <v>16885</v>
      </c>
      <c r="C5151" s="71" t="s">
        <v>17726</v>
      </c>
    </row>
    <row r="5152">
      <c r="A5152" s="234" t="s">
        <v>23600</v>
      </c>
      <c r="B5152" s="71" t="s">
        <v>17726</v>
      </c>
      <c r="C5152" s="130" t="s">
        <v>16885</v>
      </c>
    </row>
    <row r="5153">
      <c r="A5153" s="130" t="s">
        <v>23602</v>
      </c>
      <c r="B5153" s="71" t="s">
        <v>187</v>
      </c>
      <c r="C5153" s="71" t="s">
        <v>16858</v>
      </c>
    </row>
    <row r="5154">
      <c r="A5154" s="130" t="s">
        <v>23604</v>
      </c>
      <c r="B5154" s="71" t="s">
        <v>175</v>
      </c>
      <c r="C5154" s="71" t="s">
        <v>17286</v>
      </c>
    </row>
    <row r="5155">
      <c r="A5155" s="234" t="s">
        <v>23606</v>
      </c>
      <c r="B5155" s="71" t="s">
        <v>16867</v>
      </c>
      <c r="C5155" s="71" t="s">
        <v>16838</v>
      </c>
    </row>
    <row r="5156">
      <c r="A5156" s="234" t="s">
        <v>23606</v>
      </c>
      <c r="B5156" s="71" t="s">
        <v>16838</v>
      </c>
      <c r="C5156" s="71" t="s">
        <v>16867</v>
      </c>
    </row>
    <row r="5157">
      <c r="A5157" s="130" t="s">
        <v>23608</v>
      </c>
      <c r="B5157" s="71" t="s">
        <v>16838</v>
      </c>
      <c r="C5157" s="71" t="s">
        <v>17104</v>
      </c>
    </row>
    <row r="5158">
      <c r="A5158" s="130" t="s">
        <v>23610</v>
      </c>
      <c r="B5158" s="71" t="s">
        <v>169</v>
      </c>
      <c r="C5158" s="71" t="s">
        <v>17043</v>
      </c>
    </row>
    <row r="5159">
      <c r="A5159" s="234" t="s">
        <v>23612</v>
      </c>
      <c r="B5159" s="71" t="s">
        <v>175</v>
      </c>
      <c r="C5159" s="71" t="s">
        <v>23613</v>
      </c>
    </row>
    <row r="5160">
      <c r="A5160" s="234" t="s">
        <v>23612</v>
      </c>
      <c r="B5160" s="71" t="s">
        <v>23613</v>
      </c>
      <c r="C5160" s="71" t="s">
        <v>175</v>
      </c>
    </row>
    <row r="5161">
      <c r="A5161" s="130" t="s">
        <v>23615</v>
      </c>
      <c r="B5161" s="71" t="s">
        <v>187</v>
      </c>
      <c r="C5161" s="71" t="s">
        <v>16858</v>
      </c>
    </row>
    <row r="5162">
      <c r="A5162" s="234" t="s">
        <v>23617</v>
      </c>
      <c r="B5162" s="71" t="s">
        <v>16582</v>
      </c>
      <c r="C5162" s="71" t="s">
        <v>16828</v>
      </c>
    </row>
    <row r="5163">
      <c r="A5163" s="234" t="s">
        <v>23617</v>
      </c>
      <c r="B5163" s="71" t="s">
        <v>16828</v>
      </c>
      <c r="C5163" s="71" t="s">
        <v>16582</v>
      </c>
    </row>
    <row r="5164">
      <c r="A5164" s="130" t="s">
        <v>23619</v>
      </c>
      <c r="B5164" s="71" t="s">
        <v>16838</v>
      </c>
      <c r="C5164" s="71" t="s">
        <v>16837</v>
      </c>
    </row>
    <row r="5165">
      <c r="A5165" s="234" t="s">
        <v>23621</v>
      </c>
      <c r="B5165" s="71" t="s">
        <v>169</v>
      </c>
      <c r="C5165" s="71" t="s">
        <v>16899</v>
      </c>
    </row>
    <row r="5166">
      <c r="A5166" s="234" t="s">
        <v>23621</v>
      </c>
      <c r="B5166" s="71" t="s">
        <v>16899</v>
      </c>
      <c r="C5166" s="71" t="s">
        <v>169</v>
      </c>
    </row>
    <row r="5167">
      <c r="A5167" s="130" t="s">
        <v>23623</v>
      </c>
      <c r="B5167" s="71" t="s">
        <v>16582</v>
      </c>
      <c r="C5167" s="71" t="s">
        <v>16817</v>
      </c>
    </row>
    <row r="5168">
      <c r="A5168" s="130" t="s">
        <v>23625</v>
      </c>
      <c r="B5168" s="71" t="s">
        <v>169</v>
      </c>
      <c r="C5168" s="71" t="s">
        <v>18732</v>
      </c>
    </row>
    <row r="5169">
      <c r="A5169" s="130" t="s">
        <v>23627</v>
      </c>
      <c r="B5169" s="71" t="s">
        <v>158</v>
      </c>
      <c r="C5169" s="71" t="s">
        <v>16870</v>
      </c>
    </row>
    <row r="5170">
      <c r="A5170" s="130" t="s">
        <v>23629</v>
      </c>
      <c r="B5170" s="71" t="s">
        <v>16919</v>
      </c>
      <c r="C5170" s="71" t="s">
        <v>16957</v>
      </c>
    </row>
    <row r="5171">
      <c r="A5171" s="130" t="s">
        <v>23631</v>
      </c>
      <c r="B5171" s="71" t="s">
        <v>16582</v>
      </c>
      <c r="C5171" s="71" t="s">
        <v>16899</v>
      </c>
    </row>
    <row r="5172">
      <c r="A5172" s="130" t="s">
        <v>23633</v>
      </c>
      <c r="B5172" s="71" t="s">
        <v>187</v>
      </c>
      <c r="C5172" s="71" t="s">
        <v>23634</v>
      </c>
    </row>
    <row r="5173">
      <c r="A5173" s="130" t="s">
        <v>23636</v>
      </c>
      <c r="B5173" s="71"/>
      <c r="C5173" s="71"/>
    </row>
    <row r="5174">
      <c r="A5174" s="130" t="s">
        <v>23638</v>
      </c>
      <c r="B5174" s="71" t="s">
        <v>16838</v>
      </c>
      <c r="C5174" s="71" t="s">
        <v>16867</v>
      </c>
    </row>
    <row r="5175">
      <c r="A5175" s="130" t="s">
        <v>23640</v>
      </c>
      <c r="B5175" s="71" t="s">
        <v>187</v>
      </c>
      <c r="C5175" s="71" t="s">
        <v>23634</v>
      </c>
    </row>
    <row r="5176">
      <c r="A5176" s="234" t="s">
        <v>23642</v>
      </c>
      <c r="B5176" s="71" t="s">
        <v>17019</v>
      </c>
      <c r="C5176" s="71" t="s">
        <v>16838</v>
      </c>
    </row>
    <row r="5177">
      <c r="A5177" s="234" t="s">
        <v>23642</v>
      </c>
      <c r="B5177" s="71" t="s">
        <v>16838</v>
      </c>
      <c r="C5177" s="71" t="s">
        <v>17019</v>
      </c>
    </row>
    <row r="5178">
      <c r="A5178" s="234" t="s">
        <v>23644</v>
      </c>
      <c r="B5178" s="71" t="s">
        <v>17111</v>
      </c>
      <c r="C5178" s="71" t="s">
        <v>17112</v>
      </c>
    </row>
    <row r="5179">
      <c r="A5179" s="234" t="s">
        <v>23644</v>
      </c>
      <c r="B5179" s="71" t="s">
        <v>17112</v>
      </c>
      <c r="C5179" s="71" t="s">
        <v>17111</v>
      </c>
    </row>
    <row r="5180">
      <c r="A5180" s="130" t="s">
        <v>23646</v>
      </c>
      <c r="B5180" s="71" t="s">
        <v>187</v>
      </c>
      <c r="C5180" s="71" t="s">
        <v>18633</v>
      </c>
    </row>
    <row r="5181">
      <c r="A5181" s="130" t="s">
        <v>23648</v>
      </c>
      <c r="B5181" s="71" t="s">
        <v>16838</v>
      </c>
      <c r="C5181" s="71" t="s">
        <v>16867</v>
      </c>
    </row>
    <row r="5182">
      <c r="A5182" s="130" t="s">
        <v>23650</v>
      </c>
      <c r="B5182" s="71" t="s">
        <v>175</v>
      </c>
      <c r="C5182" s="71" t="s">
        <v>17757</v>
      </c>
    </row>
    <row r="5183">
      <c r="A5183" s="130" t="s">
        <v>23652</v>
      </c>
      <c r="B5183" s="71" t="s">
        <v>16919</v>
      </c>
      <c r="C5183" s="71" t="s">
        <v>16957</v>
      </c>
    </row>
    <row r="5184">
      <c r="A5184" s="130" t="s">
        <v>23654</v>
      </c>
      <c r="B5184" s="71" t="s">
        <v>187</v>
      </c>
      <c r="C5184" s="71" t="s">
        <v>16846</v>
      </c>
    </row>
    <row r="5185">
      <c r="A5185" s="234" t="s">
        <v>23656</v>
      </c>
      <c r="B5185" s="71" t="s">
        <v>16885</v>
      </c>
      <c r="C5185" s="71" t="s">
        <v>17726</v>
      </c>
    </row>
    <row r="5186">
      <c r="A5186" s="234" t="s">
        <v>23656</v>
      </c>
      <c r="B5186" s="71" t="s">
        <v>17726</v>
      </c>
      <c r="C5186" s="71" t="s">
        <v>16885</v>
      </c>
    </row>
    <row r="5187">
      <c r="A5187" s="234" t="s">
        <v>23658</v>
      </c>
      <c r="B5187" s="71" t="s">
        <v>17112</v>
      </c>
      <c r="C5187" s="71" t="s">
        <v>16838</v>
      </c>
    </row>
    <row r="5188">
      <c r="A5188" s="234" t="s">
        <v>23658</v>
      </c>
      <c r="B5188" s="71" t="s">
        <v>16838</v>
      </c>
      <c r="C5188" s="71" t="s">
        <v>17112</v>
      </c>
    </row>
    <row r="5189">
      <c r="A5189" s="234" t="s">
        <v>23660</v>
      </c>
      <c r="B5189" s="71" t="s">
        <v>175</v>
      </c>
      <c r="C5189" s="71" t="s">
        <v>17480</v>
      </c>
    </row>
    <row r="5190">
      <c r="A5190" s="234" t="s">
        <v>23660</v>
      </c>
      <c r="B5190" s="71" t="s">
        <v>17480</v>
      </c>
      <c r="C5190" s="71" t="s">
        <v>175</v>
      </c>
    </row>
    <row r="5191">
      <c r="A5191" s="234" t="s">
        <v>23662</v>
      </c>
      <c r="B5191" s="71" t="s">
        <v>17019</v>
      </c>
      <c r="C5191" s="71" t="s">
        <v>16838</v>
      </c>
    </row>
    <row r="5192">
      <c r="A5192" s="234" t="s">
        <v>23662</v>
      </c>
      <c r="B5192" s="71" t="s">
        <v>16838</v>
      </c>
      <c r="C5192" s="71" t="s">
        <v>17019</v>
      </c>
    </row>
    <row r="5193">
      <c r="A5193" s="130" t="s">
        <v>23664</v>
      </c>
      <c r="B5193" s="71" t="s">
        <v>175</v>
      </c>
      <c r="C5193" s="71" t="s">
        <v>18723</v>
      </c>
    </row>
    <row r="5194">
      <c r="A5194" s="130" t="s">
        <v>23666</v>
      </c>
      <c r="B5194" s="71" t="s">
        <v>187</v>
      </c>
      <c r="C5194" s="71" t="s">
        <v>16846</v>
      </c>
    </row>
    <row r="5195">
      <c r="A5195" s="130" t="s">
        <v>23668</v>
      </c>
      <c r="B5195" s="71" t="s">
        <v>187</v>
      </c>
      <c r="C5195" s="71" t="s">
        <v>16969</v>
      </c>
    </row>
    <row r="5196">
      <c r="A5196" s="234" t="s">
        <v>23670</v>
      </c>
      <c r="B5196" s="71" t="s">
        <v>17016</v>
      </c>
      <c r="C5196" s="71" t="s">
        <v>16838</v>
      </c>
    </row>
    <row r="5197">
      <c r="A5197" s="234" t="s">
        <v>23670</v>
      </c>
      <c r="B5197" s="71" t="s">
        <v>16838</v>
      </c>
      <c r="C5197" s="71" t="s">
        <v>17016</v>
      </c>
    </row>
    <row r="5198">
      <c r="A5198" s="234" t="s">
        <v>23672</v>
      </c>
      <c r="B5198" s="71" t="s">
        <v>175</v>
      </c>
      <c r="C5198" s="71" t="s">
        <v>17233</v>
      </c>
    </row>
    <row r="5199">
      <c r="A5199" s="234" t="s">
        <v>23672</v>
      </c>
      <c r="B5199" s="71" t="s">
        <v>17233</v>
      </c>
      <c r="C5199" s="71" t="s">
        <v>175</v>
      </c>
    </row>
    <row r="5200">
      <c r="A5200" s="234" t="s">
        <v>23674</v>
      </c>
      <c r="B5200" s="71" t="s">
        <v>16838</v>
      </c>
      <c r="C5200" s="71" t="s">
        <v>18679</v>
      </c>
    </row>
    <row r="5201">
      <c r="A5201" s="234" t="s">
        <v>23674</v>
      </c>
      <c r="B5201" s="71" t="s">
        <v>18679</v>
      </c>
      <c r="C5201" s="130" t="s">
        <v>16838</v>
      </c>
    </row>
    <row r="5202">
      <c r="A5202" s="130" t="s">
        <v>23676</v>
      </c>
      <c r="B5202" s="71"/>
      <c r="C5202" s="71"/>
    </row>
    <row r="5203">
      <c r="A5203" s="234" t="s">
        <v>23678</v>
      </c>
      <c r="B5203" s="71" t="s">
        <v>17111</v>
      </c>
      <c r="C5203" s="71" t="s">
        <v>17112</v>
      </c>
    </row>
    <row r="5204">
      <c r="A5204" s="234" t="s">
        <v>23678</v>
      </c>
      <c r="B5204" s="71" t="s">
        <v>17112</v>
      </c>
      <c r="C5204" s="71" t="s">
        <v>17111</v>
      </c>
    </row>
    <row r="5205">
      <c r="A5205" s="234" t="s">
        <v>23680</v>
      </c>
      <c r="B5205" s="71" t="s">
        <v>175</v>
      </c>
      <c r="C5205" s="71" t="s">
        <v>17218</v>
      </c>
    </row>
    <row r="5206">
      <c r="A5206" s="234" t="s">
        <v>23680</v>
      </c>
      <c r="B5206" s="71" t="s">
        <v>17218</v>
      </c>
      <c r="C5206" s="71" t="s">
        <v>175</v>
      </c>
    </row>
    <row r="5207">
      <c r="A5207" s="130" t="s">
        <v>23682</v>
      </c>
      <c r="B5207" s="71" t="s">
        <v>16838</v>
      </c>
      <c r="C5207" s="71" t="s">
        <v>18956</v>
      </c>
    </row>
    <row r="5208">
      <c r="A5208" s="234" t="s">
        <v>23684</v>
      </c>
      <c r="B5208" s="71" t="s">
        <v>17202</v>
      </c>
      <c r="C5208" s="71" t="s">
        <v>16838</v>
      </c>
    </row>
    <row r="5209">
      <c r="A5209" s="234" t="s">
        <v>23684</v>
      </c>
      <c r="B5209" s="71" t="s">
        <v>16838</v>
      </c>
      <c r="C5209" s="71" t="s">
        <v>17202</v>
      </c>
    </row>
    <row r="5210">
      <c r="A5210" s="130" t="s">
        <v>23686</v>
      </c>
      <c r="B5210" s="71" t="s">
        <v>16582</v>
      </c>
      <c r="C5210" s="71" t="s">
        <v>16817</v>
      </c>
    </row>
    <row r="5211">
      <c r="A5211" s="234" t="s">
        <v>23688</v>
      </c>
      <c r="B5211" s="71" t="s">
        <v>158</v>
      </c>
      <c r="C5211" s="71" t="s">
        <v>16864</v>
      </c>
    </row>
    <row r="5212">
      <c r="A5212" s="234" t="s">
        <v>23688</v>
      </c>
      <c r="B5212" s="71" t="s">
        <v>16864</v>
      </c>
      <c r="C5212" s="71" t="s">
        <v>158</v>
      </c>
    </row>
    <row r="5213">
      <c r="A5213" s="130" t="s">
        <v>23690</v>
      </c>
      <c r="B5213" s="71" t="s">
        <v>175</v>
      </c>
      <c r="C5213" s="71" t="s">
        <v>16842</v>
      </c>
    </row>
    <row r="5214">
      <c r="A5214" s="234" t="s">
        <v>23692</v>
      </c>
      <c r="B5214" s="71" t="s">
        <v>175</v>
      </c>
      <c r="C5214" s="71" t="s">
        <v>19006</v>
      </c>
    </row>
    <row r="5215">
      <c r="A5215" s="234" t="s">
        <v>23692</v>
      </c>
      <c r="B5215" s="71" t="s">
        <v>19006</v>
      </c>
      <c r="C5215" s="71" t="s">
        <v>175</v>
      </c>
    </row>
    <row r="5216">
      <c r="A5216" s="130" t="s">
        <v>23694</v>
      </c>
      <c r="B5216" s="71" t="s">
        <v>187</v>
      </c>
      <c r="C5216" s="71" t="s">
        <v>16858</v>
      </c>
    </row>
    <row r="5217">
      <c r="A5217" s="130" t="s">
        <v>23696</v>
      </c>
      <c r="B5217" s="71" t="s">
        <v>175</v>
      </c>
      <c r="C5217" s="71" t="s">
        <v>19006</v>
      </c>
    </row>
    <row r="5218">
      <c r="A5218" s="130" t="s">
        <v>23698</v>
      </c>
      <c r="B5218" s="71" t="s">
        <v>17629</v>
      </c>
      <c r="C5218" s="71" t="s">
        <v>18718</v>
      </c>
    </row>
    <row r="5219">
      <c r="A5219" s="130" t="s">
        <v>23700</v>
      </c>
      <c r="B5219" s="71" t="s">
        <v>16838</v>
      </c>
      <c r="C5219" s="71" t="s">
        <v>16867</v>
      </c>
    </row>
    <row r="5220">
      <c r="A5220" s="234" t="s">
        <v>23702</v>
      </c>
      <c r="B5220" s="71" t="s">
        <v>17111</v>
      </c>
      <c r="C5220" s="71" t="s">
        <v>17112</v>
      </c>
    </row>
    <row r="5221">
      <c r="A5221" s="234" t="s">
        <v>23702</v>
      </c>
      <c r="B5221" s="71" t="s">
        <v>17112</v>
      </c>
      <c r="C5221" s="71" t="s">
        <v>17111</v>
      </c>
    </row>
    <row r="5222">
      <c r="A5222" s="130" t="s">
        <v>23704</v>
      </c>
      <c r="B5222" s="71" t="s">
        <v>169</v>
      </c>
      <c r="C5222" s="71" t="s">
        <v>17662</v>
      </c>
    </row>
    <row r="5223">
      <c r="A5223" s="234" t="s">
        <v>23706</v>
      </c>
      <c r="B5223" s="71"/>
      <c r="C5223" s="71"/>
    </row>
    <row r="5224">
      <c r="A5224" s="234" t="s">
        <v>23706</v>
      </c>
      <c r="B5224" s="71"/>
      <c r="C5224" s="71"/>
    </row>
    <row r="5225">
      <c r="A5225" s="234" t="s">
        <v>23708</v>
      </c>
      <c r="B5225" s="71" t="s">
        <v>17127</v>
      </c>
      <c r="C5225" s="71" t="s">
        <v>16838</v>
      </c>
    </row>
    <row r="5226">
      <c r="A5226" s="234" t="s">
        <v>23708</v>
      </c>
      <c r="B5226" s="71" t="s">
        <v>16838</v>
      </c>
      <c r="C5226" s="71" t="s">
        <v>17127</v>
      </c>
    </row>
    <row r="5227">
      <c r="A5227" s="130" t="s">
        <v>23710</v>
      </c>
      <c r="B5227" s="71" t="s">
        <v>175</v>
      </c>
      <c r="C5227" s="71" t="s">
        <v>16842</v>
      </c>
    </row>
    <row r="5228">
      <c r="A5228" s="130" t="s">
        <v>23712</v>
      </c>
      <c r="B5228" s="71" t="s">
        <v>16910</v>
      </c>
      <c r="C5228" s="71" t="s">
        <v>17648</v>
      </c>
    </row>
    <row r="5229">
      <c r="A5229" s="234" t="s">
        <v>23714</v>
      </c>
      <c r="B5229" s="71" t="s">
        <v>16582</v>
      </c>
      <c r="C5229" s="71" t="s">
        <v>16817</v>
      </c>
    </row>
    <row r="5230">
      <c r="A5230" s="234" t="s">
        <v>23714</v>
      </c>
      <c r="B5230" s="71" t="s">
        <v>16817</v>
      </c>
      <c r="C5230" s="71" t="s">
        <v>16582</v>
      </c>
    </row>
    <row r="5231">
      <c r="A5231" s="130" t="s">
        <v>23716</v>
      </c>
      <c r="B5231" s="71" t="s">
        <v>187</v>
      </c>
      <c r="C5231" s="71" t="s">
        <v>16846</v>
      </c>
    </row>
    <row r="5232">
      <c r="A5232" s="130" t="s">
        <v>23718</v>
      </c>
      <c r="B5232" s="71" t="s">
        <v>16582</v>
      </c>
      <c r="C5232" s="71" t="s">
        <v>16930</v>
      </c>
    </row>
    <row r="5233">
      <c r="A5233" s="130" t="s">
        <v>23720</v>
      </c>
      <c r="B5233" s="71" t="s">
        <v>187</v>
      </c>
      <c r="C5233" s="71" t="s">
        <v>17509</v>
      </c>
    </row>
    <row r="5234">
      <c r="A5234" s="234" t="s">
        <v>23722</v>
      </c>
      <c r="B5234" s="71" t="s">
        <v>18679</v>
      </c>
      <c r="C5234" s="71" t="s">
        <v>16838</v>
      </c>
    </row>
    <row r="5235">
      <c r="A5235" s="234" t="s">
        <v>23722</v>
      </c>
      <c r="B5235" s="71" t="s">
        <v>16838</v>
      </c>
      <c r="C5235" s="71" t="s">
        <v>18679</v>
      </c>
    </row>
    <row r="5236">
      <c r="A5236" s="130" t="s">
        <v>23724</v>
      </c>
      <c r="B5236" s="71" t="s">
        <v>187</v>
      </c>
      <c r="C5236" s="71" t="s">
        <v>17122</v>
      </c>
    </row>
    <row r="5237">
      <c r="A5237" s="130" t="s">
        <v>23726</v>
      </c>
      <c r="B5237" s="71" t="s">
        <v>175</v>
      </c>
      <c r="C5237" s="71" t="s">
        <v>19139</v>
      </c>
    </row>
    <row r="5238">
      <c r="A5238" s="234" t="s">
        <v>23728</v>
      </c>
      <c r="B5238" s="71" t="s">
        <v>175</v>
      </c>
      <c r="C5238" s="71" t="s">
        <v>16842</v>
      </c>
    </row>
    <row r="5239">
      <c r="A5239" s="234" t="s">
        <v>23728</v>
      </c>
      <c r="B5239" s="71" t="s">
        <v>16842</v>
      </c>
      <c r="C5239" s="71" t="s">
        <v>175</v>
      </c>
    </row>
    <row r="5240">
      <c r="A5240" s="234" t="s">
        <v>23730</v>
      </c>
      <c r="B5240" s="71" t="s">
        <v>19579</v>
      </c>
      <c r="C5240" s="71" t="s">
        <v>16838</v>
      </c>
    </row>
    <row r="5241">
      <c r="A5241" s="234" t="s">
        <v>23730</v>
      </c>
      <c r="B5241" s="71" t="s">
        <v>16838</v>
      </c>
      <c r="C5241" s="71" t="s">
        <v>19579</v>
      </c>
    </row>
    <row r="5242">
      <c r="A5242" s="130" t="s">
        <v>23732</v>
      </c>
      <c r="B5242" s="71" t="s">
        <v>16582</v>
      </c>
      <c r="C5242" s="71" t="s">
        <v>16930</v>
      </c>
    </row>
    <row r="5243">
      <c r="A5243" s="234" t="s">
        <v>23734</v>
      </c>
      <c r="B5243" s="71" t="s">
        <v>19644</v>
      </c>
      <c r="C5243" s="71" t="s">
        <v>16838</v>
      </c>
    </row>
    <row r="5244">
      <c r="A5244" s="234" t="s">
        <v>23734</v>
      </c>
      <c r="B5244" s="71" t="s">
        <v>16838</v>
      </c>
      <c r="C5244" s="71" t="s">
        <v>19644</v>
      </c>
    </row>
    <row r="5245">
      <c r="A5245" s="234" t="s">
        <v>23736</v>
      </c>
      <c r="B5245" s="71" t="s">
        <v>17202</v>
      </c>
      <c r="C5245" s="71" t="s">
        <v>16838</v>
      </c>
    </row>
    <row r="5246">
      <c r="A5246" s="234" t="s">
        <v>23736</v>
      </c>
      <c r="B5246" s="71" t="s">
        <v>16838</v>
      </c>
      <c r="C5246" s="71" t="s">
        <v>17202</v>
      </c>
    </row>
    <row r="5247">
      <c r="A5247" s="130" t="s">
        <v>23738</v>
      </c>
      <c r="B5247" s="71" t="s">
        <v>16582</v>
      </c>
      <c r="C5247" s="71" t="s">
        <v>16930</v>
      </c>
    </row>
    <row r="5248">
      <c r="A5248" s="130" t="s">
        <v>23740</v>
      </c>
      <c r="B5248" s="71" t="s">
        <v>175</v>
      </c>
      <c r="C5248" s="71" t="s">
        <v>16824</v>
      </c>
    </row>
    <row r="5249">
      <c r="A5249" s="130" t="s">
        <v>23742</v>
      </c>
      <c r="B5249" s="71" t="s">
        <v>175</v>
      </c>
      <c r="C5249" s="71" t="s">
        <v>17168</v>
      </c>
    </row>
    <row r="5250">
      <c r="A5250" s="130" t="s">
        <v>23744</v>
      </c>
      <c r="B5250" s="71" t="s">
        <v>187</v>
      </c>
      <c r="C5250" s="71" t="s">
        <v>16846</v>
      </c>
    </row>
    <row r="5251">
      <c r="A5251" s="130" t="s">
        <v>23746</v>
      </c>
      <c r="B5251" s="71" t="s">
        <v>187</v>
      </c>
      <c r="C5251" s="71" t="s">
        <v>20775</v>
      </c>
    </row>
    <row r="5252">
      <c r="A5252" s="130" t="s">
        <v>23748</v>
      </c>
      <c r="B5252" s="71" t="s">
        <v>187</v>
      </c>
      <c r="C5252" s="71" t="s">
        <v>16846</v>
      </c>
    </row>
    <row r="5253">
      <c r="A5253" s="130" t="s">
        <v>23750</v>
      </c>
      <c r="B5253" s="71" t="s">
        <v>16582</v>
      </c>
      <c r="C5253" s="71" t="s">
        <v>16817</v>
      </c>
    </row>
    <row r="5254">
      <c r="A5254" s="234" t="s">
        <v>23752</v>
      </c>
      <c r="B5254" s="71" t="s">
        <v>169</v>
      </c>
      <c r="C5254" s="71" t="s">
        <v>17619</v>
      </c>
    </row>
    <row r="5255">
      <c r="A5255" s="234" t="s">
        <v>23752</v>
      </c>
      <c r="B5255" s="71" t="s">
        <v>17619</v>
      </c>
      <c r="C5255" s="71" t="s">
        <v>169</v>
      </c>
    </row>
    <row r="5256">
      <c r="A5256" s="130" t="s">
        <v>23754</v>
      </c>
      <c r="B5256" s="71" t="s">
        <v>16838</v>
      </c>
      <c r="C5256" s="71" t="s">
        <v>17127</v>
      </c>
    </row>
    <row r="5257">
      <c r="A5257" s="130" t="s">
        <v>23756</v>
      </c>
      <c r="B5257" s="71" t="s">
        <v>187</v>
      </c>
      <c r="C5257" s="71" t="s">
        <v>16846</v>
      </c>
    </row>
    <row r="5258">
      <c r="A5258" s="130" t="s">
        <v>23758</v>
      </c>
      <c r="B5258" s="71" t="s">
        <v>16582</v>
      </c>
      <c r="C5258" s="71" t="s">
        <v>16930</v>
      </c>
    </row>
    <row r="5259">
      <c r="A5259" s="130" t="s">
        <v>23760</v>
      </c>
      <c r="B5259" s="71" t="s">
        <v>175</v>
      </c>
      <c r="C5259" s="71" t="s">
        <v>17457</v>
      </c>
    </row>
    <row r="5260">
      <c r="A5260" s="130" t="s">
        <v>23762</v>
      </c>
      <c r="B5260" s="71" t="s">
        <v>16838</v>
      </c>
      <c r="C5260" s="71" t="s">
        <v>16867</v>
      </c>
    </row>
    <row r="5261">
      <c r="A5261" s="130" t="s">
        <v>23764</v>
      </c>
      <c r="B5261" s="71" t="s">
        <v>187</v>
      </c>
      <c r="C5261" s="71" t="s">
        <v>16992</v>
      </c>
    </row>
    <row r="5262">
      <c r="A5262" s="234" t="s">
        <v>23766</v>
      </c>
      <c r="B5262" s="71" t="s">
        <v>175</v>
      </c>
      <c r="C5262" s="71" t="s">
        <v>17084</v>
      </c>
    </row>
    <row r="5263">
      <c r="A5263" s="234" t="s">
        <v>23766</v>
      </c>
      <c r="B5263" s="71" t="s">
        <v>17084</v>
      </c>
      <c r="C5263" s="71" t="s">
        <v>175</v>
      </c>
    </row>
    <row r="5264">
      <c r="A5264" s="234" t="s">
        <v>23768</v>
      </c>
      <c r="B5264" s="71" t="s">
        <v>16838</v>
      </c>
      <c r="C5264" s="71" t="s">
        <v>19644</v>
      </c>
    </row>
    <row r="5265">
      <c r="A5265" s="234" t="s">
        <v>23768</v>
      </c>
      <c r="B5265" s="71" t="s">
        <v>19644</v>
      </c>
      <c r="C5265" s="130" t="s">
        <v>16838</v>
      </c>
    </row>
    <row r="5266">
      <c r="A5266" s="130" t="s">
        <v>23770</v>
      </c>
      <c r="B5266" s="71" t="s">
        <v>16582</v>
      </c>
      <c r="C5266" s="233" t="s">
        <v>17342</v>
      </c>
    </row>
    <row r="5267">
      <c r="A5267" s="130" t="s">
        <v>23772</v>
      </c>
      <c r="B5267" s="71" t="s">
        <v>169</v>
      </c>
      <c r="C5267" s="71" t="s">
        <v>17233</v>
      </c>
    </row>
    <row r="5268">
      <c r="A5268" s="130" t="s">
        <v>23774</v>
      </c>
      <c r="B5268" s="71" t="s">
        <v>16582</v>
      </c>
      <c r="C5268" s="71" t="s">
        <v>16930</v>
      </c>
    </row>
    <row r="5269">
      <c r="A5269" s="130" t="s">
        <v>23776</v>
      </c>
      <c r="B5269" s="71" t="s">
        <v>187</v>
      </c>
      <c r="C5269" s="71" t="s">
        <v>16846</v>
      </c>
    </row>
    <row r="5270">
      <c r="A5270" s="130" t="s">
        <v>23778</v>
      </c>
      <c r="B5270" s="71" t="s">
        <v>16838</v>
      </c>
      <c r="C5270" s="71" t="s">
        <v>16867</v>
      </c>
    </row>
    <row r="5271">
      <c r="A5271" s="130" t="s">
        <v>23780</v>
      </c>
      <c r="B5271" s="71" t="s">
        <v>187</v>
      </c>
      <c r="C5271" s="71" t="s">
        <v>16858</v>
      </c>
    </row>
    <row r="5272">
      <c r="A5272" s="130" t="s">
        <v>23782</v>
      </c>
      <c r="B5272" s="71" t="s">
        <v>16582</v>
      </c>
      <c r="C5272" s="233" t="s">
        <v>17342</v>
      </c>
    </row>
    <row r="5273">
      <c r="A5273" s="130" t="s">
        <v>23784</v>
      </c>
      <c r="B5273" s="71" t="s">
        <v>187</v>
      </c>
      <c r="C5273" s="71" t="s">
        <v>17122</v>
      </c>
    </row>
    <row r="5274">
      <c r="A5274" s="130" t="s">
        <v>23786</v>
      </c>
      <c r="B5274" s="71" t="s">
        <v>187</v>
      </c>
      <c r="C5274" s="71" t="s">
        <v>16992</v>
      </c>
    </row>
    <row r="5275">
      <c r="A5275" s="130" t="s">
        <v>23788</v>
      </c>
      <c r="B5275" s="71" t="s">
        <v>187</v>
      </c>
      <c r="C5275" s="71" t="s">
        <v>16846</v>
      </c>
    </row>
    <row r="5276">
      <c r="A5276" s="234" t="s">
        <v>23790</v>
      </c>
      <c r="B5276" s="71" t="s">
        <v>19644</v>
      </c>
      <c r="C5276" s="71" t="s">
        <v>16838</v>
      </c>
    </row>
    <row r="5277">
      <c r="A5277" s="234" t="s">
        <v>23790</v>
      </c>
      <c r="B5277" s="71" t="s">
        <v>16838</v>
      </c>
      <c r="C5277" s="71" t="s">
        <v>19644</v>
      </c>
    </row>
    <row r="5278">
      <c r="A5278" s="130" t="s">
        <v>23792</v>
      </c>
      <c r="B5278" s="71" t="s">
        <v>16838</v>
      </c>
      <c r="C5278" s="71" t="s">
        <v>18219</v>
      </c>
    </row>
    <row r="5279">
      <c r="A5279" s="130" t="s">
        <v>23794</v>
      </c>
      <c r="B5279" s="71" t="s">
        <v>16582</v>
      </c>
      <c r="C5279" s="233" t="s">
        <v>17342</v>
      </c>
    </row>
    <row r="5280">
      <c r="A5280" s="234" t="s">
        <v>23796</v>
      </c>
      <c r="B5280" s="71" t="s">
        <v>19579</v>
      </c>
      <c r="C5280" s="71" t="s">
        <v>16838</v>
      </c>
    </row>
    <row r="5281">
      <c r="A5281" s="234" t="s">
        <v>23796</v>
      </c>
      <c r="B5281" s="71" t="s">
        <v>16838</v>
      </c>
      <c r="C5281" s="71" t="s">
        <v>19579</v>
      </c>
    </row>
    <row r="5282">
      <c r="A5282" s="130" t="s">
        <v>23798</v>
      </c>
      <c r="B5282" s="71" t="s">
        <v>187</v>
      </c>
      <c r="C5282" s="71" t="s">
        <v>16846</v>
      </c>
    </row>
    <row r="5283">
      <c r="A5283" s="234" t="s">
        <v>23800</v>
      </c>
      <c r="B5283" s="71"/>
      <c r="C5283" s="71"/>
    </row>
    <row r="5284">
      <c r="A5284" s="234" t="s">
        <v>23800</v>
      </c>
      <c r="B5284" s="71"/>
      <c r="C5284" s="71"/>
    </row>
    <row r="5285">
      <c r="A5285" s="234" t="s">
        <v>23802</v>
      </c>
      <c r="B5285" s="71" t="s">
        <v>16867</v>
      </c>
      <c r="C5285" s="71" t="s">
        <v>16838</v>
      </c>
    </row>
    <row r="5286">
      <c r="A5286" s="234" t="s">
        <v>23802</v>
      </c>
      <c r="B5286" s="71" t="s">
        <v>16838</v>
      </c>
      <c r="C5286" s="71" t="s">
        <v>16867</v>
      </c>
    </row>
    <row r="5287">
      <c r="A5287" s="130" t="s">
        <v>23804</v>
      </c>
      <c r="B5287" s="71" t="s">
        <v>187</v>
      </c>
      <c r="C5287" s="71" t="s">
        <v>16992</v>
      </c>
    </row>
    <row r="5288">
      <c r="A5288" s="234" t="s">
        <v>23806</v>
      </c>
      <c r="B5288" s="71" t="s">
        <v>17202</v>
      </c>
      <c r="C5288" s="71" t="s">
        <v>16838</v>
      </c>
    </row>
    <row r="5289">
      <c r="A5289" s="234" t="s">
        <v>23806</v>
      </c>
      <c r="B5289" s="71" t="s">
        <v>16838</v>
      </c>
      <c r="C5289" s="71" t="s">
        <v>17202</v>
      </c>
    </row>
    <row r="5290">
      <c r="A5290" s="130" t="s">
        <v>23808</v>
      </c>
      <c r="B5290" s="71" t="s">
        <v>16582</v>
      </c>
      <c r="C5290" s="71" t="s">
        <v>16828</v>
      </c>
    </row>
    <row r="5291">
      <c r="A5291" s="130" t="s">
        <v>23810</v>
      </c>
      <c r="B5291" s="71" t="s">
        <v>187</v>
      </c>
      <c r="C5291" s="71" t="s">
        <v>16846</v>
      </c>
    </row>
    <row r="5292">
      <c r="A5292" s="234" t="s">
        <v>23812</v>
      </c>
      <c r="B5292" s="71" t="s">
        <v>175</v>
      </c>
      <c r="C5292" s="71" t="s">
        <v>17084</v>
      </c>
    </row>
    <row r="5293">
      <c r="A5293" s="234" t="s">
        <v>23812</v>
      </c>
      <c r="B5293" s="71" t="s">
        <v>17084</v>
      </c>
      <c r="C5293" s="71" t="s">
        <v>175</v>
      </c>
    </row>
    <row r="5294">
      <c r="A5294" s="130" t="s">
        <v>23814</v>
      </c>
      <c r="B5294" s="71" t="s">
        <v>16838</v>
      </c>
      <c r="C5294" s="71" t="s">
        <v>16867</v>
      </c>
    </row>
    <row r="5295">
      <c r="A5295" s="130" t="s">
        <v>23816</v>
      </c>
      <c r="B5295" s="71" t="s">
        <v>16838</v>
      </c>
      <c r="C5295" s="71" t="s">
        <v>16867</v>
      </c>
    </row>
    <row r="5296">
      <c r="A5296" s="234" t="s">
        <v>23818</v>
      </c>
      <c r="B5296" s="71" t="s">
        <v>17202</v>
      </c>
      <c r="C5296" s="71" t="s">
        <v>16838</v>
      </c>
    </row>
    <row r="5297">
      <c r="A5297" s="234" t="s">
        <v>23818</v>
      </c>
      <c r="B5297" s="71" t="s">
        <v>16838</v>
      </c>
      <c r="C5297" s="71" t="s">
        <v>17202</v>
      </c>
    </row>
    <row r="5298">
      <c r="A5298" s="234" t="s">
        <v>23820</v>
      </c>
      <c r="B5298" s="71" t="s">
        <v>158</v>
      </c>
      <c r="C5298" s="71" t="s">
        <v>16864</v>
      </c>
    </row>
    <row r="5299">
      <c r="A5299" s="234" t="s">
        <v>23820</v>
      </c>
      <c r="B5299" s="71" t="s">
        <v>16864</v>
      </c>
      <c r="C5299" s="130" t="s">
        <v>158</v>
      </c>
    </row>
    <row r="5300">
      <c r="A5300" s="234" t="s">
        <v>23822</v>
      </c>
      <c r="B5300" s="71" t="s">
        <v>17202</v>
      </c>
      <c r="C5300" s="71" t="s">
        <v>16838</v>
      </c>
    </row>
    <row r="5301">
      <c r="A5301" s="234" t="s">
        <v>23822</v>
      </c>
      <c r="B5301" s="71" t="s">
        <v>16838</v>
      </c>
      <c r="C5301" s="71" t="s">
        <v>17202</v>
      </c>
    </row>
    <row r="5302">
      <c r="A5302" s="234" t="s">
        <v>23824</v>
      </c>
      <c r="B5302" s="71" t="s">
        <v>17202</v>
      </c>
      <c r="C5302" s="71" t="s">
        <v>16838</v>
      </c>
    </row>
    <row r="5303">
      <c r="A5303" s="234" t="s">
        <v>23824</v>
      </c>
      <c r="B5303" s="71" t="s">
        <v>16838</v>
      </c>
      <c r="C5303" s="71" t="s">
        <v>17202</v>
      </c>
    </row>
    <row r="5304">
      <c r="A5304" s="234" t="s">
        <v>23826</v>
      </c>
      <c r="B5304" s="71" t="s">
        <v>175</v>
      </c>
      <c r="C5304" s="71" t="s">
        <v>16854</v>
      </c>
    </row>
    <row r="5305">
      <c r="A5305" s="234" t="s">
        <v>23826</v>
      </c>
      <c r="B5305" s="71" t="s">
        <v>16854</v>
      </c>
      <c r="C5305" s="71" t="s">
        <v>175</v>
      </c>
    </row>
    <row r="5306">
      <c r="A5306" s="234" t="s">
        <v>23828</v>
      </c>
      <c r="B5306" s="71" t="s">
        <v>17629</v>
      </c>
      <c r="C5306" s="71" t="s">
        <v>16899</v>
      </c>
    </row>
    <row r="5307">
      <c r="A5307" s="234" t="s">
        <v>23828</v>
      </c>
      <c r="B5307" s="71" t="s">
        <v>16899</v>
      </c>
      <c r="C5307" s="71" t="s">
        <v>17629</v>
      </c>
    </row>
    <row r="5308">
      <c r="A5308" s="234" t="s">
        <v>23830</v>
      </c>
      <c r="B5308" s="71" t="s">
        <v>17202</v>
      </c>
      <c r="C5308" s="71" t="s">
        <v>16838</v>
      </c>
    </row>
    <row r="5309">
      <c r="A5309" s="234" t="s">
        <v>23830</v>
      </c>
      <c r="B5309" s="71" t="s">
        <v>16838</v>
      </c>
      <c r="C5309" s="71" t="s">
        <v>17202</v>
      </c>
    </row>
    <row r="5310">
      <c r="A5310" s="130" t="s">
        <v>23832</v>
      </c>
      <c r="B5310" s="71" t="s">
        <v>169</v>
      </c>
      <c r="C5310" s="71" t="s">
        <v>17013</v>
      </c>
    </row>
    <row r="5311">
      <c r="A5311" s="234" t="s">
        <v>23834</v>
      </c>
      <c r="B5311" s="71" t="s">
        <v>158</v>
      </c>
      <c r="C5311" s="71" t="s">
        <v>16864</v>
      </c>
    </row>
    <row r="5312">
      <c r="A5312" s="234" t="s">
        <v>23834</v>
      </c>
      <c r="B5312" s="71" t="s">
        <v>16864</v>
      </c>
      <c r="C5312" s="71" t="s">
        <v>158</v>
      </c>
    </row>
    <row r="5313">
      <c r="A5313" s="130" t="s">
        <v>23836</v>
      </c>
      <c r="B5313" s="71" t="s">
        <v>187</v>
      </c>
      <c r="C5313" s="71" t="s">
        <v>16846</v>
      </c>
    </row>
    <row r="5314">
      <c r="A5314" s="130" t="s">
        <v>23838</v>
      </c>
      <c r="B5314" s="71" t="s">
        <v>16582</v>
      </c>
      <c r="C5314" s="71" t="s">
        <v>16817</v>
      </c>
    </row>
    <row r="5315">
      <c r="A5315" s="234" t="s">
        <v>23840</v>
      </c>
      <c r="B5315" s="71"/>
      <c r="C5315" s="71"/>
    </row>
    <row r="5316">
      <c r="A5316" s="234" t="s">
        <v>23840</v>
      </c>
      <c r="B5316" s="71"/>
      <c r="C5316" s="71"/>
    </row>
    <row r="5317">
      <c r="A5317" s="130" t="s">
        <v>23842</v>
      </c>
      <c r="B5317" s="71" t="s">
        <v>16838</v>
      </c>
      <c r="C5317" s="71" t="s">
        <v>17016</v>
      </c>
    </row>
    <row r="5318">
      <c r="A5318" s="234" t="s">
        <v>23844</v>
      </c>
      <c r="B5318" s="71" t="s">
        <v>16945</v>
      </c>
      <c r="C5318" s="71" t="s">
        <v>169</v>
      </c>
    </row>
    <row r="5319">
      <c r="A5319" s="234" t="s">
        <v>23844</v>
      </c>
      <c r="B5319" s="71" t="s">
        <v>169</v>
      </c>
      <c r="C5319" s="71" t="s">
        <v>16945</v>
      </c>
    </row>
    <row r="5320">
      <c r="A5320" s="130" t="s">
        <v>23846</v>
      </c>
      <c r="B5320" s="71" t="s">
        <v>16838</v>
      </c>
      <c r="C5320" s="71" t="s">
        <v>17016</v>
      </c>
    </row>
    <row r="5321">
      <c r="A5321" s="234" t="s">
        <v>23848</v>
      </c>
      <c r="B5321" s="71" t="s">
        <v>17202</v>
      </c>
      <c r="C5321" s="71" t="s">
        <v>16838</v>
      </c>
    </row>
    <row r="5322">
      <c r="A5322" s="234" t="s">
        <v>23848</v>
      </c>
      <c r="B5322" s="71" t="s">
        <v>16838</v>
      </c>
      <c r="C5322" s="71" t="s">
        <v>17202</v>
      </c>
    </row>
    <row r="5323">
      <c r="A5323" s="130" t="s">
        <v>23850</v>
      </c>
      <c r="B5323" s="71" t="s">
        <v>175</v>
      </c>
      <c r="C5323" s="71" t="s">
        <v>17069</v>
      </c>
    </row>
    <row r="5324">
      <c r="A5324" s="234" t="s">
        <v>23852</v>
      </c>
      <c r="B5324" s="71" t="s">
        <v>175</v>
      </c>
      <c r="C5324" s="71" t="s">
        <v>17233</v>
      </c>
    </row>
    <row r="5325">
      <c r="A5325" s="234" t="s">
        <v>23852</v>
      </c>
      <c r="B5325" s="71" t="s">
        <v>17233</v>
      </c>
      <c r="C5325" s="71" t="s">
        <v>175</v>
      </c>
    </row>
    <row r="5326">
      <c r="A5326" s="234" t="s">
        <v>23854</v>
      </c>
      <c r="B5326" s="71" t="s">
        <v>169</v>
      </c>
      <c r="C5326" s="71" t="s">
        <v>110</v>
      </c>
    </row>
    <row r="5327">
      <c r="A5327" s="234" t="s">
        <v>23854</v>
      </c>
      <c r="B5327" s="71" t="s">
        <v>110</v>
      </c>
      <c r="C5327" s="130" t="s">
        <v>169</v>
      </c>
    </row>
    <row r="5328">
      <c r="A5328" s="130" t="s">
        <v>23856</v>
      </c>
      <c r="B5328" s="71" t="s">
        <v>175</v>
      </c>
      <c r="C5328" s="71" t="s">
        <v>17457</v>
      </c>
    </row>
    <row r="5329">
      <c r="A5329" s="130" t="s">
        <v>23858</v>
      </c>
      <c r="B5329" s="71" t="s">
        <v>16838</v>
      </c>
      <c r="C5329" s="71" t="s">
        <v>16867</v>
      </c>
    </row>
    <row r="5330">
      <c r="A5330" s="130" t="s">
        <v>23860</v>
      </c>
      <c r="B5330" s="71" t="s">
        <v>187</v>
      </c>
      <c r="C5330" s="71" t="s">
        <v>16858</v>
      </c>
    </row>
    <row r="5331">
      <c r="A5331" s="234" t="s">
        <v>23862</v>
      </c>
      <c r="B5331" s="71" t="s">
        <v>175</v>
      </c>
      <c r="C5331" s="71" t="s">
        <v>17233</v>
      </c>
    </row>
    <row r="5332">
      <c r="A5332" s="234" t="s">
        <v>23862</v>
      </c>
      <c r="B5332" s="71" t="s">
        <v>17233</v>
      </c>
      <c r="C5332" s="71" t="s">
        <v>175</v>
      </c>
    </row>
    <row r="5333">
      <c r="A5333" s="130" t="s">
        <v>23864</v>
      </c>
      <c r="B5333" s="71" t="s">
        <v>16582</v>
      </c>
      <c r="C5333" s="71" t="s">
        <v>16930</v>
      </c>
    </row>
    <row r="5334">
      <c r="A5334" s="130" t="s">
        <v>23866</v>
      </c>
      <c r="B5334" s="71" t="s">
        <v>16838</v>
      </c>
      <c r="C5334" s="71" t="s">
        <v>16867</v>
      </c>
    </row>
    <row r="5335">
      <c r="A5335" s="234" t="s">
        <v>23868</v>
      </c>
      <c r="B5335" s="71" t="s">
        <v>17233</v>
      </c>
      <c r="C5335" s="71" t="s">
        <v>169</v>
      </c>
    </row>
    <row r="5336">
      <c r="A5336" s="234" t="s">
        <v>23868</v>
      </c>
      <c r="B5336" s="71" t="s">
        <v>169</v>
      </c>
      <c r="C5336" s="71" t="s">
        <v>17233</v>
      </c>
    </row>
    <row r="5337">
      <c r="A5337" s="234" t="s">
        <v>23870</v>
      </c>
      <c r="B5337" s="71"/>
      <c r="C5337" s="71"/>
    </row>
    <row r="5338">
      <c r="A5338" s="234" t="s">
        <v>23870</v>
      </c>
      <c r="B5338" s="71"/>
      <c r="C5338" s="71"/>
    </row>
    <row r="5339">
      <c r="A5339" s="130" t="s">
        <v>23872</v>
      </c>
      <c r="B5339" s="71" t="s">
        <v>187</v>
      </c>
      <c r="C5339" s="71" t="s">
        <v>16846</v>
      </c>
    </row>
    <row r="5340">
      <c r="A5340" s="234" t="s">
        <v>23874</v>
      </c>
      <c r="B5340" s="71" t="s">
        <v>17202</v>
      </c>
      <c r="C5340" s="71" t="s">
        <v>16838</v>
      </c>
    </row>
    <row r="5341">
      <c r="A5341" s="234" t="s">
        <v>23874</v>
      </c>
      <c r="B5341" s="71" t="s">
        <v>16838</v>
      </c>
      <c r="C5341" s="71" t="s">
        <v>17202</v>
      </c>
    </row>
    <row r="5342">
      <c r="A5342" s="234" t="s">
        <v>23876</v>
      </c>
      <c r="B5342" s="71" t="s">
        <v>19644</v>
      </c>
      <c r="C5342" s="71" t="s">
        <v>16838</v>
      </c>
    </row>
    <row r="5343">
      <c r="A5343" s="234" t="s">
        <v>23876</v>
      </c>
      <c r="B5343" s="71" t="s">
        <v>16838</v>
      </c>
      <c r="C5343" s="71" t="s">
        <v>19644</v>
      </c>
    </row>
    <row r="5344">
      <c r="A5344" s="234" t="s">
        <v>23878</v>
      </c>
      <c r="B5344" s="71" t="s">
        <v>175</v>
      </c>
      <c r="C5344" s="71" t="s">
        <v>16942</v>
      </c>
    </row>
    <row r="5345">
      <c r="A5345" s="234" t="s">
        <v>23878</v>
      </c>
      <c r="B5345" s="71" t="s">
        <v>16942</v>
      </c>
      <c r="C5345" s="71" t="s">
        <v>175</v>
      </c>
    </row>
    <row r="5346">
      <c r="A5346" s="234" t="s">
        <v>23880</v>
      </c>
      <c r="B5346" s="71" t="s">
        <v>175</v>
      </c>
      <c r="C5346" s="71" t="s">
        <v>17168</v>
      </c>
    </row>
    <row r="5347">
      <c r="A5347" s="234" t="s">
        <v>23880</v>
      </c>
      <c r="B5347" s="71" t="s">
        <v>17168</v>
      </c>
      <c r="C5347" s="71" t="s">
        <v>175</v>
      </c>
    </row>
    <row r="5348">
      <c r="A5348" s="130" t="s">
        <v>23882</v>
      </c>
      <c r="B5348" s="71" t="s">
        <v>187</v>
      </c>
      <c r="C5348" s="71" t="s">
        <v>16846</v>
      </c>
    </row>
    <row r="5349">
      <c r="A5349" s="130" t="s">
        <v>23884</v>
      </c>
      <c r="B5349" s="71" t="s">
        <v>16838</v>
      </c>
      <c r="C5349" s="71" t="s">
        <v>16867</v>
      </c>
    </row>
    <row r="5350">
      <c r="A5350" s="130" t="s">
        <v>23886</v>
      </c>
      <c r="B5350" s="71" t="s">
        <v>16926</v>
      </c>
      <c r="C5350" s="71" t="s">
        <v>16957</v>
      </c>
    </row>
    <row r="5351">
      <c r="A5351" s="130" t="s">
        <v>23888</v>
      </c>
      <c r="B5351" s="71" t="s">
        <v>16838</v>
      </c>
      <c r="C5351" s="71" t="s">
        <v>16867</v>
      </c>
    </row>
    <row r="5352">
      <c r="A5352" s="234" t="s">
        <v>23890</v>
      </c>
      <c r="B5352" s="71" t="s">
        <v>16582</v>
      </c>
      <c r="C5352" s="71" t="s">
        <v>17435</v>
      </c>
    </row>
    <row r="5353">
      <c r="A5353" s="234" t="s">
        <v>23890</v>
      </c>
      <c r="B5353" s="71" t="s">
        <v>17435</v>
      </c>
      <c r="C5353" s="71" t="s">
        <v>16582</v>
      </c>
    </row>
    <row r="5354">
      <c r="A5354" s="130" t="s">
        <v>23892</v>
      </c>
      <c r="B5354" s="71" t="s">
        <v>16582</v>
      </c>
      <c r="C5354" s="71" t="s">
        <v>16930</v>
      </c>
    </row>
    <row r="5355">
      <c r="A5355" s="130" t="s">
        <v>23894</v>
      </c>
      <c r="B5355" s="71" t="s">
        <v>16838</v>
      </c>
      <c r="C5355" s="71" t="s">
        <v>16867</v>
      </c>
    </row>
    <row r="5356">
      <c r="A5356" s="130" t="s">
        <v>23896</v>
      </c>
      <c r="B5356" s="71" t="s">
        <v>169</v>
      </c>
      <c r="C5356" s="71" t="s">
        <v>16899</v>
      </c>
    </row>
    <row r="5357">
      <c r="A5357" s="234" t="s">
        <v>23898</v>
      </c>
      <c r="B5357" s="71" t="s">
        <v>17259</v>
      </c>
      <c r="C5357" s="71" t="s">
        <v>187</v>
      </c>
    </row>
    <row r="5358">
      <c r="A5358" s="234" t="s">
        <v>23898</v>
      </c>
      <c r="B5358" s="71" t="s">
        <v>187</v>
      </c>
      <c r="C5358" s="71" t="s">
        <v>17259</v>
      </c>
    </row>
    <row r="5359">
      <c r="A5359" s="130" t="s">
        <v>23900</v>
      </c>
      <c r="B5359" s="71"/>
      <c r="C5359" s="71"/>
    </row>
    <row r="5360">
      <c r="A5360" s="234" t="s">
        <v>23902</v>
      </c>
      <c r="B5360" s="71" t="s">
        <v>16885</v>
      </c>
      <c r="C5360" s="71" t="s">
        <v>17726</v>
      </c>
    </row>
    <row r="5361">
      <c r="A5361" s="234" t="s">
        <v>23902</v>
      </c>
      <c r="B5361" s="71" t="s">
        <v>17726</v>
      </c>
      <c r="C5361" s="71" t="s">
        <v>16885</v>
      </c>
    </row>
    <row r="5362">
      <c r="A5362" s="130" t="s">
        <v>23904</v>
      </c>
      <c r="B5362" s="71" t="s">
        <v>16838</v>
      </c>
      <c r="C5362" s="71" t="s">
        <v>17016</v>
      </c>
    </row>
    <row r="5363">
      <c r="A5363" s="234" t="s">
        <v>23906</v>
      </c>
      <c r="B5363" s="71" t="s">
        <v>16582</v>
      </c>
      <c r="C5363" s="71" t="s">
        <v>17435</v>
      </c>
    </row>
    <row r="5364">
      <c r="A5364" s="234" t="s">
        <v>23906</v>
      </c>
      <c r="B5364" s="71" t="s">
        <v>17435</v>
      </c>
      <c r="C5364" s="71" t="s">
        <v>16582</v>
      </c>
    </row>
    <row r="5365">
      <c r="A5365" s="130" t="s">
        <v>23908</v>
      </c>
      <c r="B5365" s="71" t="s">
        <v>187</v>
      </c>
      <c r="C5365" s="71" t="s">
        <v>16846</v>
      </c>
    </row>
    <row r="5366">
      <c r="A5366" s="130" t="s">
        <v>23910</v>
      </c>
      <c r="B5366" s="71" t="s">
        <v>187</v>
      </c>
      <c r="C5366" s="71" t="s">
        <v>16846</v>
      </c>
    </row>
    <row r="5367">
      <c r="A5367" s="130" t="s">
        <v>23912</v>
      </c>
      <c r="B5367" s="71" t="s">
        <v>169</v>
      </c>
      <c r="C5367" s="71" t="s">
        <v>17662</v>
      </c>
    </row>
    <row r="5368">
      <c r="A5368" s="234" t="s">
        <v>23914</v>
      </c>
      <c r="B5368" s="71" t="s">
        <v>19644</v>
      </c>
      <c r="C5368" s="71" t="s">
        <v>16838</v>
      </c>
    </row>
    <row r="5369">
      <c r="A5369" s="234" t="s">
        <v>23914</v>
      </c>
      <c r="B5369" s="71" t="s">
        <v>16838</v>
      </c>
      <c r="C5369" s="71" t="s">
        <v>19644</v>
      </c>
    </row>
    <row r="5370">
      <c r="A5370" s="234" t="s">
        <v>23915</v>
      </c>
      <c r="B5370" s="71" t="s">
        <v>19579</v>
      </c>
      <c r="C5370" s="71" t="s">
        <v>16838</v>
      </c>
    </row>
    <row r="5371">
      <c r="A5371" s="234" t="s">
        <v>23915</v>
      </c>
      <c r="B5371" s="71" t="s">
        <v>16838</v>
      </c>
      <c r="C5371" s="71" t="s">
        <v>19579</v>
      </c>
    </row>
    <row r="5372">
      <c r="A5372" s="130" t="s">
        <v>23917</v>
      </c>
      <c r="B5372" s="71" t="s">
        <v>16838</v>
      </c>
      <c r="C5372" s="71" t="s">
        <v>17016</v>
      </c>
    </row>
    <row r="5373">
      <c r="A5373" s="130" t="s">
        <v>23919</v>
      </c>
      <c r="B5373" s="71" t="s">
        <v>16910</v>
      </c>
      <c r="C5373" s="71" t="s">
        <v>17119</v>
      </c>
    </row>
    <row r="5374">
      <c r="A5374" s="130" t="s">
        <v>23921</v>
      </c>
      <c r="B5374" s="71" t="s">
        <v>16838</v>
      </c>
      <c r="C5374" s="71" t="s">
        <v>16867</v>
      </c>
    </row>
    <row r="5375">
      <c r="A5375" s="130" t="s">
        <v>23923</v>
      </c>
      <c r="B5375" s="71" t="s">
        <v>16838</v>
      </c>
      <c r="C5375" s="71" t="s">
        <v>17127</v>
      </c>
    </row>
    <row r="5376">
      <c r="A5376" s="234" t="s">
        <v>23925</v>
      </c>
      <c r="B5376" s="71" t="s">
        <v>16885</v>
      </c>
      <c r="C5376" s="71" t="s">
        <v>17726</v>
      </c>
    </row>
    <row r="5377">
      <c r="A5377" s="234" t="s">
        <v>23925</v>
      </c>
      <c r="B5377" s="71" t="s">
        <v>17726</v>
      </c>
      <c r="C5377" s="71" t="s">
        <v>16885</v>
      </c>
    </row>
    <row r="5378">
      <c r="A5378" s="130" t="s">
        <v>23927</v>
      </c>
      <c r="B5378" s="71" t="s">
        <v>16582</v>
      </c>
      <c r="C5378" s="71" t="s">
        <v>16817</v>
      </c>
    </row>
    <row r="5379">
      <c r="A5379" s="130" t="s">
        <v>23929</v>
      </c>
      <c r="B5379" s="71" t="s">
        <v>175</v>
      </c>
      <c r="C5379" s="71" t="s">
        <v>17509</v>
      </c>
    </row>
    <row r="5380">
      <c r="A5380" s="130" t="s">
        <v>23931</v>
      </c>
      <c r="B5380" s="71" t="s">
        <v>169</v>
      </c>
      <c r="C5380" s="71" t="s">
        <v>17509</v>
      </c>
    </row>
    <row r="5381">
      <c r="A5381" s="234" t="s">
        <v>23933</v>
      </c>
      <c r="B5381" s="71" t="s">
        <v>17202</v>
      </c>
      <c r="C5381" s="71" t="s">
        <v>16838</v>
      </c>
    </row>
    <row r="5382">
      <c r="A5382" s="234" t="s">
        <v>23933</v>
      </c>
      <c r="B5382" s="71" t="s">
        <v>16838</v>
      </c>
      <c r="C5382" s="71" t="s">
        <v>17202</v>
      </c>
    </row>
    <row r="5383">
      <c r="A5383" s="130" t="s">
        <v>23935</v>
      </c>
      <c r="B5383" s="71" t="s">
        <v>187</v>
      </c>
      <c r="C5383" s="71" t="s">
        <v>18633</v>
      </c>
    </row>
    <row r="5384">
      <c r="A5384" s="130" t="s">
        <v>23937</v>
      </c>
      <c r="B5384" s="71" t="s">
        <v>16838</v>
      </c>
      <c r="C5384" s="71" t="s">
        <v>16867</v>
      </c>
    </row>
    <row r="5385">
      <c r="A5385" s="130" t="s">
        <v>23939</v>
      </c>
      <c r="B5385" s="71" t="s">
        <v>175</v>
      </c>
      <c r="C5385" s="71" t="s">
        <v>17757</v>
      </c>
    </row>
    <row r="5386">
      <c r="A5386" s="130" t="s">
        <v>23941</v>
      </c>
      <c r="B5386" s="71" t="s">
        <v>187</v>
      </c>
      <c r="C5386" s="71" t="s">
        <v>16846</v>
      </c>
    </row>
    <row r="5387">
      <c r="A5387" s="234" t="s">
        <v>23943</v>
      </c>
      <c r="B5387" s="71" t="s">
        <v>175</v>
      </c>
      <c r="C5387" s="71" t="s">
        <v>17218</v>
      </c>
    </row>
    <row r="5388">
      <c r="A5388" s="234" t="s">
        <v>23943</v>
      </c>
      <c r="B5388" s="71" t="s">
        <v>17218</v>
      </c>
      <c r="C5388" s="71" t="s">
        <v>175</v>
      </c>
    </row>
    <row r="5389">
      <c r="A5389" s="130" t="s">
        <v>23945</v>
      </c>
      <c r="B5389" s="71" t="s">
        <v>187</v>
      </c>
      <c r="C5389" s="71" t="s">
        <v>16846</v>
      </c>
    </row>
    <row r="5390">
      <c r="A5390" s="130" t="s">
        <v>23947</v>
      </c>
      <c r="B5390" s="71" t="s">
        <v>169</v>
      </c>
      <c r="C5390" s="71" t="s">
        <v>17738</v>
      </c>
    </row>
    <row r="5391">
      <c r="A5391" s="130" t="s">
        <v>23949</v>
      </c>
      <c r="B5391" s="71" t="s">
        <v>169</v>
      </c>
      <c r="C5391" s="71" t="s">
        <v>17509</v>
      </c>
    </row>
    <row r="5392">
      <c r="A5392" s="234" t="s">
        <v>23951</v>
      </c>
      <c r="B5392" s="71" t="s">
        <v>17111</v>
      </c>
      <c r="C5392" s="71" t="s">
        <v>17112</v>
      </c>
    </row>
    <row r="5393">
      <c r="A5393" s="234" t="s">
        <v>23951</v>
      </c>
      <c r="B5393" s="71" t="s">
        <v>17112</v>
      </c>
      <c r="C5393" s="71" t="s">
        <v>17111</v>
      </c>
    </row>
    <row r="5394">
      <c r="A5394" s="130" t="s">
        <v>23953</v>
      </c>
      <c r="B5394" s="71" t="s">
        <v>175</v>
      </c>
      <c r="C5394" s="71" t="s">
        <v>17084</v>
      </c>
    </row>
    <row r="5395">
      <c r="A5395" s="130" t="s">
        <v>23955</v>
      </c>
      <c r="B5395" s="71" t="s">
        <v>16919</v>
      </c>
      <c r="C5395" s="71" t="s">
        <v>16957</v>
      </c>
    </row>
    <row r="5396">
      <c r="A5396" s="130" t="s">
        <v>23957</v>
      </c>
      <c r="B5396" s="71" t="s">
        <v>169</v>
      </c>
      <c r="C5396" s="71" t="s">
        <v>17662</v>
      </c>
    </row>
    <row r="5397">
      <c r="A5397" s="130" t="s">
        <v>23959</v>
      </c>
      <c r="B5397" s="71" t="s">
        <v>16582</v>
      </c>
      <c r="C5397" s="71" t="s">
        <v>16817</v>
      </c>
    </row>
    <row r="5398">
      <c r="A5398" s="130" t="s">
        <v>23961</v>
      </c>
      <c r="B5398" s="71" t="s">
        <v>187</v>
      </c>
      <c r="C5398" s="71" t="s">
        <v>18005</v>
      </c>
    </row>
    <row r="5399">
      <c r="A5399" s="130" t="s">
        <v>23963</v>
      </c>
      <c r="B5399" s="71" t="s">
        <v>16582</v>
      </c>
      <c r="C5399" s="71" t="s">
        <v>16828</v>
      </c>
    </row>
    <row r="5400">
      <c r="A5400" s="234" t="s">
        <v>23965</v>
      </c>
      <c r="B5400" s="71" t="s">
        <v>175</v>
      </c>
      <c r="C5400" s="71" t="s">
        <v>17084</v>
      </c>
    </row>
    <row r="5401">
      <c r="A5401" s="234" t="s">
        <v>23965</v>
      </c>
      <c r="B5401" s="71" t="s">
        <v>17084</v>
      </c>
      <c r="C5401" s="71" t="s">
        <v>175</v>
      </c>
    </row>
    <row r="5402">
      <c r="A5402" s="234" t="s">
        <v>23967</v>
      </c>
      <c r="B5402" s="71" t="s">
        <v>17202</v>
      </c>
      <c r="C5402" s="71" t="s">
        <v>16838</v>
      </c>
    </row>
    <row r="5403">
      <c r="A5403" s="234" t="s">
        <v>23967</v>
      </c>
      <c r="B5403" s="71" t="s">
        <v>16838</v>
      </c>
      <c r="C5403" s="71" t="s">
        <v>17202</v>
      </c>
    </row>
    <row r="5404">
      <c r="A5404" s="130" t="s">
        <v>23969</v>
      </c>
      <c r="B5404" s="71" t="s">
        <v>16582</v>
      </c>
      <c r="C5404" s="71" t="s">
        <v>17342</v>
      </c>
    </row>
    <row r="5405">
      <c r="A5405" s="234" t="s">
        <v>23971</v>
      </c>
      <c r="B5405" s="71" t="s">
        <v>169</v>
      </c>
      <c r="C5405" s="71" t="s">
        <v>16899</v>
      </c>
    </row>
    <row r="5406">
      <c r="A5406" s="234" t="s">
        <v>23971</v>
      </c>
      <c r="B5406" s="71" t="s">
        <v>16899</v>
      </c>
      <c r="C5406" s="130" t="s">
        <v>169</v>
      </c>
    </row>
    <row r="5407">
      <c r="A5407" s="130" t="s">
        <v>23973</v>
      </c>
      <c r="B5407" s="71" t="s">
        <v>169</v>
      </c>
      <c r="C5407" s="71" t="s">
        <v>17662</v>
      </c>
    </row>
    <row r="5408">
      <c r="A5408" s="130" t="s">
        <v>23975</v>
      </c>
      <c r="B5408" s="71" t="s">
        <v>17112</v>
      </c>
      <c r="C5408" s="71" t="s">
        <v>17218</v>
      </c>
    </row>
    <row r="5409">
      <c r="A5409" s="234" t="s">
        <v>23977</v>
      </c>
      <c r="B5409" s="71" t="s">
        <v>17202</v>
      </c>
      <c r="C5409" s="71" t="s">
        <v>16838</v>
      </c>
    </row>
    <row r="5410">
      <c r="A5410" s="234" t="s">
        <v>23977</v>
      </c>
      <c r="B5410" s="71" t="s">
        <v>16838</v>
      </c>
      <c r="C5410" s="71" t="s">
        <v>17202</v>
      </c>
    </row>
    <row r="5411">
      <c r="A5411" s="130" t="s">
        <v>23979</v>
      </c>
      <c r="B5411" s="71" t="s">
        <v>187</v>
      </c>
      <c r="C5411" s="71" t="s">
        <v>17259</v>
      </c>
    </row>
    <row r="5412">
      <c r="A5412" s="234" t="s">
        <v>23981</v>
      </c>
      <c r="B5412" s="71" t="s">
        <v>18679</v>
      </c>
      <c r="C5412" s="71" t="s">
        <v>16838</v>
      </c>
    </row>
    <row r="5413">
      <c r="A5413" s="234" t="s">
        <v>23981</v>
      </c>
      <c r="B5413" s="71" t="s">
        <v>16838</v>
      </c>
      <c r="C5413" s="71" t="s">
        <v>18679</v>
      </c>
    </row>
    <row r="5414">
      <c r="A5414" s="234" t="s">
        <v>23983</v>
      </c>
      <c r="B5414" s="71" t="s">
        <v>19579</v>
      </c>
      <c r="C5414" s="71" t="s">
        <v>16838</v>
      </c>
    </row>
    <row r="5415">
      <c r="A5415" s="234" t="s">
        <v>23983</v>
      </c>
      <c r="B5415" s="71" t="s">
        <v>16838</v>
      </c>
      <c r="C5415" s="71" t="s">
        <v>19579</v>
      </c>
    </row>
    <row r="5416">
      <c r="A5416" s="130" t="s">
        <v>23985</v>
      </c>
      <c r="B5416" s="71" t="s">
        <v>175</v>
      </c>
      <c r="C5416" s="71" t="s">
        <v>17084</v>
      </c>
    </row>
    <row r="5417">
      <c r="A5417" s="130" t="s">
        <v>23987</v>
      </c>
      <c r="B5417" s="71" t="s">
        <v>187</v>
      </c>
      <c r="C5417" s="71" t="s">
        <v>16846</v>
      </c>
    </row>
    <row r="5418">
      <c r="A5418" s="130" t="s">
        <v>23989</v>
      </c>
      <c r="B5418" s="71" t="s">
        <v>187</v>
      </c>
      <c r="C5418" s="71" t="s">
        <v>16846</v>
      </c>
    </row>
    <row r="5419">
      <c r="A5419" s="130" t="s">
        <v>23991</v>
      </c>
      <c r="B5419" s="71" t="s">
        <v>169</v>
      </c>
      <c r="C5419" s="71" t="s">
        <v>17022</v>
      </c>
    </row>
    <row r="5420">
      <c r="A5420" s="130" t="s">
        <v>23993</v>
      </c>
      <c r="B5420" s="71" t="s">
        <v>187</v>
      </c>
      <c r="C5420" s="71" t="s">
        <v>17122</v>
      </c>
    </row>
    <row r="5421">
      <c r="A5421" s="234" t="s">
        <v>23995</v>
      </c>
      <c r="B5421" s="71" t="s">
        <v>18679</v>
      </c>
      <c r="C5421" s="71" t="s">
        <v>16838</v>
      </c>
    </row>
    <row r="5422">
      <c r="A5422" s="234" t="s">
        <v>23995</v>
      </c>
      <c r="B5422" s="71" t="s">
        <v>16838</v>
      </c>
      <c r="C5422" s="71" t="s">
        <v>18679</v>
      </c>
    </row>
    <row r="5423">
      <c r="A5423" s="234" t="s">
        <v>23997</v>
      </c>
      <c r="B5423" s="71" t="s">
        <v>17057</v>
      </c>
      <c r="C5423" s="71" t="s">
        <v>169</v>
      </c>
    </row>
    <row r="5424">
      <c r="A5424" s="234" t="s">
        <v>23997</v>
      </c>
      <c r="B5424" s="71" t="s">
        <v>169</v>
      </c>
      <c r="C5424" s="71" t="s">
        <v>17057</v>
      </c>
    </row>
    <row r="5425">
      <c r="A5425" s="234" t="s">
        <v>23999</v>
      </c>
      <c r="B5425" s="71" t="s">
        <v>16582</v>
      </c>
      <c r="C5425" s="71" t="s">
        <v>16930</v>
      </c>
    </row>
    <row r="5426">
      <c r="A5426" s="234" t="s">
        <v>23999</v>
      </c>
      <c r="B5426" s="71" t="s">
        <v>16930</v>
      </c>
      <c r="C5426" s="71" t="s">
        <v>16582</v>
      </c>
    </row>
    <row r="5427">
      <c r="A5427" s="130" t="s">
        <v>24001</v>
      </c>
      <c r="B5427" s="71" t="s">
        <v>16838</v>
      </c>
      <c r="C5427" s="71" t="s">
        <v>17016</v>
      </c>
    </row>
    <row r="5428">
      <c r="A5428" s="234" t="s">
        <v>24003</v>
      </c>
      <c r="B5428" s="71" t="s">
        <v>175</v>
      </c>
      <c r="C5428" s="71" t="s">
        <v>16854</v>
      </c>
    </row>
    <row r="5429">
      <c r="A5429" s="234" t="s">
        <v>24003</v>
      </c>
      <c r="B5429" s="71" t="s">
        <v>16854</v>
      </c>
      <c r="C5429" s="71" t="s">
        <v>175</v>
      </c>
    </row>
    <row r="5430">
      <c r="A5430" s="130" t="s">
        <v>24005</v>
      </c>
      <c r="B5430" s="71" t="s">
        <v>16838</v>
      </c>
      <c r="C5430" s="71" t="s">
        <v>16867</v>
      </c>
    </row>
    <row r="5431">
      <c r="A5431" s="130" t="s">
        <v>24007</v>
      </c>
      <c r="B5431" s="71" t="s">
        <v>16838</v>
      </c>
      <c r="C5431" s="71" t="s">
        <v>16867</v>
      </c>
    </row>
    <row r="5432">
      <c r="A5432" s="130" t="s">
        <v>24009</v>
      </c>
      <c r="B5432" s="71" t="s">
        <v>169</v>
      </c>
      <c r="C5432" s="71" t="s">
        <v>16945</v>
      </c>
    </row>
    <row r="5433">
      <c r="A5433" s="234" t="s">
        <v>24011</v>
      </c>
      <c r="B5433" s="71" t="s">
        <v>19579</v>
      </c>
      <c r="C5433" s="71" t="s">
        <v>16838</v>
      </c>
    </row>
    <row r="5434">
      <c r="A5434" s="234" t="s">
        <v>24011</v>
      </c>
      <c r="B5434" s="71" t="s">
        <v>16838</v>
      </c>
      <c r="C5434" s="71" t="s">
        <v>19579</v>
      </c>
    </row>
    <row r="5435">
      <c r="A5435" s="130" t="s">
        <v>24013</v>
      </c>
      <c r="B5435" s="71" t="s">
        <v>16582</v>
      </c>
      <c r="C5435" s="71" t="s">
        <v>16828</v>
      </c>
    </row>
    <row r="5436">
      <c r="A5436" s="130" t="s">
        <v>24015</v>
      </c>
      <c r="B5436" s="71" t="s">
        <v>16838</v>
      </c>
      <c r="C5436" s="71" t="s">
        <v>16867</v>
      </c>
    </row>
    <row r="5437">
      <c r="A5437" s="234" t="s">
        <v>24017</v>
      </c>
      <c r="B5437" s="71" t="s">
        <v>16582</v>
      </c>
      <c r="C5437" s="71" t="s">
        <v>16930</v>
      </c>
    </row>
    <row r="5438">
      <c r="A5438" s="234" t="s">
        <v>24017</v>
      </c>
      <c r="B5438" s="71" t="s">
        <v>16930</v>
      </c>
      <c r="C5438" s="71" t="s">
        <v>16582</v>
      </c>
    </row>
    <row r="5439">
      <c r="A5439" s="234" t="s">
        <v>24019</v>
      </c>
      <c r="B5439" s="71" t="s">
        <v>175</v>
      </c>
      <c r="C5439" s="71" t="s">
        <v>17350</v>
      </c>
    </row>
    <row r="5440">
      <c r="A5440" s="234" t="s">
        <v>24019</v>
      </c>
      <c r="B5440" s="71" t="s">
        <v>17350</v>
      </c>
      <c r="C5440" s="71" t="s">
        <v>175</v>
      </c>
    </row>
    <row r="5441">
      <c r="A5441" s="130" t="s">
        <v>24021</v>
      </c>
      <c r="B5441" s="71" t="s">
        <v>169</v>
      </c>
      <c r="C5441" s="71" t="s">
        <v>17662</v>
      </c>
    </row>
    <row r="5442">
      <c r="A5442" s="234" t="s">
        <v>24023</v>
      </c>
      <c r="B5442" s="71" t="s">
        <v>16838</v>
      </c>
      <c r="C5442" s="71" t="s">
        <v>18219</v>
      </c>
    </row>
    <row r="5443">
      <c r="A5443" s="234" t="s">
        <v>24023</v>
      </c>
      <c r="B5443" s="71" t="s">
        <v>18219</v>
      </c>
      <c r="C5443" s="71" t="s">
        <v>16838</v>
      </c>
    </row>
    <row r="5444">
      <c r="A5444" s="130" t="s">
        <v>24025</v>
      </c>
      <c r="B5444" s="71" t="s">
        <v>16910</v>
      </c>
      <c r="C5444" s="71" t="s">
        <v>17119</v>
      </c>
    </row>
    <row r="5445">
      <c r="A5445" s="234" t="s">
        <v>24027</v>
      </c>
      <c r="B5445" s="71" t="s">
        <v>17111</v>
      </c>
      <c r="C5445" s="71" t="s">
        <v>17112</v>
      </c>
    </row>
    <row r="5446">
      <c r="A5446" s="234" t="s">
        <v>24027</v>
      </c>
      <c r="B5446" s="71" t="s">
        <v>17112</v>
      </c>
      <c r="C5446" s="71" t="s">
        <v>17111</v>
      </c>
    </row>
    <row r="5447">
      <c r="A5447" s="130" t="s">
        <v>24029</v>
      </c>
      <c r="B5447" s="71" t="s">
        <v>187</v>
      </c>
      <c r="C5447" s="71" t="s">
        <v>16846</v>
      </c>
    </row>
    <row r="5448">
      <c r="A5448" s="130" t="s">
        <v>24031</v>
      </c>
      <c r="B5448" s="71" t="s">
        <v>16838</v>
      </c>
      <c r="C5448" s="71" t="s">
        <v>17104</v>
      </c>
    </row>
    <row r="5449">
      <c r="A5449" s="130" t="s">
        <v>24033</v>
      </c>
      <c r="B5449" s="71" t="s">
        <v>175</v>
      </c>
      <c r="C5449" s="71" t="s">
        <v>17233</v>
      </c>
    </row>
    <row r="5450">
      <c r="A5450" s="234" t="s">
        <v>24035</v>
      </c>
      <c r="B5450" s="71" t="s">
        <v>17202</v>
      </c>
      <c r="C5450" s="71" t="s">
        <v>16838</v>
      </c>
    </row>
    <row r="5451">
      <c r="A5451" s="234" t="s">
        <v>24035</v>
      </c>
      <c r="B5451" s="71" t="s">
        <v>16838</v>
      </c>
      <c r="C5451" s="71" t="s">
        <v>17202</v>
      </c>
    </row>
    <row r="5452">
      <c r="A5452" s="130" t="s">
        <v>24037</v>
      </c>
      <c r="B5452" s="71" t="s">
        <v>16838</v>
      </c>
      <c r="C5452" s="71" t="s">
        <v>16837</v>
      </c>
    </row>
    <row r="5453">
      <c r="A5453" s="130" t="s">
        <v>24039</v>
      </c>
      <c r="B5453" s="71" t="s">
        <v>187</v>
      </c>
      <c r="C5453" s="71" t="s">
        <v>23634</v>
      </c>
    </row>
    <row r="5454">
      <c r="A5454" s="234" t="s">
        <v>24041</v>
      </c>
      <c r="B5454" s="71" t="s">
        <v>16885</v>
      </c>
      <c r="C5454" s="71" t="s">
        <v>17726</v>
      </c>
    </row>
    <row r="5455">
      <c r="A5455" s="234" t="s">
        <v>24041</v>
      </c>
      <c r="B5455" s="71" t="s">
        <v>17726</v>
      </c>
      <c r="C5455" s="71" t="s">
        <v>16885</v>
      </c>
    </row>
    <row r="5456">
      <c r="A5456" s="130" t="s">
        <v>24043</v>
      </c>
      <c r="B5456" s="71" t="s">
        <v>16838</v>
      </c>
      <c r="C5456" s="71" t="s">
        <v>16867</v>
      </c>
    </row>
    <row r="5457">
      <c r="A5457" s="130" t="s">
        <v>24045</v>
      </c>
      <c r="B5457" s="71" t="s">
        <v>187</v>
      </c>
      <c r="C5457" s="71" t="s">
        <v>16846</v>
      </c>
    </row>
    <row r="5458">
      <c r="A5458" s="130" t="s">
        <v>24046</v>
      </c>
      <c r="B5458" s="71" t="s">
        <v>16838</v>
      </c>
      <c r="C5458" s="71" t="s">
        <v>18219</v>
      </c>
    </row>
    <row r="5459">
      <c r="A5459" s="130" t="s">
        <v>24048</v>
      </c>
      <c r="B5459" s="71" t="s">
        <v>16582</v>
      </c>
      <c r="C5459" s="71" t="s">
        <v>16930</v>
      </c>
    </row>
    <row r="5460">
      <c r="A5460" s="130" t="s">
        <v>24050</v>
      </c>
      <c r="B5460" s="71" t="s">
        <v>16838</v>
      </c>
      <c r="C5460" s="71" t="s">
        <v>18956</v>
      </c>
    </row>
    <row r="5461">
      <c r="A5461" s="234" t="s">
        <v>24052</v>
      </c>
      <c r="B5461" s="71" t="s">
        <v>17112</v>
      </c>
      <c r="C5461" s="71" t="s">
        <v>16838</v>
      </c>
    </row>
    <row r="5462">
      <c r="A5462" s="234" t="s">
        <v>24052</v>
      </c>
      <c r="B5462" s="71" t="s">
        <v>16838</v>
      </c>
      <c r="C5462" s="71" t="s">
        <v>17112</v>
      </c>
    </row>
    <row r="5463">
      <c r="A5463" s="130" t="s">
        <v>24054</v>
      </c>
      <c r="B5463" s="71" t="s">
        <v>187</v>
      </c>
      <c r="C5463" s="71" t="s">
        <v>16846</v>
      </c>
    </row>
    <row r="5464">
      <c r="A5464" s="130" t="s">
        <v>24056</v>
      </c>
      <c r="B5464" s="71" t="s">
        <v>16838</v>
      </c>
      <c r="C5464" s="71" t="s">
        <v>16867</v>
      </c>
    </row>
    <row r="5465">
      <c r="A5465" s="130" t="s">
        <v>24058</v>
      </c>
      <c r="B5465" s="71" t="s">
        <v>187</v>
      </c>
      <c r="C5465" s="71" t="s">
        <v>16969</v>
      </c>
    </row>
    <row r="5466">
      <c r="A5466" s="130" t="s">
        <v>24060</v>
      </c>
      <c r="B5466" s="71"/>
      <c r="C5466" s="71"/>
    </row>
    <row r="5467">
      <c r="A5467" s="130" t="s">
        <v>24062</v>
      </c>
      <c r="B5467" s="71" t="s">
        <v>16838</v>
      </c>
      <c r="C5467" s="71" t="s">
        <v>16867</v>
      </c>
    </row>
    <row r="5468">
      <c r="A5468" s="130" t="s">
        <v>24064</v>
      </c>
      <c r="B5468" s="71" t="s">
        <v>175</v>
      </c>
      <c r="C5468" s="71" t="s">
        <v>16824</v>
      </c>
    </row>
    <row r="5469">
      <c r="A5469" s="234" t="s">
        <v>24066</v>
      </c>
      <c r="B5469" s="71" t="s">
        <v>16838</v>
      </c>
      <c r="C5469" s="71" t="s">
        <v>17202</v>
      </c>
    </row>
    <row r="5470">
      <c r="A5470" s="234" t="s">
        <v>24066</v>
      </c>
      <c r="B5470" s="71" t="s">
        <v>17202</v>
      </c>
      <c r="C5470" s="71" t="s">
        <v>16838</v>
      </c>
    </row>
    <row r="5471">
      <c r="A5471" s="130" t="s">
        <v>24068</v>
      </c>
      <c r="B5471" s="71" t="s">
        <v>187</v>
      </c>
      <c r="C5471" s="71" t="s">
        <v>16846</v>
      </c>
    </row>
    <row r="5472">
      <c r="A5472" s="130" t="s">
        <v>24070</v>
      </c>
      <c r="B5472" s="71" t="s">
        <v>175</v>
      </c>
      <c r="C5472" s="71" t="s">
        <v>17233</v>
      </c>
    </row>
    <row r="5473">
      <c r="A5473" s="234" t="s">
        <v>24072</v>
      </c>
      <c r="B5473" s="71" t="s">
        <v>169</v>
      </c>
      <c r="C5473" s="71" t="s">
        <v>17057</v>
      </c>
    </row>
    <row r="5474">
      <c r="A5474" s="234" t="s">
        <v>24072</v>
      </c>
      <c r="B5474" s="71" t="s">
        <v>17057</v>
      </c>
      <c r="C5474" s="130" t="s">
        <v>169</v>
      </c>
    </row>
    <row r="5475">
      <c r="A5475" s="130" t="s">
        <v>24074</v>
      </c>
      <c r="B5475" s="71" t="s">
        <v>175</v>
      </c>
      <c r="C5475" s="71" t="s">
        <v>17619</v>
      </c>
    </row>
    <row r="5476">
      <c r="A5476" s="130" t="s">
        <v>24076</v>
      </c>
      <c r="B5476" s="71" t="s">
        <v>16582</v>
      </c>
      <c r="C5476" s="71" t="s">
        <v>16930</v>
      </c>
    </row>
    <row r="5477">
      <c r="A5477" s="130" t="s">
        <v>24078</v>
      </c>
      <c r="B5477" s="71" t="s">
        <v>187</v>
      </c>
      <c r="C5477" s="71" t="s">
        <v>16846</v>
      </c>
    </row>
    <row r="5478">
      <c r="A5478" s="234" t="s">
        <v>24080</v>
      </c>
      <c r="B5478" s="71" t="s">
        <v>175</v>
      </c>
      <c r="C5478" s="71" t="s">
        <v>18310</v>
      </c>
    </row>
    <row r="5479">
      <c r="A5479" s="234" t="s">
        <v>24080</v>
      </c>
      <c r="B5479" s="71" t="s">
        <v>18310</v>
      </c>
      <c r="C5479" s="71" t="s">
        <v>175</v>
      </c>
    </row>
    <row r="5480">
      <c r="A5480" s="234" t="s">
        <v>24082</v>
      </c>
      <c r="B5480" s="71" t="s">
        <v>17127</v>
      </c>
      <c r="C5480" s="71" t="s">
        <v>16838</v>
      </c>
    </row>
    <row r="5481">
      <c r="A5481" s="234" t="s">
        <v>24082</v>
      </c>
      <c r="B5481" s="71" t="s">
        <v>16838</v>
      </c>
      <c r="C5481" s="71" t="s">
        <v>17127</v>
      </c>
    </row>
    <row r="5482">
      <c r="A5482" s="130" t="s">
        <v>24084</v>
      </c>
      <c r="B5482" s="71" t="s">
        <v>187</v>
      </c>
      <c r="C5482" s="71" t="s">
        <v>16969</v>
      </c>
    </row>
    <row r="5483">
      <c r="A5483" s="234" t="s">
        <v>24086</v>
      </c>
      <c r="B5483" s="71" t="s">
        <v>158</v>
      </c>
      <c r="C5483" s="71" t="s">
        <v>16864</v>
      </c>
    </row>
    <row r="5484">
      <c r="A5484" s="234" t="s">
        <v>24086</v>
      </c>
      <c r="B5484" s="71" t="s">
        <v>16864</v>
      </c>
      <c r="C5484" s="130" t="s">
        <v>158</v>
      </c>
    </row>
    <row r="5485">
      <c r="A5485" s="130" t="s">
        <v>24088</v>
      </c>
      <c r="B5485" s="71" t="s">
        <v>187</v>
      </c>
      <c r="C5485" s="71" t="s">
        <v>16846</v>
      </c>
    </row>
    <row r="5486">
      <c r="A5486" s="130" t="s">
        <v>24090</v>
      </c>
      <c r="B5486" s="71" t="s">
        <v>16838</v>
      </c>
      <c r="C5486" s="71" t="s">
        <v>16867</v>
      </c>
    </row>
    <row r="5487">
      <c r="A5487" s="130" t="s">
        <v>24092</v>
      </c>
      <c r="B5487" s="71" t="s">
        <v>187</v>
      </c>
      <c r="C5487" s="71" t="s">
        <v>16969</v>
      </c>
    </row>
    <row r="5488">
      <c r="A5488" s="130" t="s">
        <v>24094</v>
      </c>
      <c r="B5488" s="71" t="s">
        <v>187</v>
      </c>
      <c r="C5488" s="71" t="s">
        <v>16858</v>
      </c>
    </row>
    <row r="5489">
      <c r="A5489" s="130" t="s">
        <v>24096</v>
      </c>
      <c r="B5489" s="71" t="s">
        <v>187</v>
      </c>
      <c r="C5489" s="71" t="s">
        <v>16846</v>
      </c>
    </row>
    <row r="5490">
      <c r="A5490" s="130" t="s">
        <v>24098</v>
      </c>
      <c r="B5490" s="71" t="s">
        <v>16582</v>
      </c>
      <c r="C5490" s="71" t="s">
        <v>16817</v>
      </c>
    </row>
    <row r="5491">
      <c r="A5491" s="130" t="s">
        <v>24100</v>
      </c>
      <c r="B5491" s="71" t="s">
        <v>16582</v>
      </c>
      <c r="C5491" s="71" t="s">
        <v>16817</v>
      </c>
    </row>
    <row r="5492">
      <c r="A5492" s="234" t="s">
        <v>24102</v>
      </c>
      <c r="B5492" s="71" t="s">
        <v>16582</v>
      </c>
      <c r="C5492" s="71" t="s">
        <v>16817</v>
      </c>
    </row>
    <row r="5493">
      <c r="A5493" s="234" t="s">
        <v>24102</v>
      </c>
      <c r="B5493" s="71" t="s">
        <v>16817</v>
      </c>
      <c r="C5493" s="71" t="s">
        <v>16582</v>
      </c>
    </row>
    <row r="5494">
      <c r="A5494" s="234" t="s">
        <v>24104</v>
      </c>
      <c r="B5494" s="71" t="s">
        <v>17202</v>
      </c>
      <c r="C5494" s="71" t="s">
        <v>16838</v>
      </c>
    </row>
    <row r="5495">
      <c r="A5495" s="234" t="s">
        <v>24104</v>
      </c>
      <c r="B5495" s="71" t="s">
        <v>16838</v>
      </c>
      <c r="C5495" s="71" t="s">
        <v>17202</v>
      </c>
    </row>
    <row r="5496">
      <c r="A5496" s="234" t="s">
        <v>24106</v>
      </c>
      <c r="B5496" s="71" t="s">
        <v>16910</v>
      </c>
      <c r="C5496" s="71" t="s">
        <v>17648</v>
      </c>
    </row>
    <row r="5497">
      <c r="A5497" s="234" t="s">
        <v>24106</v>
      </c>
      <c r="B5497" s="71" t="s">
        <v>17648</v>
      </c>
      <c r="C5497" s="71" t="s">
        <v>16910</v>
      </c>
    </row>
    <row r="5498">
      <c r="A5498" s="130" t="s">
        <v>24108</v>
      </c>
      <c r="B5498" s="71" t="s">
        <v>175</v>
      </c>
      <c r="C5498" s="71" t="s">
        <v>16942</v>
      </c>
    </row>
    <row r="5499">
      <c r="A5499" s="234" t="s">
        <v>24110</v>
      </c>
      <c r="B5499" s="71" t="s">
        <v>17111</v>
      </c>
      <c r="C5499" s="71" t="s">
        <v>17112</v>
      </c>
    </row>
    <row r="5500">
      <c r="A5500" s="234" t="s">
        <v>24110</v>
      </c>
      <c r="B5500" s="71" t="s">
        <v>17112</v>
      </c>
      <c r="C5500" s="71" t="s">
        <v>17111</v>
      </c>
    </row>
    <row r="5501">
      <c r="A5501" s="130" t="s">
        <v>24112</v>
      </c>
      <c r="B5501" s="71" t="s">
        <v>16838</v>
      </c>
      <c r="C5501" s="71" t="s">
        <v>16867</v>
      </c>
    </row>
    <row r="5502">
      <c r="A5502" s="130" t="s">
        <v>24114</v>
      </c>
      <c r="B5502" s="71" t="s">
        <v>187</v>
      </c>
      <c r="C5502" s="71" t="s">
        <v>16969</v>
      </c>
    </row>
    <row r="5503">
      <c r="A5503" s="130" t="s">
        <v>24116</v>
      </c>
      <c r="B5503" s="71" t="s">
        <v>16838</v>
      </c>
      <c r="C5503" s="71" t="s">
        <v>17104</v>
      </c>
    </row>
    <row r="5504">
      <c r="A5504" s="234" t="s">
        <v>24118</v>
      </c>
      <c r="B5504" s="71" t="s">
        <v>187</v>
      </c>
      <c r="C5504" s="71" t="s">
        <v>16846</v>
      </c>
    </row>
    <row r="5505">
      <c r="A5505" s="234" t="s">
        <v>24118</v>
      </c>
      <c r="B5505" s="71" t="s">
        <v>16846</v>
      </c>
      <c r="C5505" s="71" t="s">
        <v>187</v>
      </c>
    </row>
    <row r="5506">
      <c r="A5506" s="130" t="s">
        <v>24120</v>
      </c>
      <c r="B5506" s="71" t="s">
        <v>16838</v>
      </c>
      <c r="C5506" s="71" t="s">
        <v>19579</v>
      </c>
    </row>
    <row r="5507">
      <c r="A5507" s="130" t="s">
        <v>24122</v>
      </c>
      <c r="B5507" s="71" t="s">
        <v>187</v>
      </c>
      <c r="C5507" s="71" t="s">
        <v>16846</v>
      </c>
    </row>
    <row r="5508">
      <c r="A5508" s="130" t="s">
        <v>24124</v>
      </c>
      <c r="B5508" s="71" t="s">
        <v>16838</v>
      </c>
      <c r="C5508" s="71" t="s">
        <v>19644</v>
      </c>
    </row>
    <row r="5509">
      <c r="A5509" s="234" t="s">
        <v>24126</v>
      </c>
      <c r="B5509" s="71" t="s">
        <v>16867</v>
      </c>
      <c r="C5509" s="71" t="s">
        <v>16838</v>
      </c>
    </row>
    <row r="5510">
      <c r="A5510" s="234" t="s">
        <v>24126</v>
      </c>
      <c r="B5510" s="71" t="s">
        <v>16838</v>
      </c>
      <c r="C5510" s="71" t="s">
        <v>16867</v>
      </c>
    </row>
    <row r="5511">
      <c r="A5511" s="130" t="s">
        <v>24128</v>
      </c>
      <c r="B5511" s="71" t="s">
        <v>16838</v>
      </c>
      <c r="C5511" s="71" t="s">
        <v>16867</v>
      </c>
    </row>
    <row r="5512">
      <c r="A5512" s="130" t="s">
        <v>24130</v>
      </c>
      <c r="B5512" s="71" t="s">
        <v>17112</v>
      </c>
      <c r="C5512" s="71" t="s">
        <v>17111</v>
      </c>
    </row>
    <row r="5513">
      <c r="A5513" s="130" t="s">
        <v>24132</v>
      </c>
      <c r="B5513" s="71" t="s">
        <v>187</v>
      </c>
      <c r="C5513" s="71" t="s">
        <v>16858</v>
      </c>
    </row>
    <row r="5514">
      <c r="A5514" s="130" t="s">
        <v>24134</v>
      </c>
      <c r="B5514" s="71" t="s">
        <v>16838</v>
      </c>
      <c r="C5514" s="71" t="s">
        <v>16867</v>
      </c>
    </row>
    <row r="5515">
      <c r="A5515" s="234" t="s">
        <v>24136</v>
      </c>
      <c r="B5515" s="71" t="s">
        <v>17019</v>
      </c>
      <c r="C5515" s="71" t="s">
        <v>16838</v>
      </c>
    </row>
    <row r="5516">
      <c r="A5516" s="234" t="s">
        <v>24136</v>
      </c>
      <c r="B5516" s="71" t="s">
        <v>16838</v>
      </c>
      <c r="C5516" s="71" t="s">
        <v>17019</v>
      </c>
    </row>
    <row r="5517">
      <c r="A5517" s="234" t="s">
        <v>24138</v>
      </c>
      <c r="B5517" s="71" t="s">
        <v>19579</v>
      </c>
      <c r="C5517" s="71" t="s">
        <v>16838</v>
      </c>
    </row>
    <row r="5518">
      <c r="A5518" s="234" t="s">
        <v>24138</v>
      </c>
      <c r="B5518" s="71" t="s">
        <v>16838</v>
      </c>
      <c r="C5518" s="71" t="s">
        <v>19579</v>
      </c>
    </row>
    <row r="5519">
      <c r="A5519" s="130" t="s">
        <v>24140</v>
      </c>
      <c r="B5519" s="71" t="s">
        <v>187</v>
      </c>
      <c r="C5519" s="71" t="s">
        <v>16846</v>
      </c>
    </row>
    <row r="5520">
      <c r="A5520" s="130" t="s">
        <v>24142</v>
      </c>
      <c r="B5520" s="71" t="s">
        <v>187</v>
      </c>
      <c r="C5520" s="71" t="s">
        <v>16846</v>
      </c>
    </row>
    <row r="5521">
      <c r="A5521" s="234" t="s">
        <v>24144</v>
      </c>
      <c r="B5521" s="71" t="s">
        <v>19644</v>
      </c>
      <c r="C5521" s="71" t="s">
        <v>16838</v>
      </c>
    </row>
    <row r="5522">
      <c r="A5522" s="234" t="s">
        <v>24144</v>
      </c>
      <c r="B5522" s="71" t="s">
        <v>16838</v>
      </c>
      <c r="C5522" s="71" t="s">
        <v>19644</v>
      </c>
    </row>
    <row r="5523">
      <c r="A5523" s="130" t="s">
        <v>24146</v>
      </c>
      <c r="B5523" s="71" t="s">
        <v>187</v>
      </c>
      <c r="C5523" s="71" t="s">
        <v>16846</v>
      </c>
    </row>
    <row r="5524">
      <c r="A5524" s="130" t="s">
        <v>24148</v>
      </c>
      <c r="B5524" s="71" t="s">
        <v>175</v>
      </c>
      <c r="C5524" s="71" t="s">
        <v>17509</v>
      </c>
    </row>
    <row r="5525">
      <c r="A5525" s="234" t="s">
        <v>24150</v>
      </c>
      <c r="B5525" s="71" t="s">
        <v>175</v>
      </c>
      <c r="C5525" s="71" t="s">
        <v>18268</v>
      </c>
    </row>
    <row r="5526">
      <c r="A5526" s="234" t="s">
        <v>24150</v>
      </c>
      <c r="B5526" s="71" t="s">
        <v>18268</v>
      </c>
      <c r="C5526" s="71" t="s">
        <v>175</v>
      </c>
    </row>
    <row r="5527">
      <c r="A5527" s="130" t="s">
        <v>24152</v>
      </c>
      <c r="B5527" s="71" t="s">
        <v>187</v>
      </c>
      <c r="C5527" s="71" t="s">
        <v>17122</v>
      </c>
    </row>
    <row r="5528">
      <c r="A5528" s="130" t="s">
        <v>24154</v>
      </c>
      <c r="B5528" s="71" t="s">
        <v>16838</v>
      </c>
      <c r="C5528" s="71" t="s">
        <v>17019</v>
      </c>
    </row>
    <row r="5529">
      <c r="A5529" s="234" t="s">
        <v>24156</v>
      </c>
      <c r="B5529" s="71" t="s">
        <v>17629</v>
      </c>
      <c r="C5529" s="71" t="s">
        <v>16899</v>
      </c>
    </row>
    <row r="5530">
      <c r="A5530" s="234" t="s">
        <v>24156</v>
      </c>
      <c r="B5530" s="71" t="s">
        <v>16899</v>
      </c>
      <c r="C5530" s="71" t="s">
        <v>17629</v>
      </c>
    </row>
    <row r="5531">
      <c r="A5531" s="130" t="s">
        <v>24158</v>
      </c>
      <c r="B5531" s="71" t="s">
        <v>169</v>
      </c>
      <c r="C5531" s="71" t="s">
        <v>16899</v>
      </c>
    </row>
    <row r="5532">
      <c r="A5532" s="234" t="s">
        <v>24160</v>
      </c>
      <c r="B5532" s="71" t="s">
        <v>16582</v>
      </c>
      <c r="C5532" s="71" t="s">
        <v>16930</v>
      </c>
    </row>
    <row r="5533">
      <c r="A5533" s="234" t="s">
        <v>24160</v>
      </c>
      <c r="B5533" s="71" t="s">
        <v>16930</v>
      </c>
      <c r="C5533" s="71" t="s">
        <v>16582</v>
      </c>
    </row>
    <row r="5534">
      <c r="A5534" s="130" t="s">
        <v>24162</v>
      </c>
      <c r="B5534" s="71" t="s">
        <v>16582</v>
      </c>
      <c r="C5534" s="71" t="s">
        <v>16583</v>
      </c>
    </row>
    <row r="5535">
      <c r="A5535" s="130" t="s">
        <v>24164</v>
      </c>
      <c r="B5535" s="71" t="s">
        <v>16582</v>
      </c>
      <c r="C5535" s="71" t="s">
        <v>16583</v>
      </c>
    </row>
    <row r="5536">
      <c r="A5536" s="234" t="s">
        <v>24166</v>
      </c>
      <c r="B5536" s="71" t="s">
        <v>175</v>
      </c>
      <c r="C5536" s="71" t="s">
        <v>16824</v>
      </c>
    </row>
    <row r="5537">
      <c r="A5537" s="234" t="s">
        <v>24166</v>
      </c>
      <c r="B5537" s="71" t="s">
        <v>16824</v>
      </c>
      <c r="C5537" s="71" t="s">
        <v>175</v>
      </c>
    </row>
    <row r="5538">
      <c r="A5538" s="130" t="s">
        <v>24168</v>
      </c>
      <c r="B5538" s="71" t="s">
        <v>175</v>
      </c>
      <c r="C5538" s="71" t="s">
        <v>17391</v>
      </c>
    </row>
    <row r="5539">
      <c r="A5539" s="234" t="s">
        <v>24170</v>
      </c>
      <c r="B5539" s="71"/>
      <c r="C5539" s="71"/>
    </row>
    <row r="5540">
      <c r="A5540" s="234" t="s">
        <v>24170</v>
      </c>
      <c r="B5540" s="71"/>
      <c r="C5540" s="71"/>
    </row>
    <row r="5541">
      <c r="A5541" s="130" t="s">
        <v>24172</v>
      </c>
      <c r="B5541" s="71" t="s">
        <v>16582</v>
      </c>
      <c r="C5541" s="71" t="s">
        <v>16828</v>
      </c>
    </row>
    <row r="5542">
      <c r="A5542" s="130" t="s">
        <v>24174</v>
      </c>
      <c r="B5542" s="71" t="s">
        <v>16582</v>
      </c>
      <c r="C5542" s="71" t="s">
        <v>16817</v>
      </c>
    </row>
    <row r="5543">
      <c r="A5543" s="130" t="s">
        <v>24176</v>
      </c>
      <c r="B5543" s="71"/>
      <c r="C5543" s="71"/>
    </row>
    <row r="5544">
      <c r="A5544" s="130" t="s">
        <v>24178</v>
      </c>
      <c r="B5544" s="71" t="s">
        <v>175</v>
      </c>
      <c r="C5544" s="71" t="s">
        <v>16942</v>
      </c>
    </row>
    <row r="5545">
      <c r="A5545" s="130" t="s">
        <v>24180</v>
      </c>
      <c r="B5545" s="71" t="s">
        <v>175</v>
      </c>
      <c r="C5545" s="71" t="s">
        <v>16842</v>
      </c>
    </row>
    <row r="5546">
      <c r="A5546" s="234" t="s">
        <v>24182</v>
      </c>
      <c r="B5546" s="71" t="s">
        <v>16582</v>
      </c>
      <c r="C5546" s="71" t="s">
        <v>16930</v>
      </c>
    </row>
    <row r="5547">
      <c r="A5547" s="234" t="s">
        <v>24182</v>
      </c>
      <c r="B5547" s="71" t="s">
        <v>16930</v>
      </c>
      <c r="C5547" s="71" t="s">
        <v>16582</v>
      </c>
    </row>
    <row r="5548">
      <c r="A5548" s="234" t="s">
        <v>24184</v>
      </c>
      <c r="B5548" s="71" t="s">
        <v>175</v>
      </c>
      <c r="C5548" s="71" t="s">
        <v>18063</v>
      </c>
    </row>
    <row r="5549">
      <c r="A5549" s="234" t="s">
        <v>24184</v>
      </c>
      <c r="B5549" s="71" t="s">
        <v>18063</v>
      </c>
      <c r="C5549" s="130" t="s">
        <v>175</v>
      </c>
    </row>
    <row r="5550">
      <c r="A5550" s="130" t="s">
        <v>24186</v>
      </c>
      <c r="B5550" s="71" t="s">
        <v>175</v>
      </c>
      <c r="C5550" s="71" t="s">
        <v>16942</v>
      </c>
    </row>
    <row r="5551">
      <c r="A5551" s="130" t="s">
        <v>24188</v>
      </c>
      <c r="B5551" s="71" t="s">
        <v>16582</v>
      </c>
      <c r="C5551" s="71" t="s">
        <v>16930</v>
      </c>
    </row>
    <row r="5552">
      <c r="A5552" s="130" t="s">
        <v>24190</v>
      </c>
      <c r="B5552" s="71" t="s">
        <v>16838</v>
      </c>
      <c r="C5552" s="71" t="s">
        <v>19579</v>
      </c>
    </row>
    <row r="5553">
      <c r="A5553" s="130" t="s">
        <v>24192</v>
      </c>
      <c r="B5553" s="71" t="s">
        <v>187</v>
      </c>
      <c r="C5553" s="71" t="s">
        <v>16858</v>
      </c>
    </row>
    <row r="5554">
      <c r="A5554" s="234" t="s">
        <v>24194</v>
      </c>
      <c r="B5554" s="71" t="s">
        <v>17202</v>
      </c>
      <c r="C5554" s="71" t="s">
        <v>16838</v>
      </c>
    </row>
    <row r="5555">
      <c r="A5555" s="234" t="s">
        <v>24194</v>
      </c>
      <c r="B5555" s="71" t="s">
        <v>16838</v>
      </c>
      <c r="C5555" s="71" t="s">
        <v>17202</v>
      </c>
    </row>
    <row r="5556">
      <c r="A5556" s="130" t="s">
        <v>24196</v>
      </c>
      <c r="B5556" s="71" t="s">
        <v>16838</v>
      </c>
      <c r="C5556" s="71" t="s">
        <v>16867</v>
      </c>
    </row>
    <row r="5557">
      <c r="A5557" s="130" t="s">
        <v>24198</v>
      </c>
      <c r="B5557" s="71" t="s">
        <v>175</v>
      </c>
      <c r="C5557" s="71" t="s">
        <v>19006</v>
      </c>
    </row>
    <row r="5558">
      <c r="A5558" s="130" t="s">
        <v>24200</v>
      </c>
      <c r="B5558" s="71" t="s">
        <v>16582</v>
      </c>
      <c r="C5558" s="71" t="s">
        <v>16930</v>
      </c>
    </row>
    <row r="5559">
      <c r="A5559" s="130" t="s">
        <v>24202</v>
      </c>
      <c r="B5559" s="71" t="s">
        <v>16838</v>
      </c>
      <c r="C5559" s="71" t="s">
        <v>16867</v>
      </c>
    </row>
    <row r="5560">
      <c r="A5560" s="130" t="s">
        <v>24204</v>
      </c>
      <c r="B5560" s="71" t="s">
        <v>16582</v>
      </c>
      <c r="C5560" s="71" t="s">
        <v>16828</v>
      </c>
    </row>
    <row r="5561">
      <c r="A5561" s="234" t="s">
        <v>24206</v>
      </c>
      <c r="B5561" s="71" t="s">
        <v>19644</v>
      </c>
      <c r="C5561" s="71" t="s">
        <v>16838</v>
      </c>
    </row>
    <row r="5562">
      <c r="A5562" s="234" t="s">
        <v>24206</v>
      </c>
      <c r="B5562" s="71" t="s">
        <v>16838</v>
      </c>
      <c r="C5562" s="71" t="s">
        <v>19644</v>
      </c>
    </row>
    <row r="5563">
      <c r="A5563" s="234" t="s">
        <v>24208</v>
      </c>
      <c r="B5563" s="71" t="s">
        <v>17111</v>
      </c>
      <c r="C5563" s="71" t="s">
        <v>17112</v>
      </c>
    </row>
    <row r="5564">
      <c r="A5564" s="234" t="s">
        <v>24208</v>
      </c>
      <c r="B5564" s="71" t="s">
        <v>17112</v>
      </c>
      <c r="C5564" s="71" t="s">
        <v>17111</v>
      </c>
    </row>
    <row r="5565">
      <c r="A5565" s="130" t="s">
        <v>24210</v>
      </c>
      <c r="B5565" s="71" t="s">
        <v>175</v>
      </c>
      <c r="C5565" s="71" t="s">
        <v>17084</v>
      </c>
    </row>
    <row r="5566">
      <c r="A5566" s="130" t="s">
        <v>24212</v>
      </c>
      <c r="B5566" s="71" t="s">
        <v>16838</v>
      </c>
      <c r="C5566" s="71" t="s">
        <v>17016</v>
      </c>
    </row>
    <row r="5567">
      <c r="A5567" s="130" t="s">
        <v>24214</v>
      </c>
      <c r="B5567" s="71"/>
      <c r="C5567" s="71"/>
    </row>
    <row r="5568">
      <c r="A5568" s="234" t="s">
        <v>24216</v>
      </c>
      <c r="B5568" s="71" t="s">
        <v>20534</v>
      </c>
      <c r="C5568" s="71" t="s">
        <v>169</v>
      </c>
    </row>
    <row r="5569">
      <c r="A5569" s="234" t="s">
        <v>24216</v>
      </c>
      <c r="B5569" s="71" t="s">
        <v>169</v>
      </c>
      <c r="C5569" s="71" t="s">
        <v>20534</v>
      </c>
    </row>
    <row r="5570">
      <c r="A5570" s="130" t="s">
        <v>24218</v>
      </c>
      <c r="B5570" s="71" t="s">
        <v>187</v>
      </c>
      <c r="C5570" s="71" t="s">
        <v>16969</v>
      </c>
    </row>
    <row r="5571">
      <c r="A5571" s="130" t="s">
        <v>24220</v>
      </c>
      <c r="B5571" s="71" t="s">
        <v>175</v>
      </c>
      <c r="C5571" s="71" t="s">
        <v>16942</v>
      </c>
    </row>
    <row r="5572">
      <c r="A5572" s="130" t="s">
        <v>24222</v>
      </c>
      <c r="B5572" s="71" t="s">
        <v>16582</v>
      </c>
      <c r="C5572" s="71" t="s">
        <v>16583</v>
      </c>
    </row>
    <row r="5573">
      <c r="A5573" s="130" t="s">
        <v>24224</v>
      </c>
      <c r="B5573" s="71" t="s">
        <v>16838</v>
      </c>
      <c r="C5573" s="71" t="s">
        <v>17016</v>
      </c>
    </row>
    <row r="5574">
      <c r="A5574" s="130" t="s">
        <v>24226</v>
      </c>
      <c r="B5574" s="71" t="s">
        <v>175</v>
      </c>
      <c r="C5574" s="71" t="s">
        <v>17069</v>
      </c>
    </row>
    <row r="5575">
      <c r="A5575" s="234" t="s">
        <v>24228</v>
      </c>
      <c r="B5575" s="71" t="s">
        <v>16582</v>
      </c>
      <c r="C5575" s="71" t="s">
        <v>16828</v>
      </c>
    </row>
    <row r="5576">
      <c r="A5576" s="234" t="s">
        <v>24228</v>
      </c>
      <c r="B5576" s="71" t="s">
        <v>16828</v>
      </c>
      <c r="C5576" s="71" t="s">
        <v>16582</v>
      </c>
    </row>
    <row r="5577">
      <c r="A5577" s="130" t="s">
        <v>24230</v>
      </c>
      <c r="B5577" s="71" t="s">
        <v>16582</v>
      </c>
      <c r="C5577" s="71" t="s">
        <v>16930</v>
      </c>
    </row>
    <row r="5578">
      <c r="A5578" s="130" t="s">
        <v>24232</v>
      </c>
      <c r="B5578" s="71" t="s">
        <v>16838</v>
      </c>
      <c r="C5578" s="71" t="s">
        <v>16867</v>
      </c>
    </row>
    <row r="5579">
      <c r="A5579" s="234" t="s">
        <v>24234</v>
      </c>
      <c r="B5579" s="71" t="s">
        <v>19579</v>
      </c>
      <c r="C5579" s="71" t="s">
        <v>16838</v>
      </c>
    </row>
    <row r="5580">
      <c r="A5580" s="234" t="s">
        <v>24234</v>
      </c>
      <c r="B5580" s="71" t="s">
        <v>16838</v>
      </c>
      <c r="C5580" s="71" t="s">
        <v>19579</v>
      </c>
    </row>
    <row r="5581">
      <c r="A5581" s="130" t="s">
        <v>24236</v>
      </c>
      <c r="B5581" s="71" t="s">
        <v>187</v>
      </c>
      <c r="C5581" s="71" t="s">
        <v>16846</v>
      </c>
    </row>
    <row r="5582">
      <c r="A5582" s="130" t="s">
        <v>24238</v>
      </c>
      <c r="B5582" s="71" t="s">
        <v>16838</v>
      </c>
      <c r="C5582" s="71" t="s">
        <v>17202</v>
      </c>
    </row>
    <row r="5583">
      <c r="A5583" s="130" t="s">
        <v>24240</v>
      </c>
      <c r="B5583" s="71" t="s">
        <v>16838</v>
      </c>
      <c r="C5583" s="71" t="s">
        <v>17112</v>
      </c>
    </row>
    <row r="5584">
      <c r="A5584" s="130" t="s">
        <v>24242</v>
      </c>
      <c r="B5584" s="71" t="s">
        <v>16838</v>
      </c>
      <c r="C5584" s="71" t="s">
        <v>17016</v>
      </c>
    </row>
    <row r="5585">
      <c r="A5585" s="234" t="s">
        <v>24244</v>
      </c>
      <c r="B5585" s="71" t="s">
        <v>169</v>
      </c>
      <c r="C5585" s="71" t="s">
        <v>17738</v>
      </c>
    </row>
    <row r="5586">
      <c r="A5586" s="234" t="s">
        <v>24244</v>
      </c>
      <c r="B5586" s="71" t="s">
        <v>17738</v>
      </c>
      <c r="C5586" s="71" t="s">
        <v>169</v>
      </c>
    </row>
    <row r="5587">
      <c r="A5587" s="130" t="s">
        <v>24246</v>
      </c>
      <c r="B5587" s="71" t="s">
        <v>169</v>
      </c>
      <c r="C5587" s="71" t="s">
        <v>17532</v>
      </c>
    </row>
    <row r="5588">
      <c r="A5588" s="130" t="s">
        <v>24248</v>
      </c>
      <c r="B5588" s="71" t="s">
        <v>187</v>
      </c>
      <c r="C5588" s="71" t="s">
        <v>16846</v>
      </c>
    </row>
    <row r="5589">
      <c r="A5589" s="130" t="s">
        <v>24250</v>
      </c>
      <c r="B5589" s="71" t="s">
        <v>16838</v>
      </c>
      <c r="C5589" s="71" t="s">
        <v>16867</v>
      </c>
    </row>
    <row r="5590">
      <c r="A5590" s="234" t="s">
        <v>24252</v>
      </c>
      <c r="B5590" s="71" t="s">
        <v>158</v>
      </c>
      <c r="C5590" s="71" t="s">
        <v>20100</v>
      </c>
    </row>
    <row r="5591">
      <c r="A5591" s="234" t="s">
        <v>24252</v>
      </c>
      <c r="B5591" s="71" t="s">
        <v>20100</v>
      </c>
      <c r="C5591" s="71" t="s">
        <v>158</v>
      </c>
    </row>
    <row r="5592">
      <c r="A5592" s="130" t="s">
        <v>24254</v>
      </c>
      <c r="B5592" s="71" t="s">
        <v>187</v>
      </c>
      <c r="C5592" s="71" t="s">
        <v>18633</v>
      </c>
    </row>
    <row r="5593">
      <c r="A5593" s="130" t="s">
        <v>24256</v>
      </c>
      <c r="B5593" s="71" t="s">
        <v>16582</v>
      </c>
      <c r="C5593" s="71" t="s">
        <v>16930</v>
      </c>
    </row>
    <row r="5594">
      <c r="A5594" s="130" t="s">
        <v>24258</v>
      </c>
      <c r="B5594" s="71" t="s">
        <v>175</v>
      </c>
      <c r="C5594" s="71" t="s">
        <v>17233</v>
      </c>
    </row>
    <row r="5595">
      <c r="A5595" s="130" t="s">
        <v>24260</v>
      </c>
      <c r="B5595" s="71" t="s">
        <v>187</v>
      </c>
      <c r="C5595" s="71" t="s">
        <v>18633</v>
      </c>
    </row>
    <row r="5596">
      <c r="A5596" s="130" t="s">
        <v>24262</v>
      </c>
      <c r="B5596" s="71" t="s">
        <v>169</v>
      </c>
      <c r="C5596" s="71" t="s">
        <v>16945</v>
      </c>
    </row>
    <row r="5597">
      <c r="A5597" s="130" t="s">
        <v>24264</v>
      </c>
      <c r="B5597" s="71" t="s">
        <v>16838</v>
      </c>
      <c r="C5597" s="71" t="s">
        <v>17127</v>
      </c>
    </row>
    <row r="5598">
      <c r="A5598" s="130" t="s">
        <v>24266</v>
      </c>
      <c r="B5598" s="71" t="s">
        <v>175</v>
      </c>
      <c r="C5598" s="71" t="s">
        <v>16854</v>
      </c>
    </row>
    <row r="5599">
      <c r="A5599" s="130" t="s">
        <v>24268</v>
      </c>
      <c r="B5599" s="71" t="s">
        <v>16582</v>
      </c>
      <c r="C5599" s="71" t="s">
        <v>16817</v>
      </c>
    </row>
    <row r="5600">
      <c r="A5600" s="234" t="s">
        <v>24270</v>
      </c>
      <c r="B5600" s="71" t="s">
        <v>17111</v>
      </c>
      <c r="C5600" s="71" t="s">
        <v>17112</v>
      </c>
    </row>
    <row r="5601">
      <c r="A5601" s="234" t="s">
        <v>24270</v>
      </c>
      <c r="B5601" s="71" t="s">
        <v>17112</v>
      </c>
      <c r="C5601" s="71" t="s">
        <v>17111</v>
      </c>
    </row>
    <row r="5602">
      <c r="A5602" s="130" t="s">
        <v>24272</v>
      </c>
      <c r="B5602" s="71" t="s">
        <v>16919</v>
      </c>
      <c r="C5602" s="71" t="s">
        <v>17794</v>
      </c>
    </row>
    <row r="5603">
      <c r="A5603" s="130" t="s">
        <v>24274</v>
      </c>
      <c r="B5603" s="71" t="s">
        <v>175</v>
      </c>
      <c r="C5603" s="71" t="s">
        <v>17057</v>
      </c>
    </row>
    <row r="5604">
      <c r="A5604" s="130" t="s">
        <v>24276</v>
      </c>
      <c r="B5604" s="71" t="s">
        <v>175</v>
      </c>
      <c r="C5604" s="71" t="s">
        <v>17480</v>
      </c>
    </row>
    <row r="5605">
      <c r="A5605" s="234" t="s">
        <v>24278</v>
      </c>
      <c r="B5605" s="71" t="s">
        <v>169</v>
      </c>
      <c r="C5605" s="71" t="s">
        <v>16899</v>
      </c>
    </row>
    <row r="5606">
      <c r="A5606" s="234" t="s">
        <v>24278</v>
      </c>
      <c r="B5606" s="71" t="s">
        <v>16899</v>
      </c>
      <c r="C5606" s="130" t="s">
        <v>169</v>
      </c>
    </row>
    <row r="5607">
      <c r="A5607" s="130" t="s">
        <v>24280</v>
      </c>
      <c r="B5607" s="71" t="s">
        <v>16910</v>
      </c>
      <c r="C5607" s="71" t="s">
        <v>17662</v>
      </c>
    </row>
    <row r="5608">
      <c r="A5608" s="130" t="s">
        <v>24283</v>
      </c>
      <c r="B5608" s="71" t="s">
        <v>16838</v>
      </c>
      <c r="C5608" s="71" t="s">
        <v>18219</v>
      </c>
    </row>
    <row r="5609">
      <c r="A5609" s="130" t="s">
        <v>24285</v>
      </c>
      <c r="B5609" s="71" t="s">
        <v>16838</v>
      </c>
      <c r="C5609" s="71" t="s">
        <v>16867</v>
      </c>
    </row>
    <row r="5610">
      <c r="A5610" s="130" t="s">
        <v>24287</v>
      </c>
      <c r="B5610" s="71" t="s">
        <v>169</v>
      </c>
      <c r="C5610" s="71" t="s">
        <v>18098</v>
      </c>
    </row>
    <row r="5611">
      <c r="A5611" s="234" t="s">
        <v>24289</v>
      </c>
      <c r="B5611" s="71" t="s">
        <v>175</v>
      </c>
      <c r="C5611" s="71" t="s">
        <v>20534</v>
      </c>
    </row>
    <row r="5612">
      <c r="A5612" s="234" t="s">
        <v>24289</v>
      </c>
      <c r="B5612" s="71" t="s">
        <v>20534</v>
      </c>
      <c r="C5612" s="71" t="s">
        <v>175</v>
      </c>
    </row>
    <row r="5613">
      <c r="A5613" s="130" t="s">
        <v>24291</v>
      </c>
      <c r="B5613" s="71" t="s">
        <v>175</v>
      </c>
      <c r="C5613" s="71" t="s">
        <v>19006</v>
      </c>
    </row>
    <row r="5614">
      <c r="A5614" s="130" t="s">
        <v>24293</v>
      </c>
      <c r="B5614" s="71" t="s">
        <v>16838</v>
      </c>
      <c r="C5614" s="71" t="s">
        <v>19579</v>
      </c>
    </row>
    <row r="5615">
      <c r="A5615" s="130" t="s">
        <v>24295</v>
      </c>
      <c r="B5615" s="71" t="s">
        <v>16838</v>
      </c>
      <c r="C5615" s="71" t="s">
        <v>16867</v>
      </c>
    </row>
    <row r="5616">
      <c r="A5616" s="130" t="s">
        <v>24297</v>
      </c>
      <c r="B5616" s="71" t="s">
        <v>16838</v>
      </c>
      <c r="C5616" s="71" t="s">
        <v>16867</v>
      </c>
    </row>
    <row r="5617">
      <c r="A5617" s="130" t="s">
        <v>24299</v>
      </c>
      <c r="B5617" s="71" t="s">
        <v>187</v>
      </c>
      <c r="C5617" s="71" t="s">
        <v>16846</v>
      </c>
    </row>
    <row r="5618">
      <c r="A5618" s="234" t="s">
        <v>24301</v>
      </c>
      <c r="B5618" s="71" t="s">
        <v>16885</v>
      </c>
      <c r="C5618" s="71" t="s">
        <v>17726</v>
      </c>
    </row>
    <row r="5619">
      <c r="A5619" s="234" t="s">
        <v>24301</v>
      </c>
      <c r="B5619" s="71" t="s">
        <v>17726</v>
      </c>
      <c r="C5619" s="130" t="s">
        <v>16885</v>
      </c>
    </row>
    <row r="5620">
      <c r="A5620" s="130" t="s">
        <v>24303</v>
      </c>
      <c r="B5620" s="71" t="s">
        <v>16838</v>
      </c>
      <c r="C5620" s="71" t="s">
        <v>16867</v>
      </c>
    </row>
    <row r="5621">
      <c r="A5621" s="234" t="s">
        <v>24305</v>
      </c>
      <c r="B5621" s="71" t="s">
        <v>19579</v>
      </c>
      <c r="C5621" s="71" t="s">
        <v>16838</v>
      </c>
    </row>
    <row r="5622">
      <c r="A5622" s="234" t="s">
        <v>24305</v>
      </c>
      <c r="B5622" s="71" t="s">
        <v>16838</v>
      </c>
      <c r="C5622" s="71" t="s">
        <v>19579</v>
      </c>
    </row>
    <row r="5623">
      <c r="A5623" s="234" t="s">
        <v>24307</v>
      </c>
      <c r="B5623" s="71" t="s">
        <v>175</v>
      </c>
      <c r="C5623" s="71" t="s">
        <v>16824</v>
      </c>
    </row>
    <row r="5624">
      <c r="A5624" s="234" t="s">
        <v>24307</v>
      </c>
      <c r="B5624" s="71" t="s">
        <v>16824</v>
      </c>
      <c r="C5624" s="71" t="s">
        <v>175</v>
      </c>
    </row>
    <row r="5625">
      <c r="A5625" s="234" t="s">
        <v>24309</v>
      </c>
      <c r="B5625" s="71" t="s">
        <v>16945</v>
      </c>
      <c r="C5625" s="71" t="s">
        <v>169</v>
      </c>
    </row>
    <row r="5626">
      <c r="A5626" s="234" t="s">
        <v>24309</v>
      </c>
      <c r="B5626" s="71" t="s">
        <v>169</v>
      </c>
      <c r="C5626" s="71" t="s">
        <v>16945</v>
      </c>
    </row>
    <row r="5627">
      <c r="A5627" s="234" t="s">
        <v>24312</v>
      </c>
      <c r="B5627" s="71" t="s">
        <v>17202</v>
      </c>
      <c r="C5627" s="71" t="s">
        <v>16838</v>
      </c>
    </row>
    <row r="5628">
      <c r="A5628" s="234" t="s">
        <v>24312</v>
      </c>
      <c r="B5628" s="71" t="s">
        <v>16838</v>
      </c>
      <c r="C5628" s="71" t="s">
        <v>17202</v>
      </c>
    </row>
    <row r="5629">
      <c r="A5629" s="130" t="s">
        <v>24314</v>
      </c>
      <c r="B5629" s="71"/>
      <c r="C5629" s="71"/>
    </row>
    <row r="5630">
      <c r="A5630" s="130" t="s">
        <v>24316</v>
      </c>
      <c r="B5630" s="71" t="s">
        <v>16582</v>
      </c>
      <c r="C5630" s="71" t="s">
        <v>16817</v>
      </c>
    </row>
    <row r="5631">
      <c r="A5631" s="130" t="s">
        <v>24318</v>
      </c>
      <c r="B5631" s="71" t="s">
        <v>16838</v>
      </c>
      <c r="C5631" s="71" t="s">
        <v>16867</v>
      </c>
    </row>
    <row r="5632">
      <c r="A5632" s="130" t="s">
        <v>24320</v>
      </c>
      <c r="B5632" s="71" t="s">
        <v>16582</v>
      </c>
      <c r="C5632" s="71" t="s">
        <v>16817</v>
      </c>
    </row>
    <row r="5633">
      <c r="A5633" s="234" t="s">
        <v>24322</v>
      </c>
      <c r="B5633" s="71" t="s">
        <v>16582</v>
      </c>
      <c r="C5633" s="71" t="s">
        <v>16899</v>
      </c>
    </row>
    <row r="5634">
      <c r="A5634" s="234" t="s">
        <v>24322</v>
      </c>
      <c r="B5634" s="71" t="s">
        <v>16899</v>
      </c>
      <c r="C5634" s="71" t="s">
        <v>16582</v>
      </c>
    </row>
    <row r="5635">
      <c r="A5635" s="130" t="s">
        <v>24324</v>
      </c>
      <c r="B5635" s="71" t="s">
        <v>187</v>
      </c>
      <c r="C5635" s="71" t="s">
        <v>16846</v>
      </c>
    </row>
    <row r="5636">
      <c r="A5636" s="130" t="s">
        <v>24326</v>
      </c>
      <c r="B5636" s="71" t="s">
        <v>169</v>
      </c>
      <c r="C5636" s="71" t="s">
        <v>18732</v>
      </c>
    </row>
    <row r="5637">
      <c r="A5637" s="234" t="s">
        <v>24328</v>
      </c>
      <c r="B5637" s="71" t="s">
        <v>158</v>
      </c>
      <c r="C5637" s="71" t="s">
        <v>17171</v>
      </c>
    </row>
    <row r="5638">
      <c r="A5638" s="234" t="s">
        <v>24328</v>
      </c>
      <c r="B5638" s="71" t="s">
        <v>17171</v>
      </c>
      <c r="C5638" s="71" t="s">
        <v>158</v>
      </c>
    </row>
    <row r="5639">
      <c r="A5639" s="234" t="s">
        <v>24330</v>
      </c>
      <c r="B5639" s="71" t="s">
        <v>16885</v>
      </c>
      <c r="C5639" s="71" t="s">
        <v>17726</v>
      </c>
    </row>
    <row r="5640">
      <c r="A5640" s="234" t="s">
        <v>24330</v>
      </c>
      <c r="B5640" s="71" t="s">
        <v>17726</v>
      </c>
      <c r="C5640" s="71" t="s">
        <v>16885</v>
      </c>
    </row>
    <row r="5641">
      <c r="A5641" s="130" t="s">
        <v>24332</v>
      </c>
      <c r="B5641" s="71" t="s">
        <v>175</v>
      </c>
      <c r="C5641" s="71" t="s">
        <v>17350</v>
      </c>
    </row>
    <row r="5642">
      <c r="A5642" s="130" t="s">
        <v>24334</v>
      </c>
      <c r="B5642" s="71" t="s">
        <v>16582</v>
      </c>
      <c r="C5642" s="71" t="s">
        <v>16930</v>
      </c>
    </row>
    <row r="5643">
      <c r="A5643" s="234" t="s">
        <v>24336</v>
      </c>
      <c r="B5643" s="71" t="s">
        <v>175</v>
      </c>
      <c r="C5643" s="71" t="s">
        <v>16899</v>
      </c>
    </row>
    <row r="5644">
      <c r="A5644" s="234" t="s">
        <v>24336</v>
      </c>
      <c r="B5644" s="71" t="s">
        <v>16899</v>
      </c>
      <c r="C5644" s="130" t="s">
        <v>175</v>
      </c>
    </row>
    <row r="5645">
      <c r="A5645" s="130" t="s">
        <v>24338</v>
      </c>
      <c r="B5645" s="71" t="s">
        <v>187</v>
      </c>
      <c r="C5645" s="71" t="s">
        <v>16969</v>
      </c>
    </row>
    <row r="5646">
      <c r="A5646" s="130" t="s">
        <v>24340</v>
      </c>
      <c r="B5646" s="71" t="s">
        <v>16838</v>
      </c>
      <c r="C5646" s="71" t="s">
        <v>16867</v>
      </c>
    </row>
    <row r="5647">
      <c r="A5647" s="130" t="s">
        <v>24342</v>
      </c>
      <c r="B5647" s="71" t="s">
        <v>187</v>
      </c>
      <c r="C5647" s="71" t="s">
        <v>16846</v>
      </c>
    </row>
    <row r="5648">
      <c r="A5648" s="234" t="s">
        <v>24344</v>
      </c>
      <c r="B5648" s="71"/>
      <c r="C5648" s="71"/>
    </row>
    <row r="5649">
      <c r="A5649" s="234" t="s">
        <v>24344</v>
      </c>
      <c r="B5649" s="71"/>
      <c r="C5649" s="71"/>
    </row>
    <row r="5650">
      <c r="A5650" s="234" t="s">
        <v>24346</v>
      </c>
      <c r="B5650" s="71" t="s">
        <v>16582</v>
      </c>
      <c r="C5650" s="71" t="s">
        <v>16817</v>
      </c>
    </row>
    <row r="5651">
      <c r="A5651" s="234" t="s">
        <v>24346</v>
      </c>
      <c r="B5651" s="71" t="s">
        <v>16817</v>
      </c>
      <c r="C5651" s="71" t="s">
        <v>16582</v>
      </c>
    </row>
    <row r="5652">
      <c r="A5652" s="130" t="s">
        <v>24348</v>
      </c>
      <c r="B5652" s="71" t="s">
        <v>16838</v>
      </c>
      <c r="C5652" s="71" t="s">
        <v>18219</v>
      </c>
    </row>
    <row r="5653">
      <c r="A5653" s="130" t="s">
        <v>24350</v>
      </c>
      <c r="B5653" s="71" t="s">
        <v>175</v>
      </c>
      <c r="C5653" s="71" t="s">
        <v>16824</v>
      </c>
    </row>
    <row r="5654">
      <c r="A5654" s="234" t="s">
        <v>24352</v>
      </c>
      <c r="B5654" s="71" t="s">
        <v>17726</v>
      </c>
      <c r="C5654" s="71" t="s">
        <v>169</v>
      </c>
    </row>
    <row r="5655">
      <c r="A5655" s="234" t="s">
        <v>24352</v>
      </c>
      <c r="B5655" s="71" t="s">
        <v>169</v>
      </c>
      <c r="C5655" s="71" t="s">
        <v>17726</v>
      </c>
    </row>
    <row r="5656">
      <c r="A5656" s="234" t="s">
        <v>24355</v>
      </c>
      <c r="B5656" s="71" t="s">
        <v>17726</v>
      </c>
      <c r="C5656" s="71" t="s">
        <v>169</v>
      </c>
    </row>
    <row r="5657">
      <c r="A5657" s="234" t="s">
        <v>24355</v>
      </c>
      <c r="B5657" s="71" t="s">
        <v>169</v>
      </c>
      <c r="C5657" s="71" t="s">
        <v>17726</v>
      </c>
    </row>
    <row r="5658">
      <c r="A5658" s="130" t="s">
        <v>24357</v>
      </c>
      <c r="B5658" s="71" t="s">
        <v>16838</v>
      </c>
      <c r="C5658" s="71" t="s">
        <v>18219</v>
      </c>
    </row>
    <row r="5659">
      <c r="A5659" s="130" t="s">
        <v>24359</v>
      </c>
      <c r="B5659" s="71" t="s">
        <v>187</v>
      </c>
      <c r="C5659" s="71" t="s">
        <v>16969</v>
      </c>
    </row>
    <row r="5660">
      <c r="A5660" s="130" t="s">
        <v>24361</v>
      </c>
      <c r="B5660" s="71" t="s">
        <v>187</v>
      </c>
      <c r="C5660" s="71" t="s">
        <v>16846</v>
      </c>
    </row>
    <row r="5661">
      <c r="A5661" s="130" t="s">
        <v>24363</v>
      </c>
      <c r="B5661" s="71" t="s">
        <v>16838</v>
      </c>
      <c r="C5661" s="71" t="s">
        <v>16867</v>
      </c>
    </row>
    <row r="5662">
      <c r="A5662" s="130" t="s">
        <v>24365</v>
      </c>
      <c r="B5662" s="71" t="s">
        <v>16838</v>
      </c>
      <c r="C5662" s="71" t="s">
        <v>16837</v>
      </c>
    </row>
    <row r="5663">
      <c r="A5663" s="130" t="s">
        <v>24367</v>
      </c>
      <c r="B5663" s="71" t="s">
        <v>169</v>
      </c>
      <c r="C5663" s="71" t="s">
        <v>16899</v>
      </c>
    </row>
    <row r="5664">
      <c r="A5664" s="130" t="s">
        <v>24369</v>
      </c>
      <c r="B5664" s="71" t="s">
        <v>169</v>
      </c>
      <c r="C5664" s="71" t="s">
        <v>17702</v>
      </c>
    </row>
    <row r="5665">
      <c r="A5665" s="130" t="s">
        <v>24371</v>
      </c>
      <c r="B5665" s="71" t="s">
        <v>187</v>
      </c>
      <c r="C5665" s="71" t="s">
        <v>16858</v>
      </c>
    </row>
    <row r="5666">
      <c r="A5666" s="234" t="s">
        <v>24373</v>
      </c>
      <c r="B5666" s="71" t="s">
        <v>175</v>
      </c>
      <c r="C5666" s="71" t="s">
        <v>17084</v>
      </c>
    </row>
    <row r="5667">
      <c r="A5667" s="234" t="s">
        <v>24373</v>
      </c>
      <c r="B5667" s="71" t="s">
        <v>17084</v>
      </c>
      <c r="C5667" s="71" t="s">
        <v>175</v>
      </c>
    </row>
    <row r="5668">
      <c r="A5668" s="234" t="s">
        <v>24375</v>
      </c>
      <c r="B5668" s="71" t="s">
        <v>16838</v>
      </c>
      <c r="C5668" s="71" t="s">
        <v>18679</v>
      </c>
    </row>
    <row r="5669">
      <c r="A5669" s="234" t="s">
        <v>24375</v>
      </c>
      <c r="B5669" s="71" t="s">
        <v>18679</v>
      </c>
      <c r="C5669" s="130" t="s">
        <v>16838</v>
      </c>
    </row>
    <row r="5670">
      <c r="A5670" s="130" t="s">
        <v>24377</v>
      </c>
      <c r="B5670" s="71" t="s">
        <v>175</v>
      </c>
      <c r="C5670" s="71" t="s">
        <v>16942</v>
      </c>
    </row>
    <row r="5671">
      <c r="A5671" s="234" t="s">
        <v>24379</v>
      </c>
      <c r="B5671" s="71" t="s">
        <v>158</v>
      </c>
      <c r="C5671" s="71" t="s">
        <v>16864</v>
      </c>
    </row>
    <row r="5672">
      <c r="A5672" s="234" t="s">
        <v>24379</v>
      </c>
      <c r="B5672" s="71" t="s">
        <v>16864</v>
      </c>
      <c r="C5672" s="71" t="s">
        <v>158</v>
      </c>
    </row>
    <row r="5673">
      <c r="A5673" s="130" t="s">
        <v>24381</v>
      </c>
      <c r="B5673" s="71" t="s">
        <v>16582</v>
      </c>
      <c r="C5673" s="71" t="s">
        <v>16930</v>
      </c>
    </row>
    <row r="5674">
      <c r="A5674" s="130" t="s">
        <v>24383</v>
      </c>
      <c r="B5674" s="71" t="s">
        <v>187</v>
      </c>
      <c r="C5674" s="71" t="s">
        <v>16969</v>
      </c>
    </row>
    <row r="5675">
      <c r="A5675" s="234" t="s">
        <v>24385</v>
      </c>
      <c r="B5675" s="71" t="s">
        <v>17019</v>
      </c>
      <c r="C5675" s="71" t="s">
        <v>16838</v>
      </c>
    </row>
    <row r="5676">
      <c r="A5676" s="234" t="s">
        <v>24385</v>
      </c>
      <c r="B5676" s="71" t="s">
        <v>16838</v>
      </c>
      <c r="C5676" s="71" t="s">
        <v>17019</v>
      </c>
    </row>
    <row r="5677">
      <c r="A5677" s="130" t="s">
        <v>24387</v>
      </c>
      <c r="B5677" s="71" t="s">
        <v>187</v>
      </c>
      <c r="C5677" s="71" t="s">
        <v>16846</v>
      </c>
    </row>
    <row r="5678">
      <c r="A5678" s="130" t="s">
        <v>24389</v>
      </c>
      <c r="B5678" s="71" t="s">
        <v>16838</v>
      </c>
      <c r="C5678" s="71" t="s">
        <v>16837</v>
      </c>
    </row>
    <row r="5679">
      <c r="A5679" s="130" t="s">
        <v>24391</v>
      </c>
      <c r="B5679" s="71" t="s">
        <v>16838</v>
      </c>
      <c r="C5679" s="71" t="s">
        <v>16837</v>
      </c>
    </row>
    <row r="5680">
      <c r="A5680" s="234" t="s">
        <v>24393</v>
      </c>
      <c r="B5680" s="71" t="s">
        <v>16582</v>
      </c>
      <c r="C5680" s="71" t="s">
        <v>16930</v>
      </c>
    </row>
    <row r="5681">
      <c r="A5681" s="234" t="s">
        <v>24393</v>
      </c>
      <c r="B5681" s="71" t="s">
        <v>16930</v>
      </c>
      <c r="C5681" s="71" t="s">
        <v>16582</v>
      </c>
    </row>
    <row r="5682">
      <c r="A5682" s="130" t="s">
        <v>24395</v>
      </c>
      <c r="B5682" s="71" t="s">
        <v>187</v>
      </c>
      <c r="C5682" s="71" t="s">
        <v>16846</v>
      </c>
    </row>
    <row r="5683">
      <c r="A5683" s="130" t="s">
        <v>24397</v>
      </c>
      <c r="B5683" s="71" t="s">
        <v>187</v>
      </c>
      <c r="C5683" s="71" t="s">
        <v>16846</v>
      </c>
    </row>
    <row r="5684">
      <c r="A5684" s="234" t="s">
        <v>24399</v>
      </c>
      <c r="B5684" s="71" t="s">
        <v>17111</v>
      </c>
      <c r="C5684" s="71" t="s">
        <v>17112</v>
      </c>
    </row>
    <row r="5685">
      <c r="A5685" s="234" t="s">
        <v>24399</v>
      </c>
      <c r="B5685" s="71" t="s">
        <v>17112</v>
      </c>
      <c r="C5685" s="71" t="s">
        <v>17111</v>
      </c>
    </row>
    <row r="5686">
      <c r="A5686" s="130" t="s">
        <v>24401</v>
      </c>
      <c r="B5686" s="71" t="s">
        <v>16838</v>
      </c>
      <c r="C5686" s="71" t="s">
        <v>16867</v>
      </c>
    </row>
    <row r="5687">
      <c r="A5687" s="130" t="s">
        <v>24403</v>
      </c>
      <c r="B5687" s="71" t="s">
        <v>187</v>
      </c>
      <c r="C5687" s="71" t="s">
        <v>16992</v>
      </c>
    </row>
    <row r="5688">
      <c r="A5688" s="234" t="s">
        <v>24405</v>
      </c>
      <c r="B5688" s="71" t="s">
        <v>175</v>
      </c>
      <c r="C5688" s="71" t="s">
        <v>17475</v>
      </c>
    </row>
    <row r="5689">
      <c r="A5689" s="234" t="s">
        <v>24405</v>
      </c>
      <c r="B5689" s="71" t="s">
        <v>17475</v>
      </c>
      <c r="C5689" s="71" t="s">
        <v>175</v>
      </c>
    </row>
    <row r="5690">
      <c r="A5690" s="130" t="s">
        <v>24407</v>
      </c>
      <c r="B5690" s="71" t="s">
        <v>16838</v>
      </c>
      <c r="C5690" s="71" t="s">
        <v>16867</v>
      </c>
    </row>
    <row r="5691">
      <c r="A5691" s="130" t="s">
        <v>24409</v>
      </c>
      <c r="B5691" s="71" t="s">
        <v>158</v>
      </c>
      <c r="C5691" s="71" t="s">
        <v>17339</v>
      </c>
    </row>
    <row r="5692">
      <c r="A5692" s="234" t="s">
        <v>24411</v>
      </c>
      <c r="B5692" s="71" t="s">
        <v>17702</v>
      </c>
      <c r="C5692" s="71" t="s">
        <v>169</v>
      </c>
    </row>
    <row r="5693">
      <c r="A5693" s="234" t="s">
        <v>24411</v>
      </c>
      <c r="B5693" s="71" t="s">
        <v>169</v>
      </c>
      <c r="C5693" s="71" t="s">
        <v>17702</v>
      </c>
    </row>
    <row r="5694">
      <c r="A5694" s="130" t="s">
        <v>24413</v>
      </c>
      <c r="B5694" s="71" t="s">
        <v>187</v>
      </c>
      <c r="C5694" s="71" t="s">
        <v>16846</v>
      </c>
    </row>
    <row r="5695">
      <c r="A5695" s="130" t="s">
        <v>24415</v>
      </c>
      <c r="B5695" s="71" t="s">
        <v>16838</v>
      </c>
      <c r="C5695" s="71" t="s">
        <v>16867</v>
      </c>
    </row>
    <row r="5696">
      <c r="A5696" s="234" t="s">
        <v>24417</v>
      </c>
      <c r="B5696" s="71" t="s">
        <v>16926</v>
      </c>
      <c r="C5696" s="71" t="s">
        <v>16960</v>
      </c>
    </row>
    <row r="5697">
      <c r="A5697" s="234" t="s">
        <v>24417</v>
      </c>
      <c r="B5697" s="71" t="s">
        <v>16960</v>
      </c>
      <c r="C5697" s="71" t="s">
        <v>16926</v>
      </c>
    </row>
    <row r="5698">
      <c r="A5698" s="130" t="s">
        <v>24419</v>
      </c>
      <c r="B5698" s="71" t="s">
        <v>16582</v>
      </c>
      <c r="C5698" s="71" t="s">
        <v>16583</v>
      </c>
    </row>
    <row r="5699">
      <c r="A5699" s="130" t="s">
        <v>24421</v>
      </c>
      <c r="B5699" s="71" t="s">
        <v>187</v>
      </c>
      <c r="C5699" s="71" t="s">
        <v>16969</v>
      </c>
    </row>
    <row r="5700">
      <c r="A5700" s="130" t="s">
        <v>24423</v>
      </c>
      <c r="B5700" s="71" t="s">
        <v>16582</v>
      </c>
      <c r="C5700" s="71" t="s">
        <v>16930</v>
      </c>
    </row>
    <row r="5701">
      <c r="A5701" s="130" t="s">
        <v>24425</v>
      </c>
      <c r="B5701" s="71" t="s">
        <v>16582</v>
      </c>
      <c r="C5701" s="71" t="s">
        <v>16817</v>
      </c>
    </row>
    <row r="5702">
      <c r="A5702" s="130" t="s">
        <v>24427</v>
      </c>
      <c r="B5702" s="71" t="s">
        <v>16838</v>
      </c>
      <c r="C5702" s="71" t="s">
        <v>16867</v>
      </c>
    </row>
    <row r="5703">
      <c r="A5703" s="130" t="s">
        <v>24429</v>
      </c>
      <c r="B5703" s="71" t="s">
        <v>16910</v>
      </c>
      <c r="C5703" s="71" t="s">
        <v>17318</v>
      </c>
    </row>
    <row r="5704">
      <c r="A5704" s="130" t="s">
        <v>24431</v>
      </c>
      <c r="B5704" s="71" t="s">
        <v>175</v>
      </c>
      <c r="C5704" s="71" t="s">
        <v>17069</v>
      </c>
    </row>
    <row r="5705">
      <c r="A5705" s="130" t="s">
        <v>24433</v>
      </c>
      <c r="B5705" s="71" t="s">
        <v>187</v>
      </c>
      <c r="C5705" s="71" t="s">
        <v>16851</v>
      </c>
    </row>
    <row r="5706">
      <c r="A5706" s="234" t="s">
        <v>24435</v>
      </c>
      <c r="B5706" s="71" t="s">
        <v>16945</v>
      </c>
      <c r="C5706" s="71" t="s">
        <v>169</v>
      </c>
    </row>
    <row r="5707">
      <c r="A5707" s="234" t="s">
        <v>24435</v>
      </c>
      <c r="B5707" s="71" t="s">
        <v>169</v>
      </c>
      <c r="C5707" s="71" t="s">
        <v>16945</v>
      </c>
    </row>
    <row r="5708">
      <c r="A5708" s="234" t="s">
        <v>24437</v>
      </c>
      <c r="B5708" s="71" t="s">
        <v>17111</v>
      </c>
      <c r="C5708" s="71" t="s">
        <v>17112</v>
      </c>
    </row>
    <row r="5709">
      <c r="A5709" s="234" t="s">
        <v>24437</v>
      </c>
      <c r="B5709" s="71" t="s">
        <v>17112</v>
      </c>
      <c r="C5709" s="71" t="s">
        <v>17111</v>
      </c>
    </row>
    <row r="5710">
      <c r="A5710" s="130" t="s">
        <v>24439</v>
      </c>
      <c r="B5710" s="71" t="s">
        <v>16838</v>
      </c>
      <c r="C5710" s="71" t="s">
        <v>18219</v>
      </c>
    </row>
    <row r="5711">
      <c r="A5711" s="234" t="s">
        <v>24441</v>
      </c>
      <c r="B5711" s="71" t="s">
        <v>16919</v>
      </c>
      <c r="C5711" s="71" t="s">
        <v>17048</v>
      </c>
    </row>
    <row r="5712">
      <c r="A5712" s="234" t="s">
        <v>24441</v>
      </c>
      <c r="B5712" s="71" t="s">
        <v>17048</v>
      </c>
      <c r="C5712" s="71" t="s">
        <v>16919</v>
      </c>
    </row>
    <row r="5713">
      <c r="A5713" s="130" t="s">
        <v>24443</v>
      </c>
      <c r="B5713" s="71" t="s">
        <v>175</v>
      </c>
      <c r="C5713" s="71" t="s">
        <v>17606</v>
      </c>
    </row>
    <row r="5714">
      <c r="A5714" s="130" t="s">
        <v>24445</v>
      </c>
      <c r="B5714" s="71" t="s">
        <v>175</v>
      </c>
      <c r="C5714" s="71" t="s">
        <v>18723</v>
      </c>
    </row>
    <row r="5715">
      <c r="A5715" s="130" t="s">
        <v>24447</v>
      </c>
      <c r="B5715" s="71" t="s">
        <v>16919</v>
      </c>
      <c r="C5715" s="71" t="s">
        <v>17794</v>
      </c>
    </row>
    <row r="5716">
      <c r="A5716" s="130" t="s">
        <v>24449</v>
      </c>
      <c r="B5716" s="71" t="s">
        <v>17112</v>
      </c>
      <c r="C5716" s="71" t="s">
        <v>17111</v>
      </c>
    </row>
    <row r="5717">
      <c r="A5717" s="130" t="s">
        <v>24451</v>
      </c>
      <c r="B5717" s="71" t="s">
        <v>175</v>
      </c>
      <c r="C5717" s="71" t="s">
        <v>19996</v>
      </c>
    </row>
    <row r="5718">
      <c r="A5718" s="130" t="s">
        <v>24453</v>
      </c>
      <c r="B5718" s="71" t="s">
        <v>169</v>
      </c>
      <c r="C5718" s="71" t="s">
        <v>17495</v>
      </c>
    </row>
    <row r="5719">
      <c r="A5719" s="130" t="s">
        <v>24455</v>
      </c>
      <c r="B5719" s="71" t="s">
        <v>187</v>
      </c>
      <c r="C5719" s="71" t="s">
        <v>16846</v>
      </c>
    </row>
    <row r="5720">
      <c r="A5720" s="130" t="s">
        <v>24457</v>
      </c>
      <c r="B5720" s="71" t="s">
        <v>16838</v>
      </c>
      <c r="C5720" s="71" t="s">
        <v>16867</v>
      </c>
    </row>
    <row r="5721">
      <c r="A5721" s="234" t="s">
        <v>24459</v>
      </c>
      <c r="B5721" s="71" t="s">
        <v>169</v>
      </c>
      <c r="C5721" s="71" t="s">
        <v>17509</v>
      </c>
    </row>
    <row r="5722">
      <c r="A5722" s="234" t="s">
        <v>24459</v>
      </c>
      <c r="B5722" s="71" t="s">
        <v>17509</v>
      </c>
      <c r="C5722" s="71" t="s">
        <v>169</v>
      </c>
    </row>
    <row r="5723">
      <c r="A5723" s="130" t="s">
        <v>24461</v>
      </c>
      <c r="B5723" s="71" t="s">
        <v>16838</v>
      </c>
      <c r="C5723" s="71" t="s">
        <v>16837</v>
      </c>
    </row>
    <row r="5724">
      <c r="A5724" s="130" t="s">
        <v>24463</v>
      </c>
      <c r="B5724" s="71" t="s">
        <v>16838</v>
      </c>
      <c r="C5724" s="71" t="s">
        <v>18956</v>
      </c>
    </row>
    <row r="5725">
      <c r="A5725" s="130" t="s">
        <v>24465</v>
      </c>
      <c r="B5725" s="71" t="s">
        <v>16838</v>
      </c>
      <c r="C5725" s="71" t="s">
        <v>18956</v>
      </c>
    </row>
    <row r="5726">
      <c r="A5726" s="130" t="s">
        <v>24467</v>
      </c>
      <c r="B5726" s="71" t="s">
        <v>187</v>
      </c>
      <c r="C5726" s="71" t="s">
        <v>16846</v>
      </c>
    </row>
    <row r="5727">
      <c r="A5727" s="234" t="s">
        <v>24469</v>
      </c>
      <c r="B5727" s="71" t="s">
        <v>17321</v>
      </c>
      <c r="C5727" s="71" t="s">
        <v>169</v>
      </c>
    </row>
    <row r="5728">
      <c r="A5728" s="234" t="s">
        <v>24469</v>
      </c>
      <c r="B5728" s="71" t="s">
        <v>169</v>
      </c>
      <c r="C5728" s="71" t="s">
        <v>17321</v>
      </c>
    </row>
    <row r="5729">
      <c r="A5729" s="130" t="s">
        <v>24471</v>
      </c>
      <c r="B5729" s="71" t="s">
        <v>16838</v>
      </c>
      <c r="C5729" s="71" t="s">
        <v>17202</v>
      </c>
    </row>
    <row r="5730">
      <c r="A5730" s="130" t="s">
        <v>24473</v>
      </c>
      <c r="B5730" s="71" t="s">
        <v>16838</v>
      </c>
      <c r="C5730" s="71" t="s">
        <v>16867</v>
      </c>
    </row>
    <row r="5731">
      <c r="A5731" s="130" t="s">
        <v>24475</v>
      </c>
      <c r="B5731" s="71" t="s">
        <v>169</v>
      </c>
      <c r="C5731" s="71" t="s">
        <v>17025</v>
      </c>
    </row>
    <row r="5732">
      <c r="A5732" s="130" t="s">
        <v>24477</v>
      </c>
      <c r="B5732" s="71" t="s">
        <v>16885</v>
      </c>
      <c r="C5732" s="71" t="s">
        <v>16886</v>
      </c>
    </row>
    <row r="5733">
      <c r="A5733" s="130" t="s">
        <v>24479</v>
      </c>
      <c r="B5733" s="71" t="s">
        <v>169</v>
      </c>
      <c r="C5733" s="71" t="s">
        <v>17827</v>
      </c>
    </row>
    <row r="5734">
      <c r="A5734" s="130" t="s">
        <v>24481</v>
      </c>
      <c r="B5734" s="71" t="s">
        <v>175</v>
      </c>
      <c r="C5734" s="71" t="s">
        <v>18723</v>
      </c>
    </row>
    <row r="5735">
      <c r="A5735" s="130" t="s">
        <v>24483</v>
      </c>
      <c r="B5735" s="71" t="s">
        <v>16838</v>
      </c>
      <c r="C5735" s="71" t="s">
        <v>16867</v>
      </c>
    </row>
    <row r="5736">
      <c r="A5736" s="234" t="s">
        <v>24485</v>
      </c>
      <c r="B5736" s="71" t="s">
        <v>175</v>
      </c>
      <c r="C5736" s="71" t="s">
        <v>17264</v>
      </c>
    </row>
    <row r="5737">
      <c r="A5737" s="234" t="s">
        <v>24485</v>
      </c>
      <c r="B5737" s="71" t="s">
        <v>17264</v>
      </c>
      <c r="C5737" s="71" t="s">
        <v>175</v>
      </c>
    </row>
    <row r="5738">
      <c r="A5738" s="130" t="b">
        <v>1</v>
      </c>
      <c r="B5738" s="71" t="s">
        <v>16582</v>
      </c>
      <c r="C5738" s="71" t="s">
        <v>16583</v>
      </c>
    </row>
    <row r="5739">
      <c r="A5739" s="130" t="s">
        <v>24489</v>
      </c>
      <c r="B5739" s="71" t="s">
        <v>187</v>
      </c>
      <c r="C5739" s="71" t="s">
        <v>23634</v>
      </c>
    </row>
    <row r="5740">
      <c r="A5740" s="234" t="s">
        <v>24491</v>
      </c>
      <c r="B5740" s="71" t="s">
        <v>17016</v>
      </c>
      <c r="C5740" s="71" t="s">
        <v>16838</v>
      </c>
    </row>
    <row r="5741">
      <c r="A5741" s="234" t="s">
        <v>24491</v>
      </c>
      <c r="B5741" s="71" t="s">
        <v>16838</v>
      </c>
      <c r="C5741" s="71" t="s">
        <v>17016</v>
      </c>
    </row>
    <row r="5742">
      <c r="A5742" s="130" t="s">
        <v>24493</v>
      </c>
      <c r="B5742" s="71" t="s">
        <v>175</v>
      </c>
      <c r="C5742" s="71" t="s">
        <v>17318</v>
      </c>
    </row>
    <row r="5743">
      <c r="A5743" s="130" t="s">
        <v>24495</v>
      </c>
      <c r="B5743" s="71" t="s">
        <v>17112</v>
      </c>
      <c r="C5743" s="71" t="s">
        <v>17111</v>
      </c>
    </row>
    <row r="5744">
      <c r="A5744" s="130" t="s">
        <v>24497</v>
      </c>
      <c r="B5744" s="71" t="s">
        <v>169</v>
      </c>
      <c r="C5744" s="71" t="s">
        <v>17321</v>
      </c>
    </row>
    <row r="5745">
      <c r="A5745" s="234" t="s">
        <v>24499</v>
      </c>
      <c r="B5745" s="71" t="s">
        <v>18005</v>
      </c>
      <c r="C5745" s="71" t="s">
        <v>187</v>
      </c>
    </row>
    <row r="5746">
      <c r="A5746" s="234" t="s">
        <v>24499</v>
      </c>
      <c r="B5746" s="71" t="s">
        <v>187</v>
      </c>
      <c r="C5746" s="71" t="s">
        <v>18005</v>
      </c>
    </row>
    <row r="5747">
      <c r="A5747" s="130" t="s">
        <v>24501</v>
      </c>
      <c r="B5747" s="71" t="s">
        <v>16838</v>
      </c>
      <c r="C5747" s="71" t="s">
        <v>16867</v>
      </c>
    </row>
    <row r="5748">
      <c r="A5748" s="130" t="s">
        <v>24503</v>
      </c>
      <c r="B5748" s="71" t="s">
        <v>187</v>
      </c>
      <c r="C5748" s="71" t="s">
        <v>16846</v>
      </c>
    </row>
    <row r="5749">
      <c r="A5749" s="130" t="s">
        <v>24505</v>
      </c>
      <c r="B5749" s="71" t="s">
        <v>16582</v>
      </c>
      <c r="C5749" s="71" t="s">
        <v>16828</v>
      </c>
    </row>
    <row r="5750">
      <c r="A5750" s="130" t="s">
        <v>24507</v>
      </c>
      <c r="B5750" s="71" t="s">
        <v>187</v>
      </c>
      <c r="C5750" s="71" t="s">
        <v>16969</v>
      </c>
    </row>
    <row r="5751">
      <c r="A5751" s="234" t="s">
        <v>24509</v>
      </c>
      <c r="B5751" s="71" t="s">
        <v>17112</v>
      </c>
      <c r="C5751" s="71" t="s">
        <v>17111</v>
      </c>
    </row>
    <row r="5752">
      <c r="A5752" s="234" t="s">
        <v>24509</v>
      </c>
      <c r="B5752" s="71" t="s">
        <v>17111</v>
      </c>
      <c r="C5752" s="130" t="s">
        <v>17112</v>
      </c>
    </row>
    <row r="5753">
      <c r="A5753" s="130" t="s">
        <v>24511</v>
      </c>
      <c r="B5753" s="71" t="s">
        <v>175</v>
      </c>
      <c r="C5753" s="71" t="s">
        <v>18570</v>
      </c>
    </row>
    <row r="5754">
      <c r="A5754" s="130" t="s">
        <v>24513</v>
      </c>
      <c r="B5754" s="71" t="s">
        <v>187</v>
      </c>
      <c r="C5754" s="71" t="s">
        <v>16858</v>
      </c>
    </row>
    <row r="5755">
      <c r="A5755" s="234" t="s">
        <v>24515</v>
      </c>
      <c r="B5755" s="71" t="s">
        <v>16582</v>
      </c>
      <c r="C5755" s="71" t="s">
        <v>16817</v>
      </c>
    </row>
    <row r="5756">
      <c r="A5756" s="234" t="s">
        <v>24515</v>
      </c>
      <c r="B5756" s="71" t="s">
        <v>16817</v>
      </c>
      <c r="C5756" s="71" t="s">
        <v>16582</v>
      </c>
    </row>
    <row r="5757">
      <c r="A5757" s="234" t="s">
        <v>24517</v>
      </c>
      <c r="B5757" s="71" t="s">
        <v>19579</v>
      </c>
      <c r="C5757" s="71" t="s">
        <v>16838</v>
      </c>
    </row>
    <row r="5758">
      <c r="A5758" s="234" t="s">
        <v>24517</v>
      </c>
      <c r="B5758" s="71" t="s">
        <v>16838</v>
      </c>
      <c r="C5758" s="71" t="s">
        <v>19579</v>
      </c>
    </row>
    <row r="5759">
      <c r="A5759" s="130" t="s">
        <v>24519</v>
      </c>
      <c r="B5759" s="71" t="s">
        <v>16838</v>
      </c>
      <c r="C5759" s="71" t="s">
        <v>16867</v>
      </c>
    </row>
    <row r="5760">
      <c r="A5760" s="130" t="s">
        <v>24521</v>
      </c>
      <c r="B5760" s="71" t="s">
        <v>16582</v>
      </c>
      <c r="C5760" s="71" t="s">
        <v>16930</v>
      </c>
    </row>
    <row r="5761">
      <c r="A5761" s="130" t="s">
        <v>24523</v>
      </c>
      <c r="B5761" s="71" t="s">
        <v>17112</v>
      </c>
      <c r="C5761" s="71" t="s">
        <v>17457</v>
      </c>
    </row>
    <row r="5762">
      <c r="A5762" s="130" t="s">
        <v>24525</v>
      </c>
      <c r="B5762" s="71" t="s">
        <v>16582</v>
      </c>
      <c r="C5762" s="71" t="s">
        <v>16817</v>
      </c>
    </row>
    <row r="5763">
      <c r="A5763" s="130" t="s">
        <v>24527</v>
      </c>
      <c r="B5763" s="71" t="s">
        <v>187</v>
      </c>
      <c r="C5763" s="71" t="s">
        <v>16846</v>
      </c>
    </row>
    <row r="5764">
      <c r="A5764" s="130" t="s">
        <v>24529</v>
      </c>
      <c r="B5764" s="71"/>
      <c r="C5764" s="71"/>
    </row>
    <row r="5765">
      <c r="A5765" s="130" t="s">
        <v>24531</v>
      </c>
      <c r="B5765" s="71" t="s">
        <v>16582</v>
      </c>
      <c r="C5765" s="71" t="s">
        <v>16995</v>
      </c>
    </row>
    <row r="5766">
      <c r="A5766" s="130" t="s">
        <v>24533</v>
      </c>
      <c r="B5766" s="71" t="s">
        <v>187</v>
      </c>
      <c r="C5766" s="71" t="s">
        <v>16846</v>
      </c>
    </row>
    <row r="5767">
      <c r="A5767" s="130" t="s">
        <v>24535</v>
      </c>
      <c r="B5767" s="71" t="s">
        <v>16838</v>
      </c>
      <c r="C5767" s="71" t="s">
        <v>18956</v>
      </c>
    </row>
    <row r="5768">
      <c r="A5768" s="130" t="s">
        <v>24537</v>
      </c>
      <c r="B5768" s="71" t="s">
        <v>187</v>
      </c>
      <c r="C5768" s="71" t="s">
        <v>17122</v>
      </c>
    </row>
    <row r="5769">
      <c r="A5769" s="130" t="s">
        <v>24539</v>
      </c>
      <c r="B5769" s="71"/>
      <c r="C5769" s="71"/>
    </row>
    <row r="5770">
      <c r="A5770" s="234" t="s">
        <v>24541</v>
      </c>
      <c r="B5770" s="71"/>
      <c r="C5770" s="71"/>
    </row>
    <row r="5771">
      <c r="A5771" s="234" t="s">
        <v>24541</v>
      </c>
      <c r="B5771" s="71"/>
      <c r="C5771" s="71"/>
    </row>
    <row r="5772">
      <c r="A5772" s="130" t="s">
        <v>24543</v>
      </c>
      <c r="B5772" s="71" t="s">
        <v>16582</v>
      </c>
      <c r="C5772" s="71" t="s">
        <v>16930</v>
      </c>
    </row>
    <row r="5773">
      <c r="A5773" s="130" t="s">
        <v>24545</v>
      </c>
      <c r="B5773" s="71" t="s">
        <v>175</v>
      </c>
      <c r="C5773" s="71" t="s">
        <v>19996</v>
      </c>
    </row>
    <row r="5774">
      <c r="A5774" s="130" t="s">
        <v>24547</v>
      </c>
      <c r="B5774" s="71" t="s">
        <v>187</v>
      </c>
      <c r="C5774" s="71" t="s">
        <v>16846</v>
      </c>
    </row>
    <row r="5775">
      <c r="A5775" s="130" t="s">
        <v>24549</v>
      </c>
      <c r="B5775" s="71" t="s">
        <v>187</v>
      </c>
      <c r="C5775" s="71" t="s">
        <v>16846</v>
      </c>
    </row>
    <row r="5776">
      <c r="A5776" s="234" t="s">
        <v>24551</v>
      </c>
      <c r="B5776" s="71" t="s">
        <v>169</v>
      </c>
      <c r="C5776" s="71" t="s">
        <v>16945</v>
      </c>
    </row>
    <row r="5777">
      <c r="A5777" s="234" t="s">
        <v>24551</v>
      </c>
      <c r="B5777" s="71" t="s">
        <v>16945</v>
      </c>
      <c r="C5777" s="130" t="s">
        <v>169</v>
      </c>
    </row>
    <row r="5778">
      <c r="A5778" s="130" t="s">
        <v>24553</v>
      </c>
      <c r="B5778" s="71" t="s">
        <v>187</v>
      </c>
      <c r="C5778" s="71" t="s">
        <v>16846</v>
      </c>
    </row>
    <row r="5779">
      <c r="A5779" s="130" t="s">
        <v>24555</v>
      </c>
      <c r="B5779" s="71" t="s">
        <v>16838</v>
      </c>
      <c r="C5779" s="71" t="s">
        <v>16867</v>
      </c>
    </row>
    <row r="5780">
      <c r="A5780" s="130" t="s">
        <v>24557</v>
      </c>
      <c r="B5780" s="71" t="s">
        <v>175</v>
      </c>
      <c r="C5780" s="71" t="s">
        <v>16824</v>
      </c>
    </row>
    <row r="5781">
      <c r="A5781" s="234" t="s">
        <v>24559</v>
      </c>
      <c r="B5781" s="71" t="s">
        <v>17629</v>
      </c>
      <c r="C5781" s="71" t="s">
        <v>17452</v>
      </c>
    </row>
    <row r="5782">
      <c r="A5782" s="234" t="s">
        <v>24559</v>
      </c>
      <c r="B5782" s="71" t="s">
        <v>17452</v>
      </c>
      <c r="C5782" s="71" t="s">
        <v>17629</v>
      </c>
    </row>
    <row r="5783">
      <c r="A5783" s="130" t="s">
        <v>24561</v>
      </c>
      <c r="B5783" s="71" t="s">
        <v>187</v>
      </c>
      <c r="C5783" s="71" t="s">
        <v>16846</v>
      </c>
    </row>
    <row r="5784">
      <c r="A5784" s="130" t="s">
        <v>24563</v>
      </c>
      <c r="B5784" s="71" t="s">
        <v>16838</v>
      </c>
      <c r="C5784" s="71" t="s">
        <v>17202</v>
      </c>
    </row>
    <row r="5785">
      <c r="A5785" s="234" t="s">
        <v>24565</v>
      </c>
      <c r="B5785" s="71" t="s">
        <v>16919</v>
      </c>
      <c r="C5785" s="71" t="s">
        <v>16920</v>
      </c>
    </row>
    <row r="5786">
      <c r="A5786" s="234" t="s">
        <v>24565</v>
      </c>
      <c r="B5786" s="71" t="s">
        <v>16920</v>
      </c>
      <c r="C5786" s="71" t="s">
        <v>16919</v>
      </c>
    </row>
    <row r="5787">
      <c r="A5787" s="130" t="s">
        <v>24567</v>
      </c>
      <c r="B5787" s="71" t="s">
        <v>175</v>
      </c>
      <c r="C5787" s="71" t="s">
        <v>17031</v>
      </c>
    </row>
    <row r="5788">
      <c r="A5788" s="130" t="s">
        <v>24569</v>
      </c>
      <c r="B5788" s="71" t="s">
        <v>175</v>
      </c>
      <c r="C5788" s="71" t="s">
        <v>17084</v>
      </c>
    </row>
    <row r="5789">
      <c r="A5789" s="234" t="s">
        <v>24571</v>
      </c>
      <c r="B5789" s="71" t="s">
        <v>17104</v>
      </c>
      <c r="C5789" s="71" t="s">
        <v>16838</v>
      </c>
    </row>
    <row r="5790">
      <c r="A5790" s="234" t="s">
        <v>24571</v>
      </c>
      <c r="B5790" s="71" t="s">
        <v>16838</v>
      </c>
      <c r="C5790" s="71" t="s">
        <v>17104</v>
      </c>
    </row>
    <row r="5791">
      <c r="A5791" s="130" t="s">
        <v>24573</v>
      </c>
      <c r="B5791" s="71" t="s">
        <v>16838</v>
      </c>
      <c r="C5791" s="71" t="s">
        <v>17002</v>
      </c>
    </row>
    <row r="5792">
      <c r="A5792" s="130" t="s">
        <v>24575</v>
      </c>
      <c r="B5792" s="71" t="s">
        <v>16582</v>
      </c>
      <c r="C5792" s="71" t="s">
        <v>16817</v>
      </c>
    </row>
    <row r="5793">
      <c r="A5793" s="130" t="s">
        <v>24577</v>
      </c>
      <c r="B5793" s="71" t="s">
        <v>16838</v>
      </c>
      <c r="C5793" s="71" t="s">
        <v>18219</v>
      </c>
    </row>
    <row r="5794">
      <c r="A5794" s="130" t="s">
        <v>24579</v>
      </c>
      <c r="B5794" s="71" t="s">
        <v>16582</v>
      </c>
      <c r="C5794" s="71" t="s">
        <v>17183</v>
      </c>
    </row>
    <row r="5795">
      <c r="A5795" s="130" t="s">
        <v>24581</v>
      </c>
      <c r="B5795" s="71" t="s">
        <v>187</v>
      </c>
      <c r="C5795" s="71" t="s">
        <v>17122</v>
      </c>
    </row>
    <row r="5796">
      <c r="A5796" s="130" t="s">
        <v>24583</v>
      </c>
      <c r="B5796" s="71" t="s">
        <v>175</v>
      </c>
      <c r="C5796" s="71" t="s">
        <v>17233</v>
      </c>
    </row>
    <row r="5797">
      <c r="A5797" s="130" t="s">
        <v>24585</v>
      </c>
      <c r="B5797" s="71" t="s">
        <v>187</v>
      </c>
      <c r="C5797" s="71" t="s">
        <v>16846</v>
      </c>
    </row>
    <row r="5798">
      <c r="A5798" s="130" t="s">
        <v>24587</v>
      </c>
      <c r="B5798" s="71" t="s">
        <v>16838</v>
      </c>
      <c r="C5798" s="71" t="s">
        <v>16867</v>
      </c>
    </row>
    <row r="5799">
      <c r="A5799" s="234" t="s">
        <v>24589</v>
      </c>
      <c r="B5799" s="71" t="s">
        <v>16919</v>
      </c>
      <c r="C5799" s="71" t="s">
        <v>17048</v>
      </c>
    </row>
    <row r="5800">
      <c r="A5800" s="234" t="s">
        <v>24589</v>
      </c>
      <c r="B5800" s="71" t="s">
        <v>17048</v>
      </c>
      <c r="C5800" s="71" t="s">
        <v>16919</v>
      </c>
    </row>
    <row r="5801">
      <c r="A5801" s="130" t="s">
        <v>24591</v>
      </c>
      <c r="B5801" s="71" t="s">
        <v>175</v>
      </c>
      <c r="C5801" s="71" t="s">
        <v>17480</v>
      </c>
    </row>
    <row r="5802">
      <c r="A5802" s="234" t="s">
        <v>24593</v>
      </c>
      <c r="B5802" s="71" t="s">
        <v>17629</v>
      </c>
      <c r="C5802" s="71" t="s">
        <v>16899</v>
      </c>
    </row>
    <row r="5803">
      <c r="A5803" s="234" t="s">
        <v>24593</v>
      </c>
      <c r="B5803" s="71" t="s">
        <v>16899</v>
      </c>
      <c r="C5803" s="71" t="s">
        <v>17629</v>
      </c>
    </row>
    <row r="5804">
      <c r="A5804" s="130" t="s">
        <v>24595</v>
      </c>
      <c r="B5804" s="71" t="s">
        <v>16838</v>
      </c>
      <c r="C5804" s="71" t="s">
        <v>16867</v>
      </c>
    </row>
    <row r="5805">
      <c r="A5805" s="234" t="s">
        <v>24597</v>
      </c>
      <c r="B5805" s="71" t="s">
        <v>17127</v>
      </c>
      <c r="C5805" s="71" t="s">
        <v>16838</v>
      </c>
    </row>
    <row r="5806">
      <c r="A5806" s="234" t="s">
        <v>24597</v>
      </c>
      <c r="B5806" s="71" t="s">
        <v>16838</v>
      </c>
      <c r="C5806" s="71" t="s">
        <v>17127</v>
      </c>
    </row>
    <row r="5807">
      <c r="A5807" s="234" t="s">
        <v>24599</v>
      </c>
      <c r="B5807" s="71" t="s">
        <v>17111</v>
      </c>
      <c r="C5807" s="71" t="s">
        <v>17112</v>
      </c>
    </row>
    <row r="5808">
      <c r="A5808" s="234" t="s">
        <v>24599</v>
      </c>
      <c r="B5808" s="71" t="s">
        <v>17112</v>
      </c>
      <c r="C5808" s="71" t="s">
        <v>17111</v>
      </c>
    </row>
    <row r="5809">
      <c r="A5809" s="130" t="s">
        <v>24601</v>
      </c>
      <c r="B5809" s="71" t="s">
        <v>16885</v>
      </c>
      <c r="C5809" s="71" t="s">
        <v>17726</v>
      </c>
    </row>
    <row r="5810">
      <c r="A5810" s="130" t="s">
        <v>24603</v>
      </c>
      <c r="B5810" s="71" t="s">
        <v>16582</v>
      </c>
      <c r="C5810" s="71" t="s">
        <v>16930</v>
      </c>
    </row>
    <row r="5811">
      <c r="A5811" s="130" t="s">
        <v>24605</v>
      </c>
      <c r="B5811" s="71" t="s">
        <v>16838</v>
      </c>
      <c r="C5811" s="71" t="s">
        <v>16867</v>
      </c>
    </row>
    <row r="5812">
      <c r="A5812" s="130" t="s">
        <v>24607</v>
      </c>
      <c r="B5812" s="71" t="s">
        <v>16582</v>
      </c>
      <c r="C5812" s="71" t="s">
        <v>16817</v>
      </c>
    </row>
    <row r="5813">
      <c r="A5813" s="130" t="s">
        <v>24609</v>
      </c>
      <c r="B5813" s="71" t="s">
        <v>16838</v>
      </c>
      <c r="C5813" s="71" t="s">
        <v>17016</v>
      </c>
    </row>
    <row r="5814">
      <c r="A5814" s="234" t="s">
        <v>24611</v>
      </c>
      <c r="B5814" s="71" t="s">
        <v>16885</v>
      </c>
      <c r="C5814" s="71" t="s">
        <v>18381</v>
      </c>
    </row>
    <row r="5815">
      <c r="A5815" s="234" t="s">
        <v>24611</v>
      </c>
      <c r="B5815" s="71" t="s">
        <v>18381</v>
      </c>
      <c r="C5815" s="71" t="s">
        <v>16885</v>
      </c>
    </row>
    <row r="5816">
      <c r="A5816" s="130" t="s">
        <v>24613</v>
      </c>
      <c r="B5816" s="71" t="s">
        <v>16838</v>
      </c>
      <c r="C5816" s="71" t="s">
        <v>18956</v>
      </c>
    </row>
    <row r="5817">
      <c r="A5817" s="130" t="s">
        <v>24615</v>
      </c>
      <c r="B5817" s="71" t="s">
        <v>16838</v>
      </c>
      <c r="C5817" s="71" t="s">
        <v>17002</v>
      </c>
    </row>
    <row r="5818">
      <c r="A5818" s="130" t="s">
        <v>24617</v>
      </c>
      <c r="B5818" s="71" t="s">
        <v>16582</v>
      </c>
      <c r="C5818" s="71" t="s">
        <v>16817</v>
      </c>
    </row>
    <row r="5819">
      <c r="A5819" s="130" t="s">
        <v>24619</v>
      </c>
      <c r="B5819" s="71" t="s">
        <v>16838</v>
      </c>
      <c r="C5819" s="71" t="s">
        <v>16867</v>
      </c>
    </row>
    <row r="5820">
      <c r="A5820" s="130" t="s">
        <v>24621</v>
      </c>
      <c r="B5820" s="71" t="s">
        <v>16582</v>
      </c>
      <c r="C5820" s="71" t="s">
        <v>16817</v>
      </c>
    </row>
    <row r="5821">
      <c r="A5821" s="234" t="s">
        <v>24623</v>
      </c>
      <c r="B5821" s="71" t="s">
        <v>158</v>
      </c>
      <c r="C5821" s="71" t="s">
        <v>16864</v>
      </c>
    </row>
    <row r="5822">
      <c r="A5822" s="234" t="s">
        <v>24623</v>
      </c>
      <c r="B5822" s="71" t="s">
        <v>16864</v>
      </c>
      <c r="C5822" s="130" t="s">
        <v>158</v>
      </c>
    </row>
    <row r="5823">
      <c r="A5823" s="130" t="s">
        <v>24625</v>
      </c>
      <c r="B5823" s="71" t="s">
        <v>16838</v>
      </c>
      <c r="C5823" s="71" t="s">
        <v>16867</v>
      </c>
    </row>
    <row r="5824">
      <c r="A5824" s="130" t="s">
        <v>24627</v>
      </c>
      <c r="B5824" s="71" t="s">
        <v>187</v>
      </c>
      <c r="C5824" s="71" t="s">
        <v>16851</v>
      </c>
    </row>
    <row r="5825">
      <c r="A5825" s="130" t="s">
        <v>24629</v>
      </c>
      <c r="B5825" s="71" t="s">
        <v>175</v>
      </c>
      <c r="C5825" s="71" t="s">
        <v>17084</v>
      </c>
    </row>
    <row r="5826">
      <c r="A5826" s="130" t="s">
        <v>24631</v>
      </c>
      <c r="B5826" s="71" t="s">
        <v>187</v>
      </c>
      <c r="C5826" s="71" t="s">
        <v>16846</v>
      </c>
    </row>
    <row r="5827">
      <c r="A5827" s="234" t="s">
        <v>24633</v>
      </c>
      <c r="B5827" s="71" t="s">
        <v>175</v>
      </c>
      <c r="C5827" s="71" t="s">
        <v>17509</v>
      </c>
    </row>
    <row r="5828">
      <c r="A5828" s="234" t="s">
        <v>24633</v>
      </c>
      <c r="B5828" s="71" t="s">
        <v>17509</v>
      </c>
      <c r="C5828" s="71" t="s">
        <v>175</v>
      </c>
    </row>
    <row r="5829">
      <c r="A5829" s="234" t="s">
        <v>24635</v>
      </c>
      <c r="B5829" s="71" t="s">
        <v>16582</v>
      </c>
      <c r="C5829" s="71" t="s">
        <v>16828</v>
      </c>
    </row>
    <row r="5830">
      <c r="A5830" s="234" t="s">
        <v>24635</v>
      </c>
      <c r="B5830" s="71" t="s">
        <v>16828</v>
      </c>
      <c r="C5830" s="71" t="s">
        <v>16582</v>
      </c>
    </row>
    <row r="5831">
      <c r="A5831" s="234" t="s">
        <v>24637</v>
      </c>
      <c r="B5831" s="71" t="s">
        <v>169</v>
      </c>
      <c r="C5831" s="71" t="s">
        <v>17025</v>
      </c>
    </row>
    <row r="5832">
      <c r="A5832" s="234" t="s">
        <v>24637</v>
      </c>
      <c r="B5832" s="71" t="s">
        <v>17025</v>
      </c>
      <c r="C5832" s="130" t="s">
        <v>169</v>
      </c>
    </row>
    <row r="5833">
      <c r="A5833" s="234" t="s">
        <v>24639</v>
      </c>
      <c r="B5833" s="71" t="s">
        <v>16885</v>
      </c>
      <c r="C5833" s="71" t="s">
        <v>17726</v>
      </c>
    </row>
    <row r="5834">
      <c r="A5834" s="234" t="s">
        <v>24639</v>
      </c>
      <c r="B5834" s="71" t="s">
        <v>17726</v>
      </c>
      <c r="C5834" s="130" t="s">
        <v>16885</v>
      </c>
    </row>
    <row r="5835">
      <c r="A5835" s="130" t="s">
        <v>24641</v>
      </c>
      <c r="B5835" s="71" t="s">
        <v>16838</v>
      </c>
      <c r="C5835" s="71" t="s">
        <v>17104</v>
      </c>
    </row>
    <row r="5836">
      <c r="A5836" s="130" t="s">
        <v>24643</v>
      </c>
      <c r="B5836" s="71"/>
      <c r="C5836" s="71"/>
    </row>
    <row r="5837">
      <c r="A5837" s="130" t="s">
        <v>24645</v>
      </c>
      <c r="B5837" s="71" t="s">
        <v>175</v>
      </c>
      <c r="C5837" s="71" t="s">
        <v>17812</v>
      </c>
    </row>
    <row r="5838">
      <c r="A5838" s="130" t="s">
        <v>24647</v>
      </c>
      <c r="B5838" s="71" t="s">
        <v>175</v>
      </c>
      <c r="C5838" s="71" t="s">
        <v>17218</v>
      </c>
    </row>
    <row r="5839">
      <c r="A5839" s="234" t="s">
        <v>24649</v>
      </c>
      <c r="B5839" s="71" t="s">
        <v>17112</v>
      </c>
      <c r="C5839" s="71" t="s">
        <v>17787</v>
      </c>
    </row>
    <row r="5840">
      <c r="A5840" s="234" t="s">
        <v>24649</v>
      </c>
      <c r="B5840" s="71" t="s">
        <v>17787</v>
      </c>
      <c r="C5840" s="71" t="s">
        <v>17112</v>
      </c>
    </row>
    <row r="5841">
      <c r="A5841" s="234" t="s">
        <v>24651</v>
      </c>
      <c r="B5841" s="71" t="s">
        <v>17016</v>
      </c>
      <c r="C5841" s="71" t="s">
        <v>16838</v>
      </c>
    </row>
    <row r="5842">
      <c r="A5842" s="234" t="s">
        <v>24651</v>
      </c>
      <c r="B5842" s="71" t="s">
        <v>16838</v>
      </c>
      <c r="C5842" s="71" t="s">
        <v>17016</v>
      </c>
    </row>
    <row r="5843">
      <c r="A5843" s="234" t="s">
        <v>24653</v>
      </c>
      <c r="B5843" s="71"/>
      <c r="C5843" s="71"/>
    </row>
    <row r="5844">
      <c r="A5844" s="234" t="s">
        <v>24653</v>
      </c>
      <c r="B5844" s="71"/>
      <c r="C5844" s="71"/>
    </row>
    <row r="5845">
      <c r="A5845" s="130" t="s">
        <v>24655</v>
      </c>
      <c r="B5845" s="71" t="s">
        <v>16919</v>
      </c>
      <c r="C5845" s="71" t="s">
        <v>17794</v>
      </c>
    </row>
    <row r="5846">
      <c r="A5846" s="130" t="s">
        <v>24657</v>
      </c>
      <c r="B5846" s="71" t="s">
        <v>158</v>
      </c>
      <c r="C5846" s="71" t="s">
        <v>17171</v>
      </c>
    </row>
    <row r="5847">
      <c r="A5847" s="234" t="s">
        <v>24659</v>
      </c>
      <c r="B5847" s="71" t="s">
        <v>19644</v>
      </c>
      <c r="C5847" s="71" t="s">
        <v>16838</v>
      </c>
    </row>
    <row r="5848">
      <c r="A5848" s="234" t="s">
        <v>24659</v>
      </c>
      <c r="B5848" s="71" t="s">
        <v>16838</v>
      </c>
      <c r="C5848" s="71" t="s">
        <v>19644</v>
      </c>
    </row>
    <row r="5849">
      <c r="A5849" s="130" t="s">
        <v>24661</v>
      </c>
      <c r="B5849" s="71" t="s">
        <v>175</v>
      </c>
      <c r="C5849" s="71" t="s">
        <v>17069</v>
      </c>
    </row>
    <row r="5850">
      <c r="A5850" s="130" t="s">
        <v>24663</v>
      </c>
      <c r="B5850" s="71" t="s">
        <v>187</v>
      </c>
      <c r="C5850" s="71" t="s">
        <v>16858</v>
      </c>
    </row>
    <row r="5851">
      <c r="A5851" s="234" t="s">
        <v>24665</v>
      </c>
      <c r="B5851" s="71" t="s">
        <v>16945</v>
      </c>
      <c r="C5851" s="71" t="s">
        <v>169</v>
      </c>
    </row>
    <row r="5852">
      <c r="A5852" s="234" t="s">
        <v>24665</v>
      </c>
      <c r="B5852" s="71" t="s">
        <v>169</v>
      </c>
      <c r="C5852" s="71" t="s">
        <v>16945</v>
      </c>
    </row>
    <row r="5853">
      <c r="A5853" s="130" t="s">
        <v>24667</v>
      </c>
      <c r="B5853" s="71" t="s">
        <v>16838</v>
      </c>
      <c r="C5853" s="71" t="s">
        <v>16867</v>
      </c>
    </row>
    <row r="5854">
      <c r="A5854" s="130" t="s">
        <v>24669</v>
      </c>
      <c r="B5854" s="71" t="s">
        <v>17629</v>
      </c>
      <c r="C5854" s="71" t="s">
        <v>16899</v>
      </c>
    </row>
    <row r="5855">
      <c r="A5855" s="130" t="s">
        <v>24671</v>
      </c>
      <c r="B5855" s="71" t="s">
        <v>187</v>
      </c>
      <c r="C5855" s="71" t="s">
        <v>23634</v>
      </c>
    </row>
    <row r="5856">
      <c r="A5856" s="130" t="s">
        <v>24673</v>
      </c>
      <c r="B5856" s="71" t="s">
        <v>16838</v>
      </c>
      <c r="C5856" s="71" t="s">
        <v>17838</v>
      </c>
    </row>
    <row r="5857">
      <c r="A5857" s="130" t="s">
        <v>24675</v>
      </c>
      <c r="B5857" s="71" t="s">
        <v>16838</v>
      </c>
      <c r="C5857" s="71" t="s">
        <v>17016</v>
      </c>
    </row>
    <row r="5858">
      <c r="A5858" s="130" t="s">
        <v>24677</v>
      </c>
      <c r="B5858" s="71" t="s">
        <v>187</v>
      </c>
      <c r="C5858" s="71" t="s">
        <v>16858</v>
      </c>
    </row>
    <row r="5859">
      <c r="A5859" s="234" t="s">
        <v>24679</v>
      </c>
      <c r="B5859" s="71" t="s">
        <v>18679</v>
      </c>
      <c r="C5859" s="71" t="s">
        <v>16838</v>
      </c>
    </row>
    <row r="5860">
      <c r="A5860" s="234" t="s">
        <v>24679</v>
      </c>
      <c r="B5860" s="71" t="s">
        <v>16838</v>
      </c>
      <c r="C5860" s="71" t="s">
        <v>18679</v>
      </c>
    </row>
    <row r="5861">
      <c r="A5861" s="234" t="s">
        <v>24681</v>
      </c>
      <c r="B5861" s="71" t="s">
        <v>17127</v>
      </c>
      <c r="C5861" s="71" t="s">
        <v>16838</v>
      </c>
    </row>
    <row r="5862">
      <c r="A5862" s="234" t="s">
        <v>24681</v>
      </c>
      <c r="B5862" s="71" t="s">
        <v>16838</v>
      </c>
      <c r="C5862" s="71" t="s">
        <v>17127</v>
      </c>
    </row>
    <row r="5863">
      <c r="A5863" s="130" t="s">
        <v>24683</v>
      </c>
      <c r="B5863" s="71"/>
      <c r="C5863" s="71"/>
    </row>
    <row r="5864">
      <c r="A5864" s="130" t="s">
        <v>24685</v>
      </c>
      <c r="B5864" s="71" t="s">
        <v>187</v>
      </c>
      <c r="C5864" s="71" t="s">
        <v>16858</v>
      </c>
    </row>
    <row r="5865">
      <c r="A5865" s="234" t="s">
        <v>24687</v>
      </c>
      <c r="B5865" s="71" t="s">
        <v>17016</v>
      </c>
      <c r="C5865" s="71" t="s">
        <v>16838</v>
      </c>
    </row>
    <row r="5866">
      <c r="A5866" s="234" t="s">
        <v>24687</v>
      </c>
      <c r="B5866" s="71" t="s">
        <v>16838</v>
      </c>
      <c r="C5866" s="71" t="s">
        <v>17016</v>
      </c>
    </row>
    <row r="5867">
      <c r="A5867" s="234" t="s">
        <v>24689</v>
      </c>
      <c r="B5867" s="71" t="s">
        <v>175</v>
      </c>
      <c r="C5867" s="71" t="s">
        <v>17233</v>
      </c>
    </row>
    <row r="5868">
      <c r="A5868" s="234" t="s">
        <v>24689</v>
      </c>
      <c r="B5868" s="71" t="s">
        <v>17233</v>
      </c>
      <c r="C5868" s="71" t="s">
        <v>175</v>
      </c>
    </row>
    <row r="5869">
      <c r="A5869" s="130" t="s">
        <v>24691</v>
      </c>
      <c r="B5869" s="71" t="s">
        <v>158</v>
      </c>
      <c r="C5869" s="71" t="s">
        <v>17171</v>
      </c>
    </row>
    <row r="5870">
      <c r="A5870" s="130" t="s">
        <v>24693</v>
      </c>
      <c r="B5870" s="71" t="s">
        <v>16838</v>
      </c>
      <c r="C5870" s="71" t="s">
        <v>17202</v>
      </c>
    </row>
    <row r="5871">
      <c r="A5871" s="130" t="s">
        <v>24695</v>
      </c>
      <c r="B5871" s="71" t="s">
        <v>187</v>
      </c>
      <c r="C5871" s="71" t="s">
        <v>16858</v>
      </c>
    </row>
    <row r="5872">
      <c r="A5872" s="234" t="s">
        <v>24697</v>
      </c>
      <c r="B5872" s="71" t="s">
        <v>17112</v>
      </c>
      <c r="C5872" s="71" t="s">
        <v>16838</v>
      </c>
    </row>
    <row r="5873">
      <c r="A5873" s="234" t="s">
        <v>24697</v>
      </c>
      <c r="B5873" s="71" t="s">
        <v>16838</v>
      </c>
      <c r="C5873" s="71" t="s">
        <v>17112</v>
      </c>
    </row>
    <row r="5874">
      <c r="A5874" s="130" t="s">
        <v>24699</v>
      </c>
      <c r="B5874" s="71" t="s">
        <v>175</v>
      </c>
      <c r="C5874" s="71" t="s">
        <v>17812</v>
      </c>
    </row>
    <row r="5875">
      <c r="A5875" s="130" t="s">
        <v>24701</v>
      </c>
      <c r="B5875" s="71" t="s">
        <v>16582</v>
      </c>
      <c r="C5875" s="71" t="s">
        <v>16930</v>
      </c>
    </row>
    <row r="5876">
      <c r="A5876" s="130" t="s">
        <v>24703</v>
      </c>
      <c r="B5876" s="71" t="s">
        <v>16838</v>
      </c>
      <c r="C5876" s="71" t="s">
        <v>19644</v>
      </c>
    </row>
    <row r="5877">
      <c r="A5877" s="130" t="s">
        <v>24704</v>
      </c>
      <c r="B5877" s="71" t="s">
        <v>187</v>
      </c>
      <c r="C5877" s="71" t="s">
        <v>16846</v>
      </c>
    </row>
    <row r="5878">
      <c r="A5878" s="130" t="s">
        <v>24706</v>
      </c>
      <c r="B5878" s="71" t="s">
        <v>16582</v>
      </c>
      <c r="C5878" s="71" t="s">
        <v>17435</v>
      </c>
    </row>
    <row r="5879">
      <c r="A5879" s="130" t="s">
        <v>24708</v>
      </c>
      <c r="B5879" s="71" t="s">
        <v>175</v>
      </c>
      <c r="C5879" s="71" t="s">
        <v>17812</v>
      </c>
    </row>
    <row r="5880">
      <c r="A5880" s="130" t="s">
        <v>24710</v>
      </c>
      <c r="B5880" s="71" t="s">
        <v>16838</v>
      </c>
      <c r="C5880" s="71" t="s">
        <v>16867</v>
      </c>
    </row>
    <row r="5881">
      <c r="A5881" s="130" t="s">
        <v>24712</v>
      </c>
      <c r="B5881" s="71" t="s">
        <v>187</v>
      </c>
      <c r="C5881" s="71" t="s">
        <v>16846</v>
      </c>
    </row>
    <row r="5882">
      <c r="A5882" s="130" t="s">
        <v>24714</v>
      </c>
      <c r="B5882" s="71" t="s">
        <v>16838</v>
      </c>
      <c r="C5882" s="71" t="s">
        <v>16837</v>
      </c>
    </row>
    <row r="5883">
      <c r="A5883" s="234" t="s">
        <v>24716</v>
      </c>
      <c r="B5883" s="71"/>
      <c r="C5883" s="71"/>
    </row>
    <row r="5884">
      <c r="A5884" s="234" t="s">
        <v>24716</v>
      </c>
      <c r="B5884" s="71"/>
      <c r="C5884" s="71"/>
    </row>
    <row r="5885">
      <c r="A5885" s="130" t="s">
        <v>24718</v>
      </c>
      <c r="B5885" s="71" t="s">
        <v>175</v>
      </c>
      <c r="C5885" s="71" t="s">
        <v>17509</v>
      </c>
    </row>
    <row r="5886">
      <c r="A5886" s="130" t="s">
        <v>24720</v>
      </c>
      <c r="B5886" s="71" t="s">
        <v>169</v>
      </c>
      <c r="C5886" s="71" t="s">
        <v>16851</v>
      </c>
    </row>
    <row r="5887">
      <c r="A5887" s="130" t="s">
        <v>24722</v>
      </c>
      <c r="B5887" s="71" t="s">
        <v>187</v>
      </c>
      <c r="C5887" s="71" t="s">
        <v>16846</v>
      </c>
    </row>
    <row r="5888">
      <c r="A5888" s="130" t="s">
        <v>24724</v>
      </c>
      <c r="B5888" s="71" t="s">
        <v>16838</v>
      </c>
      <c r="C5888" s="71" t="s">
        <v>16867</v>
      </c>
    </row>
    <row r="5889">
      <c r="A5889" s="234" t="s">
        <v>24726</v>
      </c>
      <c r="B5889" s="71" t="s">
        <v>16582</v>
      </c>
      <c r="C5889" s="71" t="s">
        <v>16899</v>
      </c>
    </row>
    <row r="5890">
      <c r="A5890" s="234" t="s">
        <v>24726</v>
      </c>
      <c r="B5890" s="71" t="s">
        <v>16899</v>
      </c>
      <c r="C5890" s="71" t="s">
        <v>16582</v>
      </c>
    </row>
    <row r="5891">
      <c r="A5891" s="130" t="s">
        <v>24728</v>
      </c>
      <c r="B5891" s="71" t="s">
        <v>175</v>
      </c>
      <c r="C5891" s="71" t="s">
        <v>17350</v>
      </c>
    </row>
    <row r="5892">
      <c r="A5892" s="130" t="s">
        <v>24730</v>
      </c>
      <c r="B5892" s="71" t="s">
        <v>16582</v>
      </c>
      <c r="C5892" s="71" t="s">
        <v>16930</v>
      </c>
    </row>
    <row r="5893">
      <c r="A5893" s="130" t="s">
        <v>24732</v>
      </c>
      <c r="B5893" s="71" t="s">
        <v>187</v>
      </c>
      <c r="C5893" s="71" t="s">
        <v>16846</v>
      </c>
    </row>
    <row r="5894">
      <c r="A5894" s="234" t="s">
        <v>24734</v>
      </c>
      <c r="B5894" s="71" t="s">
        <v>158</v>
      </c>
      <c r="C5894" s="71" t="s">
        <v>16864</v>
      </c>
    </row>
    <row r="5895">
      <c r="A5895" s="234" t="s">
        <v>24734</v>
      </c>
      <c r="B5895" s="71" t="s">
        <v>16864</v>
      </c>
      <c r="C5895" s="130" t="s">
        <v>158</v>
      </c>
    </row>
    <row r="5896">
      <c r="A5896" s="130" t="s">
        <v>24736</v>
      </c>
      <c r="B5896" s="71" t="s">
        <v>187</v>
      </c>
      <c r="C5896" s="71" t="s">
        <v>17559</v>
      </c>
    </row>
    <row r="5897">
      <c r="A5897" s="130" t="s">
        <v>24738</v>
      </c>
      <c r="B5897" s="71" t="s">
        <v>187</v>
      </c>
      <c r="C5897" s="71" t="s">
        <v>16992</v>
      </c>
    </row>
    <row r="5898">
      <c r="A5898" s="130" t="s">
        <v>24740</v>
      </c>
      <c r="B5898" s="71" t="s">
        <v>158</v>
      </c>
      <c r="C5898" s="71" t="s">
        <v>16864</v>
      </c>
    </row>
    <row r="5899">
      <c r="A5899" s="130" t="s">
        <v>24742</v>
      </c>
      <c r="B5899" s="71" t="s">
        <v>169</v>
      </c>
      <c r="C5899" s="71" t="s">
        <v>16899</v>
      </c>
    </row>
    <row r="5900">
      <c r="A5900" s="234" t="s">
        <v>24744</v>
      </c>
      <c r="B5900" s="71"/>
      <c r="C5900" s="71"/>
    </row>
    <row r="5901">
      <c r="A5901" s="234" t="s">
        <v>24744</v>
      </c>
      <c r="B5901" s="71"/>
      <c r="C5901" s="71"/>
    </row>
    <row r="5902">
      <c r="A5902" s="234" t="s">
        <v>24746</v>
      </c>
      <c r="B5902" s="71" t="s">
        <v>19644</v>
      </c>
      <c r="C5902" s="71" t="s">
        <v>16838</v>
      </c>
    </row>
    <row r="5903">
      <c r="A5903" s="234" t="s">
        <v>24746</v>
      </c>
      <c r="B5903" s="71" t="s">
        <v>16838</v>
      </c>
      <c r="C5903" s="71" t="s">
        <v>19644</v>
      </c>
    </row>
    <row r="5904">
      <c r="A5904" s="130" t="s">
        <v>24748</v>
      </c>
      <c r="B5904" s="71"/>
      <c r="C5904" s="71"/>
    </row>
    <row r="5905">
      <c r="A5905" s="130" t="s">
        <v>24750</v>
      </c>
      <c r="B5905" s="71" t="s">
        <v>187</v>
      </c>
      <c r="C5905" s="71" t="s">
        <v>16846</v>
      </c>
    </row>
    <row r="5906">
      <c r="A5906" s="130" t="s">
        <v>24752</v>
      </c>
      <c r="B5906" s="71" t="s">
        <v>175</v>
      </c>
      <c r="C5906" s="71" t="s">
        <v>17619</v>
      </c>
    </row>
    <row r="5907">
      <c r="A5907" s="234" t="s">
        <v>24754</v>
      </c>
      <c r="B5907" s="71" t="s">
        <v>16838</v>
      </c>
      <c r="C5907" s="71" t="s">
        <v>18679</v>
      </c>
    </row>
    <row r="5908">
      <c r="A5908" s="234" t="s">
        <v>24754</v>
      </c>
      <c r="B5908" s="71" t="s">
        <v>18679</v>
      </c>
      <c r="C5908" s="71" t="s">
        <v>16838</v>
      </c>
    </row>
    <row r="5909">
      <c r="A5909" s="130" t="s">
        <v>24756</v>
      </c>
      <c r="B5909" s="71" t="s">
        <v>187</v>
      </c>
      <c r="C5909" s="71" t="s">
        <v>16846</v>
      </c>
    </row>
    <row r="5910">
      <c r="A5910" s="130" t="s">
        <v>24758</v>
      </c>
      <c r="B5910" s="71" t="s">
        <v>16838</v>
      </c>
      <c r="C5910" s="71" t="s">
        <v>17002</v>
      </c>
    </row>
    <row r="5911">
      <c r="A5911" s="130" t="s">
        <v>24760</v>
      </c>
      <c r="B5911" s="71" t="s">
        <v>16885</v>
      </c>
      <c r="C5911" s="71" t="s">
        <v>16886</v>
      </c>
    </row>
    <row r="5912">
      <c r="A5912" s="130" t="s">
        <v>24762</v>
      </c>
      <c r="B5912" s="71" t="s">
        <v>16910</v>
      </c>
      <c r="C5912" s="71" t="s">
        <v>17137</v>
      </c>
    </row>
    <row r="5913">
      <c r="A5913" s="130" t="s">
        <v>24764</v>
      </c>
      <c r="B5913" s="71" t="s">
        <v>16838</v>
      </c>
      <c r="C5913" s="71" t="s">
        <v>16837</v>
      </c>
    </row>
    <row r="5914">
      <c r="A5914" s="234" t="s">
        <v>24766</v>
      </c>
      <c r="B5914" s="71" t="s">
        <v>16885</v>
      </c>
      <c r="C5914" s="71" t="s">
        <v>17726</v>
      </c>
    </row>
    <row r="5915">
      <c r="A5915" s="234" t="s">
        <v>24766</v>
      </c>
      <c r="B5915" s="71" t="s">
        <v>17726</v>
      </c>
      <c r="C5915" s="130" t="s">
        <v>16885</v>
      </c>
    </row>
    <row r="5916">
      <c r="A5916" s="234" t="s">
        <v>24768</v>
      </c>
      <c r="B5916" s="71"/>
      <c r="C5916" s="71"/>
    </row>
    <row r="5917">
      <c r="A5917" s="234" t="s">
        <v>24768</v>
      </c>
      <c r="B5917" s="71"/>
      <c r="C5917" s="71"/>
    </row>
    <row r="5918">
      <c r="A5918" s="130" t="s">
        <v>24770</v>
      </c>
      <c r="B5918" s="71" t="s">
        <v>175</v>
      </c>
      <c r="C5918" s="71" t="s">
        <v>19006</v>
      </c>
    </row>
    <row r="5919">
      <c r="A5919" s="130" t="s">
        <v>24772</v>
      </c>
      <c r="B5919" s="71" t="s">
        <v>187</v>
      </c>
      <c r="C5919" s="71" t="s">
        <v>16858</v>
      </c>
    </row>
    <row r="5920">
      <c r="A5920" s="130" t="s">
        <v>24774</v>
      </c>
      <c r="B5920" s="71" t="s">
        <v>16919</v>
      </c>
      <c r="C5920" s="71" t="s">
        <v>110</v>
      </c>
    </row>
    <row r="5921">
      <c r="A5921" s="130" t="s">
        <v>24776</v>
      </c>
      <c r="B5921" s="71" t="s">
        <v>187</v>
      </c>
      <c r="C5921" s="71" t="s">
        <v>16846</v>
      </c>
    </row>
    <row r="5922">
      <c r="A5922" s="130" t="s">
        <v>24778</v>
      </c>
      <c r="B5922" s="71" t="s">
        <v>187</v>
      </c>
      <c r="C5922" s="71" t="s">
        <v>16969</v>
      </c>
    </row>
    <row r="5923">
      <c r="A5923" s="234" t="s">
        <v>24780</v>
      </c>
      <c r="B5923" s="71" t="s">
        <v>16910</v>
      </c>
      <c r="C5923" s="71" t="s">
        <v>17648</v>
      </c>
    </row>
    <row r="5924">
      <c r="A5924" s="234" t="s">
        <v>24780</v>
      </c>
      <c r="B5924" s="71" t="s">
        <v>17648</v>
      </c>
      <c r="C5924" s="71" t="s">
        <v>16910</v>
      </c>
    </row>
    <row r="5925">
      <c r="A5925" s="130" t="s">
        <v>24782</v>
      </c>
      <c r="B5925" s="71" t="s">
        <v>175</v>
      </c>
      <c r="C5925" s="71" t="s">
        <v>17452</v>
      </c>
    </row>
    <row r="5926">
      <c r="A5926" s="130" t="s">
        <v>24784</v>
      </c>
      <c r="B5926" s="71" t="s">
        <v>187</v>
      </c>
      <c r="C5926" s="71" t="s">
        <v>16858</v>
      </c>
    </row>
    <row r="5927">
      <c r="A5927" s="234" t="s">
        <v>24786</v>
      </c>
      <c r="B5927" s="71" t="s">
        <v>16885</v>
      </c>
      <c r="C5927" s="71" t="s">
        <v>17726</v>
      </c>
    </row>
    <row r="5928">
      <c r="A5928" s="234" t="s">
        <v>24786</v>
      </c>
      <c r="B5928" s="71" t="s">
        <v>17726</v>
      </c>
      <c r="C5928" s="130" t="s">
        <v>16885</v>
      </c>
    </row>
    <row r="5929">
      <c r="A5929" s="130" t="s">
        <v>24788</v>
      </c>
      <c r="B5929" s="71" t="s">
        <v>187</v>
      </c>
      <c r="C5929" s="71" t="s">
        <v>16992</v>
      </c>
    </row>
    <row r="5930">
      <c r="A5930" s="130" t="s">
        <v>24790</v>
      </c>
      <c r="B5930" s="71" t="s">
        <v>16838</v>
      </c>
      <c r="C5930" s="71" t="s">
        <v>16867</v>
      </c>
    </row>
    <row r="5931">
      <c r="A5931" s="130" t="s">
        <v>24792</v>
      </c>
      <c r="B5931" s="71" t="s">
        <v>16838</v>
      </c>
      <c r="C5931" s="71" t="s">
        <v>18679</v>
      </c>
    </row>
    <row r="5932">
      <c r="A5932" s="130" t="s">
        <v>24794</v>
      </c>
      <c r="B5932" s="71"/>
      <c r="C5932" s="71"/>
    </row>
    <row r="5933">
      <c r="A5933" s="130" t="s">
        <v>24796</v>
      </c>
      <c r="B5933" s="71" t="s">
        <v>17112</v>
      </c>
      <c r="C5933" s="71" t="s">
        <v>17111</v>
      </c>
    </row>
    <row r="5934">
      <c r="A5934" s="130" t="s">
        <v>24798</v>
      </c>
      <c r="B5934" s="71" t="s">
        <v>16838</v>
      </c>
      <c r="C5934" s="71" t="s">
        <v>16867</v>
      </c>
    </row>
    <row r="5935">
      <c r="A5935" s="130" t="s">
        <v>24800</v>
      </c>
      <c r="B5935" s="71" t="s">
        <v>16582</v>
      </c>
      <c r="C5935" s="71" t="s">
        <v>16583</v>
      </c>
    </row>
    <row r="5936">
      <c r="A5936" s="130" t="s">
        <v>24802</v>
      </c>
      <c r="B5936" s="71" t="s">
        <v>187</v>
      </c>
      <c r="C5936" s="71" t="s">
        <v>17122</v>
      </c>
    </row>
    <row r="5937">
      <c r="A5937" s="130" t="s">
        <v>24804</v>
      </c>
      <c r="B5937" s="71" t="s">
        <v>175</v>
      </c>
      <c r="C5937" s="71" t="s">
        <v>17812</v>
      </c>
    </row>
    <row r="5938">
      <c r="A5938" s="130" t="s">
        <v>24806</v>
      </c>
      <c r="B5938" s="71" t="s">
        <v>175</v>
      </c>
      <c r="C5938" s="71" t="s">
        <v>18570</v>
      </c>
    </row>
    <row r="5939">
      <c r="A5939" s="130" t="s">
        <v>24808</v>
      </c>
      <c r="B5939" s="71" t="s">
        <v>16910</v>
      </c>
      <c r="C5939" s="71" t="s">
        <v>17119</v>
      </c>
    </row>
    <row r="5940">
      <c r="A5940" s="130" t="s">
        <v>24810</v>
      </c>
      <c r="B5940" s="71" t="s">
        <v>175</v>
      </c>
      <c r="C5940" s="71" t="s">
        <v>16957</v>
      </c>
    </row>
    <row r="5941">
      <c r="A5941" s="130" t="s">
        <v>24812</v>
      </c>
      <c r="B5941" s="71" t="s">
        <v>187</v>
      </c>
      <c r="C5941" s="71" t="s">
        <v>17122</v>
      </c>
    </row>
    <row r="5942">
      <c r="A5942" s="130" t="s">
        <v>24814</v>
      </c>
      <c r="B5942" s="71" t="s">
        <v>187</v>
      </c>
      <c r="C5942" s="71" t="s">
        <v>16858</v>
      </c>
    </row>
    <row r="5943">
      <c r="A5943" s="234" t="s">
        <v>24816</v>
      </c>
      <c r="B5943" s="71" t="s">
        <v>169</v>
      </c>
      <c r="C5943" s="71" t="s">
        <v>16899</v>
      </c>
    </row>
    <row r="5944">
      <c r="A5944" s="234" t="s">
        <v>24816</v>
      </c>
      <c r="B5944" s="71" t="s">
        <v>16899</v>
      </c>
      <c r="C5944" s="71" t="s">
        <v>169</v>
      </c>
    </row>
    <row r="5945">
      <c r="A5945" s="234" t="s">
        <v>24818</v>
      </c>
      <c r="B5945" s="71" t="s">
        <v>17016</v>
      </c>
      <c r="C5945" s="71" t="s">
        <v>16838</v>
      </c>
    </row>
    <row r="5946">
      <c r="A5946" s="234" t="s">
        <v>24818</v>
      </c>
      <c r="B5946" s="71" t="s">
        <v>16838</v>
      </c>
      <c r="C5946" s="71" t="s">
        <v>17016</v>
      </c>
    </row>
    <row r="5947">
      <c r="A5947" s="234" t="s">
        <v>24820</v>
      </c>
      <c r="B5947" s="71" t="s">
        <v>16885</v>
      </c>
      <c r="C5947" s="71" t="s">
        <v>16886</v>
      </c>
    </row>
    <row r="5948">
      <c r="A5948" s="234" t="s">
        <v>24820</v>
      </c>
      <c r="B5948" s="71" t="s">
        <v>16886</v>
      </c>
      <c r="C5948" s="130" t="s">
        <v>16885</v>
      </c>
    </row>
    <row r="5949">
      <c r="A5949" s="130" t="s">
        <v>24822</v>
      </c>
      <c r="B5949" s="71" t="s">
        <v>16582</v>
      </c>
      <c r="C5949" s="71" t="s">
        <v>16828</v>
      </c>
    </row>
    <row r="5950">
      <c r="A5950" s="130" t="s">
        <v>24824</v>
      </c>
      <c r="B5950" s="71" t="s">
        <v>187</v>
      </c>
      <c r="C5950" s="71" t="s">
        <v>16846</v>
      </c>
    </row>
    <row r="5951">
      <c r="A5951" s="234" t="s">
        <v>24826</v>
      </c>
      <c r="B5951" s="71" t="s">
        <v>19644</v>
      </c>
      <c r="C5951" s="71" t="s">
        <v>16838</v>
      </c>
    </row>
    <row r="5952">
      <c r="A5952" s="234" t="s">
        <v>24826</v>
      </c>
      <c r="B5952" s="71" t="s">
        <v>16838</v>
      </c>
      <c r="C5952" s="71" t="s">
        <v>19644</v>
      </c>
    </row>
    <row r="5953">
      <c r="A5953" s="130" t="s">
        <v>24828</v>
      </c>
      <c r="B5953" s="71" t="s">
        <v>175</v>
      </c>
      <c r="C5953" s="71" t="s">
        <v>16824</v>
      </c>
    </row>
    <row r="5954">
      <c r="A5954" s="130" t="s">
        <v>24830</v>
      </c>
      <c r="B5954" s="71" t="s">
        <v>16926</v>
      </c>
      <c r="C5954" s="71" t="s">
        <v>16927</v>
      </c>
    </row>
    <row r="5955">
      <c r="A5955" s="234" t="s">
        <v>24832</v>
      </c>
      <c r="B5955" s="71" t="s">
        <v>17019</v>
      </c>
      <c r="C5955" s="71" t="s">
        <v>16838</v>
      </c>
    </row>
    <row r="5956">
      <c r="A5956" s="234" t="s">
        <v>24832</v>
      </c>
      <c r="B5956" s="71" t="s">
        <v>16838</v>
      </c>
      <c r="C5956" s="71" t="s">
        <v>17019</v>
      </c>
    </row>
    <row r="5957">
      <c r="A5957" s="130" t="s">
        <v>24834</v>
      </c>
      <c r="B5957" s="71" t="s">
        <v>187</v>
      </c>
      <c r="C5957" s="71" t="s">
        <v>16846</v>
      </c>
    </row>
    <row r="5958">
      <c r="A5958" s="130" t="s">
        <v>24836</v>
      </c>
      <c r="B5958" s="71" t="s">
        <v>175</v>
      </c>
      <c r="C5958" s="71" t="s">
        <v>17025</v>
      </c>
    </row>
    <row r="5959">
      <c r="A5959" s="130" t="s">
        <v>24838</v>
      </c>
      <c r="B5959" s="71" t="s">
        <v>187</v>
      </c>
      <c r="C5959" s="71" t="s">
        <v>18633</v>
      </c>
    </row>
    <row r="5960">
      <c r="A5960" s="234" t="s">
        <v>24840</v>
      </c>
      <c r="B5960" s="71" t="s">
        <v>175</v>
      </c>
      <c r="C5960" s="71" t="s">
        <v>17057</v>
      </c>
    </row>
    <row r="5961">
      <c r="A5961" s="234" t="s">
        <v>24840</v>
      </c>
      <c r="B5961" s="71" t="s">
        <v>17057</v>
      </c>
      <c r="C5961" s="71" t="s">
        <v>175</v>
      </c>
    </row>
    <row r="5962">
      <c r="A5962" s="130" t="s">
        <v>24842</v>
      </c>
      <c r="B5962" s="71" t="s">
        <v>169</v>
      </c>
      <c r="C5962" s="71" t="s">
        <v>16899</v>
      </c>
    </row>
    <row r="5963">
      <c r="A5963" s="234" t="s">
        <v>24844</v>
      </c>
      <c r="B5963" s="71" t="s">
        <v>187</v>
      </c>
      <c r="C5963" s="71" t="s">
        <v>16858</v>
      </c>
    </row>
    <row r="5964">
      <c r="A5964" s="234" t="s">
        <v>24844</v>
      </c>
      <c r="B5964" s="71" t="s">
        <v>16858</v>
      </c>
      <c r="C5964" s="130" t="s">
        <v>187</v>
      </c>
    </row>
    <row r="5965">
      <c r="A5965" s="130" t="s">
        <v>24846</v>
      </c>
      <c r="B5965" s="71" t="s">
        <v>16838</v>
      </c>
      <c r="C5965" s="71" t="s">
        <v>16867</v>
      </c>
    </row>
    <row r="5966">
      <c r="A5966" s="130" t="s">
        <v>24848</v>
      </c>
      <c r="B5966" s="71" t="s">
        <v>16926</v>
      </c>
      <c r="C5966" s="71" t="s">
        <v>16957</v>
      </c>
    </row>
    <row r="5967">
      <c r="A5967" s="130" t="s">
        <v>24850</v>
      </c>
      <c r="B5967" s="71" t="s">
        <v>16838</v>
      </c>
      <c r="C5967" s="71" t="s">
        <v>16867</v>
      </c>
    </row>
    <row r="5968">
      <c r="A5968" s="234" t="s">
        <v>24852</v>
      </c>
      <c r="B5968" s="71" t="s">
        <v>187</v>
      </c>
      <c r="C5968" s="71" t="s">
        <v>16969</v>
      </c>
    </row>
    <row r="5969">
      <c r="A5969" s="234" t="s">
        <v>24852</v>
      </c>
      <c r="B5969" s="71" t="s">
        <v>16969</v>
      </c>
      <c r="C5969" s="130" t="s">
        <v>187</v>
      </c>
    </row>
    <row r="5970">
      <c r="A5970" s="130" t="s">
        <v>24854</v>
      </c>
      <c r="B5970" s="71" t="s">
        <v>16926</v>
      </c>
      <c r="C5970" s="71" t="s">
        <v>16957</v>
      </c>
    </row>
    <row r="5971">
      <c r="A5971" s="130" t="s">
        <v>24856</v>
      </c>
      <c r="B5971" s="71" t="s">
        <v>187</v>
      </c>
      <c r="C5971" s="71" t="s">
        <v>16846</v>
      </c>
    </row>
    <row r="5972">
      <c r="A5972" s="130" t="s">
        <v>24858</v>
      </c>
      <c r="B5972" s="71" t="s">
        <v>17112</v>
      </c>
      <c r="C5972" s="71" t="s">
        <v>17111</v>
      </c>
    </row>
    <row r="5973">
      <c r="A5973" s="130" t="s">
        <v>24860</v>
      </c>
      <c r="B5973" s="71" t="s">
        <v>16582</v>
      </c>
      <c r="C5973" s="71" t="s">
        <v>16817</v>
      </c>
    </row>
    <row r="5974">
      <c r="A5974" s="130" t="s">
        <v>24862</v>
      </c>
      <c r="B5974" s="71" t="s">
        <v>187</v>
      </c>
      <c r="C5974" s="71" t="s">
        <v>16846</v>
      </c>
    </row>
    <row r="5975">
      <c r="A5975" s="130" t="s">
        <v>24864</v>
      </c>
      <c r="B5975" s="71" t="s">
        <v>16838</v>
      </c>
      <c r="C5975" s="71" t="s">
        <v>16837</v>
      </c>
    </row>
    <row r="5976">
      <c r="A5976" s="234" t="s">
        <v>24866</v>
      </c>
      <c r="B5976" s="71" t="s">
        <v>169</v>
      </c>
      <c r="C5976" s="71" t="s">
        <v>17757</v>
      </c>
    </row>
    <row r="5977">
      <c r="A5977" s="234" t="s">
        <v>24866</v>
      </c>
      <c r="B5977" s="71" t="s">
        <v>17757</v>
      </c>
      <c r="C5977" s="71" t="s">
        <v>169</v>
      </c>
    </row>
    <row r="5978">
      <c r="A5978" s="234" t="s">
        <v>24868</v>
      </c>
      <c r="B5978" s="71" t="s">
        <v>19579</v>
      </c>
      <c r="C5978" s="71" t="s">
        <v>16838</v>
      </c>
    </row>
    <row r="5979">
      <c r="A5979" s="234" t="s">
        <v>24868</v>
      </c>
      <c r="B5979" s="71" t="s">
        <v>16838</v>
      </c>
      <c r="C5979" s="71" t="s">
        <v>19579</v>
      </c>
    </row>
    <row r="5980">
      <c r="A5980" s="130" t="s">
        <v>24870</v>
      </c>
      <c r="B5980" s="71"/>
      <c r="C5980" s="71"/>
    </row>
    <row r="5981">
      <c r="A5981" s="234" t="s">
        <v>24872</v>
      </c>
      <c r="B5981" s="71" t="s">
        <v>16582</v>
      </c>
      <c r="C5981" s="71" t="s">
        <v>16930</v>
      </c>
    </row>
    <row r="5982">
      <c r="A5982" s="234" t="s">
        <v>24872</v>
      </c>
      <c r="B5982" s="71" t="s">
        <v>16930</v>
      </c>
      <c r="C5982" s="71" t="s">
        <v>16582</v>
      </c>
    </row>
    <row r="5983">
      <c r="A5983" s="234" t="s">
        <v>24874</v>
      </c>
      <c r="B5983" s="71" t="s">
        <v>175</v>
      </c>
      <c r="C5983" s="71" t="s">
        <v>18570</v>
      </c>
    </row>
    <row r="5984">
      <c r="A5984" s="234" t="s">
        <v>24874</v>
      </c>
      <c r="B5984" s="71" t="s">
        <v>18570</v>
      </c>
      <c r="C5984" s="71" t="s">
        <v>175</v>
      </c>
    </row>
    <row r="5985">
      <c r="A5985" s="130" t="s">
        <v>24876</v>
      </c>
      <c r="B5985" s="71" t="s">
        <v>16582</v>
      </c>
      <c r="C5985" s="71" t="s">
        <v>16930</v>
      </c>
    </row>
    <row r="5986">
      <c r="A5986" s="130" t="s">
        <v>24878</v>
      </c>
      <c r="B5986" s="71" t="s">
        <v>16838</v>
      </c>
      <c r="C5986" s="71" t="s">
        <v>18219</v>
      </c>
    </row>
    <row r="5987">
      <c r="A5987" s="130" t="s">
        <v>24880</v>
      </c>
      <c r="B5987" s="71" t="s">
        <v>187</v>
      </c>
      <c r="C5987" s="71" t="s">
        <v>16846</v>
      </c>
    </row>
    <row r="5988">
      <c r="A5988" s="130" t="s">
        <v>24882</v>
      </c>
      <c r="B5988" s="71" t="s">
        <v>175</v>
      </c>
      <c r="C5988" s="71" t="s">
        <v>17286</v>
      </c>
    </row>
    <row r="5989">
      <c r="A5989" s="130" t="s">
        <v>24884</v>
      </c>
      <c r="B5989" s="71" t="s">
        <v>16838</v>
      </c>
      <c r="C5989" s="71" t="s">
        <v>16867</v>
      </c>
    </row>
    <row r="5990">
      <c r="A5990" s="130" t="s">
        <v>24886</v>
      </c>
      <c r="B5990" s="71" t="s">
        <v>187</v>
      </c>
      <c r="C5990" s="71" t="s">
        <v>16858</v>
      </c>
    </row>
    <row r="5991">
      <c r="A5991" s="234" t="s">
        <v>24888</v>
      </c>
      <c r="B5991" s="71" t="s">
        <v>16885</v>
      </c>
      <c r="C5991" s="71" t="s">
        <v>17726</v>
      </c>
    </row>
    <row r="5992">
      <c r="A5992" s="234" t="s">
        <v>24888</v>
      </c>
      <c r="B5992" s="71" t="s">
        <v>17726</v>
      </c>
      <c r="C5992" s="130" t="s">
        <v>16885</v>
      </c>
    </row>
    <row r="5993">
      <c r="A5993" s="130" t="s">
        <v>24890</v>
      </c>
      <c r="B5993" s="71" t="s">
        <v>187</v>
      </c>
      <c r="C5993" s="71" t="s">
        <v>16846</v>
      </c>
    </row>
    <row r="5994">
      <c r="A5994" s="234" t="s">
        <v>24892</v>
      </c>
      <c r="B5994" s="71" t="s">
        <v>187</v>
      </c>
      <c r="C5994" s="71" t="s">
        <v>16846</v>
      </c>
    </row>
    <row r="5995">
      <c r="A5995" s="234" t="s">
        <v>24892</v>
      </c>
      <c r="B5995" s="71" t="s">
        <v>16846</v>
      </c>
      <c r="C5995" s="130" t="s">
        <v>187</v>
      </c>
    </row>
    <row r="5996">
      <c r="A5996" s="130" t="s">
        <v>24894</v>
      </c>
      <c r="B5996" s="71" t="s">
        <v>187</v>
      </c>
      <c r="C5996" s="71" t="s">
        <v>16846</v>
      </c>
    </row>
    <row r="5997">
      <c r="A5997" s="234" t="s">
        <v>24896</v>
      </c>
      <c r="B5997" s="71" t="s">
        <v>175</v>
      </c>
      <c r="C5997" s="71" t="s">
        <v>17812</v>
      </c>
    </row>
    <row r="5998">
      <c r="A5998" s="234" t="s">
        <v>24896</v>
      </c>
      <c r="B5998" s="71" t="s">
        <v>17812</v>
      </c>
      <c r="C5998" s="71" t="s">
        <v>175</v>
      </c>
    </row>
    <row r="5999">
      <c r="A5999" s="130" t="s">
        <v>24898</v>
      </c>
      <c r="B5999" s="71" t="s">
        <v>169</v>
      </c>
      <c r="C5999" s="71" t="s">
        <v>16945</v>
      </c>
    </row>
    <row r="6000">
      <c r="A6000" s="234" t="s">
        <v>24900</v>
      </c>
      <c r="B6000" s="71" t="s">
        <v>158</v>
      </c>
      <c r="C6000" s="71" t="s">
        <v>17171</v>
      </c>
    </row>
    <row r="6001">
      <c r="A6001" s="234" t="s">
        <v>24900</v>
      </c>
      <c r="B6001" s="71" t="s">
        <v>17171</v>
      </c>
      <c r="C6001" s="71" t="s">
        <v>158</v>
      </c>
    </row>
    <row r="6002">
      <c r="A6002" s="234" t="s">
        <v>24902</v>
      </c>
      <c r="B6002" s="71" t="s">
        <v>16885</v>
      </c>
      <c r="C6002" s="71" t="s">
        <v>17726</v>
      </c>
    </row>
    <row r="6003">
      <c r="A6003" s="234" t="s">
        <v>24902</v>
      </c>
      <c r="B6003" s="71" t="s">
        <v>17726</v>
      </c>
      <c r="C6003" s="130" t="s">
        <v>16885</v>
      </c>
    </row>
    <row r="6004">
      <c r="A6004" s="234" t="s">
        <v>24904</v>
      </c>
      <c r="B6004" s="71" t="s">
        <v>169</v>
      </c>
      <c r="C6004" s="71" t="s">
        <v>17022</v>
      </c>
    </row>
    <row r="6005">
      <c r="A6005" s="234" t="s">
        <v>24904</v>
      </c>
      <c r="B6005" s="71" t="s">
        <v>17022</v>
      </c>
      <c r="C6005" s="71" t="s">
        <v>169</v>
      </c>
    </row>
    <row r="6006">
      <c r="A6006" s="130" t="s">
        <v>24906</v>
      </c>
      <c r="B6006" s="71" t="s">
        <v>16582</v>
      </c>
      <c r="C6006" s="71" t="s">
        <v>16817</v>
      </c>
    </row>
    <row r="6007">
      <c r="A6007" s="234" t="s">
        <v>24908</v>
      </c>
      <c r="B6007" s="71" t="s">
        <v>16838</v>
      </c>
      <c r="C6007" s="71" t="s">
        <v>18219</v>
      </c>
    </row>
    <row r="6008">
      <c r="A6008" s="234" t="s">
        <v>24908</v>
      </c>
      <c r="B6008" s="71" t="s">
        <v>18219</v>
      </c>
      <c r="C6008" s="130" t="s">
        <v>16838</v>
      </c>
    </row>
    <row r="6009">
      <c r="A6009" s="130" t="s">
        <v>24910</v>
      </c>
      <c r="B6009" s="71" t="s">
        <v>187</v>
      </c>
      <c r="C6009" s="71" t="s">
        <v>16846</v>
      </c>
    </row>
    <row r="6010">
      <c r="A6010" s="130" t="s">
        <v>24912</v>
      </c>
      <c r="B6010" s="71" t="s">
        <v>16582</v>
      </c>
      <c r="C6010" s="71" t="s">
        <v>16817</v>
      </c>
    </row>
    <row r="6011">
      <c r="A6011" s="130" t="s">
        <v>24914</v>
      </c>
      <c r="B6011" s="71" t="s">
        <v>16582</v>
      </c>
      <c r="C6011" s="71" t="s">
        <v>16930</v>
      </c>
    </row>
    <row r="6012">
      <c r="A6012" s="130" t="s">
        <v>24916</v>
      </c>
      <c r="B6012" s="71" t="s">
        <v>169</v>
      </c>
      <c r="C6012" s="71" t="s">
        <v>17827</v>
      </c>
    </row>
    <row r="6013">
      <c r="A6013" s="130" t="s">
        <v>24918</v>
      </c>
      <c r="B6013" s="71" t="s">
        <v>175</v>
      </c>
      <c r="C6013" s="71" t="s">
        <v>17619</v>
      </c>
    </row>
    <row r="6014">
      <c r="A6014" s="234" t="s">
        <v>24920</v>
      </c>
      <c r="B6014" s="71" t="s">
        <v>17629</v>
      </c>
      <c r="C6014" s="71" t="s">
        <v>16899</v>
      </c>
    </row>
    <row r="6015">
      <c r="A6015" s="234" t="s">
        <v>24920</v>
      </c>
      <c r="B6015" s="71" t="s">
        <v>16899</v>
      </c>
      <c r="C6015" s="71" t="s">
        <v>17629</v>
      </c>
    </row>
    <row r="6016">
      <c r="A6016" s="130" t="s">
        <v>24922</v>
      </c>
      <c r="B6016" s="71" t="s">
        <v>175</v>
      </c>
      <c r="C6016" s="71" t="s">
        <v>17168</v>
      </c>
    </row>
    <row r="6017">
      <c r="A6017" s="130" t="s">
        <v>24924</v>
      </c>
      <c r="B6017" s="71" t="s">
        <v>16838</v>
      </c>
      <c r="C6017" s="71" t="s">
        <v>17016</v>
      </c>
    </row>
    <row r="6018">
      <c r="A6018" s="234" t="s">
        <v>24926</v>
      </c>
      <c r="B6018" s="71" t="s">
        <v>175</v>
      </c>
      <c r="C6018" s="71" t="s">
        <v>17391</v>
      </c>
    </row>
    <row r="6019">
      <c r="A6019" s="234" t="s">
        <v>24926</v>
      </c>
      <c r="B6019" s="71" t="s">
        <v>17391</v>
      </c>
      <c r="C6019" s="71" t="s">
        <v>175</v>
      </c>
    </row>
    <row r="6020">
      <c r="A6020" s="130" t="s">
        <v>24928</v>
      </c>
      <c r="B6020" s="71" t="s">
        <v>16838</v>
      </c>
      <c r="C6020" s="71" t="s">
        <v>18219</v>
      </c>
    </row>
    <row r="6021">
      <c r="A6021" s="130" t="s">
        <v>24930</v>
      </c>
      <c r="B6021" s="71" t="s">
        <v>16926</v>
      </c>
      <c r="C6021" s="71" t="s">
        <v>16957</v>
      </c>
    </row>
    <row r="6022">
      <c r="A6022" s="130" t="s">
        <v>24932</v>
      </c>
      <c r="B6022" s="71" t="s">
        <v>175</v>
      </c>
      <c r="C6022" s="71" t="s">
        <v>17480</v>
      </c>
    </row>
    <row r="6023">
      <c r="A6023" s="130" t="s">
        <v>24934</v>
      </c>
      <c r="B6023" s="71" t="s">
        <v>169</v>
      </c>
      <c r="C6023" s="71" t="s">
        <v>17827</v>
      </c>
    </row>
    <row r="6024">
      <c r="A6024" s="234" t="s">
        <v>24936</v>
      </c>
      <c r="B6024" s="71" t="s">
        <v>175</v>
      </c>
      <c r="C6024" s="71" t="s">
        <v>17391</v>
      </c>
    </row>
    <row r="6025">
      <c r="A6025" s="234" t="s">
        <v>24936</v>
      </c>
      <c r="B6025" s="71" t="s">
        <v>17391</v>
      </c>
      <c r="C6025" s="71" t="s">
        <v>175</v>
      </c>
    </row>
    <row r="6026">
      <c r="A6026" s="130" t="s">
        <v>24938</v>
      </c>
      <c r="B6026" s="71" t="s">
        <v>175</v>
      </c>
      <c r="C6026" s="71" t="s">
        <v>17084</v>
      </c>
    </row>
    <row r="6027">
      <c r="A6027" s="130" t="s">
        <v>24940</v>
      </c>
      <c r="B6027" s="71" t="s">
        <v>187</v>
      </c>
      <c r="C6027" s="71" t="s">
        <v>16846</v>
      </c>
    </row>
    <row r="6028">
      <c r="A6028" s="234" t="s">
        <v>24942</v>
      </c>
      <c r="B6028" s="71" t="s">
        <v>16582</v>
      </c>
      <c r="C6028" s="71" t="s">
        <v>17342</v>
      </c>
    </row>
    <row r="6029">
      <c r="A6029" s="234" t="s">
        <v>24942</v>
      </c>
      <c r="B6029" s="71" t="s">
        <v>17342</v>
      </c>
      <c r="C6029" s="71" t="s">
        <v>16582</v>
      </c>
    </row>
    <row r="6030">
      <c r="A6030" s="130" t="s">
        <v>24944</v>
      </c>
      <c r="B6030" s="71" t="s">
        <v>187</v>
      </c>
      <c r="C6030" s="71" t="s">
        <v>16969</v>
      </c>
    </row>
    <row r="6031">
      <c r="A6031" s="130" t="s">
        <v>24946</v>
      </c>
      <c r="B6031" s="71" t="s">
        <v>175</v>
      </c>
      <c r="C6031" s="71" t="s">
        <v>16824</v>
      </c>
    </row>
    <row r="6032">
      <c r="A6032" s="130" t="s">
        <v>24948</v>
      </c>
      <c r="B6032" s="71" t="s">
        <v>16838</v>
      </c>
      <c r="C6032" s="71" t="s">
        <v>17016</v>
      </c>
    </row>
    <row r="6033">
      <c r="A6033" s="130" t="s">
        <v>24950</v>
      </c>
      <c r="B6033" s="71" t="s">
        <v>187</v>
      </c>
      <c r="C6033" s="71" t="s">
        <v>16846</v>
      </c>
    </row>
    <row r="6034">
      <c r="A6034" s="234" t="s">
        <v>24952</v>
      </c>
      <c r="B6034" s="71" t="s">
        <v>17112</v>
      </c>
      <c r="C6034" s="71" t="s">
        <v>16838</v>
      </c>
    </row>
    <row r="6035">
      <c r="A6035" s="234" t="s">
        <v>24952</v>
      </c>
      <c r="B6035" s="71" t="s">
        <v>16838</v>
      </c>
      <c r="C6035" s="71" t="s">
        <v>17112</v>
      </c>
    </row>
    <row r="6036">
      <c r="A6036" s="130" t="s">
        <v>24954</v>
      </c>
      <c r="B6036" s="71" t="s">
        <v>16838</v>
      </c>
      <c r="C6036" s="71" t="s">
        <v>16867</v>
      </c>
    </row>
    <row r="6037">
      <c r="A6037" s="130" t="s">
        <v>24956</v>
      </c>
      <c r="B6037" s="71" t="s">
        <v>16838</v>
      </c>
      <c r="C6037" s="71" t="s">
        <v>16867</v>
      </c>
    </row>
    <row r="6038">
      <c r="A6038" s="130" t="s">
        <v>24958</v>
      </c>
      <c r="B6038" s="71" t="s">
        <v>175</v>
      </c>
      <c r="C6038" s="71" t="s">
        <v>17218</v>
      </c>
    </row>
    <row r="6039">
      <c r="A6039" s="130" t="s">
        <v>24960</v>
      </c>
      <c r="B6039" s="71" t="s">
        <v>175</v>
      </c>
      <c r="C6039" s="71" t="s">
        <v>17318</v>
      </c>
    </row>
    <row r="6040">
      <c r="A6040" s="130" t="s">
        <v>24962</v>
      </c>
      <c r="B6040" s="71" t="s">
        <v>187</v>
      </c>
      <c r="C6040" s="71" t="s">
        <v>16846</v>
      </c>
    </row>
    <row r="6041">
      <c r="A6041" s="130" t="s">
        <v>24964</v>
      </c>
      <c r="B6041" s="71" t="s">
        <v>175</v>
      </c>
      <c r="C6041" s="71" t="s">
        <v>16842</v>
      </c>
    </row>
    <row r="6042">
      <c r="A6042" s="130" t="s">
        <v>24966</v>
      </c>
      <c r="B6042" s="71" t="s">
        <v>175</v>
      </c>
      <c r="C6042" s="71" t="s">
        <v>17321</v>
      </c>
    </row>
    <row r="6043">
      <c r="A6043" s="130" t="s">
        <v>24969</v>
      </c>
      <c r="B6043" s="71" t="s">
        <v>17112</v>
      </c>
      <c r="C6043" s="71" t="s">
        <v>17111</v>
      </c>
    </row>
    <row r="6044">
      <c r="A6044" s="130" t="s">
        <v>24971</v>
      </c>
      <c r="B6044" s="71" t="s">
        <v>175</v>
      </c>
      <c r="C6044" s="71" t="s">
        <v>17233</v>
      </c>
    </row>
    <row r="6045">
      <c r="A6045" s="130" t="s">
        <v>24973</v>
      </c>
      <c r="B6045" s="71" t="s">
        <v>16582</v>
      </c>
      <c r="C6045" s="71" t="s">
        <v>16930</v>
      </c>
    </row>
    <row r="6046">
      <c r="A6046" s="234" t="s">
        <v>24975</v>
      </c>
      <c r="B6046" s="71" t="s">
        <v>16582</v>
      </c>
      <c r="C6046" s="71" t="s">
        <v>16930</v>
      </c>
    </row>
    <row r="6047">
      <c r="A6047" s="234" t="s">
        <v>24975</v>
      </c>
      <c r="B6047" s="71" t="s">
        <v>16930</v>
      </c>
      <c r="C6047" s="71" t="s">
        <v>16582</v>
      </c>
    </row>
    <row r="6048">
      <c r="A6048" s="130" t="s">
        <v>24977</v>
      </c>
      <c r="B6048" s="71" t="s">
        <v>187</v>
      </c>
      <c r="C6048" s="71" t="s">
        <v>16846</v>
      </c>
    </row>
    <row r="6049">
      <c r="A6049" s="234" t="s">
        <v>24979</v>
      </c>
      <c r="B6049" s="71" t="s">
        <v>16838</v>
      </c>
      <c r="C6049" s="71" t="s">
        <v>17002</v>
      </c>
    </row>
    <row r="6050">
      <c r="A6050" s="234" t="s">
        <v>24979</v>
      </c>
      <c r="B6050" s="71" t="s">
        <v>17002</v>
      </c>
      <c r="C6050" s="71" t="s">
        <v>16838</v>
      </c>
    </row>
    <row r="6051">
      <c r="A6051" s="130" t="s">
        <v>24981</v>
      </c>
      <c r="B6051" s="71" t="s">
        <v>16838</v>
      </c>
      <c r="C6051" s="71" t="s">
        <v>17112</v>
      </c>
    </row>
    <row r="6052">
      <c r="A6052" s="130" t="s">
        <v>24983</v>
      </c>
      <c r="B6052" s="71" t="s">
        <v>16582</v>
      </c>
      <c r="C6052" s="71" t="s">
        <v>16828</v>
      </c>
    </row>
    <row r="6053">
      <c r="A6053" s="234" t="s">
        <v>24985</v>
      </c>
      <c r="B6053" s="71" t="s">
        <v>17202</v>
      </c>
      <c r="C6053" s="71" t="s">
        <v>16838</v>
      </c>
    </row>
    <row r="6054">
      <c r="A6054" s="234" t="s">
        <v>24985</v>
      </c>
      <c r="B6054" s="71" t="s">
        <v>16838</v>
      </c>
      <c r="C6054" s="71" t="s">
        <v>17202</v>
      </c>
    </row>
    <row r="6055">
      <c r="A6055" s="130" t="s">
        <v>24987</v>
      </c>
      <c r="B6055" s="71" t="s">
        <v>187</v>
      </c>
      <c r="C6055" s="71" t="s">
        <v>16846</v>
      </c>
    </row>
    <row r="6056">
      <c r="A6056" s="130" t="s">
        <v>24989</v>
      </c>
      <c r="B6056" s="71" t="s">
        <v>175</v>
      </c>
      <c r="C6056" s="71" t="s">
        <v>17350</v>
      </c>
    </row>
    <row r="6057">
      <c r="A6057" s="234" t="s">
        <v>24991</v>
      </c>
      <c r="B6057" s="71" t="s">
        <v>17111</v>
      </c>
      <c r="C6057" s="71" t="s">
        <v>17112</v>
      </c>
    </row>
    <row r="6058">
      <c r="A6058" s="234" t="s">
        <v>24991</v>
      </c>
      <c r="B6058" s="71" t="s">
        <v>17112</v>
      </c>
      <c r="C6058" s="71" t="s">
        <v>17111</v>
      </c>
    </row>
    <row r="6059">
      <c r="A6059" s="234" t="s">
        <v>24993</v>
      </c>
      <c r="B6059" s="71" t="s">
        <v>16885</v>
      </c>
      <c r="C6059" s="71" t="s">
        <v>20119</v>
      </c>
    </row>
    <row r="6060">
      <c r="A6060" s="234" t="s">
        <v>24993</v>
      </c>
      <c r="B6060" s="71" t="s">
        <v>20119</v>
      </c>
      <c r="C6060" s="71" t="s">
        <v>16885</v>
      </c>
    </row>
    <row r="6061">
      <c r="A6061" s="130" t="s">
        <v>24995</v>
      </c>
      <c r="B6061" s="71" t="s">
        <v>16838</v>
      </c>
      <c r="C6061" s="71" t="s">
        <v>18956</v>
      </c>
    </row>
    <row r="6062">
      <c r="A6062" s="130" t="s">
        <v>24997</v>
      </c>
      <c r="B6062" s="71" t="s">
        <v>16838</v>
      </c>
      <c r="C6062" s="71" t="s">
        <v>18956</v>
      </c>
    </row>
    <row r="6063">
      <c r="A6063" s="130" t="s">
        <v>24999</v>
      </c>
      <c r="B6063" s="71" t="s">
        <v>16838</v>
      </c>
      <c r="C6063" s="71" t="s">
        <v>17347</v>
      </c>
    </row>
    <row r="6064">
      <c r="A6064" s="130" t="s">
        <v>25001</v>
      </c>
      <c r="B6064" s="71" t="s">
        <v>187</v>
      </c>
      <c r="C6064" s="71" t="s">
        <v>16992</v>
      </c>
    </row>
    <row r="6065">
      <c r="A6065" s="130" t="s">
        <v>25003</v>
      </c>
      <c r="B6065" s="71" t="s">
        <v>16838</v>
      </c>
      <c r="C6065" s="71" t="s">
        <v>17112</v>
      </c>
    </row>
    <row r="6066">
      <c r="A6066" s="130" t="s">
        <v>25005</v>
      </c>
      <c r="B6066" s="71" t="s">
        <v>187</v>
      </c>
      <c r="C6066" s="71" t="s">
        <v>16846</v>
      </c>
    </row>
    <row r="6067">
      <c r="A6067" s="130" t="s">
        <v>25007</v>
      </c>
      <c r="B6067" s="71" t="s">
        <v>16582</v>
      </c>
      <c r="C6067" s="233" t="s">
        <v>17342</v>
      </c>
    </row>
    <row r="6068">
      <c r="A6068" s="130" t="s">
        <v>25009</v>
      </c>
      <c r="B6068" s="71" t="s">
        <v>16838</v>
      </c>
      <c r="C6068" s="71" t="s">
        <v>18679</v>
      </c>
    </row>
    <row r="6069">
      <c r="A6069" s="234" t="s">
        <v>25011</v>
      </c>
      <c r="B6069" s="71" t="s">
        <v>16838</v>
      </c>
      <c r="C6069" s="71" t="s">
        <v>18219</v>
      </c>
    </row>
    <row r="6070">
      <c r="A6070" s="234" t="s">
        <v>25011</v>
      </c>
      <c r="B6070" s="71" t="s">
        <v>18219</v>
      </c>
      <c r="C6070" s="130" t="s">
        <v>16838</v>
      </c>
    </row>
    <row r="6071">
      <c r="A6071" s="130" t="s">
        <v>25013</v>
      </c>
      <c r="B6071" s="71" t="s">
        <v>16582</v>
      </c>
      <c r="C6071" s="71" t="s">
        <v>16828</v>
      </c>
    </row>
    <row r="6072">
      <c r="A6072" s="130" t="s">
        <v>25015</v>
      </c>
      <c r="B6072" s="71" t="s">
        <v>187</v>
      </c>
      <c r="C6072" s="71" t="s">
        <v>16858</v>
      </c>
    </row>
    <row r="6073">
      <c r="A6073" s="130" t="s">
        <v>25017</v>
      </c>
      <c r="B6073" s="71" t="s">
        <v>187</v>
      </c>
      <c r="C6073" s="71" t="s">
        <v>16846</v>
      </c>
    </row>
    <row r="6074">
      <c r="A6074" s="130" t="s">
        <v>25019</v>
      </c>
      <c r="B6074" s="71" t="s">
        <v>187</v>
      </c>
      <c r="C6074" s="71" t="s">
        <v>16858</v>
      </c>
    </row>
    <row r="6075">
      <c r="A6075" s="130" t="s">
        <v>25021</v>
      </c>
      <c r="B6075" s="71" t="s">
        <v>17112</v>
      </c>
      <c r="C6075" s="71" t="s">
        <v>17111</v>
      </c>
    </row>
    <row r="6076">
      <c r="A6076" s="130" t="s">
        <v>25023</v>
      </c>
      <c r="B6076" s="71" t="s">
        <v>175</v>
      </c>
      <c r="C6076" s="71" t="s">
        <v>16975</v>
      </c>
    </row>
    <row r="6077">
      <c r="A6077" s="130" t="s">
        <v>25025</v>
      </c>
      <c r="B6077" s="71" t="s">
        <v>187</v>
      </c>
      <c r="C6077" s="71" t="s">
        <v>16846</v>
      </c>
    </row>
    <row r="6078">
      <c r="A6078" s="130" t="s">
        <v>25027</v>
      </c>
      <c r="B6078" s="71" t="s">
        <v>16838</v>
      </c>
      <c r="C6078" s="71" t="s">
        <v>16867</v>
      </c>
    </row>
    <row r="6079">
      <c r="A6079" s="130" t="s">
        <v>25029</v>
      </c>
      <c r="B6079" s="71" t="s">
        <v>158</v>
      </c>
      <c r="C6079" s="71" t="s">
        <v>17171</v>
      </c>
    </row>
    <row r="6080">
      <c r="A6080" s="130" t="s">
        <v>25031</v>
      </c>
      <c r="B6080" s="71" t="s">
        <v>175</v>
      </c>
      <c r="C6080" s="71" t="s">
        <v>17168</v>
      </c>
    </row>
    <row r="6081">
      <c r="A6081" s="130" t="s">
        <v>25033</v>
      </c>
      <c r="B6081" s="71" t="s">
        <v>16582</v>
      </c>
      <c r="C6081" s="71" t="s">
        <v>16583</v>
      </c>
    </row>
    <row r="6082">
      <c r="A6082" s="234" t="s">
        <v>25035</v>
      </c>
      <c r="B6082" s="71" t="s">
        <v>17057</v>
      </c>
      <c r="C6082" s="71" t="s">
        <v>169</v>
      </c>
    </row>
    <row r="6083">
      <c r="A6083" s="234" t="s">
        <v>25035</v>
      </c>
      <c r="B6083" s="71" t="s">
        <v>169</v>
      </c>
      <c r="C6083" s="71" t="s">
        <v>17057</v>
      </c>
    </row>
    <row r="6084">
      <c r="A6084" s="234" t="s">
        <v>25037</v>
      </c>
      <c r="B6084" s="71" t="s">
        <v>19579</v>
      </c>
      <c r="C6084" s="71" t="s">
        <v>16838</v>
      </c>
    </row>
    <row r="6085">
      <c r="A6085" s="234" t="s">
        <v>25037</v>
      </c>
      <c r="B6085" s="71" t="s">
        <v>16838</v>
      </c>
      <c r="C6085" s="71" t="s">
        <v>19579</v>
      </c>
    </row>
    <row r="6086">
      <c r="A6086" s="130" t="s">
        <v>25039</v>
      </c>
      <c r="B6086" s="71" t="s">
        <v>16838</v>
      </c>
      <c r="C6086" s="71" t="s">
        <v>16837</v>
      </c>
    </row>
    <row r="6087">
      <c r="A6087" s="130" t="s">
        <v>25041</v>
      </c>
      <c r="B6087" s="71" t="s">
        <v>187</v>
      </c>
      <c r="C6087" s="71" t="s">
        <v>16846</v>
      </c>
    </row>
    <row r="6088">
      <c r="A6088" s="130" t="s">
        <v>25043</v>
      </c>
      <c r="B6088" s="71" t="s">
        <v>16582</v>
      </c>
      <c r="C6088" s="71" t="s">
        <v>16817</v>
      </c>
    </row>
    <row r="6089">
      <c r="A6089" s="234" t="s">
        <v>25045</v>
      </c>
      <c r="B6089" s="71" t="s">
        <v>18732</v>
      </c>
      <c r="C6089" s="71" t="s">
        <v>169</v>
      </c>
    </row>
    <row r="6090">
      <c r="A6090" s="234" t="s">
        <v>25045</v>
      </c>
      <c r="B6090" s="71" t="s">
        <v>169</v>
      </c>
      <c r="C6090" s="71" t="s">
        <v>18732</v>
      </c>
    </row>
    <row r="6091">
      <c r="A6091" s="130" t="s">
        <v>25047</v>
      </c>
      <c r="B6091" s="71" t="s">
        <v>169</v>
      </c>
      <c r="C6091" s="71" t="s">
        <v>16945</v>
      </c>
    </row>
    <row r="6092">
      <c r="A6092" s="130" t="s">
        <v>25049</v>
      </c>
      <c r="B6092" s="71" t="s">
        <v>16582</v>
      </c>
      <c r="C6092" s="71" t="s">
        <v>16930</v>
      </c>
    </row>
    <row r="6093">
      <c r="A6093" s="130" t="s">
        <v>25051</v>
      </c>
      <c r="B6093" s="71" t="s">
        <v>158</v>
      </c>
      <c r="C6093" s="71" t="s">
        <v>16864</v>
      </c>
    </row>
    <row r="6094">
      <c r="A6094" s="130" t="s">
        <v>25053</v>
      </c>
      <c r="B6094" s="71" t="s">
        <v>16582</v>
      </c>
      <c r="C6094" s="71" t="s">
        <v>17435</v>
      </c>
    </row>
    <row r="6095">
      <c r="A6095" s="130" t="s">
        <v>25055</v>
      </c>
      <c r="B6095" s="71" t="s">
        <v>16838</v>
      </c>
      <c r="C6095" s="71" t="s">
        <v>16867</v>
      </c>
    </row>
    <row r="6096">
      <c r="A6096" s="234" t="s">
        <v>25057</v>
      </c>
      <c r="B6096" s="71" t="s">
        <v>17057</v>
      </c>
      <c r="C6096" s="71" t="s">
        <v>169</v>
      </c>
    </row>
    <row r="6097">
      <c r="A6097" s="234" t="s">
        <v>25057</v>
      </c>
      <c r="B6097" s="71" t="s">
        <v>169</v>
      </c>
      <c r="C6097" s="71" t="s">
        <v>17057</v>
      </c>
    </row>
    <row r="6098">
      <c r="A6098" s="130" t="s">
        <v>25059</v>
      </c>
      <c r="B6098" s="71" t="s">
        <v>187</v>
      </c>
      <c r="C6098" s="71" t="s">
        <v>16969</v>
      </c>
    </row>
    <row r="6099">
      <c r="A6099" s="130" t="s">
        <v>25061</v>
      </c>
      <c r="B6099" s="71" t="s">
        <v>16838</v>
      </c>
      <c r="C6099" s="71" t="s">
        <v>16867</v>
      </c>
    </row>
    <row r="6100">
      <c r="A6100" s="130" t="s">
        <v>25063</v>
      </c>
      <c r="B6100" s="71" t="s">
        <v>16838</v>
      </c>
      <c r="C6100" s="71" t="s">
        <v>17016</v>
      </c>
    </row>
    <row r="6101">
      <c r="A6101" s="234" t="s">
        <v>25065</v>
      </c>
      <c r="B6101" s="71" t="s">
        <v>16582</v>
      </c>
      <c r="C6101" s="71" t="s">
        <v>17435</v>
      </c>
    </row>
    <row r="6102">
      <c r="A6102" s="234" t="s">
        <v>25065</v>
      </c>
      <c r="B6102" s="71" t="s">
        <v>17435</v>
      </c>
      <c r="C6102" s="71" t="s">
        <v>16582</v>
      </c>
    </row>
    <row r="6103">
      <c r="A6103" s="130" t="s">
        <v>25067</v>
      </c>
      <c r="B6103" s="71" t="s">
        <v>16919</v>
      </c>
      <c r="C6103" s="71" t="s">
        <v>16864</v>
      </c>
    </row>
    <row r="6104">
      <c r="A6104" s="130" t="s">
        <v>25069</v>
      </c>
      <c r="B6104" s="71" t="s">
        <v>16838</v>
      </c>
      <c r="C6104" s="71" t="s">
        <v>19644</v>
      </c>
    </row>
    <row r="6105">
      <c r="A6105" s="234" t="s">
        <v>25071</v>
      </c>
      <c r="B6105" s="71" t="s">
        <v>19579</v>
      </c>
      <c r="C6105" s="71" t="s">
        <v>16838</v>
      </c>
    </row>
    <row r="6106">
      <c r="A6106" s="234" t="s">
        <v>25071</v>
      </c>
      <c r="B6106" s="71" t="s">
        <v>16838</v>
      </c>
      <c r="C6106" s="71" t="s">
        <v>19579</v>
      </c>
    </row>
    <row r="6107">
      <c r="A6107" s="234" t="s">
        <v>25073</v>
      </c>
      <c r="B6107" s="71" t="s">
        <v>16919</v>
      </c>
      <c r="C6107" s="71" t="s">
        <v>17048</v>
      </c>
    </row>
    <row r="6108">
      <c r="A6108" s="234" t="s">
        <v>25073</v>
      </c>
      <c r="B6108" s="71" t="s">
        <v>17048</v>
      </c>
      <c r="C6108" s="130" t="s">
        <v>16919</v>
      </c>
    </row>
    <row r="6109">
      <c r="A6109" s="130" t="s">
        <v>25075</v>
      </c>
      <c r="B6109" s="71" t="s">
        <v>169</v>
      </c>
      <c r="C6109" s="71" t="s">
        <v>16899</v>
      </c>
    </row>
    <row r="6110">
      <c r="A6110" s="130" t="s">
        <v>25077</v>
      </c>
      <c r="B6110" s="71" t="s">
        <v>16582</v>
      </c>
      <c r="C6110" s="71" t="s">
        <v>17183</v>
      </c>
    </row>
    <row r="6111">
      <c r="A6111" s="130" t="s">
        <v>25079</v>
      </c>
      <c r="B6111" s="71" t="s">
        <v>16582</v>
      </c>
      <c r="C6111" s="71" t="s">
        <v>16828</v>
      </c>
    </row>
    <row r="6112">
      <c r="A6112" s="234" t="s">
        <v>25081</v>
      </c>
      <c r="B6112" s="71" t="s">
        <v>19579</v>
      </c>
      <c r="C6112" s="71" t="s">
        <v>16838</v>
      </c>
    </row>
    <row r="6113">
      <c r="A6113" s="234" t="s">
        <v>25081</v>
      </c>
      <c r="B6113" s="71" t="s">
        <v>16838</v>
      </c>
      <c r="C6113" s="71" t="s">
        <v>19579</v>
      </c>
    </row>
    <row r="6114">
      <c r="A6114" s="130" t="s">
        <v>25083</v>
      </c>
      <c r="B6114" s="71" t="s">
        <v>187</v>
      </c>
      <c r="C6114" s="71" t="s">
        <v>16846</v>
      </c>
    </row>
    <row r="6115">
      <c r="A6115" s="234" t="s">
        <v>25085</v>
      </c>
      <c r="B6115" s="71" t="s">
        <v>17112</v>
      </c>
      <c r="C6115" s="71" t="s">
        <v>17111</v>
      </c>
    </row>
    <row r="6116">
      <c r="A6116" s="234" t="s">
        <v>25085</v>
      </c>
      <c r="B6116" s="71" t="s">
        <v>17111</v>
      </c>
      <c r="C6116" s="130" t="s">
        <v>17112</v>
      </c>
    </row>
    <row r="6117">
      <c r="A6117" s="130" t="s">
        <v>25087</v>
      </c>
      <c r="B6117" s="71" t="s">
        <v>187</v>
      </c>
      <c r="C6117" s="71" t="s">
        <v>16846</v>
      </c>
    </row>
    <row r="6118">
      <c r="A6118" s="130" t="s">
        <v>25089</v>
      </c>
      <c r="B6118" s="71" t="s">
        <v>16838</v>
      </c>
      <c r="C6118" s="71" t="s">
        <v>17127</v>
      </c>
    </row>
    <row r="6119">
      <c r="A6119" s="234" t="s">
        <v>25091</v>
      </c>
      <c r="B6119" s="71" t="s">
        <v>16867</v>
      </c>
      <c r="C6119" s="71" t="s">
        <v>16838</v>
      </c>
    </row>
    <row r="6120">
      <c r="A6120" s="234" t="s">
        <v>25091</v>
      </c>
      <c r="B6120" s="71" t="s">
        <v>16838</v>
      </c>
      <c r="C6120" s="71" t="s">
        <v>16867</v>
      </c>
    </row>
    <row r="6121">
      <c r="A6121" s="130" t="s">
        <v>25093</v>
      </c>
      <c r="B6121" s="71" t="s">
        <v>16838</v>
      </c>
      <c r="C6121" s="71" t="s">
        <v>17202</v>
      </c>
    </row>
    <row r="6122">
      <c r="A6122" s="234" t="s">
        <v>25095</v>
      </c>
      <c r="B6122" s="71" t="s">
        <v>187</v>
      </c>
      <c r="C6122" s="71" t="s">
        <v>16846</v>
      </c>
    </row>
    <row r="6123">
      <c r="A6123" s="234" t="s">
        <v>25095</v>
      </c>
      <c r="B6123" s="71" t="s">
        <v>16846</v>
      </c>
      <c r="C6123" s="130" t="s">
        <v>187</v>
      </c>
    </row>
    <row r="6124">
      <c r="A6124" s="130" t="s">
        <v>25097</v>
      </c>
      <c r="B6124" s="71" t="s">
        <v>169</v>
      </c>
      <c r="C6124" s="71" t="s">
        <v>17321</v>
      </c>
    </row>
    <row r="6125">
      <c r="A6125" s="130" t="s">
        <v>25099</v>
      </c>
      <c r="B6125" s="71" t="s">
        <v>16838</v>
      </c>
      <c r="C6125" s="71" t="s">
        <v>16867</v>
      </c>
    </row>
    <row r="6126">
      <c r="A6126" s="130" t="s">
        <v>25101</v>
      </c>
      <c r="B6126" s="71" t="s">
        <v>175</v>
      </c>
      <c r="C6126" s="71" t="s">
        <v>17350</v>
      </c>
    </row>
    <row r="6127">
      <c r="A6127" s="130" t="s">
        <v>25103</v>
      </c>
      <c r="B6127" s="71" t="s">
        <v>187</v>
      </c>
      <c r="C6127" s="71" t="s">
        <v>16846</v>
      </c>
    </row>
    <row r="6128">
      <c r="A6128" s="130" t="s">
        <v>25105</v>
      </c>
      <c r="B6128" s="71" t="s">
        <v>175</v>
      </c>
      <c r="C6128" s="71" t="s">
        <v>16854</v>
      </c>
    </row>
    <row r="6129">
      <c r="A6129" s="130" t="s">
        <v>25107</v>
      </c>
      <c r="B6129" s="71" t="s">
        <v>175</v>
      </c>
      <c r="C6129" s="71" t="s">
        <v>17233</v>
      </c>
    </row>
    <row r="6130">
      <c r="A6130" s="234" t="s">
        <v>25109</v>
      </c>
      <c r="B6130" s="71" t="s">
        <v>175</v>
      </c>
      <c r="C6130" s="71" t="s">
        <v>17183</v>
      </c>
    </row>
    <row r="6131">
      <c r="A6131" s="234" t="s">
        <v>25109</v>
      </c>
      <c r="B6131" s="71" t="s">
        <v>17183</v>
      </c>
      <c r="C6131" s="130" t="s">
        <v>175</v>
      </c>
    </row>
    <row r="6132">
      <c r="A6132" s="130" t="s">
        <v>25111</v>
      </c>
      <c r="B6132" s="71" t="s">
        <v>16910</v>
      </c>
      <c r="C6132" s="71" t="s">
        <v>17137</v>
      </c>
    </row>
    <row r="6133">
      <c r="A6133" s="130" t="s">
        <v>25113</v>
      </c>
      <c r="B6133" s="71" t="s">
        <v>16838</v>
      </c>
      <c r="C6133" s="71" t="s">
        <v>17019</v>
      </c>
    </row>
    <row r="6134">
      <c r="A6134" s="234" t="s">
        <v>25115</v>
      </c>
      <c r="B6134" s="71" t="s">
        <v>175</v>
      </c>
      <c r="C6134" s="71" t="s">
        <v>16957</v>
      </c>
    </row>
    <row r="6135">
      <c r="A6135" s="234" t="s">
        <v>25115</v>
      </c>
      <c r="B6135" s="71" t="s">
        <v>16957</v>
      </c>
      <c r="C6135" s="71" t="s">
        <v>175</v>
      </c>
    </row>
    <row r="6136">
      <c r="A6136" s="234" t="s">
        <v>25117</v>
      </c>
      <c r="B6136" s="71" t="s">
        <v>19644</v>
      </c>
      <c r="C6136" s="71" t="s">
        <v>16838</v>
      </c>
    </row>
    <row r="6137">
      <c r="A6137" s="234" t="s">
        <v>25117</v>
      </c>
      <c r="B6137" s="71" t="s">
        <v>16838</v>
      </c>
      <c r="C6137" s="71" t="s">
        <v>19644</v>
      </c>
    </row>
    <row r="6138">
      <c r="A6138" s="130" t="s">
        <v>25119</v>
      </c>
      <c r="B6138" s="71" t="s">
        <v>175</v>
      </c>
      <c r="C6138" s="71" t="s">
        <v>16854</v>
      </c>
    </row>
    <row r="6139">
      <c r="A6139" s="130" t="s">
        <v>25121</v>
      </c>
      <c r="B6139" s="71" t="s">
        <v>187</v>
      </c>
      <c r="C6139" s="71" t="s">
        <v>16846</v>
      </c>
    </row>
    <row r="6140">
      <c r="A6140" s="234" t="s">
        <v>25123</v>
      </c>
      <c r="B6140" s="71" t="s">
        <v>17321</v>
      </c>
      <c r="C6140" s="71" t="s">
        <v>169</v>
      </c>
    </row>
    <row r="6141">
      <c r="A6141" s="234" t="s">
        <v>25123</v>
      </c>
      <c r="B6141" s="71" t="s">
        <v>169</v>
      </c>
      <c r="C6141" s="71" t="s">
        <v>17321</v>
      </c>
    </row>
    <row r="6142">
      <c r="A6142" s="234" t="s">
        <v>25125</v>
      </c>
      <c r="B6142" s="71" t="s">
        <v>17347</v>
      </c>
      <c r="C6142" s="71" t="s">
        <v>16838</v>
      </c>
    </row>
    <row r="6143">
      <c r="A6143" s="234" t="s">
        <v>25125</v>
      </c>
      <c r="B6143" s="71" t="s">
        <v>16838</v>
      </c>
      <c r="C6143" s="71" t="s">
        <v>17347</v>
      </c>
    </row>
    <row r="6144">
      <c r="A6144" s="130" t="s">
        <v>25127</v>
      </c>
      <c r="B6144" s="71" t="s">
        <v>187</v>
      </c>
      <c r="C6144" s="71" t="s">
        <v>16846</v>
      </c>
    </row>
    <row r="6145">
      <c r="A6145" s="234" t="s">
        <v>25129</v>
      </c>
      <c r="B6145" s="71" t="s">
        <v>187</v>
      </c>
      <c r="C6145" s="71" t="s">
        <v>16858</v>
      </c>
    </row>
    <row r="6146">
      <c r="A6146" s="234" t="s">
        <v>25129</v>
      </c>
      <c r="B6146" s="71" t="s">
        <v>16858</v>
      </c>
      <c r="C6146" s="130" t="s">
        <v>187</v>
      </c>
    </row>
    <row r="6147">
      <c r="A6147" s="130" t="s">
        <v>25131</v>
      </c>
      <c r="B6147" s="71" t="s">
        <v>16838</v>
      </c>
      <c r="C6147" s="71" t="s">
        <v>16867</v>
      </c>
    </row>
    <row r="6148">
      <c r="A6148" s="130" t="s">
        <v>25133</v>
      </c>
      <c r="B6148" s="71" t="s">
        <v>187</v>
      </c>
      <c r="C6148" s="71" t="s">
        <v>16846</v>
      </c>
    </row>
    <row r="6149">
      <c r="A6149" s="130" t="s">
        <v>25135</v>
      </c>
      <c r="B6149" s="71" t="s">
        <v>16838</v>
      </c>
      <c r="C6149" s="71" t="s">
        <v>17019</v>
      </c>
    </row>
    <row r="6150">
      <c r="A6150" s="234" t="s">
        <v>25137</v>
      </c>
      <c r="B6150" s="71" t="s">
        <v>175</v>
      </c>
      <c r="C6150" s="71" t="s">
        <v>17619</v>
      </c>
    </row>
    <row r="6151">
      <c r="A6151" s="234" t="s">
        <v>25137</v>
      </c>
      <c r="B6151" s="71" t="s">
        <v>17619</v>
      </c>
      <c r="C6151" s="71" t="s">
        <v>175</v>
      </c>
    </row>
    <row r="6152">
      <c r="A6152" s="130" t="s">
        <v>25139</v>
      </c>
      <c r="B6152" s="71" t="s">
        <v>17112</v>
      </c>
      <c r="C6152" s="71" t="s">
        <v>17112</v>
      </c>
    </row>
    <row r="6153">
      <c r="A6153" s="130" t="s">
        <v>25141</v>
      </c>
      <c r="B6153" s="71" t="s">
        <v>169</v>
      </c>
      <c r="C6153" s="71" t="s">
        <v>16945</v>
      </c>
    </row>
    <row r="6154">
      <c r="A6154" s="130" t="s">
        <v>25143</v>
      </c>
      <c r="B6154" s="71" t="s">
        <v>16838</v>
      </c>
      <c r="C6154" s="71" t="s">
        <v>16867</v>
      </c>
    </row>
    <row r="6155">
      <c r="A6155" s="130" t="s">
        <v>25145</v>
      </c>
      <c r="B6155" s="71" t="s">
        <v>16885</v>
      </c>
      <c r="C6155" s="71" t="s">
        <v>18805</v>
      </c>
    </row>
    <row r="6156">
      <c r="A6156" s="234" t="s">
        <v>25147</v>
      </c>
      <c r="B6156" s="71" t="s">
        <v>16582</v>
      </c>
      <c r="C6156" s="71" t="s">
        <v>16817</v>
      </c>
    </row>
    <row r="6157">
      <c r="A6157" s="234" t="s">
        <v>25147</v>
      </c>
      <c r="B6157" s="71" t="s">
        <v>16817</v>
      </c>
      <c r="C6157" s="71" t="s">
        <v>16582</v>
      </c>
    </row>
    <row r="6158">
      <c r="A6158" s="130" t="s">
        <v>25150</v>
      </c>
      <c r="B6158" s="71"/>
      <c r="C6158" s="71"/>
    </row>
    <row r="6159">
      <c r="A6159" s="130" t="s">
        <v>25152</v>
      </c>
      <c r="B6159" s="71" t="s">
        <v>175</v>
      </c>
      <c r="C6159" s="71" t="s">
        <v>17218</v>
      </c>
    </row>
    <row r="6160">
      <c r="A6160" s="234" t="s">
        <v>25154</v>
      </c>
      <c r="B6160" s="71" t="s">
        <v>16838</v>
      </c>
      <c r="C6160" s="71" t="s">
        <v>16867</v>
      </c>
    </row>
    <row r="6161">
      <c r="A6161" s="234" t="s">
        <v>25154</v>
      </c>
      <c r="B6161" s="71" t="s">
        <v>16867</v>
      </c>
      <c r="C6161" s="130" t="s">
        <v>16838</v>
      </c>
    </row>
    <row r="6162">
      <c r="A6162" s="130" t="s">
        <v>25156</v>
      </c>
      <c r="B6162" s="71" t="s">
        <v>16838</v>
      </c>
      <c r="C6162" s="71" t="s">
        <v>16867</v>
      </c>
    </row>
    <row r="6163">
      <c r="A6163" s="234" t="s">
        <v>25158</v>
      </c>
      <c r="B6163" s="71" t="s">
        <v>175</v>
      </c>
      <c r="C6163" s="71" t="s">
        <v>16861</v>
      </c>
    </row>
    <row r="6164">
      <c r="A6164" s="234" t="s">
        <v>25158</v>
      </c>
      <c r="B6164" s="71" t="s">
        <v>16861</v>
      </c>
      <c r="C6164" s="71" t="s">
        <v>175</v>
      </c>
    </row>
    <row r="6165">
      <c r="A6165" s="130" t="s">
        <v>25160</v>
      </c>
      <c r="B6165" s="71" t="s">
        <v>16582</v>
      </c>
      <c r="C6165" s="233" t="s">
        <v>17342</v>
      </c>
    </row>
    <row r="6166">
      <c r="A6166" s="130" t="s">
        <v>25162</v>
      </c>
      <c r="B6166" s="71" t="s">
        <v>16838</v>
      </c>
      <c r="C6166" s="71" t="s">
        <v>16867</v>
      </c>
    </row>
    <row r="6167">
      <c r="A6167" s="234" t="s">
        <v>25164</v>
      </c>
      <c r="B6167" s="71" t="s">
        <v>175</v>
      </c>
      <c r="C6167" s="71" t="s">
        <v>16824</v>
      </c>
    </row>
    <row r="6168">
      <c r="A6168" s="234" t="s">
        <v>25164</v>
      </c>
      <c r="B6168" s="71" t="s">
        <v>16824</v>
      </c>
      <c r="C6168" s="71" t="s">
        <v>175</v>
      </c>
    </row>
    <row r="6169">
      <c r="A6169" s="234" t="s">
        <v>25166</v>
      </c>
      <c r="B6169" s="71" t="s">
        <v>16582</v>
      </c>
      <c r="C6169" s="71" t="s">
        <v>16828</v>
      </c>
    </row>
    <row r="6170">
      <c r="A6170" s="234" t="s">
        <v>25166</v>
      </c>
      <c r="B6170" s="71" t="s">
        <v>16828</v>
      </c>
      <c r="C6170" s="130" t="s">
        <v>16582</v>
      </c>
    </row>
    <row r="6171">
      <c r="A6171" s="130" t="s">
        <v>25168</v>
      </c>
      <c r="B6171" s="71" t="s">
        <v>16838</v>
      </c>
      <c r="C6171" s="71" t="s">
        <v>16867</v>
      </c>
    </row>
    <row r="6172">
      <c r="A6172" s="130" t="s">
        <v>25170</v>
      </c>
      <c r="B6172" s="71" t="s">
        <v>187</v>
      </c>
      <c r="C6172" s="71" t="s">
        <v>16846</v>
      </c>
    </row>
    <row r="6173">
      <c r="A6173" s="130" t="s">
        <v>25172</v>
      </c>
      <c r="B6173" s="71" t="s">
        <v>16919</v>
      </c>
      <c r="C6173" s="71" t="s">
        <v>110</v>
      </c>
    </row>
    <row r="6174">
      <c r="A6174" s="234" t="s">
        <v>25174</v>
      </c>
      <c r="B6174" s="71" t="s">
        <v>16582</v>
      </c>
      <c r="C6174" s="71" t="s">
        <v>16817</v>
      </c>
    </row>
    <row r="6175">
      <c r="A6175" s="234" t="s">
        <v>25174</v>
      </c>
      <c r="B6175" s="71" t="s">
        <v>16817</v>
      </c>
      <c r="C6175" s="71" t="s">
        <v>16582</v>
      </c>
    </row>
    <row r="6176">
      <c r="A6176" s="130" t="s">
        <v>25176</v>
      </c>
      <c r="B6176" s="71" t="s">
        <v>187</v>
      </c>
      <c r="C6176" s="71" t="s">
        <v>16846</v>
      </c>
    </row>
    <row r="6177">
      <c r="A6177" s="130" t="s">
        <v>25178</v>
      </c>
      <c r="B6177" s="71" t="s">
        <v>16838</v>
      </c>
      <c r="C6177" s="71" t="s">
        <v>16867</v>
      </c>
    </row>
    <row r="6178">
      <c r="A6178" s="130" t="s">
        <v>25180</v>
      </c>
      <c r="B6178" s="71" t="s">
        <v>187</v>
      </c>
      <c r="C6178" s="71" t="s">
        <v>17122</v>
      </c>
    </row>
    <row r="6179">
      <c r="A6179" s="234" t="s">
        <v>25182</v>
      </c>
      <c r="B6179" s="71" t="s">
        <v>158</v>
      </c>
      <c r="C6179" s="71" t="s">
        <v>16864</v>
      </c>
    </row>
    <row r="6180">
      <c r="A6180" s="234" t="s">
        <v>25182</v>
      </c>
      <c r="B6180" s="71" t="s">
        <v>16864</v>
      </c>
      <c r="C6180" s="130" t="s">
        <v>158</v>
      </c>
    </row>
    <row r="6181">
      <c r="A6181" s="130" t="s">
        <v>25184</v>
      </c>
      <c r="B6181" s="71" t="s">
        <v>175</v>
      </c>
      <c r="C6181" s="71" t="s">
        <v>17391</v>
      </c>
    </row>
    <row r="6182">
      <c r="A6182" s="234" t="s">
        <v>25186</v>
      </c>
      <c r="B6182" s="71" t="s">
        <v>175</v>
      </c>
      <c r="C6182" s="71" t="s">
        <v>17084</v>
      </c>
    </row>
    <row r="6183">
      <c r="A6183" s="234" t="s">
        <v>25186</v>
      </c>
      <c r="B6183" s="71" t="s">
        <v>17084</v>
      </c>
      <c r="C6183" s="71" t="s">
        <v>175</v>
      </c>
    </row>
    <row r="6184">
      <c r="A6184" s="234" t="s">
        <v>25188</v>
      </c>
      <c r="B6184" s="71" t="s">
        <v>16582</v>
      </c>
      <c r="C6184" s="71" t="s">
        <v>16828</v>
      </c>
    </row>
    <row r="6185">
      <c r="A6185" s="234" t="s">
        <v>25188</v>
      </c>
      <c r="B6185" s="71" t="s">
        <v>16828</v>
      </c>
      <c r="C6185" s="71" t="s">
        <v>16582</v>
      </c>
    </row>
    <row r="6186">
      <c r="A6186" s="130" t="s">
        <v>25190</v>
      </c>
      <c r="B6186" s="71" t="s">
        <v>16582</v>
      </c>
      <c r="C6186" s="71" t="s">
        <v>16930</v>
      </c>
    </row>
    <row r="6187">
      <c r="A6187" s="130" t="s">
        <v>25192</v>
      </c>
      <c r="B6187" s="71" t="s">
        <v>16838</v>
      </c>
      <c r="C6187" s="71" t="s">
        <v>18219</v>
      </c>
    </row>
    <row r="6188">
      <c r="A6188" s="130" t="s">
        <v>25194</v>
      </c>
      <c r="B6188" s="71" t="s">
        <v>175</v>
      </c>
      <c r="C6188" s="71" t="s">
        <v>18718</v>
      </c>
    </row>
    <row r="6189">
      <c r="A6189" s="130" t="s">
        <v>25196</v>
      </c>
      <c r="B6189" s="71" t="s">
        <v>16838</v>
      </c>
      <c r="C6189" s="71" t="s">
        <v>17127</v>
      </c>
    </row>
    <row r="6190">
      <c r="A6190" s="130" t="s">
        <v>25198</v>
      </c>
      <c r="B6190" s="71" t="s">
        <v>187</v>
      </c>
      <c r="C6190" s="71" t="s">
        <v>16858</v>
      </c>
    </row>
    <row r="6191">
      <c r="A6191" s="234" t="s">
        <v>25200</v>
      </c>
      <c r="B6191" s="71" t="s">
        <v>16885</v>
      </c>
      <c r="C6191" s="71" t="s">
        <v>17726</v>
      </c>
    </row>
    <row r="6192">
      <c r="A6192" s="234" t="s">
        <v>25200</v>
      </c>
      <c r="B6192" s="71" t="s">
        <v>17726</v>
      </c>
      <c r="C6192" s="130" t="s">
        <v>16885</v>
      </c>
    </row>
    <row r="6193">
      <c r="A6193" s="130" t="s">
        <v>25202</v>
      </c>
      <c r="B6193" s="71" t="s">
        <v>187</v>
      </c>
      <c r="C6193" s="71" t="s">
        <v>16846</v>
      </c>
    </row>
    <row r="6194">
      <c r="A6194" s="130" t="s">
        <v>25204</v>
      </c>
      <c r="B6194" s="71" t="s">
        <v>16919</v>
      </c>
      <c r="C6194" s="71" t="s">
        <v>17176</v>
      </c>
    </row>
    <row r="6195">
      <c r="A6195" s="234" t="s">
        <v>25206</v>
      </c>
      <c r="B6195" s="71" t="s">
        <v>17112</v>
      </c>
      <c r="C6195" s="71" t="s">
        <v>17787</v>
      </c>
    </row>
    <row r="6196">
      <c r="A6196" s="234" t="s">
        <v>25206</v>
      </c>
      <c r="B6196" s="71" t="s">
        <v>17787</v>
      </c>
      <c r="C6196" s="71" t="s">
        <v>17112</v>
      </c>
    </row>
    <row r="6197">
      <c r="A6197" s="130" t="s">
        <v>25208</v>
      </c>
      <c r="B6197" s="71" t="s">
        <v>175</v>
      </c>
      <c r="C6197" s="71" t="s">
        <v>16824</v>
      </c>
    </row>
    <row r="6198">
      <c r="A6198" s="130" t="s">
        <v>25210</v>
      </c>
      <c r="B6198" s="71" t="s">
        <v>16838</v>
      </c>
      <c r="C6198" s="71" t="s">
        <v>17016</v>
      </c>
    </row>
    <row r="6199">
      <c r="A6199" s="130" t="s">
        <v>25212</v>
      </c>
      <c r="B6199" s="71" t="s">
        <v>187</v>
      </c>
      <c r="C6199" s="71" t="s">
        <v>16992</v>
      </c>
    </row>
    <row r="6200">
      <c r="A6200" s="234" t="s">
        <v>25214</v>
      </c>
      <c r="B6200" s="71" t="s">
        <v>18679</v>
      </c>
      <c r="C6200" s="71" t="s">
        <v>16838</v>
      </c>
    </row>
    <row r="6201">
      <c r="A6201" s="234" t="s">
        <v>25214</v>
      </c>
      <c r="B6201" s="71" t="s">
        <v>16838</v>
      </c>
      <c r="C6201" s="71" t="s">
        <v>18679</v>
      </c>
    </row>
    <row r="6202">
      <c r="A6202" s="130" t="s">
        <v>25216</v>
      </c>
      <c r="B6202" s="71" t="s">
        <v>16582</v>
      </c>
      <c r="C6202" s="71" t="s">
        <v>16817</v>
      </c>
    </row>
    <row r="6203">
      <c r="A6203" s="130" t="s">
        <v>25218</v>
      </c>
      <c r="B6203" s="71" t="s">
        <v>175</v>
      </c>
      <c r="C6203" s="71" t="s">
        <v>16972</v>
      </c>
    </row>
    <row r="6204">
      <c r="A6204" s="234" t="s">
        <v>25220</v>
      </c>
      <c r="B6204" s="71" t="s">
        <v>16582</v>
      </c>
      <c r="C6204" s="71" t="s">
        <v>16828</v>
      </c>
    </row>
    <row r="6205">
      <c r="A6205" s="234" t="s">
        <v>25220</v>
      </c>
      <c r="B6205" s="71" t="s">
        <v>16828</v>
      </c>
      <c r="C6205" s="71" t="s">
        <v>16582</v>
      </c>
    </row>
    <row r="6206">
      <c r="A6206" s="130" t="s">
        <v>25222</v>
      </c>
      <c r="B6206" s="71" t="s">
        <v>16838</v>
      </c>
      <c r="C6206" s="71" t="s">
        <v>16867</v>
      </c>
    </row>
    <row r="6207">
      <c r="A6207" s="130" t="s">
        <v>25224</v>
      </c>
      <c r="B6207" s="71" t="s">
        <v>187</v>
      </c>
      <c r="C6207" s="71" t="s">
        <v>16969</v>
      </c>
    </row>
    <row r="6208">
      <c r="A6208" s="130" t="s">
        <v>25226</v>
      </c>
      <c r="B6208" s="71" t="s">
        <v>175</v>
      </c>
      <c r="C6208" s="71" t="s">
        <v>16942</v>
      </c>
    </row>
    <row r="6209">
      <c r="A6209" s="130" t="s">
        <v>25228</v>
      </c>
      <c r="B6209" s="71" t="s">
        <v>175</v>
      </c>
      <c r="C6209" s="71" t="s">
        <v>16854</v>
      </c>
    </row>
    <row r="6210">
      <c r="A6210" s="130" t="s">
        <v>25230</v>
      </c>
      <c r="B6210" s="71" t="s">
        <v>187</v>
      </c>
      <c r="C6210" s="71" t="s">
        <v>16992</v>
      </c>
    </row>
    <row r="6211">
      <c r="A6211" s="234" t="s">
        <v>25232</v>
      </c>
      <c r="B6211" s="71" t="s">
        <v>158</v>
      </c>
      <c r="C6211" s="71" t="s">
        <v>16864</v>
      </c>
    </row>
    <row r="6212">
      <c r="A6212" s="234" t="s">
        <v>25232</v>
      </c>
      <c r="B6212" s="71" t="s">
        <v>16864</v>
      </c>
      <c r="C6212" s="71" t="s">
        <v>158</v>
      </c>
    </row>
    <row r="6213">
      <c r="A6213" s="130" t="s">
        <v>25234</v>
      </c>
      <c r="B6213" s="71" t="s">
        <v>16838</v>
      </c>
      <c r="C6213" s="71" t="s">
        <v>16867</v>
      </c>
    </row>
    <row r="6214">
      <c r="A6214" s="234" t="s">
        <v>25236</v>
      </c>
      <c r="B6214" s="71" t="s">
        <v>16885</v>
      </c>
      <c r="C6214" s="71" t="s">
        <v>17726</v>
      </c>
    </row>
    <row r="6215">
      <c r="A6215" s="234" t="s">
        <v>25236</v>
      </c>
      <c r="B6215" s="71" t="s">
        <v>17726</v>
      </c>
      <c r="C6215" s="130" t="s">
        <v>16885</v>
      </c>
    </row>
    <row r="6216">
      <c r="A6216" s="130" t="s">
        <v>25238</v>
      </c>
      <c r="B6216" s="71" t="s">
        <v>16838</v>
      </c>
      <c r="C6216" s="71" t="s">
        <v>18679</v>
      </c>
    </row>
    <row r="6217">
      <c r="A6217" s="234" t="s">
        <v>25240</v>
      </c>
      <c r="B6217" s="71" t="s">
        <v>19644</v>
      </c>
      <c r="C6217" s="71" t="s">
        <v>16838</v>
      </c>
    </row>
    <row r="6218">
      <c r="A6218" s="234" t="s">
        <v>25240</v>
      </c>
      <c r="B6218" s="71" t="s">
        <v>16838</v>
      </c>
      <c r="C6218" s="71" t="s">
        <v>19644</v>
      </c>
    </row>
    <row r="6219">
      <c r="A6219" s="130" t="s">
        <v>25242</v>
      </c>
      <c r="B6219" s="71" t="s">
        <v>16838</v>
      </c>
      <c r="C6219" s="71" t="s">
        <v>17127</v>
      </c>
    </row>
    <row r="6220">
      <c r="A6220" s="130" t="s">
        <v>25244</v>
      </c>
      <c r="B6220" s="71" t="s">
        <v>169</v>
      </c>
      <c r="C6220" s="71" t="s">
        <v>17532</v>
      </c>
    </row>
    <row r="6221">
      <c r="A6221" s="130" t="s">
        <v>25246</v>
      </c>
      <c r="B6221" s="71" t="s">
        <v>187</v>
      </c>
      <c r="C6221" s="71" t="s">
        <v>16846</v>
      </c>
    </row>
    <row r="6222">
      <c r="A6222" s="130" t="s">
        <v>25248</v>
      </c>
      <c r="B6222" s="71" t="s">
        <v>175</v>
      </c>
      <c r="C6222" s="71" t="s">
        <v>16942</v>
      </c>
    </row>
    <row r="6223">
      <c r="A6223" s="130" t="s">
        <v>25250</v>
      </c>
      <c r="B6223" s="71" t="s">
        <v>175</v>
      </c>
      <c r="C6223" s="71" t="s">
        <v>18570</v>
      </c>
    </row>
    <row r="6224">
      <c r="A6224" s="234" t="s">
        <v>25252</v>
      </c>
      <c r="B6224" s="71" t="s">
        <v>158</v>
      </c>
      <c r="C6224" s="71" t="s">
        <v>16864</v>
      </c>
    </row>
    <row r="6225">
      <c r="A6225" s="234" t="s">
        <v>25252</v>
      </c>
      <c r="B6225" s="71" t="s">
        <v>16864</v>
      </c>
      <c r="C6225" s="71" t="s">
        <v>158</v>
      </c>
    </row>
    <row r="6226">
      <c r="A6226" s="234" t="s">
        <v>25254</v>
      </c>
      <c r="B6226" s="71" t="s">
        <v>17111</v>
      </c>
      <c r="C6226" s="71" t="s">
        <v>17112</v>
      </c>
    </row>
    <row r="6227">
      <c r="A6227" s="234" t="s">
        <v>25254</v>
      </c>
      <c r="B6227" s="71" t="s">
        <v>17112</v>
      </c>
      <c r="C6227" s="71" t="s">
        <v>17111</v>
      </c>
    </row>
    <row r="6228">
      <c r="A6228" s="234" t="s">
        <v>25256</v>
      </c>
      <c r="B6228" s="71" t="s">
        <v>17112</v>
      </c>
      <c r="C6228" s="71" t="s">
        <v>17218</v>
      </c>
    </row>
    <row r="6229">
      <c r="A6229" s="234" t="s">
        <v>25256</v>
      </c>
      <c r="B6229" s="71" t="s">
        <v>17218</v>
      </c>
      <c r="C6229" s="71" t="s">
        <v>17112</v>
      </c>
    </row>
    <row r="6230">
      <c r="A6230" s="130" t="s">
        <v>25258</v>
      </c>
      <c r="B6230" s="71" t="s">
        <v>187</v>
      </c>
      <c r="C6230" s="71" t="s">
        <v>16992</v>
      </c>
    </row>
    <row r="6231">
      <c r="A6231" s="130" t="s">
        <v>25260</v>
      </c>
      <c r="B6231" s="71" t="s">
        <v>187</v>
      </c>
      <c r="C6231" s="71" t="s">
        <v>16858</v>
      </c>
    </row>
    <row r="6232">
      <c r="A6232" s="130" t="s">
        <v>25262</v>
      </c>
      <c r="B6232" s="71" t="s">
        <v>175</v>
      </c>
      <c r="C6232" s="71" t="s">
        <v>16899</v>
      </c>
    </row>
    <row r="6233">
      <c r="A6233" s="234" t="s">
        <v>25264</v>
      </c>
      <c r="B6233" s="71" t="s">
        <v>16910</v>
      </c>
      <c r="C6233" s="71" t="s">
        <v>16911</v>
      </c>
    </row>
    <row r="6234">
      <c r="A6234" s="234" t="s">
        <v>25264</v>
      </c>
      <c r="B6234" s="71" t="s">
        <v>16911</v>
      </c>
      <c r="C6234" s="71" t="s">
        <v>16910</v>
      </c>
    </row>
    <row r="6235">
      <c r="A6235" s="130" t="s">
        <v>25266</v>
      </c>
      <c r="B6235" s="71" t="s">
        <v>175</v>
      </c>
      <c r="C6235" s="71" t="s">
        <v>17168</v>
      </c>
    </row>
    <row r="6236">
      <c r="A6236" s="130" t="s">
        <v>25268</v>
      </c>
      <c r="B6236" s="71" t="s">
        <v>187</v>
      </c>
      <c r="C6236" s="71" t="s">
        <v>16992</v>
      </c>
    </row>
    <row r="6237">
      <c r="A6237" s="234" t="s">
        <v>25270</v>
      </c>
      <c r="B6237" s="71" t="s">
        <v>16851</v>
      </c>
      <c r="C6237" s="71" t="s">
        <v>187</v>
      </c>
    </row>
    <row r="6238">
      <c r="A6238" s="234" t="s">
        <v>25270</v>
      </c>
      <c r="B6238" s="71" t="s">
        <v>187</v>
      </c>
      <c r="C6238" s="71" t="s">
        <v>16851</v>
      </c>
    </row>
    <row r="6239">
      <c r="A6239" s="130" t="s">
        <v>25272</v>
      </c>
      <c r="B6239" s="71" t="s">
        <v>175</v>
      </c>
      <c r="C6239" s="71" t="s">
        <v>17394</v>
      </c>
    </row>
    <row r="6240">
      <c r="A6240" s="130" t="s">
        <v>25274</v>
      </c>
      <c r="B6240" s="71" t="s">
        <v>187</v>
      </c>
      <c r="C6240" s="71" t="s">
        <v>16846</v>
      </c>
    </row>
    <row r="6241">
      <c r="A6241" s="130" t="s">
        <v>25276</v>
      </c>
      <c r="B6241" s="71" t="s">
        <v>187</v>
      </c>
      <c r="C6241" s="71" t="s">
        <v>16846</v>
      </c>
    </row>
    <row r="6242">
      <c r="A6242" s="130" t="s">
        <v>25278</v>
      </c>
      <c r="B6242" s="71" t="s">
        <v>16582</v>
      </c>
      <c r="C6242" s="71" t="s">
        <v>16930</v>
      </c>
    </row>
    <row r="6243">
      <c r="A6243" s="234" t="s">
        <v>25280</v>
      </c>
      <c r="B6243" s="71" t="s">
        <v>175</v>
      </c>
      <c r="C6243" s="71" t="s">
        <v>17452</v>
      </c>
    </row>
    <row r="6244">
      <c r="A6244" s="234" t="s">
        <v>25280</v>
      </c>
      <c r="B6244" s="71" t="s">
        <v>17452</v>
      </c>
      <c r="C6244" s="71" t="s">
        <v>175</v>
      </c>
    </row>
    <row r="6245">
      <c r="A6245" s="130" t="s">
        <v>25282</v>
      </c>
      <c r="B6245" s="71" t="s">
        <v>16910</v>
      </c>
      <c r="C6245" s="71" t="s">
        <v>17502</v>
      </c>
    </row>
    <row r="6246">
      <c r="A6246" s="234" t="s">
        <v>25284</v>
      </c>
      <c r="B6246" s="71" t="s">
        <v>17111</v>
      </c>
      <c r="C6246" s="71" t="s">
        <v>17112</v>
      </c>
    </row>
    <row r="6247">
      <c r="A6247" s="234" t="s">
        <v>25284</v>
      </c>
      <c r="B6247" s="71" t="s">
        <v>17112</v>
      </c>
      <c r="C6247" s="71" t="s">
        <v>17111</v>
      </c>
    </row>
    <row r="6248">
      <c r="A6248" s="130" t="s">
        <v>25286</v>
      </c>
      <c r="B6248" s="71" t="s">
        <v>16582</v>
      </c>
      <c r="C6248" s="71" t="s">
        <v>17342</v>
      </c>
    </row>
    <row r="6249">
      <c r="A6249" s="234" t="s">
        <v>25288</v>
      </c>
      <c r="B6249" s="71"/>
      <c r="C6249" s="71"/>
    </row>
    <row r="6250">
      <c r="A6250" s="234" t="s">
        <v>25288</v>
      </c>
      <c r="B6250" s="71"/>
      <c r="C6250" s="71"/>
    </row>
    <row r="6251">
      <c r="A6251" s="130" t="s">
        <v>25290</v>
      </c>
      <c r="B6251" s="71" t="s">
        <v>16582</v>
      </c>
      <c r="C6251" s="71" t="s">
        <v>16828</v>
      </c>
    </row>
    <row r="6252">
      <c r="A6252" s="130" t="s">
        <v>25292</v>
      </c>
      <c r="B6252" s="71" t="s">
        <v>175</v>
      </c>
      <c r="C6252" s="71" t="s">
        <v>17606</v>
      </c>
    </row>
    <row r="6253">
      <c r="A6253" s="130" t="s">
        <v>25294</v>
      </c>
      <c r="B6253" s="71" t="s">
        <v>16838</v>
      </c>
      <c r="C6253" s="71" t="s">
        <v>16867</v>
      </c>
    </row>
    <row r="6254">
      <c r="A6254" s="130" t="s">
        <v>25296</v>
      </c>
      <c r="B6254" s="71" t="s">
        <v>16582</v>
      </c>
      <c r="C6254" s="71" t="s">
        <v>16828</v>
      </c>
    </row>
    <row r="6255">
      <c r="A6255" s="130" t="s">
        <v>25298</v>
      </c>
      <c r="B6255" s="71" t="s">
        <v>187</v>
      </c>
      <c r="C6255" s="71" t="s">
        <v>16846</v>
      </c>
    </row>
    <row r="6256">
      <c r="A6256" s="130" t="s">
        <v>25300</v>
      </c>
      <c r="B6256" s="71" t="s">
        <v>187</v>
      </c>
      <c r="C6256" s="71" t="s">
        <v>16846</v>
      </c>
    </row>
    <row r="6257">
      <c r="A6257" s="130" t="s">
        <v>25302</v>
      </c>
      <c r="B6257" s="71" t="s">
        <v>16838</v>
      </c>
      <c r="C6257" s="71" t="s">
        <v>17002</v>
      </c>
    </row>
    <row r="6258">
      <c r="A6258" s="234" t="s">
        <v>25304</v>
      </c>
      <c r="B6258" s="71" t="s">
        <v>17016</v>
      </c>
      <c r="C6258" s="71" t="s">
        <v>16838</v>
      </c>
    </row>
    <row r="6259">
      <c r="A6259" s="234" t="s">
        <v>25304</v>
      </c>
      <c r="B6259" s="71" t="s">
        <v>16838</v>
      </c>
      <c r="C6259" s="71" t="s">
        <v>17016</v>
      </c>
    </row>
    <row r="6260">
      <c r="A6260" s="130" t="s">
        <v>25307</v>
      </c>
      <c r="B6260" s="71" t="s">
        <v>187</v>
      </c>
      <c r="C6260" s="71" t="s">
        <v>16846</v>
      </c>
    </row>
    <row r="6261">
      <c r="A6261" s="130" t="s">
        <v>25309</v>
      </c>
      <c r="B6261" s="71" t="s">
        <v>187</v>
      </c>
      <c r="C6261" s="71" t="s">
        <v>16846</v>
      </c>
    </row>
    <row r="6262">
      <c r="A6262" s="234" t="s">
        <v>25311</v>
      </c>
      <c r="B6262" s="71" t="s">
        <v>175</v>
      </c>
      <c r="C6262" s="71" t="s">
        <v>17350</v>
      </c>
    </row>
    <row r="6263">
      <c r="A6263" s="234" t="s">
        <v>25311</v>
      </c>
      <c r="B6263" s="71" t="s">
        <v>17350</v>
      </c>
      <c r="C6263" s="71" t="s">
        <v>175</v>
      </c>
    </row>
    <row r="6264">
      <c r="A6264" s="130" t="s">
        <v>25313</v>
      </c>
      <c r="B6264" s="71" t="s">
        <v>187</v>
      </c>
      <c r="C6264" s="71" t="s">
        <v>16846</v>
      </c>
    </row>
    <row r="6265">
      <c r="A6265" s="130" t="s">
        <v>25315</v>
      </c>
      <c r="B6265" s="71" t="s">
        <v>187</v>
      </c>
      <c r="C6265" s="71" t="s">
        <v>16846</v>
      </c>
    </row>
    <row r="6266">
      <c r="A6266" s="130" t="s">
        <v>25317</v>
      </c>
      <c r="B6266" s="71" t="s">
        <v>16838</v>
      </c>
      <c r="C6266" s="71" t="s">
        <v>18956</v>
      </c>
    </row>
    <row r="6267">
      <c r="A6267" s="130" t="s">
        <v>25319</v>
      </c>
      <c r="B6267" s="71" t="s">
        <v>16582</v>
      </c>
      <c r="C6267" s="71" t="s">
        <v>16817</v>
      </c>
    </row>
    <row r="6268">
      <c r="A6268" s="130" t="s">
        <v>25321</v>
      </c>
      <c r="B6268" s="71" t="s">
        <v>16885</v>
      </c>
      <c r="C6268" s="71" t="s">
        <v>16886</v>
      </c>
    </row>
    <row r="6269">
      <c r="A6269" s="234" t="s">
        <v>25323</v>
      </c>
      <c r="B6269" s="71" t="s">
        <v>17057</v>
      </c>
      <c r="C6269" s="71" t="s">
        <v>169</v>
      </c>
    </row>
    <row r="6270">
      <c r="A6270" s="234" t="s">
        <v>25323</v>
      </c>
      <c r="B6270" s="71" t="s">
        <v>169</v>
      </c>
      <c r="C6270" s="71" t="s">
        <v>17057</v>
      </c>
    </row>
    <row r="6271">
      <c r="A6271" s="130" t="s">
        <v>25325</v>
      </c>
      <c r="B6271" s="71" t="s">
        <v>16838</v>
      </c>
      <c r="C6271" s="71" t="s">
        <v>17002</v>
      </c>
    </row>
    <row r="6272">
      <c r="A6272" s="130" t="s">
        <v>25327</v>
      </c>
      <c r="B6272" s="71"/>
      <c r="C6272" s="71"/>
    </row>
    <row r="6273">
      <c r="A6273" s="130" t="s">
        <v>25329</v>
      </c>
      <c r="B6273" s="71" t="s">
        <v>16838</v>
      </c>
      <c r="C6273" s="71" t="s">
        <v>16867</v>
      </c>
    </row>
    <row r="6274">
      <c r="A6274" s="130" t="s">
        <v>25331</v>
      </c>
      <c r="B6274" s="71" t="s">
        <v>187</v>
      </c>
      <c r="C6274" s="71" t="s">
        <v>16846</v>
      </c>
    </row>
    <row r="6275">
      <c r="A6275" s="130" t="s">
        <v>25333</v>
      </c>
      <c r="B6275" s="71" t="s">
        <v>169</v>
      </c>
      <c r="C6275" s="71" t="s">
        <v>17702</v>
      </c>
    </row>
    <row r="6276">
      <c r="A6276" s="130" t="s">
        <v>25335</v>
      </c>
      <c r="B6276" s="71" t="s">
        <v>17112</v>
      </c>
      <c r="C6276" s="71" t="s">
        <v>17218</v>
      </c>
    </row>
    <row r="6277">
      <c r="A6277" s="130" t="s">
        <v>25337</v>
      </c>
      <c r="B6277" s="71" t="s">
        <v>16582</v>
      </c>
      <c r="C6277" s="71" t="s">
        <v>16930</v>
      </c>
    </row>
    <row r="6278">
      <c r="A6278" s="130" t="s">
        <v>25339</v>
      </c>
      <c r="B6278" s="71" t="s">
        <v>16910</v>
      </c>
      <c r="C6278" s="71" t="s">
        <v>17502</v>
      </c>
    </row>
    <row r="6279">
      <c r="A6279" s="234" t="s">
        <v>25341</v>
      </c>
      <c r="B6279" s="71" t="s">
        <v>18679</v>
      </c>
      <c r="C6279" s="71" t="s">
        <v>16838</v>
      </c>
    </row>
    <row r="6280">
      <c r="A6280" s="234" t="s">
        <v>25341</v>
      </c>
      <c r="B6280" s="71" t="s">
        <v>16838</v>
      </c>
      <c r="C6280" s="71" t="s">
        <v>18679</v>
      </c>
    </row>
    <row r="6281">
      <c r="A6281" s="130" t="s">
        <v>25343</v>
      </c>
      <c r="B6281" s="71" t="s">
        <v>175</v>
      </c>
      <c r="C6281" s="71" t="s">
        <v>17619</v>
      </c>
    </row>
    <row r="6282">
      <c r="A6282" s="130" t="s">
        <v>25345</v>
      </c>
      <c r="B6282" s="71" t="s">
        <v>187</v>
      </c>
      <c r="C6282" s="71" t="s">
        <v>16846</v>
      </c>
    </row>
    <row r="6283">
      <c r="A6283" s="130" t="s">
        <v>25347</v>
      </c>
      <c r="B6283" s="71" t="s">
        <v>187</v>
      </c>
      <c r="C6283" s="71" t="s">
        <v>16992</v>
      </c>
    </row>
    <row r="6284">
      <c r="A6284" s="130" t="s">
        <v>25349</v>
      </c>
      <c r="B6284" s="71" t="s">
        <v>169</v>
      </c>
      <c r="C6284" s="71" t="s">
        <v>16945</v>
      </c>
    </row>
    <row r="6285">
      <c r="A6285" s="130" t="s">
        <v>25351</v>
      </c>
      <c r="B6285" s="71" t="s">
        <v>169</v>
      </c>
      <c r="C6285" s="71" t="s">
        <v>16899</v>
      </c>
    </row>
    <row r="6286">
      <c r="A6286" s="234" t="s">
        <v>25353</v>
      </c>
      <c r="B6286" s="71" t="s">
        <v>19579</v>
      </c>
      <c r="C6286" s="71" t="s">
        <v>16838</v>
      </c>
    </row>
    <row r="6287">
      <c r="A6287" s="234" t="s">
        <v>25353</v>
      </c>
      <c r="B6287" s="71" t="s">
        <v>16838</v>
      </c>
      <c r="C6287" s="71" t="s">
        <v>19579</v>
      </c>
    </row>
    <row r="6288">
      <c r="A6288" s="130" t="s">
        <v>25355</v>
      </c>
      <c r="B6288" s="71" t="s">
        <v>187</v>
      </c>
      <c r="C6288" s="71" t="s">
        <v>16846</v>
      </c>
    </row>
    <row r="6289">
      <c r="A6289" s="130" t="s">
        <v>25357</v>
      </c>
      <c r="B6289" s="71" t="s">
        <v>187</v>
      </c>
      <c r="C6289" s="71" t="s">
        <v>16858</v>
      </c>
    </row>
    <row r="6290">
      <c r="A6290" s="130" t="s">
        <v>25359</v>
      </c>
      <c r="B6290" s="71"/>
      <c r="C6290" s="71"/>
    </row>
    <row r="6291">
      <c r="A6291" s="130" t="s">
        <v>25361</v>
      </c>
      <c r="B6291" s="71" t="s">
        <v>187</v>
      </c>
      <c r="C6291" s="71" t="s">
        <v>16846</v>
      </c>
    </row>
    <row r="6292">
      <c r="A6292" s="130" t="s">
        <v>25363</v>
      </c>
      <c r="B6292" s="71" t="s">
        <v>187</v>
      </c>
      <c r="C6292" s="71" t="s">
        <v>16846</v>
      </c>
    </row>
    <row r="6293">
      <c r="A6293" s="130" t="s">
        <v>25364</v>
      </c>
      <c r="B6293" s="71"/>
      <c r="C6293" s="71"/>
    </row>
    <row r="6294">
      <c r="A6294" s="130" t="s">
        <v>25366</v>
      </c>
      <c r="B6294" s="71" t="s">
        <v>16838</v>
      </c>
      <c r="C6294" s="71" t="s">
        <v>16867</v>
      </c>
    </row>
    <row r="6295">
      <c r="A6295" s="130" t="s">
        <v>25368</v>
      </c>
      <c r="B6295" s="71" t="s">
        <v>187</v>
      </c>
      <c r="C6295" s="71" t="s">
        <v>16846</v>
      </c>
    </row>
    <row r="6296">
      <c r="A6296" s="130" t="s">
        <v>25370</v>
      </c>
      <c r="B6296" s="71" t="s">
        <v>17629</v>
      </c>
      <c r="C6296" s="71" t="s">
        <v>16899</v>
      </c>
    </row>
    <row r="6297">
      <c r="A6297" s="234" t="s">
        <v>25372</v>
      </c>
      <c r="B6297" s="71" t="s">
        <v>16838</v>
      </c>
      <c r="C6297" s="71" t="s">
        <v>17019</v>
      </c>
    </row>
    <row r="6298">
      <c r="A6298" s="234" t="s">
        <v>25372</v>
      </c>
      <c r="B6298" s="71" t="s">
        <v>17019</v>
      </c>
      <c r="C6298" s="130" t="s">
        <v>16838</v>
      </c>
    </row>
    <row r="6299">
      <c r="A6299" s="130" t="s">
        <v>25374</v>
      </c>
      <c r="B6299" s="71" t="s">
        <v>187</v>
      </c>
      <c r="C6299" s="71" t="s">
        <v>16846</v>
      </c>
    </row>
    <row r="6300">
      <c r="A6300" s="234" t="s">
        <v>25376</v>
      </c>
      <c r="B6300" s="71" t="s">
        <v>175</v>
      </c>
      <c r="C6300" s="71" t="s">
        <v>18310</v>
      </c>
    </row>
    <row r="6301">
      <c r="A6301" s="234" t="s">
        <v>25376</v>
      </c>
      <c r="B6301" s="71" t="s">
        <v>18310</v>
      </c>
      <c r="C6301" s="71" t="s">
        <v>175</v>
      </c>
    </row>
    <row r="6302">
      <c r="A6302" s="130" t="s">
        <v>25378</v>
      </c>
      <c r="B6302" s="71" t="s">
        <v>187</v>
      </c>
      <c r="C6302" s="71" t="s">
        <v>16858</v>
      </c>
    </row>
    <row r="6303">
      <c r="A6303" s="130" t="s">
        <v>25380</v>
      </c>
      <c r="B6303" s="71" t="s">
        <v>187</v>
      </c>
      <c r="C6303" s="71" t="s">
        <v>16858</v>
      </c>
    </row>
    <row r="6304">
      <c r="A6304" s="130" t="s">
        <v>25382</v>
      </c>
      <c r="B6304" s="71" t="s">
        <v>16838</v>
      </c>
      <c r="C6304" s="71" t="s">
        <v>18219</v>
      </c>
    </row>
    <row r="6305">
      <c r="A6305" s="130" t="s">
        <v>25384</v>
      </c>
      <c r="B6305" s="71" t="s">
        <v>16582</v>
      </c>
      <c r="C6305" s="71" t="s">
        <v>16995</v>
      </c>
    </row>
    <row r="6306">
      <c r="A6306" s="130" t="s">
        <v>25386</v>
      </c>
      <c r="B6306" s="71" t="s">
        <v>16582</v>
      </c>
      <c r="C6306" s="71" t="s">
        <v>16930</v>
      </c>
    </row>
    <row r="6307">
      <c r="A6307" s="130" t="s">
        <v>25388</v>
      </c>
      <c r="B6307" s="71" t="s">
        <v>17629</v>
      </c>
      <c r="C6307" s="71" t="s">
        <v>18718</v>
      </c>
    </row>
    <row r="6308">
      <c r="A6308" s="130" t="s">
        <v>25390</v>
      </c>
      <c r="B6308" s="71" t="s">
        <v>16838</v>
      </c>
      <c r="C6308" s="71" t="s">
        <v>16867</v>
      </c>
    </row>
    <row r="6309">
      <c r="A6309" s="130" t="s">
        <v>25392</v>
      </c>
      <c r="B6309" s="71" t="s">
        <v>187</v>
      </c>
      <c r="C6309" s="71" t="s">
        <v>16846</v>
      </c>
    </row>
    <row r="6310">
      <c r="A6310" s="130" t="s">
        <v>25394</v>
      </c>
      <c r="B6310" s="71" t="s">
        <v>16838</v>
      </c>
      <c r="C6310" s="71" t="s">
        <v>16837</v>
      </c>
    </row>
    <row r="6311">
      <c r="A6311" s="130" t="s">
        <v>25396</v>
      </c>
      <c r="B6311" s="71" t="s">
        <v>169</v>
      </c>
      <c r="C6311" s="71" t="s">
        <v>18098</v>
      </c>
    </row>
    <row r="6312">
      <c r="A6312" s="130" t="s">
        <v>25398</v>
      </c>
      <c r="B6312" s="71" t="s">
        <v>175</v>
      </c>
      <c r="C6312" s="71" t="s">
        <v>17717</v>
      </c>
    </row>
    <row r="6313">
      <c r="A6313" s="234" t="s">
        <v>25400</v>
      </c>
      <c r="B6313" s="71" t="s">
        <v>17111</v>
      </c>
      <c r="C6313" s="71" t="s">
        <v>17112</v>
      </c>
    </row>
    <row r="6314">
      <c r="A6314" s="234" t="s">
        <v>25400</v>
      </c>
      <c r="B6314" s="71" t="s">
        <v>17112</v>
      </c>
      <c r="C6314" s="71" t="s">
        <v>17111</v>
      </c>
    </row>
    <row r="6315">
      <c r="A6315" s="130" t="s">
        <v>25402</v>
      </c>
      <c r="B6315" s="71"/>
      <c r="C6315" s="71"/>
    </row>
    <row r="6316">
      <c r="A6316" s="130" t="s">
        <v>25404</v>
      </c>
      <c r="B6316" s="71" t="s">
        <v>16582</v>
      </c>
      <c r="C6316" s="71" t="s">
        <v>16995</v>
      </c>
    </row>
    <row r="6317">
      <c r="A6317" s="130" t="s">
        <v>25406</v>
      </c>
      <c r="B6317" s="71" t="s">
        <v>175</v>
      </c>
      <c r="C6317" s="71" t="s">
        <v>19139</v>
      </c>
    </row>
    <row r="6318">
      <c r="A6318" s="130" t="s">
        <v>25408</v>
      </c>
      <c r="B6318" s="71" t="s">
        <v>169</v>
      </c>
      <c r="C6318" s="71" t="s">
        <v>16945</v>
      </c>
    </row>
    <row r="6319">
      <c r="A6319" s="130" t="s">
        <v>25410</v>
      </c>
      <c r="B6319" s="71" t="s">
        <v>169</v>
      </c>
      <c r="C6319" s="71" t="s">
        <v>16899</v>
      </c>
    </row>
    <row r="6320">
      <c r="A6320" s="234" t="s">
        <v>25412</v>
      </c>
      <c r="B6320" s="71" t="s">
        <v>187</v>
      </c>
      <c r="C6320" s="71" t="s">
        <v>16846</v>
      </c>
    </row>
    <row r="6321">
      <c r="A6321" s="234" t="s">
        <v>25412</v>
      </c>
      <c r="B6321" s="71" t="s">
        <v>16846</v>
      </c>
      <c r="C6321" s="130" t="s">
        <v>187</v>
      </c>
    </row>
    <row r="6322">
      <c r="A6322" s="130" t="s">
        <v>25414</v>
      </c>
      <c r="B6322" s="71" t="s">
        <v>158</v>
      </c>
      <c r="C6322" s="71" t="s">
        <v>16864</v>
      </c>
    </row>
    <row r="6323">
      <c r="A6323" s="130" t="s">
        <v>25416</v>
      </c>
      <c r="B6323" s="71" t="s">
        <v>175</v>
      </c>
      <c r="C6323" s="71" t="s">
        <v>17717</v>
      </c>
    </row>
    <row r="6324">
      <c r="A6324" s="130" t="s">
        <v>25418</v>
      </c>
      <c r="B6324" s="71" t="s">
        <v>187</v>
      </c>
      <c r="C6324" s="71" t="s">
        <v>16846</v>
      </c>
    </row>
    <row r="6325">
      <c r="A6325" s="234" t="s">
        <v>25420</v>
      </c>
      <c r="B6325" s="71" t="s">
        <v>175</v>
      </c>
      <c r="C6325" s="71" t="s">
        <v>20344</v>
      </c>
    </row>
    <row r="6326">
      <c r="A6326" s="234" t="s">
        <v>25420</v>
      </c>
      <c r="B6326" s="71" t="s">
        <v>20344</v>
      </c>
      <c r="C6326" s="71" t="s">
        <v>175</v>
      </c>
    </row>
    <row r="6327">
      <c r="A6327" s="130" t="s">
        <v>25422</v>
      </c>
      <c r="B6327" s="71" t="s">
        <v>16838</v>
      </c>
      <c r="C6327" s="71" t="s">
        <v>16867</v>
      </c>
    </row>
    <row r="6328">
      <c r="A6328" s="130" t="s">
        <v>25424</v>
      </c>
      <c r="B6328" s="71" t="s">
        <v>187</v>
      </c>
      <c r="C6328" s="71" t="s">
        <v>23634</v>
      </c>
    </row>
    <row r="6329">
      <c r="A6329" s="130" t="s">
        <v>25426</v>
      </c>
      <c r="B6329" s="71" t="s">
        <v>169</v>
      </c>
      <c r="C6329" s="71" t="s">
        <v>17442</v>
      </c>
    </row>
    <row r="6330">
      <c r="A6330" s="130" t="s">
        <v>25428</v>
      </c>
      <c r="B6330" s="71" t="s">
        <v>16838</v>
      </c>
      <c r="C6330" s="71" t="s">
        <v>16867</v>
      </c>
    </row>
    <row r="6331">
      <c r="A6331" s="130" t="s">
        <v>25430</v>
      </c>
      <c r="B6331" s="71" t="s">
        <v>187</v>
      </c>
      <c r="C6331" s="71" t="s">
        <v>16846</v>
      </c>
    </row>
    <row r="6332">
      <c r="A6332" s="130" t="s">
        <v>25432</v>
      </c>
      <c r="B6332" s="71" t="s">
        <v>16838</v>
      </c>
      <c r="C6332" s="71" t="s">
        <v>19579</v>
      </c>
    </row>
    <row r="6333">
      <c r="A6333" s="130" t="s">
        <v>25434</v>
      </c>
      <c r="B6333" s="71" t="s">
        <v>16838</v>
      </c>
      <c r="C6333" s="71" t="s">
        <v>16837</v>
      </c>
    </row>
    <row r="6334">
      <c r="A6334" s="234" t="s">
        <v>25436</v>
      </c>
      <c r="B6334" s="71" t="s">
        <v>187</v>
      </c>
      <c r="C6334" s="71" t="s">
        <v>17122</v>
      </c>
    </row>
    <row r="6335">
      <c r="A6335" s="234" t="s">
        <v>25436</v>
      </c>
      <c r="B6335" s="71" t="s">
        <v>17122</v>
      </c>
      <c r="C6335" s="130" t="s">
        <v>187</v>
      </c>
    </row>
    <row r="6336">
      <c r="A6336" s="234" t="s">
        <v>25438</v>
      </c>
      <c r="B6336" s="71" t="s">
        <v>16945</v>
      </c>
      <c r="C6336" s="71" t="s">
        <v>169</v>
      </c>
    </row>
    <row r="6337">
      <c r="A6337" s="234" t="s">
        <v>25438</v>
      </c>
      <c r="B6337" s="71" t="s">
        <v>169</v>
      </c>
      <c r="C6337" s="71" t="s">
        <v>16945</v>
      </c>
    </row>
    <row r="6338">
      <c r="A6338" s="234" t="s">
        <v>25440</v>
      </c>
      <c r="B6338" s="71" t="s">
        <v>19644</v>
      </c>
      <c r="C6338" s="71" t="s">
        <v>16838</v>
      </c>
    </row>
    <row r="6339">
      <c r="A6339" s="234" t="s">
        <v>25440</v>
      </c>
      <c r="B6339" s="71" t="s">
        <v>16838</v>
      </c>
      <c r="C6339" s="71" t="s">
        <v>19644</v>
      </c>
    </row>
    <row r="6340">
      <c r="A6340" s="130" t="s">
        <v>25442</v>
      </c>
      <c r="B6340" s="71" t="s">
        <v>16838</v>
      </c>
      <c r="C6340" s="71" t="s">
        <v>16867</v>
      </c>
    </row>
    <row r="6341">
      <c r="A6341" s="130" t="s">
        <v>25444</v>
      </c>
      <c r="B6341" s="71" t="s">
        <v>16838</v>
      </c>
      <c r="C6341" s="71" t="s">
        <v>16867</v>
      </c>
    </row>
    <row r="6342">
      <c r="A6342" s="130" t="s">
        <v>25446</v>
      </c>
      <c r="B6342" s="71" t="s">
        <v>16838</v>
      </c>
      <c r="C6342" s="71" t="s">
        <v>16837</v>
      </c>
    </row>
    <row r="6343">
      <c r="A6343" s="130" t="s">
        <v>25448</v>
      </c>
      <c r="B6343" s="71" t="s">
        <v>187</v>
      </c>
      <c r="C6343" s="71" t="s">
        <v>16846</v>
      </c>
    </row>
    <row r="6344">
      <c r="A6344" s="234" t="s">
        <v>25450</v>
      </c>
      <c r="B6344" s="71" t="s">
        <v>16582</v>
      </c>
      <c r="C6344" s="71" t="s">
        <v>16583</v>
      </c>
    </row>
    <row r="6345">
      <c r="A6345" s="234" t="s">
        <v>25450</v>
      </c>
      <c r="B6345" s="71" t="s">
        <v>16583</v>
      </c>
      <c r="C6345" s="71" t="s">
        <v>16582</v>
      </c>
    </row>
    <row r="6346">
      <c r="A6346" s="130" t="s">
        <v>25452</v>
      </c>
      <c r="B6346" s="71" t="s">
        <v>187</v>
      </c>
      <c r="C6346" s="71" t="s">
        <v>16846</v>
      </c>
    </row>
    <row r="6347">
      <c r="A6347" s="130" t="s">
        <v>25454</v>
      </c>
      <c r="B6347" s="71" t="s">
        <v>175</v>
      </c>
      <c r="C6347" s="71" t="s">
        <v>16942</v>
      </c>
    </row>
    <row r="6348">
      <c r="A6348" s="234" t="s">
        <v>25456</v>
      </c>
      <c r="B6348" s="71"/>
      <c r="C6348" s="71"/>
    </row>
    <row r="6349">
      <c r="A6349" s="234" t="s">
        <v>25456</v>
      </c>
      <c r="B6349" s="71"/>
      <c r="C6349" s="71"/>
    </row>
    <row r="6350">
      <c r="A6350" s="130" t="s">
        <v>25458</v>
      </c>
      <c r="B6350" s="71" t="s">
        <v>175</v>
      </c>
      <c r="C6350" s="71" t="s">
        <v>17480</v>
      </c>
    </row>
    <row r="6351">
      <c r="A6351" s="130" t="s">
        <v>25460</v>
      </c>
      <c r="B6351" s="71" t="s">
        <v>16838</v>
      </c>
      <c r="C6351" s="71" t="s">
        <v>16867</v>
      </c>
    </row>
    <row r="6352">
      <c r="A6352" s="130" t="s">
        <v>25462</v>
      </c>
      <c r="B6352" s="71" t="s">
        <v>16838</v>
      </c>
      <c r="C6352" s="71" t="s">
        <v>16867</v>
      </c>
    </row>
    <row r="6353">
      <c r="A6353" s="130" t="s">
        <v>25464</v>
      </c>
      <c r="B6353" s="71" t="s">
        <v>169</v>
      </c>
      <c r="C6353" s="71" t="s">
        <v>16945</v>
      </c>
    </row>
    <row r="6354">
      <c r="A6354" s="130" t="s">
        <v>25466</v>
      </c>
      <c r="B6354" s="71" t="s">
        <v>175</v>
      </c>
      <c r="C6354" s="71" t="s">
        <v>17509</v>
      </c>
    </row>
    <row r="6355">
      <c r="A6355" s="234" t="s">
        <v>25468</v>
      </c>
      <c r="B6355" s="71" t="s">
        <v>158</v>
      </c>
      <c r="C6355" s="71" t="s">
        <v>16864</v>
      </c>
    </row>
    <row r="6356">
      <c r="A6356" s="234" t="s">
        <v>25468</v>
      </c>
      <c r="B6356" s="71" t="s">
        <v>16864</v>
      </c>
      <c r="C6356" s="71" t="s">
        <v>158</v>
      </c>
    </row>
    <row r="6357">
      <c r="A6357" s="130" t="s">
        <v>25470</v>
      </c>
      <c r="B6357" s="71" t="s">
        <v>16838</v>
      </c>
      <c r="C6357" s="71" t="s">
        <v>16867</v>
      </c>
    </row>
    <row r="6358">
      <c r="A6358" s="130" t="s">
        <v>25472</v>
      </c>
      <c r="B6358" s="71" t="s">
        <v>175</v>
      </c>
      <c r="C6358" s="71" t="s">
        <v>16890</v>
      </c>
    </row>
    <row r="6359">
      <c r="A6359" s="234" t="s">
        <v>25474</v>
      </c>
      <c r="B6359" s="71" t="s">
        <v>158</v>
      </c>
      <c r="C6359" s="71" t="s">
        <v>16864</v>
      </c>
    </row>
    <row r="6360">
      <c r="A6360" s="234" t="s">
        <v>25474</v>
      </c>
      <c r="B6360" s="71" t="s">
        <v>16864</v>
      </c>
      <c r="C6360" s="71" t="s">
        <v>158</v>
      </c>
    </row>
    <row r="6361">
      <c r="A6361" s="130" t="s">
        <v>25476</v>
      </c>
      <c r="B6361" s="71" t="s">
        <v>169</v>
      </c>
      <c r="C6361" s="71" t="s">
        <v>17509</v>
      </c>
    </row>
    <row r="6362">
      <c r="A6362" s="234" t="s">
        <v>25477</v>
      </c>
      <c r="B6362" s="71" t="s">
        <v>175</v>
      </c>
      <c r="C6362" s="71" t="s">
        <v>17812</v>
      </c>
    </row>
    <row r="6363">
      <c r="A6363" s="234" t="s">
        <v>25477</v>
      </c>
      <c r="B6363" s="71" t="s">
        <v>17812</v>
      </c>
      <c r="C6363" s="71" t="s">
        <v>175</v>
      </c>
    </row>
    <row r="6364">
      <c r="A6364" s="130" t="s">
        <v>25479</v>
      </c>
      <c r="B6364" s="71" t="s">
        <v>187</v>
      </c>
      <c r="C6364" s="71" t="s">
        <v>16846</v>
      </c>
    </row>
    <row r="6365">
      <c r="A6365" s="130" t="s">
        <v>25481</v>
      </c>
      <c r="B6365" s="71" t="s">
        <v>16582</v>
      </c>
      <c r="C6365" s="71" t="s">
        <v>16899</v>
      </c>
    </row>
    <row r="6366">
      <c r="A6366" s="234" t="s">
        <v>25483</v>
      </c>
      <c r="B6366" s="71" t="s">
        <v>16582</v>
      </c>
      <c r="C6366" s="71" t="s">
        <v>16930</v>
      </c>
    </row>
    <row r="6367">
      <c r="A6367" s="234" t="s">
        <v>25483</v>
      </c>
      <c r="B6367" s="71" t="s">
        <v>16930</v>
      </c>
      <c r="C6367" s="71" t="s">
        <v>16582</v>
      </c>
    </row>
    <row r="6368">
      <c r="A6368" s="130" t="s">
        <v>25485</v>
      </c>
      <c r="B6368" s="71" t="s">
        <v>175</v>
      </c>
      <c r="C6368" s="71" t="s">
        <v>16899</v>
      </c>
    </row>
    <row r="6369">
      <c r="A6369" s="234" t="s">
        <v>25487</v>
      </c>
      <c r="B6369" s="71" t="s">
        <v>175</v>
      </c>
      <c r="C6369" s="71" t="s">
        <v>17606</v>
      </c>
    </row>
    <row r="6370">
      <c r="A6370" s="234" t="s">
        <v>25487</v>
      </c>
      <c r="B6370" s="71" t="s">
        <v>17606</v>
      </c>
      <c r="C6370" s="130" t="s">
        <v>175</v>
      </c>
    </row>
    <row r="6371">
      <c r="A6371" s="130" t="s">
        <v>25489</v>
      </c>
      <c r="B6371" s="71" t="s">
        <v>187</v>
      </c>
      <c r="C6371" s="71" t="s">
        <v>16858</v>
      </c>
    </row>
    <row r="6372">
      <c r="A6372" s="130" t="s">
        <v>25491</v>
      </c>
      <c r="B6372" s="71" t="s">
        <v>16582</v>
      </c>
      <c r="C6372" s="71" t="s">
        <v>16930</v>
      </c>
    </row>
    <row r="6373">
      <c r="A6373" s="234" t="s">
        <v>25493</v>
      </c>
      <c r="B6373" s="71"/>
      <c r="C6373" s="71"/>
    </row>
    <row r="6374">
      <c r="A6374" s="234" t="s">
        <v>25493</v>
      </c>
      <c r="B6374" s="71"/>
      <c r="C6374" s="71"/>
    </row>
    <row r="6375">
      <c r="A6375" s="130" t="s">
        <v>25495</v>
      </c>
      <c r="B6375" s="71" t="s">
        <v>187</v>
      </c>
      <c r="C6375" s="71" t="s">
        <v>16846</v>
      </c>
    </row>
    <row r="6376">
      <c r="A6376" s="130" t="s">
        <v>25497</v>
      </c>
      <c r="B6376" s="71" t="s">
        <v>187</v>
      </c>
      <c r="C6376" s="71" t="s">
        <v>16969</v>
      </c>
    </row>
    <row r="6377">
      <c r="A6377" s="234" t="s">
        <v>25499</v>
      </c>
      <c r="B6377" s="71" t="s">
        <v>16582</v>
      </c>
      <c r="C6377" s="71" t="s">
        <v>16817</v>
      </c>
    </row>
    <row r="6378">
      <c r="A6378" s="234" t="s">
        <v>25499</v>
      </c>
      <c r="B6378" s="71" t="s">
        <v>16817</v>
      </c>
      <c r="C6378" s="71" t="s">
        <v>16582</v>
      </c>
    </row>
    <row r="6379">
      <c r="A6379" s="130" t="s">
        <v>25501</v>
      </c>
      <c r="B6379" s="71" t="s">
        <v>175</v>
      </c>
      <c r="C6379" s="71" t="s">
        <v>17452</v>
      </c>
    </row>
    <row r="6380">
      <c r="A6380" s="130" t="s">
        <v>25503</v>
      </c>
      <c r="B6380" s="71" t="s">
        <v>187</v>
      </c>
      <c r="C6380" s="71" t="s">
        <v>16851</v>
      </c>
    </row>
    <row r="6381">
      <c r="A6381" s="130" t="s">
        <v>25505</v>
      </c>
      <c r="B6381" s="71" t="s">
        <v>187</v>
      </c>
      <c r="C6381" s="71" t="s">
        <v>16846</v>
      </c>
    </row>
    <row r="6382">
      <c r="A6382" s="130" t="s">
        <v>25507</v>
      </c>
      <c r="B6382" s="71" t="s">
        <v>187</v>
      </c>
      <c r="C6382" s="71" t="s">
        <v>16846</v>
      </c>
    </row>
    <row r="6383">
      <c r="A6383" s="130" t="s">
        <v>25509</v>
      </c>
      <c r="B6383" s="71" t="s">
        <v>187</v>
      </c>
      <c r="C6383" s="71" t="s">
        <v>17509</v>
      </c>
    </row>
    <row r="6384">
      <c r="A6384" s="130" t="s">
        <v>25511</v>
      </c>
      <c r="B6384" s="71" t="s">
        <v>16582</v>
      </c>
      <c r="C6384" s="71" t="s">
        <v>16930</v>
      </c>
    </row>
    <row r="6385">
      <c r="A6385" s="130" t="s">
        <v>25513</v>
      </c>
      <c r="B6385" s="71" t="s">
        <v>187</v>
      </c>
      <c r="C6385" s="71" t="s">
        <v>16846</v>
      </c>
    </row>
    <row r="6386">
      <c r="A6386" s="234" t="s">
        <v>25515</v>
      </c>
      <c r="B6386" s="71" t="s">
        <v>175</v>
      </c>
      <c r="C6386" s="71" t="s">
        <v>17069</v>
      </c>
    </row>
    <row r="6387">
      <c r="A6387" s="234" t="s">
        <v>25515</v>
      </c>
      <c r="B6387" s="71" t="s">
        <v>17069</v>
      </c>
      <c r="C6387" s="71" t="s">
        <v>175</v>
      </c>
    </row>
    <row r="6388">
      <c r="A6388" s="234" t="s">
        <v>25517</v>
      </c>
      <c r="B6388" s="71"/>
      <c r="C6388" s="71"/>
    </row>
    <row r="6389">
      <c r="A6389" s="234" t="s">
        <v>25517</v>
      </c>
      <c r="B6389" s="71"/>
      <c r="C6389" s="71"/>
    </row>
    <row r="6390">
      <c r="A6390" s="234" t="s">
        <v>25519</v>
      </c>
      <c r="B6390" s="71" t="s">
        <v>175</v>
      </c>
      <c r="C6390" s="71" t="s">
        <v>16899</v>
      </c>
    </row>
    <row r="6391">
      <c r="A6391" s="234" t="s">
        <v>25519</v>
      </c>
      <c r="B6391" s="71" t="s">
        <v>16899</v>
      </c>
      <c r="C6391" s="130" t="s">
        <v>175</v>
      </c>
    </row>
    <row r="6392">
      <c r="A6392" s="130" t="s">
        <v>25521</v>
      </c>
      <c r="B6392" s="71" t="s">
        <v>175</v>
      </c>
      <c r="C6392" s="71" t="s">
        <v>17391</v>
      </c>
    </row>
    <row r="6393">
      <c r="A6393" s="130" t="s">
        <v>25523</v>
      </c>
      <c r="B6393" s="71" t="s">
        <v>16838</v>
      </c>
      <c r="C6393" s="71" t="s">
        <v>16867</v>
      </c>
    </row>
    <row r="6394">
      <c r="A6394" s="234" t="s">
        <v>25525</v>
      </c>
      <c r="B6394" s="71" t="s">
        <v>187</v>
      </c>
      <c r="C6394" s="71" t="s">
        <v>16858</v>
      </c>
    </row>
    <row r="6395">
      <c r="A6395" s="234" t="s">
        <v>25525</v>
      </c>
      <c r="B6395" s="71" t="s">
        <v>16858</v>
      </c>
      <c r="C6395" s="130" t="s">
        <v>187</v>
      </c>
    </row>
    <row r="6396">
      <c r="A6396" s="130" t="s">
        <v>25527</v>
      </c>
      <c r="B6396" s="71" t="s">
        <v>187</v>
      </c>
      <c r="C6396" s="71" t="s">
        <v>16846</v>
      </c>
    </row>
    <row r="6397">
      <c r="A6397" s="130" t="s">
        <v>25529</v>
      </c>
      <c r="B6397" s="71" t="s">
        <v>187</v>
      </c>
      <c r="C6397" s="71" t="s">
        <v>16846</v>
      </c>
    </row>
    <row r="6398">
      <c r="A6398" s="130" t="s">
        <v>25531</v>
      </c>
      <c r="B6398" s="71" t="s">
        <v>187</v>
      </c>
      <c r="C6398" s="71" t="s">
        <v>16846</v>
      </c>
    </row>
    <row r="6399">
      <c r="A6399" s="130" t="s">
        <v>25533</v>
      </c>
      <c r="B6399" s="71" t="s">
        <v>187</v>
      </c>
      <c r="C6399" s="71" t="s">
        <v>16969</v>
      </c>
    </row>
    <row r="6400">
      <c r="A6400" s="130" t="s">
        <v>25535</v>
      </c>
      <c r="B6400" s="71" t="s">
        <v>16582</v>
      </c>
      <c r="C6400" s="71" t="s">
        <v>16930</v>
      </c>
    </row>
    <row r="6401">
      <c r="A6401" s="130" t="s">
        <v>25537</v>
      </c>
      <c r="B6401" s="71" t="s">
        <v>169</v>
      </c>
      <c r="C6401" s="71" t="s">
        <v>17321</v>
      </c>
    </row>
    <row r="6402">
      <c r="A6402" s="130" t="s">
        <v>25539</v>
      </c>
      <c r="B6402" s="71" t="s">
        <v>187</v>
      </c>
      <c r="C6402" s="71" t="s">
        <v>16846</v>
      </c>
    </row>
    <row r="6403">
      <c r="A6403" s="130" t="s">
        <v>25541</v>
      </c>
      <c r="B6403" s="71" t="s">
        <v>16910</v>
      </c>
      <c r="C6403" s="71" t="s">
        <v>17013</v>
      </c>
    </row>
    <row r="6404">
      <c r="A6404" s="234" t="s">
        <v>25543</v>
      </c>
      <c r="B6404" s="71" t="s">
        <v>175</v>
      </c>
      <c r="C6404" s="71" t="s">
        <v>16861</v>
      </c>
    </row>
    <row r="6405">
      <c r="A6405" s="234" t="s">
        <v>25543</v>
      </c>
      <c r="B6405" s="71" t="s">
        <v>16861</v>
      </c>
      <c r="C6405" s="71" t="s">
        <v>175</v>
      </c>
    </row>
    <row r="6406">
      <c r="A6406" s="234" t="s">
        <v>25545</v>
      </c>
      <c r="B6406" s="71" t="s">
        <v>19579</v>
      </c>
      <c r="C6406" s="71" t="s">
        <v>16838</v>
      </c>
    </row>
    <row r="6407">
      <c r="A6407" s="234" t="s">
        <v>25545</v>
      </c>
      <c r="B6407" s="71" t="s">
        <v>16838</v>
      </c>
      <c r="C6407" s="71" t="s">
        <v>19579</v>
      </c>
    </row>
    <row r="6408">
      <c r="A6408" s="130" t="s">
        <v>25547</v>
      </c>
      <c r="B6408" s="71" t="s">
        <v>16838</v>
      </c>
      <c r="C6408" s="71" t="s">
        <v>16837</v>
      </c>
    </row>
    <row r="6409">
      <c r="A6409" s="234" t="s">
        <v>25549</v>
      </c>
      <c r="B6409" s="71" t="s">
        <v>175</v>
      </c>
      <c r="C6409" s="71" t="s">
        <v>17812</v>
      </c>
    </row>
    <row r="6410">
      <c r="A6410" s="234" t="s">
        <v>25549</v>
      </c>
      <c r="B6410" s="71" t="s">
        <v>17812</v>
      </c>
      <c r="C6410" s="130" t="s">
        <v>175</v>
      </c>
    </row>
    <row r="6411">
      <c r="A6411" s="130" t="s">
        <v>25551</v>
      </c>
      <c r="B6411" s="71" t="s">
        <v>187</v>
      </c>
      <c r="C6411" s="71" t="s">
        <v>20775</v>
      </c>
    </row>
    <row r="6412">
      <c r="A6412" s="130" t="s">
        <v>25553</v>
      </c>
      <c r="B6412" s="71" t="s">
        <v>187</v>
      </c>
      <c r="C6412" s="71" t="s">
        <v>16846</v>
      </c>
    </row>
    <row r="6413">
      <c r="A6413" s="130" t="s">
        <v>25555</v>
      </c>
      <c r="B6413" s="71" t="s">
        <v>16838</v>
      </c>
      <c r="C6413" s="71" t="s">
        <v>16867</v>
      </c>
    </row>
    <row r="6414">
      <c r="A6414" s="130" t="s">
        <v>25557</v>
      </c>
      <c r="B6414" s="71" t="s">
        <v>175</v>
      </c>
      <c r="C6414" s="71" t="s">
        <v>17457</v>
      </c>
    </row>
    <row r="6415">
      <c r="A6415" s="130" t="s">
        <v>25559</v>
      </c>
      <c r="B6415" s="71" t="s">
        <v>175</v>
      </c>
      <c r="C6415" s="71" t="s">
        <v>16942</v>
      </c>
    </row>
    <row r="6416">
      <c r="A6416" s="130" t="s">
        <v>25561</v>
      </c>
      <c r="B6416" s="71" t="s">
        <v>17629</v>
      </c>
      <c r="C6416" s="71" t="s">
        <v>16899</v>
      </c>
    </row>
    <row r="6417">
      <c r="A6417" s="130" t="s">
        <v>25563</v>
      </c>
      <c r="B6417" s="71"/>
      <c r="C6417" s="71"/>
    </row>
    <row r="6418">
      <c r="A6418" s="130" t="s">
        <v>25565</v>
      </c>
      <c r="B6418" s="71" t="s">
        <v>187</v>
      </c>
      <c r="C6418" s="71" t="s">
        <v>17509</v>
      </c>
    </row>
    <row r="6419">
      <c r="A6419" s="234" t="s">
        <v>25567</v>
      </c>
      <c r="B6419" s="71" t="s">
        <v>158</v>
      </c>
      <c r="C6419" s="71" t="s">
        <v>16864</v>
      </c>
    </row>
    <row r="6420">
      <c r="A6420" s="234" t="s">
        <v>25567</v>
      </c>
      <c r="B6420" s="71" t="s">
        <v>16864</v>
      </c>
      <c r="C6420" s="130" t="s">
        <v>158</v>
      </c>
    </row>
    <row r="6421">
      <c r="A6421" s="130" t="s">
        <v>25569</v>
      </c>
      <c r="B6421" s="71" t="s">
        <v>16582</v>
      </c>
      <c r="C6421" s="71" t="s">
        <v>16930</v>
      </c>
    </row>
    <row r="6422">
      <c r="A6422" s="130" t="s">
        <v>25571</v>
      </c>
      <c r="B6422" s="71" t="s">
        <v>16582</v>
      </c>
      <c r="C6422" s="71" t="s">
        <v>16930</v>
      </c>
    </row>
    <row r="6423">
      <c r="A6423" s="130" t="s">
        <v>25573</v>
      </c>
      <c r="B6423" s="71" t="s">
        <v>187</v>
      </c>
      <c r="C6423" s="71" t="s">
        <v>16846</v>
      </c>
    </row>
    <row r="6424">
      <c r="A6424" s="234" t="s">
        <v>25575</v>
      </c>
      <c r="B6424" s="71" t="s">
        <v>17111</v>
      </c>
      <c r="C6424" s="71" t="s">
        <v>17112</v>
      </c>
    </row>
    <row r="6425">
      <c r="A6425" s="234" t="s">
        <v>25575</v>
      </c>
      <c r="B6425" s="71" t="s">
        <v>17112</v>
      </c>
      <c r="C6425" s="71" t="s">
        <v>17111</v>
      </c>
    </row>
    <row r="6426">
      <c r="A6426" s="130" t="s">
        <v>25577</v>
      </c>
      <c r="B6426" s="71" t="s">
        <v>169</v>
      </c>
      <c r="C6426" s="71" t="s">
        <v>17532</v>
      </c>
    </row>
    <row r="6427">
      <c r="A6427" s="130" t="s">
        <v>25579</v>
      </c>
      <c r="B6427" s="71" t="s">
        <v>169</v>
      </c>
      <c r="C6427" s="71" t="s">
        <v>16899</v>
      </c>
    </row>
    <row r="6428">
      <c r="A6428" s="130" t="s">
        <v>25581</v>
      </c>
      <c r="B6428" s="71" t="s">
        <v>187</v>
      </c>
      <c r="C6428" s="71" t="s">
        <v>16846</v>
      </c>
    </row>
    <row r="6429">
      <c r="A6429" s="234" t="s">
        <v>25583</v>
      </c>
      <c r="B6429" s="71" t="s">
        <v>175</v>
      </c>
      <c r="C6429" s="71" t="s">
        <v>17812</v>
      </c>
    </row>
    <row r="6430">
      <c r="A6430" s="234" t="s">
        <v>25583</v>
      </c>
      <c r="B6430" s="71" t="s">
        <v>17812</v>
      </c>
      <c r="C6430" s="71" t="s">
        <v>175</v>
      </c>
    </row>
    <row r="6431">
      <c r="A6431" s="130" t="s">
        <v>25585</v>
      </c>
      <c r="B6431" s="71" t="s">
        <v>16838</v>
      </c>
      <c r="C6431" s="71" t="s">
        <v>16837</v>
      </c>
    </row>
    <row r="6432">
      <c r="A6432" s="130" t="s">
        <v>25587</v>
      </c>
      <c r="B6432" s="71" t="s">
        <v>187</v>
      </c>
      <c r="C6432" s="71" t="s">
        <v>16846</v>
      </c>
    </row>
    <row r="6433">
      <c r="A6433" s="130" t="s">
        <v>25589</v>
      </c>
      <c r="B6433" s="71" t="s">
        <v>187</v>
      </c>
      <c r="C6433" s="71" t="s">
        <v>16846</v>
      </c>
    </row>
    <row r="6434">
      <c r="A6434" s="130" t="s">
        <v>25591</v>
      </c>
      <c r="B6434" s="71" t="s">
        <v>16838</v>
      </c>
      <c r="C6434" s="71" t="s">
        <v>16867</v>
      </c>
    </row>
    <row r="6435">
      <c r="A6435" s="130" t="s">
        <v>25593</v>
      </c>
      <c r="B6435" s="71" t="s">
        <v>169</v>
      </c>
      <c r="C6435" s="71" t="s">
        <v>110</v>
      </c>
    </row>
    <row r="6436">
      <c r="A6436" s="234" t="s">
        <v>25595</v>
      </c>
      <c r="B6436" s="71" t="s">
        <v>17202</v>
      </c>
      <c r="C6436" s="71" t="s">
        <v>16838</v>
      </c>
    </row>
    <row r="6437">
      <c r="A6437" s="234" t="s">
        <v>25595</v>
      </c>
      <c r="B6437" s="71" t="s">
        <v>16838</v>
      </c>
      <c r="C6437" s="71" t="s">
        <v>17202</v>
      </c>
    </row>
    <row r="6438">
      <c r="A6438" s="130" t="s">
        <v>25597</v>
      </c>
      <c r="B6438" s="71" t="s">
        <v>16582</v>
      </c>
      <c r="C6438" s="71" t="s">
        <v>17342</v>
      </c>
    </row>
    <row r="6439">
      <c r="A6439" s="130" t="s">
        <v>25599</v>
      </c>
      <c r="B6439" s="71" t="s">
        <v>169</v>
      </c>
      <c r="C6439" s="71" t="s">
        <v>16899</v>
      </c>
    </row>
    <row r="6440">
      <c r="A6440" s="130" t="s">
        <v>25601</v>
      </c>
      <c r="B6440" s="71" t="s">
        <v>187</v>
      </c>
      <c r="C6440" s="71" t="s">
        <v>16851</v>
      </c>
    </row>
    <row r="6441">
      <c r="A6441" s="130" t="s">
        <v>25603</v>
      </c>
      <c r="B6441" s="71"/>
      <c r="C6441" s="71"/>
    </row>
    <row r="6442">
      <c r="A6442" s="130" t="s">
        <v>25605</v>
      </c>
      <c r="B6442" s="71" t="s">
        <v>187</v>
      </c>
      <c r="C6442" s="71" t="s">
        <v>16846</v>
      </c>
    </row>
    <row r="6443">
      <c r="A6443" s="234" t="s">
        <v>25607</v>
      </c>
      <c r="B6443" s="71" t="s">
        <v>16582</v>
      </c>
      <c r="C6443" s="71" t="s">
        <v>16930</v>
      </c>
    </row>
    <row r="6444">
      <c r="A6444" s="234" t="s">
        <v>25607</v>
      </c>
      <c r="B6444" s="71" t="s">
        <v>16930</v>
      </c>
      <c r="C6444" s="71" t="s">
        <v>16582</v>
      </c>
    </row>
    <row r="6445">
      <c r="A6445" s="130" t="s">
        <v>25609</v>
      </c>
      <c r="B6445" s="71" t="s">
        <v>175</v>
      </c>
      <c r="C6445" s="71" t="s">
        <v>16854</v>
      </c>
    </row>
    <row r="6446">
      <c r="A6446" s="130" t="s">
        <v>25611</v>
      </c>
      <c r="B6446" s="71" t="s">
        <v>187</v>
      </c>
      <c r="C6446" s="71" t="s">
        <v>16846</v>
      </c>
    </row>
    <row r="6447">
      <c r="A6447" s="130" t="s">
        <v>25613</v>
      </c>
      <c r="B6447" s="71" t="s">
        <v>175</v>
      </c>
      <c r="C6447" s="71" t="s">
        <v>17391</v>
      </c>
    </row>
    <row r="6448">
      <c r="A6448" s="130" t="s">
        <v>25615</v>
      </c>
      <c r="B6448" s="71" t="s">
        <v>175</v>
      </c>
      <c r="C6448" s="71" t="s">
        <v>17218</v>
      </c>
    </row>
    <row r="6449">
      <c r="A6449" s="130" t="s">
        <v>25617</v>
      </c>
      <c r="B6449" s="71" t="s">
        <v>187</v>
      </c>
      <c r="C6449" s="71" t="s">
        <v>16858</v>
      </c>
    </row>
    <row r="6450">
      <c r="A6450" s="130" t="s">
        <v>25619</v>
      </c>
      <c r="B6450" s="71" t="s">
        <v>16838</v>
      </c>
      <c r="C6450" s="71" t="s">
        <v>17016</v>
      </c>
    </row>
    <row r="6451">
      <c r="A6451" s="130" t="s">
        <v>25621</v>
      </c>
      <c r="B6451" s="71" t="s">
        <v>169</v>
      </c>
      <c r="C6451" s="71" t="s">
        <v>18098</v>
      </c>
    </row>
    <row r="6452">
      <c r="A6452" s="130" t="s">
        <v>25623</v>
      </c>
      <c r="B6452" s="71" t="s">
        <v>187</v>
      </c>
      <c r="C6452" s="71" t="s">
        <v>17122</v>
      </c>
    </row>
    <row r="6453">
      <c r="A6453" s="130" t="s">
        <v>25625</v>
      </c>
      <c r="B6453" s="71" t="s">
        <v>16838</v>
      </c>
      <c r="C6453" s="71" t="s">
        <v>17016</v>
      </c>
    </row>
    <row r="6454">
      <c r="A6454" s="234" t="s">
        <v>25627</v>
      </c>
      <c r="B6454" s="71" t="s">
        <v>17111</v>
      </c>
      <c r="C6454" s="71" t="s">
        <v>17112</v>
      </c>
    </row>
    <row r="6455">
      <c r="A6455" s="234" t="s">
        <v>25627</v>
      </c>
      <c r="B6455" s="71" t="s">
        <v>17112</v>
      </c>
      <c r="C6455" s="71" t="s">
        <v>17111</v>
      </c>
    </row>
    <row r="6456">
      <c r="A6456" s="130" t="s">
        <v>25629</v>
      </c>
      <c r="B6456" s="71" t="s">
        <v>187</v>
      </c>
      <c r="C6456" s="71" t="s">
        <v>16851</v>
      </c>
    </row>
    <row r="6457">
      <c r="A6457" s="234" t="s">
        <v>25631</v>
      </c>
      <c r="B6457" s="71" t="s">
        <v>187</v>
      </c>
      <c r="C6457" s="71" t="s">
        <v>16846</v>
      </c>
    </row>
    <row r="6458">
      <c r="A6458" s="234" t="s">
        <v>25631</v>
      </c>
      <c r="B6458" s="71" t="s">
        <v>16846</v>
      </c>
      <c r="C6458" s="71" t="s">
        <v>187</v>
      </c>
    </row>
    <row r="6459">
      <c r="A6459" s="130" t="s">
        <v>25633</v>
      </c>
      <c r="B6459" s="71" t="s">
        <v>169</v>
      </c>
      <c r="C6459" s="71" t="s">
        <v>16899</v>
      </c>
    </row>
    <row r="6460">
      <c r="A6460" s="130" t="s">
        <v>25635</v>
      </c>
      <c r="B6460" s="71" t="s">
        <v>175</v>
      </c>
      <c r="C6460" s="71" t="s">
        <v>17394</v>
      </c>
    </row>
    <row r="6461">
      <c r="A6461" s="234" t="s">
        <v>25637</v>
      </c>
      <c r="B6461" s="71" t="s">
        <v>16885</v>
      </c>
      <c r="C6461" s="71" t="s">
        <v>17726</v>
      </c>
    </row>
    <row r="6462">
      <c r="A6462" s="234" t="s">
        <v>25637</v>
      </c>
      <c r="B6462" s="71" t="s">
        <v>17726</v>
      </c>
      <c r="C6462" s="130" t="s">
        <v>16885</v>
      </c>
    </row>
    <row r="6463">
      <c r="A6463" s="130" t="s">
        <v>25639</v>
      </c>
      <c r="B6463" s="71" t="s">
        <v>175</v>
      </c>
      <c r="C6463" s="71" t="s">
        <v>17069</v>
      </c>
    </row>
    <row r="6464">
      <c r="A6464" s="130" t="s">
        <v>25641</v>
      </c>
      <c r="B6464" s="71" t="s">
        <v>16838</v>
      </c>
      <c r="C6464" s="71" t="s">
        <v>18956</v>
      </c>
    </row>
    <row r="6465">
      <c r="A6465" s="130" t="s">
        <v>25643</v>
      </c>
      <c r="B6465" s="71" t="s">
        <v>16582</v>
      </c>
      <c r="C6465" s="71" t="s">
        <v>16995</v>
      </c>
    </row>
    <row r="6466">
      <c r="A6466" s="130" t="s">
        <v>25645</v>
      </c>
      <c r="B6466" s="71" t="s">
        <v>187</v>
      </c>
      <c r="C6466" s="71" t="s">
        <v>16846</v>
      </c>
    </row>
    <row r="6467">
      <c r="A6467" s="130" t="s">
        <v>25647</v>
      </c>
      <c r="B6467" s="71" t="s">
        <v>187</v>
      </c>
      <c r="C6467" s="71" t="s">
        <v>16992</v>
      </c>
    </row>
    <row r="6468">
      <c r="A6468" s="130" t="s">
        <v>25649</v>
      </c>
      <c r="B6468" s="71" t="s">
        <v>16838</v>
      </c>
      <c r="C6468" s="71" t="s">
        <v>16837</v>
      </c>
    </row>
    <row r="6469">
      <c r="A6469" s="234" t="s">
        <v>25651</v>
      </c>
      <c r="B6469" s="71" t="s">
        <v>175</v>
      </c>
      <c r="C6469" s="71" t="s">
        <v>16957</v>
      </c>
    </row>
    <row r="6470">
      <c r="A6470" s="234" t="s">
        <v>25651</v>
      </c>
      <c r="B6470" s="71" t="s">
        <v>16957</v>
      </c>
      <c r="C6470" s="71" t="s">
        <v>175</v>
      </c>
    </row>
    <row r="6471">
      <c r="A6471" s="130" t="s">
        <v>25653</v>
      </c>
      <c r="B6471" s="71" t="s">
        <v>16582</v>
      </c>
      <c r="C6471" s="71" t="s">
        <v>16817</v>
      </c>
    </row>
    <row r="6472">
      <c r="A6472" s="234" t="s">
        <v>25655</v>
      </c>
      <c r="B6472" s="71" t="s">
        <v>187</v>
      </c>
      <c r="C6472" s="71" t="s">
        <v>16846</v>
      </c>
    </row>
    <row r="6473">
      <c r="A6473" s="234" t="s">
        <v>25655</v>
      </c>
      <c r="B6473" s="71" t="s">
        <v>16846</v>
      </c>
      <c r="C6473" s="130" t="s">
        <v>187</v>
      </c>
    </row>
    <row r="6474">
      <c r="A6474" s="130" t="s">
        <v>25657</v>
      </c>
      <c r="B6474" s="71" t="s">
        <v>175</v>
      </c>
      <c r="C6474" s="71" t="s">
        <v>17350</v>
      </c>
    </row>
    <row r="6475">
      <c r="A6475" s="130" t="s">
        <v>25659</v>
      </c>
      <c r="B6475" s="71" t="s">
        <v>175</v>
      </c>
      <c r="C6475" s="71" t="s">
        <v>17318</v>
      </c>
    </row>
    <row r="6476">
      <c r="A6476" s="130" t="s">
        <v>25661</v>
      </c>
      <c r="B6476" s="71" t="s">
        <v>175</v>
      </c>
      <c r="C6476" s="71" t="s">
        <v>17233</v>
      </c>
    </row>
    <row r="6477">
      <c r="A6477" s="130" t="s">
        <v>25663</v>
      </c>
      <c r="B6477" s="71" t="s">
        <v>187</v>
      </c>
      <c r="C6477" s="71" t="s">
        <v>16846</v>
      </c>
    </row>
    <row r="6478">
      <c r="A6478" s="234" t="s">
        <v>25665</v>
      </c>
      <c r="B6478" s="71" t="s">
        <v>17202</v>
      </c>
      <c r="C6478" s="71" t="s">
        <v>16838</v>
      </c>
    </row>
    <row r="6479">
      <c r="A6479" s="234" t="s">
        <v>25665</v>
      </c>
      <c r="B6479" s="71" t="s">
        <v>16838</v>
      </c>
      <c r="C6479" s="71" t="s">
        <v>17202</v>
      </c>
    </row>
    <row r="6480">
      <c r="A6480" s="130" t="s">
        <v>25667</v>
      </c>
      <c r="B6480" s="71" t="s">
        <v>16582</v>
      </c>
      <c r="C6480" s="71" t="s">
        <v>16899</v>
      </c>
    </row>
    <row r="6481">
      <c r="A6481" s="130" t="s">
        <v>25669</v>
      </c>
      <c r="B6481" s="71" t="s">
        <v>187</v>
      </c>
      <c r="C6481" s="71" t="s">
        <v>16846</v>
      </c>
    </row>
    <row r="6482">
      <c r="A6482" s="130" t="s">
        <v>25671</v>
      </c>
      <c r="B6482" s="71" t="s">
        <v>175</v>
      </c>
      <c r="C6482" s="71" t="s">
        <v>16942</v>
      </c>
    </row>
    <row r="6483">
      <c r="A6483" s="130" t="s">
        <v>25673</v>
      </c>
      <c r="B6483" s="71" t="s">
        <v>158</v>
      </c>
      <c r="C6483" s="71" t="s">
        <v>20100</v>
      </c>
    </row>
    <row r="6484">
      <c r="A6484" s="130" t="s">
        <v>25675</v>
      </c>
      <c r="B6484" s="71" t="s">
        <v>16910</v>
      </c>
      <c r="C6484" s="71" t="s">
        <v>17119</v>
      </c>
    </row>
    <row r="6485">
      <c r="A6485" s="234" t="s">
        <v>25677</v>
      </c>
      <c r="B6485" s="71" t="s">
        <v>175</v>
      </c>
      <c r="C6485" s="71" t="s">
        <v>16854</v>
      </c>
    </row>
    <row r="6486">
      <c r="A6486" s="234" t="s">
        <v>25677</v>
      </c>
      <c r="B6486" s="71" t="s">
        <v>16854</v>
      </c>
      <c r="C6486" s="71" t="s">
        <v>175</v>
      </c>
    </row>
    <row r="6487">
      <c r="A6487" s="234" t="s">
        <v>25679</v>
      </c>
      <c r="B6487" s="71" t="s">
        <v>175</v>
      </c>
      <c r="C6487" s="71" t="s">
        <v>17025</v>
      </c>
    </row>
    <row r="6488">
      <c r="A6488" s="234" t="s">
        <v>25679</v>
      </c>
      <c r="B6488" s="71" t="s">
        <v>17025</v>
      </c>
      <c r="C6488" s="71" t="s">
        <v>175</v>
      </c>
    </row>
    <row r="6489">
      <c r="A6489" s="130" t="s">
        <v>25681</v>
      </c>
      <c r="B6489" s="71" t="s">
        <v>187</v>
      </c>
      <c r="C6489" s="71" t="s">
        <v>16846</v>
      </c>
    </row>
    <row r="6490">
      <c r="A6490" s="130" t="s">
        <v>25683</v>
      </c>
      <c r="B6490" s="71" t="s">
        <v>16838</v>
      </c>
      <c r="C6490" s="71" t="s">
        <v>17016</v>
      </c>
    </row>
    <row r="6491">
      <c r="A6491" s="130" t="s">
        <v>25685</v>
      </c>
      <c r="B6491" s="71" t="s">
        <v>169</v>
      </c>
      <c r="C6491" s="71" t="s">
        <v>17545</v>
      </c>
    </row>
    <row r="6492">
      <c r="A6492" s="130" t="s">
        <v>25687</v>
      </c>
      <c r="B6492" s="71" t="s">
        <v>16838</v>
      </c>
      <c r="C6492" s="71" t="s">
        <v>16867</v>
      </c>
    </row>
    <row r="6493">
      <c r="A6493" s="130" t="s">
        <v>25689</v>
      </c>
      <c r="B6493" s="71" t="s">
        <v>187</v>
      </c>
      <c r="C6493" s="71" t="s">
        <v>16846</v>
      </c>
    </row>
    <row r="6494">
      <c r="A6494" s="130" t="s">
        <v>25691</v>
      </c>
      <c r="B6494" s="71" t="s">
        <v>187</v>
      </c>
      <c r="C6494" s="71" t="s">
        <v>16992</v>
      </c>
    </row>
    <row r="6495">
      <c r="A6495" s="130" t="s">
        <v>25693</v>
      </c>
      <c r="B6495" s="71" t="s">
        <v>16838</v>
      </c>
      <c r="C6495" s="71" t="s">
        <v>16867</v>
      </c>
    </row>
    <row r="6496">
      <c r="A6496" s="234" t="s">
        <v>25695</v>
      </c>
      <c r="B6496" s="71" t="s">
        <v>19579</v>
      </c>
      <c r="C6496" s="71" t="s">
        <v>16838</v>
      </c>
    </row>
    <row r="6497">
      <c r="A6497" s="234" t="s">
        <v>25695</v>
      </c>
      <c r="B6497" s="71" t="s">
        <v>16838</v>
      </c>
      <c r="C6497" s="71" t="s">
        <v>19579</v>
      </c>
    </row>
    <row r="6498">
      <c r="A6498" s="234" t="s">
        <v>25697</v>
      </c>
      <c r="B6498" s="71" t="s">
        <v>17202</v>
      </c>
      <c r="C6498" s="71" t="s">
        <v>16838</v>
      </c>
    </row>
    <row r="6499">
      <c r="A6499" s="234" t="s">
        <v>25697</v>
      </c>
      <c r="B6499" s="71" t="s">
        <v>16838</v>
      </c>
      <c r="C6499" s="71" t="s">
        <v>17202</v>
      </c>
    </row>
    <row r="6500">
      <c r="A6500" s="234" t="s">
        <v>25699</v>
      </c>
      <c r="B6500" s="71" t="s">
        <v>16885</v>
      </c>
      <c r="C6500" s="71" t="s">
        <v>17726</v>
      </c>
    </row>
    <row r="6501">
      <c r="A6501" s="234" t="s">
        <v>25699</v>
      </c>
      <c r="B6501" s="71" t="s">
        <v>17726</v>
      </c>
      <c r="C6501" s="130" t="s">
        <v>16885</v>
      </c>
    </row>
    <row r="6502">
      <c r="A6502" s="130" t="s">
        <v>25701</v>
      </c>
      <c r="B6502" s="71" t="s">
        <v>187</v>
      </c>
      <c r="C6502" s="71" t="s">
        <v>16846</v>
      </c>
    </row>
    <row r="6503">
      <c r="A6503" s="130" t="s">
        <v>25703</v>
      </c>
      <c r="B6503" s="71" t="s">
        <v>187</v>
      </c>
      <c r="C6503" s="71" t="s">
        <v>16992</v>
      </c>
    </row>
    <row r="6504">
      <c r="A6504" s="130" t="s">
        <v>25705</v>
      </c>
      <c r="B6504" s="71" t="s">
        <v>175</v>
      </c>
      <c r="C6504" s="71" t="s">
        <v>17069</v>
      </c>
    </row>
    <row r="6505">
      <c r="A6505" s="130" t="s">
        <v>25707</v>
      </c>
      <c r="B6505" s="71" t="s">
        <v>16838</v>
      </c>
      <c r="C6505" s="71" t="s">
        <v>16867</v>
      </c>
    </row>
    <row r="6506">
      <c r="A6506" s="130" t="s">
        <v>25709</v>
      </c>
      <c r="B6506" s="71" t="s">
        <v>16582</v>
      </c>
      <c r="C6506" s="71" t="s">
        <v>16817</v>
      </c>
    </row>
    <row r="6507">
      <c r="A6507" s="130" t="s">
        <v>25711</v>
      </c>
      <c r="B6507" s="71" t="s">
        <v>16838</v>
      </c>
      <c r="C6507" s="71" t="s">
        <v>18956</v>
      </c>
    </row>
    <row r="6508">
      <c r="A6508" s="130" t="s">
        <v>25713</v>
      </c>
      <c r="B6508" s="71" t="s">
        <v>187</v>
      </c>
      <c r="C6508" s="71" t="s">
        <v>16858</v>
      </c>
    </row>
    <row r="6509">
      <c r="A6509" s="130" t="s">
        <v>25715</v>
      </c>
      <c r="B6509" s="71" t="s">
        <v>187</v>
      </c>
      <c r="C6509" s="71" t="s">
        <v>16846</v>
      </c>
    </row>
    <row r="6510">
      <c r="A6510" s="130" t="s">
        <v>25717</v>
      </c>
      <c r="B6510" s="71" t="s">
        <v>169</v>
      </c>
      <c r="C6510" s="71" t="s">
        <v>17321</v>
      </c>
    </row>
    <row r="6511">
      <c r="A6511" s="130" t="s">
        <v>25719</v>
      </c>
      <c r="B6511" s="71" t="s">
        <v>16838</v>
      </c>
      <c r="C6511" s="71" t="s">
        <v>17347</v>
      </c>
    </row>
    <row r="6512">
      <c r="A6512" s="130" t="s">
        <v>25721</v>
      </c>
      <c r="B6512" s="71" t="s">
        <v>187</v>
      </c>
      <c r="C6512" s="71" t="s">
        <v>16992</v>
      </c>
    </row>
    <row r="6513">
      <c r="A6513" s="130" t="s">
        <v>25723</v>
      </c>
      <c r="B6513" s="71"/>
      <c r="C6513" s="71"/>
    </row>
    <row r="6514">
      <c r="A6514" s="234" t="s">
        <v>25725</v>
      </c>
      <c r="B6514" s="71" t="s">
        <v>187</v>
      </c>
      <c r="C6514" s="71" t="s">
        <v>16858</v>
      </c>
    </row>
    <row r="6515">
      <c r="A6515" s="234" t="s">
        <v>25725</v>
      </c>
      <c r="B6515" s="71" t="s">
        <v>16858</v>
      </c>
      <c r="C6515" s="130" t="s">
        <v>187</v>
      </c>
    </row>
    <row r="6516">
      <c r="A6516" s="130" t="s">
        <v>25727</v>
      </c>
      <c r="B6516" s="71" t="s">
        <v>187</v>
      </c>
      <c r="C6516" s="71" t="s">
        <v>16969</v>
      </c>
    </row>
    <row r="6517">
      <c r="A6517" s="130" t="s">
        <v>25729</v>
      </c>
      <c r="B6517" s="71" t="s">
        <v>175</v>
      </c>
      <c r="C6517" s="71" t="s">
        <v>17168</v>
      </c>
    </row>
    <row r="6518">
      <c r="A6518" s="130" t="s">
        <v>25731</v>
      </c>
      <c r="B6518" s="71" t="s">
        <v>187</v>
      </c>
      <c r="C6518" s="71" t="s">
        <v>16846</v>
      </c>
    </row>
    <row r="6519">
      <c r="A6519" s="234" t="s">
        <v>25733</v>
      </c>
      <c r="B6519" s="71" t="s">
        <v>175</v>
      </c>
      <c r="C6519" s="71" t="s">
        <v>17069</v>
      </c>
    </row>
    <row r="6520">
      <c r="A6520" s="234" t="s">
        <v>25733</v>
      </c>
      <c r="B6520" s="71" t="s">
        <v>17069</v>
      </c>
      <c r="C6520" s="71" t="s">
        <v>175</v>
      </c>
    </row>
    <row r="6521">
      <c r="A6521" s="130" t="s">
        <v>25735</v>
      </c>
      <c r="B6521" s="71"/>
      <c r="C6521" s="71"/>
    </row>
    <row r="6522">
      <c r="A6522" s="130" t="s">
        <v>25737</v>
      </c>
      <c r="B6522" s="71" t="s">
        <v>187</v>
      </c>
      <c r="C6522" s="71" t="s">
        <v>16992</v>
      </c>
    </row>
    <row r="6523">
      <c r="A6523" s="130" t="s">
        <v>25739</v>
      </c>
      <c r="B6523" s="71" t="s">
        <v>175</v>
      </c>
      <c r="C6523" s="71" t="s">
        <v>16972</v>
      </c>
    </row>
    <row r="6524">
      <c r="A6524" s="130" t="s">
        <v>25741</v>
      </c>
      <c r="B6524" s="71" t="s">
        <v>187</v>
      </c>
      <c r="C6524" s="71" t="s">
        <v>16992</v>
      </c>
    </row>
    <row r="6525">
      <c r="A6525" s="130" t="s">
        <v>25743</v>
      </c>
      <c r="B6525" s="71" t="s">
        <v>187</v>
      </c>
      <c r="C6525" s="71" t="s">
        <v>16846</v>
      </c>
    </row>
    <row r="6526">
      <c r="A6526" s="130" t="s">
        <v>25745</v>
      </c>
      <c r="B6526" s="71" t="s">
        <v>187</v>
      </c>
      <c r="C6526" s="71" t="s">
        <v>17122</v>
      </c>
    </row>
    <row r="6527">
      <c r="A6527" s="130" t="s">
        <v>25747</v>
      </c>
      <c r="B6527" s="71" t="s">
        <v>16838</v>
      </c>
      <c r="C6527" s="71" t="s">
        <v>17016</v>
      </c>
    </row>
    <row r="6528">
      <c r="A6528" s="130" t="s">
        <v>25749</v>
      </c>
      <c r="B6528" s="71" t="s">
        <v>169</v>
      </c>
      <c r="C6528" s="71" t="s">
        <v>17321</v>
      </c>
    </row>
    <row r="6529">
      <c r="A6529" s="130" t="s">
        <v>25751</v>
      </c>
      <c r="B6529" s="71" t="s">
        <v>158</v>
      </c>
      <c r="C6529" s="71" t="s">
        <v>18063</v>
      </c>
    </row>
    <row r="6530">
      <c r="A6530" s="130" t="s">
        <v>25753</v>
      </c>
      <c r="B6530" s="71" t="s">
        <v>175</v>
      </c>
      <c r="C6530" s="71" t="s">
        <v>17480</v>
      </c>
    </row>
    <row r="6531">
      <c r="A6531" s="130" t="s">
        <v>25755</v>
      </c>
      <c r="B6531" s="71" t="s">
        <v>16582</v>
      </c>
      <c r="C6531" s="71" t="s">
        <v>16930</v>
      </c>
    </row>
    <row r="6532">
      <c r="A6532" s="234" t="s">
        <v>25757</v>
      </c>
      <c r="B6532" s="71" t="s">
        <v>16582</v>
      </c>
      <c r="C6532" s="71" t="s">
        <v>16930</v>
      </c>
    </row>
    <row r="6533">
      <c r="A6533" s="234" t="s">
        <v>25757</v>
      </c>
      <c r="B6533" s="71" t="s">
        <v>16930</v>
      </c>
      <c r="C6533" s="130" t="s">
        <v>16582</v>
      </c>
    </row>
    <row r="6534">
      <c r="A6534" s="130" t="s">
        <v>25759</v>
      </c>
      <c r="B6534" s="71" t="s">
        <v>169</v>
      </c>
      <c r="C6534" s="71" t="s">
        <v>17827</v>
      </c>
    </row>
    <row r="6535">
      <c r="A6535" s="130" t="s">
        <v>25761</v>
      </c>
      <c r="B6535" s="71" t="s">
        <v>16910</v>
      </c>
      <c r="C6535" s="71" t="s">
        <v>17502</v>
      </c>
    </row>
    <row r="6536">
      <c r="A6536" s="130" t="s">
        <v>25763</v>
      </c>
      <c r="B6536" s="71" t="s">
        <v>16838</v>
      </c>
      <c r="C6536" s="71" t="s">
        <v>18956</v>
      </c>
    </row>
    <row r="6537">
      <c r="A6537" s="130" t="s">
        <v>25765</v>
      </c>
      <c r="B6537" s="71" t="s">
        <v>16926</v>
      </c>
      <c r="C6537" s="71" t="s">
        <v>16927</v>
      </c>
    </row>
    <row r="6538">
      <c r="A6538" s="130" t="s">
        <v>25767</v>
      </c>
      <c r="B6538" s="71" t="s">
        <v>16582</v>
      </c>
      <c r="C6538" s="71" t="s">
        <v>16899</v>
      </c>
    </row>
    <row r="6539">
      <c r="A6539" s="130" t="s">
        <v>25769</v>
      </c>
      <c r="B6539" s="71" t="s">
        <v>17112</v>
      </c>
      <c r="C6539" s="71" t="s">
        <v>17218</v>
      </c>
    </row>
    <row r="6540">
      <c r="A6540" s="130" t="s">
        <v>25771</v>
      </c>
      <c r="B6540" s="71" t="s">
        <v>187</v>
      </c>
      <c r="C6540" s="71" t="s">
        <v>16846</v>
      </c>
    </row>
    <row r="6541">
      <c r="A6541" s="234" t="s">
        <v>25773</v>
      </c>
      <c r="B6541" s="71" t="s">
        <v>175</v>
      </c>
      <c r="C6541" s="71" t="s">
        <v>18570</v>
      </c>
    </row>
    <row r="6542">
      <c r="A6542" s="234" t="s">
        <v>25773</v>
      </c>
      <c r="B6542" s="71" t="s">
        <v>18570</v>
      </c>
      <c r="C6542" s="71" t="s">
        <v>175</v>
      </c>
    </row>
    <row r="6543">
      <c r="A6543" s="130" t="s">
        <v>25775</v>
      </c>
      <c r="B6543" s="71" t="s">
        <v>187</v>
      </c>
      <c r="C6543" s="71" t="s">
        <v>16858</v>
      </c>
    </row>
    <row r="6544">
      <c r="A6544" s="130" t="s">
        <v>25777</v>
      </c>
      <c r="B6544" s="71" t="s">
        <v>16838</v>
      </c>
      <c r="C6544" s="71" t="s">
        <v>16837</v>
      </c>
    </row>
    <row r="6545">
      <c r="A6545" s="130" t="s">
        <v>25779</v>
      </c>
      <c r="B6545" s="71" t="s">
        <v>175</v>
      </c>
      <c r="C6545" s="71" t="s">
        <v>17350</v>
      </c>
    </row>
    <row r="6546">
      <c r="A6546" s="130" t="s">
        <v>25781</v>
      </c>
      <c r="B6546" s="71" t="s">
        <v>16582</v>
      </c>
      <c r="C6546" s="71" t="s">
        <v>16930</v>
      </c>
    </row>
    <row r="6547">
      <c r="A6547" s="234" t="s">
        <v>25783</v>
      </c>
      <c r="B6547" s="71" t="s">
        <v>17111</v>
      </c>
      <c r="C6547" s="71" t="s">
        <v>17112</v>
      </c>
    </row>
    <row r="6548">
      <c r="A6548" s="234" t="s">
        <v>25783</v>
      </c>
      <c r="B6548" s="71" t="s">
        <v>17112</v>
      </c>
      <c r="C6548" s="71" t="s">
        <v>17111</v>
      </c>
    </row>
    <row r="6549">
      <c r="A6549" s="234" t="s">
        <v>25785</v>
      </c>
      <c r="B6549" s="71" t="s">
        <v>169</v>
      </c>
      <c r="C6549" s="71" t="s">
        <v>19139</v>
      </c>
    </row>
    <row r="6550">
      <c r="A6550" s="234" t="s">
        <v>25785</v>
      </c>
      <c r="B6550" s="71" t="s">
        <v>19139</v>
      </c>
      <c r="C6550" s="71" t="s">
        <v>169</v>
      </c>
    </row>
    <row r="6551">
      <c r="A6551" s="130" t="s">
        <v>25787</v>
      </c>
      <c r="B6551" s="71" t="s">
        <v>187</v>
      </c>
      <c r="C6551" s="71" t="s">
        <v>16969</v>
      </c>
    </row>
    <row r="6552">
      <c r="A6552" s="234" t="s">
        <v>25789</v>
      </c>
      <c r="B6552" s="71" t="s">
        <v>175</v>
      </c>
      <c r="C6552" s="71" t="s">
        <v>17233</v>
      </c>
    </row>
    <row r="6553">
      <c r="A6553" s="234" t="s">
        <v>25789</v>
      </c>
      <c r="B6553" s="71" t="s">
        <v>17233</v>
      </c>
      <c r="C6553" s="71" t="s">
        <v>175</v>
      </c>
    </row>
    <row r="6554">
      <c r="A6554" s="234" t="s">
        <v>25791</v>
      </c>
      <c r="B6554" s="71" t="s">
        <v>187</v>
      </c>
      <c r="C6554" s="71" t="s">
        <v>16858</v>
      </c>
    </row>
    <row r="6555">
      <c r="A6555" s="234" t="s">
        <v>25791</v>
      </c>
      <c r="B6555" s="71" t="s">
        <v>16858</v>
      </c>
      <c r="C6555" s="130" t="s">
        <v>187</v>
      </c>
    </row>
    <row r="6556">
      <c r="A6556" s="234" t="s">
        <v>25793</v>
      </c>
      <c r="B6556" s="71" t="s">
        <v>18679</v>
      </c>
      <c r="C6556" s="71" t="s">
        <v>16838</v>
      </c>
    </row>
    <row r="6557">
      <c r="A6557" s="234" t="s">
        <v>25793</v>
      </c>
      <c r="B6557" s="71" t="s">
        <v>16838</v>
      </c>
      <c r="C6557" s="71" t="s">
        <v>18679</v>
      </c>
    </row>
    <row r="6558">
      <c r="A6558" s="130" t="s">
        <v>25795</v>
      </c>
      <c r="B6558" s="71" t="s">
        <v>187</v>
      </c>
      <c r="C6558" s="71" t="s">
        <v>16846</v>
      </c>
    </row>
    <row r="6559">
      <c r="A6559" s="130" t="s">
        <v>25797</v>
      </c>
      <c r="B6559" s="71" t="s">
        <v>187</v>
      </c>
      <c r="C6559" s="71" t="s">
        <v>16846</v>
      </c>
    </row>
    <row r="6560">
      <c r="A6560" s="130" t="s">
        <v>25799</v>
      </c>
      <c r="B6560" s="71" t="s">
        <v>187</v>
      </c>
      <c r="C6560" s="71" t="s">
        <v>16858</v>
      </c>
    </row>
    <row r="6561">
      <c r="A6561" s="130" t="s">
        <v>25801</v>
      </c>
      <c r="B6561" s="71" t="s">
        <v>17112</v>
      </c>
      <c r="C6561" s="71" t="s">
        <v>17111</v>
      </c>
    </row>
    <row r="6562">
      <c r="A6562" s="130" t="s">
        <v>25803</v>
      </c>
      <c r="B6562" s="71" t="s">
        <v>16838</v>
      </c>
      <c r="C6562" s="71" t="s">
        <v>16867</v>
      </c>
    </row>
    <row r="6563">
      <c r="A6563" s="130" t="s">
        <v>25805</v>
      </c>
      <c r="B6563" s="71" t="s">
        <v>16838</v>
      </c>
      <c r="C6563" s="71" t="s">
        <v>16867</v>
      </c>
    </row>
    <row r="6564">
      <c r="A6564" s="130" t="s">
        <v>25807</v>
      </c>
      <c r="B6564" s="71" t="s">
        <v>187</v>
      </c>
      <c r="C6564" s="71" t="s">
        <v>16846</v>
      </c>
    </row>
    <row r="6565">
      <c r="A6565" s="130" t="s">
        <v>25809</v>
      </c>
      <c r="B6565" s="71" t="s">
        <v>187</v>
      </c>
      <c r="C6565" s="71" t="s">
        <v>16858</v>
      </c>
    </row>
    <row r="6566">
      <c r="A6566" s="130" t="s">
        <v>25811</v>
      </c>
      <c r="B6566" s="71" t="s">
        <v>187</v>
      </c>
      <c r="C6566" s="71" t="s">
        <v>16846</v>
      </c>
    </row>
    <row r="6567">
      <c r="A6567" s="234" t="s">
        <v>25813</v>
      </c>
      <c r="B6567" s="71" t="s">
        <v>175</v>
      </c>
      <c r="C6567" s="71" t="s">
        <v>16890</v>
      </c>
    </row>
    <row r="6568">
      <c r="A6568" s="234" t="s">
        <v>25813</v>
      </c>
      <c r="B6568" s="71" t="s">
        <v>16890</v>
      </c>
      <c r="C6568" s="71" t="s">
        <v>175</v>
      </c>
    </row>
    <row r="6569">
      <c r="A6569" s="234" t="s">
        <v>25815</v>
      </c>
      <c r="B6569" s="71" t="s">
        <v>17202</v>
      </c>
      <c r="C6569" s="71" t="s">
        <v>16838</v>
      </c>
    </row>
    <row r="6570">
      <c r="A6570" s="234" t="s">
        <v>25815</v>
      </c>
      <c r="B6570" s="71" t="s">
        <v>16838</v>
      </c>
      <c r="C6570" s="71" t="s">
        <v>17202</v>
      </c>
    </row>
    <row r="6571">
      <c r="A6571" s="130" t="s">
        <v>25817</v>
      </c>
      <c r="B6571" s="71" t="s">
        <v>175</v>
      </c>
      <c r="C6571" s="71" t="s">
        <v>16939</v>
      </c>
    </row>
    <row r="6572">
      <c r="A6572" s="130" t="s">
        <v>25819</v>
      </c>
      <c r="B6572" s="71" t="s">
        <v>187</v>
      </c>
      <c r="C6572" s="71" t="s">
        <v>16846</v>
      </c>
    </row>
    <row r="6573">
      <c r="A6573" s="130" t="s">
        <v>25821</v>
      </c>
      <c r="B6573" s="71"/>
      <c r="C6573" s="71"/>
    </row>
    <row r="6574">
      <c r="A6574" s="234" t="s">
        <v>25823</v>
      </c>
      <c r="B6574" s="71" t="s">
        <v>17321</v>
      </c>
      <c r="C6574" s="71" t="s">
        <v>169</v>
      </c>
    </row>
    <row r="6575">
      <c r="A6575" s="234" t="s">
        <v>25823</v>
      </c>
      <c r="B6575" s="71" t="s">
        <v>169</v>
      </c>
      <c r="C6575" s="71" t="s">
        <v>17321</v>
      </c>
    </row>
    <row r="6576">
      <c r="A6576" s="130" t="s">
        <v>25825</v>
      </c>
      <c r="B6576" s="71" t="s">
        <v>187</v>
      </c>
      <c r="C6576" s="71" t="s">
        <v>16846</v>
      </c>
    </row>
    <row r="6577">
      <c r="A6577" s="130" t="s">
        <v>25827</v>
      </c>
      <c r="B6577" s="71" t="s">
        <v>169</v>
      </c>
      <c r="C6577" s="71" t="s">
        <v>16899</v>
      </c>
    </row>
    <row r="6578">
      <c r="A6578" s="130" t="s">
        <v>25829</v>
      </c>
      <c r="B6578" s="71" t="s">
        <v>187</v>
      </c>
      <c r="C6578" s="71" t="s">
        <v>16858</v>
      </c>
    </row>
    <row r="6579">
      <c r="A6579" s="130" t="s">
        <v>25831</v>
      </c>
      <c r="B6579" s="71" t="s">
        <v>175</v>
      </c>
      <c r="C6579" s="71" t="s">
        <v>17394</v>
      </c>
    </row>
    <row r="6580">
      <c r="A6580" s="130" t="s">
        <v>25833</v>
      </c>
      <c r="B6580" s="71" t="s">
        <v>187</v>
      </c>
      <c r="C6580" s="71" t="s">
        <v>23634</v>
      </c>
    </row>
    <row r="6581">
      <c r="A6581" s="130" t="s">
        <v>25835</v>
      </c>
      <c r="B6581" s="71" t="s">
        <v>16838</v>
      </c>
      <c r="C6581" s="71" t="s">
        <v>16867</v>
      </c>
    </row>
    <row r="6582">
      <c r="A6582" s="130" t="s">
        <v>25837</v>
      </c>
      <c r="B6582" s="71" t="s">
        <v>16885</v>
      </c>
      <c r="C6582" s="71" t="s">
        <v>17726</v>
      </c>
    </row>
    <row r="6583">
      <c r="A6583" s="130" t="s">
        <v>25839</v>
      </c>
      <c r="B6583" s="71" t="s">
        <v>17112</v>
      </c>
      <c r="C6583" s="71" t="s">
        <v>17787</v>
      </c>
    </row>
    <row r="6584">
      <c r="A6584" s="130" t="s">
        <v>25841</v>
      </c>
      <c r="B6584" s="71" t="s">
        <v>16582</v>
      </c>
      <c r="C6584" s="71" t="s">
        <v>17342</v>
      </c>
    </row>
    <row r="6585">
      <c r="A6585" s="130" t="s">
        <v>25843</v>
      </c>
      <c r="B6585" s="71" t="s">
        <v>169</v>
      </c>
      <c r="C6585" s="71" t="s">
        <v>16945</v>
      </c>
    </row>
    <row r="6586">
      <c r="A6586" s="234" t="s">
        <v>25845</v>
      </c>
      <c r="B6586" s="71"/>
      <c r="C6586" s="71"/>
    </row>
    <row r="6587">
      <c r="A6587" s="234" t="s">
        <v>25845</v>
      </c>
      <c r="B6587" s="71"/>
      <c r="C6587" s="71"/>
    </row>
    <row r="6588">
      <c r="A6588" s="130" t="s">
        <v>25847</v>
      </c>
      <c r="B6588" s="71" t="s">
        <v>187</v>
      </c>
      <c r="C6588" s="71" t="s">
        <v>16846</v>
      </c>
    </row>
    <row r="6589">
      <c r="A6589" s="234" t="s">
        <v>25849</v>
      </c>
      <c r="B6589" s="71" t="s">
        <v>187</v>
      </c>
      <c r="C6589" s="71" t="s">
        <v>17122</v>
      </c>
    </row>
    <row r="6590">
      <c r="A6590" s="234" t="s">
        <v>25849</v>
      </c>
      <c r="B6590" s="71" t="s">
        <v>17122</v>
      </c>
      <c r="C6590" s="130" t="s">
        <v>187</v>
      </c>
    </row>
    <row r="6591">
      <c r="A6591" s="234" t="s">
        <v>25851</v>
      </c>
      <c r="B6591" s="71" t="s">
        <v>18679</v>
      </c>
      <c r="C6591" s="71" t="s">
        <v>16838</v>
      </c>
    </row>
    <row r="6592">
      <c r="A6592" s="234" t="s">
        <v>25851</v>
      </c>
      <c r="B6592" s="71" t="s">
        <v>16838</v>
      </c>
      <c r="C6592" s="71" t="s">
        <v>18679</v>
      </c>
    </row>
    <row r="6593">
      <c r="A6593" s="130" t="s">
        <v>25853</v>
      </c>
      <c r="B6593" s="71" t="s">
        <v>16910</v>
      </c>
      <c r="C6593" s="71" t="s">
        <v>16911</v>
      </c>
    </row>
    <row r="6594">
      <c r="A6594" s="130" t="s">
        <v>25854</v>
      </c>
      <c r="B6594" s="71" t="s">
        <v>16838</v>
      </c>
      <c r="C6594" s="71" t="s">
        <v>16837</v>
      </c>
    </row>
    <row r="6595">
      <c r="A6595" s="130" t="s">
        <v>25856</v>
      </c>
      <c r="B6595" s="71" t="s">
        <v>187</v>
      </c>
      <c r="C6595" s="71" t="s">
        <v>16846</v>
      </c>
    </row>
    <row r="6596">
      <c r="A6596" s="130" t="s">
        <v>25858</v>
      </c>
      <c r="B6596" s="71" t="s">
        <v>187</v>
      </c>
      <c r="C6596" s="71" t="s">
        <v>16846</v>
      </c>
    </row>
    <row r="6597">
      <c r="A6597" s="130" t="s">
        <v>25860</v>
      </c>
      <c r="B6597" s="71" t="s">
        <v>16582</v>
      </c>
      <c r="C6597" s="71" t="s">
        <v>16817</v>
      </c>
    </row>
    <row r="6598">
      <c r="A6598" s="130" t="s">
        <v>25862</v>
      </c>
      <c r="B6598" s="71" t="s">
        <v>169</v>
      </c>
      <c r="C6598" s="71" t="s">
        <v>16899</v>
      </c>
    </row>
    <row r="6599">
      <c r="A6599" s="234" t="s">
        <v>25864</v>
      </c>
      <c r="B6599" s="71" t="s">
        <v>18679</v>
      </c>
      <c r="C6599" s="71" t="s">
        <v>16838</v>
      </c>
    </row>
    <row r="6600">
      <c r="A6600" s="234" t="s">
        <v>25864</v>
      </c>
      <c r="B6600" s="71" t="s">
        <v>16838</v>
      </c>
      <c r="C6600" s="71" t="s">
        <v>18679</v>
      </c>
    </row>
    <row r="6601">
      <c r="A6601" s="130" t="s">
        <v>25866</v>
      </c>
      <c r="B6601" s="71" t="s">
        <v>187</v>
      </c>
      <c r="C6601" s="71" t="s">
        <v>16846</v>
      </c>
    </row>
    <row r="6602">
      <c r="A6602" s="130" t="s">
        <v>25868</v>
      </c>
      <c r="B6602" s="71" t="s">
        <v>187</v>
      </c>
      <c r="C6602" s="71" t="s">
        <v>17564</v>
      </c>
    </row>
    <row r="6603">
      <c r="A6603" s="130" t="s">
        <v>25870</v>
      </c>
      <c r="B6603" s="71" t="s">
        <v>175</v>
      </c>
      <c r="C6603" s="71" t="s">
        <v>16942</v>
      </c>
    </row>
    <row r="6604">
      <c r="A6604" s="130" t="s">
        <v>25872</v>
      </c>
      <c r="B6604" s="71" t="s">
        <v>16919</v>
      </c>
      <c r="C6604" s="71" t="s">
        <v>17413</v>
      </c>
    </row>
    <row r="6605">
      <c r="A6605" s="130" t="s">
        <v>25874</v>
      </c>
      <c r="B6605" s="71" t="s">
        <v>187</v>
      </c>
      <c r="C6605" s="71" t="s">
        <v>16858</v>
      </c>
    </row>
    <row r="6606">
      <c r="A6606" s="130" t="s">
        <v>25876</v>
      </c>
      <c r="B6606" s="71" t="s">
        <v>16582</v>
      </c>
      <c r="C6606" s="71" t="s">
        <v>16828</v>
      </c>
    </row>
    <row r="6607">
      <c r="A6607" s="130" t="s">
        <v>25878</v>
      </c>
      <c r="B6607" s="71" t="s">
        <v>175</v>
      </c>
      <c r="C6607" s="71" t="s">
        <v>17480</v>
      </c>
    </row>
    <row r="6608">
      <c r="A6608" s="130" t="s">
        <v>25880</v>
      </c>
      <c r="B6608" s="71" t="s">
        <v>16582</v>
      </c>
      <c r="C6608" s="71" t="s">
        <v>16817</v>
      </c>
    </row>
    <row r="6609">
      <c r="A6609" s="234" t="s">
        <v>25882</v>
      </c>
      <c r="B6609" s="71" t="s">
        <v>175</v>
      </c>
      <c r="C6609" s="71" t="s">
        <v>19996</v>
      </c>
    </row>
    <row r="6610">
      <c r="A6610" s="234" t="s">
        <v>25882</v>
      </c>
      <c r="B6610" s="71" t="s">
        <v>19996</v>
      </c>
      <c r="C6610" s="130" t="s">
        <v>175</v>
      </c>
    </row>
    <row r="6611">
      <c r="A6611" s="130" t="s">
        <v>25884</v>
      </c>
      <c r="B6611" s="71" t="s">
        <v>16838</v>
      </c>
      <c r="C6611" s="71" t="s">
        <v>16837</v>
      </c>
    </row>
    <row r="6612">
      <c r="A6612" s="130" t="s">
        <v>25886</v>
      </c>
      <c r="B6612" s="71" t="s">
        <v>187</v>
      </c>
      <c r="C6612" s="71" t="s">
        <v>16851</v>
      </c>
    </row>
    <row r="6613">
      <c r="A6613" s="234" t="s">
        <v>25888</v>
      </c>
      <c r="B6613" s="71" t="s">
        <v>17112</v>
      </c>
      <c r="C6613" s="71" t="s">
        <v>17457</v>
      </c>
    </row>
    <row r="6614">
      <c r="A6614" s="234" t="s">
        <v>25888</v>
      </c>
      <c r="B6614" s="71" t="s">
        <v>17457</v>
      </c>
      <c r="C6614" s="71" t="s">
        <v>17112</v>
      </c>
    </row>
    <row r="6615">
      <c r="A6615" s="130" t="s">
        <v>25890</v>
      </c>
      <c r="B6615" s="71" t="s">
        <v>169</v>
      </c>
      <c r="C6615" s="71" t="s">
        <v>17702</v>
      </c>
    </row>
    <row r="6616">
      <c r="A6616" s="130" t="s">
        <v>25892</v>
      </c>
      <c r="B6616" s="71" t="s">
        <v>16838</v>
      </c>
      <c r="C6616" s="71" t="s">
        <v>17016</v>
      </c>
    </row>
    <row r="6617">
      <c r="A6617" s="130" t="s">
        <v>25894</v>
      </c>
      <c r="B6617" s="71" t="s">
        <v>175</v>
      </c>
      <c r="C6617" s="71" t="s">
        <v>18570</v>
      </c>
    </row>
    <row r="6618">
      <c r="A6618" s="130" t="s">
        <v>25896</v>
      </c>
      <c r="B6618" s="71" t="s">
        <v>16838</v>
      </c>
      <c r="C6618" s="71" t="s">
        <v>16837</v>
      </c>
    </row>
    <row r="6619">
      <c r="A6619" s="234" t="s">
        <v>25898</v>
      </c>
      <c r="B6619" s="71" t="s">
        <v>17111</v>
      </c>
      <c r="C6619" s="71" t="s">
        <v>17112</v>
      </c>
    </row>
    <row r="6620">
      <c r="A6620" s="234" t="s">
        <v>25898</v>
      </c>
      <c r="B6620" s="71" t="s">
        <v>17112</v>
      </c>
      <c r="C6620" s="71" t="s">
        <v>17111</v>
      </c>
    </row>
    <row r="6621">
      <c r="A6621" s="130" t="s">
        <v>25900</v>
      </c>
      <c r="B6621" s="71" t="s">
        <v>187</v>
      </c>
      <c r="C6621" s="71" t="s">
        <v>16846</v>
      </c>
    </row>
    <row r="6622">
      <c r="A6622" s="130" t="s">
        <v>25902</v>
      </c>
      <c r="B6622" s="71"/>
      <c r="C6622" s="71"/>
    </row>
    <row r="6623">
      <c r="A6623" s="130" t="s">
        <v>25904</v>
      </c>
      <c r="B6623" s="71" t="s">
        <v>16582</v>
      </c>
      <c r="C6623" s="71" t="s">
        <v>16817</v>
      </c>
    </row>
    <row r="6624">
      <c r="A6624" s="234" t="s">
        <v>25906</v>
      </c>
      <c r="B6624" s="71" t="s">
        <v>17202</v>
      </c>
      <c r="C6624" s="71" t="s">
        <v>16838</v>
      </c>
    </row>
    <row r="6625">
      <c r="A6625" s="234" t="s">
        <v>25906</v>
      </c>
      <c r="B6625" s="71" t="s">
        <v>16838</v>
      </c>
      <c r="C6625" s="71" t="s">
        <v>17202</v>
      </c>
    </row>
    <row r="6626">
      <c r="A6626" s="130" t="s">
        <v>25907</v>
      </c>
      <c r="B6626" s="71" t="s">
        <v>169</v>
      </c>
      <c r="C6626" s="71" t="s">
        <v>17532</v>
      </c>
    </row>
    <row r="6627">
      <c r="A6627" s="234" t="s">
        <v>25909</v>
      </c>
      <c r="B6627" s="71" t="s">
        <v>17112</v>
      </c>
      <c r="C6627" s="71" t="s">
        <v>17218</v>
      </c>
    </row>
    <row r="6628">
      <c r="A6628" s="234" t="s">
        <v>25909</v>
      </c>
      <c r="B6628" s="71" t="s">
        <v>17218</v>
      </c>
      <c r="C6628" s="71" t="s">
        <v>17112</v>
      </c>
    </row>
    <row r="6629">
      <c r="A6629" s="234" t="s">
        <v>25911</v>
      </c>
      <c r="B6629" s="71" t="s">
        <v>169</v>
      </c>
      <c r="C6629" s="71" t="s">
        <v>17532</v>
      </c>
    </row>
    <row r="6630">
      <c r="A6630" s="234" t="s">
        <v>25911</v>
      </c>
      <c r="B6630" s="71" t="s">
        <v>17532</v>
      </c>
      <c r="C6630" s="130" t="s">
        <v>169</v>
      </c>
    </row>
    <row r="6631">
      <c r="A6631" s="130" t="s">
        <v>25913</v>
      </c>
      <c r="B6631" s="71" t="s">
        <v>16582</v>
      </c>
      <c r="C6631" s="71" t="s">
        <v>16817</v>
      </c>
    </row>
    <row r="6632">
      <c r="A6632" s="130" t="s">
        <v>25915</v>
      </c>
      <c r="B6632" s="71" t="s">
        <v>16582</v>
      </c>
      <c r="C6632" s="71" t="s">
        <v>16828</v>
      </c>
    </row>
    <row r="6633">
      <c r="A6633" s="130" t="s">
        <v>25917</v>
      </c>
      <c r="B6633" s="71" t="s">
        <v>175</v>
      </c>
      <c r="C6633" s="71" t="s">
        <v>16957</v>
      </c>
    </row>
    <row r="6634">
      <c r="A6634" s="130" t="s">
        <v>25919</v>
      </c>
      <c r="B6634" s="71" t="s">
        <v>187</v>
      </c>
      <c r="C6634" s="71" t="s">
        <v>16846</v>
      </c>
    </row>
    <row r="6635">
      <c r="A6635" s="130" t="s">
        <v>25921</v>
      </c>
      <c r="B6635" s="71" t="s">
        <v>175</v>
      </c>
      <c r="C6635" s="71" t="s">
        <v>17025</v>
      </c>
    </row>
    <row r="6636">
      <c r="A6636" s="130" t="s">
        <v>25923</v>
      </c>
      <c r="B6636" s="71" t="s">
        <v>187</v>
      </c>
      <c r="C6636" s="71" t="s">
        <v>16846</v>
      </c>
    </row>
    <row r="6637">
      <c r="A6637" s="234" t="s">
        <v>25925</v>
      </c>
      <c r="B6637" s="71" t="s">
        <v>16838</v>
      </c>
      <c r="C6637" s="71" t="s">
        <v>17019</v>
      </c>
    </row>
    <row r="6638">
      <c r="A6638" s="234" t="s">
        <v>25925</v>
      </c>
      <c r="B6638" s="71" t="s">
        <v>17019</v>
      </c>
      <c r="C6638" s="130" t="s">
        <v>16838</v>
      </c>
    </row>
    <row r="6639">
      <c r="A6639" s="234" t="s">
        <v>25927</v>
      </c>
      <c r="B6639" s="71" t="s">
        <v>187</v>
      </c>
      <c r="C6639" s="71" t="s">
        <v>16969</v>
      </c>
    </row>
    <row r="6640">
      <c r="A6640" s="234" t="s">
        <v>25927</v>
      </c>
      <c r="B6640" s="71" t="s">
        <v>16969</v>
      </c>
      <c r="C6640" s="130" t="s">
        <v>187</v>
      </c>
    </row>
    <row r="6641">
      <c r="A6641" s="130" t="s">
        <v>25929</v>
      </c>
      <c r="B6641" s="71" t="s">
        <v>16838</v>
      </c>
      <c r="C6641" s="71" t="s">
        <v>16867</v>
      </c>
    </row>
    <row r="6642">
      <c r="A6642" s="130" t="s">
        <v>25931</v>
      </c>
      <c r="B6642" s="71"/>
      <c r="C6642" s="71"/>
    </row>
    <row r="6643">
      <c r="A6643" s="130" t="s">
        <v>25933</v>
      </c>
      <c r="B6643" s="71" t="s">
        <v>175</v>
      </c>
      <c r="C6643" s="71" t="s">
        <v>16824</v>
      </c>
    </row>
    <row r="6644">
      <c r="A6644" s="130" t="s">
        <v>25935</v>
      </c>
      <c r="B6644" s="71" t="s">
        <v>187</v>
      </c>
      <c r="C6644" s="71" t="s">
        <v>16846</v>
      </c>
    </row>
    <row r="6645">
      <c r="A6645" s="130" t="s">
        <v>25937</v>
      </c>
      <c r="B6645" s="71" t="s">
        <v>187</v>
      </c>
      <c r="C6645" s="71" t="s">
        <v>16846</v>
      </c>
    </row>
    <row r="6646">
      <c r="A6646" s="130" t="s">
        <v>25939</v>
      </c>
      <c r="B6646" s="71" t="s">
        <v>169</v>
      </c>
      <c r="C6646" s="71" t="s">
        <v>17827</v>
      </c>
    </row>
    <row r="6647">
      <c r="A6647" s="130" t="s">
        <v>25941</v>
      </c>
      <c r="B6647" s="71" t="s">
        <v>175</v>
      </c>
      <c r="C6647" s="71" t="s">
        <v>16824</v>
      </c>
    </row>
    <row r="6648">
      <c r="A6648" s="130" t="s">
        <v>25943</v>
      </c>
      <c r="B6648" s="71" t="s">
        <v>187</v>
      </c>
      <c r="C6648" s="71" t="s">
        <v>16846</v>
      </c>
    </row>
    <row r="6649">
      <c r="A6649" s="130" t="s">
        <v>25945</v>
      </c>
      <c r="B6649" s="71" t="s">
        <v>16838</v>
      </c>
      <c r="C6649" s="71" t="s">
        <v>16867</v>
      </c>
    </row>
    <row r="6650">
      <c r="A6650" s="234" t="s">
        <v>25947</v>
      </c>
      <c r="B6650" s="71" t="s">
        <v>158</v>
      </c>
      <c r="C6650" s="71" t="s">
        <v>17171</v>
      </c>
    </row>
    <row r="6651">
      <c r="A6651" s="234" t="s">
        <v>25947</v>
      </c>
      <c r="B6651" s="71" t="s">
        <v>17171</v>
      </c>
      <c r="C6651" s="71" t="s">
        <v>158</v>
      </c>
    </row>
    <row r="6652">
      <c r="A6652" s="234" t="s">
        <v>25949</v>
      </c>
      <c r="B6652" s="71"/>
      <c r="C6652" s="71"/>
    </row>
    <row r="6653">
      <c r="A6653" s="234" t="s">
        <v>25949</v>
      </c>
      <c r="B6653" s="71"/>
      <c r="C6653" s="71"/>
    </row>
    <row r="6654">
      <c r="A6654" s="130" t="s">
        <v>25951</v>
      </c>
      <c r="B6654" s="71" t="s">
        <v>17629</v>
      </c>
      <c r="C6654" s="71" t="s">
        <v>17452</v>
      </c>
    </row>
    <row r="6655">
      <c r="A6655" s="130" t="s">
        <v>25953</v>
      </c>
      <c r="B6655" s="71" t="s">
        <v>187</v>
      </c>
      <c r="C6655" s="71" t="s">
        <v>18633</v>
      </c>
    </row>
    <row r="6656">
      <c r="A6656" s="130" t="s">
        <v>25955</v>
      </c>
      <c r="B6656" s="71" t="s">
        <v>169</v>
      </c>
      <c r="C6656" s="71" t="s">
        <v>16945</v>
      </c>
    </row>
    <row r="6657">
      <c r="A6657" s="130" t="s">
        <v>25957</v>
      </c>
      <c r="B6657" s="71" t="s">
        <v>175</v>
      </c>
      <c r="C6657" s="71" t="s">
        <v>16842</v>
      </c>
    </row>
    <row r="6658">
      <c r="A6658" s="130" t="s">
        <v>25959</v>
      </c>
      <c r="B6658" s="71" t="s">
        <v>16838</v>
      </c>
      <c r="C6658" s="71" t="s">
        <v>16867</v>
      </c>
    </row>
    <row r="6659">
      <c r="A6659" s="130" t="s">
        <v>25961</v>
      </c>
      <c r="B6659" s="71" t="s">
        <v>175</v>
      </c>
      <c r="C6659" s="71" t="s">
        <v>17619</v>
      </c>
    </row>
    <row r="6660">
      <c r="A6660" s="130" t="s">
        <v>25963</v>
      </c>
      <c r="B6660" s="71" t="s">
        <v>187</v>
      </c>
      <c r="C6660" s="71" t="s">
        <v>17564</v>
      </c>
    </row>
    <row r="6661">
      <c r="A6661" s="130" t="s">
        <v>25965</v>
      </c>
      <c r="B6661" s="71"/>
      <c r="C6661" s="71"/>
    </row>
    <row r="6662">
      <c r="A6662" s="234" t="s">
        <v>25967</v>
      </c>
      <c r="B6662" s="71" t="s">
        <v>17111</v>
      </c>
      <c r="C6662" s="71" t="s">
        <v>17112</v>
      </c>
    </row>
    <row r="6663">
      <c r="A6663" s="234" t="s">
        <v>25967</v>
      </c>
      <c r="B6663" s="71" t="s">
        <v>17112</v>
      </c>
      <c r="C6663" s="71" t="s">
        <v>17111</v>
      </c>
    </row>
    <row r="6664">
      <c r="A6664" s="130" t="s">
        <v>25969</v>
      </c>
      <c r="B6664" s="71" t="s">
        <v>169</v>
      </c>
      <c r="C6664" s="71" t="s">
        <v>19719</v>
      </c>
    </row>
    <row r="6665">
      <c r="A6665" s="130" t="s">
        <v>25971</v>
      </c>
      <c r="B6665" s="71" t="s">
        <v>175</v>
      </c>
      <c r="C6665" s="71" t="s">
        <v>17218</v>
      </c>
    </row>
    <row r="6666">
      <c r="A6666" s="234" t="s">
        <v>25973</v>
      </c>
      <c r="B6666" s="71" t="s">
        <v>158</v>
      </c>
      <c r="C6666" s="71" t="s">
        <v>18063</v>
      </c>
    </row>
    <row r="6667">
      <c r="A6667" s="234" t="s">
        <v>25973</v>
      </c>
      <c r="B6667" s="71" t="s">
        <v>18063</v>
      </c>
      <c r="C6667" s="130" t="s">
        <v>158</v>
      </c>
    </row>
    <row r="6668">
      <c r="A6668" s="130" t="s">
        <v>25975</v>
      </c>
      <c r="B6668" s="71" t="s">
        <v>187</v>
      </c>
      <c r="C6668" s="71" t="s">
        <v>16846</v>
      </c>
    </row>
    <row r="6669">
      <c r="A6669" s="130" t="s">
        <v>25977</v>
      </c>
      <c r="B6669" s="71" t="s">
        <v>16582</v>
      </c>
      <c r="C6669" s="71" t="s">
        <v>16899</v>
      </c>
    </row>
    <row r="6670">
      <c r="A6670" s="130" t="s">
        <v>25979</v>
      </c>
      <c r="B6670" s="71" t="s">
        <v>16838</v>
      </c>
      <c r="C6670" s="71" t="s">
        <v>16837</v>
      </c>
    </row>
    <row r="6671">
      <c r="A6671" s="130" t="s">
        <v>25981</v>
      </c>
      <c r="B6671" s="71" t="s">
        <v>187</v>
      </c>
      <c r="C6671" s="71" t="s">
        <v>16846</v>
      </c>
    </row>
    <row r="6672">
      <c r="A6672" s="130" t="s">
        <v>25983</v>
      </c>
      <c r="B6672" s="71" t="s">
        <v>187</v>
      </c>
      <c r="C6672" s="71" t="s">
        <v>16846</v>
      </c>
    </row>
    <row r="6673">
      <c r="A6673" s="234" t="s">
        <v>25985</v>
      </c>
      <c r="B6673" s="71" t="s">
        <v>175</v>
      </c>
      <c r="C6673" s="71" t="s">
        <v>16899</v>
      </c>
    </row>
    <row r="6674">
      <c r="A6674" s="234" t="s">
        <v>25985</v>
      </c>
      <c r="B6674" s="71" t="s">
        <v>16899</v>
      </c>
      <c r="C6674" s="71" t="s">
        <v>175</v>
      </c>
    </row>
    <row r="6675">
      <c r="A6675" s="234" t="s">
        <v>25987</v>
      </c>
      <c r="B6675" s="71" t="s">
        <v>17202</v>
      </c>
      <c r="C6675" s="71" t="s">
        <v>16838</v>
      </c>
    </row>
    <row r="6676">
      <c r="A6676" s="234" t="s">
        <v>25987</v>
      </c>
      <c r="B6676" s="71" t="s">
        <v>16838</v>
      </c>
      <c r="C6676" s="71" t="s">
        <v>17202</v>
      </c>
    </row>
    <row r="6677">
      <c r="A6677" s="130" t="s">
        <v>25989</v>
      </c>
      <c r="B6677" s="71" t="s">
        <v>187</v>
      </c>
      <c r="C6677" s="71" t="s">
        <v>16846</v>
      </c>
    </row>
    <row r="6678">
      <c r="A6678" s="130" t="s">
        <v>25991</v>
      </c>
      <c r="B6678" s="71" t="s">
        <v>16838</v>
      </c>
      <c r="C6678" s="71" t="s">
        <v>17016</v>
      </c>
    </row>
    <row r="6679">
      <c r="A6679" s="130" t="s">
        <v>25993</v>
      </c>
      <c r="B6679" s="71" t="s">
        <v>187</v>
      </c>
      <c r="C6679" s="71" t="s">
        <v>16846</v>
      </c>
    </row>
    <row r="6680">
      <c r="A6680" s="130" t="s">
        <v>25995</v>
      </c>
      <c r="B6680" s="71" t="s">
        <v>169</v>
      </c>
      <c r="C6680" s="71" t="s">
        <v>16899</v>
      </c>
    </row>
    <row r="6681">
      <c r="A6681" s="130" t="s">
        <v>25997</v>
      </c>
      <c r="B6681" s="71" t="s">
        <v>187</v>
      </c>
      <c r="C6681" s="71" t="s">
        <v>16992</v>
      </c>
    </row>
    <row r="6682">
      <c r="A6682" s="130" t="s">
        <v>25999</v>
      </c>
      <c r="B6682" s="71" t="s">
        <v>187</v>
      </c>
      <c r="C6682" s="71" t="s">
        <v>16846</v>
      </c>
    </row>
    <row r="6683">
      <c r="A6683" s="130" t="s">
        <v>26001</v>
      </c>
      <c r="B6683" s="71" t="s">
        <v>16838</v>
      </c>
      <c r="C6683" s="71" t="s">
        <v>16837</v>
      </c>
    </row>
    <row r="6684">
      <c r="A6684" s="130" t="s">
        <v>26003</v>
      </c>
      <c r="B6684" s="71"/>
      <c r="C6684" s="71"/>
    </row>
    <row r="6685">
      <c r="A6685" s="130" t="s">
        <v>26005</v>
      </c>
      <c r="B6685" s="71" t="s">
        <v>187</v>
      </c>
      <c r="C6685" s="71" t="s">
        <v>16858</v>
      </c>
    </row>
    <row r="6686">
      <c r="A6686" s="130" t="s">
        <v>26007</v>
      </c>
      <c r="B6686" s="71" t="s">
        <v>175</v>
      </c>
      <c r="C6686" s="71" t="s">
        <v>16939</v>
      </c>
    </row>
    <row r="6687">
      <c r="A6687" s="130" t="s">
        <v>26009</v>
      </c>
      <c r="B6687" s="71" t="s">
        <v>16582</v>
      </c>
      <c r="C6687" s="71" t="s">
        <v>16817</v>
      </c>
    </row>
    <row r="6688">
      <c r="A6688" s="234" t="s">
        <v>26011</v>
      </c>
      <c r="B6688" s="71" t="s">
        <v>17202</v>
      </c>
      <c r="C6688" s="71" t="s">
        <v>16838</v>
      </c>
    </row>
    <row r="6689">
      <c r="A6689" s="234" t="s">
        <v>26011</v>
      </c>
      <c r="B6689" s="71" t="s">
        <v>16838</v>
      </c>
      <c r="C6689" s="71" t="s">
        <v>17202</v>
      </c>
    </row>
    <row r="6690">
      <c r="A6690" s="130" t="s">
        <v>26013</v>
      </c>
      <c r="B6690" s="71" t="s">
        <v>17112</v>
      </c>
      <c r="C6690" s="71" t="s">
        <v>17218</v>
      </c>
    </row>
    <row r="6691">
      <c r="A6691" s="130" t="s">
        <v>26015</v>
      </c>
      <c r="B6691" s="71" t="s">
        <v>187</v>
      </c>
      <c r="C6691" s="71" t="s">
        <v>16846</v>
      </c>
    </row>
    <row r="6692">
      <c r="A6692" s="234" t="s">
        <v>26017</v>
      </c>
      <c r="B6692" s="71" t="s">
        <v>158</v>
      </c>
      <c r="C6692" s="71" t="s">
        <v>16870</v>
      </c>
    </row>
    <row r="6693">
      <c r="A6693" s="234" t="s">
        <v>26017</v>
      </c>
      <c r="B6693" s="71" t="s">
        <v>16870</v>
      </c>
      <c r="C6693" s="71" t="s">
        <v>158</v>
      </c>
    </row>
    <row r="6694">
      <c r="A6694" s="130" t="s">
        <v>26019</v>
      </c>
      <c r="B6694" s="71" t="s">
        <v>187</v>
      </c>
      <c r="C6694" s="71" t="s">
        <v>16858</v>
      </c>
    </row>
    <row r="6695">
      <c r="A6695" s="234" t="s">
        <v>26021</v>
      </c>
      <c r="B6695" s="71" t="s">
        <v>187</v>
      </c>
      <c r="C6695" s="71" t="s">
        <v>16846</v>
      </c>
    </row>
    <row r="6696">
      <c r="A6696" s="234" t="s">
        <v>26021</v>
      </c>
      <c r="B6696" s="71" t="s">
        <v>16846</v>
      </c>
      <c r="C6696" s="130" t="s">
        <v>187</v>
      </c>
    </row>
    <row r="6697">
      <c r="A6697" s="130" t="s">
        <v>26023</v>
      </c>
      <c r="B6697" s="71" t="s">
        <v>16926</v>
      </c>
      <c r="C6697" s="71" t="s">
        <v>16957</v>
      </c>
    </row>
    <row r="6698">
      <c r="A6698" s="130" t="s">
        <v>26025</v>
      </c>
      <c r="B6698" s="71" t="s">
        <v>175</v>
      </c>
      <c r="C6698" s="71" t="s">
        <v>16957</v>
      </c>
    </row>
    <row r="6699">
      <c r="A6699" s="130" t="s">
        <v>26027</v>
      </c>
      <c r="B6699" s="71" t="s">
        <v>16582</v>
      </c>
      <c r="C6699" s="71" t="s">
        <v>16899</v>
      </c>
    </row>
    <row r="6700">
      <c r="A6700" s="130" t="s">
        <v>26029</v>
      </c>
      <c r="B6700" s="71" t="s">
        <v>175</v>
      </c>
      <c r="C6700" s="71" t="s">
        <v>18723</v>
      </c>
    </row>
    <row r="6701">
      <c r="A6701" s="130" t="s">
        <v>26031</v>
      </c>
      <c r="B6701" s="71" t="s">
        <v>17629</v>
      </c>
      <c r="C6701" s="71" t="s">
        <v>16899</v>
      </c>
    </row>
    <row r="6702">
      <c r="A6702" s="130" t="s">
        <v>26033</v>
      </c>
      <c r="B6702" s="71" t="s">
        <v>16582</v>
      </c>
      <c r="C6702" s="71" t="s">
        <v>16583</v>
      </c>
    </row>
    <row r="6703">
      <c r="A6703" s="234" t="s">
        <v>26035</v>
      </c>
      <c r="B6703" s="71" t="s">
        <v>18732</v>
      </c>
      <c r="C6703" s="71" t="s">
        <v>169</v>
      </c>
    </row>
    <row r="6704">
      <c r="A6704" s="234" t="s">
        <v>26035</v>
      </c>
      <c r="B6704" s="71" t="s">
        <v>169</v>
      </c>
      <c r="C6704" s="71" t="s">
        <v>18732</v>
      </c>
    </row>
    <row r="6705">
      <c r="A6705" s="234" t="s">
        <v>26037</v>
      </c>
      <c r="B6705" s="71" t="s">
        <v>158</v>
      </c>
      <c r="C6705" s="71" t="s">
        <v>16864</v>
      </c>
    </row>
    <row r="6706">
      <c r="A6706" s="234" t="s">
        <v>26037</v>
      </c>
      <c r="B6706" s="71" t="s">
        <v>16864</v>
      </c>
      <c r="C6706" s="130" t="s">
        <v>158</v>
      </c>
    </row>
    <row r="6707">
      <c r="A6707" s="130" t="s">
        <v>26039</v>
      </c>
      <c r="B6707" s="71" t="s">
        <v>175</v>
      </c>
      <c r="C6707" s="71" t="s">
        <v>17391</v>
      </c>
    </row>
    <row r="6708">
      <c r="A6708" s="130" t="s">
        <v>26041</v>
      </c>
      <c r="B6708" s="71" t="s">
        <v>16885</v>
      </c>
      <c r="C6708" s="71" t="s">
        <v>17726</v>
      </c>
    </row>
    <row r="6709">
      <c r="A6709" s="130" t="s">
        <v>26043</v>
      </c>
      <c r="B6709" s="71" t="s">
        <v>16838</v>
      </c>
      <c r="C6709" s="71" t="s">
        <v>17016</v>
      </c>
    </row>
    <row r="6710">
      <c r="A6710" s="130" t="s">
        <v>26045</v>
      </c>
      <c r="B6710" s="71" t="s">
        <v>169</v>
      </c>
      <c r="C6710" s="71" t="s">
        <v>17022</v>
      </c>
    </row>
    <row r="6711">
      <c r="A6711" s="234" t="s">
        <v>26047</v>
      </c>
      <c r="B6711" s="71" t="s">
        <v>175</v>
      </c>
      <c r="C6711" s="71" t="s">
        <v>16878</v>
      </c>
    </row>
    <row r="6712">
      <c r="A6712" s="234" t="s">
        <v>26047</v>
      </c>
      <c r="B6712" s="71" t="s">
        <v>16878</v>
      </c>
      <c r="C6712" s="71" t="s">
        <v>175</v>
      </c>
    </row>
    <row r="6713">
      <c r="A6713" s="130" t="s">
        <v>26049</v>
      </c>
      <c r="B6713" s="71" t="s">
        <v>187</v>
      </c>
      <c r="C6713" s="71" t="s">
        <v>16851</v>
      </c>
    </row>
    <row r="6714">
      <c r="A6714" s="234" t="s">
        <v>26051</v>
      </c>
      <c r="B6714" s="71" t="s">
        <v>175</v>
      </c>
      <c r="C6714" s="71" t="s">
        <v>17350</v>
      </c>
    </row>
    <row r="6715">
      <c r="A6715" s="234" t="s">
        <v>26051</v>
      </c>
      <c r="B6715" s="71" t="s">
        <v>17350</v>
      </c>
      <c r="C6715" s="71" t="s">
        <v>175</v>
      </c>
    </row>
    <row r="6716">
      <c r="A6716" s="130" t="s">
        <v>26053</v>
      </c>
      <c r="B6716" s="71"/>
      <c r="C6716" s="71"/>
    </row>
    <row r="6717">
      <c r="A6717" s="234" t="s">
        <v>26055</v>
      </c>
      <c r="B6717" s="71"/>
      <c r="C6717" s="71"/>
    </row>
    <row r="6718">
      <c r="A6718" s="234" t="s">
        <v>26055</v>
      </c>
      <c r="B6718" s="71"/>
      <c r="C6718" s="71"/>
    </row>
    <row r="6719">
      <c r="A6719" s="130" t="s">
        <v>26057</v>
      </c>
      <c r="B6719" s="71" t="s">
        <v>187</v>
      </c>
      <c r="C6719" s="71" t="s">
        <v>16846</v>
      </c>
    </row>
    <row r="6720">
      <c r="A6720" s="130" t="s">
        <v>26059</v>
      </c>
      <c r="B6720" s="71" t="s">
        <v>169</v>
      </c>
      <c r="C6720" s="71" t="s">
        <v>16899</v>
      </c>
    </row>
    <row r="6721">
      <c r="A6721" s="130" t="s">
        <v>26061</v>
      </c>
      <c r="B6721" s="71" t="s">
        <v>187</v>
      </c>
      <c r="C6721" s="71" t="s">
        <v>16858</v>
      </c>
    </row>
    <row r="6722">
      <c r="A6722" s="130" t="s">
        <v>26063</v>
      </c>
      <c r="B6722" s="71" t="s">
        <v>187</v>
      </c>
      <c r="C6722" s="71" t="s">
        <v>16846</v>
      </c>
    </row>
    <row r="6723">
      <c r="A6723" s="130" t="s">
        <v>26065</v>
      </c>
      <c r="B6723" s="71" t="s">
        <v>187</v>
      </c>
      <c r="C6723" s="71" t="s">
        <v>16858</v>
      </c>
    </row>
    <row r="6724">
      <c r="A6724" s="130" t="s">
        <v>26067</v>
      </c>
      <c r="B6724" s="71" t="s">
        <v>175</v>
      </c>
      <c r="C6724" s="71" t="s">
        <v>17509</v>
      </c>
    </row>
    <row r="6725">
      <c r="A6725" s="130" t="s">
        <v>26069</v>
      </c>
      <c r="B6725" s="71" t="s">
        <v>169</v>
      </c>
      <c r="C6725" s="71" t="s">
        <v>17339</v>
      </c>
    </row>
    <row r="6726">
      <c r="A6726" s="130" t="s">
        <v>26071</v>
      </c>
      <c r="B6726" s="71" t="s">
        <v>16838</v>
      </c>
      <c r="C6726" s="71" t="s">
        <v>18956</v>
      </c>
    </row>
    <row r="6727">
      <c r="A6727" s="234" t="s">
        <v>26073</v>
      </c>
      <c r="B6727" s="71" t="s">
        <v>175</v>
      </c>
      <c r="C6727" s="71" t="s">
        <v>17031</v>
      </c>
    </row>
    <row r="6728">
      <c r="A6728" s="234" t="s">
        <v>26073</v>
      </c>
      <c r="B6728" s="71" t="s">
        <v>17031</v>
      </c>
      <c r="C6728" s="71" t="s">
        <v>175</v>
      </c>
    </row>
    <row r="6729">
      <c r="A6729" s="130" t="s">
        <v>26075</v>
      </c>
      <c r="B6729" s="71" t="s">
        <v>175</v>
      </c>
      <c r="C6729" s="71" t="s">
        <v>17233</v>
      </c>
    </row>
    <row r="6730">
      <c r="A6730" s="130" t="s">
        <v>26077</v>
      </c>
      <c r="B6730" s="71" t="s">
        <v>16838</v>
      </c>
      <c r="C6730" s="71" t="s">
        <v>16867</v>
      </c>
    </row>
    <row r="6731">
      <c r="A6731" s="234" t="s">
        <v>26079</v>
      </c>
      <c r="B6731" s="71" t="s">
        <v>175</v>
      </c>
      <c r="C6731" s="71" t="s">
        <v>18570</v>
      </c>
    </row>
    <row r="6732">
      <c r="A6732" s="234" t="s">
        <v>26079</v>
      </c>
      <c r="B6732" s="71" t="s">
        <v>18570</v>
      </c>
      <c r="C6732" s="71" t="s">
        <v>175</v>
      </c>
    </row>
    <row r="6733">
      <c r="A6733" s="234" t="s">
        <v>26081</v>
      </c>
      <c r="B6733" s="71" t="s">
        <v>16838</v>
      </c>
      <c r="C6733" s="71" t="s">
        <v>18679</v>
      </c>
    </row>
    <row r="6734">
      <c r="A6734" s="234" t="s">
        <v>26081</v>
      </c>
      <c r="B6734" s="71" t="s">
        <v>18679</v>
      </c>
      <c r="C6734" s="130" t="s">
        <v>16838</v>
      </c>
    </row>
    <row r="6735">
      <c r="A6735" s="130" t="s">
        <v>26083</v>
      </c>
      <c r="B6735" s="71" t="s">
        <v>187</v>
      </c>
      <c r="C6735" s="71" t="s">
        <v>16846</v>
      </c>
    </row>
    <row r="6736">
      <c r="A6736" s="234" t="s">
        <v>26085</v>
      </c>
      <c r="B6736" s="71" t="s">
        <v>16582</v>
      </c>
      <c r="C6736" s="71" t="s">
        <v>17435</v>
      </c>
    </row>
    <row r="6737">
      <c r="A6737" s="234" t="s">
        <v>26085</v>
      </c>
      <c r="B6737" s="71" t="s">
        <v>17435</v>
      </c>
      <c r="C6737" s="71" t="s">
        <v>16582</v>
      </c>
    </row>
    <row r="6738">
      <c r="A6738" s="234" t="s">
        <v>26087</v>
      </c>
      <c r="B6738" s="71" t="s">
        <v>16582</v>
      </c>
      <c r="C6738" s="71" t="s">
        <v>16813</v>
      </c>
    </row>
    <row r="6739">
      <c r="A6739" s="234" t="s">
        <v>26087</v>
      </c>
      <c r="B6739" s="71" t="s">
        <v>16813</v>
      </c>
      <c r="C6739" s="71" t="s">
        <v>16582</v>
      </c>
    </row>
    <row r="6740">
      <c r="A6740" s="234" t="s">
        <v>26089</v>
      </c>
      <c r="B6740" s="71" t="s">
        <v>17111</v>
      </c>
      <c r="C6740" s="71" t="s">
        <v>17112</v>
      </c>
    </row>
    <row r="6741">
      <c r="A6741" s="234" t="s">
        <v>26089</v>
      </c>
      <c r="B6741" s="71" t="s">
        <v>17112</v>
      </c>
      <c r="C6741" s="71" t="s">
        <v>17111</v>
      </c>
    </row>
    <row r="6742">
      <c r="A6742" s="130" t="s">
        <v>26091</v>
      </c>
      <c r="B6742" s="71" t="s">
        <v>16838</v>
      </c>
      <c r="C6742" s="71" t="s">
        <v>18219</v>
      </c>
    </row>
    <row r="6743">
      <c r="A6743" s="130" t="s">
        <v>26093</v>
      </c>
      <c r="B6743" s="71" t="s">
        <v>16582</v>
      </c>
      <c r="C6743" s="71" t="s">
        <v>16930</v>
      </c>
    </row>
    <row r="6744">
      <c r="A6744" s="130" t="s">
        <v>26095</v>
      </c>
      <c r="B6744" s="71"/>
      <c r="C6744" s="71"/>
    </row>
    <row r="6745">
      <c r="A6745" s="234" t="s">
        <v>26097</v>
      </c>
      <c r="B6745" s="71" t="s">
        <v>175</v>
      </c>
      <c r="C6745" s="71" t="s">
        <v>16824</v>
      </c>
    </row>
    <row r="6746">
      <c r="A6746" s="234" t="s">
        <v>26097</v>
      </c>
      <c r="B6746" s="71" t="s">
        <v>16824</v>
      </c>
      <c r="C6746" s="71" t="s">
        <v>175</v>
      </c>
    </row>
    <row r="6747">
      <c r="A6747" s="130" t="s">
        <v>26099</v>
      </c>
      <c r="B6747" s="71" t="s">
        <v>16838</v>
      </c>
      <c r="C6747" s="71" t="s">
        <v>17002</v>
      </c>
    </row>
    <row r="6748">
      <c r="A6748" s="130" t="s">
        <v>26101</v>
      </c>
      <c r="B6748" s="71" t="s">
        <v>187</v>
      </c>
      <c r="C6748" s="71" t="s">
        <v>16846</v>
      </c>
    </row>
    <row r="6749">
      <c r="A6749" s="234" t="s">
        <v>26103</v>
      </c>
      <c r="B6749" s="71" t="s">
        <v>17259</v>
      </c>
      <c r="C6749" s="71" t="s">
        <v>187</v>
      </c>
    </row>
    <row r="6750">
      <c r="A6750" s="234" t="s">
        <v>26103</v>
      </c>
      <c r="B6750" s="71" t="s">
        <v>187</v>
      </c>
      <c r="C6750" s="71" t="s">
        <v>17259</v>
      </c>
    </row>
    <row r="6751">
      <c r="A6751" s="234" t="s">
        <v>26105</v>
      </c>
      <c r="B6751" s="71" t="s">
        <v>158</v>
      </c>
      <c r="C6751" s="71" t="s">
        <v>16864</v>
      </c>
    </row>
    <row r="6752">
      <c r="A6752" s="234" t="s">
        <v>26105</v>
      </c>
      <c r="B6752" s="71" t="s">
        <v>16864</v>
      </c>
      <c r="C6752" s="71" t="s">
        <v>158</v>
      </c>
    </row>
    <row r="6753">
      <c r="A6753" s="130" t="s">
        <v>26107</v>
      </c>
      <c r="B6753" s="71" t="s">
        <v>175</v>
      </c>
      <c r="C6753" s="71" t="s">
        <v>19996</v>
      </c>
    </row>
    <row r="6754">
      <c r="A6754" s="130" t="s">
        <v>26109</v>
      </c>
      <c r="B6754" s="71" t="s">
        <v>187</v>
      </c>
      <c r="C6754" s="71" t="s">
        <v>16858</v>
      </c>
    </row>
    <row r="6755">
      <c r="A6755" s="130" t="s">
        <v>26111</v>
      </c>
      <c r="B6755" s="71" t="s">
        <v>17629</v>
      </c>
      <c r="C6755" s="71" t="s">
        <v>16899</v>
      </c>
    </row>
    <row r="6756">
      <c r="A6756" s="234" t="s">
        <v>26113</v>
      </c>
      <c r="B6756" s="71" t="s">
        <v>19644</v>
      </c>
      <c r="C6756" s="71" t="s">
        <v>16838</v>
      </c>
    </row>
    <row r="6757">
      <c r="A6757" s="234" t="s">
        <v>26113</v>
      </c>
      <c r="B6757" s="71" t="s">
        <v>16838</v>
      </c>
      <c r="C6757" s="71" t="s">
        <v>19644</v>
      </c>
    </row>
    <row r="6758">
      <c r="A6758" s="234" t="s">
        <v>26115</v>
      </c>
      <c r="B6758" s="71" t="s">
        <v>16885</v>
      </c>
      <c r="C6758" s="71" t="s">
        <v>17726</v>
      </c>
    </row>
    <row r="6759">
      <c r="A6759" s="234" t="s">
        <v>26115</v>
      </c>
      <c r="B6759" s="71" t="s">
        <v>17726</v>
      </c>
      <c r="C6759" s="130" t="s">
        <v>16885</v>
      </c>
    </row>
    <row r="6760">
      <c r="A6760" s="130" t="s">
        <v>26117</v>
      </c>
      <c r="B6760" s="71" t="s">
        <v>187</v>
      </c>
      <c r="C6760" s="71" t="s">
        <v>16846</v>
      </c>
    </row>
    <row r="6761">
      <c r="A6761" s="130" t="s">
        <v>26119</v>
      </c>
      <c r="B6761" s="71" t="s">
        <v>175</v>
      </c>
      <c r="C6761" s="71" t="s">
        <v>16854</v>
      </c>
    </row>
    <row r="6762">
      <c r="A6762" s="130" t="s">
        <v>26121</v>
      </c>
      <c r="B6762" s="71" t="s">
        <v>187</v>
      </c>
      <c r="C6762" s="71" t="s">
        <v>16846</v>
      </c>
    </row>
    <row r="6763">
      <c r="A6763" s="234" t="s">
        <v>26123</v>
      </c>
      <c r="B6763" s="71" t="s">
        <v>187</v>
      </c>
      <c r="C6763" s="71" t="s">
        <v>16858</v>
      </c>
    </row>
    <row r="6764">
      <c r="A6764" s="234" t="s">
        <v>26123</v>
      </c>
      <c r="B6764" s="71" t="s">
        <v>16858</v>
      </c>
      <c r="C6764" s="130" t="s">
        <v>187</v>
      </c>
    </row>
    <row r="6765">
      <c r="A6765" s="234" t="s">
        <v>26125</v>
      </c>
      <c r="B6765" s="71" t="s">
        <v>16885</v>
      </c>
      <c r="C6765" s="71" t="s">
        <v>18805</v>
      </c>
    </row>
    <row r="6766">
      <c r="A6766" s="234" t="s">
        <v>26125</v>
      </c>
      <c r="B6766" s="71" t="s">
        <v>18805</v>
      </c>
      <c r="C6766" s="71" t="s">
        <v>16885</v>
      </c>
    </row>
    <row r="6767">
      <c r="A6767" s="130" t="s">
        <v>26127</v>
      </c>
      <c r="B6767" s="71" t="s">
        <v>16838</v>
      </c>
      <c r="C6767" s="71" t="s">
        <v>16837</v>
      </c>
    </row>
    <row r="6768">
      <c r="A6768" s="130" t="s">
        <v>26129</v>
      </c>
      <c r="B6768" s="71" t="s">
        <v>16582</v>
      </c>
      <c r="C6768" s="71" t="s">
        <v>17435</v>
      </c>
    </row>
    <row r="6769">
      <c r="A6769" s="130" t="s">
        <v>26131</v>
      </c>
      <c r="B6769" s="71" t="s">
        <v>16838</v>
      </c>
      <c r="C6769" s="71" t="s">
        <v>19579</v>
      </c>
    </row>
    <row r="6770">
      <c r="A6770" s="130" t="s">
        <v>26133</v>
      </c>
      <c r="B6770" s="71" t="s">
        <v>169</v>
      </c>
      <c r="C6770" s="71" t="s">
        <v>16945</v>
      </c>
    </row>
    <row r="6771">
      <c r="A6771" s="130" t="s">
        <v>26135</v>
      </c>
      <c r="B6771" s="71" t="s">
        <v>187</v>
      </c>
      <c r="C6771" s="71" t="s">
        <v>16992</v>
      </c>
    </row>
    <row r="6772">
      <c r="A6772" s="130" t="s">
        <v>26137</v>
      </c>
      <c r="B6772" s="71" t="s">
        <v>187</v>
      </c>
      <c r="C6772" s="71" t="s">
        <v>16846</v>
      </c>
    </row>
    <row r="6773">
      <c r="A6773" s="234" t="s">
        <v>26139</v>
      </c>
      <c r="B6773" s="71" t="s">
        <v>158</v>
      </c>
      <c r="C6773" s="71" t="s">
        <v>16864</v>
      </c>
    </row>
    <row r="6774">
      <c r="A6774" s="234" t="s">
        <v>26139</v>
      </c>
      <c r="B6774" s="71" t="s">
        <v>16864</v>
      </c>
      <c r="C6774" s="71" t="s">
        <v>158</v>
      </c>
    </row>
    <row r="6775">
      <c r="A6775" s="130" t="s">
        <v>26141</v>
      </c>
      <c r="B6775" s="71" t="s">
        <v>187</v>
      </c>
      <c r="C6775" s="71" t="s">
        <v>16846</v>
      </c>
    </row>
    <row r="6776">
      <c r="A6776" s="130" t="s">
        <v>26143</v>
      </c>
      <c r="B6776" s="71" t="s">
        <v>16910</v>
      </c>
      <c r="C6776" s="71" t="s">
        <v>17119</v>
      </c>
    </row>
    <row r="6777">
      <c r="A6777" s="130" t="s">
        <v>26145</v>
      </c>
      <c r="B6777" s="71" t="s">
        <v>16838</v>
      </c>
      <c r="C6777" s="71" t="s">
        <v>17019</v>
      </c>
    </row>
    <row r="6778">
      <c r="A6778" s="130" t="s">
        <v>26147</v>
      </c>
      <c r="B6778" s="71" t="s">
        <v>187</v>
      </c>
      <c r="C6778" s="71" t="s">
        <v>16969</v>
      </c>
    </row>
    <row r="6779">
      <c r="A6779" s="130" t="s">
        <v>26149</v>
      </c>
      <c r="B6779" s="71" t="s">
        <v>16582</v>
      </c>
      <c r="C6779" s="71" t="s">
        <v>16995</v>
      </c>
    </row>
    <row r="6780">
      <c r="A6780" s="130" t="s">
        <v>26151</v>
      </c>
      <c r="B6780" s="71" t="s">
        <v>16582</v>
      </c>
      <c r="C6780" s="71" t="s">
        <v>16817</v>
      </c>
    </row>
    <row r="6781">
      <c r="A6781" s="130" t="s">
        <v>26153</v>
      </c>
      <c r="B6781" s="71" t="s">
        <v>16582</v>
      </c>
      <c r="C6781" s="71" t="s">
        <v>16930</v>
      </c>
    </row>
    <row r="6782">
      <c r="A6782" s="130" t="s">
        <v>26155</v>
      </c>
      <c r="B6782" s="71" t="s">
        <v>187</v>
      </c>
      <c r="C6782" s="71" t="s">
        <v>16992</v>
      </c>
    </row>
    <row r="6783">
      <c r="A6783" s="130" t="s">
        <v>26157</v>
      </c>
      <c r="B6783" s="71" t="s">
        <v>16582</v>
      </c>
      <c r="C6783" s="71" t="s">
        <v>17339</v>
      </c>
    </row>
    <row r="6784">
      <c r="A6784" s="130" t="s">
        <v>26159</v>
      </c>
      <c r="B6784" s="71" t="s">
        <v>175</v>
      </c>
      <c r="C6784" s="71" t="s">
        <v>17233</v>
      </c>
    </row>
    <row r="6785">
      <c r="A6785" s="234" t="s">
        <v>26161</v>
      </c>
      <c r="B6785" s="71" t="s">
        <v>18679</v>
      </c>
      <c r="C6785" s="71" t="s">
        <v>16838</v>
      </c>
    </row>
    <row r="6786">
      <c r="A6786" s="234" t="s">
        <v>26161</v>
      </c>
      <c r="B6786" s="71" t="s">
        <v>16838</v>
      </c>
      <c r="C6786" s="71" t="s">
        <v>18679</v>
      </c>
    </row>
    <row r="6787">
      <c r="A6787" s="130" t="s">
        <v>26163</v>
      </c>
      <c r="B6787" s="71" t="s">
        <v>16582</v>
      </c>
      <c r="C6787" s="71" t="s">
        <v>16995</v>
      </c>
    </row>
    <row r="6788">
      <c r="A6788" s="234" t="s">
        <v>26165</v>
      </c>
      <c r="B6788" s="71" t="s">
        <v>16838</v>
      </c>
      <c r="C6788" s="71" t="s">
        <v>17019</v>
      </c>
    </row>
    <row r="6789">
      <c r="A6789" s="234" t="s">
        <v>26165</v>
      </c>
      <c r="B6789" s="71" t="s">
        <v>17019</v>
      </c>
      <c r="C6789" s="130" t="s">
        <v>16838</v>
      </c>
    </row>
    <row r="6790">
      <c r="A6790" s="234" t="s">
        <v>26167</v>
      </c>
      <c r="B6790" s="71" t="s">
        <v>16910</v>
      </c>
      <c r="C6790" s="71" t="s">
        <v>17119</v>
      </c>
    </row>
    <row r="6791">
      <c r="A6791" s="234" t="s">
        <v>26167</v>
      </c>
      <c r="B6791" s="71" t="s">
        <v>17119</v>
      </c>
      <c r="C6791" s="71" t="s">
        <v>16910</v>
      </c>
    </row>
    <row r="6792">
      <c r="A6792" s="234" t="s">
        <v>26169</v>
      </c>
      <c r="B6792" s="71" t="s">
        <v>187</v>
      </c>
      <c r="C6792" s="71" t="s">
        <v>16969</v>
      </c>
    </row>
    <row r="6793">
      <c r="A6793" s="234" t="s">
        <v>26169</v>
      </c>
      <c r="B6793" s="71" t="s">
        <v>16969</v>
      </c>
      <c r="C6793" s="130" t="s">
        <v>187</v>
      </c>
    </row>
    <row r="6794">
      <c r="A6794" s="130" t="s">
        <v>26171</v>
      </c>
      <c r="B6794" s="71" t="s">
        <v>175</v>
      </c>
      <c r="C6794" s="71" t="s">
        <v>17321</v>
      </c>
    </row>
    <row r="6795">
      <c r="A6795" s="130" t="s">
        <v>26173</v>
      </c>
      <c r="B6795" s="71" t="s">
        <v>169</v>
      </c>
      <c r="C6795" s="71" t="s">
        <v>17321</v>
      </c>
    </row>
    <row r="6796">
      <c r="A6796" s="234" t="s">
        <v>26175</v>
      </c>
      <c r="B6796" s="71" t="s">
        <v>16582</v>
      </c>
      <c r="C6796" s="71" t="s">
        <v>16817</v>
      </c>
    </row>
    <row r="6797">
      <c r="A6797" s="234" t="s">
        <v>26175</v>
      </c>
      <c r="B6797" s="71" t="s">
        <v>16817</v>
      </c>
      <c r="C6797" s="71" t="s">
        <v>16582</v>
      </c>
    </row>
    <row r="6798">
      <c r="A6798" s="130" t="s">
        <v>26177</v>
      </c>
      <c r="B6798" s="71" t="s">
        <v>187</v>
      </c>
      <c r="C6798" s="71" t="s">
        <v>16846</v>
      </c>
    </row>
    <row r="6799">
      <c r="A6799" s="234" t="s">
        <v>26179</v>
      </c>
      <c r="B6799" s="71" t="s">
        <v>17112</v>
      </c>
      <c r="C6799" s="71" t="s">
        <v>16838</v>
      </c>
    </row>
    <row r="6800">
      <c r="A6800" s="234" t="s">
        <v>26179</v>
      </c>
      <c r="B6800" s="71" t="s">
        <v>16838</v>
      </c>
      <c r="C6800" s="71" t="s">
        <v>17112</v>
      </c>
    </row>
    <row r="6801">
      <c r="A6801" s="130" t="s">
        <v>26181</v>
      </c>
      <c r="B6801" s="71" t="s">
        <v>16582</v>
      </c>
      <c r="C6801" s="71" t="s">
        <v>16828</v>
      </c>
    </row>
    <row r="6802">
      <c r="A6802" s="130" t="s">
        <v>26183</v>
      </c>
      <c r="B6802" s="71" t="s">
        <v>187</v>
      </c>
      <c r="C6802" s="71" t="s">
        <v>16969</v>
      </c>
    </row>
    <row r="6803">
      <c r="A6803" s="234" t="s">
        <v>26185</v>
      </c>
      <c r="B6803" s="71" t="s">
        <v>175</v>
      </c>
      <c r="C6803" s="71" t="s">
        <v>20344</v>
      </c>
    </row>
    <row r="6804">
      <c r="A6804" s="234" t="s">
        <v>26185</v>
      </c>
      <c r="B6804" s="71" t="s">
        <v>20344</v>
      </c>
      <c r="C6804" s="71" t="s">
        <v>175</v>
      </c>
    </row>
    <row r="6805">
      <c r="A6805" s="130" t="s">
        <v>26187</v>
      </c>
      <c r="B6805" s="71" t="s">
        <v>187</v>
      </c>
      <c r="C6805" s="71" t="s">
        <v>16969</v>
      </c>
    </row>
    <row r="6806">
      <c r="A6806" s="130" t="s">
        <v>26189</v>
      </c>
      <c r="B6806" s="71" t="s">
        <v>187</v>
      </c>
      <c r="C6806" s="71" t="s">
        <v>16969</v>
      </c>
    </row>
    <row r="6807">
      <c r="A6807" s="130" t="s">
        <v>26191</v>
      </c>
      <c r="B6807" s="71" t="s">
        <v>17629</v>
      </c>
      <c r="C6807" s="71" t="s">
        <v>17452</v>
      </c>
    </row>
    <row r="6808">
      <c r="A6808" s="234" t="s">
        <v>26193</v>
      </c>
      <c r="B6808" s="71" t="s">
        <v>17111</v>
      </c>
      <c r="C6808" s="71" t="s">
        <v>17112</v>
      </c>
    </row>
    <row r="6809">
      <c r="A6809" s="234" t="s">
        <v>26193</v>
      </c>
      <c r="B6809" s="71" t="s">
        <v>17112</v>
      </c>
      <c r="C6809" s="71" t="s">
        <v>17111</v>
      </c>
    </row>
    <row r="6810">
      <c r="A6810" s="234" t="s">
        <v>26195</v>
      </c>
      <c r="B6810" s="71" t="s">
        <v>158</v>
      </c>
      <c r="C6810" s="71" t="s">
        <v>16864</v>
      </c>
    </row>
    <row r="6811">
      <c r="A6811" s="234" t="s">
        <v>26195</v>
      </c>
      <c r="B6811" s="71" t="s">
        <v>16864</v>
      </c>
      <c r="C6811" s="71" t="s">
        <v>158</v>
      </c>
    </row>
    <row r="6812">
      <c r="A6812" s="130" t="s">
        <v>26197</v>
      </c>
      <c r="B6812" s="71" t="s">
        <v>175</v>
      </c>
      <c r="C6812" s="71" t="s">
        <v>17350</v>
      </c>
    </row>
    <row r="6813">
      <c r="A6813" s="234" t="s">
        <v>26199</v>
      </c>
      <c r="B6813" s="71" t="s">
        <v>16885</v>
      </c>
      <c r="C6813" s="71" t="s">
        <v>18381</v>
      </c>
    </row>
    <row r="6814">
      <c r="A6814" s="234" t="s">
        <v>26199</v>
      </c>
      <c r="B6814" s="71" t="s">
        <v>18381</v>
      </c>
      <c r="C6814" s="71" t="s">
        <v>16885</v>
      </c>
    </row>
    <row r="6815">
      <c r="A6815" s="234" t="s">
        <v>26201</v>
      </c>
      <c r="B6815" s="71" t="s">
        <v>16838</v>
      </c>
      <c r="C6815" s="71" t="s">
        <v>18679</v>
      </c>
    </row>
    <row r="6816">
      <c r="A6816" s="234" t="s">
        <v>26201</v>
      </c>
      <c r="B6816" s="71" t="s">
        <v>18679</v>
      </c>
      <c r="C6816" s="130" t="s">
        <v>16838</v>
      </c>
    </row>
    <row r="6817">
      <c r="A6817" s="130" t="s">
        <v>26203</v>
      </c>
      <c r="B6817" s="71" t="s">
        <v>187</v>
      </c>
      <c r="C6817" s="71" t="s">
        <v>16858</v>
      </c>
    </row>
    <row r="6818">
      <c r="A6818" s="130" t="s">
        <v>26205</v>
      </c>
      <c r="B6818" s="71" t="s">
        <v>187</v>
      </c>
      <c r="C6818" s="71" t="s">
        <v>16858</v>
      </c>
    </row>
    <row r="6819">
      <c r="A6819" s="130" t="s">
        <v>26207</v>
      </c>
      <c r="B6819" s="71" t="s">
        <v>187</v>
      </c>
      <c r="C6819" s="71" t="s">
        <v>18633</v>
      </c>
    </row>
    <row r="6820">
      <c r="A6820" s="130" t="s">
        <v>26209</v>
      </c>
      <c r="B6820" s="71" t="s">
        <v>175</v>
      </c>
      <c r="C6820" s="71" t="s">
        <v>17031</v>
      </c>
    </row>
    <row r="6821">
      <c r="A6821" s="130" t="s">
        <v>26211</v>
      </c>
      <c r="B6821" s="71" t="s">
        <v>187</v>
      </c>
      <c r="C6821" s="71" t="s">
        <v>16846</v>
      </c>
    </row>
    <row r="6822">
      <c r="A6822" s="130" t="s">
        <v>26213</v>
      </c>
      <c r="B6822" s="71" t="s">
        <v>16838</v>
      </c>
      <c r="C6822" s="71" t="s">
        <v>16837</v>
      </c>
    </row>
    <row r="6823">
      <c r="A6823" s="130" t="s">
        <v>26215</v>
      </c>
      <c r="B6823" s="71" t="s">
        <v>187</v>
      </c>
      <c r="C6823" s="71" t="s">
        <v>16846</v>
      </c>
    </row>
    <row r="6824">
      <c r="A6824" s="130" t="s">
        <v>26217</v>
      </c>
      <c r="B6824" s="71" t="s">
        <v>187</v>
      </c>
      <c r="C6824" s="71" t="s">
        <v>17509</v>
      </c>
    </row>
    <row r="6825">
      <c r="A6825" s="234" t="s">
        <v>26219</v>
      </c>
      <c r="B6825" s="71" t="s">
        <v>17202</v>
      </c>
      <c r="C6825" s="71" t="s">
        <v>16838</v>
      </c>
    </row>
    <row r="6826">
      <c r="A6826" s="234" t="s">
        <v>26219</v>
      </c>
      <c r="B6826" s="71" t="s">
        <v>16838</v>
      </c>
      <c r="C6826" s="71" t="s">
        <v>17202</v>
      </c>
    </row>
    <row r="6827">
      <c r="A6827" s="234" t="s">
        <v>26221</v>
      </c>
      <c r="B6827" s="71" t="s">
        <v>175</v>
      </c>
      <c r="C6827" s="71" t="s">
        <v>17812</v>
      </c>
    </row>
    <row r="6828">
      <c r="A6828" s="234" t="s">
        <v>26221</v>
      </c>
      <c r="B6828" s="71" t="s">
        <v>17812</v>
      </c>
      <c r="C6828" s="71" t="s">
        <v>175</v>
      </c>
    </row>
    <row r="6829">
      <c r="A6829" s="130" t="s">
        <v>26223</v>
      </c>
      <c r="B6829" s="71" t="s">
        <v>175</v>
      </c>
      <c r="C6829" s="71" t="s">
        <v>17391</v>
      </c>
    </row>
    <row r="6830">
      <c r="A6830" s="130" t="s">
        <v>26225</v>
      </c>
      <c r="B6830" s="71" t="s">
        <v>169</v>
      </c>
      <c r="C6830" s="71" t="s">
        <v>17339</v>
      </c>
    </row>
    <row r="6831">
      <c r="A6831" s="130" t="s">
        <v>26227</v>
      </c>
      <c r="B6831" s="71" t="s">
        <v>16838</v>
      </c>
      <c r="C6831" s="71" t="s">
        <v>16837</v>
      </c>
    </row>
    <row r="6832">
      <c r="A6832" s="130" t="s">
        <v>26229</v>
      </c>
      <c r="B6832" s="71" t="s">
        <v>16838</v>
      </c>
      <c r="C6832" s="71" t="s">
        <v>18679</v>
      </c>
    </row>
    <row r="6833">
      <c r="A6833" s="130" t="s">
        <v>26231</v>
      </c>
      <c r="B6833" s="71" t="s">
        <v>169</v>
      </c>
      <c r="C6833" s="71" t="s">
        <v>17321</v>
      </c>
    </row>
    <row r="6834">
      <c r="A6834" s="130" t="s">
        <v>26233</v>
      </c>
      <c r="B6834" s="71" t="s">
        <v>187</v>
      </c>
      <c r="C6834" s="71" t="s">
        <v>16846</v>
      </c>
    </row>
    <row r="6835">
      <c r="A6835" s="130" t="s">
        <v>26235</v>
      </c>
      <c r="B6835" s="71" t="s">
        <v>175</v>
      </c>
      <c r="C6835" s="71" t="s">
        <v>17013</v>
      </c>
    </row>
    <row r="6836">
      <c r="A6836" s="234" t="s">
        <v>26237</v>
      </c>
      <c r="B6836" s="71" t="s">
        <v>16851</v>
      </c>
      <c r="C6836" s="71" t="s">
        <v>187</v>
      </c>
    </row>
    <row r="6837">
      <c r="A6837" s="234" t="s">
        <v>26237</v>
      </c>
      <c r="B6837" s="71" t="s">
        <v>187</v>
      </c>
      <c r="C6837" s="71" t="s">
        <v>16851</v>
      </c>
    </row>
    <row r="6838">
      <c r="A6838" s="130" t="s">
        <v>26239</v>
      </c>
      <c r="B6838" s="71" t="s">
        <v>16838</v>
      </c>
      <c r="C6838" s="71" t="s">
        <v>18219</v>
      </c>
    </row>
    <row r="6839">
      <c r="A6839" s="130" t="s">
        <v>26241</v>
      </c>
      <c r="B6839" s="71" t="s">
        <v>187</v>
      </c>
      <c r="C6839" s="71" t="s">
        <v>16846</v>
      </c>
    </row>
    <row r="6840">
      <c r="A6840" s="234" t="s">
        <v>26243</v>
      </c>
      <c r="B6840" s="71" t="s">
        <v>175</v>
      </c>
      <c r="C6840" s="71" t="s">
        <v>17452</v>
      </c>
    </row>
    <row r="6841">
      <c r="A6841" s="234" t="s">
        <v>26243</v>
      </c>
      <c r="B6841" s="71" t="s">
        <v>17452</v>
      </c>
      <c r="C6841" s="130" t="s">
        <v>175</v>
      </c>
    </row>
    <row r="6842">
      <c r="A6842" s="130" t="s">
        <v>26245</v>
      </c>
      <c r="B6842" s="71" t="s">
        <v>187</v>
      </c>
      <c r="C6842" s="71" t="s">
        <v>16846</v>
      </c>
    </row>
    <row r="6843">
      <c r="A6843" s="130" t="s">
        <v>26247</v>
      </c>
      <c r="B6843" s="71" t="s">
        <v>187</v>
      </c>
      <c r="C6843" s="71" t="s">
        <v>16858</v>
      </c>
    </row>
    <row r="6844">
      <c r="A6844" s="234" t="s">
        <v>26249</v>
      </c>
      <c r="B6844" s="71" t="s">
        <v>19579</v>
      </c>
      <c r="C6844" s="71" t="s">
        <v>16838</v>
      </c>
    </row>
    <row r="6845">
      <c r="A6845" s="234" t="s">
        <v>26249</v>
      </c>
      <c r="B6845" s="71" t="s">
        <v>16838</v>
      </c>
      <c r="C6845" s="71" t="s">
        <v>19579</v>
      </c>
    </row>
    <row r="6846">
      <c r="A6846" s="234" t="s">
        <v>26251</v>
      </c>
      <c r="B6846" s="71" t="s">
        <v>16885</v>
      </c>
      <c r="C6846" s="71" t="s">
        <v>17726</v>
      </c>
    </row>
    <row r="6847">
      <c r="A6847" s="234" t="s">
        <v>26251</v>
      </c>
      <c r="B6847" s="71" t="s">
        <v>17726</v>
      </c>
      <c r="C6847" s="130" t="s">
        <v>16885</v>
      </c>
    </row>
    <row r="6848">
      <c r="A6848" s="130" t="s">
        <v>26253</v>
      </c>
      <c r="B6848" s="71" t="s">
        <v>16838</v>
      </c>
      <c r="C6848" s="71" t="s">
        <v>17112</v>
      </c>
    </row>
    <row r="6849">
      <c r="A6849" s="130" t="s">
        <v>26255</v>
      </c>
      <c r="B6849" s="71" t="s">
        <v>187</v>
      </c>
      <c r="C6849" s="71" t="s">
        <v>16846</v>
      </c>
    </row>
    <row r="6850">
      <c r="A6850" s="130" t="s">
        <v>26257</v>
      </c>
      <c r="B6850" s="71" t="s">
        <v>175</v>
      </c>
      <c r="C6850" s="71" t="s">
        <v>16854</v>
      </c>
    </row>
    <row r="6851">
      <c r="A6851" s="130" t="s">
        <v>26259</v>
      </c>
      <c r="B6851" s="71" t="s">
        <v>16838</v>
      </c>
      <c r="C6851" s="71" t="s">
        <v>17838</v>
      </c>
    </row>
    <row r="6852">
      <c r="A6852" s="130" t="s">
        <v>26261</v>
      </c>
      <c r="B6852" s="71" t="s">
        <v>187</v>
      </c>
      <c r="C6852" s="71" t="s">
        <v>16858</v>
      </c>
    </row>
    <row r="6853">
      <c r="A6853" s="130" t="s">
        <v>26263</v>
      </c>
      <c r="B6853" s="71" t="s">
        <v>187</v>
      </c>
      <c r="C6853" s="71" t="s">
        <v>16969</v>
      </c>
    </row>
    <row r="6854">
      <c r="A6854" s="234" t="s">
        <v>26265</v>
      </c>
      <c r="B6854" s="71" t="s">
        <v>175</v>
      </c>
      <c r="C6854" s="71" t="s">
        <v>17264</v>
      </c>
    </row>
    <row r="6855">
      <c r="A6855" s="234" t="s">
        <v>26265</v>
      </c>
      <c r="B6855" s="71" t="s">
        <v>17264</v>
      </c>
      <c r="C6855" s="130" t="s">
        <v>175</v>
      </c>
    </row>
    <row r="6856">
      <c r="A6856" s="130" t="s">
        <v>26267</v>
      </c>
      <c r="B6856" s="71" t="s">
        <v>16582</v>
      </c>
      <c r="C6856" s="71" t="s">
        <v>16930</v>
      </c>
    </row>
    <row r="6857">
      <c r="A6857" s="130" t="s">
        <v>26269</v>
      </c>
      <c r="B6857" s="71" t="s">
        <v>16582</v>
      </c>
      <c r="C6857" s="71" t="s">
        <v>16930</v>
      </c>
    </row>
    <row r="6858">
      <c r="A6858" s="130" t="s">
        <v>26271</v>
      </c>
      <c r="B6858" s="71" t="s">
        <v>16926</v>
      </c>
      <c r="C6858" s="71" t="s">
        <v>17321</v>
      </c>
    </row>
    <row r="6859">
      <c r="A6859" s="130" t="s">
        <v>26273</v>
      </c>
      <c r="B6859" s="71" t="s">
        <v>187</v>
      </c>
      <c r="C6859" s="71" t="s">
        <v>16969</v>
      </c>
    </row>
    <row r="6860">
      <c r="A6860" s="130" t="s">
        <v>26275</v>
      </c>
      <c r="B6860" s="71" t="s">
        <v>16910</v>
      </c>
      <c r="C6860" s="71" t="s">
        <v>17013</v>
      </c>
    </row>
    <row r="6861">
      <c r="A6861" s="130" t="s">
        <v>26277</v>
      </c>
      <c r="B6861" s="71" t="s">
        <v>17629</v>
      </c>
      <c r="C6861" s="71" t="s">
        <v>16899</v>
      </c>
    </row>
    <row r="6862">
      <c r="A6862" s="130" t="s">
        <v>26279</v>
      </c>
      <c r="B6862" s="71" t="s">
        <v>17629</v>
      </c>
      <c r="C6862" s="71" t="s">
        <v>17452</v>
      </c>
    </row>
    <row r="6863">
      <c r="A6863" s="130" t="s">
        <v>26281</v>
      </c>
      <c r="B6863" s="71" t="s">
        <v>187</v>
      </c>
      <c r="C6863" s="71" t="s">
        <v>16846</v>
      </c>
    </row>
    <row r="6864">
      <c r="A6864" s="130" t="s">
        <v>26283</v>
      </c>
      <c r="B6864" s="71" t="s">
        <v>16838</v>
      </c>
      <c r="C6864" s="71" t="s">
        <v>16867</v>
      </c>
    </row>
    <row r="6865">
      <c r="A6865" s="130" t="s">
        <v>26285</v>
      </c>
      <c r="B6865" s="71" t="s">
        <v>175</v>
      </c>
      <c r="C6865" s="71" t="s">
        <v>16854</v>
      </c>
    </row>
    <row r="6866">
      <c r="A6866" s="130" t="s">
        <v>26287</v>
      </c>
      <c r="B6866" s="71" t="s">
        <v>175</v>
      </c>
      <c r="C6866" s="71" t="s">
        <v>17480</v>
      </c>
    </row>
    <row r="6867">
      <c r="A6867" s="130" t="s">
        <v>26289</v>
      </c>
      <c r="B6867" s="71" t="s">
        <v>187</v>
      </c>
      <c r="C6867" s="71" t="s">
        <v>16846</v>
      </c>
    </row>
    <row r="6868">
      <c r="A6868" s="130" t="s">
        <v>26291</v>
      </c>
      <c r="B6868" s="71" t="s">
        <v>175</v>
      </c>
      <c r="C6868" s="71" t="s">
        <v>18570</v>
      </c>
    </row>
    <row r="6869">
      <c r="A6869" s="234" t="s">
        <v>26293</v>
      </c>
      <c r="B6869" s="71" t="s">
        <v>187</v>
      </c>
      <c r="C6869" s="71" t="s">
        <v>16846</v>
      </c>
    </row>
    <row r="6870">
      <c r="A6870" s="234" t="s">
        <v>26293</v>
      </c>
      <c r="B6870" s="71" t="s">
        <v>16846</v>
      </c>
      <c r="C6870" s="71" t="s">
        <v>187</v>
      </c>
    </row>
    <row r="6871">
      <c r="A6871" s="130" t="s">
        <v>26295</v>
      </c>
      <c r="B6871" s="71" t="s">
        <v>187</v>
      </c>
      <c r="C6871" s="71" t="s">
        <v>16846</v>
      </c>
    </row>
    <row r="6872">
      <c r="A6872" s="130" t="s">
        <v>26297</v>
      </c>
      <c r="B6872" s="71" t="s">
        <v>175</v>
      </c>
      <c r="C6872" s="71" t="s">
        <v>16854</v>
      </c>
    </row>
    <row r="6873">
      <c r="A6873" s="130" t="s">
        <v>26299</v>
      </c>
      <c r="B6873" s="71" t="s">
        <v>16838</v>
      </c>
      <c r="C6873" s="71" t="s">
        <v>19644</v>
      </c>
    </row>
    <row r="6874">
      <c r="A6874" s="234" t="s">
        <v>26301</v>
      </c>
      <c r="B6874" s="71" t="s">
        <v>175</v>
      </c>
      <c r="C6874" s="71" t="s">
        <v>17480</v>
      </c>
    </row>
    <row r="6875">
      <c r="A6875" s="234" t="s">
        <v>26301</v>
      </c>
      <c r="B6875" s="71" t="s">
        <v>17480</v>
      </c>
      <c r="C6875" s="71" t="s">
        <v>175</v>
      </c>
    </row>
    <row r="6876">
      <c r="A6876" s="130" t="s">
        <v>26303</v>
      </c>
      <c r="B6876" s="71" t="s">
        <v>16838</v>
      </c>
      <c r="C6876" s="71" t="s">
        <v>17016</v>
      </c>
    </row>
    <row r="6877">
      <c r="A6877" s="130" t="s">
        <v>26305</v>
      </c>
      <c r="B6877" s="71" t="s">
        <v>175</v>
      </c>
      <c r="C6877" s="71" t="s">
        <v>17025</v>
      </c>
    </row>
    <row r="6878">
      <c r="A6878" s="130" t="s">
        <v>26307</v>
      </c>
      <c r="B6878" s="71" t="s">
        <v>16838</v>
      </c>
      <c r="C6878" s="71" t="s">
        <v>16867</v>
      </c>
    </row>
    <row r="6879">
      <c r="A6879" s="234" t="s">
        <v>26309</v>
      </c>
      <c r="B6879" s="71" t="s">
        <v>16910</v>
      </c>
      <c r="C6879" s="71" t="s">
        <v>17318</v>
      </c>
    </row>
    <row r="6880">
      <c r="A6880" s="234" t="s">
        <v>26309</v>
      </c>
      <c r="B6880" s="71" t="s">
        <v>17318</v>
      </c>
      <c r="C6880" s="130" t="s">
        <v>16910</v>
      </c>
    </row>
    <row r="6881">
      <c r="A6881" s="130" t="s">
        <v>26311</v>
      </c>
      <c r="B6881" s="71" t="s">
        <v>16838</v>
      </c>
      <c r="C6881" s="71" t="s">
        <v>16867</v>
      </c>
    </row>
    <row r="6882">
      <c r="A6882" s="130" t="s">
        <v>26313</v>
      </c>
      <c r="B6882" s="71" t="s">
        <v>187</v>
      </c>
      <c r="C6882" s="71" t="s">
        <v>16858</v>
      </c>
    </row>
    <row r="6883">
      <c r="A6883" s="130" t="s">
        <v>26315</v>
      </c>
      <c r="B6883" s="71" t="s">
        <v>187</v>
      </c>
      <c r="C6883" s="71" t="s">
        <v>16846</v>
      </c>
    </row>
    <row r="6884">
      <c r="A6884" s="234" t="s">
        <v>26317</v>
      </c>
      <c r="B6884" s="71" t="s">
        <v>18679</v>
      </c>
      <c r="C6884" s="71" t="s">
        <v>16838</v>
      </c>
    </row>
    <row r="6885">
      <c r="A6885" s="234" t="s">
        <v>26317</v>
      </c>
      <c r="B6885" s="71" t="s">
        <v>16838</v>
      </c>
      <c r="C6885" s="71" t="s">
        <v>18679</v>
      </c>
    </row>
    <row r="6886">
      <c r="A6886" s="130" t="s">
        <v>26319</v>
      </c>
      <c r="B6886" s="71" t="s">
        <v>187</v>
      </c>
      <c r="C6886" s="71" t="s">
        <v>16846</v>
      </c>
    </row>
    <row r="6887">
      <c r="A6887" s="130" t="s">
        <v>26321</v>
      </c>
      <c r="B6887" s="71" t="s">
        <v>16582</v>
      </c>
      <c r="C6887" s="71" t="s">
        <v>16817</v>
      </c>
    </row>
    <row r="6888">
      <c r="A6888" s="130" t="s">
        <v>26323</v>
      </c>
      <c r="B6888" s="71" t="s">
        <v>187</v>
      </c>
      <c r="C6888" s="71" t="s">
        <v>16846</v>
      </c>
    </row>
    <row r="6889">
      <c r="A6889" s="130" t="s">
        <v>26325</v>
      </c>
      <c r="B6889" s="71" t="s">
        <v>187</v>
      </c>
      <c r="C6889" s="71" t="s">
        <v>16846</v>
      </c>
    </row>
    <row r="6890">
      <c r="A6890" s="130" t="s">
        <v>26327</v>
      </c>
      <c r="B6890" s="71" t="s">
        <v>16582</v>
      </c>
      <c r="C6890" s="71" t="s">
        <v>16930</v>
      </c>
    </row>
    <row r="6891">
      <c r="A6891" s="130" t="s">
        <v>26329</v>
      </c>
      <c r="B6891" s="71" t="s">
        <v>187</v>
      </c>
      <c r="C6891" s="71" t="s">
        <v>16846</v>
      </c>
    </row>
    <row r="6892">
      <c r="A6892" s="130" t="s">
        <v>26331</v>
      </c>
      <c r="B6892" s="71" t="s">
        <v>16582</v>
      </c>
      <c r="C6892" s="71" t="s">
        <v>16583</v>
      </c>
    </row>
    <row r="6893">
      <c r="A6893" s="130" t="s">
        <v>26333</v>
      </c>
      <c r="B6893" s="71" t="s">
        <v>16582</v>
      </c>
      <c r="C6893" s="71" t="s">
        <v>16817</v>
      </c>
    </row>
    <row r="6894">
      <c r="A6894" s="130" t="s">
        <v>26335</v>
      </c>
      <c r="B6894" s="71" t="s">
        <v>16582</v>
      </c>
      <c r="C6894" s="71" t="s">
        <v>16817</v>
      </c>
    </row>
    <row r="6895">
      <c r="A6895" s="130" t="s">
        <v>26337</v>
      </c>
      <c r="B6895" s="71" t="s">
        <v>187</v>
      </c>
      <c r="C6895" s="71" t="s">
        <v>16992</v>
      </c>
    </row>
    <row r="6896">
      <c r="A6896" s="130" t="s">
        <v>26339</v>
      </c>
      <c r="B6896" s="71" t="s">
        <v>169</v>
      </c>
      <c r="C6896" s="71" t="s">
        <v>16899</v>
      </c>
    </row>
    <row r="6897">
      <c r="A6897" s="130" t="s">
        <v>26341</v>
      </c>
      <c r="B6897" s="71" t="s">
        <v>16926</v>
      </c>
      <c r="C6897" s="71" t="s">
        <v>16927</v>
      </c>
    </row>
    <row r="6898">
      <c r="A6898" s="130" t="s">
        <v>26343</v>
      </c>
      <c r="B6898" s="71" t="s">
        <v>187</v>
      </c>
      <c r="C6898" s="71" t="s">
        <v>16846</v>
      </c>
    </row>
    <row r="6899">
      <c r="A6899" s="130" t="s">
        <v>26345</v>
      </c>
      <c r="B6899" s="71" t="s">
        <v>187</v>
      </c>
      <c r="C6899" s="71" t="s">
        <v>16846</v>
      </c>
    </row>
    <row r="6900">
      <c r="A6900" s="130" t="s">
        <v>26347</v>
      </c>
      <c r="B6900" s="71" t="s">
        <v>16838</v>
      </c>
      <c r="C6900" s="71" t="s">
        <v>19644</v>
      </c>
    </row>
    <row r="6901">
      <c r="A6901" s="234" t="s">
        <v>26349</v>
      </c>
      <c r="B6901" s="71" t="s">
        <v>187</v>
      </c>
      <c r="C6901" s="71" t="s">
        <v>17509</v>
      </c>
    </row>
    <row r="6902">
      <c r="A6902" s="234" t="s">
        <v>26349</v>
      </c>
      <c r="B6902" s="71" t="s">
        <v>17509</v>
      </c>
      <c r="C6902" s="130" t="s">
        <v>187</v>
      </c>
    </row>
    <row r="6903">
      <c r="A6903" s="130" t="s">
        <v>26351</v>
      </c>
      <c r="B6903" s="71" t="s">
        <v>175</v>
      </c>
      <c r="C6903" s="71" t="s">
        <v>17031</v>
      </c>
    </row>
    <row r="6904">
      <c r="A6904" s="130" t="s">
        <v>26353</v>
      </c>
      <c r="B6904" s="71" t="s">
        <v>187</v>
      </c>
      <c r="C6904" s="71" t="s">
        <v>16969</v>
      </c>
    </row>
    <row r="6905">
      <c r="A6905" s="130" t="s">
        <v>26355</v>
      </c>
      <c r="B6905" s="71" t="s">
        <v>187</v>
      </c>
      <c r="C6905" s="71" t="s">
        <v>16992</v>
      </c>
    </row>
    <row r="6906">
      <c r="A6906" s="130" t="s">
        <v>26357</v>
      </c>
      <c r="B6906" s="71" t="s">
        <v>16582</v>
      </c>
      <c r="C6906" s="233" t="s">
        <v>17342</v>
      </c>
    </row>
    <row r="6907">
      <c r="A6907" s="130" t="s">
        <v>26359</v>
      </c>
      <c r="B6907" s="71" t="s">
        <v>16838</v>
      </c>
      <c r="C6907" s="71" t="s">
        <v>16867</v>
      </c>
    </row>
    <row r="6908">
      <c r="A6908" s="130" t="s">
        <v>26361</v>
      </c>
      <c r="B6908" s="71" t="s">
        <v>16838</v>
      </c>
      <c r="C6908" s="71" t="s">
        <v>17019</v>
      </c>
    </row>
    <row r="6909">
      <c r="A6909" s="130" t="s">
        <v>26363</v>
      </c>
      <c r="B6909" s="71" t="s">
        <v>16838</v>
      </c>
      <c r="C6909" s="71" t="s">
        <v>18219</v>
      </c>
    </row>
    <row r="6910">
      <c r="A6910" s="130" t="s">
        <v>26365</v>
      </c>
      <c r="B6910" s="71" t="s">
        <v>16838</v>
      </c>
      <c r="C6910" s="71" t="s">
        <v>17019</v>
      </c>
    </row>
    <row r="6911">
      <c r="A6911" s="130" t="s">
        <v>26367</v>
      </c>
      <c r="B6911" s="71" t="s">
        <v>187</v>
      </c>
      <c r="C6911" s="71" t="s">
        <v>16992</v>
      </c>
    </row>
    <row r="6912">
      <c r="A6912" s="130" t="s">
        <v>26369</v>
      </c>
      <c r="B6912" s="71" t="s">
        <v>175</v>
      </c>
      <c r="C6912" s="71" t="s">
        <v>18723</v>
      </c>
    </row>
    <row r="6913">
      <c r="A6913" s="130" t="s">
        <v>26371</v>
      </c>
      <c r="B6913" s="71" t="s">
        <v>175</v>
      </c>
      <c r="C6913" s="71" t="s">
        <v>16942</v>
      </c>
    </row>
    <row r="6914">
      <c r="A6914" s="234" t="s">
        <v>26373</v>
      </c>
      <c r="B6914" s="71" t="s">
        <v>187</v>
      </c>
      <c r="C6914" s="71" t="s">
        <v>16969</v>
      </c>
    </row>
    <row r="6915">
      <c r="A6915" s="234" t="s">
        <v>26373</v>
      </c>
      <c r="B6915" s="71" t="s">
        <v>16969</v>
      </c>
      <c r="C6915" s="130" t="s">
        <v>187</v>
      </c>
    </row>
    <row r="6916">
      <c r="A6916" s="130" t="s">
        <v>26375</v>
      </c>
      <c r="B6916" s="71" t="s">
        <v>169</v>
      </c>
      <c r="C6916" s="71" t="s">
        <v>17043</v>
      </c>
    </row>
    <row r="6917">
      <c r="A6917" s="130" t="s">
        <v>26377</v>
      </c>
      <c r="B6917" s="71" t="s">
        <v>187</v>
      </c>
      <c r="C6917" s="71" t="s">
        <v>16992</v>
      </c>
    </row>
    <row r="6918">
      <c r="A6918" s="130" t="s">
        <v>26379</v>
      </c>
      <c r="B6918" s="71"/>
      <c r="C6918" s="71"/>
    </row>
    <row r="6919">
      <c r="A6919" s="130" t="s">
        <v>26381</v>
      </c>
      <c r="B6919" s="71" t="s">
        <v>187</v>
      </c>
      <c r="C6919" s="71" t="s">
        <v>16846</v>
      </c>
    </row>
    <row r="6920">
      <c r="A6920" s="130" t="s">
        <v>26383</v>
      </c>
      <c r="B6920" s="71" t="s">
        <v>16582</v>
      </c>
      <c r="C6920" s="71" t="s">
        <v>16828</v>
      </c>
    </row>
    <row r="6921">
      <c r="A6921" s="130" t="s">
        <v>26385</v>
      </c>
      <c r="B6921" s="71" t="s">
        <v>187</v>
      </c>
      <c r="C6921" s="71" t="s">
        <v>16846</v>
      </c>
    </row>
    <row r="6922">
      <c r="A6922" s="234" t="s">
        <v>26387</v>
      </c>
      <c r="B6922" s="71" t="s">
        <v>169</v>
      </c>
      <c r="C6922" s="71" t="s">
        <v>16945</v>
      </c>
    </row>
    <row r="6923">
      <c r="A6923" s="234" t="s">
        <v>26387</v>
      </c>
      <c r="B6923" s="71" t="s">
        <v>16945</v>
      </c>
      <c r="C6923" s="130" t="s">
        <v>169</v>
      </c>
    </row>
    <row r="6924">
      <c r="A6924" s="130" t="s">
        <v>26389</v>
      </c>
      <c r="B6924" s="71" t="s">
        <v>16838</v>
      </c>
      <c r="C6924" s="71" t="s">
        <v>16837</v>
      </c>
    </row>
    <row r="6925">
      <c r="A6925" s="234" t="s">
        <v>26391</v>
      </c>
      <c r="B6925" s="71" t="s">
        <v>16851</v>
      </c>
      <c r="C6925" s="71" t="s">
        <v>187</v>
      </c>
    </row>
    <row r="6926">
      <c r="A6926" s="234" t="s">
        <v>26391</v>
      </c>
      <c r="B6926" s="71" t="s">
        <v>187</v>
      </c>
      <c r="C6926" s="71" t="s">
        <v>16851</v>
      </c>
    </row>
    <row r="6927">
      <c r="A6927" s="130" t="s">
        <v>26393</v>
      </c>
      <c r="B6927" s="71"/>
      <c r="C6927" s="71"/>
    </row>
    <row r="6928">
      <c r="A6928" s="130" t="s">
        <v>26395</v>
      </c>
      <c r="B6928" s="71" t="s">
        <v>175</v>
      </c>
      <c r="C6928" s="71" t="s">
        <v>16842</v>
      </c>
    </row>
    <row r="6929">
      <c r="A6929" s="234" t="s">
        <v>26397</v>
      </c>
      <c r="B6929" s="71" t="s">
        <v>187</v>
      </c>
      <c r="C6929" s="71" t="s">
        <v>17509</v>
      </c>
    </row>
    <row r="6930">
      <c r="A6930" s="234" t="s">
        <v>26397</v>
      </c>
      <c r="B6930" s="71" t="s">
        <v>17509</v>
      </c>
      <c r="C6930" s="130" t="s">
        <v>187</v>
      </c>
    </row>
    <row r="6931">
      <c r="A6931" s="130" t="s">
        <v>26399</v>
      </c>
      <c r="B6931" s="71" t="s">
        <v>16582</v>
      </c>
      <c r="C6931" s="71" t="s">
        <v>16828</v>
      </c>
    </row>
    <row r="6932">
      <c r="A6932" s="130" t="s">
        <v>26401</v>
      </c>
      <c r="B6932" s="71" t="s">
        <v>175</v>
      </c>
      <c r="C6932" s="71" t="s">
        <v>18268</v>
      </c>
    </row>
    <row r="6933">
      <c r="A6933" s="130" t="s">
        <v>26403</v>
      </c>
      <c r="B6933" s="71"/>
      <c r="C6933" s="71"/>
    </row>
    <row r="6934">
      <c r="A6934" s="130" t="s">
        <v>26405</v>
      </c>
      <c r="B6934" s="71" t="s">
        <v>16919</v>
      </c>
      <c r="C6934" s="71" t="s">
        <v>17176</v>
      </c>
    </row>
    <row r="6935">
      <c r="A6935" s="234" t="s">
        <v>26407</v>
      </c>
      <c r="B6935" s="71" t="s">
        <v>17112</v>
      </c>
      <c r="C6935" s="71" t="s">
        <v>17111</v>
      </c>
    </row>
    <row r="6936">
      <c r="A6936" s="234" t="s">
        <v>26407</v>
      </c>
      <c r="B6936" s="71" t="s">
        <v>17111</v>
      </c>
      <c r="C6936" s="130" t="s">
        <v>17112</v>
      </c>
    </row>
    <row r="6937">
      <c r="A6937" s="130" t="s">
        <v>26409</v>
      </c>
      <c r="B6937" s="71" t="s">
        <v>175</v>
      </c>
      <c r="C6937" s="71" t="s">
        <v>18310</v>
      </c>
    </row>
    <row r="6938">
      <c r="A6938" s="130" t="s">
        <v>26411</v>
      </c>
      <c r="B6938" s="71" t="s">
        <v>16582</v>
      </c>
      <c r="C6938" s="71" t="s">
        <v>16828</v>
      </c>
    </row>
    <row r="6939">
      <c r="A6939" s="130" t="s">
        <v>26413</v>
      </c>
      <c r="B6939" s="71" t="s">
        <v>169</v>
      </c>
      <c r="C6939" s="71" t="s">
        <v>16945</v>
      </c>
    </row>
    <row r="6940">
      <c r="A6940" s="234" t="s">
        <v>26415</v>
      </c>
      <c r="B6940" s="71" t="s">
        <v>169</v>
      </c>
      <c r="C6940" s="71" t="s">
        <v>17805</v>
      </c>
    </row>
    <row r="6941">
      <c r="A6941" s="234" t="s">
        <v>26415</v>
      </c>
      <c r="B6941" s="71" t="s">
        <v>17805</v>
      </c>
      <c r="C6941" s="71" t="s">
        <v>169</v>
      </c>
    </row>
    <row r="6942">
      <c r="A6942" s="234" t="s">
        <v>26417</v>
      </c>
      <c r="B6942" s="71" t="s">
        <v>16582</v>
      </c>
      <c r="C6942" s="71" t="s">
        <v>16817</v>
      </c>
    </row>
    <row r="6943">
      <c r="A6943" s="234" t="s">
        <v>26417</v>
      </c>
      <c r="B6943" s="71" t="s">
        <v>16817</v>
      </c>
      <c r="C6943" s="71" t="s">
        <v>16582</v>
      </c>
    </row>
    <row r="6944">
      <c r="A6944" s="130" t="s">
        <v>26419</v>
      </c>
      <c r="B6944" s="71" t="s">
        <v>17112</v>
      </c>
      <c r="C6944" s="71" t="s">
        <v>17111</v>
      </c>
    </row>
    <row r="6945">
      <c r="A6945" s="130" t="s">
        <v>26420</v>
      </c>
      <c r="B6945" s="71" t="s">
        <v>16838</v>
      </c>
      <c r="C6945" s="71" t="s">
        <v>17112</v>
      </c>
    </row>
    <row r="6946">
      <c r="A6946" s="130" t="s">
        <v>26422</v>
      </c>
      <c r="B6946" s="71" t="s">
        <v>187</v>
      </c>
      <c r="C6946" s="71" t="s">
        <v>20775</v>
      </c>
    </row>
    <row r="6947">
      <c r="A6947" s="130" t="s">
        <v>26424</v>
      </c>
      <c r="B6947" s="71" t="s">
        <v>187</v>
      </c>
      <c r="C6947" s="71" t="s">
        <v>16851</v>
      </c>
    </row>
    <row r="6948">
      <c r="A6948" s="234" t="s">
        <v>26426</v>
      </c>
      <c r="B6948" s="71" t="s">
        <v>19579</v>
      </c>
      <c r="C6948" s="71" t="s">
        <v>16838</v>
      </c>
    </row>
    <row r="6949">
      <c r="A6949" s="234" t="s">
        <v>26426</v>
      </c>
      <c r="B6949" s="71" t="s">
        <v>16838</v>
      </c>
      <c r="C6949" s="71" t="s">
        <v>19579</v>
      </c>
    </row>
    <row r="6950">
      <c r="A6950" s="130" t="s">
        <v>26428</v>
      </c>
      <c r="B6950" s="71" t="s">
        <v>16582</v>
      </c>
      <c r="C6950" s="71" t="s">
        <v>16583</v>
      </c>
    </row>
    <row r="6951">
      <c r="A6951" s="130" t="s">
        <v>26430</v>
      </c>
      <c r="B6951" s="71" t="s">
        <v>16582</v>
      </c>
      <c r="C6951" s="71" t="s">
        <v>16813</v>
      </c>
    </row>
    <row r="6952">
      <c r="A6952" s="130" t="s">
        <v>26432</v>
      </c>
      <c r="B6952" s="71" t="s">
        <v>187</v>
      </c>
      <c r="C6952" s="71" t="s">
        <v>16858</v>
      </c>
    </row>
    <row r="6953">
      <c r="A6953" s="234" t="s">
        <v>26434</v>
      </c>
      <c r="B6953" s="71" t="s">
        <v>16851</v>
      </c>
      <c r="C6953" s="71" t="s">
        <v>187</v>
      </c>
    </row>
    <row r="6954">
      <c r="A6954" s="234" t="s">
        <v>26434</v>
      </c>
      <c r="B6954" s="71" t="s">
        <v>187</v>
      </c>
      <c r="C6954" s="71" t="s">
        <v>16851</v>
      </c>
    </row>
    <row r="6955">
      <c r="A6955" s="130" t="s">
        <v>26436</v>
      </c>
      <c r="B6955" s="71" t="s">
        <v>187</v>
      </c>
      <c r="C6955" s="71" t="s">
        <v>16846</v>
      </c>
    </row>
    <row r="6956">
      <c r="A6956" s="130" t="s">
        <v>26438</v>
      </c>
      <c r="B6956" s="71" t="s">
        <v>175</v>
      </c>
      <c r="C6956" s="71" t="s">
        <v>17812</v>
      </c>
    </row>
    <row r="6957">
      <c r="A6957" s="130" t="s">
        <v>26440</v>
      </c>
      <c r="B6957" s="71" t="s">
        <v>187</v>
      </c>
      <c r="C6957" s="71" t="s">
        <v>16846</v>
      </c>
    </row>
    <row r="6958">
      <c r="A6958" s="130" t="s">
        <v>26442</v>
      </c>
      <c r="B6958" s="71" t="s">
        <v>169</v>
      </c>
      <c r="C6958" s="71" t="s">
        <v>16851</v>
      </c>
    </row>
    <row r="6959">
      <c r="A6959" s="130" t="s">
        <v>26444</v>
      </c>
      <c r="B6959" s="71" t="s">
        <v>169</v>
      </c>
      <c r="C6959" s="71" t="s">
        <v>16899</v>
      </c>
    </row>
    <row r="6960">
      <c r="A6960" s="130" t="s">
        <v>26446</v>
      </c>
      <c r="B6960" s="71" t="s">
        <v>187</v>
      </c>
      <c r="C6960" s="71" t="s">
        <v>16846</v>
      </c>
    </row>
    <row r="6961">
      <c r="A6961" s="130" t="s">
        <v>26448</v>
      </c>
      <c r="B6961" s="71" t="s">
        <v>17112</v>
      </c>
      <c r="C6961" s="71" t="s">
        <v>17787</v>
      </c>
    </row>
    <row r="6962">
      <c r="A6962" s="130" t="s">
        <v>26450</v>
      </c>
      <c r="B6962" s="71" t="s">
        <v>17112</v>
      </c>
      <c r="C6962" s="71" t="s">
        <v>17111</v>
      </c>
    </row>
    <row r="6963">
      <c r="A6963" s="130" t="s">
        <v>26452</v>
      </c>
      <c r="B6963" s="71" t="s">
        <v>187</v>
      </c>
      <c r="C6963" s="71" t="s">
        <v>16858</v>
      </c>
    </row>
    <row r="6964">
      <c r="A6964" s="130" t="s">
        <v>26454</v>
      </c>
      <c r="B6964" s="71" t="s">
        <v>187</v>
      </c>
      <c r="C6964" s="71" t="s">
        <v>16846</v>
      </c>
    </row>
    <row r="6965">
      <c r="A6965" s="234" t="s">
        <v>26456</v>
      </c>
      <c r="B6965" s="71" t="s">
        <v>17202</v>
      </c>
      <c r="C6965" s="71" t="s">
        <v>16838</v>
      </c>
    </row>
    <row r="6966">
      <c r="A6966" s="234" t="s">
        <v>26456</v>
      </c>
      <c r="B6966" s="71" t="s">
        <v>16838</v>
      </c>
      <c r="C6966" s="71" t="s">
        <v>17202</v>
      </c>
    </row>
    <row r="6967">
      <c r="A6967" s="234" t="s">
        <v>26458</v>
      </c>
      <c r="B6967" s="71" t="s">
        <v>17043</v>
      </c>
      <c r="C6967" s="71" t="s">
        <v>169</v>
      </c>
    </row>
    <row r="6968">
      <c r="A6968" s="234" t="s">
        <v>26458</v>
      </c>
      <c r="B6968" s="71" t="s">
        <v>169</v>
      </c>
      <c r="C6968" s="71" t="s">
        <v>17043</v>
      </c>
    </row>
    <row r="6969">
      <c r="A6969" s="234" t="s">
        <v>26460</v>
      </c>
      <c r="B6969" s="71" t="s">
        <v>16885</v>
      </c>
      <c r="C6969" s="71" t="s">
        <v>16886</v>
      </c>
    </row>
    <row r="6970">
      <c r="A6970" s="234" t="s">
        <v>26460</v>
      </c>
      <c r="B6970" s="71" t="s">
        <v>16886</v>
      </c>
      <c r="C6970" s="130" t="s">
        <v>16885</v>
      </c>
    </row>
    <row r="6971">
      <c r="A6971" s="234" t="s">
        <v>26462</v>
      </c>
      <c r="B6971" s="71" t="s">
        <v>16885</v>
      </c>
      <c r="C6971" s="71" t="s">
        <v>16886</v>
      </c>
    </row>
    <row r="6972">
      <c r="A6972" s="234" t="s">
        <v>26462</v>
      </c>
      <c r="B6972" s="71" t="s">
        <v>16886</v>
      </c>
      <c r="C6972" s="130" t="s">
        <v>16885</v>
      </c>
    </row>
    <row r="6973">
      <c r="A6973" s="130" t="s">
        <v>26464</v>
      </c>
      <c r="B6973" s="71" t="s">
        <v>17112</v>
      </c>
      <c r="C6973" s="71" t="s">
        <v>17111</v>
      </c>
    </row>
    <row r="6974">
      <c r="A6974" s="130" t="s">
        <v>26466</v>
      </c>
      <c r="B6974" s="71" t="s">
        <v>169</v>
      </c>
      <c r="C6974" s="71" t="s">
        <v>18862</v>
      </c>
    </row>
    <row r="6975">
      <c r="A6975" s="130" t="s">
        <v>26468</v>
      </c>
      <c r="B6975" s="71" t="s">
        <v>16838</v>
      </c>
      <c r="C6975" s="71" t="s">
        <v>17019</v>
      </c>
    </row>
    <row r="6976">
      <c r="A6976" s="234" t="s">
        <v>26470</v>
      </c>
      <c r="B6976" s="71" t="s">
        <v>175</v>
      </c>
      <c r="C6976" s="71" t="s">
        <v>16942</v>
      </c>
    </row>
    <row r="6977">
      <c r="A6977" s="234" t="s">
        <v>26470</v>
      </c>
      <c r="B6977" s="71" t="s">
        <v>16942</v>
      </c>
      <c r="C6977" s="130" t="s">
        <v>175</v>
      </c>
    </row>
    <row r="6978">
      <c r="A6978" s="234" t="s">
        <v>26472</v>
      </c>
      <c r="B6978" s="71" t="s">
        <v>175</v>
      </c>
      <c r="C6978" s="71" t="s">
        <v>17233</v>
      </c>
    </row>
    <row r="6979">
      <c r="A6979" s="234" t="s">
        <v>26472</v>
      </c>
      <c r="B6979" s="71" t="s">
        <v>17233</v>
      </c>
      <c r="C6979" s="71" t="s">
        <v>175</v>
      </c>
    </row>
    <row r="6980">
      <c r="A6980" s="130" t="s">
        <v>26474</v>
      </c>
      <c r="B6980" s="71" t="s">
        <v>16910</v>
      </c>
      <c r="C6980" s="71" t="s">
        <v>17119</v>
      </c>
    </row>
    <row r="6981">
      <c r="A6981" s="130" t="s">
        <v>26476</v>
      </c>
      <c r="B6981" s="71" t="s">
        <v>175</v>
      </c>
      <c r="C6981" s="71" t="s">
        <v>16942</v>
      </c>
    </row>
    <row r="6982">
      <c r="A6982" s="234" t="s">
        <v>26478</v>
      </c>
      <c r="B6982" s="71" t="s">
        <v>16838</v>
      </c>
      <c r="C6982" s="71" t="s">
        <v>17002</v>
      </c>
    </row>
    <row r="6983">
      <c r="A6983" s="234" t="s">
        <v>26478</v>
      </c>
      <c r="B6983" s="71" t="s">
        <v>17002</v>
      </c>
      <c r="C6983" s="130" t="s">
        <v>16838</v>
      </c>
    </row>
    <row r="6984">
      <c r="A6984" s="234" t="s">
        <v>26480</v>
      </c>
      <c r="B6984" s="71" t="s">
        <v>169</v>
      </c>
      <c r="C6984" s="71" t="s">
        <v>16899</v>
      </c>
    </row>
    <row r="6985">
      <c r="A6985" s="234" t="s">
        <v>26480</v>
      </c>
      <c r="B6985" s="71" t="s">
        <v>16899</v>
      </c>
      <c r="C6985" s="71" t="s">
        <v>169</v>
      </c>
    </row>
    <row r="6986">
      <c r="A6986" s="130" t="s">
        <v>26482</v>
      </c>
      <c r="B6986" s="71" t="s">
        <v>187</v>
      </c>
      <c r="C6986" s="71" t="s">
        <v>16846</v>
      </c>
    </row>
    <row r="6987">
      <c r="A6987" s="130" t="s">
        <v>26484</v>
      </c>
      <c r="B6987" s="71" t="s">
        <v>16838</v>
      </c>
      <c r="C6987" s="71" t="s">
        <v>17016</v>
      </c>
    </row>
    <row r="6988">
      <c r="A6988" s="130" t="s">
        <v>26486</v>
      </c>
      <c r="B6988" s="71" t="s">
        <v>187</v>
      </c>
      <c r="C6988" s="71" t="s">
        <v>17122</v>
      </c>
    </row>
    <row r="6989">
      <c r="A6989" s="130" t="s">
        <v>26488</v>
      </c>
      <c r="B6989" s="71" t="s">
        <v>187</v>
      </c>
      <c r="C6989" s="71" t="s">
        <v>16846</v>
      </c>
    </row>
    <row r="6990">
      <c r="A6990" s="130" t="s">
        <v>26490</v>
      </c>
      <c r="B6990" s="71" t="s">
        <v>16838</v>
      </c>
      <c r="C6990" s="71" t="s">
        <v>18679</v>
      </c>
    </row>
    <row r="6991">
      <c r="A6991" s="130" t="s">
        <v>26492</v>
      </c>
      <c r="B6991" s="71" t="s">
        <v>187</v>
      </c>
      <c r="C6991" s="71" t="s">
        <v>16846</v>
      </c>
    </row>
    <row r="6992">
      <c r="A6992" s="130" t="s">
        <v>26494</v>
      </c>
      <c r="B6992" s="71" t="s">
        <v>16582</v>
      </c>
      <c r="C6992" s="71" t="s">
        <v>16817</v>
      </c>
    </row>
    <row r="6993">
      <c r="A6993" s="130" t="s">
        <v>26496</v>
      </c>
      <c r="B6993" s="71" t="s">
        <v>169</v>
      </c>
      <c r="C6993" s="71" t="s">
        <v>17827</v>
      </c>
    </row>
    <row r="6994">
      <c r="A6994" s="130" t="s">
        <v>26498</v>
      </c>
      <c r="B6994" s="71" t="s">
        <v>175</v>
      </c>
      <c r="C6994" s="71" t="s">
        <v>17452</v>
      </c>
    </row>
    <row r="6995">
      <c r="A6995" s="130" t="s">
        <v>26500</v>
      </c>
      <c r="B6995" s="71" t="s">
        <v>16582</v>
      </c>
      <c r="C6995" s="71" t="s">
        <v>16817</v>
      </c>
    </row>
    <row r="6996">
      <c r="A6996" s="130" t="s">
        <v>26502</v>
      </c>
      <c r="B6996" s="71" t="s">
        <v>187</v>
      </c>
      <c r="C6996" s="71" t="s">
        <v>16846</v>
      </c>
    </row>
    <row r="6997">
      <c r="A6997" s="130" t="s">
        <v>26504</v>
      </c>
      <c r="B6997" s="71" t="s">
        <v>16838</v>
      </c>
      <c r="C6997" s="71" t="s">
        <v>17127</v>
      </c>
    </row>
    <row r="6998">
      <c r="A6998" s="130" t="s">
        <v>26506</v>
      </c>
      <c r="B6998" s="71" t="s">
        <v>16838</v>
      </c>
      <c r="C6998" s="71" t="s">
        <v>16867</v>
      </c>
    </row>
    <row r="6999">
      <c r="A6999" s="130" t="s">
        <v>26508</v>
      </c>
      <c r="B6999" s="71" t="s">
        <v>16919</v>
      </c>
      <c r="C6999" s="71" t="s">
        <v>16957</v>
      </c>
    </row>
    <row r="7000">
      <c r="A7000" s="234" t="s">
        <v>26510</v>
      </c>
      <c r="B7000" s="71" t="s">
        <v>17629</v>
      </c>
      <c r="C7000" s="71" t="s">
        <v>18718</v>
      </c>
    </row>
    <row r="7001">
      <c r="A7001" s="234" t="s">
        <v>26510</v>
      </c>
      <c r="B7001" s="71" t="s">
        <v>18718</v>
      </c>
      <c r="C7001" s="130" t="s">
        <v>17629</v>
      </c>
    </row>
    <row r="7002">
      <c r="A7002" s="234" t="s">
        <v>26512</v>
      </c>
      <c r="B7002" s="71" t="s">
        <v>187</v>
      </c>
      <c r="C7002" s="71" t="s">
        <v>17509</v>
      </c>
    </row>
    <row r="7003">
      <c r="A7003" s="234" t="s">
        <v>26512</v>
      </c>
      <c r="B7003" s="71" t="s">
        <v>17509</v>
      </c>
      <c r="C7003" s="130" t="s">
        <v>187</v>
      </c>
    </row>
    <row r="7004">
      <c r="A7004" s="130" t="s">
        <v>26514</v>
      </c>
      <c r="B7004" s="71" t="s">
        <v>187</v>
      </c>
      <c r="C7004" s="71" t="s">
        <v>16846</v>
      </c>
    </row>
    <row r="7005">
      <c r="A7005" s="130" t="s">
        <v>26516</v>
      </c>
      <c r="B7005" s="71" t="s">
        <v>187</v>
      </c>
      <c r="C7005" s="71" t="s">
        <v>16851</v>
      </c>
    </row>
    <row r="7006">
      <c r="A7006" s="130" t="s">
        <v>26518</v>
      </c>
      <c r="B7006" s="71" t="s">
        <v>187</v>
      </c>
      <c r="C7006" s="71" t="s">
        <v>16858</v>
      </c>
    </row>
    <row r="7007">
      <c r="A7007" s="130" t="s">
        <v>26520</v>
      </c>
      <c r="B7007" s="71" t="s">
        <v>16926</v>
      </c>
      <c r="C7007" s="71" t="s">
        <v>16957</v>
      </c>
    </row>
    <row r="7008">
      <c r="A7008" s="234" t="s">
        <v>26522</v>
      </c>
      <c r="B7008" s="71"/>
      <c r="C7008" s="71"/>
    </row>
    <row r="7009">
      <c r="A7009" s="234" t="s">
        <v>26522</v>
      </c>
      <c r="B7009" s="71"/>
      <c r="C7009" s="71"/>
    </row>
    <row r="7010">
      <c r="A7010" s="130" t="s">
        <v>26524</v>
      </c>
      <c r="B7010" s="71" t="s">
        <v>175</v>
      </c>
      <c r="C7010" s="71" t="s">
        <v>17391</v>
      </c>
    </row>
    <row r="7011">
      <c r="A7011" s="130" t="s">
        <v>26526</v>
      </c>
      <c r="B7011" s="71" t="s">
        <v>16582</v>
      </c>
      <c r="C7011" s="71" t="s">
        <v>16930</v>
      </c>
    </row>
    <row r="7012">
      <c r="A7012" s="130" t="s">
        <v>26528</v>
      </c>
      <c r="B7012" s="71" t="s">
        <v>16582</v>
      </c>
      <c r="C7012" s="71" t="s">
        <v>16828</v>
      </c>
    </row>
    <row r="7013">
      <c r="A7013" s="130" t="s">
        <v>26530</v>
      </c>
      <c r="B7013" s="71" t="s">
        <v>187</v>
      </c>
      <c r="C7013" s="71" t="s">
        <v>16846</v>
      </c>
    </row>
    <row r="7014">
      <c r="A7014" s="130" t="s">
        <v>26532</v>
      </c>
      <c r="B7014" s="71" t="s">
        <v>16582</v>
      </c>
      <c r="C7014" s="71" t="s">
        <v>16817</v>
      </c>
    </row>
    <row r="7015">
      <c r="A7015" s="234" t="s">
        <v>26534</v>
      </c>
      <c r="B7015" s="71" t="s">
        <v>17112</v>
      </c>
      <c r="C7015" s="71" t="s">
        <v>17111</v>
      </c>
    </row>
    <row r="7016">
      <c r="A7016" s="234" t="s">
        <v>26534</v>
      </c>
      <c r="B7016" s="71" t="s">
        <v>17111</v>
      </c>
      <c r="C7016" s="130" t="s">
        <v>17112</v>
      </c>
    </row>
    <row r="7017">
      <c r="A7017" s="130" t="s">
        <v>26536</v>
      </c>
      <c r="B7017" s="71" t="s">
        <v>169</v>
      </c>
      <c r="C7017" s="71" t="s">
        <v>20534</v>
      </c>
    </row>
    <row r="7018">
      <c r="A7018" s="130" t="s">
        <v>26538</v>
      </c>
      <c r="B7018" s="71" t="s">
        <v>16838</v>
      </c>
      <c r="C7018" s="71" t="s">
        <v>17202</v>
      </c>
    </row>
    <row r="7019">
      <c r="A7019" s="130" t="s">
        <v>26540</v>
      </c>
      <c r="B7019" s="71" t="s">
        <v>187</v>
      </c>
      <c r="C7019" s="71" t="s">
        <v>16846</v>
      </c>
    </row>
    <row r="7020">
      <c r="A7020" s="130" t="s">
        <v>26542</v>
      </c>
      <c r="B7020" s="71" t="s">
        <v>175</v>
      </c>
      <c r="C7020" s="71" t="s">
        <v>16824</v>
      </c>
    </row>
    <row r="7021">
      <c r="A7021" s="130" t="s">
        <v>26544</v>
      </c>
      <c r="B7021" s="71" t="s">
        <v>187</v>
      </c>
      <c r="C7021" s="71" t="s">
        <v>16846</v>
      </c>
    </row>
    <row r="7022">
      <c r="A7022" s="130" t="s">
        <v>26546</v>
      </c>
      <c r="B7022" s="71" t="s">
        <v>187</v>
      </c>
      <c r="C7022" s="71" t="s">
        <v>16858</v>
      </c>
    </row>
    <row r="7023">
      <c r="A7023" s="130" t="s">
        <v>26548</v>
      </c>
      <c r="B7023" s="71" t="s">
        <v>16582</v>
      </c>
      <c r="C7023" s="71" t="s">
        <v>16817</v>
      </c>
    </row>
    <row r="7024">
      <c r="A7024" s="130" t="s">
        <v>26550</v>
      </c>
      <c r="B7024" s="71" t="s">
        <v>16838</v>
      </c>
      <c r="C7024" s="71" t="s">
        <v>16837</v>
      </c>
    </row>
    <row r="7025">
      <c r="A7025" s="130" t="s">
        <v>26552</v>
      </c>
      <c r="B7025" s="71" t="s">
        <v>187</v>
      </c>
      <c r="C7025" s="71" t="s">
        <v>17122</v>
      </c>
    </row>
    <row r="7026">
      <c r="A7026" s="234" t="s">
        <v>26554</v>
      </c>
      <c r="B7026" s="71"/>
      <c r="C7026" s="71"/>
    </row>
    <row r="7027">
      <c r="A7027" s="234" t="s">
        <v>26554</v>
      </c>
      <c r="B7027" s="71"/>
      <c r="C7027" s="71"/>
    </row>
    <row r="7028">
      <c r="A7028" s="234" t="s">
        <v>26556</v>
      </c>
      <c r="B7028" s="71" t="s">
        <v>18633</v>
      </c>
      <c r="C7028" s="71" t="s">
        <v>187</v>
      </c>
    </row>
    <row r="7029">
      <c r="A7029" s="234" t="s">
        <v>26556</v>
      </c>
      <c r="B7029" s="71" t="s">
        <v>187</v>
      </c>
      <c r="C7029" s="71" t="s">
        <v>18633</v>
      </c>
    </row>
    <row r="7030">
      <c r="A7030" s="130" t="s">
        <v>26558</v>
      </c>
      <c r="B7030" s="71" t="s">
        <v>175</v>
      </c>
      <c r="C7030" s="71" t="s">
        <v>16842</v>
      </c>
    </row>
    <row r="7031">
      <c r="A7031" s="130" t="s">
        <v>26560</v>
      </c>
      <c r="B7031" s="71" t="s">
        <v>169</v>
      </c>
      <c r="C7031" s="71" t="s">
        <v>16899</v>
      </c>
    </row>
    <row r="7032">
      <c r="A7032" s="130" t="s">
        <v>26562</v>
      </c>
      <c r="B7032" s="71" t="s">
        <v>175</v>
      </c>
      <c r="C7032" s="71" t="s">
        <v>17394</v>
      </c>
    </row>
    <row r="7033">
      <c r="A7033" s="130" t="s">
        <v>26564</v>
      </c>
      <c r="B7033" s="71" t="s">
        <v>187</v>
      </c>
      <c r="C7033" s="71" t="s">
        <v>16858</v>
      </c>
    </row>
    <row r="7034">
      <c r="A7034" s="130" t="s">
        <v>26566</v>
      </c>
      <c r="B7034" s="71" t="s">
        <v>16838</v>
      </c>
      <c r="C7034" s="71" t="s">
        <v>16837</v>
      </c>
    </row>
    <row r="7035">
      <c r="A7035" s="130" t="s">
        <v>26568</v>
      </c>
      <c r="B7035" s="71" t="s">
        <v>16582</v>
      </c>
      <c r="C7035" s="71" t="s">
        <v>16828</v>
      </c>
    </row>
    <row r="7036">
      <c r="A7036" s="130" t="s">
        <v>26570</v>
      </c>
      <c r="B7036" s="71" t="s">
        <v>187</v>
      </c>
      <c r="C7036" s="71" t="s">
        <v>17122</v>
      </c>
    </row>
    <row r="7037">
      <c r="A7037" s="130" t="s">
        <v>26572</v>
      </c>
      <c r="B7037" s="71" t="s">
        <v>187</v>
      </c>
      <c r="C7037" s="71" t="s">
        <v>16851</v>
      </c>
    </row>
    <row r="7038">
      <c r="A7038" s="130" t="s">
        <v>26574</v>
      </c>
      <c r="B7038" s="71" t="s">
        <v>187</v>
      </c>
      <c r="C7038" s="71" t="s">
        <v>16846</v>
      </c>
    </row>
    <row r="7039">
      <c r="A7039" s="130" t="s">
        <v>26576</v>
      </c>
      <c r="B7039" s="71" t="s">
        <v>187</v>
      </c>
      <c r="C7039" s="71" t="s">
        <v>16846</v>
      </c>
    </row>
    <row r="7040">
      <c r="A7040" s="130" t="s">
        <v>26578</v>
      </c>
      <c r="B7040" s="71" t="s">
        <v>17629</v>
      </c>
      <c r="C7040" s="71" t="s">
        <v>16899</v>
      </c>
    </row>
    <row r="7041">
      <c r="A7041" s="130" t="s">
        <v>26580</v>
      </c>
      <c r="B7041" s="71" t="s">
        <v>187</v>
      </c>
      <c r="C7041" s="71" t="s">
        <v>16846</v>
      </c>
    </row>
    <row r="7042">
      <c r="A7042" s="130" t="s">
        <v>26582</v>
      </c>
      <c r="B7042" s="71" t="s">
        <v>16838</v>
      </c>
      <c r="C7042" s="71" t="s">
        <v>18219</v>
      </c>
    </row>
    <row r="7043">
      <c r="A7043" s="130" t="s">
        <v>26584</v>
      </c>
      <c r="B7043" s="71" t="s">
        <v>187</v>
      </c>
      <c r="C7043" s="71" t="s">
        <v>16846</v>
      </c>
    </row>
    <row r="7044">
      <c r="A7044" s="130" t="s">
        <v>26586</v>
      </c>
      <c r="B7044" s="71" t="s">
        <v>187</v>
      </c>
      <c r="C7044" s="71" t="s">
        <v>16992</v>
      </c>
    </row>
    <row r="7045">
      <c r="A7045" s="234" t="s">
        <v>26588</v>
      </c>
      <c r="B7045" s="71" t="s">
        <v>16582</v>
      </c>
      <c r="C7045" s="71" t="s">
        <v>16899</v>
      </c>
    </row>
    <row r="7046">
      <c r="A7046" s="234" t="s">
        <v>26588</v>
      </c>
      <c r="B7046" s="71" t="s">
        <v>16899</v>
      </c>
      <c r="C7046" s="130" t="s">
        <v>16582</v>
      </c>
    </row>
    <row r="7047">
      <c r="A7047" s="130" t="s">
        <v>26590</v>
      </c>
      <c r="B7047" s="71" t="s">
        <v>169</v>
      </c>
      <c r="C7047" s="71" t="s">
        <v>17827</v>
      </c>
    </row>
    <row r="7048">
      <c r="A7048" s="130" t="s">
        <v>26592</v>
      </c>
      <c r="B7048" s="71" t="s">
        <v>187</v>
      </c>
      <c r="C7048" s="71" t="s">
        <v>16846</v>
      </c>
    </row>
    <row r="7049">
      <c r="A7049" s="130" t="s">
        <v>26594</v>
      </c>
      <c r="B7049" s="71" t="s">
        <v>17112</v>
      </c>
      <c r="C7049" s="71" t="s">
        <v>17111</v>
      </c>
    </row>
    <row r="7050">
      <c r="A7050" s="130" t="s">
        <v>26596</v>
      </c>
      <c r="B7050" s="71" t="s">
        <v>169</v>
      </c>
      <c r="C7050" s="71" t="s">
        <v>16899</v>
      </c>
    </row>
    <row r="7051">
      <c r="A7051" s="130" t="s">
        <v>26598</v>
      </c>
      <c r="B7051" s="71" t="s">
        <v>16910</v>
      </c>
      <c r="C7051" s="71" t="s">
        <v>17119</v>
      </c>
    </row>
    <row r="7052">
      <c r="A7052" s="234" t="s">
        <v>26600</v>
      </c>
      <c r="B7052" s="71" t="s">
        <v>187</v>
      </c>
      <c r="C7052" s="71" t="s">
        <v>16846</v>
      </c>
    </row>
    <row r="7053">
      <c r="A7053" s="234" t="s">
        <v>26600</v>
      </c>
      <c r="B7053" s="71" t="s">
        <v>16846</v>
      </c>
      <c r="C7053" s="130" t="s">
        <v>187</v>
      </c>
    </row>
    <row r="7054">
      <c r="A7054" s="130" t="s">
        <v>26602</v>
      </c>
      <c r="B7054" s="71" t="s">
        <v>187</v>
      </c>
      <c r="C7054" s="71" t="s">
        <v>16846</v>
      </c>
    </row>
    <row r="7055">
      <c r="A7055" s="130" t="s">
        <v>26604</v>
      </c>
      <c r="B7055" s="71" t="s">
        <v>16582</v>
      </c>
      <c r="C7055" s="71" t="s">
        <v>16817</v>
      </c>
    </row>
    <row r="7056">
      <c r="A7056" s="130" t="s">
        <v>26606</v>
      </c>
      <c r="B7056" s="71" t="s">
        <v>187</v>
      </c>
      <c r="C7056" s="71" t="s">
        <v>16969</v>
      </c>
    </row>
    <row r="7057">
      <c r="A7057" s="130" t="s">
        <v>26608</v>
      </c>
      <c r="B7057" s="71" t="s">
        <v>16838</v>
      </c>
      <c r="C7057" s="71" t="s">
        <v>17019</v>
      </c>
    </row>
    <row r="7058">
      <c r="A7058" s="130" t="s">
        <v>26610</v>
      </c>
      <c r="B7058" s="71"/>
      <c r="C7058" s="71"/>
    </row>
    <row r="7059">
      <c r="A7059" s="130" t="s">
        <v>26612</v>
      </c>
      <c r="B7059" s="71" t="s">
        <v>169</v>
      </c>
      <c r="C7059" s="71" t="s">
        <v>110</v>
      </c>
    </row>
    <row r="7060">
      <c r="A7060" s="130" t="s">
        <v>26614</v>
      </c>
      <c r="B7060" s="71" t="s">
        <v>187</v>
      </c>
      <c r="C7060" s="71" t="s">
        <v>16846</v>
      </c>
    </row>
    <row r="7061">
      <c r="A7061" s="130" t="s">
        <v>26616</v>
      </c>
      <c r="B7061" s="71" t="s">
        <v>16838</v>
      </c>
      <c r="C7061" s="71" t="s">
        <v>16867</v>
      </c>
    </row>
    <row r="7062">
      <c r="A7062" s="130" t="s">
        <v>26618</v>
      </c>
      <c r="B7062" s="71" t="s">
        <v>169</v>
      </c>
      <c r="C7062" s="71" t="s">
        <v>17738</v>
      </c>
    </row>
    <row r="7063">
      <c r="A7063" s="130" t="s">
        <v>26620</v>
      </c>
      <c r="B7063" s="71" t="s">
        <v>16838</v>
      </c>
      <c r="C7063" s="71" t="s">
        <v>16867</v>
      </c>
    </row>
    <row r="7064">
      <c r="A7064" s="130" t="s">
        <v>26622</v>
      </c>
      <c r="B7064" s="71" t="s">
        <v>187</v>
      </c>
      <c r="C7064" s="71" t="s">
        <v>16969</v>
      </c>
    </row>
    <row r="7065">
      <c r="A7065" s="130" t="s">
        <v>26624</v>
      </c>
      <c r="B7065" s="71" t="s">
        <v>187</v>
      </c>
      <c r="C7065" s="71" t="s">
        <v>16846</v>
      </c>
    </row>
    <row r="7066">
      <c r="A7066" s="130" t="s">
        <v>26626</v>
      </c>
      <c r="B7066" s="71" t="s">
        <v>16926</v>
      </c>
      <c r="C7066" s="71" t="s">
        <v>16957</v>
      </c>
    </row>
    <row r="7067">
      <c r="A7067" s="234" t="s">
        <v>26628</v>
      </c>
      <c r="B7067" s="71" t="s">
        <v>16582</v>
      </c>
      <c r="C7067" s="233" t="s">
        <v>17342</v>
      </c>
    </row>
    <row r="7068">
      <c r="A7068" s="234" t="s">
        <v>26628</v>
      </c>
      <c r="B7068" s="71" t="s">
        <v>17342</v>
      </c>
      <c r="C7068" s="130" t="s">
        <v>16582</v>
      </c>
    </row>
    <row r="7069">
      <c r="A7069" s="130" t="s">
        <v>26630</v>
      </c>
      <c r="B7069" s="71" t="s">
        <v>187</v>
      </c>
      <c r="C7069" s="71" t="s">
        <v>16858</v>
      </c>
    </row>
    <row r="7070">
      <c r="A7070" s="130" t="s">
        <v>26632</v>
      </c>
      <c r="B7070" s="71" t="s">
        <v>187</v>
      </c>
      <c r="C7070" s="71" t="s">
        <v>16858</v>
      </c>
    </row>
    <row r="7071">
      <c r="A7071" s="130" t="s">
        <v>26634</v>
      </c>
      <c r="B7071" s="71" t="s">
        <v>169</v>
      </c>
      <c r="C7071" s="71" t="s">
        <v>17532</v>
      </c>
    </row>
    <row r="7072">
      <c r="A7072" s="130" t="s">
        <v>26636</v>
      </c>
      <c r="B7072" s="71" t="s">
        <v>16582</v>
      </c>
      <c r="C7072" s="71" t="s">
        <v>16828</v>
      </c>
    </row>
    <row r="7073">
      <c r="A7073" s="130" t="s">
        <v>26638</v>
      </c>
      <c r="B7073" s="71" t="s">
        <v>187</v>
      </c>
      <c r="C7073" s="71" t="s">
        <v>16851</v>
      </c>
    </row>
    <row r="7074">
      <c r="A7074" s="130" t="s">
        <v>26640</v>
      </c>
      <c r="B7074" s="71" t="s">
        <v>175</v>
      </c>
      <c r="C7074" s="71" t="s">
        <v>16824</v>
      </c>
    </row>
    <row r="7075">
      <c r="A7075" s="234" t="s">
        <v>26642</v>
      </c>
      <c r="B7075" s="71" t="s">
        <v>17112</v>
      </c>
      <c r="C7075" s="71" t="s">
        <v>17218</v>
      </c>
    </row>
    <row r="7076">
      <c r="A7076" s="234" t="s">
        <v>26642</v>
      </c>
      <c r="B7076" s="71" t="s">
        <v>17218</v>
      </c>
      <c r="C7076" s="130" t="s">
        <v>17112</v>
      </c>
    </row>
    <row r="7077">
      <c r="A7077" s="234" t="s">
        <v>26644</v>
      </c>
      <c r="B7077" s="71" t="s">
        <v>17112</v>
      </c>
      <c r="C7077" s="71" t="s">
        <v>17111</v>
      </c>
    </row>
    <row r="7078">
      <c r="A7078" s="234" t="s">
        <v>26644</v>
      </c>
      <c r="B7078" s="71" t="s">
        <v>17111</v>
      </c>
      <c r="C7078" s="130" t="s">
        <v>17112</v>
      </c>
    </row>
    <row r="7079">
      <c r="A7079" s="130" t="s">
        <v>26646</v>
      </c>
      <c r="B7079" s="71" t="s">
        <v>187</v>
      </c>
      <c r="C7079" s="71" t="s">
        <v>16858</v>
      </c>
    </row>
    <row r="7080">
      <c r="A7080" s="130" t="s">
        <v>26648</v>
      </c>
      <c r="B7080" s="71" t="s">
        <v>175</v>
      </c>
      <c r="C7080" s="71" t="s">
        <v>17391</v>
      </c>
    </row>
    <row r="7081">
      <c r="A7081" s="234" t="s">
        <v>26650</v>
      </c>
      <c r="B7081" s="71"/>
      <c r="C7081" s="71"/>
    </row>
    <row r="7082">
      <c r="A7082" s="234" t="s">
        <v>26650</v>
      </c>
      <c r="B7082" s="71"/>
      <c r="C7082" s="71"/>
    </row>
    <row r="7083">
      <c r="A7083" s="130" t="s">
        <v>26652</v>
      </c>
      <c r="B7083" s="71" t="s">
        <v>16838</v>
      </c>
      <c r="C7083" s="71" t="s">
        <v>17016</v>
      </c>
    </row>
    <row r="7084">
      <c r="A7084" s="130" t="s">
        <v>26654</v>
      </c>
      <c r="B7084" s="71" t="s">
        <v>187</v>
      </c>
      <c r="C7084" s="71" t="s">
        <v>16846</v>
      </c>
    </row>
    <row r="7085">
      <c r="A7085" s="130" t="s">
        <v>26656</v>
      </c>
      <c r="B7085" s="71" t="s">
        <v>175</v>
      </c>
      <c r="C7085" s="71" t="s">
        <v>18723</v>
      </c>
    </row>
    <row r="7086">
      <c r="A7086" s="130" t="s">
        <v>26658</v>
      </c>
      <c r="B7086" s="71" t="s">
        <v>16838</v>
      </c>
      <c r="C7086" s="71" t="s">
        <v>17104</v>
      </c>
    </row>
    <row r="7087">
      <c r="A7087" s="234" t="s">
        <v>26660</v>
      </c>
      <c r="B7087" s="71" t="s">
        <v>19579</v>
      </c>
      <c r="C7087" s="71" t="s">
        <v>16838</v>
      </c>
    </row>
    <row r="7088">
      <c r="A7088" s="234" t="s">
        <v>26660</v>
      </c>
      <c r="B7088" s="71" t="s">
        <v>16838</v>
      </c>
      <c r="C7088" s="71" t="s">
        <v>19579</v>
      </c>
    </row>
    <row r="7089">
      <c r="A7089" s="130" t="s">
        <v>26662</v>
      </c>
      <c r="B7089" s="71" t="s">
        <v>16582</v>
      </c>
      <c r="C7089" s="71" t="s">
        <v>17339</v>
      </c>
    </row>
    <row r="7090">
      <c r="A7090" s="234" t="s">
        <v>26664</v>
      </c>
      <c r="B7090" s="71" t="s">
        <v>17112</v>
      </c>
      <c r="C7090" s="71" t="s">
        <v>16838</v>
      </c>
    </row>
    <row r="7091">
      <c r="A7091" s="234" t="s">
        <v>26664</v>
      </c>
      <c r="B7091" s="71" t="s">
        <v>16838</v>
      </c>
      <c r="C7091" s="71" t="s">
        <v>17112</v>
      </c>
    </row>
    <row r="7092">
      <c r="A7092" s="130" t="s">
        <v>26666</v>
      </c>
      <c r="B7092" s="71" t="s">
        <v>17112</v>
      </c>
      <c r="C7092" s="71" t="s">
        <v>17218</v>
      </c>
    </row>
    <row r="7093">
      <c r="A7093" s="130" t="s">
        <v>26668</v>
      </c>
      <c r="B7093" s="71" t="s">
        <v>16582</v>
      </c>
      <c r="C7093" s="71" t="s">
        <v>17183</v>
      </c>
    </row>
    <row r="7094">
      <c r="A7094" s="130" t="s">
        <v>26670</v>
      </c>
      <c r="B7094" s="71" t="s">
        <v>175</v>
      </c>
      <c r="C7094" s="71" t="s">
        <v>20344</v>
      </c>
    </row>
    <row r="7095">
      <c r="A7095" s="130" t="s">
        <v>26672</v>
      </c>
      <c r="B7095" s="71" t="s">
        <v>16582</v>
      </c>
      <c r="C7095" s="71" t="s">
        <v>16930</v>
      </c>
    </row>
    <row r="7096">
      <c r="A7096" s="130" t="s">
        <v>26674</v>
      </c>
      <c r="B7096" s="71" t="s">
        <v>16582</v>
      </c>
      <c r="C7096" s="71" t="s">
        <v>17183</v>
      </c>
    </row>
    <row r="7097">
      <c r="A7097" s="130" t="s">
        <v>26676</v>
      </c>
      <c r="B7097" s="71" t="s">
        <v>187</v>
      </c>
      <c r="C7097" s="71" t="s">
        <v>16992</v>
      </c>
    </row>
    <row r="7098">
      <c r="A7098" s="234" t="s">
        <v>26678</v>
      </c>
      <c r="B7098" s="71" t="s">
        <v>187</v>
      </c>
      <c r="C7098" s="71" t="s">
        <v>19444</v>
      </c>
    </row>
    <row r="7099">
      <c r="A7099" s="234" t="s">
        <v>26678</v>
      </c>
      <c r="B7099" s="71" t="s">
        <v>19444</v>
      </c>
      <c r="C7099" s="130" t="s">
        <v>187</v>
      </c>
    </row>
    <row r="7100">
      <c r="A7100" s="130" t="s">
        <v>26680</v>
      </c>
      <c r="B7100" s="71" t="s">
        <v>175</v>
      </c>
      <c r="C7100" s="71" t="s">
        <v>17233</v>
      </c>
    </row>
    <row r="7101">
      <c r="A7101" s="130" t="s">
        <v>26682</v>
      </c>
      <c r="B7101" s="71" t="s">
        <v>169</v>
      </c>
      <c r="C7101" s="71" t="s">
        <v>17009</v>
      </c>
    </row>
    <row r="7102">
      <c r="A7102" s="234" t="s">
        <v>26684</v>
      </c>
      <c r="B7102" s="71" t="s">
        <v>187</v>
      </c>
      <c r="C7102" s="71" t="s">
        <v>17122</v>
      </c>
    </row>
    <row r="7103">
      <c r="A7103" s="234" t="s">
        <v>26684</v>
      </c>
      <c r="B7103" s="71" t="s">
        <v>17122</v>
      </c>
      <c r="C7103" s="71" t="s">
        <v>187</v>
      </c>
    </row>
    <row r="7104">
      <c r="A7104" s="130" t="s">
        <v>26686</v>
      </c>
      <c r="B7104" s="71" t="s">
        <v>16838</v>
      </c>
      <c r="C7104" s="71" t="s">
        <v>17019</v>
      </c>
    </row>
    <row r="7105">
      <c r="A7105" s="130" t="s">
        <v>26688</v>
      </c>
      <c r="B7105" s="71" t="s">
        <v>175</v>
      </c>
      <c r="C7105" s="71" t="s">
        <v>17812</v>
      </c>
    </row>
    <row r="7106">
      <c r="A7106" s="130" t="s">
        <v>26690</v>
      </c>
      <c r="B7106" s="71" t="s">
        <v>158</v>
      </c>
      <c r="C7106" s="71" t="s">
        <v>16864</v>
      </c>
    </row>
    <row r="7107">
      <c r="A7107" s="130" t="s">
        <v>26692</v>
      </c>
      <c r="B7107" s="71" t="s">
        <v>187</v>
      </c>
      <c r="C7107" s="71" t="s">
        <v>17509</v>
      </c>
    </row>
    <row r="7108">
      <c r="A7108" s="130" t="s">
        <v>26694</v>
      </c>
      <c r="B7108" s="71" t="s">
        <v>169</v>
      </c>
      <c r="C7108" s="71" t="s">
        <v>16899</v>
      </c>
    </row>
    <row r="7109">
      <c r="A7109" s="130" t="s">
        <v>26696</v>
      </c>
      <c r="B7109" s="71" t="s">
        <v>175</v>
      </c>
      <c r="C7109" s="71" t="s">
        <v>16842</v>
      </c>
    </row>
    <row r="7110">
      <c r="A7110" s="130" t="s">
        <v>26698</v>
      </c>
      <c r="B7110" s="71" t="s">
        <v>187</v>
      </c>
      <c r="C7110" s="71" t="s">
        <v>16846</v>
      </c>
    </row>
    <row r="7111">
      <c r="A7111" s="130" t="s">
        <v>26700</v>
      </c>
      <c r="B7111" s="71" t="s">
        <v>187</v>
      </c>
      <c r="C7111" s="71" t="s">
        <v>16846</v>
      </c>
    </row>
    <row r="7112">
      <c r="A7112" s="130" t="s">
        <v>26702</v>
      </c>
      <c r="B7112" s="71" t="s">
        <v>187</v>
      </c>
      <c r="C7112" s="71" t="s">
        <v>17564</v>
      </c>
    </row>
    <row r="7113">
      <c r="A7113" s="130" t="s">
        <v>26704</v>
      </c>
      <c r="B7113" s="71" t="s">
        <v>16582</v>
      </c>
      <c r="C7113" s="71" t="s">
        <v>16813</v>
      </c>
    </row>
    <row r="7114">
      <c r="A7114" s="130" t="s">
        <v>26706</v>
      </c>
      <c r="B7114" s="71" t="s">
        <v>187</v>
      </c>
      <c r="C7114" s="71" t="s">
        <v>16851</v>
      </c>
    </row>
    <row r="7115">
      <c r="A7115" s="234" t="s">
        <v>26708</v>
      </c>
      <c r="B7115" s="71" t="s">
        <v>16838</v>
      </c>
      <c r="C7115" s="71" t="s">
        <v>17016</v>
      </c>
    </row>
    <row r="7116">
      <c r="A7116" s="234" t="s">
        <v>26708</v>
      </c>
      <c r="B7116" s="71" t="s">
        <v>17016</v>
      </c>
      <c r="C7116" s="130" t="s">
        <v>16838</v>
      </c>
    </row>
    <row r="7117">
      <c r="A7117" s="130" t="s">
        <v>26710</v>
      </c>
      <c r="B7117" s="71" t="s">
        <v>16838</v>
      </c>
      <c r="C7117" s="71" t="s">
        <v>16837</v>
      </c>
    </row>
    <row r="7118">
      <c r="A7118" s="130" t="s">
        <v>26712</v>
      </c>
      <c r="B7118" s="71" t="s">
        <v>16582</v>
      </c>
      <c r="C7118" s="71" t="s">
        <v>17342</v>
      </c>
    </row>
    <row r="7119">
      <c r="A7119" s="130" t="s">
        <v>26714</v>
      </c>
      <c r="B7119" s="71" t="s">
        <v>169</v>
      </c>
      <c r="C7119" s="71" t="s">
        <v>16899</v>
      </c>
    </row>
    <row r="7120">
      <c r="A7120" s="130" t="s">
        <v>26716</v>
      </c>
      <c r="B7120" s="71" t="s">
        <v>175</v>
      </c>
      <c r="C7120" s="71" t="s">
        <v>16842</v>
      </c>
    </row>
    <row r="7121">
      <c r="A7121" s="130" t="s">
        <v>26719</v>
      </c>
      <c r="B7121" s="71" t="s">
        <v>158</v>
      </c>
      <c r="C7121" s="71" t="s">
        <v>17339</v>
      </c>
    </row>
    <row r="7122">
      <c r="A7122" s="130" t="s">
        <v>26721</v>
      </c>
      <c r="B7122" s="71" t="s">
        <v>187</v>
      </c>
      <c r="C7122" s="71" t="s">
        <v>18633</v>
      </c>
    </row>
    <row r="7123">
      <c r="A7123" s="130" t="s">
        <v>26723</v>
      </c>
      <c r="B7123" s="71" t="s">
        <v>187</v>
      </c>
      <c r="C7123" s="71" t="s">
        <v>16846</v>
      </c>
    </row>
    <row r="7124">
      <c r="A7124" s="130" t="s">
        <v>26725</v>
      </c>
      <c r="B7124" s="71" t="s">
        <v>16838</v>
      </c>
      <c r="C7124" s="71" t="s">
        <v>18679</v>
      </c>
    </row>
    <row r="7125">
      <c r="A7125" s="130" t="s">
        <v>26727</v>
      </c>
      <c r="B7125" s="71" t="s">
        <v>169</v>
      </c>
      <c r="C7125" s="71" t="s">
        <v>17662</v>
      </c>
    </row>
    <row r="7126">
      <c r="A7126" s="130" t="s">
        <v>26729</v>
      </c>
      <c r="B7126" s="71" t="s">
        <v>16919</v>
      </c>
      <c r="C7126" s="71" t="s">
        <v>16957</v>
      </c>
    </row>
    <row r="7127">
      <c r="A7127" s="130" t="s">
        <v>26731</v>
      </c>
      <c r="B7127" s="71" t="s">
        <v>16838</v>
      </c>
      <c r="C7127" s="71" t="s">
        <v>16867</v>
      </c>
    </row>
    <row r="7128">
      <c r="A7128" s="130" t="s">
        <v>26733</v>
      </c>
      <c r="B7128" s="71" t="s">
        <v>169</v>
      </c>
      <c r="C7128" s="71" t="s">
        <v>16899</v>
      </c>
    </row>
    <row r="7129">
      <c r="A7129" s="130" t="s">
        <v>26735</v>
      </c>
      <c r="B7129" s="71" t="s">
        <v>16838</v>
      </c>
      <c r="C7129" s="71" t="s">
        <v>17112</v>
      </c>
    </row>
    <row r="7130">
      <c r="A7130" s="130" t="s">
        <v>26737</v>
      </c>
      <c r="B7130" s="71" t="s">
        <v>16838</v>
      </c>
      <c r="C7130" s="71" t="s">
        <v>18956</v>
      </c>
    </row>
    <row r="7131">
      <c r="A7131" s="234" t="s">
        <v>26739</v>
      </c>
      <c r="B7131" s="71" t="s">
        <v>16582</v>
      </c>
      <c r="C7131" s="71" t="s">
        <v>17435</v>
      </c>
    </row>
    <row r="7132">
      <c r="A7132" s="234" t="s">
        <v>26739</v>
      </c>
      <c r="B7132" s="71" t="s">
        <v>17435</v>
      </c>
      <c r="C7132" s="130" t="s">
        <v>16582</v>
      </c>
    </row>
    <row r="7133">
      <c r="A7133" s="234" t="s">
        <v>26741</v>
      </c>
      <c r="B7133" s="71" t="s">
        <v>16885</v>
      </c>
      <c r="C7133" s="71" t="s">
        <v>17726</v>
      </c>
    </row>
    <row r="7134">
      <c r="A7134" s="234" t="s">
        <v>26741</v>
      </c>
      <c r="B7134" s="71" t="s">
        <v>17726</v>
      </c>
      <c r="C7134" s="130" t="s">
        <v>16885</v>
      </c>
    </row>
    <row r="7135">
      <c r="A7135" s="130" t="s">
        <v>26743</v>
      </c>
      <c r="B7135" s="71" t="s">
        <v>175</v>
      </c>
      <c r="C7135" s="71" t="s">
        <v>18063</v>
      </c>
    </row>
    <row r="7136">
      <c r="A7136" s="130" t="s">
        <v>26745</v>
      </c>
      <c r="B7136" s="71"/>
      <c r="C7136" s="71"/>
    </row>
    <row r="7137">
      <c r="A7137" s="130" t="s">
        <v>26747</v>
      </c>
      <c r="B7137" s="71" t="s">
        <v>187</v>
      </c>
      <c r="C7137" s="71" t="s">
        <v>16846</v>
      </c>
    </row>
    <row r="7138">
      <c r="A7138" s="130" t="s">
        <v>26749</v>
      </c>
      <c r="B7138" s="71"/>
      <c r="C7138" s="71"/>
    </row>
    <row r="7139">
      <c r="A7139" s="234" t="s">
        <v>26751</v>
      </c>
      <c r="B7139" s="71" t="s">
        <v>16910</v>
      </c>
      <c r="C7139" s="71" t="s">
        <v>17119</v>
      </c>
    </row>
    <row r="7140">
      <c r="A7140" s="234" t="s">
        <v>26751</v>
      </c>
      <c r="B7140" s="71" t="s">
        <v>17119</v>
      </c>
      <c r="C7140" s="130" t="s">
        <v>16910</v>
      </c>
    </row>
    <row r="7141">
      <c r="A7141" s="130" t="s">
        <v>26753</v>
      </c>
      <c r="B7141" s="71" t="s">
        <v>16582</v>
      </c>
      <c r="C7141" s="71" t="s">
        <v>16899</v>
      </c>
    </row>
    <row r="7142">
      <c r="A7142" s="130" t="s">
        <v>26755</v>
      </c>
      <c r="B7142" s="71" t="s">
        <v>16838</v>
      </c>
      <c r="C7142" s="71" t="s">
        <v>18956</v>
      </c>
    </row>
    <row r="7143">
      <c r="A7143" s="130" t="s">
        <v>26757</v>
      </c>
      <c r="B7143" s="71" t="s">
        <v>187</v>
      </c>
      <c r="C7143" s="71" t="s">
        <v>16846</v>
      </c>
    </row>
    <row r="7144">
      <c r="A7144" s="130" t="s">
        <v>26759</v>
      </c>
      <c r="B7144" s="71" t="s">
        <v>187</v>
      </c>
      <c r="C7144" s="71" t="s">
        <v>16846</v>
      </c>
    </row>
    <row r="7145">
      <c r="A7145" s="130" t="s">
        <v>26761</v>
      </c>
      <c r="B7145" s="71" t="s">
        <v>187</v>
      </c>
      <c r="C7145" s="71" t="s">
        <v>16851</v>
      </c>
    </row>
    <row r="7146">
      <c r="A7146" s="130" t="s">
        <v>26763</v>
      </c>
      <c r="B7146" s="71" t="s">
        <v>187</v>
      </c>
      <c r="C7146" s="71" t="s">
        <v>16992</v>
      </c>
    </row>
    <row r="7147">
      <c r="A7147" s="130" t="s">
        <v>26765</v>
      </c>
      <c r="B7147" s="71" t="s">
        <v>158</v>
      </c>
      <c r="C7147" s="71" t="s">
        <v>18063</v>
      </c>
    </row>
    <row r="7148">
      <c r="A7148" s="130" t="s">
        <v>26767</v>
      </c>
      <c r="B7148" s="71" t="s">
        <v>175</v>
      </c>
      <c r="C7148" s="71" t="s">
        <v>17318</v>
      </c>
    </row>
    <row r="7149">
      <c r="A7149" s="130" t="s">
        <v>26769</v>
      </c>
      <c r="B7149" s="71" t="s">
        <v>16838</v>
      </c>
      <c r="C7149" s="71" t="s">
        <v>17016</v>
      </c>
    </row>
    <row r="7150">
      <c r="A7150" s="130" t="s">
        <v>26771</v>
      </c>
      <c r="B7150" s="71" t="s">
        <v>187</v>
      </c>
      <c r="C7150" s="71" t="s">
        <v>16846</v>
      </c>
    </row>
    <row r="7151">
      <c r="A7151" s="130" t="s">
        <v>26773</v>
      </c>
      <c r="B7151" s="71" t="s">
        <v>16838</v>
      </c>
      <c r="C7151" s="71" t="s">
        <v>16837</v>
      </c>
    </row>
    <row r="7152">
      <c r="A7152" s="130" t="s">
        <v>26775</v>
      </c>
      <c r="B7152" s="71" t="s">
        <v>175</v>
      </c>
      <c r="C7152" s="71" t="s">
        <v>18723</v>
      </c>
    </row>
    <row r="7153">
      <c r="A7153" s="130" t="s">
        <v>26777</v>
      </c>
      <c r="B7153" s="71" t="s">
        <v>175</v>
      </c>
      <c r="C7153" s="71" t="s">
        <v>17233</v>
      </c>
    </row>
    <row r="7154">
      <c r="A7154" s="130" t="s">
        <v>26779</v>
      </c>
      <c r="B7154" s="71" t="s">
        <v>187</v>
      </c>
      <c r="C7154" s="71" t="s">
        <v>16992</v>
      </c>
    </row>
    <row r="7155">
      <c r="A7155" s="130" t="s">
        <v>26781</v>
      </c>
      <c r="B7155" s="71" t="s">
        <v>187</v>
      </c>
      <c r="C7155" s="71" t="s">
        <v>16846</v>
      </c>
    </row>
    <row r="7156">
      <c r="A7156" s="130" t="s">
        <v>26783</v>
      </c>
      <c r="B7156" s="71" t="s">
        <v>187</v>
      </c>
      <c r="C7156" s="71" t="s">
        <v>16846</v>
      </c>
    </row>
    <row r="7157">
      <c r="A7157" s="130" t="s">
        <v>26785</v>
      </c>
      <c r="B7157" s="71" t="s">
        <v>158</v>
      </c>
      <c r="C7157" s="71" t="s">
        <v>16899</v>
      </c>
    </row>
    <row r="7158">
      <c r="A7158" s="130" t="s">
        <v>26787</v>
      </c>
      <c r="B7158" s="71" t="s">
        <v>175</v>
      </c>
      <c r="C7158" s="71" t="s">
        <v>16842</v>
      </c>
    </row>
    <row r="7159">
      <c r="A7159" s="130" t="s">
        <v>26789</v>
      </c>
      <c r="B7159" s="71" t="s">
        <v>16582</v>
      </c>
      <c r="C7159" s="71" t="s">
        <v>17183</v>
      </c>
    </row>
    <row r="7160">
      <c r="A7160" s="130" t="s">
        <v>26791</v>
      </c>
      <c r="B7160" s="71" t="s">
        <v>175</v>
      </c>
      <c r="C7160" s="71" t="s">
        <v>16854</v>
      </c>
    </row>
    <row r="7161">
      <c r="A7161" s="234" t="s">
        <v>26793</v>
      </c>
      <c r="B7161" s="71" t="s">
        <v>169</v>
      </c>
      <c r="C7161" s="71" t="s">
        <v>17057</v>
      </c>
    </row>
    <row r="7162">
      <c r="A7162" s="234" t="s">
        <v>26793</v>
      </c>
      <c r="B7162" s="71" t="s">
        <v>17057</v>
      </c>
      <c r="C7162" s="130" t="s">
        <v>169</v>
      </c>
    </row>
    <row r="7163">
      <c r="A7163" s="130" t="s">
        <v>26795</v>
      </c>
      <c r="B7163" s="71" t="s">
        <v>16838</v>
      </c>
      <c r="C7163" s="71" t="s">
        <v>18679</v>
      </c>
    </row>
    <row r="7164">
      <c r="A7164" s="234" t="s">
        <v>26797</v>
      </c>
      <c r="B7164" s="71" t="s">
        <v>187</v>
      </c>
      <c r="C7164" s="71" t="s">
        <v>16846</v>
      </c>
    </row>
    <row r="7165">
      <c r="A7165" s="234" t="s">
        <v>26797</v>
      </c>
      <c r="B7165" s="71" t="s">
        <v>16846</v>
      </c>
      <c r="C7165" s="71" t="s">
        <v>187</v>
      </c>
    </row>
    <row r="7166">
      <c r="A7166" s="130" t="s">
        <v>26799</v>
      </c>
      <c r="B7166" s="71" t="s">
        <v>175</v>
      </c>
      <c r="C7166" s="71" t="s">
        <v>19006</v>
      </c>
    </row>
    <row r="7167">
      <c r="A7167" s="130" t="s">
        <v>26801</v>
      </c>
      <c r="B7167" s="71" t="s">
        <v>16582</v>
      </c>
      <c r="C7167" s="71" t="s">
        <v>16828</v>
      </c>
    </row>
    <row r="7168">
      <c r="A7168" s="130" t="s">
        <v>26803</v>
      </c>
      <c r="B7168" s="71" t="s">
        <v>175</v>
      </c>
      <c r="C7168" s="71" t="s">
        <v>17350</v>
      </c>
    </row>
    <row r="7169">
      <c r="A7169" s="130" t="s">
        <v>26805</v>
      </c>
      <c r="B7169" s="71" t="s">
        <v>187</v>
      </c>
      <c r="C7169" s="71" t="s">
        <v>16846</v>
      </c>
    </row>
    <row r="7170">
      <c r="A7170" s="130" t="s">
        <v>26807</v>
      </c>
      <c r="B7170" s="71" t="s">
        <v>16582</v>
      </c>
      <c r="C7170" s="71" t="s">
        <v>16930</v>
      </c>
    </row>
    <row r="7171">
      <c r="A7171" s="130" t="s">
        <v>26809</v>
      </c>
      <c r="B7171" s="71" t="s">
        <v>16582</v>
      </c>
      <c r="C7171" s="71" t="s">
        <v>16828</v>
      </c>
    </row>
    <row r="7172">
      <c r="A7172" s="130" t="s">
        <v>26811</v>
      </c>
      <c r="B7172" s="71" t="s">
        <v>187</v>
      </c>
      <c r="C7172" s="71" t="s">
        <v>16846</v>
      </c>
    </row>
    <row r="7173">
      <c r="A7173" s="130" t="s">
        <v>26813</v>
      </c>
      <c r="B7173" s="71"/>
      <c r="C7173" s="71"/>
    </row>
    <row r="7174">
      <c r="A7174" s="130" t="s">
        <v>26815</v>
      </c>
      <c r="B7174" s="71" t="s">
        <v>187</v>
      </c>
      <c r="C7174" s="71" t="s">
        <v>16846</v>
      </c>
    </row>
    <row r="7175">
      <c r="A7175" s="130" t="s">
        <v>26817</v>
      </c>
      <c r="B7175" s="71" t="s">
        <v>187</v>
      </c>
      <c r="C7175" s="71" t="s">
        <v>17122</v>
      </c>
    </row>
    <row r="7176">
      <c r="A7176" s="234" t="s">
        <v>26819</v>
      </c>
      <c r="B7176" s="71" t="s">
        <v>16582</v>
      </c>
      <c r="C7176" s="71" t="s">
        <v>17339</v>
      </c>
    </row>
    <row r="7177">
      <c r="A7177" s="234" t="s">
        <v>26819</v>
      </c>
      <c r="B7177" s="71" t="s">
        <v>17339</v>
      </c>
      <c r="C7177" s="130" t="s">
        <v>16582</v>
      </c>
    </row>
    <row r="7178">
      <c r="A7178" s="130" t="s">
        <v>26821</v>
      </c>
      <c r="B7178" s="71" t="s">
        <v>16582</v>
      </c>
      <c r="C7178" s="71" t="s">
        <v>16930</v>
      </c>
    </row>
    <row r="7179">
      <c r="A7179" s="130" t="s">
        <v>26823</v>
      </c>
      <c r="B7179" s="71" t="s">
        <v>187</v>
      </c>
      <c r="C7179" s="71" t="s">
        <v>16846</v>
      </c>
    </row>
    <row r="7180">
      <c r="A7180" s="130" t="s">
        <v>26825</v>
      </c>
      <c r="B7180" s="71" t="s">
        <v>16838</v>
      </c>
      <c r="C7180" s="71" t="s">
        <v>17016</v>
      </c>
    </row>
    <row r="7181">
      <c r="A7181" s="130" t="s">
        <v>26827</v>
      </c>
      <c r="B7181" s="71" t="s">
        <v>187</v>
      </c>
      <c r="C7181" s="71" t="s">
        <v>16846</v>
      </c>
    </row>
    <row r="7182">
      <c r="A7182" s="130" t="s">
        <v>26829</v>
      </c>
      <c r="B7182" s="71" t="s">
        <v>175</v>
      </c>
      <c r="C7182" s="71" t="s">
        <v>16854</v>
      </c>
    </row>
    <row r="7183">
      <c r="A7183" s="130" t="s">
        <v>26831</v>
      </c>
      <c r="B7183" s="71" t="s">
        <v>187</v>
      </c>
      <c r="C7183" s="71" t="s">
        <v>16846</v>
      </c>
    </row>
    <row r="7184">
      <c r="A7184" s="130" t="s">
        <v>26833</v>
      </c>
      <c r="B7184" s="71" t="s">
        <v>187</v>
      </c>
      <c r="C7184" s="71" t="s">
        <v>16846</v>
      </c>
    </row>
    <row r="7185">
      <c r="A7185" s="130" t="s">
        <v>26835</v>
      </c>
      <c r="B7185" s="71" t="s">
        <v>187</v>
      </c>
      <c r="C7185" s="71" t="s">
        <v>16969</v>
      </c>
    </row>
    <row r="7186">
      <c r="A7186" s="130" t="s">
        <v>26837</v>
      </c>
      <c r="B7186" s="71" t="s">
        <v>16885</v>
      </c>
      <c r="C7186" s="71" t="s">
        <v>17726</v>
      </c>
    </row>
    <row r="7187">
      <c r="A7187" s="130" t="s">
        <v>26839</v>
      </c>
      <c r="B7187" s="71" t="s">
        <v>187</v>
      </c>
      <c r="C7187" s="71" t="s">
        <v>16846</v>
      </c>
    </row>
    <row r="7188">
      <c r="A7188" s="130" t="s">
        <v>26841</v>
      </c>
      <c r="B7188" s="71" t="s">
        <v>175</v>
      </c>
      <c r="C7188" s="71" t="s">
        <v>17606</v>
      </c>
    </row>
    <row r="7189">
      <c r="A7189" s="234" t="s">
        <v>26843</v>
      </c>
      <c r="B7189" s="71" t="s">
        <v>16885</v>
      </c>
      <c r="C7189" s="71" t="s">
        <v>17726</v>
      </c>
    </row>
    <row r="7190">
      <c r="A7190" s="234" t="s">
        <v>26843</v>
      </c>
      <c r="B7190" s="71" t="s">
        <v>17726</v>
      </c>
      <c r="C7190" s="130" t="s">
        <v>16885</v>
      </c>
    </row>
    <row r="7191">
      <c r="A7191" s="130" t="s">
        <v>26845</v>
      </c>
      <c r="B7191" s="71" t="s">
        <v>187</v>
      </c>
      <c r="C7191" s="71" t="s">
        <v>16846</v>
      </c>
    </row>
    <row r="7192">
      <c r="A7192" s="130" t="s">
        <v>26847</v>
      </c>
      <c r="B7192" s="71" t="s">
        <v>169</v>
      </c>
      <c r="C7192" s="71" t="s">
        <v>16899</v>
      </c>
    </row>
    <row r="7193">
      <c r="A7193" s="130" t="s">
        <v>26849</v>
      </c>
      <c r="B7193" s="71" t="s">
        <v>187</v>
      </c>
      <c r="C7193" s="71" t="s">
        <v>16992</v>
      </c>
    </row>
    <row r="7194">
      <c r="A7194" s="130" t="s">
        <v>26851</v>
      </c>
      <c r="B7194" s="71" t="s">
        <v>187</v>
      </c>
      <c r="C7194" s="71" t="s">
        <v>16858</v>
      </c>
    </row>
    <row r="7195">
      <c r="A7195" s="130" t="s">
        <v>26853</v>
      </c>
      <c r="B7195" s="71" t="s">
        <v>175</v>
      </c>
      <c r="C7195" s="71" t="s">
        <v>16842</v>
      </c>
    </row>
    <row r="7196">
      <c r="A7196" s="130" t="s">
        <v>26855</v>
      </c>
      <c r="B7196" s="71" t="s">
        <v>187</v>
      </c>
      <c r="C7196" s="71" t="s">
        <v>16846</v>
      </c>
    </row>
    <row r="7197">
      <c r="A7197" s="130" t="s">
        <v>26857</v>
      </c>
      <c r="B7197" s="71" t="s">
        <v>16838</v>
      </c>
      <c r="C7197" s="71" t="s">
        <v>16837</v>
      </c>
    </row>
    <row r="7198">
      <c r="A7198" s="130" t="s">
        <v>26859</v>
      </c>
      <c r="B7198" s="71"/>
      <c r="C7198" s="71"/>
    </row>
    <row r="7199">
      <c r="A7199" s="130" t="s">
        <v>26861</v>
      </c>
      <c r="B7199" s="71" t="s">
        <v>175</v>
      </c>
      <c r="C7199" s="71" t="s">
        <v>17318</v>
      </c>
    </row>
    <row r="7200">
      <c r="A7200" s="234" t="s">
        <v>405</v>
      </c>
      <c r="B7200" s="71" t="s">
        <v>175</v>
      </c>
      <c r="C7200" s="71" t="s">
        <v>17084</v>
      </c>
    </row>
    <row r="7201">
      <c r="A7201" s="234" t="s">
        <v>405</v>
      </c>
      <c r="B7201" s="71" t="s">
        <v>17084</v>
      </c>
      <c r="C7201" s="71" t="s">
        <v>175</v>
      </c>
    </row>
    <row r="7202">
      <c r="A7202" s="130" t="s">
        <v>26864</v>
      </c>
      <c r="B7202" s="71" t="s">
        <v>169</v>
      </c>
      <c r="C7202" s="71" t="s">
        <v>18732</v>
      </c>
    </row>
    <row r="7203">
      <c r="A7203" s="130" t="s">
        <v>26866</v>
      </c>
      <c r="B7203" s="71" t="s">
        <v>187</v>
      </c>
      <c r="C7203" s="71" t="s">
        <v>16846</v>
      </c>
    </row>
    <row r="7204">
      <c r="A7204" s="234" t="s">
        <v>26868</v>
      </c>
      <c r="B7204" s="71" t="s">
        <v>175</v>
      </c>
      <c r="C7204" s="71" t="s">
        <v>18723</v>
      </c>
    </row>
    <row r="7205">
      <c r="A7205" s="234" t="s">
        <v>26868</v>
      </c>
      <c r="B7205" s="71" t="s">
        <v>18723</v>
      </c>
      <c r="C7205" s="130" t="s">
        <v>175</v>
      </c>
    </row>
    <row r="7206">
      <c r="A7206" s="130" t="s">
        <v>26870</v>
      </c>
      <c r="B7206" s="71" t="s">
        <v>169</v>
      </c>
      <c r="C7206" s="71" t="s">
        <v>17022</v>
      </c>
    </row>
    <row r="7207">
      <c r="A7207" s="130" t="s">
        <v>26872</v>
      </c>
      <c r="B7207" s="71" t="s">
        <v>16838</v>
      </c>
      <c r="C7207" s="71" t="s">
        <v>17016</v>
      </c>
    </row>
    <row r="7208">
      <c r="A7208" s="130" t="s">
        <v>26874</v>
      </c>
      <c r="B7208" s="71" t="s">
        <v>187</v>
      </c>
      <c r="C7208" s="71" t="s">
        <v>16846</v>
      </c>
    </row>
    <row r="7209">
      <c r="A7209" s="130" t="s">
        <v>26876</v>
      </c>
      <c r="B7209" s="71" t="s">
        <v>16582</v>
      </c>
      <c r="C7209" s="71" t="s">
        <v>16899</v>
      </c>
    </row>
    <row r="7210">
      <c r="A7210" s="234" t="s">
        <v>26878</v>
      </c>
      <c r="B7210" s="71" t="s">
        <v>17016</v>
      </c>
      <c r="C7210" s="71" t="s">
        <v>16838</v>
      </c>
    </row>
    <row r="7211">
      <c r="A7211" s="234" t="s">
        <v>26878</v>
      </c>
      <c r="B7211" s="71" t="s">
        <v>16838</v>
      </c>
      <c r="C7211" s="71" t="s">
        <v>17016</v>
      </c>
    </row>
    <row r="7212">
      <c r="A7212" s="130" t="s">
        <v>26880</v>
      </c>
      <c r="B7212" s="71" t="s">
        <v>187</v>
      </c>
      <c r="C7212" s="71" t="s">
        <v>16969</v>
      </c>
    </row>
    <row r="7213">
      <c r="A7213" s="130" t="s">
        <v>26882</v>
      </c>
      <c r="B7213" s="71"/>
      <c r="C7213" s="71"/>
    </row>
    <row r="7214">
      <c r="A7214" s="130" t="s">
        <v>26884</v>
      </c>
      <c r="B7214" s="71" t="s">
        <v>175</v>
      </c>
      <c r="C7214" s="71" t="s">
        <v>17391</v>
      </c>
    </row>
    <row r="7215">
      <c r="A7215" s="130" t="s">
        <v>26886</v>
      </c>
      <c r="B7215" s="71" t="s">
        <v>187</v>
      </c>
      <c r="C7215" s="71" t="s">
        <v>16846</v>
      </c>
    </row>
    <row r="7216">
      <c r="A7216" s="130" t="s">
        <v>26888</v>
      </c>
      <c r="B7216" s="71" t="s">
        <v>16926</v>
      </c>
      <c r="C7216" s="71" t="s">
        <v>16957</v>
      </c>
    </row>
    <row r="7217">
      <c r="A7217" s="130" t="s">
        <v>26890</v>
      </c>
      <c r="B7217" s="71" t="s">
        <v>175</v>
      </c>
      <c r="C7217" s="71" t="s">
        <v>17509</v>
      </c>
    </row>
    <row r="7218">
      <c r="A7218" s="130" t="s">
        <v>26892</v>
      </c>
      <c r="B7218" s="71" t="s">
        <v>16838</v>
      </c>
      <c r="C7218" s="71" t="s">
        <v>17112</v>
      </c>
    </row>
    <row r="7219">
      <c r="A7219" s="130" t="s">
        <v>26894</v>
      </c>
      <c r="B7219" s="71"/>
      <c r="C7219" s="71"/>
    </row>
    <row r="7220">
      <c r="A7220" s="130" t="s">
        <v>26896</v>
      </c>
      <c r="B7220" s="71" t="s">
        <v>175</v>
      </c>
      <c r="C7220" s="71" t="s">
        <v>17442</v>
      </c>
    </row>
    <row r="7221">
      <c r="A7221" s="130" t="s">
        <v>26898</v>
      </c>
      <c r="B7221" s="71" t="s">
        <v>16838</v>
      </c>
      <c r="C7221" s="71" t="s">
        <v>17202</v>
      </c>
    </row>
    <row r="7222">
      <c r="A7222" s="130" t="s">
        <v>26900</v>
      </c>
      <c r="B7222" s="71" t="s">
        <v>175</v>
      </c>
      <c r="C7222" s="71" t="s">
        <v>18268</v>
      </c>
    </row>
    <row r="7223">
      <c r="A7223" s="130" t="s">
        <v>26902</v>
      </c>
      <c r="B7223" s="71" t="s">
        <v>175</v>
      </c>
      <c r="C7223" s="71" t="s">
        <v>17480</v>
      </c>
    </row>
    <row r="7224">
      <c r="A7224" s="130" t="s">
        <v>26904</v>
      </c>
      <c r="B7224" s="71" t="s">
        <v>187</v>
      </c>
      <c r="C7224" s="71" t="s">
        <v>17122</v>
      </c>
    </row>
    <row r="7225">
      <c r="A7225" s="130" t="s">
        <v>26906</v>
      </c>
      <c r="B7225" s="71" t="s">
        <v>16919</v>
      </c>
      <c r="C7225" s="71" t="s">
        <v>16957</v>
      </c>
    </row>
    <row r="7226">
      <c r="A7226" s="130" t="s">
        <v>26908</v>
      </c>
      <c r="B7226" s="71" t="s">
        <v>16910</v>
      </c>
      <c r="C7226" s="71" t="s">
        <v>16911</v>
      </c>
    </row>
    <row r="7227">
      <c r="A7227" s="130" t="s">
        <v>26910</v>
      </c>
      <c r="B7227" s="71" t="s">
        <v>16582</v>
      </c>
      <c r="C7227" s="71" t="s">
        <v>16817</v>
      </c>
    </row>
    <row r="7228">
      <c r="A7228" s="130" t="s">
        <v>26912</v>
      </c>
      <c r="B7228" s="71" t="s">
        <v>187</v>
      </c>
      <c r="C7228" s="71" t="s">
        <v>16969</v>
      </c>
    </row>
    <row r="7229">
      <c r="A7229" s="130" t="s">
        <v>26914</v>
      </c>
      <c r="B7229" s="71" t="s">
        <v>187</v>
      </c>
      <c r="C7229" s="71" t="s">
        <v>16846</v>
      </c>
    </row>
    <row r="7230">
      <c r="A7230" s="130" t="s">
        <v>26916</v>
      </c>
      <c r="B7230" s="71" t="s">
        <v>16838</v>
      </c>
      <c r="C7230" s="71" t="s">
        <v>17016</v>
      </c>
    </row>
    <row r="7231">
      <c r="A7231" s="130" t="s">
        <v>26918</v>
      </c>
      <c r="B7231" s="71" t="s">
        <v>187</v>
      </c>
      <c r="C7231" s="71" t="s">
        <v>17122</v>
      </c>
    </row>
    <row r="7232">
      <c r="A7232" s="130" t="s">
        <v>26920</v>
      </c>
      <c r="B7232" s="71" t="s">
        <v>16838</v>
      </c>
      <c r="C7232" s="71" t="s">
        <v>16837</v>
      </c>
    </row>
    <row r="7233">
      <c r="A7233" s="130" t="s">
        <v>26922</v>
      </c>
      <c r="B7233" s="71" t="s">
        <v>16838</v>
      </c>
      <c r="C7233" s="71" t="s">
        <v>18956</v>
      </c>
    </row>
    <row r="7234">
      <c r="A7234" s="234" t="s">
        <v>26924</v>
      </c>
      <c r="B7234" s="71" t="s">
        <v>169</v>
      </c>
      <c r="C7234" s="71" t="s">
        <v>17321</v>
      </c>
    </row>
    <row r="7235">
      <c r="A7235" s="234" t="s">
        <v>26924</v>
      </c>
      <c r="B7235" s="71" t="s">
        <v>17321</v>
      </c>
      <c r="C7235" s="130" t="s">
        <v>169</v>
      </c>
    </row>
    <row r="7236">
      <c r="A7236" s="130" t="s">
        <v>26926</v>
      </c>
      <c r="B7236" s="71" t="s">
        <v>16582</v>
      </c>
      <c r="C7236" s="71" t="s">
        <v>16817</v>
      </c>
    </row>
    <row r="7237">
      <c r="A7237" s="130" t="s">
        <v>26928</v>
      </c>
      <c r="B7237" s="71" t="s">
        <v>187</v>
      </c>
      <c r="C7237" s="71" t="s">
        <v>23634</v>
      </c>
    </row>
    <row r="7238">
      <c r="A7238" s="130" t="s">
        <v>26930</v>
      </c>
      <c r="B7238" s="71" t="s">
        <v>187</v>
      </c>
      <c r="C7238" s="71" t="s">
        <v>17122</v>
      </c>
    </row>
    <row r="7239">
      <c r="A7239" s="130" t="s">
        <v>26932</v>
      </c>
      <c r="B7239" s="71" t="s">
        <v>16919</v>
      </c>
      <c r="C7239" s="71" t="s">
        <v>16957</v>
      </c>
    </row>
    <row r="7240">
      <c r="A7240" s="234" t="s">
        <v>26934</v>
      </c>
      <c r="B7240" s="71" t="s">
        <v>158</v>
      </c>
      <c r="C7240" s="71" t="s">
        <v>16864</v>
      </c>
    </row>
    <row r="7241">
      <c r="A7241" s="234" t="s">
        <v>26934</v>
      </c>
      <c r="B7241" s="71" t="s">
        <v>16864</v>
      </c>
      <c r="C7241" s="71" t="s">
        <v>158</v>
      </c>
    </row>
    <row r="7242">
      <c r="A7242" s="234" t="s">
        <v>26936</v>
      </c>
      <c r="B7242" s="71" t="s">
        <v>16582</v>
      </c>
      <c r="C7242" s="71" t="s">
        <v>16995</v>
      </c>
    </row>
    <row r="7243">
      <c r="A7243" s="234" t="s">
        <v>26936</v>
      </c>
      <c r="B7243" s="71" t="s">
        <v>16995</v>
      </c>
      <c r="C7243" s="71" t="s">
        <v>16582</v>
      </c>
    </row>
    <row r="7244">
      <c r="A7244" s="130" t="s">
        <v>26938</v>
      </c>
      <c r="B7244" s="71" t="s">
        <v>175</v>
      </c>
      <c r="C7244" s="71" t="s">
        <v>17350</v>
      </c>
    </row>
    <row r="7245">
      <c r="A7245" s="130" t="s">
        <v>26940</v>
      </c>
      <c r="B7245" s="71" t="s">
        <v>187</v>
      </c>
      <c r="C7245" s="71" t="s">
        <v>16846</v>
      </c>
    </row>
    <row r="7246">
      <c r="A7246" s="130" t="s">
        <v>26942</v>
      </c>
      <c r="B7246" s="71" t="s">
        <v>169</v>
      </c>
      <c r="C7246" s="71" t="s">
        <v>16899</v>
      </c>
    </row>
    <row r="7247">
      <c r="A7247" s="130" t="s">
        <v>26944</v>
      </c>
      <c r="B7247" s="71" t="s">
        <v>187</v>
      </c>
      <c r="C7247" s="71" t="s">
        <v>16846</v>
      </c>
    </row>
    <row r="7248">
      <c r="A7248" s="130" t="s">
        <v>26946</v>
      </c>
      <c r="B7248" s="71" t="s">
        <v>16582</v>
      </c>
      <c r="C7248" s="233" t="s">
        <v>17342</v>
      </c>
    </row>
    <row r="7249">
      <c r="A7249" s="130" t="s">
        <v>26948</v>
      </c>
      <c r="B7249" s="71" t="s">
        <v>187</v>
      </c>
      <c r="C7249" s="71" t="s">
        <v>16846</v>
      </c>
    </row>
    <row r="7250">
      <c r="A7250" s="130" t="s">
        <v>26950</v>
      </c>
      <c r="B7250" s="71" t="s">
        <v>16582</v>
      </c>
      <c r="C7250" s="71" t="s">
        <v>17435</v>
      </c>
    </row>
    <row r="7251">
      <c r="A7251" s="130" t="s">
        <v>26952</v>
      </c>
      <c r="B7251" s="71" t="s">
        <v>187</v>
      </c>
      <c r="C7251" s="71" t="s">
        <v>16846</v>
      </c>
    </row>
    <row r="7252">
      <c r="A7252" s="130" t="s">
        <v>26954</v>
      </c>
      <c r="B7252" s="71" t="s">
        <v>16582</v>
      </c>
      <c r="C7252" s="71" t="s">
        <v>16817</v>
      </c>
    </row>
    <row r="7253">
      <c r="A7253" s="130" t="s">
        <v>26956</v>
      </c>
      <c r="B7253" s="71" t="s">
        <v>187</v>
      </c>
      <c r="C7253" s="71" t="s">
        <v>16858</v>
      </c>
    </row>
    <row r="7254">
      <c r="A7254" s="130" t="s">
        <v>26958</v>
      </c>
      <c r="B7254" s="71" t="s">
        <v>187</v>
      </c>
      <c r="C7254" s="71" t="s">
        <v>16858</v>
      </c>
    </row>
    <row r="7255">
      <c r="A7255" s="130" t="s">
        <v>26960</v>
      </c>
      <c r="B7255" s="71" t="s">
        <v>187</v>
      </c>
      <c r="C7255" s="71" t="s">
        <v>16969</v>
      </c>
    </row>
    <row r="7256">
      <c r="A7256" s="130" t="s">
        <v>26962</v>
      </c>
      <c r="B7256" s="71" t="s">
        <v>16838</v>
      </c>
      <c r="C7256" s="71" t="s">
        <v>18219</v>
      </c>
    </row>
    <row r="7257">
      <c r="A7257" s="130" t="s">
        <v>26964</v>
      </c>
      <c r="B7257" s="71" t="s">
        <v>16838</v>
      </c>
      <c r="C7257" s="71" t="s">
        <v>17347</v>
      </c>
    </row>
    <row r="7258">
      <c r="A7258" s="130" t="s">
        <v>26966</v>
      </c>
      <c r="B7258" s="71" t="s">
        <v>16582</v>
      </c>
      <c r="C7258" s="71" t="s">
        <v>17435</v>
      </c>
    </row>
    <row r="7259">
      <c r="A7259" s="130" t="s">
        <v>26968</v>
      </c>
      <c r="B7259" s="71" t="s">
        <v>175</v>
      </c>
      <c r="C7259" s="71" t="s">
        <v>16878</v>
      </c>
    </row>
    <row r="7260">
      <c r="A7260" s="130" t="s">
        <v>26970</v>
      </c>
      <c r="B7260" s="71" t="s">
        <v>187</v>
      </c>
      <c r="C7260" s="71" t="s">
        <v>16846</v>
      </c>
    </row>
    <row r="7261">
      <c r="A7261" s="234" t="s">
        <v>26972</v>
      </c>
      <c r="B7261" s="71" t="s">
        <v>158</v>
      </c>
      <c r="C7261" s="71" t="s">
        <v>16864</v>
      </c>
    </row>
    <row r="7262">
      <c r="A7262" s="234" t="s">
        <v>26972</v>
      </c>
      <c r="B7262" s="71" t="s">
        <v>16864</v>
      </c>
      <c r="C7262" s="130" t="s">
        <v>158</v>
      </c>
    </row>
    <row r="7263">
      <c r="A7263" s="234" t="s">
        <v>26974</v>
      </c>
      <c r="B7263" s="71" t="s">
        <v>18633</v>
      </c>
      <c r="C7263" s="71" t="s">
        <v>187</v>
      </c>
    </row>
    <row r="7264">
      <c r="A7264" s="234" t="s">
        <v>26974</v>
      </c>
      <c r="B7264" s="71" t="s">
        <v>187</v>
      </c>
      <c r="C7264" s="71" t="s">
        <v>18633</v>
      </c>
    </row>
    <row r="7265">
      <c r="A7265" s="130" t="s">
        <v>26976</v>
      </c>
      <c r="B7265" s="71" t="s">
        <v>16582</v>
      </c>
      <c r="C7265" s="71" t="s">
        <v>16817</v>
      </c>
    </row>
    <row r="7266">
      <c r="A7266" s="130" t="s">
        <v>26978</v>
      </c>
      <c r="B7266" s="71" t="s">
        <v>16838</v>
      </c>
      <c r="C7266" s="71" t="s">
        <v>18219</v>
      </c>
    </row>
    <row r="7267">
      <c r="A7267" s="130" t="s">
        <v>26980</v>
      </c>
      <c r="B7267" s="71" t="s">
        <v>16926</v>
      </c>
      <c r="C7267" s="71" t="s">
        <v>16957</v>
      </c>
    </row>
    <row r="7268">
      <c r="A7268" s="130" t="s">
        <v>26982</v>
      </c>
      <c r="B7268" s="71" t="s">
        <v>16838</v>
      </c>
      <c r="C7268" s="71" t="s">
        <v>17016</v>
      </c>
    </row>
    <row r="7269">
      <c r="A7269" s="234" t="s">
        <v>26984</v>
      </c>
      <c r="B7269" s="71" t="s">
        <v>175</v>
      </c>
      <c r="C7269" s="71" t="s">
        <v>17022</v>
      </c>
    </row>
    <row r="7270">
      <c r="A7270" s="234" t="s">
        <v>26984</v>
      </c>
      <c r="B7270" s="71" t="s">
        <v>17022</v>
      </c>
      <c r="C7270" s="71" t="s">
        <v>175</v>
      </c>
    </row>
    <row r="7271">
      <c r="A7271" s="130" t="s">
        <v>26986</v>
      </c>
      <c r="B7271" s="71" t="s">
        <v>169</v>
      </c>
      <c r="C7271" s="71" t="s">
        <v>18862</v>
      </c>
    </row>
    <row r="7272">
      <c r="A7272" s="130" t="s">
        <v>26988</v>
      </c>
      <c r="B7272" s="71" t="s">
        <v>16838</v>
      </c>
      <c r="C7272" s="71" t="s">
        <v>17202</v>
      </c>
    </row>
    <row r="7273">
      <c r="A7273" s="130" t="s">
        <v>26990</v>
      </c>
      <c r="B7273" s="71" t="s">
        <v>175</v>
      </c>
      <c r="C7273" s="71" t="s">
        <v>17457</v>
      </c>
    </row>
    <row r="7274">
      <c r="A7274" s="130" t="s">
        <v>26992</v>
      </c>
      <c r="B7274" s="71" t="s">
        <v>175</v>
      </c>
      <c r="C7274" s="71" t="s">
        <v>17233</v>
      </c>
    </row>
    <row r="7275">
      <c r="A7275" s="234" t="s">
        <v>26994</v>
      </c>
      <c r="B7275" s="71" t="s">
        <v>17112</v>
      </c>
      <c r="C7275" s="71" t="s">
        <v>17218</v>
      </c>
    </row>
    <row r="7276">
      <c r="A7276" s="234" t="s">
        <v>26994</v>
      </c>
      <c r="B7276" s="71" t="s">
        <v>17218</v>
      </c>
      <c r="C7276" s="71" t="s">
        <v>17112</v>
      </c>
    </row>
    <row r="7277">
      <c r="A7277" s="130" t="s">
        <v>26997</v>
      </c>
      <c r="B7277" s="71" t="s">
        <v>187</v>
      </c>
      <c r="C7277" s="71" t="s">
        <v>16969</v>
      </c>
    </row>
    <row r="7278">
      <c r="A7278" s="130" t="s">
        <v>26999</v>
      </c>
      <c r="B7278" s="71" t="s">
        <v>175</v>
      </c>
      <c r="C7278" s="71" t="s">
        <v>16854</v>
      </c>
    </row>
    <row r="7279">
      <c r="A7279" s="130" t="s">
        <v>27001</v>
      </c>
      <c r="B7279" s="71" t="s">
        <v>158</v>
      </c>
      <c r="C7279" s="71" t="s">
        <v>17171</v>
      </c>
    </row>
    <row r="7280">
      <c r="A7280" s="130" t="s">
        <v>27003</v>
      </c>
      <c r="B7280" s="71" t="s">
        <v>187</v>
      </c>
      <c r="C7280" s="71" t="s">
        <v>16851</v>
      </c>
    </row>
    <row r="7281">
      <c r="A7281" s="130" t="s">
        <v>27005</v>
      </c>
      <c r="B7281" s="71" t="s">
        <v>187</v>
      </c>
      <c r="C7281" s="71" t="s">
        <v>16846</v>
      </c>
    </row>
    <row r="7282">
      <c r="A7282" s="234" t="s">
        <v>27007</v>
      </c>
      <c r="B7282" s="71" t="s">
        <v>17259</v>
      </c>
      <c r="C7282" s="71" t="s">
        <v>187</v>
      </c>
    </row>
    <row r="7283">
      <c r="A7283" s="234" t="s">
        <v>27007</v>
      </c>
      <c r="B7283" s="71" t="s">
        <v>187</v>
      </c>
      <c r="C7283" s="71" t="s">
        <v>17259</v>
      </c>
    </row>
    <row r="7284">
      <c r="A7284" s="130" t="s">
        <v>27009</v>
      </c>
      <c r="B7284" s="71" t="s">
        <v>175</v>
      </c>
      <c r="C7284" s="71" t="s">
        <v>17233</v>
      </c>
    </row>
    <row r="7285">
      <c r="A7285" s="130" t="s">
        <v>27011</v>
      </c>
      <c r="B7285" s="71" t="s">
        <v>175</v>
      </c>
      <c r="C7285" s="71" t="s">
        <v>17233</v>
      </c>
    </row>
    <row r="7286">
      <c r="A7286" s="130" t="s">
        <v>27013</v>
      </c>
      <c r="B7286" s="71"/>
      <c r="C7286" s="71"/>
    </row>
    <row r="7287">
      <c r="A7287" s="130" t="s">
        <v>27015</v>
      </c>
      <c r="B7287" s="71" t="s">
        <v>175</v>
      </c>
      <c r="C7287" s="71" t="s">
        <v>19139</v>
      </c>
    </row>
    <row r="7288">
      <c r="A7288" s="234" t="s">
        <v>27017</v>
      </c>
      <c r="B7288" s="71" t="s">
        <v>175</v>
      </c>
      <c r="C7288" s="71" t="s">
        <v>17218</v>
      </c>
    </row>
    <row r="7289">
      <c r="A7289" s="234" t="s">
        <v>27017</v>
      </c>
      <c r="B7289" s="71" t="s">
        <v>17218</v>
      </c>
      <c r="C7289" s="71" t="s">
        <v>175</v>
      </c>
    </row>
    <row r="7290">
      <c r="A7290" s="234" t="s">
        <v>27019</v>
      </c>
      <c r="B7290" s="71" t="s">
        <v>175</v>
      </c>
      <c r="C7290" s="71" t="s">
        <v>16957</v>
      </c>
    </row>
    <row r="7291">
      <c r="A7291" s="234" t="s">
        <v>27019</v>
      </c>
      <c r="B7291" s="71" t="s">
        <v>16957</v>
      </c>
      <c r="C7291" s="71" t="s">
        <v>175</v>
      </c>
    </row>
    <row r="7292">
      <c r="A7292" s="130" t="s">
        <v>27021</v>
      </c>
      <c r="B7292" s="71" t="s">
        <v>187</v>
      </c>
      <c r="C7292" s="71" t="s">
        <v>16969</v>
      </c>
    </row>
    <row r="7293">
      <c r="A7293" s="130" t="s">
        <v>27023</v>
      </c>
      <c r="B7293" s="71" t="s">
        <v>175</v>
      </c>
      <c r="C7293" s="71" t="s">
        <v>16972</v>
      </c>
    </row>
    <row r="7294">
      <c r="A7294" s="130" t="s">
        <v>27025</v>
      </c>
      <c r="B7294" s="71" t="s">
        <v>175</v>
      </c>
      <c r="C7294" s="71" t="s">
        <v>16942</v>
      </c>
    </row>
    <row r="7295">
      <c r="A7295" s="130" t="s">
        <v>27027</v>
      </c>
      <c r="B7295" s="71" t="s">
        <v>169</v>
      </c>
      <c r="C7295" s="71" t="s">
        <v>16899</v>
      </c>
    </row>
    <row r="7296">
      <c r="A7296" s="130" t="s">
        <v>27029</v>
      </c>
      <c r="B7296" s="71" t="s">
        <v>187</v>
      </c>
      <c r="C7296" s="71" t="s">
        <v>16846</v>
      </c>
    </row>
    <row r="7297">
      <c r="A7297" s="130" t="s">
        <v>27031</v>
      </c>
      <c r="B7297" s="71" t="s">
        <v>16838</v>
      </c>
      <c r="C7297" s="71" t="s">
        <v>17016</v>
      </c>
    </row>
    <row r="7298">
      <c r="A7298" s="130" t="s">
        <v>27033</v>
      </c>
      <c r="B7298" s="71" t="s">
        <v>16926</v>
      </c>
      <c r="C7298" s="71" t="s">
        <v>16957</v>
      </c>
    </row>
    <row r="7299">
      <c r="A7299" s="234" t="s">
        <v>27035</v>
      </c>
      <c r="B7299" s="71" t="s">
        <v>16885</v>
      </c>
      <c r="C7299" s="71" t="s">
        <v>16886</v>
      </c>
    </row>
    <row r="7300">
      <c r="A7300" s="234" t="s">
        <v>27035</v>
      </c>
      <c r="B7300" s="71" t="s">
        <v>16886</v>
      </c>
      <c r="C7300" s="130" t="s">
        <v>16885</v>
      </c>
    </row>
    <row r="7301">
      <c r="A7301" s="130" t="s">
        <v>27037</v>
      </c>
      <c r="B7301" s="71" t="s">
        <v>187</v>
      </c>
      <c r="C7301" s="71" t="s">
        <v>16846</v>
      </c>
    </row>
    <row r="7302">
      <c r="A7302" s="130" t="s">
        <v>27039</v>
      </c>
      <c r="B7302" s="71" t="s">
        <v>187</v>
      </c>
      <c r="C7302" s="71" t="s">
        <v>16846</v>
      </c>
    </row>
    <row r="7303">
      <c r="A7303" s="234" t="s">
        <v>27041</v>
      </c>
      <c r="B7303" s="71" t="s">
        <v>187</v>
      </c>
      <c r="C7303" s="71" t="s">
        <v>16969</v>
      </c>
    </row>
    <row r="7304">
      <c r="A7304" s="234" t="s">
        <v>27041</v>
      </c>
      <c r="B7304" s="71" t="s">
        <v>16969</v>
      </c>
      <c r="C7304" s="130" t="s">
        <v>187</v>
      </c>
    </row>
    <row r="7305">
      <c r="A7305" s="130" t="s">
        <v>27043</v>
      </c>
      <c r="B7305" s="71" t="s">
        <v>16838</v>
      </c>
      <c r="C7305" s="71" t="s">
        <v>17016</v>
      </c>
    </row>
    <row r="7306">
      <c r="A7306" s="130" t="s">
        <v>27045</v>
      </c>
      <c r="B7306" s="71" t="s">
        <v>16838</v>
      </c>
      <c r="C7306" s="71" t="s">
        <v>17112</v>
      </c>
    </row>
    <row r="7307">
      <c r="A7307" s="130" t="s">
        <v>27047</v>
      </c>
      <c r="B7307" s="71" t="s">
        <v>158</v>
      </c>
      <c r="C7307" s="71" t="s">
        <v>16864</v>
      </c>
    </row>
    <row r="7308">
      <c r="A7308" s="130" t="s">
        <v>27049</v>
      </c>
      <c r="B7308" s="71" t="s">
        <v>17112</v>
      </c>
      <c r="C7308" s="71" t="s">
        <v>17111</v>
      </c>
    </row>
    <row r="7309">
      <c r="A7309" s="130" t="s">
        <v>27051</v>
      </c>
      <c r="B7309" s="71" t="s">
        <v>16582</v>
      </c>
      <c r="C7309" s="71" t="s">
        <v>17183</v>
      </c>
    </row>
    <row r="7310">
      <c r="A7310" s="130" t="s">
        <v>27053</v>
      </c>
      <c r="B7310" s="71" t="s">
        <v>187</v>
      </c>
      <c r="C7310" s="71" t="s">
        <v>17559</v>
      </c>
    </row>
    <row r="7311">
      <c r="A7311" s="234" t="s">
        <v>27055</v>
      </c>
      <c r="B7311" s="71" t="s">
        <v>17112</v>
      </c>
      <c r="C7311" s="71" t="s">
        <v>17218</v>
      </c>
    </row>
    <row r="7312">
      <c r="A7312" s="234" t="s">
        <v>27055</v>
      </c>
      <c r="B7312" s="71" t="s">
        <v>17218</v>
      </c>
      <c r="C7312" s="130" t="s">
        <v>17112</v>
      </c>
    </row>
    <row r="7313">
      <c r="A7313" s="130" t="s">
        <v>27057</v>
      </c>
      <c r="B7313" s="71" t="s">
        <v>175</v>
      </c>
      <c r="C7313" s="71" t="s">
        <v>16942</v>
      </c>
    </row>
    <row r="7314">
      <c r="A7314" s="130" t="s">
        <v>27059</v>
      </c>
      <c r="B7314" s="71" t="s">
        <v>17112</v>
      </c>
      <c r="C7314" s="71" t="s">
        <v>17218</v>
      </c>
    </row>
    <row r="7315">
      <c r="A7315" s="130" t="s">
        <v>27061</v>
      </c>
      <c r="B7315" s="71" t="s">
        <v>175</v>
      </c>
      <c r="C7315" s="71" t="s">
        <v>16854</v>
      </c>
    </row>
    <row r="7316">
      <c r="A7316" s="234" t="s">
        <v>27063</v>
      </c>
      <c r="B7316" s="71" t="s">
        <v>16582</v>
      </c>
      <c r="C7316" s="71" t="s">
        <v>16930</v>
      </c>
    </row>
    <row r="7317">
      <c r="A7317" s="234" t="s">
        <v>27063</v>
      </c>
      <c r="B7317" s="71" t="s">
        <v>16930</v>
      </c>
      <c r="C7317" s="71" t="s">
        <v>16582</v>
      </c>
    </row>
    <row r="7318">
      <c r="A7318" s="234" t="s">
        <v>27065</v>
      </c>
      <c r="B7318" s="71" t="s">
        <v>19579</v>
      </c>
      <c r="C7318" s="71" t="s">
        <v>16838</v>
      </c>
    </row>
    <row r="7319">
      <c r="A7319" s="234" t="s">
        <v>27065</v>
      </c>
      <c r="B7319" s="71" t="s">
        <v>16838</v>
      </c>
      <c r="C7319" s="71" t="s">
        <v>19579</v>
      </c>
    </row>
    <row r="7320">
      <c r="A7320" s="130" t="s">
        <v>27067</v>
      </c>
      <c r="B7320" s="71" t="s">
        <v>187</v>
      </c>
      <c r="C7320" s="71" t="s">
        <v>16969</v>
      </c>
    </row>
    <row r="7321">
      <c r="A7321" s="130" t="s">
        <v>27069</v>
      </c>
      <c r="B7321" s="71" t="s">
        <v>175</v>
      </c>
      <c r="C7321" s="71" t="s">
        <v>18570</v>
      </c>
    </row>
    <row r="7322">
      <c r="A7322" s="130" t="s">
        <v>27071</v>
      </c>
      <c r="B7322" s="71" t="s">
        <v>175</v>
      </c>
      <c r="C7322" s="71" t="s">
        <v>16942</v>
      </c>
    </row>
    <row r="7323">
      <c r="A7323" s="130" t="s">
        <v>27073</v>
      </c>
      <c r="B7323" s="71" t="s">
        <v>187</v>
      </c>
      <c r="C7323" s="71" t="s">
        <v>16846</v>
      </c>
    </row>
    <row r="7324">
      <c r="A7324" s="130" t="s">
        <v>27075</v>
      </c>
      <c r="B7324" s="71" t="s">
        <v>16838</v>
      </c>
      <c r="C7324" s="71" t="s">
        <v>17016</v>
      </c>
    </row>
    <row r="7325">
      <c r="A7325" s="130" t="s">
        <v>27077</v>
      </c>
      <c r="B7325" s="71" t="s">
        <v>16582</v>
      </c>
      <c r="C7325" s="71" t="s">
        <v>17183</v>
      </c>
    </row>
    <row r="7326">
      <c r="A7326" s="130" t="s">
        <v>27079</v>
      </c>
      <c r="B7326" s="71" t="s">
        <v>16838</v>
      </c>
      <c r="C7326" s="71" t="s">
        <v>17019</v>
      </c>
    </row>
    <row r="7327">
      <c r="A7327" s="130" t="s">
        <v>27081</v>
      </c>
      <c r="B7327" s="71" t="s">
        <v>16582</v>
      </c>
      <c r="C7327" s="71" t="s">
        <v>16828</v>
      </c>
    </row>
    <row r="7328">
      <c r="A7328" s="130" t="s">
        <v>27083</v>
      </c>
      <c r="B7328" s="71" t="s">
        <v>187</v>
      </c>
      <c r="C7328" s="71" t="s">
        <v>16846</v>
      </c>
    </row>
    <row r="7329">
      <c r="A7329" s="130" t="s">
        <v>27085</v>
      </c>
      <c r="B7329" s="71" t="s">
        <v>16885</v>
      </c>
      <c r="C7329" s="71" t="s">
        <v>16886</v>
      </c>
    </row>
    <row r="7330">
      <c r="A7330" s="130" t="s">
        <v>27087</v>
      </c>
      <c r="B7330" s="71" t="s">
        <v>16885</v>
      </c>
      <c r="C7330" s="71" t="s">
        <v>17726</v>
      </c>
    </row>
    <row r="7331">
      <c r="A7331" s="234" t="s">
        <v>27089</v>
      </c>
      <c r="B7331" s="71" t="s">
        <v>17112</v>
      </c>
      <c r="C7331" s="71" t="s">
        <v>17218</v>
      </c>
    </row>
    <row r="7332">
      <c r="A7332" s="234" t="s">
        <v>27089</v>
      </c>
      <c r="B7332" s="71" t="s">
        <v>17218</v>
      </c>
      <c r="C7332" s="71" t="s">
        <v>17112</v>
      </c>
    </row>
    <row r="7333">
      <c r="A7333" s="234" t="s">
        <v>27091</v>
      </c>
      <c r="B7333" s="71" t="s">
        <v>16582</v>
      </c>
      <c r="C7333" s="71" t="s">
        <v>16930</v>
      </c>
    </row>
    <row r="7334">
      <c r="A7334" s="234" t="s">
        <v>27091</v>
      </c>
      <c r="B7334" s="71" t="s">
        <v>16930</v>
      </c>
      <c r="C7334" s="130" t="s">
        <v>16582</v>
      </c>
    </row>
    <row r="7335">
      <c r="A7335" s="130" t="s">
        <v>27093</v>
      </c>
      <c r="B7335" s="71" t="s">
        <v>175</v>
      </c>
      <c r="C7335" s="71" t="s">
        <v>16854</v>
      </c>
    </row>
    <row r="7336">
      <c r="A7336" s="130" t="s">
        <v>27095</v>
      </c>
      <c r="B7336" s="71" t="s">
        <v>16919</v>
      </c>
      <c r="C7336" s="71" t="s">
        <v>16957</v>
      </c>
    </row>
    <row r="7337">
      <c r="A7337" s="130" t="s">
        <v>27097</v>
      </c>
      <c r="B7337" s="71" t="s">
        <v>175</v>
      </c>
      <c r="C7337" s="71" t="s">
        <v>18723</v>
      </c>
    </row>
    <row r="7338">
      <c r="A7338" s="130" t="s">
        <v>27099</v>
      </c>
      <c r="B7338" s="71" t="s">
        <v>16582</v>
      </c>
      <c r="C7338" s="71" t="s">
        <v>16583</v>
      </c>
    </row>
    <row r="7339">
      <c r="A7339" s="130" t="s">
        <v>27101</v>
      </c>
      <c r="B7339" s="71" t="s">
        <v>187</v>
      </c>
      <c r="C7339" s="71" t="s">
        <v>16846</v>
      </c>
    </row>
    <row r="7340">
      <c r="A7340" s="234" t="s">
        <v>27103</v>
      </c>
      <c r="B7340" s="71" t="s">
        <v>187</v>
      </c>
      <c r="C7340" s="71" t="s">
        <v>16846</v>
      </c>
    </row>
    <row r="7341">
      <c r="A7341" s="234" t="s">
        <v>27103</v>
      </c>
      <c r="B7341" s="71" t="s">
        <v>16846</v>
      </c>
      <c r="C7341" s="130" t="s">
        <v>187</v>
      </c>
    </row>
    <row r="7342">
      <c r="A7342" s="130" t="s">
        <v>27105</v>
      </c>
      <c r="B7342" s="71" t="s">
        <v>187</v>
      </c>
      <c r="C7342" s="71" t="s">
        <v>16858</v>
      </c>
    </row>
    <row r="7343">
      <c r="A7343" s="130" t="s">
        <v>27107</v>
      </c>
      <c r="B7343" s="71" t="s">
        <v>187</v>
      </c>
      <c r="C7343" s="71" t="s">
        <v>16846</v>
      </c>
    </row>
    <row r="7344">
      <c r="A7344" s="130" t="s">
        <v>27109</v>
      </c>
      <c r="B7344" s="71" t="s">
        <v>16926</v>
      </c>
      <c r="C7344" s="71" t="s">
        <v>16957</v>
      </c>
    </row>
    <row r="7345">
      <c r="A7345" s="130" t="s">
        <v>27111</v>
      </c>
      <c r="B7345" s="71" t="s">
        <v>187</v>
      </c>
      <c r="C7345" s="71" t="s">
        <v>16858</v>
      </c>
    </row>
    <row r="7346">
      <c r="A7346" s="130" t="s">
        <v>27113</v>
      </c>
      <c r="B7346" s="71"/>
      <c r="C7346" s="71"/>
    </row>
    <row r="7347">
      <c r="A7347" s="234" t="s">
        <v>27115</v>
      </c>
      <c r="B7347" s="71" t="s">
        <v>175</v>
      </c>
      <c r="C7347" s="71" t="s">
        <v>17391</v>
      </c>
    </row>
    <row r="7348">
      <c r="A7348" s="234" t="s">
        <v>27115</v>
      </c>
      <c r="B7348" s="71" t="s">
        <v>17391</v>
      </c>
      <c r="C7348" s="130" t="s">
        <v>175</v>
      </c>
    </row>
    <row r="7349">
      <c r="A7349" s="130" t="s">
        <v>27117</v>
      </c>
      <c r="B7349" s="71" t="s">
        <v>16582</v>
      </c>
      <c r="C7349" s="71" t="s">
        <v>16930</v>
      </c>
    </row>
    <row r="7350">
      <c r="A7350" s="130" t="s">
        <v>27119</v>
      </c>
      <c r="B7350" s="71" t="s">
        <v>16910</v>
      </c>
      <c r="C7350" s="71" t="s">
        <v>17662</v>
      </c>
    </row>
    <row r="7351">
      <c r="A7351" s="130" t="s">
        <v>27121</v>
      </c>
      <c r="B7351" s="71" t="s">
        <v>16582</v>
      </c>
      <c r="C7351" s="71" t="s">
        <v>16817</v>
      </c>
    </row>
    <row r="7352">
      <c r="A7352" s="130" t="s">
        <v>27123</v>
      </c>
      <c r="B7352" s="71" t="s">
        <v>187</v>
      </c>
      <c r="C7352" s="71" t="s">
        <v>16846</v>
      </c>
    </row>
    <row r="7353">
      <c r="A7353" s="130" t="s">
        <v>27125</v>
      </c>
      <c r="B7353" s="71" t="s">
        <v>16582</v>
      </c>
      <c r="C7353" s="71" t="s">
        <v>17339</v>
      </c>
    </row>
    <row r="7354">
      <c r="A7354" s="130" t="s">
        <v>27127</v>
      </c>
      <c r="B7354" s="71" t="s">
        <v>187</v>
      </c>
      <c r="C7354" s="71" t="s">
        <v>16969</v>
      </c>
    </row>
    <row r="7355">
      <c r="A7355" s="130" t="s">
        <v>27129</v>
      </c>
      <c r="B7355" s="71" t="s">
        <v>16582</v>
      </c>
      <c r="C7355" s="71" t="s">
        <v>16899</v>
      </c>
    </row>
    <row r="7356">
      <c r="A7356" s="130" t="s">
        <v>27131</v>
      </c>
      <c r="B7356" s="71" t="s">
        <v>187</v>
      </c>
      <c r="C7356" s="71" t="s">
        <v>16846</v>
      </c>
    </row>
    <row r="7357">
      <c r="A7357" s="130" t="s">
        <v>27133</v>
      </c>
      <c r="B7357" s="71" t="s">
        <v>187</v>
      </c>
      <c r="C7357" s="71" t="s">
        <v>20543</v>
      </c>
    </row>
    <row r="7358">
      <c r="A7358" s="130" t="s">
        <v>27135</v>
      </c>
      <c r="B7358" s="71" t="s">
        <v>187</v>
      </c>
      <c r="C7358" s="71" t="s">
        <v>16846</v>
      </c>
    </row>
    <row r="7359">
      <c r="A7359" s="130" t="s">
        <v>27137</v>
      </c>
      <c r="B7359" s="71" t="s">
        <v>16926</v>
      </c>
      <c r="C7359" s="71" t="s">
        <v>16957</v>
      </c>
    </row>
    <row r="7360">
      <c r="A7360" s="130" t="s">
        <v>27139</v>
      </c>
      <c r="B7360" s="71" t="s">
        <v>17112</v>
      </c>
      <c r="C7360" s="71" t="s">
        <v>17218</v>
      </c>
    </row>
    <row r="7361">
      <c r="A7361" s="234" t="s">
        <v>27141</v>
      </c>
      <c r="B7361" s="71" t="s">
        <v>169</v>
      </c>
      <c r="C7361" s="71" t="s">
        <v>17738</v>
      </c>
    </row>
    <row r="7362">
      <c r="A7362" s="234" t="s">
        <v>27141</v>
      </c>
      <c r="B7362" s="71" t="s">
        <v>17738</v>
      </c>
      <c r="C7362" s="71" t="s">
        <v>169</v>
      </c>
    </row>
    <row r="7363">
      <c r="A7363" s="130" t="s">
        <v>27143</v>
      </c>
      <c r="B7363" s="71" t="s">
        <v>169</v>
      </c>
      <c r="C7363" s="71" t="s">
        <v>16957</v>
      </c>
    </row>
    <row r="7364">
      <c r="A7364" s="130" t="s">
        <v>27145</v>
      </c>
      <c r="B7364" s="71" t="s">
        <v>175</v>
      </c>
      <c r="C7364" s="71" t="s">
        <v>17233</v>
      </c>
    </row>
    <row r="7365">
      <c r="A7365" s="130" t="s">
        <v>27147</v>
      </c>
      <c r="B7365" s="71" t="s">
        <v>16582</v>
      </c>
      <c r="C7365" s="71" t="s">
        <v>16930</v>
      </c>
    </row>
    <row r="7366">
      <c r="A7366" s="130" t="s">
        <v>27149</v>
      </c>
      <c r="B7366" s="71" t="s">
        <v>187</v>
      </c>
      <c r="C7366" s="71" t="s">
        <v>16846</v>
      </c>
    </row>
    <row r="7367">
      <c r="A7367" s="234" t="s">
        <v>27151</v>
      </c>
      <c r="B7367" s="71" t="s">
        <v>169</v>
      </c>
      <c r="C7367" s="71" t="s">
        <v>17022</v>
      </c>
    </row>
    <row r="7368">
      <c r="A7368" s="234" t="s">
        <v>27151</v>
      </c>
      <c r="B7368" s="71" t="s">
        <v>17022</v>
      </c>
      <c r="C7368" s="130" t="s">
        <v>169</v>
      </c>
    </row>
    <row r="7369">
      <c r="A7369" s="130" t="s">
        <v>27153</v>
      </c>
      <c r="B7369" s="71" t="s">
        <v>16910</v>
      </c>
      <c r="C7369" s="71" t="s">
        <v>16911</v>
      </c>
    </row>
    <row r="7370">
      <c r="A7370" s="130" t="s">
        <v>27155</v>
      </c>
      <c r="B7370" s="71" t="s">
        <v>187</v>
      </c>
      <c r="C7370" s="71" t="s">
        <v>17122</v>
      </c>
    </row>
    <row r="7371">
      <c r="A7371" s="130" t="s">
        <v>27157</v>
      </c>
      <c r="B7371" s="71" t="s">
        <v>175</v>
      </c>
      <c r="C7371" s="71" t="s">
        <v>17183</v>
      </c>
    </row>
    <row r="7372">
      <c r="A7372" s="234" t="s">
        <v>27159</v>
      </c>
      <c r="B7372" s="71" t="s">
        <v>158</v>
      </c>
      <c r="C7372" s="71" t="s">
        <v>16864</v>
      </c>
    </row>
    <row r="7373">
      <c r="A7373" s="234" t="s">
        <v>27159</v>
      </c>
      <c r="B7373" s="71" t="s">
        <v>16864</v>
      </c>
      <c r="C7373" s="130" t="s">
        <v>158</v>
      </c>
    </row>
    <row r="7374">
      <c r="A7374" s="130" t="s">
        <v>27161</v>
      </c>
      <c r="B7374" s="71" t="s">
        <v>16582</v>
      </c>
      <c r="C7374" s="71" t="s">
        <v>16930</v>
      </c>
    </row>
    <row r="7375">
      <c r="A7375" s="234" t="s">
        <v>27163</v>
      </c>
      <c r="B7375" s="71" t="s">
        <v>16582</v>
      </c>
      <c r="C7375" s="71" t="s">
        <v>16817</v>
      </c>
    </row>
    <row r="7376">
      <c r="A7376" s="234" t="s">
        <v>27163</v>
      </c>
      <c r="B7376" s="71" t="s">
        <v>16817</v>
      </c>
      <c r="C7376" s="130" t="s">
        <v>16582</v>
      </c>
    </row>
    <row r="7377">
      <c r="A7377" s="130" t="s">
        <v>27165</v>
      </c>
      <c r="B7377" s="71" t="s">
        <v>187</v>
      </c>
      <c r="C7377" s="71" t="s">
        <v>16969</v>
      </c>
    </row>
    <row r="7378">
      <c r="A7378" s="130" t="s">
        <v>27167</v>
      </c>
      <c r="B7378" s="71" t="s">
        <v>187</v>
      </c>
      <c r="C7378" s="71" t="s">
        <v>16846</v>
      </c>
    </row>
    <row r="7379">
      <c r="A7379" s="130" t="s">
        <v>27169</v>
      </c>
      <c r="B7379" s="71" t="s">
        <v>187</v>
      </c>
      <c r="C7379" s="71" t="s">
        <v>17509</v>
      </c>
    </row>
    <row r="7380">
      <c r="A7380" s="130" t="s">
        <v>27171</v>
      </c>
      <c r="B7380" s="71" t="s">
        <v>187</v>
      </c>
      <c r="C7380" s="71" t="s">
        <v>16846</v>
      </c>
    </row>
    <row r="7381">
      <c r="A7381" s="234" t="s">
        <v>27173</v>
      </c>
      <c r="B7381" s="71" t="s">
        <v>16838</v>
      </c>
      <c r="C7381" s="71" t="s">
        <v>18219</v>
      </c>
    </row>
    <row r="7382">
      <c r="A7382" s="234" t="s">
        <v>27173</v>
      </c>
      <c r="B7382" s="71" t="s">
        <v>18219</v>
      </c>
      <c r="C7382" s="71" t="s">
        <v>16838</v>
      </c>
    </row>
    <row r="7383">
      <c r="A7383" s="130" t="s">
        <v>27175</v>
      </c>
      <c r="B7383" s="71" t="s">
        <v>16910</v>
      </c>
      <c r="C7383" s="71" t="s">
        <v>17119</v>
      </c>
    </row>
    <row r="7384">
      <c r="A7384" s="130" t="s">
        <v>27177</v>
      </c>
      <c r="B7384" s="71" t="s">
        <v>187</v>
      </c>
      <c r="C7384" s="71" t="s">
        <v>17564</v>
      </c>
    </row>
    <row r="7385">
      <c r="A7385" s="130" t="s">
        <v>27179</v>
      </c>
      <c r="B7385" s="71" t="s">
        <v>187</v>
      </c>
      <c r="C7385" s="71" t="s">
        <v>16846</v>
      </c>
    </row>
    <row r="7386">
      <c r="A7386" s="130" t="s">
        <v>27181</v>
      </c>
      <c r="B7386" s="71" t="s">
        <v>187</v>
      </c>
      <c r="C7386" s="71" t="s">
        <v>16846</v>
      </c>
    </row>
    <row r="7387">
      <c r="A7387" s="130" t="s">
        <v>27183</v>
      </c>
      <c r="B7387" s="71" t="s">
        <v>16582</v>
      </c>
      <c r="C7387" s="71" t="s">
        <v>16899</v>
      </c>
    </row>
    <row r="7388">
      <c r="A7388" s="130" t="s">
        <v>27185</v>
      </c>
      <c r="B7388" s="71" t="s">
        <v>187</v>
      </c>
      <c r="C7388" s="71" t="s">
        <v>16846</v>
      </c>
    </row>
    <row r="7389">
      <c r="A7389" s="234" t="s">
        <v>27187</v>
      </c>
      <c r="B7389" s="71" t="s">
        <v>175</v>
      </c>
      <c r="C7389" s="71" t="s">
        <v>19006</v>
      </c>
    </row>
    <row r="7390">
      <c r="A7390" s="234" t="s">
        <v>27187</v>
      </c>
      <c r="B7390" s="71" t="s">
        <v>19006</v>
      </c>
      <c r="C7390" s="71" t="s">
        <v>175</v>
      </c>
    </row>
    <row r="7391">
      <c r="A7391" s="130" t="s">
        <v>27189</v>
      </c>
      <c r="B7391" s="71" t="s">
        <v>187</v>
      </c>
      <c r="C7391" s="71" t="s">
        <v>18005</v>
      </c>
    </row>
    <row r="7392">
      <c r="A7392" s="130" t="s">
        <v>27191</v>
      </c>
      <c r="B7392" s="71" t="s">
        <v>16910</v>
      </c>
      <c r="C7392" s="71" t="s">
        <v>17502</v>
      </c>
    </row>
    <row r="7393">
      <c r="A7393" s="234" t="s">
        <v>27193</v>
      </c>
      <c r="B7393" s="71" t="s">
        <v>16582</v>
      </c>
      <c r="C7393" s="71" t="s">
        <v>16899</v>
      </c>
    </row>
    <row r="7394">
      <c r="A7394" s="234" t="s">
        <v>27193</v>
      </c>
      <c r="B7394" s="71" t="s">
        <v>16899</v>
      </c>
      <c r="C7394" s="130" t="s">
        <v>16582</v>
      </c>
    </row>
    <row r="7395">
      <c r="A7395" s="235" t="s">
        <v>27195</v>
      </c>
      <c r="B7395" s="236" t="s">
        <v>187</v>
      </c>
      <c r="C7395" s="236" t="s">
        <v>16846</v>
      </c>
    </row>
    <row r="7396">
      <c r="A7396" s="237" t="s">
        <v>27197</v>
      </c>
      <c r="B7396" s="238"/>
      <c r="C7396" s="238"/>
    </row>
    <row r="7397">
      <c r="A7397" s="130" t="s">
        <v>27199</v>
      </c>
      <c r="B7397" s="239" t="s">
        <v>17629</v>
      </c>
      <c r="C7397" s="71" t="s">
        <v>16899</v>
      </c>
    </row>
    <row r="7398">
      <c r="A7398" s="130" t="s">
        <v>27201</v>
      </c>
      <c r="B7398" s="239" t="s">
        <v>16910</v>
      </c>
      <c r="C7398" s="71" t="s">
        <v>17013</v>
      </c>
    </row>
    <row r="7399">
      <c r="A7399" s="130" t="s">
        <v>27203</v>
      </c>
      <c r="B7399" s="239" t="s">
        <v>158</v>
      </c>
      <c r="C7399" s="71" t="s">
        <v>16864</v>
      </c>
    </row>
    <row r="7400">
      <c r="A7400" s="130" t="s">
        <v>27205</v>
      </c>
      <c r="B7400" s="239" t="s">
        <v>187</v>
      </c>
      <c r="C7400" s="71" t="s">
        <v>16858</v>
      </c>
    </row>
    <row r="7401">
      <c r="A7401" s="130" t="s">
        <v>27207</v>
      </c>
      <c r="B7401" s="71"/>
      <c r="C7401" s="71"/>
    </row>
    <row r="7402">
      <c r="A7402" s="130" t="s">
        <v>27209</v>
      </c>
      <c r="B7402" s="239" t="s">
        <v>175</v>
      </c>
      <c r="C7402" s="71" t="s">
        <v>17069</v>
      </c>
    </row>
    <row r="7403">
      <c r="A7403" s="130" t="s">
        <v>27211</v>
      </c>
      <c r="B7403" s="239" t="s">
        <v>16582</v>
      </c>
      <c r="C7403" s="71" t="s">
        <v>16817</v>
      </c>
    </row>
    <row r="7404">
      <c r="A7404" s="130" t="s">
        <v>27213</v>
      </c>
      <c r="B7404" s="239" t="s">
        <v>16582</v>
      </c>
      <c r="C7404" s="71" t="s">
        <v>16817</v>
      </c>
    </row>
    <row r="7405">
      <c r="A7405" s="234" t="s">
        <v>27215</v>
      </c>
      <c r="B7405" s="239" t="s">
        <v>158</v>
      </c>
      <c r="C7405" s="71" t="s">
        <v>16864</v>
      </c>
    </row>
    <row r="7406">
      <c r="A7406" s="234" t="s">
        <v>27215</v>
      </c>
      <c r="B7406" s="239" t="s">
        <v>16864</v>
      </c>
      <c r="C7406" s="71" t="s">
        <v>158</v>
      </c>
    </row>
    <row r="7407">
      <c r="A7407" s="234" t="s">
        <v>27217</v>
      </c>
      <c r="B7407" s="239" t="s">
        <v>158</v>
      </c>
      <c r="C7407" s="71" t="s">
        <v>16864</v>
      </c>
    </row>
    <row r="7408">
      <c r="A7408" s="234" t="s">
        <v>27217</v>
      </c>
      <c r="B7408" s="239" t="s">
        <v>16864</v>
      </c>
      <c r="C7408" s="130" t="s">
        <v>158</v>
      </c>
    </row>
    <row r="7409">
      <c r="A7409" s="234" t="s">
        <v>27219</v>
      </c>
      <c r="B7409" s="239" t="s">
        <v>158</v>
      </c>
      <c r="C7409" s="71" t="s">
        <v>16864</v>
      </c>
    </row>
    <row r="7410">
      <c r="A7410" s="234" t="s">
        <v>27219</v>
      </c>
      <c r="B7410" s="239" t="s">
        <v>16864</v>
      </c>
      <c r="C7410" s="130" t="s">
        <v>158</v>
      </c>
    </row>
    <row r="7411">
      <c r="A7411" s="130" t="s">
        <v>27221</v>
      </c>
      <c r="B7411" s="239" t="s">
        <v>187</v>
      </c>
      <c r="C7411" s="71" t="s">
        <v>16858</v>
      </c>
    </row>
    <row r="7412">
      <c r="A7412" s="234" t="s">
        <v>27223</v>
      </c>
      <c r="B7412" s="239" t="s">
        <v>18718</v>
      </c>
      <c r="C7412" s="71" t="s">
        <v>17629</v>
      </c>
    </row>
    <row r="7413">
      <c r="A7413" s="234" t="s">
        <v>27223</v>
      </c>
      <c r="B7413" s="239" t="s">
        <v>17629</v>
      </c>
      <c r="C7413" s="71" t="s">
        <v>18718</v>
      </c>
    </row>
    <row r="7414">
      <c r="A7414" s="130" t="s">
        <v>27225</v>
      </c>
      <c r="B7414" s="239" t="s">
        <v>187</v>
      </c>
      <c r="C7414" s="71" t="s">
        <v>16851</v>
      </c>
    </row>
    <row r="7415">
      <c r="A7415" s="234" t="s">
        <v>27227</v>
      </c>
      <c r="B7415" s="239" t="s">
        <v>16582</v>
      </c>
      <c r="C7415" s="71" t="s">
        <v>16899</v>
      </c>
    </row>
    <row r="7416">
      <c r="A7416" s="234" t="s">
        <v>27227</v>
      </c>
      <c r="B7416" s="239" t="s">
        <v>16899</v>
      </c>
      <c r="C7416" s="130" t="s">
        <v>16582</v>
      </c>
    </row>
    <row r="7417">
      <c r="A7417" s="234" t="s">
        <v>27229</v>
      </c>
      <c r="B7417" s="239" t="s">
        <v>158</v>
      </c>
      <c r="C7417" s="71" t="s">
        <v>16864</v>
      </c>
    </row>
    <row r="7418">
      <c r="A7418" s="234" t="s">
        <v>27229</v>
      </c>
      <c r="B7418" s="239" t="s">
        <v>16864</v>
      </c>
      <c r="C7418" s="130" t="s">
        <v>158</v>
      </c>
    </row>
    <row r="7419">
      <c r="A7419" s="234" t="s">
        <v>27231</v>
      </c>
      <c r="B7419" s="239" t="s">
        <v>16582</v>
      </c>
      <c r="C7419" s="71" t="s">
        <v>16828</v>
      </c>
    </row>
    <row r="7420">
      <c r="A7420" s="234" t="s">
        <v>27231</v>
      </c>
      <c r="B7420" s="239" t="s">
        <v>16828</v>
      </c>
      <c r="C7420" s="71" t="s">
        <v>16582</v>
      </c>
    </row>
    <row r="7421">
      <c r="A7421" s="130" t="s">
        <v>27233</v>
      </c>
      <c r="B7421" s="239" t="s">
        <v>175</v>
      </c>
      <c r="C7421" s="71" t="s">
        <v>16854</v>
      </c>
    </row>
    <row r="7422">
      <c r="A7422" s="130" t="s">
        <v>27235</v>
      </c>
      <c r="B7422" s="239" t="s">
        <v>16838</v>
      </c>
      <c r="C7422" s="71" t="s">
        <v>17112</v>
      </c>
    </row>
    <row r="7423">
      <c r="A7423" s="130" t="s">
        <v>27237</v>
      </c>
      <c r="B7423" s="239" t="s">
        <v>16582</v>
      </c>
      <c r="C7423" s="71" t="s">
        <v>16817</v>
      </c>
    </row>
    <row r="7424">
      <c r="A7424" s="130" t="s">
        <v>27239</v>
      </c>
      <c r="B7424" s="239" t="s">
        <v>187</v>
      </c>
      <c r="C7424" s="71" t="s">
        <v>16846</v>
      </c>
    </row>
    <row r="7425">
      <c r="A7425" s="130" t="s">
        <v>27241</v>
      </c>
      <c r="B7425" s="239" t="s">
        <v>187</v>
      </c>
      <c r="C7425" s="71" t="s">
        <v>16846</v>
      </c>
    </row>
    <row r="7426">
      <c r="A7426" s="130" t="s">
        <v>27243</v>
      </c>
      <c r="B7426" s="239" t="s">
        <v>175</v>
      </c>
      <c r="C7426" s="71" t="s">
        <v>16842</v>
      </c>
    </row>
    <row r="7427">
      <c r="A7427" s="130" t="s">
        <v>27245</v>
      </c>
      <c r="B7427" s="239" t="s">
        <v>175</v>
      </c>
      <c r="C7427" s="71" t="s">
        <v>16957</v>
      </c>
    </row>
    <row r="7428">
      <c r="A7428" s="234" t="s">
        <v>27247</v>
      </c>
      <c r="B7428" s="239" t="s">
        <v>187</v>
      </c>
      <c r="C7428" s="71" t="s">
        <v>16846</v>
      </c>
    </row>
    <row r="7429">
      <c r="A7429" s="234" t="s">
        <v>27247</v>
      </c>
      <c r="B7429" s="239" t="s">
        <v>16846</v>
      </c>
      <c r="C7429" s="130" t="s">
        <v>187</v>
      </c>
    </row>
    <row r="7430">
      <c r="A7430" s="130" t="s">
        <v>27249</v>
      </c>
      <c r="B7430" s="239" t="s">
        <v>187</v>
      </c>
      <c r="C7430" s="71" t="s">
        <v>16846</v>
      </c>
    </row>
    <row r="7431">
      <c r="A7431" s="130" t="s">
        <v>27251</v>
      </c>
      <c r="B7431" s="239" t="s">
        <v>187</v>
      </c>
      <c r="C7431" s="71" t="s">
        <v>16851</v>
      </c>
    </row>
    <row r="7432">
      <c r="A7432" s="234" t="s">
        <v>27253</v>
      </c>
      <c r="B7432" s="239" t="s">
        <v>16910</v>
      </c>
      <c r="C7432" s="71" t="s">
        <v>17662</v>
      </c>
    </row>
    <row r="7433">
      <c r="A7433" s="234" t="s">
        <v>27253</v>
      </c>
      <c r="B7433" s="239" t="s">
        <v>17662</v>
      </c>
      <c r="C7433" s="71" t="s">
        <v>16910</v>
      </c>
    </row>
    <row r="7434">
      <c r="A7434" s="130" t="s">
        <v>27255</v>
      </c>
      <c r="B7434" s="239" t="s">
        <v>175</v>
      </c>
      <c r="C7434" s="71" t="s">
        <v>17218</v>
      </c>
    </row>
    <row r="7435">
      <c r="A7435" s="234" t="s">
        <v>27257</v>
      </c>
      <c r="B7435" s="239" t="s">
        <v>17112</v>
      </c>
      <c r="C7435" s="71" t="s">
        <v>17218</v>
      </c>
    </row>
    <row r="7436">
      <c r="A7436" s="234" t="s">
        <v>27257</v>
      </c>
      <c r="B7436" s="239" t="s">
        <v>17218</v>
      </c>
      <c r="C7436" s="71" t="s">
        <v>17112</v>
      </c>
    </row>
    <row r="7437">
      <c r="A7437" s="130" t="s">
        <v>27259</v>
      </c>
      <c r="B7437" s="239" t="s">
        <v>16582</v>
      </c>
      <c r="C7437" s="71" t="s">
        <v>16828</v>
      </c>
    </row>
    <row r="7438">
      <c r="A7438" s="130" t="s">
        <v>27261</v>
      </c>
      <c r="B7438" s="239" t="s">
        <v>175</v>
      </c>
      <c r="C7438" s="71" t="s">
        <v>17619</v>
      </c>
    </row>
    <row r="7439">
      <c r="A7439" s="234" t="s">
        <v>27263</v>
      </c>
      <c r="B7439" s="239" t="s">
        <v>16885</v>
      </c>
      <c r="C7439" s="71" t="s">
        <v>17726</v>
      </c>
    </row>
    <row r="7440">
      <c r="A7440" s="234" t="s">
        <v>27263</v>
      </c>
      <c r="B7440" s="239" t="s">
        <v>17726</v>
      </c>
      <c r="C7440" s="130" t="s">
        <v>16885</v>
      </c>
    </row>
    <row r="7441">
      <c r="A7441" s="130" t="s">
        <v>27265</v>
      </c>
      <c r="B7441" s="239" t="s">
        <v>187</v>
      </c>
      <c r="C7441" s="71" t="s">
        <v>16858</v>
      </c>
    </row>
    <row r="7442">
      <c r="A7442" s="130" t="s">
        <v>27267</v>
      </c>
      <c r="B7442" s="239" t="s">
        <v>16838</v>
      </c>
      <c r="C7442" s="71" t="s">
        <v>16867</v>
      </c>
    </row>
    <row r="7443">
      <c r="A7443" s="234" t="s">
        <v>27269</v>
      </c>
      <c r="B7443" s="239" t="s">
        <v>169</v>
      </c>
      <c r="C7443" s="71" t="s">
        <v>16945</v>
      </c>
    </row>
    <row r="7444">
      <c r="A7444" s="234" t="s">
        <v>27269</v>
      </c>
      <c r="B7444" s="239" t="s">
        <v>16945</v>
      </c>
      <c r="C7444" s="130" t="s">
        <v>169</v>
      </c>
    </row>
    <row r="7445">
      <c r="A7445" s="234" t="s">
        <v>27271</v>
      </c>
      <c r="B7445" s="239" t="s">
        <v>175</v>
      </c>
      <c r="C7445" s="71" t="s">
        <v>16899</v>
      </c>
    </row>
    <row r="7446">
      <c r="A7446" s="234" t="s">
        <v>27271</v>
      </c>
      <c r="B7446" s="239" t="s">
        <v>16899</v>
      </c>
      <c r="C7446" s="130" t="s">
        <v>175</v>
      </c>
    </row>
    <row r="7447">
      <c r="A7447" s="130" t="s">
        <v>27273</v>
      </c>
      <c r="B7447" s="239" t="s">
        <v>175</v>
      </c>
      <c r="C7447" s="71" t="s">
        <v>17391</v>
      </c>
    </row>
    <row r="7448">
      <c r="A7448" s="130" t="s">
        <v>27275</v>
      </c>
      <c r="B7448" s="239" t="s">
        <v>169</v>
      </c>
      <c r="C7448" s="71" t="s">
        <v>17738</v>
      </c>
    </row>
    <row r="7449">
      <c r="A7449" s="130" t="s">
        <v>27277</v>
      </c>
      <c r="B7449" s="239" t="s">
        <v>175</v>
      </c>
      <c r="C7449" s="71" t="s">
        <v>17812</v>
      </c>
    </row>
    <row r="7450">
      <c r="A7450" s="130" t="s">
        <v>27279</v>
      </c>
      <c r="B7450" s="239" t="s">
        <v>187</v>
      </c>
      <c r="C7450" s="71" t="s">
        <v>16846</v>
      </c>
    </row>
    <row r="7451">
      <c r="A7451" s="234" t="s">
        <v>27281</v>
      </c>
      <c r="B7451" s="239" t="s">
        <v>175</v>
      </c>
      <c r="C7451" s="71" t="s">
        <v>16899</v>
      </c>
    </row>
    <row r="7452">
      <c r="A7452" s="234" t="s">
        <v>27281</v>
      </c>
      <c r="B7452" s="239" t="s">
        <v>16899</v>
      </c>
      <c r="C7452" s="130" t="s">
        <v>175</v>
      </c>
    </row>
    <row r="7453">
      <c r="A7453" s="130" t="s">
        <v>27283</v>
      </c>
      <c r="B7453" s="239" t="s">
        <v>175</v>
      </c>
      <c r="C7453" s="71" t="s">
        <v>17391</v>
      </c>
    </row>
    <row r="7454">
      <c r="A7454" s="130" t="s">
        <v>27285</v>
      </c>
      <c r="B7454" s="239" t="s">
        <v>175</v>
      </c>
      <c r="C7454" s="71" t="s">
        <v>17350</v>
      </c>
    </row>
    <row r="7455">
      <c r="A7455" s="130" t="s">
        <v>27287</v>
      </c>
      <c r="B7455" s="239" t="s">
        <v>187</v>
      </c>
      <c r="C7455" s="71" t="s">
        <v>16846</v>
      </c>
    </row>
    <row r="7456">
      <c r="A7456" s="130" t="s">
        <v>27289</v>
      </c>
      <c r="B7456" s="239" t="s">
        <v>187</v>
      </c>
      <c r="C7456" s="71" t="s">
        <v>17564</v>
      </c>
    </row>
    <row r="7457">
      <c r="A7457" s="130" t="s">
        <v>27291</v>
      </c>
      <c r="B7457" s="239" t="s">
        <v>175</v>
      </c>
      <c r="C7457" s="71" t="s">
        <v>17233</v>
      </c>
    </row>
    <row r="7458">
      <c r="A7458" s="130" t="s">
        <v>27293</v>
      </c>
      <c r="B7458" s="239" t="s">
        <v>187</v>
      </c>
      <c r="C7458" s="71" t="s">
        <v>23634</v>
      </c>
    </row>
    <row r="7459">
      <c r="A7459" s="130" t="s">
        <v>27295</v>
      </c>
      <c r="B7459" s="71"/>
      <c r="C7459" s="71"/>
    </row>
    <row r="7460">
      <c r="A7460" s="234" t="s">
        <v>27297</v>
      </c>
      <c r="B7460" s="239" t="s">
        <v>169</v>
      </c>
      <c r="C7460" s="71" t="s">
        <v>17619</v>
      </c>
    </row>
    <row r="7461">
      <c r="A7461" s="234" t="s">
        <v>27297</v>
      </c>
      <c r="B7461" s="239" t="s">
        <v>17619</v>
      </c>
      <c r="C7461" s="130" t="s">
        <v>169</v>
      </c>
    </row>
    <row r="7462">
      <c r="A7462" s="234" t="s">
        <v>27299</v>
      </c>
      <c r="B7462" s="239" t="s">
        <v>187</v>
      </c>
      <c r="C7462" s="71" t="s">
        <v>16846</v>
      </c>
    </row>
    <row r="7463">
      <c r="A7463" s="234" t="s">
        <v>27299</v>
      </c>
      <c r="B7463" s="239" t="s">
        <v>16846</v>
      </c>
      <c r="C7463" s="130" t="s">
        <v>187</v>
      </c>
    </row>
    <row r="7464">
      <c r="A7464" s="130" t="s">
        <v>27301</v>
      </c>
      <c r="B7464" s="239" t="s">
        <v>16838</v>
      </c>
      <c r="C7464" s="71" t="s">
        <v>17127</v>
      </c>
    </row>
    <row r="7465">
      <c r="A7465" s="130" t="s">
        <v>27303</v>
      </c>
      <c r="B7465" s="239" t="s">
        <v>175</v>
      </c>
      <c r="C7465" s="71" t="s">
        <v>17480</v>
      </c>
    </row>
    <row r="7466">
      <c r="A7466" s="130" t="s">
        <v>27305</v>
      </c>
      <c r="B7466" s="239" t="s">
        <v>16838</v>
      </c>
      <c r="C7466" s="71" t="s">
        <v>16867</v>
      </c>
    </row>
    <row r="7467">
      <c r="A7467" s="130" t="s">
        <v>27307</v>
      </c>
      <c r="B7467" s="239" t="s">
        <v>187</v>
      </c>
      <c r="C7467" s="71" t="s">
        <v>16846</v>
      </c>
    </row>
    <row r="7468">
      <c r="A7468" s="130" t="s">
        <v>27309</v>
      </c>
      <c r="B7468" s="239" t="s">
        <v>187</v>
      </c>
      <c r="C7468" s="71" t="s">
        <v>16846</v>
      </c>
    </row>
    <row r="7469">
      <c r="A7469" s="130" t="s">
        <v>27311</v>
      </c>
      <c r="B7469" s="239" t="s">
        <v>175</v>
      </c>
      <c r="C7469" s="71" t="s">
        <v>16854</v>
      </c>
    </row>
    <row r="7470">
      <c r="A7470" s="130" t="s">
        <v>27313</v>
      </c>
      <c r="B7470" s="239" t="s">
        <v>16582</v>
      </c>
      <c r="C7470" s="71" t="s">
        <v>16899</v>
      </c>
    </row>
    <row r="7471">
      <c r="A7471" s="130" t="s">
        <v>27315</v>
      </c>
      <c r="B7471" s="239" t="s">
        <v>187</v>
      </c>
      <c r="C7471" s="71" t="s">
        <v>16846</v>
      </c>
    </row>
    <row r="7472">
      <c r="A7472" s="130" t="s">
        <v>27317</v>
      </c>
      <c r="B7472" s="239" t="s">
        <v>187</v>
      </c>
      <c r="C7472" s="71" t="s">
        <v>17122</v>
      </c>
    </row>
    <row r="7473">
      <c r="A7473" s="234" t="s">
        <v>27319</v>
      </c>
      <c r="B7473" s="239" t="s">
        <v>16582</v>
      </c>
      <c r="C7473" s="71" t="s">
        <v>16930</v>
      </c>
    </row>
    <row r="7474">
      <c r="A7474" s="234" t="s">
        <v>27319</v>
      </c>
      <c r="B7474" s="239" t="s">
        <v>16930</v>
      </c>
      <c r="C7474" s="71" t="s">
        <v>16582</v>
      </c>
    </row>
    <row r="7475">
      <c r="A7475" s="130" t="s">
        <v>27321</v>
      </c>
      <c r="B7475" s="239" t="s">
        <v>16582</v>
      </c>
      <c r="C7475" s="71" t="s">
        <v>16817</v>
      </c>
    </row>
    <row r="7476">
      <c r="A7476" s="130" t="s">
        <v>27323</v>
      </c>
      <c r="B7476" s="239" t="s">
        <v>175</v>
      </c>
      <c r="C7476" s="71" t="s">
        <v>17452</v>
      </c>
    </row>
    <row r="7477">
      <c r="A7477" s="130" t="s">
        <v>27325</v>
      </c>
      <c r="B7477" s="239" t="s">
        <v>16582</v>
      </c>
      <c r="C7477" s="71" t="s">
        <v>16817</v>
      </c>
    </row>
    <row r="7478">
      <c r="A7478" s="130" t="s">
        <v>27327</v>
      </c>
      <c r="B7478" s="239" t="s">
        <v>175</v>
      </c>
      <c r="C7478" s="71" t="s">
        <v>17452</v>
      </c>
    </row>
    <row r="7479">
      <c r="A7479" s="130" t="s">
        <v>27329</v>
      </c>
      <c r="B7479" s="239" t="s">
        <v>175</v>
      </c>
      <c r="C7479" s="71" t="s">
        <v>18310</v>
      </c>
    </row>
    <row r="7480">
      <c r="A7480" s="130" t="s">
        <v>27331</v>
      </c>
      <c r="B7480" s="239" t="s">
        <v>169</v>
      </c>
      <c r="C7480" s="71" t="s">
        <v>16899</v>
      </c>
    </row>
    <row r="7481">
      <c r="A7481" s="130" t="s">
        <v>27333</v>
      </c>
      <c r="B7481" s="239" t="s">
        <v>175</v>
      </c>
      <c r="C7481" s="71" t="s">
        <v>16878</v>
      </c>
    </row>
    <row r="7482">
      <c r="A7482" s="130" t="s">
        <v>27335</v>
      </c>
      <c r="B7482" s="239" t="s">
        <v>16910</v>
      </c>
      <c r="C7482" s="71" t="s">
        <v>16911</v>
      </c>
    </row>
    <row r="7483">
      <c r="A7483" s="130" t="s">
        <v>27337</v>
      </c>
      <c r="B7483" s="239" t="s">
        <v>16582</v>
      </c>
      <c r="C7483" s="71" t="s">
        <v>16817</v>
      </c>
    </row>
    <row r="7484">
      <c r="A7484" s="130" t="s">
        <v>27339</v>
      </c>
      <c r="B7484" s="239" t="s">
        <v>16582</v>
      </c>
      <c r="C7484" s="71" t="s">
        <v>16930</v>
      </c>
    </row>
    <row r="7485">
      <c r="A7485" s="130" t="s">
        <v>27341</v>
      </c>
      <c r="B7485" s="239" t="s">
        <v>16582</v>
      </c>
      <c r="C7485" s="71" t="s">
        <v>16930</v>
      </c>
    </row>
    <row r="7486">
      <c r="A7486" s="130" t="s">
        <v>27343</v>
      </c>
      <c r="B7486" s="239" t="s">
        <v>175</v>
      </c>
      <c r="C7486" s="71" t="s">
        <v>16972</v>
      </c>
    </row>
    <row r="7487">
      <c r="A7487" s="130" t="s">
        <v>27345</v>
      </c>
      <c r="B7487" s="239" t="s">
        <v>175</v>
      </c>
      <c r="C7487" s="71" t="s">
        <v>17218</v>
      </c>
    </row>
    <row r="7488">
      <c r="A7488" s="234" t="s">
        <v>27347</v>
      </c>
      <c r="B7488" s="239" t="s">
        <v>175</v>
      </c>
      <c r="C7488" s="71" t="s">
        <v>17452</v>
      </c>
    </row>
    <row r="7489">
      <c r="A7489" s="234" t="s">
        <v>27347</v>
      </c>
      <c r="B7489" s="239" t="s">
        <v>17452</v>
      </c>
      <c r="C7489" s="130" t="s">
        <v>175</v>
      </c>
    </row>
    <row r="7490">
      <c r="A7490" s="130" t="s">
        <v>27349</v>
      </c>
      <c r="B7490" s="239" t="s">
        <v>187</v>
      </c>
      <c r="C7490" s="71" t="s">
        <v>16846</v>
      </c>
    </row>
    <row r="7491">
      <c r="A7491" s="130" t="s">
        <v>27351</v>
      </c>
      <c r="B7491" s="239" t="s">
        <v>175</v>
      </c>
      <c r="C7491" s="71" t="s">
        <v>19139</v>
      </c>
    </row>
    <row r="7492">
      <c r="A7492" s="130" t="s">
        <v>27353</v>
      </c>
      <c r="B7492" s="239" t="s">
        <v>175</v>
      </c>
      <c r="C7492" s="71" t="s">
        <v>16842</v>
      </c>
    </row>
    <row r="7493">
      <c r="A7493" s="234" t="s">
        <v>27355</v>
      </c>
      <c r="B7493" s="239" t="s">
        <v>187</v>
      </c>
      <c r="C7493" s="71" t="s">
        <v>16846</v>
      </c>
    </row>
    <row r="7494">
      <c r="A7494" s="234" t="s">
        <v>27355</v>
      </c>
      <c r="B7494" s="239" t="s">
        <v>16846</v>
      </c>
      <c r="C7494" s="130" t="s">
        <v>187</v>
      </c>
    </row>
    <row r="7495">
      <c r="A7495" s="130" t="s">
        <v>27357</v>
      </c>
      <c r="B7495" s="239" t="s">
        <v>187</v>
      </c>
      <c r="C7495" s="71" t="s">
        <v>16846</v>
      </c>
    </row>
    <row r="7496">
      <c r="A7496" s="130" t="s">
        <v>27359</v>
      </c>
      <c r="B7496" s="239" t="s">
        <v>17112</v>
      </c>
      <c r="C7496" s="71" t="s">
        <v>17218</v>
      </c>
    </row>
    <row r="7497">
      <c r="A7497" s="130" t="s">
        <v>27361</v>
      </c>
      <c r="B7497" s="239" t="s">
        <v>187</v>
      </c>
      <c r="C7497" s="71" t="s">
        <v>16992</v>
      </c>
    </row>
    <row r="7498">
      <c r="A7498" s="130" t="s">
        <v>27363</v>
      </c>
      <c r="B7498" s="239" t="s">
        <v>16838</v>
      </c>
      <c r="C7498" s="71" t="s">
        <v>18219</v>
      </c>
    </row>
    <row r="7499">
      <c r="A7499" s="130" t="s">
        <v>27365</v>
      </c>
      <c r="B7499" s="239" t="s">
        <v>16582</v>
      </c>
      <c r="C7499" s="71" t="s">
        <v>16930</v>
      </c>
    </row>
    <row r="7500">
      <c r="A7500" s="130" t="s">
        <v>27367</v>
      </c>
      <c r="B7500" s="239" t="s">
        <v>16838</v>
      </c>
      <c r="C7500" s="71" t="s">
        <v>17202</v>
      </c>
    </row>
    <row r="7501">
      <c r="A7501" s="130" t="s">
        <v>27369</v>
      </c>
      <c r="B7501" s="239" t="s">
        <v>187</v>
      </c>
      <c r="C7501" s="71" t="s">
        <v>16846</v>
      </c>
    </row>
    <row r="7502">
      <c r="A7502" s="130" t="s">
        <v>27371</v>
      </c>
      <c r="B7502" s="239" t="s">
        <v>16582</v>
      </c>
      <c r="C7502" s="71" t="s">
        <v>17183</v>
      </c>
    </row>
    <row r="7503">
      <c r="A7503" s="130" t="s">
        <v>27373</v>
      </c>
      <c r="B7503" s="239" t="s">
        <v>16582</v>
      </c>
      <c r="C7503" s="71" t="s">
        <v>16828</v>
      </c>
    </row>
    <row r="7504">
      <c r="A7504" s="234" t="s">
        <v>27375</v>
      </c>
      <c r="B7504" s="239" t="s">
        <v>169</v>
      </c>
      <c r="C7504" s="71" t="s">
        <v>16899</v>
      </c>
    </row>
    <row r="7505">
      <c r="A7505" s="234" t="s">
        <v>27375</v>
      </c>
      <c r="B7505" s="239" t="s">
        <v>16899</v>
      </c>
      <c r="C7505" s="130" t="s">
        <v>169</v>
      </c>
    </row>
    <row r="7506">
      <c r="A7506" s="234" t="s">
        <v>27377</v>
      </c>
      <c r="B7506" s="239" t="s">
        <v>187</v>
      </c>
      <c r="C7506" s="71" t="s">
        <v>16858</v>
      </c>
    </row>
    <row r="7507">
      <c r="A7507" s="234" t="s">
        <v>27377</v>
      </c>
      <c r="B7507" s="239" t="s">
        <v>16858</v>
      </c>
      <c r="C7507" s="130" t="s">
        <v>187</v>
      </c>
    </row>
    <row r="7508">
      <c r="A7508" s="130" t="s">
        <v>27379</v>
      </c>
      <c r="B7508" s="239" t="s">
        <v>187</v>
      </c>
      <c r="C7508" s="71" t="s">
        <v>16969</v>
      </c>
    </row>
    <row r="7509">
      <c r="A7509" s="130" t="s">
        <v>27381</v>
      </c>
      <c r="B7509" s="239" t="s">
        <v>16582</v>
      </c>
      <c r="C7509" s="71" t="s">
        <v>16930</v>
      </c>
    </row>
    <row r="7510">
      <c r="A7510" s="130" t="s">
        <v>27383</v>
      </c>
      <c r="B7510" s="71"/>
      <c r="C7510" s="71"/>
    </row>
    <row r="7511">
      <c r="A7511" s="130" t="s">
        <v>27385</v>
      </c>
      <c r="B7511" s="239" t="s">
        <v>16582</v>
      </c>
      <c r="C7511" s="71" t="s">
        <v>16930</v>
      </c>
    </row>
    <row r="7512">
      <c r="A7512" s="130" t="s">
        <v>27387</v>
      </c>
      <c r="B7512" s="239" t="s">
        <v>187</v>
      </c>
      <c r="C7512" s="71" t="s">
        <v>18005</v>
      </c>
    </row>
    <row r="7513">
      <c r="A7513" s="130" t="s">
        <v>27389</v>
      </c>
      <c r="B7513" s="239" t="s">
        <v>175</v>
      </c>
      <c r="C7513" s="71" t="s">
        <v>17619</v>
      </c>
    </row>
    <row r="7514">
      <c r="A7514" s="234" t="s">
        <v>27391</v>
      </c>
      <c r="B7514" s="239" t="s">
        <v>16910</v>
      </c>
      <c r="C7514" s="71" t="s">
        <v>16911</v>
      </c>
    </row>
    <row r="7515">
      <c r="A7515" s="234" t="s">
        <v>27391</v>
      </c>
      <c r="B7515" s="239" t="s">
        <v>16911</v>
      </c>
      <c r="C7515" s="130" t="s">
        <v>16910</v>
      </c>
    </row>
    <row r="7516">
      <c r="A7516" s="130" t="s">
        <v>27393</v>
      </c>
      <c r="B7516" s="239" t="s">
        <v>187</v>
      </c>
      <c r="C7516" s="71" t="s">
        <v>16846</v>
      </c>
    </row>
    <row r="7517">
      <c r="A7517" s="130" t="s">
        <v>27395</v>
      </c>
      <c r="B7517" s="239" t="s">
        <v>187</v>
      </c>
      <c r="C7517" s="71" t="s">
        <v>16969</v>
      </c>
    </row>
    <row r="7518">
      <c r="A7518" s="130" t="s">
        <v>27397</v>
      </c>
      <c r="B7518" s="239" t="s">
        <v>187</v>
      </c>
      <c r="C7518" s="71" t="s">
        <v>16858</v>
      </c>
    </row>
    <row r="7519">
      <c r="A7519" s="234" t="s">
        <v>27399</v>
      </c>
      <c r="B7519" s="239" t="s">
        <v>17629</v>
      </c>
      <c r="C7519" s="71" t="s">
        <v>16899</v>
      </c>
    </row>
    <row r="7520">
      <c r="A7520" s="234" t="s">
        <v>27399</v>
      </c>
      <c r="B7520" s="239" t="s">
        <v>16899</v>
      </c>
      <c r="C7520" s="71" t="s">
        <v>17629</v>
      </c>
    </row>
    <row r="7521">
      <c r="A7521" s="130" t="s">
        <v>27401</v>
      </c>
      <c r="B7521" s="239" t="s">
        <v>187</v>
      </c>
      <c r="C7521" s="71" t="s">
        <v>16846</v>
      </c>
    </row>
    <row r="7522">
      <c r="A7522" s="234" t="s">
        <v>27403</v>
      </c>
      <c r="B7522" s="239" t="s">
        <v>18679</v>
      </c>
      <c r="C7522" s="71" t="s">
        <v>16838</v>
      </c>
    </row>
    <row r="7523">
      <c r="A7523" s="234" t="s">
        <v>27403</v>
      </c>
      <c r="B7523" s="239" t="s">
        <v>16838</v>
      </c>
      <c r="C7523" s="71" t="s">
        <v>18679</v>
      </c>
    </row>
    <row r="7524">
      <c r="A7524" s="130" t="s">
        <v>27405</v>
      </c>
      <c r="B7524" s="239" t="s">
        <v>169</v>
      </c>
      <c r="C7524" s="71" t="s">
        <v>16957</v>
      </c>
    </row>
    <row r="7525">
      <c r="A7525" s="130" t="s">
        <v>27407</v>
      </c>
      <c r="B7525" s="239" t="s">
        <v>16582</v>
      </c>
      <c r="C7525" s="71" t="s">
        <v>16583</v>
      </c>
    </row>
    <row r="7526">
      <c r="A7526" s="130" t="s">
        <v>27409</v>
      </c>
      <c r="B7526" s="239" t="s">
        <v>175</v>
      </c>
      <c r="C7526" s="71" t="s">
        <v>17391</v>
      </c>
    </row>
    <row r="7527">
      <c r="A7527" s="234" t="s">
        <v>27411</v>
      </c>
      <c r="B7527" s="239" t="s">
        <v>158</v>
      </c>
      <c r="C7527" s="71" t="s">
        <v>16864</v>
      </c>
    </row>
    <row r="7528">
      <c r="A7528" s="234" t="s">
        <v>27411</v>
      </c>
      <c r="B7528" s="239" t="s">
        <v>16864</v>
      </c>
      <c r="C7528" s="130" t="s">
        <v>158</v>
      </c>
    </row>
    <row r="7529">
      <c r="A7529" s="130" t="s">
        <v>27413</v>
      </c>
      <c r="B7529" s="239" t="s">
        <v>16910</v>
      </c>
      <c r="C7529" s="71" t="s">
        <v>17119</v>
      </c>
    </row>
    <row r="7530">
      <c r="A7530" s="234" t="s">
        <v>27415</v>
      </c>
      <c r="B7530" s="239" t="s">
        <v>169</v>
      </c>
      <c r="C7530" s="71" t="s">
        <v>17321</v>
      </c>
    </row>
    <row r="7531">
      <c r="A7531" s="234" t="s">
        <v>27415</v>
      </c>
      <c r="B7531" s="239" t="s">
        <v>17321</v>
      </c>
      <c r="C7531" s="130" t="s">
        <v>169</v>
      </c>
    </row>
    <row r="7532">
      <c r="A7532" s="130" t="s">
        <v>27417</v>
      </c>
      <c r="B7532" s="239" t="s">
        <v>187</v>
      </c>
      <c r="C7532" s="71" t="s">
        <v>16846</v>
      </c>
    </row>
    <row r="7533">
      <c r="A7533" s="130" t="s">
        <v>27419</v>
      </c>
      <c r="B7533" s="239" t="s">
        <v>187</v>
      </c>
      <c r="C7533" s="71" t="s">
        <v>23634</v>
      </c>
    </row>
    <row r="7534">
      <c r="A7534" s="234" t="s">
        <v>27421</v>
      </c>
      <c r="B7534" s="239" t="s">
        <v>175</v>
      </c>
      <c r="C7534" s="71" t="s">
        <v>17475</v>
      </c>
    </row>
    <row r="7535">
      <c r="A7535" s="234" t="s">
        <v>27421</v>
      </c>
      <c r="B7535" s="239" t="s">
        <v>17475</v>
      </c>
      <c r="C7535" s="130" t="s">
        <v>175</v>
      </c>
    </row>
    <row r="7536">
      <c r="A7536" s="130" t="s">
        <v>27423</v>
      </c>
      <c r="B7536" s="239" t="s">
        <v>175</v>
      </c>
      <c r="C7536" s="71" t="s">
        <v>17480</v>
      </c>
    </row>
    <row r="7537">
      <c r="A7537" s="130" t="s">
        <v>27425</v>
      </c>
      <c r="B7537" s="239" t="s">
        <v>187</v>
      </c>
      <c r="C7537" s="71" t="s">
        <v>16846</v>
      </c>
    </row>
    <row r="7538">
      <c r="A7538" s="130" t="s">
        <v>27427</v>
      </c>
      <c r="B7538" s="239" t="s">
        <v>175</v>
      </c>
      <c r="C7538" s="71" t="s">
        <v>17480</v>
      </c>
    </row>
    <row r="7539">
      <c r="A7539" s="130" t="s">
        <v>27429</v>
      </c>
      <c r="B7539" s="239" t="s">
        <v>16582</v>
      </c>
      <c r="C7539" s="71" t="s">
        <v>16817</v>
      </c>
    </row>
    <row r="7540">
      <c r="A7540" s="130" t="s">
        <v>27431</v>
      </c>
      <c r="B7540" s="239" t="s">
        <v>17112</v>
      </c>
      <c r="C7540" s="71" t="s">
        <v>17218</v>
      </c>
    </row>
    <row r="7541">
      <c r="A7541" s="130" t="s">
        <v>27433</v>
      </c>
      <c r="B7541" s="239" t="s">
        <v>187</v>
      </c>
      <c r="C7541" s="71" t="s">
        <v>16846</v>
      </c>
    </row>
    <row r="7542">
      <c r="A7542" s="130" t="s">
        <v>27435</v>
      </c>
      <c r="B7542" s="239" t="s">
        <v>16582</v>
      </c>
      <c r="C7542" s="71" t="s">
        <v>17339</v>
      </c>
    </row>
    <row r="7543">
      <c r="A7543" s="130" t="s">
        <v>27437</v>
      </c>
      <c r="B7543" s="239" t="s">
        <v>16838</v>
      </c>
      <c r="C7543" s="71" t="s">
        <v>19644</v>
      </c>
    </row>
    <row r="7544">
      <c r="A7544" s="130" t="s">
        <v>27439</v>
      </c>
      <c r="B7544" s="239" t="s">
        <v>187</v>
      </c>
      <c r="C7544" s="71" t="s">
        <v>16846</v>
      </c>
    </row>
    <row r="7545">
      <c r="A7545" s="130" t="s">
        <v>27441</v>
      </c>
      <c r="B7545" s="239" t="s">
        <v>187</v>
      </c>
      <c r="C7545" s="71" t="s">
        <v>16858</v>
      </c>
    </row>
    <row r="7546">
      <c r="A7546" s="130" t="s">
        <v>27443</v>
      </c>
      <c r="B7546" s="239" t="s">
        <v>175</v>
      </c>
      <c r="C7546" s="71" t="s">
        <v>17031</v>
      </c>
    </row>
    <row r="7547">
      <c r="A7547" s="130" t="s">
        <v>27445</v>
      </c>
      <c r="B7547" s="239" t="s">
        <v>16582</v>
      </c>
      <c r="C7547" s="71" t="s">
        <v>16930</v>
      </c>
    </row>
    <row r="7548">
      <c r="A7548" s="234" t="s">
        <v>27447</v>
      </c>
      <c r="B7548" s="239" t="s">
        <v>16885</v>
      </c>
      <c r="C7548" s="71" t="s">
        <v>17726</v>
      </c>
    </row>
    <row r="7549">
      <c r="A7549" s="234" t="s">
        <v>27447</v>
      </c>
      <c r="B7549" s="239" t="s">
        <v>17726</v>
      </c>
      <c r="C7549" s="130" t="s">
        <v>16885</v>
      </c>
    </row>
    <row r="7550">
      <c r="A7550" s="130" t="s">
        <v>27449</v>
      </c>
      <c r="B7550" s="71"/>
      <c r="C7550" s="71"/>
    </row>
    <row r="7551">
      <c r="A7551" s="130" t="s">
        <v>27451</v>
      </c>
      <c r="B7551" s="71"/>
      <c r="C7551" s="71"/>
    </row>
    <row r="7552">
      <c r="A7552" s="130" t="s">
        <v>27453</v>
      </c>
      <c r="B7552" s="239" t="s">
        <v>187</v>
      </c>
      <c r="C7552" s="71" t="s">
        <v>16846</v>
      </c>
    </row>
    <row r="7553">
      <c r="A7553" s="130" t="s">
        <v>27455</v>
      </c>
      <c r="B7553" s="239" t="s">
        <v>169</v>
      </c>
      <c r="C7553" s="71" t="s">
        <v>17233</v>
      </c>
    </row>
    <row r="7554">
      <c r="A7554" s="130" t="s">
        <v>27457</v>
      </c>
      <c r="B7554" s="239" t="s">
        <v>169</v>
      </c>
      <c r="C7554" s="71" t="s">
        <v>16945</v>
      </c>
    </row>
    <row r="7555">
      <c r="A7555" s="130" t="s">
        <v>27459</v>
      </c>
      <c r="B7555" s="239" t="s">
        <v>16582</v>
      </c>
      <c r="C7555" s="71" t="s">
        <v>16817</v>
      </c>
    </row>
    <row r="7556">
      <c r="A7556" s="234" t="s">
        <v>27461</v>
      </c>
      <c r="B7556" s="71"/>
      <c r="C7556" s="71"/>
    </row>
    <row r="7557">
      <c r="A7557" s="234" t="s">
        <v>27461</v>
      </c>
      <c r="B7557" s="71"/>
      <c r="C7557" s="71"/>
    </row>
    <row r="7558">
      <c r="A7558" s="130" t="s">
        <v>27463</v>
      </c>
      <c r="B7558" s="239" t="s">
        <v>16582</v>
      </c>
      <c r="C7558" s="71" t="s">
        <v>16583</v>
      </c>
    </row>
    <row r="7559">
      <c r="A7559" s="234" t="s">
        <v>27465</v>
      </c>
      <c r="B7559" s="239" t="s">
        <v>17112</v>
      </c>
      <c r="C7559" s="71" t="s">
        <v>16838</v>
      </c>
    </row>
    <row r="7560">
      <c r="A7560" s="234" t="s">
        <v>27465</v>
      </c>
      <c r="B7560" s="239" t="s">
        <v>16838</v>
      </c>
      <c r="C7560" s="71" t="s">
        <v>17112</v>
      </c>
    </row>
    <row r="7561">
      <c r="A7561" s="130" t="s">
        <v>27467</v>
      </c>
      <c r="B7561" s="239" t="s">
        <v>16582</v>
      </c>
      <c r="C7561" s="71" t="s">
        <v>16930</v>
      </c>
    </row>
    <row r="7562">
      <c r="A7562" s="130" t="s">
        <v>27469</v>
      </c>
      <c r="B7562" s="239" t="s">
        <v>175</v>
      </c>
      <c r="C7562" s="71" t="s">
        <v>17233</v>
      </c>
    </row>
    <row r="7563">
      <c r="A7563" s="130" t="s">
        <v>27471</v>
      </c>
      <c r="B7563" s="239" t="s">
        <v>187</v>
      </c>
      <c r="C7563" s="71" t="s">
        <v>16846</v>
      </c>
    </row>
    <row r="7564">
      <c r="A7564" s="234" t="s">
        <v>27473</v>
      </c>
      <c r="B7564" s="239" t="s">
        <v>17112</v>
      </c>
      <c r="C7564" s="71" t="s">
        <v>17218</v>
      </c>
    </row>
    <row r="7565">
      <c r="A7565" s="234" t="s">
        <v>27473</v>
      </c>
      <c r="B7565" s="239" t="s">
        <v>17218</v>
      </c>
      <c r="C7565" s="71" t="s">
        <v>17112</v>
      </c>
    </row>
    <row r="7566">
      <c r="A7566" s="130" t="s">
        <v>27475</v>
      </c>
      <c r="B7566" s="239" t="s">
        <v>187</v>
      </c>
      <c r="C7566" s="71" t="s">
        <v>16858</v>
      </c>
    </row>
    <row r="7567">
      <c r="A7567" s="130" t="s">
        <v>27477</v>
      </c>
      <c r="B7567" s="239" t="s">
        <v>187</v>
      </c>
      <c r="C7567" s="71" t="s">
        <v>16969</v>
      </c>
    </row>
    <row r="7568">
      <c r="A7568" s="130" t="s">
        <v>27479</v>
      </c>
      <c r="B7568" s="239" t="s">
        <v>16838</v>
      </c>
      <c r="C7568" s="71" t="s">
        <v>17452</v>
      </c>
    </row>
    <row r="7569">
      <c r="A7569" s="130" t="s">
        <v>27481</v>
      </c>
      <c r="B7569" s="239" t="s">
        <v>16838</v>
      </c>
      <c r="C7569" s="71" t="s">
        <v>16867</v>
      </c>
    </row>
    <row r="7570">
      <c r="A7570" s="234" t="s">
        <v>27483</v>
      </c>
      <c r="B7570" s="239" t="s">
        <v>175</v>
      </c>
      <c r="C7570" s="71" t="s">
        <v>17218</v>
      </c>
    </row>
    <row r="7571">
      <c r="A7571" s="234" t="s">
        <v>27483</v>
      </c>
      <c r="B7571" s="239" t="s">
        <v>17218</v>
      </c>
      <c r="C7571" s="71" t="s">
        <v>175</v>
      </c>
    </row>
    <row r="7572">
      <c r="A7572" s="130" t="s">
        <v>27485</v>
      </c>
      <c r="B7572" s="239" t="s">
        <v>175</v>
      </c>
      <c r="C7572" s="71" t="s">
        <v>16824</v>
      </c>
    </row>
    <row r="7573">
      <c r="A7573" s="234" t="s">
        <v>27487</v>
      </c>
      <c r="B7573" s="239" t="s">
        <v>175</v>
      </c>
      <c r="C7573" s="71" t="s">
        <v>17480</v>
      </c>
    </row>
    <row r="7574">
      <c r="A7574" s="234" t="s">
        <v>27487</v>
      </c>
      <c r="B7574" s="239" t="s">
        <v>17480</v>
      </c>
      <c r="C7574" s="130" t="s">
        <v>175</v>
      </c>
    </row>
    <row r="7575">
      <c r="A7575" s="130" t="s">
        <v>27489</v>
      </c>
      <c r="B7575" s="239" t="s">
        <v>187</v>
      </c>
      <c r="C7575" s="71" t="s">
        <v>16858</v>
      </c>
    </row>
    <row r="7576">
      <c r="A7576" s="130" t="s">
        <v>27491</v>
      </c>
      <c r="B7576" s="239" t="s">
        <v>187</v>
      </c>
      <c r="C7576" s="71" t="s">
        <v>16846</v>
      </c>
    </row>
    <row r="7577">
      <c r="A7577" s="234" t="s">
        <v>27493</v>
      </c>
      <c r="B7577" s="239" t="s">
        <v>187</v>
      </c>
      <c r="C7577" s="71" t="s">
        <v>16858</v>
      </c>
    </row>
    <row r="7578">
      <c r="A7578" s="234" t="s">
        <v>27493</v>
      </c>
      <c r="B7578" s="239" t="s">
        <v>16858</v>
      </c>
      <c r="C7578" s="130" t="s">
        <v>187</v>
      </c>
    </row>
    <row r="7579">
      <c r="A7579" s="130" t="s">
        <v>27495</v>
      </c>
      <c r="B7579" s="239" t="s">
        <v>16838</v>
      </c>
      <c r="C7579" s="71" t="s">
        <v>17016</v>
      </c>
    </row>
    <row r="7580">
      <c r="A7580" s="130" t="s">
        <v>27497</v>
      </c>
      <c r="B7580" s="239" t="s">
        <v>187</v>
      </c>
      <c r="C7580" s="71" t="s">
        <v>16846</v>
      </c>
    </row>
    <row r="7581">
      <c r="A7581" s="130" t="s">
        <v>27499</v>
      </c>
      <c r="B7581" s="239" t="s">
        <v>16582</v>
      </c>
      <c r="C7581" s="71" t="s">
        <v>17435</v>
      </c>
    </row>
    <row r="7582">
      <c r="A7582" s="130" t="s">
        <v>27501</v>
      </c>
      <c r="B7582" s="239" t="s">
        <v>187</v>
      </c>
      <c r="C7582" s="71" t="s">
        <v>16846</v>
      </c>
    </row>
    <row r="7583">
      <c r="A7583" s="130" t="s">
        <v>27503</v>
      </c>
      <c r="B7583" s="239" t="s">
        <v>16582</v>
      </c>
      <c r="C7583" s="71" t="s">
        <v>17435</v>
      </c>
    </row>
    <row r="7584">
      <c r="A7584" s="130" t="s">
        <v>27505</v>
      </c>
      <c r="B7584" s="239" t="s">
        <v>187</v>
      </c>
      <c r="C7584" s="71" t="s">
        <v>18529</v>
      </c>
    </row>
    <row r="7585">
      <c r="A7585" s="130" t="s">
        <v>27507</v>
      </c>
      <c r="B7585" s="239" t="s">
        <v>16582</v>
      </c>
      <c r="C7585" s="71" t="s">
        <v>16930</v>
      </c>
    </row>
    <row r="7586">
      <c r="A7586" s="130" t="s">
        <v>27509</v>
      </c>
      <c r="B7586" s="239" t="s">
        <v>16582</v>
      </c>
      <c r="C7586" s="71" t="s">
        <v>16899</v>
      </c>
    </row>
    <row r="7587">
      <c r="A7587" s="130" t="s">
        <v>27511</v>
      </c>
      <c r="B7587" s="239" t="s">
        <v>187</v>
      </c>
      <c r="C7587" s="71" t="s">
        <v>16992</v>
      </c>
    </row>
    <row r="7588">
      <c r="A7588" s="130" t="s">
        <v>27513</v>
      </c>
      <c r="B7588" s="239" t="s">
        <v>187</v>
      </c>
      <c r="C7588" s="71" t="s">
        <v>17509</v>
      </c>
    </row>
    <row r="7589">
      <c r="A7589" s="130" t="s">
        <v>27515</v>
      </c>
      <c r="B7589" s="239" t="s">
        <v>16838</v>
      </c>
      <c r="C7589" s="71" t="s">
        <v>18219</v>
      </c>
    </row>
    <row r="7590">
      <c r="A7590" s="130" t="s">
        <v>27517</v>
      </c>
      <c r="B7590" s="239" t="s">
        <v>16582</v>
      </c>
      <c r="C7590" s="71" t="s">
        <v>17342</v>
      </c>
    </row>
    <row r="7591">
      <c r="A7591" s="130" t="s">
        <v>27519</v>
      </c>
      <c r="B7591" s="239" t="s">
        <v>187</v>
      </c>
      <c r="C7591" s="71" t="s">
        <v>16846</v>
      </c>
    </row>
    <row r="7592">
      <c r="A7592" s="130" t="s">
        <v>27521</v>
      </c>
      <c r="B7592" s="71"/>
      <c r="C7592" s="71"/>
    </row>
    <row r="7593">
      <c r="A7593" s="130" t="s">
        <v>27523</v>
      </c>
      <c r="B7593" s="239" t="s">
        <v>175</v>
      </c>
      <c r="C7593" s="71" t="s">
        <v>17350</v>
      </c>
    </row>
    <row r="7594">
      <c r="A7594" s="130" t="s">
        <v>27525</v>
      </c>
      <c r="B7594" s="239" t="s">
        <v>187</v>
      </c>
      <c r="C7594" s="71" t="s">
        <v>16846</v>
      </c>
    </row>
    <row r="7595">
      <c r="A7595" s="130" t="s">
        <v>27527</v>
      </c>
      <c r="B7595" s="239" t="s">
        <v>17629</v>
      </c>
      <c r="C7595" s="71" t="s">
        <v>18718</v>
      </c>
    </row>
    <row r="7596">
      <c r="A7596" s="130" t="s">
        <v>27529</v>
      </c>
      <c r="B7596" s="239" t="s">
        <v>187</v>
      </c>
      <c r="C7596" s="71" t="s">
        <v>16846</v>
      </c>
    </row>
    <row r="7597">
      <c r="A7597" s="130" t="s">
        <v>27531</v>
      </c>
      <c r="B7597" s="239" t="s">
        <v>187</v>
      </c>
      <c r="C7597" s="71" t="s">
        <v>16846</v>
      </c>
    </row>
    <row r="7598">
      <c r="A7598" s="130" t="s">
        <v>27533</v>
      </c>
      <c r="B7598" s="239" t="s">
        <v>175</v>
      </c>
      <c r="C7598" s="71" t="s">
        <v>17391</v>
      </c>
    </row>
    <row r="7599">
      <c r="A7599" s="130" t="s">
        <v>27535</v>
      </c>
      <c r="B7599" s="239" t="s">
        <v>175</v>
      </c>
      <c r="C7599" s="71" t="s">
        <v>16854</v>
      </c>
    </row>
    <row r="7600">
      <c r="A7600" s="234" t="s">
        <v>27537</v>
      </c>
      <c r="B7600" s="239" t="s">
        <v>175</v>
      </c>
      <c r="C7600" s="71" t="s">
        <v>17812</v>
      </c>
    </row>
    <row r="7601">
      <c r="A7601" s="234" t="s">
        <v>27537</v>
      </c>
      <c r="B7601" s="239" t="s">
        <v>17812</v>
      </c>
      <c r="C7601" s="130" t="s">
        <v>175</v>
      </c>
    </row>
    <row r="7602">
      <c r="A7602" s="130" t="s">
        <v>27539</v>
      </c>
      <c r="B7602" s="239" t="s">
        <v>187</v>
      </c>
      <c r="C7602" s="71" t="s">
        <v>16846</v>
      </c>
    </row>
    <row r="7603">
      <c r="A7603" s="234" t="s">
        <v>27541</v>
      </c>
      <c r="B7603" s="239" t="s">
        <v>16582</v>
      </c>
      <c r="C7603" s="71" t="s">
        <v>16930</v>
      </c>
    </row>
    <row r="7604">
      <c r="A7604" s="234" t="s">
        <v>27541</v>
      </c>
      <c r="B7604" s="239" t="s">
        <v>16930</v>
      </c>
      <c r="C7604" s="130" t="s">
        <v>16582</v>
      </c>
    </row>
    <row r="7605">
      <c r="A7605" s="130" t="s">
        <v>27543</v>
      </c>
      <c r="B7605" s="239" t="s">
        <v>16582</v>
      </c>
      <c r="C7605" s="71" t="s">
        <v>17435</v>
      </c>
    </row>
    <row r="7606">
      <c r="A7606" s="130" t="s">
        <v>27545</v>
      </c>
      <c r="B7606" s="239" t="s">
        <v>187</v>
      </c>
      <c r="C7606" s="71" t="s">
        <v>18633</v>
      </c>
    </row>
    <row r="7607">
      <c r="A7607" s="234" t="s">
        <v>27547</v>
      </c>
      <c r="B7607" s="239" t="s">
        <v>16582</v>
      </c>
      <c r="C7607" s="71" t="s">
        <v>16930</v>
      </c>
    </row>
    <row r="7608">
      <c r="A7608" s="234" t="s">
        <v>27547</v>
      </c>
      <c r="B7608" s="239" t="s">
        <v>16930</v>
      </c>
      <c r="C7608" s="130" t="s">
        <v>16582</v>
      </c>
    </row>
    <row r="7609">
      <c r="A7609" s="130" t="s">
        <v>27549</v>
      </c>
      <c r="B7609" s="239" t="s">
        <v>175</v>
      </c>
      <c r="C7609" s="71" t="s">
        <v>16854</v>
      </c>
    </row>
    <row r="7610">
      <c r="A7610" s="130" t="s">
        <v>27551</v>
      </c>
      <c r="B7610" s="239" t="s">
        <v>169</v>
      </c>
      <c r="C7610" s="71" t="s">
        <v>16899</v>
      </c>
    </row>
    <row r="7611">
      <c r="A7611" s="130" t="s">
        <v>27553</v>
      </c>
      <c r="B7611" s="239" t="s">
        <v>16838</v>
      </c>
      <c r="C7611" s="71" t="s">
        <v>18679</v>
      </c>
    </row>
    <row r="7612">
      <c r="A7612" s="130" t="s">
        <v>27555</v>
      </c>
      <c r="B7612" s="239" t="s">
        <v>187</v>
      </c>
      <c r="C7612" s="71" t="s">
        <v>23634</v>
      </c>
    </row>
    <row r="7613">
      <c r="A7613" s="130" t="s">
        <v>27557</v>
      </c>
      <c r="B7613" s="239" t="s">
        <v>187</v>
      </c>
      <c r="C7613" s="71" t="s">
        <v>16846</v>
      </c>
    </row>
    <row r="7614">
      <c r="A7614" s="130" t="s">
        <v>27559</v>
      </c>
      <c r="B7614" s="239" t="s">
        <v>175</v>
      </c>
      <c r="C7614" s="71" t="s">
        <v>16890</v>
      </c>
    </row>
    <row r="7615">
      <c r="A7615" s="234" t="s">
        <v>27561</v>
      </c>
      <c r="B7615" s="239" t="s">
        <v>169</v>
      </c>
      <c r="C7615" s="71" t="s">
        <v>16899</v>
      </c>
    </row>
    <row r="7616">
      <c r="A7616" s="234" t="s">
        <v>27561</v>
      </c>
      <c r="B7616" s="239" t="s">
        <v>16899</v>
      </c>
      <c r="C7616" s="130" t="s">
        <v>169</v>
      </c>
    </row>
    <row r="7617">
      <c r="A7617" s="130" t="s">
        <v>27563</v>
      </c>
      <c r="B7617" s="239" t="s">
        <v>16838</v>
      </c>
      <c r="C7617" s="71" t="s">
        <v>18219</v>
      </c>
    </row>
    <row r="7618">
      <c r="A7618" s="130" t="s">
        <v>27565</v>
      </c>
      <c r="B7618" s="239" t="s">
        <v>187</v>
      </c>
      <c r="C7618" s="71" t="s">
        <v>16851</v>
      </c>
    </row>
    <row r="7619">
      <c r="A7619" s="130" t="s">
        <v>27567</v>
      </c>
      <c r="B7619" s="239" t="s">
        <v>175</v>
      </c>
      <c r="C7619" s="71" t="s">
        <v>16842</v>
      </c>
    </row>
    <row r="7620">
      <c r="A7620" s="130" t="s">
        <v>27569</v>
      </c>
      <c r="B7620" s="239" t="s">
        <v>16926</v>
      </c>
      <c r="C7620" s="71" t="s">
        <v>16957</v>
      </c>
    </row>
    <row r="7621">
      <c r="A7621" s="130" t="s">
        <v>27571</v>
      </c>
      <c r="B7621" s="239" t="s">
        <v>187</v>
      </c>
      <c r="C7621" s="71" t="s">
        <v>16846</v>
      </c>
    </row>
    <row r="7622">
      <c r="A7622" s="130" t="s">
        <v>27573</v>
      </c>
      <c r="B7622" s="239" t="s">
        <v>187</v>
      </c>
      <c r="C7622" s="71" t="s">
        <v>18633</v>
      </c>
    </row>
    <row r="7623">
      <c r="A7623" s="130" t="s">
        <v>27575</v>
      </c>
      <c r="B7623" s="239" t="s">
        <v>16582</v>
      </c>
      <c r="C7623" s="233" t="s">
        <v>17342</v>
      </c>
    </row>
    <row r="7624">
      <c r="A7624" s="130" t="s">
        <v>27577</v>
      </c>
      <c r="B7624" s="239" t="s">
        <v>187</v>
      </c>
      <c r="C7624" s="71" t="s">
        <v>16846</v>
      </c>
    </row>
    <row r="7625">
      <c r="A7625" s="130" t="s">
        <v>27579</v>
      </c>
      <c r="B7625" s="239" t="s">
        <v>187</v>
      </c>
      <c r="C7625" s="71" t="s">
        <v>17564</v>
      </c>
    </row>
    <row r="7626">
      <c r="A7626" s="130" t="s">
        <v>27581</v>
      </c>
      <c r="B7626" s="239" t="s">
        <v>187</v>
      </c>
      <c r="C7626" s="71" t="s">
        <v>16846</v>
      </c>
    </row>
    <row r="7627">
      <c r="A7627" s="130" t="s">
        <v>27583</v>
      </c>
      <c r="B7627" s="239" t="s">
        <v>187</v>
      </c>
      <c r="C7627" s="71" t="s">
        <v>16846</v>
      </c>
    </row>
    <row r="7628">
      <c r="A7628" s="130" t="s">
        <v>27585</v>
      </c>
      <c r="B7628" s="239" t="s">
        <v>175</v>
      </c>
      <c r="C7628" s="71" t="s">
        <v>17495</v>
      </c>
    </row>
    <row r="7629">
      <c r="A7629" s="130" t="s">
        <v>27587</v>
      </c>
      <c r="B7629" s="239" t="s">
        <v>16582</v>
      </c>
      <c r="C7629" s="71" t="s">
        <v>16817</v>
      </c>
    </row>
    <row r="7630">
      <c r="A7630" s="130" t="s">
        <v>27589</v>
      </c>
      <c r="B7630" s="239" t="s">
        <v>16582</v>
      </c>
      <c r="C7630" s="71" t="s">
        <v>16817</v>
      </c>
    </row>
    <row r="7631">
      <c r="A7631" s="130" t="s">
        <v>27591</v>
      </c>
      <c r="B7631" s="239" t="s">
        <v>16838</v>
      </c>
      <c r="C7631" s="71" t="s">
        <v>16867</v>
      </c>
    </row>
    <row r="7632">
      <c r="A7632" s="130" t="s">
        <v>27593</v>
      </c>
      <c r="B7632" s="239" t="s">
        <v>187</v>
      </c>
      <c r="C7632" s="71" t="s">
        <v>17564</v>
      </c>
    </row>
    <row r="7633">
      <c r="A7633" s="130" t="s">
        <v>27595</v>
      </c>
      <c r="B7633" s="71"/>
      <c r="C7633" s="71"/>
    </row>
    <row r="7634">
      <c r="A7634" s="130" t="s">
        <v>27597</v>
      </c>
      <c r="B7634" s="239" t="s">
        <v>187</v>
      </c>
      <c r="C7634" s="71" t="s">
        <v>16858</v>
      </c>
    </row>
    <row r="7635">
      <c r="A7635" s="130" t="s">
        <v>27599</v>
      </c>
      <c r="B7635" s="239" t="s">
        <v>187</v>
      </c>
      <c r="C7635" s="71" t="s">
        <v>16846</v>
      </c>
    </row>
    <row r="7636">
      <c r="A7636" s="130" t="s">
        <v>27601</v>
      </c>
      <c r="B7636" s="239" t="s">
        <v>187</v>
      </c>
      <c r="C7636" s="71" t="s">
        <v>16858</v>
      </c>
    </row>
    <row r="7637">
      <c r="A7637" s="234" t="s">
        <v>27603</v>
      </c>
      <c r="B7637" s="239" t="s">
        <v>187</v>
      </c>
      <c r="C7637" s="71" t="s">
        <v>16846</v>
      </c>
    </row>
    <row r="7638">
      <c r="A7638" s="234" t="s">
        <v>27603</v>
      </c>
      <c r="B7638" s="239" t="s">
        <v>16846</v>
      </c>
      <c r="C7638" s="130" t="s">
        <v>187</v>
      </c>
    </row>
    <row r="7639">
      <c r="A7639" s="130" t="s">
        <v>27605</v>
      </c>
      <c r="B7639" s="239" t="s">
        <v>169</v>
      </c>
      <c r="C7639" s="71" t="s">
        <v>17321</v>
      </c>
    </row>
    <row r="7640">
      <c r="A7640" s="130" t="s">
        <v>27607</v>
      </c>
      <c r="B7640" s="239" t="s">
        <v>16885</v>
      </c>
      <c r="C7640" s="71" t="s">
        <v>16886</v>
      </c>
    </row>
    <row r="7641">
      <c r="A7641" s="234" t="s">
        <v>27609</v>
      </c>
      <c r="B7641" s="239" t="s">
        <v>16919</v>
      </c>
      <c r="C7641" s="71" t="s">
        <v>17048</v>
      </c>
    </row>
    <row r="7642">
      <c r="A7642" s="234" t="s">
        <v>27609</v>
      </c>
      <c r="B7642" s="239" t="s">
        <v>17048</v>
      </c>
      <c r="C7642" s="130" t="s">
        <v>16919</v>
      </c>
    </row>
    <row r="7643">
      <c r="A7643" s="130" t="s">
        <v>27611</v>
      </c>
      <c r="B7643" s="239" t="s">
        <v>187</v>
      </c>
      <c r="C7643" s="71" t="s">
        <v>16851</v>
      </c>
    </row>
    <row r="7644">
      <c r="A7644" s="130" t="s">
        <v>27613</v>
      </c>
      <c r="B7644" s="239" t="s">
        <v>187</v>
      </c>
      <c r="C7644" s="71" t="s">
        <v>16992</v>
      </c>
    </row>
    <row r="7645">
      <c r="A7645" s="130" t="s">
        <v>27615</v>
      </c>
      <c r="B7645" s="239" t="s">
        <v>187</v>
      </c>
      <c r="C7645" s="71" t="s">
        <v>16969</v>
      </c>
    </row>
    <row r="7646">
      <c r="A7646" s="130" t="s">
        <v>27617</v>
      </c>
      <c r="B7646" s="239" t="s">
        <v>187</v>
      </c>
      <c r="C7646" s="71" t="s">
        <v>16846</v>
      </c>
    </row>
    <row r="7647">
      <c r="A7647" s="130" t="s">
        <v>27619</v>
      </c>
      <c r="B7647" s="239" t="s">
        <v>175</v>
      </c>
      <c r="C7647" s="71" t="s">
        <v>17509</v>
      </c>
    </row>
    <row r="7648">
      <c r="A7648" s="130" t="s">
        <v>27621</v>
      </c>
      <c r="B7648" s="239" t="s">
        <v>16582</v>
      </c>
      <c r="C7648" s="71" t="s">
        <v>16817</v>
      </c>
    </row>
    <row r="7649">
      <c r="A7649" s="130" t="s">
        <v>27623</v>
      </c>
      <c r="B7649" s="239" t="s">
        <v>16910</v>
      </c>
      <c r="C7649" s="71" t="s">
        <v>17662</v>
      </c>
    </row>
    <row r="7650">
      <c r="A7650" s="234" t="s">
        <v>27625</v>
      </c>
      <c r="B7650" s="239" t="s">
        <v>175</v>
      </c>
      <c r="C7650" s="71" t="s">
        <v>17457</v>
      </c>
    </row>
    <row r="7651">
      <c r="A7651" s="234" t="s">
        <v>27625</v>
      </c>
      <c r="B7651" s="239" t="s">
        <v>17457</v>
      </c>
      <c r="C7651" s="71" t="s">
        <v>175</v>
      </c>
    </row>
    <row r="7652">
      <c r="A7652" s="130" t="s">
        <v>27627</v>
      </c>
      <c r="B7652" s="239" t="s">
        <v>187</v>
      </c>
      <c r="C7652" s="71" t="s">
        <v>16846</v>
      </c>
    </row>
    <row r="7653">
      <c r="A7653" s="130" t="s">
        <v>27629</v>
      </c>
      <c r="B7653" s="239" t="s">
        <v>16582</v>
      </c>
      <c r="C7653" s="71" t="s">
        <v>17013</v>
      </c>
    </row>
    <row r="7654">
      <c r="A7654" s="234" t="s">
        <v>27631</v>
      </c>
      <c r="B7654" s="239" t="s">
        <v>16582</v>
      </c>
      <c r="C7654" s="71" t="s">
        <v>16930</v>
      </c>
    </row>
    <row r="7655">
      <c r="A7655" s="234" t="s">
        <v>27631</v>
      </c>
      <c r="B7655" s="239" t="s">
        <v>16930</v>
      </c>
      <c r="C7655" s="130" t="s">
        <v>16582</v>
      </c>
    </row>
    <row r="7656">
      <c r="A7656" s="234" t="s">
        <v>27633</v>
      </c>
      <c r="B7656" s="239" t="s">
        <v>16969</v>
      </c>
      <c r="C7656" s="71" t="s">
        <v>187</v>
      </c>
    </row>
    <row r="7657">
      <c r="A7657" s="234" t="s">
        <v>27633</v>
      </c>
      <c r="B7657" s="239" t="s">
        <v>187</v>
      </c>
      <c r="C7657" s="71" t="s">
        <v>16969</v>
      </c>
    </row>
    <row r="7658">
      <c r="A7658" s="130" t="s">
        <v>27635</v>
      </c>
      <c r="B7658" s="239" t="s">
        <v>187</v>
      </c>
      <c r="C7658" s="71" t="s">
        <v>17564</v>
      </c>
    </row>
    <row r="7659">
      <c r="A7659" s="130" t="s">
        <v>27637</v>
      </c>
      <c r="B7659" s="239" t="s">
        <v>16582</v>
      </c>
      <c r="C7659" s="71" t="s">
        <v>16930</v>
      </c>
    </row>
    <row r="7660">
      <c r="A7660" s="234" t="s">
        <v>27639</v>
      </c>
      <c r="B7660" s="239" t="s">
        <v>16969</v>
      </c>
      <c r="C7660" s="71" t="s">
        <v>187</v>
      </c>
    </row>
    <row r="7661">
      <c r="A7661" s="234" t="s">
        <v>27639</v>
      </c>
      <c r="B7661" s="239" t="s">
        <v>187</v>
      </c>
      <c r="C7661" s="71" t="s">
        <v>16969</v>
      </c>
    </row>
    <row r="7662">
      <c r="A7662" s="130" t="s">
        <v>27641</v>
      </c>
      <c r="B7662" s="239" t="s">
        <v>175</v>
      </c>
      <c r="C7662" s="71" t="s">
        <v>17480</v>
      </c>
    </row>
    <row r="7663">
      <c r="A7663" s="130" t="s">
        <v>27643</v>
      </c>
      <c r="B7663" s="239" t="s">
        <v>16582</v>
      </c>
      <c r="C7663" s="71" t="s">
        <v>16583</v>
      </c>
    </row>
    <row r="7664">
      <c r="A7664" s="130" t="s">
        <v>27645</v>
      </c>
      <c r="B7664" s="239" t="s">
        <v>16910</v>
      </c>
      <c r="C7664" s="71" t="s">
        <v>17662</v>
      </c>
    </row>
    <row r="7665">
      <c r="A7665" s="234" t="s">
        <v>27647</v>
      </c>
      <c r="B7665" s="239" t="s">
        <v>175</v>
      </c>
      <c r="C7665" s="71" t="s">
        <v>17084</v>
      </c>
    </row>
    <row r="7666">
      <c r="A7666" s="234" t="s">
        <v>27647</v>
      </c>
      <c r="B7666" s="239" t="s">
        <v>17084</v>
      </c>
      <c r="C7666" s="71" t="s">
        <v>175</v>
      </c>
    </row>
    <row r="7667">
      <c r="A7667" s="130" t="s">
        <v>27649</v>
      </c>
      <c r="B7667" s="239" t="s">
        <v>175</v>
      </c>
      <c r="C7667" s="71" t="s">
        <v>17619</v>
      </c>
    </row>
    <row r="7668">
      <c r="A7668" s="130" t="s">
        <v>27651</v>
      </c>
      <c r="B7668" s="239" t="s">
        <v>16926</v>
      </c>
      <c r="C7668" s="71" t="s">
        <v>16927</v>
      </c>
    </row>
    <row r="7669">
      <c r="A7669" s="130" t="s">
        <v>27653</v>
      </c>
      <c r="B7669" s="239" t="s">
        <v>187</v>
      </c>
      <c r="C7669" s="71" t="s">
        <v>17564</v>
      </c>
    </row>
    <row r="7670">
      <c r="A7670" s="234" t="s">
        <v>27655</v>
      </c>
      <c r="B7670" s="239" t="s">
        <v>169</v>
      </c>
      <c r="C7670" s="71" t="s">
        <v>17619</v>
      </c>
    </row>
    <row r="7671">
      <c r="A7671" s="234" t="s">
        <v>27655</v>
      </c>
      <c r="B7671" s="239" t="s">
        <v>17619</v>
      </c>
      <c r="C7671" s="71" t="s">
        <v>169</v>
      </c>
    </row>
    <row r="7672">
      <c r="A7672" s="130" t="s">
        <v>27657</v>
      </c>
      <c r="B7672" s="239" t="s">
        <v>187</v>
      </c>
      <c r="C7672" s="71" t="s">
        <v>16846</v>
      </c>
    </row>
    <row r="7673">
      <c r="A7673" s="130" t="s">
        <v>27659</v>
      </c>
      <c r="B7673" s="239" t="s">
        <v>175</v>
      </c>
      <c r="C7673" s="71" t="s">
        <v>18723</v>
      </c>
    </row>
    <row r="7674">
      <c r="A7674" s="130" t="s">
        <v>27661</v>
      </c>
      <c r="B7674" s="239" t="s">
        <v>175</v>
      </c>
      <c r="C7674" s="71" t="s">
        <v>16842</v>
      </c>
    </row>
    <row r="7675">
      <c r="A7675" s="130" t="s">
        <v>27663</v>
      </c>
      <c r="B7675" s="239" t="s">
        <v>187</v>
      </c>
      <c r="C7675" s="71" t="s">
        <v>16846</v>
      </c>
    </row>
    <row r="7676">
      <c r="A7676" s="234" t="s">
        <v>27665</v>
      </c>
      <c r="B7676" s="239" t="s">
        <v>17112</v>
      </c>
      <c r="C7676" s="71" t="s">
        <v>17787</v>
      </c>
    </row>
    <row r="7677">
      <c r="A7677" s="234" t="s">
        <v>27665</v>
      </c>
      <c r="B7677" s="239" t="s">
        <v>17787</v>
      </c>
      <c r="C7677" s="130" t="s">
        <v>17112</v>
      </c>
    </row>
    <row r="7678">
      <c r="A7678" s="130" t="s">
        <v>27667</v>
      </c>
      <c r="B7678" s="239" t="s">
        <v>187</v>
      </c>
      <c r="C7678" s="71" t="s">
        <v>16846</v>
      </c>
    </row>
    <row r="7679">
      <c r="A7679" s="130" t="s">
        <v>27669</v>
      </c>
      <c r="B7679" s="239" t="s">
        <v>16582</v>
      </c>
      <c r="C7679" s="71" t="s">
        <v>16817</v>
      </c>
    </row>
    <row r="7680">
      <c r="A7680" s="130" t="s">
        <v>27671</v>
      </c>
      <c r="B7680" s="239" t="s">
        <v>16582</v>
      </c>
      <c r="C7680" s="71" t="s">
        <v>16930</v>
      </c>
    </row>
    <row r="7681">
      <c r="A7681" s="234" t="s">
        <v>27673</v>
      </c>
      <c r="B7681" s="239" t="s">
        <v>175</v>
      </c>
      <c r="C7681" s="71" t="s">
        <v>16854</v>
      </c>
    </row>
    <row r="7682">
      <c r="A7682" s="234" t="s">
        <v>27673</v>
      </c>
      <c r="B7682" s="239" t="s">
        <v>16854</v>
      </c>
      <c r="C7682" s="71" t="s">
        <v>175</v>
      </c>
    </row>
    <row r="7683">
      <c r="A7683" s="130" t="s">
        <v>27676</v>
      </c>
      <c r="B7683" s="239" t="s">
        <v>175</v>
      </c>
      <c r="C7683" s="71" t="s">
        <v>16878</v>
      </c>
    </row>
    <row r="7684">
      <c r="A7684" s="130" t="s">
        <v>27678</v>
      </c>
      <c r="B7684" s="239" t="s">
        <v>158</v>
      </c>
      <c r="C7684" s="71" t="s">
        <v>17171</v>
      </c>
    </row>
    <row r="7685">
      <c r="A7685" s="130" t="s">
        <v>27680</v>
      </c>
      <c r="B7685" s="239" t="s">
        <v>187</v>
      </c>
      <c r="C7685" s="71" t="s">
        <v>16846</v>
      </c>
    </row>
    <row r="7686">
      <c r="A7686" s="130" t="s">
        <v>27682</v>
      </c>
      <c r="B7686" s="239" t="s">
        <v>187</v>
      </c>
      <c r="C7686" s="71" t="s">
        <v>16858</v>
      </c>
    </row>
    <row r="7687">
      <c r="A7687" s="130" t="s">
        <v>27684</v>
      </c>
      <c r="B7687" s="239" t="s">
        <v>187</v>
      </c>
      <c r="C7687" s="71" t="s">
        <v>16858</v>
      </c>
    </row>
    <row r="7688">
      <c r="A7688" s="130" t="s">
        <v>27686</v>
      </c>
      <c r="B7688" s="239" t="s">
        <v>187</v>
      </c>
      <c r="C7688" s="71" t="s">
        <v>16969</v>
      </c>
    </row>
    <row r="7689">
      <c r="A7689" s="130" t="s">
        <v>27688</v>
      </c>
      <c r="B7689" s="239" t="s">
        <v>169</v>
      </c>
      <c r="C7689" s="71" t="s">
        <v>17509</v>
      </c>
    </row>
    <row r="7690">
      <c r="A7690" s="130" t="s">
        <v>27690</v>
      </c>
      <c r="B7690" s="239" t="s">
        <v>16838</v>
      </c>
      <c r="C7690" s="71" t="s">
        <v>17112</v>
      </c>
    </row>
    <row r="7691">
      <c r="A7691" s="130" t="s">
        <v>27692</v>
      </c>
      <c r="B7691" s="239" t="s">
        <v>16838</v>
      </c>
      <c r="C7691" s="71" t="s">
        <v>17016</v>
      </c>
    </row>
    <row r="7692">
      <c r="A7692" s="130" t="s">
        <v>27694</v>
      </c>
      <c r="B7692" s="239" t="s">
        <v>187</v>
      </c>
      <c r="C7692" s="71" t="s">
        <v>16846</v>
      </c>
    </row>
    <row r="7693">
      <c r="A7693" s="130" t="s">
        <v>27696</v>
      </c>
      <c r="B7693" s="239" t="s">
        <v>187</v>
      </c>
      <c r="C7693" s="71" t="s">
        <v>16846</v>
      </c>
    </row>
    <row r="7694">
      <c r="A7694" s="130" t="s">
        <v>27698</v>
      </c>
      <c r="B7694" s="239" t="s">
        <v>16838</v>
      </c>
      <c r="C7694" s="71" t="s">
        <v>18219</v>
      </c>
    </row>
    <row r="7695">
      <c r="A7695" s="130" t="s">
        <v>27700</v>
      </c>
      <c r="B7695" s="239" t="s">
        <v>169</v>
      </c>
      <c r="C7695" s="71" t="s">
        <v>17532</v>
      </c>
    </row>
    <row r="7696">
      <c r="A7696" s="130" t="s">
        <v>27702</v>
      </c>
      <c r="B7696" s="239" t="s">
        <v>16885</v>
      </c>
      <c r="C7696" s="71" t="s">
        <v>16886</v>
      </c>
    </row>
    <row r="7697">
      <c r="A7697" s="130" t="s">
        <v>27704</v>
      </c>
      <c r="B7697" s="239" t="s">
        <v>175</v>
      </c>
      <c r="C7697" s="71" t="s">
        <v>19996</v>
      </c>
    </row>
    <row r="7698">
      <c r="A7698" s="234" t="s">
        <v>27706</v>
      </c>
      <c r="B7698" s="239" t="s">
        <v>187</v>
      </c>
      <c r="C7698" s="71" t="s">
        <v>16851</v>
      </c>
    </row>
    <row r="7699">
      <c r="A7699" s="234" t="s">
        <v>27706</v>
      </c>
      <c r="B7699" s="239" t="s">
        <v>16851</v>
      </c>
      <c r="C7699" s="130" t="s">
        <v>187</v>
      </c>
    </row>
    <row r="7700">
      <c r="A7700" s="234" t="s">
        <v>27708</v>
      </c>
      <c r="B7700" s="239" t="s">
        <v>175</v>
      </c>
      <c r="C7700" s="71" t="s">
        <v>17394</v>
      </c>
    </row>
    <row r="7701">
      <c r="A7701" s="234" t="s">
        <v>27708</v>
      </c>
      <c r="B7701" s="239" t="s">
        <v>17394</v>
      </c>
      <c r="C7701" s="71" t="s">
        <v>175</v>
      </c>
    </row>
    <row r="7702">
      <c r="A7702" s="234" t="s">
        <v>27710</v>
      </c>
      <c r="B7702" s="239" t="s">
        <v>16838</v>
      </c>
      <c r="C7702" s="71" t="s">
        <v>17019</v>
      </c>
    </row>
    <row r="7703">
      <c r="A7703" s="234" t="s">
        <v>27710</v>
      </c>
      <c r="B7703" s="239" t="s">
        <v>17019</v>
      </c>
      <c r="C7703" s="130" t="s">
        <v>16838</v>
      </c>
    </row>
    <row r="7704">
      <c r="A7704" s="130" t="s">
        <v>27712</v>
      </c>
      <c r="B7704" s="239" t="s">
        <v>187</v>
      </c>
      <c r="C7704" s="71" t="s">
        <v>17122</v>
      </c>
    </row>
    <row r="7705">
      <c r="A7705" s="130" t="s">
        <v>27714</v>
      </c>
      <c r="B7705" s="239" t="s">
        <v>169</v>
      </c>
      <c r="C7705" s="71" t="s">
        <v>20534</v>
      </c>
    </row>
    <row r="7706">
      <c r="A7706" s="130" t="s">
        <v>27716</v>
      </c>
      <c r="B7706" s="239" t="s">
        <v>16582</v>
      </c>
      <c r="C7706" s="71" t="s">
        <v>16583</v>
      </c>
    </row>
    <row r="7707">
      <c r="A7707" s="130" t="s">
        <v>27718</v>
      </c>
      <c r="B7707" s="239" t="s">
        <v>16582</v>
      </c>
      <c r="C7707" s="71" t="s">
        <v>16828</v>
      </c>
    </row>
    <row r="7708">
      <c r="A7708" s="130" t="s">
        <v>27720</v>
      </c>
      <c r="B7708" s="239" t="s">
        <v>187</v>
      </c>
      <c r="C7708" s="71" t="s">
        <v>23634</v>
      </c>
    </row>
    <row r="7709">
      <c r="A7709" s="130" t="s">
        <v>27722</v>
      </c>
      <c r="B7709" s="239" t="s">
        <v>169</v>
      </c>
      <c r="C7709" s="71" t="s">
        <v>16899</v>
      </c>
    </row>
    <row r="7710">
      <c r="A7710" s="234" t="s">
        <v>27724</v>
      </c>
      <c r="B7710" s="239" t="s">
        <v>17112</v>
      </c>
      <c r="C7710" s="71" t="s">
        <v>16838</v>
      </c>
    </row>
    <row r="7711">
      <c r="A7711" s="234" t="s">
        <v>27724</v>
      </c>
      <c r="B7711" s="239" t="s">
        <v>16838</v>
      </c>
      <c r="C7711" s="71" t="s">
        <v>17112</v>
      </c>
    </row>
    <row r="7712">
      <c r="A7712" s="130" t="s">
        <v>27726</v>
      </c>
      <c r="B7712" s="239" t="s">
        <v>187</v>
      </c>
      <c r="C7712" s="71" t="s">
        <v>16858</v>
      </c>
    </row>
    <row r="7713">
      <c r="A7713" s="130" t="s">
        <v>27728</v>
      </c>
      <c r="B7713" s="239" t="s">
        <v>187</v>
      </c>
      <c r="C7713" s="71" t="s">
        <v>16858</v>
      </c>
    </row>
    <row r="7714">
      <c r="A7714" s="130" t="s">
        <v>27730</v>
      </c>
      <c r="B7714" s="239" t="s">
        <v>16582</v>
      </c>
      <c r="C7714" s="71" t="s">
        <v>16817</v>
      </c>
    </row>
    <row r="7715">
      <c r="A7715" s="130" t="s">
        <v>27732</v>
      </c>
      <c r="B7715" s="239" t="s">
        <v>187</v>
      </c>
      <c r="C7715" s="71" t="s">
        <v>16969</v>
      </c>
    </row>
    <row r="7716">
      <c r="A7716" s="130" t="s">
        <v>27734</v>
      </c>
      <c r="B7716" s="239" t="s">
        <v>175</v>
      </c>
      <c r="C7716" s="71" t="s">
        <v>16939</v>
      </c>
    </row>
    <row r="7717">
      <c r="A7717" s="130" t="s">
        <v>27736</v>
      </c>
      <c r="B7717" s="239" t="s">
        <v>187</v>
      </c>
      <c r="C7717" s="71" t="s">
        <v>16851</v>
      </c>
    </row>
    <row r="7718">
      <c r="A7718" s="234" t="s">
        <v>27738</v>
      </c>
      <c r="B7718" s="239" t="s">
        <v>175</v>
      </c>
      <c r="C7718" s="71" t="s">
        <v>17394</v>
      </c>
    </row>
    <row r="7719">
      <c r="A7719" s="234" t="s">
        <v>27738</v>
      </c>
      <c r="B7719" s="239" t="s">
        <v>17394</v>
      </c>
      <c r="C7719" s="71" t="s">
        <v>175</v>
      </c>
    </row>
    <row r="7720">
      <c r="A7720" s="130" t="s">
        <v>27740</v>
      </c>
      <c r="B7720" s="239" t="s">
        <v>187</v>
      </c>
      <c r="C7720" s="71" t="s">
        <v>16846</v>
      </c>
    </row>
    <row r="7721">
      <c r="A7721" s="130" t="s">
        <v>27742</v>
      </c>
      <c r="B7721" s="239" t="s">
        <v>187</v>
      </c>
      <c r="C7721" s="71" t="s">
        <v>16846</v>
      </c>
    </row>
    <row r="7722">
      <c r="A7722" s="130" t="s">
        <v>27744</v>
      </c>
      <c r="B7722" s="239" t="s">
        <v>17112</v>
      </c>
      <c r="C7722" s="71" t="s">
        <v>17787</v>
      </c>
    </row>
    <row r="7723">
      <c r="A7723" s="130" t="s">
        <v>27746</v>
      </c>
      <c r="B7723" s="239" t="s">
        <v>187</v>
      </c>
      <c r="C7723" s="71" t="s">
        <v>16846</v>
      </c>
    </row>
    <row r="7724">
      <c r="A7724" s="130" t="s">
        <v>27748</v>
      </c>
      <c r="B7724" s="239" t="s">
        <v>16582</v>
      </c>
      <c r="C7724" s="71" t="s">
        <v>16583</v>
      </c>
    </row>
    <row r="7725">
      <c r="A7725" s="130" t="s">
        <v>27750</v>
      </c>
      <c r="B7725" s="239" t="s">
        <v>175</v>
      </c>
      <c r="C7725" s="71" t="s">
        <v>18268</v>
      </c>
    </row>
    <row r="7726">
      <c r="A7726" s="130" t="s">
        <v>27752</v>
      </c>
      <c r="B7726" s="239" t="s">
        <v>187</v>
      </c>
      <c r="C7726" s="71" t="s">
        <v>16846</v>
      </c>
    </row>
    <row r="7727">
      <c r="A7727" s="130" t="s">
        <v>27754</v>
      </c>
      <c r="B7727" s="239" t="s">
        <v>16582</v>
      </c>
      <c r="C7727" s="71" t="s">
        <v>16817</v>
      </c>
    </row>
    <row r="7728">
      <c r="A7728" s="130" t="s">
        <v>27756</v>
      </c>
      <c r="B7728" s="239" t="s">
        <v>16926</v>
      </c>
      <c r="C7728" s="71" t="s">
        <v>16957</v>
      </c>
    </row>
    <row r="7729">
      <c r="A7729" s="130" t="s">
        <v>27758</v>
      </c>
      <c r="B7729" s="239" t="s">
        <v>187</v>
      </c>
      <c r="C7729" s="71" t="s">
        <v>16858</v>
      </c>
    </row>
    <row r="7730">
      <c r="A7730" s="130" t="s">
        <v>27760</v>
      </c>
      <c r="B7730" s="239" t="s">
        <v>187</v>
      </c>
      <c r="C7730" s="71" t="s">
        <v>16858</v>
      </c>
    </row>
    <row r="7731">
      <c r="A7731" s="234" t="s">
        <v>27762</v>
      </c>
      <c r="B7731" s="239" t="s">
        <v>169</v>
      </c>
      <c r="C7731" s="71" t="s">
        <v>17022</v>
      </c>
    </row>
    <row r="7732">
      <c r="A7732" s="234" t="s">
        <v>27762</v>
      </c>
      <c r="B7732" s="239" t="s">
        <v>17022</v>
      </c>
      <c r="C7732" s="130" t="s">
        <v>169</v>
      </c>
    </row>
    <row r="7733">
      <c r="A7733" s="130" t="s">
        <v>27764</v>
      </c>
      <c r="B7733" s="239" t="s">
        <v>17112</v>
      </c>
      <c r="C7733" s="71" t="s">
        <v>17218</v>
      </c>
    </row>
    <row r="7734">
      <c r="A7734" s="130" t="s">
        <v>27766</v>
      </c>
      <c r="B7734" s="239" t="s">
        <v>16838</v>
      </c>
      <c r="C7734" s="71" t="s">
        <v>18219</v>
      </c>
    </row>
    <row r="7735">
      <c r="A7735" s="130" t="s">
        <v>27768</v>
      </c>
      <c r="B7735" s="239" t="s">
        <v>187</v>
      </c>
      <c r="C7735" s="71" t="s">
        <v>16858</v>
      </c>
    </row>
    <row r="7736">
      <c r="A7736" s="130" t="s">
        <v>27770</v>
      </c>
      <c r="B7736" s="239" t="s">
        <v>187</v>
      </c>
      <c r="C7736" s="71" t="s">
        <v>16846</v>
      </c>
    </row>
    <row r="7737">
      <c r="A7737" s="130" t="s">
        <v>27772</v>
      </c>
      <c r="B7737" s="239" t="s">
        <v>16838</v>
      </c>
      <c r="C7737" s="71" t="s">
        <v>17127</v>
      </c>
    </row>
    <row r="7738">
      <c r="A7738" s="130" t="s">
        <v>27774</v>
      </c>
      <c r="B7738" s="239" t="s">
        <v>16582</v>
      </c>
      <c r="C7738" s="71" t="s">
        <v>16930</v>
      </c>
    </row>
    <row r="7739">
      <c r="A7739" s="130" t="s">
        <v>27776</v>
      </c>
      <c r="B7739" s="239" t="s">
        <v>16582</v>
      </c>
      <c r="C7739" s="71" t="s">
        <v>16817</v>
      </c>
    </row>
    <row r="7740">
      <c r="A7740" s="130" t="s">
        <v>27778</v>
      </c>
      <c r="B7740" s="239" t="s">
        <v>187</v>
      </c>
      <c r="C7740" s="71" t="s">
        <v>16969</v>
      </c>
    </row>
    <row r="7741">
      <c r="A7741" s="130" t="s">
        <v>27780</v>
      </c>
      <c r="B7741" s="239" t="s">
        <v>187</v>
      </c>
      <c r="C7741" s="71" t="s">
        <v>16846</v>
      </c>
    </row>
    <row r="7742">
      <c r="A7742" s="130" t="s">
        <v>27782</v>
      </c>
      <c r="B7742" s="239" t="s">
        <v>187</v>
      </c>
      <c r="C7742" s="71" t="s">
        <v>17564</v>
      </c>
    </row>
    <row r="7743">
      <c r="A7743" s="130" t="s">
        <v>27784</v>
      </c>
      <c r="B7743" s="239" t="s">
        <v>169</v>
      </c>
      <c r="C7743" s="71" t="s">
        <v>16899</v>
      </c>
    </row>
    <row r="7744">
      <c r="A7744" s="130" t="s">
        <v>27786</v>
      </c>
      <c r="B7744" s="239" t="s">
        <v>169</v>
      </c>
      <c r="C7744" s="71" t="s">
        <v>17022</v>
      </c>
    </row>
    <row r="7745">
      <c r="A7745" s="130" t="s">
        <v>27788</v>
      </c>
      <c r="B7745" s="239" t="s">
        <v>169</v>
      </c>
      <c r="C7745" s="71" t="s">
        <v>17233</v>
      </c>
    </row>
    <row r="7746">
      <c r="A7746" s="234" t="s">
        <v>27790</v>
      </c>
      <c r="B7746" s="71"/>
      <c r="C7746" s="71"/>
    </row>
    <row r="7747">
      <c r="A7747" s="234" t="s">
        <v>27790</v>
      </c>
      <c r="B7747" s="71"/>
      <c r="C7747" s="71"/>
    </row>
    <row r="7748">
      <c r="A7748" s="130" t="s">
        <v>27792</v>
      </c>
      <c r="B7748" s="239" t="s">
        <v>187</v>
      </c>
      <c r="C7748" s="71" t="s">
        <v>16992</v>
      </c>
    </row>
    <row r="7749">
      <c r="A7749" s="234" t="s">
        <v>27794</v>
      </c>
      <c r="B7749" s="239" t="s">
        <v>17009</v>
      </c>
      <c r="C7749" s="71" t="s">
        <v>169</v>
      </c>
    </row>
    <row r="7750">
      <c r="A7750" s="234" t="s">
        <v>27794</v>
      </c>
      <c r="B7750" s="239" t="s">
        <v>169</v>
      </c>
      <c r="C7750" s="71" t="s">
        <v>17009</v>
      </c>
    </row>
    <row r="7751">
      <c r="A7751" s="234" t="s">
        <v>27796</v>
      </c>
      <c r="B7751" s="239" t="s">
        <v>158</v>
      </c>
      <c r="C7751" s="71" t="s">
        <v>16864</v>
      </c>
    </row>
    <row r="7752">
      <c r="A7752" s="234" t="s">
        <v>27796</v>
      </c>
      <c r="B7752" s="239" t="s">
        <v>16864</v>
      </c>
      <c r="C7752" s="130" t="s">
        <v>158</v>
      </c>
    </row>
    <row r="7753">
      <c r="A7753" s="130" t="s">
        <v>27798</v>
      </c>
      <c r="B7753" s="239" t="s">
        <v>16926</v>
      </c>
      <c r="C7753" s="71" t="s">
        <v>16957</v>
      </c>
    </row>
    <row r="7754">
      <c r="A7754" s="130" t="s">
        <v>27800</v>
      </c>
      <c r="B7754" s="239" t="s">
        <v>175</v>
      </c>
      <c r="C7754" s="71" t="s">
        <v>18352</v>
      </c>
    </row>
    <row r="7755">
      <c r="A7755" s="234" t="s">
        <v>27802</v>
      </c>
      <c r="B7755" s="239" t="s">
        <v>187</v>
      </c>
      <c r="C7755" s="71" t="s">
        <v>16846</v>
      </c>
    </row>
    <row r="7756">
      <c r="A7756" s="234" t="s">
        <v>27802</v>
      </c>
      <c r="B7756" s="239" t="s">
        <v>16846</v>
      </c>
      <c r="C7756" s="130" t="s">
        <v>187</v>
      </c>
    </row>
    <row r="7757">
      <c r="A7757" s="130" t="s">
        <v>27804</v>
      </c>
      <c r="B7757" s="239" t="s">
        <v>187</v>
      </c>
      <c r="C7757" s="71" t="s">
        <v>16992</v>
      </c>
    </row>
    <row r="7758">
      <c r="A7758" s="130" t="s">
        <v>27806</v>
      </c>
      <c r="B7758" s="239" t="s">
        <v>175</v>
      </c>
      <c r="C7758" s="71" t="s">
        <v>17069</v>
      </c>
    </row>
    <row r="7759">
      <c r="A7759" s="130" t="s">
        <v>27808</v>
      </c>
      <c r="B7759" s="239" t="s">
        <v>187</v>
      </c>
      <c r="C7759" s="71" t="s">
        <v>16858</v>
      </c>
    </row>
    <row r="7760">
      <c r="A7760" s="130" t="s">
        <v>27810</v>
      </c>
      <c r="B7760" s="239" t="s">
        <v>187</v>
      </c>
      <c r="C7760" s="71" t="s">
        <v>16846</v>
      </c>
    </row>
    <row r="7761">
      <c r="A7761" s="130" t="s">
        <v>27812</v>
      </c>
      <c r="B7761" s="239" t="s">
        <v>187</v>
      </c>
      <c r="C7761" s="71" t="s">
        <v>17564</v>
      </c>
    </row>
    <row r="7762">
      <c r="A7762" s="130" t="s">
        <v>27814</v>
      </c>
      <c r="B7762" s="239" t="s">
        <v>175</v>
      </c>
      <c r="C7762" s="71" t="s">
        <v>19006</v>
      </c>
    </row>
    <row r="7763">
      <c r="A7763" s="234" t="s">
        <v>27816</v>
      </c>
      <c r="B7763" s="71"/>
      <c r="C7763" s="71"/>
    </row>
    <row r="7764">
      <c r="A7764" s="234" t="s">
        <v>27816</v>
      </c>
      <c r="B7764" s="71"/>
      <c r="C7764" s="71"/>
    </row>
    <row r="7765">
      <c r="A7765" s="130" t="s">
        <v>27818</v>
      </c>
      <c r="B7765" s="239" t="s">
        <v>175</v>
      </c>
      <c r="C7765" s="71" t="s">
        <v>16942</v>
      </c>
    </row>
    <row r="7766">
      <c r="A7766" s="130" t="s">
        <v>27820</v>
      </c>
      <c r="B7766" s="239" t="s">
        <v>16885</v>
      </c>
      <c r="C7766" s="71" t="s">
        <v>20119</v>
      </c>
    </row>
    <row r="7767">
      <c r="A7767" s="130" t="s">
        <v>27823</v>
      </c>
      <c r="B7767" s="239" t="s">
        <v>187</v>
      </c>
      <c r="C7767" s="71" t="s">
        <v>17509</v>
      </c>
    </row>
    <row r="7768">
      <c r="A7768" s="130" t="s">
        <v>27825</v>
      </c>
      <c r="B7768" s="239" t="s">
        <v>187</v>
      </c>
      <c r="C7768" s="71" t="s">
        <v>17559</v>
      </c>
    </row>
    <row r="7769">
      <c r="A7769" s="130" t="s">
        <v>27827</v>
      </c>
      <c r="B7769" s="239" t="s">
        <v>169</v>
      </c>
      <c r="C7769" s="71" t="s">
        <v>16899</v>
      </c>
    </row>
    <row r="7770">
      <c r="A7770" s="130" t="s">
        <v>27829</v>
      </c>
      <c r="B7770" s="239" t="s">
        <v>16582</v>
      </c>
      <c r="C7770" s="71" t="s">
        <v>16930</v>
      </c>
    </row>
    <row r="7771">
      <c r="A7771" s="130" t="s">
        <v>27831</v>
      </c>
      <c r="B7771" s="239" t="s">
        <v>187</v>
      </c>
      <c r="C7771" s="71" t="s">
        <v>16858</v>
      </c>
    </row>
    <row r="7772">
      <c r="A7772" s="130" t="s">
        <v>27833</v>
      </c>
      <c r="B7772" s="239" t="s">
        <v>16582</v>
      </c>
      <c r="C7772" s="71" t="s">
        <v>16817</v>
      </c>
    </row>
    <row r="7773">
      <c r="A7773" s="130" t="s">
        <v>27835</v>
      </c>
      <c r="B7773" s="239" t="s">
        <v>16582</v>
      </c>
      <c r="C7773" s="71" t="s">
        <v>16899</v>
      </c>
    </row>
    <row r="7774">
      <c r="A7774" s="130" t="s">
        <v>27837</v>
      </c>
      <c r="B7774" s="239" t="s">
        <v>17112</v>
      </c>
      <c r="C7774" s="71" t="s">
        <v>17111</v>
      </c>
    </row>
    <row r="7775">
      <c r="A7775" s="130" t="s">
        <v>27839</v>
      </c>
      <c r="B7775" s="239" t="s">
        <v>16582</v>
      </c>
      <c r="C7775" s="71" t="s">
        <v>17342</v>
      </c>
    </row>
    <row r="7776">
      <c r="A7776" s="130" t="s">
        <v>27841</v>
      </c>
      <c r="B7776" s="239" t="s">
        <v>16838</v>
      </c>
      <c r="C7776" s="71" t="s">
        <v>17016</v>
      </c>
    </row>
    <row r="7777">
      <c r="A7777" s="130" t="s">
        <v>27843</v>
      </c>
      <c r="B7777" s="239" t="s">
        <v>187</v>
      </c>
      <c r="C7777" s="71" t="s">
        <v>16846</v>
      </c>
    </row>
    <row r="7778">
      <c r="A7778" s="234" t="s">
        <v>27845</v>
      </c>
      <c r="B7778" s="239" t="s">
        <v>175</v>
      </c>
      <c r="C7778" s="71" t="s">
        <v>16957</v>
      </c>
    </row>
    <row r="7779">
      <c r="A7779" s="234" t="s">
        <v>27845</v>
      </c>
      <c r="B7779" s="239" t="s">
        <v>16957</v>
      </c>
      <c r="C7779" s="130" t="s">
        <v>175</v>
      </c>
    </row>
    <row r="7780">
      <c r="A7780" s="130" t="s">
        <v>27847</v>
      </c>
      <c r="B7780" s="239" t="s">
        <v>16919</v>
      </c>
      <c r="C7780" s="71" t="s">
        <v>17048</v>
      </c>
    </row>
    <row r="7781">
      <c r="A7781" s="130" t="s">
        <v>27849</v>
      </c>
      <c r="B7781" s="239" t="s">
        <v>187</v>
      </c>
      <c r="C7781" s="71" t="s">
        <v>16846</v>
      </c>
    </row>
    <row r="7782">
      <c r="A7782" s="234" t="s">
        <v>27851</v>
      </c>
      <c r="B7782" s="239" t="s">
        <v>16910</v>
      </c>
      <c r="C7782" s="71" t="s">
        <v>17013</v>
      </c>
    </row>
    <row r="7783">
      <c r="A7783" s="234" t="s">
        <v>27851</v>
      </c>
      <c r="B7783" s="239" t="s">
        <v>17013</v>
      </c>
      <c r="C7783" s="130" t="s">
        <v>16910</v>
      </c>
    </row>
    <row r="7784">
      <c r="A7784" s="130" t="s">
        <v>27853</v>
      </c>
      <c r="B7784" s="239" t="s">
        <v>187</v>
      </c>
      <c r="C7784" s="71" t="s">
        <v>16846</v>
      </c>
    </row>
    <row r="7785">
      <c r="A7785" s="130" t="s">
        <v>27855</v>
      </c>
      <c r="B7785" s="239" t="s">
        <v>187</v>
      </c>
      <c r="C7785" s="71" t="s">
        <v>16846</v>
      </c>
    </row>
    <row r="7786">
      <c r="A7786" s="130" t="s">
        <v>27857</v>
      </c>
      <c r="B7786" s="71"/>
      <c r="C7786" s="71"/>
    </row>
    <row r="7787">
      <c r="A7787" s="130" t="s">
        <v>27859</v>
      </c>
      <c r="B7787" s="239" t="s">
        <v>187</v>
      </c>
      <c r="C7787" s="71" t="s">
        <v>16969</v>
      </c>
    </row>
    <row r="7788">
      <c r="A7788" s="130" t="s">
        <v>27861</v>
      </c>
      <c r="B7788" s="239" t="s">
        <v>187</v>
      </c>
      <c r="C7788" s="71" t="s">
        <v>16846</v>
      </c>
    </row>
    <row r="7789">
      <c r="A7789" s="234" t="s">
        <v>27863</v>
      </c>
      <c r="B7789" s="239" t="s">
        <v>16582</v>
      </c>
      <c r="C7789" s="71" t="s">
        <v>17183</v>
      </c>
    </row>
    <row r="7790">
      <c r="A7790" s="234" t="s">
        <v>27863</v>
      </c>
      <c r="B7790" s="239" t="s">
        <v>17183</v>
      </c>
      <c r="C7790" s="130" t="s">
        <v>16582</v>
      </c>
    </row>
    <row r="7791">
      <c r="A7791" s="130" t="s">
        <v>27865</v>
      </c>
      <c r="B7791" s="239" t="s">
        <v>187</v>
      </c>
      <c r="C7791" s="71" t="s">
        <v>16846</v>
      </c>
    </row>
    <row r="7792">
      <c r="A7792" s="130" t="s">
        <v>27867</v>
      </c>
      <c r="B7792" s="71"/>
      <c r="C7792" s="71"/>
    </row>
    <row r="7793">
      <c r="A7793" s="130" t="s">
        <v>27869</v>
      </c>
      <c r="B7793" s="239" t="s">
        <v>175</v>
      </c>
      <c r="C7793" s="71" t="s">
        <v>17264</v>
      </c>
    </row>
    <row r="7794">
      <c r="A7794" s="130" t="s">
        <v>27871</v>
      </c>
      <c r="B7794" s="239" t="s">
        <v>187</v>
      </c>
      <c r="C7794" s="71" t="s">
        <v>16992</v>
      </c>
    </row>
    <row r="7795">
      <c r="A7795" s="130" t="s">
        <v>27873</v>
      </c>
      <c r="B7795" s="239" t="s">
        <v>169</v>
      </c>
      <c r="C7795" s="71" t="s">
        <v>16899</v>
      </c>
    </row>
    <row r="7796">
      <c r="A7796" s="130" t="s">
        <v>27875</v>
      </c>
      <c r="B7796" s="239" t="s">
        <v>169</v>
      </c>
      <c r="C7796" s="71" t="s">
        <v>17827</v>
      </c>
    </row>
    <row r="7797">
      <c r="A7797" s="130" t="s">
        <v>27877</v>
      </c>
      <c r="B7797" s="239" t="s">
        <v>187</v>
      </c>
      <c r="C7797" s="71" t="s">
        <v>16846</v>
      </c>
    </row>
    <row r="7798">
      <c r="A7798" s="130" t="s">
        <v>27879</v>
      </c>
      <c r="B7798" s="239" t="s">
        <v>16582</v>
      </c>
      <c r="C7798" s="71" t="s">
        <v>16930</v>
      </c>
    </row>
    <row r="7799">
      <c r="A7799" s="130" t="s">
        <v>27881</v>
      </c>
      <c r="B7799" s="239" t="s">
        <v>175</v>
      </c>
      <c r="C7799" s="71" t="s">
        <v>19166</v>
      </c>
    </row>
    <row r="7800">
      <c r="A7800" s="130" t="s">
        <v>27883</v>
      </c>
      <c r="B7800" s="239" t="s">
        <v>187</v>
      </c>
      <c r="C7800" s="71" t="s">
        <v>16846</v>
      </c>
    </row>
    <row r="7801">
      <c r="A7801" s="130" t="s">
        <v>27885</v>
      </c>
      <c r="B7801" s="239" t="s">
        <v>17629</v>
      </c>
      <c r="C7801" s="71" t="s">
        <v>16899</v>
      </c>
    </row>
    <row r="7802">
      <c r="A7802" s="130" t="s">
        <v>27887</v>
      </c>
      <c r="B7802" s="239" t="s">
        <v>187</v>
      </c>
      <c r="C7802" s="71" t="s">
        <v>16992</v>
      </c>
    </row>
    <row r="7803">
      <c r="A7803" s="130" t="s">
        <v>27889</v>
      </c>
      <c r="B7803" s="239" t="s">
        <v>16838</v>
      </c>
      <c r="C7803" s="71" t="s">
        <v>18219</v>
      </c>
    </row>
    <row r="7804">
      <c r="A7804" s="130" t="s">
        <v>27891</v>
      </c>
      <c r="B7804" s="239" t="s">
        <v>16582</v>
      </c>
      <c r="C7804" s="71" t="s">
        <v>16930</v>
      </c>
    </row>
    <row r="7805">
      <c r="A7805" s="130" t="s">
        <v>27893</v>
      </c>
      <c r="B7805" s="239" t="s">
        <v>16926</v>
      </c>
      <c r="C7805" s="71" t="s">
        <v>16927</v>
      </c>
    </row>
    <row r="7806">
      <c r="A7806" s="130" t="s">
        <v>27895</v>
      </c>
      <c r="B7806" s="239" t="s">
        <v>17112</v>
      </c>
      <c r="C7806" s="71" t="s">
        <v>17787</v>
      </c>
    </row>
    <row r="7807">
      <c r="A7807" s="234" t="s">
        <v>27897</v>
      </c>
      <c r="B7807" s="239" t="s">
        <v>16838</v>
      </c>
      <c r="C7807" s="71" t="s">
        <v>17019</v>
      </c>
    </row>
    <row r="7808">
      <c r="A7808" s="234" t="s">
        <v>27897</v>
      </c>
      <c r="B7808" s="239" t="s">
        <v>17019</v>
      </c>
      <c r="C7808" s="130" t="s">
        <v>16838</v>
      </c>
    </row>
    <row r="7809">
      <c r="A7809" s="130" t="s">
        <v>27899</v>
      </c>
      <c r="B7809" s="239" t="s">
        <v>187</v>
      </c>
      <c r="C7809" s="71" t="s">
        <v>16846</v>
      </c>
    </row>
    <row r="7810">
      <c r="A7810" s="130" t="s">
        <v>27901</v>
      </c>
      <c r="B7810" s="239" t="s">
        <v>16582</v>
      </c>
      <c r="C7810" s="71" t="s">
        <v>16817</v>
      </c>
    </row>
    <row r="7811">
      <c r="A7811" s="130" t="s">
        <v>27903</v>
      </c>
      <c r="B7811" s="239" t="s">
        <v>16582</v>
      </c>
      <c r="C7811" s="71" t="s">
        <v>16817</v>
      </c>
    </row>
    <row r="7812">
      <c r="A7812" s="130" t="s">
        <v>27905</v>
      </c>
      <c r="B7812" s="239" t="s">
        <v>175</v>
      </c>
      <c r="C7812" s="71" t="s">
        <v>17321</v>
      </c>
    </row>
    <row r="7813">
      <c r="A7813" s="234" t="s">
        <v>27907</v>
      </c>
      <c r="B7813" s="239" t="s">
        <v>187</v>
      </c>
      <c r="C7813" s="71" t="s">
        <v>16846</v>
      </c>
    </row>
    <row r="7814">
      <c r="A7814" s="234" t="s">
        <v>27907</v>
      </c>
      <c r="B7814" s="239" t="s">
        <v>16846</v>
      </c>
      <c r="C7814" s="130" t="s">
        <v>187</v>
      </c>
    </row>
    <row r="7815">
      <c r="A7815" s="130" t="s">
        <v>27909</v>
      </c>
      <c r="B7815" s="239" t="s">
        <v>175</v>
      </c>
      <c r="C7815" s="71" t="s">
        <v>16854</v>
      </c>
    </row>
    <row r="7816">
      <c r="A7816" s="130" t="s">
        <v>27911</v>
      </c>
      <c r="B7816" s="239" t="s">
        <v>187</v>
      </c>
      <c r="C7816" s="71" t="s">
        <v>16992</v>
      </c>
    </row>
    <row r="7817">
      <c r="A7817" s="130" t="s">
        <v>27913</v>
      </c>
      <c r="B7817" s="71"/>
      <c r="C7817" s="71"/>
    </row>
    <row r="7818">
      <c r="A7818" s="130" t="s">
        <v>27915</v>
      </c>
      <c r="B7818" s="239" t="s">
        <v>16582</v>
      </c>
      <c r="C7818" s="71" t="s">
        <v>16930</v>
      </c>
    </row>
    <row r="7819">
      <c r="A7819" s="130" t="s">
        <v>27917</v>
      </c>
      <c r="B7819" s="239" t="s">
        <v>187</v>
      </c>
      <c r="C7819" s="71" t="s">
        <v>16846</v>
      </c>
    </row>
    <row r="7820">
      <c r="A7820" s="130" t="s">
        <v>27919</v>
      </c>
      <c r="B7820" s="239" t="s">
        <v>187</v>
      </c>
      <c r="C7820" s="71" t="s">
        <v>16969</v>
      </c>
    </row>
    <row r="7821">
      <c r="A7821" s="130" t="s">
        <v>27921</v>
      </c>
      <c r="B7821" s="239" t="s">
        <v>187</v>
      </c>
      <c r="C7821" s="71" t="s">
        <v>17509</v>
      </c>
    </row>
    <row r="7822">
      <c r="A7822" s="130" t="s">
        <v>27923</v>
      </c>
      <c r="B7822" s="239" t="s">
        <v>16582</v>
      </c>
      <c r="C7822" s="71" t="s">
        <v>16817</v>
      </c>
    </row>
    <row r="7823">
      <c r="A7823" s="130" t="s">
        <v>27925</v>
      </c>
      <c r="B7823" s="239" t="s">
        <v>17112</v>
      </c>
      <c r="C7823" s="71" t="s">
        <v>17111</v>
      </c>
    </row>
    <row r="7824">
      <c r="A7824" s="130" t="s">
        <v>27927</v>
      </c>
      <c r="B7824" s="239" t="s">
        <v>187</v>
      </c>
      <c r="C7824" s="71" t="s">
        <v>16846</v>
      </c>
    </row>
    <row r="7825">
      <c r="A7825" s="234" t="s">
        <v>27929</v>
      </c>
      <c r="B7825" s="239" t="s">
        <v>16838</v>
      </c>
      <c r="C7825" s="71" t="s">
        <v>17112</v>
      </c>
    </row>
    <row r="7826">
      <c r="A7826" s="234" t="s">
        <v>27929</v>
      </c>
      <c r="B7826" s="239" t="s">
        <v>17112</v>
      </c>
      <c r="C7826" s="130" t="s">
        <v>16838</v>
      </c>
    </row>
    <row r="7827">
      <c r="A7827" s="234" t="s">
        <v>27931</v>
      </c>
      <c r="B7827" s="239" t="s">
        <v>158</v>
      </c>
      <c r="C7827" s="71" t="s">
        <v>16864</v>
      </c>
    </row>
    <row r="7828">
      <c r="A7828" s="234" t="s">
        <v>27931</v>
      </c>
      <c r="B7828" s="239" t="s">
        <v>16864</v>
      </c>
      <c r="C7828" s="130" t="s">
        <v>158</v>
      </c>
    </row>
    <row r="7829">
      <c r="A7829" s="130" t="s">
        <v>27933</v>
      </c>
      <c r="B7829" s="239" t="s">
        <v>16582</v>
      </c>
      <c r="C7829" s="71" t="s">
        <v>17435</v>
      </c>
    </row>
    <row r="7830">
      <c r="A7830" s="130" t="s">
        <v>27935</v>
      </c>
      <c r="B7830" s="239" t="s">
        <v>175</v>
      </c>
      <c r="C7830" s="71" t="s">
        <v>17057</v>
      </c>
    </row>
    <row r="7831">
      <c r="A7831" s="130" t="s">
        <v>27937</v>
      </c>
      <c r="B7831" s="239" t="s">
        <v>169</v>
      </c>
      <c r="C7831" s="71" t="s">
        <v>17233</v>
      </c>
    </row>
    <row r="7832">
      <c r="A7832" s="130" t="s">
        <v>27939</v>
      </c>
      <c r="B7832" s="239" t="s">
        <v>187</v>
      </c>
      <c r="C7832" s="71" t="s">
        <v>16846</v>
      </c>
    </row>
    <row r="7833">
      <c r="A7833" s="130" t="s">
        <v>27941</v>
      </c>
      <c r="B7833" s="239" t="s">
        <v>187</v>
      </c>
      <c r="C7833" s="71" t="s">
        <v>16846</v>
      </c>
    </row>
    <row r="7834">
      <c r="A7834" s="130" t="s">
        <v>27943</v>
      </c>
      <c r="B7834" s="239" t="s">
        <v>16582</v>
      </c>
      <c r="C7834" s="71" t="s">
        <v>16930</v>
      </c>
    </row>
    <row r="7835">
      <c r="A7835" s="130" t="s">
        <v>27945</v>
      </c>
      <c r="B7835" s="239" t="s">
        <v>187</v>
      </c>
      <c r="C7835" s="71" t="s">
        <v>18529</v>
      </c>
    </row>
    <row r="7836">
      <c r="A7836" s="130" t="s">
        <v>27947</v>
      </c>
      <c r="B7836" s="239" t="s">
        <v>175</v>
      </c>
      <c r="C7836" s="71" t="s">
        <v>17233</v>
      </c>
    </row>
    <row r="7837">
      <c r="A7837" s="130" t="s">
        <v>27949</v>
      </c>
      <c r="B7837" s="239" t="s">
        <v>169</v>
      </c>
      <c r="C7837" s="71" t="s">
        <v>16899</v>
      </c>
    </row>
    <row r="7838">
      <c r="A7838" s="130" t="s">
        <v>27951</v>
      </c>
      <c r="B7838" s="239" t="s">
        <v>175</v>
      </c>
      <c r="C7838" s="71" t="s">
        <v>16957</v>
      </c>
    </row>
    <row r="7839">
      <c r="A7839" s="130" t="s">
        <v>27953</v>
      </c>
      <c r="B7839" s="239" t="s">
        <v>175</v>
      </c>
      <c r="C7839" s="71" t="s">
        <v>17233</v>
      </c>
    </row>
    <row r="7840">
      <c r="A7840" s="130" t="s">
        <v>27955</v>
      </c>
      <c r="B7840" s="239" t="s">
        <v>158</v>
      </c>
      <c r="C7840" s="71" t="s">
        <v>17171</v>
      </c>
    </row>
    <row r="7841">
      <c r="A7841" s="130" t="s">
        <v>27957</v>
      </c>
      <c r="B7841" s="239" t="s">
        <v>16582</v>
      </c>
      <c r="C7841" s="71" t="s">
        <v>16583</v>
      </c>
    </row>
    <row r="7842">
      <c r="A7842" s="130" t="s">
        <v>27959</v>
      </c>
      <c r="B7842" s="239" t="s">
        <v>17112</v>
      </c>
      <c r="C7842" s="71" t="s">
        <v>17218</v>
      </c>
    </row>
    <row r="7843">
      <c r="A7843" s="234" t="s">
        <v>27961</v>
      </c>
      <c r="B7843" s="239" t="s">
        <v>169</v>
      </c>
      <c r="C7843" s="71" t="s">
        <v>17057</v>
      </c>
    </row>
    <row r="7844">
      <c r="A7844" s="234" t="s">
        <v>27961</v>
      </c>
      <c r="B7844" s="239" t="s">
        <v>17057</v>
      </c>
      <c r="C7844" s="130" t="s">
        <v>169</v>
      </c>
    </row>
    <row r="7845">
      <c r="A7845" s="130" t="s">
        <v>27963</v>
      </c>
      <c r="B7845" s="239" t="s">
        <v>16582</v>
      </c>
      <c r="C7845" s="71" t="s">
        <v>16930</v>
      </c>
    </row>
    <row r="7846">
      <c r="A7846" s="130" t="s">
        <v>27965</v>
      </c>
      <c r="B7846" s="239" t="s">
        <v>16838</v>
      </c>
      <c r="C7846" s="71" t="s">
        <v>17016</v>
      </c>
    </row>
    <row r="7847">
      <c r="A7847" s="130" t="s">
        <v>27967</v>
      </c>
      <c r="B7847" s="71"/>
      <c r="C7847" s="71"/>
    </row>
    <row r="7848">
      <c r="A7848" s="130" t="s">
        <v>27969</v>
      </c>
      <c r="B7848" s="239" t="s">
        <v>187</v>
      </c>
      <c r="C7848" s="71" t="s">
        <v>16969</v>
      </c>
    </row>
    <row r="7849">
      <c r="A7849" s="130" t="s">
        <v>27971</v>
      </c>
      <c r="B7849" s="239" t="s">
        <v>187</v>
      </c>
      <c r="C7849" s="71" t="s">
        <v>16846</v>
      </c>
    </row>
    <row r="7850">
      <c r="A7850" s="130" t="s">
        <v>27973</v>
      </c>
      <c r="B7850" s="239" t="s">
        <v>187</v>
      </c>
      <c r="C7850" s="71" t="s">
        <v>16846</v>
      </c>
    </row>
    <row r="7851">
      <c r="A7851" s="130" t="s">
        <v>27975</v>
      </c>
      <c r="B7851" s="239" t="s">
        <v>175</v>
      </c>
      <c r="C7851" s="71" t="s">
        <v>17812</v>
      </c>
    </row>
    <row r="7852">
      <c r="A7852" s="130" t="s">
        <v>27977</v>
      </c>
      <c r="B7852" s="239" t="s">
        <v>187</v>
      </c>
      <c r="C7852" s="71" t="s">
        <v>16846</v>
      </c>
    </row>
    <row r="7853">
      <c r="A7853" s="234" t="s">
        <v>27979</v>
      </c>
      <c r="B7853" s="71"/>
      <c r="C7853" s="71"/>
    </row>
    <row r="7854">
      <c r="A7854" s="234" t="s">
        <v>27979</v>
      </c>
      <c r="B7854" s="71"/>
      <c r="C7854" s="71"/>
    </row>
    <row r="7855">
      <c r="A7855" s="130" t="s">
        <v>27981</v>
      </c>
      <c r="B7855" s="239" t="s">
        <v>187</v>
      </c>
      <c r="C7855" s="71" t="s">
        <v>16992</v>
      </c>
    </row>
    <row r="7856">
      <c r="A7856" s="130" t="s">
        <v>27983</v>
      </c>
      <c r="B7856" s="239" t="s">
        <v>187</v>
      </c>
      <c r="C7856" s="71" t="s">
        <v>16846</v>
      </c>
    </row>
    <row r="7857">
      <c r="A7857" s="130" t="s">
        <v>27985</v>
      </c>
      <c r="B7857" s="239" t="s">
        <v>175</v>
      </c>
      <c r="C7857" s="71" t="s">
        <v>18570</v>
      </c>
    </row>
    <row r="7858">
      <c r="A7858" s="130" t="s">
        <v>27987</v>
      </c>
      <c r="B7858" s="239" t="s">
        <v>17112</v>
      </c>
      <c r="C7858" s="71" t="s">
        <v>17218</v>
      </c>
    </row>
    <row r="7859">
      <c r="A7859" s="130" t="s">
        <v>27989</v>
      </c>
      <c r="B7859" s="239" t="s">
        <v>16910</v>
      </c>
      <c r="C7859" s="71" t="s">
        <v>17137</v>
      </c>
    </row>
    <row r="7860">
      <c r="A7860" s="130" t="s">
        <v>27991</v>
      </c>
      <c r="B7860" s="239" t="s">
        <v>16838</v>
      </c>
      <c r="C7860" s="71" t="s">
        <v>18219</v>
      </c>
    </row>
    <row r="7861">
      <c r="A7861" s="130" t="s">
        <v>27993</v>
      </c>
      <c r="B7861" s="239" t="s">
        <v>16582</v>
      </c>
      <c r="C7861" s="71" t="s">
        <v>16930</v>
      </c>
    </row>
    <row r="7862">
      <c r="A7862" s="130" t="s">
        <v>27995</v>
      </c>
      <c r="B7862" s="239" t="s">
        <v>187</v>
      </c>
      <c r="C7862" s="71" t="s">
        <v>16858</v>
      </c>
    </row>
    <row r="7863">
      <c r="A7863" s="130" t="s">
        <v>27997</v>
      </c>
      <c r="B7863" s="239" t="s">
        <v>175</v>
      </c>
      <c r="C7863" s="71" t="s">
        <v>19006</v>
      </c>
    </row>
    <row r="7864">
      <c r="A7864" s="130" t="s">
        <v>27999</v>
      </c>
      <c r="B7864" s="239" t="s">
        <v>169</v>
      </c>
      <c r="C7864" s="71" t="s">
        <v>17532</v>
      </c>
    </row>
    <row r="7865">
      <c r="A7865" s="130" t="s">
        <v>28001</v>
      </c>
      <c r="B7865" s="239" t="s">
        <v>16838</v>
      </c>
      <c r="C7865" s="71" t="s">
        <v>17127</v>
      </c>
    </row>
    <row r="7866">
      <c r="A7866" s="130" t="s">
        <v>28003</v>
      </c>
      <c r="B7866" s="239" t="s">
        <v>175</v>
      </c>
      <c r="C7866" s="71" t="s">
        <v>19996</v>
      </c>
    </row>
    <row r="7867">
      <c r="A7867" s="234" t="s">
        <v>28005</v>
      </c>
      <c r="B7867" s="239" t="s">
        <v>187</v>
      </c>
      <c r="C7867" s="71" t="s">
        <v>16846</v>
      </c>
    </row>
    <row r="7868">
      <c r="A7868" s="234" t="s">
        <v>28005</v>
      </c>
      <c r="B7868" s="239" t="s">
        <v>16846</v>
      </c>
      <c r="C7868" s="130" t="s">
        <v>187</v>
      </c>
    </row>
    <row r="7869">
      <c r="A7869" s="130" t="s">
        <v>28007</v>
      </c>
      <c r="B7869" s="239" t="s">
        <v>187</v>
      </c>
      <c r="C7869" s="71" t="s">
        <v>16846</v>
      </c>
    </row>
    <row r="7870">
      <c r="A7870" s="130" t="s">
        <v>28009</v>
      </c>
      <c r="B7870" s="239" t="s">
        <v>16838</v>
      </c>
      <c r="C7870" s="71" t="s">
        <v>17016</v>
      </c>
    </row>
    <row r="7871">
      <c r="A7871" s="130" t="s">
        <v>28011</v>
      </c>
      <c r="B7871" s="239" t="s">
        <v>175</v>
      </c>
      <c r="C7871" s="71" t="s">
        <v>18063</v>
      </c>
    </row>
    <row r="7872">
      <c r="A7872" s="130" t="s">
        <v>28013</v>
      </c>
      <c r="B7872" s="239" t="s">
        <v>175</v>
      </c>
      <c r="C7872" s="71" t="s">
        <v>18723</v>
      </c>
    </row>
    <row r="7873">
      <c r="A7873" s="130" t="s">
        <v>28015</v>
      </c>
      <c r="B7873" s="239" t="s">
        <v>175</v>
      </c>
      <c r="C7873" s="71" t="s">
        <v>16824</v>
      </c>
    </row>
    <row r="7874">
      <c r="A7874" s="130" t="s">
        <v>28017</v>
      </c>
      <c r="B7874" s="239" t="s">
        <v>16838</v>
      </c>
      <c r="C7874" s="71" t="s">
        <v>18219</v>
      </c>
    </row>
    <row r="7875">
      <c r="A7875" s="130" t="s">
        <v>28019</v>
      </c>
      <c r="B7875" s="239" t="s">
        <v>187</v>
      </c>
      <c r="C7875" s="71" t="s">
        <v>16846</v>
      </c>
    </row>
    <row r="7876">
      <c r="A7876" s="130" t="s">
        <v>28021</v>
      </c>
      <c r="B7876" s="239" t="s">
        <v>175</v>
      </c>
      <c r="C7876" s="71" t="s">
        <v>18310</v>
      </c>
    </row>
    <row r="7877">
      <c r="A7877" s="130" t="s">
        <v>28023</v>
      </c>
      <c r="B7877" s="71"/>
      <c r="C7877" s="71"/>
    </row>
    <row r="7878">
      <c r="A7878" s="130" t="s">
        <v>28025</v>
      </c>
      <c r="B7878" s="239" t="s">
        <v>175</v>
      </c>
      <c r="C7878" s="71" t="s">
        <v>17391</v>
      </c>
    </row>
    <row r="7879">
      <c r="A7879" s="130" t="s">
        <v>28027</v>
      </c>
      <c r="B7879" s="239" t="s">
        <v>187</v>
      </c>
      <c r="C7879" s="71" t="s">
        <v>19444</v>
      </c>
    </row>
    <row r="7880">
      <c r="A7880" s="130" t="s">
        <v>28029</v>
      </c>
      <c r="B7880" s="239" t="s">
        <v>158</v>
      </c>
      <c r="C7880" s="71" t="s">
        <v>16864</v>
      </c>
    </row>
    <row r="7881">
      <c r="A7881" s="130" t="s">
        <v>28031</v>
      </c>
      <c r="B7881" s="239" t="s">
        <v>16582</v>
      </c>
      <c r="C7881" s="71" t="s">
        <v>16817</v>
      </c>
    </row>
    <row r="7882">
      <c r="A7882" s="130" t="s">
        <v>28033</v>
      </c>
      <c r="B7882" s="239" t="s">
        <v>16582</v>
      </c>
      <c r="C7882" s="71" t="s">
        <v>16930</v>
      </c>
    </row>
    <row r="7883">
      <c r="A7883" s="234" t="s">
        <v>28035</v>
      </c>
      <c r="B7883" s="239" t="s">
        <v>175</v>
      </c>
      <c r="C7883" s="71" t="s">
        <v>18500</v>
      </c>
    </row>
    <row r="7884">
      <c r="A7884" s="234" t="s">
        <v>28035</v>
      </c>
      <c r="B7884" s="239" t="s">
        <v>18500</v>
      </c>
      <c r="C7884" s="130" t="s">
        <v>175</v>
      </c>
    </row>
    <row r="7885">
      <c r="A7885" s="130" t="s">
        <v>28037</v>
      </c>
      <c r="B7885" s="239" t="s">
        <v>187</v>
      </c>
      <c r="C7885" s="71" t="s">
        <v>16846</v>
      </c>
    </row>
    <row r="7886">
      <c r="A7886" s="130" t="s">
        <v>28039</v>
      </c>
      <c r="B7886" s="239" t="s">
        <v>175</v>
      </c>
      <c r="C7886" s="71" t="s">
        <v>19996</v>
      </c>
    </row>
    <row r="7887">
      <c r="A7887" s="130" t="s">
        <v>28041</v>
      </c>
      <c r="B7887" s="239" t="s">
        <v>169</v>
      </c>
      <c r="C7887" s="71" t="s">
        <v>17321</v>
      </c>
    </row>
    <row r="7888">
      <c r="A7888" s="130" t="s">
        <v>28043</v>
      </c>
      <c r="B7888" s="239" t="s">
        <v>187</v>
      </c>
      <c r="C7888" s="71" t="s">
        <v>16992</v>
      </c>
    </row>
    <row r="7889">
      <c r="A7889" s="130" t="s">
        <v>28045</v>
      </c>
      <c r="B7889" s="239" t="s">
        <v>16910</v>
      </c>
      <c r="C7889" s="71" t="s">
        <v>17119</v>
      </c>
    </row>
    <row r="7890">
      <c r="A7890" s="234" t="s">
        <v>28047</v>
      </c>
      <c r="B7890" s="239" t="s">
        <v>16885</v>
      </c>
      <c r="C7890" s="71" t="s">
        <v>17726</v>
      </c>
    </row>
    <row r="7891">
      <c r="A7891" s="234" t="s">
        <v>28047</v>
      </c>
      <c r="B7891" s="239" t="s">
        <v>17726</v>
      </c>
      <c r="C7891" s="130" t="s">
        <v>16885</v>
      </c>
    </row>
    <row r="7892">
      <c r="A7892" s="130" t="s">
        <v>28049</v>
      </c>
      <c r="B7892" s="239" t="s">
        <v>169</v>
      </c>
      <c r="C7892" s="71" t="s">
        <v>17480</v>
      </c>
    </row>
    <row r="7893">
      <c r="A7893" s="130" t="s">
        <v>28051</v>
      </c>
      <c r="B7893" s="239" t="s">
        <v>187</v>
      </c>
      <c r="C7893" s="71" t="s">
        <v>16846</v>
      </c>
    </row>
    <row r="7894">
      <c r="A7894" s="130" t="s">
        <v>28053</v>
      </c>
      <c r="B7894" s="239" t="s">
        <v>187</v>
      </c>
      <c r="C7894" s="71" t="s">
        <v>16858</v>
      </c>
    </row>
    <row r="7895">
      <c r="A7895" s="130" t="s">
        <v>28055</v>
      </c>
      <c r="B7895" s="239" t="s">
        <v>169</v>
      </c>
      <c r="C7895" s="71" t="s">
        <v>16945</v>
      </c>
    </row>
    <row r="7896">
      <c r="A7896" s="130" t="s">
        <v>28057</v>
      </c>
      <c r="B7896" s="239" t="s">
        <v>16582</v>
      </c>
      <c r="C7896" s="71" t="s">
        <v>17342</v>
      </c>
    </row>
    <row r="7897">
      <c r="A7897" s="130" t="s">
        <v>28059</v>
      </c>
      <c r="B7897" s="239" t="s">
        <v>187</v>
      </c>
      <c r="C7897" s="71" t="s">
        <v>16846</v>
      </c>
    </row>
    <row r="7898">
      <c r="A7898" s="130" t="s">
        <v>28061</v>
      </c>
      <c r="B7898" s="239" t="s">
        <v>16582</v>
      </c>
      <c r="C7898" s="71" t="s">
        <v>16817</v>
      </c>
    </row>
    <row r="7899">
      <c r="A7899" s="234" t="s">
        <v>28063</v>
      </c>
      <c r="B7899" s="239" t="s">
        <v>16926</v>
      </c>
      <c r="C7899" s="71" t="s">
        <v>16957</v>
      </c>
    </row>
    <row r="7900">
      <c r="A7900" s="234" t="s">
        <v>28063</v>
      </c>
      <c r="B7900" s="239" t="s">
        <v>16957</v>
      </c>
      <c r="C7900" s="130" t="s">
        <v>16926</v>
      </c>
    </row>
    <row r="7901">
      <c r="A7901" s="130" t="s">
        <v>28065</v>
      </c>
      <c r="B7901" s="239" t="s">
        <v>187</v>
      </c>
      <c r="C7901" s="71" t="s">
        <v>16846</v>
      </c>
    </row>
    <row r="7902">
      <c r="A7902" s="130" t="s">
        <v>28067</v>
      </c>
      <c r="B7902" s="239" t="s">
        <v>169</v>
      </c>
      <c r="C7902" s="71" t="s">
        <v>16899</v>
      </c>
    </row>
    <row r="7903">
      <c r="A7903" s="234" t="s">
        <v>28069</v>
      </c>
      <c r="B7903" s="239" t="s">
        <v>16910</v>
      </c>
      <c r="C7903" s="71" t="s">
        <v>17119</v>
      </c>
    </row>
    <row r="7904">
      <c r="A7904" s="234" t="s">
        <v>28069</v>
      </c>
      <c r="B7904" s="239" t="s">
        <v>17119</v>
      </c>
      <c r="C7904" s="130" t="s">
        <v>16910</v>
      </c>
    </row>
    <row r="7905">
      <c r="A7905" s="130" t="s">
        <v>28071</v>
      </c>
      <c r="B7905" s="239" t="s">
        <v>187</v>
      </c>
      <c r="C7905" s="71" t="s">
        <v>16846</v>
      </c>
    </row>
    <row r="7906">
      <c r="A7906" s="130" t="s">
        <v>28073</v>
      </c>
      <c r="B7906" s="239" t="s">
        <v>16582</v>
      </c>
      <c r="C7906" s="71" t="s">
        <v>16930</v>
      </c>
    </row>
    <row r="7907">
      <c r="A7907" s="234" t="s">
        <v>28075</v>
      </c>
      <c r="B7907" s="239" t="s">
        <v>17112</v>
      </c>
      <c r="C7907" s="71" t="s">
        <v>17787</v>
      </c>
    </row>
    <row r="7908">
      <c r="A7908" s="234" t="s">
        <v>28075</v>
      </c>
      <c r="B7908" s="239" t="s">
        <v>17787</v>
      </c>
      <c r="C7908" s="130" t="s">
        <v>17112</v>
      </c>
    </row>
    <row r="7909">
      <c r="A7909" s="130" t="s">
        <v>28077</v>
      </c>
      <c r="B7909" s="239" t="s">
        <v>169</v>
      </c>
      <c r="C7909" s="71" t="s">
        <v>17321</v>
      </c>
    </row>
    <row r="7910">
      <c r="A7910" s="130" t="s">
        <v>28079</v>
      </c>
      <c r="B7910" s="239" t="s">
        <v>187</v>
      </c>
      <c r="C7910" s="71" t="s">
        <v>16846</v>
      </c>
    </row>
    <row r="7911">
      <c r="A7911" s="130" t="s">
        <v>28081</v>
      </c>
      <c r="B7911" s="239" t="s">
        <v>175</v>
      </c>
      <c r="C7911" s="71" t="s">
        <v>16854</v>
      </c>
    </row>
    <row r="7912">
      <c r="A7912" s="130" t="s">
        <v>28083</v>
      </c>
      <c r="B7912" s="71"/>
      <c r="C7912" s="71"/>
    </row>
    <row r="7913">
      <c r="A7913" s="130" t="s">
        <v>28085</v>
      </c>
      <c r="B7913" s="239" t="s">
        <v>187</v>
      </c>
      <c r="C7913" s="71" t="s">
        <v>16846</v>
      </c>
    </row>
    <row r="7914">
      <c r="A7914" s="130" t="s">
        <v>28087</v>
      </c>
      <c r="B7914" s="239" t="s">
        <v>16582</v>
      </c>
      <c r="C7914" s="71" t="s">
        <v>16930</v>
      </c>
    </row>
    <row r="7915">
      <c r="A7915" s="130" t="s">
        <v>28089</v>
      </c>
      <c r="B7915" s="71"/>
      <c r="C7915" s="71"/>
    </row>
    <row r="7916">
      <c r="A7916" s="234" t="s">
        <v>28091</v>
      </c>
      <c r="B7916" s="239" t="s">
        <v>187</v>
      </c>
      <c r="C7916" s="71" t="s">
        <v>16846</v>
      </c>
    </row>
    <row r="7917">
      <c r="A7917" s="234" t="s">
        <v>28091</v>
      </c>
      <c r="B7917" s="239" t="s">
        <v>16846</v>
      </c>
      <c r="C7917" s="130" t="s">
        <v>187</v>
      </c>
    </row>
    <row r="7918">
      <c r="A7918" s="130" t="s">
        <v>28093</v>
      </c>
      <c r="B7918" s="239" t="s">
        <v>16582</v>
      </c>
      <c r="C7918" s="71" t="s">
        <v>16813</v>
      </c>
    </row>
    <row r="7919">
      <c r="A7919" s="130" t="s">
        <v>28095</v>
      </c>
      <c r="B7919" s="239" t="s">
        <v>16910</v>
      </c>
      <c r="C7919" s="71" t="s">
        <v>17318</v>
      </c>
    </row>
    <row r="7920">
      <c r="A7920" s="234" t="s">
        <v>28097</v>
      </c>
      <c r="B7920" s="239" t="s">
        <v>158</v>
      </c>
      <c r="C7920" s="71" t="s">
        <v>17171</v>
      </c>
    </row>
    <row r="7921">
      <c r="A7921" s="234" t="s">
        <v>28097</v>
      </c>
      <c r="B7921" s="239" t="s">
        <v>17171</v>
      </c>
      <c r="C7921" s="130" t="s">
        <v>158</v>
      </c>
    </row>
    <row r="7922">
      <c r="A7922" s="234" t="s">
        <v>28099</v>
      </c>
      <c r="B7922" s="239" t="s">
        <v>187</v>
      </c>
      <c r="C7922" s="71" t="s">
        <v>16846</v>
      </c>
    </row>
    <row r="7923">
      <c r="A7923" s="234" t="s">
        <v>28099</v>
      </c>
      <c r="B7923" s="239" t="s">
        <v>16846</v>
      </c>
      <c r="C7923" s="130" t="s">
        <v>187</v>
      </c>
    </row>
    <row r="7924">
      <c r="A7924" s="234" t="s">
        <v>28101</v>
      </c>
      <c r="B7924" s="239" t="s">
        <v>187</v>
      </c>
      <c r="C7924" s="71" t="s">
        <v>16846</v>
      </c>
    </row>
    <row r="7925">
      <c r="A7925" s="234" t="s">
        <v>28101</v>
      </c>
      <c r="B7925" s="239" t="s">
        <v>16846</v>
      </c>
      <c r="C7925" s="130" t="s">
        <v>187</v>
      </c>
    </row>
    <row r="7926">
      <c r="A7926" s="130" t="s">
        <v>28103</v>
      </c>
      <c r="B7926" s="239" t="s">
        <v>175</v>
      </c>
      <c r="C7926" s="71" t="s">
        <v>17757</v>
      </c>
    </row>
    <row r="7927">
      <c r="A7927" s="130" t="s">
        <v>28105</v>
      </c>
      <c r="B7927" s="239" t="s">
        <v>187</v>
      </c>
      <c r="C7927" s="71" t="s">
        <v>16846</v>
      </c>
    </row>
    <row r="7928">
      <c r="A7928" s="130" t="s">
        <v>28107</v>
      </c>
      <c r="B7928" s="239" t="s">
        <v>175</v>
      </c>
      <c r="C7928" s="71" t="s">
        <v>17183</v>
      </c>
    </row>
    <row r="7929">
      <c r="A7929" s="130" t="s">
        <v>28109</v>
      </c>
      <c r="B7929" s="71"/>
      <c r="C7929" s="71"/>
    </row>
    <row r="7930">
      <c r="A7930" s="130" t="s">
        <v>28111</v>
      </c>
      <c r="B7930" s="239" t="s">
        <v>175</v>
      </c>
      <c r="C7930" s="71" t="s">
        <v>16854</v>
      </c>
    </row>
    <row r="7931">
      <c r="A7931" s="130" t="s">
        <v>28113</v>
      </c>
      <c r="B7931" s="239" t="s">
        <v>16582</v>
      </c>
      <c r="C7931" s="71" t="s">
        <v>16817</v>
      </c>
    </row>
    <row r="7932">
      <c r="A7932" s="234" t="s">
        <v>28115</v>
      </c>
      <c r="B7932" s="239" t="s">
        <v>17111</v>
      </c>
      <c r="C7932" s="71" t="s">
        <v>17112</v>
      </c>
    </row>
    <row r="7933">
      <c r="A7933" s="234" t="s">
        <v>28115</v>
      </c>
      <c r="B7933" s="239" t="s">
        <v>17112</v>
      </c>
      <c r="C7933" s="71" t="s">
        <v>17111</v>
      </c>
    </row>
    <row r="7934">
      <c r="A7934" s="130" t="s">
        <v>28117</v>
      </c>
      <c r="B7934" s="239" t="s">
        <v>17112</v>
      </c>
      <c r="C7934" s="71" t="s">
        <v>17218</v>
      </c>
    </row>
    <row r="7935">
      <c r="A7935" s="130" t="s">
        <v>28119</v>
      </c>
      <c r="B7935" s="239" t="s">
        <v>187</v>
      </c>
      <c r="C7935" s="71" t="s">
        <v>16846</v>
      </c>
    </row>
    <row r="7936">
      <c r="A7936" s="130" t="s">
        <v>28121</v>
      </c>
      <c r="B7936" s="239" t="s">
        <v>187</v>
      </c>
      <c r="C7936" s="71" t="s">
        <v>16858</v>
      </c>
    </row>
    <row r="7937">
      <c r="A7937" s="130" t="s">
        <v>28123</v>
      </c>
      <c r="B7937" s="239" t="s">
        <v>16582</v>
      </c>
      <c r="C7937" s="71" t="s">
        <v>16817</v>
      </c>
    </row>
    <row r="7938">
      <c r="A7938" s="130" t="s">
        <v>28125</v>
      </c>
      <c r="B7938" s="239" t="s">
        <v>16910</v>
      </c>
      <c r="C7938" s="71" t="s">
        <v>17119</v>
      </c>
    </row>
    <row r="7939">
      <c r="A7939" s="130" t="s">
        <v>28127</v>
      </c>
      <c r="B7939" s="239" t="s">
        <v>187</v>
      </c>
      <c r="C7939" s="71" t="s">
        <v>16846</v>
      </c>
    </row>
    <row r="7940">
      <c r="A7940" s="234" t="s">
        <v>28129</v>
      </c>
      <c r="B7940" s="239" t="s">
        <v>187</v>
      </c>
      <c r="C7940" s="71" t="s">
        <v>16846</v>
      </c>
    </row>
    <row r="7941">
      <c r="A7941" s="234" t="s">
        <v>28129</v>
      </c>
      <c r="B7941" s="239" t="s">
        <v>16846</v>
      </c>
      <c r="C7941" s="130" t="s">
        <v>187</v>
      </c>
    </row>
    <row r="7942">
      <c r="A7942" s="130" t="s">
        <v>28131</v>
      </c>
      <c r="B7942" s="239" t="s">
        <v>187</v>
      </c>
      <c r="C7942" s="71" t="s">
        <v>16846</v>
      </c>
    </row>
    <row r="7943">
      <c r="A7943" s="130" t="s">
        <v>28133</v>
      </c>
      <c r="B7943" s="239" t="s">
        <v>187</v>
      </c>
      <c r="C7943" s="71" t="s">
        <v>16846</v>
      </c>
    </row>
    <row r="7944">
      <c r="A7944" s="130" t="s">
        <v>28135</v>
      </c>
      <c r="B7944" s="239" t="s">
        <v>16838</v>
      </c>
      <c r="C7944" s="71" t="s">
        <v>17016</v>
      </c>
    </row>
    <row r="7945">
      <c r="A7945" s="130" t="s">
        <v>28137</v>
      </c>
      <c r="B7945" s="239" t="s">
        <v>16919</v>
      </c>
      <c r="C7945" s="71" t="s">
        <v>16920</v>
      </c>
    </row>
    <row r="7946">
      <c r="A7946" s="130" t="s">
        <v>28139</v>
      </c>
      <c r="B7946" s="71"/>
      <c r="C7946" s="71"/>
    </row>
    <row r="7947">
      <c r="A7947" s="130" t="s">
        <v>28141</v>
      </c>
      <c r="B7947" s="239" t="s">
        <v>187</v>
      </c>
      <c r="C7947" s="71" t="s">
        <v>16969</v>
      </c>
    </row>
    <row r="7948">
      <c r="A7948" s="130" t="s">
        <v>28143</v>
      </c>
      <c r="B7948" s="239" t="s">
        <v>175</v>
      </c>
      <c r="C7948" s="71" t="s">
        <v>17022</v>
      </c>
    </row>
    <row r="7949">
      <c r="A7949" s="130" t="s">
        <v>28145</v>
      </c>
      <c r="B7949" s="239" t="s">
        <v>175</v>
      </c>
      <c r="C7949" s="71" t="s">
        <v>16854</v>
      </c>
    </row>
    <row r="7950">
      <c r="A7950" s="130" t="s">
        <v>28147</v>
      </c>
      <c r="B7950" s="239" t="s">
        <v>187</v>
      </c>
      <c r="C7950" s="71" t="s">
        <v>16846</v>
      </c>
    </row>
    <row r="7951">
      <c r="A7951" s="130" t="s">
        <v>28149</v>
      </c>
      <c r="B7951" s="239" t="s">
        <v>169</v>
      </c>
      <c r="C7951" s="71" t="s">
        <v>17321</v>
      </c>
    </row>
    <row r="7952">
      <c r="A7952" s="130" t="s">
        <v>28151</v>
      </c>
      <c r="B7952" s="239" t="s">
        <v>187</v>
      </c>
      <c r="C7952" s="71" t="s">
        <v>16969</v>
      </c>
    </row>
    <row r="7953">
      <c r="A7953" s="130" t="s">
        <v>28153</v>
      </c>
      <c r="B7953" s="239" t="s">
        <v>175</v>
      </c>
      <c r="C7953" s="71" t="s">
        <v>17025</v>
      </c>
    </row>
    <row r="7954">
      <c r="A7954" s="130" t="s">
        <v>28155</v>
      </c>
      <c r="B7954" s="239" t="s">
        <v>187</v>
      </c>
      <c r="C7954" s="71" t="s">
        <v>16846</v>
      </c>
    </row>
    <row r="7955">
      <c r="A7955" s="130" t="s">
        <v>28157</v>
      </c>
      <c r="B7955" s="239" t="s">
        <v>16838</v>
      </c>
      <c r="C7955" s="71" t="s">
        <v>16837</v>
      </c>
    </row>
    <row r="7956">
      <c r="A7956" s="130" t="s">
        <v>28159</v>
      </c>
      <c r="B7956" s="239" t="s">
        <v>16838</v>
      </c>
      <c r="C7956" s="71" t="s">
        <v>17127</v>
      </c>
    </row>
    <row r="7957">
      <c r="A7957" s="130" t="s">
        <v>28161</v>
      </c>
      <c r="B7957" s="239" t="s">
        <v>169</v>
      </c>
      <c r="C7957" s="71" t="s">
        <v>18732</v>
      </c>
    </row>
    <row r="7958">
      <c r="A7958" s="130" t="s">
        <v>28163</v>
      </c>
      <c r="B7958" s="239" t="s">
        <v>16582</v>
      </c>
      <c r="C7958" s="71" t="s">
        <v>16930</v>
      </c>
    </row>
    <row r="7959">
      <c r="A7959" s="130" t="s">
        <v>28165</v>
      </c>
      <c r="B7959" s="239" t="s">
        <v>175</v>
      </c>
      <c r="C7959" s="71" t="s">
        <v>16972</v>
      </c>
    </row>
    <row r="7960">
      <c r="A7960" s="130" t="s">
        <v>28167</v>
      </c>
      <c r="B7960" s="239" t="s">
        <v>16582</v>
      </c>
      <c r="C7960" s="71" t="s">
        <v>16817</v>
      </c>
    </row>
    <row r="7961">
      <c r="A7961" s="130" t="s">
        <v>28169</v>
      </c>
      <c r="B7961" s="239" t="s">
        <v>16838</v>
      </c>
      <c r="C7961" s="71" t="s">
        <v>17016</v>
      </c>
    </row>
    <row r="7962">
      <c r="A7962" s="130" t="s">
        <v>28171</v>
      </c>
      <c r="B7962" s="239" t="s">
        <v>187</v>
      </c>
      <c r="C7962" s="71" t="s">
        <v>16858</v>
      </c>
    </row>
    <row r="7963">
      <c r="A7963" s="130" t="s">
        <v>28173</v>
      </c>
      <c r="B7963" s="239" t="s">
        <v>175</v>
      </c>
      <c r="C7963" s="71" t="s">
        <v>17391</v>
      </c>
    </row>
    <row r="7964">
      <c r="A7964" s="130" t="s">
        <v>28175</v>
      </c>
      <c r="B7964" s="239" t="s">
        <v>187</v>
      </c>
      <c r="C7964" s="71" t="s">
        <v>17122</v>
      </c>
    </row>
    <row r="7965">
      <c r="A7965" s="130" t="s">
        <v>28177</v>
      </c>
      <c r="B7965" s="239" t="s">
        <v>187</v>
      </c>
      <c r="C7965" s="71" t="s">
        <v>17256</v>
      </c>
    </row>
    <row r="7966">
      <c r="A7966" s="130" t="s">
        <v>28179</v>
      </c>
      <c r="B7966" s="239" t="s">
        <v>175</v>
      </c>
      <c r="C7966" s="71" t="s">
        <v>17457</v>
      </c>
    </row>
    <row r="7967">
      <c r="A7967" s="130" t="s">
        <v>28181</v>
      </c>
      <c r="B7967" s="239" t="s">
        <v>175</v>
      </c>
      <c r="C7967" s="71" t="s">
        <v>16957</v>
      </c>
    </row>
    <row r="7968">
      <c r="A7968" s="130" t="s">
        <v>28183</v>
      </c>
      <c r="B7968" s="239" t="s">
        <v>187</v>
      </c>
      <c r="C7968" s="71" t="s">
        <v>16858</v>
      </c>
    </row>
    <row r="7969">
      <c r="A7969" s="130" t="s">
        <v>28185</v>
      </c>
      <c r="B7969" s="239" t="s">
        <v>187</v>
      </c>
      <c r="C7969" s="71" t="s">
        <v>23634</v>
      </c>
    </row>
    <row r="7970">
      <c r="A7970" s="130" t="s">
        <v>28187</v>
      </c>
      <c r="B7970" s="71"/>
      <c r="C7970" s="71"/>
    </row>
    <row r="7971">
      <c r="A7971" s="130" t="s">
        <v>28189</v>
      </c>
      <c r="B7971" s="239" t="s">
        <v>16582</v>
      </c>
      <c r="C7971" s="233" t="s">
        <v>17342</v>
      </c>
    </row>
    <row r="7972">
      <c r="A7972" s="130" t="s">
        <v>28191</v>
      </c>
      <c r="B7972" s="239" t="s">
        <v>187</v>
      </c>
      <c r="C7972" s="71" t="s">
        <v>16969</v>
      </c>
    </row>
    <row r="7973">
      <c r="A7973" s="130" t="s">
        <v>28193</v>
      </c>
      <c r="B7973" s="239" t="s">
        <v>187</v>
      </c>
      <c r="C7973" s="71" t="s">
        <v>16846</v>
      </c>
    </row>
    <row r="7974">
      <c r="A7974" s="130" t="s">
        <v>28195</v>
      </c>
      <c r="B7974" s="239" t="s">
        <v>16910</v>
      </c>
      <c r="C7974" s="71" t="s">
        <v>17119</v>
      </c>
    </row>
    <row r="7975">
      <c r="A7975" s="130" t="s">
        <v>28197</v>
      </c>
      <c r="B7975" s="239" t="s">
        <v>175</v>
      </c>
      <c r="C7975" s="71" t="s">
        <v>17218</v>
      </c>
    </row>
    <row r="7976">
      <c r="A7976" s="130" t="s">
        <v>28199</v>
      </c>
      <c r="B7976" s="239" t="s">
        <v>169</v>
      </c>
      <c r="C7976" s="71" t="s">
        <v>16899</v>
      </c>
    </row>
    <row r="7977">
      <c r="A7977" s="130" t="s">
        <v>28201</v>
      </c>
      <c r="B7977" s="239" t="s">
        <v>187</v>
      </c>
      <c r="C7977" s="71" t="s">
        <v>16846</v>
      </c>
    </row>
    <row r="7978">
      <c r="A7978" s="234" t="s">
        <v>28203</v>
      </c>
      <c r="B7978" s="239" t="s">
        <v>16919</v>
      </c>
      <c r="C7978" s="71" t="s">
        <v>110</v>
      </c>
    </row>
    <row r="7979">
      <c r="A7979" s="234" t="s">
        <v>28203</v>
      </c>
      <c r="B7979" s="239" t="s">
        <v>110</v>
      </c>
      <c r="C7979" s="130" t="s">
        <v>16919</v>
      </c>
    </row>
    <row r="7980">
      <c r="A7980" s="130" t="s">
        <v>28205</v>
      </c>
      <c r="B7980" s="239" t="s">
        <v>187</v>
      </c>
      <c r="C7980" s="71" t="s">
        <v>16858</v>
      </c>
    </row>
    <row r="7981">
      <c r="A7981" s="130" t="s">
        <v>28207</v>
      </c>
      <c r="B7981" s="239" t="s">
        <v>175</v>
      </c>
      <c r="C7981" s="71" t="s">
        <v>16890</v>
      </c>
    </row>
    <row r="7982">
      <c r="A7982" s="130" t="s">
        <v>28209</v>
      </c>
      <c r="B7982" s="239" t="s">
        <v>175</v>
      </c>
      <c r="C7982" s="71" t="s">
        <v>17391</v>
      </c>
    </row>
    <row r="7983">
      <c r="A7983" s="130" t="s">
        <v>28211</v>
      </c>
      <c r="B7983" s="239" t="s">
        <v>16582</v>
      </c>
      <c r="C7983" s="71" t="s">
        <v>16930</v>
      </c>
    </row>
    <row r="7984">
      <c r="A7984" s="130" t="s">
        <v>28213</v>
      </c>
      <c r="B7984" s="239" t="s">
        <v>187</v>
      </c>
      <c r="C7984" s="71" t="s">
        <v>16858</v>
      </c>
    </row>
    <row r="7985">
      <c r="A7985" s="130" t="s">
        <v>28215</v>
      </c>
      <c r="B7985" s="239" t="s">
        <v>187</v>
      </c>
      <c r="C7985" s="71" t="s">
        <v>16846</v>
      </c>
    </row>
    <row r="7986">
      <c r="A7986" s="130" t="s">
        <v>28217</v>
      </c>
      <c r="B7986" s="239" t="s">
        <v>187</v>
      </c>
      <c r="C7986" s="71" t="s">
        <v>16851</v>
      </c>
    </row>
    <row r="7987">
      <c r="A7987" s="130" t="s">
        <v>28219</v>
      </c>
      <c r="B7987" s="239" t="s">
        <v>16926</v>
      </c>
      <c r="C7987" s="71" t="s">
        <v>16957</v>
      </c>
    </row>
    <row r="7988">
      <c r="A7988" s="234" t="s">
        <v>28221</v>
      </c>
      <c r="B7988" s="239" t="s">
        <v>16582</v>
      </c>
      <c r="C7988" s="71" t="s">
        <v>16899</v>
      </c>
    </row>
    <row r="7989">
      <c r="A7989" s="234" t="s">
        <v>28221</v>
      </c>
      <c r="B7989" s="239" t="s">
        <v>16899</v>
      </c>
      <c r="C7989" s="130" t="s">
        <v>16582</v>
      </c>
    </row>
    <row r="7990">
      <c r="A7990" s="234" t="s">
        <v>28223</v>
      </c>
      <c r="B7990" s="239" t="s">
        <v>16910</v>
      </c>
      <c r="C7990" s="71" t="s">
        <v>16911</v>
      </c>
    </row>
    <row r="7991">
      <c r="A7991" s="234" t="s">
        <v>28223</v>
      </c>
      <c r="B7991" s="239" t="s">
        <v>16911</v>
      </c>
      <c r="C7991" s="130" t="s">
        <v>16910</v>
      </c>
    </row>
    <row r="7992">
      <c r="A7992" s="130" t="s">
        <v>28225</v>
      </c>
      <c r="B7992" s="239" t="s">
        <v>187</v>
      </c>
      <c r="C7992" s="71" t="s">
        <v>16846</v>
      </c>
    </row>
    <row r="7993">
      <c r="A7993" s="130" t="s">
        <v>28227</v>
      </c>
      <c r="B7993" s="239" t="s">
        <v>16582</v>
      </c>
      <c r="C7993" s="71" t="s">
        <v>16930</v>
      </c>
    </row>
    <row r="7994">
      <c r="A7994" s="130" t="s">
        <v>28229</v>
      </c>
      <c r="B7994" s="239" t="s">
        <v>187</v>
      </c>
      <c r="C7994" s="71" t="s">
        <v>16846</v>
      </c>
    </row>
    <row r="7995">
      <c r="A7995" s="130" t="s">
        <v>28231</v>
      </c>
      <c r="B7995" s="239" t="s">
        <v>187</v>
      </c>
      <c r="C7995" s="71" t="s">
        <v>16846</v>
      </c>
    </row>
    <row r="7996">
      <c r="A7996" s="130" t="s">
        <v>28233</v>
      </c>
      <c r="B7996" s="239" t="s">
        <v>175</v>
      </c>
      <c r="C7996" s="71" t="s">
        <v>16854</v>
      </c>
    </row>
    <row r="7997">
      <c r="A7997" s="130" t="s">
        <v>28235</v>
      </c>
      <c r="B7997" s="239" t="s">
        <v>187</v>
      </c>
      <c r="C7997" s="71" t="s">
        <v>17122</v>
      </c>
    </row>
    <row r="7998">
      <c r="A7998" s="130" t="s">
        <v>28237</v>
      </c>
      <c r="B7998" s="239" t="s">
        <v>175</v>
      </c>
      <c r="C7998" s="71" t="s">
        <v>17457</v>
      </c>
    </row>
    <row r="7999">
      <c r="A7999" s="130" t="s">
        <v>28239</v>
      </c>
      <c r="B7999" s="239" t="s">
        <v>175</v>
      </c>
      <c r="C7999" s="71" t="s">
        <v>17391</v>
      </c>
    </row>
    <row r="8000">
      <c r="A8000" s="130" t="s">
        <v>28241</v>
      </c>
      <c r="B8000" s="239" t="s">
        <v>169</v>
      </c>
      <c r="C8000" s="71" t="s">
        <v>16899</v>
      </c>
    </row>
    <row r="8001">
      <c r="A8001" s="234" t="s">
        <v>28243</v>
      </c>
      <c r="B8001" s="239" t="s">
        <v>16910</v>
      </c>
      <c r="C8001" s="71" t="s">
        <v>16911</v>
      </c>
    </row>
    <row r="8002">
      <c r="A8002" s="234" t="s">
        <v>28243</v>
      </c>
      <c r="B8002" s="239" t="s">
        <v>16911</v>
      </c>
      <c r="C8002" s="130" t="s">
        <v>16910</v>
      </c>
    </row>
    <row r="8003">
      <c r="A8003" s="130" t="s">
        <v>28245</v>
      </c>
      <c r="B8003" s="239" t="s">
        <v>187</v>
      </c>
      <c r="C8003" s="71" t="s">
        <v>16846</v>
      </c>
    </row>
    <row r="8004">
      <c r="A8004" s="130" t="s">
        <v>28247</v>
      </c>
      <c r="B8004" s="239" t="s">
        <v>169</v>
      </c>
      <c r="C8004" s="71" t="s">
        <v>16945</v>
      </c>
    </row>
    <row r="8005">
      <c r="A8005" s="130" t="s">
        <v>28249</v>
      </c>
      <c r="B8005" s="239" t="s">
        <v>187</v>
      </c>
      <c r="C8005" s="71" t="s">
        <v>16846</v>
      </c>
    </row>
    <row r="8006">
      <c r="A8006" s="130" t="s">
        <v>28251</v>
      </c>
      <c r="B8006" s="239" t="s">
        <v>16910</v>
      </c>
      <c r="C8006" s="71" t="s">
        <v>17013</v>
      </c>
    </row>
    <row r="8007">
      <c r="A8007" s="130" t="s">
        <v>28253</v>
      </c>
      <c r="B8007" s="239" t="s">
        <v>187</v>
      </c>
      <c r="C8007" s="71" t="s">
        <v>16969</v>
      </c>
    </row>
    <row r="8008">
      <c r="A8008" s="130" t="s">
        <v>28255</v>
      </c>
      <c r="B8008" s="239" t="s">
        <v>187</v>
      </c>
      <c r="C8008" s="71" t="s">
        <v>16858</v>
      </c>
    </row>
    <row r="8009">
      <c r="A8009" s="130" t="s">
        <v>28257</v>
      </c>
      <c r="B8009" s="239" t="s">
        <v>187</v>
      </c>
      <c r="C8009" s="71" t="s">
        <v>16846</v>
      </c>
    </row>
    <row r="8010">
      <c r="A8010" s="130" t="s">
        <v>28259</v>
      </c>
      <c r="B8010" s="239" t="s">
        <v>16582</v>
      </c>
      <c r="C8010" s="233" t="s">
        <v>17342</v>
      </c>
    </row>
    <row r="8011">
      <c r="A8011" s="130" t="s">
        <v>28261</v>
      </c>
      <c r="B8011" s="239" t="s">
        <v>187</v>
      </c>
      <c r="C8011" s="71" t="s">
        <v>23634</v>
      </c>
    </row>
    <row r="8012">
      <c r="A8012" s="130" t="s">
        <v>28263</v>
      </c>
      <c r="B8012" s="239" t="s">
        <v>187</v>
      </c>
      <c r="C8012" s="71" t="s">
        <v>16846</v>
      </c>
    </row>
    <row r="8013">
      <c r="A8013" s="130" t="s">
        <v>28265</v>
      </c>
      <c r="B8013" s="239" t="s">
        <v>175</v>
      </c>
      <c r="C8013" s="71" t="s">
        <v>16854</v>
      </c>
    </row>
    <row r="8014">
      <c r="A8014" s="130" t="s">
        <v>28267</v>
      </c>
      <c r="B8014" s="239" t="s">
        <v>17112</v>
      </c>
      <c r="C8014" s="71" t="s">
        <v>17218</v>
      </c>
    </row>
    <row r="8015">
      <c r="A8015" s="130" t="s">
        <v>28269</v>
      </c>
      <c r="B8015" s="239" t="s">
        <v>187</v>
      </c>
      <c r="C8015" s="71" t="s">
        <v>16846</v>
      </c>
    </row>
    <row r="8016">
      <c r="A8016" s="130" t="s">
        <v>28271</v>
      </c>
      <c r="B8016" s="239" t="s">
        <v>169</v>
      </c>
      <c r="C8016" s="71" t="s">
        <v>17057</v>
      </c>
    </row>
    <row r="8017">
      <c r="A8017" s="130" t="s">
        <v>28273</v>
      </c>
      <c r="B8017" s="239" t="s">
        <v>187</v>
      </c>
      <c r="C8017" s="71" t="s">
        <v>16969</v>
      </c>
    </row>
    <row r="8018">
      <c r="A8018" s="130" t="s">
        <v>28275</v>
      </c>
      <c r="B8018" s="239" t="s">
        <v>187</v>
      </c>
      <c r="C8018" s="71" t="s">
        <v>16846</v>
      </c>
    </row>
    <row r="8019">
      <c r="A8019" s="130" t="s">
        <v>28277</v>
      </c>
      <c r="B8019" s="239" t="s">
        <v>187</v>
      </c>
      <c r="C8019" s="71" t="s">
        <v>16846</v>
      </c>
    </row>
    <row r="8020">
      <c r="A8020" s="130" t="s">
        <v>28279</v>
      </c>
      <c r="B8020" s="239" t="s">
        <v>187</v>
      </c>
      <c r="C8020" s="71" t="s">
        <v>16992</v>
      </c>
    </row>
    <row r="8021">
      <c r="A8021" s="130" t="s">
        <v>28281</v>
      </c>
      <c r="B8021" s="239" t="s">
        <v>17112</v>
      </c>
      <c r="C8021" s="71" t="s">
        <v>17111</v>
      </c>
    </row>
    <row r="8022">
      <c r="A8022" s="130" t="s">
        <v>28283</v>
      </c>
      <c r="B8022" s="239" t="s">
        <v>16926</v>
      </c>
      <c r="C8022" s="71" t="s">
        <v>16927</v>
      </c>
    </row>
    <row r="8023">
      <c r="A8023" s="130" t="s">
        <v>28285</v>
      </c>
      <c r="B8023" s="239" t="s">
        <v>187</v>
      </c>
      <c r="C8023" s="71" t="s">
        <v>17256</v>
      </c>
    </row>
    <row r="8024">
      <c r="A8024" s="130" t="s">
        <v>28287</v>
      </c>
      <c r="B8024" s="71"/>
      <c r="C8024" s="71"/>
    </row>
    <row r="8025">
      <c r="A8025" s="130" t="s">
        <v>28289</v>
      </c>
      <c r="B8025" s="239" t="s">
        <v>16910</v>
      </c>
      <c r="C8025" s="71" t="s">
        <v>17119</v>
      </c>
    </row>
    <row r="8026">
      <c r="A8026" s="130" t="s">
        <v>28291</v>
      </c>
      <c r="B8026" s="239" t="s">
        <v>17629</v>
      </c>
      <c r="C8026" s="71" t="s">
        <v>17452</v>
      </c>
    </row>
    <row r="8027">
      <c r="A8027" s="130" t="s">
        <v>28293</v>
      </c>
      <c r="B8027" s="239" t="s">
        <v>16838</v>
      </c>
      <c r="C8027" s="71" t="s">
        <v>17016</v>
      </c>
    </row>
    <row r="8028">
      <c r="A8028" s="130" t="s">
        <v>28295</v>
      </c>
      <c r="B8028" s="239" t="s">
        <v>175</v>
      </c>
      <c r="C8028" s="71" t="s">
        <v>17218</v>
      </c>
    </row>
    <row r="8029">
      <c r="A8029" s="130" t="s">
        <v>28297</v>
      </c>
      <c r="B8029" s="239" t="s">
        <v>187</v>
      </c>
      <c r="C8029" s="71" t="s">
        <v>16851</v>
      </c>
    </row>
    <row r="8030">
      <c r="A8030" s="130" t="s">
        <v>28299</v>
      </c>
      <c r="B8030" s="239" t="s">
        <v>187</v>
      </c>
      <c r="C8030" s="71" t="s">
        <v>16846</v>
      </c>
    </row>
    <row r="8031">
      <c r="A8031" s="130" t="s">
        <v>28301</v>
      </c>
      <c r="B8031" s="239" t="s">
        <v>16582</v>
      </c>
      <c r="C8031" s="71" t="s">
        <v>16817</v>
      </c>
    </row>
    <row r="8032">
      <c r="A8032" s="234" t="s">
        <v>28303</v>
      </c>
      <c r="B8032" s="239" t="s">
        <v>175</v>
      </c>
      <c r="C8032" s="71" t="s">
        <v>18500</v>
      </c>
    </row>
    <row r="8033">
      <c r="A8033" s="234" t="s">
        <v>28303</v>
      </c>
      <c r="B8033" s="239" t="s">
        <v>18500</v>
      </c>
      <c r="C8033" s="71" t="s">
        <v>175</v>
      </c>
    </row>
    <row r="8034">
      <c r="A8034" s="130" t="s">
        <v>28305</v>
      </c>
      <c r="B8034" s="71"/>
      <c r="C8034" s="71"/>
    </row>
    <row r="8035">
      <c r="A8035" s="130" t="s">
        <v>28307</v>
      </c>
      <c r="B8035" s="239" t="s">
        <v>16926</v>
      </c>
      <c r="C8035" s="71" t="s">
        <v>16957</v>
      </c>
    </row>
    <row r="8036">
      <c r="A8036" s="130" t="s">
        <v>28309</v>
      </c>
      <c r="B8036" s="239" t="s">
        <v>187</v>
      </c>
      <c r="C8036" s="71" t="s">
        <v>16846</v>
      </c>
    </row>
    <row r="8037">
      <c r="A8037" s="130" t="s">
        <v>28311</v>
      </c>
      <c r="B8037" s="239" t="s">
        <v>175</v>
      </c>
      <c r="C8037" s="71" t="s">
        <v>16899</v>
      </c>
    </row>
    <row r="8038">
      <c r="A8038" s="130" t="s">
        <v>28313</v>
      </c>
      <c r="B8038" s="239" t="s">
        <v>187</v>
      </c>
      <c r="C8038" s="71" t="s">
        <v>16846</v>
      </c>
    </row>
    <row r="8039">
      <c r="A8039" s="234" t="s">
        <v>28315</v>
      </c>
      <c r="B8039" s="239" t="s">
        <v>158</v>
      </c>
      <c r="C8039" s="71" t="s">
        <v>16864</v>
      </c>
    </row>
    <row r="8040">
      <c r="A8040" s="234" t="s">
        <v>28315</v>
      </c>
      <c r="B8040" s="239" t="s">
        <v>16864</v>
      </c>
      <c r="C8040" s="130" t="s">
        <v>158</v>
      </c>
    </row>
    <row r="8041">
      <c r="A8041" s="130" t="s">
        <v>28317</v>
      </c>
      <c r="B8041" s="239" t="s">
        <v>187</v>
      </c>
      <c r="C8041" s="71" t="s">
        <v>16846</v>
      </c>
    </row>
    <row r="8042">
      <c r="A8042" s="130" t="s">
        <v>28319</v>
      </c>
      <c r="B8042" s="239" t="s">
        <v>187</v>
      </c>
      <c r="C8042" s="71" t="s">
        <v>17509</v>
      </c>
    </row>
    <row r="8043">
      <c r="A8043" s="130" t="s">
        <v>28321</v>
      </c>
      <c r="B8043" s="239" t="s">
        <v>175</v>
      </c>
      <c r="C8043" s="71" t="s">
        <v>16942</v>
      </c>
    </row>
    <row r="8044">
      <c r="A8044" s="130" t="s">
        <v>28323</v>
      </c>
      <c r="B8044" s="239" t="s">
        <v>187</v>
      </c>
      <c r="C8044" s="71" t="s">
        <v>16846</v>
      </c>
    </row>
    <row r="8045">
      <c r="A8045" s="130" t="s">
        <v>28325</v>
      </c>
      <c r="B8045" s="239" t="s">
        <v>169</v>
      </c>
      <c r="C8045" s="71" t="s">
        <v>16945</v>
      </c>
    </row>
    <row r="8046">
      <c r="A8046" s="130" t="s">
        <v>28327</v>
      </c>
      <c r="B8046" s="239" t="s">
        <v>16582</v>
      </c>
      <c r="C8046" s="71" t="s">
        <v>17435</v>
      </c>
    </row>
    <row r="8047">
      <c r="A8047" s="130" t="s">
        <v>28329</v>
      </c>
      <c r="B8047" s="239" t="s">
        <v>187</v>
      </c>
      <c r="C8047" s="71" t="s">
        <v>16846</v>
      </c>
    </row>
    <row r="8048">
      <c r="A8048" s="130" t="s">
        <v>28331</v>
      </c>
      <c r="B8048" s="239" t="s">
        <v>187</v>
      </c>
      <c r="C8048" s="71" t="s">
        <v>23634</v>
      </c>
    </row>
    <row r="8049">
      <c r="A8049" s="130" t="s">
        <v>28333</v>
      </c>
      <c r="B8049" s="239" t="s">
        <v>16582</v>
      </c>
      <c r="C8049" s="71" t="s">
        <v>16930</v>
      </c>
    </row>
    <row r="8050">
      <c r="A8050" s="130" t="s">
        <v>28335</v>
      </c>
      <c r="B8050" s="239" t="s">
        <v>187</v>
      </c>
      <c r="C8050" s="71" t="s">
        <v>16992</v>
      </c>
    </row>
    <row r="8051">
      <c r="A8051" s="130" t="s">
        <v>28337</v>
      </c>
      <c r="B8051" s="239" t="s">
        <v>187</v>
      </c>
      <c r="C8051" s="71" t="s">
        <v>16858</v>
      </c>
    </row>
    <row r="8052">
      <c r="A8052" s="130" t="s">
        <v>28339</v>
      </c>
      <c r="B8052" s="239" t="s">
        <v>17112</v>
      </c>
      <c r="C8052" s="71" t="s">
        <v>17218</v>
      </c>
    </row>
    <row r="8053">
      <c r="A8053" s="130" t="s">
        <v>28341</v>
      </c>
      <c r="B8053" s="239" t="s">
        <v>16582</v>
      </c>
      <c r="C8053" s="71" t="s">
        <v>16817</v>
      </c>
    </row>
    <row r="8054">
      <c r="A8054" s="130" t="s">
        <v>28343</v>
      </c>
      <c r="B8054" s="239" t="s">
        <v>187</v>
      </c>
      <c r="C8054" s="71" t="s">
        <v>16851</v>
      </c>
    </row>
    <row r="8055">
      <c r="A8055" s="130" t="s">
        <v>28345</v>
      </c>
      <c r="B8055" s="239" t="s">
        <v>187</v>
      </c>
      <c r="C8055" s="71" t="s">
        <v>16846</v>
      </c>
    </row>
    <row r="8056">
      <c r="A8056" s="130" t="s">
        <v>28347</v>
      </c>
      <c r="B8056" s="239" t="s">
        <v>16582</v>
      </c>
      <c r="C8056" s="71" t="s">
        <v>16828</v>
      </c>
    </row>
    <row r="8057">
      <c r="A8057" s="130" t="s">
        <v>28349</v>
      </c>
      <c r="B8057" s="239" t="s">
        <v>17112</v>
      </c>
      <c r="C8057" s="71" t="s">
        <v>17218</v>
      </c>
    </row>
    <row r="8058">
      <c r="A8058" s="130" t="s">
        <v>28351</v>
      </c>
      <c r="B8058" s="239" t="s">
        <v>187</v>
      </c>
      <c r="C8058" s="71" t="s">
        <v>16846</v>
      </c>
    </row>
    <row r="8059">
      <c r="A8059" s="130" t="s">
        <v>28353</v>
      </c>
      <c r="B8059" s="239" t="s">
        <v>187</v>
      </c>
      <c r="C8059" s="71" t="s">
        <v>16846</v>
      </c>
    </row>
    <row r="8060">
      <c r="A8060" s="130" t="s">
        <v>28355</v>
      </c>
      <c r="B8060" s="239" t="s">
        <v>16582</v>
      </c>
      <c r="C8060" s="71" t="s">
        <v>16817</v>
      </c>
    </row>
    <row r="8061">
      <c r="A8061" s="130" t="s">
        <v>28357</v>
      </c>
      <c r="B8061" s="239" t="s">
        <v>175</v>
      </c>
      <c r="C8061" s="71" t="s">
        <v>16842</v>
      </c>
    </row>
    <row r="8062">
      <c r="A8062" s="130" t="s">
        <v>28359</v>
      </c>
      <c r="B8062" s="239" t="s">
        <v>187</v>
      </c>
      <c r="C8062" s="71" t="s">
        <v>16846</v>
      </c>
    </row>
    <row r="8063">
      <c r="A8063" s="130" t="s">
        <v>28361</v>
      </c>
      <c r="B8063" s="239" t="s">
        <v>175</v>
      </c>
      <c r="C8063" s="71" t="s">
        <v>17025</v>
      </c>
    </row>
    <row r="8064">
      <c r="A8064" s="130" t="s">
        <v>28363</v>
      </c>
      <c r="B8064" s="71"/>
      <c r="C8064" s="71"/>
    </row>
    <row r="8065">
      <c r="A8065" s="234" t="s">
        <v>28365</v>
      </c>
      <c r="B8065" s="239" t="s">
        <v>175</v>
      </c>
      <c r="C8065" s="71" t="s">
        <v>18268</v>
      </c>
    </row>
    <row r="8066">
      <c r="A8066" s="234" t="s">
        <v>28365</v>
      </c>
      <c r="B8066" s="239" t="s">
        <v>18268</v>
      </c>
      <c r="C8066" s="130" t="s">
        <v>175</v>
      </c>
    </row>
    <row r="8067">
      <c r="A8067" s="130" t="s">
        <v>28367</v>
      </c>
      <c r="B8067" s="239" t="s">
        <v>158</v>
      </c>
      <c r="C8067" s="71" t="s">
        <v>18063</v>
      </c>
    </row>
    <row r="8068">
      <c r="A8068" s="130" t="s">
        <v>28369</v>
      </c>
      <c r="B8068" s="239" t="s">
        <v>187</v>
      </c>
      <c r="C8068" s="71" t="s">
        <v>16846</v>
      </c>
    </row>
    <row r="8069">
      <c r="A8069" s="130" t="s">
        <v>28371</v>
      </c>
      <c r="B8069" s="239" t="s">
        <v>187</v>
      </c>
      <c r="C8069" s="71" t="s">
        <v>17552</v>
      </c>
    </row>
    <row r="8070">
      <c r="A8070" s="130" t="s">
        <v>28373</v>
      </c>
      <c r="B8070" s="239" t="s">
        <v>187</v>
      </c>
      <c r="C8070" s="71" t="s">
        <v>16846</v>
      </c>
    </row>
    <row r="8071">
      <c r="A8071" s="130" t="s">
        <v>28375</v>
      </c>
      <c r="B8071" s="239" t="s">
        <v>187</v>
      </c>
      <c r="C8071" s="71" t="s">
        <v>16858</v>
      </c>
    </row>
    <row r="8072">
      <c r="A8072" s="130" t="s">
        <v>28377</v>
      </c>
      <c r="B8072" s="239" t="s">
        <v>187</v>
      </c>
      <c r="C8072" s="71" t="s">
        <v>16846</v>
      </c>
    </row>
    <row r="8073">
      <c r="A8073" s="130" t="s">
        <v>28379</v>
      </c>
      <c r="B8073" s="239" t="s">
        <v>187</v>
      </c>
      <c r="C8073" s="71" t="s">
        <v>16969</v>
      </c>
    </row>
    <row r="8074">
      <c r="A8074" s="130" t="s">
        <v>28381</v>
      </c>
      <c r="B8074" s="71"/>
      <c r="C8074" s="71"/>
    </row>
    <row r="8075">
      <c r="A8075" s="130" t="s">
        <v>28383</v>
      </c>
      <c r="B8075" s="239" t="s">
        <v>16582</v>
      </c>
      <c r="C8075" s="71" t="s">
        <v>16817</v>
      </c>
    </row>
    <row r="8076">
      <c r="A8076" s="130" t="s">
        <v>28385</v>
      </c>
      <c r="B8076" s="239" t="s">
        <v>175</v>
      </c>
      <c r="C8076" s="71" t="s">
        <v>17480</v>
      </c>
    </row>
    <row r="8077">
      <c r="A8077" s="130" t="s">
        <v>28387</v>
      </c>
      <c r="B8077" s="239" t="s">
        <v>187</v>
      </c>
      <c r="C8077" s="71" t="s">
        <v>16846</v>
      </c>
    </row>
    <row r="8078">
      <c r="A8078" s="130" t="s">
        <v>28389</v>
      </c>
      <c r="B8078" s="239" t="s">
        <v>16582</v>
      </c>
      <c r="C8078" s="71" t="s">
        <v>16817</v>
      </c>
    </row>
    <row r="8079">
      <c r="A8079" s="130" t="s">
        <v>28391</v>
      </c>
      <c r="B8079" s="239" t="s">
        <v>187</v>
      </c>
      <c r="C8079" s="71" t="s">
        <v>16851</v>
      </c>
    </row>
    <row r="8080">
      <c r="A8080" s="130" t="s">
        <v>28393</v>
      </c>
      <c r="B8080" s="239" t="s">
        <v>16582</v>
      </c>
      <c r="C8080" s="71" t="s">
        <v>16930</v>
      </c>
    </row>
    <row r="8081">
      <c r="A8081" s="130" t="s">
        <v>28395</v>
      </c>
      <c r="B8081" s="239" t="s">
        <v>16582</v>
      </c>
      <c r="C8081" s="71" t="s">
        <v>16930</v>
      </c>
    </row>
    <row r="8082">
      <c r="A8082" s="130" t="s">
        <v>28397</v>
      </c>
      <c r="B8082" s="239" t="s">
        <v>187</v>
      </c>
      <c r="C8082" s="71" t="s">
        <v>19444</v>
      </c>
    </row>
    <row r="8083">
      <c r="A8083" s="130" t="s">
        <v>28399</v>
      </c>
      <c r="B8083" s="239" t="s">
        <v>187</v>
      </c>
      <c r="C8083" s="71" t="s">
        <v>16846</v>
      </c>
    </row>
    <row r="8084">
      <c r="A8084" s="130" t="s">
        <v>28401</v>
      </c>
      <c r="B8084" s="239" t="s">
        <v>187</v>
      </c>
      <c r="C8084" s="71" t="s">
        <v>16992</v>
      </c>
    </row>
    <row r="8085">
      <c r="A8085" s="130" t="s">
        <v>28403</v>
      </c>
      <c r="B8085" s="239" t="s">
        <v>16910</v>
      </c>
      <c r="C8085" s="71" t="s">
        <v>17137</v>
      </c>
    </row>
    <row r="8086">
      <c r="A8086" s="130" t="s">
        <v>28405</v>
      </c>
      <c r="B8086" s="239" t="s">
        <v>175</v>
      </c>
      <c r="C8086" s="71" t="s">
        <v>18352</v>
      </c>
    </row>
    <row r="8087">
      <c r="A8087" s="130" t="s">
        <v>28407</v>
      </c>
      <c r="B8087" s="239" t="s">
        <v>175</v>
      </c>
      <c r="C8087" s="71" t="s">
        <v>18352</v>
      </c>
    </row>
    <row r="8088">
      <c r="A8088" s="130" t="s">
        <v>28409</v>
      </c>
      <c r="B8088" s="239" t="s">
        <v>16919</v>
      </c>
      <c r="C8088" s="71" t="s">
        <v>17176</v>
      </c>
    </row>
    <row r="8089">
      <c r="A8089" s="130" t="s">
        <v>28411</v>
      </c>
      <c r="B8089" s="239" t="s">
        <v>16910</v>
      </c>
      <c r="C8089" s="71" t="s">
        <v>17119</v>
      </c>
    </row>
    <row r="8090">
      <c r="A8090" s="130" t="s">
        <v>28413</v>
      </c>
      <c r="B8090" s="239" t="s">
        <v>16582</v>
      </c>
      <c r="C8090" s="71" t="s">
        <v>16828</v>
      </c>
    </row>
    <row r="8091">
      <c r="A8091" s="130" t="s">
        <v>28415</v>
      </c>
      <c r="B8091" s="239" t="s">
        <v>16582</v>
      </c>
      <c r="C8091" s="71" t="s">
        <v>16828</v>
      </c>
    </row>
    <row r="8092">
      <c r="A8092" s="130" t="s">
        <v>28417</v>
      </c>
      <c r="B8092" s="239" t="s">
        <v>16582</v>
      </c>
      <c r="C8092" s="71" t="s">
        <v>16817</v>
      </c>
    </row>
    <row r="8093">
      <c r="A8093" s="130" t="s">
        <v>28419</v>
      </c>
      <c r="B8093" s="239" t="s">
        <v>16582</v>
      </c>
      <c r="C8093" s="71" t="s">
        <v>16930</v>
      </c>
    </row>
    <row r="8094">
      <c r="A8094" s="130" t="s">
        <v>28421</v>
      </c>
      <c r="B8094" s="239" t="s">
        <v>187</v>
      </c>
      <c r="C8094" s="71" t="s">
        <v>16992</v>
      </c>
    </row>
    <row r="8095">
      <c r="A8095" s="130" t="s">
        <v>28423</v>
      </c>
      <c r="B8095" s="239" t="s">
        <v>187</v>
      </c>
      <c r="C8095" s="71" t="s">
        <v>16992</v>
      </c>
    </row>
    <row r="8096">
      <c r="A8096" s="130" t="s">
        <v>28425</v>
      </c>
      <c r="B8096" s="239" t="s">
        <v>187</v>
      </c>
      <c r="C8096" s="71" t="s">
        <v>20775</v>
      </c>
    </row>
    <row r="8097">
      <c r="A8097" s="130" t="s">
        <v>28427</v>
      </c>
      <c r="B8097" s="239" t="s">
        <v>16910</v>
      </c>
      <c r="C8097" s="71" t="s">
        <v>17119</v>
      </c>
    </row>
    <row r="8098">
      <c r="A8098" s="130" t="s">
        <v>28429</v>
      </c>
      <c r="B8098" s="239" t="s">
        <v>187</v>
      </c>
      <c r="C8098" s="71" t="s">
        <v>16846</v>
      </c>
    </row>
    <row r="8099">
      <c r="A8099" s="130" t="s">
        <v>28431</v>
      </c>
      <c r="B8099" s="239" t="s">
        <v>187</v>
      </c>
      <c r="C8099" s="71" t="s">
        <v>16846</v>
      </c>
    </row>
    <row r="8100">
      <c r="A8100" s="130" t="s">
        <v>28433</v>
      </c>
      <c r="B8100" s="239" t="s">
        <v>187</v>
      </c>
      <c r="C8100" s="71" t="s">
        <v>16969</v>
      </c>
    </row>
    <row r="8101">
      <c r="A8101" s="130" t="s">
        <v>28435</v>
      </c>
      <c r="B8101" s="239" t="s">
        <v>16582</v>
      </c>
      <c r="C8101" s="71" t="s">
        <v>16930</v>
      </c>
    </row>
    <row r="8102">
      <c r="A8102" s="130" t="s">
        <v>28437</v>
      </c>
      <c r="B8102" s="239" t="s">
        <v>16582</v>
      </c>
      <c r="C8102" s="71" t="s">
        <v>16930</v>
      </c>
    </row>
    <row r="8103">
      <c r="A8103" s="130" t="s">
        <v>28439</v>
      </c>
      <c r="B8103" s="239" t="s">
        <v>187</v>
      </c>
      <c r="C8103" s="71" t="s">
        <v>16846</v>
      </c>
    </row>
    <row r="8104">
      <c r="A8104" s="130" t="s">
        <v>28441</v>
      </c>
      <c r="B8104" s="239" t="s">
        <v>187</v>
      </c>
      <c r="C8104" s="71" t="s">
        <v>16969</v>
      </c>
    </row>
    <row r="8105">
      <c r="A8105" s="130" t="s">
        <v>28443</v>
      </c>
      <c r="B8105" s="239" t="s">
        <v>187</v>
      </c>
      <c r="C8105" s="71" t="s">
        <v>16851</v>
      </c>
    </row>
    <row r="8106">
      <c r="A8106" s="130" t="s">
        <v>28445</v>
      </c>
      <c r="B8106" s="239" t="s">
        <v>16582</v>
      </c>
      <c r="C8106" s="71" t="s">
        <v>16930</v>
      </c>
    </row>
    <row r="8107">
      <c r="A8107" s="234" t="s">
        <v>28447</v>
      </c>
      <c r="B8107" s="239" t="s">
        <v>175</v>
      </c>
      <c r="C8107" s="71" t="s">
        <v>17480</v>
      </c>
    </row>
    <row r="8108">
      <c r="A8108" s="234" t="s">
        <v>28447</v>
      </c>
      <c r="B8108" s="239" t="s">
        <v>17480</v>
      </c>
      <c r="C8108" s="130" t="s">
        <v>175</v>
      </c>
    </row>
    <row r="8109">
      <c r="A8109" s="130" t="s">
        <v>28449</v>
      </c>
      <c r="B8109" s="239" t="s">
        <v>175</v>
      </c>
      <c r="C8109" s="71" t="s">
        <v>17812</v>
      </c>
    </row>
    <row r="8110">
      <c r="A8110" s="130" t="s">
        <v>28451</v>
      </c>
      <c r="B8110" s="239" t="s">
        <v>175</v>
      </c>
      <c r="C8110" s="71" t="s">
        <v>16942</v>
      </c>
    </row>
    <row r="8111">
      <c r="A8111" s="130" t="s">
        <v>28453</v>
      </c>
      <c r="B8111" s="239" t="s">
        <v>169</v>
      </c>
      <c r="C8111" s="71" t="s">
        <v>16945</v>
      </c>
    </row>
    <row r="8112">
      <c r="A8112" s="130" t="s">
        <v>28455</v>
      </c>
      <c r="B8112" s="239" t="s">
        <v>187</v>
      </c>
      <c r="C8112" s="71" t="s">
        <v>16846</v>
      </c>
    </row>
    <row r="8113">
      <c r="A8113" s="130" t="s">
        <v>28457</v>
      </c>
      <c r="B8113" s="239" t="s">
        <v>187</v>
      </c>
      <c r="C8113" s="71" t="s">
        <v>16846</v>
      </c>
    </row>
    <row r="8114">
      <c r="A8114" s="130" t="s">
        <v>28459</v>
      </c>
      <c r="B8114" s="239" t="s">
        <v>17112</v>
      </c>
      <c r="C8114" s="71" t="s">
        <v>17111</v>
      </c>
    </row>
    <row r="8115">
      <c r="A8115" s="130" t="s">
        <v>28461</v>
      </c>
      <c r="B8115" s="239" t="s">
        <v>175</v>
      </c>
      <c r="C8115" s="71" t="s">
        <v>16942</v>
      </c>
    </row>
    <row r="8116">
      <c r="A8116" s="130" t="s">
        <v>28463</v>
      </c>
      <c r="B8116" s="239" t="s">
        <v>175</v>
      </c>
      <c r="C8116" s="71" t="s">
        <v>19139</v>
      </c>
    </row>
    <row r="8117">
      <c r="A8117" s="130" t="s">
        <v>28465</v>
      </c>
      <c r="B8117" s="71"/>
      <c r="C8117" s="71"/>
    </row>
    <row r="8118">
      <c r="A8118" s="130" t="s">
        <v>28467</v>
      </c>
      <c r="B8118" s="239" t="s">
        <v>187</v>
      </c>
      <c r="C8118" s="71" t="s">
        <v>16846</v>
      </c>
    </row>
    <row r="8119">
      <c r="A8119" s="130" t="s">
        <v>28469</v>
      </c>
      <c r="B8119" s="239" t="s">
        <v>16582</v>
      </c>
      <c r="C8119" s="71" t="s">
        <v>17435</v>
      </c>
    </row>
    <row r="8120">
      <c r="A8120" s="130" t="s">
        <v>28471</v>
      </c>
      <c r="B8120" s="239" t="s">
        <v>187</v>
      </c>
      <c r="C8120" s="71" t="s">
        <v>16846</v>
      </c>
    </row>
    <row r="8121">
      <c r="A8121" s="130" t="s">
        <v>28473</v>
      </c>
      <c r="B8121" s="71"/>
      <c r="C8121" s="71"/>
    </row>
    <row r="8122">
      <c r="A8122" s="130" t="s">
        <v>28475</v>
      </c>
      <c r="B8122" s="239" t="s">
        <v>16838</v>
      </c>
      <c r="C8122" s="71" t="s">
        <v>17016</v>
      </c>
    </row>
    <row r="8123">
      <c r="A8123" s="130" t="s">
        <v>28477</v>
      </c>
      <c r="B8123" s="239" t="s">
        <v>187</v>
      </c>
      <c r="C8123" s="71" t="s">
        <v>16969</v>
      </c>
    </row>
    <row r="8124">
      <c r="A8124" s="130" t="s">
        <v>28479</v>
      </c>
      <c r="B8124" s="239" t="s">
        <v>187</v>
      </c>
      <c r="C8124" s="71" t="s">
        <v>16969</v>
      </c>
    </row>
    <row r="8125">
      <c r="A8125" s="130" t="s">
        <v>28481</v>
      </c>
      <c r="B8125" s="239" t="s">
        <v>175</v>
      </c>
      <c r="C8125" s="71" t="s">
        <v>17318</v>
      </c>
    </row>
    <row r="8126">
      <c r="A8126" s="130" t="s">
        <v>28483</v>
      </c>
      <c r="B8126" s="71"/>
      <c r="C8126" s="71"/>
    </row>
    <row r="8127">
      <c r="A8127" s="234" t="s">
        <v>28485</v>
      </c>
      <c r="B8127" s="239" t="s">
        <v>16885</v>
      </c>
      <c r="C8127" s="71" t="s">
        <v>17726</v>
      </c>
    </row>
    <row r="8128">
      <c r="A8128" s="234" t="s">
        <v>28485</v>
      </c>
      <c r="B8128" s="239" t="s">
        <v>17726</v>
      </c>
      <c r="C8128" s="130" t="s">
        <v>16885</v>
      </c>
    </row>
    <row r="8129">
      <c r="A8129" s="130" t="s">
        <v>28487</v>
      </c>
      <c r="B8129" s="239" t="s">
        <v>187</v>
      </c>
      <c r="C8129" s="71" t="s">
        <v>16846</v>
      </c>
    </row>
    <row r="8130">
      <c r="A8130" s="130" t="s">
        <v>28489</v>
      </c>
      <c r="B8130" s="239" t="s">
        <v>175</v>
      </c>
      <c r="C8130" s="71" t="s">
        <v>16854</v>
      </c>
    </row>
    <row r="8131">
      <c r="A8131" s="130" t="s">
        <v>28491</v>
      </c>
      <c r="B8131" s="239" t="s">
        <v>187</v>
      </c>
      <c r="C8131" s="71" t="s">
        <v>16846</v>
      </c>
    </row>
    <row r="8132">
      <c r="A8132" s="234" t="s">
        <v>28493</v>
      </c>
      <c r="B8132" s="239" t="s">
        <v>175</v>
      </c>
      <c r="C8132" s="71" t="s">
        <v>18570</v>
      </c>
    </row>
    <row r="8133">
      <c r="A8133" s="234" t="s">
        <v>28493</v>
      </c>
      <c r="B8133" s="239" t="s">
        <v>18570</v>
      </c>
      <c r="C8133" s="130" t="s">
        <v>175</v>
      </c>
    </row>
    <row r="8134">
      <c r="A8134" s="130" t="s">
        <v>28495</v>
      </c>
      <c r="B8134" s="239" t="s">
        <v>175</v>
      </c>
      <c r="C8134" s="71" t="s">
        <v>16972</v>
      </c>
    </row>
    <row r="8135">
      <c r="A8135" s="130" t="s">
        <v>28497</v>
      </c>
      <c r="B8135" s="239" t="s">
        <v>187</v>
      </c>
      <c r="C8135" s="71" t="s">
        <v>16846</v>
      </c>
    </row>
    <row r="8136">
      <c r="A8136" s="130" t="s">
        <v>28499</v>
      </c>
      <c r="B8136" s="239" t="s">
        <v>175</v>
      </c>
      <c r="C8136" s="71" t="s">
        <v>16972</v>
      </c>
    </row>
    <row r="8137">
      <c r="A8137" s="130" t="s">
        <v>28501</v>
      </c>
      <c r="B8137" s="239" t="s">
        <v>187</v>
      </c>
      <c r="C8137" s="71" t="s">
        <v>16851</v>
      </c>
    </row>
    <row r="8138">
      <c r="A8138" s="130" t="s">
        <v>28503</v>
      </c>
      <c r="B8138" s="239" t="s">
        <v>187</v>
      </c>
      <c r="C8138" s="71" t="s">
        <v>17564</v>
      </c>
    </row>
    <row r="8139">
      <c r="A8139" s="130" t="s">
        <v>28505</v>
      </c>
      <c r="B8139" s="239" t="s">
        <v>16582</v>
      </c>
      <c r="C8139" s="71" t="s">
        <v>16817</v>
      </c>
    </row>
    <row r="8140">
      <c r="A8140" s="234" t="s">
        <v>28507</v>
      </c>
      <c r="B8140" s="239" t="s">
        <v>187</v>
      </c>
      <c r="C8140" s="71" t="s">
        <v>17259</v>
      </c>
    </row>
    <row r="8141">
      <c r="A8141" s="234" t="s">
        <v>28507</v>
      </c>
      <c r="B8141" s="239" t="s">
        <v>17259</v>
      </c>
      <c r="C8141" s="130" t="s">
        <v>187</v>
      </c>
    </row>
    <row r="8142">
      <c r="A8142" s="130" t="s">
        <v>28509</v>
      </c>
      <c r="B8142" s="239" t="s">
        <v>16582</v>
      </c>
      <c r="C8142" s="71" t="s">
        <v>17435</v>
      </c>
    </row>
    <row r="8143">
      <c r="A8143" s="130" t="s">
        <v>28511</v>
      </c>
      <c r="B8143" s="239" t="s">
        <v>175</v>
      </c>
      <c r="C8143" s="71" t="s">
        <v>18723</v>
      </c>
    </row>
    <row r="8144">
      <c r="A8144" s="130" t="s">
        <v>28513</v>
      </c>
      <c r="B8144" s="239" t="s">
        <v>187</v>
      </c>
      <c r="C8144" s="71" t="s">
        <v>16846</v>
      </c>
    </row>
    <row r="8145">
      <c r="A8145" s="130" t="s">
        <v>28515</v>
      </c>
      <c r="B8145" s="239" t="s">
        <v>187</v>
      </c>
      <c r="C8145" s="71" t="s">
        <v>16846</v>
      </c>
    </row>
    <row r="8146">
      <c r="A8146" s="130" t="s">
        <v>28517</v>
      </c>
      <c r="B8146" s="239" t="s">
        <v>169</v>
      </c>
      <c r="C8146" s="71" t="s">
        <v>17495</v>
      </c>
    </row>
    <row r="8147">
      <c r="A8147" s="130" t="s">
        <v>28519</v>
      </c>
      <c r="B8147" s="239" t="s">
        <v>187</v>
      </c>
      <c r="C8147" s="71" t="s">
        <v>16846</v>
      </c>
    </row>
    <row r="8148">
      <c r="A8148" s="130" t="s">
        <v>28521</v>
      </c>
      <c r="B8148" s="239" t="s">
        <v>16582</v>
      </c>
      <c r="C8148" s="71" t="s">
        <v>16930</v>
      </c>
    </row>
    <row r="8149">
      <c r="A8149" s="130" t="s">
        <v>28523</v>
      </c>
      <c r="B8149" s="239" t="s">
        <v>187</v>
      </c>
      <c r="C8149" s="71" t="s">
        <v>16846</v>
      </c>
    </row>
    <row r="8150">
      <c r="A8150" s="130" t="s">
        <v>28525</v>
      </c>
      <c r="B8150" s="239" t="s">
        <v>187</v>
      </c>
      <c r="C8150" s="71" t="s">
        <v>16846</v>
      </c>
    </row>
    <row r="8151">
      <c r="A8151" s="130" t="s">
        <v>28527</v>
      </c>
      <c r="B8151" s="239" t="s">
        <v>187</v>
      </c>
      <c r="C8151" s="71" t="s">
        <v>16969</v>
      </c>
    </row>
    <row r="8152">
      <c r="A8152" s="130" t="s">
        <v>28529</v>
      </c>
      <c r="B8152" s="239" t="s">
        <v>187</v>
      </c>
      <c r="C8152" s="71" t="s">
        <v>23634</v>
      </c>
    </row>
    <row r="8153">
      <c r="A8153" s="130" t="s">
        <v>28531</v>
      </c>
      <c r="B8153" s="239" t="s">
        <v>16582</v>
      </c>
      <c r="C8153" s="71" t="s">
        <v>16817</v>
      </c>
    </row>
    <row r="8154">
      <c r="A8154" s="130" t="s">
        <v>28533</v>
      </c>
      <c r="B8154" s="239" t="s">
        <v>175</v>
      </c>
      <c r="C8154" s="71" t="s">
        <v>18268</v>
      </c>
    </row>
    <row r="8155">
      <c r="A8155" s="130" t="s">
        <v>28535</v>
      </c>
      <c r="B8155" s="239" t="s">
        <v>187</v>
      </c>
      <c r="C8155" s="71" t="s">
        <v>16846</v>
      </c>
    </row>
    <row r="8156">
      <c r="A8156" s="130" t="s">
        <v>28537</v>
      </c>
      <c r="B8156" s="239" t="s">
        <v>187</v>
      </c>
      <c r="C8156" s="71" t="s">
        <v>16846</v>
      </c>
    </row>
    <row r="8157">
      <c r="A8157" s="130" t="s">
        <v>28539</v>
      </c>
      <c r="B8157" s="239" t="s">
        <v>175</v>
      </c>
      <c r="C8157" s="71" t="s">
        <v>17452</v>
      </c>
    </row>
    <row r="8158">
      <c r="A8158" s="130" t="s">
        <v>28541</v>
      </c>
      <c r="B8158" s="239" t="s">
        <v>187</v>
      </c>
      <c r="C8158" s="71" t="s">
        <v>17122</v>
      </c>
    </row>
    <row r="8159">
      <c r="A8159" s="130" t="s">
        <v>28543</v>
      </c>
      <c r="B8159" s="239" t="s">
        <v>175</v>
      </c>
      <c r="C8159" s="71" t="s">
        <v>17084</v>
      </c>
    </row>
    <row r="8160">
      <c r="A8160" s="130" t="s">
        <v>28545</v>
      </c>
      <c r="B8160" s="239" t="s">
        <v>187</v>
      </c>
      <c r="C8160" s="71" t="s">
        <v>16846</v>
      </c>
    </row>
    <row r="8161">
      <c r="A8161" s="130" t="s">
        <v>28547</v>
      </c>
      <c r="B8161" s="239" t="s">
        <v>187</v>
      </c>
      <c r="C8161" s="71" t="s">
        <v>16846</v>
      </c>
    </row>
    <row r="8162">
      <c r="A8162" s="130" t="s">
        <v>28549</v>
      </c>
      <c r="B8162" s="239" t="s">
        <v>16838</v>
      </c>
      <c r="C8162" s="71" t="s">
        <v>17127</v>
      </c>
    </row>
    <row r="8163">
      <c r="A8163" s="130" t="s">
        <v>28551</v>
      </c>
      <c r="B8163" s="239" t="s">
        <v>187</v>
      </c>
      <c r="C8163" s="71" t="s">
        <v>16846</v>
      </c>
    </row>
    <row r="8164">
      <c r="A8164" s="130" t="s">
        <v>28553</v>
      </c>
      <c r="B8164" s="239" t="s">
        <v>16582</v>
      </c>
      <c r="C8164" s="71" t="s">
        <v>17013</v>
      </c>
    </row>
    <row r="8165">
      <c r="A8165" s="130" t="s">
        <v>28555</v>
      </c>
      <c r="B8165" s="239" t="s">
        <v>175</v>
      </c>
      <c r="C8165" s="71" t="s">
        <v>16972</v>
      </c>
    </row>
    <row r="8166">
      <c r="A8166" s="130" t="s">
        <v>28557</v>
      </c>
      <c r="B8166" s="239" t="s">
        <v>187</v>
      </c>
      <c r="C8166" s="71" t="s">
        <v>16846</v>
      </c>
    </row>
    <row r="8167">
      <c r="A8167" s="130" t="s">
        <v>28559</v>
      </c>
      <c r="B8167" s="239" t="s">
        <v>16582</v>
      </c>
      <c r="C8167" s="71" t="s">
        <v>16930</v>
      </c>
    </row>
    <row r="8168">
      <c r="A8168" s="130" t="s">
        <v>28561</v>
      </c>
      <c r="B8168" s="239" t="s">
        <v>169</v>
      </c>
      <c r="C8168" s="71" t="s">
        <v>16899</v>
      </c>
    </row>
    <row r="8169">
      <c r="A8169" s="130" t="s">
        <v>28563</v>
      </c>
      <c r="B8169" s="239" t="s">
        <v>187</v>
      </c>
      <c r="C8169" s="71" t="s">
        <v>16846</v>
      </c>
    </row>
    <row r="8170">
      <c r="A8170" s="130" t="s">
        <v>28565</v>
      </c>
      <c r="B8170" s="239" t="s">
        <v>175</v>
      </c>
      <c r="C8170" s="71" t="s">
        <v>17480</v>
      </c>
    </row>
    <row r="8171">
      <c r="A8171" s="130" t="s">
        <v>28567</v>
      </c>
      <c r="B8171" s="239" t="s">
        <v>16582</v>
      </c>
      <c r="C8171" s="71" t="s">
        <v>16930</v>
      </c>
    </row>
    <row r="8172">
      <c r="A8172" s="130" t="s">
        <v>28569</v>
      </c>
      <c r="B8172" s="239" t="s">
        <v>16910</v>
      </c>
      <c r="C8172" s="71" t="s">
        <v>16911</v>
      </c>
    </row>
    <row r="8173">
      <c r="A8173" s="130" t="s">
        <v>28571</v>
      </c>
      <c r="B8173" s="239" t="s">
        <v>187</v>
      </c>
      <c r="C8173" s="71" t="s">
        <v>16846</v>
      </c>
    </row>
    <row r="8174">
      <c r="A8174" s="130" t="s">
        <v>28573</v>
      </c>
      <c r="B8174" s="239" t="s">
        <v>16838</v>
      </c>
      <c r="C8174" s="71" t="s">
        <v>17112</v>
      </c>
    </row>
    <row r="8175">
      <c r="A8175" s="130" t="s">
        <v>28575</v>
      </c>
      <c r="B8175" s="239" t="s">
        <v>187</v>
      </c>
      <c r="C8175" s="71" t="s">
        <v>16846</v>
      </c>
    </row>
    <row r="8176">
      <c r="A8176" s="130" t="s">
        <v>28577</v>
      </c>
      <c r="B8176" s="239" t="s">
        <v>16838</v>
      </c>
      <c r="C8176" s="71" t="s">
        <v>17202</v>
      </c>
    </row>
    <row r="8177">
      <c r="A8177" s="130" t="s">
        <v>28579</v>
      </c>
      <c r="B8177" s="239" t="s">
        <v>16910</v>
      </c>
      <c r="C8177" s="71" t="s">
        <v>17502</v>
      </c>
    </row>
    <row r="8178">
      <c r="A8178" s="130" t="s">
        <v>28581</v>
      </c>
      <c r="B8178" s="239" t="s">
        <v>187</v>
      </c>
      <c r="C8178" s="71" t="s">
        <v>16851</v>
      </c>
    </row>
    <row r="8179">
      <c r="A8179" s="130" t="s">
        <v>28583</v>
      </c>
      <c r="B8179" s="239" t="s">
        <v>187</v>
      </c>
      <c r="C8179" s="71" t="s">
        <v>18529</v>
      </c>
    </row>
    <row r="8180">
      <c r="A8180" s="130" t="s">
        <v>28585</v>
      </c>
      <c r="B8180" s="239" t="s">
        <v>187</v>
      </c>
      <c r="C8180" s="71" t="s">
        <v>16846</v>
      </c>
    </row>
    <row r="8181">
      <c r="A8181" s="130" t="s">
        <v>28587</v>
      </c>
      <c r="B8181" s="239" t="s">
        <v>187</v>
      </c>
      <c r="C8181" s="71" t="s">
        <v>16846</v>
      </c>
    </row>
    <row r="8182">
      <c r="A8182" s="130" t="s">
        <v>28589</v>
      </c>
      <c r="B8182" s="239" t="s">
        <v>187</v>
      </c>
      <c r="C8182" s="71" t="s">
        <v>16969</v>
      </c>
    </row>
    <row r="8183">
      <c r="A8183" s="234" t="s">
        <v>28591</v>
      </c>
      <c r="B8183" s="239" t="s">
        <v>17112</v>
      </c>
      <c r="C8183" s="71" t="s">
        <v>17218</v>
      </c>
    </row>
    <row r="8184">
      <c r="A8184" s="234" t="s">
        <v>28591</v>
      </c>
      <c r="B8184" s="239" t="s">
        <v>17218</v>
      </c>
      <c r="C8184" s="130" t="s">
        <v>17112</v>
      </c>
    </row>
    <row r="8185">
      <c r="A8185" s="130" t="s">
        <v>28593</v>
      </c>
      <c r="B8185" s="239" t="s">
        <v>175</v>
      </c>
      <c r="C8185" s="71" t="s">
        <v>18570</v>
      </c>
    </row>
    <row r="8186">
      <c r="A8186" s="130" t="s">
        <v>28595</v>
      </c>
      <c r="B8186" s="239" t="s">
        <v>16910</v>
      </c>
      <c r="C8186" s="71" t="s">
        <v>28596</v>
      </c>
    </row>
    <row r="8187">
      <c r="A8187" s="130" t="s">
        <v>28598</v>
      </c>
      <c r="B8187" s="239" t="s">
        <v>16582</v>
      </c>
      <c r="C8187" s="71" t="s">
        <v>16583</v>
      </c>
    </row>
    <row r="8188">
      <c r="A8188" s="130" t="s">
        <v>28600</v>
      </c>
      <c r="B8188" s="239" t="s">
        <v>16582</v>
      </c>
      <c r="C8188" s="71" t="s">
        <v>16899</v>
      </c>
    </row>
    <row r="8189">
      <c r="A8189" s="130" t="s">
        <v>28602</v>
      </c>
      <c r="B8189" s="239" t="s">
        <v>16838</v>
      </c>
      <c r="C8189" s="71" t="s">
        <v>18219</v>
      </c>
    </row>
    <row r="8190">
      <c r="A8190" s="130" t="s">
        <v>28604</v>
      </c>
      <c r="B8190" s="239" t="s">
        <v>187</v>
      </c>
      <c r="C8190" s="71" t="s">
        <v>16846</v>
      </c>
    </row>
    <row r="8191">
      <c r="A8191" s="130" t="s">
        <v>28606</v>
      </c>
      <c r="B8191" s="239" t="s">
        <v>187</v>
      </c>
      <c r="C8191" s="71" t="s">
        <v>16846</v>
      </c>
    </row>
    <row r="8192">
      <c r="A8192" s="130" t="s">
        <v>28608</v>
      </c>
      <c r="B8192" s="239" t="s">
        <v>16582</v>
      </c>
      <c r="C8192" s="71" t="s">
        <v>17183</v>
      </c>
    </row>
    <row r="8193">
      <c r="A8193" s="130" t="s">
        <v>28610</v>
      </c>
      <c r="B8193" s="239" t="s">
        <v>16910</v>
      </c>
      <c r="C8193" s="71" t="s">
        <v>17662</v>
      </c>
    </row>
    <row r="8194">
      <c r="A8194" s="130" t="s">
        <v>28612</v>
      </c>
      <c r="B8194" s="239" t="s">
        <v>187</v>
      </c>
      <c r="C8194" s="71" t="s">
        <v>16851</v>
      </c>
    </row>
    <row r="8195">
      <c r="A8195" s="130" t="s">
        <v>28614</v>
      </c>
      <c r="B8195" s="239" t="s">
        <v>187</v>
      </c>
      <c r="C8195" s="71" t="s">
        <v>16846</v>
      </c>
    </row>
    <row r="8196">
      <c r="A8196" s="130" t="s">
        <v>28616</v>
      </c>
      <c r="B8196" s="239" t="s">
        <v>16838</v>
      </c>
      <c r="C8196" s="71" t="s">
        <v>17016</v>
      </c>
    </row>
    <row r="8197">
      <c r="A8197" s="130" t="s">
        <v>28618</v>
      </c>
      <c r="B8197" s="239" t="s">
        <v>187</v>
      </c>
      <c r="C8197" s="71" t="s">
        <v>16969</v>
      </c>
    </row>
    <row r="8198">
      <c r="A8198" s="234" t="s">
        <v>28620</v>
      </c>
      <c r="B8198" s="239" t="s">
        <v>17629</v>
      </c>
      <c r="C8198" s="71" t="s">
        <v>17452</v>
      </c>
    </row>
    <row r="8199">
      <c r="A8199" s="234" t="s">
        <v>28620</v>
      </c>
      <c r="B8199" s="239" t="s">
        <v>17452</v>
      </c>
      <c r="C8199" s="130" t="s">
        <v>17629</v>
      </c>
    </row>
    <row r="8200">
      <c r="A8200" s="130" t="s">
        <v>28622</v>
      </c>
      <c r="B8200" s="239" t="s">
        <v>16582</v>
      </c>
      <c r="C8200" s="71" t="s">
        <v>16930</v>
      </c>
    </row>
    <row r="8201">
      <c r="A8201" s="130" t="s">
        <v>28624</v>
      </c>
      <c r="B8201" s="239" t="s">
        <v>187</v>
      </c>
      <c r="C8201" s="71" t="s">
        <v>16969</v>
      </c>
    </row>
    <row r="8202">
      <c r="A8202" s="130" t="s">
        <v>28626</v>
      </c>
      <c r="B8202" s="239" t="s">
        <v>16838</v>
      </c>
      <c r="C8202" s="71" t="s">
        <v>18219</v>
      </c>
    </row>
    <row r="8203">
      <c r="A8203" s="130" t="s">
        <v>28628</v>
      </c>
      <c r="B8203" s="239" t="s">
        <v>16582</v>
      </c>
      <c r="C8203" s="71" t="s">
        <v>16817</v>
      </c>
    </row>
    <row r="8204">
      <c r="A8204" s="130" t="s">
        <v>28630</v>
      </c>
      <c r="B8204" s="239" t="s">
        <v>16926</v>
      </c>
      <c r="C8204" s="71" t="s">
        <v>16957</v>
      </c>
    </row>
    <row r="8205">
      <c r="A8205" s="130" t="s">
        <v>28632</v>
      </c>
      <c r="B8205" s="239" t="s">
        <v>187</v>
      </c>
      <c r="C8205" s="71" t="s">
        <v>16846</v>
      </c>
    </row>
    <row r="8206">
      <c r="A8206" s="130" t="s">
        <v>28634</v>
      </c>
      <c r="B8206" s="239" t="s">
        <v>175</v>
      </c>
      <c r="C8206" s="71" t="s">
        <v>16824</v>
      </c>
    </row>
    <row r="8207">
      <c r="A8207" s="234" t="s">
        <v>28636</v>
      </c>
      <c r="B8207" s="239" t="s">
        <v>16885</v>
      </c>
      <c r="C8207" s="71" t="s">
        <v>18381</v>
      </c>
    </row>
    <row r="8208">
      <c r="A8208" s="234" t="s">
        <v>28636</v>
      </c>
      <c r="B8208" s="239" t="s">
        <v>18381</v>
      </c>
      <c r="C8208" s="130" t="s">
        <v>16885</v>
      </c>
    </row>
    <row r="8209">
      <c r="A8209" s="130" t="s">
        <v>28638</v>
      </c>
      <c r="B8209" s="239" t="s">
        <v>16885</v>
      </c>
      <c r="C8209" s="71" t="s">
        <v>17726</v>
      </c>
    </row>
    <row r="8210">
      <c r="A8210" s="234" t="s">
        <v>28640</v>
      </c>
      <c r="B8210" s="239" t="s">
        <v>17112</v>
      </c>
      <c r="C8210" s="71" t="s">
        <v>17112</v>
      </c>
    </row>
    <row r="8211">
      <c r="A8211" s="234" t="s">
        <v>28640</v>
      </c>
      <c r="B8211" s="239" t="s">
        <v>17112</v>
      </c>
      <c r="C8211" s="130" t="s">
        <v>17112</v>
      </c>
    </row>
    <row r="8212">
      <c r="A8212" s="130" t="s">
        <v>28642</v>
      </c>
      <c r="B8212" s="239" t="s">
        <v>187</v>
      </c>
      <c r="C8212" s="71" t="s">
        <v>16846</v>
      </c>
    </row>
    <row r="8213">
      <c r="A8213" s="130" t="s">
        <v>28644</v>
      </c>
      <c r="B8213" s="239" t="s">
        <v>175</v>
      </c>
      <c r="C8213" s="71" t="s">
        <v>17057</v>
      </c>
    </row>
    <row r="8214">
      <c r="A8214" s="130" t="s">
        <v>28646</v>
      </c>
      <c r="B8214" s="239" t="s">
        <v>169</v>
      </c>
      <c r="C8214" s="71" t="s">
        <v>17442</v>
      </c>
    </row>
    <row r="8215">
      <c r="A8215" s="130" t="s">
        <v>28648</v>
      </c>
      <c r="B8215" s="239" t="s">
        <v>17629</v>
      </c>
      <c r="C8215" s="71" t="s">
        <v>16899</v>
      </c>
    </row>
    <row r="8216">
      <c r="A8216" s="130" t="s">
        <v>28650</v>
      </c>
      <c r="B8216" s="239" t="s">
        <v>187</v>
      </c>
      <c r="C8216" s="71" t="s">
        <v>16851</v>
      </c>
    </row>
    <row r="8217">
      <c r="A8217" s="130" t="s">
        <v>28652</v>
      </c>
      <c r="B8217" s="239" t="s">
        <v>175</v>
      </c>
      <c r="C8217" s="71" t="s">
        <v>16972</v>
      </c>
    </row>
    <row r="8218">
      <c r="A8218" s="130" t="s">
        <v>28654</v>
      </c>
      <c r="B8218" s="239" t="s">
        <v>16885</v>
      </c>
      <c r="C8218" s="71" t="s">
        <v>17726</v>
      </c>
    </row>
    <row r="8219">
      <c r="A8219" s="130" t="s">
        <v>28656</v>
      </c>
      <c r="B8219" s="239" t="s">
        <v>187</v>
      </c>
      <c r="C8219" s="71" t="s">
        <v>16846</v>
      </c>
    </row>
    <row r="8220">
      <c r="A8220" s="130" t="s">
        <v>28658</v>
      </c>
      <c r="B8220" s="239" t="s">
        <v>187</v>
      </c>
      <c r="C8220" s="71" t="s">
        <v>16858</v>
      </c>
    </row>
    <row r="8221">
      <c r="A8221" s="130" t="s">
        <v>28660</v>
      </c>
      <c r="B8221" s="239" t="s">
        <v>175</v>
      </c>
      <c r="C8221" s="71" t="s">
        <v>17812</v>
      </c>
    </row>
    <row r="8222">
      <c r="A8222" s="130" t="s">
        <v>28662</v>
      </c>
      <c r="B8222" s="239" t="s">
        <v>175</v>
      </c>
      <c r="C8222" s="71" t="s">
        <v>17218</v>
      </c>
    </row>
    <row r="8223">
      <c r="A8223" s="130" t="s">
        <v>28664</v>
      </c>
      <c r="B8223" s="239" t="s">
        <v>16582</v>
      </c>
      <c r="C8223" s="71" t="s">
        <v>17435</v>
      </c>
    </row>
    <row r="8224">
      <c r="A8224" s="130" t="s">
        <v>28666</v>
      </c>
      <c r="B8224" s="239" t="s">
        <v>187</v>
      </c>
      <c r="C8224" s="71" t="s">
        <v>16846</v>
      </c>
    </row>
    <row r="8225">
      <c r="A8225" s="130" t="s">
        <v>28668</v>
      </c>
      <c r="B8225" s="239" t="s">
        <v>187</v>
      </c>
      <c r="C8225" s="71" t="s">
        <v>16851</v>
      </c>
    </row>
    <row r="8226">
      <c r="A8226" s="130" t="s">
        <v>28670</v>
      </c>
      <c r="B8226" s="239" t="s">
        <v>187</v>
      </c>
      <c r="C8226" s="71" t="s">
        <v>16846</v>
      </c>
    </row>
    <row r="8227">
      <c r="A8227" s="130" t="s">
        <v>28672</v>
      </c>
      <c r="B8227" s="239" t="s">
        <v>16582</v>
      </c>
      <c r="C8227" s="71" t="s">
        <v>16817</v>
      </c>
    </row>
    <row r="8228">
      <c r="A8228" s="130" t="s">
        <v>28674</v>
      </c>
      <c r="B8228" s="239" t="s">
        <v>187</v>
      </c>
      <c r="C8228" s="71" t="s">
        <v>16846</v>
      </c>
    </row>
    <row r="8229">
      <c r="A8229" s="130" t="s">
        <v>28676</v>
      </c>
      <c r="B8229" s="239" t="s">
        <v>169</v>
      </c>
      <c r="C8229" s="71" t="s">
        <v>17827</v>
      </c>
    </row>
    <row r="8230">
      <c r="A8230" s="130" t="s">
        <v>28678</v>
      </c>
      <c r="B8230" s="239" t="s">
        <v>187</v>
      </c>
      <c r="C8230" s="71" t="s">
        <v>16846</v>
      </c>
    </row>
    <row r="8231">
      <c r="A8231" s="130" t="s">
        <v>28680</v>
      </c>
      <c r="B8231" s="239" t="s">
        <v>187</v>
      </c>
      <c r="C8231" s="71" t="s">
        <v>16992</v>
      </c>
    </row>
    <row r="8232">
      <c r="A8232" s="130" t="s">
        <v>28682</v>
      </c>
      <c r="B8232" s="239" t="s">
        <v>16885</v>
      </c>
      <c r="C8232" s="71" t="s">
        <v>17726</v>
      </c>
    </row>
    <row r="8233">
      <c r="A8233" s="130" t="s">
        <v>28684</v>
      </c>
      <c r="B8233" s="239" t="s">
        <v>187</v>
      </c>
      <c r="C8233" s="71" t="s">
        <v>16846</v>
      </c>
    </row>
    <row r="8234">
      <c r="A8234" s="130" t="s">
        <v>28686</v>
      </c>
      <c r="B8234" s="239" t="s">
        <v>16582</v>
      </c>
      <c r="C8234" s="71" t="s">
        <v>16817</v>
      </c>
    </row>
    <row r="8235">
      <c r="A8235" s="130" t="s">
        <v>28688</v>
      </c>
      <c r="B8235" s="239" t="s">
        <v>169</v>
      </c>
      <c r="C8235" s="71" t="s">
        <v>16851</v>
      </c>
    </row>
    <row r="8236">
      <c r="A8236" s="130" t="s">
        <v>28690</v>
      </c>
      <c r="B8236" s="239" t="s">
        <v>16838</v>
      </c>
      <c r="C8236" s="71" t="s">
        <v>18219</v>
      </c>
    </row>
    <row r="8237">
      <c r="A8237" s="130" t="s">
        <v>28692</v>
      </c>
      <c r="B8237" s="239" t="s">
        <v>16582</v>
      </c>
      <c r="C8237" s="71" t="s">
        <v>16817</v>
      </c>
    </row>
    <row r="8238">
      <c r="A8238" s="130" t="s">
        <v>28694</v>
      </c>
      <c r="B8238" s="239" t="s">
        <v>16838</v>
      </c>
      <c r="C8238" s="71" t="s">
        <v>17104</v>
      </c>
    </row>
    <row r="8239">
      <c r="A8239" s="130" t="s">
        <v>28696</v>
      </c>
      <c r="B8239" s="239" t="s">
        <v>187</v>
      </c>
      <c r="C8239" s="71" t="s">
        <v>16969</v>
      </c>
    </row>
    <row r="8240">
      <c r="A8240" s="130" t="s">
        <v>28698</v>
      </c>
      <c r="B8240" s="239" t="s">
        <v>16582</v>
      </c>
      <c r="C8240" s="71" t="s">
        <v>16817</v>
      </c>
    </row>
    <row r="8241">
      <c r="A8241" s="130" t="s">
        <v>28700</v>
      </c>
      <c r="B8241" s="239" t="s">
        <v>187</v>
      </c>
      <c r="C8241" s="71" t="s">
        <v>16846</v>
      </c>
    </row>
    <row r="8242">
      <c r="A8242" s="130" t="s">
        <v>28702</v>
      </c>
      <c r="B8242" s="239" t="s">
        <v>175</v>
      </c>
      <c r="C8242" s="71" t="s">
        <v>16957</v>
      </c>
    </row>
    <row r="8243">
      <c r="A8243" s="130" t="s">
        <v>28704</v>
      </c>
      <c r="B8243" s="239" t="s">
        <v>16582</v>
      </c>
      <c r="C8243" s="71" t="s">
        <v>16930</v>
      </c>
    </row>
    <row r="8244">
      <c r="A8244" s="130" t="s">
        <v>28706</v>
      </c>
      <c r="B8244" s="71"/>
      <c r="C8244" s="71"/>
    </row>
    <row r="8245">
      <c r="A8245" s="130" t="s">
        <v>28708</v>
      </c>
      <c r="B8245" s="239" t="s">
        <v>16838</v>
      </c>
      <c r="C8245" s="71" t="s">
        <v>17016</v>
      </c>
    </row>
    <row r="8246">
      <c r="A8246" s="130" t="s">
        <v>28710</v>
      </c>
      <c r="B8246" s="239" t="s">
        <v>175</v>
      </c>
      <c r="C8246" s="71" t="s">
        <v>16972</v>
      </c>
    </row>
    <row r="8247">
      <c r="A8247" s="130" t="s">
        <v>28712</v>
      </c>
      <c r="B8247" s="239" t="s">
        <v>187</v>
      </c>
      <c r="C8247" s="71" t="s">
        <v>16846</v>
      </c>
    </row>
    <row r="8248">
      <c r="A8248" s="234" t="s">
        <v>28714</v>
      </c>
      <c r="B8248" s="239" t="s">
        <v>17112</v>
      </c>
      <c r="C8248" s="71" t="s">
        <v>17111</v>
      </c>
    </row>
    <row r="8249">
      <c r="A8249" s="234" t="s">
        <v>28714</v>
      </c>
      <c r="B8249" s="239" t="s">
        <v>17111</v>
      </c>
      <c r="C8249" s="130" t="s">
        <v>17112</v>
      </c>
    </row>
    <row r="8250">
      <c r="A8250" s="130" t="s">
        <v>28716</v>
      </c>
      <c r="B8250" s="239" t="s">
        <v>187</v>
      </c>
      <c r="C8250" s="71" t="s">
        <v>16858</v>
      </c>
    </row>
    <row r="8251">
      <c r="A8251" s="234" t="s">
        <v>28718</v>
      </c>
      <c r="B8251" s="239" t="s">
        <v>187</v>
      </c>
      <c r="C8251" s="71" t="s">
        <v>16969</v>
      </c>
    </row>
    <row r="8252">
      <c r="A8252" s="234" t="s">
        <v>28718</v>
      </c>
      <c r="B8252" s="239" t="s">
        <v>16969</v>
      </c>
      <c r="C8252" s="130" t="s">
        <v>187</v>
      </c>
    </row>
    <row r="8253">
      <c r="A8253" s="130" t="s">
        <v>28720</v>
      </c>
      <c r="B8253" s="239" t="s">
        <v>187</v>
      </c>
      <c r="C8253" s="71" t="s">
        <v>16846</v>
      </c>
    </row>
    <row r="8254">
      <c r="A8254" s="130" t="s">
        <v>28722</v>
      </c>
      <c r="B8254" s="239" t="s">
        <v>187</v>
      </c>
      <c r="C8254" s="71" t="s">
        <v>16846</v>
      </c>
    </row>
    <row r="8255">
      <c r="A8255" s="234" t="s">
        <v>28724</v>
      </c>
      <c r="B8255" s="239" t="s">
        <v>16582</v>
      </c>
      <c r="C8255" s="71" t="s">
        <v>17435</v>
      </c>
    </row>
    <row r="8256">
      <c r="A8256" s="234" t="s">
        <v>28724</v>
      </c>
      <c r="B8256" s="239" t="s">
        <v>17435</v>
      </c>
      <c r="C8256" s="130" t="s">
        <v>16582</v>
      </c>
    </row>
    <row r="8257">
      <c r="A8257" s="130" t="s">
        <v>28726</v>
      </c>
      <c r="B8257" s="239" t="s">
        <v>187</v>
      </c>
      <c r="C8257" s="71" t="s">
        <v>17509</v>
      </c>
    </row>
    <row r="8258">
      <c r="A8258" s="130" t="s">
        <v>28728</v>
      </c>
      <c r="B8258" s="239" t="s">
        <v>158</v>
      </c>
      <c r="C8258" s="71" t="s">
        <v>16870</v>
      </c>
    </row>
    <row r="8259">
      <c r="A8259" s="130" t="s">
        <v>28730</v>
      </c>
      <c r="B8259" s="239" t="s">
        <v>16582</v>
      </c>
      <c r="C8259" s="71" t="s">
        <v>16817</v>
      </c>
    </row>
    <row r="8260">
      <c r="A8260" s="130" t="s">
        <v>28732</v>
      </c>
      <c r="B8260" s="239" t="s">
        <v>16838</v>
      </c>
      <c r="C8260" s="71" t="s">
        <v>17104</v>
      </c>
    </row>
    <row r="8261">
      <c r="A8261" s="130" t="s">
        <v>28734</v>
      </c>
      <c r="B8261" s="239" t="s">
        <v>175</v>
      </c>
      <c r="C8261" s="71" t="s">
        <v>17480</v>
      </c>
    </row>
    <row r="8262">
      <c r="A8262" s="130" t="s">
        <v>28736</v>
      </c>
      <c r="B8262" s="239" t="s">
        <v>187</v>
      </c>
      <c r="C8262" s="71" t="s">
        <v>16846</v>
      </c>
    </row>
    <row r="8263">
      <c r="A8263" s="130" t="s">
        <v>28738</v>
      </c>
      <c r="B8263" s="239" t="s">
        <v>187</v>
      </c>
      <c r="C8263" s="71" t="s">
        <v>16846</v>
      </c>
    </row>
    <row r="8264">
      <c r="A8264" s="130" t="s">
        <v>28740</v>
      </c>
      <c r="B8264" s="239" t="s">
        <v>175</v>
      </c>
      <c r="C8264" s="71" t="s">
        <v>17948</v>
      </c>
    </row>
    <row r="8265">
      <c r="A8265" s="130" t="s">
        <v>28742</v>
      </c>
      <c r="B8265" s="239" t="s">
        <v>187</v>
      </c>
      <c r="C8265" s="71" t="s">
        <v>16858</v>
      </c>
    </row>
    <row r="8266">
      <c r="A8266" s="130" t="s">
        <v>28744</v>
      </c>
      <c r="B8266" s="239" t="s">
        <v>187</v>
      </c>
      <c r="C8266" s="71" t="s">
        <v>16969</v>
      </c>
    </row>
    <row r="8267">
      <c r="A8267" s="130" t="s">
        <v>28746</v>
      </c>
      <c r="B8267" s="239" t="s">
        <v>187</v>
      </c>
      <c r="C8267" s="71" t="s">
        <v>16969</v>
      </c>
    </row>
    <row r="8268">
      <c r="A8268" s="130" t="s">
        <v>28748</v>
      </c>
      <c r="B8268" s="239" t="s">
        <v>16582</v>
      </c>
      <c r="C8268" s="71" t="s">
        <v>16930</v>
      </c>
    </row>
    <row r="8269">
      <c r="A8269" s="234" t="s">
        <v>28750</v>
      </c>
      <c r="B8269" s="239" t="s">
        <v>187</v>
      </c>
      <c r="C8269" s="71" t="s">
        <v>16846</v>
      </c>
    </row>
    <row r="8270">
      <c r="A8270" s="234" t="s">
        <v>28750</v>
      </c>
      <c r="B8270" s="239" t="s">
        <v>16846</v>
      </c>
      <c r="C8270" s="130" t="s">
        <v>187</v>
      </c>
    </row>
    <row r="8271">
      <c r="A8271" s="130" t="s">
        <v>28752</v>
      </c>
      <c r="B8271" s="239" t="s">
        <v>16582</v>
      </c>
      <c r="C8271" s="71" t="s">
        <v>16930</v>
      </c>
    </row>
    <row r="8272">
      <c r="A8272" s="130" t="s">
        <v>28754</v>
      </c>
      <c r="B8272" s="239" t="s">
        <v>187</v>
      </c>
      <c r="C8272" s="71" t="s">
        <v>17564</v>
      </c>
    </row>
    <row r="8273">
      <c r="A8273" s="130" t="s">
        <v>28756</v>
      </c>
      <c r="B8273" s="239" t="s">
        <v>187</v>
      </c>
      <c r="C8273" s="71" t="s">
        <v>16846</v>
      </c>
    </row>
    <row r="8274">
      <c r="A8274" s="130" t="s">
        <v>28758</v>
      </c>
      <c r="B8274" s="239" t="s">
        <v>175</v>
      </c>
      <c r="C8274" s="71" t="s">
        <v>17757</v>
      </c>
    </row>
    <row r="8275">
      <c r="A8275" s="130" t="s">
        <v>28760</v>
      </c>
      <c r="B8275" s="239" t="s">
        <v>187</v>
      </c>
      <c r="C8275" s="71" t="s">
        <v>16846</v>
      </c>
    </row>
    <row r="8276">
      <c r="A8276" s="130" t="s">
        <v>28762</v>
      </c>
      <c r="B8276" s="239" t="s">
        <v>187</v>
      </c>
      <c r="C8276" s="71" t="s">
        <v>16846</v>
      </c>
    </row>
    <row r="8277">
      <c r="A8277" s="130" t="s">
        <v>28764</v>
      </c>
      <c r="B8277" s="239" t="s">
        <v>16582</v>
      </c>
      <c r="C8277" s="71" t="s">
        <v>16828</v>
      </c>
    </row>
    <row r="8278">
      <c r="A8278" s="130" t="s">
        <v>28766</v>
      </c>
      <c r="B8278" s="239" t="s">
        <v>16582</v>
      </c>
      <c r="C8278" s="71" t="s">
        <v>16930</v>
      </c>
    </row>
    <row r="8279">
      <c r="A8279" s="234" t="s">
        <v>28768</v>
      </c>
      <c r="B8279" s="239" t="s">
        <v>187</v>
      </c>
      <c r="C8279" s="71" t="s">
        <v>16846</v>
      </c>
    </row>
    <row r="8280">
      <c r="A8280" s="234" t="s">
        <v>28768</v>
      </c>
      <c r="B8280" s="239" t="s">
        <v>16846</v>
      </c>
      <c r="C8280" s="130" t="s">
        <v>187</v>
      </c>
    </row>
    <row r="8281">
      <c r="A8281" s="130" t="s">
        <v>28770</v>
      </c>
      <c r="B8281" s="239" t="s">
        <v>16919</v>
      </c>
      <c r="C8281" s="71" t="s">
        <v>110</v>
      </c>
    </row>
    <row r="8282">
      <c r="A8282" s="130" t="s">
        <v>28772</v>
      </c>
      <c r="B8282" s="239" t="s">
        <v>175</v>
      </c>
      <c r="C8282" s="71" t="s">
        <v>19139</v>
      </c>
    </row>
    <row r="8283">
      <c r="A8283" s="130" t="s">
        <v>28774</v>
      </c>
      <c r="B8283" s="239" t="s">
        <v>187</v>
      </c>
      <c r="C8283" s="71" t="s">
        <v>17122</v>
      </c>
    </row>
    <row r="8284">
      <c r="A8284" s="130" t="s">
        <v>28776</v>
      </c>
      <c r="B8284" s="239" t="s">
        <v>16582</v>
      </c>
      <c r="C8284" s="71" t="s">
        <v>16930</v>
      </c>
    </row>
    <row r="8285">
      <c r="A8285" s="130" t="s">
        <v>28778</v>
      </c>
      <c r="B8285" s="239" t="s">
        <v>187</v>
      </c>
      <c r="C8285" s="71" t="s">
        <v>16846</v>
      </c>
    </row>
    <row r="8286">
      <c r="A8286" s="130" t="s">
        <v>28780</v>
      </c>
      <c r="B8286" s="239" t="s">
        <v>16582</v>
      </c>
      <c r="C8286" s="71" t="s">
        <v>16930</v>
      </c>
    </row>
    <row r="8287">
      <c r="A8287" s="130" t="s">
        <v>28782</v>
      </c>
      <c r="B8287" s="239" t="s">
        <v>187</v>
      </c>
      <c r="C8287" s="71" t="s">
        <v>16992</v>
      </c>
    </row>
    <row r="8288">
      <c r="A8288" s="130" t="s">
        <v>28784</v>
      </c>
      <c r="B8288" s="239" t="s">
        <v>175</v>
      </c>
      <c r="C8288" s="71" t="s">
        <v>16854</v>
      </c>
    </row>
    <row r="8289">
      <c r="A8289" s="130" t="s">
        <v>28786</v>
      </c>
      <c r="B8289" s="239" t="s">
        <v>175</v>
      </c>
      <c r="C8289" s="71" t="s">
        <v>16972</v>
      </c>
    </row>
    <row r="8290">
      <c r="A8290" s="130" t="s">
        <v>28788</v>
      </c>
      <c r="B8290" s="239" t="s">
        <v>175</v>
      </c>
      <c r="C8290" s="71" t="s">
        <v>16942</v>
      </c>
    </row>
    <row r="8291">
      <c r="A8291" s="130" t="s">
        <v>28790</v>
      </c>
      <c r="B8291" s="239" t="s">
        <v>16838</v>
      </c>
      <c r="C8291" s="71" t="s">
        <v>17016</v>
      </c>
    </row>
    <row r="8292">
      <c r="A8292" s="130" t="s">
        <v>28793</v>
      </c>
      <c r="B8292" s="71"/>
      <c r="C8292" s="71"/>
    </row>
    <row r="8293">
      <c r="A8293" s="130" t="s">
        <v>28795</v>
      </c>
      <c r="B8293" s="239" t="s">
        <v>187</v>
      </c>
      <c r="C8293" s="71" t="s">
        <v>16846</v>
      </c>
    </row>
    <row r="8294">
      <c r="A8294" s="130" t="s">
        <v>28797</v>
      </c>
      <c r="B8294" s="239" t="s">
        <v>175</v>
      </c>
      <c r="C8294" s="71" t="s">
        <v>17457</v>
      </c>
    </row>
    <row r="8295">
      <c r="A8295" s="130" t="s">
        <v>28799</v>
      </c>
      <c r="B8295" s="239" t="s">
        <v>187</v>
      </c>
      <c r="C8295" s="71" t="s">
        <v>16846</v>
      </c>
    </row>
    <row r="8296">
      <c r="A8296" s="130" t="s">
        <v>28801</v>
      </c>
      <c r="B8296" s="239" t="s">
        <v>187</v>
      </c>
      <c r="C8296" s="71" t="s">
        <v>16846</v>
      </c>
    </row>
    <row r="8297">
      <c r="A8297" s="130" t="s">
        <v>28803</v>
      </c>
      <c r="B8297" s="239" t="s">
        <v>16582</v>
      </c>
      <c r="C8297" s="71" t="s">
        <v>17435</v>
      </c>
    </row>
    <row r="8298">
      <c r="A8298" s="130" t="s">
        <v>28805</v>
      </c>
      <c r="B8298" s="239" t="s">
        <v>16838</v>
      </c>
      <c r="C8298" s="71" t="s">
        <v>18219</v>
      </c>
    </row>
    <row r="8299">
      <c r="A8299" s="130" t="s">
        <v>28807</v>
      </c>
      <c r="B8299" s="239" t="s">
        <v>175</v>
      </c>
      <c r="C8299" s="71" t="s">
        <v>17394</v>
      </c>
    </row>
    <row r="8300">
      <c r="A8300" s="130" t="s">
        <v>28809</v>
      </c>
      <c r="B8300" s="239" t="s">
        <v>16582</v>
      </c>
      <c r="C8300" s="71" t="s">
        <v>16930</v>
      </c>
    </row>
    <row r="8301">
      <c r="A8301" s="130" t="s">
        <v>28811</v>
      </c>
      <c r="B8301" s="239" t="s">
        <v>16910</v>
      </c>
      <c r="C8301" s="71" t="s">
        <v>17662</v>
      </c>
    </row>
    <row r="8302">
      <c r="A8302" s="130" t="s">
        <v>28813</v>
      </c>
      <c r="B8302" s="239" t="s">
        <v>187</v>
      </c>
      <c r="C8302" s="71" t="s">
        <v>16846</v>
      </c>
    </row>
    <row r="8303">
      <c r="A8303" s="130" t="s">
        <v>28815</v>
      </c>
      <c r="B8303" s="239" t="s">
        <v>16582</v>
      </c>
      <c r="C8303" s="71" t="s">
        <v>16583</v>
      </c>
    </row>
    <row r="8304">
      <c r="A8304" s="130" t="s">
        <v>28817</v>
      </c>
      <c r="B8304" s="239" t="s">
        <v>16838</v>
      </c>
      <c r="C8304" s="71" t="s">
        <v>17016</v>
      </c>
    </row>
    <row r="8305">
      <c r="A8305" s="130" t="s">
        <v>28819</v>
      </c>
      <c r="B8305" s="239" t="s">
        <v>187</v>
      </c>
      <c r="C8305" s="71" t="s">
        <v>17122</v>
      </c>
    </row>
    <row r="8306">
      <c r="A8306" s="130" t="s">
        <v>28821</v>
      </c>
      <c r="B8306" s="239" t="s">
        <v>16838</v>
      </c>
      <c r="C8306" s="71" t="s">
        <v>18219</v>
      </c>
    </row>
    <row r="8307">
      <c r="A8307" s="130" t="s">
        <v>28823</v>
      </c>
      <c r="B8307" s="239" t="s">
        <v>16838</v>
      </c>
      <c r="C8307" s="71" t="s">
        <v>17016</v>
      </c>
    </row>
    <row r="8308">
      <c r="A8308" s="130" t="s">
        <v>28825</v>
      </c>
      <c r="B8308" s="239" t="s">
        <v>187</v>
      </c>
      <c r="C8308" s="71" t="s">
        <v>16851</v>
      </c>
    </row>
    <row r="8309">
      <c r="A8309" s="130" t="s">
        <v>28827</v>
      </c>
      <c r="B8309" s="239" t="s">
        <v>187</v>
      </c>
      <c r="C8309" s="71" t="s">
        <v>16851</v>
      </c>
    </row>
    <row r="8310">
      <c r="A8310" s="130" t="s">
        <v>28829</v>
      </c>
      <c r="B8310" s="239" t="s">
        <v>175</v>
      </c>
      <c r="C8310" s="71" t="s">
        <v>17350</v>
      </c>
    </row>
    <row r="8311">
      <c r="A8311" s="130" t="s">
        <v>28831</v>
      </c>
      <c r="B8311" s="239" t="s">
        <v>187</v>
      </c>
      <c r="C8311" s="71" t="s">
        <v>16969</v>
      </c>
    </row>
    <row r="8312">
      <c r="A8312" s="130" t="s">
        <v>28833</v>
      </c>
      <c r="B8312" s="239" t="s">
        <v>187</v>
      </c>
      <c r="C8312" s="71" t="s">
        <v>17509</v>
      </c>
    </row>
    <row r="8313">
      <c r="A8313" s="130" t="s">
        <v>28835</v>
      </c>
      <c r="B8313" s="239" t="s">
        <v>187</v>
      </c>
      <c r="C8313" s="71" t="s">
        <v>16969</v>
      </c>
    </row>
    <row r="8314">
      <c r="A8314" s="130" t="s">
        <v>28837</v>
      </c>
      <c r="B8314" s="239" t="s">
        <v>187</v>
      </c>
      <c r="C8314" s="71" t="s">
        <v>16846</v>
      </c>
    </row>
    <row r="8315">
      <c r="A8315" s="130" t="s">
        <v>28839</v>
      </c>
      <c r="B8315" s="239" t="s">
        <v>187</v>
      </c>
      <c r="C8315" s="71" t="s">
        <v>18633</v>
      </c>
    </row>
    <row r="8316">
      <c r="A8316" s="130" t="s">
        <v>28841</v>
      </c>
      <c r="B8316" s="239" t="s">
        <v>16582</v>
      </c>
      <c r="C8316" s="71" t="s">
        <v>16817</v>
      </c>
    </row>
    <row r="8317">
      <c r="A8317" s="130" t="s">
        <v>28843</v>
      </c>
      <c r="B8317" s="239" t="s">
        <v>16582</v>
      </c>
      <c r="C8317" s="71" t="s">
        <v>16930</v>
      </c>
    </row>
    <row r="8318">
      <c r="A8318" s="130" t="s">
        <v>28845</v>
      </c>
      <c r="B8318" s="239" t="s">
        <v>187</v>
      </c>
      <c r="C8318" s="71" t="s">
        <v>16992</v>
      </c>
    </row>
    <row r="8319">
      <c r="A8319" s="130" t="s">
        <v>28847</v>
      </c>
      <c r="B8319" s="239" t="s">
        <v>175</v>
      </c>
      <c r="C8319" s="71" t="s">
        <v>17717</v>
      </c>
    </row>
    <row r="8320">
      <c r="A8320" s="130" t="s">
        <v>28849</v>
      </c>
      <c r="B8320" s="239" t="s">
        <v>187</v>
      </c>
      <c r="C8320" s="71" t="s">
        <v>16846</v>
      </c>
    </row>
    <row r="8321">
      <c r="A8321" s="130" t="s">
        <v>28851</v>
      </c>
      <c r="B8321" s="239" t="s">
        <v>187</v>
      </c>
      <c r="C8321" s="71" t="s">
        <v>17509</v>
      </c>
    </row>
    <row r="8322">
      <c r="A8322" s="130" t="s">
        <v>28853</v>
      </c>
      <c r="B8322" s="239" t="s">
        <v>175</v>
      </c>
      <c r="C8322" s="71" t="s">
        <v>16854</v>
      </c>
    </row>
    <row r="8323">
      <c r="A8323" s="234" t="s">
        <v>28855</v>
      </c>
      <c r="B8323" s="239" t="s">
        <v>175</v>
      </c>
      <c r="C8323" s="71" t="s">
        <v>17812</v>
      </c>
    </row>
    <row r="8324">
      <c r="A8324" s="234" t="s">
        <v>28855</v>
      </c>
      <c r="B8324" s="239" t="s">
        <v>17812</v>
      </c>
      <c r="C8324" s="130" t="s">
        <v>175</v>
      </c>
    </row>
    <row r="8325">
      <c r="A8325" s="130" t="s">
        <v>28857</v>
      </c>
      <c r="B8325" s="71"/>
      <c r="C8325" s="71"/>
    </row>
    <row r="8326">
      <c r="A8326" s="130" t="s">
        <v>28859</v>
      </c>
      <c r="B8326" s="71"/>
      <c r="C8326" s="71"/>
    </row>
    <row r="8327">
      <c r="A8327" s="130" t="s">
        <v>28861</v>
      </c>
      <c r="B8327" s="239" t="s">
        <v>16582</v>
      </c>
      <c r="C8327" s="71" t="s">
        <v>16930</v>
      </c>
    </row>
    <row r="8328">
      <c r="A8328" s="130" t="s">
        <v>28863</v>
      </c>
      <c r="B8328" s="239" t="s">
        <v>187</v>
      </c>
      <c r="C8328" s="71" t="s">
        <v>16846</v>
      </c>
    </row>
    <row r="8329">
      <c r="A8329" s="130" t="s">
        <v>28865</v>
      </c>
      <c r="B8329" s="239" t="s">
        <v>169</v>
      </c>
      <c r="C8329" s="71" t="s">
        <v>17509</v>
      </c>
    </row>
    <row r="8330">
      <c r="A8330" s="130" t="s">
        <v>28867</v>
      </c>
      <c r="B8330" s="239" t="s">
        <v>187</v>
      </c>
      <c r="C8330" s="71" t="s">
        <v>16969</v>
      </c>
    </row>
    <row r="8331">
      <c r="A8331" s="130" t="s">
        <v>28869</v>
      </c>
      <c r="B8331" s="239" t="s">
        <v>187</v>
      </c>
      <c r="C8331" s="71" t="s">
        <v>16846</v>
      </c>
    </row>
    <row r="8332">
      <c r="A8332" s="130" t="s">
        <v>28871</v>
      </c>
      <c r="B8332" s="239" t="s">
        <v>187</v>
      </c>
      <c r="C8332" s="71" t="s">
        <v>16846</v>
      </c>
    </row>
    <row r="8333">
      <c r="A8333" s="130" t="s">
        <v>28873</v>
      </c>
      <c r="B8333" s="239" t="s">
        <v>187</v>
      </c>
      <c r="C8333" s="71" t="s">
        <v>17552</v>
      </c>
    </row>
    <row r="8334">
      <c r="A8334" s="130" t="s">
        <v>28875</v>
      </c>
      <c r="B8334" s="71"/>
      <c r="C8334" s="71"/>
    </row>
    <row r="8335">
      <c r="A8335" s="130" t="s">
        <v>28877</v>
      </c>
      <c r="B8335" s="239" t="s">
        <v>16838</v>
      </c>
      <c r="C8335" s="71" t="s">
        <v>17019</v>
      </c>
    </row>
    <row r="8336">
      <c r="A8336" s="130" t="s">
        <v>28879</v>
      </c>
      <c r="B8336" s="239" t="s">
        <v>187</v>
      </c>
      <c r="C8336" s="71" t="s">
        <v>16858</v>
      </c>
    </row>
    <row r="8337">
      <c r="A8337" s="130" t="s">
        <v>28881</v>
      </c>
      <c r="B8337" s="239" t="s">
        <v>175</v>
      </c>
      <c r="C8337" s="71" t="s">
        <v>17717</v>
      </c>
    </row>
    <row r="8338">
      <c r="A8338" s="130" t="s">
        <v>28883</v>
      </c>
      <c r="B8338" s="239" t="s">
        <v>16582</v>
      </c>
      <c r="C8338" s="71" t="s">
        <v>16930</v>
      </c>
    </row>
    <row r="8339">
      <c r="A8339" s="234" t="s">
        <v>28885</v>
      </c>
      <c r="B8339" s="239" t="s">
        <v>187</v>
      </c>
      <c r="C8339" s="71" t="s">
        <v>16846</v>
      </c>
    </row>
    <row r="8340">
      <c r="A8340" s="234" t="s">
        <v>28885</v>
      </c>
      <c r="B8340" s="239" t="s">
        <v>16846</v>
      </c>
      <c r="C8340" s="130" t="s">
        <v>187</v>
      </c>
    </row>
    <row r="8341">
      <c r="A8341" s="130" t="s">
        <v>28887</v>
      </c>
      <c r="B8341" s="239" t="s">
        <v>187</v>
      </c>
      <c r="C8341" s="71" t="s">
        <v>16846</v>
      </c>
    </row>
    <row r="8342">
      <c r="A8342" s="130" t="s">
        <v>28889</v>
      </c>
      <c r="B8342" s="239" t="s">
        <v>158</v>
      </c>
      <c r="C8342" s="71" t="s">
        <v>18063</v>
      </c>
    </row>
    <row r="8343">
      <c r="A8343" s="130" t="s">
        <v>28891</v>
      </c>
      <c r="B8343" s="239" t="s">
        <v>187</v>
      </c>
      <c r="C8343" s="71" t="s">
        <v>16846</v>
      </c>
    </row>
    <row r="8344">
      <c r="A8344" s="130" t="s">
        <v>28893</v>
      </c>
      <c r="B8344" s="239" t="s">
        <v>16926</v>
      </c>
      <c r="C8344" s="71" t="s">
        <v>16927</v>
      </c>
    </row>
    <row r="8345">
      <c r="A8345" s="130" t="s">
        <v>28895</v>
      </c>
      <c r="B8345" s="239" t="s">
        <v>16910</v>
      </c>
      <c r="C8345" s="71" t="s">
        <v>16911</v>
      </c>
    </row>
    <row r="8346">
      <c r="A8346" s="130" t="s">
        <v>28897</v>
      </c>
      <c r="B8346" s="71"/>
      <c r="C8346" s="71"/>
    </row>
    <row r="8347">
      <c r="A8347" s="130" t="s">
        <v>28899</v>
      </c>
      <c r="B8347" s="239" t="s">
        <v>16838</v>
      </c>
      <c r="C8347" s="71" t="s">
        <v>17019</v>
      </c>
    </row>
    <row r="8348">
      <c r="A8348" s="130" t="s">
        <v>28901</v>
      </c>
      <c r="B8348" s="239" t="s">
        <v>16582</v>
      </c>
      <c r="C8348" s="71" t="s">
        <v>16930</v>
      </c>
    </row>
    <row r="8349">
      <c r="A8349" s="130" t="s">
        <v>28903</v>
      </c>
      <c r="B8349" s="239" t="s">
        <v>187</v>
      </c>
      <c r="C8349" s="71" t="s">
        <v>18529</v>
      </c>
    </row>
    <row r="8350">
      <c r="A8350" s="130" t="s">
        <v>28905</v>
      </c>
      <c r="B8350" s="239" t="s">
        <v>175</v>
      </c>
      <c r="C8350" s="71" t="s">
        <v>17084</v>
      </c>
    </row>
    <row r="8351">
      <c r="A8351" s="130" t="s">
        <v>28907</v>
      </c>
      <c r="B8351" s="239" t="s">
        <v>187</v>
      </c>
      <c r="C8351" s="71" t="s">
        <v>16969</v>
      </c>
    </row>
    <row r="8352">
      <c r="A8352" s="234" t="s">
        <v>28909</v>
      </c>
      <c r="B8352" s="239" t="s">
        <v>16582</v>
      </c>
      <c r="C8352" s="71" t="s">
        <v>16899</v>
      </c>
    </row>
    <row r="8353">
      <c r="A8353" s="234" t="s">
        <v>28909</v>
      </c>
      <c r="B8353" s="239" t="s">
        <v>16899</v>
      </c>
      <c r="C8353" s="130" t="s">
        <v>16582</v>
      </c>
    </row>
    <row r="8354">
      <c r="A8354" s="130" t="s">
        <v>28911</v>
      </c>
      <c r="B8354" s="239" t="s">
        <v>16838</v>
      </c>
      <c r="C8354" s="71" t="s">
        <v>17202</v>
      </c>
    </row>
    <row r="8355">
      <c r="A8355" s="130" t="s">
        <v>28913</v>
      </c>
      <c r="B8355" s="239" t="s">
        <v>187</v>
      </c>
      <c r="C8355" s="71" t="s">
        <v>16992</v>
      </c>
    </row>
    <row r="8356">
      <c r="A8356" s="130" t="s">
        <v>28915</v>
      </c>
      <c r="B8356" s="239" t="s">
        <v>187</v>
      </c>
      <c r="C8356" s="71" t="s">
        <v>16846</v>
      </c>
    </row>
    <row r="8357">
      <c r="A8357" s="130" t="s">
        <v>28917</v>
      </c>
      <c r="B8357" s="239" t="s">
        <v>187</v>
      </c>
      <c r="C8357" s="71" t="s">
        <v>16846</v>
      </c>
    </row>
    <row r="8358">
      <c r="A8358" s="130" t="s">
        <v>28919</v>
      </c>
      <c r="B8358" s="239" t="s">
        <v>169</v>
      </c>
      <c r="C8358" s="71" t="s">
        <v>18732</v>
      </c>
    </row>
    <row r="8359">
      <c r="A8359" s="130" t="s">
        <v>28921</v>
      </c>
      <c r="B8359" s="239" t="s">
        <v>16926</v>
      </c>
      <c r="C8359" s="71" t="s">
        <v>16957</v>
      </c>
    </row>
    <row r="8360">
      <c r="A8360" s="130" t="s">
        <v>28923</v>
      </c>
      <c r="B8360" s="239" t="s">
        <v>175</v>
      </c>
      <c r="C8360" s="71" t="s">
        <v>18723</v>
      </c>
    </row>
    <row r="8361">
      <c r="A8361" s="234" t="s">
        <v>28925</v>
      </c>
      <c r="B8361" s="239" t="s">
        <v>187</v>
      </c>
      <c r="C8361" s="71" t="s">
        <v>16846</v>
      </c>
    </row>
    <row r="8362">
      <c r="A8362" s="234" t="s">
        <v>28925</v>
      </c>
      <c r="B8362" s="239" t="s">
        <v>16846</v>
      </c>
      <c r="C8362" s="130" t="s">
        <v>187</v>
      </c>
    </row>
    <row r="8363">
      <c r="A8363" s="130" t="s">
        <v>28927</v>
      </c>
      <c r="B8363" s="239" t="s">
        <v>175</v>
      </c>
      <c r="C8363" s="71" t="s">
        <v>17812</v>
      </c>
    </row>
    <row r="8364">
      <c r="A8364" s="130" t="s">
        <v>28929</v>
      </c>
      <c r="B8364" s="239" t="s">
        <v>16910</v>
      </c>
      <c r="C8364" s="71" t="s">
        <v>16911</v>
      </c>
    </row>
    <row r="8365">
      <c r="A8365" s="130" t="s">
        <v>28931</v>
      </c>
      <c r="B8365" s="239" t="s">
        <v>16838</v>
      </c>
      <c r="C8365" s="71" t="s">
        <v>18219</v>
      </c>
    </row>
    <row r="8366">
      <c r="A8366" s="130" t="s">
        <v>28933</v>
      </c>
      <c r="B8366" s="239" t="s">
        <v>175</v>
      </c>
      <c r="C8366" s="71" t="s">
        <v>17218</v>
      </c>
    </row>
    <row r="8367">
      <c r="A8367" s="130" t="s">
        <v>28935</v>
      </c>
      <c r="B8367" s="239" t="s">
        <v>169</v>
      </c>
      <c r="C8367" s="71" t="s">
        <v>16899</v>
      </c>
    </row>
    <row r="8368">
      <c r="A8368" s="130" t="s">
        <v>28937</v>
      </c>
      <c r="B8368" s="239" t="s">
        <v>187</v>
      </c>
      <c r="C8368" s="71" t="s">
        <v>16858</v>
      </c>
    </row>
    <row r="8369">
      <c r="A8369" s="130" t="s">
        <v>28939</v>
      </c>
      <c r="B8369" s="239" t="s">
        <v>16919</v>
      </c>
      <c r="C8369" s="71" t="s">
        <v>16920</v>
      </c>
    </row>
    <row r="8370">
      <c r="A8370" s="130" t="s">
        <v>28941</v>
      </c>
      <c r="B8370" s="239" t="s">
        <v>187</v>
      </c>
      <c r="C8370" s="71" t="s">
        <v>17564</v>
      </c>
    </row>
    <row r="8371">
      <c r="A8371" s="130" t="s">
        <v>28943</v>
      </c>
      <c r="B8371" s="239" t="s">
        <v>175</v>
      </c>
      <c r="C8371" s="71" t="s">
        <v>17391</v>
      </c>
    </row>
    <row r="8372">
      <c r="A8372" s="130" t="s">
        <v>28945</v>
      </c>
      <c r="B8372" s="239" t="s">
        <v>16582</v>
      </c>
      <c r="C8372" s="71" t="s">
        <v>16828</v>
      </c>
    </row>
    <row r="8373">
      <c r="A8373" s="130" t="s">
        <v>28947</v>
      </c>
      <c r="B8373" s="239" t="s">
        <v>16582</v>
      </c>
      <c r="C8373" s="71" t="s">
        <v>17339</v>
      </c>
    </row>
    <row r="8374">
      <c r="A8374" s="130" t="s">
        <v>28949</v>
      </c>
      <c r="B8374" s="239" t="s">
        <v>16582</v>
      </c>
      <c r="C8374" s="71" t="s">
        <v>16930</v>
      </c>
    </row>
    <row r="8375">
      <c r="A8375" s="130" t="s">
        <v>28951</v>
      </c>
      <c r="B8375" s="239" t="s">
        <v>158</v>
      </c>
      <c r="C8375" s="71" t="s">
        <v>16864</v>
      </c>
    </row>
    <row r="8376">
      <c r="A8376" s="130" t="s">
        <v>28953</v>
      </c>
      <c r="B8376" s="239" t="s">
        <v>187</v>
      </c>
      <c r="C8376" s="71" t="s">
        <v>17559</v>
      </c>
    </row>
    <row r="8377">
      <c r="A8377" s="130" t="s">
        <v>28955</v>
      </c>
      <c r="B8377" s="239" t="s">
        <v>17112</v>
      </c>
      <c r="C8377" s="71" t="s">
        <v>17111</v>
      </c>
    </row>
    <row r="8378">
      <c r="A8378" s="130" t="s">
        <v>28957</v>
      </c>
      <c r="B8378" s="239" t="s">
        <v>16582</v>
      </c>
      <c r="C8378" s="71" t="s">
        <v>16817</v>
      </c>
    </row>
    <row r="8379">
      <c r="A8379" s="130" t="s">
        <v>28958</v>
      </c>
      <c r="B8379" s="239" t="s">
        <v>187</v>
      </c>
      <c r="C8379" s="71" t="s">
        <v>16851</v>
      </c>
    </row>
    <row r="8380">
      <c r="A8380" s="130" t="s">
        <v>28960</v>
      </c>
      <c r="B8380" s="239" t="s">
        <v>17112</v>
      </c>
      <c r="C8380" s="71" t="s">
        <v>17111</v>
      </c>
    </row>
    <row r="8381">
      <c r="A8381" s="130" t="s">
        <v>28962</v>
      </c>
      <c r="B8381" s="239" t="s">
        <v>17629</v>
      </c>
      <c r="C8381" s="71" t="s">
        <v>17452</v>
      </c>
    </row>
    <row r="8382">
      <c r="A8382" s="130" t="s">
        <v>28964</v>
      </c>
      <c r="B8382" s="239" t="s">
        <v>187</v>
      </c>
      <c r="C8382" s="71" t="s">
        <v>16969</v>
      </c>
    </row>
    <row r="8383">
      <c r="A8383" s="130" t="s">
        <v>28966</v>
      </c>
      <c r="B8383" s="239" t="s">
        <v>187</v>
      </c>
      <c r="C8383" s="71" t="s">
        <v>16846</v>
      </c>
    </row>
    <row r="8384">
      <c r="A8384" s="130" t="s">
        <v>28968</v>
      </c>
      <c r="B8384" s="239" t="s">
        <v>17112</v>
      </c>
      <c r="C8384" s="71" t="s">
        <v>17111</v>
      </c>
    </row>
    <row r="8385">
      <c r="A8385" s="130" t="s">
        <v>28970</v>
      </c>
      <c r="B8385" s="239" t="s">
        <v>16838</v>
      </c>
      <c r="C8385" s="71" t="s">
        <v>18219</v>
      </c>
    </row>
    <row r="8386">
      <c r="A8386" s="130" t="s">
        <v>28972</v>
      </c>
      <c r="B8386" s="239" t="s">
        <v>16582</v>
      </c>
      <c r="C8386" s="71" t="s">
        <v>16930</v>
      </c>
    </row>
    <row r="8387">
      <c r="A8387" s="130" t="s">
        <v>28974</v>
      </c>
      <c r="B8387" s="239" t="s">
        <v>187</v>
      </c>
      <c r="C8387" s="71" t="s">
        <v>16846</v>
      </c>
    </row>
    <row r="8388">
      <c r="A8388" s="130" t="s">
        <v>28976</v>
      </c>
      <c r="B8388" s="239" t="s">
        <v>16838</v>
      </c>
      <c r="C8388" s="71" t="s">
        <v>18219</v>
      </c>
    </row>
    <row r="8389">
      <c r="A8389" s="130" t="s">
        <v>28978</v>
      </c>
      <c r="B8389" s="239" t="s">
        <v>187</v>
      </c>
      <c r="C8389" s="71" t="s">
        <v>16846</v>
      </c>
    </row>
    <row r="8390">
      <c r="A8390" s="130" t="s">
        <v>28980</v>
      </c>
      <c r="B8390" s="239" t="s">
        <v>169</v>
      </c>
      <c r="C8390" s="71" t="s">
        <v>17738</v>
      </c>
    </row>
    <row r="8391">
      <c r="A8391" s="130" t="s">
        <v>28982</v>
      </c>
      <c r="B8391" s="239" t="s">
        <v>16838</v>
      </c>
      <c r="C8391" s="71" t="s">
        <v>17202</v>
      </c>
    </row>
    <row r="8392">
      <c r="A8392" s="130" t="s">
        <v>28984</v>
      </c>
      <c r="B8392" s="239" t="s">
        <v>187</v>
      </c>
      <c r="C8392" s="71" t="s">
        <v>16846</v>
      </c>
    </row>
    <row r="8393">
      <c r="A8393" s="130" t="s">
        <v>28986</v>
      </c>
      <c r="B8393" s="239" t="s">
        <v>175</v>
      </c>
      <c r="C8393" s="71" t="s">
        <v>16972</v>
      </c>
    </row>
    <row r="8394">
      <c r="A8394" s="130" t="s">
        <v>28988</v>
      </c>
      <c r="B8394" s="239" t="s">
        <v>16838</v>
      </c>
      <c r="C8394" s="71" t="s">
        <v>17112</v>
      </c>
    </row>
    <row r="8395">
      <c r="A8395" s="130" t="s">
        <v>28990</v>
      </c>
      <c r="B8395" s="239" t="s">
        <v>187</v>
      </c>
      <c r="C8395" s="71" t="s">
        <v>16846</v>
      </c>
    </row>
    <row r="8396">
      <c r="A8396" s="130" t="s">
        <v>28992</v>
      </c>
      <c r="B8396" s="239" t="s">
        <v>16582</v>
      </c>
      <c r="C8396" s="71" t="s">
        <v>16899</v>
      </c>
    </row>
    <row r="8397">
      <c r="A8397" s="234" t="s">
        <v>28994</v>
      </c>
      <c r="B8397" s="239" t="s">
        <v>16838</v>
      </c>
      <c r="C8397" s="71" t="s">
        <v>17016</v>
      </c>
    </row>
    <row r="8398">
      <c r="A8398" s="234" t="s">
        <v>28994</v>
      </c>
      <c r="B8398" s="239" t="s">
        <v>17016</v>
      </c>
      <c r="C8398" s="130" t="s">
        <v>16838</v>
      </c>
    </row>
    <row r="8399">
      <c r="A8399" s="130" t="s">
        <v>28996</v>
      </c>
      <c r="B8399" s="239" t="s">
        <v>187</v>
      </c>
      <c r="C8399" s="71" t="s">
        <v>16846</v>
      </c>
    </row>
    <row r="8400">
      <c r="A8400" s="130" t="s">
        <v>28998</v>
      </c>
      <c r="B8400" s="239" t="s">
        <v>169</v>
      </c>
      <c r="C8400" s="71" t="s">
        <v>16899</v>
      </c>
    </row>
    <row r="8401">
      <c r="A8401" s="130" t="s">
        <v>29000</v>
      </c>
      <c r="B8401" s="239" t="s">
        <v>16582</v>
      </c>
      <c r="C8401" s="71" t="s">
        <v>16583</v>
      </c>
    </row>
    <row r="8402">
      <c r="A8402" s="130" t="s">
        <v>29002</v>
      </c>
      <c r="B8402" s="239" t="s">
        <v>187</v>
      </c>
      <c r="C8402" s="71" t="s">
        <v>16846</v>
      </c>
    </row>
    <row r="8403">
      <c r="A8403" s="130" t="s">
        <v>29004</v>
      </c>
      <c r="B8403" s="71"/>
      <c r="C8403" s="71"/>
    </row>
    <row r="8404">
      <c r="A8404" s="130" t="s">
        <v>29006</v>
      </c>
      <c r="B8404" s="239" t="s">
        <v>187</v>
      </c>
      <c r="C8404" s="71" t="s">
        <v>16858</v>
      </c>
    </row>
    <row r="8405">
      <c r="A8405" s="130" t="s">
        <v>29008</v>
      </c>
      <c r="B8405" s="239" t="s">
        <v>16582</v>
      </c>
      <c r="C8405" s="71" t="s">
        <v>16930</v>
      </c>
    </row>
    <row r="8406">
      <c r="A8406" s="130" t="s">
        <v>29010</v>
      </c>
      <c r="B8406" s="239" t="s">
        <v>16582</v>
      </c>
      <c r="C8406" s="71" t="s">
        <v>16817</v>
      </c>
    </row>
    <row r="8407">
      <c r="A8407" s="130" t="s">
        <v>29012</v>
      </c>
      <c r="B8407" s="239" t="s">
        <v>175</v>
      </c>
      <c r="C8407" s="71" t="s">
        <v>16957</v>
      </c>
    </row>
    <row r="8408">
      <c r="A8408" s="130" t="s">
        <v>29014</v>
      </c>
      <c r="B8408" s="239" t="s">
        <v>16582</v>
      </c>
      <c r="C8408" s="71" t="s">
        <v>16583</v>
      </c>
    </row>
    <row r="8409">
      <c r="A8409" s="130" t="s">
        <v>29016</v>
      </c>
      <c r="B8409" s="239" t="s">
        <v>187</v>
      </c>
      <c r="C8409" s="71" t="s">
        <v>16846</v>
      </c>
    </row>
    <row r="8410">
      <c r="A8410" s="130" t="s">
        <v>29018</v>
      </c>
      <c r="B8410" s="71"/>
      <c r="C8410" s="71"/>
    </row>
    <row r="8411">
      <c r="A8411" s="130" t="s">
        <v>29020</v>
      </c>
      <c r="B8411" s="239" t="s">
        <v>16838</v>
      </c>
      <c r="C8411" s="71" t="s">
        <v>18219</v>
      </c>
    </row>
    <row r="8412">
      <c r="A8412" s="130" t="s">
        <v>29022</v>
      </c>
      <c r="B8412" s="239" t="s">
        <v>16582</v>
      </c>
      <c r="C8412" s="71" t="s">
        <v>16930</v>
      </c>
    </row>
    <row r="8413">
      <c r="A8413" s="130" t="s">
        <v>29024</v>
      </c>
      <c r="B8413" s="239" t="s">
        <v>16838</v>
      </c>
      <c r="C8413" s="71" t="s">
        <v>17016</v>
      </c>
    </row>
    <row r="8414">
      <c r="A8414" s="130" t="s">
        <v>29026</v>
      </c>
      <c r="B8414" s="239" t="s">
        <v>187</v>
      </c>
      <c r="C8414" s="71" t="s">
        <v>16846</v>
      </c>
    </row>
    <row r="8415">
      <c r="A8415" s="130" t="s">
        <v>29028</v>
      </c>
      <c r="B8415" s="239" t="s">
        <v>16838</v>
      </c>
      <c r="C8415" s="71" t="s">
        <v>18219</v>
      </c>
    </row>
    <row r="8416">
      <c r="A8416" s="130" t="s">
        <v>29030</v>
      </c>
      <c r="B8416" s="239" t="s">
        <v>175</v>
      </c>
      <c r="C8416" s="71" t="s">
        <v>19006</v>
      </c>
    </row>
    <row r="8417">
      <c r="A8417" s="130" t="s">
        <v>29032</v>
      </c>
      <c r="B8417" s="239" t="s">
        <v>16582</v>
      </c>
      <c r="C8417" s="71" t="s">
        <v>17435</v>
      </c>
    </row>
    <row r="8418">
      <c r="A8418" s="130" t="s">
        <v>29034</v>
      </c>
      <c r="B8418" s="239" t="s">
        <v>16838</v>
      </c>
      <c r="C8418" s="71" t="s">
        <v>17019</v>
      </c>
    </row>
    <row r="8419">
      <c r="A8419" s="130" t="s">
        <v>29036</v>
      </c>
      <c r="B8419" s="239" t="s">
        <v>187</v>
      </c>
      <c r="C8419" s="71" t="s">
        <v>16846</v>
      </c>
    </row>
    <row r="8420">
      <c r="A8420" s="130" t="s">
        <v>29038</v>
      </c>
      <c r="B8420" s="239" t="s">
        <v>16838</v>
      </c>
      <c r="C8420" s="71" t="s">
        <v>17127</v>
      </c>
    </row>
    <row r="8421">
      <c r="A8421" s="130" t="s">
        <v>29040</v>
      </c>
      <c r="B8421" s="239" t="s">
        <v>16582</v>
      </c>
      <c r="C8421" s="71" t="s">
        <v>17435</v>
      </c>
    </row>
    <row r="8422">
      <c r="A8422" s="130" t="s">
        <v>29042</v>
      </c>
      <c r="B8422" s="239" t="s">
        <v>175</v>
      </c>
      <c r="C8422" s="71" t="s">
        <v>18723</v>
      </c>
    </row>
    <row r="8423">
      <c r="A8423" s="130" t="s">
        <v>29044</v>
      </c>
      <c r="B8423" s="239" t="s">
        <v>187</v>
      </c>
      <c r="C8423" s="71" t="s">
        <v>16992</v>
      </c>
    </row>
    <row r="8424">
      <c r="A8424" s="130" t="s">
        <v>29046</v>
      </c>
      <c r="B8424" s="239" t="s">
        <v>169</v>
      </c>
      <c r="C8424" s="71" t="s">
        <v>16899</v>
      </c>
    </row>
    <row r="8425">
      <c r="A8425" s="130" t="s">
        <v>29048</v>
      </c>
      <c r="B8425" s="239" t="s">
        <v>17112</v>
      </c>
      <c r="C8425" s="71" t="s">
        <v>17111</v>
      </c>
    </row>
    <row r="8426">
      <c r="A8426" s="130" t="s">
        <v>29050</v>
      </c>
      <c r="B8426" s="239" t="s">
        <v>175</v>
      </c>
      <c r="C8426" s="71" t="s">
        <v>16842</v>
      </c>
    </row>
    <row r="8427">
      <c r="A8427" s="130" t="s">
        <v>29052</v>
      </c>
      <c r="B8427" s="239" t="s">
        <v>16838</v>
      </c>
      <c r="C8427" s="71" t="s">
        <v>18219</v>
      </c>
    </row>
    <row r="8428">
      <c r="A8428" s="130" t="s">
        <v>29054</v>
      </c>
      <c r="B8428" s="239" t="s">
        <v>16838</v>
      </c>
      <c r="C8428" s="71" t="s">
        <v>16867</v>
      </c>
    </row>
    <row r="8429">
      <c r="A8429" s="130" t="s">
        <v>29056</v>
      </c>
      <c r="B8429" s="239" t="s">
        <v>16582</v>
      </c>
      <c r="C8429" s="71" t="s">
        <v>16828</v>
      </c>
    </row>
    <row r="8430">
      <c r="A8430" s="130" t="s">
        <v>29058</v>
      </c>
      <c r="B8430" s="239" t="s">
        <v>175</v>
      </c>
      <c r="C8430" s="71" t="s">
        <v>17452</v>
      </c>
    </row>
    <row r="8431">
      <c r="A8431" s="130" t="s">
        <v>29060</v>
      </c>
      <c r="B8431" s="71"/>
      <c r="C8431" s="71"/>
    </row>
    <row r="8432">
      <c r="A8432" s="130" t="s">
        <v>29062</v>
      </c>
      <c r="B8432" s="239" t="s">
        <v>169</v>
      </c>
      <c r="C8432" s="71" t="s">
        <v>20534</v>
      </c>
    </row>
    <row r="8433">
      <c r="A8433" s="130" t="s">
        <v>29064</v>
      </c>
      <c r="B8433" s="239" t="s">
        <v>16582</v>
      </c>
      <c r="C8433" s="71" t="s">
        <v>16930</v>
      </c>
    </row>
    <row r="8434">
      <c r="A8434" s="130" t="s">
        <v>29066</v>
      </c>
      <c r="B8434" s="239" t="s">
        <v>175</v>
      </c>
      <c r="C8434" s="71" t="s">
        <v>16972</v>
      </c>
    </row>
    <row r="8435">
      <c r="A8435" s="130" t="s">
        <v>29067</v>
      </c>
      <c r="B8435" s="239" t="s">
        <v>16582</v>
      </c>
      <c r="C8435" s="71" t="s">
        <v>17435</v>
      </c>
    </row>
    <row r="8436">
      <c r="A8436" s="130" t="s">
        <v>29069</v>
      </c>
      <c r="B8436" s="239" t="s">
        <v>187</v>
      </c>
      <c r="C8436" s="71" t="s">
        <v>16846</v>
      </c>
    </row>
    <row r="8437">
      <c r="A8437" s="130" t="s">
        <v>29071</v>
      </c>
      <c r="B8437" s="239" t="s">
        <v>175</v>
      </c>
      <c r="C8437" s="71" t="s">
        <v>17391</v>
      </c>
    </row>
    <row r="8438">
      <c r="A8438" s="130" t="s">
        <v>29073</v>
      </c>
      <c r="B8438" s="239" t="s">
        <v>175</v>
      </c>
      <c r="C8438" s="71" t="s">
        <v>17168</v>
      </c>
    </row>
    <row r="8439">
      <c r="A8439" s="130" t="s">
        <v>29075</v>
      </c>
      <c r="B8439" s="239" t="s">
        <v>187</v>
      </c>
      <c r="C8439" s="71" t="s">
        <v>16846</v>
      </c>
    </row>
    <row r="8440">
      <c r="A8440" s="130" t="s">
        <v>29077</v>
      </c>
      <c r="B8440" s="239" t="s">
        <v>16838</v>
      </c>
      <c r="C8440" s="71" t="s">
        <v>17104</v>
      </c>
    </row>
    <row r="8441">
      <c r="A8441" s="130" t="s">
        <v>29079</v>
      </c>
      <c r="B8441" s="239" t="s">
        <v>16582</v>
      </c>
      <c r="C8441" s="71" t="s">
        <v>16930</v>
      </c>
    </row>
    <row r="8442">
      <c r="A8442" s="130" t="s">
        <v>29081</v>
      </c>
      <c r="B8442" s="239" t="s">
        <v>16582</v>
      </c>
      <c r="C8442" s="71" t="s">
        <v>16930</v>
      </c>
    </row>
    <row r="8443">
      <c r="A8443" s="130" t="s">
        <v>29083</v>
      </c>
      <c r="B8443" s="239" t="s">
        <v>187</v>
      </c>
      <c r="C8443" s="71" t="s">
        <v>17559</v>
      </c>
    </row>
    <row r="8444">
      <c r="A8444" s="130" t="s">
        <v>29085</v>
      </c>
      <c r="B8444" s="239" t="s">
        <v>169</v>
      </c>
      <c r="C8444" s="71" t="s">
        <v>16899</v>
      </c>
    </row>
    <row r="8445">
      <c r="A8445" s="130" t="s">
        <v>29087</v>
      </c>
      <c r="B8445" s="239" t="s">
        <v>16926</v>
      </c>
      <c r="C8445" s="71" t="s">
        <v>16957</v>
      </c>
    </row>
    <row r="8446">
      <c r="A8446" s="130" t="s">
        <v>29089</v>
      </c>
      <c r="B8446" s="239" t="s">
        <v>16582</v>
      </c>
      <c r="C8446" s="71" t="s">
        <v>16930</v>
      </c>
    </row>
    <row r="8447">
      <c r="A8447" s="130" t="s">
        <v>29091</v>
      </c>
      <c r="B8447" s="239" t="s">
        <v>187</v>
      </c>
      <c r="C8447" s="71" t="s">
        <v>16851</v>
      </c>
    </row>
    <row r="8448">
      <c r="A8448" s="130" t="s">
        <v>29093</v>
      </c>
      <c r="B8448" s="239" t="s">
        <v>187</v>
      </c>
      <c r="C8448" s="71" t="s">
        <v>16969</v>
      </c>
    </row>
    <row r="8449">
      <c r="A8449" s="130" t="s">
        <v>29095</v>
      </c>
      <c r="B8449" s="239" t="s">
        <v>187</v>
      </c>
      <c r="C8449" s="71" t="s">
        <v>16858</v>
      </c>
    </row>
    <row r="8450">
      <c r="A8450" s="130" t="s">
        <v>29097</v>
      </c>
      <c r="B8450" s="239" t="s">
        <v>158</v>
      </c>
      <c r="C8450" s="71" t="s">
        <v>16899</v>
      </c>
    </row>
    <row r="8451">
      <c r="A8451" s="130" t="s">
        <v>29099</v>
      </c>
      <c r="B8451" s="239" t="s">
        <v>16910</v>
      </c>
      <c r="C8451" s="71" t="s">
        <v>17662</v>
      </c>
    </row>
    <row r="8452">
      <c r="A8452" s="130" t="s">
        <v>29101</v>
      </c>
      <c r="B8452" s="239" t="s">
        <v>175</v>
      </c>
      <c r="C8452" s="71" t="s">
        <v>16854</v>
      </c>
    </row>
    <row r="8453">
      <c r="A8453" s="130" t="s">
        <v>29103</v>
      </c>
      <c r="B8453" s="239" t="s">
        <v>187</v>
      </c>
      <c r="C8453" s="71" t="s">
        <v>16846</v>
      </c>
    </row>
    <row r="8454">
      <c r="A8454" s="130" t="s">
        <v>29105</v>
      </c>
      <c r="B8454" s="239" t="s">
        <v>169</v>
      </c>
      <c r="C8454" s="71" t="s">
        <v>17057</v>
      </c>
    </row>
    <row r="8455">
      <c r="A8455" s="130" t="s">
        <v>29107</v>
      </c>
      <c r="B8455" s="239" t="s">
        <v>175</v>
      </c>
      <c r="C8455" s="71" t="s">
        <v>18268</v>
      </c>
    </row>
    <row r="8456">
      <c r="A8456" s="130" t="s">
        <v>29109</v>
      </c>
      <c r="B8456" s="239" t="s">
        <v>187</v>
      </c>
      <c r="C8456" s="71" t="s">
        <v>16846</v>
      </c>
    </row>
    <row r="8457">
      <c r="A8457" s="130" t="s">
        <v>29111</v>
      </c>
      <c r="B8457" s="239" t="s">
        <v>16582</v>
      </c>
      <c r="C8457" s="71" t="s">
        <v>16930</v>
      </c>
    </row>
    <row r="8458">
      <c r="A8458" s="130" t="s">
        <v>29113</v>
      </c>
      <c r="B8458" s="239" t="s">
        <v>175</v>
      </c>
      <c r="C8458" s="71" t="s">
        <v>16854</v>
      </c>
    </row>
    <row r="8459">
      <c r="A8459" s="130" t="s">
        <v>29115</v>
      </c>
      <c r="B8459" s="239" t="s">
        <v>16838</v>
      </c>
      <c r="C8459" s="71" t="s">
        <v>18219</v>
      </c>
    </row>
    <row r="8460">
      <c r="A8460" s="130" t="s">
        <v>29117</v>
      </c>
      <c r="B8460" s="239" t="s">
        <v>187</v>
      </c>
      <c r="C8460" s="71" t="s">
        <v>16846</v>
      </c>
    </row>
    <row r="8461">
      <c r="A8461" s="130" t="s">
        <v>29119</v>
      </c>
      <c r="B8461" s="239" t="s">
        <v>175</v>
      </c>
      <c r="C8461" s="71" t="s">
        <v>17452</v>
      </c>
    </row>
    <row r="8462">
      <c r="A8462" s="130" t="s">
        <v>29121</v>
      </c>
      <c r="B8462" s="239" t="s">
        <v>16582</v>
      </c>
      <c r="C8462" s="71" t="s">
        <v>16930</v>
      </c>
    </row>
    <row r="8463">
      <c r="A8463" s="130" t="s">
        <v>29123</v>
      </c>
      <c r="B8463" s="239" t="s">
        <v>175</v>
      </c>
      <c r="C8463" s="71" t="s">
        <v>17183</v>
      </c>
    </row>
    <row r="8464">
      <c r="A8464" s="130" t="s">
        <v>29125</v>
      </c>
      <c r="B8464" s="239" t="s">
        <v>187</v>
      </c>
      <c r="C8464" s="71" t="s">
        <v>16858</v>
      </c>
    </row>
    <row r="8465">
      <c r="A8465" s="130" t="s">
        <v>29127</v>
      </c>
      <c r="B8465" s="239" t="s">
        <v>169</v>
      </c>
      <c r="C8465" s="71" t="s">
        <v>18732</v>
      </c>
    </row>
    <row r="8466">
      <c r="A8466" s="130" t="s">
        <v>29129</v>
      </c>
      <c r="B8466" s="239" t="s">
        <v>17112</v>
      </c>
      <c r="C8466" s="71" t="s">
        <v>17218</v>
      </c>
    </row>
    <row r="8467">
      <c r="A8467" s="130" t="s">
        <v>29131</v>
      </c>
      <c r="B8467" s="239" t="s">
        <v>187</v>
      </c>
      <c r="C8467" s="71" t="s">
        <v>23634</v>
      </c>
    </row>
    <row r="8468">
      <c r="A8468" s="130" t="s">
        <v>29133</v>
      </c>
      <c r="B8468" s="239" t="s">
        <v>175</v>
      </c>
      <c r="C8468" s="71" t="s">
        <v>17391</v>
      </c>
    </row>
    <row r="8469">
      <c r="A8469" s="130" t="s">
        <v>29135</v>
      </c>
      <c r="B8469" s="239" t="s">
        <v>169</v>
      </c>
      <c r="C8469" s="71" t="s">
        <v>17321</v>
      </c>
    </row>
    <row r="8470">
      <c r="A8470" s="130" t="s">
        <v>29137</v>
      </c>
      <c r="B8470" s="239" t="s">
        <v>175</v>
      </c>
      <c r="C8470" s="71" t="s">
        <v>16972</v>
      </c>
    </row>
    <row r="8471">
      <c r="A8471" s="130" t="s">
        <v>29139</v>
      </c>
      <c r="B8471" s="239" t="s">
        <v>175</v>
      </c>
      <c r="C8471" s="71" t="s">
        <v>16957</v>
      </c>
    </row>
    <row r="8472">
      <c r="A8472" s="130" t="s">
        <v>29141</v>
      </c>
      <c r="B8472" s="239" t="s">
        <v>16910</v>
      </c>
      <c r="C8472" s="71" t="s">
        <v>17119</v>
      </c>
    </row>
    <row r="8473">
      <c r="A8473" s="130" t="s">
        <v>29143</v>
      </c>
      <c r="B8473" s="239" t="s">
        <v>175</v>
      </c>
      <c r="C8473" s="71" t="s">
        <v>17457</v>
      </c>
    </row>
    <row r="8474">
      <c r="A8474" s="130" t="s">
        <v>29145</v>
      </c>
      <c r="B8474" s="239" t="s">
        <v>16838</v>
      </c>
      <c r="C8474" s="71" t="s">
        <v>17019</v>
      </c>
    </row>
    <row r="8475">
      <c r="A8475" s="130" t="s">
        <v>29147</v>
      </c>
      <c r="B8475" s="239" t="s">
        <v>175</v>
      </c>
      <c r="C8475" s="71" t="s">
        <v>17457</v>
      </c>
    </row>
    <row r="8476">
      <c r="A8476" s="130" t="s">
        <v>29148</v>
      </c>
      <c r="B8476" s="71"/>
      <c r="C8476" s="71"/>
    </row>
    <row r="8477">
      <c r="A8477" s="130" t="s">
        <v>29150</v>
      </c>
      <c r="B8477" s="239" t="s">
        <v>187</v>
      </c>
      <c r="C8477" s="71" t="s">
        <v>16851</v>
      </c>
    </row>
    <row r="8478">
      <c r="A8478" s="234" t="s">
        <v>29152</v>
      </c>
      <c r="B8478" s="239" t="s">
        <v>175</v>
      </c>
      <c r="C8478" s="71" t="s">
        <v>16824</v>
      </c>
    </row>
    <row r="8479">
      <c r="A8479" s="234" t="s">
        <v>29152</v>
      </c>
      <c r="B8479" s="239" t="s">
        <v>16824</v>
      </c>
      <c r="C8479" s="71" t="s">
        <v>175</v>
      </c>
    </row>
    <row r="8480">
      <c r="A8480" s="234" t="s">
        <v>29154</v>
      </c>
      <c r="B8480" s="239" t="s">
        <v>16957</v>
      </c>
      <c r="C8480" s="71" t="s">
        <v>16926</v>
      </c>
    </row>
    <row r="8481">
      <c r="A8481" s="234" t="s">
        <v>29156</v>
      </c>
      <c r="B8481" s="239" t="s">
        <v>16957</v>
      </c>
      <c r="C8481" s="71" t="s">
        <v>16926</v>
      </c>
    </row>
    <row r="8482">
      <c r="A8482" s="234" t="s">
        <v>29154</v>
      </c>
      <c r="B8482" s="239" t="s">
        <v>16926</v>
      </c>
      <c r="C8482" s="71" t="s">
        <v>16957</v>
      </c>
    </row>
    <row r="8483">
      <c r="A8483" s="234" t="s">
        <v>29156</v>
      </c>
      <c r="B8483" s="239" t="s">
        <v>16926</v>
      </c>
      <c r="C8483" s="71" t="s">
        <v>16957</v>
      </c>
    </row>
    <row r="8484">
      <c r="A8484" s="130" t="s">
        <v>29158</v>
      </c>
      <c r="B8484" s="239" t="s">
        <v>175</v>
      </c>
      <c r="C8484" s="71" t="s">
        <v>16824</v>
      </c>
    </row>
    <row r="8485">
      <c r="A8485" s="130" t="s">
        <v>29160</v>
      </c>
      <c r="B8485" s="239" t="s">
        <v>175</v>
      </c>
      <c r="C8485" s="71" t="s">
        <v>16842</v>
      </c>
    </row>
    <row r="8486">
      <c r="A8486" s="130" t="s">
        <v>29162</v>
      </c>
      <c r="B8486" s="239" t="s">
        <v>175</v>
      </c>
      <c r="C8486" s="71" t="s">
        <v>16842</v>
      </c>
    </row>
    <row r="8487">
      <c r="A8487" s="130" t="s">
        <v>29164</v>
      </c>
      <c r="B8487" s="239" t="s">
        <v>175</v>
      </c>
      <c r="C8487" s="71" t="s">
        <v>16854</v>
      </c>
    </row>
    <row r="8488">
      <c r="A8488" s="130" t="s">
        <v>29166</v>
      </c>
      <c r="B8488" s="239" t="s">
        <v>175</v>
      </c>
      <c r="C8488" s="71" t="s">
        <v>16854</v>
      </c>
    </row>
    <row r="8489">
      <c r="A8489" s="130" t="s">
        <v>29168</v>
      </c>
      <c r="B8489" s="239" t="s">
        <v>175</v>
      </c>
      <c r="C8489" s="71" t="s">
        <v>16854</v>
      </c>
    </row>
    <row r="8490">
      <c r="A8490" s="130" t="s">
        <v>29170</v>
      </c>
      <c r="B8490" s="239" t="s">
        <v>175</v>
      </c>
      <c r="C8490" s="71" t="s">
        <v>17233</v>
      </c>
    </row>
    <row r="8491">
      <c r="A8491" s="130" t="s">
        <v>29172</v>
      </c>
      <c r="B8491" s="239" t="s">
        <v>175</v>
      </c>
      <c r="C8491" s="71" t="s">
        <v>16942</v>
      </c>
    </row>
    <row r="8492">
      <c r="A8492" s="130" t="s">
        <v>29174</v>
      </c>
      <c r="B8492" s="239" t="s">
        <v>175</v>
      </c>
      <c r="C8492" s="71" t="s">
        <v>16942</v>
      </c>
    </row>
    <row r="8493">
      <c r="A8493" s="130" t="s">
        <v>29176</v>
      </c>
      <c r="B8493" s="239" t="s">
        <v>175</v>
      </c>
      <c r="C8493" s="71" t="s">
        <v>16942</v>
      </c>
    </row>
    <row r="8494">
      <c r="A8494" s="234" t="s">
        <v>29178</v>
      </c>
      <c r="B8494" s="239" t="s">
        <v>175</v>
      </c>
      <c r="C8494" s="71" t="s">
        <v>16854</v>
      </c>
    </row>
    <row r="8495">
      <c r="A8495" s="130" t="s">
        <v>29180</v>
      </c>
      <c r="B8495" s="239" t="s">
        <v>175</v>
      </c>
      <c r="C8495" s="71" t="s">
        <v>18723</v>
      </c>
    </row>
    <row r="8496">
      <c r="A8496" s="130" t="s">
        <v>29182</v>
      </c>
      <c r="B8496" s="239" t="s">
        <v>175</v>
      </c>
      <c r="C8496" s="71" t="s">
        <v>18723</v>
      </c>
    </row>
    <row r="8497">
      <c r="A8497" s="130" t="s">
        <v>29184</v>
      </c>
      <c r="B8497" s="239" t="s">
        <v>175</v>
      </c>
      <c r="C8497" s="71" t="s">
        <v>18723</v>
      </c>
    </row>
    <row r="8498">
      <c r="A8498" s="130" t="s">
        <v>29186</v>
      </c>
      <c r="B8498" s="239" t="s">
        <v>175</v>
      </c>
      <c r="C8498" s="71" t="s">
        <v>17218</v>
      </c>
    </row>
    <row r="8499">
      <c r="A8499" s="130" t="s">
        <v>29188</v>
      </c>
      <c r="B8499" s="239" t="s">
        <v>175</v>
      </c>
      <c r="C8499" s="71" t="s">
        <v>17218</v>
      </c>
    </row>
    <row r="8500">
      <c r="A8500" s="234" t="s">
        <v>29190</v>
      </c>
      <c r="B8500" s="239" t="s">
        <v>175</v>
      </c>
      <c r="C8500" s="71" t="s">
        <v>16824</v>
      </c>
    </row>
    <row r="8501">
      <c r="A8501" s="234" t="s">
        <v>29192</v>
      </c>
      <c r="B8501" s="239" t="s">
        <v>175</v>
      </c>
      <c r="C8501" s="71" t="s">
        <v>16854</v>
      </c>
    </row>
    <row r="8502">
      <c r="A8502" s="130" t="s">
        <v>29194</v>
      </c>
      <c r="B8502" s="239" t="s">
        <v>175</v>
      </c>
      <c r="C8502" s="71" t="s">
        <v>16854</v>
      </c>
    </row>
    <row r="8503">
      <c r="A8503" s="130" t="s">
        <v>29196</v>
      </c>
      <c r="B8503" s="239" t="s">
        <v>16910</v>
      </c>
      <c r="C8503" s="71" t="s">
        <v>17662</v>
      </c>
    </row>
    <row r="8504">
      <c r="A8504" s="130" t="s">
        <v>29198</v>
      </c>
      <c r="B8504" s="239" t="s">
        <v>16910</v>
      </c>
      <c r="C8504" s="71" t="s">
        <v>17662</v>
      </c>
    </row>
    <row r="8505">
      <c r="A8505" s="234" t="s">
        <v>29200</v>
      </c>
      <c r="B8505" s="239" t="s">
        <v>158</v>
      </c>
      <c r="C8505" s="71" t="s">
        <v>16864</v>
      </c>
    </row>
    <row r="8506">
      <c r="A8506" s="234" t="s">
        <v>29202</v>
      </c>
      <c r="B8506" s="239" t="s">
        <v>158</v>
      </c>
      <c r="C8506" s="71" t="s">
        <v>16864</v>
      </c>
    </row>
    <row r="8507">
      <c r="A8507" s="234" t="s">
        <v>29204</v>
      </c>
      <c r="B8507" s="239" t="s">
        <v>158</v>
      </c>
      <c r="C8507" s="71" t="s">
        <v>16920</v>
      </c>
    </row>
    <row r="8508">
      <c r="A8508" s="130" t="s">
        <v>29206</v>
      </c>
      <c r="B8508" s="239" t="s">
        <v>16838</v>
      </c>
      <c r="C8508" s="71" t="s">
        <v>18219</v>
      </c>
    </row>
    <row r="8509">
      <c r="A8509" s="130" t="s">
        <v>29208</v>
      </c>
      <c r="B8509" s="239" t="s">
        <v>16838</v>
      </c>
      <c r="C8509" s="71" t="s">
        <v>18219</v>
      </c>
    </row>
    <row r="8510">
      <c r="A8510" s="130" t="s">
        <v>29210</v>
      </c>
      <c r="B8510" s="239" t="s">
        <v>16838</v>
      </c>
      <c r="C8510" s="71" t="s">
        <v>18219</v>
      </c>
    </row>
    <row r="8511">
      <c r="A8511" s="130" t="s">
        <v>29212</v>
      </c>
      <c r="B8511" s="239" t="s">
        <v>16838</v>
      </c>
      <c r="C8511" s="71" t="s">
        <v>18219</v>
      </c>
    </row>
    <row r="8512">
      <c r="A8512" s="130" t="s">
        <v>29214</v>
      </c>
      <c r="B8512" s="239" t="s">
        <v>16838</v>
      </c>
      <c r="C8512" s="71" t="s">
        <v>18219</v>
      </c>
    </row>
    <row r="8513">
      <c r="A8513" s="130" t="s">
        <v>29216</v>
      </c>
      <c r="B8513" s="239" t="s">
        <v>16838</v>
      </c>
      <c r="C8513" s="71" t="s">
        <v>18219</v>
      </c>
    </row>
    <row r="8514">
      <c r="A8514" s="130" t="s">
        <v>29218</v>
      </c>
      <c r="B8514" s="239" t="s">
        <v>16838</v>
      </c>
      <c r="C8514" s="71" t="s">
        <v>18219</v>
      </c>
    </row>
    <row r="8515">
      <c r="A8515" s="130" t="s">
        <v>29220</v>
      </c>
      <c r="B8515" s="239" t="s">
        <v>16838</v>
      </c>
      <c r="C8515" s="71" t="s">
        <v>18219</v>
      </c>
    </row>
    <row r="8516">
      <c r="A8516" s="130" t="s">
        <v>29222</v>
      </c>
      <c r="B8516" s="239" t="s">
        <v>16838</v>
      </c>
      <c r="C8516" s="71" t="s">
        <v>18219</v>
      </c>
    </row>
    <row r="8517">
      <c r="A8517" s="130" t="s">
        <v>29224</v>
      </c>
      <c r="B8517" s="239" t="s">
        <v>16838</v>
      </c>
      <c r="C8517" s="71" t="s">
        <v>18219</v>
      </c>
    </row>
    <row r="8518">
      <c r="A8518" s="130" t="s">
        <v>29226</v>
      </c>
      <c r="B8518" s="239" t="s">
        <v>16838</v>
      </c>
      <c r="C8518" s="71" t="s">
        <v>18219</v>
      </c>
    </row>
    <row r="8519">
      <c r="A8519" s="234" t="s">
        <v>29228</v>
      </c>
      <c r="B8519" s="239" t="s">
        <v>16838</v>
      </c>
      <c r="C8519" s="71" t="s">
        <v>18219</v>
      </c>
    </row>
    <row r="8520">
      <c r="A8520" s="130" t="s">
        <v>29230</v>
      </c>
      <c r="B8520" s="239" t="s">
        <v>16838</v>
      </c>
      <c r="C8520" s="71" t="s">
        <v>18219</v>
      </c>
    </row>
    <row r="8521">
      <c r="A8521" s="130" t="s">
        <v>29232</v>
      </c>
      <c r="B8521" s="239" t="s">
        <v>16838</v>
      </c>
      <c r="C8521" s="71" t="s">
        <v>18219</v>
      </c>
    </row>
    <row r="8522">
      <c r="A8522" s="234" t="s">
        <v>29234</v>
      </c>
      <c r="B8522" s="239" t="s">
        <v>16838</v>
      </c>
      <c r="C8522" s="71" t="s">
        <v>17202</v>
      </c>
    </row>
    <row r="8523">
      <c r="A8523" s="234" t="s">
        <v>29236</v>
      </c>
      <c r="B8523" s="239" t="s">
        <v>16838</v>
      </c>
      <c r="C8523" s="71" t="s">
        <v>17202</v>
      </c>
    </row>
    <row r="8524">
      <c r="A8524" s="130" t="s">
        <v>29238</v>
      </c>
      <c r="B8524" s="239" t="s">
        <v>16838</v>
      </c>
      <c r="C8524" s="71" t="s">
        <v>18219</v>
      </c>
    </row>
    <row r="8525">
      <c r="A8525" s="130" t="s">
        <v>29240</v>
      </c>
      <c r="B8525" s="239" t="s">
        <v>16838</v>
      </c>
      <c r="C8525" s="71" t="s">
        <v>18219</v>
      </c>
    </row>
    <row r="8526">
      <c r="A8526" s="130" t="s">
        <v>29242</v>
      </c>
      <c r="B8526" s="239" t="s">
        <v>16838</v>
      </c>
      <c r="C8526" s="71" t="s">
        <v>18219</v>
      </c>
    </row>
    <row r="8527">
      <c r="A8527" s="130" t="s">
        <v>29244</v>
      </c>
      <c r="B8527" s="239" t="s">
        <v>16838</v>
      </c>
      <c r="C8527" s="71" t="s">
        <v>18219</v>
      </c>
    </row>
    <row r="8528">
      <c r="A8528" s="130" t="s">
        <v>29246</v>
      </c>
      <c r="B8528" s="239" t="s">
        <v>16838</v>
      </c>
      <c r="C8528" s="71" t="s">
        <v>18219</v>
      </c>
    </row>
    <row r="8529">
      <c r="A8529" s="234" t="s">
        <v>29248</v>
      </c>
      <c r="B8529" s="239" t="s">
        <v>16838</v>
      </c>
      <c r="C8529" s="71" t="s">
        <v>19644</v>
      </c>
    </row>
    <row r="8530">
      <c r="A8530" s="234" t="s">
        <v>29250</v>
      </c>
      <c r="B8530" s="239" t="s">
        <v>16838</v>
      </c>
      <c r="C8530" s="71" t="s">
        <v>17202</v>
      </c>
    </row>
    <row r="8531">
      <c r="A8531" s="234" t="s">
        <v>29252</v>
      </c>
      <c r="B8531" s="239" t="s">
        <v>16838</v>
      </c>
      <c r="C8531" s="71" t="s">
        <v>19579</v>
      </c>
    </row>
    <row r="8532">
      <c r="A8532" s="234" t="s">
        <v>29254</v>
      </c>
      <c r="B8532" s="239" t="s">
        <v>16838</v>
      </c>
      <c r="C8532" s="71" t="s">
        <v>19579</v>
      </c>
    </row>
    <row r="8533">
      <c r="A8533" s="130" t="s">
        <v>29256</v>
      </c>
      <c r="B8533" s="239" t="s">
        <v>16838</v>
      </c>
      <c r="C8533" s="71" t="s">
        <v>18219</v>
      </c>
    </row>
    <row r="8534">
      <c r="A8534" s="130" t="s">
        <v>29258</v>
      </c>
      <c r="B8534" s="239" t="s">
        <v>16838</v>
      </c>
      <c r="C8534" s="71" t="s">
        <v>18219</v>
      </c>
    </row>
    <row r="8535">
      <c r="A8535" s="234" t="s">
        <v>29260</v>
      </c>
      <c r="B8535" s="239" t="s">
        <v>16838</v>
      </c>
      <c r="C8535" s="71" t="s">
        <v>18219</v>
      </c>
    </row>
    <row r="8536">
      <c r="A8536" s="130" t="s">
        <v>29262</v>
      </c>
      <c r="B8536" s="239" t="s">
        <v>16838</v>
      </c>
      <c r="C8536" s="71" t="s">
        <v>18219</v>
      </c>
    </row>
    <row r="8537">
      <c r="A8537" s="130" t="s">
        <v>29264</v>
      </c>
      <c r="B8537" s="239" t="s">
        <v>16838</v>
      </c>
      <c r="C8537" s="71" t="s">
        <v>18219</v>
      </c>
    </row>
    <row r="8538">
      <c r="A8538" s="130" t="s">
        <v>29266</v>
      </c>
      <c r="B8538" s="239" t="s">
        <v>16838</v>
      </c>
      <c r="C8538" s="71" t="s">
        <v>18219</v>
      </c>
    </row>
    <row r="8539">
      <c r="A8539" s="130" t="s">
        <v>29268</v>
      </c>
      <c r="B8539" s="239" t="s">
        <v>16838</v>
      </c>
      <c r="C8539" s="71" t="s">
        <v>18219</v>
      </c>
    </row>
    <row r="8540">
      <c r="A8540" s="130" t="s">
        <v>29270</v>
      </c>
      <c r="B8540" s="239" t="s">
        <v>16838</v>
      </c>
      <c r="C8540" s="71" t="s">
        <v>18219</v>
      </c>
    </row>
    <row r="8541">
      <c r="A8541" s="130" t="s">
        <v>29272</v>
      </c>
      <c r="B8541" s="239" t="s">
        <v>16838</v>
      </c>
      <c r="C8541" s="71" t="s">
        <v>18219</v>
      </c>
    </row>
    <row r="8542">
      <c r="A8542" s="130" t="s">
        <v>29274</v>
      </c>
      <c r="B8542" s="239" t="s">
        <v>16838</v>
      </c>
      <c r="C8542" s="71" t="s">
        <v>18219</v>
      </c>
    </row>
    <row r="8543">
      <c r="A8543" s="130" t="s">
        <v>29276</v>
      </c>
      <c r="B8543" s="239" t="s">
        <v>16838</v>
      </c>
      <c r="C8543" s="71" t="s">
        <v>18219</v>
      </c>
    </row>
    <row r="8544">
      <c r="A8544" s="130" t="s">
        <v>29278</v>
      </c>
      <c r="B8544" s="239" t="s">
        <v>16838</v>
      </c>
      <c r="C8544" s="71" t="s">
        <v>18219</v>
      </c>
    </row>
    <row r="8545">
      <c r="A8545" s="130" t="s">
        <v>29280</v>
      </c>
      <c r="B8545" s="239" t="s">
        <v>16838</v>
      </c>
      <c r="C8545" s="71" t="s">
        <v>18219</v>
      </c>
    </row>
    <row r="8546">
      <c r="A8546" s="130" t="s">
        <v>29282</v>
      </c>
      <c r="B8546" s="239" t="s">
        <v>16838</v>
      </c>
      <c r="C8546" s="71" t="s">
        <v>18219</v>
      </c>
    </row>
    <row r="8547">
      <c r="A8547" s="130" t="s">
        <v>29284</v>
      </c>
      <c r="B8547" s="239" t="s">
        <v>16838</v>
      </c>
      <c r="C8547" s="71" t="s">
        <v>18219</v>
      </c>
    </row>
    <row r="8548">
      <c r="A8548" s="234" t="s">
        <v>29286</v>
      </c>
      <c r="B8548" s="239" t="s">
        <v>16838</v>
      </c>
      <c r="C8548" s="71" t="s">
        <v>18219</v>
      </c>
    </row>
    <row r="8549">
      <c r="A8549" s="234" t="s">
        <v>29288</v>
      </c>
      <c r="B8549" s="239" t="s">
        <v>16838</v>
      </c>
      <c r="C8549" s="71" t="s">
        <v>18219</v>
      </c>
    </row>
    <row r="8550">
      <c r="A8550" s="130" t="s">
        <v>29290</v>
      </c>
      <c r="B8550" s="239" t="s">
        <v>16838</v>
      </c>
      <c r="C8550" s="71" t="s">
        <v>18219</v>
      </c>
    </row>
    <row r="8551">
      <c r="A8551" s="130" t="s">
        <v>29292</v>
      </c>
      <c r="B8551" s="239" t="s">
        <v>16838</v>
      </c>
      <c r="C8551" s="71" t="s">
        <v>18219</v>
      </c>
    </row>
    <row r="8552">
      <c r="A8552" s="130" t="s">
        <v>29294</v>
      </c>
      <c r="B8552" s="239" t="s">
        <v>16838</v>
      </c>
      <c r="C8552" s="71" t="s">
        <v>18219</v>
      </c>
    </row>
    <row r="8553">
      <c r="A8553" s="130" t="s">
        <v>29296</v>
      </c>
      <c r="B8553" s="239" t="s">
        <v>16838</v>
      </c>
      <c r="C8553" s="71" t="s">
        <v>18219</v>
      </c>
    </row>
    <row r="8554">
      <c r="A8554" s="130" t="s">
        <v>29298</v>
      </c>
      <c r="B8554" s="239" t="s">
        <v>16838</v>
      </c>
      <c r="C8554" s="71" t="s">
        <v>18219</v>
      </c>
    </row>
    <row r="8555">
      <c r="A8555" s="130" t="s">
        <v>29300</v>
      </c>
      <c r="B8555" s="239" t="s">
        <v>16838</v>
      </c>
      <c r="C8555" s="71" t="s">
        <v>18219</v>
      </c>
    </row>
    <row r="8556">
      <c r="A8556" s="130" t="s">
        <v>29302</v>
      </c>
      <c r="B8556" s="239" t="s">
        <v>16838</v>
      </c>
      <c r="C8556" s="71" t="s">
        <v>18219</v>
      </c>
    </row>
    <row r="8557">
      <c r="A8557" s="130" t="s">
        <v>29304</v>
      </c>
      <c r="B8557" s="239" t="s">
        <v>16838</v>
      </c>
      <c r="C8557" s="71" t="s">
        <v>18219</v>
      </c>
    </row>
    <row r="8558">
      <c r="A8558" s="130" t="s">
        <v>29306</v>
      </c>
      <c r="B8558" s="239" t="s">
        <v>16838</v>
      </c>
      <c r="C8558" s="71" t="s">
        <v>18219</v>
      </c>
    </row>
    <row r="8559">
      <c r="A8559" s="130" t="s">
        <v>29308</v>
      </c>
      <c r="B8559" s="239" t="s">
        <v>16838</v>
      </c>
      <c r="C8559" s="71" t="s">
        <v>18219</v>
      </c>
    </row>
    <row r="8560">
      <c r="A8560" s="130" t="s">
        <v>29310</v>
      </c>
      <c r="B8560" s="239" t="s">
        <v>16838</v>
      </c>
      <c r="C8560" s="71" t="s">
        <v>18219</v>
      </c>
    </row>
    <row r="8561">
      <c r="A8561" s="130" t="s">
        <v>29312</v>
      </c>
      <c r="B8561" s="239" t="s">
        <v>16838</v>
      </c>
      <c r="C8561" s="71" t="s">
        <v>18219</v>
      </c>
    </row>
    <row r="8562">
      <c r="A8562" s="130" t="s">
        <v>29314</v>
      </c>
      <c r="B8562" s="239" t="s">
        <v>16838</v>
      </c>
      <c r="C8562" s="71" t="s">
        <v>18219</v>
      </c>
    </row>
    <row r="8563">
      <c r="A8563" s="130" t="s">
        <v>29316</v>
      </c>
      <c r="B8563" s="239" t="s">
        <v>16838</v>
      </c>
      <c r="C8563" s="71" t="s">
        <v>18219</v>
      </c>
    </row>
    <row r="8564">
      <c r="A8564" s="130" t="s">
        <v>29318</v>
      </c>
      <c r="B8564" s="239" t="s">
        <v>16838</v>
      </c>
      <c r="C8564" s="71" t="s">
        <v>18219</v>
      </c>
    </row>
    <row r="8565">
      <c r="A8565" s="130" t="s">
        <v>29320</v>
      </c>
      <c r="B8565" s="239" t="s">
        <v>16838</v>
      </c>
      <c r="C8565" s="71" t="s">
        <v>18219</v>
      </c>
    </row>
    <row r="8566">
      <c r="A8566" s="234" t="s">
        <v>29322</v>
      </c>
      <c r="B8566" s="239" t="s">
        <v>16838</v>
      </c>
      <c r="C8566" s="71" t="s">
        <v>18219</v>
      </c>
    </row>
    <row r="8567">
      <c r="A8567" s="130" t="s">
        <v>29324</v>
      </c>
      <c r="B8567" s="239" t="s">
        <v>16838</v>
      </c>
      <c r="C8567" s="71" t="s">
        <v>18219</v>
      </c>
    </row>
    <row r="8568">
      <c r="A8568" s="130" t="s">
        <v>29326</v>
      </c>
      <c r="B8568" s="239" t="s">
        <v>16838</v>
      </c>
      <c r="C8568" s="71" t="s">
        <v>18219</v>
      </c>
    </row>
    <row r="8569">
      <c r="A8569" s="130" t="s">
        <v>29328</v>
      </c>
      <c r="B8569" s="239" t="s">
        <v>16838</v>
      </c>
      <c r="C8569" s="71" t="s">
        <v>18219</v>
      </c>
    </row>
    <row r="8570">
      <c r="A8570" s="130" t="s">
        <v>29330</v>
      </c>
      <c r="B8570" s="239" t="s">
        <v>16838</v>
      </c>
      <c r="C8570" s="71" t="s">
        <v>18219</v>
      </c>
    </row>
    <row r="8571">
      <c r="A8571" s="130" t="s">
        <v>29332</v>
      </c>
      <c r="B8571" s="239" t="s">
        <v>16838</v>
      </c>
      <c r="C8571" s="71" t="s">
        <v>18219</v>
      </c>
    </row>
    <row r="8572">
      <c r="A8572" s="130" t="s">
        <v>29334</v>
      </c>
      <c r="B8572" s="239" t="s">
        <v>16838</v>
      </c>
      <c r="C8572" s="71" t="s">
        <v>18219</v>
      </c>
    </row>
    <row r="8573">
      <c r="A8573" s="130" t="s">
        <v>29336</v>
      </c>
      <c r="B8573" s="239" t="s">
        <v>16838</v>
      </c>
      <c r="C8573" s="71" t="s">
        <v>18219</v>
      </c>
    </row>
    <row r="8574">
      <c r="A8574" s="130" t="s">
        <v>29338</v>
      </c>
      <c r="B8574" s="239" t="s">
        <v>16838</v>
      </c>
      <c r="C8574" s="71" t="s">
        <v>18219</v>
      </c>
    </row>
    <row r="8575">
      <c r="A8575" s="130" t="s">
        <v>29340</v>
      </c>
      <c r="B8575" s="239" t="s">
        <v>16838</v>
      </c>
      <c r="C8575" s="71" t="s">
        <v>18219</v>
      </c>
    </row>
    <row r="8576">
      <c r="A8576" s="234" t="s">
        <v>29342</v>
      </c>
      <c r="B8576" s="239" t="s">
        <v>16838</v>
      </c>
      <c r="C8576" s="71" t="s">
        <v>18219</v>
      </c>
    </row>
    <row r="8577">
      <c r="A8577" s="130" t="s">
        <v>29344</v>
      </c>
      <c r="B8577" s="239" t="s">
        <v>16838</v>
      </c>
      <c r="C8577" s="71" t="s">
        <v>18219</v>
      </c>
    </row>
    <row r="8578">
      <c r="A8578" s="234" t="s">
        <v>29346</v>
      </c>
      <c r="B8578" s="239" t="s">
        <v>16838</v>
      </c>
      <c r="C8578" s="71" t="s">
        <v>18219</v>
      </c>
    </row>
    <row r="8579">
      <c r="A8579" s="234" t="s">
        <v>29348</v>
      </c>
      <c r="B8579" s="239" t="s">
        <v>16838</v>
      </c>
      <c r="C8579" s="71" t="s">
        <v>19644</v>
      </c>
    </row>
    <row r="8580">
      <c r="A8580" s="234" t="s">
        <v>29350</v>
      </c>
      <c r="B8580" s="239" t="s">
        <v>16838</v>
      </c>
      <c r="C8580" s="71" t="s">
        <v>19644</v>
      </c>
    </row>
    <row r="8581">
      <c r="A8581" s="234" t="s">
        <v>29352</v>
      </c>
      <c r="B8581" s="239" t="s">
        <v>16838</v>
      </c>
      <c r="C8581" s="71" t="s">
        <v>19644</v>
      </c>
    </row>
    <row r="8582">
      <c r="A8582" s="234" t="s">
        <v>29354</v>
      </c>
      <c r="B8582" s="239" t="s">
        <v>16838</v>
      </c>
      <c r="C8582" s="71" t="s">
        <v>19644</v>
      </c>
    </row>
    <row r="8583">
      <c r="A8583" s="234" t="s">
        <v>29356</v>
      </c>
      <c r="B8583" s="239" t="s">
        <v>16838</v>
      </c>
      <c r="C8583" s="71" t="s">
        <v>18679</v>
      </c>
    </row>
    <row r="8584">
      <c r="A8584" s="234" t="s">
        <v>29358</v>
      </c>
      <c r="B8584" s="239" t="s">
        <v>16838</v>
      </c>
      <c r="C8584" s="71" t="s">
        <v>17202</v>
      </c>
    </row>
    <row r="8585">
      <c r="A8585" s="234" t="s">
        <v>29360</v>
      </c>
      <c r="B8585" s="239" t="s">
        <v>16838</v>
      </c>
      <c r="C8585" s="71" t="s">
        <v>17202</v>
      </c>
    </row>
    <row r="8586">
      <c r="A8586" s="234" t="s">
        <v>29362</v>
      </c>
      <c r="B8586" s="239" t="s">
        <v>16838</v>
      </c>
      <c r="C8586" s="71" t="s">
        <v>17202</v>
      </c>
    </row>
    <row r="8587">
      <c r="A8587" s="234" t="s">
        <v>29364</v>
      </c>
      <c r="B8587" s="239" t="s">
        <v>16838</v>
      </c>
      <c r="C8587" s="71" t="s">
        <v>17202</v>
      </c>
    </row>
    <row r="8588">
      <c r="A8588" s="130" t="s">
        <v>29366</v>
      </c>
      <c r="B8588" s="239" t="s">
        <v>16838</v>
      </c>
      <c r="C8588" s="71" t="s">
        <v>16867</v>
      </c>
    </row>
    <row r="8589">
      <c r="A8589" s="234" t="s">
        <v>29368</v>
      </c>
      <c r="B8589" s="239" t="s">
        <v>16838</v>
      </c>
      <c r="C8589" s="71" t="s">
        <v>19579</v>
      </c>
    </row>
    <row r="8590">
      <c r="A8590" s="234" t="s">
        <v>29369</v>
      </c>
      <c r="B8590" s="239" t="s">
        <v>16838</v>
      </c>
      <c r="C8590" s="71" t="s">
        <v>19579</v>
      </c>
    </row>
    <row r="8591">
      <c r="A8591" s="234" t="s">
        <v>29371</v>
      </c>
      <c r="B8591" s="239" t="s">
        <v>16838</v>
      </c>
      <c r="C8591" s="71" t="s">
        <v>19579</v>
      </c>
    </row>
    <row r="8592">
      <c r="A8592" s="234" t="s">
        <v>29373</v>
      </c>
      <c r="B8592" s="239" t="s">
        <v>16838</v>
      </c>
      <c r="C8592" s="71" t="s">
        <v>19579</v>
      </c>
    </row>
    <row r="8593">
      <c r="A8593" s="234" t="s">
        <v>29375</v>
      </c>
      <c r="B8593" s="239" t="s">
        <v>16838</v>
      </c>
      <c r="C8593" s="71" t="s">
        <v>19579</v>
      </c>
    </row>
    <row r="8594">
      <c r="A8594" s="234" t="s">
        <v>29376</v>
      </c>
      <c r="B8594" s="239" t="s">
        <v>16838</v>
      </c>
      <c r="C8594" s="71" t="s">
        <v>19579</v>
      </c>
    </row>
    <row r="8595">
      <c r="A8595" s="130" t="s">
        <v>29378</v>
      </c>
      <c r="B8595" s="239" t="s">
        <v>187</v>
      </c>
      <c r="C8595" s="71" t="s">
        <v>16858</v>
      </c>
    </row>
    <row r="8596">
      <c r="A8596" s="234" t="s">
        <v>29380</v>
      </c>
      <c r="B8596" s="239" t="s">
        <v>187</v>
      </c>
      <c r="C8596" s="71" t="s">
        <v>16858</v>
      </c>
    </row>
    <row r="8597">
      <c r="A8597" s="130" t="s">
        <v>29382</v>
      </c>
      <c r="B8597" s="239" t="s">
        <v>187</v>
      </c>
      <c r="C8597" s="71" t="s">
        <v>16858</v>
      </c>
    </row>
    <row r="8598">
      <c r="A8598" s="130" t="s">
        <v>29384</v>
      </c>
      <c r="B8598" s="239" t="s">
        <v>187</v>
      </c>
      <c r="C8598" s="71" t="s">
        <v>16846</v>
      </c>
    </row>
    <row r="8599">
      <c r="A8599" s="130" t="s">
        <v>29386</v>
      </c>
      <c r="B8599" s="239" t="s">
        <v>187</v>
      </c>
      <c r="C8599" s="71" t="s">
        <v>16846</v>
      </c>
    </row>
    <row r="8600">
      <c r="A8600" s="130" t="s">
        <v>29388</v>
      </c>
      <c r="B8600" s="239" t="s">
        <v>16838</v>
      </c>
      <c r="C8600" s="71" t="s">
        <v>18219</v>
      </c>
    </row>
    <row r="8601">
      <c r="A8601" s="130" t="s">
        <v>29390</v>
      </c>
      <c r="B8601" s="239" t="s">
        <v>16838</v>
      </c>
      <c r="C8601" s="71" t="s">
        <v>18219</v>
      </c>
    </row>
    <row r="8602">
      <c r="A8602" s="234" t="s">
        <v>29392</v>
      </c>
      <c r="B8602" s="239" t="s">
        <v>16838</v>
      </c>
      <c r="C8602" s="71" t="s">
        <v>18219</v>
      </c>
    </row>
    <row r="8603">
      <c r="A8603" s="130" t="s">
        <v>29394</v>
      </c>
      <c r="B8603" s="239" t="s">
        <v>16838</v>
      </c>
      <c r="C8603" s="71" t="s">
        <v>18219</v>
      </c>
    </row>
    <row r="8604">
      <c r="A8604" s="130" t="s">
        <v>29396</v>
      </c>
      <c r="B8604" s="239" t="s">
        <v>16838</v>
      </c>
      <c r="C8604" s="71" t="s">
        <v>18219</v>
      </c>
    </row>
    <row r="8605">
      <c r="A8605" s="130" t="s">
        <v>29398</v>
      </c>
      <c r="B8605" s="239" t="s">
        <v>16838</v>
      </c>
      <c r="C8605" s="71" t="s">
        <v>18219</v>
      </c>
    </row>
    <row r="8606">
      <c r="A8606" s="130" t="s">
        <v>29400</v>
      </c>
      <c r="B8606" s="239" t="s">
        <v>16838</v>
      </c>
      <c r="C8606" s="71" t="s">
        <v>18219</v>
      </c>
    </row>
    <row r="8607">
      <c r="A8607" s="130" t="s">
        <v>29402</v>
      </c>
      <c r="B8607" s="239" t="s">
        <v>16838</v>
      </c>
      <c r="C8607" s="71" t="s">
        <v>18219</v>
      </c>
    </row>
    <row r="8608">
      <c r="A8608" s="130" t="s">
        <v>29404</v>
      </c>
      <c r="B8608" s="239" t="s">
        <v>16838</v>
      </c>
      <c r="C8608" s="71" t="s">
        <v>18219</v>
      </c>
    </row>
    <row r="8609">
      <c r="A8609" s="234" t="s">
        <v>29406</v>
      </c>
      <c r="B8609" s="239" t="s">
        <v>16838</v>
      </c>
      <c r="C8609" s="71" t="s">
        <v>18219</v>
      </c>
    </row>
    <row r="8610">
      <c r="A8610" s="234" t="s">
        <v>29408</v>
      </c>
      <c r="B8610" s="239" t="s">
        <v>16838</v>
      </c>
      <c r="C8610" s="71" t="s">
        <v>18219</v>
      </c>
    </row>
    <row r="8611">
      <c r="A8611" s="130" t="s">
        <v>29410</v>
      </c>
      <c r="B8611" s="239" t="s">
        <v>16838</v>
      </c>
      <c r="C8611" s="71" t="s">
        <v>18219</v>
      </c>
    </row>
    <row r="8612">
      <c r="A8612" s="130" t="s">
        <v>29412</v>
      </c>
      <c r="B8612" s="239" t="s">
        <v>16838</v>
      </c>
      <c r="C8612" s="71" t="s">
        <v>18219</v>
      </c>
    </row>
    <row r="8613">
      <c r="A8613" s="130" t="s">
        <v>29414</v>
      </c>
      <c r="B8613" s="239" t="s">
        <v>16838</v>
      </c>
      <c r="C8613" s="71" t="s">
        <v>18219</v>
      </c>
    </row>
    <row r="8614">
      <c r="A8614" s="130" t="s">
        <v>29416</v>
      </c>
      <c r="B8614" s="239" t="s">
        <v>16838</v>
      </c>
      <c r="C8614" s="71" t="s">
        <v>18219</v>
      </c>
    </row>
    <row r="8615">
      <c r="A8615" s="234" t="s">
        <v>29418</v>
      </c>
      <c r="B8615" s="239" t="s">
        <v>16838</v>
      </c>
      <c r="C8615" s="71" t="s">
        <v>18219</v>
      </c>
    </row>
    <row r="8616">
      <c r="A8616" s="130" t="s">
        <v>29420</v>
      </c>
      <c r="B8616" s="239" t="s">
        <v>16838</v>
      </c>
      <c r="C8616" s="71" t="s">
        <v>18219</v>
      </c>
    </row>
    <row r="8617">
      <c r="A8617" s="130" t="s">
        <v>29422</v>
      </c>
      <c r="B8617" s="239" t="s">
        <v>16838</v>
      </c>
      <c r="C8617" s="71" t="s">
        <v>18219</v>
      </c>
    </row>
    <row r="8618">
      <c r="A8618" s="130" t="s">
        <v>29424</v>
      </c>
      <c r="B8618" s="239" t="s">
        <v>16838</v>
      </c>
      <c r="C8618" s="71" t="s">
        <v>18219</v>
      </c>
    </row>
    <row r="8619">
      <c r="A8619" s="130" t="s">
        <v>29426</v>
      </c>
      <c r="B8619" s="239" t="s">
        <v>16838</v>
      </c>
      <c r="C8619" s="71" t="s">
        <v>18219</v>
      </c>
    </row>
    <row r="8620">
      <c r="A8620" s="130" t="s">
        <v>29428</v>
      </c>
      <c r="B8620" s="239" t="s">
        <v>16838</v>
      </c>
      <c r="C8620" s="71" t="s">
        <v>18219</v>
      </c>
    </row>
    <row r="8621">
      <c r="A8621" s="130" t="s">
        <v>29430</v>
      </c>
      <c r="B8621" s="239" t="s">
        <v>16838</v>
      </c>
      <c r="C8621" s="71" t="s">
        <v>18219</v>
      </c>
    </row>
    <row r="8622">
      <c r="A8622" s="130" t="s">
        <v>29432</v>
      </c>
      <c r="B8622" s="239" t="s">
        <v>16838</v>
      </c>
      <c r="C8622" s="71" t="s">
        <v>18219</v>
      </c>
    </row>
    <row r="8623">
      <c r="A8623" s="130" t="s">
        <v>29434</v>
      </c>
      <c r="B8623" s="239" t="s">
        <v>16838</v>
      </c>
      <c r="C8623" s="71" t="s">
        <v>18219</v>
      </c>
    </row>
    <row r="8624">
      <c r="A8624" s="130" t="s">
        <v>29436</v>
      </c>
      <c r="B8624" s="239" t="s">
        <v>16838</v>
      </c>
      <c r="C8624" s="71" t="s">
        <v>18219</v>
      </c>
    </row>
    <row r="8625">
      <c r="A8625" s="130" t="s">
        <v>29438</v>
      </c>
      <c r="B8625" s="239" t="s">
        <v>16838</v>
      </c>
      <c r="C8625" s="71" t="s">
        <v>18219</v>
      </c>
    </row>
    <row r="8626">
      <c r="A8626" s="130" t="s">
        <v>29440</v>
      </c>
      <c r="B8626" s="239" t="s">
        <v>16838</v>
      </c>
      <c r="C8626" s="71" t="s">
        <v>18219</v>
      </c>
    </row>
    <row r="8627">
      <c r="A8627" s="130" t="s">
        <v>29442</v>
      </c>
      <c r="B8627" s="239" t="s">
        <v>16838</v>
      </c>
      <c r="C8627" s="71" t="s">
        <v>18219</v>
      </c>
    </row>
    <row r="8628">
      <c r="A8628" s="130" t="s">
        <v>29444</v>
      </c>
      <c r="B8628" s="239" t="s">
        <v>16838</v>
      </c>
      <c r="C8628" s="71" t="s">
        <v>18219</v>
      </c>
    </row>
    <row r="8629">
      <c r="A8629" s="130" t="s">
        <v>29446</v>
      </c>
      <c r="B8629" s="239" t="s">
        <v>16838</v>
      </c>
      <c r="C8629" s="71" t="s">
        <v>18219</v>
      </c>
    </row>
    <row r="8630">
      <c r="A8630" s="234" t="s">
        <v>29448</v>
      </c>
      <c r="B8630" s="239" t="s">
        <v>16838</v>
      </c>
      <c r="C8630" s="71" t="s">
        <v>18219</v>
      </c>
    </row>
    <row r="8631">
      <c r="A8631" s="130" t="s">
        <v>29450</v>
      </c>
      <c r="B8631" s="239" t="s">
        <v>16838</v>
      </c>
      <c r="C8631" s="71" t="s">
        <v>18219</v>
      </c>
    </row>
    <row r="8632">
      <c r="A8632" s="130" t="s">
        <v>29452</v>
      </c>
      <c r="B8632" s="239" t="s">
        <v>16838</v>
      </c>
      <c r="C8632" s="71" t="s">
        <v>18219</v>
      </c>
    </row>
    <row r="8633">
      <c r="A8633" s="130" t="s">
        <v>29454</v>
      </c>
      <c r="B8633" s="239" t="s">
        <v>16838</v>
      </c>
      <c r="C8633" s="71" t="s">
        <v>18219</v>
      </c>
    </row>
    <row r="8634">
      <c r="A8634" s="130" t="s">
        <v>29456</v>
      </c>
      <c r="B8634" s="239" t="s">
        <v>16838</v>
      </c>
      <c r="C8634" s="71" t="s">
        <v>18219</v>
      </c>
    </row>
    <row r="8635">
      <c r="A8635" s="130" t="s">
        <v>29458</v>
      </c>
      <c r="B8635" s="239" t="s">
        <v>16838</v>
      </c>
      <c r="C8635" s="71" t="s">
        <v>18219</v>
      </c>
    </row>
    <row r="8636">
      <c r="A8636" s="130" t="s">
        <v>29460</v>
      </c>
      <c r="B8636" s="239" t="s">
        <v>16838</v>
      </c>
      <c r="C8636" s="71" t="s">
        <v>18219</v>
      </c>
    </row>
    <row r="8637">
      <c r="A8637" s="130" t="s">
        <v>29462</v>
      </c>
      <c r="B8637" s="239" t="s">
        <v>16838</v>
      </c>
      <c r="C8637" s="71" t="s">
        <v>18219</v>
      </c>
    </row>
    <row r="8638">
      <c r="A8638" s="234" t="s">
        <v>29464</v>
      </c>
      <c r="B8638" s="239" t="s">
        <v>16838</v>
      </c>
      <c r="C8638" s="71" t="s">
        <v>18219</v>
      </c>
    </row>
    <row r="8639">
      <c r="A8639" s="130" t="s">
        <v>29466</v>
      </c>
      <c r="B8639" s="239" t="s">
        <v>16838</v>
      </c>
      <c r="C8639" s="71" t="s">
        <v>18219</v>
      </c>
    </row>
    <row r="8640">
      <c r="A8640" s="130" t="s">
        <v>29468</v>
      </c>
      <c r="B8640" s="239" t="s">
        <v>16838</v>
      </c>
      <c r="C8640" s="71" t="s">
        <v>18219</v>
      </c>
    </row>
    <row r="8641">
      <c r="A8641" s="130" t="s">
        <v>29470</v>
      </c>
      <c r="B8641" s="239" t="s">
        <v>16838</v>
      </c>
      <c r="C8641" s="71" t="s">
        <v>18219</v>
      </c>
    </row>
    <row r="8642">
      <c r="A8642" s="130" t="s">
        <v>29472</v>
      </c>
      <c r="B8642" s="239" t="s">
        <v>16838</v>
      </c>
      <c r="C8642" s="71" t="s">
        <v>18219</v>
      </c>
    </row>
    <row r="8643">
      <c r="A8643" s="130" t="s">
        <v>29474</v>
      </c>
      <c r="B8643" s="239" t="s">
        <v>16838</v>
      </c>
      <c r="C8643" s="71" t="s">
        <v>18219</v>
      </c>
    </row>
    <row r="8644">
      <c r="A8644" s="130" t="s">
        <v>29476</v>
      </c>
      <c r="B8644" s="239" t="s">
        <v>16838</v>
      </c>
      <c r="C8644" s="71" t="s">
        <v>18219</v>
      </c>
    </row>
    <row r="8645">
      <c r="A8645" s="234" t="s">
        <v>29478</v>
      </c>
      <c r="B8645" s="239" t="s">
        <v>16838</v>
      </c>
      <c r="C8645" s="71" t="s">
        <v>18219</v>
      </c>
    </row>
    <row r="8646">
      <c r="A8646" s="130" t="s">
        <v>29480</v>
      </c>
      <c r="B8646" s="239" t="s">
        <v>16838</v>
      </c>
      <c r="C8646" s="71" t="s">
        <v>18219</v>
      </c>
    </row>
    <row r="8647">
      <c r="A8647" s="130" t="s">
        <v>29482</v>
      </c>
      <c r="B8647" s="239" t="s">
        <v>16838</v>
      </c>
      <c r="C8647" s="71" t="s">
        <v>18219</v>
      </c>
    </row>
    <row r="8648">
      <c r="A8648" s="130" t="s">
        <v>29484</v>
      </c>
      <c r="B8648" s="239" t="s">
        <v>16838</v>
      </c>
      <c r="C8648" s="71" t="s">
        <v>18219</v>
      </c>
    </row>
    <row r="8649">
      <c r="A8649" s="130" t="s">
        <v>29486</v>
      </c>
      <c r="B8649" s="239" t="s">
        <v>16838</v>
      </c>
      <c r="C8649" s="71" t="s">
        <v>18219</v>
      </c>
    </row>
    <row r="8650">
      <c r="A8650" s="130" t="s">
        <v>29488</v>
      </c>
      <c r="B8650" s="239" t="s">
        <v>16838</v>
      </c>
      <c r="C8650" s="71" t="s">
        <v>18219</v>
      </c>
    </row>
    <row r="8651">
      <c r="A8651" s="130" t="s">
        <v>29490</v>
      </c>
      <c r="B8651" s="239" t="s">
        <v>16838</v>
      </c>
      <c r="C8651" s="71" t="s">
        <v>18219</v>
      </c>
    </row>
    <row r="8652">
      <c r="A8652" s="130" t="s">
        <v>29492</v>
      </c>
      <c r="B8652" s="239" t="s">
        <v>16838</v>
      </c>
      <c r="C8652" s="71" t="s">
        <v>18219</v>
      </c>
    </row>
    <row r="8653">
      <c r="A8653" s="130" t="s">
        <v>29494</v>
      </c>
      <c r="B8653" s="239" t="s">
        <v>16838</v>
      </c>
      <c r="C8653" s="71" t="s">
        <v>18219</v>
      </c>
    </row>
    <row r="8654">
      <c r="A8654" s="130" t="s">
        <v>29496</v>
      </c>
      <c r="B8654" s="239" t="s">
        <v>16838</v>
      </c>
      <c r="C8654" s="71" t="s">
        <v>18219</v>
      </c>
    </row>
    <row r="8655">
      <c r="A8655" s="234" t="s">
        <v>29498</v>
      </c>
      <c r="B8655" s="239" t="s">
        <v>16838</v>
      </c>
      <c r="C8655" s="71" t="s">
        <v>18219</v>
      </c>
    </row>
    <row r="8656">
      <c r="A8656" s="234" t="s">
        <v>29500</v>
      </c>
      <c r="B8656" s="239" t="s">
        <v>16838</v>
      </c>
      <c r="C8656" s="71" t="s">
        <v>18219</v>
      </c>
    </row>
    <row r="8657">
      <c r="A8657" s="130" t="s">
        <v>29502</v>
      </c>
      <c r="B8657" s="239" t="s">
        <v>16838</v>
      </c>
      <c r="C8657" s="71" t="s">
        <v>18219</v>
      </c>
    </row>
    <row r="8658">
      <c r="A8658" s="130" t="s">
        <v>29504</v>
      </c>
      <c r="B8658" s="239" t="s">
        <v>16838</v>
      </c>
      <c r="C8658" s="71" t="s">
        <v>18219</v>
      </c>
    </row>
    <row r="8659">
      <c r="A8659" s="130" t="s">
        <v>2322</v>
      </c>
      <c r="B8659" s="239" t="s">
        <v>16838</v>
      </c>
      <c r="C8659" s="71" t="s">
        <v>18219</v>
      </c>
    </row>
    <row r="8660">
      <c r="A8660" s="130" t="s">
        <v>29507</v>
      </c>
      <c r="B8660" s="239" t="s">
        <v>16838</v>
      </c>
      <c r="C8660" s="71" t="s">
        <v>18219</v>
      </c>
    </row>
    <row r="8661">
      <c r="A8661" s="130" t="s">
        <v>29509</v>
      </c>
      <c r="B8661" s="239" t="s">
        <v>16838</v>
      </c>
      <c r="C8661" s="71" t="s">
        <v>18219</v>
      </c>
    </row>
    <row r="8662">
      <c r="A8662" s="130" t="s">
        <v>29511</v>
      </c>
      <c r="B8662" s="239" t="s">
        <v>16838</v>
      </c>
      <c r="C8662" s="71" t="s">
        <v>18219</v>
      </c>
    </row>
    <row r="8663">
      <c r="A8663" s="130" t="s">
        <v>29513</v>
      </c>
      <c r="B8663" s="239" t="s">
        <v>16838</v>
      </c>
      <c r="C8663" s="71" t="s">
        <v>18219</v>
      </c>
    </row>
    <row r="8664">
      <c r="A8664" s="130" t="s">
        <v>29515</v>
      </c>
      <c r="B8664" s="239" t="s">
        <v>16838</v>
      </c>
      <c r="C8664" s="71" t="s">
        <v>18219</v>
      </c>
    </row>
    <row r="8665">
      <c r="A8665" s="130" t="s">
        <v>29517</v>
      </c>
      <c r="B8665" s="239" t="s">
        <v>16838</v>
      </c>
      <c r="C8665" s="71" t="s">
        <v>18219</v>
      </c>
    </row>
    <row r="8666">
      <c r="A8666" s="130" t="s">
        <v>29519</v>
      </c>
      <c r="B8666" s="239" t="s">
        <v>16838</v>
      </c>
      <c r="C8666" s="71" t="s">
        <v>18219</v>
      </c>
    </row>
    <row r="8667">
      <c r="A8667" s="234" t="s">
        <v>29521</v>
      </c>
      <c r="B8667" s="239" t="s">
        <v>16838</v>
      </c>
      <c r="C8667" s="71" t="s">
        <v>18219</v>
      </c>
    </row>
    <row r="8668">
      <c r="A8668" s="234" t="s">
        <v>29523</v>
      </c>
      <c r="B8668" s="239" t="s">
        <v>16838</v>
      </c>
      <c r="C8668" s="71" t="s">
        <v>18219</v>
      </c>
    </row>
    <row r="8669">
      <c r="A8669" s="130" t="s">
        <v>29525</v>
      </c>
      <c r="B8669" s="239" t="s">
        <v>16838</v>
      </c>
      <c r="C8669" s="71" t="s">
        <v>18219</v>
      </c>
    </row>
    <row r="8670">
      <c r="A8670" s="130" t="s">
        <v>29527</v>
      </c>
      <c r="B8670" s="239" t="s">
        <v>16838</v>
      </c>
      <c r="C8670" s="71" t="s">
        <v>18219</v>
      </c>
    </row>
    <row r="8671">
      <c r="A8671" s="130" t="s">
        <v>29529</v>
      </c>
      <c r="B8671" s="239" t="s">
        <v>16838</v>
      </c>
      <c r="C8671" s="71" t="s">
        <v>18219</v>
      </c>
    </row>
    <row r="8672">
      <c r="A8672" s="130" t="s">
        <v>29531</v>
      </c>
      <c r="B8672" s="239" t="s">
        <v>16838</v>
      </c>
      <c r="C8672" s="71" t="s">
        <v>18219</v>
      </c>
    </row>
    <row r="8673">
      <c r="A8673" s="130" t="s">
        <v>29533</v>
      </c>
      <c r="B8673" s="239" t="s">
        <v>16838</v>
      </c>
      <c r="C8673" s="71" t="s">
        <v>18219</v>
      </c>
    </row>
    <row r="8674">
      <c r="A8674" s="130" t="s">
        <v>29535</v>
      </c>
      <c r="B8674" s="239" t="s">
        <v>16838</v>
      </c>
      <c r="C8674" s="71" t="s">
        <v>18219</v>
      </c>
    </row>
    <row r="8675">
      <c r="A8675" s="130" t="s">
        <v>29537</v>
      </c>
      <c r="B8675" s="239" t="s">
        <v>16838</v>
      </c>
      <c r="C8675" s="71" t="s">
        <v>18219</v>
      </c>
    </row>
    <row r="8676">
      <c r="A8676" s="130" t="s">
        <v>29539</v>
      </c>
      <c r="B8676" s="239" t="s">
        <v>16838</v>
      </c>
      <c r="C8676" s="71" t="s">
        <v>18219</v>
      </c>
    </row>
    <row r="8677">
      <c r="A8677" s="234" t="s">
        <v>29541</v>
      </c>
      <c r="B8677" s="239" t="s">
        <v>16838</v>
      </c>
      <c r="C8677" s="71" t="s">
        <v>18219</v>
      </c>
    </row>
    <row r="8678">
      <c r="A8678" s="130" t="s">
        <v>29543</v>
      </c>
      <c r="B8678" s="239" t="s">
        <v>16838</v>
      </c>
      <c r="C8678" s="71" t="s">
        <v>18219</v>
      </c>
    </row>
    <row r="8679">
      <c r="A8679" s="130" t="s">
        <v>29545</v>
      </c>
      <c r="B8679" s="239" t="s">
        <v>16838</v>
      </c>
      <c r="C8679" s="71" t="s">
        <v>18219</v>
      </c>
    </row>
    <row r="8680">
      <c r="A8680" s="130" t="s">
        <v>29547</v>
      </c>
      <c r="B8680" s="239" t="s">
        <v>16838</v>
      </c>
      <c r="C8680" s="71" t="s">
        <v>18219</v>
      </c>
    </row>
    <row r="8681">
      <c r="A8681" s="130" t="s">
        <v>29549</v>
      </c>
      <c r="B8681" s="239" t="s">
        <v>16838</v>
      </c>
      <c r="C8681" s="71" t="s">
        <v>18219</v>
      </c>
    </row>
    <row r="8682">
      <c r="A8682" s="130" t="s">
        <v>29551</v>
      </c>
      <c r="B8682" s="239" t="s">
        <v>16838</v>
      </c>
      <c r="C8682" s="71" t="s">
        <v>18219</v>
      </c>
    </row>
    <row r="8683">
      <c r="A8683" s="130" t="s">
        <v>29553</v>
      </c>
      <c r="B8683" s="239" t="s">
        <v>16838</v>
      </c>
      <c r="C8683" s="71" t="s">
        <v>18219</v>
      </c>
    </row>
    <row r="8684">
      <c r="A8684" s="130" t="s">
        <v>29555</v>
      </c>
      <c r="B8684" s="239" t="s">
        <v>16838</v>
      </c>
      <c r="C8684" s="71" t="s">
        <v>18219</v>
      </c>
    </row>
    <row r="8685">
      <c r="A8685" s="130" t="s">
        <v>29557</v>
      </c>
      <c r="B8685" s="239" t="s">
        <v>16838</v>
      </c>
      <c r="C8685" s="71" t="s">
        <v>18219</v>
      </c>
    </row>
    <row r="8686">
      <c r="A8686" s="130" t="s">
        <v>29559</v>
      </c>
      <c r="B8686" s="239" t="s">
        <v>16838</v>
      </c>
      <c r="C8686" s="71" t="s">
        <v>18219</v>
      </c>
    </row>
    <row r="8687">
      <c r="A8687" s="130" t="s">
        <v>29561</v>
      </c>
      <c r="B8687" s="239" t="s">
        <v>16838</v>
      </c>
      <c r="C8687" s="71" t="s">
        <v>18219</v>
      </c>
    </row>
    <row r="8688">
      <c r="A8688" s="130" t="s">
        <v>29563</v>
      </c>
      <c r="B8688" s="239" t="s">
        <v>16838</v>
      </c>
      <c r="C8688" s="71" t="s">
        <v>18219</v>
      </c>
    </row>
    <row r="8689">
      <c r="A8689" s="130" t="s">
        <v>29565</v>
      </c>
      <c r="B8689" s="239" t="s">
        <v>16838</v>
      </c>
      <c r="C8689" s="71" t="s">
        <v>18219</v>
      </c>
    </row>
    <row r="8690">
      <c r="A8690" s="130" t="s">
        <v>29567</v>
      </c>
      <c r="B8690" s="239" t="s">
        <v>16838</v>
      </c>
      <c r="C8690" s="71" t="s">
        <v>18219</v>
      </c>
    </row>
    <row r="8691">
      <c r="A8691" s="130" t="s">
        <v>29569</v>
      </c>
      <c r="B8691" s="239" t="s">
        <v>16838</v>
      </c>
      <c r="C8691" s="71" t="s">
        <v>18219</v>
      </c>
    </row>
    <row r="8692">
      <c r="A8692" s="130" t="s">
        <v>29571</v>
      </c>
      <c r="B8692" s="239" t="s">
        <v>16838</v>
      </c>
      <c r="C8692" s="71" t="s">
        <v>18219</v>
      </c>
    </row>
    <row r="8693">
      <c r="A8693" s="130" t="s">
        <v>29573</v>
      </c>
      <c r="B8693" s="239" t="s">
        <v>16838</v>
      </c>
      <c r="C8693" s="71" t="s">
        <v>18219</v>
      </c>
    </row>
    <row r="8694">
      <c r="A8694" s="234" t="s">
        <v>29575</v>
      </c>
      <c r="B8694" s="239" t="s">
        <v>16838</v>
      </c>
      <c r="C8694" s="71" t="s">
        <v>18219</v>
      </c>
    </row>
    <row r="8695">
      <c r="A8695" s="130" t="s">
        <v>29577</v>
      </c>
      <c r="B8695" s="239" t="s">
        <v>16838</v>
      </c>
      <c r="C8695" s="71" t="s">
        <v>18219</v>
      </c>
    </row>
    <row r="8696">
      <c r="A8696" s="130" t="s">
        <v>29579</v>
      </c>
      <c r="B8696" s="239" t="s">
        <v>16838</v>
      </c>
      <c r="C8696" s="71" t="s">
        <v>18219</v>
      </c>
    </row>
    <row r="8697">
      <c r="A8697" s="130" t="s">
        <v>29581</v>
      </c>
      <c r="B8697" s="239" t="s">
        <v>16838</v>
      </c>
      <c r="C8697" s="71" t="s">
        <v>18219</v>
      </c>
    </row>
    <row r="8698">
      <c r="A8698" s="130" t="s">
        <v>29583</v>
      </c>
      <c r="B8698" s="239" t="s">
        <v>16838</v>
      </c>
      <c r="C8698" s="71" t="s">
        <v>18219</v>
      </c>
    </row>
    <row r="8699">
      <c r="A8699" s="130" t="s">
        <v>29585</v>
      </c>
      <c r="B8699" s="239" t="s">
        <v>16838</v>
      </c>
      <c r="C8699" s="71" t="s">
        <v>18219</v>
      </c>
    </row>
    <row r="8700">
      <c r="A8700" s="130" t="s">
        <v>29587</v>
      </c>
      <c r="B8700" s="239" t="s">
        <v>16838</v>
      </c>
      <c r="C8700" s="71" t="s">
        <v>18219</v>
      </c>
    </row>
    <row r="8701">
      <c r="A8701" s="130" t="s">
        <v>29589</v>
      </c>
      <c r="B8701" s="239" t="s">
        <v>16838</v>
      </c>
      <c r="C8701" s="71" t="s">
        <v>18219</v>
      </c>
    </row>
    <row r="8702">
      <c r="A8702" s="130" t="s">
        <v>29591</v>
      </c>
      <c r="B8702" s="239" t="s">
        <v>16838</v>
      </c>
      <c r="C8702" s="71" t="s">
        <v>18219</v>
      </c>
    </row>
    <row r="8703">
      <c r="A8703" s="130" t="s">
        <v>29593</v>
      </c>
      <c r="B8703" s="239" t="s">
        <v>16838</v>
      </c>
      <c r="C8703" s="71" t="s">
        <v>18219</v>
      </c>
    </row>
    <row r="8704">
      <c r="A8704" s="130" t="s">
        <v>29595</v>
      </c>
      <c r="B8704" s="239" t="s">
        <v>16838</v>
      </c>
      <c r="C8704" s="71" t="s">
        <v>18219</v>
      </c>
    </row>
    <row r="8705">
      <c r="A8705" s="130" t="s">
        <v>29597</v>
      </c>
      <c r="B8705" s="239" t="s">
        <v>16838</v>
      </c>
      <c r="C8705" s="71" t="s">
        <v>18219</v>
      </c>
    </row>
    <row r="8706">
      <c r="A8706" s="130" t="s">
        <v>29599</v>
      </c>
      <c r="B8706" s="239" t="s">
        <v>16838</v>
      </c>
      <c r="C8706" s="71" t="s">
        <v>18219</v>
      </c>
    </row>
    <row r="8707">
      <c r="A8707" s="130" t="s">
        <v>29601</v>
      </c>
      <c r="B8707" s="239" t="s">
        <v>16838</v>
      </c>
      <c r="C8707" s="71" t="s">
        <v>18219</v>
      </c>
    </row>
    <row r="8708">
      <c r="A8708" s="234" t="s">
        <v>29603</v>
      </c>
      <c r="B8708" s="239" t="s">
        <v>16838</v>
      </c>
      <c r="C8708" s="71" t="s">
        <v>18219</v>
      </c>
    </row>
    <row r="8709">
      <c r="A8709" s="130" t="s">
        <v>29605</v>
      </c>
      <c r="B8709" s="239" t="s">
        <v>16838</v>
      </c>
      <c r="C8709" s="71" t="s">
        <v>18219</v>
      </c>
    </row>
    <row r="8710">
      <c r="A8710" s="130" t="s">
        <v>29607</v>
      </c>
      <c r="B8710" s="239" t="s">
        <v>16838</v>
      </c>
      <c r="C8710" s="71" t="s">
        <v>18219</v>
      </c>
    </row>
    <row r="8711">
      <c r="A8711" s="130" t="s">
        <v>29609</v>
      </c>
      <c r="B8711" s="239" t="s">
        <v>16838</v>
      </c>
      <c r="C8711" s="71" t="s">
        <v>18219</v>
      </c>
    </row>
    <row r="8712">
      <c r="A8712" s="130" t="s">
        <v>29611</v>
      </c>
      <c r="B8712" s="239" t="s">
        <v>16838</v>
      </c>
      <c r="C8712" s="71" t="s">
        <v>18219</v>
      </c>
    </row>
    <row r="8713">
      <c r="A8713" s="130" t="s">
        <v>29613</v>
      </c>
      <c r="B8713" s="239" t="s">
        <v>16838</v>
      </c>
      <c r="C8713" s="71" t="s">
        <v>18219</v>
      </c>
    </row>
    <row r="8714">
      <c r="A8714" s="234" t="s">
        <v>29615</v>
      </c>
      <c r="B8714" s="239" t="s">
        <v>16838</v>
      </c>
      <c r="C8714" s="71" t="s">
        <v>18219</v>
      </c>
    </row>
    <row r="8715">
      <c r="A8715" s="130" t="s">
        <v>29617</v>
      </c>
      <c r="B8715" s="239" t="s">
        <v>16838</v>
      </c>
      <c r="C8715" s="71" t="s">
        <v>18219</v>
      </c>
    </row>
    <row r="8716">
      <c r="A8716" s="130" t="s">
        <v>29619</v>
      </c>
      <c r="B8716" s="239" t="s">
        <v>16838</v>
      </c>
      <c r="C8716" s="71" t="s">
        <v>18219</v>
      </c>
    </row>
    <row r="8717">
      <c r="A8717" s="130" t="s">
        <v>29621</v>
      </c>
      <c r="B8717" s="239" t="s">
        <v>16838</v>
      </c>
      <c r="C8717" s="71" t="s">
        <v>18219</v>
      </c>
    </row>
    <row r="8718">
      <c r="A8718" s="130" t="s">
        <v>29623</v>
      </c>
      <c r="B8718" s="239" t="s">
        <v>16838</v>
      </c>
      <c r="C8718" s="71" t="s">
        <v>18219</v>
      </c>
    </row>
    <row r="8719">
      <c r="A8719" s="130" t="s">
        <v>29625</v>
      </c>
      <c r="B8719" s="239" t="s">
        <v>16838</v>
      </c>
      <c r="C8719" s="71" t="s">
        <v>18219</v>
      </c>
    </row>
    <row r="8720">
      <c r="A8720" s="130" t="s">
        <v>29627</v>
      </c>
      <c r="B8720" s="239" t="s">
        <v>16838</v>
      </c>
      <c r="C8720" s="71" t="s">
        <v>18219</v>
      </c>
    </row>
    <row r="8721">
      <c r="A8721" s="130" t="s">
        <v>29629</v>
      </c>
      <c r="B8721" s="239" t="s">
        <v>16838</v>
      </c>
      <c r="C8721" s="71" t="s">
        <v>18219</v>
      </c>
    </row>
    <row r="8722">
      <c r="A8722" s="130" t="s">
        <v>29631</v>
      </c>
      <c r="B8722" s="239" t="s">
        <v>16838</v>
      </c>
      <c r="C8722" s="71" t="s">
        <v>18219</v>
      </c>
    </row>
    <row r="8723">
      <c r="A8723" s="130" t="s">
        <v>29633</v>
      </c>
      <c r="B8723" s="239" t="s">
        <v>16838</v>
      </c>
      <c r="C8723" s="71" t="s">
        <v>18219</v>
      </c>
    </row>
    <row r="8724">
      <c r="A8724" s="130" t="s">
        <v>29635</v>
      </c>
      <c r="B8724" s="239" t="s">
        <v>16838</v>
      </c>
      <c r="C8724" s="71" t="s">
        <v>18219</v>
      </c>
    </row>
    <row r="8725">
      <c r="A8725" s="130" t="s">
        <v>29637</v>
      </c>
      <c r="B8725" s="239" t="s">
        <v>16838</v>
      </c>
      <c r="C8725" s="71" t="s">
        <v>18219</v>
      </c>
    </row>
    <row r="8726">
      <c r="A8726" s="130" t="s">
        <v>29639</v>
      </c>
      <c r="B8726" s="239" t="s">
        <v>16838</v>
      </c>
      <c r="C8726" s="71" t="s">
        <v>18219</v>
      </c>
    </row>
    <row r="8727">
      <c r="A8727" s="130" t="s">
        <v>29641</v>
      </c>
      <c r="B8727" s="239" t="s">
        <v>16838</v>
      </c>
      <c r="C8727" s="71" t="s">
        <v>18219</v>
      </c>
    </row>
    <row r="8728">
      <c r="A8728" s="130" t="s">
        <v>29643</v>
      </c>
      <c r="B8728" s="239" t="s">
        <v>16838</v>
      </c>
      <c r="C8728" s="71" t="s">
        <v>18219</v>
      </c>
    </row>
    <row r="8729">
      <c r="A8729" s="130" t="s">
        <v>29645</v>
      </c>
      <c r="B8729" s="239" t="s">
        <v>16838</v>
      </c>
      <c r="C8729" s="71" t="s">
        <v>18219</v>
      </c>
    </row>
    <row r="8730">
      <c r="A8730" s="130" t="s">
        <v>29647</v>
      </c>
      <c r="B8730" s="239" t="s">
        <v>16838</v>
      </c>
      <c r="C8730" s="71" t="s">
        <v>18219</v>
      </c>
    </row>
    <row r="8731">
      <c r="A8731" s="130" t="s">
        <v>29649</v>
      </c>
      <c r="B8731" s="239" t="s">
        <v>16838</v>
      </c>
      <c r="C8731" s="71" t="s">
        <v>18219</v>
      </c>
    </row>
    <row r="8732">
      <c r="A8732" s="130" t="s">
        <v>29651</v>
      </c>
      <c r="B8732" s="239" t="s">
        <v>16838</v>
      </c>
      <c r="C8732" s="71" t="s">
        <v>18219</v>
      </c>
    </row>
    <row r="8733">
      <c r="A8733" s="130" t="s">
        <v>29653</v>
      </c>
      <c r="B8733" s="239" t="s">
        <v>16838</v>
      </c>
      <c r="C8733" s="71" t="s">
        <v>18219</v>
      </c>
    </row>
    <row r="8734">
      <c r="A8734" s="130" t="s">
        <v>29655</v>
      </c>
      <c r="B8734" s="239" t="s">
        <v>16838</v>
      </c>
      <c r="C8734" s="71" t="s">
        <v>18219</v>
      </c>
    </row>
    <row r="8735">
      <c r="A8735" s="130" t="s">
        <v>29657</v>
      </c>
      <c r="B8735" s="239" t="s">
        <v>16838</v>
      </c>
      <c r="C8735" s="71" t="s">
        <v>18219</v>
      </c>
    </row>
    <row r="8736">
      <c r="A8736" s="130" t="s">
        <v>29659</v>
      </c>
      <c r="B8736" s="239" t="s">
        <v>16838</v>
      </c>
      <c r="C8736" s="71" t="s">
        <v>18219</v>
      </c>
    </row>
    <row r="8737">
      <c r="A8737" s="130" t="s">
        <v>29661</v>
      </c>
      <c r="B8737" s="239" t="s">
        <v>16838</v>
      </c>
      <c r="C8737" s="71" t="s">
        <v>18219</v>
      </c>
    </row>
    <row r="8738">
      <c r="A8738" s="130" t="s">
        <v>29663</v>
      </c>
      <c r="B8738" s="239" t="s">
        <v>16838</v>
      </c>
      <c r="C8738" s="71" t="s">
        <v>18219</v>
      </c>
    </row>
    <row r="8739">
      <c r="A8739" s="130" t="s">
        <v>29665</v>
      </c>
      <c r="B8739" s="239" t="s">
        <v>16838</v>
      </c>
      <c r="C8739" s="71" t="s">
        <v>18219</v>
      </c>
    </row>
    <row r="8740">
      <c r="A8740" s="130" t="s">
        <v>29667</v>
      </c>
      <c r="B8740" s="239" t="s">
        <v>16838</v>
      </c>
      <c r="C8740" s="71" t="s">
        <v>18219</v>
      </c>
    </row>
    <row r="8741">
      <c r="A8741" s="130" t="s">
        <v>29669</v>
      </c>
      <c r="B8741" s="239" t="s">
        <v>16838</v>
      </c>
      <c r="C8741" s="71" t="s">
        <v>18219</v>
      </c>
    </row>
    <row r="8742">
      <c r="A8742" s="130" t="s">
        <v>29671</v>
      </c>
      <c r="B8742" s="239" t="s">
        <v>16838</v>
      </c>
      <c r="C8742" s="71" t="s">
        <v>18219</v>
      </c>
    </row>
    <row r="8743">
      <c r="A8743" s="130" t="s">
        <v>29673</v>
      </c>
      <c r="B8743" s="239" t="s">
        <v>16838</v>
      </c>
      <c r="C8743" s="71" t="s">
        <v>18219</v>
      </c>
    </row>
    <row r="8744">
      <c r="A8744" s="130" t="s">
        <v>29675</v>
      </c>
      <c r="B8744" s="239" t="s">
        <v>16838</v>
      </c>
      <c r="C8744" s="71" t="s">
        <v>18219</v>
      </c>
    </row>
    <row r="8745">
      <c r="A8745" s="130" t="s">
        <v>29677</v>
      </c>
      <c r="B8745" s="239" t="s">
        <v>16838</v>
      </c>
      <c r="C8745" s="71" t="s">
        <v>18219</v>
      </c>
    </row>
    <row r="8746">
      <c r="A8746" s="130" t="s">
        <v>29679</v>
      </c>
      <c r="B8746" s="239" t="s">
        <v>16838</v>
      </c>
      <c r="C8746" s="71" t="s">
        <v>18219</v>
      </c>
    </row>
    <row r="8747">
      <c r="A8747" s="130" t="s">
        <v>29681</v>
      </c>
      <c r="B8747" s="239" t="s">
        <v>16838</v>
      </c>
      <c r="C8747" s="71" t="s">
        <v>18219</v>
      </c>
    </row>
    <row r="8748">
      <c r="A8748" s="130" t="s">
        <v>29683</v>
      </c>
      <c r="B8748" s="239" t="s">
        <v>16838</v>
      </c>
      <c r="C8748" s="71" t="s">
        <v>18219</v>
      </c>
    </row>
    <row r="8749">
      <c r="A8749" s="130" t="s">
        <v>29685</v>
      </c>
      <c r="B8749" s="239" t="s">
        <v>16838</v>
      </c>
      <c r="C8749" s="71" t="s">
        <v>18219</v>
      </c>
    </row>
    <row r="8750">
      <c r="A8750" s="130" t="s">
        <v>29687</v>
      </c>
      <c r="B8750" s="239" t="s">
        <v>16838</v>
      </c>
      <c r="C8750" s="71" t="s">
        <v>18219</v>
      </c>
    </row>
    <row r="8751">
      <c r="A8751" s="130" t="s">
        <v>29689</v>
      </c>
      <c r="B8751" s="239" t="s">
        <v>16838</v>
      </c>
      <c r="C8751" s="71" t="s">
        <v>18219</v>
      </c>
    </row>
    <row r="8752">
      <c r="A8752" s="130" t="s">
        <v>29691</v>
      </c>
      <c r="B8752" s="239" t="s">
        <v>16838</v>
      </c>
      <c r="C8752" s="71" t="s">
        <v>18219</v>
      </c>
    </row>
    <row r="8753">
      <c r="A8753" s="130" t="s">
        <v>29693</v>
      </c>
      <c r="B8753" s="239" t="s">
        <v>16838</v>
      </c>
      <c r="C8753" s="71" t="s">
        <v>18219</v>
      </c>
    </row>
    <row r="8754">
      <c r="A8754" s="130" t="s">
        <v>29695</v>
      </c>
      <c r="B8754" s="239" t="s">
        <v>16838</v>
      </c>
      <c r="C8754" s="71" t="s">
        <v>18219</v>
      </c>
    </row>
    <row r="8755">
      <c r="A8755" s="130" t="s">
        <v>29697</v>
      </c>
      <c r="B8755" s="239" t="s">
        <v>16838</v>
      </c>
      <c r="C8755" s="71" t="s">
        <v>18219</v>
      </c>
    </row>
    <row r="8756">
      <c r="A8756" s="130" t="s">
        <v>29699</v>
      </c>
      <c r="B8756" s="239" t="s">
        <v>16838</v>
      </c>
      <c r="C8756" s="71" t="s">
        <v>18219</v>
      </c>
    </row>
    <row r="8757">
      <c r="A8757" s="130" t="s">
        <v>29701</v>
      </c>
      <c r="B8757" s="239" t="s">
        <v>16838</v>
      </c>
      <c r="C8757" s="71" t="s">
        <v>18219</v>
      </c>
    </row>
    <row r="8758">
      <c r="A8758" s="130" t="s">
        <v>29703</v>
      </c>
      <c r="B8758" s="239" t="s">
        <v>16838</v>
      </c>
      <c r="C8758" s="71" t="s">
        <v>18219</v>
      </c>
    </row>
    <row r="8759">
      <c r="A8759" s="130" t="s">
        <v>29705</v>
      </c>
      <c r="B8759" s="239" t="s">
        <v>16838</v>
      </c>
      <c r="C8759" s="71" t="s">
        <v>18219</v>
      </c>
    </row>
    <row r="8760">
      <c r="A8760" s="234" t="s">
        <v>29707</v>
      </c>
      <c r="B8760" s="239" t="s">
        <v>16838</v>
      </c>
      <c r="C8760" s="71" t="s">
        <v>18219</v>
      </c>
    </row>
    <row r="8761">
      <c r="A8761" s="130" t="s">
        <v>29709</v>
      </c>
      <c r="B8761" s="239" t="s">
        <v>16838</v>
      </c>
      <c r="C8761" s="71" t="s">
        <v>18219</v>
      </c>
    </row>
    <row r="8762">
      <c r="A8762" s="130" t="s">
        <v>29711</v>
      </c>
      <c r="B8762" s="239" t="s">
        <v>16838</v>
      </c>
      <c r="C8762" s="71" t="s">
        <v>18219</v>
      </c>
    </row>
    <row r="8763">
      <c r="A8763" s="130" t="s">
        <v>29713</v>
      </c>
      <c r="B8763" s="239" t="s">
        <v>16838</v>
      </c>
      <c r="C8763" s="71" t="s">
        <v>18219</v>
      </c>
    </row>
    <row r="8764">
      <c r="A8764" s="130" t="s">
        <v>29715</v>
      </c>
      <c r="B8764" s="239" t="s">
        <v>16838</v>
      </c>
      <c r="C8764" s="71" t="s">
        <v>18219</v>
      </c>
    </row>
    <row r="8765">
      <c r="A8765" s="130" t="s">
        <v>29717</v>
      </c>
      <c r="B8765" s="239" t="s">
        <v>16838</v>
      </c>
      <c r="C8765" s="71" t="s">
        <v>18219</v>
      </c>
    </row>
    <row r="8766">
      <c r="A8766" s="130" t="s">
        <v>29719</v>
      </c>
      <c r="B8766" s="239" t="s">
        <v>16838</v>
      </c>
      <c r="C8766" s="71" t="s">
        <v>18219</v>
      </c>
    </row>
    <row r="8767">
      <c r="A8767" s="130" t="s">
        <v>29721</v>
      </c>
      <c r="B8767" s="239" t="s">
        <v>16838</v>
      </c>
      <c r="C8767" s="71" t="s">
        <v>18219</v>
      </c>
    </row>
    <row r="8768">
      <c r="A8768" s="130" t="s">
        <v>29723</v>
      </c>
      <c r="B8768" s="239" t="s">
        <v>16838</v>
      </c>
      <c r="C8768" s="71" t="s">
        <v>18219</v>
      </c>
    </row>
    <row r="8769">
      <c r="A8769" s="130" t="s">
        <v>29725</v>
      </c>
      <c r="B8769" s="239" t="s">
        <v>16838</v>
      </c>
      <c r="C8769" s="71" t="s">
        <v>18219</v>
      </c>
    </row>
    <row r="8770">
      <c r="A8770" s="130" t="s">
        <v>29727</v>
      </c>
      <c r="B8770" s="239" t="s">
        <v>16838</v>
      </c>
      <c r="C8770" s="71" t="s">
        <v>18219</v>
      </c>
    </row>
    <row r="8771">
      <c r="A8771" s="130" t="s">
        <v>29729</v>
      </c>
      <c r="B8771" s="239" t="s">
        <v>16838</v>
      </c>
      <c r="C8771" s="71" t="s">
        <v>18219</v>
      </c>
    </row>
    <row r="8772">
      <c r="A8772" s="130" t="s">
        <v>29731</v>
      </c>
      <c r="B8772" s="239" t="s">
        <v>16838</v>
      </c>
      <c r="C8772" s="71" t="s">
        <v>18219</v>
      </c>
    </row>
    <row r="8773">
      <c r="A8773" s="130" t="s">
        <v>29733</v>
      </c>
      <c r="B8773" s="239" t="s">
        <v>16838</v>
      </c>
      <c r="C8773" s="71" t="s">
        <v>18219</v>
      </c>
    </row>
    <row r="8774">
      <c r="A8774" s="130" t="s">
        <v>29735</v>
      </c>
      <c r="B8774" s="239" t="s">
        <v>16838</v>
      </c>
      <c r="C8774" s="71" t="s">
        <v>18219</v>
      </c>
    </row>
    <row r="8775">
      <c r="A8775" s="130" t="s">
        <v>29737</v>
      </c>
      <c r="B8775" s="239" t="s">
        <v>16838</v>
      </c>
      <c r="C8775" s="71" t="s">
        <v>18219</v>
      </c>
    </row>
    <row r="8776">
      <c r="A8776" s="130" t="s">
        <v>29739</v>
      </c>
      <c r="B8776" s="239" t="s">
        <v>16838</v>
      </c>
      <c r="C8776" s="71" t="s">
        <v>18219</v>
      </c>
    </row>
    <row r="8777">
      <c r="A8777" s="130" t="s">
        <v>29741</v>
      </c>
      <c r="B8777" s="239" t="s">
        <v>16838</v>
      </c>
      <c r="C8777" s="71" t="s">
        <v>18219</v>
      </c>
    </row>
    <row r="8778">
      <c r="A8778" s="130" t="s">
        <v>29743</v>
      </c>
      <c r="B8778" s="239" t="s">
        <v>16838</v>
      </c>
      <c r="C8778" s="71" t="s">
        <v>18219</v>
      </c>
    </row>
    <row r="8779">
      <c r="A8779" s="130" t="s">
        <v>29745</v>
      </c>
      <c r="B8779" s="239" t="s">
        <v>16838</v>
      </c>
      <c r="C8779" s="71" t="s">
        <v>18219</v>
      </c>
    </row>
    <row r="8780">
      <c r="A8780" s="130" t="s">
        <v>29747</v>
      </c>
      <c r="B8780" s="239" t="s">
        <v>16838</v>
      </c>
      <c r="C8780" s="71" t="s">
        <v>18219</v>
      </c>
    </row>
    <row r="8781">
      <c r="A8781" s="234" t="s">
        <v>29749</v>
      </c>
      <c r="B8781" s="239" t="s">
        <v>16838</v>
      </c>
      <c r="C8781" s="71" t="s">
        <v>18219</v>
      </c>
    </row>
    <row r="8782">
      <c r="A8782" s="130" t="s">
        <v>29751</v>
      </c>
      <c r="B8782" s="239" t="s">
        <v>16838</v>
      </c>
      <c r="C8782" s="71" t="s">
        <v>18219</v>
      </c>
    </row>
    <row r="8783">
      <c r="A8783" s="130" t="s">
        <v>29753</v>
      </c>
      <c r="B8783" s="239" t="s">
        <v>16838</v>
      </c>
      <c r="C8783" s="71" t="s">
        <v>18219</v>
      </c>
    </row>
    <row r="8784">
      <c r="A8784" s="234" t="s">
        <v>29755</v>
      </c>
      <c r="B8784" s="239" t="s">
        <v>16838</v>
      </c>
      <c r="C8784" s="71" t="s">
        <v>18219</v>
      </c>
    </row>
    <row r="8785">
      <c r="A8785" s="234" t="s">
        <v>29757</v>
      </c>
      <c r="B8785" s="239" t="s">
        <v>16838</v>
      </c>
      <c r="C8785" s="71" t="s">
        <v>18219</v>
      </c>
    </row>
    <row r="8786">
      <c r="A8786" s="130" t="s">
        <v>29759</v>
      </c>
      <c r="B8786" s="239" t="s">
        <v>16838</v>
      </c>
      <c r="C8786" s="71" t="s">
        <v>18219</v>
      </c>
    </row>
    <row r="8787">
      <c r="A8787" s="130" t="s">
        <v>29761</v>
      </c>
      <c r="B8787" s="239" t="s">
        <v>16838</v>
      </c>
      <c r="C8787" s="71" t="s">
        <v>18219</v>
      </c>
    </row>
    <row r="8788">
      <c r="A8788" s="130" t="s">
        <v>29763</v>
      </c>
      <c r="B8788" s="239" t="s">
        <v>16838</v>
      </c>
      <c r="C8788" s="71" t="s">
        <v>18219</v>
      </c>
    </row>
    <row r="8789">
      <c r="A8789" s="130" t="s">
        <v>29765</v>
      </c>
      <c r="B8789" s="239" t="s">
        <v>16838</v>
      </c>
      <c r="C8789" s="71" t="s">
        <v>18219</v>
      </c>
    </row>
    <row r="8790">
      <c r="A8790" s="130" t="s">
        <v>29767</v>
      </c>
      <c r="B8790" s="239" t="s">
        <v>16838</v>
      </c>
      <c r="C8790" s="71" t="s">
        <v>18219</v>
      </c>
    </row>
    <row r="8791">
      <c r="A8791" s="130" t="s">
        <v>29769</v>
      </c>
      <c r="B8791" s="239" t="s">
        <v>16838</v>
      </c>
      <c r="C8791" s="71" t="s">
        <v>18219</v>
      </c>
    </row>
    <row r="8792">
      <c r="A8792" s="130" t="s">
        <v>29771</v>
      </c>
      <c r="B8792" s="239" t="s">
        <v>16838</v>
      </c>
      <c r="C8792" s="71" t="s">
        <v>18219</v>
      </c>
    </row>
    <row r="8793">
      <c r="A8793" s="130" t="s">
        <v>29773</v>
      </c>
      <c r="B8793" s="239" t="s">
        <v>16838</v>
      </c>
      <c r="C8793" s="71" t="s">
        <v>18219</v>
      </c>
    </row>
    <row r="8794">
      <c r="A8794" s="234" t="s">
        <v>29775</v>
      </c>
      <c r="B8794" s="239" t="s">
        <v>16838</v>
      </c>
      <c r="C8794" s="71" t="s">
        <v>18219</v>
      </c>
    </row>
    <row r="8795">
      <c r="A8795" s="130" t="s">
        <v>29777</v>
      </c>
      <c r="B8795" s="239" t="s">
        <v>16838</v>
      </c>
      <c r="C8795" s="71" t="s">
        <v>18219</v>
      </c>
    </row>
    <row r="8796">
      <c r="A8796" s="130" t="s">
        <v>29779</v>
      </c>
      <c r="B8796" s="239" t="s">
        <v>16838</v>
      </c>
      <c r="C8796" s="71" t="s">
        <v>18219</v>
      </c>
    </row>
    <row r="8797">
      <c r="A8797" s="130" t="s">
        <v>29781</v>
      </c>
      <c r="B8797" s="239" t="s">
        <v>16838</v>
      </c>
      <c r="C8797" s="71" t="s">
        <v>18219</v>
      </c>
    </row>
    <row r="8798">
      <c r="A8798" s="130" t="s">
        <v>29783</v>
      </c>
      <c r="B8798" s="239" t="s">
        <v>16838</v>
      </c>
      <c r="C8798" s="71" t="s">
        <v>18219</v>
      </c>
    </row>
    <row r="8799">
      <c r="A8799" s="234" t="s">
        <v>29785</v>
      </c>
      <c r="B8799" s="239" t="s">
        <v>16838</v>
      </c>
      <c r="C8799" s="71" t="s">
        <v>18219</v>
      </c>
    </row>
    <row r="8800">
      <c r="A8800" s="130" t="s">
        <v>29787</v>
      </c>
      <c r="B8800" s="239" t="s">
        <v>16838</v>
      </c>
      <c r="C8800" s="71" t="s">
        <v>18219</v>
      </c>
    </row>
    <row r="8801">
      <c r="A8801" s="130" t="s">
        <v>29789</v>
      </c>
      <c r="B8801" s="239" t="s">
        <v>16838</v>
      </c>
      <c r="C8801" s="71" t="s">
        <v>18219</v>
      </c>
    </row>
    <row r="8802">
      <c r="A8802" s="130" t="s">
        <v>29791</v>
      </c>
      <c r="B8802" s="239" t="s">
        <v>16838</v>
      </c>
      <c r="C8802" s="71" t="s">
        <v>18219</v>
      </c>
    </row>
    <row r="8803">
      <c r="A8803" s="130" t="s">
        <v>29793</v>
      </c>
      <c r="B8803" s="239" t="s">
        <v>16838</v>
      </c>
      <c r="C8803" s="71" t="s">
        <v>18219</v>
      </c>
    </row>
    <row r="8804">
      <c r="A8804" s="130" t="s">
        <v>29795</v>
      </c>
      <c r="B8804" s="239" t="s">
        <v>16838</v>
      </c>
      <c r="C8804" s="71" t="s">
        <v>18219</v>
      </c>
    </row>
    <row r="8805">
      <c r="A8805" s="130" t="s">
        <v>29797</v>
      </c>
      <c r="B8805" s="239" t="s">
        <v>16838</v>
      </c>
      <c r="C8805" s="71" t="s">
        <v>18219</v>
      </c>
    </row>
    <row r="8806">
      <c r="A8806" s="130" t="s">
        <v>29799</v>
      </c>
      <c r="B8806" s="239" t="s">
        <v>16838</v>
      </c>
      <c r="C8806" s="71" t="s">
        <v>18219</v>
      </c>
    </row>
    <row r="8807">
      <c r="A8807" s="130" t="s">
        <v>29801</v>
      </c>
      <c r="B8807" s="239" t="s">
        <v>16838</v>
      </c>
      <c r="C8807" s="71" t="s">
        <v>18219</v>
      </c>
    </row>
    <row r="8808">
      <c r="A8808" s="130" t="s">
        <v>29803</v>
      </c>
      <c r="B8808" s="239" t="s">
        <v>16838</v>
      </c>
      <c r="C8808" s="71" t="s">
        <v>18219</v>
      </c>
    </row>
    <row r="8809">
      <c r="A8809" s="130" t="s">
        <v>29805</v>
      </c>
      <c r="B8809" s="239" t="s">
        <v>16838</v>
      </c>
      <c r="C8809" s="71" t="s">
        <v>18219</v>
      </c>
    </row>
    <row r="8810">
      <c r="A8810" s="130" t="s">
        <v>29807</v>
      </c>
      <c r="B8810" s="239" t="s">
        <v>16838</v>
      </c>
      <c r="C8810" s="71" t="s">
        <v>18219</v>
      </c>
    </row>
    <row r="8811">
      <c r="A8811" s="130" t="s">
        <v>29809</v>
      </c>
      <c r="B8811" s="239" t="s">
        <v>16838</v>
      </c>
      <c r="C8811" s="71" t="s">
        <v>18219</v>
      </c>
    </row>
    <row r="8812">
      <c r="A8812" s="130" t="s">
        <v>29811</v>
      </c>
      <c r="B8812" s="239" t="s">
        <v>16838</v>
      </c>
      <c r="C8812" s="71" t="s">
        <v>18219</v>
      </c>
    </row>
    <row r="8813">
      <c r="A8813" s="130" t="s">
        <v>29813</v>
      </c>
      <c r="B8813" s="239" t="s">
        <v>16838</v>
      </c>
      <c r="C8813" s="71" t="s">
        <v>18219</v>
      </c>
    </row>
    <row r="8814">
      <c r="A8814" s="130" t="s">
        <v>29815</v>
      </c>
      <c r="B8814" s="239" t="s">
        <v>16838</v>
      </c>
      <c r="C8814" s="71" t="s">
        <v>18219</v>
      </c>
    </row>
    <row r="8815">
      <c r="A8815" s="130" t="s">
        <v>29817</v>
      </c>
      <c r="B8815" s="239" t="s">
        <v>16838</v>
      </c>
      <c r="C8815" s="71" t="s">
        <v>18219</v>
      </c>
    </row>
    <row r="8816">
      <c r="A8816" s="234" t="s">
        <v>29819</v>
      </c>
      <c r="B8816" s="239" t="s">
        <v>16838</v>
      </c>
      <c r="C8816" s="71" t="s">
        <v>18219</v>
      </c>
    </row>
    <row r="8817">
      <c r="A8817" s="130" t="s">
        <v>29821</v>
      </c>
      <c r="B8817" s="239" t="s">
        <v>16838</v>
      </c>
      <c r="C8817" s="71" t="s">
        <v>18219</v>
      </c>
    </row>
    <row r="8818">
      <c r="A8818" s="130" t="s">
        <v>29823</v>
      </c>
      <c r="B8818" s="239" t="s">
        <v>16838</v>
      </c>
      <c r="C8818" s="71" t="s">
        <v>18219</v>
      </c>
    </row>
    <row r="8819">
      <c r="A8819" s="130" t="s">
        <v>29825</v>
      </c>
      <c r="B8819" s="239" t="s">
        <v>16838</v>
      </c>
      <c r="C8819" s="71" t="s">
        <v>18219</v>
      </c>
    </row>
    <row r="8820">
      <c r="A8820" s="130" t="s">
        <v>29827</v>
      </c>
      <c r="B8820" s="239" t="s">
        <v>16838</v>
      </c>
      <c r="C8820" s="71" t="s">
        <v>18219</v>
      </c>
    </row>
    <row r="8821">
      <c r="A8821" s="130" t="s">
        <v>29829</v>
      </c>
      <c r="B8821" s="239" t="s">
        <v>16838</v>
      </c>
      <c r="C8821" s="71" t="s">
        <v>18219</v>
      </c>
    </row>
    <row r="8822">
      <c r="A8822" s="234" t="s">
        <v>29831</v>
      </c>
      <c r="B8822" s="239" t="s">
        <v>16838</v>
      </c>
      <c r="C8822" s="71" t="s">
        <v>18219</v>
      </c>
    </row>
    <row r="8823">
      <c r="A8823" s="130" t="s">
        <v>29833</v>
      </c>
      <c r="B8823" s="239" t="s">
        <v>16838</v>
      </c>
      <c r="C8823" s="71" t="s">
        <v>18219</v>
      </c>
    </row>
    <row r="8824">
      <c r="A8824" s="130" t="s">
        <v>29835</v>
      </c>
      <c r="B8824" s="239" t="s">
        <v>16838</v>
      </c>
      <c r="C8824" s="71" t="s">
        <v>18219</v>
      </c>
    </row>
    <row r="8825">
      <c r="A8825" s="130" t="s">
        <v>29837</v>
      </c>
      <c r="B8825" s="239" t="s">
        <v>16838</v>
      </c>
      <c r="C8825" s="71" t="s">
        <v>18219</v>
      </c>
    </row>
    <row r="8826">
      <c r="A8826" s="130" t="s">
        <v>29839</v>
      </c>
      <c r="B8826" s="239" t="s">
        <v>16838</v>
      </c>
      <c r="C8826" s="71" t="s">
        <v>18219</v>
      </c>
    </row>
    <row r="8827">
      <c r="A8827" s="130" t="s">
        <v>29841</v>
      </c>
      <c r="B8827" s="239" t="s">
        <v>16838</v>
      </c>
      <c r="C8827" s="71" t="s">
        <v>18219</v>
      </c>
    </row>
    <row r="8828">
      <c r="A8828" s="130" t="s">
        <v>29843</v>
      </c>
      <c r="B8828" s="239" t="s">
        <v>16838</v>
      </c>
      <c r="C8828" s="71" t="s">
        <v>18219</v>
      </c>
    </row>
    <row r="8829">
      <c r="A8829" s="130" t="s">
        <v>29845</v>
      </c>
      <c r="B8829" s="239" t="s">
        <v>16838</v>
      </c>
      <c r="C8829" s="71" t="s">
        <v>18219</v>
      </c>
    </row>
    <row r="8830">
      <c r="A8830" s="234" t="s">
        <v>29847</v>
      </c>
      <c r="B8830" s="239" t="s">
        <v>16838</v>
      </c>
      <c r="C8830" s="71" t="s">
        <v>18219</v>
      </c>
    </row>
    <row r="8831">
      <c r="A8831" s="130" t="s">
        <v>29849</v>
      </c>
      <c r="B8831" s="239" t="s">
        <v>16838</v>
      </c>
      <c r="C8831" s="71" t="s">
        <v>18219</v>
      </c>
    </row>
    <row r="8832">
      <c r="A8832" s="130" t="s">
        <v>29851</v>
      </c>
      <c r="B8832" s="239" t="s">
        <v>16838</v>
      </c>
      <c r="C8832" s="71" t="s">
        <v>18219</v>
      </c>
    </row>
    <row r="8833">
      <c r="A8833" s="130" t="s">
        <v>29853</v>
      </c>
      <c r="B8833" s="239" t="s">
        <v>16838</v>
      </c>
      <c r="C8833" s="71" t="s">
        <v>18219</v>
      </c>
    </row>
    <row r="8834">
      <c r="A8834" s="130" t="s">
        <v>29855</v>
      </c>
      <c r="B8834" s="239" t="s">
        <v>16838</v>
      </c>
      <c r="C8834" s="71" t="s">
        <v>18219</v>
      </c>
    </row>
    <row r="8835">
      <c r="A8835" s="130" t="s">
        <v>29857</v>
      </c>
      <c r="B8835" s="239" t="s">
        <v>16838</v>
      </c>
      <c r="C8835" s="71" t="s">
        <v>18219</v>
      </c>
    </row>
    <row r="8836">
      <c r="A8836" s="130" t="s">
        <v>29859</v>
      </c>
      <c r="B8836" s="239" t="s">
        <v>16838</v>
      </c>
      <c r="C8836" s="71" t="s">
        <v>18219</v>
      </c>
    </row>
    <row r="8837">
      <c r="A8837" s="130" t="s">
        <v>29861</v>
      </c>
      <c r="B8837" s="239" t="s">
        <v>16838</v>
      </c>
      <c r="C8837" s="71" t="s">
        <v>18219</v>
      </c>
    </row>
    <row r="8838">
      <c r="A8838" s="130" t="s">
        <v>29863</v>
      </c>
      <c r="B8838" s="239" t="s">
        <v>16838</v>
      </c>
      <c r="C8838" s="71" t="s">
        <v>18219</v>
      </c>
    </row>
    <row r="8839">
      <c r="A8839" s="130" t="s">
        <v>29865</v>
      </c>
      <c r="B8839" s="239" t="s">
        <v>16838</v>
      </c>
      <c r="C8839" s="71" t="s">
        <v>18219</v>
      </c>
    </row>
    <row r="8840">
      <c r="A8840" s="130" t="s">
        <v>29867</v>
      </c>
      <c r="B8840" s="239" t="s">
        <v>16838</v>
      </c>
      <c r="C8840" s="71" t="s">
        <v>18219</v>
      </c>
    </row>
    <row r="8841">
      <c r="A8841" s="130" t="s">
        <v>29869</v>
      </c>
      <c r="B8841" s="239" t="s">
        <v>16838</v>
      </c>
      <c r="C8841" s="71" t="s">
        <v>18219</v>
      </c>
    </row>
    <row r="8842">
      <c r="A8842" s="130" t="s">
        <v>29871</v>
      </c>
      <c r="B8842" s="239" t="s">
        <v>16838</v>
      </c>
      <c r="C8842" s="71" t="s">
        <v>18219</v>
      </c>
    </row>
    <row r="8843">
      <c r="A8843" s="130" t="s">
        <v>29873</v>
      </c>
      <c r="B8843" s="239" t="s">
        <v>16838</v>
      </c>
      <c r="C8843" s="71" t="s">
        <v>18219</v>
      </c>
    </row>
    <row r="8844">
      <c r="A8844" s="130" t="s">
        <v>29875</v>
      </c>
      <c r="B8844" s="239" t="s">
        <v>16838</v>
      </c>
      <c r="C8844" s="71" t="s">
        <v>18219</v>
      </c>
    </row>
    <row r="8845">
      <c r="A8845" s="130" t="s">
        <v>29877</v>
      </c>
      <c r="B8845" s="239" t="s">
        <v>16838</v>
      </c>
      <c r="C8845" s="71" t="s">
        <v>18219</v>
      </c>
    </row>
    <row r="8846">
      <c r="A8846" s="130" t="s">
        <v>29879</v>
      </c>
      <c r="B8846" s="239" t="s">
        <v>16838</v>
      </c>
      <c r="C8846" s="71" t="s">
        <v>18219</v>
      </c>
    </row>
    <row r="8847">
      <c r="A8847" s="130" t="s">
        <v>29881</v>
      </c>
      <c r="B8847" s="239" t="s">
        <v>16838</v>
      </c>
      <c r="C8847" s="71" t="s">
        <v>18219</v>
      </c>
    </row>
    <row r="8848">
      <c r="A8848" s="130" t="s">
        <v>29883</v>
      </c>
      <c r="B8848" s="239" t="s">
        <v>16838</v>
      </c>
      <c r="C8848" s="71" t="s">
        <v>18219</v>
      </c>
    </row>
    <row r="8849">
      <c r="A8849" s="130" t="s">
        <v>29885</v>
      </c>
      <c r="B8849" s="239" t="s">
        <v>16838</v>
      </c>
      <c r="C8849" s="71" t="s">
        <v>18219</v>
      </c>
    </row>
    <row r="8850">
      <c r="A8850" s="130" t="s">
        <v>29887</v>
      </c>
      <c r="B8850" s="239" t="s">
        <v>16838</v>
      </c>
      <c r="C8850" s="71" t="s">
        <v>18219</v>
      </c>
    </row>
    <row r="8851">
      <c r="A8851" s="130" t="s">
        <v>29889</v>
      </c>
      <c r="B8851" s="239" t="s">
        <v>16838</v>
      </c>
      <c r="C8851" s="71" t="s">
        <v>18219</v>
      </c>
    </row>
    <row r="8852">
      <c r="A8852" s="130" t="s">
        <v>29891</v>
      </c>
      <c r="B8852" s="239" t="s">
        <v>16838</v>
      </c>
      <c r="C8852" s="71" t="s">
        <v>18219</v>
      </c>
    </row>
    <row r="8853">
      <c r="A8853" s="130" t="s">
        <v>29893</v>
      </c>
      <c r="B8853" s="239" t="s">
        <v>16838</v>
      </c>
      <c r="C8853" s="71" t="s">
        <v>18219</v>
      </c>
    </row>
    <row r="8854">
      <c r="A8854" s="234" t="s">
        <v>29895</v>
      </c>
      <c r="B8854" s="239" t="s">
        <v>16838</v>
      </c>
      <c r="C8854" s="71" t="s">
        <v>18219</v>
      </c>
    </row>
    <row r="8855">
      <c r="A8855" s="130" t="s">
        <v>29897</v>
      </c>
      <c r="B8855" s="239" t="s">
        <v>16838</v>
      </c>
      <c r="C8855" s="71" t="s">
        <v>18219</v>
      </c>
    </row>
    <row r="8856">
      <c r="A8856" s="130" t="s">
        <v>29899</v>
      </c>
      <c r="B8856" s="239" t="s">
        <v>16838</v>
      </c>
      <c r="C8856" s="71" t="s">
        <v>18219</v>
      </c>
    </row>
    <row r="8857">
      <c r="A8857" s="130" t="s">
        <v>29901</v>
      </c>
      <c r="B8857" s="239" t="s">
        <v>16838</v>
      </c>
      <c r="C8857" s="71" t="s">
        <v>18219</v>
      </c>
    </row>
    <row r="8858">
      <c r="A8858" s="130" t="s">
        <v>29903</v>
      </c>
      <c r="B8858" s="239" t="s">
        <v>16838</v>
      </c>
      <c r="C8858" s="71" t="s">
        <v>18219</v>
      </c>
    </row>
    <row r="8859">
      <c r="A8859" s="130" t="s">
        <v>29905</v>
      </c>
      <c r="B8859" s="239" t="s">
        <v>16838</v>
      </c>
      <c r="C8859" s="71" t="s">
        <v>18219</v>
      </c>
    </row>
    <row r="8860">
      <c r="A8860" s="130" t="s">
        <v>29907</v>
      </c>
      <c r="B8860" s="239" t="s">
        <v>16838</v>
      </c>
      <c r="C8860" s="71" t="s">
        <v>18219</v>
      </c>
    </row>
    <row r="8861">
      <c r="A8861" s="130" t="s">
        <v>29909</v>
      </c>
      <c r="B8861" s="239" t="s">
        <v>16838</v>
      </c>
      <c r="C8861" s="71" t="s">
        <v>18219</v>
      </c>
    </row>
    <row r="8862">
      <c r="A8862" s="130" t="s">
        <v>29911</v>
      </c>
      <c r="B8862" s="239" t="s">
        <v>16838</v>
      </c>
      <c r="C8862" s="71" t="s">
        <v>18219</v>
      </c>
    </row>
    <row r="8863">
      <c r="A8863" s="234" t="s">
        <v>29913</v>
      </c>
      <c r="B8863" s="239" t="s">
        <v>16838</v>
      </c>
      <c r="C8863" s="71" t="s">
        <v>18219</v>
      </c>
    </row>
    <row r="8864">
      <c r="A8864" s="234" t="s">
        <v>29915</v>
      </c>
      <c r="B8864" s="239" t="s">
        <v>16838</v>
      </c>
      <c r="C8864" s="71" t="s">
        <v>18219</v>
      </c>
    </row>
    <row r="8865">
      <c r="A8865" s="130" t="s">
        <v>29917</v>
      </c>
      <c r="B8865" s="239" t="s">
        <v>16838</v>
      </c>
      <c r="C8865" s="71" t="s">
        <v>18219</v>
      </c>
    </row>
    <row r="8866">
      <c r="A8866" s="130" t="s">
        <v>29919</v>
      </c>
      <c r="B8866" s="239" t="s">
        <v>16838</v>
      </c>
      <c r="C8866" s="71" t="s">
        <v>18219</v>
      </c>
    </row>
    <row r="8867">
      <c r="A8867" s="130" t="s">
        <v>29921</v>
      </c>
      <c r="B8867" s="239" t="s">
        <v>16838</v>
      </c>
      <c r="C8867" s="71" t="s">
        <v>18219</v>
      </c>
    </row>
    <row r="8868">
      <c r="A8868" s="130" t="s">
        <v>29923</v>
      </c>
      <c r="B8868" s="239" t="s">
        <v>16838</v>
      </c>
      <c r="C8868" s="71" t="s">
        <v>18219</v>
      </c>
    </row>
    <row r="8869">
      <c r="A8869" s="130" t="s">
        <v>29925</v>
      </c>
      <c r="B8869" s="239" t="s">
        <v>16838</v>
      </c>
      <c r="C8869" s="71" t="s">
        <v>18219</v>
      </c>
    </row>
    <row r="8870">
      <c r="A8870" s="130" t="s">
        <v>29927</v>
      </c>
      <c r="B8870" s="239" t="s">
        <v>16838</v>
      </c>
      <c r="C8870" s="71" t="s">
        <v>18219</v>
      </c>
    </row>
    <row r="8871">
      <c r="A8871" s="130" t="s">
        <v>29929</v>
      </c>
      <c r="B8871" s="239" t="s">
        <v>16838</v>
      </c>
      <c r="C8871" s="71" t="s">
        <v>18219</v>
      </c>
    </row>
    <row r="8872">
      <c r="A8872" s="130" t="s">
        <v>29931</v>
      </c>
      <c r="B8872" s="239" t="s">
        <v>16838</v>
      </c>
      <c r="C8872" s="71" t="s">
        <v>18219</v>
      </c>
    </row>
    <row r="8873">
      <c r="A8873" s="130" t="s">
        <v>29933</v>
      </c>
      <c r="B8873" s="239" t="s">
        <v>16838</v>
      </c>
      <c r="C8873" s="71" t="s">
        <v>18219</v>
      </c>
    </row>
    <row r="8874">
      <c r="A8874" s="130" t="s">
        <v>29935</v>
      </c>
      <c r="B8874" s="239" t="s">
        <v>16838</v>
      </c>
      <c r="C8874" s="71" t="s">
        <v>18219</v>
      </c>
    </row>
    <row r="8875">
      <c r="A8875" s="234" t="s">
        <v>29937</v>
      </c>
      <c r="B8875" s="239" t="s">
        <v>16838</v>
      </c>
      <c r="C8875" s="71" t="s">
        <v>18219</v>
      </c>
    </row>
    <row r="8876">
      <c r="A8876" s="130" t="s">
        <v>29939</v>
      </c>
      <c r="B8876" s="239" t="s">
        <v>16838</v>
      </c>
      <c r="C8876" s="71" t="s">
        <v>18219</v>
      </c>
    </row>
    <row r="8877">
      <c r="A8877" s="130" t="s">
        <v>29941</v>
      </c>
      <c r="B8877" s="239" t="s">
        <v>16838</v>
      </c>
      <c r="C8877" s="71" t="s">
        <v>18219</v>
      </c>
    </row>
    <row r="8878">
      <c r="A8878" s="130" t="s">
        <v>29943</v>
      </c>
      <c r="B8878" s="239" t="s">
        <v>16838</v>
      </c>
      <c r="C8878" s="71" t="s">
        <v>18219</v>
      </c>
    </row>
    <row r="8879">
      <c r="A8879" s="130" t="s">
        <v>29945</v>
      </c>
      <c r="B8879" s="239" t="s">
        <v>16838</v>
      </c>
      <c r="C8879" s="71" t="s">
        <v>18219</v>
      </c>
    </row>
    <row r="8880">
      <c r="A8880" s="130" t="s">
        <v>29947</v>
      </c>
      <c r="B8880" s="239" t="s">
        <v>16838</v>
      </c>
      <c r="C8880" s="71" t="s">
        <v>18219</v>
      </c>
    </row>
    <row r="8881">
      <c r="A8881" s="130" t="s">
        <v>29949</v>
      </c>
      <c r="B8881" s="239" t="s">
        <v>16838</v>
      </c>
      <c r="C8881" s="71" t="s">
        <v>18219</v>
      </c>
    </row>
    <row r="8882">
      <c r="A8882" s="130" t="s">
        <v>29951</v>
      </c>
      <c r="B8882" s="239" t="s">
        <v>16838</v>
      </c>
      <c r="C8882" s="71" t="s">
        <v>18219</v>
      </c>
    </row>
    <row r="8883">
      <c r="A8883" s="130" t="s">
        <v>29953</v>
      </c>
      <c r="B8883" s="239" t="s">
        <v>16838</v>
      </c>
      <c r="C8883" s="71" t="s">
        <v>18219</v>
      </c>
    </row>
    <row r="8884">
      <c r="A8884" s="130" t="s">
        <v>29955</v>
      </c>
      <c r="B8884" s="239" t="s">
        <v>16838</v>
      </c>
      <c r="C8884" s="71" t="s">
        <v>18219</v>
      </c>
    </row>
    <row r="8885">
      <c r="A8885" s="130" t="s">
        <v>29957</v>
      </c>
      <c r="B8885" s="239" t="s">
        <v>16838</v>
      </c>
      <c r="C8885" s="71" t="s">
        <v>18219</v>
      </c>
    </row>
    <row r="8886">
      <c r="A8886" s="130" t="s">
        <v>29959</v>
      </c>
      <c r="B8886" s="239" t="s">
        <v>16838</v>
      </c>
      <c r="C8886" s="71" t="s">
        <v>18219</v>
      </c>
    </row>
    <row r="8887">
      <c r="A8887" s="130" t="s">
        <v>29961</v>
      </c>
      <c r="B8887" s="239" t="s">
        <v>16838</v>
      </c>
      <c r="C8887" s="71" t="s">
        <v>18219</v>
      </c>
    </row>
    <row r="8888">
      <c r="A8888" s="130" t="s">
        <v>29963</v>
      </c>
      <c r="B8888" s="239" t="s">
        <v>16838</v>
      </c>
      <c r="C8888" s="71" t="s">
        <v>18219</v>
      </c>
    </row>
    <row r="8889">
      <c r="A8889" s="130" t="s">
        <v>29965</v>
      </c>
      <c r="B8889" s="239" t="s">
        <v>16838</v>
      </c>
      <c r="C8889" s="71" t="s">
        <v>18219</v>
      </c>
    </row>
    <row r="8890">
      <c r="A8890" s="130" t="s">
        <v>29967</v>
      </c>
      <c r="B8890" s="239" t="s">
        <v>16838</v>
      </c>
      <c r="C8890" s="71" t="s">
        <v>18219</v>
      </c>
    </row>
    <row r="8891">
      <c r="A8891" s="130" t="s">
        <v>29969</v>
      </c>
      <c r="B8891" s="239" t="s">
        <v>16838</v>
      </c>
      <c r="C8891" s="71" t="s">
        <v>18219</v>
      </c>
    </row>
    <row r="8892">
      <c r="A8892" s="130" t="s">
        <v>29971</v>
      </c>
      <c r="B8892" s="239" t="s">
        <v>16838</v>
      </c>
      <c r="C8892" s="71" t="s">
        <v>18219</v>
      </c>
    </row>
    <row r="8893">
      <c r="A8893" s="130" t="s">
        <v>29973</v>
      </c>
      <c r="B8893" s="239" t="s">
        <v>16838</v>
      </c>
      <c r="C8893" s="71" t="s">
        <v>18219</v>
      </c>
    </row>
    <row r="8894">
      <c r="A8894" s="130" t="s">
        <v>29975</v>
      </c>
      <c r="B8894" s="239" t="s">
        <v>16838</v>
      </c>
      <c r="C8894" s="71" t="s">
        <v>18219</v>
      </c>
    </row>
    <row r="8895">
      <c r="A8895" s="130" t="s">
        <v>29977</v>
      </c>
      <c r="B8895" s="239" t="s">
        <v>16838</v>
      </c>
      <c r="C8895" s="71" t="s">
        <v>18219</v>
      </c>
    </row>
    <row r="8896">
      <c r="A8896" s="234" t="s">
        <v>29979</v>
      </c>
      <c r="B8896" s="239" t="s">
        <v>16838</v>
      </c>
      <c r="C8896" s="71" t="s">
        <v>18219</v>
      </c>
    </row>
    <row r="8897">
      <c r="A8897" s="130" t="s">
        <v>29981</v>
      </c>
      <c r="B8897" s="239" t="s">
        <v>16838</v>
      </c>
      <c r="C8897" s="71" t="s">
        <v>18219</v>
      </c>
    </row>
    <row r="8898">
      <c r="A8898" s="130" t="s">
        <v>29983</v>
      </c>
      <c r="B8898" s="239" t="s">
        <v>16838</v>
      </c>
      <c r="C8898" s="71" t="s">
        <v>18219</v>
      </c>
    </row>
    <row r="8899">
      <c r="A8899" s="234" t="s">
        <v>29985</v>
      </c>
      <c r="B8899" s="239" t="s">
        <v>16838</v>
      </c>
      <c r="C8899" s="71" t="s">
        <v>18219</v>
      </c>
    </row>
    <row r="8900">
      <c r="A8900" s="130" t="s">
        <v>29987</v>
      </c>
      <c r="B8900" s="239" t="s">
        <v>16838</v>
      </c>
      <c r="C8900" s="71" t="s">
        <v>18219</v>
      </c>
    </row>
    <row r="8901">
      <c r="A8901" s="130" t="s">
        <v>29989</v>
      </c>
      <c r="B8901" s="239" t="s">
        <v>16838</v>
      </c>
      <c r="C8901" s="71" t="s">
        <v>18219</v>
      </c>
    </row>
    <row r="8902">
      <c r="A8902" s="130" t="s">
        <v>29991</v>
      </c>
      <c r="B8902" s="239" t="s">
        <v>16838</v>
      </c>
      <c r="C8902" s="71" t="s">
        <v>18219</v>
      </c>
    </row>
    <row r="8903">
      <c r="A8903" s="130" t="s">
        <v>29993</v>
      </c>
      <c r="B8903" s="239" t="s">
        <v>16838</v>
      </c>
      <c r="C8903" s="71" t="s">
        <v>18219</v>
      </c>
    </row>
    <row r="8904">
      <c r="A8904" s="130" t="s">
        <v>29995</v>
      </c>
      <c r="B8904" s="239" t="s">
        <v>16838</v>
      </c>
      <c r="C8904" s="71" t="s">
        <v>18219</v>
      </c>
    </row>
    <row r="8905">
      <c r="A8905" s="130" t="s">
        <v>29997</v>
      </c>
      <c r="B8905" s="239" t="s">
        <v>16838</v>
      </c>
      <c r="C8905" s="71" t="s">
        <v>18219</v>
      </c>
    </row>
    <row r="8906">
      <c r="A8906" s="130" t="s">
        <v>29999</v>
      </c>
      <c r="B8906" s="239" t="s">
        <v>16838</v>
      </c>
      <c r="C8906" s="71" t="s">
        <v>18219</v>
      </c>
    </row>
    <row r="8907">
      <c r="A8907" s="130" t="s">
        <v>30001</v>
      </c>
      <c r="B8907" s="239" t="s">
        <v>16838</v>
      </c>
      <c r="C8907" s="71" t="s">
        <v>18219</v>
      </c>
    </row>
    <row r="8908">
      <c r="A8908" s="130" t="s">
        <v>30003</v>
      </c>
      <c r="B8908" s="239" t="s">
        <v>16838</v>
      </c>
      <c r="C8908" s="71" t="s">
        <v>18219</v>
      </c>
    </row>
    <row r="8909">
      <c r="A8909" s="130" t="s">
        <v>30005</v>
      </c>
      <c r="B8909" s="239" t="s">
        <v>16838</v>
      </c>
      <c r="C8909" s="71" t="s">
        <v>18219</v>
      </c>
    </row>
    <row r="8910">
      <c r="A8910" s="234" t="s">
        <v>30007</v>
      </c>
      <c r="B8910" s="239" t="s">
        <v>16838</v>
      </c>
      <c r="C8910" s="71" t="s">
        <v>18219</v>
      </c>
    </row>
    <row r="8911">
      <c r="A8911" s="234" t="s">
        <v>30009</v>
      </c>
      <c r="B8911" s="239" t="s">
        <v>16838</v>
      </c>
      <c r="C8911" s="71" t="s">
        <v>18219</v>
      </c>
    </row>
    <row r="8912">
      <c r="A8912" s="130" t="s">
        <v>30011</v>
      </c>
      <c r="B8912" s="239" t="s">
        <v>16838</v>
      </c>
      <c r="C8912" s="71" t="s">
        <v>18219</v>
      </c>
    </row>
    <row r="8913">
      <c r="A8913" s="130" t="s">
        <v>30013</v>
      </c>
      <c r="B8913" s="239" t="s">
        <v>16838</v>
      </c>
      <c r="C8913" s="71" t="s">
        <v>18219</v>
      </c>
    </row>
    <row r="8914">
      <c r="A8914" s="130" t="s">
        <v>30015</v>
      </c>
      <c r="B8914" s="239" t="s">
        <v>16838</v>
      </c>
      <c r="C8914" s="71" t="s">
        <v>18219</v>
      </c>
    </row>
    <row r="8915">
      <c r="A8915" s="130" t="s">
        <v>30017</v>
      </c>
      <c r="B8915" s="239" t="s">
        <v>16838</v>
      </c>
      <c r="C8915" s="71" t="s">
        <v>18219</v>
      </c>
    </row>
    <row r="8916">
      <c r="A8916" s="130" t="s">
        <v>30019</v>
      </c>
      <c r="B8916" s="239" t="s">
        <v>16838</v>
      </c>
      <c r="C8916" s="71" t="s">
        <v>18219</v>
      </c>
    </row>
    <row r="8917">
      <c r="A8917" s="234" t="s">
        <v>30021</v>
      </c>
      <c r="B8917" s="239" t="s">
        <v>16838</v>
      </c>
      <c r="C8917" s="71" t="s">
        <v>18219</v>
      </c>
    </row>
    <row r="8918">
      <c r="A8918" s="130" t="s">
        <v>30023</v>
      </c>
      <c r="B8918" s="239" t="s">
        <v>16838</v>
      </c>
      <c r="C8918" s="71" t="s">
        <v>18219</v>
      </c>
    </row>
    <row r="8919">
      <c r="A8919" s="130" t="s">
        <v>30025</v>
      </c>
      <c r="B8919" s="239" t="s">
        <v>16838</v>
      </c>
      <c r="C8919" s="71" t="s">
        <v>18219</v>
      </c>
    </row>
    <row r="8920">
      <c r="A8920" s="130" t="s">
        <v>30027</v>
      </c>
      <c r="B8920" s="239" t="s">
        <v>16838</v>
      </c>
      <c r="C8920" s="71" t="s">
        <v>18219</v>
      </c>
    </row>
    <row r="8921">
      <c r="A8921" s="234" t="s">
        <v>30029</v>
      </c>
      <c r="B8921" s="239" t="s">
        <v>16838</v>
      </c>
      <c r="C8921" s="71" t="s">
        <v>18219</v>
      </c>
    </row>
    <row r="8922">
      <c r="A8922" s="130" t="s">
        <v>30031</v>
      </c>
      <c r="B8922" s="239" t="s">
        <v>16838</v>
      </c>
      <c r="C8922" s="71" t="s">
        <v>18219</v>
      </c>
    </row>
    <row r="8923">
      <c r="A8923" s="130" t="s">
        <v>30033</v>
      </c>
      <c r="B8923" s="239" t="s">
        <v>16838</v>
      </c>
      <c r="C8923" s="71" t="s">
        <v>18219</v>
      </c>
    </row>
    <row r="8924">
      <c r="A8924" s="130" t="s">
        <v>30035</v>
      </c>
      <c r="B8924" s="239" t="s">
        <v>16838</v>
      </c>
      <c r="C8924" s="71" t="s">
        <v>18219</v>
      </c>
    </row>
    <row r="8925">
      <c r="A8925" s="130" t="s">
        <v>30037</v>
      </c>
      <c r="B8925" s="239" t="s">
        <v>16838</v>
      </c>
      <c r="C8925" s="71" t="s">
        <v>18219</v>
      </c>
    </row>
    <row r="8926">
      <c r="A8926" s="130" t="s">
        <v>30039</v>
      </c>
      <c r="B8926" s="239" t="s">
        <v>16838</v>
      </c>
      <c r="C8926" s="71" t="s">
        <v>18219</v>
      </c>
    </row>
    <row r="8927">
      <c r="A8927" s="130" t="s">
        <v>30041</v>
      </c>
      <c r="B8927" s="239" t="s">
        <v>16838</v>
      </c>
      <c r="C8927" s="71" t="s">
        <v>18219</v>
      </c>
    </row>
    <row r="8928">
      <c r="A8928" s="130" t="s">
        <v>30043</v>
      </c>
      <c r="B8928" s="239" t="s">
        <v>16838</v>
      </c>
      <c r="C8928" s="71" t="s">
        <v>18219</v>
      </c>
    </row>
    <row r="8929">
      <c r="A8929" s="130" t="s">
        <v>30045</v>
      </c>
      <c r="B8929" s="239" t="s">
        <v>16838</v>
      </c>
      <c r="C8929" s="71" t="s">
        <v>18219</v>
      </c>
    </row>
    <row r="8930">
      <c r="A8930" s="130" t="s">
        <v>30047</v>
      </c>
      <c r="B8930" s="239" t="s">
        <v>16838</v>
      </c>
      <c r="C8930" s="71" t="s">
        <v>18219</v>
      </c>
    </row>
    <row r="8931">
      <c r="A8931" s="130" t="s">
        <v>30049</v>
      </c>
      <c r="B8931" s="239" t="s">
        <v>16838</v>
      </c>
      <c r="C8931" s="71" t="s">
        <v>18219</v>
      </c>
    </row>
    <row r="8932">
      <c r="A8932" s="130" t="s">
        <v>30051</v>
      </c>
      <c r="B8932" s="239" t="s">
        <v>16838</v>
      </c>
      <c r="C8932" s="71" t="s">
        <v>18219</v>
      </c>
    </row>
    <row r="8933">
      <c r="A8933" s="130" t="s">
        <v>30053</v>
      </c>
      <c r="B8933" s="239" t="s">
        <v>16838</v>
      </c>
      <c r="C8933" s="71" t="s">
        <v>18219</v>
      </c>
    </row>
    <row r="8934">
      <c r="A8934" s="234" t="s">
        <v>30055</v>
      </c>
      <c r="B8934" s="239" t="s">
        <v>16838</v>
      </c>
      <c r="C8934" s="71" t="s">
        <v>18219</v>
      </c>
    </row>
    <row r="8935">
      <c r="A8935" s="130" t="s">
        <v>30057</v>
      </c>
      <c r="B8935" s="239" t="s">
        <v>16838</v>
      </c>
      <c r="C8935" s="71" t="s">
        <v>18219</v>
      </c>
    </row>
    <row r="8936">
      <c r="A8936" s="130" t="s">
        <v>30059</v>
      </c>
      <c r="B8936" s="239" t="s">
        <v>16838</v>
      </c>
      <c r="C8936" s="71" t="s">
        <v>18219</v>
      </c>
    </row>
    <row r="8937">
      <c r="A8937" s="130" t="s">
        <v>30061</v>
      </c>
      <c r="B8937" s="239" t="s">
        <v>16838</v>
      </c>
      <c r="C8937" s="71" t="s">
        <v>18219</v>
      </c>
    </row>
    <row r="8938">
      <c r="A8938" s="130" t="s">
        <v>30063</v>
      </c>
      <c r="B8938" s="239" t="s">
        <v>16838</v>
      </c>
      <c r="C8938" s="71" t="s">
        <v>18219</v>
      </c>
    </row>
    <row r="8939">
      <c r="A8939" s="130" t="s">
        <v>30065</v>
      </c>
      <c r="B8939" s="239" t="s">
        <v>16838</v>
      </c>
      <c r="C8939" s="71" t="s">
        <v>18219</v>
      </c>
    </row>
    <row r="8940">
      <c r="A8940" s="130" t="s">
        <v>30067</v>
      </c>
      <c r="B8940" s="239" t="s">
        <v>16838</v>
      </c>
      <c r="C8940" s="71" t="s">
        <v>18219</v>
      </c>
    </row>
    <row r="8941">
      <c r="A8941" s="130" t="s">
        <v>30069</v>
      </c>
      <c r="B8941" s="239" t="s">
        <v>16838</v>
      </c>
      <c r="C8941" s="71" t="s">
        <v>18219</v>
      </c>
    </row>
    <row r="8942">
      <c r="A8942" s="130" t="s">
        <v>30071</v>
      </c>
      <c r="B8942" s="239" t="s">
        <v>16838</v>
      </c>
      <c r="C8942" s="71" t="s">
        <v>18219</v>
      </c>
    </row>
    <row r="8943">
      <c r="A8943" s="130" t="s">
        <v>30073</v>
      </c>
      <c r="B8943" s="239" t="s">
        <v>16838</v>
      </c>
      <c r="C8943" s="71" t="s">
        <v>18219</v>
      </c>
    </row>
    <row r="8944">
      <c r="A8944" s="130" t="s">
        <v>30075</v>
      </c>
      <c r="B8944" s="239" t="s">
        <v>16838</v>
      </c>
      <c r="C8944" s="71" t="s">
        <v>18219</v>
      </c>
    </row>
    <row r="8945">
      <c r="A8945" s="234" t="s">
        <v>30077</v>
      </c>
      <c r="B8945" s="239" t="s">
        <v>16838</v>
      </c>
      <c r="C8945" s="71" t="s">
        <v>18219</v>
      </c>
    </row>
    <row r="8946">
      <c r="A8946" s="130" t="s">
        <v>30079</v>
      </c>
      <c r="B8946" s="239" t="s">
        <v>16838</v>
      </c>
      <c r="C8946" s="71" t="s">
        <v>18219</v>
      </c>
    </row>
    <row r="8947">
      <c r="A8947" s="130" t="s">
        <v>30081</v>
      </c>
      <c r="B8947" s="239" t="s">
        <v>16838</v>
      </c>
      <c r="C8947" s="71" t="s">
        <v>18219</v>
      </c>
    </row>
    <row r="8948">
      <c r="A8948" s="130" t="s">
        <v>30083</v>
      </c>
      <c r="B8948" s="239" t="s">
        <v>16838</v>
      </c>
      <c r="C8948" s="71" t="s">
        <v>18219</v>
      </c>
    </row>
    <row r="8949">
      <c r="A8949" s="130" t="s">
        <v>30085</v>
      </c>
      <c r="B8949" s="239" t="s">
        <v>16838</v>
      </c>
      <c r="C8949" s="71" t="s">
        <v>18219</v>
      </c>
    </row>
    <row r="8950">
      <c r="A8950" s="130" t="s">
        <v>30087</v>
      </c>
      <c r="B8950" s="239" t="s">
        <v>16838</v>
      </c>
      <c r="C8950" s="71" t="s">
        <v>18219</v>
      </c>
    </row>
    <row r="8951">
      <c r="A8951" s="130" t="s">
        <v>30089</v>
      </c>
      <c r="B8951" s="239" t="s">
        <v>16838</v>
      </c>
      <c r="C8951" s="71" t="s">
        <v>18219</v>
      </c>
    </row>
    <row r="8952">
      <c r="A8952" s="130" t="s">
        <v>30091</v>
      </c>
      <c r="B8952" s="239" t="s">
        <v>16838</v>
      </c>
      <c r="C8952" s="71" t="s">
        <v>18219</v>
      </c>
    </row>
    <row r="8953">
      <c r="A8953" s="130" t="s">
        <v>30093</v>
      </c>
      <c r="B8953" s="239" t="s">
        <v>16838</v>
      </c>
      <c r="C8953" s="71" t="s">
        <v>18219</v>
      </c>
    </row>
    <row r="8954">
      <c r="A8954" s="130" t="s">
        <v>30095</v>
      </c>
      <c r="B8954" s="239" t="s">
        <v>16838</v>
      </c>
      <c r="C8954" s="71" t="s">
        <v>18219</v>
      </c>
    </row>
    <row r="8955">
      <c r="A8955" s="130" t="s">
        <v>30097</v>
      </c>
      <c r="B8955" s="239" t="s">
        <v>16838</v>
      </c>
      <c r="C8955" s="71" t="s">
        <v>18219</v>
      </c>
    </row>
    <row r="8956">
      <c r="A8956" s="130" t="s">
        <v>30099</v>
      </c>
      <c r="B8956" s="239" t="s">
        <v>16838</v>
      </c>
      <c r="C8956" s="71" t="s">
        <v>18219</v>
      </c>
    </row>
    <row r="8957">
      <c r="A8957" s="130" t="s">
        <v>30101</v>
      </c>
      <c r="B8957" s="239" t="s">
        <v>16838</v>
      </c>
      <c r="C8957" s="71" t="s">
        <v>18219</v>
      </c>
    </row>
    <row r="8958">
      <c r="A8958" s="130" t="s">
        <v>30103</v>
      </c>
      <c r="B8958" s="239" t="s">
        <v>16838</v>
      </c>
      <c r="C8958" s="71" t="s">
        <v>18219</v>
      </c>
    </row>
    <row r="8959">
      <c r="A8959" s="130" t="s">
        <v>30105</v>
      </c>
      <c r="B8959" s="239" t="s">
        <v>16838</v>
      </c>
      <c r="C8959" s="71" t="s">
        <v>18219</v>
      </c>
    </row>
    <row r="8960">
      <c r="A8960" s="234" t="s">
        <v>30107</v>
      </c>
      <c r="B8960" s="239" t="s">
        <v>16838</v>
      </c>
      <c r="C8960" s="71" t="s">
        <v>18219</v>
      </c>
    </row>
    <row r="8961">
      <c r="A8961" s="130" t="s">
        <v>30109</v>
      </c>
      <c r="B8961" s="239" t="s">
        <v>16838</v>
      </c>
      <c r="C8961" s="71" t="s">
        <v>18219</v>
      </c>
    </row>
    <row r="8962">
      <c r="A8962" s="130" t="s">
        <v>30111</v>
      </c>
      <c r="B8962" s="239" t="s">
        <v>16838</v>
      </c>
      <c r="C8962" s="71" t="s">
        <v>18219</v>
      </c>
    </row>
    <row r="8963">
      <c r="A8963" s="234" t="s">
        <v>30113</v>
      </c>
      <c r="B8963" s="239" t="s">
        <v>16838</v>
      </c>
      <c r="C8963" s="71" t="s">
        <v>18219</v>
      </c>
    </row>
    <row r="8964">
      <c r="A8964" s="130" t="s">
        <v>30115</v>
      </c>
      <c r="B8964" s="239" t="s">
        <v>16838</v>
      </c>
      <c r="C8964" s="71" t="s">
        <v>18219</v>
      </c>
    </row>
    <row r="8965">
      <c r="A8965" s="130" t="s">
        <v>30117</v>
      </c>
      <c r="B8965" s="239" t="s">
        <v>16838</v>
      </c>
      <c r="C8965" s="71" t="s">
        <v>18219</v>
      </c>
    </row>
    <row r="8966">
      <c r="A8966" s="130" t="s">
        <v>30119</v>
      </c>
      <c r="B8966" s="239" t="s">
        <v>16838</v>
      </c>
      <c r="C8966" s="71" t="s">
        <v>18219</v>
      </c>
    </row>
    <row r="8967">
      <c r="A8967" s="130" t="s">
        <v>30121</v>
      </c>
      <c r="B8967" s="239" t="s">
        <v>16838</v>
      </c>
      <c r="C8967" s="71" t="s">
        <v>18219</v>
      </c>
    </row>
    <row r="8968">
      <c r="A8968" s="130" t="s">
        <v>30123</v>
      </c>
      <c r="B8968" s="239" t="s">
        <v>16838</v>
      </c>
      <c r="C8968" s="71" t="s">
        <v>18219</v>
      </c>
    </row>
    <row r="8969">
      <c r="A8969" s="130" t="s">
        <v>30125</v>
      </c>
      <c r="B8969" s="239" t="s">
        <v>16838</v>
      </c>
      <c r="C8969" s="71" t="s">
        <v>18219</v>
      </c>
    </row>
    <row r="8970">
      <c r="A8970" s="130" t="s">
        <v>30127</v>
      </c>
      <c r="B8970" s="239" t="s">
        <v>16838</v>
      </c>
      <c r="C8970" s="71" t="s">
        <v>18219</v>
      </c>
    </row>
    <row r="8971">
      <c r="A8971" s="130" t="s">
        <v>30129</v>
      </c>
      <c r="B8971" s="239" t="s">
        <v>16838</v>
      </c>
      <c r="C8971" s="71" t="s">
        <v>18219</v>
      </c>
    </row>
    <row r="8972">
      <c r="A8972" s="130" t="s">
        <v>30131</v>
      </c>
      <c r="B8972" s="239" t="s">
        <v>16838</v>
      </c>
      <c r="C8972" s="71" t="s">
        <v>18219</v>
      </c>
    </row>
    <row r="8973">
      <c r="A8973" s="130" t="s">
        <v>30133</v>
      </c>
      <c r="B8973" s="239" t="s">
        <v>16838</v>
      </c>
      <c r="C8973" s="71" t="s">
        <v>18219</v>
      </c>
    </row>
    <row r="8974">
      <c r="A8974" s="130" t="s">
        <v>30135</v>
      </c>
      <c r="B8974" s="239" t="s">
        <v>16838</v>
      </c>
      <c r="C8974" s="71" t="s">
        <v>18219</v>
      </c>
    </row>
    <row r="8975">
      <c r="A8975" s="130" t="s">
        <v>30137</v>
      </c>
      <c r="B8975" s="239" t="s">
        <v>16838</v>
      </c>
      <c r="C8975" s="71" t="s">
        <v>18219</v>
      </c>
    </row>
    <row r="8976">
      <c r="A8976" s="234" t="s">
        <v>30139</v>
      </c>
      <c r="B8976" s="239" t="s">
        <v>16838</v>
      </c>
      <c r="C8976" s="71" t="s">
        <v>18219</v>
      </c>
    </row>
    <row r="8977">
      <c r="A8977" s="130" t="s">
        <v>30141</v>
      </c>
      <c r="B8977" s="239" t="s">
        <v>16838</v>
      </c>
      <c r="C8977" s="71" t="s">
        <v>18219</v>
      </c>
    </row>
    <row r="8978">
      <c r="A8978" s="234" t="s">
        <v>30143</v>
      </c>
      <c r="B8978" s="239" t="s">
        <v>16838</v>
      </c>
      <c r="C8978" s="71" t="s">
        <v>18219</v>
      </c>
    </row>
    <row r="8979">
      <c r="A8979" s="234" t="s">
        <v>30145</v>
      </c>
      <c r="B8979" s="239" t="s">
        <v>16838</v>
      </c>
      <c r="C8979" s="71" t="s">
        <v>18219</v>
      </c>
    </row>
    <row r="8980">
      <c r="A8980" s="130" t="s">
        <v>30147</v>
      </c>
      <c r="B8980" s="239" t="s">
        <v>16838</v>
      </c>
      <c r="C8980" s="71" t="s">
        <v>18219</v>
      </c>
    </row>
    <row r="8981">
      <c r="A8981" s="130" t="s">
        <v>30149</v>
      </c>
      <c r="B8981" s="239" t="s">
        <v>16838</v>
      </c>
      <c r="C8981" s="71" t="s">
        <v>18219</v>
      </c>
    </row>
    <row r="8982">
      <c r="A8982" s="130" t="s">
        <v>30151</v>
      </c>
      <c r="B8982" s="239" t="s">
        <v>16838</v>
      </c>
      <c r="C8982" s="71" t="s">
        <v>18219</v>
      </c>
    </row>
    <row r="8983">
      <c r="A8983" s="130" t="s">
        <v>30153</v>
      </c>
      <c r="B8983" s="239" t="s">
        <v>16838</v>
      </c>
      <c r="C8983" s="71" t="s">
        <v>18219</v>
      </c>
    </row>
    <row r="8984">
      <c r="A8984" s="130" t="s">
        <v>30155</v>
      </c>
      <c r="B8984" s="239" t="s">
        <v>16838</v>
      </c>
      <c r="C8984" s="71" t="s">
        <v>18219</v>
      </c>
    </row>
    <row r="8985">
      <c r="A8985" s="130" t="s">
        <v>30157</v>
      </c>
      <c r="B8985" s="239" t="s">
        <v>16838</v>
      </c>
      <c r="C8985" s="71" t="s">
        <v>18219</v>
      </c>
    </row>
    <row r="8986">
      <c r="A8986" s="234" t="s">
        <v>30159</v>
      </c>
      <c r="B8986" s="239" t="s">
        <v>16926</v>
      </c>
      <c r="C8986" s="71" t="s">
        <v>16960</v>
      </c>
    </row>
    <row r="8987">
      <c r="A8987" s="130" t="s">
        <v>30161</v>
      </c>
      <c r="B8987" s="239" t="s">
        <v>16838</v>
      </c>
      <c r="C8987" s="71" t="s">
        <v>17002</v>
      </c>
    </row>
    <row r="8988">
      <c r="A8988" s="130" t="s">
        <v>30163</v>
      </c>
      <c r="B8988" s="239" t="s">
        <v>16582</v>
      </c>
      <c r="C8988" s="71" t="s">
        <v>16817</v>
      </c>
    </row>
    <row r="8989">
      <c r="A8989" s="130" t="s">
        <v>30165</v>
      </c>
      <c r="B8989" s="239" t="s">
        <v>16582</v>
      </c>
      <c r="C8989" s="71" t="s">
        <v>16817</v>
      </c>
    </row>
    <row r="8990">
      <c r="A8990" s="130" t="s">
        <v>30167</v>
      </c>
      <c r="B8990" s="239" t="s">
        <v>16582</v>
      </c>
      <c r="C8990" s="71" t="s">
        <v>16817</v>
      </c>
    </row>
    <row r="8991">
      <c r="A8991" s="234" t="s">
        <v>29178</v>
      </c>
      <c r="B8991" s="239" t="s">
        <v>16854</v>
      </c>
      <c r="C8991" s="71" t="s">
        <v>175</v>
      </c>
    </row>
    <row r="8992">
      <c r="A8992" s="234" t="s">
        <v>29192</v>
      </c>
      <c r="B8992" s="239" t="s">
        <v>16854</v>
      </c>
      <c r="C8992" s="71" t="s">
        <v>175</v>
      </c>
    </row>
    <row r="8993">
      <c r="A8993" s="234" t="s">
        <v>29190</v>
      </c>
      <c r="B8993" s="239" t="s">
        <v>16824</v>
      </c>
      <c r="C8993" s="71" t="s">
        <v>175</v>
      </c>
    </row>
    <row r="8994">
      <c r="A8994" s="130" t="s">
        <v>30169</v>
      </c>
      <c r="B8994" s="239" t="s">
        <v>169</v>
      </c>
      <c r="C8994" s="71" t="s">
        <v>17013</v>
      </c>
    </row>
    <row r="8995">
      <c r="A8995" s="130" t="s">
        <v>30171</v>
      </c>
      <c r="B8995" s="239" t="s">
        <v>169</v>
      </c>
      <c r="C8995" s="71" t="s">
        <v>17013</v>
      </c>
    </row>
    <row r="8996">
      <c r="A8996" s="130" t="s">
        <v>30173</v>
      </c>
      <c r="B8996" s="239" t="s">
        <v>169</v>
      </c>
      <c r="C8996" s="71" t="s">
        <v>17013</v>
      </c>
    </row>
    <row r="8997">
      <c r="A8997" s="130" t="s">
        <v>30175</v>
      </c>
      <c r="B8997" s="239" t="s">
        <v>169</v>
      </c>
      <c r="C8997" s="71" t="s">
        <v>17013</v>
      </c>
    </row>
    <row r="8998">
      <c r="A8998" s="234" t="s">
        <v>30177</v>
      </c>
      <c r="B8998" s="239" t="s">
        <v>169</v>
      </c>
      <c r="C8998" s="71" t="s">
        <v>17013</v>
      </c>
    </row>
    <row r="8999">
      <c r="A8999" s="130" t="s">
        <v>30179</v>
      </c>
      <c r="B8999" s="239" t="s">
        <v>169</v>
      </c>
      <c r="C8999" s="71" t="s">
        <v>17013</v>
      </c>
    </row>
    <row r="9000">
      <c r="A9000" s="130" t="s">
        <v>30181</v>
      </c>
      <c r="B9000" s="239" t="s">
        <v>169</v>
      </c>
      <c r="C9000" s="71" t="s">
        <v>17013</v>
      </c>
    </row>
    <row r="9001">
      <c r="A9001" s="130" t="s">
        <v>30183</v>
      </c>
      <c r="B9001" s="239" t="s">
        <v>169</v>
      </c>
      <c r="C9001" s="71" t="s">
        <v>17013</v>
      </c>
    </row>
    <row r="9002">
      <c r="A9002" s="234" t="s">
        <v>30185</v>
      </c>
      <c r="B9002" s="239" t="s">
        <v>16838</v>
      </c>
      <c r="C9002" s="71" t="s">
        <v>17838</v>
      </c>
    </row>
    <row r="9003">
      <c r="A9003" s="130" t="s">
        <v>30187</v>
      </c>
      <c r="B9003" s="239" t="s">
        <v>16582</v>
      </c>
      <c r="C9003" s="71" t="s">
        <v>16930</v>
      </c>
    </row>
    <row r="9004">
      <c r="A9004" s="130" t="s">
        <v>30189</v>
      </c>
      <c r="B9004" s="239" t="s">
        <v>16582</v>
      </c>
      <c r="C9004" s="71" t="s">
        <v>16930</v>
      </c>
    </row>
    <row r="9005">
      <c r="A9005" s="130" t="s">
        <v>30191</v>
      </c>
      <c r="B9005" s="239" t="s">
        <v>16582</v>
      </c>
      <c r="C9005" s="71" t="s">
        <v>16930</v>
      </c>
    </row>
    <row r="9006">
      <c r="A9006" s="130" t="s">
        <v>30193</v>
      </c>
      <c r="B9006" s="239" t="s">
        <v>16582</v>
      </c>
      <c r="C9006" s="71" t="s">
        <v>16930</v>
      </c>
    </row>
    <row r="9007">
      <c r="A9007" s="234" t="s">
        <v>29204</v>
      </c>
      <c r="B9007" s="239" t="s">
        <v>16920</v>
      </c>
      <c r="C9007" s="71" t="s">
        <v>158</v>
      </c>
    </row>
    <row r="9008">
      <c r="A9008" s="234" t="s">
        <v>29200</v>
      </c>
      <c r="B9008" s="239" t="s">
        <v>16864</v>
      </c>
      <c r="C9008" s="71" t="s">
        <v>158</v>
      </c>
    </row>
    <row r="9009">
      <c r="A9009" s="234" t="s">
        <v>29228</v>
      </c>
      <c r="B9009" s="239" t="s">
        <v>18219</v>
      </c>
      <c r="C9009" s="71" t="s">
        <v>16838</v>
      </c>
    </row>
    <row r="9010">
      <c r="A9010" s="234" t="s">
        <v>29260</v>
      </c>
      <c r="B9010" s="239" t="s">
        <v>18219</v>
      </c>
      <c r="C9010" s="71" t="s">
        <v>16838</v>
      </c>
    </row>
    <row r="9011">
      <c r="A9011" s="234" t="s">
        <v>29286</v>
      </c>
      <c r="B9011" s="239" t="s">
        <v>18219</v>
      </c>
      <c r="C9011" s="71" t="s">
        <v>16838</v>
      </c>
    </row>
    <row r="9012">
      <c r="A9012" s="234" t="s">
        <v>29288</v>
      </c>
      <c r="B9012" s="239" t="s">
        <v>18219</v>
      </c>
      <c r="C9012" s="71" t="s">
        <v>16838</v>
      </c>
    </row>
    <row r="9013">
      <c r="A9013" s="234" t="s">
        <v>29346</v>
      </c>
      <c r="B9013" s="239" t="s">
        <v>18219</v>
      </c>
      <c r="C9013" s="71" t="s">
        <v>16838</v>
      </c>
    </row>
    <row r="9014">
      <c r="A9014" s="234" t="s">
        <v>29408</v>
      </c>
      <c r="B9014" s="239" t="s">
        <v>18219</v>
      </c>
      <c r="C9014" s="71" t="s">
        <v>16838</v>
      </c>
    </row>
    <row r="9015">
      <c r="A9015" s="234" t="s">
        <v>29418</v>
      </c>
      <c r="B9015" s="239" t="s">
        <v>18219</v>
      </c>
      <c r="C9015" s="71" t="s">
        <v>16838</v>
      </c>
    </row>
    <row r="9016">
      <c r="A9016" s="234" t="s">
        <v>29448</v>
      </c>
      <c r="B9016" s="239" t="s">
        <v>18219</v>
      </c>
      <c r="C9016" s="71" t="s">
        <v>16838</v>
      </c>
    </row>
    <row r="9017">
      <c r="A9017" s="234" t="s">
        <v>29464</v>
      </c>
      <c r="B9017" s="239" t="s">
        <v>18219</v>
      </c>
      <c r="C9017" s="71" t="s">
        <v>16838</v>
      </c>
    </row>
    <row r="9018">
      <c r="A9018" s="234" t="s">
        <v>29498</v>
      </c>
      <c r="B9018" s="239" t="s">
        <v>18219</v>
      </c>
      <c r="C9018" s="71" t="s">
        <v>16838</v>
      </c>
    </row>
    <row r="9019">
      <c r="A9019" s="234" t="s">
        <v>29500</v>
      </c>
      <c r="B9019" s="239" t="s">
        <v>18219</v>
      </c>
      <c r="C9019" s="71" t="s">
        <v>16838</v>
      </c>
    </row>
    <row r="9020">
      <c r="A9020" s="234" t="s">
        <v>29521</v>
      </c>
      <c r="B9020" s="239" t="s">
        <v>18219</v>
      </c>
      <c r="C9020" s="71" t="s">
        <v>16838</v>
      </c>
    </row>
    <row r="9021">
      <c r="A9021" s="234" t="s">
        <v>29523</v>
      </c>
      <c r="B9021" s="239" t="s">
        <v>18219</v>
      </c>
      <c r="C9021" s="71" t="s">
        <v>16838</v>
      </c>
    </row>
    <row r="9022">
      <c r="A9022" s="234" t="s">
        <v>29603</v>
      </c>
      <c r="B9022" s="239" t="s">
        <v>18219</v>
      </c>
      <c r="C9022" s="71" t="s">
        <v>16838</v>
      </c>
    </row>
    <row r="9023">
      <c r="A9023" s="234" t="s">
        <v>29615</v>
      </c>
      <c r="B9023" s="239" t="s">
        <v>18219</v>
      </c>
      <c r="C9023" s="71" t="s">
        <v>16838</v>
      </c>
    </row>
    <row r="9024">
      <c r="A9024" s="234" t="s">
        <v>29707</v>
      </c>
      <c r="B9024" s="239" t="s">
        <v>18219</v>
      </c>
      <c r="C9024" s="71" t="s">
        <v>16838</v>
      </c>
    </row>
    <row r="9025">
      <c r="A9025" s="234" t="s">
        <v>29755</v>
      </c>
      <c r="B9025" s="239" t="s">
        <v>18219</v>
      </c>
      <c r="C9025" s="71" t="s">
        <v>16838</v>
      </c>
    </row>
    <row r="9026">
      <c r="A9026" s="234" t="s">
        <v>29757</v>
      </c>
      <c r="B9026" s="239" t="s">
        <v>18219</v>
      </c>
      <c r="C9026" s="71" t="s">
        <v>16838</v>
      </c>
    </row>
    <row r="9027">
      <c r="A9027" s="234" t="s">
        <v>29775</v>
      </c>
      <c r="B9027" s="239" t="s">
        <v>18219</v>
      </c>
      <c r="C9027" s="71" t="s">
        <v>16838</v>
      </c>
    </row>
    <row r="9028">
      <c r="A9028" s="234" t="s">
        <v>29785</v>
      </c>
      <c r="B9028" s="239" t="s">
        <v>18219</v>
      </c>
      <c r="C9028" s="71" t="s">
        <v>16838</v>
      </c>
    </row>
    <row r="9029">
      <c r="A9029" s="234" t="s">
        <v>29819</v>
      </c>
      <c r="B9029" s="239" t="s">
        <v>18219</v>
      </c>
      <c r="C9029" s="71" t="s">
        <v>16838</v>
      </c>
    </row>
    <row r="9030">
      <c r="A9030" s="234" t="s">
        <v>29831</v>
      </c>
      <c r="B9030" s="239" t="s">
        <v>18219</v>
      </c>
      <c r="C9030" s="71" t="s">
        <v>16838</v>
      </c>
    </row>
    <row r="9031">
      <c r="A9031" s="234" t="s">
        <v>29847</v>
      </c>
      <c r="B9031" s="239" t="s">
        <v>18219</v>
      </c>
      <c r="C9031" s="71" t="s">
        <v>16838</v>
      </c>
    </row>
    <row r="9032">
      <c r="A9032" s="234" t="s">
        <v>29895</v>
      </c>
      <c r="B9032" s="239" t="s">
        <v>18219</v>
      </c>
      <c r="C9032" s="71" t="s">
        <v>16838</v>
      </c>
    </row>
    <row r="9033">
      <c r="A9033" s="234" t="s">
        <v>29913</v>
      </c>
      <c r="B9033" s="239" t="s">
        <v>18219</v>
      </c>
      <c r="C9033" s="71" t="s">
        <v>16838</v>
      </c>
    </row>
    <row r="9034">
      <c r="A9034" s="234" t="s">
        <v>29915</v>
      </c>
      <c r="B9034" s="239" t="s">
        <v>18219</v>
      </c>
      <c r="C9034" s="71" t="s">
        <v>16838</v>
      </c>
    </row>
    <row r="9035">
      <c r="A9035" s="234" t="s">
        <v>29937</v>
      </c>
      <c r="B9035" s="239" t="s">
        <v>18219</v>
      </c>
      <c r="C9035" s="71" t="s">
        <v>16838</v>
      </c>
    </row>
    <row r="9036">
      <c r="A9036" s="234" t="s">
        <v>29985</v>
      </c>
      <c r="B9036" s="239" t="s">
        <v>18219</v>
      </c>
      <c r="C9036" s="71" t="s">
        <v>16838</v>
      </c>
    </row>
    <row r="9037">
      <c r="A9037" s="234" t="s">
        <v>30007</v>
      </c>
      <c r="B9037" s="239" t="s">
        <v>18219</v>
      </c>
      <c r="C9037" s="71" t="s">
        <v>16838</v>
      </c>
    </row>
    <row r="9038">
      <c r="A9038" s="234" t="s">
        <v>30009</v>
      </c>
      <c r="B9038" s="239" t="s">
        <v>18219</v>
      </c>
      <c r="C9038" s="71" t="s">
        <v>16838</v>
      </c>
    </row>
    <row r="9039">
      <c r="A9039" s="234" t="s">
        <v>30021</v>
      </c>
      <c r="B9039" s="239" t="s">
        <v>18219</v>
      </c>
      <c r="C9039" s="71" t="s">
        <v>16838</v>
      </c>
    </row>
    <row r="9040">
      <c r="A9040" s="234" t="s">
        <v>30029</v>
      </c>
      <c r="B9040" s="239" t="s">
        <v>18219</v>
      </c>
      <c r="C9040" s="71" t="s">
        <v>16838</v>
      </c>
    </row>
    <row r="9041">
      <c r="A9041" s="234" t="s">
        <v>30055</v>
      </c>
      <c r="B9041" s="239" t="s">
        <v>18219</v>
      </c>
      <c r="C9041" s="71" t="s">
        <v>16838</v>
      </c>
    </row>
    <row r="9042">
      <c r="A9042" s="234" t="s">
        <v>30077</v>
      </c>
      <c r="B9042" s="239" t="s">
        <v>18219</v>
      </c>
      <c r="C9042" s="71" t="s">
        <v>16838</v>
      </c>
    </row>
    <row r="9043">
      <c r="A9043" s="234" t="s">
        <v>30107</v>
      </c>
      <c r="B9043" s="239" t="s">
        <v>18219</v>
      </c>
      <c r="C9043" s="71" t="s">
        <v>16838</v>
      </c>
    </row>
    <row r="9044">
      <c r="A9044" s="234" t="s">
        <v>30113</v>
      </c>
      <c r="B9044" s="239" t="s">
        <v>18219</v>
      </c>
      <c r="C9044" s="71" t="s">
        <v>16838</v>
      </c>
    </row>
    <row r="9045">
      <c r="A9045" s="234" t="s">
        <v>30139</v>
      </c>
      <c r="B9045" s="239" t="s">
        <v>18219</v>
      </c>
      <c r="C9045" s="71" t="s">
        <v>16838</v>
      </c>
    </row>
    <row r="9046">
      <c r="A9046" s="234" t="s">
        <v>30143</v>
      </c>
      <c r="B9046" s="239" t="s">
        <v>18219</v>
      </c>
      <c r="C9046" s="71" t="s">
        <v>16838</v>
      </c>
    </row>
    <row r="9047">
      <c r="A9047" s="234" t="s">
        <v>30185</v>
      </c>
      <c r="B9047" s="239" t="s">
        <v>17838</v>
      </c>
      <c r="C9047" s="71" t="s">
        <v>16838</v>
      </c>
    </row>
    <row r="9048">
      <c r="A9048" s="234" t="s">
        <v>29248</v>
      </c>
      <c r="B9048" s="239" t="s">
        <v>19644</v>
      </c>
      <c r="C9048" s="71" t="s">
        <v>16838</v>
      </c>
    </row>
    <row r="9049">
      <c r="A9049" s="234" t="s">
        <v>29348</v>
      </c>
      <c r="B9049" s="239" t="s">
        <v>19644</v>
      </c>
      <c r="C9049" s="71" t="s">
        <v>16838</v>
      </c>
    </row>
    <row r="9050">
      <c r="A9050" s="234" t="s">
        <v>29350</v>
      </c>
      <c r="B9050" s="239" t="s">
        <v>19644</v>
      </c>
      <c r="C9050" s="71" t="s">
        <v>16838</v>
      </c>
    </row>
    <row r="9051">
      <c r="A9051" s="234" t="s">
        <v>29352</v>
      </c>
      <c r="B9051" s="239" t="s">
        <v>19644</v>
      </c>
      <c r="C9051" s="71" t="s">
        <v>16838</v>
      </c>
    </row>
    <row r="9052">
      <c r="A9052" s="234" t="s">
        <v>29354</v>
      </c>
      <c r="B9052" s="239" t="s">
        <v>19644</v>
      </c>
      <c r="C9052" s="71" t="s">
        <v>16838</v>
      </c>
    </row>
    <row r="9053">
      <c r="A9053" s="234" t="s">
        <v>30195</v>
      </c>
      <c r="B9053" s="239" t="s">
        <v>19644</v>
      </c>
      <c r="C9053" s="71" t="s">
        <v>16838</v>
      </c>
    </row>
    <row r="9054">
      <c r="A9054" s="234" t="s">
        <v>30197</v>
      </c>
      <c r="B9054" s="239" t="s">
        <v>19644</v>
      </c>
      <c r="C9054" s="71" t="s">
        <v>16838</v>
      </c>
    </row>
    <row r="9055">
      <c r="A9055" s="234" t="s">
        <v>30199</v>
      </c>
      <c r="B9055" s="239" t="s">
        <v>19644</v>
      </c>
      <c r="C9055" s="71" t="s">
        <v>16838</v>
      </c>
    </row>
    <row r="9056">
      <c r="A9056" s="234" t="s">
        <v>30201</v>
      </c>
      <c r="B9056" s="239" t="s">
        <v>19644</v>
      </c>
      <c r="C9056" s="71" t="s">
        <v>16838</v>
      </c>
    </row>
    <row r="9057">
      <c r="A9057" s="234" t="s">
        <v>30203</v>
      </c>
      <c r="B9057" s="239" t="s">
        <v>19644</v>
      </c>
      <c r="C9057" s="71" t="s">
        <v>16838</v>
      </c>
    </row>
    <row r="9058">
      <c r="A9058" s="234" t="s">
        <v>30205</v>
      </c>
      <c r="B9058" s="239" t="s">
        <v>19644</v>
      </c>
      <c r="C9058" s="71" t="s">
        <v>16838</v>
      </c>
    </row>
    <row r="9059">
      <c r="A9059" s="234" t="s">
        <v>30207</v>
      </c>
      <c r="B9059" s="239" t="s">
        <v>19644</v>
      </c>
      <c r="C9059" s="71" t="s">
        <v>16838</v>
      </c>
    </row>
    <row r="9060">
      <c r="A9060" s="234" t="s">
        <v>30209</v>
      </c>
      <c r="B9060" s="239" t="s">
        <v>19644</v>
      </c>
      <c r="C9060" s="71" t="s">
        <v>16838</v>
      </c>
    </row>
    <row r="9061">
      <c r="A9061" s="234" t="s">
        <v>30211</v>
      </c>
      <c r="B9061" s="239" t="s">
        <v>19644</v>
      </c>
      <c r="C9061" s="71" t="s">
        <v>16838</v>
      </c>
    </row>
    <row r="9062">
      <c r="A9062" s="234" t="s">
        <v>30213</v>
      </c>
      <c r="B9062" s="239" t="s">
        <v>19644</v>
      </c>
      <c r="C9062" s="71" t="s">
        <v>16838</v>
      </c>
    </row>
    <row r="9063">
      <c r="A9063" s="234" t="s">
        <v>30215</v>
      </c>
      <c r="B9063" s="239" t="s">
        <v>19644</v>
      </c>
      <c r="C9063" s="71" t="s">
        <v>16838</v>
      </c>
    </row>
    <row r="9064">
      <c r="A9064" s="234" t="s">
        <v>30217</v>
      </c>
      <c r="B9064" s="239" t="s">
        <v>19644</v>
      </c>
      <c r="C9064" s="71" t="s">
        <v>16838</v>
      </c>
    </row>
    <row r="9065">
      <c r="A9065" s="234" t="s">
        <v>30219</v>
      </c>
      <c r="B9065" s="239" t="s">
        <v>19644</v>
      </c>
      <c r="C9065" s="71" t="s">
        <v>16838</v>
      </c>
    </row>
    <row r="9066">
      <c r="A9066" s="234" t="s">
        <v>30221</v>
      </c>
      <c r="B9066" s="239" t="s">
        <v>19644</v>
      </c>
      <c r="C9066" s="71" t="s">
        <v>16838</v>
      </c>
    </row>
    <row r="9067">
      <c r="A9067" s="234" t="s">
        <v>30223</v>
      </c>
      <c r="B9067" s="239" t="s">
        <v>19644</v>
      </c>
      <c r="C9067" s="71" t="s">
        <v>16838</v>
      </c>
    </row>
    <row r="9068">
      <c r="A9068" s="234" t="s">
        <v>30225</v>
      </c>
      <c r="B9068" s="239" t="s">
        <v>19644</v>
      </c>
      <c r="C9068" s="71" t="s">
        <v>16838</v>
      </c>
    </row>
    <row r="9069">
      <c r="A9069" s="234" t="s">
        <v>30227</v>
      </c>
      <c r="B9069" s="239" t="s">
        <v>19644</v>
      </c>
      <c r="C9069" s="71" t="s">
        <v>16838</v>
      </c>
    </row>
    <row r="9070">
      <c r="A9070" s="234" t="s">
        <v>30229</v>
      </c>
      <c r="B9070" s="239" t="s">
        <v>19644</v>
      </c>
      <c r="C9070" s="71" t="s">
        <v>16838</v>
      </c>
    </row>
    <row r="9071">
      <c r="A9071" s="234" t="s">
        <v>30231</v>
      </c>
      <c r="B9071" s="239" t="s">
        <v>19644</v>
      </c>
      <c r="C9071" s="71" t="s">
        <v>16838</v>
      </c>
    </row>
    <row r="9072">
      <c r="A9072" s="234" t="s">
        <v>30233</v>
      </c>
      <c r="B9072" s="239" t="s">
        <v>19644</v>
      </c>
      <c r="C9072" s="71" t="s">
        <v>16838</v>
      </c>
    </row>
    <row r="9073">
      <c r="A9073" s="234" t="s">
        <v>30235</v>
      </c>
      <c r="B9073" s="239" t="s">
        <v>19644</v>
      </c>
      <c r="C9073" s="71" t="s">
        <v>16838</v>
      </c>
    </row>
    <row r="9074">
      <c r="A9074" s="234" t="s">
        <v>30237</v>
      </c>
      <c r="B9074" s="239" t="s">
        <v>19644</v>
      </c>
      <c r="C9074" s="71" t="s">
        <v>16838</v>
      </c>
    </row>
    <row r="9075">
      <c r="A9075" s="234" t="s">
        <v>30239</v>
      </c>
      <c r="B9075" s="239" t="s">
        <v>19644</v>
      </c>
      <c r="C9075" s="71" t="s">
        <v>16838</v>
      </c>
    </row>
    <row r="9076">
      <c r="A9076" s="234" t="s">
        <v>30241</v>
      </c>
      <c r="B9076" s="239" t="s">
        <v>19644</v>
      </c>
      <c r="C9076" s="71" t="s">
        <v>16838</v>
      </c>
    </row>
    <row r="9077">
      <c r="A9077" s="234" t="s">
        <v>30243</v>
      </c>
      <c r="B9077" s="239" t="s">
        <v>19644</v>
      </c>
      <c r="C9077" s="71" t="s">
        <v>16838</v>
      </c>
    </row>
    <row r="9078">
      <c r="A9078" s="234" t="s">
        <v>30245</v>
      </c>
      <c r="B9078" s="239" t="s">
        <v>19644</v>
      </c>
      <c r="C9078" s="71" t="s">
        <v>16838</v>
      </c>
    </row>
    <row r="9079">
      <c r="A9079" s="234" t="s">
        <v>30247</v>
      </c>
      <c r="B9079" s="239" t="s">
        <v>19644</v>
      </c>
      <c r="C9079" s="71" t="s">
        <v>16838</v>
      </c>
    </row>
    <row r="9080">
      <c r="A9080" s="234" t="s">
        <v>30249</v>
      </c>
      <c r="B9080" s="239" t="s">
        <v>19644</v>
      </c>
      <c r="C9080" s="71" t="s">
        <v>16838</v>
      </c>
    </row>
    <row r="9081">
      <c r="A9081" s="234" t="s">
        <v>30251</v>
      </c>
      <c r="B9081" s="239" t="s">
        <v>19644</v>
      </c>
      <c r="C9081" s="71" t="s">
        <v>16838</v>
      </c>
    </row>
    <row r="9082">
      <c r="A9082" s="234" t="s">
        <v>30252</v>
      </c>
      <c r="B9082" s="239" t="s">
        <v>19644</v>
      </c>
      <c r="C9082" s="71" t="s">
        <v>16838</v>
      </c>
    </row>
    <row r="9083">
      <c r="A9083" s="234" t="s">
        <v>30253</v>
      </c>
      <c r="B9083" s="239" t="s">
        <v>19644</v>
      </c>
      <c r="C9083" s="71" t="s">
        <v>16838</v>
      </c>
    </row>
    <row r="9084">
      <c r="A9084" s="234" t="s">
        <v>30255</v>
      </c>
      <c r="B9084" s="239" t="s">
        <v>19644</v>
      </c>
      <c r="C9084" s="71" t="s">
        <v>16838</v>
      </c>
    </row>
    <row r="9085">
      <c r="A9085" s="234" t="s">
        <v>30257</v>
      </c>
      <c r="B9085" s="239" t="s">
        <v>19644</v>
      </c>
      <c r="C9085" s="71" t="s">
        <v>16838</v>
      </c>
    </row>
    <row r="9086">
      <c r="A9086" s="234" t="s">
        <v>30259</v>
      </c>
      <c r="B9086" s="239" t="s">
        <v>19644</v>
      </c>
      <c r="C9086" s="71" t="s">
        <v>16838</v>
      </c>
    </row>
    <row r="9087">
      <c r="A9087" s="234" t="s">
        <v>30261</v>
      </c>
      <c r="B9087" s="239" t="s">
        <v>19644</v>
      </c>
      <c r="C9087" s="71" t="s">
        <v>16838</v>
      </c>
    </row>
    <row r="9088">
      <c r="A9088" s="234" t="s">
        <v>30263</v>
      </c>
      <c r="B9088" s="239" t="s">
        <v>19644</v>
      </c>
      <c r="C9088" s="71" t="s">
        <v>16838</v>
      </c>
    </row>
    <row r="9089">
      <c r="A9089" s="234" t="s">
        <v>30265</v>
      </c>
      <c r="B9089" s="239" t="s">
        <v>19644</v>
      </c>
      <c r="C9089" s="71" t="s">
        <v>16838</v>
      </c>
    </row>
    <row r="9090">
      <c r="A9090" s="234" t="s">
        <v>30267</v>
      </c>
      <c r="B9090" s="239" t="s">
        <v>19644</v>
      </c>
      <c r="C9090" s="71" t="s">
        <v>16838</v>
      </c>
    </row>
    <row r="9091">
      <c r="A9091" s="234" t="s">
        <v>30269</v>
      </c>
      <c r="B9091" s="239" t="s">
        <v>19644</v>
      </c>
      <c r="C9091" s="71" t="s">
        <v>16838</v>
      </c>
    </row>
    <row r="9092">
      <c r="A9092" s="234" t="s">
        <v>30271</v>
      </c>
      <c r="B9092" s="239" t="s">
        <v>19644</v>
      </c>
      <c r="C9092" s="71" t="s">
        <v>16838</v>
      </c>
    </row>
    <row r="9093">
      <c r="A9093" s="234" t="s">
        <v>30273</v>
      </c>
      <c r="B9093" s="239" t="s">
        <v>19644</v>
      </c>
      <c r="C9093" s="71" t="s">
        <v>16838</v>
      </c>
    </row>
    <row r="9094">
      <c r="A9094" s="234" t="s">
        <v>30275</v>
      </c>
      <c r="B9094" s="239" t="s">
        <v>19644</v>
      </c>
      <c r="C9094" s="71" t="s">
        <v>16838</v>
      </c>
    </row>
    <row r="9095">
      <c r="A9095" s="234" t="s">
        <v>30277</v>
      </c>
      <c r="B9095" s="239" t="s">
        <v>19644</v>
      </c>
      <c r="C9095" s="71" t="s">
        <v>16838</v>
      </c>
    </row>
    <row r="9096">
      <c r="A9096" s="234" t="s">
        <v>30279</v>
      </c>
      <c r="B9096" s="239" t="s">
        <v>17016</v>
      </c>
      <c r="C9096" s="71" t="s">
        <v>16838</v>
      </c>
    </row>
    <row r="9097">
      <c r="A9097" s="234" t="s">
        <v>30281</v>
      </c>
      <c r="B9097" s="239" t="s">
        <v>17016</v>
      </c>
      <c r="C9097" s="71" t="s">
        <v>16838</v>
      </c>
    </row>
    <row r="9098">
      <c r="A9098" s="234" t="s">
        <v>30283</v>
      </c>
      <c r="B9098" s="239" t="s">
        <v>17016</v>
      </c>
      <c r="C9098" s="71" t="s">
        <v>16838</v>
      </c>
    </row>
    <row r="9099">
      <c r="A9099" s="234" t="s">
        <v>30285</v>
      </c>
      <c r="B9099" s="239" t="s">
        <v>17016</v>
      </c>
      <c r="C9099" s="71" t="s">
        <v>16838</v>
      </c>
    </row>
    <row r="9100">
      <c r="A9100" s="234" t="s">
        <v>30287</v>
      </c>
      <c r="B9100" s="239" t="s">
        <v>18679</v>
      </c>
      <c r="C9100" s="71" t="s">
        <v>16838</v>
      </c>
    </row>
    <row r="9101">
      <c r="A9101" s="234" t="s">
        <v>30288</v>
      </c>
      <c r="B9101" s="239" t="s">
        <v>18679</v>
      </c>
      <c r="C9101" s="71" t="s">
        <v>16838</v>
      </c>
    </row>
    <row r="9102">
      <c r="A9102" s="234" t="s">
        <v>30289</v>
      </c>
      <c r="B9102" s="239" t="s">
        <v>18679</v>
      </c>
      <c r="C9102" s="71" t="s">
        <v>16838</v>
      </c>
    </row>
    <row r="9103">
      <c r="A9103" s="234" t="s">
        <v>30291</v>
      </c>
      <c r="B9103" s="239" t="s">
        <v>18679</v>
      </c>
      <c r="C9103" s="71" t="s">
        <v>16838</v>
      </c>
    </row>
    <row r="9104">
      <c r="A9104" s="234" t="s">
        <v>30293</v>
      </c>
      <c r="B9104" s="239" t="s">
        <v>18679</v>
      </c>
      <c r="C9104" s="71" t="s">
        <v>16838</v>
      </c>
    </row>
    <row r="9105">
      <c r="A9105" s="234" t="s">
        <v>30295</v>
      </c>
      <c r="B9105" s="239" t="s">
        <v>18679</v>
      </c>
      <c r="C9105" s="71" t="s">
        <v>16838</v>
      </c>
    </row>
    <row r="9106">
      <c r="A9106" s="234" t="s">
        <v>30297</v>
      </c>
      <c r="B9106" s="239" t="s">
        <v>18679</v>
      </c>
      <c r="C9106" s="71" t="s">
        <v>16838</v>
      </c>
    </row>
    <row r="9107">
      <c r="A9107" s="234" t="s">
        <v>30299</v>
      </c>
      <c r="B9107" s="239" t="s">
        <v>18679</v>
      </c>
      <c r="C9107" s="71" t="s">
        <v>16838</v>
      </c>
    </row>
    <row r="9108">
      <c r="A9108" s="234" t="s">
        <v>30301</v>
      </c>
      <c r="B9108" s="239" t="s">
        <v>18679</v>
      </c>
      <c r="C9108" s="71" t="s">
        <v>16838</v>
      </c>
    </row>
    <row r="9109">
      <c r="A9109" s="234" t="s">
        <v>30303</v>
      </c>
      <c r="B9109" s="239" t="s">
        <v>18679</v>
      </c>
      <c r="C9109" s="71" t="s">
        <v>16838</v>
      </c>
    </row>
    <row r="9110">
      <c r="A9110" s="234" t="s">
        <v>30305</v>
      </c>
      <c r="B9110" s="239" t="s">
        <v>18679</v>
      </c>
      <c r="C9110" s="71" t="s">
        <v>16838</v>
      </c>
    </row>
    <row r="9111">
      <c r="A9111" s="234" t="s">
        <v>30307</v>
      </c>
      <c r="B9111" s="239" t="s">
        <v>18679</v>
      </c>
      <c r="C9111" s="71" t="s">
        <v>16838</v>
      </c>
    </row>
    <row r="9112">
      <c r="A9112" s="234" t="s">
        <v>30309</v>
      </c>
      <c r="B9112" s="239" t="s">
        <v>18679</v>
      </c>
      <c r="C9112" s="71" t="s">
        <v>16838</v>
      </c>
    </row>
    <row r="9113">
      <c r="A9113" s="234" t="s">
        <v>30311</v>
      </c>
      <c r="B9113" s="239" t="s">
        <v>18679</v>
      </c>
      <c r="C9113" s="71" t="s">
        <v>16838</v>
      </c>
    </row>
    <row r="9114">
      <c r="A9114" s="234" t="s">
        <v>30313</v>
      </c>
      <c r="B9114" s="239" t="s">
        <v>18679</v>
      </c>
      <c r="C9114" s="71" t="s">
        <v>16838</v>
      </c>
    </row>
    <row r="9115">
      <c r="A9115" s="234" t="s">
        <v>30315</v>
      </c>
      <c r="B9115" s="239" t="s">
        <v>18679</v>
      </c>
      <c r="C9115" s="71" t="s">
        <v>16838</v>
      </c>
    </row>
    <row r="9116">
      <c r="A9116" s="234" t="s">
        <v>30317</v>
      </c>
      <c r="B9116" s="239" t="s">
        <v>18679</v>
      </c>
      <c r="C9116" s="71" t="s">
        <v>16838</v>
      </c>
    </row>
    <row r="9117">
      <c r="A9117" s="234" t="s">
        <v>30319</v>
      </c>
      <c r="B9117" s="239" t="s">
        <v>18679</v>
      </c>
      <c r="C9117" s="71" t="s">
        <v>16838</v>
      </c>
    </row>
    <row r="9118">
      <c r="A9118" s="234" t="s">
        <v>30321</v>
      </c>
      <c r="B9118" s="239" t="s">
        <v>18679</v>
      </c>
      <c r="C9118" s="71" t="s">
        <v>16838</v>
      </c>
    </row>
    <row r="9119">
      <c r="A9119" s="234" t="s">
        <v>30323</v>
      </c>
      <c r="B9119" s="239" t="s">
        <v>18679</v>
      </c>
      <c r="C9119" s="71" t="s">
        <v>16838</v>
      </c>
    </row>
    <row r="9120">
      <c r="A9120" s="234" t="s">
        <v>30325</v>
      </c>
      <c r="B9120" s="239" t="s">
        <v>18679</v>
      </c>
      <c r="C9120" s="71" t="s">
        <v>16838</v>
      </c>
    </row>
    <row r="9121">
      <c r="A9121" s="234" t="s">
        <v>30327</v>
      </c>
      <c r="B9121" s="239" t="s">
        <v>18679</v>
      </c>
      <c r="C9121" s="71" t="s">
        <v>16838</v>
      </c>
    </row>
    <row r="9122">
      <c r="A9122" s="234" t="s">
        <v>30329</v>
      </c>
      <c r="B9122" s="239" t="s">
        <v>18679</v>
      </c>
      <c r="C9122" s="71" t="s">
        <v>16838</v>
      </c>
    </row>
    <row r="9123">
      <c r="A9123" s="234" t="s">
        <v>30331</v>
      </c>
      <c r="B9123" s="239" t="s">
        <v>18679</v>
      </c>
      <c r="C9123" s="71" t="s">
        <v>16838</v>
      </c>
    </row>
    <row r="9124">
      <c r="A9124" s="234" t="s">
        <v>30333</v>
      </c>
      <c r="B9124" s="239" t="s">
        <v>18679</v>
      </c>
      <c r="C9124" s="71" t="s">
        <v>16838</v>
      </c>
    </row>
    <row r="9125">
      <c r="A9125" s="234" t="s">
        <v>30335</v>
      </c>
      <c r="B9125" s="239" t="s">
        <v>18679</v>
      </c>
      <c r="C9125" s="71" t="s">
        <v>16838</v>
      </c>
    </row>
    <row r="9126">
      <c r="A9126" s="234" t="s">
        <v>30337</v>
      </c>
      <c r="B9126" s="239" t="s">
        <v>18679</v>
      </c>
      <c r="C9126" s="71" t="s">
        <v>16838</v>
      </c>
    </row>
    <row r="9127">
      <c r="A9127" s="234" t="s">
        <v>30339</v>
      </c>
      <c r="B9127" s="239" t="s">
        <v>18679</v>
      </c>
      <c r="C9127" s="71" t="s">
        <v>16838</v>
      </c>
    </row>
    <row r="9128">
      <c r="A9128" s="234" t="s">
        <v>30341</v>
      </c>
      <c r="B9128" s="239" t="s">
        <v>18679</v>
      </c>
      <c r="C9128" s="71" t="s">
        <v>16838</v>
      </c>
    </row>
    <row r="9129">
      <c r="A9129" s="234" t="s">
        <v>30343</v>
      </c>
      <c r="B9129" s="239" t="s">
        <v>18679</v>
      </c>
      <c r="C9129" s="71" t="s">
        <v>16838</v>
      </c>
    </row>
    <row r="9130">
      <c r="A9130" s="234" t="s">
        <v>30345</v>
      </c>
      <c r="B9130" s="239" t="s">
        <v>18679</v>
      </c>
      <c r="C9130" s="71" t="s">
        <v>16838</v>
      </c>
    </row>
    <row r="9131">
      <c r="A9131" s="234" t="s">
        <v>30347</v>
      </c>
      <c r="B9131" s="239" t="s">
        <v>18679</v>
      </c>
      <c r="C9131" s="71" t="s">
        <v>16838</v>
      </c>
    </row>
    <row r="9132">
      <c r="A9132" s="234" t="s">
        <v>30349</v>
      </c>
      <c r="B9132" s="239" t="s">
        <v>18679</v>
      </c>
      <c r="C9132" s="71" t="s">
        <v>16838</v>
      </c>
    </row>
    <row r="9133">
      <c r="A9133" s="234" t="s">
        <v>30351</v>
      </c>
      <c r="B9133" s="239" t="s">
        <v>18679</v>
      </c>
      <c r="C9133" s="71" t="s">
        <v>16838</v>
      </c>
    </row>
    <row r="9134">
      <c r="A9134" s="234" t="s">
        <v>30353</v>
      </c>
      <c r="B9134" s="239" t="s">
        <v>18679</v>
      </c>
      <c r="C9134" s="71" t="s">
        <v>16838</v>
      </c>
    </row>
    <row r="9135">
      <c r="A9135" s="234" t="s">
        <v>30355</v>
      </c>
      <c r="B9135" s="239" t="s">
        <v>18679</v>
      </c>
      <c r="C9135" s="71" t="s">
        <v>16838</v>
      </c>
    </row>
    <row r="9136">
      <c r="A9136" s="234" t="s">
        <v>30357</v>
      </c>
      <c r="B9136" s="239" t="s">
        <v>18679</v>
      </c>
      <c r="C9136" s="71" t="s">
        <v>16838</v>
      </c>
    </row>
    <row r="9137">
      <c r="A9137" s="234" t="s">
        <v>30359</v>
      </c>
      <c r="B9137" s="239" t="s">
        <v>17019</v>
      </c>
      <c r="C9137" s="71" t="s">
        <v>16838</v>
      </c>
    </row>
    <row r="9138">
      <c r="A9138" s="234" t="s">
        <v>30361</v>
      </c>
      <c r="B9138" s="239" t="s">
        <v>17019</v>
      </c>
      <c r="C9138" s="71" t="s">
        <v>16838</v>
      </c>
    </row>
    <row r="9139">
      <c r="A9139" s="234" t="s">
        <v>30363</v>
      </c>
      <c r="B9139" s="239" t="s">
        <v>17019</v>
      </c>
      <c r="C9139" s="71" t="s">
        <v>16838</v>
      </c>
    </row>
    <row r="9140">
      <c r="A9140" s="234" t="s">
        <v>30365</v>
      </c>
      <c r="B9140" s="239" t="s">
        <v>17019</v>
      </c>
      <c r="C9140" s="71" t="s">
        <v>16838</v>
      </c>
    </row>
    <row r="9141">
      <c r="A9141" s="234" t="s">
        <v>29234</v>
      </c>
      <c r="B9141" s="239" t="s">
        <v>17202</v>
      </c>
      <c r="C9141" s="71" t="s">
        <v>16838</v>
      </c>
    </row>
    <row r="9142">
      <c r="A9142" s="234" t="s">
        <v>29236</v>
      </c>
      <c r="B9142" s="239" t="s">
        <v>17202</v>
      </c>
      <c r="C9142" s="71" t="s">
        <v>16838</v>
      </c>
    </row>
    <row r="9143">
      <c r="A9143" s="234" t="s">
        <v>29250</v>
      </c>
      <c r="B9143" s="239" t="s">
        <v>17202</v>
      </c>
      <c r="C9143" s="71" t="s">
        <v>16838</v>
      </c>
    </row>
    <row r="9144">
      <c r="A9144" s="234" t="s">
        <v>29358</v>
      </c>
      <c r="B9144" s="239" t="s">
        <v>17202</v>
      </c>
      <c r="C9144" s="71" t="s">
        <v>16838</v>
      </c>
    </row>
    <row r="9145">
      <c r="A9145" s="234" t="s">
        <v>29360</v>
      </c>
      <c r="B9145" s="239" t="s">
        <v>17202</v>
      </c>
      <c r="C9145" s="71" t="s">
        <v>16838</v>
      </c>
    </row>
    <row r="9146">
      <c r="A9146" s="234" t="s">
        <v>29362</v>
      </c>
      <c r="B9146" s="239" t="s">
        <v>17202</v>
      </c>
      <c r="C9146" s="71" t="s">
        <v>16838</v>
      </c>
    </row>
    <row r="9147">
      <c r="A9147" s="234" t="s">
        <v>29364</v>
      </c>
      <c r="B9147" s="239" t="s">
        <v>17202</v>
      </c>
      <c r="C9147" s="71" t="s">
        <v>16838</v>
      </c>
    </row>
    <row r="9148">
      <c r="A9148" s="234" t="s">
        <v>30367</v>
      </c>
      <c r="B9148" s="239" t="s">
        <v>17202</v>
      </c>
      <c r="C9148" s="71" t="s">
        <v>16838</v>
      </c>
    </row>
    <row r="9149">
      <c r="A9149" s="234" t="s">
        <v>30369</v>
      </c>
      <c r="B9149" s="239" t="s">
        <v>17202</v>
      </c>
      <c r="C9149" s="71" t="s">
        <v>16838</v>
      </c>
    </row>
    <row r="9150">
      <c r="A9150" s="234" t="s">
        <v>30371</v>
      </c>
      <c r="B9150" s="239" t="s">
        <v>17202</v>
      </c>
      <c r="C9150" s="71" t="s">
        <v>16838</v>
      </c>
    </row>
    <row r="9151">
      <c r="A9151" s="234" t="s">
        <v>30373</v>
      </c>
      <c r="B9151" s="239" t="s">
        <v>17202</v>
      </c>
      <c r="C9151" s="71" t="s">
        <v>16838</v>
      </c>
    </row>
    <row r="9152">
      <c r="A9152" s="234" t="s">
        <v>30375</v>
      </c>
      <c r="B9152" s="239" t="s">
        <v>17202</v>
      </c>
      <c r="C9152" s="71" t="s">
        <v>16838</v>
      </c>
    </row>
    <row r="9153">
      <c r="A9153" s="234" t="s">
        <v>30377</v>
      </c>
      <c r="B9153" s="239" t="s">
        <v>17202</v>
      </c>
      <c r="C9153" s="71" t="s">
        <v>16838</v>
      </c>
    </row>
    <row r="9154">
      <c r="A9154" s="234" t="s">
        <v>30379</v>
      </c>
      <c r="B9154" s="239" t="s">
        <v>17202</v>
      </c>
      <c r="C9154" s="71" t="s">
        <v>16838</v>
      </c>
    </row>
    <row r="9155">
      <c r="A9155" s="234" t="s">
        <v>30381</v>
      </c>
      <c r="B9155" s="239" t="s">
        <v>17202</v>
      </c>
      <c r="C9155" s="71" t="s">
        <v>16838</v>
      </c>
    </row>
    <row r="9156">
      <c r="A9156" s="234" t="s">
        <v>30383</v>
      </c>
      <c r="B9156" s="239" t="s">
        <v>17202</v>
      </c>
      <c r="C9156" s="71" t="s">
        <v>16838</v>
      </c>
    </row>
    <row r="9157">
      <c r="A9157" s="234" t="s">
        <v>30384</v>
      </c>
      <c r="B9157" s="239" t="s">
        <v>17202</v>
      </c>
      <c r="C9157" s="71" t="s">
        <v>16838</v>
      </c>
    </row>
    <row r="9158">
      <c r="A9158" s="234" t="s">
        <v>30386</v>
      </c>
      <c r="B9158" s="239" t="s">
        <v>17202</v>
      </c>
      <c r="C9158" s="71" t="s">
        <v>16838</v>
      </c>
    </row>
    <row r="9159">
      <c r="A9159" s="234" t="s">
        <v>30388</v>
      </c>
      <c r="B9159" s="239" t="s">
        <v>17202</v>
      </c>
      <c r="C9159" s="71" t="s">
        <v>16838</v>
      </c>
    </row>
    <row r="9160">
      <c r="A9160" s="234" t="s">
        <v>30390</v>
      </c>
      <c r="B9160" s="239" t="s">
        <v>17202</v>
      </c>
      <c r="C9160" s="71" t="s">
        <v>16838</v>
      </c>
    </row>
    <row r="9161">
      <c r="A9161" s="234" t="s">
        <v>30392</v>
      </c>
      <c r="B9161" s="239" t="s">
        <v>17202</v>
      </c>
      <c r="C9161" s="71" t="s">
        <v>16838</v>
      </c>
    </row>
    <row r="9162">
      <c r="A9162" s="234" t="s">
        <v>30394</v>
      </c>
      <c r="B9162" s="239" t="s">
        <v>17202</v>
      </c>
      <c r="C9162" s="71" t="s">
        <v>16838</v>
      </c>
    </row>
    <row r="9163">
      <c r="A9163" s="234" t="s">
        <v>30396</v>
      </c>
      <c r="B9163" s="239" t="s">
        <v>17202</v>
      </c>
      <c r="C9163" s="71" t="s">
        <v>16838</v>
      </c>
    </row>
    <row r="9164">
      <c r="A9164" s="234" t="s">
        <v>30398</v>
      </c>
      <c r="B9164" s="239" t="s">
        <v>17202</v>
      </c>
      <c r="C9164" s="71" t="s">
        <v>16838</v>
      </c>
    </row>
    <row r="9165">
      <c r="A9165" s="234" t="s">
        <v>30399</v>
      </c>
      <c r="B9165" s="239" t="s">
        <v>17202</v>
      </c>
      <c r="C9165" s="71" t="s">
        <v>16838</v>
      </c>
    </row>
    <row r="9166">
      <c r="A9166" s="234" t="s">
        <v>30401</v>
      </c>
      <c r="B9166" s="239" t="s">
        <v>17202</v>
      </c>
      <c r="C9166" s="71" t="s">
        <v>16838</v>
      </c>
    </row>
    <row r="9167">
      <c r="A9167" s="234" t="s">
        <v>30403</v>
      </c>
      <c r="B9167" s="239" t="s">
        <v>17202</v>
      </c>
      <c r="C9167" s="71" t="s">
        <v>16838</v>
      </c>
    </row>
    <row r="9168">
      <c r="A9168" s="234" t="s">
        <v>30405</v>
      </c>
      <c r="B9168" s="239" t="s">
        <v>17202</v>
      </c>
      <c r="C9168" s="71" t="s">
        <v>16838</v>
      </c>
    </row>
    <row r="9169">
      <c r="A9169" s="234" t="s">
        <v>30407</v>
      </c>
      <c r="B9169" s="239" t="s">
        <v>17202</v>
      </c>
      <c r="C9169" s="71" t="s">
        <v>16838</v>
      </c>
    </row>
    <row r="9170">
      <c r="A9170" s="234" t="s">
        <v>30409</v>
      </c>
      <c r="B9170" s="239" t="s">
        <v>17202</v>
      </c>
      <c r="C9170" s="71" t="s">
        <v>16838</v>
      </c>
    </row>
    <row r="9171">
      <c r="A9171" s="234" t="s">
        <v>30411</v>
      </c>
      <c r="B9171" s="239" t="s">
        <v>17202</v>
      </c>
      <c r="C9171" s="71" t="s">
        <v>16838</v>
      </c>
    </row>
    <row r="9172">
      <c r="A9172" s="234" t="s">
        <v>30413</v>
      </c>
      <c r="B9172" s="239" t="s">
        <v>17202</v>
      </c>
      <c r="C9172" s="71" t="s">
        <v>16838</v>
      </c>
    </row>
    <row r="9173">
      <c r="A9173" s="234" t="s">
        <v>30415</v>
      </c>
      <c r="B9173" s="239" t="s">
        <v>17202</v>
      </c>
      <c r="C9173" s="71" t="s">
        <v>16838</v>
      </c>
    </row>
    <row r="9174">
      <c r="A9174" s="234" t="s">
        <v>30417</v>
      </c>
      <c r="B9174" s="239" t="s">
        <v>17202</v>
      </c>
      <c r="C9174" s="71" t="s">
        <v>16838</v>
      </c>
    </row>
    <row r="9175">
      <c r="A9175" s="234" t="s">
        <v>30419</v>
      </c>
      <c r="B9175" s="239" t="s">
        <v>17202</v>
      </c>
      <c r="C9175" s="71" t="s">
        <v>16838</v>
      </c>
    </row>
    <row r="9176">
      <c r="A9176" s="234" t="s">
        <v>30420</v>
      </c>
      <c r="B9176" s="239" t="s">
        <v>17202</v>
      </c>
      <c r="C9176" s="71" t="s">
        <v>16838</v>
      </c>
    </row>
    <row r="9177">
      <c r="A9177" s="234" t="s">
        <v>30422</v>
      </c>
      <c r="B9177" s="239" t="s">
        <v>17202</v>
      </c>
      <c r="C9177" s="71" t="s">
        <v>16838</v>
      </c>
    </row>
    <row r="9178">
      <c r="A9178" s="234" t="s">
        <v>30423</v>
      </c>
      <c r="B9178" s="239" t="s">
        <v>17202</v>
      </c>
      <c r="C9178" s="71" t="s">
        <v>16838</v>
      </c>
    </row>
    <row r="9179">
      <c r="A9179" s="234" t="s">
        <v>30425</v>
      </c>
      <c r="B9179" s="239" t="s">
        <v>17202</v>
      </c>
      <c r="C9179" s="71" t="s">
        <v>16838</v>
      </c>
    </row>
    <row r="9180">
      <c r="A9180" s="234" t="s">
        <v>30427</v>
      </c>
      <c r="B9180" s="239" t="s">
        <v>17202</v>
      </c>
      <c r="C9180" s="71" t="s">
        <v>16838</v>
      </c>
    </row>
    <row r="9181">
      <c r="A9181" s="234" t="s">
        <v>30429</v>
      </c>
      <c r="B9181" s="239" t="s">
        <v>17202</v>
      </c>
      <c r="C9181" s="71" t="s">
        <v>16838</v>
      </c>
    </row>
    <row r="9182">
      <c r="A9182" s="234" t="s">
        <v>30431</v>
      </c>
      <c r="B9182" s="239" t="s">
        <v>17202</v>
      </c>
      <c r="C9182" s="71" t="s">
        <v>16838</v>
      </c>
    </row>
    <row r="9183">
      <c r="A9183" s="234" t="s">
        <v>30433</v>
      </c>
      <c r="B9183" s="239" t="s">
        <v>17202</v>
      </c>
      <c r="C9183" s="71" t="s">
        <v>16838</v>
      </c>
    </row>
    <row r="9184">
      <c r="A9184" s="234" t="s">
        <v>30435</v>
      </c>
      <c r="B9184" s="239" t="s">
        <v>17202</v>
      </c>
      <c r="C9184" s="71" t="s">
        <v>16838</v>
      </c>
    </row>
    <row r="9185">
      <c r="A9185" s="234" t="s">
        <v>30437</v>
      </c>
      <c r="B9185" s="239" t="s">
        <v>17202</v>
      </c>
      <c r="C9185" s="71" t="s">
        <v>16838</v>
      </c>
    </row>
    <row r="9186">
      <c r="A9186" s="234" t="s">
        <v>30439</v>
      </c>
      <c r="B9186" s="239" t="s">
        <v>17202</v>
      </c>
      <c r="C9186" s="71" t="s">
        <v>16838</v>
      </c>
    </row>
    <row r="9187">
      <c r="A9187" s="234" t="s">
        <v>30441</v>
      </c>
      <c r="B9187" s="239" t="s">
        <v>17202</v>
      </c>
      <c r="C9187" s="71" t="s">
        <v>16838</v>
      </c>
    </row>
    <row r="9188">
      <c r="A9188" s="234" t="s">
        <v>30443</v>
      </c>
      <c r="B9188" s="239" t="s">
        <v>17202</v>
      </c>
      <c r="C9188" s="71" t="s">
        <v>16838</v>
      </c>
    </row>
    <row r="9189">
      <c r="A9189" s="234" t="s">
        <v>30445</v>
      </c>
      <c r="B9189" s="239" t="s">
        <v>17202</v>
      </c>
      <c r="C9189" s="71" t="s">
        <v>16838</v>
      </c>
    </row>
    <row r="9190">
      <c r="A9190" s="234" t="s">
        <v>30446</v>
      </c>
      <c r="B9190" s="239" t="s">
        <v>17202</v>
      </c>
      <c r="C9190" s="71" t="s">
        <v>16838</v>
      </c>
    </row>
    <row r="9191">
      <c r="A9191" s="234" t="s">
        <v>30448</v>
      </c>
      <c r="B9191" s="239" t="s">
        <v>17202</v>
      </c>
      <c r="C9191" s="71" t="s">
        <v>16838</v>
      </c>
    </row>
    <row r="9192">
      <c r="A9192" s="234" t="s">
        <v>30450</v>
      </c>
      <c r="B9192" s="239" t="s">
        <v>17202</v>
      </c>
      <c r="C9192" s="71" t="s">
        <v>16838</v>
      </c>
    </row>
    <row r="9193">
      <c r="A9193" s="234" t="s">
        <v>30452</v>
      </c>
      <c r="B9193" s="239" t="s">
        <v>17202</v>
      </c>
      <c r="C9193" s="71" t="s">
        <v>16838</v>
      </c>
    </row>
    <row r="9194">
      <c r="A9194" s="234" t="s">
        <v>30454</v>
      </c>
      <c r="B9194" s="239" t="s">
        <v>17202</v>
      </c>
      <c r="C9194" s="71" t="s">
        <v>16838</v>
      </c>
    </row>
    <row r="9195">
      <c r="A9195" s="234" t="s">
        <v>30456</v>
      </c>
      <c r="B9195" s="239" t="s">
        <v>17202</v>
      </c>
      <c r="C9195" s="71" t="s">
        <v>16838</v>
      </c>
    </row>
    <row r="9196">
      <c r="A9196" s="234" t="s">
        <v>30458</v>
      </c>
      <c r="B9196" s="239" t="s">
        <v>17202</v>
      </c>
      <c r="C9196" s="71" t="s">
        <v>16838</v>
      </c>
    </row>
    <row r="9197">
      <c r="A9197" s="234" t="s">
        <v>30460</v>
      </c>
      <c r="B9197" s="239" t="s">
        <v>17202</v>
      </c>
      <c r="C9197" s="71" t="s">
        <v>16838</v>
      </c>
    </row>
    <row r="9198">
      <c r="A9198" s="234" t="s">
        <v>30462</v>
      </c>
      <c r="B9198" s="239" t="s">
        <v>17202</v>
      </c>
      <c r="C9198" s="71" t="s">
        <v>16838</v>
      </c>
    </row>
    <row r="9199">
      <c r="A9199" s="234" t="s">
        <v>30464</v>
      </c>
      <c r="B9199" s="239" t="s">
        <v>17202</v>
      </c>
      <c r="C9199" s="71" t="s">
        <v>16838</v>
      </c>
    </row>
    <row r="9200">
      <c r="A9200" s="234" t="s">
        <v>30466</v>
      </c>
      <c r="B9200" s="239" t="s">
        <v>17202</v>
      </c>
      <c r="C9200" s="71" t="s">
        <v>16838</v>
      </c>
    </row>
    <row r="9201">
      <c r="A9201" s="234" t="s">
        <v>30468</v>
      </c>
      <c r="B9201" s="239" t="s">
        <v>17202</v>
      </c>
      <c r="C9201" s="71" t="s">
        <v>16838</v>
      </c>
    </row>
    <row r="9202">
      <c r="A9202" s="234" t="s">
        <v>30470</v>
      </c>
      <c r="B9202" s="239" t="s">
        <v>17202</v>
      </c>
      <c r="C9202" s="71" t="s">
        <v>16838</v>
      </c>
    </row>
    <row r="9203">
      <c r="A9203" s="234" t="s">
        <v>30472</v>
      </c>
      <c r="B9203" s="239" t="s">
        <v>17202</v>
      </c>
      <c r="C9203" s="71" t="s">
        <v>16838</v>
      </c>
    </row>
    <row r="9204">
      <c r="A9204" s="234" t="s">
        <v>30474</v>
      </c>
      <c r="B9204" s="239" t="s">
        <v>17202</v>
      </c>
      <c r="C9204" s="71" t="s">
        <v>16838</v>
      </c>
    </row>
    <row r="9205">
      <c r="A9205" s="234" t="s">
        <v>30476</v>
      </c>
      <c r="B9205" s="239" t="s">
        <v>17202</v>
      </c>
      <c r="C9205" s="71" t="s">
        <v>16838</v>
      </c>
    </row>
    <row r="9206">
      <c r="A9206" s="234" t="s">
        <v>30478</v>
      </c>
      <c r="B9206" s="239" t="s">
        <v>17202</v>
      </c>
      <c r="C9206" s="71" t="s">
        <v>16838</v>
      </c>
    </row>
    <row r="9207">
      <c r="A9207" s="234" t="s">
        <v>30480</v>
      </c>
      <c r="B9207" s="239" t="s">
        <v>17202</v>
      </c>
      <c r="C9207" s="71" t="s">
        <v>16838</v>
      </c>
    </row>
    <row r="9208">
      <c r="A9208" s="234" t="s">
        <v>30482</v>
      </c>
      <c r="B9208" s="239" t="s">
        <v>17202</v>
      </c>
      <c r="C9208" s="71" t="s">
        <v>16838</v>
      </c>
    </row>
    <row r="9209">
      <c r="A9209" s="234" t="s">
        <v>30484</v>
      </c>
      <c r="B9209" s="239" t="s">
        <v>17202</v>
      </c>
      <c r="C9209" s="71" t="s">
        <v>16838</v>
      </c>
    </row>
    <row r="9210">
      <c r="A9210" s="234" t="s">
        <v>30486</v>
      </c>
      <c r="B9210" s="239" t="s">
        <v>17202</v>
      </c>
      <c r="C9210" s="71" t="s">
        <v>16838</v>
      </c>
    </row>
    <row r="9211">
      <c r="A9211" s="234" t="s">
        <v>30488</v>
      </c>
      <c r="B9211" s="239" t="s">
        <v>17202</v>
      </c>
      <c r="C9211" s="71" t="s">
        <v>16838</v>
      </c>
    </row>
    <row r="9212">
      <c r="A9212" s="234" t="s">
        <v>30490</v>
      </c>
      <c r="B9212" s="239" t="s">
        <v>17202</v>
      </c>
      <c r="C9212" s="71" t="s">
        <v>16838</v>
      </c>
    </row>
    <row r="9213">
      <c r="A9213" s="234" t="s">
        <v>30492</v>
      </c>
      <c r="B9213" s="239" t="s">
        <v>17202</v>
      </c>
      <c r="C9213" s="71" t="s">
        <v>16838</v>
      </c>
    </row>
    <row r="9214">
      <c r="A9214" s="234" t="s">
        <v>30494</v>
      </c>
      <c r="B9214" s="239" t="s">
        <v>17202</v>
      </c>
      <c r="C9214" s="71" t="s">
        <v>16838</v>
      </c>
    </row>
    <row r="9215">
      <c r="A9215" s="234" t="s">
        <v>30496</v>
      </c>
      <c r="B9215" s="239" t="s">
        <v>17202</v>
      </c>
      <c r="C9215" s="71" t="s">
        <v>16838</v>
      </c>
    </row>
    <row r="9216">
      <c r="A9216" s="234" t="s">
        <v>30498</v>
      </c>
      <c r="B9216" s="239" t="s">
        <v>17202</v>
      </c>
      <c r="C9216" s="71" t="s">
        <v>16838</v>
      </c>
    </row>
    <row r="9217">
      <c r="A9217" s="234" t="s">
        <v>29252</v>
      </c>
      <c r="B9217" s="239" t="s">
        <v>19579</v>
      </c>
      <c r="C9217" s="71" t="s">
        <v>16838</v>
      </c>
    </row>
    <row r="9218">
      <c r="A9218" s="234" t="s">
        <v>29254</v>
      </c>
      <c r="B9218" s="239" t="s">
        <v>19579</v>
      </c>
      <c r="C9218" s="71" t="s">
        <v>16838</v>
      </c>
    </row>
    <row r="9219">
      <c r="A9219" s="234" t="s">
        <v>29368</v>
      </c>
      <c r="B9219" s="239" t="s">
        <v>19579</v>
      </c>
      <c r="C9219" s="71" t="s">
        <v>16838</v>
      </c>
    </row>
    <row r="9220">
      <c r="A9220" s="234" t="s">
        <v>29369</v>
      </c>
      <c r="B9220" s="239" t="s">
        <v>19579</v>
      </c>
      <c r="C9220" s="71" t="s">
        <v>16838</v>
      </c>
    </row>
    <row r="9221">
      <c r="A9221" s="234" t="s">
        <v>29371</v>
      </c>
      <c r="B9221" s="239" t="s">
        <v>19579</v>
      </c>
      <c r="C9221" s="71" t="s">
        <v>16838</v>
      </c>
    </row>
    <row r="9222">
      <c r="A9222" s="234" t="s">
        <v>29373</v>
      </c>
      <c r="B9222" s="239" t="s">
        <v>19579</v>
      </c>
      <c r="C9222" s="71" t="s">
        <v>16838</v>
      </c>
    </row>
    <row r="9223">
      <c r="A9223" s="234" t="s">
        <v>29375</v>
      </c>
      <c r="B9223" s="239" t="s">
        <v>19579</v>
      </c>
      <c r="C9223" s="71" t="s">
        <v>16838</v>
      </c>
    </row>
    <row r="9224">
      <c r="A9224" s="234" t="s">
        <v>29376</v>
      </c>
      <c r="B9224" s="239" t="s">
        <v>19579</v>
      </c>
      <c r="C9224" s="71" t="s">
        <v>16838</v>
      </c>
    </row>
    <row r="9225">
      <c r="A9225" s="234" t="s">
        <v>30500</v>
      </c>
      <c r="B9225" s="239" t="s">
        <v>19579</v>
      </c>
      <c r="C9225" s="71" t="s">
        <v>16838</v>
      </c>
    </row>
    <row r="9226">
      <c r="A9226" s="234" t="s">
        <v>30502</v>
      </c>
      <c r="B9226" s="239" t="s">
        <v>19579</v>
      </c>
      <c r="C9226" s="71" t="s">
        <v>16838</v>
      </c>
    </row>
    <row r="9227">
      <c r="A9227" s="234" t="s">
        <v>30504</v>
      </c>
      <c r="B9227" s="239" t="s">
        <v>19579</v>
      </c>
      <c r="C9227" s="71" t="s">
        <v>16838</v>
      </c>
    </row>
    <row r="9228">
      <c r="A9228" s="234" t="s">
        <v>30506</v>
      </c>
      <c r="B9228" s="239" t="s">
        <v>19579</v>
      </c>
      <c r="C9228" s="71" t="s">
        <v>16838</v>
      </c>
    </row>
    <row r="9229">
      <c r="A9229" s="234" t="s">
        <v>30508</v>
      </c>
      <c r="B9229" s="239" t="s">
        <v>19579</v>
      </c>
      <c r="C9229" s="71" t="s">
        <v>16838</v>
      </c>
    </row>
    <row r="9230">
      <c r="A9230" s="234" t="s">
        <v>30510</v>
      </c>
      <c r="B9230" s="239" t="s">
        <v>19579</v>
      </c>
      <c r="C9230" s="71" t="s">
        <v>16838</v>
      </c>
    </row>
    <row r="9231">
      <c r="A9231" s="234" t="s">
        <v>30512</v>
      </c>
      <c r="B9231" s="239" t="s">
        <v>19579</v>
      </c>
      <c r="C9231" s="71" t="s">
        <v>16838</v>
      </c>
    </row>
    <row r="9232">
      <c r="A9232" s="234" t="s">
        <v>30514</v>
      </c>
      <c r="B9232" s="239" t="s">
        <v>19579</v>
      </c>
      <c r="C9232" s="71" t="s">
        <v>16838</v>
      </c>
    </row>
    <row r="9233">
      <c r="A9233" s="234" t="s">
        <v>30516</v>
      </c>
      <c r="B9233" s="239" t="s">
        <v>19579</v>
      </c>
      <c r="C9233" s="71" t="s">
        <v>16838</v>
      </c>
    </row>
    <row r="9234">
      <c r="A9234" s="234" t="s">
        <v>30518</v>
      </c>
      <c r="B9234" s="239" t="s">
        <v>19579</v>
      </c>
      <c r="C9234" s="71" t="s">
        <v>16838</v>
      </c>
    </row>
    <row r="9235">
      <c r="A9235" s="234" t="s">
        <v>30520</v>
      </c>
      <c r="B9235" s="239" t="s">
        <v>19579</v>
      </c>
      <c r="C9235" s="71" t="s">
        <v>16838</v>
      </c>
    </row>
    <row r="9236">
      <c r="A9236" s="234" t="s">
        <v>30522</v>
      </c>
      <c r="B9236" s="239" t="s">
        <v>19579</v>
      </c>
      <c r="C9236" s="71" t="s">
        <v>16838</v>
      </c>
    </row>
    <row r="9237">
      <c r="A9237" s="234" t="s">
        <v>30524</v>
      </c>
      <c r="B9237" s="239" t="s">
        <v>19579</v>
      </c>
      <c r="C9237" s="71" t="s">
        <v>16838</v>
      </c>
    </row>
    <row r="9238">
      <c r="A9238" s="234" t="s">
        <v>30525</v>
      </c>
      <c r="B9238" s="239" t="s">
        <v>19579</v>
      </c>
      <c r="C9238" s="71" t="s">
        <v>16838</v>
      </c>
    </row>
    <row r="9239">
      <c r="A9239" s="234" t="s">
        <v>30527</v>
      </c>
      <c r="B9239" s="239" t="s">
        <v>19579</v>
      </c>
      <c r="C9239" s="71" t="s">
        <v>16838</v>
      </c>
    </row>
    <row r="9240">
      <c r="A9240" s="234" t="s">
        <v>30529</v>
      </c>
      <c r="B9240" s="239" t="s">
        <v>19579</v>
      </c>
      <c r="C9240" s="71" t="s">
        <v>16838</v>
      </c>
    </row>
    <row r="9241">
      <c r="A9241" s="234" t="s">
        <v>30531</v>
      </c>
      <c r="B9241" s="239" t="s">
        <v>19579</v>
      </c>
      <c r="C9241" s="71" t="s">
        <v>16838</v>
      </c>
    </row>
    <row r="9242">
      <c r="A9242" s="234" t="s">
        <v>30533</v>
      </c>
      <c r="B9242" s="239" t="s">
        <v>19579</v>
      </c>
      <c r="C9242" s="71" t="s">
        <v>16838</v>
      </c>
    </row>
    <row r="9243">
      <c r="A9243" s="234" t="s">
        <v>30535</v>
      </c>
      <c r="B9243" s="239" t="s">
        <v>19579</v>
      </c>
      <c r="C9243" s="71" t="s">
        <v>16838</v>
      </c>
    </row>
    <row r="9244">
      <c r="A9244" s="234" t="s">
        <v>30537</v>
      </c>
      <c r="B9244" s="239" t="s">
        <v>19579</v>
      </c>
      <c r="C9244" s="71" t="s">
        <v>16838</v>
      </c>
    </row>
    <row r="9245">
      <c r="A9245" s="234" t="s">
        <v>30539</v>
      </c>
      <c r="B9245" s="239" t="s">
        <v>19579</v>
      </c>
      <c r="C9245" s="71" t="s">
        <v>16838</v>
      </c>
    </row>
    <row r="9246">
      <c r="A9246" s="234" t="s">
        <v>30541</v>
      </c>
      <c r="B9246" s="239" t="s">
        <v>19579</v>
      </c>
      <c r="C9246" s="71" t="s">
        <v>16838</v>
      </c>
    </row>
    <row r="9247">
      <c r="A9247" s="234" t="s">
        <v>30543</v>
      </c>
      <c r="B9247" s="239" t="s">
        <v>19579</v>
      </c>
      <c r="C9247" s="71" t="s">
        <v>16838</v>
      </c>
    </row>
    <row r="9248">
      <c r="A9248" s="234" t="s">
        <v>30545</v>
      </c>
      <c r="B9248" s="239" t="s">
        <v>19579</v>
      </c>
      <c r="C9248" s="71" t="s">
        <v>16838</v>
      </c>
    </row>
    <row r="9249">
      <c r="A9249" s="234" t="s">
        <v>30547</v>
      </c>
      <c r="B9249" s="239" t="s">
        <v>19579</v>
      </c>
      <c r="C9249" s="71" t="s">
        <v>16838</v>
      </c>
    </row>
    <row r="9250">
      <c r="A9250" s="234" t="s">
        <v>30549</v>
      </c>
      <c r="B9250" s="239" t="s">
        <v>19579</v>
      </c>
      <c r="C9250" s="71" t="s">
        <v>16838</v>
      </c>
    </row>
    <row r="9251">
      <c r="A9251" s="234" t="s">
        <v>30551</v>
      </c>
      <c r="B9251" s="239" t="s">
        <v>19579</v>
      </c>
      <c r="C9251" s="71" t="s">
        <v>16838</v>
      </c>
    </row>
    <row r="9252">
      <c r="A9252" s="234" t="s">
        <v>30553</v>
      </c>
      <c r="B9252" s="239" t="s">
        <v>19579</v>
      </c>
      <c r="C9252" s="71" t="s">
        <v>16838</v>
      </c>
    </row>
    <row r="9253">
      <c r="A9253" s="234" t="s">
        <v>30555</v>
      </c>
      <c r="B9253" s="239" t="s">
        <v>19579</v>
      </c>
      <c r="C9253" s="71" t="s">
        <v>16838</v>
      </c>
    </row>
    <row r="9254">
      <c r="A9254" s="234" t="s">
        <v>30557</v>
      </c>
      <c r="B9254" s="239" t="s">
        <v>19579</v>
      </c>
      <c r="C9254" s="71" t="s">
        <v>16838</v>
      </c>
    </row>
    <row r="9255">
      <c r="A9255" s="234" t="s">
        <v>30559</v>
      </c>
      <c r="B9255" s="239" t="s">
        <v>19579</v>
      </c>
      <c r="C9255" s="71" t="s">
        <v>16838</v>
      </c>
    </row>
    <row r="9256">
      <c r="A9256" s="234" t="s">
        <v>30561</v>
      </c>
      <c r="B9256" s="239" t="s">
        <v>19579</v>
      </c>
      <c r="C9256" s="71" t="s">
        <v>16838</v>
      </c>
    </row>
    <row r="9257">
      <c r="A9257" s="234" t="s">
        <v>30563</v>
      </c>
      <c r="B9257" s="239" t="s">
        <v>19579</v>
      </c>
      <c r="C9257" s="71" t="s">
        <v>16838</v>
      </c>
    </row>
    <row r="9258">
      <c r="A9258" s="234" t="s">
        <v>30565</v>
      </c>
      <c r="B9258" s="239" t="s">
        <v>19579</v>
      </c>
      <c r="C9258" s="71" t="s">
        <v>16838</v>
      </c>
    </row>
    <row r="9259">
      <c r="A9259" s="234" t="s">
        <v>30567</v>
      </c>
      <c r="B9259" s="239" t="s">
        <v>19579</v>
      </c>
      <c r="C9259" s="71" t="s">
        <v>16838</v>
      </c>
    </row>
    <row r="9260">
      <c r="A9260" s="234" t="s">
        <v>30569</v>
      </c>
      <c r="B9260" s="239" t="s">
        <v>19579</v>
      </c>
      <c r="C9260" s="71" t="s">
        <v>16838</v>
      </c>
    </row>
    <row r="9261">
      <c r="A9261" s="234" t="s">
        <v>30571</v>
      </c>
      <c r="B9261" s="239" t="s">
        <v>19579</v>
      </c>
      <c r="C9261" s="71" t="s">
        <v>16838</v>
      </c>
    </row>
    <row r="9262">
      <c r="A9262" s="234" t="s">
        <v>30573</v>
      </c>
      <c r="B9262" s="239" t="s">
        <v>19579</v>
      </c>
      <c r="C9262" s="71" t="s">
        <v>16838</v>
      </c>
    </row>
    <row r="9263">
      <c r="A9263" s="234" t="s">
        <v>30575</v>
      </c>
      <c r="B9263" s="239" t="s">
        <v>19579</v>
      </c>
      <c r="C9263" s="71" t="s">
        <v>16838</v>
      </c>
    </row>
    <row r="9264">
      <c r="A9264" s="234" t="s">
        <v>30577</v>
      </c>
      <c r="B9264" s="239" t="s">
        <v>19579</v>
      </c>
      <c r="C9264" s="71" t="s">
        <v>16838</v>
      </c>
    </row>
    <row r="9265">
      <c r="A9265" s="234" t="s">
        <v>30579</v>
      </c>
      <c r="B9265" s="239" t="s">
        <v>19579</v>
      </c>
      <c r="C9265" s="71" t="s">
        <v>16838</v>
      </c>
    </row>
    <row r="9266">
      <c r="A9266" s="234" t="s">
        <v>30580</v>
      </c>
      <c r="B9266" s="239" t="s">
        <v>19579</v>
      </c>
      <c r="C9266" s="71" t="s">
        <v>16838</v>
      </c>
    </row>
    <row r="9267">
      <c r="A9267" s="234" t="s">
        <v>30582</v>
      </c>
      <c r="B9267" s="239" t="s">
        <v>19579</v>
      </c>
      <c r="C9267" s="71" t="s">
        <v>16838</v>
      </c>
    </row>
    <row r="9268">
      <c r="A9268" s="234" t="s">
        <v>30584</v>
      </c>
      <c r="B9268" s="239" t="s">
        <v>19579</v>
      </c>
      <c r="C9268" s="71" t="s">
        <v>16838</v>
      </c>
    </row>
    <row r="9269">
      <c r="A9269" s="234" t="s">
        <v>30586</v>
      </c>
      <c r="B9269" s="239" t="s">
        <v>19579</v>
      </c>
      <c r="C9269" s="71" t="s">
        <v>16838</v>
      </c>
    </row>
    <row r="9270">
      <c r="A9270" s="234" t="s">
        <v>30588</v>
      </c>
      <c r="B9270" s="239" t="s">
        <v>19579</v>
      </c>
      <c r="C9270" s="71" t="s">
        <v>16838</v>
      </c>
    </row>
    <row r="9271">
      <c r="A9271" s="234" t="s">
        <v>30590</v>
      </c>
      <c r="B9271" s="239" t="s">
        <v>19579</v>
      </c>
      <c r="C9271" s="71" t="s">
        <v>16838</v>
      </c>
    </row>
    <row r="9272">
      <c r="A9272" s="234" t="s">
        <v>30592</v>
      </c>
      <c r="B9272" s="239" t="s">
        <v>19579</v>
      </c>
      <c r="C9272" s="71" t="s">
        <v>16838</v>
      </c>
    </row>
    <row r="9273">
      <c r="A9273" s="234" t="s">
        <v>30594</v>
      </c>
      <c r="B9273" s="239" t="s">
        <v>19579</v>
      </c>
      <c r="C9273" s="71" t="s">
        <v>16838</v>
      </c>
    </row>
    <row r="9274">
      <c r="A9274" s="234" t="s">
        <v>30596</v>
      </c>
      <c r="B9274" s="239" t="s">
        <v>19579</v>
      </c>
      <c r="C9274" s="71" t="s">
        <v>16838</v>
      </c>
    </row>
    <row r="9275">
      <c r="A9275" s="234" t="s">
        <v>30598</v>
      </c>
      <c r="B9275" s="239" t="s">
        <v>19579</v>
      </c>
      <c r="C9275" s="71" t="s">
        <v>16838</v>
      </c>
    </row>
    <row r="9276">
      <c r="A9276" s="234" t="s">
        <v>30600</v>
      </c>
      <c r="B9276" s="239" t="s">
        <v>19579</v>
      </c>
      <c r="C9276" s="71" t="s">
        <v>16838</v>
      </c>
    </row>
    <row r="9277">
      <c r="A9277" s="234" t="s">
        <v>30602</v>
      </c>
      <c r="B9277" s="239" t="s">
        <v>19579</v>
      </c>
      <c r="C9277" s="71" t="s">
        <v>16838</v>
      </c>
    </row>
    <row r="9278">
      <c r="A9278" s="234" t="s">
        <v>30604</v>
      </c>
      <c r="B9278" s="239" t="s">
        <v>19579</v>
      </c>
      <c r="C9278" s="71" t="s">
        <v>16838</v>
      </c>
    </row>
    <row r="9279">
      <c r="A9279" s="234" t="s">
        <v>30606</v>
      </c>
      <c r="B9279" s="239" t="s">
        <v>19579</v>
      </c>
      <c r="C9279" s="71" t="s">
        <v>16838</v>
      </c>
    </row>
    <row r="9280">
      <c r="A9280" s="234" t="s">
        <v>30608</v>
      </c>
      <c r="B9280" s="239" t="s">
        <v>19579</v>
      </c>
      <c r="C9280" s="71" t="s">
        <v>16838</v>
      </c>
    </row>
    <row r="9281">
      <c r="A9281" s="234" t="s">
        <v>30610</v>
      </c>
      <c r="B9281" s="239" t="s">
        <v>19579</v>
      </c>
      <c r="C9281" s="71" t="s">
        <v>16838</v>
      </c>
    </row>
    <row r="9282">
      <c r="A9282" s="234" t="s">
        <v>30612</v>
      </c>
      <c r="B9282" s="239" t="s">
        <v>19579</v>
      </c>
      <c r="C9282" s="71" t="s">
        <v>16838</v>
      </c>
    </row>
    <row r="9283">
      <c r="A9283" s="234" t="s">
        <v>30613</v>
      </c>
      <c r="B9283" s="239" t="s">
        <v>19579</v>
      </c>
      <c r="C9283" s="71" t="s">
        <v>16838</v>
      </c>
    </row>
    <row r="9284">
      <c r="A9284" s="234" t="s">
        <v>30615</v>
      </c>
      <c r="B9284" s="239" t="s">
        <v>19579</v>
      </c>
      <c r="C9284" s="71" t="s">
        <v>16838</v>
      </c>
    </row>
    <row r="9285">
      <c r="A9285" s="234" t="s">
        <v>30617</v>
      </c>
      <c r="B9285" s="239" t="s">
        <v>19579</v>
      </c>
      <c r="C9285" s="71" t="s">
        <v>16838</v>
      </c>
    </row>
    <row r="9286">
      <c r="A9286" s="234" t="s">
        <v>30619</v>
      </c>
      <c r="B9286" s="239" t="s">
        <v>19579</v>
      </c>
      <c r="C9286" s="71" t="s">
        <v>16838</v>
      </c>
    </row>
    <row r="9287">
      <c r="A9287" s="234" t="s">
        <v>30621</v>
      </c>
      <c r="B9287" s="239" t="s">
        <v>19579</v>
      </c>
      <c r="C9287" s="71" t="s">
        <v>16838</v>
      </c>
    </row>
    <row r="9288">
      <c r="A9288" s="234" t="s">
        <v>30623</v>
      </c>
      <c r="B9288" s="239" t="s">
        <v>19579</v>
      </c>
      <c r="C9288" s="71" t="s">
        <v>16838</v>
      </c>
    </row>
    <row r="9289">
      <c r="A9289" s="234" t="s">
        <v>30625</v>
      </c>
      <c r="B9289" s="239" t="s">
        <v>19579</v>
      </c>
      <c r="C9289" s="71" t="s">
        <v>16838</v>
      </c>
    </row>
    <row r="9290">
      <c r="A9290" s="234" t="s">
        <v>30627</v>
      </c>
      <c r="B9290" s="239" t="s">
        <v>19579</v>
      </c>
      <c r="C9290" s="71" t="s">
        <v>16838</v>
      </c>
    </row>
    <row r="9291">
      <c r="A9291" s="234" t="s">
        <v>30195</v>
      </c>
      <c r="B9291" s="239" t="s">
        <v>16838</v>
      </c>
      <c r="C9291" s="71" t="s">
        <v>19644</v>
      </c>
    </row>
    <row r="9292">
      <c r="A9292" s="234" t="s">
        <v>30197</v>
      </c>
      <c r="B9292" s="239" t="s">
        <v>16838</v>
      </c>
      <c r="C9292" s="71" t="s">
        <v>19644</v>
      </c>
    </row>
    <row r="9293">
      <c r="A9293" s="130" t="s">
        <v>30629</v>
      </c>
      <c r="B9293" s="239" t="s">
        <v>16838</v>
      </c>
      <c r="C9293" s="71" t="s">
        <v>19644</v>
      </c>
    </row>
    <row r="9294">
      <c r="A9294" s="234" t="s">
        <v>30199</v>
      </c>
      <c r="B9294" s="239" t="s">
        <v>16838</v>
      </c>
      <c r="C9294" s="71" t="s">
        <v>19644</v>
      </c>
    </row>
    <row r="9295">
      <c r="A9295" s="234" t="s">
        <v>30201</v>
      </c>
      <c r="B9295" s="239" t="s">
        <v>16838</v>
      </c>
      <c r="C9295" s="71" t="s">
        <v>19644</v>
      </c>
    </row>
    <row r="9296">
      <c r="A9296" s="234" t="s">
        <v>30203</v>
      </c>
      <c r="B9296" s="239" t="s">
        <v>16838</v>
      </c>
      <c r="C9296" s="71" t="s">
        <v>19644</v>
      </c>
    </row>
    <row r="9297">
      <c r="A9297" s="234" t="s">
        <v>30205</v>
      </c>
      <c r="B9297" s="239" t="s">
        <v>16838</v>
      </c>
      <c r="C9297" s="71" t="s">
        <v>19644</v>
      </c>
    </row>
    <row r="9298">
      <c r="A9298" s="234" t="s">
        <v>30207</v>
      </c>
      <c r="B9298" s="239" t="s">
        <v>16838</v>
      </c>
      <c r="C9298" s="71" t="s">
        <v>19644</v>
      </c>
    </row>
    <row r="9299">
      <c r="A9299" s="234" t="s">
        <v>30209</v>
      </c>
      <c r="B9299" s="239" t="s">
        <v>16838</v>
      </c>
      <c r="C9299" s="71" t="s">
        <v>19644</v>
      </c>
    </row>
    <row r="9300">
      <c r="A9300" s="234" t="s">
        <v>30211</v>
      </c>
      <c r="B9300" s="239" t="s">
        <v>16838</v>
      </c>
      <c r="C9300" s="71" t="s">
        <v>19644</v>
      </c>
    </row>
    <row r="9301">
      <c r="A9301" s="234" t="s">
        <v>30213</v>
      </c>
      <c r="B9301" s="239" t="s">
        <v>16838</v>
      </c>
      <c r="C9301" s="71" t="s">
        <v>19644</v>
      </c>
    </row>
    <row r="9302">
      <c r="A9302" s="234" t="s">
        <v>30215</v>
      </c>
      <c r="B9302" s="239" t="s">
        <v>16838</v>
      </c>
      <c r="C9302" s="71" t="s">
        <v>19644</v>
      </c>
    </row>
    <row r="9303">
      <c r="A9303" s="234" t="s">
        <v>30217</v>
      </c>
      <c r="B9303" s="239" t="s">
        <v>16838</v>
      </c>
      <c r="C9303" s="71" t="s">
        <v>19644</v>
      </c>
    </row>
    <row r="9304">
      <c r="A9304" s="234" t="s">
        <v>30219</v>
      </c>
      <c r="B9304" s="239" t="s">
        <v>16838</v>
      </c>
      <c r="C9304" s="71" t="s">
        <v>19644</v>
      </c>
    </row>
    <row r="9305">
      <c r="A9305" s="130" t="s">
        <v>30631</v>
      </c>
      <c r="B9305" s="239" t="s">
        <v>16838</v>
      </c>
      <c r="C9305" s="71" t="s">
        <v>19644</v>
      </c>
    </row>
    <row r="9306">
      <c r="A9306" s="130" t="s">
        <v>30633</v>
      </c>
      <c r="B9306" s="239" t="s">
        <v>16838</v>
      </c>
      <c r="C9306" s="71" t="s">
        <v>19644</v>
      </c>
    </row>
    <row r="9307">
      <c r="A9307" s="234" t="s">
        <v>30221</v>
      </c>
      <c r="B9307" s="239" t="s">
        <v>16838</v>
      </c>
      <c r="C9307" s="71" t="s">
        <v>19644</v>
      </c>
    </row>
    <row r="9308">
      <c r="A9308" s="234" t="s">
        <v>30223</v>
      </c>
      <c r="B9308" s="239" t="s">
        <v>16838</v>
      </c>
      <c r="C9308" s="71" t="s">
        <v>19644</v>
      </c>
    </row>
    <row r="9309">
      <c r="A9309" s="234" t="s">
        <v>30225</v>
      </c>
      <c r="B9309" s="239" t="s">
        <v>16838</v>
      </c>
      <c r="C9309" s="71" t="s">
        <v>19644</v>
      </c>
    </row>
    <row r="9310">
      <c r="A9310" s="234" t="s">
        <v>30227</v>
      </c>
      <c r="B9310" s="239" t="s">
        <v>16838</v>
      </c>
      <c r="C9310" s="71" t="s">
        <v>19644</v>
      </c>
    </row>
    <row r="9311">
      <c r="A9311" s="234" t="s">
        <v>30229</v>
      </c>
      <c r="B9311" s="239" t="s">
        <v>16838</v>
      </c>
      <c r="C9311" s="71" t="s">
        <v>19644</v>
      </c>
    </row>
    <row r="9312">
      <c r="A9312" s="234" t="s">
        <v>30231</v>
      </c>
      <c r="B9312" s="239" t="s">
        <v>16838</v>
      </c>
      <c r="C9312" s="71" t="s">
        <v>19644</v>
      </c>
    </row>
    <row r="9313">
      <c r="A9313" s="234" t="s">
        <v>30233</v>
      </c>
      <c r="B9313" s="239" t="s">
        <v>16838</v>
      </c>
      <c r="C9313" s="71" t="s">
        <v>19644</v>
      </c>
    </row>
    <row r="9314">
      <c r="A9314" s="234" t="s">
        <v>30235</v>
      </c>
      <c r="B9314" s="239" t="s">
        <v>16838</v>
      </c>
      <c r="C9314" s="71" t="s">
        <v>19644</v>
      </c>
    </row>
    <row r="9315">
      <c r="A9315" s="234" t="s">
        <v>30237</v>
      </c>
      <c r="B9315" s="239" t="s">
        <v>16838</v>
      </c>
      <c r="C9315" s="71" t="s">
        <v>19644</v>
      </c>
    </row>
    <row r="9316">
      <c r="A9316" s="234" t="s">
        <v>30239</v>
      </c>
      <c r="B9316" s="239" t="s">
        <v>16838</v>
      </c>
      <c r="C9316" s="71" t="s">
        <v>19644</v>
      </c>
    </row>
    <row r="9317">
      <c r="A9317" s="234" t="s">
        <v>30241</v>
      </c>
      <c r="B9317" s="239" t="s">
        <v>16838</v>
      </c>
      <c r="C9317" s="71" t="s">
        <v>19644</v>
      </c>
    </row>
    <row r="9318">
      <c r="A9318" s="234" t="s">
        <v>30243</v>
      </c>
      <c r="B9318" s="239" t="s">
        <v>16838</v>
      </c>
      <c r="C9318" s="71" t="s">
        <v>19644</v>
      </c>
    </row>
    <row r="9319">
      <c r="A9319" s="234" t="s">
        <v>30245</v>
      </c>
      <c r="B9319" s="239" t="s">
        <v>16838</v>
      </c>
      <c r="C9319" s="71" t="s">
        <v>19644</v>
      </c>
    </row>
    <row r="9320">
      <c r="A9320" s="234" t="s">
        <v>30247</v>
      </c>
      <c r="B9320" s="239" t="s">
        <v>16838</v>
      </c>
      <c r="C9320" s="71" t="s">
        <v>19644</v>
      </c>
    </row>
    <row r="9321">
      <c r="A9321" s="234" t="s">
        <v>30249</v>
      </c>
      <c r="B9321" s="239" t="s">
        <v>16838</v>
      </c>
      <c r="C9321" s="71" t="s">
        <v>19644</v>
      </c>
    </row>
    <row r="9322">
      <c r="A9322" s="234" t="s">
        <v>30251</v>
      </c>
      <c r="B9322" s="239" t="s">
        <v>16838</v>
      </c>
      <c r="C9322" s="71" t="s">
        <v>19644</v>
      </c>
    </row>
    <row r="9323">
      <c r="A9323" s="234" t="s">
        <v>30252</v>
      </c>
      <c r="B9323" s="239" t="s">
        <v>16838</v>
      </c>
      <c r="C9323" s="71" t="s">
        <v>19644</v>
      </c>
    </row>
    <row r="9324">
      <c r="A9324" s="234" t="s">
        <v>30253</v>
      </c>
      <c r="B9324" s="239" t="s">
        <v>16838</v>
      </c>
      <c r="C9324" s="71" t="s">
        <v>19644</v>
      </c>
    </row>
    <row r="9325">
      <c r="A9325" s="234" t="s">
        <v>30255</v>
      </c>
      <c r="B9325" s="239" t="s">
        <v>16838</v>
      </c>
      <c r="C9325" s="71" t="s">
        <v>19644</v>
      </c>
    </row>
    <row r="9326">
      <c r="A9326" s="234" t="s">
        <v>30257</v>
      </c>
      <c r="B9326" s="239" t="s">
        <v>16838</v>
      </c>
      <c r="C9326" s="71" t="s">
        <v>19644</v>
      </c>
    </row>
    <row r="9327">
      <c r="A9327" s="234" t="s">
        <v>30259</v>
      </c>
      <c r="B9327" s="239" t="s">
        <v>16838</v>
      </c>
      <c r="C9327" s="71" t="s">
        <v>19644</v>
      </c>
    </row>
    <row r="9328">
      <c r="A9328" s="130" t="s">
        <v>30635</v>
      </c>
      <c r="B9328" s="239" t="s">
        <v>16838</v>
      </c>
      <c r="C9328" s="71" t="s">
        <v>19644</v>
      </c>
    </row>
    <row r="9329">
      <c r="A9329" s="234" t="s">
        <v>30261</v>
      </c>
      <c r="B9329" s="239" t="s">
        <v>16838</v>
      </c>
      <c r="C9329" s="71" t="s">
        <v>19644</v>
      </c>
    </row>
    <row r="9330">
      <c r="A9330" s="234" t="s">
        <v>30263</v>
      </c>
      <c r="B9330" s="239" t="s">
        <v>16838</v>
      </c>
      <c r="C9330" s="71" t="s">
        <v>19644</v>
      </c>
    </row>
    <row r="9331">
      <c r="A9331" s="234" t="s">
        <v>30265</v>
      </c>
      <c r="B9331" s="239" t="s">
        <v>16838</v>
      </c>
      <c r="C9331" s="71" t="s">
        <v>19644</v>
      </c>
    </row>
    <row r="9332">
      <c r="A9332" s="234" t="s">
        <v>30267</v>
      </c>
      <c r="B9332" s="239" t="s">
        <v>16838</v>
      </c>
      <c r="C9332" s="71" t="s">
        <v>19644</v>
      </c>
    </row>
    <row r="9333">
      <c r="A9333" s="234" t="s">
        <v>30269</v>
      </c>
      <c r="B9333" s="239" t="s">
        <v>16838</v>
      </c>
      <c r="C9333" s="71" t="s">
        <v>19644</v>
      </c>
    </row>
    <row r="9334">
      <c r="A9334" s="234" t="s">
        <v>30271</v>
      </c>
      <c r="B9334" s="239" t="s">
        <v>16838</v>
      </c>
      <c r="C9334" s="71" t="s">
        <v>19644</v>
      </c>
    </row>
    <row r="9335">
      <c r="A9335" s="234" t="s">
        <v>30273</v>
      </c>
      <c r="B9335" s="239" t="s">
        <v>16838</v>
      </c>
      <c r="C9335" s="71" t="s">
        <v>19644</v>
      </c>
    </row>
    <row r="9336">
      <c r="A9336" s="234" t="s">
        <v>30275</v>
      </c>
      <c r="B9336" s="239" t="s">
        <v>16838</v>
      </c>
      <c r="C9336" s="71" t="s">
        <v>19644</v>
      </c>
    </row>
    <row r="9337">
      <c r="A9337" s="234" t="s">
        <v>30277</v>
      </c>
      <c r="B9337" s="239" t="s">
        <v>16838</v>
      </c>
      <c r="C9337" s="71" t="s">
        <v>19644</v>
      </c>
    </row>
    <row r="9338">
      <c r="A9338" s="130" t="s">
        <v>30637</v>
      </c>
      <c r="B9338" s="239" t="s">
        <v>16838</v>
      </c>
      <c r="C9338" s="71" t="s">
        <v>17016</v>
      </c>
    </row>
    <row r="9339">
      <c r="A9339" s="130" t="s">
        <v>30639</v>
      </c>
      <c r="B9339" s="239" t="s">
        <v>16838</v>
      </c>
      <c r="C9339" s="71" t="s">
        <v>17016</v>
      </c>
    </row>
    <row r="9340">
      <c r="A9340" s="130" t="s">
        <v>30641</v>
      </c>
      <c r="B9340" s="239" t="s">
        <v>16838</v>
      </c>
      <c r="C9340" s="71" t="s">
        <v>17016</v>
      </c>
    </row>
    <row r="9341">
      <c r="A9341" s="234" t="s">
        <v>30279</v>
      </c>
      <c r="B9341" s="239" t="s">
        <v>16838</v>
      </c>
      <c r="C9341" s="71" t="s">
        <v>17016</v>
      </c>
    </row>
    <row r="9342">
      <c r="A9342" s="234" t="s">
        <v>30281</v>
      </c>
      <c r="B9342" s="239" t="s">
        <v>16838</v>
      </c>
      <c r="C9342" s="71" t="s">
        <v>17016</v>
      </c>
    </row>
    <row r="9343">
      <c r="A9343" s="234" t="s">
        <v>30283</v>
      </c>
      <c r="B9343" s="239" t="s">
        <v>16838</v>
      </c>
      <c r="C9343" s="71" t="s">
        <v>17016</v>
      </c>
    </row>
    <row r="9344">
      <c r="A9344" s="234" t="s">
        <v>30285</v>
      </c>
      <c r="B9344" s="239" t="s">
        <v>16838</v>
      </c>
      <c r="C9344" s="71" t="s">
        <v>17016</v>
      </c>
    </row>
    <row r="9345">
      <c r="A9345" s="234" t="s">
        <v>30287</v>
      </c>
      <c r="B9345" s="239" t="s">
        <v>16838</v>
      </c>
      <c r="C9345" s="71" t="s">
        <v>18679</v>
      </c>
    </row>
    <row r="9346">
      <c r="A9346" s="234" t="s">
        <v>30288</v>
      </c>
      <c r="B9346" s="239" t="s">
        <v>16838</v>
      </c>
      <c r="C9346" s="71" t="s">
        <v>18679</v>
      </c>
    </row>
    <row r="9347">
      <c r="A9347" s="234" t="s">
        <v>30289</v>
      </c>
      <c r="B9347" s="239" t="s">
        <v>16838</v>
      </c>
      <c r="C9347" s="71" t="s">
        <v>18679</v>
      </c>
    </row>
    <row r="9348">
      <c r="A9348" s="234" t="s">
        <v>30291</v>
      </c>
      <c r="B9348" s="239" t="s">
        <v>16838</v>
      </c>
      <c r="C9348" s="71" t="s">
        <v>18679</v>
      </c>
    </row>
    <row r="9349">
      <c r="A9349" s="234" t="s">
        <v>346</v>
      </c>
      <c r="B9349" s="239" t="s">
        <v>16838</v>
      </c>
      <c r="C9349" s="71" t="s">
        <v>18679</v>
      </c>
    </row>
    <row r="9350">
      <c r="A9350" s="234" t="s">
        <v>30644</v>
      </c>
      <c r="B9350" s="239" t="s">
        <v>16838</v>
      </c>
      <c r="C9350" s="71" t="s">
        <v>18679</v>
      </c>
    </row>
    <row r="9351">
      <c r="A9351" s="234" t="s">
        <v>30646</v>
      </c>
      <c r="B9351" s="239" t="s">
        <v>16838</v>
      </c>
      <c r="C9351" s="71" t="s">
        <v>18679</v>
      </c>
    </row>
    <row r="9352">
      <c r="A9352" s="234" t="s">
        <v>30293</v>
      </c>
      <c r="B9352" s="239" t="s">
        <v>16838</v>
      </c>
      <c r="C9352" s="71" t="s">
        <v>18679</v>
      </c>
    </row>
    <row r="9353">
      <c r="A9353" s="234" t="s">
        <v>30648</v>
      </c>
      <c r="B9353" s="239" t="s">
        <v>16838</v>
      </c>
      <c r="C9353" s="71" t="s">
        <v>18679</v>
      </c>
    </row>
    <row r="9354">
      <c r="A9354" s="234" t="s">
        <v>30650</v>
      </c>
      <c r="B9354" s="239" t="s">
        <v>16838</v>
      </c>
      <c r="C9354" s="71" t="s">
        <v>18679</v>
      </c>
    </row>
    <row r="9355">
      <c r="A9355" s="234" t="s">
        <v>30652</v>
      </c>
      <c r="B9355" s="239" t="s">
        <v>16838</v>
      </c>
      <c r="C9355" s="71" t="s">
        <v>18679</v>
      </c>
    </row>
    <row r="9356">
      <c r="A9356" s="234" t="s">
        <v>30654</v>
      </c>
      <c r="B9356" s="239" t="s">
        <v>16838</v>
      </c>
      <c r="C9356" s="71" t="s">
        <v>18679</v>
      </c>
    </row>
    <row r="9357">
      <c r="A9357" s="234" t="s">
        <v>30295</v>
      </c>
      <c r="B9357" s="239" t="s">
        <v>16838</v>
      </c>
      <c r="C9357" s="71" t="s">
        <v>18679</v>
      </c>
    </row>
    <row r="9358">
      <c r="A9358" s="234" t="s">
        <v>30297</v>
      </c>
      <c r="B9358" s="239" t="s">
        <v>16838</v>
      </c>
      <c r="C9358" s="71" t="s">
        <v>18679</v>
      </c>
    </row>
    <row r="9359">
      <c r="A9359" s="234" t="s">
        <v>30656</v>
      </c>
      <c r="B9359" s="239" t="s">
        <v>16838</v>
      </c>
      <c r="C9359" s="71" t="s">
        <v>18679</v>
      </c>
    </row>
    <row r="9360">
      <c r="A9360" s="234" t="s">
        <v>30299</v>
      </c>
      <c r="B9360" s="239" t="s">
        <v>16838</v>
      </c>
      <c r="C9360" s="71" t="s">
        <v>18679</v>
      </c>
    </row>
    <row r="9361">
      <c r="A9361" s="234" t="s">
        <v>30658</v>
      </c>
      <c r="B9361" s="239" t="s">
        <v>16838</v>
      </c>
      <c r="C9361" s="71" t="s">
        <v>18679</v>
      </c>
    </row>
    <row r="9362">
      <c r="A9362" s="234" t="s">
        <v>30660</v>
      </c>
      <c r="B9362" s="239" t="s">
        <v>16838</v>
      </c>
      <c r="C9362" s="71" t="s">
        <v>18679</v>
      </c>
    </row>
    <row r="9363">
      <c r="A9363" s="234" t="s">
        <v>30662</v>
      </c>
      <c r="B9363" s="239" t="s">
        <v>16838</v>
      </c>
      <c r="C9363" s="71" t="s">
        <v>18679</v>
      </c>
    </row>
    <row r="9364">
      <c r="A9364" s="234" t="s">
        <v>30664</v>
      </c>
      <c r="B9364" s="239" t="s">
        <v>16838</v>
      </c>
      <c r="C9364" s="71" t="s">
        <v>18679</v>
      </c>
    </row>
    <row r="9365">
      <c r="A9365" s="234" t="s">
        <v>30301</v>
      </c>
      <c r="B9365" s="239" t="s">
        <v>16838</v>
      </c>
      <c r="C9365" s="71" t="s">
        <v>18679</v>
      </c>
    </row>
    <row r="9366">
      <c r="A9366" s="234" t="s">
        <v>30303</v>
      </c>
      <c r="B9366" s="239" t="s">
        <v>16838</v>
      </c>
      <c r="C9366" s="71" t="s">
        <v>18679</v>
      </c>
    </row>
    <row r="9367">
      <c r="A9367" s="234" t="s">
        <v>30666</v>
      </c>
      <c r="B9367" s="239" t="s">
        <v>16838</v>
      </c>
      <c r="C9367" s="71" t="s">
        <v>18679</v>
      </c>
    </row>
    <row r="9368">
      <c r="A9368" s="234" t="s">
        <v>30305</v>
      </c>
      <c r="B9368" s="239" t="s">
        <v>16838</v>
      </c>
      <c r="C9368" s="71" t="s">
        <v>18679</v>
      </c>
    </row>
    <row r="9369">
      <c r="A9369" s="234" t="s">
        <v>30307</v>
      </c>
      <c r="B9369" s="239" t="s">
        <v>16838</v>
      </c>
      <c r="C9369" s="71" t="s">
        <v>18679</v>
      </c>
    </row>
    <row r="9370">
      <c r="A9370" s="234" t="s">
        <v>30309</v>
      </c>
      <c r="B9370" s="239" t="s">
        <v>16838</v>
      </c>
      <c r="C9370" s="71" t="s">
        <v>18679</v>
      </c>
    </row>
    <row r="9371">
      <c r="A9371" s="234" t="s">
        <v>30668</v>
      </c>
      <c r="B9371" s="239" t="s">
        <v>16838</v>
      </c>
      <c r="C9371" s="71" t="s">
        <v>18679</v>
      </c>
    </row>
    <row r="9372">
      <c r="A9372" s="234" t="s">
        <v>30670</v>
      </c>
      <c r="B9372" s="239" t="s">
        <v>16838</v>
      </c>
      <c r="C9372" s="71" t="s">
        <v>18679</v>
      </c>
    </row>
    <row r="9373">
      <c r="A9373" s="234" t="s">
        <v>30672</v>
      </c>
      <c r="B9373" s="239" t="s">
        <v>16838</v>
      </c>
      <c r="C9373" s="71" t="s">
        <v>18679</v>
      </c>
    </row>
    <row r="9374">
      <c r="A9374" s="234" t="s">
        <v>30311</v>
      </c>
      <c r="B9374" s="239" t="s">
        <v>16838</v>
      </c>
      <c r="C9374" s="71" t="s">
        <v>18679</v>
      </c>
    </row>
    <row r="9375">
      <c r="A9375" s="234" t="s">
        <v>30674</v>
      </c>
      <c r="B9375" s="239" t="s">
        <v>16838</v>
      </c>
      <c r="C9375" s="71" t="s">
        <v>18679</v>
      </c>
    </row>
    <row r="9376">
      <c r="A9376" s="234" t="s">
        <v>30313</v>
      </c>
      <c r="B9376" s="239" t="s">
        <v>16838</v>
      </c>
      <c r="C9376" s="71" t="s">
        <v>18679</v>
      </c>
    </row>
    <row r="9377">
      <c r="A9377" s="234" t="s">
        <v>30315</v>
      </c>
      <c r="B9377" s="239" t="s">
        <v>16838</v>
      </c>
      <c r="C9377" s="71" t="s">
        <v>18679</v>
      </c>
    </row>
    <row r="9378">
      <c r="A9378" s="234" t="s">
        <v>30317</v>
      </c>
      <c r="B9378" s="239" t="s">
        <v>16838</v>
      </c>
      <c r="C9378" s="71" t="s">
        <v>18679</v>
      </c>
    </row>
    <row r="9379">
      <c r="A9379" s="234" t="s">
        <v>30676</v>
      </c>
      <c r="B9379" s="239" t="s">
        <v>16838</v>
      </c>
      <c r="C9379" s="71" t="s">
        <v>18679</v>
      </c>
    </row>
    <row r="9380">
      <c r="A9380" s="234" t="s">
        <v>30678</v>
      </c>
      <c r="B9380" s="239" t="s">
        <v>16838</v>
      </c>
      <c r="C9380" s="71" t="s">
        <v>18679</v>
      </c>
    </row>
    <row r="9381">
      <c r="A9381" s="234" t="s">
        <v>30319</v>
      </c>
      <c r="B9381" s="239" t="s">
        <v>16838</v>
      </c>
      <c r="C9381" s="71" t="s">
        <v>18679</v>
      </c>
    </row>
    <row r="9382">
      <c r="A9382" s="234" t="s">
        <v>30321</v>
      </c>
      <c r="B9382" s="239" t="s">
        <v>16838</v>
      </c>
      <c r="C9382" s="71" t="s">
        <v>18679</v>
      </c>
    </row>
    <row r="9383">
      <c r="A9383" s="234" t="s">
        <v>30323</v>
      </c>
      <c r="B9383" s="239" t="s">
        <v>16838</v>
      </c>
      <c r="C9383" s="71" t="s">
        <v>18679</v>
      </c>
    </row>
    <row r="9384">
      <c r="A9384" s="234" t="s">
        <v>30325</v>
      </c>
      <c r="B9384" s="239" t="s">
        <v>16838</v>
      </c>
      <c r="C9384" s="71" t="s">
        <v>18679</v>
      </c>
    </row>
    <row r="9385">
      <c r="A9385" s="234" t="s">
        <v>30327</v>
      </c>
      <c r="B9385" s="239" t="s">
        <v>16838</v>
      </c>
      <c r="C9385" s="71" t="s">
        <v>18679</v>
      </c>
    </row>
    <row r="9386">
      <c r="A9386" s="234" t="s">
        <v>30329</v>
      </c>
      <c r="B9386" s="239" t="s">
        <v>16838</v>
      </c>
      <c r="C9386" s="71" t="s">
        <v>18679</v>
      </c>
    </row>
    <row r="9387">
      <c r="A9387" s="234" t="s">
        <v>30680</v>
      </c>
      <c r="B9387" s="239" t="s">
        <v>16838</v>
      </c>
      <c r="C9387" s="71" t="s">
        <v>18679</v>
      </c>
    </row>
    <row r="9388">
      <c r="A9388" s="234" t="s">
        <v>30331</v>
      </c>
      <c r="B9388" s="239" t="s">
        <v>16838</v>
      </c>
      <c r="C9388" s="71" t="s">
        <v>18679</v>
      </c>
    </row>
    <row r="9389">
      <c r="A9389" s="234" t="s">
        <v>30333</v>
      </c>
      <c r="B9389" s="239" t="s">
        <v>16838</v>
      </c>
      <c r="C9389" s="71" t="s">
        <v>18679</v>
      </c>
    </row>
    <row r="9390">
      <c r="A9390" s="234" t="s">
        <v>30335</v>
      </c>
      <c r="B9390" s="239" t="s">
        <v>16838</v>
      </c>
      <c r="C9390" s="71" t="s">
        <v>18679</v>
      </c>
    </row>
    <row r="9391">
      <c r="A9391" s="234" t="s">
        <v>30682</v>
      </c>
      <c r="B9391" s="239" t="s">
        <v>16838</v>
      </c>
      <c r="C9391" s="71" t="s">
        <v>18679</v>
      </c>
    </row>
    <row r="9392">
      <c r="A9392" s="234" t="s">
        <v>30337</v>
      </c>
      <c r="B9392" s="239" t="s">
        <v>16838</v>
      </c>
      <c r="C9392" s="71" t="s">
        <v>18679</v>
      </c>
    </row>
    <row r="9393">
      <c r="A9393" s="234" t="s">
        <v>30339</v>
      </c>
      <c r="B9393" s="239" t="s">
        <v>16838</v>
      </c>
      <c r="C9393" s="71" t="s">
        <v>18679</v>
      </c>
    </row>
    <row r="9394">
      <c r="A9394" s="234" t="s">
        <v>30684</v>
      </c>
      <c r="B9394" s="239" t="s">
        <v>16838</v>
      </c>
      <c r="C9394" s="71" t="s">
        <v>18679</v>
      </c>
    </row>
    <row r="9395">
      <c r="A9395" s="234" t="s">
        <v>30341</v>
      </c>
      <c r="B9395" s="239" t="s">
        <v>16838</v>
      </c>
      <c r="C9395" s="71" t="s">
        <v>18679</v>
      </c>
    </row>
    <row r="9396">
      <c r="A9396" s="234" t="s">
        <v>30343</v>
      </c>
      <c r="B9396" s="239" t="s">
        <v>16838</v>
      </c>
      <c r="C9396" s="71" t="s">
        <v>18679</v>
      </c>
    </row>
    <row r="9397">
      <c r="A9397" s="234" t="s">
        <v>30345</v>
      </c>
      <c r="B9397" s="239" t="s">
        <v>16838</v>
      </c>
      <c r="C9397" s="71" t="s">
        <v>18679</v>
      </c>
    </row>
    <row r="9398">
      <c r="A9398" s="234" t="s">
        <v>30347</v>
      </c>
      <c r="B9398" s="239" t="s">
        <v>16838</v>
      </c>
      <c r="C9398" s="71" t="s">
        <v>18679</v>
      </c>
    </row>
    <row r="9399">
      <c r="A9399" s="234" t="s">
        <v>30349</v>
      </c>
      <c r="B9399" s="239" t="s">
        <v>16838</v>
      </c>
      <c r="C9399" s="71" t="s">
        <v>18679</v>
      </c>
    </row>
    <row r="9400">
      <c r="A9400" s="234" t="s">
        <v>30351</v>
      </c>
      <c r="B9400" s="239" t="s">
        <v>16838</v>
      </c>
      <c r="C9400" s="71" t="s">
        <v>18679</v>
      </c>
    </row>
    <row r="9401">
      <c r="A9401" s="234" t="s">
        <v>30353</v>
      </c>
      <c r="B9401" s="239" t="s">
        <v>16838</v>
      </c>
      <c r="C9401" s="71" t="s">
        <v>18679</v>
      </c>
    </row>
    <row r="9402">
      <c r="A9402" s="234" t="s">
        <v>30355</v>
      </c>
      <c r="B9402" s="239" t="s">
        <v>16838</v>
      </c>
      <c r="C9402" s="71" t="s">
        <v>18679</v>
      </c>
    </row>
    <row r="9403">
      <c r="A9403" s="234" t="s">
        <v>30357</v>
      </c>
      <c r="B9403" s="239" t="s">
        <v>16838</v>
      </c>
      <c r="C9403" s="71" t="s">
        <v>18679</v>
      </c>
    </row>
    <row r="9404">
      <c r="A9404" s="234" t="s">
        <v>30686</v>
      </c>
      <c r="B9404" s="239" t="s">
        <v>16838</v>
      </c>
      <c r="C9404" s="71" t="s">
        <v>18679</v>
      </c>
    </row>
    <row r="9405">
      <c r="A9405" s="234" t="s">
        <v>30688</v>
      </c>
      <c r="B9405" s="239" t="s">
        <v>16851</v>
      </c>
      <c r="C9405" s="71" t="s">
        <v>187</v>
      </c>
    </row>
    <row r="9406">
      <c r="A9406" s="130" t="s">
        <v>30690</v>
      </c>
      <c r="B9406" s="239" t="s">
        <v>17629</v>
      </c>
      <c r="C9406" s="71" t="s">
        <v>16899</v>
      </c>
    </row>
    <row r="9407">
      <c r="A9407" s="130" t="s">
        <v>30692</v>
      </c>
      <c r="B9407" s="239" t="s">
        <v>17629</v>
      </c>
      <c r="C9407" s="71" t="s">
        <v>16899</v>
      </c>
    </row>
    <row r="9408">
      <c r="A9408" s="234" t="s">
        <v>30177</v>
      </c>
      <c r="B9408" s="239" t="s">
        <v>17013</v>
      </c>
      <c r="C9408" s="71" t="s">
        <v>169</v>
      </c>
    </row>
    <row r="9409">
      <c r="A9409" s="234" t="s">
        <v>30694</v>
      </c>
      <c r="B9409" s="239" t="s">
        <v>20534</v>
      </c>
      <c r="C9409" s="71" t="s">
        <v>169</v>
      </c>
    </row>
    <row r="9410">
      <c r="A9410" s="234" t="s">
        <v>30359</v>
      </c>
      <c r="B9410" s="239" t="s">
        <v>16838</v>
      </c>
      <c r="C9410" s="71" t="s">
        <v>17019</v>
      </c>
    </row>
    <row r="9411">
      <c r="A9411" s="234" t="s">
        <v>30361</v>
      </c>
      <c r="B9411" s="239" t="s">
        <v>16838</v>
      </c>
      <c r="C9411" s="71" t="s">
        <v>17019</v>
      </c>
    </row>
    <row r="9412">
      <c r="A9412" s="234" t="s">
        <v>30363</v>
      </c>
      <c r="B9412" s="239" t="s">
        <v>16838</v>
      </c>
      <c r="C9412" s="71" t="s">
        <v>17019</v>
      </c>
    </row>
    <row r="9413">
      <c r="A9413" s="234" t="s">
        <v>30365</v>
      </c>
      <c r="B9413" s="239" t="s">
        <v>16838</v>
      </c>
      <c r="C9413" s="71" t="s">
        <v>17019</v>
      </c>
    </row>
    <row r="9414">
      <c r="A9414" s="234" t="s">
        <v>30367</v>
      </c>
      <c r="B9414" s="239" t="s">
        <v>16838</v>
      </c>
      <c r="C9414" s="71" t="s">
        <v>17202</v>
      </c>
    </row>
    <row r="9415">
      <c r="A9415" s="234" t="s">
        <v>30369</v>
      </c>
      <c r="B9415" s="239" t="s">
        <v>16838</v>
      </c>
      <c r="C9415" s="71" t="s">
        <v>17202</v>
      </c>
    </row>
    <row r="9416">
      <c r="A9416" s="234" t="s">
        <v>30371</v>
      </c>
      <c r="B9416" s="239" t="s">
        <v>16838</v>
      </c>
      <c r="C9416" s="71" t="s">
        <v>17202</v>
      </c>
    </row>
    <row r="9417">
      <c r="A9417" s="234" t="s">
        <v>30373</v>
      </c>
      <c r="B9417" s="239" t="s">
        <v>16838</v>
      </c>
      <c r="C9417" s="71" t="s">
        <v>17202</v>
      </c>
    </row>
    <row r="9418">
      <c r="A9418" s="234" t="s">
        <v>30375</v>
      </c>
      <c r="B9418" s="239" t="s">
        <v>16838</v>
      </c>
      <c r="C9418" s="71" t="s">
        <v>17202</v>
      </c>
    </row>
    <row r="9419">
      <c r="A9419" s="130" t="s">
        <v>30696</v>
      </c>
      <c r="B9419" s="239" t="s">
        <v>16838</v>
      </c>
      <c r="C9419" s="71" t="s">
        <v>17202</v>
      </c>
    </row>
    <row r="9420">
      <c r="A9420" s="130" t="s">
        <v>30697</v>
      </c>
      <c r="B9420" s="239" t="s">
        <v>16838</v>
      </c>
      <c r="C9420" s="71" t="s">
        <v>17202</v>
      </c>
    </row>
    <row r="9421">
      <c r="A9421" s="234" t="s">
        <v>30377</v>
      </c>
      <c r="B9421" s="239" t="s">
        <v>16838</v>
      </c>
      <c r="C9421" s="71" t="s">
        <v>17202</v>
      </c>
    </row>
    <row r="9422">
      <c r="A9422" s="130" t="s">
        <v>30699</v>
      </c>
      <c r="B9422" s="239" t="s">
        <v>16838</v>
      </c>
      <c r="C9422" s="71" t="s">
        <v>17202</v>
      </c>
    </row>
    <row r="9423">
      <c r="A9423" s="130" t="s">
        <v>30701</v>
      </c>
      <c r="B9423" s="239" t="s">
        <v>16838</v>
      </c>
      <c r="C9423" s="71" t="s">
        <v>17202</v>
      </c>
    </row>
    <row r="9424">
      <c r="A9424" s="234" t="s">
        <v>30379</v>
      </c>
      <c r="B9424" s="239" t="s">
        <v>16838</v>
      </c>
      <c r="C9424" s="71" t="s">
        <v>17202</v>
      </c>
    </row>
    <row r="9425">
      <c r="A9425" s="130" t="s">
        <v>30703</v>
      </c>
      <c r="B9425" s="239" t="s">
        <v>16838</v>
      </c>
      <c r="C9425" s="71" t="s">
        <v>17202</v>
      </c>
    </row>
    <row r="9426">
      <c r="A9426" s="234" t="s">
        <v>30381</v>
      </c>
      <c r="B9426" s="239" t="s">
        <v>16838</v>
      </c>
      <c r="C9426" s="71" t="s">
        <v>17202</v>
      </c>
    </row>
    <row r="9427">
      <c r="A9427" s="234" t="s">
        <v>30383</v>
      </c>
      <c r="B9427" s="239" t="s">
        <v>16838</v>
      </c>
      <c r="C9427" s="71" t="s">
        <v>17202</v>
      </c>
    </row>
    <row r="9428">
      <c r="A9428" s="234" t="s">
        <v>30384</v>
      </c>
      <c r="B9428" s="239" t="s">
        <v>16838</v>
      </c>
      <c r="C9428" s="71" t="s">
        <v>17202</v>
      </c>
    </row>
    <row r="9429">
      <c r="A9429" s="234" t="s">
        <v>30386</v>
      </c>
      <c r="B9429" s="239" t="s">
        <v>16838</v>
      </c>
      <c r="C9429" s="71" t="s">
        <v>17202</v>
      </c>
    </row>
    <row r="9430">
      <c r="A9430" s="234" t="s">
        <v>30388</v>
      </c>
      <c r="B9430" s="239" t="s">
        <v>16838</v>
      </c>
      <c r="C9430" s="71" t="s">
        <v>17202</v>
      </c>
    </row>
    <row r="9431">
      <c r="A9431" s="234" t="s">
        <v>30390</v>
      </c>
      <c r="B9431" s="239" t="s">
        <v>16838</v>
      </c>
      <c r="C9431" s="71" t="s">
        <v>17202</v>
      </c>
    </row>
    <row r="9432">
      <c r="A9432" s="234" t="s">
        <v>30392</v>
      </c>
      <c r="B9432" s="239" t="s">
        <v>16838</v>
      </c>
      <c r="C9432" s="71" t="s">
        <v>17202</v>
      </c>
    </row>
    <row r="9433">
      <c r="A9433" s="234" t="s">
        <v>30394</v>
      </c>
      <c r="B9433" s="239" t="s">
        <v>16838</v>
      </c>
      <c r="C9433" s="71" t="s">
        <v>17202</v>
      </c>
    </row>
    <row r="9434">
      <c r="A9434" s="234" t="s">
        <v>30396</v>
      </c>
      <c r="B9434" s="239" t="s">
        <v>16838</v>
      </c>
      <c r="C9434" s="71" t="s">
        <v>17202</v>
      </c>
    </row>
    <row r="9435">
      <c r="A9435" s="234" t="s">
        <v>30705</v>
      </c>
      <c r="B9435" s="239" t="s">
        <v>16838</v>
      </c>
      <c r="C9435" s="71" t="s">
        <v>17202</v>
      </c>
    </row>
    <row r="9436">
      <c r="A9436" s="234" t="s">
        <v>30707</v>
      </c>
      <c r="B9436" s="239" t="s">
        <v>16838</v>
      </c>
      <c r="C9436" s="71" t="s">
        <v>17202</v>
      </c>
    </row>
    <row r="9437">
      <c r="A9437" s="234" t="s">
        <v>30398</v>
      </c>
      <c r="B9437" s="239" t="s">
        <v>16838</v>
      </c>
      <c r="C9437" s="71" t="s">
        <v>17202</v>
      </c>
    </row>
    <row r="9438">
      <c r="A9438" s="234" t="s">
        <v>30399</v>
      </c>
      <c r="B9438" s="239" t="s">
        <v>16838</v>
      </c>
      <c r="C9438" s="71" t="s">
        <v>17202</v>
      </c>
    </row>
    <row r="9439">
      <c r="A9439" s="234" t="s">
        <v>30401</v>
      </c>
      <c r="B9439" s="239" t="s">
        <v>16838</v>
      </c>
      <c r="C9439" s="71" t="s">
        <v>17202</v>
      </c>
    </row>
    <row r="9440">
      <c r="A9440" s="234" t="s">
        <v>30403</v>
      </c>
      <c r="B9440" s="239" t="s">
        <v>16838</v>
      </c>
      <c r="C9440" s="71" t="s">
        <v>17202</v>
      </c>
    </row>
    <row r="9441">
      <c r="A9441" s="234" t="s">
        <v>30405</v>
      </c>
      <c r="B9441" s="239" t="s">
        <v>16838</v>
      </c>
      <c r="C9441" s="71" t="s">
        <v>17202</v>
      </c>
    </row>
    <row r="9442">
      <c r="A9442" s="130" t="s">
        <v>30709</v>
      </c>
      <c r="B9442" s="239" t="s">
        <v>16838</v>
      </c>
      <c r="C9442" s="71" t="s">
        <v>17202</v>
      </c>
    </row>
    <row r="9443">
      <c r="A9443" s="234" t="s">
        <v>30407</v>
      </c>
      <c r="B9443" s="239" t="s">
        <v>16838</v>
      </c>
      <c r="C9443" s="71" t="s">
        <v>17202</v>
      </c>
    </row>
    <row r="9444">
      <c r="A9444" s="234" t="s">
        <v>30409</v>
      </c>
      <c r="B9444" s="239" t="s">
        <v>16838</v>
      </c>
      <c r="C9444" s="71" t="s">
        <v>17202</v>
      </c>
    </row>
    <row r="9445">
      <c r="A9445" s="234" t="s">
        <v>30411</v>
      </c>
      <c r="B9445" s="239" t="s">
        <v>16838</v>
      </c>
      <c r="C9445" s="71" t="s">
        <v>17202</v>
      </c>
    </row>
    <row r="9446">
      <c r="A9446" s="234" t="s">
        <v>30413</v>
      </c>
      <c r="B9446" s="239" t="s">
        <v>16838</v>
      </c>
      <c r="C9446" s="71" t="s">
        <v>17202</v>
      </c>
    </row>
    <row r="9447">
      <c r="A9447" s="234" t="s">
        <v>30415</v>
      </c>
      <c r="B9447" s="239" t="s">
        <v>16838</v>
      </c>
      <c r="C9447" s="71" t="s">
        <v>17202</v>
      </c>
    </row>
    <row r="9448">
      <c r="A9448" s="234" t="s">
        <v>30417</v>
      </c>
      <c r="B9448" s="239" t="s">
        <v>16838</v>
      </c>
      <c r="C9448" s="71" t="s">
        <v>17202</v>
      </c>
    </row>
    <row r="9449">
      <c r="A9449" s="234" t="s">
        <v>30419</v>
      </c>
      <c r="B9449" s="239" t="s">
        <v>16838</v>
      </c>
      <c r="C9449" s="71" t="s">
        <v>17202</v>
      </c>
    </row>
    <row r="9450">
      <c r="A9450" s="234" t="s">
        <v>30420</v>
      </c>
      <c r="B9450" s="239" t="s">
        <v>16838</v>
      </c>
      <c r="C9450" s="71" t="s">
        <v>17202</v>
      </c>
    </row>
    <row r="9451">
      <c r="A9451" s="234" t="s">
        <v>30422</v>
      </c>
      <c r="B9451" s="239" t="s">
        <v>16838</v>
      </c>
      <c r="C9451" s="71" t="s">
        <v>17202</v>
      </c>
    </row>
    <row r="9452">
      <c r="A9452" s="234" t="s">
        <v>30423</v>
      </c>
      <c r="B9452" s="239" t="s">
        <v>16838</v>
      </c>
      <c r="C9452" s="71" t="s">
        <v>17202</v>
      </c>
    </row>
    <row r="9453">
      <c r="A9453" s="234" t="s">
        <v>30425</v>
      </c>
      <c r="B9453" s="239" t="s">
        <v>16838</v>
      </c>
      <c r="C9453" s="71" t="s">
        <v>17202</v>
      </c>
    </row>
    <row r="9454">
      <c r="A9454" s="234" t="s">
        <v>30427</v>
      </c>
      <c r="B9454" s="239" t="s">
        <v>16838</v>
      </c>
      <c r="C9454" s="71" t="s">
        <v>17202</v>
      </c>
    </row>
    <row r="9455">
      <c r="A9455" s="234" t="s">
        <v>30429</v>
      </c>
      <c r="B9455" s="239" t="s">
        <v>16838</v>
      </c>
      <c r="C9455" s="71" t="s">
        <v>17202</v>
      </c>
    </row>
    <row r="9456">
      <c r="A9456" s="234" t="s">
        <v>30431</v>
      </c>
      <c r="B9456" s="239" t="s">
        <v>16838</v>
      </c>
      <c r="C9456" s="71" t="s">
        <v>17202</v>
      </c>
    </row>
    <row r="9457">
      <c r="A9457" s="234" t="s">
        <v>30433</v>
      </c>
      <c r="B9457" s="239" t="s">
        <v>16838</v>
      </c>
      <c r="C9457" s="71" t="s">
        <v>17202</v>
      </c>
    </row>
    <row r="9458">
      <c r="A9458" s="234" t="s">
        <v>30435</v>
      </c>
      <c r="B9458" s="239" t="s">
        <v>16838</v>
      </c>
      <c r="C9458" s="71" t="s">
        <v>17202</v>
      </c>
    </row>
    <row r="9459">
      <c r="A9459" s="234" t="s">
        <v>30437</v>
      </c>
      <c r="B9459" s="239" t="s">
        <v>16838</v>
      </c>
      <c r="C9459" s="71" t="s">
        <v>17202</v>
      </c>
    </row>
    <row r="9460">
      <c r="A9460" s="234" t="s">
        <v>30439</v>
      </c>
      <c r="B9460" s="239" t="s">
        <v>16838</v>
      </c>
      <c r="C9460" s="71" t="s">
        <v>17202</v>
      </c>
    </row>
    <row r="9461">
      <c r="A9461" s="234" t="s">
        <v>30441</v>
      </c>
      <c r="B9461" s="239" t="s">
        <v>16838</v>
      </c>
      <c r="C9461" s="71" t="s">
        <v>17202</v>
      </c>
    </row>
    <row r="9462">
      <c r="A9462" s="234" t="s">
        <v>30443</v>
      </c>
      <c r="B9462" s="239" t="s">
        <v>16838</v>
      </c>
      <c r="C9462" s="71" t="s">
        <v>17202</v>
      </c>
    </row>
    <row r="9463">
      <c r="A9463" s="234" t="s">
        <v>30445</v>
      </c>
      <c r="B9463" s="239" t="s">
        <v>16838</v>
      </c>
      <c r="C9463" s="71" t="s">
        <v>17202</v>
      </c>
    </row>
    <row r="9464">
      <c r="A9464" s="234" t="s">
        <v>30446</v>
      </c>
      <c r="B9464" s="239" t="s">
        <v>16838</v>
      </c>
      <c r="C9464" s="71" t="s">
        <v>17202</v>
      </c>
    </row>
    <row r="9465">
      <c r="A9465" s="234" t="s">
        <v>30448</v>
      </c>
      <c r="B9465" s="239" t="s">
        <v>16838</v>
      </c>
      <c r="C9465" s="71" t="s">
        <v>17202</v>
      </c>
    </row>
    <row r="9466">
      <c r="A9466" s="234" t="s">
        <v>30450</v>
      </c>
      <c r="B9466" s="239" t="s">
        <v>16838</v>
      </c>
      <c r="C9466" s="71" t="s">
        <v>17202</v>
      </c>
    </row>
    <row r="9467">
      <c r="A9467" s="234" t="s">
        <v>30452</v>
      </c>
      <c r="B9467" s="239" t="s">
        <v>16838</v>
      </c>
      <c r="C9467" s="71" t="s">
        <v>17202</v>
      </c>
    </row>
    <row r="9468">
      <c r="A9468" s="234" t="s">
        <v>30454</v>
      </c>
      <c r="B9468" s="239" t="s">
        <v>16838</v>
      </c>
      <c r="C9468" s="71" t="s">
        <v>17202</v>
      </c>
    </row>
    <row r="9469">
      <c r="A9469" s="234" t="s">
        <v>30456</v>
      </c>
      <c r="B9469" s="239" t="s">
        <v>16838</v>
      </c>
      <c r="C9469" s="71" t="s">
        <v>17202</v>
      </c>
    </row>
    <row r="9470">
      <c r="A9470" s="234" t="s">
        <v>30458</v>
      </c>
      <c r="B9470" s="239" t="s">
        <v>16838</v>
      </c>
      <c r="C9470" s="71" t="s">
        <v>17202</v>
      </c>
    </row>
    <row r="9471">
      <c r="A9471" s="234" t="s">
        <v>30460</v>
      </c>
      <c r="B9471" s="239" t="s">
        <v>16838</v>
      </c>
      <c r="C9471" s="71" t="s">
        <v>17202</v>
      </c>
    </row>
    <row r="9472">
      <c r="A9472" s="234" t="s">
        <v>30462</v>
      </c>
      <c r="B9472" s="239" t="s">
        <v>16838</v>
      </c>
      <c r="C9472" s="71" t="s">
        <v>17202</v>
      </c>
    </row>
    <row r="9473">
      <c r="A9473" s="234" t="s">
        <v>30464</v>
      </c>
      <c r="B9473" s="239" t="s">
        <v>16838</v>
      </c>
      <c r="C9473" s="71" t="s">
        <v>17202</v>
      </c>
    </row>
    <row r="9474">
      <c r="A9474" s="234" t="s">
        <v>30466</v>
      </c>
      <c r="B9474" s="239" t="s">
        <v>16838</v>
      </c>
      <c r="C9474" s="71" t="s">
        <v>17202</v>
      </c>
    </row>
    <row r="9475">
      <c r="A9475" s="234" t="s">
        <v>30468</v>
      </c>
      <c r="B9475" s="239" t="s">
        <v>16838</v>
      </c>
      <c r="C9475" s="71" t="s">
        <v>17202</v>
      </c>
    </row>
    <row r="9476">
      <c r="A9476" s="234" t="s">
        <v>30470</v>
      </c>
      <c r="B9476" s="239" t="s">
        <v>16838</v>
      </c>
      <c r="C9476" s="71" t="s">
        <v>17202</v>
      </c>
    </row>
    <row r="9477">
      <c r="A9477" s="234" t="s">
        <v>30472</v>
      </c>
      <c r="B9477" s="239" t="s">
        <v>16838</v>
      </c>
      <c r="C9477" s="71" t="s">
        <v>17202</v>
      </c>
    </row>
    <row r="9478">
      <c r="A9478" s="234" t="s">
        <v>30474</v>
      </c>
      <c r="B9478" s="239" t="s">
        <v>16838</v>
      </c>
      <c r="C9478" s="71" t="s">
        <v>17202</v>
      </c>
    </row>
    <row r="9479">
      <c r="A9479" s="234" t="s">
        <v>30476</v>
      </c>
      <c r="B9479" s="239" t="s">
        <v>16838</v>
      </c>
      <c r="C9479" s="71" t="s">
        <v>17202</v>
      </c>
    </row>
    <row r="9480">
      <c r="A9480" s="234" t="s">
        <v>30478</v>
      </c>
      <c r="B9480" s="239" t="s">
        <v>16838</v>
      </c>
      <c r="C9480" s="71" t="s">
        <v>17202</v>
      </c>
    </row>
    <row r="9481">
      <c r="A9481" s="234" t="s">
        <v>30480</v>
      </c>
      <c r="B9481" s="239" t="s">
        <v>16838</v>
      </c>
      <c r="C9481" s="71" t="s">
        <v>17202</v>
      </c>
    </row>
    <row r="9482">
      <c r="A9482" s="234" t="s">
        <v>30482</v>
      </c>
      <c r="B9482" s="239" t="s">
        <v>16838</v>
      </c>
      <c r="C9482" s="71" t="s">
        <v>17202</v>
      </c>
    </row>
    <row r="9483">
      <c r="A9483" s="234" t="s">
        <v>30711</v>
      </c>
      <c r="B9483" s="239" t="s">
        <v>16838</v>
      </c>
      <c r="C9483" s="71" t="s">
        <v>17202</v>
      </c>
    </row>
    <row r="9484">
      <c r="A9484" s="234" t="s">
        <v>30484</v>
      </c>
      <c r="B9484" s="239" t="s">
        <v>16838</v>
      </c>
      <c r="C9484" s="71" t="s">
        <v>17202</v>
      </c>
    </row>
    <row r="9485">
      <c r="A9485" s="234" t="s">
        <v>30486</v>
      </c>
      <c r="B9485" s="239" t="s">
        <v>16838</v>
      </c>
      <c r="C9485" s="71" t="s">
        <v>17202</v>
      </c>
    </row>
    <row r="9486">
      <c r="A9486" s="234" t="s">
        <v>30488</v>
      </c>
      <c r="B9486" s="239" t="s">
        <v>16838</v>
      </c>
      <c r="C9486" s="71" t="s">
        <v>17202</v>
      </c>
    </row>
    <row r="9487">
      <c r="A9487" s="234" t="s">
        <v>30490</v>
      </c>
      <c r="B9487" s="239" t="s">
        <v>16838</v>
      </c>
      <c r="C9487" s="71" t="s">
        <v>17202</v>
      </c>
    </row>
    <row r="9488">
      <c r="A9488" s="234" t="s">
        <v>30492</v>
      </c>
      <c r="B9488" s="239" t="s">
        <v>16838</v>
      </c>
      <c r="C9488" s="71" t="s">
        <v>17202</v>
      </c>
    </row>
    <row r="9489">
      <c r="A9489" s="234" t="s">
        <v>30494</v>
      </c>
      <c r="B9489" s="239" t="s">
        <v>16838</v>
      </c>
      <c r="C9489" s="71" t="s">
        <v>17202</v>
      </c>
    </row>
    <row r="9490">
      <c r="A9490" s="234" t="s">
        <v>30713</v>
      </c>
      <c r="B9490" s="239" t="s">
        <v>16838</v>
      </c>
      <c r="C9490" s="71" t="s">
        <v>17202</v>
      </c>
    </row>
    <row r="9491">
      <c r="A9491" s="234" t="s">
        <v>30496</v>
      </c>
      <c r="B9491" s="239" t="s">
        <v>16838</v>
      </c>
      <c r="C9491" s="71" t="s">
        <v>17202</v>
      </c>
    </row>
    <row r="9492">
      <c r="A9492" s="234" t="s">
        <v>30498</v>
      </c>
      <c r="B9492" s="239" t="s">
        <v>16838</v>
      </c>
      <c r="C9492" s="71" t="s">
        <v>17202</v>
      </c>
    </row>
    <row r="9493">
      <c r="A9493" s="234" t="s">
        <v>30688</v>
      </c>
      <c r="B9493" s="239" t="s">
        <v>187</v>
      </c>
      <c r="C9493" s="71" t="s">
        <v>16851</v>
      </c>
    </row>
    <row r="9494">
      <c r="A9494" s="130" t="s">
        <v>30715</v>
      </c>
      <c r="B9494" s="239" t="s">
        <v>187</v>
      </c>
      <c r="C9494" s="71" t="s">
        <v>16851</v>
      </c>
    </row>
    <row r="9495">
      <c r="A9495" s="130" t="s">
        <v>30717</v>
      </c>
      <c r="B9495" s="239" t="s">
        <v>187</v>
      </c>
      <c r="C9495" s="71" t="s">
        <v>16851</v>
      </c>
    </row>
    <row r="9496">
      <c r="A9496" s="130" t="s">
        <v>30719</v>
      </c>
      <c r="B9496" s="239" t="s">
        <v>187</v>
      </c>
      <c r="C9496" s="71" t="s">
        <v>16969</v>
      </c>
    </row>
    <row r="9497">
      <c r="A9497" s="130" t="s">
        <v>30721</v>
      </c>
      <c r="B9497" s="239" t="s">
        <v>187</v>
      </c>
      <c r="C9497" s="71" t="s">
        <v>16969</v>
      </c>
    </row>
    <row r="9498">
      <c r="A9498" s="130" t="s">
        <v>30723</v>
      </c>
      <c r="B9498" s="239" t="s">
        <v>187</v>
      </c>
      <c r="C9498" s="71" t="s">
        <v>16969</v>
      </c>
    </row>
    <row r="9499">
      <c r="A9499" s="130" t="s">
        <v>30725</v>
      </c>
      <c r="B9499" s="239" t="s">
        <v>187</v>
      </c>
      <c r="C9499" s="71" t="s">
        <v>16969</v>
      </c>
    </row>
    <row r="9500">
      <c r="A9500" s="130" t="s">
        <v>30727</v>
      </c>
      <c r="B9500" s="239" t="s">
        <v>187</v>
      </c>
      <c r="C9500" s="71" t="s">
        <v>16969</v>
      </c>
    </row>
    <row r="9501">
      <c r="A9501" s="130" t="s">
        <v>30729</v>
      </c>
      <c r="B9501" s="239" t="s">
        <v>187</v>
      </c>
      <c r="C9501" s="71" t="s">
        <v>16969</v>
      </c>
    </row>
    <row r="9502">
      <c r="A9502" s="130" t="s">
        <v>30731</v>
      </c>
      <c r="B9502" s="239" t="s">
        <v>187</v>
      </c>
      <c r="C9502" s="71" t="s">
        <v>18633</v>
      </c>
    </row>
    <row r="9503">
      <c r="A9503" s="130" t="s">
        <v>30733</v>
      </c>
      <c r="B9503" s="239" t="s">
        <v>187</v>
      </c>
      <c r="C9503" s="71" t="s">
        <v>18633</v>
      </c>
    </row>
    <row r="9504">
      <c r="A9504" s="130" t="s">
        <v>30735</v>
      </c>
      <c r="B9504" s="239" t="s">
        <v>187</v>
      </c>
      <c r="C9504" s="71" t="s">
        <v>18633</v>
      </c>
    </row>
    <row r="9505">
      <c r="A9505" s="130" t="s">
        <v>30737</v>
      </c>
      <c r="B9505" s="239" t="s">
        <v>187</v>
      </c>
      <c r="C9505" s="71" t="s">
        <v>18633</v>
      </c>
    </row>
    <row r="9506">
      <c r="A9506" s="130" t="s">
        <v>30739</v>
      </c>
      <c r="B9506" s="239" t="s">
        <v>17629</v>
      </c>
      <c r="C9506" s="71" t="s">
        <v>18718</v>
      </c>
    </row>
    <row r="9507">
      <c r="A9507" s="130" t="s">
        <v>30741</v>
      </c>
      <c r="B9507" s="239" t="s">
        <v>187</v>
      </c>
      <c r="C9507" s="71" t="s">
        <v>17256</v>
      </c>
    </row>
    <row r="9508">
      <c r="A9508" s="130" t="s">
        <v>30743</v>
      </c>
      <c r="B9508" s="239" t="s">
        <v>187</v>
      </c>
      <c r="C9508" s="71" t="s">
        <v>17256</v>
      </c>
    </row>
    <row r="9509">
      <c r="A9509" s="130" t="s">
        <v>30745</v>
      </c>
      <c r="B9509" s="239" t="s">
        <v>16919</v>
      </c>
      <c r="C9509" s="71" t="s">
        <v>17176</v>
      </c>
    </row>
    <row r="9510">
      <c r="A9510" s="130" t="s">
        <v>30747</v>
      </c>
      <c r="B9510" s="239" t="s">
        <v>16919</v>
      </c>
      <c r="C9510" s="71" t="s">
        <v>17176</v>
      </c>
    </row>
    <row r="9511">
      <c r="A9511" s="130" t="s">
        <v>30749</v>
      </c>
      <c r="B9511" s="239" t="s">
        <v>16919</v>
      </c>
      <c r="C9511" s="71" t="s">
        <v>17176</v>
      </c>
    </row>
    <row r="9512">
      <c r="A9512" s="130" t="s">
        <v>30751</v>
      </c>
      <c r="B9512" s="239" t="s">
        <v>16919</v>
      </c>
      <c r="C9512" s="71" t="s">
        <v>17176</v>
      </c>
    </row>
    <row r="9513">
      <c r="A9513" s="234" t="s">
        <v>30753</v>
      </c>
      <c r="B9513" s="239" t="s">
        <v>16582</v>
      </c>
      <c r="C9513" s="71" t="s">
        <v>17342</v>
      </c>
    </row>
    <row r="9514">
      <c r="A9514" s="234" t="s">
        <v>30755</v>
      </c>
      <c r="B9514" s="239" t="s">
        <v>17111</v>
      </c>
      <c r="C9514" s="71" t="s">
        <v>17112</v>
      </c>
    </row>
    <row r="9515">
      <c r="A9515" s="130" t="s">
        <v>30757</v>
      </c>
      <c r="B9515" s="239" t="s">
        <v>17112</v>
      </c>
      <c r="C9515" s="71" t="s">
        <v>17111</v>
      </c>
    </row>
    <row r="9516">
      <c r="A9516" s="234" t="s">
        <v>30755</v>
      </c>
      <c r="B9516" s="239" t="s">
        <v>17112</v>
      </c>
      <c r="C9516" s="71" t="s">
        <v>17111</v>
      </c>
    </row>
    <row r="9517">
      <c r="A9517" s="130" t="s">
        <v>30759</v>
      </c>
      <c r="B9517" s="239" t="s">
        <v>16582</v>
      </c>
      <c r="C9517" s="71" t="s">
        <v>17435</v>
      </c>
    </row>
    <row r="9518">
      <c r="A9518" s="130" t="s">
        <v>30761</v>
      </c>
      <c r="B9518" s="239" t="s">
        <v>16582</v>
      </c>
      <c r="C9518" s="71" t="s">
        <v>17435</v>
      </c>
    </row>
    <row r="9519">
      <c r="A9519" s="130" t="s">
        <v>30763</v>
      </c>
      <c r="B9519" s="239" t="s">
        <v>16582</v>
      </c>
      <c r="C9519" s="71" t="s">
        <v>16828</v>
      </c>
    </row>
    <row r="9520">
      <c r="A9520" s="130" t="s">
        <v>30765</v>
      </c>
      <c r="B9520" s="239" t="s">
        <v>16582</v>
      </c>
      <c r="C9520" s="71" t="s">
        <v>16828</v>
      </c>
    </row>
    <row r="9521">
      <c r="A9521" s="234" t="s">
        <v>30753</v>
      </c>
      <c r="B9521" s="239" t="s">
        <v>17342</v>
      </c>
      <c r="C9521" s="71" t="s">
        <v>16582</v>
      </c>
    </row>
    <row r="9522">
      <c r="A9522" s="234" t="s">
        <v>30159</v>
      </c>
      <c r="B9522" s="239" t="s">
        <v>16960</v>
      </c>
      <c r="C9522" s="71" t="s">
        <v>16926</v>
      </c>
    </row>
    <row r="9523">
      <c r="A9523" s="234" t="s">
        <v>30500</v>
      </c>
      <c r="B9523" s="239" t="s">
        <v>16838</v>
      </c>
      <c r="C9523" s="71" t="s">
        <v>19579</v>
      </c>
    </row>
    <row r="9524">
      <c r="A9524" s="234" t="s">
        <v>30502</v>
      </c>
      <c r="B9524" s="239" t="s">
        <v>16838</v>
      </c>
      <c r="C9524" s="71" t="s">
        <v>19579</v>
      </c>
    </row>
    <row r="9525">
      <c r="A9525" s="234" t="s">
        <v>30504</v>
      </c>
      <c r="B9525" s="239" t="s">
        <v>16838</v>
      </c>
      <c r="C9525" s="71" t="s">
        <v>19579</v>
      </c>
    </row>
    <row r="9526">
      <c r="A9526" s="234" t="s">
        <v>30506</v>
      </c>
      <c r="B9526" s="239" t="s">
        <v>16838</v>
      </c>
      <c r="C9526" s="71" t="s">
        <v>19579</v>
      </c>
    </row>
    <row r="9527">
      <c r="A9527" s="234" t="s">
        <v>30508</v>
      </c>
      <c r="B9527" s="239" t="s">
        <v>16838</v>
      </c>
      <c r="C9527" s="71" t="s">
        <v>19579</v>
      </c>
    </row>
    <row r="9528">
      <c r="A9528" s="234" t="s">
        <v>30510</v>
      </c>
      <c r="B9528" s="239" t="s">
        <v>16838</v>
      </c>
      <c r="C9528" s="71" t="s">
        <v>19579</v>
      </c>
    </row>
    <row r="9529">
      <c r="A9529" s="234" t="s">
        <v>30512</v>
      </c>
      <c r="B9529" s="239" t="s">
        <v>16838</v>
      </c>
      <c r="C9529" s="71" t="s">
        <v>19579</v>
      </c>
    </row>
    <row r="9530">
      <c r="A9530" s="234" t="s">
        <v>30514</v>
      </c>
      <c r="B9530" s="239" t="s">
        <v>16838</v>
      </c>
      <c r="C9530" s="71" t="s">
        <v>19579</v>
      </c>
    </row>
    <row r="9531">
      <c r="A9531" s="234" t="s">
        <v>30516</v>
      </c>
      <c r="B9531" s="239" t="s">
        <v>16838</v>
      </c>
      <c r="C9531" s="71" t="s">
        <v>19579</v>
      </c>
    </row>
    <row r="9532">
      <c r="A9532" s="234" t="s">
        <v>30518</v>
      </c>
      <c r="B9532" s="239" t="s">
        <v>16838</v>
      </c>
      <c r="C9532" s="71" t="s">
        <v>19579</v>
      </c>
    </row>
    <row r="9533">
      <c r="A9533" s="234" t="s">
        <v>30520</v>
      </c>
      <c r="B9533" s="239" t="s">
        <v>16838</v>
      </c>
      <c r="C9533" s="71" t="s">
        <v>19579</v>
      </c>
    </row>
    <row r="9534">
      <c r="A9534" s="130" t="s">
        <v>30767</v>
      </c>
      <c r="B9534" s="239" t="s">
        <v>16838</v>
      </c>
      <c r="C9534" s="71" t="s">
        <v>19579</v>
      </c>
    </row>
    <row r="9535">
      <c r="A9535" s="234" t="s">
        <v>30522</v>
      </c>
      <c r="B9535" s="239" t="s">
        <v>16838</v>
      </c>
      <c r="C9535" s="71" t="s">
        <v>19579</v>
      </c>
    </row>
    <row r="9536">
      <c r="A9536" s="234" t="s">
        <v>30524</v>
      </c>
      <c r="B9536" s="239" t="s">
        <v>16838</v>
      </c>
      <c r="C9536" s="71" t="s">
        <v>19579</v>
      </c>
    </row>
    <row r="9537">
      <c r="A9537" s="234" t="s">
        <v>30525</v>
      </c>
      <c r="B9537" s="239" t="s">
        <v>16838</v>
      </c>
      <c r="C9537" s="71" t="s">
        <v>19579</v>
      </c>
    </row>
    <row r="9538">
      <c r="A9538" s="234" t="s">
        <v>30527</v>
      </c>
      <c r="B9538" s="239" t="s">
        <v>16838</v>
      </c>
      <c r="C9538" s="71" t="s">
        <v>19579</v>
      </c>
    </row>
    <row r="9539">
      <c r="A9539" s="234" t="s">
        <v>30529</v>
      </c>
      <c r="B9539" s="239" t="s">
        <v>16838</v>
      </c>
      <c r="C9539" s="71" t="s">
        <v>19579</v>
      </c>
    </row>
    <row r="9540">
      <c r="A9540" s="234" t="s">
        <v>30531</v>
      </c>
      <c r="B9540" s="239" t="s">
        <v>16838</v>
      </c>
      <c r="C9540" s="71" t="s">
        <v>19579</v>
      </c>
    </row>
    <row r="9541">
      <c r="A9541" s="234" t="s">
        <v>30533</v>
      </c>
      <c r="B9541" s="239" t="s">
        <v>16838</v>
      </c>
      <c r="C9541" s="71" t="s">
        <v>19579</v>
      </c>
    </row>
    <row r="9542">
      <c r="A9542" s="234" t="s">
        <v>30535</v>
      </c>
      <c r="B9542" s="239" t="s">
        <v>16838</v>
      </c>
      <c r="C9542" s="71" t="s">
        <v>19579</v>
      </c>
    </row>
    <row r="9543">
      <c r="A9543" s="234" t="s">
        <v>30537</v>
      </c>
      <c r="B9543" s="239" t="s">
        <v>16838</v>
      </c>
      <c r="C9543" s="71" t="s">
        <v>19579</v>
      </c>
    </row>
    <row r="9544">
      <c r="A9544" s="234" t="s">
        <v>30539</v>
      </c>
      <c r="B9544" s="239" t="s">
        <v>16838</v>
      </c>
      <c r="C9544" s="71" t="s">
        <v>19579</v>
      </c>
    </row>
    <row r="9545">
      <c r="A9545" s="234" t="s">
        <v>30541</v>
      </c>
      <c r="B9545" s="239" t="s">
        <v>16838</v>
      </c>
      <c r="C9545" s="71" t="s">
        <v>19579</v>
      </c>
    </row>
    <row r="9546">
      <c r="A9546" s="234" t="s">
        <v>30543</v>
      </c>
      <c r="B9546" s="239" t="s">
        <v>16838</v>
      </c>
      <c r="C9546" s="71" t="s">
        <v>19579</v>
      </c>
    </row>
    <row r="9547">
      <c r="A9547" s="234" t="s">
        <v>30545</v>
      </c>
      <c r="B9547" s="239" t="s">
        <v>16838</v>
      </c>
      <c r="C9547" s="71" t="s">
        <v>19579</v>
      </c>
    </row>
    <row r="9548">
      <c r="A9548" s="234" t="s">
        <v>30547</v>
      </c>
      <c r="B9548" s="239" t="s">
        <v>16838</v>
      </c>
      <c r="C9548" s="71" t="s">
        <v>19579</v>
      </c>
    </row>
    <row r="9549">
      <c r="A9549" s="234" t="s">
        <v>30549</v>
      </c>
      <c r="B9549" s="239" t="s">
        <v>16838</v>
      </c>
      <c r="C9549" s="71" t="s">
        <v>19579</v>
      </c>
    </row>
    <row r="9550">
      <c r="A9550" s="234" t="s">
        <v>30551</v>
      </c>
      <c r="B9550" s="239" t="s">
        <v>16838</v>
      </c>
      <c r="C9550" s="71" t="s">
        <v>19579</v>
      </c>
    </row>
    <row r="9551">
      <c r="A9551" s="234" t="s">
        <v>30553</v>
      </c>
      <c r="B9551" s="239" t="s">
        <v>16838</v>
      </c>
      <c r="C9551" s="71" t="s">
        <v>19579</v>
      </c>
    </row>
    <row r="9552">
      <c r="A9552" s="234" t="s">
        <v>30555</v>
      </c>
      <c r="B9552" s="239" t="s">
        <v>16838</v>
      </c>
      <c r="C9552" s="71" t="s">
        <v>19579</v>
      </c>
    </row>
    <row r="9553">
      <c r="A9553" s="234" t="s">
        <v>30557</v>
      </c>
      <c r="B9553" s="239" t="s">
        <v>16838</v>
      </c>
      <c r="C9553" s="71" t="s">
        <v>19579</v>
      </c>
    </row>
    <row r="9554">
      <c r="A9554" s="234" t="s">
        <v>30559</v>
      </c>
      <c r="B9554" s="239" t="s">
        <v>16838</v>
      </c>
      <c r="C9554" s="71" t="s">
        <v>19579</v>
      </c>
    </row>
    <row r="9555">
      <c r="A9555" s="234" t="s">
        <v>30561</v>
      </c>
      <c r="B9555" s="239" t="s">
        <v>16838</v>
      </c>
      <c r="C9555" s="71" t="s">
        <v>19579</v>
      </c>
    </row>
    <row r="9556">
      <c r="A9556" s="234" t="s">
        <v>30563</v>
      </c>
      <c r="B9556" s="239" t="s">
        <v>16838</v>
      </c>
      <c r="C9556" s="71" t="s">
        <v>19579</v>
      </c>
    </row>
    <row r="9557">
      <c r="A9557" s="234" t="s">
        <v>30565</v>
      </c>
      <c r="B9557" s="239" t="s">
        <v>16838</v>
      </c>
      <c r="C9557" s="71" t="s">
        <v>19579</v>
      </c>
    </row>
    <row r="9558">
      <c r="A9558" s="234" t="s">
        <v>30567</v>
      </c>
      <c r="B9558" s="239" t="s">
        <v>16838</v>
      </c>
      <c r="C9558" s="71" t="s">
        <v>19579</v>
      </c>
    </row>
    <row r="9559">
      <c r="A9559" s="234" t="s">
        <v>30569</v>
      </c>
      <c r="B9559" s="239" t="s">
        <v>16838</v>
      </c>
      <c r="C9559" s="71" t="s">
        <v>19579</v>
      </c>
    </row>
    <row r="9560">
      <c r="A9560" s="234" t="s">
        <v>30571</v>
      </c>
      <c r="B9560" s="239" t="s">
        <v>16838</v>
      </c>
      <c r="C9560" s="71" t="s">
        <v>19579</v>
      </c>
    </row>
    <row r="9561">
      <c r="A9561" s="234" t="s">
        <v>30573</v>
      </c>
      <c r="B9561" s="239" t="s">
        <v>16838</v>
      </c>
      <c r="C9561" s="71" t="s">
        <v>19579</v>
      </c>
    </row>
    <row r="9562">
      <c r="A9562" s="234" t="s">
        <v>30575</v>
      </c>
      <c r="B9562" s="239" t="s">
        <v>16838</v>
      </c>
      <c r="C9562" s="71" t="s">
        <v>19579</v>
      </c>
    </row>
    <row r="9563">
      <c r="A9563" s="234" t="s">
        <v>30577</v>
      </c>
      <c r="B9563" s="239" t="s">
        <v>16838</v>
      </c>
      <c r="C9563" s="71" t="s">
        <v>19579</v>
      </c>
    </row>
    <row r="9564">
      <c r="A9564" s="234" t="s">
        <v>30579</v>
      </c>
      <c r="B9564" s="239" t="s">
        <v>16838</v>
      </c>
      <c r="C9564" s="71" t="s">
        <v>19579</v>
      </c>
    </row>
    <row r="9565">
      <c r="A9565" s="234" t="s">
        <v>30580</v>
      </c>
      <c r="B9565" s="239" t="s">
        <v>16838</v>
      </c>
      <c r="C9565" s="71" t="s">
        <v>19579</v>
      </c>
    </row>
    <row r="9566">
      <c r="A9566" s="234" t="s">
        <v>30582</v>
      </c>
      <c r="B9566" s="239" t="s">
        <v>16838</v>
      </c>
      <c r="C9566" s="71" t="s">
        <v>19579</v>
      </c>
    </row>
    <row r="9567">
      <c r="A9567" s="234" t="s">
        <v>30584</v>
      </c>
      <c r="B9567" s="239" t="s">
        <v>16838</v>
      </c>
      <c r="C9567" s="71" t="s">
        <v>19579</v>
      </c>
    </row>
    <row r="9568">
      <c r="A9568" s="234" t="s">
        <v>30769</v>
      </c>
      <c r="B9568" s="239" t="s">
        <v>16838</v>
      </c>
      <c r="C9568" s="71" t="s">
        <v>19579</v>
      </c>
    </row>
    <row r="9569">
      <c r="A9569" s="234" t="s">
        <v>30586</v>
      </c>
      <c r="B9569" s="239" t="s">
        <v>16838</v>
      </c>
      <c r="C9569" s="71" t="s">
        <v>19579</v>
      </c>
    </row>
    <row r="9570">
      <c r="A9570" s="234" t="s">
        <v>30588</v>
      </c>
      <c r="B9570" s="239" t="s">
        <v>16838</v>
      </c>
      <c r="C9570" s="71" t="s">
        <v>19579</v>
      </c>
    </row>
    <row r="9571">
      <c r="A9571" s="234" t="s">
        <v>30590</v>
      </c>
      <c r="B9571" s="239" t="s">
        <v>16838</v>
      </c>
      <c r="C9571" s="71" t="s">
        <v>19579</v>
      </c>
    </row>
    <row r="9572">
      <c r="A9572" s="234" t="s">
        <v>30592</v>
      </c>
      <c r="B9572" s="239" t="s">
        <v>16838</v>
      </c>
      <c r="C9572" s="71" t="s">
        <v>19579</v>
      </c>
    </row>
    <row r="9573">
      <c r="A9573" s="234" t="s">
        <v>30594</v>
      </c>
      <c r="B9573" s="239" t="s">
        <v>16838</v>
      </c>
      <c r="C9573" s="71" t="s">
        <v>19579</v>
      </c>
    </row>
    <row r="9574">
      <c r="A9574" s="234" t="s">
        <v>30596</v>
      </c>
      <c r="B9574" s="239" t="s">
        <v>16838</v>
      </c>
      <c r="C9574" s="71" t="s">
        <v>19579</v>
      </c>
    </row>
    <row r="9575">
      <c r="A9575" s="234" t="s">
        <v>30598</v>
      </c>
      <c r="B9575" s="239" t="s">
        <v>16838</v>
      </c>
      <c r="C9575" s="71" t="s">
        <v>19579</v>
      </c>
    </row>
    <row r="9576">
      <c r="A9576" s="234" t="s">
        <v>30600</v>
      </c>
      <c r="B9576" s="239" t="s">
        <v>16838</v>
      </c>
      <c r="C9576" s="71" t="s">
        <v>19579</v>
      </c>
    </row>
    <row r="9577">
      <c r="A9577" s="234" t="s">
        <v>30602</v>
      </c>
      <c r="B9577" s="239" t="s">
        <v>16838</v>
      </c>
      <c r="C9577" s="71" t="s">
        <v>19579</v>
      </c>
    </row>
    <row r="9578">
      <c r="A9578" s="234" t="s">
        <v>30604</v>
      </c>
      <c r="B9578" s="239" t="s">
        <v>16838</v>
      </c>
      <c r="C9578" s="71" t="s">
        <v>19579</v>
      </c>
    </row>
    <row r="9579">
      <c r="A9579" s="234" t="s">
        <v>30606</v>
      </c>
      <c r="B9579" s="239" t="s">
        <v>16838</v>
      </c>
      <c r="C9579" s="71" t="s">
        <v>19579</v>
      </c>
    </row>
    <row r="9580">
      <c r="A9580" s="234" t="s">
        <v>30608</v>
      </c>
      <c r="B9580" s="239" t="s">
        <v>16838</v>
      </c>
      <c r="C9580" s="71" t="s">
        <v>19579</v>
      </c>
    </row>
    <row r="9581">
      <c r="A9581" s="234" t="s">
        <v>30610</v>
      </c>
      <c r="B9581" s="239" t="s">
        <v>16838</v>
      </c>
      <c r="C9581" s="71" t="s">
        <v>19579</v>
      </c>
    </row>
    <row r="9582">
      <c r="A9582" s="234" t="s">
        <v>30612</v>
      </c>
      <c r="B9582" s="239" t="s">
        <v>16838</v>
      </c>
      <c r="C9582" s="71" t="s">
        <v>19579</v>
      </c>
    </row>
    <row r="9583">
      <c r="A9583" s="234" t="s">
        <v>30613</v>
      </c>
      <c r="B9583" s="239" t="s">
        <v>16838</v>
      </c>
      <c r="C9583" s="71" t="s">
        <v>19579</v>
      </c>
    </row>
    <row r="9584">
      <c r="A9584" s="234" t="s">
        <v>30615</v>
      </c>
      <c r="B9584" s="239" t="s">
        <v>16838</v>
      </c>
      <c r="C9584" s="71" t="s">
        <v>19579</v>
      </c>
    </row>
    <row r="9585">
      <c r="A9585" s="234" t="s">
        <v>30617</v>
      </c>
      <c r="B9585" s="239" t="s">
        <v>16838</v>
      </c>
      <c r="C9585" s="71" t="s">
        <v>19579</v>
      </c>
    </row>
    <row r="9586">
      <c r="A9586" s="234" t="s">
        <v>30619</v>
      </c>
      <c r="B9586" s="239" t="s">
        <v>16838</v>
      </c>
      <c r="C9586" s="71" t="s">
        <v>19579</v>
      </c>
    </row>
    <row r="9587">
      <c r="A9587" s="234" t="s">
        <v>30621</v>
      </c>
      <c r="B9587" s="239" t="s">
        <v>16838</v>
      </c>
      <c r="C9587" s="71" t="s">
        <v>19579</v>
      </c>
    </row>
    <row r="9588">
      <c r="A9588" s="234" t="s">
        <v>30623</v>
      </c>
      <c r="B9588" s="239" t="s">
        <v>16838</v>
      </c>
      <c r="C9588" s="71" t="s">
        <v>19579</v>
      </c>
    </row>
    <row r="9589">
      <c r="A9589" s="234" t="s">
        <v>30625</v>
      </c>
      <c r="B9589" s="239" t="s">
        <v>16838</v>
      </c>
      <c r="C9589" s="71" t="s">
        <v>19579</v>
      </c>
    </row>
    <row r="9590">
      <c r="A9590" s="234" t="s">
        <v>30627</v>
      </c>
      <c r="B9590" s="239" t="s">
        <v>16838</v>
      </c>
      <c r="C9590" s="71" t="s">
        <v>19579</v>
      </c>
    </row>
    <row r="9591">
      <c r="A9591" s="234" t="s">
        <v>30694</v>
      </c>
      <c r="B9591" s="239" t="s">
        <v>169</v>
      </c>
      <c r="C9591" s="71" t="s">
        <v>20534</v>
      </c>
    </row>
    <row r="9592">
      <c r="A9592" s="234" t="s">
        <v>30771</v>
      </c>
      <c r="B9592" s="71"/>
      <c r="C9592" s="71"/>
    </row>
    <row r="9593">
      <c r="A9593" s="130" t="s">
        <v>30773</v>
      </c>
      <c r="B9593" s="71"/>
      <c r="C9593" s="71"/>
    </row>
    <row r="9594">
      <c r="A9594" s="234" t="s">
        <v>30775</v>
      </c>
      <c r="B9594" s="71"/>
      <c r="C9594" s="71"/>
    </row>
    <row r="9595">
      <c r="A9595" s="130" t="s">
        <v>30777</v>
      </c>
      <c r="B9595" s="71"/>
      <c r="C9595" s="71"/>
    </row>
    <row r="9596">
      <c r="A9596" s="130" t="s">
        <v>30779</v>
      </c>
      <c r="B9596" s="71"/>
      <c r="C9596" s="71"/>
    </row>
    <row r="9597">
      <c r="A9597" s="234" t="s">
        <v>30781</v>
      </c>
      <c r="B9597" s="71"/>
      <c r="C9597" s="71"/>
    </row>
    <row r="9598">
      <c r="A9598" s="130" t="s">
        <v>30783</v>
      </c>
      <c r="B9598" s="71"/>
      <c r="C9598" s="71"/>
    </row>
    <row r="9599">
      <c r="A9599" s="130" t="s">
        <v>30785</v>
      </c>
      <c r="B9599" s="71"/>
      <c r="C9599" s="71"/>
    </row>
    <row r="9600">
      <c r="A9600" s="234" t="s">
        <v>30787</v>
      </c>
      <c r="B9600" s="71"/>
      <c r="C9600" s="71"/>
    </row>
    <row r="9601">
      <c r="A9601" s="234" t="s">
        <v>30789</v>
      </c>
      <c r="B9601" s="71"/>
      <c r="C9601" s="71"/>
    </row>
    <row r="9602">
      <c r="A9602" s="234" t="s">
        <v>30791</v>
      </c>
      <c r="B9602" s="71"/>
      <c r="C9602" s="71"/>
    </row>
    <row r="9603">
      <c r="A9603" s="130" t="s">
        <v>30793</v>
      </c>
      <c r="B9603" s="71"/>
      <c r="C9603" s="71"/>
    </row>
    <row r="9604">
      <c r="A9604" s="130" t="s">
        <v>30795</v>
      </c>
      <c r="B9604" s="71"/>
      <c r="C9604" s="71"/>
    </row>
    <row r="9605">
      <c r="A9605" s="130" t="s">
        <v>30797</v>
      </c>
      <c r="B9605" s="71"/>
      <c r="C9605" s="71"/>
    </row>
    <row r="9606">
      <c r="A9606" s="130" t="s">
        <v>30799</v>
      </c>
      <c r="B9606" s="71"/>
      <c r="C9606" s="71"/>
    </row>
    <row r="9607">
      <c r="A9607" s="130" t="s">
        <v>30801</v>
      </c>
      <c r="B9607" s="71"/>
      <c r="C9607" s="71"/>
    </row>
    <row r="9608">
      <c r="A9608" s="130" t="s">
        <v>30803</v>
      </c>
      <c r="B9608" s="71"/>
      <c r="C9608" s="71"/>
    </row>
    <row r="9609">
      <c r="A9609" s="130" t="s">
        <v>30805</v>
      </c>
      <c r="B9609" s="71"/>
      <c r="C9609" s="71"/>
    </row>
    <row r="9610">
      <c r="A9610" s="234" t="s">
        <v>30807</v>
      </c>
      <c r="B9610" s="71"/>
      <c r="C9610" s="71"/>
    </row>
    <row r="9611">
      <c r="A9611" s="130" t="s">
        <v>30809</v>
      </c>
      <c r="B9611" s="71"/>
      <c r="C9611" s="71"/>
    </row>
    <row r="9612">
      <c r="A9612" s="130" t="s">
        <v>30811</v>
      </c>
      <c r="B9612" s="71"/>
      <c r="C9612" s="71"/>
    </row>
    <row r="9613">
      <c r="A9613" s="234" t="s">
        <v>30813</v>
      </c>
      <c r="B9613" s="71"/>
      <c r="C9613" s="71"/>
    </row>
    <row r="9614">
      <c r="A9614" s="130" t="s">
        <v>30815</v>
      </c>
      <c r="B9614" s="71"/>
      <c r="C9614" s="71"/>
    </row>
    <row r="9615">
      <c r="A9615" s="130" t="s">
        <v>30817</v>
      </c>
      <c r="B9615" s="71"/>
      <c r="C9615" s="71"/>
    </row>
    <row r="9616">
      <c r="A9616" s="130" t="s">
        <v>30819</v>
      </c>
      <c r="B9616" s="71"/>
      <c r="C9616" s="71"/>
    </row>
    <row r="9617">
      <c r="A9617" s="234" t="s">
        <v>30821</v>
      </c>
      <c r="B9617" s="71"/>
      <c r="C9617" s="71"/>
    </row>
    <row r="9618">
      <c r="A9618" s="130" t="s">
        <v>30823</v>
      </c>
      <c r="B9618" s="71"/>
      <c r="C9618" s="71"/>
    </row>
    <row r="9619">
      <c r="A9619" s="130" t="s">
        <v>30825</v>
      </c>
      <c r="B9619" s="71"/>
      <c r="C9619" s="71"/>
    </row>
    <row r="9620">
      <c r="A9620" s="130" t="s">
        <v>30827</v>
      </c>
      <c r="B9620" s="71"/>
      <c r="C9620" s="71"/>
    </row>
    <row r="9621">
      <c r="A9621" s="234" t="s">
        <v>30829</v>
      </c>
      <c r="B9621" s="71"/>
      <c r="C9621" s="71"/>
    </row>
    <row r="9622">
      <c r="A9622" s="130" t="s">
        <v>30831</v>
      </c>
      <c r="B9622" s="71"/>
      <c r="C9622" s="71"/>
    </row>
    <row r="9623">
      <c r="A9623" s="130" t="s">
        <v>30833</v>
      </c>
      <c r="B9623" s="71"/>
      <c r="C9623" s="71"/>
    </row>
    <row r="9624">
      <c r="A9624" s="130" t="s">
        <v>30835</v>
      </c>
      <c r="B9624" s="71"/>
      <c r="C9624" s="71"/>
    </row>
    <row r="9625">
      <c r="A9625" s="130" t="s">
        <v>30837</v>
      </c>
      <c r="B9625" s="71"/>
      <c r="C9625" s="71"/>
    </row>
    <row r="9626">
      <c r="A9626" s="234" t="s">
        <v>30839</v>
      </c>
      <c r="B9626" s="71"/>
      <c r="C9626" s="71"/>
    </row>
    <row r="9627">
      <c r="A9627" s="234" t="s">
        <v>30841</v>
      </c>
      <c r="B9627" s="71"/>
      <c r="C9627" s="71"/>
    </row>
    <row r="9628">
      <c r="A9628" s="130" t="s">
        <v>30843</v>
      </c>
      <c r="B9628" s="71"/>
      <c r="C9628" s="71"/>
    </row>
    <row r="9629">
      <c r="A9629" s="130" t="s">
        <v>30845</v>
      </c>
      <c r="B9629" s="71"/>
      <c r="C9629" s="71"/>
    </row>
    <row r="9630">
      <c r="A9630" s="234" t="s">
        <v>30847</v>
      </c>
      <c r="B9630" s="71"/>
      <c r="C9630" s="71"/>
    </row>
    <row r="9631">
      <c r="A9631" s="130" t="s">
        <v>30849</v>
      </c>
      <c r="B9631" s="71"/>
      <c r="C9631" s="71"/>
    </row>
    <row r="9632">
      <c r="A9632" s="130" t="s">
        <v>30851</v>
      </c>
      <c r="B9632" s="71"/>
      <c r="C9632" s="71"/>
    </row>
    <row r="9633">
      <c r="A9633" s="130" t="s">
        <v>30853</v>
      </c>
      <c r="B9633" s="71"/>
      <c r="C9633" s="71"/>
    </row>
    <row r="9634">
      <c r="A9634" s="234" t="s">
        <v>30855</v>
      </c>
      <c r="B9634" s="71"/>
      <c r="C9634" s="71"/>
    </row>
    <row r="9635">
      <c r="A9635" s="130" t="s">
        <v>30857</v>
      </c>
      <c r="B9635" s="71"/>
      <c r="C9635" s="71"/>
    </row>
    <row r="9636">
      <c r="A9636" s="130" t="s">
        <v>30859</v>
      </c>
      <c r="B9636" s="71"/>
      <c r="C9636" s="71"/>
    </row>
    <row r="9637">
      <c r="A9637" s="130" t="s">
        <v>30861</v>
      </c>
      <c r="B9637" s="71"/>
      <c r="C9637" s="71"/>
    </row>
    <row r="9638">
      <c r="A9638" s="234" t="s">
        <v>30863</v>
      </c>
      <c r="B9638" s="71"/>
      <c r="C9638" s="71"/>
    </row>
    <row r="9639">
      <c r="A9639" s="130" t="s">
        <v>30865</v>
      </c>
      <c r="B9639" s="71"/>
      <c r="C9639" s="71"/>
    </row>
    <row r="9640">
      <c r="A9640" s="130" t="s">
        <v>30867</v>
      </c>
      <c r="B9640" s="71"/>
      <c r="C9640" s="71"/>
    </row>
    <row r="9641">
      <c r="A9641" s="130" t="s">
        <v>30869</v>
      </c>
      <c r="B9641" s="71"/>
      <c r="C9641" s="71"/>
    </row>
    <row r="9642">
      <c r="A9642" s="130" t="s">
        <v>30871</v>
      </c>
      <c r="B9642" s="71"/>
      <c r="C9642" s="71"/>
    </row>
    <row r="9643">
      <c r="A9643" s="130" t="s">
        <v>30873</v>
      </c>
      <c r="B9643" s="71"/>
      <c r="C9643" s="71"/>
    </row>
    <row r="9644">
      <c r="A9644" s="130" t="s">
        <v>30875</v>
      </c>
      <c r="B9644" s="71"/>
      <c r="C9644" s="71"/>
    </row>
    <row r="9645">
      <c r="A9645" s="130" t="s">
        <v>30877</v>
      </c>
      <c r="B9645" s="71"/>
      <c r="C9645" s="71"/>
    </row>
    <row r="9646">
      <c r="A9646" s="130" t="s">
        <v>30879</v>
      </c>
      <c r="B9646" s="71"/>
      <c r="C9646" s="71"/>
    </row>
    <row r="9647">
      <c r="A9647" s="130" t="s">
        <v>30881</v>
      </c>
      <c r="B9647" s="71"/>
      <c r="C9647" s="71"/>
    </row>
    <row r="9648">
      <c r="A9648" s="130" t="s">
        <v>30883</v>
      </c>
      <c r="B9648" s="71"/>
      <c r="C9648" s="71"/>
    </row>
    <row r="9649">
      <c r="A9649" s="130" t="s">
        <v>30885</v>
      </c>
      <c r="B9649" s="71"/>
      <c r="C9649" s="71"/>
    </row>
    <row r="9650">
      <c r="A9650" s="130" t="s">
        <v>30887</v>
      </c>
      <c r="B9650" s="71"/>
      <c r="C9650" s="71"/>
    </row>
    <row r="9651">
      <c r="A9651" s="234" t="s">
        <v>30889</v>
      </c>
      <c r="B9651" s="71"/>
      <c r="C9651" s="71"/>
    </row>
    <row r="9652">
      <c r="A9652" s="130" t="s">
        <v>30891</v>
      </c>
      <c r="B9652" s="71"/>
      <c r="C9652" s="71"/>
    </row>
    <row r="9653">
      <c r="A9653" s="130" t="s">
        <v>30893</v>
      </c>
      <c r="B9653" s="71"/>
      <c r="C9653" s="71"/>
    </row>
    <row r="9654">
      <c r="A9654" s="130" t="s">
        <v>30895</v>
      </c>
      <c r="B9654" s="71"/>
      <c r="C9654" s="71"/>
    </row>
    <row r="9655">
      <c r="A9655" s="130" t="s">
        <v>30897</v>
      </c>
      <c r="B9655" s="71"/>
      <c r="C9655" s="71"/>
    </row>
    <row r="9656">
      <c r="A9656" s="234" t="s">
        <v>30899</v>
      </c>
      <c r="B9656" s="71"/>
      <c r="C9656" s="71"/>
    </row>
    <row r="9657">
      <c r="A9657" s="130" t="s">
        <v>30901</v>
      </c>
      <c r="B9657" s="71"/>
      <c r="C9657" s="71"/>
    </row>
    <row r="9658">
      <c r="A9658" s="130" t="s">
        <v>30903</v>
      </c>
      <c r="B9658" s="71"/>
      <c r="C9658" s="71"/>
    </row>
    <row r="9659">
      <c r="A9659" s="130" t="s">
        <v>30905</v>
      </c>
      <c r="B9659" s="71"/>
      <c r="C9659" s="71"/>
    </row>
    <row r="9660">
      <c r="A9660" s="234" t="s">
        <v>30907</v>
      </c>
      <c r="B9660" s="71"/>
      <c r="C9660" s="71"/>
    </row>
    <row r="9661">
      <c r="A9661" s="130" t="s">
        <v>30909</v>
      </c>
      <c r="B9661" s="71"/>
      <c r="C9661" s="71"/>
    </row>
    <row r="9662">
      <c r="A9662" s="130" t="s">
        <v>30911</v>
      </c>
      <c r="B9662" s="71"/>
      <c r="C9662" s="71"/>
    </row>
    <row r="9663">
      <c r="A9663" s="130" t="s">
        <v>30913</v>
      </c>
      <c r="B9663" s="71"/>
      <c r="C9663" s="71"/>
    </row>
    <row r="9664">
      <c r="A9664" s="130" t="s">
        <v>30915</v>
      </c>
      <c r="B9664" s="71"/>
      <c r="C9664" s="71"/>
    </row>
    <row r="9665">
      <c r="A9665" s="234" t="s">
        <v>30771</v>
      </c>
      <c r="B9665" s="71"/>
      <c r="C9665" s="71"/>
    </row>
    <row r="9666">
      <c r="A9666" s="234" t="s">
        <v>30775</v>
      </c>
      <c r="B9666" s="71"/>
      <c r="C9666" s="71"/>
    </row>
    <row r="9667">
      <c r="A9667" s="234" t="s">
        <v>30781</v>
      </c>
      <c r="B9667" s="71"/>
      <c r="C9667" s="71"/>
    </row>
    <row r="9668">
      <c r="A9668" s="234" t="s">
        <v>30787</v>
      </c>
      <c r="B9668" s="71"/>
      <c r="C9668" s="71"/>
    </row>
    <row r="9669">
      <c r="A9669" s="234" t="s">
        <v>30789</v>
      </c>
      <c r="B9669" s="71"/>
      <c r="C9669" s="71"/>
    </row>
    <row r="9670">
      <c r="A9670" s="234" t="s">
        <v>30791</v>
      </c>
      <c r="B9670" s="71"/>
      <c r="C9670" s="71"/>
    </row>
    <row r="9671">
      <c r="A9671" s="234" t="s">
        <v>29202</v>
      </c>
      <c r="B9671" s="239" t="s">
        <v>16864</v>
      </c>
      <c r="C9671" s="130" t="s">
        <v>158</v>
      </c>
    </row>
    <row r="9672">
      <c r="A9672" s="234" t="s">
        <v>29322</v>
      </c>
      <c r="B9672" s="239" t="s">
        <v>18219</v>
      </c>
      <c r="C9672" s="130" t="s">
        <v>16838</v>
      </c>
    </row>
    <row r="9673">
      <c r="A9673" s="234" t="s">
        <v>29356</v>
      </c>
      <c r="B9673" s="239" t="s">
        <v>18679</v>
      </c>
      <c r="C9673" s="130" t="s">
        <v>16838</v>
      </c>
    </row>
    <row r="9674">
      <c r="A9674" s="234" t="s">
        <v>29342</v>
      </c>
      <c r="B9674" s="239" t="s">
        <v>18219</v>
      </c>
      <c r="C9674" s="130" t="s">
        <v>16838</v>
      </c>
    </row>
    <row r="9675">
      <c r="A9675" s="234" t="s">
        <v>29392</v>
      </c>
      <c r="B9675" s="239" t="s">
        <v>18219</v>
      </c>
      <c r="C9675" s="130" t="s">
        <v>16838</v>
      </c>
    </row>
    <row r="9676">
      <c r="A9676" s="234" t="s">
        <v>29406</v>
      </c>
      <c r="B9676" s="239" t="s">
        <v>18219</v>
      </c>
      <c r="C9676" s="130" t="s">
        <v>16838</v>
      </c>
    </row>
    <row r="9677">
      <c r="A9677" s="234" t="s">
        <v>29478</v>
      </c>
      <c r="B9677" s="239" t="s">
        <v>18219</v>
      </c>
      <c r="C9677" s="130" t="s">
        <v>16838</v>
      </c>
    </row>
    <row r="9678">
      <c r="A9678" s="234" t="s">
        <v>346</v>
      </c>
      <c r="B9678" s="239" t="s">
        <v>18679</v>
      </c>
      <c r="C9678" s="130" t="s">
        <v>16838</v>
      </c>
    </row>
    <row r="9679">
      <c r="A9679" s="234" t="s">
        <v>30644</v>
      </c>
      <c r="B9679" s="239" t="s">
        <v>18679</v>
      </c>
      <c r="C9679" s="130" t="s">
        <v>16838</v>
      </c>
    </row>
    <row r="9680">
      <c r="A9680" s="234" t="s">
        <v>30646</v>
      </c>
      <c r="B9680" s="239" t="s">
        <v>18679</v>
      </c>
      <c r="C9680" s="130" t="s">
        <v>16838</v>
      </c>
    </row>
    <row r="9681">
      <c r="A9681" s="234" t="s">
        <v>30648</v>
      </c>
      <c r="B9681" s="239" t="s">
        <v>18679</v>
      </c>
      <c r="C9681" s="130" t="s">
        <v>16838</v>
      </c>
    </row>
    <row r="9682">
      <c r="A9682" s="234" t="s">
        <v>29541</v>
      </c>
      <c r="B9682" s="239" t="s">
        <v>18219</v>
      </c>
      <c r="C9682" s="130" t="s">
        <v>16838</v>
      </c>
    </row>
    <row r="9683">
      <c r="A9683" s="234" t="s">
        <v>30650</v>
      </c>
      <c r="B9683" s="239" t="s">
        <v>18679</v>
      </c>
      <c r="C9683" s="130" t="s">
        <v>16838</v>
      </c>
    </row>
    <row r="9684">
      <c r="A9684" s="234" t="s">
        <v>30652</v>
      </c>
      <c r="B9684" s="239" t="s">
        <v>18679</v>
      </c>
      <c r="C9684" s="130" t="s">
        <v>16838</v>
      </c>
    </row>
    <row r="9685">
      <c r="A9685" s="234" t="s">
        <v>30654</v>
      </c>
      <c r="B9685" s="239" t="s">
        <v>18679</v>
      </c>
      <c r="C9685" s="130" t="s">
        <v>16838</v>
      </c>
    </row>
    <row r="9686">
      <c r="A9686" s="234" t="s">
        <v>30656</v>
      </c>
      <c r="B9686" s="239" t="s">
        <v>18679</v>
      </c>
      <c r="C9686" s="130" t="s">
        <v>16838</v>
      </c>
    </row>
    <row r="9687">
      <c r="A9687" s="234" t="s">
        <v>30658</v>
      </c>
      <c r="B9687" s="239" t="s">
        <v>18679</v>
      </c>
      <c r="C9687" s="130" t="s">
        <v>16838</v>
      </c>
    </row>
    <row r="9688">
      <c r="A9688" s="234" t="s">
        <v>30660</v>
      </c>
      <c r="B9688" s="239" t="s">
        <v>18679</v>
      </c>
      <c r="C9688" s="130" t="s">
        <v>16838</v>
      </c>
    </row>
    <row r="9689">
      <c r="A9689" s="234" t="s">
        <v>29575</v>
      </c>
      <c r="B9689" s="239" t="s">
        <v>18219</v>
      </c>
      <c r="C9689" s="130" t="s">
        <v>16838</v>
      </c>
    </row>
    <row r="9690">
      <c r="A9690" s="234" t="s">
        <v>30662</v>
      </c>
      <c r="B9690" s="239" t="s">
        <v>18679</v>
      </c>
      <c r="C9690" s="130" t="s">
        <v>16838</v>
      </c>
    </row>
    <row r="9691">
      <c r="A9691" s="234" t="s">
        <v>30664</v>
      </c>
      <c r="B9691" s="239" t="s">
        <v>18679</v>
      </c>
      <c r="C9691" s="130" t="s">
        <v>16838</v>
      </c>
    </row>
    <row r="9692">
      <c r="A9692" s="234" t="s">
        <v>30705</v>
      </c>
      <c r="B9692" s="239" t="s">
        <v>17202</v>
      </c>
      <c r="C9692" s="130" t="s">
        <v>16838</v>
      </c>
    </row>
    <row r="9693">
      <c r="A9693" s="234" t="s">
        <v>30707</v>
      </c>
      <c r="B9693" s="239" t="s">
        <v>17202</v>
      </c>
      <c r="C9693" s="130" t="s">
        <v>16838</v>
      </c>
    </row>
    <row r="9694">
      <c r="A9694" s="234" t="s">
        <v>30666</v>
      </c>
      <c r="B9694" s="239" t="s">
        <v>18679</v>
      </c>
      <c r="C9694" s="130" t="s">
        <v>16838</v>
      </c>
    </row>
    <row r="9695">
      <c r="A9695" s="234" t="s">
        <v>30668</v>
      </c>
      <c r="B9695" s="239" t="s">
        <v>18679</v>
      </c>
      <c r="C9695" s="130" t="s">
        <v>16838</v>
      </c>
    </row>
    <row r="9696">
      <c r="A9696" s="234" t="s">
        <v>30670</v>
      </c>
      <c r="B9696" s="239" t="s">
        <v>18679</v>
      </c>
      <c r="C9696" s="130" t="s">
        <v>16838</v>
      </c>
    </row>
    <row r="9697">
      <c r="A9697" s="234" t="s">
        <v>30672</v>
      </c>
      <c r="B9697" s="239" t="s">
        <v>18679</v>
      </c>
      <c r="C9697" s="130" t="s">
        <v>16838</v>
      </c>
    </row>
    <row r="9698">
      <c r="A9698" s="234" t="s">
        <v>30674</v>
      </c>
      <c r="B9698" s="239" t="s">
        <v>18679</v>
      </c>
      <c r="C9698" s="130" t="s">
        <v>16838</v>
      </c>
    </row>
    <row r="9699">
      <c r="A9699" s="234" t="s">
        <v>30676</v>
      </c>
      <c r="B9699" s="239" t="s">
        <v>18679</v>
      </c>
      <c r="C9699" s="130" t="s">
        <v>16838</v>
      </c>
    </row>
    <row r="9700">
      <c r="A9700" s="234" t="s">
        <v>30678</v>
      </c>
      <c r="B9700" s="239" t="s">
        <v>18679</v>
      </c>
      <c r="C9700" s="130" t="s">
        <v>16838</v>
      </c>
    </row>
    <row r="9701">
      <c r="A9701" s="234" t="s">
        <v>29749</v>
      </c>
      <c r="B9701" s="239" t="s">
        <v>18219</v>
      </c>
      <c r="C9701" s="130" t="s">
        <v>16838</v>
      </c>
    </row>
    <row r="9702">
      <c r="A9702" s="234" t="s">
        <v>30680</v>
      </c>
      <c r="B9702" s="239" t="s">
        <v>18679</v>
      </c>
      <c r="C9702" s="130" t="s">
        <v>16838</v>
      </c>
    </row>
    <row r="9703">
      <c r="A9703" s="234" t="s">
        <v>30769</v>
      </c>
      <c r="B9703" s="239" t="s">
        <v>19579</v>
      </c>
      <c r="C9703" s="130" t="s">
        <v>16838</v>
      </c>
    </row>
    <row r="9704">
      <c r="A9704" s="234" t="s">
        <v>30682</v>
      </c>
      <c r="B9704" s="239" t="s">
        <v>18679</v>
      </c>
      <c r="C9704" s="130" t="s">
        <v>16838</v>
      </c>
    </row>
    <row r="9705">
      <c r="A9705" s="234" t="s">
        <v>30684</v>
      </c>
      <c r="B9705" s="239" t="s">
        <v>18679</v>
      </c>
      <c r="C9705" s="130" t="s">
        <v>16838</v>
      </c>
    </row>
    <row r="9706">
      <c r="A9706" s="234" t="s">
        <v>29979</v>
      </c>
      <c r="B9706" s="239" t="s">
        <v>18219</v>
      </c>
      <c r="C9706" s="130" t="s">
        <v>16838</v>
      </c>
    </row>
    <row r="9707">
      <c r="A9707" s="234" t="s">
        <v>30711</v>
      </c>
      <c r="B9707" s="239" t="s">
        <v>17202</v>
      </c>
      <c r="C9707" s="130" t="s">
        <v>16838</v>
      </c>
    </row>
    <row r="9708">
      <c r="A9708" s="234" t="s">
        <v>30713</v>
      </c>
      <c r="B9708" s="239" t="s">
        <v>17202</v>
      </c>
      <c r="C9708" s="130" t="s">
        <v>16838</v>
      </c>
    </row>
    <row r="9709">
      <c r="A9709" s="234" t="s">
        <v>30686</v>
      </c>
      <c r="B9709" s="239" t="s">
        <v>18679</v>
      </c>
      <c r="C9709" s="130" t="s">
        <v>16838</v>
      </c>
    </row>
    <row r="9710">
      <c r="A9710" s="234" t="s">
        <v>30145</v>
      </c>
      <c r="B9710" s="239" t="s">
        <v>18219</v>
      </c>
      <c r="C9710" s="130" t="s">
        <v>16838</v>
      </c>
    </row>
    <row r="9711">
      <c r="A9711" s="234" t="s">
        <v>29380</v>
      </c>
      <c r="B9711" s="239" t="s">
        <v>16858</v>
      </c>
      <c r="C9711" s="130" t="s">
        <v>187</v>
      </c>
    </row>
    <row r="9712">
      <c r="A9712" s="234" t="s">
        <v>30807</v>
      </c>
      <c r="B9712" s="71"/>
      <c r="C9712" s="71"/>
    </row>
    <row r="9713">
      <c r="A9713" s="234" t="s">
        <v>30813</v>
      </c>
      <c r="B9713" s="71"/>
      <c r="C9713" s="71"/>
    </row>
    <row r="9714">
      <c r="A9714" s="234" t="s">
        <v>30821</v>
      </c>
      <c r="B9714" s="71"/>
      <c r="C9714" s="71"/>
    </row>
    <row r="9715">
      <c r="A9715" s="234" t="s">
        <v>30829</v>
      </c>
      <c r="B9715" s="71"/>
      <c r="C9715" s="71"/>
    </row>
    <row r="9716">
      <c r="A9716" s="234" t="s">
        <v>30839</v>
      </c>
      <c r="B9716" s="71"/>
      <c r="C9716" s="71"/>
    </row>
    <row r="9717">
      <c r="A9717" s="234" t="s">
        <v>30841</v>
      </c>
      <c r="B9717" s="71"/>
      <c r="C9717" s="71"/>
    </row>
    <row r="9718">
      <c r="A9718" s="234" t="s">
        <v>30847</v>
      </c>
      <c r="B9718" s="71"/>
      <c r="C9718" s="71"/>
    </row>
    <row r="9719">
      <c r="A9719" s="234" t="s">
        <v>30855</v>
      </c>
      <c r="B9719" s="71"/>
      <c r="C9719" s="71"/>
    </row>
    <row r="9720">
      <c r="A9720" s="234" t="s">
        <v>30863</v>
      </c>
      <c r="B9720" s="71"/>
      <c r="C9720" s="71"/>
    </row>
    <row r="9721">
      <c r="A9721" s="234" t="s">
        <v>30889</v>
      </c>
      <c r="B9721" s="71"/>
      <c r="C9721" s="71"/>
    </row>
    <row r="9722">
      <c r="A9722" s="234" t="s">
        <v>30907</v>
      </c>
      <c r="B9722" s="71"/>
      <c r="C9722" s="71"/>
    </row>
    <row r="9723">
      <c r="A9723" s="234" t="s">
        <v>30899</v>
      </c>
      <c r="B9723" s="71"/>
      <c r="C9723" s="71"/>
    </row>
    <row r="9724">
      <c r="A9724" s="130" t="s">
        <v>30917</v>
      </c>
      <c r="B9724" s="239" t="s">
        <v>187</v>
      </c>
      <c r="C9724" s="71" t="s">
        <v>16846</v>
      </c>
    </row>
    <row r="9725">
      <c r="A9725" s="130" t="s">
        <v>30919</v>
      </c>
      <c r="B9725" s="239" t="s">
        <v>16838</v>
      </c>
      <c r="C9725" s="71" t="s">
        <v>18219</v>
      </c>
    </row>
    <row r="9726">
      <c r="A9726" s="130" t="s">
        <v>30921</v>
      </c>
      <c r="B9726" s="239" t="s">
        <v>16582</v>
      </c>
      <c r="C9726" s="71" t="s">
        <v>16817</v>
      </c>
    </row>
    <row r="9727">
      <c r="A9727" s="130" t="s">
        <v>30923</v>
      </c>
      <c r="B9727" s="239" t="s">
        <v>16582</v>
      </c>
      <c r="C9727" s="71" t="s">
        <v>16817</v>
      </c>
    </row>
    <row r="9728">
      <c r="A9728" s="130" t="s">
        <v>30925</v>
      </c>
      <c r="B9728" s="239" t="s">
        <v>16582</v>
      </c>
      <c r="C9728" s="71" t="s">
        <v>17183</v>
      </c>
    </row>
    <row r="9729">
      <c r="A9729" s="130" t="s">
        <v>30927</v>
      </c>
      <c r="B9729" s="239" t="s">
        <v>16838</v>
      </c>
      <c r="C9729" s="71" t="s">
        <v>16867</v>
      </c>
    </row>
    <row r="9730">
      <c r="A9730" s="130" t="s">
        <v>30929</v>
      </c>
      <c r="B9730" s="239" t="s">
        <v>169</v>
      </c>
      <c r="C9730" s="71" t="s">
        <v>18903</v>
      </c>
    </row>
    <row r="9731">
      <c r="A9731" s="234" t="s">
        <v>30931</v>
      </c>
      <c r="B9731" s="71"/>
      <c r="C9731" s="71"/>
    </row>
    <row r="9732">
      <c r="A9732" s="234" t="s">
        <v>30933</v>
      </c>
      <c r="B9732" s="71"/>
      <c r="C9732" s="71"/>
    </row>
    <row r="9733">
      <c r="A9733" s="234" t="s">
        <v>30935</v>
      </c>
      <c r="B9733" s="71"/>
      <c r="C9733" s="71"/>
    </row>
    <row r="9734">
      <c r="A9734" s="234" t="s">
        <v>30937</v>
      </c>
      <c r="B9734" s="71"/>
      <c r="C9734" s="71"/>
    </row>
    <row r="9735">
      <c r="A9735" s="234" t="s">
        <v>30939</v>
      </c>
      <c r="B9735" s="71"/>
      <c r="C9735" s="71"/>
    </row>
    <row r="9736">
      <c r="A9736" s="130" t="s">
        <v>30941</v>
      </c>
      <c r="B9736" s="71"/>
      <c r="C9736" s="71"/>
    </row>
    <row r="9737">
      <c r="A9737" s="234" t="s">
        <v>30943</v>
      </c>
      <c r="B9737" s="71"/>
      <c r="C9737" s="71"/>
    </row>
    <row r="9738">
      <c r="A9738" s="234" t="s">
        <v>30945</v>
      </c>
      <c r="B9738" s="71"/>
      <c r="C9738" s="71"/>
    </row>
    <row r="9739">
      <c r="A9739" s="234" t="s">
        <v>30947</v>
      </c>
      <c r="B9739" s="71"/>
      <c r="C9739" s="71"/>
    </row>
    <row r="9740">
      <c r="A9740" s="234" t="s">
        <v>30949</v>
      </c>
      <c r="B9740" s="71"/>
      <c r="C9740" s="71"/>
    </row>
    <row r="9741">
      <c r="A9741" s="234" t="s">
        <v>30951</v>
      </c>
      <c r="B9741" s="71"/>
      <c r="C9741" s="71"/>
    </row>
    <row r="9742">
      <c r="A9742" s="234" t="s">
        <v>30953</v>
      </c>
      <c r="B9742" s="71"/>
      <c r="C9742" s="71"/>
    </row>
    <row r="9743">
      <c r="A9743" s="234" t="s">
        <v>30955</v>
      </c>
      <c r="B9743" s="71"/>
      <c r="C9743" s="71"/>
    </row>
    <row r="9744">
      <c r="A9744" s="234" t="s">
        <v>30957</v>
      </c>
      <c r="B9744" s="71"/>
      <c r="C9744" s="71"/>
    </row>
    <row r="9745">
      <c r="A9745" s="234" t="s">
        <v>30959</v>
      </c>
      <c r="B9745" s="71"/>
      <c r="C9745" s="71"/>
    </row>
    <row r="9746">
      <c r="A9746" s="234" t="s">
        <v>30961</v>
      </c>
      <c r="B9746" s="71"/>
      <c r="C9746" s="71"/>
    </row>
    <row r="9747">
      <c r="A9747" s="234" t="s">
        <v>30963</v>
      </c>
      <c r="B9747" s="71"/>
      <c r="C9747" s="71"/>
    </row>
    <row r="9748">
      <c r="A9748" s="234" t="s">
        <v>30965</v>
      </c>
      <c r="B9748" s="71"/>
      <c r="C9748" s="71"/>
    </row>
    <row r="9749">
      <c r="A9749" s="234" t="s">
        <v>30967</v>
      </c>
      <c r="B9749" s="71"/>
      <c r="C9749" s="71"/>
    </row>
    <row r="9750">
      <c r="A9750" s="234" t="s">
        <v>30969</v>
      </c>
      <c r="B9750" s="71"/>
      <c r="C9750" s="71"/>
    </row>
    <row r="9751">
      <c r="A9751" s="234" t="s">
        <v>30971</v>
      </c>
      <c r="B9751" s="71"/>
      <c r="C9751" s="71"/>
    </row>
    <row r="9752">
      <c r="A9752" s="234" t="s">
        <v>30973</v>
      </c>
      <c r="B9752" s="71"/>
      <c r="C9752" s="71"/>
    </row>
    <row r="9753">
      <c r="A9753" s="234" t="s">
        <v>30975</v>
      </c>
      <c r="B9753" s="71"/>
      <c r="C9753" s="71"/>
    </row>
    <row r="9754">
      <c r="A9754" s="234" t="s">
        <v>30977</v>
      </c>
      <c r="B9754" s="71"/>
      <c r="C9754" s="71"/>
    </row>
    <row r="9755">
      <c r="A9755" s="234" t="s">
        <v>30979</v>
      </c>
      <c r="B9755" s="71"/>
      <c r="C9755" s="71"/>
    </row>
    <row r="9756">
      <c r="A9756" s="234" t="s">
        <v>30981</v>
      </c>
      <c r="B9756" s="71"/>
      <c r="C9756" s="71"/>
    </row>
    <row r="9757">
      <c r="A9757" s="234" t="s">
        <v>30983</v>
      </c>
      <c r="B9757" s="71"/>
      <c r="C9757" s="71"/>
    </row>
    <row r="9758">
      <c r="A9758" s="234" t="s">
        <v>30985</v>
      </c>
      <c r="B9758" s="71"/>
      <c r="C9758" s="71"/>
    </row>
    <row r="9759">
      <c r="A9759" s="234" t="s">
        <v>30987</v>
      </c>
      <c r="B9759" s="71"/>
      <c r="C9759" s="71"/>
    </row>
    <row r="9760">
      <c r="A9760" s="234" t="s">
        <v>30988</v>
      </c>
      <c r="B9760" s="71"/>
      <c r="C9760" s="71"/>
    </row>
    <row r="9761">
      <c r="A9761" s="234" t="s">
        <v>30990</v>
      </c>
      <c r="B9761" s="71"/>
      <c r="C9761" s="71"/>
    </row>
    <row r="9762">
      <c r="A9762" s="234" t="s">
        <v>30992</v>
      </c>
      <c r="B9762" s="71"/>
      <c r="C9762" s="71"/>
    </row>
    <row r="9763">
      <c r="A9763" s="234" t="s">
        <v>30994</v>
      </c>
      <c r="B9763" s="71"/>
      <c r="C9763" s="71"/>
    </row>
    <row r="9764">
      <c r="A9764" s="234" t="s">
        <v>30996</v>
      </c>
      <c r="B9764" s="71"/>
      <c r="C9764" s="71"/>
    </row>
    <row r="9765">
      <c r="A9765" s="234" t="s">
        <v>30998</v>
      </c>
      <c r="B9765" s="71"/>
      <c r="C9765" s="71"/>
    </row>
    <row r="9766">
      <c r="A9766" s="234" t="s">
        <v>31000</v>
      </c>
      <c r="B9766" s="71"/>
      <c r="C9766" s="71"/>
    </row>
    <row r="9767">
      <c r="A9767" s="234" t="s">
        <v>31002</v>
      </c>
      <c r="B9767" s="71"/>
      <c r="C9767" s="71"/>
    </row>
    <row r="9768">
      <c r="A9768" s="234" t="s">
        <v>31004</v>
      </c>
      <c r="B9768" s="71"/>
      <c r="C9768" s="71"/>
    </row>
    <row r="9769">
      <c r="A9769" s="234" t="s">
        <v>31006</v>
      </c>
      <c r="B9769" s="71"/>
      <c r="C9769" s="71"/>
    </row>
    <row r="9770">
      <c r="A9770" s="234" t="s">
        <v>31008</v>
      </c>
      <c r="B9770" s="71"/>
      <c r="C9770" s="71"/>
    </row>
    <row r="9771">
      <c r="A9771" s="234" t="s">
        <v>31010</v>
      </c>
      <c r="B9771" s="71"/>
      <c r="C9771" s="71"/>
    </row>
    <row r="9772">
      <c r="A9772" s="234" t="s">
        <v>31012</v>
      </c>
      <c r="B9772" s="71"/>
      <c r="C9772" s="71"/>
    </row>
    <row r="9773">
      <c r="A9773" s="234" t="s">
        <v>31014</v>
      </c>
      <c r="B9773" s="71"/>
      <c r="C9773" s="71"/>
    </row>
    <row r="9774">
      <c r="A9774" s="234" t="s">
        <v>31016</v>
      </c>
      <c r="B9774" s="71"/>
      <c r="C9774" s="71"/>
    </row>
    <row r="9775">
      <c r="A9775" s="234" t="s">
        <v>31018</v>
      </c>
      <c r="B9775" s="71"/>
      <c r="C9775" s="71"/>
    </row>
    <row r="9776">
      <c r="A9776" s="234" t="s">
        <v>31020</v>
      </c>
      <c r="B9776" s="71"/>
      <c r="C9776" s="71"/>
    </row>
    <row r="9777">
      <c r="A9777" s="234" t="s">
        <v>31022</v>
      </c>
      <c r="B9777" s="71"/>
      <c r="C9777" s="71"/>
    </row>
    <row r="9778">
      <c r="A9778" s="234" t="s">
        <v>31024</v>
      </c>
      <c r="B9778" s="71"/>
      <c r="C9778" s="71"/>
    </row>
    <row r="9779">
      <c r="A9779" s="234" t="s">
        <v>31026</v>
      </c>
      <c r="B9779" s="71"/>
      <c r="C9779" s="71"/>
    </row>
    <row r="9780">
      <c r="A9780" s="234" t="s">
        <v>31028</v>
      </c>
      <c r="B9780" s="71"/>
      <c r="C9780" s="71"/>
    </row>
    <row r="9781">
      <c r="A9781" s="234" t="s">
        <v>31030</v>
      </c>
      <c r="B9781" s="71"/>
      <c r="C9781" s="71"/>
    </row>
    <row r="9782">
      <c r="A9782" s="234" t="s">
        <v>31032</v>
      </c>
      <c r="B9782" s="71"/>
      <c r="C9782" s="71"/>
    </row>
    <row r="9783">
      <c r="A9783" s="234" t="s">
        <v>31034</v>
      </c>
      <c r="B9783" s="71"/>
      <c r="C9783" s="71"/>
    </row>
    <row r="9784">
      <c r="A9784" s="234" t="s">
        <v>31036</v>
      </c>
      <c r="B9784" s="71"/>
      <c r="C9784" s="71"/>
    </row>
    <row r="9785">
      <c r="A9785" s="234" t="s">
        <v>31038</v>
      </c>
      <c r="B9785" s="71"/>
      <c r="C9785" s="71"/>
    </row>
    <row r="9786">
      <c r="A9786" s="234" t="s">
        <v>31040</v>
      </c>
      <c r="B9786" s="71"/>
      <c r="C9786" s="71"/>
    </row>
    <row r="9787">
      <c r="A9787" s="234" t="s">
        <v>31042</v>
      </c>
      <c r="B9787" s="71"/>
      <c r="C9787" s="71"/>
    </row>
    <row r="9788">
      <c r="A9788" s="234" t="s">
        <v>31044</v>
      </c>
      <c r="B9788" s="71"/>
      <c r="C9788" s="71"/>
    </row>
    <row r="9789">
      <c r="A9789" s="234" t="s">
        <v>31046</v>
      </c>
      <c r="B9789" s="71"/>
      <c r="C9789" s="71"/>
    </row>
    <row r="9790">
      <c r="A9790" s="234" t="s">
        <v>31048</v>
      </c>
      <c r="B9790" s="71"/>
      <c r="C9790" s="71"/>
    </row>
    <row r="9791">
      <c r="A9791" s="234" t="s">
        <v>31050</v>
      </c>
      <c r="B9791" s="71"/>
      <c r="C9791" s="71"/>
    </row>
    <row r="9792">
      <c r="A9792" s="234" t="s">
        <v>31052</v>
      </c>
      <c r="B9792" s="71"/>
      <c r="C9792" s="71"/>
    </row>
    <row r="9793">
      <c r="A9793" s="234" t="s">
        <v>31054</v>
      </c>
      <c r="B9793" s="71"/>
      <c r="C9793" s="71"/>
    </row>
    <row r="9794">
      <c r="A9794" s="234" t="s">
        <v>31056</v>
      </c>
      <c r="B9794" s="71"/>
      <c r="C9794" s="71"/>
    </row>
    <row r="9795">
      <c r="A9795" s="234" t="s">
        <v>31058</v>
      </c>
      <c r="B9795" s="71"/>
      <c r="C9795" s="71"/>
    </row>
    <row r="9796">
      <c r="A9796" s="234" t="s">
        <v>31060</v>
      </c>
      <c r="B9796" s="71"/>
      <c r="C9796" s="71"/>
    </row>
    <row r="9797">
      <c r="A9797" s="234" t="s">
        <v>31062</v>
      </c>
      <c r="B9797" s="71"/>
      <c r="C9797" s="71"/>
    </row>
    <row r="9798">
      <c r="A9798" s="234" t="s">
        <v>31064</v>
      </c>
      <c r="B9798" s="71"/>
      <c r="C9798" s="71"/>
    </row>
    <row r="9799">
      <c r="A9799" s="234" t="s">
        <v>31066</v>
      </c>
      <c r="B9799" s="71"/>
      <c r="C9799" s="71"/>
    </row>
    <row r="9800">
      <c r="A9800" s="234" t="s">
        <v>31067</v>
      </c>
      <c r="B9800" s="71"/>
      <c r="C9800" s="71"/>
    </row>
    <row r="9801">
      <c r="A9801" s="234" t="s">
        <v>31069</v>
      </c>
      <c r="B9801" s="71"/>
      <c r="C9801" s="71"/>
    </row>
    <row r="9802">
      <c r="A9802" s="234" t="s">
        <v>31071</v>
      </c>
      <c r="B9802" s="71"/>
      <c r="C9802" s="71"/>
    </row>
    <row r="9803">
      <c r="A9803" s="234" t="s">
        <v>31073</v>
      </c>
      <c r="B9803" s="71"/>
      <c r="C9803" s="71"/>
    </row>
    <row r="9804">
      <c r="A9804" s="234" t="s">
        <v>31075</v>
      </c>
      <c r="B9804" s="71"/>
      <c r="C9804" s="71"/>
    </row>
    <row r="9805">
      <c r="A9805" s="234" t="s">
        <v>31077</v>
      </c>
      <c r="B9805" s="71"/>
      <c r="C9805" s="71"/>
    </row>
    <row r="9806">
      <c r="A9806" s="234" t="s">
        <v>31079</v>
      </c>
      <c r="B9806" s="71"/>
      <c r="C9806" s="71"/>
    </row>
    <row r="9807">
      <c r="A9807" s="234" t="s">
        <v>31081</v>
      </c>
      <c r="B9807" s="71"/>
      <c r="C9807" s="71"/>
    </row>
    <row r="9808">
      <c r="A9808" s="234" t="s">
        <v>31083</v>
      </c>
      <c r="B9808" s="71"/>
      <c r="C9808" s="71"/>
    </row>
    <row r="9809">
      <c r="A9809" s="234" t="s">
        <v>31085</v>
      </c>
      <c r="B9809" s="71"/>
      <c r="C9809" s="71"/>
    </row>
    <row r="9810">
      <c r="A9810" s="234" t="s">
        <v>31087</v>
      </c>
      <c r="B9810" s="71"/>
      <c r="C9810" s="71"/>
    </row>
    <row r="9811">
      <c r="A9811" s="234" t="s">
        <v>31089</v>
      </c>
      <c r="B9811" s="71"/>
      <c r="C9811" s="71"/>
    </row>
    <row r="9812">
      <c r="A9812" s="234" t="s">
        <v>31091</v>
      </c>
      <c r="B9812" s="71"/>
      <c r="C9812" s="71"/>
    </row>
    <row r="9813">
      <c r="A9813" s="234" t="s">
        <v>31093</v>
      </c>
      <c r="B9813" s="71"/>
      <c r="C9813" s="71"/>
    </row>
    <row r="9814">
      <c r="A9814" s="234" t="s">
        <v>31095</v>
      </c>
      <c r="B9814" s="71"/>
      <c r="C9814" s="71"/>
    </row>
    <row r="9815">
      <c r="A9815" s="234" t="s">
        <v>31097</v>
      </c>
      <c r="B9815" s="71"/>
      <c r="C9815" s="71"/>
    </row>
    <row r="9816">
      <c r="A9816" s="234" t="s">
        <v>31099</v>
      </c>
      <c r="B9816" s="71"/>
      <c r="C9816" s="71"/>
    </row>
    <row r="9817">
      <c r="A9817" s="234" t="s">
        <v>31101</v>
      </c>
      <c r="B9817" s="71"/>
      <c r="C9817" s="71"/>
    </row>
    <row r="9818">
      <c r="A9818" s="234" t="s">
        <v>31103</v>
      </c>
      <c r="B9818" s="71"/>
      <c r="C9818" s="71"/>
    </row>
    <row r="9819">
      <c r="A9819" s="234" t="s">
        <v>31105</v>
      </c>
      <c r="B9819" s="71"/>
      <c r="C9819" s="71"/>
    </row>
    <row r="9820">
      <c r="A9820" s="234" t="s">
        <v>31107</v>
      </c>
      <c r="B9820" s="71"/>
      <c r="C9820" s="71"/>
    </row>
    <row r="9821">
      <c r="A9821" s="234" t="s">
        <v>31109</v>
      </c>
      <c r="B9821" s="71"/>
      <c r="C9821" s="71"/>
    </row>
    <row r="9822">
      <c r="A9822" s="234" t="s">
        <v>31111</v>
      </c>
      <c r="B9822" s="71"/>
      <c r="C9822" s="71"/>
    </row>
    <row r="9823">
      <c r="A9823" s="234" t="s">
        <v>31113</v>
      </c>
      <c r="B9823" s="71"/>
      <c r="C9823" s="71"/>
    </row>
    <row r="9824">
      <c r="A9824" s="234" t="s">
        <v>31115</v>
      </c>
      <c r="B9824" s="71"/>
      <c r="C9824" s="71"/>
    </row>
    <row r="9825">
      <c r="A9825" s="234" t="s">
        <v>31117</v>
      </c>
      <c r="B9825" s="71"/>
      <c r="C9825" s="71"/>
    </row>
    <row r="9826">
      <c r="A9826" s="234" t="s">
        <v>31119</v>
      </c>
      <c r="B9826" s="71"/>
      <c r="C9826" s="71"/>
    </row>
    <row r="9827">
      <c r="A9827" s="234" t="s">
        <v>31121</v>
      </c>
      <c r="B9827" s="71"/>
      <c r="C9827" s="71"/>
    </row>
    <row r="9828">
      <c r="A9828" s="234" t="s">
        <v>31123</v>
      </c>
      <c r="B9828" s="71"/>
      <c r="C9828" s="71"/>
    </row>
    <row r="9829">
      <c r="A9829" s="234" t="s">
        <v>31125</v>
      </c>
      <c r="B9829" s="71"/>
      <c r="C9829" s="71"/>
    </row>
    <row r="9830">
      <c r="A9830" s="234" t="s">
        <v>31127</v>
      </c>
      <c r="B9830" s="71"/>
      <c r="C9830" s="71"/>
    </row>
    <row r="9831">
      <c r="A9831" s="234" t="s">
        <v>31129</v>
      </c>
      <c r="B9831" s="71"/>
      <c r="C9831" s="71"/>
    </row>
    <row r="9832">
      <c r="A9832" s="234" t="s">
        <v>31131</v>
      </c>
      <c r="B9832" s="71"/>
      <c r="C9832" s="71"/>
    </row>
    <row r="9833">
      <c r="A9833" s="234" t="s">
        <v>31133</v>
      </c>
      <c r="B9833" s="71"/>
      <c r="C9833" s="71"/>
    </row>
    <row r="9834">
      <c r="A9834" s="234" t="s">
        <v>31135</v>
      </c>
      <c r="B9834" s="71"/>
      <c r="C9834" s="71"/>
    </row>
    <row r="9835">
      <c r="A9835" s="234" t="s">
        <v>31137</v>
      </c>
      <c r="B9835" s="71"/>
      <c r="C9835" s="71"/>
    </row>
    <row r="9836">
      <c r="A9836" s="234" t="s">
        <v>31139</v>
      </c>
      <c r="B9836" s="71"/>
      <c r="C9836" s="71"/>
    </row>
    <row r="9837">
      <c r="A9837" s="234" t="s">
        <v>31141</v>
      </c>
      <c r="B9837" s="71"/>
      <c r="C9837" s="71"/>
    </row>
    <row r="9838">
      <c r="A9838" s="234" t="s">
        <v>31143</v>
      </c>
      <c r="B9838" s="71"/>
      <c r="C9838" s="71"/>
    </row>
    <row r="9839">
      <c r="A9839" s="234" t="s">
        <v>31145</v>
      </c>
      <c r="B9839" s="71"/>
      <c r="C9839" s="71"/>
    </row>
    <row r="9840">
      <c r="A9840" s="234" t="s">
        <v>31147</v>
      </c>
      <c r="B9840" s="71"/>
      <c r="C9840" s="71"/>
    </row>
    <row r="9841">
      <c r="A9841" s="234" t="s">
        <v>31149</v>
      </c>
      <c r="B9841" s="71"/>
      <c r="C9841" s="71"/>
    </row>
    <row r="9842">
      <c r="A9842" s="234" t="s">
        <v>31151</v>
      </c>
      <c r="B9842" s="71"/>
      <c r="C9842" s="71"/>
    </row>
    <row r="9843">
      <c r="A9843" s="234" t="s">
        <v>31153</v>
      </c>
      <c r="B9843" s="71"/>
      <c r="C9843" s="71"/>
    </row>
    <row r="9844">
      <c r="A9844" s="234" t="s">
        <v>31155</v>
      </c>
      <c r="B9844" s="71"/>
      <c r="C9844" s="71"/>
    </row>
    <row r="9845">
      <c r="A9845" s="234" t="s">
        <v>31157</v>
      </c>
      <c r="B9845" s="71"/>
      <c r="C9845" s="71"/>
    </row>
    <row r="9846">
      <c r="A9846" s="234" t="s">
        <v>31159</v>
      </c>
      <c r="B9846" s="71"/>
      <c r="C9846" s="71"/>
    </row>
    <row r="9847">
      <c r="A9847" s="234" t="s">
        <v>31161</v>
      </c>
      <c r="B9847" s="71"/>
      <c r="C9847" s="71"/>
    </row>
    <row r="9848">
      <c r="A9848" s="234" t="s">
        <v>31163</v>
      </c>
      <c r="B9848" s="71"/>
      <c r="C9848" s="71"/>
    </row>
    <row r="9849">
      <c r="A9849" s="234" t="s">
        <v>31165</v>
      </c>
      <c r="B9849" s="71"/>
      <c r="C9849" s="71"/>
    </row>
    <row r="9850">
      <c r="A9850" s="234" t="s">
        <v>31166</v>
      </c>
      <c r="B9850" s="71"/>
      <c r="C9850" s="71"/>
    </row>
    <row r="9851">
      <c r="A9851" s="234" t="s">
        <v>31168</v>
      </c>
      <c r="B9851" s="71"/>
      <c r="C9851" s="71"/>
    </row>
    <row r="9852">
      <c r="A9852" s="234" t="s">
        <v>31170</v>
      </c>
      <c r="B9852" s="71"/>
      <c r="C9852" s="71"/>
    </row>
    <row r="9853">
      <c r="A9853" s="234" t="s">
        <v>31172</v>
      </c>
      <c r="B9853" s="71"/>
      <c r="C9853" s="71"/>
    </row>
    <row r="9854">
      <c r="A9854" s="234" t="s">
        <v>31174</v>
      </c>
      <c r="B9854" s="71"/>
      <c r="C9854" s="71"/>
    </row>
    <row r="9855">
      <c r="A9855" s="234" t="s">
        <v>31176</v>
      </c>
      <c r="B9855" s="71"/>
      <c r="C9855" s="71"/>
    </row>
    <row r="9856">
      <c r="A9856" s="234" t="s">
        <v>31178</v>
      </c>
      <c r="B9856" s="71"/>
      <c r="C9856" s="71"/>
    </row>
    <row r="9857">
      <c r="A9857" s="234" t="s">
        <v>31180</v>
      </c>
      <c r="B9857" s="71"/>
      <c r="C9857" s="71"/>
    </row>
    <row r="9858">
      <c r="A9858" s="234" t="s">
        <v>31182</v>
      </c>
      <c r="B9858" s="71"/>
      <c r="C9858" s="71"/>
    </row>
    <row r="9859">
      <c r="A9859" s="234" t="s">
        <v>31184</v>
      </c>
      <c r="B9859" s="71"/>
      <c r="C9859" s="71"/>
    </row>
    <row r="9860">
      <c r="A9860" s="234" t="s">
        <v>31186</v>
      </c>
      <c r="B9860" s="71"/>
      <c r="C9860" s="71"/>
    </row>
    <row r="9861">
      <c r="A9861" s="234" t="s">
        <v>31188</v>
      </c>
      <c r="B9861" s="71"/>
      <c r="C9861" s="71"/>
    </row>
    <row r="9862">
      <c r="A9862" s="234" t="s">
        <v>31190</v>
      </c>
      <c r="B9862" s="71"/>
      <c r="C9862" s="71"/>
    </row>
    <row r="9863">
      <c r="A9863" s="234" t="s">
        <v>31192</v>
      </c>
      <c r="B9863" s="71"/>
      <c r="C9863" s="71"/>
    </row>
    <row r="9864">
      <c r="A9864" s="234" t="s">
        <v>31194</v>
      </c>
      <c r="B9864" s="71"/>
      <c r="C9864" s="71"/>
    </row>
    <row r="9865">
      <c r="A9865" s="234" t="s">
        <v>31196</v>
      </c>
      <c r="B9865" s="71"/>
      <c r="C9865" s="71"/>
    </row>
    <row r="9866">
      <c r="A9866" s="234" t="s">
        <v>31198</v>
      </c>
      <c r="B9866" s="71"/>
      <c r="C9866" s="71"/>
    </row>
    <row r="9867">
      <c r="A9867" s="234" t="s">
        <v>31200</v>
      </c>
      <c r="B9867" s="71"/>
      <c r="C9867" s="71"/>
    </row>
    <row r="9868">
      <c r="A9868" s="234" t="s">
        <v>31202</v>
      </c>
      <c r="B9868" s="71"/>
      <c r="C9868" s="71"/>
    </row>
    <row r="9869">
      <c r="A9869" s="234" t="s">
        <v>31204</v>
      </c>
      <c r="B9869" s="71"/>
      <c r="C9869" s="71"/>
    </row>
    <row r="9870">
      <c r="A9870" s="234" t="s">
        <v>31206</v>
      </c>
      <c r="B9870" s="71"/>
      <c r="C9870" s="71"/>
    </row>
    <row r="9871">
      <c r="A9871" s="234" t="s">
        <v>31208</v>
      </c>
      <c r="B9871" s="71"/>
      <c r="C9871" s="71"/>
    </row>
    <row r="9872">
      <c r="A9872" s="234" t="s">
        <v>31210</v>
      </c>
      <c r="B9872" s="71"/>
      <c r="C9872" s="71"/>
    </row>
    <row r="9873">
      <c r="A9873" s="234" t="s">
        <v>31212</v>
      </c>
      <c r="B9873" s="71"/>
      <c r="C9873" s="71"/>
    </row>
    <row r="9874">
      <c r="A9874" s="234" t="s">
        <v>31214</v>
      </c>
      <c r="B9874" s="71"/>
      <c r="C9874" s="71"/>
    </row>
    <row r="9875">
      <c r="A9875" s="234" t="s">
        <v>31216</v>
      </c>
      <c r="B9875" s="71"/>
      <c r="C9875" s="71"/>
    </row>
    <row r="9876">
      <c r="A9876" s="234" t="s">
        <v>31218</v>
      </c>
      <c r="B9876" s="71"/>
      <c r="C9876" s="71"/>
    </row>
    <row r="9877">
      <c r="A9877" s="234" t="s">
        <v>31220</v>
      </c>
      <c r="B9877" s="71"/>
      <c r="C9877" s="71"/>
    </row>
    <row r="9878">
      <c r="A9878" s="234" t="s">
        <v>31222</v>
      </c>
      <c r="B9878" s="71"/>
      <c r="C9878" s="71"/>
    </row>
    <row r="9879">
      <c r="A9879" s="234" t="s">
        <v>31224</v>
      </c>
      <c r="B9879" s="71"/>
      <c r="C9879" s="71"/>
    </row>
    <row r="9880">
      <c r="A9880" s="234" t="s">
        <v>31226</v>
      </c>
      <c r="B9880" s="71"/>
      <c r="C9880" s="71"/>
    </row>
    <row r="9881">
      <c r="A9881" s="234" t="s">
        <v>31228</v>
      </c>
      <c r="B9881" s="71"/>
      <c r="C9881" s="71"/>
    </row>
    <row r="9882">
      <c r="A9882" s="234" t="s">
        <v>31230</v>
      </c>
      <c r="B9882" s="71"/>
      <c r="C9882" s="71"/>
    </row>
    <row r="9883">
      <c r="A9883" s="234" t="s">
        <v>31232</v>
      </c>
      <c r="B9883" s="71"/>
      <c r="C9883" s="71"/>
    </row>
    <row r="9884">
      <c r="A9884" s="234" t="s">
        <v>31234</v>
      </c>
      <c r="B9884" s="71"/>
      <c r="C9884" s="71"/>
    </row>
    <row r="9885">
      <c r="A9885" s="234" t="s">
        <v>31236</v>
      </c>
      <c r="B9885" s="71"/>
      <c r="C9885" s="71"/>
    </row>
    <row r="9886">
      <c r="A9886" s="234" t="s">
        <v>31238</v>
      </c>
      <c r="B9886" s="71"/>
      <c r="C9886" s="71"/>
    </row>
    <row r="9887">
      <c r="A9887" s="234" t="s">
        <v>31240</v>
      </c>
      <c r="B9887" s="71"/>
      <c r="C9887" s="71"/>
    </row>
    <row r="9888">
      <c r="A9888" s="234" t="s">
        <v>31242</v>
      </c>
      <c r="B9888" s="71"/>
      <c r="C9888" s="71"/>
    </row>
    <row r="9889">
      <c r="A9889" s="234" t="s">
        <v>31244</v>
      </c>
      <c r="B9889" s="71"/>
      <c r="C9889" s="71"/>
    </row>
    <row r="9890">
      <c r="A9890" s="234" t="s">
        <v>31246</v>
      </c>
      <c r="B9890" s="71"/>
      <c r="C9890" s="71"/>
    </row>
    <row r="9891">
      <c r="A9891" s="234" t="s">
        <v>31248</v>
      </c>
      <c r="B9891" s="71"/>
      <c r="C9891" s="71"/>
    </row>
    <row r="9892">
      <c r="A9892" s="234" t="s">
        <v>31250</v>
      </c>
      <c r="B9892" s="71"/>
      <c r="C9892" s="71"/>
    </row>
    <row r="9893">
      <c r="A9893" s="234" t="s">
        <v>31252</v>
      </c>
      <c r="B9893" s="71"/>
      <c r="C9893" s="71"/>
    </row>
    <row r="9894">
      <c r="A9894" s="234" t="s">
        <v>31254</v>
      </c>
      <c r="B9894" s="71"/>
      <c r="C9894" s="71"/>
    </row>
    <row r="9895">
      <c r="A9895" s="234" t="s">
        <v>31256</v>
      </c>
      <c r="B9895" s="71"/>
      <c r="C9895" s="71"/>
    </row>
    <row r="9896">
      <c r="A9896" s="234" t="s">
        <v>31258</v>
      </c>
      <c r="B9896" s="71"/>
      <c r="C9896" s="71"/>
    </row>
    <row r="9897">
      <c r="A9897" s="234" t="s">
        <v>31260</v>
      </c>
      <c r="B9897" s="71"/>
      <c r="C9897" s="71"/>
    </row>
    <row r="9898">
      <c r="A9898" s="234" t="s">
        <v>31262</v>
      </c>
      <c r="B9898" s="71"/>
      <c r="C9898" s="71"/>
    </row>
    <row r="9899">
      <c r="A9899" s="234" t="s">
        <v>31264</v>
      </c>
      <c r="B9899" s="71"/>
      <c r="C9899" s="71"/>
    </row>
    <row r="9900">
      <c r="A9900" s="234" t="s">
        <v>31266</v>
      </c>
      <c r="B9900" s="71"/>
      <c r="C9900" s="71"/>
    </row>
    <row r="9901">
      <c r="A9901" s="234" t="s">
        <v>31268</v>
      </c>
      <c r="B9901" s="71"/>
      <c r="C9901" s="71"/>
    </row>
    <row r="9902">
      <c r="A9902" s="234" t="s">
        <v>31270</v>
      </c>
      <c r="B9902" s="71"/>
      <c r="C9902" s="71"/>
    </row>
    <row r="9903">
      <c r="A9903" s="234" t="s">
        <v>31272</v>
      </c>
      <c r="B9903" s="71"/>
      <c r="C9903" s="71"/>
    </row>
    <row r="9904">
      <c r="A9904" s="234" t="s">
        <v>31274</v>
      </c>
      <c r="B9904" s="71"/>
      <c r="C9904" s="71"/>
    </row>
    <row r="9905">
      <c r="A9905" s="234" t="s">
        <v>31276</v>
      </c>
      <c r="B9905" s="71"/>
      <c r="C9905" s="71"/>
    </row>
    <row r="9906">
      <c r="A9906" s="234" t="s">
        <v>31278</v>
      </c>
      <c r="B9906" s="71"/>
      <c r="C9906" s="71"/>
    </row>
    <row r="9907">
      <c r="A9907" s="234" t="s">
        <v>31280</v>
      </c>
      <c r="B9907" s="71"/>
      <c r="C9907" s="71"/>
    </row>
    <row r="9908">
      <c r="A9908" s="234" t="s">
        <v>31282</v>
      </c>
      <c r="B9908" s="71"/>
      <c r="C9908" s="71"/>
    </row>
    <row r="9909">
      <c r="A9909" s="234" t="s">
        <v>31284</v>
      </c>
      <c r="B9909" s="71"/>
      <c r="C9909" s="71"/>
    </row>
    <row r="9910">
      <c r="A9910" s="234" t="s">
        <v>31286</v>
      </c>
      <c r="B9910" s="71"/>
      <c r="C9910" s="71"/>
    </row>
    <row r="9911">
      <c r="A9911" s="234" t="s">
        <v>31288</v>
      </c>
      <c r="B9911" s="71"/>
      <c r="C9911" s="71"/>
    </row>
    <row r="9912">
      <c r="A9912" s="234" t="s">
        <v>31290</v>
      </c>
      <c r="B9912" s="71"/>
      <c r="C9912" s="71"/>
    </row>
    <row r="9913">
      <c r="A9913" s="234" t="s">
        <v>31292</v>
      </c>
      <c r="B9913" s="71"/>
      <c r="C9913" s="71"/>
    </row>
    <row r="9914">
      <c r="A9914" s="234" t="s">
        <v>31294</v>
      </c>
      <c r="B9914" s="71"/>
      <c r="C9914" s="71"/>
    </row>
    <row r="9915">
      <c r="A9915" s="234" t="s">
        <v>31296</v>
      </c>
      <c r="B9915" s="71"/>
      <c r="C9915" s="71"/>
    </row>
    <row r="9916">
      <c r="A9916" s="234" t="s">
        <v>31298</v>
      </c>
      <c r="B9916" s="71"/>
      <c r="C9916" s="71"/>
    </row>
    <row r="9917">
      <c r="A9917" s="234" t="s">
        <v>31300</v>
      </c>
      <c r="B9917" s="71"/>
      <c r="C9917" s="71"/>
    </row>
    <row r="9918">
      <c r="A9918" s="234" t="s">
        <v>31302</v>
      </c>
      <c r="B9918" s="71"/>
      <c r="C9918" s="71"/>
    </row>
    <row r="9919">
      <c r="A9919" s="234" t="s">
        <v>31304</v>
      </c>
      <c r="B9919" s="71"/>
      <c r="C9919" s="71"/>
    </row>
    <row r="9920">
      <c r="A9920" s="234" t="s">
        <v>31306</v>
      </c>
      <c r="B9920" s="71"/>
      <c r="C9920" s="71"/>
    </row>
    <row r="9921">
      <c r="A9921" s="234" t="s">
        <v>31308</v>
      </c>
      <c r="B9921" s="71"/>
      <c r="C9921" s="71"/>
    </row>
    <row r="9922">
      <c r="A9922" s="234" t="s">
        <v>31310</v>
      </c>
      <c r="B9922" s="71"/>
      <c r="C9922" s="71"/>
    </row>
    <row r="9923">
      <c r="A9923" s="234" t="s">
        <v>31312</v>
      </c>
      <c r="B9923" s="71"/>
      <c r="C9923" s="71"/>
    </row>
    <row r="9924">
      <c r="A9924" s="234" t="s">
        <v>31314</v>
      </c>
      <c r="B9924" s="71"/>
      <c r="C9924" s="71"/>
    </row>
    <row r="9925">
      <c r="A9925" s="234" t="s">
        <v>31316</v>
      </c>
      <c r="B9925" s="71"/>
      <c r="C9925" s="71"/>
    </row>
    <row r="9926">
      <c r="A9926" s="234" t="s">
        <v>31318</v>
      </c>
      <c r="B9926" s="71"/>
      <c r="C9926" s="71"/>
    </row>
    <row r="9927">
      <c r="A9927" s="234" t="s">
        <v>31320</v>
      </c>
      <c r="B9927" s="71"/>
      <c r="C9927" s="71"/>
    </row>
    <row r="9928">
      <c r="A9928" s="234" t="s">
        <v>31322</v>
      </c>
      <c r="B9928" s="71"/>
      <c r="C9928" s="71"/>
    </row>
    <row r="9929">
      <c r="A9929" s="234" t="s">
        <v>31324</v>
      </c>
      <c r="B9929" s="71"/>
      <c r="C9929" s="71"/>
    </row>
    <row r="9930">
      <c r="A9930" s="234" t="s">
        <v>31326</v>
      </c>
      <c r="B9930" s="71"/>
      <c r="C9930" s="71"/>
    </row>
    <row r="9931">
      <c r="A9931" s="234" t="s">
        <v>31328</v>
      </c>
      <c r="B9931" s="71"/>
      <c r="C9931" s="71"/>
    </row>
    <row r="9932">
      <c r="A9932" s="234" t="s">
        <v>31330</v>
      </c>
      <c r="B9932" s="71"/>
      <c r="C9932" s="71"/>
    </row>
    <row r="9933">
      <c r="A9933" s="234" t="s">
        <v>31332</v>
      </c>
      <c r="B9933" s="71"/>
      <c r="C9933" s="71"/>
    </row>
    <row r="9934">
      <c r="A9934" s="234" t="s">
        <v>31334</v>
      </c>
      <c r="B9934" s="71"/>
      <c r="C9934" s="71"/>
    </row>
    <row r="9935">
      <c r="A9935" s="234" t="s">
        <v>31336</v>
      </c>
      <c r="B9935" s="71"/>
      <c r="C9935" s="71"/>
    </row>
    <row r="9936">
      <c r="A9936" s="234" t="s">
        <v>31338</v>
      </c>
      <c r="B9936" s="71"/>
      <c r="C9936" s="71"/>
    </row>
    <row r="9937">
      <c r="A9937" s="234" t="s">
        <v>31340</v>
      </c>
      <c r="B9937" s="71"/>
      <c r="C9937" s="71"/>
    </row>
    <row r="9938">
      <c r="A9938" s="234" t="s">
        <v>31342</v>
      </c>
      <c r="B9938" s="71"/>
      <c r="C9938" s="71"/>
    </row>
    <row r="9939">
      <c r="A9939" s="234" t="s">
        <v>31344</v>
      </c>
      <c r="B9939" s="71"/>
      <c r="C9939" s="71"/>
    </row>
    <row r="9940">
      <c r="A9940" s="234" t="s">
        <v>31346</v>
      </c>
      <c r="B9940" s="71"/>
      <c r="C9940" s="71"/>
    </row>
    <row r="9941">
      <c r="A9941" s="234" t="s">
        <v>31348</v>
      </c>
      <c r="B9941" s="71"/>
      <c r="C9941" s="71"/>
    </row>
    <row r="9942">
      <c r="A9942" s="234" t="s">
        <v>31350</v>
      </c>
      <c r="B9942" s="71"/>
      <c r="C9942" s="71"/>
    </row>
    <row r="9943">
      <c r="A9943" s="234" t="s">
        <v>31352</v>
      </c>
      <c r="B9943" s="71"/>
      <c r="C9943" s="71"/>
    </row>
    <row r="9944">
      <c r="A9944" s="234" t="s">
        <v>31354</v>
      </c>
      <c r="B9944" s="71"/>
      <c r="C9944" s="71"/>
    </row>
    <row r="9945">
      <c r="A9945" s="234" t="s">
        <v>31356</v>
      </c>
      <c r="B9945" s="71"/>
      <c r="C9945" s="71"/>
    </row>
    <row r="9946">
      <c r="A9946" s="234" t="s">
        <v>31358</v>
      </c>
      <c r="B9946" s="71"/>
      <c r="C9946" s="71"/>
    </row>
    <row r="9947">
      <c r="A9947" s="234" t="s">
        <v>31360</v>
      </c>
      <c r="B9947" s="71"/>
      <c r="C9947" s="71"/>
    </row>
    <row r="9948">
      <c r="A9948" s="234" t="s">
        <v>31362</v>
      </c>
      <c r="B9948" s="71"/>
      <c r="C9948" s="71"/>
    </row>
    <row r="9949">
      <c r="A9949" s="234" t="s">
        <v>31364</v>
      </c>
      <c r="B9949" s="71"/>
      <c r="C9949" s="71"/>
    </row>
    <row r="9950">
      <c r="A9950" s="234" t="s">
        <v>31366</v>
      </c>
      <c r="B9950" s="71"/>
      <c r="C9950" s="71"/>
    </row>
    <row r="9951">
      <c r="A9951" s="234" t="s">
        <v>31368</v>
      </c>
      <c r="B9951" s="71"/>
      <c r="C9951" s="71"/>
    </row>
    <row r="9952">
      <c r="A9952" s="234" t="s">
        <v>31370</v>
      </c>
      <c r="B9952" s="71"/>
      <c r="C9952" s="71"/>
    </row>
    <row r="9953">
      <c r="A9953" s="234" t="s">
        <v>31372</v>
      </c>
      <c r="B9953" s="71"/>
      <c r="C9953" s="71"/>
    </row>
    <row r="9954">
      <c r="A9954" s="234" t="s">
        <v>31374</v>
      </c>
      <c r="B9954" s="71"/>
      <c r="C9954" s="71"/>
    </row>
    <row r="9955">
      <c r="A9955" s="234" t="s">
        <v>31376</v>
      </c>
      <c r="B9955" s="71"/>
      <c r="C9955" s="71"/>
    </row>
    <row r="9956">
      <c r="A9956" s="234" t="s">
        <v>31378</v>
      </c>
      <c r="B9956" s="71"/>
      <c r="C9956" s="71"/>
    </row>
    <row r="9957">
      <c r="A9957" s="234" t="s">
        <v>31380</v>
      </c>
      <c r="B9957" s="71"/>
      <c r="C9957" s="71"/>
    </row>
    <row r="9958">
      <c r="A9958" s="234" t="s">
        <v>31382</v>
      </c>
      <c r="B9958" s="71"/>
      <c r="C9958" s="71"/>
    </row>
    <row r="9959">
      <c r="A9959" s="234" t="s">
        <v>31384</v>
      </c>
      <c r="B9959" s="71"/>
      <c r="C9959" s="71"/>
    </row>
    <row r="9960">
      <c r="A9960" s="234" t="s">
        <v>31386</v>
      </c>
      <c r="B9960" s="71"/>
      <c r="C9960" s="71"/>
    </row>
    <row r="9961">
      <c r="A9961" s="234" t="s">
        <v>31388</v>
      </c>
      <c r="B9961" s="71"/>
      <c r="C9961" s="71"/>
    </row>
    <row r="9962">
      <c r="A9962" s="234" t="s">
        <v>31390</v>
      </c>
      <c r="B9962" s="71"/>
      <c r="C9962" s="71"/>
    </row>
    <row r="9963">
      <c r="A9963" s="234" t="s">
        <v>31392</v>
      </c>
      <c r="B9963" s="71"/>
      <c r="C9963" s="71"/>
    </row>
    <row r="9964">
      <c r="A9964" s="234" t="s">
        <v>31394</v>
      </c>
      <c r="B9964" s="71"/>
      <c r="C9964" s="71"/>
    </row>
    <row r="9965">
      <c r="A9965" s="234" t="s">
        <v>31396</v>
      </c>
      <c r="B9965" s="71"/>
      <c r="C9965" s="71"/>
    </row>
    <row r="9966">
      <c r="A9966" s="234" t="s">
        <v>31398</v>
      </c>
      <c r="B9966" s="71"/>
      <c r="C9966" s="71"/>
    </row>
    <row r="9967">
      <c r="A9967" s="234" t="s">
        <v>31400</v>
      </c>
      <c r="B9967" s="71"/>
      <c r="C9967" s="71"/>
    </row>
    <row r="9968">
      <c r="A9968" s="234" t="s">
        <v>31402</v>
      </c>
      <c r="B9968" s="71"/>
      <c r="C9968" s="71"/>
    </row>
    <row r="9969">
      <c r="A9969" s="234" t="s">
        <v>31404</v>
      </c>
      <c r="B9969" s="71"/>
      <c r="C9969" s="71"/>
    </row>
    <row r="9970">
      <c r="A9970" s="234" t="s">
        <v>31406</v>
      </c>
      <c r="B9970" s="71"/>
      <c r="C9970" s="71"/>
    </row>
    <row r="9971">
      <c r="A9971" s="234" t="s">
        <v>31408</v>
      </c>
      <c r="B9971" s="71"/>
      <c r="C9971" s="71"/>
    </row>
    <row r="9972">
      <c r="A9972" s="234" t="s">
        <v>31410</v>
      </c>
      <c r="B9972" s="71"/>
      <c r="C9972" s="71"/>
    </row>
    <row r="9973">
      <c r="A9973" s="234" t="s">
        <v>31412</v>
      </c>
      <c r="B9973" s="71"/>
      <c r="C9973" s="71"/>
    </row>
    <row r="9974">
      <c r="A9974" s="234" t="s">
        <v>31414</v>
      </c>
      <c r="B9974" s="71"/>
      <c r="C9974" s="71"/>
    </row>
    <row r="9975">
      <c r="A9975" s="234" t="s">
        <v>31416</v>
      </c>
      <c r="B9975" s="71"/>
      <c r="C9975" s="71"/>
    </row>
    <row r="9976">
      <c r="A9976" s="234" t="s">
        <v>31418</v>
      </c>
      <c r="B9976" s="71"/>
      <c r="C9976" s="71"/>
    </row>
    <row r="9977">
      <c r="A9977" s="234" t="s">
        <v>31420</v>
      </c>
      <c r="B9977" s="71"/>
      <c r="C9977" s="71"/>
    </row>
    <row r="9978">
      <c r="A9978" s="234" t="s">
        <v>31422</v>
      </c>
      <c r="B9978" s="71"/>
      <c r="C9978" s="71"/>
    </row>
    <row r="9979">
      <c r="A9979" s="234" t="s">
        <v>31424</v>
      </c>
      <c r="B9979" s="71"/>
      <c r="C9979" s="71"/>
    </row>
    <row r="9980">
      <c r="A9980" s="234" t="s">
        <v>31426</v>
      </c>
      <c r="B9980" s="71"/>
      <c r="C9980" s="71"/>
    </row>
    <row r="9981">
      <c r="A9981" s="234" t="s">
        <v>31428</v>
      </c>
      <c r="B9981" s="71"/>
      <c r="C9981" s="71"/>
    </row>
    <row r="9982">
      <c r="A9982" s="234" t="s">
        <v>31430</v>
      </c>
      <c r="B9982" s="71"/>
      <c r="C9982" s="71"/>
    </row>
    <row r="9983">
      <c r="A9983" s="234" t="s">
        <v>31432</v>
      </c>
      <c r="B9983" s="71"/>
      <c r="C9983" s="71"/>
    </row>
    <row r="9984">
      <c r="A9984" s="234" t="s">
        <v>31434</v>
      </c>
      <c r="B9984" s="71"/>
      <c r="C9984" s="71"/>
    </row>
    <row r="9985">
      <c r="A9985" s="234" t="s">
        <v>31436</v>
      </c>
      <c r="B9985" s="71"/>
      <c r="C9985" s="71"/>
    </row>
    <row r="9986">
      <c r="A9986" s="234" t="s">
        <v>31438</v>
      </c>
      <c r="B9986" s="71"/>
      <c r="C9986" s="71"/>
    </row>
    <row r="9987">
      <c r="A9987" s="234" t="s">
        <v>31440</v>
      </c>
      <c r="B9987" s="71"/>
      <c r="C9987" s="71"/>
    </row>
    <row r="9988">
      <c r="A9988" s="234" t="s">
        <v>31442</v>
      </c>
      <c r="B9988" s="71"/>
      <c r="C9988" s="71"/>
    </row>
    <row r="9989">
      <c r="A9989" s="234" t="s">
        <v>31444</v>
      </c>
      <c r="B9989" s="71"/>
      <c r="C9989" s="71"/>
    </row>
    <row r="9990">
      <c r="A9990" s="234" t="s">
        <v>31446</v>
      </c>
      <c r="B9990" s="71"/>
      <c r="C9990" s="71"/>
    </row>
    <row r="9991">
      <c r="A9991" s="234" t="s">
        <v>31448</v>
      </c>
      <c r="B9991" s="71"/>
      <c r="C9991" s="71"/>
    </row>
    <row r="9992">
      <c r="A9992" s="234" t="s">
        <v>31450</v>
      </c>
      <c r="B9992" s="71"/>
      <c r="C9992" s="71"/>
    </row>
    <row r="9993">
      <c r="A9993" s="234" t="s">
        <v>31452</v>
      </c>
      <c r="B9993" s="71"/>
      <c r="C9993" s="71"/>
    </row>
    <row r="9994">
      <c r="A9994" s="234" t="s">
        <v>31454</v>
      </c>
      <c r="B9994" s="71"/>
      <c r="C9994" s="71"/>
    </row>
    <row r="9995">
      <c r="A9995" s="234" t="s">
        <v>31456</v>
      </c>
      <c r="B9995" s="71"/>
      <c r="C9995" s="71"/>
    </row>
    <row r="9996">
      <c r="A9996" s="234" t="s">
        <v>31457</v>
      </c>
      <c r="B9996" s="71"/>
      <c r="C9996" s="71"/>
    </row>
    <row r="9997">
      <c r="A9997" s="234" t="s">
        <v>31459</v>
      </c>
      <c r="B9997" s="71"/>
      <c r="C9997" s="71"/>
    </row>
    <row r="9998">
      <c r="A9998" s="234" t="s">
        <v>31461</v>
      </c>
      <c r="B9998" s="71"/>
      <c r="C9998" s="71"/>
    </row>
    <row r="9999">
      <c r="A9999" s="234" t="s">
        <v>31463</v>
      </c>
      <c r="B9999" s="71"/>
      <c r="C9999" s="71"/>
    </row>
    <row r="10000">
      <c r="A10000" s="234" t="s">
        <v>31465</v>
      </c>
      <c r="B10000" s="71"/>
      <c r="C10000" s="71"/>
    </row>
    <row r="10001">
      <c r="A10001" s="234" t="s">
        <v>31467</v>
      </c>
      <c r="B10001" s="71"/>
      <c r="C10001" s="71"/>
    </row>
    <row r="10002">
      <c r="A10002" s="234" t="s">
        <v>31469</v>
      </c>
      <c r="B10002" s="71"/>
      <c r="C10002" s="71"/>
    </row>
    <row r="10003">
      <c r="A10003" s="234" t="s">
        <v>31471</v>
      </c>
      <c r="B10003" s="71"/>
      <c r="C10003" s="71"/>
    </row>
    <row r="10004">
      <c r="A10004" s="130" t="s">
        <v>31473</v>
      </c>
      <c r="B10004" s="71"/>
      <c r="C10004" s="71"/>
    </row>
    <row r="10005">
      <c r="A10005" s="234" t="s">
        <v>31475</v>
      </c>
      <c r="B10005" s="71"/>
      <c r="C10005" s="71"/>
    </row>
    <row r="10006">
      <c r="A10006" s="234" t="s">
        <v>31477</v>
      </c>
      <c r="B10006" s="71"/>
      <c r="C10006" s="71"/>
    </row>
    <row r="10007">
      <c r="A10007" s="234" t="s">
        <v>31479</v>
      </c>
      <c r="B10007" s="71"/>
      <c r="C10007" s="71"/>
    </row>
    <row r="10008">
      <c r="A10008" s="234" t="s">
        <v>31481</v>
      </c>
      <c r="B10008" s="71"/>
      <c r="C10008" s="71"/>
    </row>
    <row r="10009">
      <c r="A10009" s="234" t="s">
        <v>31483</v>
      </c>
      <c r="B10009" s="71"/>
      <c r="C10009" s="71"/>
    </row>
    <row r="10010">
      <c r="A10010" s="234" t="s">
        <v>31485</v>
      </c>
      <c r="B10010" s="71"/>
      <c r="C10010" s="71"/>
    </row>
    <row r="10011">
      <c r="A10011" s="234" t="s">
        <v>31487</v>
      </c>
      <c r="B10011" s="71"/>
      <c r="C10011" s="71"/>
    </row>
    <row r="10012">
      <c r="A10012" s="234" t="s">
        <v>31489</v>
      </c>
      <c r="B10012" s="71"/>
      <c r="C10012" s="71"/>
    </row>
    <row r="10013">
      <c r="A10013" s="234" t="s">
        <v>31491</v>
      </c>
      <c r="B10013" s="71"/>
      <c r="C10013" s="71"/>
    </row>
    <row r="10014">
      <c r="A10014" s="234" t="s">
        <v>31493</v>
      </c>
      <c r="B10014" s="71"/>
      <c r="C10014" s="71"/>
    </row>
    <row r="10015">
      <c r="A10015" s="234" t="s">
        <v>31495</v>
      </c>
      <c r="B10015" s="71"/>
      <c r="C10015" s="71"/>
    </row>
    <row r="10016">
      <c r="A10016" s="234" t="s">
        <v>31497</v>
      </c>
      <c r="B10016" s="71"/>
      <c r="C10016" s="71"/>
    </row>
    <row r="10017">
      <c r="A10017" s="234" t="s">
        <v>31499</v>
      </c>
      <c r="B10017" s="71"/>
      <c r="C10017" s="71"/>
    </row>
    <row r="10018">
      <c r="A10018" s="234" t="s">
        <v>31501</v>
      </c>
      <c r="B10018" s="71"/>
      <c r="C10018" s="71"/>
    </row>
    <row r="10019">
      <c r="A10019" s="234" t="s">
        <v>31503</v>
      </c>
      <c r="B10019" s="71"/>
      <c r="C10019" s="71"/>
    </row>
    <row r="10020">
      <c r="A10020" s="234" t="s">
        <v>31505</v>
      </c>
      <c r="B10020" s="71"/>
      <c r="C10020" s="71"/>
    </row>
    <row r="10021">
      <c r="A10021" s="234" t="s">
        <v>31507</v>
      </c>
      <c r="B10021" s="71"/>
      <c r="C10021" s="71"/>
    </row>
    <row r="10022">
      <c r="A10022" s="234" t="s">
        <v>31509</v>
      </c>
      <c r="B10022" s="71"/>
      <c r="C10022" s="71"/>
    </row>
    <row r="10023">
      <c r="A10023" s="234" t="s">
        <v>31511</v>
      </c>
      <c r="B10023" s="71"/>
      <c r="C10023" s="71"/>
    </row>
    <row r="10024">
      <c r="A10024" s="234" t="s">
        <v>31513</v>
      </c>
      <c r="B10024" s="71"/>
      <c r="C10024" s="71"/>
    </row>
    <row r="10025">
      <c r="A10025" s="234" t="s">
        <v>31515</v>
      </c>
      <c r="B10025" s="71"/>
      <c r="C10025" s="71"/>
    </row>
    <row r="10026">
      <c r="A10026" s="234" t="s">
        <v>31517</v>
      </c>
      <c r="B10026" s="71"/>
      <c r="C10026" s="71"/>
    </row>
    <row r="10027">
      <c r="A10027" s="234" t="s">
        <v>31519</v>
      </c>
      <c r="B10027" s="71"/>
      <c r="C10027" s="71"/>
    </row>
    <row r="10028">
      <c r="A10028" s="234" t="s">
        <v>31521</v>
      </c>
      <c r="B10028" s="71"/>
      <c r="C10028" s="71"/>
    </row>
    <row r="10029">
      <c r="A10029" s="234" t="s">
        <v>31523</v>
      </c>
      <c r="B10029" s="71"/>
      <c r="C10029" s="71"/>
    </row>
    <row r="10030">
      <c r="A10030" s="234" t="s">
        <v>31525</v>
      </c>
      <c r="B10030" s="71"/>
      <c r="C10030" s="71"/>
    </row>
    <row r="10031">
      <c r="A10031" s="234" t="s">
        <v>31527</v>
      </c>
      <c r="B10031" s="71"/>
      <c r="C10031" s="71"/>
    </row>
    <row r="10032">
      <c r="A10032" s="234" t="s">
        <v>31529</v>
      </c>
      <c r="B10032" s="71"/>
      <c r="C10032" s="71"/>
    </row>
    <row r="10033">
      <c r="A10033" s="234" t="s">
        <v>31531</v>
      </c>
      <c r="B10033" s="71"/>
      <c r="C10033" s="71"/>
    </row>
    <row r="10034">
      <c r="A10034" s="234" t="s">
        <v>31533</v>
      </c>
      <c r="B10034" s="71"/>
      <c r="C10034" s="71"/>
    </row>
    <row r="10035">
      <c r="A10035" s="234" t="s">
        <v>31535</v>
      </c>
      <c r="B10035" s="71"/>
      <c r="C10035" s="71"/>
    </row>
    <row r="10036">
      <c r="A10036" s="234" t="s">
        <v>31537</v>
      </c>
      <c r="B10036" s="71"/>
      <c r="C10036" s="71"/>
    </row>
    <row r="10037">
      <c r="A10037" s="234" t="s">
        <v>31539</v>
      </c>
      <c r="B10037" s="71"/>
      <c r="C10037" s="71"/>
    </row>
    <row r="10038">
      <c r="A10038" s="234" t="s">
        <v>31541</v>
      </c>
      <c r="B10038" s="71"/>
      <c r="C10038" s="71"/>
    </row>
    <row r="10039">
      <c r="A10039" s="234" t="s">
        <v>31543</v>
      </c>
      <c r="B10039" s="71"/>
      <c r="C10039" s="71"/>
    </row>
    <row r="10040">
      <c r="A10040" s="234" t="s">
        <v>31545</v>
      </c>
      <c r="B10040" s="71"/>
      <c r="C10040" s="71"/>
    </row>
    <row r="10041">
      <c r="A10041" s="234" t="s">
        <v>31547</v>
      </c>
      <c r="B10041" s="71"/>
      <c r="C10041" s="71"/>
    </row>
    <row r="10042">
      <c r="A10042" s="234" t="s">
        <v>31549</v>
      </c>
      <c r="B10042" s="71"/>
      <c r="C10042" s="71"/>
    </row>
    <row r="10043">
      <c r="A10043" s="234" t="s">
        <v>31551</v>
      </c>
      <c r="B10043" s="71"/>
      <c r="C10043" s="71"/>
    </row>
    <row r="10044">
      <c r="A10044" s="234" t="s">
        <v>31553</v>
      </c>
      <c r="B10044" s="71"/>
      <c r="C10044" s="71"/>
    </row>
    <row r="10045">
      <c r="A10045" s="234" t="s">
        <v>31555</v>
      </c>
      <c r="B10045" s="71"/>
      <c r="C10045" s="71"/>
    </row>
    <row r="10046">
      <c r="A10046" s="234" t="s">
        <v>31557</v>
      </c>
      <c r="B10046" s="71"/>
      <c r="C10046" s="71"/>
    </row>
    <row r="10047">
      <c r="A10047" s="234" t="s">
        <v>31559</v>
      </c>
      <c r="B10047" s="71"/>
      <c r="C10047" s="71"/>
    </row>
    <row r="10048">
      <c r="A10048" s="234" t="s">
        <v>31561</v>
      </c>
      <c r="B10048" s="71"/>
      <c r="C10048" s="71"/>
    </row>
    <row r="10049">
      <c r="A10049" s="130" t="s">
        <v>31563</v>
      </c>
      <c r="B10049" s="71"/>
      <c r="C10049" s="71"/>
    </row>
    <row r="10050">
      <c r="A10050" s="234" t="s">
        <v>31565</v>
      </c>
      <c r="B10050" s="71"/>
      <c r="C10050" s="71"/>
    </row>
    <row r="10051">
      <c r="A10051" s="234" t="s">
        <v>31567</v>
      </c>
      <c r="B10051" s="71"/>
      <c r="C10051" s="71"/>
    </row>
    <row r="10052">
      <c r="A10052" s="234" t="s">
        <v>31569</v>
      </c>
      <c r="B10052" s="71"/>
      <c r="C10052" s="71"/>
    </row>
    <row r="10053">
      <c r="A10053" s="234" t="s">
        <v>31571</v>
      </c>
      <c r="B10053" s="71"/>
      <c r="C10053" s="71"/>
    </row>
    <row r="10054">
      <c r="A10054" s="234" t="s">
        <v>31573</v>
      </c>
      <c r="B10054" s="71"/>
      <c r="C10054" s="71"/>
    </row>
    <row r="10055">
      <c r="A10055" s="234" t="s">
        <v>31575</v>
      </c>
      <c r="B10055" s="71"/>
      <c r="C10055" s="71"/>
    </row>
    <row r="10056">
      <c r="A10056" s="234" t="s">
        <v>31577</v>
      </c>
      <c r="B10056" s="71"/>
      <c r="C10056" s="71"/>
    </row>
    <row r="10057">
      <c r="A10057" s="234" t="s">
        <v>31579</v>
      </c>
      <c r="B10057" s="71"/>
      <c r="C10057" s="71"/>
    </row>
    <row r="10058">
      <c r="A10058" s="234" t="s">
        <v>31581</v>
      </c>
      <c r="B10058" s="71"/>
      <c r="C10058" s="71"/>
    </row>
    <row r="10059">
      <c r="A10059" s="234" t="s">
        <v>31583</v>
      </c>
      <c r="B10059" s="71"/>
      <c r="C10059" s="71"/>
    </row>
    <row r="10060">
      <c r="A10060" s="234" t="s">
        <v>31585</v>
      </c>
      <c r="B10060" s="71"/>
      <c r="C10060" s="71"/>
    </row>
    <row r="10061">
      <c r="A10061" s="234" t="s">
        <v>31587</v>
      </c>
      <c r="B10061" s="71"/>
      <c r="C10061" s="71"/>
    </row>
    <row r="10062">
      <c r="A10062" s="234" t="s">
        <v>31589</v>
      </c>
      <c r="B10062" s="71"/>
      <c r="C10062" s="71"/>
    </row>
    <row r="10063">
      <c r="A10063" s="234" t="s">
        <v>31591</v>
      </c>
      <c r="B10063" s="71"/>
      <c r="C10063" s="71"/>
    </row>
    <row r="10064">
      <c r="A10064" s="234" t="s">
        <v>31593</v>
      </c>
      <c r="B10064" s="71"/>
      <c r="C10064" s="71"/>
    </row>
    <row r="10065">
      <c r="A10065" s="234" t="s">
        <v>31595</v>
      </c>
      <c r="B10065" s="71"/>
      <c r="C10065" s="71"/>
    </row>
    <row r="10066">
      <c r="A10066" s="234" t="s">
        <v>31597</v>
      </c>
      <c r="B10066" s="71"/>
      <c r="C10066" s="71"/>
    </row>
    <row r="10067">
      <c r="A10067" s="234" t="s">
        <v>31599</v>
      </c>
      <c r="B10067" s="71"/>
      <c r="C10067" s="71"/>
    </row>
    <row r="10068">
      <c r="A10068" s="234" t="s">
        <v>31601</v>
      </c>
      <c r="B10068" s="71"/>
      <c r="C10068" s="71"/>
    </row>
    <row r="10069">
      <c r="A10069" s="234" t="s">
        <v>31603</v>
      </c>
      <c r="B10069" s="71"/>
      <c r="C10069" s="71"/>
    </row>
    <row r="10070">
      <c r="A10070" s="234" t="s">
        <v>31605</v>
      </c>
      <c r="B10070" s="71"/>
      <c r="C10070" s="71"/>
    </row>
    <row r="10071">
      <c r="A10071" s="234" t="s">
        <v>31607</v>
      </c>
      <c r="B10071" s="71"/>
      <c r="C10071" s="71"/>
    </row>
    <row r="10072">
      <c r="A10072" s="234" t="s">
        <v>31609</v>
      </c>
      <c r="B10072" s="71"/>
      <c r="C10072" s="71"/>
    </row>
    <row r="10073">
      <c r="A10073" s="234" t="s">
        <v>31611</v>
      </c>
      <c r="B10073" s="71"/>
      <c r="C10073" s="71"/>
    </row>
    <row r="10074">
      <c r="A10074" s="234" t="s">
        <v>31613</v>
      </c>
      <c r="B10074" s="71"/>
      <c r="C10074" s="71"/>
    </row>
    <row r="10075">
      <c r="A10075" s="234" t="s">
        <v>31615</v>
      </c>
      <c r="B10075" s="71"/>
      <c r="C10075" s="71"/>
    </row>
    <row r="10076">
      <c r="A10076" s="234" t="s">
        <v>31617</v>
      </c>
      <c r="B10076" s="71"/>
      <c r="C10076" s="71"/>
    </row>
    <row r="10077">
      <c r="A10077" s="234" t="s">
        <v>31619</v>
      </c>
      <c r="B10077" s="71"/>
      <c r="C10077" s="71"/>
    </row>
    <row r="10078">
      <c r="A10078" s="234" t="s">
        <v>31621</v>
      </c>
      <c r="B10078" s="71"/>
      <c r="C10078" s="71"/>
    </row>
    <row r="10079">
      <c r="A10079" s="234" t="s">
        <v>31623</v>
      </c>
      <c r="B10079" s="71"/>
      <c r="C10079" s="71"/>
    </row>
    <row r="10080">
      <c r="A10080" s="234" t="s">
        <v>31625</v>
      </c>
      <c r="B10080" s="71"/>
      <c r="C10080" s="71"/>
    </row>
    <row r="10081">
      <c r="A10081" s="234" t="s">
        <v>31627</v>
      </c>
      <c r="B10081" s="71"/>
      <c r="C10081" s="71"/>
    </row>
    <row r="10082">
      <c r="A10082" s="234" t="s">
        <v>31629</v>
      </c>
      <c r="B10082" s="71"/>
      <c r="C10082" s="71"/>
    </row>
    <row r="10083">
      <c r="A10083" s="234" t="s">
        <v>31631</v>
      </c>
      <c r="B10083" s="71"/>
      <c r="C10083" s="71"/>
    </row>
    <row r="10084">
      <c r="A10084" s="234" t="s">
        <v>31633</v>
      </c>
      <c r="B10084" s="71"/>
      <c r="C10084" s="71"/>
    </row>
    <row r="10085">
      <c r="A10085" s="234" t="s">
        <v>31635</v>
      </c>
      <c r="B10085" s="71"/>
      <c r="C10085" s="71"/>
    </row>
    <row r="10086">
      <c r="A10086" s="234" t="s">
        <v>31637</v>
      </c>
      <c r="B10086" s="71"/>
      <c r="C10086" s="71"/>
    </row>
    <row r="10087">
      <c r="A10087" s="234" t="s">
        <v>31639</v>
      </c>
      <c r="B10087" s="71"/>
      <c r="C10087" s="71"/>
    </row>
    <row r="10088">
      <c r="A10088" s="234" t="s">
        <v>31641</v>
      </c>
      <c r="B10088" s="71"/>
      <c r="C10088" s="71"/>
    </row>
    <row r="10089">
      <c r="A10089" s="234" t="s">
        <v>31643</v>
      </c>
      <c r="B10089" s="71"/>
      <c r="C10089" s="71"/>
    </row>
    <row r="10090">
      <c r="A10090" s="234" t="s">
        <v>31645</v>
      </c>
      <c r="B10090" s="71"/>
      <c r="C10090" s="71"/>
    </row>
    <row r="10091">
      <c r="A10091" s="234" t="s">
        <v>31647</v>
      </c>
      <c r="B10091" s="71"/>
      <c r="C10091" s="71"/>
    </row>
    <row r="10092">
      <c r="A10092" s="234" t="s">
        <v>31649</v>
      </c>
      <c r="B10092" s="71"/>
      <c r="C10092" s="71"/>
    </row>
    <row r="10093">
      <c r="A10093" s="234" t="s">
        <v>31651</v>
      </c>
      <c r="B10093" s="71"/>
      <c r="C10093" s="71"/>
    </row>
    <row r="10094">
      <c r="A10094" s="234" t="s">
        <v>31653</v>
      </c>
      <c r="B10094" s="71"/>
      <c r="C10094" s="71"/>
    </row>
    <row r="10095">
      <c r="A10095" s="234" t="s">
        <v>31655</v>
      </c>
      <c r="B10095" s="71"/>
      <c r="C10095" s="71"/>
    </row>
    <row r="10096">
      <c r="A10096" s="234" t="s">
        <v>31657</v>
      </c>
      <c r="B10096" s="71"/>
      <c r="C10096" s="71"/>
    </row>
    <row r="10097">
      <c r="A10097" s="234" t="s">
        <v>31659</v>
      </c>
      <c r="B10097" s="71"/>
      <c r="C10097" s="71"/>
    </row>
    <row r="10098">
      <c r="A10098" s="234" t="s">
        <v>31661</v>
      </c>
      <c r="B10098" s="71"/>
      <c r="C10098" s="71"/>
    </row>
    <row r="10099">
      <c r="A10099" s="234" t="s">
        <v>31663</v>
      </c>
      <c r="B10099" s="71"/>
      <c r="C10099" s="71"/>
    </row>
    <row r="10100">
      <c r="A10100" s="234" t="s">
        <v>31665</v>
      </c>
      <c r="B10100" s="71"/>
      <c r="C10100" s="71"/>
    </row>
    <row r="10101">
      <c r="A10101" s="234" t="s">
        <v>31667</v>
      </c>
      <c r="B10101" s="71"/>
      <c r="C10101" s="71"/>
    </row>
    <row r="10102">
      <c r="A10102" s="234" t="s">
        <v>31669</v>
      </c>
      <c r="B10102" s="71"/>
      <c r="C10102" s="71"/>
    </row>
    <row r="10103">
      <c r="A10103" s="234" t="s">
        <v>31671</v>
      </c>
      <c r="B10103" s="71"/>
      <c r="C10103" s="71"/>
    </row>
    <row r="10104">
      <c r="A10104" s="234" t="s">
        <v>31673</v>
      </c>
      <c r="B10104" s="71"/>
      <c r="C10104" s="71"/>
    </row>
    <row r="10105">
      <c r="A10105" s="234" t="s">
        <v>31675</v>
      </c>
      <c r="B10105" s="71"/>
      <c r="C10105" s="71"/>
    </row>
    <row r="10106">
      <c r="A10106" s="234" t="s">
        <v>31677</v>
      </c>
      <c r="B10106" s="71"/>
      <c r="C10106" s="71"/>
    </row>
    <row r="10107">
      <c r="A10107" s="234" t="s">
        <v>31679</v>
      </c>
      <c r="B10107" s="71"/>
      <c r="C10107" s="71"/>
    </row>
    <row r="10108">
      <c r="A10108" s="234" t="s">
        <v>31681</v>
      </c>
      <c r="B10108" s="71"/>
      <c r="C10108" s="71"/>
    </row>
    <row r="10109">
      <c r="A10109" s="234" t="s">
        <v>31683</v>
      </c>
      <c r="B10109" s="71"/>
      <c r="C10109" s="71"/>
    </row>
    <row r="10110">
      <c r="A10110" s="234" t="s">
        <v>31685</v>
      </c>
      <c r="B10110" s="71"/>
      <c r="C10110" s="71"/>
    </row>
    <row r="10111">
      <c r="A10111" s="234" t="s">
        <v>31687</v>
      </c>
      <c r="B10111" s="71"/>
      <c r="C10111" s="71"/>
    </row>
    <row r="10112">
      <c r="A10112" s="234" t="s">
        <v>31689</v>
      </c>
      <c r="B10112" s="71"/>
      <c r="C10112" s="71"/>
    </row>
    <row r="10113">
      <c r="A10113" s="234" t="s">
        <v>31691</v>
      </c>
      <c r="B10113" s="71"/>
      <c r="C10113" s="71"/>
    </row>
    <row r="10114">
      <c r="A10114" s="234" t="s">
        <v>31693</v>
      </c>
      <c r="B10114" s="71"/>
      <c r="C10114" s="71"/>
    </row>
    <row r="10115">
      <c r="A10115" s="234" t="s">
        <v>31695</v>
      </c>
      <c r="B10115" s="71"/>
      <c r="C10115" s="71"/>
    </row>
    <row r="10116">
      <c r="A10116" s="234" t="s">
        <v>31697</v>
      </c>
      <c r="B10116" s="71"/>
      <c r="C10116" s="71"/>
    </row>
    <row r="10117">
      <c r="A10117" s="234" t="s">
        <v>31699</v>
      </c>
      <c r="B10117" s="71"/>
      <c r="C10117" s="71"/>
    </row>
    <row r="10118">
      <c r="A10118" s="234" t="s">
        <v>31701</v>
      </c>
      <c r="B10118" s="71"/>
      <c r="C10118" s="71"/>
    </row>
    <row r="10119">
      <c r="A10119" s="234" t="s">
        <v>31703</v>
      </c>
      <c r="B10119" s="71"/>
      <c r="C10119" s="71"/>
    </row>
    <row r="10120">
      <c r="A10120" s="234" t="s">
        <v>31705</v>
      </c>
      <c r="B10120" s="71"/>
      <c r="C10120" s="71"/>
    </row>
    <row r="10121">
      <c r="A10121" s="234" t="s">
        <v>31707</v>
      </c>
      <c r="B10121" s="71"/>
      <c r="C10121" s="71"/>
    </row>
    <row r="10122">
      <c r="A10122" s="234" t="s">
        <v>31709</v>
      </c>
      <c r="B10122" s="71"/>
      <c r="C10122" s="71"/>
    </row>
    <row r="10123">
      <c r="A10123" s="234" t="s">
        <v>31711</v>
      </c>
      <c r="B10123" s="71"/>
      <c r="C10123" s="71"/>
    </row>
    <row r="10124">
      <c r="A10124" s="234" t="s">
        <v>31713</v>
      </c>
      <c r="B10124" s="71"/>
      <c r="C10124" s="71"/>
    </row>
    <row r="10125">
      <c r="A10125" s="234" t="s">
        <v>31715</v>
      </c>
      <c r="B10125" s="71"/>
      <c r="C10125" s="71"/>
    </row>
    <row r="10126">
      <c r="A10126" s="234" t="s">
        <v>31717</v>
      </c>
      <c r="B10126" s="71"/>
      <c r="C10126" s="71"/>
    </row>
    <row r="10127">
      <c r="A10127" s="234" t="s">
        <v>31719</v>
      </c>
      <c r="B10127" s="71"/>
      <c r="C10127" s="71"/>
    </row>
    <row r="10128">
      <c r="A10128" s="234" t="s">
        <v>31721</v>
      </c>
      <c r="B10128" s="71"/>
      <c r="C10128" s="71"/>
    </row>
    <row r="10129">
      <c r="A10129" s="234" t="s">
        <v>31723</v>
      </c>
      <c r="B10129" s="71"/>
      <c r="C10129" s="71"/>
    </row>
    <row r="10130">
      <c r="A10130" s="234" t="s">
        <v>31725</v>
      </c>
      <c r="B10130" s="71"/>
      <c r="C10130" s="71"/>
    </row>
    <row r="10131">
      <c r="A10131" s="234" t="s">
        <v>31727</v>
      </c>
      <c r="B10131" s="71"/>
      <c r="C10131" s="71"/>
    </row>
    <row r="10132">
      <c r="A10132" s="234" t="s">
        <v>31729</v>
      </c>
      <c r="B10132" s="71"/>
      <c r="C10132" s="71"/>
    </row>
    <row r="10133">
      <c r="A10133" s="234" t="s">
        <v>31731</v>
      </c>
      <c r="B10133" s="71"/>
      <c r="C10133" s="71"/>
    </row>
    <row r="10134">
      <c r="A10134" s="234" t="s">
        <v>31733</v>
      </c>
      <c r="B10134" s="71"/>
      <c r="C10134" s="71"/>
    </row>
    <row r="10135">
      <c r="A10135" s="234" t="s">
        <v>31735</v>
      </c>
      <c r="B10135" s="71"/>
      <c r="C10135" s="71"/>
    </row>
    <row r="10136">
      <c r="A10136" s="234" t="s">
        <v>31737</v>
      </c>
      <c r="B10136" s="71"/>
      <c r="C10136" s="71"/>
    </row>
    <row r="10137">
      <c r="A10137" s="234" t="s">
        <v>31739</v>
      </c>
      <c r="B10137" s="71"/>
      <c r="C10137" s="71"/>
    </row>
    <row r="10138">
      <c r="A10138" s="234" t="s">
        <v>31741</v>
      </c>
      <c r="B10138" s="71"/>
      <c r="C10138" s="71"/>
    </row>
    <row r="10139">
      <c r="A10139" s="234" t="s">
        <v>31743</v>
      </c>
      <c r="B10139" s="71"/>
      <c r="C10139" s="71"/>
    </row>
    <row r="10140">
      <c r="A10140" s="234" t="s">
        <v>31745</v>
      </c>
      <c r="B10140" s="71"/>
      <c r="C10140" s="71"/>
    </row>
    <row r="10141">
      <c r="A10141" s="234" t="s">
        <v>31747</v>
      </c>
      <c r="B10141" s="71"/>
      <c r="C10141" s="71"/>
    </row>
    <row r="10142">
      <c r="A10142" s="234" t="s">
        <v>31749</v>
      </c>
      <c r="B10142" s="71"/>
      <c r="C10142" s="71"/>
    </row>
    <row r="10143">
      <c r="A10143" s="234" t="s">
        <v>31751</v>
      </c>
      <c r="B10143" s="71"/>
      <c r="C10143" s="71"/>
    </row>
    <row r="10144">
      <c r="A10144" s="234" t="s">
        <v>31753</v>
      </c>
      <c r="B10144" s="71"/>
      <c r="C10144" s="71"/>
    </row>
    <row r="10145">
      <c r="A10145" s="234" t="s">
        <v>31755</v>
      </c>
      <c r="B10145" s="71"/>
      <c r="C10145" s="71"/>
    </row>
    <row r="10146">
      <c r="A10146" s="234" t="s">
        <v>31757</v>
      </c>
      <c r="B10146" s="71"/>
      <c r="C10146" s="71"/>
    </row>
    <row r="10147">
      <c r="A10147" s="234" t="s">
        <v>31759</v>
      </c>
      <c r="B10147" s="71"/>
      <c r="C10147" s="71"/>
    </row>
    <row r="10148">
      <c r="A10148" s="234" t="s">
        <v>31761</v>
      </c>
      <c r="B10148" s="71"/>
      <c r="C10148" s="71"/>
    </row>
    <row r="10149">
      <c r="A10149" s="234" t="s">
        <v>31763</v>
      </c>
      <c r="B10149" s="71"/>
      <c r="C10149" s="71"/>
    </row>
    <row r="10150">
      <c r="A10150" s="234" t="s">
        <v>31765</v>
      </c>
      <c r="B10150" s="71"/>
      <c r="C10150" s="71"/>
    </row>
    <row r="10151">
      <c r="A10151" s="234" t="s">
        <v>31767</v>
      </c>
      <c r="B10151" s="71"/>
      <c r="C10151" s="71"/>
    </row>
    <row r="10152">
      <c r="A10152" s="234" t="s">
        <v>31769</v>
      </c>
      <c r="B10152" s="71"/>
      <c r="C10152" s="71"/>
    </row>
    <row r="10153">
      <c r="A10153" s="240"/>
      <c r="B10153" s="240"/>
      <c r="C10153" s="240"/>
    </row>
    <row r="10154">
      <c r="A10154" s="234" t="s">
        <v>30931</v>
      </c>
      <c r="B10154" s="71"/>
      <c r="C10154" s="71"/>
    </row>
    <row r="10155">
      <c r="A10155" s="234" t="s">
        <v>30933</v>
      </c>
      <c r="B10155" s="71"/>
      <c r="C10155" s="71"/>
    </row>
    <row r="10156">
      <c r="A10156" s="234" t="s">
        <v>30935</v>
      </c>
      <c r="B10156" s="71"/>
      <c r="C10156" s="71"/>
    </row>
    <row r="10157">
      <c r="A10157" s="234" t="s">
        <v>30937</v>
      </c>
      <c r="B10157" s="71"/>
      <c r="C10157" s="71"/>
    </row>
    <row r="10158">
      <c r="A10158" s="234" t="s">
        <v>30939</v>
      </c>
      <c r="B10158" s="71"/>
      <c r="C10158" s="71"/>
    </row>
    <row r="10159">
      <c r="A10159" s="234" t="s">
        <v>30943</v>
      </c>
      <c r="B10159" s="71"/>
      <c r="C10159" s="71"/>
    </row>
    <row r="10160">
      <c r="A10160" s="234" t="s">
        <v>30945</v>
      </c>
      <c r="B10160" s="71"/>
      <c r="C10160" s="71"/>
    </row>
    <row r="10161">
      <c r="A10161" s="234" t="s">
        <v>30947</v>
      </c>
      <c r="B10161" s="71"/>
      <c r="C10161" s="71"/>
    </row>
    <row r="10162">
      <c r="A10162" s="234" t="s">
        <v>30949</v>
      </c>
      <c r="B10162" s="71"/>
      <c r="C10162" s="71"/>
    </row>
    <row r="10163">
      <c r="A10163" s="234" t="s">
        <v>30951</v>
      </c>
      <c r="B10163" s="71"/>
      <c r="C10163" s="71"/>
    </row>
    <row r="10164">
      <c r="A10164" s="234" t="s">
        <v>30953</v>
      </c>
      <c r="B10164" s="71"/>
      <c r="C10164" s="71"/>
    </row>
    <row r="10165">
      <c r="A10165" s="234" t="s">
        <v>30955</v>
      </c>
      <c r="B10165" s="71"/>
      <c r="C10165" s="71"/>
    </row>
    <row r="10166">
      <c r="A10166" s="234" t="s">
        <v>30957</v>
      </c>
      <c r="B10166" s="71"/>
      <c r="C10166" s="71"/>
    </row>
    <row r="10167">
      <c r="A10167" s="234" t="s">
        <v>30959</v>
      </c>
      <c r="B10167" s="71"/>
      <c r="C10167" s="71"/>
    </row>
    <row r="10168">
      <c r="A10168" s="234" t="s">
        <v>30961</v>
      </c>
      <c r="B10168" s="71"/>
      <c r="C10168" s="71"/>
    </row>
    <row r="10169">
      <c r="A10169" s="234" t="s">
        <v>30963</v>
      </c>
      <c r="B10169" s="71"/>
      <c r="C10169" s="71"/>
    </row>
    <row r="10170">
      <c r="A10170" s="234" t="s">
        <v>30965</v>
      </c>
      <c r="B10170" s="71"/>
      <c r="C10170" s="71"/>
    </row>
    <row r="10171">
      <c r="A10171" s="234" t="s">
        <v>30967</v>
      </c>
      <c r="B10171" s="71"/>
      <c r="C10171" s="71"/>
    </row>
    <row r="10172">
      <c r="A10172" s="234" t="s">
        <v>30969</v>
      </c>
      <c r="B10172" s="71"/>
      <c r="C10172" s="71"/>
    </row>
    <row r="10173">
      <c r="A10173" s="234" t="s">
        <v>30971</v>
      </c>
      <c r="B10173" s="71"/>
      <c r="C10173" s="71"/>
    </row>
    <row r="10174">
      <c r="A10174" s="234" t="s">
        <v>30973</v>
      </c>
      <c r="B10174" s="71"/>
      <c r="C10174" s="71"/>
    </row>
    <row r="10175">
      <c r="A10175" s="234" t="s">
        <v>30975</v>
      </c>
      <c r="B10175" s="71"/>
      <c r="C10175" s="71"/>
    </row>
    <row r="10176">
      <c r="A10176" s="234" t="s">
        <v>30977</v>
      </c>
      <c r="B10176" s="71"/>
      <c r="C10176" s="71"/>
    </row>
    <row r="10177">
      <c r="A10177" s="234" t="s">
        <v>30979</v>
      </c>
      <c r="B10177" s="71"/>
      <c r="C10177" s="71"/>
    </row>
    <row r="10178">
      <c r="A10178" s="234" t="s">
        <v>30981</v>
      </c>
      <c r="B10178" s="71"/>
      <c r="C10178" s="71"/>
    </row>
    <row r="10179">
      <c r="A10179" s="234" t="s">
        <v>30983</v>
      </c>
      <c r="B10179" s="71"/>
      <c r="C10179" s="71"/>
    </row>
    <row r="10180">
      <c r="A10180" s="234" t="s">
        <v>30985</v>
      </c>
      <c r="B10180" s="71"/>
      <c r="C10180" s="71"/>
    </row>
    <row r="10181">
      <c r="A10181" s="234" t="s">
        <v>30987</v>
      </c>
      <c r="B10181" s="71"/>
      <c r="C10181" s="71"/>
    </row>
    <row r="10182">
      <c r="A10182" s="234" t="s">
        <v>30988</v>
      </c>
      <c r="B10182" s="71"/>
      <c r="C10182" s="71"/>
    </row>
    <row r="10183">
      <c r="A10183" s="234" t="s">
        <v>30990</v>
      </c>
      <c r="B10183" s="71"/>
      <c r="C10183" s="71"/>
    </row>
    <row r="10184">
      <c r="A10184" s="234" t="s">
        <v>30992</v>
      </c>
      <c r="B10184" s="71"/>
      <c r="C10184" s="71"/>
    </row>
    <row r="10185">
      <c r="A10185" s="234" t="s">
        <v>30994</v>
      </c>
      <c r="B10185" s="71"/>
      <c r="C10185" s="71"/>
    </row>
    <row r="10186">
      <c r="A10186" s="234" t="s">
        <v>30996</v>
      </c>
      <c r="B10186" s="71"/>
      <c r="C10186" s="71"/>
    </row>
    <row r="10187">
      <c r="A10187" s="234" t="s">
        <v>30998</v>
      </c>
      <c r="B10187" s="71"/>
      <c r="C10187" s="71"/>
    </row>
    <row r="10188">
      <c r="A10188" s="234" t="s">
        <v>31000</v>
      </c>
      <c r="B10188" s="71"/>
      <c r="C10188" s="71"/>
    </row>
    <row r="10189">
      <c r="A10189" s="234" t="s">
        <v>31002</v>
      </c>
      <c r="B10189" s="71"/>
      <c r="C10189" s="71"/>
    </row>
    <row r="10190">
      <c r="A10190" s="234" t="s">
        <v>31004</v>
      </c>
      <c r="B10190" s="71"/>
      <c r="C10190" s="71"/>
    </row>
    <row r="10191">
      <c r="A10191" s="234" t="s">
        <v>31006</v>
      </c>
      <c r="B10191" s="71"/>
      <c r="C10191" s="71"/>
    </row>
    <row r="10192">
      <c r="A10192" s="234" t="s">
        <v>31008</v>
      </c>
      <c r="B10192" s="71"/>
      <c r="C10192" s="71"/>
    </row>
    <row r="10193">
      <c r="A10193" s="234" t="s">
        <v>31010</v>
      </c>
      <c r="B10193" s="71"/>
      <c r="C10193" s="71"/>
    </row>
    <row r="10194">
      <c r="A10194" s="234" t="s">
        <v>31012</v>
      </c>
      <c r="B10194" s="71"/>
      <c r="C10194" s="71"/>
    </row>
    <row r="10195">
      <c r="A10195" s="234" t="s">
        <v>31014</v>
      </c>
      <c r="B10195" s="71"/>
      <c r="C10195" s="71"/>
    </row>
    <row r="10196">
      <c r="A10196" s="234" t="s">
        <v>31016</v>
      </c>
      <c r="B10196" s="71"/>
      <c r="C10196" s="71"/>
    </row>
    <row r="10197">
      <c r="A10197" s="234" t="s">
        <v>31018</v>
      </c>
      <c r="B10197" s="71"/>
      <c r="C10197" s="71"/>
    </row>
    <row r="10198">
      <c r="A10198" s="234" t="s">
        <v>31020</v>
      </c>
      <c r="B10198" s="71"/>
      <c r="C10198" s="71"/>
    </row>
    <row r="10199">
      <c r="A10199" s="234" t="s">
        <v>31022</v>
      </c>
      <c r="B10199" s="71"/>
      <c r="C10199" s="71"/>
    </row>
    <row r="10200">
      <c r="A10200" s="234" t="s">
        <v>31024</v>
      </c>
      <c r="B10200" s="71"/>
      <c r="C10200" s="71"/>
    </row>
    <row r="10201">
      <c r="A10201" s="234" t="s">
        <v>31026</v>
      </c>
      <c r="B10201" s="71"/>
      <c r="C10201" s="71"/>
    </row>
    <row r="10202">
      <c r="A10202" s="234" t="s">
        <v>31028</v>
      </c>
      <c r="B10202" s="71"/>
      <c r="C10202" s="71"/>
    </row>
    <row r="10203">
      <c r="A10203" s="234" t="s">
        <v>31032</v>
      </c>
      <c r="B10203" s="71"/>
      <c r="C10203" s="71"/>
    </row>
    <row r="10204">
      <c r="A10204" s="234" t="s">
        <v>31034</v>
      </c>
      <c r="B10204" s="71"/>
      <c r="C10204" s="71"/>
    </row>
    <row r="10205">
      <c r="A10205" s="234" t="s">
        <v>31036</v>
      </c>
      <c r="B10205" s="71"/>
      <c r="C10205" s="71"/>
    </row>
    <row r="10206">
      <c r="A10206" s="234" t="s">
        <v>31038</v>
      </c>
      <c r="B10206" s="71"/>
      <c r="C10206" s="71"/>
    </row>
    <row r="10207">
      <c r="A10207" s="234" t="s">
        <v>31040</v>
      </c>
      <c r="B10207" s="71"/>
      <c r="C10207" s="71"/>
    </row>
    <row r="10208">
      <c r="A10208" s="234" t="s">
        <v>31042</v>
      </c>
      <c r="B10208" s="71"/>
      <c r="C10208" s="71"/>
    </row>
    <row r="10209">
      <c r="A10209" s="234" t="s">
        <v>31044</v>
      </c>
      <c r="B10209" s="71"/>
      <c r="C10209" s="71"/>
    </row>
    <row r="10210">
      <c r="A10210" s="234" t="s">
        <v>31046</v>
      </c>
      <c r="B10210" s="71"/>
      <c r="C10210" s="71"/>
    </row>
    <row r="10211">
      <c r="A10211" s="234" t="s">
        <v>31048</v>
      </c>
      <c r="B10211" s="71"/>
      <c r="C10211" s="71"/>
    </row>
    <row r="10212">
      <c r="A10212" s="234" t="s">
        <v>31050</v>
      </c>
      <c r="B10212" s="71"/>
      <c r="C10212" s="71"/>
    </row>
    <row r="10213">
      <c r="A10213" s="234" t="s">
        <v>31052</v>
      </c>
      <c r="B10213" s="71"/>
      <c r="C10213" s="71"/>
    </row>
    <row r="10214">
      <c r="A10214" s="234" t="s">
        <v>31054</v>
      </c>
      <c r="B10214" s="71"/>
      <c r="C10214" s="71"/>
    </row>
    <row r="10215">
      <c r="A10215" s="234" t="s">
        <v>31056</v>
      </c>
      <c r="B10215" s="71"/>
      <c r="C10215" s="71"/>
    </row>
    <row r="10216">
      <c r="A10216" s="234" t="s">
        <v>31058</v>
      </c>
      <c r="B10216" s="71"/>
      <c r="C10216" s="71"/>
    </row>
    <row r="10217">
      <c r="A10217" s="234" t="s">
        <v>31062</v>
      </c>
      <c r="B10217" s="71"/>
      <c r="C10217" s="71"/>
    </row>
    <row r="10218">
      <c r="A10218" s="234" t="s">
        <v>31064</v>
      </c>
      <c r="B10218" s="71"/>
      <c r="C10218" s="71"/>
    </row>
    <row r="10219">
      <c r="A10219" s="234" t="s">
        <v>31066</v>
      </c>
      <c r="B10219" s="71"/>
      <c r="C10219" s="71"/>
    </row>
    <row r="10220">
      <c r="A10220" s="234" t="s">
        <v>31067</v>
      </c>
      <c r="B10220" s="71"/>
      <c r="C10220" s="71"/>
    </row>
    <row r="10221">
      <c r="A10221" s="234" t="s">
        <v>31069</v>
      </c>
      <c r="B10221" s="71"/>
      <c r="C10221" s="71"/>
    </row>
    <row r="10222">
      <c r="A10222" s="234" t="s">
        <v>31071</v>
      </c>
      <c r="B10222" s="71"/>
      <c r="C10222" s="71"/>
    </row>
    <row r="10223">
      <c r="A10223" s="234" t="s">
        <v>31073</v>
      </c>
      <c r="B10223" s="71"/>
      <c r="C10223" s="71"/>
    </row>
    <row r="10224">
      <c r="A10224" s="234" t="s">
        <v>31075</v>
      </c>
      <c r="B10224" s="71"/>
      <c r="C10224" s="71"/>
    </row>
    <row r="10225">
      <c r="A10225" s="234" t="s">
        <v>31077</v>
      </c>
      <c r="B10225" s="71"/>
      <c r="C10225" s="71"/>
    </row>
    <row r="10226">
      <c r="A10226" s="234" t="s">
        <v>31079</v>
      </c>
      <c r="B10226" s="71"/>
      <c r="C10226" s="71"/>
    </row>
    <row r="10227">
      <c r="A10227" s="234" t="s">
        <v>31081</v>
      </c>
      <c r="B10227" s="71"/>
      <c r="C10227" s="71"/>
    </row>
    <row r="10228">
      <c r="A10228" s="234" t="s">
        <v>31083</v>
      </c>
      <c r="B10228" s="71"/>
      <c r="C10228" s="71"/>
    </row>
    <row r="10229">
      <c r="A10229" s="234" t="s">
        <v>31085</v>
      </c>
      <c r="B10229" s="71"/>
      <c r="C10229" s="71"/>
    </row>
    <row r="10230">
      <c r="A10230" s="234" t="s">
        <v>31087</v>
      </c>
      <c r="B10230" s="71"/>
      <c r="C10230" s="71"/>
    </row>
    <row r="10231">
      <c r="A10231" s="234" t="s">
        <v>31089</v>
      </c>
      <c r="B10231" s="71"/>
      <c r="C10231" s="71"/>
    </row>
    <row r="10232">
      <c r="A10232" s="234" t="s">
        <v>31091</v>
      </c>
      <c r="B10232" s="71"/>
      <c r="C10232" s="71"/>
    </row>
    <row r="10233">
      <c r="A10233" s="234" t="s">
        <v>31093</v>
      </c>
      <c r="B10233" s="71"/>
      <c r="C10233" s="71"/>
    </row>
    <row r="10234">
      <c r="A10234" s="234" t="s">
        <v>31095</v>
      </c>
      <c r="B10234" s="71"/>
      <c r="C10234" s="71"/>
    </row>
    <row r="10235">
      <c r="A10235" s="234" t="s">
        <v>31097</v>
      </c>
      <c r="B10235" s="71"/>
      <c r="C10235" s="71"/>
    </row>
    <row r="10236">
      <c r="A10236" s="234" t="s">
        <v>31099</v>
      </c>
      <c r="B10236" s="71"/>
      <c r="C10236" s="71"/>
    </row>
    <row r="10237">
      <c r="A10237" s="234" t="s">
        <v>31101</v>
      </c>
      <c r="B10237" s="71"/>
      <c r="C10237" s="71"/>
    </row>
    <row r="10238">
      <c r="A10238" s="234" t="s">
        <v>31103</v>
      </c>
      <c r="B10238" s="71"/>
      <c r="C10238" s="71"/>
    </row>
    <row r="10239">
      <c r="A10239" s="234" t="s">
        <v>31105</v>
      </c>
      <c r="B10239" s="71"/>
      <c r="C10239" s="71"/>
    </row>
    <row r="10240">
      <c r="A10240" s="234" t="s">
        <v>31107</v>
      </c>
      <c r="B10240" s="71"/>
      <c r="C10240" s="71"/>
    </row>
    <row r="10241">
      <c r="A10241" s="234" t="s">
        <v>31109</v>
      </c>
      <c r="B10241" s="71"/>
      <c r="C10241" s="71"/>
    </row>
    <row r="10242">
      <c r="A10242" s="234" t="s">
        <v>31111</v>
      </c>
      <c r="B10242" s="71"/>
      <c r="C10242" s="71"/>
    </row>
    <row r="10243">
      <c r="A10243" s="234" t="s">
        <v>31113</v>
      </c>
      <c r="B10243" s="71"/>
      <c r="C10243" s="71"/>
    </row>
    <row r="10244">
      <c r="A10244" s="234" t="s">
        <v>31115</v>
      </c>
      <c r="B10244" s="71"/>
      <c r="C10244" s="71"/>
    </row>
    <row r="10245">
      <c r="A10245" s="234" t="s">
        <v>31117</v>
      </c>
      <c r="B10245" s="71"/>
      <c r="C10245" s="71"/>
    </row>
    <row r="10246">
      <c r="A10246" s="234" t="s">
        <v>31119</v>
      </c>
      <c r="B10246" s="71"/>
      <c r="C10246" s="71"/>
    </row>
    <row r="10247">
      <c r="A10247" s="234" t="s">
        <v>31121</v>
      </c>
      <c r="B10247" s="71"/>
      <c r="C10247" s="71"/>
    </row>
    <row r="10248">
      <c r="A10248" s="234" t="s">
        <v>31123</v>
      </c>
      <c r="B10248" s="71"/>
      <c r="C10248" s="71"/>
    </row>
    <row r="10249">
      <c r="A10249" s="234" t="s">
        <v>31125</v>
      </c>
      <c r="B10249" s="71"/>
      <c r="C10249" s="71"/>
    </row>
    <row r="10250">
      <c r="A10250" s="71"/>
      <c r="B10250" s="71"/>
      <c r="C10250" s="71"/>
    </row>
    <row r="10251">
      <c r="A10251" s="71"/>
      <c r="B10251" s="71"/>
      <c r="C10251" s="71"/>
    </row>
    <row r="10252">
      <c r="A10252" s="234" t="s">
        <v>31127</v>
      </c>
      <c r="B10252" s="71"/>
      <c r="C10252" s="71"/>
    </row>
    <row r="10253">
      <c r="A10253" s="234" t="s">
        <v>31129</v>
      </c>
      <c r="B10253" s="71"/>
      <c r="C10253" s="71"/>
    </row>
    <row r="10254">
      <c r="A10254" s="234" t="s">
        <v>31131</v>
      </c>
      <c r="B10254" s="71"/>
      <c r="C10254" s="71"/>
    </row>
    <row r="10255">
      <c r="A10255" s="234" t="s">
        <v>31133</v>
      </c>
      <c r="B10255" s="71"/>
      <c r="C10255" s="71"/>
    </row>
    <row r="10256">
      <c r="A10256" s="234" t="s">
        <v>31135</v>
      </c>
      <c r="B10256" s="71"/>
      <c r="C10256" s="71"/>
    </row>
    <row r="10257">
      <c r="A10257" s="234" t="s">
        <v>31137</v>
      </c>
      <c r="B10257" s="71"/>
      <c r="C10257" s="71"/>
    </row>
    <row r="10258">
      <c r="A10258" s="234" t="s">
        <v>31139</v>
      </c>
      <c r="B10258" s="71"/>
      <c r="C10258" s="71"/>
    </row>
    <row r="10259">
      <c r="A10259" s="234" t="s">
        <v>31141</v>
      </c>
      <c r="B10259" s="71"/>
      <c r="C10259" s="71"/>
    </row>
    <row r="10260">
      <c r="A10260" s="234" t="s">
        <v>31143</v>
      </c>
      <c r="B10260" s="71"/>
      <c r="C10260" s="71"/>
    </row>
    <row r="10261">
      <c r="A10261" s="234" t="s">
        <v>31145</v>
      </c>
      <c r="B10261" s="71"/>
      <c r="C10261" s="71"/>
    </row>
    <row r="10262">
      <c r="A10262" s="234" t="s">
        <v>31147</v>
      </c>
      <c r="B10262" s="71"/>
      <c r="C10262" s="71"/>
    </row>
    <row r="10263">
      <c r="A10263" s="234" t="s">
        <v>31149</v>
      </c>
      <c r="B10263" s="71"/>
      <c r="C10263" s="71"/>
    </row>
    <row r="10264">
      <c r="A10264" s="234" t="s">
        <v>31151</v>
      </c>
      <c r="B10264" s="71"/>
      <c r="C10264" s="71"/>
    </row>
    <row r="10265">
      <c r="A10265" s="234" t="s">
        <v>31153</v>
      </c>
      <c r="B10265" s="71"/>
      <c r="C10265" s="71"/>
    </row>
    <row r="10266">
      <c r="A10266" s="234" t="s">
        <v>31155</v>
      </c>
      <c r="B10266" s="71"/>
      <c r="C10266" s="71"/>
    </row>
    <row r="10267">
      <c r="A10267" s="234" t="s">
        <v>31157</v>
      </c>
      <c r="B10267" s="71"/>
      <c r="C10267" s="71"/>
    </row>
    <row r="10268">
      <c r="A10268" s="234" t="s">
        <v>31159</v>
      </c>
      <c r="B10268" s="71"/>
      <c r="C10268" s="71"/>
    </row>
    <row r="10269">
      <c r="A10269" s="234" t="s">
        <v>31161</v>
      </c>
      <c r="B10269" s="71"/>
      <c r="C10269" s="71"/>
    </row>
    <row r="10270">
      <c r="A10270" s="234" t="s">
        <v>31163</v>
      </c>
      <c r="B10270" s="71"/>
      <c r="C10270" s="71"/>
    </row>
    <row r="10271">
      <c r="A10271" s="234" t="s">
        <v>31165</v>
      </c>
      <c r="B10271" s="71"/>
      <c r="C10271" s="71"/>
    </row>
    <row r="10272">
      <c r="A10272" s="234" t="s">
        <v>31166</v>
      </c>
      <c r="B10272" s="71"/>
      <c r="C10272" s="71"/>
    </row>
    <row r="10273">
      <c r="A10273" s="234" t="s">
        <v>31168</v>
      </c>
      <c r="B10273" s="71"/>
      <c r="C10273" s="71"/>
    </row>
    <row r="10274">
      <c r="A10274" s="234" t="s">
        <v>31170</v>
      </c>
      <c r="B10274" s="71"/>
      <c r="C10274" s="71"/>
    </row>
    <row r="10275">
      <c r="A10275" s="234" t="s">
        <v>31172</v>
      </c>
      <c r="B10275" s="71"/>
      <c r="C10275" s="71"/>
    </row>
    <row r="10276">
      <c r="A10276" s="234" t="s">
        <v>31174</v>
      </c>
      <c r="B10276" s="71"/>
      <c r="C10276" s="71"/>
    </row>
    <row r="10277">
      <c r="A10277" s="234" t="s">
        <v>31176</v>
      </c>
      <c r="B10277" s="71"/>
      <c r="C10277" s="71"/>
    </row>
    <row r="10278">
      <c r="A10278" s="234" t="s">
        <v>31178</v>
      </c>
      <c r="B10278" s="71"/>
      <c r="C10278" s="71"/>
    </row>
    <row r="10279">
      <c r="A10279" s="234" t="s">
        <v>31180</v>
      </c>
      <c r="B10279" s="71"/>
      <c r="C10279" s="71"/>
    </row>
    <row r="10280">
      <c r="A10280" s="234" t="s">
        <v>31182</v>
      </c>
      <c r="B10280" s="71"/>
      <c r="C10280" s="71"/>
    </row>
    <row r="10281">
      <c r="A10281" s="234" t="s">
        <v>31184</v>
      </c>
      <c r="B10281" s="71"/>
      <c r="C10281" s="71"/>
    </row>
    <row r="10282">
      <c r="A10282" s="234" t="s">
        <v>31186</v>
      </c>
      <c r="B10282" s="71"/>
      <c r="C10282" s="71"/>
    </row>
    <row r="10283">
      <c r="A10283" s="234" t="s">
        <v>31188</v>
      </c>
      <c r="B10283" s="71"/>
      <c r="C10283" s="71"/>
    </row>
    <row r="10284">
      <c r="A10284" s="234" t="s">
        <v>31190</v>
      </c>
      <c r="B10284" s="71"/>
      <c r="C10284" s="71"/>
    </row>
    <row r="10285">
      <c r="A10285" s="234" t="s">
        <v>31192</v>
      </c>
      <c r="B10285" s="71"/>
      <c r="C10285" s="71"/>
    </row>
    <row r="10286">
      <c r="A10286" s="234" t="s">
        <v>31194</v>
      </c>
      <c r="B10286" s="71"/>
      <c r="C10286" s="71"/>
    </row>
    <row r="10287">
      <c r="A10287" s="234" t="s">
        <v>31196</v>
      </c>
      <c r="B10287" s="71"/>
      <c r="C10287" s="71"/>
    </row>
    <row r="10288">
      <c r="A10288" s="234" t="s">
        <v>31198</v>
      </c>
      <c r="B10288" s="71"/>
      <c r="C10288" s="71"/>
    </row>
    <row r="10289">
      <c r="A10289" s="234" t="s">
        <v>31200</v>
      </c>
      <c r="B10289" s="71"/>
      <c r="C10289" s="71"/>
    </row>
    <row r="10290">
      <c r="A10290" s="234" t="s">
        <v>31202</v>
      </c>
      <c r="B10290" s="71"/>
      <c r="C10290" s="71"/>
    </row>
    <row r="10291">
      <c r="A10291" s="234" t="s">
        <v>31206</v>
      </c>
      <c r="B10291" s="71"/>
      <c r="C10291" s="71"/>
    </row>
    <row r="10292">
      <c r="A10292" s="234" t="s">
        <v>31208</v>
      </c>
      <c r="B10292" s="71"/>
      <c r="C10292" s="71"/>
    </row>
    <row r="10293">
      <c r="A10293" s="234" t="s">
        <v>31210</v>
      </c>
      <c r="B10293" s="71"/>
      <c r="C10293" s="71"/>
    </row>
    <row r="10294">
      <c r="A10294" s="234" t="s">
        <v>31212</v>
      </c>
      <c r="B10294" s="71"/>
      <c r="C10294" s="71"/>
    </row>
    <row r="10295">
      <c r="A10295" s="234" t="s">
        <v>31214</v>
      </c>
      <c r="B10295" s="71"/>
      <c r="C10295" s="71"/>
    </row>
    <row r="10296">
      <c r="A10296" s="234" t="s">
        <v>31216</v>
      </c>
      <c r="B10296" s="71"/>
      <c r="C10296" s="71"/>
    </row>
    <row r="10297">
      <c r="A10297" s="234" t="s">
        <v>31218</v>
      </c>
      <c r="B10297" s="71"/>
      <c r="C10297" s="71"/>
    </row>
    <row r="10298">
      <c r="A10298" s="234" t="s">
        <v>31220</v>
      </c>
      <c r="B10298" s="71"/>
      <c r="C10298" s="71"/>
    </row>
    <row r="10299">
      <c r="A10299" s="234" t="s">
        <v>31222</v>
      </c>
      <c r="B10299" s="71"/>
      <c r="C10299" s="71"/>
    </row>
    <row r="10300">
      <c r="A10300" s="234" t="s">
        <v>31224</v>
      </c>
      <c r="B10300" s="71"/>
      <c r="C10300" s="71"/>
    </row>
    <row r="10301">
      <c r="A10301" s="234" t="s">
        <v>31226</v>
      </c>
      <c r="B10301" s="71"/>
      <c r="C10301" s="71"/>
    </row>
    <row r="10302">
      <c r="A10302" s="234" t="s">
        <v>31228</v>
      </c>
      <c r="B10302" s="71"/>
      <c r="C10302" s="71"/>
    </row>
    <row r="10303">
      <c r="A10303" s="234" t="s">
        <v>31230</v>
      </c>
      <c r="B10303" s="71"/>
      <c r="C10303" s="71"/>
    </row>
    <row r="10304">
      <c r="A10304" s="234" t="s">
        <v>31232</v>
      </c>
      <c r="B10304" s="71"/>
      <c r="C10304" s="71"/>
    </row>
    <row r="10305">
      <c r="A10305" s="234" t="s">
        <v>31234</v>
      </c>
      <c r="B10305" s="71"/>
      <c r="C10305" s="71"/>
    </row>
    <row r="10306">
      <c r="A10306" s="234" t="s">
        <v>31236</v>
      </c>
      <c r="B10306" s="71"/>
      <c r="C10306" s="71"/>
    </row>
    <row r="10307">
      <c r="A10307" s="234" t="s">
        <v>31238</v>
      </c>
      <c r="B10307" s="71"/>
      <c r="C10307" s="71"/>
    </row>
    <row r="10308">
      <c r="A10308" s="234" t="s">
        <v>31240</v>
      </c>
      <c r="B10308" s="71"/>
      <c r="C10308" s="71"/>
    </row>
    <row r="10309">
      <c r="A10309" s="234" t="s">
        <v>31242</v>
      </c>
      <c r="B10309" s="71"/>
      <c r="C10309" s="71"/>
    </row>
    <row r="10310">
      <c r="A10310" s="234" t="s">
        <v>31244</v>
      </c>
      <c r="B10310" s="71"/>
      <c r="C10310" s="71"/>
    </row>
    <row r="10311">
      <c r="A10311" s="234" t="s">
        <v>31246</v>
      </c>
      <c r="B10311" s="71"/>
      <c r="C10311" s="71"/>
    </row>
    <row r="10312">
      <c r="A10312" s="234" t="s">
        <v>31248</v>
      </c>
      <c r="B10312" s="71"/>
      <c r="C10312" s="71"/>
    </row>
    <row r="10313">
      <c r="A10313" s="234" t="s">
        <v>31250</v>
      </c>
      <c r="B10313" s="71"/>
      <c r="C10313" s="71"/>
    </row>
    <row r="10314">
      <c r="A10314" s="234" t="s">
        <v>31252</v>
      </c>
      <c r="B10314" s="71"/>
      <c r="C10314" s="71"/>
    </row>
    <row r="10315">
      <c r="A10315" s="234" t="s">
        <v>31254</v>
      </c>
      <c r="B10315" s="71"/>
      <c r="C10315" s="71"/>
    </row>
    <row r="10316">
      <c r="A10316" s="234" t="s">
        <v>31256</v>
      </c>
      <c r="B10316" s="71"/>
      <c r="C10316" s="71"/>
    </row>
    <row r="10317">
      <c r="A10317" s="234" t="s">
        <v>31258</v>
      </c>
      <c r="B10317" s="71"/>
      <c r="C10317" s="71"/>
    </row>
    <row r="10318">
      <c r="A10318" s="234" t="s">
        <v>31260</v>
      </c>
      <c r="B10318" s="71"/>
      <c r="C10318" s="71"/>
    </row>
    <row r="10319">
      <c r="A10319" s="234" t="s">
        <v>31262</v>
      </c>
      <c r="B10319" s="71"/>
      <c r="C10319" s="71"/>
    </row>
    <row r="10320">
      <c r="A10320" s="234" t="s">
        <v>31264</v>
      </c>
      <c r="B10320" s="71"/>
      <c r="C10320" s="71"/>
    </row>
    <row r="10321">
      <c r="A10321" s="234" t="s">
        <v>31266</v>
      </c>
      <c r="B10321" s="71"/>
      <c r="C10321" s="71"/>
    </row>
    <row r="10322">
      <c r="A10322" s="234" t="s">
        <v>31268</v>
      </c>
      <c r="B10322" s="71"/>
      <c r="C10322" s="71"/>
    </row>
    <row r="10323">
      <c r="A10323" s="234" t="s">
        <v>31270</v>
      </c>
      <c r="B10323" s="71"/>
      <c r="C10323" s="71"/>
    </row>
    <row r="10324">
      <c r="A10324" s="234" t="s">
        <v>31274</v>
      </c>
      <c r="B10324" s="71"/>
      <c r="C10324" s="71"/>
    </row>
    <row r="10325">
      <c r="A10325" s="234" t="s">
        <v>31276</v>
      </c>
      <c r="B10325" s="71"/>
      <c r="C10325" s="71"/>
    </row>
    <row r="10326">
      <c r="A10326" s="234" t="s">
        <v>31278</v>
      </c>
      <c r="B10326" s="71"/>
      <c r="C10326" s="71"/>
    </row>
    <row r="10327">
      <c r="A10327" s="234" t="s">
        <v>31280</v>
      </c>
      <c r="B10327" s="71"/>
      <c r="C10327" s="71"/>
    </row>
    <row r="10328">
      <c r="A10328" s="234" t="s">
        <v>31282</v>
      </c>
      <c r="B10328" s="71"/>
      <c r="C10328" s="71"/>
    </row>
    <row r="10329">
      <c r="A10329" s="234" t="s">
        <v>31284</v>
      </c>
      <c r="B10329" s="71"/>
      <c r="C10329" s="71"/>
    </row>
    <row r="10330">
      <c r="A10330" s="234" t="s">
        <v>31286</v>
      </c>
      <c r="B10330" s="71"/>
      <c r="C10330" s="71"/>
    </row>
    <row r="10331">
      <c r="A10331" s="234" t="s">
        <v>31288</v>
      </c>
      <c r="B10331" s="71"/>
      <c r="C10331" s="71"/>
    </row>
    <row r="10332">
      <c r="A10332" s="234" t="s">
        <v>31294</v>
      </c>
      <c r="B10332" s="71"/>
      <c r="C10332" s="71"/>
    </row>
    <row r="10333">
      <c r="A10333" s="234" t="s">
        <v>31296</v>
      </c>
      <c r="B10333" s="71"/>
      <c r="C10333" s="71"/>
    </row>
    <row r="10334">
      <c r="A10334" s="234" t="s">
        <v>31298</v>
      </c>
      <c r="B10334" s="71"/>
      <c r="C10334" s="71"/>
    </row>
    <row r="10335">
      <c r="A10335" s="234" t="s">
        <v>31300</v>
      </c>
      <c r="B10335" s="71"/>
      <c r="C10335" s="71"/>
    </row>
    <row r="10336">
      <c r="A10336" s="234" t="s">
        <v>31302</v>
      </c>
      <c r="B10336" s="71"/>
      <c r="C10336" s="71"/>
    </row>
    <row r="10337">
      <c r="A10337" s="234" t="s">
        <v>31304</v>
      </c>
      <c r="B10337" s="71"/>
      <c r="C10337" s="71"/>
    </row>
    <row r="10338">
      <c r="A10338" s="234" t="s">
        <v>31306</v>
      </c>
      <c r="B10338" s="71"/>
      <c r="C10338" s="71"/>
    </row>
    <row r="10339">
      <c r="A10339" s="234" t="s">
        <v>31308</v>
      </c>
      <c r="B10339" s="71"/>
      <c r="C10339" s="71"/>
    </row>
    <row r="10340">
      <c r="A10340" s="234" t="s">
        <v>31310</v>
      </c>
      <c r="B10340" s="71"/>
      <c r="C10340" s="71"/>
    </row>
    <row r="10341">
      <c r="A10341" s="234" t="s">
        <v>31312</v>
      </c>
      <c r="B10341" s="71"/>
      <c r="C10341" s="71"/>
    </row>
    <row r="10342">
      <c r="A10342" s="234" t="s">
        <v>31314</v>
      </c>
      <c r="B10342" s="71"/>
      <c r="C10342" s="71"/>
    </row>
    <row r="10343">
      <c r="A10343" s="234" t="s">
        <v>31316</v>
      </c>
      <c r="B10343" s="71"/>
      <c r="C10343" s="71"/>
    </row>
    <row r="10344">
      <c r="A10344" s="234" t="s">
        <v>31318</v>
      </c>
      <c r="B10344" s="71"/>
      <c r="C10344" s="71"/>
    </row>
    <row r="10345">
      <c r="A10345" s="234" t="s">
        <v>31320</v>
      </c>
      <c r="B10345" s="71"/>
      <c r="C10345" s="71"/>
    </row>
    <row r="10346">
      <c r="A10346" s="234" t="s">
        <v>31322</v>
      </c>
      <c r="B10346" s="71"/>
      <c r="C10346" s="71"/>
    </row>
    <row r="10347">
      <c r="A10347" s="234" t="s">
        <v>31324</v>
      </c>
      <c r="B10347" s="71"/>
      <c r="C10347" s="71"/>
    </row>
    <row r="10348">
      <c r="A10348" s="234" t="s">
        <v>31326</v>
      </c>
      <c r="B10348" s="71"/>
      <c r="C10348" s="71"/>
    </row>
    <row r="10349">
      <c r="A10349" s="234" t="s">
        <v>31328</v>
      </c>
      <c r="B10349" s="71"/>
      <c r="C10349" s="71"/>
    </row>
    <row r="10350">
      <c r="A10350" s="234" t="s">
        <v>31330</v>
      </c>
      <c r="B10350" s="71"/>
      <c r="C10350" s="71"/>
    </row>
    <row r="10351">
      <c r="A10351" s="234" t="s">
        <v>31332</v>
      </c>
      <c r="B10351" s="71"/>
      <c r="C10351" s="71"/>
    </row>
    <row r="10352">
      <c r="A10352" s="234" t="s">
        <v>31334</v>
      </c>
      <c r="B10352" s="71"/>
      <c r="C10352" s="71"/>
    </row>
    <row r="10353">
      <c r="A10353" s="234" t="s">
        <v>31336</v>
      </c>
      <c r="B10353" s="71"/>
      <c r="C10353" s="71"/>
    </row>
    <row r="10354">
      <c r="A10354" s="234" t="s">
        <v>31338</v>
      </c>
      <c r="B10354" s="71"/>
      <c r="C10354" s="71"/>
    </row>
    <row r="10355">
      <c r="A10355" s="234" t="s">
        <v>31340</v>
      </c>
      <c r="B10355" s="71"/>
      <c r="C10355" s="71"/>
    </row>
    <row r="10356">
      <c r="A10356" s="234" t="s">
        <v>31344</v>
      </c>
      <c r="B10356" s="71"/>
      <c r="C10356" s="71"/>
    </row>
    <row r="10357">
      <c r="A10357" s="234" t="s">
        <v>31346</v>
      </c>
      <c r="B10357" s="71"/>
      <c r="C10357" s="71"/>
    </row>
    <row r="10358">
      <c r="A10358" s="234" t="s">
        <v>31348</v>
      </c>
      <c r="B10358" s="71"/>
      <c r="C10358" s="71"/>
    </row>
    <row r="10359">
      <c r="A10359" s="234" t="s">
        <v>31350</v>
      </c>
      <c r="B10359" s="71"/>
      <c r="C10359" s="71"/>
    </row>
    <row r="10360">
      <c r="A10360" s="234" t="s">
        <v>31352</v>
      </c>
      <c r="B10360" s="71"/>
      <c r="C10360" s="71"/>
    </row>
    <row r="10361">
      <c r="A10361" s="234" t="s">
        <v>31354</v>
      </c>
      <c r="B10361" s="71"/>
      <c r="C10361" s="71"/>
    </row>
    <row r="10362">
      <c r="A10362" s="234" t="s">
        <v>31356</v>
      </c>
      <c r="B10362" s="71"/>
      <c r="C10362" s="71"/>
    </row>
    <row r="10363">
      <c r="A10363" s="234" t="s">
        <v>31358</v>
      </c>
      <c r="B10363" s="71"/>
      <c r="C10363" s="71"/>
    </row>
    <row r="10364">
      <c r="A10364" s="234" t="s">
        <v>31360</v>
      </c>
      <c r="B10364" s="71"/>
      <c r="C10364" s="71"/>
    </row>
    <row r="10365">
      <c r="A10365" s="234" t="s">
        <v>31362</v>
      </c>
      <c r="B10365" s="71"/>
      <c r="C10365" s="71"/>
    </row>
    <row r="10366">
      <c r="A10366" s="234" t="s">
        <v>31364</v>
      </c>
      <c r="B10366" s="71"/>
      <c r="C10366" s="71"/>
    </row>
    <row r="10367">
      <c r="A10367" s="234" t="s">
        <v>31366</v>
      </c>
      <c r="B10367" s="71"/>
      <c r="C10367" s="71"/>
    </row>
    <row r="10368">
      <c r="A10368" s="234" t="s">
        <v>31368</v>
      </c>
      <c r="B10368" s="71"/>
      <c r="C10368" s="71"/>
    </row>
    <row r="10369">
      <c r="A10369" s="234" t="s">
        <v>31370</v>
      </c>
      <c r="B10369" s="71"/>
      <c r="C10369" s="71"/>
    </row>
    <row r="10370">
      <c r="A10370" s="234" t="s">
        <v>31372</v>
      </c>
      <c r="B10370" s="71"/>
      <c r="C10370" s="71"/>
    </row>
    <row r="10371">
      <c r="A10371" s="234" t="s">
        <v>31374</v>
      </c>
      <c r="B10371" s="71"/>
      <c r="C10371" s="71"/>
    </row>
    <row r="10372">
      <c r="A10372" s="234" t="s">
        <v>31376</v>
      </c>
      <c r="B10372" s="71"/>
      <c r="C10372" s="71"/>
    </row>
    <row r="10373">
      <c r="A10373" s="234" t="s">
        <v>31378</v>
      </c>
      <c r="B10373" s="71"/>
      <c r="C10373" s="71"/>
    </row>
    <row r="10374">
      <c r="A10374" s="234" t="s">
        <v>31380</v>
      </c>
      <c r="B10374" s="71"/>
      <c r="C10374" s="71"/>
    </row>
    <row r="10375">
      <c r="A10375" s="234" t="s">
        <v>31382</v>
      </c>
      <c r="B10375" s="71"/>
      <c r="C10375" s="71"/>
    </row>
    <row r="10376">
      <c r="A10376" s="234" t="s">
        <v>31384</v>
      </c>
      <c r="B10376" s="71"/>
      <c r="C10376" s="71"/>
    </row>
    <row r="10377">
      <c r="A10377" s="234" t="s">
        <v>31386</v>
      </c>
      <c r="B10377" s="71"/>
      <c r="C10377" s="71"/>
    </row>
    <row r="10378">
      <c r="A10378" s="234" t="s">
        <v>31388</v>
      </c>
      <c r="B10378" s="71"/>
      <c r="C10378" s="71"/>
    </row>
    <row r="10379">
      <c r="A10379" s="234" t="s">
        <v>31390</v>
      </c>
      <c r="B10379" s="71"/>
      <c r="C10379" s="71"/>
    </row>
    <row r="10380">
      <c r="A10380" s="234" t="s">
        <v>31392</v>
      </c>
      <c r="B10380" s="71"/>
      <c r="C10380" s="71"/>
    </row>
    <row r="10381">
      <c r="A10381" s="234" t="s">
        <v>31394</v>
      </c>
      <c r="B10381" s="71"/>
      <c r="C10381" s="71"/>
    </row>
    <row r="10382">
      <c r="A10382" s="234" t="s">
        <v>31396</v>
      </c>
      <c r="B10382" s="71"/>
      <c r="C10382" s="71"/>
    </row>
    <row r="10383">
      <c r="A10383" s="234" t="s">
        <v>31398</v>
      </c>
      <c r="B10383" s="71"/>
      <c r="C10383" s="71"/>
    </row>
    <row r="10384">
      <c r="A10384" s="234" t="s">
        <v>31400</v>
      </c>
      <c r="B10384" s="71"/>
      <c r="C10384" s="71"/>
    </row>
    <row r="10385">
      <c r="A10385" s="234" t="s">
        <v>31402</v>
      </c>
      <c r="B10385" s="71"/>
      <c r="C10385" s="71"/>
    </row>
    <row r="10386">
      <c r="A10386" s="234" t="s">
        <v>31404</v>
      </c>
      <c r="B10386" s="71"/>
      <c r="C10386" s="71"/>
    </row>
    <row r="10387">
      <c r="A10387" s="234" t="s">
        <v>31406</v>
      </c>
      <c r="B10387" s="71"/>
      <c r="C10387" s="71"/>
    </row>
    <row r="10388">
      <c r="A10388" s="234" t="s">
        <v>31408</v>
      </c>
      <c r="B10388" s="71"/>
      <c r="C10388" s="71"/>
    </row>
    <row r="10389">
      <c r="A10389" s="234" t="s">
        <v>31410</v>
      </c>
      <c r="B10389" s="71"/>
      <c r="C10389" s="71"/>
    </row>
    <row r="10390">
      <c r="A10390" s="234" t="s">
        <v>31412</v>
      </c>
      <c r="B10390" s="71"/>
      <c r="C10390" s="71"/>
    </row>
    <row r="10391">
      <c r="A10391" s="234" t="s">
        <v>31414</v>
      </c>
      <c r="B10391" s="71"/>
      <c r="C10391" s="71"/>
    </row>
    <row r="10392">
      <c r="A10392" s="234" t="s">
        <v>31416</v>
      </c>
      <c r="B10392" s="71"/>
      <c r="C10392" s="71"/>
    </row>
    <row r="10393">
      <c r="A10393" s="234" t="s">
        <v>31418</v>
      </c>
      <c r="B10393" s="71"/>
      <c r="C10393" s="71"/>
    </row>
    <row r="10394">
      <c r="A10394" s="234" t="s">
        <v>31420</v>
      </c>
      <c r="B10394" s="71"/>
      <c r="C10394" s="71"/>
    </row>
    <row r="10395">
      <c r="A10395" s="234" t="s">
        <v>31422</v>
      </c>
      <c r="B10395" s="71"/>
      <c r="C10395" s="71"/>
    </row>
    <row r="10396">
      <c r="A10396" s="234" t="s">
        <v>31424</v>
      </c>
      <c r="B10396" s="71"/>
      <c r="C10396" s="71"/>
    </row>
    <row r="10397">
      <c r="A10397" s="234" t="s">
        <v>31426</v>
      </c>
      <c r="B10397" s="71"/>
      <c r="C10397" s="71"/>
    </row>
    <row r="10398">
      <c r="A10398" s="234" t="s">
        <v>31428</v>
      </c>
      <c r="B10398" s="71"/>
      <c r="C10398" s="71"/>
    </row>
    <row r="10399">
      <c r="A10399" s="234" t="s">
        <v>31430</v>
      </c>
      <c r="B10399" s="71"/>
      <c r="C10399" s="71"/>
    </row>
    <row r="10400">
      <c r="A10400" s="234" t="s">
        <v>31432</v>
      </c>
      <c r="B10400" s="71"/>
      <c r="C10400" s="71"/>
    </row>
    <row r="10401">
      <c r="A10401" s="234" t="s">
        <v>31434</v>
      </c>
      <c r="B10401" s="71"/>
      <c r="C10401" s="71"/>
    </row>
    <row r="10402">
      <c r="A10402" s="234" t="s">
        <v>31436</v>
      </c>
      <c r="B10402" s="71"/>
      <c r="C10402" s="71"/>
    </row>
    <row r="10403">
      <c r="A10403" s="234" t="s">
        <v>31438</v>
      </c>
      <c r="B10403" s="71"/>
      <c r="C10403" s="71"/>
    </row>
    <row r="10404">
      <c r="A10404" s="234" t="s">
        <v>31440</v>
      </c>
      <c r="B10404" s="71"/>
      <c r="C10404" s="71"/>
    </row>
    <row r="10405">
      <c r="A10405" s="234" t="s">
        <v>31442</v>
      </c>
      <c r="B10405" s="71"/>
      <c r="C10405" s="71"/>
    </row>
    <row r="10406">
      <c r="A10406" s="234" t="s">
        <v>31444</v>
      </c>
      <c r="B10406" s="71"/>
      <c r="C10406" s="71"/>
    </row>
    <row r="10407">
      <c r="A10407" s="234" t="s">
        <v>31446</v>
      </c>
      <c r="B10407" s="71"/>
      <c r="C10407" s="71"/>
    </row>
    <row r="10408">
      <c r="A10408" s="234" t="s">
        <v>31448</v>
      </c>
      <c r="B10408" s="71"/>
      <c r="C10408" s="71"/>
    </row>
    <row r="10409">
      <c r="A10409" s="234" t="s">
        <v>31450</v>
      </c>
      <c r="B10409" s="71"/>
      <c r="C10409" s="71"/>
    </row>
    <row r="10410">
      <c r="A10410" s="234" t="s">
        <v>31452</v>
      </c>
      <c r="B10410" s="71"/>
      <c r="C10410" s="71"/>
    </row>
    <row r="10411">
      <c r="A10411" s="234" t="s">
        <v>31454</v>
      </c>
      <c r="B10411" s="71"/>
      <c r="C10411" s="71"/>
    </row>
    <row r="10412">
      <c r="A10412" s="234" t="s">
        <v>31456</v>
      </c>
      <c r="B10412" s="71"/>
      <c r="C10412" s="71"/>
    </row>
    <row r="10413">
      <c r="A10413" s="234" t="s">
        <v>31457</v>
      </c>
      <c r="B10413" s="71"/>
      <c r="C10413" s="71"/>
    </row>
    <row r="10414">
      <c r="A10414" s="234" t="s">
        <v>31459</v>
      </c>
      <c r="B10414" s="71"/>
      <c r="C10414" s="71"/>
    </row>
    <row r="10415">
      <c r="A10415" s="234" t="s">
        <v>31461</v>
      </c>
      <c r="B10415" s="71"/>
      <c r="C10415" s="71"/>
    </row>
    <row r="10416">
      <c r="A10416" s="234" t="s">
        <v>31463</v>
      </c>
      <c r="B10416" s="71"/>
      <c r="C10416" s="71"/>
    </row>
    <row r="10417">
      <c r="A10417" s="234" t="s">
        <v>31465</v>
      </c>
      <c r="B10417" s="71"/>
      <c r="C10417" s="71"/>
    </row>
    <row r="10418">
      <c r="A10418" s="234" t="s">
        <v>31467</v>
      </c>
      <c r="B10418" s="71"/>
      <c r="C10418" s="71"/>
    </row>
    <row r="10419">
      <c r="A10419" s="234" t="s">
        <v>31469</v>
      </c>
      <c r="B10419" s="71"/>
      <c r="C10419" s="71"/>
    </row>
    <row r="10420">
      <c r="A10420" s="234" t="s">
        <v>31471</v>
      </c>
      <c r="B10420" s="71"/>
      <c r="C10420" s="71"/>
    </row>
    <row r="10421">
      <c r="A10421" s="234" t="s">
        <v>31475</v>
      </c>
      <c r="B10421" s="71"/>
      <c r="C10421" s="71"/>
    </row>
    <row r="10422">
      <c r="A10422" s="234" t="s">
        <v>31477</v>
      </c>
      <c r="B10422" s="71"/>
      <c r="C10422" s="71"/>
    </row>
    <row r="10423">
      <c r="A10423" s="234" t="s">
        <v>31479</v>
      </c>
      <c r="B10423" s="71"/>
      <c r="C10423" s="71"/>
    </row>
    <row r="10424">
      <c r="A10424" s="234" t="s">
        <v>31481</v>
      </c>
      <c r="B10424" s="71"/>
      <c r="C10424" s="71"/>
    </row>
    <row r="10425">
      <c r="A10425" s="234" t="s">
        <v>31483</v>
      </c>
      <c r="B10425" s="71"/>
      <c r="C10425" s="71"/>
    </row>
    <row r="10426">
      <c r="A10426" s="234" t="s">
        <v>31501</v>
      </c>
      <c r="B10426" s="71"/>
      <c r="C10426" s="71"/>
    </row>
    <row r="10427">
      <c r="A10427" s="234" t="s">
        <v>31503</v>
      </c>
      <c r="B10427" s="71"/>
      <c r="C10427" s="71"/>
    </row>
    <row r="10428">
      <c r="A10428" s="234" t="s">
        <v>31505</v>
      </c>
      <c r="B10428" s="71"/>
      <c r="C10428" s="71"/>
    </row>
    <row r="10429">
      <c r="A10429" s="234" t="s">
        <v>31507</v>
      </c>
      <c r="B10429" s="71"/>
      <c r="C10429" s="71"/>
    </row>
    <row r="10430">
      <c r="A10430" s="234" t="s">
        <v>31509</v>
      </c>
      <c r="B10430" s="71"/>
      <c r="C10430" s="71"/>
    </row>
    <row r="10431">
      <c r="A10431" s="234" t="s">
        <v>31511</v>
      </c>
      <c r="B10431" s="71"/>
      <c r="C10431" s="71"/>
    </row>
    <row r="10432">
      <c r="A10432" s="234" t="s">
        <v>31513</v>
      </c>
      <c r="B10432" s="71"/>
      <c r="C10432" s="71"/>
    </row>
    <row r="10433">
      <c r="A10433" s="234" t="s">
        <v>31515</v>
      </c>
      <c r="B10433" s="71"/>
      <c r="C10433" s="71"/>
    </row>
    <row r="10434">
      <c r="A10434" s="234" t="s">
        <v>31517</v>
      </c>
      <c r="B10434" s="71"/>
      <c r="C10434" s="71"/>
    </row>
    <row r="10435">
      <c r="A10435" s="234" t="s">
        <v>31519</v>
      </c>
      <c r="B10435" s="71"/>
      <c r="C10435" s="71"/>
    </row>
    <row r="10436">
      <c r="A10436" s="234" t="s">
        <v>31521</v>
      </c>
      <c r="B10436" s="71"/>
      <c r="C10436" s="71"/>
    </row>
    <row r="10437">
      <c r="A10437" s="234" t="s">
        <v>31523</v>
      </c>
      <c r="B10437" s="71"/>
      <c r="C10437" s="71"/>
    </row>
    <row r="10438">
      <c r="A10438" s="234" t="s">
        <v>31525</v>
      </c>
      <c r="B10438" s="71"/>
      <c r="C10438" s="71"/>
    </row>
    <row r="10439">
      <c r="A10439" s="234" t="s">
        <v>31527</v>
      </c>
      <c r="B10439" s="71"/>
      <c r="C10439" s="71"/>
    </row>
    <row r="10440">
      <c r="A10440" s="234" t="s">
        <v>31529</v>
      </c>
      <c r="B10440" s="71"/>
      <c r="C10440" s="71"/>
    </row>
    <row r="10441">
      <c r="A10441" s="234" t="s">
        <v>31531</v>
      </c>
      <c r="B10441" s="71"/>
      <c r="C10441" s="71"/>
    </row>
    <row r="10442">
      <c r="A10442" s="234" t="s">
        <v>31533</v>
      </c>
      <c r="B10442" s="71"/>
      <c r="C10442" s="71"/>
    </row>
    <row r="10443">
      <c r="A10443" s="234" t="s">
        <v>31535</v>
      </c>
      <c r="B10443" s="71"/>
      <c r="C10443" s="71"/>
    </row>
    <row r="10444">
      <c r="A10444" s="234" t="s">
        <v>31537</v>
      </c>
      <c r="B10444" s="71"/>
      <c r="C10444" s="71"/>
    </row>
    <row r="10445">
      <c r="A10445" s="234" t="s">
        <v>31539</v>
      </c>
      <c r="B10445" s="71"/>
      <c r="C10445" s="71"/>
    </row>
    <row r="10446">
      <c r="A10446" s="234" t="s">
        <v>31541</v>
      </c>
      <c r="B10446" s="71"/>
      <c r="C10446" s="71"/>
    </row>
    <row r="10447">
      <c r="A10447" s="234" t="s">
        <v>31543</v>
      </c>
      <c r="B10447" s="71"/>
      <c r="C10447" s="71"/>
    </row>
    <row r="10448">
      <c r="A10448" s="234" t="s">
        <v>31545</v>
      </c>
      <c r="B10448" s="71"/>
      <c r="C10448" s="71"/>
    </row>
    <row r="10449">
      <c r="A10449" s="234" t="s">
        <v>31547</v>
      </c>
      <c r="B10449" s="71"/>
      <c r="C10449" s="71"/>
    </row>
    <row r="10450">
      <c r="A10450" s="234" t="s">
        <v>31549</v>
      </c>
      <c r="B10450" s="71"/>
      <c r="C10450" s="71"/>
    </row>
    <row r="10451">
      <c r="A10451" s="234" t="s">
        <v>31551</v>
      </c>
      <c r="B10451" s="71"/>
      <c r="C10451" s="71"/>
    </row>
    <row r="10452">
      <c r="A10452" s="234" t="s">
        <v>31553</v>
      </c>
      <c r="B10452" s="71"/>
      <c r="C10452" s="71"/>
    </row>
    <row r="10453">
      <c r="A10453" s="234" t="s">
        <v>31555</v>
      </c>
      <c r="B10453" s="71"/>
      <c r="C10453" s="71"/>
    </row>
    <row r="10454">
      <c r="A10454" s="234" t="s">
        <v>31557</v>
      </c>
      <c r="B10454" s="71"/>
      <c r="C10454" s="71"/>
    </row>
    <row r="10455">
      <c r="A10455" s="234" t="s">
        <v>31559</v>
      </c>
      <c r="B10455" s="71"/>
      <c r="C10455" s="71"/>
    </row>
    <row r="10456">
      <c r="A10456" s="234" t="s">
        <v>31561</v>
      </c>
      <c r="B10456" s="71"/>
      <c r="C10456" s="71"/>
    </row>
    <row r="10457">
      <c r="A10457" s="234" t="s">
        <v>31565</v>
      </c>
      <c r="B10457" s="71"/>
      <c r="C10457" s="71"/>
    </row>
    <row r="10458">
      <c r="A10458" s="234" t="s">
        <v>31567</v>
      </c>
      <c r="B10458" s="71"/>
      <c r="C10458" s="71"/>
    </row>
    <row r="10459">
      <c r="A10459" s="234" t="s">
        <v>31569</v>
      </c>
      <c r="B10459" s="71"/>
      <c r="C10459" s="71"/>
    </row>
    <row r="10460">
      <c r="A10460" s="234" t="s">
        <v>31571</v>
      </c>
      <c r="B10460" s="71"/>
      <c r="C10460" s="71"/>
    </row>
    <row r="10461">
      <c r="A10461" s="234" t="s">
        <v>31573</v>
      </c>
      <c r="B10461" s="71"/>
      <c r="C10461" s="71"/>
    </row>
    <row r="10462">
      <c r="A10462" s="234" t="s">
        <v>31575</v>
      </c>
      <c r="B10462" s="71"/>
      <c r="C10462" s="71"/>
    </row>
    <row r="10463">
      <c r="A10463" s="234" t="s">
        <v>31577</v>
      </c>
      <c r="B10463" s="71"/>
      <c r="C10463" s="71"/>
    </row>
    <row r="10464">
      <c r="A10464" s="234" t="s">
        <v>31581</v>
      </c>
      <c r="B10464" s="71"/>
      <c r="C10464" s="71"/>
    </row>
    <row r="10465">
      <c r="A10465" s="234" t="s">
        <v>31583</v>
      </c>
      <c r="B10465" s="71"/>
      <c r="C10465" s="71"/>
    </row>
    <row r="10466">
      <c r="A10466" s="234" t="s">
        <v>31585</v>
      </c>
      <c r="B10466" s="71"/>
      <c r="C10466" s="71"/>
    </row>
    <row r="10467">
      <c r="A10467" s="234" t="s">
        <v>31587</v>
      </c>
      <c r="B10467" s="71"/>
      <c r="C10467" s="71"/>
    </row>
    <row r="10468">
      <c r="A10468" s="234" t="s">
        <v>31589</v>
      </c>
      <c r="B10468" s="71"/>
      <c r="C10468" s="71"/>
    </row>
    <row r="10469">
      <c r="A10469" s="234" t="s">
        <v>31591</v>
      </c>
      <c r="B10469" s="71"/>
      <c r="C10469" s="71"/>
    </row>
    <row r="10470">
      <c r="A10470" s="234" t="s">
        <v>31593</v>
      </c>
      <c r="B10470" s="71"/>
      <c r="C10470" s="71"/>
    </row>
    <row r="10471">
      <c r="A10471" s="234" t="s">
        <v>31595</v>
      </c>
      <c r="B10471" s="71"/>
      <c r="C10471" s="71"/>
    </row>
    <row r="10472">
      <c r="A10472" s="234" t="s">
        <v>31597</v>
      </c>
      <c r="B10472" s="71"/>
      <c r="C10472" s="71"/>
    </row>
    <row r="10473">
      <c r="A10473" s="234" t="s">
        <v>31599</v>
      </c>
      <c r="B10473" s="71"/>
      <c r="C10473" s="71"/>
    </row>
    <row r="10474">
      <c r="A10474" s="234" t="s">
        <v>31601</v>
      </c>
      <c r="B10474" s="71"/>
      <c r="C10474" s="71"/>
    </row>
    <row r="10475">
      <c r="A10475" s="234" t="s">
        <v>31603</v>
      </c>
      <c r="B10475" s="71"/>
      <c r="C10475" s="71"/>
    </row>
    <row r="10476">
      <c r="A10476" s="234" t="s">
        <v>31607</v>
      </c>
      <c r="B10476" s="71"/>
      <c r="C10476" s="71"/>
    </row>
    <row r="10477">
      <c r="A10477" s="234" t="s">
        <v>31609</v>
      </c>
      <c r="B10477" s="71"/>
      <c r="C10477" s="71"/>
    </row>
    <row r="10478">
      <c r="A10478" s="234" t="s">
        <v>31611</v>
      </c>
      <c r="B10478" s="71"/>
      <c r="C10478" s="71"/>
    </row>
    <row r="10479">
      <c r="A10479" s="234" t="s">
        <v>31613</v>
      </c>
      <c r="B10479" s="71"/>
      <c r="C10479" s="71"/>
    </row>
    <row r="10480">
      <c r="A10480" s="234" t="s">
        <v>31615</v>
      </c>
      <c r="B10480" s="71"/>
      <c r="C10480" s="71"/>
    </row>
    <row r="10481">
      <c r="A10481" s="234" t="s">
        <v>31617</v>
      </c>
      <c r="B10481" s="71"/>
      <c r="C10481" s="71"/>
    </row>
    <row r="10482">
      <c r="A10482" s="234" t="s">
        <v>31619</v>
      </c>
      <c r="B10482" s="71"/>
      <c r="C10482" s="71"/>
    </row>
    <row r="10483">
      <c r="A10483" s="234" t="s">
        <v>31621</v>
      </c>
      <c r="B10483" s="71"/>
      <c r="C10483" s="71"/>
    </row>
    <row r="10484">
      <c r="A10484" s="234" t="s">
        <v>31623</v>
      </c>
      <c r="B10484" s="71"/>
      <c r="C10484" s="71"/>
    </row>
    <row r="10485">
      <c r="A10485" s="234" t="s">
        <v>31625</v>
      </c>
      <c r="B10485" s="71"/>
      <c r="C10485" s="71"/>
    </row>
    <row r="10486">
      <c r="A10486" s="234" t="s">
        <v>31627</v>
      </c>
      <c r="B10486" s="71"/>
      <c r="C10486" s="71"/>
    </row>
    <row r="10487">
      <c r="A10487" s="234" t="s">
        <v>31629</v>
      </c>
      <c r="B10487" s="71"/>
      <c r="C10487" s="71"/>
    </row>
    <row r="10488">
      <c r="A10488" s="234" t="s">
        <v>31631</v>
      </c>
      <c r="B10488" s="71"/>
      <c r="C10488" s="71"/>
    </row>
    <row r="10489">
      <c r="A10489" s="234" t="s">
        <v>31633</v>
      </c>
      <c r="B10489" s="71"/>
      <c r="C10489" s="71"/>
    </row>
    <row r="10490">
      <c r="A10490" s="234" t="s">
        <v>31635</v>
      </c>
      <c r="B10490" s="71"/>
      <c r="C10490" s="71"/>
    </row>
    <row r="10491">
      <c r="A10491" s="234" t="s">
        <v>31637</v>
      </c>
      <c r="B10491" s="71"/>
      <c r="C10491" s="71"/>
    </row>
    <row r="10492">
      <c r="A10492" s="234" t="s">
        <v>31639</v>
      </c>
      <c r="B10492" s="71"/>
      <c r="C10492" s="71"/>
    </row>
    <row r="10493">
      <c r="A10493" s="234" t="s">
        <v>31641</v>
      </c>
      <c r="B10493" s="71"/>
      <c r="C10493" s="71"/>
    </row>
    <row r="10494">
      <c r="A10494" s="234" t="s">
        <v>31643</v>
      </c>
      <c r="B10494" s="71"/>
      <c r="C10494" s="71"/>
    </row>
    <row r="10495">
      <c r="A10495" s="234" t="s">
        <v>31645</v>
      </c>
      <c r="B10495" s="71"/>
      <c r="C10495" s="71"/>
    </row>
    <row r="10496">
      <c r="A10496" s="234" t="s">
        <v>31647</v>
      </c>
      <c r="B10496" s="71"/>
      <c r="C10496" s="71"/>
    </row>
    <row r="10497">
      <c r="A10497" s="234" t="s">
        <v>31649</v>
      </c>
      <c r="B10497" s="71"/>
      <c r="C10497" s="71"/>
    </row>
    <row r="10498">
      <c r="A10498" s="234" t="s">
        <v>31651</v>
      </c>
      <c r="B10498" s="71"/>
      <c r="C10498" s="71"/>
    </row>
    <row r="10499">
      <c r="A10499" s="234" t="s">
        <v>31653</v>
      </c>
      <c r="B10499" s="71"/>
      <c r="C10499" s="71"/>
    </row>
    <row r="10500">
      <c r="A10500" s="234" t="s">
        <v>31655</v>
      </c>
      <c r="B10500" s="71"/>
      <c r="C10500" s="71"/>
    </row>
    <row r="10501">
      <c r="A10501" s="234" t="s">
        <v>31657</v>
      </c>
      <c r="B10501" s="71"/>
      <c r="C10501" s="71"/>
    </row>
    <row r="10502">
      <c r="A10502" s="234" t="s">
        <v>31659</v>
      </c>
      <c r="B10502" s="71"/>
      <c r="C10502" s="71"/>
    </row>
    <row r="10503">
      <c r="A10503" s="234" t="s">
        <v>31661</v>
      </c>
      <c r="B10503" s="71"/>
      <c r="C10503" s="71"/>
    </row>
    <row r="10504">
      <c r="A10504" s="234" t="s">
        <v>31663</v>
      </c>
      <c r="B10504" s="71"/>
      <c r="C10504" s="71"/>
    </row>
    <row r="10505">
      <c r="A10505" s="234" t="s">
        <v>31665</v>
      </c>
      <c r="B10505" s="71"/>
      <c r="C10505" s="71"/>
    </row>
    <row r="10506">
      <c r="A10506" s="234" t="s">
        <v>31667</v>
      </c>
      <c r="B10506" s="71"/>
      <c r="C10506" s="71"/>
    </row>
    <row r="10507">
      <c r="A10507" s="234" t="s">
        <v>31669</v>
      </c>
      <c r="B10507" s="71"/>
      <c r="C10507" s="71"/>
    </row>
    <row r="10508">
      <c r="A10508" s="234" t="s">
        <v>31671</v>
      </c>
      <c r="B10508" s="71"/>
      <c r="C10508" s="71"/>
    </row>
    <row r="10509">
      <c r="A10509" s="234" t="s">
        <v>31673</v>
      </c>
      <c r="B10509" s="71"/>
      <c r="C10509" s="71"/>
    </row>
    <row r="10510">
      <c r="A10510" s="234" t="s">
        <v>31675</v>
      </c>
      <c r="B10510" s="71"/>
      <c r="C10510" s="71"/>
    </row>
    <row r="10511">
      <c r="A10511" s="234" t="s">
        <v>31677</v>
      </c>
      <c r="B10511" s="71"/>
      <c r="C10511" s="71"/>
    </row>
    <row r="10512">
      <c r="A10512" s="234" t="s">
        <v>31679</v>
      </c>
      <c r="B10512" s="71"/>
      <c r="C10512" s="71"/>
    </row>
    <row r="10513">
      <c r="A10513" s="234" t="s">
        <v>31681</v>
      </c>
      <c r="B10513" s="71"/>
      <c r="C10513" s="71"/>
    </row>
    <row r="10514">
      <c r="A10514" s="234" t="s">
        <v>31683</v>
      </c>
      <c r="B10514" s="71"/>
      <c r="C10514" s="71"/>
    </row>
    <row r="10515">
      <c r="A10515" s="234" t="s">
        <v>31685</v>
      </c>
      <c r="B10515" s="71"/>
      <c r="C10515" s="71"/>
    </row>
    <row r="10516">
      <c r="A10516" s="234" t="s">
        <v>31687</v>
      </c>
      <c r="B10516" s="71"/>
      <c r="C10516" s="71"/>
    </row>
    <row r="10517">
      <c r="A10517" s="234" t="s">
        <v>31689</v>
      </c>
      <c r="B10517" s="71"/>
      <c r="C10517" s="71"/>
    </row>
    <row r="10518">
      <c r="A10518" s="234" t="s">
        <v>31691</v>
      </c>
      <c r="B10518" s="71"/>
      <c r="C10518" s="71"/>
    </row>
    <row r="10519">
      <c r="A10519" s="234" t="s">
        <v>31693</v>
      </c>
      <c r="B10519" s="71"/>
      <c r="C10519" s="71"/>
    </row>
    <row r="10520">
      <c r="A10520" s="234" t="s">
        <v>31695</v>
      </c>
      <c r="B10520" s="71"/>
      <c r="C10520" s="71"/>
    </row>
    <row r="10521">
      <c r="A10521" s="234" t="s">
        <v>31697</v>
      </c>
      <c r="B10521" s="71"/>
      <c r="C10521" s="71"/>
    </row>
    <row r="10522">
      <c r="A10522" s="234" t="s">
        <v>31699</v>
      </c>
      <c r="B10522" s="71"/>
      <c r="C10522" s="71"/>
    </row>
    <row r="10523">
      <c r="A10523" s="234" t="s">
        <v>31701</v>
      </c>
      <c r="B10523" s="71"/>
      <c r="C10523" s="71"/>
    </row>
    <row r="10524">
      <c r="A10524" s="234" t="s">
        <v>31703</v>
      </c>
      <c r="B10524" s="71"/>
      <c r="C10524" s="71"/>
    </row>
    <row r="10525">
      <c r="A10525" s="234" t="s">
        <v>31705</v>
      </c>
      <c r="B10525" s="71"/>
      <c r="C10525" s="71"/>
    </row>
    <row r="10526">
      <c r="A10526" s="234" t="s">
        <v>31707</v>
      </c>
      <c r="B10526" s="71"/>
      <c r="C10526" s="71"/>
    </row>
    <row r="10527">
      <c r="A10527" s="234" t="s">
        <v>31709</v>
      </c>
      <c r="B10527" s="71"/>
      <c r="C10527" s="71"/>
    </row>
    <row r="10528">
      <c r="A10528" s="234" t="s">
        <v>31711</v>
      </c>
      <c r="B10528" s="71"/>
      <c r="C10528" s="71"/>
    </row>
    <row r="10529">
      <c r="A10529" s="234" t="s">
        <v>31713</v>
      </c>
      <c r="B10529" s="71"/>
      <c r="C10529" s="71"/>
    </row>
    <row r="10530">
      <c r="A10530" s="234" t="s">
        <v>31715</v>
      </c>
      <c r="B10530" s="71"/>
      <c r="C10530" s="71"/>
    </row>
    <row r="10531">
      <c r="A10531" s="234" t="s">
        <v>31717</v>
      </c>
      <c r="B10531" s="71"/>
      <c r="C10531" s="71"/>
    </row>
    <row r="10532">
      <c r="A10532" s="234" t="s">
        <v>31719</v>
      </c>
      <c r="B10532" s="71"/>
      <c r="C10532" s="71"/>
    </row>
    <row r="10533">
      <c r="A10533" s="234" t="s">
        <v>31721</v>
      </c>
      <c r="B10533" s="71"/>
      <c r="C10533" s="71"/>
    </row>
    <row r="10534">
      <c r="A10534" s="234" t="s">
        <v>31723</v>
      </c>
      <c r="B10534" s="71"/>
      <c r="C10534" s="71"/>
    </row>
    <row r="10535">
      <c r="A10535" s="234" t="s">
        <v>31725</v>
      </c>
      <c r="B10535" s="71"/>
      <c r="C10535" s="71"/>
    </row>
    <row r="10536">
      <c r="A10536" s="234" t="s">
        <v>31727</v>
      </c>
      <c r="B10536" s="71"/>
      <c r="C10536" s="71"/>
    </row>
    <row r="10537">
      <c r="A10537" s="234" t="s">
        <v>31729</v>
      </c>
      <c r="B10537" s="71"/>
      <c r="C10537" s="71"/>
    </row>
    <row r="10538">
      <c r="A10538" s="234" t="s">
        <v>31731</v>
      </c>
      <c r="B10538" s="71"/>
      <c r="C10538" s="71"/>
    </row>
    <row r="10539">
      <c r="A10539" s="234" t="s">
        <v>31733</v>
      </c>
      <c r="B10539" s="71"/>
      <c r="C10539" s="71"/>
    </row>
    <row r="10540">
      <c r="A10540" s="234" t="s">
        <v>31735</v>
      </c>
      <c r="B10540" s="71"/>
      <c r="C10540" s="71"/>
    </row>
    <row r="10541">
      <c r="A10541" s="234" t="s">
        <v>31737</v>
      </c>
      <c r="B10541" s="71"/>
      <c r="C10541" s="71"/>
    </row>
    <row r="10542">
      <c r="A10542" s="234" t="s">
        <v>31739</v>
      </c>
      <c r="B10542" s="71"/>
      <c r="C10542" s="71"/>
    </row>
    <row r="10543">
      <c r="A10543" s="234" t="s">
        <v>31741</v>
      </c>
      <c r="B10543" s="71"/>
      <c r="C10543" s="71"/>
    </row>
    <row r="10544">
      <c r="A10544" s="234" t="s">
        <v>31743</v>
      </c>
      <c r="B10544" s="71"/>
      <c r="C10544" s="71"/>
    </row>
    <row r="10545">
      <c r="A10545" s="234" t="s">
        <v>31745</v>
      </c>
      <c r="B10545" s="71"/>
      <c r="C10545" s="71"/>
    </row>
    <row r="10546">
      <c r="A10546" s="234" t="s">
        <v>31747</v>
      </c>
      <c r="B10546" s="71"/>
      <c r="C10546" s="71"/>
    </row>
    <row r="10547">
      <c r="A10547" s="234" t="s">
        <v>31749</v>
      </c>
      <c r="B10547" s="71"/>
      <c r="C10547" s="71"/>
    </row>
    <row r="10548">
      <c r="A10548" s="234" t="s">
        <v>31751</v>
      </c>
      <c r="B10548" s="71"/>
      <c r="C10548" s="71"/>
    </row>
    <row r="10549">
      <c r="A10549" s="234" t="s">
        <v>31753</v>
      </c>
      <c r="B10549" s="71"/>
      <c r="C10549" s="71"/>
    </row>
    <row r="10550">
      <c r="A10550" s="234" t="s">
        <v>31755</v>
      </c>
      <c r="B10550" s="71"/>
      <c r="C10550" s="71"/>
    </row>
    <row r="10551">
      <c r="A10551" s="234" t="s">
        <v>31757</v>
      </c>
      <c r="B10551" s="71"/>
      <c r="C10551" s="71"/>
    </row>
    <row r="10552">
      <c r="A10552" s="234" t="s">
        <v>31759</v>
      </c>
      <c r="B10552" s="71"/>
      <c r="C10552" s="71"/>
    </row>
    <row r="10553">
      <c r="A10553" s="234" t="s">
        <v>31761</v>
      </c>
      <c r="B10553" s="71"/>
      <c r="C10553" s="71"/>
    </row>
    <row r="10554">
      <c r="A10554" s="234" t="s">
        <v>31763</v>
      </c>
      <c r="B10554" s="71"/>
      <c r="C10554" s="71"/>
    </row>
    <row r="10555">
      <c r="A10555" s="234" t="s">
        <v>31765</v>
      </c>
      <c r="B10555" s="71"/>
      <c r="C10555" s="71"/>
    </row>
    <row r="10556">
      <c r="A10556" s="234" t="s">
        <v>31767</v>
      </c>
      <c r="B10556" s="71"/>
      <c r="C10556" s="71"/>
    </row>
    <row r="10557">
      <c r="A10557" s="234" t="s">
        <v>31030</v>
      </c>
      <c r="B10557" s="71"/>
      <c r="C10557" s="71"/>
    </row>
    <row r="10558">
      <c r="A10558" s="234" t="s">
        <v>31060</v>
      </c>
      <c r="B10558" s="71"/>
      <c r="C10558" s="71"/>
    </row>
    <row r="10559">
      <c r="A10559" s="234" t="s">
        <v>31204</v>
      </c>
      <c r="B10559" s="71"/>
      <c r="C10559" s="71"/>
    </row>
    <row r="10560">
      <c r="A10560" s="234" t="s">
        <v>31272</v>
      </c>
      <c r="B10560" s="71"/>
      <c r="C10560" s="71"/>
    </row>
    <row r="10561">
      <c r="A10561" s="234" t="s">
        <v>31290</v>
      </c>
      <c r="B10561" s="71"/>
      <c r="C10561" s="71"/>
    </row>
    <row r="10562">
      <c r="A10562" s="234" t="s">
        <v>31292</v>
      </c>
      <c r="B10562" s="71"/>
      <c r="C10562" s="71"/>
    </row>
    <row r="10563">
      <c r="A10563" s="234" t="s">
        <v>31342</v>
      </c>
      <c r="B10563" s="71"/>
      <c r="C10563" s="71"/>
    </row>
    <row r="10564">
      <c r="A10564" s="234" t="s">
        <v>31485</v>
      </c>
      <c r="B10564" s="71"/>
      <c r="C10564" s="71"/>
    </row>
    <row r="10565">
      <c r="A10565" s="234" t="s">
        <v>31487</v>
      </c>
      <c r="B10565" s="71"/>
      <c r="C10565" s="71"/>
    </row>
    <row r="10566">
      <c r="A10566" s="234" t="s">
        <v>31489</v>
      </c>
      <c r="B10566" s="71"/>
      <c r="C10566" s="71"/>
    </row>
    <row r="10567">
      <c r="A10567" s="234" t="s">
        <v>31491</v>
      </c>
      <c r="B10567" s="71"/>
      <c r="C10567" s="71"/>
    </row>
    <row r="10568">
      <c r="A10568" s="234" t="s">
        <v>31493</v>
      </c>
      <c r="B10568" s="71"/>
      <c r="C10568" s="71"/>
    </row>
    <row r="10569">
      <c r="A10569" s="234" t="s">
        <v>31495</v>
      </c>
      <c r="B10569" s="71"/>
      <c r="C10569" s="71"/>
    </row>
    <row r="10570">
      <c r="A10570" s="234" t="s">
        <v>31497</v>
      </c>
      <c r="B10570" s="71"/>
      <c r="C10570" s="71"/>
    </row>
    <row r="10571">
      <c r="A10571" s="234" t="s">
        <v>31499</v>
      </c>
      <c r="B10571" s="71"/>
      <c r="C10571" s="71"/>
    </row>
    <row r="10572">
      <c r="A10572" s="234" t="s">
        <v>31579</v>
      </c>
      <c r="B10572" s="71"/>
      <c r="C10572" s="71"/>
    </row>
    <row r="10573">
      <c r="A10573" s="234" t="s">
        <v>31605</v>
      </c>
      <c r="B10573" s="71"/>
      <c r="C10573" s="71"/>
    </row>
    <row r="10574">
      <c r="A10574" s="241" t="s">
        <v>31769</v>
      </c>
      <c r="B10574" s="242"/>
      <c r="C10574" s="24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 customWidth="1" min="4" max="4" width="53.25"/>
    <col customWidth="1" min="7" max="7" width="51.25"/>
  </cols>
  <sheetData>
    <row r="1">
      <c r="A1" s="7" t="s">
        <v>3233</v>
      </c>
      <c r="B1" s="7" t="s">
        <v>31789</v>
      </c>
    </row>
    <row r="2">
      <c r="A2" s="7" t="s">
        <v>9995</v>
      </c>
      <c r="B2" s="7" t="s">
        <v>31789</v>
      </c>
    </row>
    <row r="3">
      <c r="A3" s="7" t="s">
        <v>6464</v>
      </c>
    </row>
    <row r="4">
      <c r="A4" s="7" t="s">
        <v>10864</v>
      </c>
    </row>
    <row r="5">
      <c r="A5" s="7" t="s">
        <v>7892</v>
      </c>
    </row>
    <row r="6">
      <c r="A6" s="7" t="s">
        <v>14065</v>
      </c>
    </row>
    <row r="17">
      <c r="A17" s="81"/>
    </row>
    <row r="18">
      <c r="D18" s="243"/>
    </row>
    <row r="38">
      <c r="D38" s="97"/>
    </row>
    <row r="59">
      <c r="D59" s="244"/>
    </row>
    <row r="82">
      <c r="D82" s="97"/>
    </row>
    <row r="101">
      <c r="D101" s="7" t="s">
        <v>31790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4.25"/>
    <col customWidth="1" min="2" max="2" width="22.13"/>
    <col customWidth="1" min="10" max="10" width="20.13"/>
    <col customWidth="1" min="11" max="11" width="54.75"/>
    <col customWidth="1" min="12" max="12" width="19.63"/>
    <col customWidth="1" min="13" max="13" width="14.13"/>
    <col customWidth="1" min="14" max="14" width="25.0"/>
    <col customWidth="1" min="15" max="15" width="51.38"/>
    <col customWidth="1" min="16" max="16" width="1.5"/>
    <col customWidth="1" min="17" max="17" width="19.0"/>
    <col customWidth="1" min="18" max="18" width="16.13"/>
    <col customWidth="1" min="19" max="19" width="16.25"/>
    <col customWidth="1" min="21" max="21" width="34.5"/>
    <col customWidth="1" min="22" max="22" width="14.13"/>
    <col customWidth="1" min="24" max="24" width="53.0"/>
    <col customWidth="1" min="26" max="26" width="19.63"/>
  </cols>
  <sheetData>
    <row r="1">
      <c r="A1" s="245" t="s">
        <v>31791</v>
      </c>
      <c r="B1" s="246" t="s">
        <v>31792</v>
      </c>
      <c r="C1" s="247"/>
      <c r="D1" s="247"/>
      <c r="I1" s="248"/>
      <c r="J1" s="248"/>
      <c r="L1" s="249"/>
      <c r="M1" s="1" t="s">
        <v>31793</v>
      </c>
      <c r="N1" s="250" t="s">
        <v>31794</v>
      </c>
      <c r="O1" s="251" t="s">
        <v>31795</v>
      </c>
      <c r="P1" s="252"/>
      <c r="Q1" s="252"/>
      <c r="R1" s="252"/>
      <c r="S1" s="252"/>
      <c r="T1" s="252"/>
      <c r="U1" s="252"/>
      <c r="V1" s="253"/>
      <c r="Z1" s="254"/>
    </row>
    <row r="2">
      <c r="A2" s="255"/>
      <c r="B2" s="256">
        <v>44954.0</v>
      </c>
      <c r="C2" s="256">
        <v>44982.0</v>
      </c>
      <c r="D2" s="256">
        <v>44772.0</v>
      </c>
      <c r="J2" s="257"/>
      <c r="K2" s="258"/>
      <c r="L2" s="249"/>
      <c r="M2" s="259" t="s">
        <v>31796</v>
      </c>
      <c r="N2" s="260"/>
      <c r="O2" s="261" t="s">
        <v>31797</v>
      </c>
      <c r="P2" s="262"/>
      <c r="Q2" s="262"/>
      <c r="R2" s="262"/>
      <c r="S2" s="262"/>
      <c r="T2" s="262"/>
      <c r="U2" s="262"/>
      <c r="V2" s="263"/>
      <c r="Z2" s="254"/>
    </row>
    <row r="3">
      <c r="A3" s="264" t="s">
        <v>31798</v>
      </c>
      <c r="B3" s="265"/>
      <c r="C3" s="265"/>
      <c r="D3" s="265"/>
      <c r="J3" s="266"/>
      <c r="K3" s="248"/>
      <c r="L3" s="267"/>
      <c r="M3" s="268" t="s">
        <v>31799</v>
      </c>
      <c r="N3" s="269" t="s">
        <v>31800</v>
      </c>
      <c r="O3" s="7" t="s">
        <v>31801</v>
      </c>
      <c r="Q3" s="270">
        <v>5.34404E8</v>
      </c>
      <c r="R3" s="270">
        <v>1.090756E9</v>
      </c>
      <c r="S3" s="271">
        <f>Q3-R3</f>
        <v>-556352000</v>
      </c>
      <c r="T3" s="272" t="s">
        <v>31802</v>
      </c>
      <c r="Z3" s="254"/>
    </row>
    <row r="4">
      <c r="A4" s="273" t="s">
        <v>31803</v>
      </c>
      <c r="B4" s="274" t="s">
        <v>31804</v>
      </c>
      <c r="C4" s="275"/>
      <c r="D4" s="275"/>
      <c r="K4" s="276"/>
      <c r="L4" s="249"/>
      <c r="M4" s="7">
        <v>2.0</v>
      </c>
      <c r="N4" s="7" t="s">
        <v>31805</v>
      </c>
      <c r="O4" s="7" t="s">
        <v>31806</v>
      </c>
      <c r="P4" s="277"/>
      <c r="Q4" s="270"/>
      <c r="R4" s="278"/>
      <c r="S4" s="279">
        <v>3.55736E8</v>
      </c>
      <c r="T4" s="280" t="s">
        <v>31807</v>
      </c>
      <c r="U4" s="281"/>
      <c r="Z4" s="254"/>
    </row>
    <row r="5">
      <c r="A5" s="264" t="s">
        <v>31808</v>
      </c>
      <c r="B5" s="282" t="b">
        <v>1</v>
      </c>
      <c r="C5" s="265"/>
      <c r="D5" s="265"/>
      <c r="G5" s="7" t="s">
        <v>31809</v>
      </c>
      <c r="H5" s="7" t="s">
        <v>31809</v>
      </c>
      <c r="K5" s="283"/>
      <c r="L5" s="249"/>
      <c r="M5" s="7">
        <v>3.0</v>
      </c>
      <c r="N5" s="7" t="s">
        <v>31810</v>
      </c>
      <c r="O5" s="7" t="s">
        <v>31811</v>
      </c>
      <c r="Q5" s="270">
        <v>5.28594E8</v>
      </c>
      <c r="R5" s="278">
        <v>5.96081E8</v>
      </c>
      <c r="S5" s="284">
        <f>Q5-R5</f>
        <v>-67487000</v>
      </c>
      <c r="T5" s="285" t="s">
        <v>31812</v>
      </c>
      <c r="Z5" s="254"/>
    </row>
    <row r="6">
      <c r="A6" s="273" t="s">
        <v>31813</v>
      </c>
      <c r="B6" s="286">
        <v>44954.0</v>
      </c>
      <c r="C6" s="275"/>
      <c r="D6" s="275"/>
      <c r="F6" s="161" t="s">
        <v>31814</v>
      </c>
      <c r="G6" s="287" t="s">
        <v>31815</v>
      </c>
      <c r="H6" s="7" t="s">
        <v>31816</v>
      </c>
      <c r="K6" s="288"/>
      <c r="L6" s="249"/>
      <c r="M6" s="7">
        <v>4.0</v>
      </c>
      <c r="N6" s="7" t="s">
        <v>31817</v>
      </c>
      <c r="O6" s="7" t="s">
        <v>31818</v>
      </c>
      <c r="Q6" s="289">
        <v>7.45</v>
      </c>
      <c r="R6" s="270">
        <v>7.376193E7</v>
      </c>
      <c r="S6" s="290">
        <f>Q6*R6</f>
        <v>549526378.5</v>
      </c>
      <c r="T6" s="291" t="s">
        <v>31819</v>
      </c>
      <c r="U6" s="292"/>
      <c r="Z6" s="254"/>
    </row>
    <row r="7">
      <c r="A7" s="264" t="s">
        <v>31820</v>
      </c>
      <c r="B7" s="282" t="s">
        <v>31821</v>
      </c>
      <c r="C7" s="265"/>
      <c r="D7" s="265"/>
      <c r="K7" s="283"/>
      <c r="L7" s="249"/>
      <c r="M7" s="7">
        <v>5.0</v>
      </c>
      <c r="N7" s="293" t="s">
        <v>31822</v>
      </c>
      <c r="O7" s="7" t="s">
        <v>31823</v>
      </c>
      <c r="P7" s="294"/>
      <c r="Q7" s="295">
        <v>5.98879E8</v>
      </c>
      <c r="R7" s="296"/>
      <c r="S7" s="297">
        <v>6.13068E8</v>
      </c>
      <c r="T7" s="298" t="s">
        <v>31824</v>
      </c>
      <c r="Z7" s="254"/>
    </row>
    <row r="8">
      <c r="A8" s="273" t="s">
        <v>31825</v>
      </c>
      <c r="B8" s="274" t="b">
        <v>0</v>
      </c>
      <c r="C8" s="275"/>
      <c r="D8" s="275"/>
      <c r="G8" s="299"/>
      <c r="J8" s="300"/>
      <c r="K8" s="301"/>
      <c r="L8" s="302"/>
      <c r="M8" s="303"/>
      <c r="N8" s="293" t="s">
        <v>31826</v>
      </c>
      <c r="O8" s="7" t="s">
        <v>31823</v>
      </c>
      <c r="P8" s="304"/>
      <c r="Q8" s="305">
        <v>1.398325E9</v>
      </c>
      <c r="R8" s="306"/>
      <c r="S8" s="307">
        <v>1.090756E9</v>
      </c>
      <c r="T8" s="308" t="s">
        <v>31827</v>
      </c>
      <c r="U8" s="309"/>
      <c r="Z8" s="254"/>
    </row>
    <row r="9">
      <c r="A9" s="264" t="s">
        <v>31828</v>
      </c>
      <c r="B9" s="282" t="s">
        <v>31829</v>
      </c>
      <c r="C9" s="265"/>
      <c r="D9" s="265"/>
      <c r="G9" s="310"/>
      <c r="K9" s="301"/>
      <c r="L9" s="249"/>
      <c r="M9" s="303"/>
      <c r="N9" s="311" t="s">
        <v>31830</v>
      </c>
      <c r="O9" s="312" t="s">
        <v>31823</v>
      </c>
      <c r="P9" s="313"/>
      <c r="Q9" s="314">
        <v>1.864182E9</v>
      </c>
      <c r="R9" s="315"/>
      <c r="S9" s="316"/>
      <c r="T9" s="317" t="s">
        <v>31831</v>
      </c>
      <c r="U9" s="318"/>
      <c r="V9" s="318"/>
      <c r="W9" s="318"/>
      <c r="X9" s="318"/>
      <c r="Y9" s="318"/>
      <c r="Z9" s="319"/>
    </row>
    <row r="10">
      <c r="A10" s="273" t="s">
        <v>31832</v>
      </c>
      <c r="B10" s="274" t="s">
        <v>31833</v>
      </c>
      <c r="C10" s="275"/>
      <c r="D10" s="275"/>
      <c r="K10" s="301"/>
      <c r="L10" s="249"/>
      <c r="N10" s="320" t="s">
        <v>31834</v>
      </c>
      <c r="O10" s="321" t="s">
        <v>31835</v>
      </c>
      <c r="Z10" s="254"/>
    </row>
    <row r="11">
      <c r="A11" s="264" t="s">
        <v>31836</v>
      </c>
      <c r="B11" s="282" t="s">
        <v>17064</v>
      </c>
      <c r="C11" s="265"/>
      <c r="D11" s="265"/>
      <c r="J11" s="322"/>
      <c r="K11" s="283"/>
      <c r="L11" s="249"/>
      <c r="M11" s="269"/>
      <c r="N11" s="323"/>
      <c r="Z11" s="254"/>
    </row>
    <row r="12">
      <c r="A12" s="273" t="s">
        <v>31837</v>
      </c>
      <c r="B12" s="274" t="s">
        <v>31838</v>
      </c>
      <c r="C12" s="275"/>
      <c r="D12" s="275"/>
      <c r="K12" s="288"/>
      <c r="L12" s="249"/>
      <c r="N12" s="7" t="s">
        <v>31839</v>
      </c>
      <c r="O12" s="324">
        <f t="shared" ref="O12:O15" si="1">S3</f>
        <v>-556352000</v>
      </c>
      <c r="P12" s="1" t="s">
        <v>31840</v>
      </c>
      <c r="Q12" s="325">
        <f>Q8</f>
        <v>1398325000</v>
      </c>
      <c r="R12" s="326">
        <f t="shared" ref="R12:R16" si="2">O12/Q12</f>
        <v>-0.3978703091</v>
      </c>
      <c r="T12" s="327" t="s">
        <v>31841</v>
      </c>
      <c r="U12" s="327"/>
      <c r="V12" s="328"/>
      <c r="W12" s="328"/>
      <c r="X12" s="328"/>
      <c r="Y12" s="328"/>
      <c r="Z12" s="329"/>
    </row>
    <row r="13">
      <c r="A13" s="264" t="s">
        <v>31842</v>
      </c>
      <c r="B13" s="282" t="s">
        <v>31843</v>
      </c>
      <c r="C13" s="265"/>
      <c r="D13" s="265"/>
      <c r="K13" s="330"/>
      <c r="L13" s="249"/>
      <c r="N13" s="7" t="s">
        <v>31844</v>
      </c>
      <c r="O13" s="331">
        <f t="shared" si="1"/>
        <v>355736000</v>
      </c>
      <c r="P13" s="1" t="s">
        <v>31840</v>
      </c>
      <c r="Q13" s="325">
        <f>Q8</f>
        <v>1398325000</v>
      </c>
      <c r="R13" s="326">
        <f t="shared" si="2"/>
        <v>0.2544015161</v>
      </c>
      <c r="T13" s="332" t="s">
        <v>31845</v>
      </c>
      <c r="U13" s="332"/>
      <c r="Z13" s="333"/>
    </row>
    <row r="14">
      <c r="A14" s="273" t="s">
        <v>31846</v>
      </c>
      <c r="B14" s="274" t="s">
        <v>31847</v>
      </c>
      <c r="C14" s="275"/>
      <c r="D14" s="275"/>
      <c r="K14" s="334"/>
      <c r="L14" s="249"/>
      <c r="N14" s="7" t="s">
        <v>31848</v>
      </c>
      <c r="O14" s="335">
        <f t="shared" si="1"/>
        <v>-67487000</v>
      </c>
      <c r="P14" s="1" t="s">
        <v>31840</v>
      </c>
      <c r="Q14" s="325">
        <f>Q8</f>
        <v>1398325000</v>
      </c>
      <c r="R14" s="326">
        <f t="shared" si="2"/>
        <v>-0.04826274292</v>
      </c>
      <c r="T14" s="332" t="s">
        <v>31849</v>
      </c>
      <c r="U14" s="332"/>
      <c r="Z14" s="333"/>
    </row>
    <row r="15">
      <c r="A15" s="264" t="s">
        <v>31850</v>
      </c>
      <c r="B15" s="282" t="s">
        <v>31851</v>
      </c>
      <c r="C15" s="265"/>
      <c r="D15" s="265"/>
      <c r="K15" s="320"/>
      <c r="L15" s="249"/>
      <c r="N15" s="7" t="s">
        <v>31852</v>
      </c>
      <c r="O15" s="336">
        <f t="shared" si="1"/>
        <v>549526378.5</v>
      </c>
      <c r="P15" s="1" t="s">
        <v>31840</v>
      </c>
      <c r="Q15" s="337">
        <f>S8</f>
        <v>1090756000</v>
      </c>
      <c r="R15" s="326">
        <f t="shared" si="2"/>
        <v>0.503803214</v>
      </c>
      <c r="T15" s="332" t="s">
        <v>31853</v>
      </c>
      <c r="U15" s="332"/>
      <c r="Z15" s="333"/>
    </row>
    <row r="16">
      <c r="A16" s="273" t="s">
        <v>31854</v>
      </c>
      <c r="B16" s="274">
        <v>43230.0</v>
      </c>
      <c r="C16" s="275"/>
      <c r="D16" s="275"/>
      <c r="G16" s="338"/>
      <c r="K16" s="320"/>
      <c r="L16" s="249"/>
      <c r="N16" s="7" t="s">
        <v>31855</v>
      </c>
      <c r="O16" s="339">
        <f>Q9</f>
        <v>1864182000</v>
      </c>
      <c r="P16" s="1" t="s">
        <v>31840</v>
      </c>
      <c r="Q16" s="325">
        <f>Q8</f>
        <v>1398325000</v>
      </c>
      <c r="R16" s="326">
        <f t="shared" si="2"/>
        <v>1.333153594</v>
      </c>
      <c r="T16" s="340" t="s">
        <v>31856</v>
      </c>
      <c r="U16" s="340"/>
      <c r="V16" s="318"/>
      <c r="W16" s="318"/>
      <c r="X16" s="318"/>
      <c r="Y16" s="318"/>
      <c r="Z16" s="341"/>
    </row>
    <row r="17">
      <c r="A17" s="264" t="s">
        <v>31857</v>
      </c>
      <c r="B17" s="282">
        <v>614.0</v>
      </c>
      <c r="C17" s="265"/>
      <c r="D17" s="265"/>
      <c r="G17" s="7" t="s">
        <v>31858</v>
      </c>
      <c r="H17" s="7" t="s">
        <v>31859</v>
      </c>
      <c r="K17" s="342"/>
      <c r="L17" s="249"/>
      <c r="N17" s="334"/>
      <c r="Z17" s="254"/>
    </row>
    <row r="18" ht="121.5" customHeight="1">
      <c r="A18" s="273" t="s">
        <v>31860</v>
      </c>
      <c r="B18" s="274" t="s">
        <v>31861</v>
      </c>
      <c r="C18" s="275"/>
      <c r="D18" s="275"/>
      <c r="K18" s="343"/>
      <c r="L18" s="249"/>
      <c r="N18" s="344" t="s">
        <v>31862</v>
      </c>
      <c r="O18" s="338" t="s">
        <v>31863</v>
      </c>
      <c r="Q18" s="345" t="s">
        <v>31864</v>
      </c>
      <c r="R18" s="346">
        <f>SUM(R12:R16)</f>
        <v>1.645225273</v>
      </c>
      <c r="U18" s="99"/>
      <c r="X18" s="347" t="s">
        <v>31865</v>
      </c>
      <c r="Z18" s="254"/>
    </row>
    <row r="19">
      <c r="A19" s="264" t="s">
        <v>31866</v>
      </c>
      <c r="B19" s="282" t="s">
        <v>31867</v>
      </c>
      <c r="C19" s="265"/>
      <c r="D19" s="265"/>
      <c r="G19" s="348"/>
      <c r="K19" s="349"/>
      <c r="L19" s="249"/>
      <c r="N19" s="350"/>
      <c r="O19" s="283"/>
      <c r="P19" s="351"/>
      <c r="S19" s="352"/>
      <c r="Z19" s="254"/>
    </row>
    <row r="20">
      <c r="A20" s="273" t="s">
        <v>31868</v>
      </c>
      <c r="B20" s="274" t="s">
        <v>405</v>
      </c>
      <c r="C20" s="275"/>
      <c r="D20" s="275"/>
      <c r="G20" s="348"/>
      <c r="K20" s="342"/>
      <c r="L20" s="249"/>
      <c r="N20" s="353"/>
      <c r="O20" s="354"/>
      <c r="P20" s="351"/>
      <c r="S20" s="355"/>
      <c r="T20" s="354" t="s">
        <v>31797</v>
      </c>
      <c r="U20" s="354"/>
      <c r="Z20" s="254"/>
    </row>
    <row r="21">
      <c r="A21" s="264" t="s">
        <v>31869</v>
      </c>
      <c r="B21" s="282" t="s">
        <v>16835</v>
      </c>
      <c r="C21" s="265"/>
      <c r="D21" s="265"/>
      <c r="G21" s="348"/>
      <c r="K21" s="342"/>
      <c r="L21" s="249"/>
      <c r="N21" s="248"/>
      <c r="O21" s="356"/>
      <c r="P21" s="351"/>
      <c r="S21" s="352"/>
      <c r="T21" s="356" t="s">
        <v>31870</v>
      </c>
      <c r="U21" s="356"/>
      <c r="Z21" s="254"/>
    </row>
    <row r="22">
      <c r="A22" s="273" t="s">
        <v>31871</v>
      </c>
      <c r="B22" s="274" t="s">
        <v>31872</v>
      </c>
      <c r="C22" s="275"/>
      <c r="D22" s="275"/>
      <c r="G22" s="348"/>
      <c r="K22" s="342"/>
      <c r="L22" s="249"/>
      <c r="N22" s="357"/>
      <c r="O22" s="358"/>
      <c r="P22" s="351"/>
      <c r="S22" s="352"/>
      <c r="T22" s="358" t="s">
        <v>31873</v>
      </c>
      <c r="U22" s="358"/>
      <c r="Z22" s="254"/>
    </row>
    <row r="23">
      <c r="A23" s="264" t="s">
        <v>31874</v>
      </c>
      <c r="B23" s="282" t="s">
        <v>31872</v>
      </c>
      <c r="C23" s="265"/>
      <c r="D23" s="265"/>
      <c r="G23" s="348"/>
      <c r="K23" s="342"/>
      <c r="L23" s="249"/>
      <c r="N23" s="351"/>
      <c r="P23" s="351"/>
      <c r="S23" s="352"/>
      <c r="T23" s="359" t="s">
        <v>31875</v>
      </c>
      <c r="Z23" s="254"/>
    </row>
    <row r="24">
      <c r="A24" s="273" t="s">
        <v>31876</v>
      </c>
      <c r="B24" s="274" t="s">
        <v>31877</v>
      </c>
      <c r="C24" s="275"/>
      <c r="D24" s="275"/>
      <c r="G24" s="348"/>
      <c r="K24" s="342"/>
      <c r="L24" s="249"/>
      <c r="N24" s="360"/>
      <c r="S24" s="338"/>
      <c r="Z24" s="254"/>
    </row>
    <row r="25">
      <c r="A25" s="264" t="s">
        <v>31878</v>
      </c>
      <c r="B25" s="282" t="s">
        <v>31877</v>
      </c>
      <c r="C25" s="265"/>
      <c r="D25" s="265"/>
      <c r="G25" s="361"/>
      <c r="K25" s="342"/>
      <c r="L25" s="249"/>
      <c r="P25" s="353"/>
      <c r="Z25" s="254"/>
    </row>
    <row r="26">
      <c r="A26" s="273" t="s">
        <v>31879</v>
      </c>
      <c r="B26" s="274" t="s">
        <v>31880</v>
      </c>
      <c r="C26" s="275"/>
      <c r="D26" s="275"/>
      <c r="K26" s="342"/>
      <c r="L26" s="249"/>
      <c r="Z26" s="254"/>
    </row>
    <row r="27">
      <c r="A27" s="264" t="s">
        <v>31881</v>
      </c>
      <c r="B27" s="282" t="b">
        <v>0</v>
      </c>
      <c r="C27" s="265"/>
      <c r="D27" s="265"/>
      <c r="G27" s="362" t="s">
        <v>31882</v>
      </c>
      <c r="K27" s="349"/>
      <c r="L27" s="249"/>
      <c r="N27" s="248"/>
      <c r="Z27" s="254"/>
    </row>
    <row r="28">
      <c r="A28" s="273" t="s">
        <v>31883</v>
      </c>
      <c r="B28" s="274" t="b">
        <v>0</v>
      </c>
      <c r="C28" s="275"/>
      <c r="D28" s="275"/>
      <c r="G28" s="362" t="s">
        <v>31884</v>
      </c>
      <c r="L28" s="249"/>
      <c r="N28" s="363"/>
      <c r="Z28" s="254"/>
    </row>
    <row r="29">
      <c r="A29" s="264" t="s">
        <v>31885</v>
      </c>
      <c r="B29" s="282" t="b">
        <v>1</v>
      </c>
      <c r="C29" s="265"/>
      <c r="D29" s="265"/>
      <c r="G29" s="362" t="s">
        <v>31886</v>
      </c>
      <c r="L29" s="249"/>
      <c r="N29" s="364"/>
      <c r="Z29" s="254"/>
    </row>
    <row r="30">
      <c r="A30" s="273" t="s">
        <v>31887</v>
      </c>
      <c r="B30" s="274" t="b">
        <v>0</v>
      </c>
      <c r="C30" s="275"/>
      <c r="D30" s="275"/>
      <c r="G30" s="362" t="s">
        <v>31888</v>
      </c>
      <c r="L30" s="249"/>
      <c r="M30" s="328"/>
      <c r="N30" s="365"/>
      <c r="O30" s="328"/>
      <c r="P30" s="328"/>
      <c r="Q30" s="328"/>
      <c r="R30" s="328"/>
      <c r="S30" s="328"/>
      <c r="T30" s="328"/>
      <c r="U30" s="328"/>
      <c r="V30" s="328"/>
      <c r="W30" s="328"/>
      <c r="X30" s="328"/>
      <c r="Y30" s="328"/>
      <c r="Z30" s="366"/>
    </row>
    <row r="31">
      <c r="A31" s="264" t="s">
        <v>31889</v>
      </c>
      <c r="B31" s="265"/>
      <c r="C31" s="265"/>
      <c r="D31" s="367">
        <v>1.11275008E8</v>
      </c>
      <c r="G31" s="362" t="s">
        <v>31890</v>
      </c>
      <c r="N31" s="368"/>
    </row>
    <row r="32">
      <c r="A32" s="273" t="s">
        <v>31891</v>
      </c>
      <c r="B32" s="275"/>
      <c r="C32" s="369">
        <v>7.376193E7</v>
      </c>
      <c r="D32" s="275"/>
      <c r="G32" s="370"/>
    </row>
    <row r="33">
      <c r="A33" s="264" t="s">
        <v>31892</v>
      </c>
      <c r="B33" s="282" t="s">
        <v>31893</v>
      </c>
      <c r="C33" s="265"/>
      <c r="D33" s="265"/>
    </row>
    <row r="34">
      <c r="A34" s="273" t="s">
        <v>31894</v>
      </c>
      <c r="B34" s="274">
        <v>1483510.0</v>
      </c>
      <c r="C34" s="275"/>
      <c r="D34" s="275"/>
    </row>
    <row r="35">
      <c r="A35" s="264" t="s">
        <v>31895</v>
      </c>
      <c r="B35" s="282">
        <v>2022.0</v>
      </c>
      <c r="C35" s="265"/>
      <c r="D35" s="265"/>
    </row>
    <row r="36">
      <c r="A36" s="273" t="s">
        <v>31896</v>
      </c>
      <c r="B36" s="274" t="s">
        <v>31897</v>
      </c>
      <c r="C36" s="275"/>
      <c r="D36" s="275"/>
    </row>
    <row r="37">
      <c r="A37" s="264" t="s">
        <v>31898</v>
      </c>
      <c r="B37" s="282" t="b">
        <v>0</v>
      </c>
      <c r="C37" s="265"/>
      <c r="D37" s="265"/>
    </row>
    <row r="38">
      <c r="A38" s="371" t="s">
        <v>31899</v>
      </c>
      <c r="B38" s="246" t="s">
        <v>31792</v>
      </c>
    </row>
    <row r="39">
      <c r="A39" s="255"/>
      <c r="B39" s="256">
        <v>44954.0</v>
      </c>
      <c r="M39" s="363" t="s">
        <v>31900</v>
      </c>
    </row>
    <row r="40">
      <c r="A40" s="264" t="s">
        <v>31901</v>
      </c>
      <c r="B40" s="265"/>
      <c r="M40" s="372" t="s">
        <v>31902</v>
      </c>
    </row>
    <row r="41">
      <c r="A41" s="273" t="s">
        <v>31903</v>
      </c>
      <c r="B41" s="274" t="s">
        <v>31904</v>
      </c>
      <c r="M41" s="365"/>
    </row>
    <row r="42">
      <c r="A42" s="264" t="s">
        <v>31905</v>
      </c>
      <c r="B42" s="282" t="s">
        <v>31906</v>
      </c>
      <c r="M42" s="368" t="s">
        <v>31907</v>
      </c>
    </row>
    <row r="43">
      <c r="A43" s="273" t="s">
        <v>31908</v>
      </c>
      <c r="B43" s="274">
        <v>238.0</v>
      </c>
    </row>
    <row r="44">
      <c r="A44" s="246" t="s">
        <v>31909</v>
      </c>
      <c r="B44" s="256">
        <v>44954.0</v>
      </c>
      <c r="C44" s="256">
        <v>44590.0</v>
      </c>
      <c r="M44" s="363" t="s">
        <v>31910</v>
      </c>
    </row>
    <row r="45">
      <c r="A45" s="373" t="s">
        <v>31911</v>
      </c>
      <c r="B45" s="265"/>
      <c r="C45" s="265"/>
      <c r="M45" s="368" t="s">
        <v>31912</v>
      </c>
    </row>
    <row r="46">
      <c r="A46" s="273" t="s">
        <v>31913</v>
      </c>
      <c r="B46" s="374">
        <v>65612.0</v>
      </c>
      <c r="C46" s="374">
        <v>41176.0</v>
      </c>
      <c r="M46" s="365"/>
    </row>
    <row r="47">
      <c r="A47" s="264" t="s">
        <v>31914</v>
      </c>
      <c r="B47" s="375">
        <v>12374.0</v>
      </c>
      <c r="C47" s="375">
        <v>11744.0</v>
      </c>
      <c r="M47" s="368" t="s">
        <v>31915</v>
      </c>
    </row>
    <row r="48">
      <c r="A48" s="273" t="s">
        <v>31916</v>
      </c>
      <c r="B48" s="369">
        <v>1462.0</v>
      </c>
      <c r="C48" s="369">
        <v>53665.0</v>
      </c>
      <c r="M48" s="376"/>
    </row>
    <row r="49">
      <c r="A49" s="264" t="s">
        <v>31917</v>
      </c>
      <c r="B49" s="375">
        <v>365649.0</v>
      </c>
      <c r="C49" s="375">
        <v>358795.0</v>
      </c>
      <c r="M49" s="363" t="s">
        <v>31918</v>
      </c>
    </row>
    <row r="50">
      <c r="A50" s="273" t="s">
        <v>31919</v>
      </c>
      <c r="B50" s="369">
        <v>59565.0</v>
      </c>
      <c r="C50" s="377">
        <v>0.0</v>
      </c>
      <c r="M50" s="368" t="s">
        <v>31920</v>
      </c>
    </row>
    <row r="51">
      <c r="A51" s="264" t="s">
        <v>31921</v>
      </c>
      <c r="B51" s="375">
        <v>7744.0</v>
      </c>
      <c r="C51" s="375">
        <v>5602.0</v>
      </c>
      <c r="M51" s="376"/>
    </row>
    <row r="52">
      <c r="A52" s="273" t="s">
        <v>31922</v>
      </c>
      <c r="B52" s="369">
        <v>21998.0</v>
      </c>
      <c r="C52" s="369">
        <v>19755.0</v>
      </c>
      <c r="M52" s="363" t="s">
        <v>31923</v>
      </c>
    </row>
    <row r="53">
      <c r="A53" s="264" t="s">
        <v>31924</v>
      </c>
      <c r="B53" s="378">
        <v>534404.0</v>
      </c>
      <c r="C53" s="378">
        <v>490737.0</v>
      </c>
      <c r="M53" s="372" t="s">
        <v>31925</v>
      </c>
    </row>
    <row r="54">
      <c r="A54" s="273" t="s">
        <v>31926</v>
      </c>
      <c r="B54" s="369">
        <v>505350.0</v>
      </c>
      <c r="C54" s="369">
        <v>615462.0</v>
      </c>
      <c r="M54" s="365"/>
    </row>
    <row r="55">
      <c r="A55" s="264" t="s">
        <v>31927</v>
      </c>
      <c r="B55" s="375">
        <v>1019577.0</v>
      </c>
      <c r="C55" s="375">
        <v>975802.0</v>
      </c>
      <c r="M55" s="368" t="s">
        <v>31928</v>
      </c>
    </row>
    <row r="56">
      <c r="A56" s="273" t="s">
        <v>31929</v>
      </c>
      <c r="B56" s="369">
        <v>-886193.0</v>
      </c>
      <c r="C56" s="369">
        <v>-827820.0</v>
      </c>
    </row>
    <row r="57">
      <c r="A57" s="264" t="s">
        <v>31930</v>
      </c>
      <c r="B57" s="378">
        <v>133384.0</v>
      </c>
      <c r="C57" s="378">
        <v>147982.0</v>
      </c>
      <c r="M57" s="363" t="s">
        <v>31931</v>
      </c>
    </row>
    <row r="58">
      <c r="A58" s="273" t="s">
        <v>31932</v>
      </c>
      <c r="B58" s="369">
        <v>52278.0</v>
      </c>
      <c r="C58" s="377">
        <v>0.0</v>
      </c>
      <c r="M58" s="368" t="s">
        <v>31933</v>
      </c>
    </row>
    <row r="59">
      <c r="A59" s="264" t="s">
        <v>31934</v>
      </c>
      <c r="B59" s="375">
        <v>166106.0</v>
      </c>
      <c r="C59" s="379">
        <v>0.0</v>
      </c>
      <c r="M59" s="368" t="s">
        <v>31935</v>
      </c>
    </row>
    <row r="60">
      <c r="A60" s="273" t="s">
        <v>31936</v>
      </c>
      <c r="B60" s="369">
        <v>6803.0</v>
      </c>
      <c r="C60" s="369">
        <v>5273.0</v>
      </c>
    </row>
    <row r="61">
      <c r="A61" s="264" t="s">
        <v>31937</v>
      </c>
      <c r="B61" s="378">
        <v>1398325.0</v>
      </c>
      <c r="C61" s="378">
        <v>1259454.0</v>
      </c>
      <c r="N61" s="7" t="s">
        <v>31938</v>
      </c>
    </row>
    <row r="62">
      <c r="A62" s="273" t="s">
        <v>31939</v>
      </c>
      <c r="B62" s="275"/>
      <c r="C62" s="275"/>
    </row>
    <row r="63">
      <c r="A63" s="264" t="s">
        <v>31940</v>
      </c>
      <c r="B63" s="375">
        <v>189006.0</v>
      </c>
      <c r="C63" s="375">
        <v>196628.0</v>
      </c>
    </row>
    <row r="64">
      <c r="A64" s="273" t="s">
        <v>31941</v>
      </c>
      <c r="B64" s="369">
        <v>191386.0</v>
      </c>
      <c r="C64" s="369">
        <v>231974.0</v>
      </c>
      <c r="M64" s="1" t="s">
        <v>31793</v>
      </c>
      <c r="N64" s="250" t="s">
        <v>31794</v>
      </c>
      <c r="O64" s="251" t="s">
        <v>31795</v>
      </c>
      <c r="P64" s="252"/>
      <c r="Q64" s="252"/>
      <c r="R64" s="252"/>
      <c r="S64" s="252"/>
      <c r="T64" s="252"/>
      <c r="U64" s="252"/>
      <c r="V64" s="253"/>
    </row>
    <row r="65">
      <c r="A65" s="264" t="s">
        <v>31942</v>
      </c>
      <c r="B65" s="375">
        <v>19852.0</v>
      </c>
      <c r="C65" s="379">
        <v>0.0</v>
      </c>
      <c r="M65" s="259" t="s">
        <v>31796</v>
      </c>
      <c r="N65" s="260"/>
      <c r="O65" s="261" t="s">
        <v>31797</v>
      </c>
      <c r="P65" s="262"/>
      <c r="Q65" s="262"/>
      <c r="R65" s="262"/>
      <c r="S65" s="262"/>
      <c r="T65" s="262"/>
      <c r="U65" s="262"/>
      <c r="V65" s="263"/>
    </row>
    <row r="66">
      <c r="A66" s="273" t="s">
        <v>31943</v>
      </c>
      <c r="B66" s="369">
        <v>35543.0</v>
      </c>
      <c r="C66" s="369">
        <v>35985.0</v>
      </c>
      <c r="M66" s="268" t="s">
        <v>31944</v>
      </c>
      <c r="N66" s="269" t="s">
        <v>31800</v>
      </c>
      <c r="O66" s="7" t="s">
        <v>31801</v>
      </c>
      <c r="Q66" s="380">
        <v>2.3237E9</v>
      </c>
      <c r="R66" s="380">
        <v>1.3391E9</v>
      </c>
      <c r="S66" s="271">
        <f>Q66-R66</f>
        <v>984600000</v>
      </c>
      <c r="T66" s="272" t="s">
        <v>31802</v>
      </c>
    </row>
    <row r="67">
      <c r="A67" s="264" t="s">
        <v>31945</v>
      </c>
      <c r="B67" s="379">
        <v>0.0</v>
      </c>
      <c r="C67" s="375">
        <v>11216.0</v>
      </c>
      <c r="M67" s="7">
        <v>2.0</v>
      </c>
      <c r="N67" s="7" t="s">
        <v>31805</v>
      </c>
      <c r="O67" s="7" t="s">
        <v>31806</v>
      </c>
      <c r="P67" s="277"/>
      <c r="Q67" s="270"/>
      <c r="R67" s="278"/>
      <c r="S67" s="381">
        <v>-2.195E8</v>
      </c>
      <c r="T67" s="280" t="s">
        <v>31807</v>
      </c>
      <c r="U67" s="281"/>
    </row>
    <row r="68">
      <c r="A68" s="273" t="s">
        <v>31946</v>
      </c>
      <c r="B68" s="369">
        <v>105803.0</v>
      </c>
      <c r="C68" s="369">
        <v>110850.0</v>
      </c>
      <c r="M68" s="7">
        <v>3.0</v>
      </c>
      <c r="N68" s="7" t="s">
        <v>31810</v>
      </c>
      <c r="O68" s="7" t="s">
        <v>31811</v>
      </c>
      <c r="Q68" s="380">
        <v>1.372E9</v>
      </c>
      <c r="R68" s="382">
        <v>5.59E7</v>
      </c>
      <c r="S68" s="284">
        <f>Q68-R68</f>
        <v>1316100000</v>
      </c>
      <c r="T68" s="285" t="s">
        <v>31812</v>
      </c>
    </row>
    <row r="69">
      <c r="A69" s="264" t="s">
        <v>31947</v>
      </c>
      <c r="B69" s="378">
        <v>541590.0</v>
      </c>
      <c r="C69" s="378">
        <v>586653.0</v>
      </c>
      <c r="M69" s="7">
        <v>4.0</v>
      </c>
      <c r="N69" s="7" t="s">
        <v>31817</v>
      </c>
      <c r="O69" s="7" t="s">
        <v>31818</v>
      </c>
      <c r="Q69" s="289">
        <v>14.51</v>
      </c>
      <c r="R69" s="380">
        <v>3.04675439E8</v>
      </c>
      <c r="S69" s="290">
        <f>Q69*R69</f>
        <v>4420840620</v>
      </c>
      <c r="T69" s="291" t="s">
        <v>31819</v>
      </c>
      <c r="U69" s="292"/>
    </row>
    <row r="70">
      <c r="A70" s="273" t="s">
        <v>31948</v>
      </c>
      <c r="B70" s="369">
        <v>406448.0</v>
      </c>
      <c r="C70" s="369">
        <v>536905.0</v>
      </c>
      <c r="M70" s="7">
        <v>5.0</v>
      </c>
      <c r="N70" s="293" t="s">
        <v>31949</v>
      </c>
      <c r="O70" s="7" t="s">
        <v>31823</v>
      </c>
      <c r="P70" s="294"/>
      <c r="Q70" s="383">
        <v>2.3237E9</v>
      </c>
      <c r="R70" s="296"/>
      <c r="S70" s="297">
        <v>1.3391E9</v>
      </c>
      <c r="T70" s="298" t="s">
        <v>31824</v>
      </c>
    </row>
    <row r="71">
      <c r="A71" s="264" t="s">
        <v>31950</v>
      </c>
      <c r="B71" s="375">
        <v>122000.0</v>
      </c>
      <c r="C71" s="375">
        <v>117581.0</v>
      </c>
      <c r="M71" s="303"/>
      <c r="N71" s="293" t="s">
        <v>31951</v>
      </c>
      <c r="O71" s="7" t="s">
        <v>31823</v>
      </c>
      <c r="P71" s="304"/>
      <c r="Q71" s="384">
        <v>3.1134E9</v>
      </c>
      <c r="R71" s="306"/>
      <c r="S71" s="385">
        <v>1.7911E9</v>
      </c>
      <c r="T71" s="308" t="s">
        <v>31952</v>
      </c>
      <c r="U71" s="309"/>
    </row>
    <row r="72">
      <c r="A72" s="273" t="s">
        <v>31953</v>
      </c>
      <c r="B72" s="369">
        <v>20718.0</v>
      </c>
      <c r="C72" s="369">
        <v>17007.0</v>
      </c>
      <c r="M72" s="303"/>
      <c r="N72" s="311" t="s">
        <v>31830</v>
      </c>
      <c r="O72" s="312" t="s">
        <v>31823</v>
      </c>
      <c r="P72" s="313"/>
      <c r="Q72" s="386">
        <v>5.9272E9</v>
      </c>
      <c r="R72" s="315"/>
      <c r="S72" s="316"/>
      <c r="T72" s="317" t="s">
        <v>31831</v>
      </c>
      <c r="U72" s="318"/>
      <c r="V72" s="318"/>
      <c r="W72" s="318"/>
      <c r="X72" s="318"/>
    </row>
    <row r="73">
      <c r="A73" s="264" t="s">
        <v>31954</v>
      </c>
      <c r="B73" s="378">
        <v>1090756.0</v>
      </c>
      <c r="C73" s="378">
        <v>1258146.0</v>
      </c>
      <c r="N73" s="320" t="s">
        <v>31834</v>
      </c>
      <c r="O73" s="321" t="s">
        <v>31835</v>
      </c>
    </row>
    <row r="74">
      <c r="A74" s="273" t="s">
        <v>31955</v>
      </c>
      <c r="B74" s="275"/>
      <c r="C74" s="275"/>
      <c r="M74" s="269"/>
      <c r="N74" s="323"/>
    </row>
    <row r="75">
      <c r="A75" s="264" t="s">
        <v>31956</v>
      </c>
      <c r="B75" s="265"/>
      <c r="C75" s="265"/>
      <c r="N75" s="7" t="s">
        <v>31839</v>
      </c>
      <c r="O75" s="324">
        <f t="shared" ref="O75:O78" si="3">S66</f>
        <v>984600000</v>
      </c>
      <c r="P75" s="1" t="s">
        <v>31840</v>
      </c>
      <c r="Q75" s="325">
        <f>Q71</f>
        <v>3113400000</v>
      </c>
      <c r="R75" s="326">
        <f t="shared" ref="R75:R79" si="4">O75/Q75</f>
        <v>0.3162459048</v>
      </c>
      <c r="T75" s="327" t="s">
        <v>31841</v>
      </c>
      <c r="U75" s="327"/>
      <c r="V75" s="328"/>
      <c r="W75" s="328"/>
      <c r="X75" s="328"/>
    </row>
    <row r="76">
      <c r="A76" s="273" t="s">
        <v>31957</v>
      </c>
      <c r="B76" s="377">
        <v>0.0</v>
      </c>
      <c r="C76" s="377">
        <v>0.0</v>
      </c>
      <c r="N76" s="7" t="s">
        <v>31844</v>
      </c>
      <c r="O76" s="331">
        <f t="shared" si="3"/>
        <v>-219500000</v>
      </c>
      <c r="P76" s="1" t="s">
        <v>31840</v>
      </c>
      <c r="Q76" s="325">
        <f>Q71</f>
        <v>3113400000</v>
      </c>
      <c r="R76" s="326">
        <f t="shared" si="4"/>
        <v>-0.07050170232</v>
      </c>
      <c r="T76" s="332" t="s">
        <v>31845</v>
      </c>
      <c r="U76" s="332"/>
    </row>
    <row r="77">
      <c r="A77" s="264" t="s">
        <v>31958</v>
      </c>
      <c r="B77" s="379">
        <v>990.0</v>
      </c>
      <c r="C77" s="379">
        <v>936.0</v>
      </c>
      <c r="N77" s="7" t="s">
        <v>31848</v>
      </c>
      <c r="O77" s="335">
        <f t="shared" si="3"/>
        <v>1316100000</v>
      </c>
      <c r="P77" s="1" t="s">
        <v>31840</v>
      </c>
      <c r="Q77" s="325">
        <f>Q71</f>
        <v>3113400000</v>
      </c>
      <c r="R77" s="326">
        <f t="shared" si="4"/>
        <v>0.4227211409</v>
      </c>
      <c r="T77" s="332" t="s">
        <v>31849</v>
      </c>
      <c r="U77" s="332"/>
    </row>
    <row r="78">
      <c r="A78" s="273" t="s">
        <v>31959</v>
      </c>
      <c r="B78" s="369">
        <v>228633.0</v>
      </c>
      <c r="C78" s="369">
        <v>220078.0</v>
      </c>
      <c r="N78" s="7" t="s">
        <v>31852</v>
      </c>
      <c r="O78" s="336">
        <f t="shared" si="3"/>
        <v>4420840620</v>
      </c>
      <c r="P78" s="1" t="s">
        <v>31840</v>
      </c>
      <c r="Q78" s="337">
        <f>S71</f>
        <v>1791100000</v>
      </c>
      <c r="R78" s="326">
        <f t="shared" si="4"/>
        <v>2.468226576</v>
      </c>
      <c r="T78" s="332" t="s">
        <v>31853</v>
      </c>
      <c r="U78" s="332"/>
    </row>
    <row r="79">
      <c r="A79" s="264" t="s">
        <v>31960</v>
      </c>
      <c r="B79" s="375">
        <v>355736.0</v>
      </c>
      <c r="C79" s="375">
        <v>77093.0</v>
      </c>
      <c r="N79" s="7" t="s">
        <v>31855</v>
      </c>
      <c r="O79" s="339">
        <f>Q72</f>
        <v>5927200000</v>
      </c>
      <c r="P79" s="1" t="s">
        <v>31840</v>
      </c>
      <c r="Q79" s="325">
        <f>Q71</f>
        <v>3113400000</v>
      </c>
      <c r="R79" s="326">
        <f t="shared" si="4"/>
        <v>1.903770797</v>
      </c>
      <c r="T79" s="340" t="s">
        <v>31856</v>
      </c>
      <c r="U79" s="340"/>
      <c r="V79" s="318"/>
      <c r="W79" s="318"/>
      <c r="X79" s="318"/>
    </row>
    <row r="80">
      <c r="A80" s="273" t="s">
        <v>31961</v>
      </c>
      <c r="B80" s="369">
        <v>-277790.0</v>
      </c>
      <c r="C80" s="369">
        <v>-296799.0</v>
      </c>
      <c r="N80" s="334"/>
    </row>
    <row r="81">
      <c r="A81" s="264" t="s">
        <v>31962</v>
      </c>
      <c r="B81" s="378">
        <v>307569.0</v>
      </c>
      <c r="C81" s="378">
        <v>1308.0</v>
      </c>
      <c r="N81" s="344" t="s">
        <v>31963</v>
      </c>
      <c r="O81" s="338" t="s">
        <v>31863</v>
      </c>
      <c r="Q81" s="345" t="s">
        <v>31864</v>
      </c>
      <c r="R81" s="346">
        <f>SUM(R75:R79)</f>
        <v>5.040462716</v>
      </c>
      <c r="U81" s="99"/>
      <c r="X81" s="347" t="s">
        <v>31865</v>
      </c>
    </row>
    <row r="82">
      <c r="A82" s="273" t="s">
        <v>31964</v>
      </c>
      <c r="B82" s="387">
        <v>1398325.0</v>
      </c>
      <c r="C82" s="387">
        <v>1259454.0</v>
      </c>
      <c r="N82" s="350"/>
      <c r="O82" s="283"/>
      <c r="P82" s="351"/>
      <c r="S82" s="352"/>
    </row>
    <row r="83">
      <c r="A83" s="246" t="s">
        <v>31965</v>
      </c>
      <c r="B83" s="256">
        <v>44954.0</v>
      </c>
      <c r="C83" s="256">
        <v>44590.0</v>
      </c>
      <c r="N83" s="353"/>
      <c r="O83" s="354"/>
      <c r="P83" s="351"/>
      <c r="S83" s="355"/>
      <c r="T83" s="354" t="s">
        <v>31797</v>
      </c>
      <c r="U83" s="354"/>
    </row>
    <row r="84">
      <c r="A84" s="264" t="s">
        <v>31966</v>
      </c>
      <c r="B84" s="265"/>
      <c r="C84" s="265"/>
      <c r="N84" s="248"/>
      <c r="O84" s="356"/>
      <c r="P84" s="351"/>
      <c r="S84" s="352"/>
      <c r="T84" s="356" t="s">
        <v>31870</v>
      </c>
      <c r="U84" s="356"/>
    </row>
    <row r="85">
      <c r="A85" s="273" t="s">
        <v>31967</v>
      </c>
      <c r="B85" s="388">
        <v>0.01</v>
      </c>
      <c r="C85" s="388">
        <v>0.01</v>
      </c>
      <c r="N85" s="357"/>
      <c r="O85" s="358"/>
      <c r="P85" s="351"/>
      <c r="S85" s="352"/>
      <c r="T85" s="358" t="s">
        <v>31873</v>
      </c>
      <c r="U85" s="358"/>
    </row>
    <row r="86">
      <c r="A86" s="264" t="s">
        <v>31968</v>
      </c>
      <c r="B86" s="375">
        <v>1.0E7</v>
      </c>
      <c r="C86" s="375">
        <v>1.0E7</v>
      </c>
      <c r="N86" s="351"/>
      <c r="P86" s="351"/>
      <c r="S86" s="352"/>
      <c r="T86" s="359" t="s">
        <v>31875</v>
      </c>
    </row>
    <row r="87">
      <c r="A87" s="273" t="s">
        <v>31969</v>
      </c>
      <c r="B87" s="377">
        <v>0.0</v>
      </c>
      <c r="C87" s="377">
        <v>0.0</v>
      </c>
      <c r="N87" s="360"/>
      <c r="S87" s="338"/>
    </row>
    <row r="88">
      <c r="A88" s="264" t="s">
        <v>31970</v>
      </c>
      <c r="B88" s="379">
        <v>0.0</v>
      </c>
      <c r="C88" s="379">
        <v>0.0</v>
      </c>
      <c r="P88" s="353"/>
    </row>
    <row r="89">
      <c r="A89" s="273" t="s">
        <v>31971</v>
      </c>
      <c r="B89" s="388">
        <v>0.01</v>
      </c>
      <c r="C89" s="388">
        <v>0.01</v>
      </c>
    </row>
    <row r="90">
      <c r="A90" s="264" t="s">
        <v>31972</v>
      </c>
      <c r="B90" s="375">
        <v>5.0E8</v>
      </c>
      <c r="C90" s="375">
        <v>5.0E8</v>
      </c>
      <c r="N90" s="248"/>
    </row>
    <row r="91">
      <c r="A91" s="273" t="s">
        <v>31973</v>
      </c>
      <c r="B91" s="369">
        <v>9.9067E7</v>
      </c>
      <c r="C91" s="369">
        <v>9.3632E7</v>
      </c>
      <c r="N91" s="363"/>
    </row>
    <row r="92">
      <c r="A92" s="264" t="s">
        <v>31974</v>
      </c>
      <c r="B92" s="375">
        <v>7.376E7</v>
      </c>
      <c r="C92" s="375">
        <v>6.7072E7</v>
      </c>
      <c r="N92" s="364"/>
    </row>
    <row r="93">
      <c r="A93" s="273" t="s">
        <v>31975</v>
      </c>
      <c r="B93" s="369">
        <v>2.5307E7</v>
      </c>
      <c r="C93" s="369">
        <v>2.656E7</v>
      </c>
    </row>
    <row r="94">
      <c r="A94" s="371" t="s">
        <v>31976</v>
      </c>
      <c r="B94" s="389" t="s">
        <v>31792</v>
      </c>
      <c r="C94" s="390"/>
      <c r="D94" s="391"/>
    </row>
    <row r="95">
      <c r="A95" s="255"/>
      <c r="B95" s="256">
        <v>44954.0</v>
      </c>
      <c r="C95" s="256">
        <v>44590.0</v>
      </c>
      <c r="D95" s="256">
        <v>44226.0</v>
      </c>
    </row>
    <row r="96">
      <c r="A96" s="264" t="s">
        <v>31977</v>
      </c>
      <c r="B96" s="265"/>
      <c r="C96" s="265"/>
      <c r="D96" s="265"/>
    </row>
    <row r="97">
      <c r="A97" s="273" t="s">
        <v>31978</v>
      </c>
      <c r="B97" s="374">
        <v>1864182.0</v>
      </c>
      <c r="C97" s="374">
        <v>1870296.0</v>
      </c>
      <c r="D97" s="374">
        <v>1208374.0</v>
      </c>
    </row>
    <row r="98">
      <c r="A98" s="264" t="s">
        <v>31979</v>
      </c>
      <c r="B98" s="375">
        <v>1335588.0</v>
      </c>
      <c r="C98" s="375">
        <v>1311829.0</v>
      </c>
      <c r="D98" s="375">
        <v>1213281.0</v>
      </c>
    </row>
    <row r="99">
      <c r="A99" s="273" t="s">
        <v>31980</v>
      </c>
      <c r="B99" s="392">
        <v>528594.0</v>
      </c>
      <c r="C99" s="392">
        <v>558467.0</v>
      </c>
      <c r="D99" s="392">
        <v>-4907.0</v>
      </c>
      <c r="E99" s="7">
        <v>5.28E8</v>
      </c>
    </row>
    <row r="100">
      <c r="A100" s="264" t="s">
        <v>31981</v>
      </c>
      <c r="B100" s="265"/>
      <c r="C100" s="265"/>
      <c r="D100" s="265"/>
    </row>
    <row r="101">
      <c r="A101" s="273" t="s">
        <v>31982</v>
      </c>
      <c r="B101" s="369">
        <v>596671.0</v>
      </c>
      <c r="C101" s="369">
        <v>558187.0</v>
      </c>
      <c r="D101" s="369">
        <v>450834.0</v>
      </c>
    </row>
    <row r="102">
      <c r="A102" s="264" t="s">
        <v>31983</v>
      </c>
      <c r="B102" s="379">
        <v>-590.0</v>
      </c>
      <c r="C102" s="379">
        <v>-499.0</v>
      </c>
      <c r="D102" s="379">
        <v>-526.0</v>
      </c>
    </row>
    <row r="103">
      <c r="A103" s="273" t="s">
        <v>31984</v>
      </c>
      <c r="B103" s="392">
        <v>596081.0</v>
      </c>
      <c r="C103" s="392">
        <v>557688.0</v>
      </c>
      <c r="D103" s="392">
        <v>450308.0</v>
      </c>
    </row>
    <row r="104">
      <c r="A104" s="264" t="s">
        <v>31985</v>
      </c>
      <c r="B104" s="378">
        <v>-67487.0</v>
      </c>
      <c r="C104" s="393">
        <v>779.0</v>
      </c>
      <c r="D104" s="378">
        <v>-455215.0</v>
      </c>
    </row>
    <row r="105">
      <c r="A105" s="273" t="s">
        <v>31986</v>
      </c>
      <c r="B105" s="369">
        <v>29103.0</v>
      </c>
      <c r="C105" s="369">
        <v>15198.0</v>
      </c>
      <c r="D105" s="369">
        <v>3401.0</v>
      </c>
    </row>
    <row r="106">
      <c r="A106" s="264" t="s">
        <v>31987</v>
      </c>
      <c r="B106" s="375">
        <v>-409493.0</v>
      </c>
      <c r="C106" s="379">
        <v>0.0</v>
      </c>
      <c r="D106" s="379">
        <v>0.0</v>
      </c>
    </row>
    <row r="107">
      <c r="A107" s="273" t="s">
        <v>31988</v>
      </c>
      <c r="B107" s="369">
        <v>-1384.0</v>
      </c>
      <c r="C107" s="377">
        <v>-298.0</v>
      </c>
      <c r="D107" s="369">
        <v>2733.0</v>
      </c>
    </row>
    <row r="108">
      <c r="A108" s="264" t="s">
        <v>31989</v>
      </c>
      <c r="B108" s="378">
        <v>314287.0</v>
      </c>
      <c r="C108" s="378">
        <v>-14121.0</v>
      </c>
      <c r="D108" s="378">
        <v>-461349.0</v>
      </c>
    </row>
    <row r="109">
      <c r="A109" s="273" t="s">
        <v>31990</v>
      </c>
      <c r="B109" s="369">
        <v>20453.0</v>
      </c>
      <c r="C109" s="377">
        <v>315.0</v>
      </c>
      <c r="D109" s="369">
        <v>-55900.0</v>
      </c>
    </row>
    <row r="110">
      <c r="A110" s="264" t="s">
        <v>31991</v>
      </c>
      <c r="B110" s="378">
        <v>293834.0</v>
      </c>
      <c r="C110" s="378">
        <v>-14436.0</v>
      </c>
      <c r="D110" s="378">
        <v>-405449.0</v>
      </c>
    </row>
    <row r="111">
      <c r="A111" s="273" t="s">
        <v>31992</v>
      </c>
      <c r="B111" s="387">
        <v>293834.0</v>
      </c>
      <c r="C111" s="387">
        <v>-14436.0</v>
      </c>
      <c r="D111" s="387">
        <v>-405449.0</v>
      </c>
    </row>
    <row r="112">
      <c r="A112" s="264" t="s">
        <v>31993</v>
      </c>
      <c r="B112" s="265"/>
      <c r="C112" s="265"/>
      <c r="D112" s="265"/>
    </row>
    <row r="113">
      <c r="A113" s="273" t="s">
        <v>31994</v>
      </c>
      <c r="B113" s="388">
        <v>4.32</v>
      </c>
      <c r="C113" s="388">
        <v>-0.22</v>
      </c>
      <c r="D113" s="388">
        <v>-6.27</v>
      </c>
    </row>
    <row r="114">
      <c r="A114" s="264" t="s">
        <v>31995</v>
      </c>
      <c r="B114" s="394">
        <v>4.25</v>
      </c>
      <c r="C114" s="394">
        <v>-0.22</v>
      </c>
      <c r="D114" s="394">
        <v>-6.27</v>
      </c>
    </row>
    <row r="115">
      <c r="A115" s="273" t="s">
        <v>31996</v>
      </c>
      <c r="B115" s="275"/>
      <c r="C115" s="275"/>
      <c r="D115" s="275"/>
    </row>
    <row r="116">
      <c r="A116" s="264" t="s">
        <v>31997</v>
      </c>
      <c r="B116" s="375">
        <v>68046.0</v>
      </c>
      <c r="C116" s="375">
        <v>66448.0</v>
      </c>
      <c r="D116" s="375">
        <v>64624.0</v>
      </c>
    </row>
    <row r="117">
      <c r="A117" s="273" t="s">
        <v>31998</v>
      </c>
      <c r="B117" s="369">
        <v>69058.0</v>
      </c>
      <c r="C117" s="369">
        <v>66448.0</v>
      </c>
      <c r="D117" s="369">
        <v>64624.0</v>
      </c>
    </row>
    <row r="118">
      <c r="A118" s="246" t="s">
        <v>31999</v>
      </c>
      <c r="B118" s="246" t="s">
        <v>32000</v>
      </c>
      <c r="C118" s="246" t="s">
        <v>32001</v>
      </c>
      <c r="D118" s="246" t="s">
        <v>32002</v>
      </c>
      <c r="E118" s="246" t="s">
        <v>32003</v>
      </c>
      <c r="F118" s="246" t="s">
        <v>32004</v>
      </c>
      <c r="G118" s="246" t="s">
        <v>32005</v>
      </c>
    </row>
    <row r="119">
      <c r="A119" s="395" t="s">
        <v>32006</v>
      </c>
      <c r="B119" s="396"/>
      <c r="C119" s="397">
        <v>63922.0</v>
      </c>
      <c r="D119" s="396"/>
      <c r="E119" s="396"/>
      <c r="F119" s="396"/>
      <c r="G119" s="396"/>
    </row>
    <row r="120">
      <c r="A120" s="395" t="s">
        <v>32007</v>
      </c>
      <c r="B120" s="398">
        <v>406302.0</v>
      </c>
      <c r="C120" s="398">
        <v>936.0</v>
      </c>
      <c r="D120" s="398">
        <v>215207.0</v>
      </c>
      <c r="E120" s="398">
        <v>533690.0</v>
      </c>
      <c r="F120" s="398">
        <v>0.0</v>
      </c>
      <c r="G120" s="398">
        <v>-343531.0</v>
      </c>
    </row>
    <row r="121">
      <c r="A121" s="395" t="s">
        <v>32008</v>
      </c>
      <c r="B121" s="396"/>
      <c r="C121" s="396"/>
      <c r="D121" s="396"/>
      <c r="E121" s="396"/>
      <c r="F121" s="396"/>
      <c r="G121" s="397">
        <v>29710.0</v>
      </c>
    </row>
    <row r="122">
      <c r="A122" s="273" t="s">
        <v>32009</v>
      </c>
      <c r="B122" s="275"/>
      <c r="C122" s="275"/>
      <c r="D122" s="275"/>
      <c r="E122" s="275"/>
      <c r="F122" s="275"/>
      <c r="G122" s="275"/>
    </row>
    <row r="123">
      <c r="A123" s="264" t="s">
        <v>32010</v>
      </c>
      <c r="B123" s="375">
        <v>-405449.0</v>
      </c>
      <c r="C123" s="265"/>
      <c r="D123" s="265"/>
      <c r="E123" s="375">
        <v>-405449.0</v>
      </c>
      <c r="F123" s="265"/>
      <c r="G123" s="265"/>
    </row>
    <row r="124">
      <c r="A124" s="273" t="s">
        <v>32011</v>
      </c>
      <c r="B124" s="275"/>
      <c r="C124" s="369">
        <v>1392.0</v>
      </c>
      <c r="D124" s="275"/>
      <c r="E124" s="275"/>
      <c r="F124" s="275"/>
      <c r="G124" s="369">
        <v>-1392.0</v>
      </c>
    </row>
    <row r="125">
      <c r="A125" s="264" t="s">
        <v>32012</v>
      </c>
      <c r="B125" s="379">
        <v>0.0</v>
      </c>
      <c r="C125" s="265"/>
      <c r="D125" s="375">
        <v>-2528.0</v>
      </c>
      <c r="E125" s="375">
        <v>-13509.0</v>
      </c>
      <c r="F125" s="265"/>
      <c r="G125" s="367">
        <v>16037.0</v>
      </c>
    </row>
    <row r="126">
      <c r="A126" s="273" t="s">
        <v>32013</v>
      </c>
      <c r="B126" s="374">
        <v>9462.0</v>
      </c>
      <c r="C126" s="275"/>
      <c r="D126" s="369">
        <v>9462.0</v>
      </c>
      <c r="E126" s="275"/>
      <c r="F126" s="275"/>
      <c r="G126" s="275"/>
    </row>
    <row r="127">
      <c r="A127" s="264" t="s">
        <v>32014</v>
      </c>
      <c r="B127" s="379">
        <v>0.0</v>
      </c>
      <c r="C127" s="379">
        <v>343.0</v>
      </c>
      <c r="D127" s="265"/>
      <c r="E127" s="265"/>
      <c r="F127" s="265"/>
      <c r="G127" s="379">
        <v>343.0</v>
      </c>
    </row>
    <row r="128">
      <c r="A128" s="273" t="s">
        <v>32015</v>
      </c>
      <c r="B128" s="374">
        <v>-626.0</v>
      </c>
      <c r="C128" s="275"/>
      <c r="D128" s="275"/>
      <c r="E128" s="275"/>
      <c r="F128" s="275"/>
      <c r="G128" s="374">
        <v>-626.0</v>
      </c>
    </row>
    <row r="129">
      <c r="A129" s="395" t="s">
        <v>32016</v>
      </c>
      <c r="B129" s="396"/>
      <c r="C129" s="397">
        <v>64971.0</v>
      </c>
      <c r="D129" s="396"/>
      <c r="E129" s="396"/>
      <c r="F129" s="396"/>
      <c r="G129" s="396"/>
    </row>
    <row r="130">
      <c r="A130" s="395" t="s">
        <v>32017</v>
      </c>
      <c r="B130" s="397">
        <v>9689.0</v>
      </c>
      <c r="C130" s="398">
        <v>936.0</v>
      </c>
      <c r="D130" s="397">
        <v>222141.0</v>
      </c>
      <c r="E130" s="397">
        <v>114732.0</v>
      </c>
      <c r="F130" s="399">
        <v>0.0</v>
      </c>
      <c r="G130" s="398">
        <v>-328120.0</v>
      </c>
    </row>
    <row r="131">
      <c r="A131" s="395" t="s">
        <v>32018</v>
      </c>
      <c r="B131" s="396"/>
      <c r="C131" s="396"/>
      <c r="D131" s="396"/>
      <c r="E131" s="396"/>
      <c r="F131" s="396"/>
      <c r="G131" s="397">
        <v>28661.0</v>
      </c>
    </row>
    <row r="132">
      <c r="A132" s="273" t="s">
        <v>32009</v>
      </c>
      <c r="B132" s="275"/>
      <c r="C132" s="275"/>
      <c r="D132" s="275"/>
      <c r="E132" s="275"/>
      <c r="F132" s="275"/>
      <c r="G132" s="275"/>
    </row>
    <row r="133">
      <c r="A133" s="264" t="s">
        <v>32010</v>
      </c>
      <c r="B133" s="375">
        <v>-14436.0</v>
      </c>
      <c r="C133" s="265"/>
      <c r="D133" s="265"/>
      <c r="E133" s="375">
        <v>-14436.0</v>
      </c>
      <c r="F133" s="265"/>
      <c r="G133" s="265"/>
    </row>
    <row r="134">
      <c r="A134" s="273" t="s">
        <v>32011</v>
      </c>
      <c r="B134" s="275"/>
      <c r="C134" s="369">
        <v>3084.0</v>
      </c>
      <c r="D134" s="275"/>
      <c r="E134" s="275"/>
      <c r="F134" s="275"/>
      <c r="G134" s="369">
        <v>-3084.0</v>
      </c>
    </row>
    <row r="135">
      <c r="A135" s="264" t="s">
        <v>32012</v>
      </c>
      <c r="B135" s="379">
        <v>0.0</v>
      </c>
      <c r="C135" s="265"/>
      <c r="D135" s="375">
        <v>-11872.0</v>
      </c>
      <c r="E135" s="375">
        <v>-23203.0</v>
      </c>
      <c r="F135" s="265"/>
      <c r="G135" s="367">
        <v>35075.0</v>
      </c>
    </row>
    <row r="136">
      <c r="A136" s="273" t="s">
        <v>32013</v>
      </c>
      <c r="B136" s="374">
        <v>9809.0</v>
      </c>
      <c r="C136" s="275"/>
      <c r="D136" s="369">
        <v>9809.0</v>
      </c>
      <c r="E136" s="275"/>
      <c r="F136" s="275"/>
      <c r="G136" s="275"/>
    </row>
    <row r="137">
      <c r="A137" s="264" t="s">
        <v>32014</v>
      </c>
      <c r="B137" s="379">
        <v>0.0</v>
      </c>
      <c r="C137" s="379">
        <v>983.0</v>
      </c>
      <c r="D137" s="265"/>
      <c r="E137" s="265"/>
      <c r="F137" s="265"/>
      <c r="G137" s="379">
        <v>983.0</v>
      </c>
    </row>
    <row r="138">
      <c r="A138" s="273" t="s">
        <v>32015</v>
      </c>
      <c r="B138" s="374">
        <v>-3754.0</v>
      </c>
      <c r="C138" s="275"/>
      <c r="D138" s="275"/>
      <c r="E138" s="275"/>
      <c r="F138" s="275"/>
      <c r="G138" s="374">
        <v>-3754.0</v>
      </c>
    </row>
    <row r="139">
      <c r="A139" s="395" t="s">
        <v>32019</v>
      </c>
      <c r="B139" s="397">
        <v>67072.0</v>
      </c>
      <c r="C139" s="397">
        <v>67072.0</v>
      </c>
      <c r="D139" s="396"/>
      <c r="E139" s="396"/>
      <c r="F139" s="396"/>
      <c r="G139" s="396"/>
    </row>
    <row r="140">
      <c r="A140" s="395" t="s">
        <v>32020</v>
      </c>
      <c r="B140" s="398">
        <v>1308.0</v>
      </c>
      <c r="C140" s="398">
        <v>936.0</v>
      </c>
      <c r="D140" s="397">
        <v>220078.0</v>
      </c>
      <c r="E140" s="397">
        <v>77093.0</v>
      </c>
      <c r="F140" s="399">
        <v>0.0</v>
      </c>
      <c r="G140" s="398">
        <v>-296799.0</v>
      </c>
    </row>
    <row r="141">
      <c r="A141" s="395" t="s">
        <v>32021</v>
      </c>
      <c r="B141" s="397">
        <v>26560.0</v>
      </c>
      <c r="C141" s="396"/>
      <c r="D141" s="396"/>
      <c r="E141" s="396"/>
      <c r="F141" s="396"/>
      <c r="G141" s="397">
        <v>26560.0</v>
      </c>
    </row>
    <row r="142">
      <c r="A142" s="273" t="s">
        <v>32009</v>
      </c>
      <c r="B142" s="275"/>
      <c r="C142" s="275"/>
      <c r="D142" s="275"/>
      <c r="E142" s="275"/>
      <c r="F142" s="275"/>
      <c r="G142" s="275"/>
    </row>
    <row r="143">
      <c r="A143" s="264" t="s">
        <v>32010</v>
      </c>
      <c r="B143" s="367">
        <v>293834.0</v>
      </c>
      <c r="C143" s="265"/>
      <c r="D143" s="265"/>
      <c r="E143" s="375">
        <v>293834.0</v>
      </c>
      <c r="F143" s="265"/>
      <c r="G143" s="265"/>
    </row>
    <row r="144">
      <c r="A144" s="273" t="s">
        <v>32022</v>
      </c>
      <c r="B144" s="275"/>
      <c r="C144" s="369">
        <v>5435.0</v>
      </c>
      <c r="D144" s="275"/>
      <c r="E144" s="275"/>
      <c r="F144" s="275"/>
      <c r="G144" s="275"/>
    </row>
    <row r="145">
      <c r="A145" s="264" t="s">
        <v>32023</v>
      </c>
      <c r="B145" s="375">
        <v>6899.0</v>
      </c>
      <c r="C145" s="367">
        <v>54.0</v>
      </c>
      <c r="D145" s="375">
        <v>6845.0</v>
      </c>
      <c r="E145" s="265"/>
      <c r="F145" s="265"/>
      <c r="G145" s="265"/>
    </row>
    <row r="146">
      <c r="A146" s="273" t="s">
        <v>32011</v>
      </c>
      <c r="B146" s="275"/>
      <c r="C146" s="369">
        <v>1888.0</v>
      </c>
      <c r="D146" s="275"/>
      <c r="E146" s="275"/>
      <c r="F146" s="275"/>
      <c r="G146" s="369">
        <v>-1888.0</v>
      </c>
    </row>
    <row r="147">
      <c r="A147" s="264" t="s">
        <v>32012</v>
      </c>
      <c r="B147" s="379">
        <v>0.0</v>
      </c>
      <c r="C147" s="265"/>
      <c r="D147" s="375">
        <v>-5830.0</v>
      </c>
      <c r="E147" s="375">
        <v>-15191.0</v>
      </c>
      <c r="F147" s="265"/>
      <c r="G147" s="367">
        <v>21021.0</v>
      </c>
    </row>
    <row r="148">
      <c r="A148" s="273" t="s">
        <v>32013</v>
      </c>
      <c r="B148" s="374">
        <v>7540.0</v>
      </c>
      <c r="C148" s="275"/>
      <c r="D148" s="369">
        <v>7540.0</v>
      </c>
      <c r="E148" s="275"/>
      <c r="F148" s="275"/>
      <c r="G148" s="275"/>
    </row>
    <row r="149">
      <c r="A149" s="264" t="s">
        <v>32014</v>
      </c>
      <c r="B149" s="379">
        <v>0.0</v>
      </c>
      <c r="C149" s="379">
        <v>635.0</v>
      </c>
      <c r="D149" s="265"/>
      <c r="E149" s="265"/>
      <c r="F149" s="265"/>
      <c r="G149" s="379">
        <v>635.0</v>
      </c>
    </row>
    <row r="150">
      <c r="A150" s="273" t="s">
        <v>32015</v>
      </c>
      <c r="B150" s="374">
        <v>-2012.0</v>
      </c>
      <c r="C150" s="275"/>
      <c r="D150" s="275"/>
      <c r="E150" s="275"/>
      <c r="F150" s="275"/>
      <c r="G150" s="374">
        <v>-2012.0</v>
      </c>
    </row>
    <row r="151">
      <c r="A151" s="395" t="s">
        <v>32024</v>
      </c>
      <c r="B151" s="397">
        <v>73760.0</v>
      </c>
      <c r="C151" s="397">
        <v>73760.0</v>
      </c>
      <c r="D151" s="396"/>
      <c r="E151" s="396"/>
      <c r="F151" s="396"/>
      <c r="G151" s="396"/>
    </row>
    <row r="152">
      <c r="A152" s="395" t="s">
        <v>32025</v>
      </c>
      <c r="B152" s="398">
        <v>307569.0</v>
      </c>
      <c r="C152" s="398">
        <v>990.0</v>
      </c>
      <c r="D152" s="398">
        <v>228633.0</v>
      </c>
      <c r="E152" s="398">
        <v>355736.0</v>
      </c>
      <c r="F152" s="398">
        <v>0.0</v>
      </c>
      <c r="G152" s="398">
        <v>-277790.0</v>
      </c>
    </row>
    <row r="153">
      <c r="A153" s="395" t="s">
        <v>32026</v>
      </c>
      <c r="B153" s="397">
        <v>25307.0</v>
      </c>
      <c r="C153" s="396"/>
      <c r="D153" s="396"/>
      <c r="E153" s="396"/>
      <c r="F153" s="396"/>
      <c r="G153" s="397">
        <v>25307.0</v>
      </c>
    </row>
    <row r="154">
      <c r="A154" s="371" t="s">
        <v>32027</v>
      </c>
      <c r="B154" s="389" t="s">
        <v>31792</v>
      </c>
      <c r="C154" s="390"/>
      <c r="D154" s="391"/>
    </row>
    <row r="155">
      <c r="A155" s="255"/>
      <c r="B155" s="256">
        <v>44954.0</v>
      </c>
      <c r="C155" s="256">
        <v>44590.0</v>
      </c>
      <c r="D155" s="256">
        <v>44226.0</v>
      </c>
    </row>
    <row r="156">
      <c r="A156" s="264" t="s">
        <v>32028</v>
      </c>
      <c r="B156" s="265"/>
      <c r="C156" s="265"/>
      <c r="D156" s="265"/>
    </row>
    <row r="157">
      <c r="A157" s="273" t="s">
        <v>32029</v>
      </c>
      <c r="B157" s="374">
        <v>293834.0</v>
      </c>
      <c r="C157" s="374">
        <v>-14436.0</v>
      </c>
      <c r="D157" s="374">
        <v>-405449.0</v>
      </c>
    </row>
    <row r="158">
      <c r="A158" s="264" t="s">
        <v>32030</v>
      </c>
      <c r="B158" s="265"/>
      <c r="C158" s="265"/>
      <c r="D158" s="265"/>
    </row>
    <row r="159">
      <c r="A159" s="273" t="s">
        <v>32031</v>
      </c>
      <c r="B159" s="369">
        <v>62169.0</v>
      </c>
      <c r="C159" s="369">
        <v>67622.0</v>
      </c>
      <c r="D159" s="369">
        <v>73698.0</v>
      </c>
    </row>
    <row r="160">
      <c r="A160" s="264" t="s">
        <v>31987</v>
      </c>
      <c r="B160" s="375">
        <v>-409493.0</v>
      </c>
      <c r="C160" s="379">
        <v>0.0</v>
      </c>
      <c r="D160" s="379">
        <v>0.0</v>
      </c>
    </row>
    <row r="161">
      <c r="A161" s="273" t="s">
        <v>32032</v>
      </c>
      <c r="B161" s="369">
        <v>4500.0</v>
      </c>
      <c r="C161" s="377">
        <v>0.0</v>
      </c>
      <c r="D161" s="377">
        <v>0.0</v>
      </c>
    </row>
    <row r="162">
      <c r="A162" s="264" t="s">
        <v>32033</v>
      </c>
      <c r="B162" s="379">
        <v>57.0</v>
      </c>
      <c r="C162" s="379">
        <v>140.0</v>
      </c>
      <c r="D162" s="379">
        <v>901.0</v>
      </c>
    </row>
    <row r="163">
      <c r="A163" s="273" t="s">
        <v>32034</v>
      </c>
      <c r="B163" s="369">
        <v>2150.0</v>
      </c>
      <c r="C163" s="377">
        <v>0.0</v>
      </c>
      <c r="D163" s="369">
        <v>34380.0</v>
      </c>
    </row>
    <row r="164">
      <c r="A164" s="264" t="s">
        <v>32035</v>
      </c>
      <c r="B164" s="379">
        <v>0.0</v>
      </c>
      <c r="C164" s="379">
        <v>0.0</v>
      </c>
      <c r="D164" s="375">
        <v>3233.0</v>
      </c>
    </row>
    <row r="165">
      <c r="A165" s="273" t="s">
        <v>32013</v>
      </c>
      <c r="B165" s="369">
        <v>7540.0</v>
      </c>
      <c r="C165" s="369">
        <v>9809.0</v>
      </c>
      <c r="D165" s="369">
        <v>9462.0</v>
      </c>
    </row>
    <row r="166">
      <c r="A166" s="264" t="s">
        <v>32036</v>
      </c>
      <c r="B166" s="375">
        <v>10868.0</v>
      </c>
      <c r="C166" s="379">
        <v>0.0</v>
      </c>
      <c r="D166" s="375">
        <v>54967.0</v>
      </c>
    </row>
    <row r="167">
      <c r="A167" s="273" t="s">
        <v>32037</v>
      </c>
      <c r="B167" s="377">
        <v>-387.0</v>
      </c>
      <c r="C167" s="377">
        <v>-496.0</v>
      </c>
      <c r="D167" s="377">
        <v>-416.0</v>
      </c>
    </row>
    <row r="168">
      <c r="A168" s="264" t="s">
        <v>32038</v>
      </c>
      <c r="B168" s="379">
        <v>0.0</v>
      </c>
      <c r="C168" s="379">
        <v>0.0</v>
      </c>
      <c r="D168" s="379">
        <v>-500.0</v>
      </c>
    </row>
    <row r="169">
      <c r="A169" s="273" t="s">
        <v>32039</v>
      </c>
      <c r="B169" s="275"/>
      <c r="C169" s="275"/>
      <c r="D169" s="275"/>
    </row>
    <row r="170">
      <c r="A170" s="264" t="s">
        <v>31914</v>
      </c>
      <c r="B170" s="379">
        <v>-630.0</v>
      </c>
      <c r="C170" s="375">
        <v>2812.0</v>
      </c>
      <c r="D170" s="375">
        <v>-3732.0</v>
      </c>
    </row>
    <row r="171">
      <c r="A171" s="273" t="s">
        <v>31916</v>
      </c>
      <c r="B171" s="377">
        <v>-75.0</v>
      </c>
      <c r="C171" s="369">
        <v>57677.0</v>
      </c>
      <c r="D171" s="369">
        <v>-108342.0</v>
      </c>
    </row>
    <row r="172">
      <c r="A172" s="264" t="s">
        <v>31919</v>
      </c>
      <c r="B172" s="375">
        <v>-59565.0</v>
      </c>
      <c r="C172" s="379">
        <v>0.0</v>
      </c>
      <c r="D172" s="379">
        <v>0.0</v>
      </c>
    </row>
    <row r="173">
      <c r="A173" s="273" t="s">
        <v>31917</v>
      </c>
      <c r="B173" s="369">
        <v>-6854.0</v>
      </c>
      <c r="C173" s="369">
        <v>-94435.0</v>
      </c>
      <c r="D173" s="369">
        <v>-44057.0</v>
      </c>
    </row>
    <row r="174">
      <c r="A174" s="264" t="s">
        <v>31942</v>
      </c>
      <c r="B174" s="375">
        <v>19852.0</v>
      </c>
      <c r="C174" s="379">
        <v>0.0</v>
      </c>
      <c r="D174" s="379">
        <v>0.0</v>
      </c>
    </row>
    <row r="175">
      <c r="A175" s="273" t="s">
        <v>32040</v>
      </c>
      <c r="B175" s="369">
        <v>-46367.0</v>
      </c>
      <c r="C175" s="369">
        <v>68304.0</v>
      </c>
      <c r="D175" s="369">
        <v>68275.0</v>
      </c>
    </row>
    <row r="176">
      <c r="A176" s="264" t="s">
        <v>32041</v>
      </c>
      <c r="B176" s="375">
        <v>-34679.0</v>
      </c>
      <c r="C176" s="375">
        <v>-7617.0</v>
      </c>
      <c r="D176" s="375">
        <v>-6046.0</v>
      </c>
    </row>
    <row r="177">
      <c r="A177" s="273" t="s">
        <v>32042</v>
      </c>
      <c r="B177" s="392">
        <v>-157080.0</v>
      </c>
      <c r="C177" s="392">
        <v>89380.0</v>
      </c>
      <c r="D177" s="392">
        <v>-323626.0</v>
      </c>
    </row>
    <row r="178">
      <c r="A178" s="264" t="s">
        <v>32043</v>
      </c>
      <c r="B178" s="265"/>
      <c r="C178" s="265"/>
      <c r="D178" s="265"/>
    </row>
    <row r="179">
      <c r="A179" s="273" t="s">
        <v>32044</v>
      </c>
      <c r="B179" s="369">
        <v>-47375.0</v>
      </c>
      <c r="C179" s="369">
        <v>-34771.0</v>
      </c>
      <c r="D179" s="369">
        <v>-16854.0</v>
      </c>
    </row>
    <row r="180">
      <c r="A180" s="264" t="s">
        <v>32045</v>
      </c>
      <c r="B180" s="375">
        <v>243387.0</v>
      </c>
      <c r="C180" s="379">
        <v>0.0</v>
      </c>
      <c r="D180" s="379">
        <v>0.0</v>
      </c>
    </row>
    <row r="181">
      <c r="A181" s="273" t="s">
        <v>32046</v>
      </c>
      <c r="B181" s="392">
        <v>196012.0</v>
      </c>
      <c r="C181" s="392">
        <v>-34771.0</v>
      </c>
      <c r="D181" s="392">
        <v>-16854.0</v>
      </c>
    </row>
    <row r="182">
      <c r="A182" s="264" t="s">
        <v>32047</v>
      </c>
      <c r="B182" s="265"/>
      <c r="C182" s="265"/>
      <c r="D182" s="265"/>
    </row>
    <row r="183">
      <c r="A183" s="273" t="s">
        <v>32048</v>
      </c>
      <c r="B183" s="369">
        <v>350470.0</v>
      </c>
      <c r="C183" s="369">
        <v>148000.0</v>
      </c>
      <c r="D183" s="369">
        <v>165000.0</v>
      </c>
    </row>
    <row r="184">
      <c r="A184" s="264" t="s">
        <v>32049</v>
      </c>
      <c r="B184" s="375">
        <v>-263470.0</v>
      </c>
      <c r="C184" s="375">
        <v>-219050.0</v>
      </c>
      <c r="D184" s="375">
        <v>-58950.0</v>
      </c>
    </row>
    <row r="185">
      <c r="A185" s="273" t="s">
        <v>32050</v>
      </c>
      <c r="B185" s="377">
        <v>0.0</v>
      </c>
      <c r="C185" s="369">
        <v>50000.0</v>
      </c>
      <c r="D185" s="369">
        <v>90000.0</v>
      </c>
    </row>
    <row r="186">
      <c r="A186" s="264" t="s">
        <v>32051</v>
      </c>
      <c r="B186" s="375">
        <v>-96737.0</v>
      </c>
      <c r="C186" s="375">
        <v>-43263.0</v>
      </c>
      <c r="D186" s="379">
        <v>0.0</v>
      </c>
    </row>
    <row r="187">
      <c r="A187" s="273" t="s">
        <v>32052</v>
      </c>
      <c r="B187" s="377">
        <v>0.0</v>
      </c>
      <c r="C187" s="377">
        <v>0.0</v>
      </c>
      <c r="D187" s="369">
        <v>2634.0</v>
      </c>
    </row>
    <row r="188">
      <c r="A188" s="264" t="s">
        <v>32053</v>
      </c>
      <c r="B188" s="379">
        <v>0.0</v>
      </c>
      <c r="C188" s="379">
        <v>-769.0</v>
      </c>
      <c r="D188" s="375">
        <v>-1864.0</v>
      </c>
    </row>
    <row r="189">
      <c r="A189" s="273" t="s">
        <v>32054</v>
      </c>
      <c r="B189" s="369">
        <v>-9646.0</v>
      </c>
      <c r="C189" s="377">
        <v>-471.0</v>
      </c>
      <c r="D189" s="369">
        <v>-6979.0</v>
      </c>
    </row>
    <row r="190">
      <c r="A190" s="264" t="s">
        <v>32055</v>
      </c>
      <c r="B190" s="375">
        <v>6899.0</v>
      </c>
      <c r="C190" s="379">
        <v>0.0</v>
      </c>
      <c r="D190" s="379">
        <v>0.0</v>
      </c>
    </row>
    <row r="191">
      <c r="A191" s="273" t="s">
        <v>32056</v>
      </c>
      <c r="B191" s="369">
        <v>-2012.0</v>
      </c>
      <c r="C191" s="369">
        <v>-3754.0</v>
      </c>
      <c r="D191" s="377">
        <v>-626.0</v>
      </c>
    </row>
    <row r="192">
      <c r="A192" s="264" t="s">
        <v>32057</v>
      </c>
      <c r="B192" s="378">
        <v>-14496.0</v>
      </c>
      <c r="C192" s="378">
        <v>-69307.0</v>
      </c>
      <c r="D192" s="378">
        <v>189215.0</v>
      </c>
    </row>
    <row r="193">
      <c r="A193" s="273" t="s">
        <v>32058</v>
      </c>
      <c r="B193" s="392">
        <v>24436.0</v>
      </c>
      <c r="C193" s="392">
        <v>-14698.0</v>
      </c>
      <c r="D193" s="392">
        <v>-151265.0</v>
      </c>
    </row>
    <row r="194">
      <c r="A194" s="264" t="s">
        <v>32059</v>
      </c>
      <c r="B194" s="375">
        <v>41176.0</v>
      </c>
      <c r="C194" s="375">
        <v>55874.0</v>
      </c>
      <c r="D194" s="375">
        <v>207139.0</v>
      </c>
    </row>
    <row r="195">
      <c r="A195" s="273" t="s">
        <v>32060</v>
      </c>
      <c r="B195" s="369">
        <v>65612.0</v>
      </c>
      <c r="C195" s="369">
        <v>41176.0</v>
      </c>
      <c r="D195" s="369">
        <v>55874.0</v>
      </c>
    </row>
    <row r="196">
      <c r="A196" s="264" t="s">
        <v>32061</v>
      </c>
      <c r="B196" s="265"/>
      <c r="C196" s="265"/>
      <c r="D196" s="265"/>
    </row>
    <row r="197">
      <c r="A197" s="273" t="s">
        <v>32062</v>
      </c>
      <c r="B197" s="369">
        <v>25121.0</v>
      </c>
      <c r="C197" s="369">
        <v>11259.0</v>
      </c>
      <c r="D197" s="369">
        <v>2676.0</v>
      </c>
    </row>
    <row r="198">
      <c r="A198" s="264" t="s">
        <v>32063</v>
      </c>
      <c r="B198" s="367">
        <v>1374.0</v>
      </c>
      <c r="C198" s="367">
        <v>573.0</v>
      </c>
      <c r="D198" s="367">
        <v>621.0</v>
      </c>
    </row>
    <row r="199">
      <c r="A199" s="371" t="s">
        <v>32064</v>
      </c>
      <c r="B199" s="246" t="s">
        <v>31792</v>
      </c>
    </row>
    <row r="200">
      <c r="A200" s="255"/>
      <c r="B200" s="256">
        <v>44954.0</v>
      </c>
    </row>
    <row r="201">
      <c r="A201" s="264" t="s">
        <v>32065</v>
      </c>
      <c r="B201" s="265"/>
    </row>
    <row r="202">
      <c r="A202" s="273" t="s">
        <v>32064</v>
      </c>
      <c r="B202" s="400" t="s">
        <v>32066</v>
      </c>
    </row>
    <row r="203">
      <c r="A203" s="371" t="s">
        <v>32067</v>
      </c>
      <c r="B203" s="246" t="s">
        <v>31792</v>
      </c>
    </row>
    <row r="204">
      <c r="A204" s="255"/>
      <c r="B204" s="256">
        <v>44954.0</v>
      </c>
    </row>
    <row r="205">
      <c r="A205" s="264" t="s">
        <v>32068</v>
      </c>
      <c r="B205" s="265"/>
    </row>
    <row r="206">
      <c r="A206" s="273" t="s">
        <v>32067</v>
      </c>
      <c r="B206" s="400" t="s">
        <v>32069</v>
      </c>
    </row>
    <row r="207">
      <c r="A207" s="371" t="s">
        <v>32070</v>
      </c>
      <c r="B207" s="246" t="s">
        <v>31792</v>
      </c>
    </row>
    <row r="208">
      <c r="A208" s="255"/>
      <c r="B208" s="256">
        <v>44954.0</v>
      </c>
    </row>
    <row r="209">
      <c r="A209" s="264" t="s">
        <v>32071</v>
      </c>
      <c r="B209" s="265"/>
    </row>
    <row r="210">
      <c r="A210" s="273" t="s">
        <v>32070</v>
      </c>
      <c r="B210" s="400" t="s">
        <v>32072</v>
      </c>
    </row>
    <row r="211">
      <c r="A211" s="371" t="s">
        <v>31934</v>
      </c>
      <c r="B211" s="246" t="s">
        <v>31792</v>
      </c>
    </row>
    <row r="212">
      <c r="A212" s="255"/>
      <c r="B212" s="256">
        <v>44954.0</v>
      </c>
    </row>
    <row r="213">
      <c r="A213" s="264" t="s">
        <v>32073</v>
      </c>
      <c r="B213" s="265"/>
    </row>
    <row r="214">
      <c r="A214" s="273" t="s">
        <v>31934</v>
      </c>
      <c r="B214" s="400" t="s">
        <v>32074</v>
      </c>
    </row>
    <row r="215">
      <c r="A215" s="371" t="s">
        <v>32075</v>
      </c>
      <c r="B215" s="246" t="s">
        <v>31792</v>
      </c>
    </row>
    <row r="216">
      <c r="A216" s="255"/>
      <c r="B216" s="256">
        <v>44954.0</v>
      </c>
    </row>
    <row r="217">
      <c r="A217" s="264" t="s">
        <v>32076</v>
      </c>
      <c r="B217" s="265"/>
    </row>
    <row r="218">
      <c r="A218" s="273" t="s">
        <v>32075</v>
      </c>
      <c r="B218" s="274" t="s">
        <v>32077</v>
      </c>
    </row>
    <row r="219">
      <c r="A219" s="371" t="s">
        <v>32078</v>
      </c>
      <c r="B219" s="246" t="s">
        <v>31792</v>
      </c>
    </row>
    <row r="220">
      <c r="A220" s="255"/>
      <c r="B220" s="256">
        <v>44954.0</v>
      </c>
    </row>
    <row r="221">
      <c r="A221" s="264" t="s">
        <v>32079</v>
      </c>
      <c r="B221" s="265"/>
    </row>
    <row r="222">
      <c r="A222" s="273" t="s">
        <v>32078</v>
      </c>
      <c r="B222" s="274" t="s">
        <v>32080</v>
      </c>
    </row>
    <row r="223">
      <c r="A223" s="371" t="s">
        <v>2</v>
      </c>
      <c r="B223" s="246" t="s">
        <v>31792</v>
      </c>
    </row>
    <row r="224">
      <c r="A224" s="255"/>
      <c r="B224" s="256">
        <v>44954.0</v>
      </c>
    </row>
    <row r="225">
      <c r="A225" s="264" t="s">
        <v>32081</v>
      </c>
      <c r="B225" s="265"/>
    </row>
    <row r="226">
      <c r="A226" s="273" t="s">
        <v>2</v>
      </c>
      <c r="B226" s="274" t="s">
        <v>32082</v>
      </c>
    </row>
    <row r="227">
      <c r="A227" s="371" t="s">
        <v>32083</v>
      </c>
      <c r="B227" s="246" t="s">
        <v>31792</v>
      </c>
    </row>
    <row r="228">
      <c r="A228" s="255"/>
      <c r="B228" s="256">
        <v>44954.0</v>
      </c>
    </row>
    <row r="229">
      <c r="A229" s="264" t="s">
        <v>32084</v>
      </c>
      <c r="B229" s="265"/>
    </row>
    <row r="230">
      <c r="A230" s="273" t="s">
        <v>32083</v>
      </c>
      <c r="B230" s="274" t="s">
        <v>32085</v>
      </c>
    </row>
    <row r="231">
      <c r="A231" s="371" t="s">
        <v>32086</v>
      </c>
      <c r="B231" s="246" t="s">
        <v>31792</v>
      </c>
    </row>
    <row r="232">
      <c r="A232" s="255"/>
      <c r="B232" s="256">
        <v>44954.0</v>
      </c>
    </row>
    <row r="233">
      <c r="A233" s="264" t="s">
        <v>32087</v>
      </c>
      <c r="B233" s="265"/>
    </row>
    <row r="234">
      <c r="A234" s="273" t="s">
        <v>32086</v>
      </c>
      <c r="B234" s="274" t="s">
        <v>32088</v>
      </c>
    </row>
    <row r="235">
      <c r="A235" s="371" t="s">
        <v>32089</v>
      </c>
      <c r="B235" s="246" t="s">
        <v>31792</v>
      </c>
    </row>
    <row r="236">
      <c r="A236" s="255"/>
      <c r="B236" s="256">
        <v>44954.0</v>
      </c>
    </row>
    <row r="237">
      <c r="A237" s="264" t="s">
        <v>32090</v>
      </c>
      <c r="B237" s="265"/>
    </row>
    <row r="238">
      <c r="A238" s="273" t="s">
        <v>32089</v>
      </c>
      <c r="B238" s="274" t="s">
        <v>32091</v>
      </c>
    </row>
    <row r="239">
      <c r="A239" s="371" t="s">
        <v>32092</v>
      </c>
      <c r="B239" s="246" t="s">
        <v>31792</v>
      </c>
    </row>
    <row r="240">
      <c r="A240" s="255"/>
      <c r="B240" s="256">
        <v>44954.0</v>
      </c>
    </row>
    <row r="241">
      <c r="A241" s="264" t="s">
        <v>32093</v>
      </c>
      <c r="B241" s="265"/>
    </row>
    <row r="242">
      <c r="A242" s="273" t="s">
        <v>32092</v>
      </c>
      <c r="B242" s="274" t="s">
        <v>32094</v>
      </c>
    </row>
    <row r="243">
      <c r="A243" s="371" t="s">
        <v>32095</v>
      </c>
      <c r="B243" s="246" t="s">
        <v>31792</v>
      </c>
    </row>
    <row r="244">
      <c r="A244" s="255"/>
      <c r="B244" s="256">
        <v>44954.0</v>
      </c>
    </row>
    <row r="245">
      <c r="A245" s="264" t="s">
        <v>32096</v>
      </c>
      <c r="B245" s="265"/>
    </row>
    <row r="246">
      <c r="A246" s="273" t="s">
        <v>32095</v>
      </c>
      <c r="B246" s="274" t="s">
        <v>32097</v>
      </c>
    </row>
    <row r="247">
      <c r="A247" s="371" t="s">
        <v>32098</v>
      </c>
      <c r="B247" s="246" t="s">
        <v>31792</v>
      </c>
    </row>
    <row r="248">
      <c r="A248" s="255"/>
      <c r="B248" s="256">
        <v>44954.0</v>
      </c>
    </row>
    <row r="249">
      <c r="A249" s="264" t="s">
        <v>32068</v>
      </c>
      <c r="B249" s="265"/>
    </row>
    <row r="250">
      <c r="A250" s="273" t="s">
        <v>32099</v>
      </c>
      <c r="B250" s="274" t="s">
        <v>32100</v>
      </c>
    </row>
    <row r="251">
      <c r="A251" s="264" t="s">
        <v>32101</v>
      </c>
      <c r="B251" s="401" t="s">
        <v>32102</v>
      </c>
    </row>
    <row r="252">
      <c r="A252" s="273" t="s">
        <v>32103</v>
      </c>
      <c r="B252" s="402" t="s">
        <v>32104</v>
      </c>
    </row>
    <row r="253">
      <c r="A253" s="264" t="s">
        <v>32105</v>
      </c>
      <c r="B253" s="401" t="s">
        <v>32106</v>
      </c>
    </row>
    <row r="254">
      <c r="A254" s="273" t="s">
        <v>32107</v>
      </c>
      <c r="B254" s="402" t="s">
        <v>32108</v>
      </c>
    </row>
    <row r="255">
      <c r="A255" s="264" t="s">
        <v>32109</v>
      </c>
      <c r="B255" s="282" t="s">
        <v>32110</v>
      </c>
    </row>
    <row r="256">
      <c r="A256" s="273" t="s">
        <v>32111</v>
      </c>
      <c r="B256" s="402" t="s">
        <v>32112</v>
      </c>
    </row>
    <row r="257">
      <c r="A257" s="264" t="s">
        <v>32113</v>
      </c>
      <c r="B257" s="282" t="s">
        <v>32114</v>
      </c>
    </row>
    <row r="258">
      <c r="A258" s="273" t="s">
        <v>31917</v>
      </c>
      <c r="B258" s="402" t="s">
        <v>32115</v>
      </c>
    </row>
    <row r="259">
      <c r="A259" s="264" t="s">
        <v>17391</v>
      </c>
      <c r="B259" s="401" t="s">
        <v>32116</v>
      </c>
    </row>
    <row r="260">
      <c r="A260" s="273" t="s">
        <v>32070</v>
      </c>
      <c r="B260" s="402" t="s">
        <v>32117</v>
      </c>
    </row>
    <row r="261">
      <c r="A261" s="264" t="s">
        <v>32118</v>
      </c>
      <c r="B261" s="401" t="s">
        <v>32119</v>
      </c>
    </row>
    <row r="262">
      <c r="A262" s="273" t="s">
        <v>32078</v>
      </c>
      <c r="B262" s="402" t="s">
        <v>32120</v>
      </c>
    </row>
    <row r="263">
      <c r="A263" s="264" t="s">
        <v>32121</v>
      </c>
      <c r="B263" s="401" t="s">
        <v>32122</v>
      </c>
    </row>
    <row r="264">
      <c r="A264" s="273" t="s">
        <v>32123</v>
      </c>
      <c r="B264" s="402" t="s">
        <v>32124</v>
      </c>
    </row>
    <row r="265">
      <c r="A265" s="264" t="s">
        <v>32125</v>
      </c>
      <c r="B265" s="401" t="s">
        <v>32126</v>
      </c>
    </row>
    <row r="266">
      <c r="A266" s="273" t="s">
        <v>32127</v>
      </c>
      <c r="B266" s="402" t="s">
        <v>32128</v>
      </c>
    </row>
    <row r="267">
      <c r="A267" s="264" t="s">
        <v>31988</v>
      </c>
      <c r="B267" s="403" t="s">
        <v>32129</v>
      </c>
    </row>
    <row r="268">
      <c r="A268" s="273" t="s">
        <v>32130</v>
      </c>
      <c r="B268" s="274" t="s">
        <v>32131</v>
      </c>
    </row>
    <row r="269">
      <c r="A269" s="264" t="s">
        <v>32092</v>
      </c>
      <c r="B269" s="404" t="s">
        <v>32132</v>
      </c>
    </row>
    <row r="270">
      <c r="A270" s="371" t="s">
        <v>32133</v>
      </c>
      <c r="B270" s="246" t="s">
        <v>31792</v>
      </c>
    </row>
    <row r="271">
      <c r="A271" s="255"/>
      <c r="B271" s="256">
        <v>44954.0</v>
      </c>
    </row>
    <row r="272">
      <c r="A272" s="264" t="s">
        <v>32065</v>
      </c>
      <c r="B272" s="265"/>
    </row>
    <row r="273">
      <c r="A273" s="273" t="s">
        <v>32134</v>
      </c>
      <c r="B273" s="274" t="s">
        <v>32135</v>
      </c>
    </row>
    <row r="274">
      <c r="A274" s="371" t="s">
        <v>32136</v>
      </c>
      <c r="B274" s="246" t="s">
        <v>31792</v>
      </c>
    </row>
    <row r="275">
      <c r="A275" s="255"/>
      <c r="B275" s="256">
        <v>44954.0</v>
      </c>
    </row>
    <row r="276">
      <c r="A276" s="264" t="s">
        <v>32068</v>
      </c>
      <c r="B276" s="265"/>
    </row>
    <row r="277">
      <c r="A277" s="273" t="s">
        <v>32137</v>
      </c>
      <c r="B277" s="405" t="s">
        <v>32138</v>
      </c>
    </row>
    <row r="278">
      <c r="A278" s="264" t="s">
        <v>32139</v>
      </c>
      <c r="B278" s="282" t="s">
        <v>32140</v>
      </c>
    </row>
    <row r="279">
      <c r="A279" s="273" t="s">
        <v>32141</v>
      </c>
      <c r="B279" s="406" t="s">
        <v>32142</v>
      </c>
    </row>
    <row r="280">
      <c r="A280" s="264" t="s">
        <v>32143</v>
      </c>
      <c r="B280" s="404" t="s">
        <v>32144</v>
      </c>
    </row>
    <row r="281">
      <c r="A281" s="273" t="s">
        <v>32145</v>
      </c>
      <c r="B281" s="274" t="s">
        <v>32146</v>
      </c>
    </row>
    <row r="282">
      <c r="A282" s="371" t="s">
        <v>32147</v>
      </c>
      <c r="B282" s="246" t="s">
        <v>31792</v>
      </c>
    </row>
    <row r="283">
      <c r="A283" s="255"/>
      <c r="B283" s="256">
        <v>44954.0</v>
      </c>
    </row>
    <row r="284">
      <c r="A284" s="264" t="s">
        <v>32071</v>
      </c>
      <c r="B284" s="265"/>
    </row>
    <row r="285">
      <c r="A285" s="273" t="s">
        <v>32070</v>
      </c>
      <c r="B285" s="405" t="s">
        <v>32148</v>
      </c>
    </row>
    <row r="286">
      <c r="A286" s="371" t="s">
        <v>32149</v>
      </c>
      <c r="B286" s="246" t="s">
        <v>31792</v>
      </c>
    </row>
    <row r="287">
      <c r="A287" s="255"/>
      <c r="B287" s="256">
        <v>44954.0</v>
      </c>
    </row>
    <row r="288">
      <c r="A288" s="264" t="s">
        <v>32073</v>
      </c>
      <c r="B288" s="265"/>
    </row>
    <row r="289">
      <c r="A289" s="273" t="s">
        <v>32118</v>
      </c>
      <c r="B289" s="405" t="s">
        <v>32150</v>
      </c>
    </row>
    <row r="290">
      <c r="A290" s="371" t="s">
        <v>32151</v>
      </c>
      <c r="B290" s="246" t="s">
        <v>31792</v>
      </c>
    </row>
    <row r="291">
      <c r="A291" s="255"/>
      <c r="B291" s="256">
        <v>44954.0</v>
      </c>
    </row>
    <row r="292">
      <c r="A292" s="264" t="s">
        <v>32076</v>
      </c>
      <c r="B292" s="265"/>
    </row>
    <row r="293">
      <c r="A293" s="273" t="s">
        <v>32152</v>
      </c>
      <c r="B293" s="405" t="s">
        <v>32153</v>
      </c>
    </row>
    <row r="294">
      <c r="A294" s="264" t="s">
        <v>32154</v>
      </c>
      <c r="B294" s="404" t="s">
        <v>32155</v>
      </c>
    </row>
    <row r="295">
      <c r="A295" s="273" t="s">
        <v>32156</v>
      </c>
      <c r="B295" s="405" t="s">
        <v>32157</v>
      </c>
    </row>
    <row r="296">
      <c r="A296" s="371" t="s">
        <v>32158</v>
      </c>
      <c r="B296" s="246" t="s">
        <v>31792</v>
      </c>
    </row>
    <row r="297">
      <c r="A297" s="255"/>
      <c r="B297" s="256">
        <v>44954.0</v>
      </c>
    </row>
    <row r="298">
      <c r="A298" s="264" t="s">
        <v>32079</v>
      </c>
      <c r="B298" s="265"/>
    </row>
    <row r="299">
      <c r="A299" s="273" t="s">
        <v>32159</v>
      </c>
      <c r="B299" s="405" t="s">
        <v>32160</v>
      </c>
    </row>
    <row r="300">
      <c r="A300" s="264" t="s">
        <v>32161</v>
      </c>
      <c r="B300" s="404" t="s">
        <v>32162</v>
      </c>
    </row>
    <row r="301">
      <c r="A301" s="273" t="s">
        <v>32163</v>
      </c>
      <c r="B301" s="405" t="s">
        <v>32164</v>
      </c>
    </row>
    <row r="302">
      <c r="A302" s="264" t="s">
        <v>32165</v>
      </c>
      <c r="B302" s="404" t="s">
        <v>32166</v>
      </c>
    </row>
    <row r="303">
      <c r="A303" s="273" t="s">
        <v>32167</v>
      </c>
      <c r="B303" s="405" t="s">
        <v>32168</v>
      </c>
    </row>
    <row r="304">
      <c r="A304" s="371" t="s">
        <v>32169</v>
      </c>
      <c r="B304" s="246" t="s">
        <v>31792</v>
      </c>
    </row>
    <row r="305">
      <c r="A305" s="255"/>
      <c r="B305" s="256">
        <v>44954.0</v>
      </c>
    </row>
    <row r="306">
      <c r="A306" s="264" t="s">
        <v>32081</v>
      </c>
      <c r="B306" s="265"/>
    </row>
    <row r="307">
      <c r="A307" s="273" t="s">
        <v>32170</v>
      </c>
      <c r="B307" s="405" t="s">
        <v>32171</v>
      </c>
    </row>
    <row r="308">
      <c r="A308" s="371" t="s">
        <v>32172</v>
      </c>
      <c r="B308" s="246" t="s">
        <v>31792</v>
      </c>
    </row>
    <row r="309">
      <c r="A309" s="255"/>
      <c r="B309" s="256">
        <v>44954.0</v>
      </c>
    </row>
    <row r="310">
      <c r="A310" s="264" t="s">
        <v>32087</v>
      </c>
      <c r="B310" s="265"/>
    </row>
    <row r="311">
      <c r="A311" s="273" t="s">
        <v>32173</v>
      </c>
      <c r="B311" s="405" t="s">
        <v>32174</v>
      </c>
    </row>
    <row r="312">
      <c r="A312" s="264" t="s">
        <v>32175</v>
      </c>
      <c r="B312" s="404" t="s">
        <v>32176</v>
      </c>
    </row>
    <row r="313">
      <c r="A313" s="273" t="s">
        <v>32177</v>
      </c>
      <c r="B313" s="405" t="s">
        <v>32178</v>
      </c>
    </row>
    <row r="314">
      <c r="A314" s="371" t="s">
        <v>32179</v>
      </c>
      <c r="B314" s="246" t="s">
        <v>31792</v>
      </c>
    </row>
    <row r="315">
      <c r="A315" s="255"/>
      <c r="B315" s="256">
        <v>44954.0</v>
      </c>
    </row>
    <row r="316">
      <c r="A316" s="264" t="s">
        <v>32090</v>
      </c>
      <c r="B316" s="265"/>
    </row>
    <row r="317">
      <c r="A317" s="273" t="s">
        <v>32180</v>
      </c>
      <c r="B317" s="405" t="s">
        <v>32181</v>
      </c>
    </row>
    <row r="318">
      <c r="A318" s="371" t="s">
        <v>32182</v>
      </c>
      <c r="B318" s="247"/>
      <c r="C318" s="246" t="s">
        <v>32183</v>
      </c>
      <c r="D318" s="389" t="s">
        <v>31792</v>
      </c>
      <c r="E318" s="390"/>
      <c r="F318" s="391"/>
      <c r="G318" s="247"/>
      <c r="H318" s="247"/>
    </row>
    <row r="319">
      <c r="A319" s="255"/>
      <c r="B319" s="246" t="s">
        <v>32184</v>
      </c>
      <c r="C319" s="246" t="s">
        <v>32185</v>
      </c>
      <c r="D319" s="246" t="s">
        <v>32186</v>
      </c>
      <c r="E319" s="246" t="s">
        <v>32187</v>
      </c>
      <c r="F319" s="246" t="s">
        <v>32188</v>
      </c>
      <c r="G319" s="407">
        <v>44903.0</v>
      </c>
      <c r="H319" s="246" t="s">
        <v>32189</v>
      </c>
    </row>
    <row r="320">
      <c r="A320" s="264" t="s">
        <v>32190</v>
      </c>
      <c r="B320" s="265"/>
      <c r="C320" s="265"/>
      <c r="D320" s="265"/>
      <c r="E320" s="265"/>
      <c r="F320" s="265"/>
      <c r="G320" s="265"/>
      <c r="H320" s="265"/>
    </row>
    <row r="321">
      <c r="A321" s="273" t="s">
        <v>32191</v>
      </c>
      <c r="B321" s="275"/>
      <c r="C321" s="275"/>
      <c r="D321" s="377">
        <v>1.0</v>
      </c>
      <c r="E321" s="275"/>
      <c r="F321" s="275"/>
      <c r="G321" s="275"/>
      <c r="H321" s="275"/>
    </row>
    <row r="322">
      <c r="A322" s="264" t="s">
        <v>32192</v>
      </c>
      <c r="B322" s="265"/>
      <c r="C322" s="265"/>
      <c r="D322" s="367">
        <v>-6100.0</v>
      </c>
      <c r="E322" s="265"/>
      <c r="F322" s="265"/>
      <c r="G322" s="265"/>
      <c r="H322" s="265"/>
    </row>
    <row r="323">
      <c r="A323" s="273" t="s">
        <v>32193</v>
      </c>
      <c r="B323" s="275"/>
      <c r="C323" s="275"/>
      <c r="D323" s="369">
        <v>-67487.0</v>
      </c>
      <c r="E323" s="374">
        <v>779.0</v>
      </c>
      <c r="F323" s="374">
        <v>-455215.0</v>
      </c>
      <c r="G323" s="275"/>
      <c r="H323" s="275"/>
    </row>
    <row r="324">
      <c r="A324" s="264" t="s">
        <v>32194</v>
      </c>
      <c r="B324" s="265"/>
      <c r="C324" s="265"/>
      <c r="D324" s="375">
        <v>-157080.0</v>
      </c>
      <c r="E324" s="375">
        <v>89380.0</v>
      </c>
      <c r="F324" s="375">
        <v>-323626.0</v>
      </c>
      <c r="G324" s="265"/>
      <c r="H324" s="265"/>
    </row>
    <row r="325">
      <c r="A325" s="273" t="s">
        <v>32195</v>
      </c>
      <c r="B325" s="275"/>
      <c r="C325" s="374">
        <v>260000.0</v>
      </c>
      <c r="D325" s="275"/>
      <c r="E325" s="275"/>
      <c r="F325" s="275"/>
      <c r="G325" s="275"/>
      <c r="H325" s="275"/>
    </row>
    <row r="326">
      <c r="A326" s="264" t="s">
        <v>32051</v>
      </c>
      <c r="B326" s="265"/>
      <c r="C326" s="265"/>
      <c r="D326" s="375">
        <v>96737.0</v>
      </c>
      <c r="E326" s="375">
        <v>43263.0</v>
      </c>
      <c r="F326" s="367">
        <v>0.0</v>
      </c>
      <c r="G326" s="265"/>
      <c r="H326" s="265"/>
    </row>
    <row r="327">
      <c r="A327" s="408" t="s">
        <v>32196</v>
      </c>
      <c r="B327" s="409"/>
      <c r="C327" s="409"/>
      <c r="D327" s="409"/>
      <c r="E327" s="409"/>
      <c r="F327" s="409"/>
      <c r="G327" s="409"/>
      <c r="H327" s="409"/>
    </row>
    <row r="328">
      <c r="A328" s="264" t="s">
        <v>32190</v>
      </c>
      <c r="B328" s="265"/>
      <c r="C328" s="265"/>
      <c r="D328" s="265"/>
      <c r="E328" s="265"/>
      <c r="F328" s="265"/>
      <c r="G328" s="265"/>
      <c r="H328" s="265"/>
    </row>
    <row r="329">
      <c r="A329" s="273" t="s">
        <v>32197</v>
      </c>
      <c r="B329" s="374">
        <v>140000.0</v>
      </c>
      <c r="C329" s="369">
        <v>140000.0</v>
      </c>
      <c r="D329" s="369">
        <v>140000.0</v>
      </c>
      <c r="E329" s="275"/>
      <c r="F329" s="275"/>
      <c r="G329" s="275"/>
      <c r="H329" s="374">
        <v>140000.0</v>
      </c>
    </row>
    <row r="330">
      <c r="A330" s="408" t="s">
        <v>32198</v>
      </c>
      <c r="B330" s="409"/>
      <c r="C330" s="409"/>
      <c r="D330" s="409"/>
      <c r="E330" s="409"/>
      <c r="F330" s="409"/>
      <c r="G330" s="409"/>
      <c r="H330" s="409"/>
    </row>
    <row r="331">
      <c r="A331" s="273" t="s">
        <v>32190</v>
      </c>
      <c r="B331" s="275"/>
      <c r="C331" s="275"/>
      <c r="D331" s="275"/>
      <c r="E331" s="275"/>
      <c r="F331" s="275"/>
      <c r="G331" s="275"/>
      <c r="H331" s="275"/>
    </row>
    <row r="332">
      <c r="A332" s="264" t="s">
        <v>32197</v>
      </c>
      <c r="B332" s="375">
        <v>90000.0</v>
      </c>
      <c r="C332" s="375">
        <v>90000.0</v>
      </c>
      <c r="D332" s="375">
        <v>90000.0</v>
      </c>
      <c r="E332" s="265"/>
      <c r="F332" s="265"/>
      <c r="G332" s="265"/>
      <c r="H332" s="375">
        <v>90000.0</v>
      </c>
    </row>
    <row r="333">
      <c r="A333" s="408" t="s">
        <v>32199</v>
      </c>
      <c r="B333" s="409"/>
      <c r="C333" s="409"/>
      <c r="D333" s="409"/>
      <c r="E333" s="409"/>
      <c r="F333" s="409"/>
      <c r="G333" s="409"/>
      <c r="H333" s="409"/>
    </row>
    <row r="334">
      <c r="A334" s="264" t="s">
        <v>32190</v>
      </c>
      <c r="B334" s="265"/>
      <c r="C334" s="265"/>
      <c r="D334" s="265"/>
      <c r="E334" s="265"/>
      <c r="F334" s="265"/>
      <c r="G334" s="265"/>
      <c r="H334" s="265"/>
    </row>
    <row r="335">
      <c r="A335" s="273" t="s">
        <v>32197</v>
      </c>
      <c r="B335" s="369">
        <v>90000.0</v>
      </c>
      <c r="C335" s="369">
        <v>90000.0</v>
      </c>
      <c r="D335" s="369">
        <v>90000.0</v>
      </c>
      <c r="E335" s="275"/>
      <c r="F335" s="275"/>
      <c r="G335" s="275"/>
      <c r="H335" s="275"/>
    </row>
    <row r="336">
      <c r="A336" s="264" t="s">
        <v>32051</v>
      </c>
      <c r="B336" s="265"/>
      <c r="C336" s="375">
        <v>90000.0</v>
      </c>
      <c r="D336" s="265"/>
      <c r="E336" s="265"/>
      <c r="F336" s="265"/>
      <c r="G336" s="265"/>
      <c r="H336" s="265"/>
    </row>
    <row r="337">
      <c r="A337" s="408" t="s">
        <v>32200</v>
      </c>
      <c r="B337" s="409"/>
      <c r="C337" s="409"/>
      <c r="D337" s="409"/>
      <c r="E337" s="409"/>
      <c r="F337" s="409"/>
      <c r="G337" s="409"/>
      <c r="H337" s="409"/>
    </row>
    <row r="338">
      <c r="A338" s="264" t="s">
        <v>32190</v>
      </c>
      <c r="B338" s="265"/>
      <c r="C338" s="265"/>
      <c r="D338" s="265"/>
      <c r="E338" s="265"/>
      <c r="F338" s="265"/>
      <c r="G338" s="265"/>
      <c r="H338" s="265"/>
    </row>
    <row r="339">
      <c r="A339" s="273" t="s">
        <v>32197</v>
      </c>
      <c r="B339" s="275"/>
      <c r="C339" s="275"/>
      <c r="D339" s="275"/>
      <c r="E339" s="275"/>
      <c r="F339" s="275"/>
      <c r="G339" s="275"/>
      <c r="H339" s="369">
        <v>50000.0</v>
      </c>
    </row>
    <row r="340">
      <c r="A340" s="264" t="s">
        <v>32201</v>
      </c>
      <c r="B340" s="375">
        <v>50000.0</v>
      </c>
      <c r="C340" s="375">
        <v>50000.0</v>
      </c>
      <c r="D340" s="265"/>
      <c r="E340" s="265"/>
      <c r="F340" s="265"/>
      <c r="G340" s="265"/>
      <c r="H340" s="265"/>
    </row>
    <row r="341">
      <c r="A341" s="273" t="s">
        <v>32051</v>
      </c>
      <c r="B341" s="275"/>
      <c r="C341" s="275"/>
      <c r="D341" s="275"/>
      <c r="E341" s="374">
        <v>43300.0</v>
      </c>
      <c r="F341" s="275"/>
      <c r="G341" s="275"/>
      <c r="H341" s="275"/>
    </row>
    <row r="342">
      <c r="A342" s="408" t="s">
        <v>32202</v>
      </c>
      <c r="B342" s="409"/>
      <c r="C342" s="409"/>
      <c r="D342" s="409"/>
      <c r="E342" s="409"/>
      <c r="F342" s="409"/>
      <c r="G342" s="409"/>
      <c r="H342" s="409"/>
    </row>
    <row r="343">
      <c r="A343" s="273" t="s">
        <v>32190</v>
      </c>
      <c r="B343" s="275"/>
      <c r="C343" s="275"/>
      <c r="D343" s="275"/>
      <c r="E343" s="275"/>
      <c r="F343" s="275"/>
      <c r="G343" s="275"/>
      <c r="H343" s="275"/>
    </row>
    <row r="344">
      <c r="A344" s="264" t="s">
        <v>32203</v>
      </c>
      <c r="B344" s="375">
        <v>290000.0</v>
      </c>
      <c r="C344" s="375">
        <v>290000.0</v>
      </c>
      <c r="D344" s="375">
        <v>290000.0</v>
      </c>
      <c r="E344" s="265"/>
      <c r="F344" s="265"/>
      <c r="G344" s="265"/>
      <c r="H344" s="265"/>
    </row>
    <row r="345">
      <c r="A345" s="273" t="s">
        <v>32204</v>
      </c>
      <c r="B345" s="374">
        <v>40000.0</v>
      </c>
      <c r="C345" s="369">
        <v>40000.0</v>
      </c>
      <c r="D345" s="369">
        <v>40000.0</v>
      </c>
      <c r="E345" s="275"/>
      <c r="F345" s="275"/>
      <c r="G345" s="275"/>
      <c r="H345" s="275"/>
    </row>
    <row r="346">
      <c r="A346" s="408" t="s">
        <v>32205</v>
      </c>
      <c r="B346" s="409"/>
      <c r="C346" s="409"/>
      <c r="D346" s="409"/>
      <c r="E346" s="409"/>
      <c r="F346" s="409"/>
      <c r="G346" s="409"/>
      <c r="H346" s="409"/>
    </row>
    <row r="347">
      <c r="A347" s="273" t="s">
        <v>32190</v>
      </c>
      <c r="B347" s="275"/>
      <c r="C347" s="275"/>
      <c r="D347" s="275"/>
      <c r="E347" s="275"/>
      <c r="F347" s="275"/>
      <c r="G347" s="275"/>
      <c r="H347" s="275"/>
    </row>
    <row r="348">
      <c r="A348" s="264" t="s">
        <v>32203</v>
      </c>
      <c r="B348" s="265"/>
      <c r="C348" s="367">
        <v>250000.0</v>
      </c>
      <c r="D348" s="367">
        <v>250000.0</v>
      </c>
      <c r="E348" s="265"/>
      <c r="F348" s="265"/>
      <c r="G348" s="265"/>
      <c r="H348" s="367">
        <v>250000.0</v>
      </c>
    </row>
    <row r="349">
      <c r="A349" s="408" t="s">
        <v>32206</v>
      </c>
      <c r="B349" s="409"/>
      <c r="C349" s="409"/>
      <c r="D349" s="409"/>
      <c r="E349" s="409"/>
      <c r="F349" s="409"/>
      <c r="G349" s="409"/>
      <c r="H349" s="409"/>
    </row>
    <row r="350">
      <c r="A350" s="264" t="s">
        <v>32190</v>
      </c>
      <c r="B350" s="265"/>
      <c r="C350" s="265"/>
      <c r="D350" s="265"/>
      <c r="E350" s="265"/>
      <c r="F350" s="265"/>
      <c r="G350" s="265"/>
      <c r="H350" s="265"/>
    </row>
    <row r="351">
      <c r="A351" s="273" t="s">
        <v>32207</v>
      </c>
      <c r="B351" s="275"/>
      <c r="C351" s="410">
        <v>0.4</v>
      </c>
      <c r="D351" s="410">
        <v>0.4</v>
      </c>
      <c r="E351" s="275"/>
      <c r="F351" s="275"/>
      <c r="G351" s="410">
        <v>0.4</v>
      </c>
      <c r="H351" s="275"/>
    </row>
    <row r="352">
      <c r="A352" s="408" t="s">
        <v>32208</v>
      </c>
      <c r="B352" s="409"/>
      <c r="C352" s="409"/>
      <c r="D352" s="409"/>
      <c r="E352" s="409"/>
      <c r="F352" s="409"/>
      <c r="G352" s="409"/>
      <c r="H352" s="409"/>
    </row>
    <row r="353">
      <c r="A353" s="273" t="s">
        <v>32190</v>
      </c>
      <c r="B353" s="275"/>
      <c r="C353" s="275"/>
      <c r="D353" s="275"/>
      <c r="E353" s="275"/>
      <c r="F353" s="275"/>
      <c r="G353" s="275"/>
      <c r="H353" s="275"/>
    </row>
    <row r="354">
      <c r="A354" s="264" t="s">
        <v>32209</v>
      </c>
      <c r="B354" s="265"/>
      <c r="C354" s="379">
        <v>553.0</v>
      </c>
      <c r="D354" s="379">
        <v>553.0</v>
      </c>
      <c r="E354" s="265"/>
      <c r="F354" s="265"/>
      <c r="G354" s="265"/>
      <c r="H354" s="265"/>
    </row>
    <row r="355">
      <c r="A355" s="408" t="s">
        <v>52</v>
      </c>
      <c r="B355" s="409"/>
      <c r="C355" s="409"/>
      <c r="D355" s="409"/>
      <c r="E355" s="409"/>
      <c r="F355" s="409"/>
      <c r="G355" s="409"/>
      <c r="H355" s="409"/>
    </row>
    <row r="356">
      <c r="A356" s="264" t="s">
        <v>32190</v>
      </c>
      <c r="B356" s="265"/>
      <c r="C356" s="265"/>
      <c r="D356" s="265"/>
      <c r="E356" s="265"/>
      <c r="F356" s="265"/>
      <c r="G356" s="265"/>
      <c r="H356" s="265"/>
    </row>
    <row r="357">
      <c r="A357" s="273" t="s">
        <v>32209</v>
      </c>
      <c r="B357" s="275"/>
      <c r="C357" s="377">
        <v>355.0</v>
      </c>
      <c r="D357" s="377">
        <v>355.0</v>
      </c>
      <c r="E357" s="275"/>
      <c r="F357" s="275"/>
      <c r="G357" s="275"/>
      <c r="H357" s="275"/>
    </row>
    <row r="358">
      <c r="A358" s="408" t="s">
        <v>32210</v>
      </c>
      <c r="B358" s="409"/>
      <c r="C358" s="409"/>
      <c r="D358" s="409"/>
      <c r="E358" s="409"/>
      <c r="F358" s="409"/>
      <c r="G358" s="409"/>
      <c r="H358" s="409"/>
    </row>
    <row r="359">
      <c r="A359" s="273" t="s">
        <v>32190</v>
      </c>
      <c r="B359" s="275"/>
      <c r="C359" s="275"/>
      <c r="D359" s="275"/>
      <c r="E359" s="275"/>
      <c r="F359" s="275"/>
      <c r="G359" s="275"/>
      <c r="H359" s="275"/>
    </row>
    <row r="360">
      <c r="A360" s="264" t="s">
        <v>32209</v>
      </c>
      <c r="B360" s="265"/>
      <c r="C360" s="379">
        <v>198.0</v>
      </c>
      <c r="D360" s="379">
        <v>198.0</v>
      </c>
      <c r="E360" s="265"/>
      <c r="F360" s="265"/>
      <c r="G360" s="265"/>
      <c r="H360" s="265"/>
    </row>
    <row r="361">
      <c r="A361" s="371" t="s">
        <v>32211</v>
      </c>
      <c r="B361" s="389" t="s">
        <v>31792</v>
      </c>
      <c r="C361" s="390"/>
      <c r="D361" s="391"/>
    </row>
    <row r="362">
      <c r="A362" s="255"/>
      <c r="B362" s="256">
        <v>44954.0</v>
      </c>
      <c r="C362" s="256">
        <v>44590.0</v>
      </c>
      <c r="D362" s="256">
        <v>44226.0</v>
      </c>
    </row>
    <row r="363">
      <c r="A363" s="264" t="s">
        <v>32212</v>
      </c>
      <c r="B363" s="265"/>
      <c r="C363" s="265"/>
      <c r="D363" s="265"/>
    </row>
    <row r="364">
      <c r="A364" s="273" t="s">
        <v>32213</v>
      </c>
      <c r="B364" s="274" t="s">
        <v>32214</v>
      </c>
      <c r="C364" s="274" t="s">
        <v>32214</v>
      </c>
      <c r="D364" s="274" t="s">
        <v>32214</v>
      </c>
    </row>
    <row r="365">
      <c r="A365" s="371" t="s">
        <v>32215</v>
      </c>
      <c r="B365" s="389" t="s">
        <v>31792</v>
      </c>
      <c r="C365" s="390"/>
      <c r="D365" s="391"/>
      <c r="E365" s="247"/>
    </row>
    <row r="366">
      <c r="A366" s="255"/>
      <c r="B366" s="256">
        <v>44954.0</v>
      </c>
      <c r="C366" s="256">
        <v>44590.0</v>
      </c>
      <c r="D366" s="256">
        <v>44226.0</v>
      </c>
      <c r="E366" s="256">
        <v>42975.0</v>
      </c>
    </row>
    <row r="367">
      <c r="A367" s="264" t="s">
        <v>32216</v>
      </c>
      <c r="B367" s="265"/>
      <c r="C367" s="265"/>
      <c r="D367" s="265"/>
      <c r="E367" s="265"/>
    </row>
    <row r="368">
      <c r="A368" s="273" t="s">
        <v>32217</v>
      </c>
      <c r="B368" s="274" t="s">
        <v>32218</v>
      </c>
      <c r="C368" s="275"/>
      <c r="D368" s="275"/>
      <c r="E368" s="275"/>
    </row>
    <row r="369">
      <c r="A369" s="264" t="s">
        <v>32219</v>
      </c>
      <c r="B369" s="367">
        <v>10100.0</v>
      </c>
      <c r="C369" s="367">
        <v>10300.0</v>
      </c>
      <c r="D369" s="265"/>
      <c r="E369" s="265"/>
    </row>
    <row r="370">
      <c r="A370" s="273" t="s">
        <v>32220</v>
      </c>
      <c r="B370" s="374">
        <v>31200.0</v>
      </c>
      <c r="C370" s="369">
        <v>29100.0</v>
      </c>
      <c r="D370" s="275"/>
      <c r="E370" s="275"/>
    </row>
    <row r="371">
      <c r="A371" s="264" t="s">
        <v>32221</v>
      </c>
      <c r="B371" s="411">
        <v>0.6</v>
      </c>
      <c r="C371" s="265"/>
      <c r="D371" s="265"/>
      <c r="E371" s="265"/>
    </row>
    <row r="372">
      <c r="A372" s="273" t="s">
        <v>32222</v>
      </c>
      <c r="B372" s="374">
        <v>10300.0</v>
      </c>
      <c r="C372" s="369">
        <v>14200.0</v>
      </c>
      <c r="D372" s="275"/>
      <c r="E372" s="275"/>
    </row>
    <row r="373">
      <c r="A373" s="264" t="s">
        <v>32223</v>
      </c>
      <c r="B373" s="367">
        <v>134900.0</v>
      </c>
      <c r="C373" s="375">
        <v>135000.0</v>
      </c>
      <c r="D373" s="367">
        <v>110600.0</v>
      </c>
      <c r="E373" s="265"/>
    </row>
    <row r="374">
      <c r="A374" s="273" t="s">
        <v>32224</v>
      </c>
      <c r="B374" s="274" t="s">
        <v>32225</v>
      </c>
      <c r="C374" s="275"/>
      <c r="D374" s="275"/>
      <c r="E374" s="275"/>
    </row>
    <row r="375">
      <c r="A375" s="264" t="s">
        <v>32226</v>
      </c>
      <c r="B375" s="367">
        <v>8000.0</v>
      </c>
      <c r="C375" s="379">
        <v>800.0</v>
      </c>
      <c r="D375" s="265"/>
      <c r="E375" s="265"/>
    </row>
    <row r="376">
      <c r="A376" s="273" t="s">
        <v>32227</v>
      </c>
      <c r="B376" s="274" t="s">
        <v>32228</v>
      </c>
      <c r="C376" s="275"/>
      <c r="D376" s="275"/>
      <c r="E376" s="275"/>
    </row>
    <row r="377">
      <c r="A377" s="264" t="s">
        <v>32229</v>
      </c>
      <c r="B377" s="367">
        <v>9000.0</v>
      </c>
      <c r="C377" s="375">
        <v>9800.0</v>
      </c>
      <c r="D377" s="265"/>
      <c r="E377" s="265"/>
    </row>
    <row r="378">
      <c r="A378" s="273" t="s">
        <v>32230</v>
      </c>
      <c r="B378" s="374">
        <v>35543.0</v>
      </c>
      <c r="C378" s="369">
        <v>35985.0</v>
      </c>
      <c r="D378" s="275"/>
      <c r="E378" s="275"/>
    </row>
    <row r="379">
      <c r="A379" s="408" t="s">
        <v>32231</v>
      </c>
      <c r="B379" s="409"/>
      <c r="C379" s="409"/>
      <c r="D379" s="409"/>
      <c r="E379" s="409"/>
    </row>
    <row r="380">
      <c r="A380" s="273" t="s">
        <v>32216</v>
      </c>
      <c r="B380" s="275"/>
      <c r="C380" s="275"/>
      <c r="D380" s="275"/>
      <c r="E380" s="275"/>
    </row>
    <row r="381">
      <c r="A381" s="264" t="s">
        <v>32207</v>
      </c>
      <c r="B381" s="411">
        <v>0.4</v>
      </c>
      <c r="C381" s="265"/>
      <c r="D381" s="265"/>
      <c r="E381" s="265"/>
    </row>
    <row r="382">
      <c r="A382" s="408" t="s">
        <v>32232</v>
      </c>
      <c r="B382" s="409"/>
      <c r="C382" s="409"/>
      <c r="D382" s="409"/>
      <c r="E382" s="409"/>
    </row>
    <row r="383">
      <c r="A383" s="264" t="s">
        <v>32216</v>
      </c>
      <c r="B383" s="265"/>
      <c r="C383" s="265"/>
      <c r="D383" s="265"/>
      <c r="E383" s="265"/>
    </row>
    <row r="384">
      <c r="A384" s="273" t="s">
        <v>32230</v>
      </c>
      <c r="B384" s="374">
        <v>25604.0</v>
      </c>
      <c r="C384" s="369">
        <v>25066.0</v>
      </c>
      <c r="D384" s="369">
        <v>23478.0</v>
      </c>
      <c r="E384" s="275"/>
    </row>
    <row r="385">
      <c r="A385" s="264" t="s">
        <v>32233</v>
      </c>
      <c r="B385" s="375">
        <v>13900.0</v>
      </c>
      <c r="C385" s="265"/>
      <c r="D385" s="375">
        <v>8200.0</v>
      </c>
      <c r="E385" s="265"/>
    </row>
    <row r="386">
      <c r="A386" s="408" t="s">
        <v>32234</v>
      </c>
      <c r="B386" s="409"/>
      <c r="C386" s="409"/>
      <c r="D386" s="409"/>
      <c r="E386" s="409"/>
    </row>
    <row r="387">
      <c r="A387" s="264" t="s">
        <v>32216</v>
      </c>
      <c r="B387" s="265"/>
      <c r="C387" s="265"/>
      <c r="D387" s="265"/>
      <c r="E387" s="265"/>
    </row>
    <row r="388">
      <c r="A388" s="273" t="s">
        <v>32233</v>
      </c>
      <c r="B388" s="369">
        <v>2878.0</v>
      </c>
      <c r="C388" s="369">
        <v>2878.0</v>
      </c>
      <c r="D388" s="275"/>
      <c r="E388" s="275"/>
    </row>
    <row r="389">
      <c r="A389" s="264" t="s">
        <v>31943</v>
      </c>
      <c r="B389" s="367">
        <v>5516.0</v>
      </c>
      <c r="C389" s="367">
        <v>8394.0</v>
      </c>
      <c r="D389" s="367">
        <v>11272.0</v>
      </c>
      <c r="E389" s="265"/>
    </row>
    <row r="390">
      <c r="A390" s="408" t="s">
        <v>32235</v>
      </c>
      <c r="B390" s="409"/>
      <c r="C390" s="409"/>
      <c r="D390" s="409"/>
      <c r="E390" s="409"/>
    </row>
    <row r="391">
      <c r="A391" s="264" t="s">
        <v>32216</v>
      </c>
      <c r="B391" s="265"/>
      <c r="C391" s="265"/>
      <c r="D391" s="265"/>
      <c r="E391" s="265"/>
    </row>
    <row r="392">
      <c r="A392" s="273" t="s">
        <v>31943</v>
      </c>
      <c r="B392" s="275"/>
      <c r="C392" s="275"/>
      <c r="D392" s="275"/>
      <c r="E392" s="374">
        <v>20000.0</v>
      </c>
    </row>
    <row r="393">
      <c r="A393" s="246" t="s">
        <v>32236</v>
      </c>
      <c r="B393" s="256">
        <v>44954.0</v>
      </c>
      <c r="C393" s="256">
        <v>44590.0</v>
      </c>
    </row>
    <row r="394">
      <c r="A394" s="408" t="s">
        <v>32237</v>
      </c>
      <c r="B394" s="409"/>
      <c r="C394" s="409"/>
    </row>
    <row r="395">
      <c r="A395" s="273" t="s">
        <v>32238</v>
      </c>
      <c r="B395" s="275"/>
      <c r="C395" s="275"/>
    </row>
    <row r="396">
      <c r="A396" s="264" t="s">
        <v>32239</v>
      </c>
      <c r="B396" s="367">
        <v>47792.0</v>
      </c>
      <c r="C396" s="367">
        <v>0.0</v>
      </c>
    </row>
    <row r="397">
      <c r="A397" s="408" t="s">
        <v>32240</v>
      </c>
      <c r="B397" s="409"/>
      <c r="C397" s="409"/>
    </row>
    <row r="398">
      <c r="A398" s="264" t="s">
        <v>32238</v>
      </c>
      <c r="B398" s="265"/>
      <c r="C398" s="265"/>
    </row>
    <row r="399">
      <c r="A399" s="273" t="s">
        <v>32239</v>
      </c>
      <c r="B399" s="377">
        <v>0.0</v>
      </c>
      <c r="C399" s="377">
        <v>0.0</v>
      </c>
    </row>
    <row r="400">
      <c r="A400" s="408" t="s">
        <v>32241</v>
      </c>
      <c r="B400" s="409"/>
      <c r="C400" s="409"/>
    </row>
    <row r="401">
      <c r="A401" s="273" t="s">
        <v>32238</v>
      </c>
      <c r="B401" s="275"/>
      <c r="C401" s="275"/>
    </row>
    <row r="402">
      <c r="A402" s="264" t="s">
        <v>32239</v>
      </c>
      <c r="B402" s="367">
        <v>0.0</v>
      </c>
      <c r="C402" s="367">
        <v>0.0</v>
      </c>
    </row>
    <row r="403">
      <c r="A403" s="371" t="s">
        <v>32242</v>
      </c>
      <c r="B403" s="246" t="s">
        <v>31792</v>
      </c>
    </row>
    <row r="404">
      <c r="A404" s="255"/>
      <c r="B404" s="256">
        <v>44954.0</v>
      </c>
    </row>
    <row r="405">
      <c r="A405" s="408" t="s">
        <v>32243</v>
      </c>
      <c r="B405" s="409"/>
    </row>
    <row r="406">
      <c r="A406" s="273" t="s">
        <v>32244</v>
      </c>
      <c r="B406" s="275"/>
    </row>
    <row r="407">
      <c r="A407" s="264" t="s">
        <v>32245</v>
      </c>
      <c r="B407" s="282" t="s">
        <v>32246</v>
      </c>
    </row>
    <row r="408">
      <c r="A408" s="408" t="s">
        <v>32247</v>
      </c>
      <c r="B408" s="409"/>
    </row>
    <row r="409">
      <c r="A409" s="264" t="s">
        <v>32244</v>
      </c>
      <c r="B409" s="265"/>
    </row>
    <row r="410">
      <c r="A410" s="273" t="s">
        <v>32245</v>
      </c>
      <c r="B410" s="274" t="s">
        <v>32248</v>
      </c>
    </row>
    <row r="411">
      <c r="A411" s="408" t="s">
        <v>32249</v>
      </c>
      <c r="B411" s="409"/>
    </row>
    <row r="412">
      <c r="A412" s="273" t="s">
        <v>32244</v>
      </c>
      <c r="B412" s="275"/>
    </row>
    <row r="413">
      <c r="A413" s="264" t="s">
        <v>32245</v>
      </c>
      <c r="B413" s="282" t="s">
        <v>32246</v>
      </c>
    </row>
    <row r="414">
      <c r="A414" s="408" t="s">
        <v>32250</v>
      </c>
      <c r="B414" s="409"/>
    </row>
    <row r="415">
      <c r="A415" s="264" t="s">
        <v>32244</v>
      </c>
      <c r="B415" s="265"/>
    </row>
    <row r="416">
      <c r="A416" s="273" t="s">
        <v>32245</v>
      </c>
      <c r="B416" s="274" t="s">
        <v>32251</v>
      </c>
    </row>
    <row r="417">
      <c r="A417" s="408" t="s">
        <v>32252</v>
      </c>
      <c r="B417" s="409"/>
    </row>
    <row r="418">
      <c r="A418" s="273" t="s">
        <v>32244</v>
      </c>
      <c r="B418" s="275"/>
    </row>
    <row r="419">
      <c r="A419" s="264" t="s">
        <v>32245</v>
      </c>
      <c r="B419" s="282" t="s">
        <v>32253</v>
      </c>
    </row>
    <row r="420">
      <c r="A420" s="408" t="s">
        <v>32254</v>
      </c>
      <c r="B420" s="409"/>
    </row>
    <row r="421">
      <c r="A421" s="264" t="s">
        <v>32244</v>
      </c>
      <c r="B421" s="265"/>
    </row>
    <row r="422">
      <c r="A422" s="273" t="s">
        <v>32245</v>
      </c>
      <c r="B422" s="274" t="s">
        <v>32248</v>
      </c>
    </row>
    <row r="423">
      <c r="A423" s="408" t="s">
        <v>32255</v>
      </c>
      <c r="B423" s="409"/>
    </row>
    <row r="424">
      <c r="A424" s="273" t="s">
        <v>32244</v>
      </c>
      <c r="B424" s="275"/>
    </row>
    <row r="425">
      <c r="A425" s="264" t="s">
        <v>32245</v>
      </c>
      <c r="B425" s="282" t="s">
        <v>32251</v>
      </c>
    </row>
    <row r="426">
      <c r="A426" s="408" t="s">
        <v>32256</v>
      </c>
      <c r="B426" s="409"/>
    </row>
    <row r="427">
      <c r="A427" s="264" t="s">
        <v>32244</v>
      </c>
      <c r="B427" s="265"/>
    </row>
    <row r="428">
      <c r="A428" s="273" t="s">
        <v>32245</v>
      </c>
      <c r="B428" s="274" t="s">
        <v>32257</v>
      </c>
    </row>
    <row r="429">
      <c r="A429" s="408" t="s">
        <v>32258</v>
      </c>
      <c r="B429" s="409"/>
    </row>
    <row r="430">
      <c r="A430" s="273" t="s">
        <v>32244</v>
      </c>
      <c r="B430" s="275"/>
    </row>
    <row r="431">
      <c r="A431" s="264" t="s">
        <v>32245</v>
      </c>
      <c r="B431" s="282" t="s">
        <v>32259</v>
      </c>
    </row>
    <row r="432">
      <c r="A432" s="371" t="s">
        <v>32260</v>
      </c>
      <c r="B432" s="389" t="s">
        <v>31792</v>
      </c>
      <c r="C432" s="390"/>
      <c r="D432" s="391"/>
    </row>
    <row r="433">
      <c r="A433" s="255"/>
      <c r="B433" s="256">
        <v>44954.0</v>
      </c>
      <c r="C433" s="256">
        <v>44590.0</v>
      </c>
      <c r="D433" s="256">
        <v>44226.0</v>
      </c>
    </row>
    <row r="434">
      <c r="A434" s="264" t="s">
        <v>32068</v>
      </c>
      <c r="B434" s="265"/>
      <c r="C434" s="265"/>
      <c r="D434" s="265"/>
    </row>
    <row r="435">
      <c r="A435" s="273" t="s">
        <v>32261</v>
      </c>
      <c r="B435" s="374">
        <v>1483.0</v>
      </c>
      <c r="C435" s="374">
        <v>0.0</v>
      </c>
      <c r="D435" s="374">
        <v>25117.0</v>
      </c>
    </row>
    <row r="436">
      <c r="A436" s="264" t="s">
        <v>32262</v>
      </c>
      <c r="B436" s="379">
        <v>667.0</v>
      </c>
      <c r="C436" s="379">
        <v>0.0</v>
      </c>
      <c r="D436" s="375">
        <v>9263.0</v>
      </c>
    </row>
    <row r="437">
      <c r="A437" s="273" t="s">
        <v>32263</v>
      </c>
      <c r="B437" s="387">
        <v>2150.0</v>
      </c>
      <c r="C437" s="387">
        <v>0.0</v>
      </c>
      <c r="D437" s="387">
        <v>34380.0</v>
      </c>
    </row>
    <row r="438">
      <c r="A438" s="371" t="s">
        <v>32264</v>
      </c>
      <c r="B438" s="389" t="s">
        <v>31792</v>
      </c>
      <c r="C438" s="390"/>
      <c r="D438" s="391"/>
    </row>
    <row r="439">
      <c r="A439" s="255"/>
      <c r="B439" s="256">
        <v>44954.0</v>
      </c>
      <c r="C439" s="256">
        <v>44590.0</v>
      </c>
      <c r="D439" s="256">
        <v>44226.0</v>
      </c>
    </row>
    <row r="440">
      <c r="A440" s="264" t="s">
        <v>32216</v>
      </c>
      <c r="B440" s="265"/>
      <c r="C440" s="265"/>
      <c r="D440" s="265"/>
    </row>
    <row r="441">
      <c r="A441" s="273" t="s">
        <v>31978</v>
      </c>
      <c r="B441" s="374">
        <v>1864182.0</v>
      </c>
      <c r="C441" s="374">
        <v>1870296.0</v>
      </c>
      <c r="D441" s="374">
        <v>1208374.0</v>
      </c>
    </row>
    <row r="442">
      <c r="A442" s="408" t="s">
        <v>17318</v>
      </c>
      <c r="B442" s="409"/>
      <c r="C442" s="409"/>
      <c r="D442" s="409"/>
    </row>
    <row r="443">
      <c r="A443" s="273" t="s">
        <v>32216</v>
      </c>
      <c r="B443" s="275"/>
      <c r="C443" s="275"/>
      <c r="D443" s="275"/>
    </row>
    <row r="444">
      <c r="A444" s="264" t="s">
        <v>31978</v>
      </c>
      <c r="B444" s="375">
        <v>1667833.0</v>
      </c>
      <c r="C444" s="375">
        <v>1652706.0</v>
      </c>
      <c r="D444" s="375">
        <v>1033140.0</v>
      </c>
    </row>
    <row r="445">
      <c r="A445" s="408" t="s">
        <v>32265</v>
      </c>
      <c r="B445" s="409"/>
      <c r="C445" s="409"/>
      <c r="D445" s="409"/>
    </row>
    <row r="446">
      <c r="A446" s="264" t="s">
        <v>32216</v>
      </c>
      <c r="B446" s="265"/>
      <c r="C446" s="265"/>
      <c r="D446" s="265"/>
    </row>
    <row r="447">
      <c r="A447" s="273" t="s">
        <v>31978</v>
      </c>
      <c r="B447" s="369">
        <v>144356.0</v>
      </c>
      <c r="C447" s="369">
        <v>168211.0</v>
      </c>
      <c r="D447" s="369">
        <v>132069.0</v>
      </c>
    </row>
    <row r="448">
      <c r="A448" s="408" t="s">
        <v>32266</v>
      </c>
      <c r="B448" s="409"/>
      <c r="C448" s="409"/>
      <c r="D448" s="409"/>
    </row>
    <row r="449">
      <c r="A449" s="273" t="s">
        <v>32216</v>
      </c>
      <c r="B449" s="275"/>
      <c r="C449" s="275"/>
      <c r="D449" s="275"/>
    </row>
    <row r="450">
      <c r="A450" s="264" t="s">
        <v>31978</v>
      </c>
      <c r="B450" s="375">
        <v>51993.0</v>
      </c>
      <c r="C450" s="375">
        <v>49379.0</v>
      </c>
      <c r="D450" s="375">
        <v>43165.0</v>
      </c>
    </row>
    <row r="451">
      <c r="A451" s="408" t="s">
        <v>52</v>
      </c>
      <c r="B451" s="409"/>
      <c r="C451" s="409"/>
      <c r="D451" s="409"/>
    </row>
    <row r="452">
      <c r="A452" s="264" t="s">
        <v>32216</v>
      </c>
      <c r="B452" s="265"/>
      <c r="C452" s="265"/>
      <c r="D452" s="265"/>
    </row>
    <row r="453">
      <c r="A453" s="273" t="s">
        <v>31978</v>
      </c>
      <c r="B453" s="369">
        <v>1314647.0</v>
      </c>
      <c r="C453" s="369">
        <v>1339091.0</v>
      </c>
      <c r="D453" s="369">
        <v>860613.0</v>
      </c>
    </row>
    <row r="454">
      <c r="A454" s="408" t="s">
        <v>32210</v>
      </c>
      <c r="B454" s="409"/>
      <c r="C454" s="409"/>
      <c r="D454" s="409"/>
    </row>
    <row r="455">
      <c r="A455" s="273" t="s">
        <v>32216</v>
      </c>
      <c r="B455" s="275"/>
      <c r="C455" s="275"/>
      <c r="D455" s="275"/>
    </row>
    <row r="456">
      <c r="A456" s="264" t="s">
        <v>31978</v>
      </c>
      <c r="B456" s="367">
        <v>497542.0</v>
      </c>
      <c r="C456" s="367">
        <v>481826.0</v>
      </c>
      <c r="D456" s="367">
        <v>304596.0</v>
      </c>
    </row>
    <row r="457">
      <c r="A457" s="371" t="s">
        <v>32267</v>
      </c>
      <c r="B457" s="389" t="s">
        <v>31792</v>
      </c>
      <c r="C457" s="391"/>
    </row>
    <row r="458">
      <c r="A458" s="255"/>
      <c r="B458" s="256">
        <v>44954.0</v>
      </c>
      <c r="C458" s="256">
        <v>44590.0</v>
      </c>
    </row>
    <row r="459">
      <c r="A459" s="264" t="s">
        <v>32268</v>
      </c>
      <c r="B459" s="265"/>
      <c r="C459" s="265"/>
    </row>
    <row r="460">
      <c r="A460" s="273" t="s">
        <v>32269</v>
      </c>
      <c r="B460" s="374">
        <v>35985.0</v>
      </c>
      <c r="C460" s="275"/>
    </row>
    <row r="461">
      <c r="A461" s="264" t="s">
        <v>32270</v>
      </c>
      <c r="B461" s="375">
        <v>35543.0</v>
      </c>
      <c r="C461" s="367">
        <v>35985.0</v>
      </c>
    </row>
    <row r="462">
      <c r="A462" s="408" t="s">
        <v>32271</v>
      </c>
      <c r="B462" s="409"/>
      <c r="C462" s="409"/>
    </row>
    <row r="463">
      <c r="A463" s="264" t="s">
        <v>32268</v>
      </c>
      <c r="B463" s="265"/>
      <c r="C463" s="265"/>
    </row>
    <row r="464">
      <c r="A464" s="273" t="s">
        <v>32269</v>
      </c>
      <c r="B464" s="369">
        <v>10918.0</v>
      </c>
      <c r="C464" s="369">
        <v>8951.0</v>
      </c>
    </row>
    <row r="465">
      <c r="A465" s="264" t="s">
        <v>32272</v>
      </c>
      <c r="B465" s="379">
        <v>-979.0</v>
      </c>
      <c r="C465" s="375">
        <v>1967.0</v>
      </c>
    </row>
    <row r="466">
      <c r="A466" s="273" t="s">
        <v>32270</v>
      </c>
      <c r="B466" s="374">
        <v>9939.0</v>
      </c>
      <c r="C466" s="374">
        <v>10918.0</v>
      </c>
    </row>
    <row r="467">
      <c r="A467" s="371" t="s">
        <v>32273</v>
      </c>
      <c r="B467" s="389" t="s">
        <v>31792</v>
      </c>
      <c r="C467" s="391"/>
    </row>
    <row r="468">
      <c r="A468" s="255"/>
      <c r="B468" s="256">
        <v>44954.0</v>
      </c>
      <c r="C468" s="256">
        <v>44590.0</v>
      </c>
    </row>
    <row r="469">
      <c r="A469" s="264" t="s">
        <v>32268</v>
      </c>
      <c r="B469" s="265"/>
      <c r="C469" s="265"/>
    </row>
    <row r="470">
      <c r="A470" s="273" t="s">
        <v>32269</v>
      </c>
      <c r="B470" s="374">
        <v>35985.0</v>
      </c>
      <c r="C470" s="275"/>
    </row>
    <row r="471">
      <c r="A471" s="264" t="s">
        <v>32270</v>
      </c>
      <c r="B471" s="375">
        <v>35543.0</v>
      </c>
      <c r="C471" s="367">
        <v>35985.0</v>
      </c>
    </row>
    <row r="472">
      <c r="A472" s="408" t="s">
        <v>32232</v>
      </c>
      <c r="B472" s="409"/>
      <c r="C472" s="409"/>
    </row>
    <row r="473">
      <c r="A473" s="264" t="s">
        <v>32268</v>
      </c>
      <c r="B473" s="265"/>
      <c r="C473" s="265"/>
    </row>
    <row r="474">
      <c r="A474" s="273" t="s">
        <v>32269</v>
      </c>
      <c r="B474" s="369">
        <v>25066.0</v>
      </c>
      <c r="C474" s="369">
        <v>23478.0</v>
      </c>
    </row>
    <row r="475">
      <c r="A475" s="264" t="s">
        <v>32270</v>
      </c>
      <c r="B475" s="375">
        <v>25604.0</v>
      </c>
      <c r="C475" s="375">
        <v>25066.0</v>
      </c>
    </row>
    <row r="476">
      <c r="A476" s="408" t="s">
        <v>32274</v>
      </c>
      <c r="B476" s="409"/>
      <c r="C476" s="409"/>
    </row>
    <row r="477">
      <c r="A477" s="264" t="s">
        <v>32268</v>
      </c>
      <c r="B477" s="265"/>
      <c r="C477" s="265"/>
    </row>
    <row r="478">
      <c r="A478" s="273" t="s">
        <v>32275</v>
      </c>
      <c r="B478" s="369">
        <v>30780.0</v>
      </c>
      <c r="C478" s="369">
        <v>31339.0</v>
      </c>
    </row>
    <row r="479">
      <c r="A479" s="408" t="s">
        <v>32276</v>
      </c>
      <c r="B479" s="409"/>
      <c r="C479" s="409"/>
    </row>
    <row r="480">
      <c r="A480" s="273" t="s">
        <v>32268</v>
      </c>
      <c r="B480" s="275"/>
      <c r="C480" s="275"/>
    </row>
    <row r="481">
      <c r="A481" s="264" t="s">
        <v>32275</v>
      </c>
      <c r="B481" s="375">
        <v>-27303.0</v>
      </c>
      <c r="C481" s="375">
        <v>-27218.0</v>
      </c>
    </row>
    <row r="482">
      <c r="A482" s="408" t="s">
        <v>32277</v>
      </c>
      <c r="B482" s="409"/>
      <c r="C482" s="409"/>
    </row>
    <row r="483">
      <c r="A483" s="264" t="s">
        <v>32268</v>
      </c>
      <c r="B483" s="265"/>
      <c r="C483" s="265"/>
    </row>
    <row r="484">
      <c r="A484" s="273" t="s">
        <v>32275</v>
      </c>
      <c r="B484" s="374">
        <v>-2939.0</v>
      </c>
      <c r="C484" s="374">
        <v>-2533.0</v>
      </c>
    </row>
    <row r="485">
      <c r="A485" s="371" t="s">
        <v>32278</v>
      </c>
      <c r="B485" s="389" t="s">
        <v>31792</v>
      </c>
      <c r="C485" s="391"/>
    </row>
    <row r="486">
      <c r="A486" s="255"/>
      <c r="B486" s="256">
        <v>44954.0</v>
      </c>
      <c r="C486" s="256">
        <v>44590.0</v>
      </c>
    </row>
    <row r="487">
      <c r="A487" s="264" t="s">
        <v>32268</v>
      </c>
      <c r="B487" s="265"/>
      <c r="C487" s="265"/>
    </row>
    <row r="488">
      <c r="A488" s="273" t="s">
        <v>32279</v>
      </c>
      <c r="B488" s="374">
        <v>8394.0</v>
      </c>
      <c r="C488" s="374">
        <v>11272.0</v>
      </c>
    </row>
    <row r="489">
      <c r="A489" s="264" t="s">
        <v>32280</v>
      </c>
      <c r="B489" s="375">
        <v>-2878.0</v>
      </c>
      <c r="C489" s="375">
        <v>-2878.0</v>
      </c>
    </row>
    <row r="490">
      <c r="A490" s="273" t="s">
        <v>32281</v>
      </c>
      <c r="B490" s="374">
        <v>5516.0</v>
      </c>
      <c r="C490" s="374">
        <v>8394.0</v>
      </c>
    </row>
    <row r="491">
      <c r="A491" s="371" t="s">
        <v>32282</v>
      </c>
      <c r="B491" s="389" t="s">
        <v>31792</v>
      </c>
      <c r="C491" s="390"/>
      <c r="D491" s="391"/>
    </row>
    <row r="492">
      <c r="A492" s="255"/>
      <c r="B492" s="256">
        <v>44954.0</v>
      </c>
      <c r="C492" s="256">
        <v>44590.0</v>
      </c>
      <c r="D492" s="256">
        <v>44226.0</v>
      </c>
    </row>
    <row r="493">
      <c r="A493" s="264" t="s">
        <v>32244</v>
      </c>
      <c r="B493" s="265"/>
      <c r="C493" s="265"/>
      <c r="D493" s="265"/>
    </row>
    <row r="494">
      <c r="A494" s="273" t="s">
        <v>32283</v>
      </c>
      <c r="B494" s="374">
        <v>1019577.0</v>
      </c>
      <c r="C494" s="374">
        <v>975802.0</v>
      </c>
      <c r="D494" s="275"/>
    </row>
    <row r="495">
      <c r="A495" s="264" t="s">
        <v>31929</v>
      </c>
      <c r="B495" s="375">
        <v>-886193.0</v>
      </c>
      <c r="C495" s="375">
        <v>-827820.0</v>
      </c>
      <c r="D495" s="265"/>
    </row>
    <row r="496">
      <c r="A496" s="273" t="s">
        <v>31930</v>
      </c>
      <c r="B496" s="369">
        <v>133384.0</v>
      </c>
      <c r="C496" s="369">
        <v>147982.0</v>
      </c>
      <c r="D496" s="275"/>
    </row>
    <row r="497">
      <c r="A497" s="264" t="s">
        <v>32284</v>
      </c>
      <c r="B497" s="375">
        <v>61500.0</v>
      </c>
      <c r="C497" s="375">
        <v>66500.0</v>
      </c>
      <c r="D497" s="367">
        <v>76100.0</v>
      </c>
    </row>
    <row r="498">
      <c r="A498" s="408" t="s">
        <v>32285</v>
      </c>
      <c r="B498" s="409"/>
      <c r="C498" s="409"/>
      <c r="D498" s="409"/>
    </row>
    <row r="499">
      <c r="A499" s="264" t="s">
        <v>32244</v>
      </c>
      <c r="B499" s="265"/>
      <c r="C499" s="265"/>
      <c r="D499" s="265"/>
    </row>
    <row r="500">
      <c r="A500" s="273" t="s">
        <v>32283</v>
      </c>
      <c r="B500" s="369">
        <v>16312.0</v>
      </c>
      <c r="C500" s="369">
        <v>16206.0</v>
      </c>
      <c r="D500" s="275"/>
    </row>
    <row r="501">
      <c r="A501" s="408" t="s">
        <v>32286</v>
      </c>
      <c r="B501" s="409"/>
      <c r="C501" s="409"/>
      <c r="D501" s="409"/>
    </row>
    <row r="502">
      <c r="A502" s="273" t="s">
        <v>32244</v>
      </c>
      <c r="B502" s="275"/>
      <c r="C502" s="275"/>
      <c r="D502" s="275"/>
    </row>
    <row r="503">
      <c r="A503" s="264" t="s">
        <v>32283</v>
      </c>
      <c r="B503" s="375">
        <v>582205.0</v>
      </c>
      <c r="C503" s="375">
        <v>557130.0</v>
      </c>
      <c r="D503" s="265"/>
    </row>
    <row r="504">
      <c r="A504" s="408" t="s">
        <v>32255</v>
      </c>
      <c r="B504" s="409"/>
      <c r="C504" s="409"/>
      <c r="D504" s="409"/>
    </row>
    <row r="505">
      <c r="A505" s="264" t="s">
        <v>32244</v>
      </c>
      <c r="B505" s="265"/>
      <c r="C505" s="265"/>
      <c r="D505" s="265"/>
    </row>
    <row r="506">
      <c r="A506" s="273" t="s">
        <v>32283</v>
      </c>
      <c r="B506" s="369">
        <v>402598.0</v>
      </c>
      <c r="C506" s="369">
        <v>393221.0</v>
      </c>
      <c r="D506" s="275"/>
    </row>
    <row r="507">
      <c r="A507" s="408" t="s">
        <v>32287</v>
      </c>
      <c r="B507" s="409"/>
      <c r="C507" s="409"/>
      <c r="D507" s="409"/>
    </row>
    <row r="508">
      <c r="A508" s="273" t="s">
        <v>32244</v>
      </c>
      <c r="B508" s="275"/>
      <c r="C508" s="275"/>
      <c r="D508" s="275"/>
    </row>
    <row r="509">
      <c r="A509" s="264" t="s">
        <v>32283</v>
      </c>
      <c r="B509" s="375">
        <v>17652.0</v>
      </c>
      <c r="C509" s="375">
        <v>8433.0</v>
      </c>
      <c r="D509" s="265"/>
    </row>
    <row r="510">
      <c r="A510" s="408" t="s">
        <v>31922</v>
      </c>
      <c r="B510" s="409"/>
      <c r="C510" s="409"/>
      <c r="D510" s="409"/>
    </row>
    <row r="511">
      <c r="A511" s="264" t="s">
        <v>32244</v>
      </c>
      <c r="B511" s="265"/>
      <c r="C511" s="265"/>
      <c r="D511" s="265"/>
    </row>
    <row r="512">
      <c r="A512" s="273" t="s">
        <v>32283</v>
      </c>
      <c r="B512" s="374">
        <v>810.0</v>
      </c>
      <c r="C512" s="374">
        <v>812.0</v>
      </c>
      <c r="D512" s="275"/>
    </row>
    <row r="513">
      <c r="A513" s="246" t="s">
        <v>32288</v>
      </c>
      <c r="B513" s="256">
        <v>44954.0</v>
      </c>
      <c r="C513" s="256">
        <v>44590.0</v>
      </c>
    </row>
    <row r="514">
      <c r="A514" s="264" t="s">
        <v>32289</v>
      </c>
      <c r="B514" s="265"/>
      <c r="C514" s="265"/>
    </row>
    <row r="515">
      <c r="A515" s="273" t="s">
        <v>31934</v>
      </c>
      <c r="B515" s="374">
        <v>166106.0</v>
      </c>
      <c r="C515" s="374">
        <v>0.0</v>
      </c>
    </row>
    <row r="516">
      <c r="A516" s="408" t="s">
        <v>32231</v>
      </c>
      <c r="B516" s="409"/>
      <c r="C516" s="409"/>
    </row>
    <row r="517">
      <c r="A517" s="273" t="s">
        <v>32289</v>
      </c>
      <c r="B517" s="275"/>
      <c r="C517" s="275"/>
    </row>
    <row r="518">
      <c r="A518" s="264" t="s">
        <v>31934</v>
      </c>
      <c r="B518" s="367">
        <v>166106.0</v>
      </c>
      <c r="C518" s="265"/>
    </row>
    <row r="519">
      <c r="A519" s="273" t="s">
        <v>32207</v>
      </c>
      <c r="B519" s="410">
        <v>0.4</v>
      </c>
      <c r="C519" s="275"/>
    </row>
    <row r="520">
      <c r="A520" s="371" t="s">
        <v>32290</v>
      </c>
      <c r="B520" s="247"/>
      <c r="C520" s="247"/>
      <c r="D520" s="389" t="s">
        <v>32183</v>
      </c>
      <c r="E520" s="391"/>
      <c r="F520" s="246" t="s">
        <v>31792</v>
      </c>
      <c r="G520" s="247"/>
    </row>
    <row r="521">
      <c r="A521" s="255"/>
      <c r="B521" s="256">
        <v>44951.0</v>
      </c>
      <c r="C521" s="407">
        <v>44903.0</v>
      </c>
      <c r="D521" s="256">
        <v>44590.0</v>
      </c>
      <c r="E521" s="256">
        <v>44135.0</v>
      </c>
      <c r="F521" s="256">
        <v>44954.0</v>
      </c>
      <c r="G521" s="256">
        <v>42763.0</v>
      </c>
    </row>
    <row r="522">
      <c r="A522" s="264" t="s">
        <v>32289</v>
      </c>
      <c r="B522" s="265"/>
      <c r="C522" s="265"/>
      <c r="D522" s="265"/>
      <c r="E522" s="265"/>
      <c r="F522" s="265"/>
      <c r="G522" s="265"/>
    </row>
    <row r="523">
      <c r="A523" s="273" t="s">
        <v>32224</v>
      </c>
      <c r="B523" s="275"/>
      <c r="C523" s="275"/>
      <c r="D523" s="275"/>
      <c r="E523" s="275"/>
      <c r="F523" s="274" t="s">
        <v>32225</v>
      </c>
      <c r="G523" s="275"/>
    </row>
    <row r="524">
      <c r="A524" s="264" t="s">
        <v>32221</v>
      </c>
      <c r="B524" s="265"/>
      <c r="C524" s="265"/>
      <c r="D524" s="265"/>
      <c r="E524" s="265"/>
      <c r="F524" s="411">
        <v>0.6</v>
      </c>
      <c r="G524" s="265"/>
    </row>
    <row r="525">
      <c r="A525" s="273" t="s">
        <v>31934</v>
      </c>
      <c r="B525" s="275"/>
      <c r="C525" s="275"/>
      <c r="D525" s="374">
        <v>0.0</v>
      </c>
      <c r="E525" s="275"/>
      <c r="F525" s="374">
        <v>1.66106E8</v>
      </c>
      <c r="G525" s="275"/>
    </row>
    <row r="526">
      <c r="A526" s="264" t="s">
        <v>32291</v>
      </c>
      <c r="B526" s="282" t="s">
        <v>32251</v>
      </c>
      <c r="C526" s="265"/>
      <c r="D526" s="265"/>
      <c r="E526" s="265"/>
      <c r="F526" s="265"/>
      <c r="G526" s="265"/>
    </row>
    <row r="527">
      <c r="A527" s="273" t="s">
        <v>32292</v>
      </c>
      <c r="B527" s="274" t="s">
        <v>32251</v>
      </c>
      <c r="C527" s="275"/>
      <c r="D527" s="275"/>
      <c r="E527" s="275"/>
      <c r="F527" s="275"/>
      <c r="G527" s="275"/>
    </row>
    <row r="528">
      <c r="A528" s="264" t="s">
        <v>32293</v>
      </c>
      <c r="B528" s="282" t="s">
        <v>32294</v>
      </c>
      <c r="C528" s="265"/>
      <c r="D528" s="265"/>
      <c r="E528" s="265"/>
      <c r="F528" s="265"/>
      <c r="G528" s="265"/>
    </row>
    <row r="529">
      <c r="A529" s="273" t="s">
        <v>32295</v>
      </c>
      <c r="B529" s="374">
        <v>6.0E7</v>
      </c>
      <c r="C529" s="275"/>
      <c r="D529" s="275"/>
      <c r="E529" s="275"/>
      <c r="F529" s="275"/>
      <c r="G529" s="275"/>
    </row>
    <row r="530">
      <c r="A530" s="264" t="s">
        <v>32296</v>
      </c>
      <c r="B530" s="367">
        <v>1000000.0</v>
      </c>
      <c r="C530" s="265"/>
      <c r="D530" s="265"/>
      <c r="E530" s="265"/>
      <c r="F530" s="265"/>
      <c r="G530" s="265"/>
    </row>
    <row r="531">
      <c r="A531" s="273" t="s">
        <v>32297</v>
      </c>
      <c r="B531" s="274" t="s">
        <v>32253</v>
      </c>
      <c r="C531" s="275"/>
      <c r="D531" s="275"/>
      <c r="E531" s="275"/>
      <c r="F531" s="275"/>
      <c r="G531" s="275"/>
    </row>
    <row r="532">
      <c r="A532" s="264" t="s">
        <v>32298</v>
      </c>
      <c r="B532" s="367">
        <v>6.5E7</v>
      </c>
      <c r="C532" s="265"/>
      <c r="D532" s="265"/>
      <c r="E532" s="265"/>
      <c r="F532" s="265"/>
      <c r="G532" s="265"/>
    </row>
    <row r="533">
      <c r="A533" s="273" t="s">
        <v>32299</v>
      </c>
      <c r="B533" s="410">
        <v>0.0325</v>
      </c>
      <c r="C533" s="275"/>
      <c r="D533" s="275"/>
      <c r="E533" s="275"/>
      <c r="F533" s="275"/>
      <c r="G533" s="275"/>
    </row>
    <row r="534">
      <c r="A534" s="264" t="s">
        <v>32300</v>
      </c>
      <c r="B534" s="411">
        <v>0.035</v>
      </c>
      <c r="C534" s="265"/>
      <c r="D534" s="265"/>
      <c r="E534" s="265"/>
      <c r="F534" s="265"/>
      <c r="G534" s="265"/>
    </row>
    <row r="535">
      <c r="A535" s="273" t="s">
        <v>32301</v>
      </c>
      <c r="B535" s="410">
        <v>0.08</v>
      </c>
      <c r="C535" s="275"/>
      <c r="D535" s="275"/>
      <c r="E535" s="275"/>
      <c r="F535" s="275"/>
      <c r="G535" s="275"/>
    </row>
    <row r="536">
      <c r="A536" s="264" t="s">
        <v>32302</v>
      </c>
      <c r="B536" s="265"/>
      <c r="C536" s="265"/>
      <c r="D536" s="265"/>
      <c r="E536" s="265"/>
      <c r="F536" s="375">
        <v>6.0E7</v>
      </c>
      <c r="G536" s="265"/>
    </row>
    <row r="537">
      <c r="A537" s="408" t="s">
        <v>32303</v>
      </c>
      <c r="B537" s="409"/>
      <c r="C537" s="409"/>
      <c r="D537" s="409"/>
      <c r="E537" s="409"/>
      <c r="F537" s="409"/>
      <c r="G537" s="409"/>
    </row>
    <row r="538">
      <c r="A538" s="264" t="s">
        <v>32289</v>
      </c>
      <c r="B538" s="265"/>
      <c r="C538" s="265"/>
      <c r="D538" s="265"/>
      <c r="E538" s="265"/>
      <c r="F538" s="265"/>
      <c r="G538" s="265"/>
    </row>
    <row r="539">
      <c r="A539" s="273" t="s">
        <v>32304</v>
      </c>
      <c r="B539" s="369">
        <v>5400.0</v>
      </c>
      <c r="C539" s="369">
        <v>5400.0</v>
      </c>
      <c r="D539" s="275"/>
      <c r="E539" s="275"/>
      <c r="F539" s="275"/>
      <c r="G539" s="275"/>
    </row>
    <row r="540">
      <c r="A540" s="264" t="s">
        <v>32305</v>
      </c>
      <c r="B540" s="394">
        <v>4.6</v>
      </c>
      <c r="C540" s="394">
        <v>4.6</v>
      </c>
      <c r="D540" s="265"/>
      <c r="E540" s="265"/>
      <c r="F540" s="265"/>
      <c r="G540" s="265"/>
    </row>
    <row r="541">
      <c r="A541" s="273" t="s">
        <v>32306</v>
      </c>
      <c r="B541" s="275"/>
      <c r="C541" s="410">
        <v>0.074</v>
      </c>
      <c r="D541" s="275"/>
      <c r="E541" s="275"/>
      <c r="F541" s="275"/>
      <c r="G541" s="275"/>
    </row>
    <row r="542">
      <c r="A542" s="264" t="s">
        <v>32307</v>
      </c>
      <c r="B542" s="265"/>
      <c r="C542" s="265"/>
      <c r="D542" s="265"/>
      <c r="E542" s="265"/>
      <c r="F542" s="375">
        <v>1.78E7</v>
      </c>
      <c r="G542" s="265"/>
    </row>
    <row r="543">
      <c r="A543" s="408" t="s">
        <v>32308</v>
      </c>
      <c r="B543" s="409"/>
      <c r="C543" s="409"/>
      <c r="D543" s="409"/>
      <c r="E543" s="409"/>
      <c r="F543" s="409"/>
      <c r="G543" s="409"/>
    </row>
    <row r="544">
      <c r="A544" s="264" t="s">
        <v>32289</v>
      </c>
      <c r="B544" s="265"/>
      <c r="C544" s="265"/>
      <c r="D544" s="265"/>
      <c r="E544" s="265"/>
      <c r="F544" s="265"/>
      <c r="G544" s="265"/>
    </row>
    <row r="545">
      <c r="A545" s="273" t="s">
        <v>31934</v>
      </c>
      <c r="B545" s="275"/>
      <c r="C545" s="275"/>
      <c r="D545" s="275"/>
      <c r="E545" s="275"/>
      <c r="F545" s="275"/>
      <c r="G545" s="374">
        <v>1.01E7</v>
      </c>
    </row>
    <row r="546">
      <c r="A546" s="264" t="s">
        <v>32309</v>
      </c>
      <c r="B546" s="265"/>
      <c r="C546" s="265"/>
      <c r="D546" s="265"/>
      <c r="E546" s="367">
        <v>1500000.0</v>
      </c>
      <c r="F546" s="265"/>
      <c r="G546" s="265"/>
    </row>
    <row r="547">
      <c r="A547" s="273" t="s">
        <v>32310</v>
      </c>
      <c r="B547" s="275"/>
      <c r="C547" s="275"/>
      <c r="D547" s="374">
        <v>300000.0</v>
      </c>
      <c r="E547" s="275"/>
      <c r="F547" s="374">
        <v>1200000.0</v>
      </c>
      <c r="G547" s="275"/>
    </row>
    <row r="548">
      <c r="A548" s="408" t="s">
        <v>32206</v>
      </c>
      <c r="B548" s="409"/>
      <c r="C548" s="409"/>
      <c r="D548" s="409"/>
      <c r="E548" s="409"/>
      <c r="F548" s="409"/>
      <c r="G548" s="409"/>
    </row>
    <row r="549">
      <c r="A549" s="273" t="s">
        <v>32289</v>
      </c>
      <c r="B549" s="275"/>
      <c r="C549" s="275"/>
      <c r="D549" s="275"/>
      <c r="E549" s="275"/>
      <c r="F549" s="275"/>
      <c r="G549" s="275"/>
    </row>
    <row r="550">
      <c r="A550" s="264" t="s">
        <v>32221</v>
      </c>
      <c r="B550" s="265"/>
      <c r="C550" s="411">
        <v>0.6</v>
      </c>
      <c r="D550" s="265"/>
      <c r="E550" s="265"/>
      <c r="F550" s="265"/>
      <c r="G550" s="265"/>
    </row>
    <row r="551">
      <c r="A551" s="273" t="s">
        <v>32207</v>
      </c>
      <c r="B551" s="275"/>
      <c r="C551" s="410">
        <v>0.4</v>
      </c>
      <c r="D551" s="275"/>
      <c r="E551" s="275"/>
      <c r="F551" s="410">
        <v>0.4</v>
      </c>
      <c r="G551" s="275"/>
    </row>
    <row r="552">
      <c r="A552" s="264" t="s">
        <v>31934</v>
      </c>
      <c r="B552" s="265"/>
      <c r="C552" s="367">
        <v>1.567E8</v>
      </c>
      <c r="D552" s="265"/>
      <c r="E552" s="265"/>
      <c r="F552" s="265"/>
      <c r="G552" s="265"/>
    </row>
    <row r="553">
      <c r="A553" s="273" t="s">
        <v>32311</v>
      </c>
      <c r="B553" s="275"/>
      <c r="C553" s="369">
        <v>9400000.0</v>
      </c>
      <c r="D553" s="275"/>
      <c r="E553" s="275"/>
      <c r="F553" s="275"/>
      <c r="G553" s="275"/>
    </row>
    <row r="554">
      <c r="A554" s="408" t="s">
        <v>32312</v>
      </c>
      <c r="B554" s="409"/>
      <c r="C554" s="409"/>
      <c r="D554" s="409"/>
      <c r="E554" s="409"/>
      <c r="F554" s="409"/>
      <c r="G554" s="409"/>
    </row>
    <row r="555">
      <c r="A555" s="273" t="s">
        <v>32289</v>
      </c>
      <c r="B555" s="275"/>
      <c r="C555" s="275"/>
      <c r="D555" s="275"/>
      <c r="E555" s="275"/>
      <c r="F555" s="275"/>
      <c r="G555" s="275"/>
    </row>
    <row r="556">
      <c r="A556" s="264" t="s">
        <v>32313</v>
      </c>
      <c r="B556" s="265"/>
      <c r="C556" s="379">
        <v>0.0</v>
      </c>
      <c r="D556" s="265"/>
      <c r="E556" s="265"/>
      <c r="F556" s="265"/>
      <c r="G556" s="265"/>
    </row>
    <row r="557">
      <c r="A557" s="273" t="s">
        <v>32314</v>
      </c>
      <c r="B557" s="275"/>
      <c r="C557" s="369">
        <v>3.917E8</v>
      </c>
      <c r="D557" s="275"/>
      <c r="E557" s="275"/>
      <c r="F557" s="275"/>
      <c r="G557" s="275"/>
    </row>
    <row r="558">
      <c r="A558" s="408" t="s">
        <v>32315</v>
      </c>
      <c r="B558" s="409"/>
      <c r="C558" s="409"/>
      <c r="D558" s="409"/>
      <c r="E558" s="409"/>
      <c r="F558" s="409"/>
      <c r="G558" s="409"/>
    </row>
    <row r="559">
      <c r="A559" s="273" t="s">
        <v>32289</v>
      </c>
      <c r="B559" s="275"/>
      <c r="C559" s="275"/>
      <c r="D559" s="275"/>
      <c r="E559" s="275"/>
      <c r="F559" s="275"/>
      <c r="G559" s="275"/>
    </row>
    <row r="560">
      <c r="A560" s="264" t="s">
        <v>32316</v>
      </c>
      <c r="B560" s="265"/>
      <c r="C560" s="367">
        <v>2.35E8</v>
      </c>
      <c r="D560" s="265"/>
      <c r="E560" s="265"/>
      <c r="F560" s="265"/>
      <c r="G560" s="265"/>
    </row>
    <row r="561">
      <c r="A561" s="371" t="s">
        <v>32317</v>
      </c>
      <c r="B561" s="246" t="s">
        <v>31792</v>
      </c>
      <c r="C561" s="247"/>
    </row>
    <row r="562">
      <c r="A562" s="255"/>
      <c r="B562" s="246" t="s">
        <v>32318</v>
      </c>
      <c r="C562" s="246" t="s">
        <v>32187</v>
      </c>
    </row>
    <row r="563">
      <c r="A563" s="264" t="s">
        <v>32319</v>
      </c>
      <c r="B563" s="265"/>
      <c r="C563" s="265"/>
    </row>
    <row r="564">
      <c r="A564" s="273" t="s">
        <v>32320</v>
      </c>
      <c r="B564" s="388">
        <v>6.2</v>
      </c>
      <c r="C564" s="388">
        <v>7.7</v>
      </c>
    </row>
    <row r="565">
      <c r="A565" s="408" t="s">
        <v>32321</v>
      </c>
      <c r="B565" s="409"/>
      <c r="C565" s="409"/>
    </row>
    <row r="566">
      <c r="A566" s="273" t="s">
        <v>32319</v>
      </c>
      <c r="B566" s="275"/>
      <c r="C566" s="275"/>
    </row>
    <row r="567">
      <c r="A567" s="264" t="s">
        <v>32322</v>
      </c>
      <c r="B567" s="379">
        <v>1.0</v>
      </c>
      <c r="C567" s="265"/>
    </row>
    <row r="568">
      <c r="A568" s="273" t="s">
        <v>32323</v>
      </c>
      <c r="B568" s="274" t="s">
        <v>32253</v>
      </c>
      <c r="C568" s="275"/>
    </row>
    <row r="569">
      <c r="A569" s="408" t="s">
        <v>32324</v>
      </c>
      <c r="B569" s="409"/>
      <c r="C569" s="409"/>
    </row>
    <row r="570">
      <c r="A570" s="273" t="s">
        <v>32319</v>
      </c>
      <c r="B570" s="275"/>
      <c r="C570" s="275"/>
    </row>
    <row r="571">
      <c r="A571" s="264" t="s">
        <v>32325</v>
      </c>
      <c r="B571" s="282" t="s">
        <v>32253</v>
      </c>
      <c r="C571" s="265"/>
    </row>
    <row r="572">
      <c r="A572" s="408" t="s">
        <v>32326</v>
      </c>
      <c r="B572" s="409"/>
      <c r="C572" s="409"/>
    </row>
    <row r="573">
      <c r="A573" s="264" t="s">
        <v>32319</v>
      </c>
      <c r="B573" s="265"/>
      <c r="C573" s="265"/>
    </row>
    <row r="574">
      <c r="A574" s="273" t="s">
        <v>32325</v>
      </c>
      <c r="B574" s="274" t="s">
        <v>32246</v>
      </c>
      <c r="C574" s="275"/>
    </row>
    <row r="575">
      <c r="A575" s="408" t="s">
        <v>32327</v>
      </c>
      <c r="B575" s="409"/>
      <c r="C575" s="409"/>
    </row>
    <row r="576">
      <c r="A576" s="273" t="s">
        <v>32319</v>
      </c>
      <c r="B576" s="275"/>
      <c r="C576" s="275"/>
    </row>
    <row r="577">
      <c r="A577" s="264" t="s">
        <v>32325</v>
      </c>
      <c r="B577" s="282" t="s">
        <v>32251</v>
      </c>
      <c r="C577" s="265"/>
    </row>
    <row r="578">
      <c r="A578" s="408" t="s">
        <v>32328</v>
      </c>
      <c r="B578" s="409"/>
      <c r="C578" s="409"/>
    </row>
    <row r="579">
      <c r="A579" s="264" t="s">
        <v>32319</v>
      </c>
      <c r="B579" s="265"/>
      <c r="C579" s="265"/>
    </row>
    <row r="580">
      <c r="A580" s="273" t="s">
        <v>32325</v>
      </c>
      <c r="B580" s="274" t="s">
        <v>32253</v>
      </c>
      <c r="C580" s="275"/>
    </row>
    <row r="581">
      <c r="A581" s="371" t="s">
        <v>32329</v>
      </c>
      <c r="B581" s="389" t="s">
        <v>31792</v>
      </c>
      <c r="C581" s="390"/>
      <c r="D581" s="391"/>
    </row>
    <row r="582">
      <c r="A582" s="255"/>
      <c r="B582" s="256">
        <v>44954.0</v>
      </c>
      <c r="C582" s="256">
        <v>44590.0</v>
      </c>
      <c r="D582" s="256">
        <v>44226.0</v>
      </c>
    </row>
    <row r="583">
      <c r="A583" s="264" t="s">
        <v>32076</v>
      </c>
      <c r="B583" s="265"/>
      <c r="C583" s="265"/>
      <c r="D583" s="265"/>
    </row>
    <row r="584">
      <c r="A584" s="273" t="s">
        <v>32330</v>
      </c>
      <c r="B584" s="374">
        <v>220682.0</v>
      </c>
      <c r="C584" s="374">
        <v>234911.0</v>
      </c>
      <c r="D584" s="374">
        <v>272896.0</v>
      </c>
    </row>
    <row r="585">
      <c r="A585" s="264" t="s">
        <v>32331</v>
      </c>
      <c r="B585" s="375">
        <v>63516.0</v>
      </c>
      <c r="C585" s="375">
        <v>45355.0</v>
      </c>
      <c r="D585" s="375">
        <v>60925.0</v>
      </c>
    </row>
    <row r="586">
      <c r="A586" s="273" t="s">
        <v>32332</v>
      </c>
      <c r="B586" s="387">
        <v>284198.0</v>
      </c>
      <c r="C586" s="387">
        <v>280266.0</v>
      </c>
      <c r="D586" s="387">
        <v>333821.0</v>
      </c>
    </row>
    <row r="587">
      <c r="A587" s="371" t="s">
        <v>32333</v>
      </c>
      <c r="B587" s="389" t="s">
        <v>31792</v>
      </c>
      <c r="C587" s="390"/>
      <c r="D587" s="391"/>
    </row>
    <row r="588">
      <c r="A588" s="255"/>
      <c r="B588" s="256">
        <v>44954.0</v>
      </c>
      <c r="C588" s="256">
        <v>44590.0</v>
      </c>
      <c r="D588" s="256">
        <v>44226.0</v>
      </c>
    </row>
    <row r="589">
      <c r="A589" s="264" t="s">
        <v>32076</v>
      </c>
      <c r="B589" s="265"/>
      <c r="C589" s="265"/>
      <c r="D589" s="265"/>
    </row>
    <row r="590">
      <c r="A590" s="273" t="s">
        <v>32334</v>
      </c>
      <c r="B590" s="374">
        <v>253197.0</v>
      </c>
      <c r="C590" s="374">
        <v>296353.0</v>
      </c>
      <c r="D590" s="374">
        <v>197824.0</v>
      </c>
    </row>
    <row r="591">
      <c r="A591" s="264" t="s">
        <v>32335</v>
      </c>
      <c r="B591" s="367">
        <v>45136.0</v>
      </c>
      <c r="C591" s="367">
        <v>44952.0</v>
      </c>
      <c r="D591" s="367">
        <v>44433.0</v>
      </c>
    </row>
    <row r="592">
      <c r="A592" s="246" t="s">
        <v>32336</v>
      </c>
      <c r="B592" s="256">
        <v>44954.0</v>
      </c>
      <c r="C592" s="256">
        <v>44590.0</v>
      </c>
      <c r="D592" s="256">
        <v>44226.0</v>
      </c>
    </row>
    <row r="593">
      <c r="A593" s="264" t="s">
        <v>32076</v>
      </c>
      <c r="B593" s="265"/>
      <c r="C593" s="265"/>
      <c r="D593" s="265"/>
    </row>
    <row r="594">
      <c r="A594" s="273" t="s">
        <v>32337</v>
      </c>
      <c r="B594" s="274" t="s">
        <v>32338</v>
      </c>
      <c r="C594" s="274" t="s">
        <v>32339</v>
      </c>
      <c r="D594" s="274" t="s">
        <v>32340</v>
      </c>
    </row>
    <row r="595">
      <c r="A595" s="264" t="s">
        <v>32341</v>
      </c>
      <c r="B595" s="411">
        <v>0.069</v>
      </c>
      <c r="C595" s="411">
        <v>0.065</v>
      </c>
      <c r="D595" s="411">
        <v>0.054</v>
      </c>
    </row>
    <row r="596">
      <c r="A596" s="246" t="s">
        <v>32342</v>
      </c>
      <c r="B596" s="256">
        <v>44954.0</v>
      </c>
      <c r="C596" s="256">
        <v>44590.0</v>
      </c>
    </row>
    <row r="597">
      <c r="A597" s="264" t="s">
        <v>32076</v>
      </c>
      <c r="B597" s="265"/>
      <c r="C597" s="265"/>
    </row>
    <row r="598">
      <c r="A598" s="273">
        <v>2023.0</v>
      </c>
      <c r="B598" s="374">
        <v>209072.0</v>
      </c>
      <c r="C598" s="275"/>
    </row>
    <row r="599">
      <c r="A599" s="264">
        <v>2024.0</v>
      </c>
      <c r="B599" s="375">
        <v>177265.0</v>
      </c>
      <c r="C599" s="265"/>
    </row>
    <row r="600">
      <c r="A600" s="273">
        <v>2025.0</v>
      </c>
      <c r="B600" s="369">
        <v>132509.0</v>
      </c>
      <c r="C600" s="275"/>
    </row>
    <row r="601">
      <c r="A601" s="264">
        <v>2026.0</v>
      </c>
      <c r="B601" s="375">
        <v>78104.0</v>
      </c>
      <c r="C601" s="265"/>
    </row>
    <row r="602">
      <c r="A602" s="273">
        <v>2027.0</v>
      </c>
      <c r="B602" s="369">
        <v>45314.0</v>
      </c>
      <c r="C602" s="275"/>
    </row>
    <row r="603">
      <c r="A603" s="264" t="s">
        <v>32343</v>
      </c>
      <c r="B603" s="375">
        <v>33809.0</v>
      </c>
      <c r="C603" s="265"/>
    </row>
    <row r="604">
      <c r="A604" s="273" t="s">
        <v>32344</v>
      </c>
      <c r="B604" s="392">
        <v>676073.0</v>
      </c>
      <c r="C604" s="412"/>
    </row>
    <row r="605">
      <c r="A605" s="264" t="s">
        <v>32345</v>
      </c>
      <c r="B605" s="375">
        <v>80619.0</v>
      </c>
      <c r="C605" s="265"/>
    </row>
    <row r="606">
      <c r="A606" s="273" t="s">
        <v>32346</v>
      </c>
      <c r="B606" s="392">
        <v>595454.0</v>
      </c>
      <c r="C606" s="412"/>
    </row>
    <row r="607">
      <c r="A607" s="264" t="s">
        <v>32347</v>
      </c>
      <c r="B607" s="375">
        <v>189006.0</v>
      </c>
      <c r="C607" s="367">
        <v>196628.0</v>
      </c>
    </row>
    <row r="608">
      <c r="A608" s="273" t="s">
        <v>32348</v>
      </c>
      <c r="B608" s="374">
        <v>406448.0</v>
      </c>
      <c r="C608" s="374">
        <v>536905.0</v>
      </c>
    </row>
    <row r="609">
      <c r="A609" s="371" t="s">
        <v>32349</v>
      </c>
      <c r="B609" s="389" t="s">
        <v>31792</v>
      </c>
      <c r="C609" s="390"/>
      <c r="D609" s="391"/>
    </row>
    <row r="610">
      <c r="A610" s="255"/>
      <c r="B610" s="256">
        <v>44954.0</v>
      </c>
      <c r="C610" s="256">
        <v>44590.0</v>
      </c>
      <c r="D610" s="256">
        <v>44226.0</v>
      </c>
    </row>
    <row r="611">
      <c r="A611" s="264" t="s">
        <v>32350</v>
      </c>
      <c r="B611" s="265"/>
      <c r="C611" s="265"/>
      <c r="D611" s="265"/>
    </row>
    <row r="612">
      <c r="A612" s="273" t="s">
        <v>32351</v>
      </c>
      <c r="B612" s="374">
        <v>8273.0</v>
      </c>
      <c r="C612" s="374">
        <v>-239.0</v>
      </c>
      <c r="D612" s="374">
        <v>-109627.0</v>
      </c>
    </row>
    <row r="613">
      <c r="A613" s="264" t="s">
        <v>32352</v>
      </c>
      <c r="B613" s="375">
        <v>1312.0</v>
      </c>
      <c r="C613" s="379">
        <v>554.0</v>
      </c>
      <c r="D613" s="375">
        <v>-1240.0</v>
      </c>
    </row>
    <row r="614">
      <c r="A614" s="273" t="s">
        <v>32000</v>
      </c>
      <c r="B614" s="392">
        <v>9585.0</v>
      </c>
      <c r="C614" s="413">
        <v>315.0</v>
      </c>
      <c r="D614" s="392">
        <v>-110867.0</v>
      </c>
    </row>
    <row r="615">
      <c r="A615" s="264" t="s">
        <v>32353</v>
      </c>
      <c r="B615" s="265"/>
      <c r="C615" s="265"/>
      <c r="D615" s="265"/>
    </row>
    <row r="616">
      <c r="A616" s="273" t="s">
        <v>32351</v>
      </c>
      <c r="B616" s="369">
        <v>3546.0</v>
      </c>
      <c r="C616" s="377">
        <v>0.0</v>
      </c>
      <c r="D616" s="369">
        <v>37292.0</v>
      </c>
    </row>
    <row r="617">
      <c r="A617" s="264" t="s">
        <v>32352</v>
      </c>
      <c r="B617" s="375">
        <v>7322.0</v>
      </c>
      <c r="C617" s="379">
        <v>0.0</v>
      </c>
      <c r="D617" s="375">
        <v>17675.0</v>
      </c>
    </row>
    <row r="618">
      <c r="A618" s="273" t="s">
        <v>32000</v>
      </c>
      <c r="B618" s="392">
        <v>10868.0</v>
      </c>
      <c r="C618" s="413">
        <v>0.0</v>
      </c>
      <c r="D618" s="392">
        <v>54967.0</v>
      </c>
    </row>
    <row r="619">
      <c r="A619" s="264" t="s">
        <v>32354</v>
      </c>
      <c r="B619" s="414">
        <v>20453.0</v>
      </c>
      <c r="C619" s="414">
        <v>315.0</v>
      </c>
      <c r="D619" s="414">
        <v>-55900.0</v>
      </c>
    </row>
    <row r="620">
      <c r="A620" s="371" t="s">
        <v>32355</v>
      </c>
      <c r="B620" s="389" t="s">
        <v>31792</v>
      </c>
      <c r="C620" s="390"/>
      <c r="D620" s="391"/>
    </row>
    <row r="621">
      <c r="A621" s="255"/>
      <c r="B621" s="256">
        <v>44954.0</v>
      </c>
      <c r="C621" s="256">
        <v>44590.0</v>
      </c>
      <c r="D621" s="256">
        <v>44226.0</v>
      </c>
    </row>
    <row r="622">
      <c r="A622" s="264" t="s">
        <v>32079</v>
      </c>
      <c r="B622" s="265"/>
      <c r="C622" s="265"/>
      <c r="D622" s="265"/>
    </row>
    <row r="623">
      <c r="A623" s="273" t="s">
        <v>32356</v>
      </c>
      <c r="B623" s="410">
        <v>0.21</v>
      </c>
      <c r="C623" s="410">
        <v>0.21</v>
      </c>
      <c r="D623" s="410">
        <v>0.21</v>
      </c>
    </row>
    <row r="624">
      <c r="A624" s="264" t="s">
        <v>32357</v>
      </c>
      <c r="B624" s="411">
        <v>0.064</v>
      </c>
      <c r="C624" s="411">
        <v>-0.05</v>
      </c>
      <c r="D624" s="411">
        <v>0.052</v>
      </c>
    </row>
    <row r="625">
      <c r="A625" s="273" t="s">
        <v>32358</v>
      </c>
      <c r="B625" s="410">
        <v>0.004</v>
      </c>
      <c r="C625" s="410">
        <v>0.008</v>
      </c>
      <c r="D625" s="410">
        <v>0.001</v>
      </c>
    </row>
    <row r="626">
      <c r="A626" s="264" t="s">
        <v>32013</v>
      </c>
      <c r="B626" s="411">
        <v>0.001</v>
      </c>
      <c r="C626" s="411">
        <v>-0.032</v>
      </c>
      <c r="D626" s="411">
        <v>-0.003</v>
      </c>
    </row>
    <row r="627">
      <c r="A627" s="273" t="s">
        <v>32359</v>
      </c>
      <c r="B627" s="410">
        <v>0.006</v>
      </c>
      <c r="C627" s="410">
        <v>-0.226</v>
      </c>
      <c r="D627" s="410">
        <v>-0.002</v>
      </c>
    </row>
    <row r="628">
      <c r="A628" s="264" t="s">
        <v>32360</v>
      </c>
      <c r="B628" s="411">
        <v>-0.218</v>
      </c>
      <c r="C628" s="411">
        <v>0.04</v>
      </c>
      <c r="D628" s="411">
        <v>-0.229</v>
      </c>
    </row>
    <row r="629">
      <c r="A629" s="273" t="s">
        <v>32361</v>
      </c>
      <c r="B629" s="410">
        <v>0.0</v>
      </c>
      <c r="C629" s="410">
        <v>0.0</v>
      </c>
      <c r="D629" s="410">
        <v>0.091</v>
      </c>
    </row>
    <row r="630">
      <c r="A630" s="264" t="s">
        <v>32362</v>
      </c>
      <c r="B630" s="411">
        <v>-0.003</v>
      </c>
      <c r="C630" s="411">
        <v>0.037</v>
      </c>
      <c r="D630" s="411">
        <v>0.001</v>
      </c>
    </row>
    <row r="631">
      <c r="A631" s="273" t="s">
        <v>32363</v>
      </c>
      <c r="B631" s="410">
        <v>0.001</v>
      </c>
      <c r="C631" s="410">
        <v>-0.009</v>
      </c>
      <c r="D631" s="410">
        <v>0.0</v>
      </c>
    </row>
    <row r="632">
      <c r="A632" s="264" t="s">
        <v>32364</v>
      </c>
      <c r="B632" s="415">
        <v>0.065</v>
      </c>
      <c r="C632" s="415">
        <v>-0.022</v>
      </c>
      <c r="D632" s="415">
        <v>0.121</v>
      </c>
    </row>
    <row r="633">
      <c r="A633" s="246" t="s">
        <v>32365</v>
      </c>
      <c r="B633" s="256">
        <v>44954.0</v>
      </c>
      <c r="C633" s="256">
        <v>44590.0</v>
      </c>
      <c r="D633" s="256">
        <v>44226.0</v>
      </c>
      <c r="E633" s="407">
        <v>43862.0</v>
      </c>
    </row>
    <row r="634">
      <c r="A634" s="264" t="s">
        <v>32366</v>
      </c>
      <c r="B634" s="265"/>
      <c r="C634" s="265"/>
      <c r="D634" s="265"/>
      <c r="E634" s="265"/>
    </row>
    <row r="635">
      <c r="A635" s="273" t="s">
        <v>32367</v>
      </c>
      <c r="B635" s="374">
        <v>9999.0</v>
      </c>
      <c r="C635" s="374">
        <v>13693.0</v>
      </c>
      <c r="D635" s="275"/>
      <c r="E635" s="275"/>
    </row>
    <row r="636">
      <c r="A636" s="264" t="s">
        <v>32368</v>
      </c>
      <c r="B636" s="375">
        <v>161389.0</v>
      </c>
      <c r="C636" s="375">
        <v>197063.0</v>
      </c>
      <c r="D636" s="265"/>
      <c r="E636" s="265"/>
    </row>
    <row r="637">
      <c r="A637" s="273" t="s">
        <v>32369</v>
      </c>
      <c r="B637" s="369">
        <v>10851.0</v>
      </c>
      <c r="C637" s="369">
        <v>21402.0</v>
      </c>
      <c r="D637" s="275"/>
      <c r="E637" s="275"/>
    </row>
    <row r="638">
      <c r="A638" s="264" t="s">
        <v>32370</v>
      </c>
      <c r="B638" s="375">
        <v>1136.0</v>
      </c>
      <c r="C638" s="379">
        <v>0.0</v>
      </c>
      <c r="D638" s="265"/>
      <c r="E638" s="265"/>
    </row>
    <row r="639">
      <c r="A639" s="273" t="s">
        <v>31943</v>
      </c>
      <c r="B639" s="369">
        <v>5418.0</v>
      </c>
      <c r="C639" s="369">
        <v>5142.0</v>
      </c>
      <c r="D639" s="275"/>
      <c r="E639" s="275"/>
    </row>
    <row r="640">
      <c r="A640" s="264" t="s">
        <v>31922</v>
      </c>
      <c r="B640" s="379">
        <v>871.0</v>
      </c>
      <c r="C640" s="379">
        <v>986.0</v>
      </c>
      <c r="D640" s="265"/>
      <c r="E640" s="265"/>
    </row>
    <row r="641">
      <c r="A641" s="273" t="s">
        <v>32371</v>
      </c>
      <c r="B641" s="369">
        <v>17693.0</v>
      </c>
      <c r="C641" s="369">
        <v>41137.0</v>
      </c>
      <c r="D641" s="275"/>
      <c r="E641" s="275"/>
    </row>
    <row r="642">
      <c r="A642" s="264" t="s">
        <v>32372</v>
      </c>
      <c r="B642" s="375">
        <v>-41767.0</v>
      </c>
      <c r="C642" s="375">
        <v>-107669.0</v>
      </c>
      <c r="D642" s="367">
        <v>-108418.0</v>
      </c>
      <c r="E642" s="367">
        <v>-2313.0</v>
      </c>
    </row>
    <row r="643">
      <c r="A643" s="273" t="s">
        <v>32373</v>
      </c>
      <c r="B643" s="392">
        <v>165590.0</v>
      </c>
      <c r="C643" s="392">
        <v>171754.0</v>
      </c>
      <c r="D643" s="412"/>
      <c r="E643" s="412"/>
    </row>
    <row r="644">
      <c r="A644" s="264" t="s">
        <v>32374</v>
      </c>
      <c r="B644" s="265"/>
      <c r="C644" s="265"/>
      <c r="D644" s="265"/>
      <c r="E644" s="265"/>
    </row>
    <row r="645">
      <c r="A645" s="273" t="s">
        <v>32375</v>
      </c>
      <c r="B645" s="369">
        <v>2374.0</v>
      </c>
      <c r="C645" s="369">
        <v>2844.0</v>
      </c>
      <c r="D645" s="275"/>
      <c r="E645" s="275"/>
    </row>
    <row r="646">
      <c r="A646" s="264" t="s">
        <v>32370</v>
      </c>
      <c r="B646" s="379">
        <v>0.0</v>
      </c>
      <c r="C646" s="375">
        <v>1305.0</v>
      </c>
      <c r="D646" s="265"/>
      <c r="E646" s="265"/>
    </row>
    <row r="647">
      <c r="A647" s="273" t="s">
        <v>32376</v>
      </c>
      <c r="B647" s="369">
        <v>133149.0</v>
      </c>
      <c r="C647" s="369">
        <v>161105.0</v>
      </c>
      <c r="D647" s="275"/>
      <c r="E647" s="275"/>
    </row>
    <row r="648">
      <c r="A648" s="264" t="s">
        <v>32377</v>
      </c>
      <c r="B648" s="375">
        <v>36500.0</v>
      </c>
      <c r="C648" s="379">
        <v>0.0</v>
      </c>
      <c r="D648" s="265"/>
      <c r="E648" s="265"/>
    </row>
    <row r="649">
      <c r="A649" s="273" t="s">
        <v>32378</v>
      </c>
      <c r="B649" s="369">
        <v>4435.0</v>
      </c>
      <c r="C649" s="369">
        <v>6500.0</v>
      </c>
      <c r="D649" s="275"/>
      <c r="E649" s="275"/>
    </row>
    <row r="650">
      <c r="A650" s="264" t="s">
        <v>32379</v>
      </c>
      <c r="B650" s="378">
        <v>176458.0</v>
      </c>
      <c r="C650" s="378">
        <v>171754.0</v>
      </c>
      <c r="D650" s="416"/>
      <c r="E650" s="416"/>
    </row>
    <row r="651">
      <c r="A651" s="273" t="s">
        <v>32380</v>
      </c>
      <c r="B651" s="387">
        <v>-10868.0</v>
      </c>
      <c r="C651" s="387">
        <v>0.0</v>
      </c>
      <c r="D651" s="412"/>
      <c r="E651" s="412"/>
    </row>
    <row r="652">
      <c r="A652" s="371" t="s">
        <v>32381</v>
      </c>
      <c r="B652" s="389" t="s">
        <v>31792</v>
      </c>
      <c r="C652" s="390"/>
      <c r="D652" s="391"/>
    </row>
    <row r="653">
      <c r="A653" s="255"/>
      <c r="B653" s="256">
        <v>44954.0</v>
      </c>
      <c r="C653" s="256">
        <v>44590.0</v>
      </c>
      <c r="D653" s="256">
        <v>44226.0</v>
      </c>
    </row>
    <row r="654">
      <c r="A654" s="264" t="s">
        <v>32382</v>
      </c>
      <c r="B654" s="265"/>
      <c r="C654" s="265"/>
      <c r="D654" s="265"/>
    </row>
    <row r="655">
      <c r="A655" s="273" t="s">
        <v>32383</v>
      </c>
      <c r="B655" s="374">
        <v>52300.0</v>
      </c>
      <c r="C655" s="275"/>
      <c r="D655" s="275"/>
    </row>
    <row r="656">
      <c r="A656" s="264" t="s">
        <v>32384</v>
      </c>
      <c r="B656" s="375">
        <v>352000.0</v>
      </c>
      <c r="C656" s="265"/>
      <c r="D656" s="265"/>
    </row>
    <row r="657">
      <c r="A657" s="273" t="s">
        <v>32385</v>
      </c>
      <c r="B657" s="377">
        <v>100.0</v>
      </c>
      <c r="C657" s="275"/>
      <c r="D657" s="275"/>
    </row>
    <row r="658">
      <c r="A658" s="264" t="s">
        <v>32386</v>
      </c>
      <c r="B658" s="375">
        <v>2000.0</v>
      </c>
      <c r="C658" s="367">
        <v>1600.0</v>
      </c>
      <c r="D658" s="367">
        <v>1400.0</v>
      </c>
    </row>
    <row r="659">
      <c r="A659" s="273" t="s">
        <v>32387</v>
      </c>
      <c r="B659" s="377">
        <v>100.0</v>
      </c>
      <c r="C659" s="377">
        <v>-100.0</v>
      </c>
      <c r="D659" s="374">
        <v>-100.0</v>
      </c>
    </row>
    <row r="660">
      <c r="A660" s="264" t="s">
        <v>32388</v>
      </c>
      <c r="B660" s="379">
        <v>500.0</v>
      </c>
      <c r="C660" s="379">
        <v>300.0</v>
      </c>
      <c r="D660" s="265"/>
    </row>
    <row r="661">
      <c r="A661" s="273" t="s">
        <v>32389</v>
      </c>
      <c r="B661" s="377">
        <v>200.0</v>
      </c>
      <c r="C661" s="275"/>
      <c r="D661" s="275"/>
    </row>
    <row r="662">
      <c r="A662" s="408" t="s">
        <v>32390</v>
      </c>
      <c r="B662" s="409"/>
      <c r="C662" s="409"/>
      <c r="D662" s="409"/>
    </row>
    <row r="663">
      <c r="A663" s="273" t="s">
        <v>32382</v>
      </c>
      <c r="B663" s="275"/>
      <c r="C663" s="275"/>
      <c r="D663" s="275"/>
    </row>
    <row r="664">
      <c r="A664" s="264" t="s">
        <v>32391</v>
      </c>
      <c r="B664" s="379">
        <v>0.0</v>
      </c>
      <c r="C664" s="265"/>
      <c r="D664" s="265"/>
    </row>
    <row r="665">
      <c r="A665" s="273" t="s">
        <v>32392</v>
      </c>
      <c r="B665" s="377">
        <v>100.0</v>
      </c>
      <c r="C665" s="377">
        <v>100.0</v>
      </c>
      <c r="D665" s="275"/>
    </row>
    <row r="666">
      <c r="A666" s="264" t="s">
        <v>32393</v>
      </c>
      <c r="B666" s="367">
        <v>100.0</v>
      </c>
      <c r="C666" s="367">
        <v>100.0</v>
      </c>
      <c r="D666" s="265"/>
    </row>
    <row r="667">
      <c r="A667" s="371" t="s">
        <v>32394</v>
      </c>
      <c r="B667" s="389" t="s">
        <v>31792</v>
      </c>
      <c r="C667" s="390"/>
      <c r="D667" s="391"/>
    </row>
    <row r="668">
      <c r="A668" s="255"/>
      <c r="B668" s="256">
        <v>44954.0</v>
      </c>
      <c r="C668" s="256">
        <v>44590.0</v>
      </c>
      <c r="D668" s="256">
        <v>44226.0</v>
      </c>
    </row>
    <row r="669">
      <c r="A669" s="264" t="s">
        <v>32395</v>
      </c>
      <c r="B669" s="265"/>
      <c r="C669" s="265"/>
      <c r="D669" s="265"/>
    </row>
    <row r="670">
      <c r="A670" s="273" t="s">
        <v>32396</v>
      </c>
      <c r="B670" s="374">
        <v>107669.0</v>
      </c>
      <c r="C670" s="374">
        <v>108418.0</v>
      </c>
      <c r="D670" s="374">
        <v>2313.0</v>
      </c>
    </row>
    <row r="671">
      <c r="A671" s="264" t="s">
        <v>32397</v>
      </c>
      <c r="B671" s="375">
        <v>2661.0</v>
      </c>
      <c r="C671" s="379">
        <v>-228.0</v>
      </c>
      <c r="D671" s="379">
        <v>410.0</v>
      </c>
    </row>
    <row r="672">
      <c r="A672" s="273" t="s">
        <v>32398</v>
      </c>
      <c r="B672" s="369">
        <v>-68563.0</v>
      </c>
      <c r="C672" s="377">
        <v>-521.0</v>
      </c>
      <c r="D672" s="369">
        <v>105695.0</v>
      </c>
    </row>
    <row r="673">
      <c r="A673" s="264" t="s">
        <v>32399</v>
      </c>
      <c r="B673" s="367">
        <v>41767.0</v>
      </c>
      <c r="C673" s="367">
        <v>107669.0</v>
      </c>
      <c r="D673" s="367">
        <v>108418.0</v>
      </c>
    </row>
    <row r="674">
      <c r="A674" s="371" t="s">
        <v>32400</v>
      </c>
      <c r="B674" s="389" t="s">
        <v>31792</v>
      </c>
      <c r="C674" s="390"/>
      <c r="D674" s="391"/>
    </row>
    <row r="675">
      <c r="A675" s="255"/>
      <c r="B675" s="256">
        <v>44954.0</v>
      </c>
      <c r="C675" s="256">
        <v>44590.0</v>
      </c>
      <c r="D675" s="256">
        <v>44226.0</v>
      </c>
    </row>
    <row r="676">
      <c r="A676" s="264" t="s">
        <v>32401</v>
      </c>
      <c r="B676" s="265"/>
      <c r="C676" s="265"/>
      <c r="D676" s="265"/>
    </row>
    <row r="677">
      <c r="A677" s="273" t="s">
        <v>32402</v>
      </c>
      <c r="B677" s="374">
        <v>1573.0</v>
      </c>
      <c r="C677" s="374">
        <v>1388.0</v>
      </c>
      <c r="D677" s="374">
        <v>1305.0</v>
      </c>
    </row>
    <row r="678">
      <c r="A678" s="264" t="s">
        <v>32403</v>
      </c>
      <c r="B678" s="379">
        <v>335.0</v>
      </c>
      <c r="C678" s="379">
        <v>0.0</v>
      </c>
      <c r="D678" s="379">
        <v>0.0</v>
      </c>
    </row>
    <row r="679">
      <c r="A679" s="273" t="s">
        <v>32404</v>
      </c>
      <c r="B679" s="377">
        <v>174.0</v>
      </c>
      <c r="C679" s="377">
        <v>291.0</v>
      </c>
      <c r="D679" s="377">
        <v>327.0</v>
      </c>
    </row>
    <row r="680">
      <c r="A680" s="264" t="s">
        <v>32405</v>
      </c>
      <c r="B680" s="379">
        <v>0.0</v>
      </c>
      <c r="C680" s="379">
        <v>0.0</v>
      </c>
      <c r="D680" s="379">
        <v>0.0</v>
      </c>
    </row>
    <row r="681">
      <c r="A681" s="273" t="s">
        <v>32406</v>
      </c>
      <c r="B681" s="377">
        <v>0.0</v>
      </c>
      <c r="C681" s="377">
        <v>0.0</v>
      </c>
      <c r="D681" s="377">
        <v>0.0</v>
      </c>
    </row>
    <row r="682">
      <c r="A682" s="264" t="s">
        <v>32407</v>
      </c>
      <c r="B682" s="379">
        <v>-115.0</v>
      </c>
      <c r="C682" s="379">
        <v>-106.0</v>
      </c>
      <c r="D682" s="379">
        <v>-244.0</v>
      </c>
    </row>
    <row r="683">
      <c r="A683" s="273" t="s">
        <v>32408</v>
      </c>
      <c r="B683" s="374">
        <v>1967.0</v>
      </c>
      <c r="C683" s="374">
        <v>1573.0</v>
      </c>
      <c r="D683" s="374">
        <v>1388.0</v>
      </c>
    </row>
    <row r="684">
      <c r="A684" s="246" t="s">
        <v>32409</v>
      </c>
      <c r="B684" s="256">
        <v>44954.0</v>
      </c>
      <c r="C684" s="256">
        <v>44590.0</v>
      </c>
    </row>
    <row r="685">
      <c r="A685" s="264" t="s">
        <v>32410</v>
      </c>
      <c r="B685" s="265"/>
      <c r="C685" s="265"/>
    </row>
    <row r="686">
      <c r="A686" s="273" t="s">
        <v>32411</v>
      </c>
      <c r="B686" s="374">
        <v>122000.0</v>
      </c>
      <c r="C686" s="374">
        <v>131737.0</v>
      </c>
    </row>
    <row r="687">
      <c r="A687" s="264" t="s">
        <v>32412</v>
      </c>
      <c r="B687" s="379">
        <v>0.0</v>
      </c>
      <c r="C687" s="375">
        <v>-2940.0</v>
      </c>
    </row>
    <row r="688">
      <c r="A688" s="273" t="s">
        <v>32413</v>
      </c>
      <c r="B688" s="392">
        <v>122000.0</v>
      </c>
      <c r="C688" s="392">
        <v>128797.0</v>
      </c>
    </row>
    <row r="689">
      <c r="A689" s="264" t="s">
        <v>32414</v>
      </c>
      <c r="B689" s="379">
        <v>0.0</v>
      </c>
      <c r="C689" s="375">
        <v>11216.0</v>
      </c>
    </row>
    <row r="690">
      <c r="A690" s="273" t="s">
        <v>32415</v>
      </c>
      <c r="B690" s="369">
        <v>122000.0</v>
      </c>
      <c r="C690" s="369">
        <v>117581.0</v>
      </c>
    </row>
    <row r="691">
      <c r="A691" s="408" t="s">
        <v>32416</v>
      </c>
      <c r="B691" s="409"/>
      <c r="C691" s="409"/>
    </row>
    <row r="692">
      <c r="A692" s="273" t="s">
        <v>32410</v>
      </c>
      <c r="B692" s="275"/>
      <c r="C692" s="275"/>
    </row>
    <row r="693">
      <c r="A693" s="264" t="s">
        <v>32411</v>
      </c>
      <c r="B693" s="379">
        <v>0.0</v>
      </c>
      <c r="C693" s="375">
        <v>96737.0</v>
      </c>
    </row>
    <row r="694">
      <c r="A694" s="408" t="s">
        <v>32417</v>
      </c>
      <c r="B694" s="409"/>
      <c r="C694" s="409"/>
    </row>
    <row r="695">
      <c r="A695" s="264" t="s">
        <v>32410</v>
      </c>
      <c r="B695" s="265"/>
      <c r="C695" s="265"/>
    </row>
    <row r="696">
      <c r="A696" s="273" t="s">
        <v>32411</v>
      </c>
      <c r="B696" s="369">
        <v>122000.0</v>
      </c>
      <c r="C696" s="369">
        <v>35000.0</v>
      </c>
    </row>
    <row r="697">
      <c r="A697" s="264" t="s">
        <v>32418</v>
      </c>
      <c r="B697" s="367">
        <v>19636.0</v>
      </c>
      <c r="C697" s="367">
        <v>34636.0</v>
      </c>
    </row>
    <row r="698">
      <c r="A698" s="371" t="s">
        <v>32419</v>
      </c>
      <c r="B698" s="247"/>
      <c r="C698" s="247"/>
      <c r="D698" s="247"/>
      <c r="E698" s="246" t="s">
        <v>32183</v>
      </c>
      <c r="F698" s="389" t="s">
        <v>31792</v>
      </c>
      <c r="G698" s="390"/>
      <c r="H698" s="391"/>
      <c r="I698" s="247"/>
      <c r="J698" s="247"/>
    </row>
    <row r="699">
      <c r="A699" s="255"/>
      <c r="B699" s="246" t="s">
        <v>32420</v>
      </c>
      <c r="C699" s="246" t="s">
        <v>32184</v>
      </c>
      <c r="D699" s="246" t="s">
        <v>32421</v>
      </c>
      <c r="E699" s="246" t="s">
        <v>32422</v>
      </c>
      <c r="F699" s="246" t="s">
        <v>32422</v>
      </c>
      <c r="G699" s="246" t="s">
        <v>32187</v>
      </c>
      <c r="H699" s="246" t="s">
        <v>32188</v>
      </c>
      <c r="I699" s="246" t="s">
        <v>32189</v>
      </c>
      <c r="J699" s="246" t="s">
        <v>32423</v>
      </c>
    </row>
    <row r="700">
      <c r="A700" s="264" t="s">
        <v>32410</v>
      </c>
      <c r="B700" s="265"/>
      <c r="C700" s="265"/>
      <c r="D700" s="265"/>
      <c r="E700" s="265"/>
      <c r="F700" s="265"/>
      <c r="G700" s="265"/>
      <c r="H700" s="265"/>
      <c r="I700" s="265"/>
      <c r="J700" s="265"/>
    </row>
    <row r="701">
      <c r="A701" s="273" t="s">
        <v>32424</v>
      </c>
      <c r="B701" s="275"/>
      <c r="C701" s="275"/>
      <c r="D701" s="275"/>
      <c r="E701" s="275"/>
      <c r="F701" s="374">
        <v>0.0</v>
      </c>
      <c r="G701" s="374">
        <v>5.0E7</v>
      </c>
      <c r="H701" s="374">
        <v>9.0E7</v>
      </c>
      <c r="I701" s="275"/>
      <c r="J701" s="275"/>
    </row>
    <row r="702">
      <c r="A702" s="264" t="s">
        <v>32051</v>
      </c>
      <c r="B702" s="265"/>
      <c r="C702" s="265"/>
      <c r="D702" s="265"/>
      <c r="E702" s="265"/>
      <c r="F702" s="375">
        <v>9.6737E7</v>
      </c>
      <c r="G702" s="375">
        <v>4.3263E7</v>
      </c>
      <c r="H702" s="379">
        <v>0.0</v>
      </c>
      <c r="I702" s="265"/>
      <c r="J702" s="265"/>
    </row>
    <row r="703">
      <c r="A703" s="273" t="s">
        <v>32048</v>
      </c>
      <c r="B703" s="275"/>
      <c r="C703" s="275"/>
      <c r="D703" s="275"/>
      <c r="E703" s="275"/>
      <c r="F703" s="369">
        <v>3.5047E8</v>
      </c>
      <c r="G703" s="369">
        <v>1.48E8</v>
      </c>
      <c r="H703" s="374">
        <v>1.65E8</v>
      </c>
      <c r="I703" s="275"/>
      <c r="J703" s="275"/>
    </row>
    <row r="704">
      <c r="A704" s="408" t="s">
        <v>32425</v>
      </c>
      <c r="B704" s="409"/>
      <c r="C704" s="409"/>
      <c r="D704" s="409"/>
      <c r="E704" s="409"/>
      <c r="F704" s="409"/>
      <c r="G704" s="409"/>
      <c r="H704" s="409"/>
      <c r="I704" s="409"/>
      <c r="J704" s="409"/>
    </row>
    <row r="705">
      <c r="A705" s="273" t="s">
        <v>32410</v>
      </c>
      <c r="B705" s="275"/>
      <c r="C705" s="275"/>
      <c r="D705" s="275"/>
      <c r="E705" s="275"/>
      <c r="F705" s="275"/>
      <c r="G705" s="275"/>
      <c r="H705" s="275"/>
      <c r="I705" s="275"/>
      <c r="J705" s="275"/>
    </row>
    <row r="706">
      <c r="A706" s="264" t="s">
        <v>32197</v>
      </c>
      <c r="B706" s="265"/>
      <c r="C706" s="367">
        <v>1.4E8</v>
      </c>
      <c r="D706" s="265"/>
      <c r="E706" s="367">
        <v>1.4E8</v>
      </c>
      <c r="F706" s="375">
        <v>1.4E8</v>
      </c>
      <c r="G706" s="265"/>
      <c r="H706" s="265"/>
      <c r="I706" s="367">
        <v>1.4E8</v>
      </c>
      <c r="J706" s="265"/>
    </row>
    <row r="707">
      <c r="A707" s="273" t="s">
        <v>32426</v>
      </c>
      <c r="B707" s="275"/>
      <c r="C707" s="275"/>
      <c r="D707" s="275"/>
      <c r="E707" s="275"/>
      <c r="F707" s="275"/>
      <c r="G707" s="369">
        <v>9.8E7</v>
      </c>
      <c r="H707" s="275"/>
      <c r="I707" s="275"/>
      <c r="J707" s="275"/>
    </row>
    <row r="708">
      <c r="A708" s="408" t="s">
        <v>32427</v>
      </c>
      <c r="B708" s="409"/>
      <c r="C708" s="409"/>
      <c r="D708" s="409"/>
      <c r="E708" s="409"/>
      <c r="F708" s="409"/>
      <c r="G708" s="409"/>
      <c r="H708" s="409"/>
      <c r="I708" s="409"/>
      <c r="J708" s="409"/>
    </row>
    <row r="709">
      <c r="A709" s="273" t="s">
        <v>32410</v>
      </c>
      <c r="B709" s="275"/>
      <c r="C709" s="275"/>
      <c r="D709" s="275"/>
      <c r="E709" s="275"/>
      <c r="F709" s="275"/>
      <c r="G709" s="275"/>
      <c r="H709" s="275"/>
      <c r="I709" s="275"/>
      <c r="J709" s="275"/>
    </row>
    <row r="710">
      <c r="A710" s="264" t="s">
        <v>32197</v>
      </c>
      <c r="B710" s="265"/>
      <c r="C710" s="375">
        <v>9.0E7</v>
      </c>
      <c r="D710" s="265"/>
      <c r="E710" s="375">
        <v>9.0E7</v>
      </c>
      <c r="F710" s="375">
        <v>9.0E7</v>
      </c>
      <c r="G710" s="265"/>
      <c r="H710" s="265"/>
      <c r="I710" s="375">
        <v>9.0E7</v>
      </c>
      <c r="J710" s="265"/>
    </row>
    <row r="711">
      <c r="A711" s="273" t="s">
        <v>32428</v>
      </c>
      <c r="B711" s="374">
        <v>5100000.0</v>
      </c>
      <c r="C711" s="275"/>
      <c r="D711" s="275"/>
      <c r="E711" s="275"/>
      <c r="F711" s="275"/>
      <c r="G711" s="275"/>
      <c r="H711" s="275"/>
      <c r="I711" s="275"/>
      <c r="J711" s="275"/>
    </row>
    <row r="712">
      <c r="A712" s="264" t="s">
        <v>32429</v>
      </c>
      <c r="B712" s="375">
        <v>4500000.0</v>
      </c>
      <c r="C712" s="265"/>
      <c r="D712" s="265"/>
      <c r="E712" s="265"/>
      <c r="F712" s="265"/>
      <c r="G712" s="265"/>
      <c r="H712" s="265"/>
      <c r="I712" s="265"/>
      <c r="J712" s="265"/>
    </row>
    <row r="713">
      <c r="A713" s="273" t="s">
        <v>32430</v>
      </c>
      <c r="B713" s="374">
        <v>1800000.0</v>
      </c>
      <c r="C713" s="275"/>
      <c r="D713" s="275"/>
      <c r="E713" s="275"/>
      <c r="F713" s="275"/>
      <c r="G713" s="275"/>
      <c r="H713" s="275"/>
      <c r="I713" s="275"/>
      <c r="J713" s="275"/>
    </row>
    <row r="714">
      <c r="A714" s="408" t="s">
        <v>32431</v>
      </c>
      <c r="B714" s="409"/>
      <c r="C714" s="409"/>
      <c r="D714" s="409"/>
      <c r="E714" s="409"/>
      <c r="F714" s="409"/>
      <c r="G714" s="409"/>
      <c r="H714" s="409"/>
      <c r="I714" s="409"/>
      <c r="J714" s="409"/>
    </row>
    <row r="715">
      <c r="A715" s="273" t="s">
        <v>32410</v>
      </c>
      <c r="B715" s="275"/>
      <c r="C715" s="275"/>
      <c r="D715" s="275"/>
      <c r="E715" s="275"/>
      <c r="F715" s="275"/>
      <c r="G715" s="275"/>
      <c r="H715" s="275"/>
      <c r="I715" s="275"/>
      <c r="J715" s="275"/>
    </row>
    <row r="716">
      <c r="A716" s="264" t="s">
        <v>32197</v>
      </c>
      <c r="B716" s="265"/>
      <c r="C716" s="265"/>
      <c r="D716" s="265"/>
      <c r="E716" s="265"/>
      <c r="F716" s="265"/>
      <c r="G716" s="265"/>
      <c r="H716" s="265"/>
      <c r="I716" s="375">
        <v>5.0E7</v>
      </c>
      <c r="J716" s="265"/>
    </row>
    <row r="717">
      <c r="A717" s="273" t="s">
        <v>32424</v>
      </c>
      <c r="B717" s="275"/>
      <c r="C717" s="275"/>
      <c r="D717" s="275"/>
      <c r="E717" s="275"/>
      <c r="F717" s="275"/>
      <c r="G717" s="369">
        <v>5.0E7</v>
      </c>
      <c r="H717" s="275"/>
      <c r="I717" s="275"/>
      <c r="J717" s="275"/>
    </row>
    <row r="718">
      <c r="A718" s="264" t="s">
        <v>32051</v>
      </c>
      <c r="B718" s="265"/>
      <c r="C718" s="265"/>
      <c r="D718" s="265"/>
      <c r="E718" s="265"/>
      <c r="F718" s="265"/>
      <c r="G718" s="375">
        <v>4.33E7</v>
      </c>
      <c r="H718" s="265"/>
      <c r="I718" s="265"/>
      <c r="J718" s="265"/>
    </row>
    <row r="719">
      <c r="A719" s="273" t="s">
        <v>32201</v>
      </c>
      <c r="B719" s="275"/>
      <c r="C719" s="369">
        <v>5.0E7</v>
      </c>
      <c r="D719" s="275"/>
      <c r="E719" s="369">
        <v>5.0E7</v>
      </c>
      <c r="F719" s="275"/>
      <c r="G719" s="275"/>
      <c r="H719" s="275"/>
      <c r="I719" s="275"/>
      <c r="J719" s="275"/>
    </row>
    <row r="720">
      <c r="A720" s="408" t="s">
        <v>32432</v>
      </c>
      <c r="B720" s="409"/>
      <c r="C720" s="409"/>
      <c r="D720" s="409"/>
      <c r="E720" s="409"/>
      <c r="F720" s="409"/>
      <c r="G720" s="409"/>
      <c r="H720" s="409"/>
      <c r="I720" s="409"/>
      <c r="J720" s="409"/>
    </row>
    <row r="721">
      <c r="A721" s="273" t="s">
        <v>32410</v>
      </c>
      <c r="B721" s="275"/>
      <c r="C721" s="275"/>
      <c r="D721" s="275"/>
      <c r="E721" s="275"/>
      <c r="F721" s="275"/>
      <c r="G721" s="275"/>
      <c r="H721" s="275"/>
      <c r="I721" s="275"/>
      <c r="J721" s="275"/>
    </row>
    <row r="722">
      <c r="A722" s="264" t="s">
        <v>32197</v>
      </c>
      <c r="B722" s="265"/>
      <c r="C722" s="375">
        <v>9.0E7</v>
      </c>
      <c r="D722" s="265"/>
      <c r="E722" s="375">
        <v>9.0E7</v>
      </c>
      <c r="F722" s="375">
        <v>9.0E7</v>
      </c>
      <c r="G722" s="265"/>
      <c r="H722" s="265"/>
      <c r="I722" s="265"/>
      <c r="J722" s="265"/>
    </row>
    <row r="723">
      <c r="A723" s="273" t="s">
        <v>32051</v>
      </c>
      <c r="B723" s="275"/>
      <c r="C723" s="275"/>
      <c r="D723" s="275"/>
      <c r="E723" s="369">
        <v>9.0E7</v>
      </c>
      <c r="F723" s="275"/>
      <c r="G723" s="275"/>
      <c r="H723" s="275"/>
      <c r="I723" s="275"/>
      <c r="J723" s="275"/>
    </row>
    <row r="724">
      <c r="A724" s="408" t="s">
        <v>32417</v>
      </c>
      <c r="B724" s="409"/>
      <c r="C724" s="409"/>
      <c r="D724" s="409"/>
      <c r="E724" s="409"/>
      <c r="F724" s="409"/>
      <c r="G724" s="409"/>
      <c r="H724" s="409"/>
      <c r="I724" s="409"/>
      <c r="J724" s="409"/>
    </row>
    <row r="725">
      <c r="A725" s="273" t="s">
        <v>32410</v>
      </c>
      <c r="B725" s="275"/>
      <c r="C725" s="275"/>
      <c r="D725" s="275"/>
      <c r="E725" s="275"/>
      <c r="F725" s="275"/>
      <c r="G725" s="275"/>
      <c r="H725" s="275"/>
      <c r="I725" s="275"/>
      <c r="J725" s="275"/>
    </row>
    <row r="726">
      <c r="A726" s="264" t="s">
        <v>32418</v>
      </c>
      <c r="B726" s="265"/>
      <c r="C726" s="265"/>
      <c r="D726" s="265"/>
      <c r="E726" s="375">
        <v>1.9636E7</v>
      </c>
      <c r="F726" s="375">
        <v>1.9636E7</v>
      </c>
      <c r="G726" s="375">
        <v>3.4636E7</v>
      </c>
      <c r="H726" s="265"/>
      <c r="I726" s="265"/>
      <c r="J726" s="265"/>
    </row>
    <row r="727">
      <c r="A727" s="408" t="s">
        <v>32433</v>
      </c>
      <c r="B727" s="409"/>
      <c r="C727" s="409"/>
      <c r="D727" s="409"/>
      <c r="E727" s="409"/>
      <c r="F727" s="409"/>
      <c r="G727" s="409"/>
      <c r="H727" s="409"/>
      <c r="I727" s="409"/>
      <c r="J727" s="409"/>
    </row>
    <row r="728">
      <c r="A728" s="264" t="s">
        <v>32410</v>
      </c>
      <c r="B728" s="265"/>
      <c r="C728" s="265"/>
      <c r="D728" s="265"/>
      <c r="E728" s="265"/>
      <c r="F728" s="265"/>
      <c r="G728" s="265"/>
      <c r="H728" s="265"/>
      <c r="I728" s="265"/>
      <c r="J728" s="265"/>
    </row>
    <row r="729">
      <c r="A729" s="273" t="s">
        <v>32203</v>
      </c>
      <c r="B729" s="275"/>
      <c r="C729" s="275"/>
      <c r="D729" s="275"/>
      <c r="E729" s="275"/>
      <c r="F729" s="275"/>
      <c r="G729" s="275"/>
      <c r="H729" s="275"/>
      <c r="I729" s="275"/>
      <c r="J729" s="374">
        <v>2.5E8</v>
      </c>
    </row>
    <row r="730">
      <c r="A730" s="264" t="s">
        <v>32048</v>
      </c>
      <c r="B730" s="265"/>
      <c r="C730" s="265"/>
      <c r="D730" s="367">
        <v>1.65E8</v>
      </c>
      <c r="E730" s="265"/>
      <c r="F730" s="265"/>
      <c r="G730" s="265"/>
      <c r="H730" s="265"/>
      <c r="I730" s="265"/>
      <c r="J730" s="265"/>
    </row>
    <row r="731">
      <c r="A731" s="408" t="s">
        <v>32434</v>
      </c>
      <c r="B731" s="409"/>
      <c r="C731" s="409"/>
      <c r="D731" s="409"/>
      <c r="E731" s="409"/>
      <c r="F731" s="409"/>
      <c r="G731" s="409"/>
      <c r="H731" s="409"/>
      <c r="I731" s="409"/>
      <c r="J731" s="409"/>
    </row>
    <row r="732">
      <c r="A732" s="264" t="s">
        <v>32410</v>
      </c>
      <c r="B732" s="265"/>
      <c r="C732" s="265"/>
      <c r="D732" s="265"/>
      <c r="E732" s="265"/>
      <c r="F732" s="265"/>
      <c r="G732" s="265"/>
      <c r="H732" s="265"/>
      <c r="I732" s="265"/>
      <c r="J732" s="265"/>
    </row>
    <row r="733">
      <c r="A733" s="273" t="s">
        <v>32418</v>
      </c>
      <c r="B733" s="275"/>
      <c r="C733" s="275"/>
      <c r="D733" s="275"/>
      <c r="E733" s="275"/>
      <c r="F733" s="275"/>
      <c r="G733" s="369">
        <v>3.46E7</v>
      </c>
      <c r="H733" s="275"/>
      <c r="I733" s="275"/>
      <c r="J733" s="275"/>
    </row>
    <row r="734">
      <c r="A734" s="408" t="s">
        <v>32435</v>
      </c>
      <c r="B734" s="409"/>
      <c r="C734" s="409"/>
      <c r="D734" s="409"/>
      <c r="E734" s="409"/>
      <c r="F734" s="409"/>
      <c r="G734" s="409"/>
      <c r="H734" s="409"/>
      <c r="I734" s="409"/>
      <c r="J734" s="409"/>
    </row>
    <row r="735">
      <c r="A735" s="273" t="s">
        <v>32410</v>
      </c>
      <c r="B735" s="275"/>
      <c r="C735" s="275"/>
      <c r="D735" s="275"/>
      <c r="E735" s="275"/>
      <c r="F735" s="275"/>
      <c r="G735" s="275"/>
      <c r="H735" s="275"/>
      <c r="I735" s="275"/>
      <c r="J735" s="275"/>
    </row>
    <row r="736">
      <c r="A736" s="264" t="s">
        <v>32418</v>
      </c>
      <c r="B736" s="265"/>
      <c r="C736" s="265"/>
      <c r="D736" s="265"/>
      <c r="E736" s="265"/>
      <c r="F736" s="265"/>
      <c r="G736" s="379">
        <v>0.0</v>
      </c>
      <c r="H736" s="265"/>
      <c r="I736" s="265"/>
      <c r="J736" s="265"/>
    </row>
    <row r="737">
      <c r="A737" s="408" t="s">
        <v>32436</v>
      </c>
      <c r="B737" s="409"/>
      <c r="C737" s="409"/>
      <c r="D737" s="409"/>
      <c r="E737" s="409"/>
      <c r="F737" s="409"/>
      <c r="G737" s="409"/>
      <c r="H737" s="409"/>
      <c r="I737" s="409"/>
      <c r="J737" s="409"/>
    </row>
    <row r="738">
      <c r="A738" s="264" t="s">
        <v>32410</v>
      </c>
      <c r="B738" s="265"/>
      <c r="C738" s="265"/>
      <c r="D738" s="265"/>
      <c r="E738" s="265"/>
      <c r="F738" s="265"/>
      <c r="G738" s="265"/>
      <c r="H738" s="265"/>
      <c r="I738" s="265"/>
      <c r="J738" s="265"/>
    </row>
    <row r="739">
      <c r="A739" s="273" t="s">
        <v>32203</v>
      </c>
      <c r="B739" s="275"/>
      <c r="C739" s="275"/>
      <c r="D739" s="275"/>
      <c r="E739" s="369">
        <v>2.5E8</v>
      </c>
      <c r="F739" s="369">
        <v>2.5E8</v>
      </c>
      <c r="G739" s="275"/>
      <c r="H739" s="275"/>
      <c r="I739" s="374">
        <v>2.5E8</v>
      </c>
      <c r="J739" s="275"/>
    </row>
    <row r="740">
      <c r="A740" s="408" t="s">
        <v>32437</v>
      </c>
      <c r="B740" s="409"/>
      <c r="C740" s="409"/>
      <c r="D740" s="409"/>
      <c r="E740" s="409"/>
      <c r="F740" s="409"/>
      <c r="G740" s="409"/>
      <c r="H740" s="409"/>
      <c r="I740" s="409"/>
      <c r="J740" s="409"/>
    </row>
    <row r="741">
      <c r="A741" s="273" t="s">
        <v>32410</v>
      </c>
      <c r="B741" s="275"/>
      <c r="C741" s="275"/>
      <c r="D741" s="275"/>
      <c r="E741" s="275"/>
      <c r="F741" s="275"/>
      <c r="G741" s="275"/>
      <c r="H741" s="275"/>
      <c r="I741" s="275"/>
      <c r="J741" s="275"/>
    </row>
    <row r="742">
      <c r="A742" s="264" t="s">
        <v>32418</v>
      </c>
      <c r="B742" s="265"/>
      <c r="C742" s="265"/>
      <c r="D742" s="265"/>
      <c r="E742" s="375">
        <v>1.96E7</v>
      </c>
      <c r="F742" s="375">
        <v>1.96E7</v>
      </c>
      <c r="G742" s="265"/>
      <c r="H742" s="265"/>
      <c r="I742" s="265"/>
      <c r="J742" s="265"/>
    </row>
    <row r="743">
      <c r="A743" s="408" t="s">
        <v>32438</v>
      </c>
      <c r="B743" s="409"/>
      <c r="C743" s="409"/>
      <c r="D743" s="409"/>
      <c r="E743" s="409"/>
      <c r="F743" s="409"/>
      <c r="G743" s="409"/>
      <c r="H743" s="409"/>
      <c r="I743" s="409"/>
      <c r="J743" s="409"/>
    </row>
    <row r="744">
      <c r="A744" s="264" t="s">
        <v>32410</v>
      </c>
      <c r="B744" s="265"/>
      <c r="C744" s="265"/>
      <c r="D744" s="265"/>
      <c r="E744" s="265"/>
      <c r="F744" s="265"/>
      <c r="G744" s="265"/>
      <c r="H744" s="265"/>
      <c r="I744" s="265"/>
      <c r="J744" s="265"/>
    </row>
    <row r="745">
      <c r="A745" s="273" t="s">
        <v>32418</v>
      </c>
      <c r="B745" s="275"/>
      <c r="C745" s="275"/>
      <c r="D745" s="275"/>
      <c r="E745" s="377">
        <v>0.0</v>
      </c>
      <c r="F745" s="374">
        <v>0.0</v>
      </c>
      <c r="G745" s="275"/>
      <c r="H745" s="275"/>
      <c r="I745" s="275"/>
      <c r="J745" s="275"/>
    </row>
    <row r="746">
      <c r="A746" s="264" t="s">
        <v>32439</v>
      </c>
      <c r="B746" s="265"/>
      <c r="C746" s="265"/>
      <c r="D746" s="265"/>
      <c r="E746" s="265"/>
      <c r="F746" s="282" t="s">
        <v>32440</v>
      </c>
      <c r="G746" s="265"/>
      <c r="H746" s="265"/>
      <c r="I746" s="265"/>
      <c r="J746" s="265"/>
    </row>
    <row r="747">
      <c r="A747" s="408" t="s">
        <v>32441</v>
      </c>
      <c r="B747" s="409"/>
      <c r="C747" s="409"/>
      <c r="D747" s="409"/>
      <c r="E747" s="409"/>
      <c r="F747" s="409"/>
      <c r="G747" s="409"/>
      <c r="H747" s="409"/>
      <c r="I747" s="409"/>
      <c r="J747" s="409"/>
    </row>
    <row r="748">
      <c r="A748" s="264" t="s">
        <v>32410</v>
      </c>
      <c r="B748" s="265"/>
      <c r="C748" s="265"/>
      <c r="D748" s="265"/>
      <c r="E748" s="265"/>
      <c r="F748" s="265"/>
      <c r="G748" s="265"/>
      <c r="H748" s="265"/>
      <c r="I748" s="265"/>
      <c r="J748" s="265"/>
    </row>
    <row r="749">
      <c r="A749" s="273" t="s">
        <v>32426</v>
      </c>
      <c r="B749" s="275"/>
      <c r="C749" s="275"/>
      <c r="D749" s="275"/>
      <c r="E749" s="369">
        <v>1.15E8</v>
      </c>
      <c r="F749" s="374">
        <v>1.15E8</v>
      </c>
      <c r="G749" s="374">
        <v>3.65E7</v>
      </c>
      <c r="H749" s="275"/>
      <c r="I749" s="275"/>
      <c r="J749" s="275"/>
    </row>
    <row r="750">
      <c r="A750" s="264" t="s">
        <v>32203</v>
      </c>
      <c r="B750" s="265"/>
      <c r="C750" s="375">
        <v>2.9E8</v>
      </c>
      <c r="D750" s="265"/>
      <c r="E750" s="375">
        <v>2.9E8</v>
      </c>
      <c r="F750" s="375">
        <v>2.9E8</v>
      </c>
      <c r="G750" s="265"/>
      <c r="H750" s="265"/>
      <c r="I750" s="265"/>
      <c r="J750" s="265"/>
    </row>
    <row r="751">
      <c r="A751" s="273" t="s">
        <v>32204</v>
      </c>
      <c r="B751" s="275"/>
      <c r="C751" s="374">
        <v>4.0E7</v>
      </c>
      <c r="D751" s="275"/>
      <c r="E751" s="369">
        <v>4.0E7</v>
      </c>
      <c r="F751" s="369">
        <v>4.0E7</v>
      </c>
      <c r="G751" s="275"/>
      <c r="H751" s="275"/>
      <c r="I751" s="275"/>
      <c r="J751" s="275"/>
    </row>
    <row r="752">
      <c r="A752" s="264" t="s">
        <v>32442</v>
      </c>
      <c r="B752" s="265"/>
      <c r="C752" s="265"/>
      <c r="D752" s="265"/>
      <c r="E752" s="375">
        <v>1.22E8</v>
      </c>
      <c r="F752" s="375">
        <v>1.22E8</v>
      </c>
      <c r="G752" s="265"/>
      <c r="H752" s="265"/>
      <c r="I752" s="265"/>
      <c r="J752" s="265"/>
    </row>
    <row r="753">
      <c r="A753" s="273" t="s">
        <v>32443</v>
      </c>
      <c r="B753" s="275"/>
      <c r="C753" s="410">
        <v>0.0025</v>
      </c>
      <c r="D753" s="275"/>
      <c r="E753" s="275"/>
      <c r="F753" s="275"/>
      <c r="G753" s="275"/>
      <c r="H753" s="275"/>
      <c r="I753" s="275"/>
      <c r="J753" s="275"/>
    </row>
    <row r="754">
      <c r="A754" s="264" t="s">
        <v>32444</v>
      </c>
      <c r="B754" s="265"/>
      <c r="C754" s="367">
        <v>2.5E7</v>
      </c>
      <c r="D754" s="265"/>
      <c r="E754" s="265"/>
      <c r="F754" s="265"/>
      <c r="G754" s="265"/>
      <c r="H754" s="265"/>
      <c r="I754" s="265"/>
      <c r="J754" s="265"/>
    </row>
    <row r="755">
      <c r="A755" s="273" t="s">
        <v>32445</v>
      </c>
      <c r="B755" s="275"/>
      <c r="C755" s="410">
        <v>0.1</v>
      </c>
      <c r="D755" s="275"/>
      <c r="E755" s="275"/>
      <c r="F755" s="275"/>
      <c r="G755" s="275"/>
      <c r="H755" s="275"/>
      <c r="I755" s="275"/>
      <c r="J755" s="275"/>
    </row>
    <row r="756">
      <c r="A756" s="264" t="s">
        <v>32446</v>
      </c>
      <c r="B756" s="265"/>
      <c r="C756" s="367">
        <v>5.0E7</v>
      </c>
      <c r="D756" s="265"/>
      <c r="E756" s="265"/>
      <c r="F756" s="265"/>
      <c r="G756" s="265"/>
      <c r="H756" s="265"/>
      <c r="I756" s="265"/>
      <c r="J756" s="265"/>
    </row>
    <row r="757">
      <c r="A757" s="273" t="s">
        <v>32447</v>
      </c>
      <c r="B757" s="275"/>
      <c r="C757" s="274" t="s">
        <v>32448</v>
      </c>
      <c r="D757" s="275"/>
      <c r="E757" s="275"/>
      <c r="F757" s="275"/>
      <c r="G757" s="275"/>
      <c r="H757" s="275"/>
      <c r="I757" s="275"/>
      <c r="J757" s="275"/>
    </row>
    <row r="758">
      <c r="A758" s="264" t="s">
        <v>32449</v>
      </c>
      <c r="B758" s="265"/>
      <c r="C758" s="379">
        <v>1.0</v>
      </c>
      <c r="D758" s="265"/>
      <c r="E758" s="265"/>
      <c r="F758" s="265"/>
      <c r="G758" s="265"/>
      <c r="H758" s="265"/>
      <c r="I758" s="265"/>
      <c r="J758" s="265"/>
    </row>
    <row r="759">
      <c r="A759" s="273" t="s">
        <v>32450</v>
      </c>
      <c r="B759" s="275"/>
      <c r="C759" s="410">
        <v>0.02</v>
      </c>
      <c r="D759" s="275"/>
      <c r="E759" s="275"/>
      <c r="F759" s="275"/>
      <c r="G759" s="275"/>
      <c r="H759" s="275"/>
      <c r="I759" s="275"/>
      <c r="J759" s="275"/>
    </row>
    <row r="760">
      <c r="A760" s="264" t="s">
        <v>32451</v>
      </c>
      <c r="B760" s="265"/>
      <c r="C760" s="411">
        <v>0.02</v>
      </c>
      <c r="D760" s="265"/>
      <c r="E760" s="265"/>
      <c r="F760" s="265"/>
      <c r="G760" s="265"/>
      <c r="H760" s="265"/>
      <c r="I760" s="265"/>
      <c r="J760" s="265"/>
    </row>
    <row r="761">
      <c r="A761" s="273" t="s">
        <v>32452</v>
      </c>
      <c r="B761" s="275"/>
      <c r="C761" s="275"/>
      <c r="D761" s="275"/>
      <c r="E761" s="369">
        <v>1.484E8</v>
      </c>
      <c r="F761" s="369">
        <v>1.484E8</v>
      </c>
      <c r="G761" s="275"/>
      <c r="H761" s="275"/>
      <c r="I761" s="275"/>
      <c r="J761" s="275"/>
    </row>
    <row r="762">
      <c r="A762" s="408" t="s">
        <v>32453</v>
      </c>
      <c r="B762" s="409"/>
      <c r="C762" s="409"/>
      <c r="D762" s="409"/>
      <c r="E762" s="409"/>
      <c r="F762" s="409"/>
      <c r="G762" s="409"/>
      <c r="H762" s="409"/>
      <c r="I762" s="409"/>
      <c r="J762" s="409"/>
    </row>
    <row r="763">
      <c r="A763" s="273" t="s">
        <v>32410</v>
      </c>
      <c r="B763" s="275"/>
      <c r="C763" s="275"/>
      <c r="D763" s="275"/>
      <c r="E763" s="275"/>
      <c r="F763" s="275"/>
      <c r="G763" s="275"/>
      <c r="H763" s="275"/>
      <c r="I763" s="275"/>
      <c r="J763" s="275"/>
    </row>
    <row r="764">
      <c r="A764" s="264" t="s">
        <v>32442</v>
      </c>
      <c r="B764" s="265"/>
      <c r="C764" s="265"/>
      <c r="D764" s="265"/>
      <c r="E764" s="367">
        <v>1.22E8</v>
      </c>
      <c r="F764" s="367">
        <v>1.22E8</v>
      </c>
      <c r="G764" s="265"/>
      <c r="H764" s="265"/>
      <c r="I764" s="265"/>
      <c r="J764" s="265"/>
    </row>
    <row r="765">
      <c r="A765" s="273" t="s">
        <v>32454</v>
      </c>
      <c r="B765" s="275"/>
      <c r="C765" s="275"/>
      <c r="D765" s="275"/>
      <c r="E765" s="410">
        <v>0.065</v>
      </c>
      <c r="F765" s="410">
        <v>0.065</v>
      </c>
      <c r="G765" s="275"/>
      <c r="H765" s="275"/>
      <c r="I765" s="275"/>
      <c r="J765" s="275"/>
    </row>
    <row r="766">
      <c r="A766" s="408" t="s">
        <v>32455</v>
      </c>
      <c r="B766" s="409"/>
      <c r="C766" s="409"/>
      <c r="D766" s="409"/>
      <c r="E766" s="409"/>
      <c r="F766" s="409"/>
      <c r="G766" s="409"/>
      <c r="H766" s="409"/>
      <c r="I766" s="409"/>
      <c r="J766" s="409"/>
    </row>
    <row r="767">
      <c r="A767" s="273" t="s">
        <v>32410</v>
      </c>
      <c r="B767" s="275"/>
      <c r="C767" s="275"/>
      <c r="D767" s="275"/>
      <c r="E767" s="275"/>
      <c r="F767" s="275"/>
      <c r="G767" s="275"/>
      <c r="H767" s="275"/>
      <c r="I767" s="275"/>
      <c r="J767" s="275"/>
    </row>
    <row r="768">
      <c r="A768" s="264" t="s">
        <v>32456</v>
      </c>
      <c r="B768" s="265"/>
      <c r="C768" s="411">
        <v>0.0175</v>
      </c>
      <c r="D768" s="265"/>
      <c r="E768" s="265"/>
      <c r="F768" s="265"/>
      <c r="G768" s="265"/>
      <c r="H768" s="265"/>
      <c r="I768" s="265"/>
      <c r="J768" s="265"/>
    </row>
    <row r="769">
      <c r="A769" s="408" t="s">
        <v>32457</v>
      </c>
      <c r="B769" s="409"/>
      <c r="C769" s="409"/>
      <c r="D769" s="409"/>
      <c r="E769" s="409"/>
      <c r="F769" s="409"/>
      <c r="G769" s="409"/>
      <c r="H769" s="409"/>
      <c r="I769" s="409"/>
      <c r="J769" s="409"/>
    </row>
    <row r="770">
      <c r="A770" s="264" t="s">
        <v>32410</v>
      </c>
      <c r="B770" s="265"/>
      <c r="C770" s="265"/>
      <c r="D770" s="265"/>
      <c r="E770" s="265"/>
      <c r="F770" s="265"/>
      <c r="G770" s="265"/>
      <c r="H770" s="265"/>
      <c r="I770" s="265"/>
      <c r="J770" s="265"/>
    </row>
    <row r="771">
      <c r="A771" s="273" t="s">
        <v>32456</v>
      </c>
      <c r="B771" s="275"/>
      <c r="C771" s="410">
        <v>0.0225</v>
      </c>
      <c r="D771" s="275"/>
      <c r="E771" s="275"/>
      <c r="F771" s="275"/>
      <c r="G771" s="275"/>
      <c r="H771" s="275"/>
      <c r="I771" s="275"/>
      <c r="J771" s="275"/>
    </row>
    <row r="772">
      <c r="A772" s="408" t="s">
        <v>32458</v>
      </c>
      <c r="B772" s="409"/>
      <c r="C772" s="409"/>
      <c r="D772" s="409"/>
      <c r="E772" s="409"/>
      <c r="F772" s="409"/>
      <c r="G772" s="409"/>
      <c r="H772" s="409"/>
      <c r="I772" s="409"/>
      <c r="J772" s="409"/>
    </row>
    <row r="773">
      <c r="A773" s="273" t="s">
        <v>32410</v>
      </c>
      <c r="B773" s="275"/>
      <c r="C773" s="275"/>
      <c r="D773" s="275"/>
      <c r="E773" s="275"/>
      <c r="F773" s="275"/>
      <c r="G773" s="275"/>
      <c r="H773" s="275"/>
      <c r="I773" s="275"/>
      <c r="J773" s="275"/>
    </row>
    <row r="774">
      <c r="A774" s="264" t="s">
        <v>32418</v>
      </c>
      <c r="B774" s="265"/>
      <c r="C774" s="265"/>
      <c r="D774" s="265"/>
      <c r="E774" s="367">
        <v>1.96E7</v>
      </c>
      <c r="F774" s="367">
        <v>1.96E7</v>
      </c>
      <c r="G774" s="265"/>
      <c r="H774" s="265"/>
      <c r="I774" s="265"/>
      <c r="J774" s="265"/>
    </row>
    <row r="775">
      <c r="A775" s="371" t="s">
        <v>32459</v>
      </c>
      <c r="B775" s="247"/>
      <c r="C775" s="247"/>
      <c r="D775" s="246" t="s">
        <v>32183</v>
      </c>
      <c r="E775" s="389" t="s">
        <v>31792</v>
      </c>
      <c r="F775" s="390"/>
      <c r="G775" s="391"/>
      <c r="H775" s="247"/>
    </row>
    <row r="776">
      <c r="A776" s="255"/>
      <c r="B776" s="256">
        <v>44951.0</v>
      </c>
      <c r="C776" s="407">
        <v>44903.0</v>
      </c>
      <c r="D776" s="256">
        <v>45045.0</v>
      </c>
      <c r="E776" s="256">
        <v>44954.0</v>
      </c>
      <c r="F776" s="256">
        <v>44590.0</v>
      </c>
      <c r="G776" s="256">
        <v>44226.0</v>
      </c>
      <c r="H776" s="256">
        <v>43067.0</v>
      </c>
    </row>
    <row r="777">
      <c r="A777" s="264" t="s">
        <v>32460</v>
      </c>
      <c r="B777" s="265"/>
      <c r="C777" s="265"/>
      <c r="D777" s="265"/>
      <c r="E777" s="265"/>
      <c r="F777" s="265"/>
      <c r="G777" s="265"/>
      <c r="H777" s="265"/>
    </row>
    <row r="778">
      <c r="A778" s="273" t="s">
        <v>32461</v>
      </c>
      <c r="B778" s="275"/>
      <c r="C778" s="275"/>
      <c r="D778" s="275"/>
      <c r="E778" s="275"/>
      <c r="F778" s="275"/>
      <c r="G778" s="275"/>
      <c r="H778" s="388">
        <v>150.0</v>
      </c>
    </row>
    <row r="779">
      <c r="A779" s="264" t="s">
        <v>32462</v>
      </c>
      <c r="B779" s="265"/>
      <c r="C779" s="265"/>
      <c r="D779" s="265"/>
      <c r="E779" s="379">
        <v>0.0</v>
      </c>
      <c r="F779" s="379">
        <v>0.0</v>
      </c>
      <c r="G779" s="379">
        <v>0.0</v>
      </c>
      <c r="H779" s="265"/>
    </row>
    <row r="780">
      <c r="A780" s="273" t="s">
        <v>32463</v>
      </c>
      <c r="B780" s="275"/>
      <c r="C780" s="275"/>
      <c r="D780" s="275"/>
      <c r="E780" s="388">
        <v>34.2</v>
      </c>
      <c r="F780" s="275"/>
      <c r="G780" s="275"/>
      <c r="H780" s="275"/>
    </row>
    <row r="781">
      <c r="A781" s="264" t="s">
        <v>31971</v>
      </c>
      <c r="B781" s="265"/>
      <c r="C781" s="394">
        <v>0.01</v>
      </c>
      <c r="D781" s="265"/>
      <c r="E781" s="394">
        <v>0.01</v>
      </c>
      <c r="F781" s="394">
        <v>0.01</v>
      </c>
      <c r="G781" s="265"/>
      <c r="H781" s="265"/>
    </row>
    <row r="782">
      <c r="A782" s="408" t="s">
        <v>32464</v>
      </c>
      <c r="B782" s="409"/>
      <c r="C782" s="409"/>
      <c r="D782" s="409"/>
      <c r="E782" s="409"/>
      <c r="F782" s="409"/>
      <c r="G782" s="409"/>
      <c r="H782" s="409"/>
    </row>
    <row r="783">
      <c r="A783" s="264" t="s">
        <v>32460</v>
      </c>
      <c r="B783" s="265"/>
      <c r="C783" s="265"/>
      <c r="D783" s="265"/>
      <c r="E783" s="265"/>
      <c r="F783" s="265"/>
      <c r="G783" s="265"/>
      <c r="H783" s="265"/>
    </row>
    <row r="784">
      <c r="A784" s="273" t="s">
        <v>32304</v>
      </c>
      <c r="B784" s="275"/>
      <c r="C784" s="275"/>
      <c r="D784" s="369">
        <v>15000.0</v>
      </c>
      <c r="E784" s="275"/>
      <c r="F784" s="275"/>
      <c r="G784" s="275"/>
      <c r="H784" s="275"/>
    </row>
    <row r="785">
      <c r="A785" s="408" t="s">
        <v>32303</v>
      </c>
      <c r="B785" s="409"/>
      <c r="C785" s="409"/>
      <c r="D785" s="409"/>
      <c r="E785" s="409"/>
      <c r="F785" s="409"/>
      <c r="G785" s="409"/>
      <c r="H785" s="409"/>
    </row>
    <row r="786">
      <c r="A786" s="273" t="s">
        <v>32460</v>
      </c>
      <c r="B786" s="275"/>
      <c r="C786" s="275"/>
      <c r="D786" s="275"/>
      <c r="E786" s="275"/>
      <c r="F786" s="275"/>
      <c r="G786" s="275"/>
      <c r="H786" s="275"/>
    </row>
    <row r="787">
      <c r="A787" s="264" t="s">
        <v>32304</v>
      </c>
      <c r="B787" s="375">
        <v>5400.0</v>
      </c>
      <c r="C787" s="375">
        <v>5400.0</v>
      </c>
      <c r="D787" s="265"/>
      <c r="E787" s="265"/>
      <c r="F787" s="265"/>
      <c r="G787" s="265"/>
      <c r="H787" s="265"/>
    </row>
    <row r="788">
      <c r="A788" s="273" t="s">
        <v>32305</v>
      </c>
      <c r="B788" s="388">
        <v>4.6</v>
      </c>
      <c r="C788" s="388">
        <v>4.6</v>
      </c>
      <c r="D788" s="275"/>
      <c r="E788" s="275"/>
      <c r="F788" s="275"/>
      <c r="G788" s="275"/>
      <c r="H788" s="275"/>
    </row>
    <row r="789">
      <c r="A789" s="264" t="s">
        <v>32465</v>
      </c>
      <c r="B789" s="394">
        <v>25.0</v>
      </c>
      <c r="C789" s="265"/>
      <c r="D789" s="265"/>
      <c r="E789" s="265"/>
      <c r="F789" s="265"/>
      <c r="G789" s="265"/>
      <c r="H789" s="265"/>
    </row>
    <row r="790">
      <c r="A790" s="273" t="s">
        <v>32466</v>
      </c>
      <c r="B790" s="410">
        <v>0.074</v>
      </c>
      <c r="C790" s="275"/>
      <c r="D790" s="275"/>
      <c r="E790" s="275"/>
      <c r="F790" s="275"/>
      <c r="G790" s="275"/>
      <c r="H790" s="275"/>
    </row>
    <row r="791">
      <c r="A791" s="264" t="s">
        <v>32467</v>
      </c>
      <c r="B791" s="394">
        <v>17.8</v>
      </c>
      <c r="C791" s="265"/>
      <c r="D791" s="265"/>
      <c r="E791" s="265"/>
      <c r="F791" s="265"/>
      <c r="G791" s="265"/>
      <c r="H791" s="265"/>
    </row>
    <row r="792">
      <c r="A792" s="371" t="s">
        <v>32468</v>
      </c>
      <c r="B792" s="247"/>
      <c r="C792" s="247"/>
      <c r="D792" s="389" t="s">
        <v>31792</v>
      </c>
      <c r="E792" s="390"/>
      <c r="F792" s="391"/>
    </row>
    <row r="793">
      <c r="A793" s="255"/>
      <c r="B793" s="256">
        <v>43907.0</v>
      </c>
      <c r="C793" s="256">
        <v>43264.0</v>
      </c>
      <c r="D793" s="256">
        <v>44954.0</v>
      </c>
      <c r="E793" s="256">
        <v>44590.0</v>
      </c>
      <c r="F793" s="256">
        <v>44226.0</v>
      </c>
    </row>
    <row r="794">
      <c r="A794" s="264" t="s">
        <v>32469</v>
      </c>
      <c r="B794" s="265"/>
      <c r="C794" s="265"/>
      <c r="D794" s="265"/>
      <c r="E794" s="265"/>
      <c r="F794" s="265"/>
    </row>
    <row r="795">
      <c r="A795" s="273" t="s">
        <v>32470</v>
      </c>
      <c r="B795" s="369">
        <v>2500.0</v>
      </c>
      <c r="C795" s="369">
        <v>2400.0</v>
      </c>
      <c r="D795" s="275"/>
      <c r="E795" s="275"/>
      <c r="F795" s="275"/>
    </row>
    <row r="796">
      <c r="A796" s="264" t="s">
        <v>32471</v>
      </c>
      <c r="B796" s="265"/>
      <c r="C796" s="265"/>
      <c r="D796" s="394">
        <v>3.1</v>
      </c>
      <c r="E796" s="394">
        <v>4.2</v>
      </c>
      <c r="F796" s="394">
        <v>0.9</v>
      </c>
    </row>
    <row r="797">
      <c r="A797" s="273" t="s">
        <v>32472</v>
      </c>
      <c r="B797" s="275"/>
      <c r="C797" s="275"/>
      <c r="D797" s="388">
        <v>3.1</v>
      </c>
      <c r="E797" s="377">
        <v>4.2</v>
      </c>
      <c r="F797" s="377">
        <v>0.0</v>
      </c>
    </row>
    <row r="798">
      <c r="A798" s="264" t="s">
        <v>32473</v>
      </c>
      <c r="B798" s="265"/>
      <c r="C798" s="265"/>
      <c r="D798" s="379">
        <v>0.0</v>
      </c>
      <c r="E798" s="265"/>
      <c r="F798" s="265"/>
    </row>
    <row r="799">
      <c r="A799" s="408" t="s">
        <v>32474</v>
      </c>
      <c r="B799" s="409"/>
      <c r="C799" s="409"/>
      <c r="D799" s="409"/>
      <c r="E799" s="409"/>
      <c r="F799" s="409"/>
    </row>
    <row r="800">
      <c r="A800" s="264" t="s">
        <v>32469</v>
      </c>
      <c r="B800" s="265"/>
      <c r="C800" s="265"/>
      <c r="D800" s="265"/>
      <c r="E800" s="265"/>
      <c r="F800" s="265"/>
    </row>
    <row r="801">
      <c r="A801" s="273" t="s">
        <v>32475</v>
      </c>
      <c r="B801" s="275"/>
      <c r="C801" s="275"/>
      <c r="D801" s="388">
        <v>5.4</v>
      </c>
      <c r="E801" s="388">
        <v>8.8</v>
      </c>
      <c r="F801" s="388">
        <v>7.4</v>
      </c>
    </row>
    <row r="802">
      <c r="A802" s="264" t="s">
        <v>32476</v>
      </c>
      <c r="B802" s="265"/>
      <c r="C802" s="265"/>
      <c r="D802" s="394">
        <v>1.2</v>
      </c>
      <c r="E802" s="265"/>
      <c r="F802" s="265"/>
    </row>
    <row r="803">
      <c r="A803" s="273" t="s">
        <v>32473</v>
      </c>
      <c r="B803" s="275"/>
      <c r="C803" s="275"/>
      <c r="D803" s="377">
        <v>373.0</v>
      </c>
      <c r="E803" s="275"/>
      <c r="F803" s="275"/>
    </row>
    <row r="804">
      <c r="A804" s="264" t="s">
        <v>32477</v>
      </c>
      <c r="B804" s="265"/>
      <c r="C804" s="265"/>
      <c r="D804" s="394">
        <v>2.6</v>
      </c>
      <c r="E804" s="265"/>
      <c r="F804" s="265"/>
    </row>
    <row r="805">
      <c r="A805" s="408" t="s">
        <v>32478</v>
      </c>
      <c r="B805" s="409"/>
      <c r="C805" s="409"/>
      <c r="D805" s="409"/>
      <c r="E805" s="409"/>
      <c r="F805" s="409"/>
    </row>
    <row r="806">
      <c r="A806" s="264" t="s">
        <v>32469</v>
      </c>
      <c r="B806" s="265"/>
      <c r="C806" s="265"/>
      <c r="D806" s="265"/>
      <c r="E806" s="265"/>
      <c r="F806" s="265"/>
    </row>
    <row r="807">
      <c r="A807" s="273" t="s">
        <v>32479</v>
      </c>
      <c r="B807" s="275"/>
      <c r="C807" s="275"/>
      <c r="D807" s="274" t="s">
        <v>32480</v>
      </c>
      <c r="E807" s="275"/>
      <c r="F807" s="275"/>
    </row>
    <row r="808">
      <c r="A808" s="408" t="s">
        <v>32481</v>
      </c>
      <c r="B808" s="409"/>
      <c r="C808" s="409"/>
      <c r="D808" s="409"/>
      <c r="E808" s="409"/>
      <c r="F808" s="409"/>
    </row>
    <row r="809">
      <c r="A809" s="273" t="s">
        <v>32469</v>
      </c>
      <c r="B809" s="275"/>
      <c r="C809" s="275"/>
      <c r="D809" s="275"/>
      <c r="E809" s="275"/>
      <c r="F809" s="275"/>
    </row>
    <row r="810">
      <c r="A810" s="264" t="s">
        <v>32479</v>
      </c>
      <c r="B810" s="265"/>
      <c r="C810" s="265"/>
      <c r="D810" s="282" t="s">
        <v>32246</v>
      </c>
      <c r="E810" s="265"/>
      <c r="F810" s="265"/>
    </row>
    <row r="811">
      <c r="A811" s="408" t="s">
        <v>32482</v>
      </c>
      <c r="B811" s="409"/>
      <c r="C811" s="409"/>
      <c r="D811" s="409"/>
      <c r="E811" s="409"/>
      <c r="F811" s="409"/>
    </row>
    <row r="812">
      <c r="A812" s="264" t="s">
        <v>32469</v>
      </c>
      <c r="B812" s="265"/>
      <c r="C812" s="265"/>
      <c r="D812" s="265"/>
      <c r="E812" s="265"/>
      <c r="F812" s="265"/>
    </row>
    <row r="813">
      <c r="A813" s="273" t="s">
        <v>32476</v>
      </c>
      <c r="B813" s="275"/>
      <c r="C813" s="275"/>
      <c r="D813" s="388">
        <v>0.2</v>
      </c>
      <c r="E813" s="275"/>
      <c r="F813" s="275"/>
    </row>
    <row r="814">
      <c r="A814" s="264" t="s">
        <v>32483</v>
      </c>
      <c r="B814" s="265"/>
      <c r="C814" s="265"/>
      <c r="D814" s="282" t="s">
        <v>32484</v>
      </c>
      <c r="E814" s="265"/>
      <c r="F814" s="265"/>
    </row>
    <row r="815">
      <c r="A815" s="408" t="s">
        <v>32485</v>
      </c>
      <c r="B815" s="409"/>
      <c r="C815" s="409"/>
      <c r="D815" s="409"/>
      <c r="E815" s="409"/>
      <c r="F815" s="409"/>
    </row>
    <row r="816">
      <c r="A816" s="264" t="s">
        <v>32469</v>
      </c>
      <c r="B816" s="265"/>
      <c r="C816" s="265"/>
      <c r="D816" s="265"/>
      <c r="E816" s="265"/>
      <c r="F816" s="265"/>
    </row>
    <row r="817">
      <c r="A817" s="273" t="s">
        <v>32479</v>
      </c>
      <c r="B817" s="275"/>
      <c r="C817" s="275"/>
      <c r="D817" s="274" t="s">
        <v>32246</v>
      </c>
      <c r="E817" s="275"/>
      <c r="F817" s="275"/>
    </row>
    <row r="818">
      <c r="A818" s="264" t="s">
        <v>32483</v>
      </c>
      <c r="B818" s="265"/>
      <c r="C818" s="265"/>
      <c r="D818" s="282" t="s">
        <v>32486</v>
      </c>
      <c r="E818" s="265"/>
      <c r="F818" s="265"/>
    </row>
    <row r="819">
      <c r="A819" s="273" t="s">
        <v>32473</v>
      </c>
      <c r="B819" s="275"/>
      <c r="C819" s="275"/>
      <c r="D819" s="369">
        <v>1900.0</v>
      </c>
      <c r="E819" s="275"/>
      <c r="F819" s="275"/>
    </row>
    <row r="820">
      <c r="A820" s="264" t="s">
        <v>32477</v>
      </c>
      <c r="B820" s="265"/>
      <c r="C820" s="265"/>
      <c r="D820" s="394">
        <v>3.97</v>
      </c>
      <c r="E820" s="265"/>
      <c r="F820" s="265"/>
    </row>
    <row r="821">
      <c r="A821" s="273" t="s">
        <v>32487</v>
      </c>
      <c r="B821" s="275"/>
      <c r="C821" s="275"/>
      <c r="D821" s="388">
        <v>5.5</v>
      </c>
      <c r="E821" s="275"/>
      <c r="F821" s="275"/>
    </row>
    <row r="822">
      <c r="A822" s="408" t="s">
        <v>32488</v>
      </c>
      <c r="B822" s="409"/>
      <c r="C822" s="409"/>
      <c r="D822" s="409"/>
      <c r="E822" s="409"/>
      <c r="F822" s="409"/>
    </row>
    <row r="823">
      <c r="A823" s="273" t="s">
        <v>32469</v>
      </c>
      <c r="B823" s="275"/>
      <c r="C823" s="275"/>
      <c r="D823" s="275"/>
      <c r="E823" s="275"/>
      <c r="F823" s="275"/>
    </row>
    <row r="824">
      <c r="A824" s="264" t="s">
        <v>32489</v>
      </c>
      <c r="B824" s="265"/>
      <c r="C824" s="265"/>
      <c r="D824" s="411">
        <v>0.0</v>
      </c>
      <c r="E824" s="265"/>
      <c r="F824" s="265"/>
    </row>
    <row r="825">
      <c r="A825" s="408" t="s">
        <v>32490</v>
      </c>
      <c r="B825" s="409"/>
      <c r="C825" s="409"/>
      <c r="D825" s="409"/>
      <c r="E825" s="409"/>
      <c r="F825" s="409"/>
    </row>
    <row r="826">
      <c r="A826" s="264" t="s">
        <v>32469</v>
      </c>
      <c r="B826" s="265"/>
      <c r="C826" s="265"/>
      <c r="D826" s="265"/>
      <c r="E826" s="265"/>
      <c r="F826" s="265"/>
    </row>
    <row r="827">
      <c r="A827" s="273" t="s">
        <v>32489</v>
      </c>
      <c r="B827" s="275"/>
      <c r="C827" s="275"/>
      <c r="D827" s="410">
        <v>2.0</v>
      </c>
      <c r="E827" s="275"/>
      <c r="F827" s="275"/>
    </row>
    <row r="828">
      <c r="A828" s="408" t="s">
        <v>32491</v>
      </c>
      <c r="B828" s="409"/>
      <c r="C828" s="409"/>
      <c r="D828" s="409"/>
      <c r="E828" s="409"/>
      <c r="F828" s="409"/>
    </row>
    <row r="829">
      <c r="A829" s="273" t="s">
        <v>32469</v>
      </c>
      <c r="B829" s="275"/>
      <c r="C829" s="275"/>
      <c r="D829" s="275"/>
      <c r="E829" s="275"/>
      <c r="F829" s="275"/>
    </row>
    <row r="830">
      <c r="A830" s="264" t="s">
        <v>32479</v>
      </c>
      <c r="B830" s="265"/>
      <c r="C830" s="265"/>
      <c r="D830" s="282" t="s">
        <v>32246</v>
      </c>
      <c r="E830" s="265"/>
      <c r="F830" s="265"/>
    </row>
    <row r="831">
      <c r="A831" s="273" t="s">
        <v>32483</v>
      </c>
      <c r="B831" s="275"/>
      <c r="C831" s="275"/>
      <c r="D831" s="274" t="s">
        <v>32492</v>
      </c>
      <c r="E831" s="275"/>
      <c r="F831" s="275"/>
    </row>
    <row r="832">
      <c r="A832" s="264" t="s">
        <v>32487</v>
      </c>
      <c r="B832" s="265"/>
      <c r="C832" s="265"/>
      <c r="D832" s="394">
        <v>11.9</v>
      </c>
      <c r="E832" s="265"/>
      <c r="F832" s="265"/>
    </row>
    <row r="833">
      <c r="A833" s="408" t="s">
        <v>32493</v>
      </c>
      <c r="B833" s="409"/>
      <c r="C833" s="409"/>
      <c r="D833" s="409"/>
      <c r="E833" s="409"/>
      <c r="F833" s="409"/>
    </row>
    <row r="834">
      <c r="A834" s="264" t="s">
        <v>32469</v>
      </c>
      <c r="B834" s="265"/>
      <c r="C834" s="265"/>
      <c r="D834" s="265"/>
      <c r="E834" s="265"/>
      <c r="F834" s="265"/>
    </row>
    <row r="835">
      <c r="A835" s="273" t="s">
        <v>32479</v>
      </c>
      <c r="B835" s="275"/>
      <c r="C835" s="275"/>
      <c r="D835" s="274" t="s">
        <v>32246</v>
      </c>
      <c r="E835" s="275"/>
      <c r="F835" s="275"/>
    </row>
    <row r="836">
      <c r="A836" s="264" t="s">
        <v>32483</v>
      </c>
      <c r="B836" s="265"/>
      <c r="C836" s="265"/>
      <c r="D836" s="282" t="s">
        <v>32494</v>
      </c>
      <c r="E836" s="265"/>
      <c r="F836" s="265"/>
    </row>
    <row r="837">
      <c r="A837" s="273" t="s">
        <v>32487</v>
      </c>
      <c r="B837" s="275"/>
      <c r="C837" s="275"/>
      <c r="D837" s="388">
        <v>0.6</v>
      </c>
      <c r="E837" s="275"/>
      <c r="F837" s="275"/>
    </row>
    <row r="838">
      <c r="A838" s="264" t="s">
        <v>32495</v>
      </c>
      <c r="B838" s="265"/>
      <c r="C838" s="265"/>
      <c r="D838" s="282" t="s">
        <v>32496</v>
      </c>
      <c r="E838" s="265"/>
      <c r="F838" s="265"/>
    </row>
    <row r="839">
      <c r="A839" s="408" t="s">
        <v>32497</v>
      </c>
      <c r="B839" s="409"/>
      <c r="C839" s="409"/>
      <c r="D839" s="409"/>
      <c r="E839" s="409"/>
      <c r="F839" s="409"/>
    </row>
    <row r="840">
      <c r="A840" s="264" t="s">
        <v>32469</v>
      </c>
      <c r="B840" s="265"/>
      <c r="C840" s="265"/>
      <c r="D840" s="265"/>
      <c r="E840" s="265"/>
      <c r="F840" s="265"/>
    </row>
    <row r="841">
      <c r="A841" s="273" t="s">
        <v>32489</v>
      </c>
      <c r="B841" s="275"/>
      <c r="C841" s="275"/>
      <c r="D841" s="410">
        <v>0.0</v>
      </c>
      <c r="E841" s="275"/>
      <c r="F841" s="275"/>
    </row>
    <row r="842">
      <c r="A842" s="408" t="s">
        <v>32498</v>
      </c>
      <c r="B842" s="409"/>
      <c r="C842" s="409"/>
      <c r="D842" s="409"/>
      <c r="E842" s="409"/>
      <c r="F842" s="409"/>
    </row>
    <row r="843">
      <c r="A843" s="273" t="s">
        <v>32469</v>
      </c>
      <c r="B843" s="275"/>
      <c r="C843" s="275"/>
      <c r="D843" s="275"/>
      <c r="E843" s="275"/>
      <c r="F843" s="275"/>
    </row>
    <row r="844">
      <c r="A844" s="264" t="s">
        <v>32489</v>
      </c>
      <c r="B844" s="265"/>
      <c r="C844" s="265"/>
      <c r="D844" s="411">
        <v>2.0</v>
      </c>
      <c r="E844" s="265"/>
      <c r="F844" s="265"/>
    </row>
    <row r="845">
      <c r="A845" s="408" t="s">
        <v>32499</v>
      </c>
      <c r="B845" s="409"/>
      <c r="C845" s="409"/>
      <c r="D845" s="409"/>
      <c r="E845" s="409"/>
      <c r="F845" s="409"/>
    </row>
    <row r="846">
      <c r="A846" s="264" t="s">
        <v>32469</v>
      </c>
      <c r="B846" s="265"/>
      <c r="C846" s="265"/>
      <c r="D846" s="265"/>
      <c r="E846" s="265"/>
      <c r="F846" s="265"/>
    </row>
    <row r="847">
      <c r="A847" s="273" t="s">
        <v>32479</v>
      </c>
      <c r="B847" s="275"/>
      <c r="C847" s="275"/>
      <c r="D847" s="274" t="s">
        <v>32246</v>
      </c>
      <c r="E847" s="275"/>
      <c r="F847" s="275"/>
    </row>
    <row r="848">
      <c r="A848" s="264" t="s">
        <v>32495</v>
      </c>
      <c r="B848" s="265"/>
      <c r="C848" s="265"/>
      <c r="D848" s="282" t="s">
        <v>32496</v>
      </c>
      <c r="E848" s="265"/>
      <c r="F848" s="265"/>
    </row>
    <row r="849">
      <c r="A849" s="371" t="s">
        <v>32500</v>
      </c>
      <c r="B849" s="389" t="s">
        <v>31792</v>
      </c>
      <c r="C849" s="390"/>
      <c r="D849" s="391"/>
    </row>
    <row r="850">
      <c r="A850" s="255"/>
      <c r="B850" s="256">
        <v>44954.0</v>
      </c>
      <c r="C850" s="256">
        <v>44590.0</v>
      </c>
      <c r="D850" s="256">
        <v>44226.0</v>
      </c>
    </row>
    <row r="851">
      <c r="A851" s="264" t="s">
        <v>32469</v>
      </c>
      <c r="B851" s="265"/>
      <c r="C851" s="265"/>
      <c r="D851" s="265"/>
    </row>
    <row r="852">
      <c r="A852" s="273" t="s">
        <v>32013</v>
      </c>
      <c r="B852" s="374">
        <v>7540.0</v>
      </c>
      <c r="C852" s="374">
        <v>9809.0</v>
      </c>
      <c r="D852" s="374">
        <v>9462.0</v>
      </c>
    </row>
    <row r="853">
      <c r="A853" s="264" t="s">
        <v>32501</v>
      </c>
      <c r="B853" s="375">
        <v>16202.0</v>
      </c>
      <c r="C853" s="375">
        <v>18951.0</v>
      </c>
      <c r="D853" s="375">
        <v>10157.0</v>
      </c>
    </row>
    <row r="854">
      <c r="A854" s="408" t="s">
        <v>32474</v>
      </c>
      <c r="B854" s="409"/>
      <c r="C854" s="409"/>
      <c r="D854" s="409"/>
    </row>
    <row r="855">
      <c r="A855" s="264" t="s">
        <v>32469</v>
      </c>
      <c r="B855" s="265"/>
      <c r="C855" s="265"/>
      <c r="D855" s="265"/>
    </row>
    <row r="856">
      <c r="A856" s="273" t="s">
        <v>32013</v>
      </c>
      <c r="B856" s="369">
        <v>4075.0</v>
      </c>
      <c r="C856" s="369">
        <v>6212.0</v>
      </c>
      <c r="D856" s="369">
        <v>8220.0</v>
      </c>
    </row>
    <row r="857">
      <c r="A857" s="408" t="s">
        <v>32482</v>
      </c>
      <c r="B857" s="409"/>
      <c r="C857" s="409"/>
      <c r="D857" s="409"/>
    </row>
    <row r="858">
      <c r="A858" s="273" t="s">
        <v>32469</v>
      </c>
      <c r="B858" s="275"/>
      <c r="C858" s="275"/>
      <c r="D858" s="275"/>
    </row>
    <row r="859">
      <c r="A859" s="264" t="s">
        <v>32013</v>
      </c>
      <c r="B859" s="379">
        <v>350.0</v>
      </c>
      <c r="C859" s="379">
        <v>728.0</v>
      </c>
      <c r="D859" s="375">
        <v>1242.0</v>
      </c>
    </row>
    <row r="860">
      <c r="A860" s="408" t="s">
        <v>32502</v>
      </c>
      <c r="B860" s="409"/>
      <c r="C860" s="409"/>
      <c r="D860" s="409"/>
    </row>
    <row r="861">
      <c r="A861" s="264" t="s">
        <v>32469</v>
      </c>
      <c r="B861" s="265"/>
      <c r="C861" s="265"/>
      <c r="D861" s="265"/>
    </row>
    <row r="862">
      <c r="A862" s="273" t="s">
        <v>32013</v>
      </c>
      <c r="B862" s="369">
        <v>3115.0</v>
      </c>
      <c r="C862" s="369">
        <v>2869.0</v>
      </c>
      <c r="D862" s="377">
        <v>0.0</v>
      </c>
    </row>
    <row r="863">
      <c r="A863" s="408" t="s">
        <v>32503</v>
      </c>
      <c r="B863" s="409"/>
      <c r="C863" s="409"/>
      <c r="D863" s="409"/>
    </row>
    <row r="864">
      <c r="A864" s="273" t="s">
        <v>32469</v>
      </c>
      <c r="B864" s="275"/>
      <c r="C864" s="275"/>
      <c r="D864" s="275"/>
    </row>
    <row r="865">
      <c r="A865" s="264" t="s">
        <v>32501</v>
      </c>
      <c r="B865" s="367">
        <v>8662.0</v>
      </c>
      <c r="C865" s="367">
        <v>9142.0</v>
      </c>
      <c r="D865" s="367">
        <v>695.0</v>
      </c>
    </row>
    <row r="866">
      <c r="A866" s="371" t="s">
        <v>32504</v>
      </c>
      <c r="B866" s="246" t="s">
        <v>31792</v>
      </c>
    </row>
    <row r="867">
      <c r="A867" s="255"/>
      <c r="B867" s="246" t="s">
        <v>32505</v>
      </c>
    </row>
    <row r="868">
      <c r="A868" s="264" t="s">
        <v>32506</v>
      </c>
      <c r="B868" s="265"/>
    </row>
    <row r="869">
      <c r="A869" s="273" t="s">
        <v>32507</v>
      </c>
      <c r="B869" s="369">
        <v>3561.0</v>
      </c>
    </row>
    <row r="870">
      <c r="A870" s="264" t="s">
        <v>32508</v>
      </c>
      <c r="B870" s="379">
        <v>373.0</v>
      </c>
    </row>
    <row r="871">
      <c r="A871" s="273" t="s">
        <v>32509</v>
      </c>
      <c r="B871" s="369">
        <v>-1888.0</v>
      </c>
    </row>
    <row r="872">
      <c r="A872" s="264" t="s">
        <v>32510</v>
      </c>
      <c r="B872" s="379">
        <v>-313.0</v>
      </c>
    </row>
    <row r="873">
      <c r="A873" s="273" t="s">
        <v>32511</v>
      </c>
      <c r="B873" s="369">
        <v>1733.0</v>
      </c>
    </row>
    <row r="874">
      <c r="A874" s="264" t="s">
        <v>32512</v>
      </c>
      <c r="B874" s="265"/>
    </row>
    <row r="875">
      <c r="A875" s="273" t="s">
        <v>32513</v>
      </c>
      <c r="B875" s="388">
        <v>2.55</v>
      </c>
    </row>
    <row r="876">
      <c r="A876" s="264" t="s">
        <v>32514</v>
      </c>
      <c r="B876" s="379">
        <v>2.6</v>
      </c>
    </row>
    <row r="877">
      <c r="A877" s="273" t="s">
        <v>32515</v>
      </c>
      <c r="B877" s="377">
        <v>2.84</v>
      </c>
    </row>
    <row r="878">
      <c r="A878" s="264" t="s">
        <v>32516</v>
      </c>
      <c r="B878" s="379">
        <v>2.39</v>
      </c>
    </row>
    <row r="879">
      <c r="A879" s="273" t="s">
        <v>32517</v>
      </c>
      <c r="B879" s="388">
        <v>2.27</v>
      </c>
    </row>
    <row r="880">
      <c r="A880" s="371" t="s">
        <v>32518</v>
      </c>
      <c r="B880" s="246" t="s">
        <v>31792</v>
      </c>
    </row>
    <row r="881">
      <c r="A881" s="255"/>
      <c r="B881" s="246" t="s">
        <v>32519</v>
      </c>
    </row>
    <row r="882">
      <c r="A882" s="264" t="s">
        <v>32506</v>
      </c>
      <c r="B882" s="265"/>
    </row>
    <row r="883">
      <c r="A883" s="273" t="s">
        <v>32520</v>
      </c>
      <c r="B883" s="369">
        <v>2973.0</v>
      </c>
    </row>
    <row r="884">
      <c r="A884" s="264" t="s">
        <v>32508</v>
      </c>
      <c r="B884" s="379">
        <v>0.0</v>
      </c>
    </row>
    <row r="885">
      <c r="A885" s="273" t="s">
        <v>32521</v>
      </c>
      <c r="B885" s="377">
        <v>0.0</v>
      </c>
    </row>
    <row r="886">
      <c r="A886" s="264" t="s">
        <v>32522</v>
      </c>
      <c r="B886" s="379">
        <v>-116.0</v>
      </c>
    </row>
    <row r="887">
      <c r="A887" s="273" t="s">
        <v>32523</v>
      </c>
      <c r="B887" s="369">
        <v>2857.0</v>
      </c>
    </row>
    <row r="888">
      <c r="A888" s="264" t="s">
        <v>32524</v>
      </c>
      <c r="B888" s="379">
        <v>279.0</v>
      </c>
    </row>
    <row r="889">
      <c r="A889" s="273" t="s">
        <v>32525</v>
      </c>
      <c r="B889" s="369">
        <v>2577.0</v>
      </c>
    </row>
    <row r="890">
      <c r="A890" s="264" t="s">
        <v>32526</v>
      </c>
      <c r="B890" s="265"/>
    </row>
    <row r="891">
      <c r="A891" s="273" t="s">
        <v>32527</v>
      </c>
      <c r="B891" s="388">
        <v>5.39</v>
      </c>
    </row>
    <row r="892">
      <c r="A892" s="264" t="s">
        <v>32514</v>
      </c>
      <c r="B892" s="379">
        <v>0.0</v>
      </c>
    </row>
    <row r="893">
      <c r="A893" s="273" t="s">
        <v>32528</v>
      </c>
      <c r="B893" s="377">
        <v>0.0</v>
      </c>
    </row>
    <row r="894">
      <c r="A894" s="264" t="s">
        <v>32529</v>
      </c>
      <c r="B894" s="379">
        <v>18.91</v>
      </c>
    </row>
    <row r="895">
      <c r="A895" s="273" t="s">
        <v>32530</v>
      </c>
      <c r="B895" s="377">
        <v>4.84</v>
      </c>
    </row>
    <row r="896">
      <c r="A896" s="264" t="s">
        <v>32531</v>
      </c>
      <c r="B896" s="379">
        <v>2.6</v>
      </c>
    </row>
    <row r="897">
      <c r="A897" s="273" t="s">
        <v>32532</v>
      </c>
      <c r="B897" s="388">
        <v>5.09</v>
      </c>
    </row>
    <row r="898">
      <c r="A898" s="264" t="s">
        <v>32533</v>
      </c>
      <c r="B898" s="265"/>
    </row>
    <row r="899">
      <c r="A899" s="273" t="s">
        <v>32534</v>
      </c>
      <c r="B899" s="274" t="s">
        <v>32535</v>
      </c>
    </row>
    <row r="900">
      <c r="A900" s="264" t="s">
        <v>32536</v>
      </c>
      <c r="B900" s="282" t="s">
        <v>32537</v>
      </c>
    </row>
    <row r="901">
      <c r="A901" s="273" t="s">
        <v>32538</v>
      </c>
      <c r="B901" s="274" t="s">
        <v>32539</v>
      </c>
    </row>
    <row r="902">
      <c r="A902" s="264" t="s">
        <v>32540</v>
      </c>
      <c r="B902" s="265"/>
    </row>
    <row r="903">
      <c r="A903" s="273" t="s">
        <v>32541</v>
      </c>
      <c r="B903" s="374">
        <v>0.0</v>
      </c>
    </row>
    <row r="904">
      <c r="A904" s="264" t="s">
        <v>32542</v>
      </c>
      <c r="B904" s="379">
        <v>0.0</v>
      </c>
    </row>
    <row r="905">
      <c r="A905" s="273" t="s">
        <v>32543</v>
      </c>
      <c r="B905" s="374">
        <v>0.0</v>
      </c>
    </row>
    <row r="906">
      <c r="A906" s="371" t="s">
        <v>32544</v>
      </c>
      <c r="B906" s="389" t="s">
        <v>31792</v>
      </c>
      <c r="C906" s="390"/>
      <c r="D906" s="391"/>
    </row>
    <row r="907">
      <c r="A907" s="255"/>
      <c r="B907" s="256">
        <v>44954.0</v>
      </c>
      <c r="C907" s="256">
        <v>44590.0</v>
      </c>
      <c r="D907" s="256">
        <v>44226.0</v>
      </c>
    </row>
    <row r="908">
      <c r="A908" s="264" t="s">
        <v>32545</v>
      </c>
      <c r="B908" s="265"/>
      <c r="C908" s="265"/>
      <c r="D908" s="265"/>
    </row>
    <row r="909">
      <c r="A909" s="273" t="s">
        <v>32546</v>
      </c>
      <c r="B909" s="369">
        <v>68046.0</v>
      </c>
      <c r="C909" s="369">
        <v>66448.0</v>
      </c>
      <c r="D909" s="369">
        <v>64624.0</v>
      </c>
    </row>
    <row r="910">
      <c r="A910" s="264" t="s">
        <v>32547</v>
      </c>
      <c r="B910" s="375">
        <v>1012.0</v>
      </c>
      <c r="C910" s="379">
        <v>0.0</v>
      </c>
      <c r="D910" s="379">
        <v>0.0</v>
      </c>
    </row>
    <row r="911">
      <c r="A911" s="273" t="s">
        <v>32548</v>
      </c>
      <c r="B911" s="392">
        <v>69058.0</v>
      </c>
      <c r="C911" s="392">
        <v>66448.0</v>
      </c>
      <c r="D911" s="392">
        <v>64624.0</v>
      </c>
    </row>
    <row r="912">
      <c r="A912" s="264" t="s">
        <v>32549</v>
      </c>
      <c r="B912" s="375">
        <v>3400.0</v>
      </c>
      <c r="C912" s="375">
        <v>7800.0</v>
      </c>
      <c r="D912" s="375">
        <v>10600.0</v>
      </c>
    </row>
    <row r="913">
      <c r="A913" s="408" t="s">
        <v>32502</v>
      </c>
      <c r="B913" s="409"/>
      <c r="C913" s="409"/>
      <c r="D913" s="409"/>
    </row>
    <row r="914">
      <c r="A914" s="264" t="s">
        <v>32545</v>
      </c>
      <c r="B914" s="265"/>
      <c r="C914" s="265"/>
      <c r="D914" s="265"/>
    </row>
    <row r="915">
      <c r="A915" s="273" t="s">
        <v>32549</v>
      </c>
      <c r="B915" s="369">
        <v>2900.0</v>
      </c>
      <c r="C915" s="275"/>
      <c r="D915" s="275"/>
    </row>
    <row r="916">
      <c r="A916" s="371" t="s">
        <v>32550</v>
      </c>
      <c r="B916" s="389" t="s">
        <v>31792</v>
      </c>
      <c r="C916" s="390"/>
      <c r="D916" s="391"/>
    </row>
    <row r="917">
      <c r="A917" s="255"/>
      <c r="B917" s="256">
        <v>44954.0</v>
      </c>
      <c r="C917" s="256">
        <v>44590.0</v>
      </c>
      <c r="D917" s="256">
        <v>44226.0</v>
      </c>
    </row>
    <row r="918">
      <c r="A918" s="264" t="s">
        <v>32093</v>
      </c>
      <c r="B918" s="265"/>
      <c r="C918" s="265"/>
      <c r="D918" s="265"/>
    </row>
    <row r="919">
      <c r="A919" s="273" t="s">
        <v>32551</v>
      </c>
      <c r="B919" s="410">
        <v>0.15</v>
      </c>
      <c r="C919" s="275"/>
      <c r="D919" s="275"/>
    </row>
    <row r="920">
      <c r="A920" s="264" t="s">
        <v>32552</v>
      </c>
      <c r="B920" s="394">
        <v>3.8</v>
      </c>
      <c r="C920" s="394">
        <v>3.7</v>
      </c>
      <c r="D920" s="394">
        <v>3.4</v>
      </c>
    </row>
  </sheetData>
  <mergeCells count="79">
    <mergeCell ref="A403:A404"/>
    <mergeCell ref="A432:A433"/>
    <mergeCell ref="B432:D432"/>
    <mergeCell ref="A438:A439"/>
    <mergeCell ref="B438:D438"/>
    <mergeCell ref="A457:A458"/>
    <mergeCell ref="B457:C457"/>
    <mergeCell ref="A467:A468"/>
    <mergeCell ref="B467:C467"/>
    <mergeCell ref="A485:A486"/>
    <mergeCell ref="B485:C485"/>
    <mergeCell ref="A491:A492"/>
    <mergeCell ref="B491:D491"/>
    <mergeCell ref="D520:E520"/>
    <mergeCell ref="A520:A521"/>
    <mergeCell ref="A561:A562"/>
    <mergeCell ref="A581:A582"/>
    <mergeCell ref="B581:D581"/>
    <mergeCell ref="A587:A588"/>
    <mergeCell ref="B587:D587"/>
    <mergeCell ref="B609:D609"/>
    <mergeCell ref="A609:A610"/>
    <mergeCell ref="A620:A621"/>
    <mergeCell ref="B620:D620"/>
    <mergeCell ref="A652:A653"/>
    <mergeCell ref="B652:D652"/>
    <mergeCell ref="A667:A668"/>
    <mergeCell ref="B667:D667"/>
    <mergeCell ref="A906:A907"/>
    <mergeCell ref="B906:D906"/>
    <mergeCell ref="A916:A917"/>
    <mergeCell ref="B916:D916"/>
    <mergeCell ref="A698:A699"/>
    <mergeCell ref="A775:A776"/>
    <mergeCell ref="A792:A793"/>
    <mergeCell ref="A849:A850"/>
    <mergeCell ref="B849:D849"/>
    <mergeCell ref="A866:A867"/>
    <mergeCell ref="A880:A881"/>
    <mergeCell ref="A1:A2"/>
    <mergeCell ref="G8:I8"/>
    <mergeCell ref="A38:A39"/>
    <mergeCell ref="A94:A95"/>
    <mergeCell ref="B94:D94"/>
    <mergeCell ref="A154:A155"/>
    <mergeCell ref="B154:D154"/>
    <mergeCell ref="A199:A200"/>
    <mergeCell ref="A203:A204"/>
    <mergeCell ref="A207:A208"/>
    <mergeCell ref="A211:A212"/>
    <mergeCell ref="A215:A216"/>
    <mergeCell ref="A219:A220"/>
    <mergeCell ref="A223:A224"/>
    <mergeCell ref="A227:A228"/>
    <mergeCell ref="A231:A232"/>
    <mergeCell ref="A235:A236"/>
    <mergeCell ref="A239:A240"/>
    <mergeCell ref="A243:A244"/>
    <mergeCell ref="A247:A248"/>
    <mergeCell ref="A270:A271"/>
    <mergeCell ref="A314:A315"/>
    <mergeCell ref="A318:A319"/>
    <mergeCell ref="D318:F318"/>
    <mergeCell ref="B361:D361"/>
    <mergeCell ref="A361:A362"/>
    <mergeCell ref="A365:A366"/>
    <mergeCell ref="B365:D365"/>
    <mergeCell ref="A274:A275"/>
    <mergeCell ref="A282:A283"/>
    <mergeCell ref="A286:A287"/>
    <mergeCell ref="A290:A291"/>
    <mergeCell ref="A296:A297"/>
    <mergeCell ref="A304:A305"/>
    <mergeCell ref="A308:A309"/>
    <mergeCell ref="A674:A675"/>
    <mergeCell ref="B674:D674"/>
    <mergeCell ref="F698:H698"/>
    <mergeCell ref="E775:G775"/>
    <mergeCell ref="D792:F792"/>
  </mergeCells>
  <hyperlinks>
    <hyperlink r:id="rId2" ref="M40"/>
    <hyperlink r:id="rId3" ref="M53"/>
    <hyperlink r:id="rId4" location="iafc61fe053ca4f29ab1ee46efd4d2b75_154" ref="B202"/>
    <hyperlink r:id="rId5" location="iafc61fe053ca4f29ab1ee46efd4d2b75_154" ref="B206"/>
    <hyperlink r:id="rId6" location="iafc61fe053ca4f29ab1ee46efd4d2b75_121" ref="B210"/>
    <hyperlink r:id="rId7" location="iafc61fe053ca4f29ab1ee46efd4d2b75_139" ref="B214"/>
    <hyperlink r:id="rId8" location="iafc61fe053ca4f29ab1ee46efd4d2b75_154" ref="B267"/>
  </hyperlinks>
  <drawing r:id="rId9"/>
  <legacy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6.88"/>
    <col customWidth="1" min="5" max="5" width="32.5"/>
    <col customWidth="1" min="6" max="6" width="28.0"/>
    <col customWidth="1" min="7" max="7" width="38.88"/>
    <col customWidth="1" min="8" max="8" width="16.5"/>
    <col customWidth="1" min="9" max="9" width="17.75"/>
  </cols>
  <sheetData>
    <row r="1">
      <c r="A1" s="417" t="s">
        <v>32553</v>
      </c>
      <c r="B1" s="418"/>
      <c r="C1" s="418"/>
      <c r="E1" s="419" t="s">
        <v>32554</v>
      </c>
      <c r="F1" s="419" t="s">
        <v>32555</v>
      </c>
      <c r="G1" s="419" t="s">
        <v>32556</v>
      </c>
      <c r="H1" s="419" t="s">
        <v>32557</v>
      </c>
      <c r="J1" s="420"/>
      <c r="M1" s="421"/>
    </row>
    <row r="2">
      <c r="A2" s="422" t="s">
        <v>32558</v>
      </c>
      <c r="B2" s="423"/>
      <c r="C2" s="424"/>
      <c r="D2" s="99"/>
      <c r="E2" s="425" t="s">
        <v>32559</v>
      </c>
      <c r="F2" s="426" t="s">
        <v>32560</v>
      </c>
      <c r="G2" s="427" t="s">
        <v>32561</v>
      </c>
      <c r="H2" s="428" t="s">
        <v>32562</v>
      </c>
      <c r="I2" s="426"/>
      <c r="J2" s="429"/>
      <c r="M2" s="430"/>
    </row>
    <row r="3">
      <c r="A3" s="24" t="s">
        <v>32563</v>
      </c>
      <c r="B3" s="423"/>
      <c r="C3" s="431"/>
      <c r="E3" s="432" t="s">
        <v>32564</v>
      </c>
      <c r="F3" s="427"/>
      <c r="G3" s="427"/>
      <c r="H3" s="428" t="s">
        <v>32565</v>
      </c>
      <c r="I3" s="433"/>
      <c r="J3" s="434"/>
      <c r="M3" s="435"/>
    </row>
    <row r="4">
      <c r="A4" s="120" t="s">
        <v>32566</v>
      </c>
      <c r="B4" s="423"/>
      <c r="C4" s="423"/>
      <c r="E4" s="427" t="s">
        <v>32567</v>
      </c>
      <c r="F4" s="427"/>
      <c r="G4" s="427"/>
      <c r="H4" s="427"/>
      <c r="I4" s="426"/>
      <c r="M4" s="436"/>
    </row>
    <row r="5">
      <c r="A5" s="24" t="s">
        <v>32568</v>
      </c>
      <c r="B5" s="423"/>
      <c r="C5" s="423"/>
      <c r="E5" s="427" t="s">
        <v>32569</v>
      </c>
      <c r="F5" s="427"/>
      <c r="G5" s="427"/>
      <c r="H5" s="427"/>
      <c r="I5" s="426"/>
      <c r="M5" s="437"/>
    </row>
    <row r="6">
      <c r="A6" s="438" t="s">
        <v>32570</v>
      </c>
      <c r="B6" s="423"/>
      <c r="C6" s="423"/>
      <c r="E6" s="439" t="s">
        <v>32571</v>
      </c>
      <c r="F6" s="427"/>
      <c r="G6" s="426"/>
      <c r="H6" s="427"/>
      <c r="I6" s="440"/>
      <c r="M6" s="436"/>
    </row>
    <row r="7">
      <c r="A7" s="441" t="s">
        <v>32572</v>
      </c>
      <c r="B7" s="423"/>
      <c r="C7" s="423"/>
      <c r="E7" s="7" t="s">
        <v>32573</v>
      </c>
      <c r="G7" s="426"/>
      <c r="I7" s="440"/>
      <c r="M7" s="442"/>
    </row>
    <row r="8">
      <c r="A8" s="443" t="s">
        <v>32574</v>
      </c>
      <c r="B8" s="423"/>
      <c r="C8" s="423"/>
      <c r="E8" s="7" t="s">
        <v>32575</v>
      </c>
      <c r="F8" s="440"/>
      <c r="G8" s="426"/>
      <c r="H8" s="440"/>
      <c r="I8" s="440"/>
      <c r="M8" s="444"/>
    </row>
    <row r="9">
      <c r="A9" s="445" t="s">
        <v>32576</v>
      </c>
      <c r="B9" s="423"/>
      <c r="C9" s="423"/>
      <c r="E9" s="446" t="s">
        <v>32577</v>
      </c>
      <c r="F9" s="446"/>
      <c r="G9" s="426"/>
      <c r="H9" s="440"/>
      <c r="I9" s="440"/>
      <c r="M9" s="447"/>
      <c r="N9" s="447"/>
      <c r="O9" s="447"/>
      <c r="P9" s="447"/>
    </row>
    <row r="10">
      <c r="A10" s="24" t="s">
        <v>32578</v>
      </c>
      <c r="B10" s="423"/>
      <c r="C10" s="423"/>
      <c r="E10" s="431" t="s">
        <v>32579</v>
      </c>
      <c r="F10" s="448"/>
      <c r="G10" s="440"/>
      <c r="H10" s="440"/>
      <c r="I10" s="440"/>
      <c r="M10" s="449"/>
      <c r="N10" s="449"/>
      <c r="O10" s="449"/>
      <c r="P10" s="449"/>
    </row>
    <row r="11">
      <c r="A11" s="7" t="s">
        <v>32580</v>
      </c>
      <c r="B11" s="450"/>
      <c r="C11" s="450"/>
      <c r="E11" s="424" t="s">
        <v>32581</v>
      </c>
      <c r="F11" s="426"/>
      <c r="G11" s="440"/>
      <c r="H11" s="440"/>
      <c r="I11" s="440"/>
      <c r="M11" s="449"/>
      <c r="N11" s="449"/>
      <c r="O11" s="449"/>
      <c r="P11" s="449"/>
    </row>
    <row r="12">
      <c r="A12" s="451" t="s">
        <v>32582</v>
      </c>
      <c r="B12" s="423"/>
      <c r="C12" s="423"/>
      <c r="E12" s="452" t="s">
        <v>32583</v>
      </c>
      <c r="F12" s="426"/>
      <c r="G12" s="440"/>
      <c r="H12" s="440"/>
      <c r="I12" s="440"/>
      <c r="M12" s="449"/>
      <c r="N12" s="449"/>
      <c r="O12" s="449"/>
      <c r="P12" s="449"/>
    </row>
    <row r="13">
      <c r="A13" s="443" t="s">
        <v>32584</v>
      </c>
      <c r="B13" s="423"/>
      <c r="C13" s="423"/>
      <c r="E13" s="452" t="s">
        <v>32585</v>
      </c>
      <c r="F13" s="426"/>
      <c r="G13" s="440"/>
      <c r="H13" s="440"/>
      <c r="I13" s="440"/>
      <c r="M13" s="449"/>
      <c r="N13" s="449"/>
      <c r="O13" s="449"/>
      <c r="P13" s="449"/>
    </row>
    <row r="14">
      <c r="A14" s="453" t="s">
        <v>32586</v>
      </c>
      <c r="B14" s="423"/>
      <c r="C14" s="423"/>
      <c r="E14" s="429" t="s">
        <v>32587</v>
      </c>
      <c r="F14" s="440"/>
      <c r="G14" s="440"/>
      <c r="H14" s="440"/>
      <c r="I14" s="440"/>
      <c r="M14" s="449"/>
      <c r="N14" s="449"/>
      <c r="O14" s="449"/>
      <c r="P14" s="449"/>
    </row>
    <row r="15">
      <c r="A15" s="454" t="s">
        <v>32588</v>
      </c>
      <c r="B15" s="423"/>
      <c r="C15" s="423"/>
      <c r="E15" s="429" t="s">
        <v>32589</v>
      </c>
      <c r="F15" s="440"/>
      <c r="G15" s="429"/>
      <c r="H15" s="440"/>
      <c r="I15" s="440"/>
      <c r="M15" s="444"/>
    </row>
    <row r="16">
      <c r="A16" s="455" t="s">
        <v>32590</v>
      </c>
      <c r="B16" s="423"/>
      <c r="C16" s="423"/>
      <c r="E16" s="429" t="s">
        <v>32591</v>
      </c>
      <c r="I16" s="440"/>
      <c r="M16" s="447"/>
      <c r="N16" s="447"/>
    </row>
    <row r="17">
      <c r="A17" s="456" t="s">
        <v>32592</v>
      </c>
      <c r="B17" s="423"/>
      <c r="C17" s="423"/>
      <c r="E17" s="429" t="s">
        <v>32593</v>
      </c>
      <c r="F17" s="457"/>
      <c r="G17" s="440"/>
      <c r="H17" s="440"/>
      <c r="I17" s="440"/>
      <c r="M17" s="458"/>
      <c r="N17" s="449"/>
    </row>
    <row r="18">
      <c r="A18" s="455" t="s">
        <v>32594</v>
      </c>
      <c r="B18" s="423"/>
      <c r="C18" s="423"/>
      <c r="E18" s="429" t="s">
        <v>32595</v>
      </c>
      <c r="F18" s="440"/>
      <c r="G18" s="440"/>
      <c r="H18" s="440"/>
      <c r="I18" s="440"/>
      <c r="M18" s="458"/>
      <c r="N18" s="449"/>
    </row>
    <row r="19">
      <c r="A19" s="453" t="s">
        <v>32596</v>
      </c>
      <c r="B19" s="423"/>
      <c r="C19" s="423"/>
      <c r="E19" s="7" t="s">
        <v>32597</v>
      </c>
      <c r="F19" s="457"/>
      <c r="G19" s="457"/>
      <c r="H19" s="457"/>
      <c r="I19" s="440"/>
      <c r="M19" s="458"/>
      <c r="N19" s="449"/>
    </row>
    <row r="20">
      <c r="A20" s="443" t="s">
        <v>32598</v>
      </c>
      <c r="B20" s="423"/>
      <c r="C20" s="423"/>
      <c r="E20" s="426"/>
      <c r="F20" s="448"/>
      <c r="G20" s="448"/>
      <c r="H20" s="448"/>
      <c r="I20" s="440"/>
      <c r="M20" s="458"/>
      <c r="N20" s="449"/>
    </row>
    <row r="21">
      <c r="A21" s="443" t="s">
        <v>32599</v>
      </c>
      <c r="B21" s="423"/>
      <c r="C21" s="423"/>
      <c r="E21" s="426"/>
      <c r="F21" s="440"/>
      <c r="G21" s="440"/>
      <c r="H21" s="440"/>
      <c r="I21" s="440"/>
      <c r="M21" s="444"/>
    </row>
    <row r="22">
      <c r="A22" s="443" t="s">
        <v>32600</v>
      </c>
      <c r="B22" s="423"/>
      <c r="C22" s="423"/>
      <c r="E22" s="426"/>
      <c r="F22" s="440"/>
      <c r="G22" s="440"/>
      <c r="H22" s="440"/>
      <c r="I22" s="440"/>
      <c r="M22" s="447"/>
      <c r="N22" s="447"/>
    </row>
    <row r="23">
      <c r="A23" s="455" t="s">
        <v>32601</v>
      </c>
      <c r="B23" s="423"/>
      <c r="C23" s="423"/>
      <c r="E23" s="426"/>
      <c r="F23" s="446"/>
      <c r="G23" s="440"/>
      <c r="H23" s="440"/>
      <c r="I23" s="440"/>
      <c r="M23" s="458"/>
      <c r="N23" s="449"/>
      <c r="O23" s="449"/>
      <c r="P23" s="449"/>
      <c r="Q23" s="449"/>
    </row>
    <row r="24">
      <c r="A24" s="459" t="s">
        <v>32602</v>
      </c>
      <c r="B24" s="423"/>
      <c r="C24" s="423"/>
      <c r="E24" s="460"/>
      <c r="F24" s="426"/>
      <c r="G24" s="440"/>
      <c r="H24" s="440"/>
      <c r="I24" s="440"/>
      <c r="M24" s="444"/>
    </row>
    <row r="25">
      <c r="A25" s="443" t="s">
        <v>32603</v>
      </c>
      <c r="B25" s="423"/>
      <c r="C25" s="423"/>
      <c r="E25" s="460"/>
      <c r="F25" s="426"/>
      <c r="G25" s="440"/>
      <c r="H25" s="440"/>
      <c r="I25" s="440"/>
      <c r="M25" s="447"/>
      <c r="N25" s="447"/>
    </row>
    <row r="26">
      <c r="A26" s="443" t="s">
        <v>32604</v>
      </c>
      <c r="B26" s="423"/>
      <c r="C26" s="423"/>
      <c r="E26" s="452"/>
      <c r="F26" s="426"/>
      <c r="G26" s="440"/>
      <c r="H26" s="440"/>
      <c r="I26" s="440"/>
      <c r="M26" s="458"/>
      <c r="N26" s="449"/>
    </row>
    <row r="27">
      <c r="A27" s="461" t="s">
        <v>34</v>
      </c>
      <c r="B27" s="423"/>
      <c r="C27" s="423"/>
      <c r="E27" s="460"/>
      <c r="F27" s="426"/>
      <c r="N27" s="449"/>
    </row>
    <row r="28">
      <c r="A28" s="443" t="s">
        <v>32605</v>
      </c>
      <c r="B28" s="423"/>
      <c r="C28" s="423"/>
      <c r="E28" s="452"/>
      <c r="F28" s="426"/>
      <c r="N28" s="449"/>
    </row>
    <row r="29">
      <c r="A29" s="462" t="s">
        <v>32606</v>
      </c>
      <c r="B29" s="423"/>
      <c r="C29" s="423"/>
      <c r="N29" s="449"/>
    </row>
    <row r="30">
      <c r="A30" s="7" t="s">
        <v>32607</v>
      </c>
      <c r="B30" s="463"/>
      <c r="C30" s="463"/>
      <c r="N30" s="449"/>
    </row>
    <row r="31">
      <c r="A31" s="24" t="s">
        <v>32608</v>
      </c>
      <c r="B31" s="423"/>
      <c r="C31" s="423"/>
      <c r="M31" s="444"/>
    </row>
    <row r="32">
      <c r="A32" s="443" t="s">
        <v>32609</v>
      </c>
      <c r="B32" s="423"/>
      <c r="C32" s="423"/>
      <c r="E32" s="464"/>
      <c r="F32" s="465"/>
      <c r="G32" s="465"/>
      <c r="H32" s="465"/>
      <c r="I32" s="465"/>
      <c r="J32" s="465"/>
      <c r="M32" s="442"/>
    </row>
    <row r="33">
      <c r="A33" s="453" t="s">
        <v>32610</v>
      </c>
      <c r="B33" s="423"/>
      <c r="C33" s="423"/>
      <c r="M33" s="444"/>
    </row>
    <row r="34">
      <c r="A34" s="443" t="s">
        <v>32611</v>
      </c>
      <c r="B34" s="423"/>
      <c r="C34" s="423"/>
      <c r="E34" s="466"/>
      <c r="F34" s="466"/>
      <c r="G34" s="466"/>
      <c r="H34" s="466"/>
      <c r="I34" s="467"/>
      <c r="J34" s="467"/>
      <c r="M34" s="442"/>
    </row>
    <row r="35">
      <c r="A35" s="120" t="s">
        <v>434</v>
      </c>
      <c r="B35" s="423"/>
      <c r="C35" s="423"/>
      <c r="E35" s="468"/>
      <c r="F35" s="468"/>
      <c r="G35" s="468"/>
      <c r="H35" s="468"/>
      <c r="I35" s="467"/>
      <c r="J35" s="467"/>
      <c r="M35" s="444"/>
    </row>
    <row r="36">
      <c r="A36" s="441" t="s">
        <v>371</v>
      </c>
      <c r="B36" s="469"/>
      <c r="C36" s="469"/>
      <c r="E36" s="468"/>
      <c r="F36" s="468"/>
      <c r="G36" s="468"/>
      <c r="H36" s="468"/>
      <c r="I36" s="467"/>
      <c r="J36" s="467"/>
      <c r="M36" s="470"/>
    </row>
    <row r="37">
      <c r="A37" s="471" t="s">
        <v>32612</v>
      </c>
      <c r="B37" s="469"/>
      <c r="C37" s="469"/>
      <c r="E37" s="468"/>
      <c r="F37" s="468"/>
      <c r="G37" s="468"/>
      <c r="H37" s="468"/>
      <c r="I37" s="467"/>
      <c r="J37" s="467"/>
      <c r="M37" s="444"/>
    </row>
    <row r="38">
      <c r="A38" s="471" t="s">
        <v>32613</v>
      </c>
      <c r="B38" s="423"/>
      <c r="C38" s="423"/>
      <c r="E38" s="468"/>
      <c r="F38" s="468"/>
      <c r="G38" s="468"/>
      <c r="H38" s="468"/>
      <c r="I38" s="467"/>
      <c r="J38" s="467"/>
      <c r="M38" s="442"/>
    </row>
    <row r="39">
      <c r="A39" s="24" t="s">
        <v>32614</v>
      </c>
      <c r="B39" s="472"/>
      <c r="C39" s="472"/>
      <c r="E39" s="468"/>
      <c r="F39" s="468"/>
      <c r="G39" s="468"/>
      <c r="H39" s="468"/>
      <c r="I39" s="467"/>
      <c r="J39" s="467"/>
      <c r="M39" s="444"/>
    </row>
    <row r="40">
      <c r="A40" s="24" t="s">
        <v>32615</v>
      </c>
      <c r="B40" s="423"/>
      <c r="C40" s="423"/>
      <c r="E40" s="467"/>
      <c r="F40" s="467"/>
      <c r="G40" s="467"/>
      <c r="H40" s="467"/>
      <c r="I40" s="467"/>
      <c r="J40" s="467"/>
      <c r="M40" s="470"/>
    </row>
    <row r="41">
      <c r="A41" s="24" t="s">
        <v>32616</v>
      </c>
      <c r="B41" s="423"/>
      <c r="C41" s="423"/>
      <c r="M41" s="473"/>
    </row>
    <row r="42">
      <c r="A42" s="120" t="s">
        <v>32617</v>
      </c>
      <c r="B42" s="423"/>
      <c r="C42" s="423"/>
      <c r="E42" s="474"/>
      <c r="F42" s="474"/>
      <c r="G42" s="446"/>
      <c r="H42" s="474"/>
      <c r="M42" s="470"/>
    </row>
    <row r="43">
      <c r="A43" s="120" t="s">
        <v>32618</v>
      </c>
      <c r="B43" s="423"/>
      <c r="C43" s="423"/>
      <c r="E43" s="475"/>
      <c r="F43" s="476"/>
      <c r="G43" s="477"/>
      <c r="H43" s="475"/>
      <c r="M43" s="473"/>
    </row>
    <row r="44">
      <c r="A44" s="24" t="s">
        <v>32619</v>
      </c>
      <c r="B44" s="478"/>
      <c r="C44" s="478"/>
      <c r="E44" s="475"/>
      <c r="F44" s="476"/>
      <c r="G44" s="477"/>
      <c r="H44" s="475"/>
      <c r="M44" s="470"/>
    </row>
    <row r="45">
      <c r="A45" s="120" t="s">
        <v>32620</v>
      </c>
      <c r="B45" s="478"/>
      <c r="C45" s="478"/>
      <c r="E45" s="475"/>
      <c r="F45" s="476"/>
      <c r="G45" s="477"/>
      <c r="H45" s="475"/>
      <c r="M45" s="473"/>
    </row>
    <row r="46">
      <c r="A46" s="24" t="s">
        <v>32621</v>
      </c>
      <c r="B46" s="423"/>
      <c r="C46" s="423"/>
      <c r="E46" s="475"/>
      <c r="F46" s="476"/>
      <c r="G46" s="477"/>
      <c r="H46" s="475"/>
      <c r="M46" s="470"/>
    </row>
    <row r="47">
      <c r="A47" s="454" t="s">
        <v>32622</v>
      </c>
      <c r="B47" s="423"/>
      <c r="C47" s="423"/>
      <c r="E47" s="475"/>
      <c r="F47" s="476"/>
      <c r="G47" s="477"/>
      <c r="H47" s="475"/>
      <c r="M47" s="442"/>
    </row>
    <row r="48">
      <c r="A48" s="438" t="s">
        <v>32623</v>
      </c>
      <c r="B48" s="479"/>
      <c r="C48" s="479"/>
      <c r="M48" s="444"/>
    </row>
    <row r="49">
      <c r="A49" s="480" t="s">
        <v>31791</v>
      </c>
      <c r="B49" s="481"/>
      <c r="C49" s="481"/>
      <c r="M49" s="442"/>
    </row>
    <row r="50">
      <c r="A50" s="24" t="s">
        <v>32624</v>
      </c>
      <c r="B50" s="423"/>
      <c r="C50" s="423"/>
      <c r="M50" s="444"/>
    </row>
    <row r="51">
      <c r="A51" s="438" t="s">
        <v>32625</v>
      </c>
      <c r="B51" s="423"/>
      <c r="C51" s="423"/>
      <c r="M51" s="442"/>
    </row>
    <row r="52">
      <c r="A52" s="455" t="s">
        <v>32626</v>
      </c>
      <c r="B52" s="423"/>
      <c r="C52" s="423"/>
      <c r="M52" s="447"/>
      <c r="N52" s="447"/>
      <c r="O52" s="447"/>
      <c r="P52" s="447"/>
    </row>
    <row r="53">
      <c r="A53" s="482" t="s">
        <v>32627</v>
      </c>
      <c r="B53" s="423"/>
      <c r="C53" s="423"/>
      <c r="M53" s="449"/>
      <c r="N53" s="449"/>
      <c r="O53" s="449"/>
      <c r="P53" s="449"/>
    </row>
    <row r="54">
      <c r="A54" s="456" t="s">
        <v>32628</v>
      </c>
      <c r="B54" s="423"/>
      <c r="C54" s="423"/>
      <c r="M54" s="449"/>
      <c r="N54" s="449"/>
      <c r="O54" s="449"/>
      <c r="P54" s="449"/>
    </row>
    <row r="55">
      <c r="A55" s="483" t="s">
        <v>32629</v>
      </c>
      <c r="B55" s="423"/>
      <c r="C55" s="423"/>
      <c r="M55" s="449"/>
      <c r="N55" s="449"/>
      <c r="O55" s="449"/>
      <c r="P55" s="449"/>
    </row>
    <row r="56">
      <c r="A56" s="484" t="s">
        <v>32630</v>
      </c>
      <c r="B56" s="423"/>
      <c r="C56" s="423"/>
      <c r="M56" s="449"/>
      <c r="N56" s="449"/>
      <c r="O56" s="449"/>
      <c r="P56" s="449"/>
    </row>
    <row r="57">
      <c r="A57" s="356" t="s">
        <v>32631</v>
      </c>
      <c r="B57" s="485"/>
      <c r="C57" s="485"/>
      <c r="M57" s="449"/>
      <c r="N57" s="449"/>
      <c r="O57" s="449"/>
      <c r="P57" s="449"/>
    </row>
    <row r="58">
      <c r="A58" s="233"/>
      <c r="B58" s="423"/>
      <c r="C58" s="423"/>
      <c r="M58" s="444"/>
    </row>
    <row r="59">
      <c r="A59" s="471" t="s">
        <v>32632</v>
      </c>
      <c r="B59" s="463"/>
      <c r="C59" s="463"/>
      <c r="M59" s="447"/>
      <c r="N59" s="447"/>
      <c r="O59" s="447"/>
      <c r="P59" s="447"/>
    </row>
    <row r="60">
      <c r="A60" s="471" t="s">
        <v>32633</v>
      </c>
      <c r="B60" s="463"/>
      <c r="C60" s="463"/>
      <c r="M60" s="449"/>
      <c r="N60" s="458"/>
      <c r="O60" s="449"/>
      <c r="P60" s="449"/>
    </row>
    <row r="61">
      <c r="A61" s="454" t="s">
        <v>32634</v>
      </c>
      <c r="B61" s="486"/>
      <c r="C61" s="486"/>
      <c r="M61" s="449"/>
      <c r="N61" s="458"/>
      <c r="O61" s="449"/>
      <c r="P61" s="449"/>
    </row>
    <row r="62">
      <c r="A62" s="454" t="s">
        <v>32635</v>
      </c>
      <c r="B62" s="423"/>
      <c r="C62" s="423"/>
      <c r="M62" s="449"/>
      <c r="N62" s="458"/>
      <c r="O62" s="449"/>
      <c r="P62" s="449"/>
    </row>
    <row r="63">
      <c r="A63" s="24" t="s">
        <v>32636</v>
      </c>
      <c r="B63" s="487"/>
      <c r="C63" s="487"/>
      <c r="M63" s="449"/>
      <c r="N63" s="449"/>
      <c r="O63" s="449"/>
      <c r="P63" s="449"/>
    </row>
    <row r="64">
      <c r="A64" s="441" t="s">
        <v>32637</v>
      </c>
      <c r="B64" s="423"/>
      <c r="C64" s="423"/>
      <c r="M64" s="449"/>
      <c r="N64" s="458"/>
      <c r="O64" s="449"/>
      <c r="P64" s="449"/>
    </row>
    <row r="65">
      <c r="A65" s="488" t="s">
        <v>32638</v>
      </c>
      <c r="B65" s="463"/>
      <c r="C65" s="463"/>
      <c r="M65" s="442"/>
    </row>
    <row r="66">
      <c r="A66" s="441" t="s">
        <v>32639</v>
      </c>
      <c r="B66" s="463"/>
      <c r="C66" s="463"/>
      <c r="M66" s="444"/>
    </row>
    <row r="67">
      <c r="A67" s="438" t="s">
        <v>32640</v>
      </c>
      <c r="B67" s="463"/>
      <c r="C67" s="463"/>
      <c r="M67" s="442"/>
    </row>
    <row r="68">
      <c r="A68" s="7" t="s">
        <v>32641</v>
      </c>
      <c r="B68" s="463"/>
      <c r="C68" s="463"/>
      <c r="M68" s="444"/>
    </row>
    <row r="69" ht="33.0" customHeight="1">
      <c r="A69" s="120" t="s">
        <v>32642</v>
      </c>
      <c r="B69" s="463"/>
      <c r="C69" s="463"/>
      <c r="M69" s="442"/>
    </row>
    <row r="70">
      <c r="A70" s="438" t="s">
        <v>291</v>
      </c>
      <c r="B70" s="463"/>
      <c r="C70" s="463"/>
      <c r="M70" s="444"/>
    </row>
    <row r="71">
      <c r="A71" s="120" t="s">
        <v>291</v>
      </c>
      <c r="B71" s="463"/>
      <c r="C71" s="463"/>
      <c r="M71" s="442"/>
    </row>
    <row r="72" ht="25.5" customHeight="1">
      <c r="A72" s="24" t="s">
        <v>32643</v>
      </c>
      <c r="B72" s="423"/>
      <c r="C72" s="423"/>
      <c r="M72" s="470"/>
    </row>
    <row r="73">
      <c r="A73" s="24" t="s">
        <v>32644</v>
      </c>
      <c r="B73" s="489"/>
      <c r="C73" s="489"/>
    </row>
    <row r="74">
      <c r="A74" s="438" t="s">
        <v>32645</v>
      </c>
      <c r="B74" s="423"/>
      <c r="C74" s="423"/>
    </row>
    <row r="75">
      <c r="A75" s="439" t="s">
        <v>32646</v>
      </c>
      <c r="B75" s="423"/>
      <c r="C75" s="423"/>
    </row>
    <row r="76">
      <c r="A76" s="24" t="s">
        <v>32647</v>
      </c>
      <c r="B76" s="423"/>
      <c r="C76" s="423"/>
    </row>
    <row r="77">
      <c r="A77" s="455" t="s">
        <v>32648</v>
      </c>
      <c r="B77" s="423"/>
      <c r="C77" s="423"/>
    </row>
    <row r="78">
      <c r="A78" s="454" t="s">
        <v>32649</v>
      </c>
      <c r="B78" s="423"/>
      <c r="C78" s="423"/>
    </row>
    <row r="79">
      <c r="A79" s="24" t="s">
        <v>32650</v>
      </c>
      <c r="B79" s="423"/>
      <c r="C79" s="423"/>
    </row>
    <row r="80">
      <c r="A80" s="441" t="s">
        <v>32651</v>
      </c>
      <c r="B80" s="423"/>
      <c r="C80" s="423"/>
    </row>
    <row r="81">
      <c r="A81" s="120" t="s">
        <v>32652</v>
      </c>
      <c r="B81" s="423"/>
      <c r="C81" s="423"/>
    </row>
    <row r="82">
      <c r="A82" s="471" t="s">
        <v>32653</v>
      </c>
      <c r="B82" s="423"/>
      <c r="C82" s="423"/>
    </row>
    <row r="83">
      <c r="A83" s="24" t="s">
        <v>32654</v>
      </c>
      <c r="B83" s="490"/>
      <c r="C83" s="490"/>
    </row>
    <row r="84">
      <c r="A84" s="471" t="s">
        <v>32655</v>
      </c>
      <c r="B84" s="491"/>
      <c r="C84" s="491"/>
    </row>
    <row r="85">
      <c r="A85" s="454" t="s">
        <v>32656</v>
      </c>
      <c r="B85" s="491"/>
      <c r="C85" s="491"/>
    </row>
    <row r="86">
      <c r="A86" s="471" t="s">
        <v>32657</v>
      </c>
      <c r="B86" s="491"/>
      <c r="C86" s="491"/>
    </row>
    <row r="87">
      <c r="A87" s="24" t="s">
        <v>32658</v>
      </c>
      <c r="B87" s="491"/>
      <c r="C87" s="491"/>
    </row>
    <row r="88">
      <c r="A88" s="471" t="s">
        <v>36</v>
      </c>
      <c r="B88" s="491"/>
      <c r="C88" s="491"/>
    </row>
    <row r="89">
      <c r="A89" s="492" t="s">
        <v>32659</v>
      </c>
      <c r="B89" s="491"/>
      <c r="C89" s="491"/>
    </row>
    <row r="90">
      <c r="A90" s="441" t="s">
        <v>32660</v>
      </c>
      <c r="B90" s="491"/>
      <c r="C90" s="491"/>
    </row>
    <row r="91">
      <c r="A91" s="493" t="s">
        <v>32661</v>
      </c>
      <c r="B91" s="494"/>
      <c r="C91" s="494"/>
    </row>
    <row r="92">
      <c r="A92" s="120" t="s">
        <v>32662</v>
      </c>
      <c r="B92" s="495"/>
      <c r="C92" s="495"/>
    </row>
    <row r="93">
      <c r="A93" s="431" t="s">
        <v>32663</v>
      </c>
      <c r="B93" s="423"/>
      <c r="C93" s="423"/>
    </row>
    <row r="94">
      <c r="A94" s="471" t="s">
        <v>32664</v>
      </c>
      <c r="B94" s="496"/>
      <c r="C94" s="496"/>
    </row>
    <row r="95">
      <c r="A95" s="455" t="s">
        <v>32665</v>
      </c>
      <c r="B95" s="423"/>
      <c r="C95" s="423"/>
    </row>
    <row r="96">
      <c r="A96" s="120" t="s">
        <v>32666</v>
      </c>
      <c r="B96" s="423"/>
      <c r="C96" s="423"/>
    </row>
    <row r="97">
      <c r="A97" s="24" t="s">
        <v>32667</v>
      </c>
      <c r="B97" s="423"/>
      <c r="C97" s="423"/>
    </row>
    <row r="98">
      <c r="A98" s="454" t="s">
        <v>32668</v>
      </c>
      <c r="B98" s="423"/>
      <c r="C98" s="423"/>
    </row>
    <row r="99">
      <c r="A99" s="454" t="s">
        <v>32669</v>
      </c>
      <c r="B99" s="423"/>
      <c r="C99" s="423"/>
    </row>
    <row r="100">
      <c r="A100" s="497" t="s">
        <v>32670</v>
      </c>
      <c r="B100" s="423"/>
      <c r="C100" s="423"/>
    </row>
    <row r="101">
      <c r="A101" s="451" t="s">
        <v>32671</v>
      </c>
      <c r="B101" s="423"/>
      <c r="C101" s="423"/>
    </row>
    <row r="102">
      <c r="A102" s="498" t="s">
        <v>32672</v>
      </c>
      <c r="B102" s="423"/>
      <c r="C102" s="423"/>
    </row>
    <row r="103">
      <c r="A103" s="120" t="s">
        <v>32673</v>
      </c>
      <c r="B103" s="423"/>
      <c r="C103" s="423"/>
    </row>
    <row r="104">
      <c r="A104" s="120" t="s">
        <v>32674</v>
      </c>
      <c r="B104" s="423"/>
      <c r="C104" s="423"/>
    </row>
    <row r="105">
      <c r="A105" s="24" t="s">
        <v>32675</v>
      </c>
      <c r="B105" s="423"/>
      <c r="C105" s="423"/>
    </row>
    <row r="106">
      <c r="A106" s="120" t="s">
        <v>32676</v>
      </c>
      <c r="B106" s="423"/>
      <c r="C106" s="423"/>
    </row>
    <row r="107">
      <c r="A107" s="24" t="s">
        <v>32677</v>
      </c>
      <c r="B107" s="423"/>
      <c r="C107" s="423"/>
    </row>
    <row r="108">
      <c r="A108" s="24" t="s">
        <v>32678</v>
      </c>
      <c r="B108" s="423"/>
      <c r="C108" s="423"/>
    </row>
    <row r="109">
      <c r="A109" s="24" t="s">
        <v>32679</v>
      </c>
      <c r="B109" s="423"/>
      <c r="C109" s="423"/>
    </row>
    <row r="110">
      <c r="A110" s="7" t="s">
        <v>32680</v>
      </c>
      <c r="B110" s="423"/>
      <c r="C110" s="423"/>
    </row>
    <row r="111">
      <c r="A111" s="24" t="s">
        <v>32681</v>
      </c>
      <c r="B111" s="423"/>
      <c r="C111" s="423"/>
    </row>
    <row r="112">
      <c r="A112" s="120" t="s">
        <v>32682</v>
      </c>
      <c r="B112" s="423"/>
      <c r="C112" s="423"/>
    </row>
    <row r="113">
      <c r="A113" s="120" t="s">
        <v>32683</v>
      </c>
      <c r="B113" s="431" t="s">
        <v>32684</v>
      </c>
      <c r="C113" s="423"/>
    </row>
    <row r="114">
      <c r="A114" s="443" t="s">
        <v>32685</v>
      </c>
      <c r="B114" s="499"/>
      <c r="C114" s="499"/>
    </row>
    <row r="115">
      <c r="A115" s="488" t="s">
        <v>32686</v>
      </c>
      <c r="B115" s="499"/>
      <c r="C115" s="499"/>
    </row>
    <row r="116">
      <c r="A116" s="488" t="s">
        <v>32687</v>
      </c>
      <c r="B116" s="499"/>
      <c r="C116" s="499"/>
    </row>
    <row r="117">
      <c r="A117" s="488" t="s">
        <v>32688</v>
      </c>
      <c r="B117" s="499"/>
      <c r="C117" s="499"/>
    </row>
    <row r="118">
      <c r="A118" s="500" t="s">
        <v>32689</v>
      </c>
      <c r="B118" s="499"/>
      <c r="C118" s="499"/>
    </row>
    <row r="119">
      <c r="A119" s="438" t="s">
        <v>32690</v>
      </c>
      <c r="B119" s="499"/>
      <c r="C119" s="499"/>
    </row>
    <row r="120">
      <c r="A120" s="120" t="s">
        <v>32691</v>
      </c>
      <c r="B120" s="499"/>
      <c r="C120" s="499"/>
    </row>
    <row r="121">
      <c r="A121" s="363" t="s">
        <v>32692</v>
      </c>
      <c r="B121" s="499"/>
      <c r="C121" s="499"/>
    </row>
    <row r="122">
      <c r="A122" s="501" t="s">
        <v>32693</v>
      </c>
      <c r="B122" s="499"/>
      <c r="C122" s="499"/>
    </row>
    <row r="123">
      <c r="A123" s="438" t="s">
        <v>32694</v>
      </c>
      <c r="B123" s="499"/>
      <c r="C123" s="499"/>
    </row>
    <row r="124">
      <c r="A124" s="424" t="s">
        <v>32581</v>
      </c>
      <c r="B124" s="499"/>
      <c r="C124" s="499"/>
    </row>
    <row r="125">
      <c r="A125" s="24" t="s">
        <v>32695</v>
      </c>
      <c r="B125" s="499"/>
      <c r="C125" s="499"/>
    </row>
    <row r="126">
      <c r="A126" s="502" t="s">
        <v>31943</v>
      </c>
      <c r="B126" s="499"/>
      <c r="C126" s="499"/>
    </row>
    <row r="127">
      <c r="A127" s="503" t="s">
        <v>32696</v>
      </c>
      <c r="B127" s="499"/>
      <c r="C127" s="499"/>
    </row>
    <row r="128">
      <c r="A128" s="471" t="s">
        <v>32697</v>
      </c>
      <c r="B128" s="499"/>
      <c r="C128" s="499"/>
    </row>
    <row r="129">
      <c r="A129" s="438" t="s">
        <v>32698</v>
      </c>
      <c r="B129" s="499"/>
      <c r="C129" s="499"/>
    </row>
    <row r="130">
      <c r="A130" s="500" t="s">
        <v>32699</v>
      </c>
      <c r="B130" s="499"/>
      <c r="C130" s="499"/>
    </row>
    <row r="131">
      <c r="A131" s="438" t="s">
        <v>32700</v>
      </c>
      <c r="B131" s="499"/>
      <c r="C131" s="499"/>
    </row>
    <row r="132">
      <c r="A132" s="120" t="s">
        <v>32701</v>
      </c>
      <c r="B132" s="499"/>
      <c r="C132" s="499"/>
    </row>
    <row r="133">
      <c r="A133" s="120" t="s">
        <v>32702</v>
      </c>
      <c r="B133" s="499"/>
      <c r="C133" s="499"/>
    </row>
    <row r="134">
      <c r="A134" s="471" t="s">
        <v>32703</v>
      </c>
      <c r="B134" s="499"/>
      <c r="C134" s="499"/>
    </row>
    <row r="135">
      <c r="A135" s="24" t="s">
        <v>32704</v>
      </c>
      <c r="B135" s="499"/>
      <c r="C135" s="499"/>
    </row>
    <row r="136">
      <c r="A136" s="504" t="s">
        <v>32705</v>
      </c>
      <c r="B136" s="499"/>
      <c r="C136" s="499"/>
    </row>
    <row r="137">
      <c r="A137" s="233" t="s">
        <v>32706</v>
      </c>
      <c r="B137" s="499"/>
      <c r="C137" s="499"/>
    </row>
    <row r="138">
      <c r="A138" s="505" t="s">
        <v>32707</v>
      </c>
      <c r="B138" s="499"/>
      <c r="C138" s="499"/>
    </row>
    <row r="139">
      <c r="A139" s="120" t="s">
        <v>32708</v>
      </c>
      <c r="B139" s="499"/>
      <c r="C139" s="499"/>
    </row>
    <row r="140">
      <c r="A140" s="24" t="s">
        <v>32709</v>
      </c>
      <c r="B140" s="499"/>
      <c r="C140" s="499"/>
    </row>
    <row r="141">
      <c r="A141" s="24" t="s">
        <v>39</v>
      </c>
      <c r="B141" s="499"/>
      <c r="C141" s="499"/>
    </row>
    <row r="142">
      <c r="A142" s="506" t="s">
        <v>32710</v>
      </c>
      <c r="B142" s="499"/>
      <c r="C142" s="499"/>
    </row>
    <row r="143">
      <c r="A143" s="120" t="s">
        <v>32711</v>
      </c>
      <c r="B143" s="499"/>
      <c r="C143" s="499"/>
    </row>
    <row r="144">
      <c r="A144" s="471" t="s">
        <v>32712</v>
      </c>
      <c r="B144" s="499"/>
      <c r="C144" s="499"/>
    </row>
    <row r="145">
      <c r="A145" s="456" t="s">
        <v>32713</v>
      </c>
      <c r="B145" s="499"/>
      <c r="C145" s="499"/>
    </row>
    <row r="146">
      <c r="A146" s="483" t="s">
        <v>32714</v>
      </c>
      <c r="B146" s="499"/>
      <c r="C146" s="499"/>
    </row>
    <row r="147">
      <c r="A147" s="454" t="s">
        <v>32715</v>
      </c>
      <c r="B147" s="499"/>
      <c r="C147" s="499"/>
    </row>
    <row r="148">
      <c r="A148" s="438" t="s">
        <v>32716</v>
      </c>
      <c r="B148" s="499"/>
      <c r="C148" s="499"/>
    </row>
    <row r="149">
      <c r="A149" s="507" t="s">
        <v>32717</v>
      </c>
      <c r="B149" s="499"/>
      <c r="C149" s="499"/>
    </row>
    <row r="150">
      <c r="A150" s="471" t="s">
        <v>32718</v>
      </c>
      <c r="B150" s="499"/>
      <c r="C150" s="499"/>
    </row>
    <row r="151">
      <c r="A151" s="438" t="s">
        <v>32719</v>
      </c>
      <c r="B151" s="499"/>
      <c r="C151" s="499"/>
    </row>
    <row r="152">
      <c r="A152" s="471" t="s">
        <v>32720</v>
      </c>
      <c r="B152" s="499"/>
      <c r="C152" s="499"/>
    </row>
    <row r="153">
      <c r="A153" s="24" t="s">
        <v>32721</v>
      </c>
      <c r="B153" s="499"/>
      <c r="C153" s="499"/>
    </row>
    <row r="154">
      <c r="A154" s="24" t="s">
        <v>32722</v>
      </c>
      <c r="B154" s="499"/>
      <c r="C154" s="499"/>
    </row>
    <row r="155">
      <c r="A155" s="24" t="s">
        <v>32723</v>
      </c>
      <c r="B155" s="499"/>
      <c r="C155" s="499"/>
    </row>
    <row r="156">
      <c r="A156" s="24" t="s">
        <v>32724</v>
      </c>
      <c r="B156" s="499"/>
      <c r="C156" s="499"/>
    </row>
    <row r="157">
      <c r="A157" s="431" t="s">
        <v>32725</v>
      </c>
      <c r="B157" s="499"/>
      <c r="C157" s="499"/>
    </row>
    <row r="158">
      <c r="A158" s="471" t="s">
        <v>32726</v>
      </c>
      <c r="B158" s="499"/>
      <c r="C158" s="499"/>
    </row>
    <row r="159">
      <c r="A159" s="24" t="s">
        <v>32</v>
      </c>
      <c r="B159" s="499"/>
      <c r="C159" s="499"/>
    </row>
    <row r="160">
      <c r="A160" s="441" t="s">
        <v>32727</v>
      </c>
      <c r="B160" s="499"/>
      <c r="C160" s="499"/>
    </row>
    <row r="161">
      <c r="A161" s="120" t="s">
        <v>32728</v>
      </c>
      <c r="B161" s="499"/>
      <c r="C161" s="499"/>
    </row>
    <row r="162">
      <c r="A162" s="441" t="s">
        <v>32729</v>
      </c>
      <c r="B162" s="499"/>
      <c r="C162" s="499"/>
    </row>
    <row r="163">
      <c r="A163" s="120" t="s">
        <v>32730</v>
      </c>
      <c r="B163" s="499"/>
      <c r="C163" s="499"/>
    </row>
    <row r="164">
      <c r="A164" s="120" t="s">
        <v>32731</v>
      </c>
      <c r="B164" s="499"/>
      <c r="C164" s="499"/>
    </row>
    <row r="165">
      <c r="A165" s="508" t="s">
        <v>32732</v>
      </c>
      <c r="B165" s="499"/>
      <c r="C165" s="499"/>
    </row>
    <row r="166">
      <c r="A166" s="120" t="s">
        <v>31889</v>
      </c>
      <c r="B166" s="499"/>
      <c r="C166" s="499"/>
    </row>
    <row r="167">
      <c r="A167" s="120" t="s">
        <v>357</v>
      </c>
      <c r="B167" s="499"/>
      <c r="C167" s="499"/>
    </row>
    <row r="168">
      <c r="A168" s="24" t="s">
        <v>357</v>
      </c>
      <c r="B168" s="499"/>
      <c r="C168" s="499"/>
    </row>
    <row r="169">
      <c r="A169" s="24" t="s">
        <v>357</v>
      </c>
      <c r="B169" s="499"/>
      <c r="C169" s="499"/>
    </row>
    <row r="170">
      <c r="A170" s="120" t="s">
        <v>32733</v>
      </c>
      <c r="B170" s="499"/>
      <c r="C170" s="499"/>
    </row>
    <row r="171">
      <c r="A171" s="120" t="s">
        <v>32734</v>
      </c>
      <c r="B171" s="499"/>
      <c r="C171" s="499"/>
    </row>
    <row r="172">
      <c r="A172" s="120" t="s">
        <v>32735</v>
      </c>
      <c r="B172" s="499"/>
      <c r="C172" s="499"/>
    </row>
    <row r="173">
      <c r="A173" s="120" t="s">
        <v>32736</v>
      </c>
      <c r="B173" s="499"/>
      <c r="C173" s="499"/>
    </row>
    <row r="174">
      <c r="A174" s="120" t="s">
        <v>32737</v>
      </c>
      <c r="B174" s="499"/>
      <c r="C174" s="499"/>
    </row>
    <row r="175">
      <c r="A175" s="441" t="s">
        <v>32737</v>
      </c>
      <c r="B175" s="499"/>
      <c r="C175" s="499"/>
    </row>
    <row r="176">
      <c r="A176" s="441" t="s">
        <v>32738</v>
      </c>
      <c r="B176" s="499"/>
      <c r="C176" s="499"/>
    </row>
    <row r="177">
      <c r="A177" s="509" t="s">
        <v>32739</v>
      </c>
      <c r="B177" s="499"/>
      <c r="C177" s="499"/>
    </row>
    <row r="178">
      <c r="A178" s="509" t="s">
        <v>32740</v>
      </c>
      <c r="B178" s="499"/>
      <c r="C178" s="499"/>
    </row>
    <row r="179">
      <c r="A179" s="454" t="s">
        <v>32741</v>
      </c>
      <c r="B179" s="499"/>
      <c r="C179" s="499"/>
    </row>
    <row r="180">
      <c r="A180" s="120" t="s">
        <v>32742</v>
      </c>
      <c r="B180" s="499"/>
      <c r="C180" s="499"/>
    </row>
    <row r="181">
      <c r="A181" s="120" t="s">
        <v>32743</v>
      </c>
      <c r="B181" s="499"/>
      <c r="C181" s="499"/>
    </row>
    <row r="182">
      <c r="A182" s="24" t="s">
        <v>32744</v>
      </c>
      <c r="B182" s="499"/>
      <c r="C182" s="499"/>
    </row>
    <row r="183">
      <c r="A183" s="438" t="s">
        <v>32745</v>
      </c>
      <c r="B183" s="499"/>
      <c r="C183" s="499"/>
    </row>
    <row r="184">
      <c r="A184" s="454" t="s">
        <v>32746</v>
      </c>
      <c r="B184" s="499"/>
      <c r="C184" s="499"/>
    </row>
    <row r="185">
      <c r="A185" s="471" t="s">
        <v>32747</v>
      </c>
      <c r="B185" s="499"/>
      <c r="C185" s="499"/>
    </row>
    <row r="186">
      <c r="A186" s="438" t="s">
        <v>32748</v>
      </c>
      <c r="B186" s="499"/>
      <c r="C186" s="499"/>
    </row>
    <row r="187">
      <c r="A187" s="454" t="s">
        <v>32749</v>
      </c>
      <c r="B187" s="499"/>
      <c r="C187" s="499"/>
    </row>
    <row r="188">
      <c r="A188" s="120" t="s">
        <v>32750</v>
      </c>
      <c r="B188" s="499"/>
      <c r="C188" s="499"/>
    </row>
    <row r="189">
      <c r="A189" s="441" t="s">
        <v>32751</v>
      </c>
      <c r="B189" s="499"/>
      <c r="C189" s="499"/>
    </row>
    <row r="190">
      <c r="A190" s="493" t="s">
        <v>32752</v>
      </c>
      <c r="B190" s="499"/>
      <c r="C190" s="499"/>
    </row>
    <row r="191">
      <c r="A191" s="120" t="s">
        <v>32753</v>
      </c>
      <c r="B191" s="499"/>
      <c r="C191" s="499"/>
    </row>
    <row r="192">
      <c r="A192" s="363" t="s">
        <v>32754</v>
      </c>
      <c r="B192" s="499"/>
      <c r="C192" s="499"/>
    </row>
    <row r="193">
      <c r="A193" s="431" t="s">
        <v>32755</v>
      </c>
      <c r="B193" s="499"/>
      <c r="C193" s="499"/>
    </row>
    <row r="194">
      <c r="A194" s="493" t="s">
        <v>32756</v>
      </c>
      <c r="B194" s="499"/>
      <c r="C194" s="499"/>
    </row>
    <row r="195">
      <c r="A195" s="438" t="s">
        <v>32757</v>
      </c>
      <c r="B195" s="499"/>
      <c r="C195" s="499"/>
    </row>
    <row r="196">
      <c r="A196" s="493" t="s">
        <v>32758</v>
      </c>
      <c r="B196" s="499"/>
      <c r="C196" s="499"/>
    </row>
    <row r="197">
      <c r="A197" s="509" t="s">
        <v>32759</v>
      </c>
      <c r="B197" s="499"/>
      <c r="C197" s="499"/>
    </row>
    <row r="198">
      <c r="A198" s="509" t="s">
        <v>32760</v>
      </c>
      <c r="B198" s="499"/>
      <c r="C198" s="499"/>
    </row>
    <row r="199">
      <c r="A199" s="356" t="s">
        <v>32761</v>
      </c>
      <c r="B199" s="499"/>
      <c r="C199" s="499"/>
    </row>
    <row r="200">
      <c r="A200" s="233"/>
      <c r="B200" s="499"/>
      <c r="C200" s="499"/>
    </row>
    <row r="201">
      <c r="A201" s="120" t="s">
        <v>32762</v>
      </c>
      <c r="B201" s="499"/>
      <c r="C201" s="499"/>
    </row>
    <row r="202">
      <c r="A202" s="120" t="s">
        <v>32763</v>
      </c>
      <c r="B202" s="499"/>
      <c r="C202" s="499"/>
    </row>
    <row r="203">
      <c r="A203" s="24" t="s">
        <v>282</v>
      </c>
      <c r="B203" s="499"/>
      <c r="C203" s="499"/>
    </row>
    <row r="204">
      <c r="A204" s="24" t="s">
        <v>32764</v>
      </c>
      <c r="B204" s="499"/>
      <c r="C204" s="499"/>
    </row>
    <row r="205">
      <c r="A205" s="24" t="s">
        <v>32765</v>
      </c>
      <c r="B205" s="499"/>
      <c r="C205" s="499"/>
    </row>
    <row r="206">
      <c r="A206" s="441" t="s">
        <v>32766</v>
      </c>
      <c r="B206" s="499"/>
      <c r="C206" s="499"/>
    </row>
    <row r="207">
      <c r="A207" s="509" t="s">
        <v>32767</v>
      </c>
      <c r="B207" s="499"/>
      <c r="C207" s="499"/>
    </row>
    <row r="208">
      <c r="A208" s="454" t="s">
        <v>32768</v>
      </c>
      <c r="B208" s="499"/>
      <c r="C208" s="499"/>
    </row>
    <row r="209">
      <c r="A209" s="455" t="s">
        <v>32769</v>
      </c>
      <c r="B209" s="499"/>
      <c r="C209" s="499"/>
    </row>
    <row r="210">
      <c r="A210" s="456" t="s">
        <v>32770</v>
      </c>
      <c r="B210" s="499"/>
      <c r="C210" s="499"/>
    </row>
    <row r="211">
      <c r="A211" s="120" t="s">
        <v>32771</v>
      </c>
      <c r="B211" s="499"/>
      <c r="C211" s="499"/>
    </row>
    <row r="212">
      <c r="A212" s="24" t="s">
        <v>32772</v>
      </c>
      <c r="B212" s="499"/>
      <c r="C212" s="499"/>
    </row>
    <row r="213">
      <c r="A213" s="431" t="s">
        <v>32773</v>
      </c>
      <c r="B213" s="499"/>
      <c r="C213" s="499"/>
    </row>
    <row r="214">
      <c r="A214" s="455" t="s">
        <v>32774</v>
      </c>
      <c r="B214" s="499"/>
      <c r="C214" s="499"/>
    </row>
    <row r="215">
      <c r="A215" s="24" t="s">
        <v>32775</v>
      </c>
      <c r="B215" s="499"/>
      <c r="C215" s="499"/>
    </row>
    <row r="216">
      <c r="A216" s="120" t="s">
        <v>32776</v>
      </c>
      <c r="B216" s="499"/>
      <c r="C216" s="499"/>
    </row>
    <row r="217">
      <c r="A217" s="24" t="s">
        <v>32777</v>
      </c>
      <c r="B217" s="499"/>
      <c r="C217" s="499"/>
    </row>
    <row r="218">
      <c r="A218" s="120" t="s">
        <v>246</v>
      </c>
      <c r="B218" s="499"/>
      <c r="C218" s="499"/>
    </row>
    <row r="219">
      <c r="A219" s="24" t="s">
        <v>32778</v>
      </c>
      <c r="B219" s="499"/>
      <c r="C219" s="499"/>
    </row>
    <row r="220">
      <c r="A220" s="500" t="s">
        <v>32779</v>
      </c>
      <c r="B220" s="499"/>
      <c r="C220" s="499"/>
    </row>
    <row r="221">
      <c r="A221" s="441" t="s">
        <v>32780</v>
      </c>
      <c r="B221" s="499"/>
      <c r="C221" s="499"/>
    </row>
    <row r="222">
      <c r="A222" s="441" t="s">
        <v>32781</v>
      </c>
      <c r="B222" s="499"/>
      <c r="C222" s="499"/>
    </row>
    <row r="223">
      <c r="A223" s="120" t="s">
        <v>359</v>
      </c>
      <c r="B223" s="499"/>
      <c r="C223" s="499"/>
    </row>
    <row r="224">
      <c r="A224" s="454" t="s">
        <v>32782</v>
      </c>
      <c r="B224" s="499"/>
      <c r="C224" s="499"/>
    </row>
    <row r="225">
      <c r="A225" s="431" t="s">
        <v>32783</v>
      </c>
      <c r="B225" s="499"/>
      <c r="C225" s="499"/>
    </row>
    <row r="226">
      <c r="A226" s="455" t="s">
        <v>32784</v>
      </c>
      <c r="B226" s="499"/>
      <c r="C226" s="499"/>
    </row>
    <row r="227">
      <c r="A227" s="24" t="s">
        <v>32785</v>
      </c>
      <c r="B227" s="499"/>
      <c r="C227" s="499"/>
    </row>
    <row r="228">
      <c r="A228" s="24" t="s">
        <v>32786</v>
      </c>
      <c r="B228" s="499"/>
      <c r="C228" s="499"/>
    </row>
    <row r="229">
      <c r="A229" s="510" t="s">
        <v>32787</v>
      </c>
      <c r="B229" s="499"/>
      <c r="C229" s="499"/>
    </row>
    <row r="230">
      <c r="A230" s="24" t="s">
        <v>32788</v>
      </c>
      <c r="B230" s="499"/>
      <c r="C230" s="499"/>
    </row>
    <row r="231">
      <c r="A231" s="24" t="s">
        <v>32789</v>
      </c>
      <c r="B231" s="499"/>
      <c r="C231" s="499"/>
    </row>
    <row r="232">
      <c r="A232" s="120" t="s">
        <v>32790</v>
      </c>
      <c r="B232" s="499"/>
      <c r="C232" s="499"/>
    </row>
    <row r="233">
      <c r="A233" s="120" t="s">
        <v>32791</v>
      </c>
      <c r="B233" s="499"/>
      <c r="C233" s="499"/>
    </row>
    <row r="234">
      <c r="A234" s="454" t="s">
        <v>32792</v>
      </c>
      <c r="B234" s="499"/>
      <c r="C234" s="499"/>
    </row>
    <row r="235">
      <c r="A235" s="24" t="s">
        <v>32793</v>
      </c>
      <c r="B235" s="499"/>
      <c r="C235" s="499"/>
    </row>
    <row r="236">
      <c r="A236" s="7" t="s">
        <v>32794</v>
      </c>
      <c r="B236" s="499"/>
      <c r="C236" s="499"/>
    </row>
    <row r="237">
      <c r="A237" s="120" t="s">
        <v>32795</v>
      </c>
      <c r="B237" s="499"/>
      <c r="C237" s="499"/>
    </row>
    <row r="238">
      <c r="A238" s="438" t="s">
        <v>32796</v>
      </c>
      <c r="B238" s="499"/>
      <c r="C238" s="499"/>
    </row>
    <row r="239">
      <c r="A239" s="511" t="s">
        <v>32797</v>
      </c>
      <c r="B239" s="499"/>
      <c r="C239" s="499"/>
    </row>
    <row r="240">
      <c r="A240" s="24" t="s">
        <v>32370</v>
      </c>
      <c r="B240" s="499"/>
      <c r="C240" s="499"/>
    </row>
    <row r="241">
      <c r="A241" s="120" t="s">
        <v>32798</v>
      </c>
      <c r="B241" s="499"/>
      <c r="C241" s="499"/>
    </row>
    <row r="242">
      <c r="A242" s="431" t="s">
        <v>32799</v>
      </c>
      <c r="B242" s="499"/>
      <c r="C242" s="499"/>
    </row>
    <row r="243">
      <c r="A243" s="512" t="s">
        <v>32800</v>
      </c>
      <c r="B243" s="499"/>
      <c r="C243" s="499"/>
    </row>
    <row r="244">
      <c r="A244" s="431" t="s">
        <v>32801</v>
      </c>
      <c r="B244" s="499"/>
      <c r="C244" s="499"/>
    </row>
    <row r="245">
      <c r="A245" s="471" t="s">
        <v>32802</v>
      </c>
      <c r="B245" s="499"/>
      <c r="C245" s="499"/>
    </row>
    <row r="246">
      <c r="A246" s="500" t="s">
        <v>32803</v>
      </c>
      <c r="B246" s="499"/>
      <c r="C246" s="499"/>
    </row>
    <row r="247">
      <c r="A247" s="513" t="s">
        <v>32804</v>
      </c>
      <c r="B247" s="499"/>
      <c r="C247" s="499"/>
    </row>
    <row r="248">
      <c r="A248" s="488" t="s">
        <v>32805</v>
      </c>
      <c r="B248" s="499"/>
      <c r="C248" s="499"/>
    </row>
    <row r="249">
      <c r="A249" s="431" t="s">
        <v>32806</v>
      </c>
      <c r="B249" s="499"/>
      <c r="C249" s="499"/>
    </row>
    <row r="250">
      <c r="A250" s="493" t="s">
        <v>32807</v>
      </c>
      <c r="B250" s="499"/>
      <c r="C250" s="499"/>
    </row>
    <row r="251">
      <c r="A251" s="120" t="s">
        <v>32808</v>
      </c>
      <c r="B251" s="499"/>
      <c r="C251" s="499"/>
    </row>
    <row r="252">
      <c r="A252" s="431" t="s">
        <v>32809</v>
      </c>
      <c r="B252" s="499"/>
      <c r="C252" s="499"/>
    </row>
    <row r="253">
      <c r="A253" s="24" t="s">
        <v>32810</v>
      </c>
      <c r="B253" s="499"/>
      <c r="C253" s="499"/>
    </row>
    <row r="254">
      <c r="A254" s="24" t="s">
        <v>32811</v>
      </c>
      <c r="B254" s="499"/>
      <c r="C254" s="499"/>
    </row>
    <row r="255">
      <c r="A255" s="24" t="s">
        <v>32812</v>
      </c>
      <c r="B255" s="499"/>
      <c r="C255" s="499"/>
    </row>
    <row r="256">
      <c r="A256" s="24" t="s">
        <v>32813</v>
      </c>
      <c r="B256" s="499"/>
      <c r="C256" s="499"/>
    </row>
    <row r="257">
      <c r="A257" s="514" t="s">
        <v>32814</v>
      </c>
      <c r="B257" s="499"/>
      <c r="C257" s="499"/>
    </row>
    <row r="258">
      <c r="A258" s="515" t="s">
        <v>32815</v>
      </c>
      <c r="B258" s="499"/>
      <c r="C258" s="499"/>
    </row>
    <row r="259">
      <c r="A259" s="363" t="s">
        <v>32816</v>
      </c>
      <c r="B259" s="499"/>
      <c r="C259" s="499"/>
    </row>
    <row r="260">
      <c r="A260" s="516" t="s">
        <v>32817</v>
      </c>
      <c r="B260" s="499"/>
      <c r="C260" s="499"/>
    </row>
    <row r="261">
      <c r="A261" s="120" t="s">
        <v>32818</v>
      </c>
      <c r="B261" s="499"/>
      <c r="C261" s="499"/>
    </row>
    <row r="262">
      <c r="A262" s="425" t="s">
        <v>32819</v>
      </c>
      <c r="B262" s="499"/>
      <c r="C262" s="499"/>
    </row>
    <row r="263">
      <c r="A263" s="454" t="s">
        <v>32820</v>
      </c>
      <c r="B263" s="499"/>
      <c r="C263" s="499"/>
    </row>
    <row r="264">
      <c r="A264" s="431" t="s">
        <v>32821</v>
      </c>
      <c r="B264" s="499"/>
      <c r="C264" s="499"/>
    </row>
    <row r="265">
      <c r="A265" s="439" t="s">
        <v>32822</v>
      </c>
      <c r="B265" s="499"/>
      <c r="C265" s="499"/>
    </row>
    <row r="266">
      <c r="A266" s="471" t="s">
        <v>32823</v>
      </c>
      <c r="B266" s="499"/>
      <c r="C266" s="499"/>
    </row>
    <row r="267">
      <c r="A267" s="438" t="s">
        <v>32824</v>
      </c>
      <c r="B267" s="499"/>
      <c r="C267" s="499"/>
    </row>
    <row r="268">
      <c r="A268" s="517" t="s">
        <v>32825</v>
      </c>
      <c r="B268" s="499"/>
      <c r="C268" s="499"/>
    </row>
    <row r="269">
      <c r="A269" s="471" t="s">
        <v>32826</v>
      </c>
      <c r="B269" s="499"/>
      <c r="C269" s="499"/>
    </row>
    <row r="270">
      <c r="A270" s="7" t="s">
        <v>32827</v>
      </c>
      <c r="B270" s="499"/>
      <c r="C270" s="499"/>
    </row>
    <row r="271">
      <c r="A271" s="454" t="s">
        <v>41</v>
      </c>
      <c r="B271" s="499"/>
      <c r="C271" s="499"/>
    </row>
    <row r="272">
      <c r="A272" s="471" t="s">
        <v>32828</v>
      </c>
      <c r="B272" s="499"/>
      <c r="C272" s="499"/>
    </row>
    <row r="273">
      <c r="A273" s="471" t="s">
        <v>32829</v>
      </c>
      <c r="B273" s="499"/>
      <c r="C273" s="499"/>
    </row>
    <row r="274">
      <c r="A274" s="24" t="s">
        <v>32830</v>
      </c>
      <c r="B274" s="499"/>
      <c r="C274" s="499"/>
    </row>
    <row r="275">
      <c r="A275" s="24" t="s">
        <v>38</v>
      </c>
      <c r="B275" s="499"/>
      <c r="C275" s="499"/>
    </row>
    <row r="276">
      <c r="A276" s="471" t="s">
        <v>32831</v>
      </c>
      <c r="B276" s="499"/>
      <c r="C276" s="499"/>
    </row>
    <row r="277">
      <c r="A277" s="120" t="s">
        <v>32832</v>
      </c>
      <c r="B277" s="499"/>
      <c r="C277" s="499"/>
    </row>
    <row r="278">
      <c r="A278" s="120" t="s">
        <v>32833</v>
      </c>
      <c r="B278" s="499"/>
      <c r="C278" s="499"/>
    </row>
    <row r="279">
      <c r="A279" s="455" t="s">
        <v>32834</v>
      </c>
      <c r="B279" s="499"/>
      <c r="C279" s="499"/>
    </row>
    <row r="280">
      <c r="A280" s="471" t="s">
        <v>32835</v>
      </c>
      <c r="B280" s="499"/>
      <c r="C280" s="499"/>
    </row>
    <row r="281">
      <c r="A281" s="518" t="s">
        <v>32836</v>
      </c>
      <c r="B281" s="499"/>
      <c r="C281" s="499"/>
    </row>
    <row r="282">
      <c r="A282" s="120" t="s">
        <v>32837</v>
      </c>
      <c r="B282" s="499"/>
      <c r="C282" s="499"/>
    </row>
    <row r="283">
      <c r="A283" s="509" t="s">
        <v>32838</v>
      </c>
      <c r="B283" s="499"/>
      <c r="C283" s="499"/>
    </row>
    <row r="284">
      <c r="A284" s="509" t="s">
        <v>32839</v>
      </c>
      <c r="B284" s="499"/>
      <c r="C284" s="499"/>
    </row>
    <row r="285">
      <c r="A285" s="471" t="s">
        <v>32840</v>
      </c>
      <c r="B285" s="499"/>
      <c r="C285" s="499"/>
    </row>
    <row r="286">
      <c r="A286" s="120" t="s">
        <v>32841</v>
      </c>
      <c r="B286" s="499"/>
      <c r="C286" s="499"/>
    </row>
    <row r="287">
      <c r="A287" s="24" t="s">
        <v>32842</v>
      </c>
      <c r="B287" s="499"/>
      <c r="C287" s="499"/>
    </row>
    <row r="288">
      <c r="A288" s="519" t="s">
        <v>32843</v>
      </c>
      <c r="B288" s="499"/>
      <c r="C288" s="499"/>
    </row>
    <row r="289">
      <c r="A289" s="520" t="s">
        <v>32844</v>
      </c>
      <c r="B289" s="499"/>
      <c r="C289" s="499"/>
    </row>
    <row r="290">
      <c r="A290" s="441" t="s">
        <v>32845</v>
      </c>
      <c r="B290" s="499"/>
      <c r="C290" s="499"/>
    </row>
    <row r="291">
      <c r="A291" s="24" t="s">
        <v>32846</v>
      </c>
      <c r="B291" s="499"/>
      <c r="C291" s="499"/>
    </row>
    <row r="292">
      <c r="A292" s="120" t="s">
        <v>32847</v>
      </c>
      <c r="B292" s="499"/>
      <c r="C292" s="499"/>
      <c r="F292" s="7" t="s">
        <v>32848</v>
      </c>
      <c r="G292" s="7"/>
      <c r="H292" s="7" t="s">
        <v>32849</v>
      </c>
      <c r="I292" s="7" t="s">
        <v>32850</v>
      </c>
    </row>
    <row r="293">
      <c r="A293" s="120" t="s">
        <v>31978</v>
      </c>
      <c r="B293" s="499"/>
      <c r="C293" s="499"/>
      <c r="G293" s="7" t="s">
        <v>32851</v>
      </c>
      <c r="H293" s="521">
        <f>G294-G295</f>
        <v>1268101000</v>
      </c>
      <c r="I293" s="522">
        <v>-1.254E9</v>
      </c>
      <c r="J293" s="5">
        <f>H293/I293</f>
        <v>-1.011244817</v>
      </c>
    </row>
    <row r="294">
      <c r="A294" s="24" t="s">
        <v>31978</v>
      </c>
      <c r="B294" s="499"/>
      <c r="C294" s="499"/>
      <c r="F294" s="7" t="s">
        <v>32852</v>
      </c>
      <c r="G294" s="323">
        <v>1.864182E9</v>
      </c>
    </row>
    <row r="295">
      <c r="A295" s="454" t="s">
        <v>32853</v>
      </c>
      <c r="B295" s="499"/>
      <c r="C295" s="499"/>
      <c r="F295" s="7" t="s">
        <v>32854</v>
      </c>
      <c r="G295" s="323">
        <v>5.96081E8</v>
      </c>
    </row>
    <row r="296">
      <c r="A296" s="512" t="s">
        <v>32855</v>
      </c>
      <c r="B296" s="499"/>
      <c r="C296" s="499"/>
    </row>
    <row r="297">
      <c r="A297" s="454" t="s">
        <v>42</v>
      </c>
      <c r="B297" s="499"/>
      <c r="C297" s="499"/>
      <c r="G297" s="7" t="s">
        <v>32856</v>
      </c>
      <c r="H297" s="323">
        <v>-2.9103E7</v>
      </c>
    </row>
    <row r="298">
      <c r="A298" s="471" t="s">
        <v>32857</v>
      </c>
      <c r="B298" s="499"/>
      <c r="C298" s="499"/>
      <c r="G298" s="7" t="s">
        <v>32858</v>
      </c>
      <c r="H298" s="523">
        <v>-9.6737E7</v>
      </c>
    </row>
    <row r="299">
      <c r="A299" s="24" t="s">
        <v>32859</v>
      </c>
      <c r="B299" s="499"/>
      <c r="C299" s="499"/>
      <c r="H299" s="524">
        <f>sum(H297+H298)</f>
        <v>-125840000</v>
      </c>
    </row>
    <row r="300">
      <c r="A300" s="431" t="s">
        <v>32860</v>
      </c>
      <c r="B300" s="499"/>
      <c r="C300" s="499"/>
    </row>
    <row r="301">
      <c r="A301" s="120" t="s">
        <v>32861</v>
      </c>
      <c r="B301" s="499"/>
      <c r="C301" s="499"/>
    </row>
    <row r="302">
      <c r="A302" s="120" t="s">
        <v>32862</v>
      </c>
      <c r="B302" s="499"/>
      <c r="C302" s="499"/>
    </row>
    <row r="303">
      <c r="A303" s="120" t="s">
        <v>32863</v>
      </c>
      <c r="B303" s="499"/>
      <c r="C303" s="499"/>
    </row>
    <row r="304">
      <c r="A304" s="120" t="s">
        <v>32864</v>
      </c>
      <c r="B304" s="499"/>
      <c r="C304" s="499"/>
    </row>
    <row r="305">
      <c r="A305" s="431" t="s">
        <v>32865</v>
      </c>
      <c r="B305" s="499"/>
      <c r="C305" s="499"/>
    </row>
    <row r="306">
      <c r="A306" s="525" t="s">
        <v>32866</v>
      </c>
      <c r="B306" s="499"/>
      <c r="C306" s="499"/>
    </row>
    <row r="307">
      <c r="A307" s="431" t="s">
        <v>32867</v>
      </c>
      <c r="B307" s="499"/>
      <c r="C307" s="499"/>
    </row>
    <row r="308">
      <c r="A308" s="526" t="s">
        <v>32868</v>
      </c>
      <c r="B308" s="499"/>
      <c r="C308" s="499"/>
    </row>
    <row r="309">
      <c r="A309" s="488" t="s">
        <v>32869</v>
      </c>
      <c r="B309" s="499"/>
      <c r="C309" s="499"/>
    </row>
    <row r="310">
      <c r="A310" s="120" t="s">
        <v>32870</v>
      </c>
      <c r="B310" s="499"/>
      <c r="C310" s="499"/>
    </row>
    <row r="311">
      <c r="A311" s="519" t="s">
        <v>32871</v>
      </c>
      <c r="B311" s="499"/>
      <c r="C311" s="499"/>
    </row>
    <row r="312">
      <c r="A312" s="24" t="s">
        <v>32872</v>
      </c>
      <c r="B312" s="499"/>
      <c r="C312" s="499"/>
    </row>
    <row r="313">
      <c r="A313" s="120" t="s">
        <v>32873</v>
      </c>
      <c r="B313" s="499"/>
      <c r="C313" s="499"/>
    </row>
    <row r="314">
      <c r="A314" s="120" t="s">
        <v>32874</v>
      </c>
      <c r="B314" s="499"/>
      <c r="C314" s="499"/>
    </row>
    <row r="315">
      <c r="A315" s="24" t="s">
        <v>32875</v>
      </c>
      <c r="B315" s="499"/>
      <c r="C315" s="499"/>
    </row>
    <row r="316">
      <c r="A316" s="451" t="s">
        <v>32876</v>
      </c>
      <c r="B316" s="499"/>
      <c r="C316" s="499"/>
    </row>
    <row r="317">
      <c r="A317" s="24" t="s">
        <v>32877</v>
      </c>
      <c r="B317" s="499"/>
      <c r="C317" s="499"/>
    </row>
    <row r="318">
      <c r="A318" s="24" t="s">
        <v>32878</v>
      </c>
      <c r="B318" s="499"/>
      <c r="C318" s="499"/>
    </row>
    <row r="319">
      <c r="A319" s="24" t="s">
        <v>32879</v>
      </c>
      <c r="B319" s="499"/>
      <c r="C319" s="499"/>
    </row>
    <row r="320">
      <c r="A320" s="24" t="s">
        <v>32880</v>
      </c>
      <c r="B320" s="499"/>
      <c r="C320" s="499"/>
    </row>
    <row r="321">
      <c r="A321" s="471" t="s">
        <v>32881</v>
      </c>
      <c r="B321" s="499"/>
      <c r="C321" s="499"/>
    </row>
    <row r="322">
      <c r="A322" s="527" t="s">
        <v>32882</v>
      </c>
      <c r="B322" s="499"/>
      <c r="C322" s="499"/>
    </row>
    <row r="323">
      <c r="A323" s="528" t="s">
        <v>32883</v>
      </c>
      <c r="B323" s="499"/>
      <c r="C323" s="499"/>
    </row>
    <row r="324">
      <c r="A324" s="24" t="s">
        <v>32884</v>
      </c>
      <c r="B324" s="499"/>
      <c r="C324" s="499"/>
    </row>
    <row r="325">
      <c r="A325" s="529" t="s">
        <v>32885</v>
      </c>
      <c r="B325" s="499"/>
      <c r="C325" s="499"/>
    </row>
    <row r="326">
      <c r="A326" s="443" t="s">
        <v>32886</v>
      </c>
      <c r="B326" s="499"/>
      <c r="C326" s="499"/>
    </row>
    <row r="327">
      <c r="A327" s="120" t="s">
        <v>32887</v>
      </c>
      <c r="B327" s="499"/>
      <c r="C327" s="499"/>
    </row>
    <row r="328">
      <c r="A328" s="24" t="s">
        <v>32887</v>
      </c>
      <c r="B328" s="499"/>
      <c r="C328" s="499"/>
    </row>
    <row r="329">
      <c r="A329" s="441" t="s">
        <v>32888</v>
      </c>
      <c r="B329" s="499"/>
      <c r="C329" s="499"/>
    </row>
    <row r="330">
      <c r="A330" s="24" t="s">
        <v>32889</v>
      </c>
      <c r="B330" s="499"/>
      <c r="C330" s="499"/>
    </row>
    <row r="331">
      <c r="A331" s="120" t="s">
        <v>32890</v>
      </c>
      <c r="B331" s="499"/>
      <c r="C331" s="499"/>
    </row>
    <row r="332">
      <c r="A332" s="456" t="s">
        <v>32891</v>
      </c>
      <c r="B332" s="499"/>
      <c r="C332" s="499"/>
    </row>
    <row r="333">
      <c r="A333" s="471" t="s">
        <v>32892</v>
      </c>
      <c r="B333" s="499"/>
      <c r="C333" s="499"/>
    </row>
    <row r="334">
      <c r="A334" s="120" t="s">
        <v>32893</v>
      </c>
      <c r="B334" s="499"/>
      <c r="C334" s="499"/>
    </row>
    <row r="335">
      <c r="A335" s="530" t="s">
        <v>32894</v>
      </c>
      <c r="B335" s="499"/>
      <c r="C335" s="499"/>
    </row>
    <row r="336">
      <c r="A336" s="359" t="s">
        <v>32895</v>
      </c>
      <c r="B336" s="499"/>
      <c r="C336" s="499"/>
    </row>
    <row r="337">
      <c r="A337" s="438" t="s">
        <v>32896</v>
      </c>
      <c r="B337" s="499"/>
      <c r="C337" s="499"/>
    </row>
    <row r="338">
      <c r="A338" s="438" t="s">
        <v>32897</v>
      </c>
      <c r="B338" s="499"/>
      <c r="C338" s="499"/>
    </row>
    <row r="339">
      <c r="A339" s="531" t="s">
        <v>32898</v>
      </c>
      <c r="B339" s="499"/>
      <c r="C339" s="499"/>
    </row>
    <row r="340">
      <c r="A340" s="432" t="s">
        <v>32899</v>
      </c>
      <c r="B340" s="499"/>
      <c r="C340" s="499"/>
    </row>
    <row r="341">
      <c r="A341" s="120" t="s">
        <v>32900</v>
      </c>
      <c r="B341" s="499"/>
      <c r="C341" s="499"/>
    </row>
    <row r="342">
      <c r="A342" s="120" t="s">
        <v>32901</v>
      </c>
      <c r="B342" s="499"/>
      <c r="C342" s="499"/>
    </row>
    <row r="343">
      <c r="A343" s="498" t="s">
        <v>32902</v>
      </c>
      <c r="B343" s="499"/>
      <c r="C343" s="499"/>
    </row>
    <row r="344">
      <c r="A344" s="532" t="s">
        <v>32903</v>
      </c>
      <c r="B344" s="499"/>
      <c r="C344" s="499"/>
    </row>
    <row r="345">
      <c r="A345" s="532" t="s">
        <v>32904</v>
      </c>
      <c r="B345" s="499"/>
      <c r="C345" s="499"/>
    </row>
    <row r="346">
      <c r="A346" s="24" t="s">
        <v>32905</v>
      </c>
      <c r="B346" s="499"/>
      <c r="C346" s="499"/>
    </row>
    <row r="347">
      <c r="A347" s="455" t="s">
        <v>32906</v>
      </c>
      <c r="B347" s="499"/>
      <c r="C347" s="499"/>
    </row>
    <row r="348">
      <c r="A348" s="24" t="s">
        <v>32907</v>
      </c>
      <c r="B348" s="499"/>
      <c r="C348" s="499"/>
    </row>
    <row r="349">
      <c r="A349" s="120" t="s">
        <v>32908</v>
      </c>
      <c r="B349" s="499"/>
      <c r="C349" s="499"/>
    </row>
    <row r="350">
      <c r="A350" s="24" t="s">
        <v>32908</v>
      </c>
      <c r="B350" s="499"/>
      <c r="C350" s="499"/>
    </row>
    <row r="351">
      <c r="A351" s="363" t="s">
        <v>32908</v>
      </c>
      <c r="B351" s="499"/>
      <c r="C351" s="499"/>
    </row>
    <row r="352">
      <c r="A352" s="454" t="s">
        <v>32909</v>
      </c>
      <c r="B352" s="499"/>
      <c r="C352" s="499"/>
    </row>
    <row r="353">
      <c r="A353" s="438" t="s">
        <v>32910</v>
      </c>
      <c r="B353" s="499"/>
      <c r="C353" s="499"/>
    </row>
    <row r="354">
      <c r="A354" s="533" t="s">
        <v>32911</v>
      </c>
      <c r="B354" s="499"/>
      <c r="C354" s="499"/>
    </row>
    <row r="355">
      <c r="A355" s="24" t="s">
        <v>32911</v>
      </c>
      <c r="B355" s="499"/>
      <c r="C355" s="499"/>
    </row>
    <row r="356">
      <c r="A356" s="120" t="s">
        <v>32912</v>
      </c>
      <c r="B356" s="499"/>
      <c r="C356" s="499"/>
    </row>
    <row r="357">
      <c r="A357" s="24" t="s">
        <v>32913</v>
      </c>
      <c r="B357" s="499"/>
      <c r="C357" s="499"/>
    </row>
    <row r="358">
      <c r="A358" s="24" t="s">
        <v>32913</v>
      </c>
      <c r="B358" s="499"/>
      <c r="C358" s="499"/>
    </row>
    <row r="359">
      <c r="A359" s="534" t="s">
        <v>32914</v>
      </c>
      <c r="B359" s="499"/>
      <c r="C359" s="499"/>
    </row>
    <row r="360">
      <c r="A360" s="455" t="s">
        <v>32915</v>
      </c>
      <c r="B360" s="499"/>
      <c r="C360" s="499"/>
    </row>
    <row r="361">
      <c r="A361" s="455" t="s">
        <v>32916</v>
      </c>
      <c r="B361" s="499"/>
      <c r="C361" s="499"/>
    </row>
    <row r="362">
      <c r="A362" s="535" t="s">
        <v>32917</v>
      </c>
      <c r="B362" s="499"/>
      <c r="C362" s="499"/>
    </row>
    <row r="363">
      <c r="A363" s="471" t="s">
        <v>32918</v>
      </c>
      <c r="B363" s="499"/>
      <c r="C363" s="499"/>
    </row>
    <row r="364">
      <c r="A364" s="471" t="s">
        <v>32918</v>
      </c>
      <c r="B364" s="499"/>
      <c r="C364" s="499"/>
    </row>
    <row r="365">
      <c r="A365" s="535" t="s">
        <v>32919</v>
      </c>
      <c r="B365" s="499"/>
      <c r="C365" s="499"/>
    </row>
    <row r="366">
      <c r="A366" s="24" t="s">
        <v>32920</v>
      </c>
      <c r="B366" s="499"/>
      <c r="C366" s="499"/>
    </row>
    <row r="367">
      <c r="A367" s="488" t="s">
        <v>32921</v>
      </c>
      <c r="B367" s="499"/>
      <c r="C367" s="499"/>
    </row>
    <row r="368">
      <c r="A368" s="363" t="s">
        <v>32922</v>
      </c>
      <c r="B368" s="499"/>
      <c r="C368" s="499"/>
    </row>
    <row r="369">
      <c r="A369" s="536" t="s">
        <v>32923</v>
      </c>
      <c r="B369" s="499"/>
      <c r="C369" s="499"/>
    </row>
    <row r="370">
      <c r="A370" s="120" t="s">
        <v>32924</v>
      </c>
      <c r="B370" s="499"/>
      <c r="C370" s="499"/>
    </row>
    <row r="371">
      <c r="A371" s="120" t="s">
        <v>32925</v>
      </c>
      <c r="B371" s="499"/>
      <c r="C371" s="499"/>
    </row>
    <row r="372">
      <c r="A372" s="459" t="s">
        <v>32926</v>
      </c>
      <c r="B372" s="499"/>
      <c r="C372" s="499"/>
    </row>
    <row r="373">
      <c r="A373" s="120" t="s">
        <v>32927</v>
      </c>
      <c r="B373" s="499"/>
      <c r="C373" s="499"/>
    </row>
    <row r="374">
      <c r="A374" s="120" t="s">
        <v>32928</v>
      </c>
      <c r="B374" s="425"/>
      <c r="C374" s="537"/>
    </row>
    <row r="375">
      <c r="A375" s="454" t="s">
        <v>32003</v>
      </c>
      <c r="B375" s="537"/>
      <c r="C375" s="537"/>
    </row>
    <row r="376">
      <c r="A376" s="120" t="s">
        <v>32929</v>
      </c>
      <c r="B376" s="537"/>
      <c r="C376" s="537"/>
    </row>
    <row r="377">
      <c r="A377" s="24" t="s">
        <v>32929</v>
      </c>
      <c r="B377" s="537"/>
      <c r="C377" s="537"/>
    </row>
    <row r="378">
      <c r="A378" s="120" t="s">
        <v>32930</v>
      </c>
      <c r="B378" s="537"/>
      <c r="C378" s="537"/>
    </row>
    <row r="379">
      <c r="A379" s="24" t="s">
        <v>32930</v>
      </c>
      <c r="B379" s="537"/>
      <c r="C379" s="537"/>
    </row>
    <row r="380">
      <c r="A380" s="538" t="s">
        <v>32931</v>
      </c>
      <c r="B380" s="537"/>
      <c r="C380" s="537"/>
    </row>
    <row r="381">
      <c r="A381" s="454" t="s">
        <v>32932</v>
      </c>
      <c r="B381" s="537"/>
      <c r="C381" s="537"/>
    </row>
    <row r="382">
      <c r="A382" s="454" t="s">
        <v>32933</v>
      </c>
      <c r="B382" s="537"/>
      <c r="C382" s="537"/>
    </row>
    <row r="383">
      <c r="A383" s="24" t="s">
        <v>32934</v>
      </c>
      <c r="B383" s="537"/>
      <c r="C383" s="537"/>
    </row>
    <row r="384">
      <c r="A384" s="454" t="s">
        <v>32935</v>
      </c>
      <c r="B384" s="537"/>
      <c r="C384" s="537"/>
    </row>
    <row r="385">
      <c r="A385" s="454" t="s">
        <v>32936</v>
      </c>
      <c r="B385" s="537"/>
      <c r="C385" s="537"/>
    </row>
    <row r="386">
      <c r="A386" s="441" t="s">
        <v>32937</v>
      </c>
      <c r="B386" s="537"/>
      <c r="C386" s="537"/>
    </row>
    <row r="387">
      <c r="A387" s="120" t="s">
        <v>32938</v>
      </c>
      <c r="B387" s="537"/>
      <c r="C387" s="537"/>
    </row>
    <row r="388">
      <c r="A388" s="120" t="s">
        <v>32939</v>
      </c>
      <c r="B388" s="537"/>
      <c r="C388" s="537"/>
    </row>
    <row r="389">
      <c r="A389" s="539" t="s">
        <v>32940</v>
      </c>
      <c r="B389" s="537"/>
      <c r="C389" s="537"/>
    </row>
    <row r="390">
      <c r="A390" s="24" t="s">
        <v>32941</v>
      </c>
      <c r="B390" s="537"/>
      <c r="C390" s="537"/>
    </row>
    <row r="391">
      <c r="A391" s="283" t="s">
        <v>32942</v>
      </c>
      <c r="B391" s="537"/>
      <c r="C391" s="537"/>
    </row>
    <row r="392">
      <c r="A392" s="500" t="s">
        <v>32943</v>
      </c>
      <c r="B392" s="537"/>
      <c r="C392" s="537"/>
    </row>
    <row r="393">
      <c r="A393" s="540" t="s">
        <v>32944</v>
      </c>
      <c r="B393" s="537"/>
      <c r="C393" s="537"/>
    </row>
    <row r="394">
      <c r="A394" s="454" t="s">
        <v>32945</v>
      </c>
      <c r="B394" s="537"/>
      <c r="C394" s="537"/>
    </row>
    <row r="395">
      <c r="A395" s="438" t="s">
        <v>32946</v>
      </c>
      <c r="B395" s="537"/>
      <c r="C395" s="537"/>
    </row>
    <row r="396">
      <c r="A396" s="471" t="s">
        <v>32947</v>
      </c>
      <c r="B396" s="537"/>
      <c r="C396" s="537"/>
    </row>
    <row r="397">
      <c r="A397" s="536" t="s">
        <v>32948</v>
      </c>
      <c r="B397" s="537"/>
      <c r="C397" s="537"/>
    </row>
    <row r="398">
      <c r="A398" s="536" t="s">
        <v>32949</v>
      </c>
      <c r="B398" s="537"/>
      <c r="C398" s="537"/>
    </row>
    <row r="399">
      <c r="A399" s="287" t="s">
        <v>32950</v>
      </c>
      <c r="B399" s="537"/>
      <c r="C399" s="537"/>
    </row>
    <row r="400">
      <c r="A400" s="471" t="s">
        <v>32951</v>
      </c>
      <c r="B400" s="537"/>
      <c r="C400" s="537"/>
    </row>
    <row r="401">
      <c r="A401" s="24" t="s">
        <v>32952</v>
      </c>
      <c r="B401" s="537"/>
      <c r="C401" s="537"/>
    </row>
    <row r="402">
      <c r="A402" s="471" t="s">
        <v>37</v>
      </c>
      <c r="B402" s="537"/>
      <c r="C402" s="537"/>
    </row>
    <row r="403">
      <c r="A403" s="454" t="s">
        <v>32953</v>
      </c>
      <c r="B403" s="537"/>
      <c r="C403" s="537"/>
    </row>
    <row r="404">
      <c r="A404" s="536" t="s">
        <v>32954</v>
      </c>
      <c r="B404" s="537"/>
      <c r="C404" s="537"/>
    </row>
    <row r="405">
      <c r="A405" s="541" t="s">
        <v>32955</v>
      </c>
      <c r="B405" s="537"/>
      <c r="C405" s="537"/>
    </row>
    <row r="406">
      <c r="A406" s="424" t="s">
        <v>32956</v>
      </c>
      <c r="B406" s="537"/>
      <c r="C406" s="537"/>
    </row>
    <row r="407">
      <c r="A407" s="484" t="s">
        <v>32957</v>
      </c>
      <c r="B407" s="537"/>
      <c r="C407" s="537"/>
    </row>
    <row r="408">
      <c r="A408" s="536" t="s">
        <v>32958</v>
      </c>
      <c r="B408" s="537"/>
      <c r="C408" s="537"/>
    </row>
    <row r="409">
      <c r="A409" s="441" t="s">
        <v>32959</v>
      </c>
      <c r="B409" s="537"/>
      <c r="C409" s="537"/>
    </row>
    <row r="410">
      <c r="A410" s="439" t="s">
        <v>32960</v>
      </c>
      <c r="B410" s="537"/>
      <c r="C410" s="537"/>
    </row>
    <row r="411">
      <c r="A411" s="536" t="s">
        <v>32961</v>
      </c>
      <c r="B411" s="537"/>
      <c r="C411" s="537"/>
    </row>
    <row r="412">
      <c r="A412" s="431" t="s">
        <v>32962</v>
      </c>
      <c r="B412" s="537"/>
      <c r="C412" s="537"/>
    </row>
    <row r="413">
      <c r="A413" s="536" t="s">
        <v>32963</v>
      </c>
      <c r="B413" s="537"/>
      <c r="C413" s="537"/>
    </row>
    <row r="414">
      <c r="A414" s="542" t="s">
        <v>32964</v>
      </c>
      <c r="B414" s="537"/>
      <c r="C414" s="537"/>
    </row>
    <row r="415">
      <c r="A415" s="471" t="s">
        <v>32965</v>
      </c>
      <c r="B415" s="537"/>
      <c r="C415" s="537"/>
    </row>
    <row r="416">
      <c r="A416" s="24" t="s">
        <v>32966</v>
      </c>
      <c r="B416" s="537"/>
      <c r="C416" s="537"/>
    </row>
    <row r="417">
      <c r="A417" s="543" t="s">
        <v>32967</v>
      </c>
      <c r="B417" s="537"/>
      <c r="C417" s="537"/>
    </row>
    <row r="418">
      <c r="A418" s="431" t="s">
        <v>32968</v>
      </c>
      <c r="B418" s="537"/>
      <c r="C418" s="537"/>
    </row>
    <row r="419">
      <c r="A419" s="24" t="s">
        <v>32969</v>
      </c>
      <c r="B419" s="537"/>
      <c r="C419" s="537"/>
    </row>
    <row r="420">
      <c r="A420" s="363" t="s">
        <v>32970</v>
      </c>
      <c r="B420" s="537"/>
      <c r="C420" s="537"/>
    </row>
    <row r="421">
      <c r="A421" s="441" t="s">
        <v>32971</v>
      </c>
      <c r="B421" s="537"/>
      <c r="C421" s="537"/>
    </row>
    <row r="422">
      <c r="A422" s="441" t="s">
        <v>32972</v>
      </c>
      <c r="B422" s="537"/>
      <c r="C422" s="537"/>
    </row>
    <row r="423">
      <c r="A423" s="530" t="s">
        <v>32973</v>
      </c>
      <c r="B423" s="537"/>
      <c r="C423" s="537"/>
    </row>
    <row r="424">
      <c r="A424" s="431" t="s">
        <v>32974</v>
      </c>
      <c r="B424" s="537"/>
      <c r="C424" s="537"/>
    </row>
    <row r="425">
      <c r="A425" s="542" t="s">
        <v>32975</v>
      </c>
      <c r="B425" s="537"/>
      <c r="C425" s="537"/>
    </row>
    <row r="426">
      <c r="A426" s="120" t="s">
        <v>32976</v>
      </c>
      <c r="B426" s="537"/>
      <c r="C426" s="537"/>
    </row>
    <row r="427">
      <c r="A427" s="441" t="s">
        <v>32977</v>
      </c>
      <c r="B427" s="537"/>
      <c r="C427" s="537"/>
    </row>
    <row r="428">
      <c r="A428" s="441" t="s">
        <v>32978</v>
      </c>
      <c r="B428" s="537"/>
      <c r="C428" s="537"/>
    </row>
    <row r="429">
      <c r="A429" s="455" t="s">
        <v>32979</v>
      </c>
      <c r="B429" s="537"/>
      <c r="C429" s="537"/>
    </row>
    <row r="430">
      <c r="A430" s="518" t="s">
        <v>32980</v>
      </c>
      <c r="B430" s="537"/>
      <c r="C430" s="537"/>
    </row>
    <row r="431">
      <c r="A431" s="24" t="s">
        <v>32981</v>
      </c>
      <c r="B431" s="537"/>
      <c r="C431" s="537"/>
    </row>
    <row r="432">
      <c r="A432" s="120" t="s">
        <v>32982</v>
      </c>
      <c r="B432" s="537"/>
      <c r="C432" s="537"/>
    </row>
    <row r="433">
      <c r="A433" s="24" t="s">
        <v>32983</v>
      </c>
      <c r="B433" s="537"/>
      <c r="C433" s="537"/>
    </row>
    <row r="434">
      <c r="A434" s="24" t="s">
        <v>32984</v>
      </c>
      <c r="B434" s="537"/>
      <c r="C434" s="537"/>
    </row>
    <row r="435">
      <c r="A435" s="471" t="s">
        <v>33</v>
      </c>
      <c r="B435" s="537"/>
      <c r="C435" s="537"/>
    </row>
    <row r="436">
      <c r="A436" s="471" t="s">
        <v>32985</v>
      </c>
      <c r="B436" s="537"/>
      <c r="C436" s="537"/>
    </row>
    <row r="437">
      <c r="A437" s="471" t="s">
        <v>32986</v>
      </c>
      <c r="B437" s="537"/>
      <c r="C437" s="537"/>
    </row>
    <row r="438">
      <c r="A438" s="24" t="s">
        <v>32987</v>
      </c>
      <c r="B438" s="537"/>
      <c r="C438" s="537"/>
    </row>
    <row r="439">
      <c r="A439" s="24" t="s">
        <v>32988</v>
      </c>
      <c r="B439" s="537"/>
      <c r="C439" s="537"/>
    </row>
    <row r="440">
      <c r="A440" s="356" t="s">
        <v>32989</v>
      </c>
      <c r="B440" s="537"/>
      <c r="C440" s="537"/>
    </row>
    <row r="441">
      <c r="A441" s="233" t="s">
        <v>32989</v>
      </c>
      <c r="B441" s="537"/>
      <c r="C441" s="537"/>
    </row>
    <row r="442">
      <c r="A442" s="24" t="s">
        <v>32990</v>
      </c>
      <c r="B442" s="537"/>
      <c r="C442" s="537"/>
    </row>
    <row r="443">
      <c r="A443" s="439" t="s">
        <v>32991</v>
      </c>
      <c r="B443" s="537"/>
      <c r="C443" s="537"/>
    </row>
    <row r="444">
      <c r="A444" s="431" t="s">
        <v>32992</v>
      </c>
      <c r="B444" s="537"/>
      <c r="C444" s="537"/>
    </row>
    <row r="445">
      <c r="A445" s="500" t="s">
        <v>32993</v>
      </c>
      <c r="B445" s="537"/>
      <c r="C445" s="537"/>
    </row>
    <row r="446">
      <c r="A446" s="530" t="s">
        <v>32994</v>
      </c>
      <c r="B446" s="537"/>
      <c r="C446" s="537"/>
    </row>
    <row r="447">
      <c r="A447" s="120" t="s">
        <v>32995</v>
      </c>
      <c r="B447" s="537"/>
      <c r="C447" s="537"/>
    </row>
    <row r="448">
      <c r="A448" s="471" t="s">
        <v>32996</v>
      </c>
      <c r="B448" s="537"/>
      <c r="C448" s="537"/>
    </row>
    <row r="449">
      <c r="A449" s="454" t="s">
        <v>32997</v>
      </c>
      <c r="B449" s="537"/>
      <c r="C449" s="537"/>
    </row>
    <row r="450">
      <c r="A450" s="248" t="s">
        <v>32998</v>
      </c>
      <c r="B450" s="537"/>
      <c r="C450" s="537"/>
    </row>
    <row r="451">
      <c r="A451" s="454" t="s">
        <v>31954</v>
      </c>
      <c r="B451" s="537"/>
      <c r="C451" s="537"/>
    </row>
    <row r="452">
      <c r="A452" s="120" t="s">
        <v>32999</v>
      </c>
      <c r="B452" s="537"/>
      <c r="C452" s="537"/>
    </row>
    <row r="453">
      <c r="A453" s="441" t="s">
        <v>33000</v>
      </c>
      <c r="B453" s="537"/>
      <c r="C453" s="537"/>
    </row>
    <row r="454">
      <c r="A454" s="120" t="s">
        <v>33001</v>
      </c>
      <c r="B454" s="537"/>
      <c r="C454" s="537"/>
    </row>
    <row r="455">
      <c r="A455" s="120" t="s">
        <v>33002</v>
      </c>
      <c r="B455" s="537"/>
      <c r="C455" s="537"/>
    </row>
    <row r="456">
      <c r="A456" s="535" t="s">
        <v>33003</v>
      </c>
      <c r="B456" s="537"/>
      <c r="C456" s="537"/>
    </row>
    <row r="457">
      <c r="A457" s="24" t="s">
        <v>33004</v>
      </c>
      <c r="B457" s="537"/>
      <c r="C457" s="537"/>
    </row>
    <row r="458">
      <c r="A458" s="120" t="s">
        <v>33005</v>
      </c>
      <c r="B458" s="537"/>
      <c r="C458" s="537"/>
    </row>
    <row r="459">
      <c r="A459" s="24" t="s">
        <v>33006</v>
      </c>
      <c r="B459" s="537"/>
      <c r="C459" s="537"/>
    </row>
    <row r="460">
      <c r="A460" s="120" t="s">
        <v>33007</v>
      </c>
      <c r="B460" s="537"/>
      <c r="C460" s="537"/>
    </row>
    <row r="461">
      <c r="A461" s="509" t="s">
        <v>33008</v>
      </c>
      <c r="B461" s="537"/>
      <c r="C461" s="537"/>
    </row>
    <row r="462">
      <c r="A462" s="120" t="s">
        <v>33009</v>
      </c>
      <c r="B462" s="537"/>
      <c r="C462" s="537"/>
    </row>
    <row r="463">
      <c r="A463" s="120" t="s">
        <v>33010</v>
      </c>
      <c r="B463" s="537"/>
      <c r="C463" s="537"/>
    </row>
    <row r="464">
      <c r="A464" s="24" t="s">
        <v>33011</v>
      </c>
      <c r="B464" s="537"/>
      <c r="C464" s="537"/>
    </row>
    <row r="465">
      <c r="A465" s="24" t="s">
        <v>33012</v>
      </c>
      <c r="B465" s="537"/>
      <c r="C465" s="537"/>
    </row>
    <row r="466">
      <c r="A466" s="120" t="s">
        <v>33013</v>
      </c>
      <c r="B466" s="537"/>
      <c r="C466" s="537"/>
    </row>
    <row r="467">
      <c r="A467" s="356" t="s">
        <v>33014</v>
      </c>
      <c r="B467" s="537"/>
      <c r="C467" s="537"/>
    </row>
    <row r="468">
      <c r="A468" s="233" t="s">
        <v>33014</v>
      </c>
      <c r="B468" s="537"/>
      <c r="C468" s="537"/>
    </row>
    <row r="469">
      <c r="A469" s="544" t="s">
        <v>33015</v>
      </c>
      <c r="B469" s="537"/>
      <c r="C469" s="537"/>
    </row>
    <row r="470">
      <c r="A470" s="441" t="s">
        <v>33016</v>
      </c>
      <c r="B470" s="537"/>
      <c r="C470" s="537"/>
    </row>
    <row r="471">
      <c r="A471" s="439" t="s">
        <v>33017</v>
      </c>
      <c r="B471" s="537"/>
      <c r="C471" s="537"/>
    </row>
    <row r="472">
      <c r="A472" s="545" t="s">
        <v>33018</v>
      </c>
      <c r="B472" s="537"/>
      <c r="C472" s="537"/>
    </row>
    <row r="473">
      <c r="A473" s="24" t="s">
        <v>33019</v>
      </c>
      <c r="B473" s="537"/>
      <c r="C473" s="537"/>
    </row>
    <row r="474">
      <c r="A474" s="120" t="s">
        <v>33020</v>
      </c>
      <c r="B474" s="537"/>
      <c r="C474" s="537"/>
    </row>
    <row r="475">
      <c r="A475" s="493" t="s">
        <v>33021</v>
      </c>
      <c r="B475" s="537"/>
      <c r="C475" s="537"/>
    </row>
    <row r="476">
      <c r="A476" s="24" t="s">
        <v>33022</v>
      </c>
      <c r="B476" s="537"/>
      <c r="C476" s="537"/>
    </row>
    <row r="477">
      <c r="A477" s="454" t="s">
        <v>33023</v>
      </c>
      <c r="B477" s="537"/>
      <c r="C477" s="537"/>
    </row>
    <row r="478">
      <c r="A478" s="24" t="s">
        <v>33024</v>
      </c>
      <c r="B478" s="537"/>
      <c r="C478" s="537"/>
    </row>
    <row r="479">
      <c r="A479" s="454" t="s">
        <v>33025</v>
      </c>
      <c r="B479" s="537"/>
      <c r="C479" s="537"/>
    </row>
    <row r="480">
      <c r="A480" s="422" t="s">
        <v>33026</v>
      </c>
      <c r="B480" s="537"/>
      <c r="C480" s="537"/>
    </row>
    <row r="481">
      <c r="A481" s="24" t="s">
        <v>33027</v>
      </c>
      <c r="B481" s="537"/>
      <c r="C481" s="537"/>
    </row>
    <row r="482">
      <c r="A482" s="24" t="s">
        <v>33028</v>
      </c>
      <c r="B482" s="537"/>
      <c r="C482" s="537"/>
    </row>
    <row r="483">
      <c r="A483" s="24" t="s">
        <v>33029</v>
      </c>
      <c r="B483" s="537"/>
      <c r="C483" s="537"/>
    </row>
    <row r="484">
      <c r="A484" s="120" t="s">
        <v>33030</v>
      </c>
      <c r="B484" s="537"/>
      <c r="C484" s="537"/>
    </row>
    <row r="485">
      <c r="A485" s="24" t="s">
        <v>32942</v>
      </c>
      <c r="B485" s="537"/>
      <c r="C485" s="537"/>
    </row>
    <row r="486">
      <c r="A486" s="24" t="s">
        <v>33031</v>
      </c>
      <c r="B486" s="537"/>
      <c r="C486" s="537"/>
    </row>
    <row r="487">
      <c r="A487" s="546" t="s">
        <v>33032</v>
      </c>
      <c r="B487" s="537"/>
      <c r="C487" s="537"/>
    </row>
    <row r="488">
      <c r="A488" s="547" t="s">
        <v>33033</v>
      </c>
      <c r="B488" s="537"/>
      <c r="C488" s="537"/>
    </row>
    <row r="489">
      <c r="A489" s="7" t="s">
        <v>33034</v>
      </c>
      <c r="B489" s="537"/>
      <c r="C489" s="537"/>
    </row>
    <row r="490">
      <c r="A490" s="7" t="s">
        <v>33035</v>
      </c>
      <c r="B490" s="537"/>
      <c r="C490" s="537"/>
    </row>
    <row r="491">
      <c r="A491" s="547" t="s">
        <v>33036</v>
      </c>
      <c r="B491" s="537"/>
      <c r="C491" s="537"/>
    </row>
    <row r="492">
      <c r="A492" s="548" t="s">
        <v>33037</v>
      </c>
      <c r="B492" s="537"/>
      <c r="C492" s="537"/>
    </row>
    <row r="493">
      <c r="A493" s="548" t="s">
        <v>33038</v>
      </c>
      <c r="B493" s="537"/>
      <c r="C493" s="537"/>
    </row>
    <row r="494">
      <c r="A494" s="548" t="s">
        <v>33039</v>
      </c>
      <c r="B494" s="537"/>
      <c r="C494" s="537"/>
    </row>
    <row r="495">
      <c r="A495" s="548" t="s">
        <v>33040</v>
      </c>
      <c r="B495" s="537"/>
      <c r="C495" s="537"/>
    </row>
    <row r="496">
      <c r="A496" s="549" t="s">
        <v>33041</v>
      </c>
      <c r="B496" s="537"/>
      <c r="C496" s="537"/>
    </row>
  </sheetData>
  <mergeCells count="2">
    <mergeCell ref="N22:Q22"/>
    <mergeCell ref="M26:M30"/>
  </mergeCells>
  <conditionalFormatting sqref="F2 I2:I5 G6:G9 E20:E23">
    <cfRule type="notContainsBlanks" dxfId="0" priority="1">
      <formula>LEN(TRIM(F2))&gt;0</formula>
    </cfRule>
  </conditionalFormatting>
  <hyperlinks>
    <hyperlink r:id="rId2" location="zippy=%2Csimple-ways-to-select-and-edit-ranges" ref="H2"/>
    <hyperlink r:id="rId3" ref="H3"/>
    <hyperlink r:id="rId4" ref="A389"/>
  </hyperlinks>
  <drawing r:id="rId5"/>
  <legacyDrawing r:id="rId6"/>
  <tableParts count="2">
    <tablePart r:id="rId9"/>
    <tablePart r:id="rId10"/>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38"/>
    <col customWidth="1" min="2" max="2" width="52.0"/>
    <col customWidth="1" min="5" max="5" width="21.25"/>
  </cols>
  <sheetData>
    <row r="1">
      <c r="A1" s="550" t="s">
        <v>33042</v>
      </c>
    </row>
    <row r="2">
      <c r="A2" s="551" t="s">
        <v>33043</v>
      </c>
      <c r="E2" s="7" t="s">
        <v>33044</v>
      </c>
    </row>
    <row r="3">
      <c r="A3" s="552" t="s">
        <v>33045</v>
      </c>
      <c r="E3" s="7" t="s">
        <v>33046</v>
      </c>
    </row>
    <row r="4">
      <c r="A4" s="553" t="s">
        <v>33047</v>
      </c>
      <c r="E4" s="7" t="s">
        <v>33048</v>
      </c>
    </row>
    <row r="5">
      <c r="A5" s="554" t="s">
        <v>33049</v>
      </c>
      <c r="E5" s="7" t="s">
        <v>33050</v>
      </c>
    </row>
    <row r="6">
      <c r="A6" s="553" t="s">
        <v>33051</v>
      </c>
      <c r="E6" s="7" t="s">
        <v>33052</v>
      </c>
    </row>
    <row r="7">
      <c r="A7" s="553" t="s">
        <v>33053</v>
      </c>
      <c r="E7" s="7" t="s">
        <v>33054</v>
      </c>
    </row>
    <row r="8">
      <c r="A8" s="554" t="s">
        <v>33055</v>
      </c>
      <c r="E8" s="7" t="s">
        <v>33056</v>
      </c>
    </row>
    <row r="9">
      <c r="A9" s="555" t="s">
        <v>33057</v>
      </c>
      <c r="E9" s="7" t="s">
        <v>33058</v>
      </c>
    </row>
    <row r="10">
      <c r="A10" s="555" t="s">
        <v>33059</v>
      </c>
    </row>
    <row r="11">
      <c r="A11" s="555" t="s">
        <v>33060</v>
      </c>
    </row>
    <row r="12">
      <c r="A12" s="556" t="s">
        <v>33061</v>
      </c>
    </row>
    <row r="13">
      <c r="A13" s="557" t="s">
        <v>33062</v>
      </c>
    </row>
    <row r="14">
      <c r="A14" s="558" t="s">
        <v>33063</v>
      </c>
    </row>
    <row r="15">
      <c r="A15" s="559" t="s">
        <v>33064</v>
      </c>
    </row>
    <row r="16">
      <c r="A16" s="559" t="s">
        <v>33065</v>
      </c>
    </row>
    <row r="17">
      <c r="A17" s="560" t="s">
        <v>33066</v>
      </c>
    </row>
    <row r="18">
      <c r="A18" s="561" t="s">
        <v>33067</v>
      </c>
    </row>
    <row r="19">
      <c r="A19" s="558" t="s">
        <v>33068</v>
      </c>
    </row>
    <row r="20">
      <c r="A20" s="558" t="s">
        <v>33069</v>
      </c>
    </row>
    <row r="21">
      <c r="A21" s="562" t="s">
        <v>33070</v>
      </c>
    </row>
    <row r="22">
      <c r="A22" s="559" t="s">
        <v>33071</v>
      </c>
    </row>
    <row r="23">
      <c r="A23" s="559" t="s">
        <v>33072</v>
      </c>
    </row>
    <row r="24">
      <c r="A24" s="563" t="s">
        <v>33073</v>
      </c>
    </row>
    <row r="25">
      <c r="A25" s="559" t="s">
        <v>33074</v>
      </c>
    </row>
    <row r="26">
      <c r="A26" s="559" t="s">
        <v>33075</v>
      </c>
    </row>
    <row r="27">
      <c r="A27" s="559" t="s">
        <v>33076</v>
      </c>
    </row>
    <row r="28">
      <c r="A28" s="558" t="s">
        <v>33077</v>
      </c>
    </row>
    <row r="29">
      <c r="A29" s="558" t="s">
        <v>33078</v>
      </c>
    </row>
    <row r="30">
      <c r="A30" s="558" t="s">
        <v>33079</v>
      </c>
    </row>
    <row r="31">
      <c r="A31" s="558" t="s">
        <v>33080</v>
      </c>
    </row>
    <row r="32">
      <c r="A32" s="558" t="s">
        <v>33081</v>
      </c>
    </row>
    <row r="33">
      <c r="A33" s="558" t="s">
        <v>33082</v>
      </c>
    </row>
    <row r="34">
      <c r="A34" s="558" t="s">
        <v>33083</v>
      </c>
    </row>
    <row r="35">
      <c r="A35" s="564" t="s">
        <v>33084</v>
      </c>
    </row>
    <row r="36">
      <c r="A36" s="558" t="s">
        <v>33085</v>
      </c>
    </row>
    <row r="37">
      <c r="A37" s="558" t="s">
        <v>33086</v>
      </c>
    </row>
    <row r="38">
      <c r="A38" s="565" t="s">
        <v>33087</v>
      </c>
    </row>
    <row r="39">
      <c r="A39" s="558" t="s">
        <v>33088</v>
      </c>
    </row>
    <row r="40">
      <c r="A40" s="558" t="s">
        <v>33089</v>
      </c>
    </row>
    <row r="41">
      <c r="A41" s="566" t="s">
        <v>33090</v>
      </c>
    </row>
    <row r="42">
      <c r="A42" s="567" t="s">
        <v>33091</v>
      </c>
    </row>
    <row r="43">
      <c r="A43" s="567" t="s">
        <v>33092</v>
      </c>
    </row>
    <row r="44">
      <c r="A44" s="559" t="s">
        <v>33093</v>
      </c>
    </row>
    <row r="45">
      <c r="A45" s="568" t="s">
        <v>33094</v>
      </c>
    </row>
    <row r="46">
      <c r="A46" s="568" t="s">
        <v>33095</v>
      </c>
    </row>
    <row r="47">
      <c r="A47" s="568" t="s">
        <v>33096</v>
      </c>
    </row>
    <row r="48">
      <c r="A48" s="569" t="s">
        <v>33097</v>
      </c>
    </row>
    <row r="49">
      <c r="A49" s="569" t="s">
        <v>33098</v>
      </c>
    </row>
    <row r="50">
      <c r="A50" s="570" t="s">
        <v>33099</v>
      </c>
    </row>
    <row r="51">
      <c r="A51" s="570" t="s">
        <v>33100</v>
      </c>
    </row>
    <row r="52">
      <c r="A52" s="571" t="s">
        <v>33101</v>
      </c>
    </row>
    <row r="53">
      <c r="A53" s="572" t="s">
        <v>33102</v>
      </c>
    </row>
    <row r="54">
      <c r="A54" s="559" t="s">
        <v>33103</v>
      </c>
    </row>
    <row r="55">
      <c r="A55" s="559" t="s">
        <v>33104</v>
      </c>
    </row>
    <row r="56">
      <c r="A56" s="558" t="s">
        <v>33105</v>
      </c>
    </row>
    <row r="57">
      <c r="A57" s="561" t="s">
        <v>33106</v>
      </c>
    </row>
    <row r="58">
      <c r="A58" s="571" t="s">
        <v>33107</v>
      </c>
    </row>
    <row r="59">
      <c r="A59" s="572" t="s">
        <v>33108</v>
      </c>
    </row>
    <row r="60">
      <c r="A60" s="573" t="s">
        <v>33109</v>
      </c>
    </row>
    <row r="61">
      <c r="A61" s="558" t="s">
        <v>33110</v>
      </c>
    </row>
    <row r="62">
      <c r="A62" s="558" t="s">
        <v>33111</v>
      </c>
    </row>
    <row r="63">
      <c r="A63" s="558" t="s">
        <v>33112</v>
      </c>
    </row>
    <row r="64">
      <c r="A64" s="558" t="s">
        <v>33113</v>
      </c>
    </row>
    <row r="65">
      <c r="A65" s="564" t="s">
        <v>33114</v>
      </c>
    </row>
    <row r="66">
      <c r="A66" s="574" t="s">
        <v>33115</v>
      </c>
    </row>
    <row r="67">
      <c r="A67" s="572" t="s">
        <v>33116</v>
      </c>
    </row>
    <row r="68">
      <c r="A68" s="558" t="s">
        <v>33117</v>
      </c>
    </row>
    <row r="69">
      <c r="A69" s="572" t="s">
        <v>33118</v>
      </c>
    </row>
    <row r="70">
      <c r="A70" s="575" t="s">
        <v>33119</v>
      </c>
    </row>
    <row r="71">
      <c r="A71" s="576" t="s">
        <v>33120</v>
      </c>
    </row>
    <row r="72">
      <c r="A72" s="558" t="s">
        <v>33121</v>
      </c>
    </row>
    <row r="73">
      <c r="A73" s="577" t="s">
        <v>33122</v>
      </c>
    </row>
    <row r="74">
      <c r="A74" s="577" t="s">
        <v>33123</v>
      </c>
    </row>
    <row r="75">
      <c r="A75" s="572" t="s">
        <v>33124</v>
      </c>
    </row>
    <row r="76">
      <c r="A76" s="558" t="s">
        <v>33125</v>
      </c>
    </row>
    <row r="77">
      <c r="A77" s="558" t="s">
        <v>33126</v>
      </c>
    </row>
    <row r="78">
      <c r="A78" s="558" t="s">
        <v>33127</v>
      </c>
    </row>
    <row r="79">
      <c r="A79" s="572" t="s">
        <v>33128</v>
      </c>
    </row>
    <row r="80">
      <c r="A80" s="578" t="s">
        <v>33129</v>
      </c>
    </row>
    <row r="81">
      <c r="A81" s="579" t="s">
        <v>33130</v>
      </c>
    </row>
    <row r="82">
      <c r="A82" s="580" t="s">
        <v>33131</v>
      </c>
    </row>
    <row r="83">
      <c r="A83" s="580" t="s">
        <v>33132</v>
      </c>
    </row>
    <row r="84">
      <c r="A84" s="580" t="s">
        <v>33133</v>
      </c>
    </row>
    <row r="85">
      <c r="A85" s="580" t="s">
        <v>33134</v>
      </c>
    </row>
    <row r="86">
      <c r="A86" s="561" t="s">
        <v>33135</v>
      </c>
    </row>
    <row r="87">
      <c r="A87" s="581" t="s">
        <v>33136</v>
      </c>
    </row>
    <row r="88">
      <c r="A88" s="582" t="s">
        <v>33137</v>
      </c>
    </row>
    <row r="89">
      <c r="A89" s="583" t="s">
        <v>33138</v>
      </c>
    </row>
    <row r="90">
      <c r="A90" s="584" t="s">
        <v>33139</v>
      </c>
    </row>
    <row r="91">
      <c r="A91" s="585" t="s">
        <v>33140</v>
      </c>
    </row>
    <row r="92">
      <c r="A92" s="586" t="s">
        <v>33141</v>
      </c>
    </row>
    <row r="93">
      <c r="A93" s="584" t="s">
        <v>33142</v>
      </c>
    </row>
    <row r="94">
      <c r="A94" s="587" t="s">
        <v>33143</v>
      </c>
    </row>
    <row r="95">
      <c r="A95" s="588" t="s">
        <v>33144</v>
      </c>
    </row>
    <row r="96">
      <c r="A96" s="589" t="s">
        <v>33145</v>
      </c>
    </row>
    <row r="97">
      <c r="A97" s="590" t="s">
        <v>33146</v>
      </c>
    </row>
    <row r="98">
      <c r="A98" s="591" t="s">
        <v>33147</v>
      </c>
    </row>
    <row r="99">
      <c r="A99" s="592" t="s">
        <v>33148</v>
      </c>
    </row>
    <row r="100">
      <c r="A100" s="593" t="s">
        <v>33149</v>
      </c>
    </row>
    <row r="101">
      <c r="A101" s="558" t="s">
        <v>33150</v>
      </c>
    </row>
    <row r="102" ht="182.25" customHeight="1">
      <c r="A102" s="594"/>
      <c r="B102" s="594"/>
    </row>
    <row r="103">
      <c r="A103" s="594"/>
    </row>
    <row r="104">
      <c r="A104" s="594"/>
    </row>
    <row r="105">
      <c r="A105" s="594"/>
    </row>
    <row r="106">
      <c r="A106" s="594"/>
    </row>
    <row r="107">
      <c r="A107" s="594"/>
    </row>
    <row r="108">
      <c r="A108" s="594"/>
    </row>
    <row r="109">
      <c r="A109" s="594"/>
    </row>
    <row r="110">
      <c r="A110" s="594"/>
    </row>
    <row r="111">
      <c r="A111" s="594"/>
    </row>
    <row r="112">
      <c r="A112" s="594"/>
    </row>
    <row r="113">
      <c r="A113" s="594"/>
    </row>
    <row r="114">
      <c r="A114" s="594"/>
    </row>
    <row r="115">
      <c r="A115" s="594"/>
    </row>
    <row r="116">
      <c r="A116" s="594"/>
    </row>
    <row r="117">
      <c r="A117" s="594"/>
    </row>
    <row r="118">
      <c r="A118" s="594"/>
    </row>
    <row r="119">
      <c r="A119" s="594"/>
    </row>
    <row r="120">
      <c r="A120" s="594"/>
    </row>
    <row r="121">
      <c r="A121" s="594"/>
    </row>
    <row r="122">
      <c r="A122" s="594"/>
    </row>
    <row r="123">
      <c r="A123" s="594"/>
    </row>
    <row r="124">
      <c r="A124" s="594"/>
    </row>
    <row r="125">
      <c r="A125" s="594"/>
    </row>
    <row r="126">
      <c r="A126" s="594"/>
    </row>
    <row r="127">
      <c r="A127" s="594"/>
    </row>
    <row r="128">
      <c r="A128" s="594"/>
    </row>
    <row r="129">
      <c r="A129" s="594"/>
    </row>
    <row r="130">
      <c r="A130" s="594"/>
    </row>
    <row r="131">
      <c r="A131" s="594"/>
    </row>
    <row r="132">
      <c r="A132" s="594"/>
    </row>
    <row r="133">
      <c r="A133" s="594"/>
    </row>
    <row r="134">
      <c r="A134" s="594"/>
    </row>
    <row r="135">
      <c r="A135" s="594"/>
    </row>
    <row r="136">
      <c r="A136" s="594"/>
    </row>
    <row r="137">
      <c r="A137" s="594"/>
    </row>
    <row r="138">
      <c r="A138" s="594"/>
    </row>
    <row r="139">
      <c r="A139" s="594"/>
    </row>
    <row r="140">
      <c r="A140" s="594"/>
    </row>
    <row r="141">
      <c r="A141" s="594"/>
    </row>
    <row r="142">
      <c r="A142" s="594"/>
    </row>
    <row r="143">
      <c r="A143" s="594"/>
    </row>
    <row r="144">
      <c r="A144" s="594"/>
    </row>
    <row r="145">
      <c r="A145" s="594"/>
    </row>
    <row r="146">
      <c r="A146" s="594"/>
    </row>
    <row r="147">
      <c r="A147" s="594"/>
    </row>
    <row r="148">
      <c r="A148" s="594"/>
    </row>
    <row r="149">
      <c r="A149" s="594"/>
    </row>
    <row r="150">
      <c r="A150" s="594"/>
    </row>
    <row r="151">
      <c r="A151" s="594"/>
    </row>
    <row r="152">
      <c r="A152" s="594"/>
    </row>
    <row r="153">
      <c r="A153" s="594"/>
    </row>
    <row r="154">
      <c r="A154" s="594"/>
    </row>
    <row r="155">
      <c r="A155" s="594"/>
    </row>
    <row r="156">
      <c r="A156" s="594"/>
    </row>
    <row r="157">
      <c r="A157" s="594"/>
    </row>
    <row r="158">
      <c r="A158" s="594"/>
    </row>
    <row r="159">
      <c r="A159" s="594"/>
    </row>
    <row r="160">
      <c r="A160" s="594"/>
    </row>
    <row r="161">
      <c r="A161" s="594"/>
    </row>
    <row r="162">
      <c r="A162" s="594"/>
    </row>
    <row r="163">
      <c r="A163" s="594"/>
    </row>
    <row r="164">
      <c r="A164" s="594"/>
    </row>
    <row r="165">
      <c r="A165" s="594"/>
    </row>
    <row r="166">
      <c r="A166" s="594"/>
    </row>
    <row r="167">
      <c r="A167" s="594"/>
    </row>
    <row r="168">
      <c r="A168" s="594"/>
    </row>
    <row r="169">
      <c r="A169" s="594"/>
    </row>
    <row r="170">
      <c r="A170" s="594"/>
    </row>
    <row r="171">
      <c r="A171" s="594"/>
    </row>
    <row r="172">
      <c r="A172" s="594"/>
    </row>
    <row r="173">
      <c r="A173" s="594"/>
    </row>
    <row r="174">
      <c r="A174" s="594"/>
    </row>
    <row r="175">
      <c r="A175" s="594"/>
    </row>
    <row r="176">
      <c r="A176" s="594"/>
    </row>
    <row r="177">
      <c r="A177" s="594"/>
    </row>
    <row r="178">
      <c r="A178" s="594"/>
    </row>
    <row r="179">
      <c r="A179" s="594"/>
    </row>
    <row r="180">
      <c r="A180" s="594"/>
    </row>
    <row r="181">
      <c r="A181" s="594"/>
    </row>
    <row r="182">
      <c r="A182" s="594"/>
    </row>
    <row r="183">
      <c r="A183" s="594"/>
    </row>
    <row r="184">
      <c r="A184" s="594"/>
    </row>
    <row r="185">
      <c r="A185" s="594"/>
    </row>
    <row r="186">
      <c r="A186" s="594"/>
    </row>
    <row r="187">
      <c r="A187" s="594"/>
    </row>
    <row r="188">
      <c r="A188" s="594"/>
    </row>
    <row r="189">
      <c r="A189" s="594"/>
    </row>
    <row r="190">
      <c r="A190" s="594"/>
    </row>
    <row r="191">
      <c r="A191" s="594"/>
    </row>
    <row r="192">
      <c r="A192" s="594"/>
    </row>
    <row r="193">
      <c r="A193" s="594"/>
    </row>
    <row r="194">
      <c r="A194" s="594"/>
    </row>
    <row r="195">
      <c r="A195" s="594"/>
    </row>
    <row r="196">
      <c r="A196" s="594"/>
    </row>
    <row r="197">
      <c r="A197" s="594"/>
    </row>
    <row r="198">
      <c r="A198" s="594"/>
    </row>
    <row r="199">
      <c r="A199" s="594"/>
    </row>
    <row r="200">
      <c r="A200" s="594"/>
    </row>
    <row r="201">
      <c r="A201" s="594"/>
    </row>
    <row r="202">
      <c r="A202" s="594"/>
    </row>
    <row r="203">
      <c r="A203" s="594"/>
    </row>
    <row r="204">
      <c r="A204" s="594"/>
    </row>
    <row r="205">
      <c r="A205" s="594"/>
    </row>
    <row r="206">
      <c r="A206" s="594"/>
    </row>
    <row r="207">
      <c r="A207" s="594"/>
    </row>
    <row r="208">
      <c r="A208" s="594"/>
    </row>
    <row r="209">
      <c r="A209" s="594"/>
    </row>
    <row r="210">
      <c r="A210" s="594"/>
    </row>
    <row r="211">
      <c r="A211" s="594"/>
    </row>
    <row r="212">
      <c r="A212" s="594"/>
    </row>
    <row r="213">
      <c r="A213" s="594"/>
    </row>
    <row r="214">
      <c r="A214" s="594"/>
    </row>
    <row r="215">
      <c r="A215" s="594"/>
    </row>
    <row r="216">
      <c r="A216" s="594"/>
    </row>
    <row r="217">
      <c r="A217" s="594"/>
    </row>
    <row r="218">
      <c r="A218" s="594"/>
    </row>
    <row r="219">
      <c r="A219" s="594"/>
    </row>
    <row r="220">
      <c r="A220" s="594"/>
    </row>
    <row r="221">
      <c r="A221" s="594"/>
    </row>
    <row r="222">
      <c r="A222" s="594"/>
    </row>
    <row r="223">
      <c r="A223" s="594"/>
    </row>
    <row r="224">
      <c r="A224" s="594"/>
    </row>
    <row r="225">
      <c r="A225" s="594"/>
    </row>
    <row r="226">
      <c r="A226" s="594"/>
    </row>
    <row r="227">
      <c r="A227" s="594"/>
    </row>
    <row r="228">
      <c r="A228" s="594"/>
    </row>
    <row r="229">
      <c r="A229" s="594"/>
    </row>
    <row r="230">
      <c r="A230" s="594"/>
    </row>
    <row r="231">
      <c r="A231" s="594"/>
    </row>
    <row r="232">
      <c r="A232" s="594"/>
    </row>
    <row r="233">
      <c r="A233" s="594"/>
    </row>
    <row r="234">
      <c r="A234" s="594"/>
    </row>
    <row r="235">
      <c r="A235" s="594"/>
    </row>
    <row r="236">
      <c r="A236" s="594"/>
    </row>
    <row r="237">
      <c r="A237" s="594"/>
    </row>
    <row r="238">
      <c r="A238" s="594"/>
    </row>
    <row r="239">
      <c r="A239" s="594"/>
    </row>
    <row r="240">
      <c r="A240" s="594"/>
    </row>
    <row r="241">
      <c r="A241" s="594"/>
    </row>
    <row r="242">
      <c r="A242" s="594"/>
    </row>
    <row r="243">
      <c r="A243" s="594"/>
    </row>
    <row r="244">
      <c r="A244" s="594"/>
    </row>
    <row r="245">
      <c r="A245" s="594"/>
    </row>
    <row r="246">
      <c r="A246" s="594"/>
    </row>
    <row r="247">
      <c r="A247" s="594"/>
    </row>
    <row r="248">
      <c r="A248" s="594"/>
    </row>
    <row r="249">
      <c r="A249" s="594"/>
    </row>
    <row r="250">
      <c r="A250" s="594"/>
    </row>
    <row r="251">
      <c r="A251" s="594"/>
    </row>
    <row r="252">
      <c r="A252" s="594"/>
    </row>
    <row r="253">
      <c r="A253" s="594"/>
    </row>
    <row r="254">
      <c r="A254" s="594"/>
    </row>
    <row r="255">
      <c r="A255" s="594"/>
    </row>
    <row r="256">
      <c r="A256" s="594"/>
    </row>
    <row r="257">
      <c r="A257" s="594"/>
    </row>
    <row r="258">
      <c r="A258" s="594"/>
    </row>
    <row r="259">
      <c r="A259" s="594"/>
    </row>
    <row r="260">
      <c r="A260" s="594"/>
    </row>
    <row r="261">
      <c r="A261" s="594"/>
    </row>
    <row r="262">
      <c r="A262" s="594"/>
    </row>
    <row r="263">
      <c r="A263" s="594"/>
    </row>
    <row r="264">
      <c r="A264" s="594"/>
    </row>
    <row r="265">
      <c r="A265" s="594"/>
    </row>
    <row r="266">
      <c r="A266" s="594"/>
    </row>
    <row r="267">
      <c r="A267" s="594"/>
    </row>
    <row r="268">
      <c r="A268" s="594"/>
    </row>
    <row r="269">
      <c r="A269" s="594"/>
    </row>
    <row r="270">
      <c r="A270" s="594"/>
    </row>
    <row r="271">
      <c r="A271" s="594"/>
    </row>
    <row r="272">
      <c r="A272" s="594"/>
    </row>
    <row r="273">
      <c r="A273" s="594"/>
    </row>
    <row r="274">
      <c r="A274" s="594"/>
    </row>
    <row r="275">
      <c r="A275" s="594"/>
    </row>
    <row r="276">
      <c r="A276" s="594"/>
    </row>
    <row r="277">
      <c r="A277" s="594"/>
    </row>
    <row r="278">
      <c r="A278" s="594"/>
    </row>
    <row r="279">
      <c r="A279" s="594"/>
    </row>
    <row r="280">
      <c r="A280" s="594"/>
    </row>
    <row r="281">
      <c r="A281" s="594"/>
    </row>
    <row r="282">
      <c r="A282" s="594"/>
    </row>
    <row r="283">
      <c r="A283" s="594"/>
    </row>
    <row r="284">
      <c r="A284" s="594"/>
    </row>
    <row r="285">
      <c r="A285" s="594"/>
    </row>
    <row r="286">
      <c r="A286" s="594"/>
    </row>
    <row r="287">
      <c r="A287" s="594"/>
    </row>
    <row r="288">
      <c r="A288" s="594"/>
    </row>
    <row r="289">
      <c r="A289" s="594"/>
    </row>
    <row r="290">
      <c r="A290" s="594"/>
    </row>
    <row r="291">
      <c r="A291" s="594"/>
    </row>
    <row r="292">
      <c r="A292" s="594"/>
    </row>
    <row r="293">
      <c r="A293" s="594"/>
    </row>
    <row r="294">
      <c r="A294" s="594"/>
    </row>
    <row r="295">
      <c r="A295" s="594"/>
    </row>
    <row r="296">
      <c r="A296" s="594"/>
    </row>
    <row r="297">
      <c r="A297" s="594"/>
    </row>
    <row r="298">
      <c r="A298" s="594"/>
    </row>
    <row r="299">
      <c r="A299" s="594"/>
    </row>
    <row r="300">
      <c r="A300" s="594"/>
    </row>
    <row r="301">
      <c r="A301" s="594"/>
    </row>
    <row r="302">
      <c r="A302" s="594"/>
    </row>
    <row r="303">
      <c r="A303" s="594"/>
    </row>
    <row r="304">
      <c r="A304" s="594"/>
    </row>
    <row r="305">
      <c r="A305" s="594"/>
    </row>
    <row r="306">
      <c r="A306" s="594"/>
    </row>
    <row r="307">
      <c r="A307" s="594"/>
    </row>
    <row r="308">
      <c r="A308" s="594"/>
    </row>
    <row r="309">
      <c r="A309" s="594"/>
    </row>
    <row r="310">
      <c r="A310" s="594"/>
    </row>
    <row r="311">
      <c r="A311" s="594"/>
    </row>
    <row r="312">
      <c r="A312" s="594"/>
    </row>
    <row r="313">
      <c r="A313" s="594"/>
    </row>
    <row r="314">
      <c r="A314" s="594"/>
    </row>
    <row r="315">
      <c r="A315" s="594"/>
    </row>
    <row r="316">
      <c r="A316" s="594"/>
    </row>
    <row r="317">
      <c r="A317" s="594"/>
    </row>
    <row r="318">
      <c r="A318" s="594"/>
    </row>
    <row r="319">
      <c r="A319" s="594"/>
    </row>
    <row r="320">
      <c r="A320" s="594"/>
    </row>
    <row r="321">
      <c r="A321" s="594"/>
    </row>
    <row r="322">
      <c r="A322" s="594"/>
    </row>
    <row r="323">
      <c r="A323" s="594"/>
    </row>
    <row r="324">
      <c r="A324" s="594"/>
    </row>
    <row r="325">
      <c r="A325" s="594"/>
    </row>
    <row r="326">
      <c r="A326" s="594"/>
    </row>
    <row r="327">
      <c r="A327" s="594"/>
    </row>
    <row r="328">
      <c r="A328" s="594"/>
    </row>
    <row r="329">
      <c r="A329" s="594"/>
    </row>
    <row r="330">
      <c r="A330" s="594"/>
    </row>
    <row r="331">
      <c r="A331" s="594"/>
    </row>
    <row r="332">
      <c r="A332" s="594"/>
    </row>
    <row r="333">
      <c r="A333" s="594"/>
    </row>
    <row r="334">
      <c r="A334" s="594"/>
    </row>
    <row r="335">
      <c r="A335" s="594"/>
    </row>
    <row r="336">
      <c r="A336" s="594"/>
    </row>
    <row r="337">
      <c r="A337" s="594"/>
    </row>
    <row r="338">
      <c r="A338" s="594"/>
    </row>
    <row r="339">
      <c r="A339" s="594"/>
    </row>
    <row r="340">
      <c r="A340" s="594"/>
    </row>
    <row r="341">
      <c r="A341" s="594"/>
    </row>
    <row r="342">
      <c r="A342" s="594"/>
    </row>
    <row r="343">
      <c r="A343" s="594"/>
    </row>
    <row r="344">
      <c r="A344" s="594"/>
    </row>
    <row r="345">
      <c r="A345" s="594"/>
    </row>
    <row r="346">
      <c r="A346" s="594"/>
    </row>
    <row r="347">
      <c r="A347" s="594"/>
    </row>
    <row r="348">
      <c r="A348" s="594"/>
    </row>
    <row r="349">
      <c r="A349" s="594"/>
    </row>
    <row r="350">
      <c r="A350" s="594"/>
    </row>
    <row r="351">
      <c r="A351" s="594"/>
    </row>
    <row r="352">
      <c r="A352" s="594"/>
    </row>
    <row r="353">
      <c r="A353" s="594"/>
    </row>
    <row r="354">
      <c r="A354" s="594"/>
    </row>
    <row r="355">
      <c r="A355" s="594"/>
    </row>
    <row r="356">
      <c r="A356" s="594"/>
    </row>
    <row r="357">
      <c r="A357" s="594"/>
    </row>
    <row r="358">
      <c r="A358" s="594"/>
    </row>
    <row r="359">
      <c r="A359" s="594"/>
    </row>
    <row r="360">
      <c r="A360" s="594"/>
    </row>
    <row r="361">
      <c r="A361" s="594"/>
    </row>
    <row r="362">
      <c r="A362" s="594"/>
    </row>
    <row r="363">
      <c r="A363" s="594"/>
    </row>
    <row r="364">
      <c r="A364" s="594"/>
    </row>
    <row r="365">
      <c r="A365" s="594"/>
    </row>
    <row r="366">
      <c r="A366" s="594"/>
    </row>
    <row r="367">
      <c r="A367" s="594"/>
    </row>
    <row r="368">
      <c r="A368" s="594"/>
    </row>
    <row r="369">
      <c r="A369" s="594"/>
    </row>
    <row r="370">
      <c r="A370" s="594"/>
    </row>
    <row r="371">
      <c r="A371" s="594"/>
    </row>
    <row r="372">
      <c r="A372" s="594"/>
    </row>
    <row r="373">
      <c r="A373" s="594"/>
    </row>
    <row r="374">
      <c r="A374" s="594"/>
    </row>
    <row r="375">
      <c r="A375" s="594"/>
    </row>
    <row r="376">
      <c r="A376" s="594"/>
    </row>
    <row r="377">
      <c r="A377" s="594"/>
    </row>
    <row r="378">
      <c r="A378" s="594"/>
    </row>
    <row r="379">
      <c r="A379" s="594"/>
    </row>
    <row r="380">
      <c r="A380" s="594"/>
    </row>
    <row r="381">
      <c r="A381" s="594"/>
    </row>
    <row r="382">
      <c r="A382" s="594"/>
    </row>
    <row r="383">
      <c r="A383" s="594"/>
    </row>
    <row r="384">
      <c r="A384" s="594"/>
    </row>
    <row r="385">
      <c r="A385" s="594"/>
    </row>
    <row r="386">
      <c r="A386" s="594"/>
    </row>
    <row r="387">
      <c r="A387" s="594"/>
    </row>
    <row r="388">
      <c r="A388" s="594"/>
    </row>
    <row r="389">
      <c r="A389" s="594"/>
    </row>
    <row r="390">
      <c r="A390" s="594"/>
    </row>
    <row r="391">
      <c r="A391" s="594"/>
    </row>
    <row r="392">
      <c r="A392" s="594"/>
    </row>
    <row r="393">
      <c r="A393" s="594"/>
    </row>
    <row r="394">
      <c r="A394" s="594"/>
    </row>
    <row r="395">
      <c r="A395" s="594"/>
    </row>
    <row r="396">
      <c r="A396" s="594"/>
    </row>
    <row r="397">
      <c r="A397" s="594"/>
    </row>
    <row r="398">
      <c r="A398" s="594"/>
    </row>
    <row r="399">
      <c r="A399" s="594"/>
    </row>
    <row r="400">
      <c r="A400" s="594"/>
    </row>
    <row r="401">
      <c r="A401" s="594"/>
    </row>
    <row r="402">
      <c r="A402" s="594"/>
    </row>
    <row r="403">
      <c r="A403" s="594"/>
    </row>
    <row r="404">
      <c r="A404" s="594"/>
    </row>
    <row r="405">
      <c r="A405" s="594"/>
    </row>
    <row r="406">
      <c r="A406" s="594"/>
    </row>
    <row r="407">
      <c r="A407" s="594"/>
    </row>
    <row r="408">
      <c r="A408" s="594"/>
    </row>
    <row r="409">
      <c r="A409" s="594"/>
    </row>
    <row r="410">
      <c r="A410" s="594"/>
    </row>
    <row r="411">
      <c r="A411" s="594"/>
    </row>
    <row r="412">
      <c r="A412" s="594"/>
    </row>
    <row r="413">
      <c r="A413" s="594"/>
    </row>
    <row r="414">
      <c r="A414" s="594"/>
    </row>
    <row r="415">
      <c r="A415" s="594"/>
    </row>
    <row r="416">
      <c r="A416" s="594"/>
    </row>
    <row r="417">
      <c r="A417" s="594"/>
    </row>
    <row r="418">
      <c r="A418" s="594"/>
    </row>
    <row r="419">
      <c r="A419" s="594"/>
    </row>
    <row r="420">
      <c r="A420" s="594"/>
    </row>
    <row r="421">
      <c r="A421" s="594"/>
    </row>
    <row r="422">
      <c r="A422" s="594"/>
    </row>
    <row r="423">
      <c r="A423" s="594"/>
    </row>
    <row r="424">
      <c r="A424" s="594"/>
    </row>
    <row r="425">
      <c r="A425" s="594"/>
    </row>
    <row r="426">
      <c r="A426" s="594"/>
    </row>
    <row r="427">
      <c r="A427" s="594"/>
    </row>
    <row r="428">
      <c r="A428" s="594"/>
    </row>
    <row r="429">
      <c r="A429" s="594"/>
    </row>
    <row r="430">
      <c r="A430" s="594"/>
    </row>
    <row r="431">
      <c r="A431" s="594"/>
    </row>
    <row r="432">
      <c r="A432" s="594"/>
    </row>
    <row r="433">
      <c r="A433" s="594"/>
    </row>
    <row r="434">
      <c r="A434" s="594"/>
    </row>
    <row r="435">
      <c r="A435" s="594"/>
    </row>
    <row r="436">
      <c r="A436" s="594"/>
    </row>
    <row r="437">
      <c r="A437" s="594"/>
    </row>
    <row r="438">
      <c r="A438" s="594"/>
    </row>
    <row r="439">
      <c r="A439" s="594"/>
    </row>
    <row r="440">
      <c r="A440" s="594"/>
    </row>
    <row r="441">
      <c r="A441" s="594"/>
    </row>
    <row r="442">
      <c r="A442" s="594"/>
    </row>
    <row r="443">
      <c r="A443" s="594"/>
    </row>
    <row r="444">
      <c r="A444" s="594"/>
    </row>
    <row r="445">
      <c r="A445" s="594"/>
    </row>
    <row r="446">
      <c r="A446" s="594"/>
    </row>
    <row r="447">
      <c r="A447" s="594"/>
    </row>
    <row r="448">
      <c r="A448" s="594"/>
    </row>
    <row r="449">
      <c r="A449" s="594"/>
    </row>
    <row r="450">
      <c r="A450" s="594"/>
    </row>
    <row r="451">
      <c r="A451" s="594"/>
    </row>
    <row r="452">
      <c r="A452" s="594"/>
    </row>
    <row r="453">
      <c r="A453" s="594"/>
    </row>
    <row r="454">
      <c r="A454" s="594"/>
    </row>
    <row r="455">
      <c r="A455" s="594"/>
    </row>
    <row r="456">
      <c r="A456" s="594"/>
    </row>
    <row r="457">
      <c r="A457" s="594"/>
    </row>
    <row r="458">
      <c r="A458" s="594"/>
    </row>
    <row r="459">
      <c r="A459" s="594"/>
    </row>
    <row r="460">
      <c r="A460" s="594"/>
    </row>
    <row r="461">
      <c r="A461" s="594"/>
    </row>
    <row r="462">
      <c r="A462" s="594"/>
    </row>
    <row r="463">
      <c r="A463" s="594"/>
    </row>
    <row r="464">
      <c r="A464" s="594"/>
    </row>
    <row r="465">
      <c r="A465" s="594"/>
    </row>
    <row r="466">
      <c r="A466" s="594"/>
    </row>
    <row r="467">
      <c r="A467" s="594"/>
    </row>
    <row r="468">
      <c r="A468" s="594"/>
    </row>
    <row r="469">
      <c r="A469" s="594"/>
    </row>
    <row r="470">
      <c r="A470" s="594"/>
    </row>
    <row r="471">
      <c r="A471" s="594"/>
    </row>
    <row r="472">
      <c r="A472" s="594"/>
    </row>
    <row r="473">
      <c r="A473" s="594"/>
    </row>
    <row r="474">
      <c r="A474" s="594"/>
    </row>
    <row r="475">
      <c r="A475" s="594"/>
    </row>
    <row r="476">
      <c r="A476" s="594"/>
    </row>
    <row r="477">
      <c r="A477" s="594"/>
    </row>
    <row r="478">
      <c r="A478" s="594"/>
    </row>
    <row r="479">
      <c r="A479" s="594"/>
    </row>
    <row r="480">
      <c r="A480" s="594"/>
    </row>
    <row r="481">
      <c r="A481" s="594"/>
    </row>
    <row r="482">
      <c r="A482" s="594"/>
    </row>
    <row r="483">
      <c r="A483" s="594"/>
    </row>
    <row r="484">
      <c r="A484" s="594"/>
    </row>
    <row r="485">
      <c r="A485" s="594"/>
    </row>
    <row r="486">
      <c r="A486" s="594"/>
    </row>
    <row r="487">
      <c r="A487" s="594"/>
    </row>
    <row r="488">
      <c r="A488" s="594"/>
    </row>
    <row r="489">
      <c r="A489" s="594"/>
    </row>
    <row r="490">
      <c r="A490" s="594"/>
    </row>
    <row r="491">
      <c r="A491" s="594"/>
    </row>
    <row r="492">
      <c r="A492" s="594"/>
    </row>
    <row r="493">
      <c r="A493" s="594"/>
    </row>
    <row r="494">
      <c r="A494" s="594"/>
    </row>
    <row r="495">
      <c r="A495" s="594"/>
    </row>
    <row r="496">
      <c r="A496" s="594"/>
    </row>
    <row r="497">
      <c r="A497" s="594"/>
    </row>
    <row r="498">
      <c r="A498" s="594"/>
    </row>
    <row r="499">
      <c r="A499" s="594"/>
    </row>
    <row r="500">
      <c r="A500" s="594"/>
    </row>
    <row r="501">
      <c r="A501" s="594"/>
    </row>
    <row r="502">
      <c r="A502" s="594"/>
    </row>
    <row r="503">
      <c r="A503" s="594"/>
    </row>
    <row r="504">
      <c r="A504" s="594"/>
    </row>
    <row r="505">
      <c r="A505" s="594"/>
    </row>
    <row r="506">
      <c r="A506" s="594"/>
    </row>
    <row r="507">
      <c r="A507" s="594"/>
    </row>
    <row r="508">
      <c r="A508" s="594"/>
    </row>
    <row r="509">
      <c r="A509" s="594"/>
    </row>
    <row r="510">
      <c r="A510" s="594"/>
    </row>
    <row r="511">
      <c r="A511" s="594"/>
    </row>
    <row r="512">
      <c r="A512" s="594"/>
    </row>
    <row r="513">
      <c r="A513" s="594"/>
    </row>
    <row r="514">
      <c r="A514" s="594"/>
    </row>
    <row r="515">
      <c r="A515" s="594"/>
    </row>
    <row r="516">
      <c r="A516" s="594"/>
    </row>
    <row r="517">
      <c r="A517" s="594"/>
    </row>
    <row r="518">
      <c r="A518" s="594"/>
    </row>
    <row r="519">
      <c r="A519" s="594"/>
    </row>
    <row r="520">
      <c r="A520" s="594"/>
    </row>
    <row r="521">
      <c r="A521" s="594"/>
    </row>
    <row r="522">
      <c r="A522" s="594"/>
    </row>
    <row r="523">
      <c r="A523" s="594"/>
    </row>
    <row r="524">
      <c r="A524" s="594"/>
    </row>
    <row r="525">
      <c r="A525" s="594"/>
    </row>
    <row r="526">
      <c r="A526" s="594"/>
    </row>
    <row r="527">
      <c r="A527" s="594"/>
    </row>
    <row r="528">
      <c r="A528" s="594"/>
    </row>
    <row r="529">
      <c r="A529" s="594"/>
    </row>
    <row r="530">
      <c r="A530" s="594"/>
    </row>
    <row r="531">
      <c r="A531" s="594"/>
    </row>
    <row r="532">
      <c r="A532" s="594"/>
    </row>
    <row r="533">
      <c r="A533" s="594"/>
    </row>
    <row r="534">
      <c r="A534" s="594"/>
    </row>
    <row r="535">
      <c r="A535" s="594"/>
    </row>
    <row r="536">
      <c r="A536" s="594"/>
    </row>
    <row r="537">
      <c r="A537" s="594"/>
    </row>
    <row r="538">
      <c r="A538" s="594"/>
    </row>
    <row r="539">
      <c r="A539" s="594"/>
    </row>
    <row r="540">
      <c r="A540" s="594"/>
    </row>
    <row r="541">
      <c r="A541" s="594"/>
    </row>
    <row r="542">
      <c r="A542" s="594"/>
    </row>
    <row r="543">
      <c r="A543" s="594"/>
    </row>
    <row r="544">
      <c r="A544" s="594"/>
    </row>
    <row r="545">
      <c r="A545" s="594"/>
    </row>
    <row r="546">
      <c r="A546" s="594"/>
    </row>
    <row r="547">
      <c r="A547" s="594"/>
    </row>
    <row r="548">
      <c r="A548" s="594"/>
    </row>
    <row r="549">
      <c r="A549" s="594"/>
    </row>
    <row r="550">
      <c r="A550" s="594"/>
    </row>
    <row r="551">
      <c r="A551" s="594"/>
    </row>
    <row r="552">
      <c r="A552" s="594"/>
    </row>
    <row r="553">
      <c r="A553" s="594"/>
    </row>
    <row r="554">
      <c r="A554" s="594"/>
    </row>
    <row r="555">
      <c r="A555" s="594"/>
    </row>
    <row r="556">
      <c r="A556" s="594"/>
    </row>
    <row r="557">
      <c r="A557" s="594"/>
    </row>
    <row r="558">
      <c r="A558" s="594"/>
    </row>
    <row r="559">
      <c r="A559" s="594"/>
    </row>
    <row r="560">
      <c r="A560" s="594"/>
    </row>
    <row r="561">
      <c r="A561" s="594"/>
    </row>
    <row r="562">
      <c r="A562" s="594"/>
    </row>
    <row r="563">
      <c r="A563" s="594"/>
    </row>
    <row r="564">
      <c r="A564" s="594"/>
    </row>
    <row r="565">
      <c r="A565" s="594"/>
    </row>
    <row r="566">
      <c r="A566" s="594"/>
    </row>
    <row r="567">
      <c r="A567" s="594"/>
    </row>
    <row r="568">
      <c r="A568" s="594"/>
    </row>
    <row r="569">
      <c r="A569" s="594"/>
    </row>
    <row r="570">
      <c r="A570" s="594"/>
    </row>
    <row r="571">
      <c r="A571" s="594"/>
    </row>
    <row r="572">
      <c r="A572" s="594"/>
    </row>
    <row r="573">
      <c r="A573" s="594"/>
    </row>
    <row r="574">
      <c r="A574" s="594"/>
    </row>
    <row r="575">
      <c r="A575" s="594"/>
    </row>
    <row r="576">
      <c r="A576" s="594"/>
    </row>
    <row r="577">
      <c r="A577" s="594"/>
    </row>
    <row r="578">
      <c r="A578" s="594"/>
    </row>
    <row r="579">
      <c r="A579" s="594"/>
    </row>
    <row r="580">
      <c r="A580" s="594"/>
    </row>
    <row r="581">
      <c r="A581" s="594"/>
    </row>
    <row r="582">
      <c r="A582" s="594"/>
    </row>
    <row r="583">
      <c r="A583" s="594"/>
    </row>
    <row r="584">
      <c r="A584" s="594"/>
    </row>
    <row r="585">
      <c r="A585" s="594"/>
    </row>
    <row r="586">
      <c r="A586" s="594"/>
    </row>
    <row r="587">
      <c r="A587" s="594"/>
    </row>
    <row r="588">
      <c r="A588" s="594"/>
    </row>
    <row r="589">
      <c r="A589" s="594"/>
    </row>
    <row r="590">
      <c r="A590" s="594"/>
    </row>
    <row r="591">
      <c r="A591" s="594"/>
    </row>
    <row r="592">
      <c r="A592" s="594"/>
    </row>
    <row r="593">
      <c r="A593" s="594"/>
    </row>
    <row r="594">
      <c r="A594" s="594"/>
    </row>
    <row r="595">
      <c r="A595" s="594"/>
    </row>
    <row r="596">
      <c r="A596" s="594"/>
    </row>
    <row r="597">
      <c r="A597" s="594"/>
    </row>
    <row r="598">
      <c r="A598" s="594"/>
    </row>
    <row r="599">
      <c r="A599" s="594"/>
    </row>
    <row r="600">
      <c r="A600" s="594"/>
    </row>
    <row r="601">
      <c r="A601" s="594"/>
    </row>
    <row r="602">
      <c r="A602" s="594"/>
    </row>
    <row r="603">
      <c r="A603" s="594"/>
    </row>
    <row r="604">
      <c r="A604" s="594"/>
    </row>
    <row r="605">
      <c r="A605" s="594"/>
    </row>
    <row r="606">
      <c r="A606" s="594"/>
    </row>
    <row r="607">
      <c r="A607" s="594"/>
    </row>
    <row r="608">
      <c r="A608" s="594"/>
    </row>
    <row r="609">
      <c r="A609" s="594"/>
    </row>
    <row r="610">
      <c r="A610" s="594"/>
    </row>
    <row r="611">
      <c r="A611" s="594"/>
    </row>
    <row r="612">
      <c r="A612" s="594"/>
    </row>
    <row r="613">
      <c r="A613" s="594"/>
    </row>
    <row r="614">
      <c r="A614" s="594"/>
    </row>
    <row r="615">
      <c r="A615" s="594"/>
    </row>
    <row r="616">
      <c r="A616" s="594"/>
    </row>
    <row r="617">
      <c r="A617" s="594"/>
    </row>
    <row r="618">
      <c r="A618" s="594"/>
    </row>
    <row r="619">
      <c r="A619" s="594"/>
    </row>
    <row r="620">
      <c r="A620" s="594"/>
    </row>
    <row r="621">
      <c r="A621" s="594"/>
    </row>
    <row r="622">
      <c r="A622" s="594"/>
    </row>
    <row r="623">
      <c r="A623" s="594"/>
    </row>
    <row r="624">
      <c r="A624" s="594"/>
    </row>
    <row r="625">
      <c r="A625" s="594"/>
    </row>
    <row r="626">
      <c r="A626" s="594"/>
    </row>
    <row r="627">
      <c r="A627" s="594"/>
    </row>
    <row r="628">
      <c r="A628" s="594"/>
    </row>
    <row r="629">
      <c r="A629" s="594"/>
    </row>
    <row r="630">
      <c r="A630" s="594"/>
    </row>
    <row r="631">
      <c r="A631" s="594"/>
    </row>
    <row r="632">
      <c r="A632" s="594"/>
    </row>
    <row r="633">
      <c r="A633" s="594"/>
    </row>
    <row r="634">
      <c r="A634" s="594"/>
    </row>
    <row r="635">
      <c r="A635" s="594"/>
    </row>
    <row r="636">
      <c r="A636" s="594"/>
    </row>
    <row r="637">
      <c r="A637" s="594"/>
    </row>
    <row r="638">
      <c r="A638" s="594"/>
    </row>
    <row r="639">
      <c r="A639" s="594"/>
    </row>
    <row r="640">
      <c r="A640" s="594"/>
    </row>
    <row r="641">
      <c r="A641" s="594"/>
    </row>
    <row r="642">
      <c r="A642" s="594"/>
    </row>
    <row r="643">
      <c r="A643" s="594"/>
    </row>
    <row r="644">
      <c r="A644" s="594"/>
    </row>
    <row r="645">
      <c r="A645" s="594"/>
    </row>
    <row r="646">
      <c r="A646" s="594"/>
    </row>
    <row r="647">
      <c r="A647" s="594"/>
    </row>
    <row r="648">
      <c r="A648" s="594"/>
    </row>
    <row r="649">
      <c r="A649" s="594"/>
    </row>
    <row r="650">
      <c r="A650" s="594"/>
    </row>
    <row r="651">
      <c r="A651" s="594"/>
    </row>
    <row r="652">
      <c r="A652" s="594"/>
    </row>
    <row r="653">
      <c r="A653" s="594"/>
    </row>
    <row r="654">
      <c r="A654" s="594"/>
    </row>
    <row r="655">
      <c r="A655" s="594"/>
    </row>
    <row r="656">
      <c r="A656" s="594"/>
    </row>
    <row r="657">
      <c r="A657" s="594"/>
    </row>
    <row r="658">
      <c r="A658" s="594"/>
    </row>
    <row r="659">
      <c r="A659" s="594"/>
    </row>
    <row r="660">
      <c r="A660" s="594"/>
    </row>
    <row r="661">
      <c r="A661" s="594"/>
    </row>
    <row r="662">
      <c r="A662" s="594"/>
    </row>
    <row r="663">
      <c r="A663" s="594"/>
    </row>
    <row r="664">
      <c r="A664" s="594"/>
    </row>
    <row r="665">
      <c r="A665" s="594"/>
    </row>
    <row r="666">
      <c r="A666" s="594"/>
    </row>
    <row r="667">
      <c r="A667" s="594"/>
    </row>
    <row r="668">
      <c r="A668" s="594"/>
    </row>
    <row r="669">
      <c r="A669" s="594"/>
    </row>
    <row r="670">
      <c r="A670" s="594"/>
    </row>
    <row r="671">
      <c r="A671" s="594"/>
    </row>
    <row r="672">
      <c r="A672" s="594"/>
    </row>
    <row r="673">
      <c r="A673" s="594"/>
    </row>
    <row r="674">
      <c r="A674" s="594"/>
    </row>
    <row r="675">
      <c r="A675" s="594"/>
    </row>
    <row r="676">
      <c r="A676" s="594"/>
    </row>
    <row r="677">
      <c r="A677" s="594"/>
    </row>
    <row r="678">
      <c r="A678" s="594"/>
    </row>
    <row r="679">
      <c r="A679" s="594"/>
    </row>
    <row r="680">
      <c r="A680" s="594"/>
    </row>
    <row r="681">
      <c r="A681" s="594"/>
    </row>
    <row r="682">
      <c r="A682" s="594"/>
    </row>
    <row r="683">
      <c r="A683" s="594"/>
    </row>
    <row r="684">
      <c r="A684" s="594"/>
    </row>
    <row r="685">
      <c r="A685" s="594"/>
    </row>
    <row r="686">
      <c r="A686" s="594"/>
    </row>
    <row r="687">
      <c r="A687" s="594"/>
    </row>
    <row r="688">
      <c r="A688" s="594"/>
    </row>
    <row r="689">
      <c r="A689" s="594"/>
    </row>
    <row r="690">
      <c r="A690" s="594"/>
    </row>
    <row r="691">
      <c r="A691" s="594"/>
    </row>
    <row r="692">
      <c r="A692" s="594"/>
    </row>
    <row r="693">
      <c r="A693" s="594"/>
    </row>
    <row r="694">
      <c r="A694" s="594"/>
    </row>
    <row r="695">
      <c r="A695" s="594"/>
    </row>
    <row r="696">
      <c r="A696" s="594"/>
    </row>
    <row r="697">
      <c r="A697" s="594"/>
    </row>
    <row r="698">
      <c r="A698" s="594"/>
    </row>
    <row r="699">
      <c r="A699" s="594"/>
    </row>
    <row r="700">
      <c r="A700" s="594"/>
    </row>
    <row r="701">
      <c r="A701" s="594"/>
    </row>
    <row r="702">
      <c r="A702" s="594"/>
    </row>
    <row r="703">
      <c r="A703" s="594"/>
    </row>
    <row r="704">
      <c r="A704" s="594"/>
    </row>
    <row r="705">
      <c r="A705" s="594"/>
    </row>
    <row r="706">
      <c r="A706" s="594"/>
    </row>
    <row r="707">
      <c r="A707" s="594"/>
    </row>
    <row r="708">
      <c r="A708" s="594"/>
    </row>
    <row r="709">
      <c r="A709" s="594"/>
    </row>
    <row r="710">
      <c r="A710" s="594"/>
    </row>
    <row r="711">
      <c r="A711" s="594"/>
    </row>
    <row r="712">
      <c r="A712" s="594"/>
    </row>
    <row r="713">
      <c r="A713" s="594"/>
    </row>
    <row r="714">
      <c r="A714" s="594"/>
    </row>
    <row r="715">
      <c r="A715" s="594"/>
    </row>
    <row r="716">
      <c r="A716" s="594"/>
    </row>
    <row r="717">
      <c r="A717" s="594"/>
    </row>
    <row r="718">
      <c r="A718" s="594"/>
    </row>
    <row r="719">
      <c r="A719" s="594"/>
    </row>
    <row r="720">
      <c r="A720" s="594"/>
    </row>
    <row r="721">
      <c r="A721" s="594"/>
    </row>
    <row r="722">
      <c r="A722" s="594"/>
    </row>
    <row r="723">
      <c r="A723" s="594"/>
    </row>
    <row r="724">
      <c r="A724" s="594"/>
    </row>
    <row r="725">
      <c r="A725" s="594"/>
    </row>
    <row r="726">
      <c r="A726" s="594"/>
    </row>
    <row r="727">
      <c r="A727" s="594"/>
    </row>
    <row r="728">
      <c r="A728" s="594"/>
    </row>
    <row r="729">
      <c r="A729" s="594"/>
    </row>
    <row r="730">
      <c r="A730" s="594"/>
    </row>
    <row r="731">
      <c r="A731" s="594"/>
    </row>
    <row r="732">
      <c r="A732" s="594"/>
    </row>
    <row r="733">
      <c r="A733" s="594"/>
    </row>
    <row r="734">
      <c r="A734" s="594"/>
    </row>
    <row r="735">
      <c r="A735" s="594"/>
    </row>
    <row r="736">
      <c r="A736" s="594"/>
    </row>
    <row r="737">
      <c r="A737" s="594"/>
    </row>
    <row r="738">
      <c r="A738" s="594"/>
    </row>
    <row r="739">
      <c r="A739" s="594"/>
    </row>
    <row r="740">
      <c r="A740" s="594"/>
    </row>
    <row r="741">
      <c r="A741" s="594"/>
    </row>
    <row r="742">
      <c r="A742" s="594"/>
    </row>
    <row r="743">
      <c r="A743" s="594"/>
    </row>
    <row r="744">
      <c r="A744" s="594"/>
    </row>
    <row r="745">
      <c r="A745" s="594"/>
    </row>
    <row r="746">
      <c r="A746" s="594"/>
    </row>
    <row r="747">
      <c r="A747" s="594"/>
    </row>
    <row r="748">
      <c r="A748" s="594"/>
    </row>
    <row r="749">
      <c r="A749" s="594"/>
    </row>
    <row r="750">
      <c r="A750" s="594"/>
    </row>
    <row r="751">
      <c r="A751" s="594"/>
    </row>
    <row r="752">
      <c r="A752" s="594"/>
    </row>
    <row r="753">
      <c r="A753" s="594"/>
    </row>
    <row r="754">
      <c r="A754" s="594"/>
    </row>
    <row r="755">
      <c r="A755" s="594"/>
    </row>
    <row r="756">
      <c r="A756" s="594"/>
    </row>
    <row r="757">
      <c r="A757" s="594"/>
    </row>
    <row r="758">
      <c r="A758" s="594"/>
    </row>
    <row r="759">
      <c r="A759" s="594"/>
    </row>
    <row r="760">
      <c r="A760" s="594"/>
    </row>
    <row r="761">
      <c r="A761" s="594"/>
    </row>
    <row r="762">
      <c r="A762" s="594"/>
    </row>
    <row r="763">
      <c r="A763" s="594"/>
    </row>
    <row r="764">
      <c r="A764" s="594"/>
    </row>
    <row r="765">
      <c r="A765" s="594"/>
    </row>
    <row r="766">
      <c r="A766" s="594"/>
    </row>
    <row r="767">
      <c r="A767" s="594"/>
    </row>
    <row r="768">
      <c r="A768" s="594"/>
    </row>
    <row r="769">
      <c r="A769" s="594"/>
    </row>
    <row r="770">
      <c r="A770" s="594"/>
    </row>
    <row r="771">
      <c r="A771" s="594"/>
    </row>
    <row r="772">
      <c r="A772" s="594"/>
    </row>
    <row r="773">
      <c r="A773" s="594"/>
    </row>
    <row r="774">
      <c r="A774" s="594"/>
    </row>
    <row r="775">
      <c r="A775" s="594"/>
    </row>
    <row r="776">
      <c r="A776" s="594"/>
    </row>
    <row r="777">
      <c r="A777" s="594"/>
    </row>
    <row r="778">
      <c r="A778" s="594"/>
    </row>
    <row r="779">
      <c r="A779" s="594"/>
    </row>
    <row r="780">
      <c r="A780" s="594"/>
    </row>
    <row r="781">
      <c r="A781" s="594"/>
    </row>
    <row r="782">
      <c r="A782" s="594"/>
    </row>
    <row r="783">
      <c r="A783" s="594"/>
    </row>
    <row r="784">
      <c r="A784" s="594"/>
    </row>
    <row r="785">
      <c r="A785" s="594"/>
    </row>
    <row r="786">
      <c r="A786" s="594"/>
    </row>
    <row r="787">
      <c r="A787" s="594"/>
    </row>
    <row r="788">
      <c r="A788" s="594"/>
    </row>
    <row r="789">
      <c r="A789" s="594"/>
    </row>
    <row r="790">
      <c r="A790" s="594"/>
    </row>
    <row r="791">
      <c r="A791" s="594"/>
    </row>
    <row r="792">
      <c r="A792" s="594"/>
    </row>
    <row r="793">
      <c r="A793" s="594"/>
    </row>
    <row r="794">
      <c r="A794" s="594"/>
    </row>
    <row r="795">
      <c r="A795" s="594"/>
    </row>
    <row r="796">
      <c r="A796" s="594"/>
    </row>
    <row r="797">
      <c r="A797" s="594"/>
    </row>
    <row r="798">
      <c r="A798" s="594"/>
    </row>
    <row r="799">
      <c r="A799" s="594"/>
    </row>
    <row r="800">
      <c r="A800" s="594"/>
    </row>
    <row r="801">
      <c r="A801" s="594"/>
    </row>
    <row r="802">
      <c r="A802" s="594"/>
    </row>
    <row r="803">
      <c r="A803" s="594"/>
    </row>
    <row r="804">
      <c r="A804" s="594"/>
    </row>
    <row r="805">
      <c r="A805" s="594"/>
    </row>
    <row r="806">
      <c r="A806" s="594"/>
    </row>
    <row r="807">
      <c r="A807" s="594"/>
    </row>
    <row r="808">
      <c r="A808" s="594"/>
    </row>
    <row r="809">
      <c r="A809" s="594"/>
    </row>
    <row r="810">
      <c r="A810" s="594"/>
    </row>
    <row r="811">
      <c r="A811" s="594"/>
    </row>
    <row r="812">
      <c r="A812" s="594"/>
    </row>
    <row r="813">
      <c r="A813" s="594"/>
    </row>
    <row r="814">
      <c r="A814" s="594"/>
    </row>
    <row r="815">
      <c r="A815" s="594"/>
    </row>
    <row r="816">
      <c r="A816" s="594"/>
    </row>
    <row r="817">
      <c r="A817" s="594"/>
    </row>
    <row r="818">
      <c r="A818" s="594"/>
    </row>
    <row r="819">
      <c r="A819" s="594"/>
    </row>
    <row r="820">
      <c r="A820" s="594"/>
    </row>
    <row r="821">
      <c r="A821" s="594"/>
    </row>
    <row r="822">
      <c r="A822" s="594"/>
    </row>
    <row r="823">
      <c r="A823" s="594"/>
    </row>
    <row r="824">
      <c r="A824" s="594"/>
    </row>
    <row r="825">
      <c r="A825" s="594"/>
    </row>
    <row r="826">
      <c r="A826" s="594"/>
    </row>
    <row r="827">
      <c r="A827" s="594"/>
    </row>
    <row r="828">
      <c r="A828" s="594"/>
    </row>
    <row r="829">
      <c r="A829" s="594"/>
    </row>
    <row r="830">
      <c r="A830" s="594"/>
    </row>
    <row r="831">
      <c r="A831" s="594"/>
    </row>
    <row r="832">
      <c r="A832" s="594"/>
    </row>
    <row r="833">
      <c r="A833" s="594"/>
    </row>
    <row r="834">
      <c r="A834" s="594"/>
    </row>
    <row r="835">
      <c r="A835" s="594"/>
    </row>
    <row r="836">
      <c r="A836" s="594"/>
    </row>
    <row r="837">
      <c r="A837" s="594"/>
    </row>
    <row r="838">
      <c r="A838" s="594"/>
    </row>
    <row r="839">
      <c r="A839" s="594"/>
    </row>
    <row r="840">
      <c r="A840" s="594"/>
    </row>
    <row r="841">
      <c r="A841" s="594"/>
    </row>
    <row r="842">
      <c r="A842" s="594"/>
    </row>
    <row r="843">
      <c r="A843" s="594"/>
    </row>
    <row r="844">
      <c r="A844" s="594"/>
    </row>
    <row r="845">
      <c r="A845" s="594"/>
    </row>
    <row r="846">
      <c r="A846" s="594"/>
    </row>
    <row r="847">
      <c r="A847" s="594"/>
    </row>
    <row r="848">
      <c r="A848" s="594"/>
    </row>
    <row r="849">
      <c r="A849" s="594"/>
    </row>
    <row r="850">
      <c r="A850" s="594"/>
    </row>
    <row r="851">
      <c r="A851" s="594"/>
    </row>
    <row r="852">
      <c r="A852" s="594"/>
    </row>
    <row r="853">
      <c r="A853" s="594"/>
    </row>
    <row r="854">
      <c r="A854" s="594"/>
    </row>
    <row r="855">
      <c r="A855" s="594"/>
    </row>
    <row r="856">
      <c r="A856" s="594"/>
    </row>
    <row r="857">
      <c r="A857" s="594"/>
    </row>
    <row r="858">
      <c r="A858" s="594"/>
    </row>
    <row r="859">
      <c r="A859" s="594"/>
    </row>
    <row r="860">
      <c r="A860" s="594"/>
    </row>
    <row r="861">
      <c r="A861" s="594"/>
    </row>
    <row r="862">
      <c r="A862" s="594"/>
    </row>
    <row r="863">
      <c r="A863" s="594"/>
    </row>
    <row r="864">
      <c r="A864" s="594"/>
    </row>
    <row r="865">
      <c r="A865" s="594"/>
    </row>
    <row r="866">
      <c r="A866" s="594"/>
    </row>
    <row r="867">
      <c r="A867" s="594"/>
    </row>
    <row r="868">
      <c r="A868" s="594"/>
    </row>
    <row r="869">
      <c r="A869" s="594"/>
    </row>
    <row r="870">
      <c r="A870" s="594"/>
    </row>
    <row r="871">
      <c r="A871" s="594"/>
    </row>
    <row r="872">
      <c r="A872" s="594"/>
    </row>
    <row r="873">
      <c r="A873" s="594"/>
    </row>
    <row r="874">
      <c r="A874" s="594"/>
    </row>
    <row r="875">
      <c r="A875" s="594"/>
    </row>
    <row r="876">
      <c r="A876" s="594"/>
    </row>
    <row r="877">
      <c r="A877" s="594"/>
    </row>
    <row r="878">
      <c r="A878" s="594"/>
    </row>
    <row r="879">
      <c r="A879" s="594"/>
    </row>
    <row r="880">
      <c r="A880" s="594"/>
    </row>
    <row r="881">
      <c r="A881" s="594"/>
    </row>
    <row r="882">
      <c r="A882" s="594"/>
    </row>
    <row r="883">
      <c r="A883" s="594"/>
    </row>
    <row r="884">
      <c r="A884" s="594"/>
    </row>
    <row r="885">
      <c r="A885" s="594"/>
    </row>
    <row r="886">
      <c r="A886" s="594"/>
    </row>
    <row r="887">
      <c r="A887" s="594"/>
    </row>
    <row r="888">
      <c r="A888" s="594"/>
    </row>
    <row r="889">
      <c r="A889" s="594"/>
    </row>
    <row r="890">
      <c r="A890" s="594"/>
    </row>
    <row r="891">
      <c r="A891" s="594"/>
    </row>
    <row r="892">
      <c r="A892" s="594"/>
    </row>
    <row r="893">
      <c r="A893" s="594"/>
    </row>
    <row r="894">
      <c r="A894" s="594"/>
    </row>
    <row r="895">
      <c r="A895" s="594"/>
    </row>
    <row r="896">
      <c r="A896" s="594"/>
    </row>
    <row r="897">
      <c r="A897" s="594"/>
    </row>
    <row r="898">
      <c r="A898" s="594"/>
    </row>
    <row r="899">
      <c r="A899" s="594"/>
    </row>
    <row r="900">
      <c r="A900" s="594"/>
    </row>
    <row r="901">
      <c r="A901" s="594"/>
    </row>
    <row r="902">
      <c r="A902" s="594"/>
    </row>
    <row r="903">
      <c r="A903" s="594"/>
    </row>
    <row r="904">
      <c r="A904" s="594"/>
    </row>
    <row r="905">
      <c r="A905" s="594"/>
    </row>
    <row r="906">
      <c r="A906" s="594"/>
    </row>
    <row r="907">
      <c r="A907" s="594"/>
    </row>
    <row r="908">
      <c r="A908" s="594"/>
    </row>
    <row r="909">
      <c r="A909" s="594"/>
    </row>
    <row r="910">
      <c r="A910" s="594"/>
    </row>
    <row r="911">
      <c r="A911" s="594"/>
    </row>
    <row r="912">
      <c r="A912" s="594"/>
    </row>
    <row r="913">
      <c r="A913" s="594"/>
    </row>
    <row r="914">
      <c r="A914" s="594"/>
    </row>
    <row r="915">
      <c r="A915" s="594"/>
    </row>
    <row r="916">
      <c r="A916" s="594"/>
    </row>
    <row r="917">
      <c r="A917" s="594"/>
    </row>
    <row r="918">
      <c r="A918" s="594"/>
    </row>
    <row r="919">
      <c r="A919" s="594"/>
    </row>
    <row r="920">
      <c r="A920" s="594"/>
    </row>
    <row r="921">
      <c r="A921" s="594"/>
    </row>
    <row r="922">
      <c r="A922" s="594"/>
    </row>
    <row r="923">
      <c r="A923" s="594"/>
    </row>
    <row r="924">
      <c r="A924" s="594"/>
    </row>
    <row r="925">
      <c r="A925" s="594"/>
    </row>
    <row r="926">
      <c r="A926" s="594"/>
    </row>
    <row r="927">
      <c r="A927" s="594"/>
    </row>
    <row r="928">
      <c r="A928" s="594"/>
    </row>
    <row r="929">
      <c r="A929" s="594"/>
    </row>
    <row r="930">
      <c r="A930" s="594"/>
    </row>
    <row r="931">
      <c r="A931" s="594"/>
    </row>
    <row r="932">
      <c r="A932" s="594"/>
    </row>
    <row r="933">
      <c r="A933" s="594"/>
    </row>
    <row r="934">
      <c r="A934" s="594"/>
    </row>
    <row r="935">
      <c r="A935" s="594"/>
    </row>
    <row r="936">
      <c r="A936" s="594"/>
    </row>
    <row r="937">
      <c r="A937" s="594"/>
    </row>
    <row r="938">
      <c r="A938" s="594"/>
    </row>
    <row r="939">
      <c r="A939" s="594"/>
    </row>
    <row r="940">
      <c r="A940" s="594"/>
    </row>
    <row r="941">
      <c r="A941" s="594"/>
    </row>
    <row r="942">
      <c r="A942" s="594"/>
    </row>
    <row r="943">
      <c r="A943" s="594"/>
    </row>
    <row r="944">
      <c r="A944" s="594"/>
    </row>
    <row r="945">
      <c r="A945" s="594"/>
    </row>
    <row r="946">
      <c r="A946" s="594"/>
    </row>
    <row r="947">
      <c r="A947" s="594"/>
    </row>
    <row r="948">
      <c r="A948" s="594"/>
    </row>
    <row r="949">
      <c r="A949" s="594"/>
    </row>
    <row r="950">
      <c r="A950" s="594"/>
    </row>
    <row r="951">
      <c r="A951" s="594"/>
    </row>
    <row r="952">
      <c r="A952" s="594"/>
    </row>
    <row r="953">
      <c r="A953" s="594"/>
    </row>
    <row r="954">
      <c r="A954" s="594"/>
    </row>
    <row r="955">
      <c r="A955" s="594"/>
    </row>
    <row r="956">
      <c r="A956" s="594"/>
    </row>
    <row r="957">
      <c r="A957" s="594"/>
    </row>
    <row r="958">
      <c r="A958" s="594"/>
    </row>
    <row r="959">
      <c r="A959" s="594"/>
    </row>
    <row r="960">
      <c r="A960" s="594"/>
    </row>
    <row r="961">
      <c r="A961" s="594"/>
    </row>
    <row r="962">
      <c r="A962" s="594"/>
    </row>
    <row r="963">
      <c r="A963" s="594"/>
    </row>
    <row r="964">
      <c r="A964" s="594"/>
    </row>
    <row r="965">
      <c r="A965" s="594"/>
    </row>
    <row r="966">
      <c r="A966" s="594"/>
    </row>
    <row r="967">
      <c r="A967" s="594"/>
    </row>
    <row r="968">
      <c r="A968" s="594"/>
    </row>
    <row r="969">
      <c r="A969" s="594"/>
    </row>
    <row r="970">
      <c r="A970" s="594"/>
    </row>
    <row r="971">
      <c r="A971" s="594"/>
    </row>
    <row r="972">
      <c r="A972" s="594"/>
    </row>
    <row r="973">
      <c r="A973" s="594"/>
    </row>
    <row r="974">
      <c r="A974" s="594"/>
    </row>
    <row r="975">
      <c r="A975" s="594"/>
    </row>
    <row r="976">
      <c r="A976" s="594"/>
    </row>
    <row r="977">
      <c r="A977" s="594"/>
    </row>
    <row r="978">
      <c r="A978" s="594"/>
    </row>
    <row r="979">
      <c r="A979" s="594"/>
    </row>
    <row r="980">
      <c r="A980" s="594"/>
    </row>
    <row r="981">
      <c r="A981" s="594"/>
    </row>
    <row r="982">
      <c r="A982" s="594"/>
    </row>
    <row r="983">
      <c r="A983" s="594"/>
    </row>
    <row r="984">
      <c r="A984" s="594"/>
    </row>
    <row r="985">
      <c r="A985" s="594"/>
    </row>
    <row r="986">
      <c r="A986" s="594"/>
    </row>
    <row r="987">
      <c r="A987" s="594"/>
    </row>
    <row r="988">
      <c r="A988" s="594"/>
    </row>
    <row r="989">
      <c r="A989" s="594"/>
    </row>
    <row r="990">
      <c r="A990" s="594"/>
    </row>
    <row r="991">
      <c r="A991" s="594"/>
    </row>
    <row r="992">
      <c r="A992" s="594"/>
    </row>
    <row r="993">
      <c r="A993" s="594"/>
    </row>
    <row r="994">
      <c r="A994" s="594"/>
    </row>
    <row r="995">
      <c r="A995" s="594"/>
    </row>
    <row r="996">
      <c r="A996" s="594"/>
    </row>
    <row r="997">
      <c r="A997" s="594"/>
    </row>
    <row r="998">
      <c r="A998" s="594"/>
    </row>
    <row r="999">
      <c r="A999" s="594"/>
    </row>
    <row r="1000">
      <c r="A1000" s="594"/>
    </row>
  </sheetData>
  <hyperlinks>
    <hyperlink r:id="rId2" ref="A60"/>
    <hyperlink r:id="rId3" ref="A66"/>
    <hyperlink r:id="rId4" ref="A87"/>
    <hyperlink r:id="rId5" ref="A95"/>
    <hyperlink r:id="rId6" ref="A97"/>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9" max="9" width="36.0"/>
  </cols>
  <sheetData>
    <row r="1">
      <c r="A1" s="7" t="s">
        <v>33151</v>
      </c>
      <c r="C1" s="595" t="s">
        <v>33152</v>
      </c>
      <c r="I1" s="596" t="s">
        <v>33153</v>
      </c>
    </row>
    <row r="2">
      <c r="A2" s="597" t="s">
        <v>33154</v>
      </c>
      <c r="C2" s="598" t="s">
        <v>33155</v>
      </c>
      <c r="I2" s="599" t="s">
        <v>33156</v>
      </c>
    </row>
    <row r="3">
      <c r="A3" s="600" t="s">
        <v>33157</v>
      </c>
      <c r="I3" s="599" t="s">
        <v>33158</v>
      </c>
    </row>
    <row r="4">
      <c r="A4" s="601" t="s">
        <v>33159</v>
      </c>
      <c r="I4" s="599" t="s">
        <v>33160</v>
      </c>
    </row>
    <row r="5">
      <c r="A5" s="602" t="s">
        <v>33161</v>
      </c>
      <c r="I5" s="599" t="s">
        <v>33162</v>
      </c>
    </row>
    <row r="6">
      <c r="A6" s="7" t="s">
        <v>33163</v>
      </c>
    </row>
    <row r="7">
      <c r="A7" s="7" t="s">
        <v>33164</v>
      </c>
      <c r="I7" s="603" t="s">
        <v>33165</v>
      </c>
    </row>
    <row r="8">
      <c r="A8" s="604" t="s">
        <v>33166</v>
      </c>
    </row>
    <row r="9">
      <c r="A9" s="7" t="s">
        <v>33167</v>
      </c>
    </row>
    <row r="10">
      <c r="A10" s="605" t="s">
        <v>33168</v>
      </c>
    </row>
    <row r="11">
      <c r="A11" s="7" t="s">
        <v>33169</v>
      </c>
    </row>
    <row r="12">
      <c r="A12" s="606" t="s">
        <v>33170</v>
      </c>
    </row>
    <row r="13">
      <c r="A13" s="7" t="s">
        <v>33171</v>
      </c>
    </row>
    <row r="14">
      <c r="A14" s="607" t="s">
        <v>33172</v>
      </c>
    </row>
    <row r="15">
      <c r="A15" s="7" t="s">
        <v>33173</v>
      </c>
    </row>
    <row r="16">
      <c r="A16" s="7" t="s">
        <v>33174</v>
      </c>
    </row>
  </sheetData>
  <hyperlinks>
    <hyperlink r:id="rId2" ref="A3"/>
  </hyperlinks>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6" max="6" width="21.13"/>
    <col customWidth="1" min="7" max="7" width="15.88"/>
    <col customWidth="1" min="9" max="9" width="16.88"/>
  </cols>
  <sheetData>
    <row r="1" ht="75.0" customHeight="1">
      <c r="A1" s="608" t="s">
        <v>33175</v>
      </c>
      <c r="B1" s="609" t="s">
        <v>33176</v>
      </c>
      <c r="E1" s="7" t="s">
        <v>33177</v>
      </c>
      <c r="F1" s="610"/>
      <c r="G1" s="610"/>
      <c r="H1" s="610"/>
      <c r="I1" s="611" t="s">
        <v>33178</v>
      </c>
      <c r="K1" s="99">
        <f>8.5+17</f>
        <v>25.5</v>
      </c>
    </row>
    <row r="2" ht="69.0" customHeight="1">
      <c r="A2" s="57" t="s">
        <v>399</v>
      </c>
      <c r="B2" s="58" t="s">
        <v>6563</v>
      </c>
      <c r="E2" s="612"/>
      <c r="G2" s="613">
        <v>1000000.0</v>
      </c>
      <c r="I2" s="614"/>
    </row>
    <row r="3">
      <c r="A3" s="63" t="s">
        <v>33179</v>
      </c>
      <c r="B3" s="61" t="str">
        <f>IFERROR(__xludf.DUMMYFUNCTION("GOOGLEFINANCE(B2,""pe"")"),"#N/A")</f>
        <v>#N/A</v>
      </c>
      <c r="D3" s="7" t="s">
        <v>33180</v>
      </c>
      <c r="E3" s="615" t="str">
        <f>IFERROR(__xludf.DUMMYFUNCTION("GOOGLEFINANCE(B2,""price"")"),"#N/A")</f>
        <v>#N/A</v>
      </c>
      <c r="F3" s="7" t="s">
        <v>33181</v>
      </c>
      <c r="G3" s="616">
        <v>9.6995E10</v>
      </c>
      <c r="H3" s="7" t="s">
        <v>33182</v>
      </c>
      <c r="I3" s="617">
        <v>1.5552752E10</v>
      </c>
    </row>
    <row r="4">
      <c r="A4" s="63" t="s">
        <v>33183</v>
      </c>
      <c r="B4" s="618" t="str">
        <f>1/B3</f>
        <v>#N/A</v>
      </c>
      <c r="E4" s="612"/>
      <c r="I4" s="614"/>
    </row>
    <row r="5">
      <c r="A5" s="60" t="s">
        <v>33184</v>
      </c>
      <c r="B5" s="619" t="str">
        <f>IFERROR(__xludf.DUMMYFUNCTION("GOOGLEFINANCE(B2, ""eps"")"),"#N/A")</f>
        <v>#N/A</v>
      </c>
      <c r="E5" s="612"/>
      <c r="G5" s="7" t="s">
        <v>357</v>
      </c>
      <c r="H5" s="620">
        <f>G3/I3</f>
        <v>6.236516856</v>
      </c>
      <c r="I5" s="614"/>
      <c r="J5" s="7" t="s">
        <v>33185</v>
      </c>
      <c r="K5" s="99">
        <f>K4/4.77</f>
        <v>0</v>
      </c>
    </row>
    <row r="6">
      <c r="A6" s="60" t="s">
        <v>356</v>
      </c>
      <c r="B6" s="621">
        <v>8.5</v>
      </c>
      <c r="E6" s="622"/>
      <c r="F6" s="623"/>
      <c r="G6" s="624" t="s">
        <v>33186</v>
      </c>
      <c r="H6" s="623" t="str">
        <f>E3/H5</f>
        <v>#N/A</v>
      </c>
      <c r="I6" s="625"/>
    </row>
    <row r="7">
      <c r="A7" s="60" t="s">
        <v>359</v>
      </c>
      <c r="B7" s="65">
        <v>8.5</v>
      </c>
      <c r="E7" s="7" t="s">
        <v>33187</v>
      </c>
      <c r="F7" s="49" t="s">
        <v>33188</v>
      </c>
    </row>
    <row r="8">
      <c r="A8" s="60" t="s">
        <v>362</v>
      </c>
      <c r="B8" s="65">
        <f>2*(B7)</f>
        <v>17</v>
      </c>
      <c r="G8" s="49" t="s">
        <v>33189</v>
      </c>
      <c r="H8" s="49" t="str">
        <f>If(H7&gt;H4,"Buy","Sell")</f>
        <v>Sell</v>
      </c>
    </row>
    <row r="9">
      <c r="A9" s="60" t="s">
        <v>365</v>
      </c>
      <c r="B9" s="65">
        <v>4.64</v>
      </c>
    </row>
    <row r="10">
      <c r="A10" s="60" t="s">
        <v>368</v>
      </c>
      <c r="B10" s="65">
        <v>4.77</v>
      </c>
    </row>
    <row r="11">
      <c r="A11" s="71"/>
      <c r="B11" s="65">
        <f>11+17</f>
        <v>28</v>
      </c>
    </row>
    <row r="12">
      <c r="A12" s="58" t="s">
        <v>33190</v>
      </c>
      <c r="B12" s="65" t="str">
        <f>(B5)*(B6+B8)*(B9)</f>
        <v>#N/A</v>
      </c>
    </row>
    <row r="13">
      <c r="A13" s="74" t="s">
        <v>33191</v>
      </c>
      <c r="B13" s="626" t="str">
        <f>B12/B10</f>
        <v>#N/A</v>
      </c>
      <c r="E13" s="7" t="s">
        <v>33192</v>
      </c>
    </row>
    <row r="14">
      <c r="A14" s="71" t="s">
        <v>33193</v>
      </c>
      <c r="B14" s="65" t="str">
        <f>IFERROR(__xludf.DUMMYFUNCTION("GOOGLEFINANCE(B2,""price"")"),"#N/A")</f>
        <v>#N/A</v>
      </c>
      <c r="E14" s="233"/>
    </row>
    <row r="15">
      <c r="A15" s="71" t="s">
        <v>33188</v>
      </c>
      <c r="B15" s="76" t="str">
        <f>B14/B13</f>
        <v>#N/A</v>
      </c>
      <c r="E15" s="233"/>
    </row>
    <row r="16">
      <c r="A16" s="71" t="s">
        <v>33194</v>
      </c>
      <c r="B16" s="77" t="str">
        <f>B13*0.65</f>
        <v>#N/A</v>
      </c>
      <c r="E16" s="233"/>
    </row>
    <row r="17">
      <c r="A17" s="71" t="s">
        <v>33189</v>
      </c>
      <c r="B17" s="71" t="str">
        <f>If(B16&gt;B13,"Buy","Sell")</f>
        <v>#N/A</v>
      </c>
      <c r="C17" s="627"/>
      <c r="E17" s="233"/>
    </row>
    <row r="18">
      <c r="A18" s="71"/>
      <c r="B18" s="71"/>
      <c r="E18" s="233"/>
    </row>
    <row r="19">
      <c r="A19" s="233" t="s">
        <v>33195</v>
      </c>
      <c r="B19" s="71"/>
    </row>
    <row r="21">
      <c r="A21" s="628">
        <v>1.0</v>
      </c>
      <c r="B21" s="628" t="s">
        <v>33196</v>
      </c>
    </row>
    <row r="22">
      <c r="A22" s="7">
        <v>2.0</v>
      </c>
      <c r="B22" s="7" t="s">
        <v>33197</v>
      </c>
    </row>
    <row r="23">
      <c r="A23" s="7">
        <v>3.0</v>
      </c>
      <c r="B23" s="7" t="s">
        <v>33198</v>
      </c>
    </row>
    <row r="24">
      <c r="A24" s="7">
        <v>4.0</v>
      </c>
      <c r="B24" s="7" t="s">
        <v>33199</v>
      </c>
    </row>
    <row r="25" ht="252.75" customHeight="1">
      <c r="B25" s="7" t="s">
        <v>33200</v>
      </c>
    </row>
    <row r="26">
      <c r="B26" s="7" t="s">
        <v>33201</v>
      </c>
    </row>
  </sheetData>
  <hyperlinks>
    <hyperlink r:id="rId2" ref="B1"/>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25"/>
    <col customWidth="1" min="2" max="2" width="13.75"/>
    <col customWidth="1" min="4" max="4" width="23.13"/>
    <col customWidth="1" min="6" max="6" width="17.38"/>
  </cols>
  <sheetData>
    <row r="1">
      <c r="A1" s="629" t="str">
        <f>IFERROR(__xludf.DUMMYFUNCTION("importxml(""https://en.wikipedia.org/wiki/Benjamin_Graham_formula"",""/html/body/div[2]/div/div[3]/main/div[3]/div[3]/div[1]/p[1]/b"")"),"#N/A")</f>
        <v>#N/A</v>
      </c>
      <c r="D1" s="206"/>
      <c r="F1" s="243"/>
    </row>
    <row r="2">
      <c r="A2" s="630" t="s">
        <v>33202</v>
      </c>
      <c r="D2" s="206"/>
    </row>
    <row r="3">
      <c r="A3" s="630" t="s">
        <v>33202</v>
      </c>
      <c r="D3" s="206"/>
      <c r="F3" s="7"/>
    </row>
    <row r="4">
      <c r="A4" s="561" t="s">
        <v>33203</v>
      </c>
      <c r="D4" s="206"/>
    </row>
    <row r="5">
      <c r="A5" s="631" t="s">
        <v>33204</v>
      </c>
      <c r="D5" s="206"/>
    </row>
    <row r="6">
      <c r="A6" s="630" t="s">
        <v>33204</v>
      </c>
      <c r="D6" s="206"/>
    </row>
    <row r="7">
      <c r="A7" s="630" t="s">
        <v>33205</v>
      </c>
      <c r="D7" s="206"/>
    </row>
    <row r="8">
      <c r="A8" s="632" t="s">
        <v>33206</v>
      </c>
      <c r="D8" s="206"/>
    </row>
    <row r="9">
      <c r="A9" s="632" t="s">
        <v>33207</v>
      </c>
      <c r="D9" s="206"/>
    </row>
    <row r="10">
      <c r="A10" s="632" t="s">
        <v>33208</v>
      </c>
      <c r="D10" s="206"/>
    </row>
    <row r="11">
      <c r="A11" s="632" t="s">
        <v>33209</v>
      </c>
      <c r="D11" s="206"/>
    </row>
    <row r="12">
      <c r="A12" s="632" t="s">
        <v>33210</v>
      </c>
      <c r="D12" s="206"/>
    </row>
    <row r="13">
      <c r="A13" s="633" t="s">
        <v>33211</v>
      </c>
      <c r="D13" s="206"/>
    </row>
    <row r="14">
      <c r="A14" s="634" t="s">
        <v>382</v>
      </c>
      <c r="D14" s="206"/>
      <c r="L14" s="24"/>
    </row>
    <row r="15">
      <c r="A15" s="635" t="s">
        <v>33212</v>
      </c>
      <c r="D15" s="206"/>
      <c r="L15" s="636"/>
    </row>
    <row r="16">
      <c r="A16" s="637" t="s">
        <v>33213</v>
      </c>
      <c r="D16" s="206"/>
      <c r="L16" s="638"/>
    </row>
    <row r="17">
      <c r="A17" s="561" t="s">
        <v>33214</v>
      </c>
      <c r="D17" s="206"/>
    </row>
    <row r="18">
      <c r="A18" s="639" t="s">
        <v>33215</v>
      </c>
      <c r="D18" s="206"/>
      <c r="I18" s="640"/>
    </row>
    <row r="19">
      <c r="A19" s="641" t="s">
        <v>33216</v>
      </c>
      <c r="D19" s="206"/>
      <c r="I19" s="642" t="str">
        <f>IFERROR(__xludf.DUMMYFUNCTION("IF(NOT(ISBLANK(I13)), importhtml(secData(I13),""table"",1), """")"),"")</f>
        <v/>
      </c>
    </row>
    <row r="20">
      <c r="A20" s="643" t="s">
        <v>33217</v>
      </c>
      <c r="D20" s="206"/>
    </row>
    <row r="21">
      <c r="A21" s="629" t="str">
        <f>IFERROR(__xludf.DUMMYFUNCTION("IMPORTXML(""https://www.browserstack.com/guide/xpath-locators-cheat-sheet"",""/html/body/div[2]/main/section/article/div[1]/div/div/div[1]/h1"")"),"#N/A")</f>
        <v>#N/A</v>
      </c>
      <c r="D21" s="206"/>
    </row>
    <row r="22">
      <c r="A22" s="561" t="s">
        <v>33218</v>
      </c>
      <c r="D22" s="206"/>
    </row>
    <row r="23">
      <c r="A23" s="644" t="s">
        <v>33219</v>
      </c>
      <c r="D23" s="206"/>
    </row>
    <row r="24">
      <c r="A24" s="561" t="str">
        <f>IFERROR(__xludf.DUMMYFUNCTION("IMPORTXML(""https://www.sec.gov/ix?doc=/Archives/edgar/data/320193/000032019323000106/aapl-20230930.htm#i1cb1ba018cb1455aa66bd3f9ab0c5b1a_73"",""/html/body/div[1]/div[7]/div[481]/table/tbody/tr[7]/td[2]/span/span/ix:nonfraction"")"),"#N/A")</f>
        <v>#N/A</v>
      </c>
      <c r="D24" s="206"/>
      <c r="E24" s="645"/>
    </row>
    <row r="25">
      <c r="A25" s="561" t="str">
        <f>IFERROR(__xludf.DUMMYFUNCTION("IMPORTXML(""https://www.sec.gov/ix?doc=/Archives/edgar/data/320193/000032019323000106/aapl-20230930.htm#i1cb1ba018cb1455aa66bd3f9ab0c5b1a_73"",""/html/body/div[1]/div[7]/div[481]/table/tbody/tr[7]/td[2]/span/span/ix:nonfraction"")"),"#N/A")</f>
        <v>#N/A</v>
      </c>
      <c r="B25" s="646"/>
      <c r="C25" s="97"/>
      <c r="D25" s="206"/>
    </row>
    <row r="26">
      <c r="A26" s="561" t="str">
        <f>IMPORTHTML("https://www.sec.gov/Archives/edgar/data/320193/000032019323000106/aapl-20230930.htm","&lt;td colspan="2" style="background-color:#ffffff;border-top:1pt solid #000000;padding:2px 0 2px 1pt;text-align:right;vertical-align:bottom"&gt;&lt;span style="color:#000000;font-family:'Helvetica',sans-serif;font-size:9pt;font-weight:400;line-height:100%"&gt;&lt;ix:nonfraction unitref="usd" contextref="c-1" decimals="-6" name="us-gaap:CostOfGoodsAndServicesSold" format="ixt:num-dot-decimal" scale="6" id="f-78"&gt;214,137&lt;/ix:nonfraction&gt;&amp;nbsp;&lt;/span&gt;&lt;/td&gt;")</f>
        <v>#ERROR!</v>
      </c>
      <c r="D26" s="206"/>
    </row>
    <row r="27">
      <c r="A27" s="561" t="str">
        <f>IFERROR(__xludf.DUMMYFUNCTION("IMPORTHTML(""https://www.sec.gov/Archives/edgar/data/320193/000032019323000106/aapl-20230930.htm"",""list"",""table"",2)"),"#VALUE!")</f>
        <v>#VALUE!</v>
      </c>
      <c r="D27" s="206"/>
    </row>
    <row r="28">
      <c r="A28" s="629" t="str">
        <f>IFERROR(__xludf.DUMMYFUNCTION("IMPORTXML(""https://www.sec.gov/Archives/edgar/data/320193/000032019323000106/aapl-20230930.html"",""/html/body/div[481]/table/tbody/tr[13]/td[2]/span/ix:nonfraction"")"),"#N/A")</f>
        <v>#N/A</v>
      </c>
      <c r="D28" s="206"/>
    </row>
    <row r="29">
      <c r="A29" s="561" t="str">
        <f>IFERROR(__xludf.DUMMYFUNCTION("IMPORTDATA()"),"#N/A")</f>
        <v>#N/A</v>
      </c>
      <c r="D29" s="206"/>
    </row>
    <row r="30">
      <c r="A30" s="629" t="str">
        <f>IFERROR(__xludf.DUMMYFUNCTION("IMPORTXML(""https://phish.wpenginepowered.com/wp-content/uploads/2023/01/Phish-RM-SOCIALS_FINAL_JM.jpg"",""/html/body/div[1]/div"")"),"#N/A")</f>
        <v>#N/A</v>
      </c>
      <c r="D30" s="206"/>
    </row>
    <row r="31">
      <c r="A31" s="629" t="str">
        <f>IFERROR(__xludf.DUMMYFUNCTION("IMPORTXML(""https://www.phish.com"",""/html/body/div[1]/div/img"")"),"#N/A")</f>
        <v>#N/A</v>
      </c>
      <c r="C31" s="647"/>
      <c r="D31" s="206"/>
    </row>
    <row r="32">
      <c r="A32" s="648" t="str">
        <f>IFERROR(__xludf.DUMMYFUNCTION("importhtml(SEC(),""table"",1)"),"#N/A")</f>
        <v>#N/A</v>
      </c>
      <c r="D32" s="206"/>
    </row>
    <row r="33">
      <c r="A33" s="629" t="str">
        <f>IFERROR(__xludf.DUMMYFUNCTION("IMPORTXML(""https://www.phish.com"",""/html/body/div[1]/div/img"")"),"#N/A")</f>
        <v>#N/A</v>
      </c>
      <c r="D33" s="206"/>
    </row>
    <row r="34">
      <c r="A34" s="629" t="str">
        <f>IFERROR(__xludf.DUMMYFUNCTION("GOOGLEFINANCE(""ET"",""netassets"")"),"#N/A")</f>
        <v>#N/A</v>
      </c>
      <c r="D34" s="206"/>
    </row>
    <row r="35">
      <c r="A35" s="649" t="str">
        <f>IFERROR(__xludf.DUMMYFUNCTION("query(sort( ARRAYFORMULA(IFerror(Vlookup(Unique(sort(filter(db!A36:A1000,db!Q36:Q1000=""yes""))),Sort(db!A36:Z1000,24,0,2,0),{1,2,3,4,5,6,7,8,9,10,11,12,13,14,15,16,17,18,19,20,21,22,23,24},0),)),4,1,5,1,6,1,9,0),""select * where Col17 = 'yes'"")"),"#N/A")</f>
        <v>#N/A</v>
      </c>
      <c r="D35" s="650"/>
    </row>
    <row r="36">
      <c r="A36" s="648" t="str">
        <f>IFERROR(__xludf.DUMMYFUNCTION("importhtml(SEC(),""table"",1)"),"#N/A")</f>
        <v>#N/A</v>
      </c>
      <c r="D36" s="206"/>
    </row>
    <row r="37">
      <c r="A37" s="651" t="str">
        <f>IFERROR(__xludf.DUMMYFUNCTION("IF(NOT(ISBLANK(A31)), importhtml(secData(A31),""table"",1), """")"),"#ERROR!")</f>
        <v>#ERROR!</v>
      </c>
      <c r="D37" s="206"/>
    </row>
    <row r="38">
      <c r="A38" s="652" t="str">
        <f>IFERROR(__xludf.DUMMYFUNCTION("IMPORTXML("""", ""//a/@href"")"),"#VALUE!")</f>
        <v>#VALUE!</v>
      </c>
      <c r="D38" s="206"/>
    </row>
    <row r="39">
      <c r="A39" s="653" t="str">
        <f>IFERROR(__xludf.DUMMYFUNCTION("IMPORTXML(""https://www.sec.gov/spotlight/xbrl/filings-and-feeds.shtml"",)"),"#VALUE!")</f>
        <v>#VALUE!</v>
      </c>
      <c r="D39" s="206"/>
    </row>
    <row r="40">
      <c r="A40" s="654" t="str">
        <f>IFERROR(__xludf.DUMMYFUNCTION("query(sort( ARRAYFORMULA(IFerror(Vlookup(Unique(sort(filter(db!A41:A1000,db!Q41:Q1000=""yes""))),Sort(db!A41:Z1000,24,0,2,0),{1,2,3,4,5,6,7,8,9,10,11,12,13,14,15,16,17,18,19,20,21,22,23,24},0),)),4,1,5,1,6,1,9,0),""select * where Col17 = 'yes'"")"),"#N/A")</f>
        <v>#N/A</v>
      </c>
      <c r="D40" s="655"/>
    </row>
    <row r="41">
      <c r="A41" s="656" t="str">
        <f t="array" ref="A41">index(html!G200:$G1000,match(B24,html!A200:$A1000,0))</f>
        <v>#REF!</v>
      </c>
      <c r="D41" s="206"/>
    </row>
    <row r="42">
      <c r="A42" s="561" t="s">
        <v>33220</v>
      </c>
      <c r="D42" s="206"/>
    </row>
    <row r="43">
      <c r="A43" s="657" t="s">
        <v>33221</v>
      </c>
      <c r="D43" s="206"/>
    </row>
    <row r="44">
      <c r="A44" s="657" t="s">
        <v>33222</v>
      </c>
      <c r="D44" s="206"/>
    </row>
    <row r="45">
      <c r="A45" s="632"/>
      <c r="D45" s="206"/>
    </row>
    <row r="46">
      <c r="A46" s="561" t="s">
        <v>33223</v>
      </c>
      <c r="D46" s="206"/>
    </row>
    <row r="47">
      <c r="A47" s="629"/>
      <c r="B47" s="268" t="s">
        <v>18052</v>
      </c>
      <c r="D47" s="206"/>
    </row>
    <row r="48">
      <c r="A48" s="561" t="s">
        <v>33224</v>
      </c>
      <c r="B48" s="7" t="s">
        <v>33225</v>
      </c>
      <c r="C48" s="624">
        <v>2231.0</v>
      </c>
      <c r="D48" s="206"/>
    </row>
    <row r="49">
      <c r="A49" s="658" t="s">
        <v>33226</v>
      </c>
      <c r="C49" s="7">
        <v>7600.0</v>
      </c>
      <c r="D49" s="268" t="s">
        <v>33227</v>
      </c>
    </row>
    <row r="50">
      <c r="A50" s="659" t="s">
        <v>33228</v>
      </c>
      <c r="C50" s="7">
        <v>125.0</v>
      </c>
      <c r="D50" s="268" t="s">
        <v>33229</v>
      </c>
    </row>
    <row r="51">
      <c r="A51" s="660" t="s">
        <v>33230</v>
      </c>
      <c r="C51" s="7">
        <v>245.0</v>
      </c>
      <c r="D51" s="268" t="s">
        <v>33231</v>
      </c>
    </row>
    <row r="52">
      <c r="A52" s="661" t="s">
        <v>33232</v>
      </c>
      <c r="C52" s="7">
        <v>60.0</v>
      </c>
      <c r="D52" s="268" t="s">
        <v>33233</v>
      </c>
    </row>
    <row r="53">
      <c r="A53" s="662" t="str">
        <f t="array" ref="A53">IF(ISBLANK(C53), INDEX(BBB!$A$1000:$AB$10000, 2, 8), "")</f>
        <v/>
      </c>
      <c r="C53" s="7">
        <v>150.0</v>
      </c>
      <c r="D53" s="268" t="s">
        <v>33234</v>
      </c>
    </row>
    <row r="54">
      <c r="A54" s="663"/>
      <c r="C54" s="7">
        <v>70.0</v>
      </c>
      <c r="D54" s="268" t="s">
        <v>33235</v>
      </c>
    </row>
    <row r="55">
      <c r="A55" s="664" t="s">
        <v>33236</v>
      </c>
      <c r="B55" s="7" t="s">
        <v>33237</v>
      </c>
      <c r="C55" s="7">
        <v>700.0</v>
      </c>
      <c r="D55" s="268" t="s">
        <v>33238</v>
      </c>
      <c r="E55" s="7" t="s">
        <v>33239</v>
      </c>
    </row>
    <row r="56">
      <c r="A56" s="665" t="s">
        <v>33240</v>
      </c>
      <c r="C56" s="624">
        <v>-2281.0</v>
      </c>
      <c r="D56" s="268" t="s">
        <v>33241</v>
      </c>
    </row>
    <row r="57">
      <c r="A57" s="666" t="s">
        <v>33242</v>
      </c>
      <c r="B57" s="7" t="s">
        <v>33243</v>
      </c>
      <c r="C57" s="521">
        <f>SUM(C48:C56)</f>
        <v>8900</v>
      </c>
      <c r="D57" s="268"/>
    </row>
    <row r="58">
      <c r="A58" s="667"/>
      <c r="D58" s="668"/>
    </row>
    <row r="59">
      <c r="A59" s="666" t="s">
        <v>33244</v>
      </c>
      <c r="B59" s="7" t="s">
        <v>33245</v>
      </c>
      <c r="C59" s="7">
        <f>5*28*10</f>
        <v>1400</v>
      </c>
      <c r="D59" s="65" t="s">
        <v>33246</v>
      </c>
      <c r="E59" s="7" t="s">
        <v>33247</v>
      </c>
    </row>
    <row r="60">
      <c r="A60" s="669" t="s">
        <v>33248</v>
      </c>
      <c r="C60" s="7">
        <v>160.0</v>
      </c>
      <c r="D60" s="621" t="s">
        <v>33249</v>
      </c>
    </row>
    <row r="61">
      <c r="A61" s="667" t="str">
        <f t="array" ref="A61">IF(ISBLANK(C61), INDEX(BBB!$A$1:$AB$10000, 2, 8), "")</f>
        <v/>
      </c>
      <c r="C61" s="7">
        <f>15*37</f>
        <v>555</v>
      </c>
      <c r="D61" s="621" t="s">
        <v>33250</v>
      </c>
    </row>
    <row r="62">
      <c r="A62" s="665" t="s">
        <v>33236</v>
      </c>
      <c r="C62" s="7">
        <v>1900.0</v>
      </c>
      <c r="D62" s="621" t="s">
        <v>33251</v>
      </c>
    </row>
    <row r="63">
      <c r="A63" s="665" t="s">
        <v>33240</v>
      </c>
      <c r="C63" s="7">
        <f>3*-400</f>
        <v>-1200</v>
      </c>
      <c r="D63" s="193" t="s">
        <v>33252</v>
      </c>
    </row>
    <row r="64">
      <c r="A64" s="666" t="s">
        <v>33253</v>
      </c>
      <c r="C64" s="7">
        <v>-2000.0</v>
      </c>
      <c r="D64" s="621" t="s">
        <v>33254</v>
      </c>
    </row>
    <row r="65">
      <c r="A65" s="666" t="s">
        <v>33253</v>
      </c>
      <c r="C65" s="7">
        <v>360.0</v>
      </c>
      <c r="D65" s="193" t="s">
        <v>33255</v>
      </c>
    </row>
    <row r="66">
      <c r="A66" s="669" t="s">
        <v>33256</v>
      </c>
      <c r="C66" s="99">
        <f>SUM(C59:C65)+8900</f>
        <v>10075</v>
      </c>
      <c r="D66" s="193" t="s">
        <v>33257</v>
      </c>
    </row>
    <row r="67">
      <c r="A67" s="665" t="s">
        <v>33258</v>
      </c>
      <c r="C67" s="7"/>
      <c r="D67" s="206"/>
    </row>
    <row r="68">
      <c r="A68" s="665" t="s">
        <v>33258</v>
      </c>
      <c r="C68" s="7"/>
      <c r="D68" s="206"/>
    </row>
    <row r="69">
      <c r="A69" s="665" t="s">
        <v>33259</v>
      </c>
      <c r="B69" s="7" t="s">
        <v>33260</v>
      </c>
      <c r="C69" s="7">
        <v>5790.0</v>
      </c>
      <c r="D69" s="206"/>
    </row>
    <row r="70">
      <c r="A70" s="669" t="s">
        <v>10688</v>
      </c>
      <c r="C70" s="7">
        <v>-3600.0</v>
      </c>
      <c r="D70" s="193" t="s">
        <v>33261</v>
      </c>
    </row>
    <row r="71">
      <c r="A71" s="663"/>
      <c r="C71" s="7">
        <v>970.0</v>
      </c>
      <c r="D71" s="193" t="s">
        <v>33262</v>
      </c>
      <c r="G71" s="7" t="s">
        <v>18052</v>
      </c>
      <c r="H71" s="670">
        <v>10075.0</v>
      </c>
    </row>
    <row r="72">
      <c r="A72" s="671"/>
      <c r="C72" s="7">
        <v>865.0</v>
      </c>
      <c r="D72" s="193" t="s">
        <v>33263</v>
      </c>
      <c r="G72" s="7" t="s">
        <v>18000</v>
      </c>
      <c r="H72" s="670">
        <v>6318.0</v>
      </c>
    </row>
    <row r="73">
      <c r="A73" s="671"/>
      <c r="C73" s="7">
        <v>2293.0</v>
      </c>
      <c r="D73" s="193" t="s">
        <v>33264</v>
      </c>
      <c r="G73" s="7" t="s">
        <v>21606</v>
      </c>
      <c r="H73" s="670">
        <v>14940.0</v>
      </c>
    </row>
    <row r="74">
      <c r="A74" s="672"/>
      <c r="C74" s="99">
        <f>SUM(C69:C73)</f>
        <v>6318</v>
      </c>
      <c r="D74" s="193" t="s">
        <v>33265</v>
      </c>
      <c r="G74" s="7" t="s">
        <v>21606</v>
      </c>
      <c r="H74" s="670">
        <v>475.0</v>
      </c>
    </row>
    <row r="75">
      <c r="A75" s="672"/>
      <c r="D75" s="193"/>
      <c r="G75" s="7" t="s">
        <v>17054</v>
      </c>
      <c r="H75" s="670">
        <v>2169.0</v>
      </c>
    </row>
    <row r="76">
      <c r="A76" s="672"/>
      <c r="C76" s="7"/>
      <c r="D76" s="193"/>
      <c r="G76" s="7" t="s">
        <v>18835</v>
      </c>
      <c r="H76" s="670">
        <v>5550.0</v>
      </c>
    </row>
    <row r="77">
      <c r="A77" s="672"/>
      <c r="D77" s="193"/>
      <c r="G77" s="7" t="s">
        <v>33266</v>
      </c>
      <c r="H77" s="670">
        <v>21030.0</v>
      </c>
    </row>
    <row r="78">
      <c r="A78" s="662"/>
      <c r="B78" s="7" t="s">
        <v>33267</v>
      </c>
      <c r="D78" s="206"/>
      <c r="G78" s="7" t="s">
        <v>33268</v>
      </c>
      <c r="H78" s="670">
        <v>4000.0</v>
      </c>
    </row>
    <row r="79">
      <c r="A79" s="629"/>
      <c r="C79" s="7">
        <v>13300.0</v>
      </c>
      <c r="D79" s="193" t="s">
        <v>33269</v>
      </c>
      <c r="G79" s="7" t="s">
        <v>19153</v>
      </c>
      <c r="H79" s="670">
        <v>1065.0</v>
      </c>
    </row>
    <row r="80">
      <c r="A80" s="629"/>
      <c r="C80" s="7">
        <v>1269.0</v>
      </c>
      <c r="D80" s="193" t="s">
        <v>33270</v>
      </c>
      <c r="G80" s="7" t="s">
        <v>21033</v>
      </c>
      <c r="H80" s="670">
        <v>6000.0</v>
      </c>
    </row>
    <row r="81">
      <c r="A81" s="629"/>
      <c r="C81" s="7">
        <v>731.0</v>
      </c>
      <c r="D81" s="193" t="s">
        <v>33271</v>
      </c>
      <c r="H81" s="673">
        <f>SUM(H71:H80)</f>
        <v>71622</v>
      </c>
      <c r="J81" s="7">
        <v>71622.0</v>
      </c>
      <c r="K81" s="7" t="s">
        <v>33272</v>
      </c>
    </row>
    <row r="82">
      <c r="A82" s="629"/>
      <c r="C82" s="621">
        <v>-360.0</v>
      </c>
      <c r="D82" s="232" t="s">
        <v>33273</v>
      </c>
      <c r="J82" s="7">
        <v>34640.0</v>
      </c>
      <c r="K82" s="7" t="s">
        <v>33274</v>
      </c>
    </row>
    <row r="83">
      <c r="A83" s="629"/>
      <c r="C83" s="65">
        <f>SUM(C79:C82)</f>
        <v>14940</v>
      </c>
      <c r="D83" s="232" t="s">
        <v>33265</v>
      </c>
      <c r="J83" s="7">
        <v>3500.0</v>
      </c>
    </row>
    <row r="84">
      <c r="A84" s="629"/>
      <c r="C84" s="65"/>
      <c r="D84" s="130"/>
      <c r="G84" s="7">
        <f>9*2000</f>
        <v>18000</v>
      </c>
      <c r="H84" s="7" t="s">
        <v>33275</v>
      </c>
      <c r="J84" s="7">
        <v>300.0</v>
      </c>
    </row>
    <row r="85">
      <c r="A85" s="629"/>
      <c r="B85" s="7" t="s">
        <v>33276</v>
      </c>
      <c r="C85" s="7">
        <v>475.0</v>
      </c>
      <c r="D85" s="193" t="s">
        <v>33265</v>
      </c>
      <c r="G85" s="7">
        <f>5*1900</f>
        <v>9500</v>
      </c>
      <c r="H85" s="7" t="s">
        <v>33277</v>
      </c>
      <c r="J85" s="7">
        <v>560.0</v>
      </c>
      <c r="K85" s="7" t="s">
        <v>33278</v>
      </c>
    </row>
    <row r="86">
      <c r="A86" s="629"/>
      <c r="D86" s="206"/>
      <c r="G86" s="7">
        <f>5*1260</f>
        <v>6300</v>
      </c>
      <c r="H86" s="7" t="s">
        <v>33279</v>
      </c>
      <c r="J86" s="99">
        <f>SUM(J81:J85)</f>
        <v>110622</v>
      </c>
      <c r="K86" s="7" t="s">
        <v>33280</v>
      </c>
    </row>
    <row r="87">
      <c r="A87" s="629"/>
      <c r="D87" s="206"/>
      <c r="G87" s="99">
        <f>700+70+70</f>
        <v>840</v>
      </c>
      <c r="H87" s="7" t="s">
        <v>33281</v>
      </c>
      <c r="J87" s="7">
        <v>16000.0</v>
      </c>
      <c r="K87" s="7" t="s">
        <v>33282</v>
      </c>
    </row>
    <row r="88">
      <c r="A88" s="629"/>
      <c r="B88" s="7" t="s">
        <v>33283</v>
      </c>
      <c r="C88" s="7">
        <v>111.0</v>
      </c>
      <c r="D88" s="206"/>
      <c r="G88" s="99">
        <f>SUM(G84:G87)</f>
        <v>34640</v>
      </c>
      <c r="J88" s="99">
        <f>J86-J87</f>
        <v>94622</v>
      </c>
    </row>
    <row r="89">
      <c r="A89" s="629"/>
      <c r="C89" s="7">
        <v>456.0</v>
      </c>
      <c r="D89" s="206"/>
      <c r="J89" s="7">
        <v>40000.0</v>
      </c>
      <c r="K89" s="7" t="s">
        <v>33284</v>
      </c>
    </row>
    <row r="90">
      <c r="A90" s="629"/>
      <c r="C90" s="7">
        <v>116.0</v>
      </c>
      <c r="D90" s="206"/>
      <c r="J90" s="99">
        <f>SUM(J88:J89)</f>
        <v>134622</v>
      </c>
      <c r="K90" s="7" t="s">
        <v>33285</v>
      </c>
    </row>
    <row r="91">
      <c r="A91" s="629"/>
      <c r="C91" s="7">
        <v>52.0</v>
      </c>
      <c r="D91" s="206"/>
    </row>
    <row r="92">
      <c r="A92" s="629"/>
      <c r="C92" s="7">
        <v>128.0</v>
      </c>
      <c r="D92" s="206"/>
    </row>
    <row r="93">
      <c r="A93" s="629"/>
      <c r="C93" s="7">
        <v>246.0</v>
      </c>
      <c r="D93" s="206"/>
    </row>
    <row r="94">
      <c r="A94" s="629"/>
      <c r="C94" s="7">
        <v>70.0</v>
      </c>
      <c r="D94" s="206"/>
    </row>
    <row r="95">
      <c r="A95" s="629"/>
      <c r="C95" s="7">
        <v>40.0</v>
      </c>
      <c r="D95" s="206">
        <f>SUM(C88:C95)</f>
        <v>1219</v>
      </c>
    </row>
    <row r="96">
      <c r="A96" s="629"/>
      <c r="C96" s="7">
        <v>950.0</v>
      </c>
      <c r="D96" s="206"/>
    </row>
    <row r="97">
      <c r="A97" s="629"/>
      <c r="C97" s="674">
        <f>SUM(C88:C96)</f>
        <v>2169</v>
      </c>
      <c r="D97" s="193" t="s">
        <v>33265</v>
      </c>
    </row>
    <row r="98">
      <c r="A98" s="629"/>
      <c r="D98" s="206"/>
    </row>
    <row r="99">
      <c r="A99" s="629"/>
      <c r="B99" s="7" t="s">
        <v>33286</v>
      </c>
      <c r="C99" s="7">
        <v>3800.0</v>
      </c>
      <c r="D99" s="193"/>
    </row>
    <row r="100">
      <c r="A100" s="629"/>
      <c r="C100" s="7">
        <v>1750.0</v>
      </c>
      <c r="D100" s="206"/>
    </row>
    <row r="101">
      <c r="A101" s="629"/>
      <c r="C101" s="7">
        <v>5550.0</v>
      </c>
      <c r="D101" s="193" t="s">
        <v>33265</v>
      </c>
    </row>
    <row r="102">
      <c r="A102" s="629"/>
      <c r="D102" s="193"/>
    </row>
    <row r="103">
      <c r="A103" s="629"/>
      <c r="D103" s="193"/>
    </row>
    <row r="104">
      <c r="A104" s="629"/>
      <c r="D104" s="206"/>
    </row>
    <row r="105">
      <c r="A105" s="629"/>
      <c r="D105" s="206"/>
    </row>
    <row r="106">
      <c r="A106" s="629"/>
      <c r="B106" s="71" t="s">
        <v>33287</v>
      </c>
      <c r="C106" s="65">
        <v>23030.0</v>
      </c>
      <c r="D106" s="49"/>
    </row>
    <row r="107">
      <c r="A107" s="629"/>
      <c r="B107" s="71"/>
      <c r="C107" s="65">
        <v>-2000.0</v>
      </c>
      <c r="D107" s="668" t="s">
        <v>33288</v>
      </c>
    </row>
    <row r="108">
      <c r="A108" s="629"/>
      <c r="B108" s="71"/>
      <c r="C108" s="65">
        <f>SUM(C106:C107)</f>
        <v>21030</v>
      </c>
      <c r="D108" s="668" t="s">
        <v>33265</v>
      </c>
    </row>
    <row r="109">
      <c r="A109" s="629"/>
      <c r="B109" s="71"/>
      <c r="C109" s="71"/>
      <c r="D109" s="49"/>
    </row>
    <row r="110">
      <c r="A110" s="629"/>
      <c r="B110" s="71"/>
      <c r="C110" s="71"/>
      <c r="D110" s="49"/>
    </row>
    <row r="111">
      <c r="A111" s="629"/>
      <c r="B111" s="71" t="s">
        <v>33289</v>
      </c>
      <c r="C111" s="71"/>
      <c r="D111" s="71"/>
    </row>
    <row r="112">
      <c r="A112" s="629"/>
      <c r="B112" s="71"/>
      <c r="C112" s="65">
        <v>880.0</v>
      </c>
      <c r="D112" s="130" t="s">
        <v>33290</v>
      </c>
    </row>
    <row r="113">
      <c r="A113" s="629"/>
      <c r="B113" s="71"/>
      <c r="C113" s="65">
        <v>-615.0</v>
      </c>
      <c r="D113" s="130" t="s">
        <v>33291</v>
      </c>
    </row>
    <row r="114">
      <c r="A114" s="629"/>
      <c r="B114" s="71"/>
      <c r="C114" s="65">
        <v>800.0</v>
      </c>
      <c r="D114" s="71" t="s">
        <v>33292</v>
      </c>
    </row>
    <row r="115">
      <c r="A115" s="629"/>
      <c r="B115" s="71"/>
      <c r="C115" s="65">
        <f>SUM(C112:C114)</f>
        <v>1065</v>
      </c>
      <c r="D115" s="58" t="s">
        <v>33265</v>
      </c>
    </row>
    <row r="116">
      <c r="A116" s="629"/>
      <c r="B116" s="71"/>
      <c r="C116" s="58">
        <v>150.0</v>
      </c>
      <c r="D116" s="71"/>
    </row>
    <row r="117">
      <c r="A117" s="629"/>
      <c r="B117" s="71"/>
      <c r="C117" s="71"/>
      <c r="D117" s="71"/>
    </row>
    <row r="118">
      <c r="A118" s="629"/>
      <c r="B118" s="71"/>
      <c r="C118" s="71"/>
      <c r="D118" s="58">
        <v>470.0</v>
      </c>
    </row>
    <row r="119">
      <c r="A119" s="629"/>
      <c r="B119" s="71"/>
      <c r="C119" s="71"/>
      <c r="D119" s="71"/>
    </row>
    <row r="120">
      <c r="A120" s="629"/>
      <c r="B120" s="71"/>
      <c r="C120" s="71"/>
      <c r="D120" s="71"/>
    </row>
    <row r="121">
      <c r="A121" s="629"/>
      <c r="B121" s="71" t="s">
        <v>33293</v>
      </c>
      <c r="C121" s="65">
        <v>4000.0</v>
      </c>
      <c r="D121" s="71"/>
    </row>
    <row r="122">
      <c r="A122" s="629"/>
      <c r="B122" s="71" t="s">
        <v>33294</v>
      </c>
      <c r="C122" s="65">
        <v>6000.0</v>
      </c>
      <c r="D122" s="71"/>
    </row>
    <row r="123">
      <c r="A123" s="629"/>
      <c r="D123" s="206"/>
    </row>
    <row r="124">
      <c r="A124" s="629"/>
      <c r="D124" s="206"/>
    </row>
    <row r="125">
      <c r="A125" s="629"/>
      <c r="D125" s="206"/>
    </row>
    <row r="126">
      <c r="A126" s="629"/>
      <c r="D126" s="206"/>
    </row>
    <row r="127">
      <c r="A127" s="629"/>
      <c r="D127" s="206"/>
    </row>
    <row r="128">
      <c r="A128" s="629"/>
      <c r="D128" s="206"/>
    </row>
    <row r="129">
      <c r="A129" s="629"/>
      <c r="D129" s="206"/>
    </row>
    <row r="130">
      <c r="A130" s="629"/>
      <c r="D130" s="206"/>
    </row>
    <row r="131">
      <c r="A131" s="629"/>
      <c r="D131" s="206"/>
    </row>
    <row r="132">
      <c r="A132" s="629"/>
      <c r="D132" s="206"/>
    </row>
    <row r="133">
      <c r="A133" s="629"/>
      <c r="D133" s="206"/>
    </row>
    <row r="134">
      <c r="A134" s="629"/>
      <c r="D134" s="206"/>
    </row>
    <row r="135">
      <c r="A135" s="629"/>
      <c r="D135" s="206"/>
    </row>
    <row r="136">
      <c r="A136" s="629"/>
      <c r="D136" s="206"/>
    </row>
    <row r="137">
      <c r="A137" s="629"/>
      <c r="D137" s="206"/>
    </row>
    <row r="138">
      <c r="A138" s="629"/>
      <c r="D138" s="206"/>
    </row>
    <row r="139">
      <c r="A139" s="629"/>
      <c r="D139" s="206"/>
    </row>
    <row r="140">
      <c r="A140" s="629"/>
      <c r="D140" s="206"/>
    </row>
    <row r="141">
      <c r="A141" s="629"/>
      <c r="D141" s="206"/>
    </row>
    <row r="142">
      <c r="A142" s="629"/>
      <c r="D142" s="206"/>
    </row>
    <row r="143">
      <c r="A143" s="629"/>
      <c r="D143" s="206"/>
    </row>
    <row r="144">
      <c r="A144" s="629"/>
      <c r="D144" s="206"/>
    </row>
    <row r="145">
      <c r="A145" s="629"/>
      <c r="D145" s="206"/>
    </row>
    <row r="146">
      <c r="A146" s="629"/>
      <c r="D146" s="206"/>
    </row>
    <row r="147">
      <c r="A147" s="629"/>
      <c r="D147" s="206"/>
    </row>
    <row r="148">
      <c r="A148" s="629"/>
      <c r="D148" s="206"/>
    </row>
    <row r="149">
      <c r="A149" s="629"/>
      <c r="D149" s="206"/>
    </row>
    <row r="150">
      <c r="A150" s="629"/>
      <c r="D150" s="206"/>
    </row>
    <row r="151">
      <c r="A151" s="629"/>
      <c r="D151" s="206"/>
    </row>
    <row r="152">
      <c r="A152" s="629"/>
      <c r="D152" s="206"/>
    </row>
    <row r="153">
      <c r="A153" s="629"/>
      <c r="D153" s="206"/>
    </row>
    <row r="154">
      <c r="A154" s="629"/>
      <c r="D154" s="206"/>
    </row>
    <row r="155">
      <c r="A155" s="629"/>
      <c r="D155" s="206"/>
    </row>
    <row r="156">
      <c r="A156" s="629"/>
      <c r="D156" s="206"/>
    </row>
    <row r="157">
      <c r="A157" s="629"/>
      <c r="D157" s="206"/>
    </row>
    <row r="158">
      <c r="A158" s="629"/>
      <c r="D158" s="206"/>
    </row>
    <row r="159">
      <c r="A159" s="629"/>
      <c r="D159" s="206"/>
    </row>
    <row r="160">
      <c r="A160" s="629"/>
      <c r="D160" s="206"/>
    </row>
    <row r="161">
      <c r="A161" s="629"/>
      <c r="D161" s="206"/>
    </row>
    <row r="162">
      <c r="A162" s="629"/>
      <c r="D162" s="206"/>
    </row>
    <row r="163">
      <c r="A163" s="629"/>
      <c r="D163" s="206"/>
    </row>
    <row r="164">
      <c r="A164" s="629"/>
      <c r="D164" s="206"/>
    </row>
    <row r="165">
      <c r="A165" s="629"/>
      <c r="D165" s="206"/>
    </row>
    <row r="166">
      <c r="A166" s="629"/>
      <c r="D166" s="206"/>
    </row>
    <row r="167">
      <c r="A167" s="629"/>
      <c r="D167" s="206"/>
    </row>
    <row r="168">
      <c r="A168" s="629"/>
      <c r="D168" s="206"/>
    </row>
    <row r="169">
      <c r="A169" s="629"/>
      <c r="D169" s="206"/>
    </row>
    <row r="170">
      <c r="A170" s="629"/>
      <c r="D170" s="206"/>
    </row>
    <row r="171">
      <c r="A171" s="629"/>
      <c r="D171" s="206"/>
    </row>
    <row r="172">
      <c r="A172" s="629"/>
      <c r="D172" s="206"/>
    </row>
    <row r="173">
      <c r="A173" s="629"/>
      <c r="D173" s="206"/>
    </row>
    <row r="174">
      <c r="A174" s="629"/>
      <c r="D174" s="206"/>
    </row>
    <row r="175">
      <c r="A175" s="629"/>
      <c r="D175" s="206"/>
    </row>
    <row r="176">
      <c r="A176" s="629"/>
      <c r="D176" s="206"/>
    </row>
    <row r="177">
      <c r="A177" s="629"/>
      <c r="D177" s="206"/>
    </row>
    <row r="178">
      <c r="A178" s="629"/>
      <c r="D178" s="206"/>
    </row>
    <row r="179">
      <c r="A179" s="629"/>
      <c r="D179" s="206"/>
    </row>
    <row r="180">
      <c r="A180" s="629"/>
      <c r="D180" s="206"/>
    </row>
    <row r="181">
      <c r="A181" s="629"/>
      <c r="D181" s="206"/>
    </row>
    <row r="182">
      <c r="A182" s="629"/>
      <c r="D182" s="206"/>
    </row>
    <row r="183">
      <c r="A183" s="629"/>
      <c r="D183" s="206"/>
    </row>
    <row r="184">
      <c r="A184" s="629"/>
      <c r="D184" s="206"/>
    </row>
    <row r="185">
      <c r="A185" s="629"/>
      <c r="D185" s="206"/>
    </row>
    <row r="186">
      <c r="A186" s="629"/>
      <c r="D186" s="206"/>
    </row>
    <row r="187">
      <c r="A187" s="629"/>
      <c r="D187" s="206"/>
    </row>
    <row r="188">
      <c r="A188" s="629"/>
      <c r="D188" s="206"/>
    </row>
    <row r="189">
      <c r="A189" s="629"/>
      <c r="D189" s="206"/>
    </row>
    <row r="190">
      <c r="A190" s="629"/>
      <c r="D190" s="206"/>
    </row>
    <row r="191">
      <c r="A191" s="629"/>
      <c r="D191" s="206"/>
    </row>
    <row r="192">
      <c r="A192" s="629"/>
      <c r="D192" s="206"/>
    </row>
    <row r="193">
      <c r="A193" s="629"/>
      <c r="D193" s="206"/>
    </row>
    <row r="194">
      <c r="A194" s="629"/>
      <c r="D194" s="206"/>
    </row>
    <row r="195">
      <c r="A195" s="629"/>
      <c r="D195" s="206"/>
    </row>
    <row r="196">
      <c r="A196" s="629"/>
      <c r="D196" s="206"/>
    </row>
    <row r="197">
      <c r="A197" s="629"/>
      <c r="D197" s="206"/>
    </row>
    <row r="198">
      <c r="A198" s="629"/>
      <c r="D198" s="206"/>
    </row>
    <row r="199">
      <c r="A199" s="629"/>
      <c r="D199" s="206"/>
    </row>
    <row r="200">
      <c r="A200" s="629"/>
      <c r="D200" s="206"/>
    </row>
    <row r="201">
      <c r="A201" s="629"/>
      <c r="D201" s="206"/>
    </row>
    <row r="202">
      <c r="A202" s="629"/>
      <c r="D202" s="206"/>
    </row>
    <row r="203">
      <c r="A203" s="629"/>
      <c r="D203" s="206"/>
    </row>
    <row r="204">
      <c r="A204" s="629"/>
      <c r="D204" s="206"/>
    </row>
    <row r="205">
      <c r="A205" s="629"/>
      <c r="D205" s="206"/>
    </row>
    <row r="206">
      <c r="A206" s="629"/>
      <c r="D206" s="206"/>
    </row>
    <row r="207">
      <c r="A207" s="629"/>
      <c r="D207" s="206"/>
    </row>
    <row r="208">
      <c r="A208" s="629"/>
      <c r="D208" s="206"/>
    </row>
    <row r="209">
      <c r="A209" s="629"/>
      <c r="D209" s="206"/>
    </row>
    <row r="210">
      <c r="A210" s="629"/>
      <c r="D210" s="206"/>
    </row>
    <row r="211">
      <c r="A211" s="629"/>
      <c r="D211" s="206"/>
    </row>
    <row r="212">
      <c r="A212" s="629"/>
      <c r="D212" s="206"/>
    </row>
    <row r="213">
      <c r="A213" s="629"/>
      <c r="D213" s="206"/>
    </row>
    <row r="214">
      <c r="A214" s="629"/>
      <c r="D214" s="206"/>
    </row>
    <row r="215">
      <c r="A215" s="629"/>
      <c r="D215" s="206"/>
    </row>
    <row r="216">
      <c r="A216" s="629"/>
      <c r="D216" s="206"/>
    </row>
    <row r="217">
      <c r="A217" s="629"/>
      <c r="D217" s="206"/>
    </row>
    <row r="218">
      <c r="A218" s="629"/>
      <c r="D218" s="206"/>
    </row>
    <row r="219">
      <c r="A219" s="629"/>
      <c r="D219" s="206"/>
    </row>
    <row r="220">
      <c r="A220" s="629"/>
      <c r="D220" s="206"/>
    </row>
    <row r="221">
      <c r="A221" s="629"/>
      <c r="D221" s="206"/>
    </row>
    <row r="222">
      <c r="A222" s="629"/>
      <c r="D222" s="206"/>
    </row>
    <row r="223">
      <c r="A223" s="629"/>
      <c r="D223" s="206"/>
    </row>
    <row r="224">
      <c r="A224" s="629"/>
      <c r="D224" s="206"/>
    </row>
    <row r="225">
      <c r="A225" s="629"/>
      <c r="D225" s="206"/>
    </row>
    <row r="226">
      <c r="A226" s="629"/>
      <c r="D226" s="206"/>
    </row>
    <row r="227">
      <c r="A227" s="629"/>
      <c r="D227" s="206"/>
    </row>
    <row r="228">
      <c r="A228" s="629"/>
      <c r="D228" s="206"/>
    </row>
    <row r="229">
      <c r="A229" s="629"/>
      <c r="D229" s="206"/>
    </row>
    <row r="230">
      <c r="A230" s="629"/>
      <c r="D230" s="206"/>
    </row>
    <row r="231">
      <c r="A231" s="629"/>
      <c r="D231" s="206"/>
    </row>
    <row r="232">
      <c r="A232" s="629"/>
      <c r="D232" s="206"/>
    </row>
    <row r="233">
      <c r="A233" s="629"/>
      <c r="D233" s="206"/>
    </row>
    <row r="234">
      <c r="A234" s="629"/>
      <c r="D234" s="206"/>
    </row>
    <row r="235">
      <c r="A235" s="629"/>
      <c r="D235" s="206"/>
    </row>
    <row r="236">
      <c r="A236" s="629"/>
      <c r="D236" s="206"/>
    </row>
    <row r="237">
      <c r="A237" s="629"/>
      <c r="D237" s="206"/>
    </row>
    <row r="238">
      <c r="A238" s="629"/>
      <c r="D238" s="206"/>
    </row>
    <row r="239">
      <c r="A239" s="629"/>
      <c r="D239" s="206"/>
    </row>
    <row r="240">
      <c r="A240" s="629"/>
      <c r="D240" s="206"/>
    </row>
    <row r="241">
      <c r="A241" s="629"/>
      <c r="D241" s="206"/>
    </row>
    <row r="242">
      <c r="A242" s="629"/>
      <c r="D242" s="206"/>
    </row>
    <row r="243">
      <c r="A243" s="629"/>
      <c r="D243" s="206"/>
    </row>
    <row r="244">
      <c r="A244" s="629"/>
      <c r="D244" s="206"/>
    </row>
    <row r="245">
      <c r="A245" s="629"/>
      <c r="D245" s="206"/>
    </row>
    <row r="246">
      <c r="A246" s="629"/>
      <c r="D246" s="206"/>
    </row>
    <row r="247">
      <c r="A247" s="629"/>
      <c r="D247" s="206"/>
    </row>
    <row r="248">
      <c r="A248" s="629"/>
      <c r="D248" s="206"/>
    </row>
    <row r="249">
      <c r="A249" s="629"/>
      <c r="D249" s="206"/>
    </row>
    <row r="250">
      <c r="A250" s="629"/>
      <c r="D250" s="206"/>
    </row>
    <row r="251">
      <c r="A251" s="629"/>
      <c r="D251" s="206"/>
    </row>
    <row r="252">
      <c r="A252" s="629"/>
      <c r="D252" s="206"/>
    </row>
    <row r="253">
      <c r="A253" s="629"/>
      <c r="D253" s="206"/>
    </row>
    <row r="254">
      <c r="A254" s="629"/>
      <c r="D254" s="206"/>
    </row>
    <row r="255">
      <c r="A255" s="629"/>
      <c r="D255" s="206"/>
    </row>
    <row r="256">
      <c r="A256" s="629"/>
      <c r="D256" s="206"/>
    </row>
    <row r="257">
      <c r="A257" s="629"/>
      <c r="D257" s="206"/>
    </row>
    <row r="258">
      <c r="A258" s="629"/>
      <c r="D258" s="206"/>
    </row>
    <row r="259">
      <c r="A259" s="629"/>
      <c r="D259" s="206"/>
    </row>
    <row r="260">
      <c r="A260" s="629"/>
      <c r="D260" s="206"/>
    </row>
    <row r="261">
      <c r="A261" s="629"/>
      <c r="D261" s="206"/>
    </row>
    <row r="262">
      <c r="A262" s="629"/>
      <c r="D262" s="206"/>
    </row>
    <row r="263">
      <c r="A263" s="629"/>
      <c r="D263" s="206"/>
    </row>
    <row r="264">
      <c r="A264" s="629"/>
      <c r="D264" s="206"/>
    </row>
    <row r="265">
      <c r="A265" s="629"/>
      <c r="D265" s="206"/>
    </row>
    <row r="266">
      <c r="A266" s="629"/>
      <c r="D266" s="206"/>
    </row>
    <row r="267">
      <c r="A267" s="629"/>
      <c r="D267" s="206"/>
    </row>
    <row r="268">
      <c r="A268" s="629"/>
      <c r="D268" s="206"/>
    </row>
    <row r="269">
      <c r="A269" s="629"/>
      <c r="D269" s="206"/>
    </row>
    <row r="270">
      <c r="A270" s="629"/>
      <c r="D270" s="206"/>
    </row>
    <row r="271">
      <c r="A271" s="629"/>
      <c r="D271" s="206"/>
    </row>
    <row r="272">
      <c r="A272" s="629"/>
      <c r="D272" s="206"/>
    </row>
    <row r="273">
      <c r="A273" s="629"/>
      <c r="D273" s="206"/>
    </row>
    <row r="274">
      <c r="A274" s="629"/>
      <c r="D274" s="206"/>
    </row>
    <row r="275">
      <c r="A275" s="629"/>
      <c r="D275" s="206"/>
    </row>
    <row r="276">
      <c r="A276" s="629"/>
      <c r="D276" s="206"/>
    </row>
    <row r="277">
      <c r="A277" s="629"/>
      <c r="D277" s="206"/>
    </row>
    <row r="278">
      <c r="A278" s="629"/>
      <c r="D278" s="206"/>
    </row>
    <row r="279">
      <c r="A279" s="629"/>
      <c r="D279" s="206"/>
    </row>
    <row r="280">
      <c r="A280" s="629"/>
      <c r="D280" s="206"/>
    </row>
    <row r="281">
      <c r="A281" s="629"/>
      <c r="D281" s="206"/>
    </row>
    <row r="282">
      <c r="A282" s="629"/>
      <c r="D282" s="206"/>
    </row>
    <row r="283">
      <c r="A283" s="629"/>
      <c r="D283" s="206"/>
    </row>
    <row r="284">
      <c r="A284" s="629"/>
      <c r="D284" s="206"/>
    </row>
    <row r="285">
      <c r="A285" s="629"/>
      <c r="D285" s="206"/>
    </row>
    <row r="286">
      <c r="A286" s="629"/>
      <c r="D286" s="206"/>
    </row>
    <row r="287">
      <c r="A287" s="629"/>
      <c r="D287" s="206"/>
    </row>
    <row r="288">
      <c r="A288" s="629"/>
      <c r="D288" s="206"/>
    </row>
    <row r="289">
      <c r="A289" s="629"/>
      <c r="D289" s="206"/>
    </row>
    <row r="290">
      <c r="A290" s="629"/>
      <c r="D290" s="206"/>
    </row>
    <row r="291">
      <c r="A291" s="629"/>
      <c r="D291" s="206"/>
    </row>
    <row r="292">
      <c r="A292" s="629"/>
      <c r="D292" s="206"/>
    </row>
    <row r="293">
      <c r="A293" s="629"/>
      <c r="D293" s="206"/>
    </row>
    <row r="294">
      <c r="A294" s="629"/>
      <c r="D294" s="206"/>
    </row>
    <row r="295">
      <c r="A295" s="629"/>
      <c r="D295" s="206"/>
    </row>
    <row r="296">
      <c r="A296" s="629"/>
      <c r="D296" s="206"/>
    </row>
    <row r="297">
      <c r="A297" s="629"/>
      <c r="D297" s="206"/>
    </row>
    <row r="298">
      <c r="A298" s="629"/>
      <c r="D298" s="206"/>
    </row>
    <row r="299">
      <c r="A299" s="629"/>
      <c r="D299" s="206"/>
    </row>
    <row r="300">
      <c r="A300" s="629"/>
      <c r="D300" s="206"/>
    </row>
    <row r="301">
      <c r="A301" s="629"/>
      <c r="D301" s="206"/>
    </row>
    <row r="302">
      <c r="A302" s="629"/>
      <c r="D302" s="206"/>
    </row>
    <row r="303">
      <c r="A303" s="629"/>
      <c r="D303" s="206"/>
    </row>
    <row r="304">
      <c r="A304" s="629"/>
      <c r="D304" s="206"/>
    </row>
    <row r="305">
      <c r="A305" s="629"/>
      <c r="D305" s="206"/>
    </row>
    <row r="306">
      <c r="A306" s="629"/>
      <c r="D306" s="206"/>
    </row>
    <row r="307">
      <c r="A307" s="629"/>
      <c r="D307" s="206"/>
    </row>
    <row r="308">
      <c r="A308" s="629"/>
      <c r="D308" s="206"/>
    </row>
    <row r="309">
      <c r="A309" s="629"/>
      <c r="D309" s="206"/>
    </row>
    <row r="310">
      <c r="A310" s="629"/>
      <c r="D310" s="206"/>
    </row>
    <row r="311">
      <c r="A311" s="629"/>
      <c r="D311" s="206"/>
    </row>
    <row r="312">
      <c r="A312" s="629"/>
      <c r="D312" s="206"/>
    </row>
    <row r="313">
      <c r="A313" s="629"/>
      <c r="D313" s="206"/>
    </row>
    <row r="314">
      <c r="A314" s="629"/>
      <c r="D314" s="206"/>
    </row>
    <row r="315">
      <c r="A315" s="629"/>
      <c r="D315" s="206"/>
    </row>
    <row r="316">
      <c r="A316" s="629"/>
      <c r="D316" s="206"/>
    </row>
    <row r="317">
      <c r="A317" s="629"/>
      <c r="D317" s="206"/>
    </row>
    <row r="318">
      <c r="A318" s="629"/>
      <c r="D318" s="206"/>
    </row>
    <row r="319">
      <c r="A319" s="629"/>
      <c r="D319" s="206"/>
    </row>
    <row r="320">
      <c r="A320" s="629"/>
      <c r="D320" s="206"/>
    </row>
    <row r="321">
      <c r="A321" s="629"/>
      <c r="D321" s="206"/>
    </row>
    <row r="322">
      <c r="A322" s="629"/>
      <c r="D322" s="206"/>
    </row>
    <row r="323">
      <c r="A323" s="629"/>
      <c r="D323" s="206"/>
    </row>
    <row r="324">
      <c r="A324" s="629"/>
      <c r="D324" s="206"/>
    </row>
    <row r="325">
      <c r="A325" s="629"/>
      <c r="D325" s="206"/>
    </row>
    <row r="326">
      <c r="A326" s="629"/>
      <c r="D326" s="206"/>
    </row>
    <row r="327">
      <c r="A327" s="629"/>
      <c r="D327" s="206"/>
    </row>
    <row r="328">
      <c r="A328" s="629"/>
      <c r="D328" s="206"/>
    </row>
    <row r="329">
      <c r="A329" s="629"/>
      <c r="D329" s="206"/>
    </row>
    <row r="330">
      <c r="A330" s="629"/>
      <c r="D330" s="206"/>
    </row>
    <row r="331">
      <c r="A331" s="629"/>
      <c r="D331" s="206"/>
    </row>
    <row r="332">
      <c r="A332" s="629"/>
      <c r="D332" s="206"/>
    </row>
    <row r="333">
      <c r="A333" s="629"/>
      <c r="D333" s="206"/>
    </row>
    <row r="334">
      <c r="A334" s="629"/>
      <c r="D334" s="206"/>
    </row>
    <row r="335">
      <c r="A335" s="629"/>
      <c r="D335" s="206"/>
    </row>
    <row r="336">
      <c r="A336" s="629"/>
      <c r="D336" s="206"/>
    </row>
    <row r="337">
      <c r="A337" s="629"/>
      <c r="D337" s="206"/>
    </row>
    <row r="338">
      <c r="A338" s="629"/>
      <c r="D338" s="206"/>
    </row>
    <row r="339">
      <c r="A339" s="629"/>
      <c r="D339" s="206"/>
    </row>
    <row r="340">
      <c r="A340" s="629"/>
      <c r="D340" s="206"/>
    </row>
    <row r="341">
      <c r="A341" s="629"/>
      <c r="D341" s="206"/>
    </row>
    <row r="342">
      <c r="A342" s="629"/>
      <c r="D342" s="206"/>
    </row>
    <row r="343">
      <c r="A343" s="629"/>
      <c r="D343" s="206"/>
    </row>
    <row r="344">
      <c r="A344" s="629"/>
      <c r="D344" s="206"/>
    </row>
    <row r="345">
      <c r="A345" s="629"/>
      <c r="D345" s="206"/>
    </row>
    <row r="346">
      <c r="A346" s="629"/>
      <c r="D346" s="206"/>
    </row>
    <row r="347">
      <c r="A347" s="629"/>
      <c r="D347" s="206"/>
    </row>
    <row r="348">
      <c r="A348" s="629"/>
      <c r="D348" s="206"/>
    </row>
    <row r="349">
      <c r="A349" s="629"/>
      <c r="D349" s="206"/>
    </row>
    <row r="350">
      <c r="A350" s="629"/>
      <c r="D350" s="206"/>
    </row>
    <row r="351">
      <c r="A351" s="629"/>
      <c r="D351" s="206"/>
    </row>
    <row r="352">
      <c r="A352" s="629"/>
      <c r="D352" s="206"/>
    </row>
    <row r="353">
      <c r="A353" s="629"/>
      <c r="D353" s="206"/>
    </row>
    <row r="354">
      <c r="A354" s="629"/>
      <c r="D354" s="206"/>
    </row>
    <row r="355">
      <c r="A355" s="629"/>
      <c r="D355" s="206"/>
    </row>
    <row r="356">
      <c r="A356" s="629"/>
      <c r="D356" s="206"/>
    </row>
    <row r="357">
      <c r="A357" s="629"/>
      <c r="D357" s="206"/>
    </row>
    <row r="358">
      <c r="A358" s="629"/>
      <c r="D358" s="206"/>
    </row>
    <row r="359">
      <c r="A359" s="629"/>
      <c r="D359" s="206"/>
    </row>
    <row r="360">
      <c r="A360" s="629"/>
      <c r="D360" s="206"/>
    </row>
    <row r="361">
      <c r="A361" s="629"/>
      <c r="D361" s="206"/>
    </row>
    <row r="362">
      <c r="A362" s="629"/>
      <c r="D362" s="206"/>
    </row>
    <row r="363">
      <c r="A363" s="629"/>
      <c r="D363" s="206"/>
    </row>
    <row r="364">
      <c r="A364" s="629"/>
      <c r="D364" s="206"/>
    </row>
    <row r="365">
      <c r="A365" s="629"/>
      <c r="D365" s="206"/>
    </row>
    <row r="366">
      <c r="A366" s="629"/>
      <c r="D366" s="206"/>
    </row>
    <row r="367">
      <c r="A367" s="629"/>
      <c r="D367" s="206"/>
    </row>
    <row r="368">
      <c r="A368" s="629"/>
      <c r="D368" s="206"/>
    </row>
    <row r="369">
      <c r="A369" s="629"/>
      <c r="D369" s="206"/>
    </row>
    <row r="370">
      <c r="A370" s="629"/>
      <c r="D370" s="206"/>
    </row>
    <row r="371">
      <c r="A371" s="629"/>
      <c r="D371" s="206"/>
    </row>
    <row r="372">
      <c r="A372" s="629"/>
      <c r="D372" s="206"/>
    </row>
    <row r="373">
      <c r="A373" s="629"/>
      <c r="D373" s="206"/>
    </row>
    <row r="374">
      <c r="A374" s="629"/>
      <c r="D374" s="206"/>
    </row>
    <row r="375">
      <c r="A375" s="629"/>
      <c r="D375" s="206"/>
    </row>
    <row r="376">
      <c r="A376" s="629"/>
      <c r="D376" s="206"/>
    </row>
    <row r="377">
      <c r="A377" s="629"/>
      <c r="D377" s="206"/>
    </row>
    <row r="378">
      <c r="A378" s="629"/>
      <c r="D378" s="206"/>
    </row>
    <row r="379">
      <c r="A379" s="629"/>
      <c r="D379" s="206"/>
    </row>
    <row r="380">
      <c r="A380" s="629"/>
      <c r="D380" s="206"/>
    </row>
    <row r="381">
      <c r="A381" s="629"/>
      <c r="D381" s="206"/>
    </row>
    <row r="382">
      <c r="A382" s="629"/>
      <c r="D382" s="206"/>
    </row>
    <row r="383">
      <c r="A383" s="629"/>
      <c r="D383" s="206"/>
    </row>
    <row r="384">
      <c r="A384" s="629"/>
      <c r="D384" s="206"/>
    </row>
    <row r="385">
      <c r="A385" s="629"/>
      <c r="D385" s="206"/>
    </row>
    <row r="386">
      <c r="A386" s="629"/>
      <c r="D386" s="206"/>
    </row>
    <row r="387">
      <c r="A387" s="629"/>
      <c r="D387" s="206"/>
    </row>
    <row r="388">
      <c r="A388" s="629"/>
      <c r="D388" s="206"/>
    </row>
    <row r="389">
      <c r="A389" s="629"/>
      <c r="D389" s="206"/>
    </row>
    <row r="390">
      <c r="A390" s="629"/>
      <c r="D390" s="206"/>
    </row>
    <row r="391">
      <c r="A391" s="629"/>
      <c r="D391" s="206"/>
    </row>
    <row r="392">
      <c r="A392" s="629"/>
      <c r="D392" s="206"/>
    </row>
    <row r="393">
      <c r="A393" s="629"/>
      <c r="D393" s="206"/>
    </row>
    <row r="394">
      <c r="A394" s="629"/>
      <c r="D394" s="206"/>
    </row>
    <row r="395">
      <c r="A395" s="629"/>
      <c r="D395" s="206"/>
    </row>
    <row r="396">
      <c r="A396" s="629"/>
      <c r="D396" s="206"/>
    </row>
    <row r="397">
      <c r="A397" s="629"/>
      <c r="D397" s="206"/>
    </row>
    <row r="398">
      <c r="A398" s="629"/>
      <c r="D398" s="206"/>
    </row>
    <row r="399">
      <c r="A399" s="629"/>
      <c r="D399" s="206"/>
    </row>
    <row r="400">
      <c r="A400" s="629"/>
      <c r="D400" s="206"/>
    </row>
    <row r="401">
      <c r="A401" s="629"/>
      <c r="D401" s="206"/>
    </row>
    <row r="402">
      <c r="A402" s="629"/>
      <c r="D402" s="206"/>
    </row>
    <row r="403">
      <c r="A403" s="629"/>
      <c r="D403" s="206"/>
    </row>
    <row r="404">
      <c r="A404" s="629"/>
      <c r="D404" s="206"/>
    </row>
    <row r="405">
      <c r="A405" s="629"/>
      <c r="D405" s="206"/>
    </row>
    <row r="406">
      <c r="A406" s="629"/>
      <c r="D406" s="206"/>
    </row>
    <row r="407">
      <c r="A407" s="629"/>
      <c r="D407" s="206"/>
    </row>
    <row r="408">
      <c r="A408" s="629"/>
      <c r="D408" s="206"/>
    </row>
    <row r="409">
      <c r="A409" s="629"/>
      <c r="D409" s="206"/>
    </row>
    <row r="410">
      <c r="A410" s="629"/>
      <c r="D410" s="206"/>
    </row>
    <row r="411">
      <c r="A411" s="629"/>
      <c r="D411" s="206"/>
    </row>
    <row r="412">
      <c r="A412" s="629"/>
      <c r="D412" s="206"/>
    </row>
    <row r="413">
      <c r="A413" s="629"/>
      <c r="D413" s="206"/>
    </row>
    <row r="414">
      <c r="A414" s="629"/>
      <c r="D414" s="206"/>
    </row>
    <row r="415">
      <c r="A415" s="629"/>
      <c r="D415" s="206"/>
    </row>
    <row r="416">
      <c r="A416" s="629"/>
      <c r="D416" s="206"/>
    </row>
    <row r="417">
      <c r="A417" s="629"/>
      <c r="D417" s="206"/>
    </row>
    <row r="418">
      <c r="A418" s="629"/>
      <c r="D418" s="206"/>
    </row>
    <row r="419">
      <c r="A419" s="629"/>
      <c r="D419" s="206"/>
    </row>
    <row r="420">
      <c r="A420" s="629"/>
      <c r="D420" s="206"/>
    </row>
    <row r="421">
      <c r="A421" s="629"/>
      <c r="D421" s="206"/>
    </row>
    <row r="422">
      <c r="A422" s="629"/>
      <c r="D422" s="206"/>
    </row>
    <row r="423">
      <c r="A423" s="629"/>
      <c r="D423" s="206"/>
    </row>
    <row r="424">
      <c r="A424" s="629"/>
      <c r="D424" s="206"/>
    </row>
    <row r="425">
      <c r="A425" s="629"/>
      <c r="D425" s="206"/>
    </row>
    <row r="426">
      <c r="A426" s="629"/>
      <c r="D426" s="206"/>
    </row>
    <row r="427">
      <c r="A427" s="629"/>
      <c r="D427" s="206"/>
    </row>
    <row r="428">
      <c r="A428" s="629"/>
      <c r="D428" s="206"/>
    </row>
    <row r="429">
      <c r="A429" s="629"/>
      <c r="D429" s="206"/>
    </row>
    <row r="430">
      <c r="A430" s="629"/>
      <c r="D430" s="206"/>
    </row>
    <row r="431">
      <c r="A431" s="629"/>
      <c r="D431" s="206"/>
    </row>
    <row r="432">
      <c r="A432" s="629"/>
      <c r="D432" s="206"/>
    </row>
    <row r="433">
      <c r="A433" s="629"/>
      <c r="D433" s="206"/>
    </row>
    <row r="434">
      <c r="A434" s="629"/>
      <c r="D434" s="206"/>
    </row>
    <row r="435">
      <c r="A435" s="629"/>
      <c r="D435" s="206"/>
    </row>
    <row r="436">
      <c r="A436" s="629"/>
      <c r="D436" s="206"/>
    </row>
    <row r="437">
      <c r="A437" s="629"/>
      <c r="D437" s="206"/>
    </row>
    <row r="438">
      <c r="A438" s="629"/>
      <c r="D438" s="206"/>
    </row>
    <row r="439">
      <c r="A439" s="629"/>
      <c r="D439" s="206"/>
    </row>
    <row r="440">
      <c r="A440" s="629"/>
      <c r="D440" s="206"/>
    </row>
    <row r="441">
      <c r="A441" s="629"/>
      <c r="D441" s="206"/>
    </row>
    <row r="442">
      <c r="A442" s="629"/>
      <c r="D442" s="206"/>
    </row>
    <row r="443">
      <c r="A443" s="629"/>
      <c r="D443" s="206"/>
    </row>
    <row r="444">
      <c r="A444" s="629"/>
      <c r="D444" s="206"/>
    </row>
    <row r="445">
      <c r="A445" s="629"/>
      <c r="D445" s="206"/>
    </row>
    <row r="446">
      <c r="A446" s="629"/>
      <c r="D446" s="206"/>
    </row>
    <row r="447">
      <c r="A447" s="629"/>
      <c r="D447" s="206"/>
    </row>
    <row r="448">
      <c r="A448" s="629"/>
      <c r="D448" s="206"/>
    </row>
    <row r="449">
      <c r="A449" s="629"/>
      <c r="D449" s="206"/>
    </row>
    <row r="450">
      <c r="A450" s="629"/>
      <c r="D450" s="206"/>
    </row>
    <row r="451">
      <c r="A451" s="629"/>
      <c r="D451" s="206"/>
    </row>
    <row r="452">
      <c r="A452" s="629"/>
      <c r="D452" s="206"/>
    </row>
    <row r="453">
      <c r="A453" s="629"/>
      <c r="D453" s="206"/>
    </row>
    <row r="454">
      <c r="A454" s="629"/>
      <c r="D454" s="206"/>
    </row>
    <row r="455">
      <c r="A455" s="629"/>
      <c r="D455" s="206"/>
    </row>
    <row r="456">
      <c r="A456" s="629"/>
      <c r="D456" s="206"/>
    </row>
    <row r="457">
      <c r="A457" s="629"/>
      <c r="D457" s="206"/>
    </row>
    <row r="458">
      <c r="A458" s="629"/>
      <c r="D458" s="206"/>
    </row>
    <row r="459">
      <c r="A459" s="629"/>
      <c r="D459" s="206"/>
    </row>
    <row r="460">
      <c r="A460" s="629"/>
      <c r="D460" s="206"/>
    </row>
    <row r="461">
      <c r="A461" s="629"/>
      <c r="D461" s="206"/>
    </row>
    <row r="462">
      <c r="A462" s="629"/>
      <c r="D462" s="206"/>
    </row>
    <row r="463">
      <c r="A463" s="629"/>
      <c r="D463" s="206"/>
    </row>
    <row r="464">
      <c r="A464" s="629"/>
      <c r="D464" s="206"/>
    </row>
    <row r="465">
      <c r="A465" s="629"/>
      <c r="D465" s="206"/>
    </row>
    <row r="466">
      <c r="A466" s="629"/>
      <c r="D466" s="206"/>
    </row>
    <row r="467">
      <c r="A467" s="629"/>
      <c r="D467" s="206"/>
    </row>
    <row r="468">
      <c r="A468" s="629"/>
      <c r="D468" s="206"/>
    </row>
    <row r="469">
      <c r="A469" s="629"/>
      <c r="D469" s="206"/>
    </row>
    <row r="470">
      <c r="A470" s="629"/>
      <c r="D470" s="206"/>
    </row>
    <row r="471">
      <c r="A471" s="629"/>
      <c r="D471" s="206"/>
    </row>
    <row r="472">
      <c r="A472" s="629"/>
      <c r="D472" s="206"/>
    </row>
    <row r="473">
      <c r="A473" s="629"/>
      <c r="D473" s="206"/>
    </row>
    <row r="474">
      <c r="A474" s="629"/>
      <c r="D474" s="206"/>
    </row>
    <row r="475">
      <c r="A475" s="629"/>
      <c r="D475" s="206"/>
    </row>
    <row r="476">
      <c r="A476" s="629"/>
      <c r="D476" s="206"/>
    </row>
    <row r="477">
      <c r="A477" s="629"/>
      <c r="D477" s="206"/>
    </row>
    <row r="478">
      <c r="A478" s="629"/>
      <c r="D478" s="206"/>
    </row>
    <row r="479">
      <c r="A479" s="629"/>
      <c r="D479" s="206"/>
    </row>
    <row r="480">
      <c r="A480" s="629"/>
      <c r="D480" s="206"/>
    </row>
    <row r="481">
      <c r="A481" s="629"/>
      <c r="D481" s="206"/>
    </row>
    <row r="482">
      <c r="A482" s="629"/>
      <c r="D482" s="206"/>
    </row>
    <row r="483">
      <c r="A483" s="629"/>
      <c r="D483" s="206"/>
    </row>
    <row r="484">
      <c r="A484" s="629"/>
      <c r="D484" s="206"/>
    </row>
    <row r="485">
      <c r="A485" s="629"/>
      <c r="D485" s="206"/>
    </row>
    <row r="486">
      <c r="A486" s="629"/>
      <c r="D486" s="206"/>
    </row>
    <row r="487">
      <c r="A487" s="629"/>
      <c r="D487" s="206"/>
    </row>
    <row r="488">
      <c r="A488" s="629"/>
      <c r="D488" s="206"/>
    </row>
    <row r="489">
      <c r="A489" s="629"/>
      <c r="D489" s="206"/>
    </row>
    <row r="490">
      <c r="A490" s="629"/>
      <c r="D490" s="206"/>
    </row>
    <row r="491">
      <c r="A491" s="629"/>
      <c r="D491" s="206"/>
    </row>
    <row r="492">
      <c r="A492" s="629"/>
      <c r="D492" s="206"/>
    </row>
    <row r="493">
      <c r="A493" s="629"/>
      <c r="D493" s="206"/>
    </row>
    <row r="494">
      <c r="A494" s="629"/>
      <c r="D494" s="206"/>
    </row>
    <row r="495">
      <c r="A495" s="629"/>
      <c r="D495" s="206"/>
    </row>
    <row r="496">
      <c r="A496" s="629"/>
      <c r="D496" s="206"/>
    </row>
    <row r="497">
      <c r="A497" s="629"/>
      <c r="D497" s="206"/>
    </row>
    <row r="498">
      <c r="A498" s="629"/>
      <c r="D498" s="206"/>
    </row>
    <row r="499">
      <c r="A499" s="629"/>
      <c r="D499" s="206"/>
    </row>
    <row r="500">
      <c r="A500" s="629"/>
      <c r="D500" s="206"/>
    </row>
    <row r="501">
      <c r="A501" s="629"/>
      <c r="D501" s="206"/>
    </row>
    <row r="502">
      <c r="A502" s="629"/>
      <c r="D502" s="206"/>
    </row>
    <row r="503">
      <c r="A503" s="629"/>
      <c r="D503" s="206"/>
    </row>
    <row r="504">
      <c r="A504" s="629"/>
      <c r="D504" s="206"/>
    </row>
    <row r="505">
      <c r="A505" s="629"/>
      <c r="D505" s="206"/>
    </row>
    <row r="506">
      <c r="A506" s="629"/>
      <c r="D506" s="206"/>
    </row>
    <row r="507">
      <c r="A507" s="629"/>
      <c r="D507" s="206"/>
    </row>
    <row r="508">
      <c r="A508" s="629"/>
      <c r="D508" s="206"/>
    </row>
    <row r="509">
      <c r="A509" s="629"/>
      <c r="D509" s="206"/>
    </row>
    <row r="510">
      <c r="A510" s="629"/>
      <c r="D510" s="206"/>
    </row>
    <row r="511">
      <c r="A511" s="629"/>
      <c r="D511" s="206"/>
    </row>
    <row r="512">
      <c r="A512" s="629"/>
      <c r="D512" s="206"/>
    </row>
    <row r="513">
      <c r="A513" s="629"/>
      <c r="D513" s="206"/>
    </row>
    <row r="514">
      <c r="A514" s="629"/>
      <c r="D514" s="206"/>
    </row>
    <row r="515">
      <c r="A515" s="629"/>
      <c r="D515" s="206"/>
    </row>
    <row r="516">
      <c r="A516" s="629"/>
      <c r="D516" s="206"/>
    </row>
    <row r="517">
      <c r="A517" s="629"/>
      <c r="D517" s="206"/>
    </row>
    <row r="518">
      <c r="A518" s="629"/>
      <c r="D518" s="206"/>
    </row>
    <row r="519">
      <c r="A519" s="629"/>
      <c r="D519" s="206"/>
    </row>
    <row r="520">
      <c r="A520" s="629"/>
      <c r="D520" s="206"/>
    </row>
    <row r="521">
      <c r="A521" s="629"/>
      <c r="D521" s="206"/>
    </row>
    <row r="522">
      <c r="A522" s="629"/>
      <c r="D522" s="206"/>
    </row>
    <row r="523">
      <c r="A523" s="629"/>
      <c r="D523" s="206"/>
    </row>
    <row r="524">
      <c r="A524" s="629"/>
      <c r="D524" s="206"/>
    </row>
    <row r="525">
      <c r="A525" s="629"/>
      <c r="D525" s="206"/>
    </row>
    <row r="526">
      <c r="A526" s="629"/>
      <c r="D526" s="206"/>
    </row>
    <row r="527">
      <c r="A527" s="629"/>
      <c r="D527" s="206"/>
    </row>
    <row r="528">
      <c r="A528" s="629"/>
      <c r="D528" s="206"/>
    </row>
    <row r="529">
      <c r="A529" s="629"/>
      <c r="D529" s="206"/>
    </row>
    <row r="530">
      <c r="A530" s="629"/>
      <c r="D530" s="206"/>
    </row>
    <row r="531">
      <c r="A531" s="629"/>
      <c r="D531" s="206"/>
    </row>
    <row r="532">
      <c r="A532" s="629"/>
      <c r="D532" s="206"/>
    </row>
    <row r="533">
      <c r="A533" s="629"/>
      <c r="D533" s="206"/>
    </row>
    <row r="534">
      <c r="A534" s="629"/>
      <c r="D534" s="206"/>
    </row>
    <row r="535">
      <c r="A535" s="629"/>
      <c r="D535" s="206"/>
    </row>
    <row r="536">
      <c r="A536" s="629"/>
      <c r="D536" s="206"/>
    </row>
    <row r="537">
      <c r="A537" s="629"/>
      <c r="D537" s="206"/>
    </row>
    <row r="538">
      <c r="A538" s="629"/>
      <c r="D538" s="206"/>
    </row>
    <row r="539">
      <c r="A539" s="629"/>
      <c r="D539" s="206"/>
    </row>
    <row r="540">
      <c r="A540" s="629"/>
      <c r="D540" s="206"/>
    </row>
    <row r="541">
      <c r="A541" s="629"/>
      <c r="D541" s="206"/>
    </row>
    <row r="542">
      <c r="A542" s="629"/>
      <c r="D542" s="206"/>
    </row>
    <row r="543">
      <c r="A543" s="629"/>
      <c r="D543" s="206"/>
    </row>
    <row r="544">
      <c r="A544" s="629"/>
      <c r="D544" s="206"/>
    </row>
    <row r="545">
      <c r="A545" s="629"/>
      <c r="D545" s="206"/>
    </row>
    <row r="546">
      <c r="A546" s="629"/>
      <c r="D546" s="206"/>
    </row>
    <row r="547">
      <c r="A547" s="629"/>
      <c r="D547" s="206"/>
    </row>
    <row r="548">
      <c r="A548" s="629"/>
      <c r="D548" s="206"/>
    </row>
    <row r="549">
      <c r="A549" s="629"/>
      <c r="D549" s="206"/>
    </row>
    <row r="550">
      <c r="A550" s="629"/>
      <c r="D550" s="206"/>
    </row>
    <row r="551">
      <c r="A551" s="629"/>
      <c r="D551" s="206"/>
    </row>
    <row r="552">
      <c r="A552" s="629"/>
      <c r="D552" s="206"/>
    </row>
    <row r="553">
      <c r="A553" s="629"/>
      <c r="D553" s="206"/>
    </row>
    <row r="554">
      <c r="A554" s="629"/>
      <c r="D554" s="206"/>
    </row>
    <row r="555">
      <c r="A555" s="629"/>
      <c r="D555" s="206"/>
    </row>
    <row r="556">
      <c r="A556" s="629"/>
      <c r="D556" s="206"/>
    </row>
    <row r="557">
      <c r="A557" s="629"/>
      <c r="D557" s="206"/>
    </row>
    <row r="558">
      <c r="A558" s="629"/>
      <c r="D558" s="206"/>
    </row>
    <row r="559">
      <c r="A559" s="629"/>
      <c r="D559" s="206"/>
    </row>
    <row r="560">
      <c r="A560" s="629"/>
      <c r="D560" s="206"/>
    </row>
    <row r="561">
      <c r="A561" s="629"/>
      <c r="D561" s="206"/>
    </row>
    <row r="562">
      <c r="A562" s="629"/>
      <c r="D562" s="206"/>
    </row>
    <row r="563">
      <c r="A563" s="629"/>
      <c r="D563" s="206"/>
    </row>
    <row r="564">
      <c r="A564" s="629"/>
      <c r="D564" s="206"/>
    </row>
    <row r="565">
      <c r="A565" s="629"/>
      <c r="D565" s="206"/>
    </row>
    <row r="566">
      <c r="A566" s="629"/>
      <c r="D566" s="206"/>
    </row>
    <row r="567">
      <c r="A567" s="629"/>
      <c r="D567" s="206"/>
    </row>
    <row r="568">
      <c r="A568" s="629"/>
      <c r="D568" s="206"/>
    </row>
    <row r="569">
      <c r="A569" s="629"/>
      <c r="D569" s="206"/>
    </row>
    <row r="570">
      <c r="A570" s="629"/>
      <c r="D570" s="206"/>
    </row>
    <row r="571">
      <c r="A571" s="629"/>
      <c r="D571" s="206"/>
    </row>
    <row r="572">
      <c r="A572" s="629"/>
      <c r="D572" s="206"/>
    </row>
    <row r="573">
      <c r="A573" s="629"/>
      <c r="D573" s="206"/>
    </row>
    <row r="574">
      <c r="A574" s="629"/>
      <c r="D574" s="206"/>
    </row>
    <row r="575">
      <c r="A575" s="629"/>
      <c r="D575" s="206"/>
    </row>
    <row r="576">
      <c r="A576" s="629"/>
      <c r="D576" s="206"/>
    </row>
    <row r="577">
      <c r="A577" s="629"/>
      <c r="D577" s="206"/>
    </row>
    <row r="578">
      <c r="A578" s="629"/>
      <c r="D578" s="206"/>
    </row>
    <row r="579">
      <c r="A579" s="629"/>
      <c r="D579" s="206"/>
    </row>
    <row r="580">
      <c r="A580" s="629"/>
      <c r="D580" s="206"/>
    </row>
    <row r="581">
      <c r="A581" s="629"/>
      <c r="D581" s="206"/>
    </row>
    <row r="582">
      <c r="A582" s="629"/>
      <c r="D582" s="206"/>
    </row>
    <row r="583">
      <c r="A583" s="629"/>
      <c r="D583" s="206"/>
    </row>
    <row r="584">
      <c r="A584" s="629"/>
      <c r="D584" s="206"/>
    </row>
    <row r="585">
      <c r="A585" s="629"/>
      <c r="D585" s="206"/>
    </row>
    <row r="586">
      <c r="A586" s="629"/>
      <c r="D586" s="206"/>
    </row>
    <row r="587">
      <c r="A587" s="629"/>
      <c r="D587" s="206"/>
    </row>
    <row r="588">
      <c r="A588" s="629"/>
      <c r="D588" s="206"/>
    </row>
    <row r="589">
      <c r="A589" s="629"/>
      <c r="D589" s="206"/>
    </row>
    <row r="590">
      <c r="A590" s="629"/>
      <c r="D590" s="206"/>
    </row>
    <row r="591">
      <c r="A591" s="629"/>
      <c r="D591" s="206"/>
    </row>
    <row r="592">
      <c r="A592" s="629"/>
      <c r="D592" s="206"/>
    </row>
    <row r="593">
      <c r="A593" s="629"/>
      <c r="D593" s="206"/>
    </row>
    <row r="594">
      <c r="A594" s="629"/>
      <c r="D594" s="206"/>
    </row>
    <row r="595">
      <c r="A595" s="629"/>
      <c r="D595" s="206"/>
    </row>
    <row r="596">
      <c r="A596" s="629"/>
      <c r="D596" s="206"/>
    </row>
    <row r="597">
      <c r="A597" s="629"/>
      <c r="D597" s="206"/>
    </row>
    <row r="598">
      <c r="A598" s="629"/>
      <c r="D598" s="206"/>
    </row>
    <row r="599">
      <c r="A599" s="629"/>
      <c r="D599" s="206"/>
    </row>
    <row r="600">
      <c r="A600" s="629"/>
      <c r="D600" s="206"/>
    </row>
    <row r="601">
      <c r="A601" s="629"/>
      <c r="D601" s="206"/>
    </row>
    <row r="602">
      <c r="A602" s="629"/>
      <c r="D602" s="206"/>
    </row>
    <row r="603">
      <c r="A603" s="629"/>
      <c r="D603" s="206"/>
    </row>
    <row r="604">
      <c r="A604" s="629"/>
      <c r="D604" s="206"/>
    </row>
    <row r="605">
      <c r="A605" s="629"/>
      <c r="D605" s="206"/>
    </row>
    <row r="606">
      <c r="A606" s="629"/>
      <c r="D606" s="206"/>
    </row>
    <row r="607">
      <c r="A607" s="629"/>
      <c r="D607" s="206"/>
    </row>
    <row r="608">
      <c r="A608" s="629"/>
      <c r="D608" s="206"/>
    </row>
    <row r="609">
      <c r="A609" s="629"/>
      <c r="D609" s="206"/>
    </row>
    <row r="610">
      <c r="A610" s="629"/>
      <c r="D610" s="206"/>
    </row>
    <row r="611">
      <c r="A611" s="629"/>
      <c r="D611" s="206"/>
    </row>
    <row r="612">
      <c r="A612" s="629"/>
      <c r="D612" s="206"/>
    </row>
    <row r="613">
      <c r="A613" s="629"/>
      <c r="D613" s="206"/>
    </row>
    <row r="614">
      <c r="A614" s="629"/>
      <c r="D614" s="206"/>
    </row>
    <row r="615">
      <c r="A615" s="629"/>
      <c r="D615" s="206"/>
    </row>
    <row r="616">
      <c r="A616" s="629"/>
      <c r="D616" s="206"/>
    </row>
    <row r="617">
      <c r="A617" s="629"/>
      <c r="D617" s="206"/>
    </row>
    <row r="618">
      <c r="A618" s="629"/>
      <c r="D618" s="206"/>
    </row>
    <row r="619">
      <c r="A619" s="629"/>
      <c r="D619" s="206"/>
    </row>
    <row r="620">
      <c r="A620" s="629"/>
      <c r="D620" s="206"/>
    </row>
    <row r="621">
      <c r="A621" s="629"/>
      <c r="D621" s="206"/>
    </row>
    <row r="622">
      <c r="A622" s="629"/>
      <c r="D622" s="206"/>
    </row>
    <row r="623">
      <c r="A623" s="629"/>
      <c r="D623" s="206"/>
    </row>
    <row r="624">
      <c r="A624" s="629"/>
      <c r="D624" s="206"/>
    </row>
    <row r="625">
      <c r="A625" s="629"/>
      <c r="D625" s="206"/>
    </row>
    <row r="626">
      <c r="A626" s="629"/>
      <c r="D626" s="206"/>
    </row>
    <row r="627">
      <c r="A627" s="629"/>
      <c r="D627" s="206"/>
    </row>
    <row r="628">
      <c r="A628" s="629"/>
      <c r="D628" s="206"/>
    </row>
    <row r="629">
      <c r="A629" s="629"/>
      <c r="D629" s="206"/>
    </row>
    <row r="630">
      <c r="A630" s="629"/>
      <c r="D630" s="206"/>
    </row>
    <row r="631">
      <c r="A631" s="629"/>
      <c r="D631" s="206"/>
    </row>
    <row r="632">
      <c r="A632" s="629"/>
      <c r="D632" s="206"/>
    </row>
    <row r="633">
      <c r="A633" s="629"/>
      <c r="D633" s="206"/>
    </row>
    <row r="634">
      <c r="A634" s="629"/>
      <c r="D634" s="206"/>
    </row>
    <row r="635">
      <c r="A635" s="629"/>
      <c r="D635" s="206"/>
    </row>
    <row r="636">
      <c r="A636" s="629"/>
      <c r="D636" s="206"/>
    </row>
    <row r="637">
      <c r="A637" s="629"/>
      <c r="D637" s="206"/>
    </row>
    <row r="638">
      <c r="A638" s="629"/>
      <c r="D638" s="206"/>
    </row>
    <row r="639">
      <c r="A639" s="629"/>
      <c r="D639" s="206"/>
    </row>
    <row r="640">
      <c r="A640" s="629"/>
      <c r="D640" s="206"/>
    </row>
    <row r="641">
      <c r="A641" s="629"/>
      <c r="D641" s="206"/>
    </row>
    <row r="642">
      <c r="A642" s="629"/>
      <c r="D642" s="206"/>
    </row>
    <row r="643">
      <c r="A643" s="629"/>
      <c r="D643" s="206"/>
    </row>
    <row r="644">
      <c r="A644" s="629"/>
      <c r="D644" s="206"/>
    </row>
    <row r="645">
      <c r="A645" s="629"/>
      <c r="D645" s="206"/>
    </row>
    <row r="646">
      <c r="A646" s="629"/>
      <c r="D646" s="206"/>
    </row>
    <row r="647">
      <c r="A647" s="629"/>
      <c r="D647" s="206"/>
    </row>
    <row r="648">
      <c r="A648" s="629"/>
      <c r="D648" s="206"/>
    </row>
    <row r="649">
      <c r="A649" s="629"/>
      <c r="D649" s="206"/>
    </row>
    <row r="650">
      <c r="A650" s="629"/>
      <c r="D650" s="206"/>
    </row>
    <row r="651">
      <c r="A651" s="629"/>
      <c r="D651" s="206"/>
    </row>
    <row r="652">
      <c r="A652" s="629"/>
      <c r="D652" s="206"/>
    </row>
    <row r="653">
      <c r="A653" s="629"/>
      <c r="D653" s="206"/>
    </row>
    <row r="654">
      <c r="A654" s="629"/>
      <c r="D654" s="206"/>
    </row>
    <row r="655">
      <c r="A655" s="629"/>
      <c r="D655" s="206"/>
    </row>
    <row r="656">
      <c r="A656" s="629"/>
      <c r="D656" s="206"/>
    </row>
    <row r="657">
      <c r="A657" s="629"/>
      <c r="D657" s="206"/>
    </row>
    <row r="658">
      <c r="A658" s="629"/>
      <c r="D658" s="206"/>
    </row>
    <row r="659">
      <c r="A659" s="629"/>
      <c r="D659" s="206"/>
    </row>
    <row r="660">
      <c r="A660" s="629"/>
      <c r="D660" s="206"/>
    </row>
    <row r="661">
      <c r="A661" s="629"/>
      <c r="D661" s="206"/>
    </row>
    <row r="662">
      <c r="A662" s="629"/>
      <c r="D662" s="206"/>
    </row>
    <row r="663">
      <c r="A663" s="629"/>
      <c r="D663" s="206"/>
    </row>
    <row r="664">
      <c r="A664" s="629"/>
      <c r="D664" s="206"/>
    </row>
    <row r="665">
      <c r="A665" s="629"/>
      <c r="D665" s="206"/>
    </row>
    <row r="666">
      <c r="A666" s="629"/>
      <c r="D666" s="206"/>
    </row>
    <row r="667">
      <c r="A667" s="629"/>
      <c r="D667" s="206"/>
    </row>
    <row r="668">
      <c r="A668" s="629"/>
      <c r="D668" s="206"/>
    </row>
    <row r="669">
      <c r="A669" s="629"/>
      <c r="D669" s="206"/>
    </row>
    <row r="670">
      <c r="A670" s="629"/>
      <c r="D670" s="206"/>
    </row>
    <row r="671">
      <c r="A671" s="629"/>
      <c r="D671" s="206"/>
    </row>
    <row r="672">
      <c r="A672" s="629"/>
      <c r="D672" s="206"/>
    </row>
    <row r="673">
      <c r="A673" s="629"/>
      <c r="D673" s="206"/>
    </row>
    <row r="674">
      <c r="A674" s="629"/>
      <c r="D674" s="206"/>
    </row>
    <row r="675">
      <c r="A675" s="629"/>
      <c r="D675" s="206"/>
    </row>
    <row r="676">
      <c r="A676" s="629"/>
      <c r="D676" s="206"/>
    </row>
    <row r="677">
      <c r="A677" s="629"/>
      <c r="D677" s="206"/>
    </row>
    <row r="678">
      <c r="A678" s="629"/>
      <c r="D678" s="206"/>
    </row>
    <row r="679">
      <c r="A679" s="629"/>
      <c r="D679" s="206"/>
    </row>
    <row r="680">
      <c r="A680" s="629"/>
      <c r="D680" s="206"/>
    </row>
    <row r="681">
      <c r="A681" s="629"/>
      <c r="D681" s="206"/>
    </row>
    <row r="682">
      <c r="A682" s="629"/>
      <c r="D682" s="206"/>
    </row>
    <row r="683">
      <c r="A683" s="629"/>
      <c r="D683" s="206"/>
    </row>
    <row r="684">
      <c r="A684" s="629"/>
      <c r="D684" s="206"/>
    </row>
    <row r="685">
      <c r="A685" s="629"/>
      <c r="D685" s="206"/>
    </row>
    <row r="686">
      <c r="A686" s="629"/>
      <c r="D686" s="206"/>
    </row>
    <row r="687">
      <c r="A687" s="629"/>
      <c r="D687" s="206"/>
    </row>
    <row r="688">
      <c r="A688" s="629"/>
      <c r="D688" s="206"/>
    </row>
    <row r="689">
      <c r="A689" s="629"/>
      <c r="D689" s="206"/>
    </row>
    <row r="690">
      <c r="A690" s="629"/>
      <c r="D690" s="206"/>
    </row>
    <row r="691">
      <c r="A691" s="629"/>
      <c r="D691" s="206"/>
    </row>
    <row r="692">
      <c r="A692" s="629"/>
      <c r="D692" s="206"/>
    </row>
    <row r="693">
      <c r="A693" s="629"/>
      <c r="D693" s="206"/>
    </row>
    <row r="694">
      <c r="A694" s="629"/>
      <c r="D694" s="206"/>
    </row>
    <row r="695">
      <c r="A695" s="629"/>
      <c r="D695" s="206"/>
    </row>
    <row r="696">
      <c r="A696" s="629"/>
      <c r="D696" s="206"/>
    </row>
    <row r="697">
      <c r="A697" s="629"/>
      <c r="D697" s="206"/>
    </row>
    <row r="698">
      <c r="A698" s="629"/>
      <c r="D698" s="206"/>
    </row>
    <row r="699">
      <c r="A699" s="629"/>
      <c r="D699" s="206"/>
    </row>
    <row r="700">
      <c r="A700" s="629"/>
      <c r="D700" s="206"/>
    </row>
    <row r="701">
      <c r="A701" s="629"/>
      <c r="D701" s="206"/>
    </row>
    <row r="702">
      <c r="A702" s="629"/>
      <c r="D702" s="206"/>
    </row>
    <row r="703">
      <c r="A703" s="629"/>
      <c r="D703" s="206"/>
    </row>
    <row r="704">
      <c r="A704" s="629"/>
      <c r="D704" s="206"/>
    </row>
    <row r="705">
      <c r="A705" s="629"/>
      <c r="D705" s="206"/>
    </row>
    <row r="706">
      <c r="A706" s="629"/>
      <c r="D706" s="206"/>
    </row>
    <row r="707">
      <c r="A707" s="629"/>
      <c r="D707" s="206"/>
    </row>
    <row r="708">
      <c r="A708" s="629"/>
      <c r="D708" s="206"/>
    </row>
    <row r="709">
      <c r="A709" s="629"/>
      <c r="D709" s="206"/>
    </row>
    <row r="710">
      <c r="A710" s="629"/>
      <c r="D710" s="206"/>
    </row>
    <row r="711">
      <c r="A711" s="629"/>
      <c r="D711" s="206"/>
    </row>
    <row r="712">
      <c r="A712" s="629"/>
      <c r="D712" s="206"/>
    </row>
    <row r="713">
      <c r="A713" s="629"/>
      <c r="D713" s="206"/>
    </row>
    <row r="714">
      <c r="A714" s="629"/>
      <c r="D714" s="206"/>
    </row>
    <row r="715">
      <c r="A715" s="629"/>
      <c r="D715" s="206"/>
    </row>
    <row r="716">
      <c r="A716" s="629"/>
      <c r="D716" s="206"/>
    </row>
    <row r="717">
      <c r="A717" s="629"/>
      <c r="D717" s="206"/>
    </row>
    <row r="718">
      <c r="A718" s="629"/>
      <c r="D718" s="206"/>
    </row>
    <row r="719">
      <c r="A719" s="629"/>
      <c r="D719" s="206"/>
    </row>
    <row r="720">
      <c r="A720" s="629"/>
      <c r="D720" s="206"/>
    </row>
    <row r="721">
      <c r="A721" s="629"/>
      <c r="D721" s="206"/>
    </row>
    <row r="722">
      <c r="A722" s="629"/>
      <c r="D722" s="206"/>
    </row>
    <row r="723">
      <c r="A723" s="629"/>
      <c r="D723" s="206"/>
    </row>
    <row r="724">
      <c r="A724" s="629"/>
      <c r="D724" s="206"/>
    </row>
    <row r="725">
      <c r="A725" s="629"/>
      <c r="D725" s="206"/>
    </row>
    <row r="726">
      <c r="A726" s="629"/>
      <c r="D726" s="206"/>
    </row>
    <row r="727">
      <c r="A727" s="629"/>
      <c r="D727" s="206"/>
    </row>
    <row r="728">
      <c r="A728" s="629"/>
      <c r="D728" s="206"/>
    </row>
    <row r="729">
      <c r="A729" s="629"/>
      <c r="D729" s="206"/>
    </row>
    <row r="730">
      <c r="A730" s="629"/>
      <c r="D730" s="206"/>
    </row>
    <row r="731">
      <c r="A731" s="629"/>
      <c r="D731" s="206"/>
    </row>
    <row r="732">
      <c r="A732" s="629"/>
      <c r="D732" s="206"/>
    </row>
    <row r="733">
      <c r="A733" s="629"/>
      <c r="D733" s="206"/>
    </row>
    <row r="734">
      <c r="A734" s="629"/>
      <c r="D734" s="206"/>
    </row>
    <row r="735">
      <c r="A735" s="629"/>
      <c r="D735" s="206"/>
    </row>
    <row r="736">
      <c r="A736" s="629"/>
      <c r="D736" s="206"/>
    </row>
    <row r="737">
      <c r="A737" s="629"/>
      <c r="D737" s="206"/>
    </row>
    <row r="738">
      <c r="A738" s="629"/>
      <c r="D738" s="206"/>
    </row>
    <row r="739">
      <c r="A739" s="629"/>
      <c r="D739" s="206"/>
    </row>
    <row r="740">
      <c r="A740" s="629"/>
      <c r="D740" s="206"/>
    </row>
    <row r="741">
      <c r="A741" s="629"/>
      <c r="D741" s="206"/>
    </row>
    <row r="742">
      <c r="A742" s="629"/>
      <c r="D742" s="206"/>
    </row>
    <row r="743">
      <c r="A743" s="629"/>
      <c r="D743" s="206"/>
    </row>
    <row r="744">
      <c r="A744" s="629"/>
      <c r="D744" s="206"/>
    </row>
    <row r="745">
      <c r="A745" s="629"/>
      <c r="D745" s="206"/>
    </row>
    <row r="746">
      <c r="A746" s="629"/>
      <c r="D746" s="206"/>
    </row>
    <row r="747">
      <c r="A747" s="629"/>
      <c r="D747" s="206"/>
    </row>
    <row r="748">
      <c r="A748" s="629"/>
      <c r="D748" s="206"/>
    </row>
    <row r="749">
      <c r="A749" s="629"/>
      <c r="D749" s="206"/>
    </row>
    <row r="750">
      <c r="A750" s="629"/>
      <c r="D750" s="206"/>
    </row>
    <row r="751">
      <c r="A751" s="629"/>
      <c r="D751" s="206"/>
    </row>
    <row r="752">
      <c r="A752" s="629"/>
      <c r="D752" s="206"/>
    </row>
    <row r="753">
      <c r="A753" s="629"/>
      <c r="D753" s="206"/>
    </row>
    <row r="754">
      <c r="A754" s="629"/>
      <c r="D754" s="206"/>
    </row>
    <row r="755">
      <c r="A755" s="629"/>
      <c r="D755" s="206"/>
    </row>
    <row r="756">
      <c r="A756" s="629"/>
      <c r="D756" s="206"/>
    </row>
    <row r="757">
      <c r="A757" s="629"/>
      <c r="D757" s="206"/>
    </row>
    <row r="758">
      <c r="A758" s="629"/>
      <c r="D758" s="206"/>
    </row>
    <row r="759">
      <c r="A759" s="629"/>
      <c r="D759" s="206"/>
    </row>
    <row r="760">
      <c r="A760" s="629"/>
      <c r="D760" s="206"/>
    </row>
    <row r="761">
      <c r="A761" s="629"/>
      <c r="D761" s="206"/>
    </row>
    <row r="762">
      <c r="A762" s="629"/>
      <c r="D762" s="206"/>
    </row>
    <row r="763">
      <c r="A763" s="629"/>
      <c r="D763" s="206"/>
    </row>
    <row r="764">
      <c r="A764" s="629"/>
      <c r="D764" s="206"/>
    </row>
    <row r="765">
      <c r="A765" s="629"/>
      <c r="D765" s="206"/>
    </row>
    <row r="766">
      <c r="A766" s="629"/>
      <c r="D766" s="206"/>
    </row>
    <row r="767">
      <c r="A767" s="629"/>
      <c r="D767" s="206"/>
    </row>
    <row r="768">
      <c r="A768" s="629"/>
      <c r="D768" s="206"/>
    </row>
    <row r="769">
      <c r="A769" s="629"/>
      <c r="D769" s="206"/>
    </row>
    <row r="770">
      <c r="A770" s="629"/>
      <c r="D770" s="206"/>
    </row>
    <row r="771">
      <c r="A771" s="629"/>
      <c r="D771" s="206"/>
    </row>
    <row r="772">
      <c r="A772" s="629"/>
      <c r="D772" s="206"/>
    </row>
    <row r="773">
      <c r="A773" s="629"/>
      <c r="D773" s="206"/>
    </row>
    <row r="774">
      <c r="A774" s="629"/>
      <c r="D774" s="206"/>
    </row>
    <row r="775">
      <c r="A775" s="629"/>
      <c r="D775" s="206"/>
    </row>
    <row r="776">
      <c r="A776" s="629"/>
      <c r="D776" s="206"/>
    </row>
    <row r="777">
      <c r="A777" s="629"/>
      <c r="D777" s="206"/>
    </row>
    <row r="778">
      <c r="A778" s="629"/>
      <c r="D778" s="206"/>
    </row>
    <row r="779">
      <c r="A779" s="629"/>
      <c r="D779" s="206"/>
    </row>
    <row r="780">
      <c r="A780" s="629"/>
      <c r="D780" s="206"/>
    </row>
    <row r="781">
      <c r="A781" s="629"/>
      <c r="D781" s="206"/>
    </row>
    <row r="782">
      <c r="A782" s="629"/>
      <c r="D782" s="206"/>
    </row>
    <row r="783">
      <c r="A783" s="629"/>
      <c r="D783" s="206"/>
    </row>
    <row r="784">
      <c r="A784" s="629"/>
      <c r="D784" s="206"/>
    </row>
    <row r="785">
      <c r="A785" s="629"/>
      <c r="D785" s="206"/>
    </row>
    <row r="786">
      <c r="A786" s="629"/>
      <c r="D786" s="206"/>
    </row>
    <row r="787">
      <c r="A787" s="629"/>
      <c r="D787" s="206"/>
    </row>
    <row r="788">
      <c r="A788" s="629"/>
      <c r="D788" s="206"/>
    </row>
    <row r="789">
      <c r="A789" s="629"/>
      <c r="D789" s="206"/>
    </row>
    <row r="790">
      <c r="A790" s="629"/>
      <c r="D790" s="206"/>
    </row>
    <row r="791">
      <c r="A791" s="629"/>
      <c r="D791" s="206"/>
    </row>
    <row r="792">
      <c r="A792" s="629"/>
      <c r="D792" s="206"/>
    </row>
    <row r="793">
      <c r="A793" s="629"/>
      <c r="D793" s="206"/>
    </row>
    <row r="794">
      <c r="A794" s="629"/>
      <c r="D794" s="206"/>
    </row>
    <row r="795">
      <c r="A795" s="629"/>
      <c r="D795" s="206"/>
    </row>
    <row r="796">
      <c r="A796" s="629"/>
      <c r="D796" s="206"/>
    </row>
    <row r="797">
      <c r="A797" s="629"/>
      <c r="D797" s="206"/>
    </row>
    <row r="798">
      <c r="A798" s="629"/>
      <c r="D798" s="206"/>
    </row>
    <row r="799">
      <c r="A799" s="629"/>
      <c r="D799" s="206"/>
    </row>
    <row r="800">
      <c r="A800" s="629"/>
      <c r="D800" s="206"/>
    </row>
    <row r="801">
      <c r="A801" s="629"/>
      <c r="D801" s="206"/>
    </row>
    <row r="802">
      <c r="A802" s="629"/>
      <c r="D802" s="206"/>
    </row>
    <row r="803">
      <c r="A803" s="629"/>
      <c r="D803" s="206"/>
    </row>
    <row r="804">
      <c r="A804" s="629"/>
      <c r="D804" s="206"/>
    </row>
    <row r="805">
      <c r="A805" s="629"/>
      <c r="D805" s="206"/>
    </row>
    <row r="806">
      <c r="A806" s="629"/>
      <c r="D806" s="206"/>
    </row>
    <row r="807">
      <c r="A807" s="629"/>
      <c r="D807" s="206"/>
    </row>
    <row r="808">
      <c r="A808" s="629"/>
      <c r="D808" s="206"/>
    </row>
    <row r="809">
      <c r="A809" s="629"/>
      <c r="D809" s="206"/>
    </row>
    <row r="810">
      <c r="A810" s="629"/>
      <c r="D810" s="206"/>
    </row>
    <row r="811">
      <c r="A811" s="629"/>
      <c r="D811" s="206"/>
    </row>
    <row r="812">
      <c r="A812" s="629"/>
      <c r="D812" s="206"/>
    </row>
    <row r="813">
      <c r="A813" s="629"/>
      <c r="D813" s="206"/>
    </row>
    <row r="814">
      <c r="A814" s="629"/>
      <c r="D814" s="206"/>
    </row>
    <row r="815">
      <c r="A815" s="629"/>
      <c r="D815" s="206"/>
    </row>
    <row r="816">
      <c r="A816" s="629"/>
      <c r="D816" s="206"/>
    </row>
    <row r="817">
      <c r="A817" s="629"/>
      <c r="D817" s="206"/>
    </row>
    <row r="818">
      <c r="A818" s="629"/>
      <c r="D818" s="206"/>
    </row>
    <row r="819">
      <c r="A819" s="629"/>
      <c r="D819" s="206"/>
    </row>
    <row r="820">
      <c r="A820" s="629"/>
      <c r="D820" s="206"/>
    </row>
    <row r="821">
      <c r="A821" s="629"/>
      <c r="D821" s="206"/>
    </row>
    <row r="822">
      <c r="A822" s="629"/>
      <c r="D822" s="206"/>
    </row>
    <row r="823">
      <c r="A823" s="629"/>
      <c r="D823" s="206"/>
    </row>
    <row r="824">
      <c r="A824" s="629"/>
      <c r="D824" s="206"/>
    </row>
    <row r="825">
      <c r="A825" s="629"/>
      <c r="D825" s="206"/>
    </row>
    <row r="826">
      <c r="A826" s="629"/>
      <c r="D826" s="206"/>
    </row>
    <row r="827">
      <c r="A827" s="629"/>
      <c r="D827" s="206"/>
    </row>
    <row r="828">
      <c r="A828" s="629"/>
      <c r="D828" s="206"/>
    </row>
    <row r="829">
      <c r="A829" s="629"/>
      <c r="D829" s="206"/>
    </row>
    <row r="830">
      <c r="A830" s="629"/>
      <c r="D830" s="206"/>
    </row>
    <row r="831">
      <c r="A831" s="629"/>
      <c r="D831" s="206"/>
    </row>
    <row r="832">
      <c r="A832" s="629"/>
      <c r="D832" s="206"/>
    </row>
    <row r="833">
      <c r="A833" s="629"/>
      <c r="D833" s="206"/>
    </row>
    <row r="834">
      <c r="A834" s="629"/>
      <c r="D834" s="206"/>
    </row>
    <row r="835">
      <c r="A835" s="629"/>
      <c r="D835" s="206"/>
    </row>
    <row r="836">
      <c r="A836" s="629"/>
      <c r="D836" s="206"/>
    </row>
    <row r="837">
      <c r="A837" s="629"/>
      <c r="D837" s="206"/>
    </row>
    <row r="838">
      <c r="A838" s="629"/>
      <c r="D838" s="206"/>
    </row>
    <row r="839">
      <c r="A839" s="629"/>
      <c r="D839" s="206"/>
    </row>
    <row r="840">
      <c r="A840" s="629"/>
      <c r="D840" s="206"/>
    </row>
    <row r="841">
      <c r="A841" s="629"/>
      <c r="D841" s="206"/>
    </row>
    <row r="842">
      <c r="A842" s="629"/>
      <c r="D842" s="206"/>
    </row>
    <row r="843">
      <c r="A843" s="629"/>
      <c r="D843" s="206"/>
    </row>
    <row r="844">
      <c r="A844" s="629"/>
      <c r="D844" s="206"/>
    </row>
    <row r="845">
      <c r="A845" s="629"/>
      <c r="D845" s="206"/>
    </row>
    <row r="846">
      <c r="A846" s="629"/>
      <c r="D846" s="206"/>
    </row>
    <row r="847">
      <c r="A847" s="629"/>
      <c r="D847" s="206"/>
    </row>
    <row r="848">
      <c r="A848" s="629"/>
      <c r="D848" s="206"/>
    </row>
    <row r="849">
      <c r="A849" s="629"/>
      <c r="D849" s="206"/>
    </row>
    <row r="850">
      <c r="A850" s="629"/>
      <c r="D850" s="206"/>
    </row>
    <row r="851">
      <c r="A851" s="629"/>
      <c r="D851" s="206"/>
    </row>
    <row r="852">
      <c r="A852" s="629"/>
      <c r="D852" s="206"/>
    </row>
    <row r="853">
      <c r="A853" s="629"/>
      <c r="D853" s="206"/>
    </row>
    <row r="854">
      <c r="A854" s="629"/>
      <c r="D854" s="206"/>
    </row>
    <row r="855">
      <c r="A855" s="629"/>
      <c r="D855" s="206"/>
    </row>
    <row r="856">
      <c r="A856" s="629"/>
      <c r="D856" s="206"/>
    </row>
    <row r="857">
      <c r="A857" s="629"/>
      <c r="D857" s="206"/>
    </row>
    <row r="858">
      <c r="A858" s="629"/>
      <c r="D858" s="206"/>
    </row>
    <row r="859">
      <c r="A859" s="629"/>
      <c r="D859" s="206"/>
    </row>
    <row r="860">
      <c r="A860" s="629"/>
      <c r="D860" s="206"/>
    </row>
    <row r="861">
      <c r="A861" s="629"/>
      <c r="D861" s="206"/>
    </row>
    <row r="862">
      <c r="A862" s="629"/>
      <c r="D862" s="206"/>
    </row>
    <row r="863">
      <c r="A863" s="629"/>
      <c r="D863" s="206"/>
    </row>
    <row r="864">
      <c r="A864" s="629"/>
      <c r="D864" s="206"/>
    </row>
    <row r="865">
      <c r="A865" s="629"/>
      <c r="D865" s="206"/>
    </row>
    <row r="866">
      <c r="A866" s="629"/>
      <c r="D866" s="206"/>
    </row>
    <row r="867">
      <c r="A867" s="629"/>
      <c r="D867" s="206"/>
    </row>
    <row r="868">
      <c r="A868" s="629"/>
      <c r="D868" s="206"/>
    </row>
    <row r="869">
      <c r="A869" s="629"/>
      <c r="D869" s="206"/>
    </row>
    <row r="870">
      <c r="A870" s="629"/>
      <c r="D870" s="206"/>
    </row>
    <row r="871">
      <c r="A871" s="629"/>
      <c r="D871" s="206"/>
    </row>
    <row r="872">
      <c r="A872" s="629"/>
      <c r="D872" s="206"/>
    </row>
    <row r="873">
      <c r="A873" s="629"/>
      <c r="D873" s="206"/>
    </row>
    <row r="874">
      <c r="A874" s="629"/>
      <c r="D874" s="206"/>
    </row>
    <row r="875">
      <c r="A875" s="629"/>
      <c r="D875" s="206"/>
    </row>
    <row r="876">
      <c r="A876" s="629"/>
      <c r="D876" s="206"/>
    </row>
    <row r="877">
      <c r="A877" s="629"/>
      <c r="D877" s="206"/>
    </row>
    <row r="878">
      <c r="A878" s="629"/>
      <c r="D878" s="206"/>
    </row>
    <row r="879">
      <c r="A879" s="629"/>
      <c r="D879" s="206"/>
    </row>
    <row r="880">
      <c r="A880" s="629"/>
      <c r="D880" s="206"/>
    </row>
    <row r="881">
      <c r="A881" s="629"/>
      <c r="D881" s="206"/>
    </row>
    <row r="882">
      <c r="A882" s="629"/>
      <c r="D882" s="206"/>
    </row>
    <row r="883">
      <c r="A883" s="629"/>
      <c r="D883" s="206"/>
    </row>
    <row r="884">
      <c r="A884" s="629"/>
      <c r="D884" s="206"/>
    </row>
    <row r="885">
      <c r="A885" s="629"/>
      <c r="D885" s="206"/>
    </row>
    <row r="886">
      <c r="A886" s="629"/>
      <c r="D886" s="206"/>
    </row>
    <row r="887">
      <c r="A887" s="629"/>
      <c r="D887" s="206"/>
    </row>
    <row r="888">
      <c r="A888" s="629"/>
      <c r="D888" s="206"/>
    </row>
    <row r="889">
      <c r="A889" s="629"/>
      <c r="D889" s="206"/>
    </row>
    <row r="890">
      <c r="A890" s="629"/>
      <c r="D890" s="206"/>
    </row>
    <row r="891">
      <c r="A891" s="629"/>
      <c r="D891" s="206"/>
    </row>
    <row r="892">
      <c r="A892" s="629"/>
      <c r="D892" s="206"/>
    </row>
    <row r="893">
      <c r="A893" s="629"/>
      <c r="D893" s="206"/>
    </row>
    <row r="894">
      <c r="A894" s="629"/>
      <c r="D894" s="206"/>
    </row>
    <row r="895">
      <c r="A895" s="629"/>
      <c r="D895" s="206"/>
    </row>
    <row r="896">
      <c r="A896" s="629"/>
      <c r="D896" s="206"/>
    </row>
    <row r="897">
      <c r="A897" s="629"/>
      <c r="D897" s="206"/>
    </row>
    <row r="898">
      <c r="A898" s="629"/>
      <c r="D898" s="206"/>
    </row>
    <row r="899">
      <c r="A899" s="629"/>
      <c r="D899" s="206"/>
    </row>
    <row r="900">
      <c r="A900" s="629"/>
      <c r="D900" s="206"/>
    </row>
    <row r="901">
      <c r="A901" s="629"/>
      <c r="D901" s="206"/>
    </row>
    <row r="902">
      <c r="A902" s="629"/>
      <c r="D902" s="206"/>
    </row>
    <row r="903">
      <c r="A903" s="629"/>
      <c r="D903" s="206"/>
    </row>
    <row r="904">
      <c r="A904" s="629"/>
      <c r="D904" s="206"/>
    </row>
    <row r="905">
      <c r="A905" s="629"/>
      <c r="D905" s="206"/>
    </row>
    <row r="906">
      <c r="A906" s="629"/>
      <c r="D906" s="206"/>
    </row>
    <row r="907">
      <c r="A907" s="629"/>
      <c r="D907" s="206"/>
    </row>
    <row r="908">
      <c r="A908" s="629"/>
      <c r="D908" s="206"/>
    </row>
    <row r="909">
      <c r="A909" s="629"/>
      <c r="D909" s="206"/>
    </row>
    <row r="910">
      <c r="A910" s="629"/>
      <c r="D910" s="206"/>
    </row>
    <row r="911">
      <c r="A911" s="629"/>
      <c r="D911" s="206"/>
    </row>
    <row r="912">
      <c r="A912" s="629"/>
      <c r="D912" s="206"/>
    </row>
    <row r="913">
      <c r="A913" s="629"/>
      <c r="D913" s="206"/>
    </row>
    <row r="914">
      <c r="A914" s="629"/>
      <c r="D914" s="206"/>
    </row>
    <row r="915">
      <c r="A915" s="629"/>
      <c r="D915" s="206"/>
    </row>
    <row r="916">
      <c r="A916" s="629"/>
      <c r="D916" s="206"/>
    </row>
    <row r="917">
      <c r="A917" s="629"/>
      <c r="D917" s="206"/>
    </row>
    <row r="918">
      <c r="A918" s="629"/>
      <c r="D918" s="206"/>
    </row>
    <row r="919">
      <c r="A919" s="629"/>
      <c r="D919" s="206"/>
    </row>
    <row r="920">
      <c r="A920" s="629"/>
      <c r="D920" s="206"/>
    </row>
    <row r="921">
      <c r="A921" s="629"/>
      <c r="D921" s="206"/>
    </row>
    <row r="922">
      <c r="A922" s="629"/>
      <c r="D922" s="206"/>
    </row>
    <row r="923">
      <c r="A923" s="629"/>
      <c r="D923" s="206"/>
    </row>
    <row r="924">
      <c r="A924" s="629"/>
      <c r="D924" s="206"/>
    </row>
    <row r="925">
      <c r="A925" s="629"/>
      <c r="D925" s="206"/>
    </row>
    <row r="926">
      <c r="A926" s="629"/>
      <c r="D926" s="206"/>
    </row>
    <row r="927">
      <c r="A927" s="629"/>
      <c r="D927" s="206"/>
    </row>
    <row r="928">
      <c r="A928" s="629"/>
      <c r="D928" s="206"/>
    </row>
    <row r="929">
      <c r="A929" s="629"/>
      <c r="D929" s="206"/>
    </row>
    <row r="930">
      <c r="A930" s="629"/>
      <c r="D930" s="206"/>
    </row>
    <row r="931">
      <c r="A931" s="629"/>
      <c r="D931" s="206"/>
    </row>
    <row r="932">
      <c r="A932" s="629"/>
      <c r="D932" s="206"/>
    </row>
    <row r="933">
      <c r="A933" s="629"/>
      <c r="D933" s="206"/>
    </row>
    <row r="934">
      <c r="A934" s="629"/>
      <c r="D934" s="206"/>
    </row>
    <row r="935">
      <c r="A935" s="629"/>
      <c r="D935" s="206"/>
    </row>
    <row r="936">
      <c r="A936" s="629"/>
      <c r="D936" s="206"/>
    </row>
    <row r="937">
      <c r="A937" s="629"/>
      <c r="D937" s="206"/>
    </row>
    <row r="938">
      <c r="A938" s="629"/>
      <c r="D938" s="206"/>
    </row>
    <row r="939">
      <c r="A939" s="629"/>
      <c r="D939" s="206"/>
    </row>
    <row r="940">
      <c r="A940" s="629"/>
      <c r="D940" s="206"/>
    </row>
    <row r="941">
      <c r="A941" s="629"/>
      <c r="D941" s="206"/>
    </row>
    <row r="942">
      <c r="A942" s="629"/>
      <c r="D942" s="206"/>
    </row>
    <row r="943">
      <c r="A943" s="629"/>
      <c r="D943" s="206"/>
    </row>
    <row r="944">
      <c r="A944" s="629"/>
      <c r="D944" s="206"/>
    </row>
    <row r="945">
      <c r="A945" s="629"/>
      <c r="D945" s="206"/>
    </row>
    <row r="946">
      <c r="A946" s="629"/>
      <c r="D946" s="206"/>
    </row>
    <row r="947">
      <c r="A947" s="629"/>
      <c r="D947" s="206"/>
    </row>
    <row r="948">
      <c r="A948" s="629"/>
      <c r="D948" s="206"/>
    </row>
    <row r="949">
      <c r="A949" s="629"/>
      <c r="D949" s="206"/>
    </row>
    <row r="950">
      <c r="A950" s="629"/>
      <c r="D950" s="206"/>
    </row>
    <row r="951">
      <c r="A951" s="629"/>
      <c r="D951" s="206"/>
    </row>
    <row r="952">
      <c r="A952" s="629"/>
      <c r="D952" s="206"/>
    </row>
    <row r="953">
      <c r="A953" s="629"/>
      <c r="D953" s="206"/>
    </row>
    <row r="954">
      <c r="A954" s="629"/>
      <c r="D954" s="206"/>
    </row>
    <row r="955">
      <c r="A955" s="629"/>
      <c r="D955" s="206"/>
    </row>
    <row r="956">
      <c r="A956" s="629"/>
      <c r="D956" s="206"/>
    </row>
    <row r="957">
      <c r="A957" s="629"/>
      <c r="D957" s="206"/>
    </row>
    <row r="958">
      <c r="A958" s="629"/>
      <c r="D958" s="206"/>
    </row>
    <row r="959">
      <c r="A959" s="629"/>
      <c r="D959" s="206"/>
    </row>
    <row r="960">
      <c r="A960" s="629"/>
      <c r="D960" s="206"/>
    </row>
    <row r="961">
      <c r="A961" s="629"/>
      <c r="D961" s="206"/>
    </row>
    <row r="962">
      <c r="A962" s="629"/>
      <c r="D962" s="206"/>
    </row>
    <row r="963">
      <c r="A963" s="629"/>
      <c r="D963" s="206"/>
    </row>
    <row r="964">
      <c r="A964" s="629"/>
      <c r="D964" s="206"/>
    </row>
    <row r="965">
      <c r="A965" s="629"/>
      <c r="D965" s="206"/>
    </row>
    <row r="966">
      <c r="A966" s="629"/>
      <c r="D966" s="206"/>
    </row>
    <row r="967">
      <c r="A967" s="629"/>
      <c r="D967" s="206"/>
    </row>
    <row r="968">
      <c r="A968" s="629"/>
      <c r="D968" s="206"/>
    </row>
    <row r="969">
      <c r="A969" s="629"/>
      <c r="D969" s="206"/>
    </row>
    <row r="970">
      <c r="A970" s="629"/>
      <c r="D970" s="206"/>
    </row>
    <row r="971">
      <c r="A971" s="629"/>
      <c r="D971" s="206"/>
    </row>
    <row r="972">
      <c r="A972" s="629"/>
      <c r="D972" s="206"/>
    </row>
    <row r="973">
      <c r="A973" s="629"/>
      <c r="D973" s="206"/>
    </row>
    <row r="974">
      <c r="A974" s="629"/>
      <c r="D974" s="206"/>
    </row>
    <row r="975">
      <c r="A975" s="629"/>
      <c r="D975" s="206"/>
    </row>
    <row r="976">
      <c r="A976" s="629"/>
      <c r="D976" s="206"/>
    </row>
    <row r="977">
      <c r="A977" s="629"/>
      <c r="D977" s="206"/>
    </row>
    <row r="978">
      <c r="A978" s="629"/>
      <c r="D978" s="206"/>
    </row>
    <row r="979">
      <c r="A979" s="629"/>
      <c r="D979" s="206"/>
    </row>
    <row r="980">
      <c r="A980" s="629"/>
      <c r="D980" s="206"/>
    </row>
    <row r="981">
      <c r="A981" s="629"/>
      <c r="D981" s="206"/>
    </row>
    <row r="982">
      <c r="A982" s="629"/>
      <c r="D982" s="206"/>
    </row>
    <row r="983">
      <c r="A983" s="629"/>
      <c r="D983" s="206"/>
    </row>
    <row r="984">
      <c r="A984" s="629"/>
      <c r="D984" s="206"/>
    </row>
    <row r="985">
      <c r="A985" s="629"/>
      <c r="D985" s="206"/>
    </row>
    <row r="986">
      <c r="A986" s="629"/>
      <c r="D986" s="206"/>
    </row>
    <row r="987">
      <c r="A987" s="629"/>
      <c r="D987" s="206"/>
    </row>
    <row r="988">
      <c r="A988" s="629"/>
      <c r="D988" s="206"/>
    </row>
    <row r="989">
      <c r="A989" s="629"/>
      <c r="D989" s="206"/>
    </row>
    <row r="990">
      <c r="A990" s="629"/>
      <c r="D990" s="206"/>
    </row>
    <row r="991">
      <c r="A991" s="629"/>
      <c r="D991" s="206"/>
    </row>
    <row r="992">
      <c r="A992" s="629"/>
      <c r="D992" s="206"/>
    </row>
    <row r="993">
      <c r="A993" s="629"/>
      <c r="D993" s="206"/>
    </row>
    <row r="994">
      <c r="A994" s="629"/>
      <c r="D994" s="206"/>
    </row>
    <row r="995">
      <c r="A995" s="629"/>
      <c r="D995" s="206"/>
    </row>
    <row r="996">
      <c r="A996" s="629"/>
      <c r="D996" s="206"/>
    </row>
    <row r="997">
      <c r="A997" s="629"/>
      <c r="D997" s="206"/>
    </row>
    <row r="998">
      <c r="A998" s="629"/>
      <c r="D998" s="206"/>
    </row>
    <row r="999">
      <c r="A999" s="629"/>
      <c r="D999" s="206"/>
    </row>
    <row r="1000">
      <c r="A1000" s="629"/>
      <c r="D1000" s="206"/>
    </row>
  </sheetData>
  <hyperlinks>
    <hyperlink r:id="rId2" ref="A14"/>
  </hyperlinks>
  <drawing r:id="rId3"/>
  <legacy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6" t="s">
        <v>33295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19.0"/>
    <col customWidth="1" min="3" max="3" width="58.88"/>
    <col customWidth="1" min="4" max="4" width="21.75"/>
    <col customWidth="1" min="6" max="6" width="20.75"/>
  </cols>
  <sheetData>
    <row r="1">
      <c r="A1" s="7" t="s">
        <v>431</v>
      </c>
      <c r="C1" s="58"/>
    </row>
    <row r="2">
      <c r="A2" s="71" t="s">
        <v>430</v>
      </c>
      <c r="C2" s="71" t="s">
        <v>33296</v>
      </c>
    </row>
    <row r="3">
      <c r="A3" s="71" t="s">
        <v>431</v>
      </c>
      <c r="C3" s="71" t="s">
        <v>32892</v>
      </c>
    </row>
    <row r="4">
      <c r="A4" s="49" t="s">
        <v>348</v>
      </c>
      <c r="C4" s="71" t="s">
        <v>32881</v>
      </c>
    </row>
    <row r="5">
      <c r="A5" s="71" t="s">
        <v>33297</v>
      </c>
      <c r="C5" s="71" t="s">
        <v>246</v>
      </c>
      <c r="D5" s="7" t="s">
        <v>33298</v>
      </c>
    </row>
    <row r="6">
      <c r="A6" s="71"/>
      <c r="C6" s="541" t="s">
        <v>32955</v>
      </c>
      <c r="F6" s="23"/>
    </row>
    <row r="7">
      <c r="A7" s="71"/>
      <c r="C7" s="7" t="s">
        <v>32620</v>
      </c>
    </row>
    <row r="8">
      <c r="A8" s="71"/>
      <c r="C8" s="58" t="s">
        <v>33299</v>
      </c>
      <c r="F8" s="7" t="s">
        <v>33027</v>
      </c>
    </row>
    <row r="9">
      <c r="A9" s="58" t="s">
        <v>33193</v>
      </c>
      <c r="C9" s="7" t="s">
        <v>32724</v>
      </c>
      <c r="D9" s="7" t="s">
        <v>33300</v>
      </c>
      <c r="E9" s="71"/>
      <c r="F9" s="71" t="s">
        <v>33301</v>
      </c>
      <c r="G9" s="71"/>
      <c r="H9" s="7" t="s">
        <v>32605</v>
      </c>
    </row>
    <row r="10">
      <c r="A10" s="71" t="s">
        <v>33302</v>
      </c>
      <c r="C10" s="71" t="s">
        <v>32718</v>
      </c>
      <c r="D10" s="7" t="s">
        <v>33004</v>
      </c>
      <c r="E10" s="71"/>
      <c r="F10" s="71" t="s">
        <v>33303</v>
      </c>
      <c r="G10" s="71"/>
      <c r="H10" s="7" t="s">
        <v>33304</v>
      </c>
    </row>
    <row r="11">
      <c r="A11" s="71"/>
      <c r="C11" s="71" t="s">
        <v>32840</v>
      </c>
      <c r="D11" s="7" t="s">
        <v>32777</v>
      </c>
      <c r="E11" s="71"/>
      <c r="F11" s="71" t="s">
        <v>32835</v>
      </c>
      <c r="G11" s="71"/>
      <c r="H11" s="7" t="s">
        <v>32370</v>
      </c>
    </row>
    <row r="12">
      <c r="A12" s="71" t="s">
        <v>33305</v>
      </c>
      <c r="C12" s="71" t="s">
        <v>32657</v>
      </c>
      <c r="D12" s="7" t="s">
        <v>32654</v>
      </c>
      <c r="E12" s="71"/>
      <c r="F12" s="71" t="s">
        <v>32823</v>
      </c>
      <c r="G12" s="71"/>
      <c r="H12" s="7" t="s">
        <v>32920</v>
      </c>
    </row>
    <row r="13">
      <c r="A13" s="71" t="s">
        <v>33306</v>
      </c>
      <c r="C13" s="71" t="s">
        <v>32951</v>
      </c>
      <c r="D13" s="7" t="s">
        <v>32941</v>
      </c>
      <c r="E13" s="71"/>
      <c r="F13" s="58" t="s">
        <v>32792</v>
      </c>
      <c r="G13" s="71"/>
      <c r="H13" s="7" t="s">
        <v>32681</v>
      </c>
    </row>
    <row r="14">
      <c r="A14" s="71" t="s">
        <v>33307</v>
      </c>
      <c r="C14" s="71" t="s">
        <v>32829</v>
      </c>
      <c r="D14" s="7" t="s">
        <v>32677</v>
      </c>
      <c r="E14" s="71"/>
      <c r="F14" s="71" t="s">
        <v>32802</v>
      </c>
      <c r="G14" s="71"/>
      <c r="H14" s="7" t="s">
        <v>32762</v>
      </c>
    </row>
    <row r="15">
      <c r="A15" s="71" t="s">
        <v>349</v>
      </c>
      <c r="C15" s="71" t="s">
        <v>33308</v>
      </c>
      <c r="D15" s="7" t="s">
        <v>32678</v>
      </c>
      <c r="E15" s="71"/>
      <c r="F15" s="71" t="s">
        <v>33309</v>
      </c>
      <c r="G15" s="71"/>
      <c r="H15" s="7" t="s">
        <v>32793</v>
      </c>
    </row>
    <row r="16">
      <c r="A16" s="71" t="s">
        <v>352</v>
      </c>
      <c r="C16" s="71" t="s">
        <v>32918</v>
      </c>
      <c r="D16" s="7" t="s">
        <v>32778</v>
      </c>
      <c r="E16" s="71"/>
      <c r="F16" s="71"/>
      <c r="G16" s="71"/>
      <c r="H16" s="7" t="s">
        <v>32811</v>
      </c>
    </row>
    <row r="17">
      <c r="A17" s="71" t="s">
        <v>33310</v>
      </c>
      <c r="C17" s="71"/>
      <c r="E17" s="71"/>
      <c r="F17" s="71"/>
      <c r="G17" s="71"/>
      <c r="H17" s="7" t="s">
        <v>32983</v>
      </c>
    </row>
    <row r="18">
      <c r="A18" s="71" t="s">
        <v>33311</v>
      </c>
      <c r="C18" s="71" t="s">
        <v>32720</v>
      </c>
      <c r="D18" s="7" t="s">
        <v>32911</v>
      </c>
      <c r="E18" s="71"/>
      <c r="F18" s="71"/>
      <c r="G18" s="71"/>
      <c r="H18" s="7" t="s">
        <v>32812</v>
      </c>
    </row>
    <row r="19">
      <c r="A19" s="71"/>
      <c r="C19" s="71" t="s">
        <v>32717</v>
      </c>
      <c r="D19" s="7" t="s">
        <v>32658</v>
      </c>
      <c r="E19" s="71"/>
      <c r="F19" s="71"/>
      <c r="G19" s="71"/>
    </row>
    <row r="20">
      <c r="A20" s="71" t="s">
        <v>30</v>
      </c>
      <c r="C20" s="71" t="s">
        <v>32612</v>
      </c>
      <c r="D20" s="7" t="s">
        <v>32952</v>
      </c>
      <c r="E20" s="71"/>
      <c r="F20" s="71"/>
      <c r="G20" s="71"/>
      <c r="H20" s="7" t="s">
        <v>32624</v>
      </c>
    </row>
    <row r="21">
      <c r="A21" s="71" t="s">
        <v>31</v>
      </c>
      <c r="C21" s="71" t="s">
        <v>32613</v>
      </c>
      <c r="D21" s="7" t="s">
        <v>32830</v>
      </c>
      <c r="E21" s="71"/>
      <c r="F21" s="71"/>
      <c r="G21" s="71"/>
      <c r="H21" s="7" t="s">
        <v>32889</v>
      </c>
    </row>
    <row r="22">
      <c r="A22" s="71" t="s">
        <v>32726</v>
      </c>
      <c r="C22" s="71" t="s">
        <v>32985</v>
      </c>
      <c r="D22" s="7" t="s">
        <v>33312</v>
      </c>
      <c r="E22" s="71"/>
      <c r="F22" s="71"/>
      <c r="G22" s="71"/>
      <c r="H22" s="7" t="s">
        <v>32966</v>
      </c>
    </row>
    <row r="23">
      <c r="A23" s="71" t="s">
        <v>33</v>
      </c>
      <c r="C23" s="71" t="s">
        <v>32986</v>
      </c>
      <c r="D23" s="7" t="s">
        <v>33313</v>
      </c>
      <c r="E23" s="71"/>
      <c r="F23" s="71"/>
      <c r="G23" s="71"/>
      <c r="H23" s="7" t="s">
        <v>32695</v>
      </c>
    </row>
    <row r="24">
      <c r="A24" s="71" t="s">
        <v>34</v>
      </c>
      <c r="C24" s="71" t="s">
        <v>32712</v>
      </c>
      <c r="D24" s="7" t="s">
        <v>33314</v>
      </c>
      <c r="E24" s="71"/>
      <c r="F24" s="71"/>
      <c r="G24" s="71"/>
      <c r="H24" s="7" t="s">
        <v>32965</v>
      </c>
    </row>
    <row r="25">
      <c r="A25" s="71" t="s">
        <v>35</v>
      </c>
      <c r="C25" s="71" t="s">
        <v>32703</v>
      </c>
      <c r="D25" s="7" t="s">
        <v>33315</v>
      </c>
      <c r="E25" s="71"/>
      <c r="F25" s="71" t="s">
        <v>33316</v>
      </c>
      <c r="G25" s="71"/>
      <c r="H25" s="7" t="s">
        <v>32810</v>
      </c>
    </row>
    <row r="26">
      <c r="A26" s="71" t="s">
        <v>36</v>
      </c>
      <c r="C26" s="71" t="s">
        <v>32664</v>
      </c>
      <c r="D26" s="7" t="s">
        <v>33317</v>
      </c>
      <c r="E26" s="71"/>
      <c r="F26" s="71" t="s">
        <v>33318</v>
      </c>
      <c r="G26" s="71"/>
      <c r="H26" s="7" t="s">
        <v>32984</v>
      </c>
    </row>
    <row r="27">
      <c r="A27" s="71" t="s">
        <v>37</v>
      </c>
      <c r="C27" s="71" t="s">
        <v>32655</v>
      </c>
      <c r="D27" s="7" t="s">
        <v>32981</v>
      </c>
      <c r="E27" s="71"/>
      <c r="F27" s="71" t="s">
        <v>33319</v>
      </c>
      <c r="G27" s="71"/>
      <c r="H27" s="7" t="s">
        <v>32813</v>
      </c>
    </row>
    <row r="28">
      <c r="A28" s="71" t="s">
        <v>38</v>
      </c>
      <c r="C28" s="71" t="s">
        <v>32947</v>
      </c>
      <c r="D28" s="7" t="s">
        <v>32615</v>
      </c>
      <c r="E28" s="71"/>
      <c r="F28" s="71" t="s">
        <v>33320</v>
      </c>
      <c r="G28" s="71"/>
      <c r="H28" s="7" t="s">
        <v>32619</v>
      </c>
    </row>
    <row r="29">
      <c r="A29" s="58" t="s">
        <v>39</v>
      </c>
      <c r="C29" s="71" t="s">
        <v>32826</v>
      </c>
      <c r="D29" s="7" t="s">
        <v>32616</v>
      </c>
    </row>
    <row r="30">
      <c r="A30" s="58" t="s">
        <v>40</v>
      </c>
      <c r="C30" s="71" t="s">
        <v>32828</v>
      </c>
      <c r="D30" s="7" t="s">
        <v>32987</v>
      </c>
    </row>
    <row r="31">
      <c r="A31" s="58" t="s">
        <v>41</v>
      </c>
      <c r="C31" s="71" t="s">
        <v>32697</v>
      </c>
      <c r="D31" s="7" t="s">
        <v>32988</v>
      </c>
    </row>
    <row r="32">
      <c r="A32" s="58" t="s">
        <v>42</v>
      </c>
      <c r="C32" s="71" t="s">
        <v>32632</v>
      </c>
      <c r="D32" s="7" t="s">
        <v>32709</v>
      </c>
    </row>
    <row r="33">
      <c r="A33" s="71"/>
      <c r="C33" s="71" t="s">
        <v>32831</v>
      </c>
      <c r="D33" s="7" t="s">
        <v>32614</v>
      </c>
    </row>
    <row r="34">
      <c r="A34" s="58" t="s">
        <v>32820</v>
      </c>
      <c r="C34" s="71" t="s">
        <v>32633</v>
      </c>
      <c r="D34" s="7" t="s">
        <v>32721</v>
      </c>
      <c r="H34" s="677" t="s">
        <v>33321</v>
      </c>
    </row>
    <row r="35">
      <c r="A35" s="58" t="s">
        <v>33322</v>
      </c>
      <c r="C35" s="58" t="s">
        <v>32746</v>
      </c>
      <c r="D35" s="7" t="s">
        <v>32722</v>
      </c>
      <c r="H35" s="7" t="s">
        <v>32742</v>
      </c>
      <c r="I35" s="7" t="s">
        <v>32620</v>
      </c>
      <c r="K35" s="7" t="s">
        <v>32736</v>
      </c>
    </row>
    <row r="36">
      <c r="A36" s="71" t="s">
        <v>35</v>
      </c>
      <c r="C36" s="71" t="s">
        <v>32598</v>
      </c>
      <c r="D36" s="7" t="s">
        <v>32723</v>
      </c>
      <c r="H36" s="7" t="s">
        <v>246</v>
      </c>
      <c r="K36" s="7" t="s">
        <v>32929</v>
      </c>
    </row>
    <row r="37">
      <c r="A37" s="71" t="s">
        <v>32653</v>
      </c>
      <c r="C37" s="71" t="s">
        <v>32747</v>
      </c>
      <c r="D37" s="7" t="s">
        <v>357</v>
      </c>
      <c r="H37" s="7" t="s">
        <v>32874</v>
      </c>
      <c r="K37" s="7" t="s">
        <v>32772</v>
      </c>
    </row>
    <row r="38">
      <c r="A38" s="58" t="s">
        <v>37</v>
      </c>
      <c r="C38" s="71" t="s">
        <v>32965</v>
      </c>
      <c r="D38" s="7" t="s">
        <v>32785</v>
      </c>
      <c r="H38" s="7" t="s">
        <v>32837</v>
      </c>
      <c r="K38" s="7" t="s">
        <v>32930</v>
      </c>
    </row>
    <row r="39">
      <c r="A39" s="58" t="s">
        <v>38</v>
      </c>
      <c r="C39" s="71" t="s">
        <v>32996</v>
      </c>
      <c r="H39" s="7" t="s">
        <v>33323</v>
      </c>
      <c r="K39" s="7" t="s">
        <v>357</v>
      </c>
    </row>
    <row r="40">
      <c r="C40" s="678" t="s">
        <v>32836</v>
      </c>
      <c r="H40" s="7" t="s">
        <v>32676</v>
      </c>
      <c r="K40" s="7" t="s">
        <v>32711</v>
      </c>
    </row>
    <row r="41">
      <c r="A41" s="679" t="s">
        <v>32659</v>
      </c>
      <c r="C41" s="71" t="s">
        <v>32857</v>
      </c>
      <c r="H41" s="7" t="s">
        <v>32887</v>
      </c>
      <c r="K41" s="7" t="s">
        <v>32652</v>
      </c>
    </row>
    <row r="42">
      <c r="A42" s="680"/>
      <c r="C42" s="678" t="s">
        <v>32619</v>
      </c>
      <c r="H42" s="7" t="s">
        <v>33298</v>
      </c>
      <c r="K42" s="7" t="s">
        <v>32598</v>
      </c>
    </row>
    <row r="43">
      <c r="A43" s="198"/>
      <c r="C43" s="678" t="s">
        <v>32980</v>
      </c>
      <c r="H43" s="7" t="s">
        <v>33324</v>
      </c>
      <c r="K43" s="7" t="s">
        <v>32735</v>
      </c>
    </row>
    <row r="44">
      <c r="C44" s="58" t="s">
        <v>32853</v>
      </c>
      <c r="H44" s="7" t="s">
        <v>32938</v>
      </c>
      <c r="K44" s="681" t="s">
        <v>33325</v>
      </c>
    </row>
    <row r="45">
      <c r="C45" s="58" t="s">
        <v>33326</v>
      </c>
      <c r="H45" s="7" t="s">
        <v>32939</v>
      </c>
      <c r="K45" s="7" t="s">
        <v>32893</v>
      </c>
    </row>
    <row r="46">
      <c r="C46" s="58" t="s">
        <v>32634</v>
      </c>
      <c r="E46" s="71"/>
      <c r="H46" s="7" t="s">
        <v>33327</v>
      </c>
      <c r="K46" s="7" t="s">
        <v>32750</v>
      </c>
    </row>
    <row r="47">
      <c r="C47" s="58" t="s">
        <v>33023</v>
      </c>
      <c r="E47" s="71"/>
      <c r="H47" s="7" t="s">
        <v>21560</v>
      </c>
      <c r="K47" s="7" t="s">
        <v>32673</v>
      </c>
    </row>
    <row r="48">
      <c r="C48" s="7" t="s">
        <v>33328</v>
      </c>
      <c r="E48" s="71"/>
      <c r="H48" s="7" t="s">
        <v>33329</v>
      </c>
      <c r="K48" s="7" t="s">
        <v>32662</v>
      </c>
    </row>
    <row r="49">
      <c r="D49" s="7" t="s">
        <v>33330</v>
      </c>
      <c r="E49" s="71"/>
      <c r="H49" s="24" t="s">
        <v>32683</v>
      </c>
      <c r="K49" s="7" t="s">
        <v>32370</v>
      </c>
    </row>
    <row r="50">
      <c r="D50" s="58" t="s">
        <v>33331</v>
      </c>
      <c r="E50" s="71"/>
      <c r="H50" s="24" t="s">
        <v>32908</v>
      </c>
      <c r="K50" s="7" t="s">
        <v>32609</v>
      </c>
    </row>
    <row r="51">
      <c r="D51" s="7" t="s">
        <v>33332</v>
      </c>
      <c r="E51" s="71"/>
      <c r="H51" s="7" t="s">
        <v>30454</v>
      </c>
      <c r="K51" s="7" t="s">
        <v>32730</v>
      </c>
    </row>
    <row r="52">
      <c r="D52" s="7" t="s">
        <v>33333</v>
      </c>
      <c r="E52" s="71"/>
      <c r="H52" s="527" t="s">
        <v>32882</v>
      </c>
      <c r="K52" s="7" t="s">
        <v>32666</v>
      </c>
    </row>
    <row r="53">
      <c r="D53" s="7" t="s">
        <v>33334</v>
      </c>
      <c r="H53" s="7" t="s">
        <v>32603</v>
      </c>
      <c r="K53" s="7" t="s">
        <v>31978</v>
      </c>
    </row>
    <row r="54">
      <c r="D54" s="7" t="s">
        <v>33335</v>
      </c>
      <c r="K54" s="7" t="s">
        <v>33324</v>
      </c>
    </row>
    <row r="55">
      <c r="D55" s="7" t="s">
        <v>33336</v>
      </c>
    </row>
    <row r="56">
      <c r="D56" s="7" t="s">
        <v>33337</v>
      </c>
    </row>
    <row r="57">
      <c r="D57" s="7" t="s">
        <v>33338</v>
      </c>
    </row>
    <row r="59">
      <c r="D59" s="85" t="s">
        <v>33339</v>
      </c>
    </row>
    <row r="60">
      <c r="D60" s="85" t="s">
        <v>33340</v>
      </c>
    </row>
  </sheetData>
  <hyperlinks>
    <hyperlink r:id="rId2" ref="D59"/>
    <hyperlink r:id="rId3" ref="D60"/>
  </hyperlink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465.0"/>
  </cols>
  <sheetData>
    <row r="1">
      <c r="C1" s="7" t="s">
        <v>33341</v>
      </c>
      <c r="D1" s="7" t="s">
        <v>33342</v>
      </c>
      <c r="E1" s="7" t="s">
        <v>33343</v>
      </c>
      <c r="F1" s="7" t="s">
        <v>33344</v>
      </c>
      <c r="G1" s="7" t="s">
        <v>33345</v>
      </c>
      <c r="H1" s="7" t="s">
        <v>33180</v>
      </c>
      <c r="I1" s="7" t="s">
        <v>33346</v>
      </c>
    </row>
    <row r="2">
      <c r="A2" s="7"/>
      <c r="B2" s="7" t="s">
        <v>28827</v>
      </c>
      <c r="C2" s="7" t="s">
        <v>12596</v>
      </c>
      <c r="D2" s="682">
        <v>45258.0</v>
      </c>
      <c r="E2" s="682"/>
      <c r="F2" s="682"/>
      <c r="G2" s="682"/>
      <c r="H2" s="682"/>
      <c r="I2" s="7" t="s">
        <v>33347</v>
      </c>
    </row>
    <row r="3">
      <c r="A3" s="7"/>
      <c r="B3" s="7" t="s">
        <v>27637</v>
      </c>
      <c r="C3" s="7" t="s">
        <v>13114</v>
      </c>
      <c r="D3" s="682">
        <v>45258.0</v>
      </c>
      <c r="E3" s="682"/>
      <c r="F3" s="682"/>
      <c r="G3" s="682"/>
      <c r="H3" s="682"/>
      <c r="I3" s="683" t="s">
        <v>33348</v>
      </c>
    </row>
    <row r="4">
      <c r="A4" s="7"/>
      <c r="B4" s="7" t="s">
        <v>18958</v>
      </c>
      <c r="C4" s="7" t="s">
        <v>13114</v>
      </c>
      <c r="D4" s="682">
        <v>45258.0</v>
      </c>
      <c r="E4" s="682"/>
      <c r="F4" s="682"/>
      <c r="G4" s="682"/>
      <c r="H4" s="682"/>
      <c r="I4" s="684" t="s">
        <v>33349</v>
      </c>
    </row>
    <row r="5">
      <c r="A5" s="7"/>
      <c r="B5" s="7" t="s">
        <v>19058</v>
      </c>
      <c r="C5" s="7" t="s">
        <v>13114</v>
      </c>
      <c r="D5" s="682">
        <v>45258.0</v>
      </c>
      <c r="E5" s="682"/>
      <c r="F5" s="682"/>
      <c r="G5" s="682"/>
      <c r="H5" s="682"/>
      <c r="I5" s="7" t="s">
        <v>33350</v>
      </c>
    </row>
    <row r="6">
      <c r="A6" s="7"/>
      <c r="B6" s="7" t="s">
        <v>20290</v>
      </c>
      <c r="C6" s="7" t="s">
        <v>13114</v>
      </c>
      <c r="D6" s="682">
        <v>45258.0</v>
      </c>
      <c r="E6" s="682"/>
      <c r="F6" s="682"/>
      <c r="G6" s="682"/>
      <c r="H6" s="682"/>
      <c r="I6" s="7" t="s">
        <v>33351</v>
      </c>
    </row>
    <row r="7">
      <c r="A7" s="7"/>
      <c r="B7" s="7" t="s">
        <v>33352</v>
      </c>
      <c r="C7" s="7" t="s">
        <v>12596</v>
      </c>
      <c r="D7" s="682">
        <v>45265.0</v>
      </c>
      <c r="E7" s="682"/>
      <c r="F7" s="682"/>
      <c r="G7" s="682"/>
      <c r="H7" s="682"/>
      <c r="I7" s="7" t="s">
        <v>33353</v>
      </c>
    </row>
    <row r="8">
      <c r="A8" s="7"/>
      <c r="B8" s="7" t="s">
        <v>19112</v>
      </c>
      <c r="C8" s="7" t="s">
        <v>12596</v>
      </c>
      <c r="D8" s="682">
        <v>45265.0</v>
      </c>
      <c r="I8" s="7" t="s">
        <v>33353</v>
      </c>
    </row>
    <row r="9">
      <c r="A9" s="7"/>
      <c r="B9" s="7" t="s">
        <v>33354</v>
      </c>
      <c r="C9" s="7" t="s">
        <v>12596</v>
      </c>
      <c r="D9" s="682">
        <v>45265.0</v>
      </c>
      <c r="I9" s="7" t="s">
        <v>33353</v>
      </c>
    </row>
    <row r="10">
      <c r="A10" s="7"/>
      <c r="B10" s="7" t="s">
        <v>33355</v>
      </c>
      <c r="C10" s="7" t="s">
        <v>12596</v>
      </c>
      <c r="D10" s="682">
        <v>45265.0</v>
      </c>
      <c r="I10" s="7" t="s">
        <v>33353</v>
      </c>
    </row>
    <row r="11">
      <c r="B11" s="7" t="s">
        <v>18884</v>
      </c>
      <c r="C11" s="7" t="s">
        <v>12596</v>
      </c>
      <c r="D11" s="682">
        <v>45265.0</v>
      </c>
      <c r="I11" s="7" t="s">
        <v>33353</v>
      </c>
    </row>
    <row r="12">
      <c r="B12" s="7" t="s">
        <v>18727</v>
      </c>
      <c r="C12" s="7" t="s">
        <v>12596</v>
      </c>
      <c r="I12" s="7" t="s">
        <v>33356</v>
      </c>
    </row>
    <row r="13">
      <c r="B13" s="7" t="s">
        <v>33357</v>
      </c>
      <c r="C13" s="7" t="s">
        <v>12596</v>
      </c>
      <c r="D13" s="682">
        <v>45273.0</v>
      </c>
      <c r="I13" s="7" t="s">
        <v>33358</v>
      </c>
    </row>
    <row r="14">
      <c r="B14" s="7" t="s">
        <v>405</v>
      </c>
      <c r="C14" s="7" t="s">
        <v>13114</v>
      </c>
      <c r="D14" s="682">
        <v>45309.0</v>
      </c>
      <c r="E14" s="7">
        <v>7.36</v>
      </c>
      <c r="I14" s="7" t="s">
        <v>33359</v>
      </c>
    </row>
  </sheetData>
  <hyperlinks>
    <hyperlink r:id="rId1" ref="I3"/>
    <hyperlink r:id="rId2" ref="I4"/>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5.13"/>
    <col customWidth="1" min="3" max="3" width="5.5"/>
    <col customWidth="1" min="4" max="5" width="6.88"/>
    <col customWidth="1" min="6" max="6" width="4.63"/>
    <col customWidth="1" min="7" max="7" width="12.25"/>
    <col customWidth="1" min="8" max="9" width="14.0"/>
    <col customWidth="1" min="10" max="10" width="10.0"/>
    <col customWidth="1" min="11" max="11" width="5.88"/>
    <col customWidth="1" min="12" max="12" width="11.5"/>
    <col customWidth="1" min="13" max="13" width="9.63"/>
    <col customWidth="1" min="14" max="14" width="12.13"/>
    <col customWidth="1" min="15" max="15" width="4.13"/>
    <col customWidth="1" min="16" max="16" width="3.25"/>
    <col customWidth="1" min="17" max="17" width="7.75"/>
    <col customWidth="1" min="18" max="18" width="3.75"/>
    <col customWidth="1" min="19" max="20" width="3.38"/>
    <col customWidth="1" min="21" max="21" width="4.63"/>
    <col customWidth="1" min="22" max="22" width="5.0"/>
    <col customWidth="1" min="23" max="23" width="4.63"/>
    <col customWidth="1" min="24" max="24" width="4.5"/>
    <col customWidth="1" min="25" max="25" width="5.88"/>
    <col customWidth="1" min="26" max="26" width="6.88"/>
    <col customWidth="1" min="27" max="27" width="4.25"/>
    <col customWidth="1" min="28" max="28" width="6.38"/>
    <col customWidth="1" min="29" max="29" width="8.0"/>
    <col customWidth="1" min="30" max="30" width="7.88"/>
    <col customWidth="1" min="31" max="31" width="5.5"/>
  </cols>
  <sheetData>
    <row r="1">
      <c r="A1" s="58" t="s">
        <v>33360</v>
      </c>
      <c r="B1" s="71" t="s">
        <v>18</v>
      </c>
      <c r="C1" s="71" t="s">
        <v>19</v>
      </c>
      <c r="D1" s="71" t="s">
        <v>20</v>
      </c>
      <c r="E1" s="71" t="s">
        <v>21</v>
      </c>
      <c r="F1" s="71" t="s">
        <v>13</v>
      </c>
      <c r="G1" s="71" t="s">
        <v>22</v>
      </c>
      <c r="H1" s="71" t="s">
        <v>23</v>
      </c>
      <c r="I1" s="71" t="s">
        <v>24</v>
      </c>
      <c r="J1" s="71" t="s">
        <v>25</v>
      </c>
      <c r="K1" s="71" t="s">
        <v>26</v>
      </c>
      <c r="L1" s="71" t="s">
        <v>27</v>
      </c>
      <c r="M1" s="71" t="s">
        <v>28</v>
      </c>
      <c r="N1" s="71" t="s">
        <v>29</v>
      </c>
      <c r="O1" s="71" t="s">
        <v>30</v>
      </c>
      <c r="P1" s="71" t="s">
        <v>31</v>
      </c>
      <c r="Q1" s="71" t="s">
        <v>32</v>
      </c>
      <c r="R1" s="71" t="s">
        <v>33</v>
      </c>
      <c r="S1" s="71" t="s">
        <v>34</v>
      </c>
      <c r="T1" s="71" t="s">
        <v>35</v>
      </c>
      <c r="U1" s="71" t="s">
        <v>36</v>
      </c>
      <c r="V1" s="71" t="s">
        <v>37</v>
      </c>
      <c r="W1" s="71" t="s">
        <v>38</v>
      </c>
      <c r="X1" s="71" t="s">
        <v>39</v>
      </c>
      <c r="Y1" s="71" t="s">
        <v>40</v>
      </c>
      <c r="Z1" s="71" t="s">
        <v>41</v>
      </c>
      <c r="AA1" s="71" t="s">
        <v>42</v>
      </c>
      <c r="AB1" s="71" t="s">
        <v>43</v>
      </c>
      <c r="AC1" s="71" t="s">
        <v>44</v>
      </c>
      <c r="AD1" s="71" t="s">
        <v>45</v>
      </c>
      <c r="AE1" s="71" t="s">
        <v>46</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s>
  <sheetData>
    <row r="1">
      <c r="A1" s="24" t="s">
        <v>215</v>
      </c>
    </row>
    <row r="2">
      <c r="A2" s="636"/>
    </row>
    <row r="3">
      <c r="A3" s="638"/>
    </row>
    <row r="4">
      <c r="A4" s="636"/>
    </row>
    <row r="5">
      <c r="A5" s="636"/>
    </row>
    <row r="6">
      <c r="A6" s="636"/>
    </row>
    <row r="7">
      <c r="A7" s="636"/>
    </row>
    <row r="8">
      <c r="A8" s="24"/>
      <c r="B8" s="45"/>
      <c r="C8" s="45" t="s">
        <v>33</v>
      </c>
      <c r="D8" s="45" t="s">
        <v>34</v>
      </c>
      <c r="E8" s="45" t="s">
        <v>35</v>
      </c>
      <c r="F8" s="45" t="s">
        <v>36</v>
      </c>
      <c r="G8" s="45" t="s">
        <v>37</v>
      </c>
      <c r="H8" s="45" t="s">
        <v>38</v>
      </c>
      <c r="I8" s="45" t="s">
        <v>39</v>
      </c>
      <c r="J8" s="45" t="s">
        <v>40</v>
      </c>
      <c r="K8" s="45" t="s">
        <v>41</v>
      </c>
      <c r="L8" s="45" t="s">
        <v>42</v>
      </c>
      <c r="M8" s="45" t="s">
        <v>43</v>
      </c>
      <c r="N8" s="45" t="s">
        <v>44</v>
      </c>
      <c r="O8" s="45" t="s">
        <v>45</v>
      </c>
      <c r="P8" s="45" t="s">
        <v>46</v>
      </c>
    </row>
    <row r="9">
      <c r="A9" s="636"/>
    </row>
    <row r="10">
      <c r="A10" s="24"/>
      <c r="Q10" s="685"/>
    </row>
    <row r="11">
      <c r="A11" s="636"/>
    </row>
    <row r="12">
      <c r="A12" s="636"/>
    </row>
    <row r="13">
      <c r="A13" s="636"/>
    </row>
    <row r="14">
      <c r="A14" s="636"/>
    </row>
    <row r="15">
      <c r="A15" s="636"/>
    </row>
    <row r="16">
      <c r="A16" s="636"/>
    </row>
    <row r="17">
      <c r="A17" s="24" t="s">
        <v>33361</v>
      </c>
    </row>
    <row r="18">
      <c r="A18" s="24" t="s">
        <v>31</v>
      </c>
      <c r="E18" s="233"/>
    </row>
    <row r="19">
      <c r="A19" s="24" t="s">
        <v>32913</v>
      </c>
      <c r="E19" s="233"/>
    </row>
    <row r="20">
      <c r="A20" s="24" t="s">
        <v>32</v>
      </c>
      <c r="E20" s="233"/>
    </row>
    <row r="21">
      <c r="A21" s="24" t="s">
        <v>33</v>
      </c>
      <c r="E21" s="233"/>
    </row>
    <row r="22">
      <c r="A22" s="24" t="s">
        <v>34</v>
      </c>
      <c r="E22" s="233"/>
    </row>
    <row r="23">
      <c r="A23" s="24" t="s">
        <v>35</v>
      </c>
    </row>
    <row r="24">
      <c r="A24" s="24" t="s">
        <v>36</v>
      </c>
    </row>
    <row r="25">
      <c r="A25" s="24" t="s">
        <v>37</v>
      </c>
    </row>
    <row r="26">
      <c r="A26" s="24" t="s">
        <v>38</v>
      </c>
    </row>
    <row r="27">
      <c r="A27" s="24" t="s">
        <v>39</v>
      </c>
    </row>
    <row r="28">
      <c r="A28" s="24" t="s">
        <v>32578</v>
      </c>
    </row>
    <row r="29">
      <c r="A29" s="636"/>
    </row>
    <row r="30">
      <c r="A30" s="636"/>
    </row>
    <row r="31">
      <c r="A31" s="636"/>
    </row>
    <row r="32">
      <c r="A32" s="636"/>
    </row>
    <row r="33">
      <c r="A33" s="636"/>
    </row>
    <row r="34">
      <c r="A34" s="24"/>
    </row>
    <row r="35">
      <c r="A35" s="686"/>
    </row>
    <row r="36">
      <c r="A36" s="24"/>
    </row>
    <row r="37">
      <c r="A37" s="527"/>
    </row>
    <row r="38">
      <c r="A38" s="7"/>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38"/>
    <col customWidth="1" min="2" max="2" width="7.5"/>
    <col customWidth="1" min="3" max="3" width="58.75"/>
  </cols>
  <sheetData>
    <row r="1">
      <c r="A1" s="110" t="s">
        <v>430</v>
      </c>
      <c r="B1" s="111" t="s">
        <v>346</v>
      </c>
      <c r="C1" s="112" t="s">
        <v>431</v>
      </c>
      <c r="D1" s="113" t="s">
        <v>348</v>
      </c>
    </row>
    <row r="2">
      <c r="A2" s="122" t="s">
        <v>13475</v>
      </c>
      <c r="B2" s="123">
        <v>1793497.0</v>
      </c>
      <c r="C2" s="687" t="s">
        <v>13476</v>
      </c>
      <c r="D2" s="125"/>
    </row>
    <row r="3">
      <c r="A3" s="122" t="s">
        <v>8534</v>
      </c>
      <c r="B3" s="123">
        <v>1084869.0</v>
      </c>
      <c r="C3" s="687" t="s">
        <v>8535</v>
      </c>
      <c r="D3" s="125"/>
    </row>
    <row r="4">
      <c r="A4" s="122" t="s">
        <v>8775</v>
      </c>
      <c r="B4" s="123">
        <v>1848948.0</v>
      </c>
      <c r="C4" s="687" t="s">
        <v>8776</v>
      </c>
      <c r="D4" s="125"/>
    </row>
    <row r="5">
      <c r="A5" s="122" t="s">
        <v>13781</v>
      </c>
      <c r="B5" s="123">
        <v>1770787.0</v>
      </c>
      <c r="C5" s="687" t="s">
        <v>13782</v>
      </c>
      <c r="D5" s="125"/>
    </row>
    <row r="6">
      <c r="A6" s="122" t="s">
        <v>4285</v>
      </c>
      <c r="B6" s="123">
        <v>1738906.0</v>
      </c>
      <c r="C6" s="687" t="s">
        <v>4286</v>
      </c>
      <c r="D6" s="125"/>
    </row>
    <row r="7">
      <c r="A7" s="122" t="s">
        <v>33362</v>
      </c>
      <c r="B7" s="123">
        <v>1627611.0</v>
      </c>
      <c r="C7" s="687" t="s">
        <v>33363</v>
      </c>
      <c r="D7" s="125"/>
    </row>
    <row r="8">
      <c r="A8" s="122" t="s">
        <v>4776</v>
      </c>
      <c r="B8" s="123">
        <v>1821468.0</v>
      </c>
      <c r="C8" s="687" t="s">
        <v>4777</v>
      </c>
      <c r="D8" s="125"/>
    </row>
    <row r="9">
      <c r="A9" s="122" t="s">
        <v>6066</v>
      </c>
      <c r="B9" s="123">
        <v>893739.0</v>
      </c>
      <c r="C9" s="687" t="s">
        <v>6067</v>
      </c>
      <c r="D9" s="125"/>
    </row>
    <row r="10">
      <c r="A10" s="122" t="s">
        <v>33364</v>
      </c>
      <c r="B10" s="123">
        <v>1690080.0</v>
      </c>
      <c r="C10" s="687" t="s">
        <v>33365</v>
      </c>
      <c r="D10" s="125"/>
    </row>
    <row r="11">
      <c r="A11" s="122" t="s">
        <v>2291</v>
      </c>
      <c r="B11" s="123">
        <v>1690080.0</v>
      </c>
      <c r="C11" s="687" t="s">
        <v>2292</v>
      </c>
      <c r="D11" s="125"/>
    </row>
    <row r="12">
      <c r="A12" s="122" t="s">
        <v>33366</v>
      </c>
      <c r="B12" s="123">
        <v>884380.0</v>
      </c>
      <c r="C12" s="687" t="s">
        <v>33367</v>
      </c>
      <c r="D12" s="125"/>
    </row>
    <row r="13">
      <c r="A13" s="122" t="s">
        <v>4299</v>
      </c>
      <c r="B13" s="123">
        <v>1599407.0</v>
      </c>
      <c r="C13" s="687" t="s">
        <v>4300</v>
      </c>
      <c r="D13" s="125"/>
    </row>
    <row r="14">
      <c r="A14" s="122" t="s">
        <v>7727</v>
      </c>
      <c r="B14" s="123">
        <v>1847360.0</v>
      </c>
      <c r="C14" s="687" t="s">
        <v>7728</v>
      </c>
      <c r="D14" s="125"/>
    </row>
    <row r="15">
      <c r="A15" s="122" t="s">
        <v>615</v>
      </c>
      <c r="B15" s="123">
        <v>1706145.0</v>
      </c>
      <c r="C15" s="687" t="s">
        <v>616</v>
      </c>
      <c r="D15" s="125"/>
    </row>
    <row r="16">
      <c r="A16" s="122" t="s">
        <v>14120</v>
      </c>
      <c r="B16" s="123">
        <v>34782.0</v>
      </c>
      <c r="C16" s="687" t="s">
        <v>14121</v>
      </c>
      <c r="D16" s="125"/>
    </row>
    <row r="17">
      <c r="A17" s="122" t="s">
        <v>6380</v>
      </c>
      <c r="B17" s="123">
        <v>1600641.0</v>
      </c>
      <c r="C17" s="687" t="s">
        <v>6381</v>
      </c>
      <c r="D17" s="125"/>
    </row>
    <row r="18">
      <c r="A18" s="122" t="s">
        <v>2227</v>
      </c>
      <c r="B18" s="123">
        <v>1347858.0</v>
      </c>
      <c r="C18" s="687" t="s">
        <v>2228</v>
      </c>
      <c r="D18" s="125"/>
    </row>
    <row r="19">
      <c r="A19" s="122" t="s">
        <v>3331</v>
      </c>
      <c r="B19" s="123">
        <v>1804591.0</v>
      </c>
      <c r="C19" s="687" t="s">
        <v>3332</v>
      </c>
      <c r="D19" s="125"/>
    </row>
    <row r="20">
      <c r="A20" s="122" t="s">
        <v>33368</v>
      </c>
      <c r="B20" s="123">
        <v>1569568.0</v>
      </c>
      <c r="C20" s="687" t="s">
        <v>33369</v>
      </c>
      <c r="D20" s="125"/>
    </row>
    <row r="21">
      <c r="A21" s="122" t="s">
        <v>15313</v>
      </c>
      <c r="B21" s="123">
        <v>1877934.0</v>
      </c>
      <c r="C21" s="687" t="s">
        <v>15314</v>
      </c>
      <c r="D21" s="125"/>
    </row>
    <row r="22">
      <c r="A22" s="122" t="s">
        <v>6674</v>
      </c>
      <c r="B22" s="123">
        <v>1860782.0</v>
      </c>
      <c r="C22" s="687" t="s">
        <v>6675</v>
      </c>
      <c r="D22" s="125"/>
    </row>
    <row r="23">
      <c r="A23" s="122" t="s">
        <v>3478</v>
      </c>
      <c r="B23" s="123">
        <v>1459417.0</v>
      </c>
      <c r="C23" s="687" t="s">
        <v>3479</v>
      </c>
      <c r="D23" s="125"/>
    </row>
    <row r="24">
      <c r="A24" s="122" t="s">
        <v>9698</v>
      </c>
      <c r="B24" s="123">
        <v>1793497.0</v>
      </c>
      <c r="C24" s="687" t="s">
        <v>9699</v>
      </c>
      <c r="D24" s="125"/>
    </row>
    <row r="25">
      <c r="A25" s="122" t="s">
        <v>2965</v>
      </c>
      <c r="B25" s="123">
        <v>1779476.0</v>
      </c>
      <c r="C25" s="687" t="s">
        <v>2966</v>
      </c>
      <c r="D25" s="125"/>
    </row>
    <row r="26">
      <c r="A26" s="122" t="s">
        <v>1723</v>
      </c>
      <c r="B26" s="123">
        <v>825171.0</v>
      </c>
      <c r="C26" s="687" t="s">
        <v>1724</v>
      </c>
      <c r="D26" s="125"/>
    </row>
    <row r="27">
      <c r="A27" s="122" t="s">
        <v>4106</v>
      </c>
      <c r="B27" s="123">
        <v>933972.0</v>
      </c>
      <c r="C27" s="687" t="s">
        <v>4107</v>
      </c>
      <c r="D27" s="125"/>
    </row>
    <row r="28">
      <c r="A28" s="122" t="s">
        <v>33370</v>
      </c>
      <c r="B28" s="123">
        <v>1556753.0</v>
      </c>
      <c r="C28" s="687" t="s">
        <v>33371</v>
      </c>
      <c r="D28" s="125"/>
    </row>
    <row r="29">
      <c r="A29" s="122" t="s">
        <v>6464</v>
      </c>
      <c r="B29" s="123">
        <v>910638.0</v>
      </c>
      <c r="C29" s="687" t="s">
        <v>6465</v>
      </c>
      <c r="D29" s="125"/>
    </row>
    <row r="30">
      <c r="A30" s="122" t="s">
        <v>15299</v>
      </c>
      <c r="B30" s="123">
        <v>66740.0</v>
      </c>
      <c r="C30" s="687" t="s">
        <v>15300</v>
      </c>
      <c r="D30" s="125"/>
    </row>
    <row r="31">
      <c r="A31" s="122" t="s">
        <v>10934</v>
      </c>
      <c r="B31" s="123">
        <v>1650648.0</v>
      </c>
      <c r="C31" s="687" t="s">
        <v>10935</v>
      </c>
      <c r="D31" s="125"/>
    </row>
    <row r="32">
      <c r="A32" s="122" t="s">
        <v>1948</v>
      </c>
      <c r="B32" s="123">
        <v>1783875.0</v>
      </c>
      <c r="C32" s="687" t="s">
        <v>1949</v>
      </c>
      <c r="D32" s="125"/>
    </row>
    <row r="33">
      <c r="A33" s="122" t="s">
        <v>7307</v>
      </c>
      <c r="B33" s="123">
        <v>1659494.0</v>
      </c>
      <c r="C33" s="687" t="s">
        <v>7308</v>
      </c>
      <c r="D33" s="125"/>
    </row>
    <row r="34">
      <c r="A34" s="122" t="s">
        <v>4166</v>
      </c>
      <c r="B34" s="123">
        <v>1888654.0</v>
      </c>
      <c r="C34" s="687" t="s">
        <v>4167</v>
      </c>
      <c r="D34" s="125"/>
    </row>
    <row r="35">
      <c r="A35" s="122" t="s">
        <v>33372</v>
      </c>
      <c r="B35" s="123">
        <v>1467913.0</v>
      </c>
      <c r="C35" s="687" t="s">
        <v>33373</v>
      </c>
      <c r="D35" s="125"/>
    </row>
    <row r="36">
      <c r="A36" s="122" t="s">
        <v>8319</v>
      </c>
      <c r="B36" s="123">
        <v>1785173.0</v>
      </c>
      <c r="C36" s="687" t="s">
        <v>8320</v>
      </c>
      <c r="D36" s="125"/>
    </row>
    <row r="37">
      <c r="A37" s="122" t="s">
        <v>5527</v>
      </c>
      <c r="B37" s="123">
        <v>1023731.0</v>
      </c>
      <c r="C37" s="687" t="s">
        <v>5528</v>
      </c>
      <c r="D37" s="125"/>
    </row>
    <row r="38">
      <c r="A38" s="122" t="s">
        <v>7384</v>
      </c>
      <c r="B38" s="123">
        <v>1555279.0</v>
      </c>
      <c r="C38" s="687" t="s">
        <v>7385</v>
      </c>
      <c r="D38" s="125"/>
    </row>
    <row r="39">
      <c r="A39" s="122" t="s">
        <v>5197</v>
      </c>
      <c r="B39" s="123">
        <v>1619544.0</v>
      </c>
      <c r="C39" s="687" t="s">
        <v>5198</v>
      </c>
      <c r="D39" s="125"/>
    </row>
    <row r="40">
      <c r="A40" s="122" t="s">
        <v>761</v>
      </c>
      <c r="B40" s="123">
        <v>1713539.0</v>
      </c>
      <c r="C40" s="687" t="s">
        <v>762</v>
      </c>
      <c r="D40" s="125"/>
    </row>
    <row r="41">
      <c r="A41" s="122" t="s">
        <v>14962</v>
      </c>
      <c r="B41" s="123">
        <v>91142.0</v>
      </c>
      <c r="C41" s="687" t="s">
        <v>14963</v>
      </c>
      <c r="D41" s="125"/>
    </row>
    <row r="42">
      <c r="A42" s="122" t="s">
        <v>9048</v>
      </c>
      <c r="B42" s="123">
        <v>1868775.0</v>
      </c>
      <c r="C42" s="687" t="s">
        <v>961</v>
      </c>
      <c r="D42" s="125"/>
    </row>
    <row r="43">
      <c r="A43" s="122" t="s">
        <v>960</v>
      </c>
      <c r="B43" s="123">
        <v>1868775.0</v>
      </c>
      <c r="C43" s="687" t="s">
        <v>961</v>
      </c>
      <c r="D43" s="125"/>
    </row>
    <row r="44">
      <c r="A44" s="122" t="s">
        <v>8950</v>
      </c>
      <c r="B44" s="123">
        <v>1868775.0</v>
      </c>
      <c r="C44" s="687" t="s">
        <v>8951</v>
      </c>
      <c r="D44" s="125"/>
    </row>
    <row r="45">
      <c r="A45" s="122" t="s">
        <v>992</v>
      </c>
      <c r="B45" s="123">
        <v>1876716.0</v>
      </c>
      <c r="C45" s="687" t="s">
        <v>993</v>
      </c>
      <c r="D45" s="125"/>
    </row>
    <row r="46">
      <c r="A46" s="122" t="s">
        <v>8888</v>
      </c>
      <c r="B46" s="123">
        <v>1876716.0</v>
      </c>
      <c r="C46" s="687" t="s">
        <v>8889</v>
      </c>
      <c r="D46" s="125"/>
    </row>
    <row r="47">
      <c r="A47" s="122" t="s">
        <v>12572</v>
      </c>
      <c r="B47" s="123">
        <v>1591588.0</v>
      </c>
      <c r="C47" s="687" t="s">
        <v>12573</v>
      </c>
      <c r="D47" s="125"/>
    </row>
    <row r="48">
      <c r="A48" s="122" t="s">
        <v>753</v>
      </c>
      <c r="B48" s="123">
        <v>1432290.0</v>
      </c>
      <c r="C48" s="687" t="s">
        <v>754</v>
      </c>
      <c r="D48" s="125"/>
    </row>
    <row r="49">
      <c r="A49" s="122" t="s">
        <v>9931</v>
      </c>
      <c r="B49" s="123">
        <v>1580808.0</v>
      </c>
      <c r="C49" s="687" t="s">
        <v>9932</v>
      </c>
      <c r="D49" s="125"/>
    </row>
    <row r="50">
      <c r="A50" s="122" t="s">
        <v>3941</v>
      </c>
      <c r="B50" s="123">
        <v>1866030.0</v>
      </c>
      <c r="C50" s="687" t="s">
        <v>3942</v>
      </c>
      <c r="D50" s="125"/>
    </row>
    <row r="51">
      <c r="A51" s="122" t="s">
        <v>4613</v>
      </c>
      <c r="B51" s="123">
        <v>1422142.0</v>
      </c>
      <c r="C51" s="687" t="s">
        <v>4614</v>
      </c>
      <c r="D51" s="125"/>
    </row>
    <row r="52">
      <c r="A52" s="122" t="s">
        <v>14847</v>
      </c>
      <c r="B52" s="123">
        <v>824142.0</v>
      </c>
      <c r="C52" s="687" t="s">
        <v>14848</v>
      </c>
      <c r="D52" s="125"/>
    </row>
    <row r="53">
      <c r="A53" s="122" t="s">
        <v>14526</v>
      </c>
      <c r="B53" s="123">
        <v>1750.0</v>
      </c>
      <c r="C53" s="687" t="s">
        <v>14527</v>
      </c>
      <c r="D53" s="125"/>
    </row>
    <row r="54">
      <c r="A54" s="122" t="s">
        <v>8392</v>
      </c>
      <c r="B54" s="123">
        <v>1821393.0</v>
      </c>
      <c r="C54" s="687" t="s">
        <v>8393</v>
      </c>
      <c r="D54" s="125"/>
    </row>
    <row r="55">
      <c r="A55" s="122" t="s">
        <v>33374</v>
      </c>
      <c r="B55" s="123">
        <v>1605331.0</v>
      </c>
      <c r="C55" s="687" t="s">
        <v>33375</v>
      </c>
      <c r="D55" s="125"/>
    </row>
    <row r="56">
      <c r="A56" s="122" t="s">
        <v>864</v>
      </c>
      <c r="B56" s="123">
        <v>1284237.0</v>
      </c>
      <c r="C56" s="687" t="s">
        <v>865</v>
      </c>
      <c r="D56" s="125"/>
    </row>
    <row r="57">
      <c r="A57" s="122" t="s">
        <v>13796</v>
      </c>
      <c r="B57" s="123">
        <v>1091587.0</v>
      </c>
      <c r="C57" s="687" t="s">
        <v>13797</v>
      </c>
      <c r="D57" s="125"/>
    </row>
    <row r="58">
      <c r="A58" s="122" t="s">
        <v>15540</v>
      </c>
      <c r="B58" s="123">
        <v>1800.0</v>
      </c>
      <c r="C58" s="687" t="s">
        <v>15541</v>
      </c>
      <c r="D58" s="125"/>
    </row>
    <row r="59">
      <c r="A59" s="122" t="s">
        <v>16000</v>
      </c>
      <c r="B59" s="123">
        <v>1551152.0</v>
      </c>
      <c r="C59" s="687" t="s">
        <v>16001</v>
      </c>
      <c r="D59" s="125"/>
    </row>
    <row r="60">
      <c r="A60" s="122" t="s">
        <v>11804</v>
      </c>
      <c r="B60" s="123">
        <v>1492074.0</v>
      </c>
      <c r="C60" s="687" t="s">
        <v>11805</v>
      </c>
      <c r="D60" s="125"/>
    </row>
    <row r="61">
      <c r="A61" s="122" t="s">
        <v>6567</v>
      </c>
      <c r="B61" s="123">
        <v>1703057.0</v>
      </c>
      <c r="C61" s="687" t="s">
        <v>6568</v>
      </c>
      <c r="D61" s="125"/>
    </row>
    <row r="62">
      <c r="A62" s="122" t="s">
        <v>33376</v>
      </c>
      <c r="B62" s="123">
        <v>1300938.0</v>
      </c>
      <c r="C62" s="687" t="s">
        <v>33377</v>
      </c>
      <c r="D62" s="125"/>
    </row>
    <row r="63">
      <c r="A63" s="122" t="s">
        <v>1569</v>
      </c>
      <c r="B63" s="123">
        <v>873612.0</v>
      </c>
      <c r="C63" s="687" t="s">
        <v>1570</v>
      </c>
      <c r="D63" s="125"/>
    </row>
    <row r="64">
      <c r="A64" s="122" t="s">
        <v>6273</v>
      </c>
      <c r="B64" s="123">
        <v>318306.0</v>
      </c>
      <c r="C64" s="687" t="s">
        <v>6274</v>
      </c>
      <c r="D64" s="125"/>
    </row>
    <row r="65">
      <c r="A65" s="122" t="s">
        <v>15504</v>
      </c>
      <c r="B65" s="123">
        <v>1018840.0</v>
      </c>
      <c r="C65" s="687" t="s">
        <v>15505</v>
      </c>
      <c r="D65" s="125"/>
    </row>
    <row r="66">
      <c r="A66" s="122" t="s">
        <v>33378</v>
      </c>
      <c r="B66" s="123">
        <v>1652866.0</v>
      </c>
      <c r="C66" s="687" t="s">
        <v>33379</v>
      </c>
      <c r="D66" s="125"/>
    </row>
    <row r="67">
      <c r="A67" s="122" t="s">
        <v>1018</v>
      </c>
      <c r="B67" s="123">
        <v>829365.0</v>
      </c>
      <c r="C67" s="687" t="s">
        <v>1019</v>
      </c>
      <c r="D67" s="125"/>
    </row>
    <row r="68">
      <c r="A68" s="122" t="s">
        <v>13654</v>
      </c>
      <c r="B68" s="123">
        <v>771497.0</v>
      </c>
      <c r="C68" s="687" t="s">
        <v>13655</v>
      </c>
      <c r="D68" s="125"/>
    </row>
    <row r="69">
      <c r="A69" s="122" t="s">
        <v>7817</v>
      </c>
      <c r="B69" s="123">
        <v>1370418.0</v>
      </c>
      <c r="C69" s="687" t="s">
        <v>7818</v>
      </c>
      <c r="D69" s="125"/>
    </row>
    <row r="70">
      <c r="A70" s="122" t="s">
        <v>5277</v>
      </c>
      <c r="B70" s="123">
        <v>790500.0</v>
      </c>
      <c r="C70" s="687" t="s">
        <v>5278</v>
      </c>
      <c r="D70" s="125"/>
    </row>
    <row r="71">
      <c r="A71" s="122" t="s">
        <v>6181</v>
      </c>
      <c r="B71" s="123">
        <v>779336.0</v>
      </c>
      <c r="C71" s="687" t="s">
        <v>6182</v>
      </c>
      <c r="D71" s="125"/>
    </row>
    <row r="72">
      <c r="A72" s="122" t="s">
        <v>6476</v>
      </c>
      <c r="B72" s="123">
        <v>846676.0</v>
      </c>
      <c r="C72" s="687" t="s">
        <v>6477</v>
      </c>
      <c r="D72" s="125"/>
    </row>
    <row r="73">
      <c r="A73" s="122" t="s">
        <v>8093</v>
      </c>
      <c r="B73" s="123">
        <v>1362481.0</v>
      </c>
      <c r="C73" s="687" t="s">
        <v>8094</v>
      </c>
      <c r="D73" s="125"/>
    </row>
    <row r="74">
      <c r="A74" s="122" t="s">
        <v>6669</v>
      </c>
      <c r="B74" s="123">
        <v>876717.0</v>
      </c>
      <c r="C74" s="687" t="s">
        <v>6670</v>
      </c>
      <c r="D74" s="125"/>
    </row>
    <row r="75">
      <c r="A75" s="122" t="s">
        <v>5883</v>
      </c>
      <c r="B75" s="123">
        <v>1390195.0</v>
      </c>
      <c r="C75" s="687" t="s">
        <v>5884</v>
      </c>
      <c r="D75" s="125"/>
    </row>
    <row r="76">
      <c r="A76" s="122" t="s">
        <v>10901</v>
      </c>
      <c r="B76" s="123">
        <v>805267.0</v>
      </c>
      <c r="C76" s="687" t="s">
        <v>10902</v>
      </c>
      <c r="D76" s="125"/>
    </row>
    <row r="77">
      <c r="A77" s="122" t="s">
        <v>11129</v>
      </c>
      <c r="B77" s="123">
        <v>1604522.0</v>
      </c>
      <c r="C77" s="687" t="s">
        <v>11130</v>
      </c>
      <c r="D77" s="125"/>
    </row>
    <row r="78">
      <c r="A78" s="122" t="s">
        <v>7270</v>
      </c>
      <c r="B78" s="123">
        <v>1503290.0</v>
      </c>
      <c r="C78" s="687" t="s">
        <v>7271</v>
      </c>
      <c r="D78" s="125"/>
    </row>
    <row r="79">
      <c r="A79" s="122" t="s">
        <v>6989</v>
      </c>
      <c r="B79" s="123">
        <v>866095.0</v>
      </c>
      <c r="C79" s="687" t="s">
        <v>6990</v>
      </c>
      <c r="D79" s="125"/>
    </row>
    <row r="80">
      <c r="A80" s="122" t="s">
        <v>10137</v>
      </c>
      <c r="B80" s="123">
        <v>884121.0</v>
      </c>
      <c r="C80" s="687" t="s">
        <v>10138</v>
      </c>
      <c r="D80" s="125"/>
    </row>
    <row r="81">
      <c r="A81" s="122" t="s">
        <v>8454</v>
      </c>
      <c r="B81" s="123">
        <v>895574.0</v>
      </c>
      <c r="C81" s="687" t="s">
        <v>8455</v>
      </c>
      <c r="D81" s="125"/>
    </row>
    <row r="82">
      <c r="A82" s="122" t="s">
        <v>11323</v>
      </c>
      <c r="B82" s="123">
        <v>1450923.0</v>
      </c>
      <c r="C82" s="687" t="s">
        <v>11324</v>
      </c>
      <c r="D82" s="125"/>
    </row>
    <row r="83">
      <c r="A83" s="122" t="s">
        <v>15158</v>
      </c>
      <c r="B83" s="123">
        <v>1459862.0</v>
      </c>
      <c r="C83" s="687" t="s">
        <v>15159</v>
      </c>
      <c r="D83" s="125"/>
    </row>
    <row r="84">
      <c r="A84" s="122" t="s">
        <v>15044</v>
      </c>
      <c r="B84" s="123">
        <v>1460235.0</v>
      </c>
      <c r="C84" s="687" t="s">
        <v>15045</v>
      </c>
      <c r="D84" s="125"/>
    </row>
    <row r="85">
      <c r="A85" s="122" t="s">
        <v>15177</v>
      </c>
      <c r="B85" s="123">
        <v>1483386.0</v>
      </c>
      <c r="C85" s="687" t="s">
        <v>15178</v>
      </c>
      <c r="D85" s="125"/>
    </row>
    <row r="86">
      <c r="A86" s="122" t="s">
        <v>11703</v>
      </c>
      <c r="B86" s="123">
        <v>1450922.0</v>
      </c>
      <c r="C86" s="687" t="s">
        <v>11704</v>
      </c>
      <c r="D86" s="125"/>
    </row>
    <row r="87">
      <c r="A87" s="122" t="s">
        <v>4906</v>
      </c>
      <c r="B87" s="123">
        <v>1370418.0</v>
      </c>
      <c r="C87" s="687" t="s">
        <v>4907</v>
      </c>
      <c r="D87" s="125"/>
    </row>
    <row r="88">
      <c r="A88" s="122" t="s">
        <v>7664</v>
      </c>
      <c r="B88" s="123">
        <v>1379400.0</v>
      </c>
      <c r="C88" s="687" t="s">
        <v>7665</v>
      </c>
      <c r="D88" s="125"/>
    </row>
    <row r="89">
      <c r="A89" s="122" t="s">
        <v>9832</v>
      </c>
      <c r="B89" s="123">
        <v>1635977.0</v>
      </c>
      <c r="C89" s="687" t="s">
        <v>9833</v>
      </c>
      <c r="D89" s="125"/>
    </row>
    <row r="90">
      <c r="A90" s="122" t="s">
        <v>6275</v>
      </c>
      <c r="B90" s="123">
        <v>1672688.0</v>
      </c>
      <c r="C90" s="687" t="s">
        <v>6276</v>
      </c>
      <c r="D90" s="125"/>
    </row>
    <row r="91">
      <c r="A91" s="122" t="s">
        <v>4405</v>
      </c>
      <c r="B91" s="123">
        <v>1173313.0</v>
      </c>
      <c r="C91" s="687" t="s">
        <v>4406</v>
      </c>
      <c r="D91" s="125"/>
    </row>
    <row r="92">
      <c r="A92" s="122" t="s">
        <v>5580</v>
      </c>
      <c r="B92" s="123">
        <v>1651625.0</v>
      </c>
      <c r="C92" s="687" t="s">
        <v>5581</v>
      </c>
      <c r="D92" s="125"/>
    </row>
    <row r="93">
      <c r="A93" s="122" t="s">
        <v>33380</v>
      </c>
      <c r="B93" s="123">
        <v>1001463.0</v>
      </c>
      <c r="C93" s="687" t="s">
        <v>33381</v>
      </c>
      <c r="D93" s="125"/>
    </row>
    <row r="94">
      <c r="A94" s="122" t="s">
        <v>6042</v>
      </c>
      <c r="B94" s="123">
        <v>934549.0</v>
      </c>
      <c r="C94" s="687" t="s">
        <v>6043</v>
      </c>
      <c r="D94" s="125"/>
    </row>
    <row r="95">
      <c r="A95" s="122" t="s">
        <v>14607</v>
      </c>
      <c r="B95" s="123">
        <v>1817358.0</v>
      </c>
      <c r="C95" s="687" t="s">
        <v>14608</v>
      </c>
      <c r="D95" s="125"/>
    </row>
    <row r="96">
      <c r="A96" s="122" t="s">
        <v>15006</v>
      </c>
      <c r="B96" s="123">
        <v>1520697.0</v>
      </c>
      <c r="C96" s="687" t="s">
        <v>15007</v>
      </c>
      <c r="D96" s="125"/>
    </row>
    <row r="97">
      <c r="A97" s="122" t="s">
        <v>12354</v>
      </c>
      <c r="B97" s="123">
        <v>1070494.0</v>
      </c>
      <c r="C97" s="687" t="s">
        <v>12355</v>
      </c>
      <c r="D97" s="125"/>
    </row>
    <row r="98">
      <c r="A98" s="122" t="s">
        <v>10830</v>
      </c>
      <c r="B98" s="123">
        <v>899629.0</v>
      </c>
      <c r="C98" s="687" t="s">
        <v>10831</v>
      </c>
      <c r="D98" s="125"/>
    </row>
    <row r="99">
      <c r="A99" s="122" t="s">
        <v>5113</v>
      </c>
      <c r="B99" s="123">
        <v>1444192.0</v>
      </c>
      <c r="C99" s="687" t="s">
        <v>5114</v>
      </c>
      <c r="D99" s="125"/>
    </row>
    <row r="100">
      <c r="A100" s="122" t="s">
        <v>8388</v>
      </c>
      <c r="B100" s="123">
        <v>1698991.0</v>
      </c>
      <c r="C100" s="687" t="s">
        <v>8389</v>
      </c>
      <c r="D100" s="125"/>
    </row>
    <row r="101">
      <c r="A101" s="122" t="s">
        <v>3949</v>
      </c>
      <c r="B101" s="123">
        <v>727207.0</v>
      </c>
      <c r="C101" s="687" t="s">
        <v>3950</v>
      </c>
      <c r="D101" s="125"/>
    </row>
    <row r="102">
      <c r="A102" s="122" t="s">
        <v>16488</v>
      </c>
      <c r="B102" s="123">
        <v>1467373.0</v>
      </c>
      <c r="C102" s="687" t="s">
        <v>16489</v>
      </c>
      <c r="D102" s="125"/>
    </row>
    <row r="103">
      <c r="A103" s="122" t="s">
        <v>33382</v>
      </c>
      <c r="B103" s="123">
        <v>1041588.0</v>
      </c>
      <c r="C103" s="687" t="s">
        <v>33383</v>
      </c>
      <c r="D103" s="125"/>
    </row>
    <row r="104">
      <c r="A104" s="122" t="s">
        <v>7131</v>
      </c>
      <c r="B104" s="123">
        <v>712034.0</v>
      </c>
      <c r="C104" s="687" t="s">
        <v>7132</v>
      </c>
      <c r="D104" s="125"/>
    </row>
    <row r="105">
      <c r="A105" s="122" t="s">
        <v>9612</v>
      </c>
      <c r="B105" s="123">
        <v>1481646.0</v>
      </c>
      <c r="C105" s="687" t="s">
        <v>9613</v>
      </c>
      <c r="D105" s="125"/>
    </row>
    <row r="106">
      <c r="A106" s="122" t="s">
        <v>7629</v>
      </c>
      <c r="B106" s="123">
        <v>1049183.0</v>
      </c>
      <c r="C106" s="687" t="s">
        <v>7630</v>
      </c>
      <c r="D106" s="125"/>
    </row>
    <row r="107">
      <c r="A107" s="122" t="s">
        <v>13562</v>
      </c>
      <c r="B107" s="123">
        <v>1049183.0</v>
      </c>
      <c r="C107" s="687" t="s">
        <v>13563</v>
      </c>
      <c r="D107" s="125"/>
    </row>
    <row r="108">
      <c r="A108" s="122" t="s">
        <v>5151</v>
      </c>
      <c r="B108" s="123">
        <v>1138723.0</v>
      </c>
      <c r="C108" s="687" t="s">
        <v>5152</v>
      </c>
      <c r="D108" s="125"/>
    </row>
    <row r="109">
      <c r="A109" s="122" t="s">
        <v>2987</v>
      </c>
      <c r="B109" s="123">
        <v>1850767.0</v>
      </c>
      <c r="C109" s="687" t="s">
        <v>2988</v>
      </c>
      <c r="D109" s="125"/>
    </row>
    <row r="110">
      <c r="A110" s="122" t="s">
        <v>1147</v>
      </c>
      <c r="B110" s="123">
        <v>1844389.0</v>
      </c>
      <c r="C110" s="687" t="s">
        <v>1148</v>
      </c>
      <c r="D110" s="125"/>
    </row>
    <row r="111">
      <c r="A111" s="122" t="s">
        <v>9594</v>
      </c>
      <c r="B111" s="123">
        <v>1844389.0</v>
      </c>
      <c r="C111" s="687" t="s">
        <v>9595</v>
      </c>
      <c r="D111" s="125"/>
    </row>
    <row r="112">
      <c r="A112" s="122" t="s">
        <v>9509</v>
      </c>
      <c r="B112" s="123">
        <v>1844389.0</v>
      </c>
      <c r="C112" s="687" t="s">
        <v>9510</v>
      </c>
      <c r="D112" s="125"/>
    </row>
    <row r="113">
      <c r="A113" s="122" t="s">
        <v>9529</v>
      </c>
      <c r="B113" s="123">
        <v>1844507.0</v>
      </c>
      <c r="C113" s="687" t="s">
        <v>9530</v>
      </c>
      <c r="D113" s="125"/>
    </row>
    <row r="114">
      <c r="A114" s="122" t="s">
        <v>6483</v>
      </c>
      <c r="B114" s="123">
        <v>949858.0</v>
      </c>
      <c r="C114" s="687" t="s">
        <v>6484</v>
      </c>
      <c r="D114" s="125"/>
    </row>
    <row r="115">
      <c r="A115" s="122" t="s">
        <v>3731</v>
      </c>
      <c r="B115" s="123">
        <v>1830749.0</v>
      </c>
      <c r="C115" s="687" t="s">
        <v>3732</v>
      </c>
      <c r="D115" s="125"/>
    </row>
    <row r="116">
      <c r="A116" s="122" t="s">
        <v>12757</v>
      </c>
      <c r="B116" s="123">
        <v>935036.0</v>
      </c>
      <c r="C116" s="687" t="s">
        <v>12758</v>
      </c>
      <c r="D116" s="125"/>
    </row>
    <row r="117">
      <c r="A117" s="122" t="s">
        <v>1389</v>
      </c>
      <c r="B117" s="123">
        <v>1635077.0</v>
      </c>
      <c r="C117" s="687" t="s">
        <v>1390</v>
      </c>
      <c r="D117" s="125"/>
    </row>
    <row r="118">
      <c r="A118" s="122" t="s">
        <v>5098</v>
      </c>
      <c r="B118" s="123">
        <v>1635077.0</v>
      </c>
      <c r="C118" s="687" t="s">
        <v>5099</v>
      </c>
      <c r="D118" s="125"/>
    </row>
    <row r="119">
      <c r="A119" s="122" t="s">
        <v>4082</v>
      </c>
      <c r="B119" s="123">
        <v>1557746.0</v>
      </c>
      <c r="C119" s="687" t="s">
        <v>4083</v>
      </c>
      <c r="D119" s="125"/>
    </row>
    <row r="120">
      <c r="A120" s="122" t="s">
        <v>10709</v>
      </c>
      <c r="B120" s="123">
        <v>1680062.0</v>
      </c>
      <c r="C120" s="687" t="s">
        <v>10710</v>
      </c>
      <c r="D120" s="125"/>
    </row>
    <row r="121">
      <c r="A121" s="122" t="s">
        <v>1515</v>
      </c>
      <c r="B121" s="123">
        <v>1871737.0</v>
      </c>
      <c r="C121" s="687" t="s">
        <v>1516</v>
      </c>
      <c r="D121" s="125"/>
    </row>
    <row r="122">
      <c r="A122" s="122" t="s">
        <v>14011</v>
      </c>
      <c r="B122" s="123">
        <v>2098.0</v>
      </c>
      <c r="C122" s="687" t="s">
        <v>14012</v>
      </c>
      <c r="D122" s="125"/>
    </row>
    <row r="123">
      <c r="A123" s="122" t="s">
        <v>13324</v>
      </c>
      <c r="B123" s="123">
        <v>715579.0</v>
      </c>
      <c r="C123" s="687" t="s">
        <v>13325</v>
      </c>
      <c r="D123" s="125"/>
    </row>
    <row r="124">
      <c r="A124" s="122" t="s">
        <v>10620</v>
      </c>
      <c r="B124" s="123">
        <v>1008848.0</v>
      </c>
      <c r="C124" s="687" t="s">
        <v>10621</v>
      </c>
      <c r="D124" s="125"/>
    </row>
    <row r="125">
      <c r="A125" s="122" t="s">
        <v>7013</v>
      </c>
      <c r="B125" s="123">
        <v>880984.0</v>
      </c>
      <c r="C125" s="687" t="s">
        <v>7014</v>
      </c>
      <c r="D125" s="125"/>
    </row>
    <row r="126">
      <c r="A126" s="122" t="s">
        <v>2421</v>
      </c>
      <c r="B126" s="123">
        <v>1762359.0</v>
      </c>
      <c r="C126" s="687" t="s">
        <v>2422</v>
      </c>
      <c r="D126" s="125"/>
    </row>
    <row r="127">
      <c r="A127" s="122" t="s">
        <v>2231</v>
      </c>
      <c r="B127" s="123">
        <v>1762359.0</v>
      </c>
      <c r="C127" s="687" t="s">
        <v>2232</v>
      </c>
      <c r="D127" s="125"/>
    </row>
    <row r="128">
      <c r="A128" s="122" t="s">
        <v>8397</v>
      </c>
      <c r="B128" s="123">
        <v>1332551.0</v>
      </c>
      <c r="C128" s="687" t="s">
        <v>8398</v>
      </c>
      <c r="D128" s="125"/>
    </row>
    <row r="129">
      <c r="A129" s="122" t="s">
        <v>12015</v>
      </c>
      <c r="B129" s="123">
        <v>947484.0</v>
      </c>
      <c r="C129" s="687" t="s">
        <v>12016</v>
      </c>
      <c r="D129" s="125"/>
    </row>
    <row r="130">
      <c r="A130" s="122" t="s">
        <v>9203</v>
      </c>
      <c r="B130" s="123">
        <v>1914023.0</v>
      </c>
      <c r="C130" s="687" t="s">
        <v>1768</v>
      </c>
      <c r="D130" s="125"/>
    </row>
    <row r="131">
      <c r="A131" s="122" t="s">
        <v>1767</v>
      </c>
      <c r="B131" s="123">
        <v>1914023.0</v>
      </c>
      <c r="C131" s="687" t="s">
        <v>1768</v>
      </c>
      <c r="D131" s="125"/>
    </row>
    <row r="132">
      <c r="A132" s="122" t="s">
        <v>9040</v>
      </c>
      <c r="B132" s="123">
        <v>1914023.0</v>
      </c>
      <c r="C132" s="687" t="s">
        <v>9041</v>
      </c>
      <c r="D132" s="125"/>
    </row>
    <row r="133">
      <c r="A133" s="122" t="s">
        <v>1876</v>
      </c>
      <c r="B133" s="123">
        <v>1622996.0</v>
      </c>
      <c r="C133" s="687" t="s">
        <v>1877</v>
      </c>
      <c r="D133" s="125"/>
    </row>
    <row r="134">
      <c r="A134" s="122" t="s">
        <v>4006</v>
      </c>
      <c r="B134" s="123">
        <v>1141284.0</v>
      </c>
      <c r="C134" s="687" t="s">
        <v>4007</v>
      </c>
      <c r="D134" s="125"/>
    </row>
    <row r="135">
      <c r="A135" s="122" t="s">
        <v>6710</v>
      </c>
      <c r="B135" s="123">
        <v>1388320.0</v>
      </c>
      <c r="C135" s="687" t="s">
        <v>6711</v>
      </c>
      <c r="D135" s="125"/>
    </row>
    <row r="136">
      <c r="A136" s="122" t="s">
        <v>33384</v>
      </c>
      <c r="B136" s="123">
        <v>1477472.0</v>
      </c>
      <c r="C136" s="687" t="s">
        <v>33385</v>
      </c>
      <c r="D136" s="125"/>
    </row>
    <row r="137">
      <c r="A137" s="122" t="s">
        <v>33386</v>
      </c>
      <c r="B137" s="123">
        <v>718877.0</v>
      </c>
      <c r="C137" s="687" t="s">
        <v>33387</v>
      </c>
      <c r="D137" s="125"/>
    </row>
    <row r="138">
      <c r="A138" s="122" t="s">
        <v>16294</v>
      </c>
      <c r="B138" s="123">
        <v>1144215.0</v>
      </c>
      <c r="C138" s="687" t="s">
        <v>16295</v>
      </c>
      <c r="D138" s="125"/>
    </row>
    <row r="139">
      <c r="A139" s="122" t="s">
        <v>5494</v>
      </c>
      <c r="B139" s="123">
        <v>1576885.0</v>
      </c>
      <c r="C139" s="687" t="s">
        <v>5495</v>
      </c>
      <c r="D139" s="125"/>
    </row>
    <row r="140">
      <c r="A140" s="122" t="s">
        <v>33388</v>
      </c>
      <c r="B140" s="123">
        <v>786947.0</v>
      </c>
      <c r="C140" s="687" t="s">
        <v>33389</v>
      </c>
      <c r="D140" s="125"/>
    </row>
    <row r="141">
      <c r="A141" s="122" t="s">
        <v>14617</v>
      </c>
      <c r="B141" s="123">
        <v>1672013.0</v>
      </c>
      <c r="C141" s="687" t="s">
        <v>14618</v>
      </c>
      <c r="D141" s="125"/>
    </row>
    <row r="142">
      <c r="A142" s="122" t="s">
        <v>2219</v>
      </c>
      <c r="B142" s="123">
        <v>1522860.0</v>
      </c>
      <c r="C142" s="687" t="s">
        <v>2220</v>
      </c>
      <c r="D142" s="125"/>
    </row>
    <row r="143">
      <c r="A143" s="122" t="s">
        <v>10075</v>
      </c>
      <c r="B143" s="123">
        <v>1637873.0</v>
      </c>
      <c r="C143" s="687" t="s">
        <v>10076</v>
      </c>
      <c r="D143" s="125"/>
    </row>
    <row r="144">
      <c r="A144" s="122" t="s">
        <v>5804</v>
      </c>
      <c r="B144" s="123">
        <v>1818838.0</v>
      </c>
      <c r="C144" s="687" t="s">
        <v>5805</v>
      </c>
      <c r="D144" s="125"/>
    </row>
    <row r="145">
      <c r="A145" s="122" t="s">
        <v>2233</v>
      </c>
      <c r="B145" s="123">
        <v>1171008.0</v>
      </c>
      <c r="C145" s="687" t="s">
        <v>2234</v>
      </c>
      <c r="D145" s="125"/>
    </row>
    <row r="146">
      <c r="A146" s="122" t="s">
        <v>2961</v>
      </c>
      <c r="B146" s="123">
        <v>1884072.0</v>
      </c>
      <c r="C146" s="687" t="s">
        <v>2962</v>
      </c>
      <c r="D146" s="125"/>
    </row>
    <row r="147">
      <c r="A147" s="122" t="s">
        <v>11133</v>
      </c>
      <c r="B147" s="123">
        <v>2230.0</v>
      </c>
      <c r="C147" s="687" t="s">
        <v>11134</v>
      </c>
      <c r="D147" s="125"/>
    </row>
    <row r="148">
      <c r="A148" s="122" t="s">
        <v>11531</v>
      </c>
      <c r="B148" s="123">
        <v>216851.0</v>
      </c>
      <c r="C148" s="687" t="s">
        <v>11532</v>
      </c>
      <c r="D148" s="125"/>
    </row>
    <row r="149">
      <c r="A149" s="122" t="s">
        <v>7485</v>
      </c>
      <c r="B149" s="123">
        <v>1725255.0</v>
      </c>
      <c r="C149" s="687" t="s">
        <v>7486</v>
      </c>
      <c r="D149" s="125"/>
    </row>
    <row r="150">
      <c r="A150" s="122" t="s">
        <v>3867</v>
      </c>
      <c r="B150" s="123">
        <v>1621227.0</v>
      </c>
      <c r="C150" s="687" t="s">
        <v>3868</v>
      </c>
      <c r="D150" s="125"/>
    </row>
    <row r="151">
      <c r="A151" s="122" t="s">
        <v>5875</v>
      </c>
      <c r="B151" s="123">
        <v>1478320.0</v>
      </c>
      <c r="C151" s="687" t="s">
        <v>5876</v>
      </c>
      <c r="D151" s="125"/>
    </row>
    <row r="152">
      <c r="A152" s="122" t="s">
        <v>2095</v>
      </c>
      <c r="B152" s="123">
        <v>1489079.0</v>
      </c>
      <c r="C152" s="687" t="s">
        <v>2096</v>
      </c>
      <c r="D152" s="125"/>
    </row>
    <row r="153">
      <c r="A153" s="122" t="s">
        <v>5569</v>
      </c>
      <c r="B153" s="123">
        <v>1140859.0</v>
      </c>
      <c r="C153" s="687" t="s">
        <v>5570</v>
      </c>
      <c r="D153" s="125"/>
    </row>
    <row r="154">
      <c r="A154" s="122" t="s">
        <v>5855</v>
      </c>
      <c r="B154" s="123">
        <v>1771910.0</v>
      </c>
      <c r="C154" s="687" t="s">
        <v>5856</v>
      </c>
      <c r="D154" s="125"/>
    </row>
    <row r="155">
      <c r="A155" s="122" t="s">
        <v>9305</v>
      </c>
      <c r="B155" s="123">
        <v>1574232.0</v>
      </c>
      <c r="C155" s="687" t="s">
        <v>9306</v>
      </c>
      <c r="D155" s="125"/>
    </row>
    <row r="156">
      <c r="A156" s="122" t="s">
        <v>15197</v>
      </c>
      <c r="B156" s="123">
        <v>1468328.0</v>
      </c>
      <c r="C156" s="687" t="s">
        <v>15198</v>
      </c>
      <c r="D156" s="125"/>
    </row>
    <row r="157">
      <c r="A157" s="122" t="s">
        <v>2882</v>
      </c>
      <c r="B157" s="123">
        <v>874292.0</v>
      </c>
      <c r="C157" s="687" t="s">
        <v>2883</v>
      </c>
      <c r="D157" s="125"/>
    </row>
    <row r="158">
      <c r="A158" s="122" t="s">
        <v>8631</v>
      </c>
      <c r="B158" s="123">
        <v>1499505.0</v>
      </c>
      <c r="C158" s="687" t="s">
        <v>8632</v>
      </c>
      <c r="D158" s="125"/>
    </row>
    <row r="159">
      <c r="A159" s="122" t="s">
        <v>792</v>
      </c>
      <c r="B159" s="123">
        <v>737207.0</v>
      </c>
      <c r="C159" s="687" t="s">
        <v>793</v>
      </c>
      <c r="D159" s="125"/>
    </row>
    <row r="160">
      <c r="A160" s="122" t="s">
        <v>3962</v>
      </c>
      <c r="B160" s="123">
        <v>1513525.0</v>
      </c>
      <c r="C160" s="687" t="s">
        <v>3963</v>
      </c>
      <c r="D160" s="125"/>
    </row>
    <row r="161">
      <c r="A161" s="122" t="s">
        <v>5525</v>
      </c>
      <c r="B161" s="123">
        <v>1720580.0</v>
      </c>
      <c r="C161" s="687" t="s">
        <v>5526</v>
      </c>
      <c r="D161" s="125"/>
    </row>
    <row r="162">
      <c r="A162" s="122" t="s">
        <v>13277</v>
      </c>
      <c r="B162" s="123">
        <v>1670541.0</v>
      </c>
      <c r="C162" s="687" t="s">
        <v>13278</v>
      </c>
      <c r="D162" s="125"/>
    </row>
    <row r="163">
      <c r="A163" s="122" t="s">
        <v>5909</v>
      </c>
      <c r="B163" s="123">
        <v>1726711.0</v>
      </c>
      <c r="C163" s="687" t="s">
        <v>5910</v>
      </c>
      <c r="D163" s="125"/>
    </row>
    <row r="164">
      <c r="A164" s="122" t="s">
        <v>1405</v>
      </c>
      <c r="B164" s="123">
        <v>1588014.0</v>
      </c>
      <c r="C164" s="687" t="s">
        <v>1406</v>
      </c>
      <c r="D164" s="125"/>
    </row>
    <row r="165">
      <c r="A165" s="122" t="s">
        <v>1743</v>
      </c>
      <c r="B165" s="123">
        <v>849401.0</v>
      </c>
      <c r="C165" s="687" t="s">
        <v>1744</v>
      </c>
      <c r="D165" s="125"/>
    </row>
    <row r="166">
      <c r="A166" s="122" t="s">
        <v>6659</v>
      </c>
      <c r="B166" s="123">
        <v>1368514.0</v>
      </c>
      <c r="C166" s="687" t="s">
        <v>6660</v>
      </c>
      <c r="D166" s="125"/>
    </row>
    <row r="167">
      <c r="A167" s="122" t="s">
        <v>16641</v>
      </c>
      <c r="B167" s="123">
        <v>796343.0</v>
      </c>
      <c r="C167" s="687" t="s">
        <v>16642</v>
      </c>
      <c r="D167" s="125"/>
    </row>
    <row r="168">
      <c r="A168" s="122" t="s">
        <v>7444</v>
      </c>
      <c r="B168" s="123">
        <v>1879248.0</v>
      </c>
      <c r="C168" s="687" t="s">
        <v>3499</v>
      </c>
      <c r="D168" s="125"/>
    </row>
    <row r="169">
      <c r="A169" s="122" t="s">
        <v>3498</v>
      </c>
      <c r="B169" s="123">
        <v>1879248.0</v>
      </c>
      <c r="C169" s="687" t="s">
        <v>3499</v>
      </c>
      <c r="D169" s="125"/>
    </row>
    <row r="170">
      <c r="A170" s="122" t="s">
        <v>7224</v>
      </c>
      <c r="B170" s="123">
        <v>1703056.0</v>
      </c>
      <c r="C170" s="687" t="s">
        <v>7225</v>
      </c>
      <c r="D170" s="125"/>
    </row>
    <row r="171">
      <c r="A171" s="122" t="s">
        <v>14013</v>
      </c>
      <c r="B171" s="123">
        <v>730464.0</v>
      </c>
      <c r="C171" s="687" t="s">
        <v>14014</v>
      </c>
      <c r="D171" s="125"/>
    </row>
    <row r="172">
      <c r="A172" s="122" t="s">
        <v>1852</v>
      </c>
      <c r="B172" s="123">
        <v>1838672.0</v>
      </c>
      <c r="C172" s="687" t="s">
        <v>1853</v>
      </c>
      <c r="D172" s="125"/>
    </row>
    <row r="173">
      <c r="A173" s="122" t="s">
        <v>5392</v>
      </c>
      <c r="B173" s="123">
        <v>1838672.0</v>
      </c>
      <c r="C173" s="687" t="s">
        <v>5393</v>
      </c>
      <c r="D173" s="125"/>
    </row>
    <row r="174">
      <c r="A174" s="122" t="s">
        <v>7258</v>
      </c>
      <c r="B174" s="123">
        <v>926282.0</v>
      </c>
      <c r="C174" s="687" t="s">
        <v>7259</v>
      </c>
      <c r="D174" s="125"/>
    </row>
    <row r="175">
      <c r="A175" s="122" t="s">
        <v>14703</v>
      </c>
      <c r="B175" s="123">
        <v>1158449.0</v>
      </c>
      <c r="C175" s="687" t="s">
        <v>14704</v>
      </c>
      <c r="D175" s="125"/>
    </row>
    <row r="176">
      <c r="A176" s="122" t="s">
        <v>1239</v>
      </c>
      <c r="B176" s="123">
        <v>1385799.0</v>
      </c>
      <c r="C176" s="687" t="s">
        <v>1240</v>
      </c>
      <c r="D176" s="125"/>
    </row>
    <row r="177">
      <c r="A177" s="122" t="s">
        <v>33390</v>
      </c>
      <c r="B177" s="123">
        <v>1096950.0</v>
      </c>
      <c r="C177" s="687" t="s">
        <v>33391</v>
      </c>
      <c r="D177" s="125"/>
    </row>
    <row r="178">
      <c r="A178" s="122" t="s">
        <v>15770</v>
      </c>
      <c r="B178" s="123">
        <v>1604028.0</v>
      </c>
      <c r="C178" s="687" t="s">
        <v>15771</v>
      </c>
      <c r="D178" s="125"/>
    </row>
    <row r="179">
      <c r="A179" s="122" t="s">
        <v>15481</v>
      </c>
      <c r="B179" s="123">
        <v>927003.0</v>
      </c>
      <c r="C179" s="687" t="s">
        <v>15482</v>
      </c>
      <c r="D179" s="125"/>
    </row>
    <row r="180">
      <c r="A180" s="122" t="s">
        <v>4397</v>
      </c>
      <c r="B180" s="123">
        <v>1815436.0</v>
      </c>
      <c r="C180" s="687" t="s">
        <v>4398</v>
      </c>
      <c r="D180" s="125"/>
    </row>
    <row r="181">
      <c r="A181" s="122" t="s">
        <v>16053</v>
      </c>
      <c r="B181" s="123">
        <v>2488.0</v>
      </c>
      <c r="C181" s="687" t="s">
        <v>16054</v>
      </c>
      <c r="D181" s="125"/>
    </row>
    <row r="182">
      <c r="A182" s="122" t="s">
        <v>2057</v>
      </c>
      <c r="B182" s="123">
        <v>352991.0</v>
      </c>
      <c r="C182" s="687" t="s">
        <v>2058</v>
      </c>
      <c r="D182" s="125"/>
    </row>
    <row r="183">
      <c r="A183" s="122" t="s">
        <v>3353</v>
      </c>
      <c r="B183" s="123">
        <v>1342936.0</v>
      </c>
      <c r="C183" s="687" t="s">
        <v>3354</v>
      </c>
      <c r="D183" s="125"/>
    </row>
    <row r="184">
      <c r="A184" s="122" t="s">
        <v>12328</v>
      </c>
      <c r="B184" s="123">
        <v>1673985.0</v>
      </c>
      <c r="C184" s="687" t="s">
        <v>12329</v>
      </c>
      <c r="D184" s="125"/>
    </row>
    <row r="185">
      <c r="A185" s="122" t="s">
        <v>5982</v>
      </c>
      <c r="B185" s="123">
        <v>1776661.0</v>
      </c>
      <c r="C185" s="687" t="s">
        <v>5983</v>
      </c>
      <c r="D185" s="125"/>
    </row>
    <row r="186">
      <c r="A186" s="122" t="s">
        <v>33392</v>
      </c>
      <c r="B186" s="123">
        <v>869531.0</v>
      </c>
      <c r="C186" s="687" t="s">
        <v>33393</v>
      </c>
      <c r="D186" s="125"/>
    </row>
    <row r="187">
      <c r="A187" s="122" t="s">
        <v>13596</v>
      </c>
      <c r="B187" s="123">
        <v>1158838.0</v>
      </c>
      <c r="C187" s="687" t="s">
        <v>13597</v>
      </c>
      <c r="D187" s="125"/>
    </row>
    <row r="188">
      <c r="A188" s="122" t="s">
        <v>13697</v>
      </c>
      <c r="B188" s="123">
        <v>1158838.0</v>
      </c>
      <c r="C188" s="687" t="s">
        <v>13597</v>
      </c>
      <c r="D188" s="125"/>
    </row>
    <row r="189">
      <c r="A189" s="122" t="s">
        <v>9539</v>
      </c>
      <c r="B189" s="123">
        <v>1219120.0</v>
      </c>
      <c r="C189" s="687" t="s">
        <v>9540</v>
      </c>
      <c r="D189" s="125"/>
    </row>
    <row r="190">
      <c r="A190" s="122" t="s">
        <v>928</v>
      </c>
      <c r="B190" s="123">
        <v>1744494.0</v>
      </c>
      <c r="C190" s="687" t="s">
        <v>929</v>
      </c>
      <c r="D190" s="125"/>
    </row>
    <row r="191">
      <c r="A191" s="122" t="s">
        <v>2163</v>
      </c>
      <c r="B191" s="123">
        <v>1744494.0</v>
      </c>
      <c r="C191" s="687" t="s">
        <v>2164</v>
      </c>
      <c r="D191" s="125"/>
    </row>
    <row r="192">
      <c r="A192" s="122" t="s">
        <v>4319</v>
      </c>
      <c r="B192" s="123">
        <v>1501756.0</v>
      </c>
      <c r="C192" s="687" t="s">
        <v>4320</v>
      </c>
      <c r="D192" s="125"/>
    </row>
    <row r="193">
      <c r="A193" s="122" t="s">
        <v>33394</v>
      </c>
      <c r="B193" s="123">
        <v>1054274.0</v>
      </c>
      <c r="C193" s="687" t="s">
        <v>33395</v>
      </c>
      <c r="D193" s="125"/>
    </row>
    <row r="194">
      <c r="A194" s="122" t="s">
        <v>15216</v>
      </c>
      <c r="B194" s="123">
        <v>868857.0</v>
      </c>
      <c r="C194" s="687" t="s">
        <v>15217</v>
      </c>
      <c r="D194" s="125"/>
    </row>
    <row r="195">
      <c r="A195" s="122" t="s">
        <v>6925</v>
      </c>
      <c r="B195" s="123">
        <v>769218.0</v>
      </c>
      <c r="C195" s="687" t="s">
        <v>6926</v>
      </c>
      <c r="D195" s="125"/>
    </row>
    <row r="196">
      <c r="A196" s="122" t="s">
        <v>6976</v>
      </c>
      <c r="B196" s="123">
        <v>769218.0</v>
      </c>
      <c r="C196" s="687" t="s">
        <v>6926</v>
      </c>
      <c r="D196" s="125"/>
    </row>
    <row r="197">
      <c r="A197" s="122" t="s">
        <v>10438</v>
      </c>
      <c r="B197" s="123">
        <v>1040470.0</v>
      </c>
      <c r="C197" s="687" t="s">
        <v>10439</v>
      </c>
      <c r="D197" s="125"/>
    </row>
    <row r="198">
      <c r="A198" s="122" t="s">
        <v>10967</v>
      </c>
      <c r="B198" s="123">
        <v>1700171.0</v>
      </c>
      <c r="C198" s="687" t="s">
        <v>10968</v>
      </c>
      <c r="D198" s="125"/>
    </row>
    <row r="199">
      <c r="A199" s="122" t="s">
        <v>16048</v>
      </c>
      <c r="B199" s="123">
        <v>1700171.0</v>
      </c>
      <c r="C199" s="687" t="s">
        <v>16049</v>
      </c>
      <c r="D199" s="125"/>
    </row>
    <row r="200">
      <c r="A200" s="122" t="s">
        <v>14959</v>
      </c>
      <c r="B200" s="123">
        <v>1378789.0</v>
      </c>
      <c r="C200" s="687" t="s">
        <v>14960</v>
      </c>
      <c r="D200" s="125"/>
    </row>
    <row r="201">
      <c r="A201" s="122" t="s">
        <v>5247</v>
      </c>
      <c r="B201" s="123">
        <v>1590496.0</v>
      </c>
      <c r="C201" s="687" t="s">
        <v>5248</v>
      </c>
      <c r="D201" s="125"/>
    </row>
    <row r="202">
      <c r="A202" s="122" t="s">
        <v>11024</v>
      </c>
      <c r="B202" s="123">
        <v>1798749.0</v>
      </c>
      <c r="C202" s="687" t="s">
        <v>11025</v>
      </c>
      <c r="D202" s="125"/>
    </row>
    <row r="203">
      <c r="A203" s="122" t="s">
        <v>15642</v>
      </c>
      <c r="B203" s="123">
        <v>1368622.0</v>
      </c>
      <c r="C203" s="687" t="s">
        <v>15643</v>
      </c>
      <c r="D203" s="125"/>
    </row>
    <row r="204">
      <c r="A204" s="122" t="s">
        <v>7952</v>
      </c>
      <c r="B204" s="123">
        <v>1754170.0</v>
      </c>
      <c r="C204" s="687" t="s">
        <v>7953</v>
      </c>
      <c r="D204" s="125"/>
    </row>
    <row r="205">
      <c r="A205" s="122" t="s">
        <v>10848</v>
      </c>
      <c r="B205" s="123">
        <v>874761.0</v>
      </c>
      <c r="C205" s="687" t="s">
        <v>10849</v>
      </c>
      <c r="D205" s="125"/>
    </row>
    <row r="206">
      <c r="A206" s="122" t="s">
        <v>14713</v>
      </c>
      <c r="B206" s="123">
        <v>874761.0</v>
      </c>
      <c r="C206" s="687" t="s">
        <v>14714</v>
      </c>
      <c r="D206" s="125"/>
    </row>
    <row r="207">
      <c r="A207" s="122" t="s">
        <v>2977</v>
      </c>
      <c r="B207" s="123">
        <v>1757143.0</v>
      </c>
      <c r="C207" s="687" t="s">
        <v>2978</v>
      </c>
      <c r="D207" s="125"/>
    </row>
    <row r="208">
      <c r="A208" s="122" t="s">
        <v>4625</v>
      </c>
      <c r="B208" s="123">
        <v>1113423.0</v>
      </c>
      <c r="C208" s="687" t="s">
        <v>4626</v>
      </c>
      <c r="D208" s="125"/>
    </row>
    <row r="209">
      <c r="A209" s="122" t="s">
        <v>1447</v>
      </c>
      <c r="B209" s="123">
        <v>1866547.0</v>
      </c>
      <c r="C209" s="687" t="s">
        <v>1448</v>
      </c>
      <c r="D209" s="125"/>
    </row>
    <row r="210">
      <c r="A210" s="122" t="s">
        <v>8952</v>
      </c>
      <c r="B210" s="123">
        <v>1866547.0</v>
      </c>
      <c r="C210" s="687" t="s">
        <v>8953</v>
      </c>
      <c r="D210" s="125"/>
    </row>
    <row r="211">
      <c r="A211" s="122" t="s">
        <v>8736</v>
      </c>
      <c r="B211" s="123">
        <v>1866547.0</v>
      </c>
      <c r="C211" s="687" t="s">
        <v>8737</v>
      </c>
      <c r="D211" s="125"/>
    </row>
    <row r="212">
      <c r="A212" s="122" t="s">
        <v>4665</v>
      </c>
      <c r="B212" s="123">
        <v>882291.0</v>
      </c>
      <c r="C212" s="687" t="s">
        <v>4666</v>
      </c>
      <c r="D212" s="125"/>
    </row>
    <row r="213">
      <c r="A213" s="122" t="s">
        <v>3594</v>
      </c>
      <c r="B213" s="123">
        <v>1789029.0</v>
      </c>
      <c r="C213" s="687" t="s">
        <v>3595</v>
      </c>
      <c r="D213" s="125"/>
    </row>
    <row r="214">
      <c r="A214" s="122" t="s">
        <v>669</v>
      </c>
      <c r="B214" s="123">
        <v>1818644.0</v>
      </c>
      <c r="C214" s="687" t="s">
        <v>670</v>
      </c>
      <c r="D214" s="125"/>
    </row>
    <row r="215">
      <c r="A215" s="122" t="s">
        <v>4154</v>
      </c>
      <c r="B215" s="123">
        <v>1818644.0</v>
      </c>
      <c r="C215" s="687" t="s">
        <v>4155</v>
      </c>
      <c r="D215" s="125"/>
    </row>
    <row r="216">
      <c r="A216" s="122" t="s">
        <v>8536</v>
      </c>
      <c r="B216" s="123">
        <v>1614806.0</v>
      </c>
      <c r="C216" s="687" t="s">
        <v>8537</v>
      </c>
      <c r="D216" s="125"/>
    </row>
    <row r="217">
      <c r="A217" s="122" t="s">
        <v>10874</v>
      </c>
      <c r="B217" s="123">
        <v>1004434.0</v>
      </c>
      <c r="C217" s="687" t="s">
        <v>10875</v>
      </c>
      <c r="D217" s="125"/>
    </row>
    <row r="218">
      <c r="A218" s="122" t="s">
        <v>11279</v>
      </c>
      <c r="B218" s="123">
        <v>1004434.0</v>
      </c>
      <c r="C218" s="687" t="s">
        <v>11280</v>
      </c>
      <c r="D218" s="125"/>
    </row>
    <row r="219">
      <c r="A219" s="122" t="s">
        <v>15883</v>
      </c>
      <c r="B219" s="123">
        <v>1004434.0</v>
      </c>
      <c r="C219" s="687" t="s">
        <v>15884</v>
      </c>
      <c r="D219" s="125"/>
    </row>
    <row r="220">
      <c r="A220" s="122" t="s">
        <v>3103</v>
      </c>
      <c r="B220" s="123">
        <v>1608390.0</v>
      </c>
      <c r="C220" s="687" t="s">
        <v>3104</v>
      </c>
      <c r="D220" s="125"/>
    </row>
    <row r="221">
      <c r="A221" s="122" t="s">
        <v>10699</v>
      </c>
      <c r="B221" s="123">
        <v>1823406.0</v>
      </c>
      <c r="C221" s="687" t="s">
        <v>10700</v>
      </c>
      <c r="D221" s="125"/>
    </row>
    <row r="222">
      <c r="A222" s="122" t="s">
        <v>13638</v>
      </c>
      <c r="B222" s="123">
        <v>1820953.0</v>
      </c>
      <c r="C222" s="687" t="s">
        <v>13639</v>
      </c>
      <c r="D222" s="125"/>
    </row>
    <row r="223">
      <c r="A223" s="122" t="s">
        <v>14925</v>
      </c>
      <c r="B223" s="123">
        <v>4977.0</v>
      </c>
      <c r="C223" s="687" t="s">
        <v>14926</v>
      </c>
      <c r="D223" s="125"/>
    </row>
    <row r="224">
      <c r="A224" s="122" t="s">
        <v>3733</v>
      </c>
      <c r="B224" s="123">
        <v>1884334.0</v>
      </c>
      <c r="C224" s="687" t="s">
        <v>3734</v>
      </c>
      <c r="D224" s="125"/>
    </row>
    <row r="225">
      <c r="A225" s="122" t="s">
        <v>773</v>
      </c>
      <c r="B225" s="123">
        <v>1486297.0</v>
      </c>
      <c r="C225" s="687" t="s">
        <v>774</v>
      </c>
      <c r="D225" s="125"/>
    </row>
    <row r="226">
      <c r="A226" s="122" t="s">
        <v>11426</v>
      </c>
      <c r="B226" s="123">
        <v>1771007.0</v>
      </c>
      <c r="C226" s="687" t="s">
        <v>11427</v>
      </c>
      <c r="D226" s="125"/>
    </row>
    <row r="227">
      <c r="A227" s="122" t="s">
        <v>7105</v>
      </c>
      <c r="B227" s="123">
        <v>1514281.0</v>
      </c>
      <c r="C227" s="687" t="s">
        <v>7106</v>
      </c>
      <c r="D227" s="125"/>
    </row>
    <row r="228">
      <c r="A228" s="122" t="s">
        <v>948</v>
      </c>
      <c r="B228" s="123">
        <v>1769624.0</v>
      </c>
      <c r="C228" s="687" t="s">
        <v>949</v>
      </c>
      <c r="D228" s="125"/>
    </row>
    <row r="229">
      <c r="A229" s="122" t="s">
        <v>2743</v>
      </c>
      <c r="B229" s="123">
        <v>1769624.0</v>
      </c>
      <c r="C229" s="687" t="s">
        <v>2744</v>
      </c>
      <c r="D229" s="125"/>
    </row>
    <row r="230">
      <c r="A230" s="122" t="s">
        <v>15653</v>
      </c>
      <c r="B230" s="123">
        <v>880266.0</v>
      </c>
      <c r="C230" s="687" t="s">
        <v>15654</v>
      </c>
      <c r="D230" s="125"/>
    </row>
    <row r="231">
      <c r="A231" s="122" t="s">
        <v>1612</v>
      </c>
      <c r="B231" s="123">
        <v>8504.0</v>
      </c>
      <c r="C231" s="687" t="s">
        <v>1613</v>
      </c>
      <c r="D231" s="125"/>
    </row>
    <row r="232">
      <c r="A232" s="122" t="s">
        <v>1375</v>
      </c>
      <c r="B232" s="123">
        <v>1603345.0</v>
      </c>
      <c r="C232" s="687" t="s">
        <v>1376</v>
      </c>
      <c r="D232" s="125"/>
    </row>
    <row r="233">
      <c r="A233" s="122" t="s">
        <v>3275</v>
      </c>
      <c r="B233" s="123">
        <v>1098972.0</v>
      </c>
      <c r="C233" s="687" t="s">
        <v>3276</v>
      </c>
      <c r="D233" s="125"/>
    </row>
    <row r="234">
      <c r="A234" s="122" t="s">
        <v>2831</v>
      </c>
      <c r="B234" s="123">
        <v>1708599.0</v>
      </c>
      <c r="C234" s="687" t="s">
        <v>2832</v>
      </c>
      <c r="D234" s="125"/>
    </row>
    <row r="235">
      <c r="A235" s="122" t="s">
        <v>5646</v>
      </c>
      <c r="B235" s="123">
        <v>1790625.0</v>
      </c>
      <c r="C235" s="687" t="s">
        <v>5647</v>
      </c>
      <c r="D235" s="125"/>
    </row>
    <row r="236">
      <c r="A236" s="122" t="s">
        <v>4371</v>
      </c>
      <c r="B236" s="123">
        <v>1261249.0</v>
      </c>
      <c r="C236" s="687" t="s">
        <v>4372</v>
      </c>
      <c r="D236" s="125"/>
    </row>
    <row r="237">
      <c r="A237" s="122" t="s">
        <v>762</v>
      </c>
      <c r="B237" s="123">
        <v>1090872.0</v>
      </c>
      <c r="C237" s="687" t="s">
        <v>15755</v>
      </c>
      <c r="D237" s="125"/>
    </row>
    <row r="238">
      <c r="A238" s="122" t="s">
        <v>7422</v>
      </c>
      <c r="B238" s="123">
        <v>1749704.0</v>
      </c>
      <c r="C238" s="687" t="s">
        <v>7423</v>
      </c>
      <c r="D238" s="125"/>
    </row>
    <row r="239">
      <c r="A239" s="122" t="s">
        <v>7045</v>
      </c>
      <c r="B239" s="123">
        <v>1831097.0</v>
      </c>
      <c r="C239" s="687" t="s">
        <v>7046</v>
      </c>
      <c r="D239" s="125"/>
    </row>
    <row r="240">
      <c r="A240" s="122" t="s">
        <v>15054</v>
      </c>
      <c r="B240" s="123">
        <v>78749.0</v>
      </c>
      <c r="C240" s="687" t="s">
        <v>15055</v>
      </c>
      <c r="D240" s="125"/>
    </row>
    <row r="241">
      <c r="A241" s="122" t="s">
        <v>11955</v>
      </c>
      <c r="B241" s="123">
        <v>1439222.0</v>
      </c>
      <c r="C241" s="687" t="s">
        <v>11956</v>
      </c>
      <c r="D241" s="125"/>
    </row>
    <row r="242">
      <c r="A242" s="122" t="s">
        <v>4553</v>
      </c>
      <c r="B242" s="123">
        <v>1705402.0</v>
      </c>
      <c r="C242" s="687" t="s">
        <v>4554</v>
      </c>
      <c r="D242" s="125"/>
    </row>
    <row r="243">
      <c r="A243" s="122" t="s">
        <v>12204</v>
      </c>
      <c r="B243" s="123">
        <v>1423689.0</v>
      </c>
      <c r="C243" s="687" t="s">
        <v>12205</v>
      </c>
      <c r="D243" s="125"/>
    </row>
    <row r="244">
      <c r="A244" s="122" t="s">
        <v>8206</v>
      </c>
      <c r="B244" s="123">
        <v>1423689.0</v>
      </c>
      <c r="C244" s="687" t="s">
        <v>8207</v>
      </c>
      <c r="D244" s="125"/>
    </row>
    <row r="245">
      <c r="A245" s="122" t="s">
        <v>12140</v>
      </c>
      <c r="B245" s="123">
        <v>1423689.0</v>
      </c>
      <c r="C245" s="687" t="s">
        <v>12141</v>
      </c>
      <c r="D245" s="125"/>
    </row>
    <row r="246">
      <c r="A246" s="122" t="s">
        <v>11981</v>
      </c>
      <c r="B246" s="123">
        <v>1423689.0</v>
      </c>
      <c r="C246" s="687" t="s">
        <v>11982</v>
      </c>
      <c r="D246" s="125"/>
    </row>
    <row r="247">
      <c r="A247" s="122" t="s">
        <v>12392</v>
      </c>
      <c r="B247" s="123">
        <v>1423689.0</v>
      </c>
      <c r="C247" s="687" t="s">
        <v>12393</v>
      </c>
      <c r="D247" s="125"/>
    </row>
    <row r="248">
      <c r="A248" s="122" t="s">
        <v>11913</v>
      </c>
      <c r="B248" s="123">
        <v>1423689.0</v>
      </c>
      <c r="C248" s="687" t="s">
        <v>11914</v>
      </c>
      <c r="D248" s="125"/>
    </row>
    <row r="249">
      <c r="A249" s="122" t="s">
        <v>14019</v>
      </c>
      <c r="B249" s="123">
        <v>2809.0</v>
      </c>
      <c r="C249" s="687" t="s">
        <v>14020</v>
      </c>
      <c r="D249" s="125"/>
    </row>
    <row r="250">
      <c r="A250" s="122" t="s">
        <v>5474</v>
      </c>
      <c r="B250" s="123">
        <v>1802883.0</v>
      </c>
      <c r="C250" s="687" t="s">
        <v>5475</v>
      </c>
      <c r="D250" s="125"/>
    </row>
    <row r="251">
      <c r="A251" s="122" t="s">
        <v>14420</v>
      </c>
      <c r="B251" s="123">
        <v>917251.0</v>
      </c>
      <c r="C251" s="687" t="s">
        <v>14421</v>
      </c>
      <c r="D251" s="125"/>
    </row>
    <row r="252">
      <c r="A252" s="122" t="s">
        <v>33396</v>
      </c>
      <c r="B252" s="123">
        <v>1648365.0</v>
      </c>
      <c r="C252" s="687" t="s">
        <v>33397</v>
      </c>
      <c r="D252" s="125"/>
    </row>
    <row r="253">
      <c r="A253" s="122" t="s">
        <v>565</v>
      </c>
      <c r="B253" s="123">
        <v>1826397.0</v>
      </c>
      <c r="C253" s="687" t="s">
        <v>566</v>
      </c>
      <c r="D253" s="125"/>
    </row>
    <row r="254">
      <c r="A254" s="122" t="s">
        <v>2562</v>
      </c>
      <c r="B254" s="123">
        <v>1826397.0</v>
      </c>
      <c r="C254" s="687" t="s">
        <v>2563</v>
      </c>
      <c r="D254" s="125"/>
    </row>
    <row r="255">
      <c r="A255" s="122" t="s">
        <v>3391</v>
      </c>
      <c r="B255" s="123">
        <v>1800637.0</v>
      </c>
      <c r="C255" s="687" t="s">
        <v>3392</v>
      </c>
      <c r="D255" s="125"/>
    </row>
    <row r="256">
      <c r="A256" s="122" t="s">
        <v>33398</v>
      </c>
      <c r="B256" s="123">
        <v>1040850.0</v>
      </c>
      <c r="C256" s="687" t="s">
        <v>33399</v>
      </c>
      <c r="D256" s="125"/>
    </row>
    <row r="257">
      <c r="A257" s="122" t="s">
        <v>508</v>
      </c>
      <c r="B257" s="123">
        <v>1598323.0</v>
      </c>
      <c r="C257" s="687" t="s">
        <v>509</v>
      </c>
      <c r="D257" s="125"/>
    </row>
    <row r="258">
      <c r="A258" s="122" t="s">
        <v>665</v>
      </c>
      <c r="B258" s="123">
        <v>743758.0</v>
      </c>
      <c r="C258" s="687" t="s">
        <v>666</v>
      </c>
      <c r="D258" s="125"/>
    </row>
    <row r="259">
      <c r="A259" s="122" t="s">
        <v>9433</v>
      </c>
      <c r="B259" s="123">
        <v>1882963.0</v>
      </c>
      <c r="C259" s="687" t="s">
        <v>9434</v>
      </c>
      <c r="D259" s="125"/>
    </row>
    <row r="260">
      <c r="A260" s="122" t="s">
        <v>9413</v>
      </c>
      <c r="B260" s="123">
        <v>1882963.0</v>
      </c>
      <c r="C260" s="687" t="s">
        <v>9414</v>
      </c>
      <c r="D260" s="125"/>
    </row>
    <row r="261">
      <c r="A261" s="122" t="s">
        <v>6425</v>
      </c>
      <c r="B261" s="123">
        <v>1420565.0</v>
      </c>
      <c r="C261" s="687" t="s">
        <v>6426</v>
      </c>
      <c r="D261" s="125"/>
    </row>
    <row r="262">
      <c r="A262" s="122" t="s">
        <v>2884</v>
      </c>
      <c r="B262" s="123">
        <v>946644.0</v>
      </c>
      <c r="C262" s="687" t="s">
        <v>2885</v>
      </c>
      <c r="D262" s="125"/>
    </row>
    <row r="263">
      <c r="A263" s="122" t="s">
        <v>9117</v>
      </c>
      <c r="B263" s="123">
        <v>1903464.0</v>
      </c>
      <c r="C263" s="687" t="s">
        <v>726</v>
      </c>
      <c r="D263" s="125"/>
    </row>
    <row r="264">
      <c r="A264" s="122" t="s">
        <v>725</v>
      </c>
      <c r="B264" s="123">
        <v>1903464.0</v>
      </c>
      <c r="C264" s="687" t="s">
        <v>726</v>
      </c>
      <c r="D264" s="125"/>
    </row>
    <row r="265">
      <c r="A265" s="122" t="s">
        <v>9140</v>
      </c>
      <c r="B265" s="123">
        <v>1903464.0</v>
      </c>
      <c r="C265" s="687" t="s">
        <v>9141</v>
      </c>
      <c r="D265" s="125"/>
    </row>
    <row r="266">
      <c r="A266" s="122" t="s">
        <v>3839</v>
      </c>
      <c r="B266" s="123">
        <v>1014763.0</v>
      </c>
      <c r="C266" s="687" t="s">
        <v>3840</v>
      </c>
      <c r="D266" s="125"/>
    </row>
    <row r="267">
      <c r="A267" s="122" t="s">
        <v>33400</v>
      </c>
      <c r="B267" s="123">
        <v>1820877.0</v>
      </c>
      <c r="C267" s="687" t="s">
        <v>33401</v>
      </c>
      <c r="D267" s="125"/>
    </row>
    <row r="268">
      <c r="A268" s="122" t="s">
        <v>5915</v>
      </c>
      <c r="B268" s="123">
        <v>1009891.0</v>
      </c>
      <c r="C268" s="687" t="s">
        <v>5916</v>
      </c>
      <c r="D268" s="125"/>
    </row>
    <row r="269">
      <c r="A269" s="122" t="s">
        <v>16354</v>
      </c>
      <c r="B269" s="123">
        <v>2969.0</v>
      </c>
      <c r="C269" s="687" t="s">
        <v>16355</v>
      </c>
      <c r="D269" s="125"/>
    </row>
    <row r="270">
      <c r="A270" s="122" t="s">
        <v>10816</v>
      </c>
      <c r="B270" s="123">
        <v>353184.0</v>
      </c>
      <c r="C270" s="687" t="s">
        <v>10817</v>
      </c>
      <c r="D270" s="125"/>
    </row>
    <row r="271">
      <c r="A271" s="122" t="s">
        <v>10330</v>
      </c>
      <c r="B271" s="123">
        <v>894081.0</v>
      </c>
      <c r="C271" s="687" t="s">
        <v>10331</v>
      </c>
      <c r="D271" s="125"/>
    </row>
    <row r="272">
      <c r="A272" s="122" t="s">
        <v>15863</v>
      </c>
      <c r="B272" s="123">
        <v>1559720.0</v>
      </c>
      <c r="C272" s="687" t="s">
        <v>15864</v>
      </c>
      <c r="D272" s="125"/>
    </row>
    <row r="273">
      <c r="A273" s="122" t="s">
        <v>15955</v>
      </c>
      <c r="B273" s="123">
        <v>1378580.0</v>
      </c>
      <c r="C273" s="687" t="s">
        <v>13575</v>
      </c>
      <c r="D273" s="125"/>
    </row>
    <row r="274">
      <c r="A274" s="122" t="s">
        <v>13574</v>
      </c>
      <c r="B274" s="123">
        <v>1378580.0</v>
      </c>
      <c r="C274" s="687" t="s">
        <v>13575</v>
      </c>
      <c r="D274" s="125"/>
    </row>
    <row r="275">
      <c r="A275" s="122" t="s">
        <v>6217</v>
      </c>
      <c r="B275" s="123">
        <v>1272842.0</v>
      </c>
      <c r="C275" s="687" t="s">
        <v>6218</v>
      </c>
      <c r="D275" s="125"/>
    </row>
    <row r="276">
      <c r="A276" s="122" t="s">
        <v>3377</v>
      </c>
      <c r="B276" s="123">
        <v>1413745.0</v>
      </c>
      <c r="C276" s="687" t="s">
        <v>3378</v>
      </c>
      <c r="D276" s="125"/>
    </row>
    <row r="277">
      <c r="A277" s="122" t="s">
        <v>7475</v>
      </c>
      <c r="B277" s="123">
        <v>1870940.0</v>
      </c>
      <c r="C277" s="687" t="s">
        <v>7476</v>
      </c>
      <c r="D277" s="125"/>
    </row>
    <row r="278">
      <c r="A278" s="122" t="s">
        <v>2187</v>
      </c>
      <c r="B278" s="123">
        <v>1823882.0</v>
      </c>
      <c r="C278" s="687" t="s">
        <v>2188</v>
      </c>
      <c r="D278" s="125"/>
    </row>
    <row r="279">
      <c r="A279" s="122" t="s">
        <v>13196</v>
      </c>
      <c r="B279" s="123">
        <v>1450206.0</v>
      </c>
      <c r="C279" s="687" t="s">
        <v>13197</v>
      </c>
      <c r="D279" s="125"/>
    </row>
    <row r="280">
      <c r="A280" s="122" t="s">
        <v>13506</v>
      </c>
      <c r="B280" s="123">
        <v>1450206.0</v>
      </c>
      <c r="C280" s="687" t="s">
        <v>13197</v>
      </c>
      <c r="D280" s="125"/>
    </row>
    <row r="281">
      <c r="A281" s="122" t="s">
        <v>2991</v>
      </c>
      <c r="B281" s="123">
        <v>835662.0</v>
      </c>
      <c r="C281" s="687" t="s">
        <v>2992</v>
      </c>
      <c r="D281" s="125"/>
    </row>
    <row r="282">
      <c r="A282" s="122" t="s">
        <v>8152</v>
      </c>
      <c r="B282" s="123">
        <v>1865107.0</v>
      </c>
      <c r="C282" s="687" t="s">
        <v>8153</v>
      </c>
      <c r="D282" s="125"/>
    </row>
    <row r="283">
      <c r="A283" s="122" t="s">
        <v>15670</v>
      </c>
      <c r="B283" s="123">
        <v>1086222.0</v>
      </c>
      <c r="C283" s="687" t="s">
        <v>15671</v>
      </c>
      <c r="D283" s="125"/>
    </row>
    <row r="284">
      <c r="A284" s="122" t="s">
        <v>5181</v>
      </c>
      <c r="B284" s="123">
        <v>1541157.0</v>
      </c>
      <c r="C284" s="687" t="s">
        <v>5182</v>
      </c>
      <c r="D284" s="125"/>
    </row>
    <row r="285">
      <c r="A285" s="122" t="s">
        <v>16784</v>
      </c>
      <c r="B285" s="123">
        <v>1515156.0</v>
      </c>
      <c r="C285" s="687" t="s">
        <v>16785</v>
      </c>
      <c r="D285" s="125"/>
    </row>
    <row r="286">
      <c r="A286" s="122" t="s">
        <v>4513</v>
      </c>
      <c r="B286" s="123">
        <v>1517022.0</v>
      </c>
      <c r="C286" s="687" t="s">
        <v>4514</v>
      </c>
      <c r="D286" s="125"/>
    </row>
    <row r="287">
      <c r="A287" s="122" t="s">
        <v>872</v>
      </c>
      <c r="B287" s="123">
        <v>1755953.0</v>
      </c>
      <c r="C287" s="687" t="s">
        <v>873</v>
      </c>
      <c r="D287" s="125"/>
    </row>
    <row r="288">
      <c r="A288" s="122" t="s">
        <v>11580</v>
      </c>
      <c r="B288" s="123">
        <v>1744659.0</v>
      </c>
      <c r="C288" s="687" t="s">
        <v>11581</v>
      </c>
      <c r="D288" s="125"/>
    </row>
    <row r="289">
      <c r="A289" s="122" t="s">
        <v>3231</v>
      </c>
      <c r="B289" s="123">
        <v>1584754.0</v>
      </c>
      <c r="C289" s="687" t="s">
        <v>3232</v>
      </c>
      <c r="D289" s="125"/>
    </row>
    <row r="290">
      <c r="A290" s="122" t="s">
        <v>6874</v>
      </c>
      <c r="B290" s="123">
        <v>1711933.0</v>
      </c>
      <c r="C290" s="687" t="s">
        <v>6875</v>
      </c>
      <c r="D290" s="125"/>
    </row>
    <row r="291">
      <c r="A291" s="122" t="s">
        <v>5257</v>
      </c>
      <c r="B291" s="123">
        <v>1702318.0</v>
      </c>
      <c r="C291" s="687" t="s">
        <v>5258</v>
      </c>
      <c r="D291" s="125"/>
    </row>
    <row r="292">
      <c r="A292" s="122" t="s">
        <v>3053</v>
      </c>
      <c r="B292" s="123">
        <v>1776197.0</v>
      </c>
      <c r="C292" s="687" t="s">
        <v>3054</v>
      </c>
      <c r="D292" s="125"/>
    </row>
    <row r="293">
      <c r="A293" s="122" t="s">
        <v>16210</v>
      </c>
      <c r="B293" s="123">
        <v>897077.0</v>
      </c>
      <c r="C293" s="687" t="s">
        <v>16211</v>
      </c>
      <c r="D293" s="125"/>
    </row>
    <row r="294">
      <c r="A294" s="122" t="s">
        <v>9730</v>
      </c>
      <c r="B294" s="123">
        <v>1178819.0</v>
      </c>
      <c r="C294" s="687" t="s">
        <v>9731</v>
      </c>
      <c r="D294" s="125"/>
    </row>
    <row r="295">
      <c r="A295" s="122" t="s">
        <v>14539</v>
      </c>
      <c r="B295" s="123">
        <v>1459200.0</v>
      </c>
      <c r="C295" s="687" t="s">
        <v>14540</v>
      </c>
      <c r="D295" s="125"/>
    </row>
    <row r="296">
      <c r="A296" s="122" t="s">
        <v>13328</v>
      </c>
      <c r="B296" s="123">
        <v>766421.0</v>
      </c>
      <c r="C296" s="687" t="s">
        <v>13329</v>
      </c>
      <c r="D296" s="125"/>
    </row>
    <row r="297">
      <c r="A297" s="122" t="s">
        <v>4997</v>
      </c>
      <c r="B297" s="123">
        <v>1107421.0</v>
      </c>
      <c r="C297" s="687" t="s">
        <v>4998</v>
      </c>
      <c r="D297" s="125"/>
    </row>
    <row r="298">
      <c r="A298" s="122" t="s">
        <v>15210</v>
      </c>
      <c r="B298" s="123">
        <v>819793.0</v>
      </c>
      <c r="C298" s="687" t="s">
        <v>15211</v>
      </c>
      <c r="D298" s="125"/>
    </row>
    <row r="299">
      <c r="A299" s="122" t="s">
        <v>15566</v>
      </c>
      <c r="B299" s="123">
        <v>915913.0</v>
      </c>
      <c r="C299" s="687" t="s">
        <v>15567</v>
      </c>
      <c r="D299" s="125"/>
    </row>
    <row r="300">
      <c r="A300" s="122" t="s">
        <v>11637</v>
      </c>
      <c r="B300" s="123">
        <v>1646972.0</v>
      </c>
      <c r="C300" s="687" t="s">
        <v>11638</v>
      </c>
      <c r="D300" s="125"/>
    </row>
    <row r="301">
      <c r="A301" s="122" t="s">
        <v>14878</v>
      </c>
      <c r="B301" s="123">
        <v>1167379.0</v>
      </c>
      <c r="C301" s="687" t="s">
        <v>14879</v>
      </c>
      <c r="D301" s="125"/>
    </row>
    <row r="302">
      <c r="A302" s="122" t="s">
        <v>5648</v>
      </c>
      <c r="B302" s="123">
        <v>1341235.0</v>
      </c>
      <c r="C302" s="687" t="s">
        <v>5649</v>
      </c>
      <c r="D302" s="125"/>
    </row>
    <row r="303">
      <c r="A303" s="122" t="s">
        <v>6943</v>
      </c>
      <c r="B303" s="123">
        <v>1653087.0</v>
      </c>
      <c r="C303" s="687" t="s">
        <v>6944</v>
      </c>
      <c r="D303" s="125"/>
    </row>
    <row r="304">
      <c r="A304" s="122" t="s">
        <v>11873</v>
      </c>
      <c r="B304" s="123">
        <v>903419.0</v>
      </c>
      <c r="C304" s="687" t="s">
        <v>11874</v>
      </c>
      <c r="D304" s="125"/>
    </row>
    <row r="305">
      <c r="A305" s="122" t="s">
        <v>10872</v>
      </c>
      <c r="B305" s="123">
        <v>1545654.0</v>
      </c>
      <c r="C305" s="687" t="s">
        <v>10873</v>
      </c>
      <c r="D305" s="125"/>
    </row>
    <row r="306">
      <c r="A306" s="122" t="s">
        <v>16218</v>
      </c>
      <c r="B306" s="123">
        <v>3499.0</v>
      </c>
      <c r="C306" s="687" t="s">
        <v>16219</v>
      </c>
      <c r="D306" s="125"/>
    </row>
    <row r="307">
      <c r="A307" s="122" t="s">
        <v>15636</v>
      </c>
      <c r="B307" s="123">
        <v>1035443.0</v>
      </c>
      <c r="C307" s="687" t="s">
        <v>15637</v>
      </c>
      <c r="D307" s="125"/>
    </row>
    <row r="308">
      <c r="A308" s="122" t="s">
        <v>1501</v>
      </c>
      <c r="B308" s="123">
        <v>1642178.0</v>
      </c>
      <c r="C308" s="687" t="s">
        <v>1502</v>
      </c>
      <c r="D308" s="125"/>
    </row>
    <row r="309">
      <c r="A309" s="122" t="s">
        <v>8493</v>
      </c>
      <c r="B309" s="123">
        <v>1161611.0</v>
      </c>
      <c r="C309" s="687" t="s">
        <v>8494</v>
      </c>
      <c r="D309" s="125"/>
    </row>
    <row r="310">
      <c r="A310" s="122" t="s">
        <v>4124</v>
      </c>
      <c r="B310" s="123">
        <v>1860805.0</v>
      </c>
      <c r="C310" s="687" t="s">
        <v>4125</v>
      </c>
      <c r="D310" s="125"/>
    </row>
    <row r="311">
      <c r="A311" s="122" t="s">
        <v>7776</v>
      </c>
      <c r="B311" s="123">
        <v>1860805.0</v>
      </c>
      <c r="C311" s="687" t="s">
        <v>7777</v>
      </c>
      <c r="D311" s="125"/>
    </row>
    <row r="312">
      <c r="A312" s="122" t="s">
        <v>6991</v>
      </c>
      <c r="B312" s="123">
        <v>1174169.0</v>
      </c>
      <c r="C312" s="687" t="s">
        <v>6992</v>
      </c>
      <c r="D312" s="125"/>
    </row>
    <row r="313">
      <c r="A313" s="122" t="s">
        <v>12264</v>
      </c>
      <c r="B313" s="123">
        <v>1174169.0</v>
      </c>
      <c r="C313" s="687" t="s">
        <v>12265</v>
      </c>
      <c r="D313" s="125"/>
    </row>
    <row r="314">
      <c r="A314" s="122" t="s">
        <v>11654</v>
      </c>
      <c r="B314" s="123">
        <v>1174169.0</v>
      </c>
      <c r="C314" s="687" t="s">
        <v>11655</v>
      </c>
      <c r="D314" s="125"/>
    </row>
    <row r="315">
      <c r="A315" s="122" t="s">
        <v>8020</v>
      </c>
      <c r="B315" s="123">
        <v>1577552.0</v>
      </c>
      <c r="C315" s="687" t="s">
        <v>8021</v>
      </c>
      <c r="D315" s="125"/>
    </row>
    <row r="316">
      <c r="A316" s="122" t="s">
        <v>14814</v>
      </c>
      <c r="B316" s="123">
        <v>1577552.0</v>
      </c>
      <c r="C316" s="687" t="s">
        <v>14815</v>
      </c>
      <c r="D316" s="125"/>
    </row>
    <row r="317">
      <c r="A317" s="122" t="s">
        <v>12669</v>
      </c>
      <c r="B317" s="123">
        <v>3545.0</v>
      </c>
      <c r="C317" s="687" t="s">
        <v>12670</v>
      </c>
      <c r="D317" s="125"/>
    </row>
    <row r="318">
      <c r="A318" s="122" t="s">
        <v>8036</v>
      </c>
      <c r="B318" s="123">
        <v>1809104.0</v>
      </c>
      <c r="C318" s="687" t="s">
        <v>8037</v>
      </c>
      <c r="D318" s="125"/>
    </row>
    <row r="319">
      <c r="A319" s="122" t="s">
        <v>16377</v>
      </c>
      <c r="B319" s="123">
        <v>1097149.0</v>
      </c>
      <c r="C319" s="687" t="s">
        <v>16378</v>
      </c>
      <c r="D319" s="125"/>
    </row>
    <row r="320">
      <c r="A320" s="122" t="s">
        <v>7190</v>
      </c>
      <c r="B320" s="123">
        <v>1832466.0</v>
      </c>
      <c r="C320" s="687" t="s">
        <v>7191</v>
      </c>
      <c r="D320" s="125"/>
    </row>
    <row r="321">
      <c r="A321" s="122" t="s">
        <v>3389</v>
      </c>
      <c r="B321" s="123">
        <v>1799448.0</v>
      </c>
      <c r="C321" s="687" t="s">
        <v>3390</v>
      </c>
      <c r="D321" s="125"/>
    </row>
    <row r="322">
      <c r="A322" s="122" t="s">
        <v>5994</v>
      </c>
      <c r="B322" s="123">
        <v>1267602.0</v>
      </c>
      <c r="C322" s="687" t="s">
        <v>5995</v>
      </c>
      <c r="D322" s="125"/>
    </row>
    <row r="323">
      <c r="A323" s="122" t="s">
        <v>7489</v>
      </c>
      <c r="B323" s="123">
        <v>1624658.0</v>
      </c>
      <c r="C323" s="687" t="s">
        <v>7490</v>
      </c>
      <c r="D323" s="125"/>
    </row>
    <row r="324">
      <c r="A324" s="122" t="s">
        <v>14967</v>
      </c>
      <c r="B324" s="123">
        <v>1159281.0</v>
      </c>
      <c r="C324" s="687" t="s">
        <v>14968</v>
      </c>
      <c r="D324" s="125"/>
    </row>
    <row r="325">
      <c r="A325" s="122" t="s">
        <v>4104</v>
      </c>
      <c r="B325" s="123">
        <v>1734520.0</v>
      </c>
      <c r="C325" s="687" t="s">
        <v>4105</v>
      </c>
      <c r="D325" s="125"/>
    </row>
    <row r="326">
      <c r="A326" s="122" t="s">
        <v>2538</v>
      </c>
      <c r="B326" s="123">
        <v>1532390.0</v>
      </c>
      <c r="C326" s="687" t="s">
        <v>2539</v>
      </c>
      <c r="D326" s="125"/>
    </row>
    <row r="327">
      <c r="A327" s="122" t="s">
        <v>12200</v>
      </c>
      <c r="B327" s="123">
        <v>1529274.0</v>
      </c>
      <c r="C327" s="687" t="s">
        <v>12201</v>
      </c>
      <c r="D327" s="125"/>
    </row>
    <row r="328">
      <c r="A328" s="122" t="s">
        <v>12528</v>
      </c>
      <c r="B328" s="123">
        <v>1520262.0</v>
      </c>
      <c r="C328" s="687" t="s">
        <v>12529</v>
      </c>
      <c r="D328" s="125"/>
    </row>
    <row r="329">
      <c r="A329" s="122" t="s">
        <v>33402</v>
      </c>
      <c r="B329" s="123">
        <v>1286459.0</v>
      </c>
      <c r="C329" s="687" t="s">
        <v>33403</v>
      </c>
      <c r="D329" s="125"/>
    </row>
    <row r="330">
      <c r="A330" s="122" t="s">
        <v>4168</v>
      </c>
      <c r="B330" s="123">
        <v>1564824.0</v>
      </c>
      <c r="C330" s="687" t="s">
        <v>4169</v>
      </c>
      <c r="D330" s="125"/>
    </row>
    <row r="331">
      <c r="A331" s="122" t="s">
        <v>2891</v>
      </c>
      <c r="B331" s="123">
        <v>1860657.0</v>
      </c>
      <c r="C331" s="687" t="s">
        <v>2892</v>
      </c>
      <c r="D331" s="125"/>
    </row>
    <row r="332">
      <c r="A332" s="122" t="s">
        <v>3815</v>
      </c>
      <c r="B332" s="123">
        <v>1653909.0</v>
      </c>
      <c r="C332" s="687" t="s">
        <v>3816</v>
      </c>
      <c r="D332" s="125"/>
    </row>
    <row r="333">
      <c r="A333" s="122" t="s">
        <v>14982</v>
      </c>
      <c r="B333" s="123">
        <v>1362468.0</v>
      </c>
      <c r="C333" s="687" t="s">
        <v>14983</v>
      </c>
      <c r="D333" s="125"/>
    </row>
    <row r="334">
      <c r="A334" s="122" t="s">
        <v>15703</v>
      </c>
      <c r="B334" s="123">
        <v>1579241.0</v>
      </c>
      <c r="C334" s="687" t="s">
        <v>15704</v>
      </c>
      <c r="D334" s="125"/>
    </row>
    <row r="335">
      <c r="A335" s="122" t="s">
        <v>3974</v>
      </c>
      <c r="B335" s="123">
        <v>1874474.0</v>
      </c>
      <c r="C335" s="687" t="s">
        <v>3975</v>
      </c>
      <c r="D335" s="125"/>
    </row>
    <row r="336">
      <c r="A336" s="122" t="s">
        <v>12699</v>
      </c>
      <c r="B336" s="123">
        <v>866291.0</v>
      </c>
      <c r="C336" s="687" t="s">
        <v>12700</v>
      </c>
      <c r="D336" s="125"/>
    </row>
    <row r="337">
      <c r="A337" s="122" t="s">
        <v>14410</v>
      </c>
      <c r="B337" s="123">
        <v>66756.0</v>
      </c>
      <c r="C337" s="687" t="s">
        <v>14411</v>
      </c>
      <c r="D337" s="125"/>
    </row>
    <row r="338">
      <c r="A338" s="122" t="s">
        <v>11629</v>
      </c>
      <c r="B338" s="123">
        <v>1086600.0</v>
      </c>
      <c r="C338" s="687" t="s">
        <v>11630</v>
      </c>
      <c r="D338" s="125"/>
    </row>
    <row r="339">
      <c r="A339" s="122" t="s">
        <v>8507</v>
      </c>
      <c r="B339" s="123">
        <v>906013.0</v>
      </c>
      <c r="C339" s="687" t="s">
        <v>8508</v>
      </c>
      <c r="D339" s="125"/>
    </row>
    <row r="340">
      <c r="A340" s="122" t="s">
        <v>8932</v>
      </c>
      <c r="B340" s="123">
        <v>1162027.0</v>
      </c>
      <c r="C340" s="687" t="s">
        <v>8933</v>
      </c>
      <c r="D340" s="125"/>
    </row>
    <row r="341">
      <c r="A341" s="122" t="s">
        <v>14033</v>
      </c>
      <c r="B341" s="123">
        <v>352541.0</v>
      </c>
      <c r="C341" s="687" t="s">
        <v>14034</v>
      </c>
      <c r="D341" s="125"/>
    </row>
    <row r="342">
      <c r="A342" s="122" t="s">
        <v>1602</v>
      </c>
      <c r="B342" s="123">
        <v>1575295.0</v>
      </c>
      <c r="C342" s="687" t="s">
        <v>1603</v>
      </c>
      <c r="D342" s="125"/>
    </row>
    <row r="343">
      <c r="A343" s="122" t="s">
        <v>14510</v>
      </c>
      <c r="B343" s="123">
        <v>1411207.0</v>
      </c>
      <c r="C343" s="687" t="s">
        <v>14511</v>
      </c>
      <c r="D343" s="125"/>
    </row>
    <row r="344">
      <c r="A344" s="122" t="s">
        <v>6107</v>
      </c>
      <c r="B344" s="123">
        <v>1737287.0</v>
      </c>
      <c r="C344" s="687" t="s">
        <v>6108</v>
      </c>
      <c r="D344" s="125"/>
    </row>
    <row r="345">
      <c r="A345" s="122" t="s">
        <v>4737</v>
      </c>
      <c r="B345" s="123">
        <v>1365767.0</v>
      </c>
      <c r="C345" s="687" t="s">
        <v>4738</v>
      </c>
      <c r="D345" s="125"/>
    </row>
    <row r="346">
      <c r="A346" s="122" t="s">
        <v>3343</v>
      </c>
      <c r="B346" s="123">
        <v>1754068.0</v>
      </c>
      <c r="C346" s="687" t="s">
        <v>3344</v>
      </c>
      <c r="D346" s="125"/>
    </row>
    <row r="347">
      <c r="A347" s="122" t="s">
        <v>6258</v>
      </c>
      <c r="B347" s="123">
        <v>1386067.0</v>
      </c>
      <c r="C347" s="687" t="s">
        <v>6259</v>
      </c>
      <c r="D347" s="125"/>
    </row>
    <row r="348">
      <c r="A348" s="122" t="s">
        <v>7984</v>
      </c>
      <c r="B348" s="123">
        <v>1279014.0</v>
      </c>
      <c r="C348" s="687" t="s">
        <v>7985</v>
      </c>
      <c r="D348" s="125"/>
    </row>
    <row r="349">
      <c r="A349" s="122" t="s">
        <v>15934</v>
      </c>
      <c r="B349" s="123">
        <v>899051.0</v>
      </c>
      <c r="C349" s="687" t="s">
        <v>15935</v>
      </c>
      <c r="D349" s="125"/>
    </row>
    <row r="350">
      <c r="A350" s="122" t="s">
        <v>13344</v>
      </c>
      <c r="B350" s="123">
        <v>40729.0</v>
      </c>
      <c r="C350" s="687" t="s">
        <v>13345</v>
      </c>
      <c r="D350" s="125"/>
    </row>
    <row r="351">
      <c r="A351" s="122" t="s">
        <v>2019</v>
      </c>
      <c r="B351" s="123">
        <v>1015647.0</v>
      </c>
      <c r="C351" s="687" t="s">
        <v>2020</v>
      </c>
      <c r="D351" s="125"/>
    </row>
    <row r="352">
      <c r="A352" s="122" t="s">
        <v>2528</v>
      </c>
      <c r="B352" s="123">
        <v>1396167.0</v>
      </c>
      <c r="C352" s="687" t="s">
        <v>2529</v>
      </c>
      <c r="D352" s="125"/>
    </row>
    <row r="353">
      <c r="A353" s="122" t="s">
        <v>16020</v>
      </c>
      <c r="B353" s="123">
        <v>1178670.0</v>
      </c>
      <c r="C353" s="687" t="s">
        <v>16021</v>
      </c>
      <c r="D353" s="125"/>
    </row>
    <row r="354">
      <c r="A354" s="122" t="s">
        <v>15441</v>
      </c>
      <c r="B354" s="123">
        <v>1842939.0</v>
      </c>
      <c r="C354" s="687" t="s">
        <v>15442</v>
      </c>
      <c r="D354" s="125"/>
    </row>
    <row r="355">
      <c r="A355" s="122" t="s">
        <v>12346</v>
      </c>
      <c r="B355" s="123">
        <v>1387467.0</v>
      </c>
      <c r="C355" s="687" t="s">
        <v>12347</v>
      </c>
      <c r="D355" s="125"/>
    </row>
    <row r="356">
      <c r="A356" s="122" t="s">
        <v>16535</v>
      </c>
      <c r="B356" s="123">
        <v>1704715.0</v>
      </c>
      <c r="C356" s="687" t="s">
        <v>16536</v>
      </c>
      <c r="D356" s="125"/>
    </row>
    <row r="357">
      <c r="A357" s="122" t="s">
        <v>1850</v>
      </c>
      <c r="B357" s="123">
        <v>1845550.0</v>
      </c>
      <c r="C357" s="687" t="s">
        <v>1851</v>
      </c>
      <c r="D357" s="125"/>
    </row>
    <row r="358">
      <c r="A358" s="122" t="s">
        <v>8760</v>
      </c>
      <c r="B358" s="123">
        <v>1845550.0</v>
      </c>
      <c r="C358" s="687" t="s">
        <v>8761</v>
      </c>
      <c r="D358" s="125"/>
    </row>
    <row r="359">
      <c r="A359" s="122" t="s">
        <v>8660</v>
      </c>
      <c r="B359" s="123">
        <v>1845550.0</v>
      </c>
      <c r="C359" s="687" t="s">
        <v>8661</v>
      </c>
      <c r="D359" s="125"/>
    </row>
    <row r="360">
      <c r="A360" s="122" t="s">
        <v>6607</v>
      </c>
      <c r="B360" s="123">
        <v>884269.0</v>
      </c>
      <c r="C360" s="687" t="s">
        <v>6608</v>
      </c>
      <c r="D360" s="125"/>
    </row>
    <row r="361">
      <c r="A361" s="122" t="s">
        <v>4633</v>
      </c>
      <c r="B361" s="123">
        <v>902102.0</v>
      </c>
      <c r="C361" s="687" t="s">
        <v>2830</v>
      </c>
      <c r="D361" s="125"/>
    </row>
    <row r="362">
      <c r="A362" s="122" t="s">
        <v>2829</v>
      </c>
      <c r="B362" s="123">
        <v>902102.0</v>
      </c>
      <c r="C362" s="687" t="s">
        <v>2830</v>
      </c>
      <c r="D362" s="125"/>
    </row>
    <row r="363">
      <c r="A363" s="122" t="s">
        <v>741</v>
      </c>
      <c r="B363" s="123">
        <v>1865111.0</v>
      </c>
      <c r="C363" s="687" t="s">
        <v>742</v>
      </c>
      <c r="D363" s="125"/>
    </row>
    <row r="364">
      <c r="A364" s="122" t="s">
        <v>9297</v>
      </c>
      <c r="B364" s="123">
        <v>1865111.0</v>
      </c>
      <c r="C364" s="687" t="s">
        <v>9298</v>
      </c>
      <c r="D364" s="125"/>
    </row>
    <row r="365">
      <c r="A365" s="122" t="s">
        <v>9427</v>
      </c>
      <c r="B365" s="123">
        <v>1865111.0</v>
      </c>
      <c r="C365" s="687" t="s">
        <v>9428</v>
      </c>
      <c r="D365" s="125"/>
    </row>
    <row r="366">
      <c r="A366" s="122" t="s">
        <v>2578</v>
      </c>
      <c r="B366" s="123">
        <v>1871321.0</v>
      </c>
      <c r="C366" s="687" t="s">
        <v>2579</v>
      </c>
      <c r="D366" s="125"/>
    </row>
    <row r="367">
      <c r="A367" s="122" t="s">
        <v>5713</v>
      </c>
      <c r="B367" s="123">
        <v>1871321.0</v>
      </c>
      <c r="C367" s="687" t="s">
        <v>5714</v>
      </c>
      <c r="D367" s="125"/>
    </row>
    <row r="368">
      <c r="A368" s="122" t="s">
        <v>5742</v>
      </c>
      <c r="B368" s="123">
        <v>1850902.0</v>
      </c>
      <c r="C368" s="687" t="s">
        <v>5743</v>
      </c>
      <c r="D368" s="125"/>
    </row>
    <row r="369">
      <c r="A369" s="122" t="s">
        <v>33404</v>
      </c>
      <c r="B369" s="123">
        <v>1023298.0</v>
      </c>
      <c r="C369" s="687" t="s">
        <v>33405</v>
      </c>
      <c r="D369" s="125"/>
    </row>
    <row r="370">
      <c r="A370" s="122" t="s">
        <v>15824</v>
      </c>
      <c r="B370" s="123">
        <v>1652044.0</v>
      </c>
      <c r="C370" s="687" t="s">
        <v>15825</v>
      </c>
      <c r="D370" s="125"/>
    </row>
    <row r="371">
      <c r="A371" s="122" t="s">
        <v>15840</v>
      </c>
      <c r="B371" s="123">
        <v>1652044.0</v>
      </c>
      <c r="C371" s="687" t="s">
        <v>15841</v>
      </c>
      <c r="D371" s="125"/>
    </row>
    <row r="372">
      <c r="A372" s="122" t="s">
        <v>1391</v>
      </c>
      <c r="B372" s="123">
        <v>1209028.0</v>
      </c>
      <c r="C372" s="687" t="s">
        <v>1392</v>
      </c>
      <c r="D372" s="125"/>
    </row>
    <row r="373">
      <c r="A373" s="122" t="s">
        <v>10768</v>
      </c>
      <c r="B373" s="123">
        <v>1350653.0</v>
      </c>
      <c r="C373" s="687" t="s">
        <v>10769</v>
      </c>
      <c r="D373" s="125"/>
    </row>
    <row r="374">
      <c r="A374" s="122" t="s">
        <v>3147</v>
      </c>
      <c r="B374" s="123">
        <v>1606698.0</v>
      </c>
      <c r="C374" s="687" t="s">
        <v>3148</v>
      </c>
      <c r="D374" s="125"/>
    </row>
    <row r="375">
      <c r="A375" s="122" t="s">
        <v>6004</v>
      </c>
      <c r="B375" s="123">
        <v>1642365.0</v>
      </c>
      <c r="C375" s="687" t="s">
        <v>6005</v>
      </c>
      <c r="D375" s="125"/>
    </row>
    <row r="376">
      <c r="A376" s="122" t="s">
        <v>12609</v>
      </c>
      <c r="B376" s="123">
        <v>1626199.0</v>
      </c>
      <c r="C376" s="687" t="s">
        <v>12610</v>
      </c>
      <c r="D376" s="125"/>
    </row>
    <row r="377">
      <c r="A377" s="122" t="s">
        <v>10518</v>
      </c>
      <c r="B377" s="123">
        <v>1786117.0</v>
      </c>
      <c r="C377" s="687" t="s">
        <v>10519</v>
      </c>
      <c r="D377" s="125"/>
    </row>
    <row r="378">
      <c r="A378" s="122" t="s">
        <v>10201</v>
      </c>
      <c r="B378" s="123">
        <v>900278.0</v>
      </c>
      <c r="C378" s="687" t="s">
        <v>10202</v>
      </c>
      <c r="D378" s="125"/>
    </row>
    <row r="379">
      <c r="A379" s="122" t="s">
        <v>7652</v>
      </c>
      <c r="B379" s="123">
        <v>900278.0</v>
      </c>
      <c r="C379" s="687" t="s">
        <v>7653</v>
      </c>
      <c r="D379" s="125"/>
    </row>
    <row r="380">
      <c r="A380" s="122" t="s">
        <v>4126</v>
      </c>
      <c r="B380" s="123">
        <v>1750106.0</v>
      </c>
      <c r="C380" s="687" t="s">
        <v>4127</v>
      </c>
      <c r="D380" s="125"/>
    </row>
    <row r="381">
      <c r="A381" s="122" t="s">
        <v>9929</v>
      </c>
      <c r="B381" s="123">
        <v>1062066.0</v>
      </c>
      <c r="C381" s="687" t="s">
        <v>9930</v>
      </c>
      <c r="D381" s="125"/>
    </row>
    <row r="382">
      <c r="A382" s="122" t="s">
        <v>4142</v>
      </c>
      <c r="B382" s="123">
        <v>1062066.0</v>
      </c>
      <c r="C382" s="687" t="s">
        <v>4143</v>
      </c>
      <c r="D382" s="125"/>
    </row>
    <row r="383">
      <c r="A383" s="122" t="s">
        <v>9020</v>
      </c>
      <c r="B383" s="123">
        <v>1759824.0</v>
      </c>
      <c r="C383" s="687" t="s">
        <v>9021</v>
      </c>
      <c r="D383" s="125"/>
    </row>
    <row r="384">
      <c r="A384" s="122" t="s">
        <v>11539</v>
      </c>
      <c r="B384" s="123">
        <v>1695519.0</v>
      </c>
      <c r="C384" s="687" t="s">
        <v>11540</v>
      </c>
      <c r="D384" s="125"/>
    </row>
    <row r="385">
      <c r="A385" s="122" t="s">
        <v>15173</v>
      </c>
      <c r="B385" s="123">
        <v>1701732.0</v>
      </c>
      <c r="C385" s="687" t="s">
        <v>15174</v>
      </c>
      <c r="D385" s="125"/>
    </row>
    <row r="386">
      <c r="A386" s="122" t="s">
        <v>1674</v>
      </c>
      <c r="B386" s="123">
        <v>1570937.0</v>
      </c>
      <c r="C386" s="687" t="s">
        <v>1675</v>
      </c>
      <c r="D386" s="125"/>
    </row>
    <row r="387">
      <c r="A387" s="122" t="s">
        <v>1938</v>
      </c>
      <c r="B387" s="123">
        <v>1635729.0</v>
      </c>
      <c r="C387" s="687" t="s">
        <v>1939</v>
      </c>
      <c r="D387" s="125"/>
    </row>
    <row r="388">
      <c r="A388" s="122" t="s">
        <v>4647</v>
      </c>
      <c r="B388" s="123">
        <v>1601936.0</v>
      </c>
      <c r="C388" s="687" t="s">
        <v>4648</v>
      </c>
      <c r="D388" s="125"/>
    </row>
    <row r="389">
      <c r="A389" s="122" t="s">
        <v>8690</v>
      </c>
      <c r="B389" s="123">
        <v>1849056.0</v>
      </c>
      <c r="C389" s="687" t="s">
        <v>8691</v>
      </c>
      <c r="D389" s="125"/>
    </row>
    <row r="390">
      <c r="A390" s="122" t="s">
        <v>1319</v>
      </c>
      <c r="B390" s="123">
        <v>1852016.0</v>
      </c>
      <c r="C390" s="687" t="s">
        <v>1320</v>
      </c>
      <c r="D390" s="125"/>
    </row>
    <row r="391">
      <c r="A391" s="122" t="s">
        <v>9051</v>
      </c>
      <c r="B391" s="123">
        <v>1852016.0</v>
      </c>
      <c r="C391" s="687" t="s">
        <v>9052</v>
      </c>
      <c r="D391" s="125"/>
    </row>
    <row r="392">
      <c r="A392" s="122" t="s">
        <v>8996</v>
      </c>
      <c r="B392" s="123">
        <v>1852016.0</v>
      </c>
      <c r="C392" s="687" t="s">
        <v>8997</v>
      </c>
      <c r="D392" s="125"/>
    </row>
    <row r="393">
      <c r="A393" s="122" t="s">
        <v>7852</v>
      </c>
      <c r="B393" s="123">
        <v>1842428.0</v>
      </c>
      <c r="C393" s="687" t="s">
        <v>7853</v>
      </c>
      <c r="D393" s="125"/>
    </row>
    <row r="394">
      <c r="A394" s="122" t="s">
        <v>4878</v>
      </c>
      <c r="B394" s="123">
        <v>1131343.0</v>
      </c>
      <c r="C394" s="687" t="s">
        <v>4879</v>
      </c>
      <c r="D394" s="125"/>
    </row>
    <row r="395">
      <c r="A395" s="122" t="s">
        <v>1037</v>
      </c>
      <c r="B395" s="123">
        <v>1405660.0</v>
      </c>
      <c r="C395" s="687" t="s">
        <v>1038</v>
      </c>
      <c r="D395" s="125"/>
    </row>
    <row r="396">
      <c r="A396" s="122" t="s">
        <v>1106</v>
      </c>
      <c r="B396" s="123">
        <v>1833908.0</v>
      </c>
      <c r="C396" s="687" t="s">
        <v>1107</v>
      </c>
      <c r="D396" s="125"/>
    </row>
    <row r="397">
      <c r="A397" s="122" t="s">
        <v>33406</v>
      </c>
      <c r="B397" s="123">
        <v>1442999.0</v>
      </c>
      <c r="C397" s="687" t="s">
        <v>33407</v>
      </c>
      <c r="D397" s="125"/>
    </row>
    <row r="398">
      <c r="A398" s="122" t="s">
        <v>13985</v>
      </c>
      <c r="B398" s="123">
        <v>1689923.0</v>
      </c>
      <c r="C398" s="687" t="s">
        <v>13986</v>
      </c>
      <c r="D398" s="125"/>
    </row>
    <row r="399">
      <c r="A399" s="122" t="s">
        <v>2267</v>
      </c>
      <c r="B399" s="123">
        <v>775057.0</v>
      </c>
      <c r="C399" s="687" t="s">
        <v>2268</v>
      </c>
      <c r="D399" s="125"/>
    </row>
    <row r="400">
      <c r="A400" s="122" t="s">
        <v>4987</v>
      </c>
      <c r="B400" s="123">
        <v>1702780.0</v>
      </c>
      <c r="C400" s="687" t="s">
        <v>4988</v>
      </c>
      <c r="D400" s="125"/>
    </row>
    <row r="401">
      <c r="A401" s="122" t="s">
        <v>8121</v>
      </c>
      <c r="B401" s="123">
        <v>1326190.0</v>
      </c>
      <c r="C401" s="687" t="s">
        <v>8122</v>
      </c>
      <c r="D401" s="125"/>
    </row>
    <row r="402">
      <c r="A402" s="122" t="s">
        <v>1934</v>
      </c>
      <c r="B402" s="123">
        <v>1849011.0</v>
      </c>
      <c r="C402" s="687" t="s">
        <v>1935</v>
      </c>
      <c r="D402" s="125"/>
    </row>
    <row r="403">
      <c r="A403" s="122" t="s">
        <v>6504</v>
      </c>
      <c r="B403" s="123">
        <v>1555074.0</v>
      </c>
      <c r="C403" s="687" t="s">
        <v>6505</v>
      </c>
      <c r="D403" s="125"/>
    </row>
    <row r="404">
      <c r="A404" s="122" t="s">
        <v>5458</v>
      </c>
      <c r="B404" s="123">
        <v>1462418.0</v>
      </c>
      <c r="C404" s="687" t="s">
        <v>5459</v>
      </c>
      <c r="D404" s="125"/>
    </row>
    <row r="405">
      <c r="A405" s="122" t="s">
        <v>1167</v>
      </c>
      <c r="B405" s="123">
        <v>1822366.0</v>
      </c>
      <c r="C405" s="687" t="s">
        <v>1168</v>
      </c>
      <c r="D405" s="125"/>
    </row>
    <row r="406">
      <c r="A406" s="122" t="s">
        <v>8458</v>
      </c>
      <c r="B406" s="123">
        <v>1822366.0</v>
      </c>
      <c r="C406" s="687" t="s">
        <v>8459</v>
      </c>
      <c r="D406" s="125"/>
    </row>
    <row r="407">
      <c r="A407" s="122" t="s">
        <v>8444</v>
      </c>
      <c r="B407" s="123">
        <v>1822366.0</v>
      </c>
      <c r="C407" s="687" t="s">
        <v>8445</v>
      </c>
      <c r="D407" s="125"/>
    </row>
    <row r="408">
      <c r="A408" s="122" t="s">
        <v>33408</v>
      </c>
      <c r="B408" s="123">
        <v>1664127.0</v>
      </c>
      <c r="C408" s="687" t="s">
        <v>33409</v>
      </c>
      <c r="D408" s="125"/>
    </row>
    <row r="409">
      <c r="A409" s="122" t="s">
        <v>4679</v>
      </c>
      <c r="B409" s="123">
        <v>778164.0</v>
      </c>
      <c r="C409" s="687" t="s">
        <v>4680</v>
      </c>
      <c r="D409" s="125"/>
    </row>
    <row r="410">
      <c r="A410" s="122" t="s">
        <v>13663</v>
      </c>
      <c r="B410" s="123">
        <v>764180.0</v>
      </c>
      <c r="C410" s="687" t="s">
        <v>13664</v>
      </c>
      <c r="D410" s="125"/>
    </row>
    <row r="411">
      <c r="A411" s="122" t="s">
        <v>6804</v>
      </c>
      <c r="B411" s="123">
        <v>1828723.0</v>
      </c>
      <c r="C411" s="687" t="s">
        <v>6805</v>
      </c>
      <c r="D411" s="125"/>
    </row>
    <row r="412">
      <c r="A412" s="122" t="s">
        <v>940</v>
      </c>
      <c r="B412" s="123">
        <v>747435.0</v>
      </c>
      <c r="C412" s="687" t="s">
        <v>941</v>
      </c>
      <c r="D412" s="125"/>
    </row>
    <row r="413">
      <c r="A413" s="122" t="s">
        <v>33410</v>
      </c>
      <c r="B413" s="123">
        <v>1108046.0</v>
      </c>
      <c r="C413" s="687" t="s">
        <v>33411</v>
      </c>
      <c r="D413" s="125"/>
    </row>
    <row r="414">
      <c r="A414" s="122" t="s">
        <v>2957</v>
      </c>
      <c r="B414" s="123">
        <v>1161611.0</v>
      </c>
      <c r="C414" s="687" t="s">
        <v>2958</v>
      </c>
      <c r="D414" s="125"/>
    </row>
    <row r="415">
      <c r="A415" s="122" t="s">
        <v>6265</v>
      </c>
      <c r="B415" s="123">
        <v>1898416.0</v>
      </c>
      <c r="C415" s="687" t="s">
        <v>6266</v>
      </c>
      <c r="D415" s="125"/>
    </row>
    <row r="416">
      <c r="A416" s="122" t="s">
        <v>10588</v>
      </c>
      <c r="B416" s="123">
        <v>1898416.0</v>
      </c>
      <c r="C416" s="687" t="s">
        <v>10589</v>
      </c>
      <c r="D416" s="125"/>
    </row>
    <row r="417">
      <c r="A417" s="122" t="s">
        <v>10352</v>
      </c>
      <c r="B417" s="123">
        <v>1810182.0</v>
      </c>
      <c r="C417" s="687" t="s">
        <v>10353</v>
      </c>
      <c r="D417" s="125"/>
    </row>
    <row r="418">
      <c r="A418" s="122" t="s">
        <v>1116</v>
      </c>
      <c r="B418" s="123">
        <v>1603519.0</v>
      </c>
      <c r="C418" s="687" t="s">
        <v>1117</v>
      </c>
      <c r="D418" s="125"/>
    </row>
    <row r="419">
      <c r="A419" s="122" t="s">
        <v>33412</v>
      </c>
      <c r="B419" s="123">
        <v>946822.0</v>
      </c>
      <c r="C419" s="687" t="s">
        <v>33413</v>
      </c>
      <c r="D419" s="125"/>
    </row>
    <row r="420">
      <c r="A420" s="122" t="s">
        <v>3606</v>
      </c>
      <c r="B420" s="123">
        <v>1677077.0</v>
      </c>
      <c r="C420" s="687" t="s">
        <v>3607</v>
      </c>
      <c r="D420" s="125"/>
    </row>
    <row r="421">
      <c r="A421" s="122" t="s">
        <v>1912</v>
      </c>
      <c r="B421" s="123">
        <v>1001082.0</v>
      </c>
      <c r="C421" s="687" t="s">
        <v>1913</v>
      </c>
      <c r="D421" s="125"/>
    </row>
    <row r="422">
      <c r="A422" s="122" t="s">
        <v>12396</v>
      </c>
      <c r="B422" s="123">
        <v>1823608.0</v>
      </c>
      <c r="C422" s="687" t="s">
        <v>12397</v>
      </c>
      <c r="D422" s="125"/>
    </row>
    <row r="423">
      <c r="A423" s="122" t="s">
        <v>33414</v>
      </c>
      <c r="B423" s="123">
        <v>1168663.0</v>
      </c>
      <c r="C423" s="687" t="s">
        <v>33415</v>
      </c>
      <c r="D423" s="125"/>
    </row>
    <row r="424">
      <c r="A424" s="122" t="s">
        <v>1761</v>
      </c>
      <c r="B424" s="123">
        <v>1175596.0</v>
      </c>
      <c r="C424" s="687" t="s">
        <v>1762</v>
      </c>
      <c r="D424" s="125"/>
    </row>
    <row r="425">
      <c r="A425" s="122" t="s">
        <v>1393</v>
      </c>
      <c r="B425" s="123">
        <v>1014763.0</v>
      </c>
      <c r="C425" s="687" t="s">
        <v>1394</v>
      </c>
      <c r="D425" s="125"/>
    </row>
    <row r="426">
      <c r="A426" s="122" t="s">
        <v>4052</v>
      </c>
      <c r="B426" s="123">
        <v>897448.0</v>
      </c>
      <c r="C426" s="687" t="s">
        <v>4053</v>
      </c>
      <c r="D426" s="125"/>
    </row>
    <row r="427">
      <c r="A427" s="122" t="s">
        <v>16016</v>
      </c>
      <c r="B427" s="123">
        <v>1018724.0</v>
      </c>
      <c r="C427" s="687" t="s">
        <v>16017</v>
      </c>
      <c r="D427" s="125"/>
    </row>
    <row r="428">
      <c r="A428" s="122" t="s">
        <v>10692</v>
      </c>
      <c r="B428" s="123">
        <v>874501.0</v>
      </c>
      <c r="C428" s="687" t="s">
        <v>10693</v>
      </c>
      <c r="D428" s="125"/>
    </row>
    <row r="429">
      <c r="A429" s="122" t="s">
        <v>14168</v>
      </c>
      <c r="B429" s="123">
        <v>1280263.0</v>
      </c>
      <c r="C429" s="687" t="s">
        <v>14169</v>
      </c>
      <c r="D429" s="125"/>
    </row>
    <row r="430">
      <c r="A430" s="122" t="s">
        <v>2129</v>
      </c>
      <c r="B430" s="123">
        <v>20639.0</v>
      </c>
      <c r="C430" s="687" t="s">
        <v>2130</v>
      </c>
      <c r="D430" s="125"/>
    </row>
    <row r="431">
      <c r="A431" s="122" t="s">
        <v>5273</v>
      </c>
      <c r="B431" s="123">
        <v>1565025.0</v>
      </c>
      <c r="C431" s="687" t="s">
        <v>5274</v>
      </c>
      <c r="D431" s="125"/>
    </row>
    <row r="432">
      <c r="A432" s="122" t="s">
        <v>2023</v>
      </c>
      <c r="B432" s="123">
        <v>1494558.0</v>
      </c>
      <c r="C432" s="687" t="s">
        <v>2024</v>
      </c>
      <c r="D432" s="125"/>
    </row>
    <row r="433">
      <c r="A433" s="122" t="s">
        <v>12617</v>
      </c>
      <c r="B433" s="123">
        <v>1836056.0</v>
      </c>
      <c r="C433" s="687" t="s">
        <v>12618</v>
      </c>
      <c r="D433" s="125"/>
    </row>
    <row r="434">
      <c r="A434" s="122" t="s">
        <v>6077</v>
      </c>
      <c r="B434" s="123">
        <v>1411579.0</v>
      </c>
      <c r="C434" s="687" t="s">
        <v>6078</v>
      </c>
      <c r="D434" s="125"/>
    </row>
    <row r="435">
      <c r="A435" s="122" t="s">
        <v>11063</v>
      </c>
      <c r="B435" s="123">
        <v>1514991.0</v>
      </c>
      <c r="C435" s="687" t="s">
        <v>11064</v>
      </c>
      <c r="D435" s="125"/>
    </row>
    <row r="436">
      <c r="A436" s="122" t="s">
        <v>16135</v>
      </c>
      <c r="B436" s="123">
        <v>928465.0</v>
      </c>
      <c r="C436" s="687" t="s">
        <v>16136</v>
      </c>
      <c r="D436" s="125"/>
    </row>
    <row r="437">
      <c r="A437" s="122" t="s">
        <v>8028</v>
      </c>
      <c r="B437" s="123">
        <v>1748790.0</v>
      </c>
      <c r="C437" s="687" t="s">
        <v>8029</v>
      </c>
      <c r="D437" s="125"/>
    </row>
    <row r="438">
      <c r="A438" s="122" t="s">
        <v>8158</v>
      </c>
      <c r="B438" s="123">
        <v>1748790.0</v>
      </c>
      <c r="C438" s="687" t="s">
        <v>8159</v>
      </c>
      <c r="D438" s="125"/>
    </row>
    <row r="439">
      <c r="A439" s="122" t="s">
        <v>15254</v>
      </c>
      <c r="B439" s="123">
        <v>1062579.0</v>
      </c>
      <c r="C439" s="687" t="s">
        <v>15255</v>
      </c>
      <c r="D439" s="125"/>
    </row>
    <row r="440">
      <c r="A440" s="122" t="s">
        <v>15295</v>
      </c>
      <c r="B440" s="123">
        <v>896262.0</v>
      </c>
      <c r="C440" s="687" t="s">
        <v>15296</v>
      </c>
      <c r="D440" s="125"/>
    </row>
    <row r="441">
      <c r="A441" s="122" t="s">
        <v>2169</v>
      </c>
      <c r="B441" s="123">
        <v>1776048.0</v>
      </c>
      <c r="C441" s="687" t="s">
        <v>2170</v>
      </c>
      <c r="D441" s="125"/>
    </row>
    <row r="442">
      <c r="A442" s="122" t="s">
        <v>14760</v>
      </c>
      <c r="B442" s="123">
        <v>1002910.0</v>
      </c>
      <c r="C442" s="687" t="s">
        <v>14761</v>
      </c>
      <c r="D442" s="125"/>
    </row>
    <row r="443">
      <c r="A443" s="122" t="s">
        <v>14765</v>
      </c>
      <c r="B443" s="123">
        <v>18654.0</v>
      </c>
      <c r="C443" s="687" t="s">
        <v>14766</v>
      </c>
      <c r="D443" s="125"/>
    </row>
    <row r="444">
      <c r="A444" s="122" t="s">
        <v>15113</v>
      </c>
      <c r="B444" s="123">
        <v>18654.0</v>
      </c>
      <c r="C444" s="687" t="s">
        <v>15114</v>
      </c>
      <c r="D444" s="125"/>
    </row>
    <row r="445">
      <c r="A445" s="122" t="s">
        <v>14619</v>
      </c>
      <c r="B445" s="123">
        <v>18654.0</v>
      </c>
      <c r="C445" s="687" t="s">
        <v>14620</v>
      </c>
      <c r="D445" s="125"/>
    </row>
    <row r="446">
      <c r="A446" s="122" t="s">
        <v>11605</v>
      </c>
      <c r="B446" s="123">
        <v>1488139.0</v>
      </c>
      <c r="C446" s="687" t="s">
        <v>11606</v>
      </c>
      <c r="D446" s="125"/>
    </row>
    <row r="447">
      <c r="A447" s="122" t="s">
        <v>33416</v>
      </c>
      <c r="B447" s="123">
        <v>1805024.0</v>
      </c>
      <c r="C447" s="687" t="s">
        <v>33417</v>
      </c>
      <c r="D447" s="125"/>
    </row>
    <row r="448">
      <c r="A448" s="122" t="s">
        <v>749</v>
      </c>
      <c r="B448" s="123">
        <v>1098009.0</v>
      </c>
      <c r="C448" s="687" t="s">
        <v>750</v>
      </c>
      <c r="D448" s="125"/>
    </row>
    <row r="449">
      <c r="A449" s="122" t="s">
        <v>11055</v>
      </c>
      <c r="B449" s="123">
        <v>1129137.0</v>
      </c>
      <c r="C449" s="687" t="s">
        <v>11056</v>
      </c>
      <c r="D449" s="125"/>
    </row>
    <row r="450">
      <c r="A450" s="122" t="s">
        <v>14533</v>
      </c>
      <c r="B450" s="123">
        <v>799850.0</v>
      </c>
      <c r="C450" s="687" t="s">
        <v>14534</v>
      </c>
      <c r="D450" s="125"/>
    </row>
    <row r="451">
      <c r="A451" s="122" t="s">
        <v>10326</v>
      </c>
      <c r="B451" s="123">
        <v>6201.0</v>
      </c>
      <c r="C451" s="687" t="s">
        <v>10327</v>
      </c>
      <c r="D451" s="125"/>
    </row>
    <row r="452">
      <c r="A452" s="122" t="s">
        <v>11814</v>
      </c>
      <c r="B452" s="123">
        <v>1500217.0</v>
      </c>
      <c r="C452" s="687" t="s">
        <v>11815</v>
      </c>
      <c r="D452" s="125"/>
    </row>
    <row r="453">
      <c r="A453" s="122" t="s">
        <v>7747</v>
      </c>
      <c r="B453" s="123">
        <v>1062231.0</v>
      </c>
      <c r="C453" s="687" t="s">
        <v>7748</v>
      </c>
      <c r="D453" s="125"/>
    </row>
    <row r="454">
      <c r="A454" s="122" t="s">
        <v>33418</v>
      </c>
      <c r="B454" s="123">
        <v>896747.0</v>
      </c>
      <c r="C454" s="687" t="s">
        <v>33419</v>
      </c>
      <c r="D454" s="125"/>
    </row>
    <row r="455">
      <c r="A455" s="122" t="s">
        <v>613</v>
      </c>
      <c r="B455" s="123">
        <v>945617.0</v>
      </c>
      <c r="C455" s="687" t="s">
        <v>614</v>
      </c>
      <c r="D455" s="125"/>
    </row>
    <row r="456">
      <c r="A456" s="122" t="s">
        <v>7337</v>
      </c>
      <c r="B456" s="123">
        <v>773717.0</v>
      </c>
      <c r="C456" s="687" t="s">
        <v>7338</v>
      </c>
      <c r="D456" s="125"/>
    </row>
    <row r="457">
      <c r="A457" s="122" t="s">
        <v>33420</v>
      </c>
      <c r="B457" s="123">
        <v>1468679.0</v>
      </c>
      <c r="C457" s="687" t="s">
        <v>33421</v>
      </c>
      <c r="D457" s="125"/>
    </row>
    <row r="458">
      <c r="A458" s="122" t="s">
        <v>11566</v>
      </c>
      <c r="B458" s="123">
        <v>919012.0</v>
      </c>
      <c r="C458" s="687" t="s">
        <v>11567</v>
      </c>
      <c r="D458" s="125"/>
    </row>
    <row r="459">
      <c r="A459" s="122" t="s">
        <v>33422</v>
      </c>
      <c r="B459" s="123">
        <v>1626556.0</v>
      </c>
      <c r="C459" s="687" t="s">
        <v>33423</v>
      </c>
      <c r="D459" s="125"/>
    </row>
    <row r="460">
      <c r="A460" s="122" t="s">
        <v>14971</v>
      </c>
      <c r="B460" s="123">
        <v>4904.0</v>
      </c>
      <c r="C460" s="687" t="s">
        <v>14972</v>
      </c>
      <c r="D460" s="125"/>
    </row>
    <row r="461">
      <c r="A461" s="122" t="s">
        <v>14284</v>
      </c>
      <c r="B461" s="123">
        <v>1039828.0</v>
      </c>
      <c r="C461" s="687" t="s">
        <v>14285</v>
      </c>
      <c r="D461" s="125"/>
    </row>
    <row r="462">
      <c r="A462" s="122" t="s">
        <v>16176</v>
      </c>
      <c r="B462" s="123">
        <v>4962.0</v>
      </c>
      <c r="C462" s="687" t="s">
        <v>16177</v>
      </c>
      <c r="D462" s="125"/>
    </row>
    <row r="463">
      <c r="A463" s="122" t="s">
        <v>11337</v>
      </c>
      <c r="B463" s="123">
        <v>1042046.0</v>
      </c>
      <c r="C463" s="687" t="s">
        <v>11338</v>
      </c>
      <c r="D463" s="125"/>
    </row>
    <row r="464">
      <c r="A464" s="122" t="s">
        <v>11749</v>
      </c>
      <c r="B464" s="123">
        <v>1042046.0</v>
      </c>
      <c r="C464" s="687" t="s">
        <v>11750</v>
      </c>
      <c r="D464" s="125"/>
    </row>
    <row r="465">
      <c r="A465" s="122" t="s">
        <v>11979</v>
      </c>
      <c r="B465" s="123">
        <v>1042046.0</v>
      </c>
      <c r="C465" s="687" t="s">
        <v>11980</v>
      </c>
      <c r="D465" s="125"/>
    </row>
    <row r="466">
      <c r="A466" s="122" t="s">
        <v>12212</v>
      </c>
      <c r="B466" s="123">
        <v>1042046.0</v>
      </c>
      <c r="C466" s="687" t="s">
        <v>12213</v>
      </c>
      <c r="D466" s="125"/>
    </row>
    <row r="467">
      <c r="A467" s="122" t="s">
        <v>15603</v>
      </c>
      <c r="B467" s="123">
        <v>1042046.0</v>
      </c>
      <c r="C467" s="687" t="s">
        <v>15604</v>
      </c>
      <c r="D467" s="125"/>
    </row>
    <row r="468">
      <c r="A468" s="122" t="s">
        <v>33424</v>
      </c>
      <c r="B468" s="123">
        <v>1550020.0</v>
      </c>
      <c r="C468" s="687" t="s">
        <v>33425</v>
      </c>
      <c r="D468" s="125"/>
    </row>
    <row r="469">
      <c r="A469" s="122" t="s">
        <v>13266</v>
      </c>
      <c r="B469" s="123">
        <v>1562401.0</v>
      </c>
      <c r="C469" s="687" t="s">
        <v>13267</v>
      </c>
      <c r="D469" s="125"/>
    </row>
    <row r="470">
      <c r="A470" s="122" t="s">
        <v>14771</v>
      </c>
      <c r="B470" s="123">
        <v>5272.0</v>
      </c>
      <c r="C470" s="687" t="s">
        <v>14772</v>
      </c>
      <c r="D470" s="125"/>
    </row>
    <row r="471">
      <c r="A471" s="122" t="s">
        <v>33426</v>
      </c>
      <c r="B471" s="123">
        <v>1300524.0</v>
      </c>
      <c r="C471" s="687" t="s">
        <v>33427</v>
      </c>
      <c r="D471" s="125"/>
    </row>
    <row r="472">
      <c r="A472" s="122" t="s">
        <v>33428</v>
      </c>
      <c r="B472" s="123">
        <v>1124197.0</v>
      </c>
      <c r="C472" s="687" t="s">
        <v>33429</v>
      </c>
      <c r="D472" s="125"/>
    </row>
    <row r="473">
      <c r="A473" s="122" t="s">
        <v>13857</v>
      </c>
      <c r="B473" s="123">
        <v>741516.0</v>
      </c>
      <c r="C473" s="687" t="s">
        <v>13858</v>
      </c>
      <c r="D473" s="125"/>
    </row>
    <row r="474">
      <c r="A474" s="122" t="s">
        <v>8056</v>
      </c>
      <c r="B474" s="123">
        <v>1808997.0</v>
      </c>
      <c r="C474" s="687" t="s">
        <v>8057</v>
      </c>
      <c r="D474" s="125"/>
    </row>
    <row r="475">
      <c r="A475" s="122" t="s">
        <v>9208</v>
      </c>
      <c r="B475" s="123">
        <v>1201792.0</v>
      </c>
      <c r="C475" s="687" t="s">
        <v>9209</v>
      </c>
      <c r="D475" s="125"/>
    </row>
    <row r="476">
      <c r="A476" s="122" t="s">
        <v>11808</v>
      </c>
      <c r="B476" s="123">
        <v>1102238.0</v>
      </c>
      <c r="C476" s="687" t="s">
        <v>11809</v>
      </c>
      <c r="D476" s="125"/>
    </row>
    <row r="477">
      <c r="A477" s="122" t="s">
        <v>2445</v>
      </c>
      <c r="B477" s="123">
        <v>1648087.0</v>
      </c>
      <c r="C477" s="687" t="s">
        <v>550</v>
      </c>
      <c r="D477" s="125"/>
    </row>
    <row r="478">
      <c r="A478" s="122" t="s">
        <v>549</v>
      </c>
      <c r="B478" s="123">
        <v>1648087.0</v>
      </c>
      <c r="C478" s="687" t="s">
        <v>550</v>
      </c>
      <c r="D478" s="125"/>
    </row>
    <row r="479">
      <c r="A479" s="122" t="s">
        <v>4225</v>
      </c>
      <c r="B479" s="123">
        <v>1590715.0</v>
      </c>
      <c r="C479" s="687" t="s">
        <v>4226</v>
      </c>
      <c r="D479" s="125"/>
    </row>
    <row r="480">
      <c r="A480" s="122" t="s">
        <v>3105</v>
      </c>
      <c r="B480" s="123">
        <v>1590715.0</v>
      </c>
      <c r="C480" s="687" t="s">
        <v>3106</v>
      </c>
      <c r="D480" s="125"/>
    </row>
    <row r="481">
      <c r="A481" s="122" t="s">
        <v>5330</v>
      </c>
      <c r="B481" s="123">
        <v>744825.0</v>
      </c>
      <c r="C481" s="687" t="s">
        <v>5331</v>
      </c>
      <c r="D481" s="125"/>
    </row>
    <row r="482">
      <c r="A482" s="122" t="s">
        <v>9022</v>
      </c>
      <c r="B482" s="123">
        <v>713425.0</v>
      </c>
      <c r="C482" s="687" t="s">
        <v>9023</v>
      </c>
      <c r="D482" s="125"/>
    </row>
    <row r="483">
      <c r="A483" s="122" t="s">
        <v>14889</v>
      </c>
      <c r="B483" s="123">
        <v>1056903.0</v>
      </c>
      <c r="C483" s="687" t="s">
        <v>14890</v>
      </c>
      <c r="D483" s="125"/>
    </row>
    <row r="484">
      <c r="A484" s="122" t="s">
        <v>9244</v>
      </c>
      <c r="B484" s="123">
        <v>880807.0</v>
      </c>
      <c r="C484" s="687" t="s">
        <v>9245</v>
      </c>
      <c r="D484" s="125"/>
    </row>
    <row r="485">
      <c r="A485" s="122" t="s">
        <v>16130</v>
      </c>
      <c r="B485" s="123">
        <v>1053507.0</v>
      </c>
      <c r="C485" s="687" t="s">
        <v>16131</v>
      </c>
      <c r="D485" s="125"/>
    </row>
    <row r="486">
      <c r="A486" s="122" t="s">
        <v>9251</v>
      </c>
      <c r="B486" s="123">
        <v>5981.0</v>
      </c>
      <c r="C486" s="687" t="s">
        <v>9252</v>
      </c>
      <c r="D486" s="125"/>
    </row>
    <row r="487">
      <c r="A487" s="122" t="s">
        <v>15659</v>
      </c>
      <c r="B487" s="123">
        <v>1410636.0</v>
      </c>
      <c r="C487" s="687" t="s">
        <v>15660</v>
      </c>
      <c r="D487" s="125"/>
    </row>
    <row r="488">
      <c r="A488" s="122" t="s">
        <v>3881</v>
      </c>
      <c r="B488" s="123">
        <v>1393584.0</v>
      </c>
      <c r="C488" s="687" t="s">
        <v>3882</v>
      </c>
      <c r="D488" s="125"/>
    </row>
    <row r="489">
      <c r="A489" s="122" t="s">
        <v>1789</v>
      </c>
      <c r="B489" s="123">
        <v>1508348.0</v>
      </c>
      <c r="C489" s="687" t="s">
        <v>1790</v>
      </c>
      <c r="D489" s="125"/>
    </row>
    <row r="490">
      <c r="A490" s="122" t="s">
        <v>2435</v>
      </c>
      <c r="B490" s="123">
        <v>1286973.0</v>
      </c>
      <c r="C490" s="687" t="s">
        <v>2436</v>
      </c>
      <c r="D490" s="125"/>
    </row>
    <row r="491">
      <c r="A491" s="122" t="s">
        <v>12655</v>
      </c>
      <c r="B491" s="123">
        <v>1455863.0</v>
      </c>
      <c r="C491" s="687" t="s">
        <v>12656</v>
      </c>
      <c r="D491" s="125"/>
    </row>
    <row r="492">
      <c r="A492" s="122" t="s">
        <v>3381</v>
      </c>
      <c r="B492" s="123">
        <v>1407573.0</v>
      </c>
      <c r="C492" s="687" t="s">
        <v>3382</v>
      </c>
      <c r="D492" s="125"/>
    </row>
    <row r="493">
      <c r="A493" s="122" t="s">
        <v>3297</v>
      </c>
      <c r="B493" s="123">
        <v>1514443.0</v>
      </c>
      <c r="C493" s="687" t="s">
        <v>3298</v>
      </c>
      <c r="D493" s="125"/>
    </row>
    <row r="494">
      <c r="A494" s="122" t="s">
        <v>16517</v>
      </c>
      <c r="B494" s="123">
        <v>820027.0</v>
      </c>
      <c r="C494" s="687" t="s">
        <v>16518</v>
      </c>
      <c r="D494" s="125"/>
    </row>
    <row r="495">
      <c r="A495" s="122" t="s">
        <v>14062</v>
      </c>
      <c r="B495" s="123">
        <v>351569.0</v>
      </c>
      <c r="C495" s="687" t="s">
        <v>13807</v>
      </c>
      <c r="D495" s="125"/>
    </row>
    <row r="496">
      <c r="A496" s="122" t="s">
        <v>13806</v>
      </c>
      <c r="B496" s="123">
        <v>1364128.0</v>
      </c>
      <c r="C496" s="687" t="s">
        <v>13807</v>
      </c>
      <c r="D496" s="125"/>
    </row>
    <row r="497">
      <c r="A497" s="122" t="s">
        <v>14048</v>
      </c>
      <c r="B497" s="123">
        <v>1018979.0</v>
      </c>
      <c r="C497" s="687" t="s">
        <v>14049</v>
      </c>
      <c r="D497" s="125"/>
    </row>
    <row r="498">
      <c r="A498" s="122" t="s">
        <v>5616</v>
      </c>
      <c r="B498" s="123">
        <v>707605.0</v>
      </c>
      <c r="C498" s="687" t="s">
        <v>5617</v>
      </c>
      <c r="D498" s="125"/>
    </row>
    <row r="499">
      <c r="A499" s="122" t="s">
        <v>33430</v>
      </c>
      <c r="B499" s="123">
        <v>1530185.0</v>
      </c>
      <c r="C499" s="687" t="s">
        <v>33431</v>
      </c>
      <c r="D499" s="125"/>
    </row>
    <row r="500">
      <c r="A500" s="122" t="s">
        <v>33432</v>
      </c>
      <c r="B500" s="123">
        <v>1372954.0</v>
      </c>
      <c r="C500" s="687" t="s">
        <v>33433</v>
      </c>
      <c r="D500" s="125"/>
    </row>
    <row r="501">
      <c r="A501" s="122" t="s">
        <v>11355</v>
      </c>
      <c r="B501" s="123">
        <v>1132651.0</v>
      </c>
      <c r="C501" s="687" t="s">
        <v>11356</v>
      </c>
      <c r="D501" s="125"/>
    </row>
    <row r="502">
      <c r="A502" s="122" t="s">
        <v>15990</v>
      </c>
      <c r="B502" s="123">
        <v>1037868.0</v>
      </c>
      <c r="C502" s="687" t="s">
        <v>15991</v>
      </c>
      <c r="D502" s="125"/>
    </row>
    <row r="503">
      <c r="A503" s="122" t="s">
        <v>14007</v>
      </c>
      <c r="B503" s="123">
        <v>1004434.0</v>
      </c>
      <c r="C503" s="687" t="s">
        <v>14008</v>
      </c>
      <c r="D503" s="125"/>
    </row>
    <row r="504">
      <c r="A504" s="122" t="s">
        <v>16448</v>
      </c>
      <c r="B504" s="123">
        <v>318154.0</v>
      </c>
      <c r="C504" s="687" t="s">
        <v>16449</v>
      </c>
      <c r="D504" s="125"/>
    </row>
    <row r="505">
      <c r="A505" s="122" t="s">
        <v>9736</v>
      </c>
      <c r="B505" s="123">
        <v>1178879.0</v>
      </c>
      <c r="C505" s="687" t="s">
        <v>9737</v>
      </c>
      <c r="D505" s="125"/>
    </row>
    <row r="506">
      <c r="A506" s="122" t="s">
        <v>33434</v>
      </c>
      <c r="B506" s="123">
        <v>1552448.0</v>
      </c>
      <c r="C506" s="687" t="s">
        <v>33435</v>
      </c>
      <c r="D506" s="125"/>
    </row>
    <row r="507">
      <c r="A507" s="122" t="s">
        <v>12977</v>
      </c>
      <c r="B507" s="123">
        <v>1047127.0</v>
      </c>
      <c r="C507" s="687" t="s">
        <v>12978</v>
      </c>
      <c r="D507" s="125"/>
    </row>
    <row r="508">
      <c r="A508" s="122" t="s">
        <v>12362</v>
      </c>
      <c r="B508" s="123">
        <v>1015383.0</v>
      </c>
      <c r="C508" s="687" t="s">
        <v>12363</v>
      </c>
      <c r="D508" s="125"/>
    </row>
    <row r="509">
      <c r="A509" s="122" t="s">
        <v>5003</v>
      </c>
      <c r="B509" s="123">
        <v>1015383.0</v>
      </c>
      <c r="C509" s="687" t="s">
        <v>5004</v>
      </c>
      <c r="D509" s="125"/>
    </row>
    <row r="510">
      <c r="A510" s="122" t="s">
        <v>14918</v>
      </c>
      <c r="B510" s="123">
        <v>1142750.0</v>
      </c>
      <c r="C510" s="687" t="s">
        <v>14919</v>
      </c>
      <c r="D510" s="125"/>
    </row>
    <row r="511">
      <c r="A511" s="122" t="s">
        <v>6808</v>
      </c>
      <c r="B511" s="123">
        <v>1723128.0</v>
      </c>
      <c r="C511" s="687" t="s">
        <v>6809</v>
      </c>
      <c r="D511" s="125"/>
    </row>
    <row r="512">
      <c r="A512" s="122" t="s">
        <v>16728</v>
      </c>
      <c r="B512" s="123">
        <v>46129.0</v>
      </c>
      <c r="C512" s="687" t="s">
        <v>16729</v>
      </c>
      <c r="D512" s="125"/>
    </row>
    <row r="513">
      <c r="A513" s="122" t="s">
        <v>5227</v>
      </c>
      <c r="B513" s="123">
        <v>6176.0</v>
      </c>
      <c r="C513" s="687" t="s">
        <v>5228</v>
      </c>
      <c r="D513" s="125"/>
    </row>
    <row r="514">
      <c r="A514" s="122" t="s">
        <v>14192</v>
      </c>
      <c r="B514" s="123">
        <v>1297184.0</v>
      </c>
      <c r="C514" s="687" t="s">
        <v>14193</v>
      </c>
      <c r="D514" s="125"/>
    </row>
    <row r="515">
      <c r="A515" s="122" t="s">
        <v>15445</v>
      </c>
      <c r="B515" s="123">
        <v>820313.0</v>
      </c>
      <c r="C515" s="687" t="s">
        <v>15446</v>
      </c>
      <c r="D515" s="125"/>
    </row>
    <row r="516">
      <c r="A516" s="122" t="s">
        <v>4691</v>
      </c>
      <c r="B516" s="123">
        <v>1411906.0</v>
      </c>
      <c r="C516" s="687" t="s">
        <v>4692</v>
      </c>
      <c r="D516" s="125"/>
    </row>
    <row r="517">
      <c r="A517" s="122" t="s">
        <v>6968</v>
      </c>
      <c r="B517" s="123">
        <v>1533924.0</v>
      </c>
      <c r="C517" s="687" t="s">
        <v>6969</v>
      </c>
      <c r="D517" s="125"/>
    </row>
    <row r="518">
      <c r="A518" s="122" t="s">
        <v>2197</v>
      </c>
      <c r="B518" s="123">
        <v>1518461.0</v>
      </c>
      <c r="C518" s="687" t="s">
        <v>2198</v>
      </c>
      <c r="D518" s="125"/>
    </row>
    <row r="519">
      <c r="A519" s="122" t="s">
        <v>4985</v>
      </c>
      <c r="B519" s="123">
        <v>1518461.0</v>
      </c>
      <c r="C519" s="687" t="s">
        <v>4986</v>
      </c>
      <c r="D519" s="125"/>
    </row>
    <row r="520">
      <c r="A520" s="122" t="s">
        <v>9933</v>
      </c>
      <c r="B520" s="123">
        <v>1866692.0</v>
      </c>
      <c r="C520" s="687" t="s">
        <v>9934</v>
      </c>
      <c r="D520" s="125"/>
    </row>
    <row r="521">
      <c r="A521" s="122" t="s">
        <v>6121</v>
      </c>
      <c r="B521" s="123">
        <v>1899287.0</v>
      </c>
      <c r="C521" s="687" t="s">
        <v>6122</v>
      </c>
      <c r="D521" s="125"/>
    </row>
    <row r="522">
      <c r="A522" s="122" t="s">
        <v>11345</v>
      </c>
      <c r="B522" s="123">
        <v>6207.0</v>
      </c>
      <c r="C522" s="687" t="s">
        <v>11346</v>
      </c>
      <c r="D522" s="125"/>
    </row>
    <row r="523">
      <c r="A523" s="122" t="s">
        <v>6044</v>
      </c>
      <c r="B523" s="123">
        <v>1809691.0</v>
      </c>
      <c r="C523" s="687" t="s">
        <v>6045</v>
      </c>
      <c r="D523" s="125"/>
    </row>
    <row r="524">
      <c r="A524" s="122" t="s">
        <v>6103</v>
      </c>
      <c r="B524" s="123">
        <v>720500.0</v>
      </c>
      <c r="C524" s="687" t="s">
        <v>6104</v>
      </c>
      <c r="D524" s="125"/>
    </row>
    <row r="525">
      <c r="A525" s="122" t="s">
        <v>13570</v>
      </c>
      <c r="B525" s="123">
        <v>1835713.0</v>
      </c>
      <c r="C525" s="687" t="s">
        <v>13571</v>
      </c>
      <c r="D525" s="125"/>
    </row>
    <row r="526">
      <c r="A526" s="122" t="s">
        <v>16764</v>
      </c>
      <c r="B526" s="123">
        <v>1696898.0</v>
      </c>
      <c r="C526" s="687" t="s">
        <v>16765</v>
      </c>
      <c r="D526" s="125"/>
    </row>
    <row r="527">
      <c r="A527" s="122" t="s">
        <v>12358</v>
      </c>
      <c r="B527" s="123">
        <v>1855555.0</v>
      </c>
      <c r="C527" s="687" t="s">
        <v>12359</v>
      </c>
      <c r="D527" s="125"/>
    </row>
    <row r="528">
      <c r="A528" s="122" t="s">
        <v>8594</v>
      </c>
      <c r="B528" s="123">
        <v>1855555.0</v>
      </c>
      <c r="C528" s="687" t="s">
        <v>8595</v>
      </c>
      <c r="D528" s="125"/>
    </row>
    <row r="529">
      <c r="A529" s="122" t="s">
        <v>10600</v>
      </c>
      <c r="B529" s="123">
        <v>1658551.0</v>
      </c>
      <c r="C529" s="687" t="s">
        <v>10601</v>
      </c>
      <c r="D529" s="125"/>
    </row>
    <row r="530">
      <c r="A530" s="122" t="s">
        <v>3757</v>
      </c>
      <c r="B530" s="123">
        <v>1365916.0</v>
      </c>
      <c r="C530" s="687" t="s">
        <v>3758</v>
      </c>
      <c r="D530" s="125"/>
    </row>
    <row r="531">
      <c r="A531" s="122" t="s">
        <v>11492</v>
      </c>
      <c r="B531" s="123">
        <v>1880438.0</v>
      </c>
      <c r="C531" s="687" t="s">
        <v>11493</v>
      </c>
      <c r="D531" s="125"/>
    </row>
    <row r="532">
      <c r="A532" s="122" t="s">
        <v>16124</v>
      </c>
      <c r="B532" s="123">
        <v>6281.0</v>
      </c>
      <c r="C532" s="687" t="s">
        <v>16125</v>
      </c>
      <c r="D532" s="125"/>
    </row>
    <row r="533">
      <c r="A533" s="122" t="s">
        <v>12095</v>
      </c>
      <c r="B533" s="123">
        <v>1370053.0</v>
      </c>
      <c r="C533" s="687" t="s">
        <v>12096</v>
      </c>
      <c r="D533" s="125"/>
    </row>
    <row r="534">
      <c r="A534" s="122" t="s">
        <v>6890</v>
      </c>
      <c r="B534" s="123">
        <v>1314052.0</v>
      </c>
      <c r="C534" s="687" t="s">
        <v>6891</v>
      </c>
      <c r="D534" s="125"/>
    </row>
    <row r="535">
      <c r="A535" s="122" t="s">
        <v>3319</v>
      </c>
      <c r="B535" s="123">
        <v>1734005.0</v>
      </c>
      <c r="C535" s="687" t="s">
        <v>3320</v>
      </c>
      <c r="D535" s="125"/>
    </row>
    <row r="536">
      <c r="A536" s="122" t="s">
        <v>14178</v>
      </c>
      <c r="B536" s="123">
        <v>821026.0</v>
      </c>
      <c r="C536" s="687" t="s">
        <v>14179</v>
      </c>
      <c r="D536" s="125"/>
    </row>
    <row r="537">
      <c r="A537" s="122" t="s">
        <v>555</v>
      </c>
      <c r="B537" s="123">
        <v>6494.0</v>
      </c>
      <c r="C537" s="687" t="s">
        <v>556</v>
      </c>
      <c r="D537" s="125"/>
    </row>
    <row r="538">
      <c r="A538" s="122" t="s">
        <v>9012</v>
      </c>
      <c r="B538" s="123">
        <v>1843714.0</v>
      </c>
      <c r="C538" s="687" t="s">
        <v>9013</v>
      </c>
      <c r="D538" s="125"/>
    </row>
    <row r="539">
      <c r="A539" s="122" t="s">
        <v>9716</v>
      </c>
      <c r="B539" s="123">
        <v>1436467.0</v>
      </c>
      <c r="C539" s="687" t="s">
        <v>9717</v>
      </c>
      <c r="D539" s="125"/>
    </row>
    <row r="540">
      <c r="A540" s="122" t="s">
        <v>14397</v>
      </c>
      <c r="B540" s="123">
        <v>1436467.0</v>
      </c>
      <c r="C540" s="687" t="s">
        <v>14398</v>
      </c>
      <c r="D540" s="125"/>
    </row>
    <row r="541">
      <c r="A541" s="122" t="s">
        <v>5229</v>
      </c>
      <c r="B541" s="123">
        <v>1815974.0</v>
      </c>
      <c r="C541" s="687" t="s">
        <v>5230</v>
      </c>
      <c r="D541" s="125"/>
    </row>
    <row r="542">
      <c r="A542" s="122" t="s">
        <v>1640</v>
      </c>
      <c r="B542" s="123">
        <v>1519469.0</v>
      </c>
      <c r="C542" s="687" t="s">
        <v>1641</v>
      </c>
      <c r="D542" s="125"/>
    </row>
    <row r="543">
      <c r="A543" s="122" t="s">
        <v>9702</v>
      </c>
      <c r="B543" s="123">
        <v>1745059.0</v>
      </c>
      <c r="C543" s="687" t="s">
        <v>9703</v>
      </c>
      <c r="D543" s="125"/>
    </row>
    <row r="544">
      <c r="A544" s="122" t="s">
        <v>1140</v>
      </c>
      <c r="B544" s="123">
        <v>1871983.0</v>
      </c>
      <c r="C544" s="687" t="s">
        <v>1141</v>
      </c>
      <c r="D544" s="125"/>
    </row>
    <row r="545">
      <c r="A545" s="122" t="s">
        <v>3771</v>
      </c>
      <c r="B545" s="123">
        <v>1871983.0</v>
      </c>
      <c r="C545" s="687" t="s">
        <v>3772</v>
      </c>
      <c r="D545" s="125"/>
    </row>
    <row r="546">
      <c r="A546" s="122" t="s">
        <v>5125</v>
      </c>
      <c r="B546" s="123">
        <v>1705110.0</v>
      </c>
      <c r="C546" s="687" t="s">
        <v>5126</v>
      </c>
      <c r="D546" s="125"/>
    </row>
    <row r="547">
      <c r="A547" s="122" t="s">
        <v>6977</v>
      </c>
      <c r="B547" s="123">
        <v>1275187.0</v>
      </c>
      <c r="C547" s="687" t="s">
        <v>6978</v>
      </c>
      <c r="D547" s="125"/>
    </row>
    <row r="548">
      <c r="A548" s="122" t="s">
        <v>11052</v>
      </c>
      <c r="B548" s="123">
        <v>1067428.0</v>
      </c>
      <c r="C548" s="687" t="s">
        <v>11053</v>
      </c>
      <c r="D548" s="125"/>
    </row>
    <row r="549">
      <c r="A549" s="122" t="s">
        <v>14530</v>
      </c>
      <c r="B549" s="123">
        <v>1668717.0</v>
      </c>
      <c r="C549" s="687" t="s">
        <v>14531</v>
      </c>
      <c r="D549" s="125"/>
    </row>
    <row r="550">
      <c r="A550" s="122" t="s">
        <v>14532</v>
      </c>
      <c r="B550" s="123">
        <v>1668717.0</v>
      </c>
      <c r="C550" s="687" t="s">
        <v>14531</v>
      </c>
      <c r="D550" s="125"/>
    </row>
    <row r="551">
      <c r="A551" s="122" t="s">
        <v>14282</v>
      </c>
      <c r="B551" s="123">
        <v>1023024.0</v>
      </c>
      <c r="C551" s="687" t="s">
        <v>14283</v>
      </c>
      <c r="D551" s="125"/>
    </row>
    <row r="552">
      <c r="A552" s="122" t="s">
        <v>11959</v>
      </c>
      <c r="B552" s="123">
        <v>898437.0</v>
      </c>
      <c r="C552" s="687" t="s">
        <v>11960</v>
      </c>
      <c r="D552" s="125"/>
    </row>
    <row r="553">
      <c r="A553" s="122" t="s">
        <v>6366</v>
      </c>
      <c r="B553" s="123">
        <v>715446.0</v>
      </c>
      <c r="C553" s="687" t="s">
        <v>6367</v>
      </c>
      <c r="D553" s="125"/>
    </row>
    <row r="554">
      <c r="A554" s="122" t="s">
        <v>11273</v>
      </c>
      <c r="B554" s="123">
        <v>1043219.0</v>
      </c>
      <c r="C554" s="687" t="s">
        <v>11274</v>
      </c>
      <c r="D554" s="125"/>
    </row>
    <row r="555">
      <c r="A555" s="122" t="s">
        <v>2576</v>
      </c>
      <c r="B555" s="123">
        <v>1528115.0</v>
      </c>
      <c r="C555" s="687" t="s">
        <v>2577</v>
      </c>
      <c r="D555" s="125"/>
    </row>
    <row r="556">
      <c r="A556" s="122" t="s">
        <v>8375</v>
      </c>
      <c r="B556" s="123">
        <v>1477845.0</v>
      </c>
      <c r="C556" s="687" t="s">
        <v>8376</v>
      </c>
      <c r="D556" s="125"/>
    </row>
    <row r="557">
      <c r="A557" s="122" t="s">
        <v>16455</v>
      </c>
      <c r="B557" s="123">
        <v>1013462.0</v>
      </c>
      <c r="C557" s="687" t="s">
        <v>16456</v>
      </c>
      <c r="D557" s="125"/>
    </row>
    <row r="558">
      <c r="A558" s="122" t="s">
        <v>4447</v>
      </c>
      <c r="B558" s="123">
        <v>1470683.0</v>
      </c>
      <c r="C558" s="687" t="s">
        <v>4448</v>
      </c>
      <c r="D558" s="125"/>
    </row>
    <row r="559">
      <c r="A559" s="122" t="s">
        <v>12907</v>
      </c>
      <c r="B559" s="123">
        <v>1304492.0</v>
      </c>
      <c r="C559" s="687" t="s">
        <v>12908</v>
      </c>
      <c r="D559" s="125"/>
    </row>
    <row r="560">
      <c r="A560" s="122" t="s">
        <v>11743</v>
      </c>
      <c r="B560" s="123">
        <v>1433270.0</v>
      </c>
      <c r="C560" s="687" t="s">
        <v>11744</v>
      </c>
      <c r="D560" s="125"/>
    </row>
    <row r="561">
      <c r="A561" s="122" t="s">
        <v>33436</v>
      </c>
      <c r="B561" s="123">
        <v>1691906.0</v>
      </c>
      <c r="C561" s="687" t="s">
        <v>33437</v>
      </c>
      <c r="D561" s="125"/>
    </row>
    <row r="562">
      <c r="A562" s="122" t="s">
        <v>5161</v>
      </c>
      <c r="B562" s="123">
        <v>1570132.0</v>
      </c>
      <c r="C562" s="687" t="s">
        <v>5162</v>
      </c>
      <c r="D562" s="125"/>
    </row>
    <row r="563">
      <c r="A563" s="122" t="s">
        <v>16402</v>
      </c>
      <c r="B563" s="123">
        <v>315293.0</v>
      </c>
      <c r="C563" s="687" t="s">
        <v>16403</v>
      </c>
      <c r="D563" s="125"/>
    </row>
    <row r="564">
      <c r="A564" s="122" t="s">
        <v>9269</v>
      </c>
      <c r="B564" s="123">
        <v>1862993.0</v>
      </c>
      <c r="C564" s="687" t="s">
        <v>9270</v>
      </c>
      <c r="D564" s="125"/>
    </row>
    <row r="565">
      <c r="A565" s="122" t="s">
        <v>12818</v>
      </c>
      <c r="B565" s="123">
        <v>1841666.0</v>
      </c>
      <c r="C565" s="687" t="s">
        <v>12819</v>
      </c>
      <c r="D565" s="125"/>
    </row>
    <row r="566">
      <c r="A566" s="122" t="s">
        <v>7487</v>
      </c>
      <c r="B566" s="123">
        <v>922864.0</v>
      </c>
      <c r="C566" s="687" t="s">
        <v>7488</v>
      </c>
      <c r="D566" s="125"/>
    </row>
    <row r="567">
      <c r="A567" s="122" t="s">
        <v>14551</v>
      </c>
      <c r="B567" s="123">
        <v>1492422.0</v>
      </c>
      <c r="C567" s="687" t="s">
        <v>14552</v>
      </c>
      <c r="D567" s="125"/>
    </row>
    <row r="568">
      <c r="A568" s="122" t="s">
        <v>16083</v>
      </c>
      <c r="B568" s="123">
        <v>1814140.0</v>
      </c>
      <c r="C568" s="687" t="s">
        <v>16084</v>
      </c>
      <c r="D568" s="125"/>
    </row>
    <row r="569">
      <c r="A569" s="122" t="s">
        <v>13106</v>
      </c>
      <c r="B569" s="123">
        <v>1796209.0</v>
      </c>
      <c r="C569" s="687" t="s">
        <v>13107</v>
      </c>
      <c r="D569" s="125"/>
    </row>
    <row r="570">
      <c r="A570" s="122" t="s">
        <v>14226</v>
      </c>
      <c r="B570" s="123">
        <v>6845.0</v>
      </c>
      <c r="C570" s="687" t="s">
        <v>14227</v>
      </c>
      <c r="D570" s="125"/>
    </row>
    <row r="571">
      <c r="A571" s="122" t="s">
        <v>1565</v>
      </c>
      <c r="B571" s="123">
        <v>1857662.0</v>
      </c>
      <c r="C571" s="687" t="s">
        <v>1566</v>
      </c>
      <c r="D571" s="125"/>
    </row>
    <row r="572">
      <c r="A572" s="122" t="s">
        <v>9176</v>
      </c>
      <c r="B572" s="123">
        <v>1467760.0</v>
      </c>
      <c r="C572" s="687" t="s">
        <v>9177</v>
      </c>
      <c r="D572" s="125"/>
    </row>
    <row r="573">
      <c r="A573" s="122" t="s">
        <v>15439</v>
      </c>
      <c r="B573" s="123">
        <v>1858681.0</v>
      </c>
      <c r="C573" s="687" t="s">
        <v>15440</v>
      </c>
      <c r="D573" s="125"/>
    </row>
    <row r="574">
      <c r="A574" s="122" t="s">
        <v>13308</v>
      </c>
      <c r="B574" s="123">
        <v>1083446.0</v>
      </c>
      <c r="C574" s="687" t="s">
        <v>13309</v>
      </c>
      <c r="D574" s="125"/>
    </row>
    <row r="575">
      <c r="A575" s="122" t="s">
        <v>10108</v>
      </c>
      <c r="B575" s="123">
        <v>1502573.0</v>
      </c>
      <c r="C575" s="687" t="s">
        <v>10109</v>
      </c>
      <c r="D575" s="125"/>
    </row>
    <row r="576">
      <c r="A576" s="122" t="s">
        <v>10239</v>
      </c>
      <c r="B576" s="123">
        <v>1526697.0</v>
      </c>
      <c r="C576" s="687" t="s">
        <v>10240</v>
      </c>
      <c r="D576" s="125"/>
    </row>
    <row r="577">
      <c r="A577" s="122" t="s">
        <v>6579</v>
      </c>
      <c r="B577" s="123">
        <v>1807707.0</v>
      </c>
      <c r="C577" s="687" t="s">
        <v>6580</v>
      </c>
      <c r="D577" s="125"/>
    </row>
    <row r="578">
      <c r="A578" s="122" t="s">
        <v>16254</v>
      </c>
      <c r="B578" s="123">
        <v>1433195.0</v>
      </c>
      <c r="C578" s="687" t="s">
        <v>16255</v>
      </c>
      <c r="D578" s="125"/>
    </row>
    <row r="579">
      <c r="A579" s="122" t="s">
        <v>2843</v>
      </c>
      <c r="B579" s="123">
        <v>1353538.0</v>
      </c>
      <c r="C579" s="687" t="s">
        <v>2844</v>
      </c>
      <c r="D579" s="125"/>
    </row>
    <row r="580">
      <c r="A580" s="122" t="s">
        <v>13047</v>
      </c>
      <c r="B580" s="123">
        <v>1441683.0</v>
      </c>
      <c r="C580" s="687" t="s">
        <v>13048</v>
      </c>
      <c r="D580" s="125"/>
    </row>
    <row r="581">
      <c r="A581" s="122" t="s">
        <v>10707</v>
      </c>
      <c r="B581" s="123">
        <v>1418121.0</v>
      </c>
      <c r="C581" s="687" t="s">
        <v>10708</v>
      </c>
      <c r="D581" s="125"/>
    </row>
    <row r="582">
      <c r="A582" s="122" t="s">
        <v>16089</v>
      </c>
      <c r="B582" s="123">
        <v>320193.0</v>
      </c>
      <c r="C582" s="687" t="s">
        <v>16090</v>
      </c>
      <c r="D582" s="125"/>
    </row>
    <row r="583">
      <c r="A583" s="122" t="s">
        <v>5550</v>
      </c>
      <c r="B583" s="123">
        <v>1134982.0</v>
      </c>
      <c r="C583" s="687" t="s">
        <v>5551</v>
      </c>
      <c r="D583" s="125"/>
    </row>
    <row r="584">
      <c r="A584" s="122" t="s">
        <v>33438</v>
      </c>
      <c r="B584" s="123">
        <v>1607549.0</v>
      </c>
      <c r="C584" s="687" t="s">
        <v>33439</v>
      </c>
      <c r="D584" s="125"/>
    </row>
    <row r="585">
      <c r="A585" s="122" t="s">
        <v>6419</v>
      </c>
      <c r="B585" s="123">
        <v>1144879.0</v>
      </c>
      <c r="C585" s="687" t="s">
        <v>6420</v>
      </c>
      <c r="D585" s="125"/>
    </row>
    <row r="586">
      <c r="A586" s="122" t="s">
        <v>3145</v>
      </c>
      <c r="B586" s="123">
        <v>744452.0</v>
      </c>
      <c r="C586" s="687" t="s">
        <v>3146</v>
      </c>
      <c r="D586" s="125"/>
    </row>
    <row r="587">
      <c r="A587" s="122" t="s">
        <v>4703</v>
      </c>
      <c r="B587" s="123">
        <v>879911.0</v>
      </c>
      <c r="C587" s="687" t="s">
        <v>4704</v>
      </c>
      <c r="D587" s="125"/>
    </row>
    <row r="588">
      <c r="A588" s="122" t="s">
        <v>16071</v>
      </c>
      <c r="B588" s="123">
        <v>109563.0</v>
      </c>
      <c r="C588" s="687" t="s">
        <v>16072</v>
      </c>
      <c r="D588" s="125"/>
    </row>
    <row r="589">
      <c r="A589" s="122" t="s">
        <v>15994</v>
      </c>
      <c r="B589" s="123">
        <v>6951.0</v>
      </c>
      <c r="C589" s="687" t="s">
        <v>15995</v>
      </c>
      <c r="D589" s="125"/>
    </row>
    <row r="590">
      <c r="A590" s="122" t="s">
        <v>33440</v>
      </c>
      <c r="B590" s="123">
        <v>8328.0</v>
      </c>
      <c r="C590" s="687" t="s">
        <v>33441</v>
      </c>
      <c r="D590" s="125"/>
    </row>
    <row r="591">
      <c r="A591" s="122" t="s">
        <v>11177</v>
      </c>
      <c r="B591" s="123">
        <v>1158114.0</v>
      </c>
      <c r="C591" s="687" t="s">
        <v>11178</v>
      </c>
      <c r="D591" s="125"/>
    </row>
    <row r="592">
      <c r="A592" s="122" t="s">
        <v>5544</v>
      </c>
      <c r="B592" s="123">
        <v>1697532.0</v>
      </c>
      <c r="C592" s="687" t="s">
        <v>5545</v>
      </c>
      <c r="D592" s="125"/>
    </row>
    <row r="593">
      <c r="A593" s="122" t="s">
        <v>5173</v>
      </c>
      <c r="B593" s="123">
        <v>1811109.0</v>
      </c>
      <c r="C593" s="687" t="s">
        <v>5174</v>
      </c>
      <c r="D593" s="125"/>
    </row>
    <row r="594">
      <c r="A594" s="122" t="s">
        <v>601</v>
      </c>
      <c r="B594" s="123">
        <v>1755101.0</v>
      </c>
      <c r="C594" s="687" t="s">
        <v>602</v>
      </c>
      <c r="D594" s="125"/>
    </row>
    <row r="595">
      <c r="A595" s="122" t="s">
        <v>13898</v>
      </c>
      <c r="B595" s="123">
        <v>1751008.0</v>
      </c>
      <c r="C595" s="687" t="s">
        <v>13899</v>
      </c>
      <c r="D595" s="125"/>
    </row>
    <row r="596">
      <c r="A596" s="122" t="s">
        <v>2959</v>
      </c>
      <c r="B596" s="123">
        <v>1651992.0</v>
      </c>
      <c r="C596" s="687" t="s">
        <v>2960</v>
      </c>
      <c r="D596" s="125"/>
    </row>
    <row r="597">
      <c r="A597" s="122" t="s">
        <v>2951</v>
      </c>
      <c r="B597" s="123">
        <v>1070050.0</v>
      </c>
      <c r="C597" s="687" t="s">
        <v>2952</v>
      </c>
      <c r="D597" s="125"/>
    </row>
    <row r="598">
      <c r="A598" s="122" t="s">
        <v>4921</v>
      </c>
      <c r="B598" s="123">
        <v>1070050.0</v>
      </c>
      <c r="C598" s="687" t="s">
        <v>4922</v>
      </c>
      <c r="D598" s="125"/>
    </row>
    <row r="599">
      <c r="A599" s="122" t="s">
        <v>1126</v>
      </c>
      <c r="B599" s="123">
        <v>1568969.0</v>
      </c>
      <c r="C599" s="687" t="s">
        <v>1127</v>
      </c>
      <c r="D599" s="125"/>
    </row>
    <row r="600">
      <c r="A600" s="122" t="s">
        <v>6880</v>
      </c>
      <c r="B600" s="123">
        <v>1781983.0</v>
      </c>
      <c r="C600" s="687" t="s">
        <v>6881</v>
      </c>
      <c r="D600" s="125"/>
    </row>
    <row r="601">
      <c r="A601" s="122" t="s">
        <v>15731</v>
      </c>
      <c r="B601" s="123">
        <v>896622.0</v>
      </c>
      <c r="C601" s="687" t="s">
        <v>15732</v>
      </c>
      <c r="D601" s="125"/>
    </row>
    <row r="602">
      <c r="A602" s="122" t="s">
        <v>2117</v>
      </c>
      <c r="B602" s="123">
        <v>1671584.0</v>
      </c>
      <c r="C602" s="687" t="s">
        <v>2118</v>
      </c>
      <c r="D602" s="125"/>
    </row>
    <row r="603">
      <c r="A603" s="122" t="s">
        <v>15089</v>
      </c>
      <c r="B603" s="123">
        <v>1521332.0</v>
      </c>
      <c r="C603" s="687" t="s">
        <v>15090</v>
      </c>
      <c r="D603" s="125"/>
    </row>
    <row r="604">
      <c r="A604" s="122" t="s">
        <v>4819</v>
      </c>
      <c r="B604" s="123">
        <v>882361.0</v>
      </c>
      <c r="C604" s="687" t="s">
        <v>4820</v>
      </c>
      <c r="D604" s="125"/>
    </row>
    <row r="605">
      <c r="A605" s="122" t="s">
        <v>9340</v>
      </c>
      <c r="B605" s="123">
        <v>1868573.0</v>
      </c>
      <c r="C605" s="687" t="s">
        <v>1454</v>
      </c>
      <c r="D605" s="125"/>
    </row>
    <row r="606">
      <c r="A606" s="122" t="s">
        <v>1453</v>
      </c>
      <c r="B606" s="123">
        <v>1868573.0</v>
      </c>
      <c r="C606" s="687" t="s">
        <v>1454</v>
      </c>
      <c r="D606" s="125"/>
    </row>
    <row r="607">
      <c r="A607" s="122" t="s">
        <v>9259</v>
      </c>
      <c r="B607" s="123">
        <v>1868573.0</v>
      </c>
      <c r="C607" s="687" t="s">
        <v>9260</v>
      </c>
      <c r="D607" s="125"/>
    </row>
    <row r="608">
      <c r="A608" s="122" t="s">
        <v>5304</v>
      </c>
      <c r="B608" s="123">
        <v>719135.0</v>
      </c>
      <c r="C608" s="687" t="s">
        <v>5305</v>
      </c>
      <c r="D608" s="125"/>
    </row>
    <row r="609">
      <c r="A609" s="122" t="s">
        <v>3195</v>
      </c>
      <c r="B609" s="123">
        <v>1621832.0</v>
      </c>
      <c r="C609" s="687" t="s">
        <v>3196</v>
      </c>
      <c r="D609" s="125"/>
    </row>
    <row r="610">
      <c r="A610" s="122" t="s">
        <v>474</v>
      </c>
      <c r="B610" s="123">
        <v>1553264.0</v>
      </c>
      <c r="C610" s="687" t="s">
        <v>475</v>
      </c>
      <c r="D610" s="125"/>
    </row>
    <row r="611">
      <c r="A611" s="122" t="s">
        <v>5225</v>
      </c>
      <c r="B611" s="123">
        <v>1603978.0</v>
      </c>
      <c r="C611" s="687" t="s">
        <v>5226</v>
      </c>
      <c r="D611" s="125"/>
    </row>
    <row r="612">
      <c r="A612" s="122" t="s">
        <v>771</v>
      </c>
      <c r="B612" s="123">
        <v>1863976.0</v>
      </c>
      <c r="C612" s="687" t="s">
        <v>772</v>
      </c>
      <c r="D612" s="125"/>
    </row>
    <row r="613">
      <c r="A613" s="122" t="s">
        <v>8813</v>
      </c>
      <c r="B613" s="123">
        <v>1861063.0</v>
      </c>
      <c r="C613" s="687" t="s">
        <v>8814</v>
      </c>
      <c r="D613" s="125"/>
    </row>
    <row r="614">
      <c r="A614" s="122" t="s">
        <v>5269</v>
      </c>
      <c r="B614" s="123">
        <v>1398733.0</v>
      </c>
      <c r="C614" s="687" t="s">
        <v>5270</v>
      </c>
      <c r="D614" s="125"/>
    </row>
    <row r="615">
      <c r="A615" s="122" t="s">
        <v>3508</v>
      </c>
      <c r="B615" s="123">
        <v>1337553.0</v>
      </c>
      <c r="C615" s="687" t="s">
        <v>3509</v>
      </c>
      <c r="D615" s="125"/>
    </row>
    <row r="616">
      <c r="A616" s="122" t="s">
        <v>12769</v>
      </c>
      <c r="B616" s="123">
        <v>1584509.0</v>
      </c>
      <c r="C616" s="687" t="s">
        <v>12770</v>
      </c>
      <c r="D616" s="125"/>
    </row>
    <row r="617">
      <c r="A617" s="122" t="s">
        <v>1237</v>
      </c>
      <c r="B617" s="123">
        <v>1513818.0</v>
      </c>
      <c r="C617" s="687" t="s">
        <v>1238</v>
      </c>
      <c r="D617" s="125"/>
    </row>
    <row r="618">
      <c r="A618" s="122" t="s">
        <v>4024</v>
      </c>
      <c r="B618" s="123">
        <v>1566243.0</v>
      </c>
      <c r="C618" s="687" t="s">
        <v>4025</v>
      </c>
      <c r="D618" s="125"/>
    </row>
    <row r="619">
      <c r="A619" s="122" t="s">
        <v>2373</v>
      </c>
      <c r="B619" s="123">
        <v>1861841.0</v>
      </c>
      <c r="C619" s="687" t="s">
        <v>2374</v>
      </c>
      <c r="D619" s="125"/>
    </row>
    <row r="620">
      <c r="A620" s="122" t="s">
        <v>9844</v>
      </c>
      <c r="B620" s="123">
        <v>1253986.0</v>
      </c>
      <c r="C620" s="687" t="s">
        <v>9845</v>
      </c>
      <c r="D620" s="125"/>
    </row>
    <row r="621">
      <c r="A621" s="122" t="s">
        <v>5104</v>
      </c>
      <c r="B621" s="123">
        <v>1447028.0</v>
      </c>
      <c r="C621" s="687" t="s">
        <v>5105</v>
      </c>
      <c r="D621" s="125"/>
    </row>
    <row r="622">
      <c r="A622" s="122" t="s">
        <v>5480</v>
      </c>
      <c r="B622" s="123">
        <v>1305168.0</v>
      </c>
      <c r="C622" s="687" t="s">
        <v>5481</v>
      </c>
      <c r="D622" s="125"/>
    </row>
    <row r="623">
      <c r="A623" s="122" t="s">
        <v>4495</v>
      </c>
      <c r="B623" s="123">
        <v>907654.0</v>
      </c>
      <c r="C623" s="687" t="s">
        <v>4496</v>
      </c>
      <c r="D623" s="125"/>
    </row>
    <row r="624">
      <c r="A624" s="122" t="s">
        <v>15709</v>
      </c>
      <c r="B624" s="123">
        <v>894405.0</v>
      </c>
      <c r="C624" s="687" t="s">
        <v>15710</v>
      </c>
      <c r="D624" s="125"/>
    </row>
    <row r="625">
      <c r="A625" s="122" t="s">
        <v>14576</v>
      </c>
      <c r="B625" s="123">
        <v>1786205.0</v>
      </c>
      <c r="C625" s="687" t="s">
        <v>14577</v>
      </c>
      <c r="D625" s="125"/>
    </row>
    <row r="626">
      <c r="A626" s="122" t="s">
        <v>12594</v>
      </c>
      <c r="B626" s="123">
        <v>1243429.0</v>
      </c>
      <c r="C626" s="687" t="s">
        <v>12595</v>
      </c>
      <c r="D626" s="125"/>
    </row>
    <row r="627">
      <c r="A627" s="122" t="s">
        <v>12602</v>
      </c>
      <c r="B627" s="123">
        <v>1243429.0</v>
      </c>
      <c r="C627" s="687" t="s">
        <v>12595</v>
      </c>
      <c r="D627" s="125"/>
    </row>
    <row r="628">
      <c r="A628" s="122" t="s">
        <v>1471</v>
      </c>
      <c r="B628" s="123">
        <v>1243429.0</v>
      </c>
      <c r="C628" s="687" t="s">
        <v>1472</v>
      </c>
      <c r="D628" s="125"/>
    </row>
    <row r="629">
      <c r="A629" s="122" t="s">
        <v>11480</v>
      </c>
      <c r="B629" s="123">
        <v>947484.0</v>
      </c>
      <c r="C629" s="687" t="s">
        <v>11481</v>
      </c>
      <c r="D629" s="125"/>
    </row>
    <row r="630">
      <c r="A630" s="122" t="s">
        <v>15081</v>
      </c>
      <c r="B630" s="123">
        <v>947484.0</v>
      </c>
      <c r="C630" s="687" t="s">
        <v>15082</v>
      </c>
      <c r="D630" s="125"/>
    </row>
    <row r="631">
      <c r="A631" s="122" t="s">
        <v>16034</v>
      </c>
      <c r="B631" s="123">
        <v>1037676.0</v>
      </c>
      <c r="C631" s="687" t="s">
        <v>16035</v>
      </c>
      <c r="D631" s="125"/>
    </row>
    <row r="632">
      <c r="A632" s="122" t="s">
        <v>5612</v>
      </c>
      <c r="B632" s="123">
        <v>1537561.0</v>
      </c>
      <c r="C632" s="687" t="s">
        <v>5613</v>
      </c>
      <c r="D632" s="125"/>
    </row>
    <row r="633">
      <c r="A633" s="122" t="s">
        <v>6520</v>
      </c>
      <c r="B633" s="123">
        <v>1824502.0</v>
      </c>
      <c r="C633" s="687" t="s">
        <v>6521</v>
      </c>
      <c r="D633" s="125"/>
    </row>
    <row r="634">
      <c r="A634" s="122" t="s">
        <v>14294</v>
      </c>
      <c r="B634" s="123">
        <v>7084.0</v>
      </c>
      <c r="C634" s="687" t="s">
        <v>14295</v>
      </c>
      <c r="D634" s="125"/>
    </row>
    <row r="635">
      <c r="A635" s="122" t="s">
        <v>10715</v>
      </c>
      <c r="B635" s="123">
        <v>1389050.0</v>
      </c>
      <c r="C635" s="687" t="s">
        <v>10716</v>
      </c>
      <c r="D635" s="125"/>
    </row>
    <row r="636">
      <c r="A636" s="122" t="s">
        <v>3305</v>
      </c>
      <c r="B636" s="123">
        <v>1558583.0</v>
      </c>
      <c r="C636" s="687" t="s">
        <v>3306</v>
      </c>
      <c r="D636" s="125"/>
    </row>
    <row r="637">
      <c r="A637" s="122" t="s">
        <v>9847</v>
      </c>
      <c r="B637" s="123">
        <v>1508478.0</v>
      </c>
      <c r="C637" s="687" t="s">
        <v>9848</v>
      </c>
      <c r="D637" s="125"/>
    </row>
    <row r="638">
      <c r="A638" s="122" t="s">
        <v>15018</v>
      </c>
      <c r="B638" s="123">
        <v>1739445.0</v>
      </c>
      <c r="C638" s="687" t="s">
        <v>15019</v>
      </c>
      <c r="D638" s="125"/>
    </row>
    <row r="639">
      <c r="A639" s="122" t="s">
        <v>13207</v>
      </c>
      <c r="B639" s="123">
        <v>1768224.0</v>
      </c>
      <c r="C639" s="687" t="s">
        <v>13208</v>
      </c>
      <c r="D639" s="125"/>
    </row>
    <row r="640">
      <c r="A640" s="122" t="s">
        <v>10410</v>
      </c>
      <c r="B640" s="123">
        <v>1724521.0</v>
      </c>
      <c r="C640" s="687" t="s">
        <v>10411</v>
      </c>
      <c r="D640" s="125"/>
    </row>
    <row r="641">
      <c r="A641" s="122" t="s">
        <v>7041</v>
      </c>
      <c r="B641" s="123">
        <v>1787306.0</v>
      </c>
      <c r="C641" s="687" t="s">
        <v>7042</v>
      </c>
      <c r="D641" s="125"/>
    </row>
    <row r="642">
      <c r="A642" s="122" t="s">
        <v>5946</v>
      </c>
      <c r="B642" s="123">
        <v>1845097.0</v>
      </c>
      <c r="C642" s="687" t="s">
        <v>5947</v>
      </c>
      <c r="D642" s="125"/>
    </row>
    <row r="643">
      <c r="A643" s="122" t="s">
        <v>7962</v>
      </c>
      <c r="B643" s="123">
        <v>1437402.0</v>
      </c>
      <c r="C643" s="687" t="s">
        <v>7963</v>
      </c>
      <c r="D643" s="125"/>
    </row>
    <row r="644">
      <c r="A644" s="122" t="s">
        <v>10705</v>
      </c>
      <c r="B644" s="123">
        <v>1577437.0</v>
      </c>
      <c r="C644" s="687" t="s">
        <v>10706</v>
      </c>
      <c r="D644" s="125"/>
    </row>
    <row r="645">
      <c r="A645" s="122" t="s">
        <v>4189</v>
      </c>
      <c r="B645" s="123">
        <v>894871.0</v>
      </c>
      <c r="C645" s="687" t="s">
        <v>4190</v>
      </c>
      <c r="D645" s="125"/>
    </row>
    <row r="646">
      <c r="A646" s="122" t="s">
        <v>11449</v>
      </c>
      <c r="B646" s="123">
        <v>1287750.0</v>
      </c>
      <c r="C646" s="687" t="s">
        <v>11450</v>
      </c>
      <c r="D646" s="125"/>
    </row>
    <row r="647">
      <c r="A647" s="122" t="s">
        <v>8097</v>
      </c>
      <c r="B647" s="123">
        <v>1529377.0</v>
      </c>
      <c r="C647" s="687" t="s">
        <v>8098</v>
      </c>
      <c r="D647" s="125"/>
    </row>
    <row r="648">
      <c r="A648" s="122" t="s">
        <v>10023</v>
      </c>
      <c r="B648" s="123">
        <v>1515324.0</v>
      </c>
      <c r="C648" s="687" t="s">
        <v>10024</v>
      </c>
      <c r="D648" s="125"/>
    </row>
    <row r="649">
      <c r="A649" s="122" t="s">
        <v>15687</v>
      </c>
      <c r="B649" s="123">
        <v>1176948.0</v>
      </c>
      <c r="C649" s="687" t="s">
        <v>15688</v>
      </c>
      <c r="D649" s="125"/>
    </row>
    <row r="650">
      <c r="A650" s="122" t="s">
        <v>13853</v>
      </c>
      <c r="B650" s="123">
        <v>100591.0</v>
      </c>
      <c r="C650" s="687" t="s">
        <v>13854</v>
      </c>
      <c r="D650" s="125"/>
    </row>
    <row r="651">
      <c r="A651" s="122" t="s">
        <v>1114</v>
      </c>
      <c r="B651" s="123">
        <v>1533106.0</v>
      </c>
      <c r="C651" s="687" t="s">
        <v>1115</v>
      </c>
      <c r="D651" s="125"/>
    </row>
    <row r="652">
      <c r="A652" s="122" t="s">
        <v>16497</v>
      </c>
      <c r="B652" s="123">
        <v>1697862.0</v>
      </c>
      <c r="C652" s="687" t="s">
        <v>16498</v>
      </c>
      <c r="D652" s="125"/>
    </row>
    <row r="653">
      <c r="A653" s="122" t="s">
        <v>7886</v>
      </c>
      <c r="B653" s="123">
        <v>1841675.0</v>
      </c>
      <c r="C653" s="687" t="s">
        <v>7887</v>
      </c>
      <c r="D653" s="125"/>
    </row>
    <row r="654">
      <c r="A654" s="122" t="s">
        <v>2371</v>
      </c>
      <c r="B654" s="123">
        <v>1841675.0</v>
      </c>
      <c r="C654" s="687" t="s">
        <v>2372</v>
      </c>
      <c r="D654" s="125"/>
    </row>
    <row r="655">
      <c r="A655" s="122" t="s">
        <v>11927</v>
      </c>
      <c r="B655" s="123">
        <v>1091748.0</v>
      </c>
      <c r="C655" s="687" t="s">
        <v>11928</v>
      </c>
      <c r="D655" s="125"/>
    </row>
    <row r="656">
      <c r="A656" s="122" t="s">
        <v>1868</v>
      </c>
      <c r="B656" s="123">
        <v>1091748.0</v>
      </c>
      <c r="C656" s="687" t="s">
        <v>1869</v>
      </c>
      <c r="D656" s="125"/>
    </row>
    <row r="657">
      <c r="A657" s="122" t="s">
        <v>9560</v>
      </c>
      <c r="B657" s="123">
        <v>1875444.0</v>
      </c>
      <c r="C657" s="687" t="s">
        <v>9561</v>
      </c>
      <c r="D657" s="125"/>
    </row>
    <row r="658">
      <c r="A658" s="122" t="s">
        <v>2556</v>
      </c>
      <c r="B658" s="123">
        <v>1421570.0</v>
      </c>
      <c r="C658" s="687" t="s">
        <v>2557</v>
      </c>
      <c r="D658" s="125"/>
    </row>
    <row r="659">
      <c r="A659" s="122" t="s">
        <v>1676</v>
      </c>
      <c r="B659" s="123">
        <v>1614067.0</v>
      </c>
      <c r="C659" s="687" t="s">
        <v>1677</v>
      </c>
      <c r="D659" s="125"/>
    </row>
    <row r="660">
      <c r="A660" s="122" t="s">
        <v>5193</v>
      </c>
      <c r="B660" s="123">
        <v>1698702.0</v>
      </c>
      <c r="C660" s="687" t="s">
        <v>5194</v>
      </c>
      <c r="D660" s="125"/>
    </row>
    <row r="661">
      <c r="A661" s="122" t="s">
        <v>7884</v>
      </c>
      <c r="B661" s="123">
        <v>1865187.0</v>
      </c>
      <c r="C661" s="687" t="s">
        <v>7885</v>
      </c>
      <c r="D661" s="125"/>
    </row>
    <row r="662">
      <c r="A662" s="122" t="s">
        <v>16375</v>
      </c>
      <c r="B662" s="123">
        <v>1596532.0</v>
      </c>
      <c r="C662" s="687" t="s">
        <v>16376</v>
      </c>
      <c r="D662" s="125"/>
    </row>
    <row r="663">
      <c r="A663" s="122" t="s">
        <v>1946</v>
      </c>
      <c r="B663" s="123">
        <v>1882078.0</v>
      </c>
      <c r="C663" s="687" t="s">
        <v>1947</v>
      </c>
      <c r="D663" s="125"/>
    </row>
    <row r="664">
      <c r="A664" s="122" t="s">
        <v>9154</v>
      </c>
      <c r="B664" s="123">
        <v>1882078.0</v>
      </c>
      <c r="C664" s="687" t="s">
        <v>9155</v>
      </c>
      <c r="D664" s="125"/>
    </row>
    <row r="665">
      <c r="A665" s="122" t="s">
        <v>8732</v>
      </c>
      <c r="B665" s="123">
        <v>1882078.0</v>
      </c>
      <c r="C665" s="687" t="s">
        <v>8733</v>
      </c>
      <c r="D665" s="125"/>
    </row>
    <row r="666">
      <c r="A666" s="122" t="s">
        <v>10397</v>
      </c>
      <c r="B666" s="123">
        <v>779544.0</v>
      </c>
      <c r="C666" s="687" t="s">
        <v>10398</v>
      </c>
      <c r="D666" s="125"/>
    </row>
    <row r="667">
      <c r="A667" s="122" t="s">
        <v>7650</v>
      </c>
      <c r="B667" s="123">
        <v>1823794.0</v>
      </c>
      <c r="C667" s="687" t="s">
        <v>7651</v>
      </c>
      <c r="D667" s="125"/>
    </row>
    <row r="668">
      <c r="A668" s="122" t="s">
        <v>3620</v>
      </c>
      <c r="B668" s="123">
        <v>1823794.0</v>
      </c>
      <c r="C668" s="687" t="s">
        <v>3621</v>
      </c>
      <c r="D668" s="125"/>
    </row>
    <row r="669">
      <c r="A669" s="122" t="s">
        <v>765</v>
      </c>
      <c r="B669" s="123">
        <v>1339205.0</v>
      </c>
      <c r="C669" s="687" t="s">
        <v>766</v>
      </c>
      <c r="D669" s="125"/>
    </row>
    <row r="670">
      <c r="A670" s="122" t="s">
        <v>8024</v>
      </c>
      <c r="B670" s="123">
        <v>1736946.0</v>
      </c>
      <c r="C670" s="687" t="s">
        <v>8025</v>
      </c>
      <c r="D670" s="125"/>
    </row>
    <row r="671">
      <c r="A671" s="122" t="s">
        <v>2383</v>
      </c>
      <c r="B671" s="123">
        <v>1625285.0</v>
      </c>
      <c r="C671" s="687" t="s">
        <v>2384</v>
      </c>
      <c r="D671" s="125"/>
    </row>
    <row r="672">
      <c r="A672" s="122" t="s">
        <v>1181</v>
      </c>
      <c r="B672" s="123">
        <v>1844817.0</v>
      </c>
      <c r="C672" s="687" t="s">
        <v>1182</v>
      </c>
      <c r="D672" s="125"/>
    </row>
    <row r="673">
      <c r="A673" s="122" t="s">
        <v>8970</v>
      </c>
      <c r="B673" s="123">
        <v>1844817.0</v>
      </c>
      <c r="C673" s="687" t="s">
        <v>8971</v>
      </c>
      <c r="D673" s="125"/>
    </row>
    <row r="674">
      <c r="A674" s="122" t="s">
        <v>9521</v>
      </c>
      <c r="B674" s="123">
        <v>1569187.0</v>
      </c>
      <c r="C674" s="687" t="s">
        <v>9522</v>
      </c>
      <c r="D674" s="125"/>
    </row>
    <row r="675">
      <c r="A675" s="122" t="s">
        <v>6018</v>
      </c>
      <c r="B675" s="123">
        <v>921114.0</v>
      </c>
      <c r="C675" s="687" t="s">
        <v>6019</v>
      </c>
      <c r="D675" s="125"/>
    </row>
    <row r="676">
      <c r="A676" s="122" t="s">
        <v>11287</v>
      </c>
      <c r="B676" s="123">
        <v>1428205.0</v>
      </c>
      <c r="C676" s="687" t="s">
        <v>11288</v>
      </c>
      <c r="D676" s="125"/>
    </row>
    <row r="677">
      <c r="A677" s="122" t="s">
        <v>33442</v>
      </c>
      <c r="B677" s="123">
        <v>1655075.0</v>
      </c>
      <c r="C677" s="687" t="s">
        <v>33443</v>
      </c>
      <c r="D677" s="125"/>
    </row>
    <row r="678">
      <c r="A678" s="122" t="s">
        <v>15416</v>
      </c>
      <c r="B678" s="123">
        <v>7431.0</v>
      </c>
      <c r="C678" s="687" t="s">
        <v>15417</v>
      </c>
      <c r="D678" s="125"/>
    </row>
    <row r="679">
      <c r="A679" s="122" t="s">
        <v>1149</v>
      </c>
      <c r="B679" s="123">
        <v>1881741.0</v>
      </c>
      <c r="C679" s="687" t="s">
        <v>1150</v>
      </c>
      <c r="D679" s="125"/>
    </row>
    <row r="680">
      <c r="A680" s="122" t="s">
        <v>8843</v>
      </c>
      <c r="B680" s="123">
        <v>1881741.0</v>
      </c>
      <c r="C680" s="687" t="s">
        <v>8844</v>
      </c>
      <c r="D680" s="125"/>
    </row>
    <row r="681">
      <c r="A681" s="122" t="s">
        <v>8861</v>
      </c>
      <c r="B681" s="123">
        <v>1881741.0</v>
      </c>
      <c r="C681" s="687" t="s">
        <v>8862</v>
      </c>
      <c r="D681" s="125"/>
    </row>
    <row r="682">
      <c r="A682" s="122" t="s">
        <v>1900</v>
      </c>
      <c r="B682" s="123">
        <v>1859690.0</v>
      </c>
      <c r="C682" s="687" t="s">
        <v>1901</v>
      </c>
      <c r="D682" s="125"/>
    </row>
    <row r="683">
      <c r="A683" s="122" t="s">
        <v>2866</v>
      </c>
      <c r="B683" s="123">
        <v>1859690.0</v>
      </c>
      <c r="C683" s="687" t="s">
        <v>2867</v>
      </c>
      <c r="D683" s="125"/>
    </row>
    <row r="684">
      <c r="A684" s="122" t="s">
        <v>2357</v>
      </c>
      <c r="B684" s="123">
        <v>1843093.0</v>
      </c>
      <c r="C684" s="687" t="s">
        <v>2192</v>
      </c>
      <c r="D684" s="125"/>
    </row>
    <row r="685">
      <c r="A685" s="122" t="s">
        <v>2191</v>
      </c>
      <c r="B685" s="123">
        <v>1855743.0</v>
      </c>
      <c r="C685" s="687" t="s">
        <v>2192</v>
      </c>
      <c r="D685" s="125"/>
    </row>
    <row r="686">
      <c r="A686" s="122" t="s">
        <v>10102</v>
      </c>
      <c r="B686" s="123">
        <v>1820721.0</v>
      </c>
      <c r="C686" s="687" t="s">
        <v>10103</v>
      </c>
      <c r="D686" s="125"/>
    </row>
    <row r="687">
      <c r="A687" s="122" t="s">
        <v>15530</v>
      </c>
      <c r="B687" s="123">
        <v>7536.0</v>
      </c>
      <c r="C687" s="687" t="s">
        <v>15531</v>
      </c>
      <c r="D687" s="125"/>
    </row>
    <row r="688">
      <c r="A688" s="122" t="s">
        <v>12130</v>
      </c>
      <c r="B688" s="123">
        <v>717538.0</v>
      </c>
      <c r="C688" s="687" t="s">
        <v>12131</v>
      </c>
      <c r="D688" s="125"/>
    </row>
    <row r="689">
      <c r="A689" s="122" t="s">
        <v>12975</v>
      </c>
      <c r="B689" s="123">
        <v>879407.0</v>
      </c>
      <c r="C689" s="687" t="s">
        <v>12976</v>
      </c>
      <c r="D689" s="125"/>
    </row>
    <row r="690">
      <c r="A690" s="122" t="s">
        <v>11147</v>
      </c>
      <c r="B690" s="123">
        <v>1578987.0</v>
      </c>
      <c r="C690" s="687" t="s">
        <v>11148</v>
      </c>
      <c r="D690" s="125"/>
    </row>
    <row r="691">
      <c r="A691" s="122" t="s">
        <v>1908</v>
      </c>
      <c r="B691" s="123">
        <v>1835972.0</v>
      </c>
      <c r="C691" s="687" t="s">
        <v>1909</v>
      </c>
      <c r="D691" s="125"/>
    </row>
    <row r="692">
      <c r="A692" s="122" t="s">
        <v>8538</v>
      </c>
      <c r="B692" s="123">
        <v>1835972.0</v>
      </c>
      <c r="C692" s="687" t="s">
        <v>8539</v>
      </c>
      <c r="D692" s="125"/>
    </row>
    <row r="693">
      <c r="A693" s="122" t="s">
        <v>8588</v>
      </c>
      <c r="B693" s="123">
        <v>1835972.0</v>
      </c>
      <c r="C693" s="687" t="s">
        <v>8589</v>
      </c>
      <c r="D693" s="125"/>
    </row>
    <row r="694">
      <c r="A694" s="122" t="s">
        <v>4929</v>
      </c>
      <c r="B694" s="123">
        <v>7623.0</v>
      </c>
      <c r="C694" s="687" t="s">
        <v>4930</v>
      </c>
      <c r="D694" s="125"/>
    </row>
    <row r="695">
      <c r="A695" s="122" t="s">
        <v>10131</v>
      </c>
      <c r="B695" s="123">
        <v>1839990.0</v>
      </c>
      <c r="C695" s="687" t="s">
        <v>10132</v>
      </c>
      <c r="D695" s="125"/>
    </row>
    <row r="696">
      <c r="A696" s="122" t="s">
        <v>33444</v>
      </c>
      <c r="B696" s="123">
        <v>1389067.0</v>
      </c>
      <c r="C696" s="687" t="s">
        <v>33445</v>
      </c>
      <c r="D696" s="125"/>
    </row>
    <row r="697">
      <c r="A697" s="122" t="s">
        <v>4245</v>
      </c>
      <c r="B697" s="123">
        <v>1621221.0</v>
      </c>
      <c r="C697" s="687" t="s">
        <v>4246</v>
      </c>
      <c r="D697" s="125"/>
    </row>
    <row r="698">
      <c r="A698" s="122" t="s">
        <v>635</v>
      </c>
      <c r="B698" s="123">
        <v>1621221.0</v>
      </c>
      <c r="C698" s="687" t="s">
        <v>636</v>
      </c>
      <c r="D698" s="125"/>
    </row>
    <row r="699">
      <c r="A699" s="122" t="s">
        <v>7119</v>
      </c>
      <c r="B699" s="123">
        <v>1667011.0</v>
      </c>
      <c r="C699" s="687" t="s">
        <v>7120</v>
      </c>
      <c r="D699" s="125"/>
    </row>
    <row r="700">
      <c r="A700" s="122" t="s">
        <v>13326</v>
      </c>
      <c r="B700" s="123">
        <v>863110.0</v>
      </c>
      <c r="C700" s="687" t="s">
        <v>13327</v>
      </c>
      <c r="D700" s="125"/>
    </row>
    <row r="701">
      <c r="A701" s="122" t="s">
        <v>13554</v>
      </c>
      <c r="B701" s="123">
        <v>863110.0</v>
      </c>
      <c r="C701" s="687" t="s">
        <v>13555</v>
      </c>
      <c r="D701" s="125"/>
    </row>
    <row r="702">
      <c r="A702" s="122" t="s">
        <v>16268</v>
      </c>
      <c r="B702" s="123">
        <v>354190.0</v>
      </c>
      <c r="C702" s="687" t="s">
        <v>16269</v>
      </c>
      <c r="D702" s="125"/>
    </row>
    <row r="703">
      <c r="A703" s="122" t="s">
        <v>33446</v>
      </c>
      <c r="B703" s="123">
        <v>1498148.0</v>
      </c>
      <c r="C703" s="687" t="s">
        <v>33447</v>
      </c>
      <c r="D703" s="125"/>
    </row>
    <row r="704">
      <c r="A704" s="122" t="s">
        <v>1914</v>
      </c>
      <c r="B704" s="123">
        <v>1530425.0</v>
      </c>
      <c r="C704" s="687" t="s">
        <v>1915</v>
      </c>
      <c r="D704" s="125"/>
    </row>
    <row r="705">
      <c r="A705" s="122" t="s">
        <v>13731</v>
      </c>
      <c r="B705" s="123">
        <v>1517302.0</v>
      </c>
      <c r="C705" s="687" t="s">
        <v>13732</v>
      </c>
      <c r="D705" s="125"/>
    </row>
    <row r="706">
      <c r="A706" s="122" t="s">
        <v>10828</v>
      </c>
      <c r="B706" s="123">
        <v>784199.0</v>
      </c>
      <c r="C706" s="687" t="s">
        <v>10829</v>
      </c>
      <c r="D706" s="125"/>
    </row>
    <row r="707">
      <c r="A707" s="122" t="s">
        <v>3431</v>
      </c>
      <c r="B707" s="123">
        <v>1113313.0</v>
      </c>
      <c r="C707" s="687" t="s">
        <v>3432</v>
      </c>
      <c r="D707" s="125"/>
    </row>
    <row r="708">
      <c r="A708" s="122" t="s">
        <v>13902</v>
      </c>
      <c r="B708" s="123">
        <v>1655759.0</v>
      </c>
      <c r="C708" s="687" t="s">
        <v>13903</v>
      </c>
      <c r="D708" s="125"/>
    </row>
    <row r="709">
      <c r="A709" s="122" t="s">
        <v>9183</v>
      </c>
      <c r="B709" s="123">
        <v>1838821.0</v>
      </c>
      <c r="C709" s="687" t="s">
        <v>9184</v>
      </c>
      <c r="D709" s="125"/>
    </row>
    <row r="710">
      <c r="A710" s="122" t="s">
        <v>33448</v>
      </c>
      <c r="B710" s="123">
        <v>1067873.0</v>
      </c>
      <c r="C710" s="687" t="s">
        <v>33449</v>
      </c>
      <c r="D710" s="125"/>
    </row>
    <row r="711">
      <c r="A711" s="122" t="s">
        <v>10313</v>
      </c>
      <c r="B711" s="123">
        <v>1230869.0</v>
      </c>
      <c r="C711" s="687" t="s">
        <v>10314</v>
      </c>
      <c r="D711" s="125"/>
    </row>
    <row r="712">
      <c r="A712" s="122" t="s">
        <v>10955</v>
      </c>
      <c r="B712" s="123">
        <v>1477720.0</v>
      </c>
      <c r="C712" s="687" t="s">
        <v>10956</v>
      </c>
      <c r="D712" s="125"/>
    </row>
    <row r="713">
      <c r="A713" s="122" t="s">
        <v>16195</v>
      </c>
      <c r="B713" s="123">
        <v>1144980.0</v>
      </c>
      <c r="C713" s="687" t="s">
        <v>16196</v>
      </c>
      <c r="D713" s="125"/>
    </row>
    <row r="714">
      <c r="A714" s="122" t="s">
        <v>4393</v>
      </c>
      <c r="B714" s="123">
        <v>1756390.0</v>
      </c>
      <c r="C714" s="687" t="s">
        <v>4394</v>
      </c>
      <c r="D714" s="125"/>
    </row>
    <row r="715">
      <c r="A715" s="122" t="s">
        <v>15806</v>
      </c>
      <c r="B715" s="123">
        <v>1612042.0</v>
      </c>
      <c r="C715" s="687" t="s">
        <v>15807</v>
      </c>
      <c r="D715" s="125"/>
    </row>
    <row r="716">
      <c r="A716" s="122" t="s">
        <v>8337</v>
      </c>
      <c r="B716" s="123">
        <v>95953.0</v>
      </c>
      <c r="C716" s="687" t="s">
        <v>8338</v>
      </c>
      <c r="D716" s="125"/>
    </row>
    <row r="717">
      <c r="A717" s="122" t="s">
        <v>3395</v>
      </c>
      <c r="B717" s="123">
        <v>1350102.0</v>
      </c>
      <c r="C717" s="687" t="s">
        <v>3396</v>
      </c>
      <c r="D717" s="125"/>
    </row>
    <row r="718">
      <c r="A718" s="122" t="s">
        <v>2530</v>
      </c>
      <c r="B718" s="123">
        <v>876378.0</v>
      </c>
      <c r="C718" s="687" t="s">
        <v>2531</v>
      </c>
      <c r="D718" s="125"/>
    </row>
    <row r="719">
      <c r="A719" s="122" t="s">
        <v>15279</v>
      </c>
      <c r="B719" s="123">
        <v>890564.0</v>
      </c>
      <c r="C719" s="687" t="s">
        <v>15280</v>
      </c>
      <c r="D719" s="125"/>
    </row>
    <row r="720">
      <c r="A720" s="122" t="s">
        <v>4605</v>
      </c>
      <c r="B720" s="123">
        <v>1232582.0</v>
      </c>
      <c r="C720" s="687" t="s">
        <v>4606</v>
      </c>
      <c r="D720" s="125"/>
    </row>
    <row r="721">
      <c r="A721" s="122" t="s">
        <v>5400</v>
      </c>
      <c r="B721" s="123">
        <v>1604738.0</v>
      </c>
      <c r="C721" s="687" t="s">
        <v>5401</v>
      </c>
      <c r="D721" s="125"/>
    </row>
    <row r="722">
      <c r="A722" s="122" t="s">
        <v>15242</v>
      </c>
      <c r="B722" s="123">
        <v>1674862.0</v>
      </c>
      <c r="C722" s="687" t="s">
        <v>15243</v>
      </c>
      <c r="D722" s="125"/>
    </row>
    <row r="723">
      <c r="A723" s="122" t="s">
        <v>3982</v>
      </c>
      <c r="B723" s="123">
        <v>1669368.0</v>
      </c>
      <c r="C723" s="687" t="s">
        <v>3983</v>
      </c>
      <c r="D723" s="125"/>
    </row>
    <row r="724">
      <c r="A724" s="122" t="s">
        <v>4187</v>
      </c>
      <c r="B724" s="123">
        <v>1026980.0</v>
      </c>
      <c r="C724" s="687" t="s">
        <v>4188</v>
      </c>
      <c r="D724" s="125"/>
    </row>
    <row r="725">
      <c r="A725" s="122" t="s">
        <v>4066</v>
      </c>
      <c r="B725" s="123">
        <v>1828748.0</v>
      </c>
      <c r="C725" s="687" t="s">
        <v>4067</v>
      </c>
      <c r="D725" s="125"/>
    </row>
    <row r="726">
      <c r="A726" s="122" t="s">
        <v>3167</v>
      </c>
      <c r="B726" s="123">
        <v>1722926.0</v>
      </c>
      <c r="C726" s="687" t="s">
        <v>3168</v>
      </c>
      <c r="D726" s="125"/>
    </row>
    <row r="727">
      <c r="A727" s="122" t="s">
        <v>16679</v>
      </c>
      <c r="B727" s="123">
        <v>937966.0</v>
      </c>
      <c r="C727" s="687" t="s">
        <v>16678</v>
      </c>
      <c r="D727" s="125"/>
    </row>
    <row r="728">
      <c r="A728" s="122" t="s">
        <v>16677</v>
      </c>
      <c r="B728" s="123">
        <v>937966.0</v>
      </c>
      <c r="C728" s="687" t="s">
        <v>16678</v>
      </c>
      <c r="D728" s="125"/>
    </row>
    <row r="729">
      <c r="A729" s="122" t="s">
        <v>13031</v>
      </c>
      <c r="B729" s="123">
        <v>1447945.0</v>
      </c>
      <c r="C729" s="687" t="s">
        <v>13032</v>
      </c>
      <c r="D729" s="125"/>
    </row>
    <row r="730">
      <c r="A730" s="122" t="s">
        <v>8140</v>
      </c>
      <c r="B730" s="123">
        <v>1447945.0</v>
      </c>
      <c r="C730" s="687" t="s">
        <v>8141</v>
      </c>
      <c r="D730" s="125"/>
    </row>
    <row r="731">
      <c r="A731" s="122" t="s">
        <v>5374</v>
      </c>
      <c r="B731" s="123">
        <v>1921865.0</v>
      </c>
      <c r="C731" s="687" t="s">
        <v>5375</v>
      </c>
      <c r="D731" s="125"/>
    </row>
    <row r="732">
      <c r="A732" s="122" t="s">
        <v>8900</v>
      </c>
      <c r="B732" s="123">
        <v>1876716.0</v>
      </c>
      <c r="C732" s="687" t="s">
        <v>8901</v>
      </c>
      <c r="D732" s="125"/>
    </row>
    <row r="733">
      <c r="A733" s="122" t="s">
        <v>9365</v>
      </c>
      <c r="B733" s="123">
        <v>1145986.0</v>
      </c>
      <c r="C733" s="687" t="s">
        <v>9366</v>
      </c>
      <c r="D733" s="125"/>
    </row>
    <row r="734">
      <c r="A734" s="122" t="s">
        <v>2217</v>
      </c>
      <c r="B734" s="123">
        <v>1487198.0</v>
      </c>
      <c r="C734" s="687" t="s">
        <v>2218</v>
      </c>
      <c r="D734" s="125"/>
    </row>
    <row r="735">
      <c r="A735" s="122" t="s">
        <v>6688</v>
      </c>
      <c r="B735" s="123">
        <v>926617.0</v>
      </c>
      <c r="C735" s="687" t="s">
        <v>6689</v>
      </c>
      <c r="D735" s="125"/>
    </row>
    <row r="736">
      <c r="A736" s="122" t="s">
        <v>3753</v>
      </c>
      <c r="B736" s="123">
        <v>1426800.0</v>
      </c>
      <c r="C736" s="687" t="s">
        <v>3754</v>
      </c>
      <c r="D736" s="125"/>
    </row>
    <row r="737">
      <c r="A737" s="122" t="s">
        <v>3480</v>
      </c>
      <c r="B737" s="123">
        <v>1808665.0</v>
      </c>
      <c r="C737" s="687" t="s">
        <v>3481</v>
      </c>
      <c r="D737" s="125"/>
    </row>
    <row r="738">
      <c r="A738" s="122" t="s">
        <v>12899</v>
      </c>
      <c r="B738" s="123">
        <v>1591587.0</v>
      </c>
      <c r="C738" s="687" t="s">
        <v>12900</v>
      </c>
      <c r="D738" s="125"/>
    </row>
    <row r="739">
      <c r="A739" s="122" t="s">
        <v>11705</v>
      </c>
      <c r="B739" s="123">
        <v>1379235.0</v>
      </c>
      <c r="C739" s="687" t="s">
        <v>11706</v>
      </c>
      <c r="D739" s="125"/>
    </row>
    <row r="740">
      <c r="A740" s="122" t="s">
        <v>9199</v>
      </c>
      <c r="B740" s="123">
        <v>1379235.0</v>
      </c>
      <c r="C740" s="687" t="s">
        <v>9200</v>
      </c>
      <c r="D740" s="125"/>
    </row>
    <row r="741">
      <c r="A741" s="122" t="s">
        <v>11525</v>
      </c>
      <c r="B741" s="123">
        <v>7789.0</v>
      </c>
      <c r="C741" s="687" t="s">
        <v>11526</v>
      </c>
      <c r="D741" s="125"/>
    </row>
    <row r="742">
      <c r="A742" s="122" t="s">
        <v>11537</v>
      </c>
      <c r="B742" s="123">
        <v>1267238.0</v>
      </c>
      <c r="C742" s="687" t="s">
        <v>11538</v>
      </c>
      <c r="D742" s="125"/>
    </row>
    <row r="743">
      <c r="A743" s="122" t="s">
        <v>15983</v>
      </c>
      <c r="B743" s="123">
        <v>1267238.0</v>
      </c>
      <c r="C743" s="687" t="s">
        <v>15984</v>
      </c>
      <c r="D743" s="125"/>
    </row>
    <row r="744">
      <c r="A744" s="122" t="s">
        <v>15052</v>
      </c>
      <c r="B744" s="123">
        <v>1273813.0</v>
      </c>
      <c r="C744" s="687" t="s">
        <v>15053</v>
      </c>
      <c r="D744" s="125"/>
    </row>
    <row r="745">
      <c r="A745" s="122" t="s">
        <v>3435</v>
      </c>
      <c r="B745" s="123">
        <v>1780312.0</v>
      </c>
      <c r="C745" s="687" t="s">
        <v>3436</v>
      </c>
      <c r="D745" s="125"/>
    </row>
    <row r="746">
      <c r="A746" s="122" t="s">
        <v>5423</v>
      </c>
      <c r="B746" s="123">
        <v>1780312.0</v>
      </c>
      <c r="C746" s="687" t="s">
        <v>5424</v>
      </c>
      <c r="D746" s="125"/>
    </row>
    <row r="747">
      <c r="A747" s="122" t="s">
        <v>13320</v>
      </c>
      <c r="B747" s="123">
        <v>792987.0</v>
      </c>
      <c r="C747" s="687" t="s">
        <v>13321</v>
      </c>
      <c r="D747" s="125"/>
    </row>
    <row r="748">
      <c r="A748" s="122" t="s">
        <v>1573</v>
      </c>
      <c r="B748" s="123">
        <v>1511161.0</v>
      </c>
      <c r="C748" s="687" t="s">
        <v>1574</v>
      </c>
      <c r="D748" s="125"/>
    </row>
    <row r="749">
      <c r="A749" s="122" t="s">
        <v>2135</v>
      </c>
      <c r="B749" s="123">
        <v>1231339.0</v>
      </c>
      <c r="C749" s="687" t="s">
        <v>2136</v>
      </c>
      <c r="D749" s="125"/>
    </row>
    <row r="750">
      <c r="A750" s="122" t="s">
        <v>2709</v>
      </c>
      <c r="B750" s="123">
        <v>1455967.0</v>
      </c>
      <c r="C750" s="687" t="s">
        <v>2710</v>
      </c>
      <c r="D750" s="125"/>
    </row>
    <row r="751">
      <c r="A751" s="122" t="s">
        <v>4746</v>
      </c>
      <c r="B751" s="123">
        <v>1814329.0</v>
      </c>
      <c r="C751" s="687" t="s">
        <v>4747</v>
      </c>
      <c r="D751" s="125"/>
    </row>
    <row r="752">
      <c r="A752" s="122" t="s">
        <v>14642</v>
      </c>
      <c r="B752" s="123">
        <v>901832.0</v>
      </c>
      <c r="C752" s="687" t="s">
        <v>14643</v>
      </c>
      <c r="D752" s="125"/>
    </row>
    <row r="753">
      <c r="A753" s="122" t="s">
        <v>15748</v>
      </c>
      <c r="B753" s="123">
        <v>901832.0</v>
      </c>
      <c r="C753" s="687" t="s">
        <v>14643</v>
      </c>
      <c r="D753" s="125"/>
    </row>
    <row r="754">
      <c r="A754" s="122" t="s">
        <v>10963</v>
      </c>
      <c r="B754" s="123">
        <v>8063.0</v>
      </c>
      <c r="C754" s="687" t="s">
        <v>10964</v>
      </c>
      <c r="D754" s="125"/>
    </row>
    <row r="755">
      <c r="A755" s="122" t="s">
        <v>10916</v>
      </c>
      <c r="B755" s="123">
        <v>8063.0</v>
      </c>
      <c r="C755" s="687" t="s">
        <v>10917</v>
      </c>
      <c r="D755" s="125"/>
    </row>
    <row r="756">
      <c r="A756" s="122" t="s">
        <v>11042</v>
      </c>
      <c r="B756" s="123">
        <v>8146.0</v>
      </c>
      <c r="C756" s="687" t="s">
        <v>11043</v>
      </c>
      <c r="D756" s="125"/>
    </row>
    <row r="757">
      <c r="A757" s="122" t="s">
        <v>7667</v>
      </c>
      <c r="B757" s="123">
        <v>1001907.0</v>
      </c>
      <c r="C757" s="687" t="s">
        <v>7668</v>
      </c>
      <c r="D757" s="125"/>
    </row>
    <row r="758">
      <c r="A758" s="122" t="s">
        <v>8052</v>
      </c>
      <c r="B758" s="123">
        <v>884144.0</v>
      </c>
      <c r="C758" s="687" t="s">
        <v>8053</v>
      </c>
      <c r="D758" s="125"/>
    </row>
    <row r="759">
      <c r="A759" s="122" t="s">
        <v>13723</v>
      </c>
      <c r="B759" s="123">
        <v>1449003.0</v>
      </c>
      <c r="C759" s="687" t="s">
        <v>13724</v>
      </c>
      <c r="D759" s="125"/>
    </row>
    <row r="760">
      <c r="A760" s="122" t="s">
        <v>13681</v>
      </c>
      <c r="B760" s="123">
        <v>1449003.0</v>
      </c>
      <c r="C760" s="687" t="s">
        <v>13682</v>
      </c>
      <c r="D760" s="125"/>
    </row>
    <row r="761">
      <c r="A761" s="122" t="s">
        <v>12126</v>
      </c>
      <c r="B761" s="123">
        <v>732717.0</v>
      </c>
      <c r="C761" s="687" t="s">
        <v>12127</v>
      </c>
      <c r="D761" s="125"/>
    </row>
    <row r="762">
      <c r="A762" s="122" t="s">
        <v>12318</v>
      </c>
      <c r="B762" s="123">
        <v>732717.0</v>
      </c>
      <c r="C762" s="687" t="s">
        <v>12319</v>
      </c>
      <c r="D762" s="125"/>
    </row>
    <row r="763">
      <c r="A763" s="122" t="s">
        <v>11623</v>
      </c>
      <c r="B763" s="123">
        <v>1838207.0</v>
      </c>
      <c r="C763" s="687" t="s">
        <v>11624</v>
      </c>
      <c r="D763" s="125"/>
    </row>
    <row r="764">
      <c r="A764" s="122" t="s">
        <v>11000</v>
      </c>
      <c r="B764" s="123">
        <v>732717.0</v>
      </c>
      <c r="C764" s="687" t="s">
        <v>11001</v>
      </c>
      <c r="D764" s="125"/>
    </row>
    <row r="765">
      <c r="A765" s="122" t="s">
        <v>3919</v>
      </c>
      <c r="B765" s="123">
        <v>1420529.0</v>
      </c>
      <c r="C765" s="687" t="s">
        <v>3920</v>
      </c>
      <c r="D765" s="125"/>
    </row>
    <row r="766">
      <c r="A766" s="122" t="s">
        <v>4641</v>
      </c>
      <c r="B766" s="123">
        <v>1840904.0</v>
      </c>
      <c r="C766" s="687" t="s">
        <v>4642</v>
      </c>
      <c r="D766" s="125"/>
    </row>
    <row r="767">
      <c r="A767" s="122" t="s">
        <v>4092</v>
      </c>
      <c r="B767" s="123">
        <v>1604464.0</v>
      </c>
      <c r="C767" s="687" t="s">
        <v>4093</v>
      </c>
      <c r="D767" s="125"/>
    </row>
    <row r="768">
      <c r="A768" s="122" t="s">
        <v>6143</v>
      </c>
      <c r="B768" s="123">
        <v>1593899.0</v>
      </c>
      <c r="C768" s="687" t="s">
        <v>6144</v>
      </c>
      <c r="D768" s="125"/>
    </row>
    <row r="769">
      <c r="A769" s="122" t="s">
        <v>2695</v>
      </c>
      <c r="B769" s="123">
        <v>1757715.0</v>
      </c>
      <c r="C769" s="687" t="s">
        <v>2696</v>
      </c>
      <c r="D769" s="125"/>
    </row>
    <row r="770">
      <c r="A770" s="122" t="s">
        <v>2323</v>
      </c>
      <c r="B770" s="123">
        <v>1095146.0</v>
      </c>
      <c r="C770" s="687" t="s">
        <v>2324</v>
      </c>
      <c r="D770" s="125"/>
    </row>
    <row r="771">
      <c r="A771" s="122" t="s">
        <v>1273</v>
      </c>
      <c r="B771" s="123">
        <v>1304409.0</v>
      </c>
      <c r="C771" s="687" t="s">
        <v>1274</v>
      </c>
      <c r="D771" s="125"/>
    </row>
    <row r="772">
      <c r="A772" s="122" t="s">
        <v>9172</v>
      </c>
      <c r="B772" s="123">
        <v>1882198.0</v>
      </c>
      <c r="C772" s="687" t="s">
        <v>9173</v>
      </c>
      <c r="D772" s="125"/>
    </row>
    <row r="773">
      <c r="A773" s="122" t="s">
        <v>5620</v>
      </c>
      <c r="B773" s="123">
        <v>1620463.0</v>
      </c>
      <c r="C773" s="687" t="s">
        <v>5621</v>
      </c>
      <c r="D773" s="125"/>
    </row>
    <row r="774">
      <c r="A774" s="122" t="s">
        <v>13523</v>
      </c>
      <c r="B774" s="123">
        <v>1018963.0</v>
      </c>
      <c r="C774" s="687" t="s">
        <v>13524</v>
      </c>
      <c r="D774" s="125"/>
    </row>
    <row r="775">
      <c r="A775" s="122" t="s">
        <v>7091</v>
      </c>
      <c r="B775" s="123">
        <v>1815849.0</v>
      </c>
      <c r="C775" s="687" t="s">
        <v>7092</v>
      </c>
      <c r="D775" s="125"/>
    </row>
    <row r="776">
      <c r="A776" s="122" t="s">
        <v>1926</v>
      </c>
      <c r="B776" s="123">
        <v>1861233.0</v>
      </c>
      <c r="C776" s="687" t="s">
        <v>1927</v>
      </c>
      <c r="D776" s="125"/>
    </row>
    <row r="777">
      <c r="A777" s="122" t="s">
        <v>3618</v>
      </c>
      <c r="B777" s="123">
        <v>1755058.0</v>
      </c>
      <c r="C777" s="687" t="s">
        <v>3619</v>
      </c>
      <c r="D777" s="125"/>
    </row>
    <row r="778">
      <c r="A778" s="122" t="s">
        <v>15877</v>
      </c>
      <c r="B778" s="123">
        <v>1666138.0</v>
      </c>
      <c r="C778" s="687" t="s">
        <v>15878</v>
      </c>
      <c r="D778" s="125"/>
    </row>
    <row r="779">
      <c r="A779" s="122" t="s">
        <v>13742</v>
      </c>
      <c r="B779" s="123">
        <v>1560385.0</v>
      </c>
      <c r="C779" s="687" t="s">
        <v>13743</v>
      </c>
      <c r="D779" s="125"/>
    </row>
    <row r="780">
      <c r="A780" s="122" t="s">
        <v>14082</v>
      </c>
      <c r="B780" s="123">
        <v>1560385.0</v>
      </c>
      <c r="C780" s="687" t="s">
        <v>14083</v>
      </c>
      <c r="D780" s="125"/>
    </row>
    <row r="781">
      <c r="A781" s="122" t="s">
        <v>13566</v>
      </c>
      <c r="B781" s="123">
        <v>1560385.0</v>
      </c>
      <c r="C781" s="687" t="s">
        <v>13567</v>
      </c>
      <c r="D781" s="125"/>
    </row>
    <row r="782">
      <c r="A782" s="122" t="s">
        <v>12011</v>
      </c>
      <c r="B782" s="123">
        <v>1437775.0</v>
      </c>
      <c r="C782" s="687" t="s">
        <v>12012</v>
      </c>
      <c r="D782" s="125"/>
    </row>
    <row r="783">
      <c r="A783" s="122" t="s">
        <v>5357</v>
      </c>
      <c r="B783" s="123">
        <v>8177.0</v>
      </c>
      <c r="C783" s="687" t="s">
        <v>5358</v>
      </c>
      <c r="D783" s="125"/>
    </row>
    <row r="784">
      <c r="A784" s="122" t="s">
        <v>1847</v>
      </c>
      <c r="B784" s="123">
        <v>1893219.0</v>
      </c>
      <c r="C784" s="687" t="s">
        <v>1174</v>
      </c>
      <c r="D784" s="125"/>
    </row>
    <row r="785">
      <c r="A785" s="122" t="s">
        <v>1173</v>
      </c>
      <c r="B785" s="123">
        <v>1836274.0</v>
      </c>
      <c r="C785" s="687" t="s">
        <v>1174</v>
      </c>
      <c r="D785" s="125"/>
    </row>
    <row r="786">
      <c r="A786" s="122" t="s">
        <v>8658</v>
      </c>
      <c r="B786" s="123">
        <v>1836274.0</v>
      </c>
      <c r="C786" s="687" t="s">
        <v>8659</v>
      </c>
      <c r="D786" s="125"/>
    </row>
    <row r="787">
      <c r="A787" s="122" t="s">
        <v>9354</v>
      </c>
      <c r="B787" s="123">
        <v>1893219.0</v>
      </c>
      <c r="C787" s="687" t="s">
        <v>9355</v>
      </c>
      <c r="D787" s="125"/>
    </row>
    <row r="788">
      <c r="A788" s="122" t="s">
        <v>8611</v>
      </c>
      <c r="B788" s="123">
        <v>1893219.0</v>
      </c>
      <c r="C788" s="687" t="s">
        <v>8612</v>
      </c>
      <c r="D788" s="125"/>
    </row>
    <row r="789">
      <c r="A789" s="122" t="s">
        <v>8708</v>
      </c>
      <c r="B789" s="123">
        <v>1836274.0</v>
      </c>
      <c r="C789" s="687" t="s">
        <v>8709</v>
      </c>
      <c r="D789" s="125"/>
    </row>
    <row r="790">
      <c r="A790" s="122" t="s">
        <v>13155</v>
      </c>
      <c r="B790" s="123">
        <v>883948.0</v>
      </c>
      <c r="C790" s="687" t="s">
        <v>13156</v>
      </c>
      <c r="D790" s="125"/>
    </row>
    <row r="791">
      <c r="A791" s="122" t="s">
        <v>3947</v>
      </c>
      <c r="B791" s="123">
        <v>1062506.0</v>
      </c>
      <c r="C791" s="687" t="s">
        <v>3948</v>
      </c>
      <c r="D791" s="125"/>
    </row>
    <row r="792">
      <c r="A792" s="122" t="s">
        <v>11248</v>
      </c>
      <c r="B792" s="123">
        <v>1601072.0</v>
      </c>
      <c r="C792" s="687" t="s">
        <v>11249</v>
      </c>
      <c r="D792" s="125"/>
    </row>
    <row r="793">
      <c r="A793" s="122" t="s">
        <v>11951</v>
      </c>
      <c r="B793" s="123">
        <v>1464343.0</v>
      </c>
      <c r="C793" s="687" t="s">
        <v>11952</v>
      </c>
      <c r="D793" s="125"/>
    </row>
    <row r="794">
      <c r="A794" s="122" t="s">
        <v>11757</v>
      </c>
      <c r="B794" s="123">
        <v>1464343.0</v>
      </c>
      <c r="C794" s="687" t="s">
        <v>11758</v>
      </c>
      <c r="D794" s="125"/>
    </row>
    <row r="795">
      <c r="A795" s="122" t="s">
        <v>13163</v>
      </c>
      <c r="B795" s="123">
        <v>1464343.0</v>
      </c>
      <c r="C795" s="687" t="s">
        <v>13164</v>
      </c>
      <c r="D795" s="125"/>
    </row>
    <row r="796">
      <c r="A796" s="122" t="s">
        <v>12114</v>
      </c>
      <c r="B796" s="123">
        <v>1794846.0</v>
      </c>
      <c r="C796" s="687" t="s">
        <v>12115</v>
      </c>
      <c r="D796" s="125"/>
    </row>
    <row r="797">
      <c r="A797" s="122" t="s">
        <v>10701</v>
      </c>
      <c r="B797" s="123">
        <v>748954.0</v>
      </c>
      <c r="C797" s="687" t="s">
        <v>10702</v>
      </c>
      <c r="D797" s="125"/>
    </row>
    <row r="798">
      <c r="A798" s="122" t="s">
        <v>10241</v>
      </c>
      <c r="B798" s="123">
        <v>748954.0</v>
      </c>
      <c r="C798" s="687" t="s">
        <v>10242</v>
      </c>
      <c r="D798" s="125"/>
    </row>
    <row r="799">
      <c r="A799" s="122" t="s">
        <v>10686</v>
      </c>
      <c r="B799" s="123">
        <v>748954.0</v>
      </c>
      <c r="C799" s="687" t="s">
        <v>10687</v>
      </c>
      <c r="D799" s="125"/>
    </row>
    <row r="800">
      <c r="A800" s="122" t="s">
        <v>33450</v>
      </c>
      <c r="B800" s="123">
        <v>1539894.0</v>
      </c>
      <c r="C800" s="687" t="s">
        <v>33451</v>
      </c>
      <c r="D800" s="125"/>
    </row>
    <row r="801">
      <c r="A801" s="122" t="s">
        <v>16208</v>
      </c>
      <c r="B801" s="123">
        <v>1650372.0</v>
      </c>
      <c r="C801" s="687" t="s">
        <v>16209</v>
      </c>
      <c r="D801" s="125"/>
    </row>
    <row r="802">
      <c r="A802" s="122" t="s">
        <v>15559</v>
      </c>
      <c r="B802" s="123">
        <v>731802.0</v>
      </c>
      <c r="C802" s="687" t="s">
        <v>15560</v>
      </c>
      <c r="D802" s="125"/>
    </row>
    <row r="803">
      <c r="A803" s="122" t="s">
        <v>13368</v>
      </c>
      <c r="B803" s="123">
        <v>879585.0</v>
      </c>
      <c r="C803" s="687" t="s">
        <v>13369</v>
      </c>
      <c r="D803" s="125"/>
    </row>
    <row r="804">
      <c r="A804" s="122" t="s">
        <v>7677</v>
      </c>
      <c r="B804" s="123">
        <v>1420520.0</v>
      </c>
      <c r="C804" s="687" t="s">
        <v>7678</v>
      </c>
      <c r="D804" s="125"/>
    </row>
    <row r="805">
      <c r="A805" s="122" t="s">
        <v>3568</v>
      </c>
      <c r="B805" s="123">
        <v>1488039.0</v>
      </c>
      <c r="C805" s="687" t="s">
        <v>3569</v>
      </c>
      <c r="D805" s="125"/>
    </row>
    <row r="806">
      <c r="A806" s="122" t="s">
        <v>11008</v>
      </c>
      <c r="B806" s="123">
        <v>1853717.0</v>
      </c>
      <c r="C806" s="687" t="s">
        <v>11009</v>
      </c>
      <c r="D806" s="125"/>
    </row>
    <row r="807">
      <c r="A807" s="122" t="s">
        <v>2542</v>
      </c>
      <c r="B807" s="123">
        <v>1532346.0</v>
      </c>
      <c r="C807" s="687" t="s">
        <v>2543</v>
      </c>
      <c r="D807" s="125"/>
    </row>
    <row r="808">
      <c r="A808" s="122" t="s">
        <v>3909</v>
      </c>
      <c r="B808" s="123">
        <v>1838957.0</v>
      </c>
      <c r="C808" s="687" t="s">
        <v>3910</v>
      </c>
      <c r="D808" s="125"/>
    </row>
    <row r="809">
      <c r="A809" s="122" t="s">
        <v>13088</v>
      </c>
      <c r="B809" s="123">
        <v>1323885.0</v>
      </c>
      <c r="C809" s="687" t="s">
        <v>13089</v>
      </c>
      <c r="D809" s="125"/>
    </row>
    <row r="810">
      <c r="A810" s="122" t="s">
        <v>16459</v>
      </c>
      <c r="B810" s="123">
        <v>701288.0</v>
      </c>
      <c r="C810" s="687" t="s">
        <v>16460</v>
      </c>
      <c r="D810" s="125"/>
    </row>
    <row r="811">
      <c r="A811" s="122" t="s">
        <v>3570</v>
      </c>
      <c r="B811" s="123">
        <v>1825254.0</v>
      </c>
      <c r="C811" s="687" t="s">
        <v>3571</v>
      </c>
      <c r="D811" s="125"/>
    </row>
    <row r="812">
      <c r="A812" s="122" t="s">
        <v>4629</v>
      </c>
      <c r="B812" s="123">
        <v>1339970.0</v>
      </c>
      <c r="C812" s="687" t="s">
        <v>4630</v>
      </c>
      <c r="D812" s="125"/>
    </row>
    <row r="813">
      <c r="A813" s="122" t="s">
        <v>11560</v>
      </c>
      <c r="B813" s="123">
        <v>750574.0</v>
      </c>
      <c r="C813" s="687" t="s">
        <v>11561</v>
      </c>
      <c r="D813" s="125"/>
    </row>
    <row r="814">
      <c r="A814" s="122" t="s">
        <v>890</v>
      </c>
      <c r="B814" s="123">
        <v>1554818.0</v>
      </c>
      <c r="C814" s="687" t="s">
        <v>891</v>
      </c>
      <c r="D814" s="125"/>
    </row>
    <row r="815">
      <c r="A815" s="122" t="s">
        <v>2297</v>
      </c>
      <c r="B815" s="123">
        <v>1554818.0</v>
      </c>
      <c r="C815" s="687" t="s">
        <v>2298</v>
      </c>
      <c r="D815" s="125"/>
    </row>
    <row r="816">
      <c r="A816" s="122" t="s">
        <v>9409</v>
      </c>
      <c r="B816" s="123">
        <v>1086434.0</v>
      </c>
      <c r="C816" s="687" t="s">
        <v>9410</v>
      </c>
      <c r="D816" s="125"/>
    </row>
    <row r="817">
      <c r="A817" s="122" t="s">
        <v>6690</v>
      </c>
      <c r="B817" s="123">
        <v>1362190.0</v>
      </c>
      <c r="C817" s="687" t="s">
        <v>6691</v>
      </c>
      <c r="D817" s="125"/>
    </row>
    <row r="818">
      <c r="A818" s="122" t="s">
        <v>6283</v>
      </c>
      <c r="B818" s="123">
        <v>1769804.0</v>
      </c>
      <c r="C818" s="687" t="s">
        <v>6284</v>
      </c>
      <c r="D818" s="125"/>
    </row>
    <row r="819">
      <c r="A819" s="122" t="s">
        <v>3059</v>
      </c>
      <c r="B819" s="123">
        <v>1448597.0</v>
      </c>
      <c r="C819" s="687" t="s">
        <v>3060</v>
      </c>
      <c r="D819" s="125"/>
    </row>
    <row r="820">
      <c r="A820" s="122" t="s">
        <v>9466</v>
      </c>
      <c r="B820" s="123">
        <v>1864032.0</v>
      </c>
      <c r="C820" s="687" t="s">
        <v>9467</v>
      </c>
      <c r="D820" s="125"/>
    </row>
    <row r="821">
      <c r="A821" s="122" t="s">
        <v>6932</v>
      </c>
      <c r="B821" s="123">
        <v>1172494.0</v>
      </c>
      <c r="C821" s="687" t="s">
        <v>6933</v>
      </c>
      <c r="D821" s="125"/>
    </row>
    <row r="822">
      <c r="A822" s="122" t="s">
        <v>7587</v>
      </c>
      <c r="B822" s="123">
        <v>1501796.0</v>
      </c>
      <c r="C822" s="687" t="s">
        <v>7588</v>
      </c>
      <c r="D822" s="125"/>
    </row>
    <row r="823">
      <c r="A823" s="122" t="s">
        <v>9042</v>
      </c>
      <c r="B823" s="123">
        <v>1901886.0</v>
      </c>
      <c r="C823" s="687" t="s">
        <v>979</v>
      </c>
      <c r="D823" s="125"/>
    </row>
    <row r="824">
      <c r="A824" s="122" t="s">
        <v>978</v>
      </c>
      <c r="B824" s="123">
        <v>1901886.0</v>
      </c>
      <c r="C824" s="687" t="s">
        <v>979</v>
      </c>
      <c r="D824" s="125"/>
    </row>
    <row r="825">
      <c r="A825" s="122" t="s">
        <v>8994</v>
      </c>
      <c r="B825" s="123">
        <v>1901886.0</v>
      </c>
      <c r="C825" s="687" t="s">
        <v>8995</v>
      </c>
      <c r="D825" s="125"/>
    </row>
    <row r="826">
      <c r="A826" s="122" t="s">
        <v>2239</v>
      </c>
      <c r="B826" s="123">
        <v>826253.0</v>
      </c>
      <c r="C826" s="687" t="s">
        <v>2240</v>
      </c>
      <c r="D826" s="125"/>
    </row>
    <row r="827">
      <c r="A827" s="122" t="s">
        <v>783</v>
      </c>
      <c r="B827" s="123">
        <v>1507713.0</v>
      </c>
      <c r="C827" s="687" t="s">
        <v>784</v>
      </c>
      <c r="D827" s="125"/>
    </row>
    <row r="828">
      <c r="A828" s="122" t="s">
        <v>33452</v>
      </c>
      <c r="B828" s="123">
        <v>1092802.0</v>
      </c>
      <c r="C828" s="687" t="s">
        <v>33453</v>
      </c>
      <c r="D828" s="125"/>
    </row>
    <row r="829">
      <c r="A829" s="122" t="s">
        <v>7556</v>
      </c>
      <c r="B829" s="123">
        <v>1600620.0</v>
      </c>
      <c r="C829" s="687" t="s">
        <v>7557</v>
      </c>
      <c r="D829" s="125"/>
    </row>
    <row r="830">
      <c r="A830" s="122" t="s">
        <v>2749</v>
      </c>
      <c r="B830" s="123">
        <v>1476573.0</v>
      </c>
      <c r="C830" s="687" t="s">
        <v>2750</v>
      </c>
      <c r="D830" s="125"/>
    </row>
    <row r="831">
      <c r="A831" s="122" t="s">
        <v>2651</v>
      </c>
      <c r="B831" s="123">
        <v>1828108.0</v>
      </c>
      <c r="C831" s="687" t="s">
        <v>2652</v>
      </c>
      <c r="D831" s="125"/>
    </row>
    <row r="832">
      <c r="A832" s="122" t="s">
        <v>2769</v>
      </c>
      <c r="B832" s="123">
        <v>1683541.0</v>
      </c>
      <c r="C832" s="687" t="s">
        <v>2770</v>
      </c>
      <c r="D832" s="125"/>
    </row>
    <row r="833">
      <c r="A833" s="122" t="s">
        <v>5626</v>
      </c>
      <c r="B833" s="123">
        <v>1828108.0</v>
      </c>
      <c r="C833" s="687" t="s">
        <v>5627</v>
      </c>
      <c r="D833" s="125"/>
    </row>
    <row r="834">
      <c r="A834" s="122" t="s">
        <v>6038</v>
      </c>
      <c r="B834" s="123">
        <v>1737339.0</v>
      </c>
      <c r="C834" s="687" t="s">
        <v>6039</v>
      </c>
      <c r="D834" s="125"/>
    </row>
    <row r="835">
      <c r="A835" s="122" t="s">
        <v>6571</v>
      </c>
      <c r="B835" s="123">
        <v>1883788.0</v>
      </c>
      <c r="C835" s="687" t="s">
        <v>6572</v>
      </c>
      <c r="D835" s="125"/>
    </row>
    <row r="836">
      <c r="A836" s="122" t="s">
        <v>33454</v>
      </c>
      <c r="B836" s="123">
        <v>1492091.0</v>
      </c>
      <c r="C836" s="687" t="s">
        <v>33455</v>
      </c>
      <c r="D836" s="125"/>
    </row>
    <row r="837">
      <c r="A837" s="122" t="s">
        <v>5964</v>
      </c>
      <c r="B837" s="123">
        <v>1091587.0</v>
      </c>
      <c r="C837" s="687" t="s">
        <v>5965</v>
      </c>
      <c r="D837" s="125"/>
    </row>
    <row r="838">
      <c r="A838" s="122" t="s">
        <v>2441</v>
      </c>
      <c r="B838" s="123">
        <v>898174.0</v>
      </c>
      <c r="C838" s="687" t="s">
        <v>2442</v>
      </c>
      <c r="D838" s="125"/>
    </row>
    <row r="839">
      <c r="A839" s="122" t="s">
        <v>3379</v>
      </c>
      <c r="B839" s="123">
        <v>1817740.0</v>
      </c>
      <c r="C839" s="687" t="s">
        <v>3380</v>
      </c>
      <c r="D839" s="125"/>
    </row>
    <row r="840">
      <c r="A840" s="122" t="s">
        <v>4367</v>
      </c>
      <c r="B840" s="123">
        <v>1829432.0</v>
      </c>
      <c r="C840" s="687" t="s">
        <v>4368</v>
      </c>
      <c r="D840" s="125"/>
    </row>
    <row r="841">
      <c r="A841" s="122" t="s">
        <v>8228</v>
      </c>
      <c r="B841" s="123">
        <v>1534154.0</v>
      </c>
      <c r="C841" s="687" t="s">
        <v>8229</v>
      </c>
      <c r="D841" s="125"/>
    </row>
    <row r="842">
      <c r="A842" s="122" t="s">
        <v>16349</v>
      </c>
      <c r="B842" s="123">
        <v>769397.0</v>
      </c>
      <c r="C842" s="687" t="s">
        <v>16293</v>
      </c>
      <c r="D842" s="125"/>
    </row>
    <row r="843">
      <c r="A843" s="122" t="s">
        <v>16292</v>
      </c>
      <c r="B843" s="123">
        <v>1067837.0</v>
      </c>
      <c r="C843" s="687" t="s">
        <v>16293</v>
      </c>
      <c r="D843" s="125"/>
    </row>
    <row r="844">
      <c r="A844" s="122" t="s">
        <v>6840</v>
      </c>
      <c r="B844" s="123">
        <v>1437541.0</v>
      </c>
      <c r="C844" s="687" t="s">
        <v>6841</v>
      </c>
      <c r="D844" s="125"/>
    </row>
    <row r="845">
      <c r="A845" s="122" t="s">
        <v>12099</v>
      </c>
      <c r="B845" s="123">
        <v>1527636.0</v>
      </c>
      <c r="C845" s="687" t="s">
        <v>12100</v>
      </c>
      <c r="D845" s="125"/>
    </row>
    <row r="846">
      <c r="A846" s="122" t="s">
        <v>15519</v>
      </c>
      <c r="B846" s="123">
        <v>1034670.0</v>
      </c>
      <c r="C846" s="687" t="s">
        <v>15520</v>
      </c>
      <c r="D846" s="125"/>
    </row>
    <row r="847">
      <c r="A847" s="122" t="s">
        <v>7029</v>
      </c>
      <c r="B847" s="123">
        <v>1730463.0</v>
      </c>
      <c r="C847" s="687" t="s">
        <v>7030</v>
      </c>
      <c r="D847" s="125"/>
    </row>
    <row r="848">
      <c r="A848" s="122" t="s">
        <v>16324</v>
      </c>
      <c r="B848" s="123">
        <v>8670.0</v>
      </c>
      <c r="C848" s="687" t="s">
        <v>16325</v>
      </c>
      <c r="D848" s="125"/>
    </row>
    <row r="849">
      <c r="A849" s="122" t="s">
        <v>7507</v>
      </c>
      <c r="B849" s="123">
        <v>943034.0</v>
      </c>
      <c r="C849" s="687" t="s">
        <v>7508</v>
      </c>
      <c r="D849" s="125"/>
    </row>
    <row r="850">
      <c r="A850" s="122" t="s">
        <v>16748</v>
      </c>
      <c r="B850" s="123">
        <v>866787.0</v>
      </c>
      <c r="C850" s="687" t="s">
        <v>16749</v>
      </c>
      <c r="D850" s="125"/>
    </row>
    <row r="851">
      <c r="A851" s="122" t="s">
        <v>15498</v>
      </c>
      <c r="B851" s="123">
        <v>1704760.0</v>
      </c>
      <c r="C851" s="687" t="s">
        <v>15499</v>
      </c>
      <c r="D851" s="125"/>
    </row>
    <row r="852">
      <c r="A852" s="122" t="s">
        <v>10348</v>
      </c>
      <c r="B852" s="123">
        <v>1012477.0</v>
      </c>
      <c r="C852" s="687" t="s">
        <v>10349</v>
      </c>
      <c r="D852" s="125"/>
    </row>
    <row r="853">
      <c r="A853" s="122" t="s">
        <v>6277</v>
      </c>
      <c r="B853" s="123">
        <v>1534120.0</v>
      </c>
      <c r="C853" s="687" t="s">
        <v>6278</v>
      </c>
      <c r="D853" s="125"/>
    </row>
    <row r="854">
      <c r="A854" s="122" t="s">
        <v>1630</v>
      </c>
      <c r="B854" s="123">
        <v>1362898.0</v>
      </c>
      <c r="C854" s="687" t="s">
        <v>1631</v>
      </c>
      <c r="D854" s="125"/>
    </row>
    <row r="855">
      <c r="A855" s="122" t="s">
        <v>4975</v>
      </c>
      <c r="B855" s="123">
        <v>1061069.0</v>
      </c>
      <c r="C855" s="687" t="s">
        <v>4976</v>
      </c>
      <c r="D855" s="125"/>
    </row>
    <row r="856">
      <c r="A856" s="122" t="s">
        <v>16036</v>
      </c>
      <c r="B856" s="123">
        <v>915912.0</v>
      </c>
      <c r="C856" s="687" t="s">
        <v>16037</v>
      </c>
      <c r="D856" s="125"/>
    </row>
    <row r="857">
      <c r="A857" s="122" t="s">
        <v>12882</v>
      </c>
      <c r="B857" s="123">
        <v>1634997.0</v>
      </c>
      <c r="C857" s="687" t="s">
        <v>12883</v>
      </c>
      <c r="D857" s="125"/>
    </row>
    <row r="858">
      <c r="A858" s="122" t="s">
        <v>11169</v>
      </c>
      <c r="B858" s="123">
        <v>1606498.0</v>
      </c>
      <c r="C858" s="687" t="s">
        <v>11170</v>
      </c>
      <c r="D858" s="125"/>
    </row>
    <row r="859">
      <c r="A859" s="122" t="s">
        <v>12001</v>
      </c>
      <c r="B859" s="123">
        <v>1722482.0</v>
      </c>
      <c r="C859" s="687" t="s">
        <v>12002</v>
      </c>
      <c r="D859" s="125"/>
    </row>
    <row r="860">
      <c r="A860" s="122" t="s">
        <v>5213</v>
      </c>
      <c r="B860" s="123">
        <v>1832332.0</v>
      </c>
      <c r="C860" s="687" t="s">
        <v>5214</v>
      </c>
      <c r="D860" s="125"/>
    </row>
    <row r="861">
      <c r="A861" s="122" t="s">
        <v>3893</v>
      </c>
      <c r="B861" s="123">
        <v>1777921.0</v>
      </c>
      <c r="C861" s="687" t="s">
        <v>3894</v>
      </c>
      <c r="D861" s="125"/>
    </row>
    <row r="862">
      <c r="A862" s="122" t="s">
        <v>7660</v>
      </c>
      <c r="B862" s="123">
        <v>1777921.0</v>
      </c>
      <c r="C862" s="687" t="s">
        <v>7661</v>
      </c>
      <c r="D862" s="125"/>
    </row>
    <row r="863">
      <c r="A863" s="122" t="s">
        <v>16149</v>
      </c>
      <c r="B863" s="123">
        <v>8818.0</v>
      </c>
      <c r="C863" s="687" t="s">
        <v>16150</v>
      </c>
      <c r="D863" s="125"/>
    </row>
    <row r="864">
      <c r="A864" s="122" t="s">
        <v>12713</v>
      </c>
      <c r="B864" s="123">
        <v>1377789.0</v>
      </c>
      <c r="C864" s="687" t="s">
        <v>12714</v>
      </c>
      <c r="D864" s="125"/>
    </row>
    <row r="865">
      <c r="A865" s="122" t="s">
        <v>7101</v>
      </c>
      <c r="B865" s="123">
        <v>704562.0</v>
      </c>
      <c r="C865" s="687" t="s">
        <v>7102</v>
      </c>
      <c r="D865" s="125"/>
    </row>
    <row r="866">
      <c r="A866" s="122" t="s">
        <v>11359</v>
      </c>
      <c r="B866" s="123">
        <v>1443575.0</v>
      </c>
      <c r="C866" s="687" t="s">
        <v>11360</v>
      </c>
      <c r="D866" s="125"/>
    </row>
    <row r="867">
      <c r="A867" s="122" t="s">
        <v>9470</v>
      </c>
      <c r="B867" s="123">
        <v>1599901.0</v>
      </c>
      <c r="C867" s="687" t="s">
        <v>9471</v>
      </c>
      <c r="D867" s="125"/>
    </row>
    <row r="868">
      <c r="A868" s="122" t="s">
        <v>9341</v>
      </c>
      <c r="B868" s="123">
        <v>1858257.0</v>
      </c>
      <c r="C868" s="687" t="s">
        <v>9342</v>
      </c>
      <c r="D868" s="125"/>
    </row>
    <row r="869">
      <c r="A869" s="122" t="s">
        <v>13360</v>
      </c>
      <c r="B869" s="123">
        <v>1122976.0</v>
      </c>
      <c r="C869" s="687" t="s">
        <v>13361</v>
      </c>
      <c r="D869" s="125"/>
    </row>
    <row r="870">
      <c r="A870" s="122" t="s">
        <v>5259</v>
      </c>
      <c r="B870" s="123">
        <v>1506928.0</v>
      </c>
      <c r="C870" s="687" t="s">
        <v>5260</v>
      </c>
      <c r="D870" s="125"/>
    </row>
    <row r="871">
      <c r="A871" s="122" t="s">
        <v>2939</v>
      </c>
      <c r="B871" s="123">
        <v>316888.0</v>
      </c>
      <c r="C871" s="687" t="s">
        <v>2940</v>
      </c>
      <c r="D871" s="125"/>
    </row>
    <row r="872">
      <c r="A872" s="122" t="s">
        <v>15958</v>
      </c>
      <c r="B872" s="123">
        <v>723612.0</v>
      </c>
      <c r="C872" s="687" t="s">
        <v>15959</v>
      </c>
      <c r="D872" s="125"/>
    </row>
    <row r="873">
      <c r="A873" s="122" t="s">
        <v>13148</v>
      </c>
      <c r="B873" s="123">
        <v>104918.0</v>
      </c>
      <c r="C873" s="687" t="s">
        <v>13149</v>
      </c>
      <c r="D873" s="125"/>
    </row>
    <row r="874">
      <c r="A874" s="122" t="s">
        <v>10834</v>
      </c>
      <c r="B874" s="123">
        <v>1762303.0</v>
      </c>
      <c r="C874" s="687" t="s">
        <v>10835</v>
      </c>
      <c r="D874" s="125"/>
    </row>
    <row r="875">
      <c r="A875" s="122" t="s">
        <v>13885</v>
      </c>
      <c r="B875" s="123">
        <v>8858.0</v>
      </c>
      <c r="C875" s="687" t="s">
        <v>13886</v>
      </c>
      <c r="D875" s="125"/>
    </row>
    <row r="876">
      <c r="A876" s="122" t="s">
        <v>13483</v>
      </c>
      <c r="B876" s="123">
        <v>1546354.0</v>
      </c>
      <c r="C876" s="687" t="s">
        <v>13484</v>
      </c>
      <c r="D876" s="125"/>
    </row>
    <row r="877">
      <c r="A877" s="122" t="s">
        <v>5980</v>
      </c>
      <c r="B877" s="123">
        <v>1546354.0</v>
      </c>
      <c r="C877" s="687" t="s">
        <v>5981</v>
      </c>
      <c r="D877" s="125"/>
    </row>
    <row r="878">
      <c r="A878" s="122" t="s">
        <v>1884</v>
      </c>
      <c r="B878" s="123">
        <v>1355736.0</v>
      </c>
      <c r="C878" s="687" t="s">
        <v>1885</v>
      </c>
      <c r="D878" s="125"/>
    </row>
    <row r="879">
      <c r="A879" s="122" t="s">
        <v>4144</v>
      </c>
      <c r="B879" s="123">
        <v>1681087.0</v>
      </c>
      <c r="C879" s="687" t="s">
        <v>4145</v>
      </c>
      <c r="D879" s="125"/>
    </row>
    <row r="880">
      <c r="A880" s="122" t="s">
        <v>535</v>
      </c>
      <c r="B880" s="123">
        <v>1445467.0</v>
      </c>
      <c r="C880" s="687" t="s">
        <v>536</v>
      </c>
      <c r="D880" s="125"/>
    </row>
    <row r="881">
      <c r="A881" s="122" t="s">
        <v>4611</v>
      </c>
      <c r="B881" s="123">
        <v>1015739.0</v>
      </c>
      <c r="C881" s="687" t="s">
        <v>4612</v>
      </c>
      <c r="D881" s="125"/>
    </row>
    <row r="882">
      <c r="A882" s="122" t="s">
        <v>2791</v>
      </c>
      <c r="B882" s="123">
        <v>1021917.0</v>
      </c>
      <c r="C882" s="687" t="s">
        <v>2792</v>
      </c>
      <c r="D882" s="125"/>
    </row>
    <row r="883">
      <c r="A883" s="122" t="s">
        <v>13037</v>
      </c>
      <c r="B883" s="123">
        <v>1616862.0</v>
      </c>
      <c r="C883" s="687" t="s">
        <v>13038</v>
      </c>
      <c r="D883" s="125"/>
    </row>
    <row r="884">
      <c r="A884" s="122" t="s">
        <v>15744</v>
      </c>
      <c r="B884" s="123">
        <v>1113232.0</v>
      </c>
      <c r="C884" s="687" t="s">
        <v>15745</v>
      </c>
      <c r="D884" s="125"/>
    </row>
    <row r="885">
      <c r="A885" s="122" t="s">
        <v>902</v>
      </c>
      <c r="B885" s="123">
        <v>1514946.0</v>
      </c>
      <c r="C885" s="687" t="s">
        <v>903</v>
      </c>
      <c r="D885" s="125"/>
    </row>
    <row r="886">
      <c r="A886" s="122" t="s">
        <v>8546</v>
      </c>
      <c r="B886" s="123">
        <v>1898019.0</v>
      </c>
      <c r="C886" s="687" t="s">
        <v>8547</v>
      </c>
      <c r="D886" s="125"/>
    </row>
    <row r="887">
      <c r="A887" s="122" t="s">
        <v>14350</v>
      </c>
      <c r="B887" s="123">
        <v>1214816.0</v>
      </c>
      <c r="C887" s="687" t="s">
        <v>14351</v>
      </c>
      <c r="D887" s="125"/>
    </row>
    <row r="888">
      <c r="A888" s="122" t="s">
        <v>8230</v>
      </c>
      <c r="B888" s="123">
        <v>805928.0</v>
      </c>
      <c r="C888" s="687" t="s">
        <v>8231</v>
      </c>
      <c r="D888" s="125"/>
    </row>
    <row r="889">
      <c r="A889" s="122" t="s">
        <v>16352</v>
      </c>
      <c r="B889" s="123">
        <v>1069183.0</v>
      </c>
      <c r="C889" s="687" t="s">
        <v>16353</v>
      </c>
      <c r="D889" s="125"/>
    </row>
    <row r="890">
      <c r="A890" s="122" t="s">
        <v>14693</v>
      </c>
      <c r="B890" s="123">
        <v>1603756.0</v>
      </c>
      <c r="C890" s="687" t="s">
        <v>14694</v>
      </c>
      <c r="D890" s="125"/>
    </row>
    <row r="891">
      <c r="A891" s="122" t="s">
        <v>14212</v>
      </c>
      <c r="B891" s="123">
        <v>1299709.0</v>
      </c>
      <c r="C891" s="687" t="s">
        <v>14213</v>
      </c>
      <c r="D891" s="125"/>
    </row>
    <row r="892">
      <c r="A892" s="122" t="s">
        <v>15258</v>
      </c>
      <c r="B892" s="123">
        <v>1579428.0</v>
      </c>
      <c r="C892" s="687" t="s">
        <v>15259</v>
      </c>
      <c r="D892" s="125"/>
    </row>
    <row r="893">
      <c r="A893" s="122" t="s">
        <v>5211</v>
      </c>
      <c r="B893" s="123">
        <v>1051627.0</v>
      </c>
      <c r="C893" s="687" t="s">
        <v>5212</v>
      </c>
      <c r="D893" s="125"/>
    </row>
    <row r="894">
      <c r="A894" s="122" t="s">
        <v>3097</v>
      </c>
      <c r="B894" s="123">
        <v>1100397.0</v>
      </c>
      <c r="C894" s="687" t="s">
        <v>3098</v>
      </c>
      <c r="D894" s="125"/>
    </row>
    <row r="895">
      <c r="A895" s="122" t="s">
        <v>5601</v>
      </c>
      <c r="B895" s="123">
        <v>1847462.0</v>
      </c>
      <c r="C895" s="687" t="s">
        <v>5602</v>
      </c>
      <c r="D895" s="125"/>
    </row>
    <row r="896">
      <c r="A896" s="122" t="s">
        <v>4623</v>
      </c>
      <c r="B896" s="123">
        <v>1086745.0</v>
      </c>
      <c r="C896" s="687" t="s">
        <v>4624</v>
      </c>
      <c r="D896" s="125"/>
    </row>
    <row r="897">
      <c r="A897" s="122" t="s">
        <v>5280</v>
      </c>
      <c r="B897" s="123">
        <v>1385818.0</v>
      </c>
      <c r="C897" s="687" t="s">
        <v>5281</v>
      </c>
      <c r="D897" s="125"/>
    </row>
    <row r="898">
      <c r="A898" s="122" t="s">
        <v>13600</v>
      </c>
      <c r="B898" s="123">
        <v>1782754.0</v>
      </c>
      <c r="C898" s="687" t="s">
        <v>13601</v>
      </c>
      <c r="D898" s="125"/>
    </row>
    <row r="899">
      <c r="A899" s="122" t="s">
        <v>14655</v>
      </c>
      <c r="B899" s="123">
        <v>933974.0</v>
      </c>
      <c r="C899" s="687" t="s">
        <v>14656</v>
      </c>
      <c r="D899" s="125"/>
    </row>
    <row r="900">
      <c r="A900" s="122" t="s">
        <v>12744</v>
      </c>
      <c r="B900" s="123">
        <v>1533475.0</v>
      </c>
      <c r="C900" s="687" t="s">
        <v>12745</v>
      </c>
      <c r="D900" s="125"/>
    </row>
    <row r="901">
      <c r="A901" s="122" t="s">
        <v>7755</v>
      </c>
      <c r="B901" s="123">
        <v>1432364.0</v>
      </c>
      <c r="C901" s="687" t="s">
        <v>7756</v>
      </c>
      <c r="D901" s="125"/>
    </row>
    <row r="902">
      <c r="A902" s="122" t="s">
        <v>14625</v>
      </c>
      <c r="B902" s="123">
        <v>8947.0</v>
      </c>
      <c r="C902" s="687" t="s">
        <v>14626</v>
      </c>
      <c r="D902" s="125"/>
    </row>
    <row r="903">
      <c r="A903" s="122" t="s">
        <v>5897</v>
      </c>
      <c r="B903" s="123">
        <v>1402606.0</v>
      </c>
      <c r="C903" s="687" t="s">
        <v>5898</v>
      </c>
      <c r="D903" s="125"/>
    </row>
    <row r="904">
      <c r="A904" s="122" t="s">
        <v>11155</v>
      </c>
      <c r="B904" s="123">
        <v>1464790.0</v>
      </c>
      <c r="C904" s="687" t="s">
        <v>11156</v>
      </c>
      <c r="D904" s="125"/>
    </row>
    <row r="905">
      <c r="A905" s="122" t="s">
        <v>12260</v>
      </c>
      <c r="B905" s="123">
        <v>1464790.0</v>
      </c>
      <c r="C905" s="687" t="s">
        <v>12261</v>
      </c>
      <c r="D905" s="125"/>
    </row>
    <row r="906">
      <c r="A906" s="122" t="s">
        <v>11683</v>
      </c>
      <c r="B906" s="123">
        <v>1464790.0</v>
      </c>
      <c r="C906" s="687" t="s">
        <v>11684</v>
      </c>
      <c r="D906" s="125"/>
    </row>
    <row r="907">
      <c r="A907" s="122" t="s">
        <v>11507</v>
      </c>
      <c r="B907" s="123">
        <v>1464790.0</v>
      </c>
      <c r="C907" s="687" t="s">
        <v>11508</v>
      </c>
      <c r="D907" s="125"/>
    </row>
    <row r="908">
      <c r="A908" s="122" t="s">
        <v>10944</v>
      </c>
      <c r="B908" s="123">
        <v>1464790.0</v>
      </c>
      <c r="C908" s="687" t="s">
        <v>10945</v>
      </c>
      <c r="D908" s="125"/>
    </row>
    <row r="909">
      <c r="A909" s="122" t="s">
        <v>11465</v>
      </c>
      <c r="B909" s="123">
        <v>1464790.0</v>
      </c>
      <c r="C909" s="687" t="s">
        <v>11466</v>
      </c>
      <c r="D909" s="125"/>
    </row>
    <row r="910">
      <c r="A910" s="122" t="s">
        <v>10543</v>
      </c>
      <c r="B910" s="123">
        <v>1464790.0</v>
      </c>
      <c r="C910" s="687" t="s">
        <v>10544</v>
      </c>
      <c r="D910" s="125"/>
    </row>
    <row r="911">
      <c r="A911" s="122" t="s">
        <v>10033</v>
      </c>
      <c r="B911" s="123">
        <v>1464790.0</v>
      </c>
      <c r="C911" s="687" t="s">
        <v>10034</v>
      </c>
      <c r="D911" s="125"/>
    </row>
    <row r="912">
      <c r="A912" s="122" t="s">
        <v>10514</v>
      </c>
      <c r="B912" s="123">
        <v>1464790.0</v>
      </c>
      <c r="C912" s="687" t="s">
        <v>10515</v>
      </c>
      <c r="D912" s="125"/>
    </row>
    <row r="913">
      <c r="A913" s="122" t="s">
        <v>10905</v>
      </c>
      <c r="B913" s="123">
        <v>1464790.0</v>
      </c>
      <c r="C913" s="687" t="s">
        <v>10906</v>
      </c>
      <c r="D913" s="125"/>
    </row>
    <row r="914">
      <c r="A914" s="122" t="s">
        <v>8487</v>
      </c>
      <c r="B914" s="123">
        <v>1278027.0</v>
      </c>
      <c r="C914" s="687" t="s">
        <v>8488</v>
      </c>
      <c r="D914" s="125"/>
    </row>
    <row r="915">
      <c r="A915" s="122" t="s">
        <v>33456</v>
      </c>
      <c r="B915" s="123">
        <v>725929.0</v>
      </c>
      <c r="C915" s="687" t="s">
        <v>33457</v>
      </c>
      <c r="D915" s="125"/>
    </row>
    <row r="916">
      <c r="A916" s="122" t="s">
        <v>5365</v>
      </c>
      <c r="B916" s="123">
        <v>1429937.0</v>
      </c>
      <c r="C916" s="687" t="s">
        <v>5366</v>
      </c>
      <c r="D916" s="125"/>
    </row>
    <row r="917">
      <c r="A917" s="122" t="s">
        <v>3397</v>
      </c>
      <c r="B917" s="123">
        <v>1123596.0</v>
      </c>
      <c r="C917" s="687" t="s">
        <v>3398</v>
      </c>
      <c r="D917" s="125"/>
    </row>
    <row r="918">
      <c r="A918" s="122" t="s">
        <v>4150</v>
      </c>
      <c r="B918" s="123">
        <v>1630805.0</v>
      </c>
      <c r="C918" s="687" t="s">
        <v>4151</v>
      </c>
      <c r="D918" s="125"/>
    </row>
    <row r="919">
      <c r="A919" s="122" t="s">
        <v>10800</v>
      </c>
      <c r="B919" s="123">
        <v>1630805.0</v>
      </c>
      <c r="C919" s="687" t="s">
        <v>10801</v>
      </c>
      <c r="D919" s="125"/>
    </row>
    <row r="920">
      <c r="A920" s="122" t="s">
        <v>11400</v>
      </c>
      <c r="B920" s="123">
        <v>1630805.0</v>
      </c>
      <c r="C920" s="687" t="s">
        <v>11401</v>
      </c>
      <c r="D920" s="125"/>
    </row>
    <row r="921">
      <c r="A921" s="122" t="s">
        <v>7801</v>
      </c>
      <c r="B921" s="123">
        <v>1462056.0</v>
      </c>
      <c r="C921" s="687" t="s">
        <v>7802</v>
      </c>
      <c r="D921" s="125"/>
    </row>
    <row r="922">
      <c r="A922" s="122" t="s">
        <v>1425</v>
      </c>
      <c r="B922" s="123">
        <v>1807387.0</v>
      </c>
      <c r="C922" s="687" t="s">
        <v>1426</v>
      </c>
      <c r="D922" s="125"/>
    </row>
    <row r="923">
      <c r="A923" s="122" t="s">
        <v>15842</v>
      </c>
      <c r="B923" s="123">
        <v>9092.0</v>
      </c>
      <c r="C923" s="687" t="s">
        <v>15843</v>
      </c>
      <c r="D923" s="125"/>
    </row>
    <row r="924">
      <c r="A924" s="122" t="s">
        <v>10389</v>
      </c>
      <c r="B924" s="123">
        <v>895564.0</v>
      </c>
      <c r="C924" s="687" t="s">
        <v>10390</v>
      </c>
      <c r="D924" s="125"/>
    </row>
    <row r="925">
      <c r="A925" s="122" t="s">
        <v>14449</v>
      </c>
      <c r="B925" s="123">
        <v>895564.0</v>
      </c>
      <c r="C925" s="687" t="s">
        <v>14450</v>
      </c>
      <c r="D925" s="125"/>
    </row>
    <row r="926">
      <c r="A926" s="122" t="s">
        <v>15427</v>
      </c>
      <c r="B926" s="123">
        <v>1329099.0</v>
      </c>
      <c r="C926" s="687" t="s">
        <v>15428</v>
      </c>
      <c r="D926" s="125"/>
    </row>
    <row r="927">
      <c r="A927" s="122" t="s">
        <v>10428</v>
      </c>
      <c r="B927" s="123">
        <v>1655050.0</v>
      </c>
      <c r="C927" s="687" t="s">
        <v>10429</v>
      </c>
      <c r="D927" s="125"/>
    </row>
    <row r="928">
      <c r="A928" s="122" t="s">
        <v>12729</v>
      </c>
      <c r="B928" s="123">
        <v>1701605.0</v>
      </c>
      <c r="C928" s="687" t="s">
        <v>12730</v>
      </c>
      <c r="D928" s="125"/>
    </row>
    <row r="929">
      <c r="A929" s="122" t="s">
        <v>1831</v>
      </c>
      <c r="B929" s="123">
        <v>1440153.0</v>
      </c>
      <c r="C929" s="687" t="s">
        <v>1832</v>
      </c>
      <c r="D929" s="125"/>
    </row>
    <row r="930">
      <c r="A930" s="122" t="s">
        <v>4259</v>
      </c>
      <c r="B930" s="123">
        <v>1820302.0</v>
      </c>
      <c r="C930" s="687" t="s">
        <v>4260</v>
      </c>
      <c r="D930" s="125"/>
    </row>
    <row r="931">
      <c r="A931" s="122" t="s">
        <v>2472</v>
      </c>
      <c r="B931" s="123">
        <v>1632121.0</v>
      </c>
      <c r="C931" s="687" t="s">
        <v>2473</v>
      </c>
      <c r="D931" s="125"/>
    </row>
    <row r="932">
      <c r="A932" s="122" t="s">
        <v>15833</v>
      </c>
      <c r="B932" s="123">
        <v>9326.0</v>
      </c>
      <c r="C932" s="687" t="s">
        <v>15834</v>
      </c>
      <c r="D932" s="125"/>
    </row>
    <row r="933">
      <c r="A933" s="122" t="s">
        <v>14422</v>
      </c>
      <c r="B933" s="123">
        <v>9389.0</v>
      </c>
      <c r="C933" s="687" t="s">
        <v>14423</v>
      </c>
      <c r="D933" s="125"/>
    </row>
    <row r="934">
      <c r="A934" s="122" t="s">
        <v>5703</v>
      </c>
      <c r="B934" s="123">
        <v>1453015.0</v>
      </c>
      <c r="C934" s="687" t="s">
        <v>5704</v>
      </c>
      <c r="D934" s="125"/>
    </row>
    <row r="935">
      <c r="A935" s="122" t="s">
        <v>2448</v>
      </c>
      <c r="B935" s="123">
        <v>1591565.0</v>
      </c>
      <c r="C935" s="687" t="s">
        <v>2449</v>
      </c>
      <c r="D935" s="125"/>
    </row>
    <row r="936">
      <c r="A936" s="122" t="s">
        <v>9323</v>
      </c>
      <c r="B936" s="123">
        <v>1747079.0</v>
      </c>
      <c r="C936" s="687" t="s">
        <v>9324</v>
      </c>
      <c r="D936" s="125"/>
    </row>
    <row r="937">
      <c r="A937" s="122" t="s">
        <v>796</v>
      </c>
      <c r="B937" s="123">
        <v>918545.0</v>
      </c>
      <c r="C937" s="687" t="s">
        <v>797</v>
      </c>
      <c r="D937" s="125"/>
    </row>
    <row r="938">
      <c r="A938" s="122" t="s">
        <v>10025</v>
      </c>
      <c r="B938" s="123">
        <v>1169770.0</v>
      </c>
      <c r="C938" s="687" t="s">
        <v>10026</v>
      </c>
      <c r="D938" s="125"/>
    </row>
    <row r="939">
      <c r="A939" s="122" t="s">
        <v>8148</v>
      </c>
      <c r="B939" s="123">
        <v>1667075.0</v>
      </c>
      <c r="C939" s="687" t="s">
        <v>8149</v>
      </c>
      <c r="D939" s="125"/>
    </row>
    <row r="940">
      <c r="A940" s="122" t="s">
        <v>11420</v>
      </c>
      <c r="B940" s="123">
        <v>1667075.0</v>
      </c>
      <c r="C940" s="687" t="s">
        <v>11421</v>
      </c>
      <c r="D940" s="125"/>
    </row>
    <row r="941">
      <c r="A941" s="122" t="s">
        <v>5859</v>
      </c>
      <c r="B941" s="123">
        <v>1002788.0</v>
      </c>
      <c r="C941" s="687" t="s">
        <v>5860</v>
      </c>
      <c r="D941" s="125"/>
    </row>
    <row r="942">
      <c r="A942" s="122" t="s">
        <v>12431</v>
      </c>
      <c r="B942" s="123">
        <v>760498.0</v>
      </c>
      <c r="C942" s="687" t="s">
        <v>12432</v>
      </c>
      <c r="D942" s="125"/>
    </row>
    <row r="943">
      <c r="A943" s="122" t="s">
        <v>15165</v>
      </c>
      <c r="B943" s="123">
        <v>760498.0</v>
      </c>
      <c r="C943" s="687" t="s">
        <v>15166</v>
      </c>
      <c r="D943" s="125"/>
    </row>
    <row r="944">
      <c r="A944" s="122" t="s">
        <v>8248</v>
      </c>
      <c r="B944" s="123">
        <v>842180.0</v>
      </c>
      <c r="C944" s="687" t="s">
        <v>8195</v>
      </c>
      <c r="D944" s="125"/>
    </row>
    <row r="945">
      <c r="A945" s="122" t="s">
        <v>8194</v>
      </c>
      <c r="B945" s="123">
        <v>842180.0</v>
      </c>
      <c r="C945" s="687" t="s">
        <v>8195</v>
      </c>
      <c r="D945" s="125"/>
    </row>
    <row r="946">
      <c r="A946" s="122" t="s">
        <v>6575</v>
      </c>
      <c r="B946" s="123">
        <v>1001085.0</v>
      </c>
      <c r="C946" s="687" t="s">
        <v>6576</v>
      </c>
      <c r="D946" s="125"/>
    </row>
    <row r="947">
      <c r="A947" s="122" t="s">
        <v>5349</v>
      </c>
      <c r="B947" s="123">
        <v>1160330.0</v>
      </c>
      <c r="C947" s="687" t="s">
        <v>5350</v>
      </c>
      <c r="D947" s="125"/>
    </row>
    <row r="948">
      <c r="A948" s="122" t="s">
        <v>5598</v>
      </c>
      <c r="B948" s="123">
        <v>1160330.0</v>
      </c>
      <c r="C948" s="687" t="s">
        <v>5599</v>
      </c>
      <c r="D948" s="125"/>
    </row>
    <row r="949">
      <c r="A949" s="122" t="s">
        <v>11881</v>
      </c>
      <c r="B949" s="123">
        <v>1161125.0</v>
      </c>
      <c r="C949" s="687" t="s">
        <v>11882</v>
      </c>
      <c r="D949" s="125"/>
    </row>
    <row r="950">
      <c r="A950" s="122" t="s">
        <v>4989</v>
      </c>
      <c r="B950" s="123">
        <v>1831833.0</v>
      </c>
      <c r="C950" s="687" t="s">
        <v>4990</v>
      </c>
      <c r="D950" s="125"/>
    </row>
    <row r="951">
      <c r="A951" s="122" t="s">
        <v>13201</v>
      </c>
      <c r="B951" s="123">
        <v>1347426.0</v>
      </c>
      <c r="C951" s="687" t="s">
        <v>13202</v>
      </c>
      <c r="D951" s="125"/>
    </row>
    <row r="952">
      <c r="A952" s="122" t="s">
        <v>6912</v>
      </c>
      <c r="B952" s="123">
        <v>1471055.0</v>
      </c>
      <c r="C952" s="687" t="s">
        <v>6913</v>
      </c>
      <c r="D952" s="125"/>
    </row>
    <row r="953">
      <c r="A953" s="122" t="s">
        <v>6173</v>
      </c>
      <c r="B953" s="123">
        <v>891478.0</v>
      </c>
      <c r="C953" s="687" t="s">
        <v>6174</v>
      </c>
      <c r="D953" s="125"/>
    </row>
    <row r="954">
      <c r="A954" s="122" t="s">
        <v>11175</v>
      </c>
      <c r="B954" s="123">
        <v>1027552.0</v>
      </c>
      <c r="C954" s="687" t="s">
        <v>11176</v>
      </c>
      <c r="D954" s="125"/>
    </row>
    <row r="955">
      <c r="A955" s="122" t="s">
        <v>12979</v>
      </c>
      <c r="B955" s="123">
        <v>1071371.0</v>
      </c>
      <c r="C955" s="687" t="s">
        <v>12980</v>
      </c>
      <c r="D955" s="125"/>
    </row>
    <row r="956">
      <c r="A956" s="122" t="s">
        <v>7765</v>
      </c>
      <c r="B956" s="123">
        <v>1668340.0</v>
      </c>
      <c r="C956" s="687" t="s">
        <v>7766</v>
      </c>
      <c r="D956" s="125"/>
    </row>
    <row r="957">
      <c r="A957" s="122" t="s">
        <v>13725</v>
      </c>
      <c r="B957" s="123">
        <v>1295401.0</v>
      </c>
      <c r="C957" s="687" t="s">
        <v>13726</v>
      </c>
      <c r="D957" s="125"/>
    </row>
    <row r="958">
      <c r="A958" s="122" t="s">
        <v>10503</v>
      </c>
      <c r="B958" s="123">
        <v>9521.0</v>
      </c>
      <c r="C958" s="687" t="s">
        <v>10504</v>
      </c>
      <c r="D958" s="125"/>
    </row>
    <row r="959">
      <c r="A959" s="122" t="s">
        <v>10254</v>
      </c>
      <c r="B959" s="123">
        <v>1514416.0</v>
      </c>
      <c r="C959" s="687" t="s">
        <v>10255</v>
      </c>
      <c r="D959" s="125"/>
    </row>
    <row r="960">
      <c r="A960" s="122" t="s">
        <v>9614</v>
      </c>
      <c r="B960" s="123">
        <v>1741257.0</v>
      </c>
      <c r="C960" s="687" t="s">
        <v>9615</v>
      </c>
      <c r="D960" s="125"/>
    </row>
    <row r="961">
      <c r="A961" s="122" t="s">
        <v>15729</v>
      </c>
      <c r="B961" s="123">
        <v>1869673.0</v>
      </c>
      <c r="C961" s="687" t="s">
        <v>15730</v>
      </c>
      <c r="D961" s="125"/>
    </row>
    <row r="962">
      <c r="A962" s="122" t="s">
        <v>3179</v>
      </c>
      <c r="B962" s="123">
        <v>1463157.0</v>
      </c>
      <c r="C962" s="687" t="s">
        <v>3180</v>
      </c>
      <c r="D962" s="125"/>
    </row>
    <row r="963">
      <c r="A963" s="122" t="s">
        <v>15101</v>
      </c>
      <c r="B963" s="123">
        <v>1746109.0</v>
      </c>
      <c r="C963" s="687" t="s">
        <v>15102</v>
      </c>
      <c r="D963" s="125"/>
    </row>
    <row r="964">
      <c r="A964" s="122" t="s">
        <v>2880</v>
      </c>
      <c r="B964" s="123">
        <v>1461748.0</v>
      </c>
      <c r="C964" s="687" t="s">
        <v>2881</v>
      </c>
      <c r="D964" s="125"/>
    </row>
    <row r="965">
      <c r="A965" s="122" t="s">
        <v>2878</v>
      </c>
      <c r="B965" s="123">
        <v>1504122.0</v>
      </c>
      <c r="C965" s="687" t="s">
        <v>2879</v>
      </c>
      <c r="D965" s="125"/>
    </row>
    <row r="966">
      <c r="A966" s="122" t="s">
        <v>13101</v>
      </c>
      <c r="B966" s="123">
        <v>70858.0</v>
      </c>
      <c r="C966" s="687" t="s">
        <v>12898</v>
      </c>
      <c r="D966" s="125"/>
    </row>
    <row r="967">
      <c r="A967" s="122" t="s">
        <v>12897</v>
      </c>
      <c r="B967" s="123">
        <v>1818089.0</v>
      </c>
      <c r="C967" s="687" t="s">
        <v>12898</v>
      </c>
      <c r="D967" s="125"/>
    </row>
    <row r="968">
      <c r="A968" s="122" t="s">
        <v>14522</v>
      </c>
      <c r="B968" s="123">
        <v>46195.0</v>
      </c>
      <c r="C968" s="687" t="s">
        <v>14523</v>
      </c>
      <c r="D968" s="125"/>
    </row>
    <row r="969">
      <c r="A969" s="122" t="s">
        <v>11167</v>
      </c>
      <c r="B969" s="123">
        <v>1403475.0</v>
      </c>
      <c r="C969" s="687" t="s">
        <v>11168</v>
      </c>
      <c r="D969" s="125"/>
    </row>
    <row r="970">
      <c r="A970" s="122" t="s">
        <v>15274</v>
      </c>
      <c r="B970" s="123">
        <v>927971.0</v>
      </c>
      <c r="C970" s="687" t="s">
        <v>15275</v>
      </c>
      <c r="D970" s="125"/>
    </row>
    <row r="971">
      <c r="A971" s="122" t="s">
        <v>14244</v>
      </c>
      <c r="B971" s="123">
        <v>927971.0</v>
      </c>
      <c r="C971" s="687" t="s">
        <v>14245</v>
      </c>
      <c r="D971" s="125"/>
    </row>
    <row r="972">
      <c r="A972" s="122" t="s">
        <v>6219</v>
      </c>
      <c r="B972" s="123">
        <v>927971.0</v>
      </c>
      <c r="C972" s="687" t="s">
        <v>6220</v>
      </c>
      <c r="D972" s="125"/>
    </row>
    <row r="973">
      <c r="A973" s="122" t="s">
        <v>16421</v>
      </c>
      <c r="B973" s="123">
        <v>927971.0</v>
      </c>
      <c r="C973" s="687" t="s">
        <v>16422</v>
      </c>
      <c r="D973" s="125"/>
    </row>
    <row r="974">
      <c r="A974" s="122" t="s">
        <v>12773</v>
      </c>
      <c r="B974" s="123">
        <v>1653242.0</v>
      </c>
      <c r="C974" s="687" t="s">
        <v>12774</v>
      </c>
      <c r="D974" s="125"/>
    </row>
    <row r="975">
      <c r="A975" s="122" t="s">
        <v>14289</v>
      </c>
      <c r="B975" s="123">
        <v>1390777.0</v>
      </c>
      <c r="C975" s="687" t="s">
        <v>14290</v>
      </c>
      <c r="D975" s="125"/>
    </row>
    <row r="976">
      <c r="A976" s="122" t="s">
        <v>13949</v>
      </c>
      <c r="B976" s="123">
        <v>9631.0</v>
      </c>
      <c r="C976" s="687" t="s">
        <v>13950</v>
      </c>
      <c r="D976" s="125"/>
    </row>
    <row r="977">
      <c r="A977" s="122" t="s">
        <v>9760</v>
      </c>
      <c r="B977" s="123">
        <v>1007273.0</v>
      </c>
      <c r="C977" s="687" t="s">
        <v>9761</v>
      </c>
      <c r="D977" s="125"/>
    </row>
    <row r="978">
      <c r="A978" s="122" t="s">
        <v>9667</v>
      </c>
      <c r="B978" s="123">
        <v>1275101.0</v>
      </c>
      <c r="C978" s="687" t="s">
        <v>9668</v>
      </c>
      <c r="D978" s="125"/>
    </row>
    <row r="979">
      <c r="A979" s="122" t="s">
        <v>13735</v>
      </c>
      <c r="B979" s="123">
        <v>1569650.0</v>
      </c>
      <c r="C979" s="687" t="s">
        <v>13736</v>
      </c>
      <c r="D979" s="125"/>
    </row>
    <row r="980">
      <c r="A980" s="122" t="s">
        <v>10786</v>
      </c>
      <c r="B980" s="123">
        <v>1569650.0</v>
      </c>
      <c r="C980" s="687" t="s">
        <v>10787</v>
      </c>
      <c r="D980" s="125"/>
    </row>
    <row r="981">
      <c r="A981" s="122" t="s">
        <v>14937</v>
      </c>
      <c r="B981" s="123">
        <v>1759528.0</v>
      </c>
      <c r="C981" s="687" t="s">
        <v>14938</v>
      </c>
      <c r="D981" s="125"/>
    </row>
    <row r="982">
      <c r="A982" s="122" t="s">
        <v>12592</v>
      </c>
      <c r="B982" s="123">
        <v>1746129.0</v>
      </c>
      <c r="C982" s="687" t="s">
        <v>12593</v>
      </c>
      <c r="D982" s="125"/>
    </row>
    <row r="983">
      <c r="A983" s="122" t="s">
        <v>8550</v>
      </c>
      <c r="B983" s="123">
        <v>1303942.0</v>
      </c>
      <c r="C983" s="687" t="s">
        <v>8551</v>
      </c>
      <c r="D983" s="125"/>
    </row>
    <row r="984">
      <c r="A984" s="122" t="s">
        <v>16682</v>
      </c>
      <c r="B984" s="123">
        <v>1527383.0</v>
      </c>
      <c r="C984" s="687" t="s">
        <v>16683</v>
      </c>
      <c r="D984" s="125"/>
    </row>
    <row r="985">
      <c r="A985" s="122" t="s">
        <v>12510</v>
      </c>
      <c r="B985" s="123">
        <v>1504008.0</v>
      </c>
      <c r="C985" s="687" t="s">
        <v>12511</v>
      </c>
      <c r="D985" s="125"/>
    </row>
    <row r="986">
      <c r="A986" s="122" t="s">
        <v>12538</v>
      </c>
      <c r="B986" s="123">
        <v>1505732.0</v>
      </c>
      <c r="C986" s="687" t="s">
        <v>12539</v>
      </c>
      <c r="D986" s="125"/>
    </row>
    <row r="987">
      <c r="A987" s="122" t="s">
        <v>13894</v>
      </c>
      <c r="B987" s="123">
        <v>946673.0</v>
      </c>
      <c r="C987" s="687" t="s">
        <v>13895</v>
      </c>
      <c r="D987" s="125"/>
    </row>
    <row r="988">
      <c r="A988" s="122" t="s">
        <v>974</v>
      </c>
      <c r="B988" s="123">
        <v>1845942.0</v>
      </c>
      <c r="C988" s="687" t="s">
        <v>975</v>
      </c>
      <c r="D988" s="125"/>
    </row>
    <row r="989">
      <c r="A989" s="122" t="s">
        <v>8896</v>
      </c>
      <c r="B989" s="123">
        <v>1845942.0</v>
      </c>
      <c r="C989" s="687" t="s">
        <v>8897</v>
      </c>
      <c r="D989" s="125"/>
    </row>
    <row r="990">
      <c r="A990" s="122" t="s">
        <v>438</v>
      </c>
      <c r="B990" s="123">
        <v>1704795.0</v>
      </c>
      <c r="C990" s="687" t="s">
        <v>439</v>
      </c>
      <c r="D990" s="125"/>
    </row>
    <row r="991">
      <c r="A991" s="122" t="s">
        <v>2635</v>
      </c>
      <c r="B991" s="123">
        <v>1852633.0</v>
      </c>
      <c r="C991" s="687" t="s">
        <v>2636</v>
      </c>
      <c r="D991" s="125"/>
    </row>
    <row r="992">
      <c r="A992" s="122" t="s">
        <v>5628</v>
      </c>
      <c r="B992" s="123">
        <v>1811216.0</v>
      </c>
      <c r="C992" s="687" t="s">
        <v>5629</v>
      </c>
      <c r="D992" s="125"/>
    </row>
    <row r="993">
      <c r="A993" s="122" t="s">
        <v>4951</v>
      </c>
      <c r="B993" s="123">
        <v>1625414.0</v>
      </c>
      <c r="C993" s="687" t="s">
        <v>4952</v>
      </c>
      <c r="D993" s="125"/>
    </row>
    <row r="994">
      <c r="A994" s="122" t="s">
        <v>12389</v>
      </c>
      <c r="B994" s="123">
        <v>743367.0</v>
      </c>
      <c r="C994" s="687" t="s">
        <v>12390</v>
      </c>
      <c r="D994" s="125"/>
    </row>
    <row r="995">
      <c r="A995" s="122" t="s">
        <v>12785</v>
      </c>
      <c r="B995" s="123">
        <v>312070.0</v>
      </c>
      <c r="C995" s="687" t="s">
        <v>12786</v>
      </c>
      <c r="D995" s="125"/>
    </row>
    <row r="996">
      <c r="A996" s="122" t="s">
        <v>13838</v>
      </c>
      <c r="B996" s="123">
        <v>312070.0</v>
      </c>
      <c r="C996" s="687" t="s">
        <v>13839</v>
      </c>
      <c r="D996" s="125"/>
    </row>
    <row r="997">
      <c r="A997" s="122" t="s">
        <v>13810</v>
      </c>
      <c r="B997" s="123">
        <v>312070.0</v>
      </c>
      <c r="C997" s="687" t="s">
        <v>13811</v>
      </c>
      <c r="D997" s="125"/>
    </row>
    <row r="998">
      <c r="A998" s="122" t="s">
        <v>6777</v>
      </c>
      <c r="B998" s="123">
        <v>312070.0</v>
      </c>
      <c r="C998" s="687" t="s">
        <v>6778</v>
      </c>
      <c r="D998" s="125"/>
    </row>
    <row r="999">
      <c r="A999" s="122" t="s">
        <v>13072</v>
      </c>
      <c r="B999" s="123">
        <v>312070.0</v>
      </c>
      <c r="C999" s="687" t="s">
        <v>13073</v>
      </c>
      <c r="D999" s="125"/>
    </row>
    <row r="1000">
      <c r="A1000" s="122" t="s">
        <v>11469</v>
      </c>
      <c r="B1000" s="123">
        <v>312070.0</v>
      </c>
      <c r="C1000" s="687" t="s">
        <v>11470</v>
      </c>
      <c r="D1000" s="125"/>
    </row>
    <row r="1001">
      <c r="A1001" s="122" t="s">
        <v>14170</v>
      </c>
      <c r="B1001" s="123">
        <v>312070.0</v>
      </c>
      <c r="C1001" s="687" t="s">
        <v>14171</v>
      </c>
      <c r="D1001" s="125"/>
    </row>
    <row r="1002">
      <c r="A1002" s="122" t="s">
        <v>11693</v>
      </c>
      <c r="B1002" s="123">
        <v>312070.0</v>
      </c>
      <c r="C1002" s="687" t="s">
        <v>11694</v>
      </c>
      <c r="D1002" s="125"/>
    </row>
    <row r="1003">
      <c r="A1003" s="122" t="s">
        <v>10167</v>
      </c>
      <c r="B1003" s="123">
        <v>312070.0</v>
      </c>
      <c r="C1003" s="687" t="s">
        <v>10168</v>
      </c>
      <c r="D1003" s="125"/>
    </row>
    <row r="1004">
      <c r="A1004" s="122" t="s">
        <v>4721</v>
      </c>
      <c r="B1004" s="123">
        <v>312069.0</v>
      </c>
      <c r="C1004" s="687" t="s">
        <v>4722</v>
      </c>
      <c r="D1004" s="125"/>
    </row>
    <row r="1005">
      <c r="A1005" s="122" t="s">
        <v>7560</v>
      </c>
      <c r="B1005" s="123">
        <v>312069.0</v>
      </c>
      <c r="C1005" s="687" t="s">
        <v>4722</v>
      </c>
      <c r="D1005" s="125"/>
    </row>
    <row r="1006">
      <c r="A1006" s="122" t="s">
        <v>4209</v>
      </c>
      <c r="B1006" s="123">
        <v>1487197.0</v>
      </c>
      <c r="C1006" s="687" t="s">
        <v>4210</v>
      </c>
      <c r="D1006" s="125"/>
    </row>
    <row r="1007">
      <c r="A1007" s="122" t="s">
        <v>7954</v>
      </c>
      <c r="B1007" s="123">
        <v>1379785.0</v>
      </c>
      <c r="C1007" s="687" t="s">
        <v>7955</v>
      </c>
      <c r="D1007" s="125"/>
    </row>
    <row r="1008">
      <c r="A1008" s="122" t="s">
        <v>11095</v>
      </c>
      <c r="B1008" s="123">
        <v>275694.0</v>
      </c>
      <c r="C1008" s="687" t="s">
        <v>11096</v>
      </c>
      <c r="D1008" s="125"/>
    </row>
    <row r="1009">
      <c r="A1009" s="122" t="s">
        <v>10173</v>
      </c>
      <c r="B1009" s="123">
        <v>1521404.0</v>
      </c>
      <c r="C1009" s="687" t="s">
        <v>10174</v>
      </c>
      <c r="D1009" s="125"/>
    </row>
    <row r="1010">
      <c r="A1010" s="122" t="s">
        <v>10512</v>
      </c>
      <c r="B1010" s="123">
        <v>831655.0</v>
      </c>
      <c r="C1010" s="687" t="s">
        <v>10513</v>
      </c>
      <c r="D1010" s="125"/>
    </row>
    <row r="1011">
      <c r="A1011" s="122" t="s">
        <v>3672</v>
      </c>
      <c r="B1011" s="123">
        <v>1819574.0</v>
      </c>
      <c r="C1011" s="687" t="s">
        <v>3673</v>
      </c>
      <c r="D1011" s="125"/>
    </row>
    <row r="1012">
      <c r="A1012" s="122" t="s">
        <v>3660</v>
      </c>
      <c r="B1012" s="123">
        <v>1634117.0</v>
      </c>
      <c r="C1012" s="687" t="s">
        <v>3661</v>
      </c>
      <c r="D1012" s="125"/>
    </row>
    <row r="1013">
      <c r="A1013" s="122" t="s">
        <v>13114</v>
      </c>
      <c r="B1013" s="123">
        <v>9984.0</v>
      </c>
      <c r="C1013" s="687" t="s">
        <v>13115</v>
      </c>
      <c r="D1013" s="125"/>
    </row>
    <row r="1014">
      <c r="A1014" s="122" t="s">
        <v>5187</v>
      </c>
      <c r="B1014" s="123">
        <v>10048.0</v>
      </c>
      <c r="C1014" s="687" t="s">
        <v>5188</v>
      </c>
      <c r="D1014" s="125"/>
    </row>
    <row r="1015">
      <c r="A1015" s="122" t="s">
        <v>910</v>
      </c>
      <c r="B1015" s="123">
        <v>1631463.0</v>
      </c>
      <c r="C1015" s="687" t="s">
        <v>911</v>
      </c>
      <c r="D1015" s="125"/>
    </row>
    <row r="1016">
      <c r="A1016" s="122" t="s">
        <v>15538</v>
      </c>
      <c r="B1016" s="123">
        <v>902791.0</v>
      </c>
      <c r="C1016" s="687" t="s">
        <v>15539</v>
      </c>
      <c r="D1016" s="125"/>
    </row>
    <row r="1017">
      <c r="A1017" s="122" t="s">
        <v>10522</v>
      </c>
      <c r="B1017" s="123">
        <v>756894.0</v>
      </c>
      <c r="C1017" s="687" t="s">
        <v>10523</v>
      </c>
      <c r="D1017" s="125"/>
    </row>
    <row r="1018">
      <c r="A1018" s="122" t="s">
        <v>641</v>
      </c>
      <c r="B1018" s="123">
        <v>1448705.0</v>
      </c>
      <c r="C1018" s="687" t="s">
        <v>642</v>
      </c>
      <c r="D1018" s="125"/>
    </row>
    <row r="1019">
      <c r="A1019" s="122" t="s">
        <v>33458</v>
      </c>
      <c r="B1019" s="123">
        <v>1495028.0</v>
      </c>
      <c r="C1019" s="687" t="s">
        <v>33459</v>
      </c>
      <c r="D1019" s="125"/>
    </row>
    <row r="1020">
      <c r="A1020" s="122" t="s">
        <v>2953</v>
      </c>
      <c r="B1020" s="123">
        <v>1089061.0</v>
      </c>
      <c r="C1020" s="687" t="s">
        <v>2954</v>
      </c>
      <c r="D1020" s="125"/>
    </row>
    <row r="1021">
      <c r="A1021" s="122" t="s">
        <v>10608</v>
      </c>
      <c r="B1021" s="123">
        <v>1170858.0</v>
      </c>
      <c r="C1021" s="687" t="s">
        <v>10609</v>
      </c>
      <c r="D1021" s="125"/>
    </row>
    <row r="1022">
      <c r="A1022" s="122" t="s">
        <v>10594</v>
      </c>
      <c r="B1022" s="123">
        <v>10329.0</v>
      </c>
      <c r="C1022" s="687" t="s">
        <v>10595</v>
      </c>
      <c r="D1022" s="125"/>
    </row>
    <row r="1023">
      <c r="A1023" s="122" t="s">
        <v>13776</v>
      </c>
      <c r="B1023" s="123">
        <v>701985.0</v>
      </c>
      <c r="C1023" s="687" t="s">
        <v>13777</v>
      </c>
      <c r="D1023" s="125"/>
    </row>
    <row r="1024">
      <c r="A1024" s="122" t="s">
        <v>7069</v>
      </c>
      <c r="B1024" s="123">
        <v>1282648.0</v>
      </c>
      <c r="C1024" s="687" t="s">
        <v>7070</v>
      </c>
      <c r="D1024" s="125"/>
    </row>
    <row r="1025">
      <c r="A1025" s="122" t="s">
        <v>9125</v>
      </c>
      <c r="B1025" s="123">
        <v>1880441.0</v>
      </c>
      <c r="C1025" s="687" t="s">
        <v>9126</v>
      </c>
      <c r="D1025" s="125"/>
    </row>
    <row r="1026">
      <c r="A1026" s="122" t="s">
        <v>836</v>
      </c>
      <c r="B1026" s="123">
        <v>1780097.0</v>
      </c>
      <c r="C1026" s="687" t="s">
        <v>837</v>
      </c>
      <c r="D1026" s="125"/>
    </row>
    <row r="1027">
      <c r="A1027" s="122" t="s">
        <v>10185</v>
      </c>
      <c r="B1027" s="123">
        <v>1860742.0</v>
      </c>
      <c r="C1027" s="687" t="s">
        <v>10186</v>
      </c>
      <c r="D1027" s="125"/>
    </row>
    <row r="1028">
      <c r="A1028" s="122" t="s">
        <v>7648</v>
      </c>
      <c r="B1028" s="123">
        <v>885590.0</v>
      </c>
      <c r="C1028" s="687" t="s">
        <v>7649</v>
      </c>
      <c r="D1028" s="125"/>
    </row>
    <row r="1029">
      <c r="A1029" s="122" t="s">
        <v>13509</v>
      </c>
      <c r="B1029" s="123">
        <v>10456.0</v>
      </c>
      <c r="C1029" s="687" t="s">
        <v>13510</v>
      </c>
      <c r="D1029" s="125"/>
    </row>
    <row r="1030">
      <c r="A1030" s="122" t="s">
        <v>11424</v>
      </c>
      <c r="B1030" s="123">
        <v>1730984.0</v>
      </c>
      <c r="C1030" s="687" t="s">
        <v>11425</v>
      </c>
      <c r="D1030" s="125"/>
    </row>
    <row r="1031">
      <c r="A1031" s="122" t="s">
        <v>10017</v>
      </c>
      <c r="B1031" s="123">
        <v>1649739.0</v>
      </c>
      <c r="C1031" s="687" t="s">
        <v>10018</v>
      </c>
      <c r="D1031" s="125"/>
    </row>
    <row r="1032">
      <c r="A1032" s="122" t="s">
        <v>7743</v>
      </c>
      <c r="B1032" s="123">
        <v>819050.0</v>
      </c>
      <c r="C1032" s="687" t="s">
        <v>7744</v>
      </c>
      <c r="D1032" s="125"/>
    </row>
    <row r="1033">
      <c r="A1033" s="122" t="s">
        <v>5223</v>
      </c>
      <c r="B1033" s="123">
        <v>1553920.0</v>
      </c>
      <c r="C1033" s="687" t="s">
        <v>5224</v>
      </c>
      <c r="D1033" s="125"/>
    </row>
    <row r="1034">
      <c r="A1034" s="122" t="s">
        <v>8132</v>
      </c>
      <c r="B1034" s="123">
        <v>1814974.0</v>
      </c>
      <c r="C1034" s="687" t="s">
        <v>8133</v>
      </c>
      <c r="D1034" s="125"/>
    </row>
    <row r="1035">
      <c r="A1035" s="122" t="s">
        <v>8259</v>
      </c>
      <c r="B1035" s="123">
        <v>1814974.0</v>
      </c>
      <c r="C1035" s="687" t="s">
        <v>8260</v>
      </c>
      <c r="D1035" s="125"/>
    </row>
    <row r="1036">
      <c r="A1036" s="122" t="s">
        <v>1187</v>
      </c>
      <c r="B1036" s="123">
        <v>1832761.0</v>
      </c>
      <c r="C1036" s="687" t="s">
        <v>1188</v>
      </c>
      <c r="D1036" s="125"/>
    </row>
    <row r="1037">
      <c r="A1037" s="122" t="s">
        <v>9456</v>
      </c>
      <c r="B1037" s="123">
        <v>1228454.0</v>
      </c>
      <c r="C1037" s="687" t="s">
        <v>9457</v>
      </c>
      <c r="D1037" s="125"/>
    </row>
    <row r="1038">
      <c r="A1038" s="122" t="s">
        <v>13532</v>
      </c>
      <c r="B1038" s="123">
        <v>718940.0</v>
      </c>
      <c r="C1038" s="687" t="s">
        <v>13533</v>
      </c>
      <c r="D1038" s="125"/>
    </row>
    <row r="1039">
      <c r="A1039" s="122" t="s">
        <v>8886</v>
      </c>
      <c r="B1039" s="123">
        <v>1826889.0</v>
      </c>
      <c r="C1039" s="687" t="s">
        <v>8887</v>
      </c>
      <c r="D1039" s="125"/>
    </row>
    <row r="1040">
      <c r="A1040" s="122" t="s">
        <v>15111</v>
      </c>
      <c r="B1040" s="123">
        <v>1124941.0</v>
      </c>
      <c r="C1040" s="687" t="s">
        <v>15112</v>
      </c>
      <c r="D1040" s="125"/>
    </row>
    <row r="1041">
      <c r="A1041" s="122" t="s">
        <v>7437</v>
      </c>
      <c r="B1041" s="123">
        <v>1398805.0</v>
      </c>
      <c r="C1041" s="687" t="s">
        <v>3956</v>
      </c>
      <c r="D1041" s="125"/>
    </row>
    <row r="1042">
      <c r="A1042" s="122" t="s">
        <v>3955</v>
      </c>
      <c r="B1042" s="123">
        <v>1398805.0</v>
      </c>
      <c r="C1042" s="687" t="s">
        <v>3956</v>
      </c>
      <c r="D1042" s="125"/>
    </row>
    <row r="1043">
      <c r="A1043" s="122" t="s">
        <v>12428</v>
      </c>
      <c r="B1043" s="123">
        <v>1745999.0</v>
      </c>
      <c r="C1043" s="687" t="s">
        <v>12429</v>
      </c>
      <c r="D1043" s="125"/>
    </row>
    <row r="1044">
      <c r="A1044" s="122" t="s">
        <v>4433</v>
      </c>
      <c r="B1044" s="123">
        <v>1899005.0</v>
      </c>
      <c r="C1044" s="687" t="s">
        <v>4434</v>
      </c>
      <c r="D1044" s="125"/>
    </row>
    <row r="1045">
      <c r="A1045" s="122" t="s">
        <v>2401</v>
      </c>
      <c r="B1045" s="123">
        <v>312070.0</v>
      </c>
      <c r="C1045" s="687" t="s">
        <v>2402</v>
      </c>
      <c r="D1045" s="125"/>
    </row>
    <row r="1046">
      <c r="A1046" s="122" t="s">
        <v>3678</v>
      </c>
      <c r="B1046" s="123">
        <v>1099160.0</v>
      </c>
      <c r="C1046" s="687" t="s">
        <v>3679</v>
      </c>
      <c r="D1046" s="125"/>
    </row>
    <row r="1047">
      <c r="A1047" s="122" t="s">
        <v>5502</v>
      </c>
      <c r="B1047" s="123">
        <v>1818093.0</v>
      </c>
      <c r="C1047" s="687" t="s">
        <v>5503</v>
      </c>
      <c r="D1047" s="125"/>
    </row>
    <row r="1048">
      <c r="A1048" s="122" t="s">
        <v>12779</v>
      </c>
      <c r="B1048" s="123">
        <v>915840.0</v>
      </c>
      <c r="C1048" s="687" t="s">
        <v>12780</v>
      </c>
      <c r="D1048" s="125"/>
    </row>
    <row r="1049">
      <c r="A1049" s="122" t="s">
        <v>3706</v>
      </c>
      <c r="B1049" s="123">
        <v>1814102.0</v>
      </c>
      <c r="C1049" s="687" t="s">
        <v>3707</v>
      </c>
      <c r="D1049" s="125"/>
    </row>
    <row r="1050">
      <c r="A1050" s="122" t="s">
        <v>16285</v>
      </c>
      <c r="B1050" s="123">
        <v>10795.0</v>
      </c>
      <c r="C1050" s="687" t="s">
        <v>16286</v>
      </c>
      <c r="D1050" s="125"/>
    </row>
    <row r="1051">
      <c r="A1051" s="122" t="s">
        <v>15850</v>
      </c>
      <c r="B1051" s="123">
        <v>1651308.0</v>
      </c>
      <c r="C1051" s="687" t="s">
        <v>15851</v>
      </c>
      <c r="D1051" s="125"/>
    </row>
    <row r="1052">
      <c r="A1052" s="122" t="s">
        <v>14816</v>
      </c>
      <c r="B1052" s="123">
        <v>729580.0</v>
      </c>
      <c r="C1052" s="687" t="s">
        <v>14817</v>
      </c>
      <c r="D1052" s="125"/>
    </row>
    <row r="1053">
      <c r="A1053" s="122" t="s">
        <v>14705</v>
      </c>
      <c r="B1053" s="123">
        <v>729580.0</v>
      </c>
      <c r="C1053" s="687" t="s">
        <v>14706</v>
      </c>
      <c r="D1053" s="125"/>
    </row>
    <row r="1054">
      <c r="A1054" s="122" t="s">
        <v>14884</v>
      </c>
      <c r="B1054" s="123">
        <v>913142.0</v>
      </c>
      <c r="C1054" s="687" t="s">
        <v>14885</v>
      </c>
      <c r="D1054" s="125"/>
    </row>
    <row r="1055">
      <c r="A1055" s="122" t="s">
        <v>13892</v>
      </c>
      <c r="B1055" s="123">
        <v>1889109.0</v>
      </c>
      <c r="C1055" s="687" t="s">
        <v>13893</v>
      </c>
      <c r="D1055" s="125"/>
    </row>
    <row r="1056">
      <c r="A1056" s="122" t="s">
        <v>1489</v>
      </c>
      <c r="B1056" s="123">
        <v>1600132.0</v>
      </c>
      <c r="C1056" s="687" t="s">
        <v>1490</v>
      </c>
      <c r="D1056" s="125"/>
    </row>
    <row r="1057">
      <c r="A1057" s="122" t="s">
        <v>8654</v>
      </c>
      <c r="B1057" s="123">
        <v>1840425.0</v>
      </c>
      <c r="C1057" s="687" t="s">
        <v>8655</v>
      </c>
      <c r="D1057" s="125"/>
    </row>
    <row r="1058">
      <c r="A1058" s="122" t="s">
        <v>1664</v>
      </c>
      <c r="B1058" s="123">
        <v>1358403.0</v>
      </c>
      <c r="C1058" s="687" t="s">
        <v>1665</v>
      </c>
      <c r="D1058" s="125"/>
    </row>
    <row r="1059">
      <c r="A1059" s="122" t="s">
        <v>14333</v>
      </c>
      <c r="B1059" s="123">
        <v>1772016.0</v>
      </c>
      <c r="C1059" s="687" t="s">
        <v>14334</v>
      </c>
      <c r="D1059" s="125"/>
    </row>
    <row r="1060">
      <c r="A1060" s="122" t="s">
        <v>675</v>
      </c>
      <c r="B1060" s="123">
        <v>1613895.0</v>
      </c>
      <c r="C1060" s="687" t="s">
        <v>676</v>
      </c>
      <c r="D1060" s="125"/>
    </row>
    <row r="1061">
      <c r="A1061" s="122" t="s">
        <v>11963</v>
      </c>
      <c r="B1061" s="123">
        <v>804563.0</v>
      </c>
      <c r="C1061" s="687" t="s">
        <v>11964</v>
      </c>
      <c r="D1061" s="125"/>
    </row>
    <row r="1062">
      <c r="A1062" s="122" t="s">
        <v>12824</v>
      </c>
      <c r="B1062" s="123">
        <v>863436.0</v>
      </c>
      <c r="C1062" s="687" t="s">
        <v>12825</v>
      </c>
      <c r="D1062" s="125"/>
    </row>
    <row r="1063">
      <c r="A1063" s="122" t="s">
        <v>6914</v>
      </c>
      <c r="B1063" s="123">
        <v>1332283.0</v>
      </c>
      <c r="C1063" s="687" t="s">
        <v>6915</v>
      </c>
      <c r="D1063" s="125"/>
    </row>
    <row r="1064">
      <c r="A1064" s="122" t="s">
        <v>5398</v>
      </c>
      <c r="B1064" s="123">
        <v>1808898.0</v>
      </c>
      <c r="C1064" s="687" t="s">
        <v>5399</v>
      </c>
      <c r="D1064" s="125"/>
    </row>
    <row r="1065">
      <c r="A1065" s="122" t="s">
        <v>2201</v>
      </c>
      <c r="B1065" s="123">
        <v>1830210.0</v>
      </c>
      <c r="C1065" s="687" t="s">
        <v>2202</v>
      </c>
      <c r="D1065" s="125"/>
    </row>
    <row r="1066">
      <c r="A1066" s="122" t="s">
        <v>14146</v>
      </c>
      <c r="B1066" s="123">
        <v>1031308.0</v>
      </c>
      <c r="C1066" s="687" t="s">
        <v>14147</v>
      </c>
      <c r="D1066" s="125"/>
    </row>
    <row r="1067">
      <c r="A1067" s="122" t="s">
        <v>14565</v>
      </c>
      <c r="B1067" s="123">
        <v>1480170.0</v>
      </c>
      <c r="C1067" s="687" t="s">
        <v>14566</v>
      </c>
      <c r="D1067" s="125"/>
    </row>
    <row r="1068">
      <c r="A1068" s="122" t="s">
        <v>33460</v>
      </c>
      <c r="B1068" s="123">
        <v>1431074.0</v>
      </c>
      <c r="C1068" s="687" t="s">
        <v>33461</v>
      </c>
      <c r="D1068" s="125"/>
    </row>
    <row r="1069">
      <c r="A1069" s="122" t="s">
        <v>9711</v>
      </c>
      <c r="B1069" s="123">
        <v>1447137.0</v>
      </c>
      <c r="C1069" s="687" t="s">
        <v>9712</v>
      </c>
      <c r="D1069" s="125"/>
    </row>
    <row r="1070">
      <c r="A1070" s="122" t="s">
        <v>14491</v>
      </c>
      <c r="B1070" s="123">
        <v>1447137.0</v>
      </c>
      <c r="C1070" s="687" t="s">
        <v>14492</v>
      </c>
      <c r="D1070" s="125"/>
    </row>
    <row r="1071">
      <c r="A1071" s="122" t="s">
        <v>11949</v>
      </c>
      <c r="B1071" s="123">
        <v>1108134.0</v>
      </c>
      <c r="C1071" s="687" t="s">
        <v>11950</v>
      </c>
      <c r="D1071" s="125"/>
    </row>
    <row r="1072">
      <c r="A1072" s="122" t="s">
        <v>7161</v>
      </c>
      <c r="B1072" s="123">
        <v>1705873.0</v>
      </c>
      <c r="C1072" s="687" t="s">
        <v>7162</v>
      </c>
      <c r="D1072" s="125"/>
    </row>
    <row r="1073">
      <c r="A1073" s="122" t="s">
        <v>14632</v>
      </c>
      <c r="B1073" s="123">
        <v>1378992.0</v>
      </c>
      <c r="C1073" s="687" t="s">
        <v>14633</v>
      </c>
      <c r="D1073" s="125"/>
    </row>
    <row r="1074">
      <c r="A1074" s="122" t="s">
        <v>1966</v>
      </c>
      <c r="B1074" s="123">
        <v>1409197.0</v>
      </c>
      <c r="C1074" s="687" t="s">
        <v>1967</v>
      </c>
      <c r="D1074" s="125"/>
    </row>
    <row r="1075">
      <c r="A1075" s="122" t="s">
        <v>14895</v>
      </c>
      <c r="B1075" s="123">
        <v>764478.0</v>
      </c>
      <c r="C1075" s="687" t="s">
        <v>14896</v>
      </c>
      <c r="D1075" s="125"/>
    </row>
    <row r="1076">
      <c r="A1076" s="122" t="s">
        <v>5037</v>
      </c>
      <c r="B1076" s="123">
        <v>1709505.0</v>
      </c>
      <c r="C1076" s="687" t="s">
        <v>5038</v>
      </c>
      <c r="D1076" s="125"/>
    </row>
    <row r="1077">
      <c r="A1077" s="122" t="s">
        <v>2305</v>
      </c>
      <c r="B1077" s="123">
        <v>1471727.0</v>
      </c>
      <c r="C1077" s="687" t="s">
        <v>2306</v>
      </c>
      <c r="D1077" s="125"/>
    </row>
    <row r="1078">
      <c r="A1078" s="122" t="s">
        <v>2273</v>
      </c>
      <c r="B1078" s="123">
        <v>1832415.0</v>
      </c>
      <c r="C1078" s="687" t="s">
        <v>2274</v>
      </c>
      <c r="D1078" s="125"/>
    </row>
    <row r="1079">
      <c r="A1079" s="122" t="s">
        <v>1519</v>
      </c>
      <c r="B1079" s="123">
        <v>1464165.0</v>
      </c>
      <c r="C1079" s="687" t="s">
        <v>1520</v>
      </c>
      <c r="D1079" s="125"/>
    </row>
    <row r="1080">
      <c r="A1080" s="122" t="s">
        <v>10121</v>
      </c>
      <c r="B1080" s="123">
        <v>1788257.0</v>
      </c>
      <c r="C1080" s="687" t="s">
        <v>10122</v>
      </c>
      <c r="D1080" s="125"/>
    </row>
    <row r="1081">
      <c r="A1081" s="122" t="s">
        <v>4599</v>
      </c>
      <c r="B1081" s="123">
        <v>1641631.0</v>
      </c>
      <c r="C1081" s="687" t="s">
        <v>4600</v>
      </c>
      <c r="D1081" s="125"/>
    </row>
    <row r="1082">
      <c r="A1082" s="122" t="s">
        <v>33462</v>
      </c>
      <c r="B1082" s="123">
        <v>1386049.0</v>
      </c>
      <c r="C1082" s="687" t="s">
        <v>33463</v>
      </c>
      <c r="D1082" s="125"/>
    </row>
    <row r="1083">
      <c r="A1083" s="122" t="s">
        <v>7168</v>
      </c>
      <c r="B1083" s="123">
        <v>1655210.0</v>
      </c>
      <c r="C1083" s="687" t="s">
        <v>7169</v>
      </c>
      <c r="D1083" s="125"/>
    </row>
    <row r="1084">
      <c r="A1084" s="122" t="s">
        <v>3773</v>
      </c>
      <c r="B1084" s="123">
        <v>1677940.0</v>
      </c>
      <c r="C1084" s="687" t="s">
        <v>3774</v>
      </c>
      <c r="D1084" s="125"/>
    </row>
    <row r="1085">
      <c r="A1085" s="122" t="s">
        <v>8471</v>
      </c>
      <c r="B1085" s="123">
        <v>1474903.0</v>
      </c>
      <c r="C1085" s="687" t="s">
        <v>8472</v>
      </c>
      <c r="D1085" s="125"/>
    </row>
    <row r="1086">
      <c r="A1086" s="122" t="s">
        <v>16804</v>
      </c>
      <c r="B1086" s="123">
        <v>1671284.0</v>
      </c>
      <c r="C1086" s="687" t="s">
        <v>12861</v>
      </c>
      <c r="D1086" s="125"/>
    </row>
    <row r="1087">
      <c r="A1087" s="122" t="s">
        <v>14497</v>
      </c>
      <c r="B1087" s="123">
        <v>811809.0</v>
      </c>
      <c r="C1087" s="687" t="s">
        <v>12861</v>
      </c>
      <c r="D1087" s="125"/>
    </row>
    <row r="1088">
      <c r="A1088" s="122" t="s">
        <v>12860</v>
      </c>
      <c r="B1088" s="123">
        <v>811809.0</v>
      </c>
      <c r="C1088" s="687" t="s">
        <v>12861</v>
      </c>
      <c r="D1088" s="125"/>
    </row>
    <row r="1089">
      <c r="A1089" s="122" t="s">
        <v>10836</v>
      </c>
      <c r="B1089" s="123">
        <v>1761612.0</v>
      </c>
      <c r="C1089" s="687" t="s">
        <v>10837</v>
      </c>
      <c r="D1089" s="125"/>
    </row>
    <row r="1090">
      <c r="A1090" s="122" t="s">
        <v>6601</v>
      </c>
      <c r="B1090" s="123">
        <v>1156388.0</v>
      </c>
      <c r="C1090" s="687" t="s">
        <v>6602</v>
      </c>
      <c r="D1090" s="125"/>
    </row>
    <row r="1091">
      <c r="A1091" s="122" t="s">
        <v>6936</v>
      </c>
      <c r="B1091" s="123">
        <v>768835.0</v>
      </c>
      <c r="C1091" s="687" t="s">
        <v>6937</v>
      </c>
      <c r="D1091" s="125"/>
    </row>
    <row r="1092">
      <c r="A1092" s="122" t="s">
        <v>4503</v>
      </c>
      <c r="B1092" s="123">
        <v>1836981.0</v>
      </c>
      <c r="C1092" s="687" t="s">
        <v>4504</v>
      </c>
      <c r="D1092" s="125"/>
    </row>
    <row r="1093">
      <c r="A1093" s="122" t="s">
        <v>7787</v>
      </c>
      <c r="B1093" s="123">
        <v>1626450.0</v>
      </c>
      <c r="C1093" s="687" t="s">
        <v>7788</v>
      </c>
      <c r="D1093" s="125"/>
    </row>
    <row r="1094">
      <c r="A1094" s="122" t="s">
        <v>15917</v>
      </c>
      <c r="B1094" s="123">
        <v>1726173.0</v>
      </c>
      <c r="C1094" s="687" t="s">
        <v>15918</v>
      </c>
      <c r="D1094" s="125"/>
    </row>
    <row r="1095">
      <c r="A1095" s="122" t="s">
        <v>9317</v>
      </c>
      <c r="B1095" s="123">
        <v>1723690.0</v>
      </c>
      <c r="C1095" s="687" t="s">
        <v>9318</v>
      </c>
      <c r="D1095" s="125"/>
    </row>
    <row r="1096">
      <c r="A1096" s="122" t="s">
        <v>7987</v>
      </c>
      <c r="B1096" s="123">
        <v>1723690.0</v>
      </c>
      <c r="C1096" s="687" t="s">
        <v>7988</v>
      </c>
      <c r="D1096" s="125"/>
    </row>
    <row r="1097">
      <c r="A1097" s="122" t="s">
        <v>14994</v>
      </c>
      <c r="B1097" s="123">
        <v>1786352.0</v>
      </c>
      <c r="C1097" s="687" t="s">
        <v>14995</v>
      </c>
      <c r="D1097" s="125"/>
    </row>
    <row r="1098">
      <c r="A1098" s="122" t="s">
        <v>5207</v>
      </c>
      <c r="B1098" s="123">
        <v>1213660.0</v>
      </c>
      <c r="C1098" s="687" t="s">
        <v>5208</v>
      </c>
      <c r="D1098" s="125"/>
    </row>
    <row r="1099">
      <c r="A1099" s="122" t="s">
        <v>3357</v>
      </c>
      <c r="B1099" s="123">
        <v>1275477.0</v>
      </c>
      <c r="C1099" s="687" t="s">
        <v>3358</v>
      </c>
      <c r="D1099" s="125"/>
    </row>
    <row r="1100">
      <c r="A1100" s="122" t="s">
        <v>33464</v>
      </c>
      <c r="B1100" s="123">
        <v>1647866.0</v>
      </c>
      <c r="C1100" s="687" t="s">
        <v>33465</v>
      </c>
      <c r="D1100" s="125"/>
    </row>
    <row r="1101">
      <c r="A1101" s="122" t="s">
        <v>2845</v>
      </c>
      <c r="B1101" s="123">
        <v>1133818.0</v>
      </c>
      <c r="C1101" s="687" t="s">
        <v>2846</v>
      </c>
      <c r="D1101" s="125"/>
    </row>
    <row r="1102">
      <c r="A1102" s="122" t="s">
        <v>33466</v>
      </c>
      <c r="B1102" s="123">
        <v>1568139.0</v>
      </c>
      <c r="C1102" s="687" t="s">
        <v>33467</v>
      </c>
      <c r="D1102" s="125"/>
    </row>
    <row r="1103">
      <c r="A1103" s="122" t="s">
        <v>16441</v>
      </c>
      <c r="B1103" s="123">
        <v>12208.0</v>
      </c>
      <c r="C1103" s="687" t="s">
        <v>16442</v>
      </c>
      <c r="D1103" s="125"/>
    </row>
    <row r="1104">
      <c r="A1104" s="122" t="s">
        <v>14649</v>
      </c>
      <c r="B1104" s="123">
        <v>842023.0</v>
      </c>
      <c r="C1104" s="687" t="s">
        <v>14650</v>
      </c>
      <c r="D1104" s="125"/>
    </row>
    <row r="1105">
      <c r="A1105" s="122" t="s">
        <v>33468</v>
      </c>
      <c r="B1105" s="123">
        <v>1575142.0</v>
      </c>
      <c r="C1105" s="687" t="s">
        <v>33469</v>
      </c>
      <c r="D1105" s="125"/>
    </row>
    <row r="1106">
      <c r="A1106" s="122" t="s">
        <v>1823</v>
      </c>
      <c r="B1106" s="123">
        <v>1712762.0</v>
      </c>
      <c r="C1106" s="687" t="s">
        <v>1824</v>
      </c>
      <c r="D1106" s="125"/>
    </row>
    <row r="1107">
      <c r="A1107" s="122" t="s">
        <v>4457</v>
      </c>
      <c r="B1107" s="123">
        <v>1712762.0</v>
      </c>
      <c r="C1107" s="687" t="s">
        <v>4458</v>
      </c>
      <c r="D1107" s="125"/>
    </row>
    <row r="1108">
      <c r="A1108" s="122" t="s">
        <v>4961</v>
      </c>
      <c r="B1108" s="123">
        <v>1826892.0</v>
      </c>
      <c r="C1108" s="687" t="s">
        <v>4962</v>
      </c>
      <c r="D1108" s="125"/>
    </row>
    <row r="1109">
      <c r="A1109" s="122" t="s">
        <v>759</v>
      </c>
      <c r="B1109" s="123">
        <v>925741.0</v>
      </c>
      <c r="C1109" s="687" t="s">
        <v>760</v>
      </c>
      <c r="D1109" s="125"/>
    </row>
    <row r="1110">
      <c r="A1110" s="122" t="s">
        <v>2862</v>
      </c>
      <c r="B1110" s="123">
        <v>925741.0</v>
      </c>
      <c r="C1110" s="687" t="s">
        <v>2863</v>
      </c>
      <c r="D1110" s="125"/>
    </row>
    <row r="1111">
      <c r="A1111" s="122" t="s">
        <v>9794</v>
      </c>
      <c r="B1111" s="123">
        <v>1769484.0</v>
      </c>
      <c r="C1111" s="687" t="s">
        <v>9795</v>
      </c>
      <c r="D1111" s="125"/>
    </row>
    <row r="1112">
      <c r="A1112" s="122" t="s">
        <v>3427</v>
      </c>
      <c r="B1112" s="123">
        <v>1443863.0</v>
      </c>
      <c r="C1112" s="687" t="s">
        <v>3428</v>
      </c>
      <c r="D1112" s="125"/>
    </row>
    <row r="1113">
      <c r="A1113" s="122" t="s">
        <v>6603</v>
      </c>
      <c r="B1113" s="123">
        <v>882796.0</v>
      </c>
      <c r="C1113" s="687" t="s">
        <v>6604</v>
      </c>
      <c r="D1113" s="125"/>
    </row>
    <row r="1114">
      <c r="A1114" s="122" t="s">
        <v>4925</v>
      </c>
      <c r="B1114" s="123">
        <v>1439725.0</v>
      </c>
      <c r="C1114" s="687" t="s">
        <v>4926</v>
      </c>
      <c r="D1114" s="125"/>
    </row>
    <row r="1115">
      <c r="A1115" s="122" t="s">
        <v>33470</v>
      </c>
      <c r="B1115" s="123">
        <v>1396054.0</v>
      </c>
      <c r="C1115" s="687" t="s">
        <v>33471</v>
      </c>
      <c r="D1115" s="125"/>
    </row>
    <row r="1116">
      <c r="A1116" s="122" t="s">
        <v>2329</v>
      </c>
      <c r="B1116" s="123">
        <v>894560.0</v>
      </c>
      <c r="C1116" s="687" t="s">
        <v>2330</v>
      </c>
      <c r="D1116" s="125"/>
    </row>
    <row r="1117">
      <c r="A1117" s="122" t="s">
        <v>4836</v>
      </c>
      <c r="B1117" s="123">
        <v>1310488.0</v>
      </c>
      <c r="C1117" s="687" t="s">
        <v>4837</v>
      </c>
      <c r="D1117" s="125"/>
    </row>
    <row r="1118">
      <c r="A1118" s="122" t="s">
        <v>705</v>
      </c>
      <c r="B1118" s="123">
        <v>1858685.0</v>
      </c>
      <c r="C1118" s="687" t="s">
        <v>706</v>
      </c>
      <c r="D1118" s="125"/>
    </row>
    <row r="1119">
      <c r="A1119" s="122" t="s">
        <v>3662</v>
      </c>
      <c r="B1119" s="123">
        <v>1858685.0</v>
      </c>
      <c r="C1119" s="687" t="s">
        <v>3663</v>
      </c>
      <c r="D1119" s="125"/>
    </row>
    <row r="1120">
      <c r="A1120" s="122" t="s">
        <v>8448</v>
      </c>
      <c r="B1120" s="123">
        <v>1572957.0</v>
      </c>
      <c r="C1120" s="687" t="s">
        <v>8449</v>
      </c>
      <c r="D1120" s="125"/>
    </row>
    <row r="1121">
      <c r="A1121" s="122" t="s">
        <v>16299</v>
      </c>
      <c r="B1121" s="123">
        <v>875045.0</v>
      </c>
      <c r="C1121" s="687" t="s">
        <v>16300</v>
      </c>
      <c r="D1121" s="125"/>
    </row>
    <row r="1122">
      <c r="A1122" s="122" t="s">
        <v>13824</v>
      </c>
      <c r="B1122" s="123">
        <v>1689813.0</v>
      </c>
      <c r="C1122" s="687" t="s">
        <v>13825</v>
      </c>
      <c r="D1122" s="125"/>
    </row>
    <row r="1123">
      <c r="A1123" s="122" t="s">
        <v>2405</v>
      </c>
      <c r="B1123" s="123">
        <v>880242.0</v>
      </c>
      <c r="C1123" s="687" t="s">
        <v>2406</v>
      </c>
      <c r="D1123" s="125"/>
    </row>
    <row r="1124">
      <c r="A1124" s="122" t="s">
        <v>3351</v>
      </c>
      <c r="B1124" s="123">
        <v>811240.0</v>
      </c>
      <c r="C1124" s="687" t="s">
        <v>3352</v>
      </c>
      <c r="D1124" s="125"/>
    </row>
    <row r="1125">
      <c r="A1125" s="122" t="s">
        <v>33472</v>
      </c>
      <c r="B1125" s="123">
        <v>1929281.0</v>
      </c>
      <c r="C1125" s="687" t="s">
        <v>33473</v>
      </c>
      <c r="D1125" s="125"/>
    </row>
    <row r="1126">
      <c r="A1126" s="122" t="s">
        <v>11022</v>
      </c>
      <c r="B1126" s="123">
        <v>834365.0</v>
      </c>
      <c r="C1126" s="687" t="s">
        <v>11023</v>
      </c>
      <c r="D1126" s="125"/>
    </row>
    <row r="1127">
      <c r="A1127" s="122" t="s">
        <v>15181</v>
      </c>
      <c r="B1127" s="123">
        <v>1048477.0</v>
      </c>
      <c r="C1127" s="687" t="s">
        <v>15182</v>
      </c>
      <c r="D1127" s="125"/>
    </row>
    <row r="1128">
      <c r="A1128" s="122" t="s">
        <v>11125</v>
      </c>
      <c r="B1128" s="123">
        <v>1840439.0</v>
      </c>
      <c r="C1128" s="687" t="s">
        <v>11126</v>
      </c>
      <c r="D1128" s="125"/>
    </row>
    <row r="1129">
      <c r="A1129" s="122" t="s">
        <v>3658</v>
      </c>
      <c r="B1129" s="123">
        <v>73290.0</v>
      </c>
      <c r="C1129" s="687" t="s">
        <v>3659</v>
      </c>
      <c r="D1129" s="125"/>
    </row>
    <row r="1130">
      <c r="A1130" s="122" t="s">
        <v>2389</v>
      </c>
      <c r="B1130" s="123">
        <v>1739174.0</v>
      </c>
      <c r="C1130" s="687" t="s">
        <v>2390</v>
      </c>
      <c r="D1130" s="125"/>
    </row>
    <row r="1131">
      <c r="A1131" s="122" t="s">
        <v>4064</v>
      </c>
      <c r="B1131" s="123">
        <v>875729.0</v>
      </c>
      <c r="C1131" s="687" t="s">
        <v>4065</v>
      </c>
      <c r="D1131" s="125"/>
    </row>
    <row r="1132">
      <c r="A1132" s="122" t="s">
        <v>3968</v>
      </c>
      <c r="B1132" s="123">
        <v>1411690.0</v>
      </c>
      <c r="C1132" s="687" t="s">
        <v>3969</v>
      </c>
      <c r="D1132" s="125"/>
    </row>
    <row r="1133">
      <c r="A1133" s="122" t="s">
        <v>2874</v>
      </c>
      <c r="B1133" s="123">
        <v>1737523.0</v>
      </c>
      <c r="C1133" s="687" t="s">
        <v>2875</v>
      </c>
      <c r="D1133" s="125"/>
    </row>
    <row r="1134">
      <c r="A1134" s="122" t="s">
        <v>33474</v>
      </c>
      <c r="B1134" s="123">
        <v>1508381.0</v>
      </c>
      <c r="C1134" s="687" t="s">
        <v>33475</v>
      </c>
      <c r="D1134" s="125"/>
    </row>
    <row r="1135">
      <c r="A1135" s="122" t="s">
        <v>3666</v>
      </c>
      <c r="B1135" s="123">
        <v>1191070.0</v>
      </c>
      <c r="C1135" s="687" t="s">
        <v>3667</v>
      </c>
      <c r="D1135" s="125"/>
    </row>
    <row r="1136">
      <c r="A1136" s="122" t="s">
        <v>33476</v>
      </c>
      <c r="B1136" s="123">
        <v>1575420.0</v>
      </c>
      <c r="C1136" s="687" t="s">
        <v>33477</v>
      </c>
      <c r="D1136" s="125"/>
    </row>
    <row r="1137">
      <c r="A1137" s="122" t="s">
        <v>15256</v>
      </c>
      <c r="B1137" s="123">
        <v>1776985.0</v>
      </c>
      <c r="C1137" s="687" t="s">
        <v>15257</v>
      </c>
      <c r="D1137" s="125"/>
    </row>
    <row r="1138">
      <c r="A1138" s="122" t="s">
        <v>2848</v>
      </c>
      <c r="B1138" s="123">
        <v>1750145.0</v>
      </c>
      <c r="C1138" s="687" t="s">
        <v>2849</v>
      </c>
      <c r="D1138" s="125"/>
    </row>
    <row r="1139">
      <c r="A1139" s="122" t="s">
        <v>2907</v>
      </c>
      <c r="B1139" s="123">
        <v>1768946.0</v>
      </c>
      <c r="C1139" s="687" t="s">
        <v>2908</v>
      </c>
      <c r="D1139" s="125"/>
    </row>
    <row r="1140">
      <c r="A1140" s="122" t="s">
        <v>1735</v>
      </c>
      <c r="B1140" s="123">
        <v>1510832.0</v>
      </c>
      <c r="C1140" s="687" t="s">
        <v>1736</v>
      </c>
      <c r="D1140" s="125"/>
    </row>
    <row r="1141">
      <c r="A1141" s="122" t="s">
        <v>4774</v>
      </c>
      <c r="B1141" s="123">
        <v>1568628.0</v>
      </c>
      <c r="C1141" s="687" t="s">
        <v>4775</v>
      </c>
      <c r="D1141" s="125"/>
    </row>
    <row r="1142">
      <c r="A1142" s="122" t="s">
        <v>3686</v>
      </c>
      <c r="B1142" s="123">
        <v>1580063.0</v>
      </c>
      <c r="C1142" s="687" t="s">
        <v>3687</v>
      </c>
      <c r="D1142" s="125"/>
    </row>
    <row r="1143">
      <c r="A1143" s="122" t="s">
        <v>5384</v>
      </c>
      <c r="B1143" s="123">
        <v>1505497.0</v>
      </c>
      <c r="C1143" s="687" t="s">
        <v>5385</v>
      </c>
      <c r="D1143" s="125"/>
    </row>
    <row r="1144">
      <c r="A1144" s="122" t="s">
        <v>1269</v>
      </c>
      <c r="B1144" s="123">
        <v>1856653.0</v>
      </c>
      <c r="C1144" s="687" t="s">
        <v>1270</v>
      </c>
      <c r="D1144" s="125"/>
    </row>
    <row r="1145">
      <c r="A1145" s="122" t="s">
        <v>4211</v>
      </c>
      <c r="B1145" s="123">
        <v>1530766.0</v>
      </c>
      <c r="C1145" s="687" t="s">
        <v>4212</v>
      </c>
      <c r="D1145" s="125"/>
    </row>
    <row r="1146">
      <c r="A1146" s="122" t="s">
        <v>6032</v>
      </c>
      <c r="B1146" s="123">
        <v>1819253.0</v>
      </c>
      <c r="C1146" s="687" t="s">
        <v>6033</v>
      </c>
      <c r="D1146" s="125"/>
    </row>
    <row r="1147">
      <c r="A1147" s="122" t="s">
        <v>3616</v>
      </c>
      <c r="B1147" s="123">
        <v>1630113.0</v>
      </c>
      <c r="C1147" s="687" t="s">
        <v>3617</v>
      </c>
      <c r="D1147" s="125"/>
    </row>
    <row r="1148">
      <c r="A1148" s="122" t="s">
        <v>6335</v>
      </c>
      <c r="B1148" s="123">
        <v>1665988.0</v>
      </c>
      <c r="C1148" s="687" t="s">
        <v>6336</v>
      </c>
      <c r="D1148" s="125"/>
    </row>
    <row r="1149">
      <c r="A1149" s="122" t="s">
        <v>3903</v>
      </c>
      <c r="B1149" s="123">
        <v>1580149.0</v>
      </c>
      <c r="C1149" s="687" t="s">
        <v>3904</v>
      </c>
      <c r="D1149" s="125"/>
    </row>
    <row r="1150">
      <c r="A1150" s="122" t="s">
        <v>5567</v>
      </c>
      <c r="B1150" s="123">
        <v>1720893.0</v>
      </c>
      <c r="C1150" s="687" t="s">
        <v>5568</v>
      </c>
      <c r="D1150" s="125"/>
    </row>
    <row r="1151">
      <c r="A1151" s="122" t="s">
        <v>1936</v>
      </c>
      <c r="B1151" s="123">
        <v>1445815.0</v>
      </c>
      <c r="C1151" s="687" t="s">
        <v>1937</v>
      </c>
      <c r="D1151" s="125"/>
    </row>
    <row r="1152">
      <c r="A1152" s="122" t="s">
        <v>11010</v>
      </c>
      <c r="B1152" s="123">
        <v>1406234.0</v>
      </c>
      <c r="C1152" s="687" t="s">
        <v>11011</v>
      </c>
      <c r="D1152" s="125"/>
    </row>
    <row r="1153">
      <c r="A1153" s="122" t="s">
        <v>5996</v>
      </c>
      <c r="B1153" s="123">
        <v>1179821.0</v>
      </c>
      <c r="C1153" s="687" t="s">
        <v>5997</v>
      </c>
      <c r="D1153" s="125"/>
    </row>
    <row r="1154">
      <c r="A1154" s="122" t="s">
        <v>5233</v>
      </c>
      <c r="B1154" s="123">
        <v>1710350.0</v>
      </c>
      <c r="C1154" s="687" t="s">
        <v>5234</v>
      </c>
      <c r="D1154" s="125"/>
    </row>
    <row r="1155">
      <c r="A1155" s="122" t="s">
        <v>5903</v>
      </c>
      <c r="B1155" s="123">
        <v>1517496.0</v>
      </c>
      <c r="C1155" s="687" t="s">
        <v>5904</v>
      </c>
      <c r="D1155" s="125"/>
    </row>
    <row r="1156">
      <c r="A1156" s="122" t="s">
        <v>8138</v>
      </c>
      <c r="B1156" s="123">
        <v>1735556.0</v>
      </c>
      <c r="C1156" s="687" t="s">
        <v>8139</v>
      </c>
      <c r="D1156" s="125"/>
    </row>
    <row r="1157">
      <c r="A1157" s="122" t="s">
        <v>1616</v>
      </c>
      <c r="B1157" s="123">
        <v>1850391.0</v>
      </c>
      <c r="C1157" s="687" t="s">
        <v>1617</v>
      </c>
      <c r="D1157" s="125"/>
    </row>
    <row r="1158">
      <c r="A1158" s="122" t="s">
        <v>8801</v>
      </c>
      <c r="B1158" s="123">
        <v>1831270.0</v>
      </c>
      <c r="C1158" s="687" t="s">
        <v>8802</v>
      </c>
      <c r="D1158" s="125"/>
    </row>
    <row r="1159">
      <c r="A1159" s="122" t="s">
        <v>1839</v>
      </c>
      <c r="B1159" s="123">
        <v>1066764.0</v>
      </c>
      <c r="C1159" s="687" t="s">
        <v>1840</v>
      </c>
      <c r="D1159" s="125"/>
    </row>
    <row r="1160">
      <c r="A1160" s="122" t="s">
        <v>5015</v>
      </c>
      <c r="B1160" s="123">
        <v>1812477.0</v>
      </c>
      <c r="C1160" s="687" t="s">
        <v>5016</v>
      </c>
      <c r="D1160" s="125"/>
    </row>
    <row r="1161">
      <c r="A1161" s="122" t="s">
        <v>3494</v>
      </c>
      <c r="B1161" s="123">
        <v>1829311.0</v>
      </c>
      <c r="C1161" s="687" t="s">
        <v>3495</v>
      </c>
      <c r="D1161" s="125"/>
    </row>
    <row r="1162">
      <c r="A1162" s="122" t="s">
        <v>852</v>
      </c>
      <c r="B1162" s="123">
        <v>1028357.0</v>
      </c>
      <c r="C1162" s="687" t="s">
        <v>853</v>
      </c>
      <c r="D1162" s="125"/>
    </row>
    <row r="1163">
      <c r="A1163" s="122" t="s">
        <v>11707</v>
      </c>
      <c r="B1163" s="123">
        <v>1723788.0</v>
      </c>
      <c r="C1163" s="687" t="s">
        <v>11708</v>
      </c>
      <c r="D1163" s="125"/>
    </row>
    <row r="1164">
      <c r="A1164" s="122" t="s">
        <v>13301</v>
      </c>
      <c r="B1164" s="123">
        <v>1013488.0</v>
      </c>
      <c r="C1164" s="687" t="s">
        <v>13302</v>
      </c>
      <c r="D1164" s="125"/>
    </row>
    <row r="1165">
      <c r="A1165" s="122" t="s">
        <v>14611</v>
      </c>
      <c r="B1165" s="123">
        <v>1531152.0</v>
      </c>
      <c r="C1165" s="687" t="s">
        <v>14612</v>
      </c>
      <c r="D1165" s="125"/>
    </row>
    <row r="1166">
      <c r="A1166" s="122" t="s">
        <v>9812</v>
      </c>
      <c r="B1166" s="123">
        <v>2186.0</v>
      </c>
      <c r="C1166" s="687" t="s">
        <v>9813</v>
      </c>
      <c r="D1166" s="125"/>
    </row>
    <row r="1167">
      <c r="A1167" s="122" t="s">
        <v>33478</v>
      </c>
      <c r="B1167" s="123">
        <v>1409999.0</v>
      </c>
      <c r="C1167" s="687" t="s">
        <v>33479</v>
      </c>
      <c r="D1167" s="125"/>
    </row>
    <row r="1168">
      <c r="A1168" s="122" t="s">
        <v>6263</v>
      </c>
      <c r="B1168" s="123">
        <v>1701541.0</v>
      </c>
      <c r="C1168" s="687" t="s">
        <v>6264</v>
      </c>
      <c r="D1168" s="125"/>
    </row>
    <row r="1169">
      <c r="A1169" s="122" t="s">
        <v>14129</v>
      </c>
      <c r="B1169" s="123">
        <v>1130464.0</v>
      </c>
      <c r="C1169" s="687" t="s">
        <v>14130</v>
      </c>
      <c r="D1169" s="125"/>
    </row>
    <row r="1170">
      <c r="A1170" s="122" t="s">
        <v>1527</v>
      </c>
      <c r="B1170" s="123">
        <v>1627014.0</v>
      </c>
      <c r="C1170" s="687" t="s">
        <v>1528</v>
      </c>
      <c r="D1170" s="125"/>
    </row>
    <row r="1171">
      <c r="A1171" s="122" t="s">
        <v>10689</v>
      </c>
      <c r="B1171" s="123">
        <v>1621434.0</v>
      </c>
      <c r="C1171" s="687" t="s">
        <v>10690</v>
      </c>
      <c r="D1171" s="125"/>
    </row>
    <row r="1172">
      <c r="A1172" s="122" t="s">
        <v>15008</v>
      </c>
      <c r="B1172" s="123">
        <v>1280058.0</v>
      </c>
      <c r="C1172" s="687" t="s">
        <v>15009</v>
      </c>
      <c r="D1172" s="125"/>
    </row>
    <row r="1173">
      <c r="A1173" s="122" t="s">
        <v>5332</v>
      </c>
      <c r="B1173" s="123">
        <v>1070235.0</v>
      </c>
      <c r="C1173" s="687" t="s">
        <v>5333</v>
      </c>
      <c r="D1173" s="125"/>
    </row>
    <row r="1174">
      <c r="A1174" s="122" t="s">
        <v>5435</v>
      </c>
      <c r="B1174" s="123">
        <v>1567900.0</v>
      </c>
      <c r="C1174" s="687" t="s">
        <v>5436</v>
      </c>
      <c r="D1174" s="125"/>
    </row>
    <row r="1175">
      <c r="A1175" s="122" t="s">
        <v>14462</v>
      </c>
      <c r="B1175" s="123">
        <v>1666134.0</v>
      </c>
      <c r="C1175" s="687" t="s">
        <v>14463</v>
      </c>
      <c r="D1175" s="125"/>
    </row>
    <row r="1176">
      <c r="A1176" s="122" t="s">
        <v>5956</v>
      </c>
      <c r="B1176" s="123">
        <v>1326003.0</v>
      </c>
      <c r="C1176" s="687" t="s">
        <v>5957</v>
      </c>
      <c r="D1176" s="125"/>
    </row>
    <row r="1177">
      <c r="A1177" s="122" t="s">
        <v>8963</v>
      </c>
      <c r="B1177" s="123">
        <v>1160864.0</v>
      </c>
      <c r="C1177" s="687" t="s">
        <v>8964</v>
      </c>
      <c r="D1177" s="125"/>
    </row>
    <row r="1178">
      <c r="A1178" s="122" t="s">
        <v>8244</v>
      </c>
      <c r="B1178" s="123">
        <v>1222401.0</v>
      </c>
      <c r="C1178" s="687" t="s">
        <v>8245</v>
      </c>
      <c r="D1178" s="125"/>
    </row>
    <row r="1179">
      <c r="A1179" s="122" t="s">
        <v>9004</v>
      </c>
      <c r="B1179" s="123">
        <v>1379384.0</v>
      </c>
      <c r="C1179" s="687" t="s">
        <v>9005</v>
      </c>
      <c r="D1179" s="125"/>
    </row>
    <row r="1180">
      <c r="A1180" s="122" t="s">
        <v>9135</v>
      </c>
      <c r="B1180" s="123">
        <v>1051003.0</v>
      </c>
      <c r="C1180" s="687" t="s">
        <v>9136</v>
      </c>
      <c r="D1180" s="125"/>
    </row>
    <row r="1181">
      <c r="A1181" s="122" t="s">
        <v>9634</v>
      </c>
      <c r="B1181" s="123">
        <v>1306550.0</v>
      </c>
      <c r="C1181" s="687" t="s">
        <v>9635</v>
      </c>
      <c r="D1181" s="125"/>
    </row>
    <row r="1182">
      <c r="A1182" s="122" t="s">
        <v>11255</v>
      </c>
      <c r="B1182" s="123">
        <v>1278895.0</v>
      </c>
      <c r="C1182" s="687" t="s">
        <v>11256</v>
      </c>
      <c r="D1182" s="125"/>
    </row>
    <row r="1183">
      <c r="A1183" s="122" t="s">
        <v>8373</v>
      </c>
      <c r="B1183" s="123">
        <v>1320375.0</v>
      </c>
      <c r="C1183" s="687" t="s">
        <v>8374</v>
      </c>
      <c r="D1183" s="125"/>
    </row>
    <row r="1184">
      <c r="A1184" s="122" t="s">
        <v>8302</v>
      </c>
      <c r="B1184" s="123">
        <v>1336050.0</v>
      </c>
      <c r="C1184" s="687" t="s">
        <v>8303</v>
      </c>
      <c r="D1184" s="125"/>
    </row>
    <row r="1185">
      <c r="A1185" s="122" t="s">
        <v>6692</v>
      </c>
      <c r="B1185" s="123">
        <v>1393299.0</v>
      </c>
      <c r="C1185" s="687" t="s">
        <v>6693</v>
      </c>
      <c r="D1185" s="125"/>
    </row>
    <row r="1186">
      <c r="A1186" s="122" t="s">
        <v>10753</v>
      </c>
      <c r="B1186" s="123">
        <v>1864843.0</v>
      </c>
      <c r="C1186" s="687" t="s">
        <v>10754</v>
      </c>
      <c r="D1186" s="125"/>
    </row>
    <row r="1187">
      <c r="A1187" s="122" t="s">
        <v>9718</v>
      </c>
      <c r="B1187" s="123">
        <v>1287480.0</v>
      </c>
      <c r="C1187" s="687" t="s">
        <v>9719</v>
      </c>
      <c r="D1187" s="125"/>
    </row>
    <row r="1188">
      <c r="A1188" s="122" t="s">
        <v>9762</v>
      </c>
      <c r="B1188" s="123">
        <v>1259708.0</v>
      </c>
      <c r="C1188" s="687" t="s">
        <v>9763</v>
      </c>
      <c r="D1188" s="125"/>
    </row>
    <row r="1189">
      <c r="A1189" s="122" t="s">
        <v>10562</v>
      </c>
      <c r="B1189" s="123">
        <v>1785971.0</v>
      </c>
      <c r="C1189" s="687" t="s">
        <v>10563</v>
      </c>
      <c r="D1189" s="125"/>
    </row>
    <row r="1190">
      <c r="A1190" s="122" t="s">
        <v>13672</v>
      </c>
      <c r="B1190" s="123">
        <v>1314966.0</v>
      </c>
      <c r="C1190" s="687" t="s">
        <v>13673</v>
      </c>
      <c r="D1190" s="125"/>
    </row>
    <row r="1191">
      <c r="A1191" s="122" t="s">
        <v>16658</v>
      </c>
      <c r="B1191" s="123">
        <v>1364742.0</v>
      </c>
      <c r="C1191" s="687" t="s">
        <v>16659</v>
      </c>
      <c r="D1191" s="125"/>
    </row>
    <row r="1192">
      <c r="A1192" s="122" t="s">
        <v>16091</v>
      </c>
      <c r="B1192" s="123">
        <v>1849349.0</v>
      </c>
      <c r="C1192" s="687" t="s">
        <v>16092</v>
      </c>
      <c r="D1192" s="125"/>
    </row>
    <row r="1193">
      <c r="A1193" s="122" t="s">
        <v>9673</v>
      </c>
      <c r="B1193" s="123">
        <v>832327.0</v>
      </c>
      <c r="C1193" s="687" t="s">
        <v>9674</v>
      </c>
      <c r="D1193" s="125"/>
    </row>
    <row r="1194">
      <c r="A1194" s="122" t="s">
        <v>7600</v>
      </c>
      <c r="B1194" s="123">
        <v>1836057.0</v>
      </c>
      <c r="C1194" s="687" t="s">
        <v>7601</v>
      </c>
      <c r="D1194" s="125"/>
    </row>
    <row r="1195">
      <c r="A1195" s="122" t="s">
        <v>9551</v>
      </c>
      <c r="B1195" s="123">
        <v>894242.0</v>
      </c>
      <c r="C1195" s="687" t="s">
        <v>9552</v>
      </c>
      <c r="D1195" s="125"/>
    </row>
    <row r="1196">
      <c r="A1196" s="122" t="s">
        <v>8524</v>
      </c>
      <c r="B1196" s="123">
        <v>1343793.0</v>
      </c>
      <c r="C1196" s="687" t="s">
        <v>8525</v>
      </c>
      <c r="D1196" s="125"/>
    </row>
    <row r="1197">
      <c r="A1197" s="122" t="s">
        <v>10169</v>
      </c>
      <c r="B1197" s="123">
        <v>1233681.0</v>
      </c>
      <c r="C1197" s="687" t="s">
        <v>10170</v>
      </c>
      <c r="D1197" s="125"/>
    </row>
    <row r="1198">
      <c r="A1198" s="122" t="s">
        <v>9419</v>
      </c>
      <c r="B1198" s="123">
        <v>1053988.0</v>
      </c>
      <c r="C1198" s="687" t="s">
        <v>9420</v>
      </c>
      <c r="D1198" s="125"/>
    </row>
    <row r="1199">
      <c r="A1199" s="122" t="s">
        <v>10528</v>
      </c>
      <c r="B1199" s="123">
        <v>1562818.0</v>
      </c>
      <c r="C1199" s="687" t="s">
        <v>10529</v>
      </c>
      <c r="D1199" s="125"/>
    </row>
    <row r="1200">
      <c r="A1200" s="122" t="s">
        <v>8914</v>
      </c>
      <c r="B1200" s="123">
        <v>901243.0</v>
      </c>
      <c r="C1200" s="687" t="s">
        <v>8915</v>
      </c>
      <c r="D1200" s="125"/>
    </row>
    <row r="1201">
      <c r="A1201" s="122" t="s">
        <v>11635</v>
      </c>
      <c r="B1201" s="123">
        <v>1528437.0</v>
      </c>
      <c r="C1201" s="687" t="s">
        <v>11636</v>
      </c>
      <c r="D1201" s="125"/>
    </row>
    <row r="1202">
      <c r="A1202" s="122" t="s">
        <v>9511</v>
      </c>
      <c r="B1202" s="123">
        <v>1232860.0</v>
      </c>
      <c r="C1202" s="687" t="s">
        <v>9512</v>
      </c>
      <c r="D1202" s="125"/>
    </row>
    <row r="1203">
      <c r="A1203" s="122" t="s">
        <v>9389</v>
      </c>
      <c r="B1203" s="123">
        <v>1181187.0</v>
      </c>
      <c r="C1203" s="687" t="s">
        <v>9390</v>
      </c>
      <c r="D1203" s="125"/>
    </row>
    <row r="1204">
      <c r="A1204" s="122" t="s">
        <v>8415</v>
      </c>
      <c r="B1204" s="123">
        <v>1137393.0</v>
      </c>
      <c r="C1204" s="687" t="s">
        <v>8416</v>
      </c>
      <c r="D1204" s="125"/>
    </row>
    <row r="1205">
      <c r="A1205" s="122" t="s">
        <v>8746</v>
      </c>
      <c r="B1205" s="123">
        <v>1176194.0</v>
      </c>
      <c r="C1205" s="687" t="s">
        <v>8747</v>
      </c>
      <c r="D1205" s="125"/>
    </row>
    <row r="1206">
      <c r="A1206" s="122" t="s">
        <v>9602</v>
      </c>
      <c r="B1206" s="123">
        <v>1034665.0</v>
      </c>
      <c r="C1206" s="687" t="s">
        <v>9603</v>
      </c>
      <c r="D1206" s="125"/>
    </row>
    <row r="1207">
      <c r="A1207" s="122" t="s">
        <v>8629</v>
      </c>
      <c r="B1207" s="123">
        <v>1038186.0</v>
      </c>
      <c r="C1207" s="687" t="s">
        <v>8630</v>
      </c>
      <c r="D1207" s="125"/>
    </row>
    <row r="1208">
      <c r="A1208" s="122" t="s">
        <v>8323</v>
      </c>
      <c r="B1208" s="123">
        <v>1071899.0</v>
      </c>
      <c r="C1208" s="687" t="s">
        <v>8324</v>
      </c>
      <c r="D1208" s="125"/>
    </row>
    <row r="1209">
      <c r="A1209" s="122" t="s">
        <v>9195</v>
      </c>
      <c r="B1209" s="123">
        <v>1051004.0</v>
      </c>
      <c r="C1209" s="687" t="s">
        <v>9196</v>
      </c>
      <c r="D1209" s="125"/>
    </row>
    <row r="1210">
      <c r="A1210" s="122" t="s">
        <v>8803</v>
      </c>
      <c r="B1210" s="123">
        <v>897269.0</v>
      </c>
      <c r="C1210" s="687" t="s">
        <v>8804</v>
      </c>
      <c r="D1210" s="125"/>
    </row>
    <row r="1211">
      <c r="A1211" s="122" t="s">
        <v>7353</v>
      </c>
      <c r="B1211" s="123">
        <v>835948.0</v>
      </c>
      <c r="C1211" s="687" t="s">
        <v>7354</v>
      </c>
      <c r="D1211" s="125"/>
    </row>
    <row r="1212">
      <c r="A1212" s="122" t="s">
        <v>8793</v>
      </c>
      <c r="B1212" s="123">
        <v>879361.0</v>
      </c>
      <c r="C1212" s="687" t="s">
        <v>8794</v>
      </c>
      <c r="D1212" s="125"/>
    </row>
    <row r="1213">
      <c r="A1213" s="122" t="s">
        <v>9375</v>
      </c>
      <c r="B1213" s="123">
        <v>890393.0</v>
      </c>
      <c r="C1213" s="687" t="s">
        <v>9376</v>
      </c>
      <c r="D1213" s="125"/>
    </row>
    <row r="1214">
      <c r="A1214" s="122" t="s">
        <v>8446</v>
      </c>
      <c r="B1214" s="123">
        <v>882150.0</v>
      </c>
      <c r="C1214" s="687" t="s">
        <v>8447</v>
      </c>
      <c r="D1214" s="125"/>
    </row>
    <row r="1215">
      <c r="A1215" s="122" t="s">
        <v>9574</v>
      </c>
      <c r="B1215" s="123">
        <v>891038.0</v>
      </c>
      <c r="C1215" s="687" t="s">
        <v>9575</v>
      </c>
      <c r="D1215" s="125"/>
    </row>
    <row r="1216">
      <c r="A1216" s="122" t="s">
        <v>8505</v>
      </c>
      <c r="B1216" s="123">
        <v>887394.0</v>
      </c>
      <c r="C1216" s="687" t="s">
        <v>8506</v>
      </c>
      <c r="D1216" s="125"/>
    </row>
    <row r="1217">
      <c r="A1217" s="122" t="s">
        <v>9347</v>
      </c>
      <c r="B1217" s="123">
        <v>883412.0</v>
      </c>
      <c r="C1217" s="687" t="s">
        <v>9348</v>
      </c>
      <c r="D1217" s="125"/>
    </row>
    <row r="1218">
      <c r="A1218" s="122" t="s">
        <v>9680</v>
      </c>
      <c r="B1218" s="123">
        <v>890196.0</v>
      </c>
      <c r="C1218" s="687" t="s">
        <v>9681</v>
      </c>
      <c r="D1218" s="125"/>
    </row>
    <row r="1219">
      <c r="A1219" s="122" t="s">
        <v>8651</v>
      </c>
      <c r="B1219" s="123">
        <v>1137390.0</v>
      </c>
      <c r="C1219" s="687" t="s">
        <v>8652</v>
      </c>
      <c r="D1219" s="125"/>
    </row>
    <row r="1220">
      <c r="A1220" s="122" t="s">
        <v>7828</v>
      </c>
      <c r="B1220" s="123">
        <v>1506289.0</v>
      </c>
      <c r="C1220" s="687" t="s">
        <v>7829</v>
      </c>
      <c r="D1220" s="125"/>
    </row>
    <row r="1221">
      <c r="A1221" s="122" t="s">
        <v>10920</v>
      </c>
      <c r="B1221" s="123">
        <v>1768666.0</v>
      </c>
      <c r="C1221" s="687" t="s">
        <v>10921</v>
      </c>
      <c r="D1221" s="125"/>
    </row>
    <row r="1222">
      <c r="A1222" s="122" t="s">
        <v>13305</v>
      </c>
      <c r="B1222" s="123">
        <v>1616678.0</v>
      </c>
      <c r="C1222" s="687" t="s">
        <v>13306</v>
      </c>
      <c r="D1222" s="125"/>
    </row>
    <row r="1223">
      <c r="A1223" s="122" t="s">
        <v>2247</v>
      </c>
      <c r="B1223" s="123">
        <v>1699906.0</v>
      </c>
      <c r="C1223" s="687" t="s">
        <v>2248</v>
      </c>
      <c r="D1223" s="125"/>
    </row>
    <row r="1224">
      <c r="A1224" s="122" t="s">
        <v>10808</v>
      </c>
      <c r="B1224" s="123">
        <v>1493683.0</v>
      </c>
      <c r="C1224" s="687" t="s">
        <v>10809</v>
      </c>
      <c r="D1224" s="125"/>
    </row>
    <row r="1225">
      <c r="A1225" s="122" t="s">
        <v>11643</v>
      </c>
      <c r="B1225" s="123">
        <v>1528988.0</v>
      </c>
      <c r="C1225" s="687" t="s">
        <v>11644</v>
      </c>
      <c r="D1225" s="125"/>
    </row>
    <row r="1226">
      <c r="A1226" s="122" t="s">
        <v>8874</v>
      </c>
      <c r="B1226" s="123">
        <v>1169034.0</v>
      </c>
      <c r="C1226" s="687" t="s">
        <v>8875</v>
      </c>
      <c r="D1226" s="125"/>
    </row>
    <row r="1227">
      <c r="A1227" s="122" t="s">
        <v>4108</v>
      </c>
      <c r="B1227" s="123">
        <v>1753539.0</v>
      </c>
      <c r="C1227" s="687" t="s">
        <v>4109</v>
      </c>
      <c r="D1227" s="125"/>
    </row>
    <row r="1228">
      <c r="A1228" s="122" t="s">
        <v>33480</v>
      </c>
      <c r="B1228" s="123">
        <v>1483646.0</v>
      </c>
      <c r="C1228" s="687" t="s">
        <v>33481</v>
      </c>
      <c r="D1228" s="125"/>
    </row>
    <row r="1229">
      <c r="A1229" s="122" t="s">
        <v>15667</v>
      </c>
      <c r="B1229" s="123">
        <v>1393818.0</v>
      </c>
      <c r="C1229" s="687" t="s">
        <v>15668</v>
      </c>
      <c r="D1229" s="125"/>
    </row>
    <row r="1230">
      <c r="A1230" s="122" t="s">
        <v>9580</v>
      </c>
      <c r="B1230" s="123">
        <v>1504234.0</v>
      </c>
      <c r="C1230" s="687" t="s">
        <v>9581</v>
      </c>
      <c r="D1230" s="125"/>
    </row>
    <row r="1231">
      <c r="A1231" s="122" t="s">
        <v>11269</v>
      </c>
      <c r="B1231" s="123">
        <v>1061630.0</v>
      </c>
      <c r="C1231" s="687" t="s">
        <v>11270</v>
      </c>
      <c r="D1231" s="125"/>
    </row>
    <row r="1232">
      <c r="A1232" s="122" t="s">
        <v>12695</v>
      </c>
      <c r="B1232" s="123">
        <v>1736035.0</v>
      </c>
      <c r="C1232" s="687" t="s">
        <v>12696</v>
      </c>
      <c r="D1232" s="125"/>
    </row>
    <row r="1233">
      <c r="A1233" s="122" t="s">
        <v>10060</v>
      </c>
      <c r="B1233" s="123">
        <v>1486298.0</v>
      </c>
      <c r="C1233" s="687" t="s">
        <v>10061</v>
      </c>
      <c r="D1233" s="125"/>
    </row>
    <row r="1234">
      <c r="A1234" s="122" t="s">
        <v>9435</v>
      </c>
      <c r="B1234" s="123">
        <v>1546429.0</v>
      </c>
      <c r="C1234" s="687" t="s">
        <v>9436</v>
      </c>
      <c r="D1234" s="125"/>
    </row>
    <row r="1235">
      <c r="A1235" s="122" t="s">
        <v>5537</v>
      </c>
      <c r="B1235" s="123">
        <v>1779128.0</v>
      </c>
      <c r="C1235" s="687" t="s">
        <v>5538</v>
      </c>
      <c r="D1235" s="125"/>
    </row>
    <row r="1236">
      <c r="A1236" s="122" t="s">
        <v>2049</v>
      </c>
      <c r="B1236" s="123">
        <v>1779128.0</v>
      </c>
      <c r="C1236" s="687" t="s">
        <v>2050</v>
      </c>
      <c r="D1236" s="125"/>
    </row>
    <row r="1237">
      <c r="A1237" s="122" t="s">
        <v>5267</v>
      </c>
      <c r="B1237" s="123">
        <v>1855747.0</v>
      </c>
      <c r="C1237" s="687" t="s">
        <v>5268</v>
      </c>
      <c r="D1237" s="125"/>
    </row>
    <row r="1238">
      <c r="A1238" s="122" t="s">
        <v>8772</v>
      </c>
      <c r="B1238" s="123">
        <v>1843370.0</v>
      </c>
      <c r="C1238" s="687" t="s">
        <v>995</v>
      </c>
      <c r="D1238" s="125"/>
    </row>
    <row r="1239">
      <c r="A1239" s="122" t="s">
        <v>994</v>
      </c>
      <c r="B1239" s="123">
        <v>1843370.0</v>
      </c>
      <c r="C1239" s="687" t="s">
        <v>995</v>
      </c>
      <c r="D1239" s="125"/>
    </row>
    <row r="1240">
      <c r="A1240" s="122" t="s">
        <v>8718</v>
      </c>
      <c r="B1240" s="123">
        <v>1843370.0</v>
      </c>
      <c r="C1240" s="687" t="s">
        <v>8719</v>
      </c>
      <c r="D1240" s="125"/>
    </row>
    <row r="1241">
      <c r="A1241" s="122" t="s">
        <v>5135</v>
      </c>
      <c r="B1241" s="123">
        <v>1429764.0</v>
      </c>
      <c r="C1241" s="687" t="s">
        <v>5136</v>
      </c>
      <c r="D1241" s="125"/>
    </row>
    <row r="1242">
      <c r="A1242" s="122" t="s">
        <v>14707</v>
      </c>
      <c r="B1242" s="123">
        <v>1512673.0</v>
      </c>
      <c r="C1242" s="687" t="s">
        <v>14708</v>
      </c>
      <c r="D1242" s="125"/>
    </row>
    <row r="1243">
      <c r="A1243" s="122" t="s">
        <v>1459</v>
      </c>
      <c r="B1243" s="123">
        <v>1873441.0</v>
      </c>
      <c r="C1243" s="687" t="s">
        <v>1460</v>
      </c>
      <c r="D1243" s="125"/>
    </row>
    <row r="1244">
      <c r="A1244" s="122" t="s">
        <v>9036</v>
      </c>
      <c r="B1244" s="123">
        <v>1873441.0</v>
      </c>
      <c r="C1244" s="687" t="s">
        <v>9037</v>
      </c>
      <c r="D1244" s="125"/>
    </row>
    <row r="1245">
      <c r="A1245" s="122" t="s">
        <v>9046</v>
      </c>
      <c r="B1245" s="123">
        <v>1873441.0</v>
      </c>
      <c r="C1245" s="687" t="s">
        <v>9047</v>
      </c>
      <c r="D1245" s="125"/>
    </row>
    <row r="1246">
      <c r="A1246" s="122" t="s">
        <v>1918</v>
      </c>
      <c r="B1246" s="123">
        <v>1000683.0</v>
      </c>
      <c r="C1246" s="687" t="s">
        <v>1919</v>
      </c>
      <c r="D1246" s="125"/>
    </row>
    <row r="1247">
      <c r="A1247" s="122" t="s">
        <v>9448</v>
      </c>
      <c r="B1247" s="123">
        <v>1664703.0</v>
      </c>
      <c r="C1247" s="687" t="s">
        <v>9449</v>
      </c>
      <c r="D1247" s="125"/>
    </row>
    <row r="1248">
      <c r="A1248" s="122" t="s">
        <v>12578</v>
      </c>
      <c r="B1248" s="123">
        <v>1546417.0</v>
      </c>
      <c r="C1248" s="687" t="s">
        <v>12579</v>
      </c>
      <c r="D1248" s="125"/>
    </row>
    <row r="1249">
      <c r="A1249" s="122" t="s">
        <v>33482</v>
      </c>
      <c r="B1249" s="123">
        <v>1138608.0</v>
      </c>
      <c r="C1249" s="687" t="s">
        <v>33483</v>
      </c>
      <c r="D1249" s="125"/>
    </row>
    <row r="1250">
      <c r="A1250" s="122" t="s">
        <v>1892</v>
      </c>
      <c r="B1250" s="123">
        <v>1549145.0</v>
      </c>
      <c r="C1250" s="687" t="s">
        <v>1893</v>
      </c>
      <c r="D1250" s="125"/>
    </row>
    <row r="1251">
      <c r="A1251" s="122" t="s">
        <v>12874</v>
      </c>
      <c r="B1251" s="123">
        <v>1589526.0</v>
      </c>
      <c r="C1251" s="687" t="s">
        <v>12875</v>
      </c>
      <c r="D1251" s="125"/>
    </row>
    <row r="1252">
      <c r="A1252" s="122" t="s">
        <v>6522</v>
      </c>
      <c r="B1252" s="123">
        <v>793306.0</v>
      </c>
      <c r="C1252" s="687" t="s">
        <v>6523</v>
      </c>
      <c r="D1252" s="125"/>
    </row>
    <row r="1253">
      <c r="A1253" s="122" t="s">
        <v>8162</v>
      </c>
      <c r="B1253" s="123">
        <v>1846017.0</v>
      </c>
      <c r="C1253" s="687" t="s">
        <v>8163</v>
      </c>
      <c r="D1253" s="125"/>
    </row>
    <row r="1254">
      <c r="A1254" s="122" t="s">
        <v>3847</v>
      </c>
      <c r="B1254" s="123">
        <v>1759136.0</v>
      </c>
      <c r="C1254" s="687" t="s">
        <v>3848</v>
      </c>
      <c r="D1254" s="125"/>
    </row>
    <row r="1255">
      <c r="A1255" s="122" t="s">
        <v>33484</v>
      </c>
      <c r="B1255" s="123">
        <v>1387998.0</v>
      </c>
      <c r="C1255" s="687" t="s">
        <v>33485</v>
      </c>
      <c r="D1255" s="125"/>
    </row>
    <row r="1256">
      <c r="A1256" s="122" t="s">
        <v>1563</v>
      </c>
      <c r="B1256" s="123">
        <v>1416697.0</v>
      </c>
      <c r="C1256" s="687" t="s">
        <v>1564</v>
      </c>
      <c r="D1256" s="125"/>
    </row>
    <row r="1257">
      <c r="A1257" s="122" t="s">
        <v>8958</v>
      </c>
      <c r="B1257" s="123">
        <v>1856961.0</v>
      </c>
      <c r="C1257" s="687" t="s">
        <v>1021</v>
      </c>
      <c r="D1257" s="125"/>
    </row>
    <row r="1258">
      <c r="A1258" s="122" t="s">
        <v>1020</v>
      </c>
      <c r="B1258" s="123">
        <v>1856961.0</v>
      </c>
      <c r="C1258" s="687" t="s">
        <v>1021</v>
      </c>
      <c r="D1258" s="125"/>
    </row>
    <row r="1259">
      <c r="A1259" s="122" t="s">
        <v>8904</v>
      </c>
      <c r="B1259" s="123">
        <v>1856961.0</v>
      </c>
      <c r="C1259" s="687" t="s">
        <v>8905</v>
      </c>
      <c r="D1259" s="125"/>
    </row>
    <row r="1260">
      <c r="A1260" s="122" t="s">
        <v>10616</v>
      </c>
      <c r="B1260" s="123">
        <v>1823945.0</v>
      </c>
      <c r="C1260" s="687" t="s">
        <v>10617</v>
      </c>
      <c r="D1260" s="125"/>
    </row>
    <row r="1261">
      <c r="A1261" s="122" t="s">
        <v>5372</v>
      </c>
      <c r="B1261" s="123">
        <v>842717.0</v>
      </c>
      <c r="C1261" s="687" t="s">
        <v>5373</v>
      </c>
      <c r="D1261" s="125"/>
    </row>
    <row r="1262">
      <c r="A1262" s="122" t="s">
        <v>1537</v>
      </c>
      <c r="B1262" s="123">
        <v>1463978.0</v>
      </c>
      <c r="C1262" s="687" t="s">
        <v>1538</v>
      </c>
      <c r="D1262" s="125"/>
    </row>
    <row r="1263">
      <c r="A1263" s="122" t="s">
        <v>1803</v>
      </c>
      <c r="B1263" s="123">
        <v>1259942.0</v>
      </c>
      <c r="C1263" s="687" t="s">
        <v>1804</v>
      </c>
      <c r="D1263" s="125"/>
    </row>
    <row r="1264">
      <c r="A1264" s="122" t="s">
        <v>1970</v>
      </c>
      <c r="B1264" s="123">
        <v>1730773.0</v>
      </c>
      <c r="C1264" s="687" t="s">
        <v>1971</v>
      </c>
      <c r="D1264" s="125"/>
    </row>
    <row r="1265">
      <c r="A1265" s="122" t="s">
        <v>787</v>
      </c>
      <c r="B1265" s="123">
        <v>1424182.0</v>
      </c>
      <c r="C1265" s="687" t="s">
        <v>788</v>
      </c>
      <c r="D1265" s="125"/>
    </row>
    <row r="1266">
      <c r="A1266" s="122" t="s">
        <v>9170</v>
      </c>
      <c r="B1266" s="123">
        <v>1878074.0</v>
      </c>
      <c r="C1266" s="687" t="s">
        <v>9171</v>
      </c>
      <c r="D1266" s="125"/>
    </row>
    <row r="1267">
      <c r="A1267" s="122" t="s">
        <v>8748</v>
      </c>
      <c r="B1267" s="123">
        <v>1878074.0</v>
      </c>
      <c r="C1267" s="687" t="s">
        <v>8749</v>
      </c>
      <c r="D1267" s="125"/>
    </row>
    <row r="1268">
      <c r="A1268" s="122" t="s">
        <v>3714</v>
      </c>
      <c r="B1268" s="123">
        <v>1293971.0</v>
      </c>
      <c r="C1268" s="687" t="s">
        <v>3715</v>
      </c>
      <c r="D1268" s="125"/>
    </row>
    <row r="1269">
      <c r="A1269" s="122" t="s">
        <v>14820</v>
      </c>
      <c r="B1269" s="123">
        <v>315858.0</v>
      </c>
      <c r="C1269" s="687" t="s">
        <v>14821</v>
      </c>
      <c r="D1269" s="125"/>
    </row>
    <row r="1270">
      <c r="A1270" s="122" t="s">
        <v>14880</v>
      </c>
      <c r="B1270" s="123">
        <v>315858.0</v>
      </c>
      <c r="C1270" s="687" t="s">
        <v>14881</v>
      </c>
      <c r="D1270" s="125"/>
    </row>
    <row r="1271">
      <c r="A1271" s="122" t="s">
        <v>3468</v>
      </c>
      <c r="B1271" s="123">
        <v>1704287.0</v>
      </c>
      <c r="C1271" s="687" t="s">
        <v>3469</v>
      </c>
      <c r="D1271" s="125"/>
    </row>
    <row r="1272">
      <c r="A1272" s="122" t="s">
        <v>15596</v>
      </c>
      <c r="B1272" s="123">
        <v>1301787.0</v>
      </c>
      <c r="C1272" s="687" t="s">
        <v>15597</v>
      </c>
      <c r="D1272" s="125"/>
    </row>
    <row r="1273">
      <c r="A1273" s="122" t="s">
        <v>6898</v>
      </c>
      <c r="B1273" s="123">
        <v>1496690.0</v>
      </c>
      <c r="C1273" s="687" t="s">
        <v>6899</v>
      </c>
      <c r="D1273" s="125"/>
    </row>
    <row r="1274">
      <c r="A1274" s="122" t="s">
        <v>14992</v>
      </c>
      <c r="B1274" s="123">
        <v>1597264.0</v>
      </c>
      <c r="C1274" s="687" t="s">
        <v>14993</v>
      </c>
      <c r="D1274" s="125"/>
    </row>
    <row r="1275">
      <c r="A1275" s="122" t="s">
        <v>8880</v>
      </c>
      <c r="B1275" s="123">
        <v>1831006.0</v>
      </c>
      <c r="C1275" s="687" t="s">
        <v>8881</v>
      </c>
      <c r="D1275" s="125"/>
    </row>
    <row r="1276">
      <c r="A1276" s="122" t="s">
        <v>10285</v>
      </c>
      <c r="B1276" s="123">
        <v>1903382.0</v>
      </c>
      <c r="C1276" s="687" t="s">
        <v>10286</v>
      </c>
      <c r="D1276" s="125"/>
    </row>
    <row r="1277">
      <c r="A1277" s="122" t="s">
        <v>4935</v>
      </c>
      <c r="B1277" s="123">
        <v>1725872.0</v>
      </c>
      <c r="C1277" s="687" t="s">
        <v>4936</v>
      </c>
      <c r="D1277" s="125"/>
    </row>
    <row r="1278">
      <c r="A1278" s="122" t="s">
        <v>880</v>
      </c>
      <c r="B1278" s="123">
        <v>1384066.0</v>
      </c>
      <c r="C1278" s="687" t="s">
        <v>881</v>
      </c>
      <c r="D1278" s="125"/>
    </row>
    <row r="1279">
      <c r="A1279" s="122" t="s">
        <v>9987</v>
      </c>
      <c r="B1279" s="123">
        <v>1629137.0</v>
      </c>
      <c r="C1279" s="687" t="s">
        <v>9988</v>
      </c>
      <c r="D1279" s="125"/>
    </row>
    <row r="1280">
      <c r="A1280" s="122" t="s">
        <v>8466</v>
      </c>
      <c r="B1280" s="123">
        <v>1565381.0</v>
      </c>
      <c r="C1280" s="687" t="s">
        <v>8467</v>
      </c>
      <c r="D1280" s="125"/>
    </row>
    <row r="1281">
      <c r="A1281" s="122" t="s">
        <v>7212</v>
      </c>
      <c r="B1281" s="123">
        <v>839122.0</v>
      </c>
      <c r="C1281" s="687" t="s">
        <v>7213</v>
      </c>
      <c r="D1281" s="125"/>
    </row>
    <row r="1282">
      <c r="A1282" s="122" t="s">
        <v>7009</v>
      </c>
      <c r="B1282" s="123">
        <v>818972.0</v>
      </c>
      <c r="C1282" s="687" t="s">
        <v>7010</v>
      </c>
      <c r="D1282" s="125"/>
    </row>
    <row r="1283">
      <c r="A1283" s="122" t="s">
        <v>7805</v>
      </c>
      <c r="B1283" s="123">
        <v>1627854.0</v>
      </c>
      <c r="C1283" s="687" t="s">
        <v>7806</v>
      </c>
      <c r="D1283" s="125"/>
    </row>
    <row r="1284">
      <c r="A1284" s="122" t="s">
        <v>1759</v>
      </c>
      <c r="B1284" s="123">
        <v>1715611.0</v>
      </c>
      <c r="C1284" s="687" t="s">
        <v>1760</v>
      </c>
      <c r="D1284" s="125"/>
    </row>
    <row r="1285">
      <c r="A1285" s="122" t="s">
        <v>16191</v>
      </c>
      <c r="B1285" s="123">
        <v>12927.0</v>
      </c>
      <c r="C1285" s="687" t="s">
        <v>16192</v>
      </c>
      <c r="D1285" s="125"/>
    </row>
    <row r="1286">
      <c r="A1286" s="122" t="s">
        <v>7713</v>
      </c>
      <c r="B1286" s="123">
        <v>1787414.0</v>
      </c>
      <c r="C1286" s="687" t="s">
        <v>7714</v>
      </c>
      <c r="D1286" s="125"/>
    </row>
    <row r="1287">
      <c r="A1287" s="122" t="s">
        <v>15799</v>
      </c>
      <c r="B1287" s="123">
        <v>1328581.0</v>
      </c>
      <c r="C1287" s="687" t="s">
        <v>15800</v>
      </c>
      <c r="D1287" s="125"/>
    </row>
    <row r="1288">
      <c r="A1288" s="122" t="s">
        <v>15083</v>
      </c>
      <c r="B1288" s="123">
        <v>875357.0</v>
      </c>
      <c r="C1288" s="687" t="s">
        <v>15084</v>
      </c>
      <c r="D1288" s="125"/>
    </row>
    <row r="1289">
      <c r="A1289" s="122" t="s">
        <v>14156</v>
      </c>
      <c r="B1289" s="123">
        <v>1446457.0</v>
      </c>
      <c r="C1289" s="687" t="s">
        <v>14157</v>
      </c>
      <c r="D1289" s="125"/>
    </row>
    <row r="1290">
      <c r="A1290" s="122" t="s">
        <v>3953</v>
      </c>
      <c r="B1290" s="123">
        <v>1641281.0</v>
      </c>
      <c r="C1290" s="687" t="s">
        <v>3954</v>
      </c>
      <c r="D1290" s="125"/>
    </row>
    <row r="1291">
      <c r="A1291" s="122" t="s">
        <v>3143</v>
      </c>
      <c r="B1291" s="123">
        <v>1816815.0</v>
      </c>
      <c r="C1291" s="687" t="s">
        <v>3144</v>
      </c>
      <c r="D1291" s="125"/>
    </row>
    <row r="1292">
      <c r="A1292" s="122" t="s">
        <v>14072</v>
      </c>
      <c r="B1292" s="123">
        <v>1561627.0</v>
      </c>
      <c r="C1292" s="687" t="s">
        <v>14073</v>
      </c>
      <c r="D1292" s="125"/>
    </row>
    <row r="1293">
      <c r="A1293" s="122" t="s">
        <v>10832</v>
      </c>
      <c r="B1293" s="123">
        <v>1419554.0</v>
      </c>
      <c r="C1293" s="687" t="s">
        <v>10833</v>
      </c>
      <c r="D1293" s="125"/>
    </row>
    <row r="1294">
      <c r="A1294" s="122" t="s">
        <v>5650</v>
      </c>
      <c r="B1294" s="123">
        <v>1419554.0</v>
      </c>
      <c r="C1294" s="687" t="s">
        <v>5651</v>
      </c>
      <c r="D1294" s="125"/>
    </row>
    <row r="1295">
      <c r="A1295" s="122" t="s">
        <v>16760</v>
      </c>
      <c r="B1295" s="123">
        <v>1075531.0</v>
      </c>
      <c r="C1295" s="687" t="s">
        <v>16761</v>
      </c>
      <c r="D1295" s="125"/>
    </row>
    <row r="1296">
      <c r="A1296" s="122" t="s">
        <v>15046</v>
      </c>
      <c r="B1296" s="123">
        <v>1610250.0</v>
      </c>
      <c r="C1296" s="687" t="s">
        <v>15047</v>
      </c>
      <c r="D1296" s="125"/>
    </row>
    <row r="1297">
      <c r="A1297" s="122" t="s">
        <v>15826</v>
      </c>
      <c r="B1297" s="123">
        <v>1443646.0</v>
      </c>
      <c r="C1297" s="687" t="s">
        <v>15827</v>
      </c>
      <c r="D1297" s="125"/>
    </row>
    <row r="1298">
      <c r="A1298" s="122" t="s">
        <v>2534</v>
      </c>
      <c r="B1298" s="123">
        <v>1815021.0</v>
      </c>
      <c r="C1298" s="687" t="s">
        <v>2535</v>
      </c>
      <c r="D1298" s="125"/>
    </row>
    <row r="1299">
      <c r="A1299" s="122" t="s">
        <v>13144</v>
      </c>
      <c r="B1299" s="123">
        <v>908255.0</v>
      </c>
      <c r="C1299" s="687" t="s">
        <v>13145</v>
      </c>
      <c r="D1299" s="125"/>
    </row>
    <row r="1300">
      <c r="A1300" s="122" t="s">
        <v>33486</v>
      </c>
      <c r="B1300" s="123">
        <v>1397795.0</v>
      </c>
      <c r="C1300" s="687" t="s">
        <v>33487</v>
      </c>
      <c r="D1300" s="125"/>
    </row>
    <row r="1301">
      <c r="A1301" s="122" t="s">
        <v>6959</v>
      </c>
      <c r="B1301" s="123">
        <v>1715497.0</v>
      </c>
      <c r="C1301" s="687" t="s">
        <v>6960</v>
      </c>
      <c r="D1301" s="125"/>
    </row>
    <row r="1302">
      <c r="A1302" s="122" t="s">
        <v>2699</v>
      </c>
      <c r="B1302" s="123">
        <v>1656501.0</v>
      </c>
      <c r="C1302" s="687" t="s">
        <v>2700</v>
      </c>
      <c r="D1302" s="125"/>
    </row>
    <row r="1303">
      <c r="A1303" s="122" t="s">
        <v>5296</v>
      </c>
      <c r="B1303" s="123">
        <v>1005516.0</v>
      </c>
      <c r="C1303" s="687" t="s">
        <v>5297</v>
      </c>
      <c r="D1303" s="125"/>
    </row>
    <row r="1304">
      <c r="A1304" s="122" t="s">
        <v>16479</v>
      </c>
      <c r="B1304" s="123">
        <v>949870.0</v>
      </c>
      <c r="C1304" s="687" t="s">
        <v>16480</v>
      </c>
      <c r="D1304" s="125"/>
    </row>
    <row r="1305">
      <c r="A1305" s="122" t="s">
        <v>10487</v>
      </c>
      <c r="B1305" s="123">
        <v>1494582.0</v>
      </c>
      <c r="C1305" s="687" t="s">
        <v>10488</v>
      </c>
      <c r="D1305" s="125"/>
    </row>
    <row r="1306">
      <c r="A1306" s="122" t="s">
        <v>14580</v>
      </c>
      <c r="B1306" s="123">
        <v>1037540.0</v>
      </c>
      <c r="C1306" s="687" t="s">
        <v>14581</v>
      </c>
      <c r="D1306" s="125"/>
    </row>
    <row r="1307">
      <c r="A1307" s="122" t="s">
        <v>14603</v>
      </c>
      <c r="B1307" s="123">
        <v>885725.0</v>
      </c>
      <c r="C1307" s="687" t="s">
        <v>14604</v>
      </c>
      <c r="D1307" s="125"/>
    </row>
    <row r="1308">
      <c r="A1308" s="122" t="s">
        <v>589</v>
      </c>
      <c r="B1308" s="123">
        <v>1525852.0</v>
      </c>
      <c r="C1308" s="687" t="s">
        <v>590</v>
      </c>
      <c r="D1308" s="125"/>
    </row>
    <row r="1309">
      <c r="A1309" s="122" t="s">
        <v>33488</v>
      </c>
      <c r="B1309" s="123">
        <v>1384939.0</v>
      </c>
      <c r="C1309" s="687" t="s">
        <v>33489</v>
      </c>
      <c r="D1309" s="125"/>
    </row>
    <row r="1310">
      <c r="A1310" s="122" t="s">
        <v>7442</v>
      </c>
      <c r="B1310" s="123">
        <v>1445475.0</v>
      </c>
      <c r="C1310" s="687" t="s">
        <v>7443</v>
      </c>
      <c r="D1310" s="125"/>
    </row>
    <row r="1311">
      <c r="A1311" s="122" t="s">
        <v>13487</v>
      </c>
      <c r="B1311" s="123">
        <v>1445475.0</v>
      </c>
      <c r="C1311" s="687" t="s">
        <v>13488</v>
      </c>
      <c r="D1311" s="125"/>
    </row>
    <row r="1312">
      <c r="A1312" s="122" t="s">
        <v>9460</v>
      </c>
      <c r="B1312" s="123">
        <v>1840572.0</v>
      </c>
      <c r="C1312" s="687" t="s">
        <v>9461</v>
      </c>
      <c r="D1312" s="125"/>
    </row>
    <row r="1313">
      <c r="A1313" s="122" t="s">
        <v>12984</v>
      </c>
      <c r="B1313" s="123">
        <v>1847590.0</v>
      </c>
      <c r="C1313" s="687" t="s">
        <v>12985</v>
      </c>
      <c r="D1313" s="125"/>
    </row>
    <row r="1314">
      <c r="A1314" s="122" t="s">
        <v>12483</v>
      </c>
      <c r="B1314" s="123">
        <v>1372612.0</v>
      </c>
      <c r="C1314" s="687" t="s">
        <v>12484</v>
      </c>
      <c r="D1314" s="125"/>
    </row>
    <row r="1315">
      <c r="A1315" s="122" t="s">
        <v>3626</v>
      </c>
      <c r="B1315" s="123">
        <v>1624512.0</v>
      </c>
      <c r="C1315" s="687" t="s">
        <v>3627</v>
      </c>
      <c r="D1315" s="125"/>
    </row>
    <row r="1316">
      <c r="A1316" s="122" t="s">
        <v>14594</v>
      </c>
      <c r="B1316" s="123">
        <v>906553.0</v>
      </c>
      <c r="C1316" s="687" t="s">
        <v>14595</v>
      </c>
      <c r="D1316" s="125"/>
    </row>
    <row r="1317">
      <c r="A1317" s="122" t="s">
        <v>13203</v>
      </c>
      <c r="B1317" s="123">
        <v>313807.0</v>
      </c>
      <c r="C1317" s="687" t="s">
        <v>6924</v>
      </c>
      <c r="D1317" s="125"/>
    </row>
    <row r="1318">
      <c r="A1318" s="122" t="s">
        <v>6923</v>
      </c>
      <c r="B1318" s="123">
        <v>313807.0</v>
      </c>
      <c r="C1318" s="687" t="s">
        <v>6924</v>
      </c>
      <c r="D1318" s="125"/>
    </row>
    <row r="1319">
      <c r="A1319" s="122" t="s">
        <v>5282</v>
      </c>
      <c r="B1319" s="123">
        <v>850033.0</v>
      </c>
      <c r="C1319" s="687" t="s">
        <v>5283</v>
      </c>
      <c r="D1319" s="125"/>
    </row>
    <row r="1320">
      <c r="A1320" s="122" t="s">
        <v>7297</v>
      </c>
      <c r="B1320" s="123">
        <v>1567024.0</v>
      </c>
      <c r="C1320" s="687" t="s">
        <v>7298</v>
      </c>
      <c r="D1320" s="125"/>
    </row>
    <row r="1321">
      <c r="A1321" s="122" t="s">
        <v>14473</v>
      </c>
      <c r="B1321" s="123">
        <v>746598.0</v>
      </c>
      <c r="C1321" s="687" t="s">
        <v>14474</v>
      </c>
      <c r="D1321" s="125"/>
    </row>
    <row r="1322">
      <c r="A1322" s="122" t="s">
        <v>5047</v>
      </c>
      <c r="B1322" s="123">
        <v>1574085.0</v>
      </c>
      <c r="C1322" s="687" t="s">
        <v>5048</v>
      </c>
      <c r="D1322" s="125"/>
    </row>
    <row r="1323">
      <c r="A1323" s="122" t="s">
        <v>6746</v>
      </c>
      <c r="B1323" s="123">
        <v>1867834.0</v>
      </c>
      <c r="C1323" s="687" t="s">
        <v>6747</v>
      </c>
      <c r="D1323" s="125"/>
    </row>
    <row r="1324">
      <c r="A1324" s="122" t="s">
        <v>3423</v>
      </c>
      <c r="B1324" s="123">
        <v>1662382.0</v>
      </c>
      <c r="C1324" s="687" t="s">
        <v>3424</v>
      </c>
      <c r="D1324" s="125"/>
    </row>
    <row r="1325">
      <c r="A1325" s="122" t="s">
        <v>6368</v>
      </c>
      <c r="B1325" s="123">
        <v>1887388.0</v>
      </c>
      <c r="C1325" s="687" t="s">
        <v>6369</v>
      </c>
      <c r="D1325" s="125"/>
    </row>
    <row r="1326">
      <c r="A1326" s="122" t="s">
        <v>2013</v>
      </c>
      <c r="B1326" s="123">
        <v>1887388.0</v>
      </c>
      <c r="C1326" s="687" t="s">
        <v>2014</v>
      </c>
      <c r="D1326" s="125"/>
    </row>
    <row r="1327">
      <c r="A1327" s="122" t="s">
        <v>2779</v>
      </c>
      <c r="B1327" s="123">
        <v>1137883.0</v>
      </c>
      <c r="C1327" s="687" t="s">
        <v>2780</v>
      </c>
      <c r="D1327" s="125"/>
    </row>
    <row r="1328">
      <c r="A1328" s="122" t="s">
        <v>6930</v>
      </c>
      <c r="B1328" s="123">
        <v>1505065.0</v>
      </c>
      <c r="C1328" s="687" t="s">
        <v>6931</v>
      </c>
      <c r="D1328" s="125"/>
    </row>
    <row r="1329">
      <c r="A1329" s="122" t="s">
        <v>4754</v>
      </c>
      <c r="B1329" s="123">
        <v>1505065.0</v>
      </c>
      <c r="C1329" s="687" t="s">
        <v>4755</v>
      </c>
      <c r="D1329" s="125"/>
    </row>
    <row r="1330">
      <c r="A1330" s="122" t="s">
        <v>33490</v>
      </c>
      <c r="B1330" s="123">
        <v>1794311.0</v>
      </c>
      <c r="C1330" s="687" t="s">
        <v>33491</v>
      </c>
      <c r="D1330" s="125"/>
    </row>
    <row r="1331">
      <c r="A1331" s="122" t="s">
        <v>6227</v>
      </c>
      <c r="B1331" s="123">
        <v>790816.0</v>
      </c>
      <c r="C1331" s="687" t="s">
        <v>6228</v>
      </c>
      <c r="D1331" s="125"/>
    </row>
    <row r="1332">
      <c r="A1332" s="122" t="s">
        <v>7810</v>
      </c>
      <c r="B1332" s="123">
        <v>1504545.0</v>
      </c>
      <c r="C1332" s="687" t="s">
        <v>7811</v>
      </c>
      <c r="D1332" s="125"/>
    </row>
    <row r="1333">
      <c r="A1333" s="122" t="s">
        <v>6585</v>
      </c>
      <c r="B1333" s="123">
        <v>1499849.0</v>
      </c>
      <c r="C1333" s="687" t="s">
        <v>6586</v>
      </c>
      <c r="D1333" s="125"/>
    </row>
    <row r="1334">
      <c r="A1334" s="122" t="s">
        <v>6123</v>
      </c>
      <c r="B1334" s="123">
        <v>1499849.0</v>
      </c>
      <c r="C1334" s="687" t="s">
        <v>6124</v>
      </c>
      <c r="D1334" s="125"/>
    </row>
    <row r="1335">
      <c r="A1335" s="122" t="s">
        <v>33492</v>
      </c>
      <c r="B1335" s="123">
        <v>1005286.0</v>
      </c>
      <c r="C1335" s="687" t="s">
        <v>33493</v>
      </c>
      <c r="D1335" s="125"/>
    </row>
    <row r="1336">
      <c r="A1336" s="122" t="s">
        <v>7371</v>
      </c>
      <c r="B1336" s="123">
        <v>1071438.0</v>
      </c>
      <c r="C1336" s="687" t="s">
        <v>7181</v>
      </c>
      <c r="D1336" s="125"/>
    </row>
    <row r="1337">
      <c r="A1337" s="122" t="s">
        <v>7180</v>
      </c>
      <c r="B1337" s="123">
        <v>1847351.0</v>
      </c>
      <c r="C1337" s="687" t="s">
        <v>7181</v>
      </c>
      <c r="D1337" s="125"/>
    </row>
    <row r="1338">
      <c r="A1338" s="122" t="s">
        <v>882</v>
      </c>
      <c r="B1338" s="123">
        <v>1500620.0</v>
      </c>
      <c r="C1338" s="687" t="s">
        <v>883</v>
      </c>
      <c r="D1338" s="125"/>
    </row>
    <row r="1339">
      <c r="A1339" s="122" t="s">
        <v>2183</v>
      </c>
      <c r="B1339" s="123">
        <v>1444839.0</v>
      </c>
      <c r="C1339" s="687" t="s">
        <v>2184</v>
      </c>
      <c r="D1339" s="125"/>
    </row>
    <row r="1340">
      <c r="A1340" s="122" t="s">
        <v>14309</v>
      </c>
      <c r="B1340" s="123">
        <v>1676238.0</v>
      </c>
      <c r="C1340" s="687" t="s">
        <v>14310</v>
      </c>
      <c r="D1340" s="125"/>
    </row>
    <row r="1341">
      <c r="A1341" s="122" t="s">
        <v>7749</v>
      </c>
      <c r="B1341" s="123">
        <v>1439124.0</v>
      </c>
      <c r="C1341" s="687" t="s">
        <v>7750</v>
      </c>
      <c r="D1341" s="125"/>
    </row>
    <row r="1342">
      <c r="A1342" s="122" t="s">
        <v>6085</v>
      </c>
      <c r="B1342" s="123">
        <v>1891101.0</v>
      </c>
      <c r="C1342" s="687" t="s">
        <v>6086</v>
      </c>
      <c r="D1342" s="125"/>
    </row>
    <row r="1343">
      <c r="A1343" s="122" t="s">
        <v>13275</v>
      </c>
      <c r="B1343" s="123">
        <v>1101215.0</v>
      </c>
      <c r="C1343" s="687" t="s">
        <v>13276</v>
      </c>
      <c r="D1343" s="125"/>
    </row>
    <row r="1344">
      <c r="A1344" s="122" t="s">
        <v>9247</v>
      </c>
      <c r="B1344" s="123">
        <v>1610940.0</v>
      </c>
      <c r="C1344" s="687" t="s">
        <v>9248</v>
      </c>
      <c r="D1344" s="125"/>
    </row>
    <row r="1345">
      <c r="A1345" s="122" t="s">
        <v>2283</v>
      </c>
      <c r="B1345" s="123">
        <v>1817640.0</v>
      </c>
      <c r="C1345" s="687" t="s">
        <v>2284</v>
      </c>
      <c r="D1345" s="125"/>
    </row>
    <row r="1346">
      <c r="A1346" s="122" t="s">
        <v>9505</v>
      </c>
      <c r="B1346" s="123">
        <v>1817640.0</v>
      </c>
      <c r="C1346" s="687" t="s">
        <v>9506</v>
      </c>
      <c r="D1346" s="125"/>
    </row>
    <row r="1347">
      <c r="A1347" s="122" t="s">
        <v>6052</v>
      </c>
      <c r="B1347" s="123">
        <v>1901215.0</v>
      </c>
      <c r="C1347" s="687" t="s">
        <v>6053</v>
      </c>
      <c r="D1347" s="125"/>
    </row>
    <row r="1348">
      <c r="A1348" s="122" t="s">
        <v>15214</v>
      </c>
      <c r="B1348" s="123">
        <v>1533945.0</v>
      </c>
      <c r="C1348" s="687" t="s">
        <v>15215</v>
      </c>
      <c r="D1348" s="125"/>
    </row>
    <row r="1349">
      <c r="A1349" s="122" t="s">
        <v>10940</v>
      </c>
      <c r="B1349" s="123">
        <v>1533945.0</v>
      </c>
      <c r="C1349" s="687" t="s">
        <v>10941</v>
      </c>
      <c r="D1349" s="125"/>
    </row>
    <row r="1350">
      <c r="A1350" s="122" t="s">
        <v>33494</v>
      </c>
      <c r="B1350" s="123">
        <v>1399306.0</v>
      </c>
      <c r="C1350" s="687" t="s">
        <v>33495</v>
      </c>
      <c r="D1350" s="125"/>
    </row>
    <row r="1351">
      <c r="A1351" s="122" t="s">
        <v>33496</v>
      </c>
      <c r="B1351" s="123">
        <v>1641751.0</v>
      </c>
      <c r="C1351" s="687" t="s">
        <v>33497</v>
      </c>
      <c r="D1351" s="125"/>
    </row>
    <row r="1352">
      <c r="A1352" s="122" t="s">
        <v>5439</v>
      </c>
      <c r="B1352" s="123">
        <v>1122491.0</v>
      </c>
      <c r="C1352" s="687" t="s">
        <v>5440</v>
      </c>
      <c r="D1352" s="125"/>
    </row>
    <row r="1353">
      <c r="A1353" s="122" t="s">
        <v>4715</v>
      </c>
      <c r="B1353" s="123">
        <v>1610820.0</v>
      </c>
      <c r="C1353" s="687" t="s">
        <v>4716</v>
      </c>
      <c r="D1353" s="125"/>
    </row>
    <row r="1354">
      <c r="A1354" s="122" t="s">
        <v>5992</v>
      </c>
      <c r="B1354" s="123">
        <v>1610820.0</v>
      </c>
      <c r="C1354" s="687" t="s">
        <v>5993</v>
      </c>
      <c r="D1354" s="125"/>
    </row>
    <row r="1355">
      <c r="A1355" s="122" t="s">
        <v>8240</v>
      </c>
      <c r="B1355" s="123">
        <v>1854401.0</v>
      </c>
      <c r="C1355" s="687" t="s">
        <v>8241</v>
      </c>
      <c r="D1355" s="125"/>
    </row>
    <row r="1356">
      <c r="A1356" s="122" t="s">
        <v>13130</v>
      </c>
      <c r="B1356" s="123">
        <v>1743881.0</v>
      </c>
      <c r="C1356" s="687" t="s">
        <v>13131</v>
      </c>
      <c r="D1356" s="125"/>
    </row>
    <row r="1357">
      <c r="A1357" s="122" t="s">
        <v>3512</v>
      </c>
      <c r="B1357" s="123">
        <v>1378590.0</v>
      </c>
      <c r="C1357" s="687" t="s">
        <v>3513</v>
      </c>
      <c r="D1357" s="125"/>
    </row>
    <row r="1358">
      <c r="A1358" s="122" t="s">
        <v>7051</v>
      </c>
      <c r="B1358" s="123">
        <v>1941536.0</v>
      </c>
      <c r="C1358" s="687" t="s">
        <v>7052</v>
      </c>
      <c r="D1358" s="125"/>
    </row>
    <row r="1359">
      <c r="A1359" s="122" t="s">
        <v>11406</v>
      </c>
      <c r="B1359" s="123">
        <v>1341317.0</v>
      </c>
      <c r="C1359" s="687" t="s">
        <v>11407</v>
      </c>
      <c r="D1359" s="125"/>
    </row>
    <row r="1360">
      <c r="A1360" s="122" t="s">
        <v>9572</v>
      </c>
      <c r="B1360" s="123">
        <v>1341317.0</v>
      </c>
      <c r="C1360" s="687" t="s">
        <v>9573</v>
      </c>
      <c r="D1360" s="125"/>
    </row>
    <row r="1361">
      <c r="A1361" s="122" t="s">
        <v>8922</v>
      </c>
      <c r="B1361" s="123">
        <v>14177.0</v>
      </c>
      <c r="C1361" s="687" t="s">
        <v>8923</v>
      </c>
      <c r="D1361" s="125"/>
    </row>
    <row r="1362">
      <c r="A1362" s="122" t="s">
        <v>553</v>
      </c>
      <c r="B1362" s="123">
        <v>1442626.0</v>
      </c>
      <c r="C1362" s="687" t="s">
        <v>554</v>
      </c>
      <c r="D1362" s="125"/>
    </row>
    <row r="1363">
      <c r="A1363" s="122" t="s">
        <v>2369</v>
      </c>
      <c r="B1363" s="123">
        <v>1886799.0</v>
      </c>
      <c r="C1363" s="687" t="s">
        <v>2370</v>
      </c>
      <c r="D1363" s="125"/>
    </row>
    <row r="1364">
      <c r="A1364" s="122" t="s">
        <v>15387</v>
      </c>
      <c r="B1364" s="123">
        <v>1437578.0</v>
      </c>
      <c r="C1364" s="687" t="s">
        <v>15388</v>
      </c>
      <c r="D1364" s="125"/>
    </row>
    <row r="1365">
      <c r="A1365" s="122" t="s">
        <v>4910</v>
      </c>
      <c r="B1365" s="123">
        <v>1827401.0</v>
      </c>
      <c r="C1365" s="687" t="s">
        <v>4911</v>
      </c>
      <c r="D1365" s="125"/>
    </row>
    <row r="1366">
      <c r="A1366" s="122" t="s">
        <v>1886</v>
      </c>
      <c r="B1366" s="123">
        <v>1568385.0</v>
      </c>
      <c r="C1366" s="687" t="s">
        <v>1887</v>
      </c>
      <c r="D1366" s="125"/>
    </row>
    <row r="1367">
      <c r="A1367" s="122" t="s">
        <v>4361</v>
      </c>
      <c r="B1367" s="123">
        <v>1696355.0</v>
      </c>
      <c r="C1367" s="687" t="s">
        <v>4362</v>
      </c>
      <c r="D1367" s="125"/>
    </row>
    <row r="1368">
      <c r="A1368" s="122" t="s">
        <v>5029</v>
      </c>
      <c r="B1368" s="123">
        <v>1313275.0</v>
      </c>
      <c r="C1368" s="687" t="s">
        <v>5030</v>
      </c>
      <c r="D1368" s="125"/>
    </row>
    <row r="1369">
      <c r="A1369" s="122" t="s">
        <v>12326</v>
      </c>
      <c r="B1369" s="123">
        <v>1685040.0</v>
      </c>
      <c r="C1369" s="687" t="s">
        <v>12327</v>
      </c>
      <c r="D1369" s="125"/>
    </row>
    <row r="1370">
      <c r="A1370" s="122" t="s">
        <v>12228</v>
      </c>
      <c r="B1370" s="123">
        <v>1685040.0</v>
      </c>
      <c r="C1370" s="687" t="s">
        <v>12229</v>
      </c>
      <c r="D1370" s="125"/>
    </row>
    <row r="1371">
      <c r="A1371" s="122" t="s">
        <v>11496</v>
      </c>
      <c r="B1371" s="123">
        <v>1685040.0</v>
      </c>
      <c r="C1371" s="687" t="s">
        <v>11497</v>
      </c>
      <c r="D1371" s="125"/>
    </row>
    <row r="1372">
      <c r="A1372" s="122" t="s">
        <v>10772</v>
      </c>
      <c r="B1372" s="123">
        <v>1685040.0</v>
      </c>
      <c r="C1372" s="687" t="s">
        <v>10773</v>
      </c>
      <c r="D1372" s="125"/>
    </row>
    <row r="1373">
      <c r="A1373" s="122" t="s">
        <v>14127</v>
      </c>
      <c r="B1373" s="123">
        <v>1685040.0</v>
      </c>
      <c r="C1373" s="687" t="s">
        <v>14128</v>
      </c>
      <c r="D1373" s="125"/>
    </row>
    <row r="1374">
      <c r="A1374" s="122" t="s">
        <v>11641</v>
      </c>
      <c r="B1374" s="123">
        <v>1748824.0</v>
      </c>
      <c r="C1374" s="687" t="s">
        <v>11642</v>
      </c>
      <c r="D1374" s="125"/>
    </row>
    <row r="1375">
      <c r="A1375" s="122" t="s">
        <v>7349</v>
      </c>
      <c r="B1375" s="123">
        <v>1717547.0</v>
      </c>
      <c r="C1375" s="687" t="s">
        <v>7350</v>
      </c>
      <c r="D1375" s="125"/>
    </row>
    <row r="1376">
      <c r="A1376" s="122" t="s">
        <v>7906</v>
      </c>
      <c r="B1376" s="123">
        <v>1734713.0</v>
      </c>
      <c r="C1376" s="687" t="s">
        <v>7907</v>
      </c>
      <c r="D1376" s="125"/>
    </row>
    <row r="1377">
      <c r="A1377" s="122" t="s">
        <v>5679</v>
      </c>
      <c r="B1377" s="123">
        <v>1866757.0</v>
      </c>
      <c r="C1377" s="687" t="s">
        <v>5680</v>
      </c>
      <c r="D1377" s="125"/>
    </row>
    <row r="1378">
      <c r="A1378" s="122" t="s">
        <v>9309</v>
      </c>
      <c r="B1378" s="123">
        <v>1681769.0</v>
      </c>
      <c r="C1378" s="687" t="s">
        <v>9310</v>
      </c>
      <c r="D1378" s="125"/>
    </row>
    <row r="1379">
      <c r="A1379" s="122" t="s">
        <v>13863</v>
      </c>
      <c r="B1379" s="123">
        <v>703351.0</v>
      </c>
      <c r="C1379" s="687" t="s">
        <v>13864</v>
      </c>
      <c r="D1379" s="125"/>
    </row>
    <row r="1380">
      <c r="A1380" s="122" t="s">
        <v>15012</v>
      </c>
      <c r="B1380" s="123">
        <v>78890.0</v>
      </c>
      <c r="C1380" s="687" t="s">
        <v>15013</v>
      </c>
      <c r="D1380" s="125"/>
    </row>
    <row r="1381">
      <c r="A1381" s="122" t="s">
        <v>14025</v>
      </c>
      <c r="B1381" s="123">
        <v>14272.0</v>
      </c>
      <c r="C1381" s="687" t="s">
        <v>14026</v>
      </c>
      <c r="D1381" s="125"/>
    </row>
    <row r="1382">
      <c r="A1382" s="122" t="s">
        <v>16663</v>
      </c>
      <c r="B1382" s="123">
        <v>14272.0</v>
      </c>
      <c r="C1382" s="687" t="s">
        <v>16664</v>
      </c>
      <c r="D1382" s="125"/>
    </row>
    <row r="1383">
      <c r="A1383" s="122" t="s">
        <v>12437</v>
      </c>
      <c r="B1383" s="123">
        <v>1525221.0</v>
      </c>
      <c r="C1383" s="687" t="s">
        <v>12438</v>
      </c>
      <c r="D1383" s="125"/>
    </row>
    <row r="1384">
      <c r="A1384" s="122" t="s">
        <v>12803</v>
      </c>
      <c r="B1384" s="123">
        <v>1303523.0</v>
      </c>
      <c r="C1384" s="687" t="s">
        <v>12804</v>
      </c>
      <c r="D1384" s="125"/>
    </row>
    <row r="1385">
      <c r="A1385" s="122" t="s">
        <v>12822</v>
      </c>
      <c r="B1385" s="123">
        <v>1303523.0</v>
      </c>
      <c r="C1385" s="687" t="s">
        <v>12823</v>
      </c>
      <c r="D1385" s="125"/>
    </row>
    <row r="1386">
      <c r="A1386" s="122" t="s">
        <v>11851</v>
      </c>
      <c r="B1386" s="123">
        <v>1581068.0</v>
      </c>
      <c r="C1386" s="687" t="s">
        <v>11852</v>
      </c>
      <c r="D1386" s="125"/>
    </row>
    <row r="1387">
      <c r="A1387" s="122" t="s">
        <v>9279</v>
      </c>
      <c r="B1387" s="123">
        <v>1865120.0</v>
      </c>
      <c r="C1387" s="687" t="s">
        <v>9280</v>
      </c>
      <c r="D1387" s="125"/>
    </row>
    <row r="1388">
      <c r="A1388" s="122" t="s">
        <v>9295</v>
      </c>
      <c r="B1388" s="123">
        <v>1865120.0</v>
      </c>
      <c r="C1388" s="687" t="s">
        <v>9296</v>
      </c>
      <c r="D1388" s="125"/>
    </row>
    <row r="1389">
      <c r="A1389" s="122" t="s">
        <v>2899</v>
      </c>
      <c r="B1389" s="123">
        <v>764897.0</v>
      </c>
      <c r="C1389" s="687" t="s">
        <v>2900</v>
      </c>
      <c r="D1389" s="125"/>
    </row>
    <row r="1390">
      <c r="A1390" s="122" t="s">
        <v>16699</v>
      </c>
      <c r="B1390" s="123">
        <v>1730168.0</v>
      </c>
      <c r="C1390" s="687" t="s">
        <v>16700</v>
      </c>
      <c r="D1390" s="125"/>
    </row>
    <row r="1391">
      <c r="A1391" s="122" t="s">
        <v>16160</v>
      </c>
      <c r="B1391" s="123">
        <v>1383312.0</v>
      </c>
      <c r="C1391" s="687" t="s">
        <v>16161</v>
      </c>
      <c r="D1391" s="125"/>
    </row>
    <row r="1392">
      <c r="A1392" s="122" t="s">
        <v>7125</v>
      </c>
      <c r="B1392" s="123">
        <v>1001171.0</v>
      </c>
      <c r="C1392" s="687" t="s">
        <v>7126</v>
      </c>
      <c r="D1392" s="125"/>
    </row>
    <row r="1393">
      <c r="A1393" s="122" t="s">
        <v>5123</v>
      </c>
      <c r="B1393" s="123">
        <v>1120370.0</v>
      </c>
      <c r="C1393" s="687" t="s">
        <v>5124</v>
      </c>
      <c r="D1393" s="125"/>
    </row>
    <row r="1394">
      <c r="A1394" s="122" t="s">
        <v>5119</v>
      </c>
      <c r="B1394" s="123">
        <v>1774983.0</v>
      </c>
      <c r="C1394" s="687" t="s">
        <v>5120</v>
      </c>
      <c r="D1394" s="125"/>
    </row>
    <row r="1395">
      <c r="A1395" s="122" t="s">
        <v>6836</v>
      </c>
      <c r="B1395" s="123">
        <v>1332349.0</v>
      </c>
      <c r="C1395" s="687" t="s">
        <v>6837</v>
      </c>
      <c r="D1395" s="125"/>
    </row>
    <row r="1396">
      <c r="A1396" s="122" t="s">
        <v>13572</v>
      </c>
      <c r="B1396" s="123">
        <v>1001085.0</v>
      </c>
      <c r="C1396" s="687" t="s">
        <v>13573</v>
      </c>
      <c r="D1396" s="125"/>
    </row>
    <row r="1397">
      <c r="A1397" s="122" t="s">
        <v>10651</v>
      </c>
      <c r="B1397" s="123">
        <v>1533232.0</v>
      </c>
      <c r="C1397" s="687" t="s">
        <v>10652</v>
      </c>
      <c r="D1397" s="125"/>
    </row>
    <row r="1398">
      <c r="A1398" s="122" t="s">
        <v>10755</v>
      </c>
      <c r="B1398" s="123">
        <v>1533232.0</v>
      </c>
      <c r="C1398" s="687" t="s">
        <v>10756</v>
      </c>
      <c r="D1398" s="125"/>
    </row>
    <row r="1399">
      <c r="A1399" s="122" t="s">
        <v>12168</v>
      </c>
      <c r="B1399" s="123">
        <v>1871130.0</v>
      </c>
      <c r="C1399" s="687" t="s">
        <v>12169</v>
      </c>
      <c r="D1399" s="125"/>
    </row>
    <row r="1400">
      <c r="A1400" s="122" t="s">
        <v>11925</v>
      </c>
      <c r="B1400" s="123">
        <v>1654795.0</v>
      </c>
      <c r="C1400" s="687" t="s">
        <v>11926</v>
      </c>
      <c r="D1400" s="125"/>
    </row>
    <row r="1401">
      <c r="A1401" s="122" t="s">
        <v>13318</v>
      </c>
      <c r="B1401" s="123">
        <v>1788348.0</v>
      </c>
      <c r="C1401" s="687" t="s">
        <v>13319</v>
      </c>
      <c r="D1401" s="125"/>
    </row>
    <row r="1402">
      <c r="A1402" s="122" t="s">
        <v>10998</v>
      </c>
      <c r="B1402" s="123">
        <v>1788348.0</v>
      </c>
      <c r="C1402" s="687" t="s">
        <v>10999</v>
      </c>
      <c r="D1402" s="125"/>
    </row>
    <row r="1403">
      <c r="A1403" s="122" t="s">
        <v>12927</v>
      </c>
      <c r="B1403" s="123">
        <v>1406234.0</v>
      </c>
      <c r="C1403" s="687" t="s">
        <v>12928</v>
      </c>
      <c r="D1403" s="125"/>
    </row>
    <row r="1404">
      <c r="A1404" s="122" t="s">
        <v>9840</v>
      </c>
      <c r="B1404" s="123">
        <v>1545772.0</v>
      </c>
      <c r="C1404" s="687" t="s">
        <v>9841</v>
      </c>
      <c r="D1404" s="125"/>
    </row>
    <row r="1405">
      <c r="A1405" s="122" t="s">
        <v>7850</v>
      </c>
      <c r="B1405" s="123">
        <v>1001085.0</v>
      </c>
      <c r="C1405" s="687" t="s">
        <v>7851</v>
      </c>
      <c r="D1405" s="125"/>
    </row>
    <row r="1406">
      <c r="A1406" s="122" t="s">
        <v>8434</v>
      </c>
      <c r="B1406" s="123">
        <v>1001085.0</v>
      </c>
      <c r="C1406" s="687" t="s">
        <v>8435</v>
      </c>
      <c r="D1406" s="125"/>
    </row>
    <row r="1407">
      <c r="A1407" s="122" t="s">
        <v>10069</v>
      </c>
      <c r="B1407" s="123">
        <v>1545772.0</v>
      </c>
      <c r="C1407" s="687" t="s">
        <v>10070</v>
      </c>
      <c r="D1407" s="125"/>
    </row>
    <row r="1408">
      <c r="A1408" s="122" t="s">
        <v>9535</v>
      </c>
      <c r="B1408" s="123">
        <v>1545772.0</v>
      </c>
      <c r="C1408" s="687" t="s">
        <v>9536</v>
      </c>
      <c r="D1408" s="125"/>
    </row>
    <row r="1409">
      <c r="A1409" s="122" t="s">
        <v>9904</v>
      </c>
      <c r="B1409" s="123">
        <v>1545772.0</v>
      </c>
      <c r="C1409" s="687" t="s">
        <v>9905</v>
      </c>
      <c r="D1409" s="125"/>
    </row>
    <row r="1410">
      <c r="A1410" s="122" t="s">
        <v>9962</v>
      </c>
      <c r="B1410" s="123">
        <v>1655099.0</v>
      </c>
      <c r="C1410" s="687" t="s">
        <v>9963</v>
      </c>
      <c r="D1410" s="125"/>
    </row>
    <row r="1411">
      <c r="A1411" s="122" t="s">
        <v>12568</v>
      </c>
      <c r="B1411" s="123">
        <v>1791863.0</v>
      </c>
      <c r="C1411" s="687" t="s">
        <v>12569</v>
      </c>
      <c r="D1411" s="125"/>
    </row>
    <row r="1412">
      <c r="A1412" s="122" t="s">
        <v>12373</v>
      </c>
      <c r="B1412" s="123">
        <v>1533232.0</v>
      </c>
      <c r="C1412" s="687" t="s">
        <v>12374</v>
      </c>
      <c r="D1412" s="125"/>
    </row>
    <row r="1413">
      <c r="A1413" s="122" t="s">
        <v>8566</v>
      </c>
      <c r="B1413" s="123">
        <v>1049782.0</v>
      </c>
      <c r="C1413" s="687" t="s">
        <v>8567</v>
      </c>
      <c r="D1413" s="125"/>
    </row>
    <row r="1414">
      <c r="A1414" s="122" t="s">
        <v>1511</v>
      </c>
      <c r="B1414" s="123">
        <v>1122993.0</v>
      </c>
      <c r="C1414" s="687" t="s">
        <v>1512</v>
      </c>
      <c r="D1414" s="125"/>
    </row>
    <row r="1415">
      <c r="A1415" s="122" t="s">
        <v>14949</v>
      </c>
      <c r="B1415" s="123">
        <v>79282.0</v>
      </c>
      <c r="C1415" s="687" t="s">
        <v>14950</v>
      </c>
      <c r="D1415" s="125"/>
    </row>
    <row r="1416">
      <c r="A1416" s="122" t="s">
        <v>653</v>
      </c>
      <c r="B1416" s="123">
        <v>1166708.0</v>
      </c>
      <c r="C1416" s="687" t="s">
        <v>654</v>
      </c>
      <c r="D1416" s="125"/>
    </row>
    <row r="1417">
      <c r="A1417" s="122" t="s">
        <v>11829</v>
      </c>
      <c r="B1417" s="123">
        <v>1781755.0</v>
      </c>
      <c r="C1417" s="687" t="s">
        <v>11830</v>
      </c>
      <c r="D1417" s="125"/>
    </row>
    <row r="1418">
      <c r="A1418" s="122" t="s">
        <v>14559</v>
      </c>
      <c r="B1418" s="123">
        <v>1748797.0</v>
      </c>
      <c r="C1418" s="687" t="s">
        <v>14560</v>
      </c>
      <c r="D1418" s="125"/>
    </row>
    <row r="1419">
      <c r="A1419" s="122" t="s">
        <v>10757</v>
      </c>
      <c r="B1419" s="123">
        <v>14846.0</v>
      </c>
      <c r="C1419" s="687" t="s">
        <v>10758</v>
      </c>
      <c r="D1419" s="125"/>
    </row>
    <row r="1420">
      <c r="A1420" s="122" t="s">
        <v>14824</v>
      </c>
      <c r="B1420" s="123">
        <v>1109354.0</v>
      </c>
      <c r="C1420" s="687" t="s">
        <v>14825</v>
      </c>
      <c r="D1420" s="125"/>
    </row>
    <row r="1421">
      <c r="A1421" s="122" t="s">
        <v>14116</v>
      </c>
      <c r="B1421" s="123">
        <v>1581285.0</v>
      </c>
      <c r="C1421" s="687" t="s">
        <v>14117</v>
      </c>
      <c r="D1421" s="125"/>
    </row>
    <row r="1422">
      <c r="A1422" s="122" t="s">
        <v>15244</v>
      </c>
      <c r="B1422" s="123">
        <v>1581285.0</v>
      </c>
      <c r="C1422" s="687" t="s">
        <v>15245</v>
      </c>
      <c r="D1422" s="125"/>
    </row>
    <row r="1423">
      <c r="A1423" s="122" t="s">
        <v>15124</v>
      </c>
      <c r="B1423" s="123">
        <v>14930.0</v>
      </c>
      <c r="C1423" s="687" t="s">
        <v>15125</v>
      </c>
      <c r="D1423" s="125"/>
    </row>
    <row r="1424">
      <c r="A1424" s="122" t="s">
        <v>575</v>
      </c>
      <c r="B1424" s="123">
        <v>1913210.0</v>
      </c>
      <c r="C1424" s="687" t="s">
        <v>576</v>
      </c>
      <c r="D1424" s="125"/>
    </row>
    <row r="1425">
      <c r="A1425" s="122" t="s">
        <v>1862</v>
      </c>
      <c r="B1425" s="123">
        <v>1913210.0</v>
      </c>
      <c r="C1425" s="687" t="s">
        <v>1863</v>
      </c>
      <c r="D1425" s="125"/>
    </row>
    <row r="1426">
      <c r="A1426" s="122" t="s">
        <v>4872</v>
      </c>
      <c r="B1426" s="123">
        <v>1718224.0</v>
      </c>
      <c r="C1426" s="687" t="s">
        <v>4873</v>
      </c>
      <c r="D1426" s="125"/>
    </row>
    <row r="1427">
      <c r="A1427" s="122" t="s">
        <v>4345</v>
      </c>
      <c r="B1427" s="123">
        <v>756620.0</v>
      </c>
      <c r="C1427" s="687" t="s">
        <v>4346</v>
      </c>
      <c r="D1427" s="125"/>
    </row>
    <row r="1428">
      <c r="A1428" s="122" t="s">
        <v>4511</v>
      </c>
      <c r="B1428" s="123">
        <v>1436229.0</v>
      </c>
      <c r="C1428" s="687" t="s">
        <v>4512</v>
      </c>
      <c r="D1428" s="125"/>
    </row>
    <row r="1429">
      <c r="A1429" s="122" t="s">
        <v>16726</v>
      </c>
      <c r="B1429" s="123">
        <v>748592.0</v>
      </c>
      <c r="C1429" s="687" t="s">
        <v>16727</v>
      </c>
      <c r="D1429" s="125"/>
    </row>
    <row r="1430">
      <c r="A1430" s="122" t="s">
        <v>1349</v>
      </c>
      <c r="B1430" s="123">
        <v>1873722.0</v>
      </c>
      <c r="C1430" s="687" t="s">
        <v>1350</v>
      </c>
      <c r="D1430" s="125"/>
    </row>
    <row r="1431">
      <c r="A1431" s="122" t="s">
        <v>13457</v>
      </c>
      <c r="B1431" s="123">
        <v>885245.0</v>
      </c>
      <c r="C1431" s="687" t="s">
        <v>13458</v>
      </c>
      <c r="D1431" s="125"/>
    </row>
    <row r="1432">
      <c r="A1432" s="122" t="s">
        <v>11907</v>
      </c>
      <c r="B1432" s="123">
        <v>1113809.0</v>
      </c>
      <c r="C1432" s="687" t="s">
        <v>11908</v>
      </c>
      <c r="D1432" s="125"/>
    </row>
    <row r="1433">
      <c r="A1433" s="122" t="s">
        <v>16065</v>
      </c>
      <c r="B1433" s="123">
        <v>1316835.0</v>
      </c>
      <c r="C1433" s="687" t="s">
        <v>16066</v>
      </c>
      <c r="D1433" s="125"/>
    </row>
    <row r="1434">
      <c r="A1434" s="122" t="s">
        <v>10111</v>
      </c>
      <c r="B1434" s="123">
        <v>1830043.0</v>
      </c>
      <c r="C1434" s="687" t="s">
        <v>10112</v>
      </c>
      <c r="D1434" s="125"/>
    </row>
    <row r="1435">
      <c r="A1435" s="122" t="s">
        <v>15222</v>
      </c>
      <c r="B1435" s="123">
        <v>1144519.0</v>
      </c>
      <c r="C1435" s="687" t="s">
        <v>15223</v>
      </c>
      <c r="D1435" s="125"/>
    </row>
    <row r="1436">
      <c r="A1436" s="122" t="s">
        <v>1626</v>
      </c>
      <c r="B1436" s="123">
        <v>1407583.0</v>
      </c>
      <c r="C1436" s="687" t="s">
        <v>1627</v>
      </c>
      <c r="D1436" s="125"/>
    </row>
    <row r="1437">
      <c r="A1437" s="122" t="s">
        <v>2035</v>
      </c>
      <c r="B1437" s="123">
        <v>1158399.0</v>
      </c>
      <c r="C1437" s="687" t="s">
        <v>2036</v>
      </c>
      <c r="D1437" s="125"/>
    </row>
    <row r="1438">
      <c r="A1438" s="122" t="s">
        <v>10391</v>
      </c>
      <c r="B1438" s="123">
        <v>1714174.0</v>
      </c>
      <c r="C1438" s="687" t="s">
        <v>10392</v>
      </c>
      <c r="D1438" s="125"/>
    </row>
    <row r="1439">
      <c r="A1439" s="122" t="s">
        <v>1984</v>
      </c>
      <c r="B1439" s="123">
        <v>1718224.0</v>
      </c>
      <c r="C1439" s="687" t="s">
        <v>1985</v>
      </c>
      <c r="D1439" s="125"/>
    </row>
    <row r="1440">
      <c r="A1440" s="122" t="s">
        <v>3279</v>
      </c>
      <c r="B1440" s="123">
        <v>1723580.0</v>
      </c>
      <c r="C1440" s="687" t="s">
        <v>3280</v>
      </c>
      <c r="D1440" s="125"/>
    </row>
    <row r="1441">
      <c r="A1441" s="122" t="s">
        <v>1293</v>
      </c>
      <c r="B1441" s="123">
        <v>1723580.0</v>
      </c>
      <c r="C1441" s="687" t="s">
        <v>1294</v>
      </c>
      <c r="D1441" s="125"/>
    </row>
    <row r="1442">
      <c r="A1442" s="122" t="s">
        <v>16145</v>
      </c>
      <c r="B1442" s="123">
        <v>1579298.0</v>
      </c>
      <c r="C1442" s="687" t="s">
        <v>16146</v>
      </c>
      <c r="D1442" s="125"/>
    </row>
    <row r="1443">
      <c r="A1443" s="122" t="s">
        <v>3600</v>
      </c>
      <c r="B1443" s="123">
        <v>1792267.0</v>
      </c>
      <c r="C1443" s="687" t="s">
        <v>3601</v>
      </c>
      <c r="D1443" s="125"/>
    </row>
    <row r="1444">
      <c r="A1444" s="122" t="s">
        <v>1950</v>
      </c>
      <c r="B1444" s="123">
        <v>1871638.0</v>
      </c>
      <c r="C1444" s="687" t="s">
        <v>1951</v>
      </c>
      <c r="D1444" s="125"/>
    </row>
    <row r="1445">
      <c r="A1445" s="122" t="s">
        <v>8857</v>
      </c>
      <c r="B1445" s="123">
        <v>1871638.0</v>
      </c>
      <c r="C1445" s="687" t="s">
        <v>8858</v>
      </c>
      <c r="D1445" s="125"/>
    </row>
    <row r="1446">
      <c r="A1446" s="122" t="s">
        <v>8686</v>
      </c>
      <c r="B1446" s="123">
        <v>1871638.0</v>
      </c>
      <c r="C1446" s="687" t="s">
        <v>8687</v>
      </c>
      <c r="D1446" s="125"/>
    </row>
    <row r="1447">
      <c r="A1447" s="122" t="s">
        <v>1100</v>
      </c>
      <c r="B1447" s="123">
        <v>724445.0</v>
      </c>
      <c r="C1447" s="687" t="s">
        <v>1101</v>
      </c>
      <c r="D1447" s="125"/>
    </row>
    <row r="1448">
      <c r="A1448" s="122" t="s">
        <v>11796</v>
      </c>
      <c r="B1448" s="123">
        <v>1624322.0</v>
      </c>
      <c r="C1448" s="687" t="s">
        <v>11797</v>
      </c>
      <c r="D1448" s="125"/>
    </row>
    <row r="1449">
      <c r="A1449" s="122" t="s">
        <v>33498</v>
      </c>
      <c r="B1449" s="123">
        <v>1830503.0</v>
      </c>
      <c r="C1449" s="687" t="s">
        <v>33499</v>
      </c>
      <c r="D1449" s="125"/>
    </row>
    <row r="1450">
      <c r="A1450" s="122" t="s">
        <v>3462</v>
      </c>
      <c r="B1450" s="123">
        <v>15847.0</v>
      </c>
      <c r="C1450" s="687" t="s">
        <v>3463</v>
      </c>
      <c r="D1450" s="125"/>
    </row>
    <row r="1451">
      <c r="A1451" s="122" t="s">
        <v>1695</v>
      </c>
      <c r="B1451" s="123">
        <v>946454.0</v>
      </c>
      <c r="C1451" s="687" t="s">
        <v>1696</v>
      </c>
      <c r="D1451" s="125"/>
    </row>
    <row r="1452">
      <c r="A1452" s="122" t="s">
        <v>3640</v>
      </c>
      <c r="B1452" s="123">
        <v>1804176.0</v>
      </c>
      <c r="C1452" s="687" t="s">
        <v>3641</v>
      </c>
      <c r="D1452" s="125"/>
    </row>
    <row r="1453">
      <c r="A1453" s="122" t="s">
        <v>1351</v>
      </c>
      <c r="B1453" s="123">
        <v>1828972.0</v>
      </c>
      <c r="C1453" s="687" t="s">
        <v>1352</v>
      </c>
      <c r="D1453" s="125"/>
    </row>
    <row r="1454">
      <c r="A1454" s="122" t="s">
        <v>2243</v>
      </c>
      <c r="B1454" s="123">
        <v>1828972.0</v>
      </c>
      <c r="C1454" s="687" t="s">
        <v>2244</v>
      </c>
      <c r="D1454" s="125"/>
    </row>
    <row r="1455">
      <c r="A1455" s="122" t="s">
        <v>10854</v>
      </c>
      <c r="B1455" s="123">
        <v>1437774.0</v>
      </c>
      <c r="C1455" s="687" t="s">
        <v>10855</v>
      </c>
      <c r="D1455" s="125"/>
    </row>
    <row r="1456">
      <c r="A1456" s="122" t="s">
        <v>10073</v>
      </c>
      <c r="B1456" s="123">
        <v>1302387.0</v>
      </c>
      <c r="C1456" s="687" t="s">
        <v>10074</v>
      </c>
      <c r="D1456" s="125"/>
    </row>
    <row r="1457">
      <c r="A1457" s="122" t="s">
        <v>15077</v>
      </c>
      <c r="B1457" s="123">
        <v>1486957.0</v>
      </c>
      <c r="C1457" s="687" t="s">
        <v>15078</v>
      </c>
      <c r="D1457" s="125"/>
    </row>
    <row r="1458">
      <c r="A1458" s="122" t="s">
        <v>11619</v>
      </c>
      <c r="B1458" s="123">
        <v>1702750.0</v>
      </c>
      <c r="C1458" s="687" t="s">
        <v>11620</v>
      </c>
      <c r="D1458" s="125"/>
    </row>
    <row r="1459">
      <c r="A1459" s="122" t="s">
        <v>2536</v>
      </c>
      <c r="B1459" s="123">
        <v>1668082.0</v>
      </c>
      <c r="C1459" s="687" t="s">
        <v>2537</v>
      </c>
      <c r="D1459" s="125"/>
    </row>
    <row r="1460">
      <c r="A1460" s="122" t="s">
        <v>2277</v>
      </c>
      <c r="B1460" s="123">
        <v>1888151.0</v>
      </c>
      <c r="C1460" s="687" t="s">
        <v>2278</v>
      </c>
      <c r="D1460" s="125"/>
    </row>
    <row r="1461">
      <c r="A1461" s="122" t="s">
        <v>8998</v>
      </c>
      <c r="B1461" s="123">
        <v>1801417.0</v>
      </c>
      <c r="C1461" s="687" t="s">
        <v>8999</v>
      </c>
      <c r="D1461" s="125"/>
    </row>
    <row r="1462">
      <c r="A1462" s="122" t="s">
        <v>9122</v>
      </c>
      <c r="B1462" s="123">
        <v>1801417.0</v>
      </c>
      <c r="C1462" s="687" t="s">
        <v>1456</v>
      </c>
      <c r="D1462" s="125"/>
    </row>
    <row r="1463">
      <c r="A1463" s="122" t="s">
        <v>1455</v>
      </c>
      <c r="B1463" s="123">
        <v>1801417.0</v>
      </c>
      <c r="C1463" s="687" t="s">
        <v>1456</v>
      </c>
      <c r="D1463" s="125"/>
    </row>
    <row r="1464">
      <c r="A1464" s="122" t="s">
        <v>7795</v>
      </c>
      <c r="B1464" s="123">
        <v>1354866.0</v>
      </c>
      <c r="C1464" s="687" t="s">
        <v>7796</v>
      </c>
      <c r="D1464" s="125"/>
    </row>
    <row r="1465">
      <c r="A1465" s="122" t="s">
        <v>569</v>
      </c>
      <c r="B1465" s="123">
        <v>1421636.0</v>
      </c>
      <c r="C1465" s="687" t="s">
        <v>570</v>
      </c>
      <c r="D1465" s="125"/>
    </row>
    <row r="1466">
      <c r="A1466" s="122" t="s">
        <v>14297</v>
      </c>
      <c r="B1466" s="123">
        <v>913341.0</v>
      </c>
      <c r="C1466" s="687" t="s">
        <v>14298</v>
      </c>
      <c r="D1466" s="125"/>
    </row>
    <row r="1467">
      <c r="A1467" s="122" t="s">
        <v>1347</v>
      </c>
      <c r="B1467" s="123">
        <v>1882781.0</v>
      </c>
      <c r="C1467" s="687" t="s">
        <v>1348</v>
      </c>
      <c r="D1467" s="125"/>
    </row>
    <row r="1468">
      <c r="A1468" s="122" t="s">
        <v>2864</v>
      </c>
      <c r="B1468" s="123">
        <v>831609.0</v>
      </c>
      <c r="C1468" s="687" t="s">
        <v>2865</v>
      </c>
      <c r="D1468" s="125"/>
    </row>
    <row r="1469">
      <c r="A1469" s="122" t="s">
        <v>33500</v>
      </c>
      <c r="B1469" s="123">
        <v>1160798.0</v>
      </c>
      <c r="C1469" s="687" t="s">
        <v>33501</v>
      </c>
      <c r="D1469" s="125"/>
    </row>
    <row r="1470">
      <c r="A1470" s="122" t="s">
        <v>6742</v>
      </c>
      <c r="B1470" s="123">
        <v>1662579.0</v>
      </c>
      <c r="C1470" s="687" t="s">
        <v>6743</v>
      </c>
      <c r="D1470" s="125"/>
    </row>
    <row r="1471">
      <c r="A1471" s="122" t="s">
        <v>11767</v>
      </c>
      <c r="B1471" s="123">
        <v>1759138.0</v>
      </c>
      <c r="C1471" s="687" t="s">
        <v>11768</v>
      </c>
      <c r="D1471" s="125"/>
    </row>
    <row r="1472">
      <c r="A1472" s="122" t="s">
        <v>16607</v>
      </c>
      <c r="B1472" s="123">
        <v>1632127.0</v>
      </c>
      <c r="C1472" s="687" t="s">
        <v>16608</v>
      </c>
      <c r="D1472" s="125"/>
    </row>
    <row r="1473">
      <c r="A1473" s="122" t="s">
        <v>14832</v>
      </c>
      <c r="B1473" s="123">
        <v>16040.0</v>
      </c>
      <c r="C1473" s="687" t="s">
        <v>14833</v>
      </c>
      <c r="D1473" s="125"/>
    </row>
    <row r="1474">
      <c r="A1474" s="122" t="s">
        <v>16469</v>
      </c>
      <c r="B1474" s="123">
        <v>16058.0</v>
      </c>
      <c r="C1474" s="687" t="s">
        <v>16470</v>
      </c>
      <c r="D1474" s="125"/>
    </row>
    <row r="1475">
      <c r="A1475" s="122" t="s">
        <v>8990</v>
      </c>
      <c r="B1475" s="123">
        <v>1865861.0</v>
      </c>
      <c r="C1475" s="687" t="s">
        <v>8991</v>
      </c>
      <c r="D1475" s="125"/>
    </row>
    <row r="1476">
      <c r="A1476" s="122" t="s">
        <v>1311</v>
      </c>
      <c r="B1476" s="123">
        <v>1865861.0</v>
      </c>
      <c r="C1476" s="687" t="s">
        <v>1312</v>
      </c>
      <c r="D1476" s="125"/>
    </row>
    <row r="1477">
      <c r="A1477" s="122" t="s">
        <v>9146</v>
      </c>
      <c r="B1477" s="123">
        <v>1865861.0</v>
      </c>
      <c r="C1477" s="687" t="s">
        <v>9147</v>
      </c>
      <c r="D1477" s="125"/>
    </row>
    <row r="1478">
      <c r="A1478" s="122" t="s">
        <v>13661</v>
      </c>
      <c r="B1478" s="123">
        <v>1699136.0</v>
      </c>
      <c r="C1478" s="687" t="s">
        <v>13662</v>
      </c>
      <c r="D1478" s="125"/>
    </row>
    <row r="1479">
      <c r="A1479" s="122" t="s">
        <v>12469</v>
      </c>
      <c r="B1479" s="123">
        <v>1299939.0</v>
      </c>
      <c r="C1479" s="687" t="s">
        <v>12470</v>
      </c>
      <c r="D1479" s="125"/>
    </row>
    <row r="1480">
      <c r="A1480" s="122" t="s">
        <v>16415</v>
      </c>
      <c r="B1480" s="123">
        <v>813672.0</v>
      </c>
      <c r="C1480" s="687" t="s">
        <v>16416</v>
      </c>
      <c r="D1480" s="125"/>
    </row>
    <row r="1481">
      <c r="A1481" s="122" t="s">
        <v>5334</v>
      </c>
      <c r="B1481" s="123">
        <v>727273.0</v>
      </c>
      <c r="C1481" s="687" t="s">
        <v>5335</v>
      </c>
      <c r="D1481" s="125"/>
    </row>
    <row r="1482">
      <c r="A1482" s="122" t="s">
        <v>13215</v>
      </c>
      <c r="B1482" s="123">
        <v>1860543.0</v>
      </c>
      <c r="C1482" s="687" t="s">
        <v>13216</v>
      </c>
      <c r="D1482" s="125"/>
    </row>
    <row r="1483">
      <c r="A1483" s="122" t="s">
        <v>11351</v>
      </c>
      <c r="B1483" s="123">
        <v>1173382.0</v>
      </c>
      <c r="C1483" s="687" t="s">
        <v>11352</v>
      </c>
      <c r="D1483" s="125"/>
    </row>
    <row r="1484">
      <c r="A1484" s="122" t="s">
        <v>13770</v>
      </c>
      <c r="B1484" s="123">
        <v>1590895.0</v>
      </c>
      <c r="C1484" s="687" t="s">
        <v>13771</v>
      </c>
      <c r="D1484" s="125"/>
    </row>
    <row r="1485">
      <c r="A1485" s="122" t="s">
        <v>6000</v>
      </c>
      <c r="B1485" s="123">
        <v>1504379.0</v>
      </c>
      <c r="C1485" s="687" t="s">
        <v>6001</v>
      </c>
      <c r="D1485" s="125"/>
    </row>
    <row r="1486">
      <c r="A1486" s="122" t="s">
        <v>6347</v>
      </c>
      <c r="B1486" s="123">
        <v>1535628.0</v>
      </c>
      <c r="C1486" s="687" t="s">
        <v>6348</v>
      </c>
      <c r="D1486" s="125"/>
    </row>
    <row r="1487">
      <c r="A1487" s="122" t="s">
        <v>4243</v>
      </c>
      <c r="B1487" s="123">
        <v>1535628.0</v>
      </c>
      <c r="C1487" s="687" t="s">
        <v>4244</v>
      </c>
      <c r="D1487" s="125"/>
    </row>
    <row r="1488">
      <c r="A1488" s="122" t="s">
        <v>14338</v>
      </c>
      <c r="B1488" s="123">
        <v>16160.0</v>
      </c>
      <c r="C1488" s="687" t="s">
        <v>14339</v>
      </c>
      <c r="D1488" s="125"/>
    </row>
    <row r="1489">
      <c r="A1489" s="122" t="s">
        <v>8840</v>
      </c>
      <c r="B1489" s="123">
        <v>1171471.0</v>
      </c>
      <c r="C1489" s="687" t="s">
        <v>8841</v>
      </c>
      <c r="D1489" s="125"/>
    </row>
    <row r="1490">
      <c r="A1490" s="122" t="s">
        <v>9482</v>
      </c>
      <c r="B1490" s="123">
        <v>1222719.0</v>
      </c>
      <c r="C1490" s="687" t="s">
        <v>9483</v>
      </c>
      <c r="D1490" s="125"/>
    </row>
    <row r="1491">
      <c r="A1491" s="122" t="s">
        <v>11551</v>
      </c>
      <c r="B1491" s="123">
        <v>1602584.0</v>
      </c>
      <c r="C1491" s="687" t="s">
        <v>11552</v>
      </c>
      <c r="D1491" s="125"/>
    </row>
    <row r="1492">
      <c r="A1492" s="122" t="s">
        <v>7000</v>
      </c>
      <c r="B1492" s="123">
        <v>1396277.0</v>
      </c>
      <c r="C1492" s="687" t="s">
        <v>7001</v>
      </c>
      <c r="D1492" s="125"/>
    </row>
    <row r="1493">
      <c r="A1493" s="122" t="s">
        <v>8142</v>
      </c>
      <c r="B1493" s="123">
        <v>1285650.0</v>
      </c>
      <c r="C1493" s="687" t="s">
        <v>8143</v>
      </c>
      <c r="D1493" s="125"/>
    </row>
    <row r="1494">
      <c r="A1494" s="122" t="s">
        <v>10570</v>
      </c>
      <c r="B1494" s="123">
        <v>1275214.0</v>
      </c>
      <c r="C1494" s="687" t="s">
        <v>10571</v>
      </c>
      <c r="D1494" s="125"/>
    </row>
    <row r="1495">
      <c r="A1495" s="122" t="s">
        <v>5584</v>
      </c>
      <c r="B1495" s="123">
        <v>730255.0</v>
      </c>
      <c r="C1495" s="687" t="s">
        <v>5585</v>
      </c>
      <c r="D1495" s="125"/>
    </row>
    <row r="1496">
      <c r="A1496" s="122" t="s">
        <v>12584</v>
      </c>
      <c r="B1496" s="123">
        <v>1133470.0</v>
      </c>
      <c r="C1496" s="687" t="s">
        <v>12585</v>
      </c>
      <c r="D1496" s="125"/>
    </row>
    <row r="1497">
      <c r="A1497" s="122" t="s">
        <v>8607</v>
      </c>
      <c r="B1497" s="123">
        <v>766011.0</v>
      </c>
      <c r="C1497" s="687" t="s">
        <v>8608</v>
      </c>
      <c r="D1497" s="125"/>
    </row>
    <row r="1498">
      <c r="A1498" s="122" t="s">
        <v>12973</v>
      </c>
      <c r="B1498" s="123">
        <v>14707.0</v>
      </c>
      <c r="C1498" s="687" t="s">
        <v>12974</v>
      </c>
      <c r="D1498" s="125"/>
    </row>
    <row r="1499">
      <c r="A1499" s="122" t="s">
        <v>5816</v>
      </c>
      <c r="B1499" s="123">
        <v>1174891.0</v>
      </c>
      <c r="C1499" s="687" t="s">
        <v>5817</v>
      </c>
      <c r="D1499" s="125"/>
    </row>
    <row r="1500">
      <c r="A1500" s="122" t="s">
        <v>12252</v>
      </c>
      <c r="B1500" s="123">
        <v>1752036.0</v>
      </c>
      <c r="C1500" s="687" t="s">
        <v>12253</v>
      </c>
      <c r="D1500" s="125"/>
    </row>
    <row r="1501">
      <c r="A1501" s="122" t="s">
        <v>10990</v>
      </c>
      <c r="B1501" s="123">
        <v>803016.0</v>
      </c>
      <c r="C1501" s="687" t="s">
        <v>10991</v>
      </c>
      <c r="D1501" s="125"/>
    </row>
    <row r="1502">
      <c r="A1502" s="122" t="s">
        <v>13945</v>
      </c>
      <c r="B1502" s="123">
        <v>1609253.0</v>
      </c>
      <c r="C1502" s="687" t="s">
        <v>13946</v>
      </c>
      <c r="D1502" s="125"/>
    </row>
    <row r="1503">
      <c r="A1503" s="122" t="s">
        <v>9632</v>
      </c>
      <c r="B1503" s="123">
        <v>1609253.0</v>
      </c>
      <c r="C1503" s="687" t="s">
        <v>9633</v>
      </c>
      <c r="D1503" s="125"/>
    </row>
    <row r="1504">
      <c r="A1504" s="122" t="s">
        <v>13879</v>
      </c>
      <c r="B1504" s="123">
        <v>1035201.0</v>
      </c>
      <c r="C1504" s="687" t="s">
        <v>13880</v>
      </c>
      <c r="D1504" s="125"/>
    </row>
    <row r="1505">
      <c r="A1505" s="122" t="s">
        <v>1039</v>
      </c>
      <c r="B1505" s="123">
        <v>1496671.0</v>
      </c>
      <c r="C1505" s="687" t="s">
        <v>1040</v>
      </c>
      <c r="D1505" s="125"/>
    </row>
    <row r="1506">
      <c r="A1506" s="122" t="s">
        <v>13211</v>
      </c>
      <c r="B1506" s="123">
        <v>1406666.0</v>
      </c>
      <c r="C1506" s="687" t="s">
        <v>13212</v>
      </c>
      <c r="D1506" s="125"/>
    </row>
    <row r="1507">
      <c r="A1507" s="122" t="s">
        <v>11584</v>
      </c>
      <c r="B1507" s="123">
        <v>1795579.0</v>
      </c>
      <c r="C1507" s="687" t="s">
        <v>11585</v>
      </c>
      <c r="D1507" s="125"/>
    </row>
    <row r="1508">
      <c r="A1508" s="122" t="s">
        <v>12921</v>
      </c>
      <c r="B1508" s="123">
        <v>928022.0</v>
      </c>
      <c r="C1508" s="687" t="s">
        <v>12922</v>
      </c>
      <c r="D1508" s="125"/>
    </row>
    <row r="1509">
      <c r="A1509" s="122" t="s">
        <v>10545</v>
      </c>
      <c r="B1509" s="123">
        <v>1340122.0</v>
      </c>
      <c r="C1509" s="687" t="s">
        <v>10546</v>
      </c>
      <c r="D1509" s="125"/>
    </row>
    <row r="1510">
      <c r="A1510" s="122" t="s">
        <v>5942</v>
      </c>
      <c r="B1510" s="123">
        <v>1678848.0</v>
      </c>
      <c r="C1510" s="687" t="s">
        <v>5943</v>
      </c>
      <c r="D1510" s="125"/>
    </row>
    <row r="1511">
      <c r="A1511" s="122" t="s">
        <v>2165</v>
      </c>
      <c r="B1511" s="123">
        <v>1309082.0</v>
      </c>
      <c r="C1511" s="687" t="s">
        <v>2166</v>
      </c>
      <c r="D1511" s="125"/>
    </row>
    <row r="1512">
      <c r="A1512" s="122" t="s">
        <v>6223</v>
      </c>
      <c r="B1512" s="123">
        <v>1738177.0</v>
      </c>
      <c r="C1512" s="687" t="s">
        <v>6224</v>
      </c>
      <c r="D1512" s="125"/>
    </row>
    <row r="1513">
      <c r="A1513" s="122" t="s">
        <v>14701</v>
      </c>
      <c r="B1513" s="123">
        <v>711772.0</v>
      </c>
      <c r="C1513" s="687" t="s">
        <v>14702</v>
      </c>
      <c r="D1513" s="125"/>
    </row>
    <row r="1514">
      <c r="A1514" s="122" t="s">
        <v>13198</v>
      </c>
      <c r="B1514" s="123">
        <v>750686.0</v>
      </c>
      <c r="C1514" s="687" t="s">
        <v>13199</v>
      </c>
      <c r="D1514" s="125"/>
    </row>
    <row r="1515">
      <c r="A1515" s="122" t="s">
        <v>15330</v>
      </c>
      <c r="B1515" s="123">
        <v>906345.0</v>
      </c>
      <c r="C1515" s="687" t="s">
        <v>15331</v>
      </c>
      <c r="D1515" s="125"/>
    </row>
    <row r="1516">
      <c r="A1516" s="122" t="s">
        <v>14046</v>
      </c>
      <c r="B1516" s="123">
        <v>1009001.0</v>
      </c>
      <c r="C1516" s="687" t="s">
        <v>14047</v>
      </c>
      <c r="D1516" s="125"/>
    </row>
    <row r="1517">
      <c r="A1517" s="122" t="s">
        <v>13826</v>
      </c>
      <c r="B1517" s="123">
        <v>16732.0</v>
      </c>
      <c r="C1517" s="687" t="s">
        <v>13827</v>
      </c>
      <c r="D1517" s="125"/>
    </row>
    <row r="1518">
      <c r="A1518" s="122" t="s">
        <v>12336</v>
      </c>
      <c r="B1518" s="123">
        <v>1669779.0</v>
      </c>
      <c r="C1518" s="687" t="s">
        <v>12337</v>
      </c>
      <c r="D1518" s="125"/>
    </row>
    <row r="1519">
      <c r="A1519" s="122" t="s">
        <v>15016</v>
      </c>
      <c r="B1519" s="123">
        <v>1109138.0</v>
      </c>
      <c r="C1519" s="687" t="s">
        <v>15017</v>
      </c>
      <c r="D1519" s="125"/>
    </row>
    <row r="1520">
      <c r="A1520" s="122" t="s">
        <v>1227</v>
      </c>
      <c r="B1520" s="123">
        <v>1509957.0</v>
      </c>
      <c r="C1520" s="687" t="s">
        <v>1228</v>
      </c>
      <c r="D1520" s="125"/>
    </row>
    <row r="1521">
      <c r="A1521" s="122" t="s">
        <v>4880</v>
      </c>
      <c r="B1521" s="123">
        <v>1536196.0</v>
      </c>
      <c r="C1521" s="687" t="s">
        <v>4881</v>
      </c>
      <c r="D1521" s="125"/>
    </row>
    <row r="1522">
      <c r="A1522" s="122" t="s">
        <v>4193</v>
      </c>
      <c r="B1522" s="123">
        <v>1780652.0</v>
      </c>
      <c r="C1522" s="687" t="s">
        <v>4194</v>
      </c>
      <c r="D1522" s="125"/>
    </row>
    <row r="1523">
      <c r="A1523" s="122" t="s">
        <v>9738</v>
      </c>
      <c r="B1523" s="123">
        <v>1690511.0</v>
      </c>
      <c r="C1523" s="687" t="s">
        <v>9739</v>
      </c>
      <c r="D1523" s="125"/>
    </row>
    <row r="1524">
      <c r="A1524" s="122" t="s">
        <v>13870</v>
      </c>
      <c r="B1524" s="123">
        <v>1045520.0</v>
      </c>
      <c r="C1524" s="687" t="s">
        <v>13871</v>
      </c>
      <c r="D1524" s="125"/>
    </row>
    <row r="1525">
      <c r="A1525" s="122" t="s">
        <v>1197</v>
      </c>
      <c r="B1525" s="123">
        <v>1875236.0</v>
      </c>
      <c r="C1525" s="687" t="s">
        <v>1198</v>
      </c>
      <c r="D1525" s="125"/>
    </row>
    <row r="1526">
      <c r="A1526" s="122" t="s">
        <v>15696</v>
      </c>
      <c r="B1526" s="123">
        <v>16868.0</v>
      </c>
      <c r="C1526" s="687" t="s">
        <v>15697</v>
      </c>
      <c r="D1526" s="125"/>
    </row>
    <row r="1527">
      <c r="A1527" s="122" t="s">
        <v>14471</v>
      </c>
      <c r="B1527" s="123">
        <v>1017413.0</v>
      </c>
      <c r="C1527" s="687" t="s">
        <v>14472</v>
      </c>
      <c r="D1527" s="125"/>
    </row>
    <row r="1528">
      <c r="A1528" s="122" t="s">
        <v>15079</v>
      </c>
      <c r="B1528" s="123">
        <v>16875.0</v>
      </c>
      <c r="C1528" s="687" t="s">
        <v>15080</v>
      </c>
      <c r="D1528" s="125"/>
    </row>
    <row r="1529">
      <c r="A1529" s="122" t="s">
        <v>11753</v>
      </c>
      <c r="B1529" s="123">
        <v>1375877.0</v>
      </c>
      <c r="C1529" s="687" t="s">
        <v>11754</v>
      </c>
      <c r="D1529" s="125"/>
    </row>
    <row r="1530">
      <c r="A1530" s="122" t="s">
        <v>2039</v>
      </c>
      <c r="B1530" s="123">
        <v>868822.0</v>
      </c>
      <c r="C1530" s="687" t="s">
        <v>2040</v>
      </c>
      <c r="D1530" s="125"/>
    </row>
    <row r="1531">
      <c r="A1531" s="122" t="s">
        <v>2955</v>
      </c>
      <c r="B1531" s="123">
        <v>1023109.0</v>
      </c>
      <c r="C1531" s="687" t="s">
        <v>2956</v>
      </c>
      <c r="D1531" s="125"/>
    </row>
    <row r="1532">
      <c r="A1532" s="122" t="s">
        <v>4160</v>
      </c>
      <c r="B1532" s="123">
        <v>1841387.0</v>
      </c>
      <c r="C1532" s="687" t="s">
        <v>4161</v>
      </c>
      <c r="D1532" s="125"/>
    </row>
    <row r="1533">
      <c r="A1533" s="122" t="s">
        <v>842</v>
      </c>
      <c r="B1533" s="123">
        <v>1611831.0</v>
      </c>
      <c r="C1533" s="687" t="s">
        <v>843</v>
      </c>
      <c r="D1533" s="125"/>
    </row>
    <row r="1534">
      <c r="A1534" s="122" t="s">
        <v>4827</v>
      </c>
      <c r="B1534" s="123">
        <v>1006840.0</v>
      </c>
      <c r="C1534" s="687" t="s">
        <v>4828</v>
      </c>
      <c r="D1534" s="125"/>
    </row>
    <row r="1535">
      <c r="A1535" s="122" t="s">
        <v>33502</v>
      </c>
      <c r="B1535" s="123">
        <v>1368620.0</v>
      </c>
      <c r="C1535" s="687" t="s">
        <v>33503</v>
      </c>
      <c r="D1535" s="125"/>
    </row>
    <row r="1536">
      <c r="A1536" s="122" t="s">
        <v>1008</v>
      </c>
      <c r="B1536" s="123">
        <v>1867443.0</v>
      </c>
      <c r="C1536" s="687" t="s">
        <v>1009</v>
      </c>
      <c r="D1536" s="125"/>
    </row>
    <row r="1537">
      <c r="A1537" s="122" t="s">
        <v>8586</v>
      </c>
      <c r="B1537" s="123">
        <v>1867443.0</v>
      </c>
      <c r="C1537" s="687" t="s">
        <v>8587</v>
      </c>
      <c r="D1537" s="125"/>
    </row>
    <row r="1538">
      <c r="A1538" s="122" t="s">
        <v>9057</v>
      </c>
      <c r="B1538" s="123">
        <v>1867443.0</v>
      </c>
      <c r="C1538" s="687" t="s">
        <v>9058</v>
      </c>
      <c r="D1538" s="125"/>
    </row>
    <row r="1539">
      <c r="A1539" s="122" t="s">
        <v>33504</v>
      </c>
      <c r="B1539" s="123">
        <v>1413488.0</v>
      </c>
      <c r="C1539" s="687" t="s">
        <v>33505</v>
      </c>
      <c r="D1539" s="125"/>
    </row>
    <row r="1540">
      <c r="A1540" s="122" t="s">
        <v>814</v>
      </c>
      <c r="B1540" s="123">
        <v>1360442.0</v>
      </c>
      <c r="C1540" s="687" t="s">
        <v>815</v>
      </c>
      <c r="D1540" s="125"/>
    </row>
    <row r="1541">
      <c r="A1541" s="122" t="s">
        <v>33506</v>
      </c>
      <c r="B1541" s="123">
        <v>1290504.0</v>
      </c>
      <c r="C1541" s="687" t="s">
        <v>33507</v>
      </c>
      <c r="D1541" s="125"/>
    </row>
    <row r="1542">
      <c r="A1542" s="122" t="s">
        <v>1063</v>
      </c>
      <c r="B1542" s="123">
        <v>1680132.0</v>
      </c>
      <c r="C1542" s="687" t="s">
        <v>1064</v>
      </c>
      <c r="D1542" s="125"/>
    </row>
    <row r="1543">
      <c r="A1543" s="122" t="s">
        <v>11564</v>
      </c>
      <c r="B1543" s="123">
        <v>1704720.0</v>
      </c>
      <c r="C1543" s="687" t="s">
        <v>11565</v>
      </c>
      <c r="D1543" s="125"/>
    </row>
    <row r="1544">
      <c r="A1544" s="122" t="s">
        <v>33508</v>
      </c>
      <c r="B1544" s="123">
        <v>1304741.0</v>
      </c>
      <c r="C1544" s="687" t="s">
        <v>33509</v>
      </c>
      <c r="D1544" s="125"/>
    </row>
    <row r="1545">
      <c r="A1545" s="122" t="s">
        <v>33510</v>
      </c>
      <c r="B1545" s="123">
        <v>1081938.0</v>
      </c>
      <c r="C1545" s="687" t="s">
        <v>33511</v>
      </c>
      <c r="D1545" s="125"/>
    </row>
    <row r="1546">
      <c r="A1546" s="122" t="s">
        <v>607</v>
      </c>
      <c r="B1546" s="123">
        <v>1410187.0</v>
      </c>
      <c r="C1546" s="687" t="s">
        <v>608</v>
      </c>
      <c r="D1546" s="125"/>
    </row>
    <row r="1547">
      <c r="A1547" s="122" t="s">
        <v>33512</v>
      </c>
      <c r="B1547" s="123">
        <v>1652499.0</v>
      </c>
      <c r="C1547" s="687" t="s">
        <v>33513</v>
      </c>
      <c r="D1547" s="125"/>
    </row>
    <row r="1548">
      <c r="A1548" s="122" t="s">
        <v>5054</v>
      </c>
      <c r="B1548" s="123">
        <v>1800682.0</v>
      </c>
      <c r="C1548" s="687" t="s">
        <v>5055</v>
      </c>
      <c r="D1548" s="125"/>
    </row>
    <row r="1549">
      <c r="A1549" s="122" t="s">
        <v>1713</v>
      </c>
      <c r="B1549" s="123">
        <v>1750153.0</v>
      </c>
      <c r="C1549" s="687" t="s">
        <v>1714</v>
      </c>
      <c r="D1549" s="125"/>
    </row>
    <row r="1550">
      <c r="A1550" s="122" t="s">
        <v>6390</v>
      </c>
      <c r="B1550" s="123">
        <v>1737927.0</v>
      </c>
      <c r="C1550" s="687" t="s">
        <v>6391</v>
      </c>
      <c r="D1550" s="125"/>
    </row>
    <row r="1551">
      <c r="A1551" s="122" t="s">
        <v>7287</v>
      </c>
      <c r="B1551" s="123">
        <v>896429.0</v>
      </c>
      <c r="C1551" s="687" t="s">
        <v>7288</v>
      </c>
      <c r="D1551" s="125"/>
    </row>
    <row r="1552">
      <c r="A1552" s="122" t="s">
        <v>13035</v>
      </c>
      <c r="B1552" s="123">
        <v>896429.0</v>
      </c>
      <c r="C1552" s="687" t="s">
        <v>13036</v>
      </c>
      <c r="D1552" s="125"/>
    </row>
    <row r="1553">
      <c r="A1553" s="122" t="s">
        <v>12164</v>
      </c>
      <c r="B1553" s="123">
        <v>1672909.0</v>
      </c>
      <c r="C1553" s="687" t="s">
        <v>12165</v>
      </c>
      <c r="D1553" s="125"/>
    </row>
    <row r="1554">
      <c r="A1554" s="122" t="s">
        <v>2397</v>
      </c>
      <c r="B1554" s="123">
        <v>1807192.0</v>
      </c>
      <c r="C1554" s="687" t="s">
        <v>2398</v>
      </c>
      <c r="D1554" s="125"/>
    </row>
    <row r="1555">
      <c r="A1555" s="122" t="s">
        <v>11296</v>
      </c>
      <c r="B1555" s="123">
        <v>1551467.0</v>
      </c>
      <c r="C1555" s="687" t="s">
        <v>11297</v>
      </c>
      <c r="D1555" s="125"/>
    </row>
    <row r="1556">
      <c r="A1556" s="122" t="s">
        <v>13490</v>
      </c>
      <c r="B1556" s="123">
        <v>1551467.0</v>
      </c>
      <c r="C1556" s="687" t="s">
        <v>13491</v>
      </c>
      <c r="D1556" s="125"/>
    </row>
    <row r="1557">
      <c r="A1557" s="122" t="s">
        <v>11523</v>
      </c>
      <c r="B1557" s="123">
        <v>1419536.0</v>
      </c>
      <c r="C1557" s="687" t="s">
        <v>11524</v>
      </c>
      <c r="D1557" s="125"/>
    </row>
    <row r="1558">
      <c r="A1558" s="122" t="s">
        <v>12667</v>
      </c>
      <c r="B1558" s="123">
        <v>726601.0</v>
      </c>
      <c r="C1558" s="687" t="s">
        <v>12668</v>
      </c>
      <c r="D1558" s="125"/>
    </row>
    <row r="1559">
      <c r="A1559" s="122" t="s">
        <v>16786</v>
      </c>
      <c r="B1559" s="123">
        <v>1879270.0</v>
      </c>
      <c r="C1559" s="687" t="s">
        <v>16787</v>
      </c>
      <c r="D1559" s="125"/>
    </row>
    <row r="1560">
      <c r="A1560" s="122" t="s">
        <v>15130</v>
      </c>
      <c r="B1560" s="123">
        <v>312070.0</v>
      </c>
      <c r="C1560" s="687" t="s">
        <v>15131</v>
      </c>
      <c r="D1560" s="125"/>
    </row>
    <row r="1561">
      <c r="A1561" s="122" t="s">
        <v>15779</v>
      </c>
      <c r="B1561" s="123">
        <v>927628.0</v>
      </c>
      <c r="C1561" s="687" t="s">
        <v>15780</v>
      </c>
      <c r="D1561" s="125"/>
    </row>
    <row r="1562">
      <c r="A1562" s="122" t="s">
        <v>11110</v>
      </c>
      <c r="B1562" s="123">
        <v>1392326.0</v>
      </c>
      <c r="C1562" s="687" t="s">
        <v>11111</v>
      </c>
      <c r="D1562" s="125"/>
    </row>
    <row r="1563">
      <c r="A1563" s="122" t="s">
        <v>9503</v>
      </c>
      <c r="B1563" s="123">
        <v>202947.0</v>
      </c>
      <c r="C1563" s="687" t="s">
        <v>9504</v>
      </c>
      <c r="D1563" s="125"/>
    </row>
    <row r="1564">
      <c r="A1564" s="122" t="s">
        <v>12174</v>
      </c>
      <c r="B1564" s="123">
        <v>17313.0</v>
      </c>
      <c r="C1564" s="687" t="s">
        <v>12175</v>
      </c>
      <c r="D1564" s="125"/>
    </row>
    <row r="1565">
      <c r="A1565" s="122" t="s">
        <v>9074</v>
      </c>
      <c r="B1565" s="123">
        <v>1865248.0</v>
      </c>
      <c r="C1565" s="687" t="s">
        <v>9075</v>
      </c>
      <c r="D1565" s="125"/>
    </row>
    <row r="1566">
      <c r="A1566" s="122" t="s">
        <v>8768</v>
      </c>
      <c r="B1566" s="123">
        <v>1865248.0</v>
      </c>
      <c r="C1566" s="687" t="s">
        <v>8769</v>
      </c>
      <c r="D1566" s="125"/>
    </row>
    <row r="1567">
      <c r="A1567" s="122" t="s">
        <v>7093</v>
      </c>
      <c r="B1567" s="123">
        <v>1490906.0</v>
      </c>
      <c r="C1567" s="687" t="s">
        <v>7094</v>
      </c>
      <c r="D1567" s="125"/>
    </row>
    <row r="1568">
      <c r="A1568" s="122" t="s">
        <v>2510</v>
      </c>
      <c r="B1568" s="123">
        <v>16988.0</v>
      </c>
      <c r="C1568" s="687" t="s">
        <v>2511</v>
      </c>
      <c r="D1568" s="125"/>
    </row>
    <row r="1569">
      <c r="A1569" s="122" t="s">
        <v>13983</v>
      </c>
      <c r="B1569" s="123">
        <v>1530721.0</v>
      </c>
      <c r="C1569" s="687" t="s">
        <v>13984</v>
      </c>
      <c r="D1569" s="125"/>
    </row>
    <row r="1570">
      <c r="A1570" s="122" t="s">
        <v>6040</v>
      </c>
      <c r="B1570" s="123">
        <v>1133869.0</v>
      </c>
      <c r="C1570" s="687" t="s">
        <v>6041</v>
      </c>
      <c r="D1570" s="125"/>
    </row>
    <row r="1571">
      <c r="A1571" s="122" t="s">
        <v>5820</v>
      </c>
      <c r="B1571" s="123">
        <v>909531.0</v>
      </c>
      <c r="C1571" s="687" t="s">
        <v>5821</v>
      </c>
      <c r="D1571" s="125"/>
    </row>
    <row r="1572">
      <c r="A1572" s="122" t="s">
        <v>4677</v>
      </c>
      <c r="B1572" s="123">
        <v>909531.0</v>
      </c>
      <c r="C1572" s="687" t="s">
        <v>4678</v>
      </c>
      <c r="D1572" s="125"/>
    </row>
    <row r="1573">
      <c r="A1573" s="122" t="s">
        <v>10965</v>
      </c>
      <c r="B1573" s="123">
        <v>1676479.0</v>
      </c>
      <c r="C1573" s="687" t="s">
        <v>10966</v>
      </c>
      <c r="D1573" s="125"/>
    </row>
    <row r="1574">
      <c r="A1574" s="122" t="s">
        <v>844</v>
      </c>
      <c r="B1574" s="123">
        <v>814926.0</v>
      </c>
      <c r="C1574" s="687" t="s">
        <v>845</v>
      </c>
      <c r="D1574" s="125"/>
    </row>
    <row r="1575">
      <c r="A1575" s="122" t="s">
        <v>7204</v>
      </c>
      <c r="B1575" s="123">
        <v>1159510.0</v>
      </c>
      <c r="C1575" s="687" t="s">
        <v>7205</v>
      </c>
      <c r="D1575" s="125"/>
    </row>
    <row r="1576">
      <c r="A1576" s="122" t="s">
        <v>6060</v>
      </c>
      <c r="B1576" s="123">
        <v>1470129.0</v>
      </c>
      <c r="C1576" s="687" t="s">
        <v>6061</v>
      </c>
      <c r="D1576" s="125"/>
    </row>
    <row r="1577">
      <c r="A1577" s="122" t="s">
        <v>3151</v>
      </c>
      <c r="B1577" s="123">
        <v>1346830.0</v>
      </c>
      <c r="C1577" s="687" t="s">
        <v>3152</v>
      </c>
      <c r="D1577" s="125"/>
    </row>
    <row r="1578">
      <c r="A1578" s="122" t="s">
        <v>1813</v>
      </c>
      <c r="B1578" s="123">
        <v>1023364.0</v>
      </c>
      <c r="C1578" s="687" t="s">
        <v>1814</v>
      </c>
      <c r="D1578" s="125"/>
    </row>
    <row r="1579">
      <c r="A1579" s="122" t="s">
        <v>3225</v>
      </c>
      <c r="B1579" s="123">
        <v>1875931.0</v>
      </c>
      <c r="C1579" s="687" t="s">
        <v>3226</v>
      </c>
      <c r="D1579" s="125"/>
    </row>
    <row r="1580">
      <c r="A1580" s="122" t="s">
        <v>33514</v>
      </c>
      <c r="B1580" s="123">
        <v>1156784.0</v>
      </c>
      <c r="C1580" s="687" t="s">
        <v>33515</v>
      </c>
      <c r="D1580" s="125"/>
    </row>
    <row r="1581">
      <c r="A1581" s="122" t="s">
        <v>33516</v>
      </c>
      <c r="B1581" s="123">
        <v>1544238.0</v>
      </c>
      <c r="C1581" s="687" t="s">
        <v>33517</v>
      </c>
      <c r="D1581" s="125"/>
    </row>
    <row r="1582">
      <c r="A1582" s="122" t="s">
        <v>4469</v>
      </c>
      <c r="B1582" s="123">
        <v>1213037.0</v>
      </c>
      <c r="C1582" s="687" t="s">
        <v>4470</v>
      </c>
      <c r="D1582" s="125"/>
    </row>
    <row r="1583">
      <c r="A1583" s="122" t="s">
        <v>15447</v>
      </c>
      <c r="B1583" s="123">
        <v>721371.0</v>
      </c>
      <c r="C1583" s="687" t="s">
        <v>15448</v>
      </c>
      <c r="D1583" s="125"/>
    </row>
    <row r="1584">
      <c r="A1584" s="122" t="s">
        <v>3972</v>
      </c>
      <c r="B1584" s="123">
        <v>1702123.0</v>
      </c>
      <c r="C1584" s="687" t="s">
        <v>3973</v>
      </c>
      <c r="D1584" s="125"/>
    </row>
    <row r="1585">
      <c r="A1585" s="122" t="s">
        <v>7493</v>
      </c>
      <c r="B1585" s="123">
        <v>1666071.0</v>
      </c>
      <c r="C1585" s="687" t="s">
        <v>7494</v>
      </c>
      <c r="D1585" s="125"/>
    </row>
    <row r="1586">
      <c r="A1586" s="122" t="s">
        <v>781</v>
      </c>
      <c r="B1586" s="123">
        <v>1073489.0</v>
      </c>
      <c r="C1586" s="687" t="s">
        <v>782</v>
      </c>
      <c r="D1586" s="125"/>
    </row>
    <row r="1587">
      <c r="A1587" s="122" t="s">
        <v>7910</v>
      </c>
      <c r="B1587" s="123">
        <v>1217234.0</v>
      </c>
      <c r="C1587" s="687" t="s">
        <v>7911</v>
      </c>
      <c r="D1587" s="125"/>
    </row>
    <row r="1588">
      <c r="A1588" s="122" t="s">
        <v>703</v>
      </c>
      <c r="B1588" s="123">
        <v>1813914.0</v>
      </c>
      <c r="C1588" s="687" t="s">
        <v>704</v>
      </c>
      <c r="D1588" s="125"/>
    </row>
    <row r="1589">
      <c r="A1589" s="122" t="s">
        <v>7505</v>
      </c>
      <c r="B1589" s="123">
        <v>1813914.0</v>
      </c>
      <c r="C1589" s="687" t="s">
        <v>7506</v>
      </c>
      <c r="D1589" s="125"/>
    </row>
    <row r="1590">
      <c r="A1590" s="122" t="s">
        <v>11494</v>
      </c>
      <c r="B1590" s="123">
        <v>1590717.0</v>
      </c>
      <c r="C1590" s="687" t="s">
        <v>11495</v>
      </c>
      <c r="D1590" s="125"/>
    </row>
    <row r="1591">
      <c r="A1591" s="122" t="s">
        <v>1435</v>
      </c>
      <c r="B1591" s="123">
        <v>1377149.0</v>
      </c>
      <c r="C1591" s="687" t="s">
        <v>1436</v>
      </c>
      <c r="D1591" s="125"/>
    </row>
    <row r="1592">
      <c r="A1592" s="122" t="s">
        <v>12077</v>
      </c>
      <c r="B1592" s="123">
        <v>1494259.0</v>
      </c>
      <c r="C1592" s="687" t="s">
        <v>12078</v>
      </c>
      <c r="D1592" s="125"/>
    </row>
    <row r="1593">
      <c r="A1593" s="122" t="s">
        <v>7264</v>
      </c>
      <c r="B1593" s="123">
        <v>1619856.0</v>
      </c>
      <c r="C1593" s="687" t="s">
        <v>7265</v>
      </c>
      <c r="D1593" s="125"/>
    </row>
    <row r="1594">
      <c r="A1594" s="122" t="s">
        <v>16445</v>
      </c>
      <c r="B1594" s="123">
        <v>790051.0</v>
      </c>
      <c r="C1594" s="687" t="s">
        <v>16446</v>
      </c>
      <c r="D1594" s="125"/>
    </row>
    <row r="1595">
      <c r="A1595" s="122" t="s">
        <v>11402</v>
      </c>
      <c r="B1595" s="123">
        <v>1527166.0</v>
      </c>
      <c r="C1595" s="687" t="s">
        <v>11403</v>
      </c>
      <c r="D1595" s="125"/>
    </row>
    <row r="1596">
      <c r="A1596" s="122" t="s">
        <v>13627</v>
      </c>
      <c r="B1596" s="123">
        <v>1527166.0</v>
      </c>
      <c r="C1596" s="687" t="s">
        <v>13628</v>
      </c>
      <c r="D1596" s="125"/>
    </row>
    <row r="1597">
      <c r="A1597" s="122" t="s">
        <v>10449</v>
      </c>
      <c r="B1597" s="123">
        <v>1544206.0</v>
      </c>
      <c r="C1597" s="687" t="s">
        <v>10450</v>
      </c>
      <c r="D1597" s="125"/>
    </row>
    <row r="1598">
      <c r="A1598" s="122" t="s">
        <v>14838</v>
      </c>
      <c r="B1598" s="123">
        <v>1170010.0</v>
      </c>
      <c r="C1598" s="687" t="s">
        <v>14839</v>
      </c>
      <c r="D1598" s="125"/>
    </row>
    <row r="1599">
      <c r="A1599" s="122" t="s">
        <v>1507</v>
      </c>
      <c r="B1599" s="123">
        <v>1024095.0</v>
      </c>
      <c r="C1599" s="687" t="s">
        <v>1508</v>
      </c>
      <c r="D1599" s="125"/>
    </row>
    <row r="1600">
      <c r="A1600" s="122" t="s">
        <v>10731</v>
      </c>
      <c r="B1600" s="123">
        <v>815097.0</v>
      </c>
      <c r="C1600" s="687" t="s">
        <v>10732</v>
      </c>
      <c r="D1600" s="125"/>
    </row>
    <row r="1601">
      <c r="A1601" s="122" t="s">
        <v>10426</v>
      </c>
      <c r="B1601" s="123">
        <v>1125259.0</v>
      </c>
      <c r="C1601" s="687" t="s">
        <v>10427</v>
      </c>
      <c r="D1601" s="125"/>
    </row>
    <row r="1602">
      <c r="A1602" s="122" t="s">
        <v>10444</v>
      </c>
      <c r="B1602" s="123">
        <v>1125259.0</v>
      </c>
      <c r="C1602" s="687" t="s">
        <v>10427</v>
      </c>
      <c r="D1602" s="125"/>
    </row>
    <row r="1603">
      <c r="A1603" s="122" t="s">
        <v>5368</v>
      </c>
      <c r="B1603" s="123">
        <v>1378950.0</v>
      </c>
      <c r="C1603" s="687" t="s">
        <v>5369</v>
      </c>
      <c r="D1603" s="125"/>
    </row>
    <row r="1604">
      <c r="A1604" s="122" t="s">
        <v>14481</v>
      </c>
      <c r="B1604" s="123">
        <v>17843.0</v>
      </c>
      <c r="C1604" s="687" t="s">
        <v>14482</v>
      </c>
      <c r="D1604" s="125"/>
    </row>
    <row r="1605">
      <c r="A1605" s="122" t="s">
        <v>12242</v>
      </c>
      <c r="B1605" s="123">
        <v>1016281.0</v>
      </c>
      <c r="C1605" s="687" t="s">
        <v>12243</v>
      </c>
      <c r="D1605" s="125"/>
    </row>
    <row r="1606">
      <c r="A1606" s="122" t="s">
        <v>14329</v>
      </c>
      <c r="B1606" s="123">
        <v>1783180.0</v>
      </c>
      <c r="C1606" s="687" t="s">
        <v>14330</v>
      </c>
      <c r="D1606" s="125"/>
    </row>
    <row r="1607">
      <c r="A1607" s="122" t="s">
        <v>8165</v>
      </c>
      <c r="B1607" s="123">
        <v>809248.0</v>
      </c>
      <c r="C1607" s="687" t="s">
        <v>8166</v>
      </c>
      <c r="D1607" s="125"/>
    </row>
    <row r="1608">
      <c r="A1608" s="122" t="s">
        <v>11135</v>
      </c>
      <c r="B1608" s="123">
        <v>1683606.0</v>
      </c>
      <c r="C1608" s="687" t="s">
        <v>11136</v>
      </c>
      <c r="D1608" s="125"/>
    </row>
    <row r="1609">
      <c r="A1609" s="122" t="s">
        <v>10235</v>
      </c>
      <c r="B1609" s="123">
        <v>1829576.0</v>
      </c>
      <c r="C1609" s="687" t="s">
        <v>10236</v>
      </c>
      <c r="D1609" s="125"/>
    </row>
    <row r="1610">
      <c r="A1610" s="122" t="s">
        <v>14910</v>
      </c>
      <c r="B1610" s="123">
        <v>1060822.0</v>
      </c>
      <c r="C1610" s="687" t="s">
        <v>14911</v>
      </c>
      <c r="D1610" s="125"/>
    </row>
    <row r="1611">
      <c r="A1611" s="122" t="s">
        <v>9107</v>
      </c>
      <c r="B1611" s="123">
        <v>1889112.0</v>
      </c>
      <c r="C1611" s="687" t="s">
        <v>2160</v>
      </c>
      <c r="D1611" s="125"/>
    </row>
    <row r="1612">
      <c r="A1612" s="122" t="s">
        <v>2159</v>
      </c>
      <c r="B1612" s="123">
        <v>1889112.0</v>
      </c>
      <c r="C1612" s="687" t="s">
        <v>2160</v>
      </c>
      <c r="D1612" s="125"/>
    </row>
    <row r="1613">
      <c r="A1613" s="122" t="s">
        <v>9108</v>
      </c>
      <c r="B1613" s="123">
        <v>1889112.0</v>
      </c>
      <c r="C1613" s="687" t="s">
        <v>9109</v>
      </c>
      <c r="D1613" s="125"/>
    </row>
    <row r="1614">
      <c r="A1614" s="122" t="s">
        <v>1549</v>
      </c>
      <c r="B1614" s="123">
        <v>1848437.0</v>
      </c>
      <c r="C1614" s="687" t="s">
        <v>1550</v>
      </c>
      <c r="D1614" s="125"/>
    </row>
    <row r="1615">
      <c r="A1615" s="122" t="s">
        <v>9089</v>
      </c>
      <c r="B1615" s="123">
        <v>1848437.0</v>
      </c>
      <c r="C1615" s="687" t="s">
        <v>9090</v>
      </c>
      <c r="D1615" s="125"/>
    </row>
    <row r="1616">
      <c r="A1616" s="122" t="s">
        <v>8785</v>
      </c>
      <c r="B1616" s="123">
        <v>1848437.0</v>
      </c>
      <c r="C1616" s="687" t="s">
        <v>8786</v>
      </c>
      <c r="D1616" s="125"/>
    </row>
    <row r="1617">
      <c r="A1617" s="122" t="s">
        <v>13774</v>
      </c>
      <c r="B1617" s="123">
        <v>1690820.0</v>
      </c>
      <c r="C1617" s="687" t="s">
        <v>13775</v>
      </c>
      <c r="D1617" s="125"/>
    </row>
    <row r="1618">
      <c r="A1618" s="122" t="s">
        <v>4595</v>
      </c>
      <c r="B1618" s="123">
        <v>1016178.0</v>
      </c>
      <c r="C1618" s="687" t="s">
        <v>4596</v>
      </c>
      <c r="D1618" s="125"/>
    </row>
    <row r="1619">
      <c r="A1619" s="122" t="s">
        <v>2665</v>
      </c>
      <c r="B1619" s="123">
        <v>1333835.0</v>
      </c>
      <c r="C1619" s="687" t="s">
        <v>2666</v>
      </c>
      <c r="D1619" s="125"/>
    </row>
    <row r="1620">
      <c r="A1620" s="122" t="s">
        <v>15160</v>
      </c>
      <c r="B1620" s="123">
        <v>911177.0</v>
      </c>
      <c r="C1620" s="687" t="s">
        <v>15161</v>
      </c>
      <c r="D1620" s="125"/>
    </row>
    <row r="1621">
      <c r="A1621" s="122" t="s">
        <v>16379</v>
      </c>
      <c r="B1621" s="123">
        <v>726958.0</v>
      </c>
      <c r="C1621" s="687" t="s">
        <v>16380</v>
      </c>
      <c r="D1621" s="125"/>
    </row>
    <row r="1622">
      <c r="A1622" s="122" t="s">
        <v>2439</v>
      </c>
      <c r="B1622" s="123">
        <v>1812234.0</v>
      </c>
      <c r="C1622" s="687" t="s">
        <v>2440</v>
      </c>
      <c r="D1622" s="125"/>
    </row>
    <row r="1623">
      <c r="A1623" s="122" t="s">
        <v>7127</v>
      </c>
      <c r="B1623" s="123">
        <v>895051.0</v>
      </c>
      <c r="C1623" s="687" t="s">
        <v>7128</v>
      </c>
      <c r="D1623" s="125"/>
    </row>
    <row r="1624">
      <c r="A1624" s="122" t="s">
        <v>3173</v>
      </c>
      <c r="B1624" s="123">
        <v>1467808.0</v>
      </c>
      <c r="C1624" s="687" t="s">
        <v>3174</v>
      </c>
      <c r="D1624" s="125"/>
    </row>
    <row r="1625">
      <c r="A1625" s="122" t="s">
        <v>13698</v>
      </c>
      <c r="B1625" s="123">
        <v>708781.0</v>
      </c>
      <c r="C1625" s="687" t="s">
        <v>13699</v>
      </c>
      <c r="D1625" s="125"/>
    </row>
    <row r="1626">
      <c r="A1626" s="122" t="s">
        <v>12047</v>
      </c>
      <c r="B1626" s="123">
        <v>1069530.0</v>
      </c>
      <c r="C1626" s="687" t="s">
        <v>12048</v>
      </c>
      <c r="D1626" s="125"/>
    </row>
    <row r="1627">
      <c r="A1627" s="122" t="s">
        <v>2580</v>
      </c>
      <c r="B1627" s="123">
        <v>1877939.0</v>
      </c>
      <c r="C1627" s="687" t="s">
        <v>2581</v>
      </c>
      <c r="D1627" s="125"/>
    </row>
    <row r="1628">
      <c r="A1628" s="122" t="s">
        <v>11999</v>
      </c>
      <c r="B1628" s="123">
        <v>1447362.0</v>
      </c>
      <c r="C1628" s="687" t="s">
        <v>12000</v>
      </c>
      <c r="D1628" s="125"/>
    </row>
    <row r="1629">
      <c r="A1629" s="122" t="s">
        <v>3001</v>
      </c>
      <c r="B1629" s="123">
        <v>1720161.0</v>
      </c>
      <c r="C1629" s="687" t="s">
        <v>3002</v>
      </c>
      <c r="D1629" s="125"/>
    </row>
    <row r="1630">
      <c r="A1630" s="122" t="s">
        <v>5086</v>
      </c>
      <c r="B1630" s="123">
        <v>1632275.0</v>
      </c>
      <c r="C1630" s="687" t="s">
        <v>5087</v>
      </c>
      <c r="D1630" s="125"/>
    </row>
    <row r="1631">
      <c r="A1631" s="122" t="s">
        <v>14248</v>
      </c>
      <c r="B1631" s="123">
        <v>1596783.0</v>
      </c>
      <c r="C1631" s="687" t="s">
        <v>14249</v>
      </c>
      <c r="D1631" s="125"/>
    </row>
    <row r="1632">
      <c r="A1632" s="122" t="s">
        <v>9596</v>
      </c>
      <c r="B1632" s="123">
        <v>1849867.0</v>
      </c>
      <c r="C1632" s="687" t="s">
        <v>9597</v>
      </c>
      <c r="D1632" s="125"/>
    </row>
    <row r="1633">
      <c r="A1633" s="122" t="s">
        <v>10083</v>
      </c>
      <c r="B1633" s="123">
        <v>1369568.0</v>
      </c>
      <c r="C1633" s="687" t="s">
        <v>10084</v>
      </c>
      <c r="D1633" s="125"/>
    </row>
    <row r="1634">
      <c r="A1634" s="122" t="s">
        <v>9290</v>
      </c>
      <c r="B1634" s="123">
        <v>1838293.0</v>
      </c>
      <c r="C1634" s="687" t="s">
        <v>9291</v>
      </c>
      <c r="D1634" s="125"/>
    </row>
    <row r="1635">
      <c r="A1635" s="122" t="s">
        <v>16434</v>
      </c>
      <c r="B1635" s="123">
        <v>18230.0</v>
      </c>
      <c r="C1635" s="687" t="s">
        <v>16435</v>
      </c>
      <c r="D1635" s="125"/>
    </row>
    <row r="1636">
      <c r="A1636" s="122" t="s">
        <v>13558</v>
      </c>
      <c r="B1636" s="123">
        <v>861842.0</v>
      </c>
      <c r="C1636" s="687" t="s">
        <v>13559</v>
      </c>
      <c r="D1636" s="125"/>
    </row>
    <row r="1637">
      <c r="A1637" s="122" t="s">
        <v>7295</v>
      </c>
      <c r="B1637" s="123">
        <v>18255.0</v>
      </c>
      <c r="C1637" s="687" t="s">
        <v>7296</v>
      </c>
      <c r="D1637" s="125"/>
    </row>
    <row r="1638">
      <c r="A1638" s="122" t="s">
        <v>13415</v>
      </c>
      <c r="B1638" s="123">
        <v>1384437.0</v>
      </c>
      <c r="C1638" s="687" t="s">
        <v>13416</v>
      </c>
      <c r="D1638" s="125"/>
    </row>
    <row r="1639">
      <c r="A1639" s="122" t="s">
        <v>16463</v>
      </c>
      <c r="B1639" s="123">
        <v>278166.0</v>
      </c>
      <c r="C1639" s="687" t="s">
        <v>16464</v>
      </c>
      <c r="D1639" s="125"/>
    </row>
    <row r="1640">
      <c r="A1640" s="122" t="s">
        <v>892</v>
      </c>
      <c r="B1640" s="123">
        <v>1376793.0</v>
      </c>
      <c r="C1640" s="687" t="s">
        <v>893</v>
      </c>
      <c r="D1640" s="125"/>
    </row>
    <row r="1641">
      <c r="A1641" s="122" t="s">
        <v>6193</v>
      </c>
      <c r="B1641" s="123">
        <v>1859639.0</v>
      </c>
      <c r="C1641" s="687" t="s">
        <v>6194</v>
      </c>
      <c r="D1641" s="125"/>
    </row>
    <row r="1642">
      <c r="A1642" s="122" t="s">
        <v>12061</v>
      </c>
      <c r="B1642" s="123">
        <v>1605301.0</v>
      </c>
      <c r="C1642" s="687" t="s">
        <v>12062</v>
      </c>
      <c r="D1642" s="125"/>
    </row>
    <row r="1643">
      <c r="A1643" s="122" t="s">
        <v>33518</v>
      </c>
      <c r="B1643" s="123">
        <v>883943.0</v>
      </c>
      <c r="C1643" s="687" t="s">
        <v>33519</v>
      </c>
      <c r="D1643" s="125"/>
    </row>
    <row r="1644">
      <c r="A1644" s="122" t="s">
        <v>3735</v>
      </c>
      <c r="B1644" s="123">
        <v>1117171.0</v>
      </c>
      <c r="C1644" s="687" t="s">
        <v>3736</v>
      </c>
      <c r="D1644" s="125"/>
    </row>
    <row r="1645">
      <c r="A1645" s="122" t="s">
        <v>33520</v>
      </c>
      <c r="B1645" s="123">
        <v>1776073.0</v>
      </c>
      <c r="C1645" s="687" t="s">
        <v>33521</v>
      </c>
      <c r="D1645" s="125"/>
    </row>
    <row r="1646">
      <c r="A1646" s="122" t="s">
        <v>3411</v>
      </c>
      <c r="B1646" s="123">
        <v>1644903.0</v>
      </c>
      <c r="C1646" s="687" t="s">
        <v>3412</v>
      </c>
      <c r="D1646" s="125"/>
    </row>
    <row r="1647">
      <c r="A1647" s="122" t="s">
        <v>14592</v>
      </c>
      <c r="B1647" s="123">
        <v>944148.0</v>
      </c>
      <c r="C1647" s="687" t="s">
        <v>14593</v>
      </c>
      <c r="D1647" s="125"/>
    </row>
    <row r="1648">
      <c r="A1648" s="122" t="s">
        <v>12031</v>
      </c>
      <c r="B1648" s="123">
        <v>910612.0</v>
      </c>
      <c r="C1648" s="687" t="s">
        <v>12032</v>
      </c>
      <c r="D1648" s="125"/>
    </row>
    <row r="1649">
      <c r="A1649" s="122" t="s">
        <v>4335</v>
      </c>
      <c r="B1649" s="123">
        <v>1914805.0</v>
      </c>
      <c r="C1649" s="687" t="s">
        <v>4336</v>
      </c>
      <c r="D1649" s="125"/>
    </row>
    <row r="1650">
      <c r="A1650" s="122" t="s">
        <v>16069</v>
      </c>
      <c r="B1650" s="123">
        <v>1374310.0</v>
      </c>
      <c r="C1650" s="687" t="s">
        <v>16070</v>
      </c>
      <c r="D1650" s="125"/>
    </row>
    <row r="1651">
      <c r="A1651" s="122" t="s">
        <v>6678</v>
      </c>
      <c r="B1651" s="123">
        <v>1268884.0</v>
      </c>
      <c r="C1651" s="687" t="s">
        <v>6679</v>
      </c>
      <c r="D1651" s="125"/>
    </row>
    <row r="1652">
      <c r="A1652" s="122" t="s">
        <v>15120</v>
      </c>
      <c r="B1652" s="123">
        <v>1138118.0</v>
      </c>
      <c r="C1652" s="687" t="s">
        <v>15121</v>
      </c>
      <c r="D1652" s="125"/>
    </row>
    <row r="1653">
      <c r="A1653" s="122" t="s">
        <v>9083</v>
      </c>
      <c r="B1653" s="123">
        <v>1818201.0</v>
      </c>
      <c r="C1653" s="687" t="s">
        <v>9084</v>
      </c>
      <c r="D1653" s="125"/>
    </row>
    <row r="1654">
      <c r="A1654" s="122" t="s">
        <v>11957</v>
      </c>
      <c r="B1654" s="123">
        <v>1786485.0</v>
      </c>
      <c r="C1654" s="687" t="s">
        <v>11958</v>
      </c>
      <c r="D1654" s="125"/>
    </row>
    <row r="1655">
      <c r="A1655" s="122" t="s">
        <v>16266</v>
      </c>
      <c r="B1655" s="123">
        <v>1402057.0</v>
      </c>
      <c r="C1655" s="687" t="s">
        <v>16267</v>
      </c>
      <c r="D1655" s="125"/>
    </row>
    <row r="1656">
      <c r="A1656" s="122" t="s">
        <v>629</v>
      </c>
      <c r="B1656" s="123">
        <v>1482541.0</v>
      </c>
      <c r="C1656" s="687" t="s">
        <v>630</v>
      </c>
      <c r="D1656" s="125"/>
    </row>
    <row r="1657">
      <c r="A1657" s="122" t="s">
        <v>3037</v>
      </c>
      <c r="B1657" s="123">
        <v>1482541.0</v>
      </c>
      <c r="C1657" s="687" t="s">
        <v>3038</v>
      </c>
      <c r="D1657" s="125"/>
    </row>
    <row r="1658">
      <c r="A1658" s="122" t="s">
        <v>13625</v>
      </c>
      <c r="B1658" s="123">
        <v>811532.0</v>
      </c>
      <c r="C1658" s="687" t="s">
        <v>13626</v>
      </c>
      <c r="D1658" s="125"/>
    </row>
    <row r="1659">
      <c r="A1659" s="122" t="s">
        <v>5408</v>
      </c>
      <c r="B1659" s="123">
        <v>725363.0</v>
      </c>
      <c r="C1659" s="687" t="s">
        <v>5409</v>
      </c>
      <c r="D1659" s="125"/>
    </row>
    <row r="1660">
      <c r="A1660" s="122" t="s">
        <v>15869</v>
      </c>
      <c r="B1660" s="123">
        <v>1306830.0</v>
      </c>
      <c r="C1660" s="687" t="s">
        <v>15870</v>
      </c>
      <c r="D1660" s="125"/>
    </row>
    <row r="1661">
      <c r="A1661" s="122" t="s">
        <v>10541</v>
      </c>
      <c r="B1661" s="123">
        <v>1603454.0</v>
      </c>
      <c r="C1661" s="687" t="s">
        <v>10542</v>
      </c>
      <c r="D1661" s="125"/>
    </row>
    <row r="1662">
      <c r="A1662" s="122" t="s">
        <v>16244</v>
      </c>
      <c r="B1662" s="123">
        <v>320017.0</v>
      </c>
      <c r="C1662" s="687" t="s">
        <v>16245</v>
      </c>
      <c r="D1662" s="125"/>
    </row>
    <row r="1663">
      <c r="A1663" s="122" t="s">
        <v>13322</v>
      </c>
      <c r="B1663" s="123">
        <v>1030894.0</v>
      </c>
      <c r="C1663" s="687" t="s">
        <v>13323</v>
      </c>
      <c r="D1663" s="125"/>
    </row>
    <row r="1664">
      <c r="A1664" s="122" t="s">
        <v>1120</v>
      </c>
      <c r="B1664" s="123">
        <v>1493712.0</v>
      </c>
      <c r="C1664" s="687" t="s">
        <v>1121</v>
      </c>
      <c r="D1664" s="125"/>
    </row>
    <row r="1665">
      <c r="A1665" s="122" t="s">
        <v>2813</v>
      </c>
      <c r="B1665" s="123">
        <v>1569340.0</v>
      </c>
      <c r="C1665" s="687" t="s">
        <v>2814</v>
      </c>
      <c r="D1665" s="125"/>
    </row>
    <row r="1666">
      <c r="A1666" s="122" t="s">
        <v>6014</v>
      </c>
      <c r="B1666" s="123">
        <v>1385145.0</v>
      </c>
      <c r="C1666" s="687" t="s">
        <v>6015</v>
      </c>
      <c r="D1666" s="125"/>
    </row>
    <row r="1667">
      <c r="A1667" s="122" t="s">
        <v>13279</v>
      </c>
      <c r="B1667" s="123">
        <v>744218.0</v>
      </c>
      <c r="C1667" s="687" t="s">
        <v>13280</v>
      </c>
      <c r="D1667" s="125"/>
    </row>
    <row r="1668">
      <c r="A1668" s="122" t="s">
        <v>4569</v>
      </c>
      <c r="B1668" s="123">
        <v>1854587.0</v>
      </c>
      <c r="C1668" s="687" t="s">
        <v>4570</v>
      </c>
      <c r="D1668" s="125"/>
    </row>
    <row r="1669">
      <c r="A1669" s="122" t="s">
        <v>8081</v>
      </c>
      <c r="B1669" s="123">
        <v>1854587.0</v>
      </c>
      <c r="C1669" s="687" t="s">
        <v>8082</v>
      </c>
      <c r="D1669" s="125"/>
    </row>
    <row r="1670">
      <c r="A1670" s="122" t="s">
        <v>5923</v>
      </c>
      <c r="B1670" s="123">
        <v>1279704.0</v>
      </c>
      <c r="C1670" s="687" t="s">
        <v>5924</v>
      </c>
      <c r="D1670" s="125"/>
    </row>
    <row r="1671">
      <c r="A1671" s="122" t="s">
        <v>14214</v>
      </c>
      <c r="B1671" s="123">
        <v>1341766.0</v>
      </c>
      <c r="C1671" s="687" t="s">
        <v>14215</v>
      </c>
      <c r="D1671" s="125"/>
    </row>
    <row r="1672">
      <c r="A1672" s="122" t="s">
        <v>1457</v>
      </c>
      <c r="B1672" s="123">
        <v>1752828.0</v>
      </c>
      <c r="C1672" s="687" t="s">
        <v>1458</v>
      </c>
      <c r="D1672" s="125"/>
    </row>
    <row r="1673">
      <c r="A1673" s="122" t="s">
        <v>3089</v>
      </c>
      <c r="B1673" s="123">
        <v>1752828.0</v>
      </c>
      <c r="C1673" s="687" t="s">
        <v>3090</v>
      </c>
      <c r="D1673" s="125"/>
    </row>
    <row r="1674">
      <c r="A1674" s="122" t="s">
        <v>2807</v>
      </c>
      <c r="B1674" s="123">
        <v>1637890.0</v>
      </c>
      <c r="C1674" s="687" t="s">
        <v>2808</v>
      </c>
      <c r="D1674" s="125"/>
    </row>
    <row r="1675">
      <c r="A1675" s="122" t="s">
        <v>6593</v>
      </c>
      <c r="B1675" s="123">
        <v>1221029.0</v>
      </c>
      <c r="C1675" s="687" t="s">
        <v>6594</v>
      </c>
      <c r="D1675" s="125"/>
    </row>
    <row r="1676">
      <c r="A1676" s="122" t="s">
        <v>3506</v>
      </c>
      <c r="B1676" s="123">
        <v>1076378.0</v>
      </c>
      <c r="C1676" s="687" t="s">
        <v>3507</v>
      </c>
      <c r="D1676" s="125"/>
    </row>
    <row r="1677">
      <c r="A1677" s="122" t="s">
        <v>7854</v>
      </c>
      <c r="B1677" s="123">
        <v>1076378.0</v>
      </c>
      <c r="C1677" s="687" t="s">
        <v>7855</v>
      </c>
      <c r="D1677" s="125"/>
    </row>
    <row r="1678">
      <c r="A1678" s="122" t="s">
        <v>5660</v>
      </c>
      <c r="B1678" s="123">
        <v>1435064.0</v>
      </c>
      <c r="C1678" s="687" t="s">
        <v>5661</v>
      </c>
      <c r="D1678" s="125"/>
    </row>
    <row r="1679">
      <c r="A1679" s="122" t="s">
        <v>2895</v>
      </c>
      <c r="B1679" s="123">
        <v>1435064.0</v>
      </c>
      <c r="C1679" s="687" t="s">
        <v>2896</v>
      </c>
      <c r="D1679" s="125"/>
    </row>
    <row r="1680">
      <c r="A1680" s="122" t="s">
        <v>33522</v>
      </c>
      <c r="B1680" s="123">
        <v>1653821.0</v>
      </c>
      <c r="C1680" s="687" t="s">
        <v>33523</v>
      </c>
      <c r="D1680" s="125"/>
    </row>
    <row r="1681">
      <c r="A1681" s="122" t="s">
        <v>4060</v>
      </c>
      <c r="B1681" s="123">
        <v>1707919.0</v>
      </c>
      <c r="C1681" s="687" t="s">
        <v>4061</v>
      </c>
      <c r="D1681" s="125"/>
    </row>
    <row r="1682">
      <c r="A1682" s="122" t="s">
        <v>10602</v>
      </c>
      <c r="B1682" s="123">
        <v>1475260.0</v>
      </c>
      <c r="C1682" s="687" t="s">
        <v>10603</v>
      </c>
      <c r="D1682" s="125"/>
    </row>
    <row r="1683">
      <c r="A1683" s="122" t="s">
        <v>1854</v>
      </c>
      <c r="B1683" s="123">
        <v>23111.0</v>
      </c>
      <c r="C1683" s="687" t="s">
        <v>1855</v>
      </c>
      <c r="D1683" s="125"/>
    </row>
    <row r="1684">
      <c r="A1684" s="122" t="s">
        <v>14891</v>
      </c>
      <c r="B1684" s="123">
        <v>1071739.0</v>
      </c>
      <c r="C1684" s="687" t="s">
        <v>14892</v>
      </c>
      <c r="D1684" s="125"/>
    </row>
    <row r="1685">
      <c r="A1685" s="122" t="s">
        <v>12632</v>
      </c>
      <c r="B1685" s="123">
        <v>1130310.0</v>
      </c>
      <c r="C1685" s="687" t="s">
        <v>12633</v>
      </c>
      <c r="D1685" s="125"/>
    </row>
    <row r="1686">
      <c r="A1686" s="122" t="s">
        <v>6734</v>
      </c>
      <c r="B1686" s="123">
        <v>1854640.0</v>
      </c>
      <c r="C1686" s="687" t="s">
        <v>6735</v>
      </c>
      <c r="D1686" s="125"/>
    </row>
    <row r="1687">
      <c r="A1687" s="122" t="s">
        <v>7619</v>
      </c>
      <c r="B1687" s="123">
        <v>1847903.0</v>
      </c>
      <c r="C1687" s="687" t="s">
        <v>7620</v>
      </c>
      <c r="D1687" s="125"/>
    </row>
    <row r="1688">
      <c r="A1688" s="122" t="s">
        <v>3966</v>
      </c>
      <c r="B1688" s="123">
        <v>1757097.0</v>
      </c>
      <c r="C1688" s="687" t="s">
        <v>3967</v>
      </c>
      <c r="D1688" s="125"/>
    </row>
    <row r="1689">
      <c r="A1689" s="122" t="s">
        <v>8269</v>
      </c>
      <c r="B1689" s="123">
        <v>860489.0</v>
      </c>
      <c r="C1689" s="687" t="s">
        <v>8270</v>
      </c>
      <c r="D1689" s="125"/>
    </row>
    <row r="1690">
      <c r="A1690" s="122" t="s">
        <v>13941</v>
      </c>
      <c r="B1690" s="123">
        <v>887733.0</v>
      </c>
      <c r="C1690" s="687" t="s">
        <v>13942</v>
      </c>
      <c r="D1690" s="125"/>
    </row>
    <row r="1691">
      <c r="A1691" s="122" t="s">
        <v>13648</v>
      </c>
      <c r="B1691" s="123">
        <v>887733.0</v>
      </c>
      <c r="C1691" s="687" t="s">
        <v>13649</v>
      </c>
      <c r="D1691" s="125"/>
    </row>
    <row r="1692">
      <c r="A1692" s="122" t="s">
        <v>11300</v>
      </c>
      <c r="B1692" s="123">
        <v>701347.0</v>
      </c>
      <c r="C1692" s="687" t="s">
        <v>11301</v>
      </c>
      <c r="D1692" s="125"/>
    </row>
    <row r="1693">
      <c r="A1693" s="122" t="s">
        <v>11595</v>
      </c>
      <c r="B1693" s="123">
        <v>1059262.0</v>
      </c>
      <c r="C1693" s="687" t="s">
        <v>11596</v>
      </c>
      <c r="D1693" s="125"/>
    </row>
    <row r="1694">
      <c r="A1694" s="122" t="s">
        <v>8232</v>
      </c>
      <c r="B1694" s="123">
        <v>1717161.0</v>
      </c>
      <c r="C1694" s="687" t="s">
        <v>8233</v>
      </c>
      <c r="D1694" s="125"/>
    </row>
    <row r="1695">
      <c r="A1695" s="122" t="s">
        <v>13463</v>
      </c>
      <c r="B1695" s="123">
        <v>18748.0</v>
      </c>
      <c r="C1695" s="687" t="s">
        <v>13464</v>
      </c>
      <c r="D1695" s="125"/>
    </row>
    <row r="1696">
      <c r="A1696" s="122" t="s">
        <v>11100</v>
      </c>
      <c r="B1696" s="123">
        <v>1127371.0</v>
      </c>
      <c r="C1696" s="687" t="s">
        <v>11101</v>
      </c>
      <c r="D1696" s="125"/>
    </row>
    <row r="1697">
      <c r="A1697" s="122" t="s">
        <v>14097</v>
      </c>
      <c r="B1697" s="123">
        <v>1065059.0</v>
      </c>
      <c r="C1697" s="687" t="s">
        <v>14098</v>
      </c>
      <c r="D1697" s="125"/>
    </row>
    <row r="1698">
      <c r="A1698" s="122" t="s">
        <v>8974</v>
      </c>
      <c r="B1698" s="123">
        <v>949157.0</v>
      </c>
      <c r="C1698" s="687" t="s">
        <v>8975</v>
      </c>
      <c r="D1698" s="125"/>
    </row>
    <row r="1699">
      <c r="A1699" s="122" t="s">
        <v>5666</v>
      </c>
      <c r="B1699" s="123">
        <v>911147.0</v>
      </c>
      <c r="C1699" s="687" t="s">
        <v>5667</v>
      </c>
      <c r="D1699" s="125"/>
    </row>
    <row r="1700">
      <c r="A1700" s="122" t="s">
        <v>33524</v>
      </c>
      <c r="B1700" s="123">
        <v>1456802.0</v>
      </c>
      <c r="C1700" s="687" t="s">
        <v>33525</v>
      </c>
      <c r="D1700" s="125"/>
    </row>
    <row r="1701">
      <c r="A1701" s="122" t="s">
        <v>15270</v>
      </c>
      <c r="B1701" s="123">
        <v>1576940.0</v>
      </c>
      <c r="C1701" s="687" t="s">
        <v>15271</v>
      </c>
      <c r="D1701" s="125"/>
    </row>
    <row r="1702">
      <c r="A1702" s="122" t="s">
        <v>2633</v>
      </c>
      <c r="B1702" s="123">
        <v>1394039.0</v>
      </c>
      <c r="C1702" s="687" t="s">
        <v>2634</v>
      </c>
      <c r="D1702" s="125"/>
    </row>
    <row r="1703">
      <c r="A1703" s="122" t="s">
        <v>6050</v>
      </c>
      <c r="B1703" s="123">
        <v>1850119.0</v>
      </c>
      <c r="C1703" s="687" t="s">
        <v>6051</v>
      </c>
      <c r="D1703" s="125"/>
    </row>
    <row r="1704">
      <c r="A1704" s="122" t="s">
        <v>711</v>
      </c>
      <c r="B1704" s="123">
        <v>1498233.0</v>
      </c>
      <c r="C1704" s="687" t="s">
        <v>712</v>
      </c>
      <c r="D1704" s="125"/>
    </row>
    <row r="1705">
      <c r="A1705" s="122" t="s">
        <v>5245</v>
      </c>
      <c r="B1705" s="123">
        <v>1498233.0</v>
      </c>
      <c r="C1705" s="687" t="s">
        <v>5246</v>
      </c>
      <c r="D1705" s="125"/>
    </row>
    <row r="1706">
      <c r="A1706" s="122" t="s">
        <v>5139</v>
      </c>
      <c r="B1706" s="123">
        <v>1119769.0</v>
      </c>
      <c r="C1706" s="687" t="s">
        <v>5140</v>
      </c>
      <c r="D1706" s="125"/>
    </row>
    <row r="1707">
      <c r="A1707" s="122" t="s">
        <v>11490</v>
      </c>
      <c r="B1707" s="123">
        <v>1768267.0</v>
      </c>
      <c r="C1707" s="687" t="s">
        <v>11491</v>
      </c>
      <c r="D1707" s="125"/>
    </row>
    <row r="1708">
      <c r="A1708" s="122" t="s">
        <v>13685</v>
      </c>
      <c r="B1708" s="123">
        <v>1805387.0</v>
      </c>
      <c r="C1708" s="687" t="s">
        <v>13686</v>
      </c>
      <c r="D1708" s="125"/>
    </row>
    <row r="1709">
      <c r="A1709" s="122" t="s">
        <v>10766</v>
      </c>
      <c r="B1709" s="123">
        <v>1827090.0</v>
      </c>
      <c r="C1709" s="687" t="s">
        <v>10767</v>
      </c>
      <c r="D1709" s="125"/>
    </row>
    <row r="1710">
      <c r="A1710" s="122" t="s">
        <v>4784</v>
      </c>
      <c r="B1710" s="123">
        <v>1020214.0</v>
      </c>
      <c r="C1710" s="687" t="s">
        <v>4785</v>
      </c>
      <c r="D1710" s="125"/>
    </row>
    <row r="1711">
      <c r="A1711" s="122" t="s">
        <v>5691</v>
      </c>
      <c r="B1711" s="123">
        <v>1341141.0</v>
      </c>
      <c r="C1711" s="687" t="s">
        <v>5692</v>
      </c>
      <c r="D1711" s="125"/>
    </row>
    <row r="1712">
      <c r="A1712" s="122" t="s">
        <v>11179</v>
      </c>
      <c r="B1712" s="123">
        <v>1173489.0</v>
      </c>
      <c r="C1712" s="687" t="s">
        <v>11180</v>
      </c>
      <c r="D1712" s="125"/>
    </row>
    <row r="1713">
      <c r="A1713" s="122" t="s">
        <v>1463</v>
      </c>
      <c r="B1713" s="123">
        <v>1839519.0</v>
      </c>
      <c r="C1713" s="687" t="s">
        <v>1464</v>
      </c>
      <c r="D1713" s="125"/>
    </row>
    <row r="1714">
      <c r="A1714" s="122" t="s">
        <v>8968</v>
      </c>
      <c r="B1714" s="123">
        <v>1839519.0</v>
      </c>
      <c r="C1714" s="687" t="s">
        <v>8969</v>
      </c>
      <c r="D1714" s="125"/>
    </row>
    <row r="1715">
      <c r="A1715" s="122" t="s">
        <v>8827</v>
      </c>
      <c r="B1715" s="123">
        <v>1839519.0</v>
      </c>
      <c r="C1715" s="687" t="s">
        <v>8828</v>
      </c>
      <c r="D1715" s="125"/>
    </row>
    <row r="1716">
      <c r="A1716" s="122" t="s">
        <v>11714</v>
      </c>
      <c r="B1716" s="123">
        <v>1070680.0</v>
      </c>
      <c r="C1716" s="687" t="s">
        <v>11715</v>
      </c>
      <c r="D1716" s="125"/>
    </row>
    <row r="1717">
      <c r="A1717" s="122" t="s">
        <v>14916</v>
      </c>
      <c r="B1717" s="123">
        <v>1324404.0</v>
      </c>
      <c r="C1717" s="687" t="s">
        <v>14917</v>
      </c>
      <c r="D1717" s="125"/>
    </row>
    <row r="1718">
      <c r="A1718" s="122" t="s">
        <v>1980</v>
      </c>
      <c r="B1718" s="123">
        <v>1352952.0</v>
      </c>
      <c r="C1718" s="687" t="s">
        <v>1981</v>
      </c>
      <c r="D1718" s="125"/>
    </row>
    <row r="1719">
      <c r="A1719" s="122" t="s">
        <v>7563</v>
      </c>
      <c r="B1719" s="123">
        <v>1879103.0</v>
      </c>
      <c r="C1719" s="687" t="s">
        <v>7564</v>
      </c>
      <c r="D1719" s="125"/>
    </row>
    <row r="1720">
      <c r="A1720" s="122" t="s">
        <v>15584</v>
      </c>
      <c r="B1720" s="123">
        <v>1061574.0</v>
      </c>
      <c r="C1720" s="687" t="s">
        <v>15585</v>
      </c>
      <c r="D1720" s="125"/>
    </row>
    <row r="1721">
      <c r="A1721" s="122" t="s">
        <v>33526</v>
      </c>
      <c r="B1721" s="123">
        <v>1552358.0</v>
      </c>
      <c r="C1721" s="687" t="s">
        <v>33527</v>
      </c>
      <c r="D1721" s="125"/>
    </row>
    <row r="1722">
      <c r="A1722" s="122" t="s">
        <v>14864</v>
      </c>
      <c r="B1722" s="123">
        <v>1043277.0</v>
      </c>
      <c r="C1722" s="687" t="s">
        <v>14865</v>
      </c>
      <c r="D1722" s="125"/>
    </row>
    <row r="1723">
      <c r="A1723" s="122" t="s">
        <v>8984</v>
      </c>
      <c r="B1723" s="123">
        <v>1845149.0</v>
      </c>
      <c r="C1723" s="687" t="s">
        <v>8985</v>
      </c>
      <c r="D1723" s="125"/>
    </row>
    <row r="1724">
      <c r="A1724" s="122" t="s">
        <v>8924</v>
      </c>
      <c r="B1724" s="123">
        <v>1845149.0</v>
      </c>
      <c r="C1724" s="687" t="s">
        <v>8925</v>
      </c>
      <c r="D1724" s="125"/>
    </row>
    <row r="1725">
      <c r="A1725" s="122" t="s">
        <v>1415</v>
      </c>
      <c r="B1725" s="123">
        <v>1742924.0</v>
      </c>
      <c r="C1725" s="687" t="s">
        <v>1416</v>
      </c>
      <c r="D1725" s="125"/>
    </row>
    <row r="1726">
      <c r="A1726" s="122" t="s">
        <v>6979</v>
      </c>
      <c r="B1726" s="123">
        <v>771856.0</v>
      </c>
      <c r="C1726" s="687" t="s">
        <v>6980</v>
      </c>
      <c r="D1726" s="125"/>
    </row>
    <row r="1727">
      <c r="A1727" s="122" t="s">
        <v>12461</v>
      </c>
      <c r="B1727" s="123">
        <v>1723089.0</v>
      </c>
      <c r="C1727" s="687" t="s">
        <v>12462</v>
      </c>
      <c r="D1727" s="125"/>
    </row>
    <row r="1728">
      <c r="A1728" s="122" t="s">
        <v>2616</v>
      </c>
      <c r="B1728" s="123">
        <v>1547873.0</v>
      </c>
      <c r="C1728" s="687" t="s">
        <v>2617</v>
      </c>
      <c r="D1728" s="125"/>
    </row>
    <row r="1729">
      <c r="A1729" s="122" t="s">
        <v>13421</v>
      </c>
      <c r="B1729" s="123">
        <v>1547873.0</v>
      </c>
      <c r="C1729" s="687" t="s">
        <v>13422</v>
      </c>
      <c r="D1729" s="125"/>
    </row>
    <row r="1730">
      <c r="A1730" s="122" t="s">
        <v>4441</v>
      </c>
      <c r="B1730" s="123">
        <v>1825349.0</v>
      </c>
      <c r="C1730" s="687" t="s">
        <v>4442</v>
      </c>
      <c r="D1730" s="125"/>
    </row>
    <row r="1731">
      <c r="A1731" s="122" t="s">
        <v>10932</v>
      </c>
      <c r="B1731" s="123">
        <v>1730346.0</v>
      </c>
      <c r="C1731" s="687" t="s">
        <v>10933</v>
      </c>
      <c r="D1731" s="125"/>
    </row>
    <row r="1732">
      <c r="A1732" s="122" t="s">
        <v>2041</v>
      </c>
      <c r="B1732" s="123">
        <v>1277250.0</v>
      </c>
      <c r="C1732" s="687" t="s">
        <v>2042</v>
      </c>
      <c r="D1732" s="125"/>
    </row>
    <row r="1733">
      <c r="A1733" s="122" t="s">
        <v>4811</v>
      </c>
      <c r="B1733" s="123">
        <v>1777393.0</v>
      </c>
      <c r="C1733" s="687" t="s">
        <v>4812</v>
      </c>
      <c r="D1733" s="125"/>
    </row>
    <row r="1734">
      <c r="A1734" s="122" t="s">
        <v>2777</v>
      </c>
      <c r="B1734" s="123">
        <v>1015155.0</v>
      </c>
      <c r="C1734" s="687" t="s">
        <v>2778</v>
      </c>
      <c r="D1734" s="125"/>
    </row>
    <row r="1735">
      <c r="A1735" s="122" t="s">
        <v>16214</v>
      </c>
      <c r="B1735" s="123">
        <v>1100682.0</v>
      </c>
      <c r="C1735" s="687" t="s">
        <v>16215</v>
      </c>
      <c r="D1735" s="125"/>
    </row>
    <row r="1736">
      <c r="A1736" s="122" t="s">
        <v>14561</v>
      </c>
      <c r="B1736" s="123">
        <v>316709.0</v>
      </c>
      <c r="C1736" s="687" t="s">
        <v>14562</v>
      </c>
      <c r="D1736" s="125"/>
    </row>
    <row r="1737">
      <c r="A1737" s="122" t="s">
        <v>2205</v>
      </c>
      <c r="B1737" s="123">
        <v>1134765.0</v>
      </c>
      <c r="C1737" s="687" t="s">
        <v>2206</v>
      </c>
      <c r="D1737" s="125"/>
    </row>
    <row r="1738">
      <c r="A1738" s="122" t="s">
        <v>2245</v>
      </c>
      <c r="B1738" s="123">
        <v>1750155.0</v>
      </c>
      <c r="C1738" s="687" t="s">
        <v>2246</v>
      </c>
      <c r="D1738" s="125"/>
    </row>
    <row r="1739">
      <c r="A1739" s="122" t="s">
        <v>15626</v>
      </c>
      <c r="B1739" s="123">
        <v>892553.0</v>
      </c>
      <c r="C1739" s="687" t="s">
        <v>15627</v>
      </c>
      <c r="D1739" s="125"/>
    </row>
    <row r="1740">
      <c r="A1740" s="122" t="s">
        <v>16439</v>
      </c>
      <c r="B1740" s="123">
        <v>1091667.0</v>
      </c>
      <c r="C1740" s="687" t="s">
        <v>16440</v>
      </c>
      <c r="D1740" s="125"/>
    </row>
    <row r="1741">
      <c r="A1741" s="122" t="s">
        <v>1379</v>
      </c>
      <c r="B1741" s="123">
        <v>1025771.0</v>
      </c>
      <c r="C1741" s="687" t="s">
        <v>1380</v>
      </c>
      <c r="D1741" s="125"/>
    </row>
    <row r="1742">
      <c r="A1742" s="122" t="s">
        <v>8609</v>
      </c>
      <c r="B1742" s="123">
        <v>1476045.0</v>
      </c>
      <c r="C1742" s="687" t="s">
        <v>8610</v>
      </c>
      <c r="D1742" s="125"/>
    </row>
    <row r="1743">
      <c r="A1743" s="122" t="s">
        <v>4931</v>
      </c>
      <c r="B1743" s="123">
        <v>1610590.0</v>
      </c>
      <c r="C1743" s="687" t="s">
        <v>4932</v>
      </c>
      <c r="D1743" s="125"/>
    </row>
    <row r="1744">
      <c r="A1744" s="122" t="s">
        <v>15964</v>
      </c>
      <c r="B1744" s="123">
        <v>1015922.0</v>
      </c>
      <c r="C1744" s="687" t="s">
        <v>15965</v>
      </c>
      <c r="D1744" s="125"/>
    </row>
    <row r="1745">
      <c r="A1745" s="122" t="s">
        <v>4764</v>
      </c>
      <c r="B1745" s="123">
        <v>1651407.0</v>
      </c>
      <c r="C1745" s="687" t="s">
        <v>4765</v>
      </c>
      <c r="D1745" s="125"/>
    </row>
    <row r="1746">
      <c r="A1746" s="122" t="s">
        <v>33528</v>
      </c>
      <c r="B1746" s="123">
        <v>1738758.0</v>
      </c>
      <c r="C1746" s="687" t="s">
        <v>33529</v>
      </c>
      <c r="D1746" s="125"/>
    </row>
    <row r="1747">
      <c r="A1747" s="122" t="s">
        <v>13268</v>
      </c>
      <c r="B1747" s="123">
        <v>887596.0</v>
      </c>
      <c r="C1747" s="687" t="s">
        <v>13269</v>
      </c>
      <c r="D1747" s="125"/>
    </row>
    <row r="1748">
      <c r="A1748" s="122" t="s">
        <v>4876</v>
      </c>
      <c r="B1748" s="123">
        <v>1597835.0</v>
      </c>
      <c r="C1748" s="687" t="s">
        <v>4877</v>
      </c>
      <c r="D1748" s="125"/>
    </row>
    <row r="1749">
      <c r="A1749" s="122" t="s">
        <v>13076</v>
      </c>
      <c r="B1749" s="123">
        <v>1517175.0</v>
      </c>
      <c r="C1749" s="687" t="s">
        <v>13077</v>
      </c>
      <c r="D1749" s="125"/>
    </row>
    <row r="1750">
      <c r="A1750" s="122" t="s">
        <v>8212</v>
      </c>
      <c r="B1750" s="123">
        <v>1364954.0</v>
      </c>
      <c r="C1750" s="687" t="s">
        <v>8213</v>
      </c>
      <c r="D1750" s="125"/>
    </row>
    <row r="1751">
      <c r="A1751" s="122" t="s">
        <v>16633</v>
      </c>
      <c r="B1751" s="123">
        <v>19584.0</v>
      </c>
      <c r="C1751" s="687" t="s">
        <v>16634</v>
      </c>
      <c r="D1751" s="125"/>
    </row>
    <row r="1752">
      <c r="A1752" s="122" t="s">
        <v>12846</v>
      </c>
      <c r="B1752" s="123">
        <v>1627223.0</v>
      </c>
      <c r="C1752" s="687" t="s">
        <v>12847</v>
      </c>
      <c r="D1752" s="125"/>
    </row>
    <row r="1753">
      <c r="A1753" s="122" t="s">
        <v>16471</v>
      </c>
      <c r="B1753" s="123">
        <v>1893311.0</v>
      </c>
      <c r="C1753" s="687" t="s">
        <v>16472</v>
      </c>
      <c r="D1753" s="125"/>
    </row>
    <row r="1754">
      <c r="A1754" s="122" t="s">
        <v>13904</v>
      </c>
      <c r="B1754" s="123">
        <v>763563.0</v>
      </c>
      <c r="C1754" s="687" t="s">
        <v>13905</v>
      </c>
      <c r="D1754" s="125"/>
    </row>
    <row r="1755">
      <c r="A1755" s="122" t="s">
        <v>6724</v>
      </c>
      <c r="B1755" s="123">
        <v>1856948.0</v>
      </c>
      <c r="C1755" s="687" t="s">
        <v>6725</v>
      </c>
      <c r="D1755" s="125"/>
    </row>
    <row r="1756">
      <c r="A1756" s="122" t="s">
        <v>9181</v>
      </c>
      <c r="B1756" s="123">
        <v>1868269.0</v>
      </c>
      <c r="C1756" s="687" t="s">
        <v>9182</v>
      </c>
      <c r="D1756" s="125"/>
    </row>
    <row r="1757">
      <c r="A1757" s="122" t="s">
        <v>9087</v>
      </c>
      <c r="B1757" s="123">
        <v>1868269.0</v>
      </c>
      <c r="C1757" s="687" t="s">
        <v>9088</v>
      </c>
      <c r="D1757" s="125"/>
    </row>
    <row r="1758">
      <c r="A1758" s="122" t="s">
        <v>8101</v>
      </c>
      <c r="B1758" s="123">
        <v>1856948.0</v>
      </c>
      <c r="C1758" s="687" t="s">
        <v>8102</v>
      </c>
      <c r="D1758" s="125"/>
    </row>
    <row r="1759">
      <c r="A1759" s="122" t="s">
        <v>14164</v>
      </c>
      <c r="B1759" s="123">
        <v>1383650.0</v>
      </c>
      <c r="C1759" s="687" t="s">
        <v>14165</v>
      </c>
      <c r="D1759" s="125"/>
    </row>
    <row r="1760">
      <c r="A1760" s="122" t="s">
        <v>15962</v>
      </c>
      <c r="B1760" s="123">
        <v>3570.0</v>
      </c>
      <c r="C1760" s="687" t="s">
        <v>15963</v>
      </c>
      <c r="D1760" s="125"/>
    </row>
    <row r="1761">
      <c r="A1761" s="122" t="s">
        <v>5853</v>
      </c>
      <c r="B1761" s="123">
        <v>1571776.0</v>
      </c>
      <c r="C1761" s="687" t="s">
        <v>5854</v>
      </c>
      <c r="D1761" s="125"/>
    </row>
    <row r="1762">
      <c r="A1762" s="122" t="s">
        <v>14477</v>
      </c>
      <c r="B1762" s="123">
        <v>895126.0</v>
      </c>
      <c r="C1762" s="687" t="s">
        <v>14478</v>
      </c>
      <c r="D1762" s="125"/>
    </row>
    <row r="1763">
      <c r="A1763" s="122" t="s">
        <v>14732</v>
      </c>
      <c r="B1763" s="123">
        <v>895126.0</v>
      </c>
      <c r="C1763" s="687" t="s">
        <v>14478</v>
      </c>
      <c r="D1763" s="125"/>
    </row>
    <row r="1764">
      <c r="A1764" s="122" t="s">
        <v>14596</v>
      </c>
      <c r="B1764" s="123">
        <v>895126.0</v>
      </c>
      <c r="C1764" s="687" t="s">
        <v>14478</v>
      </c>
      <c r="D1764" s="125"/>
    </row>
    <row r="1765">
      <c r="A1765" s="122" t="s">
        <v>14920</v>
      </c>
      <c r="B1765" s="123">
        <v>895126.0</v>
      </c>
      <c r="C1765" s="687" t="s">
        <v>14921</v>
      </c>
      <c r="D1765" s="125"/>
    </row>
    <row r="1766">
      <c r="A1766" s="122" t="s">
        <v>11265</v>
      </c>
      <c r="B1766" s="123">
        <v>847538.0</v>
      </c>
      <c r="C1766" s="687" t="s">
        <v>11266</v>
      </c>
      <c r="D1766" s="125"/>
    </row>
    <row r="1767">
      <c r="A1767" s="122" t="s">
        <v>3417</v>
      </c>
      <c r="B1767" s="123">
        <v>1524769.0</v>
      </c>
      <c r="C1767" s="687" t="s">
        <v>3418</v>
      </c>
      <c r="D1767" s="125"/>
    </row>
    <row r="1768">
      <c r="A1768" s="122" t="s">
        <v>15420</v>
      </c>
      <c r="B1768" s="123">
        <v>19745.0</v>
      </c>
      <c r="C1768" s="687" t="s">
        <v>15421</v>
      </c>
      <c r="D1768" s="125"/>
    </row>
    <row r="1769">
      <c r="A1769" s="122" t="s">
        <v>15904</v>
      </c>
      <c r="B1769" s="123">
        <v>93410.0</v>
      </c>
      <c r="C1769" s="687" t="s">
        <v>15905</v>
      </c>
      <c r="D1769" s="125"/>
    </row>
    <row r="1770">
      <c r="A1770" s="122" t="s">
        <v>11002</v>
      </c>
      <c r="B1770" s="123">
        <v>1766502.0</v>
      </c>
      <c r="C1770" s="687" t="s">
        <v>11003</v>
      </c>
      <c r="D1770" s="125"/>
    </row>
    <row r="1771">
      <c r="A1771" s="122" t="s">
        <v>10612</v>
      </c>
      <c r="B1771" s="123">
        <v>1867949.0</v>
      </c>
      <c r="C1771" s="687" t="s">
        <v>10613</v>
      </c>
      <c r="D1771" s="125"/>
    </row>
    <row r="1772">
      <c r="A1772" s="122" t="s">
        <v>10876</v>
      </c>
      <c r="B1772" s="123">
        <v>19871.0</v>
      </c>
      <c r="C1772" s="687" t="s">
        <v>10877</v>
      </c>
      <c r="D1772" s="125"/>
    </row>
    <row r="1773">
      <c r="A1773" s="122" t="s">
        <v>657</v>
      </c>
      <c r="B1773" s="123">
        <v>1679063.0</v>
      </c>
      <c r="C1773" s="687" t="s">
        <v>658</v>
      </c>
      <c r="D1773" s="125"/>
    </row>
    <row r="1774">
      <c r="A1774" s="122" t="s">
        <v>5239</v>
      </c>
      <c r="B1774" s="123">
        <v>1679063.0</v>
      </c>
      <c r="C1774" s="687" t="s">
        <v>5240</v>
      </c>
      <c r="D1774" s="125"/>
    </row>
    <row r="1775">
      <c r="A1775" s="122" t="s">
        <v>2269</v>
      </c>
      <c r="B1775" s="123">
        <v>1679063.0</v>
      </c>
      <c r="C1775" s="687" t="s">
        <v>2270</v>
      </c>
      <c r="D1775" s="125"/>
    </row>
    <row r="1776">
      <c r="A1776" s="122" t="s">
        <v>3608</v>
      </c>
      <c r="B1776" s="123">
        <v>1679063.0</v>
      </c>
      <c r="C1776" s="687" t="s">
        <v>3609</v>
      </c>
      <c r="D1776" s="125"/>
    </row>
    <row r="1777">
      <c r="A1777" s="122" t="s">
        <v>11646</v>
      </c>
      <c r="B1777" s="123">
        <v>1041859.0</v>
      </c>
      <c r="C1777" s="687" t="s">
        <v>11647</v>
      </c>
      <c r="D1777" s="125"/>
    </row>
    <row r="1778">
      <c r="A1778" s="122" t="s">
        <v>6453</v>
      </c>
      <c r="B1778" s="123">
        <v>1409493.0</v>
      </c>
      <c r="C1778" s="687" t="s">
        <v>6454</v>
      </c>
      <c r="D1778" s="125"/>
    </row>
    <row r="1779">
      <c r="A1779" s="122" t="s">
        <v>3682</v>
      </c>
      <c r="B1779" s="123">
        <v>1117480.0</v>
      </c>
      <c r="C1779" s="687" t="s">
        <v>3683</v>
      </c>
      <c r="D1779" s="125"/>
    </row>
    <row r="1780">
      <c r="A1780" s="122" t="s">
        <v>5758</v>
      </c>
      <c r="B1780" s="123">
        <v>1157762.0</v>
      </c>
      <c r="C1780" s="687" t="s">
        <v>5759</v>
      </c>
      <c r="D1780" s="125"/>
    </row>
    <row r="1781">
      <c r="A1781" s="122" t="s">
        <v>33530</v>
      </c>
      <c r="B1781" s="123">
        <v>1284450.0</v>
      </c>
      <c r="C1781" s="687" t="s">
        <v>33531</v>
      </c>
      <c r="D1781" s="125"/>
    </row>
    <row r="1782">
      <c r="A1782" s="122" t="s">
        <v>2464</v>
      </c>
      <c r="B1782" s="123">
        <v>1030475.0</v>
      </c>
      <c r="C1782" s="687" t="s">
        <v>2465</v>
      </c>
      <c r="D1782" s="125"/>
    </row>
    <row r="1783">
      <c r="A1783" s="122" t="s">
        <v>33532</v>
      </c>
      <c r="B1783" s="123">
        <v>908256.0</v>
      </c>
      <c r="C1783" s="687" t="s">
        <v>33533</v>
      </c>
      <c r="D1783" s="125"/>
    </row>
    <row r="1784">
      <c r="A1784" s="122" t="s">
        <v>5554</v>
      </c>
      <c r="B1784" s="123">
        <v>1601994.0</v>
      </c>
      <c r="C1784" s="687" t="s">
        <v>5555</v>
      </c>
      <c r="D1784" s="125"/>
    </row>
    <row r="1785">
      <c r="A1785" s="122" t="s">
        <v>2683</v>
      </c>
      <c r="B1785" s="123">
        <v>1601994.0</v>
      </c>
      <c r="C1785" s="687" t="s">
        <v>2684</v>
      </c>
      <c r="D1785" s="125"/>
    </row>
    <row r="1786">
      <c r="A1786" s="122" t="s">
        <v>33534</v>
      </c>
      <c r="B1786" s="123">
        <v>1297830.0</v>
      </c>
      <c r="C1786" s="687" t="s">
        <v>33535</v>
      </c>
      <c r="D1786" s="125"/>
    </row>
    <row r="1787">
      <c r="A1787" s="122" t="s">
        <v>5205</v>
      </c>
      <c r="B1787" s="123">
        <v>1310630.0</v>
      </c>
      <c r="C1787" s="687" t="s">
        <v>5206</v>
      </c>
      <c r="D1787" s="125"/>
    </row>
    <row r="1788">
      <c r="A1788" s="122" t="s">
        <v>8034</v>
      </c>
      <c r="B1788" s="123">
        <v>845379.0</v>
      </c>
      <c r="C1788" s="687" t="s">
        <v>8035</v>
      </c>
      <c r="D1788" s="125"/>
    </row>
    <row r="1789">
      <c r="A1789" s="122" t="s">
        <v>5163</v>
      </c>
      <c r="B1789" s="123">
        <v>857949.0</v>
      </c>
      <c r="C1789" s="687" t="s">
        <v>5164</v>
      </c>
      <c r="D1789" s="125"/>
    </row>
    <row r="1790">
      <c r="A1790" s="122" t="s">
        <v>2783</v>
      </c>
      <c r="B1790" s="123">
        <v>1309057.0</v>
      </c>
      <c r="C1790" s="687" t="s">
        <v>2784</v>
      </c>
      <c r="D1790" s="125"/>
    </row>
    <row r="1791">
      <c r="A1791" s="122" t="s">
        <v>2223</v>
      </c>
      <c r="B1791" s="123">
        <v>1856084.0</v>
      </c>
      <c r="C1791" s="687" t="s">
        <v>2224</v>
      </c>
      <c r="D1791" s="125"/>
    </row>
    <row r="1792">
      <c r="A1792" s="122" t="s">
        <v>4762</v>
      </c>
      <c r="B1792" s="123">
        <v>1775085.0</v>
      </c>
      <c r="C1792" s="687" t="s">
        <v>4763</v>
      </c>
      <c r="D1792" s="125"/>
    </row>
    <row r="1793">
      <c r="A1793" s="122" t="s">
        <v>4028</v>
      </c>
      <c r="B1793" s="123">
        <v>1268896.0</v>
      </c>
      <c r="C1793" s="687" t="s">
        <v>4029</v>
      </c>
      <c r="D1793" s="125"/>
    </row>
    <row r="1794">
      <c r="A1794" s="122" t="s">
        <v>3745</v>
      </c>
      <c r="B1794" s="123">
        <v>793628.0</v>
      </c>
      <c r="C1794" s="687" t="s">
        <v>3746</v>
      </c>
      <c r="D1794" s="125"/>
    </row>
    <row r="1795">
      <c r="A1795" s="122" t="s">
        <v>3031</v>
      </c>
      <c r="B1795" s="123">
        <v>1123658.0</v>
      </c>
      <c r="C1795" s="687" t="s">
        <v>3032</v>
      </c>
      <c r="D1795" s="125"/>
    </row>
    <row r="1796">
      <c r="A1796" s="122" t="s">
        <v>4303</v>
      </c>
      <c r="B1796" s="123">
        <v>721693.0</v>
      </c>
      <c r="C1796" s="687" t="s">
        <v>4304</v>
      </c>
      <c r="D1796" s="125"/>
    </row>
    <row r="1797">
      <c r="A1797" s="122" t="s">
        <v>2751</v>
      </c>
      <c r="B1797" s="123">
        <v>1041668.0</v>
      </c>
      <c r="C1797" s="687" t="s">
        <v>2752</v>
      </c>
      <c r="D1797" s="125"/>
    </row>
    <row r="1798">
      <c r="A1798" s="122" t="s">
        <v>4709</v>
      </c>
      <c r="B1798" s="123">
        <v>1723980.0</v>
      </c>
      <c r="C1798" s="687" t="s">
        <v>4710</v>
      </c>
      <c r="D1798" s="125"/>
    </row>
    <row r="1799">
      <c r="A1799" s="122" t="s">
        <v>33536</v>
      </c>
      <c r="B1799" s="123">
        <v>1512927.0</v>
      </c>
      <c r="C1799" s="687" t="s">
        <v>33537</v>
      </c>
      <c r="D1799" s="125"/>
    </row>
    <row r="1800">
      <c r="A1800" s="122" t="s">
        <v>7834</v>
      </c>
      <c r="B1800" s="123">
        <v>932695.0</v>
      </c>
      <c r="C1800" s="687" t="s">
        <v>7835</v>
      </c>
      <c r="D1800" s="125"/>
    </row>
    <row r="1801">
      <c r="A1801" s="122" t="s">
        <v>452</v>
      </c>
      <c r="B1801" s="123">
        <v>1145898.0</v>
      </c>
      <c r="C1801" s="687" t="s">
        <v>453</v>
      </c>
      <c r="D1801" s="125"/>
    </row>
    <row r="1802">
      <c r="A1802" s="122" t="s">
        <v>8584</v>
      </c>
      <c r="B1802" s="123">
        <v>1365794.0</v>
      </c>
      <c r="C1802" s="687" t="s">
        <v>8585</v>
      </c>
      <c r="D1802" s="125"/>
    </row>
    <row r="1803">
      <c r="A1803" s="122" t="s">
        <v>12498</v>
      </c>
      <c r="B1803" s="123">
        <v>1123134.0</v>
      </c>
      <c r="C1803" s="687" t="s">
        <v>12499</v>
      </c>
      <c r="D1803" s="125"/>
    </row>
    <row r="1804">
      <c r="A1804" s="122" t="s">
        <v>16742</v>
      </c>
      <c r="B1804" s="123">
        <v>1058090.0</v>
      </c>
      <c r="C1804" s="687" t="s">
        <v>16743</v>
      </c>
      <c r="D1804" s="125"/>
    </row>
    <row r="1805">
      <c r="A1805" s="122" t="s">
        <v>15649</v>
      </c>
      <c r="B1805" s="123">
        <v>1046311.0</v>
      </c>
      <c r="C1805" s="687" t="s">
        <v>15650</v>
      </c>
      <c r="D1805" s="125"/>
    </row>
    <row r="1806">
      <c r="A1806" s="122" t="s">
        <v>12519</v>
      </c>
      <c r="B1806" s="123">
        <v>803164.0</v>
      </c>
      <c r="C1806" s="687" t="s">
        <v>12520</v>
      </c>
      <c r="D1806" s="125"/>
    </row>
    <row r="1807">
      <c r="A1807" s="122" t="s">
        <v>11065</v>
      </c>
      <c r="B1807" s="123">
        <v>1553915.0</v>
      </c>
      <c r="C1807" s="687" t="s">
        <v>11066</v>
      </c>
      <c r="D1807" s="125"/>
    </row>
    <row r="1808">
      <c r="A1808" s="122" t="s">
        <v>14964</v>
      </c>
      <c r="B1808" s="123">
        <v>1486159.0</v>
      </c>
      <c r="C1808" s="687" t="s">
        <v>10377</v>
      </c>
      <c r="D1808" s="125"/>
    </row>
    <row r="1809">
      <c r="A1809" s="122" t="s">
        <v>12026</v>
      </c>
      <c r="B1809" s="123">
        <v>1255474.0</v>
      </c>
      <c r="C1809" s="687" t="s">
        <v>10377</v>
      </c>
      <c r="D1809" s="125"/>
    </row>
    <row r="1810">
      <c r="A1810" s="122" t="s">
        <v>10376</v>
      </c>
      <c r="B1810" s="123">
        <v>1255474.0</v>
      </c>
      <c r="C1810" s="687" t="s">
        <v>10377</v>
      </c>
      <c r="D1810" s="125"/>
    </row>
    <row r="1811">
      <c r="A1811" s="122" t="s">
        <v>15900</v>
      </c>
      <c r="B1811" s="123">
        <v>1486159.0</v>
      </c>
      <c r="C1811" s="687" t="s">
        <v>15901</v>
      </c>
      <c r="D1811" s="125"/>
    </row>
    <row r="1812">
      <c r="A1812" s="122" t="s">
        <v>4419</v>
      </c>
      <c r="B1812" s="123">
        <v>1386570.0</v>
      </c>
      <c r="C1812" s="687" t="s">
        <v>4420</v>
      </c>
      <c r="D1812" s="125"/>
    </row>
    <row r="1813">
      <c r="A1813" s="122" t="s">
        <v>12876</v>
      </c>
      <c r="B1813" s="123">
        <v>823277.0</v>
      </c>
      <c r="C1813" s="687" t="s">
        <v>12877</v>
      </c>
      <c r="D1813" s="125"/>
    </row>
    <row r="1814">
      <c r="A1814" s="122" t="s">
        <v>12455</v>
      </c>
      <c r="B1814" s="123">
        <v>823277.0</v>
      </c>
      <c r="C1814" s="687" t="s">
        <v>12456</v>
      </c>
      <c r="D1814" s="125"/>
    </row>
    <row r="1815">
      <c r="A1815" s="122" t="s">
        <v>12394</v>
      </c>
      <c r="B1815" s="123">
        <v>823277.0</v>
      </c>
      <c r="C1815" s="687" t="s">
        <v>12395</v>
      </c>
      <c r="D1815" s="125"/>
    </row>
    <row r="1816">
      <c r="A1816" s="122" t="s">
        <v>12314</v>
      </c>
      <c r="B1816" s="123">
        <v>823277.0</v>
      </c>
      <c r="C1816" s="687" t="s">
        <v>12315</v>
      </c>
      <c r="D1816" s="125"/>
    </row>
    <row r="1817">
      <c r="A1817" s="122" t="s">
        <v>12414</v>
      </c>
      <c r="B1817" s="123">
        <v>823277.0</v>
      </c>
      <c r="C1817" s="687" t="s">
        <v>12415</v>
      </c>
      <c r="D1817" s="125"/>
    </row>
    <row r="1818">
      <c r="A1818" s="122" t="s">
        <v>16317</v>
      </c>
      <c r="B1818" s="123">
        <v>896159.0</v>
      </c>
      <c r="C1818" s="687" t="s">
        <v>16318</v>
      </c>
      <c r="D1818" s="125"/>
    </row>
    <row r="1819">
      <c r="A1819" s="122" t="s">
        <v>4481</v>
      </c>
      <c r="B1819" s="123">
        <v>1191334.0</v>
      </c>
      <c r="C1819" s="687" t="s">
        <v>4482</v>
      </c>
      <c r="D1819" s="125"/>
    </row>
    <row r="1820">
      <c r="A1820" s="122" t="s">
        <v>13465</v>
      </c>
      <c r="B1820" s="123">
        <v>1132924.0</v>
      </c>
      <c r="C1820" s="687" t="s">
        <v>13466</v>
      </c>
      <c r="D1820" s="125"/>
    </row>
    <row r="1821">
      <c r="A1821" s="122" t="s">
        <v>15372</v>
      </c>
      <c r="B1821" s="123">
        <v>313927.0</v>
      </c>
      <c r="C1821" s="687" t="s">
        <v>15373</v>
      </c>
      <c r="D1821" s="125"/>
    </row>
    <row r="1822">
      <c r="A1822" s="122" t="s">
        <v>8666</v>
      </c>
      <c r="B1822" s="123">
        <v>1828248.0</v>
      </c>
      <c r="C1822" s="687" t="s">
        <v>8667</v>
      </c>
      <c r="D1822" s="125"/>
    </row>
    <row r="1823">
      <c r="A1823" s="122" t="s">
        <v>15645</v>
      </c>
      <c r="B1823" s="123">
        <v>20212.0</v>
      </c>
      <c r="C1823" s="687" t="s">
        <v>15646</v>
      </c>
      <c r="D1823" s="125"/>
    </row>
    <row r="1824">
      <c r="A1824" s="122" t="s">
        <v>13205</v>
      </c>
      <c r="B1824" s="123">
        <v>1524931.0</v>
      </c>
      <c r="C1824" s="687" t="s">
        <v>13206</v>
      </c>
      <c r="D1824" s="125"/>
    </row>
    <row r="1825">
      <c r="A1825" s="122" t="s">
        <v>10684</v>
      </c>
      <c r="B1825" s="123">
        <v>1664780.0</v>
      </c>
      <c r="C1825" s="687" t="s">
        <v>10685</v>
      </c>
      <c r="D1825" s="125"/>
    </row>
    <row r="1826">
      <c r="A1826" s="122" t="s">
        <v>11028</v>
      </c>
      <c r="B1826" s="123">
        <v>1868734.0</v>
      </c>
      <c r="C1826" s="687" t="s">
        <v>11029</v>
      </c>
      <c r="D1826" s="125"/>
    </row>
    <row r="1827">
      <c r="A1827" s="122" t="s">
        <v>11365</v>
      </c>
      <c r="B1827" s="123">
        <v>1009759.0</v>
      </c>
      <c r="C1827" s="687" t="s">
        <v>11366</v>
      </c>
      <c r="D1827" s="125"/>
    </row>
    <row r="1828">
      <c r="A1828" s="122" t="s">
        <v>6279</v>
      </c>
      <c r="B1828" s="123">
        <v>1868995.0</v>
      </c>
      <c r="C1828" s="687" t="s">
        <v>6280</v>
      </c>
      <c r="D1828" s="125"/>
    </row>
    <row r="1829">
      <c r="A1829" s="122" t="s">
        <v>10743</v>
      </c>
      <c r="B1829" s="123">
        <v>1092662.0</v>
      </c>
      <c r="C1829" s="687" t="s">
        <v>10744</v>
      </c>
      <c r="D1829" s="125"/>
    </row>
    <row r="1830">
      <c r="A1830" s="122" t="s">
        <v>3365</v>
      </c>
      <c r="B1830" s="123">
        <v>1610618.0</v>
      </c>
      <c r="C1830" s="687" t="s">
        <v>3366</v>
      </c>
      <c r="D1830" s="125"/>
    </row>
    <row r="1831">
      <c r="A1831" s="122" t="s">
        <v>14250</v>
      </c>
      <c r="B1831" s="123">
        <v>936395.0</v>
      </c>
      <c r="C1831" s="687" t="s">
        <v>14251</v>
      </c>
      <c r="D1831" s="125"/>
    </row>
    <row r="1832">
      <c r="A1832" s="122" t="s">
        <v>16450</v>
      </c>
      <c r="B1832" s="123">
        <v>1739940.0</v>
      </c>
      <c r="C1832" s="687" t="s">
        <v>16451</v>
      </c>
      <c r="D1832" s="125"/>
    </row>
    <row r="1833">
      <c r="A1833" s="122" t="s">
        <v>1295</v>
      </c>
      <c r="B1833" s="123">
        <v>1498547.0</v>
      </c>
      <c r="C1833" s="687" t="s">
        <v>1296</v>
      </c>
      <c r="D1833" s="125"/>
    </row>
    <row r="1834">
      <c r="A1834" s="122" t="s">
        <v>15240</v>
      </c>
      <c r="B1834" s="123">
        <v>1262976.0</v>
      </c>
      <c r="C1834" s="687" t="s">
        <v>15241</v>
      </c>
      <c r="D1834" s="125"/>
    </row>
    <row r="1835">
      <c r="A1835" s="122" t="s">
        <v>15546</v>
      </c>
      <c r="B1835" s="123">
        <v>20286.0</v>
      </c>
      <c r="C1835" s="687" t="s">
        <v>15547</v>
      </c>
      <c r="D1835" s="125"/>
    </row>
    <row r="1836">
      <c r="A1836" s="122" t="s">
        <v>10215</v>
      </c>
      <c r="B1836" s="123">
        <v>1385280.0</v>
      </c>
      <c r="C1836" s="687" t="s">
        <v>10216</v>
      </c>
      <c r="D1836" s="125"/>
    </row>
    <row r="1837">
      <c r="A1837" s="122" t="s">
        <v>834</v>
      </c>
      <c r="B1837" s="123">
        <v>1862150.0</v>
      </c>
      <c r="C1837" s="687" t="s">
        <v>835</v>
      </c>
      <c r="D1837" s="125"/>
    </row>
    <row r="1838">
      <c r="A1838" s="122" t="s">
        <v>4195</v>
      </c>
      <c r="B1838" s="123">
        <v>1862150.0</v>
      </c>
      <c r="C1838" s="687" t="s">
        <v>4196</v>
      </c>
      <c r="D1838" s="125"/>
    </row>
    <row r="1839">
      <c r="A1839" s="122" t="s">
        <v>16639</v>
      </c>
      <c r="B1839" s="123">
        <v>723254.0</v>
      </c>
      <c r="C1839" s="687" t="s">
        <v>16640</v>
      </c>
      <c r="D1839" s="125"/>
    </row>
    <row r="1840">
      <c r="A1840" s="122" t="s">
        <v>9228</v>
      </c>
      <c r="B1840" s="123">
        <v>1534254.0</v>
      </c>
      <c r="C1840" s="687" t="s">
        <v>9229</v>
      </c>
      <c r="D1840" s="125"/>
    </row>
    <row r="1841">
      <c r="A1841" s="122" t="s">
        <v>3598</v>
      </c>
      <c r="B1841" s="123">
        <v>1819989.0</v>
      </c>
      <c r="C1841" s="687" t="s">
        <v>3599</v>
      </c>
      <c r="D1841" s="125"/>
    </row>
    <row r="1842">
      <c r="A1842" s="122" t="s">
        <v>5310</v>
      </c>
      <c r="B1842" s="123">
        <v>1819989.0</v>
      </c>
      <c r="C1842" s="687" t="s">
        <v>5311</v>
      </c>
      <c r="D1842" s="125"/>
    </row>
    <row r="1843">
      <c r="A1843" s="122" t="s">
        <v>2868</v>
      </c>
      <c r="B1843" s="123">
        <v>1091883.0</v>
      </c>
      <c r="C1843" s="687" t="s">
        <v>2869</v>
      </c>
      <c r="D1843" s="125"/>
    </row>
    <row r="1844">
      <c r="A1844" s="122" t="s">
        <v>14923</v>
      </c>
      <c r="B1844" s="123">
        <v>772406.0</v>
      </c>
      <c r="C1844" s="687" t="s">
        <v>14924</v>
      </c>
      <c r="D1844" s="125"/>
    </row>
    <row r="1845">
      <c r="A1845" s="122" t="s">
        <v>794</v>
      </c>
      <c r="B1845" s="123">
        <v>813716.0</v>
      </c>
      <c r="C1845" s="687" t="s">
        <v>795</v>
      </c>
      <c r="D1845" s="125"/>
    </row>
    <row r="1846">
      <c r="A1846" s="122" t="s">
        <v>14092</v>
      </c>
      <c r="B1846" s="123">
        <v>858877.0</v>
      </c>
      <c r="C1846" s="687" t="s">
        <v>14093</v>
      </c>
      <c r="D1846" s="125"/>
    </row>
    <row r="1847">
      <c r="A1847" s="122" t="s">
        <v>1827</v>
      </c>
      <c r="B1847" s="123">
        <v>1777319.0</v>
      </c>
      <c r="C1847" s="687" t="s">
        <v>1828</v>
      </c>
      <c r="D1847" s="125"/>
    </row>
    <row r="1848">
      <c r="A1848" s="122" t="s">
        <v>12634</v>
      </c>
      <c r="B1848" s="123">
        <v>1318484.0</v>
      </c>
      <c r="C1848" s="687" t="s">
        <v>12635</v>
      </c>
      <c r="D1848" s="125"/>
    </row>
    <row r="1849">
      <c r="A1849" s="122" t="s">
        <v>14286</v>
      </c>
      <c r="B1849" s="123">
        <v>831001.0</v>
      </c>
      <c r="C1849" s="687" t="s">
        <v>14287</v>
      </c>
      <c r="D1849" s="125"/>
    </row>
    <row r="1850">
      <c r="A1850" s="122" t="s">
        <v>3269</v>
      </c>
      <c r="B1850" s="123">
        <v>1506251.0</v>
      </c>
      <c r="C1850" s="687" t="s">
        <v>3270</v>
      </c>
      <c r="D1850" s="125"/>
    </row>
    <row r="1851">
      <c r="A1851" s="122" t="s">
        <v>11533</v>
      </c>
      <c r="B1851" s="123">
        <v>810958.0</v>
      </c>
      <c r="C1851" s="687" t="s">
        <v>11534</v>
      </c>
      <c r="D1851" s="125"/>
    </row>
    <row r="1852">
      <c r="A1852" s="122" t="s">
        <v>9726</v>
      </c>
      <c r="B1852" s="123">
        <v>1367859.0</v>
      </c>
      <c r="C1852" s="687" t="s">
        <v>9727</v>
      </c>
      <c r="D1852" s="125"/>
    </row>
    <row r="1853">
      <c r="A1853" s="122" t="s">
        <v>12988</v>
      </c>
      <c r="B1853" s="123">
        <v>759944.0</v>
      </c>
      <c r="C1853" s="687" t="s">
        <v>12989</v>
      </c>
      <c r="D1853" s="125"/>
    </row>
    <row r="1854">
      <c r="A1854" s="122" t="s">
        <v>14278</v>
      </c>
      <c r="B1854" s="123">
        <v>739421.0</v>
      </c>
      <c r="C1854" s="687" t="s">
        <v>14279</v>
      </c>
      <c r="D1854" s="125"/>
    </row>
    <row r="1855">
      <c r="A1855" s="122" t="s">
        <v>7561</v>
      </c>
      <c r="B1855" s="123">
        <v>1075706.0</v>
      </c>
      <c r="C1855" s="687" t="s">
        <v>7562</v>
      </c>
      <c r="D1855" s="125"/>
    </row>
    <row r="1856">
      <c r="A1856" s="122" t="s">
        <v>5427</v>
      </c>
      <c r="B1856" s="123">
        <v>24090.0</v>
      </c>
      <c r="C1856" s="687" t="s">
        <v>5428</v>
      </c>
      <c r="D1856" s="125"/>
    </row>
    <row r="1857">
      <c r="A1857" s="122" t="s">
        <v>15431</v>
      </c>
      <c r="B1857" s="123">
        <v>1855467.0</v>
      </c>
      <c r="C1857" s="687" t="s">
        <v>15432</v>
      </c>
      <c r="D1857" s="125"/>
    </row>
    <row r="1858">
      <c r="A1858" s="122" t="s">
        <v>936</v>
      </c>
      <c r="B1858" s="123">
        <v>1498067.0</v>
      </c>
      <c r="C1858" s="687" t="s">
        <v>937</v>
      </c>
      <c r="D1858" s="125"/>
    </row>
    <row r="1859">
      <c r="A1859" s="122" t="s">
        <v>15405</v>
      </c>
      <c r="B1859" s="123">
        <v>726854.0</v>
      </c>
      <c r="C1859" s="687" t="s">
        <v>15406</v>
      </c>
      <c r="D1859" s="125"/>
    </row>
    <row r="1860">
      <c r="A1860" s="122" t="s">
        <v>6534</v>
      </c>
      <c r="B1860" s="123">
        <v>1593222.0</v>
      </c>
      <c r="C1860" s="687" t="s">
        <v>6535</v>
      </c>
      <c r="D1860" s="125"/>
    </row>
    <row r="1861">
      <c r="A1861" s="122" t="s">
        <v>11847</v>
      </c>
      <c r="B1861" s="123">
        <v>1590584.0</v>
      </c>
      <c r="C1861" s="687" t="s">
        <v>11848</v>
      </c>
      <c r="D1861" s="125"/>
    </row>
    <row r="1862">
      <c r="A1862" s="122" t="s">
        <v>10719</v>
      </c>
      <c r="B1862" s="123">
        <v>944745.0</v>
      </c>
      <c r="C1862" s="687" t="s">
        <v>10720</v>
      </c>
      <c r="D1862" s="125"/>
    </row>
    <row r="1863">
      <c r="A1863" s="122" t="s">
        <v>14524</v>
      </c>
      <c r="B1863" s="123">
        <v>1509589.0</v>
      </c>
      <c r="C1863" s="687" t="s">
        <v>14525</v>
      </c>
      <c r="D1863" s="125"/>
    </row>
    <row r="1864">
      <c r="A1864" s="122" t="s">
        <v>6615</v>
      </c>
      <c r="B1864" s="123">
        <v>1637120.0</v>
      </c>
      <c r="C1864" s="687" t="s">
        <v>6616</v>
      </c>
      <c r="D1864" s="125"/>
    </row>
    <row r="1865">
      <c r="A1865" s="122" t="s">
        <v>6686</v>
      </c>
      <c r="B1865" s="123">
        <v>1637120.0</v>
      </c>
      <c r="C1865" s="687" t="s">
        <v>6687</v>
      </c>
      <c r="D1865" s="125"/>
    </row>
    <row r="1866">
      <c r="A1866" s="122" t="s">
        <v>9331</v>
      </c>
      <c r="B1866" s="123">
        <v>1801956.0</v>
      </c>
      <c r="C1866" s="687" t="s">
        <v>9332</v>
      </c>
      <c r="D1866" s="125"/>
    </row>
    <row r="1867">
      <c r="A1867" s="122" t="s">
        <v>8109</v>
      </c>
      <c r="B1867" s="123">
        <v>1764046.0</v>
      </c>
      <c r="C1867" s="687" t="s">
        <v>8110</v>
      </c>
      <c r="D1867" s="125"/>
    </row>
    <row r="1868">
      <c r="A1868" s="122" t="s">
        <v>9367</v>
      </c>
      <c r="B1868" s="123">
        <v>1666291.0</v>
      </c>
      <c r="C1868" s="687" t="s">
        <v>9368</v>
      </c>
      <c r="D1868" s="125"/>
    </row>
    <row r="1869">
      <c r="A1869" s="122" t="s">
        <v>6996</v>
      </c>
      <c r="B1869" s="123">
        <v>913277.0</v>
      </c>
      <c r="C1869" s="687" t="s">
        <v>6997</v>
      </c>
      <c r="D1869" s="125"/>
    </row>
    <row r="1870">
      <c r="A1870" s="122" t="s">
        <v>33538</v>
      </c>
      <c r="B1870" s="123">
        <v>1530874.0</v>
      </c>
      <c r="C1870" s="687" t="s">
        <v>33539</v>
      </c>
      <c r="D1870" s="125"/>
    </row>
    <row r="1871">
      <c r="A1871" s="122" t="s">
        <v>5472</v>
      </c>
      <c r="B1871" s="123">
        <v>1368265.0</v>
      </c>
      <c r="C1871" s="687" t="s">
        <v>5473</v>
      </c>
      <c r="D1871" s="125"/>
    </row>
    <row r="1872">
      <c r="A1872" s="122" t="s">
        <v>8598</v>
      </c>
      <c r="B1872" s="123">
        <v>1838000.0</v>
      </c>
      <c r="C1872" s="687" t="s">
        <v>1548</v>
      </c>
      <c r="D1872" s="125"/>
    </row>
    <row r="1873">
      <c r="A1873" s="122" t="s">
        <v>1547</v>
      </c>
      <c r="B1873" s="123">
        <v>1838000.0</v>
      </c>
      <c r="C1873" s="687" t="s">
        <v>1548</v>
      </c>
      <c r="D1873" s="125"/>
    </row>
    <row r="1874">
      <c r="A1874" s="122" t="s">
        <v>8599</v>
      </c>
      <c r="B1874" s="123">
        <v>1838000.0</v>
      </c>
      <c r="C1874" s="687" t="s">
        <v>8600</v>
      </c>
      <c r="D1874" s="125"/>
    </row>
    <row r="1875">
      <c r="A1875" s="122" t="s">
        <v>3564</v>
      </c>
      <c r="B1875" s="123">
        <v>1329606.0</v>
      </c>
      <c r="C1875" s="687" t="s">
        <v>3565</v>
      </c>
      <c r="D1875" s="125"/>
    </row>
    <row r="1876">
      <c r="A1876" s="122" t="s">
        <v>16018</v>
      </c>
      <c r="B1876" s="123">
        <v>822818.0</v>
      </c>
      <c r="C1876" s="687" t="s">
        <v>16019</v>
      </c>
      <c r="D1876" s="125"/>
    </row>
    <row r="1877">
      <c r="A1877" s="122" t="s">
        <v>1299</v>
      </c>
      <c r="B1877" s="123">
        <v>1391426.0</v>
      </c>
      <c r="C1877" s="687" t="s">
        <v>1300</v>
      </c>
      <c r="D1877" s="125"/>
    </row>
    <row r="1878">
      <c r="A1878" s="122" t="s">
        <v>7761</v>
      </c>
      <c r="B1878" s="123">
        <v>827876.0</v>
      </c>
      <c r="C1878" s="687" t="s">
        <v>7762</v>
      </c>
      <c r="D1878" s="125"/>
    </row>
    <row r="1879">
      <c r="A1879" s="122" t="s">
        <v>33540</v>
      </c>
      <c r="B1879" s="123">
        <v>1411036.0</v>
      </c>
      <c r="C1879" s="687" t="s">
        <v>33541</v>
      </c>
      <c r="D1879" s="125"/>
    </row>
    <row r="1880">
      <c r="A1880" s="122" t="s">
        <v>2175</v>
      </c>
      <c r="B1880" s="123">
        <v>1011432.0</v>
      </c>
      <c r="C1880" s="687" t="s">
        <v>2176</v>
      </c>
      <c r="D1880" s="125"/>
    </row>
    <row r="1881">
      <c r="A1881" s="122" t="s">
        <v>4545</v>
      </c>
      <c r="B1881" s="123">
        <v>1334978.0</v>
      </c>
      <c r="C1881" s="687" t="s">
        <v>4546</v>
      </c>
      <c r="D1881" s="125"/>
    </row>
    <row r="1882">
      <c r="A1882" s="122" t="s">
        <v>11339</v>
      </c>
      <c r="B1882" s="123">
        <v>1856314.0</v>
      </c>
      <c r="C1882" s="687" t="s">
        <v>11340</v>
      </c>
      <c r="D1882" s="125"/>
    </row>
    <row r="1883">
      <c r="A1883" s="122" t="s">
        <v>13270</v>
      </c>
      <c r="B1883" s="123">
        <v>1517518.0</v>
      </c>
      <c r="C1883" s="687" t="s">
        <v>13271</v>
      </c>
      <c r="D1883" s="125"/>
    </row>
    <row r="1884">
      <c r="A1884" s="122" t="s">
        <v>13398</v>
      </c>
      <c r="B1884" s="123">
        <v>1547341.0</v>
      </c>
      <c r="C1884" s="687" t="s">
        <v>13399</v>
      </c>
      <c r="D1884" s="125"/>
    </row>
    <row r="1885">
      <c r="A1885" s="122" t="s">
        <v>13602</v>
      </c>
      <c r="B1885" s="123">
        <v>1488775.0</v>
      </c>
      <c r="C1885" s="687" t="s">
        <v>13603</v>
      </c>
      <c r="D1885" s="125"/>
    </row>
    <row r="1886">
      <c r="A1886" s="122" t="s">
        <v>3315</v>
      </c>
      <c r="B1886" s="123">
        <v>895665.0</v>
      </c>
      <c r="C1886" s="687" t="s">
        <v>3316</v>
      </c>
      <c r="D1886" s="125"/>
    </row>
    <row r="1887">
      <c r="A1887" s="122" t="s">
        <v>12751</v>
      </c>
      <c r="B1887" s="123">
        <v>796505.0</v>
      </c>
      <c r="C1887" s="687" t="s">
        <v>12752</v>
      </c>
      <c r="D1887" s="125"/>
    </row>
    <row r="1888">
      <c r="A1888" s="122" t="s">
        <v>3859</v>
      </c>
      <c r="B1888" s="123">
        <v>840715.0</v>
      </c>
      <c r="C1888" s="687" t="s">
        <v>3860</v>
      </c>
      <c r="D1888" s="125"/>
    </row>
    <row r="1889">
      <c r="A1889" s="122" t="s">
        <v>7382</v>
      </c>
      <c r="B1889" s="123">
        <v>1285550.0</v>
      </c>
      <c r="C1889" s="687" t="s">
        <v>7383</v>
      </c>
      <c r="D1889" s="125"/>
    </row>
    <row r="1890">
      <c r="A1890" s="122" t="s">
        <v>4255</v>
      </c>
      <c r="B1890" s="123">
        <v>1539029.0</v>
      </c>
      <c r="C1890" s="687" t="s">
        <v>4256</v>
      </c>
      <c r="D1890" s="125"/>
    </row>
    <row r="1891">
      <c r="A1891" s="122" t="s">
        <v>3805</v>
      </c>
      <c r="B1891" s="123">
        <v>1434524.0</v>
      </c>
      <c r="C1891" s="687" t="s">
        <v>3806</v>
      </c>
      <c r="D1891" s="125"/>
    </row>
    <row r="1892">
      <c r="A1892" s="122" t="s">
        <v>888</v>
      </c>
      <c r="B1892" s="123">
        <v>1362516.0</v>
      </c>
      <c r="C1892" s="687" t="s">
        <v>889</v>
      </c>
      <c r="D1892" s="125"/>
    </row>
    <row r="1893">
      <c r="A1893" s="122" t="s">
        <v>11271</v>
      </c>
      <c r="B1893" s="123">
        <v>1866368.0</v>
      </c>
      <c r="C1893" s="687" t="s">
        <v>11272</v>
      </c>
      <c r="D1893" s="125"/>
    </row>
    <row r="1894">
      <c r="A1894" s="122" t="s">
        <v>13061</v>
      </c>
      <c r="B1894" s="123">
        <v>1441236.0</v>
      </c>
      <c r="C1894" s="687" t="s">
        <v>13062</v>
      </c>
      <c r="D1894" s="125"/>
    </row>
    <row r="1895">
      <c r="A1895" s="122" t="s">
        <v>12081</v>
      </c>
      <c r="B1895" s="123">
        <v>1567683.0</v>
      </c>
      <c r="C1895" s="687" t="s">
        <v>12082</v>
      </c>
      <c r="D1895" s="125"/>
    </row>
    <row r="1896">
      <c r="A1896" s="122" t="s">
        <v>1707</v>
      </c>
      <c r="B1896" s="123">
        <v>1822791.0</v>
      </c>
      <c r="C1896" s="687" t="s">
        <v>1708</v>
      </c>
      <c r="D1896" s="125"/>
    </row>
    <row r="1897">
      <c r="A1897" s="122" t="s">
        <v>2935</v>
      </c>
      <c r="B1897" s="123">
        <v>1822791.0</v>
      </c>
      <c r="C1897" s="687" t="s">
        <v>2936</v>
      </c>
      <c r="D1897" s="125"/>
    </row>
    <row r="1898">
      <c r="A1898" s="122" t="s">
        <v>6191</v>
      </c>
      <c r="B1898" s="123">
        <v>732834.0</v>
      </c>
      <c r="C1898" s="687" t="s">
        <v>6192</v>
      </c>
      <c r="D1898" s="125"/>
    </row>
    <row r="1899">
      <c r="A1899" s="122" t="s">
        <v>11474</v>
      </c>
      <c r="B1899" s="123">
        <v>764065.0</v>
      </c>
      <c r="C1899" s="687" t="s">
        <v>11475</v>
      </c>
      <c r="D1899" s="125"/>
    </row>
    <row r="1900">
      <c r="A1900" s="122" t="s">
        <v>1263</v>
      </c>
      <c r="B1900" s="123">
        <v>1819615.0</v>
      </c>
      <c r="C1900" s="687" t="s">
        <v>1264</v>
      </c>
      <c r="D1900" s="125"/>
    </row>
    <row r="1901">
      <c r="A1901" s="122" t="s">
        <v>5508</v>
      </c>
      <c r="B1901" s="123">
        <v>1819615.0</v>
      </c>
      <c r="C1901" s="687" t="s">
        <v>5509</v>
      </c>
      <c r="D1901" s="125"/>
    </row>
    <row r="1902">
      <c r="A1902" s="122" t="s">
        <v>33542</v>
      </c>
      <c r="B1902" s="123">
        <v>1393548.0</v>
      </c>
      <c r="C1902" s="687" t="s">
        <v>33543</v>
      </c>
      <c r="D1902" s="125"/>
    </row>
    <row r="1903">
      <c r="A1903" s="122" t="s">
        <v>9230</v>
      </c>
      <c r="B1903" s="123">
        <v>1903392.0</v>
      </c>
      <c r="C1903" s="687" t="s">
        <v>9231</v>
      </c>
      <c r="D1903" s="125"/>
    </row>
    <row r="1904">
      <c r="A1904" s="122" t="s">
        <v>8403</v>
      </c>
      <c r="B1904" s="123">
        <v>1290877.0</v>
      </c>
      <c r="C1904" s="687" t="s">
        <v>8404</v>
      </c>
      <c r="D1904" s="125"/>
    </row>
    <row r="1905">
      <c r="A1905" s="122" t="s">
        <v>8424</v>
      </c>
      <c r="B1905" s="123">
        <v>1290877.0</v>
      </c>
      <c r="C1905" s="687" t="s">
        <v>8425</v>
      </c>
      <c r="D1905" s="125"/>
    </row>
    <row r="1906">
      <c r="A1906" s="122" t="s">
        <v>6591</v>
      </c>
      <c r="B1906" s="123">
        <v>1649096.0</v>
      </c>
      <c r="C1906" s="687" t="s">
        <v>6592</v>
      </c>
      <c r="D1906" s="125"/>
    </row>
    <row r="1907">
      <c r="A1907" s="122" t="s">
        <v>15924</v>
      </c>
      <c r="B1907" s="123">
        <v>21076.0</v>
      </c>
      <c r="C1907" s="687" t="s">
        <v>15925</v>
      </c>
      <c r="D1907" s="125"/>
    </row>
    <row r="1908">
      <c r="A1908" s="122" t="s">
        <v>15059</v>
      </c>
      <c r="B1908" s="123">
        <v>1477333.0</v>
      </c>
      <c r="C1908" s="687" t="s">
        <v>15060</v>
      </c>
      <c r="D1908" s="125"/>
    </row>
    <row r="1909">
      <c r="A1909" s="122" t="s">
        <v>1225</v>
      </c>
      <c r="B1909" s="123">
        <v>1619227.0</v>
      </c>
      <c r="C1909" s="687" t="s">
        <v>1226</v>
      </c>
      <c r="D1909" s="125"/>
    </row>
    <row r="1910">
      <c r="A1910" s="122" t="s">
        <v>6760</v>
      </c>
      <c r="B1910" s="123">
        <v>1288795.0</v>
      </c>
      <c r="C1910" s="687" t="s">
        <v>6761</v>
      </c>
      <c r="D1910" s="125"/>
    </row>
    <row r="1911">
      <c r="A1911" s="122" t="s">
        <v>7065</v>
      </c>
      <c r="B1911" s="123">
        <v>1316463.0</v>
      </c>
      <c r="C1911" s="687" t="s">
        <v>7066</v>
      </c>
      <c r="D1911" s="125"/>
    </row>
    <row r="1912">
      <c r="A1912" s="122" t="s">
        <v>6491</v>
      </c>
      <c r="B1912" s="123">
        <v>1350869.0</v>
      </c>
      <c r="C1912" s="687" t="s">
        <v>6492</v>
      </c>
      <c r="D1912" s="125"/>
    </row>
    <row r="1913">
      <c r="A1913" s="122" t="s">
        <v>3779</v>
      </c>
      <c r="B1913" s="123">
        <v>1801170.0</v>
      </c>
      <c r="C1913" s="687" t="s">
        <v>3780</v>
      </c>
      <c r="D1913" s="125"/>
    </row>
    <row r="1914">
      <c r="A1914" s="122" t="s">
        <v>9616</v>
      </c>
      <c r="B1914" s="123">
        <v>1849058.0</v>
      </c>
      <c r="C1914" s="687" t="s">
        <v>9617</v>
      </c>
      <c r="D1914" s="125"/>
    </row>
    <row r="1915">
      <c r="A1915" s="122" t="s">
        <v>3803</v>
      </c>
      <c r="B1915" s="123">
        <v>1724542.0</v>
      </c>
      <c r="C1915" s="687" t="s">
        <v>3804</v>
      </c>
      <c r="D1915" s="125"/>
    </row>
    <row r="1916">
      <c r="A1916" s="122" t="s">
        <v>1395</v>
      </c>
      <c r="B1916" s="123">
        <v>1522222.0</v>
      </c>
      <c r="C1916" s="687" t="s">
        <v>1396</v>
      </c>
      <c r="D1916" s="125"/>
    </row>
    <row r="1917">
      <c r="A1917" s="122" t="s">
        <v>671</v>
      </c>
      <c r="B1917" s="123">
        <v>1456453.0</v>
      </c>
      <c r="C1917" s="687" t="s">
        <v>672</v>
      </c>
      <c r="D1917" s="125"/>
    </row>
    <row r="1918">
      <c r="A1918" s="122" t="s">
        <v>33544</v>
      </c>
      <c r="B1918" s="123">
        <v>1389518.0</v>
      </c>
      <c r="C1918" s="687" t="s">
        <v>33545</v>
      </c>
      <c r="D1918" s="125"/>
    </row>
    <row r="1919">
      <c r="A1919" s="122" t="s">
        <v>16178</v>
      </c>
      <c r="B1919" s="123">
        <v>1156375.0</v>
      </c>
      <c r="C1919" s="687" t="s">
        <v>16179</v>
      </c>
      <c r="D1919" s="125"/>
    </row>
    <row r="1920">
      <c r="A1920" s="122" t="s">
        <v>33546</v>
      </c>
      <c r="B1920" s="123">
        <v>1346655.0</v>
      </c>
      <c r="C1920" s="687" t="s">
        <v>33547</v>
      </c>
      <c r="D1920" s="125"/>
    </row>
    <row r="1921">
      <c r="A1921" s="122" t="s">
        <v>12282</v>
      </c>
      <c r="B1921" s="123">
        <v>811156.0</v>
      </c>
      <c r="C1921" s="687" t="s">
        <v>12283</v>
      </c>
      <c r="D1921" s="125"/>
    </row>
    <row r="1922">
      <c r="A1922" s="122" t="s">
        <v>14366</v>
      </c>
      <c r="B1922" s="123">
        <v>811156.0</v>
      </c>
      <c r="C1922" s="687" t="s">
        <v>14367</v>
      </c>
      <c r="D1922" s="125"/>
    </row>
    <row r="1923">
      <c r="A1923" s="122" t="s">
        <v>4301</v>
      </c>
      <c r="B1923" s="123">
        <v>1780785.0</v>
      </c>
      <c r="C1923" s="687" t="s">
        <v>4302</v>
      </c>
      <c r="D1923" s="125"/>
    </row>
    <row r="1924">
      <c r="A1924" s="122" t="s">
        <v>13763</v>
      </c>
      <c r="B1924" s="123">
        <v>21175.0</v>
      </c>
      <c r="C1924" s="687" t="s">
        <v>13764</v>
      </c>
      <c r="D1924" s="125"/>
    </row>
    <row r="1925">
      <c r="A1925" s="122" t="s">
        <v>11554</v>
      </c>
      <c r="B1925" s="123">
        <v>736772.0</v>
      </c>
      <c r="C1925" s="687" t="s">
        <v>11555</v>
      </c>
      <c r="D1925" s="125"/>
    </row>
    <row r="1926">
      <c r="A1926" s="122" t="s">
        <v>11835</v>
      </c>
      <c r="B1926" s="123">
        <v>736772.0</v>
      </c>
      <c r="C1926" s="687" t="s">
        <v>11836</v>
      </c>
      <c r="D1926" s="125"/>
    </row>
    <row r="1927">
      <c r="A1927" s="122" t="s">
        <v>482</v>
      </c>
      <c r="B1927" s="123">
        <v>1343009.0</v>
      </c>
      <c r="C1927" s="687" t="s">
        <v>483</v>
      </c>
      <c r="D1927" s="125"/>
    </row>
    <row r="1928">
      <c r="A1928" s="122" t="s">
        <v>5092</v>
      </c>
      <c r="B1928" s="123">
        <v>1733868.0</v>
      </c>
      <c r="C1928" s="687" t="s">
        <v>5093</v>
      </c>
      <c r="D1928" s="125"/>
    </row>
    <row r="1929">
      <c r="A1929" s="122" t="s">
        <v>9696</v>
      </c>
      <c r="B1929" s="123">
        <v>1567094.0</v>
      </c>
      <c r="C1929" s="687" t="s">
        <v>9697</v>
      </c>
      <c r="D1929" s="125"/>
    </row>
    <row r="1930">
      <c r="A1930" s="122" t="s">
        <v>12515</v>
      </c>
      <c r="B1930" s="123">
        <v>1224608.0</v>
      </c>
      <c r="C1930" s="687" t="s">
        <v>12516</v>
      </c>
      <c r="D1930" s="125"/>
    </row>
    <row r="1931">
      <c r="A1931" s="122" t="s">
        <v>2466</v>
      </c>
      <c r="B1931" s="123">
        <v>1729427.0</v>
      </c>
      <c r="C1931" s="687" t="s">
        <v>2467</v>
      </c>
      <c r="D1931" s="125"/>
    </row>
    <row r="1932">
      <c r="A1932" s="122" t="s">
        <v>11398</v>
      </c>
      <c r="B1932" s="123">
        <v>1070412.0</v>
      </c>
      <c r="C1932" s="687" t="s">
        <v>11399</v>
      </c>
      <c r="D1932" s="125"/>
    </row>
    <row r="1933">
      <c r="A1933" s="122" t="s">
        <v>4022</v>
      </c>
      <c r="B1933" s="123">
        <v>1692415.0</v>
      </c>
      <c r="C1933" s="687" t="s">
        <v>4023</v>
      </c>
      <c r="D1933" s="125"/>
    </row>
    <row r="1934">
      <c r="A1934" s="122" t="s">
        <v>13507</v>
      </c>
      <c r="B1934" s="123">
        <v>1437958.0</v>
      </c>
      <c r="C1934" s="687" t="s">
        <v>13508</v>
      </c>
      <c r="D1934" s="125"/>
    </row>
    <row r="1935">
      <c r="A1935" s="122" t="s">
        <v>14466</v>
      </c>
      <c r="B1935" s="123">
        <v>21344.0</v>
      </c>
      <c r="C1935" s="687" t="s">
        <v>14467</v>
      </c>
      <c r="D1935" s="125"/>
    </row>
    <row r="1936">
      <c r="A1936" s="122" t="s">
        <v>16680</v>
      </c>
      <c r="B1936" s="123">
        <v>317540.0</v>
      </c>
      <c r="C1936" s="687" t="s">
        <v>16681</v>
      </c>
      <c r="D1936" s="125"/>
    </row>
    <row r="1937">
      <c r="A1937" s="122" t="s">
        <v>14767</v>
      </c>
      <c r="B1937" s="123">
        <v>1650107.0</v>
      </c>
      <c r="C1937" s="687" t="s">
        <v>14768</v>
      </c>
      <c r="D1937" s="125"/>
    </row>
    <row r="1938">
      <c r="A1938" s="122" t="s">
        <v>8413</v>
      </c>
      <c r="B1938" s="123">
        <v>910631.0</v>
      </c>
      <c r="C1938" s="687" t="s">
        <v>8414</v>
      </c>
      <c r="D1938" s="125"/>
    </row>
    <row r="1939">
      <c r="A1939" s="122" t="s">
        <v>15418</v>
      </c>
      <c r="B1939" s="123">
        <v>910631.0</v>
      </c>
      <c r="C1939" s="687" t="s">
        <v>15419</v>
      </c>
      <c r="D1939" s="125"/>
    </row>
    <row r="1940">
      <c r="A1940" s="122" t="s">
        <v>4483</v>
      </c>
      <c r="B1940" s="123">
        <v>1412486.0</v>
      </c>
      <c r="C1940" s="687" t="s">
        <v>4484</v>
      </c>
      <c r="D1940" s="125"/>
    </row>
    <row r="1941">
      <c r="A1941" s="122" t="s">
        <v>6730</v>
      </c>
      <c r="B1941" s="123">
        <v>1334325.0</v>
      </c>
      <c r="C1941" s="687" t="s">
        <v>6731</v>
      </c>
      <c r="D1941" s="125"/>
    </row>
    <row r="1942">
      <c r="A1942" s="122" t="s">
        <v>2257</v>
      </c>
      <c r="B1942" s="123">
        <v>1866782.0</v>
      </c>
      <c r="C1942" s="687" t="s">
        <v>2258</v>
      </c>
      <c r="D1942" s="125"/>
    </row>
    <row r="1943">
      <c r="A1943" s="122" t="s">
        <v>6185</v>
      </c>
      <c r="B1943" s="123">
        <v>1866782.0</v>
      </c>
      <c r="C1943" s="687" t="s">
        <v>6186</v>
      </c>
      <c r="D1943" s="125"/>
    </row>
    <row r="1944">
      <c r="A1944" s="122" t="s">
        <v>5336</v>
      </c>
      <c r="B1944" s="123">
        <v>1200375.0</v>
      </c>
      <c r="C1944" s="687" t="s">
        <v>5337</v>
      </c>
      <c r="D1944" s="125"/>
    </row>
    <row r="1945">
      <c r="A1945" s="122" t="s">
        <v>11937</v>
      </c>
      <c r="B1945" s="123">
        <v>806279.0</v>
      </c>
      <c r="C1945" s="687" t="s">
        <v>11938</v>
      </c>
      <c r="D1945" s="125"/>
    </row>
    <row r="1946">
      <c r="A1946" s="122" t="s">
        <v>3127</v>
      </c>
      <c r="B1946" s="123">
        <v>1819663.0</v>
      </c>
      <c r="C1946" s="687" t="s">
        <v>3128</v>
      </c>
      <c r="D1946" s="125"/>
    </row>
    <row r="1947">
      <c r="A1947" s="122" t="s">
        <v>5344</v>
      </c>
      <c r="B1947" s="123">
        <v>215466.0</v>
      </c>
      <c r="C1947" s="687" t="s">
        <v>5345</v>
      </c>
      <c r="D1947" s="125"/>
    </row>
    <row r="1948">
      <c r="A1948" s="122" t="s">
        <v>3911</v>
      </c>
      <c r="B1948" s="123">
        <v>1007019.0</v>
      </c>
      <c r="C1948" s="687" t="s">
        <v>3912</v>
      </c>
      <c r="D1948" s="125"/>
    </row>
    <row r="1949">
      <c r="A1949" s="122" t="s">
        <v>6462</v>
      </c>
      <c r="B1949" s="123">
        <v>1622229.0</v>
      </c>
      <c r="C1949" s="687" t="s">
        <v>6463</v>
      </c>
      <c r="D1949" s="125"/>
    </row>
    <row r="1950">
      <c r="A1950" s="122" t="s">
        <v>14871</v>
      </c>
      <c r="B1950" s="123">
        <v>1158324.0</v>
      </c>
      <c r="C1950" s="687" t="s">
        <v>14872</v>
      </c>
      <c r="D1950" s="125"/>
    </row>
    <row r="1951">
      <c r="A1951" s="122" t="s">
        <v>13381</v>
      </c>
      <c r="B1951" s="123">
        <v>851205.0</v>
      </c>
      <c r="C1951" s="687" t="s">
        <v>13382</v>
      </c>
      <c r="D1951" s="125"/>
    </row>
    <row r="1952">
      <c r="A1952" s="122" t="s">
        <v>5050</v>
      </c>
      <c r="B1952" s="123">
        <v>1455365.0</v>
      </c>
      <c r="C1952" s="687" t="s">
        <v>5051</v>
      </c>
      <c r="D1952" s="125"/>
    </row>
    <row r="1953">
      <c r="A1953" s="122" t="s">
        <v>14953</v>
      </c>
      <c r="B1953" s="123">
        <v>1058290.0</v>
      </c>
      <c r="C1953" s="687" t="s">
        <v>14954</v>
      </c>
      <c r="D1953" s="125"/>
    </row>
    <row r="1954">
      <c r="A1954" s="122" t="s">
        <v>7365</v>
      </c>
      <c r="B1954" s="123">
        <v>1824814.0</v>
      </c>
      <c r="C1954" s="687" t="s">
        <v>7366</v>
      </c>
      <c r="D1954" s="125"/>
    </row>
    <row r="1955">
      <c r="A1955" s="122" t="s">
        <v>3791</v>
      </c>
      <c r="B1955" s="123">
        <v>1522602.0</v>
      </c>
      <c r="C1955" s="687" t="s">
        <v>3792</v>
      </c>
      <c r="D1955" s="125"/>
    </row>
    <row r="1956">
      <c r="A1956" s="122" t="s">
        <v>7351</v>
      </c>
      <c r="B1956" s="123">
        <v>1270436.0</v>
      </c>
      <c r="C1956" s="687" t="s">
        <v>7352</v>
      </c>
      <c r="D1956" s="125"/>
    </row>
    <row r="1957">
      <c r="A1957" s="122" t="s">
        <v>11780</v>
      </c>
      <c r="B1957" s="123">
        <v>1275617.0</v>
      </c>
      <c r="C1957" s="687" t="s">
        <v>11781</v>
      </c>
      <c r="D1957" s="125"/>
    </row>
    <row r="1958">
      <c r="A1958" s="122" t="s">
        <v>11267</v>
      </c>
      <c r="B1958" s="123">
        <v>1548717.0</v>
      </c>
      <c r="C1958" s="687" t="s">
        <v>11268</v>
      </c>
      <c r="D1958" s="125"/>
    </row>
    <row r="1959">
      <c r="A1959" s="122" t="s">
        <v>9578</v>
      </c>
      <c r="B1959" s="123">
        <v>1157842.0</v>
      </c>
      <c r="C1959" s="687" t="s">
        <v>9579</v>
      </c>
      <c r="D1959" s="125"/>
    </row>
    <row r="1960">
      <c r="A1960" s="122" t="s">
        <v>11157</v>
      </c>
      <c r="B1960" s="123">
        <v>1793882.0</v>
      </c>
      <c r="C1960" s="687" t="s">
        <v>11158</v>
      </c>
      <c r="D1960" s="125"/>
    </row>
    <row r="1961">
      <c r="A1961" s="122" t="s">
        <v>9618</v>
      </c>
      <c r="B1961" s="123">
        <v>891290.0</v>
      </c>
      <c r="C1961" s="687" t="s">
        <v>9619</v>
      </c>
      <c r="D1961" s="125"/>
    </row>
    <row r="1962">
      <c r="A1962" s="122" t="s">
        <v>14779</v>
      </c>
      <c r="B1962" s="123">
        <v>1284812.0</v>
      </c>
      <c r="C1962" s="687" t="s">
        <v>14780</v>
      </c>
      <c r="D1962" s="125"/>
    </row>
    <row r="1963">
      <c r="A1963" s="122" t="s">
        <v>11500</v>
      </c>
      <c r="B1963" s="123">
        <v>1224450.0</v>
      </c>
      <c r="C1963" s="687" t="s">
        <v>11501</v>
      </c>
      <c r="D1963" s="125"/>
    </row>
    <row r="1964">
      <c r="A1964" s="122" t="s">
        <v>11333</v>
      </c>
      <c r="B1964" s="123">
        <v>1498612.0</v>
      </c>
      <c r="C1964" s="687" t="s">
        <v>11334</v>
      </c>
      <c r="D1964" s="125"/>
    </row>
    <row r="1965">
      <c r="A1965" s="122" t="s">
        <v>9476</v>
      </c>
      <c r="B1965" s="123">
        <v>1375340.0</v>
      </c>
      <c r="C1965" s="687" t="s">
        <v>9477</v>
      </c>
      <c r="D1965" s="125"/>
    </row>
    <row r="1966">
      <c r="A1966" s="122" t="s">
        <v>16788</v>
      </c>
      <c r="B1966" s="123">
        <v>1658566.0</v>
      </c>
      <c r="C1966" s="687" t="s">
        <v>16789</v>
      </c>
      <c r="D1966" s="125"/>
    </row>
    <row r="1967">
      <c r="A1967" s="122" t="s">
        <v>14056</v>
      </c>
      <c r="B1967" s="123">
        <v>820318.0</v>
      </c>
      <c r="C1967" s="687" t="s">
        <v>14057</v>
      </c>
      <c r="D1967" s="125"/>
    </row>
    <row r="1968">
      <c r="A1968" s="122" t="s">
        <v>4870</v>
      </c>
      <c r="B1968" s="123">
        <v>1512762.0</v>
      </c>
      <c r="C1968" s="687" t="s">
        <v>4871</v>
      </c>
      <c r="D1968" s="125"/>
    </row>
    <row r="1969">
      <c r="A1969" s="122" t="s">
        <v>12971</v>
      </c>
      <c r="B1969" s="123">
        <v>21535.0</v>
      </c>
      <c r="C1969" s="687" t="s">
        <v>12972</v>
      </c>
      <c r="D1969" s="125"/>
    </row>
    <row r="1970">
      <c r="A1970" s="122" t="s">
        <v>15721</v>
      </c>
      <c r="B1970" s="123">
        <v>1679788.0</v>
      </c>
      <c r="C1970" s="687" t="s">
        <v>15722</v>
      </c>
      <c r="D1970" s="125"/>
    </row>
    <row r="1971">
      <c r="A1971" s="122" t="s">
        <v>33548</v>
      </c>
      <c r="B1971" s="123">
        <v>1706509.0</v>
      </c>
      <c r="C1971" s="687" t="s">
        <v>33549</v>
      </c>
      <c r="D1971" s="125"/>
    </row>
    <row r="1972">
      <c r="A1972" s="122" t="s">
        <v>3747</v>
      </c>
      <c r="B1972" s="123">
        <v>1763925.0</v>
      </c>
      <c r="C1972" s="687" t="s">
        <v>3748</v>
      </c>
      <c r="D1972" s="125"/>
    </row>
    <row r="1973">
      <c r="A1973" s="122" t="s">
        <v>33550</v>
      </c>
      <c r="B1973" s="123">
        <v>1104462.0</v>
      </c>
      <c r="C1973" s="687" t="s">
        <v>33551</v>
      </c>
      <c r="D1973" s="125"/>
    </row>
    <row r="1974">
      <c r="A1974" s="122" t="s">
        <v>15117</v>
      </c>
      <c r="B1974" s="123">
        <v>21665.0</v>
      </c>
      <c r="C1974" s="687" t="s">
        <v>15118</v>
      </c>
      <c r="D1974" s="125"/>
    </row>
    <row r="1975">
      <c r="A1975" s="122" t="s">
        <v>1449</v>
      </c>
      <c r="B1975" s="123">
        <v>1847440.0</v>
      </c>
      <c r="C1975" s="687" t="s">
        <v>1450</v>
      </c>
      <c r="D1975" s="125"/>
    </row>
    <row r="1976">
      <c r="A1976" s="122" t="s">
        <v>8764</v>
      </c>
      <c r="B1976" s="123">
        <v>1847440.0</v>
      </c>
      <c r="C1976" s="687" t="s">
        <v>8765</v>
      </c>
      <c r="D1976" s="125"/>
    </row>
    <row r="1977">
      <c r="A1977" s="122" t="s">
        <v>9253</v>
      </c>
      <c r="B1977" s="123">
        <v>1847440.0</v>
      </c>
      <c r="C1977" s="687" t="s">
        <v>9254</v>
      </c>
      <c r="D1977" s="125"/>
    </row>
    <row r="1978">
      <c r="A1978" s="122" t="s">
        <v>13059</v>
      </c>
      <c r="B1978" s="123">
        <v>1267565.0</v>
      </c>
      <c r="C1978" s="687" t="s">
        <v>13060</v>
      </c>
      <c r="D1978" s="125"/>
    </row>
    <row r="1979">
      <c r="A1979" s="122" t="s">
        <v>15592</v>
      </c>
      <c r="B1979" s="123">
        <v>913353.0</v>
      </c>
      <c r="C1979" s="687" t="s">
        <v>15593</v>
      </c>
      <c r="D1979" s="125"/>
    </row>
    <row r="1980">
      <c r="A1980" s="122" t="s">
        <v>6917</v>
      </c>
      <c r="B1980" s="123">
        <v>1631487.0</v>
      </c>
      <c r="C1980" s="687" t="s">
        <v>6918</v>
      </c>
      <c r="D1980" s="125"/>
    </row>
    <row r="1981">
      <c r="A1981" s="122" t="s">
        <v>8399</v>
      </c>
      <c r="B1981" s="123">
        <v>1847064.0</v>
      </c>
      <c r="C1981" s="687" t="s">
        <v>8400</v>
      </c>
      <c r="D1981" s="125"/>
    </row>
    <row r="1982">
      <c r="A1982" s="122" t="s">
        <v>9558</v>
      </c>
      <c r="B1982" s="123">
        <v>711669.0</v>
      </c>
      <c r="C1982" s="687" t="s">
        <v>9559</v>
      </c>
      <c r="D1982" s="125"/>
    </row>
    <row r="1983">
      <c r="A1983" s="122" t="s">
        <v>11327</v>
      </c>
      <c r="B1983" s="123">
        <v>887343.0</v>
      </c>
      <c r="C1983" s="687" t="s">
        <v>11328</v>
      </c>
      <c r="D1983" s="125"/>
    </row>
    <row r="1984">
      <c r="A1984" s="122" t="s">
        <v>10922</v>
      </c>
      <c r="B1984" s="123">
        <v>1723596.0</v>
      </c>
      <c r="C1984" s="687" t="s">
        <v>10923</v>
      </c>
      <c r="D1984" s="125"/>
    </row>
    <row r="1985">
      <c r="A1985" s="122" t="s">
        <v>13053</v>
      </c>
      <c r="B1985" s="123">
        <v>1471420.0</v>
      </c>
      <c r="C1985" s="687" t="s">
        <v>13054</v>
      </c>
      <c r="D1985" s="125"/>
    </row>
    <row r="1986">
      <c r="A1986" s="122" t="s">
        <v>15032</v>
      </c>
      <c r="B1986" s="123">
        <v>1050797.0</v>
      </c>
      <c r="C1986" s="687" t="s">
        <v>15033</v>
      </c>
      <c r="D1986" s="125"/>
    </row>
    <row r="1987">
      <c r="A1987" s="122" t="s">
        <v>13546</v>
      </c>
      <c r="B1987" s="123">
        <v>1005229.0</v>
      </c>
      <c r="C1987" s="687" t="s">
        <v>13547</v>
      </c>
      <c r="D1987" s="125"/>
    </row>
    <row r="1988">
      <c r="A1988" s="122" t="s">
        <v>13849</v>
      </c>
      <c r="B1988" s="123">
        <v>1166691.0</v>
      </c>
      <c r="C1988" s="687" t="s">
        <v>13850</v>
      </c>
      <c r="D1988" s="125"/>
    </row>
    <row r="1989">
      <c r="A1989" s="122" t="s">
        <v>14272</v>
      </c>
      <c r="B1989" s="123">
        <v>1166691.0</v>
      </c>
      <c r="C1989" s="687" t="s">
        <v>14273</v>
      </c>
      <c r="D1989" s="125"/>
    </row>
    <row r="1990">
      <c r="A1990" s="122" t="s">
        <v>33552</v>
      </c>
      <c r="B1990" s="123">
        <v>1907685.0</v>
      </c>
      <c r="C1990" s="687" t="s">
        <v>33553</v>
      </c>
      <c r="D1990" s="125"/>
    </row>
    <row r="1991">
      <c r="A1991" s="122" t="s">
        <v>1223</v>
      </c>
      <c r="B1991" s="123">
        <v>1907685.0</v>
      </c>
      <c r="C1991" s="687" t="s">
        <v>1224</v>
      </c>
      <c r="D1991" s="125"/>
    </row>
    <row r="1992">
      <c r="A1992" s="122" t="s">
        <v>14142</v>
      </c>
      <c r="B1992" s="123">
        <v>28412.0</v>
      </c>
      <c r="C1992" s="687" t="s">
        <v>14143</v>
      </c>
      <c r="D1992" s="125"/>
    </row>
    <row r="1993">
      <c r="A1993" s="122" t="s">
        <v>2735</v>
      </c>
      <c r="B1993" s="123">
        <v>1843983.0</v>
      </c>
      <c r="C1993" s="687" t="s">
        <v>2736</v>
      </c>
      <c r="D1993" s="125"/>
    </row>
    <row r="1994">
      <c r="A1994" s="122" t="s">
        <v>16262</v>
      </c>
      <c r="B1994" s="123">
        <v>1035983.0</v>
      </c>
      <c r="C1994" s="687" t="s">
        <v>16263</v>
      </c>
      <c r="D1994" s="125"/>
    </row>
    <row r="1995">
      <c r="A1995" s="122" t="s">
        <v>1377</v>
      </c>
      <c r="B1995" s="123">
        <v>858043.0</v>
      </c>
      <c r="C1995" s="687" t="s">
        <v>1378</v>
      </c>
      <c r="D1995" s="125"/>
    </row>
    <row r="1996">
      <c r="A1996" s="122" t="s">
        <v>14148</v>
      </c>
      <c r="B1996" s="123">
        <v>22356.0</v>
      </c>
      <c r="C1996" s="687" t="s">
        <v>14149</v>
      </c>
      <c r="D1996" s="125"/>
    </row>
    <row r="1997">
      <c r="A1997" s="122" t="s">
        <v>14122</v>
      </c>
      <c r="B1997" s="123">
        <v>22444.0</v>
      </c>
      <c r="C1997" s="687" t="s">
        <v>14123</v>
      </c>
      <c r="D1997" s="125"/>
    </row>
    <row r="1998">
      <c r="A1998" s="122" t="s">
        <v>7226</v>
      </c>
      <c r="B1998" s="123">
        <v>1290900.0</v>
      </c>
      <c r="C1998" s="687" t="s">
        <v>7227</v>
      </c>
      <c r="D1998" s="125"/>
    </row>
    <row r="1999">
      <c r="A1999" s="122" t="s">
        <v>5013</v>
      </c>
      <c r="B1999" s="123">
        <v>1517228.0</v>
      </c>
      <c r="C1999" s="687" t="s">
        <v>5014</v>
      </c>
      <c r="D1999" s="125"/>
    </row>
    <row r="2000">
      <c r="A2000" s="122" t="s">
        <v>11038</v>
      </c>
      <c r="B2000" s="123">
        <v>718413.0</v>
      </c>
      <c r="C2000" s="687" t="s">
        <v>11039</v>
      </c>
      <c r="D2000" s="125"/>
    </row>
    <row r="2001">
      <c r="A2001" s="122" t="s">
        <v>13842</v>
      </c>
      <c r="B2001" s="123">
        <v>723188.0</v>
      </c>
      <c r="C2001" s="687" t="s">
        <v>13843</v>
      </c>
      <c r="D2001" s="125"/>
    </row>
    <row r="2002">
      <c r="A2002" s="122" t="s">
        <v>5936</v>
      </c>
      <c r="B2002" s="123">
        <v>1108109.0</v>
      </c>
      <c r="C2002" s="687" t="s">
        <v>5937</v>
      </c>
      <c r="D2002" s="125"/>
    </row>
    <row r="2003">
      <c r="A2003" s="122" t="s">
        <v>12324</v>
      </c>
      <c r="B2003" s="123">
        <v>1631569.0</v>
      </c>
      <c r="C2003" s="687" t="s">
        <v>12325</v>
      </c>
      <c r="D2003" s="125"/>
    </row>
    <row r="2004">
      <c r="A2004" s="122" t="s">
        <v>11046</v>
      </c>
      <c r="B2004" s="123">
        <v>1792597.0</v>
      </c>
      <c r="C2004" s="687" t="s">
        <v>11047</v>
      </c>
      <c r="D2004" s="125"/>
    </row>
    <row r="2005">
      <c r="A2005" s="122" t="s">
        <v>1595</v>
      </c>
      <c r="B2005" s="123">
        <v>1084551.0</v>
      </c>
      <c r="C2005" s="687" t="s">
        <v>1596</v>
      </c>
      <c r="D2005" s="125"/>
    </row>
    <row r="2006">
      <c r="A2006" s="122" t="s">
        <v>13640</v>
      </c>
      <c r="B2006" s="123">
        <v>350852.0</v>
      </c>
      <c r="C2006" s="687" t="s">
        <v>13641</v>
      </c>
      <c r="D2006" s="125"/>
    </row>
    <row r="2007">
      <c r="A2007" s="122" t="s">
        <v>10338</v>
      </c>
      <c r="B2007" s="123">
        <v>1051343.0</v>
      </c>
      <c r="C2007" s="687" t="s">
        <v>10339</v>
      </c>
      <c r="D2007" s="125"/>
    </row>
    <row r="2008">
      <c r="A2008" s="122" t="s">
        <v>15305</v>
      </c>
      <c r="B2008" s="123">
        <v>1169561.0</v>
      </c>
      <c r="C2008" s="687" t="s">
        <v>15306</v>
      </c>
      <c r="D2008" s="125"/>
    </row>
    <row r="2009">
      <c r="A2009" s="122" t="s">
        <v>14792</v>
      </c>
      <c r="B2009" s="123">
        <v>1012037.0</v>
      </c>
      <c r="C2009" s="687" t="s">
        <v>14793</v>
      </c>
      <c r="D2009" s="125"/>
    </row>
    <row r="2010">
      <c r="A2010" s="122" t="s">
        <v>10270</v>
      </c>
      <c r="B2010" s="123">
        <v>1012037.0</v>
      </c>
      <c r="C2010" s="687" t="s">
        <v>10271</v>
      </c>
      <c r="D2010" s="125"/>
    </row>
    <row r="2011">
      <c r="A2011" s="122" t="s">
        <v>13084</v>
      </c>
      <c r="B2011" s="123">
        <v>896076.0</v>
      </c>
      <c r="C2011" s="687" t="s">
        <v>13085</v>
      </c>
      <c r="D2011" s="125"/>
    </row>
    <row r="2012">
      <c r="A2012" s="122" t="s">
        <v>3451</v>
      </c>
      <c r="B2012" s="123">
        <v>1038572.0</v>
      </c>
      <c r="C2012" s="687" t="s">
        <v>3452</v>
      </c>
      <c r="D2012" s="125"/>
    </row>
    <row r="2013">
      <c r="A2013" s="122" t="s">
        <v>5027</v>
      </c>
      <c r="B2013" s="123">
        <v>1157557.0</v>
      </c>
      <c r="C2013" s="687" t="s">
        <v>5028</v>
      </c>
      <c r="D2013" s="125"/>
    </row>
    <row r="2014">
      <c r="A2014" s="122" t="s">
        <v>7703</v>
      </c>
      <c r="B2014" s="123">
        <v>1041792.0</v>
      </c>
      <c r="C2014" s="687" t="s">
        <v>7704</v>
      </c>
      <c r="D2014" s="125"/>
    </row>
    <row r="2015">
      <c r="A2015" s="122" t="s">
        <v>5782</v>
      </c>
      <c r="B2015" s="123">
        <v>1049659.0</v>
      </c>
      <c r="C2015" s="687" t="s">
        <v>5783</v>
      </c>
      <c r="D2015" s="125"/>
    </row>
    <row r="2016">
      <c r="A2016" s="122" t="s">
        <v>9651</v>
      </c>
      <c r="B2016" s="123">
        <v>888746.0</v>
      </c>
      <c r="C2016" s="687" t="s">
        <v>9652</v>
      </c>
      <c r="D2016" s="125"/>
    </row>
    <row r="2017">
      <c r="A2017" s="122" t="s">
        <v>10497</v>
      </c>
      <c r="B2017" s="123">
        <v>1013131.0</v>
      </c>
      <c r="C2017" s="687" t="s">
        <v>10498</v>
      </c>
      <c r="D2017" s="125"/>
    </row>
    <row r="2018">
      <c r="A2018" s="122" t="s">
        <v>1711</v>
      </c>
      <c r="B2018" s="123">
        <v>1851909.0</v>
      </c>
      <c r="C2018" s="687" t="s">
        <v>1712</v>
      </c>
      <c r="D2018" s="125"/>
    </row>
    <row r="2019">
      <c r="A2019" s="122" t="s">
        <v>8698</v>
      </c>
      <c r="B2019" s="123">
        <v>1851909.0</v>
      </c>
      <c r="C2019" s="687" t="s">
        <v>8699</v>
      </c>
      <c r="D2019" s="125"/>
    </row>
    <row r="2020">
      <c r="A2020" s="122" t="s">
        <v>11802</v>
      </c>
      <c r="B2020" s="123">
        <v>1345126.0</v>
      </c>
      <c r="C2020" s="687" t="s">
        <v>11803</v>
      </c>
      <c r="D2020" s="125"/>
    </row>
    <row r="2021">
      <c r="A2021" s="122" t="s">
        <v>5877</v>
      </c>
      <c r="B2021" s="123">
        <v>1563190.0</v>
      </c>
      <c r="C2021" s="687" t="s">
        <v>5878</v>
      </c>
      <c r="D2021" s="125"/>
    </row>
    <row r="2022">
      <c r="A2022" s="122" t="s">
        <v>11941</v>
      </c>
      <c r="B2022" s="123">
        <v>1227654.0</v>
      </c>
      <c r="C2022" s="687" t="s">
        <v>11942</v>
      </c>
      <c r="D2022" s="125"/>
    </row>
    <row r="2023">
      <c r="A2023" s="122" t="s">
        <v>8944</v>
      </c>
      <c r="B2023" s="123">
        <v>1816590.0</v>
      </c>
      <c r="C2023" s="687" t="s">
        <v>8945</v>
      </c>
      <c r="D2023" s="125"/>
    </row>
    <row r="2024">
      <c r="A2024" s="122" t="s">
        <v>4094</v>
      </c>
      <c r="B2024" s="123">
        <v>1738021.0</v>
      </c>
      <c r="C2024" s="687" t="s">
        <v>4095</v>
      </c>
      <c r="D2024" s="125"/>
    </row>
    <row r="2025">
      <c r="A2025" s="122" t="s">
        <v>2649</v>
      </c>
      <c r="B2025" s="123">
        <v>1823144.0</v>
      </c>
      <c r="C2025" s="687" t="s">
        <v>2650</v>
      </c>
      <c r="D2025" s="125"/>
    </row>
    <row r="2026">
      <c r="A2026" s="122" t="s">
        <v>6641</v>
      </c>
      <c r="B2026" s="123">
        <v>1823144.0</v>
      </c>
      <c r="C2026" s="687" t="s">
        <v>6642</v>
      </c>
      <c r="D2026" s="125"/>
    </row>
    <row r="2027">
      <c r="A2027" s="122" t="s">
        <v>547</v>
      </c>
      <c r="B2027" s="123">
        <v>897429.0</v>
      </c>
      <c r="C2027" s="687" t="s">
        <v>548</v>
      </c>
      <c r="D2027" s="125"/>
    </row>
    <row r="2028">
      <c r="A2028" s="122" t="s">
        <v>8339</v>
      </c>
      <c r="B2028" s="123">
        <v>1169445.0</v>
      </c>
      <c r="C2028" s="687" t="s">
        <v>8340</v>
      </c>
      <c r="D2028" s="125"/>
    </row>
    <row r="2029">
      <c r="A2029" s="122" t="s">
        <v>12180</v>
      </c>
      <c r="B2029" s="123">
        <v>1049606.0</v>
      </c>
      <c r="C2029" s="687" t="s">
        <v>12181</v>
      </c>
      <c r="D2029" s="125"/>
    </row>
    <row r="2030">
      <c r="A2030" s="122" t="s">
        <v>11325</v>
      </c>
      <c r="B2030" s="123">
        <v>1158172.0</v>
      </c>
      <c r="C2030" s="687" t="s">
        <v>11326</v>
      </c>
      <c r="D2030" s="125"/>
    </row>
    <row r="2031">
      <c r="A2031" s="122" t="s">
        <v>2903</v>
      </c>
      <c r="B2031" s="123">
        <v>1178727.0</v>
      </c>
      <c r="C2031" s="687" t="s">
        <v>2904</v>
      </c>
      <c r="D2031" s="125"/>
    </row>
    <row r="2032">
      <c r="A2032" s="122" t="s">
        <v>3283</v>
      </c>
      <c r="B2032" s="123">
        <v>1178727.0</v>
      </c>
      <c r="C2032" s="687" t="s">
        <v>3284</v>
      </c>
      <c r="D2032" s="125"/>
    </row>
    <row r="2033">
      <c r="A2033" s="122" t="s">
        <v>6468</v>
      </c>
      <c r="B2033" s="123">
        <v>1299969.0</v>
      </c>
      <c r="C2033" s="687" t="s">
        <v>6469</v>
      </c>
      <c r="D2033" s="125"/>
    </row>
    <row r="2034">
      <c r="A2034" s="122" t="s">
        <v>2969</v>
      </c>
      <c r="B2034" s="123">
        <v>1120970.0</v>
      </c>
      <c r="C2034" s="687" t="s">
        <v>2970</v>
      </c>
      <c r="D2034" s="125"/>
    </row>
    <row r="2035">
      <c r="A2035" s="122" t="s">
        <v>7534</v>
      </c>
      <c r="B2035" s="123">
        <v>23194.0</v>
      </c>
      <c r="C2035" s="687" t="s">
        <v>7535</v>
      </c>
      <c r="D2035" s="125"/>
    </row>
    <row r="2036">
      <c r="A2036" s="122" t="s">
        <v>7113</v>
      </c>
      <c r="B2036" s="123">
        <v>23197.0</v>
      </c>
      <c r="C2036" s="687" t="s">
        <v>7114</v>
      </c>
      <c r="D2036" s="125"/>
    </row>
    <row r="2037">
      <c r="A2037" s="122" t="s">
        <v>4723</v>
      </c>
      <c r="B2037" s="123">
        <v>1827075.0</v>
      </c>
      <c r="C2037" s="687" t="s">
        <v>4724</v>
      </c>
      <c r="D2037" s="125"/>
    </row>
    <row r="2038">
      <c r="A2038" s="122" t="s">
        <v>12753</v>
      </c>
      <c r="B2038" s="123">
        <v>23217.0</v>
      </c>
      <c r="C2038" s="687" t="s">
        <v>12754</v>
      </c>
      <c r="D2038" s="125"/>
    </row>
    <row r="2039">
      <c r="A2039" s="122" t="s">
        <v>15167</v>
      </c>
      <c r="B2039" s="123">
        <v>1803599.0</v>
      </c>
      <c r="C2039" s="687" t="s">
        <v>15168</v>
      </c>
      <c r="D2039" s="125"/>
    </row>
    <row r="2040">
      <c r="A2040" s="122" t="s">
        <v>8710</v>
      </c>
      <c r="B2040" s="123">
        <v>1851961.0</v>
      </c>
      <c r="C2040" s="687" t="s">
        <v>8711</v>
      </c>
      <c r="D2040" s="125"/>
    </row>
    <row r="2041">
      <c r="A2041" s="122" t="s">
        <v>8542</v>
      </c>
      <c r="B2041" s="123">
        <v>1851959.0</v>
      </c>
      <c r="C2041" s="687" t="s">
        <v>8543</v>
      </c>
      <c r="D2041" s="125"/>
    </row>
    <row r="2042">
      <c r="A2042" s="122" t="s">
        <v>3466</v>
      </c>
      <c r="B2042" s="123">
        <v>1472072.0</v>
      </c>
      <c r="C2042" s="687" t="s">
        <v>3467</v>
      </c>
      <c r="D2042" s="125"/>
    </row>
    <row r="2043">
      <c r="A2043" s="122" t="s">
        <v>3767</v>
      </c>
      <c r="B2043" s="123">
        <v>1414382.0</v>
      </c>
      <c r="C2043" s="687" t="s">
        <v>3768</v>
      </c>
      <c r="D2043" s="125"/>
    </row>
    <row r="2044">
      <c r="A2044" s="122" t="s">
        <v>7617</v>
      </c>
      <c r="B2044" s="123">
        <v>1703956.0</v>
      </c>
      <c r="C2044" s="687" t="s">
        <v>7618</v>
      </c>
      <c r="D2044" s="125"/>
    </row>
    <row r="2045">
      <c r="A2045" s="122" t="s">
        <v>5857</v>
      </c>
      <c r="B2045" s="123">
        <v>1677703.0</v>
      </c>
      <c r="C2045" s="687" t="s">
        <v>5858</v>
      </c>
      <c r="D2045" s="125"/>
    </row>
    <row r="2046">
      <c r="A2046" s="122" t="s">
        <v>6064</v>
      </c>
      <c r="B2046" s="123">
        <v>1824301.0</v>
      </c>
      <c r="C2046" s="687" t="s">
        <v>6065</v>
      </c>
      <c r="D2046" s="125"/>
    </row>
    <row r="2047">
      <c r="A2047" s="122" t="s">
        <v>2375</v>
      </c>
      <c r="B2047" s="123">
        <v>790273.0</v>
      </c>
      <c r="C2047" s="687" t="s">
        <v>2376</v>
      </c>
      <c r="D2047" s="125"/>
    </row>
    <row r="2048">
      <c r="A2048" s="122" t="s">
        <v>12120</v>
      </c>
      <c r="B2048" s="123">
        <v>1699838.0</v>
      </c>
      <c r="C2048" s="687" t="s">
        <v>12121</v>
      </c>
      <c r="D2048" s="125"/>
    </row>
    <row r="2049">
      <c r="A2049" s="122" t="s">
        <v>4235</v>
      </c>
      <c r="B2049" s="123">
        <v>1502292.0</v>
      </c>
      <c r="C2049" s="687" t="s">
        <v>4236</v>
      </c>
      <c r="D2049" s="125"/>
    </row>
    <row r="2050">
      <c r="A2050" s="122" t="s">
        <v>15026</v>
      </c>
      <c r="B2050" s="123">
        <v>816956.0</v>
      </c>
      <c r="C2050" s="687" t="s">
        <v>15027</v>
      </c>
      <c r="D2050" s="125"/>
    </row>
    <row r="2051">
      <c r="A2051" s="122" t="s">
        <v>6516</v>
      </c>
      <c r="B2051" s="123">
        <v>1223389.0</v>
      </c>
      <c r="C2051" s="687" t="s">
        <v>6517</v>
      </c>
      <c r="D2051" s="125"/>
    </row>
    <row r="2052">
      <c r="A2052" s="122" t="s">
        <v>13225</v>
      </c>
      <c r="B2052" s="123">
        <v>23426.0</v>
      </c>
      <c r="C2052" s="687" t="s">
        <v>13226</v>
      </c>
      <c r="D2052" s="125"/>
    </row>
    <row r="2053">
      <c r="A2053" s="122" t="s">
        <v>13122</v>
      </c>
      <c r="B2053" s="123">
        <v>23426.0</v>
      </c>
      <c r="C2053" s="687" t="s">
        <v>13123</v>
      </c>
      <c r="D2053" s="125"/>
    </row>
    <row r="2054">
      <c r="A2054" s="122" t="s">
        <v>14166</v>
      </c>
      <c r="B2054" s="123">
        <v>23426.0</v>
      </c>
      <c r="C2054" s="687" t="s">
        <v>14167</v>
      </c>
      <c r="D2054" s="125"/>
    </row>
    <row r="2055">
      <c r="A2055" s="122" t="s">
        <v>13070</v>
      </c>
      <c r="B2055" s="123">
        <v>23426.0</v>
      </c>
      <c r="C2055" s="687" t="s">
        <v>13071</v>
      </c>
      <c r="D2055" s="125"/>
    </row>
    <row r="2056">
      <c r="A2056" s="122" t="s">
        <v>13039</v>
      </c>
      <c r="B2056" s="123">
        <v>23426.0</v>
      </c>
      <c r="C2056" s="687" t="s">
        <v>13040</v>
      </c>
      <c r="D2056" s="125"/>
    </row>
    <row r="2057">
      <c r="A2057" s="122" t="s">
        <v>12946</v>
      </c>
      <c r="B2057" s="123">
        <v>23426.0</v>
      </c>
      <c r="C2057" s="687" t="s">
        <v>12947</v>
      </c>
      <c r="D2057" s="125"/>
    </row>
    <row r="2058">
      <c r="A2058" s="122" t="s">
        <v>13370</v>
      </c>
      <c r="B2058" s="123">
        <v>23426.0</v>
      </c>
      <c r="C2058" s="687" t="s">
        <v>13371</v>
      </c>
      <c r="D2058" s="125"/>
    </row>
    <row r="2059">
      <c r="A2059" s="122" t="s">
        <v>13744</v>
      </c>
      <c r="B2059" s="123">
        <v>23426.0</v>
      </c>
      <c r="C2059" s="687" t="s">
        <v>13745</v>
      </c>
      <c r="D2059" s="125"/>
    </row>
    <row r="2060">
      <c r="A2060" s="122" t="s">
        <v>14182</v>
      </c>
      <c r="B2060" s="123">
        <v>23426.0</v>
      </c>
      <c r="C2060" s="687" t="s">
        <v>14183</v>
      </c>
      <c r="D2060" s="125"/>
    </row>
    <row r="2061">
      <c r="A2061" s="122" t="s">
        <v>11685</v>
      </c>
      <c r="B2061" s="123">
        <v>712771.0</v>
      </c>
      <c r="C2061" s="687" t="s">
        <v>11686</v>
      </c>
      <c r="D2061" s="125"/>
    </row>
    <row r="2062">
      <c r="A2062" s="122" t="s">
        <v>11253</v>
      </c>
      <c r="B2062" s="123">
        <v>712771.0</v>
      </c>
      <c r="C2062" s="687" t="s">
        <v>11254</v>
      </c>
      <c r="D2062" s="125"/>
    </row>
    <row r="2063">
      <c r="A2063" s="122" t="s">
        <v>2713</v>
      </c>
      <c r="B2063" s="123">
        <v>1674440.0</v>
      </c>
      <c r="C2063" s="687" t="s">
        <v>2714</v>
      </c>
      <c r="D2063" s="125"/>
    </row>
    <row r="2064">
      <c r="A2064" s="122" t="s">
        <v>15516</v>
      </c>
      <c r="B2064" s="123">
        <v>1163165.0</v>
      </c>
      <c r="C2064" s="687" t="s">
        <v>15517</v>
      </c>
      <c r="D2064" s="125"/>
    </row>
    <row r="2065">
      <c r="A2065" s="122" t="s">
        <v>11478</v>
      </c>
      <c r="B2065" s="123">
        <v>1866633.0</v>
      </c>
      <c r="C2065" s="687" t="s">
        <v>11479</v>
      </c>
      <c r="D2065" s="125"/>
    </row>
    <row r="2066">
      <c r="A2066" s="122" t="s">
        <v>15293</v>
      </c>
      <c r="B2066" s="123">
        <v>1710366.0</v>
      </c>
      <c r="C2066" s="687" t="s">
        <v>15294</v>
      </c>
      <c r="D2066" s="125"/>
    </row>
    <row r="2067">
      <c r="A2067" s="122" t="s">
        <v>6239</v>
      </c>
      <c r="B2067" s="123">
        <v>1304421.0</v>
      </c>
      <c r="C2067" s="687" t="s">
        <v>6240</v>
      </c>
      <c r="D2067" s="125"/>
    </row>
    <row r="2068">
      <c r="A2068" s="122" t="s">
        <v>15238</v>
      </c>
      <c r="B2068" s="123">
        <v>1047862.0</v>
      </c>
      <c r="C2068" s="687" t="s">
        <v>15239</v>
      </c>
      <c r="D2068" s="125"/>
    </row>
    <row r="2069">
      <c r="A2069" s="122" t="s">
        <v>12852</v>
      </c>
      <c r="B2069" s="123">
        <v>928340.0</v>
      </c>
      <c r="C2069" s="687" t="s">
        <v>12853</v>
      </c>
      <c r="D2069" s="125"/>
    </row>
    <row r="2070">
      <c r="A2070" s="122" t="s">
        <v>16337</v>
      </c>
      <c r="B2070" s="123">
        <v>16918.0</v>
      </c>
      <c r="C2070" s="687" t="s">
        <v>16338</v>
      </c>
      <c r="D2070" s="125"/>
    </row>
    <row r="2071">
      <c r="A2071" s="122" t="s">
        <v>15727</v>
      </c>
      <c r="B2071" s="123">
        <v>1868275.0</v>
      </c>
      <c r="C2071" s="687" t="s">
        <v>15728</v>
      </c>
      <c r="D2071" s="125"/>
    </row>
    <row r="2072">
      <c r="A2072" s="122" t="s">
        <v>11263</v>
      </c>
      <c r="B2072" s="123">
        <v>1563411.0</v>
      </c>
      <c r="C2072" s="687" t="s">
        <v>11264</v>
      </c>
      <c r="D2072" s="125"/>
    </row>
    <row r="2073">
      <c r="A2073" s="122" t="s">
        <v>14027</v>
      </c>
      <c r="B2073" s="123">
        <v>1718227.0</v>
      </c>
      <c r="C2073" s="687" t="s">
        <v>14028</v>
      </c>
      <c r="D2073" s="125"/>
    </row>
    <row r="2074">
      <c r="A2074" s="122" t="s">
        <v>16768</v>
      </c>
      <c r="B2074" s="123">
        <v>1904958.0</v>
      </c>
      <c r="C2074" s="687" t="s">
        <v>16769</v>
      </c>
      <c r="D2074" s="125"/>
    </row>
    <row r="2075">
      <c r="A2075" s="122" t="s">
        <v>7936</v>
      </c>
      <c r="B2075" s="123">
        <v>889609.0</v>
      </c>
      <c r="C2075" s="687" t="s">
        <v>7937</v>
      </c>
      <c r="D2075" s="125"/>
    </row>
    <row r="2076">
      <c r="A2076" s="122" t="s">
        <v>10810</v>
      </c>
      <c r="B2076" s="123">
        <v>1006830.0</v>
      </c>
      <c r="C2076" s="687" t="s">
        <v>10811</v>
      </c>
      <c r="D2076" s="125"/>
    </row>
    <row r="2077">
      <c r="A2077" s="122" t="s">
        <v>7511</v>
      </c>
      <c r="B2077" s="123">
        <v>1576340.0</v>
      </c>
      <c r="C2077" s="687" t="s">
        <v>7512</v>
      </c>
      <c r="D2077" s="125"/>
    </row>
    <row r="2078">
      <c r="A2078" s="122" t="s">
        <v>625</v>
      </c>
      <c r="B2078" s="123">
        <v>1759352.0</v>
      </c>
      <c r="C2078" s="687" t="s">
        <v>626</v>
      </c>
      <c r="D2078" s="125"/>
    </row>
    <row r="2079">
      <c r="A2079" s="122" t="s">
        <v>4557</v>
      </c>
      <c r="B2079" s="123">
        <v>1411688.0</v>
      </c>
      <c r="C2079" s="687" t="s">
        <v>4558</v>
      </c>
      <c r="D2079" s="125"/>
    </row>
    <row r="2080">
      <c r="A2080" s="122" t="s">
        <v>10790</v>
      </c>
      <c r="B2080" s="123">
        <v>1502377.0</v>
      </c>
      <c r="C2080" s="687" t="s">
        <v>10791</v>
      </c>
      <c r="D2080" s="125"/>
    </row>
    <row r="2081">
      <c r="A2081" s="122" t="s">
        <v>3849</v>
      </c>
      <c r="B2081" s="123">
        <v>1842952.0</v>
      </c>
      <c r="C2081" s="687" t="s">
        <v>3850</v>
      </c>
      <c r="D2081" s="125"/>
    </row>
    <row r="2082">
      <c r="A2082" s="122" t="s">
        <v>6245</v>
      </c>
      <c r="B2082" s="123">
        <v>1822250.0</v>
      </c>
      <c r="C2082" s="687" t="s">
        <v>6246</v>
      </c>
      <c r="D2082" s="125"/>
    </row>
    <row r="2083">
      <c r="A2083" s="122" t="s">
        <v>7693</v>
      </c>
      <c r="B2083" s="123">
        <v>1520504.0</v>
      </c>
      <c r="C2083" s="687" t="s">
        <v>7694</v>
      </c>
      <c r="D2083" s="125"/>
    </row>
    <row r="2084">
      <c r="A2084" s="122" t="s">
        <v>2321</v>
      </c>
      <c r="B2084" s="123">
        <v>1823000.0</v>
      </c>
      <c r="C2084" s="687" t="s">
        <v>2322</v>
      </c>
      <c r="D2084" s="125"/>
    </row>
    <row r="2085">
      <c r="A2085" s="122" t="s">
        <v>8670</v>
      </c>
      <c r="B2085" s="123">
        <v>1823000.0</v>
      </c>
      <c r="C2085" s="687" t="s">
        <v>8671</v>
      </c>
      <c r="D2085" s="125"/>
    </row>
    <row r="2086">
      <c r="A2086" s="122" t="s">
        <v>8720</v>
      </c>
      <c r="B2086" s="123">
        <v>1823000.0</v>
      </c>
      <c r="C2086" s="687" t="s">
        <v>8721</v>
      </c>
      <c r="D2086" s="125"/>
    </row>
    <row r="2087">
      <c r="A2087" s="122" t="s">
        <v>33554</v>
      </c>
      <c r="B2087" s="123">
        <v>1399352.0</v>
      </c>
      <c r="C2087" s="687" t="s">
        <v>33555</v>
      </c>
      <c r="D2087" s="125"/>
    </row>
    <row r="2088">
      <c r="A2088" s="122" t="s">
        <v>16495</v>
      </c>
      <c r="B2088" s="123">
        <v>711404.0</v>
      </c>
      <c r="C2088" s="687" t="s">
        <v>16496</v>
      </c>
      <c r="D2088" s="125"/>
    </row>
    <row r="2089">
      <c r="A2089" s="122" t="s">
        <v>10926</v>
      </c>
      <c r="B2089" s="123">
        <v>1320461.0</v>
      </c>
      <c r="C2089" s="687" t="s">
        <v>10927</v>
      </c>
      <c r="D2089" s="125"/>
    </row>
    <row r="2090">
      <c r="A2090" s="122" t="s">
        <v>1660</v>
      </c>
      <c r="B2090" s="123">
        <v>1734262.0</v>
      </c>
      <c r="C2090" s="687" t="s">
        <v>1661</v>
      </c>
      <c r="D2090" s="125"/>
    </row>
    <row r="2091">
      <c r="A2091" s="122" t="s">
        <v>15357</v>
      </c>
      <c r="B2091" s="123">
        <v>1345105.0</v>
      </c>
      <c r="C2091" s="687" t="s">
        <v>15358</v>
      </c>
      <c r="D2091" s="125"/>
    </row>
    <row r="2092">
      <c r="A2092" s="122" t="s">
        <v>14084</v>
      </c>
      <c r="B2092" s="123">
        <v>900075.0</v>
      </c>
      <c r="C2092" s="687" t="s">
        <v>14085</v>
      </c>
      <c r="D2092" s="125"/>
    </row>
    <row r="2093">
      <c r="A2093" s="122" t="s">
        <v>8422</v>
      </c>
      <c r="B2093" s="123">
        <v>1837671.0</v>
      </c>
      <c r="C2093" s="687" t="s">
        <v>8423</v>
      </c>
      <c r="D2093" s="125"/>
    </row>
    <row r="2094">
      <c r="A2094" s="122" t="s">
        <v>10094</v>
      </c>
      <c r="B2094" s="123">
        <v>1825497.0</v>
      </c>
      <c r="C2094" s="687" t="s">
        <v>10095</v>
      </c>
      <c r="D2094" s="125"/>
    </row>
    <row r="2095">
      <c r="A2095" s="122" t="s">
        <v>1567</v>
      </c>
      <c r="B2095" s="123">
        <v>1876042.0</v>
      </c>
      <c r="C2095" s="687" t="s">
        <v>1568</v>
      </c>
      <c r="D2095" s="125"/>
    </row>
    <row r="2096">
      <c r="A2096" s="122" t="s">
        <v>11677</v>
      </c>
      <c r="B2096" s="123">
        <v>1088856.0</v>
      </c>
      <c r="C2096" s="687" t="s">
        <v>11678</v>
      </c>
      <c r="D2096" s="125"/>
    </row>
    <row r="2097">
      <c r="A2097" s="122" t="s">
        <v>33556</v>
      </c>
      <c r="B2097" s="123">
        <v>837342.0</v>
      </c>
      <c r="C2097" s="687" t="s">
        <v>33557</v>
      </c>
      <c r="D2097" s="125"/>
    </row>
    <row r="2098">
      <c r="A2098" s="122" t="s">
        <v>1688</v>
      </c>
      <c r="B2098" s="123">
        <v>1168981.0</v>
      </c>
      <c r="C2098" s="687" t="s">
        <v>1689</v>
      </c>
      <c r="D2098" s="125"/>
    </row>
    <row r="2099">
      <c r="A2099" s="122" t="s">
        <v>13707</v>
      </c>
      <c r="B2099" s="123">
        <v>1856525.0</v>
      </c>
      <c r="C2099" s="687" t="s">
        <v>13708</v>
      </c>
      <c r="D2099" s="125"/>
    </row>
    <row r="2100">
      <c r="A2100" s="122" t="s">
        <v>10899</v>
      </c>
      <c r="B2100" s="123">
        <v>1026655.0</v>
      </c>
      <c r="C2100" s="687" t="s">
        <v>10900</v>
      </c>
      <c r="D2100" s="125"/>
    </row>
    <row r="2101">
      <c r="A2101" s="122" t="s">
        <v>4096</v>
      </c>
      <c r="B2101" s="123">
        <v>1839341.0</v>
      </c>
      <c r="C2101" s="687" t="s">
        <v>4097</v>
      </c>
      <c r="D2101" s="125"/>
    </row>
    <row r="2102">
      <c r="A2102" s="122" t="s">
        <v>5504</v>
      </c>
      <c r="B2102" s="123">
        <v>1839341.0</v>
      </c>
      <c r="C2102" s="687" t="s">
        <v>5505</v>
      </c>
      <c r="D2102" s="125"/>
    </row>
    <row r="2103">
      <c r="A2103" s="122" t="s">
        <v>12029</v>
      </c>
      <c r="B2103" s="123">
        <v>1889539.0</v>
      </c>
      <c r="C2103" s="687" t="s">
        <v>12030</v>
      </c>
      <c r="D2103" s="125"/>
    </row>
    <row r="2104">
      <c r="A2104" s="122" t="s">
        <v>9638</v>
      </c>
      <c r="B2104" s="123">
        <v>320340.0</v>
      </c>
      <c r="C2104" s="687" t="s">
        <v>9639</v>
      </c>
      <c r="D2104" s="125"/>
    </row>
    <row r="2105">
      <c r="A2105" s="122" t="s">
        <v>10307</v>
      </c>
      <c r="B2105" s="123">
        <v>1070985.0</v>
      </c>
      <c r="C2105" s="687" t="s">
        <v>10308</v>
      </c>
      <c r="D2105" s="125"/>
    </row>
    <row r="2106">
      <c r="A2106" s="122" t="s">
        <v>2540</v>
      </c>
      <c r="B2106" s="123">
        <v>1347652.0</v>
      </c>
      <c r="C2106" s="687" t="s">
        <v>2541</v>
      </c>
      <c r="D2106" s="125"/>
    </row>
    <row r="2107">
      <c r="A2107" s="122" t="s">
        <v>906</v>
      </c>
      <c r="B2107" s="123">
        <v>1375195.0</v>
      </c>
      <c r="C2107" s="687" t="s">
        <v>907</v>
      </c>
      <c r="D2107" s="125"/>
    </row>
    <row r="2108">
      <c r="A2108" s="122" t="s">
        <v>5592</v>
      </c>
      <c r="B2108" s="123">
        <v>1410098.0</v>
      </c>
      <c r="C2108" s="687" t="s">
        <v>5593</v>
      </c>
      <c r="D2108" s="125"/>
    </row>
    <row r="2109">
      <c r="A2109" s="122" t="s">
        <v>2006</v>
      </c>
      <c r="B2109" s="123">
        <v>1829953.0</v>
      </c>
      <c r="C2109" s="687" t="s">
        <v>1452</v>
      </c>
      <c r="D2109" s="125"/>
    </row>
    <row r="2110">
      <c r="A2110" s="122" t="s">
        <v>1451</v>
      </c>
      <c r="B2110" s="123">
        <v>1847513.0</v>
      </c>
      <c r="C2110" s="687" t="s">
        <v>1452</v>
      </c>
      <c r="D2110" s="125"/>
    </row>
    <row r="2111">
      <c r="A2111" s="122" t="s">
        <v>8869</v>
      </c>
      <c r="B2111" s="123">
        <v>1829953.0</v>
      </c>
      <c r="C2111" s="687" t="s">
        <v>8870</v>
      </c>
      <c r="D2111" s="125"/>
    </row>
    <row r="2112">
      <c r="A2112" s="122" t="s">
        <v>8851</v>
      </c>
      <c r="B2112" s="123">
        <v>1829953.0</v>
      </c>
      <c r="C2112" s="687" t="s">
        <v>8852</v>
      </c>
      <c r="D2112" s="125"/>
    </row>
    <row r="2113">
      <c r="A2113" s="122" t="s">
        <v>7789</v>
      </c>
      <c r="B2113" s="123">
        <v>1448324.0</v>
      </c>
      <c r="C2113" s="687" t="s">
        <v>7790</v>
      </c>
      <c r="D2113" s="125"/>
    </row>
    <row r="2114">
      <c r="A2114" s="122" t="s">
        <v>7424</v>
      </c>
      <c r="B2114" s="123">
        <v>814083.0</v>
      </c>
      <c r="C2114" s="687" t="s">
        <v>7425</v>
      </c>
      <c r="D2114" s="125"/>
    </row>
    <row r="2115">
      <c r="A2115" s="122" t="s">
        <v>7399</v>
      </c>
      <c r="B2115" s="123">
        <v>33934.0</v>
      </c>
      <c r="C2115" s="687" t="s">
        <v>7400</v>
      </c>
      <c r="D2115" s="125"/>
    </row>
    <row r="2116">
      <c r="A2116" s="122" t="s">
        <v>13005</v>
      </c>
      <c r="B2116" s="123">
        <v>24741.0</v>
      </c>
      <c r="C2116" s="687" t="s">
        <v>13006</v>
      </c>
      <c r="D2116" s="125"/>
    </row>
    <row r="2117">
      <c r="A2117" s="122" t="s">
        <v>33558</v>
      </c>
      <c r="B2117" s="123">
        <v>842013.0</v>
      </c>
      <c r="C2117" s="687" t="s">
        <v>33559</v>
      </c>
      <c r="D2117" s="125"/>
    </row>
    <row r="2118">
      <c r="A2118" s="122" t="s">
        <v>3929</v>
      </c>
      <c r="B2118" s="123">
        <v>1770561.0</v>
      </c>
      <c r="C2118" s="687" t="s">
        <v>3930</v>
      </c>
      <c r="D2118" s="125"/>
    </row>
    <row r="2119">
      <c r="A2119" s="122" t="s">
        <v>10737</v>
      </c>
      <c r="B2119" s="123">
        <v>1717393.0</v>
      </c>
      <c r="C2119" s="687" t="s">
        <v>10738</v>
      </c>
      <c r="D2119" s="125"/>
    </row>
    <row r="2120">
      <c r="A2120" s="122" t="s">
        <v>4531</v>
      </c>
      <c r="B2120" s="123">
        <v>1108645.0</v>
      </c>
      <c r="C2120" s="687" t="s">
        <v>4532</v>
      </c>
      <c r="D2120" s="125"/>
    </row>
    <row r="2121">
      <c r="A2121" s="122" t="s">
        <v>9810</v>
      </c>
      <c r="B2121" s="123">
        <v>1743759.0</v>
      </c>
      <c r="C2121" s="687" t="s">
        <v>9811</v>
      </c>
      <c r="D2121" s="125"/>
    </row>
    <row r="2122">
      <c r="A2122" s="122" t="s">
        <v>14204</v>
      </c>
      <c r="B2122" s="123">
        <v>1755672.0</v>
      </c>
      <c r="C2122" s="687" t="s">
        <v>14205</v>
      </c>
      <c r="D2122" s="125"/>
    </row>
    <row r="2123">
      <c r="A2123" s="122" t="s">
        <v>33560</v>
      </c>
      <c r="B2123" s="123">
        <v>1283602.0</v>
      </c>
      <c r="C2123" s="687" t="s">
        <v>33561</v>
      </c>
      <c r="D2123" s="125"/>
    </row>
    <row r="2124">
      <c r="A2124" s="122" t="s">
        <v>16290</v>
      </c>
      <c r="B2124" s="123">
        <v>874866.0</v>
      </c>
      <c r="C2124" s="687" t="s">
        <v>16291</v>
      </c>
      <c r="D2124" s="125"/>
    </row>
    <row r="2125">
      <c r="A2125" s="122" t="s">
        <v>4904</v>
      </c>
      <c r="B2125" s="123">
        <v>1626971.0</v>
      </c>
      <c r="C2125" s="687" t="s">
        <v>4905</v>
      </c>
      <c r="D2125" s="125"/>
    </row>
    <row r="2126">
      <c r="A2126" s="122" t="s">
        <v>10311</v>
      </c>
      <c r="B2126" s="123">
        <v>1430162.0</v>
      </c>
      <c r="C2126" s="687" t="s">
        <v>10312</v>
      </c>
      <c r="D2126" s="125"/>
    </row>
    <row r="2127">
      <c r="A2127" s="122" t="s">
        <v>3917</v>
      </c>
      <c r="B2127" s="123">
        <v>1474167.0</v>
      </c>
      <c r="C2127" s="687" t="s">
        <v>3918</v>
      </c>
      <c r="D2127" s="125"/>
    </row>
    <row r="2128">
      <c r="A2128" s="122" t="s">
        <v>8512</v>
      </c>
      <c r="B2128" s="123">
        <v>1503584.0</v>
      </c>
      <c r="C2128" s="687" t="s">
        <v>8513</v>
      </c>
      <c r="D2128" s="125"/>
    </row>
    <row r="2129">
      <c r="A2129" s="122" t="s">
        <v>15099</v>
      </c>
      <c r="B2129" s="123">
        <v>1057352.0</v>
      </c>
      <c r="C2129" s="687" t="s">
        <v>15100</v>
      </c>
      <c r="D2129" s="125"/>
    </row>
    <row r="2130">
      <c r="A2130" s="122" t="s">
        <v>16654</v>
      </c>
      <c r="B2130" s="123">
        <v>909832.0</v>
      </c>
      <c r="C2130" s="687" t="s">
        <v>16655</v>
      </c>
      <c r="D2130" s="125"/>
    </row>
    <row r="2131">
      <c r="A2131" s="122" t="s">
        <v>12194</v>
      </c>
      <c r="B2131" s="123">
        <v>858470.0</v>
      </c>
      <c r="C2131" s="687" t="s">
        <v>12195</v>
      </c>
      <c r="D2131" s="125"/>
    </row>
    <row r="2132">
      <c r="A2132" s="122" t="s">
        <v>12564</v>
      </c>
      <c r="B2132" s="123">
        <v>1845022.0</v>
      </c>
      <c r="C2132" s="687" t="s">
        <v>12565</v>
      </c>
      <c r="D2132" s="125"/>
    </row>
    <row r="2133">
      <c r="A2133" s="122" t="s">
        <v>10233</v>
      </c>
      <c r="B2133" s="123">
        <v>1834584.0</v>
      </c>
      <c r="C2133" s="687" t="s">
        <v>10234</v>
      </c>
      <c r="D2133" s="125"/>
    </row>
    <row r="2134">
      <c r="A2134" s="122" t="s">
        <v>11831</v>
      </c>
      <c r="B2134" s="123">
        <v>25232.0</v>
      </c>
      <c r="C2134" s="687" t="s">
        <v>11832</v>
      </c>
      <c r="D2134" s="125"/>
    </row>
    <row r="2135">
      <c r="A2135" s="122" t="s">
        <v>14095</v>
      </c>
      <c r="B2135" s="123">
        <v>928658.0</v>
      </c>
      <c r="C2135" s="687" t="s">
        <v>14096</v>
      </c>
      <c r="D2135" s="125"/>
    </row>
    <row r="2136">
      <c r="A2136" s="122" t="s">
        <v>2362</v>
      </c>
      <c r="B2136" s="123">
        <v>768216.0</v>
      </c>
      <c r="C2136" s="687" t="s">
        <v>2363</v>
      </c>
      <c r="D2136" s="125"/>
    </row>
    <row r="2137">
      <c r="A2137" s="122" t="s">
        <v>10994</v>
      </c>
      <c r="B2137" s="123">
        <v>1641614.0</v>
      </c>
      <c r="C2137" s="687" t="s">
        <v>10995</v>
      </c>
      <c r="D2137" s="125"/>
    </row>
    <row r="2138">
      <c r="A2138" s="122" t="s">
        <v>5115</v>
      </c>
      <c r="B2138" s="123">
        <v>814676.0</v>
      </c>
      <c r="C2138" s="687" t="s">
        <v>5116</v>
      </c>
      <c r="D2138" s="125"/>
    </row>
    <row r="2139">
      <c r="A2139" s="122" t="s">
        <v>15485</v>
      </c>
      <c r="B2139" s="123">
        <v>1053706.0</v>
      </c>
      <c r="C2139" s="687" t="s">
        <v>15486</v>
      </c>
      <c r="D2139" s="125"/>
    </row>
    <row r="2140">
      <c r="A2140" s="122" t="s">
        <v>15048</v>
      </c>
      <c r="B2140" s="123">
        <v>1067294.0</v>
      </c>
      <c r="C2140" s="687" t="s">
        <v>15049</v>
      </c>
      <c r="D2140" s="125"/>
    </row>
    <row r="2141">
      <c r="A2141" s="122" t="s">
        <v>15685</v>
      </c>
      <c r="B2141" s="123">
        <v>25445.0</v>
      </c>
      <c r="C2141" s="687" t="s">
        <v>15686</v>
      </c>
      <c r="D2141" s="125"/>
    </row>
    <row r="2142">
      <c r="A2142" s="122" t="s">
        <v>13314</v>
      </c>
      <c r="B2142" s="123">
        <v>47307.0</v>
      </c>
      <c r="C2142" s="687" t="s">
        <v>13315</v>
      </c>
      <c r="D2142" s="125"/>
    </row>
    <row r="2143">
      <c r="A2143" s="122" t="s">
        <v>502</v>
      </c>
      <c r="B2143" s="123">
        <v>1357671.0</v>
      </c>
      <c r="C2143" s="687" t="s">
        <v>503</v>
      </c>
      <c r="D2143" s="125"/>
    </row>
    <row r="2144">
      <c r="A2144" s="122" t="s">
        <v>5798</v>
      </c>
      <c r="B2144" s="123">
        <v>908311.0</v>
      </c>
      <c r="C2144" s="687" t="s">
        <v>5799</v>
      </c>
      <c r="D2144" s="125"/>
    </row>
    <row r="2145">
      <c r="A2145" s="122" t="s">
        <v>6204</v>
      </c>
      <c r="B2145" s="123">
        <v>1187953.0</v>
      </c>
      <c r="C2145" s="687" t="s">
        <v>6205</v>
      </c>
      <c r="D2145" s="125"/>
    </row>
    <row r="2146">
      <c r="A2146" s="122" t="s">
        <v>5574</v>
      </c>
      <c r="B2146" s="123">
        <v>1356093.0</v>
      </c>
      <c r="C2146" s="687" t="s">
        <v>5575</v>
      </c>
      <c r="D2146" s="125"/>
    </row>
    <row r="2147">
      <c r="A2147" s="122" t="s">
        <v>15885</v>
      </c>
      <c r="B2147" s="123">
        <v>1001290.0</v>
      </c>
      <c r="C2147" s="687" t="s">
        <v>15886</v>
      </c>
      <c r="D2147" s="125"/>
    </row>
    <row r="2148">
      <c r="A2148" s="122" t="s">
        <v>16627</v>
      </c>
      <c r="B2148" s="123">
        <v>885550.0</v>
      </c>
      <c r="C2148" s="687" t="s">
        <v>16628</v>
      </c>
      <c r="D2148" s="125"/>
    </row>
    <row r="2149">
      <c r="A2149" s="122" t="s">
        <v>5541</v>
      </c>
      <c r="B2149" s="123">
        <v>810766.0</v>
      </c>
      <c r="C2149" s="687" t="s">
        <v>5542</v>
      </c>
      <c r="D2149" s="125"/>
    </row>
    <row r="2150">
      <c r="A2150" s="122" t="s">
        <v>4798</v>
      </c>
      <c r="B2150" s="123">
        <v>1061353.0</v>
      </c>
      <c r="C2150" s="687" t="s">
        <v>4799</v>
      </c>
      <c r="D2150" s="125"/>
    </row>
    <row r="2151">
      <c r="A2151" s="122" t="s">
        <v>15835</v>
      </c>
      <c r="B2151" s="123">
        <v>1053092.0</v>
      </c>
      <c r="C2151" s="687" t="s">
        <v>15836</v>
      </c>
      <c r="D2151" s="125"/>
    </row>
    <row r="2152">
      <c r="A2152" s="122" t="s">
        <v>14786</v>
      </c>
      <c r="B2152" s="123">
        <v>1053092.0</v>
      </c>
      <c r="C2152" s="687" t="s">
        <v>14787</v>
      </c>
      <c r="D2152" s="125"/>
    </row>
    <row r="2153">
      <c r="A2153" s="122" t="s">
        <v>5075</v>
      </c>
      <c r="B2153" s="123">
        <v>315958.0</v>
      </c>
      <c r="C2153" s="687" t="s">
        <v>5076</v>
      </c>
      <c r="D2153" s="125"/>
    </row>
    <row r="2154">
      <c r="A2154" s="122" t="s">
        <v>11731</v>
      </c>
      <c r="B2154" s="123">
        <v>1807794.0</v>
      </c>
      <c r="C2154" s="687" t="s">
        <v>11732</v>
      </c>
      <c r="D2154" s="125"/>
    </row>
    <row r="2155">
      <c r="A2155" s="122" t="s">
        <v>12089</v>
      </c>
      <c r="B2155" s="123">
        <v>1464963.0</v>
      </c>
      <c r="C2155" s="687" t="s">
        <v>12090</v>
      </c>
      <c r="D2155" s="125"/>
    </row>
    <row r="2156">
      <c r="A2156" s="122" t="s">
        <v>10723</v>
      </c>
      <c r="B2156" s="123">
        <v>1633336.0</v>
      </c>
      <c r="C2156" s="687" t="s">
        <v>10724</v>
      </c>
      <c r="D2156" s="125"/>
    </row>
    <row r="2157">
      <c r="A2157" s="122" t="s">
        <v>8580</v>
      </c>
      <c r="B2157" s="123">
        <v>1866175.0</v>
      </c>
      <c r="C2157" s="687" t="s">
        <v>8581</v>
      </c>
      <c r="D2157" s="125"/>
    </row>
    <row r="2158">
      <c r="A2158" s="122" t="s">
        <v>7121</v>
      </c>
      <c r="B2158" s="123">
        <v>1545851.0</v>
      </c>
      <c r="C2158" s="687" t="s">
        <v>7122</v>
      </c>
      <c r="D2158" s="125"/>
    </row>
    <row r="2159">
      <c r="A2159" s="122" t="s">
        <v>5241</v>
      </c>
      <c r="B2159" s="123">
        <v>1832928.0</v>
      </c>
      <c r="C2159" s="687" t="s">
        <v>5242</v>
      </c>
      <c r="D2159" s="125"/>
    </row>
    <row r="2160">
      <c r="A2160" s="122" t="s">
        <v>3219</v>
      </c>
      <c r="B2160" s="123">
        <v>1034957.0</v>
      </c>
      <c r="C2160" s="687" t="s">
        <v>3220</v>
      </c>
      <c r="D2160" s="125"/>
    </row>
    <row r="2161">
      <c r="A2161" s="122" t="s">
        <v>8144</v>
      </c>
      <c r="B2161" s="123">
        <v>1034957.0</v>
      </c>
      <c r="C2161" s="687" t="s">
        <v>8145</v>
      </c>
      <c r="D2161" s="125"/>
    </row>
    <row r="2162">
      <c r="A2162" s="122" t="s">
        <v>6961</v>
      </c>
      <c r="B2162" s="123">
        <v>1075736.0</v>
      </c>
      <c r="C2162" s="687" t="s">
        <v>6962</v>
      </c>
      <c r="D2162" s="125"/>
    </row>
    <row r="2163">
      <c r="A2163" s="122" t="s">
        <v>14845</v>
      </c>
      <c r="B2163" s="123">
        <v>849395.0</v>
      </c>
      <c r="C2163" s="687" t="s">
        <v>14846</v>
      </c>
      <c r="D2163" s="125"/>
    </row>
    <row r="2164">
      <c r="A2164" s="122" t="s">
        <v>6726</v>
      </c>
      <c r="B2164" s="123">
        <v>1828962.0</v>
      </c>
      <c r="C2164" s="687" t="s">
        <v>6727</v>
      </c>
      <c r="D2164" s="125"/>
    </row>
    <row r="2165">
      <c r="A2165" s="122" t="s">
        <v>6955</v>
      </c>
      <c r="B2165" s="123">
        <v>1562151.0</v>
      </c>
      <c r="C2165" s="687" t="s">
        <v>6956</v>
      </c>
      <c r="D2165" s="125"/>
    </row>
    <row r="2166">
      <c r="A2166" s="122" t="s">
        <v>13401</v>
      </c>
      <c r="B2166" s="123">
        <v>1658247.0</v>
      </c>
      <c r="C2166" s="687" t="s">
        <v>13402</v>
      </c>
      <c r="D2166" s="125"/>
    </row>
    <row r="2167">
      <c r="A2167" s="122" t="s">
        <v>14621</v>
      </c>
      <c r="B2167" s="123">
        <v>1674416.0</v>
      </c>
      <c r="C2167" s="687" t="s">
        <v>14622</v>
      </c>
      <c r="D2167" s="125"/>
    </row>
    <row r="2168">
      <c r="A2168" s="122" t="s">
        <v>12465</v>
      </c>
      <c r="B2168" s="123">
        <v>1576427.0</v>
      </c>
      <c r="C2168" s="687" t="s">
        <v>12466</v>
      </c>
      <c r="D2168" s="125"/>
    </row>
    <row r="2169">
      <c r="A2169" s="122" t="s">
        <v>33562</v>
      </c>
      <c r="B2169" s="123">
        <v>1806015.0</v>
      </c>
      <c r="C2169" s="687" t="s">
        <v>33563</v>
      </c>
      <c r="D2169" s="125"/>
    </row>
    <row r="2170">
      <c r="A2170" s="122" t="s">
        <v>15364</v>
      </c>
      <c r="B2170" s="123">
        <v>1334036.0</v>
      </c>
      <c r="C2170" s="687" t="s">
        <v>15365</v>
      </c>
      <c r="D2170" s="125"/>
    </row>
    <row r="2171">
      <c r="A2171" s="122" t="s">
        <v>1041</v>
      </c>
      <c r="B2171" s="123">
        <v>1696411.0</v>
      </c>
      <c r="C2171" s="687" t="s">
        <v>1042</v>
      </c>
      <c r="D2171" s="125"/>
    </row>
    <row r="2172">
      <c r="A2172" s="122" t="s">
        <v>4888</v>
      </c>
      <c r="B2172" s="123">
        <v>1656472.0</v>
      </c>
      <c r="C2172" s="687" t="s">
        <v>4889</v>
      </c>
      <c r="D2172" s="125"/>
    </row>
    <row r="2173">
      <c r="A2173" s="122" t="s">
        <v>11721</v>
      </c>
      <c r="B2173" s="123">
        <v>1141103.0</v>
      </c>
      <c r="C2173" s="687" t="s">
        <v>11722</v>
      </c>
      <c r="D2173" s="125"/>
    </row>
    <row r="2174">
      <c r="A2174" s="122" t="s">
        <v>10969</v>
      </c>
      <c r="B2174" s="123">
        <v>881787.0</v>
      </c>
      <c r="C2174" s="687" t="s">
        <v>10970</v>
      </c>
      <c r="D2174" s="125"/>
    </row>
    <row r="2175">
      <c r="A2175" s="122" t="s">
        <v>11773</v>
      </c>
      <c r="B2175" s="123">
        <v>1538849.0</v>
      </c>
      <c r="C2175" s="687" t="s">
        <v>11774</v>
      </c>
      <c r="D2175" s="125"/>
    </row>
    <row r="2176">
      <c r="A2176" s="122" t="s">
        <v>10149</v>
      </c>
      <c r="B2176" s="123">
        <v>1458412.0</v>
      </c>
      <c r="C2176" s="687" t="s">
        <v>10150</v>
      </c>
      <c r="D2176" s="125"/>
    </row>
    <row r="2177">
      <c r="A2177" s="122" t="s">
        <v>16426</v>
      </c>
      <c r="B2177" s="123">
        <v>1535527.0</v>
      </c>
      <c r="C2177" s="687" t="s">
        <v>16427</v>
      </c>
      <c r="D2177" s="125"/>
    </row>
    <row r="2178">
      <c r="A2178" s="122" t="s">
        <v>33564</v>
      </c>
      <c r="B2178" s="123">
        <v>1554906.0</v>
      </c>
      <c r="C2178" s="687" t="s">
        <v>33565</v>
      </c>
      <c r="D2178" s="125"/>
    </row>
    <row r="2179">
      <c r="A2179" s="122" t="s">
        <v>15495</v>
      </c>
      <c r="B2179" s="123">
        <v>1051470.0</v>
      </c>
      <c r="C2179" s="687" t="s">
        <v>15496</v>
      </c>
      <c r="D2179" s="125"/>
    </row>
    <row r="2180">
      <c r="A2180" s="122" t="s">
        <v>6661</v>
      </c>
      <c r="B2180" s="123">
        <v>25895.0</v>
      </c>
      <c r="C2180" s="687" t="s">
        <v>6662</v>
      </c>
      <c r="D2180" s="125"/>
    </row>
    <row r="2181">
      <c r="A2181" s="122" t="s">
        <v>1916</v>
      </c>
      <c r="B2181" s="123">
        <v>1761696.0</v>
      </c>
      <c r="C2181" s="687" t="s">
        <v>1917</v>
      </c>
      <c r="D2181" s="125"/>
    </row>
    <row r="2182">
      <c r="A2182" s="122" t="s">
        <v>1858</v>
      </c>
      <c r="B2182" s="123">
        <v>1103833.0</v>
      </c>
      <c r="C2182" s="687" t="s">
        <v>1859</v>
      </c>
      <c r="D2182" s="125"/>
    </row>
    <row r="2183">
      <c r="A2183" s="122" t="s">
        <v>15199</v>
      </c>
      <c r="B2183" s="123">
        <v>1219601.0</v>
      </c>
      <c r="C2183" s="687" t="s">
        <v>15200</v>
      </c>
      <c r="D2183" s="125"/>
    </row>
    <row r="2184">
      <c r="A2184" s="122" t="s">
        <v>8789</v>
      </c>
      <c r="B2184" s="123">
        <v>1827899.0</v>
      </c>
      <c r="C2184" s="687" t="s">
        <v>8790</v>
      </c>
      <c r="D2184" s="125"/>
    </row>
    <row r="2185">
      <c r="A2185" s="122" t="s">
        <v>1112</v>
      </c>
      <c r="B2185" s="123">
        <v>1677522.0</v>
      </c>
      <c r="C2185" s="687" t="s">
        <v>1113</v>
      </c>
      <c r="D2185" s="125"/>
    </row>
    <row r="2186">
      <c r="A2186" s="122" t="s">
        <v>6790</v>
      </c>
      <c r="B2186" s="123">
        <v>862692.0</v>
      </c>
      <c r="C2186" s="687" t="s">
        <v>6791</v>
      </c>
      <c r="D2186" s="125"/>
    </row>
    <row r="2187">
      <c r="A2187" s="122" t="s">
        <v>1421</v>
      </c>
      <c r="B2187" s="123">
        <v>1533030.0</v>
      </c>
      <c r="C2187" s="687" t="s">
        <v>1422</v>
      </c>
      <c r="D2187" s="125"/>
    </row>
    <row r="2188">
      <c r="A2188" s="122" t="s">
        <v>33566</v>
      </c>
      <c r="B2188" s="123">
        <v>1688126.0</v>
      </c>
      <c r="C2188" s="687" t="s">
        <v>33567</v>
      </c>
      <c r="D2188" s="125"/>
    </row>
    <row r="2189">
      <c r="A2189" s="122" t="s">
        <v>7803</v>
      </c>
      <c r="B2189" s="123">
        <v>1625641.0</v>
      </c>
      <c r="C2189" s="687" t="s">
        <v>7804</v>
      </c>
      <c r="D2189" s="125"/>
    </row>
    <row r="2190">
      <c r="A2190" s="122" t="s">
        <v>13485</v>
      </c>
      <c r="B2190" s="123">
        <v>880417.0</v>
      </c>
      <c r="C2190" s="687" t="s">
        <v>13486</v>
      </c>
      <c r="D2190" s="125"/>
    </row>
    <row r="2191">
      <c r="A2191" s="122" t="s">
        <v>14005</v>
      </c>
      <c r="B2191" s="123">
        <v>1005757.0</v>
      </c>
      <c r="C2191" s="687" t="s">
        <v>14006</v>
      </c>
      <c r="D2191" s="125"/>
    </row>
    <row r="2192">
      <c r="A2192" s="122" t="s">
        <v>4748</v>
      </c>
      <c r="B2192" s="123">
        <v>1449488.0</v>
      </c>
      <c r="C2192" s="687" t="s">
        <v>4749</v>
      </c>
      <c r="D2192" s="125"/>
    </row>
    <row r="2193">
      <c r="A2193" s="122" t="s">
        <v>15338</v>
      </c>
      <c r="B2193" s="123">
        <v>1274152.0</v>
      </c>
      <c r="C2193" s="687" t="s">
        <v>15339</v>
      </c>
      <c r="D2193" s="125"/>
    </row>
    <row r="2194">
      <c r="A2194" s="122" t="s">
        <v>16114</v>
      </c>
      <c r="B2194" s="123">
        <v>1274152.0</v>
      </c>
      <c r="C2194" s="687" t="s">
        <v>16115</v>
      </c>
      <c r="D2194" s="125"/>
    </row>
    <row r="2195">
      <c r="A2195" s="122" t="s">
        <v>9010</v>
      </c>
      <c r="B2195" s="123">
        <v>1875493.0</v>
      </c>
      <c r="C2195" s="687" t="s">
        <v>9011</v>
      </c>
      <c r="D2195" s="125"/>
    </row>
    <row r="2196">
      <c r="A2196" s="122" t="s">
        <v>8940</v>
      </c>
      <c r="B2196" s="123">
        <v>1875493.0</v>
      </c>
      <c r="C2196" s="687" t="s">
        <v>8941</v>
      </c>
      <c r="D2196" s="125"/>
    </row>
    <row r="2197">
      <c r="A2197" s="122" t="s">
        <v>11933</v>
      </c>
      <c r="B2197" s="123">
        <v>356037.0</v>
      </c>
      <c r="C2197" s="687" t="s">
        <v>11934</v>
      </c>
      <c r="D2197" s="125"/>
    </row>
    <row r="2198">
      <c r="A2198" s="122" t="s">
        <v>16225</v>
      </c>
      <c r="B2198" s="123">
        <v>1624794.0</v>
      </c>
      <c r="C2198" s="687" t="s">
        <v>16226</v>
      </c>
      <c r="D2198" s="125"/>
    </row>
    <row r="2199">
      <c r="A2199" s="122" t="s">
        <v>13350</v>
      </c>
      <c r="B2199" s="123">
        <v>277948.0</v>
      </c>
      <c r="C2199" s="687" t="s">
        <v>13351</v>
      </c>
      <c r="D2199" s="125"/>
    </row>
    <row r="2200">
      <c r="A2200" s="122" t="s">
        <v>10763</v>
      </c>
      <c r="B2200" s="123">
        <v>23795.0</v>
      </c>
      <c r="C2200" s="687" t="s">
        <v>10764</v>
      </c>
      <c r="D2200" s="125"/>
    </row>
    <row r="2201">
      <c r="A2201" s="122" t="s">
        <v>13702</v>
      </c>
      <c r="B2201" s="123">
        <v>26058.0</v>
      </c>
      <c r="C2201" s="687" t="s">
        <v>13703</v>
      </c>
      <c r="D2201" s="125"/>
    </row>
    <row r="2202">
      <c r="A2202" s="122" t="s">
        <v>13772</v>
      </c>
      <c r="B2202" s="123">
        <v>1298675.0</v>
      </c>
      <c r="C2202" s="687" t="s">
        <v>13773</v>
      </c>
      <c r="D2202" s="125"/>
    </row>
    <row r="2203">
      <c r="A2203" s="122" t="s">
        <v>5147</v>
      </c>
      <c r="B2203" s="123">
        <v>1645460.0</v>
      </c>
      <c r="C2203" s="687" t="s">
        <v>5148</v>
      </c>
      <c r="D2203" s="125"/>
    </row>
    <row r="2204">
      <c r="A2204" s="122" t="s">
        <v>2429</v>
      </c>
      <c r="B2204" s="123">
        <v>1628945.0</v>
      </c>
      <c r="C2204" s="687" t="s">
        <v>2430</v>
      </c>
      <c r="D2204" s="125"/>
    </row>
    <row r="2205">
      <c r="A2205" s="122" t="s">
        <v>840</v>
      </c>
      <c r="B2205" s="123">
        <v>1424657.0</v>
      </c>
      <c r="C2205" s="687" t="s">
        <v>841</v>
      </c>
      <c r="D2205" s="125"/>
    </row>
    <row r="2206">
      <c r="A2206" s="122" t="s">
        <v>3005</v>
      </c>
      <c r="B2206" s="123">
        <v>1424657.0</v>
      </c>
      <c r="C2206" s="687" t="s">
        <v>3006</v>
      </c>
      <c r="D2206" s="125"/>
    </row>
    <row r="2207">
      <c r="A2207" s="122" t="s">
        <v>15454</v>
      </c>
      <c r="B2207" s="123">
        <v>39263.0</v>
      </c>
      <c r="C2207" s="687" t="s">
        <v>15455</v>
      </c>
      <c r="D2207" s="125"/>
    </row>
    <row r="2208">
      <c r="A2208" s="122" t="s">
        <v>8821</v>
      </c>
      <c r="B2208" s="123">
        <v>1845799.0</v>
      </c>
      <c r="C2208" s="687" t="s">
        <v>8822</v>
      </c>
      <c r="D2208" s="125"/>
    </row>
    <row r="2209">
      <c r="A2209" s="122" t="s">
        <v>6508</v>
      </c>
      <c r="B2209" s="123">
        <v>723603.0</v>
      </c>
      <c r="C2209" s="687" t="s">
        <v>6509</v>
      </c>
      <c r="D2209" s="125"/>
    </row>
    <row r="2210">
      <c r="A2210" s="122" t="s">
        <v>4844</v>
      </c>
      <c r="B2210" s="123">
        <v>1087294.0</v>
      </c>
      <c r="C2210" s="687" t="s">
        <v>4845</v>
      </c>
      <c r="D2210" s="125"/>
    </row>
    <row r="2211">
      <c r="A2211" s="122" t="s">
        <v>16303</v>
      </c>
      <c r="B2211" s="123">
        <v>26172.0</v>
      </c>
      <c r="C2211" s="687" t="s">
        <v>16304</v>
      </c>
      <c r="D2211" s="125"/>
    </row>
    <row r="2212">
      <c r="A2212" s="122" t="s">
        <v>6299</v>
      </c>
      <c r="B2212" s="123">
        <v>1058623.0</v>
      </c>
      <c r="C2212" s="687" t="s">
        <v>6300</v>
      </c>
      <c r="D2212" s="125"/>
    </row>
    <row r="2213">
      <c r="A2213" s="122" t="s">
        <v>6800</v>
      </c>
      <c r="B2213" s="123">
        <v>1756770.0</v>
      </c>
      <c r="C2213" s="687" t="s">
        <v>6801</v>
      </c>
      <c r="D2213" s="125"/>
    </row>
    <row r="2214">
      <c r="A2214" s="122" t="s">
        <v>938</v>
      </c>
      <c r="B2214" s="123">
        <v>1400271.0</v>
      </c>
      <c r="C2214" s="687" t="s">
        <v>939</v>
      </c>
      <c r="D2214" s="125"/>
    </row>
    <row r="2215">
      <c r="A2215" s="122" t="s">
        <v>5818</v>
      </c>
      <c r="B2215" s="123">
        <v>1809122.0</v>
      </c>
      <c r="C2215" s="687" t="s">
        <v>5819</v>
      </c>
      <c r="D2215" s="125"/>
    </row>
    <row r="2216">
      <c r="A2216" s="122" t="s">
        <v>699</v>
      </c>
      <c r="B2216" s="123">
        <v>1776909.0</v>
      </c>
      <c r="C2216" s="687" t="s">
        <v>700</v>
      </c>
      <c r="D2216" s="125"/>
    </row>
    <row r="2217">
      <c r="A2217" s="122" t="s">
        <v>3081</v>
      </c>
      <c r="B2217" s="123">
        <v>1776909.0</v>
      </c>
      <c r="C2217" s="687" t="s">
        <v>3082</v>
      </c>
      <c r="D2217" s="125"/>
    </row>
    <row r="2218">
      <c r="A2218" s="122" t="s">
        <v>8456</v>
      </c>
      <c r="B2218" s="123">
        <v>1108205.0</v>
      </c>
      <c r="C2218" s="687" t="s">
        <v>8457</v>
      </c>
      <c r="D2218" s="125"/>
    </row>
    <row r="2219">
      <c r="A2219" s="122" t="s">
        <v>3460</v>
      </c>
      <c r="B2219" s="123">
        <v>1711291.0</v>
      </c>
      <c r="C2219" s="687" t="s">
        <v>3461</v>
      </c>
      <c r="D2219" s="125"/>
    </row>
    <row r="2220">
      <c r="A2220" s="122" t="s">
        <v>751</v>
      </c>
      <c r="B2220" s="123">
        <v>1673362.0</v>
      </c>
      <c r="C2220" s="687" t="s">
        <v>752</v>
      </c>
      <c r="D2220" s="125"/>
    </row>
    <row r="2221">
      <c r="A2221" s="122" t="s">
        <v>16246</v>
      </c>
      <c r="B2221" s="123">
        <v>26324.0</v>
      </c>
      <c r="C2221" s="687" t="s">
        <v>16247</v>
      </c>
      <c r="D2221" s="125"/>
    </row>
    <row r="2222">
      <c r="A2222" s="122" t="s">
        <v>8522</v>
      </c>
      <c r="B2222" s="123">
        <v>1628369.0</v>
      </c>
      <c r="C2222" s="687" t="s">
        <v>8523</v>
      </c>
      <c r="D2222" s="125"/>
    </row>
    <row r="2223">
      <c r="A2223" s="122" t="s">
        <v>7260</v>
      </c>
      <c r="B2223" s="123">
        <v>1709682.0</v>
      </c>
      <c r="C2223" s="687" t="s">
        <v>7261</v>
      </c>
      <c r="D2223" s="125"/>
    </row>
    <row r="2224">
      <c r="A2224" s="122" t="s">
        <v>11541</v>
      </c>
      <c r="B2224" s="123">
        <v>1488813.0</v>
      </c>
      <c r="C2224" s="687" t="s">
        <v>11542</v>
      </c>
      <c r="D2224" s="125"/>
    </row>
    <row r="2225">
      <c r="A2225" s="122" t="s">
        <v>14172</v>
      </c>
      <c r="B2225" s="123">
        <v>1488813.0</v>
      </c>
      <c r="C2225" s="687" t="s">
        <v>14173</v>
      </c>
      <c r="D2225" s="125"/>
    </row>
    <row r="2226">
      <c r="A2226" s="122" t="s">
        <v>5249</v>
      </c>
      <c r="B2226" s="123">
        <v>1162461.0</v>
      </c>
      <c r="C2226" s="687" t="s">
        <v>5250</v>
      </c>
      <c r="D2226" s="125"/>
    </row>
    <row r="2227">
      <c r="A2227" s="122" t="s">
        <v>1267</v>
      </c>
      <c r="B2227" s="123">
        <v>1510964.0</v>
      </c>
      <c r="C2227" s="687" t="s">
        <v>1268</v>
      </c>
      <c r="D2227" s="125"/>
    </row>
    <row r="2228">
      <c r="A2228" s="122" t="s">
        <v>10823</v>
      </c>
      <c r="B2228" s="123">
        <v>354647.0</v>
      </c>
      <c r="C2228" s="687" t="s">
        <v>10824</v>
      </c>
      <c r="D2228" s="125"/>
    </row>
    <row r="2229">
      <c r="A2229" s="122" t="s">
        <v>6502</v>
      </c>
      <c r="B2229" s="123">
        <v>766792.0</v>
      </c>
      <c r="C2229" s="687" t="s">
        <v>6503</v>
      </c>
      <c r="D2229" s="125"/>
    </row>
    <row r="2230">
      <c r="A2230" s="122" t="s">
        <v>13102</v>
      </c>
      <c r="B2230" s="123">
        <v>1376139.0</v>
      </c>
      <c r="C2230" s="687" t="s">
        <v>13103</v>
      </c>
      <c r="D2230" s="125"/>
    </row>
    <row r="2231">
      <c r="A2231" s="122" t="s">
        <v>14806</v>
      </c>
      <c r="B2231" s="123">
        <v>1425292.0</v>
      </c>
      <c r="C2231" s="687" t="s">
        <v>14807</v>
      </c>
      <c r="D2231" s="125"/>
    </row>
    <row r="2232">
      <c r="A2232" s="122" t="s">
        <v>12162</v>
      </c>
      <c r="B2232" s="123">
        <v>1235912.0</v>
      </c>
      <c r="C2232" s="687" t="s">
        <v>12163</v>
      </c>
      <c r="D2232" s="125"/>
    </row>
    <row r="2233">
      <c r="A2233" s="122" t="s">
        <v>14842</v>
      </c>
      <c r="B2233" s="123">
        <v>64803.0</v>
      </c>
      <c r="C2233" s="687" t="s">
        <v>14843</v>
      </c>
      <c r="D2233" s="125"/>
    </row>
    <row r="2234">
      <c r="A2234" s="122" t="s">
        <v>2701</v>
      </c>
      <c r="B2234" s="123">
        <v>1741220.0</v>
      </c>
      <c r="C2234" s="687" t="s">
        <v>2702</v>
      </c>
      <c r="D2234" s="125"/>
    </row>
    <row r="2235">
      <c r="A2235" s="122" t="s">
        <v>33568</v>
      </c>
      <c r="B2235" s="123">
        <v>1823635.0</v>
      </c>
      <c r="C2235" s="687" t="s">
        <v>33569</v>
      </c>
      <c r="D2235" s="125"/>
    </row>
    <row r="2236">
      <c r="A2236" s="122" t="s">
        <v>3454</v>
      </c>
      <c r="B2236" s="123">
        <v>768408.0</v>
      </c>
      <c r="C2236" s="687" t="s">
        <v>3455</v>
      </c>
      <c r="D2236" s="125"/>
    </row>
    <row r="2237">
      <c r="A2237" s="122" t="s">
        <v>2498</v>
      </c>
      <c r="B2237" s="123">
        <v>1230524.0</v>
      </c>
      <c r="C2237" s="687" t="s">
        <v>2499</v>
      </c>
      <c r="D2237" s="125"/>
    </row>
    <row r="2238">
      <c r="A2238" s="122" t="s">
        <v>16288</v>
      </c>
      <c r="B2238" s="123">
        <v>1598110.0</v>
      </c>
      <c r="C2238" s="687" t="s">
        <v>16289</v>
      </c>
      <c r="D2238" s="125"/>
    </row>
    <row r="2239">
      <c r="A2239" s="122" t="s">
        <v>1073</v>
      </c>
      <c r="B2239" s="123">
        <v>768411.0</v>
      </c>
      <c r="C2239" s="687" t="s">
        <v>1074</v>
      </c>
      <c r="D2239" s="125"/>
    </row>
    <row r="2240">
      <c r="A2240" s="122" t="s">
        <v>33570</v>
      </c>
      <c r="B2240" s="123">
        <v>1522787.0</v>
      </c>
      <c r="C2240" s="687" t="s">
        <v>33571</v>
      </c>
      <c r="D2240" s="125"/>
    </row>
    <row r="2241">
      <c r="A2241" s="122" t="s">
        <v>1930</v>
      </c>
      <c r="B2241" s="123">
        <v>1437517.0</v>
      </c>
      <c r="C2241" s="687" t="s">
        <v>1931</v>
      </c>
      <c r="D2241" s="125"/>
    </row>
    <row r="2242">
      <c r="A2242" s="122" t="s">
        <v>2711</v>
      </c>
      <c r="B2242" s="123">
        <v>1833141.0</v>
      </c>
      <c r="C2242" s="687" t="s">
        <v>2712</v>
      </c>
      <c r="D2242" s="125"/>
    </row>
    <row r="2243">
      <c r="A2243" s="122" t="s">
        <v>5005</v>
      </c>
      <c r="B2243" s="123">
        <v>1130166.0</v>
      </c>
      <c r="C2243" s="687" t="s">
        <v>5006</v>
      </c>
      <c r="D2243" s="125"/>
    </row>
    <row r="2244">
      <c r="A2244" s="122" t="s">
        <v>11422</v>
      </c>
      <c r="B2244" s="123">
        <v>1130166.0</v>
      </c>
      <c r="C2244" s="687" t="s">
        <v>11423</v>
      </c>
      <c r="D2244" s="125"/>
    </row>
    <row r="2245">
      <c r="A2245" s="122" t="s">
        <v>5376</v>
      </c>
      <c r="B2245" s="123">
        <v>1755237.0</v>
      </c>
      <c r="C2245" s="687" t="s">
        <v>5377</v>
      </c>
      <c r="D2245" s="125"/>
    </row>
    <row r="2246">
      <c r="A2246" s="122" t="s">
        <v>4735</v>
      </c>
      <c r="B2246" s="123">
        <v>922247.0</v>
      </c>
      <c r="C2246" s="687" t="s">
        <v>4736</v>
      </c>
      <c r="D2246" s="125"/>
    </row>
    <row r="2247">
      <c r="A2247" s="122" t="s">
        <v>2901</v>
      </c>
      <c r="B2247" s="123">
        <v>1388994.0</v>
      </c>
      <c r="C2247" s="687" t="s">
        <v>2902</v>
      </c>
      <c r="D2247" s="125"/>
    </row>
    <row r="2248">
      <c r="A2248" s="122" t="s">
        <v>12055</v>
      </c>
      <c r="B2248" s="123">
        <v>1042074.0</v>
      </c>
      <c r="C2248" s="687" t="s">
        <v>12056</v>
      </c>
      <c r="D2248" s="125"/>
    </row>
    <row r="2249">
      <c r="A2249" s="122" t="s">
        <v>2263</v>
      </c>
      <c r="B2249" s="123">
        <v>1874097.0</v>
      </c>
      <c r="C2249" s="687" t="s">
        <v>2264</v>
      </c>
      <c r="D2249" s="125"/>
    </row>
    <row r="2250">
      <c r="A2250" s="122" t="s">
        <v>5622</v>
      </c>
      <c r="B2250" s="123">
        <v>1662244.0</v>
      </c>
      <c r="C2250" s="687" t="s">
        <v>5623</v>
      </c>
      <c r="D2250" s="125"/>
    </row>
    <row r="2251">
      <c r="A2251" s="122" t="s">
        <v>7625</v>
      </c>
      <c r="B2251" s="123">
        <v>1831915.0</v>
      </c>
      <c r="C2251" s="687" t="s">
        <v>7626</v>
      </c>
      <c r="D2251" s="125"/>
    </row>
    <row r="2252">
      <c r="A2252" s="122" t="s">
        <v>2209</v>
      </c>
      <c r="B2252" s="123">
        <v>1175680.0</v>
      </c>
      <c r="C2252" s="687" t="s">
        <v>2210</v>
      </c>
      <c r="D2252" s="125"/>
    </row>
    <row r="2253">
      <c r="A2253" s="122" t="s">
        <v>15040</v>
      </c>
      <c r="B2253" s="123">
        <v>1061983.0</v>
      </c>
      <c r="C2253" s="687" t="s">
        <v>15041</v>
      </c>
      <c r="D2253" s="125"/>
    </row>
    <row r="2254">
      <c r="A2254" s="122" t="s">
        <v>4379</v>
      </c>
      <c r="B2254" s="123">
        <v>1501989.0</v>
      </c>
      <c r="C2254" s="687" t="s">
        <v>4380</v>
      </c>
      <c r="D2254" s="125"/>
    </row>
    <row r="2255">
      <c r="A2255" s="122" t="s">
        <v>3831</v>
      </c>
      <c r="B2255" s="123">
        <v>1175151.0</v>
      </c>
      <c r="C2255" s="687" t="s">
        <v>3832</v>
      </c>
      <c r="D2255" s="125"/>
    </row>
    <row r="2256">
      <c r="A2256" s="122" t="s">
        <v>1136</v>
      </c>
      <c r="B2256" s="123">
        <v>1383088.0</v>
      </c>
      <c r="C2256" s="687" t="s">
        <v>1137</v>
      </c>
      <c r="D2256" s="125"/>
    </row>
    <row r="2257">
      <c r="A2257" s="122" t="s">
        <v>4425</v>
      </c>
      <c r="B2257" s="123">
        <v>1850235.0</v>
      </c>
      <c r="C2257" s="687" t="s">
        <v>4426</v>
      </c>
      <c r="D2257" s="125"/>
    </row>
    <row r="2258">
      <c r="A2258" s="122" t="s">
        <v>3725</v>
      </c>
      <c r="B2258" s="123">
        <v>1907982.0</v>
      </c>
      <c r="C2258" s="687" t="s">
        <v>3726</v>
      </c>
      <c r="D2258" s="125"/>
    </row>
    <row r="2259">
      <c r="A2259" s="122" t="s">
        <v>7021</v>
      </c>
      <c r="B2259" s="123">
        <v>1883389.0</v>
      </c>
      <c r="C2259" s="687" t="s">
        <v>7022</v>
      </c>
      <c r="D2259" s="125"/>
    </row>
    <row r="2260">
      <c r="A2260" s="122" t="s">
        <v>4693</v>
      </c>
      <c r="B2260" s="123">
        <v>1793862.0</v>
      </c>
      <c r="C2260" s="687" t="s">
        <v>4694</v>
      </c>
      <c r="D2260" s="125"/>
    </row>
    <row r="2261">
      <c r="A2261" s="122" t="s">
        <v>16437</v>
      </c>
      <c r="B2261" s="123">
        <v>783412.0</v>
      </c>
      <c r="C2261" s="687" t="s">
        <v>16438</v>
      </c>
      <c r="D2261" s="125"/>
    </row>
    <row r="2262">
      <c r="A2262" s="122" t="s">
        <v>828</v>
      </c>
      <c r="B2262" s="123">
        <v>1125699.0</v>
      </c>
      <c r="C2262" s="687" t="s">
        <v>829</v>
      </c>
      <c r="D2262" s="125"/>
    </row>
    <row r="2263">
      <c r="A2263" s="122" t="s">
        <v>7151</v>
      </c>
      <c r="B2263" s="123">
        <v>1481045.0</v>
      </c>
      <c r="C2263" s="687" t="s">
        <v>7152</v>
      </c>
      <c r="D2263" s="125"/>
    </row>
    <row r="2264">
      <c r="A2264" s="122" t="s">
        <v>7275</v>
      </c>
      <c r="B2264" s="123">
        <v>1481045.0</v>
      </c>
      <c r="C2264" s="687" t="s">
        <v>7276</v>
      </c>
      <c r="D2264" s="125"/>
    </row>
    <row r="2265">
      <c r="A2265" s="122" t="s">
        <v>4892</v>
      </c>
      <c r="B2265" s="123">
        <v>1852353.0</v>
      </c>
      <c r="C2265" s="687" t="s">
        <v>4893</v>
      </c>
      <c r="D2265" s="125"/>
    </row>
    <row r="2266">
      <c r="A2266" s="122" t="s">
        <v>7558</v>
      </c>
      <c r="B2266" s="123">
        <v>915779.0</v>
      </c>
      <c r="C2266" s="687" t="s">
        <v>7559</v>
      </c>
      <c r="D2266" s="125"/>
    </row>
    <row r="2267">
      <c r="A2267" s="122" t="s">
        <v>6353</v>
      </c>
      <c r="B2267" s="123">
        <v>1413898.0</v>
      </c>
      <c r="C2267" s="687" t="s">
        <v>6354</v>
      </c>
      <c r="D2267" s="125"/>
    </row>
    <row r="2268">
      <c r="A2268" s="122" t="s">
        <v>2139</v>
      </c>
      <c r="B2268" s="123">
        <v>725394.0</v>
      </c>
      <c r="C2268" s="687" t="s">
        <v>2140</v>
      </c>
      <c r="D2268" s="125"/>
    </row>
    <row r="2269">
      <c r="A2269" s="122" t="s">
        <v>10139</v>
      </c>
      <c r="B2269" s="123">
        <v>26780.0</v>
      </c>
      <c r="C2269" s="687" t="s">
        <v>10140</v>
      </c>
      <c r="D2269" s="125"/>
    </row>
    <row r="2270">
      <c r="A2270" s="122" t="s">
        <v>16312</v>
      </c>
      <c r="B2270" s="123">
        <v>313616.0</v>
      </c>
      <c r="C2270" s="687" t="s">
        <v>16313</v>
      </c>
      <c r="D2270" s="125"/>
    </row>
    <row r="2271">
      <c r="A2271" s="122" t="s">
        <v>14866</v>
      </c>
      <c r="B2271" s="123">
        <v>1369241.0</v>
      </c>
      <c r="C2271" s="687" t="s">
        <v>14867</v>
      </c>
      <c r="D2271" s="125"/>
    </row>
    <row r="2272">
      <c r="A2272" s="122" t="s">
        <v>12033</v>
      </c>
      <c r="B2272" s="123">
        <v>1487739.0</v>
      </c>
      <c r="C2272" s="687" t="s">
        <v>12034</v>
      </c>
      <c r="D2272" s="125"/>
    </row>
    <row r="2273">
      <c r="A2273" s="122" t="s">
        <v>14662</v>
      </c>
      <c r="B2273" s="123">
        <v>1048515.0</v>
      </c>
      <c r="C2273" s="687" t="s">
        <v>14663</v>
      </c>
      <c r="D2273" s="125"/>
    </row>
    <row r="2274">
      <c r="A2274" s="122" t="s">
        <v>9937</v>
      </c>
      <c r="B2274" s="123">
        <v>1048515.0</v>
      </c>
      <c r="C2274" s="687" t="s">
        <v>9938</v>
      </c>
      <c r="D2274" s="125"/>
    </row>
    <row r="2275">
      <c r="A2275" s="122" t="s">
        <v>11012</v>
      </c>
      <c r="B2275" s="123">
        <v>1477641.0</v>
      </c>
      <c r="C2275" s="687" t="s">
        <v>11013</v>
      </c>
      <c r="D2275" s="125"/>
    </row>
    <row r="2276">
      <c r="A2276" s="122" t="s">
        <v>15980</v>
      </c>
      <c r="B2276" s="123">
        <v>940944.0</v>
      </c>
      <c r="C2276" s="687" t="s">
        <v>15981</v>
      </c>
      <c r="D2276" s="125"/>
    </row>
    <row r="2277">
      <c r="A2277" s="122" t="s">
        <v>2679</v>
      </c>
      <c r="B2277" s="123">
        <v>1401914.0</v>
      </c>
      <c r="C2277" s="687" t="s">
        <v>2680</v>
      </c>
      <c r="D2277" s="125"/>
    </row>
    <row r="2278">
      <c r="A2278" s="122" t="s">
        <v>4675</v>
      </c>
      <c r="B2278" s="123">
        <v>1533998.0</v>
      </c>
      <c r="C2278" s="687" t="s">
        <v>4676</v>
      </c>
      <c r="D2278" s="125"/>
    </row>
    <row r="2279">
      <c r="A2279" s="122" t="s">
        <v>33572</v>
      </c>
      <c r="B2279" s="123">
        <v>866439.0</v>
      </c>
      <c r="C2279" s="687" t="s">
        <v>33573</v>
      </c>
      <c r="D2279" s="125"/>
    </row>
    <row r="2280">
      <c r="A2280" s="122" t="s">
        <v>13759</v>
      </c>
      <c r="B2280" s="123">
        <v>916540.0</v>
      </c>
      <c r="C2280" s="687" t="s">
        <v>13760</v>
      </c>
      <c r="D2280" s="125"/>
    </row>
    <row r="2281">
      <c r="A2281" s="122" t="s">
        <v>7725</v>
      </c>
      <c r="B2281" s="123">
        <v>1642453.0</v>
      </c>
      <c r="C2281" s="687" t="s">
        <v>7726</v>
      </c>
      <c r="D2281" s="125"/>
    </row>
    <row r="2282">
      <c r="A2282" s="122" t="s">
        <v>33574</v>
      </c>
      <c r="B2282" s="123">
        <v>1321828.0</v>
      </c>
      <c r="C2282" s="687" t="s">
        <v>33575</v>
      </c>
      <c r="D2282" s="125"/>
    </row>
    <row r="2283">
      <c r="A2283" s="122" t="s">
        <v>5664</v>
      </c>
      <c r="B2283" s="123">
        <v>351998.0</v>
      </c>
      <c r="C2283" s="687" t="s">
        <v>5665</v>
      </c>
      <c r="D2283" s="125"/>
    </row>
    <row r="2284">
      <c r="A2284" s="122" t="s">
        <v>5984</v>
      </c>
      <c r="B2284" s="123">
        <v>1419951.0</v>
      </c>
      <c r="C2284" s="687" t="s">
        <v>5985</v>
      </c>
      <c r="D2284" s="125"/>
    </row>
    <row r="2285">
      <c r="A2285" s="122" t="s">
        <v>2570</v>
      </c>
      <c r="B2285" s="123">
        <v>1419951.0</v>
      </c>
      <c r="C2285" s="687" t="s">
        <v>2571</v>
      </c>
      <c r="D2285" s="125"/>
    </row>
    <row r="2286">
      <c r="A2286" s="122" t="s">
        <v>6792</v>
      </c>
      <c r="B2286" s="123">
        <v>1068689.0</v>
      </c>
      <c r="C2286" s="687" t="s">
        <v>6793</v>
      </c>
      <c r="D2286" s="125"/>
    </row>
    <row r="2287">
      <c r="A2287" s="122" t="s">
        <v>15764</v>
      </c>
      <c r="B2287" s="123">
        <v>1561550.0</v>
      </c>
      <c r="C2287" s="687" t="s">
        <v>15765</v>
      </c>
      <c r="D2287" s="125"/>
    </row>
    <row r="2288">
      <c r="A2288" s="122" t="s">
        <v>4993</v>
      </c>
      <c r="B2288" s="123">
        <v>1631282.0</v>
      </c>
      <c r="C2288" s="687" t="s">
        <v>4994</v>
      </c>
      <c r="D2288" s="125"/>
    </row>
    <row r="2289">
      <c r="A2289" s="122" t="s">
        <v>1383</v>
      </c>
      <c r="B2289" s="123">
        <v>1648960.0</v>
      </c>
      <c r="C2289" s="687" t="s">
        <v>1384</v>
      </c>
      <c r="D2289" s="125"/>
    </row>
    <row r="2290">
      <c r="A2290" s="122" t="s">
        <v>4207</v>
      </c>
      <c r="B2290" s="123">
        <v>1648960.0</v>
      </c>
      <c r="C2290" s="687" t="s">
        <v>4208</v>
      </c>
      <c r="D2290" s="125"/>
    </row>
    <row r="2291">
      <c r="A2291" s="122" t="s">
        <v>1183</v>
      </c>
      <c r="B2291" s="123">
        <v>1841408.0</v>
      </c>
      <c r="C2291" s="687" t="s">
        <v>1184</v>
      </c>
      <c r="D2291" s="125"/>
    </row>
    <row r="2292">
      <c r="A2292" s="122" t="s">
        <v>14267</v>
      </c>
      <c r="B2292" s="123">
        <v>1525769.0</v>
      </c>
      <c r="C2292" s="687" t="s">
        <v>14268</v>
      </c>
      <c r="D2292" s="125"/>
    </row>
    <row r="2293">
      <c r="A2293" s="122" t="s">
        <v>15526</v>
      </c>
      <c r="B2293" s="123">
        <v>927066.0</v>
      </c>
      <c r="C2293" s="687" t="s">
        <v>15527</v>
      </c>
      <c r="D2293" s="125"/>
    </row>
    <row r="2294">
      <c r="A2294" s="122" t="s">
        <v>4636</v>
      </c>
      <c r="B2294" s="123">
        <v>799165.0</v>
      </c>
      <c r="C2294" s="687" t="s">
        <v>4637</v>
      </c>
      <c r="D2294" s="125"/>
    </row>
    <row r="2295">
      <c r="A2295" s="122" t="s">
        <v>7745</v>
      </c>
      <c r="B2295" s="123">
        <v>27367.0</v>
      </c>
      <c r="C2295" s="687" t="s">
        <v>7746</v>
      </c>
      <c r="D2295" s="125"/>
    </row>
    <row r="2296">
      <c r="A2296" s="122" t="s">
        <v>33576</v>
      </c>
      <c r="B2296" s="123">
        <v>1164256.0</v>
      </c>
      <c r="C2296" s="687" t="s">
        <v>33577</v>
      </c>
      <c r="D2296" s="125"/>
    </row>
    <row r="2297">
      <c r="A2297" s="122" t="s">
        <v>5284</v>
      </c>
      <c r="B2297" s="123">
        <v>1159508.0</v>
      </c>
      <c r="C2297" s="687" t="s">
        <v>5285</v>
      </c>
      <c r="D2297" s="125"/>
    </row>
    <row r="2298">
      <c r="A2298" s="122" t="s">
        <v>8317</v>
      </c>
      <c r="B2298" s="123">
        <v>1159508.0</v>
      </c>
      <c r="C2298" s="687" t="s">
        <v>8318</v>
      </c>
      <c r="D2298" s="125"/>
    </row>
    <row r="2299">
      <c r="A2299" s="122" t="s">
        <v>4561</v>
      </c>
      <c r="B2299" s="123">
        <v>1354730.0</v>
      </c>
      <c r="C2299" s="687" t="s">
        <v>4562</v>
      </c>
      <c r="D2299" s="125"/>
    </row>
    <row r="2300">
      <c r="A2300" s="122" t="s">
        <v>3636</v>
      </c>
      <c r="B2300" s="123">
        <v>1613780.0</v>
      </c>
      <c r="C2300" s="687" t="s">
        <v>3637</v>
      </c>
      <c r="D2300" s="125"/>
    </row>
    <row r="2301">
      <c r="A2301" s="122" t="s">
        <v>33578</v>
      </c>
      <c r="B2301" s="123">
        <v>1281984.0</v>
      </c>
      <c r="C2301" s="687" t="s">
        <v>33579</v>
      </c>
      <c r="D2301" s="125"/>
    </row>
    <row r="2302">
      <c r="A2302" s="122" t="s">
        <v>10305</v>
      </c>
      <c r="B2302" s="123">
        <v>1654151.0</v>
      </c>
      <c r="C2302" s="687" t="s">
        <v>10306</v>
      </c>
      <c r="D2302" s="125"/>
    </row>
    <row r="2303">
      <c r="A2303" s="122" t="s">
        <v>7331</v>
      </c>
      <c r="B2303" s="123">
        <v>1505611.0</v>
      </c>
      <c r="C2303" s="687" t="s">
        <v>7332</v>
      </c>
      <c r="D2303" s="125"/>
    </row>
    <row r="2304">
      <c r="A2304" s="122" t="s">
        <v>16675</v>
      </c>
      <c r="B2304" s="123">
        <v>910521.0</v>
      </c>
      <c r="C2304" s="687" t="s">
        <v>16676</v>
      </c>
      <c r="D2304" s="125"/>
    </row>
    <row r="2305">
      <c r="A2305" s="122" t="s">
        <v>1045</v>
      </c>
      <c r="B2305" s="123">
        <v>1637866.0</v>
      </c>
      <c r="C2305" s="687" t="s">
        <v>1046</v>
      </c>
      <c r="D2305" s="125"/>
    </row>
    <row r="2306">
      <c r="A2306" s="122" t="s">
        <v>33580</v>
      </c>
      <c r="B2306" s="123">
        <v>869495.0</v>
      </c>
      <c r="C2306" s="687" t="s">
        <v>33581</v>
      </c>
      <c r="D2306" s="125"/>
    </row>
    <row r="2307">
      <c r="A2307" s="122" t="s">
        <v>16523</v>
      </c>
      <c r="B2307" s="123">
        <v>315189.0</v>
      </c>
      <c r="C2307" s="687" t="s">
        <v>16524</v>
      </c>
      <c r="D2307" s="125"/>
    </row>
    <row r="2308">
      <c r="A2308" s="122" t="s">
        <v>1035</v>
      </c>
      <c r="B2308" s="123">
        <v>1533357.0</v>
      </c>
      <c r="C2308" s="687" t="s">
        <v>1036</v>
      </c>
      <c r="D2308" s="125"/>
    </row>
    <row r="2309">
      <c r="A2309" s="122" t="s">
        <v>2937</v>
      </c>
      <c r="B2309" s="123">
        <v>1888274.0</v>
      </c>
      <c r="C2309" s="687" t="s">
        <v>2938</v>
      </c>
      <c r="D2309" s="125"/>
    </row>
    <row r="2310">
      <c r="A2310" s="122" t="s">
        <v>7880</v>
      </c>
      <c r="B2310" s="123">
        <v>1861795.0</v>
      </c>
      <c r="C2310" s="687" t="s">
        <v>7881</v>
      </c>
      <c r="D2310" s="125"/>
    </row>
    <row r="2311">
      <c r="A2311" s="122" t="s">
        <v>6427</v>
      </c>
      <c r="B2311" s="123">
        <v>872912.0</v>
      </c>
      <c r="C2311" s="687" t="s">
        <v>6428</v>
      </c>
      <c r="D2311" s="125"/>
    </row>
    <row r="2312">
      <c r="A2312" s="122" t="s">
        <v>9704</v>
      </c>
      <c r="B2312" s="123">
        <v>1361371.0</v>
      </c>
      <c r="C2312" s="687" t="s">
        <v>9705</v>
      </c>
      <c r="D2312" s="125"/>
    </row>
    <row r="2313">
      <c r="A2313" s="122" t="s">
        <v>15676</v>
      </c>
      <c r="B2313" s="123">
        <v>1361371.0</v>
      </c>
      <c r="C2313" s="687" t="s">
        <v>15677</v>
      </c>
      <c r="D2313" s="125"/>
    </row>
    <row r="2314">
      <c r="A2314" s="122" t="s">
        <v>13865</v>
      </c>
      <c r="B2314" s="123">
        <v>1552797.0</v>
      </c>
      <c r="C2314" s="687" t="s">
        <v>13866</v>
      </c>
      <c r="D2314" s="125"/>
    </row>
    <row r="2315">
      <c r="A2315" s="122" t="s">
        <v>12496</v>
      </c>
      <c r="B2315" s="123">
        <v>1694426.0</v>
      </c>
      <c r="C2315" s="687" t="s">
        <v>12497</v>
      </c>
      <c r="D2315" s="125"/>
    </row>
    <row r="2316">
      <c r="A2316" s="122" t="s">
        <v>11513</v>
      </c>
      <c r="B2316" s="123">
        <v>927719.0</v>
      </c>
      <c r="C2316" s="687" t="s">
        <v>11514</v>
      </c>
      <c r="D2316" s="125"/>
    </row>
    <row r="2317">
      <c r="A2317" s="122" t="s">
        <v>15142</v>
      </c>
      <c r="B2317" s="123">
        <v>1571996.0</v>
      </c>
      <c r="C2317" s="687" t="s">
        <v>15143</v>
      </c>
      <c r="D2317" s="125"/>
    </row>
    <row r="2318">
      <c r="A2318" s="122" t="s">
        <v>13550</v>
      </c>
      <c r="B2318" s="123">
        <v>27904.0</v>
      </c>
      <c r="C2318" s="687" t="s">
        <v>13551</v>
      </c>
      <c r="D2318" s="125"/>
    </row>
    <row r="2319">
      <c r="A2319" s="122" t="s">
        <v>7623</v>
      </c>
      <c r="B2319" s="123">
        <v>1101396.0</v>
      </c>
      <c r="C2319" s="687" t="s">
        <v>7624</v>
      </c>
      <c r="D2319" s="125"/>
    </row>
    <row r="2320">
      <c r="A2320" s="122" t="s">
        <v>11578</v>
      </c>
      <c r="B2320" s="123">
        <v>27996.0</v>
      </c>
      <c r="C2320" s="687" t="s">
        <v>11579</v>
      </c>
      <c r="D2320" s="125"/>
    </row>
    <row r="2321">
      <c r="A2321" s="122" t="s">
        <v>1301</v>
      </c>
      <c r="B2321" s="123">
        <v>1913577.0</v>
      </c>
      <c r="C2321" s="687" t="s">
        <v>1302</v>
      </c>
      <c r="D2321" s="125"/>
    </row>
    <row r="2322">
      <c r="A2322" s="122" t="s">
        <v>6417</v>
      </c>
      <c r="B2322" s="123">
        <v>1913577.0</v>
      </c>
      <c r="C2322" s="687" t="s">
        <v>6418</v>
      </c>
      <c r="D2322" s="125"/>
    </row>
    <row r="2323">
      <c r="A2323" s="122" t="s">
        <v>6514</v>
      </c>
      <c r="B2323" s="123">
        <v>1913577.0</v>
      </c>
      <c r="C2323" s="687" t="s">
        <v>6515</v>
      </c>
      <c r="D2323" s="125"/>
    </row>
    <row r="2324">
      <c r="A2324" s="122" t="s">
        <v>10663</v>
      </c>
      <c r="B2324" s="123">
        <v>1714899.0</v>
      </c>
      <c r="C2324" s="687" t="s">
        <v>10664</v>
      </c>
      <c r="D2324" s="125"/>
    </row>
    <row r="2325">
      <c r="A2325" s="122" t="s">
        <v>4896</v>
      </c>
      <c r="B2325" s="123">
        <v>1063259.0</v>
      </c>
      <c r="C2325" s="687" t="s">
        <v>4897</v>
      </c>
      <c r="D2325" s="125"/>
    </row>
    <row r="2326">
      <c r="A2326" s="122" t="s">
        <v>8635</v>
      </c>
      <c r="B2326" s="123">
        <v>852772.0</v>
      </c>
      <c r="C2326" s="687" t="s">
        <v>8636</v>
      </c>
      <c r="D2326" s="125"/>
    </row>
    <row r="2327">
      <c r="A2327" s="122" t="s">
        <v>13159</v>
      </c>
      <c r="B2327" s="123">
        <v>818479.0</v>
      </c>
      <c r="C2327" s="687" t="s">
        <v>13160</v>
      </c>
      <c r="D2327" s="125"/>
    </row>
    <row r="2328">
      <c r="A2328" s="122" t="s">
        <v>12132</v>
      </c>
      <c r="B2328" s="123">
        <v>945764.0</v>
      </c>
      <c r="C2328" s="687" t="s">
        <v>12133</v>
      </c>
      <c r="D2328" s="125"/>
    </row>
    <row r="2329">
      <c r="A2329" s="122" t="s">
        <v>1079</v>
      </c>
      <c r="B2329" s="123">
        <v>1853816.0</v>
      </c>
      <c r="C2329" s="687" t="s">
        <v>1080</v>
      </c>
      <c r="D2329" s="125"/>
    </row>
    <row r="2330">
      <c r="A2330" s="122" t="s">
        <v>4102</v>
      </c>
      <c r="B2330" s="123">
        <v>1651944.0</v>
      </c>
      <c r="C2330" s="687" t="s">
        <v>4103</v>
      </c>
      <c r="D2330" s="125"/>
    </row>
    <row r="2331">
      <c r="A2331" s="122" t="s">
        <v>15195</v>
      </c>
      <c r="B2331" s="123">
        <v>1050140.0</v>
      </c>
      <c r="C2331" s="687" t="s">
        <v>15196</v>
      </c>
      <c r="D2331" s="125"/>
    </row>
    <row r="2332">
      <c r="A2332" s="122" t="s">
        <v>5102</v>
      </c>
      <c r="B2332" s="123">
        <v>1807120.0</v>
      </c>
      <c r="C2332" s="687" t="s">
        <v>5103</v>
      </c>
      <c r="D2332" s="125"/>
    </row>
    <row r="2333">
      <c r="A2333" s="122" t="s">
        <v>8077</v>
      </c>
      <c r="B2333" s="123">
        <v>1319947.0</v>
      </c>
      <c r="C2333" s="687" t="s">
        <v>8078</v>
      </c>
      <c r="D2333" s="125"/>
    </row>
    <row r="2334">
      <c r="A2334" s="122" t="s">
        <v>10870</v>
      </c>
      <c r="B2334" s="123">
        <v>1338065.0</v>
      </c>
      <c r="C2334" s="687" t="s">
        <v>10871</v>
      </c>
      <c r="D2334" s="125"/>
    </row>
    <row r="2335">
      <c r="A2335" s="122" t="s">
        <v>3233</v>
      </c>
      <c r="B2335" s="123">
        <v>1754820.0</v>
      </c>
      <c r="C2335" s="687" t="s">
        <v>3234</v>
      </c>
      <c r="D2335" s="125"/>
    </row>
    <row r="2336">
      <c r="A2336" s="122" t="s">
        <v>6160</v>
      </c>
      <c r="B2336" s="123">
        <v>813298.0</v>
      </c>
      <c r="C2336" s="687" t="s">
        <v>6161</v>
      </c>
      <c r="D2336" s="125"/>
    </row>
    <row r="2337">
      <c r="A2337" s="122" t="s">
        <v>3857</v>
      </c>
      <c r="B2337" s="123">
        <v>1099369.0</v>
      </c>
      <c r="C2337" s="687" t="s">
        <v>3858</v>
      </c>
      <c r="D2337" s="125"/>
    </row>
    <row r="2338">
      <c r="A2338" s="122" t="s">
        <v>7406</v>
      </c>
      <c r="B2338" s="123">
        <v>1523289.0</v>
      </c>
      <c r="C2338" s="687" t="s">
        <v>7407</v>
      </c>
      <c r="D2338" s="125"/>
    </row>
    <row r="2339">
      <c r="A2339" s="122" t="s">
        <v>5060</v>
      </c>
      <c r="B2339" s="123">
        <v>946936.0</v>
      </c>
      <c r="C2339" s="687" t="s">
        <v>5061</v>
      </c>
      <c r="D2339" s="125"/>
    </row>
    <row r="2340">
      <c r="A2340" s="122" t="s">
        <v>10141</v>
      </c>
      <c r="B2340" s="123">
        <v>1159508.0</v>
      </c>
      <c r="C2340" s="687" t="s">
        <v>10142</v>
      </c>
      <c r="D2340" s="125"/>
    </row>
    <row r="2341">
      <c r="A2341" s="122" t="s">
        <v>13656</v>
      </c>
      <c r="B2341" s="123">
        <v>1090012.0</v>
      </c>
      <c r="C2341" s="687" t="s">
        <v>13657</v>
      </c>
      <c r="D2341" s="125"/>
    </row>
    <row r="2342">
      <c r="A2342" s="122" t="s">
        <v>15628</v>
      </c>
      <c r="B2342" s="123">
        <v>1093557.0</v>
      </c>
      <c r="C2342" s="687" t="s">
        <v>15629</v>
      </c>
      <c r="D2342" s="125"/>
    </row>
    <row r="2343">
      <c r="A2343" s="122" t="s">
        <v>8432</v>
      </c>
      <c r="B2343" s="123">
        <v>871459.0</v>
      </c>
      <c r="C2343" s="687" t="s">
        <v>8433</v>
      </c>
      <c r="D2343" s="125"/>
    </row>
    <row r="2344">
      <c r="A2344" s="122" t="s">
        <v>5255</v>
      </c>
      <c r="B2344" s="123">
        <v>871459.0</v>
      </c>
      <c r="C2344" s="687" t="s">
        <v>5256</v>
      </c>
      <c r="D2344" s="125"/>
    </row>
    <row r="2345">
      <c r="A2345" s="122" t="s">
        <v>33582</v>
      </c>
      <c r="B2345" s="123">
        <v>1300781.0</v>
      </c>
      <c r="C2345" s="687" t="s">
        <v>33583</v>
      </c>
      <c r="D2345" s="125"/>
    </row>
    <row r="2346">
      <c r="A2346" s="122" t="s">
        <v>16701</v>
      </c>
      <c r="B2346" s="123">
        <v>1853816.0</v>
      </c>
      <c r="C2346" s="687" t="s">
        <v>16702</v>
      </c>
      <c r="D2346" s="125"/>
    </row>
    <row r="2347">
      <c r="A2347" s="122" t="s">
        <v>1327</v>
      </c>
      <c r="B2347" s="123">
        <v>1838163.0</v>
      </c>
      <c r="C2347" s="687" t="s">
        <v>1328</v>
      </c>
      <c r="D2347" s="125"/>
    </row>
    <row r="2348">
      <c r="A2348" s="122" t="s">
        <v>8752</v>
      </c>
      <c r="B2348" s="123">
        <v>1838163.0</v>
      </c>
      <c r="C2348" s="687" t="s">
        <v>8753</v>
      </c>
      <c r="D2348" s="125"/>
    </row>
    <row r="2349">
      <c r="A2349" s="122" t="s">
        <v>8656</v>
      </c>
      <c r="B2349" s="123">
        <v>1838163.0</v>
      </c>
      <c r="C2349" s="687" t="s">
        <v>8657</v>
      </c>
      <c r="D2349" s="125"/>
    </row>
    <row r="2350">
      <c r="A2350" s="122" t="s">
        <v>4890</v>
      </c>
      <c r="B2350" s="123">
        <v>1393883.0</v>
      </c>
      <c r="C2350" s="687" t="s">
        <v>4891</v>
      </c>
      <c r="D2350" s="125"/>
    </row>
    <row r="2351">
      <c r="A2351" s="122" t="s">
        <v>8639</v>
      </c>
      <c r="B2351" s="123">
        <v>1331284.0</v>
      </c>
      <c r="C2351" s="687" t="s">
        <v>8640</v>
      </c>
      <c r="D2351" s="125"/>
    </row>
    <row r="2352">
      <c r="A2352" s="122" t="s">
        <v>15879</v>
      </c>
      <c r="B2352" s="123">
        <v>835403.0</v>
      </c>
      <c r="C2352" s="687" t="s">
        <v>13445</v>
      </c>
      <c r="D2352" s="125"/>
    </row>
    <row r="2353">
      <c r="A2353" s="122" t="s">
        <v>13444</v>
      </c>
      <c r="B2353" s="123">
        <v>835403.0</v>
      </c>
      <c r="C2353" s="687" t="s">
        <v>13445</v>
      </c>
      <c r="D2353" s="125"/>
    </row>
    <row r="2354">
      <c r="A2354" s="122" t="s">
        <v>5521</v>
      </c>
      <c r="B2354" s="123">
        <v>1401040.0</v>
      </c>
      <c r="C2354" s="687" t="s">
        <v>5522</v>
      </c>
      <c r="D2354" s="125"/>
    </row>
    <row r="2355">
      <c r="A2355" s="122" t="s">
        <v>15913</v>
      </c>
      <c r="B2355" s="123">
        <v>909108.0</v>
      </c>
      <c r="C2355" s="687" t="s">
        <v>15914</v>
      </c>
      <c r="D2355" s="125"/>
    </row>
    <row r="2356">
      <c r="A2356" s="122" t="s">
        <v>33584</v>
      </c>
      <c r="B2356" s="123">
        <v>1692981.0</v>
      </c>
      <c r="C2356" s="687" t="s">
        <v>33585</v>
      </c>
      <c r="D2356" s="125"/>
    </row>
    <row r="2357">
      <c r="A2357" s="122" t="s">
        <v>3409</v>
      </c>
      <c r="B2357" s="123">
        <v>949039.0</v>
      </c>
      <c r="C2357" s="687" t="s">
        <v>3410</v>
      </c>
      <c r="D2357" s="125"/>
    </row>
    <row r="2358">
      <c r="A2358" s="122" t="s">
        <v>9501</v>
      </c>
      <c r="B2358" s="123">
        <v>949039.0</v>
      </c>
      <c r="C2358" s="687" t="s">
        <v>9502</v>
      </c>
      <c r="D2358" s="125"/>
    </row>
    <row r="2359">
      <c r="A2359" s="122" t="s">
        <v>15890</v>
      </c>
      <c r="B2359" s="123">
        <v>1539838.0</v>
      </c>
      <c r="C2359" s="687" t="s">
        <v>15891</v>
      </c>
      <c r="D2359" s="125"/>
    </row>
    <row r="2360">
      <c r="A2360" s="122" t="s">
        <v>2125</v>
      </c>
      <c r="B2360" s="123">
        <v>844887.0</v>
      </c>
      <c r="C2360" s="687" t="s">
        <v>2126</v>
      </c>
      <c r="D2360" s="125"/>
    </row>
    <row r="2361">
      <c r="A2361" s="122" t="s">
        <v>8091</v>
      </c>
      <c r="B2361" s="123">
        <v>1298946.0</v>
      </c>
      <c r="C2361" s="687" t="s">
        <v>8092</v>
      </c>
      <c r="D2361" s="125"/>
    </row>
    <row r="2362">
      <c r="A2362" s="122" t="s">
        <v>5445</v>
      </c>
      <c r="B2362" s="123">
        <v>1318885.0</v>
      </c>
      <c r="C2362" s="687" t="s">
        <v>5446</v>
      </c>
      <c r="D2362" s="125"/>
    </row>
    <row r="2363">
      <c r="A2363" s="122" t="s">
        <v>15921</v>
      </c>
      <c r="B2363" s="123">
        <v>1089063.0</v>
      </c>
      <c r="C2363" s="687" t="s">
        <v>15922</v>
      </c>
      <c r="D2363" s="125"/>
    </row>
    <row r="2364">
      <c r="A2364" s="122" t="s">
        <v>5746</v>
      </c>
      <c r="B2364" s="123">
        <v>1764757.0</v>
      </c>
      <c r="C2364" s="687" t="s">
        <v>5747</v>
      </c>
      <c r="D2364" s="125"/>
    </row>
    <row r="2365">
      <c r="A2365" s="122" t="s">
        <v>12840</v>
      </c>
      <c r="B2365" s="123">
        <v>28823.0</v>
      </c>
      <c r="C2365" s="687" t="s">
        <v>12841</v>
      </c>
      <c r="D2365" s="125"/>
    </row>
    <row r="2366">
      <c r="A2366" s="122" t="s">
        <v>33586</v>
      </c>
      <c r="B2366" s="123">
        <v>1559172.0</v>
      </c>
      <c r="C2366" s="687" t="s">
        <v>33587</v>
      </c>
      <c r="D2366" s="125"/>
    </row>
    <row r="2367">
      <c r="A2367" s="122" t="s">
        <v>33588</v>
      </c>
      <c r="B2367" s="123">
        <v>1369128.0</v>
      </c>
      <c r="C2367" s="687" t="s">
        <v>33589</v>
      </c>
      <c r="D2367" s="125"/>
    </row>
    <row r="2368">
      <c r="A2368" s="122" t="s">
        <v>1108</v>
      </c>
      <c r="B2368" s="123">
        <v>1014052.0</v>
      </c>
      <c r="C2368" s="687" t="s">
        <v>1109</v>
      </c>
      <c r="D2368" s="125"/>
    </row>
    <row r="2369">
      <c r="A2369" s="122" t="s">
        <v>12721</v>
      </c>
      <c r="B2369" s="123">
        <v>854775.0</v>
      </c>
      <c r="C2369" s="687" t="s">
        <v>12722</v>
      </c>
      <c r="D2369" s="125"/>
    </row>
    <row r="2370">
      <c r="A2370" s="122" t="s">
        <v>4601</v>
      </c>
      <c r="B2370" s="123">
        <v>1854368.0</v>
      </c>
      <c r="C2370" s="687" t="s">
        <v>4602</v>
      </c>
      <c r="D2370" s="125"/>
    </row>
    <row r="2371">
      <c r="A2371" s="122" t="s">
        <v>13403</v>
      </c>
      <c r="B2371" s="123">
        <v>1438231.0</v>
      </c>
      <c r="C2371" s="687" t="s">
        <v>13404</v>
      </c>
      <c r="D2371" s="125"/>
    </row>
    <row r="2372">
      <c r="A2372" s="122" t="s">
        <v>870</v>
      </c>
      <c r="B2372" s="123">
        <v>1502966.0</v>
      </c>
      <c r="C2372" s="687" t="s">
        <v>871</v>
      </c>
      <c r="D2372" s="125"/>
    </row>
    <row r="2373">
      <c r="A2373" s="122" t="s">
        <v>4919</v>
      </c>
      <c r="B2373" s="123">
        <v>1342958.0</v>
      </c>
      <c r="C2373" s="687" t="s">
        <v>4920</v>
      </c>
      <c r="D2373" s="125"/>
    </row>
    <row r="2374">
      <c r="A2374" s="122" t="s">
        <v>33590</v>
      </c>
      <c r="B2374" s="123">
        <v>1127475.0</v>
      </c>
      <c r="C2374" s="687" t="s">
        <v>33591</v>
      </c>
      <c r="D2374" s="125"/>
    </row>
    <row r="2375">
      <c r="A2375" s="122" t="s">
        <v>7815</v>
      </c>
      <c r="B2375" s="123">
        <v>1668010.0</v>
      </c>
      <c r="C2375" s="687" t="s">
        <v>7816</v>
      </c>
      <c r="D2375" s="125"/>
    </row>
    <row r="2376">
      <c r="A2376" s="122" t="s">
        <v>5189</v>
      </c>
      <c r="B2376" s="123">
        <v>1668010.0</v>
      </c>
      <c r="C2376" s="687" t="s">
        <v>5190</v>
      </c>
      <c r="D2376" s="125"/>
    </row>
    <row r="2377">
      <c r="A2377" s="122" t="s">
        <v>1765</v>
      </c>
      <c r="B2377" s="123">
        <v>1864531.0</v>
      </c>
      <c r="C2377" s="687" t="s">
        <v>1766</v>
      </c>
      <c r="D2377" s="125"/>
    </row>
    <row r="2378">
      <c r="A2378" s="122" t="s">
        <v>9628</v>
      </c>
      <c r="B2378" s="123">
        <v>1864531.0</v>
      </c>
      <c r="C2378" s="687" t="s">
        <v>9629</v>
      </c>
      <c r="D2378" s="125"/>
    </row>
    <row r="2379">
      <c r="A2379" s="122" t="s">
        <v>9806</v>
      </c>
      <c r="B2379" s="123">
        <v>1864531.0</v>
      </c>
      <c r="C2379" s="687" t="s">
        <v>9807</v>
      </c>
      <c r="D2379" s="125"/>
    </row>
    <row r="2380">
      <c r="A2380" s="122" t="s">
        <v>33592</v>
      </c>
      <c r="B2380" s="123">
        <v>1407878.0</v>
      </c>
      <c r="C2380" s="687" t="s">
        <v>33593</v>
      </c>
      <c r="D2380" s="125"/>
    </row>
    <row r="2381">
      <c r="A2381" s="122" t="s">
        <v>15852</v>
      </c>
      <c r="B2381" s="123">
        <v>1297996.0</v>
      </c>
      <c r="C2381" s="687" t="s">
        <v>15853</v>
      </c>
      <c r="D2381" s="125"/>
    </row>
    <row r="2382">
      <c r="A2382" s="122" t="s">
        <v>6732</v>
      </c>
      <c r="B2382" s="123">
        <v>317788.0</v>
      </c>
      <c r="C2382" s="687" t="s">
        <v>6733</v>
      </c>
      <c r="D2382" s="125"/>
    </row>
    <row r="2383">
      <c r="A2383" s="122" t="s">
        <v>11412</v>
      </c>
      <c r="B2383" s="123">
        <v>1679688.0</v>
      </c>
      <c r="C2383" s="687" t="s">
        <v>11413</v>
      </c>
      <c r="D2383" s="125"/>
    </row>
    <row r="2384">
      <c r="A2384" s="122" t="s">
        <v>13297</v>
      </c>
      <c r="B2384" s="123">
        <v>1582961.0</v>
      </c>
      <c r="C2384" s="687" t="s">
        <v>13298</v>
      </c>
      <c r="D2384" s="125"/>
    </row>
    <row r="2385">
      <c r="A2385" s="122" t="s">
        <v>33594</v>
      </c>
      <c r="B2385" s="123">
        <v>1065598.0</v>
      </c>
      <c r="C2385" s="687" t="s">
        <v>33595</v>
      </c>
      <c r="D2385" s="125"/>
    </row>
    <row r="2386">
      <c r="A2386" s="122" t="s">
        <v>16520</v>
      </c>
      <c r="B2386" s="123">
        <v>28917.0</v>
      </c>
      <c r="C2386" s="687" t="s">
        <v>16521</v>
      </c>
      <c r="D2386" s="125"/>
    </row>
    <row r="2387">
      <c r="A2387" s="122" t="s">
        <v>12398</v>
      </c>
      <c r="B2387" s="123">
        <v>28917.0</v>
      </c>
      <c r="C2387" s="687" t="s">
        <v>12399</v>
      </c>
      <c r="D2387" s="125"/>
    </row>
    <row r="2388">
      <c r="A2388" s="122" t="s">
        <v>11016</v>
      </c>
      <c r="B2388" s="123">
        <v>846617.0</v>
      </c>
      <c r="C2388" s="687" t="s">
        <v>11017</v>
      </c>
      <c r="D2388" s="125"/>
    </row>
    <row r="2389">
      <c r="A2389" s="122" t="s">
        <v>11652</v>
      </c>
      <c r="B2389" s="123">
        <v>846617.0</v>
      </c>
      <c r="C2389" s="687" t="s">
        <v>11653</v>
      </c>
      <c r="D2389" s="125"/>
    </row>
    <row r="2390">
      <c r="A2390" s="122" t="s">
        <v>13956</v>
      </c>
      <c r="B2390" s="123">
        <v>49754.0</v>
      </c>
      <c r="C2390" s="687" t="s">
        <v>13957</v>
      </c>
      <c r="D2390" s="125"/>
    </row>
    <row r="2391">
      <c r="A2391" s="122" t="s">
        <v>4311</v>
      </c>
      <c r="B2391" s="123">
        <v>1854545.0</v>
      </c>
      <c r="C2391" s="687" t="s">
        <v>4312</v>
      </c>
      <c r="D2391" s="125"/>
    </row>
    <row r="2392">
      <c r="A2392" s="122" t="s">
        <v>14681</v>
      </c>
      <c r="B2392" s="123">
        <v>29002.0</v>
      </c>
      <c r="C2392" s="687" t="s">
        <v>14682</v>
      </c>
      <c r="D2392" s="125"/>
    </row>
    <row r="2393">
      <c r="A2393" s="122" t="s">
        <v>8613</v>
      </c>
      <c r="B2393" s="123">
        <v>1880613.0</v>
      </c>
      <c r="C2393" s="687" t="s">
        <v>8614</v>
      </c>
      <c r="D2393" s="125"/>
    </row>
    <row r="2394">
      <c r="A2394" s="122" t="s">
        <v>9077</v>
      </c>
      <c r="B2394" s="123">
        <v>1871745.0</v>
      </c>
      <c r="C2394" s="687" t="s">
        <v>9078</v>
      </c>
      <c r="D2394" s="125"/>
    </row>
    <row r="2395">
      <c r="A2395" s="122" t="s">
        <v>12653</v>
      </c>
      <c r="B2395" s="123">
        <v>1671750.0</v>
      </c>
      <c r="C2395" s="687" t="s">
        <v>12654</v>
      </c>
      <c r="D2395" s="125"/>
    </row>
    <row r="2396">
      <c r="A2396" s="122" t="s">
        <v>33596</v>
      </c>
      <c r="B2396" s="123">
        <v>1791929.0</v>
      </c>
      <c r="C2396" s="687" t="s">
        <v>33597</v>
      </c>
      <c r="D2396" s="125"/>
    </row>
    <row r="2397">
      <c r="A2397" s="122" t="s">
        <v>33598</v>
      </c>
      <c r="B2397" s="123">
        <v>1435387.0</v>
      </c>
      <c r="C2397" s="687" t="s">
        <v>33599</v>
      </c>
      <c r="D2397" s="125"/>
    </row>
    <row r="2398">
      <c r="A2398" s="122" t="s">
        <v>13092</v>
      </c>
      <c r="B2398" s="123">
        <v>703604.0</v>
      </c>
      <c r="C2398" s="687" t="s">
        <v>13093</v>
      </c>
      <c r="D2398" s="125"/>
    </row>
    <row r="2399">
      <c r="A2399" s="122" t="s">
        <v>10399</v>
      </c>
      <c r="B2399" s="123">
        <v>1075415.0</v>
      </c>
      <c r="C2399" s="687" t="s">
        <v>10400</v>
      </c>
      <c r="D2399" s="125"/>
    </row>
    <row r="2400">
      <c r="A2400" s="122" t="s">
        <v>10524</v>
      </c>
      <c r="B2400" s="123">
        <v>1075415.0</v>
      </c>
      <c r="C2400" s="687" t="s">
        <v>10525</v>
      </c>
      <c r="D2400" s="125"/>
    </row>
    <row r="2401">
      <c r="A2401" s="122" t="s">
        <v>5351</v>
      </c>
      <c r="B2401" s="123">
        <v>1075415.0</v>
      </c>
      <c r="C2401" s="687" t="s">
        <v>5352</v>
      </c>
      <c r="D2401" s="125"/>
    </row>
    <row r="2402">
      <c r="A2402" s="122" t="s">
        <v>7107</v>
      </c>
      <c r="B2402" s="123">
        <v>1175483.0</v>
      </c>
      <c r="C2402" s="687" t="s">
        <v>7108</v>
      </c>
      <c r="D2402" s="125"/>
    </row>
    <row r="2403">
      <c r="A2403" s="122" t="s">
        <v>3203</v>
      </c>
      <c r="B2403" s="123">
        <v>29332.0</v>
      </c>
      <c r="C2403" s="687" t="s">
        <v>3204</v>
      </c>
      <c r="D2403" s="125"/>
    </row>
    <row r="2404">
      <c r="A2404" s="122" t="s">
        <v>10638</v>
      </c>
      <c r="B2404" s="123">
        <v>785557.0</v>
      </c>
      <c r="C2404" s="687" t="s">
        <v>10639</v>
      </c>
      <c r="D2404" s="125"/>
    </row>
    <row r="2405">
      <c r="A2405" s="122" t="s">
        <v>10745</v>
      </c>
      <c r="B2405" s="123">
        <v>1846832.0</v>
      </c>
      <c r="C2405" s="687" t="s">
        <v>10746</v>
      </c>
      <c r="D2405" s="125"/>
    </row>
    <row r="2406">
      <c r="A2406" s="122" t="s">
        <v>33600</v>
      </c>
      <c r="B2406" s="123">
        <v>1420368.0</v>
      </c>
      <c r="C2406" s="687" t="s">
        <v>33601</v>
      </c>
      <c r="D2406" s="125"/>
    </row>
    <row r="2407">
      <c r="A2407" s="122" t="s">
        <v>10733</v>
      </c>
      <c r="B2407" s="123">
        <v>34067.0</v>
      </c>
      <c r="C2407" s="687" t="s">
        <v>10734</v>
      </c>
      <c r="D2407" s="125"/>
    </row>
    <row r="2408">
      <c r="A2408" s="122" t="s">
        <v>8779</v>
      </c>
      <c r="B2408" s="123">
        <v>1915380.0</v>
      </c>
      <c r="C2408" s="687" t="s">
        <v>8780</v>
      </c>
      <c r="D2408" s="125"/>
    </row>
    <row r="2409">
      <c r="A2409" s="122" t="s">
        <v>33602</v>
      </c>
      <c r="B2409" s="123">
        <v>1419995.0</v>
      </c>
      <c r="C2409" s="687" t="s">
        <v>33603</v>
      </c>
      <c r="D2409" s="125"/>
    </row>
    <row r="2410">
      <c r="A2410" s="122" t="s">
        <v>11341</v>
      </c>
      <c r="B2410" s="123">
        <v>1498632.0</v>
      </c>
      <c r="C2410" s="687" t="s">
        <v>11342</v>
      </c>
      <c r="D2410" s="125"/>
    </row>
    <row r="2411">
      <c r="A2411" s="122" t="s">
        <v>8345</v>
      </c>
      <c r="B2411" s="123">
        <v>1599617.0</v>
      </c>
      <c r="C2411" s="687" t="s">
        <v>8346</v>
      </c>
      <c r="D2411" s="125"/>
    </row>
    <row r="2412">
      <c r="A2412" s="122" t="s">
        <v>7970</v>
      </c>
      <c r="B2412" s="123">
        <v>806628.0</v>
      </c>
      <c r="C2412" s="687" t="s">
        <v>7971</v>
      </c>
      <c r="D2412" s="125"/>
    </row>
    <row r="2413">
      <c r="A2413" s="122" t="s">
        <v>5792</v>
      </c>
      <c r="B2413" s="123">
        <v>1822359.0</v>
      </c>
      <c r="C2413" s="687" t="s">
        <v>5793</v>
      </c>
      <c r="D2413" s="125"/>
    </row>
    <row r="2414">
      <c r="A2414" s="122" t="s">
        <v>14375</v>
      </c>
      <c r="B2414" s="123">
        <v>1261333.0</v>
      </c>
      <c r="C2414" s="687" t="s">
        <v>14376</v>
      </c>
      <c r="D2414" s="125"/>
    </row>
    <row r="2415">
      <c r="A2415" s="122" t="s">
        <v>5724</v>
      </c>
      <c r="B2415" s="123">
        <v>1707303.0</v>
      </c>
      <c r="C2415" s="687" t="s">
        <v>5725</v>
      </c>
      <c r="D2415" s="125"/>
    </row>
    <row r="2416">
      <c r="A2416" s="122" t="s">
        <v>15002</v>
      </c>
      <c r="B2416" s="123">
        <v>1308547.0</v>
      </c>
      <c r="C2416" s="687" t="s">
        <v>15003</v>
      </c>
      <c r="D2416" s="125"/>
    </row>
    <row r="2417">
      <c r="A2417" s="122" t="s">
        <v>9315</v>
      </c>
      <c r="B2417" s="123">
        <v>1857475.0</v>
      </c>
      <c r="C2417" s="687" t="s">
        <v>9316</v>
      </c>
      <c r="D2417" s="125"/>
    </row>
    <row r="2418">
      <c r="A2418" s="122" t="s">
        <v>15774</v>
      </c>
      <c r="B2418" s="123">
        <v>29534.0</v>
      </c>
      <c r="C2418" s="687" t="s">
        <v>15775</v>
      </c>
      <c r="D2418" s="125"/>
    </row>
    <row r="2419">
      <c r="A2419" s="122" t="s">
        <v>15802</v>
      </c>
      <c r="B2419" s="123">
        <v>935703.0</v>
      </c>
      <c r="C2419" s="687" t="s">
        <v>15803</v>
      </c>
      <c r="D2419" s="125"/>
    </row>
    <row r="2420">
      <c r="A2420" s="122" t="s">
        <v>4333</v>
      </c>
      <c r="B2420" s="123">
        <v>1282224.0</v>
      </c>
      <c r="C2420" s="687" t="s">
        <v>4334</v>
      </c>
      <c r="D2420" s="125"/>
    </row>
    <row r="2421">
      <c r="A2421" s="122" t="s">
        <v>6101</v>
      </c>
      <c r="B2421" s="123">
        <v>1722438.0</v>
      </c>
      <c r="C2421" s="687" t="s">
        <v>6102</v>
      </c>
      <c r="D2421" s="125"/>
    </row>
    <row r="2422">
      <c r="A2422" s="122" t="s">
        <v>13887</v>
      </c>
      <c r="B2422" s="123">
        <v>715957.0</v>
      </c>
      <c r="C2422" s="687" t="s">
        <v>13888</v>
      </c>
      <c r="D2422" s="125"/>
    </row>
    <row r="2423">
      <c r="A2423" s="122" t="s">
        <v>16545</v>
      </c>
      <c r="B2423" s="123">
        <v>1286681.0</v>
      </c>
      <c r="C2423" s="687" t="s">
        <v>16546</v>
      </c>
      <c r="D2423" s="125"/>
    </row>
    <row r="2424">
      <c r="A2424" s="122" t="s">
        <v>9329</v>
      </c>
      <c r="B2424" s="123">
        <v>1505952.0</v>
      </c>
      <c r="C2424" s="687" t="s">
        <v>9330</v>
      </c>
      <c r="D2424" s="125"/>
    </row>
    <row r="2425">
      <c r="A2425" s="122" t="s">
        <v>14680</v>
      </c>
      <c r="B2425" s="123">
        <v>29644.0</v>
      </c>
      <c r="C2425" s="687" t="s">
        <v>14488</v>
      </c>
      <c r="D2425" s="125"/>
    </row>
    <row r="2426">
      <c r="A2426" s="122" t="s">
        <v>14487</v>
      </c>
      <c r="B2426" s="123">
        <v>1830374.0</v>
      </c>
      <c r="C2426" s="687" t="s">
        <v>14488</v>
      </c>
      <c r="D2426" s="125"/>
    </row>
    <row r="2427">
      <c r="A2427" s="122" t="s">
        <v>10350</v>
      </c>
      <c r="B2427" s="123">
        <v>800457.0</v>
      </c>
      <c r="C2427" s="687" t="s">
        <v>10351</v>
      </c>
      <c r="D2427" s="125"/>
    </row>
    <row r="2428">
      <c r="A2428" s="122" t="s">
        <v>10477</v>
      </c>
      <c r="B2428" s="123">
        <v>800457.0</v>
      </c>
      <c r="C2428" s="687" t="s">
        <v>10478</v>
      </c>
      <c r="D2428" s="125"/>
    </row>
    <row r="2429">
      <c r="A2429" s="122" t="s">
        <v>14578</v>
      </c>
      <c r="B2429" s="123">
        <v>1669811.0</v>
      </c>
      <c r="C2429" s="687" t="s">
        <v>14579</v>
      </c>
      <c r="D2429" s="125"/>
    </row>
    <row r="2430">
      <c r="A2430" s="122" t="s">
        <v>15506</v>
      </c>
      <c r="B2430" s="123">
        <v>1792789.0</v>
      </c>
      <c r="C2430" s="687" t="s">
        <v>15507</v>
      </c>
      <c r="D2430" s="125"/>
    </row>
    <row r="2431">
      <c r="A2431" s="122" t="s">
        <v>12885</v>
      </c>
      <c r="B2431" s="123">
        <v>1172358.0</v>
      </c>
      <c r="C2431" s="687" t="s">
        <v>12886</v>
      </c>
      <c r="D2431" s="125"/>
    </row>
    <row r="2432">
      <c r="A2432" s="122" t="s">
        <v>13283</v>
      </c>
      <c r="B2432" s="123">
        <v>1596993.0</v>
      </c>
      <c r="C2432" s="687" t="s">
        <v>13284</v>
      </c>
      <c r="D2432" s="125"/>
    </row>
    <row r="2433">
      <c r="A2433" s="122" t="s">
        <v>15063</v>
      </c>
      <c r="B2433" s="123">
        <v>868780.0</v>
      </c>
      <c r="C2433" s="687" t="s">
        <v>15064</v>
      </c>
      <c r="D2433" s="125"/>
    </row>
    <row r="2434">
      <c r="A2434" s="122" t="s">
        <v>8040</v>
      </c>
      <c r="B2434" s="123">
        <v>1799567.0</v>
      </c>
      <c r="C2434" s="687" t="s">
        <v>8041</v>
      </c>
      <c r="D2434" s="125"/>
    </row>
    <row r="2435">
      <c r="A2435" s="122" t="s">
        <v>14125</v>
      </c>
      <c r="B2435" s="123">
        <v>1854149.0</v>
      </c>
      <c r="C2435" s="687" t="s">
        <v>14126</v>
      </c>
      <c r="D2435" s="125"/>
    </row>
    <row r="2436">
      <c r="A2436" s="122" t="s">
        <v>9792</v>
      </c>
      <c r="B2436" s="123">
        <v>1566388.0</v>
      </c>
      <c r="C2436" s="687" t="s">
        <v>9793</v>
      </c>
      <c r="D2436" s="125"/>
    </row>
    <row r="2437">
      <c r="A2437" s="122" t="s">
        <v>10508</v>
      </c>
      <c r="B2437" s="123">
        <v>1525201.0</v>
      </c>
      <c r="C2437" s="687" t="s">
        <v>10509</v>
      </c>
      <c r="D2437" s="125"/>
    </row>
    <row r="2438">
      <c r="A2438" s="122" t="s">
        <v>12534</v>
      </c>
      <c r="B2438" s="123">
        <v>312070.0</v>
      </c>
      <c r="C2438" s="687" t="s">
        <v>12535</v>
      </c>
      <c r="D2438" s="125"/>
    </row>
    <row r="2439">
      <c r="A2439" s="122" t="s">
        <v>13677</v>
      </c>
      <c r="B2439" s="123">
        <v>1819928.0</v>
      </c>
      <c r="C2439" s="687" t="s">
        <v>13678</v>
      </c>
      <c r="D2439" s="125"/>
    </row>
    <row r="2440">
      <c r="A2440" s="122" t="s">
        <v>4955</v>
      </c>
      <c r="B2440" s="123">
        <v>1878897.0</v>
      </c>
      <c r="C2440" s="687" t="s">
        <v>4956</v>
      </c>
      <c r="D2440" s="125"/>
    </row>
    <row r="2441">
      <c r="A2441" s="122" t="s">
        <v>9898</v>
      </c>
      <c r="B2441" s="123">
        <v>1364250.0</v>
      </c>
      <c r="C2441" s="687" t="s">
        <v>9899</v>
      </c>
      <c r="D2441" s="125"/>
    </row>
    <row r="2442">
      <c r="A2442" s="122" t="s">
        <v>3433</v>
      </c>
      <c r="B2442" s="123">
        <v>1762417.0</v>
      </c>
      <c r="C2442" s="687" t="s">
        <v>3434</v>
      </c>
      <c r="D2442" s="125"/>
    </row>
    <row r="2443">
      <c r="A2443" s="122" t="s">
        <v>15947</v>
      </c>
      <c r="B2443" s="123">
        <v>29905.0</v>
      </c>
      <c r="C2443" s="687" t="s">
        <v>15948</v>
      </c>
      <c r="D2443" s="125"/>
    </row>
    <row r="2444">
      <c r="A2444" s="122" t="s">
        <v>14218</v>
      </c>
      <c r="B2444" s="123">
        <v>1751788.0</v>
      </c>
      <c r="C2444" s="687" t="s">
        <v>14219</v>
      </c>
      <c r="D2444" s="125"/>
    </row>
    <row r="2445">
      <c r="A2445" s="122" t="s">
        <v>12590</v>
      </c>
      <c r="B2445" s="123">
        <v>1516513.0</v>
      </c>
      <c r="C2445" s="687" t="s">
        <v>12591</v>
      </c>
      <c r="D2445" s="125"/>
    </row>
    <row r="2446">
      <c r="A2446" s="122" t="s">
        <v>1341</v>
      </c>
      <c r="B2446" s="123">
        <v>1857803.0</v>
      </c>
      <c r="C2446" s="687" t="s">
        <v>1342</v>
      </c>
      <c r="D2446" s="125"/>
    </row>
    <row r="2447">
      <c r="A2447" s="122" t="s">
        <v>9002</v>
      </c>
      <c r="B2447" s="123">
        <v>1857803.0</v>
      </c>
      <c r="C2447" s="687" t="s">
        <v>9003</v>
      </c>
      <c r="D2447" s="125"/>
    </row>
    <row r="2448">
      <c r="A2448" s="122" t="s">
        <v>8744</v>
      </c>
      <c r="B2448" s="123">
        <v>1857803.0</v>
      </c>
      <c r="C2448" s="687" t="s">
        <v>8745</v>
      </c>
      <c r="D2448" s="125"/>
    </row>
    <row r="2449">
      <c r="A2449" s="122" t="s">
        <v>2021</v>
      </c>
      <c r="B2449" s="123">
        <v>1857910.0</v>
      </c>
      <c r="C2449" s="687" t="s">
        <v>2022</v>
      </c>
      <c r="D2449" s="125"/>
    </row>
    <row r="2450">
      <c r="A2450" s="122" t="s">
        <v>15867</v>
      </c>
      <c r="B2450" s="123">
        <v>882184.0</v>
      </c>
      <c r="C2450" s="687" t="s">
        <v>15868</v>
      </c>
      <c r="D2450" s="125"/>
    </row>
    <row r="2451">
      <c r="A2451" s="122" t="s">
        <v>14826</v>
      </c>
      <c r="B2451" s="123">
        <v>1135951.0</v>
      </c>
      <c r="C2451" s="687" t="s">
        <v>14827</v>
      </c>
      <c r="D2451" s="125"/>
    </row>
    <row r="2452">
      <c r="A2452" s="122" t="s">
        <v>13675</v>
      </c>
      <c r="B2452" s="123">
        <v>1883685.0</v>
      </c>
      <c r="C2452" s="687" t="s">
        <v>13676</v>
      </c>
      <c r="D2452" s="125"/>
    </row>
    <row r="2453">
      <c r="A2453" s="122" t="s">
        <v>7631</v>
      </c>
      <c r="B2453" s="123">
        <v>1023512.0</v>
      </c>
      <c r="C2453" s="687" t="s">
        <v>3501</v>
      </c>
      <c r="D2453" s="125"/>
    </row>
    <row r="2454">
      <c r="A2454" s="122" t="s">
        <v>3500</v>
      </c>
      <c r="B2454" s="123">
        <v>1023512.0</v>
      </c>
      <c r="C2454" s="687" t="s">
        <v>3501</v>
      </c>
      <c r="D2454" s="125"/>
    </row>
    <row r="2455">
      <c r="A2455" s="122" t="s">
        <v>976</v>
      </c>
      <c r="B2455" s="123">
        <v>783280.0</v>
      </c>
      <c r="C2455" s="687" t="s">
        <v>977</v>
      </c>
      <c r="D2455" s="125"/>
    </row>
    <row r="2456">
      <c r="A2456" s="122" t="s">
        <v>824</v>
      </c>
      <c r="B2456" s="123">
        <v>1518336.0</v>
      </c>
      <c r="C2456" s="687" t="s">
        <v>825</v>
      </c>
      <c r="D2456" s="125"/>
    </row>
    <row r="2457">
      <c r="A2457" s="122" t="s">
        <v>5064</v>
      </c>
      <c r="B2457" s="123">
        <v>1057861.0</v>
      </c>
      <c r="C2457" s="687" t="s">
        <v>5065</v>
      </c>
      <c r="D2457" s="125"/>
    </row>
    <row r="2458">
      <c r="A2458" s="122" t="s">
        <v>6888</v>
      </c>
      <c r="B2458" s="123">
        <v>855887.0</v>
      </c>
      <c r="C2458" s="687" t="s">
        <v>6889</v>
      </c>
      <c r="D2458" s="125"/>
    </row>
    <row r="2459">
      <c r="A2459" s="122" t="s">
        <v>11367</v>
      </c>
      <c r="B2459" s="123">
        <v>1042893.0</v>
      </c>
      <c r="C2459" s="687" t="s">
        <v>11368</v>
      </c>
      <c r="D2459" s="125"/>
    </row>
    <row r="2460">
      <c r="A2460" s="122" t="s">
        <v>13021</v>
      </c>
      <c r="B2460" s="123">
        <v>1467623.0</v>
      </c>
      <c r="C2460" s="687" t="s">
        <v>13022</v>
      </c>
      <c r="D2460" s="125"/>
    </row>
    <row r="2461">
      <c r="A2461" s="122" t="s">
        <v>33604</v>
      </c>
      <c r="B2461" s="123">
        <v>1413909.0</v>
      </c>
      <c r="C2461" s="687" t="s">
        <v>33605</v>
      </c>
      <c r="D2461" s="125"/>
    </row>
    <row r="2462">
      <c r="A2462" s="122" t="s">
        <v>4634</v>
      </c>
      <c r="B2462" s="123">
        <v>771999.0</v>
      </c>
      <c r="C2462" s="687" t="s">
        <v>4635</v>
      </c>
      <c r="D2462" s="125"/>
    </row>
    <row r="2463">
      <c r="A2463" s="122" t="s">
        <v>1417</v>
      </c>
      <c r="B2463" s="123">
        <v>1652561.0</v>
      </c>
      <c r="C2463" s="687" t="s">
        <v>1418</v>
      </c>
      <c r="D2463" s="125"/>
    </row>
    <row r="2464">
      <c r="A2464" s="122" t="s">
        <v>14221</v>
      </c>
      <c r="B2464" s="123">
        <v>1842022.0</v>
      </c>
      <c r="C2464" s="687" t="s">
        <v>14222</v>
      </c>
      <c r="D2464" s="125"/>
    </row>
    <row r="2465">
      <c r="A2465" s="122" t="s">
        <v>11697</v>
      </c>
      <c r="B2465" s="123">
        <v>936340.0</v>
      </c>
      <c r="C2465" s="687" t="s">
        <v>11698</v>
      </c>
      <c r="D2465" s="125"/>
    </row>
    <row r="2466">
      <c r="A2466" s="122" t="s">
        <v>11597</v>
      </c>
      <c r="B2466" s="123">
        <v>936340.0</v>
      </c>
      <c r="C2466" s="687" t="s">
        <v>11598</v>
      </c>
      <c r="D2466" s="125"/>
    </row>
    <row r="2467">
      <c r="A2467" s="122" t="s">
        <v>15466</v>
      </c>
      <c r="B2467" s="123">
        <v>936340.0</v>
      </c>
      <c r="C2467" s="687" t="s">
        <v>15467</v>
      </c>
      <c r="D2467" s="125"/>
    </row>
    <row r="2468">
      <c r="A2468" s="122" t="s">
        <v>8871</v>
      </c>
      <c r="B2468" s="123">
        <v>879535.0</v>
      </c>
      <c r="C2468" s="687" t="s">
        <v>8872</v>
      </c>
      <c r="D2468" s="125"/>
    </row>
    <row r="2469">
      <c r="A2469" s="122" t="s">
        <v>7946</v>
      </c>
      <c r="B2469" s="123">
        <v>1835256.0</v>
      </c>
      <c r="C2469" s="687" t="s">
        <v>7947</v>
      </c>
      <c r="D2469" s="125"/>
    </row>
    <row r="2470">
      <c r="A2470" s="122" t="s">
        <v>14103</v>
      </c>
      <c r="B2470" s="123">
        <v>30305.0</v>
      </c>
      <c r="C2470" s="687" t="s">
        <v>14104</v>
      </c>
      <c r="D2470" s="125"/>
    </row>
    <row r="2471">
      <c r="A2471" s="122" t="s">
        <v>1091</v>
      </c>
      <c r="B2471" s="123">
        <v>1551887.0</v>
      </c>
      <c r="C2471" s="687" t="s">
        <v>1092</v>
      </c>
      <c r="D2471" s="125"/>
    </row>
    <row r="2472">
      <c r="A2472" s="122" t="s">
        <v>1161</v>
      </c>
      <c r="B2472" s="123">
        <v>1890671.0</v>
      </c>
      <c r="C2472" s="687" t="s">
        <v>1162</v>
      </c>
      <c r="D2472" s="125"/>
    </row>
    <row r="2473">
      <c r="A2473" s="122" t="s">
        <v>8980</v>
      </c>
      <c r="B2473" s="123">
        <v>1890671.0</v>
      </c>
      <c r="C2473" s="687" t="s">
        <v>8981</v>
      </c>
      <c r="D2473" s="125"/>
    </row>
    <row r="2474">
      <c r="A2474" s="122" t="s">
        <v>8956</v>
      </c>
      <c r="B2474" s="123">
        <v>1890671.0</v>
      </c>
      <c r="C2474" s="687" t="s">
        <v>8957</v>
      </c>
      <c r="D2474" s="125"/>
    </row>
    <row r="2475">
      <c r="A2475" s="122" t="s">
        <v>7973</v>
      </c>
      <c r="B2475" s="123">
        <v>1515671.0</v>
      </c>
      <c r="C2475" s="687" t="s">
        <v>7974</v>
      </c>
      <c r="D2475" s="125"/>
    </row>
    <row r="2476">
      <c r="A2476" s="122" t="s">
        <v>15323</v>
      </c>
      <c r="B2476" s="123">
        <v>1326160.0</v>
      </c>
      <c r="C2476" s="687" t="s">
        <v>15324</v>
      </c>
      <c r="D2476" s="125"/>
    </row>
    <row r="2477">
      <c r="A2477" s="122" t="s">
        <v>6506</v>
      </c>
      <c r="B2477" s="123">
        <v>1649744.0</v>
      </c>
      <c r="C2477" s="687" t="s">
        <v>6507</v>
      </c>
      <c r="D2477" s="125"/>
    </row>
    <row r="2478">
      <c r="A2478" s="122" t="s">
        <v>9464</v>
      </c>
      <c r="B2478" s="123">
        <v>1799208.0</v>
      </c>
      <c r="C2478" s="687" t="s">
        <v>9465</v>
      </c>
      <c r="D2478" s="125"/>
    </row>
    <row r="2479">
      <c r="A2479" s="122" t="s">
        <v>2685</v>
      </c>
      <c r="B2479" s="123">
        <v>1499494.0</v>
      </c>
      <c r="C2479" s="687" t="s">
        <v>2686</v>
      </c>
      <c r="D2479" s="125"/>
    </row>
    <row r="2480">
      <c r="A2480" s="122" t="s">
        <v>496</v>
      </c>
      <c r="B2480" s="123">
        <v>1635136.0</v>
      </c>
      <c r="C2480" s="687" t="s">
        <v>497</v>
      </c>
      <c r="D2480" s="125"/>
    </row>
    <row r="2481">
      <c r="A2481" s="122" t="s">
        <v>16059</v>
      </c>
      <c r="B2481" s="123">
        <v>1562088.0</v>
      </c>
      <c r="C2481" s="687" t="s">
        <v>16060</v>
      </c>
      <c r="D2481" s="125"/>
    </row>
    <row r="2482">
      <c r="A2482" s="122" t="s">
        <v>6386</v>
      </c>
      <c r="B2482" s="123">
        <v>1396536.0</v>
      </c>
      <c r="C2482" s="687" t="s">
        <v>6387</v>
      </c>
      <c r="D2482" s="125"/>
    </row>
    <row r="2483">
      <c r="A2483" s="122" t="s">
        <v>14541</v>
      </c>
      <c r="B2483" s="123">
        <v>1666700.0</v>
      </c>
      <c r="C2483" s="687" t="s">
        <v>14542</v>
      </c>
      <c r="D2483" s="125"/>
    </row>
    <row r="2484">
      <c r="A2484" s="122" t="s">
        <v>3562</v>
      </c>
      <c r="B2484" s="123">
        <v>1082038.0</v>
      </c>
      <c r="C2484" s="687" t="s">
        <v>3563</v>
      </c>
      <c r="D2484" s="125"/>
    </row>
    <row r="2485">
      <c r="A2485" s="122" t="s">
        <v>12532</v>
      </c>
      <c r="B2485" s="123">
        <v>1866581.0</v>
      </c>
      <c r="C2485" s="687" t="s">
        <v>12533</v>
      </c>
      <c r="D2485" s="125"/>
    </row>
    <row r="2486">
      <c r="A2486" s="122" t="s">
        <v>8003</v>
      </c>
      <c r="B2486" s="123">
        <v>839533.0</v>
      </c>
      <c r="C2486" s="687" t="s">
        <v>8004</v>
      </c>
      <c r="D2486" s="125"/>
    </row>
    <row r="2487">
      <c r="A2487" s="122" t="s">
        <v>7938</v>
      </c>
      <c r="B2487" s="123">
        <v>846596.0</v>
      </c>
      <c r="C2487" s="687" t="s">
        <v>7939</v>
      </c>
      <c r="D2487" s="125"/>
    </row>
    <row r="2488">
      <c r="A2488" s="122" t="s">
        <v>11695</v>
      </c>
      <c r="B2488" s="123">
        <v>1688568.0</v>
      </c>
      <c r="C2488" s="687" t="s">
        <v>11696</v>
      </c>
      <c r="D2488" s="125"/>
    </row>
    <row r="2489">
      <c r="A2489" s="122" t="s">
        <v>33606</v>
      </c>
      <c r="B2489" s="123">
        <v>1323838.0</v>
      </c>
      <c r="C2489" s="687" t="s">
        <v>33607</v>
      </c>
      <c r="D2489" s="125"/>
    </row>
    <row r="2490">
      <c r="A2490" s="122" t="s">
        <v>13017</v>
      </c>
      <c r="B2490" s="123">
        <v>1020710.0</v>
      </c>
      <c r="C2490" s="687" t="s">
        <v>13018</v>
      </c>
      <c r="D2490" s="125"/>
    </row>
    <row r="2491">
      <c r="A2491" s="122" t="s">
        <v>4317</v>
      </c>
      <c r="B2491" s="123">
        <v>1213809.0</v>
      </c>
      <c r="C2491" s="687" t="s">
        <v>4318</v>
      </c>
      <c r="D2491" s="125"/>
    </row>
    <row r="2492">
      <c r="A2492" s="122" t="s">
        <v>15574</v>
      </c>
      <c r="B2492" s="123">
        <v>67215.0</v>
      </c>
      <c r="C2492" s="687" t="s">
        <v>15575</v>
      </c>
      <c r="D2492" s="125"/>
    </row>
    <row r="2493">
      <c r="A2493" s="122" t="s">
        <v>5429</v>
      </c>
      <c r="B2493" s="123">
        <v>1578453.0</v>
      </c>
      <c r="C2493" s="687" t="s">
        <v>5430</v>
      </c>
      <c r="D2493" s="125"/>
    </row>
    <row r="2494">
      <c r="A2494" s="122" t="s">
        <v>12659</v>
      </c>
      <c r="B2494" s="123">
        <v>1771951.0</v>
      </c>
      <c r="C2494" s="687" t="s">
        <v>12660</v>
      </c>
      <c r="D2494" s="125"/>
    </row>
    <row r="2495">
      <c r="A2495" s="122" t="s">
        <v>4669</v>
      </c>
      <c r="B2495" s="123">
        <v>1111741.0</v>
      </c>
      <c r="C2495" s="687" t="s">
        <v>4670</v>
      </c>
      <c r="D2495" s="125"/>
    </row>
    <row r="2496">
      <c r="A2496" s="122" t="s">
        <v>5261</v>
      </c>
      <c r="B2496" s="123">
        <v>30831.0</v>
      </c>
      <c r="C2496" s="687" t="s">
        <v>5262</v>
      </c>
      <c r="D2496" s="125"/>
    </row>
    <row r="2497">
      <c r="A2497" s="122" t="s">
        <v>14475</v>
      </c>
      <c r="B2497" s="123">
        <v>1773383.0</v>
      </c>
      <c r="C2497" s="687" t="s">
        <v>14476</v>
      </c>
      <c r="D2497" s="125"/>
    </row>
    <row r="2498">
      <c r="A2498" s="122" t="s">
        <v>3045</v>
      </c>
      <c r="B2498" s="123">
        <v>720875.0</v>
      </c>
      <c r="C2498" s="687" t="s">
        <v>3046</v>
      </c>
      <c r="D2498" s="125"/>
    </row>
    <row r="2499">
      <c r="A2499" s="122" t="s">
        <v>9826</v>
      </c>
      <c r="B2499" s="123">
        <v>1029142.0</v>
      </c>
      <c r="C2499" s="687" t="s">
        <v>9827</v>
      </c>
      <c r="D2499" s="125"/>
    </row>
    <row r="2500">
      <c r="A2500" s="122" t="s">
        <v>11601</v>
      </c>
      <c r="B2500" s="123">
        <v>1818794.0</v>
      </c>
      <c r="C2500" s="687" t="s">
        <v>11602</v>
      </c>
      <c r="D2500" s="125"/>
    </row>
    <row r="2501">
      <c r="A2501" s="122" t="s">
        <v>9713</v>
      </c>
      <c r="B2501" s="123">
        <v>826675.0</v>
      </c>
      <c r="C2501" s="687" t="s">
        <v>9714</v>
      </c>
      <c r="D2501" s="125"/>
    </row>
    <row r="2502">
      <c r="A2502" s="122" t="s">
        <v>4443</v>
      </c>
      <c r="B2502" s="123">
        <v>1101680.0</v>
      </c>
      <c r="C2502" s="687" t="s">
        <v>4444</v>
      </c>
      <c r="D2502" s="125"/>
    </row>
    <row r="2503">
      <c r="A2503" s="122" t="s">
        <v>816</v>
      </c>
      <c r="B2503" s="123">
        <v>894552.0</v>
      </c>
      <c r="C2503" s="687" t="s">
        <v>817</v>
      </c>
      <c r="D2503" s="125"/>
    </row>
    <row r="2504">
      <c r="A2504" s="122" t="s">
        <v>7613</v>
      </c>
      <c r="B2504" s="123">
        <v>832428.0</v>
      </c>
      <c r="C2504" s="687" t="s">
        <v>7614</v>
      </c>
      <c r="D2504" s="125"/>
    </row>
    <row r="2505">
      <c r="A2505" s="122" t="s">
        <v>2923</v>
      </c>
      <c r="B2505" s="123">
        <v>1769768.0</v>
      </c>
      <c r="C2505" s="687" t="s">
        <v>2924</v>
      </c>
      <c r="D2505" s="125"/>
    </row>
    <row r="2506">
      <c r="A2506" s="122" t="s">
        <v>5960</v>
      </c>
      <c r="B2506" s="123">
        <v>1800347.0</v>
      </c>
      <c r="C2506" s="687" t="s">
        <v>5961</v>
      </c>
      <c r="D2506" s="125"/>
    </row>
    <row r="2507">
      <c r="A2507" s="122" t="s">
        <v>13136</v>
      </c>
      <c r="B2507" s="123">
        <v>784539.0</v>
      </c>
      <c r="C2507" s="687" t="s">
        <v>13137</v>
      </c>
      <c r="D2507" s="125"/>
    </row>
    <row r="2508">
      <c r="A2508" s="122" t="s">
        <v>10246</v>
      </c>
      <c r="B2508" s="123">
        <v>1411579.0</v>
      </c>
      <c r="C2508" s="687" t="s">
        <v>10247</v>
      </c>
      <c r="D2508" s="125"/>
    </row>
    <row r="2509">
      <c r="A2509" s="122" t="s">
        <v>12154</v>
      </c>
      <c r="B2509" s="123">
        <v>1050441.0</v>
      </c>
      <c r="C2509" s="687" t="s">
        <v>12155</v>
      </c>
      <c r="D2509" s="125"/>
    </row>
    <row r="2510">
      <c r="A2510" s="122" t="s">
        <v>10096</v>
      </c>
      <c r="B2510" s="123">
        <v>1478454.0</v>
      </c>
      <c r="C2510" s="687" t="s">
        <v>10097</v>
      </c>
      <c r="D2510" s="125"/>
    </row>
    <row r="2511">
      <c r="A2511" s="122" t="s">
        <v>14230</v>
      </c>
      <c r="B2511" s="123">
        <v>1322439.0</v>
      </c>
      <c r="C2511" s="687" t="s">
        <v>14231</v>
      </c>
      <c r="D2511" s="125"/>
    </row>
    <row r="2512">
      <c r="A2512" s="122" t="s">
        <v>7993</v>
      </c>
      <c r="B2512" s="123">
        <v>850027.0</v>
      </c>
      <c r="C2512" s="687" t="s">
        <v>7994</v>
      </c>
      <c r="D2512" s="125"/>
    </row>
    <row r="2513">
      <c r="A2513" s="122" t="s">
        <v>10914</v>
      </c>
      <c r="B2513" s="123">
        <v>1699018.0</v>
      </c>
      <c r="C2513" s="687" t="s">
        <v>10915</v>
      </c>
      <c r="D2513" s="125"/>
    </row>
    <row r="2514">
      <c r="A2514" s="122" t="s">
        <v>12777</v>
      </c>
      <c r="B2514" s="123">
        <v>880641.0</v>
      </c>
      <c r="C2514" s="687" t="s">
        <v>12778</v>
      </c>
      <c r="D2514" s="125"/>
    </row>
    <row r="2515">
      <c r="A2515" s="122" t="s">
        <v>16283</v>
      </c>
      <c r="B2515" s="123">
        <v>918646.0</v>
      </c>
      <c r="C2515" s="687" t="s">
        <v>16284</v>
      </c>
      <c r="D2515" s="125"/>
    </row>
    <row r="2516">
      <c r="A2516" s="122" t="s">
        <v>6951</v>
      </c>
      <c r="B2516" s="123">
        <v>827871.0</v>
      </c>
      <c r="C2516" s="687" t="s">
        <v>6952</v>
      </c>
      <c r="D2516" s="125"/>
    </row>
    <row r="2517">
      <c r="A2517" s="122" t="s">
        <v>12150</v>
      </c>
      <c r="B2517" s="123">
        <v>1604174.0</v>
      </c>
      <c r="C2517" s="687" t="s">
        <v>12151</v>
      </c>
      <c r="D2517" s="125"/>
    </row>
    <row r="2518">
      <c r="A2518" s="122" t="s">
        <v>11869</v>
      </c>
      <c r="B2518" s="123">
        <v>1604174.0</v>
      </c>
      <c r="C2518" s="687" t="s">
        <v>11870</v>
      </c>
      <c r="D2518" s="125"/>
    </row>
    <row r="2519">
      <c r="A2519" s="122" t="s">
        <v>12083</v>
      </c>
      <c r="B2519" s="123">
        <v>1604174.0</v>
      </c>
      <c r="C2519" s="687" t="s">
        <v>12084</v>
      </c>
      <c r="D2519" s="125"/>
    </row>
    <row r="2520">
      <c r="A2520" s="122" t="s">
        <v>8383</v>
      </c>
      <c r="B2520" s="123">
        <v>1604174.0</v>
      </c>
      <c r="C2520" s="687" t="s">
        <v>8384</v>
      </c>
      <c r="D2520" s="125"/>
    </row>
    <row r="2521">
      <c r="A2521" s="122" t="s">
        <v>11771</v>
      </c>
      <c r="B2521" s="123">
        <v>1604174.0</v>
      </c>
      <c r="C2521" s="687" t="s">
        <v>11772</v>
      </c>
      <c r="D2521" s="125"/>
    </row>
    <row r="2522">
      <c r="A2522" s="122" t="s">
        <v>10547</v>
      </c>
      <c r="B2522" s="123">
        <v>1754836.0</v>
      </c>
      <c r="C2522" s="687" t="s">
        <v>10548</v>
      </c>
      <c r="D2522" s="125"/>
    </row>
    <row r="2523">
      <c r="A2523" s="122" t="s">
        <v>11991</v>
      </c>
      <c r="B2523" s="123">
        <v>1754836.0</v>
      </c>
      <c r="C2523" s="687" t="s">
        <v>11992</v>
      </c>
      <c r="D2523" s="125"/>
    </row>
    <row r="2524">
      <c r="A2524" s="122" t="s">
        <v>5275</v>
      </c>
      <c r="B2524" s="123">
        <v>1719395.0</v>
      </c>
      <c r="C2524" s="687" t="s">
        <v>5276</v>
      </c>
      <c r="D2524" s="125"/>
    </row>
    <row r="2525">
      <c r="A2525" s="122" t="s">
        <v>33608</v>
      </c>
      <c r="B2525" s="123">
        <v>1165639.0</v>
      </c>
      <c r="C2525" s="687" t="s">
        <v>33609</v>
      </c>
      <c r="D2525" s="125"/>
    </row>
    <row r="2526">
      <c r="A2526" s="122" t="s">
        <v>1624</v>
      </c>
      <c r="B2526" s="123">
        <v>1538495.0</v>
      </c>
      <c r="C2526" s="687" t="s">
        <v>1625</v>
      </c>
      <c r="D2526" s="125"/>
    </row>
    <row r="2527">
      <c r="A2527" s="122" t="s">
        <v>14782</v>
      </c>
      <c r="B2527" s="123">
        <v>1069157.0</v>
      </c>
      <c r="C2527" s="687" t="s">
        <v>14783</v>
      </c>
      <c r="D2527" s="125"/>
    </row>
    <row r="2528">
      <c r="A2528" s="122" t="s">
        <v>9654</v>
      </c>
      <c r="B2528" s="123">
        <v>1622194.0</v>
      </c>
      <c r="C2528" s="687" t="s">
        <v>9655</v>
      </c>
      <c r="D2528" s="125"/>
    </row>
    <row r="2529">
      <c r="A2529" s="122" t="s">
        <v>10159</v>
      </c>
      <c r="B2529" s="123">
        <v>1810546.0</v>
      </c>
      <c r="C2529" s="687" t="s">
        <v>10160</v>
      </c>
      <c r="D2529" s="125"/>
    </row>
    <row r="2530">
      <c r="A2530" s="122" t="s">
        <v>12103</v>
      </c>
      <c r="B2530" s="123">
        <v>31107.0</v>
      </c>
      <c r="C2530" s="687" t="s">
        <v>12104</v>
      </c>
      <c r="D2530" s="125"/>
    </row>
    <row r="2531">
      <c r="A2531" s="122" t="s">
        <v>16073</v>
      </c>
      <c r="B2531" s="123">
        <v>49600.0</v>
      </c>
      <c r="C2531" s="687" t="s">
        <v>16074</v>
      </c>
      <c r="D2531" s="125"/>
    </row>
    <row r="2532">
      <c r="A2532" s="122" t="s">
        <v>15056</v>
      </c>
      <c r="B2532" s="123">
        <v>915389.0</v>
      </c>
      <c r="C2532" s="687" t="s">
        <v>15057</v>
      </c>
      <c r="D2532" s="125"/>
    </row>
    <row r="2533">
      <c r="A2533" s="122" t="s">
        <v>5790</v>
      </c>
      <c r="B2533" s="123">
        <v>31235.0</v>
      </c>
      <c r="C2533" s="687" t="s">
        <v>5791</v>
      </c>
      <c r="D2533" s="125"/>
    </row>
    <row r="2534">
      <c r="A2534" s="122" t="s">
        <v>33610</v>
      </c>
      <c r="B2534" s="123">
        <v>1071272.0</v>
      </c>
      <c r="C2534" s="687" t="s">
        <v>33611</v>
      </c>
      <c r="D2534" s="125"/>
    </row>
    <row r="2535">
      <c r="A2535" s="122" t="s">
        <v>3895</v>
      </c>
      <c r="B2535" s="123">
        <v>1534708.0</v>
      </c>
      <c r="C2535" s="687" t="s">
        <v>3896</v>
      </c>
      <c r="D2535" s="125"/>
    </row>
    <row r="2536">
      <c r="A2536" s="122" t="s">
        <v>2037</v>
      </c>
      <c r="B2536" s="123">
        <v>1518561.0</v>
      </c>
      <c r="C2536" s="687" t="s">
        <v>2038</v>
      </c>
      <c r="D2536" s="125"/>
    </row>
    <row r="2537">
      <c r="A2537" s="122" t="s">
        <v>16372</v>
      </c>
      <c r="B2537" s="123">
        <v>1551182.0</v>
      </c>
      <c r="C2537" s="687" t="s">
        <v>16373</v>
      </c>
      <c r="D2537" s="125"/>
    </row>
    <row r="2538">
      <c r="A2538" s="122" t="s">
        <v>7604</v>
      </c>
      <c r="B2538" s="123">
        <v>1322435.0</v>
      </c>
      <c r="C2538" s="687" t="s">
        <v>7605</v>
      </c>
      <c r="D2538" s="125"/>
    </row>
    <row r="2539">
      <c r="A2539" s="122" t="s">
        <v>8770</v>
      </c>
      <c r="B2539" s="123">
        <v>1074692.0</v>
      </c>
      <c r="C2539" s="687" t="s">
        <v>8771</v>
      </c>
      <c r="D2539" s="125"/>
    </row>
    <row r="2540">
      <c r="A2540" s="122" t="s">
        <v>8123</v>
      </c>
      <c r="B2540" s="123">
        <v>1177161.0</v>
      </c>
      <c r="C2540" s="687" t="s">
        <v>8124</v>
      </c>
      <c r="D2540" s="125"/>
    </row>
    <row r="2541">
      <c r="A2541" s="122" t="s">
        <v>11317</v>
      </c>
      <c r="B2541" s="123">
        <v>1308335.0</v>
      </c>
      <c r="C2541" s="687" t="s">
        <v>11318</v>
      </c>
      <c r="D2541" s="125"/>
    </row>
    <row r="2542">
      <c r="A2542" s="122" t="s">
        <v>10880</v>
      </c>
      <c r="B2542" s="123">
        <v>1300391.0</v>
      </c>
      <c r="C2542" s="687" t="s">
        <v>10881</v>
      </c>
      <c r="D2542" s="125"/>
    </row>
    <row r="2543">
      <c r="A2543" s="122" t="s">
        <v>9955</v>
      </c>
      <c r="B2543" s="123">
        <v>1288992.0</v>
      </c>
      <c r="C2543" s="687" t="s">
        <v>9956</v>
      </c>
      <c r="D2543" s="125"/>
    </row>
    <row r="2544">
      <c r="A2544" s="122" t="s">
        <v>8279</v>
      </c>
      <c r="B2544" s="123">
        <v>1222922.0</v>
      </c>
      <c r="C2544" s="687" t="s">
        <v>8280</v>
      </c>
      <c r="D2544" s="125"/>
    </row>
    <row r="2545">
      <c r="A2545" s="122" t="s">
        <v>8411</v>
      </c>
      <c r="B2545" s="123">
        <v>1176984.0</v>
      </c>
      <c r="C2545" s="687" t="s">
        <v>8412</v>
      </c>
      <c r="D2545" s="125"/>
    </row>
    <row r="2546">
      <c r="A2546" s="122" t="s">
        <v>10981</v>
      </c>
      <c r="B2546" s="123">
        <v>1563696.0</v>
      </c>
      <c r="C2546" s="687" t="s">
        <v>10982</v>
      </c>
      <c r="D2546" s="125"/>
    </row>
    <row r="2547">
      <c r="A2547" s="122" t="s">
        <v>8426</v>
      </c>
      <c r="B2547" s="123">
        <v>1074540.0</v>
      </c>
      <c r="C2547" s="687" t="s">
        <v>8427</v>
      </c>
      <c r="D2547" s="125"/>
    </row>
    <row r="2548">
      <c r="A2548" s="122" t="s">
        <v>10804</v>
      </c>
      <c r="B2548" s="123">
        <v>1454741.0</v>
      </c>
      <c r="C2548" s="687" t="s">
        <v>10805</v>
      </c>
      <c r="D2548" s="125"/>
    </row>
    <row r="2549">
      <c r="A2549" s="122" t="s">
        <v>8292</v>
      </c>
      <c r="B2549" s="123">
        <v>1177162.0</v>
      </c>
      <c r="C2549" s="687" t="s">
        <v>8293</v>
      </c>
      <c r="D2549" s="125"/>
    </row>
    <row r="2550">
      <c r="A2550" s="122" t="s">
        <v>7683</v>
      </c>
      <c r="B2550" s="123">
        <v>1395325.0</v>
      </c>
      <c r="C2550" s="687" t="s">
        <v>7684</v>
      </c>
      <c r="D2550" s="125"/>
    </row>
    <row r="2551">
      <c r="A2551" s="122" t="s">
        <v>9939</v>
      </c>
      <c r="B2551" s="123">
        <v>1258623.0</v>
      </c>
      <c r="C2551" s="687" t="s">
        <v>9940</v>
      </c>
      <c r="D2551" s="125"/>
    </row>
    <row r="2552">
      <c r="A2552" s="122" t="s">
        <v>7238</v>
      </c>
      <c r="B2552" s="123">
        <v>1070732.0</v>
      </c>
      <c r="C2552" s="687" t="s">
        <v>7239</v>
      </c>
      <c r="D2552" s="125"/>
    </row>
    <row r="2553">
      <c r="A2553" s="122" t="s">
        <v>8831</v>
      </c>
      <c r="B2553" s="123">
        <v>1287498.0</v>
      </c>
      <c r="C2553" s="687" t="s">
        <v>8832</v>
      </c>
      <c r="D2553" s="125"/>
    </row>
    <row r="2554">
      <c r="A2554" s="122" t="s">
        <v>11777</v>
      </c>
      <c r="B2554" s="123">
        <v>1253327.0</v>
      </c>
      <c r="C2554" s="687" t="s">
        <v>11778</v>
      </c>
      <c r="D2554" s="125"/>
    </row>
    <row r="2555">
      <c r="A2555" s="122" t="s">
        <v>9913</v>
      </c>
      <c r="B2555" s="123">
        <v>1308927.0</v>
      </c>
      <c r="C2555" s="687" t="s">
        <v>9914</v>
      </c>
      <c r="D2555" s="125"/>
    </row>
    <row r="2556">
      <c r="A2556" s="122" t="s">
        <v>9734</v>
      </c>
      <c r="B2556" s="123">
        <v>1322436.0</v>
      </c>
      <c r="C2556" s="687" t="s">
        <v>9735</v>
      </c>
      <c r="D2556" s="125"/>
    </row>
    <row r="2557">
      <c r="A2557" s="122" t="s">
        <v>9776</v>
      </c>
      <c r="B2557" s="123">
        <v>1340736.0</v>
      </c>
      <c r="C2557" s="687" t="s">
        <v>9777</v>
      </c>
      <c r="D2557" s="125"/>
    </row>
    <row r="2558">
      <c r="A2558" s="122" t="s">
        <v>10946</v>
      </c>
      <c r="B2558" s="123">
        <v>1270523.0</v>
      </c>
      <c r="C2558" s="687" t="s">
        <v>10947</v>
      </c>
      <c r="D2558" s="125"/>
    </row>
    <row r="2559">
      <c r="A2559" s="122" t="s">
        <v>12107</v>
      </c>
      <c r="B2559" s="123">
        <v>1281926.0</v>
      </c>
      <c r="C2559" s="687" t="s">
        <v>12108</v>
      </c>
      <c r="D2559" s="125"/>
    </row>
    <row r="2560">
      <c r="A2560" s="122" t="s">
        <v>7593</v>
      </c>
      <c r="B2560" s="123">
        <v>1379438.0</v>
      </c>
      <c r="C2560" s="687" t="s">
        <v>7594</v>
      </c>
      <c r="D2560" s="125"/>
    </row>
    <row r="2561">
      <c r="A2561" s="122" t="s">
        <v>7968</v>
      </c>
      <c r="B2561" s="123">
        <v>1799290.0</v>
      </c>
      <c r="C2561" s="687" t="s">
        <v>7969</v>
      </c>
      <c r="D2561" s="125"/>
    </row>
    <row r="2562">
      <c r="A2562" s="122" t="s">
        <v>13689</v>
      </c>
      <c r="B2562" s="123">
        <v>1065088.0</v>
      </c>
      <c r="C2562" s="687" t="s">
        <v>13690</v>
      </c>
      <c r="D2562" s="125"/>
    </row>
    <row r="2563">
      <c r="A2563" s="122" t="s">
        <v>2590</v>
      </c>
      <c r="B2563" s="123">
        <v>1829966.0</v>
      </c>
      <c r="C2563" s="687" t="s">
        <v>2591</v>
      </c>
      <c r="D2563" s="125"/>
    </row>
    <row r="2564">
      <c r="A2564" s="122" t="s">
        <v>2872</v>
      </c>
      <c r="B2564" s="123">
        <v>1487798.0</v>
      </c>
      <c r="C2564" s="687" t="s">
        <v>2873</v>
      </c>
      <c r="D2564" s="125"/>
    </row>
    <row r="2565">
      <c r="A2565" s="122" t="s">
        <v>10079</v>
      </c>
      <c r="B2565" s="123">
        <v>1914605.0</v>
      </c>
      <c r="C2565" s="687" t="s">
        <v>10080</v>
      </c>
      <c r="D2565" s="125"/>
    </row>
    <row r="2566">
      <c r="A2566" s="122" t="s">
        <v>33612</v>
      </c>
      <c r="B2566" s="123">
        <v>1856416.0</v>
      </c>
      <c r="C2566" s="687" t="s">
        <v>33613</v>
      </c>
      <c r="D2566" s="125"/>
    </row>
    <row r="2567">
      <c r="A2567" s="122" t="s">
        <v>10009</v>
      </c>
      <c r="B2567" s="123">
        <v>1415404.0</v>
      </c>
      <c r="C2567" s="687" t="s">
        <v>10010</v>
      </c>
      <c r="D2567" s="125"/>
    </row>
    <row r="2568">
      <c r="A2568" s="122" t="s">
        <v>33614</v>
      </c>
      <c r="B2568" s="123">
        <v>1144169.0</v>
      </c>
      <c r="C2568" s="687" t="s">
        <v>33615</v>
      </c>
      <c r="D2568" s="125"/>
    </row>
    <row r="2569">
      <c r="A2569" s="122" t="s">
        <v>4357</v>
      </c>
      <c r="B2569" s="123">
        <v>1846715.0</v>
      </c>
      <c r="C2569" s="687" t="s">
        <v>4358</v>
      </c>
      <c r="D2569" s="125"/>
    </row>
    <row r="2570">
      <c r="A2570" s="122" t="s">
        <v>9360</v>
      </c>
      <c r="B2570" s="123">
        <v>1704299.0</v>
      </c>
      <c r="C2570" s="687" t="s">
        <v>9361</v>
      </c>
      <c r="D2570" s="125"/>
    </row>
    <row r="2571">
      <c r="A2571" s="122" t="s">
        <v>16152</v>
      </c>
      <c r="B2571" s="123">
        <v>31462.0</v>
      </c>
      <c r="C2571" s="687" t="s">
        <v>16153</v>
      </c>
      <c r="D2571" s="125"/>
    </row>
    <row r="2572">
      <c r="A2572" s="122" t="s">
        <v>2265</v>
      </c>
      <c r="B2572" s="123">
        <v>1008653.0</v>
      </c>
      <c r="C2572" s="687" t="s">
        <v>2266</v>
      </c>
      <c r="D2572" s="125"/>
    </row>
    <row r="2573">
      <c r="A2573" s="122" t="s">
        <v>9542</v>
      </c>
      <c r="B2573" s="123">
        <v>1444406.0</v>
      </c>
      <c r="C2573" s="687" t="s">
        <v>9543</v>
      </c>
      <c r="D2573" s="125"/>
    </row>
    <row r="2574">
      <c r="A2574" s="122" t="s">
        <v>15206</v>
      </c>
      <c r="B2574" s="123">
        <v>1560258.0</v>
      </c>
      <c r="C2574" s="687" t="s">
        <v>15207</v>
      </c>
      <c r="D2574" s="125"/>
    </row>
    <row r="2575">
      <c r="A2575" s="122" t="s">
        <v>8073</v>
      </c>
      <c r="B2575" s="123">
        <v>1708035.0</v>
      </c>
      <c r="C2575" s="687" t="s">
        <v>8074</v>
      </c>
      <c r="D2575" s="125"/>
    </row>
    <row r="2576">
      <c r="A2576" s="122" t="s">
        <v>33616</v>
      </c>
      <c r="B2576" s="123">
        <v>811868.0</v>
      </c>
      <c r="C2576" s="687" t="s">
        <v>33617</v>
      </c>
      <c r="D2576" s="125"/>
    </row>
    <row r="2577">
      <c r="A2577" s="122" t="s">
        <v>6339</v>
      </c>
      <c r="B2577" s="123">
        <v>1540159.0</v>
      </c>
      <c r="C2577" s="687" t="s">
        <v>6340</v>
      </c>
      <c r="D2577" s="125"/>
    </row>
    <row r="2578">
      <c r="A2578" s="122" t="s">
        <v>13409</v>
      </c>
      <c r="B2578" s="123">
        <v>1096752.0</v>
      </c>
      <c r="C2578" s="687" t="s">
        <v>13410</v>
      </c>
      <c r="D2578" s="125"/>
    </row>
    <row r="2579">
      <c r="A2579" s="122" t="s">
        <v>11143</v>
      </c>
      <c r="B2579" s="123">
        <v>1710072.0</v>
      </c>
      <c r="C2579" s="687" t="s">
        <v>11144</v>
      </c>
      <c r="D2579" s="125"/>
    </row>
    <row r="2580">
      <c r="A2580" s="122" t="s">
        <v>2492</v>
      </c>
      <c r="B2580" s="123">
        <v>1391127.0</v>
      </c>
      <c r="C2580" s="687" t="s">
        <v>2493</v>
      </c>
      <c r="D2580" s="125"/>
    </row>
    <row r="2581">
      <c r="A2581" s="122" t="s">
        <v>599</v>
      </c>
      <c r="B2581" s="123">
        <v>1809750.0</v>
      </c>
      <c r="C2581" s="687" t="s">
        <v>600</v>
      </c>
      <c r="D2581" s="125"/>
    </row>
    <row r="2582">
      <c r="A2582" s="122" t="s">
        <v>739</v>
      </c>
      <c r="B2582" s="123">
        <v>1832765.0</v>
      </c>
      <c r="C2582" s="687" t="s">
        <v>740</v>
      </c>
      <c r="D2582" s="125"/>
    </row>
    <row r="2583">
      <c r="A2583" s="122" t="s">
        <v>9338</v>
      </c>
      <c r="B2583" s="123">
        <v>1832765.0</v>
      </c>
      <c r="C2583" s="687" t="s">
        <v>9339</v>
      </c>
      <c r="D2583" s="125"/>
    </row>
    <row r="2584">
      <c r="A2584" s="122" t="s">
        <v>14672</v>
      </c>
      <c r="B2584" s="123">
        <v>827052.0</v>
      </c>
      <c r="C2584" s="687" t="s">
        <v>14673</v>
      </c>
      <c r="D2584" s="125"/>
    </row>
    <row r="2585">
      <c r="A2585" s="122" t="s">
        <v>7378</v>
      </c>
      <c r="B2585" s="123">
        <v>1650664.0</v>
      </c>
      <c r="C2585" s="687" t="s">
        <v>7379</v>
      </c>
      <c r="D2585" s="125"/>
    </row>
    <row r="2586">
      <c r="A2586" s="122" t="s">
        <v>717</v>
      </c>
      <c r="B2586" s="123">
        <v>1824884.0</v>
      </c>
      <c r="C2586" s="687" t="s">
        <v>718</v>
      </c>
      <c r="D2586" s="125"/>
    </row>
    <row r="2587">
      <c r="A2587" s="122" t="s">
        <v>9525</v>
      </c>
      <c r="B2587" s="123">
        <v>1824884.0</v>
      </c>
      <c r="C2587" s="687" t="s">
        <v>9526</v>
      </c>
      <c r="D2587" s="125"/>
    </row>
    <row r="2588">
      <c r="A2588" s="122" t="s">
        <v>4744</v>
      </c>
      <c r="B2588" s="123">
        <v>31667.0</v>
      </c>
      <c r="C2588" s="687" t="s">
        <v>4745</v>
      </c>
      <c r="D2588" s="125"/>
    </row>
    <row r="2589">
      <c r="A2589" s="122" t="s">
        <v>15136</v>
      </c>
      <c r="B2589" s="123">
        <v>1099800.0</v>
      </c>
      <c r="C2589" s="687" t="s">
        <v>15137</v>
      </c>
      <c r="D2589" s="125"/>
    </row>
    <row r="2590">
      <c r="A2590" s="122" t="s">
        <v>7404</v>
      </c>
      <c r="B2590" s="123">
        <v>1737189.0</v>
      </c>
      <c r="C2590" s="687" t="s">
        <v>7405</v>
      </c>
      <c r="D2590" s="125"/>
    </row>
    <row r="2591">
      <c r="A2591" s="122" t="s">
        <v>1429</v>
      </c>
      <c r="B2591" s="123">
        <v>1138867.0</v>
      </c>
      <c r="C2591" s="687" t="s">
        <v>1430</v>
      </c>
      <c r="D2591" s="125"/>
    </row>
    <row r="2592">
      <c r="A2592" s="122" t="s">
        <v>8624</v>
      </c>
      <c r="B2592" s="123">
        <v>1828522.0</v>
      </c>
      <c r="C2592" s="687" t="s">
        <v>1834</v>
      </c>
      <c r="D2592" s="125"/>
    </row>
    <row r="2593">
      <c r="A2593" s="122" t="s">
        <v>1833</v>
      </c>
      <c r="B2593" s="123">
        <v>1828522.0</v>
      </c>
      <c r="C2593" s="687" t="s">
        <v>1834</v>
      </c>
      <c r="D2593" s="125"/>
    </row>
    <row r="2594">
      <c r="A2594" s="122" t="s">
        <v>7602</v>
      </c>
      <c r="B2594" s="123">
        <v>1066194.0</v>
      </c>
      <c r="C2594" s="687" t="s">
        <v>7603</v>
      </c>
      <c r="D2594" s="125"/>
    </row>
    <row r="2595">
      <c r="A2595" s="122" t="s">
        <v>33618</v>
      </c>
      <c r="B2595" s="123">
        <v>1106848.0</v>
      </c>
      <c r="C2595" s="687" t="s">
        <v>33619</v>
      </c>
      <c r="D2595" s="125"/>
    </row>
    <row r="2596">
      <c r="A2596" s="122" t="s">
        <v>8450</v>
      </c>
      <c r="B2596" s="123">
        <v>1759783.0</v>
      </c>
      <c r="C2596" s="687" t="s">
        <v>8451</v>
      </c>
      <c r="D2596" s="125"/>
    </row>
    <row r="2597">
      <c r="A2597" s="122" t="s">
        <v>33620</v>
      </c>
      <c r="B2597" s="123">
        <v>1653606.0</v>
      </c>
      <c r="C2597" s="687" t="s">
        <v>33621</v>
      </c>
      <c r="D2597" s="125"/>
    </row>
    <row r="2598">
      <c r="A2598" s="122" t="s">
        <v>7435</v>
      </c>
      <c r="B2598" s="123">
        <v>1333493.0</v>
      </c>
      <c r="C2598" s="687" t="s">
        <v>7436</v>
      </c>
      <c r="D2598" s="125"/>
    </row>
    <row r="2599">
      <c r="A2599" s="122" t="s">
        <v>7202</v>
      </c>
      <c r="B2599" s="123">
        <v>1305253.0</v>
      </c>
      <c r="C2599" s="687" t="s">
        <v>7203</v>
      </c>
      <c r="D2599" s="125"/>
    </row>
    <row r="2600">
      <c r="A2600" s="122" t="s">
        <v>4945</v>
      </c>
      <c r="B2600" s="123">
        <v>1549084.0</v>
      </c>
      <c r="C2600" s="687" t="s">
        <v>4946</v>
      </c>
      <c r="D2600" s="125"/>
    </row>
    <row r="2601">
      <c r="A2601" s="122" t="s">
        <v>8136</v>
      </c>
      <c r="B2601" s="123">
        <v>1606366.0</v>
      </c>
      <c r="C2601" s="687" t="s">
        <v>8137</v>
      </c>
      <c r="D2601" s="125"/>
    </row>
    <row r="2602">
      <c r="A2602" s="122" t="s">
        <v>10362</v>
      </c>
      <c r="B2602" s="123">
        <v>1739104.0</v>
      </c>
      <c r="C2602" s="687" t="s">
        <v>10363</v>
      </c>
      <c r="D2602" s="125"/>
    </row>
    <row r="2603">
      <c r="A2603" s="122" t="s">
        <v>15678</v>
      </c>
      <c r="B2603" s="123">
        <v>1707753.0</v>
      </c>
      <c r="C2603" s="687" t="s">
        <v>15679</v>
      </c>
      <c r="D2603" s="125"/>
    </row>
    <row r="2604">
      <c r="A2604" s="122" t="s">
        <v>16174</v>
      </c>
      <c r="B2604" s="123">
        <v>1027664.0</v>
      </c>
      <c r="C2604" s="687" t="s">
        <v>16175</v>
      </c>
      <c r="D2604" s="125"/>
    </row>
    <row r="2605">
      <c r="A2605" s="122" t="s">
        <v>9722</v>
      </c>
      <c r="B2605" s="123">
        <v>918608.0</v>
      </c>
      <c r="C2605" s="687" t="s">
        <v>9723</v>
      </c>
      <c r="D2605" s="125"/>
    </row>
    <row r="2606">
      <c r="A2606" s="122" t="s">
        <v>11151</v>
      </c>
      <c r="B2606" s="123">
        <v>71508.0</v>
      </c>
      <c r="C2606" s="687" t="s">
        <v>11152</v>
      </c>
      <c r="D2606" s="125"/>
    </row>
    <row r="2607">
      <c r="A2607" s="122" t="s">
        <v>2761</v>
      </c>
      <c r="B2607" s="123">
        <v>1907184.0</v>
      </c>
      <c r="C2607" s="687" t="s">
        <v>2762</v>
      </c>
      <c r="D2607" s="125"/>
    </row>
    <row r="2608">
      <c r="A2608" s="122" t="s">
        <v>1819</v>
      </c>
      <c r="B2608" s="123">
        <v>1784168.0</v>
      </c>
      <c r="C2608" s="687" t="s">
        <v>1820</v>
      </c>
      <c r="D2608" s="125"/>
    </row>
    <row r="2609">
      <c r="A2609" s="122" t="s">
        <v>15951</v>
      </c>
      <c r="B2609" s="123">
        <v>1865833.0</v>
      </c>
      <c r="C2609" s="687" t="s">
        <v>15952</v>
      </c>
      <c r="D2609" s="125"/>
    </row>
    <row r="2610">
      <c r="A2610" s="122" t="s">
        <v>6208</v>
      </c>
      <c r="B2610" s="123">
        <v>351789.0</v>
      </c>
      <c r="C2610" s="687" t="s">
        <v>6209</v>
      </c>
      <c r="D2610" s="125"/>
    </row>
    <row r="2611">
      <c r="A2611" s="122" t="s">
        <v>8501</v>
      </c>
      <c r="B2611" s="123">
        <v>1488917.0</v>
      </c>
      <c r="C2611" s="687" t="s">
        <v>8502</v>
      </c>
      <c r="D2611" s="125"/>
    </row>
    <row r="2612">
      <c r="A2612" s="122" t="s">
        <v>33622</v>
      </c>
      <c r="B2612" s="123">
        <v>1715819.0</v>
      </c>
      <c r="C2612" s="687" t="s">
        <v>33623</v>
      </c>
      <c r="D2612" s="125"/>
    </row>
    <row r="2613">
      <c r="A2613" s="122" t="s">
        <v>15786</v>
      </c>
      <c r="B2613" s="123">
        <v>712515.0</v>
      </c>
      <c r="C2613" s="687" t="s">
        <v>15787</v>
      </c>
      <c r="D2613" s="125"/>
    </row>
    <row r="2614">
      <c r="A2614" s="122" t="s">
        <v>3021</v>
      </c>
      <c r="B2614" s="123">
        <v>1709542.0</v>
      </c>
      <c r="C2614" s="687" t="s">
        <v>3022</v>
      </c>
      <c r="D2614" s="125"/>
    </row>
    <row r="2615">
      <c r="A2615" s="122" t="s">
        <v>2520</v>
      </c>
      <c r="B2615" s="123">
        <v>752294.0</v>
      </c>
      <c r="C2615" s="687" t="s">
        <v>2521</v>
      </c>
      <c r="D2615" s="125"/>
    </row>
    <row r="2616">
      <c r="A2616" s="122" t="s">
        <v>1585</v>
      </c>
      <c r="B2616" s="123">
        <v>837465.0</v>
      </c>
      <c r="C2616" s="687" t="s">
        <v>1586</v>
      </c>
      <c r="D2616" s="125"/>
    </row>
    <row r="2617">
      <c r="A2617" s="122" t="s">
        <v>4597</v>
      </c>
      <c r="B2617" s="123">
        <v>1404281.0</v>
      </c>
      <c r="C2617" s="687" t="s">
        <v>4598</v>
      </c>
      <c r="D2617" s="125"/>
    </row>
    <row r="2618">
      <c r="A2618" s="122" t="s">
        <v>11810</v>
      </c>
      <c r="B2618" s="123">
        <v>1590714.0</v>
      </c>
      <c r="C2618" s="687" t="s">
        <v>11811</v>
      </c>
      <c r="D2618" s="125"/>
    </row>
    <row r="2619">
      <c r="A2619" s="122" t="s">
        <v>16596</v>
      </c>
      <c r="B2619" s="123">
        <v>1156039.0</v>
      </c>
      <c r="C2619" s="687" t="s">
        <v>16597</v>
      </c>
      <c r="D2619" s="125"/>
    </row>
    <row r="2620">
      <c r="A2620" s="122" t="s">
        <v>1692</v>
      </c>
      <c r="B2620" s="123">
        <v>1651094.0</v>
      </c>
      <c r="C2620" s="687" t="s">
        <v>1615</v>
      </c>
      <c r="D2620" s="125"/>
    </row>
    <row r="2621">
      <c r="A2621" s="122" t="s">
        <v>1614</v>
      </c>
      <c r="B2621" s="123">
        <v>1518353.0</v>
      </c>
      <c r="C2621" s="687" t="s">
        <v>1615</v>
      </c>
      <c r="D2621" s="125"/>
    </row>
    <row r="2622">
      <c r="A2622" s="122" t="s">
        <v>5482</v>
      </c>
      <c r="B2622" s="123">
        <v>1783032.0</v>
      </c>
      <c r="C2622" s="687" t="s">
        <v>5483</v>
      </c>
      <c r="D2622" s="125"/>
    </row>
    <row r="2623">
      <c r="A2623" s="122" t="s">
        <v>16004</v>
      </c>
      <c r="B2623" s="123">
        <v>1600033.0</v>
      </c>
      <c r="C2623" s="687" t="s">
        <v>16005</v>
      </c>
      <c r="D2623" s="125"/>
    </row>
    <row r="2624">
      <c r="A2624" s="122" t="s">
        <v>16649</v>
      </c>
      <c r="B2624" s="123">
        <v>59478.0</v>
      </c>
      <c r="C2624" s="687" t="s">
        <v>16650</v>
      </c>
      <c r="D2624" s="125"/>
    </row>
    <row r="2625">
      <c r="A2625" s="122" t="s">
        <v>5290</v>
      </c>
      <c r="B2625" s="123">
        <v>1768446.0</v>
      </c>
      <c r="C2625" s="687" t="s">
        <v>5291</v>
      </c>
      <c r="D2625" s="125"/>
    </row>
    <row r="2626">
      <c r="A2626" s="122" t="s">
        <v>33624</v>
      </c>
      <c r="B2626" s="123">
        <v>1043150.0</v>
      </c>
      <c r="C2626" s="687" t="s">
        <v>33625</v>
      </c>
      <c r="D2626" s="125"/>
    </row>
    <row r="2627">
      <c r="A2627" s="122" t="s">
        <v>33626</v>
      </c>
      <c r="B2627" s="123">
        <v>1531266.0</v>
      </c>
      <c r="C2627" s="687" t="s">
        <v>33627</v>
      </c>
      <c r="D2627" s="125"/>
    </row>
    <row r="2628">
      <c r="A2628" s="122" t="s">
        <v>2255</v>
      </c>
      <c r="B2628" s="123">
        <v>1053369.0</v>
      </c>
      <c r="C2628" s="687" t="s">
        <v>2256</v>
      </c>
      <c r="D2628" s="125"/>
    </row>
    <row r="2629">
      <c r="A2629" s="122" t="s">
        <v>4943</v>
      </c>
      <c r="B2629" s="123">
        <v>1437194.0</v>
      </c>
      <c r="C2629" s="687" t="s">
        <v>4944</v>
      </c>
      <c r="D2629" s="125"/>
    </row>
    <row r="2630">
      <c r="A2630" s="122" t="s">
        <v>3927</v>
      </c>
      <c r="B2630" s="123">
        <v>1437194.0</v>
      </c>
      <c r="C2630" s="687" t="s">
        <v>3928</v>
      </c>
      <c r="D2630" s="125"/>
    </row>
    <row r="2631">
      <c r="A2631" s="122" t="s">
        <v>9706</v>
      </c>
      <c r="B2631" s="123">
        <v>1411342.0</v>
      </c>
      <c r="C2631" s="687" t="s">
        <v>9707</v>
      </c>
      <c r="D2631" s="125"/>
    </row>
    <row r="2632">
      <c r="A2632" s="122" t="s">
        <v>7059</v>
      </c>
      <c r="B2632" s="123">
        <v>1560672.0</v>
      </c>
      <c r="C2632" s="687" t="s">
        <v>7060</v>
      </c>
      <c r="D2632" s="125"/>
    </row>
    <row r="2633">
      <c r="A2633" s="122" t="s">
        <v>10516</v>
      </c>
      <c r="B2633" s="123">
        <v>946394.0</v>
      </c>
      <c r="C2633" s="687" t="s">
        <v>10517</v>
      </c>
      <c r="D2633" s="125"/>
    </row>
    <row r="2634">
      <c r="A2634" s="122" t="s">
        <v>7632</v>
      </c>
      <c r="B2634" s="123">
        <v>793040.0</v>
      </c>
      <c r="C2634" s="687" t="s">
        <v>7633</v>
      </c>
      <c r="D2634" s="125"/>
    </row>
    <row r="2635">
      <c r="A2635" s="122" t="s">
        <v>33628</v>
      </c>
      <c r="B2635" s="123">
        <v>1402371.0</v>
      </c>
      <c r="C2635" s="687" t="s">
        <v>33629</v>
      </c>
      <c r="D2635" s="125"/>
    </row>
    <row r="2636">
      <c r="A2636" s="122" t="s">
        <v>11353</v>
      </c>
      <c r="B2636" s="123">
        <v>1024672.0</v>
      </c>
      <c r="C2636" s="687" t="s">
        <v>11354</v>
      </c>
      <c r="D2636" s="125"/>
    </row>
    <row r="2637">
      <c r="A2637" s="122" t="s">
        <v>1128</v>
      </c>
      <c r="B2637" s="123">
        <v>1741489.0</v>
      </c>
      <c r="C2637" s="687" t="s">
        <v>1129</v>
      </c>
      <c r="D2637" s="125"/>
    </row>
    <row r="2638">
      <c r="A2638" s="122" t="s">
        <v>2225</v>
      </c>
      <c r="B2638" s="123">
        <v>1080319.0</v>
      </c>
      <c r="C2638" s="687" t="s">
        <v>2226</v>
      </c>
      <c r="D2638" s="125"/>
    </row>
    <row r="2639">
      <c r="A2639" s="122" t="s">
        <v>2643</v>
      </c>
      <c r="B2639" s="123">
        <v>1348952.0</v>
      </c>
      <c r="C2639" s="687" t="s">
        <v>2644</v>
      </c>
      <c r="D2639" s="125"/>
    </row>
    <row r="2640">
      <c r="A2640" s="122" t="s">
        <v>10334</v>
      </c>
      <c r="B2640" s="123">
        <v>1449794.0</v>
      </c>
      <c r="C2640" s="687" t="s">
        <v>10335</v>
      </c>
      <c r="D2640" s="125"/>
    </row>
    <row r="2641">
      <c r="A2641" s="122" t="s">
        <v>10862</v>
      </c>
      <c r="B2641" s="123">
        <v>1872789.0</v>
      </c>
      <c r="C2641" s="687" t="s">
        <v>10863</v>
      </c>
      <c r="D2641" s="125"/>
    </row>
    <row r="2642">
      <c r="A2642" s="122" t="s">
        <v>9101</v>
      </c>
      <c r="B2642" s="123">
        <v>1869601.0</v>
      </c>
      <c r="C2642" s="687" t="s">
        <v>9102</v>
      </c>
      <c r="D2642" s="125"/>
    </row>
    <row r="2643">
      <c r="A2643" s="122" t="s">
        <v>11034</v>
      </c>
      <c r="B2643" s="123">
        <v>1355444.0</v>
      </c>
      <c r="C2643" s="687" t="s">
        <v>11035</v>
      </c>
      <c r="D2643" s="125"/>
    </row>
    <row r="2644">
      <c r="A2644" s="122" t="s">
        <v>16278</v>
      </c>
      <c r="B2644" s="123">
        <v>105634.0</v>
      </c>
      <c r="C2644" s="687" t="s">
        <v>16279</v>
      </c>
      <c r="D2644" s="125"/>
    </row>
    <row r="2645">
      <c r="A2645" s="122" t="s">
        <v>3311</v>
      </c>
      <c r="B2645" s="123">
        <v>808326.0</v>
      </c>
      <c r="C2645" s="687" t="s">
        <v>3312</v>
      </c>
      <c r="D2645" s="125"/>
    </row>
    <row r="2646">
      <c r="A2646" s="122" t="s">
        <v>13312</v>
      </c>
      <c r="B2646" s="123">
        <v>1127248.0</v>
      </c>
      <c r="C2646" s="687" t="s">
        <v>13313</v>
      </c>
      <c r="D2646" s="125"/>
    </row>
    <row r="2647">
      <c r="A2647" s="122" t="s">
        <v>7089</v>
      </c>
      <c r="B2647" s="123">
        <v>1579214.0</v>
      </c>
      <c r="C2647" s="687" t="s">
        <v>7090</v>
      </c>
      <c r="D2647" s="125"/>
    </row>
    <row r="2648">
      <c r="A2648" s="122" t="s">
        <v>4533</v>
      </c>
      <c r="B2648" s="123">
        <v>1417892.0</v>
      </c>
      <c r="C2648" s="687" t="s">
        <v>4534</v>
      </c>
      <c r="D2648" s="125"/>
    </row>
    <row r="2649">
      <c r="A2649" s="122" t="s">
        <v>1093</v>
      </c>
      <c r="B2649" s="123">
        <v>1169652.0</v>
      </c>
      <c r="C2649" s="687" t="s">
        <v>1094</v>
      </c>
      <c r="D2649" s="125"/>
    </row>
    <row r="2650">
      <c r="A2650" s="122" t="s">
        <v>4491</v>
      </c>
      <c r="B2650" s="123">
        <v>1367644.0</v>
      </c>
      <c r="C2650" s="687" t="s">
        <v>4492</v>
      </c>
      <c r="D2650" s="125"/>
    </row>
    <row r="2651">
      <c r="A2651" s="122" t="s">
        <v>33630</v>
      </c>
      <c r="B2651" s="123">
        <v>1463459.0</v>
      </c>
      <c r="C2651" s="687" t="s">
        <v>33631</v>
      </c>
      <c r="D2651" s="125"/>
    </row>
    <row r="2652">
      <c r="A2652" s="122" t="s">
        <v>1505</v>
      </c>
      <c r="B2652" s="123">
        <v>1199392.0</v>
      </c>
      <c r="C2652" s="687" t="s">
        <v>1506</v>
      </c>
      <c r="D2652" s="125"/>
    </row>
    <row r="2653">
      <c r="A2653" s="122" t="s">
        <v>15283</v>
      </c>
      <c r="B2653" s="123">
        <v>32604.0</v>
      </c>
      <c r="C2653" s="687" t="s">
        <v>15284</v>
      </c>
      <c r="D2653" s="125"/>
    </row>
    <row r="2654">
      <c r="A2654" s="122" t="s">
        <v>3117</v>
      </c>
      <c r="B2654" s="123">
        <v>32621.0</v>
      </c>
      <c r="C2654" s="687" t="s">
        <v>3118</v>
      </c>
      <c r="D2654" s="125"/>
    </row>
    <row r="2655">
      <c r="A2655" s="122" t="s">
        <v>6549</v>
      </c>
      <c r="B2655" s="123">
        <v>783005.0</v>
      </c>
      <c r="C2655" s="687" t="s">
        <v>6550</v>
      </c>
      <c r="D2655" s="125"/>
    </row>
    <row r="2656">
      <c r="A2656" s="122" t="s">
        <v>510</v>
      </c>
      <c r="B2656" s="123">
        <v>1410708.0</v>
      </c>
      <c r="C2656" s="687" t="s">
        <v>511</v>
      </c>
      <c r="D2656" s="125"/>
    </row>
    <row r="2657">
      <c r="A2657" s="122" t="s">
        <v>639</v>
      </c>
      <c r="B2657" s="123">
        <v>66901.0</v>
      </c>
      <c r="C2657" s="687" t="s">
        <v>640</v>
      </c>
      <c r="D2657" s="125"/>
    </row>
    <row r="2658">
      <c r="A2658" s="122" t="s">
        <v>2514</v>
      </c>
      <c r="B2658" s="123">
        <v>815577.0</v>
      </c>
      <c r="C2658" s="687" t="s">
        <v>2515</v>
      </c>
      <c r="D2658" s="125"/>
    </row>
    <row r="2659">
      <c r="A2659" s="122" t="s">
        <v>33632</v>
      </c>
      <c r="B2659" s="123">
        <v>1501862.0</v>
      </c>
      <c r="C2659" s="687" t="s">
        <v>33633</v>
      </c>
      <c r="D2659" s="125"/>
    </row>
    <row r="2660">
      <c r="A2660" s="122" t="s">
        <v>1898</v>
      </c>
      <c r="B2660" s="123">
        <v>1841800.0</v>
      </c>
      <c r="C2660" s="687" t="s">
        <v>1899</v>
      </c>
      <c r="D2660" s="125"/>
    </row>
    <row r="2661">
      <c r="A2661" s="122" t="s">
        <v>7200</v>
      </c>
      <c r="B2661" s="123">
        <v>887396.0</v>
      </c>
      <c r="C2661" s="687" t="s">
        <v>7201</v>
      </c>
      <c r="D2661" s="125"/>
    </row>
    <row r="2662">
      <c r="A2662" s="122" t="s">
        <v>8111</v>
      </c>
      <c r="B2662" s="123">
        <v>1553079.0</v>
      </c>
      <c r="C2662" s="687" t="s">
        <v>8112</v>
      </c>
      <c r="D2662" s="125"/>
    </row>
    <row r="2663">
      <c r="A2663" s="122" t="s">
        <v>8290</v>
      </c>
      <c r="B2663" s="123">
        <v>1553079.0</v>
      </c>
      <c r="C2663" s="687" t="s">
        <v>8291</v>
      </c>
      <c r="D2663" s="125"/>
    </row>
    <row r="2664">
      <c r="A2664" s="122" t="s">
        <v>8218</v>
      </c>
      <c r="B2664" s="123">
        <v>1553079.0</v>
      </c>
      <c r="C2664" s="687" t="s">
        <v>8219</v>
      </c>
      <c r="D2664" s="125"/>
    </row>
    <row r="2665">
      <c r="A2665" s="122" t="s">
        <v>8171</v>
      </c>
      <c r="B2665" s="123">
        <v>1541401.0</v>
      </c>
      <c r="C2665" s="687" t="s">
        <v>8172</v>
      </c>
      <c r="D2665" s="125"/>
    </row>
    <row r="2666">
      <c r="A2666" s="122" t="s">
        <v>13614</v>
      </c>
      <c r="B2666" s="123">
        <v>1379041.0</v>
      </c>
      <c r="C2666" s="687" t="s">
        <v>13615</v>
      </c>
      <c r="D2666" s="125"/>
    </row>
    <row r="2667">
      <c r="A2667" s="122" t="s">
        <v>33634</v>
      </c>
      <c r="B2667" s="123">
        <v>1109504.0</v>
      </c>
      <c r="C2667" s="687" t="s">
        <v>33635</v>
      </c>
      <c r="D2667" s="125"/>
    </row>
    <row r="2668">
      <c r="A2668" s="122" t="s">
        <v>33636</v>
      </c>
      <c r="B2668" s="123">
        <v>1864891.0</v>
      </c>
      <c r="C2668" s="687" t="s">
        <v>33637</v>
      </c>
      <c r="D2668" s="125"/>
    </row>
    <row r="2669">
      <c r="A2669" s="122" t="s">
        <v>11329</v>
      </c>
      <c r="B2669" s="123">
        <v>1395213.0</v>
      </c>
      <c r="C2669" s="687" t="s">
        <v>11330</v>
      </c>
      <c r="D2669" s="125"/>
    </row>
    <row r="2670">
      <c r="A2670" s="122" t="s">
        <v>4399</v>
      </c>
      <c r="B2670" s="123">
        <v>1285786.0</v>
      </c>
      <c r="C2670" s="687" t="s">
        <v>4400</v>
      </c>
      <c r="D2670" s="125"/>
    </row>
    <row r="2671">
      <c r="A2671" s="122" t="s">
        <v>16746</v>
      </c>
      <c r="B2671" s="123">
        <v>1477009.0</v>
      </c>
      <c r="C2671" s="687" t="s">
        <v>16747</v>
      </c>
      <c r="D2671" s="125"/>
    </row>
    <row r="2672">
      <c r="A2672" s="122" t="s">
        <v>12640</v>
      </c>
      <c r="B2672" s="123">
        <v>1823529.0</v>
      </c>
      <c r="C2672" s="687" t="s">
        <v>12641</v>
      </c>
      <c r="D2672" s="125"/>
    </row>
    <row r="2673">
      <c r="A2673" s="122" t="s">
        <v>9692</v>
      </c>
      <c r="B2673" s="123">
        <v>1177648.0</v>
      </c>
      <c r="C2673" s="687" t="s">
        <v>9693</v>
      </c>
      <c r="D2673" s="125"/>
    </row>
    <row r="2674">
      <c r="A2674" s="122" t="s">
        <v>10483</v>
      </c>
      <c r="B2674" s="123">
        <v>1437479.0</v>
      </c>
      <c r="C2674" s="687" t="s">
        <v>10484</v>
      </c>
      <c r="D2674" s="125"/>
    </row>
    <row r="2675">
      <c r="A2675" s="122" t="s">
        <v>11689</v>
      </c>
      <c r="B2675" s="123">
        <v>895728.0</v>
      </c>
      <c r="C2675" s="687" t="s">
        <v>11690</v>
      </c>
      <c r="D2675" s="125"/>
    </row>
    <row r="2676">
      <c r="A2676" s="122" t="s">
        <v>11735</v>
      </c>
      <c r="B2676" s="123">
        <v>895728.0</v>
      </c>
      <c r="C2676" s="687" t="s">
        <v>11736</v>
      </c>
      <c r="D2676" s="125"/>
    </row>
    <row r="2677">
      <c r="A2677" s="122" t="s">
        <v>11455</v>
      </c>
      <c r="B2677" s="123">
        <v>895728.0</v>
      </c>
      <c r="C2677" s="687" t="s">
        <v>11456</v>
      </c>
      <c r="D2677" s="125"/>
    </row>
    <row r="2678">
      <c r="A2678" s="122" t="s">
        <v>13257</v>
      </c>
      <c r="B2678" s="123">
        <v>895728.0</v>
      </c>
      <c r="C2678" s="687" t="s">
        <v>13258</v>
      </c>
      <c r="D2678" s="125"/>
    </row>
    <row r="2679">
      <c r="A2679" s="122" t="s">
        <v>9462</v>
      </c>
      <c r="B2679" s="123">
        <v>895728.0</v>
      </c>
      <c r="C2679" s="687" t="s">
        <v>9463</v>
      </c>
      <c r="D2679" s="125"/>
    </row>
    <row r="2680">
      <c r="A2680" s="122" t="s">
        <v>2870</v>
      </c>
      <c r="B2680" s="123">
        <v>930775.0</v>
      </c>
      <c r="C2680" s="687" t="s">
        <v>2871</v>
      </c>
      <c r="D2680" s="125"/>
    </row>
    <row r="2681">
      <c r="A2681" s="122" t="s">
        <v>33638</v>
      </c>
      <c r="B2681" s="123">
        <v>1119807.0</v>
      </c>
      <c r="C2681" s="687" t="s">
        <v>33639</v>
      </c>
      <c r="D2681" s="125"/>
    </row>
    <row r="2682">
      <c r="A2682" s="122" t="s">
        <v>14828</v>
      </c>
      <c r="B2682" s="123">
        <v>785161.0</v>
      </c>
      <c r="C2682" s="687" t="s">
        <v>14829</v>
      </c>
      <c r="D2682" s="125"/>
    </row>
    <row r="2683">
      <c r="A2683" s="122" t="s">
        <v>14099</v>
      </c>
      <c r="B2683" s="123">
        <v>1084961.0</v>
      </c>
      <c r="C2683" s="687" t="s">
        <v>14100</v>
      </c>
      <c r="D2683" s="125"/>
    </row>
    <row r="2684">
      <c r="A2684" s="122" t="s">
        <v>6441</v>
      </c>
      <c r="B2684" s="123">
        <v>1500881.0</v>
      </c>
      <c r="C2684" s="687" t="s">
        <v>6442</v>
      </c>
      <c r="D2684" s="125"/>
    </row>
    <row r="2685">
      <c r="A2685" s="122" t="s">
        <v>16264</v>
      </c>
      <c r="B2685" s="123">
        <v>850460.0</v>
      </c>
      <c r="C2685" s="687" t="s">
        <v>16265</v>
      </c>
      <c r="D2685" s="125"/>
    </row>
    <row r="2686">
      <c r="A2686" s="122" t="s">
        <v>12232</v>
      </c>
      <c r="B2686" s="123">
        <v>1766363.0</v>
      </c>
      <c r="C2686" s="687" t="s">
        <v>12233</v>
      </c>
      <c r="D2686" s="125"/>
    </row>
    <row r="2687">
      <c r="A2687" s="122" t="s">
        <v>4493</v>
      </c>
      <c r="B2687" s="123">
        <v>1277866.0</v>
      </c>
      <c r="C2687" s="687" t="s">
        <v>4494</v>
      </c>
      <c r="D2687" s="125"/>
    </row>
    <row r="2688">
      <c r="A2688" s="122" t="s">
        <v>33640</v>
      </c>
      <c r="B2688" s="123">
        <v>1593034.0</v>
      </c>
      <c r="C2688" s="687" t="s">
        <v>33641</v>
      </c>
      <c r="D2688" s="125"/>
    </row>
    <row r="2689">
      <c r="A2689" s="122" t="s">
        <v>543</v>
      </c>
      <c r="B2689" s="123">
        <v>1528172.0</v>
      </c>
      <c r="C2689" s="687" t="s">
        <v>544</v>
      </c>
      <c r="D2689" s="125"/>
    </row>
    <row r="2690">
      <c r="A2690" s="122" t="s">
        <v>3825</v>
      </c>
      <c r="B2690" s="123">
        <v>1681682.0</v>
      </c>
      <c r="C2690" s="687" t="s">
        <v>3826</v>
      </c>
      <c r="D2690" s="125"/>
    </row>
    <row r="2691">
      <c r="A2691" s="122" t="s">
        <v>5425</v>
      </c>
      <c r="B2691" s="123">
        <v>1659939.0</v>
      </c>
      <c r="C2691" s="687" t="s">
        <v>5426</v>
      </c>
      <c r="D2691" s="125"/>
    </row>
    <row r="2692">
      <c r="A2692" s="122" t="s">
        <v>7247</v>
      </c>
      <c r="B2692" s="123">
        <v>1096200.0</v>
      </c>
      <c r="C2692" s="687" t="s">
        <v>7248</v>
      </c>
      <c r="D2692" s="125"/>
    </row>
    <row r="2693">
      <c r="A2693" s="122" t="s">
        <v>7243</v>
      </c>
      <c r="B2693" s="123">
        <v>1096200.0</v>
      </c>
      <c r="C2693" s="687" t="s">
        <v>7244</v>
      </c>
      <c r="D2693" s="125"/>
    </row>
    <row r="2694">
      <c r="A2694" s="122" t="s">
        <v>5968</v>
      </c>
      <c r="B2694" s="123">
        <v>1487533.0</v>
      </c>
      <c r="C2694" s="687" t="s">
        <v>5969</v>
      </c>
      <c r="D2694" s="125"/>
    </row>
    <row r="2695">
      <c r="A2695" s="122" t="s">
        <v>966</v>
      </c>
      <c r="B2695" s="123">
        <v>1879373.0</v>
      </c>
      <c r="C2695" s="687" t="s">
        <v>967</v>
      </c>
      <c r="D2695" s="125"/>
    </row>
    <row r="2696">
      <c r="A2696" s="122" t="s">
        <v>9450</v>
      </c>
      <c r="B2696" s="123">
        <v>1879373.0</v>
      </c>
      <c r="C2696" s="687" t="s">
        <v>9451</v>
      </c>
      <c r="D2696" s="125"/>
    </row>
    <row r="2697">
      <c r="A2697" s="122" t="s">
        <v>9369</v>
      </c>
      <c r="B2697" s="123">
        <v>1879373.0</v>
      </c>
      <c r="C2697" s="687" t="s">
        <v>9370</v>
      </c>
      <c r="D2697" s="125"/>
    </row>
    <row r="2698">
      <c r="A2698" s="122" t="s">
        <v>12966</v>
      </c>
      <c r="B2698" s="123">
        <v>1632790.0</v>
      </c>
      <c r="C2698" s="687" t="s">
        <v>12967</v>
      </c>
      <c r="D2698" s="125"/>
    </row>
    <row r="2699">
      <c r="A2699" s="122" t="s">
        <v>4521</v>
      </c>
      <c r="B2699" s="123">
        <v>1575793.0</v>
      </c>
      <c r="C2699" s="687" t="s">
        <v>4522</v>
      </c>
      <c r="D2699" s="125"/>
    </row>
    <row r="2700">
      <c r="A2700" s="122" t="s">
        <v>1285</v>
      </c>
      <c r="B2700" s="123">
        <v>1563298.0</v>
      </c>
      <c r="C2700" s="687" t="s">
        <v>1286</v>
      </c>
      <c r="D2700" s="125"/>
    </row>
    <row r="2701">
      <c r="A2701" s="122" t="s">
        <v>4152</v>
      </c>
      <c r="B2701" s="123">
        <v>924168.0</v>
      </c>
      <c r="C2701" s="687" t="s">
        <v>4153</v>
      </c>
      <c r="D2701" s="125"/>
    </row>
    <row r="2702">
      <c r="A2702" s="122" t="s">
        <v>7591</v>
      </c>
      <c r="B2702" s="123">
        <v>1385849.0</v>
      </c>
      <c r="C2702" s="687" t="s">
        <v>7592</v>
      </c>
      <c r="D2702" s="125"/>
    </row>
    <row r="2703">
      <c r="A2703" s="122" t="s">
        <v>10550</v>
      </c>
      <c r="B2703" s="123">
        <v>1421517.0</v>
      </c>
      <c r="C2703" s="687" t="s">
        <v>10551</v>
      </c>
      <c r="D2703" s="125"/>
    </row>
    <row r="2704">
      <c r="A2704" s="122" t="s">
        <v>7699</v>
      </c>
      <c r="B2704" s="123">
        <v>1357971.0</v>
      </c>
      <c r="C2704" s="687" t="s">
        <v>7700</v>
      </c>
      <c r="D2704" s="125"/>
    </row>
    <row r="2705">
      <c r="A2705" s="122" t="s">
        <v>10268</v>
      </c>
      <c r="B2705" s="123">
        <v>1276187.0</v>
      </c>
      <c r="C2705" s="687" t="s">
        <v>10269</v>
      </c>
      <c r="D2705" s="125"/>
    </row>
    <row r="2706">
      <c r="A2706" s="122" t="s">
        <v>4365</v>
      </c>
      <c r="B2706" s="123">
        <v>1828536.0</v>
      </c>
      <c r="C2706" s="687" t="s">
        <v>4366</v>
      </c>
      <c r="D2706" s="125"/>
    </row>
    <row r="2707">
      <c r="A2707" s="122" t="s">
        <v>12960</v>
      </c>
      <c r="B2707" s="123">
        <v>6955.0</v>
      </c>
      <c r="C2707" s="687" t="s">
        <v>12961</v>
      </c>
      <c r="D2707" s="125"/>
    </row>
    <row r="2708">
      <c r="A2708" s="122" t="s">
        <v>10091</v>
      </c>
      <c r="B2708" s="123">
        <v>1126874.0</v>
      </c>
      <c r="C2708" s="687" t="s">
        <v>10092</v>
      </c>
      <c r="D2708" s="125"/>
    </row>
    <row r="2709">
      <c r="A2709" s="122" t="s">
        <v>15353</v>
      </c>
      <c r="B2709" s="123">
        <v>1289308.0</v>
      </c>
      <c r="C2709" s="687" t="s">
        <v>15354</v>
      </c>
      <c r="D2709" s="125"/>
    </row>
    <row r="2710">
      <c r="A2710" s="122" t="s">
        <v>1065</v>
      </c>
      <c r="B2710" s="123">
        <v>1128353.0</v>
      </c>
      <c r="C2710" s="687" t="s">
        <v>1066</v>
      </c>
      <c r="D2710" s="125"/>
    </row>
    <row r="2711">
      <c r="A2711" s="122" t="s">
        <v>874</v>
      </c>
      <c r="B2711" s="123">
        <v>1346022.0</v>
      </c>
      <c r="C2711" s="687" t="s">
        <v>875</v>
      </c>
      <c r="D2711" s="125"/>
    </row>
    <row r="2712">
      <c r="A2712" s="122" t="s">
        <v>7615</v>
      </c>
      <c r="B2712" s="123">
        <v>1868912.0</v>
      </c>
      <c r="C2712" s="687" t="s">
        <v>7616</v>
      </c>
      <c r="D2712" s="125"/>
    </row>
    <row r="2713">
      <c r="A2713" s="122" t="s">
        <v>11947</v>
      </c>
      <c r="B2713" s="123">
        <v>1863105.0</v>
      </c>
      <c r="C2713" s="687" t="s">
        <v>11948</v>
      </c>
      <c r="D2713" s="125"/>
    </row>
    <row r="2714">
      <c r="A2714" s="122" t="s">
        <v>4283</v>
      </c>
      <c r="B2714" s="123">
        <v>933738.0</v>
      </c>
      <c r="C2714" s="687" t="s">
        <v>4284</v>
      </c>
      <c r="D2714" s="125"/>
    </row>
    <row r="2715">
      <c r="A2715" s="122" t="s">
        <v>8436</v>
      </c>
      <c r="B2715" s="123">
        <v>1803737.0</v>
      </c>
      <c r="C2715" s="687" t="s">
        <v>8437</v>
      </c>
      <c r="D2715" s="125"/>
    </row>
    <row r="2716">
      <c r="A2716" s="122" t="s">
        <v>12936</v>
      </c>
      <c r="B2716" s="123">
        <v>1002242.0</v>
      </c>
      <c r="C2716" s="687" t="s">
        <v>10795</v>
      </c>
      <c r="D2716" s="125"/>
    </row>
    <row r="2717">
      <c r="A2717" s="122" t="s">
        <v>10794</v>
      </c>
      <c r="B2717" s="123">
        <v>1002242.0</v>
      </c>
      <c r="C2717" s="687" t="s">
        <v>10795</v>
      </c>
      <c r="D2717" s="125"/>
    </row>
    <row r="2718">
      <c r="A2718" s="122" t="s">
        <v>9549</v>
      </c>
      <c r="B2718" s="123">
        <v>1592000.0</v>
      </c>
      <c r="C2718" s="687" t="s">
        <v>9550</v>
      </c>
      <c r="D2718" s="125"/>
    </row>
    <row r="2719">
      <c r="A2719" s="122" t="s">
        <v>5340</v>
      </c>
      <c r="B2719" s="123">
        <v>1596812.0</v>
      </c>
      <c r="C2719" s="687" t="s">
        <v>5341</v>
      </c>
      <c r="D2719" s="125"/>
    </row>
    <row r="2720">
      <c r="A2720" s="122" t="s">
        <v>11476</v>
      </c>
      <c r="B2720" s="123">
        <v>33002.0</v>
      </c>
      <c r="C2720" s="687" t="s">
        <v>11477</v>
      </c>
      <c r="D2720" s="125"/>
    </row>
    <row r="2721">
      <c r="A2721" s="122" t="s">
        <v>14228</v>
      </c>
      <c r="B2721" s="123">
        <v>1529864.0</v>
      </c>
      <c r="C2721" s="687" t="s">
        <v>14229</v>
      </c>
      <c r="D2721" s="125"/>
    </row>
    <row r="2722">
      <c r="A2722" s="122" t="s">
        <v>14430</v>
      </c>
      <c r="B2722" s="123">
        <v>1420800.0</v>
      </c>
      <c r="C2722" s="687" t="s">
        <v>14431</v>
      </c>
      <c r="D2722" s="125"/>
    </row>
    <row r="2723">
      <c r="A2723" s="122" t="s">
        <v>8251</v>
      </c>
      <c r="B2723" s="123">
        <v>1828318.0</v>
      </c>
      <c r="C2723" s="687" t="s">
        <v>8252</v>
      </c>
      <c r="D2723" s="125"/>
    </row>
    <row r="2724">
      <c r="A2724" s="122" t="s">
        <v>15409</v>
      </c>
      <c r="B2724" s="123">
        <v>1463101.0</v>
      </c>
      <c r="C2724" s="687" t="s">
        <v>15410</v>
      </c>
      <c r="D2724" s="125"/>
    </row>
    <row r="2725">
      <c r="A2725" s="122" t="s">
        <v>8758</v>
      </c>
      <c r="B2725" s="123">
        <v>1850502.0</v>
      </c>
      <c r="C2725" s="687" t="s">
        <v>8759</v>
      </c>
      <c r="D2725" s="125"/>
    </row>
    <row r="2726">
      <c r="A2726" s="122" t="s">
        <v>15937</v>
      </c>
      <c r="B2726" s="123">
        <v>1164863.0</v>
      </c>
      <c r="C2726" s="687" t="s">
        <v>15938</v>
      </c>
      <c r="D2726" s="125"/>
    </row>
    <row r="2727">
      <c r="A2727" s="122" t="s">
        <v>2343</v>
      </c>
      <c r="B2727" s="123">
        <v>319458.0</v>
      </c>
      <c r="C2727" s="687" t="s">
        <v>2344</v>
      </c>
      <c r="D2727" s="125"/>
    </row>
    <row r="2728">
      <c r="A2728" s="122" t="s">
        <v>15622</v>
      </c>
      <c r="B2728" s="123">
        <v>1125376.0</v>
      </c>
      <c r="C2728" s="687" t="s">
        <v>15623</v>
      </c>
      <c r="D2728" s="125"/>
    </row>
    <row r="2729">
      <c r="A2729" s="122" t="s">
        <v>12294</v>
      </c>
      <c r="B2729" s="123">
        <v>1363829.0</v>
      </c>
      <c r="C2729" s="687" t="s">
        <v>12295</v>
      </c>
      <c r="D2729" s="125"/>
    </row>
    <row r="2730">
      <c r="A2730" s="122" t="s">
        <v>12383</v>
      </c>
      <c r="B2730" s="123">
        <v>1363829.0</v>
      </c>
      <c r="C2730" s="687" t="s">
        <v>12384</v>
      </c>
      <c r="D2730" s="125"/>
    </row>
    <row r="2731">
      <c r="A2731" s="122" t="s">
        <v>16364</v>
      </c>
      <c r="B2731" s="123">
        <v>1363829.0</v>
      </c>
      <c r="C2731" s="687" t="s">
        <v>16365</v>
      </c>
      <c r="D2731" s="125"/>
    </row>
    <row r="2732">
      <c r="A2732" s="122" t="s">
        <v>950</v>
      </c>
      <c r="B2732" s="123">
        <v>1630511.0</v>
      </c>
      <c r="C2732" s="687" t="s">
        <v>951</v>
      </c>
      <c r="D2732" s="125"/>
    </row>
    <row r="2733">
      <c r="A2733" s="122" t="s">
        <v>2486</v>
      </c>
      <c r="B2733" s="123">
        <v>1630511.0</v>
      </c>
      <c r="C2733" s="687" t="s">
        <v>2487</v>
      </c>
      <c r="D2733" s="125"/>
    </row>
    <row r="2734">
      <c r="A2734" s="122" t="s">
        <v>4427</v>
      </c>
      <c r="B2734" s="123">
        <v>1716947.0</v>
      </c>
      <c r="C2734" s="687" t="s">
        <v>4428</v>
      </c>
      <c r="D2734" s="125"/>
    </row>
    <row r="2735">
      <c r="A2735" s="122" t="s">
        <v>904</v>
      </c>
      <c r="B2735" s="123">
        <v>1716947.0</v>
      </c>
      <c r="C2735" s="687" t="s">
        <v>905</v>
      </c>
      <c r="D2735" s="125"/>
    </row>
    <row r="2736">
      <c r="A2736" s="122" t="s">
        <v>15608</v>
      </c>
      <c r="B2736" s="123">
        <v>1101302.0</v>
      </c>
      <c r="C2736" s="687" t="s">
        <v>15609</v>
      </c>
      <c r="D2736" s="125"/>
    </row>
    <row r="2737">
      <c r="A2737" s="122" t="s">
        <v>3532</v>
      </c>
      <c r="B2737" s="123">
        <v>1638097.0</v>
      </c>
      <c r="C2737" s="687" t="s">
        <v>3533</v>
      </c>
      <c r="D2737" s="125"/>
    </row>
    <row r="2738">
      <c r="A2738" s="122" t="s">
        <v>15389</v>
      </c>
      <c r="B2738" s="123">
        <v>65984.0</v>
      </c>
      <c r="C2738" s="687" t="s">
        <v>15390</v>
      </c>
      <c r="D2738" s="125"/>
    </row>
    <row r="2739">
      <c r="A2739" s="122" t="s">
        <v>12626</v>
      </c>
      <c r="B2739" s="123">
        <v>1018399.0</v>
      </c>
      <c r="C2739" s="687" t="s">
        <v>12627</v>
      </c>
      <c r="D2739" s="125"/>
    </row>
    <row r="2740">
      <c r="A2740" s="122" t="s">
        <v>6058</v>
      </c>
      <c r="B2740" s="123">
        <v>1908984.0</v>
      </c>
      <c r="C2740" s="687" t="s">
        <v>6059</v>
      </c>
      <c r="D2740" s="125"/>
    </row>
    <row r="2741">
      <c r="A2741" s="122" t="s">
        <v>13580</v>
      </c>
      <c r="B2741" s="123">
        <v>1025835.0</v>
      </c>
      <c r="C2741" s="687" t="s">
        <v>13581</v>
      </c>
      <c r="D2741" s="125"/>
    </row>
    <row r="2742">
      <c r="A2742" s="122" t="s">
        <v>10974</v>
      </c>
      <c r="B2742" s="123">
        <v>1025835.0</v>
      </c>
      <c r="C2742" s="687" t="s">
        <v>10975</v>
      </c>
      <c r="D2742" s="125"/>
    </row>
    <row r="2743">
      <c r="A2743" s="122" t="s">
        <v>12521</v>
      </c>
      <c r="B2743" s="123">
        <v>1061219.0</v>
      </c>
      <c r="C2743" s="687" t="s">
        <v>12522</v>
      </c>
      <c r="D2743" s="125"/>
    </row>
    <row r="2744">
      <c r="A2744" s="122" t="s">
        <v>33642</v>
      </c>
      <c r="B2744" s="123">
        <v>1083468.0</v>
      </c>
      <c r="C2744" s="687" t="s">
        <v>33643</v>
      </c>
      <c r="D2744" s="125"/>
    </row>
    <row r="2745">
      <c r="A2745" s="122" t="s">
        <v>33644</v>
      </c>
      <c r="B2745" s="123">
        <v>1449447.0</v>
      </c>
      <c r="C2745" s="687" t="s">
        <v>33645</v>
      </c>
      <c r="D2745" s="125"/>
    </row>
    <row r="2746">
      <c r="A2746" s="122" t="s">
        <v>2281</v>
      </c>
      <c r="B2746" s="123">
        <v>1854233.0</v>
      </c>
      <c r="C2746" s="687" t="s">
        <v>2282</v>
      </c>
      <c r="D2746" s="125"/>
    </row>
    <row r="2747">
      <c r="A2747" s="122" t="s">
        <v>10356</v>
      </c>
      <c r="B2747" s="123">
        <v>1689375.0</v>
      </c>
      <c r="C2747" s="687" t="s">
        <v>10357</v>
      </c>
      <c r="D2747" s="125"/>
    </row>
    <row r="2748">
      <c r="A2748" s="122" t="s">
        <v>5998</v>
      </c>
      <c r="B2748" s="123">
        <v>1109116.0</v>
      </c>
      <c r="C2748" s="687" t="s">
        <v>5999</v>
      </c>
      <c r="D2748" s="125"/>
    </row>
    <row r="2749">
      <c r="A2749" s="122" t="s">
        <v>3638</v>
      </c>
      <c r="B2749" s="123">
        <v>1271554.0</v>
      </c>
      <c r="C2749" s="687" t="s">
        <v>3639</v>
      </c>
      <c r="D2749" s="125"/>
    </row>
    <row r="2750">
      <c r="A2750" s="122" t="s">
        <v>2767</v>
      </c>
      <c r="B2750" s="123">
        <v>1171326.0</v>
      </c>
      <c r="C2750" s="687" t="s">
        <v>2768</v>
      </c>
      <c r="D2750" s="125"/>
    </row>
    <row r="2751">
      <c r="A2751" s="122" t="s">
        <v>6325</v>
      </c>
      <c r="B2751" s="123">
        <v>701719.0</v>
      </c>
      <c r="C2751" s="687" t="s">
        <v>6326</v>
      </c>
      <c r="D2751" s="125"/>
    </row>
    <row r="2752">
      <c r="A2752" s="122" t="s">
        <v>3584</v>
      </c>
      <c r="B2752" s="123">
        <v>890821.0</v>
      </c>
      <c r="C2752" s="687" t="s">
        <v>3585</v>
      </c>
      <c r="D2752" s="125"/>
    </row>
    <row r="2753">
      <c r="A2753" s="122" t="s">
        <v>14180</v>
      </c>
      <c r="B2753" s="123">
        <v>1337619.0</v>
      </c>
      <c r="C2753" s="687" t="s">
        <v>14181</v>
      </c>
      <c r="D2753" s="125"/>
    </row>
    <row r="2754">
      <c r="A2754" s="122" t="s">
        <v>4862</v>
      </c>
      <c r="B2754" s="123">
        <v>1563568.0</v>
      </c>
      <c r="C2754" s="687" t="s">
        <v>4863</v>
      </c>
      <c r="D2754" s="125"/>
    </row>
    <row r="2755">
      <c r="A2755" s="122" t="s">
        <v>12041</v>
      </c>
      <c r="B2755" s="123">
        <v>1757073.0</v>
      </c>
      <c r="C2755" s="687" t="s">
        <v>12042</v>
      </c>
      <c r="D2755" s="125"/>
    </row>
    <row r="2756">
      <c r="A2756" s="122" t="s">
        <v>2854</v>
      </c>
      <c r="B2756" s="123">
        <v>1592057.0</v>
      </c>
      <c r="C2756" s="687" t="s">
        <v>2855</v>
      </c>
      <c r="D2756" s="125"/>
    </row>
    <row r="2757">
      <c r="A2757" s="122" t="s">
        <v>6230</v>
      </c>
      <c r="B2757" s="123">
        <v>1661053.0</v>
      </c>
      <c r="C2757" s="687" t="s">
        <v>6231</v>
      </c>
      <c r="D2757" s="125"/>
    </row>
    <row r="2758">
      <c r="A2758" s="122" t="s">
        <v>4128</v>
      </c>
      <c r="B2758" s="123">
        <v>316253.0</v>
      </c>
      <c r="C2758" s="687" t="s">
        <v>4129</v>
      </c>
      <c r="D2758" s="125"/>
    </row>
    <row r="2759">
      <c r="A2759" s="122" t="s">
        <v>1878</v>
      </c>
      <c r="B2759" s="123">
        <v>727510.0</v>
      </c>
      <c r="C2759" s="687" t="s">
        <v>1879</v>
      </c>
      <c r="D2759" s="125"/>
    </row>
    <row r="2760">
      <c r="A2760" s="122" t="s">
        <v>15521</v>
      </c>
      <c r="B2760" s="123">
        <v>821189.0</v>
      </c>
      <c r="C2760" s="687" t="s">
        <v>15522</v>
      </c>
      <c r="D2760" s="125"/>
    </row>
    <row r="2761">
      <c r="A2761" s="122" t="s">
        <v>2789</v>
      </c>
      <c r="B2761" s="123">
        <v>822411.0</v>
      </c>
      <c r="C2761" s="687" t="s">
        <v>2790</v>
      </c>
      <c r="D2761" s="125"/>
    </row>
    <row r="2762">
      <c r="A2762" s="122" t="s">
        <v>2443</v>
      </c>
      <c r="B2762" s="123">
        <v>1805077.0</v>
      </c>
      <c r="C2762" s="687" t="s">
        <v>2444</v>
      </c>
      <c r="D2762" s="125"/>
    </row>
    <row r="2763">
      <c r="A2763" s="122" t="s">
        <v>4086</v>
      </c>
      <c r="B2763" s="123">
        <v>1805077.0</v>
      </c>
      <c r="C2763" s="687" t="s">
        <v>4087</v>
      </c>
      <c r="D2763" s="125"/>
    </row>
    <row r="2764">
      <c r="A2764" s="122" t="s">
        <v>3003</v>
      </c>
      <c r="B2764" s="123">
        <v>1651958.0</v>
      </c>
      <c r="C2764" s="687" t="s">
        <v>3004</v>
      </c>
      <c r="D2764" s="125"/>
    </row>
    <row r="2765">
      <c r="A2765" s="122" t="s">
        <v>16400</v>
      </c>
      <c r="B2765" s="123">
        <v>1352010.0</v>
      </c>
      <c r="C2765" s="687" t="s">
        <v>16401</v>
      </c>
      <c r="D2765" s="125"/>
    </row>
    <row r="2766">
      <c r="A2766" s="122" t="s">
        <v>4731</v>
      </c>
      <c r="B2766" s="123">
        <v>1781397.0</v>
      </c>
      <c r="C2766" s="687" t="s">
        <v>4732</v>
      </c>
      <c r="D2766" s="125"/>
    </row>
    <row r="2767">
      <c r="A2767" s="122" t="s">
        <v>14945</v>
      </c>
      <c r="B2767" s="123">
        <v>1022408.0</v>
      </c>
      <c r="C2767" s="687" t="s">
        <v>14946</v>
      </c>
      <c r="D2767" s="125"/>
    </row>
    <row r="2768">
      <c r="A2768" s="122" t="s">
        <v>13739</v>
      </c>
      <c r="B2768" s="123">
        <v>1045450.0</v>
      </c>
      <c r="C2768" s="687" t="s">
        <v>13740</v>
      </c>
      <c r="D2768" s="125"/>
    </row>
    <row r="2769">
      <c r="A2769" s="122" t="s">
        <v>6479</v>
      </c>
      <c r="B2769" s="123">
        <v>1726126.0</v>
      </c>
      <c r="C2769" s="687" t="s">
        <v>6480</v>
      </c>
      <c r="D2769" s="125"/>
    </row>
    <row r="2770">
      <c r="A2770" s="122" t="s">
        <v>13244</v>
      </c>
      <c r="B2770" s="123">
        <v>33213.0</v>
      </c>
      <c r="C2770" s="687" t="s">
        <v>13245</v>
      </c>
      <c r="D2770" s="125"/>
    </row>
    <row r="2771">
      <c r="A2771" s="122" t="s">
        <v>3291</v>
      </c>
      <c r="B2771" s="123">
        <v>1414953.0</v>
      </c>
      <c r="C2771" s="687" t="s">
        <v>3292</v>
      </c>
      <c r="D2771" s="125"/>
    </row>
    <row r="2772">
      <c r="A2772" s="122" t="s">
        <v>16329</v>
      </c>
      <c r="B2772" s="123">
        <v>33185.0</v>
      </c>
      <c r="C2772" s="687" t="s">
        <v>16330</v>
      </c>
      <c r="D2772" s="125"/>
    </row>
    <row r="2773">
      <c r="A2773" s="122" t="s">
        <v>3542</v>
      </c>
      <c r="B2773" s="123">
        <v>1746466.0</v>
      </c>
      <c r="C2773" s="687" t="s">
        <v>3543</v>
      </c>
      <c r="D2773" s="125"/>
    </row>
    <row r="2774">
      <c r="A2774" s="122" t="s">
        <v>16669</v>
      </c>
      <c r="B2774" s="123">
        <v>1101239.0</v>
      </c>
      <c r="C2774" s="687" t="s">
        <v>16670</v>
      </c>
      <c r="D2774" s="125"/>
    </row>
    <row r="2775">
      <c r="A2775" s="122" t="s">
        <v>12674</v>
      </c>
      <c r="B2775" s="123">
        <v>1140625.0</v>
      </c>
      <c r="C2775" s="687" t="s">
        <v>12675</v>
      </c>
      <c r="D2775" s="125"/>
    </row>
    <row r="2776">
      <c r="A2776" s="122" t="s">
        <v>12750</v>
      </c>
      <c r="B2776" s="123">
        <v>1140625.0</v>
      </c>
      <c r="C2776" s="687" t="s">
        <v>12675</v>
      </c>
      <c r="D2776" s="125"/>
    </row>
    <row r="2777">
      <c r="A2777" s="122" t="s">
        <v>6311</v>
      </c>
      <c r="B2777" s="123">
        <v>1756607.0</v>
      </c>
      <c r="C2777" s="687" t="s">
        <v>6312</v>
      </c>
      <c r="D2777" s="125"/>
    </row>
    <row r="2778">
      <c r="A2778" s="122" t="s">
        <v>13057</v>
      </c>
      <c r="B2778" s="123">
        <v>1333986.0</v>
      </c>
      <c r="C2778" s="687" t="s">
        <v>13058</v>
      </c>
      <c r="D2778" s="125"/>
    </row>
    <row r="2779">
      <c r="A2779" s="122" t="s">
        <v>8514</v>
      </c>
      <c r="B2779" s="123">
        <v>1747009.0</v>
      </c>
      <c r="C2779" s="687" t="s">
        <v>8515</v>
      </c>
      <c r="D2779" s="125"/>
    </row>
    <row r="2780">
      <c r="A2780" s="122" t="s">
        <v>12997</v>
      </c>
      <c r="B2780" s="123">
        <v>1227500.0</v>
      </c>
      <c r="C2780" s="687" t="s">
        <v>12998</v>
      </c>
      <c r="D2780" s="125"/>
    </row>
    <row r="2781">
      <c r="A2781" s="122" t="s">
        <v>11193</v>
      </c>
      <c r="B2781" s="123">
        <v>803649.0</v>
      </c>
      <c r="C2781" s="687" t="s">
        <v>11194</v>
      </c>
      <c r="D2781" s="125"/>
    </row>
    <row r="2782">
      <c r="A2782" s="122" t="s">
        <v>14735</v>
      </c>
      <c r="B2782" s="123">
        <v>895417.0</v>
      </c>
      <c r="C2782" s="687" t="s">
        <v>14736</v>
      </c>
      <c r="D2782" s="125"/>
    </row>
    <row r="2783">
      <c r="A2783" s="122" t="s">
        <v>14445</v>
      </c>
      <c r="B2783" s="123">
        <v>906107.0</v>
      </c>
      <c r="C2783" s="687" t="s">
        <v>14446</v>
      </c>
      <c r="D2783" s="125"/>
    </row>
    <row r="2784">
      <c r="A2784" s="122" t="s">
        <v>4369</v>
      </c>
      <c r="B2784" s="123">
        <v>878932.0</v>
      </c>
      <c r="C2784" s="687" t="s">
        <v>4370</v>
      </c>
      <c r="D2784" s="125"/>
    </row>
    <row r="2785">
      <c r="A2785" s="122" t="s">
        <v>4563</v>
      </c>
      <c r="B2785" s="123">
        <v>1761918.0</v>
      </c>
      <c r="C2785" s="687" t="s">
        <v>4564</v>
      </c>
      <c r="D2785" s="125"/>
    </row>
    <row r="2786">
      <c r="A2786" s="122" t="s">
        <v>3490</v>
      </c>
      <c r="B2786" s="123">
        <v>1825875.0</v>
      </c>
      <c r="C2786" s="687" t="s">
        <v>3491</v>
      </c>
      <c r="D2786" s="125"/>
    </row>
    <row r="2787">
      <c r="A2787" s="122" t="s">
        <v>2437</v>
      </c>
      <c r="B2787" s="123">
        <v>1398972.0</v>
      </c>
      <c r="C2787" s="687" t="s">
        <v>2438</v>
      </c>
      <c r="D2787" s="125"/>
    </row>
    <row r="2788">
      <c r="A2788" s="122" t="s">
        <v>16467</v>
      </c>
      <c r="B2788" s="123">
        <v>922621.0</v>
      </c>
      <c r="C2788" s="687" t="s">
        <v>16468</v>
      </c>
      <c r="D2788" s="125"/>
    </row>
    <row r="2789">
      <c r="A2789" s="122" t="s">
        <v>9919</v>
      </c>
      <c r="B2789" s="123">
        <v>1877787.0</v>
      </c>
      <c r="C2789" s="687" t="s">
        <v>9920</v>
      </c>
      <c r="D2789" s="125"/>
    </row>
    <row r="2790">
      <c r="A2790" s="122" t="s">
        <v>10590</v>
      </c>
      <c r="B2790" s="123">
        <v>1853860.0</v>
      </c>
      <c r="C2790" s="687" t="s">
        <v>10591</v>
      </c>
      <c r="D2790" s="125"/>
    </row>
    <row r="2791">
      <c r="A2791" s="122" t="s">
        <v>6708</v>
      </c>
      <c r="B2791" s="123">
        <v>1358254.0</v>
      </c>
      <c r="C2791" s="687" t="s">
        <v>6709</v>
      </c>
      <c r="D2791" s="125"/>
    </row>
    <row r="2792">
      <c r="A2792" s="122" t="s">
        <v>15191</v>
      </c>
      <c r="B2792" s="123">
        <v>1877322.0</v>
      </c>
      <c r="C2792" s="687" t="s">
        <v>15192</v>
      </c>
      <c r="D2792" s="125"/>
    </row>
    <row r="2793">
      <c r="A2793" s="122" t="s">
        <v>10806</v>
      </c>
      <c r="B2793" s="123">
        <v>33488.0</v>
      </c>
      <c r="C2793" s="687" t="s">
        <v>10807</v>
      </c>
      <c r="D2793" s="125"/>
    </row>
    <row r="2794">
      <c r="A2794" s="122" t="s">
        <v>2333</v>
      </c>
      <c r="B2794" s="123">
        <v>862668.0</v>
      </c>
      <c r="C2794" s="687" t="s">
        <v>2334</v>
      </c>
      <c r="D2794" s="125"/>
    </row>
    <row r="2795">
      <c r="A2795" s="122" t="s">
        <v>15461</v>
      </c>
      <c r="B2795" s="123">
        <v>866706.0</v>
      </c>
      <c r="C2795" s="687" t="s">
        <v>15462</v>
      </c>
      <c r="D2795" s="125"/>
    </row>
    <row r="2796">
      <c r="A2796" s="122" t="s">
        <v>9353</v>
      </c>
      <c r="B2796" s="123">
        <v>1865506.0</v>
      </c>
      <c r="C2796" s="687" t="s">
        <v>1846</v>
      </c>
      <c r="D2796" s="125"/>
    </row>
    <row r="2797">
      <c r="A2797" s="122" t="s">
        <v>1845</v>
      </c>
      <c r="B2797" s="123">
        <v>1865506.0</v>
      </c>
      <c r="C2797" s="687" t="s">
        <v>1846</v>
      </c>
      <c r="D2797" s="125"/>
    </row>
    <row r="2798">
      <c r="A2798" s="122" t="s">
        <v>9070</v>
      </c>
      <c r="B2798" s="123">
        <v>1865506.0</v>
      </c>
      <c r="C2798" s="687" t="s">
        <v>9071</v>
      </c>
      <c r="D2798" s="125"/>
    </row>
    <row r="2799">
      <c r="A2799" s="122" t="s">
        <v>4981</v>
      </c>
      <c r="B2799" s="123">
        <v>1434868.0</v>
      </c>
      <c r="C2799" s="687" t="s">
        <v>4982</v>
      </c>
      <c r="D2799" s="125"/>
    </row>
    <row r="2800">
      <c r="A2800" s="122" t="s">
        <v>11859</v>
      </c>
      <c r="B2800" s="123">
        <v>33533.0</v>
      </c>
      <c r="C2800" s="687" t="s">
        <v>11860</v>
      </c>
      <c r="D2800" s="125"/>
    </row>
    <row r="2801">
      <c r="A2801" s="122" t="s">
        <v>5676</v>
      </c>
      <c r="B2801" s="123">
        <v>1451448.0</v>
      </c>
      <c r="C2801" s="687" t="s">
        <v>612</v>
      </c>
      <c r="D2801" s="125"/>
    </row>
    <row r="2802">
      <c r="A2802" s="122" t="s">
        <v>1097</v>
      </c>
      <c r="B2802" s="123">
        <v>1451448.0</v>
      </c>
      <c r="C2802" s="687" t="s">
        <v>612</v>
      </c>
      <c r="D2802" s="125"/>
    </row>
    <row r="2803">
      <c r="A2803" s="122" t="s">
        <v>611</v>
      </c>
      <c r="B2803" s="123">
        <v>1451448.0</v>
      </c>
      <c r="C2803" s="687" t="s">
        <v>612</v>
      </c>
      <c r="D2803" s="125"/>
    </row>
    <row r="2804">
      <c r="A2804" s="122" t="s">
        <v>4509</v>
      </c>
      <c r="B2804" s="123">
        <v>1451448.0</v>
      </c>
      <c r="C2804" s="687" t="s">
        <v>4510</v>
      </c>
      <c r="D2804" s="125"/>
    </row>
    <row r="2805">
      <c r="A2805" s="122" t="s">
        <v>33646</v>
      </c>
      <c r="B2805" s="123">
        <v>1918661.0</v>
      </c>
      <c r="C2805" s="687" t="s">
        <v>33647</v>
      </c>
      <c r="D2805" s="125"/>
    </row>
    <row r="2806">
      <c r="A2806" s="122" t="s">
        <v>14090</v>
      </c>
      <c r="B2806" s="123">
        <v>1531031.0</v>
      </c>
      <c r="C2806" s="687" t="s">
        <v>14091</v>
      </c>
      <c r="D2806" s="125"/>
    </row>
    <row r="2807">
      <c r="A2807" s="122" t="s">
        <v>3634</v>
      </c>
      <c r="B2807" s="123">
        <v>1819438.0</v>
      </c>
      <c r="C2807" s="687" t="s">
        <v>3635</v>
      </c>
      <c r="D2807" s="125"/>
    </row>
    <row r="2808">
      <c r="A2808" s="122" t="s">
        <v>11159</v>
      </c>
      <c r="B2808" s="123">
        <v>1382230.0</v>
      </c>
      <c r="C2808" s="687" t="s">
        <v>11160</v>
      </c>
      <c r="D2808" s="125"/>
    </row>
    <row r="2809">
      <c r="A2809" s="122" t="s">
        <v>8242</v>
      </c>
      <c r="B2809" s="123">
        <v>1633932.0</v>
      </c>
      <c r="C2809" s="687" t="s">
        <v>8243</v>
      </c>
      <c r="D2809" s="125"/>
    </row>
    <row r="2810">
      <c r="A2810" s="122" t="s">
        <v>14252</v>
      </c>
      <c r="B2810" s="123">
        <v>1448893.0</v>
      </c>
      <c r="C2810" s="687" t="s">
        <v>14253</v>
      </c>
      <c r="D2810" s="125"/>
    </row>
    <row r="2811">
      <c r="A2811" s="122" t="s">
        <v>12240</v>
      </c>
      <c r="B2811" s="123">
        <v>1728951.0</v>
      </c>
      <c r="C2811" s="687" t="s">
        <v>12241</v>
      </c>
      <c r="D2811" s="125"/>
    </row>
    <row r="2812">
      <c r="A2812" s="122" t="s">
        <v>13330</v>
      </c>
      <c r="B2812" s="123">
        <v>78128.0</v>
      </c>
      <c r="C2812" s="687" t="s">
        <v>13331</v>
      </c>
      <c r="D2812" s="125"/>
    </row>
    <row r="2813">
      <c r="A2813" s="122" t="s">
        <v>16280</v>
      </c>
      <c r="B2813" s="123">
        <v>920522.0</v>
      </c>
      <c r="C2813" s="687" t="s">
        <v>16281</v>
      </c>
      <c r="D2813" s="125"/>
    </row>
    <row r="2814">
      <c r="A2814" s="122" t="s">
        <v>13455</v>
      </c>
      <c r="B2814" s="123">
        <v>1688757.0</v>
      </c>
      <c r="C2814" s="687" t="s">
        <v>13456</v>
      </c>
      <c r="D2814" s="125"/>
    </row>
    <row r="2815">
      <c r="A2815" s="122" t="s">
        <v>15760</v>
      </c>
      <c r="B2815" s="123">
        <v>1001250.0</v>
      </c>
      <c r="C2815" s="687" t="s">
        <v>15761</v>
      </c>
      <c r="D2815" s="125"/>
    </row>
    <row r="2816">
      <c r="A2816" s="122" t="s">
        <v>12787</v>
      </c>
      <c r="B2816" s="123">
        <v>896156.0</v>
      </c>
      <c r="C2816" s="687" t="s">
        <v>12788</v>
      </c>
      <c r="D2816" s="125"/>
    </row>
    <row r="2817">
      <c r="A2817" s="122" t="s">
        <v>33648</v>
      </c>
      <c r="B2817" s="123">
        <v>792935.0</v>
      </c>
      <c r="C2817" s="687" t="s">
        <v>33649</v>
      </c>
      <c r="D2817" s="125"/>
    </row>
    <row r="2818">
      <c r="A2818" s="122" t="s">
        <v>6305</v>
      </c>
      <c r="B2818" s="123">
        <v>1710340.0</v>
      </c>
      <c r="C2818" s="687" t="s">
        <v>6306</v>
      </c>
      <c r="D2818" s="125"/>
    </row>
    <row r="2819">
      <c r="A2819" s="122" t="s">
        <v>16617</v>
      </c>
      <c r="B2819" s="123">
        <v>1114446.0</v>
      </c>
      <c r="C2819" s="687" t="s">
        <v>16618</v>
      </c>
      <c r="D2819" s="125"/>
    </row>
    <row r="2820">
      <c r="A2820" s="122" t="s">
        <v>14898</v>
      </c>
      <c r="B2820" s="123">
        <v>1370637.0</v>
      </c>
      <c r="C2820" s="687" t="s">
        <v>14899</v>
      </c>
      <c r="D2820" s="125"/>
    </row>
    <row r="2821">
      <c r="A2821" s="122" t="s">
        <v>11059</v>
      </c>
      <c r="B2821" s="123">
        <v>1769725.0</v>
      </c>
      <c r="C2821" s="687" t="s">
        <v>11060</v>
      </c>
      <c r="D2821" s="125"/>
    </row>
    <row r="2822">
      <c r="A2822" s="122" t="s">
        <v>1118</v>
      </c>
      <c r="B2822" s="123">
        <v>1841420.0</v>
      </c>
      <c r="C2822" s="687" t="s">
        <v>1119</v>
      </c>
      <c r="D2822" s="125"/>
    </row>
    <row r="2823">
      <c r="A2823" s="122" t="s">
        <v>4313</v>
      </c>
      <c r="B2823" s="123">
        <v>1026662.0</v>
      </c>
      <c r="C2823" s="687" t="s">
        <v>4314</v>
      </c>
      <c r="D2823" s="125"/>
    </row>
    <row r="2824">
      <c r="A2824" s="122" t="s">
        <v>4603</v>
      </c>
      <c r="B2824" s="123">
        <v>1437178.0</v>
      </c>
      <c r="C2824" s="687" t="s">
        <v>4604</v>
      </c>
      <c r="D2824" s="125"/>
    </row>
    <row r="2825">
      <c r="A2825" s="122" t="s">
        <v>3704</v>
      </c>
      <c r="B2825" s="123">
        <v>1437178.0</v>
      </c>
      <c r="C2825" s="687" t="s">
        <v>3705</v>
      </c>
      <c r="D2825" s="125"/>
    </row>
    <row r="2826">
      <c r="A2826" s="122" t="s">
        <v>11515</v>
      </c>
      <c r="B2826" s="123">
        <v>1731388.0</v>
      </c>
      <c r="C2826" s="687" t="s">
        <v>11516</v>
      </c>
      <c r="D2826" s="125"/>
    </row>
    <row r="2827">
      <c r="A2827" s="122" t="s">
        <v>10984</v>
      </c>
      <c r="B2827" s="123">
        <v>1604481.0</v>
      </c>
      <c r="C2827" s="687" t="s">
        <v>10985</v>
      </c>
      <c r="D2827" s="125"/>
    </row>
    <row r="2828">
      <c r="A2828" s="122" t="s">
        <v>15433</v>
      </c>
      <c r="B2828" s="123">
        <v>1029199.0</v>
      </c>
      <c r="C2828" s="687" t="s">
        <v>15434</v>
      </c>
      <c r="D2828" s="125"/>
    </row>
    <row r="2829">
      <c r="A2829" s="122" t="s">
        <v>7813</v>
      </c>
      <c r="B2829" s="123">
        <v>791718.0</v>
      </c>
      <c r="C2829" s="687" t="s">
        <v>7814</v>
      </c>
      <c r="D2829" s="125"/>
    </row>
    <row r="2830">
      <c r="A2830" s="122" t="s">
        <v>10465</v>
      </c>
      <c r="B2830" s="123">
        <v>1856236.0</v>
      </c>
      <c r="C2830" s="687" t="s">
        <v>10466</v>
      </c>
      <c r="D2830" s="125"/>
    </row>
    <row r="2831">
      <c r="A2831" s="122" t="s">
        <v>13511</v>
      </c>
      <c r="B2831" s="123">
        <v>1341170.0</v>
      </c>
      <c r="C2831" s="687" t="s">
        <v>13512</v>
      </c>
      <c r="D2831" s="125"/>
    </row>
    <row r="2832">
      <c r="A2832" s="122" t="s">
        <v>12771</v>
      </c>
      <c r="B2832" s="123">
        <v>842518.0</v>
      </c>
      <c r="C2832" s="687" t="s">
        <v>12772</v>
      </c>
      <c r="D2832" s="125"/>
    </row>
    <row r="2833">
      <c r="A2833" s="122" t="s">
        <v>6256</v>
      </c>
      <c r="B2833" s="123">
        <v>1828253.0</v>
      </c>
      <c r="C2833" s="687" t="s">
        <v>6257</v>
      </c>
      <c r="D2833" s="125"/>
    </row>
    <row r="2834">
      <c r="A2834" s="122" t="s">
        <v>7111</v>
      </c>
      <c r="B2834" s="123">
        <v>1823652.0</v>
      </c>
      <c r="C2834" s="687" t="s">
        <v>7112</v>
      </c>
      <c r="D2834" s="125"/>
    </row>
    <row r="2835">
      <c r="A2835" s="122" t="s">
        <v>8948</v>
      </c>
      <c r="B2835" s="123">
        <v>1861121.0</v>
      </c>
      <c r="C2835" s="687" t="s">
        <v>8949</v>
      </c>
      <c r="D2835" s="125"/>
    </row>
    <row r="2836">
      <c r="A2836" s="122" t="s">
        <v>1217</v>
      </c>
      <c r="B2836" s="123">
        <v>1694665.0</v>
      </c>
      <c r="C2836" s="687" t="s">
        <v>1218</v>
      </c>
      <c r="D2836" s="125"/>
    </row>
    <row r="2837">
      <c r="A2837" s="122" t="s">
        <v>7876</v>
      </c>
      <c r="B2837" s="123">
        <v>1475115.0</v>
      </c>
      <c r="C2837" s="687" t="s">
        <v>7877</v>
      </c>
      <c r="D2837" s="125"/>
    </row>
    <row r="2838">
      <c r="A2838" s="122" t="s">
        <v>33650</v>
      </c>
      <c r="B2838" s="123">
        <v>1411165.0</v>
      </c>
      <c r="C2838" s="687" t="s">
        <v>33651</v>
      </c>
      <c r="D2838" s="125"/>
    </row>
    <row r="2839">
      <c r="A2839" s="122" t="s">
        <v>12045</v>
      </c>
      <c r="B2839" s="123">
        <v>1437352.0</v>
      </c>
      <c r="C2839" s="687" t="s">
        <v>12046</v>
      </c>
      <c r="D2839" s="125"/>
    </row>
    <row r="2840">
      <c r="A2840" s="122" t="s">
        <v>8331</v>
      </c>
      <c r="B2840" s="123">
        <v>1853145.0</v>
      </c>
      <c r="C2840" s="687" t="s">
        <v>8332</v>
      </c>
      <c r="D2840" s="125"/>
    </row>
    <row r="2841">
      <c r="A2841" s="122" t="s">
        <v>16045</v>
      </c>
      <c r="B2841" s="123">
        <v>1360901.0</v>
      </c>
      <c r="C2841" s="687" t="s">
        <v>16046</v>
      </c>
      <c r="D2841" s="125"/>
    </row>
    <row r="2842">
      <c r="A2842" s="122" t="s">
        <v>9018</v>
      </c>
      <c r="B2842" s="123">
        <v>1863719.0</v>
      </c>
      <c r="C2842" s="687" t="s">
        <v>9019</v>
      </c>
      <c r="D2842" s="125"/>
    </row>
    <row r="2843">
      <c r="A2843" s="122" t="s">
        <v>9307</v>
      </c>
      <c r="B2843" s="123">
        <v>1900402.0</v>
      </c>
      <c r="C2843" s="687" t="s">
        <v>9308</v>
      </c>
      <c r="D2843" s="125"/>
    </row>
    <row r="2844">
      <c r="A2844" s="122" t="s">
        <v>9238</v>
      </c>
      <c r="B2844" s="123">
        <v>1900402.0</v>
      </c>
      <c r="C2844" s="687" t="s">
        <v>9239</v>
      </c>
      <c r="D2844" s="125"/>
    </row>
    <row r="2845">
      <c r="A2845" s="122" t="s">
        <v>14114</v>
      </c>
      <c r="B2845" s="123">
        <v>1711269.0</v>
      </c>
      <c r="C2845" s="687" t="s">
        <v>14115</v>
      </c>
      <c r="D2845" s="125"/>
    </row>
    <row r="2846">
      <c r="A2846" s="122" t="s">
        <v>8530</v>
      </c>
      <c r="B2846" s="123">
        <v>1318568.0</v>
      </c>
      <c r="C2846" s="687" t="s">
        <v>8531</v>
      </c>
      <c r="D2846" s="125"/>
    </row>
    <row r="2847">
      <c r="A2847" s="122" t="s">
        <v>10063</v>
      </c>
      <c r="B2847" s="123">
        <v>1640428.0</v>
      </c>
      <c r="C2847" s="687" t="s">
        <v>10064</v>
      </c>
      <c r="D2847" s="125"/>
    </row>
    <row r="2848">
      <c r="A2848" s="122" t="s">
        <v>14269</v>
      </c>
      <c r="B2848" s="123">
        <v>72741.0</v>
      </c>
      <c r="C2848" s="687" t="s">
        <v>14270</v>
      </c>
      <c r="D2848" s="125"/>
    </row>
    <row r="2849">
      <c r="A2849" s="122" t="s">
        <v>7870</v>
      </c>
      <c r="B2849" s="123">
        <v>1438423.0</v>
      </c>
      <c r="C2849" s="687" t="s">
        <v>7871</v>
      </c>
      <c r="D2849" s="125"/>
    </row>
    <row r="2850">
      <c r="A2850" s="122" t="s">
        <v>13621</v>
      </c>
      <c r="B2850" s="123">
        <v>1559865.0</v>
      </c>
      <c r="C2850" s="687" t="s">
        <v>13622</v>
      </c>
      <c r="D2850" s="125"/>
    </row>
    <row r="2851">
      <c r="A2851" s="122" t="s">
        <v>1075</v>
      </c>
      <c r="B2851" s="123">
        <v>1177167.0</v>
      </c>
      <c r="C2851" s="687" t="s">
        <v>1076</v>
      </c>
      <c r="D2851" s="125"/>
    </row>
    <row r="2852">
      <c r="A2852" s="122" t="s">
        <v>14683</v>
      </c>
      <c r="B2852" s="123">
        <v>1046995.0</v>
      </c>
      <c r="C2852" s="687" t="s">
        <v>14684</v>
      </c>
      <c r="D2852" s="125"/>
    </row>
    <row r="2853">
      <c r="A2853" s="122" t="s">
        <v>2261</v>
      </c>
      <c r="B2853" s="123">
        <v>1821159.0</v>
      </c>
      <c r="C2853" s="687" t="s">
        <v>2262</v>
      </c>
      <c r="D2853" s="125"/>
    </row>
    <row r="2854">
      <c r="A2854" s="122" t="s">
        <v>4927</v>
      </c>
      <c r="B2854" s="123">
        <v>1821159.0</v>
      </c>
      <c r="C2854" s="687" t="s">
        <v>4928</v>
      </c>
      <c r="D2854" s="125"/>
    </row>
    <row r="2855">
      <c r="A2855" s="122" t="s">
        <v>11923</v>
      </c>
      <c r="B2855" s="123">
        <v>65312.0</v>
      </c>
      <c r="C2855" s="687" t="s">
        <v>11924</v>
      </c>
      <c r="D2855" s="125"/>
    </row>
    <row r="2856">
      <c r="A2856" s="122" t="s">
        <v>33652</v>
      </c>
      <c r="B2856" s="123">
        <v>1759424.0</v>
      </c>
      <c r="C2856" s="687" t="s">
        <v>33653</v>
      </c>
      <c r="D2856" s="125"/>
    </row>
    <row r="2857">
      <c r="A2857" s="122" t="s">
        <v>33654</v>
      </c>
      <c r="B2857" s="123">
        <v>715788.0</v>
      </c>
      <c r="C2857" s="687" t="s">
        <v>33655</v>
      </c>
      <c r="D2857" s="125"/>
    </row>
    <row r="2858">
      <c r="A2858" s="122" t="s">
        <v>33656</v>
      </c>
      <c r="B2858" s="123">
        <v>1691077.0</v>
      </c>
      <c r="C2858" s="687" t="s">
        <v>33657</v>
      </c>
      <c r="D2858" s="125"/>
    </row>
    <row r="2859">
      <c r="A2859" s="122" t="s">
        <v>33658</v>
      </c>
      <c r="B2859" s="123">
        <v>728447.0</v>
      </c>
      <c r="C2859" s="687" t="s">
        <v>33659</v>
      </c>
      <c r="D2859" s="125"/>
    </row>
    <row r="2860">
      <c r="A2860" s="122" t="s">
        <v>1047</v>
      </c>
      <c r="B2860" s="123">
        <v>1618835.0</v>
      </c>
      <c r="C2860" s="687" t="s">
        <v>1048</v>
      </c>
      <c r="D2860" s="125"/>
    </row>
    <row r="2861">
      <c r="A2861" s="122" t="s">
        <v>3447</v>
      </c>
      <c r="B2861" s="123">
        <v>1574565.0</v>
      </c>
      <c r="C2861" s="687" t="s">
        <v>3448</v>
      </c>
      <c r="D2861" s="125"/>
    </row>
    <row r="2862">
      <c r="A2862" s="122" t="s">
        <v>3349</v>
      </c>
      <c r="B2862" s="123">
        <v>1403708.0</v>
      </c>
      <c r="C2862" s="687" t="s">
        <v>3350</v>
      </c>
      <c r="D2862" s="125"/>
    </row>
    <row r="2863">
      <c r="A2863" s="122" t="s">
        <v>10029</v>
      </c>
      <c r="B2863" s="123">
        <v>1570562.0</v>
      </c>
      <c r="C2863" s="687" t="s">
        <v>10030</v>
      </c>
      <c r="D2863" s="125"/>
    </row>
    <row r="2864">
      <c r="A2864" s="122" t="s">
        <v>6706</v>
      </c>
      <c r="B2864" s="123">
        <v>1006655.0</v>
      </c>
      <c r="C2864" s="687" t="s">
        <v>6707</v>
      </c>
      <c r="D2864" s="125"/>
    </row>
    <row r="2865">
      <c r="A2865" s="122" t="s">
        <v>2893</v>
      </c>
      <c r="B2865" s="123">
        <v>884363.0</v>
      </c>
      <c r="C2865" s="687" t="s">
        <v>2894</v>
      </c>
      <c r="D2865" s="125"/>
    </row>
    <row r="2866">
      <c r="A2866" s="122" t="s">
        <v>6287</v>
      </c>
      <c r="B2866" s="123">
        <v>1805385.0</v>
      </c>
      <c r="C2866" s="687" t="s">
        <v>6288</v>
      </c>
      <c r="D2866" s="125"/>
    </row>
    <row r="2867">
      <c r="A2867" s="122" t="s">
        <v>3139</v>
      </c>
      <c r="B2867" s="123">
        <v>1805385.0</v>
      </c>
      <c r="C2867" s="687" t="s">
        <v>3140</v>
      </c>
      <c r="D2867" s="125"/>
    </row>
    <row r="2868">
      <c r="A2868" s="122" t="s">
        <v>4247</v>
      </c>
      <c r="B2868" s="123">
        <v>1362705.0</v>
      </c>
      <c r="C2868" s="687" t="s">
        <v>4248</v>
      </c>
      <c r="D2868" s="125"/>
    </row>
    <row r="2869">
      <c r="A2869" s="122" t="s">
        <v>2137</v>
      </c>
      <c r="B2869" s="123">
        <v>1617765.0</v>
      </c>
      <c r="C2869" s="687" t="s">
        <v>2138</v>
      </c>
      <c r="D2869" s="125"/>
    </row>
    <row r="2870">
      <c r="A2870" s="122" t="s">
        <v>10897</v>
      </c>
      <c r="B2870" s="123">
        <v>943184.0</v>
      </c>
      <c r="C2870" s="687" t="s">
        <v>10898</v>
      </c>
      <c r="D2870" s="125"/>
    </row>
    <row r="2871">
      <c r="A2871" s="122" t="s">
        <v>7410</v>
      </c>
      <c r="B2871" s="123">
        <v>1412558.0</v>
      </c>
      <c r="C2871" s="687" t="s">
        <v>7411</v>
      </c>
      <c r="D2871" s="125"/>
    </row>
    <row r="2872">
      <c r="A2872" s="122" t="s">
        <v>10648</v>
      </c>
      <c r="B2872" s="123">
        <v>1412558.0</v>
      </c>
      <c r="C2872" s="687" t="s">
        <v>7411</v>
      </c>
      <c r="D2872" s="125"/>
    </row>
    <row r="2873">
      <c r="A2873" s="122" t="s">
        <v>14589</v>
      </c>
      <c r="B2873" s="123">
        <v>1124140.0</v>
      </c>
      <c r="C2873" s="687" t="s">
        <v>14590</v>
      </c>
      <c r="D2873" s="125"/>
    </row>
    <row r="2874">
      <c r="A2874" s="122" t="s">
        <v>4912</v>
      </c>
      <c r="B2874" s="123">
        <v>1274737.0</v>
      </c>
      <c r="C2874" s="687" t="s">
        <v>4913</v>
      </c>
      <c r="D2874" s="125"/>
    </row>
    <row r="2875">
      <c r="A2875" s="122" t="s">
        <v>3011</v>
      </c>
      <c r="B2875" s="123">
        <v>1634293.0</v>
      </c>
      <c r="C2875" s="687" t="s">
        <v>3012</v>
      </c>
      <c r="D2875" s="125"/>
    </row>
    <row r="2876">
      <c r="A2876" s="122" t="s">
        <v>10382</v>
      </c>
      <c r="B2876" s="123">
        <v>1888447.0</v>
      </c>
      <c r="C2876" s="687" t="s">
        <v>10383</v>
      </c>
      <c r="D2876" s="125"/>
    </row>
    <row r="2877">
      <c r="A2877" s="122" t="s">
        <v>1165</v>
      </c>
      <c r="B2877" s="123">
        <v>1852749.0</v>
      </c>
      <c r="C2877" s="687" t="s">
        <v>1166</v>
      </c>
      <c r="D2877" s="125"/>
    </row>
    <row r="2878">
      <c r="A2878" s="122" t="s">
        <v>8849</v>
      </c>
      <c r="B2878" s="123">
        <v>1852749.0</v>
      </c>
      <c r="C2878" s="687" t="s">
        <v>8850</v>
      </c>
      <c r="D2878" s="125"/>
    </row>
    <row r="2879">
      <c r="A2879" s="122" t="s">
        <v>8766</v>
      </c>
      <c r="B2879" s="123">
        <v>1852749.0</v>
      </c>
      <c r="C2879" s="687" t="s">
        <v>8767</v>
      </c>
      <c r="D2879" s="125"/>
    </row>
    <row r="2880">
      <c r="A2880" s="122" t="s">
        <v>33660</v>
      </c>
      <c r="B2880" s="123">
        <v>1786119.0</v>
      </c>
      <c r="C2880" s="687" t="s">
        <v>33661</v>
      </c>
      <c r="D2880" s="125"/>
    </row>
    <row r="2881">
      <c r="A2881" s="122" t="s">
        <v>1733</v>
      </c>
      <c r="B2881" s="123">
        <v>1263011.0</v>
      </c>
      <c r="C2881" s="687" t="s">
        <v>1734</v>
      </c>
      <c r="D2881" s="125"/>
    </row>
    <row r="2882">
      <c r="A2882" s="122" t="s">
        <v>4233</v>
      </c>
      <c r="B2882" s="123">
        <v>1620179.0</v>
      </c>
      <c r="C2882" s="687" t="s">
        <v>4234</v>
      </c>
      <c r="D2882" s="125"/>
    </row>
    <row r="2883">
      <c r="A2883" s="122" t="s">
        <v>4933</v>
      </c>
      <c r="B2883" s="123">
        <v>1620179.0</v>
      </c>
      <c r="C2883" s="687" t="s">
        <v>4934</v>
      </c>
      <c r="D2883" s="125"/>
    </row>
    <row r="2884">
      <c r="A2884" s="122" t="s">
        <v>11665</v>
      </c>
      <c r="B2884" s="123">
        <v>939767.0</v>
      </c>
      <c r="C2884" s="687" t="s">
        <v>11666</v>
      </c>
      <c r="D2884" s="125"/>
    </row>
    <row r="2885">
      <c r="A2885" s="122" t="s">
        <v>13173</v>
      </c>
      <c r="B2885" s="123">
        <v>1109357.0</v>
      </c>
      <c r="C2885" s="687" t="s">
        <v>13174</v>
      </c>
      <c r="D2885" s="125"/>
    </row>
    <row r="2886">
      <c r="A2886" s="122" t="s">
        <v>6079</v>
      </c>
      <c r="B2886" s="123">
        <v>1726744.0</v>
      </c>
      <c r="C2886" s="687" t="s">
        <v>6080</v>
      </c>
      <c r="D2886" s="125"/>
    </row>
    <row r="2887">
      <c r="A2887" s="122" t="s">
        <v>33662</v>
      </c>
      <c r="B2887" s="123">
        <v>1528760.0</v>
      </c>
      <c r="C2887" s="687" t="s">
        <v>33663</v>
      </c>
      <c r="D2887" s="125"/>
    </row>
    <row r="2888">
      <c r="A2888" s="122" t="s">
        <v>3071</v>
      </c>
      <c r="B2888" s="123">
        <v>1698530.0</v>
      </c>
      <c r="C2888" s="687" t="s">
        <v>3072</v>
      </c>
      <c r="D2888" s="125"/>
    </row>
    <row r="2889">
      <c r="A2889" s="122" t="s">
        <v>33664</v>
      </c>
      <c r="B2889" s="123">
        <v>1388174.0</v>
      </c>
      <c r="C2889" s="687" t="s">
        <v>33665</v>
      </c>
      <c r="D2889" s="125"/>
    </row>
    <row r="2890">
      <c r="A2890" s="122" t="s">
        <v>12866</v>
      </c>
      <c r="B2890" s="123">
        <v>1297989.0</v>
      </c>
      <c r="C2890" s="687" t="s">
        <v>12867</v>
      </c>
      <c r="D2890" s="125"/>
    </row>
    <row r="2891">
      <c r="A2891" s="122" t="s">
        <v>6796</v>
      </c>
      <c r="B2891" s="123">
        <v>1821534.0</v>
      </c>
      <c r="C2891" s="687" t="s">
        <v>6797</v>
      </c>
      <c r="D2891" s="125"/>
    </row>
    <row r="2892">
      <c r="A2892" s="122" t="s">
        <v>9756</v>
      </c>
      <c r="B2892" s="123">
        <v>1495932.0</v>
      </c>
      <c r="C2892" s="687" t="s">
        <v>9757</v>
      </c>
      <c r="D2892" s="125"/>
    </row>
    <row r="2893">
      <c r="A2893" s="122" t="s">
        <v>15896</v>
      </c>
      <c r="B2893" s="123">
        <v>1324424.0</v>
      </c>
      <c r="C2893" s="687" t="s">
        <v>15897</v>
      </c>
      <c r="D2893" s="125"/>
    </row>
    <row r="2894">
      <c r="A2894" s="122" t="s">
        <v>15665</v>
      </c>
      <c r="B2894" s="123">
        <v>746515.0</v>
      </c>
      <c r="C2894" s="687" t="s">
        <v>15666</v>
      </c>
      <c r="D2894" s="125"/>
    </row>
    <row r="2895">
      <c r="A2895" s="122" t="s">
        <v>4537</v>
      </c>
      <c r="B2895" s="123">
        <v>1476840.0</v>
      </c>
      <c r="C2895" s="687" t="s">
        <v>4538</v>
      </c>
      <c r="D2895" s="125"/>
    </row>
    <row r="2896">
      <c r="A2896" s="122" t="s">
        <v>13668</v>
      </c>
      <c r="B2896" s="123">
        <v>1376891.0</v>
      </c>
      <c r="C2896" s="687" t="s">
        <v>13669</v>
      </c>
      <c r="D2896" s="125"/>
    </row>
    <row r="2897">
      <c r="A2897" s="122" t="s">
        <v>13683</v>
      </c>
      <c r="B2897" s="123">
        <v>1376891.0</v>
      </c>
      <c r="C2897" s="687" t="s">
        <v>13684</v>
      </c>
      <c r="D2897" s="125"/>
    </row>
    <row r="2898">
      <c r="A2898" s="122" t="s">
        <v>6267</v>
      </c>
      <c r="B2898" s="123">
        <v>1894954.0</v>
      </c>
      <c r="C2898" s="687" t="s">
        <v>6268</v>
      </c>
      <c r="D2898" s="125"/>
    </row>
    <row r="2899">
      <c r="A2899" s="122" t="s">
        <v>14965</v>
      </c>
      <c r="B2899" s="123">
        <v>851520.0</v>
      </c>
      <c r="C2899" s="687" t="s">
        <v>14966</v>
      </c>
      <c r="D2899" s="125"/>
    </row>
    <row r="2900">
      <c r="A2900" s="122" t="s">
        <v>6563</v>
      </c>
      <c r="B2900" s="123">
        <v>1483510.0</v>
      </c>
      <c r="C2900" s="687" t="s">
        <v>6564</v>
      </c>
      <c r="D2900" s="125"/>
    </row>
    <row r="2901">
      <c r="A2901" s="122" t="s">
        <v>10878</v>
      </c>
      <c r="B2901" s="123">
        <v>1575828.0</v>
      </c>
      <c r="C2901" s="687" t="s">
        <v>10879</v>
      </c>
      <c r="D2901" s="125"/>
    </row>
    <row r="2902">
      <c r="A2902" s="122" t="s">
        <v>3701</v>
      </c>
      <c r="B2902" s="123">
        <v>1459762.0</v>
      </c>
      <c r="C2902" s="687" t="s">
        <v>3376</v>
      </c>
      <c r="D2902" s="125"/>
    </row>
    <row r="2903">
      <c r="A2903" s="122" t="s">
        <v>3375</v>
      </c>
      <c r="B2903" s="123">
        <v>1459762.0</v>
      </c>
      <c r="C2903" s="687" t="s">
        <v>3376</v>
      </c>
      <c r="D2903" s="125"/>
    </row>
    <row r="2904">
      <c r="A2904" s="122" t="s">
        <v>6945</v>
      </c>
      <c r="B2904" s="123">
        <v>1865408.0</v>
      </c>
      <c r="C2904" s="687" t="s">
        <v>6946</v>
      </c>
      <c r="D2904" s="125"/>
    </row>
    <row r="2905">
      <c r="A2905" s="122" t="s">
        <v>15837</v>
      </c>
      <c r="B2905" s="123">
        <v>1289490.0</v>
      </c>
      <c r="C2905" s="687" t="s">
        <v>15838</v>
      </c>
      <c r="D2905" s="125"/>
    </row>
    <row r="2906">
      <c r="A2906" s="122" t="s">
        <v>33666</v>
      </c>
      <c r="B2906" s="123">
        <v>1440280.0</v>
      </c>
      <c r="C2906" s="687" t="s">
        <v>33667</v>
      </c>
      <c r="D2906" s="125"/>
    </row>
    <row r="2907">
      <c r="A2907" s="122" t="s">
        <v>9772</v>
      </c>
      <c r="B2907" s="123">
        <v>1078271.0</v>
      </c>
      <c r="C2907" s="687" t="s">
        <v>9773</v>
      </c>
      <c r="D2907" s="125"/>
    </row>
    <row r="2908">
      <c r="A2908" s="122" t="s">
        <v>15414</v>
      </c>
      <c r="B2908" s="123">
        <v>34088.0</v>
      </c>
      <c r="C2908" s="687" t="s">
        <v>15415</v>
      </c>
      <c r="D2908" s="125"/>
    </row>
    <row r="2909">
      <c r="A2909" s="122" t="s">
        <v>4683</v>
      </c>
      <c r="B2909" s="123">
        <v>1682639.0</v>
      </c>
      <c r="C2909" s="687" t="s">
        <v>4684</v>
      </c>
      <c r="D2909" s="125"/>
    </row>
    <row r="2910">
      <c r="A2910" s="122" t="s">
        <v>12705</v>
      </c>
      <c r="B2910" s="123">
        <v>1314102.0</v>
      </c>
      <c r="C2910" s="687" t="s">
        <v>12706</v>
      </c>
      <c r="D2910" s="125"/>
    </row>
    <row r="2911">
      <c r="A2911" s="122" t="s">
        <v>3213</v>
      </c>
      <c r="B2911" s="123">
        <v>1752372.0</v>
      </c>
      <c r="C2911" s="687" t="s">
        <v>3214</v>
      </c>
      <c r="D2911" s="125"/>
    </row>
    <row r="2912">
      <c r="A2912" s="122" t="s">
        <v>8377</v>
      </c>
      <c r="B2912" s="123">
        <v>876523.0</v>
      </c>
      <c r="C2912" s="687" t="s">
        <v>8378</v>
      </c>
      <c r="D2912" s="125"/>
    </row>
    <row r="2913">
      <c r="A2913" s="122" t="s">
        <v>4263</v>
      </c>
      <c r="B2913" s="123">
        <v>1817004.0</v>
      </c>
      <c r="C2913" s="687" t="s">
        <v>4264</v>
      </c>
      <c r="D2913" s="125"/>
    </row>
    <row r="2914">
      <c r="A2914" s="122" t="s">
        <v>1817</v>
      </c>
      <c r="B2914" s="123">
        <v>1806904.0</v>
      </c>
      <c r="C2914" s="687" t="s">
        <v>1818</v>
      </c>
      <c r="D2914" s="125"/>
    </row>
    <row r="2915">
      <c r="A2915" s="122" t="s">
        <v>3775</v>
      </c>
      <c r="B2915" s="123">
        <v>1543066.0</v>
      </c>
      <c r="C2915" s="687" t="s">
        <v>3776</v>
      </c>
      <c r="D2915" s="125"/>
    </row>
    <row r="2916">
      <c r="A2916" s="122" t="s">
        <v>11204</v>
      </c>
      <c r="B2916" s="123">
        <v>740806.0</v>
      </c>
      <c r="C2916" s="687" t="s">
        <v>11205</v>
      </c>
      <c r="D2916" s="125"/>
    </row>
    <row r="2917">
      <c r="A2917" s="122" t="s">
        <v>13822</v>
      </c>
      <c r="B2917" s="123">
        <v>1934850.0</v>
      </c>
      <c r="C2917" s="687" t="s">
        <v>13823</v>
      </c>
      <c r="D2917" s="125"/>
    </row>
    <row r="2918">
      <c r="A2918" s="122" t="s">
        <v>868</v>
      </c>
      <c r="B2918" s="123">
        <v>1788717.0</v>
      </c>
      <c r="C2918" s="687" t="s">
        <v>869</v>
      </c>
      <c r="D2918" s="125"/>
    </row>
    <row r="2919">
      <c r="A2919" s="122" t="s">
        <v>16085</v>
      </c>
      <c r="B2919" s="123">
        <v>1048695.0</v>
      </c>
      <c r="C2919" s="687" t="s">
        <v>16086</v>
      </c>
      <c r="D2919" s="125"/>
    </row>
    <row r="2920">
      <c r="A2920" s="122" t="s">
        <v>16238</v>
      </c>
      <c r="B2920" s="123">
        <v>1408710.0</v>
      </c>
      <c r="C2920" s="687" t="s">
        <v>16239</v>
      </c>
      <c r="D2920" s="125"/>
    </row>
    <row r="2921">
      <c r="A2921" s="122" t="s">
        <v>33668</v>
      </c>
      <c r="B2921" s="123">
        <v>1714379.0</v>
      </c>
      <c r="C2921" s="687" t="s">
        <v>33669</v>
      </c>
      <c r="D2921" s="125"/>
    </row>
    <row r="2922">
      <c r="A2922" s="122" t="s">
        <v>16592</v>
      </c>
      <c r="B2922" s="123">
        <v>1013237.0</v>
      </c>
      <c r="C2922" s="687" t="s">
        <v>16593</v>
      </c>
      <c r="D2922" s="125"/>
    </row>
    <row r="2923">
      <c r="A2923" s="122" t="s">
        <v>16703</v>
      </c>
      <c r="B2923" s="123">
        <v>814547.0</v>
      </c>
      <c r="C2923" s="687" t="s">
        <v>16704</v>
      </c>
      <c r="D2923" s="125"/>
    </row>
    <row r="2924">
      <c r="A2924" s="122" t="s">
        <v>10385</v>
      </c>
      <c r="B2924" s="123">
        <v>915191.0</v>
      </c>
      <c r="C2924" s="687" t="s">
        <v>10386</v>
      </c>
      <c r="D2924" s="125"/>
    </row>
    <row r="2925">
      <c r="A2925" s="122" t="s">
        <v>10408</v>
      </c>
      <c r="B2925" s="123">
        <v>915191.0</v>
      </c>
      <c r="C2925" s="687" t="s">
        <v>10409</v>
      </c>
      <c r="D2925" s="125"/>
    </row>
    <row r="2926">
      <c r="A2926" s="122" t="s">
        <v>10592</v>
      </c>
      <c r="B2926" s="123">
        <v>915191.0</v>
      </c>
      <c r="C2926" s="687" t="s">
        <v>10593</v>
      </c>
      <c r="D2926" s="125"/>
    </row>
    <row r="2927">
      <c r="A2927" s="122" t="s">
        <v>16689</v>
      </c>
      <c r="B2927" s="123">
        <v>915191.0</v>
      </c>
      <c r="C2927" s="687" t="s">
        <v>16690</v>
      </c>
      <c r="D2927" s="125"/>
    </row>
    <row r="2928">
      <c r="A2928" s="122" t="s">
        <v>4197</v>
      </c>
      <c r="B2928" s="123">
        <v>922521.0</v>
      </c>
      <c r="C2928" s="687" t="s">
        <v>4198</v>
      </c>
      <c r="D2928" s="125"/>
    </row>
    <row r="2929">
      <c r="A2929" s="122" t="s">
        <v>33670</v>
      </c>
      <c r="B2929" s="123">
        <v>1785343.0</v>
      </c>
      <c r="C2929" s="687" t="s">
        <v>33671</v>
      </c>
      <c r="D2929" s="125"/>
    </row>
    <row r="2930">
      <c r="A2930" s="122" t="s">
        <v>460</v>
      </c>
      <c r="B2930" s="123">
        <v>1668987.0</v>
      </c>
      <c r="C2930" s="687" t="s">
        <v>461</v>
      </c>
      <c r="D2930" s="125"/>
    </row>
    <row r="2931">
      <c r="A2931" s="122" t="s">
        <v>7015</v>
      </c>
      <c r="B2931" s="123">
        <v>1294404.0</v>
      </c>
      <c r="C2931" s="687" t="s">
        <v>7016</v>
      </c>
      <c r="D2931" s="125"/>
    </row>
    <row r="2932">
      <c r="A2932" s="122" t="s">
        <v>3197</v>
      </c>
      <c r="B2932" s="123">
        <v>1750593.0</v>
      </c>
      <c r="C2932" s="687" t="s">
        <v>3198</v>
      </c>
      <c r="D2932" s="125"/>
    </row>
    <row r="2933">
      <c r="A2933" s="122" t="s">
        <v>7007</v>
      </c>
      <c r="B2933" s="123">
        <v>1413855.0</v>
      </c>
      <c r="C2933" s="687" t="s">
        <v>7008</v>
      </c>
      <c r="D2933" s="125"/>
    </row>
    <row r="2934">
      <c r="A2934" s="122" t="s">
        <v>685</v>
      </c>
      <c r="B2934" s="123">
        <v>1805521.0</v>
      </c>
      <c r="C2934" s="687" t="s">
        <v>686</v>
      </c>
      <c r="D2934" s="125"/>
    </row>
    <row r="2935">
      <c r="A2935" s="122" t="s">
        <v>1932</v>
      </c>
      <c r="B2935" s="123">
        <v>1805521.0</v>
      </c>
      <c r="C2935" s="687" t="s">
        <v>1933</v>
      </c>
      <c r="D2935" s="125"/>
    </row>
    <row r="2936">
      <c r="A2936" s="122" t="s">
        <v>5907</v>
      </c>
      <c r="B2936" s="123">
        <v>34563.0</v>
      </c>
      <c r="C2936" s="687" t="s">
        <v>5908</v>
      </c>
      <c r="D2936" s="125"/>
    </row>
    <row r="2937">
      <c r="A2937" s="122" t="s">
        <v>16687</v>
      </c>
      <c r="B2937" s="123">
        <v>1085913.0</v>
      </c>
      <c r="C2937" s="687" t="s">
        <v>16688</v>
      </c>
      <c r="D2937" s="125"/>
    </row>
    <row r="2938">
      <c r="A2938" s="122" t="s">
        <v>11727</v>
      </c>
      <c r="B2938" s="123">
        <v>792966.0</v>
      </c>
      <c r="C2938" s="687" t="s">
        <v>11728</v>
      </c>
      <c r="D2938" s="125"/>
    </row>
    <row r="2939">
      <c r="A2939" s="122" t="s">
        <v>10891</v>
      </c>
      <c r="B2939" s="123">
        <v>1698022.0</v>
      </c>
      <c r="C2939" s="687" t="s">
        <v>10892</v>
      </c>
      <c r="D2939" s="125"/>
    </row>
    <row r="2940">
      <c r="A2940" s="122" t="s">
        <v>10051</v>
      </c>
      <c r="B2940" s="123">
        <v>709337.0</v>
      </c>
      <c r="C2940" s="687" t="s">
        <v>10052</v>
      </c>
      <c r="D2940" s="125"/>
    </row>
    <row r="2941">
      <c r="A2941" s="122" t="s">
        <v>1864</v>
      </c>
      <c r="B2941" s="123">
        <v>1811999.0</v>
      </c>
      <c r="C2941" s="687" t="s">
        <v>1865</v>
      </c>
      <c r="D2941" s="125"/>
    </row>
    <row r="2942">
      <c r="A2942" s="122" t="s">
        <v>9091</v>
      </c>
      <c r="B2942" s="123">
        <v>1591670.0</v>
      </c>
      <c r="C2942" s="687" t="s">
        <v>9092</v>
      </c>
      <c r="D2942" s="125"/>
    </row>
    <row r="2943">
      <c r="A2943" s="122" t="s">
        <v>3821</v>
      </c>
      <c r="B2943" s="123">
        <v>1701261.0</v>
      </c>
      <c r="C2943" s="687" t="s">
        <v>3822</v>
      </c>
      <c r="D2943" s="125"/>
    </row>
    <row r="2944">
      <c r="A2944" s="122" t="s">
        <v>11877</v>
      </c>
      <c r="B2944" s="123">
        <v>917491.0</v>
      </c>
      <c r="C2944" s="687" t="s">
        <v>11878</v>
      </c>
      <c r="D2944" s="125"/>
    </row>
    <row r="2945">
      <c r="A2945" s="122" t="s">
        <v>2697</v>
      </c>
      <c r="B2945" s="123">
        <v>1807689.0</v>
      </c>
      <c r="C2945" s="687" t="s">
        <v>2698</v>
      </c>
      <c r="D2945" s="125"/>
    </row>
    <row r="2946">
      <c r="A2946" s="122" t="s">
        <v>14794</v>
      </c>
      <c r="B2946" s="123">
        <v>815556.0</v>
      </c>
      <c r="C2946" s="687" t="s">
        <v>14795</v>
      </c>
      <c r="D2946" s="125"/>
    </row>
    <row r="2947">
      <c r="A2947" s="122" t="s">
        <v>11884</v>
      </c>
      <c r="B2947" s="123">
        <v>1517413.0</v>
      </c>
      <c r="C2947" s="687" t="s">
        <v>11885</v>
      </c>
      <c r="D2947" s="125"/>
    </row>
    <row r="2948">
      <c r="A2948" s="122" t="s">
        <v>7447</v>
      </c>
      <c r="B2948" s="123">
        <v>1705012.0</v>
      </c>
      <c r="C2948" s="687" t="s">
        <v>7448</v>
      </c>
      <c r="D2948" s="125"/>
    </row>
    <row r="2949">
      <c r="A2949" s="122" t="s">
        <v>7825</v>
      </c>
      <c r="B2949" s="123">
        <v>1705012.0</v>
      </c>
      <c r="C2949" s="687" t="s">
        <v>7826</v>
      </c>
      <c r="D2949" s="125"/>
    </row>
    <row r="2950">
      <c r="A2950" s="122" t="s">
        <v>7427</v>
      </c>
      <c r="B2950" s="123">
        <v>1705012.0</v>
      </c>
      <c r="C2950" s="687" t="s">
        <v>7428</v>
      </c>
      <c r="D2950" s="125"/>
    </row>
    <row r="2951">
      <c r="A2951" s="122" t="s">
        <v>10374</v>
      </c>
      <c r="B2951" s="123">
        <v>1705012.0</v>
      </c>
      <c r="C2951" s="687" t="s">
        <v>10375</v>
      </c>
      <c r="D2951" s="125"/>
    </row>
    <row r="2952">
      <c r="A2952" s="122" t="s">
        <v>7208</v>
      </c>
      <c r="B2952" s="123">
        <v>1434316.0</v>
      </c>
      <c r="C2952" s="687" t="s">
        <v>7209</v>
      </c>
      <c r="D2952" s="125"/>
    </row>
    <row r="2953">
      <c r="A2953" s="122" t="s">
        <v>6261</v>
      </c>
      <c r="B2953" s="123">
        <v>1836176.0</v>
      </c>
      <c r="C2953" s="687" t="s">
        <v>6262</v>
      </c>
      <c r="D2953" s="125"/>
    </row>
    <row r="2954">
      <c r="A2954" s="122" t="s">
        <v>5265</v>
      </c>
      <c r="B2954" s="123">
        <v>1753162.0</v>
      </c>
      <c r="C2954" s="687" t="s">
        <v>5266</v>
      </c>
      <c r="D2954" s="125"/>
    </row>
    <row r="2955">
      <c r="A2955" s="122" t="s">
        <v>2552</v>
      </c>
      <c r="B2955" s="123">
        <v>1795851.0</v>
      </c>
      <c r="C2955" s="687" t="s">
        <v>2553</v>
      </c>
      <c r="D2955" s="125"/>
    </row>
    <row r="2956">
      <c r="A2956" s="122" t="s">
        <v>934</v>
      </c>
      <c r="B2956" s="123">
        <v>1839360.0</v>
      </c>
      <c r="C2956" s="687" t="s">
        <v>935</v>
      </c>
      <c r="D2956" s="125"/>
    </row>
    <row r="2957">
      <c r="A2957" s="122" t="s">
        <v>2279</v>
      </c>
      <c r="B2957" s="123">
        <v>1839360.0</v>
      </c>
      <c r="C2957" s="687" t="s">
        <v>2280</v>
      </c>
      <c r="D2957" s="125"/>
    </row>
    <row r="2958">
      <c r="A2958" s="122" t="s">
        <v>13385</v>
      </c>
      <c r="B2958" s="123">
        <v>1649749.0</v>
      </c>
      <c r="C2958" s="687" t="s">
        <v>13386</v>
      </c>
      <c r="D2958" s="125"/>
    </row>
    <row r="2959">
      <c r="A2959" s="122" t="s">
        <v>33672</v>
      </c>
      <c r="B2959" s="123">
        <v>1370816.0</v>
      </c>
      <c r="C2959" s="687" t="s">
        <v>33673</v>
      </c>
      <c r="D2959" s="125"/>
    </row>
    <row r="2960">
      <c r="A2960" s="122" t="s">
        <v>2560</v>
      </c>
      <c r="B2960" s="123">
        <v>730669.0</v>
      </c>
      <c r="C2960" s="687" t="s">
        <v>2561</v>
      </c>
      <c r="D2960" s="125"/>
    </row>
    <row r="2961">
      <c r="A2961" s="122" t="s">
        <v>1132</v>
      </c>
      <c r="B2961" s="123">
        <v>1722731.0</v>
      </c>
      <c r="C2961" s="687" t="s">
        <v>1133</v>
      </c>
      <c r="D2961" s="125"/>
    </row>
    <row r="2962">
      <c r="A2962" s="122" t="s">
        <v>2353</v>
      </c>
      <c r="B2962" s="123">
        <v>1066130.0</v>
      </c>
      <c r="C2962" s="687" t="s">
        <v>2354</v>
      </c>
      <c r="D2962" s="125"/>
    </row>
    <row r="2963">
      <c r="A2963" s="122" t="s">
        <v>33674</v>
      </c>
      <c r="B2963" s="123">
        <v>1122742.0</v>
      </c>
      <c r="C2963" s="687" t="s">
        <v>33675</v>
      </c>
      <c r="D2963" s="125"/>
    </row>
    <row r="2964">
      <c r="A2964" s="122" t="s">
        <v>33676</v>
      </c>
      <c r="B2964" s="123">
        <v>849997.0</v>
      </c>
      <c r="C2964" s="687" t="s">
        <v>33677</v>
      </c>
      <c r="D2964" s="125"/>
    </row>
    <row r="2965">
      <c r="A2965" s="122" t="s">
        <v>16105</v>
      </c>
      <c r="B2965" s="123">
        <v>845877.0</v>
      </c>
      <c r="C2965" s="687" t="s">
        <v>16106</v>
      </c>
      <c r="D2965" s="125"/>
    </row>
    <row r="2966">
      <c r="A2966" s="122" t="s">
        <v>6834</v>
      </c>
      <c r="B2966" s="123">
        <v>1026214.0</v>
      </c>
      <c r="C2966" s="687" t="s">
        <v>6835</v>
      </c>
      <c r="D2966" s="125"/>
    </row>
    <row r="2967">
      <c r="A2967" s="122" t="s">
        <v>7031</v>
      </c>
      <c r="B2967" s="123">
        <v>1026214.0</v>
      </c>
      <c r="C2967" s="687" t="s">
        <v>7032</v>
      </c>
      <c r="D2967" s="125"/>
    </row>
    <row r="2968">
      <c r="A2968" s="122" t="s">
        <v>6858</v>
      </c>
      <c r="B2968" s="123">
        <v>1026214.0</v>
      </c>
      <c r="C2968" s="687" t="s">
        <v>6859</v>
      </c>
      <c r="D2968" s="125"/>
    </row>
    <row r="2969">
      <c r="A2969" s="122" t="s">
        <v>6779</v>
      </c>
      <c r="B2969" s="123">
        <v>1026214.0</v>
      </c>
      <c r="C2969" s="687" t="s">
        <v>6780</v>
      </c>
      <c r="D2969" s="125"/>
    </row>
    <row r="2970">
      <c r="A2970" s="122" t="s">
        <v>7027</v>
      </c>
      <c r="B2970" s="123">
        <v>1026214.0</v>
      </c>
      <c r="C2970" s="687" t="s">
        <v>7028</v>
      </c>
      <c r="D2970" s="125"/>
    </row>
    <row r="2971">
      <c r="A2971" s="122" t="s">
        <v>6965</v>
      </c>
      <c r="B2971" s="123">
        <v>1026214.0</v>
      </c>
      <c r="C2971" s="687" t="s">
        <v>6903</v>
      </c>
      <c r="D2971" s="125"/>
    </row>
    <row r="2972">
      <c r="A2972" s="122" t="s">
        <v>6902</v>
      </c>
      <c r="B2972" s="123">
        <v>1026214.0</v>
      </c>
      <c r="C2972" s="687" t="s">
        <v>6903</v>
      </c>
      <c r="D2972" s="125"/>
    </row>
    <row r="2973">
      <c r="A2973" s="122" t="s">
        <v>5496</v>
      </c>
      <c r="B2973" s="123">
        <v>1026214.0</v>
      </c>
      <c r="C2973" s="687" t="s">
        <v>5497</v>
      </c>
      <c r="D2973" s="125"/>
    </row>
    <row r="2974">
      <c r="A2974" s="122" t="s">
        <v>6676</v>
      </c>
      <c r="B2974" s="123">
        <v>1026214.0</v>
      </c>
      <c r="C2974" s="687" t="s">
        <v>6677</v>
      </c>
      <c r="D2974" s="125"/>
    </row>
    <row r="2975">
      <c r="A2975" s="122" t="s">
        <v>6866</v>
      </c>
      <c r="B2975" s="123">
        <v>1026214.0</v>
      </c>
      <c r="C2975" s="687" t="s">
        <v>6867</v>
      </c>
      <c r="D2975" s="125"/>
    </row>
    <row r="2976">
      <c r="A2976" s="122" t="s">
        <v>5838</v>
      </c>
      <c r="B2976" s="123">
        <v>1026214.0</v>
      </c>
      <c r="C2976" s="687" t="s">
        <v>5839</v>
      </c>
      <c r="D2976" s="125"/>
    </row>
    <row r="2977">
      <c r="A2977" s="122" t="s">
        <v>6919</v>
      </c>
      <c r="B2977" s="123">
        <v>1026214.0</v>
      </c>
      <c r="C2977" s="687" t="s">
        <v>6920</v>
      </c>
      <c r="D2977" s="125"/>
    </row>
    <row r="2978">
      <c r="A2978" s="122" t="s">
        <v>5452</v>
      </c>
      <c r="B2978" s="123">
        <v>1026214.0</v>
      </c>
      <c r="C2978" s="687" t="s">
        <v>5453</v>
      </c>
      <c r="D2978" s="125"/>
    </row>
    <row r="2979">
      <c r="A2979" s="122" t="s">
        <v>6892</v>
      </c>
      <c r="B2979" s="123">
        <v>1026214.0</v>
      </c>
      <c r="C2979" s="687" t="s">
        <v>6893</v>
      </c>
      <c r="D2979" s="125"/>
    </row>
    <row r="2980">
      <c r="A2980" s="122" t="s">
        <v>5911</v>
      </c>
      <c r="B2980" s="123">
        <v>1026214.0</v>
      </c>
      <c r="C2980" s="687" t="s">
        <v>5912</v>
      </c>
      <c r="D2980" s="125"/>
    </row>
    <row r="2981">
      <c r="A2981" s="122" t="s">
        <v>3937</v>
      </c>
      <c r="B2981" s="123">
        <v>1026214.0</v>
      </c>
      <c r="C2981" s="687" t="s">
        <v>3938</v>
      </c>
      <c r="D2981" s="125"/>
    </row>
    <row r="2982">
      <c r="A2982" s="122" t="s">
        <v>5454</v>
      </c>
      <c r="B2982" s="123">
        <v>1026214.0</v>
      </c>
      <c r="C2982" s="687" t="s">
        <v>5455</v>
      </c>
      <c r="D2982" s="125"/>
    </row>
    <row r="2983">
      <c r="A2983" s="122" t="s">
        <v>6848</v>
      </c>
      <c r="B2983" s="123">
        <v>1026214.0</v>
      </c>
      <c r="C2983" s="687" t="s">
        <v>6849</v>
      </c>
      <c r="D2983" s="125"/>
    </row>
    <row r="2984">
      <c r="A2984" s="122" t="s">
        <v>5529</v>
      </c>
      <c r="B2984" s="123">
        <v>1026214.0</v>
      </c>
      <c r="C2984" s="687" t="s">
        <v>5530</v>
      </c>
      <c r="D2984" s="125"/>
    </row>
    <row r="2985">
      <c r="A2985" s="122" t="s">
        <v>6712</v>
      </c>
      <c r="B2985" s="123">
        <v>1026214.0</v>
      </c>
      <c r="C2985" s="687" t="s">
        <v>6713</v>
      </c>
      <c r="D2985" s="125"/>
    </row>
    <row r="2986">
      <c r="A2986" s="122" t="s">
        <v>6829</v>
      </c>
      <c r="B2986" s="123">
        <v>1026214.0</v>
      </c>
      <c r="C2986" s="687" t="s">
        <v>6820</v>
      </c>
      <c r="D2986" s="125"/>
    </row>
    <row r="2987">
      <c r="A2987" s="122" t="s">
        <v>6819</v>
      </c>
      <c r="B2987" s="123">
        <v>1026214.0</v>
      </c>
      <c r="C2987" s="687" t="s">
        <v>6820</v>
      </c>
      <c r="D2987" s="125"/>
    </row>
    <row r="2988">
      <c r="A2988" s="122" t="s">
        <v>6781</v>
      </c>
      <c r="B2988" s="123">
        <v>1026214.0</v>
      </c>
      <c r="C2988" s="687" t="s">
        <v>6782</v>
      </c>
      <c r="D2988" s="125"/>
    </row>
    <row r="2989">
      <c r="A2989" s="122" t="s">
        <v>6595</v>
      </c>
      <c r="B2989" s="123">
        <v>1026214.0</v>
      </c>
      <c r="C2989" s="687" t="s">
        <v>6596</v>
      </c>
      <c r="D2989" s="125"/>
    </row>
    <row r="2990">
      <c r="A2990" s="122" t="s">
        <v>7117</v>
      </c>
      <c r="B2990" s="123">
        <v>310522.0</v>
      </c>
      <c r="C2990" s="687" t="s">
        <v>7118</v>
      </c>
      <c r="D2990" s="125"/>
    </row>
    <row r="2991">
      <c r="A2991" s="122" t="s">
        <v>7057</v>
      </c>
      <c r="B2991" s="123">
        <v>310522.0</v>
      </c>
      <c r="C2991" s="687" t="s">
        <v>7058</v>
      </c>
      <c r="D2991" s="125"/>
    </row>
    <row r="2992">
      <c r="A2992" s="122" t="s">
        <v>4205</v>
      </c>
      <c r="B2992" s="123">
        <v>310522.0</v>
      </c>
      <c r="C2992" s="687" t="s">
        <v>4206</v>
      </c>
      <c r="D2992" s="125"/>
    </row>
    <row r="2993">
      <c r="A2993" s="122" t="s">
        <v>6770</v>
      </c>
      <c r="B2993" s="123">
        <v>310522.0</v>
      </c>
      <c r="C2993" s="687" t="s">
        <v>6771</v>
      </c>
      <c r="D2993" s="125"/>
    </row>
    <row r="2994">
      <c r="A2994" s="122" t="s">
        <v>16790</v>
      </c>
      <c r="B2994" s="123">
        <v>310522.0</v>
      </c>
      <c r="C2994" s="687" t="s">
        <v>16791</v>
      </c>
      <c r="D2994" s="125"/>
    </row>
    <row r="2995">
      <c r="A2995" s="122" t="s">
        <v>6823</v>
      </c>
      <c r="B2995" s="123">
        <v>310522.0</v>
      </c>
      <c r="C2995" s="687" t="s">
        <v>6824</v>
      </c>
      <c r="D2995" s="125"/>
    </row>
    <row r="2996">
      <c r="A2996" s="122" t="s">
        <v>7019</v>
      </c>
      <c r="B2996" s="123">
        <v>310522.0</v>
      </c>
      <c r="C2996" s="687" t="s">
        <v>7020</v>
      </c>
      <c r="D2996" s="125"/>
    </row>
    <row r="2997">
      <c r="A2997" s="122" t="s">
        <v>5709</v>
      </c>
      <c r="B2997" s="123">
        <v>310522.0</v>
      </c>
      <c r="C2997" s="687" t="s">
        <v>5710</v>
      </c>
      <c r="D2997" s="125"/>
    </row>
    <row r="2998">
      <c r="A2998" s="122" t="s">
        <v>6008</v>
      </c>
      <c r="B2998" s="123">
        <v>310522.0</v>
      </c>
      <c r="C2998" s="687" t="s">
        <v>6009</v>
      </c>
      <c r="D2998" s="125"/>
    </row>
    <row r="2999">
      <c r="A2999" s="122" t="s">
        <v>5899</v>
      </c>
      <c r="B2999" s="123">
        <v>310522.0</v>
      </c>
      <c r="C2999" s="687" t="s">
        <v>5900</v>
      </c>
      <c r="D2999" s="125"/>
    </row>
    <row r="3000">
      <c r="A3000" s="122" t="s">
        <v>5672</v>
      </c>
      <c r="B3000" s="123">
        <v>310522.0</v>
      </c>
      <c r="C3000" s="687" t="s">
        <v>5673</v>
      </c>
      <c r="D3000" s="125"/>
    </row>
    <row r="3001">
      <c r="A3001" s="122" t="s">
        <v>5596</v>
      </c>
      <c r="B3001" s="123">
        <v>310522.0</v>
      </c>
      <c r="C3001" s="687" t="s">
        <v>5597</v>
      </c>
      <c r="D3001" s="125"/>
    </row>
    <row r="3002">
      <c r="A3002" s="122" t="s">
        <v>6798</v>
      </c>
      <c r="B3002" s="123">
        <v>310522.0</v>
      </c>
      <c r="C3002" s="687" t="s">
        <v>6799</v>
      </c>
      <c r="D3002" s="125"/>
    </row>
    <row r="3003">
      <c r="A3003" s="122" t="s">
        <v>7071</v>
      </c>
      <c r="B3003" s="123">
        <v>310522.0</v>
      </c>
      <c r="C3003" s="687" t="s">
        <v>7072</v>
      </c>
      <c r="D3003" s="125"/>
    </row>
    <row r="3004">
      <c r="A3004" s="122" t="s">
        <v>6921</v>
      </c>
      <c r="B3004" s="123">
        <v>310522.0</v>
      </c>
      <c r="C3004" s="687" t="s">
        <v>6922</v>
      </c>
      <c r="D3004" s="125"/>
    </row>
    <row r="3005">
      <c r="A3005" s="122" t="s">
        <v>7155</v>
      </c>
      <c r="B3005" s="123">
        <v>310522.0</v>
      </c>
      <c r="C3005" s="687" t="s">
        <v>7156</v>
      </c>
      <c r="D3005" s="125"/>
    </row>
    <row r="3006">
      <c r="A3006" s="122" t="s">
        <v>15411</v>
      </c>
      <c r="B3006" s="123">
        <v>34903.0</v>
      </c>
      <c r="C3006" s="687" t="s">
        <v>15412</v>
      </c>
      <c r="D3006" s="125"/>
    </row>
    <row r="3007">
      <c r="A3007" s="122" t="s">
        <v>14984</v>
      </c>
      <c r="B3007" s="123">
        <v>277509.0</v>
      </c>
      <c r="C3007" s="687" t="s">
        <v>14985</v>
      </c>
      <c r="D3007" s="125"/>
    </row>
    <row r="3008">
      <c r="A3008" s="122" t="s">
        <v>13233</v>
      </c>
      <c r="B3008" s="123">
        <v>1056288.0</v>
      </c>
      <c r="C3008" s="687" t="s">
        <v>13234</v>
      </c>
      <c r="D3008" s="125"/>
    </row>
    <row r="3009">
      <c r="A3009" s="122" t="s">
        <v>9114</v>
      </c>
      <c r="B3009" s="123">
        <v>1199004.0</v>
      </c>
      <c r="C3009" s="687" t="s">
        <v>9115</v>
      </c>
      <c r="D3009" s="125"/>
    </row>
    <row r="3010">
      <c r="A3010" s="122" t="s">
        <v>16296</v>
      </c>
      <c r="B3010" s="123">
        <v>1048911.0</v>
      </c>
      <c r="C3010" s="687" t="s">
        <v>16297</v>
      </c>
      <c r="D3010" s="125"/>
    </row>
    <row r="3011">
      <c r="A3011" s="122" t="s">
        <v>3472</v>
      </c>
      <c r="B3011" s="123">
        <v>1339005.0</v>
      </c>
      <c r="C3011" s="687" t="s">
        <v>3473</v>
      </c>
      <c r="D3011" s="125"/>
    </row>
    <row r="3012">
      <c r="A3012" s="122" t="s">
        <v>8381</v>
      </c>
      <c r="B3012" s="123">
        <v>1211583.0</v>
      </c>
      <c r="C3012" s="687" t="s">
        <v>8382</v>
      </c>
      <c r="D3012" s="125"/>
    </row>
    <row r="3013">
      <c r="A3013" s="122" t="s">
        <v>16120</v>
      </c>
      <c r="B3013" s="123">
        <v>1832433.0</v>
      </c>
      <c r="C3013" s="687" t="s">
        <v>16121</v>
      </c>
      <c r="D3013" s="125"/>
    </row>
    <row r="3014">
      <c r="A3014" s="122" t="s">
        <v>33678</v>
      </c>
      <c r="B3014" s="123">
        <v>1880419.0</v>
      </c>
      <c r="C3014" s="687" t="s">
        <v>33679</v>
      </c>
      <c r="D3014" s="125"/>
    </row>
    <row r="3015">
      <c r="A3015" s="122" t="s">
        <v>16501</v>
      </c>
      <c r="B3015" s="123">
        <v>1648416.0</v>
      </c>
      <c r="C3015" s="687" t="s">
        <v>16502</v>
      </c>
      <c r="D3015" s="125"/>
    </row>
    <row r="3016">
      <c r="A3016" s="122" t="s">
        <v>16030</v>
      </c>
      <c r="B3016" s="123">
        <v>922358.0</v>
      </c>
      <c r="C3016" s="687" t="s">
        <v>16031</v>
      </c>
      <c r="D3016" s="125"/>
    </row>
    <row r="3017">
      <c r="A3017" s="122" t="s">
        <v>7461</v>
      </c>
      <c r="B3017" s="123">
        <v>922358.0</v>
      </c>
      <c r="C3017" s="687" t="s">
        <v>7462</v>
      </c>
      <c r="D3017" s="125"/>
    </row>
    <row r="3018">
      <c r="A3018" s="122" t="s">
        <v>6577</v>
      </c>
      <c r="B3018" s="123">
        <v>1639877.0</v>
      </c>
      <c r="C3018" s="687" t="s">
        <v>6578</v>
      </c>
      <c r="D3018" s="125"/>
    </row>
    <row r="3019">
      <c r="A3019" s="122" t="s">
        <v>16661</v>
      </c>
      <c r="B3019" s="123">
        <v>1838987.0</v>
      </c>
      <c r="C3019" s="687" t="s">
        <v>16662</v>
      </c>
      <c r="D3019" s="125"/>
    </row>
    <row r="3020">
      <c r="A3020" s="122" t="s">
        <v>1002</v>
      </c>
      <c r="B3020" s="123">
        <v>1912582.0</v>
      </c>
      <c r="C3020" s="687" t="s">
        <v>1003</v>
      </c>
      <c r="D3020" s="125"/>
    </row>
    <row r="3021">
      <c r="A3021" s="122" t="s">
        <v>8920</v>
      </c>
      <c r="B3021" s="123">
        <v>1912582.0</v>
      </c>
      <c r="C3021" s="687" t="s">
        <v>8921</v>
      </c>
      <c r="D3021" s="125"/>
    </row>
    <row r="3022">
      <c r="A3022" s="122" t="s">
        <v>9093</v>
      </c>
      <c r="B3022" s="123">
        <v>1912582.0</v>
      </c>
      <c r="C3022" s="687" t="s">
        <v>9094</v>
      </c>
      <c r="D3022" s="125"/>
    </row>
    <row r="3023">
      <c r="A3023" s="122" t="s">
        <v>9871</v>
      </c>
      <c r="B3023" s="123">
        <v>1787384.0</v>
      </c>
      <c r="C3023" s="687" t="s">
        <v>9872</v>
      </c>
      <c r="D3023" s="125"/>
    </row>
    <row r="3024">
      <c r="A3024" s="122" t="s">
        <v>4353</v>
      </c>
      <c r="B3024" s="123">
        <v>1591890.0</v>
      </c>
      <c r="C3024" s="687" t="s">
        <v>4354</v>
      </c>
      <c r="D3024" s="125"/>
    </row>
    <row r="3025">
      <c r="A3025" s="122" t="s">
        <v>10928</v>
      </c>
      <c r="B3025" s="123">
        <v>1591890.0</v>
      </c>
      <c r="C3025" s="687" t="s">
        <v>10929</v>
      </c>
      <c r="D3025" s="125"/>
    </row>
    <row r="3026">
      <c r="A3026" s="122" t="s">
        <v>2315</v>
      </c>
      <c r="B3026" s="123">
        <v>1864943.0</v>
      </c>
      <c r="C3026" s="687" t="s">
        <v>2316</v>
      </c>
      <c r="D3026" s="125"/>
    </row>
    <row r="3027">
      <c r="A3027" s="122" t="s">
        <v>4517</v>
      </c>
      <c r="B3027" s="123">
        <v>1864943.0</v>
      </c>
      <c r="C3027" s="687" t="s">
        <v>4518</v>
      </c>
      <c r="D3027" s="125"/>
    </row>
    <row r="3028">
      <c r="A3028" s="122" t="s">
        <v>14015</v>
      </c>
      <c r="B3028" s="123">
        <v>1098151.0</v>
      </c>
      <c r="C3028" s="687" t="s">
        <v>14016</v>
      </c>
      <c r="D3028" s="125"/>
    </row>
    <row r="3029">
      <c r="A3029" s="122" t="s">
        <v>15301</v>
      </c>
      <c r="B3029" s="123">
        <v>910492.0</v>
      </c>
      <c r="C3029" s="687" t="s">
        <v>15302</v>
      </c>
      <c r="D3029" s="125"/>
    </row>
    <row r="3030">
      <c r="A3030" s="122" t="s">
        <v>14111</v>
      </c>
      <c r="B3030" s="123">
        <v>1331875.0</v>
      </c>
      <c r="C3030" s="687" t="s">
        <v>14112</v>
      </c>
      <c r="D3030" s="125"/>
    </row>
    <row r="3031">
      <c r="A3031" s="122" t="s">
        <v>14535</v>
      </c>
      <c r="B3031" s="123">
        <v>1136893.0</v>
      </c>
      <c r="C3031" s="687" t="s">
        <v>14536</v>
      </c>
      <c r="D3031" s="125"/>
    </row>
    <row r="3032">
      <c r="A3032" s="122" t="s">
        <v>16055</v>
      </c>
      <c r="B3032" s="123">
        <v>1847416.0</v>
      </c>
      <c r="C3032" s="687" t="s">
        <v>16056</v>
      </c>
      <c r="D3032" s="125"/>
    </row>
    <row r="3033">
      <c r="A3033" s="122" t="s">
        <v>11275</v>
      </c>
      <c r="B3033" s="123">
        <v>1513363.0</v>
      </c>
      <c r="C3033" s="687" t="s">
        <v>11276</v>
      </c>
      <c r="D3033" s="125"/>
    </row>
    <row r="3034">
      <c r="A3034" s="122" t="s">
        <v>1353</v>
      </c>
      <c r="B3034" s="123">
        <v>1941771.0</v>
      </c>
      <c r="C3034" s="687" t="s">
        <v>1354</v>
      </c>
      <c r="D3034" s="125"/>
    </row>
    <row r="3035">
      <c r="A3035" s="122" t="s">
        <v>13128</v>
      </c>
      <c r="B3035" s="123">
        <v>35527.0</v>
      </c>
      <c r="C3035" s="687" t="s">
        <v>13129</v>
      </c>
      <c r="D3035" s="125"/>
    </row>
    <row r="3036">
      <c r="A3036" s="122" t="s">
        <v>12003</v>
      </c>
      <c r="B3036" s="123">
        <v>35527.0</v>
      </c>
      <c r="C3036" s="687" t="s">
        <v>12004</v>
      </c>
      <c r="D3036" s="125"/>
    </row>
    <row r="3037">
      <c r="A3037" s="122" t="s">
        <v>12296</v>
      </c>
      <c r="B3037" s="123">
        <v>35527.0</v>
      </c>
      <c r="C3037" s="687" t="s">
        <v>12297</v>
      </c>
      <c r="D3037" s="125"/>
    </row>
    <row r="3038">
      <c r="A3038" s="122" t="s">
        <v>12402</v>
      </c>
      <c r="B3038" s="123">
        <v>35527.0</v>
      </c>
      <c r="C3038" s="687" t="s">
        <v>12403</v>
      </c>
      <c r="D3038" s="125"/>
    </row>
    <row r="3039">
      <c r="A3039" s="122" t="s">
        <v>6957</v>
      </c>
      <c r="B3039" s="123">
        <v>1846576.0</v>
      </c>
      <c r="C3039" s="687" t="s">
        <v>6958</v>
      </c>
      <c r="D3039" s="125"/>
    </row>
    <row r="3040">
      <c r="A3040" s="122" t="s">
        <v>3482</v>
      </c>
      <c r="B3040" s="123">
        <v>1828937.0</v>
      </c>
      <c r="C3040" s="687" t="s">
        <v>3483</v>
      </c>
      <c r="D3040" s="125"/>
    </row>
    <row r="3041">
      <c r="A3041" s="122" t="s">
        <v>2143</v>
      </c>
      <c r="B3041" s="123">
        <v>1377167.0</v>
      </c>
      <c r="C3041" s="687" t="s">
        <v>2144</v>
      </c>
      <c r="D3041" s="125"/>
    </row>
    <row r="3042">
      <c r="A3042" s="122" t="s">
        <v>11377</v>
      </c>
      <c r="B3042" s="123">
        <v>862831.0</v>
      </c>
      <c r="C3042" s="687" t="s">
        <v>11378</v>
      </c>
      <c r="D3042" s="125"/>
    </row>
    <row r="3043">
      <c r="A3043" s="122" t="s">
        <v>15855</v>
      </c>
      <c r="B3043" s="123">
        <v>862831.0</v>
      </c>
      <c r="C3043" s="687" t="s">
        <v>15856</v>
      </c>
      <c r="D3043" s="125"/>
    </row>
    <row r="3044">
      <c r="A3044" s="122" t="s">
        <v>9079</v>
      </c>
      <c r="B3044" s="123">
        <v>1817565.0</v>
      </c>
      <c r="C3044" s="687" t="s">
        <v>9080</v>
      </c>
      <c r="D3044" s="125"/>
    </row>
    <row r="3045">
      <c r="A3045" s="122" t="s">
        <v>33680</v>
      </c>
      <c r="B3045" s="123">
        <v>1817565.0</v>
      </c>
      <c r="C3045" s="687" t="s">
        <v>33681</v>
      </c>
      <c r="D3045" s="125"/>
    </row>
    <row r="3046">
      <c r="A3046" s="122" t="s">
        <v>745</v>
      </c>
      <c r="B3046" s="123">
        <v>1817565.0</v>
      </c>
      <c r="C3046" s="687" t="s">
        <v>746</v>
      </c>
      <c r="D3046" s="125"/>
    </row>
    <row r="3047">
      <c r="A3047" s="122" t="s">
        <v>1866</v>
      </c>
      <c r="B3047" s="123">
        <v>1823855.0</v>
      </c>
      <c r="C3047" s="687" t="s">
        <v>1867</v>
      </c>
      <c r="D3047" s="125"/>
    </row>
    <row r="3048">
      <c r="A3048" s="122" t="s">
        <v>5316</v>
      </c>
      <c r="B3048" s="123">
        <v>1733257.0</v>
      </c>
      <c r="C3048" s="687" t="s">
        <v>5317</v>
      </c>
      <c r="D3048" s="125"/>
    </row>
    <row r="3049">
      <c r="A3049" s="122" t="s">
        <v>1287</v>
      </c>
      <c r="B3049" s="123">
        <v>1593184.0</v>
      </c>
      <c r="C3049" s="687" t="s">
        <v>1288</v>
      </c>
      <c r="D3049" s="125"/>
    </row>
    <row r="3050">
      <c r="A3050" s="122" t="s">
        <v>5100</v>
      </c>
      <c r="B3050" s="123">
        <v>1602409.0</v>
      </c>
      <c r="C3050" s="687" t="s">
        <v>5101</v>
      </c>
      <c r="D3050" s="125"/>
    </row>
    <row r="3051">
      <c r="A3051" s="122" t="s">
        <v>12574</v>
      </c>
      <c r="B3051" s="123">
        <v>1749797.0</v>
      </c>
      <c r="C3051" s="687" t="s">
        <v>12575</v>
      </c>
      <c r="D3051" s="125"/>
    </row>
    <row r="3052">
      <c r="A3052" s="122" t="s">
        <v>743</v>
      </c>
      <c r="B3052" s="123">
        <v>1857855.0</v>
      </c>
      <c r="C3052" s="687" t="s">
        <v>744</v>
      </c>
      <c r="D3052" s="125"/>
    </row>
    <row r="3053">
      <c r="A3053" s="122" t="s">
        <v>9222</v>
      </c>
      <c r="B3053" s="123">
        <v>1857855.0</v>
      </c>
      <c r="C3053" s="687" t="s">
        <v>9223</v>
      </c>
      <c r="D3053" s="125"/>
    </row>
    <row r="3054">
      <c r="A3054" s="122" t="s">
        <v>9072</v>
      </c>
      <c r="B3054" s="123">
        <v>1857855.0</v>
      </c>
      <c r="C3054" s="687" t="s">
        <v>9073</v>
      </c>
      <c r="D3054" s="125"/>
    </row>
    <row r="3055">
      <c r="A3055" s="122" t="s">
        <v>986</v>
      </c>
      <c r="B3055" s="123">
        <v>1852407.0</v>
      </c>
      <c r="C3055" s="687" t="s">
        <v>987</v>
      </c>
      <c r="D3055" s="125"/>
    </row>
    <row r="3056">
      <c r="A3056" s="122" t="s">
        <v>8884</v>
      </c>
      <c r="B3056" s="123">
        <v>1852407.0</v>
      </c>
      <c r="C3056" s="687" t="s">
        <v>8885</v>
      </c>
      <c r="D3056" s="125"/>
    </row>
    <row r="3057">
      <c r="A3057" s="122" t="s">
        <v>6449</v>
      </c>
      <c r="B3057" s="123">
        <v>1691445.0</v>
      </c>
      <c r="C3057" s="687" t="s">
        <v>6450</v>
      </c>
      <c r="D3057" s="125"/>
    </row>
    <row r="3058">
      <c r="A3058" s="122" t="s">
        <v>12142</v>
      </c>
      <c r="B3058" s="123">
        <v>919864.0</v>
      </c>
      <c r="C3058" s="687" t="s">
        <v>12143</v>
      </c>
      <c r="D3058" s="125"/>
    </row>
    <row r="3059">
      <c r="A3059" s="122" t="s">
        <v>9857</v>
      </c>
      <c r="B3059" s="123">
        <v>1856365.0</v>
      </c>
      <c r="C3059" s="687" t="s">
        <v>9858</v>
      </c>
      <c r="D3059" s="125"/>
    </row>
    <row r="3060">
      <c r="A3060" s="122" t="s">
        <v>1956</v>
      </c>
      <c r="B3060" s="123">
        <v>1811942.0</v>
      </c>
      <c r="C3060" s="687" t="s">
        <v>1957</v>
      </c>
      <c r="D3060" s="125"/>
    </row>
    <row r="3061">
      <c r="A3061" s="122" t="s">
        <v>6167</v>
      </c>
      <c r="B3061" s="123">
        <v>1528930.0</v>
      </c>
      <c r="C3061" s="687" t="s">
        <v>6168</v>
      </c>
      <c r="D3061" s="125"/>
    </row>
    <row r="3062">
      <c r="A3062" s="122" t="s">
        <v>10759</v>
      </c>
      <c r="B3062" s="123">
        <v>1210677.0</v>
      </c>
      <c r="C3062" s="687" t="s">
        <v>10760</v>
      </c>
      <c r="D3062" s="125"/>
    </row>
    <row r="3063">
      <c r="A3063" s="122" t="s">
        <v>2468</v>
      </c>
      <c r="B3063" s="123">
        <v>1525306.0</v>
      </c>
      <c r="C3063" s="687" t="s">
        <v>2469</v>
      </c>
      <c r="D3063" s="125"/>
    </row>
    <row r="3064">
      <c r="A3064" s="122" t="s">
        <v>14468</v>
      </c>
      <c r="B3064" s="123">
        <v>1472787.0</v>
      </c>
      <c r="C3064" s="687" t="s">
        <v>14469</v>
      </c>
      <c r="D3064" s="125"/>
    </row>
    <row r="3065">
      <c r="A3065" s="122" t="s">
        <v>10776</v>
      </c>
      <c r="B3065" s="123">
        <v>1057706.0</v>
      </c>
      <c r="C3065" s="687" t="s">
        <v>10777</v>
      </c>
      <c r="D3065" s="125"/>
    </row>
    <row r="3066">
      <c r="A3066" s="122" t="s">
        <v>13231</v>
      </c>
      <c r="B3066" s="123">
        <v>811589.0</v>
      </c>
      <c r="C3066" s="687" t="s">
        <v>13232</v>
      </c>
      <c r="D3066" s="125"/>
    </row>
    <row r="3067">
      <c r="A3067" s="122" t="s">
        <v>12222</v>
      </c>
      <c r="B3067" s="123">
        <v>765207.0</v>
      </c>
      <c r="C3067" s="687" t="s">
        <v>12223</v>
      </c>
      <c r="D3067" s="125"/>
    </row>
    <row r="3068">
      <c r="A3068" s="122" t="s">
        <v>10416</v>
      </c>
      <c r="B3068" s="123">
        <v>1074543.0</v>
      </c>
      <c r="C3068" s="687" t="s">
        <v>10417</v>
      </c>
      <c r="D3068" s="125"/>
    </row>
    <row r="3069">
      <c r="A3069" s="122" t="s">
        <v>12286</v>
      </c>
      <c r="B3069" s="123">
        <v>947559.0</v>
      </c>
      <c r="C3069" s="687" t="s">
        <v>12287</v>
      </c>
      <c r="D3069" s="125"/>
    </row>
    <row r="3070">
      <c r="A3070" s="122" t="s">
        <v>10860</v>
      </c>
      <c r="B3070" s="123">
        <v>872203.0</v>
      </c>
      <c r="C3070" s="687" t="s">
        <v>10861</v>
      </c>
      <c r="D3070" s="125"/>
    </row>
    <row r="3071">
      <c r="A3071" s="122" t="s">
        <v>11983</v>
      </c>
      <c r="B3071" s="123">
        <v>314489.0</v>
      </c>
      <c r="C3071" s="687" t="s">
        <v>11984</v>
      </c>
      <c r="D3071" s="125"/>
    </row>
    <row r="3072">
      <c r="A3072" s="122" t="s">
        <v>13251</v>
      </c>
      <c r="B3072" s="123">
        <v>1521951.0</v>
      </c>
      <c r="C3072" s="687" t="s">
        <v>13252</v>
      </c>
      <c r="D3072" s="125"/>
    </row>
    <row r="3073">
      <c r="A3073" s="122" t="s">
        <v>12791</v>
      </c>
      <c r="B3073" s="123">
        <v>1070296.0</v>
      </c>
      <c r="C3073" s="687" t="s">
        <v>12792</v>
      </c>
      <c r="D3073" s="125"/>
    </row>
    <row r="3074">
      <c r="A3074" s="122" t="s">
        <v>11633</v>
      </c>
      <c r="B3074" s="123">
        <v>798941.0</v>
      </c>
      <c r="C3074" s="687" t="s">
        <v>11634</v>
      </c>
      <c r="D3074" s="125"/>
    </row>
    <row r="3075">
      <c r="A3075" s="122" t="s">
        <v>11849</v>
      </c>
      <c r="B3075" s="123">
        <v>798941.0</v>
      </c>
      <c r="C3075" s="687" t="s">
        <v>11850</v>
      </c>
      <c r="D3075" s="125"/>
    </row>
    <row r="3076">
      <c r="A3076" s="122" t="s">
        <v>16715</v>
      </c>
      <c r="B3076" s="123">
        <v>798941.0</v>
      </c>
      <c r="C3076" s="687" t="s">
        <v>16716</v>
      </c>
      <c r="D3076" s="125"/>
    </row>
    <row r="3077">
      <c r="A3077" s="122" t="s">
        <v>16707</v>
      </c>
      <c r="B3077" s="123">
        <v>798941.0</v>
      </c>
      <c r="C3077" s="687" t="s">
        <v>16708</v>
      </c>
      <c r="D3077" s="125"/>
    </row>
    <row r="3078">
      <c r="A3078" s="122" t="s">
        <v>10053</v>
      </c>
      <c r="B3078" s="123">
        <v>712537.0</v>
      </c>
      <c r="C3078" s="687" t="s">
        <v>10054</v>
      </c>
      <c r="D3078" s="125"/>
    </row>
    <row r="3079">
      <c r="A3079" s="122" t="s">
        <v>13132</v>
      </c>
      <c r="B3079" s="123">
        <v>859070.0</v>
      </c>
      <c r="C3079" s="687" t="s">
        <v>13133</v>
      </c>
      <c r="D3079" s="125"/>
    </row>
    <row r="3080">
      <c r="A3080" s="122" t="s">
        <v>11085</v>
      </c>
      <c r="B3080" s="123">
        <v>932781.0</v>
      </c>
      <c r="C3080" s="687" t="s">
        <v>11086</v>
      </c>
      <c r="D3080" s="125"/>
    </row>
    <row r="3081">
      <c r="A3081" s="122" t="s">
        <v>11775</v>
      </c>
      <c r="B3081" s="123">
        <v>708955.0</v>
      </c>
      <c r="C3081" s="687" t="s">
        <v>11776</v>
      </c>
      <c r="D3081" s="125"/>
    </row>
    <row r="3082">
      <c r="A3082" s="122" t="s">
        <v>12940</v>
      </c>
      <c r="B3082" s="123">
        <v>36029.0</v>
      </c>
      <c r="C3082" s="687" t="s">
        <v>12941</v>
      </c>
      <c r="D3082" s="125"/>
    </row>
    <row r="3083">
      <c r="A3083" s="122" t="s">
        <v>13467</v>
      </c>
      <c r="B3083" s="123">
        <v>714562.0</v>
      </c>
      <c r="C3083" s="687" t="s">
        <v>13468</v>
      </c>
      <c r="D3083" s="125"/>
    </row>
    <row r="3084">
      <c r="A3084" s="122" t="s">
        <v>11591</v>
      </c>
      <c r="B3084" s="123">
        <v>1401564.0</v>
      </c>
      <c r="C3084" s="687" t="s">
        <v>11592</v>
      </c>
      <c r="D3084" s="125"/>
    </row>
    <row r="3085">
      <c r="A3085" s="122" t="s">
        <v>7978</v>
      </c>
      <c r="B3085" s="123">
        <v>1413837.0</v>
      </c>
      <c r="C3085" s="687" t="s">
        <v>7979</v>
      </c>
      <c r="D3085" s="125"/>
    </row>
    <row r="3086">
      <c r="A3086" s="122" t="s">
        <v>11549</v>
      </c>
      <c r="B3086" s="123">
        <v>1408534.0</v>
      </c>
      <c r="C3086" s="687" t="s">
        <v>11550</v>
      </c>
      <c r="D3086" s="125"/>
    </row>
    <row r="3087">
      <c r="A3087" s="122" t="s">
        <v>11631</v>
      </c>
      <c r="B3087" s="123">
        <v>36377.0</v>
      </c>
      <c r="C3087" s="687" t="s">
        <v>11632</v>
      </c>
      <c r="D3087" s="125"/>
    </row>
    <row r="3088">
      <c r="A3088" s="122" t="s">
        <v>10171</v>
      </c>
      <c r="B3088" s="123">
        <v>36966.0</v>
      </c>
      <c r="C3088" s="687" t="s">
        <v>10172</v>
      </c>
      <c r="D3088" s="125"/>
    </row>
    <row r="3089">
      <c r="A3089" s="122" t="s">
        <v>14186</v>
      </c>
      <c r="B3089" s="123">
        <v>921825.0</v>
      </c>
      <c r="C3089" s="687" t="s">
        <v>14187</v>
      </c>
      <c r="D3089" s="125"/>
    </row>
    <row r="3090">
      <c r="A3090" s="122" t="s">
        <v>12812</v>
      </c>
      <c r="B3090" s="123">
        <v>1562463.0</v>
      </c>
      <c r="C3090" s="687" t="s">
        <v>12813</v>
      </c>
      <c r="D3090" s="125"/>
    </row>
    <row r="3091">
      <c r="A3091" s="122" t="s">
        <v>12005</v>
      </c>
      <c r="B3091" s="123">
        <v>1562463.0</v>
      </c>
      <c r="C3091" s="687" t="s">
        <v>12006</v>
      </c>
      <c r="D3091" s="125"/>
    </row>
    <row r="3092">
      <c r="A3092" s="122" t="s">
        <v>12479</v>
      </c>
      <c r="B3092" s="123">
        <v>860413.0</v>
      </c>
      <c r="C3092" s="687" t="s">
        <v>12480</v>
      </c>
      <c r="D3092" s="125"/>
    </row>
    <row r="3093">
      <c r="A3093" s="122" t="s">
        <v>10586</v>
      </c>
      <c r="B3093" s="123">
        <v>737875.0</v>
      </c>
      <c r="C3093" s="687" t="s">
        <v>10587</v>
      </c>
      <c r="D3093" s="125"/>
    </row>
    <row r="3094">
      <c r="A3094" s="122" t="s">
        <v>13118</v>
      </c>
      <c r="B3094" s="123">
        <v>712534.0</v>
      </c>
      <c r="C3094" s="687" t="s">
        <v>13119</v>
      </c>
      <c r="D3094" s="125"/>
    </row>
    <row r="3095">
      <c r="A3095" s="122" t="s">
        <v>12364</v>
      </c>
      <c r="B3095" s="123">
        <v>712534.0</v>
      </c>
      <c r="C3095" s="687" t="s">
        <v>12365</v>
      </c>
      <c r="D3095" s="125"/>
    </row>
    <row r="3096">
      <c r="A3096" s="122" t="s">
        <v>12864</v>
      </c>
      <c r="B3096" s="123">
        <v>700565.0</v>
      </c>
      <c r="C3096" s="687" t="s">
        <v>12865</v>
      </c>
      <c r="D3096" s="125"/>
    </row>
    <row r="3097">
      <c r="A3097" s="122" t="s">
        <v>1771</v>
      </c>
      <c r="B3097" s="123">
        <v>1641229.0</v>
      </c>
      <c r="C3097" s="687" t="s">
        <v>1772</v>
      </c>
      <c r="D3097" s="125"/>
    </row>
    <row r="3098">
      <c r="A3098" s="122" t="s">
        <v>11428</v>
      </c>
      <c r="B3098" s="123">
        <v>719402.0</v>
      </c>
      <c r="C3098" s="687" t="s">
        <v>11429</v>
      </c>
      <c r="D3098" s="125"/>
    </row>
    <row r="3099">
      <c r="A3099" s="122" t="s">
        <v>7902</v>
      </c>
      <c r="B3099" s="123">
        <v>1114927.0</v>
      </c>
      <c r="C3099" s="687" t="s">
        <v>7903</v>
      </c>
      <c r="D3099" s="125"/>
    </row>
    <row r="3100">
      <c r="A3100" s="122" t="s">
        <v>10175</v>
      </c>
      <c r="B3100" s="123">
        <v>1556727.0</v>
      </c>
      <c r="C3100" s="687" t="s">
        <v>10176</v>
      </c>
      <c r="D3100" s="125"/>
    </row>
    <row r="3101">
      <c r="A3101" s="122" t="s">
        <v>9657</v>
      </c>
      <c r="B3101" s="123">
        <v>740663.0</v>
      </c>
      <c r="C3101" s="687" t="s">
        <v>9658</v>
      </c>
      <c r="D3101" s="125"/>
    </row>
    <row r="3102">
      <c r="A3102" s="122" t="s">
        <v>10646</v>
      </c>
      <c r="B3102" s="123">
        <v>36840.0</v>
      </c>
      <c r="C3102" s="687" t="s">
        <v>10647</v>
      </c>
      <c r="D3102" s="125"/>
    </row>
    <row r="3103">
      <c r="A3103" s="122" t="s">
        <v>7888</v>
      </c>
      <c r="B3103" s="123">
        <v>1172102.0</v>
      </c>
      <c r="C3103" s="687" t="s">
        <v>7889</v>
      </c>
      <c r="D3103" s="125"/>
    </row>
    <row r="3104">
      <c r="A3104" s="122" t="s">
        <v>7908</v>
      </c>
      <c r="B3104" s="123">
        <v>1769267.0</v>
      </c>
      <c r="C3104" s="687" t="s">
        <v>7909</v>
      </c>
      <c r="D3104" s="125"/>
    </row>
    <row r="3105">
      <c r="A3105" s="122" t="s">
        <v>15818</v>
      </c>
      <c r="B3105" s="123">
        <v>1274494.0</v>
      </c>
      <c r="C3105" s="687" t="s">
        <v>15819</v>
      </c>
      <c r="D3105" s="125"/>
    </row>
    <row r="3106">
      <c r="A3106" s="122" t="s">
        <v>10264</v>
      </c>
      <c r="B3106" s="123">
        <v>1284940.0</v>
      </c>
      <c r="C3106" s="687" t="s">
        <v>10265</v>
      </c>
      <c r="D3106" s="125"/>
    </row>
    <row r="3107">
      <c r="A3107" s="122" t="s">
        <v>10696</v>
      </c>
      <c r="B3107" s="123">
        <v>1513789.0</v>
      </c>
      <c r="C3107" s="687" t="s">
        <v>10697</v>
      </c>
      <c r="D3107" s="125"/>
    </row>
    <row r="3108">
      <c r="A3108" s="122" t="s">
        <v>11120</v>
      </c>
      <c r="B3108" s="123">
        <v>1291334.0</v>
      </c>
      <c r="C3108" s="687" t="s">
        <v>11121</v>
      </c>
      <c r="D3108" s="125"/>
    </row>
    <row r="3109">
      <c r="A3109" s="122" t="s">
        <v>9484</v>
      </c>
      <c r="B3109" s="123">
        <v>1494530.0</v>
      </c>
      <c r="C3109" s="687" t="s">
        <v>9485</v>
      </c>
      <c r="D3109" s="125"/>
    </row>
    <row r="3110">
      <c r="A3110" s="122" t="s">
        <v>10205</v>
      </c>
      <c r="B3110" s="123">
        <v>1810523.0</v>
      </c>
      <c r="C3110" s="687" t="s">
        <v>10206</v>
      </c>
      <c r="D3110" s="125"/>
    </row>
    <row r="3111">
      <c r="A3111" s="122" t="s">
        <v>10907</v>
      </c>
      <c r="B3111" s="123">
        <v>1567569.0</v>
      </c>
      <c r="C3111" s="687" t="s">
        <v>10908</v>
      </c>
      <c r="D3111" s="125"/>
    </row>
    <row r="3112">
      <c r="A3112" s="122" t="s">
        <v>7866</v>
      </c>
      <c r="B3112" s="123">
        <v>1556336.0</v>
      </c>
      <c r="C3112" s="687" t="s">
        <v>7867</v>
      </c>
      <c r="D3112" s="125"/>
    </row>
    <row r="3113">
      <c r="A3113" s="122" t="s">
        <v>7281</v>
      </c>
      <c r="B3113" s="123">
        <v>1589420.0</v>
      </c>
      <c r="C3113" s="687" t="s">
        <v>7282</v>
      </c>
      <c r="D3113" s="125"/>
    </row>
    <row r="3114">
      <c r="A3114" s="122" t="s">
        <v>8308</v>
      </c>
      <c r="B3114" s="123">
        <v>1282850.0</v>
      </c>
      <c r="C3114" s="687" t="s">
        <v>8309</v>
      </c>
      <c r="D3114" s="125"/>
    </row>
    <row r="3115">
      <c r="A3115" s="122" t="s">
        <v>5812</v>
      </c>
      <c r="B3115" s="123">
        <v>1392994.0</v>
      </c>
      <c r="C3115" s="687" t="s">
        <v>5813</v>
      </c>
      <c r="D3115" s="125"/>
    </row>
    <row r="3116">
      <c r="A3116" s="122" t="s">
        <v>7123</v>
      </c>
      <c r="B3116" s="123">
        <v>1302624.0</v>
      </c>
      <c r="C3116" s="687" t="s">
        <v>7124</v>
      </c>
      <c r="D3116" s="125"/>
    </row>
    <row r="3117">
      <c r="A3117" s="122" t="s">
        <v>9626</v>
      </c>
      <c r="B3117" s="123">
        <v>1319183.0</v>
      </c>
      <c r="C3117" s="687" t="s">
        <v>9627</v>
      </c>
      <c r="D3117" s="125"/>
    </row>
    <row r="3118">
      <c r="A3118" s="122" t="s">
        <v>11917</v>
      </c>
      <c r="B3118" s="123">
        <v>763907.0</v>
      </c>
      <c r="C3118" s="687" t="s">
        <v>11918</v>
      </c>
      <c r="D3118" s="125"/>
    </row>
    <row r="3119">
      <c r="A3119" s="122" t="s">
        <v>8516</v>
      </c>
      <c r="B3119" s="123">
        <v>717806.0</v>
      </c>
      <c r="C3119" s="687" t="s">
        <v>8517</v>
      </c>
      <c r="D3119" s="125"/>
    </row>
    <row r="3120">
      <c r="A3120" s="122" t="s">
        <v>11723</v>
      </c>
      <c r="B3120" s="123">
        <v>1789940.0</v>
      </c>
      <c r="C3120" s="687" t="s">
        <v>11724</v>
      </c>
      <c r="D3120" s="125"/>
    </row>
    <row r="3121">
      <c r="A3121" s="122" t="s">
        <v>6619</v>
      </c>
      <c r="B3121" s="123">
        <v>1604191.0</v>
      </c>
      <c r="C3121" s="687" t="s">
        <v>6620</v>
      </c>
      <c r="D3121" s="125"/>
    </row>
    <row r="3122">
      <c r="A3122" s="122" t="s">
        <v>10842</v>
      </c>
      <c r="B3122" s="123">
        <v>1327607.0</v>
      </c>
      <c r="C3122" s="687" t="s">
        <v>10843</v>
      </c>
      <c r="D3122" s="125"/>
    </row>
    <row r="3123">
      <c r="A3123" s="122" t="s">
        <v>15586</v>
      </c>
      <c r="B3123" s="123">
        <v>840489.0</v>
      </c>
      <c r="C3123" s="687" t="s">
        <v>15587</v>
      </c>
      <c r="D3123" s="125"/>
    </row>
    <row r="3124">
      <c r="A3124" s="122" t="s">
        <v>13376</v>
      </c>
      <c r="B3124" s="123">
        <v>1031296.0</v>
      </c>
      <c r="C3124" s="687" t="s">
        <v>13377</v>
      </c>
      <c r="D3124" s="125"/>
    </row>
    <row r="3125">
      <c r="A3125" s="122" t="s">
        <v>2500</v>
      </c>
      <c r="B3125" s="123">
        <v>1495584.0</v>
      </c>
      <c r="C3125" s="687" t="s">
        <v>2501</v>
      </c>
      <c r="D3125" s="125"/>
    </row>
    <row r="3126">
      <c r="A3126" s="122" t="s">
        <v>16008</v>
      </c>
      <c r="B3126" s="123">
        <v>1637810.0</v>
      </c>
      <c r="C3126" s="687" t="s">
        <v>16009</v>
      </c>
      <c r="D3126" s="125"/>
    </row>
    <row r="3127">
      <c r="A3127" s="122" t="s">
        <v>13255</v>
      </c>
      <c r="B3127" s="123">
        <v>1709442.0</v>
      </c>
      <c r="C3127" s="687" t="s">
        <v>13256</v>
      </c>
      <c r="D3127" s="125"/>
    </row>
    <row r="3128">
      <c r="A3128" s="122" t="s">
        <v>4343</v>
      </c>
      <c r="B3128" s="123">
        <v>1823466.0</v>
      </c>
      <c r="C3128" s="687" t="s">
        <v>4344</v>
      </c>
      <c r="D3128" s="125"/>
    </row>
    <row r="3129">
      <c r="A3129" s="122" t="s">
        <v>15758</v>
      </c>
      <c r="B3129" s="123">
        <v>798354.0</v>
      </c>
      <c r="C3129" s="687" t="s">
        <v>15759</v>
      </c>
      <c r="D3129" s="125"/>
    </row>
    <row r="3130">
      <c r="A3130" s="122" t="s">
        <v>33682</v>
      </c>
      <c r="B3130" s="123">
        <v>1487931.0</v>
      </c>
      <c r="C3130" s="687" t="s">
        <v>33683</v>
      </c>
      <c r="D3130" s="125"/>
    </row>
    <row r="3131">
      <c r="A3131" s="122" t="s">
        <v>3510</v>
      </c>
      <c r="B3131" s="123">
        <v>1720990.0</v>
      </c>
      <c r="C3131" s="687" t="s">
        <v>3511</v>
      </c>
      <c r="D3131" s="125"/>
    </row>
    <row r="3132">
      <c r="A3132" s="122" t="s">
        <v>11733</v>
      </c>
      <c r="B3132" s="123">
        <v>1374328.0</v>
      </c>
      <c r="C3132" s="687" t="s">
        <v>11734</v>
      </c>
      <c r="D3132" s="125"/>
    </row>
    <row r="3133">
      <c r="A3133" s="122" t="s">
        <v>16067</v>
      </c>
      <c r="B3133" s="123">
        <v>1177609.0</v>
      </c>
      <c r="C3133" s="687" t="s">
        <v>16068</v>
      </c>
      <c r="D3133" s="125"/>
    </row>
    <row r="3134">
      <c r="A3134" s="122" t="s">
        <v>5834</v>
      </c>
      <c r="B3134" s="123">
        <v>1574197.0</v>
      </c>
      <c r="C3134" s="687" t="s">
        <v>5835</v>
      </c>
      <c r="D3134" s="125"/>
    </row>
    <row r="3135">
      <c r="A3135" s="122" t="s">
        <v>11967</v>
      </c>
      <c r="B3135" s="123">
        <v>1275168.0</v>
      </c>
      <c r="C3135" s="687" t="s">
        <v>11968</v>
      </c>
      <c r="D3135" s="125"/>
    </row>
    <row r="3136">
      <c r="A3136" s="122" t="s">
        <v>14850</v>
      </c>
      <c r="B3136" s="123">
        <v>1288847.0</v>
      </c>
      <c r="C3136" s="687" t="s">
        <v>14851</v>
      </c>
      <c r="D3136" s="125"/>
    </row>
    <row r="3137">
      <c r="A3137" s="122" t="s">
        <v>12600</v>
      </c>
      <c r="B3137" s="123">
        <v>1762301.0</v>
      </c>
      <c r="C3137" s="687" t="s">
        <v>12601</v>
      </c>
      <c r="D3137" s="125"/>
    </row>
    <row r="3138">
      <c r="A3138" s="122" t="s">
        <v>8503</v>
      </c>
      <c r="B3138" s="123">
        <v>868578.0</v>
      </c>
      <c r="C3138" s="687" t="s">
        <v>8504</v>
      </c>
      <c r="D3138" s="125"/>
    </row>
    <row r="3139">
      <c r="A3139" s="122" t="s">
        <v>10403</v>
      </c>
      <c r="B3139" s="123">
        <v>1245648.0</v>
      </c>
      <c r="C3139" s="687" t="s">
        <v>10404</v>
      </c>
      <c r="D3139" s="125"/>
    </row>
    <row r="3140">
      <c r="A3140" s="122" t="s">
        <v>10276</v>
      </c>
      <c r="B3140" s="123">
        <v>1174164.0</v>
      </c>
      <c r="C3140" s="687" t="s">
        <v>10277</v>
      </c>
      <c r="D3140" s="125"/>
    </row>
    <row r="3141">
      <c r="A3141" s="122" t="s">
        <v>7757</v>
      </c>
      <c r="B3141" s="123">
        <v>882071.0</v>
      </c>
      <c r="C3141" s="687" t="s">
        <v>7758</v>
      </c>
      <c r="D3141" s="125"/>
    </row>
    <row r="3142">
      <c r="A3142" s="122" t="s">
        <v>9728</v>
      </c>
      <c r="B3142" s="123">
        <v>1831481.0</v>
      </c>
      <c r="C3142" s="687" t="s">
        <v>9729</v>
      </c>
      <c r="D3142" s="125"/>
    </row>
    <row r="3143">
      <c r="A3143" s="122" t="s">
        <v>12492</v>
      </c>
      <c r="B3143" s="123">
        <v>12040.0</v>
      </c>
      <c r="C3143" s="687" t="s">
        <v>12493</v>
      </c>
      <c r="D3143" s="125"/>
    </row>
    <row r="3144">
      <c r="A3144" s="122" t="s">
        <v>16413</v>
      </c>
      <c r="B3144" s="123">
        <v>1175454.0</v>
      </c>
      <c r="C3144" s="687" t="s">
        <v>16414</v>
      </c>
      <c r="D3144" s="125"/>
    </row>
    <row r="3145">
      <c r="A3145" s="122" t="s">
        <v>12715</v>
      </c>
      <c r="B3145" s="123">
        <v>1772253.0</v>
      </c>
      <c r="C3145" s="687" t="s">
        <v>12716</v>
      </c>
      <c r="D3145" s="125"/>
    </row>
    <row r="3146">
      <c r="A3146" s="122" t="s">
        <v>4725</v>
      </c>
      <c r="B3146" s="123">
        <v>1069394.0</v>
      </c>
      <c r="C3146" s="687" t="s">
        <v>4726</v>
      </c>
      <c r="D3146" s="125"/>
    </row>
    <row r="3147">
      <c r="A3147" s="122" t="s">
        <v>33684</v>
      </c>
      <c r="B3147" s="123">
        <v>925660.0</v>
      </c>
      <c r="C3147" s="687" t="s">
        <v>33685</v>
      </c>
      <c r="D3147" s="125"/>
    </row>
    <row r="3148">
      <c r="A3148" s="122" t="s">
        <v>4199</v>
      </c>
      <c r="B3148" s="123">
        <v>1397047.0</v>
      </c>
      <c r="C3148" s="687" t="s">
        <v>4200</v>
      </c>
      <c r="D3148" s="125"/>
    </row>
    <row r="3149">
      <c r="A3149" s="122" t="s">
        <v>12661</v>
      </c>
      <c r="B3149" s="123">
        <v>37472.0</v>
      </c>
      <c r="C3149" s="687" t="s">
        <v>12662</v>
      </c>
      <c r="D3149" s="125"/>
    </row>
    <row r="3150">
      <c r="A3150" s="122" t="s">
        <v>15457</v>
      </c>
      <c r="B3150" s="123">
        <v>1507079.0</v>
      </c>
      <c r="C3150" s="687" t="s">
        <v>15458</v>
      </c>
      <c r="D3150" s="125"/>
    </row>
    <row r="3151">
      <c r="A3151" s="122" t="s">
        <v>3823</v>
      </c>
      <c r="B3151" s="123">
        <v>1790169.0</v>
      </c>
      <c r="C3151" s="687" t="s">
        <v>3824</v>
      </c>
      <c r="D3151" s="125"/>
    </row>
    <row r="3152">
      <c r="A3152" s="122" t="s">
        <v>5552</v>
      </c>
      <c r="B3152" s="123">
        <v>928054.0</v>
      </c>
      <c r="C3152" s="687" t="s">
        <v>5553</v>
      </c>
      <c r="D3152" s="125"/>
    </row>
    <row r="3153">
      <c r="A3153" s="122" t="s">
        <v>3285</v>
      </c>
      <c r="B3153" s="123">
        <v>1458023.0</v>
      </c>
      <c r="C3153" s="687" t="s">
        <v>3286</v>
      </c>
      <c r="D3153" s="125"/>
    </row>
    <row r="3154">
      <c r="A3154" s="122" t="s">
        <v>12019</v>
      </c>
      <c r="B3154" s="123">
        <v>1128928.0</v>
      </c>
      <c r="C3154" s="687" t="s">
        <v>12020</v>
      </c>
      <c r="D3154" s="125"/>
    </row>
    <row r="3155">
      <c r="A3155" s="122" t="s">
        <v>13631</v>
      </c>
      <c r="B3155" s="123">
        <v>30625.0</v>
      </c>
      <c r="C3155" s="687" t="s">
        <v>13632</v>
      </c>
      <c r="D3155" s="125"/>
    </row>
    <row r="3156">
      <c r="A3156" s="122" t="s">
        <v>11375</v>
      </c>
      <c r="B3156" s="123">
        <v>1868941.0</v>
      </c>
      <c r="C3156" s="687" t="s">
        <v>11376</v>
      </c>
      <c r="D3156" s="125"/>
    </row>
    <row r="3157">
      <c r="A3157" s="122" t="s">
        <v>3211</v>
      </c>
      <c r="B3157" s="123">
        <v>1460329.0</v>
      </c>
      <c r="C3157" s="687" t="s">
        <v>3212</v>
      </c>
      <c r="D3157" s="125"/>
    </row>
    <row r="3158">
      <c r="A3158" s="122" t="s">
        <v>13471</v>
      </c>
      <c r="B3158" s="123">
        <v>1124198.0</v>
      </c>
      <c r="C3158" s="687" t="s">
        <v>13472</v>
      </c>
      <c r="D3158" s="125"/>
    </row>
    <row r="3159">
      <c r="A3159" s="122" t="s">
        <v>10531</v>
      </c>
      <c r="B3159" s="123">
        <v>923139.0</v>
      </c>
      <c r="C3159" s="687" t="s">
        <v>10532</v>
      </c>
      <c r="D3159" s="125"/>
    </row>
    <row r="3160">
      <c r="A3160" s="122" t="s">
        <v>6378</v>
      </c>
      <c r="B3160" s="123">
        <v>1083743.0</v>
      </c>
      <c r="C3160" s="687" t="s">
        <v>6379</v>
      </c>
      <c r="D3160" s="125"/>
    </row>
    <row r="3161">
      <c r="A3161" s="122" t="s">
        <v>2815</v>
      </c>
      <c r="B3161" s="123">
        <v>1403749.0</v>
      </c>
      <c r="C3161" s="687" t="s">
        <v>2816</v>
      </c>
      <c r="D3161" s="125"/>
    </row>
    <row r="3162">
      <c r="A3162" s="122" t="s">
        <v>2476</v>
      </c>
      <c r="B3162" s="123">
        <v>1492617.0</v>
      </c>
      <c r="C3162" s="687" t="s">
        <v>2477</v>
      </c>
      <c r="D3162" s="125"/>
    </row>
    <row r="3163">
      <c r="A3163" s="122" t="s">
        <v>11751</v>
      </c>
      <c r="B3163" s="123">
        <v>1580560.0</v>
      </c>
      <c r="C3163" s="687" t="s">
        <v>11752</v>
      </c>
      <c r="D3163" s="125"/>
    </row>
    <row r="3164">
      <c r="A3164" s="122" t="s">
        <v>14506</v>
      </c>
      <c r="B3164" s="123">
        <v>37785.0</v>
      </c>
      <c r="C3164" s="687" t="s">
        <v>14507</v>
      </c>
      <c r="D3164" s="125"/>
    </row>
    <row r="3165">
      <c r="A3165" s="122" t="s">
        <v>9908</v>
      </c>
      <c r="B3165" s="123">
        <v>37808.0</v>
      </c>
      <c r="C3165" s="687" t="s">
        <v>9909</v>
      </c>
      <c r="D3165" s="125"/>
    </row>
    <row r="3166">
      <c r="A3166" s="122" t="s">
        <v>7099</v>
      </c>
      <c r="B3166" s="123">
        <v>1035976.0</v>
      </c>
      <c r="C3166" s="687" t="s">
        <v>7100</v>
      </c>
      <c r="D3166" s="125"/>
    </row>
    <row r="3167">
      <c r="A3167" s="122" t="s">
        <v>1022</v>
      </c>
      <c r="B3167" s="123">
        <v>1854480.0</v>
      </c>
      <c r="C3167" s="687" t="s">
        <v>1023</v>
      </c>
      <c r="D3167" s="125"/>
    </row>
    <row r="3168">
      <c r="A3168" s="122" t="s">
        <v>9129</v>
      </c>
      <c r="B3168" s="123">
        <v>1854480.0</v>
      </c>
      <c r="C3168" s="687" t="s">
        <v>9130</v>
      </c>
      <c r="D3168" s="125"/>
    </row>
    <row r="3169">
      <c r="A3169" s="122" t="s">
        <v>8805</v>
      </c>
      <c r="B3169" s="123">
        <v>1854480.0</v>
      </c>
      <c r="C3169" s="687" t="s">
        <v>8806</v>
      </c>
      <c r="D3169" s="125"/>
    </row>
    <row r="3170">
      <c r="A3170" s="122" t="s">
        <v>8560</v>
      </c>
      <c r="B3170" s="123">
        <v>1851612.0</v>
      </c>
      <c r="C3170" s="687" t="s">
        <v>8561</v>
      </c>
      <c r="D3170" s="125"/>
    </row>
    <row r="3171">
      <c r="A3171" s="122" t="s">
        <v>1483</v>
      </c>
      <c r="B3171" s="123">
        <v>1851612.0</v>
      </c>
      <c r="C3171" s="687" t="s">
        <v>1484</v>
      </c>
      <c r="D3171" s="125"/>
    </row>
    <row r="3172">
      <c r="A3172" s="122" t="s">
        <v>8469</v>
      </c>
      <c r="B3172" s="123">
        <v>1851612.0</v>
      </c>
      <c r="C3172" s="687" t="s">
        <v>8470</v>
      </c>
      <c r="D3172" s="125"/>
    </row>
    <row r="3173">
      <c r="A3173" s="122" t="s">
        <v>4387</v>
      </c>
      <c r="B3173" s="123">
        <v>1590418.0</v>
      </c>
      <c r="C3173" s="687" t="s">
        <v>4388</v>
      </c>
      <c r="D3173" s="125"/>
    </row>
    <row r="3174">
      <c r="A3174" s="122" t="s">
        <v>5488</v>
      </c>
      <c r="B3174" s="123">
        <v>1822462.0</v>
      </c>
      <c r="C3174" s="687" t="s">
        <v>5489</v>
      </c>
      <c r="D3174" s="125"/>
    </row>
    <row r="3175">
      <c r="A3175" s="122" t="s">
        <v>15810</v>
      </c>
      <c r="B3175" s="123">
        <v>1061736.0</v>
      </c>
      <c r="C3175" s="687" t="s">
        <v>15811</v>
      </c>
      <c r="D3175" s="125"/>
    </row>
    <row r="3176">
      <c r="A3176" s="122" t="s">
        <v>33686</v>
      </c>
      <c r="B3176" s="123">
        <v>867028.0</v>
      </c>
      <c r="C3176" s="687" t="s">
        <v>33687</v>
      </c>
      <c r="D3176" s="125"/>
    </row>
    <row r="3177">
      <c r="A3177" s="122" t="s">
        <v>11394</v>
      </c>
      <c r="B3177" s="123">
        <v>355019.0</v>
      </c>
      <c r="C3177" s="687" t="s">
        <v>11395</v>
      </c>
      <c r="D3177" s="125"/>
    </row>
    <row r="3178">
      <c r="A3178" s="122" t="s">
        <v>12761</v>
      </c>
      <c r="B3178" s="123">
        <v>850209.0</v>
      </c>
      <c r="C3178" s="687" t="s">
        <v>12762</v>
      </c>
      <c r="D3178" s="125"/>
    </row>
    <row r="3179">
      <c r="A3179" s="122" t="s">
        <v>33688</v>
      </c>
      <c r="B3179" s="123">
        <v>1503458.0</v>
      </c>
      <c r="C3179" s="687" t="s">
        <v>33689</v>
      </c>
      <c r="D3179" s="125"/>
    </row>
    <row r="3180">
      <c r="A3180" s="122" t="s">
        <v>4229</v>
      </c>
      <c r="B3180" s="123">
        <v>1903870.0</v>
      </c>
      <c r="C3180" s="687" t="s">
        <v>4230</v>
      </c>
      <c r="D3180" s="125"/>
    </row>
    <row r="3181">
      <c r="A3181" s="122" t="s">
        <v>8554</v>
      </c>
      <c r="B3181" s="123">
        <v>1903870.0</v>
      </c>
      <c r="C3181" s="687" t="s">
        <v>8555</v>
      </c>
      <c r="D3181" s="125"/>
    </row>
    <row r="3182">
      <c r="A3182" s="122" t="s">
        <v>9665</v>
      </c>
      <c r="B3182" s="123">
        <v>37996.0</v>
      </c>
      <c r="C3182" s="687" t="s">
        <v>9666</v>
      </c>
      <c r="D3182" s="125"/>
    </row>
    <row r="3183">
      <c r="A3183" s="122" t="s">
        <v>12035</v>
      </c>
      <c r="B3183" s="123">
        <v>890541.0</v>
      </c>
      <c r="C3183" s="687" t="s">
        <v>12036</v>
      </c>
      <c r="D3183" s="125"/>
    </row>
    <row r="3184">
      <c r="A3184" s="122" t="s">
        <v>3891</v>
      </c>
      <c r="B3184" s="123">
        <v>1691221.0</v>
      </c>
      <c r="C3184" s="687" t="s">
        <v>3892</v>
      </c>
      <c r="D3184" s="125"/>
    </row>
    <row r="3185">
      <c r="A3185" s="122" t="s">
        <v>12913</v>
      </c>
      <c r="B3185" s="123">
        <v>1406587.0</v>
      </c>
      <c r="C3185" s="687" t="s">
        <v>12914</v>
      </c>
      <c r="D3185" s="125"/>
    </row>
    <row r="3186">
      <c r="A3186" s="122" t="s">
        <v>4768</v>
      </c>
      <c r="B3186" s="123">
        <v>1827821.0</v>
      </c>
      <c r="C3186" s="687" t="s">
        <v>4769</v>
      </c>
      <c r="D3186" s="125"/>
    </row>
    <row r="3187">
      <c r="A3187" s="122" t="s">
        <v>4122</v>
      </c>
      <c r="B3187" s="123">
        <v>1687919.0</v>
      </c>
      <c r="C3187" s="687" t="s">
        <v>4123</v>
      </c>
      <c r="D3187" s="125"/>
    </row>
    <row r="3188">
      <c r="A3188" s="122" t="s">
        <v>5342</v>
      </c>
      <c r="B3188" s="123">
        <v>1829280.0</v>
      </c>
      <c r="C3188" s="687" t="s">
        <v>5343</v>
      </c>
      <c r="D3188" s="125"/>
    </row>
    <row r="3189">
      <c r="A3189" s="122" t="s">
        <v>14748</v>
      </c>
      <c r="B3189" s="123">
        <v>1045986.0</v>
      </c>
      <c r="C3189" s="687" t="s">
        <v>14749</v>
      </c>
      <c r="D3189" s="125"/>
    </row>
    <row r="3190">
      <c r="A3190" s="122" t="s">
        <v>3520</v>
      </c>
      <c r="B3190" s="123">
        <v>1336835.0</v>
      </c>
      <c r="C3190" s="687" t="s">
        <v>3521</v>
      </c>
      <c r="D3190" s="125"/>
    </row>
    <row r="3191">
      <c r="A3191" s="122" t="s">
        <v>3189</v>
      </c>
      <c r="B3191" s="123">
        <v>1419041.0</v>
      </c>
      <c r="C3191" s="687" t="s">
        <v>3190</v>
      </c>
      <c r="D3191" s="125"/>
    </row>
    <row r="3192">
      <c r="A3192" s="122" t="s">
        <v>14659</v>
      </c>
      <c r="B3192" s="123">
        <v>1262039.0</v>
      </c>
      <c r="C3192" s="687" t="s">
        <v>14660</v>
      </c>
      <c r="D3192" s="125"/>
    </row>
    <row r="3193">
      <c r="A3193" s="122" t="s">
        <v>13552</v>
      </c>
      <c r="B3193" s="123">
        <v>1666175.0</v>
      </c>
      <c r="C3193" s="687" t="s">
        <v>13553</v>
      </c>
      <c r="D3193" s="125"/>
    </row>
    <row r="3194">
      <c r="A3194" s="122" t="s">
        <v>10501</v>
      </c>
      <c r="B3194" s="123">
        <v>1666175.0</v>
      </c>
      <c r="C3194" s="687" t="s">
        <v>10502</v>
      </c>
      <c r="D3194" s="125"/>
    </row>
    <row r="3195">
      <c r="A3195" s="122" t="s">
        <v>6613</v>
      </c>
      <c r="B3195" s="123">
        <v>1828377.0</v>
      </c>
      <c r="C3195" s="687" t="s">
        <v>6614</v>
      </c>
      <c r="D3195" s="125"/>
    </row>
    <row r="3196">
      <c r="A3196" s="122" t="s">
        <v>15073</v>
      </c>
      <c r="B3196" s="123">
        <v>1659166.0</v>
      </c>
      <c r="C3196" s="687" t="s">
        <v>15074</v>
      </c>
      <c r="D3196" s="125"/>
    </row>
    <row r="3197">
      <c r="A3197" s="122" t="s">
        <v>9884</v>
      </c>
      <c r="B3197" s="123">
        <v>1429260.0</v>
      </c>
      <c r="C3197" s="687" t="s">
        <v>9885</v>
      </c>
      <c r="D3197" s="125"/>
    </row>
    <row r="3198">
      <c r="A3198" s="122" t="s">
        <v>4713</v>
      </c>
      <c r="B3198" s="123">
        <v>1429260.0</v>
      </c>
      <c r="C3198" s="687" t="s">
        <v>4714</v>
      </c>
      <c r="D3198" s="125"/>
    </row>
    <row r="3199">
      <c r="A3199" s="122" t="s">
        <v>5624</v>
      </c>
      <c r="B3199" s="123">
        <v>1341335.0</v>
      </c>
      <c r="C3199" s="687" t="s">
        <v>5625</v>
      </c>
      <c r="D3199" s="125"/>
    </row>
    <row r="3200">
      <c r="A3200" s="122" t="s">
        <v>1315</v>
      </c>
      <c r="B3200" s="123">
        <v>1849294.0</v>
      </c>
      <c r="C3200" s="687" t="s">
        <v>1316</v>
      </c>
      <c r="D3200" s="125"/>
    </row>
    <row r="3201">
      <c r="A3201" s="122" t="s">
        <v>9156</v>
      </c>
      <c r="B3201" s="123">
        <v>1849294.0</v>
      </c>
      <c r="C3201" s="687" t="s">
        <v>9157</v>
      </c>
      <c r="D3201" s="125"/>
    </row>
    <row r="3202">
      <c r="A3202" s="122" t="s">
        <v>6413</v>
      </c>
      <c r="B3202" s="123">
        <v>1626745.0</v>
      </c>
      <c r="C3202" s="687" t="s">
        <v>6414</v>
      </c>
      <c r="D3202" s="125"/>
    </row>
    <row r="3203">
      <c r="A3203" s="122" t="s">
        <v>11200</v>
      </c>
      <c r="B3203" s="123">
        <v>1401257.0</v>
      </c>
      <c r="C3203" s="687" t="s">
        <v>11201</v>
      </c>
      <c r="D3203" s="125"/>
    </row>
    <row r="3204">
      <c r="A3204" s="122" t="s">
        <v>10868</v>
      </c>
      <c r="B3204" s="123">
        <v>1559444.0</v>
      </c>
      <c r="C3204" s="687" t="s">
        <v>10869</v>
      </c>
      <c r="D3204" s="125"/>
    </row>
    <row r="3205">
      <c r="A3205" s="122" t="s">
        <v>13786</v>
      </c>
      <c r="B3205" s="123">
        <v>912728.0</v>
      </c>
      <c r="C3205" s="687" t="s">
        <v>13787</v>
      </c>
      <c r="D3205" s="125"/>
    </row>
    <row r="3206">
      <c r="A3206" s="122" t="s">
        <v>3355</v>
      </c>
      <c r="B3206" s="123">
        <v>38264.0</v>
      </c>
      <c r="C3206" s="687" t="s">
        <v>3356</v>
      </c>
      <c r="D3206" s="125"/>
    </row>
    <row r="3207">
      <c r="A3207" s="122" t="s">
        <v>3101</v>
      </c>
      <c r="B3207" s="123">
        <v>1901305.0</v>
      </c>
      <c r="C3207" s="687" t="s">
        <v>3102</v>
      </c>
      <c r="D3207" s="125"/>
    </row>
    <row r="3208">
      <c r="A3208" s="122" t="s">
        <v>9943</v>
      </c>
      <c r="B3208" s="123">
        <v>883569.0</v>
      </c>
      <c r="C3208" s="687" t="s">
        <v>9944</v>
      </c>
      <c r="D3208" s="125"/>
    </row>
    <row r="3209">
      <c r="A3209" s="122" t="s">
        <v>12013</v>
      </c>
      <c r="B3209" s="123">
        <v>1650132.0</v>
      </c>
      <c r="C3209" s="687" t="s">
        <v>12014</v>
      </c>
      <c r="D3209" s="125"/>
    </row>
    <row r="3210">
      <c r="A3210" s="122" t="s">
        <v>8271</v>
      </c>
      <c r="B3210" s="123">
        <v>1709819.0</v>
      </c>
      <c r="C3210" s="687" t="s">
        <v>8272</v>
      </c>
      <c r="D3210" s="125"/>
    </row>
    <row r="3211">
      <c r="A3211" s="122" t="s">
        <v>33690</v>
      </c>
      <c r="B3211" s="123">
        <v>850971.0</v>
      </c>
      <c r="C3211" s="687" t="s">
        <v>33691</v>
      </c>
      <c r="D3211" s="125"/>
    </row>
    <row r="3212">
      <c r="A3212" s="122" t="s">
        <v>12964</v>
      </c>
      <c r="B3212" s="123">
        <v>1754301.0</v>
      </c>
      <c r="C3212" s="687" t="s">
        <v>12965</v>
      </c>
      <c r="D3212" s="125"/>
    </row>
    <row r="3213">
      <c r="A3213" s="122" t="s">
        <v>12763</v>
      </c>
      <c r="B3213" s="123">
        <v>1754301.0</v>
      </c>
      <c r="C3213" s="687" t="s">
        <v>12764</v>
      </c>
      <c r="D3213" s="125"/>
    </row>
    <row r="3214">
      <c r="A3214" s="122" t="s">
        <v>14570</v>
      </c>
      <c r="B3214" s="123">
        <v>1424929.0</v>
      </c>
      <c r="C3214" s="687" t="s">
        <v>14571</v>
      </c>
      <c r="D3214" s="125"/>
    </row>
    <row r="3215">
      <c r="A3215" s="122" t="s">
        <v>10340</v>
      </c>
      <c r="B3215" s="123">
        <v>1068897.0</v>
      </c>
      <c r="C3215" s="687" t="s">
        <v>10341</v>
      </c>
      <c r="D3215" s="125"/>
    </row>
    <row r="3216">
      <c r="A3216" s="122" t="s">
        <v>3237</v>
      </c>
      <c r="B3216" s="123">
        <v>1900035.0</v>
      </c>
      <c r="C3216" s="687" t="s">
        <v>3238</v>
      </c>
      <c r="D3216" s="125"/>
    </row>
    <row r="3217">
      <c r="A3217" s="122" t="s">
        <v>2494</v>
      </c>
      <c r="B3217" s="123">
        <v>1177439.0</v>
      </c>
      <c r="C3217" s="687" t="s">
        <v>2495</v>
      </c>
      <c r="D3217" s="125"/>
    </row>
    <row r="3218">
      <c r="A3218" s="122" t="s">
        <v>15489</v>
      </c>
      <c r="B3218" s="123">
        <v>1456346.0</v>
      </c>
      <c r="C3218" s="687" t="s">
        <v>15490</v>
      </c>
      <c r="D3218" s="125"/>
    </row>
    <row r="3219">
      <c r="A3219" s="122" t="s">
        <v>6500</v>
      </c>
      <c r="B3219" s="123">
        <v>1490927.0</v>
      </c>
      <c r="C3219" s="687" t="s">
        <v>6501</v>
      </c>
      <c r="D3219" s="125"/>
    </row>
    <row r="3220">
      <c r="A3220" s="122" t="s">
        <v>13607</v>
      </c>
      <c r="B3220" s="123">
        <v>886206.0</v>
      </c>
      <c r="C3220" s="687" t="s">
        <v>13608</v>
      </c>
      <c r="D3220" s="125"/>
    </row>
    <row r="3221">
      <c r="A3221" s="122" t="s">
        <v>15328</v>
      </c>
      <c r="B3221" s="123">
        <v>38725.0</v>
      </c>
      <c r="C3221" s="687" t="s">
        <v>15329</v>
      </c>
      <c r="D3221" s="125"/>
    </row>
    <row r="3222">
      <c r="A3222" s="122" t="s">
        <v>13011</v>
      </c>
      <c r="B3222" s="123">
        <v>723646.0</v>
      </c>
      <c r="C3222" s="687" t="s">
        <v>13012</v>
      </c>
      <c r="D3222" s="125"/>
    </row>
    <row r="3223">
      <c r="A3223" s="122" t="s">
        <v>7137</v>
      </c>
      <c r="B3223" s="123">
        <v>1233087.0</v>
      </c>
      <c r="C3223" s="687" t="s">
        <v>7138</v>
      </c>
      <c r="D3223" s="125"/>
    </row>
    <row r="3224">
      <c r="A3224" s="122" t="s">
        <v>33692</v>
      </c>
      <c r="B3224" s="123">
        <v>1304077.0</v>
      </c>
      <c r="C3224" s="687" t="s">
        <v>33693</v>
      </c>
      <c r="D3224" s="125"/>
    </row>
    <row r="3225">
      <c r="A3225" s="122" t="s">
        <v>12540</v>
      </c>
      <c r="B3225" s="123">
        <v>38777.0</v>
      </c>
      <c r="C3225" s="687" t="s">
        <v>12541</v>
      </c>
      <c r="D3225" s="125"/>
    </row>
    <row r="3226">
      <c r="A3226" s="122" t="s">
        <v>5157</v>
      </c>
      <c r="B3226" s="123">
        <v>1031316.0</v>
      </c>
      <c r="C3226" s="687" t="s">
        <v>5158</v>
      </c>
      <c r="D3226" s="125"/>
    </row>
    <row r="3227">
      <c r="A3227" s="122" t="s">
        <v>7206</v>
      </c>
      <c r="B3227" s="123">
        <v>833040.0</v>
      </c>
      <c r="C3227" s="687" t="s">
        <v>7207</v>
      </c>
      <c r="D3227" s="125"/>
    </row>
    <row r="3228">
      <c r="A3228" s="122" t="s">
        <v>5404</v>
      </c>
      <c r="B3228" s="123">
        <v>722572.0</v>
      </c>
      <c r="C3228" s="687" t="s">
        <v>5405</v>
      </c>
      <c r="D3228" s="125"/>
    </row>
    <row r="3229">
      <c r="A3229" s="122" t="s">
        <v>2341</v>
      </c>
      <c r="B3229" s="123">
        <v>1543652.0</v>
      </c>
      <c r="C3229" s="687" t="s">
        <v>2342</v>
      </c>
      <c r="D3229" s="125"/>
    </row>
    <row r="3230">
      <c r="A3230" s="122" t="s">
        <v>15087</v>
      </c>
      <c r="B3230" s="123">
        <v>924805.0</v>
      </c>
      <c r="C3230" s="687" t="s">
        <v>15088</v>
      </c>
      <c r="D3230" s="125"/>
    </row>
    <row r="3231">
      <c r="A3231" s="122" t="s">
        <v>2482</v>
      </c>
      <c r="B3231" s="123">
        <v>1386044.0</v>
      </c>
      <c r="C3231" s="687" t="s">
        <v>2483</v>
      </c>
      <c r="D3231" s="125"/>
    </row>
    <row r="3232">
      <c r="A3232" s="122" t="s">
        <v>4858</v>
      </c>
      <c r="B3232" s="123">
        <v>1791325.0</v>
      </c>
      <c r="C3232" s="687" t="s">
        <v>4859</v>
      </c>
      <c r="D3232" s="125"/>
    </row>
    <row r="3233">
      <c r="A3233" s="122" t="s">
        <v>695</v>
      </c>
      <c r="B3233" s="123">
        <v>1786182.0</v>
      </c>
      <c r="C3233" s="687" t="s">
        <v>696</v>
      </c>
      <c r="D3233" s="125"/>
    </row>
    <row r="3234">
      <c r="A3234" s="122" t="s">
        <v>7166</v>
      </c>
      <c r="B3234" s="123">
        <v>1810031.0</v>
      </c>
      <c r="C3234" s="687" t="s">
        <v>7167</v>
      </c>
      <c r="D3234" s="125"/>
    </row>
    <row r="3235">
      <c r="A3235" s="122" t="s">
        <v>13560</v>
      </c>
      <c r="B3235" s="123">
        <v>831259.0</v>
      </c>
      <c r="C3235" s="687" t="s">
        <v>13561</v>
      </c>
      <c r="D3235" s="125"/>
    </row>
    <row r="3236">
      <c r="A3236" s="122" t="s">
        <v>521</v>
      </c>
      <c r="B3236" s="123">
        <v>1485074.0</v>
      </c>
      <c r="C3236" s="687" t="s">
        <v>522</v>
      </c>
      <c r="D3236" s="125"/>
    </row>
    <row r="3237">
      <c r="A3237" s="122" t="s">
        <v>2411</v>
      </c>
      <c r="B3237" s="123">
        <v>1687542.0</v>
      </c>
      <c r="C3237" s="687" t="s">
        <v>2412</v>
      </c>
      <c r="D3237" s="125"/>
    </row>
    <row r="3238">
      <c r="A3238" s="122" t="s">
        <v>5410</v>
      </c>
      <c r="B3238" s="123">
        <v>1320854.0</v>
      </c>
      <c r="C3238" s="687" t="s">
        <v>5411</v>
      </c>
      <c r="D3238" s="125"/>
    </row>
    <row r="3239">
      <c r="A3239" s="122" t="s">
        <v>7609</v>
      </c>
      <c r="B3239" s="123">
        <v>1825739.0</v>
      </c>
      <c r="C3239" s="687" t="s">
        <v>7610</v>
      </c>
      <c r="D3239" s="125"/>
    </row>
    <row r="3240">
      <c r="A3240" s="122" t="s">
        <v>33694</v>
      </c>
      <c r="B3240" s="123">
        <v>1223533.0</v>
      </c>
      <c r="C3240" s="687" t="s">
        <v>33695</v>
      </c>
      <c r="D3240" s="125"/>
    </row>
    <row r="3241">
      <c r="A3241" s="122" t="s">
        <v>9103</v>
      </c>
      <c r="B3241" s="123">
        <v>39020.0</v>
      </c>
      <c r="C3241" s="687" t="s">
        <v>9104</v>
      </c>
      <c r="D3241" s="125"/>
    </row>
    <row r="3242">
      <c r="A3242" s="122" t="s">
        <v>2271</v>
      </c>
      <c r="B3242" s="123">
        <v>1703647.0</v>
      </c>
      <c r="C3242" s="687" t="s">
        <v>2272</v>
      </c>
      <c r="D3242" s="125"/>
    </row>
    <row r="3243">
      <c r="A3243" s="122" t="s">
        <v>13460</v>
      </c>
      <c r="B3243" s="123">
        <v>1333141.0</v>
      </c>
      <c r="C3243" s="687" t="s">
        <v>11286</v>
      </c>
      <c r="D3243" s="125"/>
    </row>
    <row r="3244">
      <c r="A3244" s="122" t="s">
        <v>11285</v>
      </c>
      <c r="B3244" s="123">
        <v>1333141.0</v>
      </c>
      <c r="C3244" s="687" t="s">
        <v>11286</v>
      </c>
      <c r="D3244" s="125"/>
    </row>
    <row r="3245">
      <c r="A3245" s="122" t="s">
        <v>12186</v>
      </c>
      <c r="B3245" s="123">
        <v>1047340.0</v>
      </c>
      <c r="C3245" s="687" t="s">
        <v>12187</v>
      </c>
      <c r="D3245" s="125"/>
    </row>
    <row r="3246">
      <c r="A3246" s="122" t="s">
        <v>3743</v>
      </c>
      <c r="B3246" s="123">
        <v>819050.0</v>
      </c>
      <c r="C3246" s="687" t="s">
        <v>3744</v>
      </c>
      <c r="D3246" s="125"/>
    </row>
    <row r="3247">
      <c r="A3247" s="122" t="s">
        <v>3369</v>
      </c>
      <c r="B3247" s="123">
        <v>1880343.0</v>
      </c>
      <c r="C3247" s="687" t="s">
        <v>3370</v>
      </c>
      <c r="D3247" s="125"/>
    </row>
    <row r="3248">
      <c r="A3248" s="122" t="s">
        <v>15193</v>
      </c>
      <c r="B3248" s="123">
        <v>1611647.0</v>
      </c>
      <c r="C3248" s="687" t="s">
        <v>15194</v>
      </c>
      <c r="D3248" s="125"/>
    </row>
    <row r="3249">
      <c r="A3249" s="122" t="s">
        <v>11825</v>
      </c>
      <c r="B3249" s="123">
        <v>1544522.0</v>
      </c>
      <c r="C3249" s="687" t="s">
        <v>11826</v>
      </c>
      <c r="D3249" s="125"/>
    </row>
    <row r="3250">
      <c r="A3250" s="122" t="s">
        <v>4183</v>
      </c>
      <c r="B3250" s="123">
        <v>1844224.0</v>
      </c>
      <c r="C3250" s="687" t="s">
        <v>4184</v>
      </c>
      <c r="D3250" s="125"/>
    </row>
    <row r="3251">
      <c r="A3251" s="122" t="s">
        <v>10864</v>
      </c>
      <c r="B3251" s="123">
        <v>39092.0</v>
      </c>
      <c r="C3251" s="687" t="s">
        <v>10865</v>
      </c>
      <c r="D3251" s="125"/>
    </row>
    <row r="3252">
      <c r="A3252" s="122" t="s">
        <v>33696</v>
      </c>
      <c r="B3252" s="123">
        <v>1414043.0</v>
      </c>
      <c r="C3252" s="687" t="s">
        <v>33697</v>
      </c>
      <c r="D3252" s="125"/>
    </row>
    <row r="3253">
      <c r="A3253" s="122" t="s">
        <v>33698</v>
      </c>
      <c r="B3253" s="123">
        <v>1622408.0</v>
      </c>
      <c r="C3253" s="687" t="s">
        <v>33699</v>
      </c>
      <c r="D3253" s="125"/>
    </row>
    <row r="3254">
      <c r="A3254" s="122" t="s">
        <v>12932</v>
      </c>
      <c r="B3254" s="123">
        <v>1030475.0</v>
      </c>
      <c r="C3254" s="687" t="s">
        <v>12933</v>
      </c>
      <c r="D3254" s="125"/>
    </row>
    <row r="3255">
      <c r="A3255" s="122" t="s">
        <v>13078</v>
      </c>
      <c r="B3255" s="123">
        <v>1727263.0</v>
      </c>
      <c r="C3255" s="687" t="s">
        <v>13079</v>
      </c>
      <c r="D3255" s="125"/>
    </row>
    <row r="3256">
      <c r="A3256" s="122" t="s">
        <v>33700</v>
      </c>
      <c r="B3256" s="123">
        <v>1602813.0</v>
      </c>
      <c r="C3256" s="687" t="s">
        <v>33701</v>
      </c>
      <c r="D3256" s="125"/>
    </row>
    <row r="3257">
      <c r="A3257" s="122" t="s">
        <v>12116</v>
      </c>
      <c r="B3257" s="123">
        <v>20520.0</v>
      </c>
      <c r="C3257" s="687" t="s">
        <v>12117</v>
      </c>
      <c r="D3257" s="125"/>
    </row>
    <row r="3258">
      <c r="A3258" s="122" t="s">
        <v>6754</v>
      </c>
      <c r="B3258" s="123">
        <v>1670076.0</v>
      </c>
      <c r="C3258" s="687" t="s">
        <v>6755</v>
      </c>
      <c r="D3258" s="125"/>
    </row>
    <row r="3259">
      <c r="A3259" s="122" t="s">
        <v>737</v>
      </c>
      <c r="B3259" s="123">
        <v>1855693.0</v>
      </c>
      <c r="C3259" s="687" t="s">
        <v>738</v>
      </c>
      <c r="D3259" s="125"/>
    </row>
    <row r="3260">
      <c r="A3260" s="122" t="s">
        <v>9321</v>
      </c>
      <c r="B3260" s="123">
        <v>1855693.0</v>
      </c>
      <c r="C3260" s="687" t="s">
        <v>9322</v>
      </c>
      <c r="D3260" s="125"/>
    </row>
    <row r="3261">
      <c r="A3261" s="122" t="s">
        <v>8692</v>
      </c>
      <c r="B3261" s="123">
        <v>1855693.0</v>
      </c>
      <c r="C3261" s="687" t="s">
        <v>8693</v>
      </c>
      <c r="D3261" s="125"/>
    </row>
    <row r="3262">
      <c r="A3262" s="122" t="s">
        <v>11656</v>
      </c>
      <c r="B3262" s="123">
        <v>913290.0</v>
      </c>
      <c r="C3262" s="687" t="s">
        <v>11657</v>
      </c>
      <c r="D3262" s="125"/>
    </row>
    <row r="3263">
      <c r="A3263" s="122" t="s">
        <v>14412</v>
      </c>
      <c r="B3263" s="123">
        <v>844059.0</v>
      </c>
      <c r="C3263" s="687" t="s">
        <v>14413</v>
      </c>
      <c r="D3263" s="125"/>
    </row>
    <row r="3264">
      <c r="A3264" s="122" t="s">
        <v>13190</v>
      </c>
      <c r="B3264" s="123">
        <v>1530249.0</v>
      </c>
      <c r="C3264" s="687" t="s">
        <v>13191</v>
      </c>
      <c r="D3264" s="125"/>
    </row>
    <row r="3265">
      <c r="A3265" s="122" t="s">
        <v>11504</v>
      </c>
      <c r="B3265" s="123">
        <v>1422183.0</v>
      </c>
      <c r="C3265" s="687" t="s">
        <v>11505</v>
      </c>
      <c r="D3265" s="125"/>
    </row>
    <row r="3266">
      <c r="A3266" s="122" t="s">
        <v>3528</v>
      </c>
      <c r="B3266" s="123">
        <v>1771885.0</v>
      </c>
      <c r="C3266" s="687" t="s">
        <v>3529</v>
      </c>
      <c r="D3266" s="125"/>
    </row>
    <row r="3267">
      <c r="A3267" s="122" t="s">
        <v>11165</v>
      </c>
      <c r="B3267" s="123">
        <v>1090159.0</v>
      </c>
      <c r="C3267" s="687" t="s">
        <v>11166</v>
      </c>
      <c r="D3267" s="125"/>
    </row>
    <row r="3268">
      <c r="A3268" s="122" t="s">
        <v>1841</v>
      </c>
      <c r="B3268" s="123">
        <v>1889123.0</v>
      </c>
      <c r="C3268" s="687" t="s">
        <v>1842</v>
      </c>
      <c r="D3268" s="125"/>
    </row>
    <row r="3269">
      <c r="A3269" s="122" t="s">
        <v>8641</v>
      </c>
      <c r="B3269" s="123">
        <v>1889123.0</v>
      </c>
      <c r="C3269" s="687" t="s">
        <v>8642</v>
      </c>
      <c r="D3269" s="125"/>
    </row>
    <row r="3270">
      <c r="A3270" s="122" t="s">
        <v>12310</v>
      </c>
      <c r="B3270" s="123">
        <v>1590364.0</v>
      </c>
      <c r="C3270" s="687" t="s">
        <v>12311</v>
      </c>
      <c r="D3270" s="125"/>
    </row>
    <row r="3271">
      <c r="A3271" s="122" t="s">
        <v>14311</v>
      </c>
      <c r="B3271" s="123">
        <v>1590364.0</v>
      </c>
      <c r="C3271" s="687" t="s">
        <v>14312</v>
      </c>
      <c r="D3271" s="125"/>
    </row>
    <row r="3272">
      <c r="A3272" s="122" t="s">
        <v>12320</v>
      </c>
      <c r="B3272" s="123">
        <v>1590364.0</v>
      </c>
      <c r="C3272" s="687" t="s">
        <v>12321</v>
      </c>
      <c r="D3272" s="125"/>
    </row>
    <row r="3273">
      <c r="A3273" s="122" t="s">
        <v>12234</v>
      </c>
      <c r="B3273" s="123">
        <v>1590364.0</v>
      </c>
      <c r="C3273" s="687" t="s">
        <v>12235</v>
      </c>
      <c r="D3273" s="125"/>
    </row>
    <row r="3274">
      <c r="A3274" s="122" t="s">
        <v>6212</v>
      </c>
      <c r="B3274" s="123">
        <v>1899883.0</v>
      </c>
      <c r="C3274" s="687" t="s">
        <v>6213</v>
      </c>
      <c r="D3274" s="125"/>
    </row>
    <row r="3275">
      <c r="A3275" s="122" t="s">
        <v>3027</v>
      </c>
      <c r="B3275" s="123">
        <v>1828161.0</v>
      </c>
      <c r="C3275" s="687" t="s">
        <v>3028</v>
      </c>
      <c r="D3275" s="125"/>
    </row>
    <row r="3276">
      <c r="A3276" s="122" t="s">
        <v>16126</v>
      </c>
      <c r="B3276" s="123">
        <v>887936.0</v>
      </c>
      <c r="C3276" s="687" t="s">
        <v>16127</v>
      </c>
      <c r="D3276" s="125"/>
    </row>
    <row r="3277">
      <c r="A3277" s="122" t="s">
        <v>5235</v>
      </c>
      <c r="B3277" s="123">
        <v>1484769.0</v>
      </c>
      <c r="C3277" s="687" t="s">
        <v>5236</v>
      </c>
      <c r="D3277" s="125"/>
    </row>
    <row r="3278">
      <c r="A3278" s="122" t="s">
        <v>2289</v>
      </c>
      <c r="B3278" s="123">
        <v>1459188.0</v>
      </c>
      <c r="C3278" s="687" t="s">
        <v>2290</v>
      </c>
      <c r="D3278" s="125"/>
    </row>
    <row r="3279">
      <c r="A3279" s="122" t="s">
        <v>3901</v>
      </c>
      <c r="B3279" s="123">
        <v>846913.0</v>
      </c>
      <c r="C3279" s="687" t="s">
        <v>3902</v>
      </c>
      <c r="D3279" s="125"/>
    </row>
    <row r="3280">
      <c r="A3280" s="122" t="s">
        <v>4138</v>
      </c>
      <c r="B3280" s="123">
        <v>886128.0</v>
      </c>
      <c r="C3280" s="687" t="s">
        <v>4139</v>
      </c>
      <c r="D3280" s="125"/>
    </row>
    <row r="3281">
      <c r="A3281" s="122" t="s">
        <v>16533</v>
      </c>
      <c r="B3281" s="123">
        <v>886128.0</v>
      </c>
      <c r="C3281" s="687" t="s">
        <v>16534</v>
      </c>
      <c r="D3281" s="125"/>
    </row>
    <row r="3282">
      <c r="A3282" s="122" t="s">
        <v>7577</v>
      </c>
      <c r="B3282" s="123">
        <v>1680581.0</v>
      </c>
      <c r="C3282" s="687" t="s">
        <v>7578</v>
      </c>
      <c r="D3282" s="125"/>
    </row>
    <row r="3283">
      <c r="A3283" s="122" t="s">
        <v>12210</v>
      </c>
      <c r="B3283" s="123">
        <v>1674930.0</v>
      </c>
      <c r="C3283" s="687" t="s">
        <v>12211</v>
      </c>
      <c r="D3283" s="125"/>
    </row>
    <row r="3284">
      <c r="A3284" s="122" t="s">
        <v>6376</v>
      </c>
      <c r="B3284" s="123">
        <v>891482.0</v>
      </c>
      <c r="C3284" s="687" t="s">
        <v>6377</v>
      </c>
      <c r="D3284" s="125"/>
    </row>
    <row r="3285">
      <c r="A3285" s="122" t="s">
        <v>7077</v>
      </c>
      <c r="B3285" s="123">
        <v>1838413.0</v>
      </c>
      <c r="C3285" s="687" t="s">
        <v>7078</v>
      </c>
      <c r="D3285" s="125"/>
    </row>
    <row r="3286">
      <c r="A3286" s="122" t="s">
        <v>2417</v>
      </c>
      <c r="B3286" s="123">
        <v>1092570.0</v>
      </c>
      <c r="C3286" s="687" t="s">
        <v>2418</v>
      </c>
      <c r="D3286" s="125"/>
    </row>
    <row r="3287">
      <c r="A3287" s="122" t="s">
        <v>10924</v>
      </c>
      <c r="B3287" s="123">
        <v>700564.0</v>
      </c>
      <c r="C3287" s="687" t="s">
        <v>10925</v>
      </c>
      <c r="D3287" s="125"/>
    </row>
    <row r="3288">
      <c r="A3288" s="122" t="s">
        <v>10535</v>
      </c>
      <c r="B3288" s="123">
        <v>700564.0</v>
      </c>
      <c r="C3288" s="687" t="s">
        <v>10536</v>
      </c>
      <c r="D3288" s="125"/>
    </row>
    <row r="3289">
      <c r="A3289" s="122" t="s">
        <v>2825</v>
      </c>
      <c r="B3289" s="123">
        <v>1514597.0</v>
      </c>
      <c r="C3289" s="687" t="s">
        <v>2826</v>
      </c>
      <c r="D3289" s="125"/>
    </row>
    <row r="3290">
      <c r="A3290" s="122" t="s">
        <v>2395</v>
      </c>
      <c r="B3290" s="123">
        <v>1636051.0</v>
      </c>
      <c r="C3290" s="687" t="s">
        <v>2396</v>
      </c>
      <c r="D3290" s="125"/>
    </row>
    <row r="3291">
      <c r="A3291" s="122" t="s">
        <v>1749</v>
      </c>
      <c r="B3291" s="123">
        <v>319016.0</v>
      </c>
      <c r="C3291" s="687" t="s">
        <v>1750</v>
      </c>
      <c r="D3291" s="125"/>
    </row>
    <row r="3292">
      <c r="A3292" s="122" t="s">
        <v>591</v>
      </c>
      <c r="B3292" s="123">
        <v>842722.0</v>
      </c>
      <c r="C3292" s="687" t="s">
        <v>592</v>
      </c>
      <c r="D3292" s="125"/>
    </row>
    <row r="3293">
      <c r="A3293" s="122" t="s">
        <v>1825</v>
      </c>
      <c r="B3293" s="123">
        <v>1819794.0</v>
      </c>
      <c r="C3293" s="687" t="s">
        <v>1826</v>
      </c>
      <c r="D3293" s="125"/>
    </row>
    <row r="3294">
      <c r="A3294" s="122" t="s">
        <v>3897</v>
      </c>
      <c r="B3294" s="123">
        <v>1819794.0</v>
      </c>
      <c r="C3294" s="687" t="s">
        <v>3898</v>
      </c>
      <c r="D3294" s="125"/>
    </row>
    <row r="3295">
      <c r="A3295" s="122" t="s">
        <v>8662</v>
      </c>
      <c r="B3295" s="123">
        <v>1805890.0</v>
      </c>
      <c r="C3295" s="687" t="s">
        <v>8663</v>
      </c>
      <c r="D3295" s="125"/>
    </row>
    <row r="3296">
      <c r="A3296" s="122" t="s">
        <v>13916</v>
      </c>
      <c r="B3296" s="123">
        <v>1754581.0</v>
      </c>
      <c r="C3296" s="687" t="s">
        <v>13917</v>
      </c>
      <c r="D3296" s="125"/>
    </row>
    <row r="3297">
      <c r="A3297" s="122" t="s">
        <v>3799</v>
      </c>
      <c r="B3297" s="123">
        <v>1066923.0</v>
      </c>
      <c r="C3297" s="687" t="s">
        <v>3800</v>
      </c>
      <c r="D3297" s="125"/>
    </row>
    <row r="3298">
      <c r="A3298" s="122" t="s">
        <v>1130</v>
      </c>
      <c r="B3298" s="123">
        <v>1851182.0</v>
      </c>
      <c r="C3298" s="687" t="s">
        <v>1131</v>
      </c>
      <c r="D3298" s="125"/>
    </row>
    <row r="3299">
      <c r="A3299" s="122" t="s">
        <v>9472</v>
      </c>
      <c r="B3299" s="123">
        <v>1851182.0</v>
      </c>
      <c r="C3299" s="687" t="s">
        <v>9473</v>
      </c>
      <c r="D3299" s="125"/>
    </row>
    <row r="3300">
      <c r="A3300" s="122" t="s">
        <v>9095</v>
      </c>
      <c r="B3300" s="123">
        <v>1889450.0</v>
      </c>
      <c r="C3300" s="687" t="s">
        <v>9096</v>
      </c>
      <c r="D3300" s="125"/>
    </row>
    <row r="3301">
      <c r="A3301" s="122" t="s">
        <v>6812</v>
      </c>
      <c r="B3301" s="123">
        <v>1337298.0</v>
      </c>
      <c r="C3301" s="687" t="s">
        <v>6813</v>
      </c>
      <c r="D3301" s="125"/>
    </row>
    <row r="3302">
      <c r="A3302" s="122" t="s">
        <v>1006</v>
      </c>
      <c r="B3302" s="123">
        <v>1889450.0</v>
      </c>
      <c r="C3302" s="687" t="s">
        <v>1007</v>
      </c>
      <c r="D3302" s="125"/>
    </row>
    <row r="3303">
      <c r="A3303" s="122" t="s">
        <v>9120</v>
      </c>
      <c r="B3303" s="123">
        <v>1889450.0</v>
      </c>
      <c r="C3303" s="687" t="s">
        <v>9121</v>
      </c>
      <c r="D3303" s="125"/>
    </row>
    <row r="3304">
      <c r="A3304" s="122" t="s">
        <v>854</v>
      </c>
      <c r="B3304" s="123">
        <v>1041633.0</v>
      </c>
      <c r="C3304" s="687" t="s">
        <v>855</v>
      </c>
      <c r="D3304" s="125"/>
    </row>
    <row r="3305">
      <c r="A3305" s="122" t="s">
        <v>9507</v>
      </c>
      <c r="B3305" s="123">
        <v>1675644.0</v>
      </c>
      <c r="C3305" s="687" t="s">
        <v>9508</v>
      </c>
      <c r="D3305" s="125"/>
    </row>
    <row r="3306">
      <c r="A3306" s="122" t="s">
        <v>12808</v>
      </c>
      <c r="B3306" s="123">
        <v>821002.0</v>
      </c>
      <c r="C3306" s="687" t="s">
        <v>12809</v>
      </c>
      <c r="D3306" s="125"/>
    </row>
    <row r="3307">
      <c r="A3307" s="122" t="s">
        <v>6187</v>
      </c>
      <c r="B3307" s="123">
        <v>1560241.0</v>
      </c>
      <c r="C3307" s="687" t="s">
        <v>6188</v>
      </c>
      <c r="D3307" s="125"/>
    </row>
    <row r="3308">
      <c r="A3308" s="122" t="s">
        <v>5864</v>
      </c>
      <c r="B3308" s="123">
        <v>845611.0</v>
      </c>
      <c r="C3308" s="687" t="s">
        <v>5865</v>
      </c>
      <c r="D3308" s="125"/>
    </row>
    <row r="3309">
      <c r="A3309" s="122" t="s">
        <v>11737</v>
      </c>
      <c r="B3309" s="123">
        <v>1260729.0</v>
      </c>
      <c r="C3309" s="687" t="s">
        <v>11738</v>
      </c>
      <c r="D3309" s="125"/>
    </row>
    <row r="3310">
      <c r="A3310" s="122" t="s">
        <v>10013</v>
      </c>
      <c r="B3310" s="123">
        <v>1282957.0</v>
      </c>
      <c r="C3310" s="687" t="s">
        <v>10014</v>
      </c>
      <c r="D3310" s="125"/>
    </row>
    <row r="3311">
      <c r="A3311" s="122" t="s">
        <v>8226</v>
      </c>
      <c r="B3311" s="123">
        <v>1391437.0</v>
      </c>
      <c r="C3311" s="687" t="s">
        <v>8227</v>
      </c>
      <c r="D3311" s="125"/>
    </row>
    <row r="3312">
      <c r="A3312" s="122" t="s">
        <v>6787</v>
      </c>
      <c r="B3312" s="123">
        <v>921671.0</v>
      </c>
      <c r="C3312" s="687" t="s">
        <v>6788</v>
      </c>
      <c r="D3312" s="125"/>
    </row>
    <row r="3313">
      <c r="A3313" s="122" t="s">
        <v>6736</v>
      </c>
      <c r="B3313" s="123">
        <v>1080720.0</v>
      </c>
      <c r="C3313" s="687" t="s">
        <v>6737</v>
      </c>
      <c r="D3313" s="125"/>
    </row>
    <row r="3314">
      <c r="A3314" s="122" t="s">
        <v>9443</v>
      </c>
      <c r="B3314" s="123">
        <v>1585855.0</v>
      </c>
      <c r="C3314" s="687" t="s">
        <v>9444</v>
      </c>
      <c r="D3314" s="125"/>
    </row>
    <row r="3315">
      <c r="A3315" s="122" t="s">
        <v>619</v>
      </c>
      <c r="B3315" s="123">
        <v>711665.0</v>
      </c>
      <c r="C3315" s="687" t="s">
        <v>620</v>
      </c>
      <c r="D3315" s="125"/>
    </row>
    <row r="3316">
      <c r="A3316" s="122" t="s">
        <v>7141</v>
      </c>
      <c r="B3316" s="123">
        <v>1389207.0</v>
      </c>
      <c r="C3316" s="687" t="s">
        <v>7142</v>
      </c>
      <c r="D3316" s="125"/>
    </row>
    <row r="3317">
      <c r="A3317" s="122" t="s">
        <v>5476</v>
      </c>
      <c r="B3317" s="123">
        <v>1089872.0</v>
      </c>
      <c r="C3317" s="687" t="s">
        <v>5477</v>
      </c>
      <c r="D3317" s="125"/>
    </row>
    <row r="3318">
      <c r="A3318" s="122" t="s">
        <v>6030</v>
      </c>
      <c r="B3318" s="123">
        <v>1819411.0</v>
      </c>
      <c r="C3318" s="687" t="s">
        <v>6031</v>
      </c>
      <c r="D3318" s="125"/>
    </row>
    <row r="3319">
      <c r="A3319" s="122" t="s">
        <v>13126</v>
      </c>
      <c r="B3319" s="123">
        <v>1421876.0</v>
      </c>
      <c r="C3319" s="687" t="s">
        <v>13127</v>
      </c>
      <c r="D3319" s="125"/>
    </row>
    <row r="3320">
      <c r="A3320" s="122" t="s">
        <v>8214</v>
      </c>
      <c r="B3320" s="123">
        <v>1859392.0</v>
      </c>
      <c r="C3320" s="687" t="s">
        <v>8215</v>
      </c>
      <c r="D3320" s="125"/>
    </row>
    <row r="3321">
      <c r="A3321" s="122" t="s">
        <v>4671</v>
      </c>
      <c r="B3321" s="123">
        <v>13156.0</v>
      </c>
      <c r="C3321" s="687" t="s">
        <v>4672</v>
      </c>
      <c r="D3321" s="125"/>
    </row>
    <row r="3322">
      <c r="A3322" s="122" t="s">
        <v>33702</v>
      </c>
      <c r="B3322" s="123">
        <v>1127993.0</v>
      </c>
      <c r="C3322" s="687" t="s">
        <v>33703</v>
      </c>
      <c r="D3322" s="125"/>
    </row>
    <row r="3323">
      <c r="A3323" s="122" t="s">
        <v>4631</v>
      </c>
      <c r="B3323" s="123">
        <v>1133416.0</v>
      </c>
      <c r="C3323" s="687" t="s">
        <v>4632</v>
      </c>
      <c r="D3323" s="125"/>
    </row>
    <row r="3324">
      <c r="A3324" s="122" t="s">
        <v>3241</v>
      </c>
      <c r="B3324" s="123">
        <v>1800315.0</v>
      </c>
      <c r="C3324" s="687" t="s">
        <v>3242</v>
      </c>
      <c r="D3324" s="125"/>
    </row>
    <row r="3325">
      <c r="A3325" s="122" t="s">
        <v>2181</v>
      </c>
      <c r="B3325" s="123">
        <v>1563577.0</v>
      </c>
      <c r="C3325" s="687" t="s">
        <v>2182</v>
      </c>
      <c r="D3325" s="125"/>
    </row>
    <row r="3326">
      <c r="A3326" s="122" t="s">
        <v>1553</v>
      </c>
      <c r="B3326" s="123">
        <v>1481585.0</v>
      </c>
      <c r="C3326" s="687" t="s">
        <v>1554</v>
      </c>
      <c r="D3326" s="125"/>
    </row>
    <row r="3327">
      <c r="A3327" s="122" t="s">
        <v>3676</v>
      </c>
      <c r="B3327" s="123">
        <v>1377757.0</v>
      </c>
      <c r="C3327" s="687" t="s">
        <v>3677</v>
      </c>
      <c r="D3327" s="125"/>
    </row>
    <row r="3328">
      <c r="A3328" s="122" t="s">
        <v>2189</v>
      </c>
      <c r="B3328" s="123">
        <v>877019.0</v>
      </c>
      <c r="C3328" s="687" t="s">
        <v>2190</v>
      </c>
      <c r="D3328" s="125"/>
    </row>
    <row r="3329">
      <c r="A3329" s="122" t="s">
        <v>7550</v>
      </c>
      <c r="B3329" s="123">
        <v>1385535.0</v>
      </c>
      <c r="C3329" s="687" t="s">
        <v>7551</v>
      </c>
      <c r="D3329" s="125"/>
    </row>
    <row r="3330">
      <c r="A3330" s="122" t="s">
        <v>10580</v>
      </c>
      <c r="B3330" s="123">
        <v>1385535.0</v>
      </c>
      <c r="C3330" s="687" t="s">
        <v>10581</v>
      </c>
      <c r="D3330" s="125"/>
    </row>
    <row r="3331">
      <c r="A3331" s="122" t="s">
        <v>8022</v>
      </c>
      <c r="B3331" s="123">
        <v>1839799.0</v>
      </c>
      <c r="C3331" s="687" t="s">
        <v>8023</v>
      </c>
      <c r="D3331" s="125"/>
    </row>
    <row r="3332">
      <c r="A3332" s="122" t="s">
        <v>5925</v>
      </c>
      <c r="B3332" s="123">
        <v>1313510.0</v>
      </c>
      <c r="C3332" s="687" t="s">
        <v>5926</v>
      </c>
      <c r="D3332" s="125"/>
    </row>
    <row r="3333">
      <c r="A3333" s="122" t="s">
        <v>6537</v>
      </c>
      <c r="B3333" s="123">
        <v>1438893.0</v>
      </c>
      <c r="C3333" s="687" t="s">
        <v>6538</v>
      </c>
      <c r="D3333" s="125"/>
    </row>
    <row r="3334">
      <c r="A3334" s="122" t="s">
        <v>2133</v>
      </c>
      <c r="B3334" s="123">
        <v>1867325.0</v>
      </c>
      <c r="C3334" s="687" t="s">
        <v>2134</v>
      </c>
      <c r="D3334" s="125"/>
    </row>
    <row r="3335">
      <c r="A3335" s="122" t="s">
        <v>4385</v>
      </c>
      <c r="B3335" s="123">
        <v>1714562.0</v>
      </c>
      <c r="C3335" s="687" t="s">
        <v>4386</v>
      </c>
      <c r="D3335" s="125"/>
    </row>
    <row r="3336">
      <c r="A3336" s="122" t="s">
        <v>10360</v>
      </c>
      <c r="B3336" s="123">
        <v>1326380.0</v>
      </c>
      <c r="C3336" s="687" t="s">
        <v>10361</v>
      </c>
      <c r="D3336" s="125"/>
    </row>
    <row r="3337">
      <c r="A3337" s="122" t="s">
        <v>2703</v>
      </c>
      <c r="B3337" s="123">
        <v>1600847.0</v>
      </c>
      <c r="C3337" s="687" t="s">
        <v>2704</v>
      </c>
      <c r="D3337" s="125"/>
    </row>
    <row r="3338">
      <c r="A3338" s="122" t="s">
        <v>13877</v>
      </c>
      <c r="B3338" s="123">
        <v>1575965.0</v>
      </c>
      <c r="C3338" s="687" t="s">
        <v>13878</v>
      </c>
      <c r="D3338" s="125"/>
    </row>
    <row r="3339">
      <c r="A3339" s="122" t="s">
        <v>33704</v>
      </c>
      <c r="B3339" s="123">
        <v>1816906.0</v>
      </c>
      <c r="C3339" s="687" t="s">
        <v>33705</v>
      </c>
      <c r="D3339" s="125"/>
    </row>
    <row r="3340">
      <c r="A3340" s="122" t="s">
        <v>5108</v>
      </c>
      <c r="B3340" s="123">
        <v>1579684.0</v>
      </c>
      <c r="C3340" s="687" t="s">
        <v>5109</v>
      </c>
      <c r="D3340" s="125"/>
    </row>
    <row r="3341">
      <c r="A3341" s="122" t="s">
        <v>10539</v>
      </c>
      <c r="B3341" s="123">
        <v>39899.0</v>
      </c>
      <c r="C3341" s="687" t="s">
        <v>10540</v>
      </c>
      <c r="D3341" s="125"/>
    </row>
    <row r="3342">
      <c r="A3342" s="122" t="s">
        <v>6097</v>
      </c>
      <c r="B3342" s="123">
        <v>1768259.0</v>
      </c>
      <c r="C3342" s="687" t="s">
        <v>6098</v>
      </c>
      <c r="D3342" s="125"/>
    </row>
    <row r="3343">
      <c r="A3343" s="122" t="s">
        <v>11379</v>
      </c>
      <c r="B3343" s="123">
        <v>39911.0</v>
      </c>
      <c r="C3343" s="687" t="s">
        <v>11380</v>
      </c>
      <c r="D3343" s="125"/>
    </row>
    <row r="3344">
      <c r="A3344" s="122" t="s">
        <v>1821</v>
      </c>
      <c r="B3344" s="123">
        <v>1842966.0</v>
      </c>
      <c r="C3344" s="687" t="s">
        <v>1822</v>
      </c>
      <c r="D3344" s="125"/>
    </row>
    <row r="3345">
      <c r="A3345" s="122" t="s">
        <v>15618</v>
      </c>
      <c r="B3345" s="123">
        <v>1121788.0</v>
      </c>
      <c r="C3345" s="687" t="s">
        <v>15619</v>
      </c>
      <c r="D3345" s="125"/>
    </row>
    <row r="3346">
      <c r="A3346" s="122" t="s">
        <v>7942</v>
      </c>
      <c r="B3346" s="123">
        <v>1735707.0</v>
      </c>
      <c r="C3346" s="687" t="s">
        <v>7943</v>
      </c>
      <c r="D3346" s="125"/>
    </row>
    <row r="3347">
      <c r="A3347" s="122" t="s">
        <v>16574</v>
      </c>
      <c r="B3347" s="123">
        <v>749251.0</v>
      </c>
      <c r="C3347" s="687" t="s">
        <v>16575</v>
      </c>
      <c r="D3347" s="125"/>
    </row>
    <row r="3348">
      <c r="A3348" s="122" t="s">
        <v>9935</v>
      </c>
      <c r="B3348" s="123">
        <v>1718512.0</v>
      </c>
      <c r="C3348" s="687" t="s">
        <v>9936</v>
      </c>
      <c r="D3348" s="125"/>
    </row>
    <row r="3349">
      <c r="A3349" s="122" t="s">
        <v>15000</v>
      </c>
      <c r="B3349" s="123">
        <v>1812641.0</v>
      </c>
      <c r="C3349" s="687" t="s">
        <v>15001</v>
      </c>
      <c r="D3349" s="125"/>
    </row>
    <row r="3350">
      <c r="A3350" s="122" t="s">
        <v>15647</v>
      </c>
      <c r="B3350" s="123">
        <v>40211.0</v>
      </c>
      <c r="C3350" s="687" t="s">
        <v>15648</v>
      </c>
      <c r="D3350" s="125"/>
    </row>
    <row r="3351">
      <c r="A3351" s="122" t="s">
        <v>2981</v>
      </c>
      <c r="B3351" s="123">
        <v>1559998.0</v>
      </c>
      <c r="C3351" s="687" t="s">
        <v>2982</v>
      </c>
      <c r="D3351" s="125"/>
    </row>
    <row r="3352">
      <c r="A3352" s="122" t="s">
        <v>541</v>
      </c>
      <c r="B3352" s="123">
        <v>1165320.0</v>
      </c>
      <c r="C3352" s="687" t="s">
        <v>542</v>
      </c>
      <c r="D3352" s="125"/>
    </row>
    <row r="3353">
      <c r="A3353" s="122" t="s">
        <v>33706</v>
      </c>
      <c r="B3353" s="123">
        <v>1471781.0</v>
      </c>
      <c r="C3353" s="687" t="s">
        <v>33707</v>
      </c>
      <c r="D3353" s="125"/>
    </row>
    <row r="3354">
      <c r="A3354" s="122" t="s">
        <v>2512</v>
      </c>
      <c r="B3354" s="123">
        <v>1819796.0</v>
      </c>
      <c r="C3354" s="687" t="s">
        <v>2513</v>
      </c>
      <c r="D3354" s="125"/>
    </row>
    <row r="3355">
      <c r="A3355" s="122" t="s">
        <v>7878</v>
      </c>
      <c r="B3355" s="123">
        <v>1819796.0</v>
      </c>
      <c r="C3355" s="687" t="s">
        <v>7879</v>
      </c>
      <c r="D3355" s="125"/>
    </row>
    <row r="3356">
      <c r="A3356" s="122" t="s">
        <v>1124</v>
      </c>
      <c r="B3356" s="123">
        <v>1725750.0</v>
      </c>
      <c r="C3356" s="687" t="s">
        <v>1125</v>
      </c>
      <c r="D3356" s="125"/>
    </row>
    <row r="3357">
      <c r="A3357" s="122" t="s">
        <v>5041</v>
      </c>
      <c r="B3357" s="123">
        <v>1848739.0</v>
      </c>
      <c r="C3357" s="687" t="s">
        <v>5042</v>
      </c>
      <c r="D3357" s="125"/>
    </row>
    <row r="3358">
      <c r="A3358" s="122" t="s">
        <v>7644</v>
      </c>
      <c r="B3358" s="123">
        <v>1378701.0</v>
      </c>
      <c r="C3358" s="687" t="s">
        <v>7645</v>
      </c>
      <c r="D3358" s="125"/>
    </row>
    <row r="3359">
      <c r="A3359" s="122" t="s">
        <v>6680</v>
      </c>
      <c r="B3359" s="123">
        <v>1526125.0</v>
      </c>
      <c r="C3359" s="687" t="s">
        <v>6681</v>
      </c>
      <c r="D3359" s="125"/>
    </row>
    <row r="3360">
      <c r="A3360" s="122" t="s">
        <v>2917</v>
      </c>
      <c r="B3360" s="123">
        <v>40570.0</v>
      </c>
      <c r="C3360" s="687" t="s">
        <v>2918</v>
      </c>
      <c r="D3360" s="125"/>
    </row>
    <row r="3361">
      <c r="A3361" s="122" t="s">
        <v>3648</v>
      </c>
      <c r="B3361" s="123">
        <v>352960.0</v>
      </c>
      <c r="C3361" s="687" t="s">
        <v>3649</v>
      </c>
      <c r="D3361" s="125"/>
    </row>
    <row r="3362">
      <c r="A3362" s="122" t="s">
        <v>33708</v>
      </c>
      <c r="B3362" s="123">
        <v>890725.0</v>
      </c>
      <c r="C3362" s="687" t="s">
        <v>33709</v>
      </c>
      <c r="D3362" s="125"/>
    </row>
    <row r="3363">
      <c r="A3363" s="122" t="s">
        <v>1026</v>
      </c>
      <c r="B3363" s="123">
        <v>1104023.0</v>
      </c>
      <c r="C3363" s="687" t="s">
        <v>1027</v>
      </c>
      <c r="D3363" s="125"/>
    </row>
    <row r="3364">
      <c r="A3364" s="122" t="s">
        <v>1203</v>
      </c>
      <c r="B3364" s="123">
        <v>1532926.0</v>
      </c>
      <c r="C3364" s="687" t="s">
        <v>1204</v>
      </c>
      <c r="D3364" s="125"/>
    </row>
    <row r="3365">
      <c r="A3365" s="122" t="s">
        <v>11077</v>
      </c>
      <c r="B3365" s="123">
        <v>849399.0</v>
      </c>
      <c r="C3365" s="687" t="s">
        <v>11078</v>
      </c>
      <c r="D3365" s="125"/>
    </row>
    <row r="3366">
      <c r="A3366" s="122" t="s">
        <v>4487</v>
      </c>
      <c r="B3366" s="123">
        <v>924383.0</v>
      </c>
      <c r="C3366" s="687" t="s">
        <v>4488</v>
      </c>
      <c r="D3366" s="125"/>
    </row>
    <row r="3367">
      <c r="A3367" s="122" t="s">
        <v>10895</v>
      </c>
      <c r="B3367" s="123">
        <v>1326200.0</v>
      </c>
      <c r="C3367" s="687" t="s">
        <v>10896</v>
      </c>
      <c r="D3367" s="125"/>
    </row>
    <row r="3368">
      <c r="A3368" s="122" t="s">
        <v>10676</v>
      </c>
      <c r="B3368" s="123">
        <v>64472.0</v>
      </c>
      <c r="C3368" s="687" t="s">
        <v>10677</v>
      </c>
      <c r="D3368" s="125"/>
    </row>
    <row r="3369">
      <c r="A3369" s="122" t="s">
        <v>33710</v>
      </c>
      <c r="B3369" s="123">
        <v>772320.0</v>
      </c>
      <c r="C3369" s="687" t="s">
        <v>33711</v>
      </c>
      <c r="D3369" s="125"/>
    </row>
    <row r="3370">
      <c r="A3370" s="122" t="s">
        <v>8284</v>
      </c>
      <c r="B3370" s="123">
        <v>1231457.0</v>
      </c>
      <c r="C3370" s="687" t="s">
        <v>8285</v>
      </c>
      <c r="D3370" s="125"/>
    </row>
    <row r="3371">
      <c r="A3371" s="122" t="s">
        <v>6010</v>
      </c>
      <c r="B3371" s="123">
        <v>1838716.0</v>
      </c>
      <c r="C3371" s="687" t="s">
        <v>6011</v>
      </c>
      <c r="D3371" s="125"/>
    </row>
    <row r="3372">
      <c r="A3372" s="122" t="s">
        <v>15588</v>
      </c>
      <c r="B3372" s="123">
        <v>1474735.0</v>
      </c>
      <c r="C3372" s="687" t="s">
        <v>15589</v>
      </c>
      <c r="D3372" s="125"/>
    </row>
    <row r="3373">
      <c r="A3373" s="122" t="s">
        <v>16359</v>
      </c>
      <c r="B3373" s="123">
        <v>40533.0</v>
      </c>
      <c r="C3373" s="687" t="s">
        <v>16360</v>
      </c>
      <c r="D3373" s="125"/>
    </row>
    <row r="3374">
      <c r="A3374" s="122" t="s">
        <v>15784</v>
      </c>
      <c r="B3374" s="123">
        <v>40545.0</v>
      </c>
      <c r="C3374" s="687" t="s">
        <v>15785</v>
      </c>
      <c r="D3374" s="125"/>
    </row>
    <row r="3375">
      <c r="A3375" s="122" t="s">
        <v>3580</v>
      </c>
      <c r="B3375" s="123">
        <v>894556.0</v>
      </c>
      <c r="C3375" s="687" t="s">
        <v>3581</v>
      </c>
      <c r="D3375" s="125"/>
    </row>
    <row r="3376">
      <c r="A3376" s="122" t="s">
        <v>14623</v>
      </c>
      <c r="B3376" s="123">
        <v>40704.0</v>
      </c>
      <c r="C3376" s="687" t="s">
        <v>14624</v>
      </c>
      <c r="D3376" s="125"/>
    </row>
    <row r="3377">
      <c r="A3377" s="122" t="s">
        <v>13501</v>
      </c>
      <c r="B3377" s="123">
        <v>1467858.0</v>
      </c>
      <c r="C3377" s="687" t="s">
        <v>13502</v>
      </c>
      <c r="D3377" s="125"/>
    </row>
    <row r="3378">
      <c r="A3378" s="122" t="s">
        <v>33712</v>
      </c>
      <c r="B3378" s="123">
        <v>1398137.0</v>
      </c>
      <c r="C3378" s="687" t="s">
        <v>33713</v>
      </c>
      <c r="D3378" s="125"/>
    </row>
    <row r="3379">
      <c r="A3379" s="122" t="s">
        <v>4707</v>
      </c>
      <c r="B3379" s="123">
        <v>1733294.0</v>
      </c>
      <c r="C3379" s="687" t="s">
        <v>4708</v>
      </c>
      <c r="D3379" s="125"/>
    </row>
    <row r="3380">
      <c r="A3380" s="122" t="s">
        <v>2689</v>
      </c>
      <c r="B3380" s="123">
        <v>1651721.0</v>
      </c>
      <c r="C3380" s="687" t="s">
        <v>2690</v>
      </c>
      <c r="D3380" s="125"/>
    </row>
    <row r="3381">
      <c r="A3381" s="122" t="s">
        <v>5921</v>
      </c>
      <c r="B3381" s="123">
        <v>1651721.0</v>
      </c>
      <c r="C3381" s="687" t="s">
        <v>5922</v>
      </c>
      <c r="D3381" s="125"/>
    </row>
    <row r="3382">
      <c r="A3382" s="122" t="s">
        <v>9191</v>
      </c>
      <c r="B3382" s="123">
        <v>1823365.0</v>
      </c>
      <c r="C3382" s="687" t="s">
        <v>9192</v>
      </c>
      <c r="D3382" s="125"/>
    </row>
    <row r="3383">
      <c r="A3383" s="122" t="s">
        <v>12711</v>
      </c>
      <c r="B3383" s="123">
        <v>18498.0</v>
      </c>
      <c r="C3383" s="687" t="s">
        <v>12712</v>
      </c>
      <c r="D3383" s="125"/>
    </row>
    <row r="3384">
      <c r="A3384" s="122" t="s">
        <v>9383</v>
      </c>
      <c r="B3384" s="123">
        <v>1022321.0</v>
      </c>
      <c r="C3384" s="687" t="s">
        <v>9384</v>
      </c>
      <c r="D3384" s="125"/>
    </row>
    <row r="3385">
      <c r="A3385" s="122" t="s">
        <v>33714</v>
      </c>
      <c r="B3385" s="123">
        <v>1351051.0</v>
      </c>
      <c r="C3385" s="687" t="s">
        <v>33715</v>
      </c>
      <c r="D3385" s="125"/>
    </row>
    <row r="3386">
      <c r="A3386" s="122" t="s">
        <v>462</v>
      </c>
      <c r="B3386" s="123">
        <v>1017110.0</v>
      </c>
      <c r="C3386" s="687" t="s">
        <v>463</v>
      </c>
      <c r="D3386" s="125"/>
    </row>
    <row r="3387">
      <c r="A3387" s="122" t="s">
        <v>4786</v>
      </c>
      <c r="B3387" s="123">
        <v>1166272.0</v>
      </c>
      <c r="C3387" s="687" t="s">
        <v>4787</v>
      </c>
      <c r="D3387" s="125"/>
    </row>
    <row r="3388">
      <c r="A3388" s="122" t="s">
        <v>1606</v>
      </c>
      <c r="B3388" s="123">
        <v>1166272.0</v>
      </c>
      <c r="C3388" s="687" t="s">
        <v>1607</v>
      </c>
      <c r="D3388" s="125"/>
    </row>
    <row r="3389">
      <c r="A3389" s="122" t="s">
        <v>5954</v>
      </c>
      <c r="B3389" s="123">
        <v>1782594.0</v>
      </c>
      <c r="C3389" s="687" t="s">
        <v>5955</v>
      </c>
      <c r="D3389" s="125"/>
    </row>
    <row r="3390">
      <c r="A3390" s="122" t="s">
        <v>6002</v>
      </c>
      <c r="B3390" s="123">
        <v>1757064.0</v>
      </c>
      <c r="C3390" s="687" t="s">
        <v>6003</v>
      </c>
      <c r="D3390" s="125"/>
    </row>
    <row r="3391">
      <c r="A3391" s="122" t="s">
        <v>11220</v>
      </c>
      <c r="B3391" s="123">
        <v>1528356.0</v>
      </c>
      <c r="C3391" s="687" t="s">
        <v>11221</v>
      </c>
      <c r="D3391" s="125"/>
    </row>
    <row r="3392">
      <c r="A3392" s="122" t="s">
        <v>2771</v>
      </c>
      <c r="B3392" s="123">
        <v>1847806.0</v>
      </c>
      <c r="C3392" s="687" t="s">
        <v>2772</v>
      </c>
      <c r="D3392" s="125"/>
    </row>
    <row r="3393">
      <c r="A3393" s="122" t="s">
        <v>7431</v>
      </c>
      <c r="B3393" s="123">
        <v>1834489.0</v>
      </c>
      <c r="C3393" s="687" t="s">
        <v>7432</v>
      </c>
      <c r="D3393" s="125"/>
    </row>
    <row r="3394">
      <c r="A3394" s="122" t="s">
        <v>16381</v>
      </c>
      <c r="B3394" s="123">
        <v>1434265.0</v>
      </c>
      <c r="C3394" s="687" t="s">
        <v>16382</v>
      </c>
      <c r="D3394" s="125"/>
    </row>
    <row r="3395">
      <c r="A3395" s="122" t="s">
        <v>12619</v>
      </c>
      <c r="B3395" s="123">
        <v>1434265.0</v>
      </c>
      <c r="C3395" s="687" t="s">
        <v>12620</v>
      </c>
      <c r="D3395" s="125"/>
    </row>
    <row r="3396">
      <c r="A3396" s="122" t="s">
        <v>33716</v>
      </c>
      <c r="B3396" s="123">
        <v>1261002.0</v>
      </c>
      <c r="C3396" s="687" t="s">
        <v>33717</v>
      </c>
      <c r="D3396" s="125"/>
    </row>
    <row r="3397">
      <c r="A3397" s="122" t="s">
        <v>13246</v>
      </c>
      <c r="B3397" s="123">
        <v>1398659.0</v>
      </c>
      <c r="C3397" s="687" t="s">
        <v>13247</v>
      </c>
      <c r="D3397" s="125"/>
    </row>
    <row r="3398">
      <c r="A3398" s="122" t="s">
        <v>6970</v>
      </c>
      <c r="B3398" s="123">
        <v>1595248.0</v>
      </c>
      <c r="C3398" s="687" t="s">
        <v>6971</v>
      </c>
      <c r="D3398" s="125"/>
    </row>
    <row r="3399">
      <c r="A3399" s="122" t="s">
        <v>1539</v>
      </c>
      <c r="B3399" s="123">
        <v>312070.0</v>
      </c>
      <c r="C3399" s="687" t="s">
        <v>1540</v>
      </c>
      <c r="D3399" s="125"/>
    </row>
    <row r="3400">
      <c r="A3400" s="122" t="s">
        <v>33718</v>
      </c>
      <c r="B3400" s="123">
        <v>1591157.0</v>
      </c>
      <c r="C3400" s="687" t="s">
        <v>33719</v>
      </c>
      <c r="D3400" s="125"/>
    </row>
    <row r="3401">
      <c r="A3401" s="122" t="s">
        <v>13138</v>
      </c>
      <c r="B3401" s="123">
        <v>355811.0</v>
      </c>
      <c r="C3401" s="687" t="s">
        <v>13139</v>
      </c>
      <c r="D3401" s="125"/>
    </row>
    <row r="3402">
      <c r="A3402" s="122" t="s">
        <v>14050</v>
      </c>
      <c r="B3402" s="123">
        <v>903129.0</v>
      </c>
      <c r="C3402" s="687" t="s">
        <v>14051</v>
      </c>
      <c r="D3402" s="125"/>
    </row>
    <row r="3403">
      <c r="A3403" s="122" t="s">
        <v>1551</v>
      </c>
      <c r="B3403" s="123">
        <v>1346917.0</v>
      </c>
      <c r="C3403" s="687" t="s">
        <v>1552</v>
      </c>
      <c r="D3403" s="125"/>
    </row>
    <row r="3404">
      <c r="A3404" s="122" t="s">
        <v>661</v>
      </c>
      <c r="B3404" s="123">
        <v>1510518.0</v>
      </c>
      <c r="C3404" s="687" t="s">
        <v>662</v>
      </c>
      <c r="D3404" s="125"/>
    </row>
    <row r="3405">
      <c r="A3405" s="122" t="s">
        <v>15822</v>
      </c>
      <c r="B3405" s="123">
        <v>40987.0</v>
      </c>
      <c r="C3405" s="687" t="s">
        <v>15823</v>
      </c>
      <c r="D3405" s="125"/>
    </row>
    <row r="3406">
      <c r="A3406" s="122" t="s">
        <v>7039</v>
      </c>
      <c r="B3406" s="123">
        <v>1276520.0</v>
      </c>
      <c r="C3406" s="687" t="s">
        <v>7040</v>
      </c>
      <c r="D3406" s="125"/>
    </row>
    <row r="3407">
      <c r="A3407" s="122" t="s">
        <v>9351</v>
      </c>
      <c r="B3407" s="123">
        <v>923796.0</v>
      </c>
      <c r="C3407" s="687" t="s">
        <v>9352</v>
      </c>
      <c r="D3407" s="125"/>
    </row>
    <row r="3408">
      <c r="A3408" s="122" t="s">
        <v>7793</v>
      </c>
      <c r="B3408" s="123">
        <v>1464591.0</v>
      </c>
      <c r="C3408" s="687" t="s">
        <v>7794</v>
      </c>
      <c r="D3408" s="125"/>
    </row>
    <row r="3409">
      <c r="A3409" s="122" t="s">
        <v>10493</v>
      </c>
      <c r="B3409" s="123">
        <v>1001115.0</v>
      </c>
      <c r="C3409" s="687" t="s">
        <v>10494</v>
      </c>
      <c r="D3409" s="125"/>
    </row>
    <row r="3410">
      <c r="A3410" s="122" t="s">
        <v>1271</v>
      </c>
      <c r="B3410" s="123">
        <v>832489.0</v>
      </c>
      <c r="C3410" s="687" t="s">
        <v>1272</v>
      </c>
      <c r="D3410" s="125"/>
    </row>
    <row r="3411">
      <c r="A3411" s="122" t="s">
        <v>5492</v>
      </c>
      <c r="B3411" s="123">
        <v>832489.0</v>
      </c>
      <c r="C3411" s="687" t="s">
        <v>5493</v>
      </c>
      <c r="D3411" s="125"/>
    </row>
    <row r="3412">
      <c r="A3412" s="122" t="s">
        <v>6232</v>
      </c>
      <c r="B3412" s="123">
        <v>1073404.0</v>
      </c>
      <c r="C3412" s="687" t="s">
        <v>6233</v>
      </c>
      <c r="D3412" s="125"/>
    </row>
    <row r="3413">
      <c r="A3413" s="122" t="s">
        <v>13001</v>
      </c>
      <c r="B3413" s="123">
        <v>714395.0</v>
      </c>
      <c r="C3413" s="687" t="s">
        <v>13002</v>
      </c>
      <c r="D3413" s="125"/>
    </row>
    <row r="3414">
      <c r="A3414" s="122" t="s">
        <v>4705</v>
      </c>
      <c r="B3414" s="123">
        <v>886744.0</v>
      </c>
      <c r="C3414" s="687" t="s">
        <v>4706</v>
      </c>
      <c r="D3414" s="125"/>
    </row>
    <row r="3415">
      <c r="A3415" s="122" t="s">
        <v>6241</v>
      </c>
      <c r="B3415" s="123">
        <v>1898496.0</v>
      </c>
      <c r="C3415" s="687" t="s">
        <v>6242</v>
      </c>
      <c r="D3415" s="125"/>
    </row>
    <row r="3416">
      <c r="A3416" s="122" t="s">
        <v>12580</v>
      </c>
      <c r="B3416" s="123">
        <v>1052752.0</v>
      </c>
      <c r="C3416" s="687" t="s">
        <v>12581</v>
      </c>
      <c r="D3416" s="125"/>
    </row>
    <row r="3417">
      <c r="A3417" s="122" t="s">
        <v>3596</v>
      </c>
      <c r="B3417" s="123">
        <v>1392380.0</v>
      </c>
      <c r="C3417" s="687" t="s">
        <v>3597</v>
      </c>
      <c r="D3417" s="125"/>
    </row>
    <row r="3418">
      <c r="A3418" s="122" t="s">
        <v>33720</v>
      </c>
      <c r="B3418" s="123">
        <v>1681556.0</v>
      </c>
      <c r="C3418" s="687" t="s">
        <v>33721</v>
      </c>
      <c r="D3418" s="125"/>
    </row>
    <row r="3419">
      <c r="A3419" s="122" t="s">
        <v>1622</v>
      </c>
      <c r="B3419" s="123">
        <v>1684888.0</v>
      </c>
      <c r="C3419" s="687" t="s">
        <v>1623</v>
      </c>
      <c r="D3419" s="125"/>
    </row>
    <row r="3420">
      <c r="A3420" s="122" t="s">
        <v>13287</v>
      </c>
      <c r="B3420" s="123">
        <v>1780232.0</v>
      </c>
      <c r="C3420" s="687" t="s">
        <v>13288</v>
      </c>
      <c r="D3420" s="125"/>
    </row>
    <row r="3421">
      <c r="A3421" s="122" t="s">
        <v>33722</v>
      </c>
      <c r="B3421" s="123">
        <v>1499855.0</v>
      </c>
      <c r="C3421" s="687" t="s">
        <v>33723</v>
      </c>
      <c r="D3421" s="125"/>
    </row>
    <row r="3422">
      <c r="A3422" s="122" t="s">
        <v>7544</v>
      </c>
      <c r="B3422" s="123">
        <v>1855129.0</v>
      </c>
      <c r="C3422" s="687" t="s">
        <v>7545</v>
      </c>
      <c r="D3422" s="125"/>
    </row>
    <row r="3423">
      <c r="A3423" s="122" t="s">
        <v>1259</v>
      </c>
      <c r="B3423" s="123">
        <v>1121795.0</v>
      </c>
      <c r="C3423" s="687" t="s">
        <v>1260</v>
      </c>
      <c r="D3423" s="125"/>
    </row>
    <row r="3424">
      <c r="A3424" s="122" t="s">
        <v>33724</v>
      </c>
      <c r="B3424" s="123">
        <v>1765826.0</v>
      </c>
      <c r="C3424" s="687" t="s">
        <v>33725</v>
      </c>
      <c r="D3424" s="125"/>
    </row>
    <row r="3425">
      <c r="A3425" s="122" t="s">
        <v>15097</v>
      </c>
      <c r="B3425" s="123">
        <v>912562.0</v>
      </c>
      <c r="C3425" s="687" t="s">
        <v>15098</v>
      </c>
      <c r="D3425" s="125"/>
    </row>
    <row r="3426">
      <c r="A3426" s="122" t="s">
        <v>4289</v>
      </c>
      <c r="B3426" s="123">
        <v>1105101.0</v>
      </c>
      <c r="C3426" s="687" t="s">
        <v>4290</v>
      </c>
      <c r="D3426" s="125"/>
    </row>
    <row r="3427">
      <c r="A3427" s="122" t="s">
        <v>1964</v>
      </c>
      <c r="B3427" s="123">
        <v>719274.0</v>
      </c>
      <c r="C3427" s="687" t="s">
        <v>1965</v>
      </c>
      <c r="D3427" s="125"/>
    </row>
    <row r="3428">
      <c r="A3428" s="122" t="s">
        <v>12288</v>
      </c>
      <c r="B3428" s="123">
        <v>1857816.0</v>
      </c>
      <c r="C3428" s="687" t="s">
        <v>12289</v>
      </c>
      <c r="D3428" s="125"/>
    </row>
    <row r="3429">
      <c r="A3429" s="122" t="s">
        <v>8946</v>
      </c>
      <c r="B3429" s="123">
        <v>1844505.0</v>
      </c>
      <c r="C3429" s="687" t="s">
        <v>8947</v>
      </c>
      <c r="D3429" s="125"/>
    </row>
    <row r="3430">
      <c r="A3430" s="122" t="s">
        <v>7145</v>
      </c>
      <c r="B3430" s="123">
        <v>897322.0</v>
      </c>
      <c r="C3430" s="687" t="s">
        <v>7146</v>
      </c>
      <c r="D3430" s="125"/>
    </row>
    <row r="3431">
      <c r="A3431" s="122" t="s">
        <v>13112</v>
      </c>
      <c r="B3431" s="123">
        <v>1061894.0</v>
      </c>
      <c r="C3431" s="687" t="s">
        <v>13113</v>
      </c>
      <c r="D3431" s="125"/>
    </row>
    <row r="3432">
      <c r="A3432" s="122" t="s">
        <v>14931</v>
      </c>
      <c r="B3432" s="123">
        <v>882095.0</v>
      </c>
      <c r="C3432" s="687" t="s">
        <v>14932</v>
      </c>
      <c r="D3432" s="125"/>
    </row>
    <row r="3433">
      <c r="A3433" s="122" t="s">
        <v>4130</v>
      </c>
      <c r="B3433" s="123">
        <v>1830214.0</v>
      </c>
      <c r="C3433" s="687" t="s">
        <v>4131</v>
      </c>
      <c r="D3433" s="125"/>
    </row>
    <row r="3434">
      <c r="A3434" s="122" t="s">
        <v>14830</v>
      </c>
      <c r="B3434" s="123">
        <v>1653482.0</v>
      </c>
      <c r="C3434" s="687" t="s">
        <v>14831</v>
      </c>
      <c r="D3434" s="125"/>
    </row>
    <row r="3435">
      <c r="A3435" s="122" t="s">
        <v>2631</v>
      </c>
      <c r="B3435" s="123">
        <v>1169138.0</v>
      </c>
      <c r="C3435" s="687" t="s">
        <v>2632</v>
      </c>
      <c r="D3435" s="125"/>
    </row>
    <row r="3436">
      <c r="A3436" s="122" t="s">
        <v>830</v>
      </c>
      <c r="B3436" s="123">
        <v>1064722.0</v>
      </c>
      <c r="C3436" s="687" t="s">
        <v>831</v>
      </c>
      <c r="D3436" s="125"/>
    </row>
    <row r="3437">
      <c r="A3437" s="122" t="s">
        <v>13423</v>
      </c>
      <c r="B3437" s="123">
        <v>868671.0</v>
      </c>
      <c r="C3437" s="687" t="s">
        <v>13424</v>
      </c>
      <c r="D3437" s="125"/>
    </row>
    <row r="3438">
      <c r="A3438" s="122" t="s">
        <v>8564</v>
      </c>
      <c r="B3438" s="123">
        <v>1143513.0</v>
      </c>
      <c r="C3438" s="687" t="s">
        <v>8565</v>
      </c>
      <c r="D3438" s="125"/>
    </row>
    <row r="3439">
      <c r="A3439" s="122" t="s">
        <v>11639</v>
      </c>
      <c r="B3439" s="123">
        <v>1234006.0</v>
      </c>
      <c r="C3439" s="687" t="s">
        <v>11640</v>
      </c>
      <c r="D3439" s="125"/>
    </row>
    <row r="3440">
      <c r="A3440" s="122" t="s">
        <v>9796</v>
      </c>
      <c r="B3440" s="123">
        <v>1234006.0</v>
      </c>
      <c r="C3440" s="687" t="s">
        <v>9797</v>
      </c>
      <c r="D3440" s="125"/>
    </row>
    <row r="3441">
      <c r="A3441" s="122" t="s">
        <v>11921</v>
      </c>
      <c r="B3441" s="123">
        <v>1321741.0</v>
      </c>
      <c r="C3441" s="687" t="s">
        <v>11922</v>
      </c>
      <c r="D3441" s="125"/>
    </row>
    <row r="3442">
      <c r="A3442" s="122" t="s">
        <v>10213</v>
      </c>
      <c r="B3442" s="123">
        <v>1321741.0</v>
      </c>
      <c r="C3442" s="687" t="s">
        <v>10214</v>
      </c>
      <c r="D3442" s="125"/>
    </row>
    <row r="3443">
      <c r="A3443" s="122" t="s">
        <v>12065</v>
      </c>
      <c r="B3443" s="123">
        <v>1321741.0</v>
      </c>
      <c r="C3443" s="687" t="s">
        <v>12066</v>
      </c>
      <c r="D3443" s="125"/>
    </row>
    <row r="3444">
      <c r="A3444" s="122" t="s">
        <v>10100</v>
      </c>
      <c r="B3444" s="123">
        <v>1495240.0</v>
      </c>
      <c r="C3444" s="687" t="s">
        <v>10101</v>
      </c>
      <c r="D3444" s="125"/>
    </row>
    <row r="3445">
      <c r="A3445" s="122" t="s">
        <v>3644</v>
      </c>
      <c r="B3445" s="123">
        <v>1848731.0</v>
      </c>
      <c r="C3445" s="687" t="s">
        <v>3645</v>
      </c>
      <c r="D3445" s="125"/>
    </row>
    <row r="3446">
      <c r="A3446" s="122" t="s">
        <v>7188</v>
      </c>
      <c r="B3446" s="123">
        <v>1848731.0</v>
      </c>
      <c r="C3446" s="687" t="s">
        <v>7189</v>
      </c>
      <c r="D3446" s="125"/>
    </row>
    <row r="3447">
      <c r="A3447" s="122" t="s">
        <v>14990</v>
      </c>
      <c r="B3447" s="123">
        <v>1014111.0</v>
      </c>
      <c r="C3447" s="687" t="s">
        <v>14991</v>
      </c>
      <c r="D3447" s="125"/>
    </row>
    <row r="3448">
      <c r="A3448" s="122" t="s">
        <v>4231</v>
      </c>
      <c r="B3448" s="123">
        <v>41719.0</v>
      </c>
      <c r="C3448" s="687" t="s">
        <v>4232</v>
      </c>
      <c r="D3448" s="125"/>
    </row>
    <row r="3449">
      <c r="A3449" s="122" t="s">
        <v>15246</v>
      </c>
      <c r="B3449" s="123">
        <v>1192448.0</v>
      </c>
      <c r="C3449" s="687" t="s">
        <v>15247</v>
      </c>
      <c r="D3449" s="125"/>
    </row>
    <row r="3450">
      <c r="A3450" s="122" t="s">
        <v>7335</v>
      </c>
      <c r="B3450" s="123">
        <v>890066.0</v>
      </c>
      <c r="C3450" s="687" t="s">
        <v>7336</v>
      </c>
      <c r="D3450" s="125"/>
    </row>
    <row r="3451">
      <c r="A3451" s="122" t="s">
        <v>557</v>
      </c>
      <c r="B3451" s="123">
        <v>1612875.0</v>
      </c>
      <c r="C3451" s="687" t="s">
        <v>558</v>
      </c>
      <c r="D3451" s="125"/>
    </row>
    <row r="3452">
      <c r="A3452" s="122" t="s">
        <v>8592</v>
      </c>
      <c r="B3452" s="123">
        <v>1524684.0</v>
      </c>
      <c r="C3452" s="687" t="s">
        <v>8593</v>
      </c>
      <c r="D3452" s="125"/>
    </row>
    <row r="3453">
      <c r="A3453" s="122" t="s">
        <v>6702</v>
      </c>
      <c r="B3453" s="123">
        <v>1524684.0</v>
      </c>
      <c r="C3453" s="687" t="s">
        <v>6703</v>
      </c>
      <c r="D3453" s="125"/>
    </row>
    <row r="3454">
      <c r="A3454" s="122" t="s">
        <v>16671</v>
      </c>
      <c r="B3454" s="123">
        <v>1805087.0</v>
      </c>
      <c r="C3454" s="687" t="s">
        <v>16672</v>
      </c>
      <c r="D3454" s="125"/>
    </row>
    <row r="3455">
      <c r="A3455" s="122" t="s">
        <v>1199</v>
      </c>
      <c r="B3455" s="123">
        <v>1556266.0</v>
      </c>
      <c r="C3455" s="687" t="s">
        <v>1200</v>
      </c>
      <c r="D3455" s="125"/>
    </row>
    <row r="3456">
      <c r="A3456" s="122" t="s">
        <v>4100</v>
      </c>
      <c r="B3456" s="123">
        <v>1854445.0</v>
      </c>
      <c r="C3456" s="687" t="s">
        <v>4101</v>
      </c>
      <c r="D3456" s="125"/>
    </row>
    <row r="3457">
      <c r="A3457" s="122" t="s">
        <v>2773</v>
      </c>
      <c r="B3457" s="123">
        <v>930245.0</v>
      </c>
      <c r="C3457" s="687" t="s">
        <v>2774</v>
      </c>
      <c r="D3457" s="125"/>
    </row>
    <row r="3458">
      <c r="A3458" s="122" t="s">
        <v>4473</v>
      </c>
      <c r="B3458" s="123">
        <v>1473490.0</v>
      </c>
      <c r="C3458" s="687" t="s">
        <v>4474</v>
      </c>
      <c r="D3458" s="125"/>
    </row>
    <row r="3459">
      <c r="A3459" s="122" t="s">
        <v>33726</v>
      </c>
      <c r="B3459" s="123">
        <v>1138724.0</v>
      </c>
      <c r="C3459" s="687" t="s">
        <v>33727</v>
      </c>
      <c r="D3459" s="125"/>
    </row>
    <row r="3460">
      <c r="A3460" s="122" t="s">
        <v>990</v>
      </c>
      <c r="B3460" s="123">
        <v>1894951.0</v>
      </c>
      <c r="C3460" s="687" t="s">
        <v>991</v>
      </c>
      <c r="D3460" s="125"/>
    </row>
    <row r="3461">
      <c r="A3461" s="122" t="s">
        <v>8783</v>
      </c>
      <c r="B3461" s="123">
        <v>1894951.0</v>
      </c>
      <c r="C3461" s="687" t="s">
        <v>8784</v>
      </c>
      <c r="D3461" s="125"/>
    </row>
    <row r="3462">
      <c r="A3462" s="122" t="s">
        <v>6197</v>
      </c>
      <c r="B3462" s="123">
        <v>1799983.0</v>
      </c>
      <c r="C3462" s="687" t="s">
        <v>6198</v>
      </c>
      <c r="D3462" s="125"/>
    </row>
    <row r="3463">
      <c r="A3463" s="122" t="s">
        <v>6966</v>
      </c>
      <c r="B3463" s="123">
        <v>1820872.0</v>
      </c>
      <c r="C3463" s="687" t="s">
        <v>6967</v>
      </c>
      <c r="D3463" s="125"/>
    </row>
    <row r="3464">
      <c r="A3464" s="122" t="s">
        <v>3723</v>
      </c>
      <c r="B3464" s="123">
        <v>748790.0</v>
      </c>
      <c r="C3464" s="687" t="s">
        <v>3724</v>
      </c>
      <c r="D3464" s="125"/>
    </row>
    <row r="3465">
      <c r="A3465" s="122" t="s">
        <v>3191</v>
      </c>
      <c r="B3465" s="123">
        <v>1846084.0</v>
      </c>
      <c r="C3465" s="687" t="s">
        <v>3192</v>
      </c>
      <c r="D3465" s="125"/>
    </row>
    <row r="3466">
      <c r="A3466" s="122" t="s">
        <v>33728</v>
      </c>
      <c r="B3466" s="123">
        <v>1011662.0</v>
      </c>
      <c r="C3466" s="687" t="s">
        <v>33729</v>
      </c>
      <c r="D3466" s="125"/>
    </row>
    <row r="3467">
      <c r="A3467" s="122" t="s">
        <v>6054</v>
      </c>
      <c r="B3467" s="123">
        <v>727346.0</v>
      </c>
      <c r="C3467" s="687" t="s">
        <v>6055</v>
      </c>
      <c r="D3467" s="125"/>
    </row>
    <row r="3468">
      <c r="A3468" s="122" t="s">
        <v>12732</v>
      </c>
      <c r="B3468" s="123">
        <v>1494904.0</v>
      </c>
      <c r="C3468" s="687" t="s">
        <v>12733</v>
      </c>
      <c r="D3468" s="125"/>
    </row>
    <row r="3469">
      <c r="A3469" s="122" t="s">
        <v>13778</v>
      </c>
      <c r="B3469" s="123">
        <v>945114.0</v>
      </c>
      <c r="C3469" s="687" t="s">
        <v>13779</v>
      </c>
      <c r="D3469" s="125"/>
    </row>
    <row r="3470">
      <c r="A3470" s="122" t="s">
        <v>1787</v>
      </c>
      <c r="B3470" s="123">
        <v>1837774.0</v>
      </c>
      <c r="C3470" s="687" t="s">
        <v>1788</v>
      </c>
      <c r="D3470" s="125"/>
    </row>
    <row r="3471">
      <c r="A3471" s="122" t="s">
        <v>1077</v>
      </c>
      <c r="B3471" s="123">
        <v>1845991.0</v>
      </c>
      <c r="C3471" s="687" t="s">
        <v>1078</v>
      </c>
      <c r="D3471" s="125"/>
    </row>
    <row r="3472">
      <c r="A3472" s="122" t="s">
        <v>8300</v>
      </c>
      <c r="B3472" s="123">
        <v>1533615.0</v>
      </c>
      <c r="C3472" s="687" t="s">
        <v>8301</v>
      </c>
      <c r="D3472" s="125"/>
    </row>
    <row r="3473">
      <c r="A3473" s="122" t="s">
        <v>7782</v>
      </c>
      <c r="B3473" s="123">
        <v>1526113.0</v>
      </c>
      <c r="C3473" s="687" t="s">
        <v>7783</v>
      </c>
      <c r="D3473" s="125"/>
    </row>
    <row r="3474">
      <c r="A3474" s="122" t="s">
        <v>1485</v>
      </c>
      <c r="B3474" s="123">
        <v>1831979.0</v>
      </c>
      <c r="C3474" s="687" t="s">
        <v>1486</v>
      </c>
      <c r="D3474" s="125"/>
    </row>
    <row r="3475">
      <c r="A3475" s="122" t="s">
        <v>9206</v>
      </c>
      <c r="B3475" s="123">
        <v>1831979.0</v>
      </c>
      <c r="C3475" s="687" t="s">
        <v>9207</v>
      </c>
      <c r="D3475" s="125"/>
    </row>
    <row r="3476">
      <c r="A3476" s="122" t="s">
        <v>9263</v>
      </c>
      <c r="B3476" s="123">
        <v>1831979.0</v>
      </c>
      <c r="C3476" s="687" t="s">
        <v>9264</v>
      </c>
      <c r="D3476" s="125"/>
    </row>
    <row r="3477">
      <c r="A3477" s="122" t="s">
        <v>13928</v>
      </c>
      <c r="B3477" s="123">
        <v>1323468.0</v>
      </c>
      <c r="C3477" s="687" t="s">
        <v>13929</v>
      </c>
      <c r="D3477" s="125"/>
    </row>
    <row r="3478">
      <c r="A3478" s="122" t="s">
        <v>15782</v>
      </c>
      <c r="B3478" s="123">
        <v>1123360.0</v>
      </c>
      <c r="C3478" s="687" t="s">
        <v>15783</v>
      </c>
      <c r="D3478" s="125"/>
    </row>
    <row r="3479">
      <c r="A3479" s="122" t="s">
        <v>6271</v>
      </c>
      <c r="B3479" s="123">
        <v>1031235.0</v>
      </c>
      <c r="C3479" s="687" t="s">
        <v>6272</v>
      </c>
      <c r="D3479" s="125"/>
    </row>
    <row r="3480">
      <c r="A3480" s="122" t="s">
        <v>11535</v>
      </c>
      <c r="B3480" s="123">
        <v>1430725.0</v>
      </c>
      <c r="C3480" s="687" t="s">
        <v>11536</v>
      </c>
      <c r="D3480" s="125"/>
    </row>
    <row r="3481">
      <c r="A3481" s="122" t="s">
        <v>8716</v>
      </c>
      <c r="B3481" s="123">
        <v>1922331.0</v>
      </c>
      <c r="C3481" s="687" t="s">
        <v>8717</v>
      </c>
      <c r="D3481" s="125"/>
    </row>
    <row r="3482">
      <c r="A3482" s="122" t="s">
        <v>2458</v>
      </c>
      <c r="B3482" s="123">
        <v>356590.0</v>
      </c>
      <c r="C3482" s="687" t="s">
        <v>2459</v>
      </c>
      <c r="D3482" s="125"/>
    </row>
    <row r="3483">
      <c r="A3483" s="122" t="s">
        <v>33730</v>
      </c>
      <c r="B3483" s="123">
        <v>932021.0</v>
      </c>
      <c r="C3483" s="687" t="s">
        <v>33731</v>
      </c>
      <c r="D3483" s="125"/>
    </row>
    <row r="3484">
      <c r="A3484" s="122" t="s">
        <v>1317</v>
      </c>
      <c r="B3484" s="123">
        <v>1848821.0</v>
      </c>
      <c r="C3484" s="687" t="s">
        <v>1318</v>
      </c>
      <c r="D3484" s="125"/>
    </row>
    <row r="3485">
      <c r="A3485" s="122" t="s">
        <v>8934</v>
      </c>
      <c r="B3485" s="123">
        <v>1848821.0</v>
      </c>
      <c r="C3485" s="687" t="s">
        <v>8935</v>
      </c>
      <c r="D3485" s="125"/>
    </row>
    <row r="3486">
      <c r="A3486" s="122" t="s">
        <v>8954</v>
      </c>
      <c r="B3486" s="123">
        <v>1848821.0</v>
      </c>
      <c r="C3486" s="687" t="s">
        <v>8955</v>
      </c>
      <c r="D3486" s="125"/>
    </row>
    <row r="3487">
      <c r="A3487" s="122" t="s">
        <v>5355</v>
      </c>
      <c r="B3487" s="123">
        <v>1430300.0</v>
      </c>
      <c r="C3487" s="687" t="s">
        <v>5356</v>
      </c>
      <c r="D3487" s="125"/>
    </row>
    <row r="3488">
      <c r="A3488" s="122" t="s">
        <v>9630</v>
      </c>
      <c r="B3488" s="123">
        <v>1434728.0</v>
      </c>
      <c r="C3488" s="687" t="s">
        <v>9631</v>
      </c>
      <c r="D3488" s="125"/>
    </row>
    <row r="3489">
      <c r="A3489" s="122" t="s">
        <v>33732</v>
      </c>
      <c r="B3489" s="123">
        <v>1598308.0</v>
      </c>
      <c r="C3489" s="687" t="s">
        <v>33733</v>
      </c>
      <c r="D3489" s="125"/>
    </row>
    <row r="3490">
      <c r="A3490" s="122" t="s">
        <v>12649</v>
      </c>
      <c r="B3490" s="123">
        <v>1124105.0</v>
      </c>
      <c r="C3490" s="687" t="s">
        <v>12650</v>
      </c>
      <c r="D3490" s="125"/>
    </row>
    <row r="3491">
      <c r="A3491" s="122" t="s">
        <v>13515</v>
      </c>
      <c r="B3491" s="123">
        <v>1835963.0</v>
      </c>
      <c r="C3491" s="687" t="s">
        <v>13516</v>
      </c>
      <c r="D3491" s="125"/>
    </row>
    <row r="3492">
      <c r="A3492" s="122" t="s">
        <v>1557</v>
      </c>
      <c r="B3492" s="123">
        <v>944314.0</v>
      </c>
      <c r="C3492" s="687" t="s">
        <v>1558</v>
      </c>
      <c r="D3492" s="125"/>
    </row>
    <row r="3493">
      <c r="A3493" s="122" t="s">
        <v>14276</v>
      </c>
      <c r="B3493" s="123">
        <v>1709048.0</v>
      </c>
      <c r="C3493" s="687" t="s">
        <v>14277</v>
      </c>
      <c r="D3493" s="125"/>
    </row>
    <row r="3494">
      <c r="A3494" s="122" t="s">
        <v>1004</v>
      </c>
      <c r="B3494" s="123">
        <v>1888734.0</v>
      </c>
      <c r="C3494" s="687" t="s">
        <v>1005</v>
      </c>
      <c r="D3494" s="125"/>
    </row>
    <row r="3495">
      <c r="A3495" s="122" t="s">
        <v>8892</v>
      </c>
      <c r="B3495" s="123">
        <v>1888734.0</v>
      </c>
      <c r="C3495" s="687" t="s">
        <v>8893</v>
      </c>
      <c r="D3495" s="125"/>
    </row>
    <row r="3496">
      <c r="A3496" s="122" t="s">
        <v>16327</v>
      </c>
      <c r="B3496" s="123">
        <v>1557860.0</v>
      </c>
      <c r="C3496" s="687" t="s">
        <v>16328</v>
      </c>
      <c r="D3496" s="125"/>
    </row>
    <row r="3497">
      <c r="A3497" s="122" t="s">
        <v>15624</v>
      </c>
      <c r="B3497" s="123">
        <v>320335.0</v>
      </c>
      <c r="C3497" s="687" t="s">
        <v>15625</v>
      </c>
      <c r="D3497" s="125"/>
    </row>
    <row r="3498">
      <c r="A3498" s="122" t="s">
        <v>33734</v>
      </c>
      <c r="B3498" s="123">
        <v>1502152.0</v>
      </c>
      <c r="C3498" s="687" t="s">
        <v>33735</v>
      </c>
      <c r="D3498" s="125"/>
    </row>
    <row r="3499">
      <c r="A3499" s="122" t="s">
        <v>33736</v>
      </c>
      <c r="B3499" s="123">
        <v>1343460.0</v>
      </c>
      <c r="C3499" s="687" t="s">
        <v>33737</v>
      </c>
      <c r="D3499" s="125"/>
    </row>
    <row r="3500">
      <c r="A3500" s="122" t="s">
        <v>5011</v>
      </c>
      <c r="B3500" s="123">
        <v>1499780.0</v>
      </c>
      <c r="C3500" s="687" t="s">
        <v>5012</v>
      </c>
      <c r="D3500" s="125"/>
    </row>
    <row r="3501">
      <c r="A3501" s="122" t="s">
        <v>14160</v>
      </c>
      <c r="B3501" s="123">
        <v>1237831.0</v>
      </c>
      <c r="C3501" s="687" t="s">
        <v>14161</v>
      </c>
      <c r="D3501" s="125"/>
    </row>
    <row r="3502">
      <c r="A3502" s="122" t="s">
        <v>1940</v>
      </c>
      <c r="B3502" s="123">
        <v>1515114.0</v>
      </c>
      <c r="C3502" s="687" t="s">
        <v>1941</v>
      </c>
      <c r="D3502" s="125"/>
    </row>
    <row r="3503">
      <c r="A3503" s="122" t="s">
        <v>3165</v>
      </c>
      <c r="B3503" s="123">
        <v>1420108.0</v>
      </c>
      <c r="C3503" s="687" t="s">
        <v>3166</v>
      </c>
      <c r="D3503" s="125"/>
    </row>
    <row r="3504">
      <c r="A3504" s="122" t="s">
        <v>2339</v>
      </c>
      <c r="B3504" s="123">
        <v>1506983.0</v>
      </c>
      <c r="C3504" s="687" t="s">
        <v>2340</v>
      </c>
      <c r="D3504" s="125"/>
    </row>
    <row r="3505">
      <c r="A3505" s="122" t="s">
        <v>5484</v>
      </c>
      <c r="B3505" s="123">
        <v>1253689.0</v>
      </c>
      <c r="C3505" s="687" t="s">
        <v>5485</v>
      </c>
      <c r="D3505" s="125"/>
    </row>
    <row r="3506">
      <c r="A3506" s="122" t="s">
        <v>33738</v>
      </c>
      <c r="B3506" s="123">
        <v>1382112.0</v>
      </c>
      <c r="C3506" s="687" t="s">
        <v>33739</v>
      </c>
      <c r="D3506" s="125"/>
    </row>
    <row r="3507">
      <c r="A3507" s="122" t="s">
        <v>15148</v>
      </c>
      <c r="B3507" s="123">
        <v>1600438.0</v>
      </c>
      <c r="C3507" s="687" t="s">
        <v>15149</v>
      </c>
      <c r="D3507" s="125"/>
    </row>
    <row r="3508">
      <c r="A3508" s="122" t="s">
        <v>996</v>
      </c>
      <c r="B3508" s="123">
        <v>1836100.0</v>
      </c>
      <c r="C3508" s="687" t="s">
        <v>997</v>
      </c>
      <c r="D3508" s="125"/>
    </row>
    <row r="3509">
      <c r="A3509" s="122" t="s">
        <v>8750</v>
      </c>
      <c r="B3509" s="123">
        <v>1836100.0</v>
      </c>
      <c r="C3509" s="687" t="s">
        <v>8751</v>
      </c>
      <c r="D3509" s="125"/>
    </row>
    <row r="3510">
      <c r="A3510" s="122" t="s">
        <v>15491</v>
      </c>
      <c r="B3510" s="123">
        <v>1609711.0</v>
      </c>
      <c r="C3510" s="687" t="s">
        <v>15492</v>
      </c>
      <c r="D3510" s="125"/>
    </row>
    <row r="3511">
      <c r="A3511" s="122" t="s">
        <v>7991</v>
      </c>
      <c r="B3511" s="123">
        <v>1537054.0</v>
      </c>
      <c r="C3511" s="687" t="s">
        <v>7992</v>
      </c>
      <c r="D3511" s="125"/>
    </row>
    <row r="3512">
      <c r="A3512" s="122" t="s">
        <v>2017</v>
      </c>
      <c r="B3512" s="123">
        <v>1886190.0</v>
      </c>
      <c r="C3512" s="687" t="s">
        <v>2018</v>
      </c>
      <c r="D3512" s="125"/>
    </row>
    <row r="3513">
      <c r="A3513" s="122" t="s">
        <v>4894</v>
      </c>
      <c r="B3513" s="123">
        <v>1886190.0</v>
      </c>
      <c r="C3513" s="687" t="s">
        <v>4895</v>
      </c>
      <c r="D3513" s="125"/>
    </row>
    <row r="3514">
      <c r="A3514" s="122" t="s">
        <v>9636</v>
      </c>
      <c r="B3514" s="123">
        <v>1808220.0</v>
      </c>
      <c r="C3514" s="687" t="s">
        <v>9637</v>
      </c>
      <c r="D3514" s="125"/>
    </row>
    <row r="3515">
      <c r="A3515" s="122" t="s">
        <v>11699</v>
      </c>
      <c r="B3515" s="123">
        <v>1207179.0</v>
      </c>
      <c r="C3515" s="687" t="s">
        <v>11700</v>
      </c>
      <c r="D3515" s="125"/>
    </row>
    <row r="3516">
      <c r="A3516" s="122" t="s">
        <v>10011</v>
      </c>
      <c r="B3516" s="123">
        <v>1415916.0</v>
      </c>
      <c r="C3516" s="687" t="s">
        <v>10012</v>
      </c>
      <c r="D3516" s="125"/>
    </row>
    <row r="3517">
      <c r="A3517" s="122" t="s">
        <v>1211</v>
      </c>
      <c r="B3517" s="123">
        <v>1644440.0</v>
      </c>
      <c r="C3517" s="687" t="s">
        <v>1212</v>
      </c>
      <c r="D3517" s="125"/>
    </row>
    <row r="3518">
      <c r="A3518" s="122" t="s">
        <v>16097</v>
      </c>
      <c r="B3518" s="123">
        <v>1725430.0</v>
      </c>
      <c r="C3518" s="687" t="s">
        <v>16098</v>
      </c>
      <c r="D3518" s="125"/>
    </row>
    <row r="3519">
      <c r="A3519" s="122" t="s">
        <v>16805</v>
      </c>
      <c r="B3519" s="123">
        <v>1081188.0</v>
      </c>
      <c r="C3519" s="687" t="e">
        <v>#N/A</v>
      </c>
      <c r="D3519" s="125"/>
    </row>
    <row r="3520">
      <c r="A3520" s="122" t="s">
        <v>10321</v>
      </c>
      <c r="B3520" s="123">
        <v>1172724.0</v>
      </c>
      <c r="C3520" s="687" t="s">
        <v>10267</v>
      </c>
      <c r="D3520" s="125"/>
    </row>
    <row r="3521">
      <c r="A3521" s="122" t="s">
        <v>10266</v>
      </c>
      <c r="B3521" s="123">
        <v>1172724.0</v>
      </c>
      <c r="C3521" s="687" t="s">
        <v>10267</v>
      </c>
      <c r="D3521" s="125"/>
    </row>
    <row r="3522">
      <c r="A3522" s="122" t="s">
        <v>5632</v>
      </c>
      <c r="B3522" s="123">
        <v>1072725.0</v>
      </c>
      <c r="C3522" s="687" t="s">
        <v>5633</v>
      </c>
      <c r="D3522" s="125"/>
    </row>
    <row r="3523">
      <c r="A3523" s="122" t="s">
        <v>2456</v>
      </c>
      <c r="B3523" s="123">
        <v>1160791.0</v>
      </c>
      <c r="C3523" s="687" t="s">
        <v>2457</v>
      </c>
      <c r="D3523" s="125"/>
    </row>
    <row r="3524">
      <c r="A3524" s="122" t="s">
        <v>1555</v>
      </c>
      <c r="B3524" s="123">
        <v>894501.0</v>
      </c>
      <c r="C3524" s="687" t="s">
        <v>1556</v>
      </c>
      <c r="D3524" s="125"/>
    </row>
    <row r="3525">
      <c r="A3525" s="122" t="s">
        <v>4241</v>
      </c>
      <c r="B3525" s="123">
        <v>1834026.0</v>
      </c>
      <c r="C3525" s="687" t="s">
        <v>4242</v>
      </c>
      <c r="D3525" s="125"/>
    </row>
    <row r="3526">
      <c r="A3526" s="122" t="s">
        <v>585</v>
      </c>
      <c r="B3526" s="123">
        <v>863678.0</v>
      </c>
      <c r="C3526" s="687" t="s">
        <v>586</v>
      </c>
      <c r="D3526" s="125"/>
    </row>
    <row r="3527">
      <c r="A3527" s="122" t="s">
        <v>2532</v>
      </c>
      <c r="B3527" s="123">
        <v>1317833.0</v>
      </c>
      <c r="C3527" s="687" t="s">
        <v>2533</v>
      </c>
      <c r="D3527" s="125"/>
    </row>
    <row r="3528">
      <c r="A3528" s="122" t="s">
        <v>1843</v>
      </c>
      <c r="B3528" s="123">
        <v>1841125.0</v>
      </c>
      <c r="C3528" s="687" t="s">
        <v>1844</v>
      </c>
      <c r="D3528" s="125"/>
    </row>
    <row r="3529">
      <c r="A3529" s="122" t="s">
        <v>8704</v>
      </c>
      <c r="B3529" s="123">
        <v>1841125.0</v>
      </c>
      <c r="C3529" s="687" t="s">
        <v>8705</v>
      </c>
      <c r="D3529" s="125"/>
    </row>
    <row r="3530">
      <c r="A3530" s="122" t="s">
        <v>8680</v>
      </c>
      <c r="B3530" s="123">
        <v>1841125.0</v>
      </c>
      <c r="C3530" s="687" t="s">
        <v>8681</v>
      </c>
      <c r="D3530" s="125"/>
    </row>
    <row r="3531">
      <c r="A3531" s="122" t="s">
        <v>1275</v>
      </c>
      <c r="B3531" s="123">
        <v>1403870.0</v>
      </c>
      <c r="C3531" s="687" t="s">
        <v>1276</v>
      </c>
      <c r="D3531" s="125"/>
    </row>
    <row r="3532">
      <c r="A3532" s="122" t="s">
        <v>33740</v>
      </c>
      <c r="B3532" s="123">
        <v>1736865.0</v>
      </c>
      <c r="C3532" s="687" t="s">
        <v>33741</v>
      </c>
      <c r="D3532" s="125"/>
    </row>
    <row r="3533">
      <c r="A3533" s="122" t="s">
        <v>13461</v>
      </c>
      <c r="B3533" s="123">
        <v>1071255.0</v>
      </c>
      <c r="C3533" s="687" t="s">
        <v>13462</v>
      </c>
      <c r="D3533" s="125"/>
    </row>
    <row r="3534">
      <c r="A3534" s="122" t="s">
        <v>6249</v>
      </c>
      <c r="B3534" s="123">
        <v>1489874.0</v>
      </c>
      <c r="C3534" s="687" t="s">
        <v>6250</v>
      </c>
      <c r="D3534" s="125"/>
    </row>
    <row r="3535">
      <c r="A3535" s="122" t="s">
        <v>5535</v>
      </c>
      <c r="B3535" s="123">
        <v>1437925.0</v>
      </c>
      <c r="C3535" s="687" t="s">
        <v>5536</v>
      </c>
      <c r="D3535" s="125"/>
    </row>
    <row r="3536">
      <c r="A3536" s="122" t="s">
        <v>2858</v>
      </c>
      <c r="B3536" s="123">
        <v>1011509.0</v>
      </c>
      <c r="C3536" s="687" t="s">
        <v>2859</v>
      </c>
      <c r="D3536" s="125"/>
    </row>
    <row r="3537">
      <c r="A3537" s="122" t="s">
        <v>3009</v>
      </c>
      <c r="B3537" s="123">
        <v>1375348.0</v>
      </c>
      <c r="C3537" s="687" t="s">
        <v>3010</v>
      </c>
      <c r="D3537" s="125"/>
    </row>
    <row r="3538">
      <c r="A3538" s="122" t="s">
        <v>11939</v>
      </c>
      <c r="B3538" s="123">
        <v>1651166.0</v>
      </c>
      <c r="C3538" s="687" t="s">
        <v>11940</v>
      </c>
      <c r="D3538" s="125"/>
    </row>
    <row r="3539">
      <c r="A3539" s="122" t="s">
        <v>3717</v>
      </c>
      <c r="B3539" s="123">
        <v>1826376.0</v>
      </c>
      <c r="C3539" s="687" t="s">
        <v>3718</v>
      </c>
      <c r="D3539" s="125"/>
    </row>
    <row r="3540">
      <c r="A3540" s="122" t="s">
        <v>998</v>
      </c>
      <c r="B3540" s="123">
        <v>1858007.0</v>
      </c>
      <c r="C3540" s="687" t="s">
        <v>999</v>
      </c>
      <c r="D3540" s="125"/>
    </row>
    <row r="3541">
      <c r="A3541" s="122" t="s">
        <v>8902</v>
      </c>
      <c r="B3541" s="123">
        <v>1858007.0</v>
      </c>
      <c r="C3541" s="687" t="s">
        <v>8903</v>
      </c>
      <c r="D3541" s="125"/>
    </row>
    <row r="3542">
      <c r="A3542" s="122" t="s">
        <v>8773</v>
      </c>
      <c r="B3542" s="123">
        <v>1858007.0</v>
      </c>
      <c r="C3542" s="687" t="s">
        <v>8774</v>
      </c>
      <c r="D3542" s="125"/>
    </row>
    <row r="3543">
      <c r="A3543" s="122" t="s">
        <v>1053</v>
      </c>
      <c r="B3543" s="123">
        <v>1282977.0</v>
      </c>
      <c r="C3543" s="687" t="s">
        <v>1054</v>
      </c>
      <c r="D3543" s="125"/>
    </row>
    <row r="3544">
      <c r="A3544" s="122" t="s">
        <v>10447</v>
      </c>
      <c r="B3544" s="123">
        <v>1572694.0</v>
      </c>
      <c r="C3544" s="687" t="s">
        <v>10448</v>
      </c>
      <c r="D3544" s="125"/>
    </row>
    <row r="3545">
      <c r="A3545" s="122" t="s">
        <v>16514</v>
      </c>
      <c r="B3545" s="123">
        <v>886982.0</v>
      </c>
      <c r="C3545" s="687" t="s">
        <v>16515</v>
      </c>
      <c r="D3545" s="125"/>
    </row>
    <row r="3546">
      <c r="A3546" s="122" t="s">
        <v>11444</v>
      </c>
      <c r="B3546" s="123">
        <v>1708646.0</v>
      </c>
      <c r="C3546" s="687" t="s">
        <v>11445</v>
      </c>
      <c r="D3546" s="125"/>
    </row>
    <row r="3547">
      <c r="A3547" s="122" t="s">
        <v>3548</v>
      </c>
      <c r="B3547" s="123">
        <v>1538847.0</v>
      </c>
      <c r="C3547" s="687" t="s">
        <v>3549</v>
      </c>
      <c r="D3547" s="125"/>
    </row>
    <row r="3548">
      <c r="A3548" s="122" t="s">
        <v>876</v>
      </c>
      <c r="B3548" s="123">
        <v>59860.0</v>
      </c>
      <c r="C3548" s="687" t="s">
        <v>877</v>
      </c>
      <c r="D3548" s="125"/>
    </row>
    <row r="3549">
      <c r="A3549" s="122" t="s">
        <v>2358</v>
      </c>
      <c r="B3549" s="123">
        <v>1299865.0</v>
      </c>
      <c r="C3549" s="687" t="s">
        <v>2359</v>
      </c>
      <c r="D3549" s="125"/>
    </row>
    <row r="3550">
      <c r="A3550" s="122" t="s">
        <v>33742</v>
      </c>
      <c r="B3550" s="123">
        <v>820771.0</v>
      </c>
      <c r="C3550" s="687" t="s">
        <v>33743</v>
      </c>
      <c r="D3550" s="125"/>
    </row>
    <row r="3551">
      <c r="A3551" s="122" t="s">
        <v>2550</v>
      </c>
      <c r="B3551" s="123">
        <v>1746278.0</v>
      </c>
      <c r="C3551" s="687" t="s">
        <v>2551</v>
      </c>
      <c r="D3551" s="125"/>
    </row>
    <row r="3552">
      <c r="A3552" s="122" t="s">
        <v>10491</v>
      </c>
      <c r="B3552" s="123">
        <v>1476765.0</v>
      </c>
      <c r="C3552" s="687" t="s">
        <v>10492</v>
      </c>
      <c r="D3552" s="125"/>
    </row>
    <row r="3553">
      <c r="A3553" s="122" t="s">
        <v>573</v>
      </c>
      <c r="B3553" s="123">
        <v>1454742.0</v>
      </c>
      <c r="C3553" s="687" t="s">
        <v>574</v>
      </c>
      <c r="D3553" s="125"/>
    </row>
    <row r="3554">
      <c r="A3554" s="122" t="s">
        <v>5167</v>
      </c>
      <c r="B3554" s="123">
        <v>825324.0</v>
      </c>
      <c r="C3554" s="687" t="s">
        <v>5168</v>
      </c>
      <c r="D3554" s="125"/>
    </row>
    <row r="3555">
      <c r="A3555" s="122" t="s">
        <v>968</v>
      </c>
      <c r="B3555" s="123">
        <v>1068618.0</v>
      </c>
      <c r="C3555" s="687" t="s">
        <v>969</v>
      </c>
      <c r="D3555" s="125"/>
    </row>
    <row r="3556">
      <c r="A3556" s="122" t="s">
        <v>2850</v>
      </c>
      <c r="B3556" s="123">
        <v>1771706.0</v>
      </c>
      <c r="C3556" s="687" t="s">
        <v>2851</v>
      </c>
      <c r="D3556" s="125"/>
    </row>
    <row r="3557">
      <c r="A3557" s="122" t="s">
        <v>7103</v>
      </c>
      <c r="B3557" s="123">
        <v>1809519.0</v>
      </c>
      <c r="C3557" s="687" t="s">
        <v>7104</v>
      </c>
      <c r="D3557" s="125"/>
    </row>
    <row r="3558">
      <c r="A3558" s="122" t="s">
        <v>10187</v>
      </c>
      <c r="B3558" s="123">
        <v>42582.0</v>
      </c>
      <c r="C3558" s="687" t="s">
        <v>10188</v>
      </c>
      <c r="D3558" s="125"/>
    </row>
    <row r="3559">
      <c r="A3559" s="122" t="s">
        <v>14951</v>
      </c>
      <c r="B3559" s="123">
        <v>1726978.0</v>
      </c>
      <c r="C3559" s="687" t="s">
        <v>14952</v>
      </c>
      <c r="D3559" s="125"/>
    </row>
    <row r="3560">
      <c r="A3560" s="122" t="s">
        <v>5490</v>
      </c>
      <c r="B3560" s="123">
        <v>1500435.0</v>
      </c>
      <c r="C3560" s="687" t="s">
        <v>5491</v>
      </c>
      <c r="D3560" s="125"/>
    </row>
    <row r="3561">
      <c r="A3561" s="122" t="s">
        <v>2047</v>
      </c>
      <c r="B3561" s="123">
        <v>1894630.0</v>
      </c>
      <c r="C3561" s="687" t="s">
        <v>2048</v>
      </c>
      <c r="D3561" s="125"/>
    </row>
    <row r="3562">
      <c r="A3562" s="122" t="s">
        <v>8742</v>
      </c>
      <c r="B3562" s="123">
        <v>1894630.0</v>
      </c>
      <c r="C3562" s="687" t="s">
        <v>8743</v>
      </c>
      <c r="D3562" s="125"/>
    </row>
    <row r="3563">
      <c r="A3563" s="122" t="s">
        <v>9417</v>
      </c>
      <c r="B3563" s="123">
        <v>1894630.0</v>
      </c>
      <c r="C3563" s="687" t="s">
        <v>9418</v>
      </c>
      <c r="D3563" s="125"/>
    </row>
    <row r="3564">
      <c r="A3564" s="122" t="s">
        <v>1142</v>
      </c>
      <c r="B3564" s="123">
        <v>1903145.0</v>
      </c>
      <c r="C3564" s="687" t="s">
        <v>1143</v>
      </c>
      <c r="D3564" s="125"/>
    </row>
    <row r="3565">
      <c r="A3565" s="122" t="s">
        <v>3129</v>
      </c>
      <c r="B3565" s="123">
        <v>1903145.0</v>
      </c>
      <c r="C3565" s="687" t="s">
        <v>3130</v>
      </c>
      <c r="D3565" s="125"/>
    </row>
    <row r="3566">
      <c r="A3566" s="122" t="s">
        <v>13175</v>
      </c>
      <c r="B3566" s="123">
        <v>42682.0</v>
      </c>
      <c r="C3566" s="687" t="s">
        <v>13176</v>
      </c>
      <c r="D3566" s="125"/>
    </row>
    <row r="3567">
      <c r="A3567" s="122" t="s">
        <v>3538</v>
      </c>
      <c r="B3567" s="123">
        <v>1728117.0</v>
      </c>
      <c r="C3567" s="687" t="s">
        <v>3539</v>
      </c>
      <c r="D3567" s="125"/>
    </row>
    <row r="3568">
      <c r="A3568" s="122" t="s">
        <v>1083</v>
      </c>
      <c r="B3568" s="123">
        <v>903571.0</v>
      </c>
      <c r="C3568" s="687" t="s">
        <v>1084</v>
      </c>
      <c r="D3568" s="125"/>
    </row>
    <row r="3569">
      <c r="A3569" s="122" t="s">
        <v>2025</v>
      </c>
      <c r="B3569" s="123">
        <v>1673475.0</v>
      </c>
      <c r="C3569" s="687" t="s">
        <v>2026</v>
      </c>
      <c r="D3569" s="125"/>
    </row>
    <row r="3570">
      <c r="A3570" s="122" t="s">
        <v>2325</v>
      </c>
      <c r="B3570" s="123">
        <v>1855612.0</v>
      </c>
      <c r="C3570" s="687" t="s">
        <v>2326</v>
      </c>
      <c r="D3570" s="125"/>
    </row>
    <row r="3571">
      <c r="A3571" s="122" t="s">
        <v>5674</v>
      </c>
      <c r="B3571" s="123">
        <v>1855612.0</v>
      </c>
      <c r="C3571" s="687" t="s">
        <v>5675</v>
      </c>
      <c r="D3571" s="125"/>
    </row>
    <row r="3572">
      <c r="A3572" s="122" t="s">
        <v>8438</v>
      </c>
      <c r="B3572" s="123">
        <v>1826492.0</v>
      </c>
      <c r="C3572" s="687" t="s">
        <v>8439</v>
      </c>
      <c r="D3572" s="125"/>
    </row>
    <row r="3573">
      <c r="A3573" s="122" t="s">
        <v>15152</v>
      </c>
      <c r="B3573" s="123">
        <v>42888.0</v>
      </c>
      <c r="C3573" s="687" t="s">
        <v>15153</v>
      </c>
      <c r="D3573" s="125"/>
    </row>
    <row r="3574">
      <c r="A3574" s="122" t="s">
        <v>3281</v>
      </c>
      <c r="B3574" s="123">
        <v>1300050.0</v>
      </c>
      <c r="C3574" s="687" t="s">
        <v>3282</v>
      </c>
      <c r="D3574" s="125"/>
    </row>
    <row r="3575">
      <c r="A3575" s="122" t="s">
        <v>4178</v>
      </c>
      <c r="B3575" s="123">
        <v>931148.0</v>
      </c>
      <c r="C3575" s="687" t="s">
        <v>4179</v>
      </c>
      <c r="D3575" s="125"/>
    </row>
    <row r="3576">
      <c r="A3576" s="122" t="s">
        <v>9640</v>
      </c>
      <c r="B3576" s="123">
        <v>1437710.0</v>
      </c>
      <c r="C3576" s="687" t="s">
        <v>9641</v>
      </c>
      <c r="D3576" s="125"/>
    </row>
    <row r="3577">
      <c r="A3577" s="122" t="s">
        <v>11371</v>
      </c>
      <c r="B3577" s="123">
        <v>716314.0</v>
      </c>
      <c r="C3577" s="687" t="s">
        <v>11372</v>
      </c>
      <c r="D3577" s="125"/>
    </row>
    <row r="3578">
      <c r="A3578" s="122" t="s">
        <v>16651</v>
      </c>
      <c r="B3578" s="123">
        <v>104889.0</v>
      </c>
      <c r="C3578" s="687" t="s">
        <v>16652</v>
      </c>
      <c r="D3578" s="125"/>
    </row>
    <row r="3579">
      <c r="A3579" s="122" t="s">
        <v>6605</v>
      </c>
      <c r="B3579" s="123">
        <v>1273441.0</v>
      </c>
      <c r="C3579" s="687" t="s">
        <v>6606</v>
      </c>
      <c r="D3579" s="125"/>
    </row>
    <row r="3580">
      <c r="A3580" s="122" t="s">
        <v>15740</v>
      </c>
      <c r="B3580" s="123">
        <v>1434588.0</v>
      </c>
      <c r="C3580" s="687" t="s">
        <v>15741</v>
      </c>
      <c r="D3580" s="125"/>
    </row>
    <row r="3581">
      <c r="A3581" s="122" t="s">
        <v>33744</v>
      </c>
      <c r="B3581" s="123">
        <v>1514113.0</v>
      </c>
      <c r="C3581" s="687" t="s">
        <v>33745</v>
      </c>
      <c r="D3581" s="125"/>
    </row>
    <row r="3582">
      <c r="A3582" s="122" t="s">
        <v>5586</v>
      </c>
      <c r="B3582" s="123">
        <v>1418489.0</v>
      </c>
      <c r="C3582" s="687" t="s">
        <v>5587</v>
      </c>
      <c r="D3582" s="125"/>
    </row>
    <row r="3583">
      <c r="A3583" s="122" t="s">
        <v>13840</v>
      </c>
      <c r="B3583" s="123">
        <v>861459.0</v>
      </c>
      <c r="C3583" s="687" t="s">
        <v>13841</v>
      </c>
      <c r="D3583" s="125"/>
    </row>
    <row r="3584">
      <c r="A3584" s="122" t="s">
        <v>16756</v>
      </c>
      <c r="B3584" s="123">
        <v>1181749.0</v>
      </c>
      <c r="C3584" s="687" t="s">
        <v>16757</v>
      </c>
      <c r="D3584" s="125"/>
    </row>
    <row r="3585">
      <c r="A3585" s="122" t="s">
        <v>6748</v>
      </c>
      <c r="B3585" s="123">
        <v>1703644.0</v>
      </c>
      <c r="C3585" s="687" t="s">
        <v>6749</v>
      </c>
      <c r="D3585" s="125"/>
    </row>
    <row r="3586">
      <c r="A3586" s="122" t="s">
        <v>6766</v>
      </c>
      <c r="B3586" s="123">
        <v>1928446.0</v>
      </c>
      <c r="C3586" s="687" t="s">
        <v>6767</v>
      </c>
      <c r="D3586" s="125"/>
    </row>
    <row r="3587">
      <c r="A3587" s="122" t="s">
        <v>11434</v>
      </c>
      <c r="B3587" s="123">
        <v>1690437.0</v>
      </c>
      <c r="C3587" s="687" t="s">
        <v>11435</v>
      </c>
      <c r="D3587" s="125"/>
    </row>
    <row r="3588">
      <c r="A3588" s="122" t="s">
        <v>7900</v>
      </c>
      <c r="B3588" s="123">
        <v>1690842.0</v>
      </c>
      <c r="C3588" s="687" t="s">
        <v>7901</v>
      </c>
      <c r="D3588" s="125"/>
    </row>
    <row r="3589">
      <c r="A3589" s="122" t="s">
        <v>33746</v>
      </c>
      <c r="B3589" s="123">
        <v>1205181.0</v>
      </c>
      <c r="C3589" s="687" t="s">
        <v>33747</v>
      </c>
      <c r="D3589" s="125"/>
    </row>
    <row r="3590">
      <c r="A3590" s="122" t="s">
        <v>1134</v>
      </c>
      <c r="B3590" s="123">
        <v>1497649.0</v>
      </c>
      <c r="C3590" s="687" t="s">
        <v>1135</v>
      </c>
      <c r="D3590" s="125"/>
    </row>
    <row r="3591">
      <c r="A3591" s="122" t="s">
        <v>3091</v>
      </c>
      <c r="B3591" s="123">
        <v>1816723.0</v>
      </c>
      <c r="C3591" s="687" t="s">
        <v>3092</v>
      </c>
      <c r="D3591" s="125"/>
    </row>
    <row r="3592">
      <c r="A3592" s="122" t="s">
        <v>1179</v>
      </c>
      <c r="B3592" s="123">
        <v>1816723.0</v>
      </c>
      <c r="C3592" s="687" t="s">
        <v>1180</v>
      </c>
      <c r="D3592" s="125"/>
    </row>
    <row r="3593">
      <c r="A3593" s="122" t="s">
        <v>12368</v>
      </c>
      <c r="B3593" s="123">
        <v>1408075.0</v>
      </c>
      <c r="C3593" s="687" t="s">
        <v>12369</v>
      </c>
      <c r="D3593" s="125"/>
    </row>
    <row r="3594">
      <c r="A3594" s="122" t="s">
        <v>5292</v>
      </c>
      <c r="B3594" s="123">
        <v>1815776.0</v>
      </c>
      <c r="C3594" s="687" t="s">
        <v>5293</v>
      </c>
      <c r="D3594" s="125"/>
    </row>
    <row r="3595">
      <c r="A3595" s="122" t="s">
        <v>8128</v>
      </c>
      <c r="B3595" s="123">
        <v>43196.0</v>
      </c>
      <c r="C3595" s="687" t="s">
        <v>8129</v>
      </c>
      <c r="D3595" s="125"/>
    </row>
    <row r="3596">
      <c r="A3596" s="122" t="s">
        <v>1365</v>
      </c>
      <c r="B3596" s="123">
        <v>1534133.0</v>
      </c>
      <c r="C3596" s="687" t="s">
        <v>1366</v>
      </c>
      <c r="D3596" s="125"/>
    </row>
    <row r="3597">
      <c r="A3597" s="122" t="s">
        <v>6756</v>
      </c>
      <c r="B3597" s="123">
        <v>1852040.0</v>
      </c>
      <c r="C3597" s="687" t="s">
        <v>6757</v>
      </c>
      <c r="D3597" s="125"/>
    </row>
    <row r="3598">
      <c r="A3598" s="122" t="s">
        <v>5748</v>
      </c>
      <c r="B3598" s="123">
        <v>1732409.0</v>
      </c>
      <c r="C3598" s="687" t="s">
        <v>5749</v>
      </c>
      <c r="D3598" s="125"/>
    </row>
    <row r="3599">
      <c r="A3599" s="122" t="s">
        <v>13477</v>
      </c>
      <c r="B3599" s="123">
        <v>1588489.0</v>
      </c>
      <c r="C3599" s="687" t="s">
        <v>13478</v>
      </c>
      <c r="D3599" s="125"/>
    </row>
    <row r="3600">
      <c r="A3600" s="122" t="s">
        <v>14088</v>
      </c>
      <c r="B3600" s="123">
        <v>1852025.0</v>
      </c>
      <c r="C3600" s="687" t="s">
        <v>14089</v>
      </c>
      <c r="D3600" s="125"/>
    </row>
    <row r="3601">
      <c r="A3601" s="122" t="s">
        <v>9133</v>
      </c>
      <c r="B3601" s="123">
        <v>1852023.0</v>
      </c>
      <c r="C3601" s="687" t="s">
        <v>9134</v>
      </c>
      <c r="D3601" s="125"/>
    </row>
    <row r="3602">
      <c r="A3602" s="122" t="s">
        <v>10104</v>
      </c>
      <c r="B3602" s="123">
        <v>1729997.0</v>
      </c>
      <c r="C3602" s="687" t="s">
        <v>10105</v>
      </c>
      <c r="D3602" s="125"/>
    </row>
    <row r="3603">
      <c r="A3603" s="122" t="s">
        <v>9474</v>
      </c>
      <c r="B3603" s="123">
        <v>1705181.0</v>
      </c>
      <c r="C3603" s="687" t="s">
        <v>9475</v>
      </c>
      <c r="D3603" s="125"/>
    </row>
    <row r="3604">
      <c r="A3604" s="122" t="s">
        <v>11212</v>
      </c>
      <c r="B3604" s="123">
        <v>1725210.0</v>
      </c>
      <c r="C3604" s="687" t="s">
        <v>11213</v>
      </c>
      <c r="D3604" s="125"/>
    </row>
    <row r="3605">
      <c r="A3605" s="122" t="s">
        <v>14567</v>
      </c>
      <c r="B3605" s="123">
        <v>1852039.0</v>
      </c>
      <c r="C3605" s="687" t="s">
        <v>14568</v>
      </c>
      <c r="D3605" s="125"/>
    </row>
    <row r="3606">
      <c r="A3606" s="122" t="s">
        <v>4571</v>
      </c>
      <c r="B3606" s="123">
        <v>1748945.0</v>
      </c>
      <c r="C3606" s="687" t="s">
        <v>4572</v>
      </c>
      <c r="D3606" s="125"/>
    </row>
    <row r="3607">
      <c r="A3607" s="122" t="s">
        <v>9381</v>
      </c>
      <c r="B3607" s="123">
        <v>1732406.0</v>
      </c>
      <c r="C3607" s="687" t="s">
        <v>9382</v>
      </c>
      <c r="D3607" s="125"/>
    </row>
    <row r="3608">
      <c r="A3608" s="122" t="s">
        <v>12244</v>
      </c>
      <c r="B3608" s="123">
        <v>1761325.0</v>
      </c>
      <c r="C3608" s="687" t="s">
        <v>12245</v>
      </c>
      <c r="D3608" s="125"/>
    </row>
    <row r="3609">
      <c r="A3609" s="122" t="s">
        <v>4967</v>
      </c>
      <c r="B3609" s="123">
        <v>1720265.0</v>
      </c>
      <c r="C3609" s="687" t="s">
        <v>4968</v>
      </c>
      <c r="D3609" s="125"/>
    </row>
    <row r="3610">
      <c r="A3610" s="122" t="s">
        <v>33748</v>
      </c>
      <c r="B3610" s="123">
        <v>1510524.0</v>
      </c>
      <c r="C3610" s="687" t="s">
        <v>33749</v>
      </c>
      <c r="D3610" s="125"/>
    </row>
    <row r="3611">
      <c r="A3611" s="122" t="s">
        <v>6557</v>
      </c>
      <c r="B3611" s="123">
        <v>1734237.0</v>
      </c>
      <c r="C3611" s="687" t="s">
        <v>6558</v>
      </c>
      <c r="D3611" s="125"/>
    </row>
    <row r="3612">
      <c r="A3612" s="122" t="s">
        <v>6927</v>
      </c>
      <c r="B3612" s="123">
        <v>1614806.0</v>
      </c>
      <c r="C3612" s="687" t="s">
        <v>6928</v>
      </c>
      <c r="D3612" s="125"/>
    </row>
    <row r="3613">
      <c r="A3613" s="122" t="s">
        <v>12236</v>
      </c>
      <c r="B3613" s="123">
        <v>1675033.0</v>
      </c>
      <c r="C3613" s="687" t="s">
        <v>12237</v>
      </c>
      <c r="D3613" s="125"/>
    </row>
    <row r="3614">
      <c r="A3614" s="122" t="s">
        <v>8890</v>
      </c>
      <c r="B3614" s="123">
        <v>1675033.0</v>
      </c>
      <c r="C3614" s="687" t="s">
        <v>8891</v>
      </c>
      <c r="D3614" s="125"/>
    </row>
    <row r="3615">
      <c r="A3615" s="122" t="s">
        <v>11603</v>
      </c>
      <c r="B3615" s="123">
        <v>1831096.0</v>
      </c>
      <c r="C3615" s="687" t="s">
        <v>11604</v>
      </c>
      <c r="D3615" s="125"/>
    </row>
    <row r="3616">
      <c r="A3616" s="122" t="s">
        <v>4727</v>
      </c>
      <c r="B3616" s="123">
        <v>1831096.0</v>
      </c>
      <c r="C3616" s="687" t="s">
        <v>4728</v>
      </c>
      <c r="D3616" s="125"/>
    </row>
    <row r="3617">
      <c r="A3617" s="122" t="s">
        <v>7552</v>
      </c>
      <c r="B3617" s="123">
        <v>1372020.0</v>
      </c>
      <c r="C3617" s="687" t="s">
        <v>7553</v>
      </c>
      <c r="D3617" s="125"/>
    </row>
    <row r="3618">
      <c r="A3618" s="122" t="s">
        <v>33750</v>
      </c>
      <c r="B3618" s="123">
        <v>1300050.0</v>
      </c>
      <c r="C3618" s="687" t="s">
        <v>33751</v>
      </c>
      <c r="D3618" s="125"/>
    </row>
    <row r="3619">
      <c r="A3619" s="122" t="s">
        <v>14152</v>
      </c>
      <c r="B3619" s="123">
        <v>854560.0</v>
      </c>
      <c r="C3619" s="687" t="s">
        <v>14153</v>
      </c>
      <c r="D3619" s="125"/>
    </row>
    <row r="3620">
      <c r="A3620" s="122" t="s">
        <v>33752</v>
      </c>
      <c r="B3620" s="123">
        <v>1346526.0</v>
      </c>
      <c r="C3620" s="687" t="s">
        <v>33753</v>
      </c>
      <c r="D3620" s="125"/>
    </row>
    <row r="3621">
      <c r="A3621" s="122" t="s">
        <v>13094</v>
      </c>
      <c r="B3621" s="123">
        <v>850918.0</v>
      </c>
      <c r="C3621" s="687" t="s">
        <v>13095</v>
      </c>
      <c r="D3621" s="125"/>
    </row>
    <row r="3622">
      <c r="A3622" s="122" t="s">
        <v>33754</v>
      </c>
      <c r="B3622" s="123">
        <v>1695473.0</v>
      </c>
      <c r="C3622" s="687" t="s">
        <v>33755</v>
      </c>
      <c r="D3622" s="125"/>
    </row>
    <row r="3623">
      <c r="A3623" s="122" t="s">
        <v>14194</v>
      </c>
      <c r="B3623" s="123">
        <v>1373670.0</v>
      </c>
      <c r="C3623" s="687" t="s">
        <v>14195</v>
      </c>
      <c r="D3623" s="125"/>
    </row>
    <row r="3624">
      <c r="A3624" s="122" t="s">
        <v>7934</v>
      </c>
      <c r="B3624" s="123">
        <v>1386278.0</v>
      </c>
      <c r="C3624" s="687" t="s">
        <v>7935</v>
      </c>
      <c r="D3624" s="125"/>
    </row>
    <row r="3625">
      <c r="A3625" s="122" t="s">
        <v>1032</v>
      </c>
      <c r="B3625" s="123">
        <v>1158420.0</v>
      </c>
      <c r="C3625" s="687" t="s">
        <v>1033</v>
      </c>
      <c r="D3625" s="125"/>
    </row>
    <row r="3626">
      <c r="A3626" s="122" t="s">
        <v>33756</v>
      </c>
      <c r="B3626" s="123">
        <v>1443388.0</v>
      </c>
      <c r="C3626" s="687" t="s">
        <v>33757</v>
      </c>
      <c r="D3626" s="125"/>
    </row>
    <row r="3627">
      <c r="A3627" s="122" t="s">
        <v>33758</v>
      </c>
      <c r="B3627" s="123">
        <v>915661.0</v>
      </c>
      <c r="C3627" s="687" t="s">
        <v>33759</v>
      </c>
      <c r="D3627" s="125"/>
    </row>
    <row r="3628">
      <c r="A3628" s="122" t="s">
        <v>11509</v>
      </c>
      <c r="B3628" s="123">
        <v>1309402.0</v>
      </c>
      <c r="C3628" s="687" t="s">
        <v>11510</v>
      </c>
      <c r="D3628" s="125"/>
    </row>
    <row r="3629">
      <c r="A3629" s="122" t="s">
        <v>3205</v>
      </c>
      <c r="B3629" s="123">
        <v>1392449.0</v>
      </c>
      <c r="C3629" s="687" t="s">
        <v>3206</v>
      </c>
      <c r="D3629" s="125"/>
    </row>
    <row r="3630">
      <c r="A3630" s="122" t="s">
        <v>33760</v>
      </c>
      <c r="B3630" s="123">
        <v>1437476.0</v>
      </c>
      <c r="C3630" s="687" t="s">
        <v>33761</v>
      </c>
      <c r="D3630" s="125"/>
    </row>
    <row r="3631">
      <c r="A3631" s="122" t="s">
        <v>10145</v>
      </c>
      <c r="B3631" s="123">
        <v>1795139.0</v>
      </c>
      <c r="C3631" s="687" t="s">
        <v>10146</v>
      </c>
      <c r="D3631" s="125"/>
    </row>
    <row r="3632">
      <c r="A3632" s="122" t="s">
        <v>3267</v>
      </c>
      <c r="B3632" s="123">
        <v>1570843.0</v>
      </c>
      <c r="C3632" s="687" t="s">
        <v>3268</v>
      </c>
      <c r="D3632" s="125"/>
    </row>
    <row r="3633">
      <c r="A3633" s="122" t="s">
        <v>13947</v>
      </c>
      <c r="B3633" s="123">
        <v>923120.0</v>
      </c>
      <c r="C3633" s="687" t="s">
        <v>13948</v>
      </c>
      <c r="D3633" s="125"/>
    </row>
    <row r="3634">
      <c r="A3634" s="122" t="s">
        <v>2546</v>
      </c>
      <c r="B3634" s="123">
        <v>1735948.0</v>
      </c>
      <c r="C3634" s="687" t="s">
        <v>2547</v>
      </c>
      <c r="D3634" s="125"/>
    </row>
    <row r="3635">
      <c r="A3635" s="122" t="s">
        <v>33762</v>
      </c>
      <c r="B3635" s="123">
        <v>1585380.0</v>
      </c>
      <c r="C3635" s="687" t="s">
        <v>33763</v>
      </c>
      <c r="D3635" s="125"/>
    </row>
    <row r="3636">
      <c r="A3636" s="122" t="s">
        <v>12350</v>
      </c>
      <c r="B3636" s="123">
        <v>1070524.0</v>
      </c>
      <c r="C3636" s="687" t="s">
        <v>12351</v>
      </c>
      <c r="D3636" s="125"/>
    </row>
    <row r="3637">
      <c r="A3637" s="122" t="s">
        <v>7995</v>
      </c>
      <c r="B3637" s="123">
        <v>1844971.0</v>
      </c>
      <c r="C3637" s="687" t="s">
        <v>7996</v>
      </c>
      <c r="D3637" s="125"/>
    </row>
    <row r="3638">
      <c r="A3638" s="122" t="s">
        <v>5766</v>
      </c>
      <c r="B3638" s="123">
        <v>1844971.0</v>
      </c>
      <c r="C3638" s="687" t="s">
        <v>5767</v>
      </c>
      <c r="D3638" s="125"/>
    </row>
    <row r="3639">
      <c r="A3639" s="122" t="s">
        <v>33764</v>
      </c>
      <c r="B3639" s="123">
        <v>1398529.0</v>
      </c>
      <c r="C3639" s="687" t="s">
        <v>33765</v>
      </c>
      <c r="D3639" s="125"/>
    </row>
    <row r="3640">
      <c r="A3640" s="122" t="s">
        <v>5756</v>
      </c>
      <c r="B3640" s="123">
        <v>1735041.0</v>
      </c>
      <c r="C3640" s="687" t="s">
        <v>5757</v>
      </c>
      <c r="D3640" s="125"/>
    </row>
    <row r="3641">
      <c r="A3641" s="122" t="s">
        <v>2889</v>
      </c>
      <c r="B3641" s="123">
        <v>1743745.0</v>
      </c>
      <c r="C3641" s="687" t="s">
        <v>2890</v>
      </c>
      <c r="D3641" s="125"/>
    </row>
    <row r="3642">
      <c r="A3642" s="122" t="s">
        <v>9283</v>
      </c>
      <c r="B3642" s="123">
        <v>1385613.0</v>
      </c>
      <c r="C3642" s="687" t="s">
        <v>9284</v>
      </c>
      <c r="D3642" s="125"/>
    </row>
    <row r="3643">
      <c r="A3643" s="122" t="s">
        <v>4034</v>
      </c>
      <c r="B3643" s="123">
        <v>1597846.0</v>
      </c>
      <c r="C3643" s="687" t="s">
        <v>4035</v>
      </c>
      <c r="D3643" s="125"/>
    </row>
    <row r="3644">
      <c r="A3644" s="122" t="s">
        <v>33766</v>
      </c>
      <c r="B3644" s="123">
        <v>1790665.0</v>
      </c>
      <c r="C3644" s="687" t="s">
        <v>33767</v>
      </c>
      <c r="D3644" s="125"/>
    </row>
    <row r="3645">
      <c r="A3645" s="122" t="s">
        <v>33768</v>
      </c>
      <c r="B3645" s="123">
        <v>1790665.0</v>
      </c>
      <c r="C3645" s="687" t="s">
        <v>33769</v>
      </c>
      <c r="D3645" s="125"/>
    </row>
    <row r="3646">
      <c r="A3646" s="122" t="s">
        <v>2055</v>
      </c>
      <c r="B3646" s="123">
        <v>1790665.0</v>
      </c>
      <c r="C3646" s="687" t="s">
        <v>2056</v>
      </c>
      <c r="D3646" s="125"/>
    </row>
    <row r="3647">
      <c r="A3647" s="122" t="s">
        <v>5514</v>
      </c>
      <c r="B3647" s="123">
        <v>1724755.0</v>
      </c>
      <c r="C3647" s="687" t="s">
        <v>5515</v>
      </c>
      <c r="D3647" s="125"/>
    </row>
    <row r="3648">
      <c r="A3648" s="122" t="s">
        <v>3751</v>
      </c>
      <c r="B3648" s="123">
        <v>1589149.0</v>
      </c>
      <c r="C3648" s="687" t="s">
        <v>3752</v>
      </c>
      <c r="D3648" s="125"/>
    </row>
    <row r="3649">
      <c r="A3649" s="122" t="s">
        <v>912</v>
      </c>
      <c r="B3649" s="123">
        <v>1572386.0</v>
      </c>
      <c r="C3649" s="687" t="s">
        <v>913</v>
      </c>
      <c r="D3649" s="125"/>
    </row>
    <row r="3650">
      <c r="A3650" s="122" t="s">
        <v>7916</v>
      </c>
      <c r="B3650" s="123">
        <v>1799788.0</v>
      </c>
      <c r="C3650" s="687" t="s">
        <v>7917</v>
      </c>
      <c r="D3650" s="125"/>
    </row>
    <row r="3651">
      <c r="A3651" s="122" t="s">
        <v>14547</v>
      </c>
      <c r="B3651" s="123">
        <v>43920.0</v>
      </c>
      <c r="C3651" s="687" t="s">
        <v>14548</v>
      </c>
      <c r="D3651" s="125"/>
    </row>
    <row r="3652">
      <c r="A3652" s="122" t="s">
        <v>4038</v>
      </c>
      <c r="B3652" s="123">
        <v>1088413.0</v>
      </c>
      <c r="C3652" s="687" t="s">
        <v>4039</v>
      </c>
      <c r="D3652" s="125"/>
    </row>
    <row r="3653">
      <c r="A3653" s="122" t="s">
        <v>10005</v>
      </c>
      <c r="B3653" s="123">
        <v>1743725.0</v>
      </c>
      <c r="C3653" s="687" t="s">
        <v>10006</v>
      </c>
      <c r="D3653" s="125"/>
    </row>
    <row r="3654">
      <c r="A3654" s="122" t="s">
        <v>14414</v>
      </c>
      <c r="B3654" s="123">
        <v>50725.0</v>
      </c>
      <c r="C3654" s="687" t="s">
        <v>14415</v>
      </c>
      <c r="D3654" s="125"/>
    </row>
    <row r="3655">
      <c r="A3655" s="122" t="s">
        <v>6810</v>
      </c>
      <c r="B3655" s="123">
        <v>1438569.0</v>
      </c>
      <c r="C3655" s="687" t="s">
        <v>6811</v>
      </c>
      <c r="D3655" s="125"/>
    </row>
    <row r="3656">
      <c r="A3656" s="122" t="s">
        <v>7731</v>
      </c>
      <c r="B3656" s="123">
        <v>1438569.0</v>
      </c>
      <c r="C3656" s="687" t="s">
        <v>7732</v>
      </c>
      <c r="D3656" s="125"/>
    </row>
    <row r="3657">
      <c r="A3657" s="122" t="s">
        <v>8224</v>
      </c>
      <c r="B3657" s="123">
        <v>1438569.0</v>
      </c>
      <c r="C3657" s="687" t="s">
        <v>8225</v>
      </c>
      <c r="D3657" s="125"/>
    </row>
    <row r="3658">
      <c r="A3658" s="122" t="s">
        <v>7241</v>
      </c>
      <c r="B3658" s="123">
        <v>1438569.0</v>
      </c>
      <c r="C3658" s="687" t="s">
        <v>7242</v>
      </c>
      <c r="D3658" s="125"/>
    </row>
    <row r="3659">
      <c r="A3659" s="122" t="s">
        <v>7989</v>
      </c>
      <c r="B3659" s="123">
        <v>1725293.0</v>
      </c>
      <c r="C3659" s="687" t="s">
        <v>7990</v>
      </c>
      <c r="D3659" s="125"/>
    </row>
    <row r="3660">
      <c r="A3660" s="122" t="s">
        <v>1795</v>
      </c>
      <c r="B3660" s="123">
        <v>1492448.0</v>
      </c>
      <c r="C3660" s="687" t="s">
        <v>1796</v>
      </c>
      <c r="D3660" s="125"/>
    </row>
    <row r="3661">
      <c r="A3661" s="122" t="s">
        <v>12220</v>
      </c>
      <c r="B3661" s="123">
        <v>1771515.0</v>
      </c>
      <c r="C3661" s="687" t="s">
        <v>12221</v>
      </c>
      <c r="D3661" s="125"/>
    </row>
    <row r="3662">
      <c r="A3662" s="122" t="s">
        <v>14788</v>
      </c>
      <c r="B3662" s="123">
        <v>7323.0</v>
      </c>
      <c r="C3662" s="687" t="s">
        <v>14789</v>
      </c>
      <c r="D3662" s="125"/>
    </row>
    <row r="3663">
      <c r="A3663" s="122" t="s">
        <v>4435</v>
      </c>
      <c r="B3663" s="123">
        <v>1662574.0</v>
      </c>
      <c r="C3663" s="687" t="s">
        <v>4436</v>
      </c>
      <c r="D3663" s="125"/>
    </row>
    <row r="3664">
      <c r="A3664" s="122" t="s">
        <v>3393</v>
      </c>
      <c r="B3664" s="123">
        <v>1662574.0</v>
      </c>
      <c r="C3664" s="687" t="s">
        <v>3394</v>
      </c>
      <c r="D3664" s="125"/>
    </row>
    <row r="3665">
      <c r="A3665" s="122" t="s">
        <v>16366</v>
      </c>
      <c r="B3665" s="123">
        <v>1031203.0</v>
      </c>
      <c r="C3665" s="687" t="s">
        <v>16367</v>
      </c>
      <c r="D3665" s="125"/>
    </row>
    <row r="3666">
      <c r="A3666" s="122" t="s">
        <v>10207</v>
      </c>
      <c r="B3666" s="123">
        <v>1490281.0</v>
      </c>
      <c r="C3666" s="687" t="s">
        <v>10208</v>
      </c>
      <c r="D3666" s="125"/>
    </row>
    <row r="3667">
      <c r="A3667" s="122" t="s">
        <v>4655</v>
      </c>
      <c r="B3667" s="123">
        <v>1841761.0</v>
      </c>
      <c r="C3667" s="687" t="s">
        <v>4656</v>
      </c>
      <c r="D3667" s="125"/>
    </row>
    <row r="3668">
      <c r="A3668" s="122" t="s">
        <v>33770</v>
      </c>
      <c r="B3668" s="123">
        <v>1104265.0</v>
      </c>
      <c r="C3668" s="687" t="s">
        <v>33771</v>
      </c>
      <c r="D3668" s="125"/>
    </row>
    <row r="3669">
      <c r="A3669" s="122" t="s">
        <v>33772</v>
      </c>
      <c r="B3669" s="123">
        <v>1161582.0</v>
      </c>
      <c r="C3669" s="687" t="s">
        <v>33773</v>
      </c>
      <c r="D3669" s="125"/>
    </row>
    <row r="3670">
      <c r="A3670" s="122" t="s">
        <v>2727</v>
      </c>
      <c r="B3670" s="123">
        <v>1463000.0</v>
      </c>
      <c r="C3670" s="687" t="s">
        <v>2728</v>
      </c>
      <c r="D3670" s="125"/>
    </row>
    <row r="3671">
      <c r="A3671" s="122" t="s">
        <v>15968</v>
      </c>
      <c r="B3671" s="123">
        <v>1347557.0</v>
      </c>
      <c r="C3671" s="687" t="s">
        <v>15969</v>
      </c>
      <c r="D3671" s="125"/>
    </row>
    <row r="3672">
      <c r="A3672" s="122" t="s">
        <v>10630</v>
      </c>
      <c r="B3672" s="123">
        <v>1347557.0</v>
      </c>
      <c r="C3672" s="687" t="s">
        <v>10631</v>
      </c>
      <c r="D3672" s="125"/>
    </row>
    <row r="3673">
      <c r="A3673" s="122" t="s">
        <v>12801</v>
      </c>
      <c r="B3673" s="123">
        <v>1123452.0</v>
      </c>
      <c r="C3673" s="687" t="s">
        <v>12802</v>
      </c>
      <c r="D3673" s="125"/>
    </row>
    <row r="3674">
      <c r="A3674" s="122" t="s">
        <v>16423</v>
      </c>
      <c r="B3674" s="123">
        <v>1123452.0</v>
      </c>
      <c r="C3674" s="687" t="s">
        <v>16424</v>
      </c>
      <c r="D3674" s="125"/>
    </row>
    <row r="3675">
      <c r="A3675" s="122" t="s">
        <v>8026</v>
      </c>
      <c r="B3675" s="123">
        <v>1378239.0</v>
      </c>
      <c r="C3675" s="687" t="s">
        <v>8027</v>
      </c>
      <c r="D3675" s="125"/>
    </row>
    <row r="3676">
      <c r="A3676" s="122" t="s">
        <v>14886</v>
      </c>
      <c r="B3676" s="123">
        <v>1378239.0</v>
      </c>
      <c r="C3676" s="687" t="s">
        <v>8027</v>
      </c>
      <c r="D3676" s="125"/>
    </row>
    <row r="3677">
      <c r="A3677" s="122" t="s">
        <v>11745</v>
      </c>
      <c r="B3677" s="123">
        <v>1114700.0</v>
      </c>
      <c r="C3677" s="687" t="s">
        <v>11746</v>
      </c>
      <c r="D3677" s="125"/>
    </row>
    <row r="3678">
      <c r="A3678" s="122" t="s">
        <v>12901</v>
      </c>
      <c r="B3678" s="123">
        <v>887153.0</v>
      </c>
      <c r="C3678" s="687" t="s">
        <v>12902</v>
      </c>
      <c r="D3678" s="125"/>
    </row>
    <row r="3679">
      <c r="A3679" s="122" t="s">
        <v>6437</v>
      </c>
      <c r="B3679" s="123">
        <v>1517399.0</v>
      </c>
      <c r="C3679" s="687" t="s">
        <v>6438</v>
      </c>
      <c r="D3679" s="125"/>
    </row>
    <row r="3680">
      <c r="A3680" s="122" t="s">
        <v>5609</v>
      </c>
      <c r="B3680" s="123">
        <v>912892.0</v>
      </c>
      <c r="C3680" s="687" t="s">
        <v>5610</v>
      </c>
      <c r="D3680" s="125"/>
    </row>
    <row r="3681">
      <c r="A3681" s="122" t="s">
        <v>3175</v>
      </c>
      <c r="B3681" s="123">
        <v>912892.0</v>
      </c>
      <c r="C3681" s="687" t="s">
        <v>3176</v>
      </c>
      <c r="D3681" s="125"/>
    </row>
    <row r="3682">
      <c r="A3682" s="122" t="s">
        <v>3135</v>
      </c>
      <c r="B3682" s="123">
        <v>1163560.0</v>
      </c>
      <c r="C3682" s="687" t="s">
        <v>3136</v>
      </c>
      <c r="D3682" s="125"/>
    </row>
    <row r="3683">
      <c r="A3683" s="122" t="s">
        <v>13051</v>
      </c>
      <c r="B3683" s="123">
        <v>886982.0</v>
      </c>
      <c r="C3683" s="687" t="s">
        <v>13052</v>
      </c>
      <c r="D3683" s="125"/>
    </row>
    <row r="3684">
      <c r="A3684" s="122" t="s">
        <v>4331</v>
      </c>
      <c r="B3684" s="123">
        <v>944480.0</v>
      </c>
      <c r="C3684" s="687" t="s">
        <v>4332</v>
      </c>
      <c r="D3684" s="125"/>
    </row>
    <row r="3685">
      <c r="A3685" s="122" t="s">
        <v>4923</v>
      </c>
      <c r="B3685" s="123">
        <v>1126741.0</v>
      </c>
      <c r="C3685" s="687" t="s">
        <v>4924</v>
      </c>
      <c r="D3685" s="125"/>
    </row>
    <row r="3686">
      <c r="A3686" s="122" t="s">
        <v>11396</v>
      </c>
      <c r="B3686" s="123">
        <v>1131399.0</v>
      </c>
      <c r="C3686" s="687" t="s">
        <v>11397</v>
      </c>
      <c r="D3686" s="125"/>
    </row>
    <row r="3687">
      <c r="A3687" s="122" t="s">
        <v>13611</v>
      </c>
      <c r="B3687" s="123">
        <v>1131399.0</v>
      </c>
      <c r="C3687" s="687" t="s">
        <v>11397</v>
      </c>
      <c r="D3687" s="125"/>
    </row>
    <row r="3688">
      <c r="A3688" s="122" t="s">
        <v>2307</v>
      </c>
      <c r="B3688" s="123">
        <v>109657.0</v>
      </c>
      <c r="C3688" s="687" t="s">
        <v>2308</v>
      </c>
      <c r="D3688" s="125"/>
    </row>
    <row r="3689">
      <c r="A3689" s="122" t="s">
        <v>9886</v>
      </c>
      <c r="B3689" s="123">
        <v>1277575.0</v>
      </c>
      <c r="C3689" s="687" t="s">
        <v>9887</v>
      </c>
      <c r="D3689" s="125"/>
    </row>
    <row r="3690">
      <c r="A3690" s="122" t="s">
        <v>2081</v>
      </c>
      <c r="B3690" s="123">
        <v>865400.0</v>
      </c>
      <c r="C3690" s="687" t="s">
        <v>2082</v>
      </c>
      <c r="D3690" s="125"/>
    </row>
    <row r="3691">
      <c r="A3691" s="122" t="s">
        <v>2327</v>
      </c>
      <c r="B3691" s="123">
        <v>1012139.0</v>
      </c>
      <c r="C3691" s="687" t="s">
        <v>2328</v>
      </c>
      <c r="D3691" s="125"/>
    </row>
    <row r="3692">
      <c r="A3692" s="122" t="s">
        <v>12834</v>
      </c>
      <c r="B3692" s="123">
        <v>1058867.0</v>
      </c>
      <c r="C3692" s="687" t="s">
        <v>12835</v>
      </c>
      <c r="D3692" s="125"/>
    </row>
    <row r="3693">
      <c r="A3693" s="122" t="s">
        <v>11792</v>
      </c>
      <c r="B3693" s="123">
        <v>1576280.0</v>
      </c>
      <c r="C3693" s="687" t="s">
        <v>11793</v>
      </c>
      <c r="D3693" s="125"/>
    </row>
    <row r="3694">
      <c r="A3694" s="122" t="s">
        <v>2193</v>
      </c>
      <c r="B3694" s="123">
        <v>1804469.0</v>
      </c>
      <c r="C3694" s="687" t="s">
        <v>2194</v>
      </c>
      <c r="D3694" s="125"/>
    </row>
    <row r="3695">
      <c r="A3695" s="122" t="s">
        <v>5253</v>
      </c>
      <c r="B3695" s="123">
        <v>1804469.0</v>
      </c>
      <c r="C3695" s="687" t="s">
        <v>5254</v>
      </c>
      <c r="D3695" s="125"/>
    </row>
    <row r="3696">
      <c r="A3696" s="122" t="s">
        <v>7844</v>
      </c>
      <c r="B3696" s="123">
        <v>1642375.0</v>
      </c>
      <c r="C3696" s="687" t="s">
        <v>7845</v>
      </c>
      <c r="D3696" s="125"/>
    </row>
    <row r="3697">
      <c r="A3697" s="122" t="s">
        <v>6206</v>
      </c>
      <c r="B3697" s="123">
        <v>1832487.0</v>
      </c>
      <c r="C3697" s="687" t="s">
        <v>6207</v>
      </c>
      <c r="D3697" s="125"/>
    </row>
    <row r="3698">
      <c r="A3698" s="122" t="s">
        <v>11915</v>
      </c>
      <c r="B3698" s="123">
        <v>912463.0</v>
      </c>
      <c r="C3698" s="687" t="s">
        <v>11916</v>
      </c>
      <c r="D3698" s="125"/>
    </row>
    <row r="3699">
      <c r="A3699" s="122" t="s">
        <v>10279</v>
      </c>
      <c r="B3699" s="123">
        <v>1864208.0</v>
      </c>
      <c r="C3699" s="687" t="s">
        <v>10280</v>
      </c>
      <c r="D3699" s="125"/>
    </row>
    <row r="3700">
      <c r="A3700" s="122" t="s">
        <v>10143</v>
      </c>
      <c r="B3700" s="123">
        <v>1380936.0</v>
      </c>
      <c r="C3700" s="687" t="s">
        <v>10144</v>
      </c>
      <c r="D3700" s="125"/>
    </row>
    <row r="3701">
      <c r="A3701" s="122" t="s">
        <v>10802</v>
      </c>
      <c r="B3701" s="123">
        <v>1495825.0</v>
      </c>
      <c r="C3701" s="687" t="s">
        <v>10803</v>
      </c>
      <c r="D3701" s="125"/>
    </row>
    <row r="3702">
      <c r="A3702" s="122" t="s">
        <v>2275</v>
      </c>
      <c r="B3702" s="123">
        <v>924515.0</v>
      </c>
      <c r="C3702" s="687" t="s">
        <v>2276</v>
      </c>
      <c r="D3702" s="125"/>
    </row>
    <row r="3703">
      <c r="A3703" s="122" t="s">
        <v>15552</v>
      </c>
      <c r="B3703" s="123">
        <v>1528396.0</v>
      </c>
      <c r="C3703" s="687" t="s">
        <v>15553</v>
      </c>
      <c r="D3703" s="125"/>
    </row>
    <row r="3704">
      <c r="A3704" s="122" t="s">
        <v>10319</v>
      </c>
      <c r="B3704" s="123">
        <v>1821160.0</v>
      </c>
      <c r="C3704" s="687" t="s">
        <v>10320</v>
      </c>
      <c r="D3704" s="125"/>
    </row>
    <row r="3705">
      <c r="A3705" s="122" t="s">
        <v>609</v>
      </c>
      <c r="B3705" s="123">
        <v>1565146.0</v>
      </c>
      <c r="C3705" s="687" t="s">
        <v>610</v>
      </c>
      <c r="D3705" s="125"/>
    </row>
    <row r="3706">
      <c r="A3706" s="122" t="s">
        <v>5039</v>
      </c>
      <c r="B3706" s="123">
        <v>1844512.0</v>
      </c>
      <c r="C3706" s="687" t="s">
        <v>5040</v>
      </c>
      <c r="D3706" s="125"/>
    </row>
    <row r="3707">
      <c r="A3707" s="122" t="s">
        <v>6355</v>
      </c>
      <c r="B3707" s="123">
        <v>1031623.0</v>
      </c>
      <c r="C3707" s="687" t="s">
        <v>6356</v>
      </c>
      <c r="D3707" s="125"/>
    </row>
    <row r="3708">
      <c r="A3708" s="122" t="s">
        <v>4020</v>
      </c>
      <c r="B3708" s="123">
        <v>885462.0</v>
      </c>
      <c r="C3708" s="687" t="s">
        <v>4021</v>
      </c>
      <c r="D3708" s="125"/>
    </row>
    <row r="3709">
      <c r="A3709" s="122" t="s">
        <v>2637</v>
      </c>
      <c r="B3709" s="123">
        <v>1592603.0</v>
      </c>
      <c r="C3709" s="687" t="s">
        <v>2638</v>
      </c>
      <c r="D3709" s="125"/>
    </row>
    <row r="3710">
      <c r="A3710" s="122" t="s">
        <v>15672</v>
      </c>
      <c r="B3710" s="123">
        <v>874499.0</v>
      </c>
      <c r="C3710" s="687" t="s">
        <v>15673</v>
      </c>
      <c r="D3710" s="125"/>
    </row>
    <row r="3711">
      <c r="A3711" s="122" t="s">
        <v>33774</v>
      </c>
      <c r="B3711" s="123">
        <v>1341726.0</v>
      </c>
      <c r="C3711" s="687" t="s">
        <v>33775</v>
      </c>
      <c r="D3711" s="125"/>
    </row>
    <row r="3712">
      <c r="A3712" s="122" t="s">
        <v>11905</v>
      </c>
      <c r="B3712" s="123">
        <v>1639327.0</v>
      </c>
      <c r="C3712" s="687" t="s">
        <v>11906</v>
      </c>
      <c r="D3712" s="125"/>
    </row>
    <row r="3713">
      <c r="A3713" s="122" t="s">
        <v>527</v>
      </c>
      <c r="B3713" s="123">
        <v>1509786.0</v>
      </c>
      <c r="C3713" s="687" t="s">
        <v>528</v>
      </c>
      <c r="D3713" s="125"/>
    </row>
    <row r="3714">
      <c r="A3714" s="122" t="s">
        <v>14260</v>
      </c>
      <c r="B3714" s="123">
        <v>1852244.0</v>
      </c>
      <c r="C3714" s="687" t="s">
        <v>14261</v>
      </c>
      <c r="D3714" s="125"/>
    </row>
    <row r="3715">
      <c r="A3715" s="122" t="s">
        <v>8044</v>
      </c>
      <c r="B3715" s="123">
        <v>1589061.0</v>
      </c>
      <c r="C3715" s="687" t="s">
        <v>8045</v>
      </c>
      <c r="D3715" s="125"/>
    </row>
    <row r="3716">
      <c r="A3716" s="122" t="s">
        <v>33776</v>
      </c>
      <c r="B3716" s="123">
        <v>1286648.0</v>
      </c>
      <c r="C3716" s="687" t="s">
        <v>33777</v>
      </c>
      <c r="D3716" s="125"/>
    </row>
    <row r="3717">
      <c r="A3717" s="122" t="s">
        <v>13935</v>
      </c>
      <c r="B3717" s="123">
        <v>12659.0</v>
      </c>
      <c r="C3717" s="687" t="s">
        <v>13936</v>
      </c>
      <c r="D3717" s="125"/>
    </row>
    <row r="3718">
      <c r="A3718" s="122" t="s">
        <v>12905</v>
      </c>
      <c r="B3718" s="123">
        <v>1483994.0</v>
      </c>
      <c r="C3718" s="687" t="s">
        <v>12906</v>
      </c>
      <c r="D3718" s="125"/>
    </row>
    <row r="3719">
      <c r="A3719" s="122" t="s">
        <v>14900</v>
      </c>
      <c r="B3719" s="123">
        <v>39368.0</v>
      </c>
      <c r="C3719" s="687" t="s">
        <v>14901</v>
      </c>
      <c r="D3719" s="125"/>
    </row>
    <row r="3720">
      <c r="A3720" s="122" t="s">
        <v>14258</v>
      </c>
      <c r="B3720" s="123">
        <v>1339605.0</v>
      </c>
      <c r="C3720" s="687" t="s">
        <v>14259</v>
      </c>
      <c r="D3720" s="125"/>
    </row>
    <row r="3721">
      <c r="A3721" s="122" t="s">
        <v>11919</v>
      </c>
      <c r="B3721" s="123">
        <v>1057379.0</v>
      </c>
      <c r="C3721" s="687" t="s">
        <v>11920</v>
      </c>
      <c r="D3721" s="125"/>
    </row>
    <row r="3722">
      <c r="A3722" s="122" t="s">
        <v>14908</v>
      </c>
      <c r="B3722" s="123">
        <v>313143.0</v>
      </c>
      <c r="C3722" s="687" t="s">
        <v>14909</v>
      </c>
      <c r="D3722" s="125"/>
    </row>
    <row r="3723">
      <c r="A3723" s="122" t="s">
        <v>7689</v>
      </c>
      <c r="B3723" s="123">
        <v>1840776.0</v>
      </c>
      <c r="C3723" s="687" t="s">
        <v>7690</v>
      </c>
      <c r="D3723" s="125"/>
    </row>
    <row r="3724">
      <c r="A3724" s="122" t="s">
        <v>9112</v>
      </c>
      <c r="B3724" s="123">
        <v>910406.0</v>
      </c>
      <c r="C3724" s="687" t="s">
        <v>9113</v>
      </c>
      <c r="D3724" s="125"/>
    </row>
    <row r="3725">
      <c r="A3725" s="122" t="s">
        <v>651</v>
      </c>
      <c r="B3725" s="123">
        <v>1458631.0</v>
      </c>
      <c r="C3725" s="687" t="s">
        <v>652</v>
      </c>
      <c r="D3725" s="125"/>
    </row>
    <row r="3726">
      <c r="A3726" s="122" t="s">
        <v>6139</v>
      </c>
      <c r="B3726" s="123">
        <v>1900304.0</v>
      </c>
      <c r="C3726" s="687" t="s">
        <v>6140</v>
      </c>
      <c r="D3726" s="125"/>
    </row>
    <row r="3727">
      <c r="A3727" s="122" t="s">
        <v>7769</v>
      </c>
      <c r="B3727" s="123">
        <v>1900304.0</v>
      </c>
      <c r="C3727" s="687" t="s">
        <v>7770</v>
      </c>
      <c r="D3727" s="125"/>
    </row>
    <row r="3728">
      <c r="A3728" s="122" t="s">
        <v>691</v>
      </c>
      <c r="B3728" s="123">
        <v>1708176.0</v>
      </c>
      <c r="C3728" s="687" t="s">
        <v>692</v>
      </c>
      <c r="D3728" s="125"/>
    </row>
    <row r="3729">
      <c r="A3729" s="122" t="s">
        <v>5802</v>
      </c>
      <c r="B3729" s="123">
        <v>1708176.0</v>
      </c>
      <c r="C3729" s="687" t="s">
        <v>5803</v>
      </c>
      <c r="D3729" s="125"/>
    </row>
    <row r="3730">
      <c r="A3730" s="122" t="s">
        <v>7759</v>
      </c>
      <c r="B3730" s="123">
        <v>788965.0</v>
      </c>
      <c r="C3730" s="687" t="s">
        <v>7760</v>
      </c>
      <c r="D3730" s="125"/>
    </row>
    <row r="3731">
      <c r="A3731" s="122" t="s">
        <v>13213</v>
      </c>
      <c r="B3731" s="123">
        <v>45012.0</v>
      </c>
      <c r="C3731" s="687" t="s">
        <v>13214</v>
      </c>
      <c r="D3731" s="125"/>
    </row>
    <row r="3732">
      <c r="A3732" s="122" t="s">
        <v>3602</v>
      </c>
      <c r="B3732" s="123">
        <v>819913.0</v>
      </c>
      <c r="C3732" s="687" t="s">
        <v>3603</v>
      </c>
      <c r="D3732" s="125"/>
    </row>
    <row r="3733">
      <c r="A3733" s="122" t="s">
        <v>33778</v>
      </c>
      <c r="B3733" s="123">
        <v>1331421.0</v>
      </c>
      <c r="C3733" s="687" t="s">
        <v>33779</v>
      </c>
      <c r="D3733" s="125"/>
    </row>
    <row r="3734">
      <c r="A3734" s="122" t="s">
        <v>13110</v>
      </c>
      <c r="B3734" s="123">
        <v>1159036.0</v>
      </c>
      <c r="C3734" s="687" t="s">
        <v>13111</v>
      </c>
      <c r="D3734" s="125"/>
    </row>
    <row r="3735">
      <c r="A3735" s="122" t="s">
        <v>11102</v>
      </c>
      <c r="B3735" s="123">
        <v>1709164.0</v>
      </c>
      <c r="C3735" s="687" t="s">
        <v>11103</v>
      </c>
      <c r="D3735" s="125"/>
    </row>
    <row r="3736">
      <c r="A3736" s="122" t="s">
        <v>15610</v>
      </c>
      <c r="B3736" s="123">
        <v>1433642.0</v>
      </c>
      <c r="C3736" s="687" t="s">
        <v>15611</v>
      </c>
      <c r="D3736" s="125"/>
    </row>
    <row r="3737">
      <c r="A3737" s="122" t="s">
        <v>2568</v>
      </c>
      <c r="B3737" s="123">
        <v>1539680.0</v>
      </c>
      <c r="C3737" s="687" t="s">
        <v>2569</v>
      </c>
      <c r="D3737" s="125"/>
    </row>
    <row r="3738">
      <c r="A3738" s="122" t="s">
        <v>12097</v>
      </c>
      <c r="B3738" s="123">
        <v>750577.0</v>
      </c>
      <c r="C3738" s="687" t="s">
        <v>12098</v>
      </c>
      <c r="D3738" s="125"/>
    </row>
    <row r="3739">
      <c r="A3739" s="122" t="s">
        <v>13751</v>
      </c>
      <c r="B3739" s="123">
        <v>750577.0</v>
      </c>
      <c r="C3739" s="687" t="s">
        <v>13752</v>
      </c>
      <c r="D3739" s="125"/>
    </row>
    <row r="3740">
      <c r="A3740" s="122" t="s">
        <v>6451</v>
      </c>
      <c r="B3740" s="123">
        <v>1359841.0</v>
      </c>
      <c r="C3740" s="687" t="s">
        <v>6452</v>
      </c>
      <c r="D3740" s="125"/>
    </row>
    <row r="3741">
      <c r="A3741" s="122" t="s">
        <v>33780</v>
      </c>
      <c r="B3741" s="123">
        <v>1421819.0</v>
      </c>
      <c r="C3741" s="687" t="s">
        <v>33781</v>
      </c>
      <c r="D3741" s="125"/>
    </row>
    <row r="3742">
      <c r="A3742" s="122" t="s">
        <v>10610</v>
      </c>
      <c r="B3742" s="123">
        <v>1109242.0</v>
      </c>
      <c r="C3742" s="687" t="s">
        <v>10611</v>
      </c>
      <c r="D3742" s="125"/>
    </row>
    <row r="3743">
      <c r="A3743" s="122" t="s">
        <v>2033</v>
      </c>
      <c r="B3743" s="123">
        <v>1123267.0</v>
      </c>
      <c r="C3743" s="687" t="s">
        <v>2034</v>
      </c>
      <c r="D3743" s="125"/>
    </row>
    <row r="3744">
      <c r="A3744" s="122" t="s">
        <v>11989</v>
      </c>
      <c r="B3744" s="123">
        <v>1561894.0</v>
      </c>
      <c r="C3744" s="687" t="s">
        <v>11990</v>
      </c>
      <c r="D3744" s="125"/>
    </row>
    <row r="3745">
      <c r="A3745" s="122" t="s">
        <v>757</v>
      </c>
      <c r="B3745" s="123">
        <v>1069680.0</v>
      </c>
      <c r="C3745" s="687" t="s">
        <v>758</v>
      </c>
      <c r="D3745" s="125"/>
    </row>
    <row r="3746">
      <c r="A3746" s="122" t="s">
        <v>11069</v>
      </c>
      <c r="B3746" s="123">
        <v>1828588.0</v>
      </c>
      <c r="C3746" s="687" t="s">
        <v>11070</v>
      </c>
      <c r="D3746" s="125"/>
    </row>
    <row r="3747">
      <c r="A3747" s="122" t="s">
        <v>15738</v>
      </c>
      <c r="B3747" s="123">
        <v>944695.0</v>
      </c>
      <c r="C3747" s="687" t="s">
        <v>15739</v>
      </c>
      <c r="D3747" s="125"/>
    </row>
    <row r="3748">
      <c r="A3748" s="122" t="s">
        <v>7581</v>
      </c>
      <c r="B3748" s="123">
        <v>889608.0</v>
      </c>
      <c r="C3748" s="687" t="s">
        <v>7582</v>
      </c>
      <c r="D3748" s="125"/>
    </row>
    <row r="3749">
      <c r="A3749" s="122" t="s">
        <v>10451</v>
      </c>
      <c r="B3749" s="123">
        <v>1281845.0</v>
      </c>
      <c r="C3749" s="687" t="s">
        <v>10452</v>
      </c>
      <c r="D3749" s="125"/>
    </row>
    <row r="3750">
      <c r="A3750" s="122" t="s">
        <v>4866</v>
      </c>
      <c r="B3750" s="123">
        <v>899394.0</v>
      </c>
      <c r="C3750" s="687" t="s">
        <v>4867</v>
      </c>
      <c r="D3750" s="125"/>
    </row>
    <row r="3751">
      <c r="A3751" s="122" t="s">
        <v>8811</v>
      </c>
      <c r="B3751" s="123">
        <v>1769617.0</v>
      </c>
      <c r="C3751" s="687" t="s">
        <v>8812</v>
      </c>
      <c r="D3751" s="125"/>
    </row>
    <row r="3752">
      <c r="A3752" s="122" t="s">
        <v>13045</v>
      </c>
      <c r="B3752" s="123">
        <v>1484737.0</v>
      </c>
      <c r="C3752" s="687" t="s">
        <v>13046</v>
      </c>
      <c r="D3752" s="125"/>
    </row>
    <row r="3753">
      <c r="A3753" s="122" t="s">
        <v>13157</v>
      </c>
      <c r="B3753" s="123">
        <v>793952.0</v>
      </c>
      <c r="C3753" s="687" t="s">
        <v>13158</v>
      </c>
      <c r="D3753" s="125"/>
    </row>
    <row r="3754">
      <c r="A3754" s="122" t="s">
        <v>9927</v>
      </c>
      <c r="B3754" s="123">
        <v>851310.0</v>
      </c>
      <c r="C3754" s="687" t="s">
        <v>9928</v>
      </c>
      <c r="D3754" s="125"/>
    </row>
    <row r="3755">
      <c r="A3755" s="122" t="s">
        <v>12903</v>
      </c>
      <c r="B3755" s="123">
        <v>1802665.0</v>
      </c>
      <c r="C3755" s="687" t="s">
        <v>12904</v>
      </c>
      <c r="D3755" s="125"/>
    </row>
    <row r="3756">
      <c r="A3756" s="122" t="s">
        <v>7157</v>
      </c>
      <c r="B3756" s="123">
        <v>1023514.0</v>
      </c>
      <c r="C3756" s="687" t="s">
        <v>7158</v>
      </c>
      <c r="D3756" s="125"/>
    </row>
    <row r="3757">
      <c r="A3757" s="122" t="s">
        <v>11823</v>
      </c>
      <c r="B3757" s="123">
        <v>1708493.0</v>
      </c>
      <c r="C3757" s="687" t="s">
        <v>11824</v>
      </c>
      <c r="D3757" s="125"/>
    </row>
    <row r="3758">
      <c r="A3758" s="122" t="s">
        <v>12190</v>
      </c>
      <c r="B3758" s="123">
        <v>1360214.0</v>
      </c>
      <c r="C3758" s="687" t="s">
        <v>12191</v>
      </c>
      <c r="D3758" s="125"/>
    </row>
    <row r="3759">
      <c r="A3759" s="122" t="s">
        <v>8177</v>
      </c>
      <c r="B3759" s="123">
        <v>1360214.0</v>
      </c>
      <c r="C3759" s="687" t="s">
        <v>8178</v>
      </c>
      <c r="D3759" s="125"/>
    </row>
    <row r="3760">
      <c r="A3760" s="122" t="s">
        <v>7540</v>
      </c>
      <c r="B3760" s="123">
        <v>45919.0</v>
      </c>
      <c r="C3760" s="687" t="s">
        <v>7541</v>
      </c>
      <c r="D3760" s="125"/>
    </row>
    <row r="3761">
      <c r="A3761" s="122" t="s">
        <v>15218</v>
      </c>
      <c r="B3761" s="123">
        <v>874766.0</v>
      </c>
      <c r="C3761" s="687" t="s">
        <v>15219</v>
      </c>
      <c r="D3761" s="125"/>
    </row>
    <row r="3762">
      <c r="A3762" s="122" t="s">
        <v>3612</v>
      </c>
      <c r="B3762" s="123">
        <v>1482554.0</v>
      </c>
      <c r="C3762" s="687" t="s">
        <v>3613</v>
      </c>
      <c r="D3762" s="125"/>
    </row>
    <row r="3763">
      <c r="A3763" s="122" t="s">
        <v>980</v>
      </c>
      <c r="B3763" s="123">
        <v>1721181.0</v>
      </c>
      <c r="C3763" s="687" t="s">
        <v>981</v>
      </c>
      <c r="D3763" s="125"/>
    </row>
    <row r="3764">
      <c r="A3764" s="122" t="s">
        <v>6331</v>
      </c>
      <c r="B3764" s="123">
        <v>1123494.0</v>
      </c>
      <c r="C3764" s="687" t="s">
        <v>6332</v>
      </c>
      <c r="D3764" s="125"/>
    </row>
    <row r="3765">
      <c r="A3765" s="122" t="s">
        <v>5215</v>
      </c>
      <c r="B3765" s="123">
        <v>1361937.0</v>
      </c>
      <c r="C3765" s="687" t="s">
        <v>5216</v>
      </c>
      <c r="D3765" s="125"/>
    </row>
    <row r="3766">
      <c r="A3766" s="122" t="s">
        <v>14086</v>
      </c>
      <c r="B3766" s="123">
        <v>46080.0</v>
      </c>
      <c r="C3766" s="687" t="s">
        <v>14087</v>
      </c>
      <c r="D3766" s="125"/>
    </row>
    <row r="3767">
      <c r="A3767" s="122" t="s">
        <v>11977</v>
      </c>
      <c r="B3767" s="123">
        <v>1720671.0</v>
      </c>
      <c r="C3767" s="687" t="s">
        <v>11978</v>
      </c>
      <c r="D3767" s="125"/>
    </row>
    <row r="3768">
      <c r="A3768" s="122" t="s">
        <v>13151</v>
      </c>
      <c r="B3768" s="123">
        <v>216085.0</v>
      </c>
      <c r="C3768" s="687" t="s">
        <v>13152</v>
      </c>
      <c r="D3768" s="125"/>
    </row>
    <row r="3769">
      <c r="A3769" s="122" t="s">
        <v>9997</v>
      </c>
      <c r="B3769" s="123">
        <v>46207.0</v>
      </c>
      <c r="C3769" s="687" t="s">
        <v>9998</v>
      </c>
      <c r="D3769" s="125"/>
    </row>
    <row r="3770">
      <c r="A3770" s="122" t="s">
        <v>10191</v>
      </c>
      <c r="B3770" s="123">
        <v>46207.0</v>
      </c>
      <c r="C3770" s="687" t="s">
        <v>10192</v>
      </c>
      <c r="D3770" s="125"/>
    </row>
    <row r="3771">
      <c r="A3771" s="122" t="s">
        <v>10299</v>
      </c>
      <c r="B3771" s="123">
        <v>46207.0</v>
      </c>
      <c r="C3771" s="687" t="s">
        <v>10300</v>
      </c>
      <c r="D3771" s="125"/>
    </row>
    <row r="3772">
      <c r="A3772" s="122" t="s">
        <v>10003</v>
      </c>
      <c r="B3772" s="123">
        <v>354707.0</v>
      </c>
      <c r="C3772" s="687" t="s">
        <v>10004</v>
      </c>
      <c r="D3772" s="125"/>
    </row>
    <row r="3773">
      <c r="A3773" s="122" t="s">
        <v>9958</v>
      </c>
      <c r="B3773" s="123">
        <v>46207.0</v>
      </c>
      <c r="C3773" s="687" t="s">
        <v>9959</v>
      </c>
      <c r="D3773" s="125"/>
    </row>
    <row r="3774">
      <c r="A3774" s="122" t="s">
        <v>10203</v>
      </c>
      <c r="B3774" s="123">
        <v>1172222.0</v>
      </c>
      <c r="C3774" s="687" t="s">
        <v>10204</v>
      </c>
      <c r="D3774" s="125"/>
    </row>
    <row r="3775">
      <c r="A3775" s="122" t="s">
        <v>1561</v>
      </c>
      <c r="B3775" s="123">
        <v>1750777.0</v>
      </c>
      <c r="C3775" s="687" t="s">
        <v>1562</v>
      </c>
      <c r="D3775" s="125"/>
    </row>
    <row r="3776">
      <c r="A3776" s="122" t="s">
        <v>14502</v>
      </c>
      <c r="B3776" s="123">
        <v>46250.0</v>
      </c>
      <c r="C3776" s="687" t="s">
        <v>14503</v>
      </c>
      <c r="D3776" s="125"/>
    </row>
    <row r="3777">
      <c r="A3777" s="122" t="s">
        <v>12322</v>
      </c>
      <c r="B3777" s="123">
        <v>893847.0</v>
      </c>
      <c r="C3777" s="687" t="s">
        <v>12323</v>
      </c>
      <c r="D3777" s="125"/>
    </row>
    <row r="3778">
      <c r="A3778" s="122" t="s">
        <v>14307</v>
      </c>
      <c r="B3778" s="123">
        <v>858655.0</v>
      </c>
      <c r="C3778" s="687" t="s">
        <v>14308</v>
      </c>
      <c r="D3778" s="125"/>
    </row>
    <row r="3779">
      <c r="A3779" s="122" t="s">
        <v>9814</v>
      </c>
      <c r="B3779" s="123">
        <v>1834622.0</v>
      </c>
      <c r="C3779" s="687" t="s">
        <v>9815</v>
      </c>
      <c r="D3779" s="125"/>
    </row>
    <row r="3780">
      <c r="A3780" s="122" t="s">
        <v>11321</v>
      </c>
      <c r="B3780" s="123">
        <v>775215.0</v>
      </c>
      <c r="C3780" s="687" t="s">
        <v>11322</v>
      </c>
      <c r="D3780" s="125"/>
    </row>
    <row r="3781">
      <c r="A3781" s="122" t="s">
        <v>16428</v>
      </c>
      <c r="B3781" s="123">
        <v>860730.0</v>
      </c>
      <c r="C3781" s="687" t="s">
        <v>16429</v>
      </c>
      <c r="D3781" s="125"/>
    </row>
    <row r="3782">
      <c r="A3782" s="122" t="s">
        <v>15226</v>
      </c>
      <c r="B3782" s="123">
        <v>1400810.0</v>
      </c>
      <c r="C3782" s="687" t="s">
        <v>15227</v>
      </c>
      <c r="D3782" s="125"/>
    </row>
    <row r="3783">
      <c r="A3783" s="122" t="s">
        <v>1333</v>
      </c>
      <c r="B3783" s="123">
        <v>1845368.0</v>
      </c>
      <c r="C3783" s="687" t="s">
        <v>1334</v>
      </c>
      <c r="D3783" s="125"/>
    </row>
    <row r="3784">
      <c r="A3784" s="122" t="s">
        <v>9345</v>
      </c>
      <c r="B3784" s="123">
        <v>1845368.0</v>
      </c>
      <c r="C3784" s="687" t="s">
        <v>9346</v>
      </c>
      <c r="D3784" s="125"/>
    </row>
    <row r="3785">
      <c r="A3785" s="122" t="s">
        <v>9162</v>
      </c>
      <c r="B3785" s="123">
        <v>1845368.0</v>
      </c>
      <c r="C3785" s="687" t="s">
        <v>9163</v>
      </c>
      <c r="D3785" s="125"/>
    </row>
    <row r="3786">
      <c r="A3786" s="122" t="s">
        <v>4012</v>
      </c>
      <c r="B3786" s="123">
        <v>1828673.0</v>
      </c>
      <c r="C3786" s="687" t="s">
        <v>4013</v>
      </c>
      <c r="D3786" s="125"/>
    </row>
    <row r="3787">
      <c r="A3787" s="122" t="s">
        <v>14256</v>
      </c>
      <c r="B3787" s="123">
        <v>1144967.0</v>
      </c>
      <c r="C3787" s="687" t="s">
        <v>14257</v>
      </c>
      <c r="D3787" s="125"/>
    </row>
    <row r="3788">
      <c r="A3788" s="122" t="s">
        <v>3877</v>
      </c>
      <c r="B3788" s="123">
        <v>1441082.0</v>
      </c>
      <c r="C3788" s="687" t="s">
        <v>3878</v>
      </c>
      <c r="D3788" s="125"/>
    </row>
    <row r="3789">
      <c r="A3789" s="122" t="s">
        <v>539</v>
      </c>
      <c r="B3789" s="123">
        <v>1531477.0</v>
      </c>
      <c r="C3789" s="687" t="s">
        <v>540</v>
      </c>
      <c r="D3789" s="125"/>
    </row>
    <row r="3790">
      <c r="A3790" s="122" t="s">
        <v>8315</v>
      </c>
      <c r="B3790" s="123">
        <v>1636422.0</v>
      </c>
      <c r="C3790" s="687" t="s">
        <v>8316</v>
      </c>
      <c r="D3790" s="125"/>
    </row>
    <row r="3791">
      <c r="A3791" s="122" t="s">
        <v>33782</v>
      </c>
      <c r="B3791" s="123">
        <v>1141788.0</v>
      </c>
      <c r="C3791" s="687" t="s">
        <v>33783</v>
      </c>
      <c r="D3791" s="125"/>
    </row>
    <row r="3792">
      <c r="A3792" s="122" t="s">
        <v>3039</v>
      </c>
      <c r="B3792" s="123">
        <v>1101026.0</v>
      </c>
      <c r="C3792" s="687" t="s">
        <v>3040</v>
      </c>
      <c r="D3792" s="125"/>
    </row>
    <row r="3793">
      <c r="A3793" s="122" t="s">
        <v>1445</v>
      </c>
      <c r="B3793" s="123">
        <v>1848861.0</v>
      </c>
      <c r="C3793" s="687" t="s">
        <v>1446</v>
      </c>
      <c r="D3793" s="125"/>
    </row>
    <row r="3794">
      <c r="A3794" s="122" t="s">
        <v>8992</v>
      </c>
      <c r="B3794" s="123">
        <v>1848861.0</v>
      </c>
      <c r="C3794" s="687" t="s">
        <v>8993</v>
      </c>
      <c r="D3794" s="125"/>
    </row>
    <row r="3795">
      <c r="A3795" s="122" t="s">
        <v>8918</v>
      </c>
      <c r="B3795" s="123">
        <v>1848861.0</v>
      </c>
      <c r="C3795" s="687" t="s">
        <v>8919</v>
      </c>
      <c r="D3795" s="125"/>
    </row>
    <row r="3796">
      <c r="A3796" s="122" t="s">
        <v>10434</v>
      </c>
      <c r="B3796" s="123">
        <v>1561032.0</v>
      </c>
      <c r="C3796" s="687" t="s">
        <v>10435</v>
      </c>
      <c r="D3796" s="125"/>
    </row>
    <row r="3797">
      <c r="A3797" s="122" t="s">
        <v>1509</v>
      </c>
      <c r="B3797" s="123">
        <v>1584693.0</v>
      </c>
      <c r="C3797" s="687" t="s">
        <v>1510</v>
      </c>
      <c r="D3797" s="125"/>
    </row>
    <row r="3798">
      <c r="A3798" s="122" t="s">
        <v>5328</v>
      </c>
      <c r="B3798" s="123">
        <v>1561032.0</v>
      </c>
      <c r="C3798" s="687" t="s">
        <v>5329</v>
      </c>
      <c r="D3798" s="125"/>
    </row>
    <row r="3799">
      <c r="A3799" s="122" t="s">
        <v>10636</v>
      </c>
      <c r="B3799" s="123">
        <v>1561032.0</v>
      </c>
      <c r="C3799" s="687" t="s">
        <v>10637</v>
      </c>
      <c r="D3799" s="125"/>
    </row>
    <row r="3800">
      <c r="A3800" s="122" t="s">
        <v>10673</v>
      </c>
      <c r="B3800" s="123">
        <v>1360604.0</v>
      </c>
      <c r="C3800" s="687" t="s">
        <v>10674</v>
      </c>
      <c r="D3800" s="125"/>
    </row>
    <row r="3801">
      <c r="A3801" s="122" t="s">
        <v>8119</v>
      </c>
      <c r="B3801" s="123">
        <v>731012.0</v>
      </c>
      <c r="C3801" s="687" t="s">
        <v>8120</v>
      </c>
      <c r="D3801" s="125"/>
    </row>
    <row r="3802">
      <c r="A3802" s="122" t="s">
        <v>33784</v>
      </c>
      <c r="B3802" s="123">
        <v>1418115.0</v>
      </c>
      <c r="C3802" s="687" t="s">
        <v>33785</v>
      </c>
      <c r="D3802" s="125"/>
    </row>
    <row r="3803">
      <c r="A3803" s="122" t="s">
        <v>4829</v>
      </c>
      <c r="B3803" s="123">
        <v>1839285.0</v>
      </c>
      <c r="C3803" s="687" t="s">
        <v>4830</v>
      </c>
      <c r="D3803" s="125"/>
    </row>
    <row r="3804">
      <c r="A3804" s="122" t="s">
        <v>14943</v>
      </c>
      <c r="B3804" s="123">
        <v>1428336.0</v>
      </c>
      <c r="C3804" s="687" t="s">
        <v>14944</v>
      </c>
      <c r="D3804" s="125"/>
    </row>
    <row r="3805">
      <c r="A3805" s="122" t="s">
        <v>33786</v>
      </c>
      <c r="B3805" s="123">
        <v>844856.0</v>
      </c>
      <c r="C3805" s="687" t="s">
        <v>33787</v>
      </c>
      <c r="D3805" s="125"/>
    </row>
    <row r="3806">
      <c r="A3806" s="122" t="s">
        <v>1423</v>
      </c>
      <c r="B3806" s="123">
        <v>1680139.0</v>
      </c>
      <c r="C3806" s="687" t="s">
        <v>1424</v>
      </c>
      <c r="D3806" s="125"/>
    </row>
    <row r="3807">
      <c r="A3807" s="122" t="s">
        <v>11106</v>
      </c>
      <c r="B3807" s="123">
        <v>765880.0</v>
      </c>
      <c r="C3807" s="687" t="s">
        <v>11107</v>
      </c>
      <c r="D3807" s="125"/>
    </row>
    <row r="3808">
      <c r="A3808" s="122" t="s">
        <v>12486</v>
      </c>
      <c r="B3808" s="123">
        <v>1095565.0</v>
      </c>
      <c r="C3808" s="687" t="s">
        <v>12487</v>
      </c>
      <c r="D3808" s="125"/>
    </row>
    <row r="3809">
      <c r="A3809" s="122" t="s">
        <v>33788</v>
      </c>
      <c r="B3809" s="123">
        <v>1307624.0</v>
      </c>
      <c r="C3809" s="687" t="s">
        <v>33789</v>
      </c>
      <c r="D3809" s="125"/>
    </row>
    <row r="3810">
      <c r="A3810" s="122" t="s">
        <v>1517</v>
      </c>
      <c r="B3810" s="123">
        <v>1468492.0</v>
      </c>
      <c r="C3810" s="687" t="s">
        <v>1518</v>
      </c>
      <c r="D3810" s="125"/>
    </row>
    <row r="3811">
      <c r="A3811" s="122" t="s">
        <v>1974</v>
      </c>
      <c r="B3811" s="123">
        <v>1468492.0</v>
      </c>
      <c r="C3811" s="687" t="s">
        <v>1975</v>
      </c>
      <c r="D3811" s="125"/>
    </row>
    <row r="3812">
      <c r="A3812" s="122" t="s">
        <v>2705</v>
      </c>
      <c r="B3812" s="123">
        <v>1779372.0</v>
      </c>
      <c r="C3812" s="687" t="s">
        <v>2706</v>
      </c>
      <c r="D3812" s="125"/>
    </row>
    <row r="3813">
      <c r="A3813" s="122" t="s">
        <v>4766</v>
      </c>
      <c r="B3813" s="123">
        <v>1779372.0</v>
      </c>
      <c r="C3813" s="687" t="s">
        <v>4767</v>
      </c>
      <c r="D3813" s="125"/>
    </row>
    <row r="3814">
      <c r="A3814" s="122" t="s">
        <v>2989</v>
      </c>
      <c r="B3814" s="123">
        <v>1892322.0</v>
      </c>
      <c r="C3814" s="687" t="s">
        <v>2990</v>
      </c>
      <c r="D3814" s="125"/>
    </row>
    <row r="3815">
      <c r="A3815" s="122" t="s">
        <v>9867</v>
      </c>
      <c r="B3815" s="123">
        <v>799233.0</v>
      </c>
      <c r="C3815" s="687" t="s">
        <v>9868</v>
      </c>
      <c r="D3815" s="125"/>
    </row>
    <row r="3816">
      <c r="A3816" s="122" t="s">
        <v>13167</v>
      </c>
      <c r="B3816" s="123">
        <v>920112.0</v>
      </c>
      <c r="C3816" s="687" t="s">
        <v>13168</v>
      </c>
      <c r="D3816" s="125"/>
    </row>
    <row r="3817">
      <c r="A3817" s="122" t="s">
        <v>12292</v>
      </c>
      <c r="B3817" s="123">
        <v>920112.0</v>
      </c>
      <c r="C3817" s="687" t="s">
        <v>12293</v>
      </c>
      <c r="D3817" s="125"/>
    </row>
    <row r="3818">
      <c r="A3818" s="122" t="s">
        <v>5938</v>
      </c>
      <c r="B3818" s="123">
        <v>719413.0</v>
      </c>
      <c r="C3818" s="687" t="s">
        <v>5939</v>
      </c>
      <c r="D3818" s="125"/>
    </row>
    <row r="3819">
      <c r="A3819" s="122" t="s">
        <v>16077</v>
      </c>
      <c r="B3819" s="123">
        <v>46619.0</v>
      </c>
      <c r="C3819" s="687" t="s">
        <v>16078</v>
      </c>
      <c r="D3819" s="125"/>
    </row>
    <row r="3820">
      <c r="A3820" s="122" t="s">
        <v>12858</v>
      </c>
      <c r="B3820" s="123">
        <v>1066605.0</v>
      </c>
      <c r="C3820" s="687" t="s">
        <v>12859</v>
      </c>
      <c r="D3820" s="125"/>
    </row>
    <row r="3821">
      <c r="A3821" s="122" t="s">
        <v>15594</v>
      </c>
      <c r="B3821" s="123">
        <v>916789.0</v>
      </c>
      <c r="C3821" s="687" t="s">
        <v>15595</v>
      </c>
      <c r="D3821" s="125"/>
    </row>
    <row r="3822">
      <c r="A3822" s="122" t="s">
        <v>4505</v>
      </c>
      <c r="B3822" s="123">
        <v>1840292.0</v>
      </c>
      <c r="C3822" s="687" t="s">
        <v>4506</v>
      </c>
      <c r="D3822" s="125"/>
    </row>
    <row r="3823">
      <c r="A3823" s="122" t="s">
        <v>13659</v>
      </c>
      <c r="B3823" s="123">
        <v>1024795.0</v>
      </c>
      <c r="C3823" s="687" t="s">
        <v>13660</v>
      </c>
      <c r="D3823" s="125"/>
    </row>
    <row r="3824">
      <c r="A3824" s="122" t="s">
        <v>7317</v>
      </c>
      <c r="B3824" s="123">
        <v>1610853.0</v>
      </c>
      <c r="C3824" s="687" t="s">
        <v>7318</v>
      </c>
      <c r="D3824" s="125"/>
    </row>
    <row r="3825">
      <c r="A3825" s="122" t="s">
        <v>2319</v>
      </c>
      <c r="B3825" s="123">
        <v>1093082.0</v>
      </c>
      <c r="C3825" s="687" t="s">
        <v>2320</v>
      </c>
      <c r="D3825" s="125"/>
    </row>
    <row r="3826">
      <c r="A3826" s="122" t="s">
        <v>8063</v>
      </c>
      <c r="B3826" s="123">
        <v>866829.0</v>
      </c>
      <c r="C3826" s="687" t="s">
        <v>8064</v>
      </c>
      <c r="D3826" s="125"/>
    </row>
    <row r="3827">
      <c r="A3827" s="122" t="s">
        <v>6900</v>
      </c>
      <c r="B3827" s="123">
        <v>1610601.0</v>
      </c>
      <c r="C3827" s="687" t="s">
        <v>6901</v>
      </c>
      <c r="D3827" s="125"/>
    </row>
    <row r="3828">
      <c r="A3828" s="122" t="s">
        <v>13448</v>
      </c>
      <c r="B3828" s="123">
        <v>46765.0</v>
      </c>
      <c r="C3828" s="687" t="s">
        <v>13449</v>
      </c>
      <c r="D3828" s="125"/>
    </row>
    <row r="3829">
      <c r="A3829" s="122" t="s">
        <v>12671</v>
      </c>
      <c r="B3829" s="123">
        <v>1915760.0</v>
      </c>
      <c r="C3829" s="687" t="s">
        <v>12672</v>
      </c>
      <c r="D3829" s="125"/>
    </row>
    <row r="3830">
      <c r="A3830" s="122" t="s">
        <v>5271</v>
      </c>
      <c r="B3830" s="123">
        <v>811250.0</v>
      </c>
      <c r="C3830" s="687" t="s">
        <v>5272</v>
      </c>
      <c r="D3830" s="125"/>
    </row>
    <row r="3831">
      <c r="A3831" s="122" t="s">
        <v>5363</v>
      </c>
      <c r="B3831" s="123">
        <v>811250.0</v>
      </c>
      <c r="C3831" s="687" t="s">
        <v>5364</v>
      </c>
      <c r="D3831" s="125"/>
    </row>
    <row r="3832">
      <c r="A3832" s="122" t="s">
        <v>12027</v>
      </c>
      <c r="B3832" s="123">
        <v>1145255.0</v>
      </c>
      <c r="C3832" s="687" t="s">
        <v>12028</v>
      </c>
      <c r="D3832" s="125"/>
    </row>
    <row r="3833">
      <c r="A3833" s="122" t="s">
        <v>7327</v>
      </c>
      <c r="B3833" s="123">
        <v>1145255.0</v>
      </c>
      <c r="C3833" s="687" t="s">
        <v>7328</v>
      </c>
      <c r="D3833" s="125"/>
    </row>
    <row r="3834">
      <c r="A3834" s="122" t="s">
        <v>1958</v>
      </c>
      <c r="B3834" s="123">
        <v>1842937.0</v>
      </c>
      <c r="C3834" s="687" t="s">
        <v>1959</v>
      </c>
      <c r="D3834" s="125"/>
    </row>
    <row r="3835">
      <c r="A3835" s="122" t="s">
        <v>8528</v>
      </c>
      <c r="B3835" s="123">
        <v>1842937.0</v>
      </c>
      <c r="C3835" s="687" t="s">
        <v>8529</v>
      </c>
      <c r="D3835" s="125"/>
    </row>
    <row r="3836">
      <c r="A3836" s="122" t="s">
        <v>8473</v>
      </c>
      <c r="B3836" s="123">
        <v>1842937.0</v>
      </c>
      <c r="C3836" s="687" t="s">
        <v>8474</v>
      </c>
      <c r="D3836" s="125"/>
    </row>
    <row r="3837">
      <c r="A3837" s="122" t="s">
        <v>14904</v>
      </c>
      <c r="B3837" s="123">
        <v>1000228.0</v>
      </c>
      <c r="C3837" s="687" t="s">
        <v>14905</v>
      </c>
      <c r="D3837" s="125"/>
    </row>
    <row r="3838">
      <c r="A3838" s="122" t="s">
        <v>4519</v>
      </c>
      <c r="B3838" s="123">
        <v>1583771.0</v>
      </c>
      <c r="C3838" s="687" t="s">
        <v>4520</v>
      </c>
      <c r="D3838" s="125"/>
    </row>
    <row r="3839">
      <c r="A3839" s="122" t="s">
        <v>9537</v>
      </c>
      <c r="B3839" s="123">
        <v>1180262.0</v>
      </c>
      <c r="C3839" s="687" t="s">
        <v>9538</v>
      </c>
      <c r="D3839" s="125"/>
    </row>
    <row r="3840">
      <c r="A3840" s="122" t="s">
        <v>15909</v>
      </c>
      <c r="B3840" s="123">
        <v>1364479.0</v>
      </c>
      <c r="C3840" s="687" t="s">
        <v>15910</v>
      </c>
      <c r="D3840" s="125"/>
    </row>
    <row r="3841">
      <c r="A3841" s="122" t="s">
        <v>10903</v>
      </c>
      <c r="B3841" s="123">
        <v>1280784.0</v>
      </c>
      <c r="C3841" s="687" t="s">
        <v>10904</v>
      </c>
      <c r="D3841" s="125"/>
    </row>
    <row r="3842">
      <c r="A3842" s="122" t="s">
        <v>7840</v>
      </c>
      <c r="B3842" s="123">
        <v>1053352.0</v>
      </c>
      <c r="C3842" s="687" t="s">
        <v>7841</v>
      </c>
      <c r="D3842" s="125"/>
    </row>
    <row r="3843">
      <c r="A3843" s="122" t="s">
        <v>11230</v>
      </c>
      <c r="B3843" s="123">
        <v>1046025.0</v>
      </c>
      <c r="C3843" s="687" t="s">
        <v>11231</v>
      </c>
      <c r="D3843" s="125"/>
    </row>
    <row r="3844">
      <c r="A3844" s="122" t="s">
        <v>5433</v>
      </c>
      <c r="B3844" s="123">
        <v>849145.0</v>
      </c>
      <c r="C3844" s="687" t="s">
        <v>5434</v>
      </c>
      <c r="D3844" s="125"/>
    </row>
    <row r="3845">
      <c r="A3845" s="122" t="s">
        <v>6953</v>
      </c>
      <c r="B3845" s="123">
        <v>1598665.0</v>
      </c>
      <c r="C3845" s="687" t="s">
        <v>6954</v>
      </c>
      <c r="D3845" s="125"/>
    </row>
    <row r="3846">
      <c r="A3846" s="122" t="s">
        <v>14464</v>
      </c>
      <c r="B3846" s="123">
        <v>1871667.0</v>
      </c>
      <c r="C3846" s="687" t="s">
        <v>14465</v>
      </c>
      <c r="D3846" s="125"/>
    </row>
    <row r="3847">
      <c r="A3847" s="122" t="s">
        <v>647</v>
      </c>
      <c r="B3847" s="123">
        <v>1324736.0</v>
      </c>
      <c r="C3847" s="687" t="s">
        <v>648</v>
      </c>
      <c r="D3847" s="125"/>
    </row>
    <row r="3848">
      <c r="A3848" s="122" t="s">
        <v>5121</v>
      </c>
      <c r="B3848" s="123">
        <v>818033.0</v>
      </c>
      <c r="C3848" s="687" t="s">
        <v>5122</v>
      </c>
      <c r="D3848" s="125"/>
    </row>
    <row r="3849">
      <c r="A3849" s="122" t="s">
        <v>16147</v>
      </c>
      <c r="B3849" s="123">
        <v>47111.0</v>
      </c>
      <c r="C3849" s="687" t="s">
        <v>16148</v>
      </c>
      <c r="D3849" s="125"/>
    </row>
    <row r="3850">
      <c r="A3850" s="122" t="s">
        <v>7898</v>
      </c>
      <c r="B3850" s="123">
        <v>1657853.0</v>
      </c>
      <c r="C3850" s="687" t="s">
        <v>7899</v>
      </c>
      <c r="D3850" s="125"/>
    </row>
    <row r="3851">
      <c r="A3851" s="122" t="s">
        <v>6643</v>
      </c>
      <c r="B3851" s="123">
        <v>1657853.0</v>
      </c>
      <c r="C3851" s="687" t="s">
        <v>6644</v>
      </c>
      <c r="D3851" s="125"/>
    </row>
    <row r="3852">
      <c r="A3852" s="122" t="s">
        <v>5318</v>
      </c>
      <c r="B3852" s="123">
        <v>880406.0</v>
      </c>
      <c r="C3852" s="687" t="s">
        <v>5319</v>
      </c>
      <c r="D3852" s="125"/>
    </row>
    <row r="3853">
      <c r="A3853" s="122" t="s">
        <v>15861</v>
      </c>
      <c r="B3853" s="123">
        <v>4447.0</v>
      </c>
      <c r="C3853" s="687" t="s">
        <v>15862</v>
      </c>
      <c r="D3853" s="125"/>
    </row>
    <row r="3854">
      <c r="A3854" s="122" t="s">
        <v>13165</v>
      </c>
      <c r="B3854" s="123">
        <v>1789832.0</v>
      </c>
      <c r="C3854" s="687" t="s">
        <v>13166</v>
      </c>
      <c r="D3854" s="125"/>
    </row>
    <row r="3855">
      <c r="A3855" s="122" t="s">
        <v>2594</v>
      </c>
      <c r="B3855" s="123">
        <v>1813603.0</v>
      </c>
      <c r="C3855" s="687" t="s">
        <v>2595</v>
      </c>
      <c r="D3855" s="125"/>
    </row>
    <row r="3856">
      <c r="A3856" s="122" t="s">
        <v>10520</v>
      </c>
      <c r="B3856" s="123">
        <v>1645590.0</v>
      </c>
      <c r="C3856" s="687" t="s">
        <v>10521</v>
      </c>
      <c r="D3856" s="125"/>
    </row>
    <row r="3857">
      <c r="A3857" s="122" t="s">
        <v>14750</v>
      </c>
      <c r="B3857" s="123">
        <v>717605.0</v>
      </c>
      <c r="C3857" s="687" t="s">
        <v>14751</v>
      </c>
      <c r="D3857" s="125"/>
    </row>
    <row r="3858">
      <c r="A3858" s="122" t="s">
        <v>6382</v>
      </c>
      <c r="B3858" s="123">
        <v>1680873.0</v>
      </c>
      <c r="C3858" s="687" t="s">
        <v>6383</v>
      </c>
      <c r="D3858" s="125"/>
    </row>
    <row r="3859">
      <c r="A3859" s="122" t="s">
        <v>14323</v>
      </c>
      <c r="B3859" s="123">
        <v>1915657.0</v>
      </c>
      <c r="C3859" s="687" t="s">
        <v>14324</v>
      </c>
      <c r="D3859" s="125"/>
    </row>
    <row r="3860">
      <c r="A3860" s="122" t="s">
        <v>2997</v>
      </c>
      <c r="B3860" s="123">
        <v>1144546.0</v>
      </c>
      <c r="C3860" s="687" t="s">
        <v>2998</v>
      </c>
      <c r="D3860" s="125"/>
    </row>
    <row r="3861">
      <c r="A3861" s="122" t="s">
        <v>6896</v>
      </c>
      <c r="B3861" s="123">
        <v>797465.0</v>
      </c>
      <c r="C3861" s="687" t="s">
        <v>6897</v>
      </c>
      <c r="D3861" s="125"/>
    </row>
    <row r="3862">
      <c r="A3862" s="122" t="s">
        <v>8825</v>
      </c>
      <c r="B3862" s="123">
        <v>1824185.0</v>
      </c>
      <c r="C3862" s="687" t="s">
        <v>8826</v>
      </c>
      <c r="D3862" s="125"/>
    </row>
    <row r="3863">
      <c r="A3863" s="122" t="s">
        <v>972</v>
      </c>
      <c r="B3863" s="123">
        <v>1822886.0</v>
      </c>
      <c r="C3863" s="687" t="s">
        <v>973</v>
      </c>
      <c r="D3863" s="125"/>
    </row>
    <row r="3864">
      <c r="A3864" s="122" t="s">
        <v>9179</v>
      </c>
      <c r="B3864" s="123">
        <v>1822886.0</v>
      </c>
      <c r="C3864" s="687" t="s">
        <v>9180</v>
      </c>
      <c r="D3864" s="125"/>
    </row>
    <row r="3865">
      <c r="A3865" s="122" t="s">
        <v>9327</v>
      </c>
      <c r="B3865" s="123">
        <v>1822886.0</v>
      </c>
      <c r="C3865" s="687" t="s">
        <v>9328</v>
      </c>
      <c r="D3865" s="125"/>
    </row>
    <row r="3866">
      <c r="A3866" s="122" t="s">
        <v>1024</v>
      </c>
      <c r="B3866" s="123">
        <v>1807616.0</v>
      </c>
      <c r="C3866" s="687" t="s">
        <v>1025</v>
      </c>
      <c r="D3866" s="125"/>
    </row>
    <row r="3867">
      <c r="A3867" s="122" t="s">
        <v>14758</v>
      </c>
      <c r="B3867" s="123">
        <v>1017480.0</v>
      </c>
      <c r="C3867" s="687" t="s">
        <v>14759</v>
      </c>
      <c r="D3867" s="125"/>
    </row>
    <row r="3868">
      <c r="A3868" s="122" t="s">
        <v>7182</v>
      </c>
      <c r="B3868" s="123">
        <v>810943.0</v>
      </c>
      <c r="C3868" s="687" t="s">
        <v>7183</v>
      </c>
      <c r="D3868" s="125"/>
    </row>
    <row r="3869">
      <c r="A3869" s="122" t="s">
        <v>3951</v>
      </c>
      <c r="B3869" s="123">
        <v>1365388.0</v>
      </c>
      <c r="C3869" s="687" t="s">
        <v>3952</v>
      </c>
      <c r="D3869" s="125"/>
    </row>
    <row r="3870">
      <c r="A3870" s="122" t="s">
        <v>4657</v>
      </c>
      <c r="B3870" s="123">
        <v>1847409.0</v>
      </c>
      <c r="C3870" s="687" t="s">
        <v>4658</v>
      </c>
      <c r="D3870" s="125"/>
    </row>
    <row r="3871">
      <c r="A3871" s="122" t="s">
        <v>1697</v>
      </c>
      <c r="B3871" s="123">
        <v>1413891.0</v>
      </c>
      <c r="C3871" s="687" t="s">
        <v>1698</v>
      </c>
      <c r="D3871" s="125"/>
    </row>
    <row r="3872">
      <c r="A3872" s="122" t="s">
        <v>1043</v>
      </c>
      <c r="B3872" s="123">
        <v>1405663.0</v>
      </c>
      <c r="C3872" s="687" t="s">
        <v>1044</v>
      </c>
      <c r="D3872" s="125"/>
    </row>
    <row r="3873">
      <c r="A3873" s="122" t="s">
        <v>7751</v>
      </c>
      <c r="B3873" s="123">
        <v>1622148.0</v>
      </c>
      <c r="C3873" s="687" t="s">
        <v>7752</v>
      </c>
      <c r="D3873" s="125"/>
    </row>
    <row r="3874">
      <c r="A3874" s="122" t="s">
        <v>7313</v>
      </c>
      <c r="B3874" s="123">
        <v>1710680.0</v>
      </c>
      <c r="C3874" s="687" t="s">
        <v>7314</v>
      </c>
      <c r="D3874" s="125"/>
    </row>
    <row r="3875">
      <c r="A3875" s="122" t="s">
        <v>7673</v>
      </c>
      <c r="B3875" s="123">
        <v>1792849.0</v>
      </c>
      <c r="C3875" s="687" t="s">
        <v>7674</v>
      </c>
      <c r="D3875" s="125"/>
    </row>
    <row r="3876">
      <c r="A3876" s="122" t="s">
        <v>16796</v>
      </c>
      <c r="B3876" s="123">
        <v>1371451.0</v>
      </c>
      <c r="C3876" s="687" t="s">
        <v>16797</v>
      </c>
      <c r="D3876" s="125"/>
    </row>
    <row r="3877">
      <c r="A3877" s="122" t="s">
        <v>4898</v>
      </c>
      <c r="B3877" s="123">
        <v>1026785.0</v>
      </c>
      <c r="C3877" s="687" t="s">
        <v>4899</v>
      </c>
      <c r="D3877" s="125"/>
    </row>
    <row r="3878">
      <c r="A3878" s="122" t="s">
        <v>11794</v>
      </c>
      <c r="B3878" s="123">
        <v>921082.0</v>
      </c>
      <c r="C3878" s="687" t="s">
        <v>11795</v>
      </c>
      <c r="D3878" s="125"/>
    </row>
    <row r="3879">
      <c r="A3879" s="122" t="s">
        <v>16730</v>
      </c>
      <c r="B3879" s="123">
        <v>1861657.0</v>
      </c>
      <c r="C3879" s="687" t="s">
        <v>16731</v>
      </c>
      <c r="D3879" s="125"/>
    </row>
    <row r="3880">
      <c r="A3880" s="122" t="s">
        <v>2360</v>
      </c>
      <c r="B3880" s="123">
        <v>1418149.0</v>
      </c>
      <c r="C3880" s="687" t="s">
        <v>2361</v>
      </c>
      <c r="D3880" s="125"/>
    </row>
    <row r="3881">
      <c r="A3881" s="122" t="s">
        <v>13979</v>
      </c>
      <c r="B3881" s="123">
        <v>1417398.0</v>
      </c>
      <c r="C3881" s="687" t="s">
        <v>13980</v>
      </c>
      <c r="D3881" s="125"/>
    </row>
    <row r="3882">
      <c r="A3882" s="122" t="s">
        <v>10317</v>
      </c>
      <c r="B3882" s="123">
        <v>1888012.0</v>
      </c>
      <c r="C3882" s="687" t="s">
        <v>10318</v>
      </c>
      <c r="D3882" s="125"/>
    </row>
    <row r="3883">
      <c r="A3883" s="122" t="s">
        <v>7980</v>
      </c>
      <c r="B3883" s="123">
        <v>1822492.0</v>
      </c>
      <c r="C3883" s="687" t="s">
        <v>7981</v>
      </c>
      <c r="D3883" s="125"/>
    </row>
    <row r="3884">
      <c r="A3884" s="122" t="s">
        <v>14628</v>
      </c>
      <c r="B3884" s="123">
        <v>732417.0</v>
      </c>
      <c r="C3884" s="687" t="s">
        <v>14629</v>
      </c>
      <c r="D3884" s="125"/>
    </row>
    <row r="3885">
      <c r="A3885" s="122" t="s">
        <v>12880</v>
      </c>
      <c r="B3885" s="123">
        <v>1265131.0</v>
      </c>
      <c r="C3885" s="687" t="s">
        <v>12881</v>
      </c>
      <c r="D3885" s="125"/>
    </row>
    <row r="3886">
      <c r="A3886" s="122" t="s">
        <v>13693</v>
      </c>
      <c r="B3886" s="123">
        <v>1674168.0</v>
      </c>
      <c r="C3886" s="687" t="s">
        <v>13694</v>
      </c>
      <c r="D3886" s="125"/>
    </row>
    <row r="3887">
      <c r="A3887" s="122" t="s">
        <v>16139</v>
      </c>
      <c r="B3887" s="123">
        <v>1585689.0</v>
      </c>
      <c r="C3887" s="687" t="s">
        <v>16140</v>
      </c>
      <c r="D3887" s="125"/>
    </row>
    <row r="3888">
      <c r="A3888" s="122" t="s">
        <v>6876</v>
      </c>
      <c r="B3888" s="123">
        <v>1342338.0</v>
      </c>
      <c r="C3888" s="687" t="s">
        <v>6877</v>
      </c>
      <c r="D3888" s="125"/>
    </row>
    <row r="3889">
      <c r="A3889" s="122" t="s">
        <v>7958</v>
      </c>
      <c r="B3889" s="123">
        <v>1773751.0</v>
      </c>
      <c r="C3889" s="687" t="s">
        <v>7959</v>
      </c>
      <c r="D3889" s="125"/>
    </row>
    <row r="3890">
      <c r="A3890" s="122" t="s">
        <v>8046</v>
      </c>
      <c r="B3890" s="123">
        <v>1828105.0</v>
      </c>
      <c r="C3890" s="687" t="s">
        <v>8047</v>
      </c>
      <c r="D3890" s="125"/>
    </row>
    <row r="3891">
      <c r="A3891" s="122" t="s">
        <v>9879</v>
      </c>
      <c r="B3891" s="123">
        <v>1140102.0</v>
      </c>
      <c r="C3891" s="687" t="s">
        <v>9880</v>
      </c>
      <c r="D3891" s="125"/>
    </row>
    <row r="3892">
      <c r="A3892" s="122" t="s">
        <v>9782</v>
      </c>
      <c r="B3892" s="123">
        <v>1859285.0</v>
      </c>
      <c r="C3892" s="687" t="s">
        <v>9783</v>
      </c>
      <c r="D3892" s="125"/>
    </row>
    <row r="3893">
      <c r="A3893" s="122" t="s">
        <v>12420</v>
      </c>
      <c r="B3893" s="123">
        <v>1809353.0</v>
      </c>
      <c r="C3893" s="687" t="s">
        <v>12421</v>
      </c>
      <c r="D3893" s="125"/>
    </row>
    <row r="3894">
      <c r="A3894" s="122" t="s">
        <v>2671</v>
      </c>
      <c r="B3894" s="123">
        <v>1383701.0</v>
      </c>
      <c r="C3894" s="687" t="s">
        <v>2672</v>
      </c>
      <c r="D3894" s="125"/>
    </row>
    <row r="3895">
      <c r="A3895" s="122" t="s">
        <v>3261</v>
      </c>
      <c r="B3895" s="123">
        <v>1742341.0</v>
      </c>
      <c r="C3895" s="687" t="s">
        <v>3262</v>
      </c>
      <c r="D3895" s="125"/>
    </row>
    <row r="3896">
      <c r="A3896" s="122" t="s">
        <v>5607</v>
      </c>
      <c r="B3896" s="123">
        <v>1720424.0</v>
      </c>
      <c r="C3896" s="687" t="s">
        <v>5608</v>
      </c>
      <c r="D3896" s="125"/>
    </row>
    <row r="3897">
      <c r="A3897" s="122" t="s">
        <v>11819</v>
      </c>
      <c r="B3897" s="123">
        <v>921183.0</v>
      </c>
      <c r="C3897" s="687" t="s">
        <v>11820</v>
      </c>
      <c r="D3897" s="125"/>
    </row>
    <row r="3898">
      <c r="A3898" s="122" t="s">
        <v>13629</v>
      </c>
      <c r="B3898" s="123">
        <v>48287.0</v>
      </c>
      <c r="C3898" s="687" t="s">
        <v>13630</v>
      </c>
      <c r="D3898" s="125"/>
    </row>
    <row r="3899">
      <c r="A3899" s="122" t="s">
        <v>4840</v>
      </c>
      <c r="B3899" s="123">
        <v>1842556.0</v>
      </c>
      <c r="C3899" s="687" t="s">
        <v>4841</v>
      </c>
      <c r="D3899" s="125"/>
    </row>
    <row r="3900">
      <c r="A3900" s="122" t="s">
        <v>14913</v>
      </c>
      <c r="B3900" s="123">
        <v>948696.0</v>
      </c>
      <c r="C3900" s="687" t="s">
        <v>10462</v>
      </c>
      <c r="D3900" s="125"/>
    </row>
    <row r="3901">
      <c r="A3901" s="122" t="s">
        <v>10461</v>
      </c>
      <c r="B3901" s="123">
        <v>948696.0</v>
      </c>
      <c r="C3901" s="687" t="s">
        <v>10462</v>
      </c>
      <c r="D3901" s="125"/>
    </row>
    <row r="3902">
      <c r="A3902" s="122" t="s">
        <v>6494</v>
      </c>
      <c r="B3902" s="123">
        <v>1822928.0</v>
      </c>
      <c r="C3902" s="687" t="s">
        <v>6495</v>
      </c>
      <c r="D3902" s="125"/>
    </row>
    <row r="3903">
      <c r="A3903" s="122" t="s">
        <v>13479</v>
      </c>
      <c r="B3903" s="123">
        <v>1436425.0</v>
      </c>
      <c r="C3903" s="687" t="s">
        <v>13480</v>
      </c>
      <c r="D3903" s="125"/>
    </row>
    <row r="3904">
      <c r="A3904" s="122" t="s">
        <v>33790</v>
      </c>
      <c r="B3904" s="123">
        <v>1489588.0</v>
      </c>
      <c r="C3904" s="687" t="s">
        <v>33791</v>
      </c>
      <c r="D3904" s="125"/>
    </row>
    <row r="3905">
      <c r="A3905" s="122" t="s">
        <v>16481</v>
      </c>
      <c r="B3905" s="123">
        <v>354950.0</v>
      </c>
      <c r="C3905" s="687" t="s">
        <v>16482</v>
      </c>
      <c r="D3905" s="125"/>
    </row>
    <row r="3906">
      <c r="A3906" s="122" t="s">
        <v>10031</v>
      </c>
      <c r="B3906" s="123">
        <v>1500375.0</v>
      </c>
      <c r="C3906" s="687" t="s">
        <v>10032</v>
      </c>
      <c r="D3906" s="125"/>
    </row>
    <row r="3907">
      <c r="A3907" s="122" t="s">
        <v>16738</v>
      </c>
      <c r="B3907" s="123">
        <v>1287808.0</v>
      </c>
      <c r="C3907" s="687" t="s">
        <v>16739</v>
      </c>
      <c r="D3907" s="125"/>
    </row>
    <row r="3908">
      <c r="A3908" s="122" t="s">
        <v>9953</v>
      </c>
      <c r="B3908" s="123">
        <v>1518715.0</v>
      </c>
      <c r="C3908" s="687" t="s">
        <v>9954</v>
      </c>
      <c r="D3908" s="125"/>
    </row>
    <row r="3909">
      <c r="A3909" s="122" t="s">
        <v>12513</v>
      </c>
      <c r="B3909" s="123">
        <v>1538263.0</v>
      </c>
      <c r="C3909" s="687" t="s">
        <v>12514</v>
      </c>
      <c r="D3909" s="125"/>
    </row>
    <row r="3910">
      <c r="A3910" s="122" t="s">
        <v>3363</v>
      </c>
      <c r="B3910" s="123">
        <v>1661998.0</v>
      </c>
      <c r="C3910" s="687" t="s">
        <v>3364</v>
      </c>
      <c r="D3910" s="125"/>
    </row>
    <row r="3911">
      <c r="A3911" s="122" t="s">
        <v>13105</v>
      </c>
      <c r="B3911" s="123">
        <v>715153.0</v>
      </c>
      <c r="C3911" s="687" t="s">
        <v>9029</v>
      </c>
      <c r="D3911" s="125"/>
    </row>
    <row r="3912">
      <c r="A3912" s="122" t="s">
        <v>9028</v>
      </c>
      <c r="B3912" s="123">
        <v>715153.0</v>
      </c>
      <c r="C3912" s="687" t="s">
        <v>9029</v>
      </c>
      <c r="D3912" s="125"/>
    </row>
    <row r="3913">
      <c r="A3913" s="122" t="s">
        <v>5460</v>
      </c>
      <c r="B3913" s="123">
        <v>1530979.0</v>
      </c>
      <c r="C3913" s="687" t="s">
        <v>5461</v>
      </c>
      <c r="D3913" s="125"/>
    </row>
    <row r="3914">
      <c r="A3914" s="122" t="s">
        <v>16141</v>
      </c>
      <c r="B3914" s="123">
        <v>773840.0</v>
      </c>
      <c r="C3914" s="687" t="s">
        <v>16142</v>
      </c>
      <c r="D3914" s="125"/>
    </row>
    <row r="3915">
      <c r="A3915" s="122" t="s">
        <v>486</v>
      </c>
      <c r="B3915" s="123">
        <v>1324759.0</v>
      </c>
      <c r="C3915" s="687" t="s">
        <v>487</v>
      </c>
      <c r="D3915" s="125"/>
    </row>
    <row r="3916">
      <c r="A3916" s="122" t="s">
        <v>4831</v>
      </c>
      <c r="B3916" s="123">
        <v>1855557.0</v>
      </c>
      <c r="C3916" s="687" t="s">
        <v>4832</v>
      </c>
      <c r="D3916" s="125"/>
    </row>
    <row r="3917">
      <c r="A3917" s="122" t="s">
        <v>12037</v>
      </c>
      <c r="B3917" s="123">
        <v>1077688.0</v>
      </c>
      <c r="C3917" s="687" t="s">
        <v>12038</v>
      </c>
      <c r="D3917" s="125"/>
    </row>
    <row r="3918">
      <c r="A3918" s="122" t="s">
        <v>2659</v>
      </c>
      <c r="B3918" s="123">
        <v>1021435.0</v>
      </c>
      <c r="C3918" s="687" t="s">
        <v>2660</v>
      </c>
      <c r="D3918" s="125"/>
    </row>
    <row r="3919">
      <c r="A3919" s="122" t="s">
        <v>13334</v>
      </c>
      <c r="B3919" s="123">
        <v>850141.0</v>
      </c>
      <c r="C3919" s="687" t="s">
        <v>13335</v>
      </c>
      <c r="D3919" s="125"/>
    </row>
    <row r="3920">
      <c r="A3920" s="122" t="s">
        <v>9808</v>
      </c>
      <c r="B3920" s="123">
        <v>706129.0</v>
      </c>
      <c r="C3920" s="687" t="s">
        <v>9809</v>
      </c>
      <c r="D3920" s="125"/>
    </row>
    <row r="3921">
      <c r="A3921" s="122" t="s">
        <v>2933</v>
      </c>
      <c r="B3921" s="123">
        <v>1706588.0</v>
      </c>
      <c r="C3921" s="687" t="s">
        <v>2934</v>
      </c>
      <c r="D3921" s="125"/>
    </row>
    <row r="3922">
      <c r="A3922" s="122" t="s">
        <v>2087</v>
      </c>
      <c r="B3922" s="123">
        <v>1637655.0</v>
      </c>
      <c r="C3922" s="687" t="s">
        <v>2088</v>
      </c>
      <c r="D3922" s="125"/>
    </row>
    <row r="3923">
      <c r="A3923" s="122" t="s">
        <v>12166</v>
      </c>
      <c r="B3923" s="123">
        <v>1487428.0</v>
      </c>
      <c r="C3923" s="687" t="s">
        <v>12167</v>
      </c>
      <c r="D3923" s="125"/>
    </row>
    <row r="3924">
      <c r="A3924" s="122" t="s">
        <v>10001</v>
      </c>
      <c r="B3924" s="123">
        <v>1487428.0</v>
      </c>
      <c r="C3924" s="687" t="s">
        <v>10002</v>
      </c>
      <c r="D3924" s="125"/>
    </row>
    <row r="3925">
      <c r="A3925" s="122" t="s">
        <v>12087</v>
      </c>
      <c r="B3925" s="123">
        <v>1487428.0</v>
      </c>
      <c r="C3925" s="687" t="s">
        <v>12088</v>
      </c>
      <c r="D3925" s="125"/>
    </row>
    <row r="3926">
      <c r="A3926" s="122" t="s">
        <v>11309</v>
      </c>
      <c r="B3926" s="123">
        <v>1130889.0</v>
      </c>
      <c r="C3926" s="687" t="s">
        <v>11310</v>
      </c>
      <c r="D3926" s="125"/>
    </row>
    <row r="3927">
      <c r="A3927" s="122" t="s">
        <v>12684</v>
      </c>
      <c r="B3927" s="123">
        <v>1866411.0</v>
      </c>
      <c r="C3927" s="687" t="s">
        <v>12685</v>
      </c>
      <c r="D3927" s="125"/>
    </row>
    <row r="3928">
      <c r="A3928" s="122" t="s">
        <v>12842</v>
      </c>
      <c r="B3928" s="123">
        <v>48465.0</v>
      </c>
      <c r="C3928" s="687" t="s">
        <v>12843</v>
      </c>
      <c r="D3928" s="125"/>
    </row>
    <row r="3929">
      <c r="A3929" s="122" t="s">
        <v>11319</v>
      </c>
      <c r="B3929" s="123">
        <v>1070750.0</v>
      </c>
      <c r="C3929" s="687" t="s">
        <v>11320</v>
      </c>
      <c r="D3929" s="125"/>
    </row>
    <row r="3930">
      <c r="A3930" s="122" t="s">
        <v>4148</v>
      </c>
      <c r="B3930" s="123">
        <v>1711786.0</v>
      </c>
      <c r="C3930" s="687" t="s">
        <v>4149</v>
      </c>
      <c r="D3930" s="125"/>
    </row>
    <row r="3931">
      <c r="A3931" s="122" t="s">
        <v>15699</v>
      </c>
      <c r="B3931" s="123">
        <v>1302215.0</v>
      </c>
      <c r="C3931" s="687" t="s">
        <v>15700</v>
      </c>
      <c r="D3931" s="125"/>
    </row>
    <row r="3932">
      <c r="A3932" s="122" t="s">
        <v>33792</v>
      </c>
      <c r="B3932" s="123">
        <v>1819006.0</v>
      </c>
      <c r="C3932" s="687" t="s">
        <v>33793</v>
      </c>
      <c r="D3932" s="125"/>
    </row>
    <row r="3933">
      <c r="A3933" s="122" t="s">
        <v>4162</v>
      </c>
      <c r="B3933" s="123">
        <v>1874875.0</v>
      </c>
      <c r="C3933" s="687" t="s">
        <v>4163</v>
      </c>
      <c r="D3933" s="125"/>
    </row>
    <row r="3934">
      <c r="A3934" s="122" t="s">
        <v>4439</v>
      </c>
      <c r="B3934" s="123">
        <v>1156041.0</v>
      </c>
      <c r="C3934" s="687" t="s">
        <v>4440</v>
      </c>
      <c r="D3934" s="125"/>
    </row>
    <row r="3935">
      <c r="A3935" s="122" t="s">
        <v>11123</v>
      </c>
      <c r="B3935" s="123">
        <v>357294.0</v>
      </c>
      <c r="C3935" s="687" t="s">
        <v>11124</v>
      </c>
      <c r="D3935" s="125"/>
    </row>
    <row r="3936">
      <c r="A3936" s="122" t="s">
        <v>16032</v>
      </c>
      <c r="B3936" s="123">
        <v>357294.0</v>
      </c>
      <c r="C3936" s="687" t="s">
        <v>16033</v>
      </c>
      <c r="D3936" s="125"/>
    </row>
    <row r="3937">
      <c r="A3937" s="122" t="s">
        <v>16014</v>
      </c>
      <c r="B3937" s="123">
        <v>357294.0</v>
      </c>
      <c r="C3937" s="687" t="s">
        <v>16015</v>
      </c>
      <c r="D3937" s="125"/>
    </row>
    <row r="3938">
      <c r="A3938" s="122" t="s">
        <v>33794</v>
      </c>
      <c r="B3938" s="123">
        <v>1498828.0</v>
      </c>
      <c r="C3938" s="687" t="s">
        <v>33795</v>
      </c>
      <c r="D3938" s="125"/>
    </row>
    <row r="3939">
      <c r="A3939" s="122" t="s">
        <v>14364</v>
      </c>
      <c r="B3939" s="123">
        <v>4281.0</v>
      </c>
      <c r="C3939" s="687" t="s">
        <v>14365</v>
      </c>
      <c r="D3939" s="125"/>
    </row>
    <row r="3940">
      <c r="A3940" s="122" t="s">
        <v>12703</v>
      </c>
      <c r="B3940" s="123">
        <v>47217.0</v>
      </c>
      <c r="C3940" s="687" t="s">
        <v>12704</v>
      </c>
      <c r="D3940" s="125"/>
    </row>
    <row r="3941">
      <c r="A3941" s="122" t="s">
        <v>1992</v>
      </c>
      <c r="B3941" s="123">
        <v>1304730.0</v>
      </c>
      <c r="C3941" s="687" t="s">
        <v>1993</v>
      </c>
      <c r="D3941" s="125"/>
    </row>
    <row r="3942">
      <c r="A3942" s="122" t="s">
        <v>7516</v>
      </c>
      <c r="B3942" s="123">
        <v>1089113.0</v>
      </c>
      <c r="C3942" s="687" t="s">
        <v>7517</v>
      </c>
      <c r="D3942" s="125"/>
    </row>
    <row r="3943">
      <c r="A3943" s="122" t="s">
        <v>13531</v>
      </c>
      <c r="B3943" s="123">
        <v>1089113.0</v>
      </c>
      <c r="C3943" s="687" t="s">
        <v>7517</v>
      </c>
      <c r="D3943" s="125"/>
    </row>
    <row r="3944">
      <c r="A3944" s="122" t="s">
        <v>3047</v>
      </c>
      <c r="B3944" s="123">
        <v>797564.0</v>
      </c>
      <c r="C3944" s="687" t="s">
        <v>3048</v>
      </c>
      <c r="D3944" s="125"/>
    </row>
    <row r="3945">
      <c r="A3945" s="122" t="s">
        <v>5302</v>
      </c>
      <c r="B3945" s="123">
        <v>1791725.0</v>
      </c>
      <c r="C3945" s="687" t="s">
        <v>5303</v>
      </c>
      <c r="D3945" s="125"/>
    </row>
    <row r="3946">
      <c r="A3946" s="122" t="s">
        <v>1872</v>
      </c>
      <c r="B3946" s="123">
        <v>1593204.0</v>
      </c>
      <c r="C3946" s="687" t="s">
        <v>1873</v>
      </c>
      <c r="D3946" s="125"/>
    </row>
    <row r="3947">
      <c r="A3947" s="122" t="s">
        <v>3177</v>
      </c>
      <c r="B3947" s="123">
        <v>929058.0</v>
      </c>
      <c r="C3947" s="687" t="s">
        <v>3178</v>
      </c>
      <c r="D3947" s="125"/>
    </row>
    <row r="3948">
      <c r="A3948" s="122" t="s">
        <v>4573</v>
      </c>
      <c r="B3948" s="123">
        <v>1905660.0</v>
      </c>
      <c r="C3948" s="687" t="s">
        <v>4574</v>
      </c>
      <c r="D3948" s="125"/>
    </row>
    <row r="3949">
      <c r="A3949" s="122" t="s">
        <v>13802</v>
      </c>
      <c r="B3949" s="123">
        <v>940942.0</v>
      </c>
      <c r="C3949" s="687" t="s">
        <v>13803</v>
      </c>
      <c r="D3949" s="125"/>
    </row>
    <row r="3950">
      <c r="A3950" s="122" t="s">
        <v>16473</v>
      </c>
      <c r="B3950" s="123">
        <v>48898.0</v>
      </c>
      <c r="C3950" s="687" t="s">
        <v>16474</v>
      </c>
      <c r="D3950" s="125"/>
    </row>
    <row r="3951">
      <c r="A3951" s="122" t="s">
        <v>1499</v>
      </c>
      <c r="B3951" s="123">
        <v>1639068.0</v>
      </c>
      <c r="C3951" s="687" t="s">
        <v>1500</v>
      </c>
      <c r="D3951" s="125"/>
    </row>
    <row r="3952">
      <c r="A3952" s="122" t="s">
        <v>16637</v>
      </c>
      <c r="B3952" s="123">
        <v>1404655.0</v>
      </c>
      <c r="C3952" s="687" t="s">
        <v>16638</v>
      </c>
      <c r="D3952" s="125"/>
    </row>
    <row r="3953">
      <c r="A3953" s="122" t="s">
        <v>6821</v>
      </c>
      <c r="B3953" s="123">
        <v>1322422.0</v>
      </c>
      <c r="C3953" s="687" t="s">
        <v>6822</v>
      </c>
      <c r="D3953" s="125"/>
    </row>
    <row r="3954">
      <c r="A3954" s="122" t="s">
        <v>8668</v>
      </c>
      <c r="B3954" s="123">
        <v>1853047.0</v>
      </c>
      <c r="C3954" s="687" t="s">
        <v>8669</v>
      </c>
      <c r="D3954" s="125"/>
    </row>
    <row r="3955">
      <c r="A3955" s="122" t="s">
        <v>10297</v>
      </c>
      <c r="B3955" s="123">
        <v>1210708.0</v>
      </c>
      <c r="C3955" s="687" t="s">
        <v>10298</v>
      </c>
      <c r="D3955" s="125"/>
    </row>
    <row r="3956">
      <c r="A3956" s="122" t="s">
        <v>7671</v>
      </c>
      <c r="B3956" s="123">
        <v>1482512.0</v>
      </c>
      <c r="C3956" s="687" t="s">
        <v>7672</v>
      </c>
      <c r="D3956" s="125"/>
    </row>
    <row r="3957">
      <c r="A3957" s="122" t="s">
        <v>9869</v>
      </c>
      <c r="B3957" s="123">
        <v>925528.0</v>
      </c>
      <c r="C3957" s="687" t="s">
        <v>9870</v>
      </c>
      <c r="D3957" s="125"/>
    </row>
    <row r="3958">
      <c r="A3958" s="122" t="s">
        <v>3273</v>
      </c>
      <c r="B3958" s="123">
        <v>1778982.0</v>
      </c>
      <c r="C3958" s="687" t="s">
        <v>3274</v>
      </c>
      <c r="D3958" s="125"/>
    </row>
    <row r="3959">
      <c r="A3959" s="122" t="s">
        <v>5728</v>
      </c>
      <c r="B3959" s="123">
        <v>1818382.0</v>
      </c>
      <c r="C3959" s="687" t="s">
        <v>5729</v>
      </c>
      <c r="D3959" s="125"/>
    </row>
    <row r="3960">
      <c r="A3960" s="122" t="s">
        <v>16499</v>
      </c>
      <c r="B3960" s="123">
        <v>49071.0</v>
      </c>
      <c r="C3960" s="687" t="s">
        <v>16500</v>
      </c>
      <c r="D3960" s="125"/>
    </row>
    <row r="3961">
      <c r="A3961" s="122" t="s">
        <v>33796</v>
      </c>
      <c r="B3961" s="123">
        <v>1119190.0</v>
      </c>
      <c r="C3961" s="687" t="s">
        <v>33797</v>
      </c>
      <c r="D3961" s="125"/>
    </row>
    <row r="3962">
      <c r="A3962" s="122" t="s">
        <v>11294</v>
      </c>
      <c r="B3962" s="123">
        <v>49196.0</v>
      </c>
      <c r="C3962" s="687" t="s">
        <v>11295</v>
      </c>
      <c r="D3962" s="125"/>
    </row>
    <row r="3963">
      <c r="A3963" s="122" t="s">
        <v>11890</v>
      </c>
      <c r="B3963" s="123">
        <v>49196.0</v>
      </c>
      <c r="C3963" s="687" t="s">
        <v>11891</v>
      </c>
      <c r="D3963" s="125"/>
    </row>
    <row r="3964">
      <c r="A3964" s="122" t="s">
        <v>9774</v>
      </c>
      <c r="B3964" s="123">
        <v>49196.0</v>
      </c>
      <c r="C3964" s="687" t="s">
        <v>9775</v>
      </c>
      <c r="D3964" s="125"/>
    </row>
    <row r="3965">
      <c r="A3965" s="122" t="s">
        <v>16370</v>
      </c>
      <c r="B3965" s="123">
        <v>1501585.0</v>
      </c>
      <c r="C3965" s="687" t="s">
        <v>16371</v>
      </c>
      <c r="D3965" s="125"/>
    </row>
    <row r="3966">
      <c r="A3966" s="122" t="s">
        <v>12124</v>
      </c>
      <c r="B3966" s="123">
        <v>1307954.0</v>
      </c>
      <c r="C3966" s="687" t="s">
        <v>12125</v>
      </c>
      <c r="D3966" s="125"/>
    </row>
    <row r="3967">
      <c r="A3967" s="122" t="s">
        <v>12216</v>
      </c>
      <c r="B3967" s="123">
        <v>315374.0</v>
      </c>
      <c r="C3967" s="687" t="s">
        <v>12217</v>
      </c>
      <c r="D3967" s="125"/>
    </row>
    <row r="3968">
      <c r="A3968" s="122" t="s">
        <v>15435</v>
      </c>
      <c r="B3968" s="123">
        <v>1289848.0</v>
      </c>
      <c r="C3968" s="687" t="s">
        <v>15436</v>
      </c>
      <c r="D3968" s="125"/>
    </row>
    <row r="3969">
      <c r="A3969" s="122" t="s">
        <v>7440</v>
      </c>
      <c r="B3969" s="123">
        <v>1731805.0</v>
      </c>
      <c r="C3969" s="687" t="s">
        <v>7441</v>
      </c>
      <c r="D3969" s="125"/>
    </row>
    <row r="3970">
      <c r="A3970" s="122" t="s">
        <v>9721</v>
      </c>
      <c r="B3970" s="123">
        <v>1648257.0</v>
      </c>
      <c r="C3970" s="687" t="s">
        <v>5967</v>
      </c>
      <c r="D3970" s="125"/>
    </row>
    <row r="3971">
      <c r="A3971" s="122" t="s">
        <v>5966</v>
      </c>
      <c r="B3971" s="123">
        <v>1648257.0</v>
      </c>
      <c r="C3971" s="687" t="s">
        <v>5967</v>
      </c>
      <c r="D3971" s="125"/>
    </row>
    <row r="3972">
      <c r="A3972" s="122" t="s">
        <v>15736</v>
      </c>
      <c r="B3972" s="123">
        <v>1468174.0</v>
      </c>
      <c r="C3972" s="687" t="s">
        <v>15737</v>
      </c>
      <c r="D3972" s="125"/>
    </row>
    <row r="3973">
      <c r="A3973" s="122" t="s">
        <v>4833</v>
      </c>
      <c r="B3973" s="123">
        <v>1718405.0</v>
      </c>
      <c r="C3973" s="687" t="s">
        <v>957</v>
      </c>
      <c r="D3973" s="125"/>
    </row>
    <row r="3974">
      <c r="A3974" s="122" t="s">
        <v>1146</v>
      </c>
      <c r="B3974" s="123">
        <v>1718405.0</v>
      </c>
      <c r="C3974" s="687" t="s">
        <v>957</v>
      </c>
      <c r="D3974" s="125"/>
    </row>
    <row r="3975">
      <c r="A3975" s="122" t="s">
        <v>956</v>
      </c>
      <c r="B3975" s="123">
        <v>1718405.0</v>
      </c>
      <c r="C3975" s="687" t="s">
        <v>957</v>
      </c>
      <c r="D3975" s="125"/>
    </row>
    <row r="3976">
      <c r="A3976" s="122" t="s">
        <v>12765</v>
      </c>
      <c r="B3976" s="123">
        <v>1712356.0</v>
      </c>
      <c r="C3976" s="687" t="s">
        <v>12766</v>
      </c>
      <c r="D3976" s="125"/>
    </row>
    <row r="3977">
      <c r="A3977" s="122" t="s">
        <v>14224</v>
      </c>
      <c r="B3977" s="123">
        <v>1293310.0</v>
      </c>
      <c r="C3977" s="687" t="s">
        <v>14225</v>
      </c>
      <c r="D3977" s="125"/>
    </row>
    <row r="3978">
      <c r="A3978" s="122" t="s">
        <v>3905</v>
      </c>
      <c r="B3978" s="123">
        <v>1833769.0</v>
      </c>
      <c r="C3978" s="687" t="s">
        <v>3906</v>
      </c>
      <c r="D3978" s="125"/>
    </row>
    <row r="3979">
      <c r="A3979" s="122" t="s">
        <v>33798</v>
      </c>
      <c r="B3979" s="123">
        <v>1058828.0</v>
      </c>
      <c r="C3979" s="687" t="s">
        <v>33799</v>
      </c>
      <c r="D3979" s="125"/>
    </row>
    <row r="3980">
      <c r="A3980" s="122" t="s">
        <v>14717</v>
      </c>
      <c r="B3980" s="123">
        <v>1173514.0</v>
      </c>
      <c r="C3980" s="687" t="s">
        <v>14718</v>
      </c>
      <c r="D3980" s="125"/>
    </row>
    <row r="3981">
      <c r="A3981" s="122" t="s">
        <v>3899</v>
      </c>
      <c r="B3981" s="123">
        <v>1785680.0</v>
      </c>
      <c r="C3981" s="687" t="s">
        <v>3900</v>
      </c>
      <c r="D3981" s="125"/>
    </row>
    <row r="3982">
      <c r="A3982" s="122" t="s">
        <v>1337</v>
      </c>
      <c r="B3982" s="123">
        <v>1716583.0</v>
      </c>
      <c r="C3982" s="687" t="s">
        <v>1338</v>
      </c>
      <c r="D3982" s="125"/>
    </row>
    <row r="3983">
      <c r="A3983" s="122" t="s">
        <v>3464</v>
      </c>
      <c r="B3983" s="123">
        <v>1716583.0</v>
      </c>
      <c r="C3983" s="687" t="s">
        <v>3465</v>
      </c>
      <c r="D3983" s="125"/>
    </row>
    <row r="3984">
      <c r="A3984" s="122" t="s">
        <v>4463</v>
      </c>
      <c r="B3984" s="123">
        <v>1853962.0</v>
      </c>
      <c r="C3984" s="687" t="s">
        <v>4464</v>
      </c>
      <c r="D3984" s="125"/>
    </row>
    <row r="3985">
      <c r="A3985" s="122" t="s">
        <v>4681</v>
      </c>
      <c r="B3985" s="123">
        <v>1778016.0</v>
      </c>
      <c r="C3985" s="687" t="s">
        <v>4682</v>
      </c>
      <c r="D3985" s="125"/>
    </row>
    <row r="3986">
      <c r="A3986" s="122" t="s">
        <v>2474</v>
      </c>
      <c r="B3986" s="123">
        <v>1580490.0</v>
      </c>
      <c r="C3986" s="687" t="s">
        <v>2475</v>
      </c>
      <c r="D3986" s="125"/>
    </row>
    <row r="3987">
      <c r="A3987" s="122" t="s">
        <v>11261</v>
      </c>
      <c r="B3987" s="123">
        <v>1728688.0</v>
      </c>
      <c r="C3987" s="687" t="s">
        <v>11262</v>
      </c>
      <c r="D3987" s="125"/>
    </row>
    <row r="3988">
      <c r="A3988" s="122" t="s">
        <v>14134</v>
      </c>
      <c r="B3988" s="123">
        <v>1800227.0</v>
      </c>
      <c r="C3988" s="687" t="s">
        <v>14135</v>
      </c>
      <c r="D3988" s="125"/>
    </row>
    <row r="3989">
      <c r="A3989" s="122" t="s">
        <v>16719</v>
      </c>
      <c r="B3989" s="123">
        <v>1592016.0</v>
      </c>
      <c r="C3989" s="687" t="s">
        <v>16720</v>
      </c>
      <c r="D3989" s="125"/>
    </row>
    <row r="3990">
      <c r="A3990" s="122" t="s">
        <v>5171</v>
      </c>
      <c r="B3990" s="123">
        <v>1203464.0</v>
      </c>
      <c r="C3990" s="687" t="s">
        <v>5172</v>
      </c>
      <c r="D3990" s="125"/>
    </row>
    <row r="3991">
      <c r="A3991" s="122" t="s">
        <v>1014</v>
      </c>
      <c r="B3991" s="123">
        <v>1643154.0</v>
      </c>
      <c r="C3991" s="687" t="s">
        <v>1015</v>
      </c>
      <c r="D3991" s="125"/>
    </row>
    <row r="3992">
      <c r="A3992" s="122" t="s">
        <v>1104</v>
      </c>
      <c r="B3992" s="123">
        <v>1450894.0</v>
      </c>
      <c r="C3992" s="687" t="s">
        <v>1105</v>
      </c>
      <c r="D3992" s="125"/>
    </row>
    <row r="3993">
      <c r="A3993" s="122" t="s">
        <v>10979</v>
      </c>
      <c r="B3993" s="123">
        <v>1720420.0</v>
      </c>
      <c r="C3993" s="687" t="s">
        <v>10980</v>
      </c>
      <c r="D3993" s="125"/>
    </row>
    <row r="3994">
      <c r="A3994" s="122" t="s">
        <v>3943</v>
      </c>
      <c r="B3994" s="123">
        <v>1420720.0</v>
      </c>
      <c r="C3994" s="687" t="s">
        <v>3944</v>
      </c>
      <c r="D3994" s="125"/>
    </row>
    <row r="3995">
      <c r="A3995" s="122" t="s">
        <v>16087</v>
      </c>
      <c r="B3995" s="123">
        <v>51143.0</v>
      </c>
      <c r="C3995" s="687" t="s">
        <v>16088</v>
      </c>
      <c r="D3995" s="125"/>
    </row>
    <row r="3996">
      <c r="A3996" s="122" t="s">
        <v>4267</v>
      </c>
      <c r="B3996" s="123">
        <v>749660.0</v>
      </c>
      <c r="C3996" s="687" t="s">
        <v>4268</v>
      </c>
      <c r="D3996" s="125"/>
    </row>
    <row r="3997">
      <c r="A3997" s="122" t="s">
        <v>11114</v>
      </c>
      <c r="B3997" s="123">
        <v>813762.0</v>
      </c>
      <c r="C3997" s="687" t="s">
        <v>11115</v>
      </c>
      <c r="D3997" s="125"/>
    </row>
    <row r="3998">
      <c r="A3998" s="122" t="s">
        <v>10584</v>
      </c>
      <c r="B3998" s="123">
        <v>1681903.0</v>
      </c>
      <c r="C3998" s="687" t="s">
        <v>10585</v>
      </c>
      <c r="D3998" s="125"/>
    </row>
    <row r="3999">
      <c r="A3999" s="122" t="s">
        <v>4237</v>
      </c>
      <c r="B3999" s="123">
        <v>1584371.0</v>
      </c>
      <c r="C3999" s="687" t="s">
        <v>4238</v>
      </c>
      <c r="D3999" s="125"/>
    </row>
    <row r="4000">
      <c r="A4000" s="122" t="s">
        <v>15812</v>
      </c>
      <c r="B4000" s="123">
        <v>1362004.0</v>
      </c>
      <c r="C4000" s="687" t="s">
        <v>15813</v>
      </c>
      <c r="D4000" s="125"/>
    </row>
    <row r="4001">
      <c r="A4001" s="122" t="s">
        <v>13442</v>
      </c>
      <c r="B4001" s="123">
        <v>1652535.0</v>
      </c>
      <c r="C4001" s="687" t="s">
        <v>13443</v>
      </c>
      <c r="D4001" s="125"/>
    </row>
    <row r="4002">
      <c r="A4002" s="122" t="s">
        <v>12206</v>
      </c>
      <c r="B4002" s="123">
        <v>1103838.0</v>
      </c>
      <c r="C4002" s="687" t="s">
        <v>12207</v>
      </c>
      <c r="D4002" s="125"/>
    </row>
    <row r="4003">
      <c r="A4003" s="122" t="s">
        <v>6362</v>
      </c>
      <c r="B4003" s="123">
        <v>941221.0</v>
      </c>
      <c r="C4003" s="687" t="s">
        <v>6363</v>
      </c>
      <c r="D4003" s="125"/>
    </row>
    <row r="4004">
      <c r="A4004" s="122" t="s">
        <v>5970</v>
      </c>
      <c r="B4004" s="123">
        <v>1697818.0</v>
      </c>
      <c r="C4004" s="687" t="s">
        <v>5971</v>
      </c>
      <c r="D4004" s="125"/>
    </row>
    <row r="4005">
      <c r="A4005" s="122" t="s">
        <v>16357</v>
      </c>
      <c r="B4005" s="123">
        <v>1060955.0</v>
      </c>
      <c r="C4005" s="687" t="s">
        <v>16358</v>
      </c>
      <c r="D4005" s="125"/>
    </row>
    <row r="4006">
      <c r="A4006" s="122" t="s">
        <v>33800</v>
      </c>
      <c r="B4006" s="123">
        <v>1350073.0</v>
      </c>
      <c r="C4006" s="687" t="s">
        <v>33801</v>
      </c>
      <c r="D4006" s="125"/>
    </row>
    <row r="4007">
      <c r="A4007" s="122" t="s">
        <v>1359</v>
      </c>
      <c r="B4007" s="123">
        <v>1652350.0</v>
      </c>
      <c r="C4007" s="687" t="s">
        <v>1360</v>
      </c>
      <c r="D4007" s="125"/>
    </row>
    <row r="4008">
      <c r="A4008" s="122" t="s">
        <v>4667</v>
      </c>
      <c r="B4008" s="123">
        <v>1408057.0</v>
      </c>
      <c r="C4008" s="687" t="s">
        <v>4668</v>
      </c>
      <c r="D4008" s="125"/>
    </row>
    <row r="4009">
      <c r="A4009" s="122" t="s">
        <v>10479</v>
      </c>
      <c r="B4009" s="123">
        <v>1786255.0</v>
      </c>
      <c r="C4009" s="687" t="s">
        <v>10480</v>
      </c>
      <c r="D4009" s="125"/>
    </row>
    <row r="4010">
      <c r="A4010" s="122" t="s">
        <v>15234</v>
      </c>
      <c r="B4010" s="123">
        <v>883984.0</v>
      </c>
      <c r="C4010" s="687" t="s">
        <v>15235</v>
      </c>
      <c r="D4010" s="125"/>
    </row>
    <row r="4011">
      <c r="A4011" s="122" t="s">
        <v>15250</v>
      </c>
      <c r="B4011" s="123">
        <v>1057877.0</v>
      </c>
      <c r="C4011" s="687" t="s">
        <v>15251</v>
      </c>
      <c r="D4011" s="125"/>
    </row>
    <row r="4012">
      <c r="A4012" s="122" t="s">
        <v>7147</v>
      </c>
      <c r="B4012" s="123">
        <v>1030192.0</v>
      </c>
      <c r="C4012" s="687" t="s">
        <v>7148</v>
      </c>
      <c r="D4012" s="125"/>
    </row>
    <row r="4013">
      <c r="A4013" s="122" t="s">
        <v>7509</v>
      </c>
      <c r="B4013" s="123">
        <v>1507957.0</v>
      </c>
      <c r="C4013" s="687" t="s">
        <v>7510</v>
      </c>
      <c r="D4013" s="125"/>
    </row>
    <row r="4014">
      <c r="A4014" s="122" t="s">
        <v>3710</v>
      </c>
      <c r="B4014" s="123">
        <v>837852.0</v>
      </c>
      <c r="C4014" s="687" t="s">
        <v>3711</v>
      </c>
      <c r="D4014" s="125"/>
    </row>
    <row r="4015">
      <c r="A4015" s="122" t="s">
        <v>13800</v>
      </c>
      <c r="B4015" s="123">
        <v>1676725.0</v>
      </c>
      <c r="C4015" s="687" t="s">
        <v>13801</v>
      </c>
      <c r="D4015" s="125"/>
    </row>
    <row r="4016">
      <c r="A4016" s="122" t="s">
        <v>559</v>
      </c>
      <c r="B4016" s="123">
        <v>1698113.0</v>
      </c>
      <c r="C4016" s="687" t="s">
        <v>560</v>
      </c>
      <c r="D4016" s="125"/>
    </row>
    <row r="4017">
      <c r="A4017" s="122" t="s">
        <v>7569</v>
      </c>
      <c r="B4017" s="123">
        <v>1036044.0</v>
      </c>
      <c r="C4017" s="687" t="s">
        <v>7570</v>
      </c>
      <c r="D4017" s="125"/>
    </row>
    <row r="4018">
      <c r="A4018" s="122" t="s">
        <v>16227</v>
      </c>
      <c r="B4018" s="123">
        <v>832101.0</v>
      </c>
      <c r="C4018" s="687" t="s">
        <v>16228</v>
      </c>
      <c r="D4018" s="125"/>
    </row>
    <row r="4019">
      <c r="A4019" s="122" t="s">
        <v>16615</v>
      </c>
      <c r="B4019" s="123">
        <v>874716.0</v>
      </c>
      <c r="C4019" s="687" t="s">
        <v>16616</v>
      </c>
      <c r="D4019" s="125"/>
    </row>
    <row r="4020">
      <c r="A4020" s="122" t="s">
        <v>33802</v>
      </c>
      <c r="B4020" s="123">
        <v>1697587.0</v>
      </c>
      <c r="C4020" s="687" t="s">
        <v>33803</v>
      </c>
      <c r="D4020" s="125"/>
    </row>
    <row r="4021">
      <c r="A4021" s="122" t="s">
        <v>13289</v>
      </c>
      <c r="B4021" s="123">
        <v>1005731.0</v>
      </c>
      <c r="C4021" s="687" t="s">
        <v>13290</v>
      </c>
      <c r="D4021" s="125"/>
    </row>
    <row r="4022">
      <c r="A4022" s="122" t="s">
        <v>7333</v>
      </c>
      <c r="B4022" s="123">
        <v>50292.0</v>
      </c>
      <c r="C4022" s="687" t="s">
        <v>7334</v>
      </c>
      <c r="D4022" s="125"/>
    </row>
    <row r="4023">
      <c r="A4023" s="122" t="s">
        <v>15134</v>
      </c>
      <c r="B4023" s="123">
        <v>1048268.0</v>
      </c>
      <c r="C4023" s="687" t="s">
        <v>15135</v>
      </c>
      <c r="D4023" s="125"/>
    </row>
    <row r="4024">
      <c r="A4024" s="122" t="s">
        <v>33804</v>
      </c>
      <c r="B4024" s="123">
        <v>1681941.0</v>
      </c>
      <c r="C4024" s="687" t="s">
        <v>33805</v>
      </c>
      <c r="D4024" s="125"/>
    </row>
    <row r="4025">
      <c r="A4025" s="122" t="s">
        <v>2548</v>
      </c>
      <c r="B4025" s="123">
        <v>1326205.0</v>
      </c>
      <c r="C4025" s="687" t="s">
        <v>2549</v>
      </c>
      <c r="D4025" s="125"/>
    </row>
    <row r="4026">
      <c r="A4026" s="122" t="s">
        <v>33806</v>
      </c>
      <c r="B4026" s="123">
        <v>1393540.0</v>
      </c>
      <c r="C4026" s="687" t="s">
        <v>33807</v>
      </c>
      <c r="D4026" s="125"/>
    </row>
    <row r="4027">
      <c r="A4027" s="122" t="s">
        <v>9411</v>
      </c>
      <c r="B4027" s="123">
        <v>1496323.0</v>
      </c>
      <c r="C4027" s="687" t="s">
        <v>9412</v>
      </c>
      <c r="D4027" s="125"/>
    </row>
    <row r="4028">
      <c r="A4028" s="122" t="s">
        <v>5462</v>
      </c>
      <c r="B4028" s="123">
        <v>1400891.0</v>
      </c>
      <c r="C4028" s="687" t="s">
        <v>5463</v>
      </c>
      <c r="D4028" s="125"/>
    </row>
    <row r="4029">
      <c r="A4029" s="122" t="s">
        <v>4963</v>
      </c>
      <c r="B4029" s="123">
        <v>1400891.0</v>
      </c>
      <c r="C4029" s="687" t="s">
        <v>4964</v>
      </c>
      <c r="D4029" s="125"/>
    </row>
    <row r="4030">
      <c r="A4030" s="122" t="s">
        <v>5582</v>
      </c>
      <c r="B4030" s="123">
        <v>1876183.0</v>
      </c>
      <c r="C4030" s="687" t="s">
        <v>5583</v>
      </c>
      <c r="D4030" s="125"/>
    </row>
    <row r="4031">
      <c r="A4031" s="122" t="s">
        <v>5009</v>
      </c>
      <c r="B4031" s="123">
        <v>1814423.0</v>
      </c>
      <c r="C4031" s="687" t="s">
        <v>5010</v>
      </c>
      <c r="D4031" s="125"/>
    </row>
    <row r="4032">
      <c r="A4032" s="122" t="s">
        <v>33808</v>
      </c>
      <c r="B4032" s="123">
        <v>1290658.0</v>
      </c>
      <c r="C4032" s="687" t="s">
        <v>33809</v>
      </c>
      <c r="D4032" s="125"/>
    </row>
    <row r="4033">
      <c r="A4033" s="122" t="s">
        <v>9836</v>
      </c>
      <c r="B4033" s="123">
        <v>742112.0</v>
      </c>
      <c r="C4033" s="687" t="s">
        <v>9837</v>
      </c>
      <c r="D4033" s="125"/>
    </row>
    <row r="4034">
      <c r="A4034" s="122" t="s">
        <v>16347</v>
      </c>
      <c r="B4034" s="123">
        <v>49826.0</v>
      </c>
      <c r="C4034" s="687" t="s">
        <v>16348</v>
      </c>
      <c r="D4034" s="125"/>
    </row>
    <row r="4035">
      <c r="A4035" s="122" t="s">
        <v>15846</v>
      </c>
      <c r="B4035" s="123">
        <v>1110803.0</v>
      </c>
      <c r="C4035" s="687" t="s">
        <v>15847</v>
      </c>
      <c r="D4035" s="125"/>
    </row>
    <row r="4036">
      <c r="A4036" s="122" t="s">
        <v>2470</v>
      </c>
      <c r="B4036" s="123">
        <v>1792030.0</v>
      </c>
      <c r="C4036" s="687" t="s">
        <v>2471</v>
      </c>
      <c r="D4036" s="125"/>
    </row>
    <row r="4037">
      <c r="A4037" s="122" t="s">
        <v>4917</v>
      </c>
      <c r="B4037" s="123">
        <v>1729944.0</v>
      </c>
      <c r="C4037" s="687" t="s">
        <v>4918</v>
      </c>
      <c r="D4037" s="125"/>
    </row>
    <row r="4038">
      <c r="A4038" s="122" t="s">
        <v>33810</v>
      </c>
      <c r="B4038" s="123">
        <v>1729944.0</v>
      </c>
      <c r="C4038" s="687" t="s">
        <v>4918</v>
      </c>
      <c r="D4038" s="125"/>
    </row>
    <row r="4039">
      <c r="A4039" s="122" t="s">
        <v>33811</v>
      </c>
      <c r="B4039" s="123">
        <v>1598924.0</v>
      </c>
      <c r="C4039" s="687" t="s">
        <v>33812</v>
      </c>
      <c r="D4039" s="125"/>
    </row>
    <row r="4040">
      <c r="A4040" s="122" t="s">
        <v>4423</v>
      </c>
      <c r="B4040" s="123">
        <v>1837430.0</v>
      </c>
      <c r="C4040" s="687" t="s">
        <v>4424</v>
      </c>
      <c r="D4040" s="125"/>
    </row>
    <row r="4041">
      <c r="A4041" s="122" t="s">
        <v>33813</v>
      </c>
      <c r="B4041" s="123">
        <v>941685.0</v>
      </c>
      <c r="C4041" s="687" t="s">
        <v>33814</v>
      </c>
      <c r="D4041" s="125"/>
    </row>
    <row r="4042">
      <c r="A4042" s="122" t="s">
        <v>10133</v>
      </c>
      <c r="B4042" s="123">
        <v>921582.0</v>
      </c>
      <c r="C4042" s="687" t="s">
        <v>10134</v>
      </c>
      <c r="D4042" s="125"/>
    </row>
    <row r="4043">
      <c r="A4043" s="122" t="s">
        <v>5693</v>
      </c>
      <c r="B4043" s="123">
        <v>1809196.0</v>
      </c>
      <c r="C4043" s="687" t="s">
        <v>5694</v>
      </c>
      <c r="D4043" s="125"/>
    </row>
    <row r="4044">
      <c r="A4044" s="122" t="s">
        <v>9325</v>
      </c>
      <c r="B4044" s="123">
        <v>1809196.0</v>
      </c>
      <c r="C4044" s="687" t="s">
        <v>9326</v>
      </c>
      <c r="D4044" s="125"/>
    </row>
    <row r="4045">
      <c r="A4045" s="122" t="s">
        <v>7311</v>
      </c>
      <c r="B4045" s="123">
        <v>1058811.0</v>
      </c>
      <c r="C4045" s="687" t="s">
        <v>7312</v>
      </c>
      <c r="D4045" s="125"/>
    </row>
    <row r="4046">
      <c r="A4046" s="122" t="s">
        <v>5930</v>
      </c>
      <c r="B4046" s="123">
        <v>1873835.0</v>
      </c>
      <c r="C4046" s="687" t="s">
        <v>5931</v>
      </c>
      <c r="D4046" s="125"/>
    </row>
    <row r="4047">
      <c r="A4047" s="122" t="s">
        <v>6657</v>
      </c>
      <c r="B4047" s="123">
        <v>811641.0</v>
      </c>
      <c r="C4047" s="687" t="s">
        <v>6658</v>
      </c>
      <c r="D4047" s="125"/>
    </row>
    <row r="4048">
      <c r="A4048" s="122" t="s">
        <v>6846</v>
      </c>
      <c r="B4048" s="123">
        <v>1790340.0</v>
      </c>
      <c r="C4048" s="687" t="s">
        <v>6847</v>
      </c>
      <c r="D4048" s="125"/>
    </row>
    <row r="4049">
      <c r="A4049" s="122" t="s">
        <v>4090</v>
      </c>
      <c r="B4049" s="123">
        <v>1280776.0</v>
      </c>
      <c r="C4049" s="687" t="s">
        <v>4091</v>
      </c>
      <c r="D4049" s="125"/>
    </row>
    <row r="4050">
      <c r="A4050" s="122" t="s">
        <v>6154</v>
      </c>
      <c r="B4050" s="123">
        <v>1326110.0</v>
      </c>
      <c r="C4050" s="687" t="s">
        <v>6155</v>
      </c>
      <c r="D4050" s="125"/>
    </row>
    <row r="4051">
      <c r="A4051" s="122" t="s">
        <v>14856</v>
      </c>
      <c r="B4051" s="123">
        <v>1671927.0</v>
      </c>
      <c r="C4051" s="687" t="s">
        <v>14857</v>
      </c>
      <c r="D4051" s="125"/>
    </row>
    <row r="4052">
      <c r="A4052" s="122" t="s">
        <v>12748</v>
      </c>
      <c r="B4052" s="123">
        <v>855654.0</v>
      </c>
      <c r="C4052" s="687" t="s">
        <v>12749</v>
      </c>
      <c r="D4052" s="125"/>
    </row>
    <row r="4053">
      <c r="A4053" s="122" t="s">
        <v>10721</v>
      </c>
      <c r="B4053" s="123">
        <v>1472012.0</v>
      </c>
      <c r="C4053" s="687" t="s">
        <v>10722</v>
      </c>
      <c r="D4053" s="125"/>
    </row>
    <row r="4054">
      <c r="A4054" s="122" t="s">
        <v>4733</v>
      </c>
      <c r="B4054" s="123">
        <v>1715925.0</v>
      </c>
      <c r="C4054" s="687" t="s">
        <v>4734</v>
      </c>
      <c r="D4054" s="125"/>
    </row>
    <row r="4055">
      <c r="A4055" s="122" t="s">
        <v>13227</v>
      </c>
      <c r="B4055" s="123">
        <v>1764013.0</v>
      </c>
      <c r="C4055" s="687" t="s">
        <v>13228</v>
      </c>
      <c r="D4055" s="125"/>
    </row>
    <row r="4056">
      <c r="A4056" s="122" t="s">
        <v>4617</v>
      </c>
      <c r="B4056" s="123">
        <v>1660046.0</v>
      </c>
      <c r="C4056" s="687" t="s">
        <v>4618</v>
      </c>
      <c r="D4056" s="125"/>
    </row>
    <row r="4057">
      <c r="A4057" s="122" t="s">
        <v>4914</v>
      </c>
      <c r="B4057" s="123">
        <v>1506184.0</v>
      </c>
      <c r="C4057" s="687" t="s">
        <v>4915</v>
      </c>
      <c r="D4057" s="125"/>
    </row>
    <row r="4058">
      <c r="A4058" s="122" t="s">
        <v>14319</v>
      </c>
      <c r="B4058" s="123">
        <v>49938.0</v>
      </c>
      <c r="C4058" s="687" t="s">
        <v>14320</v>
      </c>
      <c r="D4058" s="125"/>
    </row>
    <row r="4059">
      <c r="A4059" s="122" t="s">
        <v>11650</v>
      </c>
      <c r="B4059" s="123">
        <v>1876581.0</v>
      </c>
      <c r="C4059" s="687" t="s">
        <v>11651</v>
      </c>
      <c r="D4059" s="125"/>
    </row>
    <row r="4060">
      <c r="A4060" s="122" t="s">
        <v>5559</v>
      </c>
      <c r="B4060" s="123">
        <v>1876581.0</v>
      </c>
      <c r="C4060" s="687" t="s">
        <v>5560</v>
      </c>
      <c r="D4060" s="125"/>
    </row>
    <row r="4061">
      <c r="A4061" s="122" t="s">
        <v>15401</v>
      </c>
      <c r="B4061" s="123">
        <v>1114995.0</v>
      </c>
      <c r="C4061" s="687" t="s">
        <v>15402</v>
      </c>
      <c r="D4061" s="125"/>
    </row>
    <row r="4062">
      <c r="A4062" s="122" t="s">
        <v>14371</v>
      </c>
      <c r="B4062" s="123">
        <v>1531048.0</v>
      </c>
      <c r="C4062" s="687" t="s">
        <v>14372</v>
      </c>
      <c r="D4062" s="125"/>
    </row>
    <row r="4063">
      <c r="A4063" s="122" t="s">
        <v>5670</v>
      </c>
      <c r="B4063" s="123">
        <v>1873875.0</v>
      </c>
      <c r="C4063" s="687" t="s">
        <v>5671</v>
      </c>
      <c r="D4063" s="125"/>
    </row>
    <row r="4064">
      <c r="A4064" s="122" t="s">
        <v>33815</v>
      </c>
      <c r="B4064" s="123">
        <v>1099234.0</v>
      </c>
      <c r="C4064" s="687" t="s">
        <v>33816</v>
      </c>
      <c r="D4064" s="125"/>
    </row>
    <row r="4065">
      <c r="A4065" s="122" t="s">
        <v>1545</v>
      </c>
      <c r="B4065" s="123">
        <v>1866838.0</v>
      </c>
      <c r="C4065" s="687" t="s">
        <v>1546</v>
      </c>
      <c r="D4065" s="125"/>
    </row>
    <row r="4066">
      <c r="A4066" s="122" t="s">
        <v>8847</v>
      </c>
      <c r="B4066" s="123">
        <v>1866838.0</v>
      </c>
      <c r="C4066" s="687" t="s">
        <v>8848</v>
      </c>
      <c r="D4066" s="125"/>
    </row>
    <row r="4067">
      <c r="A4067" s="122" t="s">
        <v>33817</v>
      </c>
      <c r="B4067" s="123">
        <v>1416090.0</v>
      </c>
      <c r="C4067" s="687" t="s">
        <v>33818</v>
      </c>
      <c r="D4067" s="125"/>
    </row>
    <row r="4068">
      <c r="A4068" s="122" t="s">
        <v>10193</v>
      </c>
      <c r="B4068" s="123">
        <v>949961.0</v>
      </c>
      <c r="C4068" s="687" t="s">
        <v>10194</v>
      </c>
      <c r="D4068" s="125"/>
    </row>
    <row r="4069">
      <c r="A4069" s="122" t="s">
        <v>14387</v>
      </c>
      <c r="B4069" s="123">
        <v>879169.0</v>
      </c>
      <c r="C4069" s="687" t="s">
        <v>14388</v>
      </c>
      <c r="D4069" s="125"/>
    </row>
    <row r="4070">
      <c r="A4070" s="122" t="s">
        <v>4549</v>
      </c>
      <c r="B4070" s="123">
        <v>1857044.0</v>
      </c>
      <c r="C4070" s="687" t="s">
        <v>4550</v>
      </c>
      <c r="D4070" s="125"/>
    </row>
    <row r="4071">
      <c r="A4071" s="122" t="s">
        <v>4860</v>
      </c>
      <c r="B4071" s="123">
        <v>1537028.0</v>
      </c>
      <c r="C4071" s="687" t="s">
        <v>4861</v>
      </c>
      <c r="D4071" s="125"/>
    </row>
    <row r="4072">
      <c r="A4072" s="122" t="s">
        <v>10412</v>
      </c>
      <c r="B4072" s="123">
        <v>1466085.0</v>
      </c>
      <c r="C4072" s="687" t="s">
        <v>10413</v>
      </c>
      <c r="D4072" s="125"/>
    </row>
    <row r="4073">
      <c r="A4073" s="122" t="s">
        <v>14299</v>
      </c>
      <c r="B4073" s="123">
        <v>776901.0</v>
      </c>
      <c r="C4073" s="687" t="s">
        <v>14300</v>
      </c>
      <c r="D4073" s="125"/>
    </row>
    <row r="4074">
      <c r="A4074" s="122" t="s">
        <v>12256</v>
      </c>
      <c r="B4074" s="123">
        <v>39311.0</v>
      </c>
      <c r="C4074" s="687" t="s">
        <v>12257</v>
      </c>
      <c r="D4074" s="125"/>
    </row>
    <row r="4075">
      <c r="A4075" s="122" t="s">
        <v>13883</v>
      </c>
      <c r="B4075" s="123">
        <v>1564618.0</v>
      </c>
      <c r="C4075" s="687" t="s">
        <v>13884</v>
      </c>
      <c r="D4075" s="125"/>
    </row>
    <row r="4076">
      <c r="A4076" s="122" t="s">
        <v>7043</v>
      </c>
      <c r="B4076" s="123">
        <v>1841925.0</v>
      </c>
      <c r="C4076" s="687" t="s">
        <v>7044</v>
      </c>
      <c r="D4076" s="125"/>
    </row>
    <row r="4077">
      <c r="A4077" s="122" t="s">
        <v>33819</v>
      </c>
      <c r="B4077" s="123">
        <v>1442853.0</v>
      </c>
      <c r="C4077" s="687" t="s">
        <v>33820</v>
      </c>
      <c r="D4077" s="125"/>
    </row>
    <row r="4078">
      <c r="A4078" s="122" t="s">
        <v>5195</v>
      </c>
      <c r="B4078" s="123">
        <v>1757840.0</v>
      </c>
      <c r="C4078" s="687" t="s">
        <v>5196</v>
      </c>
      <c r="D4078" s="125"/>
    </row>
    <row r="4079">
      <c r="A4079" s="122" t="s">
        <v>33821</v>
      </c>
      <c r="B4079" s="123">
        <v>1572565.0</v>
      </c>
      <c r="C4079" s="687" t="s">
        <v>33822</v>
      </c>
      <c r="D4079" s="125"/>
    </row>
    <row r="4080">
      <c r="A4080" s="122" t="s">
        <v>11667</v>
      </c>
      <c r="B4080" s="123">
        <v>1438656.0</v>
      </c>
      <c r="C4080" s="687" t="s">
        <v>11668</v>
      </c>
      <c r="D4080" s="125"/>
    </row>
    <row r="4081">
      <c r="A4081" s="122" t="s">
        <v>13729</v>
      </c>
      <c r="B4081" s="123">
        <v>1438656.0</v>
      </c>
      <c r="C4081" s="687" t="s">
        <v>13730</v>
      </c>
      <c r="D4081" s="125"/>
    </row>
    <row r="4082">
      <c r="A4082" s="122" t="s">
        <v>6111</v>
      </c>
      <c r="B4082" s="123">
        <v>1717307.0</v>
      </c>
      <c r="C4082" s="687" t="s">
        <v>6112</v>
      </c>
      <c r="D4082" s="125"/>
    </row>
    <row r="4083">
      <c r="A4083" s="122" t="s">
        <v>6555</v>
      </c>
      <c r="B4083" s="123">
        <v>1044896.0</v>
      </c>
      <c r="C4083" s="687" t="s">
        <v>6556</v>
      </c>
      <c r="D4083" s="125"/>
    </row>
    <row r="4084">
      <c r="A4084" s="122" t="s">
        <v>13346</v>
      </c>
      <c r="B4084" s="123">
        <v>1107457.0</v>
      </c>
      <c r="C4084" s="687" t="s">
        <v>13347</v>
      </c>
      <c r="D4084" s="125"/>
    </row>
    <row r="4085">
      <c r="A4085" s="122" t="s">
        <v>13353</v>
      </c>
      <c r="B4085" s="123">
        <v>1107457.0</v>
      </c>
      <c r="C4085" s="687" t="s">
        <v>13347</v>
      </c>
      <c r="D4085" s="125"/>
    </row>
    <row r="4086">
      <c r="A4086" s="122" t="s">
        <v>6637</v>
      </c>
      <c r="B4086" s="123">
        <v>1138639.0</v>
      </c>
      <c r="C4086" s="687" t="s">
        <v>6638</v>
      </c>
      <c r="D4086" s="125"/>
    </row>
    <row r="4087">
      <c r="A4087" s="122" t="s">
        <v>33823</v>
      </c>
      <c r="B4087" s="123">
        <v>884650.0</v>
      </c>
      <c r="C4087" s="687" t="s">
        <v>33824</v>
      </c>
      <c r="D4087" s="125"/>
    </row>
    <row r="4088">
      <c r="A4088" s="122" t="s">
        <v>1069</v>
      </c>
      <c r="B4088" s="123">
        <v>1113148.0</v>
      </c>
      <c r="C4088" s="687" t="s">
        <v>1070</v>
      </c>
      <c r="D4088" s="125"/>
    </row>
    <row r="4089">
      <c r="A4089" s="122" t="s">
        <v>9356</v>
      </c>
      <c r="B4089" s="123">
        <v>1862935.0</v>
      </c>
      <c r="C4089" s="687" t="s">
        <v>9357</v>
      </c>
      <c r="D4089" s="125"/>
    </row>
    <row r="4090">
      <c r="A4090" s="122" t="s">
        <v>4497</v>
      </c>
      <c r="B4090" s="123">
        <v>1708688.0</v>
      </c>
      <c r="C4090" s="687" t="s">
        <v>4498</v>
      </c>
      <c r="D4090" s="125"/>
    </row>
    <row r="4091">
      <c r="A4091" s="122" t="s">
        <v>3586</v>
      </c>
      <c r="B4091" s="123">
        <v>1815566.0</v>
      </c>
      <c r="C4091" s="687" t="s">
        <v>3587</v>
      </c>
      <c r="D4091" s="125"/>
    </row>
    <row r="4092">
      <c r="A4092" s="122" t="s">
        <v>8038</v>
      </c>
      <c r="B4092" s="123">
        <v>1652362.0</v>
      </c>
      <c r="C4092" s="687" t="s">
        <v>8039</v>
      </c>
      <c r="D4092" s="125"/>
    </row>
    <row r="4093">
      <c r="A4093" s="122" t="s">
        <v>12887</v>
      </c>
      <c r="B4093" s="123">
        <v>1868778.0</v>
      </c>
      <c r="C4093" s="687" t="s">
        <v>12888</v>
      </c>
      <c r="D4093" s="125"/>
    </row>
    <row r="4094">
      <c r="A4094" s="122" t="s">
        <v>6297</v>
      </c>
      <c r="B4094" s="123">
        <v>1371489.0</v>
      </c>
      <c r="C4094" s="687" t="s">
        <v>6298</v>
      </c>
      <c r="D4094" s="125"/>
    </row>
    <row r="4095">
      <c r="A4095" s="122" t="s">
        <v>11482</v>
      </c>
      <c r="B4095" s="123">
        <v>1067491.0</v>
      </c>
      <c r="C4095" s="687" t="s">
        <v>11483</v>
      </c>
      <c r="D4095" s="125"/>
    </row>
    <row r="4096">
      <c r="A4096" s="122" t="s">
        <v>8204</v>
      </c>
      <c r="B4096" s="123">
        <v>1337013.0</v>
      </c>
      <c r="C4096" s="687" t="s">
        <v>8205</v>
      </c>
      <c r="D4096" s="125"/>
    </row>
    <row r="4097">
      <c r="A4097" s="122" t="s">
        <v>9942</v>
      </c>
      <c r="B4097" s="123">
        <v>1039765.0</v>
      </c>
      <c r="C4097" s="687" t="s">
        <v>9878</v>
      </c>
      <c r="D4097" s="125"/>
    </row>
    <row r="4098">
      <c r="A4098" s="122" t="s">
        <v>9877</v>
      </c>
      <c r="B4098" s="123">
        <v>1039765.0</v>
      </c>
      <c r="C4098" s="687" t="s">
        <v>9878</v>
      </c>
      <c r="D4098" s="125"/>
    </row>
    <row r="4099">
      <c r="A4099" s="122" t="s">
        <v>15093</v>
      </c>
      <c r="B4099" s="123">
        <v>1699150.0</v>
      </c>
      <c r="C4099" s="687" t="s">
        <v>15094</v>
      </c>
      <c r="D4099" s="125"/>
    </row>
    <row r="4100">
      <c r="A4100" s="122" t="s">
        <v>13788</v>
      </c>
      <c r="B4100" s="123">
        <v>1653477.0</v>
      </c>
      <c r="C4100" s="687" t="s">
        <v>13789</v>
      </c>
      <c r="D4100" s="125"/>
    </row>
    <row r="4101">
      <c r="A4101" s="122" t="s">
        <v>15075</v>
      </c>
      <c r="B4101" s="123">
        <v>50493.0</v>
      </c>
      <c r="C4101" s="687" t="s">
        <v>15076</v>
      </c>
      <c r="D4101" s="125"/>
    </row>
    <row r="4102">
      <c r="A4102" s="122" t="s">
        <v>15528</v>
      </c>
      <c r="B4102" s="123">
        <v>1046257.0</v>
      </c>
      <c r="C4102" s="687" t="s">
        <v>15529</v>
      </c>
      <c r="D4102" s="125"/>
    </row>
    <row r="4103">
      <c r="A4103" s="122" t="s">
        <v>5217</v>
      </c>
      <c r="B4103" s="123">
        <v>1750149.0</v>
      </c>
      <c r="C4103" s="687" t="s">
        <v>5218</v>
      </c>
      <c r="D4103" s="125"/>
    </row>
    <row r="4104">
      <c r="A4104" s="122" t="s">
        <v>1407</v>
      </c>
      <c r="B4104" s="123">
        <v>1042418.0</v>
      </c>
      <c r="C4104" s="687" t="s">
        <v>1408</v>
      </c>
      <c r="D4104" s="125"/>
    </row>
    <row r="4105">
      <c r="A4105" s="122" t="s">
        <v>13407</v>
      </c>
      <c r="B4105" s="123">
        <v>1739614.0</v>
      </c>
      <c r="C4105" s="687" t="s">
        <v>13408</v>
      </c>
      <c r="D4105" s="125"/>
    </row>
    <row r="4106">
      <c r="A4106" s="122" t="s">
        <v>9458</v>
      </c>
      <c r="B4106" s="123">
        <v>1528985.0</v>
      </c>
      <c r="C4106" s="687" t="s">
        <v>9459</v>
      </c>
      <c r="D4106" s="125"/>
    </row>
    <row r="4107">
      <c r="A4107" s="122" t="s">
        <v>2717</v>
      </c>
      <c r="B4107" s="123">
        <v>1728328.0</v>
      </c>
      <c r="C4107" s="687" t="s">
        <v>2718</v>
      </c>
      <c r="D4107" s="125"/>
    </row>
    <row r="4108">
      <c r="A4108" s="122" t="s">
        <v>12091</v>
      </c>
      <c r="B4108" s="123">
        <v>1742692.0</v>
      </c>
      <c r="C4108" s="687" t="s">
        <v>12092</v>
      </c>
      <c r="D4108" s="125"/>
    </row>
    <row r="4109">
      <c r="A4109" s="122" t="s">
        <v>9166</v>
      </c>
      <c r="B4109" s="123">
        <v>1711754.0</v>
      </c>
      <c r="C4109" s="687" t="s">
        <v>9167</v>
      </c>
      <c r="D4109" s="125"/>
    </row>
    <row r="4110">
      <c r="A4110" s="122" t="s">
        <v>5199</v>
      </c>
      <c r="B4110" s="123">
        <v>1598599.0</v>
      </c>
      <c r="C4110" s="687" t="s">
        <v>5200</v>
      </c>
      <c r="D4110" s="125"/>
    </row>
    <row r="4111">
      <c r="A4111" s="122" t="s">
        <v>5420</v>
      </c>
      <c r="B4111" s="123">
        <v>1598599.0</v>
      </c>
      <c r="C4111" s="687" t="s">
        <v>5200</v>
      </c>
      <c r="D4111" s="125"/>
    </row>
    <row r="4112">
      <c r="A4112" s="122" t="s">
        <v>33825</v>
      </c>
      <c r="B4112" s="123">
        <v>1609139.0</v>
      </c>
      <c r="C4112" s="687" t="s">
        <v>33826</v>
      </c>
      <c r="D4112" s="125"/>
    </row>
    <row r="4113">
      <c r="A4113" s="122" t="s">
        <v>8762</v>
      </c>
      <c r="B4113" s="123">
        <v>903651.0</v>
      </c>
      <c r="C4113" s="687" t="s">
        <v>8763</v>
      </c>
      <c r="D4113" s="125"/>
    </row>
    <row r="4114">
      <c r="A4114" s="122" t="s">
        <v>15590</v>
      </c>
      <c r="B4114" s="123">
        <v>1054905.0</v>
      </c>
      <c r="C4114" s="687" t="s">
        <v>15591</v>
      </c>
      <c r="D4114" s="125"/>
    </row>
    <row r="4115">
      <c r="A4115" s="122" t="s">
        <v>6842</v>
      </c>
      <c r="B4115" s="123">
        <v>1834376.0</v>
      </c>
      <c r="C4115" s="687" t="s">
        <v>6843</v>
      </c>
      <c r="D4115" s="125"/>
    </row>
    <row r="4116">
      <c r="A4116" s="122" t="s">
        <v>3809</v>
      </c>
      <c r="B4116" s="123">
        <v>1006837.0</v>
      </c>
      <c r="C4116" s="687" t="s">
        <v>3810</v>
      </c>
      <c r="D4116" s="125"/>
    </row>
    <row r="4117">
      <c r="A4117" s="122" t="s">
        <v>597</v>
      </c>
      <c r="B4117" s="123">
        <v>1355250.0</v>
      </c>
      <c r="C4117" s="687" t="s">
        <v>598</v>
      </c>
      <c r="D4117" s="125"/>
    </row>
    <row r="4118">
      <c r="A4118" s="122" t="s">
        <v>810</v>
      </c>
      <c r="B4118" s="123">
        <v>1629205.0</v>
      </c>
      <c r="C4118" s="687" t="s">
        <v>811</v>
      </c>
      <c r="D4118" s="125"/>
    </row>
    <row r="4119">
      <c r="A4119" s="122" t="s">
        <v>2063</v>
      </c>
      <c r="B4119" s="123">
        <v>1190370.0</v>
      </c>
      <c r="C4119" s="687" t="s">
        <v>2064</v>
      </c>
      <c r="D4119" s="125"/>
    </row>
    <row r="4120">
      <c r="A4120" s="122" t="s">
        <v>1399</v>
      </c>
      <c r="B4120" s="123">
        <v>1808377.0</v>
      </c>
      <c r="C4120" s="687" t="s">
        <v>1400</v>
      </c>
      <c r="D4120" s="125"/>
    </row>
    <row r="4121">
      <c r="A4121" s="122" t="s">
        <v>2833</v>
      </c>
      <c r="B4121" s="123">
        <v>1808377.0</v>
      </c>
      <c r="C4121" s="687" t="s">
        <v>2834</v>
      </c>
      <c r="D4121" s="125"/>
    </row>
    <row r="4122">
      <c r="A4122" s="122" t="s">
        <v>3419</v>
      </c>
      <c r="B4122" s="123">
        <v>312257.0</v>
      </c>
      <c r="C4122" s="687" t="s">
        <v>3420</v>
      </c>
      <c r="D4122" s="125"/>
    </row>
    <row r="4123">
      <c r="A4123" s="122" t="s">
        <v>15291</v>
      </c>
      <c r="B4123" s="123">
        <v>1677576.0</v>
      </c>
      <c r="C4123" s="687" t="s">
        <v>15292</v>
      </c>
      <c r="D4123" s="125"/>
    </row>
    <row r="4124">
      <c r="A4124" s="122" t="s">
        <v>3223</v>
      </c>
      <c r="B4124" s="123">
        <v>1331612.0</v>
      </c>
      <c r="C4124" s="687" t="s">
        <v>3224</v>
      </c>
      <c r="D4124" s="125"/>
    </row>
    <row r="4125">
      <c r="A4125" s="122" t="s">
        <v>2337</v>
      </c>
      <c r="B4125" s="123">
        <v>1591913.0</v>
      </c>
      <c r="C4125" s="687" t="s">
        <v>2338</v>
      </c>
      <c r="D4125" s="125"/>
    </row>
    <row r="4126">
      <c r="A4126" s="122" t="s">
        <v>7737</v>
      </c>
      <c r="B4126" s="123">
        <v>836690.0</v>
      </c>
      <c r="C4126" s="687" t="s">
        <v>7738</v>
      </c>
      <c r="D4126" s="125"/>
    </row>
    <row r="4127">
      <c r="A4127" s="122" t="s">
        <v>33827</v>
      </c>
      <c r="B4127" s="123">
        <v>1735012.0</v>
      </c>
      <c r="C4127" s="687" t="s">
        <v>33828</v>
      </c>
      <c r="D4127" s="125"/>
    </row>
    <row r="4128">
      <c r="A4128" s="122" t="s">
        <v>4413</v>
      </c>
      <c r="B4128" s="123">
        <v>1835378.0</v>
      </c>
      <c r="C4128" s="687" t="s">
        <v>4414</v>
      </c>
      <c r="D4128" s="125"/>
    </row>
    <row r="4129">
      <c r="A4129" s="122" t="s">
        <v>10614</v>
      </c>
      <c r="B4129" s="123">
        <v>1080014.0</v>
      </c>
      <c r="C4129" s="687" t="s">
        <v>10615</v>
      </c>
      <c r="D4129" s="125"/>
    </row>
    <row r="4130">
      <c r="A4130" s="122" t="s">
        <v>2610</v>
      </c>
      <c r="B4130" s="123">
        <v>1835654.0</v>
      </c>
      <c r="C4130" s="687" t="s">
        <v>2611</v>
      </c>
      <c r="D4130" s="125"/>
    </row>
    <row r="4131">
      <c r="A4131" s="122" t="s">
        <v>4529</v>
      </c>
      <c r="B4131" s="123">
        <v>1835654.0</v>
      </c>
      <c r="C4131" s="687" t="s">
        <v>4530</v>
      </c>
      <c r="D4131" s="125"/>
    </row>
    <row r="4132">
      <c r="A4132" s="122" t="s">
        <v>4249</v>
      </c>
      <c r="B4132" s="123">
        <v>82473.0</v>
      </c>
      <c r="C4132" s="687" t="s">
        <v>4250</v>
      </c>
      <c r="D4132" s="125"/>
    </row>
    <row r="4133">
      <c r="A4133" s="122" t="s">
        <v>7245</v>
      </c>
      <c r="B4133" s="123">
        <v>1294133.0</v>
      </c>
      <c r="C4133" s="687" t="s">
        <v>7246</v>
      </c>
      <c r="D4133" s="125"/>
    </row>
    <row r="4134">
      <c r="A4134" s="122" t="s">
        <v>5845</v>
      </c>
      <c r="B4134" s="123">
        <v>720154.0</v>
      </c>
      <c r="C4134" s="687" t="s">
        <v>5846</v>
      </c>
      <c r="D4134" s="125"/>
    </row>
    <row r="4135">
      <c r="A4135" s="122" t="s">
        <v>6581</v>
      </c>
      <c r="B4135" s="123">
        <v>1055726.0</v>
      </c>
      <c r="C4135" s="687" t="s">
        <v>6582</v>
      </c>
      <c r="D4135" s="125"/>
    </row>
    <row r="4136">
      <c r="A4136" s="122" t="s">
        <v>6714</v>
      </c>
      <c r="B4136" s="123">
        <v>1693011.0</v>
      </c>
      <c r="C4136" s="687" t="s">
        <v>6715</v>
      </c>
      <c r="D4136" s="125"/>
    </row>
    <row r="4137">
      <c r="A4137" s="122" t="s">
        <v>1419</v>
      </c>
      <c r="B4137" s="123">
        <v>1529113.0</v>
      </c>
      <c r="C4137" s="687" t="s">
        <v>1420</v>
      </c>
      <c r="D4137" s="125"/>
    </row>
    <row r="4138">
      <c r="A4138" s="122" t="s">
        <v>3873</v>
      </c>
      <c r="B4138" s="123">
        <v>719494.0</v>
      </c>
      <c r="C4138" s="687" t="s">
        <v>3874</v>
      </c>
      <c r="D4138" s="125"/>
    </row>
    <row r="4139">
      <c r="A4139" s="122" t="s">
        <v>11806</v>
      </c>
      <c r="B4139" s="123">
        <v>1379329.0</v>
      </c>
      <c r="C4139" s="687" t="s">
        <v>11807</v>
      </c>
      <c r="D4139" s="125"/>
    </row>
    <row r="4140">
      <c r="A4140" s="122" t="s">
        <v>5077</v>
      </c>
      <c r="B4140" s="123">
        <v>1022652.0</v>
      </c>
      <c r="C4140" s="687" t="s">
        <v>5078</v>
      </c>
      <c r="D4140" s="125"/>
    </row>
    <row r="4141">
      <c r="A4141" s="122" t="s">
        <v>8795</v>
      </c>
      <c r="B4141" s="123">
        <v>1862463.0</v>
      </c>
      <c r="C4141" s="687" t="s">
        <v>8796</v>
      </c>
      <c r="D4141" s="125"/>
    </row>
    <row r="4142">
      <c r="A4142" s="122" t="s">
        <v>16093</v>
      </c>
      <c r="B4142" s="123">
        <v>932696.0</v>
      </c>
      <c r="C4142" s="687" t="s">
        <v>16094</v>
      </c>
      <c r="D4142" s="125"/>
    </row>
    <row r="4143">
      <c r="A4143" s="122" t="s">
        <v>10657</v>
      </c>
      <c r="B4143" s="123">
        <v>30125.0</v>
      </c>
      <c r="C4143" s="687" t="s">
        <v>10658</v>
      </c>
      <c r="D4143" s="125"/>
    </row>
    <row r="4144">
      <c r="A4144" s="122" t="s">
        <v>12657</v>
      </c>
      <c r="B4144" s="123">
        <v>1104506.0</v>
      </c>
      <c r="C4144" s="687" t="s">
        <v>12658</v>
      </c>
      <c r="D4144" s="125"/>
    </row>
    <row r="4145">
      <c r="A4145" s="122" t="s">
        <v>15562</v>
      </c>
      <c r="B4145" s="123">
        <v>1000753.0</v>
      </c>
      <c r="C4145" s="687" t="s">
        <v>15563</v>
      </c>
      <c r="D4145" s="125"/>
    </row>
    <row r="4146">
      <c r="A4146" s="122" t="s">
        <v>2229</v>
      </c>
      <c r="B4146" s="123">
        <v>1837493.0</v>
      </c>
      <c r="C4146" s="687" t="s">
        <v>2230</v>
      </c>
      <c r="D4146" s="125"/>
    </row>
    <row r="4147">
      <c r="A4147" s="122" t="s">
        <v>3590</v>
      </c>
      <c r="B4147" s="123">
        <v>1837493.0</v>
      </c>
      <c r="C4147" s="687" t="s">
        <v>3591</v>
      </c>
      <c r="D4147" s="125"/>
    </row>
    <row r="4148">
      <c r="A4148" s="122" t="s">
        <v>6162</v>
      </c>
      <c r="B4148" s="123">
        <v>1820566.0</v>
      </c>
      <c r="C4148" s="687" t="s">
        <v>698</v>
      </c>
      <c r="D4148" s="125"/>
    </row>
    <row r="4149">
      <c r="A4149" s="122" t="s">
        <v>697</v>
      </c>
      <c r="B4149" s="123">
        <v>1820566.0</v>
      </c>
      <c r="C4149" s="687" t="s">
        <v>698</v>
      </c>
      <c r="D4149" s="125"/>
    </row>
    <row r="4150">
      <c r="A4150" s="122" t="s">
        <v>16212</v>
      </c>
      <c r="B4150" s="123">
        <v>1609550.0</v>
      </c>
      <c r="C4150" s="687" t="s">
        <v>16213</v>
      </c>
      <c r="D4150" s="125"/>
    </row>
    <row r="4151">
      <c r="A4151" s="122" t="s">
        <v>8058</v>
      </c>
      <c r="B4151" s="123">
        <v>1615063.0</v>
      </c>
      <c r="C4151" s="687" t="s">
        <v>8059</v>
      </c>
      <c r="D4151" s="125"/>
    </row>
    <row r="4152">
      <c r="A4152" s="122" t="s">
        <v>5416</v>
      </c>
      <c r="B4152" s="123">
        <v>1433607.0</v>
      </c>
      <c r="C4152" s="687" t="s">
        <v>5417</v>
      </c>
      <c r="D4152" s="125"/>
    </row>
    <row r="4153">
      <c r="A4153" s="122" t="s">
        <v>16162</v>
      </c>
      <c r="B4153" s="123">
        <v>1580905.0</v>
      </c>
      <c r="C4153" s="687" t="s">
        <v>16163</v>
      </c>
      <c r="D4153" s="125"/>
    </row>
    <row r="4154">
      <c r="A4154" s="122" t="s">
        <v>13221</v>
      </c>
      <c r="B4154" s="123">
        <v>764401.0</v>
      </c>
      <c r="C4154" s="687" t="s">
        <v>13222</v>
      </c>
      <c r="D4154" s="125"/>
    </row>
    <row r="4155">
      <c r="A4155" s="122" t="s">
        <v>9517</v>
      </c>
      <c r="B4155" s="123">
        <v>1789769.0</v>
      </c>
      <c r="C4155" s="687" t="s">
        <v>9518</v>
      </c>
      <c r="D4155" s="125"/>
    </row>
    <row r="4156">
      <c r="A4156" s="122" t="s">
        <v>15514</v>
      </c>
      <c r="B4156" s="123">
        <v>1870129.0</v>
      </c>
      <c r="C4156" s="687" t="s">
        <v>15515</v>
      </c>
      <c r="D4156" s="125"/>
    </row>
    <row r="4157">
      <c r="A4157" s="122" t="s">
        <v>12214</v>
      </c>
      <c r="B4157" s="123">
        <v>1841804.0</v>
      </c>
      <c r="C4157" s="687" t="s">
        <v>12215</v>
      </c>
      <c r="D4157" s="125"/>
    </row>
    <row r="4158">
      <c r="A4158" s="122" t="s">
        <v>16133</v>
      </c>
      <c r="B4158" s="123">
        <v>1145197.0</v>
      </c>
      <c r="C4158" s="687" t="s">
        <v>16134</v>
      </c>
      <c r="D4158" s="125"/>
    </row>
    <row r="4159">
      <c r="A4159" s="122" t="s">
        <v>13845</v>
      </c>
      <c r="B4159" s="123">
        <v>1565687.0</v>
      </c>
      <c r="C4159" s="687" t="s">
        <v>13846</v>
      </c>
      <c r="D4159" s="125"/>
    </row>
    <row r="4160">
      <c r="A4160" s="122" t="s">
        <v>8184</v>
      </c>
      <c r="B4160" s="123">
        <v>1895597.0</v>
      </c>
      <c r="C4160" s="687" t="s">
        <v>8185</v>
      </c>
      <c r="D4160" s="125"/>
    </row>
    <row r="4161">
      <c r="A4161" s="122" t="s">
        <v>15452</v>
      </c>
      <c r="B4161" s="123">
        <v>1114483.0</v>
      </c>
      <c r="C4161" s="687" t="s">
        <v>15453</v>
      </c>
      <c r="D4161" s="125"/>
    </row>
    <row r="4162">
      <c r="A4162" s="122" t="s">
        <v>13568</v>
      </c>
      <c r="B4162" s="123">
        <v>917520.0</v>
      </c>
      <c r="C4162" s="687" t="s">
        <v>13569</v>
      </c>
      <c r="D4162" s="125"/>
    </row>
    <row r="4163">
      <c r="A4163" s="122" t="s">
        <v>3578</v>
      </c>
      <c r="B4163" s="123">
        <v>1722387.0</v>
      </c>
      <c r="C4163" s="687" t="s">
        <v>3579</v>
      </c>
      <c r="D4163" s="125"/>
    </row>
    <row r="4164">
      <c r="A4164" s="122" t="s">
        <v>1837</v>
      </c>
      <c r="B4164" s="123">
        <v>1850262.0</v>
      </c>
      <c r="C4164" s="687" t="s">
        <v>1838</v>
      </c>
      <c r="D4164" s="125"/>
    </row>
    <row r="4165">
      <c r="A4165" s="122" t="s">
        <v>8876</v>
      </c>
      <c r="B4165" s="123">
        <v>1850262.0</v>
      </c>
      <c r="C4165" s="687" t="s">
        <v>8877</v>
      </c>
      <c r="D4165" s="125"/>
    </row>
    <row r="4166">
      <c r="A4166" s="122" t="s">
        <v>10560</v>
      </c>
      <c r="B4166" s="123">
        <v>1842718.0</v>
      </c>
      <c r="C4166" s="687" t="s">
        <v>10561</v>
      </c>
      <c r="D4166" s="125"/>
    </row>
    <row r="4167">
      <c r="A4167" s="122" t="s">
        <v>2345</v>
      </c>
      <c r="B4167" s="123">
        <v>1016504.0</v>
      </c>
      <c r="C4167" s="687" t="s">
        <v>2346</v>
      </c>
      <c r="D4167" s="125"/>
    </row>
    <row r="4168">
      <c r="A4168" s="122" t="s">
        <v>763</v>
      </c>
      <c r="B4168" s="123">
        <v>1002771.0</v>
      </c>
      <c r="C4168" s="687" t="s">
        <v>764</v>
      </c>
      <c r="D4168" s="125"/>
    </row>
    <row r="4169">
      <c r="A4169" s="122" t="s">
        <v>5159</v>
      </c>
      <c r="B4169" s="123">
        <v>1668438.0</v>
      </c>
      <c r="C4169" s="687" t="s">
        <v>5160</v>
      </c>
      <c r="D4169" s="125"/>
    </row>
    <row r="4170">
      <c r="A4170" s="122" t="s">
        <v>4471</v>
      </c>
      <c r="B4170" s="123">
        <v>1520118.0</v>
      </c>
      <c r="C4170" s="687" t="s">
        <v>4472</v>
      </c>
      <c r="D4170" s="125"/>
    </row>
    <row r="4171">
      <c r="A4171" s="122" t="s">
        <v>9311</v>
      </c>
      <c r="B4171" s="123">
        <v>1877557.0</v>
      </c>
      <c r="C4171" s="687" t="s">
        <v>9312</v>
      </c>
      <c r="D4171" s="125"/>
    </row>
    <row r="4172">
      <c r="A4172" s="122" t="s">
        <v>33829</v>
      </c>
      <c r="B4172" s="123">
        <v>932265.0</v>
      </c>
      <c r="C4172" s="687" t="s">
        <v>33830</v>
      </c>
      <c r="D4172" s="125"/>
    </row>
    <row r="4173">
      <c r="A4173" s="122" t="s">
        <v>13719</v>
      </c>
      <c r="B4173" s="123">
        <v>50863.0</v>
      </c>
      <c r="C4173" s="687" t="s">
        <v>13720</v>
      </c>
      <c r="D4173" s="125"/>
    </row>
    <row r="4174">
      <c r="A4174" s="122" t="s">
        <v>2101</v>
      </c>
      <c r="B4174" s="123">
        <v>1098880.0</v>
      </c>
      <c r="C4174" s="687" t="s">
        <v>2102</v>
      </c>
      <c r="D4174" s="125"/>
    </row>
    <row r="4175">
      <c r="A4175" s="122" t="s">
        <v>12352</v>
      </c>
      <c r="B4175" s="123">
        <v>1652130.0</v>
      </c>
      <c r="C4175" s="687" t="s">
        <v>12353</v>
      </c>
      <c r="D4175" s="125"/>
    </row>
    <row r="4176">
      <c r="A4176" s="122" t="s">
        <v>4609</v>
      </c>
      <c r="B4176" s="123">
        <v>1040896.0</v>
      </c>
      <c r="C4176" s="687" t="s">
        <v>4610</v>
      </c>
      <c r="D4176" s="125"/>
    </row>
    <row r="4177">
      <c r="A4177" s="122" t="s">
        <v>2775</v>
      </c>
      <c r="B4177" s="123">
        <v>1814963.0</v>
      </c>
      <c r="C4177" s="687" t="s">
        <v>2776</v>
      </c>
      <c r="D4177" s="125"/>
    </row>
    <row r="4178">
      <c r="A4178" s="122" t="s">
        <v>11244</v>
      </c>
      <c r="B4178" s="123">
        <v>1874113.0</v>
      </c>
      <c r="C4178" s="687" t="s">
        <v>11245</v>
      </c>
      <c r="D4178" s="125"/>
    </row>
    <row r="4179">
      <c r="A4179" s="122" t="s">
        <v>7097</v>
      </c>
      <c r="B4179" s="123">
        <v>1081745.0</v>
      </c>
      <c r="C4179" s="687" t="s">
        <v>7098</v>
      </c>
      <c r="D4179" s="125"/>
    </row>
    <row r="4180">
      <c r="A4180" s="122" t="s">
        <v>1662</v>
      </c>
      <c r="B4180" s="123">
        <v>1474835.0</v>
      </c>
      <c r="C4180" s="687" t="s">
        <v>1663</v>
      </c>
      <c r="D4180" s="125"/>
    </row>
    <row r="4181">
      <c r="A4181" s="122" t="s">
        <v>6443</v>
      </c>
      <c r="B4181" s="123">
        <v>1567264.0</v>
      </c>
      <c r="C4181" s="687" t="s">
        <v>6444</v>
      </c>
      <c r="D4181" s="125"/>
    </row>
    <row r="4182">
      <c r="A4182" s="122" t="s">
        <v>6639</v>
      </c>
      <c r="B4182" s="123">
        <v>1864163.0</v>
      </c>
      <c r="C4182" s="687" t="s">
        <v>6640</v>
      </c>
      <c r="D4182" s="125"/>
    </row>
    <row r="4183">
      <c r="A4183" s="122" t="s">
        <v>15848</v>
      </c>
      <c r="B4183" s="123">
        <v>822663.0</v>
      </c>
      <c r="C4183" s="687" t="s">
        <v>15849</v>
      </c>
      <c r="D4183" s="125"/>
    </row>
    <row r="4184">
      <c r="A4184" s="122" t="s">
        <v>9431</v>
      </c>
      <c r="B4184" s="123">
        <v>858707.0</v>
      </c>
      <c r="C4184" s="687" t="s">
        <v>9432</v>
      </c>
      <c r="D4184" s="125"/>
    </row>
    <row r="4185">
      <c r="A4185" s="122" t="s">
        <v>15317</v>
      </c>
      <c r="B4185" s="123">
        <v>1381197.0</v>
      </c>
      <c r="C4185" s="687" t="s">
        <v>15318</v>
      </c>
      <c r="D4185" s="125"/>
    </row>
    <row r="4186">
      <c r="A4186" s="122" t="s">
        <v>1191</v>
      </c>
      <c r="B4186" s="123">
        <v>1103310.0</v>
      </c>
      <c r="C4186" s="687" t="s">
        <v>1192</v>
      </c>
      <c r="D4186" s="125"/>
    </row>
    <row r="4187">
      <c r="A4187" s="122" t="s">
        <v>33831</v>
      </c>
      <c r="B4187" s="123">
        <v>1270073.0</v>
      </c>
      <c r="C4187" s="687" t="s">
        <v>33832</v>
      </c>
      <c r="D4187" s="125"/>
    </row>
    <row r="4188">
      <c r="A4188" s="122" t="s">
        <v>15713</v>
      </c>
      <c r="B4188" s="123">
        <v>1571949.0</v>
      </c>
      <c r="C4188" s="687" t="s">
        <v>15714</v>
      </c>
      <c r="D4188" s="125"/>
    </row>
    <row r="4189">
      <c r="A4189" s="122" t="s">
        <v>15309</v>
      </c>
      <c r="B4189" s="123">
        <v>858446.0</v>
      </c>
      <c r="C4189" s="687" t="s">
        <v>15310</v>
      </c>
      <c r="D4189" s="125"/>
    </row>
    <row r="4190">
      <c r="A4190" s="122" t="s">
        <v>12039</v>
      </c>
      <c r="B4190" s="123">
        <v>1615903.0</v>
      </c>
      <c r="C4190" s="687" t="s">
        <v>12040</v>
      </c>
      <c r="D4190" s="125"/>
    </row>
    <row r="4191">
      <c r="A4191" s="122" t="s">
        <v>4062</v>
      </c>
      <c r="B4191" s="123">
        <v>1857030.0</v>
      </c>
      <c r="C4191" s="687" t="s">
        <v>4063</v>
      </c>
      <c r="D4191" s="125"/>
    </row>
    <row r="4192">
      <c r="A4192" s="122" t="s">
        <v>15459</v>
      </c>
      <c r="B4192" s="123">
        <v>1405495.0</v>
      </c>
      <c r="C4192" s="687" t="s">
        <v>15460</v>
      </c>
      <c r="D4192" s="125"/>
    </row>
    <row r="4193">
      <c r="A4193" s="122" t="s">
        <v>33833</v>
      </c>
      <c r="B4193" s="123">
        <v>51011.0</v>
      </c>
      <c r="C4193" s="687" t="s">
        <v>33834</v>
      </c>
      <c r="D4193" s="125"/>
    </row>
    <row r="4194">
      <c r="A4194" s="122" t="s">
        <v>9804</v>
      </c>
      <c r="B4194" s="123">
        <v>715787.0</v>
      </c>
      <c r="C4194" s="687" t="s">
        <v>9805</v>
      </c>
      <c r="D4194" s="125"/>
    </row>
    <row r="4195">
      <c r="A4195" s="122" t="s">
        <v>11895</v>
      </c>
      <c r="B4195" s="123">
        <v>69422.0</v>
      </c>
      <c r="C4195" s="687" t="s">
        <v>11896</v>
      </c>
      <c r="D4195" s="125"/>
    </row>
    <row r="4196">
      <c r="A4196" s="122" t="s">
        <v>9700</v>
      </c>
      <c r="B4196" s="123">
        <v>828146.0</v>
      </c>
      <c r="C4196" s="687" t="s">
        <v>9701</v>
      </c>
      <c r="D4196" s="125"/>
    </row>
    <row r="4197">
      <c r="A4197" s="122" t="s">
        <v>5209</v>
      </c>
      <c r="B4197" s="123">
        <v>789460.0</v>
      </c>
      <c r="C4197" s="687" t="s">
        <v>5210</v>
      </c>
      <c r="D4197" s="125"/>
    </row>
    <row r="4198">
      <c r="A4198" s="122" t="s">
        <v>14216</v>
      </c>
      <c r="B4198" s="123">
        <v>315709.0</v>
      </c>
      <c r="C4198" s="687" t="s">
        <v>14217</v>
      </c>
      <c r="D4198" s="125"/>
    </row>
    <row r="4199">
      <c r="A4199" s="122" t="s">
        <v>15030</v>
      </c>
      <c r="B4199" s="123">
        <v>51253.0</v>
      </c>
      <c r="C4199" s="687" t="s">
        <v>15031</v>
      </c>
      <c r="D4199" s="125"/>
    </row>
    <row r="4200">
      <c r="A4200" s="122" t="s">
        <v>12441</v>
      </c>
      <c r="B4200" s="123">
        <v>1619762.0</v>
      </c>
      <c r="C4200" s="687" t="s">
        <v>12442</v>
      </c>
      <c r="D4200" s="125"/>
    </row>
    <row r="4201">
      <c r="A4201" s="122" t="s">
        <v>10007</v>
      </c>
      <c r="B4201" s="123">
        <v>1794338.0</v>
      </c>
      <c r="C4201" s="687" t="s">
        <v>10008</v>
      </c>
      <c r="D4201" s="125"/>
    </row>
    <row r="4202">
      <c r="A4202" s="122" t="s">
        <v>1431</v>
      </c>
      <c r="B4202" s="123">
        <v>1038277.0</v>
      </c>
      <c r="C4202" s="687" t="s">
        <v>1432</v>
      </c>
      <c r="D4202" s="125"/>
    </row>
    <row r="4203">
      <c r="A4203" s="122" t="s">
        <v>1686</v>
      </c>
      <c r="B4203" s="123">
        <v>1657214.0</v>
      </c>
      <c r="C4203" s="687" t="s">
        <v>1687</v>
      </c>
      <c r="D4203" s="125"/>
    </row>
    <row r="4204">
      <c r="A4204" s="122" t="s">
        <v>922</v>
      </c>
      <c r="B4204" s="123">
        <v>1522142.0</v>
      </c>
      <c r="C4204" s="687" t="s">
        <v>923</v>
      </c>
      <c r="D4204" s="125"/>
    </row>
    <row r="4205">
      <c r="A4205" s="122" t="s">
        <v>9333</v>
      </c>
      <c r="B4205" s="123">
        <v>1846235.0</v>
      </c>
      <c r="C4205" s="687" t="s">
        <v>1164</v>
      </c>
      <c r="D4205" s="125"/>
    </row>
    <row r="4206">
      <c r="A4206" s="122" t="s">
        <v>1163</v>
      </c>
      <c r="B4206" s="123">
        <v>1846235.0</v>
      </c>
      <c r="C4206" s="687" t="s">
        <v>1164</v>
      </c>
      <c r="D4206" s="125"/>
    </row>
    <row r="4207">
      <c r="A4207" s="122" t="s">
        <v>8409</v>
      </c>
      <c r="B4207" s="123">
        <v>1846235.0</v>
      </c>
      <c r="C4207" s="687" t="s">
        <v>8410</v>
      </c>
      <c r="D4207" s="125"/>
    </row>
    <row r="4208">
      <c r="A4208" s="122" t="s">
        <v>1575</v>
      </c>
      <c r="B4208" s="123">
        <v>1726317.0</v>
      </c>
      <c r="C4208" s="687" t="s">
        <v>1576</v>
      </c>
      <c r="D4208" s="125"/>
    </row>
    <row r="4209">
      <c r="A4209" s="122" t="s">
        <v>11586</v>
      </c>
      <c r="B4209" s="123">
        <v>1683695.0</v>
      </c>
      <c r="C4209" s="687" t="s">
        <v>11587</v>
      </c>
      <c r="D4209" s="125"/>
    </row>
    <row r="4210">
      <c r="A4210" s="122" t="s">
        <v>13098</v>
      </c>
      <c r="B4210" s="123">
        <v>51434.0</v>
      </c>
      <c r="C4210" s="687" t="s">
        <v>13099</v>
      </c>
      <c r="D4210" s="125"/>
    </row>
    <row r="4211">
      <c r="A4211" s="122" t="s">
        <v>14158</v>
      </c>
      <c r="B4211" s="123">
        <v>1679049.0</v>
      </c>
      <c r="C4211" s="687" t="s">
        <v>14159</v>
      </c>
      <c r="D4211" s="125"/>
    </row>
    <row r="4212">
      <c r="A4212" s="122" t="s">
        <v>1856</v>
      </c>
      <c r="B4212" s="123">
        <v>1355790.0</v>
      </c>
      <c r="C4212" s="687" t="s">
        <v>1857</v>
      </c>
      <c r="D4212" s="125"/>
    </row>
    <row r="4213">
      <c r="A4213" s="122" t="s">
        <v>3249</v>
      </c>
      <c r="B4213" s="123">
        <v>1134115.0</v>
      </c>
      <c r="C4213" s="687" t="s">
        <v>3250</v>
      </c>
      <c r="D4213" s="125"/>
    </row>
    <row r="4214">
      <c r="A4214" s="122" t="s">
        <v>4792</v>
      </c>
      <c r="B4214" s="123">
        <v>1090159.0</v>
      </c>
      <c r="C4214" s="687" t="s">
        <v>4793</v>
      </c>
      <c r="D4214" s="125"/>
    </row>
    <row r="4215">
      <c r="A4215" s="122" t="s">
        <v>11467</v>
      </c>
      <c r="B4215" s="123">
        <v>1090633.0</v>
      </c>
      <c r="C4215" s="687" t="s">
        <v>11468</v>
      </c>
      <c r="D4215" s="125"/>
    </row>
    <row r="4216">
      <c r="A4216" s="122" t="s">
        <v>13541</v>
      </c>
      <c r="B4216" s="123">
        <v>1090633.0</v>
      </c>
      <c r="C4216" s="687" t="s">
        <v>11468</v>
      </c>
      <c r="D4216" s="125"/>
    </row>
    <row r="4217">
      <c r="A4217" s="122" t="s">
        <v>3931</v>
      </c>
      <c r="B4217" s="123">
        <v>1054102.0</v>
      </c>
      <c r="C4217" s="687" t="s">
        <v>3932</v>
      </c>
      <c r="D4217" s="125"/>
    </row>
    <row r="4218">
      <c r="A4218" s="122" t="s">
        <v>13082</v>
      </c>
      <c r="B4218" s="123">
        <v>51644.0</v>
      </c>
      <c r="C4218" s="687" t="s">
        <v>13083</v>
      </c>
      <c r="D4218" s="125"/>
    </row>
    <row r="4219">
      <c r="A4219" s="122" t="s">
        <v>9527</v>
      </c>
      <c r="B4219" s="123">
        <v>1036262.0</v>
      </c>
      <c r="C4219" s="687" t="s">
        <v>9528</v>
      </c>
      <c r="D4219" s="125"/>
    </row>
    <row r="4220">
      <c r="A4220" s="122" t="s">
        <v>6083</v>
      </c>
      <c r="B4220" s="123">
        <v>1001902.0</v>
      </c>
      <c r="C4220" s="687" t="s">
        <v>6084</v>
      </c>
      <c r="D4220" s="125"/>
    </row>
    <row r="4221">
      <c r="A4221" s="122" t="s">
        <v>14678</v>
      </c>
      <c r="B4221" s="123">
        <v>1567514.0</v>
      </c>
      <c r="C4221" s="687" t="s">
        <v>14679</v>
      </c>
      <c r="D4221" s="125"/>
    </row>
    <row r="4222">
      <c r="A4222" s="122" t="s">
        <v>11108</v>
      </c>
      <c r="B4222" s="123">
        <v>1421461.0</v>
      </c>
      <c r="C4222" s="687" t="s">
        <v>11109</v>
      </c>
      <c r="D4222" s="125"/>
    </row>
    <row r="4223">
      <c r="A4223" s="122" t="s">
        <v>2387</v>
      </c>
      <c r="B4223" s="123">
        <v>736012.0</v>
      </c>
      <c r="C4223" s="687" t="s">
        <v>2388</v>
      </c>
      <c r="D4223" s="125"/>
    </row>
    <row r="4224">
      <c r="A4224" s="122" t="s">
        <v>16643</v>
      </c>
      <c r="B4224" s="123">
        <v>896878.0</v>
      </c>
      <c r="C4224" s="687" t="s">
        <v>16644</v>
      </c>
      <c r="D4224" s="125"/>
    </row>
    <row r="4225">
      <c r="A4225" s="122" t="s">
        <v>16507</v>
      </c>
      <c r="B4225" s="123">
        <v>1035267.0</v>
      </c>
      <c r="C4225" s="687" t="s">
        <v>16508</v>
      </c>
      <c r="D4225" s="125"/>
    </row>
    <row r="4226">
      <c r="A4226" s="122" t="s">
        <v>2819</v>
      </c>
      <c r="B4226" s="123">
        <v>829323.0</v>
      </c>
      <c r="C4226" s="687" t="s">
        <v>2820</v>
      </c>
      <c r="D4226" s="125"/>
    </row>
    <row r="4227">
      <c r="A4227" s="122" t="s">
        <v>1089</v>
      </c>
      <c r="B4227" s="123">
        <v>1307748.0</v>
      </c>
      <c r="C4227" s="687" t="s">
        <v>1090</v>
      </c>
      <c r="D4227" s="125"/>
    </row>
    <row r="4228">
      <c r="A4228" s="122" t="s">
        <v>5891</v>
      </c>
      <c r="B4228" s="123">
        <v>1756594.0</v>
      </c>
      <c r="C4228" s="687" t="s">
        <v>5892</v>
      </c>
      <c r="D4228" s="125"/>
    </row>
    <row r="4229">
      <c r="A4229" s="122" t="s">
        <v>5881</v>
      </c>
      <c r="B4229" s="123">
        <v>1756594.0</v>
      </c>
      <c r="C4229" s="687" t="s">
        <v>5882</v>
      </c>
      <c r="D4229" s="125"/>
    </row>
    <row r="4230">
      <c r="A4230" s="122" t="s">
        <v>7858</v>
      </c>
      <c r="B4230" s="123">
        <v>908993.0</v>
      </c>
      <c r="C4230" s="687" t="s">
        <v>7859</v>
      </c>
      <c r="D4230" s="125"/>
    </row>
    <row r="4231">
      <c r="A4231" s="122" t="s">
        <v>10572</v>
      </c>
      <c r="B4231" s="123">
        <v>5094.0</v>
      </c>
      <c r="C4231" s="687" t="s">
        <v>10573</v>
      </c>
      <c r="D4231" s="125"/>
    </row>
    <row r="4232">
      <c r="A4232" s="122" t="s">
        <v>8275</v>
      </c>
      <c r="B4232" s="123">
        <v>895531.0</v>
      </c>
      <c r="C4232" s="687" t="s">
        <v>8276</v>
      </c>
      <c r="D4232" s="125"/>
    </row>
    <row r="4233">
      <c r="A4233" s="122" t="s">
        <v>14613</v>
      </c>
      <c r="B4233" s="123">
        <v>1353614.0</v>
      </c>
      <c r="C4233" s="687" t="s">
        <v>14614</v>
      </c>
      <c r="D4233" s="125"/>
    </row>
    <row r="4234">
      <c r="A4234" s="122" t="s">
        <v>15639</v>
      </c>
      <c r="B4234" s="123">
        <v>1353611.0</v>
      </c>
      <c r="C4234" s="687" t="s">
        <v>15640</v>
      </c>
      <c r="D4234" s="125"/>
    </row>
    <row r="4235">
      <c r="A4235" s="122" t="s">
        <v>14835</v>
      </c>
      <c r="B4235" s="123">
        <v>1353612.0</v>
      </c>
      <c r="C4235" s="687" t="s">
        <v>14836</v>
      </c>
      <c r="D4235" s="125"/>
    </row>
    <row r="4236">
      <c r="A4236" s="122" t="s">
        <v>15376</v>
      </c>
      <c r="B4236" s="123">
        <v>1328598.0</v>
      </c>
      <c r="C4236" s="687" t="s">
        <v>15377</v>
      </c>
      <c r="D4236" s="125"/>
    </row>
    <row r="4237">
      <c r="A4237" s="122" t="s">
        <v>14549</v>
      </c>
      <c r="B4237" s="123">
        <v>1353613.0</v>
      </c>
      <c r="C4237" s="687" t="s">
        <v>14550</v>
      </c>
      <c r="D4237" s="125"/>
    </row>
    <row r="4238">
      <c r="A4238" s="122" t="s">
        <v>15425</v>
      </c>
      <c r="B4238" s="123">
        <v>1353615.0</v>
      </c>
      <c r="C4238" s="687" t="s">
        <v>15426</v>
      </c>
      <c r="D4238" s="125"/>
    </row>
    <row r="4239">
      <c r="A4239" s="122" t="s">
        <v>11701</v>
      </c>
      <c r="B4239" s="123">
        <v>1383082.0</v>
      </c>
      <c r="C4239" s="687" t="s">
        <v>11702</v>
      </c>
      <c r="D4239" s="125"/>
    </row>
    <row r="4240">
      <c r="A4240" s="122" t="s">
        <v>10912</v>
      </c>
      <c r="B4240" s="123">
        <v>1383084.0</v>
      </c>
      <c r="C4240" s="687" t="s">
        <v>10913</v>
      </c>
      <c r="D4240" s="125"/>
    </row>
    <row r="4241">
      <c r="A4241" s="122" t="s">
        <v>11718</v>
      </c>
      <c r="B4241" s="123">
        <v>1328237.0</v>
      </c>
      <c r="C4241" s="687" t="s">
        <v>11719</v>
      </c>
      <c r="D4241" s="125"/>
    </row>
    <row r="4242">
      <c r="A4242" s="122" t="s">
        <v>11277</v>
      </c>
      <c r="B4242" s="123">
        <v>1383062.0</v>
      </c>
      <c r="C4242" s="687" t="s">
        <v>11278</v>
      </c>
      <c r="D4242" s="125"/>
    </row>
    <row r="4243">
      <c r="A4243" s="122" t="s">
        <v>10183</v>
      </c>
      <c r="B4243" s="123">
        <v>1383058.0</v>
      </c>
      <c r="C4243" s="687" t="s">
        <v>10184</v>
      </c>
      <c r="D4243" s="125"/>
    </row>
    <row r="4244">
      <c r="A4244" s="122" t="s">
        <v>14039</v>
      </c>
      <c r="B4244" s="123">
        <v>1383057.0</v>
      </c>
      <c r="C4244" s="687" t="s">
        <v>14040</v>
      </c>
      <c r="D4244" s="125"/>
    </row>
    <row r="4245">
      <c r="A4245" s="122" t="s">
        <v>11040</v>
      </c>
      <c r="B4245" s="123">
        <v>1383149.0</v>
      </c>
      <c r="C4245" s="687" t="s">
        <v>11041</v>
      </c>
      <c r="D4245" s="125"/>
    </row>
    <row r="4246">
      <c r="A4246" s="122" t="s">
        <v>12628</v>
      </c>
      <c r="B4246" s="123">
        <v>1383151.0</v>
      </c>
      <c r="C4246" s="687" t="s">
        <v>12629</v>
      </c>
      <c r="D4246" s="125"/>
    </row>
    <row r="4247">
      <c r="A4247" s="122" t="s">
        <v>7477</v>
      </c>
      <c r="B4247" s="123">
        <v>1698508.0</v>
      </c>
      <c r="C4247" s="687" t="s">
        <v>7478</v>
      </c>
      <c r="D4247" s="125"/>
    </row>
    <row r="4248">
      <c r="A4248" s="122" t="s">
        <v>10604</v>
      </c>
      <c r="B4248" s="123">
        <v>914208.0</v>
      </c>
      <c r="C4248" s="687" t="s">
        <v>10605</v>
      </c>
      <c r="D4248" s="125"/>
    </row>
    <row r="4249">
      <c r="A4249" s="122" t="s">
        <v>7976</v>
      </c>
      <c r="B4249" s="123">
        <v>1437071.0</v>
      </c>
      <c r="C4249" s="687" t="s">
        <v>7977</v>
      </c>
      <c r="D4249" s="125"/>
    </row>
    <row r="4250">
      <c r="A4250" s="122" t="s">
        <v>16772</v>
      </c>
      <c r="B4250" s="123">
        <v>1114446.0</v>
      </c>
      <c r="C4250" s="687" t="s">
        <v>16773</v>
      </c>
      <c r="D4250" s="125"/>
    </row>
    <row r="4251">
      <c r="A4251" s="122" t="s">
        <v>7164</v>
      </c>
      <c r="B4251" s="123">
        <v>835333.0</v>
      </c>
      <c r="C4251" s="687" t="s">
        <v>7165</v>
      </c>
      <c r="D4251" s="125"/>
    </row>
    <row r="4252">
      <c r="A4252" s="122" t="s">
        <v>8222</v>
      </c>
      <c r="B4252" s="123">
        <v>884152.0</v>
      </c>
      <c r="C4252" s="687" t="s">
        <v>8223</v>
      </c>
      <c r="D4252" s="125"/>
    </row>
    <row r="4253">
      <c r="A4253" s="122" t="s">
        <v>8196</v>
      </c>
      <c r="B4253" s="123">
        <v>877463.0</v>
      </c>
      <c r="C4253" s="687" t="s">
        <v>8197</v>
      </c>
      <c r="D4253" s="125"/>
    </row>
    <row r="4254">
      <c r="A4254" s="122" t="s">
        <v>8401</v>
      </c>
      <c r="B4254" s="123">
        <v>895528.0</v>
      </c>
      <c r="C4254" s="687" t="s">
        <v>8402</v>
      </c>
      <c r="D4254" s="125"/>
    </row>
    <row r="4255">
      <c r="A4255" s="122" t="s">
        <v>16554</v>
      </c>
      <c r="B4255" s="123">
        <v>1067839.0</v>
      </c>
      <c r="C4255" s="687" t="s">
        <v>16555</v>
      </c>
      <c r="D4255" s="125"/>
    </row>
    <row r="4256">
      <c r="A4256" s="122" t="s">
        <v>8220</v>
      </c>
      <c r="B4256" s="123">
        <v>885125.0</v>
      </c>
      <c r="C4256" s="687" t="s">
        <v>8221</v>
      </c>
      <c r="D4256" s="125"/>
    </row>
    <row r="4257">
      <c r="A4257" s="122" t="s">
        <v>14399</v>
      </c>
      <c r="B4257" s="123">
        <v>1114446.0</v>
      </c>
      <c r="C4257" s="687" t="s">
        <v>14400</v>
      </c>
      <c r="D4257" s="125"/>
    </row>
    <row r="4258">
      <c r="A4258" s="122" t="s">
        <v>6127</v>
      </c>
      <c r="B4258" s="123">
        <v>1059386.0</v>
      </c>
      <c r="C4258" s="687" t="s">
        <v>6128</v>
      </c>
      <c r="D4258" s="125"/>
    </row>
    <row r="4259">
      <c r="A4259" s="122" t="s">
        <v>8296</v>
      </c>
      <c r="B4259" s="123">
        <v>880892.0</v>
      </c>
      <c r="C4259" s="687" t="s">
        <v>8297</v>
      </c>
      <c r="D4259" s="125"/>
    </row>
    <row r="4260">
      <c r="A4260" s="122" t="s">
        <v>16750</v>
      </c>
      <c r="B4260" s="123">
        <v>1852767.0</v>
      </c>
      <c r="C4260" s="687" t="s">
        <v>16751</v>
      </c>
      <c r="D4260" s="125"/>
    </row>
    <row r="4261">
      <c r="A4261" s="122" t="s">
        <v>9533</v>
      </c>
      <c r="B4261" s="123">
        <v>885601.0</v>
      </c>
      <c r="C4261" s="687" t="s">
        <v>9534</v>
      </c>
      <c r="D4261" s="125"/>
    </row>
    <row r="4262">
      <c r="A4262" s="122" t="s">
        <v>10986</v>
      </c>
      <c r="B4262" s="123">
        <v>1602658.0</v>
      </c>
      <c r="C4262" s="687" t="s">
        <v>10987</v>
      </c>
      <c r="D4262" s="125"/>
    </row>
    <row r="4263">
      <c r="A4263" s="122" t="s">
        <v>5784</v>
      </c>
      <c r="B4263" s="123">
        <v>1578348.0</v>
      </c>
      <c r="C4263" s="687" t="s">
        <v>5785</v>
      </c>
      <c r="D4263" s="125"/>
    </row>
    <row r="4264">
      <c r="A4264" s="122" t="s">
        <v>9193</v>
      </c>
      <c r="B4264" s="123">
        <v>1857410.0</v>
      </c>
      <c r="C4264" s="687" t="s">
        <v>9194</v>
      </c>
      <c r="D4264" s="125"/>
    </row>
    <row r="4265">
      <c r="A4265" s="122" t="s">
        <v>9216</v>
      </c>
      <c r="B4265" s="123">
        <v>1857410.0</v>
      </c>
      <c r="C4265" s="687" t="s">
        <v>9217</v>
      </c>
      <c r="D4265" s="125"/>
    </row>
    <row r="4266">
      <c r="A4266" s="122" t="s">
        <v>1461</v>
      </c>
      <c r="B4266" s="123">
        <v>1852889.0</v>
      </c>
      <c r="C4266" s="687" t="s">
        <v>1462</v>
      </c>
      <c r="D4266" s="125"/>
    </row>
    <row r="4267">
      <c r="A4267" s="122" t="s">
        <v>9164</v>
      </c>
      <c r="B4267" s="123">
        <v>1852889.0</v>
      </c>
      <c r="C4267" s="687" t="s">
        <v>9165</v>
      </c>
      <c r="D4267" s="125"/>
    </row>
    <row r="4268">
      <c r="A4268" s="122" t="s">
        <v>9038</v>
      </c>
      <c r="B4268" s="123">
        <v>1852889.0</v>
      </c>
      <c r="C4268" s="687" t="s">
        <v>9039</v>
      </c>
      <c r="D4268" s="125"/>
    </row>
    <row r="4269">
      <c r="A4269" s="122" t="s">
        <v>14241</v>
      </c>
      <c r="B4269" s="123">
        <v>798359.0</v>
      </c>
      <c r="C4269" s="687" t="s">
        <v>14242</v>
      </c>
      <c r="D4269" s="125"/>
    </row>
    <row r="4270">
      <c r="A4270" s="122" t="s">
        <v>15992</v>
      </c>
      <c r="B4270" s="123">
        <v>720858.0</v>
      </c>
      <c r="C4270" s="687" t="s">
        <v>15993</v>
      </c>
      <c r="D4270" s="125"/>
    </row>
    <row r="4271">
      <c r="A4271" s="122" t="s">
        <v>952</v>
      </c>
      <c r="B4271" s="123">
        <v>862651.0</v>
      </c>
      <c r="C4271" s="687" t="s">
        <v>953</v>
      </c>
      <c r="D4271" s="125"/>
    </row>
    <row r="4272">
      <c r="A4272" s="122" t="s">
        <v>2793</v>
      </c>
      <c r="B4272" s="123">
        <v>1501134.0</v>
      </c>
      <c r="C4272" s="687" t="s">
        <v>2794</v>
      </c>
      <c r="D4272" s="125"/>
    </row>
    <row r="4273">
      <c r="A4273" s="122" t="s">
        <v>13074</v>
      </c>
      <c r="B4273" s="123">
        <v>1687229.0</v>
      </c>
      <c r="C4273" s="687" t="s">
        <v>13075</v>
      </c>
      <c r="D4273" s="125"/>
    </row>
    <row r="4274">
      <c r="A4274" s="122" t="s">
        <v>2618</v>
      </c>
      <c r="B4274" s="123">
        <v>1292519.0</v>
      </c>
      <c r="C4274" s="687" t="s">
        <v>2619</v>
      </c>
      <c r="D4274" s="125"/>
    </row>
    <row r="4275">
      <c r="A4275" s="122" t="s">
        <v>6421</v>
      </c>
      <c r="B4275" s="123">
        <v>1832038.0</v>
      </c>
      <c r="C4275" s="687" t="s">
        <v>6422</v>
      </c>
      <c r="D4275" s="125"/>
    </row>
    <row r="4276">
      <c r="A4276" s="122" t="s">
        <v>3708</v>
      </c>
      <c r="B4276" s="123">
        <v>1417926.0</v>
      </c>
      <c r="C4276" s="687" t="s">
        <v>3709</v>
      </c>
      <c r="D4276" s="125"/>
    </row>
    <row r="4277">
      <c r="A4277" s="122" t="s">
        <v>4697</v>
      </c>
      <c r="B4277" s="123">
        <v>1865494.0</v>
      </c>
      <c r="C4277" s="687" t="s">
        <v>4698</v>
      </c>
      <c r="D4277" s="125"/>
    </row>
    <row r="4278">
      <c r="A4278" s="122" t="s">
        <v>5744</v>
      </c>
      <c r="B4278" s="123">
        <v>1896084.0</v>
      </c>
      <c r="C4278" s="687" t="s">
        <v>5745</v>
      </c>
      <c r="D4278" s="125"/>
    </row>
    <row r="4279">
      <c r="A4279" s="122" t="s">
        <v>14074</v>
      </c>
      <c r="B4279" s="123">
        <v>874015.0</v>
      </c>
      <c r="C4279" s="687" t="s">
        <v>14075</v>
      </c>
      <c r="D4279" s="125"/>
    </row>
    <row r="4280">
      <c r="A4280" s="122" t="s">
        <v>33835</v>
      </c>
      <c r="B4280" s="123">
        <v>1528308.0</v>
      </c>
      <c r="C4280" s="687" t="s">
        <v>33836</v>
      </c>
      <c r="D4280" s="125"/>
    </row>
    <row r="4281">
      <c r="A4281" s="122" t="s">
        <v>8475</v>
      </c>
      <c r="B4281" s="123">
        <v>1824920.0</v>
      </c>
      <c r="C4281" s="687" t="s">
        <v>8476</v>
      </c>
      <c r="D4281" s="125"/>
    </row>
    <row r="4282">
      <c r="A4282" s="122" t="s">
        <v>7638</v>
      </c>
      <c r="B4282" s="123">
        <v>1425205.0</v>
      </c>
      <c r="C4282" s="687" t="s">
        <v>7639</v>
      </c>
      <c r="D4282" s="125"/>
    </row>
    <row r="4283">
      <c r="A4283" s="122" t="s">
        <v>12184</v>
      </c>
      <c r="B4283" s="123">
        <v>312070.0</v>
      </c>
      <c r="C4283" s="687" t="s">
        <v>12185</v>
      </c>
      <c r="D4283" s="125"/>
    </row>
    <row r="4284">
      <c r="A4284" s="122" t="s">
        <v>9610</v>
      </c>
      <c r="B4284" s="123">
        <v>1898601.0</v>
      </c>
      <c r="C4284" s="687" t="s">
        <v>9611</v>
      </c>
      <c r="D4284" s="125"/>
    </row>
    <row r="4285">
      <c r="A4285" s="122" t="s">
        <v>3998</v>
      </c>
      <c r="B4285" s="123">
        <v>1898601.0</v>
      </c>
      <c r="C4285" s="687" t="s">
        <v>3999</v>
      </c>
      <c r="D4285" s="125"/>
    </row>
    <row r="4286">
      <c r="A4286" s="122" t="s">
        <v>15368</v>
      </c>
      <c r="B4286" s="123">
        <v>1111928.0</v>
      </c>
      <c r="C4286" s="687" t="s">
        <v>15369</v>
      </c>
      <c r="D4286" s="125"/>
    </row>
    <row r="4287">
      <c r="A4287" s="122" t="s">
        <v>3077</v>
      </c>
      <c r="B4287" s="123">
        <v>1830072.0</v>
      </c>
      <c r="C4287" s="687" t="s">
        <v>3078</v>
      </c>
      <c r="D4287" s="125"/>
    </row>
    <row r="4288">
      <c r="A4288" s="122" t="s">
        <v>2367</v>
      </c>
      <c r="B4288" s="123">
        <v>1527702.0</v>
      </c>
      <c r="C4288" s="687" t="s">
        <v>2368</v>
      </c>
      <c r="D4288" s="125"/>
    </row>
    <row r="4289">
      <c r="A4289" s="122" t="s">
        <v>16193</v>
      </c>
      <c r="B4289" s="123">
        <v>1478242.0</v>
      </c>
      <c r="C4289" s="687" t="s">
        <v>16194</v>
      </c>
      <c r="D4289" s="125"/>
    </row>
    <row r="4290">
      <c r="A4290" s="122" t="s">
        <v>4411</v>
      </c>
      <c r="B4290" s="123">
        <v>1839133.0</v>
      </c>
      <c r="C4290" s="687" t="s">
        <v>4412</v>
      </c>
      <c r="D4290" s="125"/>
    </row>
    <row r="4291">
      <c r="A4291" s="122" t="s">
        <v>13818</v>
      </c>
      <c r="B4291" s="123">
        <v>1325618.0</v>
      </c>
      <c r="C4291" s="687" t="s">
        <v>13819</v>
      </c>
      <c r="D4291" s="125"/>
    </row>
    <row r="4292">
      <c r="A4292" s="122" t="s">
        <v>5025</v>
      </c>
      <c r="B4292" s="123">
        <v>1530256.0</v>
      </c>
      <c r="C4292" s="687" t="s">
        <v>5026</v>
      </c>
      <c r="D4292" s="125"/>
    </row>
    <row r="4293">
      <c r="A4293" s="122" t="s">
        <v>10778</v>
      </c>
      <c r="B4293" s="123">
        <v>1530256.0</v>
      </c>
      <c r="C4293" s="687" t="s">
        <v>10779</v>
      </c>
      <c r="D4293" s="125"/>
    </row>
    <row r="4294">
      <c r="A4294" s="122" t="s">
        <v>15612</v>
      </c>
      <c r="B4294" s="123">
        <v>1388658.0</v>
      </c>
      <c r="C4294" s="687" t="s">
        <v>15613</v>
      </c>
      <c r="D4294" s="125"/>
    </row>
    <row r="4295">
      <c r="A4295" s="122" t="s">
        <v>5338</v>
      </c>
      <c r="B4295" s="123">
        <v>1006045.0</v>
      </c>
      <c r="C4295" s="687" t="s">
        <v>5339</v>
      </c>
      <c r="D4295" s="125"/>
    </row>
    <row r="4296">
      <c r="A4296" s="122" t="s">
        <v>13262</v>
      </c>
      <c r="B4296" s="123">
        <v>1418819.0</v>
      </c>
      <c r="C4296" s="687" t="s">
        <v>13263</v>
      </c>
      <c r="D4296" s="125"/>
    </row>
    <row r="4297">
      <c r="A4297" s="122" t="s">
        <v>1157</v>
      </c>
      <c r="B4297" s="123">
        <v>1831874.0</v>
      </c>
      <c r="C4297" s="687" t="s">
        <v>1158</v>
      </c>
      <c r="D4297" s="125"/>
    </row>
    <row r="4298">
      <c r="A4298" s="122" t="s">
        <v>8495</v>
      </c>
      <c r="B4298" s="123">
        <v>1831874.0</v>
      </c>
      <c r="C4298" s="687" t="s">
        <v>8496</v>
      </c>
      <c r="D4298" s="125"/>
    </row>
    <row r="4299">
      <c r="A4299" s="122" t="s">
        <v>8489</v>
      </c>
      <c r="B4299" s="123">
        <v>1831874.0</v>
      </c>
      <c r="C4299" s="687" t="s">
        <v>8490</v>
      </c>
      <c r="D4299" s="125"/>
    </row>
    <row r="4300">
      <c r="A4300" s="122" t="s">
        <v>5948</v>
      </c>
      <c r="B4300" s="123">
        <v>1878848.0</v>
      </c>
      <c r="C4300" s="687" t="s">
        <v>5949</v>
      </c>
      <c r="D4300" s="125"/>
    </row>
    <row r="4301">
      <c r="A4301" s="122" t="s">
        <v>16509</v>
      </c>
      <c r="B4301" s="123">
        <v>1878482.0</v>
      </c>
      <c r="C4301" s="687" t="s">
        <v>16510</v>
      </c>
      <c r="D4301" s="125"/>
    </row>
    <row r="4302">
      <c r="A4302" s="122" t="s">
        <v>9892</v>
      </c>
      <c r="B4302" s="123">
        <v>1159167.0</v>
      </c>
      <c r="C4302" s="687" t="s">
        <v>9893</v>
      </c>
      <c r="D4302" s="125"/>
    </row>
    <row r="4303">
      <c r="A4303" s="122" t="s">
        <v>14754</v>
      </c>
      <c r="B4303" s="123">
        <v>1020569.0</v>
      </c>
      <c r="C4303" s="687" t="s">
        <v>14755</v>
      </c>
      <c r="D4303" s="125"/>
    </row>
    <row r="4304">
      <c r="A4304" s="122" t="s">
        <v>645</v>
      </c>
      <c r="B4304" s="123">
        <v>1924482.0</v>
      </c>
      <c r="C4304" s="687" t="s">
        <v>646</v>
      </c>
      <c r="D4304" s="125"/>
    </row>
    <row r="4305">
      <c r="A4305" s="122" t="s">
        <v>6323</v>
      </c>
      <c r="B4305" s="123">
        <v>723269.0</v>
      </c>
      <c r="C4305" s="687" t="s">
        <v>6324</v>
      </c>
      <c r="D4305" s="125"/>
    </row>
    <row r="4306">
      <c r="A4306" s="122" t="s">
        <v>10332</v>
      </c>
      <c r="B4306" s="123">
        <v>1446847.0</v>
      </c>
      <c r="C4306" s="687" t="s">
        <v>10333</v>
      </c>
      <c r="D4306" s="125"/>
    </row>
    <row r="4307">
      <c r="A4307" s="122" t="s">
        <v>7894</v>
      </c>
      <c r="B4307" s="123">
        <v>933267.0</v>
      </c>
      <c r="C4307" s="687" t="s">
        <v>7895</v>
      </c>
      <c r="D4307" s="125"/>
    </row>
    <row r="4308">
      <c r="A4308" s="122" t="s">
        <v>11679</v>
      </c>
      <c r="B4308" s="123">
        <v>842517.0</v>
      </c>
      <c r="C4308" s="687" t="s">
        <v>11680</v>
      </c>
      <c r="D4308" s="125"/>
    </row>
    <row r="4309">
      <c r="A4309" s="122" t="s">
        <v>7329</v>
      </c>
      <c r="B4309" s="123">
        <v>1324948.0</v>
      </c>
      <c r="C4309" s="687" t="s">
        <v>7330</v>
      </c>
      <c r="D4309" s="125"/>
    </row>
    <row r="4310">
      <c r="A4310" s="122" t="s">
        <v>15091</v>
      </c>
      <c r="B4310" s="123">
        <v>1745041.0</v>
      </c>
      <c r="C4310" s="687" t="s">
        <v>15092</v>
      </c>
      <c r="D4310" s="125"/>
    </row>
    <row r="4311">
      <c r="A4311" s="122" t="s">
        <v>16766</v>
      </c>
      <c r="B4311" s="123">
        <v>1734768.0</v>
      </c>
      <c r="C4311" s="687" t="s">
        <v>16767</v>
      </c>
      <c r="D4311" s="125"/>
    </row>
    <row r="4312">
      <c r="A4312" s="122" t="s">
        <v>14479</v>
      </c>
      <c r="B4312" s="123">
        <v>312070.0</v>
      </c>
      <c r="C4312" s="687" t="s">
        <v>14480</v>
      </c>
      <c r="D4312" s="125"/>
    </row>
    <row r="4313">
      <c r="A4313" s="122" t="s">
        <v>13481</v>
      </c>
      <c r="B4313" s="123">
        <v>1278680.0</v>
      </c>
      <c r="C4313" s="687" t="s">
        <v>13482</v>
      </c>
      <c r="D4313" s="125"/>
    </row>
    <row r="4314">
      <c r="A4314" s="122" t="s">
        <v>11472</v>
      </c>
      <c r="B4314" s="123">
        <v>1759124.0</v>
      </c>
      <c r="C4314" s="687" t="s">
        <v>11473</v>
      </c>
      <c r="D4314" s="125"/>
    </row>
    <row r="4315">
      <c r="A4315" s="122" t="s">
        <v>14176</v>
      </c>
      <c r="B4315" s="123">
        <v>51548.0</v>
      </c>
      <c r="C4315" s="687" t="s">
        <v>14177</v>
      </c>
      <c r="D4315" s="125"/>
    </row>
    <row r="4316">
      <c r="A4316" s="122" t="s">
        <v>16794</v>
      </c>
      <c r="B4316" s="123">
        <v>1731899.0</v>
      </c>
      <c r="C4316" s="687" t="s">
        <v>16795</v>
      </c>
      <c r="D4316" s="125"/>
    </row>
    <row r="4317">
      <c r="A4317" s="122" t="s">
        <v>16740</v>
      </c>
      <c r="B4317" s="123">
        <v>1821682.0</v>
      </c>
      <c r="C4317" s="687" t="s">
        <v>16741</v>
      </c>
      <c r="D4317" s="125"/>
    </row>
    <row r="4318">
      <c r="A4318" s="122" t="s">
        <v>11488</v>
      </c>
      <c r="B4318" s="123">
        <v>1332174.0</v>
      </c>
      <c r="C4318" s="687" t="s">
        <v>11489</v>
      </c>
      <c r="D4318" s="125"/>
    </row>
    <row r="4319">
      <c r="A4319" s="122" t="s">
        <v>11562</v>
      </c>
      <c r="B4319" s="123">
        <v>1330568.0</v>
      </c>
      <c r="C4319" s="687" t="s">
        <v>11563</v>
      </c>
      <c r="D4319" s="125"/>
    </row>
    <row r="4320">
      <c r="A4320" s="122" t="s">
        <v>7159</v>
      </c>
      <c r="B4320" s="123">
        <v>872202.0</v>
      </c>
      <c r="C4320" s="687" t="s">
        <v>7160</v>
      </c>
      <c r="D4320" s="125"/>
    </row>
    <row r="4321">
      <c r="A4321" s="122" t="s">
        <v>33837</v>
      </c>
      <c r="B4321" s="123">
        <v>727634.0</v>
      </c>
      <c r="C4321" s="687" t="s">
        <v>33838</v>
      </c>
      <c r="D4321" s="125"/>
    </row>
    <row r="4322">
      <c r="A4322" s="122" t="s">
        <v>6720</v>
      </c>
      <c r="B4322" s="123">
        <v>1615055.0</v>
      </c>
      <c r="C4322" s="687" t="s">
        <v>6721</v>
      </c>
      <c r="D4322" s="125"/>
    </row>
    <row r="4323">
      <c r="A4323" s="122" t="s">
        <v>2905</v>
      </c>
      <c r="B4323" s="123">
        <v>1558569.0</v>
      </c>
      <c r="C4323" s="687" t="s">
        <v>2906</v>
      </c>
      <c r="D4323" s="125"/>
    </row>
    <row r="4324">
      <c r="A4324" s="122" t="s">
        <v>8756</v>
      </c>
      <c r="B4324" s="123">
        <v>1915328.0</v>
      </c>
      <c r="C4324" s="687" t="s">
        <v>8757</v>
      </c>
      <c r="D4324" s="125"/>
    </row>
    <row r="4325">
      <c r="A4325" s="122" t="s">
        <v>13834</v>
      </c>
      <c r="B4325" s="123">
        <v>1224306.0</v>
      </c>
      <c r="C4325" s="687" t="s">
        <v>13835</v>
      </c>
      <c r="D4325" s="125"/>
    </row>
    <row r="4326">
      <c r="A4326" s="122" t="s">
        <v>10481</v>
      </c>
      <c r="B4326" s="123">
        <v>843006.0</v>
      </c>
      <c r="C4326" s="687" t="s">
        <v>10482</v>
      </c>
      <c r="D4326" s="125"/>
    </row>
    <row r="4327">
      <c r="A4327" s="122" t="s">
        <v>2391</v>
      </c>
      <c r="B4327" s="123">
        <v>1634447.0</v>
      </c>
      <c r="C4327" s="687" t="s">
        <v>2392</v>
      </c>
      <c r="D4327" s="125"/>
    </row>
    <row r="4328">
      <c r="A4328" s="122" t="s">
        <v>16758</v>
      </c>
      <c r="B4328" s="123">
        <v>1410939.0</v>
      </c>
      <c r="C4328" s="687" t="s">
        <v>16759</v>
      </c>
      <c r="D4328" s="125"/>
    </row>
    <row r="4329">
      <c r="A4329" s="122" t="s">
        <v>2379</v>
      </c>
      <c r="B4329" s="123">
        <v>1358190.0</v>
      </c>
      <c r="C4329" s="687" t="s">
        <v>2380</v>
      </c>
      <c r="D4329" s="125"/>
    </row>
    <row r="4330">
      <c r="A4330" s="122" t="s">
        <v>7216</v>
      </c>
      <c r="B4330" s="123">
        <v>1132597.0</v>
      </c>
      <c r="C4330" s="687" t="s">
        <v>7217</v>
      </c>
      <c r="D4330" s="125"/>
    </row>
    <row r="4331">
      <c r="A4331" s="122" t="s">
        <v>33839</v>
      </c>
      <c r="B4331" s="123">
        <v>1500123.0</v>
      </c>
      <c r="C4331" s="687" t="s">
        <v>33840</v>
      </c>
      <c r="D4331" s="125"/>
    </row>
    <row r="4332">
      <c r="A4332" s="122" t="s">
        <v>8329</v>
      </c>
      <c r="B4332" s="123">
        <v>1808865.0</v>
      </c>
      <c r="C4332" s="687" t="s">
        <v>8330</v>
      </c>
      <c r="D4332" s="125"/>
    </row>
    <row r="4333">
      <c r="A4333" s="122" t="s">
        <v>6545</v>
      </c>
      <c r="B4333" s="123">
        <v>350868.0</v>
      </c>
      <c r="C4333" s="687" t="s">
        <v>6546</v>
      </c>
      <c r="D4333" s="125"/>
    </row>
    <row r="4334">
      <c r="A4334" s="122" t="s">
        <v>4453</v>
      </c>
      <c r="B4334" s="123">
        <v>1659323.0</v>
      </c>
      <c r="C4334" s="687" t="s">
        <v>4454</v>
      </c>
      <c r="D4334" s="125"/>
    </row>
    <row r="4335">
      <c r="A4335" s="122" t="s">
        <v>14852</v>
      </c>
      <c r="B4335" s="123">
        <v>780571.0</v>
      </c>
      <c r="C4335" s="687" t="s">
        <v>14853</v>
      </c>
      <c r="D4335" s="125"/>
    </row>
    <row r="4336">
      <c r="A4336" s="122" t="s">
        <v>15694</v>
      </c>
      <c r="B4336" s="123">
        <v>216228.0</v>
      </c>
      <c r="C4336" s="687" t="s">
        <v>15695</v>
      </c>
      <c r="D4336" s="125"/>
    </row>
    <row r="4337">
      <c r="A4337" s="122" t="s">
        <v>12406</v>
      </c>
      <c r="B4337" s="123">
        <v>1337117.0</v>
      </c>
      <c r="C4337" s="687" t="s">
        <v>12407</v>
      </c>
      <c r="D4337" s="125"/>
    </row>
    <row r="4338">
      <c r="A4338" s="122" t="s">
        <v>7864</v>
      </c>
      <c r="B4338" s="123">
        <v>1879016.0</v>
      </c>
      <c r="C4338" s="687" t="s">
        <v>7865</v>
      </c>
      <c r="D4338" s="125"/>
    </row>
    <row r="4339">
      <c r="A4339" s="122" t="s">
        <v>1978</v>
      </c>
      <c r="B4339" s="123">
        <v>1397183.0</v>
      </c>
      <c r="C4339" s="687" t="s">
        <v>1979</v>
      </c>
      <c r="D4339" s="125"/>
    </row>
    <row r="4340">
      <c r="A4340" s="122" t="s">
        <v>3115</v>
      </c>
      <c r="B4340" s="123">
        <v>1397183.0</v>
      </c>
      <c r="C4340" s="687" t="s">
        <v>3116</v>
      </c>
      <c r="D4340" s="125"/>
    </row>
    <row r="4341">
      <c r="A4341" s="122" t="s">
        <v>775</v>
      </c>
      <c r="B4341" s="123">
        <v>1498372.0</v>
      </c>
      <c r="C4341" s="687" t="s">
        <v>776</v>
      </c>
      <c r="D4341" s="125"/>
    </row>
    <row r="4342">
      <c r="A4342" s="122" t="s">
        <v>1171</v>
      </c>
      <c r="B4342" s="123">
        <v>1852019.0</v>
      </c>
      <c r="C4342" s="687" t="s">
        <v>1172</v>
      </c>
      <c r="D4342" s="125"/>
    </row>
    <row r="4343">
      <c r="A4343" s="122" t="s">
        <v>9204</v>
      </c>
      <c r="B4343" s="123">
        <v>1852019.0</v>
      </c>
      <c r="C4343" s="687" t="s">
        <v>9205</v>
      </c>
      <c r="D4343" s="125"/>
    </row>
    <row r="4344">
      <c r="A4344" s="122" t="s">
        <v>9142</v>
      </c>
      <c r="B4344" s="123">
        <v>1852019.0</v>
      </c>
      <c r="C4344" s="687" t="s">
        <v>9143</v>
      </c>
      <c r="D4344" s="125"/>
    </row>
    <row r="4345">
      <c r="A4345" s="122" t="s">
        <v>4856</v>
      </c>
      <c r="B4345" s="123">
        <v>1495231.0</v>
      </c>
      <c r="C4345" s="687" t="s">
        <v>4857</v>
      </c>
      <c r="D4345" s="125"/>
    </row>
    <row r="4346">
      <c r="A4346" s="122" t="s">
        <v>15953</v>
      </c>
      <c r="B4346" s="123">
        <v>785956.0</v>
      </c>
      <c r="C4346" s="687" t="s">
        <v>15954</v>
      </c>
      <c r="D4346" s="125"/>
    </row>
    <row r="4347">
      <c r="A4347" s="122" t="s">
        <v>16189</v>
      </c>
      <c r="B4347" s="123">
        <v>728535.0</v>
      </c>
      <c r="C4347" s="687" t="s">
        <v>16190</v>
      </c>
      <c r="D4347" s="125"/>
    </row>
    <row r="4348">
      <c r="A4348" s="122" t="s">
        <v>15751</v>
      </c>
      <c r="B4348" s="123">
        <v>91419.0</v>
      </c>
      <c r="C4348" s="687" t="s">
        <v>15752</v>
      </c>
      <c r="D4348" s="125"/>
    </row>
    <row r="4349">
      <c r="A4349" s="122" t="s">
        <v>13792</v>
      </c>
      <c r="B4349" s="123">
        <v>54187.0</v>
      </c>
      <c r="C4349" s="687" t="s">
        <v>13793</v>
      </c>
      <c r="D4349" s="125"/>
    </row>
    <row r="4350">
      <c r="A4350" s="122" t="s">
        <v>15742</v>
      </c>
      <c r="B4350" s="123">
        <v>898293.0</v>
      </c>
      <c r="C4350" s="687" t="s">
        <v>15743</v>
      </c>
      <c r="D4350" s="125"/>
    </row>
    <row r="4351">
      <c r="A4351" s="122" t="s">
        <v>15974</v>
      </c>
      <c r="B4351" s="123">
        <v>779152.0</v>
      </c>
      <c r="C4351" s="687" t="s">
        <v>15975</v>
      </c>
      <c r="D4351" s="125"/>
    </row>
    <row r="4352">
      <c r="A4352" s="122" t="s">
        <v>14978</v>
      </c>
      <c r="B4352" s="123">
        <v>807882.0</v>
      </c>
      <c r="C4352" s="687" t="s">
        <v>14979</v>
      </c>
      <c r="D4352" s="125"/>
    </row>
    <row r="4353">
      <c r="A4353" s="122" t="s">
        <v>1411</v>
      </c>
      <c r="B4353" s="123">
        <v>1061612.0</v>
      </c>
      <c r="C4353" s="687" t="s">
        <v>1412</v>
      </c>
      <c r="D4353" s="125"/>
    </row>
    <row r="4354">
      <c r="A4354" s="122" t="s">
        <v>537</v>
      </c>
      <c r="B4354" s="123">
        <v>860543.0</v>
      </c>
      <c r="C4354" s="687" t="s">
        <v>538</v>
      </c>
      <c r="D4354" s="125"/>
    </row>
    <row r="4355">
      <c r="A4355" s="122" t="s">
        <v>14060</v>
      </c>
      <c r="B4355" s="123">
        <v>1822993.0</v>
      </c>
      <c r="C4355" s="687" t="s">
        <v>14061</v>
      </c>
      <c r="D4355" s="125"/>
    </row>
    <row r="4356">
      <c r="A4356" s="122" t="s">
        <v>15795</v>
      </c>
      <c r="B4356" s="123">
        <v>52988.0</v>
      </c>
      <c r="C4356" s="687" t="s">
        <v>15796</v>
      </c>
      <c r="D4356" s="125"/>
    </row>
    <row r="4357">
      <c r="A4357" s="122" t="s">
        <v>1801</v>
      </c>
      <c r="B4357" s="123">
        <v>1585608.0</v>
      </c>
      <c r="C4357" s="687" t="s">
        <v>1802</v>
      </c>
      <c r="D4357" s="125"/>
    </row>
    <row r="4358">
      <c r="A4358" s="122" t="s">
        <v>12948</v>
      </c>
      <c r="B4358" s="123">
        <v>1009829.0</v>
      </c>
      <c r="C4358" s="687" t="s">
        <v>12949</v>
      </c>
      <c r="D4358" s="125"/>
    </row>
    <row r="4359">
      <c r="A4359" s="122" t="s">
        <v>13427</v>
      </c>
      <c r="B4359" s="123">
        <v>1159152.0</v>
      </c>
      <c r="C4359" s="687" t="s">
        <v>13428</v>
      </c>
      <c r="D4359" s="125"/>
    </row>
    <row r="4360">
      <c r="A4360" s="122" t="s">
        <v>13489</v>
      </c>
      <c r="B4360" s="123">
        <v>1159152.0</v>
      </c>
      <c r="C4360" s="687" t="s">
        <v>13428</v>
      </c>
      <c r="D4360" s="125"/>
    </row>
    <row r="4361">
      <c r="A4361" s="122" t="s">
        <v>8085</v>
      </c>
      <c r="B4361" s="123">
        <v>1620459.0</v>
      </c>
      <c r="C4361" s="687" t="s">
        <v>8086</v>
      </c>
      <c r="D4361" s="125"/>
    </row>
    <row r="4362">
      <c r="A4362" s="122" t="s">
        <v>11208</v>
      </c>
      <c r="B4362" s="123">
        <v>1721947.0</v>
      </c>
      <c r="C4362" s="687" t="s">
        <v>11209</v>
      </c>
      <c r="D4362" s="125"/>
    </row>
    <row r="4363">
      <c r="A4363" s="122" t="s">
        <v>12246</v>
      </c>
      <c r="B4363" s="123">
        <v>1133062.0</v>
      </c>
      <c r="C4363" s="687" t="s">
        <v>12247</v>
      </c>
      <c r="D4363" s="125"/>
    </row>
    <row r="4364">
      <c r="A4364" s="122" t="s">
        <v>3157</v>
      </c>
      <c r="B4364" s="123">
        <v>862861.0</v>
      </c>
      <c r="C4364" s="687" t="s">
        <v>3158</v>
      </c>
      <c r="D4364" s="125"/>
    </row>
    <row r="4365">
      <c r="A4365" s="122" t="s">
        <v>12806</v>
      </c>
      <c r="B4365" s="123">
        <v>1274173.0</v>
      </c>
      <c r="C4365" s="687" t="s">
        <v>12807</v>
      </c>
      <c r="D4365" s="125"/>
    </row>
    <row r="4366">
      <c r="A4366" s="122" t="s">
        <v>10354</v>
      </c>
      <c r="B4366" s="123">
        <v>1839839.0</v>
      </c>
      <c r="C4366" s="687" t="s">
        <v>10355</v>
      </c>
      <c r="D4366" s="125"/>
    </row>
    <row r="4367">
      <c r="A4367" s="122" t="s">
        <v>7774</v>
      </c>
      <c r="B4367" s="123">
        <v>1817713.0</v>
      </c>
      <c r="C4367" s="687" t="s">
        <v>7775</v>
      </c>
      <c r="D4367" s="125"/>
    </row>
    <row r="4368">
      <c r="A4368" s="122" t="s">
        <v>11855</v>
      </c>
      <c r="B4368" s="123">
        <v>1600520.0</v>
      </c>
      <c r="C4368" s="687" t="s">
        <v>11856</v>
      </c>
      <c r="D4368" s="125"/>
    </row>
    <row r="4369">
      <c r="A4369" s="122" t="s">
        <v>9343</v>
      </c>
      <c r="B4369" s="123">
        <v>1600520.0</v>
      </c>
      <c r="C4369" s="687" t="s">
        <v>9344</v>
      </c>
      <c r="D4369" s="125"/>
    </row>
    <row r="4370">
      <c r="A4370" s="122" t="s">
        <v>1535</v>
      </c>
      <c r="B4370" s="123">
        <v>1686000.0</v>
      </c>
      <c r="C4370" s="687" t="s">
        <v>1536</v>
      </c>
      <c r="D4370" s="125"/>
    </row>
    <row r="4371">
      <c r="A4371" s="122" t="s">
        <v>7548</v>
      </c>
      <c r="B4371" s="123">
        <v>859796.0</v>
      </c>
      <c r="C4371" s="687" t="s">
        <v>7549</v>
      </c>
      <c r="D4371" s="125"/>
    </row>
    <row r="4372">
      <c r="A4372" s="122" t="s">
        <v>1954</v>
      </c>
      <c r="B4372" s="123">
        <v>1788028.0</v>
      </c>
      <c r="C4372" s="687" t="s">
        <v>1955</v>
      </c>
      <c r="D4372" s="125"/>
    </row>
    <row r="4373">
      <c r="A4373" s="122" t="s">
        <v>16164</v>
      </c>
      <c r="B4373" s="123">
        <v>1469988.0</v>
      </c>
      <c r="C4373" s="687" t="s">
        <v>16165</v>
      </c>
      <c r="D4373" s="125"/>
    </row>
    <row r="4374">
      <c r="A4374" s="122" t="s">
        <v>15655</v>
      </c>
      <c r="B4374" s="123">
        <v>1232524.0</v>
      </c>
      <c r="C4374" s="687" t="s">
        <v>15656</v>
      </c>
      <c r="D4374" s="125"/>
    </row>
    <row r="4375">
      <c r="A4375" s="122" t="s">
        <v>10669</v>
      </c>
      <c r="B4375" s="123">
        <v>1689796.0</v>
      </c>
      <c r="C4375" s="687" t="s">
        <v>10670</v>
      </c>
      <c r="D4375" s="125"/>
    </row>
    <row r="4376">
      <c r="A4376" s="122" t="s">
        <v>12298</v>
      </c>
      <c r="B4376" s="123">
        <v>866643.0</v>
      </c>
      <c r="C4376" s="687" t="s">
        <v>12299</v>
      </c>
      <c r="D4376" s="125"/>
    </row>
    <row r="4377">
      <c r="A4377" s="122" t="s">
        <v>11711</v>
      </c>
      <c r="B4377" s="123">
        <v>1549802.0</v>
      </c>
      <c r="C4377" s="687" t="s">
        <v>11712</v>
      </c>
      <c r="D4377" s="125"/>
    </row>
    <row r="4378">
      <c r="A4378" s="122" t="s">
        <v>9144</v>
      </c>
      <c r="B4378" s="123">
        <v>1549802.0</v>
      </c>
      <c r="C4378" s="687" t="s">
        <v>9145</v>
      </c>
      <c r="D4378" s="125"/>
    </row>
    <row r="4379">
      <c r="A4379" s="122" t="s">
        <v>3287</v>
      </c>
      <c r="B4379" s="123">
        <v>1905511.0</v>
      </c>
      <c r="C4379" s="687" t="s">
        <v>3288</v>
      </c>
      <c r="D4379" s="125"/>
    </row>
    <row r="4380">
      <c r="A4380" s="122" t="s">
        <v>13594</v>
      </c>
      <c r="B4380" s="123">
        <v>96223.0</v>
      </c>
      <c r="C4380" s="687" t="s">
        <v>13595</v>
      </c>
      <c r="D4380" s="125"/>
    </row>
    <row r="4381">
      <c r="A4381" s="122" t="s">
        <v>1583</v>
      </c>
      <c r="B4381" s="123">
        <v>1885408.0</v>
      </c>
      <c r="C4381" s="687" t="s">
        <v>1584</v>
      </c>
      <c r="D4381" s="125"/>
    </row>
    <row r="4382">
      <c r="A4382" s="122" t="s">
        <v>5662</v>
      </c>
      <c r="B4382" s="123">
        <v>1885408.0</v>
      </c>
      <c r="C4382" s="687" t="s">
        <v>5663</v>
      </c>
      <c r="D4382" s="125"/>
    </row>
    <row r="4383">
      <c r="A4383" s="122" t="s">
        <v>11206</v>
      </c>
      <c r="B4383" s="123">
        <v>1674335.0</v>
      </c>
      <c r="C4383" s="687" t="s">
        <v>11207</v>
      </c>
      <c r="D4383" s="125"/>
    </row>
    <row r="4384">
      <c r="A4384" s="122" t="s">
        <v>5603</v>
      </c>
      <c r="B4384" s="123">
        <v>1696558.0</v>
      </c>
      <c r="C4384" s="687" t="s">
        <v>5604</v>
      </c>
      <c r="D4384" s="125"/>
    </row>
    <row r="4385">
      <c r="A4385" s="122" t="s">
        <v>2207</v>
      </c>
      <c r="B4385" s="123">
        <v>1602380.0</v>
      </c>
      <c r="C4385" s="687" t="s">
        <v>2208</v>
      </c>
      <c r="D4385" s="125"/>
    </row>
    <row r="4386">
      <c r="A4386" s="122" t="s">
        <v>14003</v>
      </c>
      <c r="B4386" s="123">
        <v>1438077.0</v>
      </c>
      <c r="C4386" s="687" t="s">
        <v>14004</v>
      </c>
      <c r="D4386" s="125"/>
    </row>
    <row r="4387">
      <c r="A4387" s="122" t="s">
        <v>11798</v>
      </c>
      <c r="B4387" s="123">
        <v>1438077.0</v>
      </c>
      <c r="C4387" s="687" t="s">
        <v>11799</v>
      </c>
      <c r="D4387" s="125"/>
    </row>
    <row r="4388">
      <c r="A4388" s="122" t="s">
        <v>6762</v>
      </c>
      <c r="B4388" s="123">
        <v>885307.0</v>
      </c>
      <c r="C4388" s="687" t="s">
        <v>6763</v>
      </c>
      <c r="D4388" s="125"/>
    </row>
    <row r="4389">
      <c r="A4389" s="122" t="s">
        <v>13229</v>
      </c>
      <c r="B4389" s="123">
        <v>1800667.0</v>
      </c>
      <c r="C4389" s="687" t="s">
        <v>13230</v>
      </c>
      <c r="D4389" s="125"/>
    </row>
    <row r="4390">
      <c r="A4390" s="122" t="s">
        <v>5533</v>
      </c>
      <c r="B4390" s="123">
        <v>1659559.0</v>
      </c>
      <c r="C4390" s="687" t="s">
        <v>5534</v>
      </c>
      <c r="D4390" s="125"/>
    </row>
    <row r="4391">
      <c r="A4391" s="122" t="s">
        <v>3067</v>
      </c>
      <c r="B4391" s="123">
        <v>1713923.0</v>
      </c>
      <c r="C4391" s="687" t="s">
        <v>3068</v>
      </c>
      <c r="D4391" s="125"/>
    </row>
    <row r="4392">
      <c r="A4392" s="122" t="s">
        <v>3253</v>
      </c>
      <c r="B4392" s="123">
        <v>1852440.0</v>
      </c>
      <c r="C4392" s="687" t="s">
        <v>3254</v>
      </c>
      <c r="D4392" s="125"/>
    </row>
    <row r="4393">
      <c r="A4393" s="122" t="s">
        <v>6698</v>
      </c>
      <c r="B4393" s="123">
        <v>1743102.0</v>
      </c>
      <c r="C4393" s="687" t="s">
        <v>6699</v>
      </c>
      <c r="D4393" s="125"/>
    </row>
    <row r="4394">
      <c r="A4394" s="122" t="s">
        <v>12443</v>
      </c>
      <c r="B4394" s="123">
        <v>1481513.0</v>
      </c>
      <c r="C4394" s="687" t="s">
        <v>12444</v>
      </c>
      <c r="D4394" s="125"/>
    </row>
    <row r="4395">
      <c r="A4395" s="122" t="s">
        <v>3327</v>
      </c>
      <c r="B4395" s="123">
        <v>1816172.0</v>
      </c>
      <c r="C4395" s="687" t="s">
        <v>3328</v>
      </c>
      <c r="D4395" s="125"/>
    </row>
    <row r="4396">
      <c r="A4396" s="122" t="s">
        <v>12057</v>
      </c>
      <c r="B4396" s="123">
        <v>1687932.0</v>
      </c>
      <c r="C4396" s="687" t="s">
        <v>12058</v>
      </c>
      <c r="D4396" s="125"/>
    </row>
    <row r="4397">
      <c r="A4397" s="122" t="s">
        <v>2967</v>
      </c>
      <c r="B4397" s="123">
        <v>1834585.0</v>
      </c>
      <c r="C4397" s="687" t="s">
        <v>2968</v>
      </c>
      <c r="D4397" s="125"/>
    </row>
    <row r="4398">
      <c r="A4398" s="122" t="s">
        <v>6884</v>
      </c>
      <c r="B4398" s="123">
        <v>1819848.0</v>
      </c>
      <c r="C4398" s="687" t="s">
        <v>6885</v>
      </c>
      <c r="D4398" s="125"/>
    </row>
    <row r="4399">
      <c r="A4399" s="122" t="s">
        <v>15464</v>
      </c>
      <c r="B4399" s="123">
        <v>880117.0</v>
      </c>
      <c r="C4399" s="687" t="s">
        <v>15465</v>
      </c>
      <c r="D4399" s="125"/>
    </row>
    <row r="4400">
      <c r="A4400" s="122" t="s">
        <v>15379</v>
      </c>
      <c r="B4400" s="123">
        <v>1433660.0</v>
      </c>
      <c r="C4400" s="687" t="s">
        <v>15380</v>
      </c>
      <c r="D4400" s="125"/>
    </row>
    <row r="4401">
      <c r="A4401" s="122" t="s">
        <v>12767</v>
      </c>
      <c r="B4401" s="123">
        <v>925683.0</v>
      </c>
      <c r="C4401" s="687" t="s">
        <v>12768</v>
      </c>
      <c r="D4401" s="125"/>
    </row>
    <row r="4402">
      <c r="A4402" s="122" t="s">
        <v>8379</v>
      </c>
      <c r="B4402" s="123">
        <v>1496749.0</v>
      </c>
      <c r="C4402" s="687" t="s">
        <v>8380</v>
      </c>
      <c r="D4402" s="125"/>
    </row>
    <row r="4403">
      <c r="A4403" s="122" t="s">
        <v>9123</v>
      </c>
      <c r="B4403" s="123">
        <v>759866.0</v>
      </c>
      <c r="C4403" s="687" t="s">
        <v>9124</v>
      </c>
      <c r="D4403" s="125"/>
    </row>
    <row r="4404">
      <c r="A4404" s="122" t="s">
        <v>9915</v>
      </c>
      <c r="B4404" s="123">
        <v>759828.0</v>
      </c>
      <c r="C4404" s="687" t="s">
        <v>9916</v>
      </c>
      <c r="D4404" s="125"/>
    </row>
    <row r="4405">
      <c r="A4405" s="122" t="s">
        <v>10622</v>
      </c>
      <c r="B4405" s="123">
        <v>1176199.0</v>
      </c>
      <c r="C4405" s="687" t="s">
        <v>10623</v>
      </c>
      <c r="D4405" s="125"/>
    </row>
    <row r="4406">
      <c r="A4406" s="122" t="s">
        <v>10682</v>
      </c>
      <c r="B4406" s="123">
        <v>1189740.0</v>
      </c>
      <c r="C4406" s="687" t="s">
        <v>10683</v>
      </c>
      <c r="D4406" s="125"/>
    </row>
    <row r="4407">
      <c r="A4407" s="122" t="s">
        <v>10372</v>
      </c>
      <c r="B4407" s="123">
        <v>1215913.0</v>
      </c>
      <c r="C4407" s="687" t="s">
        <v>10373</v>
      </c>
      <c r="D4407" s="125"/>
    </row>
    <row r="4408">
      <c r="A4408" s="122" t="s">
        <v>8972</v>
      </c>
      <c r="B4408" s="123">
        <v>855886.0</v>
      </c>
      <c r="C4408" s="687" t="s">
        <v>8973</v>
      </c>
      <c r="D4408" s="125"/>
    </row>
    <row r="4409">
      <c r="A4409" s="122" t="s">
        <v>6597</v>
      </c>
      <c r="B4409" s="123">
        <v>1396502.0</v>
      </c>
      <c r="C4409" s="687" t="s">
        <v>6598</v>
      </c>
      <c r="D4409" s="125"/>
    </row>
    <row r="4410">
      <c r="A4410" s="122" t="s">
        <v>11224</v>
      </c>
      <c r="B4410" s="123">
        <v>1260041.0</v>
      </c>
      <c r="C4410" s="687" t="s">
        <v>11225</v>
      </c>
      <c r="D4410" s="125"/>
    </row>
    <row r="4411">
      <c r="A4411" s="122" t="s">
        <v>10949</v>
      </c>
      <c r="B4411" s="123">
        <v>1710482.0</v>
      </c>
      <c r="C4411" s="687" t="s">
        <v>10950</v>
      </c>
      <c r="D4411" s="125"/>
    </row>
    <row r="4412">
      <c r="A4412" s="122" t="s">
        <v>13140</v>
      </c>
      <c r="B4412" s="123">
        <v>107140.0</v>
      </c>
      <c r="C4412" s="687" t="s">
        <v>13141</v>
      </c>
      <c r="D4412" s="125"/>
    </row>
    <row r="4413">
      <c r="A4413" s="122" t="s">
        <v>13179</v>
      </c>
      <c r="B4413" s="123">
        <v>107140.0</v>
      </c>
      <c r="C4413" s="687" t="s">
        <v>13180</v>
      </c>
      <c r="D4413" s="125"/>
    </row>
    <row r="4414">
      <c r="A4414" s="122" t="s">
        <v>15927</v>
      </c>
      <c r="B4414" s="123">
        <v>200406.0</v>
      </c>
      <c r="C4414" s="687" t="s">
        <v>15928</v>
      </c>
      <c r="D4414" s="125"/>
    </row>
    <row r="4415">
      <c r="A4415" s="122" t="s">
        <v>14246</v>
      </c>
      <c r="B4415" s="123">
        <v>833444.0</v>
      </c>
      <c r="C4415" s="687" t="s">
        <v>14247</v>
      </c>
      <c r="D4415" s="125"/>
    </row>
    <row r="4416">
      <c r="A4416" s="122" t="s">
        <v>13808</v>
      </c>
      <c r="B4416" s="123">
        <v>788329.0</v>
      </c>
      <c r="C4416" s="687" t="s">
        <v>13809</v>
      </c>
      <c r="D4416" s="125"/>
    </row>
    <row r="4417">
      <c r="A4417" s="122" t="s">
        <v>8306</v>
      </c>
      <c r="B4417" s="123">
        <v>1612630.0</v>
      </c>
      <c r="C4417" s="687" t="s">
        <v>8307</v>
      </c>
      <c r="D4417" s="125"/>
    </row>
    <row r="4418">
      <c r="A4418" s="122" t="s">
        <v>16039</v>
      </c>
      <c r="B4418" s="123">
        <v>1037976.0</v>
      </c>
      <c r="C4418" s="687" t="s">
        <v>16040</v>
      </c>
      <c r="D4418" s="125"/>
    </row>
    <row r="4419">
      <c r="A4419" s="122" t="s">
        <v>2029</v>
      </c>
      <c r="B4419" s="123">
        <v>1083522.0</v>
      </c>
      <c r="C4419" s="687" t="s">
        <v>2030</v>
      </c>
      <c r="D4419" s="125"/>
    </row>
    <row r="4420">
      <c r="A4420" s="122" t="s">
        <v>587</v>
      </c>
      <c r="B4420" s="123">
        <v>1475430.0</v>
      </c>
      <c r="C4420" s="687" t="s">
        <v>588</v>
      </c>
      <c r="D4420" s="125"/>
    </row>
    <row r="4421">
      <c r="A4421" s="122" t="s">
        <v>6470</v>
      </c>
      <c r="B4421" s="123">
        <v>1867066.0</v>
      </c>
      <c r="C4421" s="687" t="s">
        <v>6471</v>
      </c>
      <c r="D4421" s="125"/>
    </row>
    <row r="4422">
      <c r="A4422" s="122" t="s">
        <v>4750</v>
      </c>
      <c r="B4422" s="123">
        <v>1805594.0</v>
      </c>
      <c r="C4422" s="687" t="s">
        <v>4751</v>
      </c>
      <c r="D4422" s="125"/>
    </row>
    <row r="4423">
      <c r="A4423" s="122" t="s">
        <v>12895</v>
      </c>
      <c r="B4423" s="123">
        <v>1530238.0</v>
      </c>
      <c r="C4423" s="687" t="s">
        <v>12896</v>
      </c>
      <c r="D4423" s="125"/>
    </row>
    <row r="4424">
      <c r="A4424" s="122" t="s">
        <v>12471</v>
      </c>
      <c r="B4424" s="123">
        <v>19617.0</v>
      </c>
      <c r="C4424" s="687" t="s">
        <v>12472</v>
      </c>
      <c r="D4424" s="125"/>
    </row>
    <row r="4425">
      <c r="A4425" s="122" t="s">
        <v>15532</v>
      </c>
      <c r="B4425" s="123">
        <v>835271.0</v>
      </c>
      <c r="C4425" s="687" t="s">
        <v>15533</v>
      </c>
      <c r="D4425" s="125"/>
    </row>
    <row r="4426">
      <c r="A4426" s="122" t="s">
        <v>15393</v>
      </c>
      <c r="B4426" s="123">
        <v>835271.0</v>
      </c>
      <c r="C4426" s="687" t="s">
        <v>15394</v>
      </c>
      <c r="D4426" s="125"/>
    </row>
    <row r="4427">
      <c r="A4427" s="122" t="s">
        <v>16028</v>
      </c>
      <c r="B4427" s="123">
        <v>19617.0</v>
      </c>
      <c r="C4427" s="687" t="s">
        <v>16029</v>
      </c>
      <c r="D4427" s="125"/>
    </row>
    <row r="4428">
      <c r="A4428" s="122" t="s">
        <v>3604</v>
      </c>
      <c r="B4428" s="123">
        <v>1597892.0</v>
      </c>
      <c r="C4428" s="687" t="s">
        <v>3605</v>
      </c>
      <c r="D4428" s="125"/>
    </row>
    <row r="4429">
      <c r="A4429" s="122" t="s">
        <v>6647</v>
      </c>
      <c r="B4429" s="123">
        <v>1745931.0</v>
      </c>
      <c r="C4429" s="687" t="s">
        <v>6648</v>
      </c>
      <c r="D4429" s="125"/>
    </row>
    <row r="4430">
      <c r="A4430" s="122" t="s">
        <v>12603</v>
      </c>
      <c r="B4430" s="123">
        <v>1449005.0</v>
      </c>
      <c r="C4430" s="687" t="s">
        <v>12604</v>
      </c>
      <c r="D4430" s="125"/>
    </row>
    <row r="4431">
      <c r="A4431" s="122" t="s">
        <v>12556</v>
      </c>
      <c r="B4431" s="123">
        <v>1449005.0</v>
      </c>
      <c r="C4431" s="687" t="s">
        <v>12557</v>
      </c>
      <c r="D4431" s="125"/>
    </row>
    <row r="4432">
      <c r="A4432" s="122" t="s">
        <v>1049</v>
      </c>
      <c r="B4432" s="123">
        <v>1517389.0</v>
      </c>
      <c r="C4432" s="687" t="s">
        <v>1050</v>
      </c>
      <c r="D4432" s="125"/>
    </row>
    <row r="4433">
      <c r="A4433" s="122" t="s">
        <v>5668</v>
      </c>
      <c r="B4433" s="123">
        <v>1756708.0</v>
      </c>
      <c r="C4433" s="687" t="s">
        <v>5669</v>
      </c>
      <c r="D4433" s="125"/>
    </row>
    <row r="4434">
      <c r="A4434" s="122" t="s">
        <v>13393</v>
      </c>
      <c r="B4434" s="123">
        <v>1043604.0</v>
      </c>
      <c r="C4434" s="687" t="s">
        <v>13394</v>
      </c>
      <c r="D4434" s="125"/>
    </row>
    <row r="4435">
      <c r="A4435" s="122" t="s">
        <v>1373</v>
      </c>
      <c r="B4435" s="123">
        <v>1616291.0</v>
      </c>
      <c r="C4435" s="687" t="s">
        <v>1374</v>
      </c>
      <c r="D4435" s="125"/>
    </row>
    <row r="4436">
      <c r="A4436" s="122" t="s">
        <v>3415</v>
      </c>
      <c r="B4436" s="123">
        <v>1684688.0</v>
      </c>
      <c r="C4436" s="687" t="s">
        <v>3416</v>
      </c>
      <c r="D4436" s="125"/>
    </row>
    <row r="4437">
      <c r="A4437" s="122" t="s">
        <v>3674</v>
      </c>
      <c r="B4437" s="123">
        <v>1909747.0</v>
      </c>
      <c r="C4437" s="687" t="s">
        <v>3675</v>
      </c>
      <c r="D4437" s="125"/>
    </row>
    <row r="4438">
      <c r="A4438" s="122" t="s">
        <v>10442</v>
      </c>
      <c r="B4438" s="123">
        <v>1792627.0</v>
      </c>
      <c r="C4438" s="687" t="s">
        <v>10443</v>
      </c>
      <c r="D4438" s="125"/>
    </row>
    <row r="4439">
      <c r="A4439" s="122" t="s">
        <v>5506</v>
      </c>
      <c r="B4439" s="123">
        <v>1792627.0</v>
      </c>
      <c r="C4439" s="687" t="s">
        <v>5507</v>
      </c>
      <c r="D4439" s="125"/>
    </row>
    <row r="4440">
      <c r="A4440" s="122" t="s">
        <v>884</v>
      </c>
      <c r="B4440" s="123">
        <v>1778651.0</v>
      </c>
      <c r="C4440" s="687" t="s">
        <v>885</v>
      </c>
      <c r="D4440" s="125"/>
    </row>
    <row r="4441">
      <c r="A4441" s="122" t="s">
        <v>12290</v>
      </c>
      <c r="B4441" s="123">
        <v>1230058.0</v>
      </c>
      <c r="C4441" s="687" t="s">
        <v>12291</v>
      </c>
      <c r="D4441" s="125"/>
    </row>
    <row r="4442">
      <c r="A4442" s="122" t="s">
        <v>16409</v>
      </c>
      <c r="B4442" s="123">
        <v>886346.0</v>
      </c>
      <c r="C4442" s="687" t="s">
        <v>16410</v>
      </c>
      <c r="D4442" s="125"/>
    </row>
    <row r="4443">
      <c r="A4443" s="122" t="s">
        <v>9468</v>
      </c>
      <c r="B4443" s="123">
        <v>1865468.0</v>
      </c>
      <c r="C4443" s="687" t="s">
        <v>9469</v>
      </c>
      <c r="D4443" s="125"/>
    </row>
    <row r="4444">
      <c r="A4444" s="122" t="s">
        <v>14645</v>
      </c>
      <c r="B4444" s="123">
        <v>811596.0</v>
      </c>
      <c r="C4444" s="687" t="s">
        <v>14646</v>
      </c>
      <c r="D4444" s="125"/>
    </row>
    <row r="4445">
      <c r="A4445" s="122" t="s">
        <v>5370</v>
      </c>
      <c r="B4445" s="123">
        <v>1762239.0</v>
      </c>
      <c r="C4445" s="687" t="s">
        <v>5371</v>
      </c>
      <c r="D4445" s="125"/>
    </row>
    <row r="4446">
      <c r="A4446" s="122" t="s">
        <v>2478</v>
      </c>
      <c r="B4446" s="123">
        <v>1713539.0</v>
      </c>
      <c r="C4446" s="687" t="s">
        <v>2479</v>
      </c>
      <c r="D4446" s="125"/>
    </row>
    <row r="4447">
      <c r="A4447" s="122" t="s">
        <v>7323</v>
      </c>
      <c r="B4447" s="123">
        <v>1479419.0</v>
      </c>
      <c r="C4447" s="687" t="s">
        <v>7324</v>
      </c>
      <c r="D4447" s="125"/>
    </row>
    <row r="4448">
      <c r="A4448" s="122" t="s">
        <v>1715</v>
      </c>
      <c r="B4448" s="123">
        <v>1854906.0</v>
      </c>
      <c r="C4448" s="687" t="s">
        <v>1716</v>
      </c>
      <c r="D4448" s="125"/>
    </row>
    <row r="4449">
      <c r="A4449" s="122" t="s">
        <v>33841</v>
      </c>
      <c r="B4449" s="123">
        <v>1751299.0</v>
      </c>
      <c r="C4449" s="687" t="s">
        <v>33842</v>
      </c>
      <c r="D4449" s="125"/>
    </row>
    <row r="4450">
      <c r="A4450" s="122" t="s">
        <v>898</v>
      </c>
      <c r="B4450" s="123">
        <v>1909152.0</v>
      </c>
      <c r="C4450" s="687" t="s">
        <v>899</v>
      </c>
      <c r="D4450" s="125"/>
    </row>
    <row r="4451">
      <c r="A4451" s="122" t="s">
        <v>33843</v>
      </c>
      <c r="B4451" s="123">
        <v>1389034.0</v>
      </c>
      <c r="C4451" s="687" t="s">
        <v>33844</v>
      </c>
      <c r="D4451" s="125"/>
    </row>
    <row r="4452">
      <c r="A4452" s="122" t="s">
        <v>4539</v>
      </c>
      <c r="B4452" s="123">
        <v>1432133.0</v>
      </c>
      <c r="C4452" s="687" t="s">
        <v>4540</v>
      </c>
      <c r="D4452" s="125"/>
    </row>
    <row r="4453">
      <c r="A4453" s="122" t="s">
        <v>10471</v>
      </c>
      <c r="B4453" s="123">
        <v>1348911.0</v>
      </c>
      <c r="C4453" s="687" t="s">
        <v>10472</v>
      </c>
      <c r="D4453" s="125"/>
    </row>
    <row r="4454">
      <c r="A4454" s="122" t="s">
        <v>6882</v>
      </c>
      <c r="B4454" s="123">
        <v>1567529.0</v>
      </c>
      <c r="C4454" s="687" t="s">
        <v>6883</v>
      </c>
      <c r="D4454" s="125"/>
    </row>
    <row r="4455">
      <c r="A4455" s="122" t="s">
        <v>13836</v>
      </c>
      <c r="B4455" s="123">
        <v>54381.0</v>
      </c>
      <c r="C4455" s="687" t="s">
        <v>13837</v>
      </c>
      <c r="D4455" s="125"/>
    </row>
    <row r="4456">
      <c r="A4456" s="122" t="s">
        <v>5308</v>
      </c>
      <c r="B4456" s="123">
        <v>1316517.0</v>
      </c>
      <c r="C4456" s="687" t="s">
        <v>5309</v>
      </c>
      <c r="D4456" s="125"/>
    </row>
    <row r="4457">
      <c r="A4457" s="122" t="s">
        <v>10189</v>
      </c>
      <c r="B4457" s="123">
        <v>1842827.0</v>
      </c>
      <c r="C4457" s="687" t="s">
        <v>10190</v>
      </c>
      <c r="D4457" s="125"/>
    </row>
    <row r="4458">
      <c r="A4458" s="122" t="s">
        <v>12254</v>
      </c>
      <c r="B4458" s="123">
        <v>1758021.0</v>
      </c>
      <c r="C4458" s="687" t="s">
        <v>12255</v>
      </c>
      <c r="D4458" s="125"/>
    </row>
    <row r="4459">
      <c r="A4459" s="122" t="s">
        <v>12348</v>
      </c>
      <c r="B4459" s="123">
        <v>1828102.0</v>
      </c>
      <c r="C4459" s="687" t="s">
        <v>12349</v>
      </c>
      <c r="D4459" s="125"/>
    </row>
    <row r="4460">
      <c r="A4460" s="122" t="s">
        <v>16432</v>
      </c>
      <c r="B4460" s="123">
        <v>1771917.0</v>
      </c>
      <c r="C4460" s="687" t="s">
        <v>16433</v>
      </c>
      <c r="D4460" s="125"/>
    </row>
    <row r="4461">
      <c r="A4461" s="122" t="s">
        <v>3865</v>
      </c>
      <c r="B4461" s="123">
        <v>1503802.0</v>
      </c>
      <c r="C4461" s="687" t="s">
        <v>3866</v>
      </c>
      <c r="D4461" s="125"/>
    </row>
    <row r="4462">
      <c r="A4462" s="122" t="s">
        <v>442</v>
      </c>
      <c r="B4462" s="123">
        <v>795212.0</v>
      </c>
      <c r="C4462" s="687" t="s">
        <v>443</v>
      </c>
      <c r="D4462" s="125"/>
    </row>
    <row r="4463">
      <c r="A4463" s="122" t="s">
        <v>33845</v>
      </c>
      <c r="B4463" s="123">
        <v>1474558.0</v>
      </c>
      <c r="C4463" s="687" t="s">
        <v>33846</v>
      </c>
      <c r="D4463" s="125"/>
    </row>
    <row r="4464">
      <c r="A4464" s="122" t="s">
        <v>723</v>
      </c>
      <c r="B4464" s="123">
        <v>1785424.0</v>
      </c>
      <c r="C4464" s="687" t="s">
        <v>724</v>
      </c>
      <c r="D4464" s="125"/>
    </row>
    <row r="4465">
      <c r="A4465" s="122" t="s">
        <v>9493</v>
      </c>
      <c r="B4465" s="123">
        <v>1785424.0</v>
      </c>
      <c r="C4465" s="687" t="s">
        <v>9494</v>
      </c>
      <c r="D4465" s="125"/>
    </row>
    <row r="4466">
      <c r="A4466" s="122" t="s">
        <v>1221</v>
      </c>
      <c r="B4466" s="123">
        <v>1530746.0</v>
      </c>
      <c r="C4466" s="687" t="s">
        <v>1222</v>
      </c>
      <c r="D4466" s="125"/>
    </row>
    <row r="4467">
      <c r="A4467" s="122" t="s">
        <v>7904</v>
      </c>
      <c r="B4467" s="123">
        <v>1293613.0</v>
      </c>
      <c r="C4467" s="687" t="s">
        <v>7905</v>
      </c>
      <c r="D4467" s="125"/>
    </row>
    <row r="4468">
      <c r="A4468" s="122" t="s">
        <v>2526</v>
      </c>
      <c r="B4468" s="123">
        <v>1075880.0</v>
      </c>
      <c r="C4468" s="687" t="s">
        <v>2527</v>
      </c>
      <c r="D4468" s="125"/>
    </row>
    <row r="4469">
      <c r="A4469" s="122" t="s">
        <v>14435</v>
      </c>
      <c r="B4469" s="123">
        <v>795266.0</v>
      </c>
      <c r="C4469" s="687" t="s">
        <v>14436</v>
      </c>
      <c r="D4469" s="125"/>
    </row>
    <row r="4470">
      <c r="A4470" s="122" t="s">
        <v>14198</v>
      </c>
      <c r="B4470" s="123">
        <v>1357615.0</v>
      </c>
      <c r="C4470" s="687" t="s">
        <v>14199</v>
      </c>
      <c r="D4470" s="125"/>
    </row>
    <row r="4471">
      <c r="A4471" s="122" t="s">
        <v>33847</v>
      </c>
      <c r="B4471" s="123">
        <v>1212787.0</v>
      </c>
      <c r="C4471" s="687" t="s">
        <v>33848</v>
      </c>
      <c r="D4471" s="125"/>
    </row>
    <row r="4472">
      <c r="A4472" s="122" t="s">
        <v>33849</v>
      </c>
      <c r="B4472" s="123">
        <v>1631256.0</v>
      </c>
      <c r="C4472" s="687" t="s">
        <v>33850</v>
      </c>
      <c r="D4472" s="125"/>
    </row>
    <row r="4473">
      <c r="A4473" s="122" t="s">
        <v>5069</v>
      </c>
      <c r="B4473" s="123">
        <v>1482430.0</v>
      </c>
      <c r="C4473" s="687" t="s">
        <v>5070</v>
      </c>
      <c r="D4473" s="125"/>
    </row>
    <row r="4474">
      <c r="A4474" s="122" t="s">
        <v>10147</v>
      </c>
      <c r="B4474" s="123">
        <v>1809587.0</v>
      </c>
      <c r="C4474" s="687" t="s">
        <v>10148</v>
      </c>
      <c r="D4474" s="125"/>
    </row>
    <row r="4475">
      <c r="A4475" s="122" t="s">
        <v>7416</v>
      </c>
      <c r="B4475" s="123">
        <v>1617242.0</v>
      </c>
      <c r="C4475" s="687" t="s">
        <v>7417</v>
      </c>
      <c r="D4475" s="125"/>
    </row>
    <row r="4476">
      <c r="A4476" s="122" t="s">
        <v>16673</v>
      </c>
      <c r="B4476" s="123">
        <v>1719489.0</v>
      </c>
      <c r="C4476" s="687" t="s">
        <v>16674</v>
      </c>
      <c r="D4476" s="125"/>
    </row>
    <row r="4477">
      <c r="A4477" s="122" t="s">
        <v>14264</v>
      </c>
      <c r="B4477" s="123">
        <v>55067.0</v>
      </c>
      <c r="C4477" s="687" t="s">
        <v>14265</v>
      </c>
      <c r="D4477" s="125"/>
    </row>
    <row r="4478">
      <c r="A4478" s="122" t="s">
        <v>2185</v>
      </c>
      <c r="B4478" s="123">
        <v>1161814.0</v>
      </c>
      <c r="C4478" s="687" t="s">
        <v>2186</v>
      </c>
      <c r="D4478" s="125"/>
    </row>
    <row r="4479">
      <c r="A4479" s="122" t="s">
        <v>488</v>
      </c>
      <c r="B4479" s="123">
        <v>1471302.0</v>
      </c>
      <c r="C4479" s="687" t="s">
        <v>489</v>
      </c>
      <c r="D4479" s="125"/>
    </row>
    <row r="4480">
      <c r="A4480" s="122" t="s">
        <v>11621</v>
      </c>
      <c r="B4480" s="123">
        <v>860748.0</v>
      </c>
      <c r="C4480" s="687" t="s">
        <v>11622</v>
      </c>
      <c r="D4480" s="125"/>
    </row>
    <row r="4481">
      <c r="A4481" s="122" t="s">
        <v>14356</v>
      </c>
      <c r="B4481" s="123">
        <v>860748.0</v>
      </c>
      <c r="C4481" s="687" t="s">
        <v>14357</v>
      </c>
      <c r="D4481" s="125"/>
    </row>
    <row r="4482">
      <c r="A4482" s="122" t="s">
        <v>2480</v>
      </c>
      <c r="B4482" s="123">
        <v>55234.0</v>
      </c>
      <c r="C4482" s="687" t="s">
        <v>2481</v>
      </c>
      <c r="D4482" s="125"/>
    </row>
    <row r="4483">
      <c r="A4483" s="122" t="s">
        <v>12306</v>
      </c>
      <c r="B4483" s="123">
        <v>55242.0</v>
      </c>
      <c r="C4483" s="687" t="s">
        <v>12307</v>
      </c>
      <c r="D4483" s="125"/>
    </row>
    <row r="4484">
      <c r="A4484" s="122" t="s">
        <v>8394</v>
      </c>
      <c r="B4484" s="123">
        <v>1408100.0</v>
      </c>
      <c r="C4484" s="687" t="s">
        <v>8395</v>
      </c>
      <c r="D4484" s="125"/>
    </row>
    <row r="4485">
      <c r="A4485" s="122" t="s">
        <v>12144</v>
      </c>
      <c r="B4485" s="123">
        <v>1611005.0</v>
      </c>
      <c r="C4485" s="687" t="s">
        <v>12145</v>
      </c>
      <c r="D4485" s="125"/>
    </row>
    <row r="4486">
      <c r="A4486" s="122" t="s">
        <v>2647</v>
      </c>
      <c r="B4486" s="123">
        <v>1797762.0</v>
      </c>
      <c r="C4486" s="687" t="s">
        <v>2648</v>
      </c>
      <c r="D4486" s="125"/>
    </row>
    <row r="4487">
      <c r="A4487" s="122" t="s">
        <v>8809</v>
      </c>
      <c r="B4487" s="123">
        <v>1865407.0</v>
      </c>
      <c r="C4487" s="687" t="s">
        <v>8810</v>
      </c>
      <c r="D4487" s="125"/>
    </row>
    <row r="4488">
      <c r="A4488" s="122" t="s">
        <v>5988</v>
      </c>
      <c r="B4488" s="123">
        <v>1297341.0</v>
      </c>
      <c r="C4488" s="687" t="s">
        <v>5989</v>
      </c>
      <c r="D4488" s="125"/>
    </row>
    <row r="4489">
      <c r="A4489" s="122" t="s">
        <v>1335</v>
      </c>
      <c r="B4489" s="123">
        <v>1832950.0</v>
      </c>
      <c r="C4489" s="687" t="s">
        <v>1336</v>
      </c>
      <c r="D4489" s="125"/>
    </row>
    <row r="4490">
      <c r="A4490" s="122" t="s">
        <v>8754</v>
      </c>
      <c r="B4490" s="123">
        <v>1832950.0</v>
      </c>
      <c r="C4490" s="687" t="s">
        <v>8755</v>
      </c>
      <c r="D4490" s="125"/>
    </row>
    <row r="4491">
      <c r="A4491" s="122" t="s">
        <v>14200</v>
      </c>
      <c r="B4491" s="123">
        <v>1664710.0</v>
      </c>
      <c r="C4491" s="687" t="s">
        <v>14201</v>
      </c>
      <c r="D4491" s="125"/>
    </row>
    <row r="4492">
      <c r="A4492" s="122" t="s">
        <v>11131</v>
      </c>
      <c r="B4492" s="123">
        <v>1436794.0</v>
      </c>
      <c r="C4492" s="687" t="s">
        <v>11132</v>
      </c>
      <c r="D4492" s="125"/>
    </row>
    <row r="4493">
      <c r="A4493" s="122" t="s">
        <v>8210</v>
      </c>
      <c r="B4493" s="123">
        <v>1436794.0</v>
      </c>
      <c r="C4493" s="687" t="s">
        <v>8211</v>
      </c>
      <c r="D4493" s="125"/>
    </row>
    <row r="4494">
      <c r="A4494" s="122" t="s">
        <v>16258</v>
      </c>
      <c r="B4494" s="123">
        <v>1866907.0</v>
      </c>
      <c r="C4494" s="687" t="s">
        <v>16259</v>
      </c>
      <c r="D4494" s="125"/>
    </row>
    <row r="4495">
      <c r="A4495" s="122" t="s">
        <v>12954</v>
      </c>
      <c r="B4495" s="123">
        <v>1418135.0</v>
      </c>
      <c r="C4495" s="687" t="s">
        <v>12955</v>
      </c>
      <c r="D4495" s="125"/>
    </row>
    <row r="4496">
      <c r="A4496" s="122" t="s">
        <v>12789</v>
      </c>
      <c r="B4496" s="123">
        <v>55529.0</v>
      </c>
      <c r="C4496" s="687" t="s">
        <v>12790</v>
      </c>
      <c r="D4496" s="125"/>
    </row>
    <row r="4497">
      <c r="A4497" s="122" t="s">
        <v>802</v>
      </c>
      <c r="B4497" s="123">
        <v>318996.0</v>
      </c>
      <c r="C4497" s="687" t="s">
        <v>803</v>
      </c>
      <c r="D4497" s="125"/>
    </row>
    <row r="4498">
      <c r="A4498" s="122" t="s">
        <v>6269</v>
      </c>
      <c r="B4498" s="123">
        <v>719733.0</v>
      </c>
      <c r="C4498" s="687" t="s">
        <v>6270</v>
      </c>
      <c r="D4498" s="125"/>
    </row>
    <row r="4499">
      <c r="A4499" s="122" t="s">
        <v>946</v>
      </c>
      <c r="B4499" s="123">
        <v>1865701.0</v>
      </c>
      <c r="C4499" s="687" t="s">
        <v>947</v>
      </c>
      <c r="D4499" s="125"/>
    </row>
    <row r="4500">
      <c r="A4500" s="122" t="s">
        <v>8978</v>
      </c>
      <c r="B4500" s="123">
        <v>1865701.0</v>
      </c>
      <c r="C4500" s="687" t="s">
        <v>8979</v>
      </c>
      <c r="D4500" s="125"/>
    </row>
    <row r="4501">
      <c r="A4501" s="122" t="s">
        <v>8815</v>
      </c>
      <c r="B4501" s="123">
        <v>1865701.0</v>
      </c>
      <c r="C4501" s="687" t="s">
        <v>8816</v>
      </c>
      <c r="D4501" s="125"/>
    </row>
    <row r="4502">
      <c r="A4502" s="122" t="s">
        <v>10281</v>
      </c>
      <c r="B4502" s="123">
        <v>91576.0</v>
      </c>
      <c r="C4502" s="687" t="s">
        <v>10282</v>
      </c>
      <c r="D4502" s="125"/>
    </row>
    <row r="4503">
      <c r="A4503" s="122" t="s">
        <v>15919</v>
      </c>
      <c r="B4503" s="123">
        <v>1601046.0</v>
      </c>
      <c r="C4503" s="687" t="s">
        <v>15920</v>
      </c>
      <c r="D4503" s="125"/>
    </row>
    <row r="4504">
      <c r="A4504" s="122" t="s">
        <v>3083</v>
      </c>
      <c r="B4504" s="123">
        <v>1832161.0</v>
      </c>
      <c r="C4504" s="687" t="s">
        <v>3084</v>
      </c>
      <c r="D4504" s="125"/>
    </row>
    <row r="4505">
      <c r="A4505" s="122" t="s">
        <v>3695</v>
      </c>
      <c r="B4505" s="123">
        <v>1645666.0</v>
      </c>
      <c r="C4505" s="687" t="s">
        <v>3696</v>
      </c>
      <c r="D4505" s="125"/>
    </row>
    <row r="4506">
      <c r="A4506" s="122" t="s">
        <v>14728</v>
      </c>
      <c r="B4506" s="123">
        <v>930420.0</v>
      </c>
      <c r="C4506" s="687" t="s">
        <v>14729</v>
      </c>
      <c r="D4506" s="125"/>
    </row>
    <row r="4507">
      <c r="A4507" s="122" t="s">
        <v>4739</v>
      </c>
      <c r="B4507" s="123">
        <v>16859.0</v>
      </c>
      <c r="C4507" s="687" t="s">
        <v>4740</v>
      </c>
      <c r="D4507" s="125"/>
    </row>
    <row r="4508">
      <c r="A4508" s="122" t="s">
        <v>33851</v>
      </c>
      <c r="B4508" s="123">
        <v>1614466.0</v>
      </c>
      <c r="C4508" s="687" t="s">
        <v>33852</v>
      </c>
      <c r="D4508" s="125"/>
    </row>
    <row r="4509">
      <c r="A4509" s="122" t="s">
        <v>806</v>
      </c>
      <c r="B4509" s="123">
        <v>1049011.0</v>
      </c>
      <c r="C4509" s="687" t="s">
        <v>807</v>
      </c>
      <c r="D4509" s="125"/>
    </row>
    <row r="4510">
      <c r="A4510" s="122" t="s">
        <v>1523</v>
      </c>
      <c r="B4510" s="123">
        <v>1318482.0</v>
      </c>
      <c r="C4510" s="687" t="s">
        <v>1524</v>
      </c>
      <c r="D4510" s="125"/>
    </row>
    <row r="4511">
      <c r="A4511" s="122" t="s">
        <v>2687</v>
      </c>
      <c r="B4511" s="123">
        <v>1861522.0</v>
      </c>
      <c r="C4511" s="687" t="s">
        <v>2688</v>
      </c>
      <c r="D4511" s="125"/>
    </row>
    <row r="4512">
      <c r="A4512" s="122" t="s">
        <v>13223</v>
      </c>
      <c r="B4512" s="123">
        <v>1025996.0</v>
      </c>
      <c r="C4512" s="687" t="s">
        <v>13224</v>
      </c>
      <c r="D4512" s="125"/>
    </row>
    <row r="4513">
      <c r="A4513" s="122" t="s">
        <v>12069</v>
      </c>
      <c r="B4513" s="123">
        <v>1606757.0</v>
      </c>
      <c r="C4513" s="687" t="s">
        <v>12070</v>
      </c>
      <c r="D4513" s="125"/>
    </row>
    <row r="4514">
      <c r="A4514" s="122" t="s">
        <v>10387</v>
      </c>
      <c r="B4514" s="123">
        <v>1657788.0</v>
      </c>
      <c r="C4514" s="687" t="s">
        <v>10388</v>
      </c>
      <c r="D4514" s="125"/>
    </row>
    <row r="4515">
      <c r="A4515" s="122" t="s">
        <v>15651</v>
      </c>
      <c r="B4515" s="123">
        <v>55785.0</v>
      </c>
      <c r="C4515" s="687" t="s">
        <v>15652</v>
      </c>
      <c r="D4515" s="125"/>
    </row>
    <row r="4516">
      <c r="A4516" s="122" t="s">
        <v>11451</v>
      </c>
      <c r="B4516" s="123">
        <v>879101.0</v>
      </c>
      <c r="C4516" s="687" t="s">
        <v>11452</v>
      </c>
      <c r="D4516" s="125"/>
    </row>
    <row r="4517">
      <c r="A4517" s="122" t="s">
        <v>1251</v>
      </c>
      <c r="B4517" s="123">
        <v>1696025.0</v>
      </c>
      <c r="C4517" s="687" t="s">
        <v>1252</v>
      </c>
      <c r="D4517" s="125"/>
    </row>
    <row r="4518">
      <c r="A4518" s="122" t="s">
        <v>10840</v>
      </c>
      <c r="B4518" s="123">
        <v>1506307.0</v>
      </c>
      <c r="C4518" s="687" t="s">
        <v>10841</v>
      </c>
      <c r="D4518" s="125"/>
    </row>
    <row r="4519">
      <c r="A4519" s="122" t="s">
        <v>7198</v>
      </c>
      <c r="B4519" s="123">
        <v>1696195.0</v>
      </c>
      <c r="C4519" s="687" t="s">
        <v>7199</v>
      </c>
      <c r="D4519" s="125"/>
    </row>
    <row r="4520">
      <c r="A4520" s="122" t="s">
        <v>13019</v>
      </c>
      <c r="B4520" s="123">
        <v>1692787.0</v>
      </c>
      <c r="C4520" s="687" t="s">
        <v>13020</v>
      </c>
      <c r="D4520" s="125"/>
    </row>
    <row r="4521">
      <c r="A4521" s="122" t="s">
        <v>33853</v>
      </c>
      <c r="B4521" s="123">
        <v>774415.0</v>
      </c>
      <c r="C4521" s="687" t="s">
        <v>33854</v>
      </c>
      <c r="D4521" s="125"/>
    </row>
    <row r="4522">
      <c r="A4522" s="122" t="s">
        <v>33855</v>
      </c>
      <c r="B4522" s="123">
        <v>1374881.0</v>
      </c>
      <c r="C4522" s="687" t="s">
        <v>33856</v>
      </c>
      <c r="D4522" s="125"/>
    </row>
    <row r="4523">
      <c r="A4523" s="122" t="s">
        <v>2522</v>
      </c>
      <c r="B4523" s="123">
        <v>1089531.0</v>
      </c>
      <c r="C4523" s="687" t="s">
        <v>2523</v>
      </c>
      <c r="D4523" s="125"/>
    </row>
    <row r="4524">
      <c r="A4524" s="122" t="s">
        <v>5243</v>
      </c>
      <c r="B4524" s="123">
        <v>1795589.0</v>
      </c>
      <c r="C4524" s="687" t="s">
        <v>5244</v>
      </c>
      <c r="D4524" s="125"/>
    </row>
    <row r="4525">
      <c r="A4525" s="122" t="s">
        <v>5644</v>
      </c>
      <c r="B4525" s="123">
        <v>33992.0</v>
      </c>
      <c r="C4525" s="687" t="s">
        <v>5645</v>
      </c>
      <c r="D4525" s="125"/>
    </row>
    <row r="4526">
      <c r="A4526" s="122" t="s">
        <v>7940</v>
      </c>
      <c r="B4526" s="123">
        <v>1072627.0</v>
      </c>
      <c r="C4526" s="687" t="s">
        <v>7941</v>
      </c>
      <c r="D4526" s="125"/>
    </row>
    <row r="4527">
      <c r="A4527" s="122" t="s">
        <v>9788</v>
      </c>
      <c r="B4527" s="123">
        <v>1823086.0</v>
      </c>
      <c r="C4527" s="687" t="s">
        <v>9789</v>
      </c>
      <c r="D4527" s="125"/>
    </row>
    <row r="4528">
      <c r="A4528" s="122" t="s">
        <v>719</v>
      </c>
      <c r="B4528" s="123">
        <v>1823086.0</v>
      </c>
      <c r="C4528" s="687" t="s">
        <v>720</v>
      </c>
      <c r="D4528" s="125"/>
    </row>
    <row r="4529">
      <c r="A4529" s="122" t="s">
        <v>11112</v>
      </c>
      <c r="B4529" s="123">
        <v>1730430.0</v>
      </c>
      <c r="C4529" s="687" t="s">
        <v>11113</v>
      </c>
      <c r="D4529" s="125"/>
    </row>
    <row r="4530">
      <c r="A4530" s="122" t="s">
        <v>5133</v>
      </c>
      <c r="B4530" s="123">
        <v>1797768.0</v>
      </c>
      <c r="C4530" s="687" t="s">
        <v>5134</v>
      </c>
      <c r="D4530" s="125"/>
    </row>
    <row r="4531">
      <c r="A4531" s="122" t="s">
        <v>6802</v>
      </c>
      <c r="B4531" s="123">
        <v>701818.0</v>
      </c>
      <c r="C4531" s="687" t="s">
        <v>6803</v>
      </c>
      <c r="D4531" s="125"/>
    </row>
    <row r="4532">
      <c r="A4532" s="122" t="s">
        <v>16529</v>
      </c>
      <c r="B4532" s="123">
        <v>1669162.0</v>
      </c>
      <c r="C4532" s="687" t="s">
        <v>16530</v>
      </c>
      <c r="D4532" s="125"/>
    </row>
    <row r="4533">
      <c r="A4533" s="122" t="s">
        <v>1960</v>
      </c>
      <c r="B4533" s="123">
        <v>1498382.0</v>
      </c>
      <c r="C4533" s="687" t="s">
        <v>1961</v>
      </c>
      <c r="D4533" s="125"/>
    </row>
    <row r="4534">
      <c r="A4534" s="122" t="s">
        <v>15095</v>
      </c>
      <c r="B4534" s="123">
        <v>56047.0</v>
      </c>
      <c r="C4534" s="687" t="s">
        <v>15096</v>
      </c>
      <c r="D4534" s="125"/>
    </row>
    <row r="4535">
      <c r="A4535" s="122" t="s">
        <v>5576</v>
      </c>
      <c r="B4535" s="123">
        <v>1056285.0</v>
      </c>
      <c r="C4535" s="687" t="s">
        <v>5577</v>
      </c>
      <c r="D4535" s="125"/>
    </row>
    <row r="4536">
      <c r="A4536" s="122" t="s">
        <v>4213</v>
      </c>
      <c r="B4536" s="123">
        <v>1792581.0</v>
      </c>
      <c r="C4536" s="687" t="s">
        <v>4214</v>
      </c>
      <c r="D4536" s="125"/>
    </row>
    <row r="4537">
      <c r="A4537" s="122" t="s">
        <v>581</v>
      </c>
      <c r="B4537" s="123">
        <v>1608092.0</v>
      </c>
      <c r="C4537" s="687" t="s">
        <v>582</v>
      </c>
      <c r="D4537" s="125"/>
    </row>
    <row r="4538">
      <c r="A4538" s="122" t="s">
        <v>11663</v>
      </c>
      <c r="B4538" s="123">
        <v>1286043.0</v>
      </c>
      <c r="C4538" s="687" t="s">
        <v>11664</v>
      </c>
      <c r="D4538" s="125"/>
    </row>
    <row r="4539">
      <c r="A4539" s="122" t="s">
        <v>15204</v>
      </c>
      <c r="B4539" s="123">
        <v>1404912.0</v>
      </c>
      <c r="C4539" s="687" t="s">
        <v>15205</v>
      </c>
      <c r="D4539" s="125"/>
    </row>
    <row r="4540">
      <c r="A4540" s="122" t="s">
        <v>11392</v>
      </c>
      <c r="B4540" s="123">
        <v>1404912.0</v>
      </c>
      <c r="C4540" s="687" t="s">
        <v>11393</v>
      </c>
      <c r="D4540" s="125"/>
    </row>
    <row r="4541">
      <c r="A4541" s="122" t="s">
        <v>9865</v>
      </c>
      <c r="B4541" s="123">
        <v>1515940.0</v>
      </c>
      <c r="C4541" s="687" t="s">
        <v>9866</v>
      </c>
      <c r="D4541" s="125"/>
    </row>
    <row r="4542">
      <c r="A4542" s="122" t="s">
        <v>9591</v>
      </c>
      <c r="B4542" s="123">
        <v>1631596.0</v>
      </c>
      <c r="C4542" s="687" t="s">
        <v>9592</v>
      </c>
      <c r="D4542" s="125"/>
    </row>
    <row r="4543">
      <c r="A4543" s="122" t="s">
        <v>16635</v>
      </c>
      <c r="B4543" s="123">
        <v>319201.0</v>
      </c>
      <c r="C4543" s="687" t="s">
        <v>16636</v>
      </c>
      <c r="D4543" s="125"/>
    </row>
    <row r="4544">
      <c r="A4544" s="122" t="s">
        <v>2759</v>
      </c>
      <c r="B4544" s="123">
        <v>1752474.0</v>
      </c>
      <c r="C4544" s="687" t="s">
        <v>2760</v>
      </c>
      <c r="D4544" s="125"/>
    </row>
    <row r="4545">
      <c r="A4545" s="122" t="s">
        <v>5786</v>
      </c>
      <c r="B4545" s="123">
        <v>1843351.0</v>
      </c>
      <c r="C4545" s="687" t="s">
        <v>5787</v>
      </c>
      <c r="D4545" s="125"/>
    </row>
    <row r="4546">
      <c r="A4546" s="122" t="s">
        <v>14418</v>
      </c>
      <c r="B4546" s="123">
        <v>1492691.0</v>
      </c>
      <c r="C4546" s="687" t="s">
        <v>14419</v>
      </c>
      <c r="D4546" s="125"/>
    </row>
    <row r="4547">
      <c r="A4547" s="122" t="s">
        <v>3153</v>
      </c>
      <c r="B4547" s="123">
        <v>1600983.0</v>
      </c>
      <c r="C4547" s="687" t="s">
        <v>3154</v>
      </c>
      <c r="D4547" s="125"/>
    </row>
    <row r="4548">
      <c r="A4548" s="122" t="s">
        <v>6862</v>
      </c>
      <c r="B4548" s="123">
        <v>1564180.0</v>
      </c>
      <c r="C4548" s="687" t="s">
        <v>6863</v>
      </c>
      <c r="D4548" s="125"/>
    </row>
    <row r="4549">
      <c r="A4549" s="122" t="s">
        <v>3023</v>
      </c>
      <c r="B4549" s="123">
        <v>1074828.0</v>
      </c>
      <c r="C4549" s="687" t="s">
        <v>3024</v>
      </c>
      <c r="D4549" s="125"/>
    </row>
    <row r="4550">
      <c r="A4550" s="122" t="s">
        <v>10729</v>
      </c>
      <c r="B4550" s="123">
        <v>1587523.0</v>
      </c>
      <c r="C4550" s="687" t="s">
        <v>10730</v>
      </c>
      <c r="D4550" s="125"/>
    </row>
    <row r="4551">
      <c r="A4551" s="122" t="s">
        <v>6093</v>
      </c>
      <c r="B4551" s="123">
        <v>1468748.0</v>
      </c>
      <c r="C4551" s="687" t="s">
        <v>6094</v>
      </c>
      <c r="D4551" s="125"/>
    </row>
    <row r="4552">
      <c r="A4552" s="122" t="s">
        <v>12473</v>
      </c>
      <c r="B4552" s="123">
        <v>885639.0</v>
      </c>
      <c r="C4552" s="687" t="s">
        <v>12474</v>
      </c>
      <c r="D4552" s="125"/>
    </row>
    <row r="4553">
      <c r="A4553" s="122" t="s">
        <v>33857</v>
      </c>
      <c r="B4553" s="123">
        <v>1802546.0</v>
      </c>
      <c r="C4553" s="687" t="s">
        <v>33858</v>
      </c>
      <c r="D4553" s="125"/>
    </row>
    <row r="4554">
      <c r="A4554" s="122" t="s">
        <v>3445</v>
      </c>
      <c r="B4554" s="123">
        <v>845819.0</v>
      </c>
      <c r="C4554" s="687" t="s">
        <v>3446</v>
      </c>
      <c r="D4554" s="125"/>
    </row>
    <row r="4555">
      <c r="A4555" s="122" t="s">
        <v>11590</v>
      </c>
      <c r="B4555" s="123">
        <v>313216.0</v>
      </c>
      <c r="C4555" s="687" t="s">
        <v>11528</v>
      </c>
      <c r="D4555" s="125"/>
    </row>
    <row r="4556">
      <c r="A4556" s="122" t="s">
        <v>11527</v>
      </c>
      <c r="B4556" s="123">
        <v>313216.0</v>
      </c>
      <c r="C4556" s="687" t="s">
        <v>11528</v>
      </c>
      <c r="D4556" s="125"/>
    </row>
    <row r="4557">
      <c r="A4557" s="122" t="s">
        <v>14385</v>
      </c>
      <c r="B4557" s="123">
        <v>1760965.0</v>
      </c>
      <c r="C4557" s="687" t="s">
        <v>14386</v>
      </c>
      <c r="D4557" s="125"/>
    </row>
    <row r="4558">
      <c r="A4558" s="122" t="s">
        <v>5082</v>
      </c>
      <c r="B4558" s="123">
        <v>771266.0</v>
      </c>
      <c r="C4558" s="687" t="s">
        <v>5083</v>
      </c>
      <c r="D4558" s="125"/>
    </row>
    <row r="4559">
      <c r="A4559" s="122" t="s">
        <v>14140</v>
      </c>
      <c r="B4559" s="123">
        <v>1315257.0</v>
      </c>
      <c r="C4559" s="687" t="s">
        <v>14141</v>
      </c>
      <c r="D4559" s="125"/>
    </row>
    <row r="4560">
      <c r="A4560" s="122" t="s">
        <v>603</v>
      </c>
      <c r="B4560" s="123">
        <v>1507964.0</v>
      </c>
      <c r="C4560" s="687" t="s">
        <v>604</v>
      </c>
      <c r="D4560" s="125"/>
    </row>
    <row r="4561">
      <c r="A4561" s="122" t="s">
        <v>3697</v>
      </c>
      <c r="B4561" s="123">
        <v>1855457.0</v>
      </c>
      <c r="C4561" s="687" t="s">
        <v>3698</v>
      </c>
      <c r="D4561" s="125"/>
    </row>
    <row r="4562">
      <c r="A4562" s="122" t="s">
        <v>11857</v>
      </c>
      <c r="B4562" s="123">
        <v>748691.0</v>
      </c>
      <c r="C4562" s="687" t="s">
        <v>11858</v>
      </c>
      <c r="D4562" s="125"/>
    </row>
    <row r="4563">
      <c r="A4563" s="122" t="s">
        <v>14424</v>
      </c>
      <c r="B4563" s="123">
        <v>56679.0</v>
      </c>
      <c r="C4563" s="687" t="s">
        <v>14425</v>
      </c>
      <c r="D4563" s="125"/>
    </row>
    <row r="4564">
      <c r="A4564" s="122" t="s">
        <v>10930</v>
      </c>
      <c r="B4564" s="123">
        <v>1625791.0</v>
      </c>
      <c r="C4564" s="687" t="s">
        <v>10931</v>
      </c>
      <c r="D4564" s="125"/>
    </row>
    <row r="4565">
      <c r="A4565" s="122" t="s">
        <v>4949</v>
      </c>
      <c r="B4565" s="123">
        <v>704440.0</v>
      </c>
      <c r="C4565" s="687" t="s">
        <v>4950</v>
      </c>
      <c r="D4565" s="125"/>
    </row>
    <row r="4566">
      <c r="A4566" s="122" t="s">
        <v>6910</v>
      </c>
      <c r="B4566" s="123">
        <v>1509991.0</v>
      </c>
      <c r="C4566" s="687" t="s">
        <v>6911</v>
      </c>
      <c r="D4566" s="125"/>
    </row>
    <row r="4567">
      <c r="A4567" s="122" t="s">
        <v>5388</v>
      </c>
      <c r="B4567" s="123">
        <v>56701.0</v>
      </c>
      <c r="C4567" s="687" t="s">
        <v>5389</v>
      </c>
      <c r="D4567" s="125"/>
    </row>
    <row r="4568">
      <c r="A4568" s="122" t="s">
        <v>13431</v>
      </c>
      <c r="B4568" s="123">
        <v>1637459.0</v>
      </c>
      <c r="C4568" s="687" t="s">
        <v>13432</v>
      </c>
      <c r="D4568" s="125"/>
    </row>
    <row r="4569">
      <c r="A4569" s="122" t="s">
        <v>1303</v>
      </c>
      <c r="B4569" s="123">
        <v>1413119.0</v>
      </c>
      <c r="C4569" s="687" t="s">
        <v>1304</v>
      </c>
      <c r="D4569" s="125"/>
    </row>
    <row r="4570">
      <c r="A4570" s="122" t="s">
        <v>10858</v>
      </c>
      <c r="B4570" s="123">
        <v>1069258.0</v>
      </c>
      <c r="C4570" s="687" t="s">
        <v>10859</v>
      </c>
      <c r="D4570" s="125"/>
    </row>
    <row r="4571">
      <c r="A4571" s="122" t="s">
        <v>10071</v>
      </c>
      <c r="B4571" s="123">
        <v>1857154.0</v>
      </c>
      <c r="C4571" s="687" t="s">
        <v>10072</v>
      </c>
      <c r="D4571" s="125"/>
    </row>
    <row r="4572">
      <c r="A4572" s="122" t="s">
        <v>13910</v>
      </c>
      <c r="B4572" s="123">
        <v>56873.0</v>
      </c>
      <c r="C4572" s="687" t="s">
        <v>13911</v>
      </c>
      <c r="D4572" s="125"/>
    </row>
    <row r="4573">
      <c r="A4573" s="122" t="s">
        <v>33859</v>
      </c>
      <c r="B4573" s="123">
        <v>1108248.0</v>
      </c>
      <c r="C4573" s="687" t="s">
        <v>33860</v>
      </c>
      <c r="D4573" s="125"/>
    </row>
    <row r="4574">
      <c r="A4574" s="122" t="s">
        <v>3921</v>
      </c>
      <c r="B4574" s="123">
        <v>1741830.0</v>
      </c>
      <c r="C4574" s="687" t="s">
        <v>3922</v>
      </c>
      <c r="D4574" s="125"/>
    </row>
    <row r="4575">
      <c r="A4575" s="122" t="s">
        <v>8130</v>
      </c>
      <c r="B4575" s="123">
        <v>1257640.0</v>
      </c>
      <c r="C4575" s="687" t="s">
        <v>8131</v>
      </c>
      <c r="D4575" s="125"/>
    </row>
    <row r="4576">
      <c r="A4576" s="122" t="s">
        <v>15534</v>
      </c>
      <c r="B4576" s="123">
        <v>1711279.0</v>
      </c>
      <c r="C4576" s="687" t="s">
        <v>15535</v>
      </c>
      <c r="D4576" s="125"/>
    </row>
    <row r="4577">
      <c r="A4577" s="122" t="s">
        <v>10243</v>
      </c>
      <c r="B4577" s="123">
        <v>892450.0</v>
      </c>
      <c r="C4577" s="687" t="s">
        <v>10244</v>
      </c>
      <c r="D4577" s="125"/>
    </row>
    <row r="4578">
      <c r="A4578" s="122" t="s">
        <v>33861</v>
      </c>
      <c r="B4578" s="123">
        <v>1729750.0</v>
      </c>
      <c r="C4578" s="687" t="s">
        <v>33862</v>
      </c>
      <c r="D4578" s="125"/>
    </row>
    <row r="4579">
      <c r="A4579" s="122" t="s">
        <v>33863</v>
      </c>
      <c r="B4579" s="123">
        <v>1729750.0</v>
      </c>
      <c r="C4579" s="687" t="s">
        <v>33864</v>
      </c>
      <c r="D4579" s="125"/>
    </row>
    <row r="4580">
      <c r="A4580" s="122" t="s">
        <v>4575</v>
      </c>
      <c r="B4580" s="123">
        <v>1809158.0</v>
      </c>
      <c r="C4580" s="687" t="s">
        <v>4576</v>
      </c>
      <c r="D4580" s="125"/>
    </row>
    <row r="4581">
      <c r="A4581" s="122" t="s">
        <v>13906</v>
      </c>
      <c r="B4581" s="123">
        <v>56978.0</v>
      </c>
      <c r="C4581" s="687" t="s">
        <v>13907</v>
      </c>
      <c r="D4581" s="125"/>
    </row>
    <row r="4582">
      <c r="A4582" s="122" t="s">
        <v>2199</v>
      </c>
      <c r="B4582" s="123">
        <v>1662684.0</v>
      </c>
      <c r="C4582" s="687" t="s">
        <v>2200</v>
      </c>
      <c r="D4582" s="125"/>
    </row>
    <row r="4583">
      <c r="A4583" s="122" t="s">
        <v>11611</v>
      </c>
      <c r="B4583" s="123">
        <v>1422143.0</v>
      </c>
      <c r="C4583" s="687" t="s">
        <v>11612</v>
      </c>
      <c r="D4583" s="125"/>
    </row>
    <row r="4584">
      <c r="A4584" s="122" t="s">
        <v>15355</v>
      </c>
      <c r="B4584" s="123">
        <v>1772177.0</v>
      </c>
      <c r="C4584" s="687" t="s">
        <v>15356</v>
      </c>
      <c r="D4584" s="125"/>
    </row>
    <row r="4585">
      <c r="A4585" s="122" t="s">
        <v>6458</v>
      </c>
      <c r="B4585" s="123">
        <v>1007587.0</v>
      </c>
      <c r="C4585" s="687" t="s">
        <v>6459</v>
      </c>
      <c r="D4585" s="125"/>
    </row>
    <row r="4586">
      <c r="A4586" s="122" t="s">
        <v>4056</v>
      </c>
      <c r="B4586" s="123">
        <v>1889823.0</v>
      </c>
      <c r="C4586" s="687" t="s">
        <v>4057</v>
      </c>
      <c r="D4586" s="125"/>
    </row>
    <row r="4587">
      <c r="A4587" s="122" t="s">
        <v>3029</v>
      </c>
      <c r="B4587" s="123">
        <v>1884164.0</v>
      </c>
      <c r="C4587" s="687" t="s">
        <v>3030</v>
      </c>
      <c r="D4587" s="125"/>
    </row>
    <row r="4588">
      <c r="A4588" s="122" t="s">
        <v>13068</v>
      </c>
      <c r="B4588" s="123">
        <v>1815442.0</v>
      </c>
      <c r="C4588" s="687" t="s">
        <v>13069</v>
      </c>
      <c r="D4588" s="125"/>
    </row>
    <row r="4589">
      <c r="A4589" s="122" t="s">
        <v>11588</v>
      </c>
      <c r="B4589" s="123">
        <v>1867072.0</v>
      </c>
      <c r="C4589" s="687" t="s">
        <v>11589</v>
      </c>
      <c r="D4589" s="125"/>
    </row>
    <row r="4590">
      <c r="A4590" s="122" t="s">
        <v>11975</v>
      </c>
      <c r="B4590" s="123">
        <v>352825.0</v>
      </c>
      <c r="C4590" s="687" t="s">
        <v>11976</v>
      </c>
      <c r="D4590" s="125"/>
    </row>
    <row r="4591">
      <c r="A4591" s="122" t="s">
        <v>3540</v>
      </c>
      <c r="B4591" s="123">
        <v>1841024.0</v>
      </c>
      <c r="C4591" s="687" t="s">
        <v>3541</v>
      </c>
      <c r="D4591" s="125"/>
    </row>
    <row r="4592">
      <c r="A4592" s="122" t="s">
        <v>9407</v>
      </c>
      <c r="B4592" s="123">
        <v>1841024.0</v>
      </c>
      <c r="C4592" s="687" t="s">
        <v>9408</v>
      </c>
      <c r="D4592" s="125"/>
    </row>
    <row r="4593">
      <c r="A4593" s="122" t="s">
        <v>9277</v>
      </c>
      <c r="B4593" s="123">
        <v>1841024.0</v>
      </c>
      <c r="C4593" s="687" t="s">
        <v>9278</v>
      </c>
      <c r="D4593" s="125"/>
    </row>
    <row r="4594">
      <c r="A4594" s="122" t="s">
        <v>10163</v>
      </c>
      <c r="B4594" s="123">
        <v>93676.0</v>
      </c>
      <c r="C4594" s="687" t="s">
        <v>10164</v>
      </c>
      <c r="D4594" s="125"/>
    </row>
    <row r="4595">
      <c r="A4595" s="122" t="s">
        <v>10039</v>
      </c>
      <c r="B4595" s="123">
        <v>93676.0</v>
      </c>
      <c r="C4595" s="687" t="s">
        <v>10040</v>
      </c>
      <c r="D4595" s="125"/>
    </row>
    <row r="4596">
      <c r="A4596" s="122" t="s">
        <v>8261</v>
      </c>
      <c r="B4596" s="123">
        <v>1825413.0</v>
      </c>
      <c r="C4596" s="687" t="s">
        <v>8262</v>
      </c>
      <c r="D4596" s="125"/>
    </row>
    <row r="4597">
      <c r="A4597" s="122" t="s">
        <v>16185</v>
      </c>
      <c r="B4597" s="123">
        <v>202058.0</v>
      </c>
      <c r="C4597" s="687" t="s">
        <v>16186</v>
      </c>
      <c r="D4597" s="125"/>
    </row>
    <row r="4598">
      <c r="A4598" s="122" t="s">
        <v>4451</v>
      </c>
      <c r="B4598" s="123">
        <v>1879403.0</v>
      </c>
      <c r="C4598" s="687" t="s">
        <v>4452</v>
      </c>
      <c r="D4598" s="125"/>
    </row>
    <row r="4599">
      <c r="A4599" s="122" t="s">
        <v>13295</v>
      </c>
      <c r="B4599" s="123">
        <v>57131.0</v>
      </c>
      <c r="C4599" s="687" t="s">
        <v>13296</v>
      </c>
      <c r="D4599" s="125"/>
    </row>
    <row r="4600">
      <c r="A4600" s="122" t="s">
        <v>16229</v>
      </c>
      <c r="B4600" s="123">
        <v>920148.0</v>
      </c>
      <c r="C4600" s="687" t="s">
        <v>16230</v>
      </c>
      <c r="D4600" s="125"/>
    </row>
    <row r="4601">
      <c r="A4601" s="122" t="s">
        <v>8836</v>
      </c>
      <c r="B4601" s="123">
        <v>1577670.0</v>
      </c>
      <c r="C4601" s="687" t="s">
        <v>8837</v>
      </c>
      <c r="D4601" s="125"/>
    </row>
    <row r="4602">
      <c r="A4602" s="122" t="s">
        <v>11189</v>
      </c>
      <c r="B4602" s="123">
        <v>1029730.0</v>
      </c>
      <c r="C4602" s="687" t="s">
        <v>11190</v>
      </c>
      <c r="D4602" s="125"/>
    </row>
    <row r="4603">
      <c r="A4603" s="122" t="s">
        <v>10485</v>
      </c>
      <c r="B4603" s="123">
        <v>1029730.0</v>
      </c>
      <c r="C4603" s="687" t="s">
        <v>10486</v>
      </c>
      <c r="D4603" s="125"/>
    </row>
    <row r="4604">
      <c r="A4604" s="122" t="s">
        <v>11187</v>
      </c>
      <c r="B4604" s="123">
        <v>1029730.0</v>
      </c>
      <c r="C4604" s="687" t="s">
        <v>11188</v>
      </c>
      <c r="D4604" s="125"/>
    </row>
    <row r="4605">
      <c r="A4605" s="122" t="s">
        <v>3656</v>
      </c>
      <c r="B4605" s="123">
        <v>1650696.0</v>
      </c>
      <c r="C4605" s="687" t="s">
        <v>3657</v>
      </c>
      <c r="D4605" s="125"/>
    </row>
    <row r="4606">
      <c r="A4606" s="122" t="s">
        <v>6202</v>
      </c>
      <c r="B4606" s="123">
        <v>1156174.0</v>
      </c>
      <c r="C4606" s="687" t="s">
        <v>6203</v>
      </c>
      <c r="D4606" s="125"/>
    </row>
    <row r="4607">
      <c r="A4607" s="122" t="s">
        <v>9452</v>
      </c>
      <c r="B4607" s="123">
        <v>1341318.0</v>
      </c>
      <c r="C4607" s="687" t="s">
        <v>9453</v>
      </c>
      <c r="D4607" s="125"/>
    </row>
    <row r="4608">
      <c r="A4608" s="122" t="s">
        <v>9863</v>
      </c>
      <c r="B4608" s="123">
        <v>846901.0</v>
      </c>
      <c r="C4608" s="687" t="s">
        <v>9864</v>
      </c>
      <c r="D4608" s="125"/>
    </row>
    <row r="4609">
      <c r="A4609" s="122" t="s">
        <v>14630</v>
      </c>
      <c r="B4609" s="123">
        <v>721994.0</v>
      </c>
      <c r="C4609" s="687" t="s">
        <v>14631</v>
      </c>
      <c r="D4609" s="125"/>
    </row>
    <row r="4610">
      <c r="A4610" s="122" t="s">
        <v>11061</v>
      </c>
      <c r="B4610" s="123">
        <v>798081.0</v>
      </c>
      <c r="C4610" s="687" t="s">
        <v>11062</v>
      </c>
      <c r="D4610" s="125"/>
    </row>
    <row r="4611">
      <c r="A4611" s="122" t="s">
        <v>1144</v>
      </c>
      <c r="B4611" s="123">
        <v>1867287.0</v>
      </c>
      <c r="C4611" s="687" t="s">
        <v>1145</v>
      </c>
      <c r="D4611" s="125"/>
    </row>
    <row r="4612">
      <c r="A4612" s="122" t="s">
        <v>9085</v>
      </c>
      <c r="B4612" s="123">
        <v>1867287.0</v>
      </c>
      <c r="C4612" s="687" t="s">
        <v>9086</v>
      </c>
      <c r="D4612" s="125"/>
    </row>
    <row r="4613">
      <c r="A4613" s="122" t="s">
        <v>9234</v>
      </c>
      <c r="B4613" s="123">
        <v>1867287.0</v>
      </c>
      <c r="C4613" s="687" t="s">
        <v>9235</v>
      </c>
      <c r="D4613" s="125"/>
    </row>
    <row r="4614">
      <c r="A4614" s="122" t="s">
        <v>16665</v>
      </c>
      <c r="B4614" s="123">
        <v>707549.0</v>
      </c>
      <c r="C4614" s="687" t="s">
        <v>16666</v>
      </c>
      <c r="D4614" s="125"/>
    </row>
    <row r="4615">
      <c r="A4615" s="122" t="s">
        <v>15475</v>
      </c>
      <c r="B4615" s="123">
        <v>1090425.0</v>
      </c>
      <c r="C4615" s="687" t="s">
        <v>15476</v>
      </c>
      <c r="D4615" s="125"/>
    </row>
    <row r="4616">
      <c r="A4616" s="122" t="s">
        <v>15483</v>
      </c>
      <c r="B4616" s="123">
        <v>1679273.0</v>
      </c>
      <c r="C4616" s="687" t="s">
        <v>15484</v>
      </c>
      <c r="D4616" s="125"/>
    </row>
    <row r="4617">
      <c r="A4617" s="122" t="s">
        <v>1175</v>
      </c>
      <c r="B4617" s="123">
        <v>1879297.0</v>
      </c>
      <c r="C4617" s="687" t="s">
        <v>1176</v>
      </c>
      <c r="D4617" s="125"/>
    </row>
    <row r="4618">
      <c r="A4618" s="122" t="s">
        <v>9034</v>
      </c>
      <c r="B4618" s="123">
        <v>1879297.0</v>
      </c>
      <c r="C4618" s="687" t="s">
        <v>9035</v>
      </c>
      <c r="D4618" s="125"/>
    </row>
    <row r="4619">
      <c r="A4619" s="122" t="s">
        <v>9255</v>
      </c>
      <c r="B4619" s="123">
        <v>1879297.0</v>
      </c>
      <c r="C4619" s="687" t="s">
        <v>9256</v>
      </c>
      <c r="D4619" s="125"/>
    </row>
    <row r="4620">
      <c r="A4620" s="122" t="s">
        <v>16170</v>
      </c>
      <c r="B4620" s="123">
        <v>57515.0</v>
      </c>
      <c r="C4620" s="687" t="s">
        <v>16171</v>
      </c>
      <c r="D4620" s="125"/>
    </row>
    <row r="4621">
      <c r="A4621" s="122" t="s">
        <v>3123</v>
      </c>
      <c r="B4621" s="123">
        <v>1672572.0</v>
      </c>
      <c r="C4621" s="687" t="s">
        <v>3124</v>
      </c>
      <c r="D4621" s="125"/>
    </row>
    <row r="4622">
      <c r="A4622" s="122" t="s">
        <v>1650</v>
      </c>
      <c r="B4622" s="123">
        <v>1844642.0</v>
      </c>
      <c r="C4622" s="687" t="s">
        <v>1651</v>
      </c>
      <c r="D4622" s="125"/>
    </row>
    <row r="4623">
      <c r="A4623" s="122" t="s">
        <v>8568</v>
      </c>
      <c r="B4623" s="123">
        <v>1844642.0</v>
      </c>
      <c r="C4623" s="687" t="s">
        <v>8569</v>
      </c>
      <c r="D4623" s="125"/>
    </row>
    <row r="4624">
      <c r="A4624" s="122" t="s">
        <v>8576</v>
      </c>
      <c r="B4624" s="123">
        <v>1844642.0</v>
      </c>
      <c r="C4624" s="687" t="s">
        <v>8577</v>
      </c>
      <c r="D4624" s="125"/>
    </row>
    <row r="4625">
      <c r="A4625" s="122" t="s">
        <v>11593</v>
      </c>
      <c r="B4625" s="123">
        <v>1141688.0</v>
      </c>
      <c r="C4625" s="687" t="s">
        <v>11594</v>
      </c>
      <c r="D4625" s="125"/>
    </row>
    <row r="4626">
      <c r="A4626" s="122" t="s">
        <v>6694</v>
      </c>
      <c r="B4626" s="123">
        <v>1785345.0</v>
      </c>
      <c r="C4626" s="687" t="s">
        <v>6695</v>
      </c>
      <c r="D4626" s="125"/>
    </row>
    <row r="4627">
      <c r="A4627" s="122" t="s">
        <v>8103</v>
      </c>
      <c r="B4627" s="123">
        <v>799288.0</v>
      </c>
      <c r="C4627" s="687" t="s">
        <v>8104</v>
      </c>
      <c r="D4627" s="125"/>
    </row>
    <row r="4628">
      <c r="A4628" s="122" t="s">
        <v>2612</v>
      </c>
      <c r="B4628" s="123">
        <v>1721386.0</v>
      </c>
      <c r="C4628" s="687" t="s">
        <v>2613</v>
      </c>
      <c r="D4628" s="125"/>
    </row>
    <row r="4629">
      <c r="A4629" s="122" t="s">
        <v>9758</v>
      </c>
      <c r="B4629" s="123">
        <v>1721386.0</v>
      </c>
      <c r="C4629" s="687" t="s">
        <v>9759</v>
      </c>
      <c r="D4629" s="125"/>
    </row>
    <row r="4630">
      <c r="A4630" s="122" t="s">
        <v>16118</v>
      </c>
      <c r="B4630" s="123">
        <v>853816.0</v>
      </c>
      <c r="C4630" s="687" t="s">
        <v>16119</v>
      </c>
      <c r="D4630" s="125"/>
    </row>
    <row r="4631">
      <c r="A4631" s="122" t="s">
        <v>2059</v>
      </c>
      <c r="B4631" s="123">
        <v>1546383.0</v>
      </c>
      <c r="C4631" s="687" t="s">
        <v>2060</v>
      </c>
      <c r="D4631" s="125"/>
    </row>
    <row r="4632">
      <c r="A4632" s="122" t="s">
        <v>6200</v>
      </c>
      <c r="B4632" s="123">
        <v>1763950.0</v>
      </c>
      <c r="C4632" s="687" t="s">
        <v>6201</v>
      </c>
      <c r="D4632" s="125"/>
    </row>
    <row r="4633">
      <c r="A4633" s="122" t="s">
        <v>14232</v>
      </c>
      <c r="B4633" s="123">
        <v>1521036.0</v>
      </c>
      <c r="C4633" s="687" t="s">
        <v>14233</v>
      </c>
      <c r="D4633" s="125"/>
    </row>
    <row r="4634">
      <c r="A4634" s="122" t="s">
        <v>7220</v>
      </c>
      <c r="B4634" s="123">
        <v>1114925.0</v>
      </c>
      <c r="C4634" s="687" t="s">
        <v>7221</v>
      </c>
      <c r="D4634" s="125"/>
    </row>
    <row r="4635">
      <c r="A4635" s="122" t="s">
        <v>4809</v>
      </c>
      <c r="B4635" s="123">
        <v>1922097.0</v>
      </c>
      <c r="C4635" s="687" t="s">
        <v>4810</v>
      </c>
      <c r="D4635" s="125"/>
    </row>
    <row r="4636">
      <c r="A4636" s="122" t="s">
        <v>2313</v>
      </c>
      <c r="B4636" s="123">
        <v>1442492.0</v>
      </c>
      <c r="C4636" s="687" t="s">
        <v>2314</v>
      </c>
      <c r="D4636" s="125"/>
    </row>
    <row r="4637">
      <c r="A4637" s="122" t="s">
        <v>4790</v>
      </c>
      <c r="B4637" s="123">
        <v>1400438.0</v>
      </c>
      <c r="C4637" s="687" t="s">
        <v>4791</v>
      </c>
      <c r="D4637" s="125"/>
    </row>
    <row r="4638">
      <c r="A4638" s="122" t="s">
        <v>7081</v>
      </c>
      <c r="B4638" s="123">
        <v>1374690.0</v>
      </c>
      <c r="C4638" s="687" t="s">
        <v>7082</v>
      </c>
      <c r="D4638" s="125"/>
    </row>
    <row r="4639">
      <c r="A4639" s="122" t="s">
        <v>33865</v>
      </c>
      <c r="B4639" s="123">
        <v>1826000.0</v>
      </c>
      <c r="C4639" s="687" t="s">
        <v>33866</v>
      </c>
      <c r="D4639" s="125"/>
    </row>
    <row r="4640">
      <c r="A4640" s="122" t="s">
        <v>3496</v>
      </c>
      <c r="B4640" s="123">
        <v>1826000.0</v>
      </c>
      <c r="C4640" s="687" t="s">
        <v>3497</v>
      </c>
      <c r="D4640" s="125"/>
    </row>
    <row r="4641">
      <c r="A4641" s="122" t="s">
        <v>5201</v>
      </c>
      <c r="B4641" s="123">
        <v>1833197.0</v>
      </c>
      <c r="C4641" s="687" t="s">
        <v>5202</v>
      </c>
      <c r="D4641" s="125"/>
    </row>
    <row r="4642">
      <c r="A4642" s="122" t="s">
        <v>16776</v>
      </c>
      <c r="B4642" s="123">
        <v>1037390.0</v>
      </c>
      <c r="C4642" s="687" t="s">
        <v>16777</v>
      </c>
      <c r="D4642" s="125"/>
    </row>
    <row r="4643">
      <c r="A4643" s="122" t="s">
        <v>14516</v>
      </c>
      <c r="B4643" s="123">
        <v>855658.0</v>
      </c>
      <c r="C4643" s="687" t="s">
        <v>14517</v>
      </c>
      <c r="D4643" s="125"/>
    </row>
    <row r="4644">
      <c r="A4644" s="122" t="s">
        <v>9818</v>
      </c>
      <c r="B4644" s="123">
        <v>912766.0</v>
      </c>
      <c r="C4644" s="687" t="s">
        <v>9819</v>
      </c>
      <c r="D4644" s="125"/>
    </row>
    <row r="4645">
      <c r="A4645" s="122" t="s">
        <v>4590</v>
      </c>
      <c r="B4645" s="123">
        <v>1840748.0</v>
      </c>
      <c r="C4645" s="687" t="s">
        <v>4591</v>
      </c>
      <c r="D4645" s="125"/>
    </row>
    <row r="4646">
      <c r="A4646" s="122" t="s">
        <v>10499</v>
      </c>
      <c r="B4646" s="123">
        <v>1278211.0</v>
      </c>
      <c r="C4646" s="687" t="s">
        <v>10500</v>
      </c>
      <c r="D4646" s="125"/>
    </row>
    <row r="4647">
      <c r="A4647" s="122" t="s">
        <v>13634</v>
      </c>
      <c r="B4647" s="123">
        <v>1311370.0</v>
      </c>
      <c r="C4647" s="687" t="s">
        <v>13635</v>
      </c>
      <c r="D4647" s="125"/>
    </row>
    <row r="4648">
      <c r="A4648" s="122" t="s">
        <v>15568</v>
      </c>
      <c r="B4648" s="123">
        <v>763744.0</v>
      </c>
      <c r="C4648" s="687" t="s">
        <v>15569</v>
      </c>
      <c r="D4648" s="125"/>
    </row>
    <row r="4649">
      <c r="A4649" s="122" t="s">
        <v>10303</v>
      </c>
      <c r="B4649" s="123">
        <v>1074902.0</v>
      </c>
      <c r="C4649" s="687" t="s">
        <v>10304</v>
      </c>
      <c r="D4649" s="125"/>
    </row>
    <row r="4650">
      <c r="A4650" s="122" t="s">
        <v>6589</v>
      </c>
      <c r="B4650" s="123">
        <v>1888980.0</v>
      </c>
      <c r="C4650" s="687" t="s">
        <v>6590</v>
      </c>
      <c r="D4650" s="125"/>
    </row>
    <row r="4651">
      <c r="A4651" s="122" t="s">
        <v>2000</v>
      </c>
      <c r="B4651" s="123">
        <v>1715433.0</v>
      </c>
      <c r="C4651" s="687" t="s">
        <v>2001</v>
      </c>
      <c r="D4651" s="125"/>
    </row>
    <row r="4652">
      <c r="A4652" s="122" t="s">
        <v>5695</v>
      </c>
      <c r="B4652" s="123">
        <v>1723187.0</v>
      </c>
      <c r="C4652" s="687" t="s">
        <v>5696</v>
      </c>
      <c r="D4652" s="125"/>
    </row>
    <row r="4653">
      <c r="A4653" s="122" t="s">
        <v>1243</v>
      </c>
      <c r="B4653" s="123">
        <v>1643721.0</v>
      </c>
      <c r="C4653" s="687" t="s">
        <v>1244</v>
      </c>
      <c r="D4653" s="125"/>
    </row>
    <row r="4654">
      <c r="A4654" s="122" t="s">
        <v>1122</v>
      </c>
      <c r="B4654" s="123">
        <v>1785592.0</v>
      </c>
      <c r="C4654" s="687" t="s">
        <v>1123</v>
      </c>
      <c r="D4654" s="125"/>
    </row>
    <row r="4655">
      <c r="A4655" s="122" t="s">
        <v>6177</v>
      </c>
      <c r="B4655" s="123">
        <v>1785592.0</v>
      </c>
      <c r="C4655" s="687" t="s">
        <v>6178</v>
      </c>
      <c r="D4655" s="125"/>
    </row>
    <row r="4656">
      <c r="A4656" s="122" t="s">
        <v>5750</v>
      </c>
      <c r="B4656" s="123">
        <v>1509745.0</v>
      </c>
      <c r="C4656" s="687" t="s">
        <v>5751</v>
      </c>
      <c r="D4656" s="125"/>
    </row>
    <row r="4657">
      <c r="A4657" s="122" t="s">
        <v>15772</v>
      </c>
      <c r="B4657" s="123">
        <v>842162.0</v>
      </c>
      <c r="C4657" s="687" t="s">
        <v>15773</v>
      </c>
      <c r="D4657" s="125"/>
    </row>
    <row r="4658">
      <c r="A4658" s="122" t="s">
        <v>8986</v>
      </c>
      <c r="B4658" s="123">
        <v>1847577.0</v>
      </c>
      <c r="C4658" s="687" t="s">
        <v>8987</v>
      </c>
      <c r="D4658" s="125"/>
    </row>
    <row r="4659">
      <c r="A4659" s="122" t="s">
        <v>7920</v>
      </c>
      <c r="B4659" s="123">
        <v>1456189.0</v>
      </c>
      <c r="C4659" s="687" t="s">
        <v>7921</v>
      </c>
      <c r="D4659" s="125"/>
    </row>
    <row r="4660">
      <c r="A4660" s="122" t="s">
        <v>8335</v>
      </c>
      <c r="B4660" s="123">
        <v>58361.0</v>
      </c>
      <c r="C4660" s="687" t="s">
        <v>8336</v>
      </c>
      <c r="D4660" s="125"/>
    </row>
    <row r="4661">
      <c r="A4661" s="122" t="s">
        <v>33867</v>
      </c>
      <c r="B4661" s="123">
        <v>1586495.0</v>
      </c>
      <c r="C4661" s="687" t="s">
        <v>33868</v>
      </c>
      <c r="D4661" s="125"/>
    </row>
    <row r="4662">
      <c r="A4662" s="122" t="s">
        <v>2027</v>
      </c>
      <c r="B4662" s="123">
        <v>1561880.0</v>
      </c>
      <c r="C4662" s="687" t="s">
        <v>2028</v>
      </c>
      <c r="D4662" s="125"/>
    </row>
    <row r="4663">
      <c r="A4663" s="122" t="s">
        <v>12202</v>
      </c>
      <c r="B4663" s="123">
        <v>1436208.0</v>
      </c>
      <c r="C4663" s="687" t="s">
        <v>12203</v>
      </c>
      <c r="D4663" s="125"/>
    </row>
    <row r="4664">
      <c r="A4664" s="122" t="s">
        <v>5231</v>
      </c>
      <c r="B4664" s="123">
        <v>1616788.0</v>
      </c>
      <c r="C4664" s="687" t="s">
        <v>5232</v>
      </c>
      <c r="D4664" s="125"/>
    </row>
    <row r="4665">
      <c r="A4665" s="122" t="s">
        <v>8540</v>
      </c>
      <c r="B4665" s="123">
        <v>1286139.0</v>
      </c>
      <c r="C4665" s="687" t="s">
        <v>8541</v>
      </c>
      <c r="D4665" s="125"/>
    </row>
    <row r="4666">
      <c r="A4666" s="122" t="s">
        <v>14301</v>
      </c>
      <c r="B4666" s="123">
        <v>1801198.0</v>
      </c>
      <c r="C4666" s="687" t="s">
        <v>14302</v>
      </c>
      <c r="D4666" s="125"/>
    </row>
    <row r="4667">
      <c r="A4667" s="122" t="s">
        <v>11973</v>
      </c>
      <c r="B4667" s="123">
        <v>58492.0</v>
      </c>
      <c r="C4667" s="687" t="s">
        <v>11974</v>
      </c>
      <c r="D4667" s="125"/>
    </row>
    <row r="4668">
      <c r="A4668" s="122" t="s">
        <v>1491</v>
      </c>
      <c r="B4668" s="123">
        <v>1661166.0</v>
      </c>
      <c r="C4668" s="687" t="s">
        <v>1492</v>
      </c>
      <c r="D4668" s="125"/>
    </row>
    <row r="4669">
      <c r="A4669" s="122" t="s">
        <v>12508</v>
      </c>
      <c r="B4669" s="123">
        <v>1284143.0</v>
      </c>
      <c r="C4669" s="687" t="s">
        <v>12509</v>
      </c>
      <c r="D4669" s="125"/>
    </row>
    <row r="4670">
      <c r="A4670" s="122" t="s">
        <v>15524</v>
      </c>
      <c r="B4670" s="123">
        <v>1336920.0</v>
      </c>
      <c r="C4670" s="687" t="s">
        <v>15525</v>
      </c>
      <c r="D4670" s="125"/>
    </row>
    <row r="4671">
      <c r="A4671" s="122" t="s">
        <v>3992</v>
      </c>
      <c r="B4671" s="123">
        <v>1596856.0</v>
      </c>
      <c r="C4671" s="687" t="s">
        <v>3993</v>
      </c>
      <c r="D4671" s="125"/>
    </row>
    <row r="4672">
      <c r="A4672" s="122" t="s">
        <v>14393</v>
      </c>
      <c r="B4672" s="123">
        <v>1158895.0</v>
      </c>
      <c r="C4672" s="687" t="s">
        <v>14394</v>
      </c>
      <c r="D4672" s="125"/>
    </row>
    <row r="4673">
      <c r="A4673" s="122" t="s">
        <v>10661</v>
      </c>
      <c r="B4673" s="123">
        <v>1691421.0</v>
      </c>
      <c r="C4673" s="687" t="s">
        <v>10662</v>
      </c>
      <c r="D4673" s="125"/>
    </row>
    <row r="4674">
      <c r="A4674" s="122" t="s">
        <v>8015</v>
      </c>
      <c r="B4674" s="123">
        <v>1409970.0</v>
      </c>
      <c r="C4674" s="687" t="s">
        <v>8016</v>
      </c>
      <c r="D4674" s="125"/>
    </row>
    <row r="4675">
      <c r="A4675" s="122" t="s">
        <v>12958</v>
      </c>
      <c r="B4675" s="123">
        <v>1434621.0</v>
      </c>
      <c r="C4675" s="687" t="s">
        <v>12959</v>
      </c>
      <c r="D4675" s="125"/>
    </row>
    <row r="4676">
      <c r="A4676" s="122" t="s">
        <v>15911</v>
      </c>
      <c r="B4676" s="123">
        <v>920760.0</v>
      </c>
      <c r="C4676" s="687" t="s">
        <v>15912</v>
      </c>
      <c r="D4676" s="125"/>
    </row>
    <row r="4677">
      <c r="A4677" s="122" t="s">
        <v>16543</v>
      </c>
      <c r="B4677" s="123">
        <v>1069202.0</v>
      </c>
      <c r="C4677" s="687" t="s">
        <v>16544</v>
      </c>
      <c r="D4677" s="125"/>
    </row>
    <row r="4678">
      <c r="A4678" s="122" t="s">
        <v>3939</v>
      </c>
      <c r="B4678" s="123">
        <v>932477.0</v>
      </c>
      <c r="C4678" s="687" t="s">
        <v>3940</v>
      </c>
      <c r="D4678" s="125"/>
    </row>
    <row r="4679">
      <c r="A4679" s="122" t="s">
        <v>11471</v>
      </c>
      <c r="B4679" s="123">
        <v>932477.0</v>
      </c>
      <c r="C4679" s="687" t="s">
        <v>3940</v>
      </c>
      <c r="D4679" s="125"/>
    </row>
    <row r="4680">
      <c r="A4680" s="122" t="s">
        <v>5972</v>
      </c>
      <c r="B4680" s="123">
        <v>1320350.0</v>
      </c>
      <c r="C4680" s="687" t="s">
        <v>5973</v>
      </c>
      <c r="D4680" s="125"/>
    </row>
    <row r="4681">
      <c r="A4681" s="122" t="s">
        <v>13374</v>
      </c>
      <c r="B4681" s="123">
        <v>1592651.0</v>
      </c>
      <c r="C4681" s="687" t="s">
        <v>13375</v>
      </c>
      <c r="D4681" s="125"/>
    </row>
    <row r="4682">
      <c r="A4682" s="122" t="s">
        <v>11242</v>
      </c>
      <c r="B4682" s="123">
        <v>1833756.0</v>
      </c>
      <c r="C4682" s="687" t="s">
        <v>11243</v>
      </c>
      <c r="D4682" s="125"/>
    </row>
    <row r="4683">
      <c r="A4683" s="122" t="s">
        <v>12923</v>
      </c>
      <c r="B4683" s="123">
        <v>1701167.0</v>
      </c>
      <c r="C4683" s="687" t="s">
        <v>12924</v>
      </c>
      <c r="D4683" s="125"/>
    </row>
    <row r="4684">
      <c r="A4684" s="122" t="s">
        <v>5871</v>
      </c>
      <c r="B4684" s="123">
        <v>1041514.0</v>
      </c>
      <c r="C4684" s="687" t="s">
        <v>5872</v>
      </c>
      <c r="D4684" s="125"/>
    </row>
    <row r="4685">
      <c r="A4685" s="122" t="s">
        <v>7339</v>
      </c>
      <c r="B4685" s="123">
        <v>1821806.0</v>
      </c>
      <c r="C4685" s="687" t="s">
        <v>7340</v>
      </c>
      <c r="D4685" s="125"/>
    </row>
    <row r="4686">
      <c r="A4686" s="122" t="s">
        <v>10703</v>
      </c>
      <c r="B4686" s="123">
        <v>94845.0</v>
      </c>
      <c r="C4686" s="687" t="s">
        <v>10704</v>
      </c>
      <c r="D4686" s="125"/>
    </row>
    <row r="4687">
      <c r="A4687" s="122" t="s">
        <v>3317</v>
      </c>
      <c r="B4687" s="123">
        <v>1348362.0</v>
      </c>
      <c r="C4687" s="687" t="s">
        <v>3318</v>
      </c>
      <c r="D4687" s="125"/>
    </row>
    <row r="4688">
      <c r="A4688" s="122" t="s">
        <v>4607</v>
      </c>
      <c r="B4688" s="123">
        <v>1348362.0</v>
      </c>
      <c r="C4688" s="687" t="s">
        <v>4608</v>
      </c>
      <c r="D4688" s="125"/>
    </row>
    <row r="4689">
      <c r="A4689" s="122" t="s">
        <v>4941</v>
      </c>
      <c r="B4689" s="123">
        <v>1062822.0</v>
      </c>
      <c r="C4689" s="687" t="s">
        <v>4942</v>
      </c>
      <c r="D4689" s="125"/>
    </row>
    <row r="4690">
      <c r="A4690" s="122" t="s">
        <v>4585</v>
      </c>
      <c r="B4690" s="123">
        <v>1708259.0</v>
      </c>
      <c r="C4690" s="687" t="s">
        <v>4586</v>
      </c>
      <c r="D4690" s="125"/>
    </row>
    <row r="4691">
      <c r="A4691" s="122" t="s">
        <v>4959</v>
      </c>
      <c r="B4691" s="123">
        <v>1391135.0</v>
      </c>
      <c r="C4691" s="687" t="s">
        <v>4960</v>
      </c>
      <c r="D4691" s="125"/>
    </row>
    <row r="4692">
      <c r="A4692" s="122" t="s">
        <v>6281</v>
      </c>
      <c r="B4692" s="123">
        <v>1290109.0</v>
      </c>
      <c r="C4692" s="687" t="s">
        <v>6282</v>
      </c>
      <c r="D4692" s="125"/>
    </row>
    <row r="4693">
      <c r="A4693" s="122" t="s">
        <v>33869</v>
      </c>
      <c r="B4693" s="123">
        <v>1510247.0</v>
      </c>
      <c r="C4693" s="687" t="s">
        <v>33870</v>
      </c>
      <c r="D4693" s="125"/>
    </row>
    <row r="4694">
      <c r="A4694" s="122" t="s">
        <v>15616</v>
      </c>
      <c r="B4694" s="123">
        <v>1580670.0</v>
      </c>
      <c r="C4694" s="687" t="s">
        <v>15617</v>
      </c>
      <c r="D4694" s="125"/>
    </row>
    <row r="4695">
      <c r="A4695" s="122" t="s">
        <v>7083</v>
      </c>
      <c r="B4695" s="123">
        <v>61004.0</v>
      </c>
      <c r="C4695" s="687" t="s">
        <v>7084</v>
      </c>
      <c r="D4695" s="125"/>
    </row>
    <row r="4696">
      <c r="A4696" s="122" t="s">
        <v>10953</v>
      </c>
      <c r="B4696" s="123">
        <v>1791706.0</v>
      </c>
      <c r="C4696" s="687" t="s">
        <v>10954</v>
      </c>
      <c r="D4696" s="125"/>
    </row>
    <row r="4697">
      <c r="A4697" s="122" t="s">
        <v>12673</v>
      </c>
      <c r="B4697" s="123">
        <v>1791706.0</v>
      </c>
      <c r="C4697" s="687" t="s">
        <v>10954</v>
      </c>
      <c r="D4697" s="125"/>
    </row>
    <row r="4698">
      <c r="A4698" s="122" t="s">
        <v>4965</v>
      </c>
      <c r="B4698" s="123">
        <v>1447629.0</v>
      </c>
      <c r="C4698" s="687" t="s">
        <v>4966</v>
      </c>
      <c r="D4698" s="125"/>
    </row>
    <row r="4699">
      <c r="A4699" s="122" t="s">
        <v>14292</v>
      </c>
      <c r="B4699" s="123">
        <v>1447629.0</v>
      </c>
      <c r="C4699" s="687" t="s">
        <v>14293</v>
      </c>
      <c r="D4699" s="125"/>
    </row>
    <row r="4700">
      <c r="A4700" s="122" t="s">
        <v>2821</v>
      </c>
      <c r="B4700" s="123">
        <v>1828811.0</v>
      </c>
      <c r="C4700" s="687" t="s">
        <v>2822</v>
      </c>
      <c r="D4700" s="125"/>
    </row>
    <row r="4701">
      <c r="A4701" s="122" t="s">
        <v>6147</v>
      </c>
      <c r="B4701" s="123">
        <v>1831283.0</v>
      </c>
      <c r="C4701" s="687" t="s">
        <v>6148</v>
      </c>
      <c r="D4701" s="125"/>
    </row>
    <row r="4702">
      <c r="A4702" s="122" t="s">
        <v>33871</v>
      </c>
      <c r="B4702" s="123">
        <v>710782.0</v>
      </c>
      <c r="C4702" s="687" t="s">
        <v>33872</v>
      </c>
      <c r="D4702" s="125"/>
    </row>
    <row r="4703">
      <c r="A4703" s="122" t="s">
        <v>918</v>
      </c>
      <c r="B4703" s="123">
        <v>1580110.0</v>
      </c>
      <c r="C4703" s="687" t="s">
        <v>919</v>
      </c>
      <c r="D4703" s="125"/>
    </row>
    <row r="4704">
      <c r="A4704" s="122" t="s">
        <v>7234</v>
      </c>
      <c r="B4704" s="123">
        <v>799195.0</v>
      </c>
      <c r="C4704" s="687" t="s">
        <v>7235</v>
      </c>
      <c r="D4704" s="125"/>
    </row>
    <row r="4705">
      <c r="A4705" s="122" t="s">
        <v>6704</v>
      </c>
      <c r="B4705" s="123">
        <v>786035.0</v>
      </c>
      <c r="C4705" s="687" t="s">
        <v>6705</v>
      </c>
      <c r="D4705" s="125"/>
    </row>
    <row r="4706">
      <c r="A4706" s="122" t="s">
        <v>14664</v>
      </c>
      <c r="B4706" s="123">
        <v>1611983.0</v>
      </c>
      <c r="C4706" s="687" t="s">
        <v>14665</v>
      </c>
      <c r="D4706" s="125"/>
    </row>
    <row r="4707">
      <c r="A4707" s="122" t="s">
        <v>14775</v>
      </c>
      <c r="B4707" s="123">
        <v>1611983.0</v>
      </c>
      <c r="C4707" s="687" t="s">
        <v>14776</v>
      </c>
      <c r="D4707" s="125"/>
    </row>
    <row r="4708">
      <c r="A4708" s="122" t="s">
        <v>14675</v>
      </c>
      <c r="B4708" s="123">
        <v>1611983.0</v>
      </c>
      <c r="C4708" s="687" t="s">
        <v>14676</v>
      </c>
      <c r="D4708" s="125"/>
    </row>
    <row r="4709">
      <c r="A4709" s="122" t="s">
        <v>11763</v>
      </c>
      <c r="B4709" s="123">
        <v>1611983.0</v>
      </c>
      <c r="C4709" s="687" t="s">
        <v>11764</v>
      </c>
      <c r="D4709" s="125"/>
    </row>
    <row r="4710">
      <c r="A4710" s="122" t="s">
        <v>11390</v>
      </c>
      <c r="B4710" s="123">
        <v>1694028.0</v>
      </c>
      <c r="C4710" s="687" t="s">
        <v>11391</v>
      </c>
      <c r="D4710" s="125"/>
    </row>
    <row r="4711">
      <c r="A4711" s="122" t="s">
        <v>11335</v>
      </c>
      <c r="B4711" s="123">
        <v>1570585.0</v>
      </c>
      <c r="C4711" s="687" t="s">
        <v>11336</v>
      </c>
      <c r="D4711" s="125"/>
    </row>
    <row r="4712">
      <c r="A4712" s="122" t="s">
        <v>11461</v>
      </c>
      <c r="B4712" s="123">
        <v>1570585.0</v>
      </c>
      <c r="C4712" s="687" t="s">
        <v>11462</v>
      </c>
      <c r="D4712" s="125"/>
    </row>
    <row r="4713">
      <c r="A4713" s="122" t="s">
        <v>11582</v>
      </c>
      <c r="B4713" s="123">
        <v>1570585.0</v>
      </c>
      <c r="C4713" s="687" t="s">
        <v>11583</v>
      </c>
      <c r="D4713" s="125"/>
    </row>
    <row r="4714">
      <c r="A4714" s="122" t="s">
        <v>6169</v>
      </c>
      <c r="B4714" s="123">
        <v>1823766.0</v>
      </c>
      <c r="C4714" s="687" t="s">
        <v>6170</v>
      </c>
      <c r="D4714" s="125"/>
    </row>
    <row r="4715">
      <c r="A4715" s="122" t="s">
        <v>8001</v>
      </c>
      <c r="B4715" s="123">
        <v>1712184.0</v>
      </c>
      <c r="C4715" s="687" t="s">
        <v>8002</v>
      </c>
      <c r="D4715" s="125"/>
    </row>
    <row r="4716">
      <c r="A4716" s="122" t="s">
        <v>7293</v>
      </c>
      <c r="B4716" s="123">
        <v>1712184.0</v>
      </c>
      <c r="C4716" s="687" t="s">
        <v>7294</v>
      </c>
      <c r="D4716" s="125"/>
    </row>
    <row r="4717">
      <c r="A4717" s="122" t="s">
        <v>7303</v>
      </c>
      <c r="B4717" s="123">
        <v>1712184.0</v>
      </c>
      <c r="C4717" s="687" t="s">
        <v>7304</v>
      </c>
      <c r="D4717" s="125"/>
    </row>
    <row r="4718">
      <c r="A4718" s="122" t="s">
        <v>14434</v>
      </c>
      <c r="B4718" s="123">
        <v>1560385.0</v>
      </c>
      <c r="C4718" s="687" t="s">
        <v>12863</v>
      </c>
      <c r="D4718" s="125"/>
    </row>
    <row r="4719">
      <c r="A4719" s="122" t="s">
        <v>12862</v>
      </c>
      <c r="B4719" s="123">
        <v>1560385.0</v>
      </c>
      <c r="C4719" s="687" t="s">
        <v>12863</v>
      </c>
      <c r="D4719" s="125"/>
    </row>
    <row r="4720">
      <c r="A4720" s="122" t="s">
        <v>14489</v>
      </c>
      <c r="B4720" s="123">
        <v>1560385.0</v>
      </c>
      <c r="C4720" s="687" t="s">
        <v>12920</v>
      </c>
      <c r="D4720" s="125"/>
    </row>
    <row r="4721">
      <c r="A4721" s="122" t="s">
        <v>12919</v>
      </c>
      <c r="B4721" s="123">
        <v>1560385.0</v>
      </c>
      <c r="C4721" s="687" t="s">
        <v>12920</v>
      </c>
      <c r="D4721" s="125"/>
    </row>
    <row r="4722">
      <c r="A4722" s="122" t="s">
        <v>14661</v>
      </c>
      <c r="B4722" s="123">
        <v>1560385.0</v>
      </c>
      <c r="C4722" s="687" t="s">
        <v>12851</v>
      </c>
      <c r="D4722" s="125"/>
    </row>
    <row r="4723">
      <c r="A4723" s="122" t="s">
        <v>12850</v>
      </c>
      <c r="B4723" s="123">
        <v>1560385.0</v>
      </c>
      <c r="C4723" s="687" t="s">
        <v>12851</v>
      </c>
      <c r="D4723" s="125"/>
    </row>
    <row r="4724">
      <c r="A4724" s="122" t="s">
        <v>9158</v>
      </c>
      <c r="B4724" s="123">
        <v>1880151.0</v>
      </c>
      <c r="C4724" s="687" t="s">
        <v>9159</v>
      </c>
      <c r="D4724" s="125"/>
    </row>
    <row r="4725">
      <c r="A4725" s="122" t="s">
        <v>2781</v>
      </c>
      <c r="B4725" s="123">
        <v>1172178.0</v>
      </c>
      <c r="C4725" s="687" t="s">
        <v>2782</v>
      </c>
      <c r="D4725" s="125"/>
    </row>
    <row r="4726">
      <c r="A4726" s="122" t="s">
        <v>3534</v>
      </c>
      <c r="B4726" s="123">
        <v>1606745.0</v>
      </c>
      <c r="C4726" s="687" t="s">
        <v>3535</v>
      </c>
      <c r="D4726" s="125"/>
    </row>
    <row r="4727">
      <c r="A4727" s="122" t="s">
        <v>7695</v>
      </c>
      <c r="B4727" s="123">
        <v>1606745.0</v>
      </c>
      <c r="C4727" s="687" t="s">
        <v>7696</v>
      </c>
      <c r="D4727" s="125"/>
    </row>
    <row r="4728">
      <c r="A4728" s="122" t="s">
        <v>4221</v>
      </c>
      <c r="B4728" s="123">
        <v>1876766.0</v>
      </c>
      <c r="C4728" s="687" t="s">
        <v>4222</v>
      </c>
      <c r="D4728" s="125"/>
    </row>
    <row r="4729">
      <c r="A4729" s="122" t="s">
        <v>33873</v>
      </c>
      <c r="B4729" s="123">
        <v>1604930.0</v>
      </c>
      <c r="C4729" s="687" t="s">
        <v>33874</v>
      </c>
      <c r="D4729" s="125"/>
    </row>
    <row r="4730">
      <c r="A4730" s="122" t="s">
        <v>2985</v>
      </c>
      <c r="B4730" s="123">
        <v>1916741.0</v>
      </c>
      <c r="C4730" s="687" t="s">
        <v>2986</v>
      </c>
      <c r="D4730" s="125"/>
    </row>
    <row r="4731">
      <c r="A4731" s="122" t="s">
        <v>5919</v>
      </c>
      <c r="B4731" s="123">
        <v>1569963.0</v>
      </c>
      <c r="C4731" s="687" t="s">
        <v>5920</v>
      </c>
      <c r="D4731" s="125"/>
    </row>
    <row r="4732">
      <c r="A4732" s="122" t="s">
        <v>16723</v>
      </c>
      <c r="B4732" s="123">
        <v>1824153.0</v>
      </c>
      <c r="C4732" s="687" t="s">
        <v>3784</v>
      </c>
      <c r="D4732" s="125"/>
    </row>
    <row r="4733">
      <c r="A4733" s="122" t="s">
        <v>3783</v>
      </c>
      <c r="B4733" s="123">
        <v>1569963.0</v>
      </c>
      <c r="C4733" s="687" t="s">
        <v>3784</v>
      </c>
      <c r="D4733" s="125"/>
    </row>
    <row r="4734">
      <c r="A4734" s="122" t="s">
        <v>33875</v>
      </c>
      <c r="B4734" s="123">
        <v>1579010.0</v>
      </c>
      <c r="C4734" s="687" t="s">
        <v>33876</v>
      </c>
      <c r="D4734" s="125"/>
    </row>
    <row r="4735">
      <c r="A4735" s="122" t="s">
        <v>9951</v>
      </c>
      <c r="B4735" s="123">
        <v>1869198.0</v>
      </c>
      <c r="C4735" s="687" t="s">
        <v>9952</v>
      </c>
      <c r="D4735" s="125"/>
    </row>
    <row r="4736">
      <c r="A4736" s="122" t="s">
        <v>6487</v>
      </c>
      <c r="B4736" s="123">
        <v>1581760.0</v>
      </c>
      <c r="C4736" s="687" t="s">
        <v>6488</v>
      </c>
      <c r="D4736" s="125"/>
    </row>
    <row r="4737">
      <c r="A4737" s="122" t="s">
        <v>2653</v>
      </c>
      <c r="B4737" s="123">
        <v>1268896.0</v>
      </c>
      <c r="C4737" s="687" t="s">
        <v>2654</v>
      </c>
      <c r="D4737" s="125"/>
    </row>
    <row r="4738">
      <c r="A4738" s="122" t="s">
        <v>5127</v>
      </c>
      <c r="B4738" s="123">
        <v>1493137.0</v>
      </c>
      <c r="C4738" s="687" t="s">
        <v>5128</v>
      </c>
      <c r="D4738" s="125"/>
    </row>
    <row r="4739">
      <c r="A4739" s="122" t="s">
        <v>11127</v>
      </c>
      <c r="B4739" s="123">
        <v>948320.0</v>
      </c>
      <c r="C4739" s="687" t="s">
        <v>11128</v>
      </c>
      <c r="D4739" s="125"/>
    </row>
    <row r="4740">
      <c r="A4740" s="122" t="s">
        <v>6864</v>
      </c>
      <c r="B4740" s="123">
        <v>948320.0</v>
      </c>
      <c r="C4740" s="687" t="s">
        <v>6865</v>
      </c>
      <c r="D4740" s="125"/>
    </row>
    <row r="4741">
      <c r="A4741" s="122" t="s">
        <v>7023</v>
      </c>
      <c r="B4741" s="123">
        <v>1845257.0</v>
      </c>
      <c r="C4741" s="687" t="s">
        <v>7024</v>
      </c>
      <c r="D4741" s="125"/>
    </row>
    <row r="4742">
      <c r="A4742" s="122" t="s">
        <v>9754</v>
      </c>
      <c r="B4742" s="123">
        <v>814586.0</v>
      </c>
      <c r="C4742" s="687" t="s">
        <v>9755</v>
      </c>
      <c r="D4742" s="125"/>
    </row>
    <row r="4743">
      <c r="A4743" s="122" t="s">
        <v>14873</v>
      </c>
      <c r="B4743" s="123">
        <v>886163.0</v>
      </c>
      <c r="C4743" s="687" t="s">
        <v>14874</v>
      </c>
      <c r="D4743" s="125"/>
    </row>
    <row r="4744">
      <c r="A4744" s="122" t="s">
        <v>15028</v>
      </c>
      <c r="B4744" s="123">
        <v>750004.0</v>
      </c>
      <c r="C4744" s="687" t="s">
        <v>15029</v>
      </c>
      <c r="D4744" s="125"/>
    </row>
    <row r="4745">
      <c r="A4745" s="122" t="s">
        <v>4044</v>
      </c>
      <c r="B4745" s="123">
        <v>1447221.0</v>
      </c>
      <c r="C4745" s="687" t="s">
        <v>4045</v>
      </c>
      <c r="D4745" s="125"/>
    </row>
    <row r="4746">
      <c r="A4746" s="122" t="s">
        <v>5614</v>
      </c>
      <c r="B4746" s="123">
        <v>1084554.0</v>
      </c>
      <c r="C4746" s="687" t="s">
        <v>5615</v>
      </c>
      <c r="D4746" s="125"/>
    </row>
    <row r="4747">
      <c r="A4747" s="122" t="s">
        <v>3777</v>
      </c>
      <c r="B4747" s="123">
        <v>1523836.0</v>
      </c>
      <c r="C4747" s="687" t="s">
        <v>3778</v>
      </c>
      <c r="D4747" s="125"/>
    </row>
    <row r="4748">
      <c r="A4748" s="122" t="s">
        <v>4475</v>
      </c>
      <c r="B4748" s="123">
        <v>889971.0</v>
      </c>
      <c r="C4748" s="687" t="s">
        <v>4476</v>
      </c>
      <c r="D4748" s="125"/>
    </row>
    <row r="4749">
      <c r="A4749" s="122" t="s">
        <v>11198</v>
      </c>
      <c r="B4749" s="123">
        <v>1823306.0</v>
      </c>
      <c r="C4749" s="687" t="s">
        <v>11199</v>
      </c>
      <c r="D4749" s="125"/>
    </row>
    <row r="4750">
      <c r="A4750" s="122" t="s">
        <v>6068</v>
      </c>
      <c r="B4750" s="123">
        <v>1563756.0</v>
      </c>
      <c r="C4750" s="687" t="s">
        <v>6069</v>
      </c>
      <c r="D4750" s="125"/>
    </row>
    <row r="4751">
      <c r="A4751" s="122" t="s">
        <v>6611</v>
      </c>
      <c r="B4751" s="123">
        <v>1296884.0</v>
      </c>
      <c r="C4751" s="687" t="s">
        <v>6612</v>
      </c>
      <c r="D4751" s="125"/>
    </row>
    <row r="4752">
      <c r="A4752" s="122" t="s">
        <v>7471</v>
      </c>
      <c r="B4752" s="123">
        <v>1387061.0</v>
      </c>
      <c r="C4752" s="687" t="s">
        <v>7472</v>
      </c>
      <c r="D4752" s="125"/>
    </row>
    <row r="4753">
      <c r="A4753" s="122" t="s">
        <v>6372</v>
      </c>
      <c r="B4753" s="123">
        <v>1325964.0</v>
      </c>
      <c r="C4753" s="687" t="s">
        <v>6373</v>
      </c>
      <c r="D4753" s="125"/>
    </row>
    <row r="4754">
      <c r="A4754" s="122" t="s">
        <v>1777</v>
      </c>
      <c r="B4754" s="123">
        <v>1855756.0</v>
      </c>
      <c r="C4754" s="687" t="s">
        <v>1778</v>
      </c>
      <c r="D4754" s="125"/>
    </row>
    <row r="4755">
      <c r="A4755" s="122" t="s">
        <v>3582</v>
      </c>
      <c r="B4755" s="123">
        <v>1855756.0</v>
      </c>
      <c r="C4755" s="687" t="s">
        <v>3583</v>
      </c>
      <c r="D4755" s="125"/>
    </row>
    <row r="4756">
      <c r="A4756" s="122" t="s">
        <v>13768</v>
      </c>
      <c r="B4756" s="123">
        <v>1606163.0</v>
      </c>
      <c r="C4756" s="687" t="s">
        <v>13769</v>
      </c>
      <c r="D4756" s="125"/>
    </row>
    <row r="4757">
      <c r="A4757" s="122" t="s">
        <v>4403</v>
      </c>
      <c r="B4757" s="123">
        <v>1803977.0</v>
      </c>
      <c r="C4757" s="687" t="s">
        <v>4404</v>
      </c>
      <c r="D4757" s="125"/>
    </row>
    <row r="4758">
      <c r="A4758" s="122" t="s">
        <v>11018</v>
      </c>
      <c r="B4758" s="123">
        <v>1342423.0</v>
      </c>
      <c r="C4758" s="687" t="s">
        <v>11019</v>
      </c>
      <c r="D4758" s="125"/>
    </row>
    <row r="4759">
      <c r="A4759" s="122" t="s">
        <v>8200</v>
      </c>
      <c r="B4759" s="123">
        <v>1286613.0</v>
      </c>
      <c r="C4759" s="687" t="s">
        <v>8201</v>
      </c>
      <c r="D4759" s="125"/>
    </row>
    <row r="4760">
      <c r="A4760" s="122" t="s">
        <v>16250</v>
      </c>
      <c r="B4760" s="123">
        <v>59527.0</v>
      </c>
      <c r="C4760" s="687" t="s">
        <v>16251</v>
      </c>
      <c r="D4760" s="125"/>
    </row>
    <row r="4761">
      <c r="A4761" s="122" t="s">
        <v>12526</v>
      </c>
      <c r="B4761" s="123">
        <v>59558.0</v>
      </c>
      <c r="C4761" s="687" t="s">
        <v>12527</v>
      </c>
      <c r="D4761" s="125"/>
    </row>
    <row r="4762">
      <c r="A4762" s="122" t="s">
        <v>8042</v>
      </c>
      <c r="B4762" s="123">
        <v>1512499.0</v>
      </c>
      <c r="C4762" s="687" t="s">
        <v>8043</v>
      </c>
      <c r="D4762" s="125"/>
    </row>
    <row r="4763">
      <c r="A4763" s="122" t="s">
        <v>16537</v>
      </c>
      <c r="B4763" s="123">
        <v>1707925.0</v>
      </c>
      <c r="C4763" s="687" t="s">
        <v>16538</v>
      </c>
      <c r="D4763" s="125"/>
    </row>
    <row r="4764">
      <c r="A4764" s="122" t="s">
        <v>15746</v>
      </c>
      <c r="B4764" s="123">
        <v>836157.0</v>
      </c>
      <c r="C4764" s="687" t="s">
        <v>15747</v>
      </c>
      <c r="D4764" s="125"/>
    </row>
    <row r="4765">
      <c r="A4765" s="122" t="s">
        <v>3737</v>
      </c>
      <c r="B4765" s="123">
        <v>876343.0</v>
      </c>
      <c r="C4765" s="687" t="s">
        <v>3738</v>
      </c>
      <c r="D4765" s="125"/>
    </row>
    <row r="4766">
      <c r="A4766" s="122" t="s">
        <v>33877</v>
      </c>
      <c r="B4766" s="123">
        <v>1407704.0</v>
      </c>
      <c r="C4766" s="687" t="s">
        <v>33878</v>
      </c>
      <c r="D4766" s="125"/>
    </row>
    <row r="4767">
      <c r="A4767" s="122" t="s">
        <v>7321</v>
      </c>
      <c r="B4767" s="123">
        <v>1756701.0</v>
      </c>
      <c r="C4767" s="687" t="s">
        <v>7322</v>
      </c>
      <c r="D4767" s="125"/>
    </row>
    <row r="4768">
      <c r="A4768" s="122" t="s">
        <v>1533</v>
      </c>
      <c r="B4768" s="123">
        <v>1339688.0</v>
      </c>
      <c r="C4768" s="687" t="s">
        <v>1534</v>
      </c>
      <c r="D4768" s="125"/>
    </row>
    <row r="4769">
      <c r="A4769" s="122" t="s">
        <v>4643</v>
      </c>
      <c r="B4769" s="123">
        <v>1834974.0</v>
      </c>
      <c r="C4769" s="687" t="s">
        <v>4644</v>
      </c>
      <c r="D4769" s="125"/>
    </row>
    <row r="4770">
      <c r="A4770" s="122" t="s">
        <v>3741</v>
      </c>
      <c r="B4770" s="123">
        <v>1806524.0</v>
      </c>
      <c r="C4770" s="687" t="s">
        <v>3742</v>
      </c>
      <c r="D4770" s="125"/>
    </row>
    <row r="4771">
      <c r="A4771" s="122" t="s">
        <v>3871</v>
      </c>
      <c r="B4771" s="123">
        <v>1347242.0</v>
      </c>
      <c r="C4771" s="687" t="s">
        <v>3872</v>
      </c>
      <c r="D4771" s="125"/>
    </row>
    <row r="4772">
      <c r="A4772" s="122" t="s">
        <v>6028</v>
      </c>
      <c r="B4772" s="123">
        <v>1535955.0</v>
      </c>
      <c r="C4772" s="687" t="s">
        <v>6029</v>
      </c>
      <c r="D4772" s="125"/>
    </row>
    <row r="4773">
      <c r="A4773" s="122" t="s">
        <v>5681</v>
      </c>
      <c r="B4773" s="123">
        <v>1307579.0</v>
      </c>
      <c r="C4773" s="687" t="s">
        <v>5682</v>
      </c>
      <c r="D4773" s="125"/>
    </row>
    <row r="4774">
      <c r="A4774" s="122" t="s">
        <v>1543</v>
      </c>
      <c r="B4774" s="123">
        <v>1141240.0</v>
      </c>
      <c r="C4774" s="687" t="s">
        <v>1544</v>
      </c>
      <c r="D4774" s="125"/>
    </row>
    <row r="4775">
      <c r="A4775" s="122" t="s">
        <v>5286</v>
      </c>
      <c r="B4775" s="123">
        <v>320017.0</v>
      </c>
      <c r="C4775" s="687" t="s">
        <v>5287</v>
      </c>
      <c r="D4775" s="125"/>
    </row>
    <row r="4776">
      <c r="A4776" s="122" t="s">
        <v>16419</v>
      </c>
      <c r="B4776" s="123">
        <v>1023128.0</v>
      </c>
      <c r="C4776" s="687" t="s">
        <v>16420</v>
      </c>
      <c r="D4776" s="125"/>
    </row>
    <row r="4777">
      <c r="A4777" s="122" t="s">
        <v>33879</v>
      </c>
      <c r="B4777" s="123">
        <v>1384135.0</v>
      </c>
      <c r="C4777" s="687" t="s">
        <v>33880</v>
      </c>
      <c r="D4777" s="125"/>
    </row>
    <row r="4778">
      <c r="A4778" s="122" t="s">
        <v>6189</v>
      </c>
      <c r="B4778" s="123">
        <v>1440972.0</v>
      </c>
      <c r="C4778" s="687" t="s">
        <v>6190</v>
      </c>
      <c r="D4778" s="125"/>
    </row>
    <row r="4779">
      <c r="A4779" s="122" t="s">
        <v>1261</v>
      </c>
      <c r="B4779" s="123">
        <v>1415332.0</v>
      </c>
      <c r="C4779" s="687" t="s">
        <v>1262</v>
      </c>
      <c r="D4779" s="125"/>
    </row>
    <row r="4780">
      <c r="A4780" s="122" t="s">
        <v>3137</v>
      </c>
      <c r="B4780" s="123">
        <v>1528129.0</v>
      </c>
      <c r="C4780" s="687" t="s">
        <v>3138</v>
      </c>
      <c r="D4780" s="125"/>
    </row>
    <row r="4781">
      <c r="A4781" s="122" t="s">
        <v>2572</v>
      </c>
      <c r="B4781" s="123">
        <v>1643715.0</v>
      </c>
      <c r="C4781" s="687" t="s">
        <v>2573</v>
      </c>
      <c r="D4781" s="125"/>
    </row>
    <row r="4782">
      <c r="A4782" s="122" t="s">
        <v>16308</v>
      </c>
      <c r="B4782" s="123">
        <v>889331.0</v>
      </c>
      <c r="C4782" s="687" t="s">
        <v>16309</v>
      </c>
      <c r="D4782" s="125"/>
    </row>
    <row r="4783">
      <c r="A4783" s="122" t="s">
        <v>14037</v>
      </c>
      <c r="B4783" s="123">
        <v>1639691.0</v>
      </c>
      <c r="C4783" s="687" t="s">
        <v>14038</v>
      </c>
      <c r="D4783" s="125"/>
    </row>
    <row r="4784">
      <c r="A4784" s="122" t="s">
        <v>33881</v>
      </c>
      <c r="B4784" s="123">
        <v>1108630.0</v>
      </c>
      <c r="C4784" s="687" t="s">
        <v>33882</v>
      </c>
      <c r="D4784" s="125"/>
    </row>
    <row r="4785">
      <c r="A4785" s="122" t="s">
        <v>15187</v>
      </c>
      <c r="B4785" s="123">
        <v>1335258.0</v>
      </c>
      <c r="C4785" s="687" t="s">
        <v>15188</v>
      </c>
      <c r="D4785" s="125"/>
    </row>
    <row r="4786">
      <c r="A4786" s="122" t="s">
        <v>13348</v>
      </c>
      <c r="B4786" s="123">
        <v>1462120.0</v>
      </c>
      <c r="C4786" s="687" t="s">
        <v>13349</v>
      </c>
      <c r="D4786" s="125"/>
    </row>
    <row r="4787">
      <c r="A4787" s="122" t="s">
        <v>12071</v>
      </c>
      <c r="B4787" s="123">
        <v>1045742.0</v>
      </c>
      <c r="C4787" s="687" t="s">
        <v>12072</v>
      </c>
      <c r="D4787" s="125"/>
    </row>
    <row r="4788">
      <c r="A4788" s="122" t="s">
        <v>627</v>
      </c>
      <c r="B4788" s="123">
        <v>1593549.0</v>
      </c>
      <c r="C4788" s="687" t="s">
        <v>628</v>
      </c>
      <c r="D4788" s="125"/>
    </row>
    <row r="4789">
      <c r="A4789" s="122" t="s">
        <v>5300</v>
      </c>
      <c r="B4789" s="123">
        <v>1102993.0</v>
      </c>
      <c r="C4789" s="687" t="s">
        <v>5301</v>
      </c>
      <c r="D4789" s="125"/>
    </row>
    <row r="4790">
      <c r="A4790" s="122" t="s">
        <v>13576</v>
      </c>
      <c r="B4790" s="123">
        <v>733269.0</v>
      </c>
      <c r="C4790" s="687" t="s">
        <v>13577</v>
      </c>
      <c r="D4790" s="125"/>
    </row>
    <row r="4791">
      <c r="A4791" s="122" t="s">
        <v>33883</v>
      </c>
      <c r="B4791" s="123">
        <v>1421289.0</v>
      </c>
      <c r="C4791" s="687" t="s">
        <v>33884</v>
      </c>
      <c r="D4791" s="125"/>
    </row>
    <row r="4792">
      <c r="A4792" s="122" t="s">
        <v>33885</v>
      </c>
      <c r="B4792" s="123">
        <v>93205.0</v>
      </c>
      <c r="C4792" s="687" t="s">
        <v>33886</v>
      </c>
      <c r="D4792" s="125"/>
    </row>
    <row r="4793">
      <c r="A4793" s="122" t="s">
        <v>6243</v>
      </c>
      <c r="B4793" s="123">
        <v>1814067.0</v>
      </c>
      <c r="C4793" s="687" t="s">
        <v>6244</v>
      </c>
      <c r="D4793" s="125"/>
    </row>
    <row r="4794">
      <c r="A4794" s="122" t="s">
        <v>12504</v>
      </c>
      <c r="B4794" s="123">
        <v>1442656.0</v>
      </c>
      <c r="C4794" s="687" t="s">
        <v>12505</v>
      </c>
      <c r="D4794" s="125"/>
    </row>
    <row r="4795">
      <c r="A4795" s="122" t="s">
        <v>9975</v>
      </c>
      <c r="B4795" s="123">
        <v>1442656.0</v>
      </c>
      <c r="C4795" s="687" t="s">
        <v>9976</v>
      </c>
      <c r="D4795" s="125"/>
    </row>
    <row r="4796">
      <c r="A4796" s="122" t="s">
        <v>4851</v>
      </c>
      <c r="B4796" s="123">
        <v>1335105.0</v>
      </c>
      <c r="C4796" s="687" t="s">
        <v>1588</v>
      </c>
      <c r="D4796" s="125"/>
    </row>
    <row r="4797">
      <c r="A4797" s="122" t="s">
        <v>1587</v>
      </c>
      <c r="B4797" s="123">
        <v>1335105.0</v>
      </c>
      <c r="C4797" s="687" t="s">
        <v>1588</v>
      </c>
      <c r="D4797" s="125"/>
    </row>
    <row r="4798">
      <c r="A4798" s="122" t="s">
        <v>13969</v>
      </c>
      <c r="B4798" s="123">
        <v>1065696.0</v>
      </c>
      <c r="C4798" s="687" t="s">
        <v>13970</v>
      </c>
      <c r="D4798" s="125"/>
    </row>
    <row r="4799">
      <c r="A4799" s="122" t="s">
        <v>5045</v>
      </c>
      <c r="B4799" s="123">
        <v>1396033.0</v>
      </c>
      <c r="C4799" s="687" t="s">
        <v>5046</v>
      </c>
      <c r="D4799" s="125"/>
    </row>
    <row r="4800">
      <c r="A4800" s="122" t="s">
        <v>3065</v>
      </c>
      <c r="B4800" s="123">
        <v>1160106.0</v>
      </c>
      <c r="C4800" s="687" t="s">
        <v>3066</v>
      </c>
      <c r="D4800" s="125"/>
    </row>
    <row r="4801">
      <c r="A4801" s="122" t="s">
        <v>4916</v>
      </c>
      <c r="B4801" s="123">
        <v>1160106.0</v>
      </c>
      <c r="C4801" s="687" t="s">
        <v>3066</v>
      </c>
      <c r="D4801" s="125"/>
    </row>
    <row r="4802">
      <c r="A4802" s="122" t="s">
        <v>2945</v>
      </c>
      <c r="B4802" s="123">
        <v>1640384.0</v>
      </c>
      <c r="C4802" s="687" t="s">
        <v>2946</v>
      </c>
      <c r="D4802" s="125"/>
    </row>
    <row r="4803">
      <c r="A4803" s="122" t="s">
        <v>2381</v>
      </c>
      <c r="B4803" s="123">
        <v>1731727.0</v>
      </c>
      <c r="C4803" s="687" t="s">
        <v>2382</v>
      </c>
      <c r="D4803" s="125"/>
    </row>
    <row r="4804">
      <c r="A4804" s="122" t="s">
        <v>10151</v>
      </c>
      <c r="B4804" s="123">
        <v>1270131.0</v>
      </c>
      <c r="C4804" s="687" t="s">
        <v>10152</v>
      </c>
      <c r="D4804" s="125"/>
    </row>
    <row r="4805">
      <c r="A4805" s="122" t="s">
        <v>5406</v>
      </c>
      <c r="B4805" s="123">
        <v>1831631.0</v>
      </c>
      <c r="C4805" s="687" t="s">
        <v>5407</v>
      </c>
      <c r="D4805" s="125"/>
    </row>
    <row r="4806">
      <c r="A4806" s="122" t="s">
        <v>5697</v>
      </c>
      <c r="B4806" s="123">
        <v>1875547.0</v>
      </c>
      <c r="C4806" s="687" t="s">
        <v>5698</v>
      </c>
      <c r="D4806" s="125"/>
    </row>
    <row r="4807">
      <c r="A4807" s="122" t="s">
        <v>7309</v>
      </c>
      <c r="B4807" s="123">
        <v>1875547.0</v>
      </c>
      <c r="C4807" s="687" t="s">
        <v>7310</v>
      </c>
      <c r="D4807" s="125"/>
    </row>
    <row r="4808">
      <c r="A4808" s="122" t="s">
        <v>4900</v>
      </c>
      <c r="B4808" s="123">
        <v>1840780.0</v>
      </c>
      <c r="C4808" s="687" t="s">
        <v>4901</v>
      </c>
      <c r="D4808" s="125"/>
    </row>
    <row r="4809">
      <c r="A4809" s="122" t="s">
        <v>16552</v>
      </c>
      <c r="B4809" s="123">
        <v>936468.0</v>
      </c>
      <c r="C4809" s="687" t="s">
        <v>16553</v>
      </c>
      <c r="D4809" s="125"/>
    </row>
    <row r="4810">
      <c r="A4810" s="122" t="s">
        <v>860</v>
      </c>
      <c r="B4810" s="123">
        <v>1319643.0</v>
      </c>
      <c r="C4810" s="687" t="s">
        <v>861</v>
      </c>
      <c r="D4810" s="125"/>
    </row>
    <row r="4811">
      <c r="A4811" s="122" t="s">
        <v>14840</v>
      </c>
      <c r="B4811" s="123">
        <v>60086.0</v>
      </c>
      <c r="C4811" s="687" t="s">
        <v>14841</v>
      </c>
      <c r="D4811" s="125"/>
    </row>
    <row r="4812">
      <c r="A4812" s="122" t="s">
        <v>11800</v>
      </c>
      <c r="B4812" s="123">
        <v>1571329.0</v>
      </c>
      <c r="C4812" s="687" t="s">
        <v>11801</v>
      </c>
      <c r="D4812" s="125"/>
    </row>
    <row r="4813">
      <c r="A4813" s="122" t="s">
        <v>3789</v>
      </c>
      <c r="B4813" s="123">
        <v>1566826.0</v>
      </c>
      <c r="C4813" s="687" t="s">
        <v>3790</v>
      </c>
      <c r="D4813" s="125"/>
    </row>
    <row r="4814">
      <c r="A4814" s="122" t="s">
        <v>1102</v>
      </c>
      <c r="B4814" s="123">
        <v>1335112.0</v>
      </c>
      <c r="C4814" s="687" t="s">
        <v>1103</v>
      </c>
      <c r="D4814" s="125"/>
    </row>
    <row r="4815">
      <c r="A4815" s="122" t="s">
        <v>15109</v>
      </c>
      <c r="B4815" s="123">
        <v>1032975.0</v>
      </c>
      <c r="C4815" s="687" t="s">
        <v>15110</v>
      </c>
      <c r="D4815" s="125"/>
    </row>
    <row r="4816">
      <c r="A4816" s="122" t="s">
        <v>7380</v>
      </c>
      <c r="B4816" s="123">
        <v>1711375.0</v>
      </c>
      <c r="C4816" s="687" t="s">
        <v>7381</v>
      </c>
      <c r="D4816" s="125"/>
    </row>
    <row r="4817">
      <c r="A4817" s="122" t="s">
        <v>655</v>
      </c>
      <c r="B4817" s="123">
        <v>1588837.0</v>
      </c>
      <c r="C4817" s="687" t="s">
        <v>656</v>
      </c>
      <c r="D4817" s="125"/>
    </row>
    <row r="4818">
      <c r="A4818" s="122" t="s">
        <v>2488</v>
      </c>
      <c r="B4818" s="123">
        <v>1472619.0</v>
      </c>
      <c r="C4818" s="687" t="s">
        <v>2489</v>
      </c>
      <c r="D4818" s="125"/>
    </row>
    <row r="4819">
      <c r="A4819" s="122" t="s">
        <v>11382</v>
      </c>
      <c r="B4819" s="123">
        <v>1832168.0</v>
      </c>
      <c r="C4819" s="687" t="s">
        <v>11383</v>
      </c>
      <c r="D4819" s="125"/>
    </row>
    <row r="4820">
      <c r="A4820" s="122" t="s">
        <v>3121</v>
      </c>
      <c r="B4820" s="123">
        <v>1721484.0</v>
      </c>
      <c r="C4820" s="687" t="s">
        <v>3122</v>
      </c>
      <c r="D4820" s="125"/>
    </row>
    <row r="4821">
      <c r="A4821" s="122" t="s">
        <v>9026</v>
      </c>
      <c r="B4821" s="123">
        <v>1554394.0</v>
      </c>
      <c r="C4821" s="687" t="s">
        <v>9027</v>
      </c>
      <c r="D4821" s="125"/>
    </row>
    <row r="4822">
      <c r="A4822" s="122" t="s">
        <v>4016</v>
      </c>
      <c r="B4822" s="123">
        <v>1554394.0</v>
      </c>
      <c r="C4822" s="687" t="s">
        <v>4017</v>
      </c>
      <c r="D4822" s="125"/>
    </row>
    <row r="4823">
      <c r="A4823" s="122" t="s">
        <v>1880</v>
      </c>
      <c r="B4823" s="123">
        <v>723533.0</v>
      </c>
      <c r="C4823" s="687" t="s">
        <v>1881</v>
      </c>
      <c r="D4823" s="125"/>
    </row>
    <row r="4824">
      <c r="A4824" s="122" t="s">
        <v>5796</v>
      </c>
      <c r="B4824" s="123">
        <v>1504678.0</v>
      </c>
      <c r="C4824" s="687" t="s">
        <v>5797</v>
      </c>
      <c r="D4824" s="125"/>
    </row>
    <row r="4825">
      <c r="A4825" s="122" t="s">
        <v>3325</v>
      </c>
      <c r="B4825" s="123">
        <v>1643988.0</v>
      </c>
      <c r="C4825" s="687" t="s">
        <v>3326</v>
      </c>
      <c r="D4825" s="125"/>
    </row>
    <row r="4826">
      <c r="A4826" s="122" t="s">
        <v>456</v>
      </c>
      <c r="B4826" s="123">
        <v>1673481.0</v>
      </c>
      <c r="C4826" s="687" t="s">
        <v>457</v>
      </c>
      <c r="D4826" s="125"/>
    </row>
    <row r="4827">
      <c r="A4827" s="122" t="s">
        <v>4782</v>
      </c>
      <c r="B4827" s="123">
        <v>1673481.0</v>
      </c>
      <c r="C4827" s="687" t="s">
        <v>4783</v>
      </c>
      <c r="D4827" s="125"/>
    </row>
    <row r="4828">
      <c r="A4828" s="122" t="s">
        <v>667</v>
      </c>
      <c r="B4828" s="123">
        <v>1520592.0</v>
      </c>
      <c r="C4828" s="687" t="s">
        <v>668</v>
      </c>
      <c r="D4828" s="125"/>
    </row>
    <row r="4829">
      <c r="A4829" s="122" t="s">
        <v>14651</v>
      </c>
      <c r="B4829" s="123">
        <v>60519.0</v>
      </c>
      <c r="C4829" s="687" t="s">
        <v>14652</v>
      </c>
      <c r="D4829" s="125"/>
    </row>
    <row r="4830">
      <c r="A4830" s="122" t="s">
        <v>11943</v>
      </c>
      <c r="B4830" s="123">
        <v>1701758.0</v>
      </c>
      <c r="C4830" s="687" t="s">
        <v>11944</v>
      </c>
      <c r="D4830" s="125"/>
    </row>
    <row r="4831">
      <c r="A4831" s="122" t="s">
        <v>11969</v>
      </c>
      <c r="B4831" s="123">
        <v>1705338.0</v>
      </c>
      <c r="C4831" s="687" t="s">
        <v>11970</v>
      </c>
      <c r="D4831" s="125"/>
    </row>
    <row r="4832">
      <c r="A4832" s="122" t="s">
        <v>16221</v>
      </c>
      <c r="B4832" s="123">
        <v>60667.0</v>
      </c>
      <c r="C4832" s="687" t="s">
        <v>16222</v>
      </c>
      <c r="D4832" s="125"/>
    </row>
    <row r="4833">
      <c r="A4833" s="122" t="s">
        <v>2173</v>
      </c>
      <c r="B4833" s="123">
        <v>1838128.0</v>
      </c>
      <c r="C4833" s="687" t="s">
        <v>2174</v>
      </c>
      <c r="D4833" s="125"/>
    </row>
    <row r="4834">
      <c r="A4834" s="122" t="s">
        <v>16341</v>
      </c>
      <c r="B4834" s="123">
        <v>1397911.0</v>
      </c>
      <c r="C4834" s="687" t="s">
        <v>16342</v>
      </c>
      <c r="D4834" s="125"/>
    </row>
    <row r="4835">
      <c r="A4835" s="122" t="s">
        <v>7554</v>
      </c>
      <c r="B4835" s="123">
        <v>60714.0</v>
      </c>
      <c r="C4835" s="687" t="s">
        <v>7555</v>
      </c>
      <c r="D4835" s="125"/>
    </row>
    <row r="4836">
      <c r="A4836" s="122" t="s">
        <v>12878</v>
      </c>
      <c r="B4836" s="123">
        <v>887905.0</v>
      </c>
      <c r="C4836" s="687" t="s">
        <v>12879</v>
      </c>
      <c r="D4836" s="125"/>
    </row>
    <row r="4837">
      <c r="A4837" s="122" t="s">
        <v>2827</v>
      </c>
      <c r="B4837" s="123">
        <v>1538169.0</v>
      </c>
      <c r="C4837" s="687" t="s">
        <v>2828</v>
      </c>
      <c r="D4837" s="125"/>
    </row>
    <row r="4838">
      <c r="A4838" s="122" t="s">
        <v>4339</v>
      </c>
      <c r="B4838" s="123">
        <v>1799011.0</v>
      </c>
      <c r="C4838" s="687" t="s">
        <v>4340</v>
      </c>
      <c r="D4838" s="125"/>
    </row>
    <row r="4839">
      <c r="A4839" s="122" t="s">
        <v>5734</v>
      </c>
      <c r="B4839" s="123">
        <v>1811210.0</v>
      </c>
      <c r="C4839" s="687" t="s">
        <v>5735</v>
      </c>
      <c r="D4839" s="125"/>
    </row>
    <row r="4840">
      <c r="A4840" s="122" t="s">
        <v>11613</v>
      </c>
      <c r="B4840" s="123">
        <v>1767582.0</v>
      </c>
      <c r="C4840" s="687" t="s">
        <v>11614</v>
      </c>
      <c r="D4840" s="125"/>
    </row>
    <row r="4841">
      <c r="A4841" s="122" t="s">
        <v>2450</v>
      </c>
      <c r="B4841" s="123">
        <v>1865127.0</v>
      </c>
      <c r="C4841" s="687" t="s">
        <v>2451</v>
      </c>
      <c r="D4841" s="125"/>
    </row>
    <row r="4842">
      <c r="A4842" s="122" t="s">
        <v>3217</v>
      </c>
      <c r="B4842" s="123">
        <v>1737193.0</v>
      </c>
      <c r="C4842" s="687" t="s">
        <v>3218</v>
      </c>
      <c r="D4842" s="125"/>
    </row>
    <row r="4843">
      <c r="A4843" s="122" t="s">
        <v>5110</v>
      </c>
      <c r="B4843" s="123">
        <v>1816007.0</v>
      </c>
      <c r="C4843" s="687" t="s">
        <v>5111</v>
      </c>
      <c r="D4843" s="125"/>
    </row>
    <row r="4844">
      <c r="A4844" s="122" t="s">
        <v>4864</v>
      </c>
      <c r="B4844" s="123">
        <v>1780201.0</v>
      </c>
      <c r="C4844" s="687" t="s">
        <v>4865</v>
      </c>
      <c r="D4844" s="125"/>
    </row>
    <row r="4845">
      <c r="A4845" s="122" t="s">
        <v>16570</v>
      </c>
      <c r="B4845" s="123">
        <v>1397187.0</v>
      </c>
      <c r="C4845" s="687" t="s">
        <v>16571</v>
      </c>
      <c r="D4845" s="125"/>
    </row>
    <row r="4846">
      <c r="A4846" s="122" t="s">
        <v>4176</v>
      </c>
      <c r="B4846" s="123">
        <v>18926.0</v>
      </c>
      <c r="C4846" s="687" t="s">
        <v>4177</v>
      </c>
      <c r="D4846" s="125"/>
    </row>
    <row r="4847">
      <c r="A4847" s="122" t="s">
        <v>5094</v>
      </c>
      <c r="B4847" s="123">
        <v>1547546.0</v>
      </c>
      <c r="C4847" s="687" t="s">
        <v>5095</v>
      </c>
      <c r="D4847" s="125"/>
    </row>
    <row r="4848">
      <c r="A4848" s="122" t="s">
        <v>14321</v>
      </c>
      <c r="B4848" s="123">
        <v>1633978.0</v>
      </c>
      <c r="C4848" s="687" t="s">
        <v>14322</v>
      </c>
      <c r="D4848" s="125"/>
    </row>
    <row r="4849">
      <c r="A4849" s="122" t="s">
        <v>5437</v>
      </c>
      <c r="B4849" s="123">
        <v>1758057.0</v>
      </c>
      <c r="C4849" s="687" t="s">
        <v>5438</v>
      </c>
      <c r="D4849" s="125"/>
    </row>
    <row r="4850">
      <c r="A4850" s="122" t="s">
        <v>5510</v>
      </c>
      <c r="B4850" s="123">
        <v>1126234.0</v>
      </c>
      <c r="C4850" s="687" t="s">
        <v>5511</v>
      </c>
      <c r="D4850" s="125"/>
    </row>
    <row r="4851">
      <c r="A4851" s="122" t="s">
        <v>7420</v>
      </c>
      <c r="B4851" s="123">
        <v>1239819.0</v>
      </c>
      <c r="C4851" s="687" t="s">
        <v>7421</v>
      </c>
      <c r="D4851" s="125"/>
    </row>
    <row r="4852">
      <c r="A4852" s="122" t="s">
        <v>2860</v>
      </c>
      <c r="B4852" s="123">
        <v>1487839.0</v>
      </c>
      <c r="C4852" s="687" t="s">
        <v>2861</v>
      </c>
      <c r="D4852" s="125"/>
    </row>
    <row r="4853">
      <c r="A4853" s="122" t="s">
        <v>8156</v>
      </c>
      <c r="B4853" s="123">
        <v>1475348.0</v>
      </c>
      <c r="C4853" s="687" t="s">
        <v>8157</v>
      </c>
      <c r="D4853" s="125"/>
    </row>
    <row r="4854">
      <c r="A4854" s="122" t="s">
        <v>1811</v>
      </c>
      <c r="B4854" s="123">
        <v>1374567.0</v>
      </c>
      <c r="C4854" s="687" t="s">
        <v>1812</v>
      </c>
      <c r="D4854" s="125"/>
    </row>
    <row r="4855">
      <c r="A4855" s="122" t="s">
        <v>33887</v>
      </c>
      <c r="B4855" s="123">
        <v>1740695.0</v>
      </c>
      <c r="C4855" s="687" t="s">
        <v>33888</v>
      </c>
      <c r="D4855" s="125"/>
    </row>
    <row r="4856">
      <c r="A4856" s="122" t="s">
        <v>7729</v>
      </c>
      <c r="B4856" s="123">
        <v>1096056.0</v>
      </c>
      <c r="C4856" s="687" t="s">
        <v>7730</v>
      </c>
      <c r="D4856" s="125"/>
    </row>
    <row r="4857">
      <c r="A4857" s="122" t="s">
        <v>529</v>
      </c>
      <c r="B4857" s="123">
        <v>1871928.0</v>
      </c>
      <c r="C4857" s="687" t="s">
        <v>530</v>
      </c>
      <c r="D4857" s="125"/>
    </row>
    <row r="4858">
      <c r="A4858" s="122" t="s">
        <v>15996</v>
      </c>
      <c r="B4858" s="123">
        <v>824046.0</v>
      </c>
      <c r="C4858" s="687" t="s">
        <v>15997</v>
      </c>
      <c r="D4858" s="125"/>
    </row>
    <row r="4859">
      <c r="A4859" s="122" t="s">
        <v>16667</v>
      </c>
      <c r="B4859" s="123">
        <v>824046.0</v>
      </c>
      <c r="C4859" s="687" t="s">
        <v>16668</v>
      </c>
      <c r="D4859" s="125"/>
    </row>
    <row r="4860">
      <c r="A4860" s="122" t="s">
        <v>3811</v>
      </c>
      <c r="B4860" s="123">
        <v>831378.0</v>
      </c>
      <c r="C4860" s="687" t="s">
        <v>3812</v>
      </c>
      <c r="D4860" s="125"/>
    </row>
    <row r="4861">
      <c r="A4861" s="122" t="s">
        <v>8065</v>
      </c>
      <c r="B4861" s="123">
        <v>910108.0</v>
      </c>
      <c r="C4861" s="687" t="s">
        <v>8066</v>
      </c>
      <c r="D4861" s="125"/>
    </row>
    <row r="4862">
      <c r="A4862" s="122" t="s">
        <v>9620</v>
      </c>
      <c r="B4862" s="123">
        <v>1682241.0</v>
      </c>
      <c r="C4862" s="687" t="s">
        <v>9621</v>
      </c>
      <c r="D4862" s="125"/>
    </row>
    <row r="4863">
      <c r="A4863" s="122" t="s">
        <v>4659</v>
      </c>
      <c r="B4863" s="123">
        <v>1806952.0</v>
      </c>
      <c r="C4863" s="687" t="s">
        <v>4660</v>
      </c>
      <c r="D4863" s="125"/>
    </row>
    <row r="4864">
      <c r="A4864" s="122" t="s">
        <v>9828</v>
      </c>
      <c r="B4864" s="123">
        <v>1759509.0</v>
      </c>
      <c r="C4864" s="687" t="s">
        <v>9829</v>
      </c>
      <c r="D4864" s="125"/>
    </row>
    <row r="4865">
      <c r="A4865" s="122" t="s">
        <v>5934</v>
      </c>
      <c r="B4865" s="123">
        <v>1444327.0</v>
      </c>
      <c r="C4865" s="687" t="s">
        <v>5935</v>
      </c>
      <c r="D4865" s="125"/>
    </row>
    <row r="4866">
      <c r="A4866" s="122" t="s">
        <v>5950</v>
      </c>
      <c r="B4866" s="123">
        <v>1444327.0</v>
      </c>
      <c r="C4866" s="687" t="s">
        <v>5951</v>
      </c>
      <c r="D4866" s="125"/>
    </row>
    <row r="4867">
      <c r="A4867" s="122" t="s">
        <v>15154</v>
      </c>
      <c r="B4867" s="123">
        <v>1788399.0</v>
      </c>
      <c r="C4867" s="687" t="s">
        <v>15155</v>
      </c>
      <c r="D4867" s="125"/>
    </row>
    <row r="4868">
      <c r="A4868" s="122" t="s">
        <v>15260</v>
      </c>
      <c r="B4868" s="123">
        <v>1489393.0</v>
      </c>
      <c r="C4868" s="687" t="s">
        <v>15155</v>
      </c>
      <c r="D4868" s="125"/>
    </row>
    <row r="4869">
      <c r="A4869" s="122" t="s">
        <v>13588</v>
      </c>
      <c r="B4869" s="123">
        <v>816332.0</v>
      </c>
      <c r="C4869" s="687" t="s">
        <v>13589</v>
      </c>
      <c r="D4869" s="125"/>
    </row>
    <row r="4870">
      <c r="A4870" s="122" t="s">
        <v>6415</v>
      </c>
      <c r="B4870" s="123">
        <v>1327273.0</v>
      </c>
      <c r="C4870" s="687" t="s">
        <v>6416</v>
      </c>
      <c r="D4870" s="125"/>
    </row>
    <row r="4871">
      <c r="A4871" s="122" t="s">
        <v>1731</v>
      </c>
      <c r="B4871" s="123">
        <v>1816319.0</v>
      </c>
      <c r="C4871" s="687" t="s">
        <v>1732</v>
      </c>
      <c r="D4871" s="125"/>
    </row>
    <row r="4872">
      <c r="A4872" s="122" t="s">
        <v>858</v>
      </c>
      <c r="B4872" s="123">
        <v>1126115.0</v>
      </c>
      <c r="C4872" s="687" t="s">
        <v>859</v>
      </c>
      <c r="D4872" s="125"/>
    </row>
    <row r="4873">
      <c r="A4873" s="122" t="s">
        <v>13264</v>
      </c>
      <c r="B4873" s="123">
        <v>1902314.0</v>
      </c>
      <c r="C4873" s="687" t="e">
        <v>#N/A</v>
      </c>
      <c r="D4873" s="125"/>
    </row>
    <row r="4874">
      <c r="A4874" s="122" t="s">
        <v>15683</v>
      </c>
      <c r="B4874" s="123">
        <v>799292.0</v>
      </c>
      <c r="C4874" s="687" t="s">
        <v>15684</v>
      </c>
      <c r="D4874" s="125"/>
    </row>
    <row r="4875">
      <c r="A4875" s="122" t="s">
        <v>9900</v>
      </c>
      <c r="B4875" s="123">
        <v>1094738.0</v>
      </c>
      <c r="C4875" s="687" t="s">
        <v>9901</v>
      </c>
      <c r="D4875" s="125"/>
    </row>
    <row r="4876">
      <c r="A4876" s="122" t="s">
        <v>15756</v>
      </c>
      <c r="B4876" s="123">
        <v>36270.0</v>
      </c>
      <c r="C4876" s="687" t="s">
        <v>15757</v>
      </c>
      <c r="D4876" s="125"/>
    </row>
    <row r="4877">
      <c r="A4877" s="122" t="s">
        <v>8481</v>
      </c>
      <c r="B4877" s="123">
        <v>1053584.0</v>
      </c>
      <c r="C4877" s="687" t="s">
        <v>8482</v>
      </c>
      <c r="D4877" s="125"/>
    </row>
    <row r="4878">
      <c r="A4878" s="122" t="s">
        <v>10552</v>
      </c>
      <c r="B4878" s="123">
        <v>912242.0</v>
      </c>
      <c r="C4878" s="687" t="s">
        <v>10553</v>
      </c>
      <c r="D4878" s="125"/>
    </row>
    <row r="4879">
      <c r="A4879" s="122" t="s">
        <v>15004</v>
      </c>
      <c r="B4879" s="123">
        <v>1493594.0</v>
      </c>
      <c r="C4879" s="687" t="s">
        <v>15005</v>
      </c>
      <c r="D4879" s="125"/>
    </row>
    <row r="4880">
      <c r="A4880" s="122" t="s">
        <v>7483</v>
      </c>
      <c r="B4880" s="123">
        <v>1276469.0</v>
      </c>
      <c r="C4880" s="687" t="s">
        <v>7484</v>
      </c>
      <c r="D4880" s="125"/>
    </row>
    <row r="4881">
      <c r="A4881" s="122" t="s">
        <v>10533</v>
      </c>
      <c r="B4881" s="123">
        <v>1125345.0</v>
      </c>
      <c r="C4881" s="687" t="s">
        <v>10534</v>
      </c>
      <c r="D4881" s="125"/>
    </row>
    <row r="4882">
      <c r="A4882" s="122" t="s">
        <v>11153</v>
      </c>
      <c r="B4882" s="123">
        <v>794367.0</v>
      </c>
      <c r="C4882" s="687" t="s">
        <v>11154</v>
      </c>
      <c r="D4882" s="125"/>
    </row>
    <row r="4883">
      <c r="A4883" s="122" t="s">
        <v>7369</v>
      </c>
      <c r="B4883" s="123">
        <v>1289868.0</v>
      </c>
      <c r="C4883" s="687" t="s">
        <v>7370</v>
      </c>
      <c r="D4883" s="125"/>
    </row>
    <row r="4884">
      <c r="A4884" s="122" t="s">
        <v>13124</v>
      </c>
      <c r="B4884" s="123">
        <v>1795250.0</v>
      </c>
      <c r="C4884" s="687" t="s">
        <v>13125</v>
      </c>
      <c r="D4884" s="125"/>
    </row>
    <row r="4885">
      <c r="A4885" s="122" t="s">
        <v>16081</v>
      </c>
      <c r="B4885" s="123">
        <v>1636519.0</v>
      </c>
      <c r="C4885" s="687" t="s">
        <v>16082</v>
      </c>
      <c r="D4885" s="125"/>
    </row>
    <row r="4886">
      <c r="A4886" s="122" t="s">
        <v>33889</v>
      </c>
      <c r="B4886" s="123">
        <v>1318268.0</v>
      </c>
      <c r="C4886" s="687" t="s">
        <v>33890</v>
      </c>
      <c r="D4886" s="125"/>
    </row>
    <row r="4887">
      <c r="A4887" s="122" t="s">
        <v>16223</v>
      </c>
      <c r="B4887" s="123">
        <v>1157601.0</v>
      </c>
      <c r="C4887" s="687" t="s">
        <v>16224</v>
      </c>
      <c r="D4887" s="125"/>
    </row>
    <row r="4888">
      <c r="A4888" s="122" t="s">
        <v>8071</v>
      </c>
      <c r="B4888" s="123">
        <v>1230992.0</v>
      </c>
      <c r="C4888" s="687" t="s">
        <v>8072</v>
      </c>
      <c r="D4888" s="125"/>
    </row>
    <row r="4889">
      <c r="A4889" s="122" t="s">
        <v>1920</v>
      </c>
      <c r="B4889" s="123">
        <v>1515317.0</v>
      </c>
      <c r="C4889" s="687" t="s">
        <v>1921</v>
      </c>
      <c r="D4889" s="125"/>
    </row>
    <row r="4890">
      <c r="A4890" s="122" t="s">
        <v>3514</v>
      </c>
      <c r="B4890" s="123">
        <v>1881472.0</v>
      </c>
      <c r="C4890" s="687" t="s">
        <v>3515</v>
      </c>
      <c r="D4890" s="125"/>
    </row>
    <row r="4891">
      <c r="A4891" s="122" t="s">
        <v>8497</v>
      </c>
      <c r="B4891" s="123">
        <v>876779.0</v>
      </c>
      <c r="C4891" s="687" t="s">
        <v>8498</v>
      </c>
      <c r="D4891" s="125"/>
    </row>
    <row r="4892">
      <c r="A4892" s="122" t="s">
        <v>14342</v>
      </c>
      <c r="B4892" s="123">
        <v>749098.0</v>
      </c>
      <c r="C4892" s="687" t="s">
        <v>14343</v>
      </c>
      <c r="D4892" s="125"/>
    </row>
    <row r="4893">
      <c r="A4893" s="122" t="s">
        <v>7192</v>
      </c>
      <c r="B4893" s="123">
        <v>1325702.0</v>
      </c>
      <c r="C4893" s="687" t="s">
        <v>7193</v>
      </c>
      <c r="D4893" s="125"/>
    </row>
    <row r="4894">
      <c r="A4894" s="122" t="s">
        <v>8160</v>
      </c>
      <c r="B4894" s="123">
        <v>1595974.0</v>
      </c>
      <c r="C4894" s="687" t="s">
        <v>8161</v>
      </c>
      <c r="D4894" s="125"/>
    </row>
    <row r="4895">
      <c r="A4895" s="122" t="s">
        <v>11416</v>
      </c>
      <c r="B4895" s="123">
        <v>1698990.0</v>
      </c>
      <c r="C4895" s="687" t="s">
        <v>11417</v>
      </c>
      <c r="D4895" s="125"/>
    </row>
    <row r="4896">
      <c r="A4896" s="122" t="s">
        <v>484</v>
      </c>
      <c r="B4896" s="123">
        <v>1273931.0</v>
      </c>
      <c r="C4896" s="687" t="s">
        <v>485</v>
      </c>
      <c r="D4896" s="125"/>
    </row>
    <row r="4897">
      <c r="A4897" s="122" t="s">
        <v>932</v>
      </c>
      <c r="B4897" s="123">
        <v>1326390.0</v>
      </c>
      <c r="C4897" s="687" t="s">
        <v>933</v>
      </c>
      <c r="D4897" s="125"/>
    </row>
    <row r="4898">
      <c r="A4898" s="122" t="s">
        <v>8853</v>
      </c>
      <c r="B4898" s="123">
        <v>1843121.0</v>
      </c>
      <c r="C4898" s="687" t="s">
        <v>8854</v>
      </c>
      <c r="D4898" s="125"/>
    </row>
    <row r="4899">
      <c r="A4899" s="122" t="s">
        <v>9371</v>
      </c>
      <c r="B4899" s="123">
        <v>1337068.0</v>
      </c>
      <c r="C4899" s="687" t="s">
        <v>9372</v>
      </c>
      <c r="D4899" s="125"/>
    </row>
    <row r="4900">
      <c r="A4900" s="122" t="s">
        <v>8570</v>
      </c>
      <c r="B4900" s="123">
        <v>1047564.0</v>
      </c>
      <c r="C4900" s="687" t="s">
        <v>8571</v>
      </c>
      <c r="D4900" s="125"/>
    </row>
    <row r="4901">
      <c r="A4901" s="122" t="s">
        <v>4359</v>
      </c>
      <c r="B4901" s="123">
        <v>1878313.0</v>
      </c>
      <c r="C4901" s="687" t="s">
        <v>4360</v>
      </c>
      <c r="D4901" s="125"/>
    </row>
    <row r="4902">
      <c r="A4902" s="122" t="s">
        <v>4581</v>
      </c>
      <c r="B4902" s="123">
        <v>1412100.0</v>
      </c>
      <c r="C4902" s="687" t="s">
        <v>4582</v>
      </c>
      <c r="D4902" s="125"/>
    </row>
    <row r="4903">
      <c r="A4903" s="122" t="s">
        <v>11093</v>
      </c>
      <c r="B4903" s="123">
        <v>1412100.0</v>
      </c>
      <c r="C4903" s="687" t="s">
        <v>11094</v>
      </c>
      <c r="D4903" s="125"/>
    </row>
    <row r="4904">
      <c r="A4904" s="122" t="s">
        <v>13989</v>
      </c>
      <c r="B4904" s="123">
        <v>925661.0</v>
      </c>
      <c r="C4904" s="687" t="s">
        <v>13990</v>
      </c>
      <c r="D4904" s="125"/>
    </row>
    <row r="4905">
      <c r="A4905" s="122" t="s">
        <v>13868</v>
      </c>
      <c r="B4905" s="123">
        <v>1396440.0</v>
      </c>
      <c r="C4905" s="687" t="s">
        <v>13869</v>
      </c>
      <c r="D4905" s="125"/>
    </row>
    <row r="4906">
      <c r="A4906" s="122" t="s">
        <v>9902</v>
      </c>
      <c r="B4906" s="123">
        <v>1855066.0</v>
      </c>
      <c r="C4906" s="687" t="s">
        <v>9903</v>
      </c>
      <c r="D4906" s="125"/>
    </row>
    <row r="4907">
      <c r="A4907" s="122" t="s">
        <v>10739</v>
      </c>
      <c r="B4907" s="123">
        <v>1518557.0</v>
      </c>
      <c r="C4907" s="687" t="s">
        <v>10740</v>
      </c>
      <c r="D4907" s="125"/>
    </row>
    <row r="4908">
      <c r="A4908" s="122" t="s">
        <v>12300</v>
      </c>
      <c r="B4908" s="123">
        <v>1693577.0</v>
      </c>
      <c r="C4908" s="687" t="s">
        <v>12301</v>
      </c>
      <c r="D4908" s="125"/>
    </row>
    <row r="4909">
      <c r="A4909" s="122" t="s">
        <v>11210</v>
      </c>
      <c r="B4909" s="123">
        <v>1693577.0</v>
      </c>
      <c r="C4909" s="687" t="s">
        <v>11211</v>
      </c>
      <c r="D4909" s="125"/>
    </row>
    <row r="4910">
      <c r="A4910" s="122" t="s">
        <v>3610</v>
      </c>
      <c r="B4910" s="123">
        <v>1874252.0</v>
      </c>
      <c r="C4910" s="687" t="s">
        <v>3611</v>
      </c>
      <c r="D4910" s="125"/>
    </row>
    <row r="4911">
      <c r="A4911" s="122" t="s">
        <v>33891</v>
      </c>
      <c r="B4911" s="123">
        <v>1486452.0</v>
      </c>
      <c r="C4911" s="687" t="s">
        <v>33892</v>
      </c>
      <c r="D4911" s="125"/>
    </row>
    <row r="4912">
      <c r="A4912" s="122" t="s">
        <v>33893</v>
      </c>
      <c r="B4912" s="123">
        <v>1308569.0</v>
      </c>
      <c r="C4912" s="687" t="s">
        <v>33894</v>
      </c>
      <c r="D4912" s="125"/>
    </row>
    <row r="4913">
      <c r="A4913" s="122" t="s">
        <v>33895</v>
      </c>
      <c r="B4913" s="123">
        <v>1632081.0</v>
      </c>
      <c r="C4913" s="687" t="s">
        <v>33896</v>
      </c>
      <c r="D4913" s="125"/>
    </row>
    <row r="4914">
      <c r="A4914" s="122" t="s">
        <v>14383</v>
      </c>
      <c r="B4914" s="123">
        <v>1495153.0</v>
      </c>
      <c r="C4914" s="687" t="s">
        <v>14384</v>
      </c>
      <c r="D4914" s="125"/>
    </row>
    <row r="4915">
      <c r="A4915" s="122" t="s">
        <v>3439</v>
      </c>
      <c r="B4915" s="123">
        <v>1569083.0</v>
      </c>
      <c r="C4915" s="687" t="s">
        <v>3440</v>
      </c>
      <c r="D4915" s="125"/>
    </row>
    <row r="4916">
      <c r="A4916" s="122" t="s">
        <v>13918</v>
      </c>
      <c r="B4916" s="123">
        <v>1590976.0</v>
      </c>
      <c r="C4916" s="687" t="s">
        <v>13919</v>
      </c>
      <c r="D4916" s="125"/>
    </row>
    <row r="4917">
      <c r="A4917" s="122" t="s">
        <v>5738</v>
      </c>
      <c r="B4917" s="123">
        <v>1679268.0</v>
      </c>
      <c r="C4917" s="687" t="s">
        <v>5739</v>
      </c>
      <c r="D4917" s="125"/>
    </row>
    <row r="4918">
      <c r="A4918" s="122" t="s">
        <v>11388</v>
      </c>
      <c r="B4918" s="123">
        <v>1549107.0</v>
      </c>
      <c r="C4918" s="687" t="s">
        <v>11389</v>
      </c>
      <c r="D4918" s="125"/>
    </row>
    <row r="4919">
      <c r="A4919" s="122" t="s">
        <v>2031</v>
      </c>
      <c r="B4919" s="123">
        <v>1524223.0</v>
      </c>
      <c r="C4919" s="687" t="s">
        <v>2032</v>
      </c>
      <c r="D4919" s="125"/>
    </row>
    <row r="4920">
      <c r="A4920" s="122" t="s">
        <v>16335</v>
      </c>
      <c r="B4920" s="123">
        <v>1056696.0</v>
      </c>
      <c r="C4920" s="687" t="s">
        <v>16336</v>
      </c>
      <c r="D4920" s="125"/>
    </row>
    <row r="4921">
      <c r="A4921" s="122" t="s">
        <v>6431</v>
      </c>
      <c r="B4921" s="123">
        <v>1080340.0</v>
      </c>
      <c r="C4921" s="687" t="s">
        <v>6432</v>
      </c>
      <c r="D4921" s="125"/>
    </row>
    <row r="4922">
      <c r="A4922" s="122" t="s">
        <v>33897</v>
      </c>
      <c r="B4922" s="123">
        <v>1099132.0</v>
      </c>
      <c r="C4922" s="687" t="s">
        <v>33898</v>
      </c>
      <c r="D4922" s="125"/>
    </row>
    <row r="4923">
      <c r="A4923" s="122" t="s">
        <v>2415</v>
      </c>
      <c r="B4923" s="123">
        <v>1908233.0</v>
      </c>
      <c r="C4923" s="687" t="s">
        <v>2416</v>
      </c>
      <c r="D4923" s="125"/>
    </row>
    <row r="4924">
      <c r="A4924" s="122" t="s">
        <v>7573</v>
      </c>
      <c r="B4924" s="123">
        <v>1302028.0</v>
      </c>
      <c r="C4924" s="687" t="s">
        <v>7574</v>
      </c>
      <c r="D4924" s="125"/>
    </row>
    <row r="4925">
      <c r="A4925" s="122" t="s">
        <v>10761</v>
      </c>
      <c r="B4925" s="123">
        <v>61986.0</v>
      </c>
      <c r="C4925" s="687" t="s">
        <v>10762</v>
      </c>
      <c r="D4925" s="125"/>
    </row>
    <row r="4926">
      <c r="A4926" s="122" t="s">
        <v>8011</v>
      </c>
      <c r="B4926" s="123">
        <v>1056358.0</v>
      </c>
      <c r="C4926" s="687" t="s">
        <v>8012</v>
      </c>
      <c r="D4926" s="125"/>
    </row>
    <row r="4927">
      <c r="A4927" s="122" t="s">
        <v>5707</v>
      </c>
      <c r="B4927" s="123">
        <v>899460.0</v>
      </c>
      <c r="C4927" s="687" t="s">
        <v>5708</v>
      </c>
      <c r="D4927" s="125"/>
    </row>
    <row r="4928">
      <c r="A4928" s="122" t="s">
        <v>14860</v>
      </c>
      <c r="B4928" s="123">
        <v>871763.0</v>
      </c>
      <c r="C4928" s="687" t="s">
        <v>14861</v>
      </c>
      <c r="D4928" s="125"/>
    </row>
    <row r="4929">
      <c r="A4929" s="122" t="s">
        <v>3827</v>
      </c>
      <c r="B4929" s="123">
        <v>1277998.0</v>
      </c>
      <c r="C4929" s="687" t="s">
        <v>3828</v>
      </c>
      <c r="D4929" s="125"/>
    </row>
    <row r="4930">
      <c r="A4930" s="122" t="s">
        <v>11741</v>
      </c>
      <c r="B4930" s="123">
        <v>1086888.0</v>
      </c>
      <c r="C4930" s="687" t="s">
        <v>11742</v>
      </c>
      <c r="D4930" s="125"/>
    </row>
    <row r="4931">
      <c r="A4931" s="122" t="s">
        <v>10049</v>
      </c>
      <c r="B4931" s="123">
        <v>1086888.0</v>
      </c>
      <c r="C4931" s="687" t="s">
        <v>10050</v>
      </c>
      <c r="D4931" s="125"/>
    </row>
    <row r="4932">
      <c r="A4932" s="122" t="s">
        <v>33899</v>
      </c>
      <c r="B4932" s="123">
        <v>1697935.0</v>
      </c>
      <c r="C4932" s="687" t="s">
        <v>33900</v>
      </c>
      <c r="D4932" s="125"/>
    </row>
    <row r="4933">
      <c r="A4933" s="122" t="s">
        <v>982</v>
      </c>
      <c r="B4933" s="123">
        <v>1844419.0</v>
      </c>
      <c r="C4933" s="687" t="s">
        <v>983</v>
      </c>
      <c r="D4933" s="125"/>
    </row>
    <row r="4934">
      <c r="A4934" s="122" t="s">
        <v>9063</v>
      </c>
      <c r="B4934" s="123">
        <v>1844419.0</v>
      </c>
      <c r="C4934" s="687" t="s">
        <v>9064</v>
      </c>
      <c r="D4934" s="125"/>
    </row>
    <row r="4935">
      <c r="A4935" s="122" t="s">
        <v>8192</v>
      </c>
      <c r="B4935" s="123">
        <v>1835385.0</v>
      </c>
      <c r="C4935" s="687" t="s">
        <v>8193</v>
      </c>
      <c r="D4935" s="125"/>
    </row>
    <row r="4936">
      <c r="A4936" s="122" t="s">
        <v>11081</v>
      </c>
      <c r="B4936" s="123">
        <v>1507605.0</v>
      </c>
      <c r="C4936" s="687" t="s">
        <v>11082</v>
      </c>
      <c r="D4936" s="125"/>
    </row>
    <row r="4937">
      <c r="A4937" s="122" t="s">
        <v>11853</v>
      </c>
      <c r="B4937" s="123">
        <v>101778.0</v>
      </c>
      <c r="C4937" s="687" t="s">
        <v>11854</v>
      </c>
      <c r="D4937" s="125"/>
    </row>
    <row r="4938">
      <c r="A4938" s="122" t="s">
        <v>15978</v>
      </c>
      <c r="B4938" s="123">
        <v>1510295.0</v>
      </c>
      <c r="C4938" s="687" t="s">
        <v>15979</v>
      </c>
      <c r="D4938" s="125"/>
    </row>
    <row r="4939">
      <c r="A4939" s="122" t="s">
        <v>6667</v>
      </c>
      <c r="B4939" s="123">
        <v>1823239.0</v>
      </c>
      <c r="C4939" s="687" t="s">
        <v>6668</v>
      </c>
      <c r="D4939" s="125"/>
    </row>
    <row r="4940">
      <c r="A4940" s="122" t="s">
        <v>1155</v>
      </c>
      <c r="B4940" s="123">
        <v>1838513.0</v>
      </c>
      <c r="C4940" s="687" t="s">
        <v>1156</v>
      </c>
      <c r="D4940" s="125"/>
    </row>
    <row r="4941">
      <c r="A4941" s="122" t="s">
        <v>8596</v>
      </c>
      <c r="B4941" s="123">
        <v>1838513.0</v>
      </c>
      <c r="C4941" s="687" t="s">
        <v>8597</v>
      </c>
      <c r="D4941" s="125"/>
    </row>
    <row r="4942">
      <c r="A4942" s="122" t="s">
        <v>4223</v>
      </c>
      <c r="B4942" s="123">
        <v>1224133.0</v>
      </c>
      <c r="C4942" s="687" t="s">
        <v>4224</v>
      </c>
      <c r="D4942" s="125"/>
    </row>
    <row r="4943">
      <c r="A4943" s="122" t="s">
        <v>13411</v>
      </c>
      <c r="B4943" s="123">
        <v>1578732.0</v>
      </c>
      <c r="C4943" s="687" t="s">
        <v>13412</v>
      </c>
      <c r="D4943" s="125"/>
    </row>
    <row r="4944">
      <c r="A4944" s="122" t="s">
        <v>10081</v>
      </c>
      <c r="B4944" s="123">
        <v>62234.0</v>
      </c>
      <c r="C4944" s="687" t="s">
        <v>10082</v>
      </c>
      <c r="D4944" s="125"/>
    </row>
    <row r="4945">
      <c r="A4945" s="122" t="s">
        <v>33901</v>
      </c>
      <c r="B4945" s="123">
        <v>1078799.0</v>
      </c>
      <c r="C4945" s="687" t="s">
        <v>33902</v>
      </c>
      <c r="D4945" s="125"/>
    </row>
    <row r="4946">
      <c r="A4946" s="122" t="s">
        <v>2765</v>
      </c>
      <c r="B4946" s="123">
        <v>1522767.0</v>
      </c>
      <c r="C4946" s="687" t="s">
        <v>2766</v>
      </c>
      <c r="D4946" s="125"/>
    </row>
    <row r="4947">
      <c r="A4947" s="122" t="s">
        <v>2835</v>
      </c>
      <c r="B4947" s="123">
        <v>1389002.0</v>
      </c>
      <c r="C4947" s="687" t="s">
        <v>2836</v>
      </c>
      <c r="D4947" s="125"/>
    </row>
    <row r="4948">
      <c r="A4948" s="122" t="s">
        <v>8578</v>
      </c>
      <c r="B4948" s="123">
        <v>1129155.0</v>
      </c>
      <c r="C4948" s="687" t="s">
        <v>8579</v>
      </c>
      <c r="D4948" s="125"/>
    </row>
    <row r="4949">
      <c r="A4949" s="122" t="s">
        <v>12893</v>
      </c>
      <c r="B4949" s="123">
        <v>1057060.0</v>
      </c>
      <c r="C4949" s="687" t="s">
        <v>12894</v>
      </c>
      <c r="D4949" s="125"/>
    </row>
    <row r="4950">
      <c r="A4950" s="122" t="s">
        <v>8343</v>
      </c>
      <c r="B4950" s="123">
        <v>1267813.0</v>
      </c>
      <c r="C4950" s="687" t="s">
        <v>8344</v>
      </c>
      <c r="D4950" s="125"/>
    </row>
    <row r="4951">
      <c r="A4951" s="122" t="s">
        <v>1413</v>
      </c>
      <c r="B4951" s="123">
        <v>1872964.0</v>
      </c>
      <c r="C4951" s="687" t="s">
        <v>1414</v>
      </c>
      <c r="D4951" s="125"/>
    </row>
    <row r="4952">
      <c r="A4952" s="122" t="s">
        <v>4076</v>
      </c>
      <c r="B4952" s="123">
        <v>1872964.0</v>
      </c>
      <c r="C4952" s="687" t="s">
        <v>4077</v>
      </c>
      <c r="D4952" s="125"/>
    </row>
    <row r="4953">
      <c r="A4953" s="122" t="s">
        <v>1799</v>
      </c>
      <c r="B4953" s="123">
        <v>1413754.0</v>
      </c>
      <c r="C4953" s="687" t="s">
        <v>1800</v>
      </c>
      <c r="D4953" s="125"/>
    </row>
    <row r="4954">
      <c r="A4954" s="122" t="s">
        <v>16711</v>
      </c>
      <c r="B4954" s="123">
        <v>1096343.0</v>
      </c>
      <c r="C4954" s="687" t="s">
        <v>16712</v>
      </c>
      <c r="D4954" s="125"/>
    </row>
    <row r="4955">
      <c r="A4955" s="122" t="s">
        <v>6466</v>
      </c>
      <c r="B4955" s="123">
        <v>1094038.0</v>
      </c>
      <c r="C4955" s="687" t="s">
        <v>6467</v>
      </c>
      <c r="D4955" s="125"/>
    </row>
    <row r="4956">
      <c r="A4956" s="122" t="s">
        <v>16240</v>
      </c>
      <c r="B4956" s="123">
        <v>1278021.0</v>
      </c>
      <c r="C4956" s="687" t="s">
        <v>16241</v>
      </c>
      <c r="D4956" s="125"/>
    </row>
    <row r="4957">
      <c r="A4957" s="122" t="s">
        <v>5043</v>
      </c>
      <c r="B4957" s="123">
        <v>1805651.0</v>
      </c>
      <c r="C4957" s="687" t="s">
        <v>5044</v>
      </c>
      <c r="D4957" s="125"/>
    </row>
    <row r="4958">
      <c r="A4958" s="122" t="s">
        <v>3303</v>
      </c>
      <c r="B4958" s="123">
        <v>1816613.0</v>
      </c>
      <c r="C4958" s="687" t="s">
        <v>3304</v>
      </c>
      <c r="D4958" s="125"/>
    </row>
    <row r="4959">
      <c r="A4959" s="122" t="s">
        <v>4008</v>
      </c>
      <c r="B4959" s="123">
        <v>1844392.0</v>
      </c>
      <c r="C4959" s="687" t="s">
        <v>4009</v>
      </c>
      <c r="D4959" s="125"/>
    </row>
    <row r="4960">
      <c r="A4960" s="122" t="s">
        <v>7035</v>
      </c>
      <c r="B4960" s="123">
        <v>1522540.0</v>
      </c>
      <c r="C4960" s="687" t="s">
        <v>7036</v>
      </c>
      <c r="D4960" s="125"/>
    </row>
    <row r="4961">
      <c r="A4961" s="122" t="s">
        <v>33903</v>
      </c>
      <c r="B4961" s="123">
        <v>1434601.0</v>
      </c>
      <c r="C4961" s="687" t="s">
        <v>33904</v>
      </c>
      <c r="D4961" s="125"/>
    </row>
    <row r="4962">
      <c r="A4962" s="122" t="s">
        <v>16306</v>
      </c>
      <c r="B4962" s="123">
        <v>1048286.0</v>
      </c>
      <c r="C4962" s="687" t="s">
        <v>16307</v>
      </c>
      <c r="D4962" s="125"/>
    </row>
    <row r="4963">
      <c r="A4963" s="122" t="s">
        <v>15103</v>
      </c>
      <c r="B4963" s="123">
        <v>1524358.0</v>
      </c>
      <c r="C4963" s="687" t="s">
        <v>15104</v>
      </c>
      <c r="D4963" s="125"/>
    </row>
    <row r="4964">
      <c r="A4964" s="122" t="s">
        <v>8682</v>
      </c>
      <c r="B4964" s="123">
        <v>1892922.0</v>
      </c>
      <c r="C4964" s="687" t="s">
        <v>8683</v>
      </c>
      <c r="D4964" s="125"/>
    </row>
    <row r="4965">
      <c r="A4965" s="122" t="s">
        <v>16128</v>
      </c>
      <c r="B4965" s="123">
        <v>62709.0</v>
      </c>
      <c r="C4965" s="687" t="s">
        <v>16129</v>
      </c>
      <c r="D4965" s="125"/>
    </row>
    <row r="4966">
      <c r="A4966" s="122" t="s">
        <v>16744</v>
      </c>
      <c r="B4966" s="123">
        <v>1126975.0</v>
      </c>
      <c r="C4966" s="687" t="s">
        <v>16745</v>
      </c>
      <c r="D4966" s="125"/>
    </row>
    <row r="4967">
      <c r="A4967" s="122" t="s">
        <v>11257</v>
      </c>
      <c r="B4967" s="123">
        <v>799167.0</v>
      </c>
      <c r="C4967" s="687" t="s">
        <v>11258</v>
      </c>
      <c r="D4967" s="125"/>
    </row>
    <row r="4968">
      <c r="A4968" s="122" t="s">
        <v>16477</v>
      </c>
      <c r="B4968" s="123">
        <v>894351.0</v>
      </c>
      <c r="C4968" s="687" t="s">
        <v>16478</v>
      </c>
      <c r="D4968" s="125"/>
    </row>
    <row r="4969">
      <c r="A4969" s="122" t="s">
        <v>16614</v>
      </c>
      <c r="B4969" s="123">
        <v>916076.0</v>
      </c>
      <c r="C4969" s="687" t="s">
        <v>16585</v>
      </c>
      <c r="D4969" s="125"/>
    </row>
    <row r="4970">
      <c r="A4970" s="122" t="s">
        <v>16584</v>
      </c>
      <c r="B4970" s="123">
        <v>1773250.0</v>
      </c>
      <c r="C4970" s="687" t="s">
        <v>16585</v>
      </c>
      <c r="D4970" s="125"/>
    </row>
    <row r="4971">
      <c r="A4971" s="122" t="s">
        <v>5023</v>
      </c>
      <c r="B4971" s="123">
        <v>1176334.0</v>
      </c>
      <c r="C4971" s="687" t="s">
        <v>5024</v>
      </c>
      <c r="D4971" s="125"/>
    </row>
    <row r="4972">
      <c r="A4972" s="122" t="s">
        <v>14689</v>
      </c>
      <c r="B4972" s="123">
        <v>1835632.0</v>
      </c>
      <c r="C4972" s="687" t="s">
        <v>14690</v>
      </c>
      <c r="D4972" s="125"/>
    </row>
    <row r="4973">
      <c r="A4973" s="122" t="s">
        <v>3807</v>
      </c>
      <c r="B4973" s="123">
        <v>1005101.0</v>
      </c>
      <c r="C4973" s="687" t="s">
        <v>3808</v>
      </c>
      <c r="D4973" s="125"/>
    </row>
    <row r="4974">
      <c r="A4974" s="122" t="s">
        <v>14740</v>
      </c>
      <c r="B4974" s="123">
        <v>62996.0</v>
      </c>
      <c r="C4974" s="687" t="s">
        <v>14741</v>
      </c>
      <c r="D4974" s="125"/>
    </row>
    <row r="4975">
      <c r="A4975" s="122" t="s">
        <v>15766</v>
      </c>
      <c r="B4975" s="123">
        <v>937556.0</v>
      </c>
      <c r="C4975" s="687" t="s">
        <v>15767</v>
      </c>
      <c r="D4975" s="125"/>
    </row>
    <row r="4976">
      <c r="A4976" s="122" t="s">
        <v>15268</v>
      </c>
      <c r="B4976" s="123">
        <v>893691.0</v>
      </c>
      <c r="C4976" s="687" t="s">
        <v>15269</v>
      </c>
      <c r="D4976" s="125"/>
    </row>
    <row r="4977">
      <c r="A4977" s="122" t="s">
        <v>504</v>
      </c>
      <c r="B4977" s="123">
        <v>1117228.0</v>
      </c>
      <c r="C4977" s="687" t="s">
        <v>505</v>
      </c>
      <c r="D4977" s="125"/>
    </row>
    <row r="4978">
      <c r="A4978" s="122" t="s">
        <v>14798</v>
      </c>
      <c r="B4978" s="123">
        <v>15615.0</v>
      </c>
      <c r="C4978" s="687" t="s">
        <v>14799</v>
      </c>
      <c r="D4978" s="125"/>
    </row>
    <row r="4979">
      <c r="A4979" s="122" t="s">
        <v>7842</v>
      </c>
      <c r="B4979" s="123">
        <v>1437226.0</v>
      </c>
      <c r="C4979" s="687" t="s">
        <v>7843</v>
      </c>
      <c r="D4979" s="125"/>
    </row>
    <row r="4980">
      <c r="A4980" s="122" t="s">
        <v>33905</v>
      </c>
      <c r="B4980" s="123">
        <v>1407591.0</v>
      </c>
      <c r="C4980" s="687" t="s">
        <v>33906</v>
      </c>
      <c r="D4980" s="125"/>
    </row>
    <row r="4981">
      <c r="A4981" s="122" t="s">
        <v>16566</v>
      </c>
      <c r="B4981" s="123">
        <v>1141391.0</v>
      </c>
      <c r="C4981" s="687" t="s">
        <v>16567</v>
      </c>
      <c r="D4981" s="125"/>
    </row>
    <row r="4982">
      <c r="A4982" s="122" t="s">
        <v>1793</v>
      </c>
      <c r="B4982" s="123">
        <v>1088638.0</v>
      </c>
      <c r="C4982" s="687" t="s">
        <v>1794</v>
      </c>
      <c r="D4982" s="125"/>
    </row>
    <row r="4983">
      <c r="A4983" s="122" t="s">
        <v>14210</v>
      </c>
      <c r="B4983" s="123">
        <v>1520006.0</v>
      </c>
      <c r="C4983" s="687" t="s">
        <v>14211</v>
      </c>
      <c r="D4983" s="125"/>
    </row>
    <row r="4984">
      <c r="A4984" s="122" t="s">
        <v>5736</v>
      </c>
      <c r="B4984" s="123">
        <v>1605888.0</v>
      </c>
      <c r="C4984" s="687" t="s">
        <v>5737</v>
      </c>
      <c r="D4984" s="125"/>
    </row>
    <row r="4985">
      <c r="A4985" s="122" t="s">
        <v>13417</v>
      </c>
      <c r="B4985" s="123">
        <v>891103.0</v>
      </c>
      <c r="C4985" s="687" t="s">
        <v>13418</v>
      </c>
      <c r="D4985" s="125"/>
    </row>
    <row r="4986">
      <c r="A4986" s="122" t="s">
        <v>6870</v>
      </c>
      <c r="B4986" s="123">
        <v>1091223.0</v>
      </c>
      <c r="C4986" s="687" t="s">
        <v>6871</v>
      </c>
      <c r="D4986" s="125"/>
    </row>
    <row r="4987">
      <c r="A4987" s="122" t="s">
        <v>15620</v>
      </c>
      <c r="B4987" s="123">
        <v>1104657.0</v>
      </c>
      <c r="C4987" s="687" t="s">
        <v>15621</v>
      </c>
      <c r="D4987" s="125"/>
    </row>
    <row r="4988">
      <c r="A4988" s="122" t="s">
        <v>9421</v>
      </c>
      <c r="B4988" s="123">
        <v>1000623.0</v>
      </c>
      <c r="C4988" s="687" t="s">
        <v>9422</v>
      </c>
      <c r="D4988" s="125"/>
    </row>
    <row r="4989">
      <c r="A4989" s="122" t="s">
        <v>3801</v>
      </c>
      <c r="B4989" s="123">
        <v>1875016.0</v>
      </c>
      <c r="C4989" s="687" t="s">
        <v>3802</v>
      </c>
      <c r="D4989" s="125"/>
    </row>
    <row r="4990">
      <c r="A4990" s="122" t="s">
        <v>8013</v>
      </c>
      <c r="B4990" s="123">
        <v>866273.0</v>
      </c>
      <c r="C4990" s="687" t="s">
        <v>8014</v>
      </c>
      <c r="D4990" s="125"/>
    </row>
    <row r="4991">
      <c r="A4991" s="122" t="s">
        <v>15550</v>
      </c>
      <c r="B4991" s="123">
        <v>3453.0</v>
      </c>
      <c r="C4991" s="687" t="s">
        <v>15551</v>
      </c>
      <c r="D4991" s="125"/>
    </row>
    <row r="4992">
      <c r="A4992" s="122" t="s">
        <v>11216</v>
      </c>
      <c r="B4992" s="123">
        <v>63276.0</v>
      </c>
      <c r="C4992" s="687" t="s">
        <v>11217</v>
      </c>
      <c r="D4992" s="125"/>
    </row>
    <row r="4993">
      <c r="A4993" s="122" t="s">
        <v>5052</v>
      </c>
      <c r="B4993" s="123">
        <v>1819394.0</v>
      </c>
      <c r="C4993" s="687" t="s">
        <v>5053</v>
      </c>
      <c r="D4993" s="125"/>
    </row>
    <row r="4994">
      <c r="A4994" s="122" t="s">
        <v>12854</v>
      </c>
      <c r="B4994" s="123">
        <v>63296.0</v>
      </c>
      <c r="C4994" s="687" t="s">
        <v>12855</v>
      </c>
      <c r="D4994" s="125"/>
    </row>
    <row r="4995">
      <c r="A4995" s="122" t="s">
        <v>11303</v>
      </c>
      <c r="B4995" s="123">
        <v>63330.0</v>
      </c>
      <c r="C4995" s="687" t="s">
        <v>11304</v>
      </c>
      <c r="D4995" s="125"/>
    </row>
    <row r="4996">
      <c r="A4996" s="122" t="s">
        <v>818</v>
      </c>
      <c r="B4996" s="123">
        <v>1698370.0</v>
      </c>
      <c r="C4996" s="687" t="s">
        <v>819</v>
      </c>
      <c r="D4996" s="125"/>
    </row>
    <row r="4997">
      <c r="A4997" s="122" t="s">
        <v>779</v>
      </c>
      <c r="B4997" s="123">
        <v>1825270.0</v>
      </c>
      <c r="C4997" s="687" t="s">
        <v>780</v>
      </c>
      <c r="D4997" s="125"/>
    </row>
    <row r="4998">
      <c r="A4998" s="122" t="s">
        <v>5056</v>
      </c>
      <c r="B4998" s="123">
        <v>1218683.0</v>
      </c>
      <c r="C4998" s="687" t="s">
        <v>5057</v>
      </c>
      <c r="D4998" s="125"/>
    </row>
    <row r="4999">
      <c r="A4999" s="122" t="s">
        <v>1620</v>
      </c>
      <c r="B4999" s="123">
        <v>1116548.0</v>
      </c>
      <c r="C4999" s="687" t="s">
        <v>1621</v>
      </c>
      <c r="D4999" s="125"/>
    </row>
    <row r="5000">
      <c r="A5000" s="122" t="s">
        <v>33907</v>
      </c>
      <c r="B5000" s="123">
        <v>1353499.0</v>
      </c>
      <c r="C5000" s="687" t="s">
        <v>33908</v>
      </c>
      <c r="D5000" s="125"/>
    </row>
    <row r="5001">
      <c r="A5001" s="122" t="s">
        <v>6627</v>
      </c>
      <c r="B5001" s="123">
        <v>1287098.0</v>
      </c>
      <c r="C5001" s="687" t="s">
        <v>6628</v>
      </c>
      <c r="D5001" s="125"/>
    </row>
    <row r="5002">
      <c r="A5002" s="122" t="s">
        <v>6357</v>
      </c>
      <c r="B5002" s="123">
        <v>1796898.0</v>
      </c>
      <c r="C5002" s="687" t="s">
        <v>6358</v>
      </c>
      <c r="D5002" s="125"/>
    </row>
    <row r="5003">
      <c r="A5003" s="122" t="s">
        <v>15014</v>
      </c>
      <c r="B5003" s="123">
        <v>1032220.0</v>
      </c>
      <c r="C5003" s="687" t="s">
        <v>15015</v>
      </c>
      <c r="D5003" s="125"/>
    </row>
    <row r="5004">
      <c r="A5004" s="122" t="s">
        <v>10992</v>
      </c>
      <c r="B5004" s="123">
        <v>1288469.0</v>
      </c>
      <c r="C5004" s="687" t="s">
        <v>10993</v>
      </c>
      <c r="D5004" s="125"/>
    </row>
    <row r="5005">
      <c r="A5005" s="122" t="s">
        <v>9742</v>
      </c>
      <c r="B5005" s="123">
        <v>1766368.0</v>
      </c>
      <c r="C5005" s="687" t="s">
        <v>9743</v>
      </c>
      <c r="D5005" s="125"/>
    </row>
    <row r="5006">
      <c r="A5006" s="122" t="s">
        <v>7085</v>
      </c>
      <c r="B5006" s="123">
        <v>814585.0</v>
      </c>
      <c r="C5006" s="687" t="s">
        <v>7086</v>
      </c>
      <c r="D5006" s="125"/>
    </row>
    <row r="5007">
      <c r="A5007" s="122" t="s">
        <v>14695</v>
      </c>
      <c r="B5007" s="123">
        <v>63754.0</v>
      </c>
      <c r="C5007" s="687" t="s">
        <v>14696</v>
      </c>
      <c r="D5007" s="125"/>
    </row>
    <row r="5008">
      <c r="A5008" s="122" t="s">
        <v>16417</v>
      </c>
      <c r="B5008" s="123">
        <v>63908.0</v>
      </c>
      <c r="C5008" s="687" t="s">
        <v>16418</v>
      </c>
      <c r="D5008" s="125"/>
    </row>
    <row r="5009">
      <c r="A5009" s="122" t="s">
        <v>7457</v>
      </c>
      <c r="B5009" s="123">
        <v>314203.0</v>
      </c>
      <c r="C5009" s="687" t="s">
        <v>7458</v>
      </c>
      <c r="D5009" s="125"/>
    </row>
    <row r="5010">
      <c r="A5010" s="122" t="s">
        <v>15725</v>
      </c>
      <c r="B5010" s="123">
        <v>752714.0</v>
      </c>
      <c r="C5010" s="687" t="s">
        <v>15726</v>
      </c>
      <c r="D5010" s="125"/>
    </row>
    <row r="5011">
      <c r="A5011" s="122" t="s">
        <v>16601</v>
      </c>
      <c r="B5011" s="123">
        <v>927653.0</v>
      </c>
      <c r="C5011" s="687" t="s">
        <v>16602</v>
      </c>
      <c r="D5011" s="125"/>
    </row>
    <row r="5012">
      <c r="A5012" s="122" t="s">
        <v>494</v>
      </c>
      <c r="B5012" s="123">
        <v>1535079.0</v>
      </c>
      <c r="C5012" s="687" t="s">
        <v>495</v>
      </c>
      <c r="D5012" s="125"/>
    </row>
    <row r="5013">
      <c r="A5013" s="122" t="s">
        <v>14558</v>
      </c>
      <c r="B5013" s="123">
        <v>773141.0</v>
      </c>
      <c r="C5013" s="687" t="s">
        <v>14361</v>
      </c>
      <c r="D5013" s="125"/>
    </row>
    <row r="5014">
      <c r="A5014" s="122" t="s">
        <v>14360</v>
      </c>
      <c r="B5014" s="123">
        <v>1823143.0</v>
      </c>
      <c r="C5014" s="687" t="s">
        <v>14361</v>
      </c>
      <c r="D5014" s="125"/>
    </row>
    <row r="5015">
      <c r="A5015" s="122" t="s">
        <v>3885</v>
      </c>
      <c r="B5015" s="123">
        <v>1741534.0</v>
      </c>
      <c r="C5015" s="687" t="s">
        <v>3886</v>
      </c>
      <c r="D5015" s="125"/>
    </row>
    <row r="5016">
      <c r="A5016" s="122" t="s">
        <v>11384</v>
      </c>
      <c r="B5016" s="123">
        <v>67716.0</v>
      </c>
      <c r="C5016" s="687" t="s">
        <v>11385</v>
      </c>
      <c r="D5016" s="125"/>
    </row>
    <row r="5017">
      <c r="A5017" s="122" t="s">
        <v>2317</v>
      </c>
      <c r="B5017" s="123">
        <v>1295514.0</v>
      </c>
      <c r="C5017" s="687" t="s">
        <v>2318</v>
      </c>
      <c r="D5017" s="125"/>
    </row>
    <row r="5018">
      <c r="A5018" s="122" t="s">
        <v>5986</v>
      </c>
      <c r="B5018" s="123">
        <v>1872529.0</v>
      </c>
      <c r="C5018" s="687" t="s">
        <v>5987</v>
      </c>
      <c r="D5018" s="125"/>
    </row>
    <row r="5019">
      <c r="A5019" s="122" t="s">
        <v>4172</v>
      </c>
      <c r="B5019" s="123">
        <v>1627452.0</v>
      </c>
      <c r="C5019" s="687" t="s">
        <v>4173</v>
      </c>
      <c r="D5019" s="125"/>
    </row>
    <row r="5020">
      <c r="A5020" s="122" t="s">
        <v>4080</v>
      </c>
      <c r="B5020" s="123">
        <v>1796514.0</v>
      </c>
      <c r="C5020" s="687" t="s">
        <v>4081</v>
      </c>
      <c r="D5020" s="125"/>
    </row>
    <row r="5021">
      <c r="A5021" s="122" t="s">
        <v>12272</v>
      </c>
      <c r="B5021" s="123">
        <v>1654595.0</v>
      </c>
      <c r="C5021" s="687" t="s">
        <v>12273</v>
      </c>
      <c r="D5021" s="125"/>
    </row>
    <row r="5022">
      <c r="A5022" s="122" t="s">
        <v>6645</v>
      </c>
      <c r="B5022" s="123">
        <v>1654595.0</v>
      </c>
      <c r="C5022" s="687" t="s">
        <v>6646</v>
      </c>
      <c r="D5022" s="125"/>
    </row>
    <row r="5023">
      <c r="A5023" s="122" t="s">
        <v>12146</v>
      </c>
      <c r="B5023" s="123">
        <v>1000209.0</v>
      </c>
      <c r="C5023" s="687" t="s">
        <v>12147</v>
      </c>
      <c r="D5023" s="125"/>
    </row>
    <row r="5024">
      <c r="A5024" s="122" t="s">
        <v>8369</v>
      </c>
      <c r="B5024" s="123">
        <v>1000209.0</v>
      </c>
      <c r="C5024" s="687" t="s">
        <v>8370</v>
      </c>
      <c r="D5024" s="125"/>
    </row>
    <row r="5025">
      <c r="A5025" s="122" t="s">
        <v>512</v>
      </c>
      <c r="B5025" s="123">
        <v>1370496.0</v>
      </c>
      <c r="C5025" s="687" t="s">
        <v>513</v>
      </c>
      <c r="D5025" s="125"/>
    </row>
    <row r="5026">
      <c r="A5026" s="122" t="s">
        <v>514</v>
      </c>
      <c r="B5026" s="123">
        <v>1370496.0</v>
      </c>
      <c r="C5026" s="687" t="s">
        <v>513</v>
      </c>
      <c r="D5026" s="125"/>
    </row>
    <row r="5027">
      <c r="A5027" s="122" t="s">
        <v>4663</v>
      </c>
      <c r="B5027" s="123">
        <v>1402479.0</v>
      </c>
      <c r="C5027" s="687" t="s">
        <v>4664</v>
      </c>
      <c r="D5027" s="125"/>
    </row>
    <row r="5028">
      <c r="A5028" s="122" t="s">
        <v>8188</v>
      </c>
      <c r="B5028" s="123">
        <v>1551040.0</v>
      </c>
      <c r="C5028" s="687" t="s">
        <v>8189</v>
      </c>
      <c r="D5028" s="125"/>
    </row>
    <row r="5029">
      <c r="A5029" s="122" t="s">
        <v>16798</v>
      </c>
      <c r="B5029" s="123">
        <v>840551.0</v>
      </c>
      <c r="C5029" s="687" t="s">
        <v>16799</v>
      </c>
      <c r="D5029" s="125"/>
    </row>
    <row r="5030">
      <c r="A5030" s="122" t="s">
        <v>9800</v>
      </c>
      <c r="B5030" s="123">
        <v>1818383.0</v>
      </c>
      <c r="C5030" s="687" t="s">
        <v>9801</v>
      </c>
      <c r="D5030" s="125"/>
    </row>
    <row r="5031">
      <c r="A5031" s="122" t="s">
        <v>3051</v>
      </c>
      <c r="B5031" s="123">
        <v>1784254.0</v>
      </c>
      <c r="C5031" s="687" t="s">
        <v>3052</v>
      </c>
      <c r="D5031" s="125"/>
    </row>
    <row r="5032">
      <c r="A5032" s="122" t="s">
        <v>5711</v>
      </c>
      <c r="B5032" s="123">
        <v>1287865.0</v>
      </c>
      <c r="C5032" s="687" t="s">
        <v>5712</v>
      </c>
      <c r="D5032" s="125"/>
    </row>
    <row r="5033">
      <c r="A5033" s="122" t="s">
        <v>1487</v>
      </c>
      <c r="B5033" s="123">
        <v>1827855.0</v>
      </c>
      <c r="C5033" s="687" t="s">
        <v>1488</v>
      </c>
      <c r="D5033" s="125"/>
    </row>
    <row r="5034">
      <c r="A5034" s="122" t="s">
        <v>2876</v>
      </c>
      <c r="B5034" s="123">
        <v>1807983.0</v>
      </c>
      <c r="C5034" s="687" t="s">
        <v>2877</v>
      </c>
      <c r="D5034" s="125"/>
    </row>
    <row r="5035">
      <c r="A5035" s="122" t="s">
        <v>3879</v>
      </c>
      <c r="B5035" s="123">
        <v>1622879.0</v>
      </c>
      <c r="C5035" s="687" t="s">
        <v>3880</v>
      </c>
      <c r="D5035" s="125"/>
    </row>
    <row r="5036">
      <c r="A5036" s="122" t="s">
        <v>4309</v>
      </c>
      <c r="B5036" s="123">
        <v>1226616.0</v>
      </c>
      <c r="C5036" s="687" t="s">
        <v>4310</v>
      </c>
      <c r="D5036" s="125"/>
    </row>
    <row r="5037">
      <c r="A5037" s="122" t="s">
        <v>3684</v>
      </c>
      <c r="B5037" s="123">
        <v>1133519.0</v>
      </c>
      <c r="C5037" s="687" t="s">
        <v>3685</v>
      </c>
      <c r="D5037" s="125"/>
    </row>
    <row r="5038">
      <c r="A5038" s="122" t="s">
        <v>14202</v>
      </c>
      <c r="B5038" s="123">
        <v>910329.0</v>
      </c>
      <c r="C5038" s="687" t="s">
        <v>14203</v>
      </c>
      <c r="D5038" s="125"/>
    </row>
    <row r="5039">
      <c r="A5039" s="122" t="s">
        <v>5618</v>
      </c>
      <c r="B5039" s="123">
        <v>1618500.0</v>
      </c>
      <c r="C5039" s="687" t="s">
        <v>5619</v>
      </c>
      <c r="D5039" s="125"/>
    </row>
    <row r="5040">
      <c r="A5040" s="122" t="s">
        <v>9921</v>
      </c>
      <c r="B5040" s="123">
        <v>1379481.0</v>
      </c>
      <c r="C5040" s="687" t="s">
        <v>9922</v>
      </c>
      <c r="D5040" s="125"/>
    </row>
    <row r="5041">
      <c r="A5041" s="122" t="s">
        <v>10058</v>
      </c>
      <c r="B5041" s="123">
        <v>1379481.0</v>
      </c>
      <c r="C5041" s="687" t="s">
        <v>10059</v>
      </c>
      <c r="D5041" s="125"/>
    </row>
    <row r="5042">
      <c r="A5042" s="122" t="s">
        <v>6987</v>
      </c>
      <c r="B5042" s="123">
        <v>1819704.0</v>
      </c>
      <c r="C5042" s="687" t="s">
        <v>6988</v>
      </c>
      <c r="D5042" s="125"/>
    </row>
    <row r="5043">
      <c r="A5043" s="122" t="s">
        <v>9709</v>
      </c>
      <c r="B5043" s="123">
        <v>1593984.0</v>
      </c>
      <c r="C5043" s="687" t="s">
        <v>9710</v>
      </c>
      <c r="D5043" s="125"/>
    </row>
    <row r="5044">
      <c r="A5044" s="122" t="s">
        <v>33909</v>
      </c>
      <c r="B5044" s="123">
        <v>1601280.0</v>
      </c>
      <c r="C5044" s="687" t="s">
        <v>33910</v>
      </c>
      <c r="D5044" s="125"/>
    </row>
    <row r="5045">
      <c r="A5045" s="122" t="s">
        <v>33911</v>
      </c>
      <c r="B5045" s="123">
        <v>1776932.0</v>
      </c>
      <c r="C5045" s="687" t="s">
        <v>33912</v>
      </c>
      <c r="D5045" s="125"/>
    </row>
    <row r="5046">
      <c r="A5046" s="122" t="s">
        <v>16411</v>
      </c>
      <c r="B5046" s="123">
        <v>1668397.0</v>
      </c>
      <c r="C5046" s="687" t="s">
        <v>16412</v>
      </c>
      <c r="D5046" s="125"/>
    </row>
    <row r="5047">
      <c r="A5047" s="122" t="s">
        <v>15171</v>
      </c>
      <c r="B5047" s="123">
        <v>1613103.0</v>
      </c>
      <c r="C5047" s="687" t="s">
        <v>15172</v>
      </c>
      <c r="D5047" s="125"/>
    </row>
    <row r="5048">
      <c r="A5048" s="122" t="s">
        <v>6341</v>
      </c>
      <c r="B5048" s="123">
        <v>1262104.0</v>
      </c>
      <c r="C5048" s="687" t="s">
        <v>6342</v>
      </c>
      <c r="D5048" s="125"/>
    </row>
    <row r="5049">
      <c r="A5049" s="122" t="s">
        <v>3769</v>
      </c>
      <c r="B5049" s="123">
        <v>1835615.0</v>
      </c>
      <c r="C5049" s="687" t="s">
        <v>3770</v>
      </c>
      <c r="D5049" s="125"/>
    </row>
    <row r="5050">
      <c r="A5050" s="122" t="s">
        <v>6972</v>
      </c>
      <c r="B5050" s="123">
        <v>1735438.0</v>
      </c>
      <c r="C5050" s="687" t="s">
        <v>6973</v>
      </c>
      <c r="D5050" s="125"/>
    </row>
    <row r="5051">
      <c r="A5051" s="122" t="s">
        <v>3819</v>
      </c>
      <c r="B5051" s="123">
        <v>1787803.0</v>
      </c>
      <c r="C5051" s="687" t="s">
        <v>3820</v>
      </c>
      <c r="D5051" s="125"/>
    </row>
    <row r="5052">
      <c r="A5052" s="122" t="s">
        <v>7675</v>
      </c>
      <c r="B5052" s="123">
        <v>1381640.0</v>
      </c>
      <c r="C5052" s="687" t="s">
        <v>7676</v>
      </c>
      <c r="D5052" s="125"/>
    </row>
    <row r="5053">
      <c r="A5053" s="122" t="s">
        <v>1367</v>
      </c>
      <c r="B5053" s="123">
        <v>1599117.0</v>
      </c>
      <c r="C5053" s="687" t="s">
        <v>1368</v>
      </c>
      <c r="D5053" s="125"/>
    </row>
    <row r="5054">
      <c r="A5054" s="122" t="s">
        <v>16724</v>
      </c>
      <c r="B5054" s="123">
        <v>1099590.0</v>
      </c>
      <c r="C5054" s="687" t="s">
        <v>16725</v>
      </c>
      <c r="D5054" s="125"/>
    </row>
    <row r="5055">
      <c r="A5055" s="122" t="s">
        <v>13529</v>
      </c>
      <c r="B5055" s="123">
        <v>1042729.0</v>
      </c>
      <c r="C5055" s="687" t="s">
        <v>13530</v>
      </c>
      <c r="D5055" s="125"/>
    </row>
    <row r="5056">
      <c r="A5056" s="122" t="s">
        <v>14769</v>
      </c>
      <c r="B5056" s="123">
        <v>1067318.0</v>
      </c>
      <c r="C5056" s="687" t="s">
        <v>14770</v>
      </c>
      <c r="D5056" s="125"/>
    </row>
    <row r="5057">
      <c r="A5057" s="122" t="s">
        <v>7681</v>
      </c>
      <c r="B5057" s="123">
        <v>1333274.0</v>
      </c>
      <c r="C5057" s="687" t="s">
        <v>7682</v>
      </c>
      <c r="D5057" s="125"/>
    </row>
    <row r="5058">
      <c r="A5058" s="122" t="s">
        <v>13644</v>
      </c>
      <c r="B5058" s="123">
        <v>1629019.0</v>
      </c>
      <c r="C5058" s="687" t="s">
        <v>13645</v>
      </c>
      <c r="D5058" s="125"/>
    </row>
    <row r="5059">
      <c r="A5059" s="122" t="s">
        <v>11739</v>
      </c>
      <c r="B5059" s="123">
        <v>1629019.0</v>
      </c>
      <c r="C5059" s="687" t="s">
        <v>11740</v>
      </c>
      <c r="D5059" s="125"/>
    </row>
    <row r="5060">
      <c r="A5060" s="122" t="s">
        <v>12276</v>
      </c>
      <c r="B5060" s="123">
        <v>1629019.0</v>
      </c>
      <c r="C5060" s="687" t="s">
        <v>12277</v>
      </c>
      <c r="D5060" s="125"/>
    </row>
    <row r="5061">
      <c r="A5061" s="122" t="s">
        <v>12156</v>
      </c>
      <c r="B5061" s="123">
        <v>1629019.0</v>
      </c>
      <c r="C5061" s="687" t="s">
        <v>12157</v>
      </c>
      <c r="D5061" s="125"/>
    </row>
    <row r="5062">
      <c r="A5062" s="122" t="s">
        <v>15691</v>
      </c>
      <c r="B5062" s="123">
        <v>310158.0</v>
      </c>
      <c r="C5062" s="687" t="s">
        <v>15692</v>
      </c>
      <c r="D5062" s="125"/>
    </row>
    <row r="5063">
      <c r="A5063" s="122" t="s">
        <v>5251</v>
      </c>
      <c r="B5063" s="123">
        <v>1527762.0</v>
      </c>
      <c r="C5063" s="687" t="s">
        <v>5252</v>
      </c>
      <c r="D5063" s="125"/>
    </row>
    <row r="5064">
      <c r="A5064" s="122" t="s">
        <v>13495</v>
      </c>
      <c r="B5064" s="123">
        <v>64996.0</v>
      </c>
      <c r="C5064" s="687" t="s">
        <v>13496</v>
      </c>
      <c r="D5064" s="125"/>
    </row>
    <row r="5065">
      <c r="A5065" s="122" t="s">
        <v>12836</v>
      </c>
      <c r="B5065" s="123">
        <v>1049521.0</v>
      </c>
      <c r="C5065" s="687" t="s">
        <v>12837</v>
      </c>
      <c r="D5065" s="125"/>
    </row>
    <row r="5066">
      <c r="A5066" s="122" t="s">
        <v>6036</v>
      </c>
      <c r="B5066" s="123">
        <v>1719714.0</v>
      </c>
      <c r="C5066" s="687" t="s">
        <v>6037</v>
      </c>
      <c r="D5066" s="125"/>
    </row>
    <row r="5067">
      <c r="A5067" s="122" t="s">
        <v>9377</v>
      </c>
      <c r="B5067" s="123">
        <v>1750735.0</v>
      </c>
      <c r="C5067" s="687" t="s">
        <v>9378</v>
      </c>
      <c r="D5067" s="125"/>
    </row>
    <row r="5068">
      <c r="A5068" s="122" t="s">
        <v>11911</v>
      </c>
      <c r="B5068" s="123">
        <v>1834494.0</v>
      </c>
      <c r="C5068" s="687" t="s">
        <v>11912</v>
      </c>
      <c r="D5068" s="125"/>
    </row>
    <row r="5069">
      <c r="A5069" s="122" t="s">
        <v>33913</v>
      </c>
      <c r="B5069" s="123">
        <v>1517498.0</v>
      </c>
      <c r="C5069" s="687" t="s">
        <v>33914</v>
      </c>
      <c r="D5069" s="125"/>
    </row>
    <row r="5070">
      <c r="A5070" s="122" t="s">
        <v>14986</v>
      </c>
      <c r="B5070" s="123">
        <v>856982.0</v>
      </c>
      <c r="C5070" s="687" t="s">
        <v>14987</v>
      </c>
      <c r="D5070" s="125"/>
    </row>
    <row r="5071">
      <c r="A5071" s="122" t="s">
        <v>15892</v>
      </c>
      <c r="B5071" s="123">
        <v>833079.0</v>
      </c>
      <c r="C5071" s="687" t="s">
        <v>15893</v>
      </c>
      <c r="D5071" s="125"/>
    </row>
    <row r="5072">
      <c r="A5072" s="122" t="s">
        <v>9923</v>
      </c>
      <c r="B5072" s="123">
        <v>1274792.0</v>
      </c>
      <c r="C5072" s="687" t="s">
        <v>9924</v>
      </c>
      <c r="D5072" s="125"/>
    </row>
    <row r="5073">
      <c r="A5073" s="122" t="s">
        <v>5752</v>
      </c>
      <c r="B5073" s="123">
        <v>1442836.0</v>
      </c>
      <c r="C5073" s="687" t="s">
        <v>5753</v>
      </c>
      <c r="D5073" s="125"/>
    </row>
    <row r="5074">
      <c r="A5074" s="122" t="s">
        <v>13273</v>
      </c>
      <c r="B5074" s="123">
        <v>1651311.0</v>
      </c>
      <c r="C5074" s="687" t="s">
        <v>13274</v>
      </c>
      <c r="D5074" s="125"/>
    </row>
    <row r="5075">
      <c r="A5075" s="122" t="s">
        <v>3670</v>
      </c>
      <c r="B5075" s="123">
        <v>810332.0</v>
      </c>
      <c r="C5075" s="687" t="s">
        <v>3671</v>
      </c>
      <c r="D5075" s="125"/>
    </row>
    <row r="5076">
      <c r="A5076" s="122" t="s">
        <v>15287</v>
      </c>
      <c r="B5076" s="123">
        <v>724004.0</v>
      </c>
      <c r="C5076" s="687" t="s">
        <v>15288</v>
      </c>
      <c r="D5076" s="125"/>
    </row>
    <row r="5077">
      <c r="A5077" s="122" t="s">
        <v>8959</v>
      </c>
      <c r="B5077" s="123">
        <v>313364.0</v>
      </c>
      <c r="C5077" s="687" t="s">
        <v>8960</v>
      </c>
      <c r="D5077" s="125"/>
    </row>
    <row r="5078">
      <c r="A5078" s="122" t="s">
        <v>11529</v>
      </c>
      <c r="B5078" s="123">
        <v>65172.0</v>
      </c>
      <c r="C5078" s="687" t="s">
        <v>11530</v>
      </c>
      <c r="D5078" s="125"/>
    </row>
    <row r="5079">
      <c r="A5079" s="122" t="s">
        <v>1207</v>
      </c>
      <c r="B5079" s="123">
        <v>1760026.0</v>
      </c>
      <c r="C5079" s="687" t="s">
        <v>1208</v>
      </c>
      <c r="D5079" s="125"/>
    </row>
    <row r="5080">
      <c r="A5080" s="122" t="s">
        <v>2211</v>
      </c>
      <c r="B5080" s="123">
        <v>1345099.0</v>
      </c>
      <c r="C5080" s="687" t="s">
        <v>2212</v>
      </c>
      <c r="D5080" s="125"/>
    </row>
    <row r="5081">
      <c r="A5081" s="122" t="s">
        <v>4640</v>
      </c>
      <c r="B5081" s="123">
        <v>1345099.0</v>
      </c>
      <c r="C5081" s="687" t="s">
        <v>2212</v>
      </c>
      <c r="D5081" s="125"/>
    </row>
    <row r="5082">
      <c r="A5082" s="122" t="s">
        <v>3739</v>
      </c>
      <c r="B5082" s="123">
        <v>1722380.0</v>
      </c>
      <c r="C5082" s="687" t="s">
        <v>3740</v>
      </c>
      <c r="D5082" s="125"/>
    </row>
    <row r="5083">
      <c r="A5083" s="122" t="s">
        <v>5768</v>
      </c>
      <c r="B5083" s="123">
        <v>1431959.0</v>
      </c>
      <c r="C5083" s="687" t="s">
        <v>5769</v>
      </c>
      <c r="D5083" s="125"/>
    </row>
    <row r="5084">
      <c r="A5084" s="122" t="s">
        <v>16579</v>
      </c>
      <c r="B5084" s="123">
        <v>1326801.0</v>
      </c>
      <c r="C5084" s="687" t="s">
        <v>16580</v>
      </c>
      <c r="D5084" s="125"/>
    </row>
    <row r="5085">
      <c r="A5085" s="122" t="s">
        <v>9065</v>
      </c>
      <c r="B5085" s="123">
        <v>1882464.0</v>
      </c>
      <c r="C5085" s="687" t="s">
        <v>9066</v>
      </c>
      <c r="D5085" s="125"/>
    </row>
    <row r="5086">
      <c r="A5086" s="122" t="s">
        <v>3181</v>
      </c>
      <c r="B5086" s="123">
        <v>1098462.0</v>
      </c>
      <c r="C5086" s="687" t="s">
        <v>3182</v>
      </c>
      <c r="D5086" s="125"/>
    </row>
    <row r="5087">
      <c r="A5087" s="122" t="s">
        <v>5421</v>
      </c>
      <c r="B5087" s="123">
        <v>1722606.0</v>
      </c>
      <c r="C5087" s="687" t="s">
        <v>5422</v>
      </c>
      <c r="D5087" s="125"/>
    </row>
    <row r="5088">
      <c r="A5088" s="122" t="s">
        <v>9822</v>
      </c>
      <c r="B5088" s="123">
        <v>1853021.0</v>
      </c>
      <c r="C5088" s="687" t="s">
        <v>9823</v>
      </c>
      <c r="D5088" s="125"/>
    </row>
    <row r="5089">
      <c r="A5089" s="122" t="s">
        <v>5448</v>
      </c>
      <c r="B5089" s="123">
        <v>1302362.0</v>
      </c>
      <c r="C5089" s="687" t="s">
        <v>5449</v>
      </c>
      <c r="D5089" s="125"/>
    </row>
    <row r="5090">
      <c r="A5090" s="122" t="s">
        <v>1684</v>
      </c>
      <c r="B5090" s="123">
        <v>924095.0</v>
      </c>
      <c r="C5090" s="687" t="s">
        <v>1685</v>
      </c>
      <c r="D5090" s="125"/>
    </row>
    <row r="5091">
      <c r="A5091" s="122" t="s">
        <v>896</v>
      </c>
      <c r="B5091" s="123">
        <v>1515139.0</v>
      </c>
      <c r="C5091" s="687" t="s">
        <v>897</v>
      </c>
      <c r="D5091" s="125"/>
    </row>
    <row r="5092">
      <c r="A5092" s="122" t="s">
        <v>13912</v>
      </c>
      <c r="B5092" s="123">
        <v>886977.0</v>
      </c>
      <c r="C5092" s="687" t="s">
        <v>13913</v>
      </c>
      <c r="D5092" s="125"/>
    </row>
    <row r="5093">
      <c r="A5093" s="122" t="s">
        <v>11599</v>
      </c>
      <c r="B5093" s="123">
        <v>65270.0</v>
      </c>
      <c r="C5093" s="687" t="s">
        <v>11600</v>
      </c>
      <c r="D5093" s="125"/>
    </row>
    <row r="5094">
      <c r="A5094" s="122" t="s">
        <v>14647</v>
      </c>
      <c r="B5094" s="123">
        <v>1099219.0</v>
      </c>
      <c r="C5094" s="687" t="s">
        <v>14648</v>
      </c>
      <c r="D5094" s="125"/>
    </row>
    <row r="5095">
      <c r="A5095" s="122" t="s">
        <v>2105</v>
      </c>
      <c r="B5095" s="123">
        <v>920990.0</v>
      </c>
      <c r="C5095" s="687" t="s">
        <v>2106</v>
      </c>
      <c r="D5095" s="125"/>
    </row>
    <row r="5096">
      <c r="A5096" s="122" t="s">
        <v>11987</v>
      </c>
      <c r="B5096" s="123">
        <v>1747068.0</v>
      </c>
      <c r="C5096" s="687" t="s">
        <v>11988</v>
      </c>
      <c r="D5096" s="125"/>
    </row>
    <row r="5097">
      <c r="A5097" s="122" t="s">
        <v>13814</v>
      </c>
      <c r="B5097" s="123">
        <v>1476034.0</v>
      </c>
      <c r="C5097" s="687" t="s">
        <v>13815</v>
      </c>
      <c r="D5097" s="125"/>
    </row>
    <row r="5098">
      <c r="A5098" s="122" t="s">
        <v>33915</v>
      </c>
      <c r="B5098" s="123">
        <v>1488501.0</v>
      </c>
      <c r="C5098" s="687" t="s">
        <v>33916</v>
      </c>
      <c r="D5098" s="125"/>
    </row>
    <row r="5099">
      <c r="A5099" s="122" t="s">
        <v>8333</v>
      </c>
      <c r="B5099" s="123">
        <v>1436786.0</v>
      </c>
      <c r="C5099" s="687" t="s">
        <v>8334</v>
      </c>
      <c r="D5099" s="125"/>
    </row>
    <row r="5100">
      <c r="A5100" s="122" t="s">
        <v>6532</v>
      </c>
      <c r="B5100" s="123">
        <v>1436786.0</v>
      </c>
      <c r="C5100" s="687" t="s">
        <v>6533</v>
      </c>
      <c r="D5100" s="125"/>
    </row>
    <row r="5101">
      <c r="A5101" s="122" t="s">
        <v>16697</v>
      </c>
      <c r="B5101" s="123">
        <v>1037646.0</v>
      </c>
      <c r="C5101" s="687" t="s">
        <v>16698</v>
      </c>
      <c r="D5101" s="125"/>
    </row>
    <row r="5102">
      <c r="A5102" s="122" t="s">
        <v>8321</v>
      </c>
      <c r="B5102" s="123">
        <v>66418.0</v>
      </c>
      <c r="C5102" s="687" t="s">
        <v>8322</v>
      </c>
      <c r="D5102" s="125"/>
    </row>
    <row r="5103">
      <c r="A5103" s="122" t="s">
        <v>9319</v>
      </c>
      <c r="B5103" s="123">
        <v>863900.0</v>
      </c>
      <c r="C5103" s="687" t="s">
        <v>9320</v>
      </c>
      <c r="D5103" s="125"/>
    </row>
    <row r="5104">
      <c r="A5104" s="122" t="s">
        <v>11202</v>
      </c>
      <c r="B5104" s="123">
        <v>65433.0</v>
      </c>
      <c r="C5104" s="687" t="s">
        <v>11203</v>
      </c>
      <c r="D5104" s="125"/>
    </row>
    <row r="5105">
      <c r="A5105" s="122" t="s">
        <v>33917</v>
      </c>
      <c r="B5105" s="123">
        <v>1355677.0</v>
      </c>
      <c r="C5105" s="687" t="s">
        <v>33918</v>
      </c>
      <c r="D5105" s="125"/>
    </row>
    <row r="5106">
      <c r="A5106" s="122" t="s">
        <v>9189</v>
      </c>
      <c r="B5106" s="123">
        <v>1055160.0</v>
      </c>
      <c r="C5106" s="687" t="s">
        <v>9190</v>
      </c>
      <c r="D5106" s="125"/>
    </row>
    <row r="5107">
      <c r="A5107" s="122" t="s">
        <v>7184</v>
      </c>
      <c r="B5107" s="123">
        <v>851170.0</v>
      </c>
      <c r="C5107" s="687" t="s">
        <v>7185</v>
      </c>
      <c r="D5107" s="125"/>
    </row>
    <row r="5108">
      <c r="A5108" s="122" t="s">
        <v>5656</v>
      </c>
      <c r="B5108" s="123">
        <v>811922.0</v>
      </c>
      <c r="C5108" s="687" t="s">
        <v>5657</v>
      </c>
      <c r="D5108" s="125"/>
    </row>
    <row r="5109">
      <c r="A5109" s="122" t="s">
        <v>5840</v>
      </c>
      <c r="B5109" s="123">
        <v>845606.0</v>
      </c>
      <c r="C5109" s="687" t="s">
        <v>5841</v>
      </c>
      <c r="D5109" s="125"/>
    </row>
    <row r="5110">
      <c r="A5110" s="122" t="s">
        <v>5719</v>
      </c>
      <c r="B5110" s="123">
        <v>809844.0</v>
      </c>
      <c r="C5110" s="687" t="s">
        <v>5720</v>
      </c>
      <c r="D5110" s="125"/>
    </row>
    <row r="5111">
      <c r="A5111" s="122" t="s">
        <v>4592</v>
      </c>
      <c r="B5111" s="123">
        <v>833021.0</v>
      </c>
      <c r="C5111" s="687" t="s">
        <v>4593</v>
      </c>
      <c r="D5111" s="125"/>
    </row>
    <row r="5112">
      <c r="A5112" s="122" t="s">
        <v>5394</v>
      </c>
      <c r="B5112" s="123">
        <v>826735.0</v>
      </c>
      <c r="C5112" s="687" t="s">
        <v>5395</v>
      </c>
      <c r="D5112" s="125"/>
    </row>
    <row r="5113">
      <c r="A5113" s="122" t="s">
        <v>7497</v>
      </c>
      <c r="B5113" s="123">
        <v>847411.0</v>
      </c>
      <c r="C5113" s="687" t="s">
        <v>7498</v>
      </c>
      <c r="D5113" s="125"/>
    </row>
    <row r="5114">
      <c r="A5114" s="122" t="s">
        <v>6392</v>
      </c>
      <c r="B5114" s="123">
        <v>809173.0</v>
      </c>
      <c r="C5114" s="687" t="s">
        <v>6393</v>
      </c>
      <c r="D5114" s="125"/>
    </row>
    <row r="5115">
      <c r="A5115" s="122" t="s">
        <v>6653</v>
      </c>
      <c r="B5115" s="123">
        <v>801961.0</v>
      </c>
      <c r="C5115" s="687" t="s">
        <v>6654</v>
      </c>
      <c r="D5115" s="125"/>
    </row>
    <row r="5116">
      <c r="A5116" s="122" t="s">
        <v>6135</v>
      </c>
      <c r="B5116" s="123">
        <v>856128.0</v>
      </c>
      <c r="C5116" s="687" t="s">
        <v>6136</v>
      </c>
      <c r="D5116" s="125"/>
    </row>
    <row r="5117">
      <c r="A5117" s="122" t="s">
        <v>14601</v>
      </c>
      <c r="B5117" s="123">
        <v>1161728.0</v>
      </c>
      <c r="C5117" s="687" t="s">
        <v>14602</v>
      </c>
      <c r="D5117" s="125"/>
    </row>
    <row r="5118">
      <c r="A5118" s="122" t="s">
        <v>11386</v>
      </c>
      <c r="B5118" s="123">
        <v>876437.0</v>
      </c>
      <c r="C5118" s="687" t="s">
        <v>11387</v>
      </c>
      <c r="D5118" s="125"/>
    </row>
    <row r="5119">
      <c r="A5119" s="122" t="s">
        <v>13832</v>
      </c>
      <c r="B5119" s="123">
        <v>789570.0</v>
      </c>
      <c r="C5119" s="687" t="s">
        <v>13833</v>
      </c>
      <c r="D5119" s="125"/>
    </row>
    <row r="5120">
      <c r="A5120" s="122" t="s">
        <v>15105</v>
      </c>
      <c r="B5120" s="123">
        <v>835011.0</v>
      </c>
      <c r="C5120" s="687" t="s">
        <v>15106</v>
      </c>
      <c r="D5120" s="125"/>
    </row>
    <row r="5121">
      <c r="A5121" s="122" t="s">
        <v>33919</v>
      </c>
      <c r="B5121" s="123">
        <v>1001601.0</v>
      </c>
      <c r="C5121" s="687" t="s">
        <v>33920</v>
      </c>
      <c r="D5121" s="125"/>
    </row>
    <row r="5122">
      <c r="A5122" s="122" t="s">
        <v>1481</v>
      </c>
      <c r="B5122" s="123">
        <v>1826135.0</v>
      </c>
      <c r="C5122" s="687" t="s">
        <v>1482</v>
      </c>
      <c r="D5122" s="125"/>
    </row>
    <row r="5123">
      <c r="A5123" s="122" t="s">
        <v>10751</v>
      </c>
      <c r="B5123" s="123">
        <v>896076.0</v>
      </c>
      <c r="C5123" s="687" t="s">
        <v>10752</v>
      </c>
      <c r="D5123" s="125"/>
    </row>
    <row r="5124">
      <c r="A5124" s="122" t="s">
        <v>4078</v>
      </c>
      <c r="B5124" s="123">
        <v>883975.0</v>
      </c>
      <c r="C5124" s="687" t="s">
        <v>4079</v>
      </c>
      <c r="D5124" s="125"/>
    </row>
    <row r="5125">
      <c r="A5125" s="122" t="s">
        <v>15107</v>
      </c>
      <c r="B5125" s="123">
        <v>827054.0</v>
      </c>
      <c r="C5125" s="687" t="s">
        <v>15108</v>
      </c>
      <c r="D5125" s="125"/>
    </row>
    <row r="5126">
      <c r="A5126" s="122" t="s">
        <v>15144</v>
      </c>
      <c r="B5126" s="123">
        <v>723125.0</v>
      </c>
      <c r="C5126" s="687" t="s">
        <v>15145</v>
      </c>
      <c r="D5126" s="125"/>
    </row>
    <row r="5127">
      <c r="A5127" s="122" t="s">
        <v>9750</v>
      </c>
      <c r="B5127" s="123">
        <v>65759.0</v>
      </c>
      <c r="C5127" s="687" t="s">
        <v>9751</v>
      </c>
      <c r="D5127" s="125"/>
    </row>
    <row r="5128">
      <c r="A5128" s="122" t="s">
        <v>6684</v>
      </c>
      <c r="B5128" s="123">
        <v>927971.0</v>
      </c>
      <c r="C5128" s="687" t="s">
        <v>6685</v>
      </c>
      <c r="D5128" s="125"/>
    </row>
    <row r="5129">
      <c r="A5129" s="122" t="s">
        <v>7153</v>
      </c>
      <c r="B5129" s="123">
        <v>927971.0</v>
      </c>
      <c r="C5129" s="687" t="s">
        <v>7154</v>
      </c>
      <c r="D5129" s="125"/>
    </row>
    <row r="5130">
      <c r="A5130" s="122" t="s">
        <v>11931</v>
      </c>
      <c r="B5130" s="123">
        <v>927971.0</v>
      </c>
      <c r="C5130" s="687" t="s">
        <v>11932</v>
      </c>
      <c r="D5130" s="125"/>
    </row>
    <row r="5131">
      <c r="A5131" s="122" t="s">
        <v>16548</v>
      </c>
      <c r="B5131" s="123">
        <v>927971.0</v>
      </c>
      <c r="C5131" s="687" t="s">
        <v>16549</v>
      </c>
      <c r="D5131" s="125"/>
    </row>
    <row r="5132">
      <c r="A5132" s="122" t="s">
        <v>16206</v>
      </c>
      <c r="B5132" s="123">
        <v>927971.0</v>
      </c>
      <c r="C5132" s="687" t="s">
        <v>16207</v>
      </c>
      <c r="D5132" s="125"/>
    </row>
    <row r="5133">
      <c r="A5133" s="122" t="s">
        <v>16541</v>
      </c>
      <c r="B5133" s="123">
        <v>789019.0</v>
      </c>
      <c r="C5133" s="687" t="s">
        <v>16542</v>
      </c>
      <c r="D5133" s="125"/>
    </row>
    <row r="5134">
      <c r="A5134" s="122" t="s">
        <v>16599</v>
      </c>
      <c r="B5134" s="123">
        <v>1050446.0</v>
      </c>
      <c r="C5134" s="687" t="s">
        <v>16600</v>
      </c>
      <c r="D5134" s="125"/>
    </row>
    <row r="5135">
      <c r="A5135" s="122" t="s">
        <v>1910</v>
      </c>
      <c r="B5135" s="123">
        <v>1760689.0</v>
      </c>
      <c r="C5135" s="687" t="s">
        <v>1911</v>
      </c>
      <c r="D5135" s="125"/>
    </row>
    <row r="5136">
      <c r="A5136" s="122" t="s">
        <v>3642</v>
      </c>
      <c r="B5136" s="123">
        <v>1760689.0</v>
      </c>
      <c r="C5136" s="687" t="s">
        <v>3643</v>
      </c>
      <c r="D5136" s="125"/>
    </row>
    <row r="5137">
      <c r="A5137" s="122" t="s">
        <v>5145</v>
      </c>
      <c r="B5137" s="123">
        <v>65770.0</v>
      </c>
      <c r="C5137" s="687" t="s">
        <v>5146</v>
      </c>
      <c r="D5137" s="125"/>
    </row>
    <row r="5138">
      <c r="A5138" s="122" t="s">
        <v>11673</v>
      </c>
      <c r="B5138" s="123">
        <v>879635.0</v>
      </c>
      <c r="C5138" s="687" t="s">
        <v>11674</v>
      </c>
      <c r="D5138" s="125"/>
    </row>
    <row r="5139">
      <c r="A5139" s="122" t="s">
        <v>15707</v>
      </c>
      <c r="B5139" s="123">
        <v>912595.0</v>
      </c>
      <c r="C5139" s="687" t="s">
        <v>15708</v>
      </c>
      <c r="D5139" s="125"/>
    </row>
    <row r="5140">
      <c r="A5140" s="122" t="s">
        <v>10067</v>
      </c>
      <c r="B5140" s="123">
        <v>1734875.0</v>
      </c>
      <c r="C5140" s="687" t="s">
        <v>10068</v>
      </c>
      <c r="D5140" s="125"/>
    </row>
    <row r="5141">
      <c r="A5141" s="122" t="s">
        <v>10127</v>
      </c>
      <c r="B5141" s="123">
        <v>1278752.0</v>
      </c>
      <c r="C5141" s="687" t="s">
        <v>10128</v>
      </c>
      <c r="D5141" s="125"/>
    </row>
    <row r="5142">
      <c r="A5142" s="122" t="s">
        <v>15831</v>
      </c>
      <c r="B5142" s="123">
        <v>769520.0</v>
      </c>
      <c r="C5142" s="687" t="s">
        <v>15832</v>
      </c>
      <c r="D5142" s="125"/>
    </row>
    <row r="5143">
      <c r="A5143" s="122" t="s">
        <v>12451</v>
      </c>
      <c r="B5143" s="123">
        <v>836147.0</v>
      </c>
      <c r="C5143" s="687" t="s">
        <v>12452</v>
      </c>
      <c r="D5143" s="125"/>
    </row>
    <row r="5144">
      <c r="A5144" s="122" t="s">
        <v>14305</v>
      </c>
      <c r="B5144" s="123">
        <v>66004.0</v>
      </c>
      <c r="C5144" s="687" t="s">
        <v>14306</v>
      </c>
      <c r="D5144" s="125"/>
    </row>
    <row r="5145">
      <c r="A5145" s="122" t="s">
        <v>12379</v>
      </c>
      <c r="B5145" s="123">
        <v>1466026.0</v>
      </c>
      <c r="C5145" s="687" t="s">
        <v>12380</v>
      </c>
      <c r="D5145" s="125"/>
    </row>
    <row r="5146">
      <c r="A5146" s="122" t="s">
        <v>12238</v>
      </c>
      <c r="B5146" s="123">
        <v>1466026.0</v>
      </c>
      <c r="C5146" s="687" t="s">
        <v>12239</v>
      </c>
      <c r="D5146" s="125"/>
    </row>
    <row r="5147">
      <c r="A5147" s="122" t="s">
        <v>3421</v>
      </c>
      <c r="B5147" s="123">
        <v>728385.0</v>
      </c>
      <c r="C5147" s="687" t="s">
        <v>3422</v>
      </c>
      <c r="D5147" s="125"/>
    </row>
    <row r="5148">
      <c r="A5148" s="122" t="s">
        <v>12224</v>
      </c>
      <c r="B5148" s="123">
        <v>1412665.0</v>
      </c>
      <c r="C5148" s="687" t="s">
        <v>12225</v>
      </c>
      <c r="D5148" s="125"/>
    </row>
    <row r="5149">
      <c r="A5149" s="122" t="s">
        <v>8351</v>
      </c>
      <c r="B5149" s="123">
        <v>1697412.0</v>
      </c>
      <c r="C5149" s="687" t="s">
        <v>8352</v>
      </c>
      <c r="D5149" s="125"/>
    </row>
    <row r="5150">
      <c r="A5150" s="122" t="s">
        <v>4499</v>
      </c>
      <c r="B5150" s="123">
        <v>1408443.0</v>
      </c>
      <c r="C5150" s="687" t="s">
        <v>4500</v>
      </c>
      <c r="D5150" s="125"/>
    </row>
    <row r="5151">
      <c r="A5151" s="122" t="s">
        <v>3221</v>
      </c>
      <c r="B5151" s="123">
        <v>855683.0</v>
      </c>
      <c r="C5151" s="687" t="s">
        <v>3222</v>
      </c>
      <c r="D5151" s="125"/>
    </row>
    <row r="5152">
      <c r="A5152" s="122" t="s">
        <v>5298</v>
      </c>
      <c r="B5152" s="123">
        <v>1425355.0</v>
      </c>
      <c r="C5152" s="687" t="s">
        <v>5299</v>
      </c>
      <c r="D5152" s="125"/>
    </row>
    <row r="5153">
      <c r="A5153" s="122" t="s">
        <v>33921</v>
      </c>
      <c r="B5153" s="123">
        <v>1100779.0</v>
      </c>
      <c r="C5153" s="687" t="s">
        <v>33922</v>
      </c>
      <c r="D5153" s="125"/>
    </row>
    <row r="5154">
      <c r="A5154" s="122" t="s">
        <v>33923</v>
      </c>
      <c r="B5154" s="123">
        <v>1358656.0</v>
      </c>
      <c r="C5154" s="687" t="s">
        <v>33924</v>
      </c>
      <c r="D5154" s="125"/>
    </row>
    <row r="5155">
      <c r="A5155" s="122" t="s">
        <v>13612</v>
      </c>
      <c r="B5155" s="123">
        <v>924822.0</v>
      </c>
      <c r="C5155" s="687" t="s">
        <v>13613</v>
      </c>
      <c r="D5155" s="125"/>
    </row>
    <row r="5156">
      <c r="A5156" s="122" t="s">
        <v>8615</v>
      </c>
      <c r="B5156" s="123">
        <v>1519505.0</v>
      </c>
      <c r="C5156" s="687" t="s">
        <v>8616</v>
      </c>
      <c r="D5156" s="125"/>
    </row>
    <row r="5157">
      <c r="A5157" s="122" t="s">
        <v>12542</v>
      </c>
      <c r="B5157" s="123">
        <v>66382.0</v>
      </c>
      <c r="C5157" s="687" t="s">
        <v>12543</v>
      </c>
      <c r="D5157" s="125"/>
    </row>
    <row r="5158">
      <c r="A5158" s="122" t="s">
        <v>10792</v>
      </c>
      <c r="B5158" s="123">
        <v>912958.0</v>
      </c>
      <c r="C5158" s="687" t="s">
        <v>10793</v>
      </c>
      <c r="D5158" s="125"/>
    </row>
    <row r="5159">
      <c r="A5159" s="122" t="s">
        <v>13238</v>
      </c>
      <c r="B5159" s="123">
        <v>66496.0</v>
      </c>
      <c r="C5159" s="687" t="s">
        <v>13239</v>
      </c>
      <c r="D5159" s="125"/>
    </row>
    <row r="5160">
      <c r="A5160" s="122" t="s">
        <v>7589</v>
      </c>
      <c r="B5160" s="123">
        <v>1376339.0</v>
      </c>
      <c r="C5160" s="687" t="s">
        <v>7590</v>
      </c>
      <c r="D5160" s="125"/>
    </row>
    <row r="5161">
      <c r="A5161" s="122" t="s">
        <v>4882</v>
      </c>
      <c r="B5161" s="123">
        <v>1119083.0</v>
      </c>
      <c r="C5161" s="687" t="s">
        <v>4883</v>
      </c>
      <c r="D5161" s="125"/>
    </row>
    <row r="5162">
      <c r="A5162" s="122" t="s">
        <v>6119</v>
      </c>
      <c r="B5162" s="123">
        <v>1813814.0</v>
      </c>
      <c r="C5162" s="687" t="s">
        <v>6120</v>
      </c>
      <c r="D5162" s="125"/>
    </row>
    <row r="5163">
      <c r="A5163" s="122" t="s">
        <v>7087</v>
      </c>
      <c r="B5163" s="123">
        <v>926423.0</v>
      </c>
      <c r="C5163" s="687" t="s">
        <v>7088</v>
      </c>
      <c r="D5163" s="125"/>
    </row>
    <row r="5164">
      <c r="A5164" s="122" t="s">
        <v>7733</v>
      </c>
      <c r="B5164" s="123">
        <v>926423.0</v>
      </c>
      <c r="C5164" s="687" t="s">
        <v>7734</v>
      </c>
      <c r="D5164" s="125"/>
    </row>
    <row r="5165">
      <c r="A5165" s="122" t="s">
        <v>14730</v>
      </c>
      <c r="B5165" s="123">
        <v>891014.0</v>
      </c>
      <c r="C5165" s="687" t="s">
        <v>14731</v>
      </c>
      <c r="D5165" s="125"/>
    </row>
    <row r="5166">
      <c r="A5166" s="122" t="s">
        <v>8167</v>
      </c>
      <c r="B5166" s="123">
        <v>1598646.0</v>
      </c>
      <c r="C5166" s="687" t="s">
        <v>8168</v>
      </c>
      <c r="D5166" s="125"/>
    </row>
    <row r="5167">
      <c r="A5167" s="122" t="s">
        <v>3556</v>
      </c>
      <c r="B5167" s="123">
        <v>1452965.0</v>
      </c>
      <c r="C5167" s="687" t="s">
        <v>3557</v>
      </c>
      <c r="D5167" s="125"/>
    </row>
    <row r="5168">
      <c r="A5168" s="122" t="s">
        <v>2995</v>
      </c>
      <c r="B5168" s="123">
        <v>1782037.0</v>
      </c>
      <c r="C5168" s="687" t="s">
        <v>2996</v>
      </c>
      <c r="D5168" s="125"/>
    </row>
    <row r="5169">
      <c r="A5169" s="122" t="s">
        <v>7262</v>
      </c>
      <c r="B5169" s="123">
        <v>1467761.0</v>
      </c>
      <c r="C5169" s="687" t="s">
        <v>7263</v>
      </c>
      <c r="D5169" s="125"/>
    </row>
    <row r="5170">
      <c r="A5170" s="122" t="s">
        <v>33925</v>
      </c>
      <c r="B5170" s="123">
        <v>1406588.0</v>
      </c>
      <c r="C5170" s="687" t="s">
        <v>33926</v>
      </c>
      <c r="D5170" s="125"/>
    </row>
    <row r="5171">
      <c r="A5171" s="122" t="s">
        <v>10727</v>
      </c>
      <c r="B5171" s="123">
        <v>1815846.0</v>
      </c>
      <c r="C5171" s="687" t="s">
        <v>10728</v>
      </c>
      <c r="D5171" s="125"/>
    </row>
    <row r="5172">
      <c r="A5172" s="122" t="s">
        <v>3630</v>
      </c>
      <c r="B5172" s="123">
        <v>1840229.0</v>
      </c>
      <c r="C5172" s="687" t="s">
        <v>3631</v>
      </c>
      <c r="D5172" s="125"/>
    </row>
    <row r="5173">
      <c r="A5173" s="122" t="s">
        <v>1279</v>
      </c>
      <c r="B5173" s="123">
        <v>1826058.0</v>
      </c>
      <c r="C5173" s="687" t="s">
        <v>1280</v>
      </c>
      <c r="D5173" s="125"/>
    </row>
    <row r="5174">
      <c r="A5174" s="122" t="s">
        <v>623</v>
      </c>
      <c r="B5174" s="123">
        <v>1623360.0</v>
      </c>
      <c r="C5174" s="687" t="s">
        <v>624</v>
      </c>
      <c r="D5174" s="125"/>
    </row>
    <row r="5175">
      <c r="A5175" s="122" t="s">
        <v>8282</v>
      </c>
      <c r="B5175" s="123">
        <v>1809987.0</v>
      </c>
      <c r="C5175" s="687" t="s">
        <v>8283</v>
      </c>
      <c r="D5175" s="125"/>
    </row>
    <row r="5176">
      <c r="A5176" s="122" t="s">
        <v>12506</v>
      </c>
      <c r="B5176" s="123">
        <v>1759425.0</v>
      </c>
      <c r="C5176" s="687" t="s">
        <v>12507</v>
      </c>
      <c r="D5176" s="125"/>
    </row>
    <row r="5177">
      <c r="A5177" s="122" t="s">
        <v>4969</v>
      </c>
      <c r="B5177" s="123">
        <v>1004434.0</v>
      </c>
      <c r="C5177" s="687" t="s">
        <v>4970</v>
      </c>
      <c r="D5177" s="125"/>
    </row>
    <row r="5178">
      <c r="A5178" s="122" t="s">
        <v>15289</v>
      </c>
      <c r="B5178" s="123">
        <v>1169483.0</v>
      </c>
      <c r="C5178" s="687" t="s">
        <v>15290</v>
      </c>
      <c r="D5178" s="125"/>
    </row>
    <row r="5179">
      <c r="A5179" s="122" t="s">
        <v>8442</v>
      </c>
      <c r="B5179" s="123">
        <v>1802974.0</v>
      </c>
      <c r="C5179" s="687" t="s">
        <v>8443</v>
      </c>
      <c r="D5179" s="125"/>
    </row>
    <row r="5180">
      <c r="A5180" s="122" t="s">
        <v>7896</v>
      </c>
      <c r="B5180" s="123">
        <v>1853513.0</v>
      </c>
      <c r="C5180" s="687" t="s">
        <v>7897</v>
      </c>
      <c r="D5180" s="125"/>
    </row>
    <row r="5181">
      <c r="A5181" s="122" t="s">
        <v>7598</v>
      </c>
      <c r="B5181" s="123">
        <v>1436126.0</v>
      </c>
      <c r="C5181" s="687" t="s">
        <v>7599</v>
      </c>
      <c r="D5181" s="125"/>
    </row>
    <row r="5182">
      <c r="A5182" s="122" t="s">
        <v>7874</v>
      </c>
      <c r="B5182" s="123">
        <v>1710864.0</v>
      </c>
      <c r="C5182" s="687" t="s">
        <v>7875</v>
      </c>
      <c r="D5182" s="125"/>
    </row>
    <row r="5183">
      <c r="A5183" s="122" t="s">
        <v>10642</v>
      </c>
      <c r="B5183" s="123">
        <v>1710864.0</v>
      </c>
      <c r="C5183" s="687" t="s">
        <v>10643</v>
      </c>
      <c r="D5183" s="125"/>
    </row>
    <row r="5184">
      <c r="A5184" s="122" t="s">
        <v>9816</v>
      </c>
      <c r="B5184" s="123">
        <v>807863.0</v>
      </c>
      <c r="C5184" s="687" t="s">
        <v>9817</v>
      </c>
      <c r="D5184" s="125"/>
    </row>
    <row r="5185">
      <c r="A5185" s="122" t="s">
        <v>1363</v>
      </c>
      <c r="B5185" s="123">
        <v>802257.0</v>
      </c>
      <c r="C5185" s="687" t="s">
        <v>1364</v>
      </c>
      <c r="D5185" s="125"/>
    </row>
    <row r="5186">
      <c r="A5186" s="122" t="s">
        <v>12832</v>
      </c>
      <c r="B5186" s="123">
        <v>1446418.0</v>
      </c>
      <c r="C5186" s="687" t="s">
        <v>12833</v>
      </c>
      <c r="D5186" s="125"/>
    </row>
    <row r="5187">
      <c r="A5187" s="122" t="s">
        <v>6998</v>
      </c>
      <c r="B5187" s="123">
        <v>1446418.0</v>
      </c>
      <c r="C5187" s="687" t="s">
        <v>6999</v>
      </c>
      <c r="D5187" s="125"/>
    </row>
    <row r="5188">
      <c r="A5188" s="122" t="s">
        <v>9971</v>
      </c>
      <c r="B5188" s="123">
        <v>1447113.0</v>
      </c>
      <c r="C5188" s="687" t="s">
        <v>9972</v>
      </c>
      <c r="D5188" s="125"/>
    </row>
    <row r="5189">
      <c r="A5189" s="122" t="s">
        <v>7149</v>
      </c>
      <c r="B5189" s="123">
        <v>1447113.0</v>
      </c>
      <c r="C5189" s="687" t="s">
        <v>7150</v>
      </c>
      <c r="D5189" s="125"/>
    </row>
    <row r="5190">
      <c r="A5190" s="122" t="s">
        <v>8173</v>
      </c>
      <c r="B5190" s="123">
        <v>67088.0</v>
      </c>
      <c r="C5190" s="687" t="s">
        <v>8174</v>
      </c>
      <c r="D5190" s="125"/>
    </row>
    <row r="5191">
      <c r="A5191" s="122" t="s">
        <v>8179</v>
      </c>
      <c r="B5191" s="123">
        <v>67088.0</v>
      </c>
      <c r="C5191" s="687" t="s">
        <v>8174</v>
      </c>
      <c r="D5191" s="125"/>
    </row>
    <row r="5192">
      <c r="A5192" s="122" t="s">
        <v>10457</v>
      </c>
      <c r="B5192" s="123">
        <v>1446420.0</v>
      </c>
      <c r="C5192" s="687" t="s">
        <v>10458</v>
      </c>
      <c r="D5192" s="125"/>
    </row>
    <row r="5193">
      <c r="A5193" s="122" t="s">
        <v>12814</v>
      </c>
      <c r="B5193" s="123">
        <v>1446420.0</v>
      </c>
      <c r="C5193" s="687" t="s">
        <v>12815</v>
      </c>
      <c r="D5193" s="125"/>
    </row>
    <row r="5194">
      <c r="A5194" s="122" t="s">
        <v>8134</v>
      </c>
      <c r="B5194" s="123">
        <v>1576914.0</v>
      </c>
      <c r="C5194" s="687" t="s">
        <v>8135</v>
      </c>
      <c r="D5194" s="125"/>
    </row>
    <row r="5195">
      <c r="A5195" s="122" t="s">
        <v>5913</v>
      </c>
      <c r="B5195" s="123">
        <v>1335730.0</v>
      </c>
      <c r="C5195" s="687" t="s">
        <v>5914</v>
      </c>
      <c r="D5195" s="125"/>
    </row>
    <row r="5196">
      <c r="A5196" s="122" t="s">
        <v>10822</v>
      </c>
      <c r="B5196" s="123">
        <v>1335730.0</v>
      </c>
      <c r="C5196" s="687" t="s">
        <v>5914</v>
      </c>
      <c r="D5196" s="125"/>
    </row>
    <row r="5197">
      <c r="A5197" s="122" t="s">
        <v>16577</v>
      </c>
      <c r="B5197" s="123">
        <v>1908705.0</v>
      </c>
      <c r="C5197" s="687" t="s">
        <v>16578</v>
      </c>
      <c r="D5197" s="125"/>
    </row>
    <row r="5198">
      <c r="A5198" s="122" t="s">
        <v>33927</v>
      </c>
      <c r="B5198" s="123">
        <v>1789330.0</v>
      </c>
      <c r="C5198" s="687" t="s">
        <v>33928</v>
      </c>
      <c r="D5198" s="125"/>
    </row>
    <row r="5199">
      <c r="A5199" s="122" t="s">
        <v>826</v>
      </c>
      <c r="B5199" s="123">
        <v>1456857.0</v>
      </c>
      <c r="C5199" s="687" t="s">
        <v>827</v>
      </c>
      <c r="D5199" s="125"/>
    </row>
    <row r="5200">
      <c r="A5200" s="122" t="s">
        <v>15502</v>
      </c>
      <c r="B5200" s="123">
        <v>1049502.0</v>
      </c>
      <c r="C5200" s="687" t="s">
        <v>15503</v>
      </c>
      <c r="D5200" s="125"/>
    </row>
    <row r="5201">
      <c r="A5201" s="122" t="s">
        <v>33929</v>
      </c>
      <c r="B5201" s="123">
        <v>1440799.0</v>
      </c>
      <c r="C5201" s="687" t="s">
        <v>33930</v>
      </c>
      <c r="D5201" s="125"/>
    </row>
    <row r="5202">
      <c r="A5202" s="122" t="s">
        <v>4391</v>
      </c>
      <c r="B5202" s="123">
        <v>1742518.0</v>
      </c>
      <c r="C5202" s="687" t="s">
        <v>4392</v>
      </c>
      <c r="D5202" s="125"/>
    </row>
    <row r="5203">
      <c r="A5203" s="122" t="s">
        <v>15150</v>
      </c>
      <c r="B5203" s="123">
        <v>1846510.0</v>
      </c>
      <c r="C5203" s="687" t="s">
        <v>15151</v>
      </c>
      <c r="D5203" s="125"/>
    </row>
    <row r="5204">
      <c r="A5204" s="122" t="s">
        <v>2502</v>
      </c>
      <c r="B5204" s="123">
        <v>1886362.0</v>
      </c>
      <c r="C5204" s="687" t="s">
        <v>2503</v>
      </c>
      <c r="D5204" s="125"/>
    </row>
    <row r="5205">
      <c r="A5205" s="122" t="s">
        <v>5932</v>
      </c>
      <c r="B5205" s="123">
        <v>1918056.0</v>
      </c>
      <c r="C5205" s="687" t="s">
        <v>5933</v>
      </c>
      <c r="D5205" s="125"/>
    </row>
    <row r="5206">
      <c r="A5206" s="122" t="s">
        <v>4116</v>
      </c>
      <c r="B5206" s="123">
        <v>1898643.0</v>
      </c>
      <c r="C5206" s="687" t="s">
        <v>2178</v>
      </c>
      <c r="D5206" s="125"/>
    </row>
    <row r="5207">
      <c r="A5207" s="122" t="s">
        <v>2177</v>
      </c>
      <c r="B5207" s="123">
        <v>1898643.0</v>
      </c>
      <c r="C5207" s="687" t="s">
        <v>2178</v>
      </c>
      <c r="D5207" s="125"/>
    </row>
    <row r="5208">
      <c r="A5208" s="122" t="s">
        <v>33931</v>
      </c>
      <c r="B5208" s="123">
        <v>1084267.0</v>
      </c>
      <c r="C5208" s="687" t="s">
        <v>33932</v>
      </c>
      <c r="D5208" s="125"/>
    </row>
    <row r="5209">
      <c r="A5209" s="122" t="s">
        <v>2795</v>
      </c>
      <c r="B5209" s="123">
        <v>1084267.0</v>
      </c>
      <c r="C5209" s="687" t="s">
        <v>2796</v>
      </c>
      <c r="D5209" s="125"/>
    </row>
    <row r="5210">
      <c r="A5210" s="122" t="s">
        <v>2839</v>
      </c>
      <c r="B5210" s="123">
        <v>1447380.0</v>
      </c>
      <c r="C5210" s="687" t="s">
        <v>2840</v>
      </c>
      <c r="D5210" s="125"/>
    </row>
    <row r="5211">
      <c r="A5211" s="122" t="s">
        <v>12598</v>
      </c>
      <c r="B5211" s="123">
        <v>1118417.0</v>
      </c>
      <c r="C5211" s="687" t="s">
        <v>12599</v>
      </c>
      <c r="D5211" s="125"/>
    </row>
    <row r="5212">
      <c r="A5212" s="122" t="s">
        <v>15347</v>
      </c>
      <c r="B5212" s="123">
        <v>1682852.0</v>
      </c>
      <c r="C5212" s="687" t="s">
        <v>15348</v>
      </c>
      <c r="D5212" s="125"/>
    </row>
    <row r="5213">
      <c r="A5213" s="122" t="s">
        <v>14790</v>
      </c>
      <c r="B5213" s="123">
        <v>67347.0</v>
      </c>
      <c r="C5213" s="687" t="s">
        <v>14791</v>
      </c>
      <c r="D5213" s="125"/>
    </row>
    <row r="5214">
      <c r="A5214" s="122" t="s">
        <v>13521</v>
      </c>
      <c r="B5214" s="123">
        <v>1220754.0</v>
      </c>
      <c r="C5214" s="687" t="s">
        <v>13522</v>
      </c>
      <c r="D5214" s="125"/>
    </row>
    <row r="5215">
      <c r="A5215" s="122" t="s">
        <v>4588</v>
      </c>
      <c r="B5215" s="123">
        <v>1074871.0</v>
      </c>
      <c r="C5215" s="687" t="s">
        <v>4589</v>
      </c>
      <c r="D5215" s="125"/>
    </row>
    <row r="5216">
      <c r="A5216" s="122" t="s">
        <v>14335</v>
      </c>
      <c r="B5216" s="123">
        <v>1596967.0</v>
      </c>
      <c r="C5216" s="687" t="s">
        <v>14336</v>
      </c>
      <c r="D5216" s="125"/>
    </row>
    <row r="5217">
      <c r="A5217" s="122" t="s">
        <v>4525</v>
      </c>
      <c r="B5217" s="123">
        <v>1602842.0</v>
      </c>
      <c r="C5217" s="687" t="s">
        <v>4526</v>
      </c>
      <c r="D5217" s="125"/>
    </row>
    <row r="5218">
      <c r="A5218" s="122" t="s">
        <v>4854</v>
      </c>
      <c r="B5218" s="123">
        <v>1743971.0</v>
      </c>
      <c r="C5218" s="687" t="s">
        <v>4855</v>
      </c>
      <c r="D5218" s="125"/>
    </row>
    <row r="5219">
      <c r="A5219" s="122" t="s">
        <v>15500</v>
      </c>
      <c r="B5219" s="123">
        <v>851968.0</v>
      </c>
      <c r="C5219" s="687" t="s">
        <v>15501</v>
      </c>
      <c r="D5219" s="125"/>
    </row>
    <row r="5220">
      <c r="A5220" s="122" t="s">
        <v>33933</v>
      </c>
      <c r="B5220" s="123">
        <v>1758736.0</v>
      </c>
      <c r="C5220" s="687" t="s">
        <v>33934</v>
      </c>
      <c r="D5220" s="125"/>
    </row>
    <row r="5221">
      <c r="A5221" s="122" t="s">
        <v>6472</v>
      </c>
      <c r="B5221" s="123">
        <v>1745114.0</v>
      </c>
      <c r="C5221" s="687" t="s">
        <v>6473</v>
      </c>
      <c r="D5221" s="125"/>
    </row>
    <row r="5222">
      <c r="A5222" s="122" t="s">
        <v>5885</v>
      </c>
      <c r="B5222" s="123">
        <v>1183765.0</v>
      </c>
      <c r="C5222" s="687" t="s">
        <v>5886</v>
      </c>
      <c r="D5222" s="125"/>
    </row>
    <row r="5223">
      <c r="A5223" s="122" t="s">
        <v>3013</v>
      </c>
      <c r="B5223" s="123">
        <v>1659617.0</v>
      </c>
      <c r="C5223" s="687" t="s">
        <v>3014</v>
      </c>
      <c r="D5223" s="125"/>
    </row>
    <row r="5224">
      <c r="A5224" s="122" t="s">
        <v>16475</v>
      </c>
      <c r="B5224" s="123">
        <v>1179929.0</v>
      </c>
      <c r="C5224" s="687" t="s">
        <v>16476</v>
      </c>
      <c r="D5224" s="125"/>
    </row>
    <row r="5225">
      <c r="A5225" s="122" t="s">
        <v>14528</v>
      </c>
      <c r="B5225" s="123">
        <v>24545.0</v>
      </c>
      <c r="C5225" s="687" t="s">
        <v>14529</v>
      </c>
      <c r="D5225" s="125"/>
    </row>
    <row r="5226">
      <c r="A5226" s="122" t="s">
        <v>458</v>
      </c>
      <c r="B5226" s="123">
        <v>1653876.0</v>
      </c>
      <c r="C5226" s="687" t="s">
        <v>459</v>
      </c>
      <c r="D5226" s="125"/>
    </row>
    <row r="5227">
      <c r="A5227" s="122" t="s">
        <v>3843</v>
      </c>
      <c r="B5227" s="123">
        <v>1781162.0</v>
      </c>
      <c r="C5227" s="687" t="s">
        <v>3844</v>
      </c>
      <c r="D5227" s="125"/>
    </row>
    <row r="5228">
      <c r="A5228" s="122" t="s">
        <v>14763</v>
      </c>
      <c r="B5228" s="123">
        <v>907242.0</v>
      </c>
      <c r="C5228" s="687" t="s">
        <v>14764</v>
      </c>
      <c r="D5228" s="125"/>
    </row>
    <row r="5229">
      <c r="A5229" s="122" t="s">
        <v>16200</v>
      </c>
      <c r="B5229" s="123">
        <v>1845338.0</v>
      </c>
      <c r="C5229" s="687" t="s">
        <v>16201</v>
      </c>
      <c r="D5229" s="125"/>
    </row>
    <row r="5230">
      <c r="A5230" s="122" t="s">
        <v>5001</v>
      </c>
      <c r="B5230" s="123">
        <v>1828852.0</v>
      </c>
      <c r="C5230" s="687" t="s">
        <v>5002</v>
      </c>
      <c r="D5230" s="125"/>
    </row>
    <row r="5231">
      <c r="A5231" s="122" t="s">
        <v>14929</v>
      </c>
      <c r="B5231" s="123">
        <v>1103982.0</v>
      </c>
      <c r="C5231" s="687" t="s">
        <v>14930</v>
      </c>
      <c r="D5231" s="125"/>
    </row>
    <row r="5232">
      <c r="A5232" s="122" t="s">
        <v>33935</v>
      </c>
      <c r="B5232" s="123">
        <v>1284452.0</v>
      </c>
      <c r="C5232" s="687" t="s">
        <v>33936</v>
      </c>
      <c r="D5232" s="125"/>
    </row>
    <row r="5233">
      <c r="A5233" s="122" t="s">
        <v>13881</v>
      </c>
      <c r="B5233" s="123">
        <v>1807846.0</v>
      </c>
      <c r="C5233" s="687" t="s">
        <v>13882</v>
      </c>
      <c r="D5233" s="125"/>
    </row>
    <row r="5234">
      <c r="A5234" s="122" t="s">
        <v>16560</v>
      </c>
      <c r="B5234" s="123">
        <v>1441816.0</v>
      </c>
      <c r="C5234" s="687" t="s">
        <v>16561</v>
      </c>
      <c r="D5234" s="125"/>
    </row>
    <row r="5235">
      <c r="A5235" s="122" t="s">
        <v>2719</v>
      </c>
      <c r="B5235" s="123">
        <v>1645469.0</v>
      </c>
      <c r="C5235" s="687" t="s">
        <v>2720</v>
      </c>
      <c r="D5235" s="125"/>
    </row>
    <row r="5236">
      <c r="A5236" s="122" t="s">
        <v>13033</v>
      </c>
      <c r="B5236" s="123">
        <v>876427.0</v>
      </c>
      <c r="C5236" s="687" t="s">
        <v>13034</v>
      </c>
      <c r="D5236" s="125"/>
    </row>
    <row r="5237">
      <c r="A5237" s="122" t="s">
        <v>7445</v>
      </c>
      <c r="B5237" s="123">
        <v>1512931.0</v>
      </c>
      <c r="C5237" s="687" t="s">
        <v>7446</v>
      </c>
      <c r="D5237" s="125"/>
    </row>
    <row r="5238">
      <c r="A5238" s="122" t="s">
        <v>14280</v>
      </c>
      <c r="B5238" s="123">
        <v>865752.0</v>
      </c>
      <c r="C5238" s="687" t="s">
        <v>14281</v>
      </c>
      <c r="D5238" s="125"/>
    </row>
    <row r="5239">
      <c r="A5239" s="122" t="s">
        <v>7232</v>
      </c>
      <c r="B5239" s="123">
        <v>1826600.0</v>
      </c>
      <c r="C5239" s="687" t="s">
        <v>7233</v>
      </c>
      <c r="D5239" s="125"/>
    </row>
    <row r="5240">
      <c r="A5240" s="122" t="s">
        <v>6435</v>
      </c>
      <c r="B5240" s="123">
        <v>1826457.0</v>
      </c>
      <c r="C5240" s="687" t="s">
        <v>6436</v>
      </c>
      <c r="D5240" s="125"/>
    </row>
    <row r="5241">
      <c r="A5241" s="122" t="s">
        <v>747</v>
      </c>
      <c r="B5241" s="123">
        <v>1895249.0</v>
      </c>
      <c r="C5241" s="687" t="s">
        <v>748</v>
      </c>
      <c r="D5241" s="125"/>
    </row>
    <row r="5242">
      <c r="A5242" s="122" t="s">
        <v>9000</v>
      </c>
      <c r="B5242" s="123">
        <v>1895249.0</v>
      </c>
      <c r="C5242" s="687" t="s">
        <v>9001</v>
      </c>
      <c r="D5242" s="125"/>
    </row>
    <row r="5243">
      <c r="A5243" s="122" t="s">
        <v>9429</v>
      </c>
      <c r="B5243" s="123">
        <v>1895249.0</v>
      </c>
      <c r="C5243" s="687" t="s">
        <v>9430</v>
      </c>
      <c r="D5243" s="125"/>
    </row>
    <row r="5244">
      <c r="A5244" s="122" t="s">
        <v>2544</v>
      </c>
      <c r="B5244" s="123">
        <v>1828325.0</v>
      </c>
      <c r="C5244" s="687" t="s">
        <v>2545</v>
      </c>
      <c r="D5244" s="125"/>
    </row>
    <row r="5245">
      <c r="A5245" s="122" t="s">
        <v>12909</v>
      </c>
      <c r="B5245" s="123">
        <v>1643615.0</v>
      </c>
      <c r="C5245" s="687" t="s">
        <v>12910</v>
      </c>
      <c r="D5245" s="125"/>
    </row>
    <row r="5246">
      <c r="A5246" s="122" t="s">
        <v>16531</v>
      </c>
      <c r="B5246" s="123">
        <v>1059556.0</v>
      </c>
      <c r="C5246" s="687" t="s">
        <v>16532</v>
      </c>
      <c r="D5246" s="125"/>
    </row>
    <row r="5247">
      <c r="A5247" s="122" t="s">
        <v>14274</v>
      </c>
      <c r="B5247" s="123">
        <v>1821586.0</v>
      </c>
      <c r="C5247" s="687" t="s">
        <v>14275</v>
      </c>
      <c r="D5247" s="125"/>
    </row>
    <row r="5248">
      <c r="A5248" s="122" t="s">
        <v>3688</v>
      </c>
      <c r="B5248" s="123">
        <v>1162283.0</v>
      </c>
      <c r="C5248" s="687" t="s">
        <v>3689</v>
      </c>
      <c r="D5248" s="125"/>
    </row>
    <row r="5249">
      <c r="A5249" s="122" t="s">
        <v>15162</v>
      </c>
      <c r="B5249" s="123">
        <v>895421.0</v>
      </c>
      <c r="C5249" s="687" t="s">
        <v>15163</v>
      </c>
      <c r="D5249" s="125"/>
    </row>
    <row r="5250">
      <c r="A5250" s="122" t="s">
        <v>9671</v>
      </c>
      <c r="B5250" s="123">
        <v>1368493.0</v>
      </c>
      <c r="C5250" s="687" t="s">
        <v>9672</v>
      </c>
      <c r="D5250" s="125"/>
    </row>
    <row r="5251">
      <c r="A5251" s="122" t="s">
        <v>7325</v>
      </c>
      <c r="B5251" s="123">
        <v>904112.0</v>
      </c>
      <c r="C5251" s="687" t="s">
        <v>7326</v>
      </c>
      <c r="D5251" s="125"/>
    </row>
    <row r="5252">
      <c r="A5252" s="122" t="s">
        <v>11909</v>
      </c>
      <c r="B5252" s="123">
        <v>916618.0</v>
      </c>
      <c r="C5252" s="687" t="s">
        <v>11910</v>
      </c>
      <c r="D5252" s="125"/>
    </row>
    <row r="5253">
      <c r="A5253" s="122" t="s">
        <v>1305</v>
      </c>
      <c r="B5253" s="123">
        <v>1835416.0</v>
      </c>
      <c r="C5253" s="687" t="s">
        <v>1306</v>
      </c>
      <c r="D5253" s="125"/>
    </row>
    <row r="5254">
      <c r="A5254" s="122" t="s">
        <v>9049</v>
      </c>
      <c r="B5254" s="123">
        <v>1835416.0</v>
      </c>
      <c r="C5254" s="687" t="s">
        <v>9050</v>
      </c>
      <c r="D5254" s="125"/>
    </row>
    <row r="5255">
      <c r="A5255" s="122" t="s">
        <v>8572</v>
      </c>
      <c r="B5255" s="123">
        <v>1835416.0</v>
      </c>
      <c r="C5255" s="687" t="s">
        <v>8573</v>
      </c>
      <c r="D5255" s="125"/>
    </row>
    <row r="5256">
      <c r="A5256" s="122" t="s">
        <v>16387</v>
      </c>
      <c r="B5256" s="123">
        <v>1289419.0</v>
      </c>
      <c r="C5256" s="687" t="s">
        <v>16388</v>
      </c>
      <c r="D5256" s="125"/>
    </row>
    <row r="5257">
      <c r="A5257" s="122" t="s">
        <v>13209</v>
      </c>
      <c r="B5257" s="123">
        <v>1679363.0</v>
      </c>
      <c r="C5257" s="687" t="s">
        <v>13210</v>
      </c>
      <c r="D5257" s="125"/>
    </row>
    <row r="5258">
      <c r="A5258" s="122" t="s">
        <v>9150</v>
      </c>
      <c r="B5258" s="123">
        <v>1340243.0</v>
      </c>
      <c r="C5258" s="687" t="s">
        <v>9151</v>
      </c>
      <c r="D5258" s="125"/>
    </row>
    <row r="5259">
      <c r="A5259" s="122" t="s">
        <v>13804</v>
      </c>
      <c r="B5259" s="123">
        <v>1340243.0</v>
      </c>
      <c r="C5259" s="687" t="s">
        <v>13805</v>
      </c>
      <c r="D5259" s="125"/>
    </row>
    <row r="5260">
      <c r="A5260" s="122" t="s">
        <v>12870</v>
      </c>
      <c r="B5260" s="123">
        <v>1285785.0</v>
      </c>
      <c r="C5260" s="687" t="s">
        <v>12871</v>
      </c>
      <c r="D5260" s="125"/>
    </row>
    <row r="5261">
      <c r="A5261" s="122" t="s">
        <v>3161</v>
      </c>
      <c r="B5261" s="123">
        <v>836564.0</v>
      </c>
      <c r="C5261" s="687" t="s">
        <v>3162</v>
      </c>
      <c r="D5261" s="125"/>
    </row>
    <row r="5262">
      <c r="A5262" s="122" t="s">
        <v>8169</v>
      </c>
      <c r="B5262" s="123">
        <v>918251.0</v>
      </c>
      <c r="C5262" s="687" t="s">
        <v>8170</v>
      </c>
      <c r="D5262" s="125"/>
    </row>
    <row r="5263">
      <c r="A5263" s="122" t="s">
        <v>16453</v>
      </c>
      <c r="B5263" s="123">
        <v>68505.0</v>
      </c>
      <c r="C5263" s="687" t="s">
        <v>16454</v>
      </c>
      <c r="D5263" s="125"/>
    </row>
    <row r="5264">
      <c r="A5264" s="122" t="s">
        <v>5191</v>
      </c>
      <c r="B5264" s="123">
        <v>1821175.0</v>
      </c>
      <c r="C5264" s="687" t="s">
        <v>5192</v>
      </c>
      <c r="D5264" s="125"/>
    </row>
    <row r="5265">
      <c r="A5265" s="122" t="s">
        <v>33937</v>
      </c>
      <c r="B5265" s="123">
        <v>1409175.0</v>
      </c>
      <c r="C5265" s="687" t="s">
        <v>33938</v>
      </c>
      <c r="D5265" s="125"/>
    </row>
    <row r="5266">
      <c r="A5266" s="122" t="s">
        <v>3255</v>
      </c>
      <c r="B5266" s="123">
        <v>1686850.0</v>
      </c>
      <c r="C5266" s="687" t="s">
        <v>3256</v>
      </c>
      <c r="D5266" s="125"/>
    </row>
    <row r="5267">
      <c r="A5267" s="122" t="s">
        <v>9364</v>
      </c>
      <c r="B5267" s="123">
        <v>1856995.0</v>
      </c>
      <c r="C5267" s="687" t="s">
        <v>1340</v>
      </c>
      <c r="D5267" s="125"/>
    </row>
    <row r="5268">
      <c r="A5268" s="122" t="s">
        <v>1339</v>
      </c>
      <c r="B5268" s="123">
        <v>1856995.0</v>
      </c>
      <c r="C5268" s="687" t="s">
        <v>1340</v>
      </c>
      <c r="D5268" s="125"/>
    </row>
    <row r="5269">
      <c r="A5269" s="122" t="s">
        <v>11036</v>
      </c>
      <c r="B5269" s="123">
        <v>1853774.0</v>
      </c>
      <c r="C5269" s="687" t="s">
        <v>11037</v>
      </c>
      <c r="D5269" s="125"/>
    </row>
    <row r="5270">
      <c r="A5270" s="122" t="s">
        <v>8714</v>
      </c>
      <c r="B5270" s="123">
        <v>1859035.0</v>
      </c>
      <c r="C5270" s="687" t="s">
        <v>8715</v>
      </c>
      <c r="D5270" s="125"/>
    </row>
    <row r="5271">
      <c r="A5271" s="122" t="s">
        <v>10582</v>
      </c>
      <c r="B5271" s="123">
        <v>1853774.0</v>
      </c>
      <c r="C5271" s="687" t="s">
        <v>10583</v>
      </c>
      <c r="D5271" s="125"/>
    </row>
    <row r="5272">
      <c r="A5272" s="122" t="s">
        <v>9271</v>
      </c>
      <c r="B5272" s="123">
        <v>1856995.0</v>
      </c>
      <c r="C5272" s="687" t="s">
        <v>9272</v>
      </c>
      <c r="D5272" s="125"/>
    </row>
    <row r="5273">
      <c r="A5273" s="122" t="s">
        <v>2285</v>
      </c>
      <c r="B5273" s="123">
        <v>1004530.0</v>
      </c>
      <c r="C5273" s="687" t="s">
        <v>2286</v>
      </c>
      <c r="D5273" s="125"/>
    </row>
    <row r="5274">
      <c r="A5274" s="122" t="s">
        <v>1477</v>
      </c>
      <c r="B5274" s="123">
        <v>1658521.0</v>
      </c>
      <c r="C5274" s="687" t="s">
        <v>1478</v>
      </c>
      <c r="D5274" s="125"/>
    </row>
    <row r="5275">
      <c r="A5275" s="122" t="s">
        <v>12638</v>
      </c>
      <c r="B5275" s="123">
        <v>72573.0</v>
      </c>
      <c r="C5275" s="687" t="s">
        <v>12639</v>
      </c>
      <c r="D5275" s="125"/>
    </row>
    <row r="5276">
      <c r="A5276" s="122" t="s">
        <v>3227</v>
      </c>
      <c r="B5276" s="123">
        <v>1734750.0</v>
      </c>
      <c r="C5276" s="687" t="s">
        <v>3228</v>
      </c>
      <c r="D5276" s="125"/>
    </row>
    <row r="5277">
      <c r="A5277" s="122" t="s">
        <v>3544</v>
      </c>
      <c r="B5277" s="123">
        <v>1770236.0</v>
      </c>
      <c r="C5277" s="687" t="s">
        <v>3545</v>
      </c>
      <c r="D5277" s="125"/>
    </row>
    <row r="5278">
      <c r="A5278" s="122" t="s">
        <v>10885</v>
      </c>
      <c r="B5278" s="123">
        <v>1801368.0</v>
      </c>
      <c r="C5278" s="687" t="s">
        <v>10886</v>
      </c>
      <c r="D5278" s="125"/>
    </row>
    <row r="5279">
      <c r="A5279" s="122" t="s">
        <v>16493</v>
      </c>
      <c r="B5279" s="123">
        <v>1841993.0</v>
      </c>
      <c r="C5279" s="687" t="s">
        <v>16494</v>
      </c>
      <c r="D5279" s="125"/>
    </row>
    <row r="5280">
      <c r="A5280" s="122" t="s">
        <v>33939</v>
      </c>
      <c r="B5280" s="123">
        <v>825322.0</v>
      </c>
      <c r="C5280" s="687" t="s">
        <v>33940</v>
      </c>
      <c r="D5280" s="125"/>
    </row>
    <row r="5281">
      <c r="A5281" s="122" t="s">
        <v>13419</v>
      </c>
      <c r="B5281" s="123">
        <v>1552000.0</v>
      </c>
      <c r="C5281" s="687" t="s">
        <v>13420</v>
      </c>
      <c r="D5281" s="125"/>
    </row>
    <row r="5282">
      <c r="A5282" s="122" t="s">
        <v>14691</v>
      </c>
      <c r="B5282" s="123">
        <v>933136.0</v>
      </c>
      <c r="C5282" s="687" t="s">
        <v>14692</v>
      </c>
      <c r="D5282" s="125"/>
    </row>
    <row r="5283">
      <c r="A5283" s="122" t="s">
        <v>8603</v>
      </c>
      <c r="B5283" s="123">
        <v>1439095.0</v>
      </c>
      <c r="C5283" s="687" t="s">
        <v>8604</v>
      </c>
      <c r="D5283" s="125"/>
    </row>
    <row r="5284">
      <c r="A5284" s="122" t="s">
        <v>6359</v>
      </c>
      <c r="B5284" s="123">
        <v>1388141.0</v>
      </c>
      <c r="C5284" s="687" t="s">
        <v>6360</v>
      </c>
      <c r="D5284" s="125"/>
    </row>
    <row r="5285">
      <c r="A5285" s="122" t="s">
        <v>15998</v>
      </c>
      <c r="B5285" s="123">
        <v>66570.0</v>
      </c>
      <c r="C5285" s="687" t="s">
        <v>15999</v>
      </c>
      <c r="D5285" s="125"/>
    </row>
    <row r="5286">
      <c r="A5286" s="122" t="s">
        <v>15395</v>
      </c>
      <c r="B5286" s="123">
        <v>1003078.0</v>
      </c>
      <c r="C5286" s="687" t="s">
        <v>15396</v>
      </c>
      <c r="D5286" s="125"/>
    </row>
    <row r="5287">
      <c r="A5287" s="122" t="s">
        <v>16631</v>
      </c>
      <c r="B5287" s="123">
        <v>1408198.0</v>
      </c>
      <c r="C5287" s="687" t="s">
        <v>16632</v>
      </c>
      <c r="D5287" s="125"/>
    </row>
    <row r="5288">
      <c r="A5288" s="122" t="s">
        <v>3632</v>
      </c>
      <c r="B5288" s="123">
        <v>1746119.0</v>
      </c>
      <c r="C5288" s="687" t="s">
        <v>3633</v>
      </c>
      <c r="D5288" s="125"/>
    </row>
    <row r="5289">
      <c r="A5289" s="122" t="s">
        <v>14063</v>
      </c>
      <c r="B5289" s="123">
        <v>89439.0</v>
      </c>
      <c r="C5289" s="687" t="s">
        <v>14064</v>
      </c>
      <c r="D5289" s="125"/>
    </row>
    <row r="5290">
      <c r="A5290" s="122" t="s">
        <v>10165</v>
      </c>
      <c r="B5290" s="123">
        <v>1350593.0</v>
      </c>
      <c r="C5290" s="687" t="s">
        <v>10166</v>
      </c>
      <c r="D5290" s="125"/>
    </row>
    <row r="5291">
      <c r="A5291" s="122" t="s">
        <v>5219</v>
      </c>
      <c r="B5291" s="123">
        <v>1629665.0</v>
      </c>
      <c r="C5291" s="687" t="s">
        <v>5220</v>
      </c>
      <c r="D5291" s="125"/>
    </row>
    <row r="5292">
      <c r="A5292" s="122" t="s">
        <v>7361</v>
      </c>
      <c r="B5292" s="123">
        <v>1499961.0</v>
      </c>
      <c r="C5292" s="687" t="s">
        <v>7362</v>
      </c>
      <c r="D5292" s="125"/>
    </row>
    <row r="5293">
      <c r="A5293" s="122" t="s">
        <v>33941</v>
      </c>
      <c r="B5293" s="123">
        <v>723733.0</v>
      </c>
      <c r="C5293" s="687" t="s">
        <v>33942</v>
      </c>
      <c r="D5293" s="125"/>
    </row>
    <row r="5294">
      <c r="A5294" s="122" t="s">
        <v>3668</v>
      </c>
      <c r="B5294" s="123">
        <v>1874074.0</v>
      </c>
      <c r="C5294" s="687" t="s">
        <v>3669</v>
      </c>
      <c r="D5294" s="125"/>
    </row>
    <row r="5295">
      <c r="A5295" s="122" t="s">
        <v>3855</v>
      </c>
      <c r="B5295" s="123">
        <v>1793229.0</v>
      </c>
      <c r="C5295" s="687" t="s">
        <v>3856</v>
      </c>
      <c r="D5295" s="125"/>
    </row>
    <row r="5296">
      <c r="A5296" s="122" t="s">
        <v>13446</v>
      </c>
      <c r="B5296" s="123">
        <v>717423.0</v>
      </c>
      <c r="C5296" s="687" t="s">
        <v>13447</v>
      </c>
      <c r="D5296" s="125"/>
    </row>
    <row r="5297">
      <c r="A5297" s="122" t="s">
        <v>16484</v>
      </c>
      <c r="B5297" s="123">
        <v>1573516.0</v>
      </c>
      <c r="C5297" s="687" t="s">
        <v>16485</v>
      </c>
      <c r="D5297" s="125"/>
    </row>
    <row r="5298">
      <c r="A5298" s="122" t="s">
        <v>4273</v>
      </c>
      <c r="B5298" s="123">
        <v>1680048.0</v>
      </c>
      <c r="C5298" s="687" t="s">
        <v>4274</v>
      </c>
      <c r="D5298" s="125"/>
    </row>
    <row r="5299">
      <c r="A5299" s="122" t="s">
        <v>9373</v>
      </c>
      <c r="B5299" s="123">
        <v>1371782.0</v>
      </c>
      <c r="C5299" s="687" t="s">
        <v>9374</v>
      </c>
      <c r="D5299" s="125"/>
    </row>
    <row r="5300">
      <c r="A5300" s="122" t="s">
        <v>11615</v>
      </c>
      <c r="B5300" s="123">
        <v>1277902.0</v>
      </c>
      <c r="C5300" s="687" t="s">
        <v>11616</v>
      </c>
      <c r="D5300" s="125"/>
    </row>
    <row r="5301">
      <c r="A5301" s="122" t="s">
        <v>16527</v>
      </c>
      <c r="B5301" s="123">
        <v>1836517.0</v>
      </c>
      <c r="C5301" s="687" t="s">
        <v>16528</v>
      </c>
      <c r="D5301" s="125"/>
    </row>
    <row r="5302">
      <c r="A5302" s="122" t="s">
        <v>2856</v>
      </c>
      <c r="B5302" s="123">
        <v>1211805.0</v>
      </c>
      <c r="C5302" s="687" t="s">
        <v>2857</v>
      </c>
      <c r="D5302" s="125"/>
    </row>
    <row r="5303">
      <c r="A5303" s="122" t="s">
        <v>1028</v>
      </c>
      <c r="B5303" s="123">
        <v>1763329.0</v>
      </c>
      <c r="C5303" s="687" t="s">
        <v>1029</v>
      </c>
      <c r="D5303" s="125"/>
    </row>
    <row r="5304">
      <c r="A5304" s="122" t="s">
        <v>11232</v>
      </c>
      <c r="B5304" s="123">
        <v>69488.0</v>
      </c>
      <c r="C5304" s="687" t="s">
        <v>11233</v>
      </c>
      <c r="D5304" s="125"/>
    </row>
    <row r="5305">
      <c r="A5305" s="122" t="s">
        <v>6852</v>
      </c>
      <c r="B5305" s="123">
        <v>1850453.0</v>
      </c>
      <c r="C5305" s="687" t="s">
        <v>6853</v>
      </c>
      <c r="D5305" s="125"/>
    </row>
    <row r="5306">
      <c r="A5306" s="122" t="s">
        <v>11935</v>
      </c>
      <c r="B5306" s="123">
        <v>1850453.0</v>
      </c>
      <c r="C5306" s="687" t="s">
        <v>11936</v>
      </c>
      <c r="D5306" s="125"/>
    </row>
    <row r="5307">
      <c r="A5307" s="122" t="s">
        <v>5770</v>
      </c>
      <c r="B5307" s="123">
        <v>1369290.0</v>
      </c>
      <c r="C5307" s="687" t="s">
        <v>5771</v>
      </c>
      <c r="D5307" s="125"/>
    </row>
    <row r="5308">
      <c r="A5308" s="122" t="s">
        <v>15898</v>
      </c>
      <c r="B5308" s="123">
        <v>700923.0</v>
      </c>
      <c r="C5308" s="687" t="s">
        <v>15899</v>
      </c>
      <c r="D5308" s="125"/>
    </row>
    <row r="5309">
      <c r="A5309" s="122" t="s">
        <v>11627</v>
      </c>
      <c r="B5309" s="123">
        <v>899923.0</v>
      </c>
      <c r="C5309" s="687" t="s">
        <v>11628</v>
      </c>
      <c r="D5309" s="125"/>
    </row>
    <row r="5310">
      <c r="A5310" s="122" t="s">
        <v>1610</v>
      </c>
      <c r="B5310" s="123">
        <v>1790320.0</v>
      </c>
      <c r="C5310" s="687" t="s">
        <v>1611</v>
      </c>
      <c r="D5310" s="125"/>
    </row>
    <row r="5311">
      <c r="A5311" s="122" t="s">
        <v>5221</v>
      </c>
      <c r="B5311" s="123">
        <v>1831907.0</v>
      </c>
      <c r="C5311" s="687" t="s">
        <v>5222</v>
      </c>
      <c r="D5311" s="125"/>
    </row>
    <row r="5312">
      <c r="A5312" s="122" t="s">
        <v>10015</v>
      </c>
      <c r="B5312" s="123">
        <v>1834488.0</v>
      </c>
      <c r="C5312" s="687" t="s">
        <v>10016</v>
      </c>
      <c r="D5312" s="125"/>
    </row>
    <row r="5313">
      <c r="A5313" s="122" t="s">
        <v>4477</v>
      </c>
      <c r="B5313" s="123">
        <v>1712178.0</v>
      </c>
      <c r="C5313" s="687" t="s">
        <v>4478</v>
      </c>
      <c r="D5313" s="125"/>
    </row>
    <row r="5314">
      <c r="A5314" s="122" t="s">
        <v>7596</v>
      </c>
      <c r="B5314" s="123">
        <v>1163739.0</v>
      </c>
      <c r="C5314" s="687" t="s">
        <v>7597</v>
      </c>
      <c r="D5314" s="125"/>
    </row>
    <row r="5315">
      <c r="A5315" s="122" t="s">
        <v>14957</v>
      </c>
      <c r="B5315" s="123">
        <v>1163739.0</v>
      </c>
      <c r="C5315" s="687" t="s">
        <v>14958</v>
      </c>
      <c r="D5315" s="125"/>
    </row>
    <row r="5316">
      <c r="A5316" s="122" t="s">
        <v>13332</v>
      </c>
      <c r="B5316" s="123">
        <v>789933.0</v>
      </c>
      <c r="C5316" s="687" t="s">
        <v>13333</v>
      </c>
      <c r="D5316" s="125"/>
    </row>
    <row r="5317">
      <c r="A5317" s="122" t="s">
        <v>2195</v>
      </c>
      <c r="B5317" s="123">
        <v>1115672.0</v>
      </c>
      <c r="C5317" s="687" t="s">
        <v>2196</v>
      </c>
      <c r="D5317" s="125"/>
    </row>
    <row r="5318">
      <c r="A5318" s="122" t="s">
        <v>679</v>
      </c>
      <c r="B5318" s="123">
        <v>1567388.0</v>
      </c>
      <c r="C5318" s="687" t="s">
        <v>680</v>
      </c>
      <c r="D5318" s="125"/>
    </row>
    <row r="5319">
      <c r="A5319" s="122" t="s">
        <v>2588</v>
      </c>
      <c r="B5319" s="123">
        <v>1342219.0</v>
      </c>
      <c r="C5319" s="687" t="s">
        <v>2589</v>
      </c>
      <c r="D5319" s="125"/>
    </row>
    <row r="5320">
      <c r="A5320" s="122" t="s">
        <v>5169</v>
      </c>
      <c r="B5320" s="123">
        <v>1643303.0</v>
      </c>
      <c r="C5320" s="687" t="s">
        <v>5170</v>
      </c>
      <c r="D5320" s="125"/>
    </row>
    <row r="5321">
      <c r="A5321" s="122" t="s">
        <v>4054</v>
      </c>
      <c r="B5321" s="123">
        <v>1872302.0</v>
      </c>
      <c r="C5321" s="687" t="s">
        <v>4055</v>
      </c>
      <c r="D5321" s="125"/>
    </row>
    <row r="5322">
      <c r="A5322" s="122" t="s">
        <v>3075</v>
      </c>
      <c r="B5322" s="123">
        <v>891417.0</v>
      </c>
      <c r="C5322" s="687" t="s">
        <v>3076</v>
      </c>
      <c r="D5322" s="125"/>
    </row>
    <row r="5323">
      <c r="A5323" s="122" t="s">
        <v>6854</v>
      </c>
      <c r="B5323" s="123">
        <v>1795251.0</v>
      </c>
      <c r="C5323" s="687" t="s">
        <v>6855</v>
      </c>
      <c r="D5323" s="125"/>
    </row>
    <row r="5324">
      <c r="A5324" s="122" t="s">
        <v>7455</v>
      </c>
      <c r="B5324" s="123">
        <v>1760854.0</v>
      </c>
      <c r="C5324" s="687" t="s">
        <v>7456</v>
      </c>
      <c r="D5324" s="125"/>
    </row>
    <row r="5325">
      <c r="A5325" s="122" t="s">
        <v>33943</v>
      </c>
      <c r="B5325" s="123">
        <v>1571636.0</v>
      </c>
      <c r="C5325" s="687" t="s">
        <v>33944</v>
      </c>
      <c r="D5325" s="125"/>
    </row>
    <row r="5326">
      <c r="A5326" s="122" t="s">
        <v>33945</v>
      </c>
      <c r="B5326" s="123">
        <v>1473579.0</v>
      </c>
      <c r="C5326" s="687" t="s">
        <v>33946</v>
      </c>
      <c r="D5326" s="125"/>
    </row>
    <row r="5327">
      <c r="A5327" s="122" t="s">
        <v>2913</v>
      </c>
      <c r="B5327" s="123">
        <v>883107.0</v>
      </c>
      <c r="C5327" s="687" t="s">
        <v>2914</v>
      </c>
      <c r="D5327" s="125"/>
    </row>
    <row r="5328">
      <c r="A5328" s="122" t="s">
        <v>2931</v>
      </c>
      <c r="B5328" s="123">
        <v>1401708.0</v>
      </c>
      <c r="C5328" s="687" t="s">
        <v>2932</v>
      </c>
      <c r="D5328" s="125"/>
    </row>
    <row r="5329">
      <c r="A5329" s="122" t="s">
        <v>3691</v>
      </c>
      <c r="B5329" s="123">
        <v>1326706.0</v>
      </c>
      <c r="C5329" s="687" t="s">
        <v>3692</v>
      </c>
      <c r="D5329" s="125"/>
    </row>
    <row r="5330">
      <c r="A5330" s="122" t="s">
        <v>3984</v>
      </c>
      <c r="B5330" s="123">
        <v>1379006.0</v>
      </c>
      <c r="C5330" s="687" t="s">
        <v>3985</v>
      </c>
      <c r="D5330" s="125"/>
    </row>
    <row r="5331">
      <c r="A5331" s="122" t="s">
        <v>13303</v>
      </c>
      <c r="B5331" s="123">
        <v>69633.0</v>
      </c>
      <c r="C5331" s="687" t="s">
        <v>13304</v>
      </c>
      <c r="D5331" s="125"/>
    </row>
    <row r="5332">
      <c r="A5332" s="122" t="s">
        <v>1189</v>
      </c>
      <c r="B5332" s="123">
        <v>1398172.0</v>
      </c>
      <c r="C5332" s="687" t="s">
        <v>1190</v>
      </c>
      <c r="D5332" s="125"/>
    </row>
    <row r="5333">
      <c r="A5333" s="122" t="s">
        <v>16709</v>
      </c>
      <c r="B5333" s="123">
        <v>1566469.0</v>
      </c>
      <c r="C5333" s="687" t="s">
        <v>16710</v>
      </c>
      <c r="D5333" s="125"/>
    </row>
    <row r="5334">
      <c r="A5334" s="122" t="s">
        <v>1829</v>
      </c>
      <c r="B5334" s="123">
        <v>1622057.0</v>
      </c>
      <c r="C5334" s="687" t="s">
        <v>1830</v>
      </c>
      <c r="D5334" s="125"/>
    </row>
    <row r="5335">
      <c r="A5335" s="122" t="s">
        <v>14325</v>
      </c>
      <c r="B5335" s="123">
        <v>1120193.0</v>
      </c>
      <c r="C5335" s="687" t="s">
        <v>14326</v>
      </c>
      <c r="D5335" s="125"/>
    </row>
    <row r="5336">
      <c r="A5336" s="122" t="s">
        <v>33947</v>
      </c>
      <c r="B5336" s="123">
        <v>1409446.0</v>
      </c>
      <c r="C5336" s="687" t="s">
        <v>33948</v>
      </c>
      <c r="D5336" s="125"/>
    </row>
    <row r="5337">
      <c r="A5337" s="122" t="s">
        <v>14697</v>
      </c>
      <c r="B5337" s="123">
        <v>1604821.0</v>
      </c>
      <c r="C5337" s="687" t="s">
        <v>14698</v>
      </c>
      <c r="D5337" s="125"/>
    </row>
    <row r="5338">
      <c r="A5338" s="122" t="s">
        <v>14722</v>
      </c>
      <c r="B5338" s="123">
        <v>69733.0</v>
      </c>
      <c r="C5338" s="687" t="s">
        <v>14723</v>
      </c>
      <c r="D5338" s="125"/>
    </row>
    <row r="5339">
      <c r="A5339" s="122" t="s">
        <v>1571</v>
      </c>
      <c r="B5339" s="123">
        <v>1399855.0</v>
      </c>
      <c r="C5339" s="687" t="s">
        <v>1572</v>
      </c>
      <c r="D5339" s="125"/>
    </row>
    <row r="5340">
      <c r="A5340" s="122" t="s">
        <v>13194</v>
      </c>
      <c r="B5340" s="123">
        <v>1475841.0</v>
      </c>
      <c r="C5340" s="687" t="s">
        <v>13195</v>
      </c>
      <c r="D5340" s="125"/>
    </row>
    <row r="5341">
      <c r="A5341" s="122" t="s">
        <v>12891</v>
      </c>
      <c r="B5341" s="123">
        <v>796534.0</v>
      </c>
      <c r="C5341" s="687" t="s">
        <v>12892</v>
      </c>
      <c r="D5341" s="125"/>
    </row>
    <row r="5342">
      <c r="A5342" s="122" t="s">
        <v>13933</v>
      </c>
      <c r="B5342" s="123">
        <v>69891.0</v>
      </c>
      <c r="C5342" s="687" t="s">
        <v>13934</v>
      </c>
      <c r="D5342" s="125"/>
    </row>
    <row r="5343">
      <c r="A5343" s="122" t="s">
        <v>6012</v>
      </c>
      <c r="B5343" s="123">
        <v>1377630.0</v>
      </c>
      <c r="C5343" s="687" t="s">
        <v>6013</v>
      </c>
      <c r="D5343" s="125"/>
    </row>
    <row r="5344">
      <c r="A5344" s="122" t="s">
        <v>3141</v>
      </c>
      <c r="B5344" s="123">
        <v>1698514.0</v>
      </c>
      <c r="C5344" s="687" t="s">
        <v>3142</v>
      </c>
      <c r="D5344" s="125"/>
    </row>
    <row r="5345">
      <c r="A5345" s="122" t="s">
        <v>7392</v>
      </c>
      <c r="B5345" s="123">
        <v>1698514.0</v>
      </c>
      <c r="C5345" s="687" t="s">
        <v>7393</v>
      </c>
      <c r="D5345" s="125"/>
    </row>
    <row r="5346">
      <c r="A5346" s="122" t="s">
        <v>13943</v>
      </c>
      <c r="B5346" s="123">
        <v>70145.0</v>
      </c>
      <c r="C5346" s="687" t="s">
        <v>13944</v>
      </c>
      <c r="D5346" s="125"/>
    </row>
    <row r="5347">
      <c r="A5347" s="122" t="s">
        <v>14677</v>
      </c>
      <c r="B5347" s="123">
        <v>1004315.0</v>
      </c>
      <c r="C5347" s="687" t="s">
        <v>9992</v>
      </c>
      <c r="D5347" s="125"/>
    </row>
    <row r="5348">
      <c r="A5348" s="122" t="s">
        <v>9991</v>
      </c>
      <c r="B5348" s="123">
        <v>1004315.0</v>
      </c>
      <c r="C5348" s="687" t="s">
        <v>9992</v>
      </c>
      <c r="D5348" s="125"/>
    </row>
    <row r="5349">
      <c r="A5349" s="122" t="s">
        <v>14206</v>
      </c>
      <c r="B5349" s="123">
        <v>877860.0</v>
      </c>
      <c r="C5349" s="687" t="s">
        <v>14207</v>
      </c>
      <c r="D5349" s="125"/>
    </row>
    <row r="5350">
      <c r="A5350" s="122" t="s">
        <v>15252</v>
      </c>
      <c r="B5350" s="123">
        <v>1047335.0</v>
      </c>
      <c r="C5350" s="687" t="s">
        <v>15253</v>
      </c>
      <c r="D5350" s="125"/>
    </row>
    <row r="5351">
      <c r="A5351" s="122" t="s">
        <v>14939</v>
      </c>
      <c r="B5351" s="123">
        <v>80172.0</v>
      </c>
      <c r="C5351" s="687" t="s">
        <v>14940</v>
      </c>
      <c r="D5351" s="125"/>
    </row>
    <row r="5352">
      <c r="A5352" s="122" t="s">
        <v>13396</v>
      </c>
      <c r="B5352" s="123">
        <v>70487.0</v>
      </c>
      <c r="C5352" s="687" t="s">
        <v>13397</v>
      </c>
      <c r="D5352" s="125"/>
    </row>
    <row r="5353">
      <c r="A5353" s="122" t="s">
        <v>12270</v>
      </c>
      <c r="B5353" s="123">
        <v>70502.0</v>
      </c>
      <c r="C5353" s="687" t="s">
        <v>12271</v>
      </c>
      <c r="D5353" s="125"/>
    </row>
    <row r="5354">
      <c r="A5354" s="122" t="s">
        <v>13437</v>
      </c>
      <c r="B5354" s="123">
        <v>1618563.0</v>
      </c>
      <c r="C5354" s="687" t="s">
        <v>13438</v>
      </c>
      <c r="D5354" s="125"/>
    </row>
    <row r="5355">
      <c r="A5355" s="122" t="s">
        <v>11457</v>
      </c>
      <c r="B5355" s="123">
        <v>1710155.0</v>
      </c>
      <c r="C5355" s="687" t="s">
        <v>11458</v>
      </c>
      <c r="D5355" s="125"/>
    </row>
    <row r="5356">
      <c r="A5356" s="122" t="s">
        <v>16588</v>
      </c>
      <c r="B5356" s="123">
        <v>1635984.0</v>
      </c>
      <c r="C5356" s="687" t="s">
        <v>16589</v>
      </c>
      <c r="D5356" s="125"/>
    </row>
    <row r="5357">
      <c r="A5357" s="122" t="s">
        <v>7170</v>
      </c>
      <c r="B5357" s="123">
        <v>1776967.0</v>
      </c>
      <c r="C5357" s="687" t="s">
        <v>7171</v>
      </c>
      <c r="D5357" s="125"/>
    </row>
    <row r="5358">
      <c r="A5358" s="122" t="s">
        <v>7067</v>
      </c>
      <c r="B5358" s="123">
        <v>787253.0</v>
      </c>
      <c r="C5358" s="687" t="s">
        <v>7068</v>
      </c>
      <c r="D5358" s="125"/>
    </row>
    <row r="5359">
      <c r="A5359" s="122" t="s">
        <v>10342</v>
      </c>
      <c r="B5359" s="123">
        <v>1084991.0</v>
      </c>
      <c r="C5359" s="687" t="s">
        <v>10343</v>
      </c>
      <c r="D5359" s="125"/>
    </row>
    <row r="5360">
      <c r="A5360" s="122" t="s">
        <v>10445</v>
      </c>
      <c r="B5360" s="123">
        <v>1547459.0</v>
      </c>
      <c r="C5360" s="687" t="s">
        <v>10446</v>
      </c>
      <c r="D5360" s="125"/>
    </row>
    <row r="5361">
      <c r="A5361" s="122" t="s">
        <v>7139</v>
      </c>
      <c r="B5361" s="123">
        <v>912061.0</v>
      </c>
      <c r="C5361" s="687" t="s">
        <v>7140</v>
      </c>
      <c r="D5361" s="125"/>
    </row>
    <row r="5362">
      <c r="A5362" s="122" t="s">
        <v>15362</v>
      </c>
      <c r="B5362" s="123">
        <v>1171486.0</v>
      </c>
      <c r="C5362" s="687" t="s">
        <v>15363</v>
      </c>
      <c r="D5362" s="125"/>
    </row>
    <row r="5363">
      <c r="A5363" s="122" t="s">
        <v>1357</v>
      </c>
      <c r="B5363" s="123">
        <v>1590875.0</v>
      </c>
      <c r="C5363" s="687" t="s">
        <v>1358</v>
      </c>
      <c r="D5363" s="125"/>
    </row>
    <row r="5364">
      <c r="A5364" s="122" t="s">
        <v>10951</v>
      </c>
      <c r="B5364" s="123">
        <v>275053.0</v>
      </c>
      <c r="C5364" s="687" t="s">
        <v>10952</v>
      </c>
      <c r="D5364" s="125"/>
    </row>
    <row r="5365">
      <c r="A5365" s="122" t="s">
        <v>7196</v>
      </c>
      <c r="B5365" s="123">
        <v>900391.0</v>
      </c>
      <c r="C5365" s="687" t="s">
        <v>7197</v>
      </c>
      <c r="D5365" s="125"/>
    </row>
    <row r="5366">
      <c r="A5366" s="122" t="s">
        <v>5312</v>
      </c>
      <c r="B5366" s="123">
        <v>844150.0</v>
      </c>
      <c r="C5366" s="687" t="s">
        <v>5313</v>
      </c>
      <c r="D5366" s="125"/>
    </row>
    <row r="5367">
      <c r="A5367" s="122" t="s">
        <v>6850</v>
      </c>
      <c r="B5367" s="123">
        <v>844150.0</v>
      </c>
      <c r="C5367" s="687" t="s">
        <v>6851</v>
      </c>
      <c r="D5367" s="125"/>
    </row>
    <row r="5368">
      <c r="A5368" s="122" t="s">
        <v>2847</v>
      </c>
      <c r="B5368" s="123">
        <v>1849820.0</v>
      </c>
      <c r="C5368" s="687" t="s">
        <v>943</v>
      </c>
      <c r="D5368" s="125"/>
    </row>
    <row r="5369">
      <c r="A5369" s="122" t="s">
        <v>942</v>
      </c>
      <c r="B5369" s="123">
        <v>1849820.0</v>
      </c>
      <c r="C5369" s="687" t="s">
        <v>943</v>
      </c>
      <c r="D5369" s="125"/>
    </row>
    <row r="5370">
      <c r="A5370" s="122" t="s">
        <v>5326</v>
      </c>
      <c r="B5370" s="123">
        <v>1808805.0</v>
      </c>
      <c r="C5370" s="687" t="s">
        <v>5327</v>
      </c>
      <c r="D5370" s="125"/>
    </row>
    <row r="5371">
      <c r="A5371" s="122" t="s">
        <v>1257</v>
      </c>
      <c r="B5371" s="123">
        <v>810509.0</v>
      </c>
      <c r="C5371" s="687" t="s">
        <v>1258</v>
      </c>
      <c r="D5371" s="125"/>
    </row>
    <row r="5372">
      <c r="A5372" s="122" t="s">
        <v>11607</v>
      </c>
      <c r="B5372" s="123">
        <v>1593538.0</v>
      </c>
      <c r="C5372" s="687" t="s">
        <v>11608</v>
      </c>
      <c r="D5372" s="125"/>
    </row>
    <row r="5373">
      <c r="A5373" s="122" t="s">
        <v>10694</v>
      </c>
      <c r="B5373" s="123">
        <v>1593538.0</v>
      </c>
      <c r="C5373" s="687" t="s">
        <v>10695</v>
      </c>
      <c r="D5373" s="125"/>
    </row>
    <row r="5374">
      <c r="A5374" s="122" t="s">
        <v>10576</v>
      </c>
      <c r="B5374" s="123">
        <v>1581804.0</v>
      </c>
      <c r="C5374" s="687" t="s">
        <v>10577</v>
      </c>
      <c r="D5374" s="125"/>
    </row>
    <row r="5375">
      <c r="A5375" s="122" t="s">
        <v>6838</v>
      </c>
      <c r="B5375" s="123">
        <v>1821769.0</v>
      </c>
      <c r="C5375" s="687" t="s">
        <v>6839</v>
      </c>
      <c r="D5375" s="125"/>
    </row>
    <row r="5376">
      <c r="A5376" s="122" t="s">
        <v>12488</v>
      </c>
      <c r="B5376" s="123">
        <v>1901279.0</v>
      </c>
      <c r="C5376" s="687" t="s">
        <v>12489</v>
      </c>
      <c r="D5376" s="125"/>
    </row>
    <row r="5377">
      <c r="A5377" s="122" t="s">
        <v>13184</v>
      </c>
      <c r="B5377" s="123">
        <v>790359.0</v>
      </c>
      <c r="C5377" s="687" t="s">
        <v>13185</v>
      </c>
      <c r="D5377" s="125"/>
    </row>
    <row r="5378">
      <c r="A5378" s="122" t="s">
        <v>12917</v>
      </c>
      <c r="B5378" s="123">
        <v>1902733.0</v>
      </c>
      <c r="C5378" s="687" t="s">
        <v>12918</v>
      </c>
      <c r="D5378" s="125"/>
    </row>
    <row r="5379">
      <c r="A5379" s="122" t="s">
        <v>10640</v>
      </c>
      <c r="B5379" s="123">
        <v>1692427.0</v>
      </c>
      <c r="C5379" s="687" t="s">
        <v>10641</v>
      </c>
      <c r="D5379" s="125"/>
    </row>
    <row r="5380">
      <c r="A5380" s="122" t="s">
        <v>33949</v>
      </c>
      <c r="B5380" s="123">
        <v>1659183.0</v>
      </c>
      <c r="C5380" s="687" t="s">
        <v>33950</v>
      </c>
      <c r="D5380" s="125"/>
    </row>
    <row r="5381">
      <c r="A5381" s="122" t="s">
        <v>1693</v>
      </c>
      <c r="B5381" s="123">
        <v>1329944.0</v>
      </c>
      <c r="C5381" s="687" t="s">
        <v>1694</v>
      </c>
      <c r="D5381" s="125"/>
    </row>
    <row r="5382">
      <c r="A5382" s="122" t="s">
        <v>14653</v>
      </c>
      <c r="B5382" s="123">
        <v>72127.0</v>
      </c>
      <c r="C5382" s="687" t="s">
        <v>14654</v>
      </c>
      <c r="D5382" s="125"/>
    </row>
    <row r="5383">
      <c r="A5383" s="122" t="s">
        <v>3133</v>
      </c>
      <c r="B5383" s="123">
        <v>906709.0</v>
      </c>
      <c r="C5383" s="687" t="s">
        <v>3134</v>
      </c>
      <c r="D5383" s="125"/>
    </row>
    <row r="5384">
      <c r="A5384" s="122" t="s">
        <v>15183</v>
      </c>
      <c r="B5384" s="123">
        <v>1258602.0</v>
      </c>
      <c r="C5384" s="687" t="s">
        <v>15184</v>
      </c>
      <c r="D5384" s="125"/>
    </row>
    <row r="5385">
      <c r="A5385" s="122" t="s">
        <v>1670</v>
      </c>
      <c r="B5385" s="123">
        <v>1602078.0</v>
      </c>
      <c r="C5385" s="687" t="s">
        <v>1671</v>
      </c>
      <c r="D5385" s="125"/>
    </row>
    <row r="5386">
      <c r="A5386" s="122" t="s">
        <v>12643</v>
      </c>
      <c r="B5386" s="123">
        <v>1821349.0</v>
      </c>
      <c r="C5386" s="687" t="s">
        <v>12644</v>
      </c>
      <c r="D5386" s="125"/>
    </row>
    <row r="5387">
      <c r="A5387" s="122" t="s">
        <v>10568</v>
      </c>
      <c r="B5387" s="123">
        <v>711377.0</v>
      </c>
      <c r="C5387" s="687" t="s">
        <v>10569</v>
      </c>
      <c r="D5387" s="125"/>
    </row>
    <row r="5388">
      <c r="A5388" s="122" t="s">
        <v>10346</v>
      </c>
      <c r="B5388" s="123">
        <v>1077183.0</v>
      </c>
      <c r="C5388" s="687" t="s">
        <v>10347</v>
      </c>
      <c r="D5388" s="125"/>
    </row>
    <row r="5389">
      <c r="A5389" s="122" t="s">
        <v>525</v>
      </c>
      <c r="B5389" s="123">
        <v>1383637.0</v>
      </c>
      <c r="C5389" s="687" t="s">
        <v>526</v>
      </c>
      <c r="D5389" s="125"/>
    </row>
    <row r="5390">
      <c r="A5390" s="122" t="s">
        <v>4541</v>
      </c>
      <c r="B5390" s="123">
        <v>87050.0</v>
      </c>
      <c r="C5390" s="687" t="s">
        <v>4542</v>
      </c>
      <c r="D5390" s="125"/>
    </row>
    <row r="5391">
      <c r="A5391" s="122" t="s">
        <v>2490</v>
      </c>
      <c r="B5391" s="123">
        <v>1748137.0</v>
      </c>
      <c r="C5391" s="687" t="s">
        <v>2491</v>
      </c>
      <c r="D5391" s="125"/>
    </row>
    <row r="5392">
      <c r="A5392" s="122" t="s">
        <v>4485</v>
      </c>
      <c r="B5392" s="123">
        <v>1748137.0</v>
      </c>
      <c r="C5392" s="687" t="s">
        <v>4486</v>
      </c>
      <c r="D5392" s="125"/>
    </row>
    <row r="5393">
      <c r="A5393" s="122" t="s">
        <v>5917</v>
      </c>
      <c r="B5393" s="123">
        <v>1196298.0</v>
      </c>
      <c r="C5393" s="687" t="s">
        <v>5918</v>
      </c>
      <c r="D5393" s="125"/>
    </row>
    <row r="5394">
      <c r="A5394" s="122" t="s">
        <v>2979</v>
      </c>
      <c r="B5394" s="123">
        <v>1401395.0</v>
      </c>
      <c r="C5394" s="687" t="s">
        <v>2980</v>
      </c>
      <c r="D5394" s="125"/>
    </row>
    <row r="5395">
      <c r="A5395" s="122" t="s">
        <v>10556</v>
      </c>
      <c r="B5395" s="123">
        <v>1625278.0</v>
      </c>
      <c r="C5395" s="687" t="s">
        <v>10557</v>
      </c>
      <c r="D5395" s="125"/>
    </row>
    <row r="5396">
      <c r="A5396" s="122" t="s">
        <v>5658</v>
      </c>
      <c r="B5396" s="123">
        <v>1819404.0</v>
      </c>
      <c r="C5396" s="687" t="s">
        <v>5659</v>
      </c>
      <c r="D5396" s="125"/>
    </row>
    <row r="5397">
      <c r="A5397" s="122" t="s">
        <v>33951</v>
      </c>
      <c r="B5397" s="123">
        <v>1432176.0</v>
      </c>
      <c r="C5397" s="687" t="s">
        <v>33952</v>
      </c>
      <c r="D5397" s="125"/>
    </row>
    <row r="5398">
      <c r="A5398" s="122" t="s">
        <v>15175</v>
      </c>
      <c r="B5398" s="123">
        <v>1002047.0</v>
      </c>
      <c r="C5398" s="687" t="s">
        <v>15176</v>
      </c>
      <c r="D5398" s="125"/>
    </row>
    <row r="5399">
      <c r="A5399" s="122" t="s">
        <v>848</v>
      </c>
      <c r="B5399" s="123">
        <v>1414767.0</v>
      </c>
      <c r="C5399" s="687" t="s">
        <v>849</v>
      </c>
      <c r="D5399" s="125"/>
    </row>
    <row r="5400">
      <c r="A5400" s="122" t="s">
        <v>2167</v>
      </c>
      <c r="B5400" s="123">
        <v>1414767.0</v>
      </c>
      <c r="C5400" s="687" t="s">
        <v>2168</v>
      </c>
      <c r="D5400" s="125"/>
    </row>
    <row r="5401">
      <c r="A5401" s="122" t="s">
        <v>16389</v>
      </c>
      <c r="B5401" s="123">
        <v>1854458.0</v>
      </c>
      <c r="C5401" s="687" t="s">
        <v>16390</v>
      </c>
      <c r="D5401" s="125"/>
    </row>
    <row r="5402">
      <c r="A5402" s="122" t="s">
        <v>15370</v>
      </c>
      <c r="B5402" s="123">
        <v>1110646.0</v>
      </c>
      <c r="C5402" s="687" t="s">
        <v>15371</v>
      </c>
      <c r="D5402" s="125"/>
    </row>
    <row r="5403">
      <c r="A5403" s="122" t="s">
        <v>16623</v>
      </c>
      <c r="B5403" s="123">
        <v>1065280.0</v>
      </c>
      <c r="C5403" s="687" t="s">
        <v>16624</v>
      </c>
      <c r="D5403" s="125"/>
    </row>
    <row r="5404">
      <c r="A5404" s="122" t="s">
        <v>10322</v>
      </c>
      <c r="B5404" s="123">
        <v>1122904.0</v>
      </c>
      <c r="C5404" s="687" t="s">
        <v>10323</v>
      </c>
      <c r="D5404" s="125"/>
    </row>
    <row r="5405">
      <c r="A5405" s="122" t="s">
        <v>4685</v>
      </c>
      <c r="B5405" s="123">
        <v>1282631.0</v>
      </c>
      <c r="C5405" s="687" t="s">
        <v>4686</v>
      </c>
      <c r="D5405" s="125"/>
    </row>
    <row r="5406">
      <c r="A5406" s="122" t="s">
        <v>1791</v>
      </c>
      <c r="B5406" s="123">
        <v>1689490.0</v>
      </c>
      <c r="C5406" s="687" t="s">
        <v>1792</v>
      </c>
      <c r="D5406" s="125"/>
    </row>
    <row r="5407">
      <c r="A5407" s="122" t="s">
        <v>11648</v>
      </c>
      <c r="B5407" s="123">
        <v>1078075.0</v>
      </c>
      <c r="C5407" s="687" t="s">
        <v>11649</v>
      </c>
      <c r="D5407" s="125"/>
    </row>
    <row r="5408">
      <c r="A5408" s="122" t="s">
        <v>5019</v>
      </c>
      <c r="B5408" s="123">
        <v>1039280.0</v>
      </c>
      <c r="C5408" s="687" t="s">
        <v>5020</v>
      </c>
      <c r="D5408" s="125"/>
    </row>
    <row r="5409">
      <c r="A5409" s="122" t="s">
        <v>11075</v>
      </c>
      <c r="B5409" s="123">
        <v>1798100.0</v>
      </c>
      <c r="C5409" s="687" t="s">
        <v>11076</v>
      </c>
      <c r="D5409" s="125"/>
    </row>
    <row r="5410">
      <c r="A5410" s="122" t="s">
        <v>1219</v>
      </c>
      <c r="B5410" s="123">
        <v>934796.0</v>
      </c>
      <c r="C5410" s="687" t="s">
        <v>1220</v>
      </c>
      <c r="D5410" s="125"/>
    </row>
    <row r="5411">
      <c r="A5411" s="122" t="s">
        <v>4979</v>
      </c>
      <c r="B5411" s="123">
        <v>1065078.0</v>
      </c>
      <c r="C5411" s="687" t="s">
        <v>4980</v>
      </c>
      <c r="D5411" s="125"/>
    </row>
    <row r="5412">
      <c r="A5412" s="122" t="s">
        <v>3321</v>
      </c>
      <c r="B5412" s="123">
        <v>1173281.0</v>
      </c>
      <c r="C5412" s="687" t="s">
        <v>3322</v>
      </c>
      <c r="D5412" s="125"/>
    </row>
    <row r="5413">
      <c r="A5413" s="122" t="s">
        <v>7669</v>
      </c>
      <c r="B5413" s="123">
        <v>1487610.0</v>
      </c>
      <c r="C5413" s="687" t="s">
        <v>7670</v>
      </c>
      <c r="D5413" s="125"/>
    </row>
    <row r="5414">
      <c r="A5414" s="122" t="s">
        <v>7222</v>
      </c>
      <c r="B5414" s="123">
        <v>1562051.0</v>
      </c>
      <c r="C5414" s="687" t="s">
        <v>7223</v>
      </c>
      <c r="D5414" s="125"/>
    </row>
    <row r="5415">
      <c r="A5415" s="122" t="s">
        <v>5760</v>
      </c>
      <c r="B5415" s="123">
        <v>1261166.0</v>
      </c>
      <c r="C5415" s="687" t="s">
        <v>5761</v>
      </c>
      <c r="D5415" s="125"/>
    </row>
    <row r="5416">
      <c r="A5416" s="122" t="s">
        <v>6617</v>
      </c>
      <c r="B5416" s="123">
        <v>1638287.0</v>
      </c>
      <c r="C5416" s="687" t="s">
        <v>6618</v>
      </c>
      <c r="D5416" s="125"/>
    </row>
    <row r="5417">
      <c r="A5417" s="122" t="s">
        <v>15816</v>
      </c>
      <c r="B5417" s="123">
        <v>914475.0</v>
      </c>
      <c r="C5417" s="687" t="s">
        <v>15817</v>
      </c>
      <c r="D5417" s="125"/>
    </row>
    <row r="5418">
      <c r="A5418" s="122" t="s">
        <v>5546</v>
      </c>
      <c r="B5418" s="123">
        <v>1289850.0</v>
      </c>
      <c r="C5418" s="687" t="s">
        <v>5547</v>
      </c>
      <c r="D5418" s="125"/>
    </row>
    <row r="5419">
      <c r="A5419" s="122" t="s">
        <v>5764</v>
      </c>
      <c r="B5419" s="123">
        <v>1227636.0</v>
      </c>
      <c r="C5419" s="687" t="s">
        <v>5765</v>
      </c>
      <c r="D5419" s="125"/>
    </row>
    <row r="5420">
      <c r="A5420" s="122" t="s">
        <v>4291</v>
      </c>
      <c r="B5420" s="123">
        <v>1500198.0</v>
      </c>
      <c r="C5420" s="687" t="s">
        <v>4292</v>
      </c>
      <c r="D5420" s="125"/>
    </row>
    <row r="5421">
      <c r="A5421" s="122" t="s">
        <v>10436</v>
      </c>
      <c r="B5421" s="123">
        <v>1528287.0</v>
      </c>
      <c r="C5421" s="687" t="s">
        <v>10437</v>
      </c>
      <c r="D5421" s="125"/>
    </row>
    <row r="5422">
      <c r="A5422" s="122" t="s">
        <v>2147</v>
      </c>
      <c r="B5422" s="123">
        <v>1875091.0</v>
      </c>
      <c r="C5422" s="687" t="s">
        <v>2148</v>
      </c>
      <c r="D5422" s="125"/>
    </row>
    <row r="5423">
      <c r="A5423" s="122" t="s">
        <v>4146</v>
      </c>
      <c r="B5423" s="123">
        <v>1875091.0</v>
      </c>
      <c r="C5423" s="687" t="s">
        <v>4147</v>
      </c>
      <c r="D5423" s="125"/>
    </row>
    <row r="5424">
      <c r="A5424" s="122" t="s">
        <v>33953</v>
      </c>
      <c r="B5424" s="123">
        <v>1512886.0</v>
      </c>
      <c r="C5424" s="687" t="s">
        <v>33954</v>
      </c>
      <c r="D5424" s="125"/>
    </row>
    <row r="5425">
      <c r="A5425" s="122" t="s">
        <v>5830</v>
      </c>
      <c r="B5425" s="123">
        <v>1605481.0</v>
      </c>
      <c r="C5425" s="687" t="s">
        <v>5831</v>
      </c>
      <c r="D5425" s="125"/>
    </row>
    <row r="5426">
      <c r="A5426" s="122" t="s">
        <v>1781</v>
      </c>
      <c r="B5426" s="123">
        <v>1398713.0</v>
      </c>
      <c r="C5426" s="687" t="s">
        <v>1782</v>
      </c>
      <c r="D5426" s="125"/>
    </row>
    <row r="5427">
      <c r="A5427" s="122" t="s">
        <v>2707</v>
      </c>
      <c r="B5427" s="123">
        <v>1177219.0</v>
      </c>
      <c r="C5427" s="687" t="s">
        <v>2708</v>
      </c>
      <c r="D5427" s="125"/>
    </row>
    <row r="5428">
      <c r="A5428" s="122" t="s">
        <v>1597</v>
      </c>
      <c r="B5428" s="123">
        <v>1469392.0</v>
      </c>
      <c r="C5428" s="687" t="s">
        <v>1402</v>
      </c>
      <c r="D5428" s="125"/>
    </row>
    <row r="5429">
      <c r="A5429" s="122" t="s">
        <v>1401</v>
      </c>
      <c r="B5429" s="123">
        <v>1415758.0</v>
      </c>
      <c r="C5429" s="687" t="s">
        <v>1402</v>
      </c>
      <c r="D5429" s="125"/>
    </row>
    <row r="5430">
      <c r="A5430" s="122" t="s">
        <v>10717</v>
      </c>
      <c r="B5430" s="123">
        <v>1444380.0</v>
      </c>
      <c r="C5430" s="687" t="s">
        <v>10718</v>
      </c>
      <c r="D5430" s="125"/>
    </row>
    <row r="5431">
      <c r="A5431" s="122" t="s">
        <v>7453</v>
      </c>
      <c r="B5431" s="123">
        <v>825345.0</v>
      </c>
      <c r="C5431" s="687" t="s">
        <v>7454</v>
      </c>
      <c r="D5431" s="125"/>
    </row>
    <row r="5432">
      <c r="A5432" s="122" t="s">
        <v>1809</v>
      </c>
      <c r="B5432" s="123">
        <v>1485029.0</v>
      </c>
      <c r="C5432" s="687" t="s">
        <v>1810</v>
      </c>
      <c r="D5432" s="125"/>
    </row>
    <row r="5433">
      <c r="A5433" s="122" t="s">
        <v>3817</v>
      </c>
      <c r="B5433" s="123">
        <v>105744.0</v>
      </c>
      <c r="C5433" s="687" t="s">
        <v>3818</v>
      </c>
      <c r="D5433" s="125"/>
    </row>
    <row r="5434">
      <c r="A5434" s="122" t="s">
        <v>15397</v>
      </c>
      <c r="B5434" s="123">
        <v>1004315.0</v>
      </c>
      <c r="C5434" s="687" t="s">
        <v>15398</v>
      </c>
      <c r="D5434" s="125"/>
    </row>
    <row r="5435">
      <c r="A5435" s="122" t="s">
        <v>14744</v>
      </c>
      <c r="B5435" s="123">
        <v>746514.0</v>
      </c>
      <c r="C5435" s="687" t="s">
        <v>14745</v>
      </c>
      <c r="D5435" s="125"/>
    </row>
    <row r="5436">
      <c r="A5436" s="122" t="s">
        <v>12952</v>
      </c>
      <c r="B5436" s="123">
        <v>1749723.0</v>
      </c>
      <c r="C5436" s="687" t="s">
        <v>12953</v>
      </c>
      <c r="D5436" s="125"/>
    </row>
    <row r="5437">
      <c r="A5437" s="122" t="s">
        <v>5699</v>
      </c>
      <c r="B5437" s="123">
        <v>1840616.0</v>
      </c>
      <c r="C5437" s="687" t="s">
        <v>5700</v>
      </c>
      <c r="D5437" s="125"/>
    </row>
    <row r="5438">
      <c r="A5438" s="122" t="s">
        <v>33955</v>
      </c>
      <c r="B5438" s="123">
        <v>1140586.0</v>
      </c>
      <c r="C5438" s="687" t="s">
        <v>33956</v>
      </c>
      <c r="D5438" s="125"/>
    </row>
    <row r="5439">
      <c r="A5439" s="122" t="s">
        <v>7771</v>
      </c>
      <c r="B5439" s="123">
        <v>858706.0</v>
      </c>
      <c r="C5439" s="687" t="s">
        <v>7772</v>
      </c>
      <c r="D5439" s="125"/>
    </row>
    <row r="5440">
      <c r="A5440" s="122" t="s">
        <v>4140</v>
      </c>
      <c r="B5440" s="123">
        <v>800166.0</v>
      </c>
      <c r="C5440" s="687" t="s">
        <v>4141</v>
      </c>
      <c r="D5440" s="125"/>
    </row>
    <row r="5441">
      <c r="A5441" s="122" t="s">
        <v>13617</v>
      </c>
      <c r="B5441" s="123">
        <v>356309.0</v>
      </c>
      <c r="C5441" s="687" t="s">
        <v>13618</v>
      </c>
      <c r="D5441" s="125"/>
    </row>
    <row r="5442">
      <c r="A5442" s="122" t="s">
        <v>33957</v>
      </c>
      <c r="B5442" s="123">
        <v>1132509.0</v>
      </c>
      <c r="C5442" s="687" t="s">
        <v>33958</v>
      </c>
      <c r="D5442" s="125"/>
    </row>
    <row r="5443">
      <c r="A5443" s="122" t="s">
        <v>9824</v>
      </c>
      <c r="B5443" s="123">
        <v>1496099.0</v>
      </c>
      <c r="C5443" s="687" t="s">
        <v>9825</v>
      </c>
      <c r="D5443" s="125"/>
    </row>
    <row r="5444">
      <c r="A5444" s="122" t="s">
        <v>15034</v>
      </c>
      <c r="B5444" s="123">
        <v>1372920.0</v>
      </c>
      <c r="C5444" s="687" t="s">
        <v>15035</v>
      </c>
      <c r="D5444" s="125"/>
    </row>
    <row r="5445">
      <c r="A5445" s="122" t="s">
        <v>4185</v>
      </c>
      <c r="B5445" s="123">
        <v>1369085.0</v>
      </c>
      <c r="C5445" s="687" t="s">
        <v>4186</v>
      </c>
      <c r="D5445" s="125"/>
    </row>
    <row r="5446">
      <c r="A5446" s="122" t="s">
        <v>5183</v>
      </c>
      <c r="B5446" s="123">
        <v>1163389.0</v>
      </c>
      <c r="C5446" s="687" t="s">
        <v>5184</v>
      </c>
      <c r="D5446" s="125"/>
    </row>
    <row r="5447">
      <c r="A5447" s="122" t="s">
        <v>1355</v>
      </c>
      <c r="B5447" s="123">
        <v>1837929.0</v>
      </c>
      <c r="C5447" s="687" t="s">
        <v>1356</v>
      </c>
      <c r="D5447" s="125"/>
    </row>
    <row r="5448">
      <c r="A5448" s="122" t="s">
        <v>8726</v>
      </c>
      <c r="B5448" s="123">
        <v>1837929.0</v>
      </c>
      <c r="C5448" s="687" t="s">
        <v>8727</v>
      </c>
      <c r="D5448" s="125"/>
    </row>
    <row r="5449">
      <c r="A5449" s="122" t="s">
        <v>1371</v>
      </c>
      <c r="B5449" s="123">
        <v>1574553.0</v>
      </c>
      <c r="C5449" s="687" t="s">
        <v>1372</v>
      </c>
      <c r="D5449" s="125"/>
    </row>
    <row r="5450">
      <c r="A5450" s="122" t="s">
        <v>856</v>
      </c>
      <c r="B5450" s="123">
        <v>925541.0</v>
      </c>
      <c r="C5450" s="687" t="s">
        <v>857</v>
      </c>
      <c r="D5450" s="125"/>
    </row>
    <row r="5451">
      <c r="A5451" s="122" t="s">
        <v>7033</v>
      </c>
      <c r="B5451" s="123">
        <v>910073.0</v>
      </c>
      <c r="C5451" s="687" t="s">
        <v>7034</v>
      </c>
      <c r="D5451" s="125"/>
    </row>
    <row r="5452">
      <c r="A5452" s="122" t="s">
        <v>6293</v>
      </c>
      <c r="B5452" s="123">
        <v>860131.0</v>
      </c>
      <c r="C5452" s="687" t="s">
        <v>6294</v>
      </c>
      <c r="D5452" s="125"/>
    </row>
    <row r="5453">
      <c r="A5453" s="122" t="s">
        <v>11281</v>
      </c>
      <c r="B5453" s="123">
        <v>1273685.0</v>
      </c>
      <c r="C5453" s="687" t="s">
        <v>11282</v>
      </c>
      <c r="D5453" s="125"/>
    </row>
    <row r="5454">
      <c r="A5454" s="122" t="s">
        <v>10996</v>
      </c>
      <c r="B5454" s="123">
        <v>1273685.0</v>
      </c>
      <c r="C5454" s="687" t="s">
        <v>10997</v>
      </c>
      <c r="D5454" s="125"/>
    </row>
    <row r="5455">
      <c r="A5455" s="122" t="s">
        <v>7567</v>
      </c>
      <c r="B5455" s="123">
        <v>1273685.0</v>
      </c>
      <c r="C5455" s="687" t="s">
        <v>7568</v>
      </c>
      <c r="D5455" s="125"/>
    </row>
    <row r="5456">
      <c r="A5456" s="122" t="s">
        <v>11681</v>
      </c>
      <c r="B5456" s="123">
        <v>1273685.0</v>
      </c>
      <c r="C5456" s="687" t="s">
        <v>11682</v>
      </c>
      <c r="D5456" s="125"/>
    </row>
    <row r="5457">
      <c r="A5457" s="122" t="s">
        <v>11929</v>
      </c>
      <c r="B5457" s="123">
        <v>1273685.0</v>
      </c>
      <c r="C5457" s="687" t="s">
        <v>11930</v>
      </c>
      <c r="D5457" s="125"/>
    </row>
    <row r="5458">
      <c r="A5458" s="122" t="s">
        <v>14021</v>
      </c>
      <c r="B5458" s="123">
        <v>71691.0</v>
      </c>
      <c r="C5458" s="687" t="s">
        <v>14022</v>
      </c>
      <c r="D5458" s="125"/>
    </row>
    <row r="5459">
      <c r="A5459" s="122" t="s">
        <v>11331</v>
      </c>
      <c r="B5459" s="123">
        <v>1936258.0</v>
      </c>
      <c r="C5459" s="687" t="s">
        <v>11332</v>
      </c>
      <c r="D5459" s="125"/>
    </row>
    <row r="5460">
      <c r="A5460" s="122" t="s">
        <v>1634</v>
      </c>
      <c r="B5460" s="123">
        <v>1831978.0</v>
      </c>
      <c r="C5460" s="687" t="s">
        <v>1635</v>
      </c>
      <c r="D5460" s="125"/>
    </row>
    <row r="5461">
      <c r="A5461" s="122" t="s">
        <v>8834</v>
      </c>
      <c r="B5461" s="123">
        <v>1831978.0</v>
      </c>
      <c r="C5461" s="687" t="s">
        <v>8835</v>
      </c>
      <c r="D5461" s="125"/>
    </row>
    <row r="5462">
      <c r="A5462" s="122" t="s">
        <v>8781</v>
      </c>
      <c r="B5462" s="123">
        <v>1831978.0</v>
      </c>
      <c r="C5462" s="687" t="s">
        <v>8782</v>
      </c>
      <c r="D5462" s="125"/>
    </row>
    <row r="5463">
      <c r="A5463" s="122" t="s">
        <v>3347</v>
      </c>
      <c r="B5463" s="123">
        <v>1474627.0</v>
      </c>
      <c r="C5463" s="687" t="s">
        <v>3348</v>
      </c>
      <c r="D5463" s="125"/>
    </row>
    <row r="5464">
      <c r="A5464" s="122" t="s">
        <v>7778</v>
      </c>
      <c r="B5464" s="123">
        <v>814453.0</v>
      </c>
      <c r="C5464" s="687" t="s">
        <v>7779</v>
      </c>
      <c r="D5464" s="125"/>
    </row>
    <row r="5465">
      <c r="A5465" s="122" t="s">
        <v>631</v>
      </c>
      <c r="B5465" s="123">
        <v>1371128.0</v>
      </c>
      <c r="C5465" s="687" t="s">
        <v>632</v>
      </c>
      <c r="D5465" s="125"/>
    </row>
    <row r="5466">
      <c r="A5466" s="122" t="s">
        <v>10770</v>
      </c>
      <c r="B5466" s="123">
        <v>1854964.0</v>
      </c>
      <c r="C5466" s="687" t="s">
        <v>10771</v>
      </c>
      <c r="D5466" s="125"/>
    </row>
    <row r="5467">
      <c r="A5467" s="122" t="s">
        <v>8407</v>
      </c>
      <c r="B5467" s="123">
        <v>1690680.0</v>
      </c>
      <c r="C5467" s="687" t="s">
        <v>8408</v>
      </c>
      <c r="D5467" s="125"/>
    </row>
    <row r="5468">
      <c r="A5468" s="122" t="s">
        <v>16629</v>
      </c>
      <c r="B5468" s="123">
        <v>1282637.0</v>
      </c>
      <c r="C5468" s="687" t="s">
        <v>16630</v>
      </c>
      <c r="D5468" s="125"/>
    </row>
    <row r="5469">
      <c r="A5469" s="122" t="s">
        <v>13181</v>
      </c>
      <c r="B5469" s="123">
        <v>1164727.0</v>
      </c>
      <c r="C5469" s="687" t="s">
        <v>12939</v>
      </c>
      <c r="D5469" s="125"/>
    </row>
    <row r="5470">
      <c r="A5470" s="122" t="s">
        <v>12938</v>
      </c>
      <c r="B5470" s="123">
        <v>1415921.0</v>
      </c>
      <c r="C5470" s="687" t="s">
        <v>12939</v>
      </c>
      <c r="D5470" s="125"/>
    </row>
    <row r="5471">
      <c r="A5471" s="122" t="s">
        <v>7011</v>
      </c>
      <c r="B5471" s="123">
        <v>71829.0</v>
      </c>
      <c r="C5471" s="687" t="s">
        <v>7012</v>
      </c>
      <c r="D5471" s="125"/>
    </row>
    <row r="5472">
      <c r="A5472" s="122" t="s">
        <v>6551</v>
      </c>
      <c r="B5472" s="123">
        <v>1445831.0</v>
      </c>
      <c r="C5472" s="687" t="s">
        <v>6552</v>
      </c>
      <c r="D5472" s="125"/>
    </row>
    <row r="5473">
      <c r="A5473" s="122" t="s">
        <v>12226</v>
      </c>
      <c r="B5473" s="123">
        <v>1564708.0</v>
      </c>
      <c r="C5473" s="687" t="s">
        <v>12227</v>
      </c>
      <c r="D5473" s="125"/>
    </row>
    <row r="5474">
      <c r="A5474" s="122" t="s">
        <v>12408</v>
      </c>
      <c r="B5474" s="123">
        <v>1564708.0</v>
      </c>
      <c r="C5474" s="687" t="s">
        <v>12409</v>
      </c>
      <c r="D5474" s="125"/>
    </row>
    <row r="5475">
      <c r="A5475" s="122" t="s">
        <v>12073</v>
      </c>
      <c r="B5475" s="123">
        <v>1587987.0</v>
      </c>
      <c r="C5475" s="687" t="s">
        <v>12074</v>
      </c>
      <c r="D5475" s="125"/>
    </row>
    <row r="5476">
      <c r="A5476" s="122" t="s">
        <v>12258</v>
      </c>
      <c r="B5476" s="123">
        <v>1587987.0</v>
      </c>
      <c r="C5476" s="687" t="s">
        <v>12259</v>
      </c>
      <c r="D5476" s="125"/>
    </row>
    <row r="5477">
      <c r="A5477" s="122" t="s">
        <v>9480</v>
      </c>
      <c r="B5477" s="123">
        <v>1587987.0</v>
      </c>
      <c r="C5477" s="687" t="s">
        <v>9481</v>
      </c>
      <c r="D5477" s="125"/>
    </row>
    <row r="5478">
      <c r="A5478" s="122" t="s">
        <v>7394</v>
      </c>
      <c r="B5478" s="123">
        <v>1713930.0</v>
      </c>
      <c r="C5478" s="687" t="s">
        <v>7395</v>
      </c>
      <c r="D5478" s="125"/>
    </row>
    <row r="5479">
      <c r="A5479" s="122" t="s">
        <v>2753</v>
      </c>
      <c r="B5479" s="123">
        <v>1527352.0</v>
      </c>
      <c r="C5479" s="687" t="s">
        <v>2754</v>
      </c>
      <c r="D5479" s="125"/>
    </row>
    <row r="5480">
      <c r="A5480" s="122" t="s">
        <v>2809</v>
      </c>
      <c r="B5480" s="123">
        <v>1468929.0</v>
      </c>
      <c r="C5480" s="687" t="s">
        <v>2810</v>
      </c>
      <c r="D5480" s="125"/>
    </row>
    <row r="5481">
      <c r="A5481" s="122" t="s">
        <v>7709</v>
      </c>
      <c r="B5481" s="123">
        <v>1698535.0</v>
      </c>
      <c r="C5481" s="687" t="s">
        <v>7710</v>
      </c>
      <c r="D5481" s="125"/>
    </row>
    <row r="5482">
      <c r="A5482" s="122" t="s">
        <v>1081</v>
      </c>
      <c r="B5482" s="123">
        <v>1625288.0</v>
      </c>
      <c r="C5482" s="687" t="s">
        <v>1082</v>
      </c>
      <c r="D5482" s="125"/>
    </row>
    <row r="5483">
      <c r="A5483" s="122" t="s">
        <v>9778</v>
      </c>
      <c r="B5483" s="123">
        <v>1538210.0</v>
      </c>
      <c r="C5483" s="687" t="s">
        <v>9779</v>
      </c>
      <c r="D5483" s="125"/>
    </row>
    <row r="5484">
      <c r="A5484" s="122" t="s">
        <v>7273</v>
      </c>
      <c r="B5484" s="123">
        <v>1356115.0</v>
      </c>
      <c r="C5484" s="687" t="s">
        <v>7274</v>
      </c>
      <c r="D5484" s="125"/>
    </row>
    <row r="5485">
      <c r="A5485" s="122" t="s">
        <v>12950</v>
      </c>
      <c r="B5485" s="123">
        <v>1620393.0</v>
      </c>
      <c r="C5485" s="687" t="s">
        <v>12951</v>
      </c>
      <c r="D5485" s="125"/>
    </row>
    <row r="5486">
      <c r="A5486" s="122" t="s">
        <v>16043</v>
      </c>
      <c r="B5486" s="123">
        <v>1142417.0</v>
      </c>
      <c r="C5486" s="687" t="s">
        <v>16044</v>
      </c>
      <c r="D5486" s="125"/>
    </row>
    <row r="5487">
      <c r="A5487" s="122" t="s">
        <v>2045</v>
      </c>
      <c r="B5487" s="123">
        <v>1811530.0</v>
      </c>
      <c r="C5487" s="687" t="s">
        <v>2046</v>
      </c>
      <c r="D5487" s="125"/>
    </row>
    <row r="5488">
      <c r="A5488" s="122" t="s">
        <v>6317</v>
      </c>
      <c r="B5488" s="123">
        <v>1657045.0</v>
      </c>
      <c r="C5488" s="687" t="s">
        <v>6318</v>
      </c>
      <c r="D5488" s="125"/>
    </row>
    <row r="5489">
      <c r="A5489" s="122" t="s">
        <v>4120</v>
      </c>
      <c r="B5489" s="123">
        <v>1661059.0</v>
      </c>
      <c r="C5489" s="687" t="s">
        <v>4121</v>
      </c>
      <c r="D5489" s="125"/>
    </row>
    <row r="5490">
      <c r="A5490" s="122" t="s">
        <v>6565</v>
      </c>
      <c r="B5490" s="123">
        <v>1612720.0</v>
      </c>
      <c r="C5490" s="687" t="s">
        <v>6566</v>
      </c>
      <c r="D5490" s="125"/>
    </row>
    <row r="5491">
      <c r="A5491" s="122" t="s">
        <v>4507</v>
      </c>
      <c r="B5491" s="123">
        <v>1846069.0</v>
      </c>
      <c r="C5491" s="687" t="s">
        <v>4508</v>
      </c>
      <c r="D5491" s="125"/>
    </row>
    <row r="5492">
      <c r="A5492" s="122" t="s">
        <v>2075</v>
      </c>
      <c r="B5492" s="123">
        <v>1737270.0</v>
      </c>
      <c r="C5492" s="687" t="s">
        <v>2076</v>
      </c>
      <c r="D5492" s="125"/>
    </row>
    <row r="5493">
      <c r="A5493" s="122" t="s">
        <v>2364</v>
      </c>
      <c r="B5493" s="123">
        <v>1737270.0</v>
      </c>
      <c r="C5493" s="687" t="s">
        <v>2076</v>
      </c>
      <c r="D5493" s="125"/>
    </row>
    <row r="5494">
      <c r="A5494" s="122" t="s">
        <v>14377</v>
      </c>
      <c r="B5494" s="123">
        <v>753308.0</v>
      </c>
      <c r="C5494" s="687" t="s">
        <v>14378</v>
      </c>
      <c r="D5494" s="125"/>
    </row>
    <row r="5495">
      <c r="A5495" s="122" t="s">
        <v>12820</v>
      </c>
      <c r="B5495" s="123">
        <v>1603145.0</v>
      </c>
      <c r="C5495" s="687" t="s">
        <v>12821</v>
      </c>
      <c r="D5495" s="125"/>
    </row>
    <row r="5496">
      <c r="A5496" s="122" t="s">
        <v>33959</v>
      </c>
      <c r="B5496" s="123">
        <v>1088005.0</v>
      </c>
      <c r="C5496" s="687" t="s">
        <v>33960</v>
      </c>
      <c r="D5496" s="125"/>
    </row>
    <row r="5497">
      <c r="A5497" s="122" t="s">
        <v>3883</v>
      </c>
      <c r="B5497" s="123">
        <v>1865631.0</v>
      </c>
      <c r="C5497" s="687" t="s">
        <v>3884</v>
      </c>
      <c r="D5497" s="125"/>
    </row>
    <row r="5498">
      <c r="A5498" s="122" t="s">
        <v>6129</v>
      </c>
      <c r="B5498" s="123">
        <v>1865631.0</v>
      </c>
      <c r="C5498" s="687" t="s">
        <v>6130</v>
      </c>
      <c r="D5498" s="125"/>
    </row>
    <row r="5499">
      <c r="A5499" s="122" t="s">
        <v>2725</v>
      </c>
      <c r="B5499" s="123">
        <v>1058307.0</v>
      </c>
      <c r="C5499" s="687" t="s">
        <v>2726</v>
      </c>
      <c r="D5499" s="125"/>
    </row>
    <row r="5500">
      <c r="A5500" s="122" t="s">
        <v>4375</v>
      </c>
      <c r="B5500" s="123">
        <v>1058307.0</v>
      </c>
      <c r="C5500" s="687" t="s">
        <v>4376</v>
      </c>
      <c r="D5500" s="125"/>
    </row>
    <row r="5501">
      <c r="A5501" s="122" t="s">
        <v>4110</v>
      </c>
      <c r="B5501" s="123">
        <v>1372183.0</v>
      </c>
      <c r="C5501" s="687" t="s">
        <v>4111</v>
      </c>
      <c r="D5501" s="125"/>
    </row>
    <row r="5502">
      <c r="A5502" s="122" t="s">
        <v>3301</v>
      </c>
      <c r="B5502" s="123">
        <v>1302084.0</v>
      </c>
      <c r="C5502" s="687" t="s">
        <v>3302</v>
      </c>
      <c r="D5502" s="125"/>
    </row>
    <row r="5503">
      <c r="A5503" s="122" t="s">
        <v>1928</v>
      </c>
      <c r="B5503" s="123">
        <v>1544400.0</v>
      </c>
      <c r="C5503" s="687" t="s">
        <v>1929</v>
      </c>
      <c r="D5503" s="125"/>
    </row>
    <row r="5504">
      <c r="A5504" s="122" t="s">
        <v>6941</v>
      </c>
      <c r="B5504" s="123">
        <v>1504461.0</v>
      </c>
      <c r="C5504" s="687" t="s">
        <v>6942</v>
      </c>
      <c r="D5504" s="125"/>
    </row>
    <row r="5505">
      <c r="A5505" s="122" t="s">
        <v>4341</v>
      </c>
      <c r="B5505" s="123">
        <v>1426332.0</v>
      </c>
      <c r="C5505" s="687" t="s">
        <v>4342</v>
      </c>
      <c r="D5505" s="125"/>
    </row>
    <row r="5506">
      <c r="A5506" s="122" t="s">
        <v>10019</v>
      </c>
      <c r="B5506" s="123">
        <v>1681206.0</v>
      </c>
      <c r="C5506" s="687" t="s">
        <v>10020</v>
      </c>
      <c r="D5506" s="125"/>
    </row>
    <row r="5507">
      <c r="A5507" s="122" t="s">
        <v>15888</v>
      </c>
      <c r="B5507" s="123">
        <v>1003935.0</v>
      </c>
      <c r="C5507" s="687" t="s">
        <v>15889</v>
      </c>
      <c r="D5507" s="125"/>
    </row>
    <row r="5508">
      <c r="A5508" s="122" t="s">
        <v>16199</v>
      </c>
      <c r="B5508" s="123">
        <v>1003935.0</v>
      </c>
      <c r="C5508" s="687" t="s">
        <v>15889</v>
      </c>
      <c r="D5508" s="125"/>
    </row>
    <row r="5509">
      <c r="A5509" s="122" t="s">
        <v>7355</v>
      </c>
      <c r="B5509" s="123">
        <v>1000045.0</v>
      </c>
      <c r="C5509" s="687" t="s">
        <v>7356</v>
      </c>
      <c r="D5509" s="125"/>
    </row>
    <row r="5510">
      <c r="A5510" s="122" t="s">
        <v>14906</v>
      </c>
      <c r="B5510" s="123">
        <v>1174850.0</v>
      </c>
      <c r="C5510" s="687" t="s">
        <v>14907</v>
      </c>
      <c r="D5510" s="125"/>
    </row>
    <row r="5511">
      <c r="A5511" s="122" t="s">
        <v>13120</v>
      </c>
      <c r="B5511" s="123">
        <v>312070.0</v>
      </c>
      <c r="C5511" s="687" t="s">
        <v>13121</v>
      </c>
      <c r="D5511" s="125"/>
    </row>
    <row r="5512">
      <c r="A5512" s="122" t="s">
        <v>846</v>
      </c>
      <c r="B5512" s="123">
        <v>1593001.0</v>
      </c>
      <c r="C5512" s="687" t="s">
        <v>847</v>
      </c>
      <c r="D5512" s="125"/>
    </row>
    <row r="5513">
      <c r="A5513" s="122" t="s">
        <v>2757</v>
      </c>
      <c r="B5513" s="123">
        <v>1476963.0</v>
      </c>
      <c r="C5513" s="687" t="s">
        <v>2758</v>
      </c>
      <c r="D5513" s="125"/>
    </row>
    <row r="5514">
      <c r="A5514" s="122" t="s">
        <v>15391</v>
      </c>
      <c r="B5514" s="123">
        <v>320187.0</v>
      </c>
      <c r="C5514" s="687" t="s">
        <v>15392</v>
      </c>
      <c r="D5514" s="125"/>
    </row>
    <row r="5515">
      <c r="A5515" s="122" t="s">
        <v>3407</v>
      </c>
      <c r="B5515" s="123">
        <v>1731289.0</v>
      </c>
      <c r="C5515" s="687" t="s">
        <v>3408</v>
      </c>
      <c r="D5515" s="125"/>
    </row>
    <row r="5516">
      <c r="A5516" s="122" t="s">
        <v>6559</v>
      </c>
      <c r="B5516" s="123">
        <v>1624140.0</v>
      </c>
      <c r="C5516" s="687" t="s">
        <v>6560</v>
      </c>
      <c r="D5516" s="125"/>
    </row>
    <row r="5517">
      <c r="A5517" s="122" t="s">
        <v>5021</v>
      </c>
      <c r="B5517" s="123">
        <v>1532286.0</v>
      </c>
      <c r="C5517" s="687" t="s">
        <v>5022</v>
      </c>
      <c r="D5517" s="125"/>
    </row>
    <row r="5518">
      <c r="A5518" s="122" t="s">
        <v>6815</v>
      </c>
      <c r="B5518" s="123">
        <v>1736541.0</v>
      </c>
      <c r="C5518" s="687" t="s">
        <v>6816</v>
      </c>
      <c r="D5518" s="125"/>
    </row>
    <row r="5519">
      <c r="A5519" s="122" t="s">
        <v>12118</v>
      </c>
      <c r="B5519" s="123">
        <v>1140471.0</v>
      </c>
      <c r="C5519" s="687" t="s">
        <v>12119</v>
      </c>
      <c r="D5519" s="125"/>
    </row>
    <row r="5520">
      <c r="A5520" s="122" t="s">
        <v>7785</v>
      </c>
      <c r="B5520" s="123">
        <v>1140471.0</v>
      </c>
      <c r="C5520" s="687" t="s">
        <v>7786</v>
      </c>
      <c r="D5520" s="125"/>
    </row>
    <row r="5521">
      <c r="A5521" s="122" t="s">
        <v>12387</v>
      </c>
      <c r="B5521" s="123">
        <v>1111711.0</v>
      </c>
      <c r="C5521" s="687" t="s">
        <v>12388</v>
      </c>
      <c r="D5521" s="125"/>
    </row>
    <row r="5522">
      <c r="A5522" s="122" t="s">
        <v>6152</v>
      </c>
      <c r="B5522" s="123">
        <v>1603993.0</v>
      </c>
      <c r="C5522" s="687" t="s">
        <v>6153</v>
      </c>
      <c r="D5522" s="125"/>
    </row>
    <row r="5523">
      <c r="A5523" s="122" t="s">
        <v>33961</v>
      </c>
      <c r="B5523" s="123">
        <v>772263.0</v>
      </c>
      <c r="C5523" s="687" t="s">
        <v>33962</v>
      </c>
      <c r="D5523" s="125"/>
    </row>
    <row r="5524">
      <c r="A5524" s="122" t="s">
        <v>4547</v>
      </c>
      <c r="B5524" s="123">
        <v>1744781.0</v>
      </c>
      <c r="C5524" s="687" t="s">
        <v>4548</v>
      </c>
      <c r="D5524" s="125"/>
    </row>
    <row r="5525">
      <c r="A5525" s="122" t="s">
        <v>8249</v>
      </c>
      <c r="B5525" s="123">
        <v>1787400.0</v>
      </c>
      <c r="C5525" s="687" t="s">
        <v>8250</v>
      </c>
      <c r="D5525" s="125"/>
    </row>
    <row r="5526">
      <c r="A5526" s="122" t="s">
        <v>6655</v>
      </c>
      <c r="B5526" s="123">
        <v>72162.0</v>
      </c>
      <c r="C5526" s="687" t="s">
        <v>6656</v>
      </c>
      <c r="D5526" s="125"/>
    </row>
    <row r="5527">
      <c r="A5527" s="122" t="s">
        <v>9861</v>
      </c>
      <c r="B5527" s="123">
        <v>1124796.0</v>
      </c>
      <c r="C5527" s="687" t="s">
        <v>9862</v>
      </c>
      <c r="D5527" s="125"/>
    </row>
    <row r="5528">
      <c r="A5528" s="122" t="s">
        <v>1529</v>
      </c>
      <c r="B5528" s="123">
        <v>1783036.0</v>
      </c>
      <c r="C5528" s="687" t="s">
        <v>1530</v>
      </c>
      <c r="D5528" s="125"/>
    </row>
    <row r="5529">
      <c r="A5529" s="122" t="s">
        <v>2963</v>
      </c>
      <c r="B5529" s="123">
        <v>1783036.0</v>
      </c>
      <c r="C5529" s="687" t="s">
        <v>2964</v>
      </c>
      <c r="D5529" s="125"/>
    </row>
    <row r="5530">
      <c r="A5530" s="122" t="s">
        <v>12915</v>
      </c>
      <c r="B5530" s="123">
        <v>1547903.0</v>
      </c>
      <c r="C5530" s="687" t="s">
        <v>12916</v>
      </c>
      <c r="D5530" s="125"/>
    </row>
    <row r="5531">
      <c r="A5531" s="122" t="s">
        <v>6524</v>
      </c>
      <c r="B5531" s="123">
        <v>918541.0</v>
      </c>
      <c r="C5531" s="687" t="s">
        <v>6525</v>
      </c>
      <c r="D5531" s="125"/>
    </row>
    <row r="5532">
      <c r="A5532" s="122" t="s">
        <v>13619</v>
      </c>
      <c r="B5532" s="123">
        <v>751364.0</v>
      </c>
      <c r="C5532" s="687" t="s">
        <v>13620</v>
      </c>
      <c r="D5532" s="125"/>
    </row>
    <row r="5533">
      <c r="A5533" s="122" t="s">
        <v>9576</v>
      </c>
      <c r="B5533" s="123">
        <v>1499543.0</v>
      </c>
      <c r="C5533" s="687" t="s">
        <v>9577</v>
      </c>
      <c r="D5533" s="125"/>
    </row>
    <row r="5534">
      <c r="A5534" s="122" t="s">
        <v>13186</v>
      </c>
      <c r="B5534" s="123">
        <v>72205.0</v>
      </c>
      <c r="C5534" s="687" t="s">
        <v>13187</v>
      </c>
      <c r="D5534" s="125"/>
    </row>
    <row r="5535">
      <c r="A5535" s="122" t="s">
        <v>3504</v>
      </c>
      <c r="B5535" s="123">
        <v>1458891.0</v>
      </c>
      <c r="C5535" s="687" t="s">
        <v>3505</v>
      </c>
      <c r="D5535" s="125"/>
    </row>
    <row r="5536">
      <c r="A5536" s="122" t="s">
        <v>13766</v>
      </c>
      <c r="B5536" s="123">
        <v>1458891.0</v>
      </c>
      <c r="C5536" s="687" t="s">
        <v>13767</v>
      </c>
      <c r="D5536" s="125"/>
    </row>
    <row r="5537">
      <c r="A5537" s="122" t="s">
        <v>2622</v>
      </c>
      <c r="B5537" s="123">
        <v>709005.0</v>
      </c>
      <c r="C5537" s="687" t="s">
        <v>2623</v>
      </c>
      <c r="D5537" s="125"/>
    </row>
    <row r="5538">
      <c r="A5538" s="122" t="s">
        <v>3763</v>
      </c>
      <c r="B5538" s="123">
        <v>1756180.0</v>
      </c>
      <c r="C5538" s="687" t="s">
        <v>3764</v>
      </c>
      <c r="D5538" s="125"/>
    </row>
    <row r="5539">
      <c r="A5539" s="122" t="s">
        <v>5851</v>
      </c>
      <c r="B5539" s="123">
        <v>888981.0</v>
      </c>
      <c r="C5539" s="687" t="s">
        <v>5852</v>
      </c>
      <c r="D5539" s="125"/>
    </row>
    <row r="5540">
      <c r="A5540" s="122" t="s">
        <v>9061</v>
      </c>
      <c r="B5540" s="123">
        <v>1837344.0</v>
      </c>
      <c r="C5540" s="687" t="s">
        <v>9062</v>
      </c>
      <c r="D5540" s="125"/>
    </row>
    <row r="5541">
      <c r="A5541" s="122" t="s">
        <v>9425</v>
      </c>
      <c r="B5541" s="123">
        <v>1837344.0</v>
      </c>
      <c r="C5541" s="687" t="s">
        <v>9426</v>
      </c>
      <c r="D5541" s="125"/>
    </row>
    <row r="5542">
      <c r="A5542" s="122" t="s">
        <v>5828</v>
      </c>
      <c r="B5542" s="123">
        <v>924613.0</v>
      </c>
      <c r="C5542" s="687" t="s">
        <v>5829</v>
      </c>
      <c r="D5542" s="125"/>
    </row>
    <row r="5543">
      <c r="A5543" s="122" t="s">
        <v>5861</v>
      </c>
      <c r="B5543" s="123">
        <v>924613.0</v>
      </c>
      <c r="C5543" s="687" t="s">
        <v>5829</v>
      </c>
      <c r="D5543" s="125"/>
    </row>
    <row r="5544">
      <c r="A5544" s="122" t="s">
        <v>11079</v>
      </c>
      <c r="B5544" s="123">
        <v>1651717.0</v>
      </c>
      <c r="C5544" s="687" t="s">
        <v>11080</v>
      </c>
      <c r="D5544" s="125"/>
    </row>
    <row r="5545">
      <c r="A5545" s="122" t="s">
        <v>6772</v>
      </c>
      <c r="B5545" s="123">
        <v>1163653.0</v>
      </c>
      <c r="C5545" s="687" t="s">
        <v>6626</v>
      </c>
      <c r="D5545" s="125"/>
    </row>
    <row r="5546">
      <c r="A5546" s="122" t="s">
        <v>6625</v>
      </c>
      <c r="B5546" s="123">
        <v>1163653.0</v>
      </c>
      <c r="C5546" s="687" t="s">
        <v>6626</v>
      </c>
      <c r="D5546" s="125"/>
    </row>
    <row r="5547">
      <c r="A5547" s="122" t="s">
        <v>878</v>
      </c>
      <c r="B5547" s="123">
        <v>720762.0</v>
      </c>
      <c r="C5547" s="687" t="s">
        <v>879</v>
      </c>
      <c r="D5547" s="125"/>
    </row>
    <row r="5548">
      <c r="A5548" s="122" t="s">
        <v>5177</v>
      </c>
      <c r="B5548" s="123">
        <v>1275158.0</v>
      </c>
      <c r="C5548" s="687" t="s">
        <v>5178</v>
      </c>
      <c r="D5548" s="125"/>
    </row>
    <row r="5549">
      <c r="A5549" s="122" t="s">
        <v>16350</v>
      </c>
      <c r="B5549" s="123">
        <v>72331.0</v>
      </c>
      <c r="C5549" s="687" t="s">
        <v>16351</v>
      </c>
      <c r="D5549" s="125"/>
    </row>
    <row r="5550">
      <c r="A5550" s="122" t="s">
        <v>11067</v>
      </c>
      <c r="B5550" s="123">
        <v>72333.0</v>
      </c>
      <c r="C5550" s="687" t="s">
        <v>11068</v>
      </c>
      <c r="D5550" s="125"/>
    </row>
    <row r="5551">
      <c r="A5551" s="122" t="s">
        <v>16339</v>
      </c>
      <c r="B5551" s="123">
        <v>702165.0</v>
      </c>
      <c r="C5551" s="687" t="s">
        <v>16340</v>
      </c>
      <c r="D5551" s="125"/>
    </row>
    <row r="5552">
      <c r="A5552" s="122" t="s">
        <v>1513</v>
      </c>
      <c r="B5552" s="123">
        <v>1603793.0</v>
      </c>
      <c r="C5552" s="687" t="s">
        <v>1514</v>
      </c>
      <c r="D5552" s="125"/>
    </row>
    <row r="5553">
      <c r="A5553" s="122" t="s">
        <v>33963</v>
      </c>
      <c r="B5553" s="123">
        <v>1409253.0</v>
      </c>
      <c r="C5553" s="687" t="s">
        <v>33964</v>
      </c>
      <c r="D5553" s="125"/>
    </row>
    <row r="5554">
      <c r="A5554" s="122" t="s">
        <v>11839</v>
      </c>
      <c r="B5554" s="123">
        <v>1368519.0</v>
      </c>
      <c r="C5554" s="687" t="s">
        <v>11840</v>
      </c>
      <c r="D5554" s="125"/>
    </row>
    <row r="5555">
      <c r="A5555" s="122" t="s">
        <v>6541</v>
      </c>
      <c r="B5555" s="123">
        <v>72633.0</v>
      </c>
      <c r="C5555" s="687" t="s">
        <v>6542</v>
      </c>
      <c r="D5555" s="125"/>
    </row>
    <row r="5556">
      <c r="A5556" s="122" t="s">
        <v>10812</v>
      </c>
      <c r="B5556" s="123">
        <v>1847398.0</v>
      </c>
      <c r="C5556" s="687" t="s">
        <v>10813</v>
      </c>
      <c r="D5556" s="125"/>
    </row>
    <row r="5557">
      <c r="A5557" s="122" t="s">
        <v>2241</v>
      </c>
      <c r="B5557" s="123">
        <v>1843249.0</v>
      </c>
      <c r="C5557" s="687" t="s">
        <v>2242</v>
      </c>
      <c r="D5557" s="125"/>
    </row>
    <row r="5558">
      <c r="A5558" s="122" t="s">
        <v>1982</v>
      </c>
      <c r="B5558" s="123">
        <v>1415744.0</v>
      </c>
      <c r="C5558" s="687" t="s">
        <v>1983</v>
      </c>
      <c r="D5558" s="125"/>
    </row>
    <row r="5559">
      <c r="A5559" s="122" t="s">
        <v>12999</v>
      </c>
      <c r="B5559" s="123">
        <v>1104485.0</v>
      </c>
      <c r="C5559" s="687" t="s">
        <v>13000</v>
      </c>
      <c r="D5559" s="125"/>
    </row>
    <row r="5560">
      <c r="A5560" s="122" t="s">
        <v>9069</v>
      </c>
      <c r="B5560" s="123">
        <v>1831964.0</v>
      </c>
      <c r="C5560" s="687" t="s">
        <v>1170</v>
      </c>
      <c r="D5560" s="125"/>
    </row>
    <row r="5561">
      <c r="A5561" s="122" t="s">
        <v>1169</v>
      </c>
      <c r="B5561" s="123">
        <v>1831964.0</v>
      </c>
      <c r="C5561" s="687" t="s">
        <v>1170</v>
      </c>
      <c r="D5561" s="125"/>
    </row>
    <row r="5562">
      <c r="A5562" s="122" t="s">
        <v>8982</v>
      </c>
      <c r="B5562" s="123">
        <v>1831964.0</v>
      </c>
      <c r="C5562" s="687" t="s">
        <v>8983</v>
      </c>
      <c r="D5562" s="125"/>
    </row>
    <row r="5563">
      <c r="A5563" s="122" t="s">
        <v>8349</v>
      </c>
      <c r="B5563" s="123">
        <v>1834518.0</v>
      </c>
      <c r="C5563" s="687" t="s">
        <v>8350</v>
      </c>
      <c r="D5563" s="125"/>
    </row>
    <row r="5564">
      <c r="A5564" s="122" t="s">
        <v>8590</v>
      </c>
      <c r="B5564" s="123">
        <v>1835817.0</v>
      </c>
      <c r="C5564" s="687" t="s">
        <v>8591</v>
      </c>
      <c r="D5564" s="125"/>
    </row>
    <row r="5565">
      <c r="A5565" s="122" t="s">
        <v>8620</v>
      </c>
      <c r="B5565" s="123">
        <v>1835814.0</v>
      </c>
      <c r="C5565" s="687" t="s">
        <v>8621</v>
      </c>
      <c r="D5565" s="125"/>
    </row>
    <row r="5566">
      <c r="A5566" s="122" t="s">
        <v>9911</v>
      </c>
      <c r="B5566" s="123">
        <v>875582.0</v>
      </c>
      <c r="C5566" s="687" t="s">
        <v>9912</v>
      </c>
      <c r="D5566" s="125"/>
    </row>
    <row r="5567">
      <c r="A5567" s="122" t="s">
        <v>15010</v>
      </c>
      <c r="B5567" s="123">
        <v>73124.0</v>
      </c>
      <c r="C5567" s="687" t="s">
        <v>15011</v>
      </c>
      <c r="D5567" s="125"/>
    </row>
    <row r="5568">
      <c r="A5568" s="122" t="s">
        <v>11841</v>
      </c>
      <c r="B5568" s="123">
        <v>73124.0</v>
      </c>
      <c r="C5568" s="687" t="s">
        <v>11842</v>
      </c>
      <c r="D5568" s="125"/>
    </row>
    <row r="5569">
      <c r="A5569" s="122" t="s">
        <v>9415</v>
      </c>
      <c r="B5569" s="123">
        <v>1493225.0</v>
      </c>
      <c r="C5569" s="687" t="s">
        <v>9416</v>
      </c>
      <c r="D5569" s="125"/>
    </row>
    <row r="5570">
      <c r="A5570" s="122" t="s">
        <v>14035</v>
      </c>
      <c r="B5570" s="123">
        <v>1163370.0</v>
      </c>
      <c r="C5570" s="687" t="s">
        <v>14036</v>
      </c>
      <c r="D5570" s="125"/>
    </row>
    <row r="5571">
      <c r="A5571" s="122" t="s">
        <v>16562</v>
      </c>
      <c r="B5571" s="123">
        <v>1133421.0</v>
      </c>
      <c r="C5571" s="687" t="s">
        <v>16563</v>
      </c>
      <c r="D5571" s="125"/>
    </row>
    <row r="5572">
      <c r="A5572" s="122" t="s">
        <v>33965</v>
      </c>
      <c r="B5572" s="123">
        <v>1045707.0</v>
      </c>
      <c r="C5572" s="687" t="s">
        <v>33966</v>
      </c>
      <c r="D5572" s="125"/>
    </row>
    <row r="5573">
      <c r="A5573" s="122" t="s">
        <v>3652</v>
      </c>
      <c r="B5573" s="123">
        <v>1503707.0</v>
      </c>
      <c r="C5573" s="687" t="s">
        <v>3653</v>
      </c>
      <c r="D5573" s="125"/>
    </row>
    <row r="5574">
      <c r="A5574" s="122" t="s">
        <v>11901</v>
      </c>
      <c r="B5574" s="123">
        <v>1281189.0</v>
      </c>
      <c r="C5574" s="687" t="s">
        <v>11902</v>
      </c>
      <c r="D5574" s="125"/>
    </row>
    <row r="5575">
      <c r="A5575" s="122" t="s">
        <v>9220</v>
      </c>
      <c r="B5575" s="123">
        <v>1859807.0</v>
      </c>
      <c r="C5575" s="687" t="s">
        <v>9221</v>
      </c>
      <c r="D5575" s="125"/>
    </row>
    <row r="5576">
      <c r="A5576" s="122" t="s">
        <v>9624</v>
      </c>
      <c r="B5576" s="123">
        <v>1471265.0</v>
      </c>
      <c r="C5576" s="687" t="s">
        <v>9625</v>
      </c>
      <c r="D5576" s="125"/>
    </row>
    <row r="5577">
      <c r="A5577" s="122" t="s">
        <v>3113</v>
      </c>
      <c r="B5577" s="123">
        <v>1072379.0</v>
      </c>
      <c r="C5577" s="687" t="s">
        <v>3114</v>
      </c>
      <c r="D5577" s="125"/>
    </row>
    <row r="5578">
      <c r="A5578" s="122" t="s">
        <v>13391</v>
      </c>
      <c r="B5578" s="123">
        <v>1733998.0</v>
      </c>
      <c r="C5578" s="687" t="s">
        <v>13392</v>
      </c>
      <c r="D5578" s="125"/>
    </row>
    <row r="5579">
      <c r="A5579" s="122" t="s">
        <v>12816</v>
      </c>
      <c r="B5579" s="123">
        <v>1001385.0</v>
      </c>
      <c r="C5579" s="687" t="s">
        <v>12817</v>
      </c>
      <c r="D5579" s="125"/>
    </row>
    <row r="5580">
      <c r="A5580" s="122" t="s">
        <v>14001</v>
      </c>
      <c r="B5580" s="123">
        <v>73088.0</v>
      </c>
      <c r="C5580" s="687" t="s">
        <v>14002</v>
      </c>
      <c r="D5580" s="125"/>
    </row>
    <row r="5581">
      <c r="A5581" s="122" t="s">
        <v>10988</v>
      </c>
      <c r="B5581" s="123">
        <v>1513761.0</v>
      </c>
      <c r="C5581" s="687" t="s">
        <v>10989</v>
      </c>
      <c r="D5581" s="125"/>
    </row>
    <row r="5582">
      <c r="A5582" s="122" t="s">
        <v>12686</v>
      </c>
      <c r="B5582" s="123">
        <v>1013272.0</v>
      </c>
      <c r="C5582" s="687" t="s">
        <v>12687</v>
      </c>
      <c r="D5582" s="125"/>
    </row>
    <row r="5583">
      <c r="A5583" s="122" t="s">
        <v>4868</v>
      </c>
      <c r="B5583" s="123">
        <v>1649752.0</v>
      </c>
      <c r="C5583" s="687" t="s">
        <v>4869</v>
      </c>
      <c r="D5583" s="125"/>
    </row>
    <row r="5584">
      <c r="A5584" s="122" t="s">
        <v>10959</v>
      </c>
      <c r="B5584" s="123">
        <v>1021860.0</v>
      </c>
      <c r="C5584" s="687" t="s">
        <v>10960</v>
      </c>
      <c r="D5584" s="125"/>
    </row>
    <row r="5585">
      <c r="A5585" s="122" t="s">
        <v>4908</v>
      </c>
      <c r="B5585" s="123">
        <v>1473334.0</v>
      </c>
      <c r="C5585" s="687" t="s">
        <v>4909</v>
      </c>
      <c r="D5585" s="125"/>
    </row>
    <row r="5586">
      <c r="A5586" s="122" t="s">
        <v>15865</v>
      </c>
      <c r="B5586" s="123">
        <v>1109345.0</v>
      </c>
      <c r="C5586" s="687" t="s">
        <v>15866</v>
      </c>
      <c r="D5586" s="125"/>
    </row>
    <row r="5587">
      <c r="A5587" s="122" t="s">
        <v>713</v>
      </c>
      <c r="B5587" s="123">
        <v>1858028.0</v>
      </c>
      <c r="C5587" s="687" t="s">
        <v>714</v>
      </c>
      <c r="D5587" s="125"/>
    </row>
    <row r="5588">
      <c r="A5588" s="122" t="s">
        <v>9423</v>
      </c>
      <c r="B5588" s="123">
        <v>1858028.0</v>
      </c>
      <c r="C5588" s="687" t="s">
        <v>9424</v>
      </c>
      <c r="D5588" s="125"/>
    </row>
    <row r="5589">
      <c r="A5589" s="122" t="s">
        <v>9487</v>
      </c>
      <c r="B5589" s="123">
        <v>1858028.0</v>
      </c>
      <c r="C5589" s="687" t="s">
        <v>9488</v>
      </c>
      <c r="D5589" s="125"/>
    </row>
    <row r="5590">
      <c r="A5590" s="122" t="s">
        <v>2107</v>
      </c>
      <c r="B5590" s="123">
        <v>1389545.0</v>
      </c>
      <c r="C5590" s="687" t="s">
        <v>2108</v>
      </c>
      <c r="D5590" s="125"/>
    </row>
    <row r="5591">
      <c r="A5591" s="122" t="s">
        <v>812</v>
      </c>
      <c r="B5591" s="123">
        <v>1039466.0</v>
      </c>
      <c r="C5591" s="687" t="s">
        <v>813</v>
      </c>
      <c r="D5591" s="125"/>
    </row>
    <row r="5592">
      <c r="A5592" s="122" t="s">
        <v>33967</v>
      </c>
      <c r="B5592" s="123">
        <v>1089297.0</v>
      </c>
      <c r="C5592" s="687" t="s">
        <v>33968</v>
      </c>
      <c r="D5592" s="125"/>
    </row>
    <row r="5593">
      <c r="A5593" s="122" t="s">
        <v>5185</v>
      </c>
      <c r="B5593" s="123">
        <v>1173420.0</v>
      </c>
      <c r="C5593" s="687" t="s">
        <v>5186</v>
      </c>
      <c r="D5593" s="125"/>
    </row>
    <row r="5594">
      <c r="A5594" s="122" t="s">
        <v>15932</v>
      </c>
      <c r="B5594" s="123">
        <v>1076930.0</v>
      </c>
      <c r="C5594" s="687" t="s">
        <v>15933</v>
      </c>
      <c r="D5594" s="125"/>
    </row>
    <row r="5595">
      <c r="A5595" s="122" t="s">
        <v>15208</v>
      </c>
      <c r="B5595" s="123">
        <v>1467154.0</v>
      </c>
      <c r="C5595" s="687" t="s">
        <v>15209</v>
      </c>
      <c r="D5595" s="125"/>
    </row>
    <row r="5596">
      <c r="A5596" s="122" t="s">
        <v>15451</v>
      </c>
      <c r="B5596" s="123">
        <v>1114448.0</v>
      </c>
      <c r="C5596" s="687" t="s">
        <v>15209</v>
      </c>
      <c r="D5596" s="125"/>
    </row>
    <row r="5597">
      <c r="A5597" s="122" t="s">
        <v>15463</v>
      </c>
      <c r="B5597" s="123">
        <v>1114448.0</v>
      </c>
      <c r="C5597" s="687" t="s">
        <v>15209</v>
      </c>
      <c r="D5597" s="125"/>
    </row>
    <row r="5598">
      <c r="A5598" s="122" t="s">
        <v>6024</v>
      </c>
      <c r="B5598" s="123">
        <v>1000694.0</v>
      </c>
      <c r="C5598" s="687" t="s">
        <v>6025</v>
      </c>
      <c r="D5598" s="125"/>
    </row>
    <row r="5599">
      <c r="A5599" s="122" t="s">
        <v>1680</v>
      </c>
      <c r="B5599" s="123">
        <v>912544.0</v>
      </c>
      <c r="C5599" s="687" t="s">
        <v>1681</v>
      </c>
      <c r="D5599" s="125"/>
    </row>
    <row r="5600">
      <c r="A5600" s="122" t="s">
        <v>3470</v>
      </c>
      <c r="B5600" s="123">
        <v>1138978.0</v>
      </c>
      <c r="C5600" s="687" t="s">
        <v>3471</v>
      </c>
      <c r="D5600" s="125"/>
    </row>
    <row r="5601">
      <c r="A5601" s="122" t="s">
        <v>15543</v>
      </c>
      <c r="B5601" s="123">
        <v>353278.0</v>
      </c>
      <c r="C5601" s="687" t="s">
        <v>15544</v>
      </c>
      <c r="D5601" s="125"/>
    </row>
    <row r="5602">
      <c r="A5602" s="122" t="s">
        <v>15556</v>
      </c>
      <c r="B5602" s="123">
        <v>353278.0</v>
      </c>
      <c r="C5602" s="687" t="s">
        <v>15544</v>
      </c>
      <c r="D5602" s="125"/>
    </row>
    <row r="5603">
      <c r="A5603" s="122" t="s">
        <v>1944</v>
      </c>
      <c r="B5603" s="123">
        <v>1536674.0</v>
      </c>
      <c r="C5603" s="687" t="s">
        <v>1945</v>
      </c>
      <c r="D5603" s="125"/>
    </row>
    <row r="5604">
      <c r="A5604" s="122" t="s">
        <v>10219</v>
      </c>
      <c r="B5604" s="123">
        <v>1645113.0</v>
      </c>
      <c r="C5604" s="687" t="s">
        <v>10220</v>
      </c>
      <c r="D5604" s="125"/>
    </row>
    <row r="5605">
      <c r="A5605" s="122" t="s">
        <v>4321</v>
      </c>
      <c r="B5605" s="123">
        <v>1859795.0</v>
      </c>
      <c r="C5605" s="687" t="s">
        <v>4322</v>
      </c>
      <c r="D5605" s="125"/>
    </row>
    <row r="5606">
      <c r="A5606" s="122" t="s">
        <v>2731</v>
      </c>
      <c r="B5606" s="123">
        <v>1859795.0</v>
      </c>
      <c r="C5606" s="687" t="s">
        <v>2732</v>
      </c>
      <c r="D5606" s="125"/>
    </row>
    <row r="5607">
      <c r="A5607" s="122" t="s">
        <v>2347</v>
      </c>
      <c r="B5607" s="123">
        <v>1761911.0</v>
      </c>
      <c r="C5607" s="687" t="s">
        <v>2348</v>
      </c>
      <c r="D5607" s="125"/>
    </row>
    <row r="5608">
      <c r="A5608" s="122" t="s">
        <v>8005</v>
      </c>
      <c r="B5608" s="123">
        <v>1784440.0</v>
      </c>
      <c r="C5608" s="687" t="s">
        <v>8006</v>
      </c>
      <c r="D5608" s="125"/>
    </row>
    <row r="5609">
      <c r="A5609" s="122" t="s">
        <v>14254</v>
      </c>
      <c r="B5609" s="123">
        <v>1013871.0</v>
      </c>
      <c r="C5609" s="687" t="s">
        <v>14255</v>
      </c>
      <c r="D5609" s="125"/>
    </row>
    <row r="5610">
      <c r="A5610" s="122" t="s">
        <v>2043</v>
      </c>
      <c r="B5610" s="123">
        <v>1719406.0</v>
      </c>
      <c r="C5610" s="687" t="s">
        <v>2044</v>
      </c>
      <c r="D5610" s="125"/>
    </row>
    <row r="5611">
      <c r="A5611" s="122" t="s">
        <v>2763</v>
      </c>
      <c r="B5611" s="123">
        <v>1719406.0</v>
      </c>
      <c r="C5611" s="687" t="s">
        <v>2764</v>
      </c>
      <c r="D5611" s="125"/>
    </row>
    <row r="5612">
      <c r="A5612" s="122" t="s">
        <v>8236</v>
      </c>
      <c r="B5612" s="123">
        <v>1881592.0</v>
      </c>
      <c r="C5612" s="687" t="s">
        <v>8237</v>
      </c>
      <c r="D5612" s="125"/>
    </row>
    <row r="5613">
      <c r="A5613" s="122" t="s">
        <v>8146</v>
      </c>
      <c r="B5613" s="123">
        <v>1691493.0</v>
      </c>
      <c r="C5613" s="687" t="s">
        <v>8147</v>
      </c>
      <c r="D5613" s="125"/>
    </row>
    <row r="5614">
      <c r="A5614" s="122" t="s">
        <v>11071</v>
      </c>
      <c r="B5614" s="123">
        <v>1021561.0</v>
      </c>
      <c r="C5614" s="687" t="s">
        <v>11072</v>
      </c>
      <c r="D5614" s="125"/>
    </row>
    <row r="5615">
      <c r="A5615" s="122" t="s">
        <v>1085</v>
      </c>
      <c r="B5615" s="123">
        <v>1543637.0</v>
      </c>
      <c r="C5615" s="687" t="s">
        <v>1086</v>
      </c>
      <c r="D5615" s="125"/>
    </row>
    <row r="5616">
      <c r="A5616" s="122" t="s">
        <v>1998</v>
      </c>
      <c r="B5616" s="123">
        <v>1881551.0</v>
      </c>
      <c r="C5616" s="687" t="s">
        <v>1999</v>
      </c>
      <c r="D5616" s="125"/>
    </row>
    <row r="5617">
      <c r="A5617" s="122" t="s">
        <v>6337</v>
      </c>
      <c r="B5617" s="123">
        <v>1881551.0</v>
      </c>
      <c r="C5617" s="687" t="s">
        <v>6338</v>
      </c>
      <c r="D5617" s="125"/>
    </row>
    <row r="5618">
      <c r="A5618" s="122" t="s">
        <v>6384</v>
      </c>
      <c r="B5618" s="123">
        <v>1881551.0</v>
      </c>
      <c r="C5618" s="687" t="s">
        <v>6385</v>
      </c>
      <c r="D5618" s="125"/>
    </row>
    <row r="5619">
      <c r="A5619" s="122" t="s">
        <v>2566</v>
      </c>
      <c r="B5619" s="123">
        <v>1709626.0</v>
      </c>
      <c r="C5619" s="687" t="s">
        <v>2567</v>
      </c>
      <c r="D5619" s="125"/>
    </row>
    <row r="5620">
      <c r="A5620" s="122" t="s">
        <v>621</v>
      </c>
      <c r="B5620" s="123">
        <v>70866.0</v>
      </c>
      <c r="C5620" s="687" t="s">
        <v>622</v>
      </c>
      <c r="D5620" s="125"/>
    </row>
    <row r="5621">
      <c r="A5621" s="122" t="s">
        <v>16076</v>
      </c>
      <c r="B5621" s="123">
        <v>73309.0</v>
      </c>
      <c r="C5621" s="687" t="s">
        <v>16007</v>
      </c>
      <c r="D5621" s="125"/>
    </row>
    <row r="5622">
      <c r="A5622" s="122" t="s">
        <v>16006</v>
      </c>
      <c r="B5622" s="123">
        <v>878200.0</v>
      </c>
      <c r="C5622" s="687" t="s">
        <v>16007</v>
      </c>
      <c r="D5622" s="125"/>
    </row>
    <row r="5623">
      <c r="A5623" s="122" t="s">
        <v>605</v>
      </c>
      <c r="B5623" s="123">
        <v>1096768.0</v>
      </c>
      <c r="C5623" s="687" t="s">
        <v>606</v>
      </c>
      <c r="D5623" s="125"/>
    </row>
    <row r="5624">
      <c r="A5624" s="122" t="s">
        <v>3522</v>
      </c>
      <c r="B5624" s="123">
        <v>1592782.0</v>
      </c>
      <c r="C5624" s="687" t="s">
        <v>3523</v>
      </c>
      <c r="D5624" s="125"/>
    </row>
    <row r="5625">
      <c r="A5625" s="122" t="s">
        <v>643</v>
      </c>
      <c r="B5625" s="123">
        <v>1502758.0</v>
      </c>
      <c r="C5625" s="687" t="s">
        <v>644</v>
      </c>
      <c r="D5625" s="125"/>
    </row>
    <row r="5626">
      <c r="A5626" s="122" t="s">
        <v>33969</v>
      </c>
      <c r="B5626" s="123">
        <v>886093.0</v>
      </c>
      <c r="C5626" s="687" t="s">
        <v>33970</v>
      </c>
      <c r="D5626" s="125"/>
    </row>
    <row r="5627">
      <c r="A5627" s="122" t="s">
        <v>3171</v>
      </c>
      <c r="B5627" s="123">
        <v>1091596.0</v>
      </c>
      <c r="C5627" s="687" t="s">
        <v>3172</v>
      </c>
      <c r="D5627" s="125"/>
    </row>
    <row r="5628">
      <c r="A5628" s="122" t="s">
        <v>1874</v>
      </c>
      <c r="B5628" s="123">
        <v>1680637.0</v>
      </c>
      <c r="C5628" s="687" t="s">
        <v>1875</v>
      </c>
      <c r="D5628" s="125"/>
    </row>
    <row r="5629">
      <c r="A5629" s="122" t="s">
        <v>7715</v>
      </c>
      <c r="B5629" s="123">
        <v>1549595.0</v>
      </c>
      <c r="C5629" s="687" t="s">
        <v>7716</v>
      </c>
      <c r="D5629" s="125"/>
    </row>
    <row r="5630">
      <c r="A5630" s="122" t="s">
        <v>5634</v>
      </c>
      <c r="B5630" s="123">
        <v>1822966.0</v>
      </c>
      <c r="C5630" s="687" t="s">
        <v>5635</v>
      </c>
      <c r="D5630" s="125"/>
    </row>
    <row r="5631">
      <c r="A5631" s="122" t="s">
        <v>11892</v>
      </c>
      <c r="B5631" s="123">
        <v>1110805.0</v>
      </c>
      <c r="C5631" s="687" t="s">
        <v>11893</v>
      </c>
      <c r="D5631" s="125"/>
    </row>
    <row r="5632">
      <c r="A5632" s="122" t="s">
        <v>12404</v>
      </c>
      <c r="B5632" s="123">
        <v>1110805.0</v>
      </c>
      <c r="C5632" s="687" t="s">
        <v>12405</v>
      </c>
      <c r="D5632" s="125"/>
    </row>
    <row r="5633">
      <c r="A5633" s="122" t="s">
        <v>14369</v>
      </c>
      <c r="B5633" s="123">
        <v>1618732.0</v>
      </c>
      <c r="C5633" s="687" t="s">
        <v>14370</v>
      </c>
      <c r="D5633" s="125"/>
    </row>
    <row r="5634">
      <c r="A5634" s="122" t="s">
        <v>1904</v>
      </c>
      <c r="B5634" s="123">
        <v>1479681.0</v>
      </c>
      <c r="C5634" s="687" t="s">
        <v>1905</v>
      </c>
      <c r="D5634" s="125"/>
    </row>
    <row r="5635">
      <c r="A5635" s="122" t="s">
        <v>33971</v>
      </c>
      <c r="B5635" s="123">
        <v>1119643.0</v>
      </c>
      <c r="C5635" s="687" t="s">
        <v>33972</v>
      </c>
      <c r="D5635" s="125"/>
    </row>
    <row r="5636">
      <c r="A5636" s="122" t="s">
        <v>33973</v>
      </c>
      <c r="B5636" s="123">
        <v>1563463.0</v>
      </c>
      <c r="C5636" s="687" t="s">
        <v>33974</v>
      </c>
      <c r="D5636" s="125"/>
    </row>
    <row r="5637">
      <c r="A5637" s="122" t="s">
        <v>33975</v>
      </c>
      <c r="B5637" s="123">
        <v>1451433.0</v>
      </c>
      <c r="C5637" s="687" t="s">
        <v>33976</v>
      </c>
      <c r="D5637" s="125"/>
    </row>
    <row r="5638">
      <c r="A5638" s="122" t="s">
        <v>2598</v>
      </c>
      <c r="B5638" s="123">
        <v>1676047.0</v>
      </c>
      <c r="C5638" s="687" t="s">
        <v>2599</v>
      </c>
      <c r="D5638" s="125"/>
    </row>
    <row r="5639">
      <c r="A5639" s="122" t="s">
        <v>5378</v>
      </c>
      <c r="B5639" s="123">
        <v>1676047.0</v>
      </c>
      <c r="C5639" s="687" t="s">
        <v>5379</v>
      </c>
      <c r="D5639" s="125"/>
    </row>
    <row r="5640">
      <c r="A5640" s="122" t="s">
        <v>14118</v>
      </c>
      <c r="B5640" s="123">
        <v>1725964.0</v>
      </c>
      <c r="C5640" s="687" t="s">
        <v>14119</v>
      </c>
      <c r="D5640" s="125"/>
    </row>
    <row r="5641">
      <c r="A5641" s="122" t="s">
        <v>14914</v>
      </c>
      <c r="B5641" s="123">
        <v>1861560.0</v>
      </c>
      <c r="C5641" s="687" t="s">
        <v>14915</v>
      </c>
      <c r="D5641" s="125"/>
    </row>
    <row r="5642">
      <c r="A5642" s="122" t="s">
        <v>33977</v>
      </c>
      <c r="B5642" s="123">
        <v>1142596.0</v>
      </c>
      <c r="C5642" s="687" t="s">
        <v>33978</v>
      </c>
      <c r="D5642" s="125"/>
    </row>
    <row r="5643">
      <c r="A5643" s="122" t="s">
        <v>4461</v>
      </c>
      <c r="B5643" s="123">
        <v>1811063.0</v>
      </c>
      <c r="C5643" s="687" t="s">
        <v>4462</v>
      </c>
      <c r="D5643" s="125"/>
    </row>
    <row r="5644">
      <c r="A5644" s="122" t="s">
        <v>7357</v>
      </c>
      <c r="B5644" s="123">
        <v>1875558.0</v>
      </c>
      <c r="C5644" s="687" t="s">
        <v>7358</v>
      </c>
      <c r="D5644" s="125"/>
    </row>
    <row r="5645">
      <c r="A5645" s="122" t="s">
        <v>9604</v>
      </c>
      <c r="B5645" s="123">
        <v>1090116.0</v>
      </c>
      <c r="C5645" s="687" t="s">
        <v>9605</v>
      </c>
      <c r="D5645" s="125"/>
    </row>
    <row r="5646">
      <c r="A5646" s="122" t="s">
        <v>10179</v>
      </c>
      <c r="B5646" s="123">
        <v>1450445.0</v>
      </c>
      <c r="C5646" s="687" t="s">
        <v>10180</v>
      </c>
      <c r="D5646" s="125"/>
    </row>
    <row r="5647">
      <c r="A5647" s="122" t="s">
        <v>9152</v>
      </c>
      <c r="B5647" s="123">
        <v>1195737.0</v>
      </c>
      <c r="C5647" s="687" t="s">
        <v>9153</v>
      </c>
      <c r="D5647" s="125"/>
    </row>
    <row r="5648">
      <c r="A5648" s="122" t="s">
        <v>9977</v>
      </c>
      <c r="B5648" s="123">
        <v>885732.0</v>
      </c>
      <c r="C5648" s="687" t="s">
        <v>9978</v>
      </c>
      <c r="D5648" s="125"/>
    </row>
    <row r="5649">
      <c r="A5649" s="122" t="s">
        <v>9441</v>
      </c>
      <c r="B5649" s="123">
        <v>1195738.0</v>
      </c>
      <c r="C5649" s="687" t="s">
        <v>9442</v>
      </c>
      <c r="D5649" s="125"/>
    </row>
    <row r="5650">
      <c r="A5650" s="122" t="s">
        <v>7997</v>
      </c>
      <c r="B5650" s="123">
        <v>818851.0</v>
      </c>
      <c r="C5650" s="687" t="s">
        <v>7998</v>
      </c>
      <c r="D5650" s="125"/>
    </row>
    <row r="5651">
      <c r="A5651" s="122" t="s">
        <v>9993</v>
      </c>
      <c r="B5651" s="123">
        <v>1385763.0</v>
      </c>
      <c r="C5651" s="687" t="s">
        <v>9994</v>
      </c>
      <c r="D5651" s="125"/>
    </row>
    <row r="5652">
      <c r="A5652" s="122" t="s">
        <v>8562</v>
      </c>
      <c r="B5652" s="123">
        <v>1835068.0</v>
      </c>
      <c r="C5652" s="687" t="s">
        <v>8563</v>
      </c>
      <c r="D5652" s="125"/>
    </row>
    <row r="5653">
      <c r="A5653" s="122" t="s">
        <v>6740</v>
      </c>
      <c r="B5653" s="123">
        <v>1227476.0</v>
      </c>
      <c r="C5653" s="687" t="s">
        <v>6741</v>
      </c>
      <c r="D5653" s="125"/>
    </row>
    <row r="5654">
      <c r="A5654" s="122" t="s">
        <v>10315</v>
      </c>
      <c r="B5654" s="123">
        <v>1608742.0</v>
      </c>
      <c r="C5654" s="687" t="s">
        <v>10316</v>
      </c>
      <c r="D5654" s="125"/>
    </row>
    <row r="5655">
      <c r="A5655" s="122" t="s">
        <v>8622</v>
      </c>
      <c r="B5655" s="123">
        <v>1793129.0</v>
      </c>
      <c r="C5655" s="687" t="s">
        <v>8623</v>
      </c>
      <c r="D5655" s="125"/>
    </row>
    <row r="5656">
      <c r="A5656" s="122" t="s">
        <v>7821</v>
      </c>
      <c r="B5656" s="123">
        <v>1276533.0</v>
      </c>
      <c r="C5656" s="687" t="s">
        <v>7822</v>
      </c>
      <c r="D5656" s="125"/>
    </row>
    <row r="5657">
      <c r="A5657" s="122" t="s">
        <v>9780</v>
      </c>
      <c r="B5657" s="123">
        <v>1615905.0</v>
      </c>
      <c r="C5657" s="687" t="s">
        <v>9781</v>
      </c>
      <c r="D5657" s="125"/>
    </row>
    <row r="5658">
      <c r="A5658" s="122" t="s">
        <v>8694</v>
      </c>
      <c r="B5658" s="123">
        <v>897419.0</v>
      </c>
      <c r="C5658" s="687" t="s">
        <v>8695</v>
      </c>
      <c r="D5658" s="125"/>
    </row>
    <row r="5659">
      <c r="A5659" s="122" t="s">
        <v>9236</v>
      </c>
      <c r="B5659" s="123">
        <v>1607997.0</v>
      </c>
      <c r="C5659" s="687" t="s">
        <v>9237</v>
      </c>
      <c r="D5659" s="125"/>
    </row>
    <row r="5660">
      <c r="A5660" s="122" t="s">
        <v>8452</v>
      </c>
      <c r="B5660" s="123">
        <v>899782.0</v>
      </c>
      <c r="C5660" s="687" t="s">
        <v>8453</v>
      </c>
      <c r="D5660" s="125"/>
    </row>
    <row r="5661">
      <c r="A5661" s="122" t="s">
        <v>10788</v>
      </c>
      <c r="B5661" s="123">
        <v>1472215.0</v>
      </c>
      <c r="C5661" s="687" t="s">
        <v>10789</v>
      </c>
      <c r="D5661" s="125"/>
    </row>
    <row r="5662">
      <c r="A5662" s="122" t="s">
        <v>7025</v>
      </c>
      <c r="B5662" s="123">
        <v>838131.0</v>
      </c>
      <c r="C5662" s="687" t="s">
        <v>7026</v>
      </c>
      <c r="D5662" s="125"/>
    </row>
    <row r="5663">
      <c r="A5663" s="122" t="s">
        <v>9676</v>
      </c>
      <c r="B5663" s="123">
        <v>1861115.0</v>
      </c>
      <c r="C5663" s="687" t="s">
        <v>9677</v>
      </c>
      <c r="D5663" s="125"/>
    </row>
    <row r="5664">
      <c r="A5664" s="122" t="s">
        <v>9585</v>
      </c>
      <c r="B5664" s="123">
        <v>1137887.0</v>
      </c>
      <c r="C5664" s="687" t="s">
        <v>9586</v>
      </c>
      <c r="D5664" s="125"/>
    </row>
    <row r="5665">
      <c r="A5665" s="122" t="s">
        <v>8462</v>
      </c>
      <c r="B5665" s="123">
        <v>1774342.0</v>
      </c>
      <c r="C5665" s="687" t="s">
        <v>8463</v>
      </c>
      <c r="D5665" s="125"/>
    </row>
    <row r="5666">
      <c r="A5666" s="122" t="s">
        <v>8363</v>
      </c>
      <c r="B5666" s="123">
        <v>1266585.0</v>
      </c>
      <c r="C5666" s="687" t="s">
        <v>8364</v>
      </c>
      <c r="D5666" s="125"/>
    </row>
    <row r="5667">
      <c r="A5667" s="122" t="s">
        <v>8150</v>
      </c>
      <c r="B5667" s="123">
        <v>830271.0</v>
      </c>
      <c r="C5667" s="687" t="s">
        <v>8151</v>
      </c>
      <c r="D5667" s="125"/>
    </row>
    <row r="5668">
      <c r="A5668" s="122" t="s">
        <v>7956</v>
      </c>
      <c r="B5668" s="123">
        <v>812801.0</v>
      </c>
      <c r="C5668" s="687" t="s">
        <v>7957</v>
      </c>
      <c r="D5668" s="125"/>
    </row>
    <row r="5669">
      <c r="A5669" s="122" t="s">
        <v>9600</v>
      </c>
      <c r="B5669" s="123">
        <v>1087786.0</v>
      </c>
      <c r="C5669" s="687" t="s">
        <v>9601</v>
      </c>
      <c r="D5669" s="125"/>
    </row>
    <row r="5670">
      <c r="A5670" s="122" t="s">
        <v>8807</v>
      </c>
      <c r="B5670" s="123">
        <v>1195739.0</v>
      </c>
      <c r="C5670" s="687" t="s">
        <v>8808</v>
      </c>
      <c r="D5670" s="125"/>
    </row>
    <row r="5671">
      <c r="A5671" s="122" t="s">
        <v>7836</v>
      </c>
      <c r="B5671" s="123">
        <v>818850.0</v>
      </c>
      <c r="C5671" s="687" t="s">
        <v>7837</v>
      </c>
      <c r="D5671" s="125"/>
    </row>
    <row r="5672">
      <c r="A5672" s="122" t="s">
        <v>9645</v>
      </c>
      <c r="B5672" s="123">
        <v>885731.0</v>
      </c>
      <c r="C5672" s="687" t="s">
        <v>9646</v>
      </c>
      <c r="D5672" s="125"/>
    </row>
    <row r="5673">
      <c r="A5673" s="122" t="s">
        <v>9499</v>
      </c>
      <c r="B5673" s="123">
        <v>870780.0</v>
      </c>
      <c r="C5673" s="687" t="s">
        <v>9500</v>
      </c>
      <c r="D5673" s="125"/>
    </row>
    <row r="5674">
      <c r="A5674" s="122" t="s">
        <v>7414</v>
      </c>
      <c r="B5674" s="123">
        <v>1216583.0</v>
      </c>
      <c r="C5674" s="687" t="s">
        <v>7415</v>
      </c>
      <c r="D5674" s="125"/>
    </row>
    <row r="5675">
      <c r="A5675" s="122" t="s">
        <v>11161</v>
      </c>
      <c r="B5675" s="123">
        <v>1547994.0</v>
      </c>
      <c r="C5675" s="687" t="s">
        <v>11162</v>
      </c>
      <c r="D5675" s="125"/>
    </row>
    <row r="5676">
      <c r="A5676" s="122" t="s">
        <v>9531</v>
      </c>
      <c r="B5676" s="123">
        <v>1539337.0</v>
      </c>
      <c r="C5676" s="687" t="s">
        <v>9532</v>
      </c>
      <c r="D5676" s="125"/>
    </row>
    <row r="5677">
      <c r="A5677" s="122" t="s">
        <v>7501</v>
      </c>
      <c r="B5677" s="123">
        <v>1158289.0</v>
      </c>
      <c r="C5677" s="687" t="s">
        <v>7502</v>
      </c>
      <c r="D5677" s="125"/>
    </row>
    <row r="5678">
      <c r="A5678" s="122" t="s">
        <v>9853</v>
      </c>
      <c r="B5678" s="123">
        <v>1298699.0</v>
      </c>
      <c r="C5678" s="687" t="s">
        <v>9854</v>
      </c>
      <c r="D5678" s="125"/>
    </row>
    <row r="5679">
      <c r="A5679" s="122" t="s">
        <v>10473</v>
      </c>
      <c r="B5679" s="123">
        <v>1338561.0</v>
      </c>
      <c r="C5679" s="687" t="s">
        <v>10474</v>
      </c>
      <c r="D5679" s="125"/>
    </row>
    <row r="5680">
      <c r="A5680" s="122" t="s">
        <v>8054</v>
      </c>
      <c r="B5680" s="123">
        <v>890119.0</v>
      </c>
      <c r="C5680" s="687" t="s">
        <v>8055</v>
      </c>
      <c r="D5680" s="125"/>
    </row>
    <row r="5681">
      <c r="A5681" s="122" t="s">
        <v>10328</v>
      </c>
      <c r="B5681" s="123">
        <v>883618.0</v>
      </c>
      <c r="C5681" s="687" t="s">
        <v>10329</v>
      </c>
      <c r="D5681" s="125"/>
    </row>
    <row r="5682">
      <c r="A5682" s="122" t="s">
        <v>10889</v>
      </c>
      <c r="B5682" s="123">
        <v>1865389.0</v>
      </c>
      <c r="C5682" s="687" t="s">
        <v>10890</v>
      </c>
      <c r="D5682" s="125"/>
    </row>
    <row r="5683">
      <c r="A5683" s="122" t="s">
        <v>9127</v>
      </c>
      <c r="B5683" s="123">
        <v>897421.0</v>
      </c>
      <c r="C5683" s="687" t="s">
        <v>9128</v>
      </c>
      <c r="D5683" s="125"/>
    </row>
    <row r="5684">
      <c r="A5684" s="122" t="s">
        <v>12101</v>
      </c>
      <c r="B5684" s="123">
        <v>1765159.0</v>
      </c>
      <c r="C5684" s="687" t="s">
        <v>12102</v>
      </c>
      <c r="D5684" s="125"/>
    </row>
    <row r="5685">
      <c r="A5685" s="122" t="s">
        <v>9647</v>
      </c>
      <c r="B5685" s="123">
        <v>71557.0</v>
      </c>
      <c r="C5685" s="687" t="s">
        <v>9648</v>
      </c>
      <c r="D5685" s="125"/>
    </row>
    <row r="5686">
      <c r="A5686" s="122" t="s">
        <v>1071</v>
      </c>
      <c r="B5686" s="123">
        <v>1836875.0</v>
      </c>
      <c r="C5686" s="687" t="s">
        <v>1072</v>
      </c>
      <c r="D5686" s="125"/>
    </row>
    <row r="5687">
      <c r="A5687" s="122" t="s">
        <v>4112</v>
      </c>
      <c r="B5687" s="123">
        <v>1836875.0</v>
      </c>
      <c r="C5687" s="687" t="s">
        <v>4113</v>
      </c>
      <c r="D5687" s="125"/>
    </row>
    <row r="5688">
      <c r="A5688" s="122" t="s">
        <v>2941</v>
      </c>
      <c r="B5688" s="123">
        <v>1506492.0</v>
      </c>
      <c r="C5688" s="687" t="s">
        <v>2942</v>
      </c>
      <c r="D5688" s="125"/>
    </row>
    <row r="5689">
      <c r="A5689" s="122" t="s">
        <v>4645</v>
      </c>
      <c r="B5689" s="123">
        <v>1527613.0</v>
      </c>
      <c r="C5689" s="687" t="s">
        <v>4646</v>
      </c>
      <c r="D5689" s="125"/>
    </row>
    <row r="5690">
      <c r="A5690" s="122" t="s">
        <v>15493</v>
      </c>
      <c r="B5690" s="123">
        <v>1532961.0</v>
      </c>
      <c r="C5690" s="687" t="s">
        <v>15494</v>
      </c>
      <c r="D5690" s="125"/>
    </row>
    <row r="5691">
      <c r="A5691" s="122" t="s">
        <v>14996</v>
      </c>
      <c r="B5691" s="123">
        <v>724910.0</v>
      </c>
      <c r="C5691" s="687" t="s">
        <v>14997</v>
      </c>
      <c r="D5691" s="125"/>
    </row>
    <row r="5692">
      <c r="A5692" s="122" t="s">
        <v>14574</v>
      </c>
      <c r="B5692" s="123">
        <v>1720635.0</v>
      </c>
      <c r="C5692" s="687" t="s">
        <v>14575</v>
      </c>
      <c r="D5692" s="125"/>
    </row>
    <row r="5693">
      <c r="A5693" s="122" t="s">
        <v>16647</v>
      </c>
      <c r="B5693" s="123">
        <v>1045810.0</v>
      </c>
      <c r="C5693" s="687" t="s">
        <v>16648</v>
      </c>
      <c r="D5693" s="125"/>
    </row>
    <row r="5694">
      <c r="A5694" s="122" t="s">
        <v>16782</v>
      </c>
      <c r="B5694" s="123">
        <v>906163.0</v>
      </c>
      <c r="C5694" s="687" t="s">
        <v>16783</v>
      </c>
      <c r="D5694" s="125"/>
    </row>
    <row r="5695">
      <c r="A5695" s="122" t="s">
        <v>7228</v>
      </c>
      <c r="B5695" s="123">
        <v>1932737.0</v>
      </c>
      <c r="C5695" s="687" t="s">
        <v>7229</v>
      </c>
      <c r="D5695" s="125"/>
    </row>
    <row r="5696">
      <c r="A5696" s="122" t="s">
        <v>13182</v>
      </c>
      <c r="B5696" s="123">
        <v>1400897.0</v>
      </c>
      <c r="C5696" s="687" t="s">
        <v>13183</v>
      </c>
      <c r="D5696" s="125"/>
    </row>
    <row r="5697">
      <c r="A5697" s="122" t="s">
        <v>16204</v>
      </c>
      <c r="B5697" s="123">
        <v>1413447.0</v>
      </c>
      <c r="C5697" s="687" t="s">
        <v>16205</v>
      </c>
      <c r="D5697" s="125"/>
    </row>
    <row r="5698">
      <c r="A5698" s="122" t="s">
        <v>1986</v>
      </c>
      <c r="B5698" s="123">
        <v>1009922.0</v>
      </c>
      <c r="C5698" s="687" t="s">
        <v>1987</v>
      </c>
      <c r="D5698" s="125"/>
    </row>
    <row r="5699">
      <c r="A5699" s="122" t="s">
        <v>6561</v>
      </c>
      <c r="B5699" s="123">
        <v>1679379.0</v>
      </c>
      <c r="C5699" s="687" t="s">
        <v>6562</v>
      </c>
      <c r="D5699" s="125"/>
    </row>
    <row r="5700">
      <c r="A5700" s="122" t="s">
        <v>16778</v>
      </c>
      <c r="B5700" s="123">
        <v>1913715.0</v>
      </c>
      <c r="C5700" s="687" t="s">
        <v>16779</v>
      </c>
      <c r="D5700" s="125"/>
    </row>
    <row r="5701">
      <c r="A5701" s="122" t="s">
        <v>9257</v>
      </c>
      <c r="B5701" s="123">
        <v>1857190.0</v>
      </c>
      <c r="C5701" s="687" t="s">
        <v>9258</v>
      </c>
      <c r="D5701" s="125"/>
    </row>
    <row r="5702">
      <c r="A5702" s="122" t="s">
        <v>10414</v>
      </c>
      <c r="B5702" s="123">
        <v>812074.0</v>
      </c>
      <c r="C5702" s="687" t="s">
        <v>10415</v>
      </c>
      <c r="D5702" s="125"/>
    </row>
    <row r="5703">
      <c r="A5703" s="122" t="s">
        <v>16691</v>
      </c>
      <c r="B5703" s="123">
        <v>898173.0</v>
      </c>
      <c r="C5703" s="687" t="s">
        <v>16692</v>
      </c>
      <c r="D5703" s="125"/>
    </row>
    <row r="5704">
      <c r="A5704" s="122" t="s">
        <v>12410</v>
      </c>
      <c r="B5704" s="123">
        <v>1431567.0</v>
      </c>
      <c r="C5704" s="687" t="s">
        <v>12411</v>
      </c>
      <c r="D5704" s="125"/>
    </row>
    <row r="5705">
      <c r="A5705" s="122" t="s">
        <v>8357</v>
      </c>
      <c r="B5705" s="123">
        <v>1865429.0</v>
      </c>
      <c r="C5705" s="687" t="s">
        <v>8358</v>
      </c>
      <c r="D5705" s="125"/>
    </row>
    <row r="5706">
      <c r="A5706" s="122" t="s">
        <v>11363</v>
      </c>
      <c r="B5706" s="123">
        <v>1414932.0</v>
      </c>
      <c r="C5706" s="687" t="s">
        <v>11364</v>
      </c>
      <c r="D5706" s="125"/>
    </row>
    <row r="5707">
      <c r="A5707" s="122" t="s">
        <v>4000</v>
      </c>
      <c r="B5707" s="123">
        <v>1843586.0</v>
      </c>
      <c r="C5707" s="687" t="s">
        <v>4001</v>
      </c>
      <c r="D5707" s="125"/>
    </row>
    <row r="5708">
      <c r="A5708" s="122" t="s">
        <v>2215</v>
      </c>
      <c r="B5708" s="123">
        <v>746210.0</v>
      </c>
      <c r="C5708" s="687" t="s">
        <v>2216</v>
      </c>
      <c r="D5708" s="125"/>
    </row>
    <row r="5709">
      <c r="A5709" s="122" t="s">
        <v>33979</v>
      </c>
      <c r="B5709" s="123">
        <v>789318.0</v>
      </c>
      <c r="C5709" s="687" t="s">
        <v>33980</v>
      </c>
      <c r="D5709" s="125"/>
    </row>
    <row r="5710">
      <c r="A5710" s="122" t="s">
        <v>7210</v>
      </c>
      <c r="B5710" s="123">
        <v>1334388.0</v>
      </c>
      <c r="C5710" s="687" t="s">
        <v>7211</v>
      </c>
      <c r="D5710" s="125"/>
    </row>
    <row r="5711">
      <c r="A5711" s="122" t="s">
        <v>1638</v>
      </c>
      <c r="B5711" s="123">
        <v>1820175.0</v>
      </c>
      <c r="C5711" s="687" t="s">
        <v>1639</v>
      </c>
      <c r="D5711" s="125"/>
    </row>
    <row r="5712">
      <c r="A5712" s="122" t="s">
        <v>8898</v>
      </c>
      <c r="B5712" s="123">
        <v>1820175.0</v>
      </c>
      <c r="C5712" s="687" t="s">
        <v>8899</v>
      </c>
      <c r="D5712" s="125"/>
    </row>
    <row r="5713">
      <c r="A5713" s="122" t="s">
        <v>14348</v>
      </c>
      <c r="B5713" s="123">
        <v>797468.0</v>
      </c>
      <c r="C5713" s="687" t="s">
        <v>14349</v>
      </c>
      <c r="D5713" s="125"/>
    </row>
    <row r="5714">
      <c r="A5714" s="122" t="s">
        <v>3125</v>
      </c>
      <c r="B5714" s="123">
        <v>1836612.0</v>
      </c>
      <c r="C5714" s="687" t="s">
        <v>3126</v>
      </c>
      <c r="D5714" s="125"/>
    </row>
    <row r="5715">
      <c r="A5715" s="122" t="s">
        <v>579</v>
      </c>
      <c r="B5715" s="123">
        <v>827099.0</v>
      </c>
      <c r="C5715" s="687" t="s">
        <v>580</v>
      </c>
      <c r="D5715" s="125"/>
    </row>
    <row r="5716">
      <c r="A5716" s="122" t="s">
        <v>11442</v>
      </c>
      <c r="B5716" s="123">
        <v>73756.0</v>
      </c>
      <c r="C5716" s="687" t="s">
        <v>11443</v>
      </c>
      <c r="D5716" s="125"/>
    </row>
    <row r="5717">
      <c r="A5717" s="122" t="s">
        <v>10725</v>
      </c>
      <c r="B5717" s="123">
        <v>1004702.0</v>
      </c>
      <c r="C5717" s="687" t="s">
        <v>10726</v>
      </c>
      <c r="D5717" s="125"/>
    </row>
    <row r="5718">
      <c r="A5718" s="122" t="s">
        <v>12188</v>
      </c>
      <c r="B5718" s="123">
        <v>1004702.0</v>
      </c>
      <c r="C5718" s="687" t="s">
        <v>12189</v>
      </c>
      <c r="D5718" s="125"/>
    </row>
    <row r="5719">
      <c r="A5719" s="122" t="s">
        <v>1598</v>
      </c>
      <c r="B5719" s="123">
        <v>1363438.0</v>
      </c>
      <c r="C5719" s="687" t="s">
        <v>1599</v>
      </c>
      <c r="D5719" s="125"/>
    </row>
    <row r="5720">
      <c r="A5720" s="122" t="s">
        <v>5084</v>
      </c>
      <c r="B5720" s="123">
        <v>1869467.0</v>
      </c>
      <c r="C5720" s="687" t="s">
        <v>5085</v>
      </c>
      <c r="D5720" s="125"/>
    </row>
    <row r="5721">
      <c r="A5721" s="122" t="s">
        <v>1628</v>
      </c>
      <c r="B5721" s="123">
        <v>1846809.0</v>
      </c>
      <c r="C5721" s="687" t="s">
        <v>1629</v>
      </c>
      <c r="D5721" s="125"/>
    </row>
    <row r="5722">
      <c r="A5722" s="122" t="s">
        <v>9523</v>
      </c>
      <c r="B5722" s="123">
        <v>1846809.0</v>
      </c>
      <c r="C5722" s="687" t="s">
        <v>9524</v>
      </c>
      <c r="D5722" s="125"/>
    </row>
    <row r="5723">
      <c r="A5723" s="122" t="s">
        <v>8428</v>
      </c>
      <c r="B5723" s="123">
        <v>1846809.0</v>
      </c>
      <c r="C5723" s="687" t="s">
        <v>8429</v>
      </c>
      <c r="D5723" s="125"/>
    </row>
    <row r="5724">
      <c r="A5724" s="122" t="s">
        <v>10157</v>
      </c>
      <c r="B5724" s="123">
        <v>1501078.0</v>
      </c>
      <c r="C5724" s="687" t="s">
        <v>10158</v>
      </c>
      <c r="D5724" s="125"/>
    </row>
    <row r="5725">
      <c r="A5725" s="122" t="s">
        <v>3063</v>
      </c>
      <c r="B5725" s="123">
        <v>1372299.0</v>
      </c>
      <c r="C5725" s="687" t="s">
        <v>3064</v>
      </c>
      <c r="D5725" s="125"/>
    </row>
    <row r="5726">
      <c r="A5726" s="122" t="s">
        <v>6635</v>
      </c>
      <c r="B5726" s="123">
        <v>1393434.0</v>
      </c>
      <c r="C5726" s="687" t="s">
        <v>6636</v>
      </c>
      <c r="D5726" s="125"/>
    </row>
    <row r="5727">
      <c r="A5727" s="122" t="s">
        <v>1253</v>
      </c>
      <c r="B5727" s="123">
        <v>1107280.0</v>
      </c>
      <c r="C5727" s="687" t="s">
        <v>1254</v>
      </c>
      <c r="D5727" s="125"/>
    </row>
    <row r="5728">
      <c r="A5728" s="122" t="s">
        <v>5288</v>
      </c>
      <c r="B5728" s="123">
        <v>1228627.0</v>
      </c>
      <c r="C5728" s="687" t="s">
        <v>5289</v>
      </c>
      <c r="D5728" s="125"/>
    </row>
    <row r="5729">
      <c r="A5729" s="122" t="s">
        <v>12717</v>
      </c>
      <c r="B5729" s="123">
        <v>873860.0</v>
      </c>
      <c r="C5729" s="687" t="s">
        <v>12718</v>
      </c>
      <c r="D5729" s="125"/>
    </row>
    <row r="5730">
      <c r="A5730" s="122" t="s">
        <v>16752</v>
      </c>
      <c r="B5730" s="123">
        <v>1717452.0</v>
      </c>
      <c r="C5730" s="687" t="s">
        <v>16753</v>
      </c>
      <c r="D5730" s="125"/>
    </row>
    <row r="5731">
      <c r="A5731" s="122" t="s">
        <v>14144</v>
      </c>
      <c r="B5731" s="123">
        <v>800240.0</v>
      </c>
      <c r="C5731" s="687" t="s">
        <v>14145</v>
      </c>
      <c r="D5731" s="125"/>
    </row>
    <row r="5732">
      <c r="A5732" s="122" t="s">
        <v>5519</v>
      </c>
      <c r="B5732" s="123">
        <v>1577445.0</v>
      </c>
      <c r="C5732" s="687" t="s">
        <v>5520</v>
      </c>
      <c r="D5732" s="125"/>
    </row>
    <row r="5733">
      <c r="A5733" s="122" t="s">
        <v>1717</v>
      </c>
      <c r="B5733" s="123">
        <v>1626644.0</v>
      </c>
      <c r="C5733" s="687" t="s">
        <v>1718</v>
      </c>
      <c r="D5733" s="125"/>
    </row>
    <row r="5734">
      <c r="A5734" s="122" t="s">
        <v>6295</v>
      </c>
      <c r="B5734" s="123">
        <v>798528.0</v>
      </c>
      <c r="C5734" s="687" t="s">
        <v>6296</v>
      </c>
      <c r="D5734" s="125"/>
    </row>
    <row r="5735">
      <c r="A5735" s="122" t="s">
        <v>1666</v>
      </c>
      <c r="B5735" s="123">
        <v>1781405.0</v>
      </c>
      <c r="C5735" s="687" t="s">
        <v>1667</v>
      </c>
      <c r="D5735" s="125"/>
    </row>
    <row r="5736">
      <c r="A5736" s="122" t="s">
        <v>8154</v>
      </c>
      <c r="B5736" s="123">
        <v>1825024.0</v>
      </c>
      <c r="C5736" s="687" t="s">
        <v>8155</v>
      </c>
      <c r="D5736" s="125"/>
    </row>
    <row r="5737">
      <c r="A5737" s="122" t="s">
        <v>8728</v>
      </c>
      <c r="B5737" s="123">
        <v>1456772.0</v>
      </c>
      <c r="C5737" s="687" t="s">
        <v>8729</v>
      </c>
      <c r="D5737" s="125"/>
    </row>
    <row r="5738">
      <c r="A5738" s="122" t="s">
        <v>5862</v>
      </c>
      <c r="B5738" s="123">
        <v>1456772.0</v>
      </c>
      <c r="C5738" s="687" t="s">
        <v>5863</v>
      </c>
      <c r="D5738" s="125"/>
    </row>
    <row r="5739">
      <c r="A5739" s="122" t="s">
        <v>13366</v>
      </c>
      <c r="B5739" s="123">
        <v>1030469.0</v>
      </c>
      <c r="C5739" s="687" t="s">
        <v>13367</v>
      </c>
      <c r="D5739" s="125"/>
    </row>
    <row r="5740">
      <c r="A5740" s="122" t="s">
        <v>11765</v>
      </c>
      <c r="B5740" s="123">
        <v>1487918.0</v>
      </c>
      <c r="C5740" s="687" t="s">
        <v>11766</v>
      </c>
      <c r="D5740" s="125"/>
    </row>
    <row r="5741">
      <c r="A5741" s="122" t="s">
        <v>9358</v>
      </c>
      <c r="B5741" s="123">
        <v>1487918.0</v>
      </c>
      <c r="C5741" s="687" t="s">
        <v>9359</v>
      </c>
      <c r="D5741" s="125"/>
    </row>
    <row r="5742">
      <c r="A5742" s="122" t="s">
        <v>11888</v>
      </c>
      <c r="B5742" s="123">
        <v>1716951.0</v>
      </c>
      <c r="C5742" s="687" t="s">
        <v>11889</v>
      </c>
      <c r="D5742" s="125"/>
    </row>
    <row r="5743">
      <c r="A5743" s="122" t="s">
        <v>12079</v>
      </c>
      <c r="B5743" s="123">
        <v>1716951.0</v>
      </c>
      <c r="C5743" s="687" t="s">
        <v>12080</v>
      </c>
      <c r="D5743" s="125"/>
    </row>
    <row r="5744">
      <c r="A5744" s="122" t="s">
        <v>13090</v>
      </c>
      <c r="B5744" s="123">
        <v>1021635.0</v>
      </c>
      <c r="C5744" s="687" t="s">
        <v>13091</v>
      </c>
      <c r="D5744" s="125"/>
    </row>
    <row r="5745">
      <c r="A5745" s="122" t="s">
        <v>12105</v>
      </c>
      <c r="B5745" s="123">
        <v>894671.0</v>
      </c>
      <c r="C5745" s="687" t="s">
        <v>12106</v>
      </c>
      <c r="D5745" s="125"/>
    </row>
    <row r="5746">
      <c r="A5746" s="122" t="s">
        <v>33981</v>
      </c>
      <c r="B5746" s="123">
        <v>1160846.0</v>
      </c>
      <c r="C5746" s="687" t="s">
        <v>33982</v>
      </c>
      <c r="D5746" s="125"/>
    </row>
    <row r="5747">
      <c r="A5747" s="122" t="s">
        <v>33983</v>
      </c>
      <c r="B5747" s="123">
        <v>1160846.0</v>
      </c>
      <c r="C5747" s="687" t="s">
        <v>33984</v>
      </c>
      <c r="D5747" s="125"/>
    </row>
    <row r="5748">
      <c r="A5748" s="122" t="s">
        <v>6981</v>
      </c>
      <c r="B5748" s="123">
        <v>1121484.0</v>
      </c>
      <c r="C5748" s="687" t="s">
        <v>6982</v>
      </c>
      <c r="D5748" s="125"/>
    </row>
    <row r="5749">
      <c r="A5749" s="122" t="s">
        <v>14609</v>
      </c>
      <c r="B5749" s="123">
        <v>74046.0</v>
      </c>
      <c r="C5749" s="687" t="s">
        <v>14610</v>
      </c>
      <c r="D5749" s="125"/>
    </row>
    <row r="5750">
      <c r="A5750" s="122" t="s">
        <v>15061</v>
      </c>
      <c r="B5750" s="123">
        <v>1660134.0</v>
      </c>
      <c r="C5750" s="687" t="s">
        <v>15062</v>
      </c>
      <c r="D5750" s="125"/>
    </row>
    <row r="5751">
      <c r="A5751" s="122" t="s">
        <v>4337</v>
      </c>
      <c r="B5751" s="123">
        <v>1849296.0</v>
      </c>
      <c r="C5751" s="687" t="s">
        <v>4338</v>
      </c>
      <c r="D5751" s="125"/>
    </row>
    <row r="5752">
      <c r="A5752" s="122" t="s">
        <v>5090</v>
      </c>
      <c r="B5752" s="123">
        <v>1868726.0</v>
      </c>
      <c r="C5752" s="687" t="s">
        <v>5091</v>
      </c>
      <c r="D5752" s="125"/>
    </row>
    <row r="5753">
      <c r="A5753" s="122" t="s">
        <v>3458</v>
      </c>
      <c r="B5753" s="123">
        <v>1314196.0</v>
      </c>
      <c r="C5753" s="687" t="s">
        <v>3459</v>
      </c>
      <c r="D5753" s="125"/>
    </row>
    <row r="5754">
      <c r="A5754" s="122" t="s">
        <v>16539</v>
      </c>
      <c r="B5754" s="123">
        <v>878927.0</v>
      </c>
      <c r="C5754" s="687" t="s">
        <v>16540</v>
      </c>
      <c r="D5754" s="125"/>
    </row>
    <row r="5755">
      <c r="A5755" s="122" t="s">
        <v>10665</v>
      </c>
      <c r="B5755" s="123">
        <v>707179.0</v>
      </c>
      <c r="C5755" s="687" t="s">
        <v>10666</v>
      </c>
      <c r="D5755" s="125"/>
    </row>
    <row r="5756">
      <c r="A5756" s="122" t="s">
        <v>12316</v>
      </c>
      <c r="B5756" s="123">
        <v>707179.0</v>
      </c>
      <c r="C5756" s="687" t="s">
        <v>12317</v>
      </c>
      <c r="D5756" s="125"/>
    </row>
    <row r="5757">
      <c r="A5757" s="122" t="s">
        <v>12308</v>
      </c>
      <c r="B5757" s="123">
        <v>707179.0</v>
      </c>
      <c r="C5757" s="687" t="s">
        <v>12309</v>
      </c>
      <c r="D5757" s="125"/>
    </row>
    <row r="5758">
      <c r="A5758" s="122" t="s">
        <v>11032</v>
      </c>
      <c r="B5758" s="123">
        <v>740971.0</v>
      </c>
      <c r="C5758" s="687" t="s">
        <v>11033</v>
      </c>
      <c r="D5758" s="125"/>
    </row>
    <row r="5759">
      <c r="A5759" s="122" t="s">
        <v>12613</v>
      </c>
      <c r="B5759" s="123">
        <v>74260.0</v>
      </c>
      <c r="C5759" s="687" t="s">
        <v>12614</v>
      </c>
      <c r="D5759" s="125"/>
    </row>
    <row r="5760">
      <c r="A5760" s="122" t="s">
        <v>9989</v>
      </c>
      <c r="B5760" s="123">
        <v>357173.0</v>
      </c>
      <c r="C5760" s="687" t="s">
        <v>9990</v>
      </c>
      <c r="D5760" s="125"/>
    </row>
    <row r="5761">
      <c r="A5761" s="122" t="s">
        <v>10475</v>
      </c>
      <c r="B5761" s="123">
        <v>1750284.0</v>
      </c>
      <c r="C5761" s="687" t="s">
        <v>10476</v>
      </c>
      <c r="D5761" s="125"/>
    </row>
    <row r="5762">
      <c r="A5762" s="122" t="s">
        <v>14136</v>
      </c>
      <c r="B5762" s="123">
        <v>74303.0</v>
      </c>
      <c r="C5762" s="687" t="s">
        <v>14137</v>
      </c>
      <c r="D5762" s="125"/>
    </row>
    <row r="5763">
      <c r="A5763" s="122" t="s">
        <v>12172</v>
      </c>
      <c r="B5763" s="123">
        <v>1835539.0</v>
      </c>
      <c r="C5763" s="687" t="s">
        <v>12173</v>
      </c>
      <c r="D5763" s="125"/>
    </row>
    <row r="5764">
      <c r="A5764" s="122" t="s">
        <v>14882</v>
      </c>
      <c r="B5764" s="123">
        <v>1639300.0</v>
      </c>
      <c r="C5764" s="687" t="s">
        <v>14883</v>
      </c>
      <c r="D5764" s="125"/>
    </row>
    <row r="5765">
      <c r="A5765" s="122" t="s">
        <v>6768</v>
      </c>
      <c r="B5765" s="123">
        <v>1431695.0</v>
      </c>
      <c r="C5765" s="687" t="s">
        <v>6769</v>
      </c>
      <c r="D5765" s="125"/>
    </row>
    <row r="5766">
      <c r="A5766" s="122" t="s">
        <v>14720</v>
      </c>
      <c r="B5766" s="123">
        <v>917470.0</v>
      </c>
      <c r="C5766" s="687" t="s">
        <v>14721</v>
      </c>
      <c r="D5766" s="125"/>
    </row>
    <row r="5767">
      <c r="A5767" s="122" t="s">
        <v>2309</v>
      </c>
      <c r="B5767" s="123">
        <v>1403674.0</v>
      </c>
      <c r="C5767" s="687" t="s">
        <v>2310</v>
      </c>
      <c r="D5767" s="125"/>
    </row>
    <row r="5768">
      <c r="A5768" s="122" t="s">
        <v>14756</v>
      </c>
      <c r="B5768" s="123">
        <v>1317945.0</v>
      </c>
      <c r="C5768" s="687" t="s">
        <v>14757</v>
      </c>
      <c r="D5768" s="125"/>
    </row>
    <row r="5769">
      <c r="A5769" s="122" t="s">
        <v>12663</v>
      </c>
      <c r="B5769" s="123">
        <v>888491.0</v>
      </c>
      <c r="C5769" s="687" t="s">
        <v>12664</v>
      </c>
      <c r="D5769" s="125"/>
    </row>
    <row r="5770">
      <c r="A5770" s="122" t="s">
        <v>5806</v>
      </c>
      <c r="B5770" s="123">
        <v>1850838.0</v>
      </c>
      <c r="C5770" s="687" t="s">
        <v>5807</v>
      </c>
      <c r="D5770" s="125"/>
    </row>
    <row r="5771">
      <c r="A5771" s="122" t="s">
        <v>5772</v>
      </c>
      <c r="B5771" s="123">
        <v>1285819.0</v>
      </c>
      <c r="C5771" s="687" t="s">
        <v>5773</v>
      </c>
      <c r="D5771" s="125"/>
    </row>
    <row r="5772">
      <c r="A5772" s="122" t="s">
        <v>33985</v>
      </c>
      <c r="B5772" s="123">
        <v>1676852.0</v>
      </c>
      <c r="C5772" s="687" t="s">
        <v>33986</v>
      </c>
      <c r="D5772" s="125"/>
    </row>
    <row r="5773">
      <c r="A5773" s="122" t="s">
        <v>12986</v>
      </c>
      <c r="B5773" s="123">
        <v>926326.0</v>
      </c>
      <c r="C5773" s="687" t="s">
        <v>12987</v>
      </c>
      <c r="D5773" s="125"/>
    </row>
    <row r="5774">
      <c r="A5774" s="122" t="s">
        <v>15212</v>
      </c>
      <c r="B5774" s="123">
        <v>29989.0</v>
      </c>
      <c r="C5774" s="687" t="s">
        <v>15213</v>
      </c>
      <c r="D5774" s="125"/>
    </row>
    <row r="5775">
      <c r="A5775" s="122" t="s">
        <v>3049</v>
      </c>
      <c r="B5775" s="123">
        <v>278165.0</v>
      </c>
      <c r="C5775" s="687" t="s">
        <v>3050</v>
      </c>
      <c r="D5775" s="125"/>
    </row>
    <row r="5776">
      <c r="A5776" s="122" t="s">
        <v>804</v>
      </c>
      <c r="B5776" s="123">
        <v>1404804.0</v>
      </c>
      <c r="C5776" s="687" t="s">
        <v>805</v>
      </c>
      <c r="D5776" s="125"/>
    </row>
    <row r="5777">
      <c r="A5777" s="122" t="s">
        <v>12611</v>
      </c>
      <c r="B5777" s="123">
        <v>1858985.0</v>
      </c>
      <c r="C5777" s="687" t="s">
        <v>12612</v>
      </c>
      <c r="D5777" s="125"/>
    </row>
    <row r="5778">
      <c r="A5778" s="122" t="s">
        <v>14802</v>
      </c>
      <c r="B5778" s="123">
        <v>1097864.0</v>
      </c>
      <c r="C5778" s="687" t="s">
        <v>14803</v>
      </c>
      <c r="D5778" s="125"/>
    </row>
    <row r="5779">
      <c r="A5779" s="122" t="s">
        <v>7585</v>
      </c>
      <c r="B5779" s="123">
        <v>1110611.0</v>
      </c>
      <c r="C5779" s="687" t="s">
        <v>7586</v>
      </c>
      <c r="D5779" s="125"/>
    </row>
    <row r="5780">
      <c r="A5780" s="122" t="s">
        <v>33987</v>
      </c>
      <c r="B5780" s="123">
        <v>1300867.0</v>
      </c>
      <c r="C5780" s="687" t="s">
        <v>33988</v>
      </c>
      <c r="D5780" s="125"/>
    </row>
    <row r="5781">
      <c r="A5781" s="122" t="s">
        <v>5548</v>
      </c>
      <c r="B5781" s="123">
        <v>1642380.0</v>
      </c>
      <c r="C5781" s="687" t="s">
        <v>5549</v>
      </c>
      <c r="D5781" s="125"/>
    </row>
    <row r="5782">
      <c r="A5782" s="122" t="s">
        <v>2407</v>
      </c>
      <c r="B5782" s="123">
        <v>1799191.0</v>
      </c>
      <c r="C5782" s="687" t="s">
        <v>2408</v>
      </c>
      <c r="D5782" s="125"/>
    </row>
    <row r="5783">
      <c r="A5783" s="122" t="s">
        <v>4953</v>
      </c>
      <c r="B5783" s="123">
        <v>1799191.0</v>
      </c>
      <c r="C5783" s="687" t="s">
        <v>4954</v>
      </c>
      <c r="D5783" s="125"/>
    </row>
    <row r="5784">
      <c r="A5784" s="122" t="s">
        <v>3996</v>
      </c>
      <c r="B5784" s="123">
        <v>1129928.0</v>
      </c>
      <c r="C5784" s="687" t="s">
        <v>3997</v>
      </c>
      <c r="D5784" s="125"/>
    </row>
    <row r="5785">
      <c r="A5785" s="122" t="s">
        <v>3383</v>
      </c>
      <c r="B5785" s="123">
        <v>1130598.0</v>
      </c>
      <c r="C5785" s="687" t="s">
        <v>3384</v>
      </c>
      <c r="D5785" s="125"/>
    </row>
    <row r="5786">
      <c r="A5786" s="122" t="s">
        <v>1291</v>
      </c>
      <c r="B5786" s="123">
        <v>908259.0</v>
      </c>
      <c r="C5786" s="687" t="s">
        <v>1292</v>
      </c>
      <c r="D5786" s="125"/>
    </row>
    <row r="5787">
      <c r="A5787" s="122" t="s">
        <v>8273</v>
      </c>
      <c r="B5787" s="123">
        <v>1260990.0</v>
      </c>
      <c r="C5787" s="687" t="s">
        <v>8274</v>
      </c>
      <c r="D5787" s="125"/>
    </row>
    <row r="5788">
      <c r="A5788" s="122" t="s">
        <v>4253</v>
      </c>
      <c r="B5788" s="123">
        <v>1646188.0</v>
      </c>
      <c r="C5788" s="687" t="s">
        <v>4254</v>
      </c>
      <c r="D5788" s="125"/>
    </row>
    <row r="5789">
      <c r="A5789" s="122" t="s">
        <v>14504</v>
      </c>
      <c r="B5789" s="123">
        <v>1587732.0</v>
      </c>
      <c r="C5789" s="687" t="s">
        <v>14505</v>
      </c>
      <c r="D5789" s="125"/>
    </row>
    <row r="5790">
      <c r="A5790" s="122" t="s">
        <v>6070</v>
      </c>
      <c r="B5790" s="123">
        <v>1399520.0</v>
      </c>
      <c r="C5790" s="687" t="s">
        <v>6071</v>
      </c>
      <c r="D5790" s="125"/>
    </row>
    <row r="5791">
      <c r="A5791" s="122" t="s">
        <v>11414</v>
      </c>
      <c r="B5791" s="123">
        <v>712770.0</v>
      </c>
      <c r="C5791" s="687" t="s">
        <v>11415</v>
      </c>
      <c r="D5791" s="125"/>
    </row>
    <row r="5792">
      <c r="A5792" s="122" t="s">
        <v>4834</v>
      </c>
      <c r="B5792" s="123">
        <v>1394056.0</v>
      </c>
      <c r="C5792" s="687" t="s">
        <v>4835</v>
      </c>
      <c r="D5792" s="125"/>
    </row>
    <row r="5793">
      <c r="A5793" s="122" t="s">
        <v>1247</v>
      </c>
      <c r="B5793" s="123">
        <v>1622244.0</v>
      </c>
      <c r="C5793" s="687" t="s">
        <v>1248</v>
      </c>
      <c r="D5793" s="125"/>
    </row>
    <row r="5794">
      <c r="A5794" s="122" t="s">
        <v>1646</v>
      </c>
      <c r="B5794" s="123">
        <v>1763657.0</v>
      </c>
      <c r="C5794" s="687" t="s">
        <v>1647</v>
      </c>
      <c r="D5794" s="125"/>
    </row>
    <row r="5795">
      <c r="A5795" s="122" t="s">
        <v>5088</v>
      </c>
      <c r="B5795" s="123">
        <v>1780531.0</v>
      </c>
      <c r="C5795" s="687" t="s">
        <v>5089</v>
      </c>
      <c r="D5795" s="125"/>
    </row>
    <row r="5796">
      <c r="A5796" s="122" t="s">
        <v>13981</v>
      </c>
      <c r="B5796" s="123">
        <v>1584207.0</v>
      </c>
      <c r="C5796" s="687" t="s">
        <v>13982</v>
      </c>
      <c r="D5796" s="125"/>
    </row>
    <row r="5797">
      <c r="A5797" s="122" t="s">
        <v>14724</v>
      </c>
      <c r="B5797" s="123">
        <v>1039684.0</v>
      </c>
      <c r="C5797" s="687" t="s">
        <v>14725</v>
      </c>
      <c r="D5797" s="125"/>
    </row>
    <row r="5798">
      <c r="A5798" s="122" t="s">
        <v>8341</v>
      </c>
      <c r="B5798" s="123">
        <v>1044777.0</v>
      </c>
      <c r="C5798" s="687" t="s">
        <v>8342</v>
      </c>
      <c r="D5798" s="125"/>
    </row>
    <row r="5799">
      <c r="A5799" s="122" t="s">
        <v>10123</v>
      </c>
      <c r="B5799" s="123">
        <v>1758488.0</v>
      </c>
      <c r="C5799" s="687" t="s">
        <v>10124</v>
      </c>
      <c r="D5799" s="125"/>
    </row>
    <row r="5800">
      <c r="A5800" s="122" t="s">
        <v>12562</v>
      </c>
      <c r="B5800" s="123">
        <v>1772921.0</v>
      </c>
      <c r="C5800" s="687" t="s">
        <v>12563</v>
      </c>
      <c r="D5800" s="125"/>
    </row>
    <row r="5801">
      <c r="A5801" s="122" t="s">
        <v>1577</v>
      </c>
      <c r="B5801" s="123">
        <v>1825452.0</v>
      </c>
      <c r="C5801" s="687" t="s">
        <v>1578</v>
      </c>
      <c r="D5801" s="125"/>
    </row>
    <row r="5802">
      <c r="A5802" s="122" t="s">
        <v>3007</v>
      </c>
      <c r="B5802" s="123">
        <v>1825452.0</v>
      </c>
      <c r="C5802" s="687" t="s">
        <v>3008</v>
      </c>
      <c r="D5802" s="125"/>
    </row>
    <row r="5803">
      <c r="A5803" s="122" t="s">
        <v>15972</v>
      </c>
      <c r="B5803" s="123">
        <v>704532.0</v>
      </c>
      <c r="C5803" s="687" t="s">
        <v>15973</v>
      </c>
      <c r="D5803" s="125"/>
    </row>
    <row r="5804">
      <c r="A5804" s="122" t="s">
        <v>3257</v>
      </c>
      <c r="B5804" s="123">
        <v>1136174.0</v>
      </c>
      <c r="C5804" s="687" t="s">
        <v>3258</v>
      </c>
      <c r="D5804" s="125"/>
    </row>
    <row r="5805">
      <c r="A5805" s="122" t="s">
        <v>2385</v>
      </c>
      <c r="B5805" s="123">
        <v>1136174.0</v>
      </c>
      <c r="C5805" s="687" t="s">
        <v>2386</v>
      </c>
      <c r="D5805" s="125"/>
    </row>
    <row r="5806">
      <c r="A5806" s="122" t="s">
        <v>1323</v>
      </c>
      <c r="B5806" s="123">
        <v>1849548.0</v>
      </c>
      <c r="C5806" s="687" t="s">
        <v>1324</v>
      </c>
      <c r="D5806" s="125"/>
    </row>
    <row r="5807">
      <c r="A5807" s="122" t="s">
        <v>9148</v>
      </c>
      <c r="B5807" s="123">
        <v>1849548.0</v>
      </c>
      <c r="C5807" s="687" t="s">
        <v>9149</v>
      </c>
      <c r="D5807" s="125"/>
    </row>
    <row r="5808">
      <c r="A5808" s="122" t="s">
        <v>9405</v>
      </c>
      <c r="B5808" s="123">
        <v>1849548.0</v>
      </c>
      <c r="C5808" s="687" t="s">
        <v>9406</v>
      </c>
      <c r="D5808" s="125"/>
    </row>
    <row r="5809">
      <c r="A5809" s="122" t="s">
        <v>8371</v>
      </c>
      <c r="B5809" s="123">
        <v>1327688.0</v>
      </c>
      <c r="C5809" s="687" t="s">
        <v>8372</v>
      </c>
      <c r="D5809" s="125"/>
    </row>
    <row r="5810">
      <c r="A5810" s="122" t="s">
        <v>8676</v>
      </c>
      <c r="B5810" s="123">
        <v>1722010.0</v>
      </c>
      <c r="C5810" s="687" t="s">
        <v>8677</v>
      </c>
      <c r="D5810" s="125"/>
    </row>
    <row r="5811">
      <c r="A5811" s="122" t="s">
        <v>6394</v>
      </c>
      <c r="B5811" s="123">
        <v>1842279.0</v>
      </c>
      <c r="C5811" s="687" t="s">
        <v>6395</v>
      </c>
      <c r="D5811" s="125"/>
    </row>
    <row r="5812">
      <c r="A5812" s="122" t="s">
        <v>7367</v>
      </c>
      <c r="B5812" s="123">
        <v>1806201.0</v>
      </c>
      <c r="C5812" s="687" t="s">
        <v>7368</v>
      </c>
      <c r="D5812" s="125"/>
    </row>
    <row r="5813">
      <c r="A5813" s="122" t="s">
        <v>13749</v>
      </c>
      <c r="B5813" s="123">
        <v>1002638.0</v>
      </c>
      <c r="C5813" s="687" t="s">
        <v>13750</v>
      </c>
      <c r="D5813" s="125"/>
    </row>
    <row r="5814">
      <c r="A5814" s="122" t="s">
        <v>5814</v>
      </c>
      <c r="B5814" s="123">
        <v>1801169.0</v>
      </c>
      <c r="C5814" s="687" t="s">
        <v>5815</v>
      </c>
      <c r="D5814" s="125"/>
    </row>
    <row r="5815">
      <c r="A5815" s="122" t="s">
        <v>10252</v>
      </c>
      <c r="B5815" s="123">
        <v>1395942.0</v>
      </c>
      <c r="C5815" s="687" t="s">
        <v>10253</v>
      </c>
      <c r="D5815" s="125"/>
    </row>
    <row r="5816">
      <c r="A5816" s="122" t="s">
        <v>8908</v>
      </c>
      <c r="B5816" s="123">
        <v>1737450.0</v>
      </c>
      <c r="C5816" s="687" t="s">
        <v>8909</v>
      </c>
      <c r="D5816" s="125"/>
    </row>
    <row r="5817">
      <c r="A5817" s="122" t="s">
        <v>2655</v>
      </c>
      <c r="B5817" s="123">
        <v>1293818.0</v>
      </c>
      <c r="C5817" s="687" t="s">
        <v>2656</v>
      </c>
      <c r="D5817" s="125"/>
    </row>
    <row r="5818">
      <c r="A5818" s="122" t="s">
        <v>3781</v>
      </c>
      <c r="B5818" s="123">
        <v>944809.0</v>
      </c>
      <c r="C5818" s="687" t="s">
        <v>3782</v>
      </c>
      <c r="D5818" s="125"/>
    </row>
    <row r="5819">
      <c r="A5819" s="122" t="s">
        <v>5847</v>
      </c>
      <c r="B5819" s="123">
        <v>1538716.0</v>
      </c>
      <c r="C5819" s="687" t="s">
        <v>5848</v>
      </c>
      <c r="D5819" s="125"/>
    </row>
    <row r="5820">
      <c r="A5820" s="122" t="s">
        <v>13497</v>
      </c>
      <c r="B5820" s="123">
        <v>791963.0</v>
      </c>
      <c r="C5820" s="687" t="s">
        <v>13498</v>
      </c>
      <c r="D5820" s="125"/>
    </row>
    <row r="5821">
      <c r="A5821" s="122" t="s">
        <v>5705</v>
      </c>
      <c r="B5821" s="123">
        <v>1818502.0</v>
      </c>
      <c r="C5821" s="687" t="s">
        <v>5706</v>
      </c>
      <c r="D5821" s="125"/>
    </row>
    <row r="5822">
      <c r="A5822" s="122" t="s">
        <v>6994</v>
      </c>
      <c r="B5822" s="123">
        <v>1397016.0</v>
      </c>
      <c r="C5822" s="687" t="s">
        <v>6995</v>
      </c>
      <c r="D5822" s="125"/>
    </row>
    <row r="5823">
      <c r="A5823" s="122" t="s">
        <v>5390</v>
      </c>
      <c r="B5823" s="123">
        <v>1815620.0</v>
      </c>
      <c r="C5823" s="687" t="s">
        <v>5391</v>
      </c>
      <c r="D5823" s="125"/>
    </row>
    <row r="5824">
      <c r="A5824" s="122" t="s">
        <v>5322</v>
      </c>
      <c r="B5824" s="123">
        <v>1000230.0</v>
      </c>
      <c r="C5824" s="687" t="s">
        <v>5323</v>
      </c>
      <c r="D5824" s="125"/>
    </row>
    <row r="5825">
      <c r="A5825" s="122" t="s">
        <v>10344</v>
      </c>
      <c r="B5825" s="123">
        <v>1448431.0</v>
      </c>
      <c r="C5825" s="687" t="s">
        <v>10345</v>
      </c>
      <c r="D5825" s="125"/>
    </row>
    <row r="5826">
      <c r="A5826" s="122" t="s">
        <v>6370</v>
      </c>
      <c r="B5826" s="123">
        <v>1288855.0</v>
      </c>
      <c r="C5826" s="687" t="s">
        <v>6371</v>
      </c>
      <c r="D5826" s="125"/>
    </row>
    <row r="5827">
      <c r="A5827" s="122" t="s">
        <v>3015</v>
      </c>
      <c r="B5827" s="123">
        <v>1892025.0</v>
      </c>
      <c r="C5827" s="687" t="s">
        <v>3016</v>
      </c>
      <c r="D5827" s="125"/>
    </row>
    <row r="5828">
      <c r="A5828" s="122" t="s">
        <v>4084</v>
      </c>
      <c r="B5828" s="123">
        <v>1494650.0</v>
      </c>
      <c r="C5828" s="687" t="s">
        <v>4085</v>
      </c>
      <c r="D5828" s="125"/>
    </row>
    <row r="5829">
      <c r="A5829" s="122" t="s">
        <v>12942</v>
      </c>
      <c r="B5829" s="123">
        <v>1014739.0</v>
      </c>
      <c r="C5829" s="687" t="s">
        <v>12943</v>
      </c>
      <c r="D5829" s="125"/>
    </row>
    <row r="5830">
      <c r="A5830" s="122" t="s">
        <v>15580</v>
      </c>
      <c r="B5830" s="123">
        <v>1341439.0</v>
      </c>
      <c r="C5830" s="687" t="s">
        <v>15581</v>
      </c>
      <c r="D5830" s="125"/>
    </row>
    <row r="5831">
      <c r="A5831" s="122" t="s">
        <v>5071</v>
      </c>
      <c r="B5831" s="123">
        <v>1174940.0</v>
      </c>
      <c r="C5831" s="687" t="s">
        <v>5072</v>
      </c>
      <c r="D5831" s="125"/>
    </row>
    <row r="5832">
      <c r="A5832" s="122" t="s">
        <v>5359</v>
      </c>
      <c r="B5832" s="123">
        <v>1176309.0</v>
      </c>
      <c r="C5832" s="687" t="s">
        <v>5360</v>
      </c>
      <c r="D5832" s="125"/>
    </row>
    <row r="5833">
      <c r="A5833" s="122" t="s">
        <v>13931</v>
      </c>
      <c r="B5833" s="123">
        <v>1754226.0</v>
      </c>
      <c r="C5833" s="687" t="s">
        <v>13932</v>
      </c>
      <c r="D5833" s="125"/>
    </row>
    <row r="5834">
      <c r="A5834" s="122" t="s">
        <v>9593</v>
      </c>
      <c r="B5834" s="123">
        <v>1038143.0</v>
      </c>
      <c r="C5834" s="687" t="s">
        <v>9569</v>
      </c>
      <c r="D5834" s="125"/>
    </row>
    <row r="5835">
      <c r="A5835" s="122" t="s">
        <v>9568</v>
      </c>
      <c r="B5835" s="123">
        <v>1038143.0</v>
      </c>
      <c r="C5835" s="687" t="s">
        <v>9569</v>
      </c>
      <c r="D5835" s="125"/>
    </row>
    <row r="5836">
      <c r="A5836" s="122" t="s">
        <v>7467</v>
      </c>
      <c r="B5836" s="123">
        <v>1116463.0</v>
      </c>
      <c r="C5836" s="687" t="s">
        <v>7468</v>
      </c>
      <c r="D5836" s="125"/>
    </row>
    <row r="5837">
      <c r="A5837" s="122" t="s">
        <v>6026</v>
      </c>
      <c r="B5837" s="123">
        <v>1435969.0</v>
      </c>
      <c r="C5837" s="687" t="s">
        <v>6027</v>
      </c>
      <c r="D5837" s="125"/>
    </row>
    <row r="5838">
      <c r="A5838" s="122" t="s">
        <v>7872</v>
      </c>
      <c r="B5838" s="123">
        <v>1518621.0</v>
      </c>
      <c r="C5838" s="687" t="s">
        <v>7873</v>
      </c>
      <c r="D5838" s="125"/>
    </row>
    <row r="5839">
      <c r="A5839" s="122" t="s">
        <v>7526</v>
      </c>
      <c r="B5839" s="123">
        <v>1216128.0</v>
      </c>
      <c r="C5839" s="687" t="s">
        <v>7527</v>
      </c>
      <c r="D5839" s="125"/>
    </row>
    <row r="5840">
      <c r="A5840" s="122" t="s">
        <v>33989</v>
      </c>
      <c r="B5840" s="123">
        <v>1749849.0</v>
      </c>
      <c r="C5840" s="687" t="s">
        <v>33990</v>
      </c>
      <c r="D5840" s="125"/>
    </row>
    <row r="5841">
      <c r="A5841" s="122" t="s">
        <v>4215</v>
      </c>
      <c r="B5841" s="123">
        <v>1557376.0</v>
      </c>
      <c r="C5841" s="687" t="s">
        <v>4216</v>
      </c>
      <c r="D5841" s="125"/>
    </row>
    <row r="5842">
      <c r="A5842" s="122" t="s">
        <v>4701</v>
      </c>
      <c r="B5842" s="123">
        <v>1620737.0</v>
      </c>
      <c r="C5842" s="687" t="s">
        <v>4702</v>
      </c>
      <c r="D5842" s="125"/>
    </row>
    <row r="5843">
      <c r="A5843" s="122" t="s">
        <v>5740</v>
      </c>
      <c r="B5843" s="123">
        <v>1661181.0</v>
      </c>
      <c r="C5843" s="687" t="s">
        <v>5741</v>
      </c>
      <c r="D5843" s="125"/>
    </row>
    <row r="5844">
      <c r="A5844" s="122" t="s">
        <v>10774</v>
      </c>
      <c r="B5844" s="123">
        <v>1821825.0</v>
      </c>
      <c r="C5844" s="687" t="s">
        <v>10775</v>
      </c>
      <c r="D5844" s="125"/>
    </row>
    <row r="5845">
      <c r="A5845" s="122" t="s">
        <v>3845</v>
      </c>
      <c r="B5845" s="123">
        <v>1497253.0</v>
      </c>
      <c r="C5845" s="687" t="s">
        <v>3846</v>
      </c>
      <c r="D5845" s="125"/>
    </row>
    <row r="5846">
      <c r="A5846" s="122" t="s">
        <v>2624</v>
      </c>
      <c r="B5846" s="123">
        <v>1460602.0</v>
      </c>
      <c r="C5846" s="687" t="s">
        <v>2625</v>
      </c>
      <c r="D5846" s="125"/>
    </row>
    <row r="5847">
      <c r="A5847" s="122" t="s">
        <v>9301</v>
      </c>
      <c r="B5847" s="123">
        <v>1796280.0</v>
      </c>
      <c r="C5847" s="687" t="s">
        <v>9302</v>
      </c>
      <c r="D5847" s="125"/>
    </row>
    <row r="5848">
      <c r="A5848" s="122" t="s">
        <v>3869</v>
      </c>
      <c r="B5848" s="123">
        <v>1776067.0</v>
      </c>
      <c r="C5848" s="687" t="s">
        <v>3870</v>
      </c>
      <c r="D5848" s="125"/>
    </row>
    <row r="5849">
      <c r="A5849" s="122" t="s">
        <v>4455</v>
      </c>
      <c r="B5849" s="123">
        <v>1321851.0</v>
      </c>
      <c r="C5849" s="687" t="s">
        <v>4456</v>
      </c>
      <c r="D5849" s="125"/>
    </row>
    <row r="5850">
      <c r="A5850" s="122" t="s">
        <v>988</v>
      </c>
      <c r="B5850" s="123">
        <v>1802457.0</v>
      </c>
      <c r="C5850" s="687" t="s">
        <v>989</v>
      </c>
      <c r="D5850" s="125"/>
    </row>
    <row r="5851">
      <c r="A5851" s="122" t="s">
        <v>3061</v>
      </c>
      <c r="B5851" s="123">
        <v>1802457.0</v>
      </c>
      <c r="C5851" s="687" t="s">
        <v>3062</v>
      </c>
      <c r="D5851" s="125"/>
    </row>
    <row r="5852">
      <c r="A5852" s="122" t="s">
        <v>677</v>
      </c>
      <c r="B5852" s="123">
        <v>1419793.0</v>
      </c>
      <c r="C5852" s="687" t="s">
        <v>678</v>
      </c>
      <c r="D5852" s="125"/>
    </row>
    <row r="5853">
      <c r="A5853" s="122" t="s">
        <v>3829</v>
      </c>
      <c r="B5853" s="123">
        <v>1409375.0</v>
      </c>
      <c r="C5853" s="687" t="s">
        <v>3830</v>
      </c>
      <c r="D5853" s="125"/>
    </row>
    <row r="5854">
      <c r="A5854" s="122" t="s">
        <v>6963</v>
      </c>
      <c r="B5854" s="123">
        <v>1402829.0</v>
      </c>
      <c r="C5854" s="687" t="s">
        <v>6964</v>
      </c>
      <c r="D5854" s="125"/>
    </row>
    <row r="5855">
      <c r="A5855" s="122" t="s">
        <v>6512</v>
      </c>
      <c r="B5855" s="123">
        <v>1873923.0</v>
      </c>
      <c r="C5855" s="687" t="s">
        <v>6513</v>
      </c>
      <c r="D5855" s="125"/>
    </row>
    <row r="5856">
      <c r="A5856" s="122" t="s">
        <v>11812</v>
      </c>
      <c r="B5856" s="123">
        <v>1609804.0</v>
      </c>
      <c r="C5856" s="687" t="s">
        <v>11813</v>
      </c>
      <c r="D5856" s="125"/>
    </row>
    <row r="5857">
      <c r="A5857" s="122" t="s">
        <v>15319</v>
      </c>
      <c r="B5857" s="123">
        <v>1070304.0</v>
      </c>
      <c r="C5857" s="687" t="s">
        <v>15320</v>
      </c>
      <c r="D5857" s="125"/>
    </row>
    <row r="5858">
      <c r="A5858" s="122" t="s">
        <v>11050</v>
      </c>
      <c r="B5858" s="123">
        <v>1070304.0</v>
      </c>
      <c r="C5858" s="687" t="s">
        <v>11051</v>
      </c>
      <c r="D5858" s="125"/>
    </row>
    <row r="5859">
      <c r="A5859" s="122" t="s">
        <v>5826</v>
      </c>
      <c r="B5859" s="123">
        <v>1680056.0</v>
      </c>
      <c r="C5859" s="687" t="s">
        <v>5827</v>
      </c>
      <c r="D5859" s="125"/>
    </row>
    <row r="5860">
      <c r="A5860" s="122" t="s">
        <v>14634</v>
      </c>
      <c r="B5860" s="123">
        <v>1296445.0</v>
      </c>
      <c r="C5860" s="687" t="s">
        <v>14635</v>
      </c>
      <c r="D5860" s="125"/>
    </row>
    <row r="5861">
      <c r="A5861" s="122" t="s">
        <v>2606</v>
      </c>
      <c r="B5861" s="123">
        <v>1390352.0</v>
      </c>
      <c r="C5861" s="687" t="s">
        <v>2607</v>
      </c>
      <c r="D5861" s="125"/>
    </row>
    <row r="5862">
      <c r="A5862" s="122" t="s">
        <v>12546</v>
      </c>
      <c r="B5862" s="123">
        <v>826154.0</v>
      </c>
      <c r="C5862" s="687" t="s">
        <v>12547</v>
      </c>
      <c r="D5862" s="125"/>
    </row>
    <row r="5863">
      <c r="A5863" s="122" t="s">
        <v>10221</v>
      </c>
      <c r="B5863" s="123">
        <v>884624.0</v>
      </c>
      <c r="C5863" s="687" t="s">
        <v>10222</v>
      </c>
      <c r="D5863" s="125"/>
    </row>
    <row r="5864">
      <c r="A5864" s="122" t="s">
        <v>12453</v>
      </c>
      <c r="B5864" s="123">
        <v>1425450.0</v>
      </c>
      <c r="C5864" s="687" t="s">
        <v>12454</v>
      </c>
      <c r="D5864" s="125"/>
    </row>
    <row r="5865">
      <c r="A5865" s="122" t="s">
        <v>16695</v>
      </c>
      <c r="B5865" s="123">
        <v>1108967.0</v>
      </c>
      <c r="C5865" s="687" t="s">
        <v>16696</v>
      </c>
      <c r="D5865" s="125"/>
    </row>
    <row r="5866">
      <c r="A5866" s="122" t="s">
        <v>10085</v>
      </c>
      <c r="B5866" s="123">
        <v>1568651.0</v>
      </c>
      <c r="C5866" s="687" t="s">
        <v>10086</v>
      </c>
      <c r="D5866" s="125"/>
    </row>
    <row r="5867">
      <c r="A5867" s="122" t="s">
        <v>15554</v>
      </c>
      <c r="B5867" s="123">
        <v>775158.0</v>
      </c>
      <c r="C5867" s="687" t="s">
        <v>15555</v>
      </c>
      <c r="D5867" s="125"/>
    </row>
    <row r="5868">
      <c r="A5868" s="122" t="s">
        <v>15719</v>
      </c>
      <c r="B5868" s="123">
        <v>1039065.0</v>
      </c>
      <c r="C5868" s="687" t="s">
        <v>15720</v>
      </c>
      <c r="D5868" s="125"/>
    </row>
    <row r="5869">
      <c r="A5869" s="122" t="s">
        <v>8618</v>
      </c>
      <c r="B5869" s="123">
        <v>1832136.0</v>
      </c>
      <c r="C5869" s="687" t="s">
        <v>8619</v>
      </c>
      <c r="D5869" s="125"/>
    </row>
    <row r="5870">
      <c r="A5870" s="122" t="s">
        <v>5141</v>
      </c>
      <c r="B5870" s="123">
        <v>1431852.0</v>
      </c>
      <c r="C5870" s="687" t="s">
        <v>5142</v>
      </c>
      <c r="D5870" s="125"/>
    </row>
    <row r="5871">
      <c r="A5871" s="122" t="s">
        <v>10380</v>
      </c>
      <c r="B5871" s="123">
        <v>1627272.0</v>
      </c>
      <c r="C5871" s="687" t="s">
        <v>10381</v>
      </c>
      <c r="D5871" s="125"/>
    </row>
    <row r="5872">
      <c r="A5872" s="122" t="s">
        <v>9849</v>
      </c>
      <c r="B5872" s="123">
        <v>1767057.0</v>
      </c>
      <c r="C5872" s="687" t="s">
        <v>9850</v>
      </c>
      <c r="D5872" s="125"/>
    </row>
    <row r="5873">
      <c r="A5873" s="122" t="s">
        <v>3163</v>
      </c>
      <c r="B5873" s="123">
        <v>1803407.0</v>
      </c>
      <c r="C5873" s="687" t="s">
        <v>3164</v>
      </c>
      <c r="D5873" s="125"/>
    </row>
    <row r="5874">
      <c r="A5874" s="122" t="s">
        <v>3835</v>
      </c>
      <c r="B5874" s="123">
        <v>1767876.0</v>
      </c>
      <c r="C5874" s="687" t="s">
        <v>3836</v>
      </c>
      <c r="D5874" s="125"/>
    </row>
    <row r="5875">
      <c r="A5875" s="122" t="s">
        <v>3441</v>
      </c>
      <c r="B5875" s="123">
        <v>1767876.0</v>
      </c>
      <c r="C5875" s="687" t="s">
        <v>3442</v>
      </c>
      <c r="D5875" s="125"/>
    </row>
    <row r="5876">
      <c r="A5876" s="122" t="s">
        <v>15228</v>
      </c>
      <c r="B5876" s="123">
        <v>1781335.0</v>
      </c>
      <c r="C5876" s="687" t="s">
        <v>15229</v>
      </c>
      <c r="D5876" s="125"/>
    </row>
    <row r="5877">
      <c r="A5877" s="122" t="s">
        <v>9437</v>
      </c>
      <c r="B5877" s="123">
        <v>1675192.0</v>
      </c>
      <c r="C5877" s="687" t="s">
        <v>9438</v>
      </c>
      <c r="D5877" s="125"/>
    </row>
    <row r="5878">
      <c r="A5878" s="122" t="s">
        <v>15261</v>
      </c>
      <c r="B5878" s="123">
        <v>1466593.0</v>
      </c>
      <c r="C5878" s="687" t="s">
        <v>15262</v>
      </c>
      <c r="D5878" s="125"/>
    </row>
    <row r="5879">
      <c r="A5879" s="122" t="s">
        <v>6553</v>
      </c>
      <c r="B5879" s="123">
        <v>1816581.0</v>
      </c>
      <c r="C5879" s="687" t="s">
        <v>6554</v>
      </c>
      <c r="D5879" s="125"/>
    </row>
    <row r="5880">
      <c r="A5880" s="122" t="s">
        <v>1201</v>
      </c>
      <c r="B5880" s="123">
        <v>1807046.0</v>
      </c>
      <c r="C5880" s="687" t="s">
        <v>1202</v>
      </c>
      <c r="D5880" s="125"/>
    </row>
    <row r="5881">
      <c r="A5881" s="122" t="s">
        <v>6117</v>
      </c>
      <c r="B5881" s="123">
        <v>1454938.0</v>
      </c>
      <c r="C5881" s="687" t="s">
        <v>6118</v>
      </c>
      <c r="D5881" s="125"/>
    </row>
    <row r="5882">
      <c r="A5882" s="122" t="s">
        <v>1894</v>
      </c>
      <c r="B5882" s="123">
        <v>942149.0</v>
      </c>
      <c r="C5882" s="687" t="s">
        <v>1895</v>
      </c>
      <c r="D5882" s="125"/>
    </row>
    <row r="5883">
      <c r="A5883" s="122" t="s">
        <v>9896</v>
      </c>
      <c r="B5883" s="123">
        <v>1579877.0</v>
      </c>
      <c r="C5883" s="687" t="s">
        <v>9897</v>
      </c>
      <c r="D5883" s="125"/>
    </row>
    <row r="5884">
      <c r="A5884" s="122" t="s">
        <v>2729</v>
      </c>
      <c r="B5884" s="123">
        <v>1649989.0</v>
      </c>
      <c r="C5884" s="687" t="s">
        <v>2730</v>
      </c>
      <c r="D5884" s="125"/>
    </row>
    <row r="5885">
      <c r="A5885" s="122" t="s">
        <v>5478</v>
      </c>
      <c r="B5885" s="123">
        <v>1484612.0</v>
      </c>
      <c r="C5885" s="687" t="s">
        <v>5479</v>
      </c>
      <c r="D5885" s="125"/>
    </row>
    <row r="5886">
      <c r="A5886" s="122" t="s">
        <v>3646</v>
      </c>
      <c r="B5886" s="123">
        <v>75208.0</v>
      </c>
      <c r="C5886" s="687" t="s">
        <v>3647</v>
      </c>
      <c r="D5886" s="125"/>
    </row>
    <row r="5887">
      <c r="A5887" s="122" t="s">
        <v>7075</v>
      </c>
      <c r="B5887" s="123">
        <v>75208.0</v>
      </c>
      <c r="C5887" s="687" t="s">
        <v>7076</v>
      </c>
      <c r="D5887" s="125"/>
    </row>
    <row r="5888">
      <c r="A5888" s="122" t="s">
        <v>5893</v>
      </c>
      <c r="B5888" s="123">
        <v>1636651.0</v>
      </c>
      <c r="C5888" s="687" t="s">
        <v>5894</v>
      </c>
      <c r="D5888" s="125"/>
    </row>
    <row r="5889">
      <c r="A5889" s="122" t="s">
        <v>13670</v>
      </c>
      <c r="B5889" s="123">
        <v>1792580.0</v>
      </c>
      <c r="C5889" s="687" t="s">
        <v>13671</v>
      </c>
      <c r="D5889" s="125"/>
    </row>
    <row r="5890">
      <c r="A5890" s="122" t="s">
        <v>33991</v>
      </c>
      <c r="B5890" s="123">
        <v>1431934.0</v>
      </c>
      <c r="C5890" s="687" t="s">
        <v>33992</v>
      </c>
      <c r="D5890" s="125"/>
    </row>
    <row r="5891">
      <c r="A5891" s="122" t="s">
        <v>11349</v>
      </c>
      <c r="B5891" s="123">
        <v>75252.0</v>
      </c>
      <c r="C5891" s="687" t="s">
        <v>11350</v>
      </c>
      <c r="D5891" s="125"/>
    </row>
    <row r="5892">
      <c r="A5892" s="122" t="s">
        <v>15915</v>
      </c>
      <c r="B5892" s="123">
        <v>1370946.0</v>
      </c>
      <c r="C5892" s="687" t="s">
        <v>15916</v>
      </c>
      <c r="D5892" s="125"/>
    </row>
    <row r="5893">
      <c r="A5893" s="122" t="s">
        <v>6303</v>
      </c>
      <c r="B5893" s="123">
        <v>1816708.0</v>
      </c>
      <c r="C5893" s="687" t="s">
        <v>6304</v>
      </c>
      <c r="D5893" s="125"/>
    </row>
    <row r="5894">
      <c r="A5894" s="122" t="s">
        <v>914</v>
      </c>
      <c r="B5894" s="123">
        <v>1584831.0</v>
      </c>
      <c r="C5894" s="687" t="s">
        <v>915</v>
      </c>
      <c r="D5894" s="125"/>
    </row>
    <row r="5895">
      <c r="A5895" s="122" t="s">
        <v>3793</v>
      </c>
      <c r="B5895" s="123">
        <v>1584831.0</v>
      </c>
      <c r="C5895" s="687" t="s">
        <v>3794</v>
      </c>
      <c r="D5895" s="125"/>
    </row>
    <row r="5896">
      <c r="A5896" s="122" t="s">
        <v>12889</v>
      </c>
      <c r="B5896" s="123">
        <v>1473086.0</v>
      </c>
      <c r="C5896" s="687" t="s">
        <v>12890</v>
      </c>
      <c r="D5896" s="125"/>
    </row>
    <row r="5897">
      <c r="A5897" s="122" t="s">
        <v>15321</v>
      </c>
      <c r="B5897" s="123">
        <v>75288.0</v>
      </c>
      <c r="C5897" s="687" t="s">
        <v>15322</v>
      </c>
      <c r="D5897" s="125"/>
    </row>
    <row r="5898">
      <c r="A5898" s="122" t="s">
        <v>12302</v>
      </c>
      <c r="B5898" s="123">
        <v>1495222.0</v>
      </c>
      <c r="C5898" s="687" t="s">
        <v>12303</v>
      </c>
      <c r="D5898" s="125"/>
    </row>
    <row r="5899">
      <c r="A5899" s="122" t="s">
        <v>11965</v>
      </c>
      <c r="B5899" s="123">
        <v>1495222.0</v>
      </c>
      <c r="C5899" s="687" t="s">
        <v>11966</v>
      </c>
      <c r="D5899" s="125"/>
    </row>
    <row r="5900">
      <c r="A5900" s="122" t="s">
        <v>12022</v>
      </c>
      <c r="B5900" s="123">
        <v>1495222.0</v>
      </c>
      <c r="C5900" s="687" t="s">
        <v>12023</v>
      </c>
      <c r="D5900" s="125"/>
    </row>
    <row r="5901">
      <c r="A5901" s="122" t="s">
        <v>12049</v>
      </c>
      <c r="B5901" s="123">
        <v>1495222.0</v>
      </c>
      <c r="C5901" s="687" t="s">
        <v>12050</v>
      </c>
      <c r="D5901" s="125"/>
    </row>
    <row r="5902">
      <c r="A5902" s="122" t="s">
        <v>11875</v>
      </c>
      <c r="B5902" s="123">
        <v>1495222.0</v>
      </c>
      <c r="C5902" s="687" t="s">
        <v>11876</v>
      </c>
      <c r="D5902" s="125"/>
    </row>
    <row r="5903">
      <c r="A5903" s="122" t="s">
        <v>6722</v>
      </c>
      <c r="B5903" s="123">
        <v>1495222.0</v>
      </c>
      <c r="C5903" s="687" t="s">
        <v>6723</v>
      </c>
      <c r="D5903" s="125"/>
    </row>
    <row r="5904">
      <c r="A5904" s="122" t="s">
        <v>11865</v>
      </c>
      <c r="B5904" s="123">
        <v>1259429.0</v>
      </c>
      <c r="C5904" s="687" t="s">
        <v>11866</v>
      </c>
      <c r="D5904" s="125"/>
    </row>
    <row r="5905">
      <c r="A5905" s="122" t="s">
        <v>12152</v>
      </c>
      <c r="B5905" s="123">
        <v>1259429.0</v>
      </c>
      <c r="C5905" s="687" t="s">
        <v>12153</v>
      </c>
      <c r="D5905" s="125"/>
    </row>
    <row r="5906">
      <c r="A5906" s="122" t="s">
        <v>5563</v>
      </c>
      <c r="B5906" s="123">
        <v>1259429.0</v>
      </c>
      <c r="C5906" s="687" t="s">
        <v>5564</v>
      </c>
      <c r="D5906" s="125"/>
    </row>
    <row r="5907">
      <c r="A5907" s="122" t="s">
        <v>8164</v>
      </c>
      <c r="B5907" s="123">
        <v>1852973.0</v>
      </c>
      <c r="C5907" s="687" t="s">
        <v>1633</v>
      </c>
      <c r="D5907" s="125"/>
    </row>
    <row r="5908">
      <c r="A5908" s="122" t="s">
        <v>1632</v>
      </c>
      <c r="B5908" s="123">
        <v>1852973.0</v>
      </c>
      <c r="C5908" s="687" t="s">
        <v>1633</v>
      </c>
      <c r="D5908" s="125"/>
    </row>
    <row r="5909">
      <c r="A5909" s="122" t="s">
        <v>8311</v>
      </c>
      <c r="B5909" s="123">
        <v>1852973.0</v>
      </c>
      <c r="C5909" s="687" t="s">
        <v>8312</v>
      </c>
      <c r="D5909" s="125"/>
    </row>
    <row r="5910">
      <c r="A5910" s="122" t="s">
        <v>33993</v>
      </c>
      <c r="B5910" s="123">
        <v>1679817.0</v>
      </c>
      <c r="C5910" s="687" t="s">
        <v>33994</v>
      </c>
      <c r="D5910" s="125"/>
    </row>
    <row r="5911">
      <c r="A5911" s="122" t="s">
        <v>11463</v>
      </c>
      <c r="B5911" s="123">
        <v>798287.0</v>
      </c>
      <c r="C5911" s="687" t="s">
        <v>11464</v>
      </c>
      <c r="D5911" s="125"/>
    </row>
    <row r="5912">
      <c r="A5912" s="122" t="s">
        <v>7912</v>
      </c>
      <c r="B5912" s="123">
        <v>1841968.0</v>
      </c>
      <c r="C5912" s="687" t="s">
        <v>7913</v>
      </c>
      <c r="D5912" s="125"/>
    </row>
    <row r="5913">
      <c r="A5913" s="122" t="s">
        <v>1469</v>
      </c>
      <c r="B5913" s="123">
        <v>1832511.0</v>
      </c>
      <c r="C5913" s="687" t="s">
        <v>1470</v>
      </c>
      <c r="D5913" s="125"/>
    </row>
    <row r="5914">
      <c r="A5914" s="122" t="s">
        <v>4042</v>
      </c>
      <c r="B5914" s="123">
        <v>1832511.0</v>
      </c>
      <c r="C5914" s="687" t="s">
        <v>4043</v>
      </c>
      <c r="D5914" s="125"/>
    </row>
    <row r="5915">
      <c r="A5915" s="122" t="s">
        <v>15437</v>
      </c>
      <c r="B5915" s="123">
        <v>75362.0</v>
      </c>
      <c r="C5915" s="687" t="s">
        <v>15438</v>
      </c>
      <c r="D5915" s="125"/>
    </row>
    <row r="5916">
      <c r="A5916" s="122" t="s">
        <v>16774</v>
      </c>
      <c r="B5916" s="123">
        <v>1872195.0</v>
      </c>
      <c r="C5916" s="687" t="s">
        <v>16775</v>
      </c>
      <c r="D5916" s="125"/>
    </row>
    <row r="5917">
      <c r="A5917" s="122" t="s">
        <v>7268</v>
      </c>
      <c r="B5917" s="123">
        <v>1299130.0</v>
      </c>
      <c r="C5917" s="687" t="s">
        <v>7269</v>
      </c>
      <c r="D5917" s="125"/>
    </row>
    <row r="5918">
      <c r="A5918" s="122" t="s">
        <v>2721</v>
      </c>
      <c r="B5918" s="123">
        <v>1319150.0</v>
      </c>
      <c r="C5918" s="687" t="s">
        <v>2722</v>
      </c>
      <c r="D5918" s="125"/>
    </row>
    <row r="5919">
      <c r="A5919" s="122" t="s">
        <v>8787</v>
      </c>
      <c r="B5919" s="123">
        <v>1093728.0</v>
      </c>
      <c r="C5919" s="687" t="s">
        <v>8788</v>
      </c>
      <c r="D5919" s="125"/>
    </row>
    <row r="5920">
      <c r="A5920" s="122" t="s">
        <v>3017</v>
      </c>
      <c r="B5920" s="123">
        <v>1553404.0</v>
      </c>
      <c r="C5920" s="687" t="s">
        <v>3018</v>
      </c>
      <c r="D5920" s="125"/>
    </row>
    <row r="5921">
      <c r="A5921" s="122" t="s">
        <v>3323</v>
      </c>
      <c r="B5921" s="123">
        <v>1138476.0</v>
      </c>
      <c r="C5921" s="687" t="s">
        <v>3324</v>
      </c>
      <c r="D5921" s="125"/>
    </row>
    <row r="5922">
      <c r="A5922" s="122" t="s">
        <v>6022</v>
      </c>
      <c r="B5922" s="123">
        <v>1452936.0</v>
      </c>
      <c r="C5922" s="687" t="s">
        <v>6023</v>
      </c>
      <c r="D5922" s="125"/>
    </row>
    <row r="5923">
      <c r="A5923" s="122" t="s">
        <v>12332</v>
      </c>
      <c r="B5923" s="123">
        <v>1028918.0</v>
      </c>
      <c r="C5923" s="687" t="s">
        <v>12333</v>
      </c>
      <c r="D5923" s="125"/>
    </row>
    <row r="5924">
      <c r="A5924" s="122" t="s">
        <v>1369</v>
      </c>
      <c r="B5924" s="123">
        <v>1400732.0</v>
      </c>
      <c r="C5924" s="687" t="s">
        <v>1370</v>
      </c>
      <c r="D5924" s="125"/>
    </row>
    <row r="5925">
      <c r="A5925" s="122" t="s">
        <v>33995</v>
      </c>
      <c r="B5925" s="123">
        <v>1163612.0</v>
      </c>
      <c r="C5925" s="687" t="s">
        <v>33996</v>
      </c>
      <c r="D5925" s="125"/>
    </row>
    <row r="5926">
      <c r="A5926" s="122" t="s">
        <v>33997</v>
      </c>
      <c r="B5926" s="123">
        <v>882800.0</v>
      </c>
      <c r="C5926" s="687" t="s">
        <v>33998</v>
      </c>
      <c r="D5926" s="125"/>
    </row>
    <row r="5927">
      <c r="A5927" s="122" t="s">
        <v>15230</v>
      </c>
      <c r="B5927" s="123">
        <v>75594.0</v>
      </c>
      <c r="C5927" s="687" t="s">
        <v>15231</v>
      </c>
      <c r="D5927" s="125"/>
    </row>
    <row r="5928">
      <c r="A5928" s="122" t="s">
        <v>12826</v>
      </c>
      <c r="B5928" s="123">
        <v>1396814.0</v>
      </c>
      <c r="C5928" s="687" t="s">
        <v>12827</v>
      </c>
      <c r="D5928" s="125"/>
    </row>
    <row r="5929">
      <c r="A5929" s="122" t="s">
        <v>15956</v>
      </c>
      <c r="B5929" s="123">
        <v>75677.0</v>
      </c>
      <c r="C5929" s="687" t="s">
        <v>15957</v>
      </c>
      <c r="D5929" s="125"/>
    </row>
    <row r="5930">
      <c r="A5930" s="122" t="s">
        <v>10291</v>
      </c>
      <c r="B5930" s="123">
        <v>1527508.0</v>
      </c>
      <c r="C5930" s="687" t="s">
        <v>10292</v>
      </c>
      <c r="D5930" s="125"/>
    </row>
    <row r="5931">
      <c r="A5931" s="122" t="s">
        <v>3961</v>
      </c>
      <c r="B5931" s="123">
        <v>1883085.0</v>
      </c>
      <c r="C5931" s="687" t="s">
        <v>1953</v>
      </c>
      <c r="D5931" s="125"/>
    </row>
    <row r="5932">
      <c r="A5932" s="122" t="s">
        <v>1952</v>
      </c>
      <c r="B5932" s="123">
        <v>1883085.0</v>
      </c>
      <c r="C5932" s="687" t="s">
        <v>1953</v>
      </c>
      <c r="D5932" s="125"/>
    </row>
    <row r="5933">
      <c r="A5933" s="122" t="s">
        <v>12043</v>
      </c>
      <c r="B5933" s="123">
        <v>1568100.0</v>
      </c>
      <c r="C5933" s="687" t="s">
        <v>12044</v>
      </c>
      <c r="D5933" s="125"/>
    </row>
    <row r="5934">
      <c r="A5934" s="122" t="s">
        <v>10035</v>
      </c>
      <c r="B5934" s="123">
        <v>1712807.0</v>
      </c>
      <c r="C5934" s="687" t="s">
        <v>10036</v>
      </c>
      <c r="D5934" s="125"/>
    </row>
    <row r="5935">
      <c r="A5935" s="122" t="s">
        <v>4437</v>
      </c>
      <c r="B5935" s="123">
        <v>1017655.0</v>
      </c>
      <c r="C5935" s="687" t="s">
        <v>4438</v>
      </c>
      <c r="D5935" s="125"/>
    </row>
    <row r="5936">
      <c r="A5936" s="122" t="s">
        <v>4760</v>
      </c>
      <c r="B5936" s="123">
        <v>1801834.0</v>
      </c>
      <c r="C5936" s="687" t="s">
        <v>4761</v>
      </c>
      <c r="D5936" s="125"/>
    </row>
    <row r="5937">
      <c r="A5937" s="122" t="s">
        <v>10856</v>
      </c>
      <c r="B5937" s="123">
        <v>1321655.0</v>
      </c>
      <c r="C5937" s="687" t="s">
        <v>10857</v>
      </c>
      <c r="D5937" s="125"/>
    </row>
    <row r="5938">
      <c r="A5938" s="122" t="s">
        <v>5944</v>
      </c>
      <c r="B5938" s="123">
        <v>911216.0</v>
      </c>
      <c r="C5938" s="687" t="s">
        <v>5945</v>
      </c>
      <c r="D5938" s="125"/>
    </row>
    <row r="5939">
      <c r="A5939" s="122" t="s">
        <v>33999</v>
      </c>
      <c r="B5939" s="123">
        <v>1612851.0</v>
      </c>
      <c r="C5939" s="687" t="s">
        <v>34000</v>
      </c>
      <c r="D5939" s="125"/>
    </row>
    <row r="5940">
      <c r="A5940" s="122" t="s">
        <v>3073</v>
      </c>
      <c r="B5940" s="123">
        <v>1357459.0</v>
      </c>
      <c r="C5940" s="687" t="s">
        <v>3074</v>
      </c>
      <c r="D5940" s="125"/>
    </row>
    <row r="5941">
      <c r="A5941" s="122" t="s">
        <v>16465</v>
      </c>
      <c r="B5941" s="123">
        <v>1327567.0</v>
      </c>
      <c r="C5941" s="687" t="s">
        <v>16466</v>
      </c>
      <c r="D5941" s="125"/>
    </row>
    <row r="5942">
      <c r="A5942" s="122" t="s">
        <v>14391</v>
      </c>
      <c r="B5942" s="123">
        <v>1761312.0</v>
      </c>
      <c r="C5942" s="687" t="s">
        <v>14392</v>
      </c>
      <c r="D5942" s="125"/>
    </row>
    <row r="5943">
      <c r="A5943" s="122" t="s">
        <v>6526</v>
      </c>
      <c r="B5943" s="123">
        <v>1355839.0</v>
      </c>
      <c r="C5943" s="687" t="s">
        <v>6527</v>
      </c>
      <c r="D5943" s="125"/>
    </row>
    <row r="5944">
      <c r="A5944" s="122" t="s">
        <v>14017</v>
      </c>
      <c r="B5944" s="123">
        <v>1469395.0</v>
      </c>
      <c r="C5944" s="687" t="s">
        <v>14018</v>
      </c>
      <c r="D5944" s="125"/>
    </row>
    <row r="5945">
      <c r="A5945" s="122" t="s">
        <v>10089</v>
      </c>
      <c r="B5945" s="123">
        <v>771992.0</v>
      </c>
      <c r="C5945" s="687" t="s">
        <v>10090</v>
      </c>
      <c r="D5945" s="125"/>
    </row>
    <row r="5946">
      <c r="A5946" s="122" t="s">
        <v>11833</v>
      </c>
      <c r="B5946" s="123">
        <v>1446597.0</v>
      </c>
      <c r="C5946" s="687" t="s">
        <v>11834</v>
      </c>
      <c r="D5946" s="125"/>
    </row>
    <row r="5947">
      <c r="A5947" s="122" t="s">
        <v>11675</v>
      </c>
      <c r="B5947" s="123">
        <v>1446597.0</v>
      </c>
      <c r="C5947" s="687" t="s">
        <v>11676</v>
      </c>
      <c r="D5947" s="125"/>
    </row>
    <row r="5948">
      <c r="A5948" s="122" t="s">
        <v>2295</v>
      </c>
      <c r="B5948" s="123">
        <v>1552189.0</v>
      </c>
      <c r="C5948" s="687" t="s">
        <v>2296</v>
      </c>
      <c r="D5948" s="125"/>
    </row>
    <row r="5949">
      <c r="A5949" s="122" t="s">
        <v>4409</v>
      </c>
      <c r="B5949" s="123">
        <v>1620749.0</v>
      </c>
      <c r="C5949" s="687" t="s">
        <v>4410</v>
      </c>
      <c r="D5949" s="125"/>
    </row>
    <row r="5950">
      <c r="A5950" s="122" t="s">
        <v>8113</v>
      </c>
      <c r="B5950" s="123">
        <v>63271.0</v>
      </c>
      <c r="C5950" s="687" t="s">
        <v>8114</v>
      </c>
      <c r="D5950" s="125"/>
    </row>
    <row r="5951">
      <c r="A5951" s="122" t="s">
        <v>8247</v>
      </c>
      <c r="B5951" s="123">
        <v>63271.0</v>
      </c>
      <c r="C5951" s="687" t="s">
        <v>8114</v>
      </c>
      <c r="D5951" s="125"/>
    </row>
    <row r="5952">
      <c r="A5952" s="122" t="s">
        <v>4018</v>
      </c>
      <c r="B5952" s="123">
        <v>1029125.0</v>
      </c>
      <c r="C5952" s="687" t="s">
        <v>4019</v>
      </c>
      <c r="D5952" s="125"/>
    </row>
    <row r="5953">
      <c r="A5953" s="122" t="s">
        <v>8075</v>
      </c>
      <c r="B5953" s="123">
        <v>1606909.0</v>
      </c>
      <c r="C5953" s="687" t="s">
        <v>8076</v>
      </c>
      <c r="D5953" s="125"/>
    </row>
    <row r="5954">
      <c r="A5954" s="122" t="s">
        <v>1245</v>
      </c>
      <c r="B5954" s="123">
        <v>1811764.0</v>
      </c>
      <c r="C5954" s="687" t="s">
        <v>1246</v>
      </c>
      <c r="D5954" s="125"/>
    </row>
    <row r="5955">
      <c r="A5955" s="122" t="s">
        <v>14862</v>
      </c>
      <c r="B5955" s="123">
        <v>901491.0</v>
      </c>
      <c r="C5955" s="687" t="s">
        <v>14863</v>
      </c>
      <c r="D5955" s="125"/>
    </row>
    <row r="5956">
      <c r="A5956" s="122" t="s">
        <v>1559</v>
      </c>
      <c r="B5956" s="123">
        <v>1894057.0</v>
      </c>
      <c r="C5956" s="687" t="s">
        <v>1560</v>
      </c>
      <c r="D5956" s="125"/>
    </row>
    <row r="5957">
      <c r="A5957" s="122" t="s">
        <v>8882</v>
      </c>
      <c r="B5957" s="123">
        <v>1894057.0</v>
      </c>
      <c r="C5957" s="687" t="s">
        <v>8883</v>
      </c>
      <c r="D5957" s="125"/>
    </row>
    <row r="5958">
      <c r="A5958" s="122" t="s">
        <v>9587</v>
      </c>
      <c r="B5958" s="123">
        <v>1894057.0</v>
      </c>
      <c r="C5958" s="687" t="s">
        <v>9588</v>
      </c>
      <c r="D5958" s="125"/>
    </row>
    <row r="5959">
      <c r="A5959" s="122" t="s">
        <v>13372</v>
      </c>
      <c r="B5959" s="123">
        <v>821483.0</v>
      </c>
      <c r="C5959" s="687" t="s">
        <v>13373</v>
      </c>
      <c r="D5959" s="125"/>
    </row>
    <row r="5960">
      <c r="A5960" s="122" t="s">
        <v>13908</v>
      </c>
      <c r="B5960" s="123">
        <v>708821.0</v>
      </c>
      <c r="C5960" s="687" t="s">
        <v>13909</v>
      </c>
      <c r="D5960" s="125"/>
    </row>
    <row r="5961">
      <c r="A5961" s="122" t="s">
        <v>10887</v>
      </c>
      <c r="B5961" s="123">
        <v>1829237.0</v>
      </c>
      <c r="C5961" s="687" t="s">
        <v>10888</v>
      </c>
      <c r="D5961" s="125"/>
    </row>
    <row r="5962">
      <c r="A5962" s="122" t="s">
        <v>10037</v>
      </c>
      <c r="B5962" s="123">
        <v>1531978.0</v>
      </c>
      <c r="C5962" s="687" t="s">
        <v>10038</v>
      </c>
      <c r="D5962" s="125"/>
    </row>
    <row r="5963">
      <c r="A5963" s="122" t="s">
        <v>790</v>
      </c>
      <c r="B5963" s="123">
        <v>928953.0</v>
      </c>
      <c r="C5963" s="687" t="s">
        <v>791</v>
      </c>
      <c r="D5963" s="125"/>
    </row>
    <row r="5964">
      <c r="A5964" s="122" t="s">
        <v>10295</v>
      </c>
      <c r="B5964" s="123">
        <v>813828.0</v>
      </c>
      <c r="C5964" s="687" t="s">
        <v>10296</v>
      </c>
      <c r="D5964" s="125"/>
    </row>
    <row r="5965">
      <c r="A5965" s="122" t="s">
        <v>6349</v>
      </c>
      <c r="B5965" s="123">
        <v>1605607.0</v>
      </c>
      <c r="C5965" s="687" t="s">
        <v>6350</v>
      </c>
      <c r="D5965" s="125"/>
    </row>
    <row r="5966">
      <c r="A5966" s="122" t="s">
        <v>3337</v>
      </c>
      <c r="B5966" s="123">
        <v>1916241.0</v>
      </c>
      <c r="C5966" s="687" t="s">
        <v>3338</v>
      </c>
      <c r="D5966" s="125"/>
    </row>
    <row r="5967">
      <c r="A5967" s="122" t="s">
        <v>593</v>
      </c>
      <c r="B5967" s="123">
        <v>1819074.0</v>
      </c>
      <c r="C5967" s="687" t="s">
        <v>594</v>
      </c>
      <c r="D5967" s="125"/>
    </row>
    <row r="5968">
      <c r="A5968" s="122" t="s">
        <v>10301</v>
      </c>
      <c r="B5968" s="123">
        <v>76267.0</v>
      </c>
      <c r="C5968" s="687" t="s">
        <v>10302</v>
      </c>
      <c r="D5968" s="125"/>
    </row>
    <row r="5969">
      <c r="A5969" s="122" t="s">
        <v>10467</v>
      </c>
      <c r="B5969" s="123">
        <v>1617406.0</v>
      </c>
      <c r="C5969" s="687" t="s">
        <v>10468</v>
      </c>
      <c r="D5969" s="125"/>
    </row>
    <row r="5970">
      <c r="A5970" s="122" t="s">
        <v>15711</v>
      </c>
      <c r="B5970" s="123">
        <v>805676.0</v>
      </c>
      <c r="C5970" s="687" t="s">
        <v>15712</v>
      </c>
      <c r="D5970" s="125"/>
    </row>
    <row r="5971">
      <c r="A5971" s="122" t="s">
        <v>12304</v>
      </c>
      <c r="B5971" s="123">
        <v>76282.0</v>
      </c>
      <c r="C5971" s="687" t="s">
        <v>12305</v>
      </c>
      <c r="D5971" s="125"/>
    </row>
    <row r="5972">
      <c r="A5972" s="122" t="s">
        <v>11044</v>
      </c>
      <c r="B5972" s="123">
        <v>1315399.0</v>
      </c>
      <c r="C5972" s="687" t="s">
        <v>11045</v>
      </c>
      <c r="D5972" s="125"/>
    </row>
    <row r="5973">
      <c r="A5973" s="122" t="s">
        <v>8190</v>
      </c>
      <c r="B5973" s="123">
        <v>76321.0</v>
      </c>
      <c r="C5973" s="687" t="s">
        <v>8191</v>
      </c>
      <c r="D5973" s="125"/>
    </row>
    <row r="5974">
      <c r="A5974" s="122" t="s">
        <v>16611</v>
      </c>
      <c r="B5974" s="123">
        <v>76334.0</v>
      </c>
      <c r="C5974" s="687" t="s">
        <v>16612</v>
      </c>
      <c r="D5974" s="125"/>
    </row>
    <row r="5975">
      <c r="A5975" s="122" t="s">
        <v>2235</v>
      </c>
      <c r="B5975" s="123">
        <v>914139.0</v>
      </c>
      <c r="C5975" s="687" t="s">
        <v>2236</v>
      </c>
      <c r="D5975" s="125"/>
    </row>
    <row r="5976">
      <c r="A5976" s="122" t="s">
        <v>13975</v>
      </c>
      <c r="B5976" s="123">
        <v>31791.0</v>
      </c>
      <c r="C5976" s="687" t="s">
        <v>13976</v>
      </c>
      <c r="D5976" s="125"/>
    </row>
    <row r="5977">
      <c r="A5977" s="122" t="s">
        <v>2999</v>
      </c>
      <c r="B5977" s="123">
        <v>1297937.0</v>
      </c>
      <c r="C5977" s="687" t="s">
        <v>3000</v>
      </c>
      <c r="D5977" s="125"/>
    </row>
    <row r="5978">
      <c r="A5978" s="122" t="s">
        <v>14640</v>
      </c>
      <c r="B5978" s="123">
        <v>275880.0</v>
      </c>
      <c r="C5978" s="687" t="s">
        <v>14641</v>
      </c>
      <c r="D5978" s="125"/>
    </row>
    <row r="5979">
      <c r="A5979" s="122" t="s">
        <v>16721</v>
      </c>
      <c r="B5979" s="123">
        <v>1096691.0</v>
      </c>
      <c r="C5979" s="687" t="s">
        <v>16722</v>
      </c>
      <c r="D5979" s="125"/>
    </row>
    <row r="5980">
      <c r="A5980" s="122" t="s">
        <v>659</v>
      </c>
      <c r="B5980" s="123">
        <v>1841330.0</v>
      </c>
      <c r="C5980" s="687" t="s">
        <v>660</v>
      </c>
      <c r="D5980" s="125"/>
    </row>
    <row r="5981">
      <c r="A5981" s="122" t="s">
        <v>7194</v>
      </c>
      <c r="B5981" s="123">
        <v>1841330.0</v>
      </c>
      <c r="C5981" s="687" t="s">
        <v>7195</v>
      </c>
      <c r="D5981" s="125"/>
    </row>
    <row r="5982">
      <c r="A5982" s="122" t="s">
        <v>3833</v>
      </c>
      <c r="B5982" s="123">
        <v>1787297.0</v>
      </c>
      <c r="C5982" s="687" t="s">
        <v>3834</v>
      </c>
      <c r="D5982" s="125"/>
    </row>
    <row r="5983">
      <c r="A5983" s="122" t="s">
        <v>444</v>
      </c>
      <c r="B5983" s="123">
        <v>225628.0</v>
      </c>
      <c r="C5983" s="687" t="s">
        <v>445</v>
      </c>
      <c r="D5983" s="125"/>
    </row>
    <row r="5984">
      <c r="A5984" s="122" t="s">
        <v>673</v>
      </c>
      <c r="B5984" s="123">
        <v>1551206.0</v>
      </c>
      <c r="C5984" s="687" t="s">
        <v>674</v>
      </c>
      <c r="D5984" s="125"/>
    </row>
    <row r="5985">
      <c r="A5985" s="122" t="s">
        <v>9967</v>
      </c>
      <c r="B5985" s="123">
        <v>1609065.0</v>
      </c>
      <c r="C5985" s="687" t="s">
        <v>9968</v>
      </c>
      <c r="D5985" s="125"/>
    </row>
    <row r="5986">
      <c r="A5986" s="122" t="s">
        <v>14078</v>
      </c>
      <c r="B5986" s="123">
        <v>907471.0</v>
      </c>
      <c r="C5986" s="687" t="s">
        <v>14079</v>
      </c>
      <c r="D5986" s="125"/>
    </row>
    <row r="5987">
      <c r="A5987" s="122" t="s">
        <v>10272</v>
      </c>
      <c r="B5987" s="123">
        <v>1825570.0</v>
      </c>
      <c r="C5987" s="687" t="s">
        <v>10273</v>
      </c>
      <c r="D5987" s="125"/>
    </row>
    <row r="5988">
      <c r="A5988" s="122" t="s">
        <v>1465</v>
      </c>
      <c r="B5988" s="123">
        <v>1849737.0</v>
      </c>
      <c r="C5988" s="687" t="s">
        <v>1466</v>
      </c>
      <c r="D5988" s="125"/>
    </row>
    <row r="5989">
      <c r="A5989" s="122" t="s">
        <v>9275</v>
      </c>
      <c r="B5989" s="123">
        <v>1849737.0</v>
      </c>
      <c r="C5989" s="687" t="s">
        <v>9276</v>
      </c>
      <c r="D5989" s="125"/>
    </row>
    <row r="5990">
      <c r="A5990" s="122" t="s">
        <v>9273</v>
      </c>
      <c r="B5990" s="123">
        <v>1849737.0</v>
      </c>
      <c r="C5990" s="687" t="s">
        <v>9274</v>
      </c>
      <c r="D5990" s="125"/>
    </row>
    <row r="5991">
      <c r="A5991" s="122" t="s">
        <v>15423</v>
      </c>
      <c r="B5991" s="123">
        <v>76605.0</v>
      </c>
      <c r="C5991" s="687" t="s">
        <v>15424</v>
      </c>
      <c r="D5991" s="125"/>
    </row>
    <row r="5992">
      <c r="A5992" s="122" t="s">
        <v>1745</v>
      </c>
      <c r="B5992" s="123">
        <v>1080448.0</v>
      </c>
      <c r="C5992" s="687" t="s">
        <v>1746</v>
      </c>
      <c r="D5992" s="125"/>
    </row>
    <row r="5993">
      <c r="A5993" s="122" t="s">
        <v>6327</v>
      </c>
      <c r="B5993" s="123">
        <v>1098146.0</v>
      </c>
      <c r="C5993" s="687" t="s">
        <v>6328</v>
      </c>
      <c r="D5993" s="125"/>
    </row>
    <row r="5994">
      <c r="A5994" s="122" t="s">
        <v>12775</v>
      </c>
      <c r="B5994" s="123">
        <v>891024.0</v>
      </c>
      <c r="C5994" s="687" t="s">
        <v>12776</v>
      </c>
      <c r="D5994" s="125"/>
    </row>
    <row r="5995">
      <c r="A5995" s="122" t="s">
        <v>8558</v>
      </c>
      <c r="B5995" s="123">
        <v>889900.0</v>
      </c>
      <c r="C5995" s="687" t="s">
        <v>8559</v>
      </c>
      <c r="D5995" s="125"/>
    </row>
    <row r="5996">
      <c r="A5996" s="122" t="s">
        <v>5175</v>
      </c>
      <c r="B5996" s="123">
        <v>1842939.0</v>
      </c>
      <c r="C5996" s="687" t="s">
        <v>5176</v>
      </c>
      <c r="D5996" s="125"/>
    </row>
    <row r="5997">
      <c r="A5997" s="122" t="s">
        <v>4848</v>
      </c>
      <c r="B5997" s="123">
        <v>1624326.0</v>
      </c>
      <c r="C5997" s="687" t="s">
        <v>1526</v>
      </c>
      <c r="D5997" s="125"/>
    </row>
    <row r="5998">
      <c r="A5998" s="122" t="s">
        <v>1525</v>
      </c>
      <c r="B5998" s="123">
        <v>1624326.0</v>
      </c>
      <c r="C5998" s="687" t="s">
        <v>1526</v>
      </c>
      <c r="D5998" s="125"/>
    </row>
    <row r="5999">
      <c r="A5999" s="122" t="s">
        <v>2943</v>
      </c>
      <c r="B5999" s="123">
        <v>1811623.0</v>
      </c>
      <c r="C5999" s="687" t="s">
        <v>2944</v>
      </c>
      <c r="D5999" s="125"/>
    </row>
    <row r="6000">
      <c r="A6000" s="122" t="s">
        <v>15644</v>
      </c>
      <c r="B6000" s="123">
        <v>723531.0</v>
      </c>
      <c r="C6000" s="687" t="s">
        <v>15537</v>
      </c>
      <c r="D6000" s="125"/>
    </row>
    <row r="6001">
      <c r="A6001" s="122" t="s">
        <v>15536</v>
      </c>
      <c r="B6001" s="123">
        <v>1855751.0</v>
      </c>
      <c r="C6001" s="687" t="s">
        <v>15537</v>
      </c>
      <c r="D6001" s="125"/>
    </row>
    <row r="6002">
      <c r="A6002" s="122" t="s">
        <v>16137</v>
      </c>
      <c r="B6002" s="123">
        <v>1590955.0</v>
      </c>
      <c r="C6002" s="687" t="s">
        <v>16138</v>
      </c>
      <c r="D6002" s="125"/>
    </row>
    <row r="6003">
      <c r="A6003" s="122" t="s">
        <v>11447</v>
      </c>
      <c r="B6003" s="123">
        <v>1839439.0</v>
      </c>
      <c r="C6003" s="687" t="s">
        <v>11448</v>
      </c>
      <c r="D6003" s="125"/>
    </row>
    <row r="6004">
      <c r="A6004" s="122" t="s">
        <v>15966</v>
      </c>
      <c r="B6004" s="123">
        <v>1591698.0</v>
      </c>
      <c r="C6004" s="687" t="s">
        <v>15967</v>
      </c>
      <c r="D6004" s="125"/>
    </row>
    <row r="6005">
      <c r="A6005" s="122" t="s">
        <v>10659</v>
      </c>
      <c r="B6005" s="123">
        <v>1841156.0</v>
      </c>
      <c r="C6005" s="687" t="s">
        <v>10660</v>
      </c>
      <c r="D6005" s="125"/>
    </row>
    <row r="6006">
      <c r="A6006" s="122" t="s">
        <v>2614</v>
      </c>
      <c r="B6006" s="123">
        <v>1845815.0</v>
      </c>
      <c r="C6006" s="687" t="s">
        <v>2615</v>
      </c>
      <c r="D6006" s="125"/>
    </row>
    <row r="6007">
      <c r="A6007" s="122" t="s">
        <v>6498</v>
      </c>
      <c r="B6007" s="123">
        <v>1845815.0</v>
      </c>
      <c r="C6007" s="687" t="s">
        <v>6499</v>
      </c>
      <c r="D6007" s="125"/>
    </row>
    <row r="6008">
      <c r="A6008" s="122" t="s">
        <v>14545</v>
      </c>
      <c r="B6008" s="123">
        <v>1633917.0</v>
      </c>
      <c r="C6008" s="687" t="s">
        <v>14546</v>
      </c>
      <c r="D6008" s="125"/>
    </row>
    <row r="6009">
      <c r="A6009" s="122" t="s">
        <v>10366</v>
      </c>
      <c r="B6009" s="123">
        <v>1833835.0</v>
      </c>
      <c r="C6009" s="687" t="s">
        <v>10367</v>
      </c>
      <c r="D6009" s="125"/>
    </row>
    <row r="6010">
      <c r="A6010" s="122" t="s">
        <v>5523</v>
      </c>
      <c r="B6010" s="123">
        <v>1496443.0</v>
      </c>
      <c r="C6010" s="687" t="s">
        <v>5524</v>
      </c>
      <c r="D6010" s="125"/>
    </row>
    <row r="6011">
      <c r="A6011" s="122" t="s">
        <v>34001</v>
      </c>
      <c r="B6011" s="123">
        <v>1533427.0</v>
      </c>
      <c r="C6011" s="687" t="s">
        <v>34002</v>
      </c>
      <c r="D6011" s="125"/>
    </row>
    <row r="6012">
      <c r="A6012" s="122" t="s">
        <v>9873</v>
      </c>
      <c r="B6012" s="123">
        <v>1849670.0</v>
      </c>
      <c r="C6012" s="687" t="s">
        <v>9874</v>
      </c>
      <c r="D6012" s="125"/>
    </row>
    <row r="6013">
      <c r="A6013" s="122" t="s">
        <v>14065</v>
      </c>
      <c r="B6013" s="123">
        <v>1534504.0</v>
      </c>
      <c r="C6013" s="687" t="s">
        <v>14066</v>
      </c>
      <c r="D6013" s="125"/>
    </row>
    <row r="6014">
      <c r="A6014" s="122" t="s">
        <v>14657</v>
      </c>
      <c r="B6014" s="123">
        <v>1050377.0</v>
      </c>
      <c r="C6014" s="687" t="s">
        <v>14658</v>
      </c>
      <c r="D6014" s="125"/>
    </row>
    <row r="6015">
      <c r="A6015" s="122" t="s">
        <v>10796</v>
      </c>
      <c r="B6015" s="123">
        <v>1423869.0</v>
      </c>
      <c r="C6015" s="687" t="s">
        <v>10797</v>
      </c>
      <c r="D6015" s="125"/>
    </row>
    <row r="6016">
      <c r="A6016" s="122" t="s">
        <v>7719</v>
      </c>
      <c r="B6016" s="123">
        <v>908187.0</v>
      </c>
      <c r="C6016" s="687" t="s">
        <v>7720</v>
      </c>
      <c r="D6016" s="125"/>
    </row>
    <row r="6017">
      <c r="A6017" s="122" t="s">
        <v>34003</v>
      </c>
      <c r="B6017" s="123">
        <v>1119897.0</v>
      </c>
      <c r="C6017" s="687" t="s">
        <v>34004</v>
      </c>
      <c r="D6017" s="125"/>
    </row>
    <row r="6018">
      <c r="A6018" s="122" t="s">
        <v>15674</v>
      </c>
      <c r="B6018" s="123">
        <v>1737806.0</v>
      </c>
      <c r="C6018" s="687" t="s">
        <v>15675</v>
      </c>
      <c r="D6018" s="125"/>
    </row>
    <row r="6019">
      <c r="A6019" s="122" t="s">
        <v>12992</v>
      </c>
      <c r="B6019" s="123">
        <v>1120914.0</v>
      </c>
      <c r="C6019" s="687" t="s">
        <v>12993</v>
      </c>
      <c r="D6019" s="125"/>
    </row>
    <row r="6020">
      <c r="A6020" s="122" t="s">
        <v>12517</v>
      </c>
      <c r="B6020" s="123">
        <v>1064728.0</v>
      </c>
      <c r="C6020" s="687" t="s">
        <v>12518</v>
      </c>
      <c r="D6020" s="125"/>
    </row>
    <row r="6021">
      <c r="A6021" s="122" t="s">
        <v>12490</v>
      </c>
      <c r="B6021" s="123">
        <v>1050743.0</v>
      </c>
      <c r="C6021" s="687" t="s">
        <v>12491</v>
      </c>
      <c r="D6021" s="125"/>
    </row>
    <row r="6022">
      <c r="A6022" s="122" t="s">
        <v>1467</v>
      </c>
      <c r="B6022" s="123">
        <v>1856161.0</v>
      </c>
      <c r="C6022" s="687" t="s">
        <v>1468</v>
      </c>
      <c r="D6022" s="125"/>
    </row>
    <row r="6023">
      <c r="A6023" s="122" t="s">
        <v>8791</v>
      </c>
      <c r="B6023" s="123">
        <v>1856161.0</v>
      </c>
      <c r="C6023" s="687" t="s">
        <v>8792</v>
      </c>
      <c r="D6023" s="125"/>
    </row>
    <row r="6024">
      <c r="A6024" s="122" t="s">
        <v>8712</v>
      </c>
      <c r="B6024" s="123">
        <v>1856161.0</v>
      </c>
      <c r="C6024" s="687" t="s">
        <v>8713</v>
      </c>
      <c r="D6024" s="125"/>
    </row>
    <row r="6025">
      <c r="A6025" s="122" t="s">
        <v>9659</v>
      </c>
      <c r="B6025" s="123">
        <v>938323.0</v>
      </c>
      <c r="C6025" s="687" t="s">
        <v>9660</v>
      </c>
      <c r="D6025" s="125"/>
    </row>
    <row r="6026">
      <c r="A6026" s="122" t="s">
        <v>9583</v>
      </c>
      <c r="B6026" s="123">
        <v>938323.0</v>
      </c>
      <c r="C6026" s="687" t="s">
        <v>9584</v>
      </c>
      <c r="D6026" s="125"/>
    </row>
    <row r="6027">
      <c r="A6027" s="122" t="s">
        <v>10510</v>
      </c>
      <c r="B6027" s="123">
        <v>1474098.0</v>
      </c>
      <c r="C6027" s="687" t="s">
        <v>10511</v>
      </c>
      <c r="D6027" s="125"/>
    </row>
    <row r="6028">
      <c r="A6028" s="122" t="s">
        <v>3341</v>
      </c>
      <c r="B6028" s="123">
        <v>1141197.0</v>
      </c>
      <c r="C6028" s="687" t="s">
        <v>3342</v>
      </c>
      <c r="D6028" s="125"/>
    </row>
    <row r="6029">
      <c r="A6029" s="122" t="s">
        <v>8115</v>
      </c>
      <c r="B6029" s="123">
        <v>893949.0</v>
      </c>
      <c r="C6029" s="687" t="s">
        <v>8116</v>
      </c>
      <c r="D6029" s="125"/>
    </row>
    <row r="6030">
      <c r="A6030" s="122" t="s">
        <v>2069</v>
      </c>
      <c r="B6030" s="123">
        <v>1627554.0</v>
      </c>
      <c r="C6030" s="687" t="s">
        <v>2070</v>
      </c>
      <c r="D6030" s="125"/>
    </row>
    <row r="6031">
      <c r="A6031" s="122" t="s">
        <v>34005</v>
      </c>
      <c r="B6031" s="123">
        <v>1603494.0</v>
      </c>
      <c r="C6031" s="687" t="s">
        <v>34006</v>
      </c>
      <c r="D6031" s="125"/>
    </row>
    <row r="6032">
      <c r="A6032" s="122" t="s">
        <v>9261</v>
      </c>
      <c r="B6032" s="123">
        <v>1861541.0</v>
      </c>
      <c r="C6032" s="687" t="s">
        <v>9262</v>
      </c>
      <c r="D6032" s="125"/>
    </row>
    <row r="6033">
      <c r="A6033" s="122" t="s">
        <v>14068</v>
      </c>
      <c r="B6033" s="123">
        <v>1013857.0</v>
      </c>
      <c r="C6033" s="687" t="s">
        <v>14069</v>
      </c>
      <c r="D6033" s="125"/>
    </row>
    <row r="6034">
      <c r="A6034" s="122" t="s">
        <v>6195</v>
      </c>
      <c r="B6034" s="123">
        <v>1639825.0</v>
      </c>
      <c r="C6034" s="687" t="s">
        <v>6196</v>
      </c>
      <c r="D6034" s="125"/>
    </row>
    <row r="6035">
      <c r="A6035" s="122" t="s">
        <v>13153</v>
      </c>
      <c r="B6035" s="123">
        <v>1546066.0</v>
      </c>
      <c r="C6035" s="687" t="s">
        <v>13154</v>
      </c>
      <c r="D6035" s="125"/>
    </row>
    <row r="6036">
      <c r="A6036" s="122" t="s">
        <v>10378</v>
      </c>
      <c r="B6036" s="123">
        <v>1546066.0</v>
      </c>
      <c r="C6036" s="687" t="s">
        <v>10379</v>
      </c>
      <c r="D6036" s="125"/>
    </row>
    <row r="6037">
      <c r="A6037" s="122" t="s">
        <v>10463</v>
      </c>
      <c r="B6037" s="123">
        <v>1546066.0</v>
      </c>
      <c r="C6037" s="687" t="s">
        <v>10464</v>
      </c>
      <c r="D6037" s="125"/>
    </row>
    <row r="6038">
      <c r="A6038" s="122" t="s">
        <v>8263</v>
      </c>
      <c r="B6038" s="123">
        <v>1818787.0</v>
      </c>
      <c r="C6038" s="687" t="s">
        <v>8264</v>
      </c>
      <c r="D6038" s="125"/>
    </row>
    <row r="6039">
      <c r="A6039" s="122" t="s">
        <v>11687</v>
      </c>
      <c r="B6039" s="123">
        <v>921738.0</v>
      </c>
      <c r="C6039" s="687" t="s">
        <v>11688</v>
      </c>
      <c r="D6039" s="125"/>
    </row>
    <row r="6040">
      <c r="A6040" s="122" t="s">
        <v>10537</v>
      </c>
      <c r="B6040" s="123">
        <v>1766400.0</v>
      </c>
      <c r="C6040" s="687" t="s">
        <v>10538</v>
      </c>
      <c r="D6040" s="125"/>
    </row>
    <row r="6041">
      <c r="A6041" s="122" t="s">
        <v>9292</v>
      </c>
      <c r="B6041" s="123">
        <v>1504619.0</v>
      </c>
      <c r="C6041" s="687" t="s">
        <v>9293</v>
      </c>
      <c r="D6041" s="125"/>
    </row>
    <row r="6042">
      <c r="A6042" s="122" t="s">
        <v>7301</v>
      </c>
      <c r="B6042" s="123">
        <v>1383414.0</v>
      </c>
      <c r="C6042" s="687" t="s">
        <v>7302</v>
      </c>
      <c r="D6042" s="125"/>
    </row>
    <row r="6043">
      <c r="A6043" s="122" t="s">
        <v>10961</v>
      </c>
      <c r="B6043" s="123">
        <v>1455633.0</v>
      </c>
      <c r="C6043" s="687" t="s">
        <v>10962</v>
      </c>
      <c r="D6043" s="125"/>
    </row>
    <row r="6044">
      <c r="A6044" s="122" t="s">
        <v>8050</v>
      </c>
      <c r="B6044" s="123">
        <v>1455633.0</v>
      </c>
      <c r="C6044" s="687" t="s">
        <v>8051</v>
      </c>
      <c r="D6044" s="125"/>
    </row>
    <row r="6045">
      <c r="A6045" s="122" t="s">
        <v>11517</v>
      </c>
      <c r="B6045" s="123">
        <v>716605.0</v>
      </c>
      <c r="C6045" s="687" t="s">
        <v>11518</v>
      </c>
      <c r="D6045" s="125"/>
    </row>
    <row r="6046">
      <c r="A6046" s="122" t="s">
        <v>15272</v>
      </c>
      <c r="B6046" s="123">
        <v>1745916.0</v>
      </c>
      <c r="C6046" s="687" t="s">
        <v>15273</v>
      </c>
      <c r="D6046" s="125"/>
    </row>
    <row r="6047">
      <c r="A6047" s="122" t="s">
        <v>10181</v>
      </c>
      <c r="B6047" s="123">
        <v>1464423.0</v>
      </c>
      <c r="C6047" s="687" t="s">
        <v>10182</v>
      </c>
      <c r="D6047" s="125"/>
    </row>
    <row r="6048">
      <c r="A6048" s="122" t="s">
        <v>15902</v>
      </c>
      <c r="B6048" s="123">
        <v>1019849.0</v>
      </c>
      <c r="C6048" s="687" t="s">
        <v>15903</v>
      </c>
      <c r="D6048" s="125"/>
    </row>
    <row r="6049">
      <c r="A6049" s="122" t="s">
        <v>14858</v>
      </c>
      <c r="B6049" s="123">
        <v>77360.0</v>
      </c>
      <c r="C6049" s="687" t="s">
        <v>14859</v>
      </c>
      <c r="D6049" s="125"/>
    </row>
    <row r="6050">
      <c r="A6050" s="122" t="s">
        <v>16343</v>
      </c>
      <c r="B6050" s="123">
        <v>1321732.0</v>
      </c>
      <c r="C6050" s="687" t="s">
        <v>16344</v>
      </c>
      <c r="D6050" s="125"/>
    </row>
    <row r="6051">
      <c r="A6051" s="122" t="s">
        <v>12693</v>
      </c>
      <c r="B6051" s="123">
        <v>318300.0</v>
      </c>
      <c r="C6051" s="687" t="s">
        <v>12694</v>
      </c>
      <c r="D6051" s="125"/>
    </row>
    <row r="6052">
      <c r="A6052" s="122" t="s">
        <v>12588</v>
      </c>
      <c r="B6052" s="123">
        <v>1093672.0</v>
      </c>
      <c r="C6052" s="687" t="s">
        <v>12589</v>
      </c>
      <c r="D6052" s="125"/>
    </row>
    <row r="6053">
      <c r="A6053" s="122" t="s">
        <v>13713</v>
      </c>
      <c r="B6053" s="123">
        <v>1056943.0</v>
      </c>
      <c r="C6053" s="687" t="s">
        <v>13714</v>
      </c>
      <c r="D6053" s="125"/>
    </row>
    <row r="6054">
      <c r="A6054" s="122" t="s">
        <v>9489</v>
      </c>
      <c r="B6054" s="123">
        <v>1835597.0</v>
      </c>
      <c r="C6054" s="687" t="s">
        <v>9490</v>
      </c>
      <c r="D6054" s="125"/>
    </row>
    <row r="6055">
      <c r="A6055" s="122" t="s">
        <v>1309</v>
      </c>
      <c r="B6055" s="123">
        <v>1873324.0</v>
      </c>
      <c r="C6055" s="687" t="s">
        <v>1310</v>
      </c>
      <c r="D6055" s="125"/>
    </row>
    <row r="6056">
      <c r="A6056" s="122" t="s">
        <v>8966</v>
      </c>
      <c r="B6056" s="123">
        <v>1873324.0</v>
      </c>
      <c r="C6056" s="687" t="s">
        <v>8967</v>
      </c>
      <c r="D6056" s="125"/>
    </row>
    <row r="6057">
      <c r="A6057" s="122" t="s">
        <v>8894</v>
      </c>
      <c r="B6057" s="123">
        <v>1873324.0</v>
      </c>
      <c r="C6057" s="687" t="s">
        <v>8895</v>
      </c>
      <c r="D6057" s="125"/>
    </row>
    <row r="6058">
      <c r="A6058" s="122" t="s">
        <v>16010</v>
      </c>
      <c r="B6058" s="123">
        <v>77476.0</v>
      </c>
      <c r="C6058" s="687" t="s">
        <v>16011</v>
      </c>
      <c r="D6058" s="125"/>
    </row>
    <row r="6059">
      <c r="A6059" s="122" t="s">
        <v>6165</v>
      </c>
      <c r="B6059" s="123">
        <v>890394.0</v>
      </c>
      <c r="C6059" s="687" t="s">
        <v>6166</v>
      </c>
      <c r="D6059" s="125"/>
    </row>
    <row r="6060">
      <c r="A6060" s="122" t="s">
        <v>8696</v>
      </c>
      <c r="B6060" s="123">
        <v>1853580.0</v>
      </c>
      <c r="C6060" s="687" t="s">
        <v>8697</v>
      </c>
      <c r="D6060" s="125"/>
    </row>
    <row r="6061">
      <c r="A6061" s="122" t="s">
        <v>8823</v>
      </c>
      <c r="B6061" s="123">
        <v>1853580.0</v>
      </c>
      <c r="C6061" s="687" t="s">
        <v>8824</v>
      </c>
      <c r="D6061" s="125"/>
    </row>
    <row r="6062">
      <c r="A6062" s="122" t="s">
        <v>11048</v>
      </c>
      <c r="B6062" s="123">
        <v>1046568.0</v>
      </c>
      <c r="C6062" s="687" t="s">
        <v>11049</v>
      </c>
      <c r="D6062" s="125"/>
    </row>
    <row r="6063">
      <c r="A6063" s="122" t="s">
        <v>1890</v>
      </c>
      <c r="B6063" s="123">
        <v>1061164.0</v>
      </c>
      <c r="C6063" s="687" t="s">
        <v>1891</v>
      </c>
      <c r="D6063" s="125"/>
    </row>
    <row r="6064">
      <c r="A6064" s="122" t="s">
        <v>9519</v>
      </c>
      <c r="B6064" s="123">
        <v>1777835.0</v>
      </c>
      <c r="C6064" s="687" t="s">
        <v>9520</v>
      </c>
      <c r="D6064" s="125"/>
    </row>
    <row r="6065">
      <c r="A6065" s="122" t="s">
        <v>5062</v>
      </c>
      <c r="B6065" s="123">
        <v>1899830.0</v>
      </c>
      <c r="C6065" s="687" t="s">
        <v>5063</v>
      </c>
      <c r="D6065" s="125"/>
    </row>
    <row r="6066">
      <c r="A6066" s="122" t="s">
        <v>1030</v>
      </c>
      <c r="B6066" s="123">
        <v>1880249.0</v>
      </c>
      <c r="C6066" s="687" t="s">
        <v>1031</v>
      </c>
      <c r="D6066" s="125"/>
    </row>
    <row r="6067">
      <c r="A6067" s="122" t="s">
        <v>14784</v>
      </c>
      <c r="B6067" s="123">
        <v>1085869.0</v>
      </c>
      <c r="C6067" s="687" t="s">
        <v>14785</v>
      </c>
      <c r="D6067" s="125"/>
    </row>
    <row r="6068">
      <c r="A6068" s="122" t="s">
        <v>34007</v>
      </c>
      <c r="B6068" s="123">
        <v>1902930.0</v>
      </c>
      <c r="C6068" s="687" t="s">
        <v>34008</v>
      </c>
      <c r="D6068" s="125"/>
    </row>
    <row r="6069">
      <c r="A6069" s="122" t="s">
        <v>14869</v>
      </c>
      <c r="B6069" s="123">
        <v>1618673.0</v>
      </c>
      <c r="C6069" s="687" t="s">
        <v>14870</v>
      </c>
      <c r="D6069" s="125"/>
    </row>
    <row r="6070">
      <c r="A6070" s="122" t="s">
        <v>4711</v>
      </c>
      <c r="B6070" s="123">
        <v>1481241.0</v>
      </c>
      <c r="C6070" s="687" t="s">
        <v>4712</v>
      </c>
      <c r="D6070" s="125"/>
    </row>
    <row r="6071">
      <c r="A6071" s="122" t="s">
        <v>5466</v>
      </c>
      <c r="B6071" s="123">
        <v>1550695.0</v>
      </c>
      <c r="C6071" s="687" t="s">
        <v>5467</v>
      </c>
      <c r="D6071" s="125"/>
    </row>
    <row r="6072">
      <c r="A6072" s="122" t="s">
        <v>6547</v>
      </c>
      <c r="B6072" s="123">
        <v>1880319.0</v>
      </c>
      <c r="C6072" s="687" t="s">
        <v>6548</v>
      </c>
      <c r="D6072" s="125"/>
    </row>
    <row r="6073">
      <c r="A6073" s="122" t="s">
        <v>12742</v>
      </c>
      <c r="B6073" s="123">
        <v>1338940.0</v>
      </c>
      <c r="C6073" s="687" t="s">
        <v>12743</v>
      </c>
      <c r="D6073" s="125"/>
    </row>
    <row r="6074">
      <c r="A6074" s="122" t="s">
        <v>34009</v>
      </c>
      <c r="B6074" s="123">
        <v>1579717.0</v>
      </c>
      <c r="C6074" s="687" t="s">
        <v>34010</v>
      </c>
      <c r="D6074" s="125"/>
    </row>
    <row r="6075">
      <c r="A6075" s="122" t="s">
        <v>7735</v>
      </c>
      <c r="B6075" s="123">
        <v>891532.0</v>
      </c>
      <c r="C6075" s="687" t="s">
        <v>7736</v>
      </c>
      <c r="D6075" s="125"/>
    </row>
    <row r="6076">
      <c r="A6076" s="122" t="s">
        <v>7799</v>
      </c>
      <c r="B6076" s="123">
        <v>914122.0</v>
      </c>
      <c r="C6076" s="687" t="s">
        <v>7800</v>
      </c>
      <c r="D6076" s="125"/>
    </row>
    <row r="6077">
      <c r="A6077" s="122" t="s">
        <v>6199</v>
      </c>
      <c r="B6077" s="123">
        <v>312070.0</v>
      </c>
      <c r="C6077" s="687" t="s">
        <v>5686</v>
      </c>
      <c r="D6077" s="125"/>
    </row>
    <row r="6078">
      <c r="A6078" s="122" t="s">
        <v>5685</v>
      </c>
      <c r="B6078" s="123">
        <v>1922639.0</v>
      </c>
      <c r="C6078" s="687" t="s">
        <v>5686</v>
      </c>
      <c r="D6078" s="125"/>
    </row>
    <row r="6079">
      <c r="A6079" s="122" t="s">
        <v>10309</v>
      </c>
      <c r="B6079" s="123">
        <v>319654.0</v>
      </c>
      <c r="C6079" s="687" t="s">
        <v>10310</v>
      </c>
      <c r="D6079" s="125"/>
    </row>
    <row r="6080">
      <c r="A6080" s="122" t="s">
        <v>9855</v>
      </c>
      <c r="B6080" s="123">
        <v>1658566.0</v>
      </c>
      <c r="C6080" s="687" t="s">
        <v>9856</v>
      </c>
      <c r="D6080" s="125"/>
    </row>
    <row r="6081">
      <c r="A6081" s="122" t="s">
        <v>4465</v>
      </c>
      <c r="B6081" s="123">
        <v>1520048.0</v>
      </c>
      <c r="C6081" s="687" t="s">
        <v>4466</v>
      </c>
      <c r="D6081" s="125"/>
    </row>
    <row r="6082">
      <c r="A6082" s="122" t="s">
        <v>6291</v>
      </c>
      <c r="B6082" s="123">
        <v>1724009.0</v>
      </c>
      <c r="C6082" s="687" t="s">
        <v>6292</v>
      </c>
      <c r="D6082" s="125"/>
    </row>
    <row r="6083">
      <c r="A6083" s="122" t="s">
        <v>13086</v>
      </c>
      <c r="B6083" s="123">
        <v>899108.0</v>
      </c>
      <c r="C6083" s="687" t="s">
        <v>13087</v>
      </c>
      <c r="D6083" s="125"/>
    </row>
    <row r="6084">
      <c r="A6084" s="122" t="s">
        <v>15970</v>
      </c>
      <c r="B6084" s="123">
        <v>899108.0</v>
      </c>
      <c r="C6084" s="687" t="s">
        <v>15971</v>
      </c>
      <c r="D6084" s="125"/>
    </row>
    <row r="6085">
      <c r="A6085" s="122" t="s">
        <v>5470</v>
      </c>
      <c r="B6085" s="123">
        <v>1526243.0</v>
      </c>
      <c r="C6085" s="687" t="s">
        <v>5471</v>
      </c>
      <c r="D6085" s="125"/>
    </row>
    <row r="6086">
      <c r="A6086" s="122" t="s">
        <v>1387</v>
      </c>
      <c r="B6086" s="123">
        <v>1395445.0</v>
      </c>
      <c r="C6086" s="687" t="s">
        <v>1388</v>
      </c>
      <c r="D6086" s="125"/>
    </row>
    <row r="6087">
      <c r="A6087" s="122" t="s">
        <v>13009</v>
      </c>
      <c r="B6087" s="123">
        <v>1585364.0</v>
      </c>
      <c r="C6087" s="687" t="s">
        <v>13010</v>
      </c>
      <c r="D6087" s="125"/>
    </row>
    <row r="6088">
      <c r="A6088" s="122" t="s">
        <v>5179</v>
      </c>
      <c r="B6088" s="123">
        <v>1826470.0</v>
      </c>
      <c r="C6088" s="687" t="s">
        <v>5180</v>
      </c>
      <c r="D6088" s="125"/>
    </row>
    <row r="6089">
      <c r="A6089" s="122" t="s">
        <v>7061</v>
      </c>
      <c r="B6089" s="123">
        <v>1040130.0</v>
      </c>
      <c r="C6089" s="687" t="s">
        <v>7062</v>
      </c>
      <c r="D6089" s="125"/>
    </row>
    <row r="6090">
      <c r="A6090" s="122" t="s">
        <v>920</v>
      </c>
      <c r="B6090" s="123">
        <v>1108329.0</v>
      </c>
      <c r="C6090" s="687" t="s">
        <v>921</v>
      </c>
      <c r="D6090" s="125"/>
    </row>
    <row r="6091">
      <c r="A6091" s="122" t="s">
        <v>6321</v>
      </c>
      <c r="B6091" s="123">
        <v>745543.0</v>
      </c>
      <c r="C6091" s="687" t="s">
        <v>6322</v>
      </c>
      <c r="D6091" s="125"/>
    </row>
    <row r="6092">
      <c r="A6092" s="122" t="s">
        <v>3437</v>
      </c>
      <c r="B6092" s="123">
        <v>1108329.0</v>
      </c>
      <c r="C6092" s="687" t="s">
        <v>3438</v>
      </c>
      <c r="D6092" s="125"/>
    </row>
    <row r="6093">
      <c r="A6093" s="122" t="s">
        <v>1972</v>
      </c>
      <c r="B6093" s="123">
        <v>1609258.0</v>
      </c>
      <c r="C6093" s="687" t="s">
        <v>1973</v>
      </c>
      <c r="D6093" s="125"/>
    </row>
    <row r="6094">
      <c r="A6094" s="122" t="s">
        <v>34011</v>
      </c>
      <c r="B6094" s="123">
        <v>1558465.0</v>
      </c>
      <c r="C6094" s="687" t="s">
        <v>34012</v>
      </c>
      <c r="D6094" s="125"/>
    </row>
    <row r="6095">
      <c r="A6095" s="122" t="s">
        <v>10844</v>
      </c>
      <c r="B6095" s="123">
        <v>1119639.0</v>
      </c>
      <c r="C6095" s="687" t="s">
        <v>10845</v>
      </c>
      <c r="D6095" s="125"/>
    </row>
    <row r="6096">
      <c r="A6096" s="122" t="s">
        <v>34013</v>
      </c>
      <c r="B6096" s="123">
        <v>1368637.0</v>
      </c>
      <c r="C6096" s="687" t="s">
        <v>34014</v>
      </c>
      <c r="D6096" s="125"/>
    </row>
    <row r="6097">
      <c r="A6097" s="122" t="s">
        <v>3964</v>
      </c>
      <c r="B6097" s="123">
        <v>1815903.0</v>
      </c>
      <c r="C6097" s="687" t="s">
        <v>3965</v>
      </c>
      <c r="D6097" s="125"/>
    </row>
    <row r="6098">
      <c r="A6098" s="122" t="s">
        <v>34015</v>
      </c>
      <c r="B6098" s="123">
        <v>1561180.0</v>
      </c>
      <c r="C6098" s="687" t="s">
        <v>34016</v>
      </c>
      <c r="D6098" s="125"/>
    </row>
    <row r="6099">
      <c r="A6099" s="122" t="s">
        <v>4119</v>
      </c>
      <c r="B6099" s="123">
        <v>1512922.0</v>
      </c>
      <c r="C6099" s="687" t="s">
        <v>2424</v>
      </c>
      <c r="D6099" s="125"/>
    </row>
    <row r="6100">
      <c r="A6100" s="122" t="s">
        <v>2423</v>
      </c>
      <c r="B6100" s="123">
        <v>1512922.0</v>
      </c>
      <c r="C6100" s="687" t="s">
        <v>2424</v>
      </c>
      <c r="D6100" s="125"/>
    </row>
    <row r="6101">
      <c r="A6101" s="122" t="s">
        <v>12544</v>
      </c>
      <c r="B6101" s="123">
        <v>78003.0</v>
      </c>
      <c r="C6101" s="687" t="s">
        <v>12545</v>
      </c>
      <c r="D6101" s="125"/>
    </row>
    <row r="6102">
      <c r="A6102" s="122" t="s">
        <v>10780</v>
      </c>
      <c r="B6102" s="123">
        <v>1004980.0</v>
      </c>
      <c r="C6102" s="687" t="s">
        <v>10781</v>
      </c>
      <c r="D6102" s="125"/>
    </row>
    <row r="6103">
      <c r="A6103" s="122" t="s">
        <v>34017</v>
      </c>
      <c r="B6103" s="123">
        <v>81157.0</v>
      </c>
      <c r="C6103" s="687" t="s">
        <v>34018</v>
      </c>
      <c r="D6103" s="125"/>
    </row>
    <row r="6104">
      <c r="A6104" s="122" t="s">
        <v>9400</v>
      </c>
      <c r="B6104" s="123">
        <v>1554697.0</v>
      </c>
      <c r="C6104" s="687" t="s">
        <v>9401</v>
      </c>
      <c r="D6104" s="125"/>
    </row>
    <row r="6105">
      <c r="A6105" s="122" t="s">
        <v>9790</v>
      </c>
      <c r="B6105" s="123">
        <v>1534880.0</v>
      </c>
      <c r="C6105" s="687" t="s">
        <v>9791</v>
      </c>
      <c r="D6105" s="125"/>
    </row>
    <row r="6106">
      <c r="A6106" s="122" t="s">
        <v>10506</v>
      </c>
      <c r="B6106" s="123">
        <v>1812923.0</v>
      </c>
      <c r="C6106" s="687" t="s">
        <v>10507</v>
      </c>
      <c r="D6106" s="125"/>
    </row>
    <row r="6107">
      <c r="A6107" s="122" t="s">
        <v>13650</v>
      </c>
      <c r="B6107" s="123">
        <v>1354327.0</v>
      </c>
      <c r="C6107" s="687" t="s">
        <v>13651</v>
      </c>
      <c r="D6107" s="125"/>
    </row>
    <row r="6108">
      <c r="A6108" s="122" t="s">
        <v>3712</v>
      </c>
      <c r="B6108" s="123">
        <v>1304161.0</v>
      </c>
      <c r="C6108" s="687" t="s">
        <v>3713</v>
      </c>
      <c r="D6108" s="125"/>
    </row>
    <row r="6109">
      <c r="A6109" s="122" t="s">
        <v>5007</v>
      </c>
      <c r="B6109" s="123">
        <v>1157075.0</v>
      </c>
      <c r="C6109" s="687" t="s">
        <v>5008</v>
      </c>
      <c r="D6109" s="125"/>
    </row>
    <row r="6110">
      <c r="A6110" s="122" t="s">
        <v>34019</v>
      </c>
      <c r="B6110" s="123">
        <v>1435181.0</v>
      </c>
      <c r="C6110" s="687" t="s">
        <v>34020</v>
      </c>
      <c r="D6110" s="125"/>
    </row>
    <row r="6111">
      <c r="A6111" s="122" t="s">
        <v>9894</v>
      </c>
      <c r="B6111" s="123">
        <v>1828316.0</v>
      </c>
      <c r="C6111" s="687" t="s">
        <v>9895</v>
      </c>
      <c r="D6111" s="125"/>
    </row>
    <row r="6112">
      <c r="A6112" s="122" t="s">
        <v>12810</v>
      </c>
      <c r="B6112" s="123">
        <v>1830487.0</v>
      </c>
      <c r="C6112" s="687" t="s">
        <v>12811</v>
      </c>
      <c r="D6112" s="125"/>
    </row>
    <row r="6113">
      <c r="A6113" s="122" t="s">
        <v>7305</v>
      </c>
      <c r="B6113" s="123">
        <v>1783183.0</v>
      </c>
      <c r="C6113" s="687" t="s">
        <v>7306</v>
      </c>
      <c r="D6113" s="125"/>
    </row>
    <row r="6114">
      <c r="A6114" s="122" t="s">
        <v>11843</v>
      </c>
      <c r="B6114" s="123">
        <v>1490349.0</v>
      </c>
      <c r="C6114" s="687" t="s">
        <v>11844</v>
      </c>
      <c r="D6114" s="125"/>
    </row>
    <row r="6115">
      <c r="A6115" s="122" t="s">
        <v>13855</v>
      </c>
      <c r="B6115" s="123">
        <v>1490349.0</v>
      </c>
      <c r="C6115" s="687" t="s">
        <v>13856</v>
      </c>
      <c r="D6115" s="125"/>
    </row>
    <row r="6116">
      <c r="A6116" s="122" t="s">
        <v>34021</v>
      </c>
      <c r="B6116" s="123">
        <v>704172.0</v>
      </c>
      <c r="C6116" s="687" t="s">
        <v>34022</v>
      </c>
      <c r="D6116" s="125"/>
    </row>
    <row r="6117">
      <c r="A6117" s="122" t="s">
        <v>8688</v>
      </c>
      <c r="B6117" s="123">
        <v>1069899.0</v>
      </c>
      <c r="C6117" s="687" t="s">
        <v>8689</v>
      </c>
      <c r="D6117" s="125"/>
    </row>
    <row r="6118">
      <c r="A6118" s="122" t="s">
        <v>15263</v>
      </c>
      <c r="B6118" s="123">
        <v>1413329.0</v>
      </c>
      <c r="C6118" s="687" t="s">
        <v>15264</v>
      </c>
      <c r="D6118" s="125"/>
    </row>
    <row r="6119">
      <c r="A6119" s="122" t="s">
        <v>15857</v>
      </c>
      <c r="B6119" s="123">
        <v>1534701.0</v>
      </c>
      <c r="C6119" s="687" t="s">
        <v>15858</v>
      </c>
      <c r="D6119" s="125"/>
    </row>
    <row r="6120">
      <c r="A6120" s="122" t="s">
        <v>13217</v>
      </c>
      <c r="B6120" s="123">
        <v>1476204.0</v>
      </c>
      <c r="C6120" s="687" t="s">
        <v>13218</v>
      </c>
      <c r="D6120" s="125"/>
    </row>
    <row r="6121">
      <c r="A6121" s="122" t="s">
        <v>3235</v>
      </c>
      <c r="B6121" s="123">
        <v>1533040.0</v>
      </c>
      <c r="C6121" s="687" t="s">
        <v>3236</v>
      </c>
      <c r="D6121" s="125"/>
    </row>
    <row r="6122">
      <c r="A6122" s="122" t="s">
        <v>34023</v>
      </c>
      <c r="B6122" s="123">
        <v>1660839.0</v>
      </c>
      <c r="C6122" s="687" t="s">
        <v>34024</v>
      </c>
      <c r="D6122" s="125"/>
    </row>
    <row r="6123">
      <c r="A6123" s="122" t="s">
        <v>1636</v>
      </c>
      <c r="B6123" s="123">
        <v>1870404.0</v>
      </c>
      <c r="C6123" s="687" t="s">
        <v>1637</v>
      </c>
      <c r="D6123" s="125"/>
    </row>
    <row r="6124">
      <c r="A6124" s="122" t="s">
        <v>9313</v>
      </c>
      <c r="B6124" s="123">
        <v>1870404.0</v>
      </c>
      <c r="C6124" s="687" t="s">
        <v>9314</v>
      </c>
      <c r="D6124" s="125"/>
    </row>
    <row r="6125">
      <c r="A6125" s="122" t="s">
        <v>9055</v>
      </c>
      <c r="B6125" s="123">
        <v>1870404.0</v>
      </c>
      <c r="C6125" s="687" t="s">
        <v>9056</v>
      </c>
      <c r="D6125" s="125"/>
    </row>
    <row r="6126">
      <c r="A6126" s="122" t="s">
        <v>5778</v>
      </c>
      <c r="B6126" s="123">
        <v>1888175.0</v>
      </c>
      <c r="C6126" s="687" t="s">
        <v>5779</v>
      </c>
      <c r="D6126" s="125"/>
    </row>
    <row r="6127">
      <c r="A6127" s="122" t="s">
        <v>2733</v>
      </c>
      <c r="B6127" s="123">
        <v>1888175.0</v>
      </c>
      <c r="C6127" s="687" t="s">
        <v>2734</v>
      </c>
      <c r="D6127" s="125"/>
    </row>
    <row r="6128">
      <c r="A6128" s="122" t="s">
        <v>4307</v>
      </c>
      <c r="B6128" s="123">
        <v>1879848.0</v>
      </c>
      <c r="C6128" s="687" t="s">
        <v>4308</v>
      </c>
      <c r="D6128" s="125"/>
    </row>
    <row r="6129">
      <c r="A6129" s="122" t="s">
        <v>4305</v>
      </c>
      <c r="B6129" s="123">
        <v>1509646.0</v>
      </c>
      <c r="C6129" s="687" t="s">
        <v>4306</v>
      </c>
      <c r="D6129" s="125"/>
    </row>
    <row r="6130">
      <c r="A6130" s="122" t="s">
        <v>2608</v>
      </c>
      <c r="B6130" s="123">
        <v>1785493.0</v>
      </c>
      <c r="C6130" s="687" t="s">
        <v>2609</v>
      </c>
      <c r="D6130" s="125"/>
    </row>
    <row r="6131">
      <c r="A6131" s="122" t="s">
        <v>34025</v>
      </c>
      <c r="B6131" s="123">
        <v>1572384.0</v>
      </c>
      <c r="C6131" s="687" t="s">
        <v>34026</v>
      </c>
      <c r="D6131" s="125"/>
    </row>
    <row r="6132">
      <c r="A6132" s="122" t="s">
        <v>8353</v>
      </c>
      <c r="B6132" s="123">
        <v>1627469.0</v>
      </c>
      <c r="C6132" s="687" t="s">
        <v>8354</v>
      </c>
      <c r="D6132" s="125"/>
    </row>
    <row r="6133">
      <c r="A6133" s="122" t="s">
        <v>12844</v>
      </c>
      <c r="B6133" s="123">
        <v>810136.0</v>
      </c>
      <c r="C6133" s="687" t="s">
        <v>12845</v>
      </c>
      <c r="D6133" s="125"/>
    </row>
    <row r="6134">
      <c r="A6134" s="122" t="s">
        <v>693</v>
      </c>
      <c r="B6134" s="123">
        <v>1863460.0</v>
      </c>
      <c r="C6134" s="687" t="s">
        <v>694</v>
      </c>
      <c r="D6134" s="125"/>
    </row>
    <row r="6135">
      <c r="A6135" s="122" t="s">
        <v>9138</v>
      </c>
      <c r="B6135" s="123">
        <v>1863460.0</v>
      </c>
      <c r="C6135" s="687" t="s">
        <v>9139</v>
      </c>
      <c r="D6135" s="125"/>
    </row>
    <row r="6136">
      <c r="A6136" s="122" t="s">
        <v>9265</v>
      </c>
      <c r="B6136" s="123">
        <v>1863460.0</v>
      </c>
      <c r="C6136" s="687" t="s">
        <v>9266</v>
      </c>
      <c r="D6136" s="125"/>
    </row>
    <row r="6137">
      <c r="A6137" s="122" t="s">
        <v>2681</v>
      </c>
      <c r="B6137" s="123">
        <v>1665300.0</v>
      </c>
      <c r="C6137" s="687" t="s">
        <v>2682</v>
      </c>
      <c r="D6137" s="125"/>
    </row>
    <row r="6138">
      <c r="A6138" s="122" t="s">
        <v>5578</v>
      </c>
      <c r="B6138" s="123">
        <v>315131.0</v>
      </c>
      <c r="C6138" s="687" t="s">
        <v>5579</v>
      </c>
      <c r="D6138" s="125"/>
    </row>
    <row r="6139">
      <c r="A6139" s="122" t="s">
        <v>9642</v>
      </c>
      <c r="B6139" s="123">
        <v>1574540.0</v>
      </c>
      <c r="C6139" s="687" t="s">
        <v>9643</v>
      </c>
      <c r="D6139" s="125"/>
    </row>
    <row r="6140">
      <c r="A6140" s="122" t="s">
        <v>2089</v>
      </c>
      <c r="B6140" s="123">
        <v>1728205.0</v>
      </c>
      <c r="C6140" s="687" t="s">
        <v>2090</v>
      </c>
      <c r="D6140" s="125"/>
    </row>
    <row r="6141">
      <c r="A6141" s="122" t="s">
        <v>7254</v>
      </c>
      <c r="B6141" s="123">
        <v>1042776.0</v>
      </c>
      <c r="C6141" s="687" t="s">
        <v>7255</v>
      </c>
      <c r="D6141" s="125"/>
    </row>
    <row r="6142">
      <c r="A6142" s="122" t="s">
        <v>2237</v>
      </c>
      <c r="B6142" s="123">
        <v>1583648.0</v>
      </c>
      <c r="C6142" s="687" t="s">
        <v>2238</v>
      </c>
      <c r="D6142" s="125"/>
    </row>
    <row r="6143">
      <c r="A6143" s="122" t="s">
        <v>12560</v>
      </c>
      <c r="B6143" s="123">
        <v>802481.0</v>
      </c>
      <c r="C6143" s="687" t="s">
        <v>12561</v>
      </c>
      <c r="D6143" s="125"/>
    </row>
    <row r="6144">
      <c r="A6144" s="122" t="s">
        <v>10358</v>
      </c>
      <c r="B6144" s="123">
        <v>1886878.0</v>
      </c>
      <c r="C6144" s="687" t="s">
        <v>10359</v>
      </c>
      <c r="D6144" s="125"/>
    </row>
    <row r="6145">
      <c r="A6145" s="122" t="s">
        <v>7479</v>
      </c>
      <c r="B6145" s="123">
        <v>1181504.0</v>
      </c>
      <c r="C6145" s="687" t="s">
        <v>7480</v>
      </c>
      <c r="D6145" s="125"/>
    </row>
    <row r="6146">
      <c r="A6146" s="122" t="s">
        <v>6908</v>
      </c>
      <c r="B6146" s="123">
        <v>1170300.0</v>
      </c>
      <c r="C6146" s="687" t="s">
        <v>6909</v>
      </c>
      <c r="D6146" s="125"/>
    </row>
    <row r="6147">
      <c r="A6147" s="122" t="s">
        <v>8182</v>
      </c>
      <c r="B6147" s="123">
        <v>1140411.0</v>
      </c>
      <c r="C6147" s="687" t="s">
        <v>8183</v>
      </c>
      <c r="D6147" s="125"/>
    </row>
    <row r="6148">
      <c r="A6148" s="122" t="s">
        <v>10027</v>
      </c>
      <c r="B6148" s="123">
        <v>1160990.0</v>
      </c>
      <c r="C6148" s="687" t="s">
        <v>10028</v>
      </c>
      <c r="D6148" s="125"/>
    </row>
    <row r="6149">
      <c r="A6149" s="122" t="s">
        <v>10197</v>
      </c>
      <c r="B6149" s="123">
        <v>1190935.0</v>
      </c>
      <c r="C6149" s="687" t="s">
        <v>10198</v>
      </c>
      <c r="D6149" s="125"/>
    </row>
    <row r="6150">
      <c r="A6150" s="122" t="s">
        <v>11313</v>
      </c>
      <c r="B6150" s="123">
        <v>1510599.0</v>
      </c>
      <c r="C6150" s="687" t="s">
        <v>11314</v>
      </c>
      <c r="D6150" s="125"/>
    </row>
    <row r="6151">
      <c r="A6151" s="122" t="s">
        <v>9917</v>
      </c>
      <c r="B6151" s="123">
        <v>1798618.0</v>
      </c>
      <c r="C6151" s="687" t="s">
        <v>9918</v>
      </c>
      <c r="D6151" s="125"/>
    </row>
    <row r="6152">
      <c r="A6152" s="122" t="s">
        <v>7522</v>
      </c>
      <c r="B6152" s="123">
        <v>1318025.0</v>
      </c>
      <c r="C6152" s="687" t="s">
        <v>7523</v>
      </c>
      <c r="D6152" s="125"/>
    </row>
    <row r="6153">
      <c r="A6153" s="122" t="s">
        <v>6518</v>
      </c>
      <c r="B6153" s="123">
        <v>1219360.0</v>
      </c>
      <c r="C6153" s="687" t="s">
        <v>6519</v>
      </c>
      <c r="D6153" s="125"/>
    </row>
    <row r="6154">
      <c r="A6154" s="122" t="s">
        <v>7819</v>
      </c>
      <c r="B6154" s="123">
        <v>1244183.0</v>
      </c>
      <c r="C6154" s="687" t="s">
        <v>7820</v>
      </c>
      <c r="D6154" s="125"/>
    </row>
    <row r="6155">
      <c r="A6155" s="122" t="s">
        <v>7481</v>
      </c>
      <c r="B6155" s="123">
        <v>1296250.0</v>
      </c>
      <c r="C6155" s="687" t="s">
        <v>7482</v>
      </c>
      <c r="D6155" s="125"/>
    </row>
    <row r="6156">
      <c r="A6156" s="122" t="s">
        <v>8216</v>
      </c>
      <c r="B6156" s="123">
        <v>1140392.0</v>
      </c>
      <c r="C6156" s="687" t="s">
        <v>8217</v>
      </c>
      <c r="D6156" s="125"/>
    </row>
    <row r="6157">
      <c r="A6157" s="122" t="s">
        <v>7860</v>
      </c>
      <c r="B6157" s="123">
        <v>1170299.0</v>
      </c>
      <c r="C6157" s="687" t="s">
        <v>7861</v>
      </c>
      <c r="D6157" s="125"/>
    </row>
    <row r="6158">
      <c r="A6158" s="122" t="s">
        <v>7465</v>
      </c>
      <c r="B6158" s="123">
        <v>1181506.0</v>
      </c>
      <c r="C6158" s="687" t="s">
        <v>7466</v>
      </c>
      <c r="D6158" s="125"/>
    </row>
    <row r="6159">
      <c r="A6159" s="122" t="s">
        <v>7691</v>
      </c>
      <c r="B6159" s="123">
        <v>1140410.0</v>
      </c>
      <c r="C6159" s="687" t="s">
        <v>7692</v>
      </c>
      <c r="D6159" s="125"/>
    </row>
    <row r="6160">
      <c r="A6160" s="122" t="s">
        <v>7520</v>
      </c>
      <c r="B6160" s="123">
        <v>1170311.0</v>
      </c>
      <c r="C6160" s="687" t="s">
        <v>7521</v>
      </c>
      <c r="D6160" s="125"/>
    </row>
    <row r="6161">
      <c r="A6161" s="122" t="s">
        <v>7005</v>
      </c>
      <c r="B6161" s="123">
        <v>1181505.0</v>
      </c>
      <c r="C6161" s="687" t="s">
        <v>7006</v>
      </c>
      <c r="D6161" s="125"/>
    </row>
    <row r="6162">
      <c r="A6162" s="122" t="s">
        <v>2897</v>
      </c>
      <c r="B6162" s="123">
        <v>22701.0</v>
      </c>
      <c r="C6162" s="687" t="s">
        <v>2898</v>
      </c>
      <c r="D6162" s="125"/>
    </row>
    <row r="6163">
      <c r="A6163" s="122" t="s">
        <v>2053</v>
      </c>
      <c r="B6163" s="123">
        <v>1654672.0</v>
      </c>
      <c r="C6163" s="687" t="s">
        <v>2054</v>
      </c>
      <c r="D6163" s="125"/>
    </row>
    <row r="6164">
      <c r="A6164" s="122" t="s">
        <v>15071</v>
      </c>
      <c r="B6164" s="123">
        <v>1115055.0</v>
      </c>
      <c r="C6164" s="687" t="s">
        <v>15072</v>
      </c>
      <c r="D6164" s="125"/>
    </row>
    <row r="6165">
      <c r="A6165" s="122" t="s">
        <v>12093</v>
      </c>
      <c r="B6165" s="123">
        <v>1115055.0</v>
      </c>
      <c r="C6165" s="687" t="s">
        <v>12094</v>
      </c>
      <c r="D6165" s="125"/>
    </row>
    <row r="6166">
      <c r="A6166" s="122" t="s">
        <v>14742</v>
      </c>
      <c r="B6166" s="123">
        <v>764622.0</v>
      </c>
      <c r="C6166" s="687" t="s">
        <v>14743</v>
      </c>
      <c r="D6166" s="125"/>
    </row>
    <row r="6167">
      <c r="A6167" s="122" t="s">
        <v>4004</v>
      </c>
      <c r="B6167" s="123">
        <v>1716338.0</v>
      </c>
      <c r="C6167" s="687" t="s">
        <v>4005</v>
      </c>
      <c r="D6167" s="125"/>
    </row>
    <row r="6168">
      <c r="A6168" s="122" t="s">
        <v>13539</v>
      </c>
      <c r="B6168" s="123">
        <v>1506293.0</v>
      </c>
      <c r="C6168" s="687" t="s">
        <v>13540</v>
      </c>
      <c r="D6168" s="125"/>
    </row>
    <row r="6169">
      <c r="A6169" s="122" t="s">
        <v>8286</v>
      </c>
      <c r="B6169" s="123">
        <v>1769663.0</v>
      </c>
      <c r="C6169" s="687" t="s">
        <v>8287</v>
      </c>
      <c r="D6169" s="125"/>
    </row>
    <row r="6170">
      <c r="A6170" s="122" t="s">
        <v>9281</v>
      </c>
      <c r="B6170" s="123">
        <v>1388126.0</v>
      </c>
      <c r="C6170" s="687" t="s">
        <v>9282</v>
      </c>
      <c r="D6170" s="125"/>
    </row>
    <row r="6171">
      <c r="A6171" s="122" t="s">
        <v>8198</v>
      </c>
      <c r="B6171" s="123">
        <v>1305767.0</v>
      </c>
      <c r="C6171" s="687" t="s">
        <v>8199</v>
      </c>
      <c r="D6171" s="125"/>
    </row>
    <row r="6172">
      <c r="A6172" s="122" t="s">
        <v>2927</v>
      </c>
      <c r="B6172" s="123">
        <v>1902700.0</v>
      </c>
      <c r="C6172" s="687" t="s">
        <v>2928</v>
      </c>
      <c r="D6172" s="125"/>
    </row>
    <row r="6173">
      <c r="A6173" s="122" t="s">
        <v>7449</v>
      </c>
      <c r="B6173" s="123">
        <v>1166258.0</v>
      </c>
      <c r="C6173" s="687" t="s">
        <v>7450</v>
      </c>
      <c r="D6173" s="125"/>
    </row>
    <row r="6174">
      <c r="A6174" s="122" t="s">
        <v>8859</v>
      </c>
      <c r="B6174" s="123">
        <v>1864290.0</v>
      </c>
      <c r="C6174" s="687" t="s">
        <v>8860</v>
      </c>
      <c r="D6174" s="125"/>
    </row>
    <row r="6175">
      <c r="A6175" s="122" t="s">
        <v>7890</v>
      </c>
      <c r="B6175" s="123">
        <v>1223026.0</v>
      </c>
      <c r="C6175" s="687" t="s">
        <v>7891</v>
      </c>
      <c r="D6175" s="125"/>
    </row>
    <row r="6176">
      <c r="A6176" s="122" t="s">
        <v>7685</v>
      </c>
      <c r="B6176" s="123">
        <v>1258943.0</v>
      </c>
      <c r="C6176" s="687" t="s">
        <v>7686</v>
      </c>
      <c r="D6176" s="125"/>
    </row>
    <row r="6177">
      <c r="A6177" s="122" t="s">
        <v>16252</v>
      </c>
      <c r="B6177" s="123">
        <v>1038357.0</v>
      </c>
      <c r="C6177" s="687" t="s">
        <v>16253</v>
      </c>
      <c r="D6177" s="125"/>
    </row>
    <row r="6178">
      <c r="A6178" s="122" t="s">
        <v>6651</v>
      </c>
      <c r="B6178" s="123">
        <v>1449792.0</v>
      </c>
      <c r="C6178" s="687" t="s">
        <v>6652</v>
      </c>
      <c r="D6178" s="125"/>
    </row>
    <row r="6179">
      <c r="A6179" s="122" t="s">
        <v>832</v>
      </c>
      <c r="B6179" s="123">
        <v>1076682.0</v>
      </c>
      <c r="C6179" s="687" t="s">
        <v>833</v>
      </c>
      <c r="D6179" s="125"/>
    </row>
    <row r="6180">
      <c r="A6180" s="122" t="s">
        <v>16112</v>
      </c>
      <c r="B6180" s="123">
        <v>1230245.0</v>
      </c>
      <c r="C6180" s="687" t="s">
        <v>16113</v>
      </c>
      <c r="D6180" s="125"/>
    </row>
    <row r="6181">
      <c r="A6181" s="122" t="s">
        <v>6156</v>
      </c>
      <c r="B6181" s="123">
        <v>1437441.0</v>
      </c>
      <c r="C6181" s="687" t="s">
        <v>6157</v>
      </c>
      <c r="D6181" s="125"/>
    </row>
    <row r="6182">
      <c r="A6182" s="122" t="s">
        <v>5836</v>
      </c>
      <c r="B6182" s="123">
        <v>1437441.0</v>
      </c>
      <c r="C6182" s="687" t="s">
        <v>5837</v>
      </c>
      <c r="D6182" s="125"/>
    </row>
    <row r="6183">
      <c r="A6183" s="122" t="s">
        <v>6115</v>
      </c>
      <c r="B6183" s="123">
        <v>78814.0</v>
      </c>
      <c r="C6183" s="687" t="s">
        <v>6116</v>
      </c>
      <c r="D6183" s="125"/>
    </row>
    <row r="6184">
      <c r="A6184" s="122" t="s">
        <v>4846</v>
      </c>
      <c r="B6184" s="123">
        <v>1040161.0</v>
      </c>
      <c r="C6184" s="687" t="s">
        <v>4847</v>
      </c>
      <c r="D6184" s="125"/>
    </row>
    <row r="6185">
      <c r="A6185" s="122" t="s">
        <v>15381</v>
      </c>
      <c r="B6185" s="123">
        <v>1626115.0</v>
      </c>
      <c r="C6185" s="687" t="s">
        <v>15382</v>
      </c>
      <c r="D6185" s="125"/>
    </row>
    <row r="6186">
      <c r="A6186" s="122" t="s">
        <v>2079</v>
      </c>
      <c r="B6186" s="123">
        <v>1625901.0</v>
      </c>
      <c r="C6186" s="687" t="s">
        <v>2080</v>
      </c>
      <c r="D6186" s="125"/>
    </row>
    <row r="6187">
      <c r="A6187" s="122" t="s">
        <v>10489</v>
      </c>
      <c r="B6187" s="123">
        <v>1070423.0</v>
      </c>
      <c r="C6187" s="687" t="s">
        <v>10490</v>
      </c>
      <c r="D6187" s="125"/>
    </row>
    <row r="6188">
      <c r="A6188" s="122" t="s">
        <v>10655</v>
      </c>
      <c r="B6188" s="123">
        <v>1581990.0</v>
      </c>
      <c r="C6188" s="687" t="s">
        <v>10656</v>
      </c>
      <c r="D6188" s="125"/>
    </row>
    <row r="6189">
      <c r="A6189" s="122" t="s">
        <v>2693</v>
      </c>
      <c r="B6189" s="123">
        <v>1117057.0</v>
      </c>
      <c r="C6189" s="687" t="s">
        <v>2694</v>
      </c>
      <c r="D6189" s="125"/>
    </row>
    <row r="6190">
      <c r="A6190" s="122" t="s">
        <v>5017</v>
      </c>
      <c r="B6190" s="123">
        <v>1836833.0</v>
      </c>
      <c r="C6190" s="687" t="s">
        <v>5018</v>
      </c>
      <c r="D6190" s="125"/>
    </row>
    <row r="6191">
      <c r="A6191" s="122" t="s">
        <v>800</v>
      </c>
      <c r="B6191" s="123">
        <v>1433309.0</v>
      </c>
      <c r="C6191" s="687" t="s">
        <v>801</v>
      </c>
      <c r="D6191" s="125"/>
    </row>
    <row r="6192">
      <c r="A6192" s="122" t="s">
        <v>490</v>
      </c>
      <c r="B6192" s="123">
        <v>1381105.0</v>
      </c>
      <c r="C6192" s="687" t="s">
        <v>491</v>
      </c>
      <c r="D6192" s="125"/>
    </row>
    <row r="6193">
      <c r="A6193" s="122" t="s">
        <v>930</v>
      </c>
      <c r="B6193" s="123">
        <v>312070.0</v>
      </c>
      <c r="C6193" s="687" t="s">
        <v>931</v>
      </c>
      <c r="D6193" s="125"/>
    </row>
    <row r="6194">
      <c r="A6194" s="122" t="s">
        <v>3813</v>
      </c>
      <c r="B6194" s="123">
        <v>1095052.0</v>
      </c>
      <c r="C6194" s="687" t="s">
        <v>3814</v>
      </c>
      <c r="D6194" s="125"/>
    </row>
    <row r="6195">
      <c r="A6195" s="122" t="s">
        <v>7830</v>
      </c>
      <c r="B6195" s="123">
        <v>1692412.0</v>
      </c>
      <c r="C6195" s="687" t="s">
        <v>7831</v>
      </c>
      <c r="D6195" s="125"/>
    </row>
    <row r="6196">
      <c r="A6196" s="122" t="s">
        <v>7944</v>
      </c>
      <c r="B6196" s="123">
        <v>1593548.0</v>
      </c>
      <c r="C6196" s="687" t="s">
        <v>7945</v>
      </c>
      <c r="D6196" s="125"/>
    </row>
    <row r="6197">
      <c r="A6197" s="122" t="s">
        <v>1652</v>
      </c>
      <c r="B6197" s="123">
        <v>1823878.0</v>
      </c>
      <c r="C6197" s="687" t="s">
        <v>1653</v>
      </c>
      <c r="D6197" s="125"/>
    </row>
    <row r="6198">
      <c r="A6198" s="122" t="s">
        <v>4991</v>
      </c>
      <c r="B6198" s="123">
        <v>1823878.0</v>
      </c>
      <c r="C6198" s="687" t="s">
        <v>4992</v>
      </c>
      <c r="D6198" s="125"/>
    </row>
    <row r="6199">
      <c r="A6199" s="122" t="s">
        <v>7390</v>
      </c>
      <c r="B6199" s="123">
        <v>1828016.0</v>
      </c>
      <c r="C6199" s="687" t="s">
        <v>7391</v>
      </c>
      <c r="D6199" s="125"/>
    </row>
    <row r="6200">
      <c r="A6200" s="122" t="s">
        <v>4014</v>
      </c>
      <c r="B6200" s="123">
        <v>1803914.0</v>
      </c>
      <c r="C6200" s="687" t="s">
        <v>4015</v>
      </c>
      <c r="D6200" s="125"/>
    </row>
    <row r="6201">
      <c r="A6201" s="122" t="s">
        <v>11759</v>
      </c>
      <c r="B6201" s="123">
        <v>78150.0</v>
      </c>
      <c r="C6201" s="687" t="s">
        <v>11760</v>
      </c>
      <c r="D6201" s="125"/>
    </row>
    <row r="6202">
      <c r="A6202" s="122" t="s">
        <v>11886</v>
      </c>
      <c r="B6202" s="123">
        <v>78150.0</v>
      </c>
      <c r="C6202" s="687" t="s">
        <v>11887</v>
      </c>
      <c r="D6202" s="125"/>
    </row>
    <row r="6203">
      <c r="A6203" s="122" t="s">
        <v>15351</v>
      </c>
      <c r="B6203" s="123">
        <v>785786.0</v>
      </c>
      <c r="C6203" s="687" t="s">
        <v>15352</v>
      </c>
      <c r="D6203" s="125"/>
    </row>
    <row r="6204">
      <c r="A6204" s="122" t="s">
        <v>10918</v>
      </c>
      <c r="B6204" s="123">
        <v>1746473.0</v>
      </c>
      <c r="C6204" s="687" t="s">
        <v>10919</v>
      </c>
      <c r="D6204" s="125"/>
    </row>
    <row r="6205">
      <c r="A6205" s="122" t="s">
        <v>6405</v>
      </c>
      <c r="B6205" s="123">
        <v>1093691.0</v>
      </c>
      <c r="C6205" s="687" t="s">
        <v>6406</v>
      </c>
      <c r="D6205" s="125"/>
    </row>
    <row r="6206">
      <c r="A6206" s="122" t="s">
        <v>2460</v>
      </c>
      <c r="B6206" s="123">
        <v>1840317.0</v>
      </c>
      <c r="C6206" s="687" t="s">
        <v>2461</v>
      </c>
      <c r="D6206" s="125"/>
    </row>
    <row r="6207">
      <c r="A6207" s="122" t="s">
        <v>9030</v>
      </c>
      <c r="B6207" s="123">
        <v>1840317.0</v>
      </c>
      <c r="C6207" s="687" t="s">
        <v>9031</v>
      </c>
      <c r="D6207" s="125"/>
    </row>
    <row r="6208">
      <c r="A6208" s="122" t="s">
        <v>8684</v>
      </c>
      <c r="B6208" s="123">
        <v>1840317.0</v>
      </c>
      <c r="C6208" s="687" t="s">
        <v>8685</v>
      </c>
      <c r="D6208" s="125"/>
    </row>
    <row r="6209">
      <c r="A6209" s="122" t="s">
        <v>13356</v>
      </c>
      <c r="B6209" s="123">
        <v>1168455.0</v>
      </c>
      <c r="C6209" s="687" t="s">
        <v>13357</v>
      </c>
      <c r="D6209" s="125"/>
    </row>
    <row r="6210">
      <c r="A6210" s="122" t="s">
        <v>3373</v>
      </c>
      <c r="B6210" s="123">
        <v>1158780.0</v>
      </c>
      <c r="C6210" s="687" t="s">
        <v>3374</v>
      </c>
      <c r="D6210" s="125"/>
    </row>
    <row r="6211">
      <c r="A6211" s="122" t="s">
        <v>4788</v>
      </c>
      <c r="B6211" s="123">
        <v>1095981.0</v>
      </c>
      <c r="C6211" s="687" t="s">
        <v>4789</v>
      </c>
      <c r="D6211" s="125"/>
    </row>
    <row r="6212">
      <c r="A6212" s="122" t="s">
        <v>11790</v>
      </c>
      <c r="B6212" s="123">
        <v>1515816.0</v>
      </c>
      <c r="C6212" s="687" t="s">
        <v>11791</v>
      </c>
      <c r="D6212" s="125"/>
    </row>
    <row r="6213">
      <c r="A6213" s="122" t="s">
        <v>34027</v>
      </c>
      <c r="B6213" s="123">
        <v>1334589.0</v>
      </c>
      <c r="C6213" s="687" t="s">
        <v>34028</v>
      </c>
      <c r="D6213" s="125"/>
    </row>
    <row r="6214">
      <c r="A6214" s="122" t="s">
        <v>777</v>
      </c>
      <c r="B6214" s="123">
        <v>1898798.0</v>
      </c>
      <c r="C6214" s="687" t="s">
        <v>778</v>
      </c>
      <c r="D6214" s="125"/>
    </row>
    <row r="6215">
      <c r="A6215" s="122" t="s">
        <v>4651</v>
      </c>
      <c r="B6215" s="123">
        <v>1699382.0</v>
      </c>
      <c r="C6215" s="687" t="s">
        <v>4652</v>
      </c>
      <c r="D6215" s="125"/>
    </row>
    <row r="6216">
      <c r="A6216" s="122" t="s">
        <v>15875</v>
      </c>
      <c r="B6216" s="123">
        <v>713676.0</v>
      </c>
      <c r="C6216" s="687" t="s">
        <v>15876</v>
      </c>
      <c r="D6216" s="125"/>
    </row>
    <row r="6217">
      <c r="A6217" s="122" t="s">
        <v>13291</v>
      </c>
      <c r="B6217" s="123">
        <v>1108426.0</v>
      </c>
      <c r="C6217" s="687" t="s">
        <v>13292</v>
      </c>
      <c r="D6217" s="125"/>
    </row>
    <row r="6218">
      <c r="A6218" s="122" t="s">
        <v>4271</v>
      </c>
      <c r="B6218" s="123">
        <v>1437424.0</v>
      </c>
      <c r="C6218" s="687" t="s">
        <v>4272</v>
      </c>
      <c r="D6218" s="125"/>
    </row>
    <row r="6219">
      <c r="A6219" s="122" t="s">
        <v>34029</v>
      </c>
      <c r="B6219" s="123">
        <v>1504239.0</v>
      </c>
      <c r="C6219" s="687" t="s">
        <v>34030</v>
      </c>
      <c r="D6219" s="125"/>
    </row>
    <row r="6220">
      <c r="A6220" s="122" t="s">
        <v>2675</v>
      </c>
      <c r="B6220" s="123">
        <v>1622345.0</v>
      </c>
      <c r="C6220" s="687" t="s">
        <v>2676</v>
      </c>
      <c r="D6220" s="125"/>
    </row>
    <row r="6221">
      <c r="A6221" s="122" t="s">
        <v>15220</v>
      </c>
      <c r="B6221" s="123">
        <v>931015.0</v>
      </c>
      <c r="C6221" s="687" t="s">
        <v>15221</v>
      </c>
      <c r="D6221" s="125"/>
    </row>
    <row r="6222">
      <c r="A6222" s="122" t="s">
        <v>2051</v>
      </c>
      <c r="B6222" s="123">
        <v>1884082.0</v>
      </c>
      <c r="C6222" s="687" t="s">
        <v>2052</v>
      </c>
      <c r="D6222" s="125"/>
    </row>
    <row r="6223">
      <c r="A6223" s="122" t="s">
        <v>4661</v>
      </c>
      <c r="B6223" s="123">
        <v>1884082.0</v>
      </c>
      <c r="C6223" s="687" t="s">
        <v>4662</v>
      </c>
      <c r="D6223" s="125"/>
    </row>
    <row r="6224">
      <c r="A6224" s="122" t="s">
        <v>6539</v>
      </c>
      <c r="B6224" s="123">
        <v>1810140.0</v>
      </c>
      <c r="C6224" s="687" t="s">
        <v>6540</v>
      </c>
      <c r="D6224" s="125"/>
    </row>
    <row r="6225">
      <c r="A6225" s="122" t="s">
        <v>7291</v>
      </c>
      <c r="B6225" s="123">
        <v>1611842.0</v>
      </c>
      <c r="C6225" s="687" t="s">
        <v>7292</v>
      </c>
      <c r="D6225" s="125"/>
    </row>
    <row r="6226">
      <c r="A6226" s="122" t="s">
        <v>8089</v>
      </c>
      <c r="B6226" s="123">
        <v>1874071.0</v>
      </c>
      <c r="C6226" s="687" t="s">
        <v>8090</v>
      </c>
      <c r="D6226" s="125"/>
    </row>
    <row r="6227">
      <c r="A6227" s="122" t="s">
        <v>1087</v>
      </c>
      <c r="B6227" s="123">
        <v>1842430.0</v>
      </c>
      <c r="C6227" s="687" t="s">
        <v>1088</v>
      </c>
      <c r="D6227" s="125"/>
    </row>
    <row r="6228">
      <c r="A6228" s="122" t="s">
        <v>9006</v>
      </c>
      <c r="B6228" s="123">
        <v>1930313.0</v>
      </c>
      <c r="C6228" s="687" t="s">
        <v>9007</v>
      </c>
      <c r="D6228" s="125"/>
    </row>
    <row r="6229">
      <c r="A6229" s="122" t="s">
        <v>9008</v>
      </c>
      <c r="B6229" s="123">
        <v>1930313.0</v>
      </c>
      <c r="C6229" s="687" t="s">
        <v>9009</v>
      </c>
      <c r="D6229" s="125"/>
    </row>
    <row r="6230">
      <c r="A6230" s="122" t="s">
        <v>3765</v>
      </c>
      <c r="B6230" s="123">
        <v>1784058.0</v>
      </c>
      <c r="C6230" s="687" t="s">
        <v>3766</v>
      </c>
      <c r="D6230" s="125"/>
    </row>
    <row r="6231">
      <c r="A6231" s="122" t="s">
        <v>16491</v>
      </c>
      <c r="B6231" s="123">
        <v>945841.0</v>
      </c>
      <c r="C6231" s="687" t="s">
        <v>16492</v>
      </c>
      <c r="D6231" s="125"/>
    </row>
    <row r="6232">
      <c r="A6232" s="122" t="s">
        <v>3976</v>
      </c>
      <c r="B6232" s="123">
        <v>1807389.0</v>
      </c>
      <c r="C6232" s="687" t="s">
        <v>3977</v>
      </c>
      <c r="D6232" s="125"/>
    </row>
    <row r="6233">
      <c r="A6233" s="122" t="s">
        <v>12366</v>
      </c>
      <c r="B6233" s="123">
        <v>763901.0</v>
      </c>
      <c r="C6233" s="687" t="s">
        <v>12367</v>
      </c>
      <c r="D6233" s="125"/>
    </row>
    <row r="6234">
      <c r="A6234" s="122" t="s">
        <v>15140</v>
      </c>
      <c r="B6234" s="123">
        <v>763901.0</v>
      </c>
      <c r="C6234" s="687" t="s">
        <v>15141</v>
      </c>
      <c r="D6234" s="125"/>
    </row>
    <row r="6235">
      <c r="A6235" s="122" t="s">
        <v>12158</v>
      </c>
      <c r="B6235" s="123">
        <v>763901.0</v>
      </c>
      <c r="C6235" s="687" t="s">
        <v>12159</v>
      </c>
      <c r="D6235" s="125"/>
    </row>
    <row r="6236">
      <c r="A6236" s="122" t="s">
        <v>5079</v>
      </c>
      <c r="B6236" s="123">
        <v>1784535.0</v>
      </c>
      <c r="C6236" s="687" t="s">
        <v>5080</v>
      </c>
      <c r="D6236" s="125"/>
    </row>
    <row r="6237">
      <c r="A6237" s="122" t="s">
        <v>14076</v>
      </c>
      <c r="B6237" s="123">
        <v>1450346.0</v>
      </c>
      <c r="C6237" s="687" t="s">
        <v>14077</v>
      </c>
      <c r="D6237" s="125"/>
    </row>
    <row r="6238">
      <c r="A6238" s="122" t="s">
        <v>6573</v>
      </c>
      <c r="B6238" s="123">
        <v>1450346.0</v>
      </c>
      <c r="C6238" s="687" t="s">
        <v>6574</v>
      </c>
      <c r="D6238" s="125"/>
    </row>
    <row r="6239">
      <c r="A6239" s="122" t="s">
        <v>3371</v>
      </c>
      <c r="B6239" s="123">
        <v>1095435.0</v>
      </c>
      <c r="C6239" s="687" t="s">
        <v>3372</v>
      </c>
      <c r="D6239" s="125"/>
    </row>
    <row r="6240">
      <c r="A6240" s="122" t="s">
        <v>10115</v>
      </c>
      <c r="B6240" s="123">
        <v>1871509.0</v>
      </c>
      <c r="C6240" s="687" t="s">
        <v>10116</v>
      </c>
      <c r="D6240" s="125"/>
    </row>
    <row r="6241">
      <c r="A6241" s="122" t="s">
        <v>13642</v>
      </c>
      <c r="B6241" s="123">
        <v>784977.0</v>
      </c>
      <c r="C6241" s="687" t="s">
        <v>13643</v>
      </c>
      <c r="D6241" s="125"/>
    </row>
    <row r="6242">
      <c r="A6242" s="122" t="s">
        <v>11222</v>
      </c>
      <c r="B6242" s="123">
        <v>1372807.0</v>
      </c>
      <c r="C6242" s="687" t="s">
        <v>11223</v>
      </c>
      <c r="D6242" s="125"/>
    </row>
    <row r="6243">
      <c r="A6243" s="122" t="s">
        <v>9744</v>
      </c>
      <c r="B6243" s="123">
        <v>79661.0</v>
      </c>
      <c r="C6243" s="687" t="s">
        <v>9745</v>
      </c>
      <c r="D6243" s="125"/>
    </row>
    <row r="6244">
      <c r="A6244" s="122" t="s">
        <v>15085</v>
      </c>
      <c r="B6244" s="123">
        <v>889132.0</v>
      </c>
      <c r="C6244" s="687" t="s">
        <v>15086</v>
      </c>
      <c r="D6244" s="125"/>
    </row>
    <row r="6245">
      <c r="A6245" s="122" t="s">
        <v>5810</v>
      </c>
      <c r="B6245" s="123">
        <v>1661460.0</v>
      </c>
      <c r="C6245" s="687" t="s">
        <v>5811</v>
      </c>
      <c r="D6245" s="125"/>
    </row>
    <row r="6246">
      <c r="A6246" s="122" t="s">
        <v>15399</v>
      </c>
      <c r="B6246" s="123">
        <v>1530950.0</v>
      </c>
      <c r="C6246" s="687" t="s">
        <v>15400</v>
      </c>
      <c r="D6246" s="125"/>
    </row>
    <row r="6247">
      <c r="A6247" s="122" t="s">
        <v>10211</v>
      </c>
      <c r="B6247" s="123">
        <v>1759774.0</v>
      </c>
      <c r="C6247" s="687" t="s">
        <v>10212</v>
      </c>
      <c r="D6247" s="125"/>
    </row>
    <row r="6248">
      <c r="A6248" s="122" t="s">
        <v>34031</v>
      </c>
      <c r="B6248" s="123">
        <v>1431880.0</v>
      </c>
      <c r="C6248" s="687" t="s">
        <v>34032</v>
      </c>
      <c r="D6248" s="125"/>
    </row>
    <row r="6249">
      <c r="A6249" s="122" t="s">
        <v>9947</v>
      </c>
      <c r="B6249" s="123">
        <v>1195734.0</v>
      </c>
      <c r="C6249" s="687" t="s">
        <v>9948</v>
      </c>
      <c r="D6249" s="125"/>
    </row>
    <row r="6250">
      <c r="A6250" s="122" t="s">
        <v>13828</v>
      </c>
      <c r="B6250" s="123">
        <v>1338749.0</v>
      </c>
      <c r="C6250" s="687" t="s">
        <v>13829</v>
      </c>
      <c r="D6250" s="125"/>
    </row>
    <row r="6251">
      <c r="A6251" s="122" t="s">
        <v>10418</v>
      </c>
      <c r="B6251" s="123">
        <v>925173.0</v>
      </c>
      <c r="C6251" s="687" t="s">
        <v>10419</v>
      </c>
      <c r="D6251" s="125"/>
    </row>
    <row r="6252">
      <c r="A6252" s="122" t="s">
        <v>15657</v>
      </c>
      <c r="B6252" s="123">
        <v>80420.0</v>
      </c>
      <c r="C6252" s="687" t="s">
        <v>15658</v>
      </c>
      <c r="D6252" s="125"/>
    </row>
    <row r="6253">
      <c r="A6253" s="122" t="s">
        <v>1848</v>
      </c>
      <c r="B6253" s="123">
        <v>1855474.0</v>
      </c>
      <c r="C6253" s="687" t="s">
        <v>1849</v>
      </c>
      <c r="D6253" s="125"/>
    </row>
    <row r="6254">
      <c r="A6254" s="122" t="s">
        <v>8865</v>
      </c>
      <c r="B6254" s="123">
        <v>1855474.0</v>
      </c>
      <c r="C6254" s="687" t="s">
        <v>8866</v>
      </c>
      <c r="D6254" s="125"/>
    </row>
    <row r="6255">
      <c r="A6255" s="122" t="s">
        <v>8867</v>
      </c>
      <c r="B6255" s="123">
        <v>1855474.0</v>
      </c>
      <c r="C6255" s="687" t="s">
        <v>8868</v>
      </c>
      <c r="D6255" s="125"/>
    </row>
    <row r="6256">
      <c r="A6256" s="122" t="s">
        <v>14893</v>
      </c>
      <c r="B6256" s="123">
        <v>833640.0</v>
      </c>
      <c r="C6256" s="687" t="s">
        <v>14894</v>
      </c>
      <c r="D6256" s="125"/>
    </row>
    <row r="6257">
      <c r="A6257" s="122" t="s">
        <v>3986</v>
      </c>
      <c r="B6257" s="123">
        <v>1829427.0</v>
      </c>
      <c r="C6257" s="687" t="s">
        <v>3987</v>
      </c>
      <c r="D6257" s="125"/>
    </row>
    <row r="6258">
      <c r="A6258" s="122" t="s">
        <v>3155</v>
      </c>
      <c r="B6258" s="123">
        <v>1532619.0</v>
      </c>
      <c r="C6258" s="687" t="s">
        <v>3156</v>
      </c>
      <c r="D6258" s="125"/>
    </row>
    <row r="6259">
      <c r="A6259" s="122" t="s">
        <v>4902</v>
      </c>
      <c r="B6259" s="123">
        <v>1137091.0</v>
      </c>
      <c r="C6259" s="687" t="s">
        <v>4903</v>
      </c>
      <c r="D6259" s="125"/>
    </row>
    <row r="6260">
      <c r="A6260" s="122" t="s">
        <v>5642</v>
      </c>
      <c r="B6260" s="123">
        <v>1774170.0</v>
      </c>
      <c r="C6260" s="687" t="s">
        <v>5643</v>
      </c>
      <c r="D6260" s="125"/>
    </row>
    <row r="6261">
      <c r="A6261" s="122" t="s">
        <v>12176</v>
      </c>
      <c r="B6261" s="123">
        <v>1835681.0</v>
      </c>
      <c r="C6261" s="687" t="s">
        <v>12177</v>
      </c>
      <c r="D6261" s="125"/>
    </row>
    <row r="6262">
      <c r="A6262" s="122" t="s">
        <v>1325</v>
      </c>
      <c r="B6262" s="123">
        <v>1847345.0</v>
      </c>
      <c r="C6262" s="687" t="s">
        <v>1326</v>
      </c>
      <c r="D6262" s="125"/>
    </row>
    <row r="6263">
      <c r="A6263" s="122" t="s">
        <v>8961</v>
      </c>
      <c r="B6263" s="123">
        <v>1847345.0</v>
      </c>
      <c r="C6263" s="687" t="s">
        <v>8962</v>
      </c>
      <c r="D6263" s="125"/>
    </row>
    <row r="6264">
      <c r="A6264" s="122" t="s">
        <v>8938</v>
      </c>
      <c r="B6264" s="123">
        <v>1847345.0</v>
      </c>
      <c r="C6264" s="687" t="s">
        <v>8939</v>
      </c>
      <c r="D6264" s="125"/>
    </row>
    <row r="6265">
      <c r="A6265" s="122" t="s">
        <v>15808</v>
      </c>
      <c r="B6265" s="123">
        <v>79879.0</v>
      </c>
      <c r="C6265" s="687" t="s">
        <v>15809</v>
      </c>
      <c r="D6265" s="125"/>
    </row>
    <row r="6266">
      <c r="A6266" s="122" t="s">
        <v>12439</v>
      </c>
      <c r="B6266" s="123">
        <v>922224.0</v>
      </c>
      <c r="C6266" s="687" t="s">
        <v>12440</v>
      </c>
      <c r="D6266" s="125"/>
    </row>
    <row r="6267">
      <c r="A6267" s="122" t="s">
        <v>11995</v>
      </c>
      <c r="B6267" s="123">
        <v>1185348.0</v>
      </c>
      <c r="C6267" s="687" t="s">
        <v>11996</v>
      </c>
      <c r="D6267" s="125"/>
    </row>
    <row r="6268">
      <c r="A6268" s="122" t="s">
        <v>7037</v>
      </c>
      <c r="B6268" s="123">
        <v>1527249.0</v>
      </c>
      <c r="C6268" s="687" t="s">
        <v>7038</v>
      </c>
      <c r="D6268" s="125"/>
    </row>
    <row r="6269">
      <c r="A6269" s="122" t="s">
        <v>13679</v>
      </c>
      <c r="B6269" s="123">
        <v>1689548.0</v>
      </c>
      <c r="C6269" s="687" t="s">
        <v>13680</v>
      </c>
      <c r="D6269" s="125"/>
    </row>
    <row r="6270">
      <c r="A6270" s="122" t="s">
        <v>1493</v>
      </c>
      <c r="B6270" s="123">
        <v>1350156.0</v>
      </c>
      <c r="C6270" s="687" t="s">
        <v>1494</v>
      </c>
      <c r="D6270" s="125"/>
    </row>
    <row r="6271">
      <c r="A6271" s="122" t="s">
        <v>4281</v>
      </c>
      <c r="B6271" s="123">
        <v>1356090.0</v>
      </c>
      <c r="C6271" s="687" t="s">
        <v>4282</v>
      </c>
      <c r="D6271" s="125"/>
    </row>
    <row r="6272">
      <c r="A6272" s="122" t="s">
        <v>7003</v>
      </c>
      <c r="B6272" s="123">
        <v>1043961.0</v>
      </c>
      <c r="C6272" s="687" t="s">
        <v>7004</v>
      </c>
      <c r="D6272" s="125"/>
    </row>
    <row r="6273">
      <c r="A6273" s="122" t="s">
        <v>2747</v>
      </c>
      <c r="B6273" s="123">
        <v>1357874.0</v>
      </c>
      <c r="C6273" s="687" t="s">
        <v>2748</v>
      </c>
      <c r="D6273" s="125"/>
    </row>
    <row r="6274">
      <c r="A6274" s="122" t="s">
        <v>14428</v>
      </c>
      <c r="B6274" s="123">
        <v>1013605.0</v>
      </c>
      <c r="C6274" s="687" t="s">
        <v>14429</v>
      </c>
      <c r="D6274" s="125"/>
    </row>
    <row r="6275">
      <c r="A6275" s="122" t="s">
        <v>5572</v>
      </c>
      <c r="B6275" s="123">
        <v>1446159.0</v>
      </c>
      <c r="C6275" s="687" t="s">
        <v>5573</v>
      </c>
      <c r="D6275" s="125"/>
    </row>
    <row r="6276">
      <c r="A6276" s="122" t="s">
        <v>34033</v>
      </c>
      <c r="B6276" s="123">
        <v>1382943.0</v>
      </c>
      <c r="C6276" s="687" t="s">
        <v>34034</v>
      </c>
      <c r="D6276" s="125"/>
    </row>
    <row r="6277">
      <c r="A6277" s="122" t="s">
        <v>1409</v>
      </c>
      <c r="B6277" s="123">
        <v>1868079.0</v>
      </c>
      <c r="C6277" s="687" t="s">
        <v>1410</v>
      </c>
      <c r="D6277" s="125"/>
    </row>
    <row r="6278">
      <c r="A6278" s="122" t="s">
        <v>14796</v>
      </c>
      <c r="B6278" s="123">
        <v>1492165.0</v>
      </c>
      <c r="C6278" s="687" t="s">
        <v>14797</v>
      </c>
      <c r="D6278" s="125"/>
    </row>
    <row r="6279">
      <c r="A6279" s="122" t="s">
        <v>5561</v>
      </c>
      <c r="B6279" s="123">
        <v>1678660.0</v>
      </c>
      <c r="C6279" s="687" t="s">
        <v>5562</v>
      </c>
      <c r="D6279" s="125"/>
    </row>
    <row r="6280">
      <c r="A6280" s="122" t="s">
        <v>11568</v>
      </c>
      <c r="B6280" s="123">
        <v>946647.0</v>
      </c>
      <c r="C6280" s="687" t="s">
        <v>11569</v>
      </c>
      <c r="D6280" s="125"/>
    </row>
    <row r="6281">
      <c r="A6281" s="122" t="s">
        <v>34035</v>
      </c>
      <c r="B6281" s="123">
        <v>1515740.0</v>
      </c>
      <c r="C6281" s="687" t="s">
        <v>34036</v>
      </c>
      <c r="D6281" s="125"/>
    </row>
    <row r="6282">
      <c r="A6282" s="122" t="s">
        <v>11625</v>
      </c>
      <c r="B6282" s="123">
        <v>1577916.0</v>
      </c>
      <c r="C6282" s="687" t="s">
        <v>11626</v>
      </c>
      <c r="D6282" s="125"/>
    </row>
    <row r="6283">
      <c r="A6283" s="122" t="s">
        <v>34037</v>
      </c>
      <c r="B6283" s="123">
        <v>1301838.0</v>
      </c>
      <c r="C6283" s="687" t="s">
        <v>34038</v>
      </c>
      <c r="D6283" s="125"/>
    </row>
    <row r="6284">
      <c r="A6284" s="122" t="s">
        <v>731</v>
      </c>
      <c r="B6284" s="123">
        <v>1876431.0</v>
      </c>
      <c r="C6284" s="687" t="s">
        <v>732</v>
      </c>
      <c r="D6284" s="125"/>
    </row>
    <row r="6285">
      <c r="A6285" s="122" t="s">
        <v>6543</v>
      </c>
      <c r="B6285" s="123">
        <v>1876431.0</v>
      </c>
      <c r="C6285" s="687" t="s">
        <v>6544</v>
      </c>
      <c r="D6285" s="125"/>
    </row>
    <row r="6286">
      <c r="A6286" s="122" t="s">
        <v>2516</v>
      </c>
      <c r="B6286" s="123">
        <v>731245.0</v>
      </c>
      <c r="C6286" s="687" t="s">
        <v>2517</v>
      </c>
      <c r="D6286" s="125"/>
    </row>
    <row r="6287">
      <c r="A6287" s="122" t="s">
        <v>1205</v>
      </c>
      <c r="B6287" s="123">
        <v>731245.0</v>
      </c>
      <c r="C6287" s="687" t="s">
        <v>1206</v>
      </c>
      <c r="D6287" s="125"/>
    </row>
    <row r="6288">
      <c r="A6288" s="122" t="s">
        <v>1521</v>
      </c>
      <c r="B6288" s="123">
        <v>1080657.0</v>
      </c>
      <c r="C6288" s="687" t="s">
        <v>1522</v>
      </c>
      <c r="D6288" s="125"/>
    </row>
    <row r="6289">
      <c r="A6289" s="122" t="s">
        <v>3887</v>
      </c>
      <c r="B6289" s="123">
        <v>1080657.0</v>
      </c>
      <c r="C6289" s="687" t="s">
        <v>3888</v>
      </c>
      <c r="D6289" s="125"/>
    </row>
    <row r="6290">
      <c r="A6290" s="122" t="s">
        <v>10606</v>
      </c>
      <c r="B6290" s="123">
        <v>1080657.0</v>
      </c>
      <c r="C6290" s="687" t="s">
        <v>10607</v>
      </c>
      <c r="D6290" s="125"/>
    </row>
    <row r="6291">
      <c r="A6291" s="122" t="s">
        <v>2641</v>
      </c>
      <c r="B6291" s="123">
        <v>830656.0</v>
      </c>
      <c r="C6291" s="687" t="s">
        <v>2642</v>
      </c>
      <c r="D6291" s="125"/>
    </row>
    <row r="6292">
      <c r="A6292" s="122" t="s">
        <v>14520</v>
      </c>
      <c r="B6292" s="123">
        <v>1295947.0</v>
      </c>
      <c r="C6292" s="687" t="s">
        <v>14521</v>
      </c>
      <c r="D6292" s="125"/>
    </row>
    <row r="6293">
      <c r="A6293" s="122" t="s">
        <v>14927</v>
      </c>
      <c r="B6293" s="123">
        <v>1041803.0</v>
      </c>
      <c r="C6293" s="687" t="s">
        <v>14928</v>
      </c>
      <c r="D6293" s="125"/>
    </row>
    <row r="6294">
      <c r="A6294" s="122" t="s">
        <v>12138</v>
      </c>
      <c r="B6294" s="123">
        <v>1586454.0</v>
      </c>
      <c r="C6294" s="687" t="s">
        <v>12139</v>
      </c>
      <c r="D6294" s="125"/>
    </row>
    <row r="6295">
      <c r="A6295" s="122" t="s">
        <v>4807</v>
      </c>
      <c r="B6295" s="123">
        <v>1891944.0</v>
      </c>
      <c r="C6295" s="687" t="s">
        <v>4808</v>
      </c>
      <c r="D6295" s="125"/>
    </row>
    <row r="6296">
      <c r="A6296" s="122" t="s">
        <v>15303</v>
      </c>
      <c r="B6296" s="123">
        <v>56868.0</v>
      </c>
      <c r="C6296" s="687" t="s">
        <v>15304</v>
      </c>
      <c r="D6296" s="125"/>
    </row>
    <row r="6297">
      <c r="A6297" s="122" t="s">
        <v>16274</v>
      </c>
      <c r="B6297" s="123">
        <v>1475922.0</v>
      </c>
      <c r="C6297" s="687" t="s">
        <v>16275</v>
      </c>
      <c r="D6297" s="125"/>
    </row>
    <row r="6298">
      <c r="A6298" s="122" t="s">
        <v>9830</v>
      </c>
      <c r="B6298" s="123">
        <v>1325670.0</v>
      </c>
      <c r="C6298" s="687" t="s">
        <v>9831</v>
      </c>
      <c r="D6298" s="125"/>
    </row>
    <row r="6299">
      <c r="A6299" s="122" t="s">
        <v>10370</v>
      </c>
      <c r="B6299" s="123">
        <v>884713.0</v>
      </c>
      <c r="C6299" s="687" t="s">
        <v>10371</v>
      </c>
      <c r="D6299" s="125"/>
    </row>
    <row r="6300">
      <c r="A6300" s="122" t="s">
        <v>13177</v>
      </c>
      <c r="B6300" s="123">
        <v>1361538.0</v>
      </c>
      <c r="C6300" s="687" t="s">
        <v>13178</v>
      </c>
      <c r="D6300" s="125"/>
    </row>
    <row r="6301">
      <c r="A6301" s="122" t="s">
        <v>13007</v>
      </c>
      <c r="B6301" s="123">
        <v>1913971.0</v>
      </c>
      <c r="C6301" s="687" t="s">
        <v>13008</v>
      </c>
      <c r="D6301" s="125"/>
    </row>
    <row r="6302">
      <c r="A6302" s="122" t="s">
        <v>2365</v>
      </c>
      <c r="B6302" s="123">
        <v>845385.0</v>
      </c>
      <c r="C6302" s="687" t="s">
        <v>2366</v>
      </c>
      <c r="D6302" s="125"/>
    </row>
    <row r="6303">
      <c r="A6303" s="122" t="s">
        <v>14955</v>
      </c>
      <c r="B6303" s="123">
        <v>1126328.0</v>
      </c>
      <c r="C6303" s="687" t="s">
        <v>14956</v>
      </c>
      <c r="D6303" s="125"/>
    </row>
    <row r="6304">
      <c r="A6304" s="122" t="s">
        <v>8405</v>
      </c>
      <c r="B6304" s="123">
        <v>1557523.0</v>
      </c>
      <c r="C6304" s="687" t="s">
        <v>8406</v>
      </c>
      <c r="D6304" s="125"/>
    </row>
    <row r="6305">
      <c r="A6305" s="122" t="s">
        <v>34039</v>
      </c>
      <c r="B6305" s="123">
        <v>1587476.0</v>
      </c>
      <c r="C6305" s="687" t="s">
        <v>34040</v>
      </c>
      <c r="D6305" s="125"/>
    </row>
    <row r="6306">
      <c r="A6306" s="122" t="s">
        <v>5730</v>
      </c>
      <c r="B6306" s="123">
        <v>1653558.0</v>
      </c>
      <c r="C6306" s="687" t="s">
        <v>5731</v>
      </c>
      <c r="D6306" s="125"/>
    </row>
    <row r="6307">
      <c r="A6307" s="122" t="s">
        <v>1185</v>
      </c>
      <c r="B6307" s="123">
        <v>1837607.0</v>
      </c>
      <c r="C6307" s="687" t="s">
        <v>1186</v>
      </c>
      <c r="D6307" s="125"/>
    </row>
    <row r="6308">
      <c r="A6308" s="122" t="s">
        <v>9059</v>
      </c>
      <c r="B6308" s="123">
        <v>1837607.0</v>
      </c>
      <c r="C6308" s="687" t="s">
        <v>9060</v>
      </c>
      <c r="D6308" s="125"/>
    </row>
    <row r="6309">
      <c r="A6309" s="122" t="s">
        <v>9224</v>
      </c>
      <c r="B6309" s="123">
        <v>1837607.0</v>
      </c>
      <c r="C6309" s="687" t="s">
        <v>9225</v>
      </c>
      <c r="D6309" s="125"/>
    </row>
    <row r="6310">
      <c r="A6310" s="122" t="s">
        <v>11547</v>
      </c>
      <c r="B6310" s="123">
        <v>1759655.0</v>
      </c>
      <c r="C6310" s="687" t="s">
        <v>11548</v>
      </c>
      <c r="D6310" s="125"/>
    </row>
    <row r="6311">
      <c r="A6311" s="122" t="s">
        <v>11659</v>
      </c>
      <c r="B6311" s="123">
        <v>788920.0</v>
      </c>
      <c r="C6311" s="687" t="s">
        <v>11660</v>
      </c>
      <c r="D6311" s="125"/>
    </row>
    <row r="6312">
      <c r="A6312" s="122" t="s">
        <v>9981</v>
      </c>
      <c r="B6312" s="123">
        <v>1127703.0</v>
      </c>
      <c r="C6312" s="687" t="s">
        <v>9982</v>
      </c>
      <c r="D6312" s="125"/>
    </row>
    <row r="6313">
      <c r="A6313" s="122" t="s">
        <v>1775</v>
      </c>
      <c r="B6313" s="123">
        <v>1863362.0</v>
      </c>
      <c r="C6313" s="687" t="s">
        <v>1776</v>
      </c>
      <c r="D6313" s="125"/>
    </row>
    <row r="6314">
      <c r="A6314" s="122" t="s">
        <v>5905</v>
      </c>
      <c r="B6314" s="123">
        <v>1863362.0</v>
      </c>
      <c r="C6314" s="687" t="s">
        <v>5906</v>
      </c>
      <c r="D6314" s="125"/>
    </row>
    <row r="6315">
      <c r="A6315" s="122" t="s">
        <v>13997</v>
      </c>
      <c r="B6315" s="123">
        <v>1588978.0</v>
      </c>
      <c r="C6315" s="687" t="s">
        <v>13998</v>
      </c>
      <c r="D6315" s="125"/>
    </row>
    <row r="6316">
      <c r="A6316" s="122" t="s">
        <v>5137</v>
      </c>
      <c r="B6316" s="123">
        <v>1533743.0</v>
      </c>
      <c r="C6316" s="687" t="s">
        <v>5138</v>
      </c>
      <c r="D6316" s="125"/>
    </row>
    <row r="6317">
      <c r="A6317" s="122" t="s">
        <v>15941</v>
      </c>
      <c r="B6317" s="123">
        <v>80424.0</v>
      </c>
      <c r="C6317" s="687" t="s">
        <v>15942</v>
      </c>
      <c r="D6317" s="125"/>
    </row>
    <row r="6318">
      <c r="A6318" s="122" t="s">
        <v>2584</v>
      </c>
      <c r="B6318" s="123">
        <v>812306.0</v>
      </c>
      <c r="C6318" s="687" t="s">
        <v>2585</v>
      </c>
      <c r="D6318" s="125"/>
    </row>
    <row r="6319">
      <c r="A6319" s="122" t="s">
        <v>5067</v>
      </c>
      <c r="B6319" s="123">
        <v>1546296.0</v>
      </c>
      <c r="C6319" s="687" t="s">
        <v>5068</v>
      </c>
      <c r="D6319" s="125"/>
    </row>
    <row r="6320">
      <c r="A6320" s="122" t="s">
        <v>4445</v>
      </c>
      <c r="B6320" s="123">
        <v>1289636.0</v>
      </c>
      <c r="C6320" s="687" t="s">
        <v>4446</v>
      </c>
      <c r="D6320" s="125"/>
    </row>
    <row r="6321">
      <c r="A6321" s="122" t="s">
        <v>7848</v>
      </c>
      <c r="B6321" s="123">
        <v>1628808.0</v>
      </c>
      <c r="C6321" s="687" t="s">
        <v>7849</v>
      </c>
      <c r="D6321" s="125"/>
    </row>
    <row r="6322">
      <c r="A6322" s="122" t="s">
        <v>12856</v>
      </c>
      <c r="B6322" s="123">
        <v>1808834.0</v>
      </c>
      <c r="C6322" s="687" t="s">
        <v>12857</v>
      </c>
      <c r="D6322" s="125"/>
    </row>
    <row r="6323">
      <c r="A6323" s="122" t="s">
        <v>14354</v>
      </c>
      <c r="B6323" s="123">
        <v>876167.0</v>
      </c>
      <c r="C6323" s="687" t="s">
        <v>14355</v>
      </c>
      <c r="D6323" s="125"/>
    </row>
    <row r="6324">
      <c r="A6324" s="122" t="s">
        <v>5468</v>
      </c>
      <c r="B6324" s="123">
        <v>1402945.0</v>
      </c>
      <c r="C6324" s="687" t="s">
        <v>5469</v>
      </c>
      <c r="D6324" s="125"/>
    </row>
    <row r="6325">
      <c r="A6325" s="122" t="s">
        <v>16063</v>
      </c>
      <c r="B6325" s="123">
        <v>80661.0</v>
      </c>
      <c r="C6325" s="687" t="s">
        <v>16064</v>
      </c>
      <c r="D6325" s="125"/>
    </row>
    <row r="6326">
      <c r="A6326" s="122" t="s">
        <v>13519</v>
      </c>
      <c r="B6326" s="123">
        <v>1551306.0</v>
      </c>
      <c r="C6326" s="687" t="s">
        <v>13520</v>
      </c>
      <c r="D6326" s="125"/>
    </row>
    <row r="6327">
      <c r="A6327" s="122" t="s">
        <v>1177</v>
      </c>
      <c r="B6327" s="123">
        <v>1847241.0</v>
      </c>
      <c r="C6327" s="687" t="s">
        <v>1178</v>
      </c>
      <c r="D6327" s="125"/>
    </row>
    <row r="6328">
      <c r="A6328" s="122" t="s">
        <v>8740</v>
      </c>
      <c r="B6328" s="123">
        <v>1847241.0</v>
      </c>
      <c r="C6328" s="687" t="s">
        <v>8741</v>
      </c>
      <c r="D6328" s="125"/>
    </row>
    <row r="6329">
      <c r="A6329" s="122" t="s">
        <v>8706</v>
      </c>
      <c r="B6329" s="123">
        <v>1847241.0</v>
      </c>
      <c r="C6329" s="687" t="s">
        <v>8707</v>
      </c>
      <c r="D6329" s="125"/>
    </row>
    <row r="6330">
      <c r="A6330" s="122" t="s">
        <v>4136</v>
      </c>
      <c r="B6330" s="123">
        <v>1850270.0</v>
      </c>
      <c r="C6330" s="687" t="s">
        <v>4137</v>
      </c>
      <c r="D6330" s="125"/>
    </row>
    <row r="6331">
      <c r="A6331" s="122" t="s">
        <v>15723</v>
      </c>
      <c r="B6331" s="123">
        <v>1045609.0</v>
      </c>
      <c r="C6331" s="687" t="s">
        <v>15724</v>
      </c>
      <c r="D6331" s="125"/>
    </row>
    <row r="6332">
      <c r="A6332" s="122" t="s">
        <v>14262</v>
      </c>
      <c r="B6332" s="123">
        <v>1045609.0</v>
      </c>
      <c r="C6332" s="687" t="s">
        <v>14263</v>
      </c>
      <c r="D6332" s="125"/>
    </row>
    <row r="6333">
      <c r="A6333" s="122" t="s">
        <v>4874</v>
      </c>
      <c r="B6333" s="123">
        <v>1374339.0</v>
      </c>
      <c r="C6333" s="687" t="s">
        <v>4875</v>
      </c>
      <c r="D6333" s="125"/>
    </row>
    <row r="6334">
      <c r="A6334" s="122" t="s">
        <v>5754</v>
      </c>
      <c r="B6334" s="123">
        <v>1873331.0</v>
      </c>
      <c r="C6334" s="687" t="s">
        <v>5755</v>
      </c>
      <c r="D6334" s="125"/>
    </row>
    <row r="6335">
      <c r="A6335" s="122" t="s">
        <v>7679</v>
      </c>
      <c r="B6335" s="123">
        <v>1680247.0</v>
      </c>
      <c r="C6335" s="687" t="s">
        <v>7680</v>
      </c>
      <c r="D6335" s="125"/>
    </row>
    <row r="6336">
      <c r="A6336" s="122" t="s">
        <v>6599</v>
      </c>
      <c r="B6336" s="123">
        <v>868278.0</v>
      </c>
      <c r="C6336" s="687" t="s">
        <v>6600</v>
      </c>
      <c r="D6336" s="125"/>
    </row>
    <row r="6337">
      <c r="A6337" s="122" t="s">
        <v>4937</v>
      </c>
      <c r="B6337" s="123">
        <v>1612940.0</v>
      </c>
      <c r="C6337" s="687" t="s">
        <v>4938</v>
      </c>
      <c r="D6337" s="125"/>
    </row>
    <row r="6338">
      <c r="A6338" s="122" t="s">
        <v>13310</v>
      </c>
      <c r="B6338" s="123">
        <v>1392972.0</v>
      </c>
      <c r="C6338" s="687" t="s">
        <v>13311</v>
      </c>
      <c r="D6338" s="125"/>
    </row>
    <row r="6339">
      <c r="A6339" s="122" t="s">
        <v>15471</v>
      </c>
      <c r="B6339" s="123">
        <v>1415311.0</v>
      </c>
      <c r="C6339" s="687" t="s">
        <v>15472</v>
      </c>
      <c r="D6339" s="125"/>
    </row>
    <row r="6340">
      <c r="A6340" s="122" t="s">
        <v>12445</v>
      </c>
      <c r="B6340" s="123">
        <v>1415311.0</v>
      </c>
      <c r="C6340" s="687" t="s">
        <v>12446</v>
      </c>
      <c r="D6340" s="125"/>
    </row>
    <row r="6341">
      <c r="A6341" s="122" t="s">
        <v>11837</v>
      </c>
      <c r="B6341" s="123">
        <v>1415311.0</v>
      </c>
      <c r="C6341" s="687" t="s">
        <v>11838</v>
      </c>
      <c r="D6341" s="125"/>
    </row>
    <row r="6342">
      <c r="A6342" s="122" t="s">
        <v>9349</v>
      </c>
      <c r="B6342" s="123">
        <v>1415311.0</v>
      </c>
      <c r="C6342" s="687" t="s">
        <v>9350</v>
      </c>
      <c r="D6342" s="125"/>
    </row>
    <row r="6343">
      <c r="A6343" s="122" t="s">
        <v>14512</v>
      </c>
      <c r="B6343" s="123">
        <v>1415311.0</v>
      </c>
      <c r="C6343" s="687" t="s">
        <v>14513</v>
      </c>
      <c r="D6343" s="125"/>
    </row>
    <row r="6344">
      <c r="A6344" s="122" t="s">
        <v>12148</v>
      </c>
      <c r="B6344" s="123">
        <v>1415311.0</v>
      </c>
      <c r="C6344" s="687" t="s">
        <v>12149</v>
      </c>
      <c r="D6344" s="125"/>
    </row>
    <row r="6345">
      <c r="A6345" s="122" t="s">
        <v>7642</v>
      </c>
      <c r="B6345" s="123">
        <v>1415311.0</v>
      </c>
      <c r="C6345" s="687" t="s">
        <v>7643</v>
      </c>
      <c r="D6345" s="125"/>
    </row>
    <row r="6346">
      <c r="A6346" s="122" t="s">
        <v>12218</v>
      </c>
      <c r="B6346" s="123">
        <v>1415311.0</v>
      </c>
      <c r="C6346" s="687" t="s">
        <v>12219</v>
      </c>
      <c r="D6346" s="125"/>
    </row>
    <row r="6347">
      <c r="A6347" s="122" t="s">
        <v>11502</v>
      </c>
      <c r="B6347" s="123">
        <v>1415311.0</v>
      </c>
      <c r="C6347" s="687" t="s">
        <v>11503</v>
      </c>
      <c r="D6347" s="125"/>
    </row>
    <row r="6348">
      <c r="A6348" s="122" t="s">
        <v>15508</v>
      </c>
      <c r="B6348" s="123">
        <v>1415311.0</v>
      </c>
      <c r="C6348" s="687" t="s">
        <v>15509</v>
      </c>
      <c r="D6348" s="125"/>
    </row>
    <row r="6349">
      <c r="A6349" s="122" t="s">
        <v>12848</v>
      </c>
      <c r="B6349" s="123">
        <v>1415311.0</v>
      </c>
      <c r="C6349" s="687" t="s">
        <v>12849</v>
      </c>
      <c r="D6349" s="125"/>
    </row>
    <row r="6350">
      <c r="A6350" s="122" t="s">
        <v>12586</v>
      </c>
      <c r="B6350" s="123">
        <v>1415311.0</v>
      </c>
      <c r="C6350" s="687" t="s">
        <v>12587</v>
      </c>
      <c r="D6350" s="125"/>
    </row>
    <row r="6351">
      <c r="A6351" s="122" t="s">
        <v>11432</v>
      </c>
      <c r="B6351" s="123">
        <v>1415311.0</v>
      </c>
      <c r="C6351" s="687" t="s">
        <v>11433</v>
      </c>
      <c r="D6351" s="125"/>
    </row>
    <row r="6352">
      <c r="A6352" s="122" t="s">
        <v>14933</v>
      </c>
      <c r="B6352" s="123">
        <v>1415311.0</v>
      </c>
      <c r="C6352" s="687" t="s">
        <v>14934</v>
      </c>
      <c r="D6352" s="125"/>
    </row>
    <row r="6353">
      <c r="A6353" s="122" t="s">
        <v>10667</v>
      </c>
      <c r="B6353" s="123">
        <v>1415311.0</v>
      </c>
      <c r="C6353" s="687" t="s">
        <v>10668</v>
      </c>
      <c r="D6353" s="125"/>
    </row>
    <row r="6354">
      <c r="A6354" s="122" t="s">
        <v>10395</v>
      </c>
      <c r="B6354" s="123">
        <v>1415311.0</v>
      </c>
      <c r="C6354" s="687" t="s">
        <v>10396</v>
      </c>
      <c r="D6354" s="125"/>
    </row>
    <row r="6355">
      <c r="A6355" s="122" t="s">
        <v>3524</v>
      </c>
      <c r="B6355" s="123">
        <v>1934064.0</v>
      </c>
      <c r="C6355" s="687" t="s">
        <v>3525</v>
      </c>
      <c r="D6355" s="125"/>
    </row>
    <row r="6356">
      <c r="A6356" s="122" t="s">
        <v>1281</v>
      </c>
      <c r="B6356" s="123">
        <v>1137774.0</v>
      </c>
      <c r="C6356" s="687" t="s">
        <v>1282</v>
      </c>
      <c r="D6356" s="125"/>
    </row>
    <row r="6357">
      <c r="A6357" s="122" t="s">
        <v>6949</v>
      </c>
      <c r="B6357" s="123">
        <v>1287032.0</v>
      </c>
      <c r="C6357" s="687" t="s">
        <v>6950</v>
      </c>
      <c r="D6357" s="125"/>
    </row>
    <row r="6358">
      <c r="A6358" s="122" t="s">
        <v>1703</v>
      </c>
      <c r="B6358" s="123">
        <v>77281.0</v>
      </c>
      <c r="C6358" s="687" t="s">
        <v>1704</v>
      </c>
      <c r="D6358" s="125"/>
    </row>
    <row r="6359">
      <c r="A6359" s="122" t="s">
        <v>14555</v>
      </c>
      <c r="B6359" s="123">
        <v>1068851.0</v>
      </c>
      <c r="C6359" s="687" t="s">
        <v>14556</v>
      </c>
      <c r="D6359" s="125"/>
    </row>
    <row r="6360">
      <c r="A6360" s="122" t="s">
        <v>2077</v>
      </c>
      <c r="B6360" s="123">
        <v>1493130.0</v>
      </c>
      <c r="C6360" s="687" t="s">
        <v>2078</v>
      </c>
      <c r="D6360" s="125"/>
    </row>
    <row r="6361">
      <c r="A6361" s="122" t="s">
        <v>3716</v>
      </c>
      <c r="B6361" s="123">
        <v>1022899.0</v>
      </c>
      <c r="C6361" s="687" t="s">
        <v>895</v>
      </c>
      <c r="D6361" s="125"/>
    </row>
    <row r="6362">
      <c r="A6362" s="122" t="s">
        <v>894</v>
      </c>
      <c r="B6362" s="123">
        <v>1022899.0</v>
      </c>
      <c r="C6362" s="687" t="s">
        <v>895</v>
      </c>
      <c r="D6362" s="125"/>
    </row>
    <row r="6363">
      <c r="A6363" s="122" t="s">
        <v>12494</v>
      </c>
      <c r="B6363" s="123">
        <v>1377121.0</v>
      </c>
      <c r="C6363" s="687" t="s">
        <v>12495</v>
      </c>
      <c r="D6363" s="125"/>
    </row>
    <row r="6364">
      <c r="A6364" s="122" t="s">
        <v>4349</v>
      </c>
      <c r="B6364" s="123">
        <v>1006281.0</v>
      </c>
      <c r="C6364" s="687" t="s">
        <v>4350</v>
      </c>
      <c r="D6364" s="125"/>
    </row>
    <row r="6365">
      <c r="A6365" s="122" t="s">
        <v>5414</v>
      </c>
      <c r="B6365" s="123">
        <v>1359931.0</v>
      </c>
      <c r="C6365" s="687" t="s">
        <v>5415</v>
      </c>
      <c r="D6365" s="125"/>
    </row>
    <row r="6366">
      <c r="A6366" s="122" t="s">
        <v>12416</v>
      </c>
      <c r="B6366" s="123">
        <v>1559053.0</v>
      </c>
      <c r="C6366" s="687" t="s">
        <v>12417</v>
      </c>
      <c r="D6366" s="125"/>
    </row>
    <row r="6367">
      <c r="A6367" s="122" t="s">
        <v>13389</v>
      </c>
      <c r="B6367" s="123">
        <v>1443669.0</v>
      </c>
      <c r="C6367" s="687" t="s">
        <v>13390</v>
      </c>
      <c r="D6367" s="125"/>
    </row>
    <row r="6368">
      <c r="A6368" s="122" t="s">
        <v>900</v>
      </c>
      <c r="B6368" s="123">
        <v>1128189.0</v>
      </c>
      <c r="C6368" s="687" t="s">
        <v>901</v>
      </c>
      <c r="D6368" s="125"/>
    </row>
    <row r="6369">
      <c r="A6369" s="122" t="s">
        <v>2002</v>
      </c>
      <c r="B6369" s="123">
        <v>315545.0</v>
      </c>
      <c r="C6369" s="687" t="s">
        <v>2003</v>
      </c>
      <c r="D6369" s="125"/>
    </row>
    <row r="6370">
      <c r="A6370" s="122" t="s">
        <v>8491</v>
      </c>
      <c r="B6370" s="123">
        <v>1778784.0</v>
      </c>
      <c r="C6370" s="687" t="s">
        <v>8492</v>
      </c>
      <c r="D6370" s="125"/>
    </row>
    <row r="6371">
      <c r="A6371" s="122" t="s">
        <v>10453</v>
      </c>
      <c r="B6371" s="123">
        <v>1010470.0</v>
      </c>
      <c r="C6371" s="687" t="s">
        <v>10454</v>
      </c>
      <c r="D6371" s="125"/>
    </row>
    <row r="6372">
      <c r="A6372" s="122" t="s">
        <v>10680</v>
      </c>
      <c r="B6372" s="123">
        <v>1178970.0</v>
      </c>
      <c r="C6372" s="687" t="s">
        <v>10681</v>
      </c>
      <c r="D6372" s="125"/>
    </row>
    <row r="6373">
      <c r="A6373" s="122" t="s">
        <v>15065</v>
      </c>
      <c r="B6373" s="123">
        <v>1825473.0</v>
      </c>
      <c r="C6373" s="687" t="s">
        <v>15066</v>
      </c>
      <c r="D6373" s="125"/>
    </row>
    <row r="6374">
      <c r="A6374" s="122" t="s">
        <v>12426</v>
      </c>
      <c r="B6374" s="123">
        <v>1137774.0</v>
      </c>
      <c r="C6374" s="687" t="s">
        <v>12427</v>
      </c>
      <c r="D6374" s="125"/>
    </row>
    <row r="6375">
      <c r="A6375" s="122" t="s">
        <v>15443</v>
      </c>
      <c r="B6375" s="123">
        <v>1137774.0</v>
      </c>
      <c r="C6375" s="687" t="s">
        <v>15444</v>
      </c>
      <c r="D6375" s="125"/>
    </row>
    <row r="6376">
      <c r="A6376" s="122" t="s">
        <v>11558</v>
      </c>
      <c r="B6376" s="123">
        <v>1116578.0</v>
      </c>
      <c r="C6376" s="687" t="s">
        <v>11559</v>
      </c>
      <c r="D6376" s="125"/>
    </row>
    <row r="6377">
      <c r="A6377" s="122" t="s">
        <v>8520</v>
      </c>
      <c r="B6377" s="123">
        <v>1116578.0</v>
      </c>
      <c r="C6377" s="687" t="s">
        <v>8521</v>
      </c>
      <c r="D6377" s="125"/>
    </row>
    <row r="6378">
      <c r="A6378" s="122" t="s">
        <v>11827</v>
      </c>
      <c r="B6378" s="123">
        <v>1437672.0</v>
      </c>
      <c r="C6378" s="687" t="s">
        <v>11828</v>
      </c>
      <c r="D6378" s="125"/>
    </row>
    <row r="6379">
      <c r="A6379" s="122" t="s">
        <v>13890</v>
      </c>
      <c r="B6379" s="123">
        <v>1437672.0</v>
      </c>
      <c r="C6379" s="687" t="s">
        <v>13891</v>
      </c>
      <c r="D6379" s="125"/>
    </row>
    <row r="6380">
      <c r="A6380" s="122" t="s">
        <v>523</v>
      </c>
      <c r="B6380" s="123">
        <v>1833371.0</v>
      </c>
      <c r="C6380" s="687" t="s">
        <v>524</v>
      </c>
      <c r="D6380" s="125"/>
    </row>
    <row r="6381">
      <c r="A6381" s="122" t="s">
        <v>34041</v>
      </c>
      <c r="B6381" s="123">
        <v>1771077.0</v>
      </c>
      <c r="C6381" s="687" t="s">
        <v>34042</v>
      </c>
      <c r="D6381" s="125"/>
    </row>
    <row r="6382">
      <c r="A6382" s="122" t="s">
        <v>1283</v>
      </c>
      <c r="B6382" s="123">
        <v>1310291.0</v>
      </c>
      <c r="C6382" s="687" t="s">
        <v>1284</v>
      </c>
      <c r="D6382" s="125"/>
    </row>
    <row r="6383">
      <c r="A6383" s="122" t="s">
        <v>5630</v>
      </c>
      <c r="B6383" s="123">
        <v>806517.0</v>
      </c>
      <c r="C6383" s="687" t="s">
        <v>5631</v>
      </c>
      <c r="D6383" s="125"/>
    </row>
    <row r="6384">
      <c r="A6384" s="122" t="s">
        <v>7640</v>
      </c>
      <c r="B6384" s="123">
        <v>1489079.0</v>
      </c>
      <c r="C6384" s="687" t="s">
        <v>7641</v>
      </c>
      <c r="D6384" s="125"/>
    </row>
    <row r="6385">
      <c r="A6385" s="122" t="s">
        <v>7277</v>
      </c>
      <c r="B6385" s="123">
        <v>1455967.0</v>
      </c>
      <c r="C6385" s="687" t="s">
        <v>7278</v>
      </c>
      <c r="D6385" s="125"/>
    </row>
    <row r="6386">
      <c r="A6386" s="122" t="s">
        <v>10574</v>
      </c>
      <c r="B6386" s="123">
        <v>1463157.0</v>
      </c>
      <c r="C6386" s="687" t="s">
        <v>10575</v>
      </c>
      <c r="D6386" s="125"/>
    </row>
    <row r="6387">
      <c r="A6387" s="122" t="s">
        <v>10846</v>
      </c>
      <c r="B6387" s="123">
        <v>1461748.0</v>
      </c>
      <c r="C6387" s="687" t="s">
        <v>10847</v>
      </c>
      <c r="D6387" s="125"/>
    </row>
    <row r="6388">
      <c r="A6388" s="122" t="s">
        <v>11006</v>
      </c>
      <c r="B6388" s="123">
        <v>1504122.0</v>
      </c>
      <c r="C6388" s="687" t="s">
        <v>11007</v>
      </c>
      <c r="D6388" s="125"/>
    </row>
    <row r="6389">
      <c r="A6389" s="122" t="s">
        <v>5456</v>
      </c>
      <c r="B6389" s="123">
        <v>1545057.0</v>
      </c>
      <c r="C6389" s="687" t="s">
        <v>5457</v>
      </c>
      <c r="D6389" s="125"/>
    </row>
    <row r="6390">
      <c r="A6390" s="122" t="s">
        <v>16057</v>
      </c>
      <c r="B6390" s="123">
        <v>857005.0</v>
      </c>
      <c r="C6390" s="687" t="s">
        <v>16058</v>
      </c>
      <c r="D6390" s="125"/>
    </row>
    <row r="6391">
      <c r="A6391" s="122" t="s">
        <v>12330</v>
      </c>
      <c r="B6391" s="123">
        <v>1070081.0</v>
      </c>
      <c r="C6391" s="687" t="s">
        <v>12331</v>
      </c>
      <c r="D6391" s="125"/>
    </row>
    <row r="6392">
      <c r="A6392" s="122" t="s">
        <v>2221</v>
      </c>
      <c r="B6392" s="123">
        <v>1141964.0</v>
      </c>
      <c r="C6392" s="687" t="s">
        <v>2222</v>
      </c>
      <c r="D6392" s="125"/>
    </row>
    <row r="6393">
      <c r="A6393" s="122" t="s">
        <v>14381</v>
      </c>
      <c r="B6393" s="123">
        <v>788784.0</v>
      </c>
      <c r="C6393" s="687" t="s">
        <v>14382</v>
      </c>
      <c r="D6393" s="125"/>
    </row>
    <row r="6394">
      <c r="A6394" s="122" t="s">
        <v>16391</v>
      </c>
      <c r="B6394" s="123">
        <v>1393311.0</v>
      </c>
      <c r="C6394" s="687" t="s">
        <v>16392</v>
      </c>
      <c r="D6394" s="125"/>
    </row>
    <row r="6395">
      <c r="A6395" s="122" t="s">
        <v>34043</v>
      </c>
      <c r="B6395" s="123">
        <v>1540615.0</v>
      </c>
      <c r="C6395" s="687" t="s">
        <v>34044</v>
      </c>
      <c r="D6395" s="125"/>
    </row>
    <row r="6396">
      <c r="A6396" s="122" t="s">
        <v>4649</v>
      </c>
      <c r="B6396" s="123">
        <v>1574235.0</v>
      </c>
      <c r="C6396" s="687" t="s">
        <v>4650</v>
      </c>
      <c r="D6396" s="125"/>
    </row>
    <row r="6397">
      <c r="A6397" s="122" t="s">
        <v>10250</v>
      </c>
      <c r="B6397" s="123">
        <v>1127537.0</v>
      </c>
      <c r="C6397" s="687" t="s">
        <v>10251</v>
      </c>
      <c r="D6397" s="125"/>
    </row>
    <row r="6398">
      <c r="A6398" s="122" t="s">
        <v>8048</v>
      </c>
      <c r="B6398" s="123">
        <v>1625101.0</v>
      </c>
      <c r="C6398" s="687" t="s">
        <v>8049</v>
      </c>
      <c r="D6398" s="125"/>
    </row>
    <row r="6399">
      <c r="A6399" s="122" t="s">
        <v>15479</v>
      </c>
      <c r="B6399" s="123">
        <v>822416.0</v>
      </c>
      <c r="C6399" s="687" t="s">
        <v>15480</v>
      </c>
      <c r="D6399" s="125"/>
    </row>
    <row r="6400">
      <c r="A6400" s="122" t="s">
        <v>6433</v>
      </c>
      <c r="B6400" s="123">
        <v>1401667.0</v>
      </c>
      <c r="C6400" s="687" t="s">
        <v>6434</v>
      </c>
      <c r="D6400" s="125"/>
    </row>
    <row r="6401">
      <c r="A6401" s="122" t="s">
        <v>1751</v>
      </c>
      <c r="B6401" s="123">
        <v>1006028.0</v>
      </c>
      <c r="C6401" s="687" t="s">
        <v>1752</v>
      </c>
      <c r="D6401" s="125"/>
    </row>
    <row r="6402">
      <c r="A6402" s="122" t="s">
        <v>2099</v>
      </c>
      <c r="B6402" s="123">
        <v>1406434.0</v>
      </c>
      <c r="C6402" s="687" t="s">
        <v>2100</v>
      </c>
      <c r="D6402" s="125"/>
    </row>
    <row r="6403">
      <c r="A6403" s="122" t="s">
        <v>8325</v>
      </c>
      <c r="B6403" s="123">
        <v>276720.0</v>
      </c>
      <c r="C6403" s="687" t="s">
        <v>8326</v>
      </c>
      <c r="D6403" s="125"/>
    </row>
    <row r="6404">
      <c r="A6404" s="122" t="s">
        <v>34045</v>
      </c>
      <c r="B6404" s="123">
        <v>1351573.0</v>
      </c>
      <c r="C6404" s="687" t="s">
        <v>34046</v>
      </c>
      <c r="D6404" s="125"/>
    </row>
    <row r="6405">
      <c r="A6405" s="122" t="s">
        <v>13711</v>
      </c>
      <c r="B6405" s="123">
        <v>1474432.0</v>
      </c>
      <c r="C6405" s="687" t="s">
        <v>13712</v>
      </c>
      <c r="D6405" s="125"/>
    </row>
    <row r="6406">
      <c r="A6406" s="122" t="s">
        <v>4070</v>
      </c>
      <c r="B6406" s="123">
        <v>1830033.0</v>
      </c>
      <c r="C6406" s="687" t="s">
        <v>4071</v>
      </c>
      <c r="D6406" s="125"/>
    </row>
    <row r="6407">
      <c r="A6407" s="122" t="s">
        <v>6095</v>
      </c>
      <c r="B6407" s="123">
        <v>1830033.0</v>
      </c>
      <c r="C6407" s="687" t="s">
        <v>6096</v>
      </c>
      <c r="D6407" s="125"/>
    </row>
    <row r="6408">
      <c r="A6408" s="122" t="s">
        <v>6445</v>
      </c>
      <c r="B6408" s="123">
        <v>1830033.0</v>
      </c>
      <c r="C6408" s="687" t="s">
        <v>6446</v>
      </c>
      <c r="D6408" s="125"/>
    </row>
    <row r="6409">
      <c r="A6409" s="122" t="s">
        <v>12075</v>
      </c>
      <c r="B6409" s="123">
        <v>1782999.0</v>
      </c>
      <c r="C6409" s="687" t="s">
        <v>12076</v>
      </c>
      <c r="D6409" s="125"/>
    </row>
    <row r="6410">
      <c r="A6410" s="122" t="s">
        <v>3988</v>
      </c>
      <c r="B6410" s="123">
        <v>1643953.0</v>
      </c>
      <c r="C6410" s="687" t="s">
        <v>3989</v>
      </c>
      <c r="D6410" s="125"/>
    </row>
    <row r="6411">
      <c r="A6411" s="122" t="s">
        <v>571</v>
      </c>
      <c r="B6411" s="123">
        <v>1126162.0</v>
      </c>
      <c r="C6411" s="687" t="s">
        <v>572</v>
      </c>
      <c r="D6411" s="125"/>
    </row>
    <row r="6412">
      <c r="A6412" s="122" t="s">
        <v>7115</v>
      </c>
      <c r="B6412" s="123">
        <v>844790.0</v>
      </c>
      <c r="C6412" s="687" t="s">
        <v>7116</v>
      </c>
      <c r="D6412" s="125"/>
    </row>
    <row r="6413">
      <c r="A6413" s="122" t="s">
        <v>5683</v>
      </c>
      <c r="B6413" s="123">
        <v>830622.0</v>
      </c>
      <c r="C6413" s="687" t="s">
        <v>5684</v>
      </c>
      <c r="D6413" s="125"/>
    </row>
    <row r="6414">
      <c r="A6414" s="122" t="s">
        <v>8510</v>
      </c>
      <c r="B6414" s="123">
        <v>900422.0</v>
      </c>
      <c r="C6414" s="687" t="s">
        <v>8511</v>
      </c>
      <c r="D6414" s="125"/>
    </row>
    <row r="6415">
      <c r="A6415" s="122" t="s">
        <v>5879</v>
      </c>
      <c r="B6415" s="123">
        <v>827773.0</v>
      </c>
      <c r="C6415" s="687" t="s">
        <v>5880</v>
      </c>
      <c r="D6415" s="125"/>
    </row>
    <row r="6416">
      <c r="A6416" s="122" t="s">
        <v>34047</v>
      </c>
      <c r="B6416" s="123">
        <v>1627480.0</v>
      </c>
      <c r="C6416" s="687" t="s">
        <v>34048</v>
      </c>
      <c r="D6416" s="125"/>
    </row>
    <row r="6417">
      <c r="A6417" s="122" t="s">
        <v>15634</v>
      </c>
      <c r="B6417" s="123">
        <v>78239.0</v>
      </c>
      <c r="C6417" s="687" t="s">
        <v>15635</v>
      </c>
      <c r="D6417" s="125"/>
    </row>
    <row r="6418">
      <c r="A6418" s="122" t="s">
        <v>1618</v>
      </c>
      <c r="B6418" s="123">
        <v>733337.0</v>
      </c>
      <c r="C6418" s="687" t="s">
        <v>1619</v>
      </c>
      <c r="D6418" s="125"/>
    </row>
    <row r="6419">
      <c r="A6419" s="122" t="s">
        <v>2971</v>
      </c>
      <c r="B6419" s="123">
        <v>1743344.0</v>
      </c>
      <c r="C6419" s="687" t="s">
        <v>2972</v>
      </c>
      <c r="D6419" s="125"/>
    </row>
    <row r="6420">
      <c r="A6420" s="122" t="s">
        <v>9185</v>
      </c>
      <c r="B6420" s="123">
        <v>1848756.0</v>
      </c>
      <c r="C6420" s="687" t="s">
        <v>9186</v>
      </c>
      <c r="D6420" s="125"/>
    </row>
    <row r="6421">
      <c r="A6421" s="122" t="s">
        <v>5887</v>
      </c>
      <c r="B6421" s="123">
        <v>1782223.0</v>
      </c>
      <c r="C6421" s="687" t="s">
        <v>5888</v>
      </c>
      <c r="D6421" s="125"/>
    </row>
    <row r="6422">
      <c r="A6422" s="122" t="s">
        <v>4201</v>
      </c>
      <c r="B6422" s="123">
        <v>1640043.0</v>
      </c>
      <c r="C6422" s="687" t="s">
        <v>4202</v>
      </c>
      <c r="D6422" s="125"/>
    </row>
    <row r="6423">
      <c r="A6423" s="122" t="s">
        <v>6285</v>
      </c>
      <c r="B6423" s="123">
        <v>1640043.0</v>
      </c>
      <c r="C6423" s="687" t="s">
        <v>6286</v>
      </c>
      <c r="D6423" s="125"/>
    </row>
    <row r="6424">
      <c r="A6424" s="122" t="s">
        <v>12248</v>
      </c>
      <c r="B6424" s="123">
        <v>1640043.0</v>
      </c>
      <c r="C6424" s="687" t="s">
        <v>12249</v>
      </c>
      <c r="D6424" s="125"/>
    </row>
    <row r="6425">
      <c r="A6425" s="122" t="s">
        <v>4673</v>
      </c>
      <c r="B6425" s="123">
        <v>939930.0</v>
      </c>
      <c r="C6425" s="687" t="s">
        <v>4674</v>
      </c>
      <c r="D6425" s="125"/>
    </row>
    <row r="6426">
      <c r="A6426" s="122" t="s">
        <v>34049</v>
      </c>
      <c r="B6426" s="123">
        <v>1596062.0</v>
      </c>
      <c r="C6426" s="687" t="s">
        <v>34050</v>
      </c>
      <c r="D6426" s="125"/>
    </row>
    <row r="6427">
      <c r="A6427" s="122" t="s">
        <v>13709</v>
      </c>
      <c r="B6427" s="123">
        <v>1410384.0</v>
      </c>
      <c r="C6427" s="687" t="s">
        <v>13710</v>
      </c>
      <c r="D6427" s="125"/>
    </row>
    <row r="6428">
      <c r="A6428" s="122" t="s">
        <v>14327</v>
      </c>
      <c r="B6428" s="123">
        <v>906465.0</v>
      </c>
      <c r="C6428" s="687" t="s">
        <v>14328</v>
      </c>
      <c r="D6428" s="125"/>
    </row>
    <row r="6429">
      <c r="A6429" s="122" t="s">
        <v>10420</v>
      </c>
      <c r="B6429" s="123">
        <v>1094032.0</v>
      </c>
      <c r="C6429" s="687" t="s">
        <v>10421</v>
      </c>
      <c r="D6429" s="125"/>
    </row>
    <row r="6430">
      <c r="A6430" s="122" t="s">
        <v>1783</v>
      </c>
      <c r="B6430" s="123">
        <v>856984.0</v>
      </c>
      <c r="C6430" s="687" t="s">
        <v>1784</v>
      </c>
      <c r="D6430" s="125"/>
    </row>
    <row r="6431">
      <c r="A6431" s="122" t="s">
        <v>34051</v>
      </c>
      <c r="B6431" s="123">
        <v>1499684.0</v>
      </c>
      <c r="C6431" s="687" t="s">
        <v>34052</v>
      </c>
      <c r="D6431" s="125"/>
    </row>
    <row r="6432">
      <c r="A6432" s="122" t="s">
        <v>10153</v>
      </c>
      <c r="B6432" s="123">
        <v>1741530.0</v>
      </c>
      <c r="C6432" s="687" t="s">
        <v>10154</v>
      </c>
      <c r="D6432" s="125"/>
    </row>
    <row r="6433">
      <c r="A6433" s="122" t="s">
        <v>3187</v>
      </c>
      <c r="B6433" s="123">
        <v>1779578.0</v>
      </c>
      <c r="C6433" s="687" t="s">
        <v>3188</v>
      </c>
      <c r="D6433" s="125"/>
    </row>
    <row r="6434">
      <c r="A6434" s="122" t="s">
        <v>6860</v>
      </c>
      <c r="B6434" s="123">
        <v>1561566.0</v>
      </c>
      <c r="C6434" s="687" t="s">
        <v>6861</v>
      </c>
      <c r="D6434" s="125"/>
    </row>
    <row r="6435">
      <c r="A6435" s="122" t="s">
        <v>3759</v>
      </c>
      <c r="B6435" s="123">
        <v>1787123.0</v>
      </c>
      <c r="C6435" s="687" t="s">
        <v>3760</v>
      </c>
      <c r="D6435" s="125"/>
    </row>
    <row r="6436">
      <c r="A6436" s="122" t="s">
        <v>12433</v>
      </c>
      <c r="B6436" s="123">
        <v>750558.0</v>
      </c>
      <c r="C6436" s="687" t="s">
        <v>12434</v>
      </c>
      <c r="D6436" s="125"/>
    </row>
    <row r="6437">
      <c r="A6437" s="122" t="s">
        <v>15449</v>
      </c>
      <c r="B6437" s="123">
        <v>1604778.0</v>
      </c>
      <c r="C6437" s="687" t="s">
        <v>15450</v>
      </c>
      <c r="D6437" s="125"/>
    </row>
    <row r="6438">
      <c r="A6438" s="122" t="s">
        <v>2109</v>
      </c>
      <c r="B6438" s="123">
        <v>1689084.0</v>
      </c>
      <c r="C6438" s="687" t="s">
        <v>2110</v>
      </c>
      <c r="D6438" s="125"/>
    </row>
    <row r="6439">
      <c r="A6439" s="122" t="s">
        <v>6728</v>
      </c>
      <c r="B6439" s="123">
        <v>1310527.0</v>
      </c>
      <c r="C6439" s="687" t="s">
        <v>6729</v>
      </c>
      <c r="D6439" s="125"/>
    </row>
    <row r="6440">
      <c r="A6440" s="122" t="s">
        <v>34053</v>
      </c>
      <c r="B6440" s="123">
        <v>66600.0</v>
      </c>
      <c r="C6440" s="687" t="s">
        <v>34054</v>
      </c>
      <c r="D6440" s="125"/>
    </row>
    <row r="6441">
      <c r="A6441" s="122" t="s">
        <v>6817</v>
      </c>
      <c r="B6441" s="123">
        <v>1481792.0</v>
      </c>
      <c r="C6441" s="687" t="s">
        <v>6818</v>
      </c>
      <c r="D6441" s="125"/>
    </row>
    <row r="6442">
      <c r="A6442" s="122" t="s">
        <v>9748</v>
      </c>
      <c r="B6442" s="123">
        <v>1391933.0</v>
      </c>
      <c r="C6442" s="687" t="s">
        <v>9749</v>
      </c>
      <c r="D6442" s="125"/>
    </row>
    <row r="6443">
      <c r="A6443" s="122" t="s">
        <v>16122</v>
      </c>
      <c r="B6443" s="123">
        <v>81362.0</v>
      </c>
      <c r="C6443" s="687" t="s">
        <v>16123</v>
      </c>
      <c r="D6443" s="125"/>
    </row>
    <row r="6444">
      <c r="A6444" s="122" t="s">
        <v>15814</v>
      </c>
      <c r="B6444" s="123">
        <v>804328.0</v>
      </c>
      <c r="C6444" s="687" t="s">
        <v>15815</v>
      </c>
      <c r="D6444" s="125"/>
    </row>
    <row r="6445">
      <c r="A6445" s="122" t="s">
        <v>3035</v>
      </c>
      <c r="B6445" s="123">
        <v>1460702.0</v>
      </c>
      <c r="C6445" s="687" t="s">
        <v>3036</v>
      </c>
      <c r="D6445" s="125"/>
    </row>
    <row r="6446">
      <c r="A6446" s="122" t="s">
        <v>3413</v>
      </c>
      <c r="B6446" s="123">
        <v>1871181.0</v>
      </c>
      <c r="C6446" s="687" t="s">
        <v>3414</v>
      </c>
      <c r="D6446" s="125"/>
    </row>
    <row r="6447">
      <c r="A6447" s="122" t="s">
        <v>1990</v>
      </c>
      <c r="B6447" s="123">
        <v>1393781.0</v>
      </c>
      <c r="C6447" s="687" t="s">
        <v>1991</v>
      </c>
      <c r="D6447" s="125"/>
    </row>
    <row r="6448">
      <c r="A6448" s="122" t="s">
        <v>34055</v>
      </c>
      <c r="B6448" s="123">
        <v>1439237.0</v>
      </c>
      <c r="C6448" s="687" t="s">
        <v>34056</v>
      </c>
      <c r="D6448" s="125"/>
    </row>
    <row r="6449">
      <c r="A6449" s="122" t="s">
        <v>6175</v>
      </c>
      <c r="B6449" s="123">
        <v>758938.0</v>
      </c>
      <c r="C6449" s="687" t="s">
        <v>6176</v>
      </c>
      <c r="D6449" s="125"/>
    </row>
    <row r="6450">
      <c r="A6450" s="122" t="s">
        <v>16099</v>
      </c>
      <c r="B6450" s="123">
        <v>1107843.0</v>
      </c>
      <c r="C6450" s="687" t="s">
        <v>16100</v>
      </c>
      <c r="D6450" s="125"/>
    </row>
    <row r="6451">
      <c r="A6451" s="122" t="s">
        <v>12956</v>
      </c>
      <c r="B6451" s="123">
        <v>1423221.0</v>
      </c>
      <c r="C6451" s="687" t="s">
        <v>12957</v>
      </c>
      <c r="D6451" s="125"/>
    </row>
    <row r="6452">
      <c r="A6452" s="122" t="s">
        <v>16172</v>
      </c>
      <c r="B6452" s="123">
        <v>1050915.0</v>
      </c>
      <c r="C6452" s="687" t="s">
        <v>16173</v>
      </c>
      <c r="D6452" s="125"/>
    </row>
    <row r="6453">
      <c r="A6453" s="122" t="s">
        <v>11961</v>
      </c>
      <c r="B6453" s="123">
        <v>1503274.0</v>
      </c>
      <c r="C6453" s="687" t="s">
        <v>11962</v>
      </c>
      <c r="D6453" s="125"/>
    </row>
    <row r="6454">
      <c r="A6454" s="122" t="s">
        <v>34057</v>
      </c>
      <c r="B6454" s="123">
        <v>820608.0</v>
      </c>
      <c r="C6454" s="687" t="s">
        <v>34058</v>
      </c>
      <c r="D6454" s="125"/>
    </row>
    <row r="6455">
      <c r="A6455" s="122" t="s">
        <v>3476</v>
      </c>
      <c r="B6455" s="123">
        <v>1758009.0</v>
      </c>
      <c r="C6455" s="687" t="s">
        <v>3477</v>
      </c>
      <c r="D6455" s="125"/>
    </row>
    <row r="6456">
      <c r="A6456" s="122" t="s">
        <v>2787</v>
      </c>
      <c r="B6456" s="123">
        <v>709283.0</v>
      </c>
      <c r="C6456" s="687" t="s">
        <v>2788</v>
      </c>
      <c r="D6456" s="125"/>
    </row>
    <row r="6457">
      <c r="A6457" s="122" t="s">
        <v>2841</v>
      </c>
      <c r="B6457" s="123">
        <v>1295961.0</v>
      </c>
      <c r="C6457" s="687" t="s">
        <v>2842</v>
      </c>
      <c r="D6457" s="125"/>
    </row>
    <row r="6458">
      <c r="A6458" s="122" t="s">
        <v>7928</v>
      </c>
      <c r="B6458" s="123">
        <v>1830795.0</v>
      </c>
      <c r="C6458" s="687" t="s">
        <v>7929</v>
      </c>
      <c r="D6458" s="125"/>
    </row>
    <row r="6459">
      <c r="A6459" s="122" t="s">
        <v>2011</v>
      </c>
      <c r="B6459" s="123">
        <v>1816431.0</v>
      </c>
      <c r="C6459" s="687" t="s">
        <v>2012</v>
      </c>
      <c r="D6459" s="125"/>
    </row>
    <row r="6460">
      <c r="A6460" s="122" t="s">
        <v>4421</v>
      </c>
      <c r="B6460" s="123">
        <v>1816431.0</v>
      </c>
      <c r="C6460" s="687" t="s">
        <v>4422</v>
      </c>
      <c r="D6460" s="125"/>
    </row>
    <row r="6461">
      <c r="A6461" s="122" t="s">
        <v>7315</v>
      </c>
      <c r="B6461" s="123">
        <v>1811414.0</v>
      </c>
      <c r="C6461" s="687" t="s">
        <v>7316</v>
      </c>
      <c r="D6461" s="125"/>
    </row>
    <row r="6462">
      <c r="A6462" s="122" t="s">
        <v>34059</v>
      </c>
      <c r="B6462" s="123">
        <v>1074663.0</v>
      </c>
      <c r="C6462" s="687" t="s">
        <v>34060</v>
      </c>
      <c r="D6462" s="125"/>
    </row>
    <row r="6463">
      <c r="A6463" s="122" t="s">
        <v>3099</v>
      </c>
      <c r="B6463" s="123">
        <v>1549631.0</v>
      </c>
      <c r="C6463" s="687" t="s">
        <v>3100</v>
      </c>
      <c r="D6463" s="125"/>
    </row>
    <row r="6464">
      <c r="A6464" s="122" t="s">
        <v>4293</v>
      </c>
      <c r="B6464" s="123">
        <v>1518419.0</v>
      </c>
      <c r="C6464" s="687" t="s">
        <v>4294</v>
      </c>
      <c r="D6464" s="125"/>
    </row>
    <row r="6465">
      <c r="A6465" s="122" t="s">
        <v>2067</v>
      </c>
      <c r="B6465" s="123">
        <v>811522.0</v>
      </c>
      <c r="C6465" s="687" t="s">
        <v>2068</v>
      </c>
      <c r="D6465" s="125"/>
    </row>
    <row r="6466">
      <c r="A6466" s="122" t="s">
        <v>4971</v>
      </c>
      <c r="B6466" s="123">
        <v>1692705.0</v>
      </c>
      <c r="C6466" s="687" t="s">
        <v>4972</v>
      </c>
      <c r="D6466" s="125"/>
    </row>
    <row r="6467">
      <c r="A6467" s="122" t="s">
        <v>12198</v>
      </c>
      <c r="B6467" s="123">
        <v>1156831.0</v>
      </c>
      <c r="C6467" s="687" t="s">
        <v>12199</v>
      </c>
      <c r="D6467" s="125"/>
    </row>
    <row r="6468">
      <c r="A6468" s="122" t="s">
        <v>12338</v>
      </c>
      <c r="B6468" s="123">
        <v>1156831.0</v>
      </c>
      <c r="C6468" s="687" t="s">
        <v>12339</v>
      </c>
      <c r="D6468" s="125"/>
    </row>
    <row r="6469">
      <c r="A6469" s="122" t="s">
        <v>15680</v>
      </c>
      <c r="B6469" s="123">
        <v>1022079.0</v>
      </c>
      <c r="C6469" s="687" t="s">
        <v>15681</v>
      </c>
      <c r="D6469" s="125"/>
    </row>
    <row r="6470">
      <c r="A6470" s="122" t="s">
        <v>2331</v>
      </c>
      <c r="B6470" s="123">
        <v>824416.0</v>
      </c>
      <c r="C6470" s="687" t="s">
        <v>2332</v>
      </c>
      <c r="D6470" s="125"/>
    </row>
    <row r="6471">
      <c r="A6471" s="122" t="s">
        <v>7266</v>
      </c>
      <c r="B6471" s="123">
        <v>1442236.0</v>
      </c>
      <c r="C6471" s="687" t="s">
        <v>7267</v>
      </c>
      <c r="D6471" s="125"/>
    </row>
    <row r="6472">
      <c r="A6472" s="122" t="s">
        <v>1475</v>
      </c>
      <c r="B6472" s="123">
        <v>1487091.0</v>
      </c>
      <c r="C6472" s="687" t="s">
        <v>1476</v>
      </c>
      <c r="D6472" s="125"/>
    </row>
    <row r="6473">
      <c r="A6473" s="122" t="s">
        <v>4030</v>
      </c>
      <c r="B6473" s="123">
        <v>1781193.0</v>
      </c>
      <c r="C6473" s="687" t="s">
        <v>4031</v>
      </c>
      <c r="D6473" s="125"/>
    </row>
    <row r="6474">
      <c r="A6474" s="122" t="s">
        <v>9387</v>
      </c>
      <c r="B6474" s="123">
        <v>882508.0</v>
      </c>
      <c r="C6474" s="687" t="s">
        <v>9388</v>
      </c>
      <c r="D6474" s="125"/>
    </row>
    <row r="6475">
      <c r="A6475" s="122" t="s">
        <v>14726</v>
      </c>
      <c r="B6475" s="123">
        <v>1906324.0</v>
      </c>
      <c r="C6475" s="687" t="s">
        <v>14727</v>
      </c>
      <c r="D6475" s="125"/>
    </row>
    <row r="6476">
      <c r="A6476" s="122" t="s">
        <v>4203</v>
      </c>
      <c r="B6476" s="123">
        <v>1662774.0</v>
      </c>
      <c r="C6476" s="687" t="s">
        <v>4204</v>
      </c>
      <c r="D6476" s="125"/>
    </row>
    <row r="6477">
      <c r="A6477" s="122" t="s">
        <v>9798</v>
      </c>
      <c r="B6477" s="123">
        <v>1117297.0</v>
      </c>
      <c r="C6477" s="687" t="s">
        <v>9799</v>
      </c>
      <c r="D6477" s="125"/>
    </row>
    <row r="6478">
      <c r="A6478" s="122" t="s">
        <v>6460</v>
      </c>
      <c r="B6478" s="123">
        <v>1540013.0</v>
      </c>
      <c r="C6478" s="687" t="s">
        <v>6461</v>
      </c>
      <c r="D6478" s="125"/>
    </row>
    <row r="6479">
      <c r="A6479" s="122" t="s">
        <v>5722</v>
      </c>
      <c r="B6479" s="123">
        <v>1671502.0</v>
      </c>
      <c r="C6479" s="687" t="s">
        <v>5723</v>
      </c>
      <c r="D6479" s="125"/>
    </row>
    <row r="6480">
      <c r="A6480" s="122" t="s">
        <v>2425</v>
      </c>
      <c r="B6480" s="123">
        <v>1101433.0</v>
      </c>
      <c r="C6480" s="687" t="s">
        <v>2426</v>
      </c>
      <c r="D6480" s="125"/>
    </row>
    <row r="6481">
      <c r="A6481" s="122" t="s">
        <v>13564</v>
      </c>
      <c r="B6481" s="123">
        <v>1355096.0</v>
      </c>
      <c r="C6481" s="687" t="s">
        <v>13565</v>
      </c>
      <c r="D6481" s="125"/>
    </row>
    <row r="6482">
      <c r="A6482" s="122" t="s">
        <v>3572</v>
      </c>
      <c r="B6482" s="123">
        <v>1355096.0</v>
      </c>
      <c r="C6482" s="687" t="s">
        <v>3573</v>
      </c>
      <c r="D6482" s="125"/>
    </row>
    <row r="6483">
      <c r="A6483" s="122" t="s">
        <v>6718</v>
      </c>
      <c r="B6483" s="123">
        <v>1355096.0</v>
      </c>
      <c r="C6483" s="687" t="s">
        <v>6719</v>
      </c>
      <c r="D6483" s="125"/>
    </row>
    <row r="6484">
      <c r="A6484" s="122" t="s">
        <v>9678</v>
      </c>
      <c r="B6484" s="123">
        <v>1254699.0</v>
      </c>
      <c r="C6484" s="687" t="s">
        <v>9679</v>
      </c>
      <c r="D6484" s="125"/>
    </row>
    <row r="6485">
      <c r="A6485" s="122" t="s">
        <v>9724</v>
      </c>
      <c r="B6485" s="123">
        <v>1254699.0</v>
      </c>
      <c r="C6485" s="687" t="s">
        <v>9725</v>
      </c>
      <c r="D6485" s="125"/>
    </row>
    <row r="6486">
      <c r="A6486" s="122" t="s">
        <v>8180</v>
      </c>
      <c r="B6486" s="123">
        <v>68622.0</v>
      </c>
      <c r="C6486" s="687" t="s">
        <v>8181</v>
      </c>
      <c r="D6486" s="125"/>
    </row>
    <row r="6487">
      <c r="A6487" s="122" t="s">
        <v>8117</v>
      </c>
      <c r="B6487" s="123">
        <v>68622.0</v>
      </c>
      <c r="C6487" s="687" t="s">
        <v>8118</v>
      </c>
      <c r="D6487" s="125"/>
    </row>
    <row r="6488">
      <c r="A6488" s="122" t="s">
        <v>1437</v>
      </c>
      <c r="B6488" s="123">
        <v>1650287.0</v>
      </c>
      <c r="C6488" s="687" t="s">
        <v>1438</v>
      </c>
      <c r="D6488" s="125"/>
    </row>
    <row r="6489">
      <c r="A6489" s="122" t="s">
        <v>12566</v>
      </c>
      <c r="B6489" s="123">
        <v>700841.0</v>
      </c>
      <c r="C6489" s="687" t="s">
        <v>12567</v>
      </c>
      <c r="D6489" s="125"/>
    </row>
    <row r="6490">
      <c r="A6490" s="122" t="s">
        <v>8838</v>
      </c>
      <c r="B6490" s="123">
        <v>1910851.0</v>
      </c>
      <c r="C6490" s="687" t="s">
        <v>8839</v>
      </c>
      <c r="D6490" s="125"/>
    </row>
    <row r="6491">
      <c r="A6491" s="122" t="s">
        <v>34061</v>
      </c>
      <c r="B6491" s="123">
        <v>1384365.0</v>
      </c>
      <c r="C6491" s="687" t="s">
        <v>34062</v>
      </c>
      <c r="D6491" s="125"/>
    </row>
    <row r="6492">
      <c r="A6492" s="122" t="s">
        <v>4515</v>
      </c>
      <c r="B6492" s="123">
        <v>1810019.0</v>
      </c>
      <c r="C6492" s="687" t="s">
        <v>4516</v>
      </c>
      <c r="D6492" s="125"/>
    </row>
    <row r="6493">
      <c r="A6493" s="122" t="s">
        <v>8361</v>
      </c>
      <c r="B6493" s="123">
        <v>1016838.0</v>
      </c>
      <c r="C6493" s="687" t="s">
        <v>8362</v>
      </c>
      <c r="D6493" s="125"/>
    </row>
    <row r="6494">
      <c r="A6494" s="122" t="s">
        <v>472</v>
      </c>
      <c r="B6494" s="123">
        <v>84129.0</v>
      </c>
      <c r="C6494" s="687" t="s">
        <v>473</v>
      </c>
      <c r="D6494" s="125"/>
    </row>
    <row r="6495">
      <c r="A6495" s="122" t="s">
        <v>12740</v>
      </c>
      <c r="B6495" s="123">
        <v>890926.0</v>
      </c>
      <c r="C6495" s="687" t="s">
        <v>12741</v>
      </c>
      <c r="D6495" s="125"/>
    </row>
    <row r="6496">
      <c r="A6496" s="122" t="s">
        <v>7055</v>
      </c>
      <c r="B6496" s="123">
        <v>1171155.0</v>
      </c>
      <c r="C6496" s="687" t="s">
        <v>7056</v>
      </c>
      <c r="D6496" s="125"/>
    </row>
    <row r="6497">
      <c r="A6497" s="122" t="s">
        <v>13433</v>
      </c>
      <c r="B6497" s="123">
        <v>790526.0</v>
      </c>
      <c r="C6497" s="687" t="s">
        <v>13434</v>
      </c>
      <c r="D6497" s="125"/>
    </row>
    <row r="6498">
      <c r="A6498" s="122" t="s">
        <v>11173</v>
      </c>
      <c r="B6498" s="123">
        <v>1094366.0</v>
      </c>
      <c r="C6498" s="687" t="s">
        <v>11174</v>
      </c>
      <c r="D6498" s="125"/>
    </row>
    <row r="6499">
      <c r="A6499" s="122" t="s">
        <v>4695</v>
      </c>
      <c r="B6499" s="123">
        <v>1713863.0</v>
      </c>
      <c r="C6499" s="687" t="s">
        <v>4696</v>
      </c>
      <c r="D6499" s="125"/>
    </row>
    <row r="6500">
      <c r="A6500" s="122" t="s">
        <v>5431</v>
      </c>
      <c r="B6500" s="123">
        <v>1856071.0</v>
      </c>
      <c r="C6500" s="687" t="s">
        <v>5432</v>
      </c>
      <c r="D6500" s="125"/>
    </row>
    <row r="6501">
      <c r="A6501" s="122" t="s">
        <v>1902</v>
      </c>
      <c r="B6501" s="123">
        <v>1743905.0</v>
      </c>
      <c r="C6501" s="687" t="s">
        <v>1903</v>
      </c>
      <c r="D6501" s="125"/>
    </row>
    <row r="6502">
      <c r="A6502" s="122" t="s">
        <v>9556</v>
      </c>
      <c r="B6502" s="123">
        <v>1743905.0</v>
      </c>
      <c r="C6502" s="687" t="s">
        <v>9557</v>
      </c>
      <c r="D6502" s="125"/>
    </row>
    <row r="6503">
      <c r="A6503" s="122" t="s">
        <v>808</v>
      </c>
      <c r="B6503" s="123">
        <v>1724979.0</v>
      </c>
      <c r="C6503" s="687" t="s">
        <v>809</v>
      </c>
      <c r="D6503" s="125"/>
    </row>
    <row r="6504">
      <c r="A6504" s="122" t="s">
        <v>34063</v>
      </c>
      <c r="B6504" s="123">
        <v>1872292.0</v>
      </c>
      <c r="C6504" s="687" t="s">
        <v>34064</v>
      </c>
      <c r="D6504" s="125"/>
    </row>
    <row r="6505">
      <c r="A6505" s="122" t="s">
        <v>1785</v>
      </c>
      <c r="B6505" s="123">
        <v>1757932.0</v>
      </c>
      <c r="C6505" s="687" t="s">
        <v>1786</v>
      </c>
      <c r="D6505" s="125"/>
    </row>
    <row r="6506">
      <c r="A6506" s="122" t="s">
        <v>6171</v>
      </c>
      <c r="B6506" s="123">
        <v>1294591.0</v>
      </c>
      <c r="C6506" s="687" t="s">
        <v>6172</v>
      </c>
      <c r="D6506" s="125"/>
    </row>
    <row r="6507">
      <c r="A6507" s="122" t="s">
        <v>6237</v>
      </c>
      <c r="B6507" s="123">
        <v>1294591.0</v>
      </c>
      <c r="C6507" s="687" t="s">
        <v>6238</v>
      </c>
      <c r="D6507" s="125"/>
    </row>
    <row r="6508">
      <c r="A6508" s="122" t="s">
        <v>4181</v>
      </c>
      <c r="B6508" s="123">
        <v>1739410.0</v>
      </c>
      <c r="C6508" s="687" t="s">
        <v>4182</v>
      </c>
      <c r="D6508" s="125"/>
    </row>
    <row r="6509">
      <c r="A6509" s="122" t="s">
        <v>15872</v>
      </c>
      <c r="B6509" s="123">
        <v>1037038.0</v>
      </c>
      <c r="C6509" s="687" t="s">
        <v>15873</v>
      </c>
      <c r="D6509" s="125"/>
    </row>
    <row r="6510">
      <c r="A6510" s="122" t="s">
        <v>12377</v>
      </c>
      <c r="B6510" s="123">
        <v>1687187.0</v>
      </c>
      <c r="C6510" s="687" t="s">
        <v>12378</v>
      </c>
      <c r="D6510" s="125"/>
    </row>
    <row r="6511">
      <c r="A6511" s="122" t="s">
        <v>11057</v>
      </c>
      <c r="B6511" s="123">
        <v>1687187.0</v>
      </c>
      <c r="C6511" s="687" t="s">
        <v>11058</v>
      </c>
      <c r="D6511" s="125"/>
    </row>
    <row r="6512">
      <c r="A6512" s="122" t="s">
        <v>14746</v>
      </c>
      <c r="B6512" s="123">
        <v>917273.0</v>
      </c>
      <c r="C6512" s="687" t="s">
        <v>14747</v>
      </c>
      <c r="D6512" s="125"/>
    </row>
    <row r="6513">
      <c r="A6513" s="122" t="s">
        <v>1719</v>
      </c>
      <c r="B6513" s="123">
        <v>1287900.0</v>
      </c>
      <c r="C6513" s="687" t="s">
        <v>1720</v>
      </c>
      <c r="D6513" s="125"/>
    </row>
    <row r="6514">
      <c r="A6514" s="122" t="s">
        <v>10021</v>
      </c>
      <c r="B6514" s="123">
        <v>81955.0</v>
      </c>
      <c r="C6514" s="687" t="s">
        <v>10022</v>
      </c>
      <c r="D6514" s="125"/>
    </row>
    <row r="6515">
      <c r="A6515" s="122" t="s">
        <v>12709</v>
      </c>
      <c r="B6515" s="123">
        <v>315852.0</v>
      </c>
      <c r="C6515" s="687" t="s">
        <v>12710</v>
      </c>
      <c r="D6515" s="125"/>
    </row>
    <row r="6516">
      <c r="A6516" s="122" t="s">
        <v>8355</v>
      </c>
      <c r="B6516" s="123">
        <v>1699039.0</v>
      </c>
      <c r="C6516" s="687" t="s">
        <v>8356</v>
      </c>
      <c r="D6516" s="125"/>
    </row>
    <row r="6517">
      <c r="A6517" s="122" t="s">
        <v>5808</v>
      </c>
      <c r="B6517" s="123">
        <v>1856725.0</v>
      </c>
      <c r="C6517" s="687" t="s">
        <v>5809</v>
      </c>
      <c r="D6517" s="125"/>
    </row>
    <row r="6518">
      <c r="A6518" s="122" t="s">
        <v>6141</v>
      </c>
      <c r="B6518" s="123">
        <v>1712463.0</v>
      </c>
      <c r="C6518" s="687" t="s">
        <v>6142</v>
      </c>
      <c r="D6518" s="125"/>
    </row>
    <row r="6519">
      <c r="A6519" s="122" t="s">
        <v>3721</v>
      </c>
      <c r="B6519" s="123">
        <v>1380106.0</v>
      </c>
      <c r="C6519" s="687" t="s">
        <v>3722</v>
      </c>
      <c r="D6519" s="125"/>
    </row>
    <row r="6520">
      <c r="A6520" s="122" t="s">
        <v>8347</v>
      </c>
      <c r="B6520" s="123">
        <v>1833089.0</v>
      </c>
      <c r="C6520" s="687" t="s">
        <v>8348</v>
      </c>
      <c r="D6520" s="125"/>
    </row>
    <row r="6521">
      <c r="A6521" s="122" t="s">
        <v>34065</v>
      </c>
      <c r="B6521" s="123">
        <v>1575659.0</v>
      </c>
      <c r="C6521" s="687" t="s">
        <v>34066</v>
      </c>
      <c r="D6521" s="125"/>
    </row>
    <row r="6522">
      <c r="A6522" s="122" t="s">
        <v>14331</v>
      </c>
      <c r="B6522" s="123">
        <v>1560327.0</v>
      </c>
      <c r="C6522" s="687" t="s">
        <v>14332</v>
      </c>
      <c r="D6522" s="125"/>
    </row>
    <row r="6523">
      <c r="A6523" s="122" t="s">
        <v>12274</v>
      </c>
      <c r="B6523" s="123">
        <v>1673772.0</v>
      </c>
      <c r="C6523" s="687" t="s">
        <v>12275</v>
      </c>
      <c r="D6523" s="125"/>
    </row>
    <row r="6524">
      <c r="A6524" s="122" t="s">
        <v>2431</v>
      </c>
      <c r="B6524" s="123">
        <v>1419806.0</v>
      </c>
      <c r="C6524" s="687" t="s">
        <v>2432</v>
      </c>
      <c r="D6524" s="125"/>
    </row>
    <row r="6525">
      <c r="A6525" s="122" t="s">
        <v>4803</v>
      </c>
      <c r="B6525" s="123">
        <v>718332.0</v>
      </c>
      <c r="C6525" s="687" t="s">
        <v>4804</v>
      </c>
      <c r="D6525" s="125"/>
    </row>
    <row r="6526">
      <c r="A6526" s="122" t="s">
        <v>15548</v>
      </c>
      <c r="B6526" s="123">
        <v>720005.0</v>
      </c>
      <c r="C6526" s="687" t="s">
        <v>15549</v>
      </c>
      <c r="D6526" s="125"/>
    </row>
    <row r="6527">
      <c r="A6527" s="122" t="s">
        <v>6319</v>
      </c>
      <c r="B6527" s="123">
        <v>1597672.0</v>
      </c>
      <c r="C6527" s="687" t="s">
        <v>6320</v>
      </c>
      <c r="D6527" s="125"/>
    </row>
    <row r="6528">
      <c r="A6528" s="122" t="s">
        <v>13029</v>
      </c>
      <c r="B6528" s="123">
        <v>52827.0</v>
      </c>
      <c r="C6528" s="687" t="s">
        <v>13030</v>
      </c>
      <c r="D6528" s="125"/>
    </row>
    <row r="6529">
      <c r="A6529" s="122" t="s">
        <v>34067</v>
      </c>
      <c r="B6529" s="123">
        <v>1539778.0</v>
      </c>
      <c r="C6529" s="687" t="s">
        <v>34068</v>
      </c>
      <c r="D6529" s="125"/>
    </row>
    <row r="6530">
      <c r="A6530" s="122" t="s">
        <v>14599</v>
      </c>
      <c r="B6530" s="123">
        <v>1046102.0</v>
      </c>
      <c r="C6530" s="687" t="s">
        <v>14600</v>
      </c>
      <c r="D6530" s="125"/>
    </row>
    <row r="6531">
      <c r="A6531" s="122" t="s">
        <v>10957</v>
      </c>
      <c r="B6531" s="123">
        <v>1499422.0</v>
      </c>
      <c r="C6531" s="687" t="s">
        <v>10958</v>
      </c>
      <c r="D6531" s="125"/>
    </row>
    <row r="6532">
      <c r="A6532" s="122" t="s">
        <v>11145</v>
      </c>
      <c r="B6532" s="123">
        <v>1709401.0</v>
      </c>
      <c r="C6532" s="687" t="s">
        <v>11146</v>
      </c>
      <c r="D6532" s="125"/>
    </row>
    <row r="6533">
      <c r="A6533" s="122" t="s">
        <v>9053</v>
      </c>
      <c r="B6533" s="123">
        <v>1870143.0</v>
      </c>
      <c r="C6533" s="687" t="s">
        <v>9054</v>
      </c>
      <c r="D6533" s="125"/>
    </row>
    <row r="6534">
      <c r="A6534" s="122" t="s">
        <v>14543</v>
      </c>
      <c r="B6534" s="123">
        <v>935419.0</v>
      </c>
      <c r="C6534" s="687" t="s">
        <v>14544</v>
      </c>
      <c r="D6534" s="125"/>
    </row>
    <row r="6535">
      <c r="A6535" s="122" t="s">
        <v>6315</v>
      </c>
      <c r="B6535" s="123">
        <v>1760233.0</v>
      </c>
      <c r="C6535" s="687" t="s">
        <v>6316</v>
      </c>
      <c r="D6535" s="125"/>
    </row>
    <row r="6536">
      <c r="A6536" s="122" t="s">
        <v>2886</v>
      </c>
      <c r="B6536" s="123">
        <v>1095073.0</v>
      </c>
      <c r="C6536" s="687" t="s">
        <v>2887</v>
      </c>
      <c r="D6536" s="125"/>
    </row>
    <row r="6537">
      <c r="A6537" s="122" t="s">
        <v>8627</v>
      </c>
      <c r="B6537" s="123">
        <v>1581091.0</v>
      </c>
      <c r="C6537" s="687" t="s">
        <v>8628</v>
      </c>
      <c r="D6537" s="125"/>
    </row>
    <row r="6538">
      <c r="A6538" s="122" t="s">
        <v>4821</v>
      </c>
      <c r="B6538" s="123">
        <v>716634.0</v>
      </c>
      <c r="C6538" s="687" t="s">
        <v>4822</v>
      </c>
      <c r="D6538" s="125"/>
    </row>
    <row r="6539">
      <c r="A6539" s="122" t="s">
        <v>10087</v>
      </c>
      <c r="B6539" s="123">
        <v>716634.0</v>
      </c>
      <c r="C6539" s="687" t="s">
        <v>10088</v>
      </c>
      <c r="D6539" s="125"/>
    </row>
    <row r="6540">
      <c r="A6540" s="122" t="s">
        <v>12122</v>
      </c>
      <c r="B6540" s="123">
        <v>1527590.0</v>
      </c>
      <c r="C6540" s="687" t="s">
        <v>12123</v>
      </c>
      <c r="D6540" s="125"/>
    </row>
    <row r="6541">
      <c r="A6541" s="122" t="s">
        <v>12059</v>
      </c>
      <c r="B6541" s="123">
        <v>1527590.0</v>
      </c>
      <c r="C6541" s="687" t="s">
        <v>12060</v>
      </c>
      <c r="D6541" s="125"/>
    </row>
    <row r="6542">
      <c r="A6542" s="122" t="s">
        <v>8060</v>
      </c>
      <c r="B6542" s="123">
        <v>1527590.0</v>
      </c>
      <c r="C6542" s="687" t="s">
        <v>8061</v>
      </c>
      <c r="D6542" s="125"/>
    </row>
    <row r="6543">
      <c r="A6543" s="122" t="s">
        <v>34069</v>
      </c>
      <c r="B6543" s="123">
        <v>1084133.0</v>
      </c>
      <c r="C6543" s="687" t="s">
        <v>34070</v>
      </c>
      <c r="D6543" s="125"/>
    </row>
    <row r="6544">
      <c r="A6544" s="122" t="s">
        <v>5450</v>
      </c>
      <c r="B6544" s="123">
        <v>1862461.0</v>
      </c>
      <c r="C6544" s="687" t="s">
        <v>5451</v>
      </c>
      <c r="D6544" s="125"/>
    </row>
    <row r="6545">
      <c r="A6545" s="122" t="s">
        <v>4040</v>
      </c>
      <c r="B6545" s="123">
        <v>1871149.0</v>
      </c>
      <c r="C6545" s="687" t="s">
        <v>4041</v>
      </c>
      <c r="D6545" s="125"/>
    </row>
    <row r="6546">
      <c r="A6546" s="122" t="s">
        <v>4699</v>
      </c>
      <c r="B6546" s="123">
        <v>1573221.0</v>
      </c>
      <c r="C6546" s="687" t="s">
        <v>4700</v>
      </c>
      <c r="D6546" s="125"/>
    </row>
    <row r="6547">
      <c r="A6547" s="122" t="s">
        <v>14238</v>
      </c>
      <c r="B6547" s="123">
        <v>726728.0</v>
      </c>
      <c r="C6547" s="687" t="s">
        <v>14239</v>
      </c>
      <c r="D6547" s="125"/>
    </row>
    <row r="6548">
      <c r="A6548" s="122" t="s">
        <v>12481</v>
      </c>
      <c r="B6548" s="123">
        <v>1263994.0</v>
      </c>
      <c r="C6548" s="687" t="s">
        <v>12482</v>
      </c>
      <c r="D6548" s="125"/>
    </row>
    <row r="6549">
      <c r="A6549" s="122" t="s">
        <v>6131</v>
      </c>
      <c r="B6549" s="123">
        <v>1707910.0</v>
      </c>
      <c r="C6549" s="687" t="s">
        <v>6132</v>
      </c>
      <c r="D6549" s="125"/>
    </row>
    <row r="6550">
      <c r="A6550" s="122" t="s">
        <v>34071</v>
      </c>
      <c r="B6550" s="123">
        <v>1421204.0</v>
      </c>
      <c r="C6550" s="687" t="s">
        <v>34072</v>
      </c>
      <c r="D6550" s="125"/>
    </row>
    <row r="6551">
      <c r="A6551" s="122" t="s">
        <v>14822</v>
      </c>
      <c r="B6551" s="123">
        <v>1420798.0</v>
      </c>
      <c r="C6551" s="687" t="s">
        <v>14823</v>
      </c>
      <c r="D6551" s="125"/>
    </row>
    <row r="6552">
      <c r="A6552" s="122" t="s">
        <v>10324</v>
      </c>
      <c r="B6552" s="123">
        <v>1420798.0</v>
      </c>
      <c r="C6552" s="687" t="s">
        <v>10325</v>
      </c>
      <c r="D6552" s="125"/>
    </row>
    <row r="6553">
      <c r="A6553" s="122" t="s">
        <v>729</v>
      </c>
      <c r="B6553" s="123">
        <v>1462223.0</v>
      </c>
      <c r="C6553" s="687" t="s">
        <v>730</v>
      </c>
      <c r="D6553" s="125"/>
    </row>
    <row r="6554">
      <c r="A6554" s="122" t="s">
        <v>4032</v>
      </c>
      <c r="B6554" s="123">
        <v>1462223.0</v>
      </c>
      <c r="C6554" s="687" t="s">
        <v>4033</v>
      </c>
      <c r="D6554" s="125"/>
    </row>
    <row r="6555">
      <c r="A6555" s="122" t="s">
        <v>8107</v>
      </c>
      <c r="B6555" s="123">
        <v>1601830.0</v>
      </c>
      <c r="C6555" s="687" t="s">
        <v>8108</v>
      </c>
      <c r="D6555" s="125"/>
    </row>
    <row r="6556">
      <c r="A6556" s="122" t="s">
        <v>3293</v>
      </c>
      <c r="B6556" s="123">
        <v>748268.0</v>
      </c>
      <c r="C6556" s="687" t="s">
        <v>3294</v>
      </c>
      <c r="D6556" s="125"/>
    </row>
    <row r="6557">
      <c r="A6557" s="122" t="s">
        <v>34073</v>
      </c>
      <c r="B6557" s="123">
        <v>1358654.0</v>
      </c>
      <c r="C6557" s="687" t="s">
        <v>34074</v>
      </c>
      <c r="D6557" s="125"/>
    </row>
    <row r="6558">
      <c r="A6558" s="122" t="s">
        <v>14174</v>
      </c>
      <c r="B6558" s="123">
        <v>1071236.0</v>
      </c>
      <c r="C6558" s="687" t="s">
        <v>14175</v>
      </c>
      <c r="D6558" s="125"/>
    </row>
    <row r="6559">
      <c r="A6559" s="122" t="s">
        <v>8601</v>
      </c>
      <c r="B6559" s="123">
        <v>1171759.0</v>
      </c>
      <c r="C6559" s="687" t="s">
        <v>8602</v>
      </c>
      <c r="D6559" s="125"/>
    </row>
    <row r="6560">
      <c r="A6560" s="122" t="s">
        <v>1672</v>
      </c>
      <c r="B6560" s="123">
        <v>1653653.0</v>
      </c>
      <c r="C6560" s="687" t="s">
        <v>1673</v>
      </c>
      <c r="D6560" s="125"/>
    </row>
    <row r="6561">
      <c r="A6561" s="122" t="s">
        <v>11139</v>
      </c>
      <c r="B6561" s="123">
        <v>1720116.0</v>
      </c>
      <c r="C6561" s="687" t="s">
        <v>11140</v>
      </c>
      <c r="D6561" s="125"/>
    </row>
    <row r="6562">
      <c r="A6562" s="122" t="s">
        <v>7823</v>
      </c>
      <c r="B6562" s="123">
        <v>1382821.0</v>
      </c>
      <c r="C6562" s="687" t="s">
        <v>7824</v>
      </c>
      <c r="D6562" s="125"/>
    </row>
    <row r="6563">
      <c r="A6563" s="122" t="s">
        <v>3149</v>
      </c>
      <c r="B6563" s="123">
        <v>1553846.0</v>
      </c>
      <c r="C6563" s="687" t="s">
        <v>3150</v>
      </c>
      <c r="D6563" s="125"/>
    </row>
    <row r="6564">
      <c r="A6564" s="122" t="s">
        <v>5486</v>
      </c>
      <c r="B6564" s="123">
        <v>1819810.0</v>
      </c>
      <c r="C6564" s="687" t="s">
        <v>5487</v>
      </c>
      <c r="D6564" s="125"/>
    </row>
    <row r="6565">
      <c r="A6565" s="122" t="s">
        <v>7256</v>
      </c>
      <c r="B6565" s="123">
        <v>930236.0</v>
      </c>
      <c r="C6565" s="687" t="s">
        <v>7257</v>
      </c>
      <c r="D6565" s="125"/>
    </row>
    <row r="6566">
      <c r="A6566" s="122" t="s">
        <v>1443</v>
      </c>
      <c r="B6566" s="123">
        <v>1907223.0</v>
      </c>
      <c r="C6566" s="687" t="s">
        <v>1444</v>
      </c>
      <c r="D6566" s="125"/>
    </row>
    <row r="6567">
      <c r="A6567" s="122" t="s">
        <v>8819</v>
      </c>
      <c r="B6567" s="123">
        <v>1907223.0</v>
      </c>
      <c r="C6567" s="687" t="s">
        <v>8820</v>
      </c>
      <c r="D6567" s="125"/>
    </row>
    <row r="6568">
      <c r="A6568" s="122" t="s">
        <v>8845</v>
      </c>
      <c r="B6568" s="123">
        <v>1907223.0</v>
      </c>
      <c r="C6568" s="687" t="s">
        <v>8846</v>
      </c>
      <c r="D6568" s="125"/>
    </row>
    <row r="6569">
      <c r="A6569" s="122" t="s">
        <v>7109</v>
      </c>
      <c r="B6569" s="123">
        <v>1843588.0</v>
      </c>
      <c r="C6569" s="687" t="s">
        <v>7110</v>
      </c>
      <c r="D6569" s="125"/>
    </row>
    <row r="6570">
      <c r="A6570" s="122" t="s">
        <v>4794</v>
      </c>
      <c r="B6570" s="123">
        <v>1140215.0</v>
      </c>
      <c r="C6570" s="687" t="s">
        <v>4795</v>
      </c>
      <c r="D6570" s="125"/>
    </row>
    <row r="6571">
      <c r="A6571" s="122" t="s">
        <v>1591</v>
      </c>
      <c r="B6571" s="123">
        <v>1103090.0</v>
      </c>
      <c r="C6571" s="687" t="s">
        <v>1592</v>
      </c>
      <c r="D6571" s="125"/>
    </row>
    <row r="6572">
      <c r="A6572" s="122" t="s">
        <v>15804</v>
      </c>
      <c r="B6572" s="123">
        <v>82811.0</v>
      </c>
      <c r="C6572" s="687" t="s">
        <v>15805</v>
      </c>
      <c r="D6572" s="125"/>
    </row>
    <row r="6573">
      <c r="A6573" s="122" t="s">
        <v>4780</v>
      </c>
      <c r="B6573" s="123">
        <v>1589150.0</v>
      </c>
      <c r="C6573" s="687" t="s">
        <v>4781</v>
      </c>
      <c r="D6573" s="125"/>
    </row>
    <row r="6574">
      <c r="A6574" s="122" t="s">
        <v>6099</v>
      </c>
      <c r="B6574" s="123">
        <v>1589150.0</v>
      </c>
      <c r="C6574" s="687" t="s">
        <v>6100</v>
      </c>
      <c r="D6574" s="125"/>
    </row>
    <row r="6575">
      <c r="A6575" s="122" t="s">
        <v>7634</v>
      </c>
      <c r="B6575" s="123">
        <v>1829667.0</v>
      </c>
      <c r="C6575" s="687" t="s">
        <v>7635</v>
      </c>
      <c r="D6575" s="125"/>
    </row>
    <row r="6576">
      <c r="A6576" s="122" t="s">
        <v>14553</v>
      </c>
      <c r="B6576" s="123">
        <v>910606.0</v>
      </c>
      <c r="C6576" s="687" t="s">
        <v>14554</v>
      </c>
      <c r="D6576" s="125"/>
    </row>
    <row r="6577">
      <c r="A6577" s="122" t="s">
        <v>1988</v>
      </c>
      <c r="B6577" s="123">
        <v>1858994.0</v>
      </c>
      <c r="C6577" s="687" t="s">
        <v>1989</v>
      </c>
      <c r="D6577" s="125"/>
    </row>
    <row r="6578">
      <c r="A6578" s="122" t="s">
        <v>34075</v>
      </c>
      <c r="B6578" s="123">
        <v>707511.0</v>
      </c>
      <c r="C6578" s="687" t="s">
        <v>34076</v>
      </c>
      <c r="D6578" s="125"/>
    </row>
    <row r="6579">
      <c r="A6579" s="122" t="s">
        <v>34077</v>
      </c>
      <c r="B6579" s="123">
        <v>1412659.0</v>
      </c>
      <c r="C6579" s="687" t="s">
        <v>34078</v>
      </c>
      <c r="D6579" s="125"/>
    </row>
    <row r="6580">
      <c r="A6580" s="122" t="s">
        <v>9684</v>
      </c>
      <c r="B6580" s="123">
        <v>1590877.0</v>
      </c>
      <c r="C6580" s="687" t="s">
        <v>9685</v>
      </c>
      <c r="D6580" s="125"/>
    </row>
    <row r="6581">
      <c r="A6581" s="122" t="s">
        <v>519</v>
      </c>
      <c r="B6581" s="123">
        <v>922330.0</v>
      </c>
      <c r="C6581" s="687" t="s">
        <v>520</v>
      </c>
      <c r="D6581" s="125"/>
    </row>
    <row r="6582">
      <c r="A6582" s="122" t="s">
        <v>4886</v>
      </c>
      <c r="B6582" s="123">
        <v>1004724.0</v>
      </c>
      <c r="C6582" s="687" t="s">
        <v>4887</v>
      </c>
      <c r="D6582" s="125"/>
    </row>
    <row r="6583">
      <c r="A6583" s="122" t="s">
        <v>12067</v>
      </c>
      <c r="B6583" s="123">
        <v>1519401.0</v>
      </c>
      <c r="C6583" s="687" t="s">
        <v>12068</v>
      </c>
      <c r="D6583" s="125"/>
    </row>
    <row r="6584">
      <c r="A6584" s="122" t="s">
        <v>11097</v>
      </c>
      <c r="B6584" s="123">
        <v>1281761.0</v>
      </c>
      <c r="C6584" s="687" t="s">
        <v>11098</v>
      </c>
      <c r="D6584" s="125"/>
    </row>
    <row r="6585">
      <c r="A6585" s="122" t="s">
        <v>9746</v>
      </c>
      <c r="B6585" s="123">
        <v>716643.0</v>
      </c>
      <c r="C6585" s="687" t="s">
        <v>9747</v>
      </c>
      <c r="D6585" s="125"/>
    </row>
    <row r="6586">
      <c r="A6586" s="122" t="s">
        <v>454</v>
      </c>
      <c r="B6586" s="123">
        <v>1716324.0</v>
      </c>
      <c r="C6586" s="687" t="s">
        <v>455</v>
      </c>
      <c r="D6586" s="125"/>
    </row>
    <row r="6587">
      <c r="A6587" s="122" t="s">
        <v>4381</v>
      </c>
      <c r="B6587" s="123">
        <v>1437283.0</v>
      </c>
      <c r="C6587" s="687" t="s">
        <v>4382</v>
      </c>
      <c r="D6587" s="125"/>
    </row>
    <row r="6588">
      <c r="A6588" s="122" t="s">
        <v>4219</v>
      </c>
      <c r="B6588" s="123">
        <v>1505512.0</v>
      </c>
      <c r="C6588" s="687" t="s">
        <v>4220</v>
      </c>
      <c r="D6588" s="125"/>
    </row>
    <row r="6589">
      <c r="A6589" s="122" t="s">
        <v>15988</v>
      </c>
      <c r="B6589" s="123">
        <v>898174.0</v>
      </c>
      <c r="C6589" s="687" t="s">
        <v>15989</v>
      </c>
      <c r="D6589" s="125"/>
    </row>
    <row r="6590">
      <c r="A6590" s="122" t="s">
        <v>5605</v>
      </c>
      <c r="B6590" s="123">
        <v>1697851.0</v>
      </c>
      <c r="C6590" s="687" t="s">
        <v>5606</v>
      </c>
      <c r="D6590" s="125"/>
    </row>
    <row r="6591">
      <c r="A6591" s="122" t="s">
        <v>1441</v>
      </c>
      <c r="B6591" s="123">
        <v>1860484.0</v>
      </c>
      <c r="C6591" s="687" t="s">
        <v>1442</v>
      </c>
      <c r="D6591" s="125"/>
    </row>
    <row r="6592">
      <c r="A6592" s="122" t="s">
        <v>9690</v>
      </c>
      <c r="B6592" s="123">
        <v>1860484.0</v>
      </c>
      <c r="C6592" s="687" t="s">
        <v>9691</v>
      </c>
      <c r="D6592" s="125"/>
    </row>
    <row r="6593">
      <c r="A6593" s="122" t="s">
        <v>7999</v>
      </c>
      <c r="B6593" s="123">
        <v>1812364.0</v>
      </c>
      <c r="C6593" s="687" t="s">
        <v>8000</v>
      </c>
      <c r="D6593" s="125"/>
    </row>
    <row r="6594">
      <c r="A6594" s="122" t="s">
        <v>1427</v>
      </c>
      <c r="B6594" s="123">
        <v>34285.0</v>
      </c>
      <c r="C6594" s="687" t="s">
        <v>1428</v>
      </c>
      <c r="D6594" s="125"/>
    </row>
    <row r="6595">
      <c r="A6595" s="122" t="s">
        <v>1233</v>
      </c>
      <c r="B6595" s="123">
        <v>1812727.0</v>
      </c>
      <c r="C6595" s="687" t="s">
        <v>1234</v>
      </c>
      <c r="D6595" s="125"/>
    </row>
    <row r="6596">
      <c r="A6596" s="122" t="s">
        <v>16586</v>
      </c>
      <c r="B6596" s="123">
        <v>1812727.0</v>
      </c>
      <c r="C6596" s="687" t="s">
        <v>16587</v>
      </c>
      <c r="D6596" s="125"/>
    </row>
    <row r="6597">
      <c r="A6597" s="122" t="s">
        <v>16397</v>
      </c>
      <c r="B6597" s="123">
        <v>861884.0</v>
      </c>
      <c r="C6597" s="687" t="s">
        <v>16398</v>
      </c>
      <c r="D6597" s="125"/>
    </row>
    <row r="6598">
      <c r="A6598" s="122" t="s">
        <v>5033</v>
      </c>
      <c r="B6598" s="123">
        <v>1854078.0</v>
      </c>
      <c r="C6598" s="687" t="s">
        <v>5034</v>
      </c>
      <c r="D6598" s="125"/>
    </row>
    <row r="6599">
      <c r="A6599" s="122" t="s">
        <v>4805</v>
      </c>
      <c r="B6599" s="123">
        <v>1854078.0</v>
      </c>
      <c r="C6599" s="687" t="s">
        <v>4806</v>
      </c>
      <c r="D6599" s="125"/>
    </row>
    <row r="6600">
      <c r="A6600" s="122" t="s">
        <v>6016</v>
      </c>
      <c r="B6600" s="123">
        <v>768710.0</v>
      </c>
      <c r="C6600" s="687" t="s">
        <v>6017</v>
      </c>
      <c r="D6600" s="125"/>
    </row>
    <row r="6601">
      <c r="A6601" s="122" t="s">
        <v>6364</v>
      </c>
      <c r="B6601" s="123">
        <v>1553643.0</v>
      </c>
      <c r="C6601" s="687" t="s">
        <v>6365</v>
      </c>
      <c r="D6601" s="125"/>
    </row>
    <row r="6602">
      <c r="A6602" s="122" t="s">
        <v>13687</v>
      </c>
      <c r="B6602" s="123">
        <v>929869.0</v>
      </c>
      <c r="C6602" s="687" t="s">
        <v>13688</v>
      </c>
      <c r="D6602" s="125"/>
    </row>
    <row r="6603">
      <c r="A6603" s="122" t="s">
        <v>13748</v>
      </c>
      <c r="B6603" s="123">
        <v>929869.0</v>
      </c>
      <c r="C6603" s="687" t="s">
        <v>13688</v>
      </c>
      <c r="D6603" s="125"/>
    </row>
    <row r="6604">
      <c r="A6604" s="122" t="s">
        <v>11014</v>
      </c>
      <c r="B6604" s="123">
        <v>1782170.0</v>
      </c>
      <c r="C6604" s="687" t="s">
        <v>11015</v>
      </c>
      <c r="D6604" s="125"/>
    </row>
    <row r="6605">
      <c r="A6605" s="122" t="s">
        <v>683</v>
      </c>
      <c r="B6605" s="123">
        <v>1412126.0</v>
      </c>
      <c r="C6605" s="687" t="s">
        <v>684</v>
      </c>
      <c r="D6605" s="125"/>
    </row>
    <row r="6606">
      <c r="A6606" s="122" t="s">
        <v>8483</v>
      </c>
      <c r="B6606" s="123">
        <v>1552653.0</v>
      </c>
      <c r="C6606" s="687" t="s">
        <v>8484</v>
      </c>
      <c r="D6606" s="125"/>
    </row>
    <row r="6607">
      <c r="A6607" s="122" t="s">
        <v>15429</v>
      </c>
      <c r="B6607" s="123">
        <v>1552653.0</v>
      </c>
      <c r="C6607" s="687" t="s">
        <v>15430</v>
      </c>
      <c r="D6607" s="125"/>
    </row>
    <row r="6608">
      <c r="A6608" s="122" t="s">
        <v>16248</v>
      </c>
      <c r="B6608" s="123">
        <v>913144.0</v>
      </c>
      <c r="C6608" s="687" t="s">
        <v>16249</v>
      </c>
      <c r="D6608" s="125"/>
    </row>
    <row r="6609">
      <c r="A6609" s="122" t="s">
        <v>2626</v>
      </c>
      <c r="B6609" s="123">
        <v>1811115.0</v>
      </c>
      <c r="C6609" s="687" t="s">
        <v>2072</v>
      </c>
      <c r="D6609" s="125"/>
    </row>
    <row r="6610">
      <c r="A6610" s="122" t="s">
        <v>2071</v>
      </c>
      <c r="B6610" s="123">
        <v>1811115.0</v>
      </c>
      <c r="C6610" s="687" t="s">
        <v>2072</v>
      </c>
      <c r="D6610" s="125"/>
    </row>
    <row r="6611">
      <c r="A6611" s="122" t="s">
        <v>12872</v>
      </c>
      <c r="B6611" s="123">
        <v>715072.0</v>
      </c>
      <c r="C6611" s="687" t="s">
        <v>12873</v>
      </c>
      <c r="D6611" s="125"/>
    </row>
    <row r="6612">
      <c r="A6612" s="122" t="s">
        <v>4467</v>
      </c>
      <c r="B6612" s="123">
        <v>1637715.0</v>
      </c>
      <c r="C6612" s="687" t="s">
        <v>4468</v>
      </c>
      <c r="D6612" s="125"/>
    </row>
    <row r="6613">
      <c r="A6613" s="122" t="s">
        <v>3550</v>
      </c>
      <c r="B6613" s="123">
        <v>1848763.0</v>
      </c>
      <c r="C6613" s="687" t="s">
        <v>3551</v>
      </c>
      <c r="D6613" s="125"/>
    </row>
    <row r="6614">
      <c r="A6614" s="122" t="s">
        <v>7172</v>
      </c>
      <c r="B6614" s="123">
        <v>1848763.0</v>
      </c>
      <c r="C6614" s="687" t="s">
        <v>7173</v>
      </c>
      <c r="D6614" s="125"/>
    </row>
    <row r="6615">
      <c r="A6615" s="122" t="s">
        <v>34079</v>
      </c>
      <c r="B6615" s="123">
        <v>1608430.0</v>
      </c>
      <c r="C6615" s="687" t="s">
        <v>34080</v>
      </c>
      <c r="D6615" s="125"/>
    </row>
    <row r="6616">
      <c r="A6616" s="122" t="s">
        <v>4523</v>
      </c>
      <c r="B6616" s="123">
        <v>919567.0</v>
      </c>
      <c r="C6616" s="687" t="s">
        <v>4524</v>
      </c>
      <c r="D6616" s="125"/>
    </row>
    <row r="6617">
      <c r="A6617" s="122" t="s">
        <v>34081</v>
      </c>
      <c r="B6617" s="123">
        <v>931059.0</v>
      </c>
      <c r="C6617" s="687" t="s">
        <v>34082</v>
      </c>
      <c r="D6617" s="125"/>
    </row>
    <row r="6618">
      <c r="A6618" s="122" t="s">
        <v>34083</v>
      </c>
      <c r="B6618" s="123">
        <v>1016708.0</v>
      </c>
      <c r="C6618" s="687" t="s">
        <v>34084</v>
      </c>
      <c r="D6618" s="125"/>
    </row>
    <row r="6619">
      <c r="A6619" s="122" t="s">
        <v>34085</v>
      </c>
      <c r="B6619" s="123">
        <v>1590383.0</v>
      </c>
      <c r="C6619" s="687" t="s">
        <v>34086</v>
      </c>
      <c r="D6619" s="125"/>
    </row>
    <row r="6620">
      <c r="A6620" s="122" t="s">
        <v>4551</v>
      </c>
      <c r="B6620" s="123">
        <v>1574094.0</v>
      </c>
      <c r="C6620" s="687" t="s">
        <v>4552</v>
      </c>
      <c r="D6620" s="125"/>
    </row>
    <row r="6621">
      <c r="A6621" s="122" t="s">
        <v>3055</v>
      </c>
      <c r="B6621" s="123">
        <v>1468327.0</v>
      </c>
      <c r="C6621" s="687" t="s">
        <v>3056</v>
      </c>
      <c r="D6621" s="125"/>
    </row>
    <row r="6622">
      <c r="A6622" s="122" t="s">
        <v>34087</v>
      </c>
      <c r="B6622" s="123">
        <v>1509223.0</v>
      </c>
      <c r="C6622" s="687" t="s">
        <v>34088</v>
      </c>
      <c r="D6622" s="125"/>
    </row>
    <row r="6623">
      <c r="A6623" s="122" t="s">
        <v>6309</v>
      </c>
      <c r="B6623" s="123">
        <v>930157.0</v>
      </c>
      <c r="C6623" s="687" t="s">
        <v>6310</v>
      </c>
      <c r="D6623" s="125"/>
    </row>
    <row r="6624">
      <c r="A6624" s="122" t="s">
        <v>12430</v>
      </c>
      <c r="B6624" s="123">
        <v>930157.0</v>
      </c>
      <c r="C6624" s="687" t="s">
        <v>6310</v>
      </c>
      <c r="D6624" s="125"/>
    </row>
    <row r="6625">
      <c r="A6625" s="122" t="s">
        <v>838</v>
      </c>
      <c r="B6625" s="123">
        <v>1335288.0</v>
      </c>
      <c r="C6625" s="687" t="s">
        <v>839</v>
      </c>
      <c r="D6625" s="125"/>
    </row>
    <row r="6626">
      <c r="A6626" s="122" t="s">
        <v>7412</v>
      </c>
      <c r="B6626" s="123">
        <v>1808158.0</v>
      </c>
      <c r="C6626" s="687" t="s">
        <v>7413</v>
      </c>
      <c r="D6626" s="125"/>
    </row>
    <row r="6627">
      <c r="A6627" s="122" t="s">
        <v>7701</v>
      </c>
      <c r="B6627" s="123">
        <v>1720592.0</v>
      </c>
      <c r="C6627" s="687" t="s">
        <v>7702</v>
      </c>
      <c r="D6627" s="125"/>
    </row>
    <row r="6628">
      <c r="A6628" s="122" t="s">
        <v>1249</v>
      </c>
      <c r="B6628" s="123">
        <v>1205059.0</v>
      </c>
      <c r="C6628" s="687" t="s">
        <v>1250</v>
      </c>
      <c r="D6628" s="125"/>
    </row>
    <row r="6629">
      <c r="A6629" s="122" t="s">
        <v>16143</v>
      </c>
      <c r="B6629" s="123">
        <v>730272.0</v>
      </c>
      <c r="C6629" s="687" t="s">
        <v>16144</v>
      </c>
      <c r="D6629" s="125"/>
    </row>
    <row r="6630">
      <c r="A6630" s="122" t="s">
        <v>7451</v>
      </c>
      <c r="B6630" s="123">
        <v>1737953.0</v>
      </c>
      <c r="C6630" s="687" t="s">
        <v>7452</v>
      </c>
      <c r="D6630" s="125"/>
    </row>
    <row r="6631">
      <c r="A6631" s="122" t="s">
        <v>14109</v>
      </c>
      <c r="B6631" s="123">
        <v>921557.0</v>
      </c>
      <c r="C6631" s="687" t="s">
        <v>14110</v>
      </c>
      <c r="D6631" s="125"/>
    </row>
    <row r="6632">
      <c r="A6632" s="122" t="s">
        <v>1385</v>
      </c>
      <c r="B6632" s="123">
        <v>834285.0</v>
      </c>
      <c r="C6632" s="687" t="s">
        <v>1386</v>
      </c>
      <c r="D6632" s="125"/>
    </row>
    <row r="6633">
      <c r="A6633" s="122" t="s">
        <v>16022</v>
      </c>
      <c r="B6633" s="123">
        <v>1060391.0</v>
      </c>
      <c r="C6633" s="687" t="s">
        <v>16023</v>
      </c>
      <c r="D6633" s="125"/>
    </row>
    <row r="6634">
      <c r="A6634" s="122" t="s">
        <v>3863</v>
      </c>
      <c r="B6634" s="123">
        <v>793524.0</v>
      </c>
      <c r="C6634" s="687" t="s">
        <v>3864</v>
      </c>
      <c r="D6634" s="125"/>
    </row>
    <row r="6635">
      <c r="A6635" s="122" t="s">
        <v>5380</v>
      </c>
      <c r="B6635" s="123">
        <v>1386301.0</v>
      </c>
      <c r="C6635" s="687" t="s">
        <v>5381</v>
      </c>
      <c r="D6635" s="125"/>
    </row>
    <row r="6636">
      <c r="A6636" s="122" t="s">
        <v>16024</v>
      </c>
      <c r="B6636" s="123">
        <v>83350.0</v>
      </c>
      <c r="C6636" s="687" t="s">
        <v>16025</v>
      </c>
      <c r="D6636" s="125"/>
    </row>
    <row r="6637">
      <c r="A6637" s="122" t="s">
        <v>4325</v>
      </c>
      <c r="B6637" s="123">
        <v>1824403.0</v>
      </c>
      <c r="C6637" s="687" t="s">
        <v>4326</v>
      </c>
      <c r="D6637" s="125"/>
    </row>
    <row r="6638">
      <c r="A6638" s="122" t="s">
        <v>7299</v>
      </c>
      <c r="B6638" s="123">
        <v>1824403.0</v>
      </c>
      <c r="C6638" s="687" t="s">
        <v>7300</v>
      </c>
      <c r="D6638" s="125"/>
    </row>
    <row r="6639">
      <c r="A6639" s="122" t="s">
        <v>2301</v>
      </c>
      <c r="B6639" s="123">
        <v>1427570.0</v>
      </c>
      <c r="C6639" s="687" t="s">
        <v>2302</v>
      </c>
      <c r="D6639" s="125"/>
    </row>
    <row r="6640">
      <c r="A6640" s="122" t="s">
        <v>14080</v>
      </c>
      <c r="B6640" s="123">
        <v>1555039.0</v>
      </c>
      <c r="C6640" s="687" t="s">
        <v>14081</v>
      </c>
      <c r="D6640" s="125"/>
    </row>
    <row r="6641">
      <c r="A6641" s="122" t="s">
        <v>10866</v>
      </c>
      <c r="B6641" s="123">
        <v>1740332.0</v>
      </c>
      <c r="C6641" s="687" t="s">
        <v>10867</v>
      </c>
      <c r="D6641" s="125"/>
    </row>
    <row r="6642">
      <c r="A6642" s="122" t="s">
        <v>11228</v>
      </c>
      <c r="B6642" s="123">
        <v>943819.0</v>
      </c>
      <c r="C6642" s="687" t="s">
        <v>11229</v>
      </c>
      <c r="D6642" s="125"/>
    </row>
    <row r="6643">
      <c r="A6643" s="122" t="s">
        <v>16116</v>
      </c>
      <c r="B6643" s="123">
        <v>943819.0</v>
      </c>
      <c r="C6643" s="687" t="s">
        <v>16117</v>
      </c>
      <c r="D6643" s="125"/>
    </row>
    <row r="6644">
      <c r="A6644" s="122" t="s">
        <v>531</v>
      </c>
      <c r="B6644" s="123">
        <v>897078.0</v>
      </c>
      <c r="C6644" s="687" t="s">
        <v>532</v>
      </c>
      <c r="D6644" s="125"/>
    </row>
    <row r="6645">
      <c r="A6645" s="122" t="s">
        <v>9979</v>
      </c>
      <c r="B6645" s="123">
        <v>1084765.0</v>
      </c>
      <c r="C6645" s="687" t="s">
        <v>9980</v>
      </c>
      <c r="D6645" s="125"/>
    </row>
    <row r="6646">
      <c r="A6646" s="122" t="s">
        <v>34089</v>
      </c>
      <c r="B6646" s="123">
        <v>849636.0</v>
      </c>
      <c r="C6646" s="687" t="s">
        <v>34090</v>
      </c>
      <c r="D6646" s="125"/>
    </row>
    <row r="6647">
      <c r="A6647" s="122" t="s">
        <v>14988</v>
      </c>
      <c r="B6647" s="123">
        <v>1618756.0</v>
      </c>
      <c r="C6647" s="687" t="s">
        <v>14989</v>
      </c>
      <c r="D6647" s="125"/>
    </row>
    <row r="6648">
      <c r="A6648" s="122" t="s">
        <v>14941</v>
      </c>
      <c r="B6648" s="123">
        <v>1618755.0</v>
      </c>
      <c r="C6648" s="687" t="s">
        <v>14942</v>
      </c>
      <c r="D6648" s="125"/>
    </row>
    <row r="6649">
      <c r="A6649" s="122" t="s">
        <v>10125</v>
      </c>
      <c r="B6649" s="123">
        <v>1407623.0</v>
      </c>
      <c r="C6649" s="687" t="s">
        <v>10126</v>
      </c>
      <c r="D6649" s="125"/>
    </row>
    <row r="6650">
      <c r="A6650" s="122" t="s">
        <v>5588</v>
      </c>
      <c r="B6650" s="123">
        <v>1836295.0</v>
      </c>
      <c r="C6650" s="687" t="s">
        <v>5589</v>
      </c>
      <c r="D6650" s="125"/>
    </row>
    <row r="6651">
      <c r="A6651" s="122" t="s">
        <v>2691</v>
      </c>
      <c r="B6651" s="123">
        <v>1687277.0</v>
      </c>
      <c r="C6651" s="687" t="s">
        <v>2692</v>
      </c>
      <c r="D6651" s="125"/>
    </row>
    <row r="6652">
      <c r="A6652" s="122" t="s">
        <v>4058</v>
      </c>
      <c r="B6652" s="123">
        <v>946563.0</v>
      </c>
      <c r="C6652" s="687" t="s">
        <v>4059</v>
      </c>
      <c r="D6652" s="125"/>
    </row>
    <row r="6653">
      <c r="A6653" s="122" t="s">
        <v>11315</v>
      </c>
      <c r="B6653" s="123">
        <v>1687221.0</v>
      </c>
      <c r="C6653" s="687" t="s">
        <v>11316</v>
      </c>
      <c r="D6653" s="125"/>
    </row>
    <row r="6654">
      <c r="A6654" s="122" t="s">
        <v>6744</v>
      </c>
      <c r="B6654" s="123">
        <v>1479290.0</v>
      </c>
      <c r="C6654" s="687" t="s">
        <v>6745</v>
      </c>
      <c r="D6654" s="125"/>
    </row>
    <row r="6655">
      <c r="A6655" s="122" t="s">
        <v>5556</v>
      </c>
      <c r="B6655" s="123">
        <v>1810560.0</v>
      </c>
      <c r="C6655" s="687" t="s">
        <v>507</v>
      </c>
      <c r="D6655" s="125"/>
    </row>
    <row r="6656">
      <c r="A6656" s="122" t="s">
        <v>506</v>
      </c>
      <c r="B6656" s="123">
        <v>1810560.0</v>
      </c>
      <c r="C6656" s="687" t="s">
        <v>507</v>
      </c>
      <c r="D6656" s="125"/>
    </row>
    <row r="6657">
      <c r="A6657" s="122" t="s">
        <v>1159</v>
      </c>
      <c r="B6657" s="123">
        <v>1874218.0</v>
      </c>
      <c r="C6657" s="687" t="s">
        <v>1160</v>
      </c>
      <c r="D6657" s="125"/>
    </row>
    <row r="6658">
      <c r="A6658" s="122" t="s">
        <v>8738</v>
      </c>
      <c r="B6658" s="123">
        <v>1874218.0</v>
      </c>
      <c r="C6658" s="687" t="s">
        <v>8739</v>
      </c>
      <c r="D6658" s="125"/>
    </row>
    <row r="6659">
      <c r="A6659" s="122" t="s">
        <v>8574</v>
      </c>
      <c r="B6659" s="123">
        <v>1874218.0</v>
      </c>
      <c r="C6659" s="687" t="s">
        <v>8575</v>
      </c>
      <c r="D6659" s="125"/>
    </row>
    <row r="6660">
      <c r="A6660" s="122" t="s">
        <v>3650</v>
      </c>
      <c r="B6660" s="123">
        <v>1742927.0</v>
      </c>
      <c r="C6660" s="687" t="s">
        <v>3651</v>
      </c>
      <c r="D6660" s="125"/>
    </row>
    <row r="6661">
      <c r="A6661" s="122" t="s">
        <v>5958</v>
      </c>
      <c r="B6661" s="123">
        <v>1742927.0</v>
      </c>
      <c r="C6661" s="687" t="s">
        <v>5959</v>
      </c>
      <c r="D6661" s="125"/>
    </row>
    <row r="6662">
      <c r="A6662" s="122" t="s">
        <v>12682</v>
      </c>
      <c r="B6662" s="123">
        <v>1628171.0</v>
      </c>
      <c r="C6662" s="687" t="s">
        <v>12683</v>
      </c>
      <c r="D6662" s="125"/>
    </row>
    <row r="6663">
      <c r="A6663" s="122" t="s">
        <v>10422</v>
      </c>
      <c r="B6663" s="123">
        <v>1746618.0</v>
      </c>
      <c r="C6663" s="687" t="s">
        <v>10423</v>
      </c>
      <c r="D6663" s="125"/>
    </row>
    <row r="6664">
      <c r="A6664" s="122" t="s">
        <v>13652</v>
      </c>
      <c r="B6664" s="123">
        <v>744187.0</v>
      </c>
      <c r="C6664" s="687" t="s">
        <v>13653</v>
      </c>
      <c r="D6664" s="125"/>
    </row>
    <row r="6665">
      <c r="A6665" s="122" t="s">
        <v>14313</v>
      </c>
      <c r="B6665" s="123">
        <v>726516.0</v>
      </c>
      <c r="C6665" s="687" t="s">
        <v>14314</v>
      </c>
      <c r="D6665" s="125"/>
    </row>
    <row r="6666">
      <c r="A6666" s="122" t="s">
        <v>14236</v>
      </c>
      <c r="B6666" s="123">
        <v>1571283.0</v>
      </c>
      <c r="C6666" s="687" t="s">
        <v>14237</v>
      </c>
      <c r="D6666" s="125"/>
    </row>
    <row r="6667">
      <c r="A6667" s="122" t="s">
        <v>34091</v>
      </c>
      <c r="B6667" s="123">
        <v>1283789.0</v>
      </c>
      <c r="C6667" s="687" t="s">
        <v>34092</v>
      </c>
      <c r="D6667" s="125"/>
    </row>
    <row r="6668">
      <c r="A6668" s="122" t="s">
        <v>12615</v>
      </c>
      <c r="B6668" s="123">
        <v>1786431.0</v>
      </c>
      <c r="C6668" s="687" t="s">
        <v>12616</v>
      </c>
      <c r="D6668" s="125"/>
    </row>
    <row r="6669">
      <c r="A6669" s="122" t="s">
        <v>3875</v>
      </c>
      <c r="B6669" s="123">
        <v>1509261.0</v>
      </c>
      <c r="C6669" s="687" t="s">
        <v>3876</v>
      </c>
      <c r="D6669" s="125"/>
    </row>
    <row r="6670">
      <c r="A6670" s="122" t="s">
        <v>735</v>
      </c>
      <c r="B6670" s="123">
        <v>1847607.0</v>
      </c>
      <c r="C6670" s="687" t="s">
        <v>736</v>
      </c>
      <c r="D6670" s="125"/>
    </row>
    <row r="6671">
      <c r="A6671" s="122" t="s">
        <v>8797</v>
      </c>
      <c r="B6671" s="123">
        <v>1847607.0</v>
      </c>
      <c r="C6671" s="687" t="s">
        <v>8798</v>
      </c>
      <c r="D6671" s="125"/>
    </row>
    <row r="6672">
      <c r="A6672" s="122" t="s">
        <v>8878</v>
      </c>
      <c r="B6672" s="123">
        <v>1847607.0</v>
      </c>
      <c r="C6672" s="687" t="s">
        <v>8879</v>
      </c>
      <c r="D6672" s="125"/>
    </row>
    <row r="6673">
      <c r="A6673" s="122" t="s">
        <v>5677</v>
      </c>
      <c r="B6673" s="123">
        <v>740664.0</v>
      </c>
      <c r="C6673" s="687" t="s">
        <v>5678</v>
      </c>
      <c r="D6673" s="125"/>
    </row>
    <row r="6674">
      <c r="A6674" s="122" t="s">
        <v>11191</v>
      </c>
      <c r="B6674" s="123">
        <v>1069533.0</v>
      </c>
      <c r="C6674" s="687" t="s">
        <v>11192</v>
      </c>
      <c r="D6674" s="125"/>
    </row>
    <row r="6675">
      <c r="A6675" s="122" t="s">
        <v>16345</v>
      </c>
      <c r="B6675" s="123">
        <v>1528849.0</v>
      </c>
      <c r="C6675" s="687" t="s">
        <v>16346</v>
      </c>
      <c r="D6675" s="125"/>
    </row>
    <row r="6676">
      <c r="A6676" s="122" t="s">
        <v>7948</v>
      </c>
      <c r="B6676" s="123">
        <v>1751783.0</v>
      </c>
      <c r="C6676" s="687" t="s">
        <v>7949</v>
      </c>
      <c r="D6676" s="125"/>
    </row>
    <row r="6677">
      <c r="A6677" s="122" t="s">
        <v>34093</v>
      </c>
      <c r="B6677" s="123">
        <v>1278465.0</v>
      </c>
      <c r="C6677" s="687" t="s">
        <v>34094</v>
      </c>
      <c r="D6677" s="125"/>
    </row>
    <row r="6678">
      <c r="A6678" s="122" t="s">
        <v>13830</v>
      </c>
      <c r="B6678" s="123">
        <v>1649904.0</v>
      </c>
      <c r="C6678" s="687" t="s">
        <v>13831</v>
      </c>
      <c r="D6678" s="125"/>
    </row>
    <row r="6679">
      <c r="A6679" s="122" t="s">
        <v>5594</v>
      </c>
      <c r="B6679" s="123">
        <v>1708055.0</v>
      </c>
      <c r="C6679" s="687" t="s">
        <v>5595</v>
      </c>
      <c r="D6679" s="125"/>
    </row>
    <row r="6680">
      <c r="A6680" s="122" t="s">
        <v>1968</v>
      </c>
      <c r="B6680" s="123">
        <v>1063537.0</v>
      </c>
      <c r="C6680" s="687" t="s">
        <v>1969</v>
      </c>
      <c r="D6680" s="125"/>
    </row>
    <row r="6681">
      <c r="A6681" s="122" t="s">
        <v>8234</v>
      </c>
      <c r="B6681" s="123">
        <v>355948.0</v>
      </c>
      <c r="C6681" s="687" t="s">
        <v>8235</v>
      </c>
      <c r="D6681" s="125"/>
    </row>
    <row r="6682">
      <c r="A6682" s="122" t="s">
        <v>9385</v>
      </c>
      <c r="B6682" s="123">
        <v>1767837.0</v>
      </c>
      <c r="C6682" s="687" t="s">
        <v>9386</v>
      </c>
      <c r="D6682" s="125"/>
    </row>
    <row r="6683">
      <c r="A6683" s="122" t="s">
        <v>2518</v>
      </c>
      <c r="B6683" s="123">
        <v>812152.0</v>
      </c>
      <c r="C6683" s="687" t="s">
        <v>2519</v>
      </c>
      <c r="D6683" s="125"/>
    </row>
    <row r="6684">
      <c r="A6684" s="122" t="s">
        <v>1397</v>
      </c>
      <c r="B6684" s="123">
        <v>1891367.0</v>
      </c>
      <c r="C6684" s="687" t="s">
        <v>1398</v>
      </c>
      <c r="D6684" s="125"/>
    </row>
    <row r="6685">
      <c r="A6685" s="122" t="s">
        <v>3990</v>
      </c>
      <c r="B6685" s="123">
        <v>1034842.0</v>
      </c>
      <c r="C6685" s="687" t="s">
        <v>3991</v>
      </c>
      <c r="D6685" s="125"/>
    </row>
    <row r="6686">
      <c r="A6686" s="122" t="s">
        <v>9168</v>
      </c>
      <c r="B6686" s="123">
        <v>1860879.0</v>
      </c>
      <c r="C6686" s="687" t="s">
        <v>9169</v>
      </c>
      <c r="D6686" s="125"/>
    </row>
    <row r="6687">
      <c r="A6687" s="122" t="s">
        <v>2558</v>
      </c>
      <c r="B6687" s="123">
        <v>1838359.0</v>
      </c>
      <c r="C6687" s="687" t="s">
        <v>2559</v>
      </c>
      <c r="D6687" s="125"/>
    </row>
    <row r="6688">
      <c r="A6688" s="122" t="s">
        <v>4134</v>
      </c>
      <c r="B6688" s="123">
        <v>1838359.0</v>
      </c>
      <c r="C6688" s="687" t="s">
        <v>4135</v>
      </c>
      <c r="D6688" s="125"/>
    </row>
    <row r="6689">
      <c r="A6689" s="122" t="s">
        <v>1051</v>
      </c>
      <c r="B6689" s="123">
        <v>1580262.0</v>
      </c>
      <c r="C6689" s="687" t="s">
        <v>1052</v>
      </c>
      <c r="D6689" s="125"/>
    </row>
    <row r="6690">
      <c r="A6690" s="122" t="s">
        <v>3945</v>
      </c>
      <c r="B6690" s="123">
        <v>1848364.0</v>
      </c>
      <c r="C6690" s="687" t="s">
        <v>3946</v>
      </c>
      <c r="D6690" s="125"/>
    </row>
    <row r="6691">
      <c r="A6691" s="122" t="s">
        <v>16736</v>
      </c>
      <c r="B6691" s="123">
        <v>1574910.0</v>
      </c>
      <c r="C6691" s="687" t="s">
        <v>16737</v>
      </c>
      <c r="D6691" s="125"/>
    </row>
    <row r="6692">
      <c r="A6692" s="122" t="s">
        <v>11671</v>
      </c>
      <c r="B6692" s="123">
        <v>1001614.0</v>
      </c>
      <c r="C6692" s="687" t="s">
        <v>11672</v>
      </c>
      <c r="D6692" s="125"/>
    </row>
    <row r="6693">
      <c r="A6693" s="122" t="s">
        <v>5701</v>
      </c>
      <c r="B6693" s="123">
        <v>1635282.0</v>
      </c>
      <c r="C6693" s="687" t="s">
        <v>5702</v>
      </c>
      <c r="D6693" s="125"/>
    </row>
    <row r="6694">
      <c r="A6694" s="122" t="s">
        <v>4170</v>
      </c>
      <c r="B6694" s="123">
        <v>1384195.0</v>
      </c>
      <c r="C6694" s="687" t="s">
        <v>4171</v>
      </c>
      <c r="D6694" s="125"/>
    </row>
    <row r="6695">
      <c r="A6695" s="122" t="s">
        <v>13108</v>
      </c>
      <c r="B6695" s="123">
        <v>1384905.0</v>
      </c>
      <c r="C6695" s="687" t="s">
        <v>13109</v>
      </c>
      <c r="D6695" s="125"/>
    </row>
    <row r="6696">
      <c r="A6696" s="122" t="s">
        <v>15138</v>
      </c>
      <c r="B6696" s="123">
        <v>887028.0</v>
      </c>
      <c r="C6696" s="687" t="s">
        <v>15139</v>
      </c>
      <c r="D6696" s="125"/>
    </row>
    <row r="6697">
      <c r="A6697" s="122" t="s">
        <v>14773</v>
      </c>
      <c r="B6697" s="123">
        <v>863064.0</v>
      </c>
      <c r="C6697" s="687" t="s">
        <v>14774</v>
      </c>
      <c r="D6697" s="125"/>
    </row>
    <row r="6698">
      <c r="A6698" s="122" t="s">
        <v>14733</v>
      </c>
      <c r="B6698" s="123">
        <v>863064.0</v>
      </c>
      <c r="C6698" s="687" t="s">
        <v>14734</v>
      </c>
      <c r="D6698" s="125"/>
    </row>
    <row r="6699">
      <c r="A6699" s="122" t="s">
        <v>9285</v>
      </c>
      <c r="B6699" s="123">
        <v>1167419.0</v>
      </c>
      <c r="C6699" s="687" t="s">
        <v>9286</v>
      </c>
      <c r="D6699" s="125"/>
    </row>
    <row r="6700">
      <c r="A6700" s="122" t="s">
        <v>2065</v>
      </c>
      <c r="B6700" s="123">
        <v>1424864.0</v>
      </c>
      <c r="C6700" s="687" t="s">
        <v>2066</v>
      </c>
      <c r="D6700" s="125"/>
    </row>
    <row r="6701">
      <c r="A6701" s="122" t="s">
        <v>9478</v>
      </c>
      <c r="B6701" s="123">
        <v>84112.0</v>
      </c>
      <c r="C6701" s="687" t="s">
        <v>9479</v>
      </c>
      <c r="D6701" s="125"/>
    </row>
    <row r="6702">
      <c r="A6702" s="122" t="s">
        <v>6429</v>
      </c>
      <c r="B6702" s="123">
        <v>1851112.0</v>
      </c>
      <c r="C6702" s="687" t="s">
        <v>6430</v>
      </c>
      <c r="D6702" s="125"/>
    </row>
    <row r="6703">
      <c r="A6703" s="122" t="s">
        <v>8633</v>
      </c>
      <c r="B6703" s="123">
        <v>1556593.0</v>
      </c>
      <c r="C6703" s="687" t="s">
        <v>8634</v>
      </c>
      <c r="D6703" s="125"/>
    </row>
    <row r="6704">
      <c r="A6704" s="122" t="s">
        <v>12793</v>
      </c>
      <c r="B6704" s="123">
        <v>1641601.0</v>
      </c>
      <c r="C6704" s="687" t="s">
        <v>12794</v>
      </c>
      <c r="D6704" s="125"/>
    </row>
    <row r="6705">
      <c r="A6705" s="122" t="s">
        <v>10041</v>
      </c>
      <c r="B6705" s="123">
        <v>1535665.0</v>
      </c>
      <c r="C6705" s="687" t="s">
        <v>10042</v>
      </c>
      <c r="D6705" s="125"/>
    </row>
    <row r="6706">
      <c r="A6706" s="122" t="s">
        <v>10634</v>
      </c>
      <c r="B6706" s="123">
        <v>1644771.0</v>
      </c>
      <c r="C6706" s="687" t="s">
        <v>10635</v>
      </c>
      <c r="D6706" s="125"/>
    </row>
    <row r="6707">
      <c r="A6707" s="122" t="s">
        <v>10106</v>
      </c>
      <c r="B6707" s="123">
        <v>1817159.0</v>
      </c>
      <c r="C6707" s="687" t="s">
        <v>10107</v>
      </c>
      <c r="D6707" s="125"/>
    </row>
    <row r="6708">
      <c r="A6708" s="122" t="s">
        <v>10713</v>
      </c>
      <c r="B6708" s="123">
        <v>1870833.0</v>
      </c>
      <c r="C6708" s="687" t="s">
        <v>10714</v>
      </c>
      <c r="D6708" s="125"/>
    </row>
    <row r="6709">
      <c r="A6709" s="122" t="s">
        <v>9547</v>
      </c>
      <c r="B6709" s="123">
        <v>1501072.0</v>
      </c>
      <c r="C6709" s="687" t="s">
        <v>9548</v>
      </c>
      <c r="D6709" s="125"/>
    </row>
    <row r="6710">
      <c r="A6710" s="122" t="s">
        <v>10618</v>
      </c>
      <c r="B6710" s="123">
        <v>1746967.0</v>
      </c>
      <c r="C6710" s="687" t="s">
        <v>10619</v>
      </c>
      <c r="D6710" s="125"/>
    </row>
    <row r="6711">
      <c r="A6711" s="122" t="s">
        <v>7838</v>
      </c>
      <c r="B6711" s="123">
        <v>1678130.0</v>
      </c>
      <c r="C6711" s="687" t="s">
        <v>7839</v>
      </c>
      <c r="D6711" s="125"/>
    </row>
    <row r="6712">
      <c r="A6712" s="122" t="s">
        <v>6700</v>
      </c>
      <c r="B6712" s="123">
        <v>1041368.0</v>
      </c>
      <c r="C6712" s="687" t="s">
        <v>6701</v>
      </c>
      <c r="D6712" s="125"/>
    </row>
    <row r="6713">
      <c r="A6713" s="122" t="s">
        <v>34095</v>
      </c>
      <c r="B6713" s="123">
        <v>1702541.0</v>
      </c>
      <c r="C6713" s="687" t="s">
        <v>34096</v>
      </c>
      <c r="D6713" s="125"/>
    </row>
    <row r="6714">
      <c r="A6714" s="122" t="s">
        <v>10566</v>
      </c>
      <c r="B6714" s="123">
        <v>1874178.0</v>
      </c>
      <c r="C6714" s="687" t="s">
        <v>10567</v>
      </c>
      <c r="D6714" s="125"/>
    </row>
    <row r="6715">
      <c r="A6715" s="122" t="s">
        <v>15789</v>
      </c>
      <c r="B6715" s="123">
        <v>84246.0</v>
      </c>
      <c r="C6715" s="687" t="s">
        <v>15790</v>
      </c>
      <c r="D6715" s="125"/>
    </row>
    <row r="6716">
      <c r="A6716" s="122" t="s">
        <v>9491</v>
      </c>
      <c r="B6716" s="123">
        <v>1511337.0</v>
      </c>
      <c r="C6716" s="687" t="s">
        <v>9492</v>
      </c>
      <c r="D6716" s="125"/>
    </row>
    <row r="6717">
      <c r="A6717" s="122" t="s">
        <v>4689</v>
      </c>
      <c r="B6717" s="123">
        <v>1828365.0</v>
      </c>
      <c r="C6717" s="687" t="s">
        <v>4690</v>
      </c>
      <c r="D6717" s="125"/>
    </row>
    <row r="6718">
      <c r="A6718" s="122" t="s">
        <v>1648</v>
      </c>
      <c r="B6718" s="123">
        <v>1838108.0</v>
      </c>
      <c r="C6718" s="687" t="s">
        <v>1649</v>
      </c>
      <c r="D6718" s="125"/>
    </row>
    <row r="6719">
      <c r="A6719" s="122" t="s">
        <v>8418</v>
      </c>
      <c r="B6719" s="123">
        <v>1838108.0</v>
      </c>
      <c r="C6719" s="687" t="s">
        <v>8419</v>
      </c>
      <c r="D6719" s="125"/>
    </row>
    <row r="6720">
      <c r="A6720" s="122" t="s">
        <v>8526</v>
      </c>
      <c r="B6720" s="123">
        <v>1838108.0</v>
      </c>
      <c r="C6720" s="687" t="s">
        <v>8527</v>
      </c>
      <c r="D6720" s="125"/>
    </row>
    <row r="6721">
      <c r="A6721" s="122" t="s">
        <v>12412</v>
      </c>
      <c r="B6721" s="123">
        <v>1644378.0</v>
      </c>
      <c r="C6721" s="687" t="s">
        <v>12413</v>
      </c>
      <c r="D6721" s="125"/>
    </row>
    <row r="6722">
      <c r="A6722" s="122" t="s">
        <v>4407</v>
      </c>
      <c r="B6722" s="123">
        <v>1440024.0</v>
      </c>
      <c r="C6722" s="687" t="s">
        <v>4408</v>
      </c>
      <c r="D6722" s="125"/>
    </row>
    <row r="6723">
      <c r="A6723" s="122" t="s">
        <v>476</v>
      </c>
      <c r="B6723" s="123">
        <v>1611852.0</v>
      </c>
      <c r="C6723" s="687" t="s">
        <v>477</v>
      </c>
      <c r="D6723" s="125"/>
    </row>
    <row r="6724">
      <c r="A6724" s="122" t="s">
        <v>15022</v>
      </c>
      <c r="B6724" s="123">
        <v>315213.0</v>
      </c>
      <c r="C6724" s="687" t="s">
        <v>15023</v>
      </c>
      <c r="D6724" s="125"/>
    </row>
    <row r="6725">
      <c r="A6725" s="122" t="s">
        <v>8976</v>
      </c>
      <c r="B6725" s="123">
        <v>1783879.0</v>
      </c>
      <c r="C6725" s="687" t="s">
        <v>8977</v>
      </c>
      <c r="D6725" s="125"/>
    </row>
    <row r="6726">
      <c r="A6726" s="122" t="s">
        <v>13605</v>
      </c>
      <c r="B6726" s="123">
        <v>1315098.0</v>
      </c>
      <c r="C6726" s="687" t="s">
        <v>13606</v>
      </c>
      <c r="D6726" s="125"/>
    </row>
    <row r="6727">
      <c r="A6727" s="122" t="s">
        <v>9752</v>
      </c>
      <c r="B6727" s="123">
        <v>1805284.0</v>
      </c>
      <c r="C6727" s="687" t="s">
        <v>9753</v>
      </c>
      <c r="D6727" s="125"/>
    </row>
    <row r="6728">
      <c r="A6728" s="122" t="s">
        <v>6046</v>
      </c>
      <c r="B6728" s="123">
        <v>1819994.0</v>
      </c>
      <c r="C6728" s="687" t="s">
        <v>6047</v>
      </c>
      <c r="D6728" s="125"/>
    </row>
    <row r="6729">
      <c r="A6729" s="122" t="s">
        <v>12691</v>
      </c>
      <c r="B6729" s="123">
        <v>1281895.0</v>
      </c>
      <c r="C6729" s="687" t="s">
        <v>12692</v>
      </c>
      <c r="D6729" s="125"/>
    </row>
    <row r="6730">
      <c r="A6730" s="122" t="s">
        <v>820</v>
      </c>
      <c r="B6730" s="123">
        <v>823546.0</v>
      </c>
      <c r="C6730" s="687" t="s">
        <v>821</v>
      </c>
      <c r="D6730" s="125"/>
    </row>
    <row r="6731">
      <c r="A6731" s="122" t="s">
        <v>6423</v>
      </c>
      <c r="B6731" s="123">
        <v>1884516.0</v>
      </c>
      <c r="C6731" s="687" t="s">
        <v>6424</v>
      </c>
      <c r="D6731" s="125"/>
    </row>
    <row r="6732">
      <c r="A6732" s="122" t="s">
        <v>16368</v>
      </c>
      <c r="B6732" s="123">
        <v>1024478.0</v>
      </c>
      <c r="C6732" s="687" t="s">
        <v>16369</v>
      </c>
      <c r="D6732" s="125"/>
    </row>
    <row r="6733">
      <c r="A6733" s="122" t="s">
        <v>4158</v>
      </c>
      <c r="B6733" s="123">
        <v>1041024.0</v>
      </c>
      <c r="C6733" s="687" t="s">
        <v>4159</v>
      </c>
      <c r="D6733" s="125"/>
    </row>
    <row r="6734">
      <c r="A6734" s="122" t="s">
        <v>12680</v>
      </c>
      <c r="B6734" s="123">
        <v>895456.0</v>
      </c>
      <c r="C6734" s="687" t="s">
        <v>12681</v>
      </c>
      <c r="D6734" s="125"/>
    </row>
    <row r="6735">
      <c r="A6735" s="122" t="s">
        <v>6133</v>
      </c>
      <c r="B6735" s="123">
        <v>1616262.0</v>
      </c>
      <c r="C6735" s="687" t="s">
        <v>6134</v>
      </c>
      <c r="D6735" s="125"/>
    </row>
    <row r="6736">
      <c r="A6736" s="122" t="s">
        <v>34097</v>
      </c>
      <c r="B6736" s="123">
        <v>1670869.0</v>
      </c>
      <c r="C6736" s="687" t="s">
        <v>34098</v>
      </c>
      <c r="D6736" s="125"/>
    </row>
    <row r="6737">
      <c r="A6737" s="122" t="s">
        <v>3785</v>
      </c>
      <c r="B6737" s="123">
        <v>1556179.0</v>
      </c>
      <c r="C6737" s="687" t="s">
        <v>3786</v>
      </c>
      <c r="D6737" s="125"/>
    </row>
    <row r="6738">
      <c r="A6738" s="122" t="s">
        <v>16792</v>
      </c>
      <c r="B6738" s="123">
        <v>1843548.0</v>
      </c>
      <c r="C6738" s="687" t="s">
        <v>16793</v>
      </c>
      <c r="D6738" s="125"/>
    </row>
    <row r="6739">
      <c r="A6739" s="122" t="s">
        <v>13959</v>
      </c>
      <c r="B6739" s="123">
        <v>733099.0</v>
      </c>
      <c r="C6739" s="687" t="s">
        <v>13960</v>
      </c>
      <c r="D6739" s="125"/>
    </row>
    <row r="6740">
      <c r="A6740" s="122" t="s">
        <v>13971</v>
      </c>
      <c r="B6740" s="123">
        <v>733099.0</v>
      </c>
      <c r="C6740" s="687" t="s">
        <v>13972</v>
      </c>
      <c r="D6740" s="125"/>
    </row>
    <row r="6741">
      <c r="A6741" s="122" t="s">
        <v>15598</v>
      </c>
      <c r="B6741" s="123">
        <v>84748.0</v>
      </c>
      <c r="C6741" s="687" t="s">
        <v>15599</v>
      </c>
      <c r="D6741" s="125"/>
    </row>
    <row r="6742">
      <c r="A6742" s="122" t="s">
        <v>15232</v>
      </c>
      <c r="B6742" s="123">
        <v>1428439.0</v>
      </c>
      <c r="C6742" s="687" t="s">
        <v>15233</v>
      </c>
      <c r="D6742" s="125"/>
    </row>
    <row r="6743">
      <c r="A6743" s="122" t="s">
        <v>13794</v>
      </c>
      <c r="B6743" s="123">
        <v>84839.0</v>
      </c>
      <c r="C6743" s="687" t="s">
        <v>13795</v>
      </c>
      <c r="D6743" s="125"/>
    </row>
    <row r="6744">
      <c r="A6744" s="122" t="s">
        <v>7697</v>
      </c>
      <c r="B6744" s="123">
        <v>1788882.0</v>
      </c>
      <c r="C6744" s="687" t="s">
        <v>7698</v>
      </c>
      <c r="D6744" s="125"/>
    </row>
    <row r="6745">
      <c r="A6745" s="122" t="s">
        <v>16619</v>
      </c>
      <c r="B6745" s="123">
        <v>882835.0</v>
      </c>
      <c r="C6745" s="687" t="s">
        <v>16620</v>
      </c>
      <c r="D6745" s="125"/>
    </row>
    <row r="6746">
      <c r="A6746" s="122" t="s">
        <v>9014</v>
      </c>
      <c r="B6746" s="123">
        <v>1841610.0</v>
      </c>
      <c r="C6746" s="687" t="s">
        <v>9015</v>
      </c>
      <c r="D6746" s="125"/>
    </row>
    <row r="6747">
      <c r="A6747" s="122" t="s">
        <v>15844</v>
      </c>
      <c r="B6747" s="123">
        <v>745732.0</v>
      </c>
      <c r="C6747" s="687" t="s">
        <v>15845</v>
      </c>
      <c r="D6747" s="125"/>
    </row>
    <row r="6748">
      <c r="A6748" s="122" t="s">
        <v>1709</v>
      </c>
      <c r="B6748" s="123">
        <v>1885998.0</v>
      </c>
      <c r="C6748" s="687" t="s">
        <v>1710</v>
      </c>
      <c r="D6748" s="125"/>
    </row>
    <row r="6749">
      <c r="A6749" s="122" t="s">
        <v>9043</v>
      </c>
      <c r="B6749" s="123">
        <v>1860514.0</v>
      </c>
      <c r="C6749" s="687" t="s">
        <v>1001</v>
      </c>
      <c r="D6749" s="125"/>
    </row>
    <row r="6750">
      <c r="A6750" s="122" t="s">
        <v>1000</v>
      </c>
      <c r="B6750" s="123">
        <v>1860514.0</v>
      </c>
      <c r="C6750" s="687" t="s">
        <v>1001</v>
      </c>
      <c r="D6750" s="125"/>
    </row>
    <row r="6751">
      <c r="A6751" s="122" t="s">
        <v>8936</v>
      </c>
      <c r="B6751" s="123">
        <v>1860514.0</v>
      </c>
      <c r="C6751" s="687" t="s">
        <v>8937</v>
      </c>
      <c r="D6751" s="125"/>
    </row>
    <row r="6752">
      <c r="A6752" s="122" t="s">
        <v>8863</v>
      </c>
      <c r="B6752" s="123">
        <v>1885998.0</v>
      </c>
      <c r="C6752" s="687" t="s">
        <v>8864</v>
      </c>
      <c r="D6752" s="125"/>
    </row>
    <row r="6753">
      <c r="A6753" s="122" t="s">
        <v>8672</v>
      </c>
      <c r="B6753" s="123">
        <v>1885998.0</v>
      </c>
      <c r="C6753" s="687" t="s">
        <v>8673</v>
      </c>
      <c r="D6753" s="125"/>
    </row>
    <row r="6754">
      <c r="A6754" s="122" t="s">
        <v>16800</v>
      </c>
      <c r="B6754" s="123">
        <v>1568162.0</v>
      </c>
      <c r="C6754" s="687" t="s">
        <v>16801</v>
      </c>
      <c r="D6754" s="125"/>
    </row>
    <row r="6755">
      <c r="A6755" s="122" t="s">
        <v>9024</v>
      </c>
      <c r="B6755" s="123">
        <v>1826018.0</v>
      </c>
      <c r="C6755" s="687" t="s">
        <v>9025</v>
      </c>
      <c r="D6755" s="125"/>
    </row>
    <row r="6756">
      <c r="A6756" s="122" t="s">
        <v>15344</v>
      </c>
      <c r="B6756" s="123">
        <v>1000275.0</v>
      </c>
      <c r="C6756" s="687" t="s">
        <v>15345</v>
      </c>
      <c r="D6756" s="125"/>
    </row>
    <row r="6757">
      <c r="A6757" s="122" t="s">
        <v>15661</v>
      </c>
      <c r="B6757" s="123">
        <v>884887.0</v>
      </c>
      <c r="C6757" s="687" t="s">
        <v>15662</v>
      </c>
      <c r="D6757" s="125"/>
    </row>
    <row r="6758">
      <c r="A6758" s="122" t="s">
        <v>15564</v>
      </c>
      <c r="B6758" s="123">
        <v>85535.0</v>
      </c>
      <c r="C6758" s="687" t="s">
        <v>15565</v>
      </c>
      <c r="D6758" s="125"/>
    </row>
    <row r="6759">
      <c r="A6759" s="122" t="s">
        <v>1241</v>
      </c>
      <c r="B6759" s="123">
        <v>1694617.0</v>
      </c>
      <c r="C6759" s="687" t="s">
        <v>1242</v>
      </c>
      <c r="D6759" s="125"/>
    </row>
    <row r="6760">
      <c r="A6760" s="122" t="s">
        <v>12651</v>
      </c>
      <c r="B6760" s="123">
        <v>1802768.0</v>
      </c>
      <c r="C6760" s="687" t="s">
        <v>12652</v>
      </c>
      <c r="D6760" s="125"/>
    </row>
    <row r="6761">
      <c r="A6761" s="122" t="s">
        <v>8327</v>
      </c>
      <c r="B6761" s="123">
        <v>1514490.0</v>
      </c>
      <c r="C6761" s="687" t="s">
        <v>8328</v>
      </c>
      <c r="D6761" s="125"/>
    </row>
    <row r="6762">
      <c r="A6762" s="122" t="s">
        <v>8007</v>
      </c>
      <c r="B6762" s="123">
        <v>912147.0</v>
      </c>
      <c r="C6762" s="687" t="s">
        <v>8008</v>
      </c>
      <c r="D6762" s="125"/>
    </row>
    <row r="6763">
      <c r="A6763" s="122" t="s">
        <v>10256</v>
      </c>
      <c r="B6763" s="123">
        <v>804116.0</v>
      </c>
      <c r="C6763" s="687" t="s">
        <v>10257</v>
      </c>
      <c r="D6763" s="125"/>
    </row>
    <row r="6764">
      <c r="A6764" s="122" t="s">
        <v>7359</v>
      </c>
      <c r="B6764" s="123">
        <v>742278.0</v>
      </c>
      <c r="C6764" s="687" t="s">
        <v>7360</v>
      </c>
      <c r="D6764" s="125"/>
    </row>
    <row r="6765">
      <c r="A6765" s="122" t="s">
        <v>15487</v>
      </c>
      <c r="B6765" s="123">
        <v>110621.0</v>
      </c>
      <c r="C6765" s="687" t="s">
        <v>15488</v>
      </c>
      <c r="D6765" s="125"/>
    </row>
    <row r="6766">
      <c r="A6766" s="122" t="s">
        <v>8253</v>
      </c>
      <c r="B6766" s="123">
        <v>1455626.0</v>
      </c>
      <c r="C6766" s="687" t="s">
        <v>8254</v>
      </c>
      <c r="D6766" s="125"/>
    </row>
    <row r="6767">
      <c r="A6767" s="122" t="s">
        <v>4002</v>
      </c>
      <c r="B6767" s="123">
        <v>1768126.0</v>
      </c>
      <c r="C6767" s="687" t="s">
        <v>4003</v>
      </c>
      <c r="D6767" s="125"/>
    </row>
    <row r="6768">
      <c r="A6768" s="122" t="s">
        <v>5396</v>
      </c>
      <c r="B6768" s="123">
        <v>1768126.0</v>
      </c>
      <c r="C6768" s="687" t="s">
        <v>5397</v>
      </c>
      <c r="D6768" s="125"/>
    </row>
    <row r="6769">
      <c r="A6769" s="122" t="s">
        <v>13240</v>
      </c>
      <c r="B6769" s="123">
        <v>1768126.0</v>
      </c>
      <c r="C6769" s="687" t="s">
        <v>13241</v>
      </c>
      <c r="D6769" s="125"/>
    </row>
    <row r="6770">
      <c r="A6770" s="122" t="s">
        <v>15248</v>
      </c>
      <c r="B6770" s="123">
        <v>101829.0</v>
      </c>
      <c r="C6770" s="687" t="s">
        <v>15249</v>
      </c>
      <c r="D6770" s="125"/>
    </row>
    <row r="6771">
      <c r="A6771" s="122" t="s">
        <v>4251</v>
      </c>
      <c r="B6771" s="123">
        <v>1862068.0</v>
      </c>
      <c r="C6771" s="687" t="s">
        <v>4252</v>
      </c>
      <c r="D6771" s="125"/>
    </row>
    <row r="6772">
      <c r="A6772" s="122" t="s">
        <v>3335</v>
      </c>
      <c r="B6772" s="123">
        <v>1410172.0</v>
      </c>
      <c r="C6772" s="687" t="s">
        <v>3336</v>
      </c>
      <c r="D6772" s="125"/>
    </row>
    <row r="6773">
      <c r="A6773" s="122" t="s">
        <v>7285</v>
      </c>
      <c r="B6773" s="123">
        <v>1596961.0</v>
      </c>
      <c r="C6773" s="687" t="s">
        <v>7286</v>
      </c>
      <c r="D6773" s="125"/>
    </row>
    <row r="6774">
      <c r="A6774" s="122" t="s">
        <v>12344</v>
      </c>
      <c r="B6774" s="123">
        <v>1653384.0</v>
      </c>
      <c r="C6774" s="687" t="s">
        <v>12345</v>
      </c>
      <c r="D6774" s="125"/>
    </row>
    <row r="6775">
      <c r="A6775" s="122" t="s">
        <v>10047</v>
      </c>
      <c r="B6775" s="123">
        <v>1653384.0</v>
      </c>
      <c r="C6775" s="687" t="s">
        <v>10048</v>
      </c>
      <c r="D6775" s="125"/>
    </row>
    <row r="6776">
      <c r="A6776" s="122" t="s">
        <v>13920</v>
      </c>
      <c r="B6776" s="123">
        <v>1012019.0</v>
      </c>
      <c r="C6776" s="687" t="s">
        <v>13921</v>
      </c>
      <c r="D6776" s="125"/>
    </row>
    <row r="6777">
      <c r="A6777" s="122" t="s">
        <v>14029</v>
      </c>
      <c r="B6777" s="123">
        <v>1012019.0</v>
      </c>
      <c r="C6777" s="687" t="s">
        <v>14030</v>
      </c>
      <c r="D6777" s="125"/>
    </row>
    <row r="6778">
      <c r="A6778" s="122" t="s">
        <v>6785</v>
      </c>
      <c r="B6778" s="123">
        <v>1793659.0</v>
      </c>
      <c r="C6778" s="687" t="s">
        <v>6786</v>
      </c>
      <c r="D6778" s="125"/>
    </row>
    <row r="6779">
      <c r="A6779" s="122" t="s">
        <v>34099</v>
      </c>
      <c r="B6779" s="123">
        <v>1087329.0</v>
      </c>
      <c r="C6779" s="687" t="s">
        <v>34100</v>
      </c>
      <c r="D6779" s="125"/>
    </row>
    <row r="6780">
      <c r="A6780" s="122" t="s">
        <v>13364</v>
      </c>
      <c r="B6780" s="123">
        <v>939380.0</v>
      </c>
      <c r="C6780" s="687" t="s">
        <v>13365</v>
      </c>
      <c r="D6780" s="125"/>
    </row>
    <row r="6781">
      <c r="A6781" s="122" t="s">
        <v>13336</v>
      </c>
      <c r="B6781" s="123">
        <v>939380.0</v>
      </c>
      <c r="C6781" s="687" t="s">
        <v>13337</v>
      </c>
      <c r="D6781" s="125"/>
    </row>
    <row r="6782">
      <c r="A6782" s="122" t="s">
        <v>13967</v>
      </c>
      <c r="B6782" s="123">
        <v>1111485.0</v>
      </c>
      <c r="C6782" s="687" t="s">
        <v>13968</v>
      </c>
      <c r="D6782" s="125"/>
    </row>
    <row r="6783">
      <c r="A6783" s="122" t="s">
        <v>13737</v>
      </c>
      <c r="B6783" s="123">
        <v>1849253.0</v>
      </c>
      <c r="C6783" s="687" t="s">
        <v>13738</v>
      </c>
      <c r="D6783" s="125"/>
    </row>
    <row r="6784">
      <c r="A6784" s="122" t="s">
        <v>15788</v>
      </c>
      <c r="B6784" s="123">
        <v>1038683.0</v>
      </c>
      <c r="C6784" s="687" t="s">
        <v>11499</v>
      </c>
      <c r="D6784" s="125"/>
    </row>
    <row r="6785">
      <c r="A6785" s="122" t="s">
        <v>11498</v>
      </c>
      <c r="B6785" s="123">
        <v>1038683.0</v>
      </c>
      <c r="C6785" s="687" t="s">
        <v>11499</v>
      </c>
      <c r="D6785" s="125"/>
    </row>
    <row r="6786">
      <c r="A6786" s="122" t="s">
        <v>15600</v>
      </c>
      <c r="B6786" s="123">
        <v>85961.0</v>
      </c>
      <c r="C6786" s="687" t="s">
        <v>15601</v>
      </c>
      <c r="D6786" s="125"/>
    </row>
    <row r="6787">
      <c r="A6787" s="122" t="s">
        <v>13161</v>
      </c>
      <c r="B6787" s="123">
        <v>1481582.0</v>
      </c>
      <c r="C6787" s="687" t="s">
        <v>13162</v>
      </c>
      <c r="D6787" s="125"/>
    </row>
    <row r="6788">
      <c r="A6788" s="122" t="s">
        <v>15557</v>
      </c>
      <c r="B6788" s="123">
        <v>1040829.0</v>
      </c>
      <c r="C6788" s="687" t="s">
        <v>15558</v>
      </c>
      <c r="D6788" s="125"/>
    </row>
    <row r="6789">
      <c r="A6789" s="122" t="s">
        <v>16564</v>
      </c>
      <c r="B6789" s="123">
        <v>64040.0</v>
      </c>
      <c r="C6789" s="687" t="s">
        <v>16565</v>
      </c>
      <c r="D6789" s="125"/>
    </row>
    <row r="6790">
      <c r="A6790" s="122" t="s">
        <v>13015</v>
      </c>
      <c r="B6790" s="123">
        <v>719220.0</v>
      </c>
      <c r="C6790" s="687" t="s">
        <v>13016</v>
      </c>
      <c r="D6790" s="125"/>
    </row>
    <row r="6791">
      <c r="A6791" s="122" t="s">
        <v>3041</v>
      </c>
      <c r="B6791" s="123">
        <v>1477246.0</v>
      </c>
      <c r="C6791" s="687" t="s">
        <v>3042</v>
      </c>
      <c r="D6791" s="125"/>
    </row>
    <row r="6792">
      <c r="A6792" s="122" t="s">
        <v>970</v>
      </c>
      <c r="B6792" s="123">
        <v>1833214.0</v>
      </c>
      <c r="C6792" s="687" t="s">
        <v>971</v>
      </c>
      <c r="D6792" s="125"/>
    </row>
    <row r="6793">
      <c r="A6793" s="122" t="s">
        <v>6983</v>
      </c>
      <c r="B6793" s="123">
        <v>1833214.0</v>
      </c>
      <c r="C6793" s="687" t="s">
        <v>6984</v>
      </c>
      <c r="D6793" s="125"/>
    </row>
    <row r="6794">
      <c r="A6794" s="122" t="s">
        <v>7513</v>
      </c>
      <c r="B6794" s="123">
        <v>826020.0</v>
      </c>
      <c r="C6794" s="687" t="s">
        <v>7514</v>
      </c>
      <c r="D6794" s="125"/>
    </row>
    <row r="6795">
      <c r="A6795" s="122" t="s">
        <v>14404</v>
      </c>
      <c r="B6795" s="123">
        <v>710752.0</v>
      </c>
      <c r="C6795" s="687" t="s">
        <v>14405</v>
      </c>
      <c r="D6795" s="125"/>
    </row>
    <row r="6796">
      <c r="A6796" s="122" t="s">
        <v>9906</v>
      </c>
      <c r="B6796" s="123">
        <v>1492298.0</v>
      </c>
      <c r="C6796" s="687" t="s">
        <v>9907</v>
      </c>
      <c r="D6796" s="125"/>
    </row>
    <row r="6797">
      <c r="A6797" s="122" t="s">
        <v>6158</v>
      </c>
      <c r="B6797" s="123">
        <v>1597033.0</v>
      </c>
      <c r="C6797" s="687" t="s">
        <v>6159</v>
      </c>
      <c r="D6797" s="125"/>
    </row>
    <row r="6798">
      <c r="A6798" s="122" t="s">
        <v>1604</v>
      </c>
      <c r="B6798" s="123">
        <v>1318482.0</v>
      </c>
      <c r="C6798" s="687" t="s">
        <v>1605</v>
      </c>
      <c r="D6798" s="125"/>
    </row>
    <row r="6799">
      <c r="A6799" s="122" t="s">
        <v>16780</v>
      </c>
      <c r="B6799" s="123">
        <v>1884713.0</v>
      </c>
      <c r="C6799" s="687" t="s">
        <v>16781</v>
      </c>
      <c r="D6799" s="125"/>
    </row>
    <row r="6800">
      <c r="A6800" s="122" t="s">
        <v>11755</v>
      </c>
      <c r="B6800" s="123">
        <v>1682220.0</v>
      </c>
      <c r="C6800" s="687" t="s">
        <v>11756</v>
      </c>
      <c r="D6800" s="125"/>
    </row>
    <row r="6801">
      <c r="A6801" s="122" t="s">
        <v>11786</v>
      </c>
      <c r="B6801" s="123">
        <v>1682220.0</v>
      </c>
      <c r="C6801" s="687" t="s">
        <v>11787</v>
      </c>
      <c r="D6801" s="125"/>
    </row>
    <row r="6802">
      <c r="A6802" s="122" t="s">
        <v>12160</v>
      </c>
      <c r="B6802" s="123">
        <v>1682220.0</v>
      </c>
      <c r="C6802" s="687" t="s">
        <v>12161</v>
      </c>
      <c r="D6802" s="125"/>
    </row>
    <row r="6803">
      <c r="A6803" s="122" t="s">
        <v>11899</v>
      </c>
      <c r="B6803" s="123">
        <v>1682220.0</v>
      </c>
      <c r="C6803" s="687" t="s">
        <v>11900</v>
      </c>
      <c r="D6803" s="125"/>
    </row>
    <row r="6804">
      <c r="A6804" s="122" t="s">
        <v>12250</v>
      </c>
      <c r="B6804" s="123">
        <v>1682220.0</v>
      </c>
      <c r="C6804" s="687" t="s">
        <v>12251</v>
      </c>
      <c r="D6804" s="125"/>
    </row>
    <row r="6805">
      <c r="A6805" s="122" t="s">
        <v>12284</v>
      </c>
      <c r="B6805" s="123">
        <v>1682220.0</v>
      </c>
      <c r="C6805" s="687" t="s">
        <v>12285</v>
      </c>
      <c r="D6805" s="125"/>
    </row>
    <row r="6806">
      <c r="A6806" s="122" t="s">
        <v>12024</v>
      </c>
      <c r="B6806" s="123">
        <v>1682220.0</v>
      </c>
      <c r="C6806" s="687" t="s">
        <v>12025</v>
      </c>
      <c r="D6806" s="125"/>
    </row>
    <row r="6807">
      <c r="A6807" s="122" t="s">
        <v>5824</v>
      </c>
      <c r="B6807" s="123">
        <v>1682220.0</v>
      </c>
      <c r="C6807" s="687" t="s">
        <v>5825</v>
      </c>
      <c r="D6807" s="125"/>
    </row>
    <row r="6808">
      <c r="A6808" s="122" t="s">
        <v>3664</v>
      </c>
      <c r="B6808" s="123">
        <v>1934245.0</v>
      </c>
      <c r="C6808" s="687" t="s">
        <v>3665</v>
      </c>
      <c r="D6808" s="125"/>
    </row>
    <row r="6809">
      <c r="A6809" s="122" t="s">
        <v>34101</v>
      </c>
      <c r="B6809" s="123">
        <v>841533.0</v>
      </c>
      <c r="C6809" s="687" t="s">
        <v>34102</v>
      </c>
      <c r="D6809" s="125"/>
    </row>
    <row r="6810">
      <c r="A6810" s="122" t="s">
        <v>2755</v>
      </c>
      <c r="B6810" s="123">
        <v>1023994.0</v>
      </c>
      <c r="C6810" s="687" t="s">
        <v>2756</v>
      </c>
      <c r="D6810" s="125"/>
    </row>
    <row r="6811">
      <c r="A6811" s="122" t="s">
        <v>6006</v>
      </c>
      <c r="B6811" s="123">
        <v>1434754.0</v>
      </c>
      <c r="C6811" s="687" t="s">
        <v>6007</v>
      </c>
      <c r="D6811" s="125"/>
    </row>
    <row r="6812">
      <c r="A6812" s="122" t="s">
        <v>3361</v>
      </c>
      <c r="B6812" s="123">
        <v>86115.0</v>
      </c>
      <c r="C6812" s="687" t="s">
        <v>3362</v>
      </c>
      <c r="D6812" s="125"/>
    </row>
    <row r="6813">
      <c r="A6813" s="122" t="s">
        <v>3755</v>
      </c>
      <c r="B6813" s="123">
        <v>1538028.0</v>
      </c>
      <c r="C6813" s="687" t="s">
        <v>3756</v>
      </c>
      <c r="D6813" s="125"/>
    </row>
    <row r="6814">
      <c r="A6814" s="122" t="s">
        <v>4383</v>
      </c>
      <c r="B6814" s="123">
        <v>1538028.0</v>
      </c>
      <c r="C6814" s="687" t="s">
        <v>4384</v>
      </c>
      <c r="D6814" s="125"/>
    </row>
    <row r="6815">
      <c r="A6815" s="122" t="s">
        <v>12085</v>
      </c>
      <c r="B6815" s="123">
        <v>886136.0</v>
      </c>
      <c r="C6815" s="687" t="s">
        <v>12086</v>
      </c>
      <c r="D6815" s="125"/>
    </row>
    <row r="6816">
      <c r="A6816" s="122" t="s">
        <v>9131</v>
      </c>
      <c r="B6816" s="123">
        <v>1855351.0</v>
      </c>
      <c r="C6816" s="687" t="s">
        <v>9132</v>
      </c>
      <c r="D6816" s="125"/>
    </row>
    <row r="6817">
      <c r="A6817" s="122" t="s">
        <v>1994</v>
      </c>
      <c r="B6817" s="123">
        <v>1847075.0</v>
      </c>
      <c r="C6817" s="687" t="s">
        <v>1995</v>
      </c>
      <c r="D6817" s="125"/>
    </row>
    <row r="6818">
      <c r="A6818" s="122" t="s">
        <v>3560</v>
      </c>
      <c r="B6818" s="123">
        <v>1847075.0</v>
      </c>
      <c r="C6818" s="687" t="s">
        <v>3561</v>
      </c>
      <c r="D6818" s="125"/>
    </row>
    <row r="6819">
      <c r="A6819" s="122" t="s">
        <v>10558</v>
      </c>
      <c r="B6819" s="123">
        <v>1883037.0</v>
      </c>
      <c r="C6819" s="687" t="s">
        <v>10559</v>
      </c>
      <c r="D6819" s="125"/>
    </row>
    <row r="6820">
      <c r="A6820" s="122" t="s">
        <v>4479</v>
      </c>
      <c r="B6820" s="123">
        <v>1062750.0</v>
      </c>
      <c r="C6820" s="687" t="s">
        <v>4480</v>
      </c>
      <c r="D6820" s="125"/>
    </row>
    <row r="6821">
      <c r="A6821" s="122" t="s">
        <v>7763</v>
      </c>
      <c r="B6821" s="123">
        <v>1128281.0</v>
      </c>
      <c r="C6821" s="687" t="s">
        <v>7764</v>
      </c>
      <c r="D6821" s="125"/>
    </row>
    <row r="6822">
      <c r="A6822" s="122" t="s">
        <v>3095</v>
      </c>
      <c r="B6822" s="123">
        <v>1615219.0</v>
      </c>
      <c r="C6822" s="687" t="s">
        <v>3096</v>
      </c>
      <c r="D6822" s="125"/>
    </row>
    <row r="6823">
      <c r="A6823" s="122" t="s">
        <v>2739</v>
      </c>
      <c r="B6823" s="123">
        <v>1050606.0</v>
      </c>
      <c r="C6823" s="687" t="s">
        <v>2740</v>
      </c>
      <c r="D6823" s="125"/>
    </row>
    <row r="6824">
      <c r="A6824" s="122" t="s">
        <v>16393</v>
      </c>
      <c r="B6824" s="123">
        <v>1108524.0</v>
      </c>
      <c r="C6824" s="687" t="s">
        <v>16394</v>
      </c>
      <c r="D6824" s="125"/>
    </row>
    <row r="6825">
      <c r="A6825" s="122" t="s">
        <v>9802</v>
      </c>
      <c r="B6825" s="123">
        <v>1368458.0</v>
      </c>
      <c r="C6825" s="687" t="s">
        <v>9803</v>
      </c>
      <c r="D6825" s="125"/>
    </row>
    <row r="6826">
      <c r="A6826" s="122" t="s">
        <v>7143</v>
      </c>
      <c r="B6826" s="123">
        <v>1571549.0</v>
      </c>
      <c r="C6826" s="687" t="s">
        <v>7144</v>
      </c>
      <c r="D6826" s="125"/>
    </row>
    <row r="6827">
      <c r="A6827" s="122" t="s">
        <v>9969</v>
      </c>
      <c r="B6827" s="123">
        <v>1571549.0</v>
      </c>
      <c r="C6827" s="687" t="s">
        <v>9970</v>
      </c>
      <c r="D6827" s="125"/>
    </row>
    <row r="6828">
      <c r="A6828" s="122" t="s">
        <v>15360</v>
      </c>
      <c r="B6828" s="123">
        <v>1847891.0</v>
      </c>
      <c r="C6828" s="687" t="s">
        <v>15361</v>
      </c>
      <c r="D6828" s="125"/>
    </row>
    <row r="6829">
      <c r="A6829" s="122" t="s">
        <v>13025</v>
      </c>
      <c r="B6829" s="123">
        <v>1642896.0</v>
      </c>
      <c r="C6829" s="687" t="s">
        <v>13026</v>
      </c>
      <c r="D6829" s="125"/>
    </row>
    <row r="6830">
      <c r="A6830" s="122" t="s">
        <v>1265</v>
      </c>
      <c r="B6830" s="123">
        <v>1530163.0</v>
      </c>
      <c r="C6830" s="687" t="s">
        <v>1266</v>
      </c>
      <c r="D6830" s="125"/>
    </row>
    <row r="6831">
      <c r="A6831" s="122" t="s">
        <v>16705</v>
      </c>
      <c r="B6831" s="123">
        <v>1869858.0</v>
      </c>
      <c r="C6831" s="687" t="s">
        <v>16706</v>
      </c>
      <c r="D6831" s="125"/>
    </row>
    <row r="6832">
      <c r="A6832" s="122" t="s">
        <v>6411</v>
      </c>
      <c r="B6832" s="123">
        <v>319655.0</v>
      </c>
      <c r="C6832" s="687" t="s">
        <v>6412</v>
      </c>
      <c r="D6832" s="125"/>
    </row>
    <row r="6833">
      <c r="A6833" s="122" t="s">
        <v>6894</v>
      </c>
      <c r="B6833" s="123">
        <v>1770121.0</v>
      </c>
      <c r="C6833" s="687" t="s">
        <v>6895</v>
      </c>
      <c r="D6833" s="125"/>
    </row>
    <row r="6834">
      <c r="A6834" s="122" t="s">
        <v>13169</v>
      </c>
      <c r="B6834" s="123">
        <v>714256.0</v>
      </c>
      <c r="C6834" s="687" t="s">
        <v>13170</v>
      </c>
      <c r="D6834" s="125"/>
    </row>
    <row r="6835">
      <c r="A6835" s="122" t="s">
        <v>9554</v>
      </c>
      <c r="B6835" s="123">
        <v>1349436.0</v>
      </c>
      <c r="C6835" s="687" t="s">
        <v>9555</v>
      </c>
      <c r="D6835" s="125"/>
    </row>
    <row r="6836">
      <c r="A6836" s="122" t="s">
        <v>1497</v>
      </c>
      <c r="B6836" s="123">
        <v>1509228.0</v>
      </c>
      <c r="C6836" s="687" t="s">
        <v>1498</v>
      </c>
      <c r="D6836" s="125"/>
    </row>
    <row r="6837">
      <c r="A6837" s="122" t="s">
        <v>34103</v>
      </c>
      <c r="B6837" s="123">
        <v>892832.0</v>
      </c>
      <c r="C6837" s="687" t="s">
        <v>34104</v>
      </c>
      <c r="D6837" s="125"/>
    </row>
    <row r="6838">
      <c r="A6838" s="122" t="s">
        <v>6351</v>
      </c>
      <c r="B6838" s="123">
        <v>1434614.0</v>
      </c>
      <c r="C6838" s="687" t="s">
        <v>6352</v>
      </c>
      <c r="D6838" s="125"/>
    </row>
    <row r="6839">
      <c r="A6839" s="122" t="s">
        <v>12063</v>
      </c>
      <c r="B6839" s="123">
        <v>824410.0</v>
      </c>
      <c r="C6839" s="687" t="s">
        <v>12064</v>
      </c>
      <c r="D6839" s="125"/>
    </row>
    <row r="6840">
      <c r="A6840" s="122" t="s">
        <v>2973</v>
      </c>
      <c r="B6840" s="123">
        <v>1001233.0</v>
      </c>
      <c r="C6840" s="687" t="s">
        <v>2974</v>
      </c>
      <c r="D6840" s="125"/>
    </row>
    <row r="6841">
      <c r="A6841" s="122" t="s">
        <v>5500</v>
      </c>
      <c r="B6841" s="123">
        <v>1753368.0</v>
      </c>
      <c r="C6841" s="687" t="s">
        <v>5501</v>
      </c>
      <c r="D6841" s="125"/>
    </row>
    <row r="6842">
      <c r="A6842" s="122" t="s">
        <v>34105</v>
      </c>
      <c r="B6842" s="123">
        <v>1104280.0</v>
      </c>
      <c r="C6842" s="687" t="s">
        <v>34106</v>
      </c>
      <c r="D6842" s="125"/>
    </row>
    <row r="6843">
      <c r="A6843" s="122" t="s">
        <v>14500</v>
      </c>
      <c r="B6843" s="123">
        <v>897723.0</v>
      </c>
      <c r="C6843" s="687" t="s">
        <v>14501</v>
      </c>
      <c r="D6843" s="125"/>
    </row>
    <row r="6844">
      <c r="A6844" s="122" t="s">
        <v>13965</v>
      </c>
      <c r="B6844" s="123">
        <v>1121404.0</v>
      </c>
      <c r="C6844" s="687" t="s">
        <v>13966</v>
      </c>
      <c r="D6844" s="125"/>
    </row>
    <row r="6845">
      <c r="A6845" s="122" t="s">
        <v>15333</v>
      </c>
      <c r="B6845" s="123">
        <v>1121404.0</v>
      </c>
      <c r="C6845" s="687" t="s">
        <v>13966</v>
      </c>
      <c r="D6845" s="125"/>
    </row>
    <row r="6846">
      <c r="A6846" s="122" t="s">
        <v>2251</v>
      </c>
      <c r="B6846" s="123">
        <v>1548536.0</v>
      </c>
      <c r="C6846" s="687" t="s">
        <v>2252</v>
      </c>
      <c r="D6846" s="125"/>
    </row>
    <row r="6847">
      <c r="A6847" s="122" t="s">
        <v>6225</v>
      </c>
      <c r="B6847" s="123">
        <v>891478.0</v>
      </c>
      <c r="C6847" s="687" t="s">
        <v>6226</v>
      </c>
      <c r="D6847" s="125"/>
    </row>
    <row r="6848">
      <c r="A6848" s="122" t="s">
        <v>15768</v>
      </c>
      <c r="B6848" s="123">
        <v>1856689.0</v>
      </c>
      <c r="C6848" s="687" t="s">
        <v>15769</v>
      </c>
      <c r="D6848" s="125"/>
    </row>
    <row r="6849">
      <c r="A6849" s="122" t="s">
        <v>34107</v>
      </c>
      <c r="B6849" s="123">
        <v>1499275.0</v>
      </c>
      <c r="C6849" s="687" t="s">
        <v>34108</v>
      </c>
      <c r="D6849" s="125"/>
    </row>
    <row r="6850">
      <c r="A6850" s="122" t="s">
        <v>944</v>
      </c>
      <c r="B6850" s="123">
        <v>1417663.0</v>
      </c>
      <c r="C6850" s="687" t="s">
        <v>945</v>
      </c>
      <c r="D6850" s="125"/>
    </row>
    <row r="6851">
      <c r="A6851" s="122" t="s">
        <v>34109</v>
      </c>
      <c r="B6851" s="123">
        <v>1096759.0</v>
      </c>
      <c r="C6851" s="687" t="s">
        <v>34110</v>
      </c>
      <c r="D6851" s="125"/>
    </row>
    <row r="6852">
      <c r="A6852" s="122" t="s">
        <v>16052</v>
      </c>
      <c r="B6852" s="123">
        <v>1000184.0</v>
      </c>
      <c r="C6852" s="687" t="s">
        <v>16051</v>
      </c>
      <c r="D6852" s="125"/>
    </row>
    <row r="6853">
      <c r="A6853" s="122" t="s">
        <v>16050</v>
      </c>
      <c r="B6853" s="123">
        <v>1000184.0</v>
      </c>
      <c r="C6853" s="687" t="s">
        <v>16051</v>
      </c>
      <c r="D6853" s="125"/>
    </row>
    <row r="6854">
      <c r="A6854" s="122" t="s">
        <v>12554</v>
      </c>
      <c r="B6854" s="123">
        <v>885740.0</v>
      </c>
      <c r="C6854" s="687" t="s">
        <v>12555</v>
      </c>
      <c r="D6854" s="125"/>
    </row>
    <row r="6855">
      <c r="A6855" s="122" t="s">
        <v>12136</v>
      </c>
      <c r="B6855" s="123">
        <v>1377936.0</v>
      </c>
      <c r="C6855" s="687" t="s">
        <v>12137</v>
      </c>
      <c r="D6855" s="125"/>
    </row>
    <row r="6856">
      <c r="A6856" s="122" t="s">
        <v>11945</v>
      </c>
      <c r="B6856" s="123">
        <v>1377936.0</v>
      </c>
      <c r="C6856" s="687" t="s">
        <v>11946</v>
      </c>
      <c r="D6856" s="125"/>
    </row>
    <row r="6857">
      <c r="A6857" s="122" t="s">
        <v>681</v>
      </c>
      <c r="B6857" s="123">
        <v>1826681.0</v>
      </c>
      <c r="C6857" s="687" t="s">
        <v>682</v>
      </c>
      <c r="D6857" s="125"/>
    </row>
    <row r="6858">
      <c r="A6858" s="122" t="s">
        <v>2993</v>
      </c>
      <c r="B6858" s="123">
        <v>1826681.0</v>
      </c>
      <c r="C6858" s="687" t="s">
        <v>2994</v>
      </c>
      <c r="D6858" s="125"/>
    </row>
    <row r="6859">
      <c r="A6859" s="122" t="s">
        <v>15630</v>
      </c>
      <c r="B6859" s="123">
        <v>873303.0</v>
      </c>
      <c r="C6859" s="687" t="s">
        <v>15631</v>
      </c>
      <c r="D6859" s="125"/>
    </row>
    <row r="6860">
      <c r="A6860" s="122" t="s">
        <v>34111</v>
      </c>
      <c r="B6860" s="123">
        <v>1451167.0</v>
      </c>
      <c r="C6860" s="687" t="s">
        <v>34112</v>
      </c>
      <c r="D6860" s="125"/>
    </row>
    <row r="6861">
      <c r="A6861" s="122" t="s">
        <v>7791</v>
      </c>
      <c r="B6861" s="123">
        <v>314590.0</v>
      </c>
      <c r="C6861" s="687" t="s">
        <v>7792</v>
      </c>
      <c r="D6861" s="125"/>
    </row>
    <row r="6862">
      <c r="A6862" s="122" t="s">
        <v>8440</v>
      </c>
      <c r="B6862" s="123">
        <v>314590.0</v>
      </c>
      <c r="C6862" s="687" t="s">
        <v>8441</v>
      </c>
      <c r="D6862" s="125"/>
    </row>
    <row r="6863">
      <c r="A6863" s="122" t="s">
        <v>2007</v>
      </c>
      <c r="B6863" s="123">
        <v>1874315.0</v>
      </c>
      <c r="C6863" s="687" t="s">
        <v>2008</v>
      </c>
      <c r="D6863" s="125"/>
    </row>
    <row r="6864">
      <c r="A6864" s="122" t="s">
        <v>4239</v>
      </c>
      <c r="B6864" s="123">
        <v>1874315.0</v>
      </c>
      <c r="C6864" s="687" t="s">
        <v>4240</v>
      </c>
      <c r="D6864" s="125"/>
    </row>
    <row r="6865">
      <c r="A6865" s="122" t="s">
        <v>1962</v>
      </c>
      <c r="B6865" s="123">
        <v>1661600.0</v>
      </c>
      <c r="C6865" s="687" t="s">
        <v>1963</v>
      </c>
      <c r="D6865" s="125"/>
    </row>
    <row r="6866">
      <c r="A6866" s="122" t="s">
        <v>2785</v>
      </c>
      <c r="B6866" s="123">
        <v>1915403.0</v>
      </c>
      <c r="C6866" s="687" t="s">
        <v>2786</v>
      </c>
      <c r="D6866" s="125"/>
    </row>
    <row r="6867">
      <c r="A6867" s="122" t="s">
        <v>13439</v>
      </c>
      <c r="B6867" s="123">
        <v>907254.0</v>
      </c>
      <c r="C6867" s="687" t="s">
        <v>13440</v>
      </c>
      <c r="D6867" s="125"/>
    </row>
    <row r="6868">
      <c r="A6868" s="122" t="s">
        <v>6485</v>
      </c>
      <c r="B6868" s="123">
        <v>1160308.0</v>
      </c>
      <c r="C6868" s="687" t="s">
        <v>6486</v>
      </c>
      <c r="D6868" s="125"/>
    </row>
    <row r="6869">
      <c r="A6869" s="122" t="s">
        <v>4449</v>
      </c>
      <c r="B6869" s="123">
        <v>1789192.0</v>
      </c>
      <c r="C6869" s="687" t="s">
        <v>4450</v>
      </c>
      <c r="D6869" s="125"/>
    </row>
    <row r="6870">
      <c r="A6870" s="122" t="s">
        <v>3933</v>
      </c>
      <c r="B6870" s="123">
        <v>1894693.0</v>
      </c>
      <c r="C6870" s="687" t="s">
        <v>3934</v>
      </c>
      <c r="D6870" s="125"/>
    </row>
    <row r="6871">
      <c r="A6871" s="122" t="s">
        <v>1942</v>
      </c>
      <c r="B6871" s="123">
        <v>1894693.0</v>
      </c>
      <c r="C6871" s="687" t="s">
        <v>1943</v>
      </c>
      <c r="D6871" s="125"/>
    </row>
    <row r="6872">
      <c r="A6872" s="122" t="s">
        <v>11307</v>
      </c>
      <c r="B6872" s="123">
        <v>1883313.0</v>
      </c>
      <c r="C6872" s="687" t="s">
        <v>11308</v>
      </c>
      <c r="D6872" s="125"/>
    </row>
    <row r="6873">
      <c r="A6873" s="122" t="s">
        <v>3111</v>
      </c>
      <c r="B6873" s="123">
        <v>1647822.0</v>
      </c>
      <c r="C6873" s="687" t="s">
        <v>3112</v>
      </c>
      <c r="D6873" s="125"/>
    </row>
    <row r="6874">
      <c r="A6874" s="122" t="s">
        <v>12550</v>
      </c>
      <c r="B6874" s="123">
        <v>1816901.0</v>
      </c>
      <c r="C6874" s="687" t="s">
        <v>12551</v>
      </c>
      <c r="D6874" s="125"/>
    </row>
    <row r="6875">
      <c r="A6875" s="122" t="s">
        <v>10564</v>
      </c>
      <c r="B6875" s="123">
        <v>767405.0</v>
      </c>
      <c r="C6875" s="687" t="s">
        <v>10565</v>
      </c>
      <c r="D6875" s="125"/>
    </row>
    <row r="6876">
      <c r="A6876" s="122" t="s">
        <v>16242</v>
      </c>
      <c r="B6876" s="123">
        <v>1034054.0</v>
      </c>
      <c r="C6876" s="687" t="s">
        <v>16243</v>
      </c>
      <c r="D6876" s="125"/>
    </row>
    <row r="6877">
      <c r="A6877" s="122" t="s">
        <v>663</v>
      </c>
      <c r="B6877" s="123">
        <v>1408146.0</v>
      </c>
      <c r="C6877" s="687" t="s">
        <v>664</v>
      </c>
      <c r="D6877" s="125"/>
    </row>
    <row r="6878">
      <c r="A6878" s="122" t="s">
        <v>13527</v>
      </c>
      <c r="B6878" s="123">
        <v>918965.0</v>
      </c>
      <c r="C6878" s="687" t="s">
        <v>13528</v>
      </c>
      <c r="D6878" s="125"/>
    </row>
    <row r="6879">
      <c r="A6879" s="122" t="s">
        <v>16181</v>
      </c>
      <c r="B6879" s="123">
        <v>912603.0</v>
      </c>
      <c r="C6879" s="687" t="s">
        <v>16182</v>
      </c>
      <c r="D6879" s="125"/>
    </row>
    <row r="6880">
      <c r="A6880" s="122" t="s">
        <v>12435</v>
      </c>
      <c r="B6880" s="123">
        <v>1872525.0</v>
      </c>
      <c r="C6880" s="687" t="s">
        <v>12436</v>
      </c>
      <c r="D6880" s="125"/>
    </row>
    <row r="6881">
      <c r="A6881" s="122" t="s">
        <v>14044</v>
      </c>
      <c r="B6881" s="123">
        <v>87347.0</v>
      </c>
      <c r="C6881" s="687" t="s">
        <v>14045</v>
      </c>
      <c r="D6881" s="125"/>
    </row>
    <row r="6882">
      <c r="A6882" s="122" t="s">
        <v>6738</v>
      </c>
      <c r="B6882" s="123">
        <v>1578955.0</v>
      </c>
      <c r="C6882" s="687" t="s">
        <v>6739</v>
      </c>
      <c r="D6882" s="125"/>
    </row>
    <row r="6883">
      <c r="A6883" s="122" t="s">
        <v>13820</v>
      </c>
      <c r="B6883" s="123">
        <v>1578955.0</v>
      </c>
      <c r="C6883" s="687" t="s">
        <v>13821</v>
      </c>
      <c r="D6883" s="125"/>
    </row>
    <row r="6884">
      <c r="A6884" s="122" t="s">
        <v>10440</v>
      </c>
      <c r="B6884" s="123">
        <v>1727196.0</v>
      </c>
      <c r="C6884" s="687" t="s">
        <v>10441</v>
      </c>
      <c r="D6884" s="125"/>
    </row>
    <row r="6885">
      <c r="A6885" s="122" t="s">
        <v>13435</v>
      </c>
      <c r="B6885" s="123">
        <v>866729.0</v>
      </c>
      <c r="C6885" s="687" t="s">
        <v>13436</v>
      </c>
      <c r="D6885" s="125"/>
    </row>
    <row r="6886">
      <c r="A6886" s="122" t="s">
        <v>12500</v>
      </c>
      <c r="B6886" s="123">
        <v>1490978.0</v>
      </c>
      <c r="C6886" s="687" t="s">
        <v>12501</v>
      </c>
      <c r="D6886" s="125"/>
    </row>
    <row r="6887">
      <c r="A6887" s="122" t="s">
        <v>6672</v>
      </c>
      <c r="B6887" s="123">
        <v>830616.0</v>
      </c>
      <c r="C6887" s="687" t="s">
        <v>6673</v>
      </c>
      <c r="D6887" s="125"/>
    </row>
    <row r="6888">
      <c r="A6888" s="122" t="s">
        <v>6872</v>
      </c>
      <c r="B6888" s="123">
        <v>1819113.0</v>
      </c>
      <c r="C6888" s="687" t="s">
        <v>6873</v>
      </c>
      <c r="D6888" s="125"/>
    </row>
    <row r="6889">
      <c r="A6889" s="122" t="s">
        <v>4261</v>
      </c>
      <c r="B6889" s="123">
        <v>1753673.0</v>
      </c>
      <c r="C6889" s="687" t="s">
        <v>4262</v>
      </c>
      <c r="D6889" s="125"/>
    </row>
    <row r="6890">
      <c r="A6890" s="122" t="s">
        <v>2403</v>
      </c>
      <c r="B6890" s="123">
        <v>1276531.0</v>
      </c>
      <c r="C6890" s="687" t="s">
        <v>2404</v>
      </c>
      <c r="D6890" s="125"/>
    </row>
    <row r="6891">
      <c r="A6891" s="122" t="s">
        <v>4815</v>
      </c>
      <c r="B6891" s="123">
        <v>87802.0</v>
      </c>
      <c r="C6891" s="687" t="s">
        <v>4816</v>
      </c>
      <c r="D6891" s="125"/>
    </row>
    <row r="6892">
      <c r="A6892" s="122" t="s">
        <v>5901</v>
      </c>
      <c r="B6892" s="123">
        <v>1611746.0</v>
      </c>
      <c r="C6892" s="687" t="s">
        <v>5902</v>
      </c>
      <c r="D6892" s="125"/>
    </row>
    <row r="6893">
      <c r="A6893" s="122" t="s">
        <v>478</v>
      </c>
      <c r="B6893" s="123">
        <v>1772028.0</v>
      </c>
      <c r="C6893" s="687" t="s">
        <v>479</v>
      </c>
      <c r="D6893" s="125"/>
    </row>
    <row r="6894">
      <c r="A6894" s="122" t="s">
        <v>34113</v>
      </c>
      <c r="B6894" s="123">
        <v>831489.0</v>
      </c>
      <c r="C6894" s="687" t="s">
        <v>34114</v>
      </c>
      <c r="D6894" s="125"/>
    </row>
    <row r="6895">
      <c r="A6895" s="122" t="s">
        <v>12340</v>
      </c>
      <c r="B6895" s="123">
        <v>1483934.0</v>
      </c>
      <c r="C6895" s="687" t="s">
        <v>12341</v>
      </c>
      <c r="D6895" s="125"/>
    </row>
    <row r="6896">
      <c r="A6896" s="122" t="s">
        <v>14670</v>
      </c>
      <c r="B6896" s="123">
        <v>1483934.0</v>
      </c>
      <c r="C6896" s="687" t="s">
        <v>14671</v>
      </c>
      <c r="D6896" s="125"/>
    </row>
    <row r="6897">
      <c r="A6897" s="122" t="s">
        <v>3628</v>
      </c>
      <c r="B6897" s="123">
        <v>88000.0</v>
      </c>
      <c r="C6897" s="687" t="s">
        <v>3629</v>
      </c>
      <c r="D6897" s="125"/>
    </row>
    <row r="6898">
      <c r="A6898" s="122" t="s">
        <v>14358</v>
      </c>
      <c r="B6898" s="123">
        <v>825542.0</v>
      </c>
      <c r="C6898" s="687" t="s">
        <v>14359</v>
      </c>
      <c r="D6898" s="125"/>
    </row>
    <row r="6899">
      <c r="A6899" s="122" t="s">
        <v>6510</v>
      </c>
      <c r="B6899" s="123">
        <v>1604950.0</v>
      </c>
      <c r="C6899" s="687" t="s">
        <v>6511</v>
      </c>
      <c r="D6899" s="125"/>
    </row>
    <row r="6900">
      <c r="A6900" s="122" t="s">
        <v>2921</v>
      </c>
      <c r="B6900" s="123">
        <v>1893325.0</v>
      </c>
      <c r="C6900" s="687" t="s">
        <v>2922</v>
      </c>
      <c r="D6900" s="125"/>
    </row>
    <row r="6901">
      <c r="A6901" s="122" t="s">
        <v>8678</v>
      </c>
      <c r="B6901" s="123">
        <v>1893325.0</v>
      </c>
      <c r="C6901" s="687" t="s">
        <v>8679</v>
      </c>
      <c r="D6901" s="125"/>
    </row>
    <row r="6902">
      <c r="A6902" s="122" t="s">
        <v>8777</v>
      </c>
      <c r="B6902" s="123">
        <v>1893325.0</v>
      </c>
      <c r="C6902" s="687" t="s">
        <v>8778</v>
      </c>
      <c r="D6902" s="125"/>
    </row>
    <row r="6903">
      <c r="A6903" s="122" t="s">
        <v>7721</v>
      </c>
      <c r="B6903" s="123">
        <v>16859.0</v>
      </c>
      <c r="C6903" s="687" t="s">
        <v>7722</v>
      </c>
      <c r="D6903" s="125"/>
    </row>
    <row r="6904">
      <c r="A6904" s="122" t="s">
        <v>4098</v>
      </c>
      <c r="B6904" s="123">
        <v>1674227.0</v>
      </c>
      <c r="C6904" s="687" t="s">
        <v>4099</v>
      </c>
      <c r="D6904" s="125"/>
    </row>
    <row r="6905">
      <c r="A6905" s="122" t="s">
        <v>4947</v>
      </c>
      <c r="B6905" s="123">
        <v>1178253.0</v>
      </c>
      <c r="C6905" s="687" t="s">
        <v>4948</v>
      </c>
      <c r="D6905" s="125"/>
    </row>
    <row r="6906">
      <c r="A6906" s="122" t="s">
        <v>8928</v>
      </c>
      <c r="B6906" s="123">
        <v>1846975.0</v>
      </c>
      <c r="C6906" s="687" t="s">
        <v>8929</v>
      </c>
      <c r="D6906" s="125"/>
    </row>
    <row r="6907">
      <c r="A6907" s="122" t="s">
        <v>13695</v>
      </c>
      <c r="B6907" s="123">
        <v>1703399.0</v>
      </c>
      <c r="C6907" s="687" t="s">
        <v>13696</v>
      </c>
      <c r="D6907" s="125"/>
    </row>
    <row r="6908">
      <c r="A6908" s="122" t="s">
        <v>16762</v>
      </c>
      <c r="B6908" s="123">
        <v>88121.0</v>
      </c>
      <c r="C6908" s="687" t="s">
        <v>16763</v>
      </c>
      <c r="D6908" s="125"/>
    </row>
    <row r="6909">
      <c r="A6909" s="122" t="s">
        <v>8637</v>
      </c>
      <c r="B6909" s="123">
        <v>1231346.0</v>
      </c>
      <c r="C6909" s="687" t="s">
        <v>8638</v>
      </c>
      <c r="D6909" s="125"/>
    </row>
    <row r="6910">
      <c r="A6910" s="122" t="s">
        <v>5353</v>
      </c>
      <c r="B6910" s="123">
        <v>1019671.0</v>
      </c>
      <c r="C6910" s="687" t="s">
        <v>5354</v>
      </c>
      <c r="D6910" s="125"/>
    </row>
    <row r="6911">
      <c r="A6911" s="122" t="s">
        <v>12110</v>
      </c>
      <c r="B6911" s="123">
        <v>730708.0</v>
      </c>
      <c r="C6911" s="687" t="s">
        <v>12111</v>
      </c>
      <c r="D6911" s="125"/>
    </row>
    <row r="6912">
      <c r="A6912" s="122" t="s">
        <v>715</v>
      </c>
      <c r="B6912" s="123">
        <v>1106213.0</v>
      </c>
      <c r="C6912" s="687" t="s">
        <v>716</v>
      </c>
      <c r="D6912" s="125"/>
    </row>
    <row r="6913">
      <c r="A6913" s="122" t="s">
        <v>15169</v>
      </c>
      <c r="B6913" s="123">
        <v>1137789.0</v>
      </c>
      <c r="C6913" s="687" t="s">
        <v>15170</v>
      </c>
      <c r="D6913" s="125"/>
    </row>
    <row r="6914">
      <c r="A6914" s="122" t="s">
        <v>34115</v>
      </c>
      <c r="B6914" s="123">
        <v>1060736.0</v>
      </c>
      <c r="C6914" s="687" t="s">
        <v>34116</v>
      </c>
      <c r="D6914" s="125"/>
    </row>
    <row r="6915">
      <c r="A6915" s="122" t="s">
        <v>13242</v>
      </c>
      <c r="B6915" s="123">
        <v>1012100.0</v>
      </c>
      <c r="C6915" s="687" t="s">
        <v>13243</v>
      </c>
      <c r="D6915" s="125"/>
    </row>
    <row r="6916">
      <c r="A6916" s="122" t="s">
        <v>2554</v>
      </c>
      <c r="B6916" s="123">
        <v>1763660.0</v>
      </c>
      <c r="C6916" s="687" t="s">
        <v>2555</v>
      </c>
      <c r="D6916" s="125"/>
    </row>
    <row r="6917">
      <c r="A6917" s="122" t="s">
        <v>14009</v>
      </c>
      <c r="B6917" s="123">
        <v>1564902.0</v>
      </c>
      <c r="C6917" s="687" t="s">
        <v>14010</v>
      </c>
      <c r="D6917" s="125"/>
    </row>
    <row r="6918">
      <c r="A6918" s="122" t="s">
        <v>2799</v>
      </c>
      <c r="B6918" s="123">
        <v>1633441.0</v>
      </c>
      <c r="C6918" s="687" t="s">
        <v>2800</v>
      </c>
      <c r="D6918" s="125"/>
    </row>
    <row r="6919">
      <c r="A6919" s="122" t="s">
        <v>436</v>
      </c>
      <c r="B6919" s="123">
        <v>925661.0</v>
      </c>
      <c r="C6919" s="687" t="s">
        <v>437</v>
      </c>
      <c r="D6919" s="125"/>
    </row>
    <row r="6920">
      <c r="A6920" s="122" t="s">
        <v>2484</v>
      </c>
      <c r="B6920" s="123">
        <v>1703157.0</v>
      </c>
      <c r="C6920" s="687" t="s">
        <v>2485</v>
      </c>
      <c r="D6920" s="125"/>
    </row>
    <row r="6921">
      <c r="A6921" s="122" t="s">
        <v>7546</v>
      </c>
      <c r="B6921" s="123">
        <v>1468666.0</v>
      </c>
      <c r="C6921" s="687" t="s">
        <v>7547</v>
      </c>
      <c r="D6921" s="125"/>
    </row>
    <row r="6922">
      <c r="A6922" s="122" t="s">
        <v>12178</v>
      </c>
      <c r="B6922" s="123">
        <v>818677.0</v>
      </c>
      <c r="C6922" s="687" t="s">
        <v>12179</v>
      </c>
      <c r="D6922" s="125"/>
    </row>
    <row r="6923">
      <c r="A6923" s="122" t="s">
        <v>7636</v>
      </c>
      <c r="B6923" s="123">
        <v>318673.0</v>
      </c>
      <c r="C6923" s="687" t="s">
        <v>7637</v>
      </c>
      <c r="D6923" s="125"/>
    </row>
    <row r="6924">
      <c r="A6924" s="122" t="s">
        <v>3588</v>
      </c>
      <c r="B6924" s="123">
        <v>1017491.0</v>
      </c>
      <c r="C6924" s="687" t="s">
        <v>3589</v>
      </c>
      <c r="D6924" s="125"/>
    </row>
    <row r="6925">
      <c r="A6925" s="122" t="s">
        <v>4579</v>
      </c>
      <c r="B6925" s="123">
        <v>1726445.0</v>
      </c>
      <c r="C6925" s="687" t="s">
        <v>4580</v>
      </c>
      <c r="D6925" s="125"/>
    </row>
    <row r="6926">
      <c r="A6926" s="122" t="s">
        <v>14666</v>
      </c>
      <c r="B6926" s="123">
        <v>350894.0</v>
      </c>
      <c r="C6926" s="687" t="s">
        <v>14667</v>
      </c>
      <c r="D6926" s="125"/>
    </row>
    <row r="6927">
      <c r="A6927" s="122" t="s">
        <v>12475</v>
      </c>
      <c r="B6927" s="123">
        <v>1320414.0</v>
      </c>
      <c r="C6927" s="687" t="s">
        <v>12476</v>
      </c>
      <c r="D6927" s="125"/>
    </row>
    <row r="6928">
      <c r="A6928" s="122" t="s">
        <v>7532</v>
      </c>
      <c r="B6928" s="123">
        <v>1693256.0</v>
      </c>
      <c r="C6928" s="687" t="s">
        <v>7533</v>
      </c>
      <c r="D6928" s="125"/>
    </row>
    <row r="6929">
      <c r="A6929" s="122" t="s">
        <v>15374</v>
      </c>
      <c r="B6929" s="123">
        <v>230557.0</v>
      </c>
      <c r="C6929" s="687" t="s">
        <v>15375</v>
      </c>
      <c r="D6929" s="125"/>
    </row>
    <row r="6930">
      <c r="A6930" s="122" t="s">
        <v>3978</v>
      </c>
      <c r="B6930" s="123">
        <v>1794783.0</v>
      </c>
      <c r="C6930" s="687" t="s">
        <v>3979</v>
      </c>
      <c r="D6930" s="125"/>
    </row>
    <row r="6931">
      <c r="A6931" s="122" t="s">
        <v>2504</v>
      </c>
      <c r="B6931" s="123">
        <v>1909417.0</v>
      </c>
      <c r="C6931" s="687" t="s">
        <v>2505</v>
      </c>
      <c r="D6931" s="125"/>
    </row>
    <row r="6932">
      <c r="A6932" s="122" t="s">
        <v>3169</v>
      </c>
      <c r="B6932" s="123">
        <v>1390478.0</v>
      </c>
      <c r="C6932" s="687" t="s">
        <v>3170</v>
      </c>
      <c r="D6932" s="125"/>
    </row>
    <row r="6933">
      <c r="A6933" s="122" t="s">
        <v>727</v>
      </c>
      <c r="B6933" s="123">
        <v>1896049.0</v>
      </c>
      <c r="C6933" s="687" t="s">
        <v>728</v>
      </c>
      <c r="D6933" s="125"/>
    </row>
    <row r="6934">
      <c r="A6934" s="122" t="s">
        <v>3295</v>
      </c>
      <c r="B6934" s="123">
        <v>1896049.0</v>
      </c>
      <c r="C6934" s="687" t="s">
        <v>3296</v>
      </c>
      <c r="D6934" s="125"/>
    </row>
    <row r="6935">
      <c r="A6935" s="122" t="s">
        <v>4114</v>
      </c>
      <c r="B6935" s="123">
        <v>1333822.0</v>
      </c>
      <c r="C6935" s="687" t="s">
        <v>4115</v>
      </c>
      <c r="D6935" s="125"/>
    </row>
    <row r="6936">
      <c r="A6936" s="122" t="s">
        <v>13859</v>
      </c>
      <c r="B6936" s="123">
        <v>1554859.0</v>
      </c>
      <c r="C6936" s="687" t="s">
        <v>13860</v>
      </c>
      <c r="D6936" s="125"/>
    </row>
    <row r="6937">
      <c r="A6937" s="122" t="s">
        <v>1313</v>
      </c>
      <c r="B6937" s="123">
        <v>1860871.0</v>
      </c>
      <c r="C6937" s="687" t="s">
        <v>1314</v>
      </c>
      <c r="D6937" s="125"/>
    </row>
    <row r="6938">
      <c r="A6938" s="122" t="s">
        <v>6179</v>
      </c>
      <c r="B6938" s="123">
        <v>1860871.0</v>
      </c>
      <c r="C6938" s="687" t="s">
        <v>6180</v>
      </c>
      <c r="D6938" s="125"/>
    </row>
    <row r="6939">
      <c r="A6939" s="122" t="s">
        <v>9118</v>
      </c>
      <c r="B6939" s="123">
        <v>1860871.0</v>
      </c>
      <c r="C6939" s="687" t="s">
        <v>9119</v>
      </c>
      <c r="D6939" s="125"/>
    </row>
    <row r="6940">
      <c r="A6940" s="122" t="s">
        <v>14808</v>
      </c>
      <c r="B6940" s="123">
        <v>1032208.0</v>
      </c>
      <c r="C6940" s="687" t="s">
        <v>14809</v>
      </c>
      <c r="D6940" s="125"/>
    </row>
    <row r="6941">
      <c r="A6941" s="122" t="s">
        <v>12278</v>
      </c>
      <c r="B6941" s="123">
        <v>1032208.0</v>
      </c>
      <c r="C6941" s="687" t="s">
        <v>12279</v>
      </c>
      <c r="D6941" s="125"/>
    </row>
    <row r="6942">
      <c r="A6942" s="122" t="s">
        <v>9391</v>
      </c>
      <c r="B6942" s="123">
        <v>1831840.0</v>
      </c>
      <c r="C6942" s="687" t="s">
        <v>9392</v>
      </c>
      <c r="D6942" s="125"/>
    </row>
    <row r="6943">
      <c r="A6943" s="122" t="s">
        <v>11311</v>
      </c>
      <c r="B6943" s="123">
        <v>88941.0</v>
      </c>
      <c r="C6943" s="687" t="s">
        <v>11312</v>
      </c>
      <c r="D6943" s="125"/>
    </row>
    <row r="6944">
      <c r="A6944" s="122" t="s">
        <v>10056</v>
      </c>
      <c r="B6944" s="123">
        <v>1834048.0</v>
      </c>
      <c r="C6944" s="687" t="s">
        <v>10057</v>
      </c>
      <c r="D6944" s="125"/>
    </row>
    <row r="6945">
      <c r="A6945" s="122" t="s">
        <v>7524</v>
      </c>
      <c r="B6945" s="123">
        <v>1708715.0</v>
      </c>
      <c r="C6945" s="687" t="s">
        <v>7525</v>
      </c>
      <c r="D6945" s="125"/>
    </row>
    <row r="6946">
      <c r="A6946" s="122" t="s">
        <v>14234</v>
      </c>
      <c r="B6946" s="123">
        <v>88948.0</v>
      </c>
      <c r="C6946" s="687" t="s">
        <v>14235</v>
      </c>
      <c r="D6946" s="125"/>
    </row>
    <row r="6947">
      <c r="A6947" s="122" t="s">
        <v>14208</v>
      </c>
      <c r="B6947" s="123">
        <v>88948.0</v>
      </c>
      <c r="C6947" s="687" t="s">
        <v>14209</v>
      </c>
      <c r="D6947" s="125"/>
    </row>
    <row r="6948">
      <c r="A6948" s="122" t="s">
        <v>3622</v>
      </c>
      <c r="B6948" s="123">
        <v>1680378.0</v>
      </c>
      <c r="C6948" s="687" t="s">
        <v>3623</v>
      </c>
      <c r="D6948" s="125"/>
    </row>
    <row r="6949">
      <c r="A6949" s="122" t="s">
        <v>3289</v>
      </c>
      <c r="B6949" s="123">
        <v>1711012.0</v>
      </c>
      <c r="C6949" s="687" t="s">
        <v>3290</v>
      </c>
      <c r="D6949" s="125"/>
    </row>
    <row r="6950">
      <c r="A6950" s="122" t="s">
        <v>13354</v>
      </c>
      <c r="B6950" s="123">
        <v>1477294.0</v>
      </c>
      <c r="C6950" s="687" t="s">
        <v>13355</v>
      </c>
      <c r="D6950" s="125"/>
    </row>
    <row r="6951">
      <c r="A6951" s="122" t="s">
        <v>3518</v>
      </c>
      <c r="B6951" s="123">
        <v>1829802.0</v>
      </c>
      <c r="C6951" s="687" t="s">
        <v>3519</v>
      </c>
      <c r="D6951" s="125"/>
    </row>
    <row r="6952">
      <c r="A6952" s="122" t="s">
        <v>3109</v>
      </c>
      <c r="B6952" s="123">
        <v>1616543.0</v>
      </c>
      <c r="C6952" s="687" t="s">
        <v>3110</v>
      </c>
      <c r="D6952" s="125"/>
    </row>
    <row r="6953">
      <c r="A6953" s="122" t="s">
        <v>14563</v>
      </c>
      <c r="B6953" s="123">
        <v>310142.0</v>
      </c>
      <c r="C6953" s="687" t="s">
        <v>14564</v>
      </c>
      <c r="D6953" s="125"/>
    </row>
    <row r="6954">
      <c r="A6954" s="122" t="s">
        <v>3107</v>
      </c>
      <c r="B6954" s="123">
        <v>1790177.0</v>
      </c>
      <c r="C6954" s="687" t="s">
        <v>3108</v>
      </c>
      <c r="D6954" s="125"/>
    </row>
    <row r="6955">
      <c r="A6955" s="122" t="s">
        <v>3994</v>
      </c>
      <c r="B6955" s="123">
        <v>896494.0</v>
      </c>
      <c r="C6955" s="687" t="s">
        <v>3995</v>
      </c>
      <c r="D6955" s="125"/>
    </row>
    <row r="6956">
      <c r="A6956" s="122" t="s">
        <v>5640</v>
      </c>
      <c r="B6956" s="123">
        <v>1494891.0</v>
      </c>
      <c r="C6956" s="687" t="s">
        <v>5641</v>
      </c>
      <c r="D6956" s="125"/>
    </row>
    <row r="6957">
      <c r="A6957" s="122" t="s">
        <v>14804</v>
      </c>
      <c r="B6957" s="123">
        <v>312070.0</v>
      </c>
      <c r="C6957" s="687" t="s">
        <v>14805</v>
      </c>
      <c r="D6957" s="125"/>
    </row>
    <row r="6958">
      <c r="A6958" s="122" t="s">
        <v>5129</v>
      </c>
      <c r="B6958" s="123">
        <v>1810467.0</v>
      </c>
      <c r="C6958" s="687" t="s">
        <v>5130</v>
      </c>
      <c r="D6958" s="125"/>
    </row>
    <row r="6959">
      <c r="A6959" s="122" t="s">
        <v>2911</v>
      </c>
      <c r="B6959" s="123">
        <v>1854270.0</v>
      </c>
      <c r="C6959" s="687" t="s">
        <v>2912</v>
      </c>
      <c r="D6959" s="125"/>
    </row>
    <row r="6960">
      <c r="A6960" s="122" t="s">
        <v>1807</v>
      </c>
      <c r="B6960" s="123">
        <v>1358633.0</v>
      </c>
      <c r="C6960" s="687" t="s">
        <v>1808</v>
      </c>
      <c r="D6960" s="125"/>
    </row>
    <row r="6961">
      <c r="A6961" s="122" t="s">
        <v>12596</v>
      </c>
      <c r="B6961" s="123">
        <v>1583708.0</v>
      </c>
      <c r="C6961" s="687" t="s">
        <v>12597</v>
      </c>
      <c r="D6961" s="125"/>
    </row>
    <row r="6962">
      <c r="A6962" s="122" t="s">
        <v>4758</v>
      </c>
      <c r="B6962" s="123">
        <v>1517130.0</v>
      </c>
      <c r="C6962" s="687" t="s">
        <v>4759</v>
      </c>
      <c r="D6962" s="125"/>
    </row>
    <row r="6963">
      <c r="A6963" s="122" t="s">
        <v>561</v>
      </c>
      <c r="B6963" s="123">
        <v>1605888.0</v>
      </c>
      <c r="C6963" s="687" t="s">
        <v>562</v>
      </c>
      <c r="D6963" s="125"/>
    </row>
    <row r="6964">
      <c r="A6964" s="122" t="s">
        <v>5464</v>
      </c>
      <c r="B6964" s="123">
        <v>1383395.0</v>
      </c>
      <c r="C6964" s="687" t="s">
        <v>5465</v>
      </c>
      <c r="D6964" s="125"/>
    </row>
    <row r="6965">
      <c r="A6965" s="122" t="s">
        <v>3957</v>
      </c>
      <c r="B6965" s="123">
        <v>1609809.0</v>
      </c>
      <c r="C6965" s="687" t="s">
        <v>3958</v>
      </c>
      <c r="D6965" s="125"/>
    </row>
    <row r="6966">
      <c r="A6966" s="122" t="s">
        <v>16156</v>
      </c>
      <c r="B6966" s="123">
        <v>1604477.0</v>
      </c>
      <c r="C6966" s="687" t="s">
        <v>16157</v>
      </c>
      <c r="D6966" s="125"/>
    </row>
    <row r="6967">
      <c r="A6967" s="122" t="s">
        <v>8095</v>
      </c>
      <c r="B6967" s="123">
        <v>1628063.0</v>
      </c>
      <c r="C6967" s="687" t="s">
        <v>8096</v>
      </c>
      <c r="D6967" s="125"/>
    </row>
    <row r="6968">
      <c r="A6968" s="122" t="s">
        <v>2919</v>
      </c>
      <c r="B6968" s="123">
        <v>1491434.0</v>
      </c>
      <c r="C6968" s="687" t="s">
        <v>2920</v>
      </c>
      <c r="D6968" s="125"/>
    </row>
    <row r="6969">
      <c r="A6969" s="122" t="s">
        <v>14699</v>
      </c>
      <c r="B6969" s="123">
        <v>89089.0</v>
      </c>
      <c r="C6969" s="687" t="s">
        <v>14700</v>
      </c>
      <c r="D6969" s="125"/>
    </row>
    <row r="6970">
      <c r="A6970" s="122" t="s">
        <v>7571</v>
      </c>
      <c r="B6970" s="123">
        <v>945394.0</v>
      </c>
      <c r="C6970" s="687" t="s">
        <v>7572</v>
      </c>
      <c r="D6970" s="125"/>
    </row>
    <row r="6971">
      <c r="A6971" s="122" t="s">
        <v>16656</v>
      </c>
      <c r="B6971" s="123">
        <v>1373715.0</v>
      </c>
      <c r="C6971" s="687" t="s">
        <v>16657</v>
      </c>
      <c r="D6971" s="125"/>
    </row>
    <row r="6972">
      <c r="A6972" s="122" t="s">
        <v>14615</v>
      </c>
      <c r="B6972" s="123">
        <v>1430723.0</v>
      </c>
      <c r="C6972" s="687" t="s">
        <v>14616</v>
      </c>
      <c r="D6972" s="125"/>
    </row>
    <row r="6973">
      <c r="A6973" s="122" t="s">
        <v>10065</v>
      </c>
      <c r="B6973" s="123">
        <v>89140.0</v>
      </c>
      <c r="C6973" s="687" t="s">
        <v>10066</v>
      </c>
      <c r="D6973" s="125"/>
    </row>
    <row r="6974">
      <c r="A6974" s="122" t="s">
        <v>4174</v>
      </c>
      <c r="B6974" s="123">
        <v>1819142.0</v>
      </c>
      <c r="C6974" s="687" t="s">
        <v>4175</v>
      </c>
      <c r="D6974" s="125"/>
    </row>
    <row r="6975">
      <c r="A6975" s="122" t="s">
        <v>6974</v>
      </c>
      <c r="B6975" s="123">
        <v>1837824.0</v>
      </c>
      <c r="C6975" s="687" t="s">
        <v>6975</v>
      </c>
      <c r="D6975" s="125"/>
    </row>
    <row r="6976">
      <c r="A6976" s="122" t="s">
        <v>34117</v>
      </c>
      <c r="B6976" s="123">
        <v>1056757.0</v>
      </c>
      <c r="C6976" s="687" t="s">
        <v>34118</v>
      </c>
      <c r="D6976" s="125"/>
    </row>
    <row r="6977">
      <c r="A6977" s="122" t="s">
        <v>10217</v>
      </c>
      <c r="B6977" s="123">
        <v>1662991.0</v>
      </c>
      <c r="C6977" s="687" t="s">
        <v>10218</v>
      </c>
      <c r="D6977" s="125"/>
    </row>
    <row r="6978">
      <c r="A6978" s="122" t="s">
        <v>9566</v>
      </c>
      <c r="B6978" s="123">
        <v>1289877.0</v>
      </c>
      <c r="C6978" s="687" t="s">
        <v>9567</v>
      </c>
      <c r="D6978" s="125"/>
    </row>
    <row r="6979">
      <c r="A6979" s="122" t="s">
        <v>34119</v>
      </c>
      <c r="B6979" s="123">
        <v>1086313.0</v>
      </c>
      <c r="C6979" s="687" t="s">
        <v>34120</v>
      </c>
      <c r="D6979" s="125"/>
    </row>
    <row r="6980">
      <c r="A6980" s="122" t="s">
        <v>5636</v>
      </c>
      <c r="B6980" s="123">
        <v>1878057.0</v>
      </c>
      <c r="C6980" s="687" t="s">
        <v>5637</v>
      </c>
      <c r="D6980" s="125"/>
    </row>
    <row r="6981">
      <c r="A6981" s="122" t="s">
        <v>14947</v>
      </c>
      <c r="B6981" s="123">
        <v>1620533.0</v>
      </c>
      <c r="C6981" s="687" t="s">
        <v>14948</v>
      </c>
      <c r="D6981" s="125"/>
    </row>
    <row r="6982">
      <c r="A6982" s="122" t="s">
        <v>4772</v>
      </c>
      <c r="B6982" s="123">
        <v>1784851.0</v>
      </c>
      <c r="C6982" s="687" t="s">
        <v>4773</v>
      </c>
      <c r="D6982" s="125"/>
    </row>
    <row r="6983">
      <c r="A6983" s="122" t="s">
        <v>1343</v>
      </c>
      <c r="B6983" s="123">
        <v>1816233.0</v>
      </c>
      <c r="C6983" s="687" t="s">
        <v>1344</v>
      </c>
      <c r="D6983" s="125"/>
    </row>
    <row r="6984">
      <c r="A6984" s="122" t="s">
        <v>4026</v>
      </c>
      <c r="B6984" s="123">
        <v>1816233.0</v>
      </c>
      <c r="C6984" s="687" t="s">
        <v>4027</v>
      </c>
      <c r="D6984" s="125"/>
    </row>
    <row r="6985">
      <c r="A6985" s="122" t="s">
        <v>34121</v>
      </c>
      <c r="B6985" s="123">
        <v>819926.0</v>
      </c>
      <c r="C6985" s="687" t="s">
        <v>34122</v>
      </c>
      <c r="D6985" s="125"/>
    </row>
    <row r="6986">
      <c r="A6986" s="122" t="s">
        <v>34123</v>
      </c>
      <c r="B6986" s="123">
        <v>1644488.0</v>
      </c>
      <c r="C6986" s="687" t="s">
        <v>34124</v>
      </c>
      <c r="D6986" s="125"/>
    </row>
    <row r="6987">
      <c r="A6987" s="122" t="s">
        <v>4074</v>
      </c>
      <c r="B6987" s="123">
        <v>1025561.0</v>
      </c>
      <c r="C6987" s="687" t="s">
        <v>4075</v>
      </c>
      <c r="D6987" s="125"/>
    </row>
    <row r="6988">
      <c r="A6988" s="122" t="s">
        <v>1805</v>
      </c>
      <c r="B6988" s="123">
        <v>1737995.0</v>
      </c>
      <c r="C6988" s="687" t="s">
        <v>1806</v>
      </c>
      <c r="D6988" s="125"/>
    </row>
    <row r="6989">
      <c r="A6989" s="122" t="s">
        <v>2657</v>
      </c>
      <c r="B6989" s="123">
        <v>1737995.0</v>
      </c>
      <c r="C6989" s="687" t="s">
        <v>2658</v>
      </c>
      <c r="D6989" s="125"/>
    </row>
    <row r="6990">
      <c r="A6990" s="122" t="s">
        <v>8238</v>
      </c>
      <c r="B6990" s="123">
        <v>1680367.0</v>
      </c>
      <c r="C6990" s="687" t="s">
        <v>8239</v>
      </c>
      <c r="D6990" s="125"/>
    </row>
    <row r="6991">
      <c r="A6991" s="122" t="s">
        <v>16457</v>
      </c>
      <c r="B6991" s="123">
        <v>1760717.0</v>
      </c>
      <c r="C6991" s="687" t="s">
        <v>16458</v>
      </c>
      <c r="D6991" s="125"/>
    </row>
    <row r="6992">
      <c r="A6992" s="122" t="s">
        <v>12925</v>
      </c>
      <c r="B6992" s="123">
        <v>1306965.0</v>
      </c>
      <c r="C6992" s="687" t="s">
        <v>12926</v>
      </c>
      <c r="D6992" s="125"/>
    </row>
    <row r="6993">
      <c r="A6993" s="122" t="s">
        <v>14569</v>
      </c>
      <c r="B6993" s="123">
        <v>1306965.0</v>
      </c>
      <c r="C6993" s="687" t="s">
        <v>12926</v>
      </c>
      <c r="D6993" s="125"/>
    </row>
    <row r="6994">
      <c r="A6994" s="122" t="s">
        <v>11459</v>
      </c>
      <c r="B6994" s="123">
        <v>354963.0</v>
      </c>
      <c r="C6994" s="687" t="s">
        <v>11460</v>
      </c>
      <c r="D6994" s="125"/>
    </row>
    <row r="6995">
      <c r="A6995" s="122" t="s">
        <v>7565</v>
      </c>
      <c r="B6995" s="123">
        <v>1753931.0</v>
      </c>
      <c r="C6995" s="687" t="s">
        <v>7566</v>
      </c>
      <c r="D6995" s="125"/>
    </row>
    <row r="6996">
      <c r="A6996" s="122" t="s">
        <v>16430</v>
      </c>
      <c r="B6996" s="123">
        <v>89800.0</v>
      </c>
      <c r="C6996" s="687" t="s">
        <v>16431</v>
      </c>
      <c r="D6996" s="125"/>
    </row>
    <row r="6997">
      <c r="A6997" s="122" t="s">
        <v>14902</v>
      </c>
      <c r="B6997" s="123">
        <v>1794669.0</v>
      </c>
      <c r="C6997" s="687" t="s">
        <v>14903</v>
      </c>
      <c r="D6997" s="125"/>
    </row>
    <row r="6998">
      <c r="A6998" s="122" t="s">
        <v>6696</v>
      </c>
      <c r="B6998" s="123">
        <v>1675634.0</v>
      </c>
      <c r="C6998" s="687" t="s">
        <v>6697</v>
      </c>
      <c r="D6998" s="125"/>
    </row>
    <row r="6999">
      <c r="A6999" s="122" t="s">
        <v>1473</v>
      </c>
      <c r="B6999" s="123">
        <v>1792799.0</v>
      </c>
      <c r="C6999" s="687" t="s">
        <v>1474</v>
      </c>
      <c r="D6999" s="125"/>
    </row>
    <row r="7000">
      <c r="A7000" s="122" t="s">
        <v>2131</v>
      </c>
      <c r="B7000" s="123">
        <v>1300734.0</v>
      </c>
      <c r="C7000" s="687" t="s">
        <v>2132</v>
      </c>
      <c r="D7000" s="125"/>
    </row>
    <row r="7001">
      <c r="A7001" s="122" t="s">
        <v>13954</v>
      </c>
      <c r="B7001" s="123">
        <v>1281721.0</v>
      </c>
      <c r="C7001" s="687" t="s">
        <v>13955</v>
      </c>
      <c r="D7001" s="125"/>
    </row>
    <row r="7002">
      <c r="A7002" s="122" t="s">
        <v>9515</v>
      </c>
      <c r="B7002" s="123">
        <v>1281721.0</v>
      </c>
      <c r="C7002" s="687" t="s">
        <v>9516</v>
      </c>
      <c r="D7002" s="125"/>
    </row>
    <row r="7003">
      <c r="A7003" s="122" t="s">
        <v>10262</v>
      </c>
      <c r="B7003" s="123">
        <v>1831651.0</v>
      </c>
      <c r="C7003" s="687" t="s">
        <v>10263</v>
      </c>
      <c r="D7003" s="125"/>
    </row>
    <row r="7004">
      <c r="A7004" s="122" t="s">
        <v>16272</v>
      </c>
      <c r="B7004" s="123">
        <v>1642545.0</v>
      </c>
      <c r="C7004" s="687" t="s">
        <v>16273</v>
      </c>
      <c r="D7004" s="125"/>
    </row>
    <row r="7005">
      <c r="A7005" s="122" t="s">
        <v>12463</v>
      </c>
      <c r="B7005" s="123">
        <v>895447.0</v>
      </c>
      <c r="C7005" s="687" t="s">
        <v>12464</v>
      </c>
      <c r="D7005" s="125"/>
    </row>
    <row r="7006">
      <c r="A7006" s="122" t="s">
        <v>1579</v>
      </c>
      <c r="B7006" s="123">
        <v>1927077.0</v>
      </c>
      <c r="C7006" s="687" t="s">
        <v>1580</v>
      </c>
      <c r="D7006" s="125"/>
    </row>
    <row r="7007">
      <c r="A7007" s="122" t="s">
        <v>15069</v>
      </c>
      <c r="B7007" s="123">
        <v>1594805.0</v>
      </c>
      <c r="C7007" s="687" t="s">
        <v>15070</v>
      </c>
      <c r="D7007" s="125"/>
    </row>
    <row r="7008">
      <c r="A7008" s="122" t="s">
        <v>9439</v>
      </c>
      <c r="B7008" s="123">
        <v>1035092.0</v>
      </c>
      <c r="C7008" s="687" t="s">
        <v>9440</v>
      </c>
      <c r="D7008" s="125"/>
    </row>
    <row r="7009">
      <c r="A7009" s="122" t="s">
        <v>13991</v>
      </c>
      <c r="B7009" s="123">
        <v>1549346.0</v>
      </c>
      <c r="C7009" s="687" t="s">
        <v>13992</v>
      </c>
      <c r="D7009" s="125"/>
    </row>
    <row r="7010">
      <c r="A7010" s="122" t="s">
        <v>2803</v>
      </c>
      <c r="B7010" s="123">
        <v>1757499.0</v>
      </c>
      <c r="C7010" s="687" t="s">
        <v>2804</v>
      </c>
      <c r="D7010" s="125"/>
    </row>
    <row r="7011">
      <c r="A7011" s="122" t="s">
        <v>9187</v>
      </c>
      <c r="B7011" s="123">
        <v>743238.0</v>
      </c>
      <c r="C7011" s="687" t="s">
        <v>9188</v>
      </c>
      <c r="D7011" s="125"/>
    </row>
    <row r="7012">
      <c r="A7012" s="122" t="s">
        <v>11519</v>
      </c>
      <c r="B7012" s="123">
        <v>1459839.0</v>
      </c>
      <c r="C7012" s="687" t="s">
        <v>11520</v>
      </c>
      <c r="D7012" s="125"/>
    </row>
    <row r="7013">
      <c r="A7013" s="122" t="s">
        <v>850</v>
      </c>
      <c r="B7013" s="123">
        <v>1313938.0</v>
      </c>
      <c r="C7013" s="687" t="s">
        <v>851</v>
      </c>
      <c r="D7013" s="125"/>
    </row>
    <row r="7014">
      <c r="A7014" s="122" t="s">
        <v>6474</v>
      </c>
      <c r="B7014" s="123">
        <v>1786909.0</v>
      </c>
      <c r="C7014" s="687" t="s">
        <v>6475</v>
      </c>
      <c r="D7014" s="125"/>
    </row>
    <row r="7015">
      <c r="A7015" s="122" t="s">
        <v>1277</v>
      </c>
      <c r="B7015" s="123">
        <v>1022505.0</v>
      </c>
      <c r="C7015" s="687" t="s">
        <v>1278</v>
      </c>
      <c r="D7015" s="125"/>
    </row>
    <row r="7016">
      <c r="A7016" s="122" t="s">
        <v>6251</v>
      </c>
      <c r="B7016" s="123">
        <v>1879726.0</v>
      </c>
      <c r="C7016" s="687" t="s">
        <v>6252</v>
      </c>
      <c r="D7016" s="125"/>
    </row>
    <row r="7017">
      <c r="A7017" s="122" t="s">
        <v>4577</v>
      </c>
      <c r="B7017" s="123">
        <v>65596.0</v>
      </c>
      <c r="C7017" s="687" t="s">
        <v>4578</v>
      </c>
      <c r="D7017" s="125"/>
    </row>
    <row r="7018">
      <c r="A7018" s="122" t="s">
        <v>3259</v>
      </c>
      <c r="B7018" s="123">
        <v>1551693.0</v>
      </c>
      <c r="C7018" s="687" t="s">
        <v>3260</v>
      </c>
      <c r="D7018" s="125"/>
    </row>
    <row r="7019">
      <c r="A7019" s="122" t="s">
        <v>11292</v>
      </c>
      <c r="B7019" s="123">
        <v>1130144.0</v>
      </c>
      <c r="C7019" s="687" t="s">
        <v>11293</v>
      </c>
      <c r="D7019" s="125"/>
    </row>
    <row r="7020">
      <c r="A7020" s="122" t="s">
        <v>5638</v>
      </c>
      <c r="B7020" s="123">
        <v>90168.0</v>
      </c>
      <c r="C7020" s="687" t="s">
        <v>5639</v>
      </c>
      <c r="D7020" s="125"/>
    </row>
    <row r="7021">
      <c r="A7021" s="122" t="s">
        <v>4227</v>
      </c>
      <c r="B7021" s="123">
        <v>1094324.0</v>
      </c>
      <c r="C7021" s="687" t="s">
        <v>4228</v>
      </c>
      <c r="D7021" s="125"/>
    </row>
    <row r="7022">
      <c r="A7022" s="122" t="s">
        <v>13041</v>
      </c>
      <c r="B7022" s="123">
        <v>908732.0</v>
      </c>
      <c r="C7022" s="687" t="s">
        <v>13042</v>
      </c>
      <c r="D7022" s="125"/>
    </row>
    <row r="7023">
      <c r="A7023" s="122" t="s">
        <v>6403</v>
      </c>
      <c r="B7023" s="123">
        <v>1010086.0</v>
      </c>
      <c r="C7023" s="687" t="s">
        <v>6404</v>
      </c>
      <c r="D7023" s="125"/>
    </row>
    <row r="7024">
      <c r="A7024" s="122" t="s">
        <v>6221</v>
      </c>
      <c r="B7024" s="123">
        <v>1531177.0</v>
      </c>
      <c r="C7024" s="687" t="s">
        <v>6222</v>
      </c>
      <c r="D7024" s="125"/>
    </row>
    <row r="7025">
      <c r="A7025" s="122" t="s">
        <v>5565</v>
      </c>
      <c r="B7025" s="123">
        <v>788611.0</v>
      </c>
      <c r="C7025" s="687" t="s">
        <v>5566</v>
      </c>
      <c r="D7025" s="125"/>
    </row>
    <row r="7026">
      <c r="A7026" s="122" t="s">
        <v>10818</v>
      </c>
      <c r="B7026" s="123">
        <v>1848309.0</v>
      </c>
      <c r="C7026" s="687" t="s">
        <v>10819</v>
      </c>
      <c r="D7026" s="125"/>
    </row>
    <row r="7027">
      <c r="A7027" s="122" t="s">
        <v>5687</v>
      </c>
      <c r="B7027" s="123">
        <v>915358.0</v>
      </c>
      <c r="C7027" s="687" t="s">
        <v>5688</v>
      </c>
      <c r="D7027" s="125"/>
    </row>
    <row r="7028">
      <c r="A7028" s="122" t="s">
        <v>4164</v>
      </c>
      <c r="B7028" s="123">
        <v>1288784.0</v>
      </c>
      <c r="C7028" s="687" t="s">
        <v>4165</v>
      </c>
      <c r="D7028" s="125"/>
    </row>
    <row r="7029">
      <c r="A7029" s="122" t="s">
        <v>15385</v>
      </c>
      <c r="B7029" s="123">
        <v>832988.0</v>
      </c>
      <c r="C7029" s="687" t="s">
        <v>15386</v>
      </c>
      <c r="D7029" s="125"/>
    </row>
    <row r="7030">
      <c r="A7030" s="122" t="s">
        <v>6629</v>
      </c>
      <c r="B7030" s="123">
        <v>1567925.0</v>
      </c>
      <c r="C7030" s="687" t="s">
        <v>6630</v>
      </c>
      <c r="D7030" s="125"/>
    </row>
    <row r="7031">
      <c r="A7031" s="122" t="s">
        <v>11817</v>
      </c>
      <c r="B7031" s="123">
        <v>1479615.0</v>
      </c>
      <c r="C7031" s="687" t="s">
        <v>11818</v>
      </c>
      <c r="D7031" s="125"/>
    </row>
    <row r="7032">
      <c r="A7032" s="122" t="s">
        <v>4719</v>
      </c>
      <c r="B7032" s="123">
        <v>1479615.0</v>
      </c>
      <c r="C7032" s="687" t="s">
        <v>4720</v>
      </c>
      <c r="D7032" s="125"/>
    </row>
    <row r="7033">
      <c r="A7033" s="122" t="s">
        <v>13861</v>
      </c>
      <c r="B7033" s="123">
        <v>849869.0</v>
      </c>
      <c r="C7033" s="687" t="s">
        <v>13862</v>
      </c>
      <c r="D7033" s="125"/>
    </row>
    <row r="7034">
      <c r="A7034" s="122" t="s">
        <v>10850</v>
      </c>
      <c r="B7034" s="123">
        <v>916793.0</v>
      </c>
      <c r="C7034" s="687" t="s">
        <v>10851</v>
      </c>
      <c r="D7034" s="125"/>
    </row>
    <row r="7035">
      <c r="A7035" s="122" t="s">
        <v>15632</v>
      </c>
      <c r="B7035" s="123">
        <v>1038074.0</v>
      </c>
      <c r="C7035" s="687" t="s">
        <v>15633</v>
      </c>
      <c r="D7035" s="125"/>
    </row>
    <row r="7036">
      <c r="A7036" s="122" t="s">
        <v>14585</v>
      </c>
      <c r="B7036" s="123">
        <v>1329394.0</v>
      </c>
      <c r="C7036" s="687" t="s">
        <v>14586</v>
      </c>
      <c r="D7036" s="125"/>
    </row>
    <row r="7037">
      <c r="A7037" s="122" t="s">
        <v>10526</v>
      </c>
      <c r="B7037" s="123">
        <v>1397702.0</v>
      </c>
      <c r="C7037" s="687" t="s">
        <v>10527</v>
      </c>
      <c r="D7037" s="125"/>
    </row>
    <row r="7038">
      <c r="A7038" s="122" t="s">
        <v>4401</v>
      </c>
      <c r="B7038" s="123">
        <v>1514183.0</v>
      </c>
      <c r="C7038" s="687" t="s">
        <v>4402</v>
      </c>
      <c r="D7038" s="125"/>
    </row>
    <row r="7039">
      <c r="A7039" s="122" t="s">
        <v>1924</v>
      </c>
      <c r="B7039" s="123">
        <v>1031093.0</v>
      </c>
      <c r="C7039" s="687" t="s">
        <v>1925</v>
      </c>
      <c r="D7039" s="125"/>
    </row>
    <row r="7040">
      <c r="A7040" s="122" t="s">
        <v>2355</v>
      </c>
      <c r="B7040" s="123">
        <v>1545224.0</v>
      </c>
      <c r="C7040" s="687" t="s">
        <v>2356</v>
      </c>
      <c r="D7040" s="125"/>
    </row>
    <row r="7041">
      <c r="A7041" s="122" t="s">
        <v>1682</v>
      </c>
      <c r="B7041" s="123">
        <v>1409036.0</v>
      </c>
      <c r="C7041" s="687" t="s">
        <v>1683</v>
      </c>
      <c r="D7041" s="125"/>
    </row>
    <row r="7042">
      <c r="A7042" s="122" t="s">
        <v>1195</v>
      </c>
      <c r="B7042" s="123">
        <v>90391.0</v>
      </c>
      <c r="C7042" s="687" t="s">
        <v>1196</v>
      </c>
      <c r="D7042" s="125"/>
    </row>
    <row r="7043">
      <c r="A7043" s="122" t="s">
        <v>7654</v>
      </c>
      <c r="B7043" s="123">
        <v>1843162.0</v>
      </c>
      <c r="C7043" s="687" t="s">
        <v>7655</v>
      </c>
      <c r="D7043" s="125"/>
    </row>
    <row r="7044">
      <c r="A7044" s="122" t="s">
        <v>2153</v>
      </c>
      <c r="B7044" s="123">
        <v>1842644.0</v>
      </c>
      <c r="C7044" s="687" t="s">
        <v>2154</v>
      </c>
      <c r="D7044" s="125"/>
    </row>
    <row r="7045">
      <c r="A7045" s="122" t="s">
        <v>2203</v>
      </c>
      <c r="B7045" s="123">
        <v>1482436.0</v>
      </c>
      <c r="C7045" s="687" t="s">
        <v>2204</v>
      </c>
      <c r="D7045" s="125"/>
    </row>
    <row r="7046">
      <c r="A7046" s="122" t="s">
        <v>12449</v>
      </c>
      <c r="B7046" s="123">
        <v>351817.0</v>
      </c>
      <c r="C7046" s="687" t="s">
        <v>12450</v>
      </c>
      <c r="D7046" s="125"/>
    </row>
    <row r="7047">
      <c r="A7047" s="122" t="s">
        <v>5096</v>
      </c>
      <c r="B7047" s="123">
        <v>1340677.0</v>
      </c>
      <c r="C7047" s="687" t="s">
        <v>5097</v>
      </c>
      <c r="D7047" s="125"/>
    </row>
    <row r="7048">
      <c r="A7048" s="122" t="s">
        <v>10678</v>
      </c>
      <c r="B7048" s="123">
        <v>1549966.0</v>
      </c>
      <c r="C7048" s="687" t="s">
        <v>10679</v>
      </c>
      <c r="D7048" s="125"/>
    </row>
    <row r="7049">
      <c r="A7049" s="122" t="s">
        <v>6806</v>
      </c>
      <c r="B7049" s="123">
        <v>1659520.0</v>
      </c>
      <c r="C7049" s="687" t="s">
        <v>6807</v>
      </c>
      <c r="D7049" s="125"/>
    </row>
    <row r="7050">
      <c r="A7050" s="122" t="s">
        <v>9949</v>
      </c>
      <c r="B7050" s="123">
        <v>1236275.0</v>
      </c>
      <c r="C7050" s="687" t="s">
        <v>9950</v>
      </c>
      <c r="D7050" s="125"/>
    </row>
    <row r="7051">
      <c r="A7051" s="122" t="s">
        <v>7047</v>
      </c>
      <c r="B7051" s="123">
        <v>1842731.0</v>
      </c>
      <c r="C7051" s="687" t="s">
        <v>7048</v>
      </c>
      <c r="D7051" s="125"/>
    </row>
    <row r="7052">
      <c r="A7052" s="122" t="s">
        <v>11116</v>
      </c>
      <c r="B7052" s="123">
        <v>90498.0</v>
      </c>
      <c r="C7052" s="687" t="s">
        <v>11117</v>
      </c>
      <c r="D7052" s="125"/>
    </row>
    <row r="7053">
      <c r="A7053" s="122" t="s">
        <v>15793</v>
      </c>
      <c r="B7053" s="123">
        <v>1063761.0</v>
      </c>
      <c r="C7053" s="687" t="s">
        <v>15794</v>
      </c>
      <c r="D7053" s="125"/>
    </row>
    <row r="7054">
      <c r="A7054" s="122" t="s">
        <v>34125</v>
      </c>
      <c r="B7054" s="123">
        <v>1708410.0</v>
      </c>
      <c r="C7054" s="687" t="s">
        <v>34126</v>
      </c>
      <c r="D7054" s="125"/>
    </row>
    <row r="7055">
      <c r="A7055" s="122" t="s">
        <v>13453</v>
      </c>
      <c r="B7055" s="123">
        <v>1702744.0</v>
      </c>
      <c r="C7055" s="687" t="s">
        <v>13454</v>
      </c>
      <c r="D7055" s="125"/>
    </row>
    <row r="7056">
      <c r="A7056" s="122" t="s">
        <v>34127</v>
      </c>
      <c r="B7056" s="123">
        <v>1274032.0</v>
      </c>
      <c r="C7056" s="687" t="s">
        <v>34128</v>
      </c>
      <c r="D7056" s="125"/>
    </row>
    <row r="7057">
      <c r="A7057" s="122" t="s">
        <v>16095</v>
      </c>
      <c r="B7057" s="123">
        <v>920371.0</v>
      </c>
      <c r="C7057" s="687" t="s">
        <v>16096</v>
      </c>
      <c r="D7057" s="125"/>
    </row>
    <row r="7058">
      <c r="A7058" s="122" t="s">
        <v>13451</v>
      </c>
      <c r="B7058" s="123">
        <v>1023459.0</v>
      </c>
      <c r="C7058" s="687" t="s">
        <v>13452</v>
      </c>
      <c r="D7058" s="125"/>
    </row>
    <row r="7059">
      <c r="A7059" s="122" t="s">
        <v>1055</v>
      </c>
      <c r="B7059" s="123">
        <v>1532595.0</v>
      </c>
      <c r="C7059" s="687" t="s">
        <v>1056</v>
      </c>
      <c r="D7059" s="125"/>
    </row>
    <row r="7060">
      <c r="A7060" s="122" t="s">
        <v>10578</v>
      </c>
      <c r="B7060" s="123">
        <v>912752.0</v>
      </c>
      <c r="C7060" s="687" t="s">
        <v>10579</v>
      </c>
      <c r="D7060" s="125"/>
    </row>
    <row r="7061">
      <c r="A7061" s="122" t="s">
        <v>12944</v>
      </c>
      <c r="B7061" s="123">
        <v>1449580.0</v>
      </c>
      <c r="C7061" s="687" t="s">
        <v>12945</v>
      </c>
      <c r="D7061" s="125"/>
    </row>
    <row r="7062">
      <c r="A7062" s="122" t="s">
        <v>3313</v>
      </c>
      <c r="B7062" s="123">
        <v>923601.0</v>
      </c>
      <c r="C7062" s="687" t="s">
        <v>3314</v>
      </c>
      <c r="D7062" s="125"/>
    </row>
    <row r="7063">
      <c r="A7063" s="122" t="s">
        <v>3333</v>
      </c>
      <c r="B7063" s="123">
        <v>1443611.0</v>
      </c>
      <c r="C7063" s="687" t="s">
        <v>3334</v>
      </c>
      <c r="D7063" s="125"/>
    </row>
    <row r="7064">
      <c r="A7064" s="122" t="s">
        <v>3131</v>
      </c>
      <c r="B7064" s="123">
        <v>1850906.0</v>
      </c>
      <c r="C7064" s="687" t="s">
        <v>3132</v>
      </c>
      <c r="D7064" s="125"/>
    </row>
    <row r="7065">
      <c r="A7065" s="122" t="s">
        <v>3185</v>
      </c>
      <c r="B7065" s="123">
        <v>1422892.0</v>
      </c>
      <c r="C7065" s="687" t="s">
        <v>3186</v>
      </c>
      <c r="D7065" s="125"/>
    </row>
    <row r="7066">
      <c r="A7066" s="122" t="s">
        <v>2097</v>
      </c>
      <c r="B7066" s="123">
        <v>1433551.0</v>
      </c>
      <c r="C7066" s="687" t="s">
        <v>2098</v>
      </c>
      <c r="D7066" s="125"/>
    </row>
    <row r="7067">
      <c r="A7067" s="122" t="s">
        <v>2093</v>
      </c>
      <c r="B7067" s="123">
        <v>908732.0</v>
      </c>
      <c r="C7067" s="687" t="s">
        <v>2094</v>
      </c>
      <c r="D7067" s="125"/>
    </row>
    <row r="7068">
      <c r="A7068" s="122" t="s">
        <v>7186</v>
      </c>
      <c r="B7068" s="123">
        <v>1084201.0</v>
      </c>
      <c r="C7068" s="687" t="s">
        <v>7187</v>
      </c>
      <c r="D7068" s="125"/>
    </row>
    <row r="7069">
      <c r="A7069" s="122" t="s">
        <v>2103</v>
      </c>
      <c r="B7069" s="123">
        <v>1269026.0</v>
      </c>
      <c r="C7069" s="687" t="s">
        <v>2104</v>
      </c>
      <c r="D7069" s="125"/>
    </row>
    <row r="7070">
      <c r="A7070" s="122" t="s">
        <v>2915</v>
      </c>
      <c r="B7070" s="123">
        <v>1636050.0</v>
      </c>
      <c r="C7070" s="687" t="s">
        <v>2916</v>
      </c>
      <c r="D7070" s="125"/>
    </row>
    <row r="7071">
      <c r="A7071" s="122" t="s">
        <v>687</v>
      </c>
      <c r="B7071" s="123">
        <v>1128252.0</v>
      </c>
      <c r="C7071" s="687" t="s">
        <v>688</v>
      </c>
      <c r="D7071" s="125"/>
    </row>
    <row r="7072">
      <c r="A7072" s="122" t="s">
        <v>34129</v>
      </c>
      <c r="B7072" s="123">
        <v>1563227.0</v>
      </c>
      <c r="C7072" s="687" t="s">
        <v>34130</v>
      </c>
      <c r="D7072" s="125"/>
    </row>
    <row r="7073">
      <c r="A7073" s="122" t="s">
        <v>6631</v>
      </c>
      <c r="B7073" s="123">
        <v>908937.0</v>
      </c>
      <c r="C7073" s="687" t="s">
        <v>6632</v>
      </c>
      <c r="D7073" s="125"/>
    </row>
    <row r="7074">
      <c r="A7074" s="122" t="s">
        <v>9513</v>
      </c>
      <c r="B7074" s="123">
        <v>1576018.0</v>
      </c>
      <c r="C7074" s="687" t="s">
        <v>9514</v>
      </c>
      <c r="D7074" s="125"/>
    </row>
    <row r="7075">
      <c r="A7075" s="122" t="s">
        <v>9999</v>
      </c>
      <c r="B7075" s="123">
        <v>894315.0</v>
      </c>
      <c r="C7075" s="687" t="s">
        <v>10000</v>
      </c>
      <c r="D7075" s="125"/>
    </row>
    <row r="7076">
      <c r="A7076" s="122" t="s">
        <v>15945</v>
      </c>
      <c r="B7076" s="123">
        <v>1650729.0</v>
      </c>
      <c r="C7076" s="687" t="s">
        <v>15946</v>
      </c>
      <c r="D7076" s="125"/>
    </row>
    <row r="7077">
      <c r="A7077" s="122" t="s">
        <v>15477</v>
      </c>
      <c r="B7077" s="123">
        <v>1451809.0</v>
      </c>
      <c r="C7077" s="687" t="s">
        <v>15478</v>
      </c>
      <c r="D7077" s="125"/>
    </row>
    <row r="7078">
      <c r="A7078" s="122" t="s">
        <v>11521</v>
      </c>
      <c r="B7078" s="123">
        <v>1703785.0</v>
      </c>
      <c r="C7078" s="687" t="s">
        <v>11522</v>
      </c>
      <c r="D7078" s="125"/>
    </row>
    <row r="7079">
      <c r="A7079" s="122" t="s">
        <v>12424</v>
      </c>
      <c r="B7079" s="123">
        <v>701374.0</v>
      </c>
      <c r="C7079" s="687" t="s">
        <v>12425</v>
      </c>
      <c r="D7079" s="125"/>
    </row>
    <row r="7080">
      <c r="A7080" s="122" t="s">
        <v>11661</v>
      </c>
      <c r="B7080" s="123">
        <v>1508655.0</v>
      </c>
      <c r="C7080" s="687" t="s">
        <v>11662</v>
      </c>
      <c r="D7080" s="125"/>
    </row>
    <row r="7081">
      <c r="A7081" s="122" t="s">
        <v>798</v>
      </c>
      <c r="B7081" s="123">
        <v>1515251.0</v>
      </c>
      <c r="C7081" s="687" t="s">
        <v>799</v>
      </c>
      <c r="D7081" s="125"/>
    </row>
    <row r="7082">
      <c r="A7082" s="122" t="s">
        <v>34131</v>
      </c>
      <c r="B7082" s="123">
        <v>1935435.0</v>
      </c>
      <c r="C7082" s="687" t="s">
        <v>34132</v>
      </c>
      <c r="D7082" s="125"/>
    </row>
    <row r="7083">
      <c r="A7083" s="122" t="s">
        <v>5941</v>
      </c>
      <c r="B7083" s="123">
        <v>1649009.0</v>
      </c>
      <c r="C7083" s="687" t="s">
        <v>1504</v>
      </c>
      <c r="D7083" s="125"/>
    </row>
    <row r="7084">
      <c r="A7084" s="122" t="s">
        <v>1503</v>
      </c>
      <c r="B7084" s="123">
        <v>1649009.0</v>
      </c>
      <c r="C7084" s="687" t="s">
        <v>1504</v>
      </c>
      <c r="D7084" s="125"/>
    </row>
    <row r="7085">
      <c r="A7085" s="122" t="s">
        <v>1906</v>
      </c>
      <c r="B7085" s="123">
        <v>1829322.0</v>
      </c>
      <c r="C7085" s="687" t="s">
        <v>1907</v>
      </c>
      <c r="D7085" s="125"/>
    </row>
    <row r="7086">
      <c r="A7086" s="122" t="s">
        <v>9097</v>
      </c>
      <c r="B7086" s="123">
        <v>1829322.0</v>
      </c>
      <c r="C7086" s="687" t="s">
        <v>9098</v>
      </c>
      <c r="D7086" s="125"/>
    </row>
    <row r="7087">
      <c r="A7087" s="122" t="s">
        <v>9299</v>
      </c>
      <c r="B7087" s="123">
        <v>1829322.0</v>
      </c>
      <c r="C7087" s="687" t="s">
        <v>9300</v>
      </c>
      <c r="D7087" s="125"/>
    </row>
    <row r="7088">
      <c r="A7088" s="122" t="s">
        <v>14426</v>
      </c>
      <c r="B7088" s="123">
        <v>766829.0</v>
      </c>
      <c r="C7088" s="687" t="s">
        <v>14427</v>
      </c>
      <c r="D7088" s="125"/>
    </row>
    <row r="7089">
      <c r="A7089" s="122" t="s">
        <v>9076</v>
      </c>
      <c r="B7089" s="123">
        <v>1912461.0</v>
      </c>
      <c r="C7089" s="687" t="s">
        <v>1645</v>
      </c>
      <c r="D7089" s="125"/>
    </row>
    <row r="7090">
      <c r="A7090" s="122" t="s">
        <v>1644</v>
      </c>
      <c r="B7090" s="123">
        <v>1912461.0</v>
      </c>
      <c r="C7090" s="687" t="s">
        <v>1645</v>
      </c>
      <c r="D7090" s="125"/>
    </row>
    <row r="7091">
      <c r="A7091" s="122" t="s">
        <v>8906</v>
      </c>
      <c r="B7091" s="123">
        <v>1912461.0</v>
      </c>
      <c r="C7091" s="687" t="s">
        <v>8907</v>
      </c>
      <c r="D7091" s="125"/>
    </row>
    <row r="7092">
      <c r="A7092" s="122" t="s">
        <v>11609</v>
      </c>
      <c r="B7092" s="123">
        <v>1015650.0</v>
      </c>
      <c r="C7092" s="687" t="s">
        <v>11610</v>
      </c>
      <c r="D7092" s="125"/>
    </row>
    <row r="7093">
      <c r="A7093" s="122" t="s">
        <v>14346</v>
      </c>
      <c r="B7093" s="123">
        <v>1065837.0</v>
      </c>
      <c r="C7093" s="687" t="s">
        <v>14347</v>
      </c>
      <c r="D7093" s="125"/>
    </row>
    <row r="7094">
      <c r="A7094" s="122" t="s">
        <v>6374</v>
      </c>
      <c r="B7094" s="123">
        <v>1713748.0</v>
      </c>
      <c r="C7094" s="687" t="s">
        <v>6375</v>
      </c>
      <c r="D7094" s="125"/>
    </row>
    <row r="7095">
      <c r="A7095" s="122" t="s">
        <v>3797</v>
      </c>
      <c r="B7095" s="123">
        <v>1782309.0</v>
      </c>
      <c r="C7095" s="687" t="s">
        <v>3798</v>
      </c>
      <c r="D7095" s="125"/>
    </row>
    <row r="7096">
      <c r="A7096" s="122" t="s">
        <v>9960</v>
      </c>
      <c r="B7096" s="123">
        <v>1774675.0</v>
      </c>
      <c r="C7096" s="687" t="s">
        <v>9961</v>
      </c>
      <c r="D7096" s="125"/>
    </row>
    <row r="7097">
      <c r="A7097" s="122" t="s">
        <v>6830</v>
      </c>
      <c r="B7097" s="123">
        <v>1801661.0</v>
      </c>
      <c r="C7097" s="687" t="s">
        <v>6831</v>
      </c>
      <c r="D7097" s="125"/>
    </row>
    <row r="7098">
      <c r="A7098" s="122" t="s">
        <v>9589</v>
      </c>
      <c r="B7098" s="123">
        <v>1671858.0</v>
      </c>
      <c r="C7098" s="687" t="s">
        <v>9590</v>
      </c>
      <c r="D7098" s="125"/>
    </row>
    <row r="7099">
      <c r="A7099" s="122" t="s">
        <v>1658</v>
      </c>
      <c r="B7099" s="123">
        <v>1085277.0</v>
      </c>
      <c r="C7099" s="687" t="s">
        <v>1659</v>
      </c>
      <c r="D7099" s="125"/>
    </row>
    <row r="7100">
      <c r="A7100" s="122" t="s">
        <v>2596</v>
      </c>
      <c r="B7100" s="123">
        <v>1546853.0</v>
      </c>
      <c r="C7100" s="687" t="s">
        <v>2597</v>
      </c>
      <c r="D7100" s="125"/>
    </row>
    <row r="7101">
      <c r="A7101" s="122" t="s">
        <v>9398</v>
      </c>
      <c r="B7101" s="123">
        <v>1823587.0</v>
      </c>
      <c r="C7101" s="687" t="s">
        <v>9399</v>
      </c>
      <c r="D7101" s="125"/>
    </row>
    <row r="7102">
      <c r="A7102" s="122" t="s">
        <v>6081</v>
      </c>
      <c r="B7102" s="123">
        <v>1516551.0</v>
      </c>
      <c r="C7102" s="687" t="s">
        <v>6082</v>
      </c>
      <c r="D7102" s="125"/>
    </row>
    <row r="7103">
      <c r="A7103" s="122" t="s">
        <v>34133</v>
      </c>
      <c r="B7103" s="123">
        <v>1839730.0</v>
      </c>
      <c r="C7103" s="687" t="s">
        <v>34134</v>
      </c>
      <c r="D7103" s="125"/>
    </row>
    <row r="7104">
      <c r="A7104" s="122" t="s">
        <v>34135</v>
      </c>
      <c r="B7104" s="123">
        <v>1839730.0</v>
      </c>
      <c r="C7104" s="687" t="s">
        <v>34136</v>
      </c>
      <c r="D7104" s="125"/>
    </row>
    <row r="7105">
      <c r="A7105" s="122" t="s">
        <v>14810</v>
      </c>
      <c r="B7105" s="123">
        <v>90896.0</v>
      </c>
      <c r="C7105" s="687" t="s">
        <v>14811</v>
      </c>
      <c r="D7105" s="125"/>
    </row>
    <row r="7106">
      <c r="A7106" s="122" t="s">
        <v>8069</v>
      </c>
      <c r="B7106" s="123">
        <v>1819974.0</v>
      </c>
      <c r="C7106" s="687" t="s">
        <v>8070</v>
      </c>
      <c r="D7106" s="125"/>
    </row>
    <row r="7107">
      <c r="A7107" s="122" t="s">
        <v>14389</v>
      </c>
      <c r="B7107" s="123">
        <v>793733.0</v>
      </c>
      <c r="C7107" s="687" t="s">
        <v>14390</v>
      </c>
      <c r="D7107" s="125"/>
    </row>
    <row r="7108">
      <c r="A7108" s="122" t="s">
        <v>15403</v>
      </c>
      <c r="B7108" s="123">
        <v>4127.0</v>
      </c>
      <c r="C7108" s="687" t="s">
        <v>15404</v>
      </c>
      <c r="D7108" s="125"/>
    </row>
    <row r="7109">
      <c r="A7109" s="122" t="s">
        <v>4351</v>
      </c>
      <c r="B7109" s="123">
        <v>1598981.0</v>
      </c>
      <c r="C7109" s="687" t="s">
        <v>4352</v>
      </c>
      <c r="D7109" s="125"/>
    </row>
    <row r="7110">
      <c r="A7110" s="122" t="s">
        <v>13873</v>
      </c>
      <c r="B7110" s="123">
        <v>1040971.0</v>
      </c>
      <c r="C7110" s="687" t="s">
        <v>13874</v>
      </c>
      <c r="D7110" s="125"/>
    </row>
    <row r="7111">
      <c r="A7111" s="122" t="s">
        <v>2259</v>
      </c>
      <c r="B7111" s="123">
        <v>1838162.0</v>
      </c>
      <c r="C7111" s="687" t="s">
        <v>2260</v>
      </c>
      <c r="D7111" s="125"/>
    </row>
    <row r="7112">
      <c r="A7112" s="122" t="s">
        <v>8930</v>
      </c>
      <c r="B7112" s="123">
        <v>1838162.0</v>
      </c>
      <c r="C7112" s="687" t="s">
        <v>8931</v>
      </c>
      <c r="D7112" s="125"/>
    </row>
    <row r="7113">
      <c r="A7113" s="122" t="s">
        <v>8988</v>
      </c>
      <c r="B7113" s="123">
        <v>1838162.0</v>
      </c>
      <c r="C7113" s="687" t="s">
        <v>8989</v>
      </c>
      <c r="D7113" s="125"/>
    </row>
    <row r="7114">
      <c r="A7114" s="122" t="s">
        <v>6091</v>
      </c>
      <c r="B7114" s="123">
        <v>1523541.0</v>
      </c>
      <c r="C7114" s="687" t="s">
        <v>6092</v>
      </c>
      <c r="D7114" s="125"/>
    </row>
    <row r="7115">
      <c r="A7115" s="122" t="s">
        <v>8420</v>
      </c>
      <c r="B7115" s="123">
        <v>827187.0</v>
      </c>
      <c r="C7115" s="687" t="s">
        <v>8421</v>
      </c>
      <c r="D7115" s="125"/>
    </row>
    <row r="7116">
      <c r="A7116" s="122" t="s">
        <v>11283</v>
      </c>
      <c r="B7116" s="123">
        <v>1032033.0</v>
      </c>
      <c r="C7116" s="687" t="s">
        <v>11284</v>
      </c>
      <c r="D7116" s="125"/>
    </row>
    <row r="7117">
      <c r="A7117" s="122" t="s">
        <v>14818</v>
      </c>
      <c r="B7117" s="123">
        <v>1032033.0</v>
      </c>
      <c r="C7117" s="687" t="s">
        <v>14819</v>
      </c>
      <c r="D7117" s="125"/>
    </row>
    <row r="7118">
      <c r="A7118" s="122" t="s">
        <v>10455</v>
      </c>
      <c r="B7118" s="123">
        <v>1418076.0</v>
      </c>
      <c r="C7118" s="687" t="s">
        <v>10456</v>
      </c>
      <c r="D7118" s="125"/>
    </row>
    <row r="7119">
      <c r="A7119" s="122" t="s">
        <v>13299</v>
      </c>
      <c r="B7119" s="123">
        <v>893538.0</v>
      </c>
      <c r="C7119" s="687" t="s">
        <v>13300</v>
      </c>
      <c r="D7119" s="125"/>
    </row>
    <row r="7120">
      <c r="A7120" s="122" t="s">
        <v>34137</v>
      </c>
      <c r="B7120" s="123">
        <v>1734669.0</v>
      </c>
      <c r="C7120" s="687" t="s">
        <v>34138</v>
      </c>
      <c r="D7120" s="125"/>
    </row>
    <row r="7121">
      <c r="A7121" s="122" t="s">
        <v>3980</v>
      </c>
      <c r="B7121" s="123">
        <v>1851860.0</v>
      </c>
      <c r="C7121" s="687" t="s">
        <v>3981</v>
      </c>
      <c r="D7121" s="125"/>
    </row>
    <row r="7122">
      <c r="A7122" s="122" t="s">
        <v>11438</v>
      </c>
      <c r="B7122" s="123">
        <v>1616533.0</v>
      </c>
      <c r="C7122" s="687" t="s">
        <v>11439</v>
      </c>
      <c r="D7122" s="125"/>
    </row>
    <row r="7123">
      <c r="A7123" s="122" t="s">
        <v>34139</v>
      </c>
      <c r="B7123" s="123">
        <v>1824988.0</v>
      </c>
      <c r="C7123" s="687" t="s">
        <v>34140</v>
      </c>
      <c r="D7123" s="125"/>
    </row>
    <row r="7124">
      <c r="A7124" s="122" t="s">
        <v>4638</v>
      </c>
      <c r="B7124" s="123">
        <v>1529628.0</v>
      </c>
      <c r="C7124" s="687" t="s">
        <v>4639</v>
      </c>
      <c r="D7124" s="125"/>
    </row>
    <row r="7125">
      <c r="A7125" s="122" t="s">
        <v>3033</v>
      </c>
      <c r="B7125" s="123">
        <v>1834253.0</v>
      </c>
      <c r="C7125" s="687" t="s">
        <v>3034</v>
      </c>
      <c r="D7125" s="125"/>
    </row>
    <row r="7126">
      <c r="A7126" s="122" t="s">
        <v>11861</v>
      </c>
      <c r="B7126" s="123">
        <v>1038773.0</v>
      </c>
      <c r="C7126" s="687" t="s">
        <v>11862</v>
      </c>
      <c r="D7126" s="125"/>
    </row>
    <row r="7127">
      <c r="A7127" s="122" t="s">
        <v>6794</v>
      </c>
      <c r="B7127" s="123">
        <v>1817760.0</v>
      </c>
      <c r="C7127" s="687" t="s">
        <v>6795</v>
      </c>
      <c r="D7127" s="125"/>
    </row>
    <row r="7128">
      <c r="A7128" s="122" t="s">
        <v>34141</v>
      </c>
      <c r="B7128" s="123">
        <v>1301991.0</v>
      </c>
      <c r="C7128" s="687" t="s">
        <v>34142</v>
      </c>
      <c r="D7128" s="125"/>
    </row>
    <row r="7129">
      <c r="A7129" s="122" t="s">
        <v>5539</v>
      </c>
      <c r="B7129" s="123">
        <v>1837014.0</v>
      </c>
      <c r="C7129" s="687" t="s">
        <v>5540</v>
      </c>
      <c r="D7129" s="125"/>
    </row>
    <row r="7130">
      <c r="A7130" s="122" t="s">
        <v>13847</v>
      </c>
      <c r="B7130" s="123">
        <v>1366561.0</v>
      </c>
      <c r="C7130" s="687" t="s">
        <v>13848</v>
      </c>
      <c r="D7130" s="125"/>
    </row>
    <row r="7131">
      <c r="A7131" s="122" t="s">
        <v>8664</v>
      </c>
      <c r="B7131" s="123">
        <v>1585389.0</v>
      </c>
      <c r="C7131" s="687" t="s">
        <v>8665</v>
      </c>
      <c r="D7131" s="125"/>
    </row>
    <row r="7132">
      <c r="A7132" s="122" t="s">
        <v>2151</v>
      </c>
      <c r="B7132" s="123">
        <v>1426506.0</v>
      </c>
      <c r="C7132" s="687" t="s">
        <v>2152</v>
      </c>
      <c r="D7132" s="125"/>
    </row>
    <row r="7133">
      <c r="A7133" s="122" t="s">
        <v>12625</v>
      </c>
      <c r="B7133" s="123">
        <v>845982.0</v>
      </c>
      <c r="C7133" s="687" t="s">
        <v>10046</v>
      </c>
      <c r="D7133" s="125"/>
    </row>
    <row r="7134">
      <c r="A7134" s="122" t="s">
        <v>10045</v>
      </c>
      <c r="B7134" s="123">
        <v>845982.0</v>
      </c>
      <c r="C7134" s="687" t="s">
        <v>10046</v>
      </c>
      <c r="D7134" s="125"/>
    </row>
    <row r="7135">
      <c r="A7135" s="122" t="s">
        <v>9925</v>
      </c>
      <c r="B7135" s="123">
        <v>1092796.0</v>
      </c>
      <c r="C7135" s="687" t="s">
        <v>9926</v>
      </c>
      <c r="D7135" s="125"/>
    </row>
    <row r="7136">
      <c r="A7136" s="122" t="s">
        <v>3576</v>
      </c>
      <c r="B7136" s="123">
        <v>948708.0</v>
      </c>
      <c r="C7136" s="687" t="s">
        <v>3577</v>
      </c>
      <c r="D7136" s="125"/>
    </row>
    <row r="7137">
      <c r="A7137" s="122" t="s">
        <v>13646</v>
      </c>
      <c r="B7137" s="123">
        <v>924719.0</v>
      </c>
      <c r="C7137" s="687" t="s">
        <v>13647</v>
      </c>
      <c r="D7137" s="125"/>
    </row>
    <row r="7138">
      <c r="A7138" s="122" t="s">
        <v>6145</v>
      </c>
      <c r="B7138" s="123">
        <v>1455634.0</v>
      </c>
      <c r="C7138" s="687" t="s">
        <v>6146</v>
      </c>
      <c r="D7138" s="125"/>
    </row>
    <row r="7139">
      <c r="A7139" s="122" t="s">
        <v>2564</v>
      </c>
      <c r="B7139" s="123">
        <v>1940674.0</v>
      </c>
      <c r="C7139" s="687" t="s">
        <v>2565</v>
      </c>
      <c r="D7139" s="125"/>
    </row>
    <row r="7140">
      <c r="A7140" s="122" t="s">
        <v>8255</v>
      </c>
      <c r="B7140" s="123">
        <v>1437771.0</v>
      </c>
      <c r="C7140" s="687" t="s">
        <v>8256</v>
      </c>
      <c r="D7140" s="125"/>
    </row>
    <row r="7141">
      <c r="A7141" s="122" t="s">
        <v>6489</v>
      </c>
      <c r="B7141" s="123">
        <v>1437771.0</v>
      </c>
      <c r="C7141" s="687" t="s">
        <v>6490</v>
      </c>
      <c r="D7141" s="125"/>
    </row>
    <row r="7142">
      <c r="A7142" s="122" t="s">
        <v>7658</v>
      </c>
      <c r="B7142" s="123">
        <v>1856430.0</v>
      </c>
      <c r="C7142" s="687" t="s">
        <v>7659</v>
      </c>
      <c r="D7142" s="125"/>
    </row>
    <row r="7143">
      <c r="A7143" s="122" t="s">
        <v>16405</v>
      </c>
      <c r="B7143" s="123">
        <v>91440.0</v>
      </c>
      <c r="C7143" s="687" t="s">
        <v>16406</v>
      </c>
      <c r="D7143" s="125"/>
    </row>
    <row r="7144">
      <c r="A7144" s="122" t="s">
        <v>1701</v>
      </c>
      <c r="B7144" s="123">
        <v>1613092.0</v>
      </c>
      <c r="C7144" s="687" t="s">
        <v>1702</v>
      </c>
      <c r="D7144" s="125"/>
    </row>
    <row r="7145">
      <c r="A7145" s="122" t="s">
        <v>3526</v>
      </c>
      <c r="B7145" s="123">
        <v>1769697.0</v>
      </c>
      <c r="C7145" s="687" t="s">
        <v>3527</v>
      </c>
      <c r="D7145" s="125"/>
    </row>
    <row r="7146">
      <c r="A7146" s="122" t="s">
        <v>16216</v>
      </c>
      <c r="B7146" s="123">
        <v>1640147.0</v>
      </c>
      <c r="C7146" s="687" t="s">
        <v>16217</v>
      </c>
      <c r="D7146" s="125"/>
    </row>
    <row r="7147">
      <c r="A7147" s="122" t="s">
        <v>3727</v>
      </c>
      <c r="B7147" s="123">
        <v>1758530.0</v>
      </c>
      <c r="C7147" s="687" t="s">
        <v>3728</v>
      </c>
      <c r="D7147" s="125"/>
    </row>
    <row r="7148">
      <c r="A7148" s="122" t="s">
        <v>3401</v>
      </c>
      <c r="B7148" s="123">
        <v>1425627.0</v>
      </c>
      <c r="C7148" s="687" t="s">
        <v>3402</v>
      </c>
      <c r="D7148" s="125"/>
    </row>
    <row r="7149">
      <c r="A7149" s="122" t="s">
        <v>767</v>
      </c>
      <c r="B7149" s="123">
        <v>1726286.0</v>
      </c>
      <c r="C7149" s="687" t="s">
        <v>768</v>
      </c>
      <c r="D7149" s="125"/>
    </row>
    <row r="7150">
      <c r="A7150" s="122" t="s">
        <v>8548</v>
      </c>
      <c r="B7150" s="123">
        <v>1834755.0</v>
      </c>
      <c r="C7150" s="687" t="s">
        <v>8549</v>
      </c>
      <c r="D7150" s="125"/>
    </row>
    <row r="7151">
      <c r="A7151" s="122" t="s">
        <v>13598</v>
      </c>
      <c r="B7151" s="123">
        <v>909037.0</v>
      </c>
      <c r="C7151" s="687" t="s">
        <v>13599</v>
      </c>
      <c r="D7151" s="125"/>
    </row>
    <row r="7152">
      <c r="A7152" s="122" t="s">
        <v>2121</v>
      </c>
      <c r="B7152" s="123">
        <v>1817511.0</v>
      </c>
      <c r="C7152" s="687" t="s">
        <v>2122</v>
      </c>
      <c r="D7152" s="125"/>
    </row>
    <row r="7153">
      <c r="A7153" s="122" t="s">
        <v>3913</v>
      </c>
      <c r="B7153" s="123">
        <v>944075.0</v>
      </c>
      <c r="C7153" s="687" t="s">
        <v>3914</v>
      </c>
      <c r="D7153" s="125"/>
    </row>
    <row r="7154">
      <c r="A7154" s="122" t="s">
        <v>7627</v>
      </c>
      <c r="B7154" s="123">
        <v>1818874.0</v>
      </c>
      <c r="C7154" s="687" t="s">
        <v>7628</v>
      </c>
      <c r="D7154" s="125"/>
    </row>
    <row r="7155">
      <c r="A7155" s="122" t="s">
        <v>9890</v>
      </c>
      <c r="B7155" s="123">
        <v>1065521.0</v>
      </c>
      <c r="C7155" s="687" t="s">
        <v>9891</v>
      </c>
      <c r="D7155" s="125"/>
    </row>
    <row r="7156">
      <c r="A7156" s="122" t="s">
        <v>13757</v>
      </c>
      <c r="B7156" s="123">
        <v>1065521.0</v>
      </c>
      <c r="C7156" s="687" t="s">
        <v>13758</v>
      </c>
      <c r="D7156" s="125"/>
    </row>
    <row r="7157">
      <c r="A7157" s="122" t="s">
        <v>11725</v>
      </c>
      <c r="B7157" s="123">
        <v>1065521.0</v>
      </c>
      <c r="C7157" s="687" t="s">
        <v>11726</v>
      </c>
      <c r="D7157" s="125"/>
    </row>
    <row r="7158">
      <c r="A7158" s="122" t="s">
        <v>10628</v>
      </c>
      <c r="B7158" s="123">
        <v>1762322.0</v>
      </c>
      <c r="C7158" s="687" t="s">
        <v>10629</v>
      </c>
      <c r="D7158" s="125"/>
    </row>
    <row r="7159">
      <c r="A7159" s="122" t="s">
        <v>1656</v>
      </c>
      <c r="B7159" s="123">
        <v>1919847.0</v>
      </c>
      <c r="C7159" s="687" t="s">
        <v>1657</v>
      </c>
      <c r="D7159" s="125"/>
    </row>
    <row r="7160">
      <c r="A7160" s="122" t="s">
        <v>8277</v>
      </c>
      <c r="B7160" s="123">
        <v>1734107.0</v>
      </c>
      <c r="C7160" s="687" t="s">
        <v>8278</v>
      </c>
      <c r="D7160" s="125"/>
    </row>
    <row r="7161">
      <c r="A7161" s="122" t="s">
        <v>4275</v>
      </c>
      <c r="B7161" s="123">
        <v>1684693.0</v>
      </c>
      <c r="C7161" s="687" t="s">
        <v>4276</v>
      </c>
      <c r="D7161" s="125"/>
    </row>
    <row r="7162">
      <c r="A7162" s="122" t="s">
        <v>1589</v>
      </c>
      <c r="B7162" s="123">
        <v>1710138.0</v>
      </c>
      <c r="C7162" s="687" t="s">
        <v>1590</v>
      </c>
      <c r="D7162" s="125"/>
    </row>
    <row r="7163">
      <c r="A7163" s="122" t="s">
        <v>14709</v>
      </c>
      <c r="B7163" s="123">
        <v>1419612.0</v>
      </c>
      <c r="C7163" s="687" t="s">
        <v>14710</v>
      </c>
      <c r="D7163" s="125"/>
    </row>
    <row r="7164">
      <c r="A7164" s="122" t="s">
        <v>7438</v>
      </c>
      <c r="B7164" s="123">
        <v>1697500.0</v>
      </c>
      <c r="C7164" s="687" t="s">
        <v>7439</v>
      </c>
      <c r="D7164" s="125"/>
    </row>
    <row r="7165">
      <c r="A7165" s="122" t="s">
        <v>2947</v>
      </c>
      <c r="B7165" s="123">
        <v>1071840.0</v>
      </c>
      <c r="C7165" s="687" t="s">
        <v>2948</v>
      </c>
      <c r="D7165" s="125"/>
    </row>
    <row r="7166">
      <c r="A7166" s="122" t="s">
        <v>9649</v>
      </c>
      <c r="B7166" s="123">
        <v>1739942.0</v>
      </c>
      <c r="C7166" s="687" t="s">
        <v>9650</v>
      </c>
      <c r="D7166" s="125"/>
    </row>
    <row r="7167">
      <c r="A7167" s="122" t="s">
        <v>13939</v>
      </c>
      <c r="B7167" s="123">
        <v>1484565.0</v>
      </c>
      <c r="C7167" s="687" t="s">
        <v>13940</v>
      </c>
      <c r="D7167" s="125"/>
    </row>
    <row r="7168">
      <c r="A7168" s="122" t="s">
        <v>7347</v>
      </c>
      <c r="B7168" s="123">
        <v>1707502.0</v>
      </c>
      <c r="C7168" s="687" t="s">
        <v>7348</v>
      </c>
      <c r="D7168" s="125"/>
    </row>
    <row r="7169">
      <c r="A7169" s="122" t="s">
        <v>2287</v>
      </c>
      <c r="B7169" s="123">
        <v>1844862.0</v>
      </c>
      <c r="C7169" s="687" t="s">
        <v>2288</v>
      </c>
      <c r="D7169" s="125"/>
    </row>
    <row r="7170">
      <c r="A7170" s="122" t="s">
        <v>4565</v>
      </c>
      <c r="B7170" s="123">
        <v>1844862.0</v>
      </c>
      <c r="C7170" s="687" t="s">
        <v>4566</v>
      </c>
      <c r="D7170" s="125"/>
    </row>
    <row r="7171">
      <c r="A7171" s="122" t="s">
        <v>3307</v>
      </c>
      <c r="B7171" s="123">
        <v>812796.0</v>
      </c>
      <c r="C7171" s="687" t="s">
        <v>3308</v>
      </c>
      <c r="D7171" s="125"/>
    </row>
    <row r="7172">
      <c r="A7172" s="122" t="s">
        <v>3085</v>
      </c>
      <c r="B7172" s="123">
        <v>917225.0</v>
      </c>
      <c r="C7172" s="687" t="s">
        <v>3086</v>
      </c>
      <c r="D7172" s="125"/>
    </row>
    <row r="7173">
      <c r="A7173" s="122" t="s">
        <v>11030</v>
      </c>
      <c r="B7173" s="123">
        <v>91668.0</v>
      </c>
      <c r="C7173" s="687" t="s">
        <v>11031</v>
      </c>
      <c r="D7173" s="125"/>
    </row>
    <row r="7174">
      <c r="A7174" s="122" t="s">
        <v>34143</v>
      </c>
      <c r="B7174" s="123">
        <v>1519177.0</v>
      </c>
      <c r="C7174" s="687" t="s">
        <v>34144</v>
      </c>
      <c r="D7174" s="125"/>
    </row>
    <row r="7175">
      <c r="A7175" s="122" t="s">
        <v>5314</v>
      </c>
      <c r="B7175" s="123">
        <v>1870600.0</v>
      </c>
      <c r="C7175" s="687" t="s">
        <v>5315</v>
      </c>
      <c r="D7175" s="125"/>
    </row>
    <row r="7176">
      <c r="A7176" s="122" t="s">
        <v>5557</v>
      </c>
      <c r="B7176" s="123">
        <v>64463.0</v>
      </c>
      <c r="C7176" s="687" t="s">
        <v>5558</v>
      </c>
      <c r="D7176" s="125"/>
    </row>
    <row r="7177">
      <c r="A7177" s="122" t="s">
        <v>5412</v>
      </c>
      <c r="B7177" s="123">
        <v>64463.0</v>
      </c>
      <c r="C7177" s="687" t="s">
        <v>5413</v>
      </c>
      <c r="D7177" s="125"/>
    </row>
    <row r="7178">
      <c r="A7178" s="122" t="s">
        <v>5320</v>
      </c>
      <c r="B7178" s="123">
        <v>930826.0</v>
      </c>
      <c r="C7178" s="687" t="s">
        <v>5321</v>
      </c>
      <c r="D7178" s="125"/>
    </row>
    <row r="7179">
      <c r="A7179" s="122" t="s">
        <v>12647</v>
      </c>
      <c r="B7179" s="123">
        <v>930826.0</v>
      </c>
      <c r="C7179" s="687" t="s">
        <v>12648</v>
      </c>
      <c r="D7179" s="125"/>
    </row>
    <row r="7180">
      <c r="A7180" s="122" t="s">
        <v>12418</v>
      </c>
      <c r="B7180" s="123">
        <v>1669414.0</v>
      </c>
      <c r="C7180" s="687" t="s">
        <v>12419</v>
      </c>
      <c r="D7180" s="125"/>
    </row>
    <row r="7181">
      <c r="A7181" s="122" t="s">
        <v>13926</v>
      </c>
      <c r="B7181" s="123">
        <v>1669414.0</v>
      </c>
      <c r="C7181" s="687" t="s">
        <v>13927</v>
      </c>
      <c r="D7181" s="125"/>
    </row>
    <row r="7182">
      <c r="A7182" s="122" t="s">
        <v>707</v>
      </c>
      <c r="B7182" s="123">
        <v>1819395.0</v>
      </c>
      <c r="C7182" s="687" t="s">
        <v>708</v>
      </c>
      <c r="D7182" s="125"/>
    </row>
    <row r="7183">
      <c r="A7183" s="122" t="s">
        <v>5294</v>
      </c>
      <c r="B7183" s="123">
        <v>1819395.0</v>
      </c>
      <c r="C7183" s="687" t="s">
        <v>5295</v>
      </c>
      <c r="D7183" s="125"/>
    </row>
    <row r="7184">
      <c r="A7184" s="122" t="s">
        <v>14132</v>
      </c>
      <c r="B7184" s="123">
        <v>1043509.0</v>
      </c>
      <c r="C7184" s="687" t="s">
        <v>14133</v>
      </c>
      <c r="D7184" s="125"/>
    </row>
    <row r="7185">
      <c r="A7185" s="122" t="s">
        <v>2335</v>
      </c>
      <c r="B7185" s="123">
        <v>1029744.0</v>
      </c>
      <c r="C7185" s="687" t="s">
        <v>2336</v>
      </c>
      <c r="D7185" s="125"/>
    </row>
    <row r="7186">
      <c r="A7186" s="122" t="s">
        <v>8105</v>
      </c>
      <c r="B7186" s="123">
        <v>1043000.0</v>
      </c>
      <c r="C7186" s="687" t="s">
        <v>8106</v>
      </c>
      <c r="D7186" s="125"/>
    </row>
    <row r="7187">
      <c r="A7187" s="122" t="s">
        <v>3265</v>
      </c>
      <c r="B7187" s="123">
        <v>1178697.0</v>
      </c>
      <c r="C7187" s="687" t="s">
        <v>3266</v>
      </c>
      <c r="D7187" s="125"/>
    </row>
    <row r="7188">
      <c r="A7188" s="122" t="s">
        <v>4373</v>
      </c>
      <c r="B7188" s="123">
        <v>1106838.0</v>
      </c>
      <c r="C7188" s="687" t="s">
        <v>4374</v>
      </c>
      <c r="D7188" s="125"/>
    </row>
    <row r="7189">
      <c r="A7189" s="122" t="s">
        <v>6868</v>
      </c>
      <c r="B7189" s="123">
        <v>806172.0</v>
      </c>
      <c r="C7189" s="687" t="s">
        <v>6869</v>
      </c>
      <c r="D7189" s="125"/>
    </row>
    <row r="7190">
      <c r="A7190" s="122" t="s">
        <v>14340</v>
      </c>
      <c r="B7190" s="123">
        <v>91767.0</v>
      </c>
      <c r="C7190" s="687" t="s">
        <v>14341</v>
      </c>
      <c r="D7190" s="125"/>
    </row>
    <row r="7191">
      <c r="A7191" s="122" t="s">
        <v>2113</v>
      </c>
      <c r="B7191" s="123">
        <v>1367083.0</v>
      </c>
      <c r="C7191" s="687" t="s">
        <v>2114</v>
      </c>
      <c r="D7191" s="125"/>
    </row>
    <row r="7192">
      <c r="A7192" s="122" t="s">
        <v>10644</v>
      </c>
      <c r="B7192" s="123">
        <v>1314727.0</v>
      </c>
      <c r="C7192" s="687" t="s">
        <v>10645</v>
      </c>
      <c r="D7192" s="125"/>
    </row>
    <row r="7193">
      <c r="A7193" s="122" t="s">
        <v>15366</v>
      </c>
      <c r="B7193" s="123">
        <v>313838.0</v>
      </c>
      <c r="C7193" s="687" t="s">
        <v>15367</v>
      </c>
      <c r="D7193" s="125"/>
    </row>
    <row r="7194">
      <c r="A7194" s="122" t="s">
        <v>6307</v>
      </c>
      <c r="B7194" s="123">
        <v>1840706.0</v>
      </c>
      <c r="C7194" s="687" t="s">
        <v>6308</v>
      </c>
      <c r="D7194" s="125"/>
    </row>
    <row r="7195">
      <c r="A7195" s="122" t="s">
        <v>5689</v>
      </c>
      <c r="B7195" s="123">
        <v>1346610.0</v>
      </c>
      <c r="C7195" s="687" t="s">
        <v>5690</v>
      </c>
      <c r="D7195" s="125"/>
    </row>
    <row r="7196">
      <c r="A7196" s="122" t="s">
        <v>10430</v>
      </c>
      <c r="B7196" s="123">
        <v>1822479.0</v>
      </c>
      <c r="C7196" s="687" t="s">
        <v>10431</v>
      </c>
      <c r="D7196" s="125"/>
    </row>
    <row r="7197">
      <c r="A7197" s="122" t="s">
        <v>4265</v>
      </c>
      <c r="B7197" s="123">
        <v>1301236.0</v>
      </c>
      <c r="C7197" s="687" t="s">
        <v>4266</v>
      </c>
      <c r="D7197" s="125"/>
    </row>
    <row r="7198">
      <c r="A7198" s="122" t="s">
        <v>11218</v>
      </c>
      <c r="B7198" s="123">
        <v>1301236.0</v>
      </c>
      <c r="C7198" s="687" t="s">
        <v>11219</v>
      </c>
      <c r="D7198" s="125"/>
    </row>
    <row r="7199">
      <c r="A7199" s="122" t="s">
        <v>13513</v>
      </c>
      <c r="B7199" s="123">
        <v>1541119.0</v>
      </c>
      <c r="C7199" s="687" t="s">
        <v>13514</v>
      </c>
      <c r="D7199" s="125"/>
    </row>
    <row r="7200">
      <c r="A7200" s="122" t="s">
        <v>2462</v>
      </c>
      <c r="B7200" s="123">
        <v>1840856.0</v>
      </c>
      <c r="C7200" s="687" t="s">
        <v>2463</v>
      </c>
      <c r="D7200" s="125"/>
    </row>
    <row r="7201">
      <c r="A7201" s="122" t="s">
        <v>4567</v>
      </c>
      <c r="B7201" s="123">
        <v>1840856.0</v>
      </c>
      <c r="C7201" s="687" t="s">
        <v>4568</v>
      </c>
      <c r="D7201" s="125"/>
    </row>
    <row r="7202">
      <c r="A7202" s="122" t="s">
        <v>11357</v>
      </c>
      <c r="B7202" s="123">
        <v>1351636.0</v>
      </c>
      <c r="C7202" s="687" t="s">
        <v>11358</v>
      </c>
      <c r="D7202" s="125"/>
    </row>
    <row r="7203">
      <c r="A7203" s="122" t="s">
        <v>13586</v>
      </c>
      <c r="B7203" s="123">
        <v>91847.0</v>
      </c>
      <c r="C7203" s="687" t="s">
        <v>13587</v>
      </c>
      <c r="D7203" s="125"/>
    </row>
    <row r="7204">
      <c r="A7204" s="122" t="s">
        <v>7964</v>
      </c>
      <c r="B7204" s="123">
        <v>1163609.0</v>
      </c>
      <c r="C7204" s="687" t="s">
        <v>7965</v>
      </c>
      <c r="D7204" s="125"/>
    </row>
    <row r="7205">
      <c r="A7205" s="122" t="s">
        <v>12524</v>
      </c>
      <c r="B7205" s="123">
        <v>1163668.0</v>
      </c>
      <c r="C7205" s="687" t="s">
        <v>12525</v>
      </c>
      <c r="D7205" s="125"/>
    </row>
    <row r="7206">
      <c r="A7206" s="122" t="s">
        <v>11572</v>
      </c>
      <c r="B7206" s="123">
        <v>92122.0</v>
      </c>
      <c r="C7206" s="687" t="s">
        <v>11573</v>
      </c>
      <c r="D7206" s="125"/>
    </row>
    <row r="7207">
      <c r="A7207" s="122" t="s">
        <v>16770</v>
      </c>
      <c r="B7207" s="123">
        <v>703904.0</v>
      </c>
      <c r="C7207" s="687" t="s">
        <v>16771</v>
      </c>
      <c r="D7207" s="125"/>
    </row>
    <row r="7208">
      <c r="A7208" s="122" t="s">
        <v>12356</v>
      </c>
      <c r="B7208" s="123">
        <v>92108.0</v>
      </c>
      <c r="C7208" s="687" t="s">
        <v>12357</v>
      </c>
      <c r="D7208" s="125"/>
    </row>
    <row r="7209">
      <c r="A7209" s="122" t="s">
        <v>14737</v>
      </c>
      <c r="B7209" s="123">
        <v>92122.0</v>
      </c>
      <c r="C7209" s="687" t="s">
        <v>14738</v>
      </c>
      <c r="D7209" s="125"/>
    </row>
    <row r="7210">
      <c r="A7210" s="122" t="s">
        <v>15038</v>
      </c>
      <c r="B7210" s="123">
        <v>1001838.0</v>
      </c>
      <c r="C7210" s="687" t="s">
        <v>15039</v>
      </c>
      <c r="D7210" s="125"/>
    </row>
    <row r="7211">
      <c r="A7211" s="122" t="s">
        <v>8359</v>
      </c>
      <c r="B7211" s="123">
        <v>1831523.0</v>
      </c>
      <c r="C7211" s="687" t="s">
        <v>8360</v>
      </c>
      <c r="D7211" s="125"/>
    </row>
    <row r="7212">
      <c r="A7212" s="122" t="s">
        <v>13281</v>
      </c>
      <c r="B7212" s="123">
        <v>1090009.0</v>
      </c>
      <c r="C7212" s="687" t="s">
        <v>13282</v>
      </c>
      <c r="D7212" s="125"/>
    </row>
    <row r="7213">
      <c r="A7213" s="122" t="s">
        <v>1345</v>
      </c>
      <c r="B7213" s="123">
        <v>1468978.0</v>
      </c>
      <c r="C7213" s="687" t="s">
        <v>1346</v>
      </c>
      <c r="D7213" s="125"/>
    </row>
    <row r="7214">
      <c r="A7214" s="122" t="s">
        <v>12017</v>
      </c>
      <c r="B7214" s="123">
        <v>92122.0</v>
      </c>
      <c r="C7214" s="687" t="s">
        <v>12018</v>
      </c>
      <c r="D7214" s="125"/>
    </row>
    <row r="7215">
      <c r="A7215" s="122" t="s">
        <v>10936</v>
      </c>
      <c r="B7215" s="123">
        <v>703699.0</v>
      </c>
      <c r="C7215" s="687" t="s">
        <v>10937</v>
      </c>
      <c r="D7215" s="125"/>
    </row>
    <row r="7216">
      <c r="A7216" s="122" t="s">
        <v>13691</v>
      </c>
      <c r="B7216" s="123">
        <v>916907.0</v>
      </c>
      <c r="C7216" s="687" t="s">
        <v>13692</v>
      </c>
      <c r="D7216" s="125"/>
    </row>
    <row r="7217">
      <c r="A7217" s="122" t="s">
        <v>1896</v>
      </c>
      <c r="B7217" s="123">
        <v>1397616.0</v>
      </c>
      <c r="C7217" s="687" t="s">
        <v>1897</v>
      </c>
      <c r="D7217" s="125"/>
    </row>
    <row r="7218">
      <c r="A7218" s="122" t="s">
        <v>12422</v>
      </c>
      <c r="B7218" s="123">
        <v>1689731.0</v>
      </c>
      <c r="C7218" s="687" t="s">
        <v>12423</v>
      </c>
      <c r="D7218" s="125"/>
    </row>
    <row r="7219">
      <c r="A7219" s="122" t="s">
        <v>8724</v>
      </c>
      <c r="B7219" s="123">
        <v>1865200.0</v>
      </c>
      <c r="C7219" s="687" t="s">
        <v>8725</v>
      </c>
      <c r="D7219" s="125"/>
    </row>
    <row r="7220">
      <c r="A7220" s="122" t="s">
        <v>12830</v>
      </c>
      <c r="B7220" s="123">
        <v>705432.0</v>
      </c>
      <c r="C7220" s="687" t="s">
        <v>12831</v>
      </c>
      <c r="D7220" s="125"/>
    </row>
    <row r="7221">
      <c r="A7221" s="122" t="s">
        <v>15020</v>
      </c>
      <c r="B7221" s="123">
        <v>764038.0</v>
      </c>
      <c r="C7221" s="687" t="s">
        <v>15021</v>
      </c>
      <c r="D7221" s="125"/>
    </row>
    <row r="7222">
      <c r="A7222" s="122" t="s">
        <v>14441</v>
      </c>
      <c r="B7222" s="123">
        <v>1692115.0</v>
      </c>
      <c r="C7222" s="687" t="s">
        <v>14442</v>
      </c>
      <c r="D7222" s="125"/>
    </row>
    <row r="7223">
      <c r="A7223" s="122" t="s">
        <v>7178</v>
      </c>
      <c r="B7223" s="123">
        <v>7332.0</v>
      </c>
      <c r="C7223" s="687" t="s">
        <v>7179</v>
      </c>
      <c r="D7223" s="125"/>
    </row>
    <row r="7224">
      <c r="A7224" s="122" t="s">
        <v>1289</v>
      </c>
      <c r="B7224" s="123">
        <v>811830.0</v>
      </c>
      <c r="C7224" s="687" t="s">
        <v>1290</v>
      </c>
      <c r="D7224" s="125"/>
    </row>
    <row r="7225">
      <c r="A7225" s="122" t="s">
        <v>11769</v>
      </c>
      <c r="B7225" s="123">
        <v>1856608.0</v>
      </c>
      <c r="C7225" s="687" t="s">
        <v>11770</v>
      </c>
      <c r="D7225" s="125"/>
    </row>
    <row r="7226">
      <c r="A7226" s="122" t="s">
        <v>7459</v>
      </c>
      <c r="B7226" s="123">
        <v>1490161.0</v>
      </c>
      <c r="C7226" s="687" t="s">
        <v>7460</v>
      </c>
      <c r="D7226" s="125"/>
    </row>
    <row r="7227">
      <c r="A7227" s="122" t="s">
        <v>14162</v>
      </c>
      <c r="B7227" s="123">
        <v>1059262.0</v>
      </c>
      <c r="C7227" s="687" t="s">
        <v>14163</v>
      </c>
      <c r="D7227" s="125"/>
    </row>
    <row r="7228">
      <c r="A7228" s="122" t="s">
        <v>14352</v>
      </c>
      <c r="B7228" s="123">
        <v>1060219.0</v>
      </c>
      <c r="C7228" s="687" t="s">
        <v>14353</v>
      </c>
      <c r="D7228" s="125"/>
    </row>
    <row r="7229">
      <c r="A7229" s="122" t="s">
        <v>2801</v>
      </c>
      <c r="B7229" s="123">
        <v>927720.0</v>
      </c>
      <c r="C7229" s="687" t="s">
        <v>2802</v>
      </c>
      <c r="D7229" s="125"/>
    </row>
    <row r="7230">
      <c r="A7230" s="122" t="s">
        <v>3889</v>
      </c>
      <c r="B7230" s="123">
        <v>1004989.0</v>
      </c>
      <c r="C7230" s="687" t="s">
        <v>3890</v>
      </c>
      <c r="D7230" s="125"/>
    </row>
    <row r="7231">
      <c r="A7231" s="122" t="s">
        <v>6530</v>
      </c>
      <c r="B7231" s="123">
        <v>1848097.0</v>
      </c>
      <c r="C7231" s="687" t="s">
        <v>6531</v>
      </c>
      <c r="D7231" s="125"/>
    </row>
    <row r="7232">
      <c r="A7232" s="122" t="s">
        <v>1870</v>
      </c>
      <c r="B7232" s="123">
        <v>318299.0</v>
      </c>
      <c r="C7232" s="687" t="s">
        <v>1871</v>
      </c>
      <c r="D7232" s="125"/>
    </row>
    <row r="7233">
      <c r="A7233" s="122" t="s">
        <v>11879</v>
      </c>
      <c r="B7233" s="123">
        <v>877422.0</v>
      </c>
      <c r="C7233" s="687" t="s">
        <v>11880</v>
      </c>
      <c r="D7233" s="125"/>
    </row>
    <row r="7234">
      <c r="A7234" s="122" t="s">
        <v>11418</v>
      </c>
      <c r="B7234" s="123">
        <v>1838615.0</v>
      </c>
      <c r="C7234" s="687" t="s">
        <v>11419</v>
      </c>
      <c r="D7234" s="125"/>
    </row>
    <row r="7235">
      <c r="A7235" s="122" t="s">
        <v>16511</v>
      </c>
      <c r="B7235" s="123">
        <v>1041130.0</v>
      </c>
      <c r="C7235" s="687" t="s">
        <v>16512</v>
      </c>
      <c r="D7235" s="125"/>
    </row>
    <row r="7236">
      <c r="A7236" s="122" t="s">
        <v>13578</v>
      </c>
      <c r="B7236" s="123">
        <v>1618181.0</v>
      </c>
      <c r="C7236" s="687" t="s">
        <v>13579</v>
      </c>
      <c r="D7236" s="125"/>
    </row>
    <row r="7237">
      <c r="A7237" s="122" t="s">
        <v>16108</v>
      </c>
      <c r="B7237" s="123">
        <v>1222333.0</v>
      </c>
      <c r="C7237" s="687" t="s">
        <v>16109</v>
      </c>
      <c r="D7237" s="125"/>
    </row>
    <row r="7238">
      <c r="A7238" s="122" t="s">
        <v>14437</v>
      </c>
      <c r="B7238" s="123">
        <v>1851893.0</v>
      </c>
      <c r="C7238" s="687" t="s">
        <v>14438</v>
      </c>
      <c r="D7238" s="125"/>
    </row>
    <row r="7239">
      <c r="A7239" s="122" t="s">
        <v>16594</v>
      </c>
      <c r="B7239" s="123">
        <v>884394.0</v>
      </c>
      <c r="C7239" s="687" t="s">
        <v>16595</v>
      </c>
      <c r="D7239" s="125"/>
    </row>
    <row r="7240">
      <c r="A7240" s="122" t="s">
        <v>16603</v>
      </c>
      <c r="B7240" s="123">
        <v>936958.0</v>
      </c>
      <c r="C7240" s="687" t="s">
        <v>16604</v>
      </c>
      <c r="D7240" s="125"/>
    </row>
    <row r="7241">
      <c r="A7241" s="122" t="s">
        <v>9663</v>
      </c>
      <c r="B7241" s="123">
        <v>897802.0</v>
      </c>
      <c r="C7241" s="687" t="s">
        <v>9664</v>
      </c>
      <c r="D7241" s="125"/>
    </row>
    <row r="7242">
      <c r="A7242" s="122" t="s">
        <v>3654</v>
      </c>
      <c r="B7242" s="123">
        <v>1840102.0</v>
      </c>
      <c r="C7242" s="687" t="s">
        <v>3655</v>
      </c>
      <c r="D7242" s="125"/>
    </row>
    <row r="7243">
      <c r="A7243" s="122" t="s">
        <v>2909</v>
      </c>
      <c r="B7243" s="123">
        <v>1840416.0</v>
      </c>
      <c r="C7243" s="687" t="s">
        <v>2910</v>
      </c>
      <c r="D7243" s="125"/>
    </row>
    <row r="7244">
      <c r="A7244" s="122" t="s">
        <v>1067</v>
      </c>
      <c r="B7244" s="123">
        <v>1131903.0</v>
      </c>
      <c r="C7244" s="687" t="s">
        <v>1068</v>
      </c>
      <c r="D7244" s="125"/>
    </row>
    <row r="7245">
      <c r="A7245" s="122" t="s">
        <v>14974</v>
      </c>
      <c r="B7245" s="123">
        <v>109177.0</v>
      </c>
      <c r="C7245" s="687" t="s">
        <v>14975</v>
      </c>
      <c r="D7245" s="125"/>
    </row>
    <row r="7246">
      <c r="A7246" s="122" t="s">
        <v>4363</v>
      </c>
      <c r="B7246" s="123">
        <v>1701108.0</v>
      </c>
      <c r="C7246" s="687" t="s">
        <v>4364</v>
      </c>
      <c r="D7246" s="125"/>
    </row>
    <row r="7247">
      <c r="A7247" s="122" t="s">
        <v>4778</v>
      </c>
      <c r="B7247" s="123">
        <v>1591956.0</v>
      </c>
      <c r="C7247" s="687" t="s">
        <v>4779</v>
      </c>
      <c r="D7247" s="125"/>
    </row>
    <row r="7248">
      <c r="A7248" s="122" t="s">
        <v>3207</v>
      </c>
      <c r="B7248" s="123">
        <v>1210618.0</v>
      </c>
      <c r="C7248" s="687" t="s">
        <v>3208</v>
      </c>
      <c r="D7248" s="125"/>
    </row>
    <row r="7249">
      <c r="A7249" s="122" t="s">
        <v>5402</v>
      </c>
      <c r="B7249" s="123">
        <v>867038.0</v>
      </c>
      <c r="C7249" s="687" t="s">
        <v>5403</v>
      </c>
      <c r="D7249" s="125"/>
    </row>
    <row r="7250">
      <c r="A7250" s="122" t="s">
        <v>7345</v>
      </c>
      <c r="B7250" s="123">
        <v>1816017.0</v>
      </c>
      <c r="C7250" s="687" t="s">
        <v>7346</v>
      </c>
      <c r="D7250" s="125"/>
    </row>
    <row r="7251">
      <c r="A7251" s="122" t="s">
        <v>14401</v>
      </c>
      <c r="B7251" s="123">
        <v>1126956.0</v>
      </c>
      <c r="C7251" s="687" t="s">
        <v>14402</v>
      </c>
      <c r="D7251" s="125"/>
    </row>
    <row r="7252">
      <c r="A7252" s="122" t="s">
        <v>13952</v>
      </c>
      <c r="B7252" s="123">
        <v>1126956.0</v>
      </c>
      <c r="C7252" s="687" t="s">
        <v>13953</v>
      </c>
      <c r="D7252" s="125"/>
    </row>
    <row r="7253">
      <c r="A7253" s="122" t="s">
        <v>12645</v>
      </c>
      <c r="B7253" s="123">
        <v>1364885.0</v>
      </c>
      <c r="C7253" s="687" t="s">
        <v>12646</v>
      </c>
      <c r="D7253" s="125"/>
    </row>
    <row r="7254">
      <c r="A7254" s="122" t="s">
        <v>7133</v>
      </c>
      <c r="B7254" s="123">
        <v>1498710.0</v>
      </c>
      <c r="C7254" s="687" t="s">
        <v>7134</v>
      </c>
      <c r="D7254" s="125"/>
    </row>
    <row r="7255">
      <c r="A7255" s="122" t="s">
        <v>13715</v>
      </c>
      <c r="B7255" s="123">
        <v>1308606.0</v>
      </c>
      <c r="C7255" s="687" t="s">
        <v>13716</v>
      </c>
      <c r="D7255" s="125"/>
    </row>
    <row r="7256">
      <c r="A7256" s="122" t="s">
        <v>2409</v>
      </c>
      <c r="B7256" s="123">
        <v>1434737.0</v>
      </c>
      <c r="C7256" s="687" t="s">
        <v>2410</v>
      </c>
      <c r="D7256" s="125"/>
    </row>
    <row r="7257">
      <c r="A7257" s="122" t="s">
        <v>2741</v>
      </c>
      <c r="B7257" s="123">
        <v>1553788.0</v>
      </c>
      <c r="C7257" s="687" t="s">
        <v>2742</v>
      </c>
      <c r="D7257" s="125"/>
    </row>
    <row r="7258">
      <c r="A7258" s="122" t="s">
        <v>15907</v>
      </c>
      <c r="B7258" s="123">
        <v>1353283.0</v>
      </c>
      <c r="C7258" s="687" t="s">
        <v>15908</v>
      </c>
      <c r="D7258" s="125"/>
    </row>
    <row r="7259">
      <c r="A7259" s="122" t="s">
        <v>10852</v>
      </c>
      <c r="B7259" s="123">
        <v>1289945.0</v>
      </c>
      <c r="C7259" s="687" t="s">
        <v>10853</v>
      </c>
      <c r="D7259" s="125"/>
    </row>
    <row r="7260">
      <c r="A7260" s="122" t="s">
        <v>8479</v>
      </c>
      <c r="B7260" s="123">
        <v>1836470.0</v>
      </c>
      <c r="C7260" s="687" t="s">
        <v>8480</v>
      </c>
      <c r="D7260" s="125"/>
    </row>
    <row r="7261">
      <c r="A7261" s="122" t="s">
        <v>34145</v>
      </c>
      <c r="B7261" s="123">
        <v>1338672.0</v>
      </c>
      <c r="C7261" s="687" t="s">
        <v>34146</v>
      </c>
      <c r="D7261" s="125"/>
    </row>
    <row r="7262">
      <c r="A7262" s="122" t="s">
        <v>5889</v>
      </c>
      <c r="B7262" s="123">
        <v>1132105.0</v>
      </c>
      <c r="C7262" s="687" t="s">
        <v>5890</v>
      </c>
      <c r="D7262" s="125"/>
    </row>
    <row r="7263">
      <c r="A7263" s="122" t="s">
        <v>16236</v>
      </c>
      <c r="B7263" s="123">
        <v>1639920.0</v>
      </c>
      <c r="C7263" s="687" t="s">
        <v>16237</v>
      </c>
      <c r="D7263" s="125"/>
    </row>
    <row r="7264">
      <c r="A7264" s="122" t="s">
        <v>446</v>
      </c>
      <c r="B7264" s="123">
        <v>1077319.0</v>
      </c>
      <c r="C7264" s="687" t="s">
        <v>447</v>
      </c>
      <c r="D7264" s="125"/>
    </row>
    <row r="7265">
      <c r="A7265" s="122" t="s">
        <v>8926</v>
      </c>
      <c r="B7265" s="123">
        <v>1881462.0</v>
      </c>
      <c r="C7265" s="687" t="s">
        <v>8927</v>
      </c>
      <c r="D7265" s="125"/>
    </row>
    <row r="7266">
      <c r="A7266" s="122" t="s">
        <v>8942</v>
      </c>
      <c r="B7266" s="123">
        <v>1843477.0</v>
      </c>
      <c r="C7266" s="687" t="s">
        <v>8943</v>
      </c>
      <c r="D7266" s="125"/>
    </row>
    <row r="7267">
      <c r="A7267" s="122" t="s">
        <v>34147</v>
      </c>
      <c r="B7267" s="123">
        <v>1801602.0</v>
      </c>
      <c r="C7267" s="687" t="s">
        <v>34148</v>
      </c>
      <c r="D7267" s="125"/>
    </row>
    <row r="7268">
      <c r="A7268" s="122" t="s">
        <v>1922</v>
      </c>
      <c r="B7268" s="123">
        <v>1801602.0</v>
      </c>
      <c r="C7268" s="687" t="s">
        <v>1923</v>
      </c>
      <c r="D7268" s="125"/>
    </row>
    <row r="7269">
      <c r="A7269" s="122" t="s">
        <v>13914</v>
      </c>
      <c r="B7269" s="123">
        <v>1773427.0</v>
      </c>
      <c r="C7269" s="687" t="s">
        <v>13915</v>
      </c>
      <c r="D7269" s="125"/>
    </row>
    <row r="7270">
      <c r="A7270" s="122" t="s">
        <v>9838</v>
      </c>
      <c r="B7270" s="123">
        <v>1569345.0</v>
      </c>
      <c r="C7270" s="687" t="s">
        <v>9839</v>
      </c>
      <c r="D7270" s="125"/>
    </row>
    <row r="7271">
      <c r="A7271" s="122" t="s">
        <v>7536</v>
      </c>
      <c r="B7271" s="123">
        <v>825202.0</v>
      </c>
      <c r="C7271" s="687" t="s">
        <v>7537</v>
      </c>
      <c r="D7271" s="125"/>
    </row>
    <row r="7272">
      <c r="A7272" s="122" t="s">
        <v>13405</v>
      </c>
      <c r="B7272" s="123">
        <v>1512920.0</v>
      </c>
      <c r="C7272" s="687" t="s">
        <v>13406</v>
      </c>
      <c r="D7272" s="125"/>
    </row>
    <row r="7273">
      <c r="A7273" s="122" t="s">
        <v>11141</v>
      </c>
      <c r="B7273" s="123">
        <v>1726122.0</v>
      </c>
      <c r="C7273" s="687" t="s">
        <v>11142</v>
      </c>
      <c r="D7273" s="125"/>
    </row>
    <row r="7274">
      <c r="A7274" s="122" t="s">
        <v>10598</v>
      </c>
      <c r="B7274" s="123">
        <v>1477049.0</v>
      </c>
      <c r="C7274" s="687" t="s">
        <v>10599</v>
      </c>
      <c r="D7274" s="125"/>
    </row>
    <row r="7275">
      <c r="A7275" s="122" t="s">
        <v>8067</v>
      </c>
      <c r="B7275" s="123">
        <v>1539190.0</v>
      </c>
      <c r="C7275" s="687" t="s">
        <v>8068</v>
      </c>
      <c r="D7275" s="125"/>
    </row>
    <row r="7276">
      <c r="A7276" s="122" t="s">
        <v>7538</v>
      </c>
      <c r="B7276" s="123">
        <v>1494728.0</v>
      </c>
      <c r="C7276" s="687" t="s">
        <v>7539</v>
      </c>
      <c r="D7276" s="125"/>
    </row>
    <row r="7277">
      <c r="A7277" s="122" t="s">
        <v>14518</v>
      </c>
      <c r="B7277" s="123">
        <v>1517375.0</v>
      </c>
      <c r="C7277" s="687" t="s">
        <v>14519</v>
      </c>
      <c r="D7277" s="125"/>
    </row>
    <row r="7278">
      <c r="A7278" s="122" t="s">
        <v>14138</v>
      </c>
      <c r="B7278" s="123">
        <v>1575515.0</v>
      </c>
      <c r="C7278" s="687" t="s">
        <v>14139</v>
      </c>
      <c r="D7278" s="125"/>
    </row>
    <row r="7279">
      <c r="A7279" s="122" t="s">
        <v>5822</v>
      </c>
      <c r="B7279" s="123">
        <v>1683553.0</v>
      </c>
      <c r="C7279" s="687" t="s">
        <v>5823</v>
      </c>
      <c r="D7279" s="125"/>
    </row>
    <row r="7280">
      <c r="A7280" s="122" t="s">
        <v>16061</v>
      </c>
      <c r="B7280" s="123">
        <v>1092699.0</v>
      </c>
      <c r="C7280" s="687" t="s">
        <v>16062</v>
      </c>
      <c r="D7280" s="125"/>
    </row>
    <row r="7281">
      <c r="A7281" s="122" t="s">
        <v>15473</v>
      </c>
      <c r="B7281" s="123">
        <v>88205.0</v>
      </c>
      <c r="C7281" s="687" t="s">
        <v>15474</v>
      </c>
      <c r="D7281" s="125"/>
    </row>
    <row r="7282">
      <c r="A7282" s="122" t="s">
        <v>34149</v>
      </c>
      <c r="B7282" s="123">
        <v>829325.0</v>
      </c>
      <c r="C7282" s="687" t="s">
        <v>34150</v>
      </c>
      <c r="D7282" s="125"/>
    </row>
    <row r="7283">
      <c r="A7283" s="122" t="s">
        <v>12934</v>
      </c>
      <c r="B7283" s="123">
        <v>1496963.0</v>
      </c>
      <c r="C7283" s="687" t="s">
        <v>12935</v>
      </c>
      <c r="D7283" s="125"/>
    </row>
    <row r="7284">
      <c r="A7284" s="122" t="s">
        <v>1057</v>
      </c>
      <c r="B7284" s="123">
        <v>1538217.0</v>
      </c>
      <c r="C7284" s="687" t="s">
        <v>1058</v>
      </c>
      <c r="D7284" s="125"/>
    </row>
    <row r="7285">
      <c r="A7285" s="122" t="s">
        <v>10237</v>
      </c>
      <c r="B7285" s="123">
        <v>102426.0</v>
      </c>
      <c r="C7285" s="687" t="s">
        <v>10238</v>
      </c>
      <c r="D7285" s="125"/>
    </row>
    <row r="7286">
      <c r="A7286" s="122" t="s">
        <v>13425</v>
      </c>
      <c r="B7286" s="123">
        <v>1031029.0</v>
      </c>
      <c r="C7286" s="687" t="s">
        <v>13426</v>
      </c>
      <c r="D7286" s="125"/>
    </row>
    <row r="7287">
      <c r="A7287" s="122" t="s">
        <v>14493</v>
      </c>
      <c r="B7287" s="123">
        <v>1402436.0</v>
      </c>
      <c r="C7287" s="687" t="s">
        <v>14494</v>
      </c>
      <c r="D7287" s="125"/>
    </row>
    <row r="7288">
      <c r="A7288" s="122" t="s">
        <v>8202</v>
      </c>
      <c r="B7288" s="123">
        <v>921638.0</v>
      </c>
      <c r="C7288" s="687" t="s">
        <v>8203</v>
      </c>
      <c r="D7288" s="125"/>
    </row>
    <row r="7289">
      <c r="A7289" s="122" t="s">
        <v>14315</v>
      </c>
      <c r="B7289" s="123">
        <v>745308.0</v>
      </c>
      <c r="C7289" s="687" t="s">
        <v>14316</v>
      </c>
      <c r="D7289" s="125"/>
    </row>
    <row r="7290">
      <c r="A7290" s="122" t="s">
        <v>12623</v>
      </c>
      <c r="B7290" s="123">
        <v>718937.0</v>
      </c>
      <c r="C7290" s="687" t="s">
        <v>12624</v>
      </c>
      <c r="D7290" s="125"/>
    </row>
    <row r="7291">
      <c r="A7291" s="122" t="s">
        <v>6409</v>
      </c>
      <c r="B7291" s="123">
        <v>1043186.0</v>
      </c>
      <c r="C7291" s="687" t="s">
        <v>6410</v>
      </c>
      <c r="D7291" s="125"/>
    </row>
    <row r="7292">
      <c r="A7292" s="122" t="s">
        <v>2639</v>
      </c>
      <c r="B7292" s="123">
        <v>1499717.0</v>
      </c>
      <c r="C7292" s="687" t="s">
        <v>2640</v>
      </c>
      <c r="D7292" s="125"/>
    </row>
    <row r="7293">
      <c r="A7293" s="122" t="s">
        <v>13429</v>
      </c>
      <c r="B7293" s="123">
        <v>1479094.0</v>
      </c>
      <c r="C7293" s="687" t="s">
        <v>13430</v>
      </c>
      <c r="D7293" s="125"/>
    </row>
    <row r="7294">
      <c r="A7294" s="122" t="s">
        <v>1110</v>
      </c>
      <c r="B7294" s="123">
        <v>1454263.0</v>
      </c>
      <c r="C7294" s="687" t="s">
        <v>1111</v>
      </c>
      <c r="D7294" s="125"/>
    </row>
    <row r="7295">
      <c r="A7295" s="122" t="s">
        <v>7176</v>
      </c>
      <c r="B7295" s="123">
        <v>876883.0</v>
      </c>
      <c r="C7295" s="687" t="s">
        <v>7177</v>
      </c>
      <c r="D7295" s="125"/>
    </row>
    <row r="7296">
      <c r="A7296" s="122" t="s">
        <v>5143</v>
      </c>
      <c r="B7296" s="123">
        <v>1162194.0</v>
      </c>
      <c r="C7296" s="687" t="s">
        <v>5144</v>
      </c>
      <c r="D7296" s="125"/>
    </row>
    <row r="7297">
      <c r="A7297" s="122" t="s">
        <v>4279</v>
      </c>
      <c r="B7297" s="123">
        <v>1537137.0</v>
      </c>
      <c r="C7297" s="687" t="s">
        <v>4280</v>
      </c>
      <c r="D7297" s="125"/>
    </row>
    <row r="7298">
      <c r="A7298" s="122" t="s">
        <v>13636</v>
      </c>
      <c r="B7298" s="123">
        <v>93389.0</v>
      </c>
      <c r="C7298" s="687" t="s">
        <v>13637</v>
      </c>
      <c r="D7298" s="125"/>
    </row>
    <row r="7299">
      <c r="A7299" s="122" t="s">
        <v>6056</v>
      </c>
      <c r="B7299" s="123">
        <v>1807893.0</v>
      </c>
      <c r="C7299" s="687" t="s">
        <v>6057</v>
      </c>
      <c r="D7299" s="125"/>
    </row>
    <row r="7300">
      <c r="A7300" s="122" t="s">
        <v>15881</v>
      </c>
      <c r="B7300" s="123">
        <v>310354.0</v>
      </c>
      <c r="C7300" s="687" t="s">
        <v>15882</v>
      </c>
      <c r="D7300" s="125"/>
    </row>
    <row r="7301">
      <c r="A7301" s="122" t="s">
        <v>15224</v>
      </c>
      <c r="B7301" s="123">
        <v>93556.0</v>
      </c>
      <c r="C7301" s="687" t="s">
        <v>15225</v>
      </c>
      <c r="D7301" s="125"/>
    </row>
    <row r="7302">
      <c r="A7302" s="122" t="s">
        <v>15050</v>
      </c>
      <c r="B7302" s="123">
        <v>1131383.0</v>
      </c>
      <c r="C7302" s="687" t="s">
        <v>15051</v>
      </c>
      <c r="D7302" s="125"/>
    </row>
    <row r="7303">
      <c r="A7303" s="122" t="s">
        <v>34151</v>
      </c>
      <c r="B7303" s="123">
        <v>1614556.0</v>
      </c>
      <c r="C7303" s="687" t="s">
        <v>34152</v>
      </c>
      <c r="D7303" s="125"/>
    </row>
    <row r="7304">
      <c r="A7304" s="122" t="s">
        <v>11669</v>
      </c>
      <c r="B7304" s="123">
        <v>1386716.0</v>
      </c>
      <c r="C7304" s="687" t="s">
        <v>11670</v>
      </c>
      <c r="D7304" s="125"/>
    </row>
    <row r="7305">
      <c r="A7305" s="122" t="s">
        <v>1705</v>
      </c>
      <c r="B7305" s="123">
        <v>1825786.0</v>
      </c>
      <c r="C7305" s="687" t="s">
        <v>1706</v>
      </c>
      <c r="D7305" s="125"/>
    </row>
    <row r="7306">
      <c r="A7306" s="122" t="s">
        <v>3749</v>
      </c>
      <c r="B7306" s="123">
        <v>707388.0</v>
      </c>
      <c r="C7306" s="687" t="s">
        <v>3750</v>
      </c>
      <c r="D7306" s="125"/>
    </row>
    <row r="7307">
      <c r="A7307" s="122" t="s">
        <v>8267</v>
      </c>
      <c r="B7307" s="123">
        <v>707388.0</v>
      </c>
      <c r="C7307" s="687" t="s">
        <v>8268</v>
      </c>
      <c r="D7307" s="125"/>
    </row>
    <row r="7308">
      <c r="A7308" s="122" t="s">
        <v>9403</v>
      </c>
      <c r="B7308" s="123">
        <v>1002590.0</v>
      </c>
      <c r="C7308" s="687" t="s">
        <v>9404</v>
      </c>
      <c r="D7308" s="125"/>
    </row>
    <row r="7309">
      <c r="A7309" s="122" t="s">
        <v>2645</v>
      </c>
      <c r="B7309" s="123">
        <v>1914818.0</v>
      </c>
      <c r="C7309" s="687" t="s">
        <v>2646</v>
      </c>
      <c r="D7309" s="125"/>
    </row>
    <row r="7310">
      <c r="A7310" s="122" t="s">
        <v>15266</v>
      </c>
      <c r="B7310" s="123">
        <v>829224.0</v>
      </c>
      <c r="C7310" s="687" t="s">
        <v>15267</v>
      </c>
      <c r="D7310" s="125"/>
    </row>
    <row r="7311">
      <c r="A7311" s="122" t="s">
        <v>2083</v>
      </c>
      <c r="B7311" s="123">
        <v>1539850.0</v>
      </c>
      <c r="C7311" s="687" t="s">
        <v>2084</v>
      </c>
      <c r="D7311" s="125"/>
    </row>
    <row r="7312">
      <c r="A7312" s="122" t="s">
        <v>1593</v>
      </c>
      <c r="B7312" s="123">
        <v>1301713.0</v>
      </c>
      <c r="C7312" s="687" t="s">
        <v>1594</v>
      </c>
      <c r="D7312" s="125"/>
    </row>
    <row r="7313">
      <c r="A7313" s="122" t="s">
        <v>34153</v>
      </c>
      <c r="B7313" s="123">
        <v>1484703.0</v>
      </c>
      <c r="C7313" s="687" t="s">
        <v>34154</v>
      </c>
      <c r="D7313" s="125"/>
    </row>
    <row r="7314">
      <c r="A7314" s="122" t="s">
        <v>2582</v>
      </c>
      <c r="B7314" s="123">
        <v>1803096.0</v>
      </c>
      <c r="C7314" s="687" t="s">
        <v>2583</v>
      </c>
      <c r="D7314" s="125"/>
    </row>
    <row r="7315">
      <c r="A7315" s="122" t="s">
        <v>1209</v>
      </c>
      <c r="B7315" s="123">
        <v>1794942.0</v>
      </c>
      <c r="C7315" s="687" t="s">
        <v>1210</v>
      </c>
      <c r="D7315" s="125"/>
    </row>
    <row r="7316">
      <c r="A7316" s="122" t="s">
        <v>2171</v>
      </c>
      <c r="B7316" s="123">
        <v>1095651.0</v>
      </c>
      <c r="C7316" s="687" t="s">
        <v>2172</v>
      </c>
      <c r="D7316" s="125"/>
    </row>
    <row r="7317">
      <c r="A7317" s="122" t="s">
        <v>480</v>
      </c>
      <c r="B7317" s="123">
        <v>1561686.0</v>
      </c>
      <c r="C7317" s="687" t="s">
        <v>481</v>
      </c>
      <c r="D7317" s="125"/>
    </row>
    <row r="7318">
      <c r="A7318" s="122" t="s">
        <v>517</v>
      </c>
      <c r="B7318" s="123">
        <v>1584480.0</v>
      </c>
      <c r="C7318" s="687" t="s">
        <v>518</v>
      </c>
      <c r="D7318" s="125"/>
    </row>
    <row r="7319">
      <c r="A7319" s="122" t="s">
        <v>11404</v>
      </c>
      <c r="B7319" s="123">
        <v>1465128.0</v>
      </c>
      <c r="C7319" s="687" t="s">
        <v>11405</v>
      </c>
      <c r="D7319" s="125"/>
    </row>
    <row r="7320">
      <c r="A7320" s="122" t="s">
        <v>14854</v>
      </c>
      <c r="B7320" s="123">
        <v>93751.0</v>
      </c>
      <c r="C7320" s="687" t="s">
        <v>14855</v>
      </c>
      <c r="D7320" s="125"/>
    </row>
    <row r="7321">
      <c r="A7321" s="122" t="s">
        <v>34155</v>
      </c>
      <c r="B7321" s="123">
        <v>1318641.0</v>
      </c>
      <c r="C7321" s="687" t="s">
        <v>34156</v>
      </c>
      <c r="D7321" s="125"/>
    </row>
    <row r="7322">
      <c r="A7322" s="122" t="s">
        <v>3119</v>
      </c>
      <c r="B7322" s="123">
        <v>1828098.0</v>
      </c>
      <c r="C7322" s="687" t="s">
        <v>3120</v>
      </c>
      <c r="D7322" s="125"/>
    </row>
    <row r="7323">
      <c r="A7323" s="122" t="s">
        <v>7408</v>
      </c>
      <c r="B7323" s="123">
        <v>1328919.0</v>
      </c>
      <c r="C7323" s="687" t="s">
        <v>7409</v>
      </c>
      <c r="D7323" s="125"/>
    </row>
    <row r="7324">
      <c r="A7324" s="122" t="s">
        <v>8087</v>
      </c>
      <c r="B7324" s="123">
        <v>914712.0</v>
      </c>
      <c r="C7324" s="687" t="s">
        <v>8088</v>
      </c>
      <c r="D7324" s="125"/>
    </row>
    <row r="7325">
      <c r="A7325" s="122" t="s">
        <v>15614</v>
      </c>
      <c r="B7325" s="123">
        <v>1022671.0</v>
      </c>
      <c r="C7325" s="687" t="s">
        <v>15615</v>
      </c>
      <c r="D7325" s="125"/>
    </row>
    <row r="7326">
      <c r="A7326" s="122" t="s">
        <v>13379</v>
      </c>
      <c r="B7326" s="123">
        <v>1452857.0</v>
      </c>
      <c r="C7326" s="687" t="s">
        <v>13380</v>
      </c>
      <c r="D7326" s="125"/>
    </row>
    <row r="7327">
      <c r="A7327" s="122" t="s">
        <v>9786</v>
      </c>
      <c r="B7327" s="123">
        <v>1050825.0</v>
      </c>
      <c r="C7327" s="687" t="s">
        <v>9787</v>
      </c>
      <c r="D7327" s="125"/>
    </row>
    <row r="7328">
      <c r="A7328" s="122" t="s">
        <v>1479</v>
      </c>
      <c r="B7328" s="123">
        <v>1827620.0</v>
      </c>
      <c r="C7328" s="687" t="s">
        <v>1480</v>
      </c>
      <c r="D7328" s="125"/>
    </row>
    <row r="7329">
      <c r="A7329" s="122" t="s">
        <v>11953</v>
      </c>
      <c r="B7329" s="123">
        <v>1605484.0</v>
      </c>
      <c r="C7329" s="687" t="s">
        <v>11954</v>
      </c>
      <c r="D7329" s="125"/>
    </row>
    <row r="7330">
      <c r="A7330" s="122" t="s">
        <v>9842</v>
      </c>
      <c r="B7330" s="123">
        <v>1551901.0</v>
      </c>
      <c r="C7330" s="687" t="s">
        <v>9843</v>
      </c>
      <c r="D7330" s="125"/>
    </row>
    <row r="7331">
      <c r="A7331" s="122" t="s">
        <v>5512</v>
      </c>
      <c r="B7331" s="123">
        <v>1758766.0</v>
      </c>
      <c r="C7331" s="687" t="s">
        <v>5513</v>
      </c>
      <c r="D7331" s="125"/>
    </row>
    <row r="7332">
      <c r="A7332" s="122" t="s">
        <v>1797</v>
      </c>
      <c r="B7332" s="123">
        <v>1023198.0</v>
      </c>
      <c r="C7332" s="687" t="s">
        <v>1798</v>
      </c>
      <c r="D7332" s="125"/>
    </row>
    <row r="7333">
      <c r="A7333" s="122" t="s">
        <v>1095</v>
      </c>
      <c r="B7333" s="123">
        <v>1511820.0</v>
      </c>
      <c r="C7333" s="687" t="s">
        <v>1096</v>
      </c>
      <c r="D7333" s="125"/>
    </row>
    <row r="7334">
      <c r="A7334" s="122" t="s">
        <v>15236</v>
      </c>
      <c r="B7334" s="123">
        <v>94049.0</v>
      </c>
      <c r="C7334" s="687" t="s">
        <v>15237</v>
      </c>
      <c r="D7334" s="125"/>
    </row>
    <row r="7335">
      <c r="A7335" s="122" t="s">
        <v>13134</v>
      </c>
      <c r="B7335" s="123">
        <v>1796022.0</v>
      </c>
      <c r="C7335" s="687" t="s">
        <v>13135</v>
      </c>
      <c r="D7335" s="125"/>
    </row>
    <row r="7336">
      <c r="A7336" s="122" t="s">
        <v>567</v>
      </c>
      <c r="B7336" s="123">
        <v>1099814.0</v>
      </c>
      <c r="C7336" s="687" t="s">
        <v>568</v>
      </c>
      <c r="D7336" s="125"/>
    </row>
    <row r="7337">
      <c r="A7337" s="122" t="s">
        <v>4973</v>
      </c>
      <c r="B7337" s="123">
        <v>1289340.0</v>
      </c>
      <c r="C7337" s="687" t="s">
        <v>4974</v>
      </c>
      <c r="D7337" s="125"/>
    </row>
    <row r="7338">
      <c r="A7338" s="122" t="s">
        <v>14023</v>
      </c>
      <c r="B7338" s="123">
        <v>861878.0</v>
      </c>
      <c r="C7338" s="687" t="s">
        <v>14024</v>
      </c>
      <c r="D7338" s="125"/>
    </row>
    <row r="7339">
      <c r="A7339" s="122" t="s">
        <v>16232</v>
      </c>
      <c r="B7339" s="123">
        <v>1757898.0</v>
      </c>
      <c r="C7339" s="687" t="s">
        <v>16233</v>
      </c>
      <c r="D7339" s="125"/>
    </row>
    <row r="7340">
      <c r="A7340" s="122" t="s">
        <v>6682</v>
      </c>
      <c r="B7340" s="123">
        <v>1680379.0</v>
      </c>
      <c r="C7340" s="687" t="s">
        <v>6683</v>
      </c>
      <c r="D7340" s="125"/>
    </row>
    <row r="7341">
      <c r="A7341" s="122" t="s">
        <v>10129</v>
      </c>
      <c r="B7341" s="123">
        <v>1645070.0</v>
      </c>
      <c r="C7341" s="687" t="s">
        <v>10130</v>
      </c>
      <c r="D7341" s="125"/>
    </row>
    <row r="7342">
      <c r="A7342" s="122" t="s">
        <v>34157</v>
      </c>
      <c r="B7342" s="123">
        <v>1555972.0</v>
      </c>
      <c r="C7342" s="687" t="s">
        <v>34158</v>
      </c>
      <c r="D7342" s="125"/>
    </row>
    <row r="7343">
      <c r="A7343" s="122" t="s">
        <v>14969</v>
      </c>
      <c r="B7343" s="123">
        <v>874238.0</v>
      </c>
      <c r="C7343" s="687" t="s">
        <v>14970</v>
      </c>
      <c r="D7343" s="125"/>
    </row>
    <row r="7344">
      <c r="A7344" s="122" t="s">
        <v>13080</v>
      </c>
      <c r="B7344" s="123">
        <v>1849853.0</v>
      </c>
      <c r="C7344" s="687" t="s">
        <v>13081</v>
      </c>
      <c r="D7344" s="125"/>
    </row>
    <row r="7345">
      <c r="A7345" s="122" t="s">
        <v>13717</v>
      </c>
      <c r="B7345" s="123">
        <v>913241.0</v>
      </c>
      <c r="C7345" s="687" t="s">
        <v>13718</v>
      </c>
      <c r="D7345" s="125"/>
    </row>
    <row r="7346">
      <c r="A7346" s="122" t="s">
        <v>14537</v>
      </c>
      <c r="B7346" s="123">
        <v>94344.0</v>
      </c>
      <c r="C7346" s="687" t="s">
        <v>14538</v>
      </c>
      <c r="D7346" s="125"/>
    </row>
    <row r="7347">
      <c r="A7347" s="122" t="s">
        <v>14875</v>
      </c>
      <c r="B7347" s="123">
        <v>720672.0</v>
      </c>
      <c r="C7347" s="687" t="s">
        <v>14876</v>
      </c>
      <c r="D7347" s="125"/>
    </row>
    <row r="7348">
      <c r="A7348" s="122" t="s">
        <v>1888</v>
      </c>
      <c r="B7348" s="123">
        <v>1700157.0</v>
      </c>
      <c r="C7348" s="687" t="s">
        <v>1889</v>
      </c>
      <c r="D7348" s="125"/>
    </row>
    <row r="7349">
      <c r="A7349" s="122" t="s">
        <v>5717</v>
      </c>
      <c r="B7349" s="123">
        <v>1576942.0</v>
      </c>
      <c r="C7349" s="687" t="s">
        <v>5718</v>
      </c>
      <c r="D7349" s="125"/>
    </row>
    <row r="7350">
      <c r="A7350" s="122" t="s">
        <v>13785</v>
      </c>
      <c r="B7350" s="123">
        <v>932787.0</v>
      </c>
      <c r="C7350" s="687" t="s">
        <v>13754</v>
      </c>
      <c r="D7350" s="125"/>
    </row>
    <row r="7351">
      <c r="A7351" s="122" t="s">
        <v>13753</v>
      </c>
      <c r="B7351" s="123">
        <v>932787.0</v>
      </c>
      <c r="C7351" s="687" t="s">
        <v>13754</v>
      </c>
      <c r="D7351" s="125"/>
    </row>
    <row r="7352">
      <c r="A7352" s="122" t="s">
        <v>14031</v>
      </c>
      <c r="B7352" s="123">
        <v>835324.0</v>
      </c>
      <c r="C7352" s="687" t="s">
        <v>14032</v>
      </c>
      <c r="D7352" s="125"/>
    </row>
    <row r="7353">
      <c r="A7353" s="122" t="s">
        <v>6401</v>
      </c>
      <c r="B7353" s="123">
        <v>1623526.0</v>
      </c>
      <c r="C7353" s="687" t="s">
        <v>6402</v>
      </c>
      <c r="D7353" s="125"/>
    </row>
    <row r="7354">
      <c r="A7354" s="122" t="s">
        <v>1307</v>
      </c>
      <c r="B7354" s="123">
        <v>1844981.0</v>
      </c>
      <c r="C7354" s="687" t="s">
        <v>1308</v>
      </c>
      <c r="D7354" s="125"/>
    </row>
    <row r="7355">
      <c r="A7355" s="122" t="s">
        <v>8430</v>
      </c>
      <c r="B7355" s="123">
        <v>1844981.0</v>
      </c>
      <c r="C7355" s="687" t="s">
        <v>8431</v>
      </c>
      <c r="D7355" s="125"/>
    </row>
    <row r="7356">
      <c r="A7356" s="122" t="s">
        <v>9732</v>
      </c>
      <c r="B7356" s="123">
        <v>1844981.0</v>
      </c>
      <c r="C7356" s="687" t="s">
        <v>9733</v>
      </c>
      <c r="D7356" s="125"/>
    </row>
    <row r="7357">
      <c r="A7357" s="122" t="s">
        <v>11083</v>
      </c>
      <c r="B7357" s="123">
        <v>1745431.0</v>
      </c>
      <c r="C7357" s="687" t="s">
        <v>11084</v>
      </c>
      <c r="D7357" s="125"/>
    </row>
    <row r="7358">
      <c r="A7358" s="122" t="s">
        <v>11087</v>
      </c>
      <c r="B7358" s="123">
        <v>1043337.0</v>
      </c>
      <c r="C7358" s="687" t="s">
        <v>11088</v>
      </c>
      <c r="D7358" s="125"/>
    </row>
    <row r="7359">
      <c r="A7359" s="122" t="s">
        <v>14638</v>
      </c>
      <c r="B7359" s="123">
        <v>913760.0</v>
      </c>
      <c r="C7359" s="687" t="s">
        <v>14639</v>
      </c>
      <c r="D7359" s="125"/>
    </row>
    <row r="7360">
      <c r="A7360" s="122" t="s">
        <v>448</v>
      </c>
      <c r="B7360" s="123">
        <v>1227282.0</v>
      </c>
      <c r="C7360" s="687" t="s">
        <v>449</v>
      </c>
      <c r="D7360" s="125"/>
    </row>
    <row r="7361">
      <c r="A7361" s="122" t="s">
        <v>3079</v>
      </c>
      <c r="B7361" s="123">
        <v>1051514.0</v>
      </c>
      <c r="C7361" s="687" t="s">
        <v>3080</v>
      </c>
      <c r="D7361" s="125"/>
    </row>
    <row r="7362">
      <c r="A7362" s="122" t="s">
        <v>9995</v>
      </c>
      <c r="B7362" s="123">
        <v>1517396.0</v>
      </c>
      <c r="C7362" s="687" t="s">
        <v>9996</v>
      </c>
      <c r="D7362" s="125"/>
    </row>
    <row r="7363">
      <c r="A7363" s="122" t="s">
        <v>2620</v>
      </c>
      <c r="B7363" s="123">
        <v>847942.0</v>
      </c>
      <c r="C7363" s="687" t="s">
        <v>2621</v>
      </c>
      <c r="D7363" s="125"/>
    </row>
    <row r="7364">
      <c r="A7364" s="122" t="s">
        <v>34159</v>
      </c>
      <c r="B7364" s="123">
        <v>822655.0</v>
      </c>
      <c r="C7364" s="687" t="s">
        <v>34160</v>
      </c>
      <c r="D7364" s="125"/>
    </row>
    <row r="7365">
      <c r="A7365" s="122" t="s">
        <v>15315</v>
      </c>
      <c r="B7365" s="123">
        <v>1013934.0</v>
      </c>
      <c r="C7365" s="687" t="s">
        <v>15316</v>
      </c>
      <c r="D7365" s="125"/>
    </row>
    <row r="7366">
      <c r="A7366" s="122" t="s">
        <v>1741</v>
      </c>
      <c r="B7366" s="123">
        <v>1576197.0</v>
      </c>
      <c r="C7366" s="687" t="s">
        <v>1742</v>
      </c>
      <c r="D7366" s="125"/>
    </row>
    <row r="7367">
      <c r="A7367" s="122" t="s">
        <v>7053</v>
      </c>
      <c r="B7367" s="123">
        <v>916183.0</v>
      </c>
      <c r="C7367" s="687" t="s">
        <v>7054</v>
      </c>
      <c r="D7367" s="125"/>
    </row>
    <row r="7368">
      <c r="A7368" s="122" t="s">
        <v>4817</v>
      </c>
      <c r="B7368" s="123">
        <v>1446371.0</v>
      </c>
      <c r="C7368" s="687" t="s">
        <v>4818</v>
      </c>
      <c r="D7368" s="125"/>
    </row>
    <row r="7369">
      <c r="A7369" s="122" t="s">
        <v>2627</v>
      </c>
      <c r="B7369" s="123">
        <v>1321517.0</v>
      </c>
      <c r="C7369" s="687" t="s">
        <v>2628</v>
      </c>
      <c r="D7369" s="125"/>
    </row>
    <row r="7370">
      <c r="A7370" s="122" t="s">
        <v>11782</v>
      </c>
      <c r="B7370" s="123">
        <v>1357660.0</v>
      </c>
      <c r="C7370" s="687" t="s">
        <v>11783</v>
      </c>
      <c r="D7370" s="125"/>
    </row>
    <row r="7371">
      <c r="A7371" s="122" t="s">
        <v>12170</v>
      </c>
      <c r="B7371" s="123">
        <v>1343491.0</v>
      </c>
      <c r="C7371" s="687" t="s">
        <v>12171</v>
      </c>
      <c r="D7371" s="125"/>
    </row>
    <row r="7372">
      <c r="A7372" s="122" t="s">
        <v>11784</v>
      </c>
      <c r="B7372" s="123">
        <v>1356284.0</v>
      </c>
      <c r="C7372" s="687" t="s">
        <v>11785</v>
      </c>
      <c r="D7372" s="125"/>
    </row>
    <row r="7373">
      <c r="A7373" s="122" t="s">
        <v>8032</v>
      </c>
      <c r="B7373" s="123">
        <v>1286405.0</v>
      </c>
      <c r="C7373" s="687" t="s">
        <v>8033</v>
      </c>
      <c r="D7373" s="125"/>
    </row>
    <row r="7374">
      <c r="A7374" s="122" t="s">
        <v>12334</v>
      </c>
      <c r="B7374" s="123">
        <v>1340909.0</v>
      </c>
      <c r="C7374" s="687" t="s">
        <v>12335</v>
      </c>
      <c r="D7374" s="125"/>
    </row>
    <row r="7375">
      <c r="A7375" s="122" t="s">
        <v>12381</v>
      </c>
      <c r="B7375" s="123">
        <v>933034.0</v>
      </c>
      <c r="C7375" s="687" t="s">
        <v>12382</v>
      </c>
      <c r="D7375" s="125"/>
    </row>
    <row r="7376">
      <c r="A7376" s="122" t="s">
        <v>34161</v>
      </c>
      <c r="B7376" s="123">
        <v>1761540.0</v>
      </c>
      <c r="C7376" s="687" t="s">
        <v>34162</v>
      </c>
      <c r="D7376" s="125"/>
    </row>
    <row r="7377">
      <c r="A7377" s="122" t="s">
        <v>11716</v>
      </c>
      <c r="B7377" s="123">
        <v>885508.0</v>
      </c>
      <c r="C7377" s="687" t="s">
        <v>11717</v>
      </c>
      <c r="D7377" s="125"/>
    </row>
    <row r="7378">
      <c r="A7378" s="122" t="s">
        <v>7656</v>
      </c>
      <c r="B7378" s="123">
        <v>1782430.0</v>
      </c>
      <c r="C7378" s="687" t="s">
        <v>7657</v>
      </c>
      <c r="D7378" s="125"/>
    </row>
    <row r="7379">
      <c r="A7379" s="122" t="s">
        <v>2817</v>
      </c>
      <c r="B7379" s="123">
        <v>1008586.0</v>
      </c>
      <c r="C7379" s="687" t="s">
        <v>2818</v>
      </c>
      <c r="D7379" s="125"/>
    </row>
    <row r="7380">
      <c r="A7380" s="122" t="s">
        <v>14451</v>
      </c>
      <c r="B7380" s="123">
        <v>1157408.0</v>
      </c>
      <c r="C7380" s="687" t="s">
        <v>14452</v>
      </c>
      <c r="D7380" s="125"/>
    </row>
    <row r="7381">
      <c r="A7381" s="122" t="s">
        <v>2496</v>
      </c>
      <c r="B7381" s="123">
        <v>352960.0</v>
      </c>
      <c r="C7381" s="687" t="s">
        <v>2497</v>
      </c>
      <c r="D7381" s="125"/>
    </row>
    <row r="7382">
      <c r="A7382" s="122" t="s">
        <v>4010</v>
      </c>
      <c r="B7382" s="123">
        <v>1893448.0</v>
      </c>
      <c r="C7382" s="687" t="s">
        <v>4011</v>
      </c>
      <c r="D7382" s="125"/>
    </row>
    <row r="7383">
      <c r="A7383" s="122" t="s">
        <v>6329</v>
      </c>
      <c r="B7383" s="123">
        <v>1856028.0</v>
      </c>
      <c r="C7383" s="687" t="s">
        <v>6330</v>
      </c>
      <c r="D7383" s="125"/>
    </row>
    <row r="7384">
      <c r="A7384" s="122" t="s">
        <v>12477</v>
      </c>
      <c r="B7384" s="123">
        <v>1283337.0</v>
      </c>
      <c r="C7384" s="687" t="s">
        <v>12478</v>
      </c>
      <c r="D7384" s="125"/>
    </row>
    <row r="7385">
      <c r="A7385" s="122" t="s">
        <v>12707</v>
      </c>
      <c r="B7385" s="123">
        <v>1283464.0</v>
      </c>
      <c r="C7385" s="687" t="s">
        <v>12708</v>
      </c>
      <c r="D7385" s="125"/>
    </row>
    <row r="7386">
      <c r="A7386" s="122" t="s">
        <v>16461</v>
      </c>
      <c r="B7386" s="123">
        <v>310764.0</v>
      </c>
      <c r="C7386" s="687" t="s">
        <v>16462</v>
      </c>
      <c r="D7386" s="125"/>
    </row>
    <row r="7387">
      <c r="A7387" s="122" t="s">
        <v>617</v>
      </c>
      <c r="B7387" s="123">
        <v>1691936.0</v>
      </c>
      <c r="C7387" s="687" t="s">
        <v>618</v>
      </c>
      <c r="D7387" s="125"/>
    </row>
    <row r="7388">
      <c r="A7388" s="122" t="s">
        <v>7374</v>
      </c>
      <c r="B7388" s="123">
        <v>1713334.0</v>
      </c>
      <c r="C7388" s="687" t="s">
        <v>7375</v>
      </c>
      <c r="D7388" s="125"/>
    </row>
    <row r="7389">
      <c r="A7389" s="122" t="s">
        <v>11089</v>
      </c>
      <c r="B7389" s="123">
        <v>1166362.0</v>
      </c>
      <c r="C7389" s="687" t="s">
        <v>11090</v>
      </c>
      <c r="D7389" s="125"/>
    </row>
    <row r="7390">
      <c r="A7390" s="122" t="s">
        <v>13783</v>
      </c>
      <c r="B7390" s="123">
        <v>95029.0</v>
      </c>
      <c r="C7390" s="687" t="s">
        <v>13784</v>
      </c>
      <c r="D7390" s="125"/>
    </row>
    <row r="7391">
      <c r="A7391" s="122" t="s">
        <v>34163</v>
      </c>
      <c r="B7391" s="123">
        <v>1400683.0</v>
      </c>
      <c r="C7391" s="687" t="s">
        <v>34164</v>
      </c>
      <c r="D7391" s="125"/>
    </row>
    <row r="7392">
      <c r="A7392" s="122" t="s">
        <v>11436</v>
      </c>
      <c r="B7392" s="123">
        <v>1005210.0</v>
      </c>
      <c r="C7392" s="687" t="s">
        <v>11437</v>
      </c>
      <c r="D7392" s="125"/>
    </row>
    <row r="7393">
      <c r="A7393" s="122" t="s">
        <v>464</v>
      </c>
      <c r="B7393" s="123">
        <v>919175.0</v>
      </c>
      <c r="C7393" s="687" t="s">
        <v>465</v>
      </c>
      <c r="D7393" s="125"/>
    </row>
    <row r="7394">
      <c r="A7394" s="122" t="s">
        <v>4801</v>
      </c>
      <c r="B7394" s="123">
        <v>1394108.0</v>
      </c>
      <c r="C7394" s="687" t="s">
        <v>4802</v>
      </c>
      <c r="D7394" s="125"/>
    </row>
    <row r="7395">
      <c r="A7395" s="122" t="s">
        <v>4756</v>
      </c>
      <c r="B7395" s="123">
        <v>1534293.0</v>
      </c>
      <c r="C7395" s="687" t="s">
        <v>4757</v>
      </c>
      <c r="D7395" s="125"/>
    </row>
    <row r="7396">
      <c r="A7396" s="122" t="s">
        <v>8544</v>
      </c>
      <c r="B7396" s="123">
        <v>1022837.0</v>
      </c>
      <c r="C7396" s="687" t="s">
        <v>8545</v>
      </c>
      <c r="D7396" s="125"/>
    </row>
    <row r="7397">
      <c r="A7397" s="122" t="s">
        <v>14094</v>
      </c>
      <c r="B7397" s="123">
        <v>1022837.0</v>
      </c>
      <c r="C7397" s="687" t="s">
        <v>8545</v>
      </c>
      <c r="D7397" s="125"/>
    </row>
    <row r="7398">
      <c r="A7398" s="122" t="s">
        <v>2811</v>
      </c>
      <c r="B7398" s="123">
        <v>1396633.0</v>
      </c>
      <c r="C7398" s="687" t="s">
        <v>2812</v>
      </c>
      <c r="D7398" s="125"/>
    </row>
    <row r="7399">
      <c r="A7399" s="122" t="s">
        <v>12665</v>
      </c>
      <c r="B7399" s="123">
        <v>811808.0</v>
      </c>
      <c r="C7399" s="687" t="s">
        <v>12666</v>
      </c>
      <c r="D7399" s="125"/>
    </row>
    <row r="7400">
      <c r="A7400" s="122" t="s">
        <v>7236</v>
      </c>
      <c r="B7400" s="123">
        <v>1497645.0</v>
      </c>
      <c r="C7400" s="687" t="s">
        <v>7237</v>
      </c>
      <c r="D7400" s="125"/>
    </row>
    <row r="7401">
      <c r="A7401" s="122" t="s">
        <v>13413</v>
      </c>
      <c r="B7401" s="123">
        <v>1621563.0</v>
      </c>
      <c r="C7401" s="687" t="s">
        <v>13414</v>
      </c>
      <c r="D7401" s="125"/>
    </row>
    <row r="7402">
      <c r="A7402" s="122" t="s">
        <v>1976</v>
      </c>
      <c r="B7402" s="123">
        <v>1619096.0</v>
      </c>
      <c r="C7402" s="687" t="s">
        <v>1977</v>
      </c>
      <c r="D7402" s="125"/>
    </row>
    <row r="7403">
      <c r="A7403" s="122" t="s">
        <v>5990</v>
      </c>
      <c r="B7403" s="123">
        <v>1599298.0</v>
      </c>
      <c r="C7403" s="687" t="s">
        <v>5991</v>
      </c>
      <c r="D7403" s="125"/>
    </row>
    <row r="7404">
      <c r="A7404" s="122" t="s">
        <v>15701</v>
      </c>
      <c r="B7404" s="123">
        <v>912593.0</v>
      </c>
      <c r="C7404" s="687" t="s">
        <v>15702</v>
      </c>
      <c r="D7404" s="125"/>
    </row>
    <row r="7405">
      <c r="A7405" s="122" t="s">
        <v>10364</v>
      </c>
      <c r="B7405" s="123">
        <v>1743907.0</v>
      </c>
      <c r="C7405" s="687" t="s">
        <v>10365</v>
      </c>
      <c r="D7405" s="125"/>
    </row>
    <row r="7406">
      <c r="A7406" s="122" t="s">
        <v>14154</v>
      </c>
      <c r="B7406" s="123">
        <v>1097362.0</v>
      </c>
      <c r="C7406" s="687" t="s">
        <v>14155</v>
      </c>
      <c r="D7406" s="125"/>
    </row>
    <row r="7407">
      <c r="A7407" s="122" t="s">
        <v>34165</v>
      </c>
      <c r="B7407" s="123">
        <v>1343465.0</v>
      </c>
      <c r="C7407" s="687" t="s">
        <v>34166</v>
      </c>
      <c r="D7407" s="125"/>
    </row>
    <row r="7408">
      <c r="A7408" s="122" t="s">
        <v>1098</v>
      </c>
      <c r="B7408" s="123">
        <v>1480313.0</v>
      </c>
      <c r="C7408" s="687" t="s">
        <v>1099</v>
      </c>
      <c r="D7408" s="125"/>
    </row>
    <row r="7409">
      <c r="A7409" s="122" t="s">
        <v>9379</v>
      </c>
      <c r="B7409" s="123">
        <v>1514705.0</v>
      </c>
      <c r="C7409" s="687" t="s">
        <v>9380</v>
      </c>
      <c r="D7409" s="125"/>
    </row>
    <row r="7410">
      <c r="A7410" s="122" t="s">
        <v>12994</v>
      </c>
      <c r="B7410" s="123">
        <v>311337.0</v>
      </c>
      <c r="C7410" s="687" t="s">
        <v>12995</v>
      </c>
      <c r="D7410" s="125"/>
    </row>
    <row r="7411">
      <c r="A7411" s="122" t="s">
        <v>4269</v>
      </c>
      <c r="B7411" s="123">
        <v>1171838.0</v>
      </c>
      <c r="C7411" s="687" t="s">
        <v>4270</v>
      </c>
      <c r="D7411" s="125"/>
    </row>
    <row r="7412">
      <c r="A7412" s="122" t="s">
        <v>733</v>
      </c>
      <c r="B7412" s="123">
        <v>1481028.0</v>
      </c>
      <c r="C7412" s="687" t="s">
        <v>734</v>
      </c>
      <c r="D7412" s="125"/>
    </row>
    <row r="7413">
      <c r="A7413" s="122" t="s">
        <v>8079</v>
      </c>
      <c r="B7413" s="123">
        <v>1723935.0</v>
      </c>
      <c r="C7413" s="687" t="s">
        <v>8080</v>
      </c>
      <c r="D7413" s="125"/>
    </row>
    <row r="7414">
      <c r="A7414" s="122" t="s">
        <v>3624</v>
      </c>
      <c r="B7414" s="123">
        <v>96793.0</v>
      </c>
      <c r="C7414" s="687" t="s">
        <v>3625</v>
      </c>
      <c r="D7414" s="125"/>
    </row>
    <row r="7415">
      <c r="A7415" s="122" t="s">
        <v>14453</v>
      </c>
      <c r="B7415" s="123">
        <v>1552275.0</v>
      </c>
      <c r="C7415" s="687" t="s">
        <v>14454</v>
      </c>
      <c r="D7415" s="125"/>
    </row>
    <row r="7416">
      <c r="A7416" s="122" t="s">
        <v>7079</v>
      </c>
      <c r="B7416" s="123">
        <v>351834.0</v>
      </c>
      <c r="C7416" s="687" t="s">
        <v>7080</v>
      </c>
      <c r="D7416" s="125"/>
    </row>
    <row r="7417">
      <c r="A7417" s="122" t="s">
        <v>5788</v>
      </c>
      <c r="B7417" s="123">
        <v>867773.0</v>
      </c>
      <c r="C7417" s="687" t="s">
        <v>5789</v>
      </c>
      <c r="D7417" s="125"/>
    </row>
    <row r="7418">
      <c r="A7418" s="122" t="s">
        <v>3719</v>
      </c>
      <c r="B7418" s="123">
        <v>1780731.0</v>
      </c>
      <c r="C7418" s="687" t="s">
        <v>3720</v>
      </c>
      <c r="D7418" s="125"/>
    </row>
    <row r="7419">
      <c r="A7419" s="122" t="s">
        <v>2677</v>
      </c>
      <c r="B7419" s="123">
        <v>1083490.0</v>
      </c>
      <c r="C7419" s="687" t="s">
        <v>2678</v>
      </c>
      <c r="D7419" s="125"/>
    </row>
    <row r="7420">
      <c r="A7420" s="122" t="s">
        <v>10274</v>
      </c>
      <c r="B7420" s="123">
        <v>1469367.0</v>
      </c>
      <c r="C7420" s="687" t="s">
        <v>10275</v>
      </c>
      <c r="D7420" s="125"/>
    </row>
    <row r="7421">
      <c r="A7421" s="122" t="s">
        <v>34167</v>
      </c>
      <c r="B7421" s="123">
        <v>1689066.0</v>
      </c>
      <c r="C7421" s="687" t="s">
        <v>34168</v>
      </c>
      <c r="D7421" s="125"/>
    </row>
    <row r="7422">
      <c r="A7422" s="122" t="s">
        <v>2127</v>
      </c>
      <c r="B7422" s="123">
        <v>1402328.0</v>
      </c>
      <c r="C7422" s="687" t="s">
        <v>2128</v>
      </c>
      <c r="D7422" s="125"/>
    </row>
    <row r="7423">
      <c r="A7423" s="122" t="s">
        <v>2452</v>
      </c>
      <c r="B7423" s="123">
        <v>1402328.0</v>
      </c>
      <c r="C7423" s="687" t="s">
        <v>2453</v>
      </c>
      <c r="D7423" s="125"/>
    </row>
    <row r="7424">
      <c r="A7424" s="122" t="s">
        <v>2715</v>
      </c>
      <c r="B7424" s="123">
        <v>1559157.0</v>
      </c>
      <c r="C7424" s="687" t="s">
        <v>2716</v>
      </c>
      <c r="D7424" s="125"/>
    </row>
    <row r="7425">
      <c r="A7425" s="122" t="s">
        <v>8829</v>
      </c>
      <c r="B7425" s="123">
        <v>1295810.0</v>
      </c>
      <c r="C7425" s="687" t="s">
        <v>8830</v>
      </c>
      <c r="D7425" s="125"/>
    </row>
    <row r="7426">
      <c r="A7426" s="122" t="s">
        <v>34169</v>
      </c>
      <c r="B7426" s="123">
        <v>806592.0</v>
      </c>
      <c r="C7426" s="687" t="s">
        <v>34170</v>
      </c>
      <c r="D7426" s="125"/>
    </row>
    <row r="7427">
      <c r="A7427" s="122" t="s">
        <v>2393</v>
      </c>
      <c r="B7427" s="123">
        <v>1172631.0</v>
      </c>
      <c r="C7427" s="687" t="s">
        <v>2394</v>
      </c>
      <c r="D7427" s="125"/>
    </row>
    <row r="7428">
      <c r="A7428" s="122" t="s">
        <v>500</v>
      </c>
      <c r="B7428" s="123">
        <v>1076262.0</v>
      </c>
      <c r="C7428" s="687" t="s">
        <v>501</v>
      </c>
      <c r="D7428" s="125"/>
    </row>
    <row r="7429">
      <c r="A7429" s="122" t="s">
        <v>16625</v>
      </c>
      <c r="B7429" s="123">
        <v>1375365.0</v>
      </c>
      <c r="C7429" s="687" t="s">
        <v>16626</v>
      </c>
      <c r="D7429" s="125"/>
    </row>
    <row r="7430">
      <c r="A7430" s="122" t="s">
        <v>2377</v>
      </c>
      <c r="B7430" s="123">
        <v>1291855.0</v>
      </c>
      <c r="C7430" s="687" t="s">
        <v>2378</v>
      </c>
      <c r="D7430" s="125"/>
    </row>
    <row r="7431">
      <c r="A7431" s="122" t="s">
        <v>3385</v>
      </c>
      <c r="B7431" s="123">
        <v>1600422.0</v>
      </c>
      <c r="C7431" s="687" t="s">
        <v>3386</v>
      </c>
      <c r="D7431" s="125"/>
    </row>
    <row r="7432">
      <c r="A7432" s="122" t="s">
        <v>10119</v>
      </c>
      <c r="B7432" s="123">
        <v>95574.0</v>
      </c>
      <c r="C7432" s="687" t="s">
        <v>10120</v>
      </c>
      <c r="D7432" s="125"/>
    </row>
    <row r="7433">
      <c r="A7433" s="122" t="s">
        <v>5780</v>
      </c>
      <c r="B7433" s="123">
        <v>95552.0</v>
      </c>
      <c r="C7433" s="687" t="s">
        <v>5781</v>
      </c>
      <c r="D7433" s="125"/>
    </row>
    <row r="7434">
      <c r="A7434" s="122" t="s">
        <v>12605</v>
      </c>
      <c r="B7434" s="123">
        <v>1356576.0</v>
      </c>
      <c r="C7434" s="687" t="s">
        <v>12606</v>
      </c>
      <c r="D7434" s="125"/>
    </row>
    <row r="7435">
      <c r="A7435" s="122" t="s">
        <v>5441</v>
      </c>
      <c r="B7435" s="123">
        <v>747540.0</v>
      </c>
      <c r="C7435" s="687" t="s">
        <v>5442</v>
      </c>
      <c r="D7435" s="125"/>
    </row>
    <row r="7436">
      <c r="A7436" s="122" t="s">
        <v>5361</v>
      </c>
      <c r="B7436" s="123">
        <v>1392694.0</v>
      </c>
      <c r="C7436" s="687" t="s">
        <v>5362</v>
      </c>
      <c r="D7436" s="125"/>
    </row>
    <row r="7437">
      <c r="A7437" s="122" t="s">
        <v>7491</v>
      </c>
      <c r="B7437" s="123">
        <v>1392694.0</v>
      </c>
      <c r="C7437" s="687" t="s">
        <v>7492</v>
      </c>
      <c r="D7437" s="125"/>
    </row>
    <row r="7438">
      <c r="A7438" s="122" t="s">
        <v>13013</v>
      </c>
      <c r="B7438" s="123">
        <v>1638833.0</v>
      </c>
      <c r="C7438" s="687" t="s">
        <v>13014</v>
      </c>
      <c r="D7438" s="125"/>
    </row>
    <row r="7439">
      <c r="A7439" s="122" t="s">
        <v>12962</v>
      </c>
      <c r="B7439" s="123">
        <v>924717.0</v>
      </c>
      <c r="C7439" s="687" t="s">
        <v>12963</v>
      </c>
      <c r="D7439" s="125"/>
    </row>
    <row r="7440">
      <c r="A7440" s="122" t="s">
        <v>12053</v>
      </c>
      <c r="B7440" s="123">
        <v>1509470.0</v>
      </c>
      <c r="C7440" s="687" t="s">
        <v>12054</v>
      </c>
      <c r="D7440" s="125"/>
    </row>
    <row r="7441">
      <c r="A7441" s="122" t="s">
        <v>5873</v>
      </c>
      <c r="B7441" s="123">
        <v>1509470.0</v>
      </c>
      <c r="C7441" s="687" t="s">
        <v>5874</v>
      </c>
      <c r="D7441" s="125"/>
    </row>
    <row r="7442">
      <c r="A7442" s="122" t="s">
        <v>689</v>
      </c>
      <c r="B7442" s="123">
        <v>1824893.0</v>
      </c>
      <c r="C7442" s="687" t="s">
        <v>690</v>
      </c>
      <c r="D7442" s="125"/>
    </row>
    <row r="7443">
      <c r="A7443" s="122" t="s">
        <v>7930</v>
      </c>
      <c r="B7443" s="123">
        <v>1824893.0</v>
      </c>
      <c r="C7443" s="687" t="s">
        <v>7931</v>
      </c>
      <c r="D7443" s="125"/>
    </row>
    <row r="7444">
      <c r="A7444" s="122" t="s">
        <v>15930</v>
      </c>
      <c r="B7444" s="123">
        <v>1863428.0</v>
      </c>
      <c r="C7444" s="687" t="s">
        <v>15931</v>
      </c>
      <c r="D7444" s="125"/>
    </row>
    <row r="7445">
      <c r="A7445" s="122" t="s">
        <v>1882</v>
      </c>
      <c r="B7445" s="123">
        <v>1652539.0</v>
      </c>
      <c r="C7445" s="687" t="s">
        <v>1883</v>
      </c>
      <c r="D7445" s="125"/>
    </row>
    <row r="7446">
      <c r="A7446" s="122" t="s">
        <v>2574</v>
      </c>
      <c r="B7446" s="123">
        <v>1500305.0</v>
      </c>
      <c r="C7446" s="687" t="s">
        <v>2575</v>
      </c>
      <c r="D7446" s="125"/>
    </row>
    <row r="7447">
      <c r="A7447" s="122" t="s">
        <v>6333</v>
      </c>
      <c r="B7447" s="123">
        <v>1382101.0</v>
      </c>
      <c r="C7447" s="687" t="s">
        <v>6334</v>
      </c>
      <c r="D7447" s="125"/>
    </row>
    <row r="7448">
      <c r="A7448" s="122" t="s">
        <v>8499</v>
      </c>
      <c r="B7448" s="123">
        <v>909327.0</v>
      </c>
      <c r="C7448" s="687" t="s">
        <v>8500</v>
      </c>
      <c r="D7448" s="125"/>
    </row>
    <row r="7449">
      <c r="A7449" s="122" t="s">
        <v>4132</v>
      </c>
      <c r="B7449" s="123">
        <v>1855621.0</v>
      </c>
      <c r="C7449" s="687" t="s">
        <v>4133</v>
      </c>
      <c r="D7449" s="125"/>
    </row>
    <row r="7450">
      <c r="A7450" s="122" t="s">
        <v>9249</v>
      </c>
      <c r="B7450" s="123">
        <v>1477815.0</v>
      </c>
      <c r="C7450" s="687" t="s">
        <v>9250</v>
      </c>
      <c r="D7450" s="125"/>
    </row>
    <row r="7451">
      <c r="A7451" s="122" t="s">
        <v>1321</v>
      </c>
      <c r="B7451" s="123">
        <v>1845123.0</v>
      </c>
      <c r="C7451" s="687" t="s">
        <v>1322</v>
      </c>
      <c r="D7451" s="125"/>
    </row>
    <row r="7452">
      <c r="A7452" s="122" t="s">
        <v>9044</v>
      </c>
      <c r="B7452" s="123">
        <v>1845123.0</v>
      </c>
      <c r="C7452" s="687" t="s">
        <v>9045</v>
      </c>
      <c r="D7452" s="125"/>
    </row>
    <row r="7453">
      <c r="A7453" s="122" t="s">
        <v>9067</v>
      </c>
      <c r="B7453" s="123">
        <v>1845123.0</v>
      </c>
      <c r="C7453" s="687" t="s">
        <v>9068</v>
      </c>
      <c r="D7453" s="125"/>
    </row>
    <row r="7454">
      <c r="A7454" s="122" t="s">
        <v>7646</v>
      </c>
      <c r="B7454" s="123">
        <v>813623.0</v>
      </c>
      <c r="C7454" s="687" t="s">
        <v>7647</v>
      </c>
      <c r="D7454" s="125"/>
    </row>
    <row r="7455">
      <c r="A7455" s="122" t="s">
        <v>10838</v>
      </c>
      <c r="B7455" s="123">
        <v>1089907.0</v>
      </c>
      <c r="C7455" s="687" t="s">
        <v>10839</v>
      </c>
      <c r="D7455" s="125"/>
    </row>
    <row r="7456">
      <c r="A7456" s="122" t="s">
        <v>709</v>
      </c>
      <c r="B7456" s="123">
        <v>1875609.0</v>
      </c>
      <c r="C7456" s="687" t="s">
        <v>710</v>
      </c>
      <c r="D7456" s="125"/>
    </row>
    <row r="7457">
      <c r="A7457" s="122" t="s">
        <v>6609</v>
      </c>
      <c r="B7457" s="123">
        <v>1875609.0</v>
      </c>
      <c r="C7457" s="687" t="s">
        <v>6610</v>
      </c>
      <c r="D7457" s="125"/>
    </row>
    <row r="7458">
      <c r="A7458" s="122" t="s">
        <v>13937</v>
      </c>
      <c r="B7458" s="123">
        <v>1856485.0</v>
      </c>
      <c r="C7458" s="687" t="s">
        <v>13938</v>
      </c>
      <c r="D7458" s="125"/>
    </row>
    <row r="7459">
      <c r="A7459" s="122" t="s">
        <v>3558</v>
      </c>
      <c r="B7459" s="123">
        <v>1052054.0</v>
      </c>
      <c r="C7459" s="687" t="s">
        <v>3559</v>
      </c>
      <c r="D7459" s="125"/>
    </row>
    <row r="7460">
      <c r="A7460" s="122" t="s">
        <v>14105</v>
      </c>
      <c r="B7460" s="123">
        <v>1837240.0</v>
      </c>
      <c r="C7460" s="687" t="s">
        <v>14106</v>
      </c>
      <c r="D7460" s="125"/>
    </row>
    <row r="7461">
      <c r="A7461" s="122" t="s">
        <v>15469</v>
      </c>
      <c r="B7461" s="123">
        <v>817720.0</v>
      </c>
      <c r="C7461" s="687" t="s">
        <v>15470</v>
      </c>
      <c r="D7461" s="125"/>
    </row>
    <row r="7462">
      <c r="A7462" s="122" t="s">
        <v>2299</v>
      </c>
      <c r="B7462" s="123">
        <v>1571934.0</v>
      </c>
      <c r="C7462" s="687" t="s">
        <v>2300</v>
      </c>
      <c r="D7462" s="125"/>
    </row>
    <row r="7463">
      <c r="A7463" s="122" t="s">
        <v>11410</v>
      </c>
      <c r="B7463" s="123">
        <v>1131554.0</v>
      </c>
      <c r="C7463" s="687" t="s">
        <v>11411</v>
      </c>
      <c r="D7463" s="125"/>
    </row>
    <row r="7464">
      <c r="A7464" s="122" t="s">
        <v>7469</v>
      </c>
      <c r="B7464" s="123">
        <v>1131554.0</v>
      </c>
      <c r="C7464" s="687" t="s">
        <v>7470</v>
      </c>
      <c r="D7464" s="125"/>
    </row>
    <row r="7465">
      <c r="A7465" s="122" t="s">
        <v>13504</v>
      </c>
      <c r="B7465" s="123">
        <v>1601712.0</v>
      </c>
      <c r="C7465" s="687" t="s">
        <v>13505</v>
      </c>
      <c r="D7465" s="125"/>
    </row>
    <row r="7466">
      <c r="A7466" s="122" t="s">
        <v>1815</v>
      </c>
      <c r="B7466" s="123">
        <v>894158.0</v>
      </c>
      <c r="C7466" s="687" t="s">
        <v>1816</v>
      </c>
      <c r="D7466" s="125"/>
    </row>
    <row r="7467">
      <c r="A7467" s="122" t="s">
        <v>5843</v>
      </c>
      <c r="B7467" s="123">
        <v>1766267.0</v>
      </c>
      <c r="C7467" s="687" t="s">
        <v>5844</v>
      </c>
      <c r="D7467" s="125"/>
    </row>
    <row r="7468">
      <c r="A7468" s="122" t="s">
        <v>5774</v>
      </c>
      <c r="B7468" s="123">
        <v>1527599.0</v>
      </c>
      <c r="C7468" s="687" t="s">
        <v>5775</v>
      </c>
      <c r="D7468" s="125"/>
    </row>
    <row r="7469">
      <c r="A7469" s="122" t="s">
        <v>16621</v>
      </c>
      <c r="B7469" s="123">
        <v>883241.0</v>
      </c>
      <c r="C7469" s="687" t="s">
        <v>16622</v>
      </c>
      <c r="D7469" s="125"/>
    </row>
    <row r="7470">
      <c r="A7470" s="122" t="s">
        <v>13338</v>
      </c>
      <c r="B7470" s="123">
        <v>18349.0</v>
      </c>
      <c r="C7470" s="687" t="s">
        <v>13339</v>
      </c>
      <c r="D7470" s="125"/>
    </row>
    <row r="7471">
      <c r="A7471" s="122" t="s">
        <v>34171</v>
      </c>
      <c r="B7471" s="123">
        <v>1375063.0</v>
      </c>
      <c r="C7471" s="687" t="s">
        <v>34172</v>
      </c>
      <c r="D7471" s="125"/>
    </row>
    <row r="7472">
      <c r="A7472" s="122" t="s">
        <v>4849</v>
      </c>
      <c r="B7472" s="123">
        <v>864240.0</v>
      </c>
      <c r="C7472" s="687" t="s">
        <v>4850</v>
      </c>
      <c r="D7472" s="125"/>
    </row>
    <row r="7473">
      <c r="A7473" s="122" t="s">
        <v>7542</v>
      </c>
      <c r="B7473" s="123">
        <v>1556263.0</v>
      </c>
      <c r="C7473" s="687" t="s">
        <v>7543</v>
      </c>
      <c r="D7473" s="125"/>
    </row>
    <row r="7474">
      <c r="A7474" s="122" t="s">
        <v>15036</v>
      </c>
      <c r="B7474" s="123">
        <v>96021.0</v>
      </c>
      <c r="C7474" s="687" t="s">
        <v>15037</v>
      </c>
      <c r="D7474" s="125"/>
    </row>
    <row r="7475">
      <c r="A7475" s="122" t="s">
        <v>34173</v>
      </c>
      <c r="B7475" s="123">
        <v>1737372.0</v>
      </c>
      <c r="C7475" s="687" t="s">
        <v>34174</v>
      </c>
      <c r="D7475" s="125"/>
    </row>
    <row r="7476">
      <c r="A7476" s="122" t="s">
        <v>4583</v>
      </c>
      <c r="B7476" s="123">
        <v>1805833.0</v>
      </c>
      <c r="C7476" s="687" t="s">
        <v>4584</v>
      </c>
      <c r="D7476" s="125"/>
    </row>
    <row r="7477">
      <c r="A7477" s="122" t="s">
        <v>15510</v>
      </c>
      <c r="B7477" s="123">
        <v>1113169.0</v>
      </c>
      <c r="C7477" s="687" t="s">
        <v>15511</v>
      </c>
      <c r="D7477" s="125"/>
    </row>
    <row r="7478">
      <c r="A7478" s="122" t="s">
        <v>4315</v>
      </c>
      <c r="B7478" s="123">
        <v>1718939.0</v>
      </c>
      <c r="C7478" s="687" t="s">
        <v>4316</v>
      </c>
      <c r="D7478" s="125"/>
    </row>
    <row r="7479">
      <c r="A7479" s="122" t="s">
        <v>15960</v>
      </c>
      <c r="B7479" s="123">
        <v>1283699.0</v>
      </c>
      <c r="C7479" s="687" t="s">
        <v>15961</v>
      </c>
      <c r="D7479" s="125"/>
    </row>
    <row r="7480">
      <c r="A7480" s="122" t="s">
        <v>2115</v>
      </c>
      <c r="B7480" s="123">
        <v>1437750.0</v>
      </c>
      <c r="C7480" s="687" t="s">
        <v>2116</v>
      </c>
      <c r="D7480" s="125"/>
    </row>
    <row r="7481">
      <c r="A7481" s="122" t="s">
        <v>6447</v>
      </c>
      <c r="B7481" s="123">
        <v>1492674.0</v>
      </c>
      <c r="C7481" s="687" t="s">
        <v>6448</v>
      </c>
      <c r="D7481" s="125"/>
    </row>
    <row r="7482">
      <c r="A7482" s="122" t="s">
        <v>5962</v>
      </c>
      <c r="B7482" s="123">
        <v>1090396.0</v>
      </c>
      <c r="C7482" s="687" t="s">
        <v>5963</v>
      </c>
      <c r="D7482" s="125"/>
    </row>
    <row r="7483">
      <c r="A7483" s="122" t="s">
        <v>2975</v>
      </c>
      <c r="B7483" s="123">
        <v>1840502.0</v>
      </c>
      <c r="C7483" s="687" t="s">
        <v>2976</v>
      </c>
      <c r="D7483" s="125"/>
    </row>
    <row r="7484">
      <c r="A7484" s="122" t="s">
        <v>6496</v>
      </c>
      <c r="B7484" s="123">
        <v>1840502.0</v>
      </c>
      <c r="C7484" s="687" t="s">
        <v>6497</v>
      </c>
      <c r="D7484" s="125"/>
    </row>
    <row r="7485">
      <c r="A7485" s="122" t="s">
        <v>10469</v>
      </c>
      <c r="B7485" s="123">
        <v>1027838.0</v>
      </c>
      <c r="C7485" s="687" t="s">
        <v>10470</v>
      </c>
      <c r="D7485" s="125"/>
    </row>
    <row r="7486">
      <c r="A7486" s="122" t="s">
        <v>5726</v>
      </c>
      <c r="B7486" s="123">
        <v>1066719.0</v>
      </c>
      <c r="C7486" s="687" t="s">
        <v>5727</v>
      </c>
      <c r="D7486" s="125"/>
    </row>
    <row r="7487">
      <c r="A7487" s="122" t="s">
        <v>10283</v>
      </c>
      <c r="B7487" s="123">
        <v>1716957.0</v>
      </c>
      <c r="C7487" s="687" t="s">
        <v>10284</v>
      </c>
      <c r="D7487" s="125"/>
    </row>
    <row r="7488">
      <c r="A7488" s="122" t="s">
        <v>5654</v>
      </c>
      <c r="B7488" s="123">
        <v>942126.0</v>
      </c>
      <c r="C7488" s="687" t="s">
        <v>5655</v>
      </c>
      <c r="D7488" s="125"/>
    </row>
    <row r="7489">
      <c r="A7489" s="122" t="s">
        <v>13387</v>
      </c>
      <c r="B7489" s="123">
        <v>804123.0</v>
      </c>
      <c r="C7489" s="687" t="s">
        <v>13388</v>
      </c>
      <c r="D7489" s="125"/>
    </row>
    <row r="7490">
      <c r="A7490" s="122" t="s">
        <v>15578</v>
      </c>
      <c r="B7490" s="123">
        <v>1046179.0</v>
      </c>
      <c r="C7490" s="687" t="s">
        <v>15579</v>
      </c>
      <c r="D7490" s="125"/>
    </row>
    <row r="7491">
      <c r="A7491" s="122" t="s">
        <v>15986</v>
      </c>
      <c r="B7491" s="123">
        <v>946581.0</v>
      </c>
      <c r="C7491" s="687" t="s">
        <v>15987</v>
      </c>
      <c r="D7491" s="125"/>
    </row>
    <row r="7492">
      <c r="A7492" s="122" t="s">
        <v>10258</v>
      </c>
      <c r="B7492" s="123">
        <v>1395064.0</v>
      </c>
      <c r="C7492" s="687" t="s">
        <v>10259</v>
      </c>
      <c r="D7492" s="125"/>
    </row>
    <row r="7493">
      <c r="A7493" s="122" t="s">
        <v>12688</v>
      </c>
      <c r="B7493" s="123">
        <v>1395064.0</v>
      </c>
      <c r="C7493" s="687" t="s">
        <v>10259</v>
      </c>
      <c r="D7493" s="125"/>
    </row>
    <row r="7494">
      <c r="A7494" s="122" t="s">
        <v>9197</v>
      </c>
      <c r="B7494" s="123">
        <v>1499620.0</v>
      </c>
      <c r="C7494" s="687" t="s">
        <v>9198</v>
      </c>
      <c r="D7494" s="125"/>
    </row>
    <row r="7495">
      <c r="A7495" s="122" t="s">
        <v>7503</v>
      </c>
      <c r="B7495" s="123">
        <v>1584751.0</v>
      </c>
      <c r="C7495" s="687" t="s">
        <v>7504</v>
      </c>
      <c r="D7495" s="125"/>
    </row>
    <row r="7496">
      <c r="A7496" s="122" t="s">
        <v>1835</v>
      </c>
      <c r="B7496" s="123">
        <v>352960.0</v>
      </c>
      <c r="C7496" s="687" t="s">
        <v>1836</v>
      </c>
      <c r="D7496" s="125"/>
    </row>
    <row r="7497">
      <c r="A7497" s="122" t="s">
        <v>2161</v>
      </c>
      <c r="B7497" s="123">
        <v>1803901.0</v>
      </c>
      <c r="C7497" s="687" t="s">
        <v>2162</v>
      </c>
      <c r="D7497" s="125"/>
    </row>
    <row r="7498">
      <c r="A7498" s="122" t="s">
        <v>5155</v>
      </c>
      <c r="B7498" s="123">
        <v>1803901.0</v>
      </c>
      <c r="C7498" s="687" t="s">
        <v>5156</v>
      </c>
      <c r="D7498" s="125"/>
    </row>
    <row r="7499">
      <c r="A7499" s="122" t="s">
        <v>9682</v>
      </c>
      <c r="B7499" s="123">
        <v>1724965.0</v>
      </c>
      <c r="C7499" s="687" t="s">
        <v>9683</v>
      </c>
      <c r="D7499" s="125"/>
    </row>
    <row r="7500">
      <c r="A7500" s="122" t="s">
        <v>11971</v>
      </c>
      <c r="B7500" s="123">
        <v>1438133.0</v>
      </c>
      <c r="C7500" s="687" t="s">
        <v>11972</v>
      </c>
      <c r="D7500" s="125"/>
    </row>
    <row r="7501">
      <c r="A7501" s="122" t="s">
        <v>12447</v>
      </c>
      <c r="B7501" s="123">
        <v>899715.0</v>
      </c>
      <c r="C7501" s="687" t="s">
        <v>12448</v>
      </c>
      <c r="D7501" s="125"/>
    </row>
    <row r="7502">
      <c r="A7502" s="122" t="s">
        <v>9851</v>
      </c>
      <c r="B7502" s="123">
        <v>1819133.0</v>
      </c>
      <c r="C7502" s="687" t="s">
        <v>9852</v>
      </c>
      <c r="D7502" s="125"/>
    </row>
    <row r="7503">
      <c r="A7503" s="122" t="s">
        <v>3183</v>
      </c>
      <c r="B7503" s="123">
        <v>1588084.0</v>
      </c>
      <c r="C7503" s="687" t="s">
        <v>3184</v>
      </c>
      <c r="D7503" s="125"/>
    </row>
    <row r="7504">
      <c r="A7504" s="122" t="s">
        <v>3837</v>
      </c>
      <c r="B7504" s="123">
        <v>1552670.0</v>
      </c>
      <c r="C7504" s="687" t="s">
        <v>3838</v>
      </c>
      <c r="D7504" s="125"/>
    </row>
    <row r="7505">
      <c r="A7505" s="122" t="s">
        <v>13556</v>
      </c>
      <c r="B7505" s="123">
        <v>1116132.0</v>
      </c>
      <c r="C7505" s="687" t="s">
        <v>13557</v>
      </c>
      <c r="D7505" s="125"/>
    </row>
    <row r="7506">
      <c r="A7506" s="122" t="s">
        <v>15128</v>
      </c>
      <c r="B7506" s="123">
        <v>1389170.0</v>
      </c>
      <c r="C7506" s="687" t="s">
        <v>15129</v>
      </c>
      <c r="D7506" s="125"/>
    </row>
    <row r="7507">
      <c r="A7507" s="122" t="s">
        <v>15859</v>
      </c>
      <c r="B7507" s="123">
        <v>27419.0</v>
      </c>
      <c r="C7507" s="687" t="s">
        <v>15860</v>
      </c>
      <c r="D7507" s="125"/>
    </row>
    <row r="7508">
      <c r="A7508" s="122" t="s">
        <v>1642</v>
      </c>
      <c r="B7508" s="123">
        <v>1847355.0</v>
      </c>
      <c r="C7508" s="687" t="s">
        <v>1643</v>
      </c>
      <c r="D7508" s="125"/>
    </row>
    <row r="7509">
      <c r="A7509" s="122" t="s">
        <v>9232</v>
      </c>
      <c r="B7509" s="123">
        <v>1847355.0</v>
      </c>
      <c r="C7509" s="687" t="s">
        <v>9233</v>
      </c>
      <c r="D7509" s="125"/>
    </row>
    <row r="7510">
      <c r="A7510" s="122" t="s">
        <v>9105</v>
      </c>
      <c r="B7510" s="123">
        <v>1847355.0</v>
      </c>
      <c r="C7510" s="687" t="s">
        <v>9106</v>
      </c>
      <c r="D7510" s="125"/>
    </row>
    <row r="7511">
      <c r="A7511" s="122" t="s">
        <v>34175</v>
      </c>
      <c r="B7511" s="123">
        <v>1586554.0</v>
      </c>
      <c r="C7511" s="687" t="s">
        <v>34176</v>
      </c>
      <c r="D7511" s="125"/>
    </row>
    <row r="7512">
      <c r="A7512" s="122" t="s">
        <v>2091</v>
      </c>
      <c r="B7512" s="123">
        <v>1712189.0</v>
      </c>
      <c r="C7512" s="687" t="s">
        <v>2092</v>
      </c>
      <c r="D7512" s="125"/>
    </row>
    <row r="7513">
      <c r="A7513" s="122" t="s">
        <v>8288</v>
      </c>
      <c r="B7513" s="123">
        <v>1712189.0</v>
      </c>
      <c r="C7513" s="687" t="s">
        <v>8289</v>
      </c>
      <c r="D7513" s="125"/>
    </row>
    <row r="7514">
      <c r="A7514" s="122" t="s">
        <v>13727</v>
      </c>
      <c r="B7514" s="123">
        <v>906338.0</v>
      </c>
      <c r="C7514" s="687" t="s">
        <v>13728</v>
      </c>
      <c r="D7514" s="125"/>
    </row>
    <row r="7515">
      <c r="A7515" s="122" t="s">
        <v>12689</v>
      </c>
      <c r="B7515" s="123">
        <v>1819790.0</v>
      </c>
      <c r="C7515" s="687" t="s">
        <v>12690</v>
      </c>
      <c r="D7515" s="125"/>
    </row>
    <row r="7516">
      <c r="A7516" s="122" t="s">
        <v>4323</v>
      </c>
      <c r="B7516" s="123">
        <v>878518.0</v>
      </c>
      <c r="C7516" s="687" t="s">
        <v>4324</v>
      </c>
      <c r="D7516" s="125"/>
    </row>
    <row r="7517">
      <c r="A7517" s="122" t="s">
        <v>9598</v>
      </c>
      <c r="B7517" s="123">
        <v>808439.0</v>
      </c>
      <c r="C7517" s="687" t="s">
        <v>9599</v>
      </c>
      <c r="D7517" s="125"/>
    </row>
    <row r="7518">
      <c r="A7518" s="122" t="s">
        <v>8208</v>
      </c>
      <c r="B7518" s="123">
        <v>1058255.0</v>
      </c>
      <c r="C7518" s="687" t="s">
        <v>8209</v>
      </c>
      <c r="D7518" s="125"/>
    </row>
    <row r="7519">
      <c r="A7519" s="122" t="s">
        <v>34177</v>
      </c>
      <c r="B7519" s="123">
        <v>1142790.0</v>
      </c>
      <c r="C7519" s="687" t="s">
        <v>34178</v>
      </c>
      <c r="D7519" s="125"/>
    </row>
    <row r="7520">
      <c r="A7520" s="122" t="s">
        <v>12982</v>
      </c>
      <c r="B7520" s="123">
        <v>96536.0</v>
      </c>
      <c r="C7520" s="687" t="s">
        <v>12983</v>
      </c>
      <c r="D7520" s="125"/>
    </row>
    <row r="7521">
      <c r="A7521" s="122" t="s">
        <v>14184</v>
      </c>
      <c r="B7521" s="123">
        <v>1562476.0</v>
      </c>
      <c r="C7521" s="687" t="s">
        <v>14185</v>
      </c>
      <c r="D7521" s="125"/>
    </row>
    <row r="7522">
      <c r="A7522" s="122" t="s">
        <v>4417</v>
      </c>
      <c r="B7522" s="123">
        <v>1806310.0</v>
      </c>
      <c r="C7522" s="687" t="s">
        <v>4418</v>
      </c>
      <c r="D7522" s="125"/>
    </row>
    <row r="7523">
      <c r="A7523" s="122" t="s">
        <v>10135</v>
      </c>
      <c r="B7523" s="123">
        <v>1850398.0</v>
      </c>
      <c r="C7523" s="687" t="s">
        <v>10136</v>
      </c>
      <c r="D7523" s="125"/>
    </row>
    <row r="7524">
      <c r="A7524" s="122" t="s">
        <v>3690</v>
      </c>
      <c r="B7524" s="123">
        <v>1872812.0</v>
      </c>
      <c r="C7524" s="687" t="s">
        <v>516</v>
      </c>
      <c r="D7524" s="125"/>
    </row>
    <row r="7525">
      <c r="A7525" s="122" t="s">
        <v>515</v>
      </c>
      <c r="B7525" s="123">
        <v>1872812.0</v>
      </c>
      <c r="C7525" s="687" t="s">
        <v>516</v>
      </c>
      <c r="D7525" s="125"/>
    </row>
    <row r="7526">
      <c r="A7526" s="122" t="s">
        <v>13517</v>
      </c>
      <c r="B7526" s="123">
        <v>1232384.0</v>
      </c>
      <c r="C7526" s="687" t="s">
        <v>13518</v>
      </c>
      <c r="D7526" s="125"/>
    </row>
    <row r="7527">
      <c r="A7527" s="122" t="s">
        <v>6439</v>
      </c>
      <c r="B7527" s="123">
        <v>809559.0</v>
      </c>
      <c r="C7527" s="687" t="s">
        <v>6440</v>
      </c>
      <c r="D7527" s="125"/>
    </row>
    <row r="7528">
      <c r="A7528" s="122" t="s">
        <v>15407</v>
      </c>
      <c r="B7528" s="123">
        <v>1177394.0</v>
      </c>
      <c r="C7528" s="687" t="s">
        <v>15408</v>
      </c>
      <c r="D7528" s="125"/>
    </row>
    <row r="7529">
      <c r="A7529" s="122" t="s">
        <v>7135</v>
      </c>
      <c r="B7529" s="123">
        <v>1803112.0</v>
      </c>
      <c r="C7529" s="687" t="s">
        <v>7136</v>
      </c>
      <c r="D7529" s="125"/>
    </row>
    <row r="7530">
      <c r="A7530" s="122" t="s">
        <v>3795</v>
      </c>
      <c r="B7530" s="123">
        <v>1684425.0</v>
      </c>
      <c r="C7530" s="687" t="s">
        <v>3796</v>
      </c>
      <c r="D7530" s="125"/>
    </row>
    <row r="7531">
      <c r="A7531" s="122" t="s">
        <v>15829</v>
      </c>
      <c r="B7531" s="123">
        <v>1385157.0</v>
      </c>
      <c r="C7531" s="687" t="s">
        <v>15830</v>
      </c>
      <c r="D7531" s="125"/>
    </row>
    <row r="7532">
      <c r="A7532" s="122" t="s">
        <v>7279</v>
      </c>
      <c r="B7532" s="123">
        <v>318833.0</v>
      </c>
      <c r="C7532" s="687" t="s">
        <v>7280</v>
      </c>
      <c r="D7532" s="125"/>
    </row>
    <row r="7533">
      <c r="A7533" s="122" t="s">
        <v>7372</v>
      </c>
      <c r="B7533" s="123">
        <v>1751700.0</v>
      </c>
      <c r="C7533" s="687" t="s">
        <v>7373</v>
      </c>
      <c r="D7533" s="125"/>
    </row>
    <row r="7534">
      <c r="A7534" s="122" t="s">
        <v>34179</v>
      </c>
      <c r="B7534" s="123">
        <v>1639874.0</v>
      </c>
      <c r="C7534" s="687" t="s">
        <v>34180</v>
      </c>
      <c r="D7534" s="125"/>
    </row>
    <row r="7535">
      <c r="A7535" s="122" t="s">
        <v>2629</v>
      </c>
      <c r="B7535" s="123">
        <v>1481443.0</v>
      </c>
      <c r="C7535" s="687" t="s">
        <v>2630</v>
      </c>
      <c r="D7535" s="125"/>
    </row>
    <row r="7536">
      <c r="A7536" s="122" t="s">
        <v>3069</v>
      </c>
      <c r="B7536" s="123">
        <v>96699.0</v>
      </c>
      <c r="C7536" s="687" t="s">
        <v>3070</v>
      </c>
      <c r="D7536" s="125"/>
    </row>
    <row r="7537">
      <c r="A7537" s="122" t="s">
        <v>11543</v>
      </c>
      <c r="B7537" s="123">
        <v>1792045.0</v>
      </c>
      <c r="C7537" s="687" t="s">
        <v>11544</v>
      </c>
      <c r="D7537" s="125"/>
    </row>
    <row r="7538">
      <c r="A7538" s="122" t="s">
        <v>11511</v>
      </c>
      <c r="B7538" s="123">
        <v>1792045.0</v>
      </c>
      <c r="C7538" s="687" t="s">
        <v>11512</v>
      </c>
      <c r="D7538" s="125"/>
    </row>
    <row r="7539">
      <c r="A7539" s="122" t="s">
        <v>11183</v>
      </c>
      <c r="B7539" s="123">
        <v>1681459.0</v>
      </c>
      <c r="C7539" s="687" t="s">
        <v>11184</v>
      </c>
      <c r="D7539" s="125"/>
    </row>
    <row r="7540">
      <c r="A7540" s="122" t="s">
        <v>984</v>
      </c>
      <c r="B7540" s="123">
        <v>1900679.0</v>
      </c>
      <c r="C7540" s="687" t="s">
        <v>985</v>
      </c>
      <c r="D7540" s="125"/>
    </row>
    <row r="7541">
      <c r="A7541" s="122" t="s">
        <v>9454</v>
      </c>
      <c r="B7541" s="123">
        <v>1900679.0</v>
      </c>
      <c r="C7541" s="687" t="s">
        <v>9455</v>
      </c>
      <c r="D7541" s="125"/>
    </row>
    <row r="7542">
      <c r="A7542" s="122" t="s">
        <v>9396</v>
      </c>
      <c r="B7542" s="123">
        <v>1900679.0</v>
      </c>
      <c r="C7542" s="687" t="s">
        <v>9397</v>
      </c>
      <c r="D7542" s="125"/>
    </row>
    <row r="7543">
      <c r="A7543" s="122" t="s">
        <v>11369</v>
      </c>
      <c r="B7543" s="123">
        <v>1556898.0</v>
      </c>
      <c r="C7543" s="687" t="s">
        <v>11370</v>
      </c>
      <c r="D7543" s="125"/>
    </row>
    <row r="7544">
      <c r="A7544" s="122" t="s">
        <v>5974</v>
      </c>
      <c r="B7544" s="123">
        <v>1328792.0</v>
      </c>
      <c r="C7544" s="687" t="s">
        <v>5975</v>
      </c>
      <c r="D7544" s="125"/>
    </row>
    <row r="7545">
      <c r="A7545" s="122" t="s">
        <v>13142</v>
      </c>
      <c r="B7545" s="123">
        <v>1293282.0</v>
      </c>
      <c r="C7545" s="687" t="s">
        <v>13143</v>
      </c>
      <c r="D7545" s="125"/>
    </row>
    <row r="7546">
      <c r="A7546" s="122" t="s">
        <v>13582</v>
      </c>
      <c r="B7546" s="123">
        <v>886986.0</v>
      </c>
      <c r="C7546" s="687" t="s">
        <v>13583</v>
      </c>
      <c r="D7546" s="125"/>
    </row>
    <row r="7547">
      <c r="A7547" s="122" t="s">
        <v>13537</v>
      </c>
      <c r="B7547" s="123">
        <v>886986.0</v>
      </c>
      <c r="C7547" s="687" t="s">
        <v>13538</v>
      </c>
      <c r="D7547" s="125"/>
    </row>
    <row r="7548">
      <c r="A7548" s="122" t="s">
        <v>34181</v>
      </c>
      <c r="B7548" s="123">
        <v>1740797.0</v>
      </c>
      <c r="C7548" s="687" t="s">
        <v>34182</v>
      </c>
      <c r="D7548" s="125"/>
    </row>
    <row r="7549">
      <c r="A7549" s="122" t="s">
        <v>13977</v>
      </c>
      <c r="B7549" s="123">
        <v>1534675.0</v>
      </c>
      <c r="C7549" s="687" t="s">
        <v>13978</v>
      </c>
      <c r="D7549" s="125"/>
    </row>
    <row r="7550">
      <c r="A7550" s="122" t="s">
        <v>3403</v>
      </c>
      <c r="B7550" s="123">
        <v>1537435.0</v>
      </c>
      <c r="C7550" s="687" t="s">
        <v>3404</v>
      </c>
      <c r="D7550" s="125"/>
    </row>
    <row r="7551">
      <c r="A7551" s="122" t="s">
        <v>8367</v>
      </c>
      <c r="B7551" s="123">
        <v>1766526.0</v>
      </c>
      <c r="C7551" s="687" t="s">
        <v>8368</v>
      </c>
      <c r="D7551" s="125"/>
    </row>
    <row r="7552">
      <c r="A7552" s="122" t="s">
        <v>1763</v>
      </c>
      <c r="B7552" s="123">
        <v>1783432.0</v>
      </c>
      <c r="C7552" s="687" t="s">
        <v>1764</v>
      </c>
      <c r="D7552" s="125"/>
    </row>
    <row r="7553">
      <c r="A7553" s="122" t="s">
        <v>7922</v>
      </c>
      <c r="B7553" s="123">
        <v>911971.0</v>
      </c>
      <c r="C7553" s="687" t="s">
        <v>7923</v>
      </c>
      <c r="D7553" s="125"/>
    </row>
    <row r="7554">
      <c r="A7554" s="122" t="s">
        <v>14406</v>
      </c>
      <c r="B7554" s="123">
        <v>1419945.0</v>
      </c>
      <c r="C7554" s="687" t="s">
        <v>14407</v>
      </c>
      <c r="D7554" s="125"/>
    </row>
    <row r="7555">
      <c r="A7555" s="122" t="s">
        <v>1581</v>
      </c>
      <c r="B7555" s="123">
        <v>1815632.0</v>
      </c>
      <c r="C7555" s="687" t="s">
        <v>1582</v>
      </c>
      <c r="D7555" s="125"/>
    </row>
    <row r="7556">
      <c r="A7556" s="122" t="s">
        <v>10624</v>
      </c>
      <c r="B7556" s="123">
        <v>96869.0</v>
      </c>
      <c r="C7556" s="687" t="s">
        <v>10625</v>
      </c>
      <c r="D7556" s="125"/>
    </row>
    <row r="7557">
      <c r="A7557" s="122" t="s">
        <v>4977</v>
      </c>
      <c r="B7557" s="123">
        <v>96885.0</v>
      </c>
      <c r="C7557" s="687" t="s">
        <v>4978</v>
      </c>
      <c r="D7557" s="125"/>
    </row>
    <row r="7558">
      <c r="A7558" s="122" t="s">
        <v>7319</v>
      </c>
      <c r="B7558" s="123">
        <v>1561921.0</v>
      </c>
      <c r="C7558" s="687" t="s">
        <v>7320</v>
      </c>
      <c r="D7558" s="125"/>
    </row>
    <row r="7559">
      <c r="A7559" s="122" t="s">
        <v>11373</v>
      </c>
      <c r="B7559" s="123">
        <v>1477449.0</v>
      </c>
      <c r="C7559" s="687" t="s">
        <v>11374</v>
      </c>
      <c r="D7559" s="125"/>
    </row>
    <row r="7560">
      <c r="A7560" s="122" t="s">
        <v>5117</v>
      </c>
      <c r="B7560" s="123">
        <v>1065734.0</v>
      </c>
      <c r="C7560" s="687" t="s">
        <v>5118</v>
      </c>
      <c r="D7560" s="125"/>
    </row>
    <row r="7561">
      <c r="A7561" s="122" t="s">
        <v>7621</v>
      </c>
      <c r="B7561" s="123">
        <v>932470.0</v>
      </c>
      <c r="C7561" s="687" t="s">
        <v>7622</v>
      </c>
      <c r="D7561" s="125"/>
    </row>
    <row r="7562">
      <c r="A7562" s="122" t="s">
        <v>2669</v>
      </c>
      <c r="B7562" s="123">
        <v>932470.0</v>
      </c>
      <c r="C7562" s="687" t="s">
        <v>2670</v>
      </c>
      <c r="D7562" s="125"/>
    </row>
    <row r="7563">
      <c r="A7563" s="122" t="s">
        <v>16558</v>
      </c>
      <c r="B7563" s="123">
        <v>1094285.0</v>
      </c>
      <c r="C7563" s="687" t="s">
        <v>16559</v>
      </c>
      <c r="D7563" s="125"/>
    </row>
    <row r="7564">
      <c r="A7564" s="122" t="s">
        <v>16310</v>
      </c>
      <c r="B7564" s="123">
        <v>96943.0</v>
      </c>
      <c r="C7564" s="687" t="s">
        <v>16311</v>
      </c>
      <c r="D7564" s="125"/>
    </row>
    <row r="7565">
      <c r="A7565" s="122" t="s">
        <v>6773</v>
      </c>
      <c r="B7565" s="123">
        <v>717826.0</v>
      </c>
      <c r="C7565" s="687" t="s">
        <v>6774</v>
      </c>
      <c r="D7565" s="125"/>
    </row>
    <row r="7566">
      <c r="A7566" s="122" t="s">
        <v>6775</v>
      </c>
      <c r="B7566" s="123">
        <v>717826.0</v>
      </c>
      <c r="C7566" s="687" t="s">
        <v>6776</v>
      </c>
      <c r="D7566" s="125"/>
    </row>
    <row r="7567">
      <c r="A7567" s="122" t="s">
        <v>8605</v>
      </c>
      <c r="B7567" s="123">
        <v>1066119.0</v>
      </c>
      <c r="C7567" s="687" t="s">
        <v>8606</v>
      </c>
      <c r="D7567" s="125"/>
    </row>
    <row r="7568">
      <c r="A7568" s="122" t="s">
        <v>6073</v>
      </c>
      <c r="B7568" s="123">
        <v>814052.0</v>
      </c>
      <c r="C7568" s="687" t="s">
        <v>6074</v>
      </c>
      <c r="D7568" s="125"/>
    </row>
    <row r="7569">
      <c r="A7569" s="122" t="s">
        <v>6163</v>
      </c>
      <c r="B7569" s="123">
        <v>814052.0</v>
      </c>
      <c r="C7569" s="687" t="s">
        <v>6164</v>
      </c>
      <c r="D7569" s="125"/>
    </row>
    <row r="7570">
      <c r="A7570" s="122" t="s">
        <v>11259</v>
      </c>
      <c r="B7570" s="123">
        <v>1051512.0</v>
      </c>
      <c r="C7570" s="687" t="s">
        <v>11260</v>
      </c>
      <c r="D7570" s="125"/>
    </row>
    <row r="7571">
      <c r="A7571" s="122" t="s">
        <v>8265</v>
      </c>
      <c r="B7571" s="123">
        <v>1845840.0</v>
      </c>
      <c r="C7571" s="687" t="s">
        <v>8266</v>
      </c>
      <c r="D7571" s="125"/>
    </row>
    <row r="7572">
      <c r="A7572" s="122" t="s">
        <v>34183</v>
      </c>
      <c r="B7572" s="123">
        <v>1101246.0</v>
      </c>
      <c r="C7572" s="687" t="s">
        <v>34184</v>
      </c>
      <c r="D7572" s="125"/>
    </row>
    <row r="7573">
      <c r="A7573" s="122" t="s">
        <v>9834</v>
      </c>
      <c r="B7573" s="123">
        <v>61398.0</v>
      </c>
      <c r="C7573" s="687" t="s">
        <v>9835</v>
      </c>
      <c r="D7573" s="125"/>
    </row>
    <row r="7574">
      <c r="A7574" s="122" t="s">
        <v>2852</v>
      </c>
      <c r="B7574" s="123">
        <v>61398.0</v>
      </c>
      <c r="C7574" s="687" t="s">
        <v>2853</v>
      </c>
      <c r="D7574" s="125"/>
    </row>
    <row r="7575">
      <c r="A7575" s="122" t="s">
        <v>10976</v>
      </c>
      <c r="B7575" s="123">
        <v>868675.0</v>
      </c>
      <c r="C7575" s="687" t="s">
        <v>10977</v>
      </c>
      <c r="D7575" s="125"/>
    </row>
    <row r="7576">
      <c r="A7576" s="122" t="s">
        <v>7982</v>
      </c>
      <c r="B7576" s="123">
        <v>1825155.0</v>
      </c>
      <c r="C7576" s="687" t="s">
        <v>7983</v>
      </c>
      <c r="D7576" s="125"/>
    </row>
    <row r="7577">
      <c r="A7577" s="122" t="s">
        <v>2213</v>
      </c>
      <c r="B7577" s="123">
        <v>1685237.0</v>
      </c>
      <c r="C7577" s="687" t="s">
        <v>2214</v>
      </c>
      <c r="D7577" s="125"/>
    </row>
    <row r="7578">
      <c r="A7578" s="122" t="s">
        <v>6105</v>
      </c>
      <c r="B7578" s="123">
        <v>1544227.0</v>
      </c>
      <c r="C7578" s="687" t="s">
        <v>6106</v>
      </c>
      <c r="D7578" s="125"/>
    </row>
    <row r="7579">
      <c r="A7579" s="122" t="s">
        <v>7418</v>
      </c>
      <c r="B7579" s="123">
        <v>919893.0</v>
      </c>
      <c r="C7579" s="687" t="s">
        <v>7419</v>
      </c>
      <c r="D7579" s="125"/>
    </row>
    <row r="7580">
      <c r="A7580" s="122" t="s">
        <v>9287</v>
      </c>
      <c r="B7580" s="123">
        <v>809708.0</v>
      </c>
      <c r="C7580" s="687" t="s">
        <v>9288</v>
      </c>
      <c r="D7580" s="125"/>
    </row>
    <row r="7581">
      <c r="A7581" s="122" t="s">
        <v>6633</v>
      </c>
      <c r="B7581" s="123">
        <v>909112.0</v>
      </c>
      <c r="C7581" s="687" t="s">
        <v>6634</v>
      </c>
      <c r="D7581" s="125"/>
    </row>
    <row r="7582">
      <c r="A7582" s="122" t="s">
        <v>14101</v>
      </c>
      <c r="B7582" s="123">
        <v>1206264.0</v>
      </c>
      <c r="C7582" s="687" t="s">
        <v>14102</v>
      </c>
      <c r="D7582" s="125"/>
    </row>
    <row r="7583">
      <c r="A7583" s="122" t="s">
        <v>13995</v>
      </c>
      <c r="B7583" s="123">
        <v>1660280.0</v>
      </c>
      <c r="C7583" s="687" t="s">
        <v>13996</v>
      </c>
      <c r="D7583" s="125"/>
    </row>
    <row r="7584">
      <c r="A7584" s="122" t="s">
        <v>16802</v>
      </c>
      <c r="B7584" s="123">
        <v>1024725.0</v>
      </c>
      <c r="C7584" s="687" t="s">
        <v>16803</v>
      </c>
      <c r="D7584" s="125"/>
    </row>
    <row r="7585">
      <c r="A7585" s="122" t="s">
        <v>10632</v>
      </c>
      <c r="B7585" s="123">
        <v>1190723.0</v>
      </c>
      <c r="C7585" s="687" t="s">
        <v>10633</v>
      </c>
      <c r="D7585" s="125"/>
    </row>
    <row r="7586">
      <c r="A7586" s="122" t="s">
        <v>12991</v>
      </c>
      <c r="B7586" s="123">
        <v>1190723.0</v>
      </c>
      <c r="C7586" s="687" t="s">
        <v>10633</v>
      </c>
      <c r="D7586" s="125"/>
    </row>
    <row r="7587">
      <c r="A7587" s="122" t="s">
        <v>8294</v>
      </c>
      <c r="B7587" s="123">
        <v>34956.0</v>
      </c>
      <c r="C7587" s="687" t="s">
        <v>8295</v>
      </c>
      <c r="D7587" s="125"/>
    </row>
    <row r="7588">
      <c r="A7588" s="122" t="s">
        <v>6345</v>
      </c>
      <c r="B7588" s="123">
        <v>1858848.0</v>
      </c>
      <c r="C7588" s="687" t="s">
        <v>6346</v>
      </c>
      <c r="D7588" s="125"/>
    </row>
    <row r="7589">
      <c r="A7589" s="122" t="s">
        <v>1757</v>
      </c>
      <c r="B7589" s="123">
        <v>1558924.0</v>
      </c>
      <c r="C7589" s="687" t="s">
        <v>1758</v>
      </c>
      <c r="D7589" s="125"/>
    </row>
    <row r="7590">
      <c r="A7590" s="122" t="s">
        <v>15202</v>
      </c>
      <c r="B7590" s="123">
        <v>70318.0</v>
      </c>
      <c r="C7590" s="687" t="s">
        <v>15203</v>
      </c>
      <c r="D7590" s="125"/>
    </row>
    <row r="7591">
      <c r="A7591" s="122" t="s">
        <v>4825</v>
      </c>
      <c r="B7591" s="123">
        <v>1499785.0</v>
      </c>
      <c r="C7591" s="687" t="s">
        <v>4826</v>
      </c>
      <c r="D7591" s="125"/>
    </row>
    <row r="7592">
      <c r="A7592" s="122" t="s">
        <v>15342</v>
      </c>
      <c r="B7592" s="123">
        <v>97134.0</v>
      </c>
      <c r="C7592" s="687" t="s">
        <v>15343</v>
      </c>
      <c r="D7592" s="125"/>
    </row>
    <row r="7593">
      <c r="A7593" s="122" t="s">
        <v>11761</v>
      </c>
      <c r="B7593" s="123">
        <v>1376986.0</v>
      </c>
      <c r="C7593" s="687" t="s">
        <v>11762</v>
      </c>
      <c r="D7593" s="125"/>
    </row>
    <row r="7594">
      <c r="A7594" s="122" t="s">
        <v>11867</v>
      </c>
      <c r="B7594" s="123">
        <v>1376986.0</v>
      </c>
      <c r="C7594" s="687" t="s">
        <v>11868</v>
      </c>
      <c r="D7594" s="125"/>
    </row>
    <row r="7595">
      <c r="A7595" s="122" t="s">
        <v>4046</v>
      </c>
      <c r="B7595" s="123">
        <v>1560293.0</v>
      </c>
      <c r="C7595" s="687" t="s">
        <v>4047</v>
      </c>
      <c r="D7595" s="125"/>
    </row>
    <row r="7596">
      <c r="A7596" s="122" t="s">
        <v>9032</v>
      </c>
      <c r="B7596" s="123">
        <v>1851484.0</v>
      </c>
      <c r="C7596" s="687" t="s">
        <v>9033</v>
      </c>
      <c r="D7596" s="125"/>
    </row>
    <row r="7597">
      <c r="A7597" s="122" t="s">
        <v>13999</v>
      </c>
      <c r="B7597" s="123">
        <v>816761.0</v>
      </c>
      <c r="C7597" s="687" t="s">
        <v>14000</v>
      </c>
      <c r="D7597" s="125"/>
    </row>
    <row r="7598">
      <c r="A7598" s="122" t="s">
        <v>15326</v>
      </c>
      <c r="B7598" s="123">
        <v>97210.0</v>
      </c>
      <c r="C7598" s="687" t="s">
        <v>15327</v>
      </c>
      <c r="D7598" s="125"/>
    </row>
    <row r="7599">
      <c r="A7599" s="122" t="s">
        <v>4653</v>
      </c>
      <c r="B7599" s="123">
        <v>1083301.0</v>
      </c>
      <c r="C7599" s="687" t="s">
        <v>4654</v>
      </c>
      <c r="D7599" s="125"/>
    </row>
    <row r="7600">
      <c r="A7600" s="122" t="s">
        <v>14572</v>
      </c>
      <c r="B7600" s="123">
        <v>97216.0</v>
      </c>
      <c r="C7600" s="687" t="s">
        <v>14573</v>
      </c>
      <c r="D7600" s="125"/>
    </row>
    <row r="7601">
      <c r="A7601" s="122" t="s">
        <v>13492</v>
      </c>
      <c r="B7601" s="123">
        <v>1342874.0</v>
      </c>
      <c r="C7601" s="687" t="s">
        <v>13493</v>
      </c>
      <c r="D7601" s="125"/>
    </row>
    <row r="7602">
      <c r="A7602" s="122" t="s">
        <v>6587</v>
      </c>
      <c r="B7602" s="123">
        <v>1831363.0</v>
      </c>
      <c r="C7602" s="687" t="s">
        <v>6588</v>
      </c>
      <c r="D7602" s="125"/>
    </row>
    <row r="7603">
      <c r="A7603" s="122" t="s">
        <v>11993</v>
      </c>
      <c r="B7603" s="123">
        <v>1577134.0</v>
      </c>
      <c r="C7603" s="687" t="s">
        <v>11994</v>
      </c>
      <c r="D7603" s="125"/>
    </row>
    <row r="7604">
      <c r="A7604" s="122" t="s">
        <v>11020</v>
      </c>
      <c r="B7604" s="123">
        <v>1674356.0</v>
      </c>
      <c r="C7604" s="687" t="s">
        <v>11021</v>
      </c>
      <c r="D7604" s="125"/>
    </row>
    <row r="7605">
      <c r="A7605" s="122" t="s">
        <v>3474</v>
      </c>
      <c r="B7605" s="123">
        <v>1835512.0</v>
      </c>
      <c r="C7605" s="687" t="s">
        <v>3475</v>
      </c>
      <c r="D7605" s="125"/>
    </row>
    <row r="7606">
      <c r="A7606" s="122" t="s">
        <v>14495</v>
      </c>
      <c r="B7606" s="123">
        <v>1476150.0</v>
      </c>
      <c r="C7606" s="687" t="s">
        <v>14496</v>
      </c>
      <c r="D7606" s="125"/>
    </row>
    <row r="7607">
      <c r="A7607" s="122" t="s">
        <v>8386</v>
      </c>
      <c r="B7607" s="123">
        <v>1447051.0</v>
      </c>
      <c r="C7607" s="687" t="s">
        <v>8387</v>
      </c>
      <c r="D7607" s="125"/>
    </row>
    <row r="7608">
      <c r="A7608" s="122" t="s">
        <v>5832</v>
      </c>
      <c r="B7608" s="123">
        <v>885834.0</v>
      </c>
      <c r="C7608" s="687" t="s">
        <v>5833</v>
      </c>
      <c r="D7608" s="125"/>
    </row>
    <row r="7609">
      <c r="A7609" s="122" t="s">
        <v>9294</v>
      </c>
      <c r="B7609" s="123">
        <v>885834.0</v>
      </c>
      <c r="C7609" s="687" t="s">
        <v>5833</v>
      </c>
      <c r="D7609" s="125"/>
    </row>
    <row r="7610">
      <c r="A7610" s="122" t="s">
        <v>16101</v>
      </c>
      <c r="B7610" s="123">
        <v>1318605.0</v>
      </c>
      <c r="C7610" s="687" t="s">
        <v>16102</v>
      </c>
      <c r="D7610" s="125"/>
    </row>
    <row r="7611">
      <c r="A7611" s="122" t="s">
        <v>10260</v>
      </c>
      <c r="B7611" s="123">
        <v>1444874.0</v>
      </c>
      <c r="C7611" s="687" t="s">
        <v>10261</v>
      </c>
      <c r="D7611" s="125"/>
    </row>
    <row r="7612">
      <c r="A7612" s="122" t="s">
        <v>15976</v>
      </c>
      <c r="B7612" s="123">
        <v>831641.0</v>
      </c>
      <c r="C7612" s="687" t="s">
        <v>15977</v>
      </c>
      <c r="D7612" s="125"/>
    </row>
    <row r="7613">
      <c r="A7613" s="122" t="s">
        <v>6137</v>
      </c>
      <c r="B7613" s="123">
        <v>844965.0</v>
      </c>
      <c r="C7613" s="687" t="s">
        <v>6138</v>
      </c>
      <c r="D7613" s="125"/>
    </row>
    <row r="7614">
      <c r="A7614" s="122" t="s">
        <v>12727</v>
      </c>
      <c r="B7614" s="123">
        <v>1471824.0</v>
      </c>
      <c r="C7614" s="687" t="s">
        <v>12728</v>
      </c>
      <c r="D7614" s="125"/>
    </row>
    <row r="7615">
      <c r="A7615" s="122" t="s">
        <v>11486</v>
      </c>
      <c r="B7615" s="123">
        <v>1471824.0</v>
      </c>
      <c r="C7615" s="687" t="s">
        <v>11487</v>
      </c>
      <c r="D7615" s="125"/>
    </row>
    <row r="7616">
      <c r="A7616" s="122" t="s">
        <v>12312</v>
      </c>
      <c r="B7616" s="123">
        <v>1471824.0</v>
      </c>
      <c r="C7616" s="687" t="s">
        <v>12313</v>
      </c>
      <c r="D7616" s="125"/>
    </row>
    <row r="7617">
      <c r="A7617" s="122" t="s">
        <v>10155</v>
      </c>
      <c r="B7617" s="123">
        <v>1471824.0</v>
      </c>
      <c r="C7617" s="687" t="s">
        <v>10156</v>
      </c>
      <c r="D7617" s="125"/>
    </row>
    <row r="7618">
      <c r="A7618" s="122" t="s">
        <v>6886</v>
      </c>
      <c r="B7618" s="123">
        <v>1471824.0</v>
      </c>
      <c r="C7618" s="687" t="s">
        <v>6887</v>
      </c>
      <c r="D7618" s="125"/>
    </row>
    <row r="7619">
      <c r="A7619" s="122" t="s">
        <v>9694</v>
      </c>
      <c r="B7619" s="123">
        <v>818686.0</v>
      </c>
      <c r="C7619" s="687" t="s">
        <v>9695</v>
      </c>
      <c r="D7619" s="125"/>
    </row>
    <row r="7620">
      <c r="A7620" s="122" t="s">
        <v>9881</v>
      </c>
      <c r="B7620" s="123">
        <v>818686.0</v>
      </c>
      <c r="C7620" s="687" t="s">
        <v>9695</v>
      </c>
      <c r="D7620" s="125"/>
    </row>
    <row r="7621">
      <c r="A7621" s="122" t="s">
        <v>34185</v>
      </c>
      <c r="B7621" s="123">
        <v>1853718.0</v>
      </c>
      <c r="C7621" s="687" t="s">
        <v>34186</v>
      </c>
      <c r="D7621" s="125"/>
    </row>
    <row r="7622">
      <c r="A7622" s="122" t="s">
        <v>11214</v>
      </c>
      <c r="B7622" s="123">
        <v>1077428.0</v>
      </c>
      <c r="C7622" s="687" t="s">
        <v>11215</v>
      </c>
      <c r="D7622" s="125"/>
    </row>
    <row r="7623">
      <c r="A7623" s="122" t="s">
        <v>14458</v>
      </c>
      <c r="B7623" s="123">
        <v>1077428.0</v>
      </c>
      <c r="C7623" s="687" t="s">
        <v>14459</v>
      </c>
      <c r="D7623" s="125"/>
    </row>
    <row r="7624">
      <c r="A7624" s="122" t="s">
        <v>10248</v>
      </c>
      <c r="B7624" s="123">
        <v>1849466.0</v>
      </c>
      <c r="C7624" s="687" t="s">
        <v>10249</v>
      </c>
      <c r="D7624" s="125"/>
    </row>
    <row r="7625">
      <c r="A7625" s="122" t="s">
        <v>15949</v>
      </c>
      <c r="B7625" s="123">
        <v>97476.0</v>
      </c>
      <c r="C7625" s="687" t="s">
        <v>15950</v>
      </c>
      <c r="D7625" s="125"/>
    </row>
    <row r="7626">
      <c r="A7626" s="122" t="s">
        <v>2723</v>
      </c>
      <c r="B7626" s="123">
        <v>1445942.0</v>
      </c>
      <c r="C7626" s="687" t="s">
        <v>2724</v>
      </c>
      <c r="D7626" s="125"/>
    </row>
    <row r="7627">
      <c r="A7627" s="122" t="s">
        <v>16713</v>
      </c>
      <c r="B7627" s="123">
        <v>1811074.0</v>
      </c>
      <c r="C7627" s="687" t="s">
        <v>16714</v>
      </c>
      <c r="D7627" s="125"/>
    </row>
    <row r="7628">
      <c r="A7628" s="122" t="s">
        <v>15734</v>
      </c>
      <c r="B7628" s="123">
        <v>1289460.0</v>
      </c>
      <c r="C7628" s="687" t="s">
        <v>15735</v>
      </c>
      <c r="D7628" s="125"/>
    </row>
    <row r="7629">
      <c r="A7629" s="122" t="s">
        <v>14070</v>
      </c>
      <c r="B7629" s="123">
        <v>1413159.0</v>
      </c>
      <c r="C7629" s="687" t="s">
        <v>14071</v>
      </c>
      <c r="D7629" s="125"/>
    </row>
    <row r="7630">
      <c r="A7630" s="122" t="s">
        <v>15132</v>
      </c>
      <c r="B7630" s="123">
        <v>217346.0</v>
      </c>
      <c r="C7630" s="687" t="s">
        <v>15133</v>
      </c>
      <c r="D7630" s="125"/>
    </row>
    <row r="7631">
      <c r="A7631" s="122" t="s">
        <v>6939</v>
      </c>
      <c r="B7631" s="123">
        <v>1733413.0</v>
      </c>
      <c r="C7631" s="687" t="s">
        <v>6940</v>
      </c>
      <c r="D7631" s="125"/>
    </row>
    <row r="7632">
      <c r="A7632" s="122" t="s">
        <v>15753</v>
      </c>
      <c r="B7632" s="123">
        <v>1588823.0</v>
      </c>
      <c r="C7632" s="687" t="s">
        <v>15754</v>
      </c>
      <c r="D7632" s="125"/>
    </row>
    <row r="7633">
      <c r="A7633" s="122" t="s">
        <v>9985</v>
      </c>
      <c r="B7633" s="123">
        <v>1381668.0</v>
      </c>
      <c r="C7633" s="687" t="s">
        <v>9986</v>
      </c>
      <c r="D7633" s="125"/>
    </row>
    <row r="7634">
      <c r="A7634" s="122" t="s">
        <v>10735</v>
      </c>
      <c r="B7634" s="123">
        <v>1001316.0</v>
      </c>
      <c r="C7634" s="687" t="s">
        <v>10736</v>
      </c>
      <c r="D7634" s="125"/>
    </row>
    <row r="7635">
      <c r="A7635" s="122" t="s">
        <v>964</v>
      </c>
      <c r="B7635" s="123">
        <v>1865191.0</v>
      </c>
      <c r="C7635" s="687" t="s">
        <v>965</v>
      </c>
      <c r="D7635" s="125"/>
    </row>
    <row r="7636">
      <c r="A7636" s="122" t="s">
        <v>9201</v>
      </c>
      <c r="B7636" s="123">
        <v>1865191.0</v>
      </c>
      <c r="C7636" s="687" t="s">
        <v>9202</v>
      </c>
      <c r="D7636" s="125"/>
    </row>
    <row r="7637">
      <c r="A7637" s="122" t="s">
        <v>8625</v>
      </c>
      <c r="B7637" s="123">
        <v>1865191.0</v>
      </c>
      <c r="C7637" s="687" t="s">
        <v>8626</v>
      </c>
      <c r="D7637" s="125"/>
    </row>
    <row r="7638">
      <c r="A7638" s="122" t="s">
        <v>9859</v>
      </c>
      <c r="B7638" s="123">
        <v>1437731.0</v>
      </c>
      <c r="C7638" s="687" t="s">
        <v>9860</v>
      </c>
      <c r="D7638" s="125"/>
    </row>
    <row r="7639">
      <c r="A7639" s="122" t="s">
        <v>8257</v>
      </c>
      <c r="B7639" s="123">
        <v>1437731.0</v>
      </c>
      <c r="C7639" s="687" t="s">
        <v>8258</v>
      </c>
      <c r="D7639" s="125"/>
    </row>
    <row r="7640">
      <c r="A7640" s="122" t="s">
        <v>4431</v>
      </c>
      <c r="B7640" s="123">
        <v>1877333.0</v>
      </c>
      <c r="C7640" s="687" t="s">
        <v>4432</v>
      </c>
      <c r="D7640" s="125"/>
    </row>
    <row r="7641">
      <c r="A7641" s="122" t="s">
        <v>34187</v>
      </c>
      <c r="B7641" s="123">
        <v>1404935.0</v>
      </c>
      <c r="C7641" s="687" t="s">
        <v>34188</v>
      </c>
      <c r="D7641" s="125"/>
    </row>
    <row r="7642">
      <c r="A7642" s="122" t="s">
        <v>11343</v>
      </c>
      <c r="B7642" s="123">
        <v>917100.0</v>
      </c>
      <c r="C7642" s="687" t="s">
        <v>11344</v>
      </c>
      <c r="D7642" s="125"/>
    </row>
    <row r="7643">
      <c r="A7643" s="122" t="s">
        <v>2015</v>
      </c>
      <c r="B7643" s="123">
        <v>1798562.0</v>
      </c>
      <c r="C7643" s="687" t="s">
        <v>2016</v>
      </c>
      <c r="D7643" s="125"/>
    </row>
    <row r="7644">
      <c r="A7644" s="122" t="s">
        <v>6716</v>
      </c>
      <c r="B7644" s="123">
        <v>836412.0</v>
      </c>
      <c r="C7644" s="687" t="s">
        <v>6717</v>
      </c>
      <c r="D7644" s="125"/>
    </row>
    <row r="7645">
      <c r="A7645" s="122" t="s">
        <v>6844</v>
      </c>
      <c r="B7645" s="123">
        <v>1296774.0</v>
      </c>
      <c r="C7645" s="687" t="s">
        <v>6845</v>
      </c>
      <c r="D7645" s="125"/>
    </row>
    <row r="7646">
      <c r="A7646" s="122" t="s">
        <v>2249</v>
      </c>
      <c r="B7646" s="123">
        <v>1066684.0</v>
      </c>
      <c r="C7646" s="687" t="s">
        <v>2250</v>
      </c>
      <c r="D7646" s="125"/>
    </row>
    <row r="7647">
      <c r="A7647" s="122" t="s">
        <v>34189</v>
      </c>
      <c r="B7647" s="123">
        <v>1362703.0</v>
      </c>
      <c r="C7647" s="687" t="s">
        <v>34190</v>
      </c>
      <c r="D7647" s="125"/>
    </row>
    <row r="7648">
      <c r="A7648" s="122" t="s">
        <v>34191</v>
      </c>
      <c r="B7648" s="123">
        <v>1419051.0</v>
      </c>
      <c r="C7648" s="687" t="s">
        <v>34192</v>
      </c>
      <c r="D7648" s="125"/>
    </row>
    <row r="7649">
      <c r="A7649" s="122" t="s">
        <v>5035</v>
      </c>
      <c r="B7649" s="123">
        <v>25743.0</v>
      </c>
      <c r="C7649" s="687" t="s">
        <v>5036</v>
      </c>
      <c r="D7649" s="125"/>
    </row>
    <row r="7650">
      <c r="A7650" s="122" t="s">
        <v>4535</v>
      </c>
      <c r="B7650" s="123">
        <v>1512717.0</v>
      </c>
      <c r="C7650" s="687" t="s">
        <v>4536</v>
      </c>
      <c r="D7650" s="125"/>
    </row>
    <row r="7651">
      <c r="A7651" s="122" t="s">
        <v>7966</v>
      </c>
      <c r="B7651" s="123">
        <v>1583107.0</v>
      </c>
      <c r="C7651" s="687" t="s">
        <v>7967</v>
      </c>
      <c r="D7651" s="125"/>
    </row>
    <row r="7652">
      <c r="A7652" s="122" t="s">
        <v>3043</v>
      </c>
      <c r="B7652" s="123">
        <v>811212.0</v>
      </c>
      <c r="C7652" s="687" t="s">
        <v>3044</v>
      </c>
      <c r="D7652" s="125"/>
    </row>
    <row r="7653">
      <c r="A7653" s="122" t="s">
        <v>12208</v>
      </c>
      <c r="B7653" s="123">
        <v>1489096.0</v>
      </c>
      <c r="C7653" s="687" t="s">
        <v>12209</v>
      </c>
      <c r="D7653" s="125"/>
    </row>
    <row r="7654">
      <c r="A7654" s="122" t="s">
        <v>6109</v>
      </c>
      <c r="B7654" s="123">
        <v>1745020.0</v>
      </c>
      <c r="C7654" s="687" t="s">
        <v>6110</v>
      </c>
      <c r="D7654" s="125"/>
    </row>
    <row r="7655">
      <c r="A7655" s="122" t="s">
        <v>7343</v>
      </c>
      <c r="B7655" s="123">
        <v>1282847.0</v>
      </c>
      <c r="C7655" s="687" t="s">
        <v>7344</v>
      </c>
      <c r="D7655" s="125"/>
    </row>
    <row r="7656">
      <c r="A7656" s="122" t="s">
        <v>11298</v>
      </c>
      <c r="B7656" s="123">
        <v>1781730.0</v>
      </c>
      <c r="C7656" s="687" t="s">
        <v>11299</v>
      </c>
      <c r="D7656" s="125"/>
    </row>
    <row r="7657">
      <c r="A7657" s="122" t="s">
        <v>7924</v>
      </c>
      <c r="B7657" s="123">
        <v>1923840.0</v>
      </c>
      <c r="C7657" s="687" t="s">
        <v>7925</v>
      </c>
      <c r="D7657" s="125"/>
    </row>
    <row r="7658">
      <c r="A7658" s="122" t="s">
        <v>15894</v>
      </c>
      <c r="B7658" s="123">
        <v>1075124.0</v>
      </c>
      <c r="C7658" s="687" t="s">
        <v>15895</v>
      </c>
      <c r="D7658" s="125"/>
    </row>
    <row r="7659">
      <c r="A7659" s="122" t="s">
        <v>15582</v>
      </c>
      <c r="B7659" s="123">
        <v>730263.0</v>
      </c>
      <c r="C7659" s="687" t="s">
        <v>15583</v>
      </c>
      <c r="D7659" s="125"/>
    </row>
    <row r="7660">
      <c r="A7660" s="122" t="s">
        <v>6388</v>
      </c>
      <c r="B7660" s="123">
        <v>1866550.0</v>
      </c>
      <c r="C7660" s="687" t="s">
        <v>6389</v>
      </c>
      <c r="D7660" s="125"/>
    </row>
    <row r="7661">
      <c r="A7661" s="122" t="s">
        <v>4796</v>
      </c>
      <c r="B7661" s="123">
        <v>1484778.0</v>
      </c>
      <c r="C7661" s="687" t="s">
        <v>4797</v>
      </c>
      <c r="D7661" s="125"/>
    </row>
    <row r="7662">
      <c r="A7662" s="122" t="s">
        <v>11556</v>
      </c>
      <c r="B7662" s="123">
        <v>1556739.0</v>
      </c>
      <c r="C7662" s="687" t="s">
        <v>11557</v>
      </c>
      <c r="D7662" s="125"/>
    </row>
    <row r="7663">
      <c r="A7663" s="122" t="s">
        <v>6062</v>
      </c>
      <c r="B7663" s="123">
        <v>1853825.0</v>
      </c>
      <c r="C7663" s="687" t="s">
        <v>6063</v>
      </c>
      <c r="D7663" s="125"/>
    </row>
    <row r="7664">
      <c r="A7664" s="122" t="s">
        <v>1769</v>
      </c>
      <c r="B7664" s="123">
        <v>1843993.0</v>
      </c>
      <c r="C7664" s="687" t="s">
        <v>1770</v>
      </c>
      <c r="D7664" s="125"/>
    </row>
    <row r="7665">
      <c r="A7665" s="122" t="s">
        <v>8460</v>
      </c>
      <c r="B7665" s="123">
        <v>1843993.0</v>
      </c>
      <c r="C7665" s="687" t="s">
        <v>8461</v>
      </c>
      <c r="D7665" s="125"/>
    </row>
    <row r="7666">
      <c r="A7666" s="122" t="s">
        <v>8485</v>
      </c>
      <c r="B7666" s="123">
        <v>1843993.0</v>
      </c>
      <c r="C7666" s="687" t="s">
        <v>8486</v>
      </c>
      <c r="D7666" s="125"/>
    </row>
    <row r="7667">
      <c r="A7667" s="122" t="s">
        <v>1255</v>
      </c>
      <c r="B7667" s="123">
        <v>1524872.0</v>
      </c>
      <c r="C7667" s="687" t="s">
        <v>1256</v>
      </c>
      <c r="D7667" s="125"/>
    </row>
    <row r="7668">
      <c r="A7668" s="122" t="s">
        <v>1235</v>
      </c>
      <c r="B7668" s="123">
        <v>711034.0</v>
      </c>
      <c r="C7668" s="687" t="s">
        <v>1236</v>
      </c>
      <c r="D7668" s="125"/>
    </row>
    <row r="7669">
      <c r="A7669" s="122" t="s">
        <v>16590</v>
      </c>
      <c r="B7669" s="123">
        <v>736744.0</v>
      </c>
      <c r="C7669" s="687" t="s">
        <v>16591</v>
      </c>
      <c r="D7669" s="125"/>
    </row>
    <row r="7670">
      <c r="A7670" s="122" t="s">
        <v>3093</v>
      </c>
      <c r="B7670" s="123">
        <v>1782941.0</v>
      </c>
      <c r="C7670" s="687" t="s">
        <v>3094</v>
      </c>
      <c r="D7670" s="125"/>
    </row>
    <row r="7671">
      <c r="A7671" s="122" t="s">
        <v>3488</v>
      </c>
      <c r="B7671" s="123">
        <v>1557798.0</v>
      </c>
      <c r="C7671" s="687" t="s">
        <v>3489</v>
      </c>
      <c r="D7671" s="125"/>
    </row>
    <row r="7672">
      <c r="A7672" s="122" t="s">
        <v>468</v>
      </c>
      <c r="B7672" s="123">
        <v>1282496.0</v>
      </c>
      <c r="C7672" s="687" t="s">
        <v>469</v>
      </c>
      <c r="D7672" s="125"/>
    </row>
    <row r="7673">
      <c r="A7673" s="122" t="s">
        <v>14636</v>
      </c>
      <c r="B7673" s="123">
        <v>98222.0</v>
      </c>
      <c r="C7673" s="687" t="s">
        <v>14637</v>
      </c>
      <c r="D7673" s="125"/>
    </row>
    <row r="7674">
      <c r="A7674" s="122" t="s">
        <v>34193</v>
      </c>
      <c r="B7674" s="123">
        <v>1386018.0</v>
      </c>
      <c r="C7674" s="687" t="s">
        <v>34194</v>
      </c>
      <c r="D7674" s="125"/>
    </row>
    <row r="7675">
      <c r="A7675" s="122" t="s">
        <v>7129</v>
      </c>
      <c r="B7675" s="123">
        <v>1552800.0</v>
      </c>
      <c r="C7675" s="687" t="s">
        <v>7130</v>
      </c>
      <c r="D7675" s="125"/>
    </row>
    <row r="7676">
      <c r="A7676" s="122" t="s">
        <v>7499</v>
      </c>
      <c r="B7676" s="123">
        <v>1524025.0</v>
      </c>
      <c r="C7676" s="687" t="s">
        <v>7500</v>
      </c>
      <c r="D7676" s="125"/>
    </row>
    <row r="7677">
      <c r="A7677" s="122" t="s">
        <v>4742</v>
      </c>
      <c r="B7677" s="123">
        <v>1731348.0</v>
      </c>
      <c r="C7677" s="687" t="s">
        <v>4743</v>
      </c>
      <c r="D7677" s="125"/>
    </row>
    <row r="7678">
      <c r="A7678" s="122" t="s">
        <v>1193</v>
      </c>
      <c r="B7678" s="123">
        <v>1761510.0</v>
      </c>
      <c r="C7678" s="687" t="s">
        <v>1194</v>
      </c>
      <c r="D7678" s="125"/>
    </row>
    <row r="7679">
      <c r="A7679" s="122" t="s">
        <v>11004</v>
      </c>
      <c r="B7679" s="123">
        <v>1826168.0</v>
      </c>
      <c r="C7679" s="687" t="s">
        <v>11005</v>
      </c>
      <c r="D7679" s="125"/>
    </row>
    <row r="7680">
      <c r="A7680" s="122" t="s">
        <v>7429</v>
      </c>
      <c r="B7680" s="123">
        <v>1882958.0</v>
      </c>
      <c r="C7680" s="687" t="s">
        <v>7430</v>
      </c>
      <c r="D7680" s="125"/>
    </row>
    <row r="7681">
      <c r="A7681" s="122" t="s">
        <v>12552</v>
      </c>
      <c r="B7681" s="123">
        <v>1046050.0</v>
      </c>
      <c r="C7681" s="687" t="s">
        <v>12553</v>
      </c>
      <c r="D7681" s="125"/>
    </row>
    <row r="7682">
      <c r="A7682" s="122" t="s">
        <v>1403</v>
      </c>
      <c r="B7682" s="123">
        <v>1288750.0</v>
      </c>
      <c r="C7682" s="687" t="s">
        <v>1404</v>
      </c>
      <c r="D7682" s="125"/>
    </row>
    <row r="7683">
      <c r="A7683" s="122" t="s">
        <v>15126</v>
      </c>
      <c r="B7683" s="123">
        <v>98362.0</v>
      </c>
      <c r="C7683" s="687" t="s">
        <v>15127</v>
      </c>
      <c r="D7683" s="125"/>
    </row>
    <row r="7684">
      <c r="A7684" s="122" t="s">
        <v>11545</v>
      </c>
      <c r="B7684" s="123">
        <v>1598428.0</v>
      </c>
      <c r="C7684" s="687" t="s">
        <v>11546</v>
      </c>
      <c r="D7684" s="125"/>
    </row>
    <row r="7685">
      <c r="A7685" s="122" t="s">
        <v>6752</v>
      </c>
      <c r="B7685" s="123">
        <v>1820378.0</v>
      </c>
      <c r="C7685" s="687" t="s">
        <v>6753</v>
      </c>
      <c r="D7685" s="125"/>
    </row>
    <row r="7686">
      <c r="A7686" s="122" t="s">
        <v>11246</v>
      </c>
      <c r="B7686" s="123">
        <v>1393726.0</v>
      </c>
      <c r="C7686" s="687" t="s">
        <v>11247</v>
      </c>
      <c r="D7686" s="125"/>
    </row>
    <row r="7687">
      <c r="A7687" s="122" t="s">
        <v>8582</v>
      </c>
      <c r="B7687" s="123">
        <v>1863099.0</v>
      </c>
      <c r="C7687" s="687" t="s">
        <v>8583</v>
      </c>
      <c r="D7687" s="125"/>
    </row>
    <row r="7688">
      <c r="A7688" s="122" t="s">
        <v>10401</v>
      </c>
      <c r="B7688" s="123">
        <v>899751.0</v>
      </c>
      <c r="C7688" s="687" t="s">
        <v>10402</v>
      </c>
      <c r="D7688" s="125"/>
    </row>
    <row r="7689">
      <c r="A7689" s="122" t="s">
        <v>12536</v>
      </c>
      <c r="B7689" s="123">
        <v>1409171.0</v>
      </c>
      <c r="C7689" s="687" t="s">
        <v>12537</v>
      </c>
      <c r="D7689" s="125"/>
    </row>
    <row r="7690">
      <c r="A7690" s="122" t="s">
        <v>954</v>
      </c>
      <c r="B7690" s="123">
        <v>926042.0</v>
      </c>
      <c r="C7690" s="687" t="s">
        <v>955</v>
      </c>
      <c r="D7690" s="125"/>
    </row>
    <row r="7691">
      <c r="A7691" s="122" t="s">
        <v>7174</v>
      </c>
      <c r="B7691" s="123">
        <v>910267.0</v>
      </c>
      <c r="C7691" s="687" t="s">
        <v>7175</v>
      </c>
      <c r="D7691" s="125"/>
    </row>
    <row r="7692">
      <c r="A7692" s="122" t="s">
        <v>4072</v>
      </c>
      <c r="B7692" s="123">
        <v>1787740.0</v>
      </c>
      <c r="C7692" s="687" t="s">
        <v>4073</v>
      </c>
      <c r="D7692" s="125"/>
    </row>
    <row r="7693">
      <c r="A7693" s="122" t="s">
        <v>3057</v>
      </c>
      <c r="B7693" s="123">
        <v>1723069.0</v>
      </c>
      <c r="C7693" s="687" t="s">
        <v>3058</v>
      </c>
      <c r="D7693" s="125"/>
    </row>
    <row r="7694">
      <c r="A7694" s="122" t="s">
        <v>15349</v>
      </c>
      <c r="B7694" s="123">
        <v>109198.0</v>
      </c>
      <c r="C7694" s="687" t="s">
        <v>15350</v>
      </c>
      <c r="D7694" s="125"/>
    </row>
    <row r="7695">
      <c r="A7695" s="122" t="s">
        <v>1012</v>
      </c>
      <c r="B7695" s="123">
        <v>1879814.0</v>
      </c>
      <c r="C7695" s="687" t="s">
        <v>1013</v>
      </c>
      <c r="D7695" s="125"/>
    </row>
    <row r="7696">
      <c r="A7696" s="122" t="s">
        <v>9242</v>
      </c>
      <c r="B7696" s="123">
        <v>1879814.0</v>
      </c>
      <c r="C7696" s="687" t="s">
        <v>9243</v>
      </c>
      <c r="D7696" s="125"/>
    </row>
    <row r="7697">
      <c r="A7697" s="122" t="s">
        <v>9214</v>
      </c>
      <c r="B7697" s="123">
        <v>1879814.0</v>
      </c>
      <c r="C7697" s="687" t="s">
        <v>9215</v>
      </c>
      <c r="D7697" s="125"/>
    </row>
    <row r="7698">
      <c r="A7698" s="122" t="s">
        <v>8030</v>
      </c>
      <c r="B7698" s="123">
        <v>1531740.0</v>
      </c>
      <c r="C7698" s="687" t="s">
        <v>8031</v>
      </c>
      <c r="D7698" s="125"/>
    </row>
    <row r="7699">
      <c r="A7699" s="122" t="s">
        <v>8643</v>
      </c>
      <c r="B7699" s="123">
        <v>1879851.0</v>
      </c>
      <c r="C7699" s="687" t="s">
        <v>8644</v>
      </c>
      <c r="D7699" s="125"/>
    </row>
    <row r="7700">
      <c r="A7700" s="122" t="s">
        <v>11163</v>
      </c>
      <c r="B7700" s="123">
        <v>1650164.0</v>
      </c>
      <c r="C7700" s="687" t="s">
        <v>11164</v>
      </c>
      <c r="D7700" s="125"/>
    </row>
    <row r="7701">
      <c r="A7701" s="122" t="s">
        <v>34195</v>
      </c>
      <c r="B7701" s="123">
        <v>1645260.0</v>
      </c>
      <c r="C7701" s="687" t="s">
        <v>34196</v>
      </c>
      <c r="D7701" s="125"/>
    </row>
    <row r="7702">
      <c r="A7702" s="122" t="s">
        <v>3486</v>
      </c>
      <c r="B7702" s="123">
        <v>730349.0</v>
      </c>
      <c r="C7702" s="687" t="s">
        <v>3487</v>
      </c>
      <c r="D7702" s="125"/>
    </row>
    <row r="7703">
      <c r="A7703" s="122" t="s">
        <v>15383</v>
      </c>
      <c r="B7703" s="123">
        <v>794170.0</v>
      </c>
      <c r="C7703" s="687" t="s">
        <v>15384</v>
      </c>
      <c r="D7703" s="125"/>
    </row>
    <row r="7704">
      <c r="A7704" s="122" t="s">
        <v>34197</v>
      </c>
      <c r="B7704" s="123">
        <v>1072772.0</v>
      </c>
      <c r="C7704" s="687" t="s">
        <v>34198</v>
      </c>
      <c r="D7704" s="125"/>
    </row>
    <row r="7705">
      <c r="A7705" s="122" t="s">
        <v>3443</v>
      </c>
      <c r="B7705" s="123">
        <v>314227.0</v>
      </c>
      <c r="C7705" s="687" t="s">
        <v>3444</v>
      </c>
      <c r="D7705" s="125"/>
    </row>
    <row r="7706">
      <c r="A7706" s="122" t="s">
        <v>2663</v>
      </c>
      <c r="B7706" s="123">
        <v>1430306.0</v>
      </c>
      <c r="C7706" s="687" t="s">
        <v>2664</v>
      </c>
      <c r="D7706" s="125"/>
    </row>
    <row r="7707">
      <c r="A7707" s="122" t="s">
        <v>3425</v>
      </c>
      <c r="B7707" s="123">
        <v>1735532.0</v>
      </c>
      <c r="C7707" s="687" t="s">
        <v>3426</v>
      </c>
      <c r="D7707" s="125"/>
    </row>
    <row r="7708">
      <c r="A7708" s="122" t="s">
        <v>13049</v>
      </c>
      <c r="B7708" s="123">
        <v>98677.0</v>
      </c>
      <c r="C7708" s="687" t="s">
        <v>13050</v>
      </c>
      <c r="D7708" s="125"/>
    </row>
    <row r="7709">
      <c r="A7709" s="122" t="s">
        <v>12797</v>
      </c>
      <c r="B7709" s="123">
        <v>98677.0</v>
      </c>
      <c r="C7709" s="687" t="s">
        <v>12798</v>
      </c>
      <c r="D7709" s="125"/>
    </row>
    <row r="7710">
      <c r="A7710" s="122" t="s">
        <v>1</v>
      </c>
      <c r="B7710" s="123">
        <v>1848275.0</v>
      </c>
      <c r="C7710" s="687" t="s">
        <v>5348</v>
      </c>
      <c r="D7710" s="125"/>
    </row>
    <row r="7711">
      <c r="A7711" s="122" t="s">
        <v>10117</v>
      </c>
      <c r="B7711" s="123">
        <v>1296484.0</v>
      </c>
      <c r="C7711" s="687" t="s">
        <v>10118</v>
      </c>
      <c r="D7711" s="125"/>
    </row>
    <row r="7712">
      <c r="A7712" s="122" t="s">
        <v>16505</v>
      </c>
      <c r="B7712" s="123">
        <v>1633931.0</v>
      </c>
      <c r="C7712" s="687" t="s">
        <v>16506</v>
      </c>
      <c r="D7712" s="125"/>
    </row>
    <row r="7713">
      <c r="A7713" s="122" t="s">
        <v>10043</v>
      </c>
      <c r="B7713" s="123">
        <v>837465.0</v>
      </c>
      <c r="C7713" s="687" t="s">
        <v>10044</v>
      </c>
      <c r="D7713" s="125"/>
    </row>
    <row r="7714">
      <c r="A7714" s="122" t="s">
        <v>13146</v>
      </c>
      <c r="B7714" s="123">
        <v>1655891.0</v>
      </c>
      <c r="C7714" s="687" t="s">
        <v>13147</v>
      </c>
      <c r="D7714" s="125"/>
    </row>
    <row r="7715">
      <c r="A7715" s="122" t="s">
        <v>15281</v>
      </c>
      <c r="B7715" s="123">
        <v>737758.0</v>
      </c>
      <c r="C7715" s="687" t="s">
        <v>15282</v>
      </c>
      <c r="D7715" s="125"/>
    </row>
    <row r="7716">
      <c r="A7716" s="122" t="s">
        <v>14455</v>
      </c>
      <c r="B7716" s="123">
        <v>947263.0</v>
      </c>
      <c r="C7716" s="687" t="s">
        <v>14456</v>
      </c>
      <c r="D7716" s="125"/>
    </row>
    <row r="7717">
      <c r="A7717" s="122" t="s">
        <v>2073</v>
      </c>
      <c r="B7717" s="123">
        <v>1406944.0</v>
      </c>
      <c r="C7717" s="687" t="s">
        <v>2074</v>
      </c>
      <c r="D7717" s="125"/>
    </row>
    <row r="7718">
      <c r="A7718" s="122" t="s">
        <v>769</v>
      </c>
      <c r="B7718" s="123">
        <v>1822529.0</v>
      </c>
      <c r="C7718" s="687" t="s">
        <v>770</v>
      </c>
      <c r="D7718" s="125"/>
    </row>
    <row r="7719">
      <c r="A7719" s="122" t="s">
        <v>6528</v>
      </c>
      <c r="B7719" s="123">
        <v>1792781.0</v>
      </c>
      <c r="C7719" s="687" t="s">
        <v>6529</v>
      </c>
      <c r="D7719" s="125"/>
    </row>
    <row r="7720">
      <c r="A7720" s="122" t="s">
        <v>533</v>
      </c>
      <c r="B7720" s="123">
        <v>1560905.0</v>
      </c>
      <c r="C7720" s="687" t="s">
        <v>534</v>
      </c>
      <c r="D7720" s="125"/>
    </row>
    <row r="7721">
      <c r="A7721" s="122" t="s">
        <v>12697</v>
      </c>
      <c r="B7721" s="123">
        <v>1547158.0</v>
      </c>
      <c r="C7721" s="687" t="s">
        <v>12698</v>
      </c>
      <c r="D7721" s="125"/>
    </row>
    <row r="7722">
      <c r="A7722" s="122" t="s">
        <v>12738</v>
      </c>
      <c r="B7722" s="123">
        <v>1268533.0</v>
      </c>
      <c r="C7722" s="687" t="s">
        <v>12739</v>
      </c>
      <c r="D7722" s="125"/>
    </row>
    <row r="7723">
      <c r="A7723" s="122" t="s">
        <v>13188</v>
      </c>
      <c r="B7723" s="123">
        <v>1490286.0</v>
      </c>
      <c r="C7723" s="687" t="s">
        <v>13189</v>
      </c>
      <c r="D7723" s="125"/>
    </row>
    <row r="7724">
      <c r="A7724" s="122" t="s">
        <v>12734</v>
      </c>
      <c r="B7724" s="123">
        <v>1526329.0</v>
      </c>
      <c r="C7724" s="687" t="s">
        <v>12735</v>
      </c>
      <c r="D7724" s="125"/>
    </row>
    <row r="7725">
      <c r="A7725" s="122" t="s">
        <v>10231</v>
      </c>
      <c r="B7725" s="123">
        <v>1408201.0</v>
      </c>
      <c r="C7725" s="687" t="s">
        <v>10232</v>
      </c>
      <c r="D7725" s="125"/>
    </row>
    <row r="7726">
      <c r="A7726" s="122" t="s">
        <v>8730</v>
      </c>
      <c r="B7726" s="123">
        <v>1847112.0</v>
      </c>
      <c r="C7726" s="687" t="s">
        <v>8731</v>
      </c>
      <c r="D7726" s="125"/>
    </row>
    <row r="7727">
      <c r="A7727" s="122" t="s">
        <v>14605</v>
      </c>
      <c r="B7727" s="123">
        <v>879764.0</v>
      </c>
      <c r="C7727" s="687" t="s">
        <v>14606</v>
      </c>
      <c r="D7727" s="125"/>
    </row>
    <row r="7728">
      <c r="A7728" s="122" t="s">
        <v>14627</v>
      </c>
      <c r="B7728" s="123">
        <v>879764.0</v>
      </c>
      <c r="C7728" s="687" t="s">
        <v>14606</v>
      </c>
      <c r="D7728" s="125"/>
    </row>
    <row r="7729">
      <c r="A7729" s="122" t="s">
        <v>4156</v>
      </c>
      <c r="B7729" s="123">
        <v>1602143.0</v>
      </c>
      <c r="C7729" s="687" t="s">
        <v>4157</v>
      </c>
      <c r="D7729" s="125"/>
    </row>
    <row r="7730">
      <c r="A7730" s="122" t="s">
        <v>34199</v>
      </c>
      <c r="B7730" s="123">
        <v>225211.0</v>
      </c>
      <c r="C7730" s="687" t="s">
        <v>34200</v>
      </c>
      <c r="D7730" s="125"/>
    </row>
    <row r="7731">
      <c r="A7731" s="122" t="s">
        <v>7095</v>
      </c>
      <c r="B7731" s="123">
        <v>1668370.0</v>
      </c>
      <c r="C7731" s="687" t="s">
        <v>7096</v>
      </c>
      <c r="D7731" s="125"/>
    </row>
    <row r="7732">
      <c r="A7732" s="122" t="s">
        <v>34201</v>
      </c>
      <c r="B7732" s="123">
        <v>1579026.0</v>
      </c>
      <c r="C7732" s="687" t="s">
        <v>34202</v>
      </c>
      <c r="D7732" s="125"/>
    </row>
    <row r="7733">
      <c r="A7733" s="122" t="s">
        <v>12701</v>
      </c>
      <c r="B7733" s="123">
        <v>928876.0</v>
      </c>
      <c r="C7733" s="687" t="s">
        <v>12702</v>
      </c>
      <c r="D7733" s="125"/>
    </row>
    <row r="7734">
      <c r="A7734" s="122" t="s">
        <v>9016</v>
      </c>
      <c r="B7734" s="123">
        <v>1499832.0</v>
      </c>
      <c r="C7734" s="687" t="s">
        <v>9017</v>
      </c>
      <c r="D7734" s="125"/>
    </row>
    <row r="7735">
      <c r="A7735" s="122" t="s">
        <v>16168</v>
      </c>
      <c r="B7735" s="123">
        <v>1094517.0</v>
      </c>
      <c r="C7735" s="687" t="s">
        <v>11431</v>
      </c>
      <c r="D7735" s="125"/>
    </row>
    <row r="7736">
      <c r="A7736" s="122" t="s">
        <v>11430</v>
      </c>
      <c r="B7736" s="123">
        <v>1094517.0</v>
      </c>
      <c r="C7736" s="687" t="s">
        <v>11431</v>
      </c>
      <c r="D7736" s="125"/>
    </row>
    <row r="7737">
      <c r="A7737" s="122" t="s">
        <v>13700</v>
      </c>
      <c r="B7737" s="123">
        <v>1880661.0</v>
      </c>
      <c r="C7737" s="687" t="s">
        <v>13701</v>
      </c>
      <c r="D7737" s="125"/>
    </row>
    <row r="7738">
      <c r="A7738" s="122" t="s">
        <v>6947</v>
      </c>
      <c r="B7738" s="123">
        <v>1630472.0</v>
      </c>
      <c r="C7738" s="687" t="s">
        <v>6948</v>
      </c>
      <c r="D7738" s="125"/>
    </row>
    <row r="7739">
      <c r="A7739" s="122" t="s">
        <v>5324</v>
      </c>
      <c r="B7739" s="123">
        <v>1455684.0</v>
      </c>
      <c r="C7739" s="687" t="s">
        <v>5325</v>
      </c>
      <c r="D7739" s="125"/>
    </row>
    <row r="7740">
      <c r="A7740" s="122" t="s">
        <v>34203</v>
      </c>
      <c r="B7740" s="123">
        <v>1661039.0</v>
      </c>
      <c r="C7740" s="687" t="s">
        <v>34204</v>
      </c>
      <c r="D7740" s="125"/>
    </row>
    <row r="7741">
      <c r="A7741" s="122" t="s">
        <v>4287</v>
      </c>
      <c r="B7741" s="123">
        <v>1843875.0</v>
      </c>
      <c r="C7741" s="687" t="s">
        <v>4288</v>
      </c>
      <c r="D7741" s="125"/>
    </row>
    <row r="7742">
      <c r="A7742" s="122" t="s">
        <v>2293</v>
      </c>
      <c r="B7742" s="123">
        <v>1045942.0</v>
      </c>
      <c r="C7742" s="687" t="s">
        <v>2294</v>
      </c>
      <c r="D7742" s="125"/>
    </row>
    <row r="7743">
      <c r="A7743" s="122" t="s">
        <v>34205</v>
      </c>
      <c r="B7743" s="123">
        <v>1598773.0</v>
      </c>
      <c r="C7743" s="687" t="s">
        <v>34206</v>
      </c>
      <c r="D7743" s="125"/>
    </row>
    <row r="7744">
      <c r="A7744" s="122" t="s">
        <v>2303</v>
      </c>
      <c r="B7744" s="123">
        <v>1394319.0</v>
      </c>
      <c r="C7744" s="687" t="s">
        <v>2304</v>
      </c>
      <c r="D7744" s="125"/>
    </row>
    <row r="7745">
      <c r="A7745" s="122" t="s">
        <v>16270</v>
      </c>
      <c r="B7745" s="123">
        <v>916365.0</v>
      </c>
      <c r="C7745" s="687" t="s">
        <v>16271</v>
      </c>
      <c r="D7745" s="125"/>
    </row>
    <row r="7746">
      <c r="A7746" s="122" t="s">
        <v>14777</v>
      </c>
      <c r="B7746" s="123">
        <v>1671933.0</v>
      </c>
      <c r="C7746" s="687" t="s">
        <v>14778</v>
      </c>
      <c r="D7746" s="125"/>
    </row>
    <row r="7747">
      <c r="A7747" s="122" t="s">
        <v>15334</v>
      </c>
      <c r="B7747" s="123">
        <v>1758730.0</v>
      </c>
      <c r="C7747" s="687" t="s">
        <v>15335</v>
      </c>
      <c r="D7747" s="125"/>
    </row>
    <row r="7748">
      <c r="A7748" s="122" t="s">
        <v>4939</v>
      </c>
      <c r="B7748" s="123">
        <v>1857853.0</v>
      </c>
      <c r="C7748" s="687" t="s">
        <v>4940</v>
      </c>
      <c r="D7748" s="125"/>
    </row>
    <row r="7749">
      <c r="A7749" s="122" t="s">
        <v>2929</v>
      </c>
      <c r="B7749" s="123">
        <v>1539638.0</v>
      </c>
      <c r="C7749" s="687" t="s">
        <v>2930</v>
      </c>
      <c r="D7749" s="125"/>
    </row>
    <row r="7750">
      <c r="A7750" s="122" t="s">
        <v>16383</v>
      </c>
      <c r="B7750" s="123">
        <v>1466258.0</v>
      </c>
      <c r="C7750" s="687" t="s">
        <v>16384</v>
      </c>
      <c r="D7750" s="125"/>
    </row>
    <row r="7751">
      <c r="A7751" s="122" t="s">
        <v>34207</v>
      </c>
      <c r="B7751" s="123">
        <v>1891791.0</v>
      </c>
      <c r="C7751" s="687" t="s">
        <v>34208</v>
      </c>
      <c r="D7751" s="125"/>
    </row>
    <row r="7752">
      <c r="A7752" s="122" t="s">
        <v>3399</v>
      </c>
      <c r="B7752" s="123">
        <v>99106.0</v>
      </c>
      <c r="C7752" s="687" t="s">
        <v>3400</v>
      </c>
      <c r="D7752" s="125"/>
    </row>
    <row r="7753">
      <c r="A7753" s="122" t="s">
        <v>1381</v>
      </c>
      <c r="B7753" s="123">
        <v>1383394.0</v>
      </c>
      <c r="C7753" s="687" t="s">
        <v>1382</v>
      </c>
      <c r="D7753" s="125"/>
    </row>
    <row r="7754">
      <c r="A7754" s="122" t="s">
        <v>7518</v>
      </c>
      <c r="B7754" s="123">
        <v>1017303.0</v>
      </c>
      <c r="C7754" s="687" t="s">
        <v>7519</v>
      </c>
      <c r="D7754" s="125"/>
    </row>
    <row r="7755">
      <c r="A7755" s="122" t="s">
        <v>8246</v>
      </c>
      <c r="B7755" s="123">
        <v>1378453.0</v>
      </c>
      <c r="C7755" s="687" t="s">
        <v>7387</v>
      </c>
      <c r="D7755" s="125"/>
    </row>
    <row r="7756">
      <c r="A7756" s="122" t="s">
        <v>7386</v>
      </c>
      <c r="B7756" s="123">
        <v>1144800.0</v>
      </c>
      <c r="C7756" s="687" t="s">
        <v>7387</v>
      </c>
      <c r="D7756" s="125"/>
    </row>
    <row r="7757">
      <c r="A7757" s="122" t="s">
        <v>3271</v>
      </c>
      <c r="B7757" s="123">
        <v>1829635.0</v>
      </c>
      <c r="C7757" s="687" t="s">
        <v>3272</v>
      </c>
      <c r="D7757" s="125"/>
    </row>
    <row r="7758">
      <c r="A7758" s="122" t="s">
        <v>13544</v>
      </c>
      <c r="B7758" s="123">
        <v>733590.0</v>
      </c>
      <c r="C7758" s="687" t="s">
        <v>13545</v>
      </c>
      <c r="D7758" s="125"/>
    </row>
    <row r="7759">
      <c r="A7759" s="122" t="s">
        <v>16693</v>
      </c>
      <c r="B7759" s="123">
        <v>1260221.0</v>
      </c>
      <c r="C7759" s="687" t="s">
        <v>16694</v>
      </c>
      <c r="D7759" s="125"/>
    </row>
    <row r="7760">
      <c r="A7760" s="122" t="s">
        <v>15185</v>
      </c>
      <c r="B7760" s="123">
        <v>1756262.0</v>
      </c>
      <c r="C7760" s="687" t="s">
        <v>15186</v>
      </c>
      <c r="D7760" s="125"/>
    </row>
    <row r="7761">
      <c r="A7761" s="122" t="s">
        <v>577</v>
      </c>
      <c r="B7761" s="123">
        <v>1158702.0</v>
      </c>
      <c r="C7761" s="687" t="s">
        <v>578</v>
      </c>
      <c r="D7761" s="125"/>
    </row>
    <row r="7762">
      <c r="A7762" s="122" t="s">
        <v>6623</v>
      </c>
      <c r="B7762" s="123">
        <v>1451505.0</v>
      </c>
      <c r="C7762" s="687" t="s">
        <v>6624</v>
      </c>
      <c r="D7762" s="125"/>
    </row>
    <row r="7763">
      <c r="A7763" s="122" t="s">
        <v>6481</v>
      </c>
      <c r="B7763" s="123">
        <v>1715768.0</v>
      </c>
      <c r="C7763" s="687" t="s">
        <v>6482</v>
      </c>
      <c r="D7763" s="125"/>
    </row>
    <row r="7764">
      <c r="A7764" s="122" t="s">
        <v>10406</v>
      </c>
      <c r="B7764" s="123">
        <v>931427.0</v>
      </c>
      <c r="C7764" s="687" t="s">
        <v>10407</v>
      </c>
      <c r="D7764" s="125"/>
    </row>
    <row r="7765">
      <c r="A7765" s="122" t="s">
        <v>34209</v>
      </c>
      <c r="B7765" s="123">
        <v>1463208.0</v>
      </c>
      <c r="C7765" s="687" t="s">
        <v>34210</v>
      </c>
      <c r="D7765" s="125"/>
    </row>
    <row r="7766">
      <c r="A7766" s="122" t="s">
        <v>14752</v>
      </c>
      <c r="B7766" s="123">
        <v>1552033.0</v>
      </c>
      <c r="C7766" s="687" t="s">
        <v>14753</v>
      </c>
      <c r="D7766" s="125"/>
    </row>
    <row r="7767">
      <c r="A7767" s="122" t="s">
        <v>13609</v>
      </c>
      <c r="B7767" s="123">
        <v>1361658.0</v>
      </c>
      <c r="C7767" s="687" t="s">
        <v>13610</v>
      </c>
      <c r="D7767" s="125"/>
    </row>
    <row r="7768">
      <c r="A7768" s="122" t="s">
        <v>16202</v>
      </c>
      <c r="B7768" s="123">
        <v>86312.0</v>
      </c>
      <c r="C7768" s="687" t="s">
        <v>16203</v>
      </c>
      <c r="D7768" s="125"/>
    </row>
    <row r="7769">
      <c r="A7769" s="122" t="s">
        <v>7753</v>
      </c>
      <c r="B7769" s="123">
        <v>1133311.0</v>
      </c>
      <c r="C7769" s="687" t="s">
        <v>7754</v>
      </c>
      <c r="D7769" s="125"/>
    </row>
    <row r="7770">
      <c r="A7770" s="122" t="s">
        <v>7832</v>
      </c>
      <c r="B7770" s="123">
        <v>1438533.0</v>
      </c>
      <c r="C7770" s="687" t="s">
        <v>7833</v>
      </c>
      <c r="D7770" s="125"/>
    </row>
    <row r="7771">
      <c r="A7771" s="122" t="s">
        <v>10209</v>
      </c>
      <c r="B7771" s="123">
        <v>1630627.0</v>
      </c>
      <c r="C7771" s="687" t="s">
        <v>10210</v>
      </c>
      <c r="D7771" s="125"/>
    </row>
    <row r="7772">
      <c r="A7772" s="122" t="s">
        <v>470</v>
      </c>
      <c r="B7772" s="123">
        <v>1703625.0</v>
      </c>
      <c r="C7772" s="687" t="s">
        <v>471</v>
      </c>
      <c r="D7772" s="125"/>
    </row>
    <row r="7773">
      <c r="A7773" s="122" t="s">
        <v>1739</v>
      </c>
      <c r="B7773" s="123">
        <v>1905956.0</v>
      </c>
      <c r="C7773" s="687" t="s">
        <v>1740</v>
      </c>
      <c r="D7773" s="125"/>
    </row>
    <row r="7774">
      <c r="A7774" s="122" t="s">
        <v>6396</v>
      </c>
      <c r="B7774" s="123">
        <v>850429.0</v>
      </c>
      <c r="C7774" s="687" t="s">
        <v>6397</v>
      </c>
      <c r="D7774" s="125"/>
    </row>
    <row r="7775">
      <c r="A7775" s="122" t="s">
        <v>13761</v>
      </c>
      <c r="B7775" s="123">
        <v>1320695.0</v>
      </c>
      <c r="C7775" s="687" t="s">
        <v>13762</v>
      </c>
      <c r="D7775" s="125"/>
    </row>
    <row r="7776">
      <c r="A7776" s="122" t="s">
        <v>2111</v>
      </c>
      <c r="B7776" s="123">
        <v>1613685.0</v>
      </c>
      <c r="C7776" s="687" t="s">
        <v>2112</v>
      </c>
      <c r="D7776" s="125"/>
    </row>
    <row r="7777">
      <c r="A7777" s="122" t="s">
        <v>3239</v>
      </c>
      <c r="B7777" s="123">
        <v>1429560.0</v>
      </c>
      <c r="C7777" s="687" t="s">
        <v>3240</v>
      </c>
      <c r="D7777" s="125"/>
    </row>
    <row r="7778">
      <c r="A7778" s="122" t="s">
        <v>4277</v>
      </c>
      <c r="B7778" s="123">
        <v>1563880.0</v>
      </c>
      <c r="C7778" s="687" t="s">
        <v>4278</v>
      </c>
      <c r="D7778" s="125"/>
    </row>
    <row r="7779">
      <c r="A7779" s="122" t="s">
        <v>15146</v>
      </c>
      <c r="B7779" s="123">
        <v>1069878.0</v>
      </c>
      <c r="C7779" s="687" t="s">
        <v>15147</v>
      </c>
      <c r="D7779" s="125"/>
    </row>
    <row r="7780">
      <c r="A7780" s="122" t="s">
        <v>13192</v>
      </c>
      <c r="B7780" s="123">
        <v>1561680.0</v>
      </c>
      <c r="C7780" s="687" t="s">
        <v>13193</v>
      </c>
      <c r="D7780" s="125"/>
    </row>
    <row r="7781">
      <c r="A7781" s="122" t="s">
        <v>12746</v>
      </c>
      <c r="B7781" s="123">
        <v>99614.0</v>
      </c>
      <c r="C7781" s="687" t="s">
        <v>12747</v>
      </c>
      <c r="D7781" s="125"/>
    </row>
    <row r="7782">
      <c r="A7782" s="122" t="s">
        <v>34211</v>
      </c>
      <c r="B7782" s="123">
        <v>852447.0</v>
      </c>
      <c r="C7782" s="687" t="s">
        <v>34212</v>
      </c>
      <c r="D7782" s="125"/>
    </row>
    <row r="7783">
      <c r="A7783" s="122" t="s">
        <v>822</v>
      </c>
      <c r="B7783" s="123">
        <v>1624985.0</v>
      </c>
      <c r="C7783" s="687" t="s">
        <v>823</v>
      </c>
      <c r="D7783" s="125"/>
    </row>
    <row r="7784">
      <c r="A7784" s="122" t="s">
        <v>13249</v>
      </c>
      <c r="B7784" s="123">
        <v>356171.0</v>
      </c>
      <c r="C7784" s="687" t="s">
        <v>13250</v>
      </c>
      <c r="D7784" s="125"/>
    </row>
    <row r="7785">
      <c r="A7785" s="122" t="s">
        <v>9099</v>
      </c>
      <c r="B7785" s="123">
        <v>1584425.0</v>
      </c>
      <c r="C7785" s="687" t="s">
        <v>9100</v>
      </c>
      <c r="D7785" s="125"/>
    </row>
    <row r="7786">
      <c r="A7786" s="122" t="s">
        <v>34213</v>
      </c>
      <c r="B7786" s="123">
        <v>1421907.0</v>
      </c>
      <c r="C7786" s="687" t="s">
        <v>34214</v>
      </c>
      <c r="D7786" s="125"/>
    </row>
    <row r="7787">
      <c r="A7787" s="122" t="s">
        <v>5590</v>
      </c>
      <c r="B7787" s="123">
        <v>1550453.0</v>
      </c>
      <c r="C7787" s="687" t="s">
        <v>5591</v>
      </c>
      <c r="D7787" s="125"/>
    </row>
    <row r="7788">
      <c r="A7788" s="122" t="s">
        <v>2145</v>
      </c>
      <c r="B7788" s="123">
        <v>1648636.0</v>
      </c>
      <c r="C7788" s="687" t="s">
        <v>2146</v>
      </c>
      <c r="D7788" s="125"/>
    </row>
    <row r="7789">
      <c r="A7789" s="122" t="s">
        <v>1608</v>
      </c>
      <c r="B7789" s="123">
        <v>1689382.0</v>
      </c>
      <c r="C7789" s="687" t="s">
        <v>1609</v>
      </c>
      <c r="D7789" s="125"/>
    </row>
    <row r="7790">
      <c r="A7790" s="122" t="s">
        <v>12268</v>
      </c>
      <c r="B7790" s="123">
        <v>842633.0</v>
      </c>
      <c r="C7790" s="687" t="s">
        <v>12269</v>
      </c>
      <c r="D7790" s="125"/>
    </row>
    <row r="7791">
      <c r="A7791" s="122" t="s">
        <v>14188</v>
      </c>
      <c r="B7791" s="123">
        <v>864749.0</v>
      </c>
      <c r="C7791" s="687" t="s">
        <v>14189</v>
      </c>
      <c r="D7791" s="125"/>
    </row>
    <row r="7792">
      <c r="A7792" s="122" t="s">
        <v>15570</v>
      </c>
      <c r="B7792" s="123">
        <v>937098.0</v>
      </c>
      <c r="C7792" s="687" t="s">
        <v>15571</v>
      </c>
      <c r="D7792" s="125"/>
    </row>
    <row r="7793">
      <c r="A7793" s="122" t="s">
        <v>3209</v>
      </c>
      <c r="B7793" s="123">
        <v>888721.0</v>
      </c>
      <c r="C7793" s="687" t="s">
        <v>3210</v>
      </c>
      <c r="D7793" s="125"/>
    </row>
    <row r="7794">
      <c r="A7794" s="122" t="s">
        <v>12371</v>
      </c>
      <c r="B7794" s="123">
        <v>1786108.0</v>
      </c>
      <c r="C7794" s="687" t="s">
        <v>12372</v>
      </c>
      <c r="D7794" s="125"/>
    </row>
    <row r="7795">
      <c r="A7795" s="122" t="s">
        <v>10177</v>
      </c>
      <c r="B7795" s="123">
        <v>1786108.0</v>
      </c>
      <c r="C7795" s="687" t="s">
        <v>10178</v>
      </c>
      <c r="D7795" s="125"/>
    </row>
    <row r="7796">
      <c r="A7796" s="122" t="s">
        <v>12385</v>
      </c>
      <c r="B7796" s="123">
        <v>99780.0</v>
      </c>
      <c r="C7796" s="687" t="s">
        <v>12386</v>
      </c>
      <c r="D7796" s="125"/>
    </row>
    <row r="7797">
      <c r="A7797" s="122" t="s">
        <v>2179</v>
      </c>
      <c r="B7797" s="123">
        <v>724742.0</v>
      </c>
      <c r="C7797" s="687" t="s">
        <v>2180</v>
      </c>
      <c r="D7797" s="125"/>
    </row>
    <row r="7798">
      <c r="A7798" s="122" t="s">
        <v>6832</v>
      </c>
      <c r="B7798" s="123">
        <v>1519061.0</v>
      </c>
      <c r="C7798" s="687" t="s">
        <v>6833</v>
      </c>
      <c r="D7798" s="125"/>
    </row>
    <row r="7799">
      <c r="A7799" s="122" t="s">
        <v>2419</v>
      </c>
      <c r="B7799" s="123">
        <v>1898766.0</v>
      </c>
      <c r="C7799" s="687" t="s">
        <v>2420</v>
      </c>
      <c r="D7799" s="125"/>
    </row>
    <row r="7800">
      <c r="A7800" s="122" t="s">
        <v>6621</v>
      </c>
      <c r="B7800" s="123">
        <v>732026.0</v>
      </c>
      <c r="C7800" s="687" t="s">
        <v>6622</v>
      </c>
      <c r="D7800" s="125"/>
    </row>
    <row r="7801">
      <c r="A7801" s="122" t="s">
        <v>13395</v>
      </c>
      <c r="B7801" s="123">
        <v>1269238.0</v>
      </c>
      <c r="C7801" s="687" t="s">
        <v>13117</v>
      </c>
      <c r="D7801" s="125"/>
    </row>
    <row r="7802">
      <c r="A7802" s="122" t="s">
        <v>13116</v>
      </c>
      <c r="B7802" s="123">
        <v>1269238.0</v>
      </c>
      <c r="C7802" s="687" t="s">
        <v>13117</v>
      </c>
      <c r="D7802" s="125"/>
    </row>
    <row r="7803">
      <c r="A7803" s="122" t="s">
        <v>11729</v>
      </c>
      <c r="B7803" s="123">
        <v>1526520.0</v>
      </c>
      <c r="C7803" s="687" t="s">
        <v>11730</v>
      </c>
      <c r="D7803" s="125"/>
    </row>
    <row r="7804">
      <c r="A7804" s="122" t="s">
        <v>9820</v>
      </c>
      <c r="B7804" s="123">
        <v>1829726.0</v>
      </c>
      <c r="C7804" s="687" t="s">
        <v>9821</v>
      </c>
      <c r="D7804" s="125"/>
    </row>
    <row r="7805">
      <c r="A7805" s="122" t="s">
        <v>9218</v>
      </c>
      <c r="B7805" s="123">
        <v>1580345.0</v>
      </c>
      <c r="C7805" s="687" t="s">
        <v>9219</v>
      </c>
      <c r="D7805" s="125"/>
    </row>
    <row r="7806">
      <c r="A7806" s="122" t="s">
        <v>8912</v>
      </c>
      <c r="B7806" s="123">
        <v>1852736.0</v>
      </c>
      <c r="C7806" s="687" t="s">
        <v>8913</v>
      </c>
      <c r="D7806" s="125"/>
    </row>
    <row r="7807">
      <c r="A7807" s="122" t="s">
        <v>34215</v>
      </c>
      <c r="B7807" s="123">
        <v>1819876.0</v>
      </c>
      <c r="C7807" s="687" t="s">
        <v>34216</v>
      </c>
      <c r="D7807" s="125"/>
    </row>
    <row r="7808">
      <c r="A7808" s="122" t="s">
        <v>492</v>
      </c>
      <c r="B7808" s="123">
        <v>1819876.0</v>
      </c>
      <c r="C7808" s="687" t="s">
        <v>493</v>
      </c>
      <c r="D7808" s="125"/>
    </row>
    <row r="7809">
      <c r="A7809" s="122" t="s">
        <v>1297</v>
      </c>
      <c r="B7809" s="123">
        <v>1862490.0</v>
      </c>
      <c r="C7809" s="687" t="s">
        <v>1298</v>
      </c>
      <c r="D7809" s="125"/>
    </row>
    <row r="7810">
      <c r="A7810" s="122" t="s">
        <v>1996</v>
      </c>
      <c r="B7810" s="123">
        <v>1862490.0</v>
      </c>
      <c r="C7810" s="687" t="s">
        <v>1997</v>
      </c>
      <c r="D7810" s="125"/>
    </row>
    <row r="7811">
      <c r="A7811" s="122" t="s">
        <v>2661</v>
      </c>
      <c r="B7811" s="123">
        <v>1801754.0</v>
      </c>
      <c r="C7811" s="687" t="s">
        <v>2662</v>
      </c>
      <c r="D7811" s="125"/>
    </row>
    <row r="7812">
      <c r="A7812" s="122" t="s">
        <v>10747</v>
      </c>
      <c r="B7812" s="123">
        <v>1021162.0</v>
      </c>
      <c r="C7812" s="687" t="s">
        <v>10748</v>
      </c>
      <c r="D7812" s="125"/>
    </row>
    <row r="7813">
      <c r="A7813" s="122" t="s">
        <v>5203</v>
      </c>
      <c r="B7813" s="123">
        <v>1683825.0</v>
      </c>
      <c r="C7813" s="687" t="s">
        <v>5204</v>
      </c>
      <c r="D7813" s="125"/>
    </row>
    <row r="7814">
      <c r="A7814" s="122" t="s">
        <v>10199</v>
      </c>
      <c r="B7814" s="123">
        <v>1530804.0</v>
      </c>
      <c r="C7814" s="687" t="s">
        <v>10200</v>
      </c>
      <c r="D7814" s="125"/>
    </row>
    <row r="7815">
      <c r="A7815" s="122" t="s">
        <v>10098</v>
      </c>
      <c r="B7815" s="123">
        <v>768899.0</v>
      </c>
      <c r="C7815" s="687" t="s">
        <v>10099</v>
      </c>
      <c r="D7815" s="125"/>
    </row>
    <row r="7816">
      <c r="A7816" s="122" t="s">
        <v>34217</v>
      </c>
      <c r="B7816" s="123">
        <v>1652842.0</v>
      </c>
      <c r="C7816" s="687" t="s">
        <v>34218</v>
      </c>
      <c r="D7816" s="125"/>
    </row>
    <row r="7817">
      <c r="A7817" s="122" t="s">
        <v>13383</v>
      </c>
      <c r="B7817" s="123">
        <v>92230.0</v>
      </c>
      <c r="C7817" s="687" t="s">
        <v>13384</v>
      </c>
      <c r="D7817" s="125"/>
    </row>
    <row r="7818">
      <c r="A7818" s="122" t="s">
        <v>9110</v>
      </c>
      <c r="B7818" s="123">
        <v>1754195.0</v>
      </c>
      <c r="C7818" s="687" t="s">
        <v>9111</v>
      </c>
      <c r="D7818" s="125"/>
    </row>
    <row r="7819">
      <c r="A7819" s="122" t="s">
        <v>12548</v>
      </c>
      <c r="B7819" s="123">
        <v>1371285.0</v>
      </c>
      <c r="C7819" s="687" t="s">
        <v>12549</v>
      </c>
      <c r="D7819" s="125"/>
    </row>
    <row r="7820">
      <c r="A7820" s="122" t="s">
        <v>12621</v>
      </c>
      <c r="B7820" s="123">
        <v>357301.0</v>
      </c>
      <c r="C7820" s="687" t="s">
        <v>12622</v>
      </c>
      <c r="D7820" s="125"/>
    </row>
    <row r="7821">
      <c r="A7821" s="122" t="s">
        <v>12570</v>
      </c>
      <c r="B7821" s="123">
        <v>36146.0</v>
      </c>
      <c r="C7821" s="687" t="s">
        <v>12571</v>
      </c>
      <c r="D7821" s="125"/>
    </row>
    <row r="7822">
      <c r="A7822" s="122" t="s">
        <v>2351</v>
      </c>
      <c r="B7822" s="123">
        <v>1429393.0</v>
      </c>
      <c r="C7822" s="687" t="s">
        <v>2352</v>
      </c>
      <c r="D7822" s="125"/>
    </row>
    <row r="7823">
      <c r="A7823" s="122" t="s">
        <v>14587</v>
      </c>
      <c r="B7823" s="123">
        <v>1578019.0</v>
      </c>
      <c r="C7823" s="687" t="s">
        <v>14588</v>
      </c>
      <c r="D7823" s="125"/>
    </row>
    <row r="7824">
      <c r="A7824" s="122" t="s">
        <v>2667</v>
      </c>
      <c r="B7824" s="123">
        <v>1173643.0</v>
      </c>
      <c r="C7824" s="687" t="s">
        <v>2668</v>
      </c>
      <c r="D7824" s="125"/>
    </row>
    <row r="7825">
      <c r="A7825" s="122" t="s">
        <v>6215</v>
      </c>
      <c r="B7825" s="123">
        <v>1382574.0</v>
      </c>
      <c r="C7825" s="687" t="s">
        <v>6216</v>
      </c>
      <c r="D7825" s="125"/>
    </row>
    <row r="7826">
      <c r="A7826" s="122" t="s">
        <v>12128</v>
      </c>
      <c r="B7826" s="123">
        <v>1166663.0</v>
      </c>
      <c r="C7826" s="687" t="s">
        <v>12129</v>
      </c>
      <c r="D7826" s="125"/>
    </row>
    <row r="7827">
      <c r="A7827" s="122" t="s">
        <v>6663</v>
      </c>
      <c r="B7827" s="123">
        <v>1783328.0</v>
      </c>
      <c r="C7827" s="687" t="s">
        <v>6664</v>
      </c>
      <c r="D7827" s="125"/>
    </row>
    <row r="7828">
      <c r="A7828" s="122" t="s">
        <v>12723</v>
      </c>
      <c r="B7828" s="123">
        <v>939383.0</v>
      </c>
      <c r="C7828" s="687" t="s">
        <v>12724</v>
      </c>
      <c r="D7828" s="125"/>
    </row>
    <row r="7829">
      <c r="A7829" s="122" t="s">
        <v>6985</v>
      </c>
      <c r="B7829" s="123">
        <v>939383.0</v>
      </c>
      <c r="C7829" s="687" t="s">
        <v>6986</v>
      </c>
      <c r="D7829" s="125"/>
    </row>
    <row r="7830">
      <c r="A7830" s="122" t="s">
        <v>7932</v>
      </c>
      <c r="B7830" s="123">
        <v>98338.0</v>
      </c>
      <c r="C7830" s="687" t="s">
        <v>7933</v>
      </c>
      <c r="D7830" s="125"/>
    </row>
    <row r="7831">
      <c r="A7831" s="122" t="s">
        <v>2524</v>
      </c>
      <c r="B7831" s="123">
        <v>1320760.0</v>
      </c>
      <c r="C7831" s="687" t="s">
        <v>2525</v>
      </c>
      <c r="D7831" s="125"/>
    </row>
    <row r="7832">
      <c r="A7832" s="122" t="s">
        <v>11236</v>
      </c>
      <c r="B7832" s="123">
        <v>1013880.0</v>
      </c>
      <c r="C7832" s="687" t="s">
        <v>11237</v>
      </c>
      <c r="D7832" s="125"/>
    </row>
    <row r="7833">
      <c r="A7833" s="122" t="s">
        <v>3851</v>
      </c>
      <c r="B7833" s="123">
        <v>1843556.0</v>
      </c>
      <c r="C7833" s="687" t="s">
        <v>3852</v>
      </c>
      <c r="D7833" s="125"/>
    </row>
    <row r="7834">
      <c r="A7834" s="122" t="s">
        <v>10227</v>
      </c>
      <c r="B7834" s="123">
        <v>1116942.0</v>
      </c>
      <c r="C7834" s="687" t="s">
        <v>10228</v>
      </c>
      <c r="D7834" s="125"/>
    </row>
    <row r="7835">
      <c r="A7835" s="122" t="s">
        <v>4770</v>
      </c>
      <c r="B7835" s="123">
        <v>1743340.0</v>
      </c>
      <c r="C7835" s="687" t="s">
        <v>4771</v>
      </c>
      <c r="D7835" s="125"/>
    </row>
    <row r="7836">
      <c r="A7836" s="122" t="s">
        <v>11985</v>
      </c>
      <c r="B7836" s="123">
        <v>909494.0</v>
      </c>
      <c r="C7836" s="687" t="s">
        <v>11986</v>
      </c>
      <c r="D7836" s="125"/>
    </row>
    <row r="7837">
      <c r="A7837" s="122" t="s">
        <v>3925</v>
      </c>
      <c r="B7837" s="123">
        <v>1448397.0</v>
      </c>
      <c r="C7837" s="687" t="s">
        <v>3926</v>
      </c>
      <c r="D7837" s="125"/>
    </row>
    <row r="7838">
      <c r="A7838" s="122" t="s">
        <v>3299</v>
      </c>
      <c r="B7838" s="123">
        <v>1597095.0</v>
      </c>
      <c r="C7838" s="687" t="s">
        <v>3300</v>
      </c>
      <c r="D7838" s="125"/>
    </row>
    <row r="7839">
      <c r="A7839" s="122" t="s">
        <v>4527</v>
      </c>
      <c r="B7839" s="123">
        <v>1008654.0</v>
      </c>
      <c r="C7839" s="687" t="s">
        <v>4528</v>
      </c>
      <c r="D7839" s="125"/>
    </row>
    <row r="7840">
      <c r="A7840" s="122" t="s">
        <v>6825</v>
      </c>
      <c r="B7840" s="123">
        <v>1071321.0</v>
      </c>
      <c r="C7840" s="687" t="s">
        <v>6826</v>
      </c>
      <c r="D7840" s="125"/>
    </row>
    <row r="7841">
      <c r="A7841" s="122" t="s">
        <v>34219</v>
      </c>
      <c r="B7841" s="123">
        <v>1098343.0</v>
      </c>
      <c r="C7841" s="687" t="s">
        <v>34220</v>
      </c>
      <c r="D7841" s="125"/>
    </row>
    <row r="7842">
      <c r="A7842" s="122" t="s">
        <v>12196</v>
      </c>
      <c r="B7842" s="123">
        <v>1290677.0</v>
      </c>
      <c r="C7842" s="687" t="s">
        <v>12197</v>
      </c>
      <c r="D7842" s="125"/>
    </row>
    <row r="7843">
      <c r="A7843" s="122" t="s">
        <v>866</v>
      </c>
      <c r="B7843" s="123">
        <v>1349706.0</v>
      </c>
      <c r="C7843" s="687" t="s">
        <v>867</v>
      </c>
      <c r="D7843" s="125"/>
    </row>
    <row r="7844">
      <c r="A7844" s="122" t="s">
        <v>9336</v>
      </c>
      <c r="B7844" s="123">
        <v>1493761.0</v>
      </c>
      <c r="C7844" s="687" t="s">
        <v>9337</v>
      </c>
      <c r="D7844" s="125"/>
    </row>
    <row r="7845">
      <c r="A7845" s="122" t="s">
        <v>2604</v>
      </c>
      <c r="B7845" s="123">
        <v>1823593.0</v>
      </c>
      <c r="C7845" s="687" t="s">
        <v>2605</v>
      </c>
      <c r="D7845" s="125"/>
    </row>
    <row r="7846">
      <c r="A7846" s="122" t="s">
        <v>7950</v>
      </c>
      <c r="B7846" s="123">
        <v>77543.0</v>
      </c>
      <c r="C7846" s="687" t="s">
        <v>7951</v>
      </c>
      <c r="D7846" s="125"/>
    </row>
    <row r="7847">
      <c r="A7847" s="122" t="s">
        <v>4687</v>
      </c>
      <c r="B7847" s="123">
        <v>1829118.0</v>
      </c>
      <c r="C7847" s="687" t="s">
        <v>4688</v>
      </c>
      <c r="D7847" s="125"/>
    </row>
    <row r="7848">
      <c r="A7848" s="122" t="s">
        <v>2085</v>
      </c>
      <c r="B7848" s="123">
        <v>1819498.0</v>
      </c>
      <c r="C7848" s="687" t="s">
        <v>2086</v>
      </c>
      <c r="D7848" s="125"/>
    </row>
    <row r="7849">
      <c r="A7849" s="122" t="s">
        <v>8855</v>
      </c>
      <c r="B7849" s="123">
        <v>1819498.0</v>
      </c>
      <c r="C7849" s="687" t="s">
        <v>8856</v>
      </c>
      <c r="D7849" s="125"/>
    </row>
    <row r="7850">
      <c r="A7850" s="122" t="s">
        <v>9334</v>
      </c>
      <c r="B7850" s="123">
        <v>1819498.0</v>
      </c>
      <c r="C7850" s="687" t="s">
        <v>9335</v>
      </c>
      <c r="D7850" s="125"/>
    </row>
    <row r="7851">
      <c r="A7851" s="122" t="s">
        <v>14800</v>
      </c>
      <c r="B7851" s="123">
        <v>1447669.0</v>
      </c>
      <c r="C7851" s="687" t="s">
        <v>14801</v>
      </c>
      <c r="D7851" s="125"/>
    </row>
    <row r="7852">
      <c r="A7852" s="122" t="s">
        <v>10626</v>
      </c>
      <c r="B7852" s="123">
        <v>100378.0</v>
      </c>
      <c r="C7852" s="687" t="s">
        <v>10627</v>
      </c>
      <c r="D7852" s="125"/>
    </row>
    <row r="7853">
      <c r="A7853" s="122" t="s">
        <v>4117</v>
      </c>
      <c r="B7853" s="123">
        <v>1855509.0</v>
      </c>
      <c r="C7853" s="687" t="s">
        <v>4118</v>
      </c>
      <c r="D7853" s="125"/>
    </row>
    <row r="7854">
      <c r="A7854" s="122" t="s">
        <v>595</v>
      </c>
      <c r="B7854" s="123">
        <v>1590695.0</v>
      </c>
      <c r="C7854" s="687" t="s">
        <v>596</v>
      </c>
      <c r="D7854" s="125"/>
    </row>
    <row r="7855">
      <c r="A7855" s="122" t="s">
        <v>13358</v>
      </c>
      <c r="B7855" s="123">
        <v>1581280.0</v>
      </c>
      <c r="C7855" s="687" t="s">
        <v>13359</v>
      </c>
      <c r="D7855" s="125"/>
    </row>
    <row r="7856">
      <c r="A7856" s="122" t="s">
        <v>8722</v>
      </c>
      <c r="B7856" s="123">
        <v>1843988.0</v>
      </c>
      <c r="C7856" s="687" t="s">
        <v>8723</v>
      </c>
      <c r="D7856" s="125"/>
    </row>
    <row r="7857">
      <c r="A7857" s="122" t="s">
        <v>1061</v>
      </c>
      <c r="B7857" s="123">
        <v>1494413.0</v>
      </c>
      <c r="C7857" s="687" t="s">
        <v>1062</v>
      </c>
      <c r="D7857" s="125"/>
    </row>
    <row r="7858">
      <c r="A7858" s="122" t="s">
        <v>9765</v>
      </c>
      <c r="B7858" s="123">
        <v>1465740.0</v>
      </c>
      <c r="C7858" s="687" t="s">
        <v>9766</v>
      </c>
      <c r="D7858" s="125"/>
    </row>
    <row r="7859">
      <c r="A7859" s="122" t="s">
        <v>1231</v>
      </c>
      <c r="B7859" s="123">
        <v>1133798.0</v>
      </c>
      <c r="C7859" s="687" t="s">
        <v>1232</v>
      </c>
      <c r="D7859" s="125"/>
    </row>
    <row r="7860">
      <c r="A7860" s="122" t="s">
        <v>34221</v>
      </c>
      <c r="B7860" s="123">
        <v>1822312.0</v>
      </c>
      <c r="C7860" s="687" t="s">
        <v>34222</v>
      </c>
      <c r="D7860" s="125"/>
    </row>
    <row r="7861">
      <c r="A7861" s="122" t="s">
        <v>16556</v>
      </c>
      <c r="B7861" s="123">
        <v>860731.0</v>
      </c>
      <c r="C7861" s="687" t="s">
        <v>16557</v>
      </c>
      <c r="D7861" s="125"/>
    </row>
    <row r="7862">
      <c r="A7862" s="122" t="s">
        <v>10814</v>
      </c>
      <c r="B7862" s="123">
        <v>1863127.0</v>
      </c>
      <c r="C7862" s="687" t="s">
        <v>10815</v>
      </c>
      <c r="D7862" s="125"/>
    </row>
    <row r="7863">
      <c r="A7863" s="122" t="s">
        <v>14317</v>
      </c>
      <c r="B7863" s="123">
        <v>100493.0</v>
      </c>
      <c r="C7863" s="687" t="s">
        <v>14318</v>
      </c>
      <c r="D7863" s="125"/>
    </row>
    <row r="7864">
      <c r="A7864" s="122" t="s">
        <v>14668</v>
      </c>
      <c r="B7864" s="123">
        <v>4457.0</v>
      </c>
      <c r="C7864" s="687" t="s">
        <v>14669</v>
      </c>
      <c r="D7864" s="125"/>
    </row>
    <row r="7865">
      <c r="A7865" s="122" t="s">
        <v>3861</v>
      </c>
      <c r="B7865" s="123">
        <v>101594.0</v>
      </c>
      <c r="C7865" s="687" t="s">
        <v>3862</v>
      </c>
      <c r="D7865" s="125"/>
    </row>
    <row r="7866">
      <c r="A7866" s="122" t="s">
        <v>5418</v>
      </c>
      <c r="B7866" s="123">
        <v>754811.0</v>
      </c>
      <c r="C7866" s="687" t="s">
        <v>5419</v>
      </c>
      <c r="D7866" s="125"/>
    </row>
    <row r="7867">
      <c r="A7867" s="122" t="s">
        <v>1737</v>
      </c>
      <c r="B7867" s="123">
        <v>1638911.0</v>
      </c>
      <c r="C7867" s="687" t="s">
        <v>1738</v>
      </c>
      <c r="D7867" s="125"/>
    </row>
    <row r="7868">
      <c r="A7868" s="122" t="s">
        <v>10596</v>
      </c>
      <c r="B7868" s="123">
        <v>1446626.0</v>
      </c>
      <c r="C7868" s="687" t="s">
        <v>10597</v>
      </c>
      <c r="D7868" s="125"/>
    </row>
    <row r="7869">
      <c r="A7869" s="122" t="s">
        <v>14715</v>
      </c>
      <c r="B7869" s="123">
        <v>1543151.0</v>
      </c>
      <c r="C7869" s="687" t="s">
        <v>14716</v>
      </c>
      <c r="D7869" s="125"/>
    </row>
    <row r="7870">
      <c r="A7870" s="122" t="s">
        <v>6235</v>
      </c>
      <c r="B7870" s="123">
        <v>1446702.0</v>
      </c>
      <c r="C7870" s="687" t="s">
        <v>6236</v>
      </c>
      <c r="D7870" s="125"/>
    </row>
    <row r="7871">
      <c r="A7871" s="122" t="s">
        <v>15717</v>
      </c>
      <c r="B7871" s="123">
        <v>1511737.0</v>
      </c>
      <c r="C7871" s="687" t="s">
        <v>15718</v>
      </c>
      <c r="D7871" s="125"/>
    </row>
    <row r="7872">
      <c r="A7872" s="122" t="s">
        <v>11617</v>
      </c>
      <c r="B7872" s="123">
        <v>1446702.0</v>
      </c>
      <c r="C7872" s="687" t="s">
        <v>11618</v>
      </c>
      <c r="D7872" s="125"/>
    </row>
    <row r="7873">
      <c r="A7873" s="122" t="s">
        <v>12783</v>
      </c>
      <c r="B7873" s="123">
        <v>1610520.0</v>
      </c>
      <c r="C7873" s="687" t="s">
        <v>12784</v>
      </c>
      <c r="D7873" s="125"/>
    </row>
    <row r="7874">
      <c r="A7874" s="122" t="s">
        <v>3159</v>
      </c>
      <c r="B7874" s="123">
        <v>1723517.0</v>
      </c>
      <c r="C7874" s="687" t="s">
        <v>3160</v>
      </c>
      <c r="D7874" s="125"/>
    </row>
    <row r="7875">
      <c r="A7875" s="122" t="s">
        <v>4191</v>
      </c>
      <c r="B7875" s="123">
        <v>1775898.0</v>
      </c>
      <c r="C7875" s="687" t="s">
        <v>4192</v>
      </c>
      <c r="D7875" s="125"/>
    </row>
    <row r="7876">
      <c r="A7876" s="122" t="s">
        <v>5081</v>
      </c>
      <c r="B7876" s="123">
        <v>1821424.0</v>
      </c>
      <c r="C7876" s="687" t="s">
        <v>552</v>
      </c>
      <c r="D7876" s="125"/>
    </row>
    <row r="7877">
      <c r="A7877" s="122" t="s">
        <v>551</v>
      </c>
      <c r="B7877" s="123">
        <v>1821424.0</v>
      </c>
      <c r="C7877" s="687" t="s">
        <v>552</v>
      </c>
      <c r="D7877" s="125"/>
    </row>
    <row r="7878">
      <c r="A7878" s="122" t="s">
        <v>3229</v>
      </c>
      <c r="B7878" s="123">
        <v>1495651.0</v>
      </c>
      <c r="C7878" s="687" t="s">
        <v>3230</v>
      </c>
      <c r="D7878" s="125"/>
    </row>
    <row r="7879">
      <c r="A7879" s="122" t="s">
        <v>10223</v>
      </c>
      <c r="B7879" s="123">
        <v>1607939.0</v>
      </c>
      <c r="C7879" s="687" t="s">
        <v>10224</v>
      </c>
      <c r="D7879" s="125"/>
    </row>
    <row r="7880">
      <c r="A7880" s="122" t="s">
        <v>13340</v>
      </c>
      <c r="B7880" s="123">
        <v>74208.0</v>
      </c>
      <c r="C7880" s="687" t="s">
        <v>13341</v>
      </c>
      <c r="D7880" s="125"/>
    </row>
    <row r="7881">
      <c r="A7881" s="122" t="s">
        <v>15572</v>
      </c>
      <c r="B7881" s="123">
        <v>912767.0</v>
      </c>
      <c r="C7881" s="687" t="s">
        <v>15573</v>
      </c>
      <c r="D7881" s="125"/>
    </row>
    <row r="7882">
      <c r="A7882" s="122" t="s">
        <v>16041</v>
      </c>
      <c r="B7882" s="123">
        <v>914156.0</v>
      </c>
      <c r="C7882" s="687" t="s">
        <v>16042</v>
      </c>
      <c r="D7882" s="125"/>
    </row>
    <row r="7883">
      <c r="A7883" s="122" t="s">
        <v>12192</v>
      </c>
      <c r="B7883" s="123">
        <v>884614.0</v>
      </c>
      <c r="C7883" s="687" t="s">
        <v>12193</v>
      </c>
      <c r="D7883" s="125"/>
    </row>
    <row r="7884">
      <c r="A7884" s="122" t="s">
        <v>14416</v>
      </c>
      <c r="B7884" s="123">
        <v>884614.0</v>
      </c>
      <c r="C7884" s="687" t="s">
        <v>14417</v>
      </c>
      <c r="D7884" s="125"/>
    </row>
    <row r="7885">
      <c r="A7885" s="122" t="s">
        <v>12007</v>
      </c>
      <c r="B7885" s="123">
        <v>1734722.0</v>
      </c>
      <c r="C7885" s="687" t="s">
        <v>12008</v>
      </c>
      <c r="D7885" s="125"/>
    </row>
    <row r="7886">
      <c r="A7886" s="122" t="s">
        <v>16605</v>
      </c>
      <c r="B7886" s="123">
        <v>1403568.0</v>
      </c>
      <c r="C7886" s="687" t="s">
        <v>16606</v>
      </c>
      <c r="D7886" s="125"/>
    </row>
    <row r="7887">
      <c r="A7887" s="122" t="s">
        <v>13584</v>
      </c>
      <c r="B7887" s="123">
        <v>1275014.0</v>
      </c>
      <c r="C7887" s="687" t="s">
        <v>13585</v>
      </c>
      <c r="D7887" s="125"/>
    </row>
    <row r="7888">
      <c r="A7888" s="122" t="s">
        <v>13746</v>
      </c>
      <c r="B7888" s="123">
        <v>1515673.0</v>
      </c>
      <c r="C7888" s="687" t="s">
        <v>13747</v>
      </c>
      <c r="D7888" s="125"/>
    </row>
    <row r="7889">
      <c r="A7889" s="122" t="s">
        <v>7376</v>
      </c>
      <c r="B7889" s="123">
        <v>875657.0</v>
      </c>
      <c r="C7889" s="687" t="s">
        <v>7377</v>
      </c>
      <c r="D7889" s="125"/>
    </row>
    <row r="7890">
      <c r="A7890" s="122" t="s">
        <v>6827</v>
      </c>
      <c r="B7890" s="123">
        <v>1094972.0</v>
      </c>
      <c r="C7890" s="687" t="s">
        <v>6828</v>
      </c>
      <c r="D7890" s="125"/>
    </row>
    <row r="7891">
      <c r="A7891" s="122" t="s">
        <v>15042</v>
      </c>
      <c r="B7891" s="123">
        <v>101382.0</v>
      </c>
      <c r="C7891" s="687" t="s">
        <v>15043</v>
      </c>
      <c r="D7891" s="125"/>
    </row>
    <row r="7892">
      <c r="A7892" s="122" t="s">
        <v>3025</v>
      </c>
      <c r="B7892" s="123">
        <v>1114936.0</v>
      </c>
      <c r="C7892" s="687" t="s">
        <v>3026</v>
      </c>
      <c r="D7892" s="125"/>
    </row>
    <row r="7893">
      <c r="A7893" s="122" t="s">
        <v>10393</v>
      </c>
      <c r="B7893" s="123">
        <v>752642.0</v>
      </c>
      <c r="C7893" s="687" t="s">
        <v>10394</v>
      </c>
      <c r="D7893" s="125"/>
    </row>
    <row r="7894">
      <c r="A7894" s="122" t="s">
        <v>7579</v>
      </c>
      <c r="B7894" s="123">
        <v>1336917.0</v>
      </c>
      <c r="C7894" s="687" t="s">
        <v>7580</v>
      </c>
      <c r="D7894" s="125"/>
    </row>
    <row r="7895">
      <c r="A7895" s="122" t="s">
        <v>7495</v>
      </c>
      <c r="B7895" s="123">
        <v>1336917.0</v>
      </c>
      <c r="C7895" s="687" t="s">
        <v>7496</v>
      </c>
      <c r="D7895" s="125"/>
    </row>
    <row r="7896">
      <c r="A7896" s="122" t="s">
        <v>34223</v>
      </c>
      <c r="B7896" s="123">
        <v>1572317.0</v>
      </c>
      <c r="C7896" s="687" t="s">
        <v>34224</v>
      </c>
      <c r="D7896" s="125"/>
    </row>
    <row r="7897">
      <c r="A7897" s="122" t="s">
        <v>440</v>
      </c>
      <c r="B7897" s="123">
        <v>100716.0</v>
      </c>
      <c r="C7897" s="687" t="s">
        <v>441</v>
      </c>
      <c r="D7897" s="125"/>
    </row>
    <row r="7898">
      <c r="A7898" s="122" t="s">
        <v>3680</v>
      </c>
      <c r="B7898" s="123">
        <v>1766140.0</v>
      </c>
      <c r="C7898" s="687" t="s">
        <v>3681</v>
      </c>
      <c r="D7898" s="125"/>
    </row>
    <row r="7899">
      <c r="A7899" s="122" t="s">
        <v>7063</v>
      </c>
      <c r="B7899" s="123">
        <v>100726.0</v>
      </c>
      <c r="C7899" s="687" t="s">
        <v>7064</v>
      </c>
      <c r="D7899" s="125"/>
    </row>
    <row r="7900">
      <c r="A7900" s="122" t="s">
        <v>16026</v>
      </c>
      <c r="B7900" s="123">
        <v>717954.0</v>
      </c>
      <c r="C7900" s="687" t="s">
        <v>16027</v>
      </c>
      <c r="D7900" s="125"/>
    </row>
    <row r="7901">
      <c r="A7901" s="122" t="s">
        <v>16754</v>
      </c>
      <c r="B7901" s="123">
        <v>1494319.0</v>
      </c>
      <c r="C7901" s="687" t="s">
        <v>16755</v>
      </c>
      <c r="D7901" s="125"/>
    </row>
    <row r="7902">
      <c r="A7902" s="122" t="s">
        <v>14052</v>
      </c>
      <c r="B7902" s="123">
        <v>217410.0</v>
      </c>
      <c r="C7902" s="687" t="s">
        <v>14053</v>
      </c>
      <c r="D7902" s="125"/>
    </row>
    <row r="7903">
      <c r="A7903" s="122" t="s">
        <v>14067</v>
      </c>
      <c r="B7903" s="123">
        <v>217410.0</v>
      </c>
      <c r="C7903" s="687" t="s">
        <v>14053</v>
      </c>
      <c r="D7903" s="125"/>
    </row>
    <row r="7904">
      <c r="A7904" s="122" t="s">
        <v>12755</v>
      </c>
      <c r="B7904" s="123">
        <v>706863.0</v>
      </c>
      <c r="C7904" s="687" t="s">
        <v>12756</v>
      </c>
      <c r="D7904" s="125"/>
    </row>
    <row r="7905">
      <c r="A7905" s="122" t="s">
        <v>14483</v>
      </c>
      <c r="B7905" s="123">
        <v>100826.0</v>
      </c>
      <c r="C7905" s="687" t="s">
        <v>14484</v>
      </c>
      <c r="D7905" s="125"/>
    </row>
    <row r="7906">
      <c r="A7906" s="122" t="s">
        <v>14591</v>
      </c>
      <c r="B7906" s="123">
        <v>100826.0</v>
      </c>
      <c r="C7906" s="687" t="s">
        <v>14444</v>
      </c>
      <c r="D7906" s="125"/>
    </row>
    <row r="7907">
      <c r="A7907" s="122" t="s">
        <v>14443</v>
      </c>
      <c r="B7907" s="123">
        <v>100826.0</v>
      </c>
      <c r="C7907" s="687" t="s">
        <v>14444</v>
      </c>
      <c r="D7907" s="125"/>
    </row>
    <row r="7908">
      <c r="A7908" s="122" t="s">
        <v>14849</v>
      </c>
      <c r="B7908" s="123">
        <v>100826.0</v>
      </c>
      <c r="C7908" s="687" t="s">
        <v>14444</v>
      </c>
      <c r="D7908" s="125"/>
    </row>
    <row r="7909">
      <c r="A7909" s="122" t="s">
        <v>16322</v>
      </c>
      <c r="B7909" s="123">
        <v>100885.0</v>
      </c>
      <c r="C7909" s="687" t="s">
        <v>16323</v>
      </c>
      <c r="D7909" s="125"/>
    </row>
    <row r="7910">
      <c r="A7910" s="122" t="s">
        <v>633</v>
      </c>
      <c r="B7910" s="123">
        <v>1281845.0</v>
      </c>
      <c r="C7910" s="687" t="s">
        <v>634</v>
      </c>
      <c r="D7910" s="125"/>
    </row>
    <row r="7911">
      <c r="A7911" s="122" t="s">
        <v>6750</v>
      </c>
      <c r="B7911" s="123">
        <v>1590560.0</v>
      </c>
      <c r="C7911" s="687" t="s">
        <v>6751</v>
      </c>
      <c r="D7911" s="125"/>
    </row>
    <row r="7912">
      <c r="A7912" s="122" t="s">
        <v>34225</v>
      </c>
      <c r="B7912" s="123">
        <v>1172706.0</v>
      </c>
      <c r="C7912" s="687" t="s">
        <v>34226</v>
      </c>
      <c r="D7912" s="125"/>
    </row>
    <row r="7913">
      <c r="A7913" s="122" t="s">
        <v>7252</v>
      </c>
      <c r="B7913" s="123">
        <v>746838.0</v>
      </c>
      <c r="C7913" s="687" t="s">
        <v>7253</v>
      </c>
      <c r="D7913" s="125"/>
    </row>
    <row r="7914">
      <c r="A7914" s="122" t="s">
        <v>13590</v>
      </c>
      <c r="B7914" s="123">
        <v>798949.0</v>
      </c>
      <c r="C7914" s="687" t="s">
        <v>13591</v>
      </c>
      <c r="D7914" s="125"/>
    </row>
    <row r="7915">
      <c r="A7915" s="122" t="s">
        <v>3614</v>
      </c>
      <c r="B7915" s="123">
        <v>798949.0</v>
      </c>
      <c r="C7915" s="687" t="s">
        <v>3615</v>
      </c>
      <c r="D7915" s="125"/>
    </row>
    <row r="7916">
      <c r="A7916" s="122" t="s">
        <v>13666</v>
      </c>
      <c r="B7916" s="123">
        <v>100517.0</v>
      </c>
      <c r="C7916" s="687" t="s">
        <v>13667</v>
      </c>
      <c r="D7916" s="125"/>
    </row>
    <row r="7917">
      <c r="A7917" s="122" t="s">
        <v>9622</v>
      </c>
      <c r="B7917" s="123">
        <v>731653.0</v>
      </c>
      <c r="C7917" s="687" t="s">
        <v>9623</v>
      </c>
      <c r="D7917" s="125"/>
    </row>
    <row r="7918">
      <c r="A7918" s="122" t="s">
        <v>13293</v>
      </c>
      <c r="B7918" s="123">
        <v>729986.0</v>
      </c>
      <c r="C7918" s="687" t="s">
        <v>13294</v>
      </c>
      <c r="D7918" s="125"/>
    </row>
    <row r="7919">
      <c r="A7919" s="122" t="s">
        <v>12582</v>
      </c>
      <c r="B7919" s="123">
        <v>857855.0</v>
      </c>
      <c r="C7919" s="687" t="s">
        <v>12583</v>
      </c>
      <c r="D7919" s="125"/>
    </row>
    <row r="7920">
      <c r="A7920" s="122" t="s">
        <v>12112</v>
      </c>
      <c r="B7920" s="123">
        <v>857855.0</v>
      </c>
      <c r="C7920" s="687" t="s">
        <v>12113</v>
      </c>
      <c r="D7920" s="125"/>
    </row>
    <row r="7921">
      <c r="A7921" s="122" t="s">
        <v>4459</v>
      </c>
      <c r="B7921" s="123">
        <v>1751707.0</v>
      </c>
      <c r="C7921" s="687" t="s">
        <v>4460</v>
      </c>
      <c r="D7921" s="125"/>
    </row>
    <row r="7922">
      <c r="A7922" s="122" t="s">
        <v>11788</v>
      </c>
      <c r="B7922" s="123">
        <v>101199.0</v>
      </c>
      <c r="C7922" s="687" t="s">
        <v>11789</v>
      </c>
      <c r="D7922" s="125"/>
    </row>
    <row r="7923">
      <c r="A7923" s="122" t="s">
        <v>2433</v>
      </c>
      <c r="B7923" s="123">
        <v>1096938.0</v>
      </c>
      <c r="C7923" s="687" t="s">
        <v>2434</v>
      </c>
      <c r="D7923" s="125"/>
    </row>
    <row r="7924">
      <c r="A7924" s="122" t="s">
        <v>5346</v>
      </c>
      <c r="B7924" s="123">
        <v>1912847.0</v>
      </c>
      <c r="C7924" s="687" t="s">
        <v>5347</v>
      </c>
      <c r="D7924" s="125"/>
    </row>
    <row r="7925">
      <c r="A7925" s="122" t="s">
        <v>7530</v>
      </c>
      <c r="B7925" s="123">
        <v>1033767.0</v>
      </c>
      <c r="C7925" s="687" t="s">
        <v>7531</v>
      </c>
      <c r="D7925" s="125"/>
    </row>
    <row r="7926">
      <c r="A7926" s="122" t="s">
        <v>10653</v>
      </c>
      <c r="B7926" s="123">
        <v>1020859.0</v>
      </c>
      <c r="C7926" s="687" t="s">
        <v>10654</v>
      </c>
      <c r="D7926" s="125"/>
    </row>
    <row r="7927">
      <c r="A7927" s="122" t="s">
        <v>15820</v>
      </c>
      <c r="B7927" s="123">
        <v>1090727.0</v>
      </c>
      <c r="C7927" s="687" t="s">
        <v>15821</v>
      </c>
      <c r="D7927" s="125"/>
    </row>
    <row r="7928">
      <c r="A7928" s="122" t="s">
        <v>16645</v>
      </c>
      <c r="B7928" s="123">
        <v>1067701.0</v>
      </c>
      <c r="C7928" s="687" t="s">
        <v>16646</v>
      </c>
      <c r="D7928" s="125"/>
    </row>
    <row r="7929">
      <c r="A7929" s="122" t="s">
        <v>7662</v>
      </c>
      <c r="B7929" s="123">
        <v>1137547.0</v>
      </c>
      <c r="C7929" s="687" t="s">
        <v>7663</v>
      </c>
      <c r="D7929" s="125"/>
    </row>
    <row r="7930">
      <c r="A7930" s="122" t="s">
        <v>7780</v>
      </c>
      <c r="B7930" s="123">
        <v>1405513.0</v>
      </c>
      <c r="C7930" s="687" t="s">
        <v>7781</v>
      </c>
      <c r="D7930" s="125"/>
    </row>
    <row r="7931">
      <c r="A7931" s="122" t="s">
        <v>13260</v>
      </c>
      <c r="B7931" s="123">
        <v>1405528.0</v>
      </c>
      <c r="C7931" s="687" t="s">
        <v>13261</v>
      </c>
      <c r="D7931" s="125"/>
    </row>
    <row r="7932">
      <c r="A7932" s="122" t="s">
        <v>2427</v>
      </c>
      <c r="B7932" s="123">
        <v>101538.0</v>
      </c>
      <c r="C7932" s="687" t="s">
        <v>2428</v>
      </c>
      <c r="D7932" s="125"/>
    </row>
    <row r="7933">
      <c r="A7933" s="122" t="s">
        <v>12607</v>
      </c>
      <c r="B7933" s="123">
        <v>1472494.0</v>
      </c>
      <c r="C7933" s="687" t="s">
        <v>12608</v>
      </c>
      <c r="D7933" s="125"/>
    </row>
    <row r="7934">
      <c r="A7934" s="122" t="s">
        <v>11118</v>
      </c>
      <c r="B7934" s="123">
        <v>821130.0</v>
      </c>
      <c r="C7934" s="687" t="s">
        <v>11119</v>
      </c>
      <c r="D7934" s="125"/>
    </row>
    <row r="7935">
      <c r="A7935" s="122" t="s">
        <v>11570</v>
      </c>
      <c r="B7935" s="123">
        <v>821130.0</v>
      </c>
      <c r="C7935" s="687" t="s">
        <v>11571</v>
      </c>
      <c r="D7935" s="125"/>
    </row>
    <row r="7936">
      <c r="A7936" s="122" t="s">
        <v>13790</v>
      </c>
      <c r="B7936" s="123">
        <v>821130.0</v>
      </c>
      <c r="C7936" s="687" t="s">
        <v>13791</v>
      </c>
      <c r="D7936" s="125"/>
    </row>
    <row r="7937">
      <c r="A7937" s="122" t="s">
        <v>11137</v>
      </c>
      <c r="B7937" s="123">
        <v>821130.0</v>
      </c>
      <c r="C7937" s="687" t="s">
        <v>11138</v>
      </c>
      <c r="D7937" s="125"/>
    </row>
    <row r="7938">
      <c r="A7938" s="122" t="s">
        <v>14344</v>
      </c>
      <c r="B7938" s="123">
        <v>1479247.0</v>
      </c>
      <c r="C7938" s="687" t="s">
        <v>14345</v>
      </c>
      <c r="D7938" s="125"/>
    </row>
    <row r="7939">
      <c r="A7939" s="122" t="s">
        <v>12051</v>
      </c>
      <c r="B7939" s="123">
        <v>1479247.0</v>
      </c>
      <c r="C7939" s="687" t="s">
        <v>12052</v>
      </c>
      <c r="D7939" s="125"/>
    </row>
    <row r="7940">
      <c r="A7940" s="122" t="s">
        <v>14498</v>
      </c>
      <c r="B7940" s="123">
        <v>1396878.0</v>
      </c>
      <c r="C7940" s="687" t="s">
        <v>14499</v>
      </c>
      <c r="D7940" s="125"/>
    </row>
    <row r="7941">
      <c r="A7941" s="122" t="s">
        <v>16331</v>
      </c>
      <c r="B7941" s="123">
        <v>82020.0</v>
      </c>
      <c r="C7941" s="687" t="s">
        <v>16332</v>
      </c>
      <c r="D7941" s="125"/>
    </row>
    <row r="7942">
      <c r="A7942" s="122" t="s">
        <v>11305</v>
      </c>
      <c r="B7942" s="123">
        <v>1376227.0</v>
      </c>
      <c r="C7942" s="687" t="s">
        <v>11306</v>
      </c>
      <c r="D7942" s="125"/>
    </row>
    <row r="7943">
      <c r="A7943" s="122" t="s">
        <v>14685</v>
      </c>
      <c r="B7943" s="123">
        <v>1327068.0</v>
      </c>
      <c r="C7943" s="687" t="s">
        <v>14686</v>
      </c>
      <c r="D7943" s="125"/>
    </row>
    <row r="7944">
      <c r="A7944" s="122" t="s">
        <v>13896</v>
      </c>
      <c r="B7944" s="123">
        <v>1163302.0</v>
      </c>
      <c r="C7944" s="687" t="s">
        <v>13897</v>
      </c>
      <c r="D7944" s="125"/>
    </row>
    <row r="7945">
      <c r="A7945" s="122" t="s">
        <v>16197</v>
      </c>
      <c r="B7945" s="123">
        <v>1082554.0</v>
      </c>
      <c r="C7945" s="687" t="s">
        <v>16198</v>
      </c>
      <c r="D7945" s="125"/>
    </row>
    <row r="7946">
      <c r="A7946" s="122" t="s">
        <v>4347</v>
      </c>
      <c r="B7946" s="123">
        <v>1763543.0</v>
      </c>
      <c r="C7946" s="687" t="s">
        <v>4348</v>
      </c>
      <c r="D7946" s="125"/>
    </row>
    <row r="7947">
      <c r="A7947" s="122" t="s">
        <v>7797</v>
      </c>
      <c r="B7947" s="123">
        <v>101295.0</v>
      </c>
      <c r="C7947" s="687" t="s">
        <v>7798</v>
      </c>
      <c r="D7947" s="125"/>
    </row>
    <row r="7948">
      <c r="A7948" s="122" t="s">
        <v>16609</v>
      </c>
      <c r="B7948" s="123">
        <v>731766.0</v>
      </c>
      <c r="C7948" s="687" t="s">
        <v>16610</v>
      </c>
      <c r="D7948" s="125"/>
    </row>
    <row r="7949">
      <c r="A7949" s="122" t="s">
        <v>6665</v>
      </c>
      <c r="B7949" s="123">
        <v>1620280.0</v>
      </c>
      <c r="C7949" s="687" t="s">
        <v>6666</v>
      </c>
      <c r="D7949" s="125"/>
    </row>
    <row r="7950">
      <c r="A7950" s="122" t="s">
        <v>14042</v>
      </c>
      <c r="B7950" s="123">
        <v>755001.0</v>
      </c>
      <c r="C7950" s="687" t="s">
        <v>14043</v>
      </c>
      <c r="D7950" s="125"/>
    </row>
    <row r="7951">
      <c r="A7951" s="122" t="s">
        <v>12576</v>
      </c>
      <c r="B7951" s="123">
        <v>920427.0</v>
      </c>
      <c r="C7951" s="687" t="s">
        <v>12577</v>
      </c>
      <c r="D7951" s="125"/>
    </row>
    <row r="7952">
      <c r="A7952" s="122" t="s">
        <v>4627</v>
      </c>
      <c r="B7952" s="123">
        <v>1463361.0</v>
      </c>
      <c r="C7952" s="687" t="s">
        <v>4628</v>
      </c>
      <c r="D7952" s="125"/>
    </row>
    <row r="7953">
      <c r="A7953" s="122" t="s">
        <v>13055</v>
      </c>
      <c r="B7953" s="123">
        <v>1810806.0</v>
      </c>
      <c r="C7953" s="687" t="s">
        <v>13056</v>
      </c>
      <c r="D7953" s="125"/>
    </row>
    <row r="7954">
      <c r="A7954" s="122" t="s">
        <v>14408</v>
      </c>
      <c r="B7954" s="123">
        <v>102037.0</v>
      </c>
      <c r="C7954" s="687" t="s">
        <v>14409</v>
      </c>
      <c r="D7954" s="125"/>
    </row>
    <row r="7955">
      <c r="A7955" s="122" t="s">
        <v>16012</v>
      </c>
      <c r="B7955" s="123">
        <v>1005284.0</v>
      </c>
      <c r="C7955" s="687" t="s">
        <v>16013</v>
      </c>
      <c r="D7955" s="125"/>
    </row>
    <row r="7956">
      <c r="A7956" s="122" t="s">
        <v>7868</v>
      </c>
      <c r="B7956" s="123">
        <v>101984.0</v>
      </c>
      <c r="C7956" s="687" t="s">
        <v>7869</v>
      </c>
      <c r="D7956" s="125"/>
    </row>
    <row r="7957">
      <c r="A7957" s="122" t="s">
        <v>34227</v>
      </c>
      <c r="B7957" s="123">
        <v>1552743.0</v>
      </c>
      <c r="C7957" s="687" t="s">
        <v>34228</v>
      </c>
      <c r="D7957" s="125"/>
    </row>
    <row r="7958">
      <c r="A7958" s="122" t="s">
        <v>10749</v>
      </c>
      <c r="B7958" s="123">
        <v>891166.0</v>
      </c>
      <c r="C7958" s="687" t="s">
        <v>10750</v>
      </c>
      <c r="D7958" s="125"/>
    </row>
    <row r="7959">
      <c r="A7959" s="122" t="s">
        <v>12795</v>
      </c>
      <c r="B7959" s="123">
        <v>1308208.0</v>
      </c>
      <c r="C7959" s="687" t="s">
        <v>12796</v>
      </c>
      <c r="D7959" s="125"/>
    </row>
    <row r="7960">
      <c r="A7960" s="122" t="s">
        <v>4355</v>
      </c>
      <c r="B7960" s="123">
        <v>102109.0</v>
      </c>
      <c r="C7960" s="687" t="s">
        <v>4356</v>
      </c>
      <c r="D7960" s="125"/>
    </row>
    <row r="7961">
      <c r="A7961" s="122" t="s">
        <v>11238</v>
      </c>
      <c r="B7961" s="123">
        <v>931584.0</v>
      </c>
      <c r="C7961" s="687" t="s">
        <v>11239</v>
      </c>
      <c r="D7961" s="125"/>
    </row>
    <row r="7962">
      <c r="A7962" s="122" t="s">
        <v>34229</v>
      </c>
      <c r="B7962" s="123">
        <v>1286768.0</v>
      </c>
      <c r="C7962" s="687" t="s">
        <v>34230</v>
      </c>
      <c r="D7962" s="125"/>
    </row>
    <row r="7963">
      <c r="A7963" s="122" t="s">
        <v>10289</v>
      </c>
      <c r="B7963" s="123">
        <v>1261654.0</v>
      </c>
      <c r="C7963" s="687" t="s">
        <v>10290</v>
      </c>
      <c r="D7963" s="125"/>
    </row>
    <row r="7964">
      <c r="A7964" s="122" t="s">
        <v>5131</v>
      </c>
      <c r="B7964" s="123">
        <v>1809616.0</v>
      </c>
      <c r="C7964" s="687" t="s">
        <v>5132</v>
      </c>
      <c r="D7964" s="125"/>
    </row>
    <row r="7965">
      <c r="A7965" s="122" t="s">
        <v>11484</v>
      </c>
      <c r="B7965" s="123">
        <v>102212.0</v>
      </c>
      <c r="C7965" s="687" t="s">
        <v>11485</v>
      </c>
      <c r="D7965" s="125"/>
    </row>
    <row r="7966">
      <c r="A7966" s="122" t="s">
        <v>13973</v>
      </c>
      <c r="B7966" s="123">
        <v>5513.0</v>
      </c>
      <c r="C7966" s="687" t="s">
        <v>13974</v>
      </c>
      <c r="D7966" s="125"/>
    </row>
    <row r="7967">
      <c r="A7967" s="122" t="s">
        <v>5895</v>
      </c>
      <c r="B7967" s="123">
        <v>1756699.0</v>
      </c>
      <c r="C7967" s="687" t="s">
        <v>5896</v>
      </c>
      <c r="D7967" s="125"/>
    </row>
    <row r="7968">
      <c r="A7968" s="122" t="s">
        <v>3359</v>
      </c>
      <c r="B7968" s="123">
        <v>1677897.0</v>
      </c>
      <c r="C7968" s="687" t="s">
        <v>3360</v>
      </c>
      <c r="D7968" s="125"/>
    </row>
    <row r="7969">
      <c r="A7969" s="122" t="s">
        <v>34231</v>
      </c>
      <c r="B7969" s="123">
        <v>836937.0</v>
      </c>
      <c r="C7969" s="687" t="s">
        <v>34232</v>
      </c>
      <c r="D7969" s="125"/>
    </row>
    <row r="7970">
      <c r="A7970" s="122" t="s">
        <v>4048</v>
      </c>
      <c r="B7970" s="123">
        <v>1775194.0</v>
      </c>
      <c r="C7970" s="687" t="s">
        <v>4049</v>
      </c>
      <c r="D7970" s="125"/>
    </row>
    <row r="7971">
      <c r="A7971" s="122" t="s">
        <v>6247</v>
      </c>
      <c r="B7971" s="123">
        <v>1505155.0</v>
      </c>
      <c r="C7971" s="687" t="s">
        <v>6248</v>
      </c>
      <c r="D7971" s="125"/>
    </row>
    <row r="7972">
      <c r="A7972" s="122" t="s">
        <v>13043</v>
      </c>
      <c r="B7972" s="123">
        <v>1647639.0</v>
      </c>
      <c r="C7972" s="687" t="s">
        <v>13044</v>
      </c>
      <c r="D7972" s="125"/>
    </row>
    <row r="7973">
      <c r="A7973" s="122" t="s">
        <v>10229</v>
      </c>
      <c r="B7973" s="123">
        <v>1627475.0</v>
      </c>
      <c r="C7973" s="687" t="s">
        <v>10230</v>
      </c>
      <c r="D7973" s="125"/>
    </row>
    <row r="7974">
      <c r="A7974" s="122" t="s">
        <v>4838</v>
      </c>
      <c r="B7974" s="123">
        <v>1375205.0</v>
      </c>
      <c r="C7974" s="687" t="s">
        <v>4839</v>
      </c>
      <c r="D7974" s="125"/>
    </row>
    <row r="7975">
      <c r="A7975" s="122" t="s">
        <v>7717</v>
      </c>
      <c r="B7975" s="123">
        <v>1334933.0</v>
      </c>
      <c r="C7975" s="687" t="s">
        <v>7718</v>
      </c>
      <c r="D7975" s="125"/>
    </row>
    <row r="7976">
      <c r="A7976" s="122" t="s">
        <v>5732</v>
      </c>
      <c r="B7976" s="123">
        <v>1711570.0</v>
      </c>
      <c r="C7976" s="687" t="s">
        <v>5733</v>
      </c>
      <c r="D7976" s="125"/>
    </row>
    <row r="7977">
      <c r="A7977" s="122" t="s">
        <v>10893</v>
      </c>
      <c r="B7977" s="123">
        <v>1611547.0</v>
      </c>
      <c r="C7977" s="687" t="s">
        <v>10894</v>
      </c>
      <c r="D7977" s="125"/>
    </row>
    <row r="7978">
      <c r="A7978" s="122" t="s">
        <v>5976</v>
      </c>
      <c r="B7978" s="123">
        <v>1041657.0</v>
      </c>
      <c r="C7978" s="687" t="s">
        <v>5977</v>
      </c>
      <c r="D7978" s="125"/>
    </row>
    <row r="7979">
      <c r="A7979" s="122" t="s">
        <v>5869</v>
      </c>
      <c r="B7979" s="123">
        <v>1041657.0</v>
      </c>
      <c r="C7979" s="687" t="s">
        <v>5870</v>
      </c>
      <c r="D7979" s="125"/>
    </row>
    <row r="7980">
      <c r="A7980" s="122" t="s">
        <v>13592</v>
      </c>
      <c r="B7980" s="123">
        <v>912615.0</v>
      </c>
      <c r="C7980" s="687" t="s">
        <v>13593</v>
      </c>
      <c r="D7980" s="125"/>
    </row>
    <row r="7981">
      <c r="A7981" s="122" t="s">
        <v>4729</v>
      </c>
      <c r="B7981" s="123">
        <v>1706524.0</v>
      </c>
      <c r="C7981" s="687" t="s">
        <v>4730</v>
      </c>
      <c r="D7981" s="125"/>
    </row>
    <row r="7982">
      <c r="A7982" s="122" t="s">
        <v>10741</v>
      </c>
      <c r="B7982" s="123">
        <v>1668243.0</v>
      </c>
      <c r="C7982" s="687" t="s">
        <v>10742</v>
      </c>
      <c r="D7982" s="125"/>
    </row>
    <row r="7983">
      <c r="A7983" s="122" t="s">
        <v>13623</v>
      </c>
      <c r="B7983" s="123">
        <v>36104.0</v>
      </c>
      <c r="C7983" s="687" t="s">
        <v>13624</v>
      </c>
      <c r="D7983" s="125"/>
    </row>
    <row r="7984">
      <c r="A7984" s="122" t="s">
        <v>13961</v>
      </c>
      <c r="B7984" s="123">
        <v>1665918.0</v>
      </c>
      <c r="C7984" s="687" t="s">
        <v>13962</v>
      </c>
      <c r="D7984" s="125"/>
    </row>
    <row r="7985">
      <c r="A7985" s="122" t="s">
        <v>5928</v>
      </c>
      <c r="B7985" s="123">
        <v>27093.0</v>
      </c>
      <c r="C7985" s="687" t="s">
        <v>5929</v>
      </c>
      <c r="D7985" s="125"/>
    </row>
    <row r="7986">
      <c r="A7986" s="122" t="s">
        <v>1600</v>
      </c>
      <c r="B7986" s="123">
        <v>1536394.0</v>
      </c>
      <c r="C7986" s="687" t="s">
        <v>1601</v>
      </c>
      <c r="D7986" s="125"/>
    </row>
    <row r="7987">
      <c r="A7987" s="122" t="s">
        <v>2983</v>
      </c>
      <c r="B7987" s="123">
        <v>1089815.0</v>
      </c>
      <c r="C7987" s="687" t="s">
        <v>2984</v>
      </c>
      <c r="D7987" s="125"/>
    </row>
    <row r="7988">
      <c r="A7988" s="122" t="s">
        <v>1229</v>
      </c>
      <c r="B7988" s="123">
        <v>1543623.0</v>
      </c>
      <c r="C7988" s="687" t="s">
        <v>1230</v>
      </c>
      <c r="D7988" s="125"/>
    </row>
    <row r="7989">
      <c r="A7989" s="122" t="s">
        <v>15156</v>
      </c>
      <c r="B7989" s="123">
        <v>1770141.0</v>
      </c>
      <c r="C7989" s="687" t="s">
        <v>15157</v>
      </c>
      <c r="D7989" s="125"/>
    </row>
    <row r="7990">
      <c r="A7990" s="122" t="s">
        <v>8532</v>
      </c>
      <c r="B7990" s="123">
        <v>1524741.0</v>
      </c>
      <c r="C7990" s="687" t="s">
        <v>8533</v>
      </c>
      <c r="D7990" s="125"/>
    </row>
    <row r="7991">
      <c r="A7991" s="122" t="s">
        <v>34233</v>
      </c>
      <c r="B7991" s="123">
        <v>1388319.0</v>
      </c>
      <c r="C7991" s="687" t="s">
        <v>34234</v>
      </c>
      <c r="D7991" s="125"/>
    </row>
    <row r="7992">
      <c r="A7992" s="122" t="s">
        <v>12360</v>
      </c>
      <c r="B7992" s="123">
        <v>1522727.0</v>
      </c>
      <c r="C7992" s="687" t="s">
        <v>12361</v>
      </c>
      <c r="D7992" s="125"/>
    </row>
    <row r="7993">
      <c r="A7993" s="122" t="s">
        <v>9570</v>
      </c>
      <c r="B7993" s="123">
        <v>883945.0</v>
      </c>
      <c r="C7993" s="687" t="s">
        <v>9571</v>
      </c>
      <c r="D7993" s="125"/>
    </row>
    <row r="7994">
      <c r="A7994" s="122" t="s">
        <v>9606</v>
      </c>
      <c r="B7994" s="123">
        <v>1901637.0</v>
      </c>
      <c r="C7994" s="687" t="s">
        <v>9607</v>
      </c>
      <c r="D7994" s="125"/>
    </row>
    <row r="7995">
      <c r="A7995" s="122" t="s">
        <v>2123</v>
      </c>
      <c r="B7995" s="123">
        <v>1610682.0</v>
      </c>
      <c r="C7995" s="687" t="s">
        <v>2124</v>
      </c>
      <c r="D7995" s="125"/>
    </row>
    <row r="7996">
      <c r="A7996" s="122" t="s">
        <v>4555</v>
      </c>
      <c r="B7996" s="123">
        <v>1088034.0</v>
      </c>
      <c r="C7996" s="687" t="s">
        <v>4556</v>
      </c>
      <c r="D7996" s="125"/>
    </row>
    <row r="7997">
      <c r="A7997" s="122" t="s">
        <v>14935</v>
      </c>
      <c r="B7997" s="123">
        <v>706698.0</v>
      </c>
      <c r="C7997" s="687" t="s">
        <v>14936</v>
      </c>
      <c r="D7997" s="125"/>
    </row>
    <row r="7998">
      <c r="A7998" s="122" t="s">
        <v>15663</v>
      </c>
      <c r="B7998" s="123">
        <v>1665598.0</v>
      </c>
      <c r="C7998" s="687" t="s">
        <v>15664</v>
      </c>
      <c r="D7998" s="125"/>
    </row>
    <row r="7999">
      <c r="A7999" s="122" t="s">
        <v>34235</v>
      </c>
      <c r="B7999" s="123">
        <v>1334740.0</v>
      </c>
      <c r="C7999" s="687" t="s">
        <v>34236</v>
      </c>
      <c r="D7999" s="125"/>
    </row>
    <row r="8000">
      <c r="A8000" s="122" t="s">
        <v>5386</v>
      </c>
      <c r="B8000" s="123">
        <v>1030471.0</v>
      </c>
      <c r="C8000" s="687" t="s">
        <v>5387</v>
      </c>
      <c r="D8000" s="125"/>
    </row>
    <row r="8001">
      <c r="A8001" s="122" t="s">
        <v>11149</v>
      </c>
      <c r="B8001" s="123">
        <v>1739566.0</v>
      </c>
      <c r="C8001" s="687" t="s">
        <v>11150</v>
      </c>
      <c r="D8001" s="125"/>
    </row>
    <row r="8002">
      <c r="A8002" s="122" t="s">
        <v>7433</v>
      </c>
      <c r="B8002" s="123">
        <v>898171.0</v>
      </c>
      <c r="C8002" s="687" t="s">
        <v>7434</v>
      </c>
      <c r="D8002" s="125"/>
    </row>
    <row r="8003">
      <c r="A8003" s="122" t="s">
        <v>7363</v>
      </c>
      <c r="B8003" s="123">
        <v>1783398.0</v>
      </c>
      <c r="C8003" s="687" t="s">
        <v>7364</v>
      </c>
      <c r="D8003" s="125"/>
    </row>
    <row r="8004">
      <c r="A8004" s="122" t="s">
        <v>5073</v>
      </c>
      <c r="B8004" s="123">
        <v>1729173.0</v>
      </c>
      <c r="C8004" s="687" t="s">
        <v>5074</v>
      </c>
      <c r="D8004" s="125"/>
    </row>
    <row r="8005">
      <c r="A8005" s="122" t="s">
        <v>13473</v>
      </c>
      <c r="B8005" s="123">
        <v>1601548.0</v>
      </c>
      <c r="C8005" s="687" t="s">
        <v>13474</v>
      </c>
      <c r="D8005" s="125"/>
    </row>
    <row r="8006">
      <c r="A8006" s="122" t="s">
        <v>6149</v>
      </c>
      <c r="B8006" s="123">
        <v>894627.0</v>
      </c>
      <c r="C8006" s="687" t="s">
        <v>6150</v>
      </c>
      <c r="D8006" s="125"/>
    </row>
    <row r="8007">
      <c r="A8007" s="122" t="s">
        <v>8126</v>
      </c>
      <c r="B8007" s="123">
        <v>1874944.0</v>
      </c>
      <c r="C8007" s="687" t="s">
        <v>8127</v>
      </c>
      <c r="D8007" s="125"/>
    </row>
    <row r="8008">
      <c r="A8008" s="122" t="s">
        <v>3201</v>
      </c>
      <c r="B8008" s="123">
        <v>1205922.0</v>
      </c>
      <c r="C8008" s="687" t="s">
        <v>3202</v>
      </c>
      <c r="D8008" s="125"/>
    </row>
    <row r="8009">
      <c r="A8009" s="122" t="s">
        <v>4619</v>
      </c>
      <c r="B8009" s="123">
        <v>1700849.0</v>
      </c>
      <c r="C8009" s="687" t="s">
        <v>4620</v>
      </c>
      <c r="D8009" s="125"/>
    </row>
    <row r="8010">
      <c r="A8010" s="122" t="s">
        <v>16234</v>
      </c>
      <c r="B8010" s="123">
        <v>812011.0</v>
      </c>
      <c r="C8010" s="687" t="s">
        <v>16235</v>
      </c>
      <c r="D8010" s="125"/>
    </row>
    <row r="8011">
      <c r="A8011" s="122" t="s">
        <v>354</v>
      </c>
      <c r="B8011" s="123">
        <v>314808.0</v>
      </c>
      <c r="C8011" s="687" t="s">
        <v>14490</v>
      </c>
      <c r="D8011" s="125"/>
    </row>
    <row r="8012">
      <c r="A8012" s="122" t="s">
        <v>9965</v>
      </c>
      <c r="B8012" s="123">
        <v>917851.0</v>
      </c>
      <c r="C8012" s="687" t="s">
        <v>9966</v>
      </c>
      <c r="D8012" s="125"/>
    </row>
    <row r="8013">
      <c r="A8013" s="122" t="s">
        <v>5031</v>
      </c>
      <c r="B8013" s="123">
        <v>1863006.0</v>
      </c>
      <c r="C8013" s="687" t="s">
        <v>5032</v>
      </c>
      <c r="D8013" s="125"/>
    </row>
    <row r="8014">
      <c r="A8014" s="122" t="s">
        <v>15791</v>
      </c>
      <c r="B8014" s="123">
        <v>1035002.0</v>
      </c>
      <c r="C8014" s="687" t="s">
        <v>15792</v>
      </c>
      <c r="D8014" s="125"/>
    </row>
    <row r="8015">
      <c r="A8015" s="122" t="s">
        <v>10077</v>
      </c>
      <c r="B8015" s="123">
        <v>59255.0</v>
      </c>
      <c r="C8015" s="687" t="s">
        <v>10078</v>
      </c>
      <c r="D8015" s="125"/>
    </row>
    <row r="8016">
      <c r="A8016" s="122" t="s">
        <v>34237</v>
      </c>
      <c r="B8016" s="123">
        <v>1415306.0</v>
      </c>
      <c r="C8016" s="687" t="s">
        <v>34238</v>
      </c>
      <c r="D8016" s="125"/>
    </row>
    <row r="8017">
      <c r="A8017" s="122" t="s">
        <v>11903</v>
      </c>
      <c r="B8017" s="123">
        <v>714310.0</v>
      </c>
      <c r="C8017" s="687" t="s">
        <v>11904</v>
      </c>
      <c r="D8017" s="125"/>
    </row>
    <row r="8018">
      <c r="A8018" s="122" t="s">
        <v>11574</v>
      </c>
      <c r="B8018" s="123">
        <v>714310.0</v>
      </c>
      <c r="C8018" s="687" t="s">
        <v>11575</v>
      </c>
      <c r="D8018" s="125"/>
    </row>
    <row r="8019">
      <c r="A8019" s="122" t="s">
        <v>8083</v>
      </c>
      <c r="B8019" s="123">
        <v>714310.0</v>
      </c>
      <c r="C8019" s="687" t="s">
        <v>8084</v>
      </c>
      <c r="D8019" s="125"/>
    </row>
    <row r="8020">
      <c r="A8020" s="122" t="s">
        <v>16256</v>
      </c>
      <c r="B8020" s="123">
        <v>102729.0</v>
      </c>
      <c r="C8020" s="687" t="s">
        <v>16257</v>
      </c>
      <c r="D8020" s="125"/>
    </row>
    <row r="8021">
      <c r="A8021" s="122" t="s">
        <v>7705</v>
      </c>
      <c r="B8021" s="123">
        <v>1836564.0</v>
      </c>
      <c r="C8021" s="687" t="s">
        <v>7706</v>
      </c>
      <c r="D8021" s="125"/>
    </row>
    <row r="8022">
      <c r="A8022" s="122" t="s">
        <v>1678</v>
      </c>
      <c r="B8022" s="123">
        <v>1417664.0</v>
      </c>
      <c r="C8022" s="687" t="s">
        <v>1679</v>
      </c>
      <c r="D8022" s="125"/>
    </row>
    <row r="8023">
      <c r="A8023" s="122" t="s">
        <v>13851</v>
      </c>
      <c r="B8023" s="123">
        <v>717720.0</v>
      </c>
      <c r="C8023" s="687" t="s">
        <v>13852</v>
      </c>
      <c r="D8023" s="125"/>
    </row>
    <row r="8024">
      <c r="A8024" s="122" t="s">
        <v>1331</v>
      </c>
      <c r="B8024" s="123">
        <v>1892747.0</v>
      </c>
      <c r="C8024" s="687" t="s">
        <v>1332</v>
      </c>
      <c r="D8024" s="125"/>
    </row>
    <row r="8025">
      <c r="A8025" s="122" t="s">
        <v>9303</v>
      </c>
      <c r="B8025" s="123">
        <v>1892747.0</v>
      </c>
      <c r="C8025" s="687" t="s">
        <v>9304</v>
      </c>
      <c r="D8025" s="125"/>
    </row>
    <row r="8026">
      <c r="A8026" s="122" t="s">
        <v>9160</v>
      </c>
      <c r="B8026" s="123">
        <v>1892747.0</v>
      </c>
      <c r="C8026" s="687" t="s">
        <v>9161</v>
      </c>
      <c r="D8026" s="125"/>
    </row>
    <row r="8027">
      <c r="A8027" s="122" t="s">
        <v>13342</v>
      </c>
      <c r="B8027" s="123">
        <v>1674910.0</v>
      </c>
      <c r="C8027" s="687" t="s">
        <v>13343</v>
      </c>
      <c r="D8027" s="125"/>
    </row>
    <row r="8028">
      <c r="A8028" s="122" t="s">
        <v>5867</v>
      </c>
      <c r="B8028" s="123">
        <v>1347178.0</v>
      </c>
      <c r="C8028" s="687" t="s">
        <v>5868</v>
      </c>
      <c r="D8028" s="125"/>
    </row>
    <row r="8029">
      <c r="A8029" s="122" t="s">
        <v>15189</v>
      </c>
      <c r="B8029" s="123">
        <v>1428875.0</v>
      </c>
      <c r="C8029" s="687" t="s">
        <v>15190</v>
      </c>
      <c r="D8029" s="125"/>
    </row>
    <row r="8030">
      <c r="A8030" s="122" t="s">
        <v>11361</v>
      </c>
      <c r="B8030" s="123">
        <v>1546652.0</v>
      </c>
      <c r="C8030" s="687" t="s">
        <v>11362</v>
      </c>
      <c r="D8030" s="125"/>
    </row>
    <row r="8031">
      <c r="A8031" s="122" t="s">
        <v>5517</v>
      </c>
      <c r="B8031" s="123">
        <v>1532383.0</v>
      </c>
      <c r="C8031" s="687" t="s">
        <v>5518</v>
      </c>
      <c r="D8031" s="125"/>
    </row>
    <row r="8032">
      <c r="A8032" s="122" t="s">
        <v>12280</v>
      </c>
      <c r="B8032" s="123">
        <v>1465872.0</v>
      </c>
      <c r="C8032" s="687" t="s">
        <v>12281</v>
      </c>
      <c r="D8032" s="125"/>
    </row>
    <row r="8033">
      <c r="A8033" s="122" t="s">
        <v>3574</v>
      </c>
      <c r="B8033" s="123">
        <v>1253176.0</v>
      </c>
      <c r="C8033" s="687" t="s">
        <v>3575</v>
      </c>
      <c r="D8033" s="125"/>
    </row>
    <row r="8034">
      <c r="A8034" s="122" t="s">
        <v>11251</v>
      </c>
      <c r="B8034" s="123">
        <v>1681622.0</v>
      </c>
      <c r="C8034" s="687" t="s">
        <v>11252</v>
      </c>
      <c r="D8034" s="125"/>
    </row>
    <row r="8035">
      <c r="A8035" s="122" t="s">
        <v>13875</v>
      </c>
      <c r="B8035" s="123">
        <v>1361113.0</v>
      </c>
      <c r="C8035" s="687" t="s">
        <v>13876</v>
      </c>
      <c r="D8035" s="125"/>
    </row>
    <row r="8036">
      <c r="A8036" s="122" t="s">
        <v>2602</v>
      </c>
      <c r="B8036" s="123">
        <v>839087.0</v>
      </c>
      <c r="C8036" s="687" t="s">
        <v>2603</v>
      </c>
      <c r="D8036" s="125"/>
    </row>
    <row r="8037">
      <c r="A8037" s="122" t="s">
        <v>6113</v>
      </c>
      <c r="B8037" s="123">
        <v>1792829.0</v>
      </c>
      <c r="C8037" s="687" t="s">
        <v>6114</v>
      </c>
      <c r="D8037" s="125"/>
    </row>
    <row r="8038">
      <c r="A8038" s="122" t="s">
        <v>4068</v>
      </c>
      <c r="B8038" s="123">
        <v>72444.0</v>
      </c>
      <c r="C8038" s="687" t="s">
        <v>4069</v>
      </c>
      <c r="D8038" s="125"/>
    </row>
    <row r="8039">
      <c r="A8039" s="122" t="s">
        <v>14887</v>
      </c>
      <c r="B8039" s="123">
        <v>1649094.0</v>
      </c>
      <c r="C8039" s="687" t="s">
        <v>14888</v>
      </c>
      <c r="D8039" s="125"/>
    </row>
    <row r="8040">
      <c r="A8040" s="122" t="s">
        <v>3345</v>
      </c>
      <c r="B8040" s="123">
        <v>1851657.0</v>
      </c>
      <c r="C8040" s="687" t="s">
        <v>3346</v>
      </c>
      <c r="D8040" s="125"/>
    </row>
    <row r="8041">
      <c r="A8041" s="122" t="s">
        <v>3339</v>
      </c>
      <c r="B8041" s="123">
        <v>764195.0</v>
      </c>
      <c r="C8041" s="687" t="s">
        <v>3340</v>
      </c>
      <c r="D8041" s="125"/>
    </row>
    <row r="8042">
      <c r="A8042" s="122" t="s">
        <v>1361</v>
      </c>
      <c r="B8042" s="123">
        <v>1916879.0</v>
      </c>
      <c r="C8042" s="687" t="s">
        <v>1362</v>
      </c>
      <c r="D8042" s="125"/>
    </row>
    <row r="8043">
      <c r="A8043" s="122" t="s">
        <v>8645</v>
      </c>
      <c r="B8043" s="123">
        <v>1842386.0</v>
      </c>
      <c r="C8043" s="687" t="s">
        <v>8646</v>
      </c>
      <c r="D8043" s="125"/>
    </row>
    <row r="8044">
      <c r="A8044" s="122" t="s">
        <v>8552</v>
      </c>
      <c r="B8044" s="123">
        <v>59440.0</v>
      </c>
      <c r="C8044" s="687" t="s">
        <v>8553</v>
      </c>
      <c r="D8044" s="125"/>
    </row>
    <row r="8045">
      <c r="A8045" s="122" t="s">
        <v>13027</v>
      </c>
      <c r="B8045" s="123">
        <v>103145.0</v>
      </c>
      <c r="C8045" s="687" t="s">
        <v>13028</v>
      </c>
      <c r="D8045" s="125"/>
    </row>
    <row r="8046">
      <c r="A8046" s="122" t="s">
        <v>16183</v>
      </c>
      <c r="B8046" s="123">
        <v>1393052.0</v>
      </c>
      <c r="C8046" s="687" t="s">
        <v>16184</v>
      </c>
      <c r="D8046" s="125"/>
    </row>
    <row r="8047">
      <c r="A8047" s="122" t="s">
        <v>2506</v>
      </c>
      <c r="B8047" s="123">
        <v>1825079.0</v>
      </c>
      <c r="C8047" s="687" t="s">
        <v>2507</v>
      </c>
      <c r="D8047" s="125"/>
    </row>
    <row r="8048">
      <c r="A8048" s="122" t="s">
        <v>10554</v>
      </c>
      <c r="B8048" s="123">
        <v>1692376.0</v>
      </c>
      <c r="C8048" s="687" t="s">
        <v>10555</v>
      </c>
      <c r="D8048" s="125"/>
    </row>
    <row r="8049">
      <c r="A8049" s="122" t="s">
        <v>1747</v>
      </c>
      <c r="B8049" s="123">
        <v>1605057.0</v>
      </c>
      <c r="C8049" s="687" t="s">
        <v>1748</v>
      </c>
      <c r="D8049" s="125"/>
    </row>
    <row r="8050">
      <c r="A8050" s="122" t="s">
        <v>13924</v>
      </c>
      <c r="B8050" s="123">
        <v>740260.0</v>
      </c>
      <c r="C8050" s="687" t="s">
        <v>13925</v>
      </c>
      <c r="D8050" s="125"/>
    </row>
    <row r="8051">
      <c r="A8051" s="122" t="s">
        <v>5058</v>
      </c>
      <c r="B8051" s="123">
        <v>1851194.0</v>
      </c>
      <c r="C8051" s="687" t="s">
        <v>5059</v>
      </c>
      <c r="D8051" s="125"/>
    </row>
    <row r="8052">
      <c r="A8052" s="122" t="s">
        <v>7611</v>
      </c>
      <c r="B8052" s="123">
        <v>1495320.0</v>
      </c>
      <c r="C8052" s="687" t="s">
        <v>7612</v>
      </c>
      <c r="D8052" s="125"/>
    </row>
    <row r="8053">
      <c r="A8053" s="122" t="s">
        <v>13525</v>
      </c>
      <c r="B8053" s="123">
        <v>1831828.0</v>
      </c>
      <c r="C8053" s="687" t="s">
        <v>13526</v>
      </c>
      <c r="D8053" s="125"/>
    </row>
    <row r="8054">
      <c r="A8054" s="122" t="s">
        <v>12262</v>
      </c>
      <c r="B8054" s="123">
        <v>1384101.0</v>
      </c>
      <c r="C8054" s="687" t="s">
        <v>12263</v>
      </c>
      <c r="D8054" s="125"/>
    </row>
    <row r="8055">
      <c r="A8055" s="122" t="s">
        <v>8009</v>
      </c>
      <c r="B8055" s="123">
        <v>1124804.0</v>
      </c>
      <c r="C8055" s="687" t="s">
        <v>8010</v>
      </c>
      <c r="D8055" s="125"/>
    </row>
    <row r="8056">
      <c r="A8056" s="122" t="s">
        <v>7289</v>
      </c>
      <c r="B8056" s="123">
        <v>1848416.0</v>
      </c>
      <c r="C8056" s="687" t="s">
        <v>7290</v>
      </c>
      <c r="D8056" s="125"/>
    </row>
    <row r="8057">
      <c r="A8057" s="122" t="s">
        <v>9686</v>
      </c>
      <c r="B8057" s="123">
        <v>1526119.0</v>
      </c>
      <c r="C8057" s="687" t="s">
        <v>9687</v>
      </c>
      <c r="D8057" s="125"/>
    </row>
    <row r="8058">
      <c r="A8058" s="122" t="s">
        <v>2061</v>
      </c>
      <c r="B8058" s="123">
        <v>1566610.0</v>
      </c>
      <c r="C8058" s="687" t="s">
        <v>2062</v>
      </c>
      <c r="D8058" s="125"/>
    </row>
    <row r="8059">
      <c r="A8059" s="122" t="s">
        <v>34239</v>
      </c>
      <c r="B8059" s="123">
        <v>1566610.0</v>
      </c>
      <c r="C8059" s="687" t="s">
        <v>2062</v>
      </c>
      <c r="D8059" s="125"/>
    </row>
    <row r="8060">
      <c r="A8060" s="122" t="s">
        <v>34240</v>
      </c>
      <c r="B8060" s="123">
        <v>1490054.0</v>
      </c>
      <c r="C8060" s="687" t="s">
        <v>34241</v>
      </c>
      <c r="D8060" s="125"/>
    </row>
    <row r="8061">
      <c r="A8061" s="122" t="s">
        <v>2157</v>
      </c>
      <c r="B8061" s="123">
        <v>1506929.0</v>
      </c>
      <c r="C8061" s="687" t="s">
        <v>2158</v>
      </c>
      <c r="D8061" s="125"/>
    </row>
    <row r="8062">
      <c r="A8062" s="122" t="s">
        <v>13733</v>
      </c>
      <c r="B8062" s="123">
        <v>887359.0</v>
      </c>
      <c r="C8062" s="687" t="s">
        <v>13734</v>
      </c>
      <c r="D8062" s="125"/>
    </row>
    <row r="8063">
      <c r="A8063" s="122" t="s">
        <v>926</v>
      </c>
      <c r="B8063" s="123">
        <v>1104038.0</v>
      </c>
      <c r="C8063" s="687" t="s">
        <v>927</v>
      </c>
      <c r="D8063" s="125"/>
    </row>
    <row r="8064">
      <c r="A8064" s="122" t="s">
        <v>3915</v>
      </c>
      <c r="B8064" s="123">
        <v>1104038.0</v>
      </c>
      <c r="C8064" s="687" t="s">
        <v>3916</v>
      </c>
      <c r="D8064" s="125"/>
    </row>
    <row r="8065">
      <c r="A8065" s="122" t="s">
        <v>12736</v>
      </c>
      <c r="B8065" s="123">
        <v>1166388.0</v>
      </c>
      <c r="C8065" s="687" t="s">
        <v>12737</v>
      </c>
      <c r="D8065" s="125"/>
    </row>
    <row r="8066">
      <c r="A8066" s="122" t="s">
        <v>10459</v>
      </c>
      <c r="B8066" s="123">
        <v>924901.0</v>
      </c>
      <c r="C8066" s="687" t="s">
        <v>10460</v>
      </c>
      <c r="D8066" s="125"/>
    </row>
    <row r="8067">
      <c r="A8067" s="122" t="s">
        <v>16154</v>
      </c>
      <c r="B8067" s="123">
        <v>1014473.0</v>
      </c>
      <c r="C8067" s="687" t="s">
        <v>16155</v>
      </c>
      <c r="D8067" s="125"/>
    </row>
    <row r="8068">
      <c r="A8068" s="122" t="s">
        <v>16320</v>
      </c>
      <c r="B8068" s="123">
        <v>1442145.0</v>
      </c>
      <c r="C8068" s="687" t="s">
        <v>16321</v>
      </c>
      <c r="D8068" s="125"/>
    </row>
    <row r="8069">
      <c r="A8069" s="122" t="s">
        <v>886</v>
      </c>
      <c r="B8069" s="123">
        <v>1669400.0</v>
      </c>
      <c r="C8069" s="687" t="s">
        <v>887</v>
      </c>
      <c r="D8069" s="125"/>
    </row>
    <row r="8070">
      <c r="A8070" s="122" t="s">
        <v>1059</v>
      </c>
      <c r="B8070" s="123">
        <v>773318.0</v>
      </c>
      <c r="C8070" s="687" t="s">
        <v>1060</v>
      </c>
      <c r="D8070" s="125"/>
    </row>
    <row r="8071">
      <c r="A8071" s="122" t="s">
        <v>11440</v>
      </c>
      <c r="B8071" s="123">
        <v>1501570.0</v>
      </c>
      <c r="C8071" s="687" t="s">
        <v>11441</v>
      </c>
      <c r="D8071" s="125"/>
    </row>
    <row r="8072">
      <c r="A8072" s="122" t="s">
        <v>16734</v>
      </c>
      <c r="B8072" s="123">
        <v>1599489.0</v>
      </c>
      <c r="C8072" s="687" t="s">
        <v>16735</v>
      </c>
      <c r="D8072" s="125"/>
    </row>
    <row r="8073">
      <c r="A8073" s="122" t="s">
        <v>13704</v>
      </c>
      <c r="B8073" s="123">
        <v>732712.0</v>
      </c>
      <c r="C8073" s="687" t="s">
        <v>13705</v>
      </c>
      <c r="D8073" s="125"/>
    </row>
    <row r="8074">
      <c r="A8074" s="122" t="s">
        <v>8477</v>
      </c>
      <c r="B8074" s="123">
        <v>1293135.0</v>
      </c>
      <c r="C8074" s="687" t="s">
        <v>8478</v>
      </c>
      <c r="D8074" s="125"/>
    </row>
    <row r="8075">
      <c r="A8075" s="122" t="s">
        <v>11104</v>
      </c>
      <c r="B8075" s="123">
        <v>1657312.0</v>
      </c>
      <c r="C8075" s="687" t="s">
        <v>11105</v>
      </c>
      <c r="D8075" s="125"/>
    </row>
    <row r="8076">
      <c r="A8076" s="122" t="s">
        <v>4621</v>
      </c>
      <c r="B8076" s="123">
        <v>1693690.0</v>
      </c>
      <c r="C8076" s="687" t="s">
        <v>4622</v>
      </c>
      <c r="D8076" s="125"/>
    </row>
    <row r="8077">
      <c r="A8077" s="122" t="s">
        <v>11997</v>
      </c>
      <c r="B8077" s="123">
        <v>1682745.0</v>
      </c>
      <c r="C8077" s="687" t="s">
        <v>11998</v>
      </c>
      <c r="D8077" s="125"/>
    </row>
    <row r="8078">
      <c r="A8078" s="122" t="s">
        <v>6856</v>
      </c>
      <c r="B8078" s="123">
        <v>1660334.0</v>
      </c>
      <c r="C8078" s="687" t="s">
        <v>6857</v>
      </c>
      <c r="D8078" s="125"/>
    </row>
    <row r="8079">
      <c r="A8079" s="122" t="s">
        <v>9210</v>
      </c>
      <c r="B8079" s="123">
        <v>1690639.0</v>
      </c>
      <c r="C8079" s="687" t="s">
        <v>9211</v>
      </c>
      <c r="D8079" s="125"/>
    </row>
    <row r="8080">
      <c r="A8080" s="122" t="s">
        <v>4297</v>
      </c>
      <c r="B8080" s="123">
        <v>1701963.0</v>
      </c>
      <c r="C8080" s="687" t="s">
        <v>4298</v>
      </c>
      <c r="D8080" s="125"/>
    </row>
    <row r="8081">
      <c r="A8081" s="122" t="s">
        <v>649</v>
      </c>
      <c r="B8081" s="123">
        <v>1701963.0</v>
      </c>
      <c r="C8081" s="687" t="s">
        <v>650</v>
      </c>
      <c r="D8081" s="125"/>
    </row>
    <row r="8082">
      <c r="A8082" s="122" t="s">
        <v>4983</v>
      </c>
      <c r="B8082" s="123">
        <v>1701963.0</v>
      </c>
      <c r="C8082" s="687" t="s">
        <v>4984</v>
      </c>
      <c r="D8082" s="125"/>
    </row>
    <row r="8083">
      <c r="A8083" s="122" t="s">
        <v>4329</v>
      </c>
      <c r="B8083" s="123">
        <v>890447.0</v>
      </c>
      <c r="C8083" s="687" t="s">
        <v>4330</v>
      </c>
      <c r="D8083" s="125"/>
    </row>
    <row r="8084">
      <c r="A8084" s="122" t="s">
        <v>16550</v>
      </c>
      <c r="B8084" s="123">
        <v>875320.0</v>
      </c>
      <c r="C8084" s="687" t="s">
        <v>16551</v>
      </c>
      <c r="D8084" s="125"/>
    </row>
    <row r="8085">
      <c r="A8085" s="122" t="s">
        <v>14508</v>
      </c>
      <c r="B8085" s="123">
        <v>1674101.0</v>
      </c>
      <c r="C8085" s="687" t="s">
        <v>14509</v>
      </c>
      <c r="D8085" s="125"/>
    </row>
    <row r="8086">
      <c r="A8086" s="122" t="s">
        <v>34242</v>
      </c>
      <c r="B8086" s="123">
        <v>1430523.0</v>
      </c>
      <c r="C8086" s="687" t="s">
        <v>34243</v>
      </c>
      <c r="D8086" s="125"/>
    </row>
    <row r="8087">
      <c r="A8087" s="122" t="s">
        <v>12630</v>
      </c>
      <c r="B8087" s="123">
        <v>1330306.0</v>
      </c>
      <c r="C8087" s="687" t="s">
        <v>12631</v>
      </c>
      <c r="D8087" s="125"/>
    </row>
    <row r="8088">
      <c r="A8088" s="122" t="s">
        <v>8099</v>
      </c>
      <c r="B8088" s="123">
        <v>1330306.0</v>
      </c>
      <c r="C8088" s="687" t="s">
        <v>8100</v>
      </c>
      <c r="D8088" s="125"/>
    </row>
    <row r="8089">
      <c r="A8089" s="122" t="s">
        <v>34244</v>
      </c>
      <c r="B8089" s="123">
        <v>1280396.0</v>
      </c>
      <c r="C8089" s="687" t="s">
        <v>34245</v>
      </c>
      <c r="D8089" s="125"/>
    </row>
    <row r="8090">
      <c r="A8090" s="122" t="s">
        <v>10782</v>
      </c>
      <c r="B8090" s="123">
        <v>103379.0</v>
      </c>
      <c r="C8090" s="687" t="s">
        <v>10783</v>
      </c>
      <c r="D8090" s="125"/>
    </row>
    <row r="8091">
      <c r="A8091" s="122" t="s">
        <v>3516</v>
      </c>
      <c r="B8091" s="123">
        <v>1769116.0</v>
      </c>
      <c r="C8091" s="687" t="s">
        <v>3517</v>
      </c>
      <c r="D8091" s="125"/>
    </row>
    <row r="8092">
      <c r="A8092" s="122" t="s">
        <v>11290</v>
      </c>
      <c r="B8092" s="123">
        <v>1606268.0</v>
      </c>
      <c r="C8092" s="687" t="s">
        <v>11291</v>
      </c>
      <c r="D8092" s="125"/>
    </row>
    <row r="8093">
      <c r="A8093" s="122" t="s">
        <v>8674</v>
      </c>
      <c r="B8093" s="123">
        <v>1606268.0</v>
      </c>
      <c r="C8093" s="687" t="s">
        <v>8675</v>
      </c>
      <c r="D8093" s="125"/>
    </row>
    <row r="8094">
      <c r="A8094" s="122" t="s">
        <v>34246</v>
      </c>
      <c r="B8094" s="123">
        <v>1575975.0</v>
      </c>
      <c r="C8094" s="687" t="s">
        <v>34247</v>
      </c>
      <c r="D8094" s="125"/>
    </row>
    <row r="8095">
      <c r="A8095" s="122" t="s">
        <v>13096</v>
      </c>
      <c r="B8095" s="123">
        <v>884219.0</v>
      </c>
      <c r="C8095" s="687" t="s">
        <v>13097</v>
      </c>
      <c r="D8095" s="125"/>
    </row>
    <row r="8096">
      <c r="A8096" s="122" t="s">
        <v>7960</v>
      </c>
      <c r="B8096" s="123">
        <v>1828791.0</v>
      </c>
      <c r="C8096" s="687" t="s">
        <v>7961</v>
      </c>
      <c r="D8096" s="125"/>
    </row>
    <row r="8097">
      <c r="A8097" s="122" t="s">
        <v>11821</v>
      </c>
      <c r="B8097" s="123">
        <v>797721.0</v>
      </c>
      <c r="C8097" s="687" t="s">
        <v>11822</v>
      </c>
      <c r="D8097" s="125"/>
    </row>
    <row r="8098">
      <c r="A8098" s="122" t="s">
        <v>9562</v>
      </c>
      <c r="B8098" s="123">
        <v>1792044.0</v>
      </c>
      <c r="C8098" s="687" t="s">
        <v>9563</v>
      </c>
      <c r="D8098" s="125"/>
    </row>
    <row r="8099">
      <c r="A8099" s="122" t="s">
        <v>8186</v>
      </c>
      <c r="B8099" s="123">
        <v>912093.0</v>
      </c>
      <c r="C8099" s="687" t="s">
        <v>8187</v>
      </c>
      <c r="D8099" s="125"/>
    </row>
    <row r="8100">
      <c r="A8100" s="122" t="s">
        <v>4813</v>
      </c>
      <c r="B8100" s="123">
        <v>1468639.0</v>
      </c>
      <c r="C8100" s="687" t="s">
        <v>4814</v>
      </c>
      <c r="D8100" s="125"/>
    </row>
    <row r="8101">
      <c r="A8101" s="122" t="s">
        <v>2823</v>
      </c>
      <c r="B8101" s="123">
        <v>1812173.0</v>
      </c>
      <c r="C8101" s="687" t="s">
        <v>2824</v>
      </c>
      <c r="D8101" s="125"/>
    </row>
    <row r="8102">
      <c r="A8102" s="122" t="s">
        <v>12838</v>
      </c>
      <c r="B8102" s="123">
        <v>1705696.0</v>
      </c>
      <c r="C8102" s="687" t="s">
        <v>12839</v>
      </c>
      <c r="D8102" s="125"/>
    </row>
    <row r="8103">
      <c r="A8103" s="122" t="s">
        <v>3592</v>
      </c>
      <c r="B8103" s="123">
        <v>1834975.0</v>
      </c>
      <c r="C8103" s="687" t="s">
        <v>3593</v>
      </c>
      <c r="D8103" s="125"/>
    </row>
    <row r="8104">
      <c r="A8104" s="122" t="s">
        <v>13469</v>
      </c>
      <c r="B8104" s="123">
        <v>751978.0</v>
      </c>
      <c r="C8104" s="687" t="s">
        <v>13470</v>
      </c>
      <c r="D8104" s="125"/>
    </row>
    <row r="8105">
      <c r="A8105" s="122" t="s">
        <v>34248</v>
      </c>
      <c r="B8105" s="123">
        <v>1874440.0</v>
      </c>
      <c r="C8105" s="687" t="s">
        <v>34249</v>
      </c>
      <c r="D8105" s="125"/>
    </row>
    <row r="8106">
      <c r="A8106" s="122" t="s">
        <v>12558</v>
      </c>
      <c r="B8106" s="123">
        <v>1856437.0</v>
      </c>
      <c r="C8106" s="687" t="s">
        <v>12559</v>
      </c>
      <c r="D8106" s="125"/>
    </row>
    <row r="8107">
      <c r="A8107" s="122" t="s">
        <v>13171</v>
      </c>
      <c r="B8107" s="123">
        <v>1570827.0</v>
      </c>
      <c r="C8107" s="687" t="s">
        <v>13172</v>
      </c>
      <c r="D8107" s="125"/>
    </row>
    <row r="8108">
      <c r="A8108" s="122" t="s">
        <v>34250</v>
      </c>
      <c r="B8108" s="123">
        <v>895287.0</v>
      </c>
      <c r="C8108" s="687" t="s">
        <v>34251</v>
      </c>
      <c r="D8108" s="125"/>
    </row>
    <row r="8109">
      <c r="A8109" s="122" t="s">
        <v>3215</v>
      </c>
      <c r="B8109" s="123">
        <v>700764.0</v>
      </c>
      <c r="C8109" s="687" t="s">
        <v>3216</v>
      </c>
      <c r="D8109" s="125"/>
    </row>
    <row r="8110">
      <c r="A8110" s="122" t="s">
        <v>3761</v>
      </c>
      <c r="B8110" s="123">
        <v>758743.0</v>
      </c>
      <c r="C8110" s="687" t="s">
        <v>3762</v>
      </c>
      <c r="D8110" s="125"/>
    </row>
    <row r="8111">
      <c r="A8111" s="122" t="s">
        <v>545</v>
      </c>
      <c r="B8111" s="123">
        <v>1084475.0</v>
      </c>
      <c r="C8111" s="687" t="s">
        <v>546</v>
      </c>
      <c r="D8111" s="125"/>
    </row>
    <row r="8112">
      <c r="A8112" s="122" t="s">
        <v>7723</v>
      </c>
      <c r="B8112" s="123">
        <v>1729149.0</v>
      </c>
      <c r="C8112" s="687" t="s">
        <v>7724</v>
      </c>
      <c r="D8112" s="125"/>
    </row>
    <row r="8113">
      <c r="A8113" s="122" t="s">
        <v>34252</v>
      </c>
      <c r="B8113" s="123">
        <v>1811856.0</v>
      </c>
      <c r="C8113" s="687" t="s">
        <v>34253</v>
      </c>
      <c r="D8113" s="125"/>
    </row>
    <row r="8114">
      <c r="A8114" s="122" t="s">
        <v>4415</v>
      </c>
      <c r="B8114" s="123">
        <v>1811856.0</v>
      </c>
      <c r="C8114" s="687" t="s">
        <v>4416</v>
      </c>
      <c r="D8114" s="125"/>
    </row>
    <row r="8115">
      <c r="A8115" s="122" t="s">
        <v>1860</v>
      </c>
      <c r="B8115" s="123">
        <v>797542.0</v>
      </c>
      <c r="C8115" s="687" t="s">
        <v>1861</v>
      </c>
      <c r="D8115" s="125"/>
    </row>
    <row r="8116">
      <c r="A8116" s="122" t="s">
        <v>5306</v>
      </c>
      <c r="B8116" s="123">
        <v>1827087.0</v>
      </c>
      <c r="C8116" s="687" t="s">
        <v>5307</v>
      </c>
      <c r="D8116" s="125"/>
    </row>
    <row r="8117">
      <c r="A8117" s="122" t="s">
        <v>12009</v>
      </c>
      <c r="B8117" s="123">
        <v>1607678.0</v>
      </c>
      <c r="C8117" s="687" t="s">
        <v>12010</v>
      </c>
      <c r="D8117" s="125"/>
    </row>
    <row r="8118">
      <c r="A8118" s="122" t="s">
        <v>13721</v>
      </c>
      <c r="B8118" s="123">
        <v>1290476.0</v>
      </c>
      <c r="C8118" s="687" t="s">
        <v>13722</v>
      </c>
      <c r="D8118" s="125"/>
    </row>
    <row r="8119">
      <c r="A8119" s="122" t="s">
        <v>3566</v>
      </c>
      <c r="B8119" s="123">
        <v>1584549.0</v>
      </c>
      <c r="C8119" s="687" t="s">
        <v>3567</v>
      </c>
      <c r="D8119" s="125"/>
    </row>
    <row r="8120">
      <c r="A8120" s="122" t="s">
        <v>12375</v>
      </c>
      <c r="B8120" s="123">
        <v>103595.0</v>
      </c>
      <c r="C8120" s="687" t="s">
        <v>12376</v>
      </c>
      <c r="D8120" s="125"/>
    </row>
    <row r="8121">
      <c r="A8121" s="122" t="s">
        <v>6089</v>
      </c>
      <c r="B8121" s="123">
        <v>1837686.0</v>
      </c>
      <c r="C8121" s="687" t="s">
        <v>6090</v>
      </c>
      <c r="D8121" s="125"/>
    </row>
    <row r="8122">
      <c r="A8122" s="122" t="s">
        <v>5776</v>
      </c>
      <c r="B8122" s="123">
        <v>1579157.0</v>
      </c>
      <c r="C8122" s="687" t="s">
        <v>5777</v>
      </c>
      <c r="D8122" s="125"/>
    </row>
    <row r="8123">
      <c r="A8123" s="122" t="s">
        <v>4088</v>
      </c>
      <c r="B8123" s="123">
        <v>1796129.0</v>
      </c>
      <c r="C8123" s="687" t="s">
        <v>4089</v>
      </c>
      <c r="D8123" s="125"/>
    </row>
    <row r="8124">
      <c r="A8124" s="122" t="s">
        <v>8556</v>
      </c>
      <c r="B8124" s="123">
        <v>1826286.0</v>
      </c>
      <c r="C8124" s="687" t="s">
        <v>8557</v>
      </c>
      <c r="D8124" s="125"/>
    </row>
    <row r="8125">
      <c r="A8125" s="122" t="s">
        <v>450</v>
      </c>
      <c r="B8125" s="123">
        <v>1717556.0</v>
      </c>
      <c r="C8125" s="687" t="s">
        <v>451</v>
      </c>
      <c r="D8125" s="125"/>
    </row>
    <row r="8126">
      <c r="A8126" s="122" t="s">
        <v>701</v>
      </c>
      <c r="B8126" s="123">
        <v>1834045.0</v>
      </c>
      <c r="C8126" s="687" t="s">
        <v>702</v>
      </c>
      <c r="D8126" s="125"/>
    </row>
    <row r="8127">
      <c r="A8127" s="122" t="s">
        <v>2949</v>
      </c>
      <c r="B8127" s="123">
        <v>1834045.0</v>
      </c>
      <c r="C8127" s="687" t="s">
        <v>2950</v>
      </c>
      <c r="D8127" s="125"/>
    </row>
    <row r="8128">
      <c r="A8128" s="122" t="s">
        <v>3530</v>
      </c>
      <c r="B8128" s="123">
        <v>1742770.0</v>
      </c>
      <c r="C8128" s="687" t="s">
        <v>3531</v>
      </c>
      <c r="D8128" s="125"/>
    </row>
    <row r="8129">
      <c r="A8129" s="122" t="s">
        <v>12911</v>
      </c>
      <c r="B8129" s="123">
        <v>1602065.0</v>
      </c>
      <c r="C8129" s="687" t="s">
        <v>12912</v>
      </c>
      <c r="D8129" s="125"/>
    </row>
    <row r="8130">
      <c r="A8130" s="122" t="s">
        <v>34254</v>
      </c>
      <c r="B8130" s="123">
        <v>1133192.0</v>
      </c>
      <c r="C8130" s="687" t="s">
        <v>34255</v>
      </c>
      <c r="D8130" s="125"/>
    </row>
    <row r="8131">
      <c r="A8131" s="122" t="s">
        <v>10649</v>
      </c>
      <c r="B8131" s="123">
        <v>1529192.0</v>
      </c>
      <c r="C8131" s="687" t="s">
        <v>10650</v>
      </c>
      <c r="D8131" s="125"/>
    </row>
    <row r="8132">
      <c r="A8132" s="122" t="s">
        <v>2349</v>
      </c>
      <c r="B8132" s="123">
        <v>1777765.0</v>
      </c>
      <c r="C8132" s="687" t="s">
        <v>2350</v>
      </c>
      <c r="D8132" s="125"/>
    </row>
    <row r="8133">
      <c r="A8133" s="122" t="s">
        <v>7892</v>
      </c>
      <c r="B8133" s="123">
        <v>1706431.0</v>
      </c>
      <c r="C8133" s="687" t="s">
        <v>7893</v>
      </c>
      <c r="D8133" s="125"/>
    </row>
    <row r="8134">
      <c r="A8134" s="122" t="s">
        <v>3245</v>
      </c>
      <c r="B8134" s="123">
        <v>1061027.0</v>
      </c>
      <c r="C8134" s="687" t="s">
        <v>3246</v>
      </c>
      <c r="D8134" s="125"/>
    </row>
    <row r="8135">
      <c r="A8135" s="122" t="s">
        <v>3484</v>
      </c>
      <c r="B8135" s="123">
        <v>1885827.0</v>
      </c>
      <c r="C8135" s="687" t="s">
        <v>3485</v>
      </c>
      <c r="D8135" s="125"/>
    </row>
    <row r="8136">
      <c r="A8136" s="122" t="s">
        <v>9545</v>
      </c>
      <c r="B8136" s="123">
        <v>751365.0</v>
      </c>
      <c r="C8136" s="687" t="s">
        <v>9546</v>
      </c>
      <c r="D8136" s="125"/>
    </row>
    <row r="8137">
      <c r="A8137" s="122" t="s">
        <v>34256</v>
      </c>
      <c r="B8137" s="123">
        <v>1591615.0</v>
      </c>
      <c r="C8137" s="687" t="s">
        <v>34257</v>
      </c>
      <c r="D8137" s="125"/>
    </row>
    <row r="8138">
      <c r="A8138" s="122" t="s">
        <v>4615</v>
      </c>
      <c r="B8138" s="123">
        <v>1706946.0</v>
      </c>
      <c r="C8138" s="687" t="s">
        <v>4616</v>
      </c>
      <c r="D8138" s="125"/>
    </row>
    <row r="8139">
      <c r="A8139" s="122" t="s">
        <v>12930</v>
      </c>
      <c r="B8139" s="123">
        <v>1572334.0</v>
      </c>
      <c r="C8139" s="687" t="s">
        <v>12931</v>
      </c>
      <c r="D8139" s="125"/>
    </row>
    <row r="8140">
      <c r="A8140" s="122" t="s">
        <v>11181</v>
      </c>
      <c r="B8140" s="123">
        <v>1590750.0</v>
      </c>
      <c r="C8140" s="687" t="s">
        <v>11182</v>
      </c>
      <c r="D8140" s="125"/>
    </row>
    <row r="8141">
      <c r="A8141" s="122" t="s">
        <v>2805</v>
      </c>
      <c r="B8141" s="123">
        <v>1818844.0</v>
      </c>
      <c r="C8141" s="687" t="s">
        <v>2806</v>
      </c>
      <c r="D8141" s="125"/>
    </row>
    <row r="8142">
      <c r="A8142" s="122" t="s">
        <v>7528</v>
      </c>
      <c r="B8142" s="123">
        <v>1082324.0</v>
      </c>
      <c r="C8142" s="687" t="s">
        <v>7529</v>
      </c>
      <c r="D8142" s="125"/>
    </row>
    <row r="8143">
      <c r="A8143" s="122" t="s">
        <v>2673</v>
      </c>
      <c r="B8143" s="123">
        <v>1708331.0</v>
      </c>
      <c r="C8143" s="687" t="s">
        <v>2674</v>
      </c>
      <c r="D8143" s="125"/>
    </row>
    <row r="8144">
      <c r="A8144" s="122" t="s">
        <v>8649</v>
      </c>
      <c r="B8144" s="123">
        <v>1085243.0</v>
      </c>
      <c r="C8144" s="687" t="s">
        <v>8650</v>
      </c>
      <c r="D8144" s="125"/>
    </row>
    <row r="8145">
      <c r="A8145" s="122" t="s">
        <v>10820</v>
      </c>
      <c r="B8145" s="123">
        <v>1592386.0</v>
      </c>
      <c r="C8145" s="687" t="s">
        <v>10821</v>
      </c>
      <c r="D8145" s="125"/>
    </row>
    <row r="8146">
      <c r="A8146" s="122" t="s">
        <v>2586</v>
      </c>
      <c r="B8146" s="123">
        <v>1536089.0</v>
      </c>
      <c r="C8146" s="687" t="s">
        <v>2587</v>
      </c>
      <c r="D8146" s="125"/>
    </row>
    <row r="8147">
      <c r="A8147" s="122" t="s">
        <v>11226</v>
      </c>
      <c r="B8147" s="123">
        <v>1778114.0</v>
      </c>
      <c r="C8147" s="687" t="s">
        <v>11227</v>
      </c>
      <c r="D8147" s="125"/>
    </row>
    <row r="8148">
      <c r="A8148" s="122" t="s">
        <v>5715</v>
      </c>
      <c r="B8148" s="123">
        <v>1214935.0</v>
      </c>
      <c r="C8148" s="687" t="s">
        <v>5716</v>
      </c>
      <c r="D8148" s="125"/>
    </row>
    <row r="8149">
      <c r="A8149" s="122" t="s">
        <v>5443</v>
      </c>
      <c r="B8149" s="123">
        <v>1227857.0</v>
      </c>
      <c r="C8149" s="687" t="s">
        <v>5444</v>
      </c>
      <c r="D8149" s="125"/>
    </row>
    <row r="8150">
      <c r="A8150" s="122" t="s">
        <v>7914</v>
      </c>
      <c r="B8150" s="123">
        <v>1701809.0</v>
      </c>
      <c r="C8150" s="687" t="s">
        <v>7915</v>
      </c>
      <c r="D8150" s="125"/>
    </row>
    <row r="8151">
      <c r="A8151" s="122" t="s">
        <v>11845</v>
      </c>
      <c r="B8151" s="123">
        <v>1636289.0</v>
      </c>
      <c r="C8151" s="687" t="s">
        <v>11846</v>
      </c>
      <c r="D8151" s="125"/>
    </row>
    <row r="8152">
      <c r="A8152" s="122" t="s">
        <v>9688</v>
      </c>
      <c r="B8152" s="123">
        <v>1260563.0</v>
      </c>
      <c r="C8152" s="687" t="s">
        <v>9689</v>
      </c>
      <c r="D8152" s="125"/>
    </row>
    <row r="8153">
      <c r="A8153" s="122" t="s">
        <v>11691</v>
      </c>
      <c r="B8153" s="123">
        <v>1383441.0</v>
      </c>
      <c r="C8153" s="687" t="s">
        <v>11692</v>
      </c>
      <c r="D8153" s="125"/>
    </row>
    <row r="8154">
      <c r="A8154" s="122" t="s">
        <v>7575</v>
      </c>
      <c r="B8154" s="123">
        <v>1528811.0</v>
      </c>
      <c r="C8154" s="687" t="s">
        <v>7576</v>
      </c>
      <c r="D8154" s="125"/>
    </row>
    <row r="8155">
      <c r="A8155" s="122" t="s">
        <v>16260</v>
      </c>
      <c r="B8155" s="123">
        <v>883237.0</v>
      </c>
      <c r="C8155" s="687" t="s">
        <v>16261</v>
      </c>
      <c r="D8155" s="125"/>
    </row>
    <row r="8156">
      <c r="A8156" s="122" t="s">
        <v>6253</v>
      </c>
      <c r="B8156" s="123">
        <v>1501103.0</v>
      </c>
      <c r="C8156" s="687" t="s">
        <v>6254</v>
      </c>
      <c r="D8156" s="125"/>
    </row>
    <row r="8157">
      <c r="A8157" s="122" t="s">
        <v>16385</v>
      </c>
      <c r="B8157" s="123">
        <v>1403161.0</v>
      </c>
      <c r="C8157" s="687" t="s">
        <v>16386</v>
      </c>
      <c r="D8157" s="125"/>
    </row>
    <row r="8158">
      <c r="A8158" s="122" t="s">
        <v>11747</v>
      </c>
      <c r="B8158" s="123">
        <v>103730.0</v>
      </c>
      <c r="C8158" s="687" t="s">
        <v>11748</v>
      </c>
      <c r="D8158" s="125"/>
    </row>
    <row r="8159">
      <c r="A8159" s="122" t="s">
        <v>12969</v>
      </c>
      <c r="B8159" s="123">
        <v>1487952.0</v>
      </c>
      <c r="C8159" s="687" t="s">
        <v>12970</v>
      </c>
      <c r="D8159" s="125"/>
    </row>
    <row r="8160">
      <c r="A8160" s="122" t="s">
        <v>1779</v>
      </c>
      <c r="B8160" s="123">
        <v>1627041.0</v>
      </c>
      <c r="C8160" s="687" t="s">
        <v>1780</v>
      </c>
      <c r="D8160" s="125"/>
    </row>
    <row r="8161">
      <c r="A8161" s="122" t="s">
        <v>3456</v>
      </c>
      <c r="B8161" s="123">
        <v>1813783.0</v>
      </c>
      <c r="C8161" s="687" t="s">
        <v>3457</v>
      </c>
      <c r="D8161" s="125"/>
    </row>
    <row r="8162">
      <c r="A8162" s="122" t="s">
        <v>1151</v>
      </c>
      <c r="B8162" s="123">
        <v>1883983.0</v>
      </c>
      <c r="C8162" s="687" t="s">
        <v>1152</v>
      </c>
      <c r="D8162" s="125"/>
    </row>
    <row r="8163">
      <c r="A8163" s="122" t="s">
        <v>9212</v>
      </c>
      <c r="B8163" s="123">
        <v>1883983.0</v>
      </c>
      <c r="C8163" s="687" t="s">
        <v>9213</v>
      </c>
      <c r="D8163" s="125"/>
    </row>
    <row r="8164">
      <c r="A8164" s="122" t="s">
        <v>9495</v>
      </c>
      <c r="B8164" s="123">
        <v>1883983.0</v>
      </c>
      <c r="C8164" s="687" t="s">
        <v>9496</v>
      </c>
      <c r="D8164" s="125"/>
    </row>
    <row r="8165">
      <c r="A8165" s="122" t="s">
        <v>563</v>
      </c>
      <c r="B8165" s="123">
        <v>1082733.0</v>
      </c>
      <c r="C8165" s="687" t="s">
        <v>564</v>
      </c>
      <c r="D8165" s="125"/>
    </row>
    <row r="8166">
      <c r="A8166" s="122" t="s">
        <v>5652</v>
      </c>
      <c r="B8166" s="123">
        <v>1565228.0</v>
      </c>
      <c r="C8166" s="687" t="s">
        <v>5653</v>
      </c>
      <c r="D8166" s="125"/>
    </row>
    <row r="8167">
      <c r="A8167" s="122" t="s">
        <v>12799</v>
      </c>
      <c r="B8167" s="123">
        <v>1762506.0</v>
      </c>
      <c r="C8167" s="687" t="s">
        <v>12800</v>
      </c>
      <c r="D8167" s="125"/>
    </row>
    <row r="8168">
      <c r="A8168" s="122" t="s">
        <v>13003</v>
      </c>
      <c r="B8168" s="123">
        <v>1762506.0</v>
      </c>
      <c r="C8168" s="687" t="s">
        <v>13004</v>
      </c>
      <c r="D8168" s="125"/>
    </row>
    <row r="8169">
      <c r="A8169" s="122" t="s">
        <v>2745</v>
      </c>
      <c r="B8169" s="123">
        <v>783324.0</v>
      </c>
      <c r="C8169" s="687" t="s">
        <v>2746</v>
      </c>
      <c r="D8169" s="125"/>
    </row>
    <row r="8170">
      <c r="A8170" s="122" t="s">
        <v>12828</v>
      </c>
      <c r="B8170" s="123">
        <v>1616318.0</v>
      </c>
      <c r="C8170" s="687" t="s">
        <v>12829</v>
      </c>
      <c r="D8170" s="125"/>
    </row>
    <row r="8171">
      <c r="A8171" s="122" t="s">
        <v>6456</v>
      </c>
      <c r="B8171" s="123">
        <v>1411685.0</v>
      </c>
      <c r="C8171" s="687" t="s">
        <v>6457</v>
      </c>
      <c r="D8171" s="125"/>
    </row>
    <row r="8172">
      <c r="A8172" s="122" t="s">
        <v>15606</v>
      </c>
      <c r="B8172" s="123">
        <v>1111335.0</v>
      </c>
      <c r="C8172" s="687" t="s">
        <v>15607</v>
      </c>
      <c r="D8172" s="125"/>
    </row>
    <row r="8173">
      <c r="A8173" s="122" t="s">
        <v>13812</v>
      </c>
      <c r="B8173" s="123">
        <v>1692819.0</v>
      </c>
      <c r="C8173" s="687" t="s">
        <v>13813</v>
      </c>
      <c r="D8173" s="125"/>
    </row>
    <row r="8174">
      <c r="A8174" s="122" t="s">
        <v>11408</v>
      </c>
      <c r="B8174" s="123">
        <v>1482981.0</v>
      </c>
      <c r="C8174" s="687" t="s">
        <v>11409</v>
      </c>
      <c r="D8174" s="125"/>
    </row>
    <row r="8175">
      <c r="A8175" s="122" t="s">
        <v>10368</v>
      </c>
      <c r="B8175" s="123">
        <v>1579733.0</v>
      </c>
      <c r="C8175" s="687" t="s">
        <v>10369</v>
      </c>
      <c r="D8175" s="125"/>
    </row>
    <row r="8176">
      <c r="A8176" s="122" t="s">
        <v>10424</v>
      </c>
      <c r="B8176" s="123">
        <v>1697884.0</v>
      </c>
      <c r="C8176" s="687" t="s">
        <v>10425</v>
      </c>
      <c r="D8176" s="125"/>
    </row>
    <row r="8177">
      <c r="A8177" s="122" t="s">
        <v>10938</v>
      </c>
      <c r="B8177" s="123">
        <v>1880866.0</v>
      </c>
      <c r="C8177" s="687" t="s">
        <v>10939</v>
      </c>
      <c r="D8177" s="125"/>
    </row>
    <row r="8178">
      <c r="A8178" s="122" t="s">
        <v>15067</v>
      </c>
      <c r="B8178" s="123">
        <v>1880866.0</v>
      </c>
      <c r="C8178" s="687" t="s">
        <v>15068</v>
      </c>
      <c r="D8178" s="125"/>
    </row>
    <row r="8179">
      <c r="A8179" s="122" t="s">
        <v>10336</v>
      </c>
      <c r="B8179" s="123">
        <v>1805012.0</v>
      </c>
      <c r="C8179" s="687" t="s">
        <v>10337</v>
      </c>
      <c r="D8179" s="125"/>
    </row>
    <row r="8180">
      <c r="A8180" s="122" t="s">
        <v>34258</v>
      </c>
      <c r="B8180" s="123">
        <v>1479000.0</v>
      </c>
      <c r="C8180" s="687" t="s">
        <v>34259</v>
      </c>
      <c r="D8180" s="125"/>
    </row>
    <row r="8181">
      <c r="A8181" s="122" t="s">
        <v>1755</v>
      </c>
      <c r="B8181" s="123">
        <v>1723047.0</v>
      </c>
      <c r="C8181" s="687" t="s">
        <v>1756</v>
      </c>
      <c r="D8181" s="125"/>
    </row>
    <row r="8182">
      <c r="A8182" s="122" t="s">
        <v>3729</v>
      </c>
      <c r="B8182" s="123">
        <v>1450704.0</v>
      </c>
      <c r="C8182" s="687" t="s">
        <v>3730</v>
      </c>
      <c r="D8182" s="125"/>
    </row>
    <row r="8183">
      <c r="A8183" s="122" t="s">
        <v>1153</v>
      </c>
      <c r="B8183" s="123">
        <v>1266806.0</v>
      </c>
      <c r="C8183" s="687" t="s">
        <v>1154</v>
      </c>
      <c r="D8183" s="125"/>
    </row>
    <row r="8184">
      <c r="A8184" s="122" t="s">
        <v>3853</v>
      </c>
      <c r="B8184" s="123">
        <v>1266806.0</v>
      </c>
      <c r="C8184" s="687" t="s">
        <v>3854</v>
      </c>
      <c r="D8184" s="125"/>
    </row>
    <row r="8185">
      <c r="A8185" s="122" t="s">
        <v>9246</v>
      </c>
      <c r="B8185" s="123">
        <v>1127055.0</v>
      </c>
      <c r="C8185" s="687" t="s">
        <v>9175</v>
      </c>
      <c r="D8185" s="125"/>
    </row>
    <row r="8186">
      <c r="A8186" s="122" t="s">
        <v>9174</v>
      </c>
      <c r="B8186" s="123">
        <v>1127055.0</v>
      </c>
      <c r="C8186" s="687" t="s">
        <v>9175</v>
      </c>
      <c r="D8186" s="125"/>
    </row>
    <row r="8187">
      <c r="A8187" s="122" t="s">
        <v>9362</v>
      </c>
      <c r="B8187" s="123">
        <v>1823857.0</v>
      </c>
      <c r="C8187" s="687" t="s">
        <v>9363</v>
      </c>
      <c r="D8187" s="125"/>
    </row>
    <row r="8188">
      <c r="A8188" s="122" t="s">
        <v>1016</v>
      </c>
      <c r="B8188" s="123">
        <v>1607245.0</v>
      </c>
      <c r="C8188" s="687" t="s">
        <v>1017</v>
      </c>
      <c r="D8188" s="125"/>
    </row>
    <row r="8189">
      <c r="A8189" s="122" t="s">
        <v>34260</v>
      </c>
      <c r="B8189" s="123">
        <v>879682.0</v>
      </c>
      <c r="C8189" s="687" t="s">
        <v>34261</v>
      </c>
      <c r="D8189" s="125"/>
    </row>
    <row r="8190">
      <c r="A8190" s="122" t="s">
        <v>3429</v>
      </c>
      <c r="B8190" s="123">
        <v>1703073.0</v>
      </c>
      <c r="C8190" s="687" t="s">
        <v>3430</v>
      </c>
      <c r="D8190" s="125"/>
    </row>
    <row r="8191">
      <c r="A8191" s="122" t="s">
        <v>3502</v>
      </c>
      <c r="B8191" s="123">
        <v>1856031.0</v>
      </c>
      <c r="C8191" s="687" t="s">
        <v>3503</v>
      </c>
      <c r="D8191" s="125"/>
    </row>
    <row r="8192">
      <c r="A8192" s="122" t="s">
        <v>6878</v>
      </c>
      <c r="B8192" s="123">
        <v>1856031.0</v>
      </c>
      <c r="C8192" s="687" t="s">
        <v>6879</v>
      </c>
      <c r="D8192" s="125"/>
    </row>
    <row r="8193">
      <c r="A8193" s="122" t="s">
        <v>1531</v>
      </c>
      <c r="B8193" s="123">
        <v>1449349.0</v>
      </c>
      <c r="C8193" s="687" t="s">
        <v>1532</v>
      </c>
      <c r="D8193" s="125"/>
    </row>
    <row r="8194">
      <c r="A8194" s="122" t="s">
        <v>7073</v>
      </c>
      <c r="B8194" s="123">
        <v>1716166.0</v>
      </c>
      <c r="C8194" s="687" t="s">
        <v>7074</v>
      </c>
      <c r="D8194" s="125"/>
    </row>
    <row r="8195">
      <c r="A8195" s="122" t="s">
        <v>34262</v>
      </c>
      <c r="B8195" s="123">
        <v>1506295.0</v>
      </c>
      <c r="C8195" s="687" t="s">
        <v>34263</v>
      </c>
      <c r="D8195" s="125"/>
    </row>
    <row r="8196">
      <c r="A8196" s="122" t="s">
        <v>7388</v>
      </c>
      <c r="B8196" s="123">
        <v>1835591.0</v>
      </c>
      <c r="C8196" s="687" t="s">
        <v>7389</v>
      </c>
      <c r="D8196" s="125"/>
    </row>
    <row r="8197">
      <c r="A8197" s="122" t="s">
        <v>4395</v>
      </c>
      <c r="B8197" s="123">
        <v>1796073.0</v>
      </c>
      <c r="C8197" s="687" t="s">
        <v>4396</v>
      </c>
      <c r="D8197" s="125"/>
    </row>
    <row r="8198">
      <c r="A8198" s="122" t="s">
        <v>34264</v>
      </c>
      <c r="B8198" s="123">
        <v>1124610.0</v>
      </c>
      <c r="C8198" s="687" t="s">
        <v>34265</v>
      </c>
      <c r="D8198" s="125"/>
    </row>
    <row r="8199">
      <c r="A8199" s="122" t="s">
        <v>4389</v>
      </c>
      <c r="B8199" s="123">
        <v>1508475.0</v>
      </c>
      <c r="C8199" s="687" t="s">
        <v>4390</v>
      </c>
      <c r="D8199" s="125"/>
    </row>
    <row r="8200">
      <c r="A8200" s="122" t="s">
        <v>34266</v>
      </c>
      <c r="B8200" s="123">
        <v>1376804.0</v>
      </c>
      <c r="C8200" s="687" t="s">
        <v>34267</v>
      </c>
      <c r="D8200" s="125"/>
    </row>
    <row r="8201">
      <c r="A8201" s="122" t="s">
        <v>3087</v>
      </c>
      <c r="B8201" s="123">
        <v>1505413.0</v>
      </c>
      <c r="C8201" s="687" t="s">
        <v>3088</v>
      </c>
      <c r="D8201" s="125"/>
    </row>
    <row r="8202">
      <c r="A8202" s="122" t="s">
        <v>7918</v>
      </c>
      <c r="B8202" s="123">
        <v>839923.0</v>
      </c>
      <c r="C8202" s="687" t="s">
        <v>7919</v>
      </c>
      <c r="D8202" s="125"/>
    </row>
    <row r="8203">
      <c r="A8203" s="122" t="s">
        <v>3552</v>
      </c>
      <c r="B8203" s="123">
        <v>839923.0</v>
      </c>
      <c r="C8203" s="687" t="s">
        <v>3553</v>
      </c>
      <c r="D8203" s="125"/>
    </row>
    <row r="8204">
      <c r="A8204" s="122" t="s">
        <v>6934</v>
      </c>
      <c r="B8204" s="123">
        <v>1378984.0</v>
      </c>
      <c r="C8204" s="687" t="s">
        <v>6935</v>
      </c>
      <c r="D8204" s="125"/>
    </row>
    <row r="8205">
      <c r="A8205" s="122" t="s">
        <v>12781</v>
      </c>
      <c r="B8205" s="123">
        <v>1378984.0</v>
      </c>
      <c r="C8205" s="687" t="s">
        <v>12782</v>
      </c>
      <c r="D8205" s="125"/>
    </row>
    <row r="8206">
      <c r="A8206" s="122" t="s">
        <v>958</v>
      </c>
      <c r="B8206" s="123">
        <v>1410738.0</v>
      </c>
      <c r="C8206" s="687" t="s">
        <v>959</v>
      </c>
      <c r="D8206" s="125"/>
    </row>
    <row r="8207">
      <c r="A8207" s="122" t="s">
        <v>1721</v>
      </c>
      <c r="B8207" s="123">
        <v>1829794.0</v>
      </c>
      <c r="C8207" s="687" t="s">
        <v>1722</v>
      </c>
      <c r="D8207" s="125"/>
    </row>
    <row r="8208">
      <c r="A8208" s="122" t="s">
        <v>3923</v>
      </c>
      <c r="B8208" s="123">
        <v>93314.0</v>
      </c>
      <c r="C8208" s="687" t="s">
        <v>3924</v>
      </c>
      <c r="D8208" s="125"/>
    </row>
    <row r="8209">
      <c r="A8209" s="122" t="s">
        <v>1729</v>
      </c>
      <c r="B8209" s="123">
        <v>1819584.0</v>
      </c>
      <c r="C8209" s="687" t="s">
        <v>1730</v>
      </c>
      <c r="D8209" s="125"/>
    </row>
    <row r="8210">
      <c r="A8210" s="122" t="s">
        <v>13316</v>
      </c>
      <c r="B8210" s="123">
        <v>1786842.0</v>
      </c>
      <c r="C8210" s="687" t="s">
        <v>13317</v>
      </c>
      <c r="D8210" s="125"/>
    </row>
    <row r="8211">
      <c r="A8211" s="122" t="s">
        <v>4999</v>
      </c>
      <c r="B8211" s="123">
        <v>1817229.0</v>
      </c>
      <c r="C8211" s="687" t="s">
        <v>5000</v>
      </c>
      <c r="D8211" s="125"/>
    </row>
    <row r="8212">
      <c r="A8212" s="122" t="s">
        <v>14190</v>
      </c>
      <c r="B8212" s="123">
        <v>899689.0</v>
      </c>
      <c r="C8212" s="687" t="s">
        <v>14191</v>
      </c>
      <c r="D8212" s="125"/>
    </row>
    <row r="8213">
      <c r="A8213" s="122" t="s">
        <v>12457</v>
      </c>
      <c r="B8213" s="123">
        <v>899689.0</v>
      </c>
      <c r="C8213" s="687" t="s">
        <v>12458</v>
      </c>
      <c r="D8213" s="125"/>
    </row>
    <row r="8214">
      <c r="A8214" s="122" t="s">
        <v>34268</v>
      </c>
      <c r="B8214" s="123">
        <v>1373467.0</v>
      </c>
      <c r="C8214" s="687" t="s">
        <v>34269</v>
      </c>
      <c r="D8214" s="125"/>
    </row>
    <row r="8215">
      <c r="A8215" s="122" t="s">
        <v>4717</v>
      </c>
      <c r="B8215" s="123">
        <v>1907909.0</v>
      </c>
      <c r="C8215" s="687" t="s">
        <v>4718</v>
      </c>
      <c r="D8215" s="125"/>
    </row>
    <row r="8216">
      <c r="A8216" s="122" t="s">
        <v>3841</v>
      </c>
      <c r="B8216" s="123">
        <v>1582581.0</v>
      </c>
      <c r="C8216" s="687" t="s">
        <v>3842</v>
      </c>
      <c r="D8216" s="125"/>
    </row>
    <row r="8217">
      <c r="A8217" s="122" t="s">
        <v>7739</v>
      </c>
      <c r="B8217" s="123">
        <v>807707.0</v>
      </c>
      <c r="C8217" s="687" t="s">
        <v>7740</v>
      </c>
      <c r="D8217" s="125"/>
    </row>
    <row r="8218">
      <c r="A8218" s="122" t="s">
        <v>6906</v>
      </c>
      <c r="B8218" s="123">
        <v>1385632.0</v>
      </c>
      <c r="C8218" s="687" t="s">
        <v>6907</v>
      </c>
      <c r="D8218" s="125"/>
    </row>
    <row r="8219">
      <c r="A8219" s="122" t="s">
        <v>6569</v>
      </c>
      <c r="B8219" s="123">
        <v>1496292.0</v>
      </c>
      <c r="C8219" s="687" t="s">
        <v>6570</v>
      </c>
      <c r="D8219" s="125"/>
    </row>
    <row r="8220">
      <c r="A8220" s="122" t="s">
        <v>14812</v>
      </c>
      <c r="B8220" s="123">
        <v>1535929.0</v>
      </c>
      <c r="C8220" s="687" t="s">
        <v>14813</v>
      </c>
      <c r="D8220" s="125"/>
    </row>
    <row r="8221">
      <c r="A8221" s="122" t="s">
        <v>7856</v>
      </c>
      <c r="B8221" s="123">
        <v>1332943.0</v>
      </c>
      <c r="C8221" s="687" t="s">
        <v>7857</v>
      </c>
      <c r="D8221" s="125"/>
    </row>
    <row r="8222">
      <c r="A8222" s="122" t="s">
        <v>6583</v>
      </c>
      <c r="B8222" s="123">
        <v>1285890.0</v>
      </c>
      <c r="C8222" s="687" t="s">
        <v>6584</v>
      </c>
      <c r="D8222" s="125"/>
    </row>
    <row r="8223">
      <c r="A8223" s="122" t="s">
        <v>8304</v>
      </c>
      <c r="B8223" s="123">
        <v>1417802.0</v>
      </c>
      <c r="C8223" s="687" t="s">
        <v>8305</v>
      </c>
      <c r="D8223" s="125"/>
    </row>
    <row r="8224">
      <c r="A8224" s="122" t="s">
        <v>7473</v>
      </c>
      <c r="B8224" s="123">
        <v>1640266.0</v>
      </c>
      <c r="C8224" s="687" t="s">
        <v>7474</v>
      </c>
      <c r="D8224" s="125"/>
    </row>
    <row r="8225">
      <c r="A8225" s="122" t="s">
        <v>2141</v>
      </c>
      <c r="B8225" s="123">
        <v>1376231.0</v>
      </c>
      <c r="C8225" s="687" t="s">
        <v>2142</v>
      </c>
      <c r="D8225" s="125"/>
    </row>
    <row r="8226">
      <c r="A8226" s="122" t="s">
        <v>2399</v>
      </c>
      <c r="B8226" s="123">
        <v>1580864.0</v>
      </c>
      <c r="C8226" s="687" t="s">
        <v>2400</v>
      </c>
      <c r="D8226" s="125"/>
    </row>
    <row r="8227">
      <c r="A8227" s="122" t="s">
        <v>14460</v>
      </c>
      <c r="B8227" s="123">
        <v>102752.0</v>
      </c>
      <c r="C8227" s="687" t="s">
        <v>14461</v>
      </c>
      <c r="D8227" s="125"/>
    </row>
    <row r="8228">
      <c r="A8228" s="122" t="s">
        <v>7687</v>
      </c>
      <c r="B8228" s="123">
        <v>1793663.0</v>
      </c>
      <c r="C8228" s="687" t="s">
        <v>7688</v>
      </c>
      <c r="D8228" s="125"/>
    </row>
    <row r="8229">
      <c r="A8229" s="122" t="s">
        <v>7846</v>
      </c>
      <c r="B8229" s="123">
        <v>1641489.0</v>
      </c>
      <c r="C8229" s="687" t="s">
        <v>7847</v>
      </c>
      <c r="D8229" s="125"/>
    </row>
    <row r="8230">
      <c r="A8230" s="122" t="s">
        <v>16276</v>
      </c>
      <c r="B8230" s="123">
        <v>1396009.0</v>
      </c>
      <c r="C8230" s="687" t="s">
        <v>16277</v>
      </c>
      <c r="D8230" s="125"/>
    </row>
    <row r="8231">
      <c r="A8231" s="122" t="s">
        <v>4559</v>
      </c>
      <c r="B8231" s="123">
        <v>1463972.0</v>
      </c>
      <c r="C8231" s="687" t="s">
        <v>4560</v>
      </c>
      <c r="D8231" s="125"/>
    </row>
    <row r="8232">
      <c r="A8232" s="122" t="s">
        <v>10711</v>
      </c>
      <c r="B8232" s="123">
        <v>1913838.0</v>
      </c>
      <c r="C8232" s="687" t="s">
        <v>10712</v>
      </c>
      <c r="D8232" s="125"/>
    </row>
    <row r="8233">
      <c r="A8233" s="122" t="s">
        <v>1727</v>
      </c>
      <c r="B8233" s="123">
        <v>1424768.0</v>
      </c>
      <c r="C8233" s="687" t="s">
        <v>1728</v>
      </c>
      <c r="D8233" s="125"/>
    </row>
    <row r="8234">
      <c r="A8234" s="122" t="s">
        <v>4752</v>
      </c>
      <c r="B8234" s="123">
        <v>1566044.0</v>
      </c>
      <c r="C8234" s="687" t="s">
        <v>4753</v>
      </c>
      <c r="D8234" s="125"/>
    </row>
    <row r="8235">
      <c r="A8235" s="122" t="s">
        <v>1213</v>
      </c>
      <c r="B8235" s="123">
        <v>1745078.0</v>
      </c>
      <c r="C8235" s="687" t="s">
        <v>1214</v>
      </c>
      <c r="D8235" s="125"/>
    </row>
    <row r="8236">
      <c r="A8236" s="122" t="s">
        <v>1215</v>
      </c>
      <c r="B8236" s="123">
        <v>1308027.0</v>
      </c>
      <c r="C8236" s="687" t="s">
        <v>1216</v>
      </c>
      <c r="D8236" s="125"/>
    </row>
    <row r="8237">
      <c r="A8237" s="122" t="s">
        <v>15024</v>
      </c>
      <c r="B8237" s="123">
        <v>11544.0</v>
      </c>
      <c r="C8237" s="687" t="s">
        <v>15025</v>
      </c>
      <c r="D8237" s="125"/>
    </row>
    <row r="8238">
      <c r="A8238" s="122" t="s">
        <v>9882</v>
      </c>
      <c r="B8238" s="123">
        <v>910679.0</v>
      </c>
      <c r="C8238" s="687" t="s">
        <v>9883</v>
      </c>
      <c r="D8238" s="125"/>
    </row>
    <row r="8239">
      <c r="A8239" s="122" t="s">
        <v>34270</v>
      </c>
      <c r="B8239" s="123">
        <v>1368275.0</v>
      </c>
      <c r="C8239" s="687" t="s">
        <v>34271</v>
      </c>
      <c r="D8239" s="125"/>
    </row>
    <row r="8240">
      <c r="A8240" s="122" t="s">
        <v>5382</v>
      </c>
      <c r="B8240" s="123">
        <v>1288403.0</v>
      </c>
      <c r="C8240" s="687" t="s">
        <v>5383</v>
      </c>
      <c r="D8240" s="125"/>
    </row>
    <row r="8241">
      <c r="A8241" s="122" t="s">
        <v>12636</v>
      </c>
      <c r="B8241" s="123">
        <v>879526.0</v>
      </c>
      <c r="C8241" s="687" t="s">
        <v>12637</v>
      </c>
      <c r="D8241" s="125"/>
    </row>
    <row r="8242">
      <c r="A8242" s="122" t="s">
        <v>10784</v>
      </c>
      <c r="B8242" s="123">
        <v>936528.0</v>
      </c>
      <c r="C8242" s="687" t="s">
        <v>10785</v>
      </c>
      <c r="D8242" s="125"/>
    </row>
    <row r="8243">
      <c r="A8243" s="122" t="s">
        <v>12676</v>
      </c>
      <c r="B8243" s="123">
        <v>936528.0</v>
      </c>
      <c r="C8243" s="687" t="s">
        <v>12677</v>
      </c>
      <c r="D8243" s="125"/>
    </row>
    <row r="8244">
      <c r="A8244" s="122" t="s">
        <v>2004</v>
      </c>
      <c r="B8244" s="123">
        <v>1842356.0</v>
      </c>
      <c r="C8244" s="687" t="s">
        <v>2005</v>
      </c>
      <c r="D8244" s="125"/>
    </row>
    <row r="8245">
      <c r="A8245" s="122" t="s">
        <v>4823</v>
      </c>
      <c r="B8245" s="123">
        <v>1842356.0</v>
      </c>
      <c r="C8245" s="687" t="s">
        <v>4824</v>
      </c>
      <c r="D8245" s="125"/>
    </row>
    <row r="8246">
      <c r="A8246" s="122" t="s">
        <v>4852</v>
      </c>
      <c r="B8246" s="123">
        <v>1716770.0</v>
      </c>
      <c r="C8246" s="687" t="s">
        <v>4853</v>
      </c>
      <c r="D8246" s="125"/>
    </row>
    <row r="8247">
      <c r="A8247" s="122" t="s">
        <v>3329</v>
      </c>
      <c r="B8247" s="123">
        <v>1840199.0</v>
      </c>
      <c r="C8247" s="687" t="s">
        <v>3330</v>
      </c>
      <c r="D8247" s="125"/>
    </row>
    <row r="8248">
      <c r="A8248" s="122" t="s">
        <v>7283</v>
      </c>
      <c r="B8248" s="123">
        <v>1840199.0</v>
      </c>
      <c r="C8248" s="687" t="s">
        <v>7284</v>
      </c>
      <c r="D8248" s="125"/>
    </row>
    <row r="8249">
      <c r="A8249" s="122" t="s">
        <v>11897</v>
      </c>
      <c r="B8249" s="123">
        <v>1618921.0</v>
      </c>
      <c r="C8249" s="687" t="s">
        <v>11898</v>
      </c>
      <c r="D8249" s="125"/>
    </row>
    <row r="8250">
      <c r="A8250" s="122" t="s">
        <v>15297</v>
      </c>
      <c r="B8250" s="123">
        <v>1497770.0</v>
      </c>
      <c r="C8250" s="687" t="s">
        <v>15298</v>
      </c>
      <c r="D8250" s="125"/>
    </row>
    <row r="8251">
      <c r="A8251" s="122" t="s">
        <v>8518</v>
      </c>
      <c r="B8251" s="123">
        <v>1847584.0</v>
      </c>
      <c r="C8251" s="687" t="s">
        <v>8519</v>
      </c>
      <c r="D8251" s="125"/>
    </row>
    <row r="8252">
      <c r="A8252" s="122" t="s">
        <v>4295</v>
      </c>
      <c r="B8252" s="123">
        <v>1866501.0</v>
      </c>
      <c r="C8252" s="687" t="s">
        <v>4296</v>
      </c>
      <c r="D8252" s="125"/>
    </row>
    <row r="8253">
      <c r="A8253" s="122" t="s">
        <v>908</v>
      </c>
      <c r="B8253" s="123">
        <v>1555214.0</v>
      </c>
      <c r="C8253" s="687" t="s">
        <v>909</v>
      </c>
      <c r="D8253" s="125"/>
    </row>
    <row r="8254">
      <c r="A8254" s="122" t="s">
        <v>16002</v>
      </c>
      <c r="B8254" s="123">
        <v>104169.0</v>
      </c>
      <c r="C8254" s="687" t="s">
        <v>16003</v>
      </c>
      <c r="D8254" s="125"/>
    </row>
    <row r="8255">
      <c r="A8255" s="122" t="s">
        <v>15340</v>
      </c>
      <c r="B8255" s="123">
        <v>1744489.0</v>
      </c>
      <c r="C8255" s="687" t="s">
        <v>15341</v>
      </c>
      <c r="D8255" s="125"/>
    </row>
    <row r="8256">
      <c r="A8256" s="122" t="s">
        <v>3263</v>
      </c>
      <c r="B8256" s="123">
        <v>1899658.0</v>
      </c>
      <c r="C8256" s="687" t="s">
        <v>3264</v>
      </c>
      <c r="D8256" s="125"/>
    </row>
    <row r="8257">
      <c r="A8257" s="122" t="s">
        <v>10113</v>
      </c>
      <c r="B8257" s="123">
        <v>1504776.0</v>
      </c>
      <c r="C8257" s="687" t="s">
        <v>10114</v>
      </c>
      <c r="D8257" s="125"/>
    </row>
    <row r="8258">
      <c r="A8258" s="122" t="s">
        <v>8464</v>
      </c>
      <c r="B8258" s="123">
        <v>1437107.0</v>
      </c>
      <c r="C8258" s="687" t="s">
        <v>8465</v>
      </c>
      <c r="D8258" s="125"/>
    </row>
    <row r="8259">
      <c r="A8259" s="122" t="s">
        <v>13362</v>
      </c>
      <c r="B8259" s="123">
        <v>1319161.0</v>
      </c>
      <c r="C8259" s="687" t="s">
        <v>13363</v>
      </c>
      <c r="D8259" s="125"/>
    </row>
    <row r="8260">
      <c r="A8260" s="122" t="s">
        <v>1699</v>
      </c>
      <c r="B8260" s="123">
        <v>1842138.0</v>
      </c>
      <c r="C8260" s="687" t="s">
        <v>1700</v>
      </c>
      <c r="D8260" s="125"/>
    </row>
    <row r="8261">
      <c r="A8261" s="122" t="s">
        <v>2737</v>
      </c>
      <c r="B8261" s="123">
        <v>1900564.0</v>
      </c>
      <c r="C8261" s="687" t="s">
        <v>2738</v>
      </c>
      <c r="D8261" s="125"/>
    </row>
    <row r="8262">
      <c r="A8262" s="122" t="s">
        <v>14583</v>
      </c>
      <c r="B8262" s="123">
        <v>1691303.0</v>
      </c>
      <c r="C8262" s="687" t="s">
        <v>14584</v>
      </c>
      <c r="D8262" s="125"/>
    </row>
    <row r="8263">
      <c r="A8263" s="122" t="s">
        <v>12530</v>
      </c>
      <c r="B8263" s="123">
        <v>737468.0</v>
      </c>
      <c r="C8263" s="687" t="s">
        <v>12531</v>
      </c>
      <c r="D8263" s="125"/>
    </row>
    <row r="8264">
      <c r="A8264" s="122" t="s">
        <v>15939</v>
      </c>
      <c r="B8264" s="123">
        <v>1318220.0</v>
      </c>
      <c r="C8264" s="687" t="s">
        <v>15940</v>
      </c>
      <c r="D8264" s="125"/>
    </row>
    <row r="8265">
      <c r="A8265" s="122" t="s">
        <v>16103</v>
      </c>
      <c r="B8265" s="123">
        <v>823768.0</v>
      </c>
      <c r="C8265" s="687" t="s">
        <v>16104</v>
      </c>
      <c r="D8265" s="125"/>
    </row>
    <row r="8266">
      <c r="A8266" s="122" t="s">
        <v>34272</v>
      </c>
      <c r="B8266" s="123">
        <v>1715032.0</v>
      </c>
      <c r="C8266" s="687" t="s">
        <v>34273</v>
      </c>
      <c r="D8266" s="125"/>
    </row>
    <row r="8267">
      <c r="A8267" s="122" t="s">
        <v>3702</v>
      </c>
      <c r="B8267" s="123">
        <v>1823986.0</v>
      </c>
      <c r="C8267" s="687" t="s">
        <v>3703</v>
      </c>
      <c r="D8267" s="125"/>
    </row>
    <row r="8268">
      <c r="A8268" s="122" t="s">
        <v>16443</v>
      </c>
      <c r="B8268" s="123">
        <v>1000697.0</v>
      </c>
      <c r="C8268" s="687" t="s">
        <v>16444</v>
      </c>
      <c r="D8268" s="125"/>
    </row>
    <row r="8269">
      <c r="A8269" s="122" t="s">
        <v>9740</v>
      </c>
      <c r="B8269" s="123">
        <v>1569994.0</v>
      </c>
      <c r="C8269" s="687" t="s">
        <v>9741</v>
      </c>
      <c r="D8269" s="125"/>
    </row>
    <row r="8270">
      <c r="A8270" s="122" t="s">
        <v>16525</v>
      </c>
      <c r="B8270" s="123">
        <v>105016.0</v>
      </c>
      <c r="C8270" s="687" t="s">
        <v>16526</v>
      </c>
      <c r="D8270" s="125"/>
    </row>
    <row r="8271">
      <c r="A8271" s="122" t="s">
        <v>16166</v>
      </c>
      <c r="B8271" s="123">
        <v>795403.0</v>
      </c>
      <c r="C8271" s="687" t="s">
        <v>16167</v>
      </c>
      <c r="D8271" s="125"/>
    </row>
    <row r="8272">
      <c r="A8272" s="122" t="s">
        <v>6034</v>
      </c>
      <c r="B8272" s="123">
        <v>1631574.0</v>
      </c>
      <c r="C8272" s="687" t="s">
        <v>6035</v>
      </c>
      <c r="D8272" s="125"/>
    </row>
    <row r="8273">
      <c r="A8273" s="122" t="s">
        <v>5149</v>
      </c>
      <c r="B8273" s="123">
        <v>803578.0</v>
      </c>
      <c r="C8273" s="687" t="s">
        <v>5150</v>
      </c>
      <c r="D8273" s="125"/>
    </row>
    <row r="8274">
      <c r="A8274" s="122" t="s">
        <v>14150</v>
      </c>
      <c r="B8274" s="123">
        <v>1616707.0</v>
      </c>
      <c r="C8274" s="687" t="s">
        <v>14151</v>
      </c>
      <c r="D8274" s="125"/>
    </row>
    <row r="8275">
      <c r="A8275" s="122" t="s">
        <v>34274</v>
      </c>
      <c r="B8275" s="123">
        <v>1787412.0</v>
      </c>
      <c r="C8275" s="687" t="s">
        <v>34275</v>
      </c>
      <c r="D8275" s="125"/>
    </row>
    <row r="8276">
      <c r="A8276" s="122" t="s">
        <v>16362</v>
      </c>
      <c r="B8276" s="123">
        <v>105132.0</v>
      </c>
      <c r="C8276" s="687" t="s">
        <v>16363</v>
      </c>
      <c r="D8276" s="125"/>
    </row>
    <row r="8277">
      <c r="A8277" s="122" t="s">
        <v>2155</v>
      </c>
      <c r="B8277" s="123">
        <v>1077640.0</v>
      </c>
      <c r="C8277" s="687" t="s">
        <v>2156</v>
      </c>
      <c r="D8277" s="125"/>
    </row>
    <row r="8278">
      <c r="A8278" s="122" t="s">
        <v>1690</v>
      </c>
      <c r="B8278" s="123">
        <v>1887673.0</v>
      </c>
      <c r="C8278" s="687" t="s">
        <v>1691</v>
      </c>
      <c r="D8278" s="125"/>
    </row>
    <row r="8279">
      <c r="A8279" s="122" t="s">
        <v>2837</v>
      </c>
      <c r="B8279" s="123">
        <v>1887673.0</v>
      </c>
      <c r="C8279" s="687" t="s">
        <v>2838</v>
      </c>
      <c r="D8279" s="125"/>
    </row>
    <row r="8280">
      <c r="A8280" s="122" t="s">
        <v>34276</v>
      </c>
      <c r="B8280" s="123">
        <v>1443089.0</v>
      </c>
      <c r="C8280" s="687" t="s">
        <v>34277</v>
      </c>
      <c r="D8280" s="125"/>
    </row>
    <row r="8281">
      <c r="A8281" s="122" t="s">
        <v>15122</v>
      </c>
      <c r="B8281" s="123">
        <v>1603923.0</v>
      </c>
      <c r="C8281" s="687" t="s">
        <v>15123</v>
      </c>
      <c r="D8281" s="125"/>
    </row>
    <row r="8282">
      <c r="A8282" s="122" t="s">
        <v>9875</v>
      </c>
      <c r="B8282" s="123">
        <v>1609151.0</v>
      </c>
      <c r="C8282" s="687" t="s">
        <v>9876</v>
      </c>
      <c r="D8282" s="125"/>
    </row>
    <row r="8283">
      <c r="A8283" s="122" t="s">
        <v>34278</v>
      </c>
      <c r="B8283" s="123">
        <v>1011901.0</v>
      </c>
      <c r="C8283" s="687" t="s">
        <v>34279</v>
      </c>
      <c r="D8283" s="125"/>
    </row>
    <row r="8284">
      <c r="A8284" s="122" t="s">
        <v>13987</v>
      </c>
      <c r="B8284" s="123">
        <v>801337.0</v>
      </c>
      <c r="C8284" s="687" t="s">
        <v>13988</v>
      </c>
      <c r="D8284" s="125"/>
    </row>
    <row r="8285">
      <c r="A8285" s="122" t="s">
        <v>6183</v>
      </c>
      <c r="B8285" s="123">
        <v>1437538.0</v>
      </c>
      <c r="C8285" s="687" t="s">
        <v>6184</v>
      </c>
      <c r="D8285" s="125"/>
    </row>
    <row r="8286">
      <c r="A8286" s="122" t="s">
        <v>14998</v>
      </c>
      <c r="B8286" s="123">
        <v>783325.0</v>
      </c>
      <c r="C8286" s="687" t="s">
        <v>14999</v>
      </c>
      <c r="D8286" s="125"/>
    </row>
    <row r="8287">
      <c r="A8287" s="122" t="s">
        <v>1668</v>
      </c>
      <c r="B8287" s="123">
        <v>1422296.0</v>
      </c>
      <c r="C8287" s="687" t="s">
        <v>1669</v>
      </c>
      <c r="D8287" s="125"/>
    </row>
    <row r="8288">
      <c r="A8288" s="122" t="s">
        <v>1753</v>
      </c>
      <c r="B8288" s="123">
        <v>1393772.0</v>
      </c>
      <c r="C8288" s="687" t="s">
        <v>1754</v>
      </c>
      <c r="D8288" s="125"/>
    </row>
    <row r="8289">
      <c r="A8289" s="122" t="s">
        <v>7214</v>
      </c>
      <c r="B8289" s="123">
        <v>1445166.0</v>
      </c>
      <c r="C8289" s="687" t="s">
        <v>7215</v>
      </c>
      <c r="D8289" s="125"/>
    </row>
    <row r="8290">
      <c r="A8290" s="122" t="s">
        <v>7807</v>
      </c>
      <c r="B8290" s="123">
        <v>1595761.0</v>
      </c>
      <c r="C8290" s="687" t="s">
        <v>7808</v>
      </c>
      <c r="D8290" s="125"/>
    </row>
    <row r="8291">
      <c r="A8291" s="122" t="s">
        <v>34280</v>
      </c>
      <c r="B8291" s="123">
        <v>1734902.0</v>
      </c>
      <c r="C8291" s="687" t="s">
        <v>34281</v>
      </c>
      <c r="D8291" s="125"/>
    </row>
    <row r="8292">
      <c r="A8292" s="122" t="s">
        <v>14439</v>
      </c>
      <c r="B8292" s="123">
        <v>105418.0</v>
      </c>
      <c r="C8292" s="687" t="s">
        <v>14440</v>
      </c>
      <c r="D8292" s="125"/>
    </row>
    <row r="8293">
      <c r="A8293" s="122" t="s">
        <v>34282</v>
      </c>
      <c r="B8293" s="123">
        <v>1516887.0</v>
      </c>
      <c r="C8293" s="687" t="s">
        <v>34283</v>
      </c>
      <c r="D8293" s="125"/>
    </row>
    <row r="8294">
      <c r="A8294" s="122" t="s">
        <v>14058</v>
      </c>
      <c r="B8294" s="123">
        <v>72971.0</v>
      </c>
      <c r="C8294" s="687" t="s">
        <v>14059</v>
      </c>
      <c r="D8294" s="125"/>
    </row>
    <row r="8295">
      <c r="A8295" s="122" t="s">
        <v>7249</v>
      </c>
      <c r="B8295" s="123">
        <v>1210123.0</v>
      </c>
      <c r="C8295" s="687" t="s">
        <v>7250</v>
      </c>
      <c r="D8295" s="125"/>
    </row>
    <row r="8296">
      <c r="A8296" s="122" t="s">
        <v>8175</v>
      </c>
      <c r="B8296" s="123">
        <v>1227073.0</v>
      </c>
      <c r="C8296" s="687" t="s">
        <v>8176</v>
      </c>
      <c r="D8296" s="125"/>
    </row>
    <row r="8297">
      <c r="A8297" s="122" t="s">
        <v>15179</v>
      </c>
      <c r="B8297" s="123">
        <v>766704.0</v>
      </c>
      <c r="C8297" s="687" t="s">
        <v>15180</v>
      </c>
      <c r="D8297" s="125"/>
    </row>
    <row r="8298">
      <c r="A8298" s="122" t="s">
        <v>8916</v>
      </c>
      <c r="B8298" s="123">
        <v>1866226.0</v>
      </c>
      <c r="C8298" s="687" t="s">
        <v>8917</v>
      </c>
      <c r="D8298" s="125"/>
    </row>
    <row r="8299">
      <c r="A8299" s="122" t="s">
        <v>8817</v>
      </c>
      <c r="B8299" s="123">
        <v>1866226.0</v>
      </c>
      <c r="C8299" s="687" t="s">
        <v>8818</v>
      </c>
      <c r="D8299" s="125"/>
    </row>
    <row r="8300">
      <c r="A8300" s="122" t="s">
        <v>15115</v>
      </c>
      <c r="B8300" s="123">
        <v>1851682.0</v>
      </c>
      <c r="C8300" s="687" t="s">
        <v>15116</v>
      </c>
      <c r="D8300" s="125"/>
    </row>
    <row r="8301">
      <c r="A8301" s="122" t="s">
        <v>11234</v>
      </c>
      <c r="B8301" s="123">
        <v>30697.0</v>
      </c>
      <c r="C8301" s="687" t="s">
        <v>11235</v>
      </c>
      <c r="D8301" s="125"/>
    </row>
    <row r="8302">
      <c r="A8302" s="122" t="s">
        <v>6758</v>
      </c>
      <c r="B8302" s="123">
        <v>1785530.0</v>
      </c>
      <c r="C8302" s="687" t="s">
        <v>6759</v>
      </c>
      <c r="D8302" s="125"/>
    </row>
    <row r="8303">
      <c r="A8303" s="122" t="s">
        <v>13548</v>
      </c>
      <c r="B8303" s="123">
        <v>793074.0</v>
      </c>
      <c r="C8303" s="687" t="s">
        <v>13549</v>
      </c>
      <c r="D8303" s="125"/>
    </row>
    <row r="8304">
      <c r="A8304" s="122" t="s">
        <v>12134</v>
      </c>
      <c r="B8304" s="123">
        <v>203596.0</v>
      </c>
      <c r="C8304" s="687" t="s">
        <v>12135</v>
      </c>
      <c r="D8304" s="125"/>
    </row>
    <row r="8305">
      <c r="A8305" s="122" t="s">
        <v>12719</v>
      </c>
      <c r="B8305" s="123">
        <v>203596.0</v>
      </c>
      <c r="C8305" s="687" t="s">
        <v>12720</v>
      </c>
      <c r="D8305" s="125"/>
    </row>
    <row r="8306">
      <c r="A8306" s="122" t="s">
        <v>16079</v>
      </c>
      <c r="B8306" s="123">
        <v>929008.0</v>
      </c>
      <c r="C8306" s="687" t="s">
        <v>16080</v>
      </c>
      <c r="D8306" s="125"/>
    </row>
    <row r="8307">
      <c r="A8307" s="122" t="s">
        <v>11073</v>
      </c>
      <c r="B8307" s="123">
        <v>1166928.0</v>
      </c>
      <c r="C8307" s="687" t="s">
        <v>11074</v>
      </c>
      <c r="D8307" s="125"/>
    </row>
    <row r="8308">
      <c r="A8308" s="122" t="s">
        <v>14976</v>
      </c>
      <c r="B8308" s="123">
        <v>1402388.0</v>
      </c>
      <c r="C8308" s="687" t="s">
        <v>14977</v>
      </c>
      <c r="D8308" s="125"/>
    </row>
    <row r="8309">
      <c r="A8309" s="122" t="s">
        <v>16503</v>
      </c>
      <c r="B8309" s="123">
        <v>105770.0</v>
      </c>
      <c r="C8309" s="687" t="s">
        <v>16504</v>
      </c>
      <c r="D8309" s="125"/>
    </row>
    <row r="8310">
      <c r="A8310" s="122" t="s">
        <v>13922</v>
      </c>
      <c r="B8310" s="123">
        <v>311094.0</v>
      </c>
      <c r="C8310" s="687" t="s">
        <v>13923</v>
      </c>
      <c r="D8310" s="125"/>
    </row>
    <row r="8311">
      <c r="A8311" s="122" t="s">
        <v>3367</v>
      </c>
      <c r="B8311" s="123">
        <v>1008112.0</v>
      </c>
      <c r="C8311" s="687" t="s">
        <v>3368</v>
      </c>
      <c r="D8311" s="125"/>
    </row>
    <row r="8312">
      <c r="A8312" s="122" t="s">
        <v>4429</v>
      </c>
      <c r="B8312" s="123">
        <v>1002135.0</v>
      </c>
      <c r="C8312" s="687" t="s">
        <v>4430</v>
      </c>
      <c r="D8312" s="125"/>
    </row>
    <row r="8313">
      <c r="A8313" s="122" t="s">
        <v>1439</v>
      </c>
      <c r="B8313" s="123">
        <v>1868419.0</v>
      </c>
      <c r="C8313" s="687" t="s">
        <v>1440</v>
      </c>
      <c r="D8313" s="125"/>
    </row>
    <row r="8314">
      <c r="A8314" s="122" t="s">
        <v>8734</v>
      </c>
      <c r="B8314" s="123">
        <v>1868419.0</v>
      </c>
      <c r="C8314" s="687" t="s">
        <v>8735</v>
      </c>
      <c r="D8314" s="125"/>
    </row>
    <row r="8315">
      <c r="A8315" s="122" t="s">
        <v>14447</v>
      </c>
      <c r="B8315" s="123">
        <v>1212545.0</v>
      </c>
      <c r="C8315" s="687" t="s">
        <v>14448</v>
      </c>
      <c r="D8315" s="125"/>
    </row>
    <row r="8316">
      <c r="A8316" s="122" t="s">
        <v>10293</v>
      </c>
      <c r="B8316" s="123">
        <v>1819559.0</v>
      </c>
      <c r="C8316" s="687" t="s">
        <v>10294</v>
      </c>
      <c r="D8316" s="125"/>
    </row>
    <row r="8317">
      <c r="A8317" s="122" t="s">
        <v>8017</v>
      </c>
      <c r="B8317" s="123">
        <v>1227862.0</v>
      </c>
      <c r="C8317" s="687" t="s">
        <v>8018</v>
      </c>
      <c r="D8317" s="125"/>
    </row>
    <row r="8318">
      <c r="A8318" s="122" t="s">
        <v>9767</v>
      </c>
      <c r="B8318" s="123">
        <v>1472341.0</v>
      </c>
      <c r="C8318" s="687" t="s">
        <v>9768</v>
      </c>
      <c r="D8318" s="125"/>
    </row>
    <row r="8319">
      <c r="A8319" s="122" t="s">
        <v>7396</v>
      </c>
      <c r="B8319" s="123">
        <v>1228509.0</v>
      </c>
      <c r="C8319" s="687" t="s">
        <v>7397</v>
      </c>
      <c r="D8319" s="125"/>
    </row>
    <row r="8320">
      <c r="A8320" s="122" t="s">
        <v>9608</v>
      </c>
      <c r="B8320" s="123">
        <v>1497186.0</v>
      </c>
      <c r="C8320" s="687" t="s">
        <v>9609</v>
      </c>
      <c r="D8320" s="125"/>
    </row>
    <row r="8321">
      <c r="A8321" s="122" t="s">
        <v>6343</v>
      </c>
      <c r="B8321" s="123">
        <v>1058239.0</v>
      </c>
      <c r="C8321" s="687" t="s">
        <v>6344</v>
      </c>
      <c r="D8321" s="125"/>
    </row>
    <row r="8322">
      <c r="A8322" s="122" t="s">
        <v>7707</v>
      </c>
      <c r="B8322" s="123">
        <v>1254370.0</v>
      </c>
      <c r="C8322" s="687" t="s">
        <v>7708</v>
      </c>
      <c r="D8322" s="125"/>
    </row>
    <row r="8323">
      <c r="A8323" s="122" t="s">
        <v>7882</v>
      </c>
      <c r="B8323" s="123">
        <v>1267902.0</v>
      </c>
      <c r="C8323" s="687" t="s">
        <v>7883</v>
      </c>
      <c r="D8323" s="125"/>
    </row>
    <row r="8324">
      <c r="A8324" s="122" t="s">
        <v>7607</v>
      </c>
      <c r="B8324" s="123">
        <v>882300.0</v>
      </c>
      <c r="C8324" s="687" t="s">
        <v>7608</v>
      </c>
      <c r="D8324" s="125"/>
    </row>
    <row r="8325">
      <c r="A8325" s="122" t="s">
        <v>9661</v>
      </c>
      <c r="B8325" s="123">
        <v>75398.0</v>
      </c>
      <c r="C8325" s="687" t="s">
        <v>9662</v>
      </c>
      <c r="D8325" s="125"/>
    </row>
    <row r="8326">
      <c r="A8326" s="122" t="s">
        <v>8390</v>
      </c>
      <c r="B8326" s="123">
        <v>886043.0</v>
      </c>
      <c r="C8326" s="687" t="s">
        <v>8391</v>
      </c>
      <c r="D8326" s="125"/>
    </row>
    <row r="8327">
      <c r="A8327" s="122" t="s">
        <v>9393</v>
      </c>
      <c r="B8327" s="123">
        <v>1478102.0</v>
      </c>
      <c r="C8327" s="687" t="s">
        <v>9394</v>
      </c>
      <c r="D8327" s="125"/>
    </row>
    <row r="8328">
      <c r="A8328" s="122" t="s">
        <v>7218</v>
      </c>
      <c r="B8328" s="123">
        <v>830487.0</v>
      </c>
      <c r="C8328" s="687" t="s">
        <v>7219</v>
      </c>
      <c r="D8328" s="125"/>
    </row>
    <row r="8329">
      <c r="A8329" s="122" t="s">
        <v>9240</v>
      </c>
      <c r="B8329" s="123">
        <v>1163792.0</v>
      </c>
      <c r="C8329" s="687" t="s">
        <v>9241</v>
      </c>
      <c r="D8329" s="125"/>
    </row>
    <row r="8330">
      <c r="A8330" s="122" t="s">
        <v>6020</v>
      </c>
      <c r="B8330" s="123">
        <v>910068.0</v>
      </c>
      <c r="C8330" s="687" t="s">
        <v>6021</v>
      </c>
      <c r="D8330" s="125"/>
    </row>
    <row r="8331">
      <c r="A8331" s="122" t="s">
        <v>6313</v>
      </c>
      <c r="B8331" s="123">
        <v>1363958.0</v>
      </c>
      <c r="C8331" s="687" t="s">
        <v>6314</v>
      </c>
      <c r="D8331" s="125"/>
    </row>
    <row r="8332">
      <c r="A8332" s="122" t="s">
        <v>3935</v>
      </c>
      <c r="B8332" s="123">
        <v>1364125.0</v>
      </c>
      <c r="C8332" s="687" t="s">
        <v>3936</v>
      </c>
      <c r="D8332" s="125"/>
    </row>
    <row r="8333">
      <c r="A8333" s="122" t="s">
        <v>14379</v>
      </c>
      <c r="B8333" s="123">
        <v>106040.0</v>
      </c>
      <c r="C8333" s="687" t="s">
        <v>14380</v>
      </c>
      <c r="D8333" s="125"/>
    </row>
    <row r="8334">
      <c r="A8334" s="122" t="s">
        <v>34284</v>
      </c>
      <c r="B8334" s="123">
        <v>1801762.0</v>
      </c>
      <c r="C8334" s="687" t="s">
        <v>34285</v>
      </c>
      <c r="D8334" s="125"/>
    </row>
    <row r="8335">
      <c r="A8335" s="122" t="s">
        <v>12678</v>
      </c>
      <c r="B8335" s="123">
        <v>1423902.0</v>
      </c>
      <c r="C8335" s="687" t="s">
        <v>12679</v>
      </c>
      <c r="D8335" s="125"/>
    </row>
    <row r="8336">
      <c r="A8336" s="122" t="s">
        <v>7767</v>
      </c>
      <c r="B8336" s="123">
        <v>1157647.0</v>
      </c>
      <c r="C8336" s="687" t="s">
        <v>7768</v>
      </c>
      <c r="D8336" s="125"/>
    </row>
    <row r="8337">
      <c r="A8337" s="122" t="s">
        <v>785</v>
      </c>
      <c r="B8337" s="123">
        <v>42050.0</v>
      </c>
      <c r="C8337" s="687" t="s">
        <v>786</v>
      </c>
      <c r="D8337" s="125"/>
    </row>
    <row r="8338">
      <c r="A8338" s="122" t="s">
        <v>10910</v>
      </c>
      <c r="B8338" s="123">
        <v>1462586.0</v>
      </c>
      <c r="C8338" s="687" t="s">
        <v>10911</v>
      </c>
      <c r="D8338" s="125"/>
    </row>
    <row r="8339">
      <c r="A8339" s="122" t="s">
        <v>9784</v>
      </c>
      <c r="B8339" s="123">
        <v>1365135.0</v>
      </c>
      <c r="C8339" s="687" t="s">
        <v>9785</v>
      </c>
      <c r="D8339" s="125"/>
    </row>
    <row r="8340">
      <c r="A8340" s="122" t="s">
        <v>4543</v>
      </c>
      <c r="B8340" s="123">
        <v>1621906.0</v>
      </c>
      <c r="C8340" s="687" t="s">
        <v>4544</v>
      </c>
      <c r="D8340" s="125"/>
    </row>
    <row r="8341">
      <c r="A8341" s="122" t="s">
        <v>15762</v>
      </c>
      <c r="B8341" s="123">
        <v>943452.0</v>
      </c>
      <c r="C8341" s="687" t="s">
        <v>15763</v>
      </c>
      <c r="D8341" s="125"/>
    </row>
    <row r="8342">
      <c r="A8342" s="122" t="s">
        <v>11863</v>
      </c>
      <c r="B8342" s="123">
        <v>1604665.0</v>
      </c>
      <c r="C8342" s="687" t="s">
        <v>11864</v>
      </c>
      <c r="D8342" s="125"/>
    </row>
    <row r="8343">
      <c r="A8343" s="122" t="s">
        <v>15797</v>
      </c>
      <c r="B8343" s="123">
        <v>1262823.0</v>
      </c>
      <c r="C8343" s="687" t="s">
        <v>15798</v>
      </c>
      <c r="D8343" s="125"/>
    </row>
    <row r="8344">
      <c r="A8344" s="122" t="s">
        <v>466</v>
      </c>
      <c r="B8344" s="123">
        <v>1465885.0</v>
      </c>
      <c r="C8344" s="687" t="s">
        <v>467</v>
      </c>
      <c r="D8344" s="125"/>
    </row>
    <row r="8345">
      <c r="A8345" s="122" t="s">
        <v>10432</v>
      </c>
      <c r="B8345" s="123">
        <v>719245.0</v>
      </c>
      <c r="C8345" s="687" t="s">
        <v>10433</v>
      </c>
      <c r="D8345" s="125"/>
    </row>
    <row r="8346">
      <c r="A8346" s="122" t="s">
        <v>7017</v>
      </c>
      <c r="B8346" s="123">
        <v>1370416.0</v>
      </c>
      <c r="C8346" s="687" t="s">
        <v>7018</v>
      </c>
      <c r="D8346" s="125"/>
    </row>
    <row r="8347">
      <c r="A8347" s="122" t="s">
        <v>13499</v>
      </c>
      <c r="B8347" s="123">
        <v>1732845.0</v>
      </c>
      <c r="C8347" s="687" t="s">
        <v>13500</v>
      </c>
      <c r="D8347" s="125"/>
    </row>
    <row r="8348">
      <c r="A8348" s="122" t="s">
        <v>8647</v>
      </c>
      <c r="B8348" s="123">
        <v>1806347.0</v>
      </c>
      <c r="C8348" s="687" t="s">
        <v>8648</v>
      </c>
      <c r="D8348" s="125"/>
    </row>
    <row r="8349">
      <c r="A8349" s="122" t="s">
        <v>5106</v>
      </c>
      <c r="B8349" s="123">
        <v>1806347.0</v>
      </c>
      <c r="C8349" s="687" t="s">
        <v>5107</v>
      </c>
      <c r="D8349" s="125"/>
    </row>
    <row r="8350">
      <c r="A8350" s="122" t="s">
        <v>3019</v>
      </c>
      <c r="B8350" s="123">
        <v>839470.0</v>
      </c>
      <c r="C8350" s="687" t="s">
        <v>3020</v>
      </c>
      <c r="D8350" s="125"/>
    </row>
    <row r="8351">
      <c r="A8351" s="122" t="s">
        <v>9669</v>
      </c>
      <c r="B8351" s="123">
        <v>1165002.0</v>
      </c>
      <c r="C8351" s="687" t="s">
        <v>9670</v>
      </c>
      <c r="D8351" s="125"/>
    </row>
    <row r="8352">
      <c r="A8352" s="122" t="s">
        <v>6783</v>
      </c>
      <c r="B8352" s="123">
        <v>1826660.0</v>
      </c>
      <c r="C8352" s="687" t="s">
        <v>6784</v>
      </c>
      <c r="D8352" s="125"/>
    </row>
    <row r="8353">
      <c r="A8353" s="122" t="s">
        <v>5165</v>
      </c>
      <c r="B8353" s="123">
        <v>1784970.0</v>
      </c>
      <c r="C8353" s="687" t="s">
        <v>5166</v>
      </c>
      <c r="D8353" s="125"/>
    </row>
    <row r="8354">
      <c r="A8354" s="122" t="s">
        <v>4842</v>
      </c>
      <c r="B8354" s="123">
        <v>1616156.0</v>
      </c>
      <c r="C8354" s="687" t="s">
        <v>4843</v>
      </c>
      <c r="D8354" s="125"/>
    </row>
    <row r="8355">
      <c r="A8355" s="122" t="s">
        <v>11185</v>
      </c>
      <c r="B8355" s="123">
        <v>1813756.0</v>
      </c>
      <c r="C8355" s="687" t="s">
        <v>11186</v>
      </c>
      <c r="D8355" s="125"/>
    </row>
    <row r="8356">
      <c r="A8356" s="122" t="s">
        <v>16187</v>
      </c>
      <c r="B8356" s="123">
        <v>1309108.0</v>
      </c>
      <c r="C8356" s="687" t="s">
        <v>16188</v>
      </c>
      <c r="D8356" s="125"/>
    </row>
    <row r="8357">
      <c r="A8357" s="122" t="s">
        <v>13023</v>
      </c>
      <c r="B8357" s="123">
        <v>106532.0</v>
      </c>
      <c r="C8357" s="687" t="s">
        <v>13024</v>
      </c>
      <c r="D8357" s="125"/>
    </row>
    <row r="8358">
      <c r="A8358" s="122" t="s">
        <v>13063</v>
      </c>
      <c r="B8358" s="123">
        <v>106535.0</v>
      </c>
      <c r="C8358" s="687" t="s">
        <v>13064</v>
      </c>
      <c r="D8358" s="125"/>
    </row>
    <row r="8359">
      <c r="A8359" s="122" t="s">
        <v>13963</v>
      </c>
      <c r="B8359" s="123">
        <v>1323404.0</v>
      </c>
      <c r="C8359" s="687" t="s">
        <v>13964</v>
      </c>
      <c r="D8359" s="125"/>
    </row>
    <row r="8360">
      <c r="A8360" s="122" t="s">
        <v>2311</v>
      </c>
      <c r="B8360" s="123">
        <v>1527541.0</v>
      </c>
      <c r="C8360" s="687" t="s">
        <v>2312</v>
      </c>
      <c r="D8360" s="125"/>
    </row>
    <row r="8361">
      <c r="A8361" s="122" t="s">
        <v>4327</v>
      </c>
      <c r="B8361" s="123">
        <v>1527541.0</v>
      </c>
      <c r="C8361" s="687" t="s">
        <v>4328</v>
      </c>
      <c r="D8361" s="125"/>
    </row>
    <row r="8362">
      <c r="A8362" s="122" t="s">
        <v>10287</v>
      </c>
      <c r="B8362" s="123">
        <v>1527541.0</v>
      </c>
      <c r="C8362" s="687" t="s">
        <v>10288</v>
      </c>
      <c r="D8362" s="125"/>
    </row>
    <row r="8363">
      <c r="A8363" s="122" t="s">
        <v>5762</v>
      </c>
      <c r="B8363" s="123">
        <v>1819516.0</v>
      </c>
      <c r="C8363" s="687" t="s">
        <v>5763</v>
      </c>
      <c r="D8363" s="125"/>
    </row>
    <row r="8364">
      <c r="A8364" s="122" t="s">
        <v>10161</v>
      </c>
      <c r="B8364" s="123">
        <v>1360565.0</v>
      </c>
      <c r="C8364" s="687" t="s">
        <v>10162</v>
      </c>
      <c r="D8364" s="125"/>
    </row>
    <row r="8365">
      <c r="A8365" s="122" t="s">
        <v>15512</v>
      </c>
      <c r="B8365" s="123">
        <v>106640.0</v>
      </c>
      <c r="C8365" s="687" t="s">
        <v>15513</v>
      </c>
      <c r="D8365" s="125"/>
    </row>
    <row r="8366">
      <c r="A8366" s="122" t="s">
        <v>16717</v>
      </c>
      <c r="B8366" s="123">
        <v>776867.0</v>
      </c>
      <c r="C8366" s="687" t="s">
        <v>16718</v>
      </c>
      <c r="D8366" s="125"/>
    </row>
    <row r="8367">
      <c r="A8367" s="122" t="s">
        <v>9770</v>
      </c>
      <c r="B8367" s="123">
        <v>1552198.0</v>
      </c>
      <c r="C8367" s="687" t="s">
        <v>9771</v>
      </c>
      <c r="D8367" s="125"/>
    </row>
    <row r="8368">
      <c r="A8368" s="122" t="s">
        <v>9888</v>
      </c>
      <c r="B8368" s="123">
        <v>1175535.0</v>
      </c>
      <c r="C8368" s="687" t="s">
        <v>9889</v>
      </c>
      <c r="D8368" s="125"/>
    </row>
    <row r="8369">
      <c r="A8369" s="122" t="s">
        <v>6072</v>
      </c>
      <c r="B8369" s="123">
        <v>1753706.0</v>
      </c>
      <c r="C8369" s="687" t="s">
        <v>1774</v>
      </c>
      <c r="D8369" s="125"/>
    </row>
    <row r="8370">
      <c r="A8370" s="122" t="s">
        <v>1773</v>
      </c>
      <c r="B8370" s="123">
        <v>1753706.0</v>
      </c>
      <c r="C8370" s="687" t="s">
        <v>1774</v>
      </c>
      <c r="D8370" s="125"/>
    </row>
    <row r="8371">
      <c r="A8371" s="122" t="s">
        <v>5800</v>
      </c>
      <c r="B8371" s="123">
        <v>1701051.0</v>
      </c>
      <c r="C8371" s="687" t="s">
        <v>5801</v>
      </c>
      <c r="D8371" s="125"/>
    </row>
    <row r="8372">
      <c r="A8372" s="122" t="s">
        <v>5498</v>
      </c>
      <c r="B8372" s="123">
        <v>1034760.0</v>
      </c>
      <c r="C8372" s="687" t="s">
        <v>5499</v>
      </c>
      <c r="D8372" s="125"/>
    </row>
    <row r="8373">
      <c r="A8373" s="122" t="s">
        <v>6399</v>
      </c>
      <c r="B8373" s="123">
        <v>1013706.0</v>
      </c>
      <c r="C8373" s="687" t="s">
        <v>6400</v>
      </c>
      <c r="D8373" s="125"/>
    </row>
    <row r="8374">
      <c r="A8374" s="122" t="s">
        <v>6649</v>
      </c>
      <c r="B8374" s="123">
        <v>838875.0</v>
      </c>
      <c r="C8374" s="687" t="s">
        <v>6650</v>
      </c>
      <c r="D8374" s="125"/>
    </row>
    <row r="8375">
      <c r="A8375" s="122" t="s">
        <v>6210</v>
      </c>
      <c r="B8375" s="123">
        <v>838875.0</v>
      </c>
      <c r="C8375" s="687" t="s">
        <v>6211</v>
      </c>
      <c r="D8375" s="125"/>
    </row>
    <row r="8376">
      <c r="A8376" s="122" t="s">
        <v>11240</v>
      </c>
      <c r="B8376" s="123">
        <v>1370450.0</v>
      </c>
      <c r="C8376" s="687" t="s">
        <v>11241</v>
      </c>
      <c r="D8376" s="125"/>
    </row>
    <row r="8377">
      <c r="A8377" s="122" t="s">
        <v>13219</v>
      </c>
      <c r="B8377" s="123">
        <v>107263.0</v>
      </c>
      <c r="C8377" s="687" t="s">
        <v>13220</v>
      </c>
      <c r="D8377" s="125"/>
    </row>
    <row r="8378">
      <c r="A8378" s="122" t="s">
        <v>16158</v>
      </c>
      <c r="B8378" s="123">
        <v>719955.0</v>
      </c>
      <c r="C8378" s="687" t="s">
        <v>16159</v>
      </c>
      <c r="D8378" s="125"/>
    </row>
    <row r="8379">
      <c r="A8379" s="122" t="s">
        <v>13993</v>
      </c>
      <c r="B8379" s="123">
        <v>1018164.0</v>
      </c>
      <c r="C8379" s="687" t="s">
        <v>13994</v>
      </c>
      <c r="D8379" s="125"/>
    </row>
    <row r="8380">
      <c r="A8380" s="122" t="s">
        <v>16333</v>
      </c>
      <c r="B8380" s="123">
        <v>1140536.0</v>
      </c>
      <c r="C8380" s="687" t="s">
        <v>16334</v>
      </c>
      <c r="D8380" s="125"/>
    </row>
    <row r="8381">
      <c r="A8381" s="122" t="s">
        <v>14107</v>
      </c>
      <c r="B8381" s="123">
        <v>1647088.0</v>
      </c>
      <c r="C8381" s="687" t="s">
        <v>14108</v>
      </c>
      <c r="D8381" s="125"/>
    </row>
    <row r="8382">
      <c r="A8382" s="122" t="s">
        <v>13236</v>
      </c>
      <c r="B8382" s="123">
        <v>885275.0</v>
      </c>
      <c r="C8382" s="687" t="s">
        <v>13237</v>
      </c>
      <c r="D8382" s="125"/>
    </row>
    <row r="8383">
      <c r="A8383" s="122" t="s">
        <v>3193</v>
      </c>
      <c r="B8383" s="123">
        <v>312070.0</v>
      </c>
      <c r="C8383" s="687" t="s">
        <v>3194</v>
      </c>
      <c r="D8383" s="125"/>
    </row>
    <row r="8384">
      <c r="A8384" s="122" t="s">
        <v>3247</v>
      </c>
      <c r="B8384" s="123">
        <v>1770088.0</v>
      </c>
      <c r="C8384" s="687" t="s">
        <v>3248</v>
      </c>
      <c r="D8384" s="125"/>
    </row>
    <row r="8385">
      <c r="A8385" s="122" t="s">
        <v>34286</v>
      </c>
      <c r="B8385" s="123">
        <v>726037.0</v>
      </c>
      <c r="C8385" s="687" t="s">
        <v>34287</v>
      </c>
      <c r="D8385" s="125"/>
    </row>
    <row r="8386">
      <c r="A8386" s="122" t="s">
        <v>2797</v>
      </c>
      <c r="B8386" s="123">
        <v>946486.0</v>
      </c>
      <c r="C8386" s="687" t="s">
        <v>2798</v>
      </c>
      <c r="D8386" s="125"/>
    </row>
    <row r="8387">
      <c r="A8387" s="122" t="s">
        <v>16395</v>
      </c>
      <c r="B8387" s="123">
        <v>1636222.0</v>
      </c>
      <c r="C8387" s="687" t="s">
        <v>16396</v>
      </c>
      <c r="D8387" s="125"/>
    </row>
    <row r="8388">
      <c r="A8388" s="122" t="s">
        <v>16486</v>
      </c>
      <c r="B8388" s="123">
        <v>908315.0</v>
      </c>
      <c r="C8388" s="687" t="s">
        <v>16487</v>
      </c>
      <c r="D8388" s="125"/>
    </row>
    <row r="8389">
      <c r="A8389" s="122" t="s">
        <v>14687</v>
      </c>
      <c r="B8389" s="123">
        <v>107687.0</v>
      </c>
      <c r="C8389" s="687" t="s">
        <v>14688</v>
      </c>
      <c r="D8389" s="125"/>
    </row>
    <row r="8390">
      <c r="A8390" s="122" t="s">
        <v>34288</v>
      </c>
      <c r="B8390" s="123">
        <v>1114898.0</v>
      </c>
      <c r="C8390" s="687" t="s">
        <v>34289</v>
      </c>
      <c r="D8390" s="125"/>
    </row>
    <row r="8391">
      <c r="A8391" s="122" t="s">
        <v>1495</v>
      </c>
      <c r="B8391" s="123">
        <v>1640251.0</v>
      </c>
      <c r="C8391" s="687" t="s">
        <v>1496</v>
      </c>
      <c r="D8391" s="125"/>
    </row>
    <row r="8392">
      <c r="A8392" s="122" t="s">
        <v>637</v>
      </c>
      <c r="B8392" s="123">
        <v>1680962.0</v>
      </c>
      <c r="C8392" s="687" t="s">
        <v>638</v>
      </c>
      <c r="D8392" s="125"/>
    </row>
    <row r="8393">
      <c r="A8393" s="122" t="s">
        <v>15277</v>
      </c>
      <c r="B8393" s="123">
        <v>1015328.0</v>
      </c>
      <c r="C8393" s="687" t="s">
        <v>15278</v>
      </c>
      <c r="D8393" s="125"/>
    </row>
    <row r="8394">
      <c r="A8394" s="122" t="s">
        <v>12182</v>
      </c>
      <c r="B8394" s="123">
        <v>1015328.0</v>
      </c>
      <c r="C8394" s="687" t="s">
        <v>12183</v>
      </c>
      <c r="D8394" s="125"/>
    </row>
    <row r="8395">
      <c r="A8395" s="122" t="s">
        <v>12230</v>
      </c>
      <c r="B8395" s="123">
        <v>1015328.0</v>
      </c>
      <c r="C8395" s="687" t="s">
        <v>12231</v>
      </c>
      <c r="D8395" s="125"/>
    </row>
    <row r="8396">
      <c r="A8396" s="122" t="s">
        <v>721</v>
      </c>
      <c r="B8396" s="123">
        <v>1854463.0</v>
      </c>
      <c r="C8396" s="687" t="s">
        <v>722</v>
      </c>
      <c r="D8396" s="125"/>
    </row>
    <row r="8397">
      <c r="A8397" s="122" t="s">
        <v>9267</v>
      </c>
      <c r="B8397" s="123">
        <v>1854463.0</v>
      </c>
      <c r="C8397" s="687" t="s">
        <v>9268</v>
      </c>
      <c r="D8397" s="125"/>
    </row>
    <row r="8398">
      <c r="A8398" s="122" t="s">
        <v>8910</v>
      </c>
      <c r="B8398" s="123">
        <v>1854463.0</v>
      </c>
      <c r="C8398" s="687" t="s">
        <v>8911</v>
      </c>
      <c r="D8398" s="125"/>
    </row>
    <row r="8399">
      <c r="A8399" s="122" t="s">
        <v>3492</v>
      </c>
      <c r="B8399" s="123">
        <v>1558740.0</v>
      </c>
      <c r="C8399" s="687" t="s">
        <v>3493</v>
      </c>
      <c r="D8399" s="125"/>
    </row>
    <row r="8400">
      <c r="A8400" s="122" t="s">
        <v>6904</v>
      </c>
      <c r="B8400" s="123">
        <v>1123799.0</v>
      </c>
      <c r="C8400" s="687" t="s">
        <v>6905</v>
      </c>
      <c r="D8400" s="125"/>
    </row>
    <row r="8401">
      <c r="A8401" s="122" t="s">
        <v>1725</v>
      </c>
      <c r="B8401" s="123">
        <v>1682149.0</v>
      </c>
      <c r="C8401" s="687" t="s">
        <v>1726</v>
      </c>
      <c r="D8401" s="125"/>
    </row>
    <row r="8402">
      <c r="A8402" s="122" t="s">
        <v>15311</v>
      </c>
      <c r="B8402" s="123">
        <v>107815.0</v>
      </c>
      <c r="C8402" s="687" t="s">
        <v>15312</v>
      </c>
      <c r="D8402" s="125"/>
    </row>
    <row r="8403">
      <c r="A8403" s="122" t="s">
        <v>14373</v>
      </c>
      <c r="B8403" s="123">
        <v>1562528.0</v>
      </c>
      <c r="C8403" s="687" t="s">
        <v>14374</v>
      </c>
      <c r="D8403" s="125"/>
    </row>
    <row r="8404">
      <c r="A8404" s="122" t="s">
        <v>12725</v>
      </c>
      <c r="B8404" s="123">
        <v>1828735.0</v>
      </c>
      <c r="C8404" s="687" t="s">
        <v>12726</v>
      </c>
      <c r="D8404" s="125"/>
    </row>
    <row r="8405">
      <c r="A8405" s="122" t="s">
        <v>10825</v>
      </c>
      <c r="B8405" s="123">
        <v>1379606.0</v>
      </c>
      <c r="C8405" s="687" t="s">
        <v>10826</v>
      </c>
      <c r="D8405" s="125"/>
    </row>
    <row r="8406">
      <c r="A8406" s="122" t="s">
        <v>13542</v>
      </c>
      <c r="B8406" s="123">
        <v>1471302.0</v>
      </c>
      <c r="C8406" s="687" t="s">
        <v>13543</v>
      </c>
      <c r="D8406" s="125"/>
    </row>
    <row r="8407">
      <c r="A8407" s="122" t="s">
        <v>7230</v>
      </c>
      <c r="B8407" s="123">
        <v>1846470.0</v>
      </c>
      <c r="C8407" s="687" t="s">
        <v>7231</v>
      </c>
      <c r="D8407" s="125"/>
    </row>
    <row r="8408">
      <c r="A8408" s="122" t="s">
        <v>10942</v>
      </c>
      <c r="B8408" s="123">
        <v>1601669.0</v>
      </c>
      <c r="C8408" s="687" t="s">
        <v>10943</v>
      </c>
      <c r="D8408" s="125"/>
    </row>
    <row r="8409">
      <c r="A8409" s="122" t="s">
        <v>5849</v>
      </c>
      <c r="B8409" s="123">
        <v>1738699.0</v>
      </c>
      <c r="C8409" s="687" t="s">
        <v>5850</v>
      </c>
      <c r="D8409" s="125"/>
    </row>
    <row r="8410">
      <c r="A8410" s="122" t="s">
        <v>4957</v>
      </c>
      <c r="B8410" s="123">
        <v>1738699.0</v>
      </c>
      <c r="C8410" s="687" t="s">
        <v>4958</v>
      </c>
      <c r="D8410" s="125"/>
    </row>
    <row r="8411">
      <c r="A8411" s="122" t="s">
        <v>15705</v>
      </c>
      <c r="B8411" s="123">
        <v>1576789.0</v>
      </c>
      <c r="C8411" s="687" t="s">
        <v>15706</v>
      </c>
      <c r="D8411" s="125"/>
    </row>
    <row r="8412">
      <c r="A8412" s="122" t="s">
        <v>1329</v>
      </c>
      <c r="B8412" s="123">
        <v>1779474.0</v>
      </c>
      <c r="C8412" s="687" t="s">
        <v>1330</v>
      </c>
      <c r="D8412" s="125"/>
    </row>
    <row r="8413">
      <c r="A8413" s="122" t="s">
        <v>3546</v>
      </c>
      <c r="B8413" s="123">
        <v>1779474.0</v>
      </c>
      <c r="C8413" s="687" t="s">
        <v>3547</v>
      </c>
      <c r="D8413" s="125"/>
    </row>
    <row r="8414">
      <c r="A8414" s="122" t="s">
        <v>14485</v>
      </c>
      <c r="B8414" s="123">
        <v>1356570.0</v>
      </c>
      <c r="C8414" s="687" t="s">
        <v>14486</v>
      </c>
      <c r="D8414" s="125"/>
    </row>
    <row r="8415">
      <c r="A8415" s="122" t="s">
        <v>12502</v>
      </c>
      <c r="B8415" s="123">
        <v>895419.0</v>
      </c>
      <c r="C8415" s="687" t="s">
        <v>12503</v>
      </c>
      <c r="D8415" s="125"/>
    </row>
    <row r="8416">
      <c r="A8416" s="122" t="s">
        <v>16732</v>
      </c>
      <c r="B8416" s="123">
        <v>1413659.0</v>
      </c>
      <c r="C8416" s="687" t="s">
        <v>16733</v>
      </c>
      <c r="D8416" s="125"/>
    </row>
    <row r="8417">
      <c r="A8417" s="122" t="s">
        <v>862</v>
      </c>
      <c r="B8417" s="123">
        <v>1424404.0</v>
      </c>
      <c r="C8417" s="687" t="s">
        <v>863</v>
      </c>
      <c r="D8417" s="125"/>
    </row>
    <row r="8418">
      <c r="A8418" s="122" t="s">
        <v>7862</v>
      </c>
      <c r="B8418" s="123">
        <v>110471.0</v>
      </c>
      <c r="C8418" s="687" t="s">
        <v>7863</v>
      </c>
      <c r="D8418" s="125"/>
    </row>
    <row r="8419">
      <c r="A8419" s="122" t="s">
        <v>2253</v>
      </c>
      <c r="B8419" s="123">
        <v>1882839.0</v>
      </c>
      <c r="C8419" s="687" t="s">
        <v>2254</v>
      </c>
      <c r="D8419" s="125"/>
    </row>
    <row r="8420">
      <c r="A8420" s="122" t="s">
        <v>5531</v>
      </c>
      <c r="B8420" s="123">
        <v>1785494.0</v>
      </c>
      <c r="C8420" s="687" t="s">
        <v>5532</v>
      </c>
      <c r="D8420" s="125"/>
    </row>
    <row r="8421">
      <c r="A8421" s="122" t="s">
        <v>11576</v>
      </c>
      <c r="B8421" s="123">
        <v>844551.0</v>
      </c>
      <c r="C8421" s="687" t="s">
        <v>11577</v>
      </c>
      <c r="D8421" s="125"/>
    </row>
    <row r="8422">
      <c r="A8422" s="122" t="s">
        <v>11709</v>
      </c>
      <c r="B8422" s="123">
        <v>844551.0</v>
      </c>
      <c r="C8422" s="687" t="s">
        <v>11710</v>
      </c>
      <c r="D8422" s="125"/>
    </row>
    <row r="8423">
      <c r="A8423" s="122" t="s">
        <v>15777</v>
      </c>
      <c r="B8423" s="123">
        <v>108312.0</v>
      </c>
      <c r="C8423" s="687" t="s">
        <v>15778</v>
      </c>
      <c r="D8423" s="125"/>
    </row>
    <row r="8424">
      <c r="A8424" s="122" t="s">
        <v>13065</v>
      </c>
      <c r="B8424" s="123">
        <v>1264136.0</v>
      </c>
      <c r="C8424" s="687" t="s">
        <v>13066</v>
      </c>
      <c r="D8424" s="125"/>
    </row>
    <row r="8425">
      <c r="A8425" s="122" t="s">
        <v>16407</v>
      </c>
      <c r="B8425" s="123">
        <v>1327811.0</v>
      </c>
      <c r="C8425" s="687" t="s">
        <v>16408</v>
      </c>
      <c r="D8425" s="125"/>
    </row>
    <row r="8426">
      <c r="A8426" s="122" t="s">
        <v>2508</v>
      </c>
      <c r="B8426" s="123">
        <v>1425287.0</v>
      </c>
      <c r="C8426" s="687" t="s">
        <v>2509</v>
      </c>
      <c r="D8426" s="125"/>
    </row>
    <row r="8427">
      <c r="A8427" s="122" t="s">
        <v>15285</v>
      </c>
      <c r="B8427" s="123">
        <v>1445305.0</v>
      </c>
      <c r="C8427" s="687" t="s">
        <v>15286</v>
      </c>
      <c r="D8427" s="125"/>
    </row>
    <row r="8428">
      <c r="A8428" s="122" t="s">
        <v>4217</v>
      </c>
      <c r="B8428" s="123">
        <v>1096275.0</v>
      </c>
      <c r="C8428" s="687" t="s">
        <v>4218</v>
      </c>
      <c r="D8428" s="125"/>
    </row>
    <row r="8429">
      <c r="A8429" s="122" t="s">
        <v>15749</v>
      </c>
      <c r="B8429" s="123">
        <v>108385.0</v>
      </c>
      <c r="C8429" s="687" t="s">
        <v>15750</v>
      </c>
      <c r="D8429" s="125"/>
    </row>
    <row r="8430">
      <c r="A8430" s="122" t="s">
        <v>34290</v>
      </c>
      <c r="B8430" s="123">
        <v>943535.0</v>
      </c>
      <c r="C8430" s="687" t="s">
        <v>34291</v>
      </c>
      <c r="D8430" s="125"/>
    </row>
    <row r="8431">
      <c r="A8431" s="122" t="s">
        <v>498</v>
      </c>
      <c r="B8431" s="123">
        <v>1961.0</v>
      </c>
      <c r="C8431" s="687" t="s">
        <v>499</v>
      </c>
      <c r="D8431" s="125"/>
    </row>
    <row r="8432">
      <c r="A8432" s="122" t="s">
        <v>924</v>
      </c>
      <c r="B8432" s="123">
        <v>1528188.0</v>
      </c>
      <c r="C8432" s="687" t="s">
        <v>925</v>
      </c>
      <c r="D8432" s="125"/>
    </row>
    <row r="8433">
      <c r="A8433" s="122" t="s">
        <v>34292</v>
      </c>
      <c r="B8433" s="123">
        <v>1342792.0</v>
      </c>
      <c r="C8433" s="687" t="s">
        <v>34293</v>
      </c>
      <c r="D8433" s="125"/>
    </row>
    <row r="8434">
      <c r="A8434" s="122" t="s">
        <v>14395</v>
      </c>
      <c r="B8434" s="123">
        <v>108516.0</v>
      </c>
      <c r="C8434" s="687" t="s">
        <v>14396</v>
      </c>
      <c r="D8434" s="125"/>
    </row>
    <row r="8435">
      <c r="A8435" s="122" t="s">
        <v>14514</v>
      </c>
      <c r="B8435" s="123">
        <v>1025378.0</v>
      </c>
      <c r="C8435" s="687" t="s">
        <v>14515</v>
      </c>
      <c r="D8435" s="125"/>
    </row>
    <row r="8436">
      <c r="A8436" s="122" t="s">
        <v>14055</v>
      </c>
      <c r="B8436" s="123">
        <v>806968.0</v>
      </c>
      <c r="C8436" s="687" t="s">
        <v>8366</v>
      </c>
      <c r="D8436" s="125"/>
    </row>
    <row r="8437">
      <c r="A8437" s="122" t="s">
        <v>8365</v>
      </c>
      <c r="B8437" s="123">
        <v>806968.0</v>
      </c>
      <c r="C8437" s="687" t="s">
        <v>8366</v>
      </c>
      <c r="D8437" s="125"/>
    </row>
    <row r="8438">
      <c r="A8438" s="122" t="s">
        <v>6125</v>
      </c>
      <c r="B8438" s="123">
        <v>1702924.0</v>
      </c>
      <c r="C8438" s="687" t="s">
        <v>6126</v>
      </c>
      <c r="D8438" s="125"/>
    </row>
    <row r="8439">
      <c r="A8439" s="122" t="s">
        <v>2119</v>
      </c>
      <c r="B8439" s="123">
        <v>1279715.0</v>
      </c>
      <c r="C8439" s="687" t="s">
        <v>2120</v>
      </c>
      <c r="D8439" s="125"/>
    </row>
    <row r="8440">
      <c r="A8440" s="122" t="s">
        <v>13755</v>
      </c>
      <c r="B8440" s="123">
        <v>828944.0</v>
      </c>
      <c r="C8440" s="687" t="s">
        <v>13756</v>
      </c>
      <c r="D8440" s="125"/>
    </row>
    <row r="8441">
      <c r="A8441" s="122" t="s">
        <v>16684</v>
      </c>
      <c r="B8441" s="123">
        <v>277135.0</v>
      </c>
      <c r="C8441" s="687" t="s">
        <v>16685</v>
      </c>
      <c r="D8441" s="125"/>
    </row>
    <row r="8442">
      <c r="A8442" s="122" t="s">
        <v>6087</v>
      </c>
      <c r="B8442" s="123">
        <v>105319.0</v>
      </c>
      <c r="C8442" s="687" t="s">
        <v>6088</v>
      </c>
      <c r="D8442" s="125"/>
    </row>
    <row r="8443">
      <c r="A8443" s="122" t="s">
        <v>14980</v>
      </c>
      <c r="B8443" s="123">
        <v>1722684.0</v>
      </c>
      <c r="C8443" s="687" t="s">
        <v>14981</v>
      </c>
      <c r="D8443" s="125"/>
    </row>
    <row r="8444">
      <c r="A8444" s="122" t="s">
        <v>15336</v>
      </c>
      <c r="B8444" s="123">
        <v>1174922.0</v>
      </c>
      <c r="C8444" s="687" t="s">
        <v>15337</v>
      </c>
      <c r="D8444" s="125"/>
    </row>
    <row r="8445">
      <c r="A8445" s="122" t="s">
        <v>5978</v>
      </c>
      <c r="B8445" s="123">
        <v>1725033.0</v>
      </c>
      <c r="C8445" s="687" t="s">
        <v>5979</v>
      </c>
      <c r="D8445" s="125"/>
    </row>
    <row r="8446">
      <c r="A8446" s="122" t="s">
        <v>3554</v>
      </c>
      <c r="B8446" s="123">
        <v>1023549.0</v>
      </c>
      <c r="C8446" s="687" t="s">
        <v>3555</v>
      </c>
      <c r="D8446" s="125"/>
    </row>
    <row r="8447">
      <c r="A8447" s="122" t="s">
        <v>3536</v>
      </c>
      <c r="B8447" s="123">
        <v>1501697.0</v>
      </c>
      <c r="C8447" s="687" t="s">
        <v>3537</v>
      </c>
      <c r="D8447" s="125"/>
    </row>
    <row r="8448">
      <c r="A8448" s="122" t="s">
        <v>7463</v>
      </c>
      <c r="B8448" s="123">
        <v>1703079.0</v>
      </c>
      <c r="C8448" s="687" t="s">
        <v>7464</v>
      </c>
      <c r="D8448" s="125"/>
    </row>
    <row r="8449">
      <c r="A8449" s="122" t="s">
        <v>34294</v>
      </c>
      <c r="B8449" s="123">
        <v>1581220.0</v>
      </c>
      <c r="C8449" s="687" t="s">
        <v>34295</v>
      </c>
      <c r="D8449" s="125"/>
    </row>
    <row r="8450">
      <c r="A8450" s="122" t="s">
        <v>6764</v>
      </c>
      <c r="B8450" s="123">
        <v>1626878.0</v>
      </c>
      <c r="C8450" s="687" t="s">
        <v>6765</v>
      </c>
      <c r="D8450" s="125"/>
    </row>
    <row r="8451">
      <c r="A8451" s="122" t="s">
        <v>4036</v>
      </c>
      <c r="B8451" s="123">
        <v>1083220.0</v>
      </c>
      <c r="C8451" s="687" t="s">
        <v>4037</v>
      </c>
      <c r="D8451" s="125"/>
    </row>
    <row r="8452">
      <c r="A8452" s="122" t="s">
        <v>14432</v>
      </c>
      <c r="B8452" s="123">
        <v>72903.0</v>
      </c>
      <c r="C8452" s="687" t="s">
        <v>14433</v>
      </c>
      <c r="D8452" s="125"/>
    </row>
    <row r="8453">
      <c r="A8453" s="122" t="s">
        <v>1433</v>
      </c>
      <c r="B8453" s="123">
        <v>1138586.0</v>
      </c>
      <c r="C8453" s="687" t="s">
        <v>1434</v>
      </c>
      <c r="D8453" s="125"/>
    </row>
    <row r="8454">
      <c r="A8454" s="122" t="s">
        <v>34296</v>
      </c>
      <c r="B8454" s="123">
        <v>1331275.0</v>
      </c>
      <c r="C8454" s="687" t="s">
        <v>34297</v>
      </c>
      <c r="D8454" s="125"/>
    </row>
    <row r="8455">
      <c r="A8455" s="122" t="s">
        <v>11171</v>
      </c>
      <c r="B8455" s="123">
        <v>1326732.0</v>
      </c>
      <c r="C8455" s="687" t="s">
        <v>11172</v>
      </c>
      <c r="D8455" s="125"/>
    </row>
    <row r="8456">
      <c r="A8456" s="122" t="s">
        <v>7341</v>
      </c>
      <c r="B8456" s="123">
        <v>1534525.0</v>
      </c>
      <c r="C8456" s="687" t="s">
        <v>7342</v>
      </c>
      <c r="D8456" s="125"/>
    </row>
    <row r="8457">
      <c r="A8457" s="122" t="s">
        <v>5952</v>
      </c>
      <c r="B8457" s="123">
        <v>1534525.0</v>
      </c>
      <c r="C8457" s="687" t="s">
        <v>5953</v>
      </c>
      <c r="D8457" s="125"/>
    </row>
    <row r="8458">
      <c r="A8458" s="122" t="s">
        <v>9983</v>
      </c>
      <c r="B8458" s="123">
        <v>1616000.0</v>
      </c>
      <c r="C8458" s="687" t="s">
        <v>9984</v>
      </c>
      <c r="D8458" s="125"/>
    </row>
    <row r="8459">
      <c r="A8459" s="122" t="s">
        <v>13900</v>
      </c>
      <c r="B8459" s="123">
        <v>1582313.0</v>
      </c>
      <c r="C8459" s="687" t="s">
        <v>13901</v>
      </c>
      <c r="D8459" s="125"/>
    </row>
    <row r="8460">
      <c r="A8460" s="122" t="s">
        <v>1138</v>
      </c>
      <c r="B8460" s="123">
        <v>1651932.0</v>
      </c>
      <c r="C8460" s="687" t="s">
        <v>1139</v>
      </c>
      <c r="D8460" s="125"/>
    </row>
    <row r="8461">
      <c r="A8461" s="122" t="s">
        <v>916</v>
      </c>
      <c r="B8461" s="123">
        <v>1481504.0</v>
      </c>
      <c r="C8461" s="687" t="s">
        <v>917</v>
      </c>
      <c r="D8461" s="125"/>
    </row>
    <row r="8462">
      <c r="A8462" s="122" t="s">
        <v>5153</v>
      </c>
      <c r="B8462" s="123">
        <v>1867096.0</v>
      </c>
      <c r="C8462" s="687" t="s">
        <v>5154</v>
      </c>
      <c r="D8462" s="125"/>
    </row>
    <row r="8463">
      <c r="A8463" s="122" t="s">
        <v>11091</v>
      </c>
      <c r="B8463" s="123">
        <v>1770450.0</v>
      </c>
      <c r="C8463" s="687" t="s">
        <v>11092</v>
      </c>
      <c r="D8463" s="125"/>
    </row>
    <row r="8464">
      <c r="A8464" s="122" t="s">
        <v>34298</v>
      </c>
      <c r="B8464" s="123">
        <v>1445175.0</v>
      </c>
      <c r="C8464" s="687" t="s">
        <v>34299</v>
      </c>
      <c r="D8464" s="125"/>
    </row>
    <row r="8465">
      <c r="A8465" s="122" t="s">
        <v>3309</v>
      </c>
      <c r="B8465" s="123">
        <v>1840233.0</v>
      </c>
      <c r="C8465" s="687" t="s">
        <v>3310</v>
      </c>
      <c r="D8465" s="125"/>
    </row>
    <row r="8466">
      <c r="A8466" s="122" t="s">
        <v>5263</v>
      </c>
      <c r="B8466" s="123">
        <v>1398453.0</v>
      </c>
      <c r="C8466" s="687" t="s">
        <v>5264</v>
      </c>
      <c r="D8466" s="125"/>
    </row>
    <row r="8467">
      <c r="A8467" s="122" t="s">
        <v>11453</v>
      </c>
      <c r="B8467" s="123">
        <v>791908.0</v>
      </c>
      <c r="C8467" s="687" t="s">
        <v>11454</v>
      </c>
      <c r="D8467" s="125"/>
    </row>
    <row r="8468">
      <c r="A8468" s="122" t="s">
        <v>12342</v>
      </c>
      <c r="B8468" s="123">
        <v>791908.0</v>
      </c>
      <c r="C8468" s="687" t="s">
        <v>12343</v>
      </c>
      <c r="D8468" s="125"/>
    </row>
    <row r="8469">
      <c r="A8469" s="122" t="s">
        <v>12266</v>
      </c>
      <c r="B8469" s="123">
        <v>791908.0</v>
      </c>
      <c r="C8469" s="687" t="s">
        <v>12267</v>
      </c>
      <c r="D8469" s="125"/>
    </row>
    <row r="8470">
      <c r="A8470" s="122" t="s">
        <v>13285</v>
      </c>
      <c r="B8470" s="123">
        <v>1657573.0</v>
      </c>
      <c r="C8470" s="687" t="s">
        <v>13286</v>
      </c>
      <c r="D8470" s="125"/>
    </row>
    <row r="8471">
      <c r="A8471" s="122" t="s">
        <v>4995</v>
      </c>
      <c r="B8471" s="123">
        <v>1729214.0</v>
      </c>
      <c r="C8471" s="687" t="s">
        <v>4996</v>
      </c>
      <c r="D8471" s="125"/>
    </row>
    <row r="8472">
      <c r="A8472" s="122" t="s">
        <v>7711</v>
      </c>
      <c r="B8472" s="123">
        <v>1819493.0</v>
      </c>
      <c r="C8472" s="687" t="s">
        <v>7712</v>
      </c>
      <c r="D8472" s="125"/>
    </row>
    <row r="8473">
      <c r="A8473" s="122" t="s">
        <v>12459</v>
      </c>
      <c r="B8473" s="123">
        <v>1787425.0</v>
      </c>
      <c r="C8473" s="687" t="s">
        <v>12460</v>
      </c>
      <c r="D8473" s="125"/>
    </row>
    <row r="8474">
      <c r="A8474" s="122" t="s">
        <v>14196</v>
      </c>
      <c r="B8474" s="123">
        <v>1767258.0</v>
      </c>
      <c r="C8474" s="687" t="s">
        <v>14197</v>
      </c>
      <c r="D8474" s="125"/>
    </row>
    <row r="8475">
      <c r="A8475" s="122" t="s">
        <v>6407</v>
      </c>
      <c r="B8475" s="123">
        <v>1810997.0</v>
      </c>
      <c r="C8475" s="687" t="s">
        <v>6408</v>
      </c>
      <c r="D8475" s="125"/>
    </row>
    <row r="8476">
      <c r="A8476" s="122" t="s">
        <v>7741</v>
      </c>
      <c r="B8476" s="123">
        <v>1810997.0</v>
      </c>
      <c r="C8476" s="687" t="s">
        <v>7742</v>
      </c>
      <c r="D8476" s="125"/>
    </row>
    <row r="8477">
      <c r="A8477" s="122" t="s">
        <v>8700</v>
      </c>
      <c r="B8477" s="123">
        <v>1803696.0</v>
      </c>
      <c r="C8477" s="687" t="s">
        <v>8701</v>
      </c>
      <c r="D8477" s="125"/>
    </row>
    <row r="8478">
      <c r="A8478" s="122" t="s">
        <v>15307</v>
      </c>
      <c r="B8478" s="123">
        <v>1166003.0</v>
      </c>
      <c r="C8478" s="687" t="s">
        <v>15308</v>
      </c>
      <c r="D8478" s="125"/>
    </row>
    <row r="8479">
      <c r="A8479" s="122" t="s">
        <v>9226</v>
      </c>
      <c r="B8479" s="123">
        <v>1802156.0</v>
      </c>
      <c r="C8479" s="687" t="s">
        <v>9227</v>
      </c>
      <c r="D8479" s="125"/>
    </row>
    <row r="8480">
      <c r="A8480" s="122" t="s">
        <v>3907</v>
      </c>
      <c r="B8480" s="123">
        <v>1453593.0</v>
      </c>
      <c r="C8480" s="687" t="s">
        <v>3908</v>
      </c>
      <c r="D8480" s="125"/>
    </row>
    <row r="8481">
      <c r="A8481" s="122" t="s">
        <v>34300</v>
      </c>
      <c r="B8481" s="123">
        <v>1429859.0</v>
      </c>
      <c r="C8481" s="687" t="s">
        <v>34301</v>
      </c>
      <c r="D8481" s="125"/>
    </row>
    <row r="8482">
      <c r="A8482" s="122" t="s">
        <v>3387</v>
      </c>
      <c r="B8482" s="123">
        <v>1288770.0</v>
      </c>
      <c r="C8482" s="687" t="s">
        <v>3388</v>
      </c>
      <c r="D8482" s="125"/>
    </row>
    <row r="8483">
      <c r="A8483" s="122" t="s">
        <v>34302</v>
      </c>
      <c r="B8483" s="123">
        <v>1379043.0</v>
      </c>
      <c r="C8483" s="687" t="s">
        <v>34303</v>
      </c>
      <c r="D8483" s="125"/>
    </row>
    <row r="8484">
      <c r="A8484" s="122" t="s">
        <v>4377</v>
      </c>
      <c r="B8484" s="123">
        <v>1510593.0</v>
      </c>
      <c r="C8484" s="687" t="s">
        <v>4378</v>
      </c>
      <c r="D8484" s="125"/>
    </row>
    <row r="8485">
      <c r="A8485" s="122" t="s">
        <v>2446</v>
      </c>
      <c r="B8485" s="123">
        <v>1772720.0</v>
      </c>
      <c r="C8485" s="687" t="s">
        <v>2447</v>
      </c>
      <c r="D8485" s="125"/>
    </row>
    <row r="8486">
      <c r="A8486" s="122" t="s">
        <v>15576</v>
      </c>
      <c r="B8486" s="123">
        <v>1524472.0</v>
      </c>
      <c r="C8486" s="687" t="s">
        <v>15577</v>
      </c>
      <c r="D8486" s="125"/>
    </row>
    <row r="8487">
      <c r="A8487" s="122" t="s">
        <v>10195</v>
      </c>
      <c r="B8487" s="123">
        <v>1722964.0</v>
      </c>
      <c r="C8487" s="687" t="s">
        <v>10196</v>
      </c>
      <c r="D8487" s="125"/>
    </row>
    <row r="8488">
      <c r="A8488" s="122" t="s">
        <v>6048</v>
      </c>
      <c r="B8488" s="123">
        <v>1311673.0</v>
      </c>
      <c r="C8488" s="687" t="s">
        <v>6049</v>
      </c>
      <c r="D8488" s="125"/>
    </row>
    <row r="8489">
      <c r="A8489" s="122" t="s">
        <v>11196</v>
      </c>
      <c r="B8489" s="123">
        <v>1513845.0</v>
      </c>
      <c r="C8489" s="687" t="s">
        <v>11197</v>
      </c>
      <c r="D8489" s="125"/>
    </row>
    <row r="8490">
      <c r="A8490" s="122" t="s">
        <v>34304</v>
      </c>
      <c r="B8490" s="123">
        <v>1487843.0</v>
      </c>
      <c r="C8490" s="687" t="s">
        <v>34305</v>
      </c>
      <c r="D8490" s="125"/>
    </row>
    <row r="8491">
      <c r="A8491" s="122" t="s">
        <v>3243</v>
      </c>
      <c r="B8491" s="123">
        <v>1875496.0</v>
      </c>
      <c r="C8491" s="687" t="s">
        <v>3244</v>
      </c>
      <c r="D8491" s="125"/>
    </row>
    <row r="8492">
      <c r="A8492" s="122" t="s">
        <v>4501</v>
      </c>
      <c r="B8492" s="123">
        <v>1516899.0</v>
      </c>
      <c r="C8492" s="687" t="s">
        <v>4502</v>
      </c>
      <c r="D8492" s="125"/>
    </row>
    <row r="8493">
      <c r="A8493" s="122" t="s">
        <v>3251</v>
      </c>
      <c r="B8493" s="123">
        <v>1819580.0</v>
      </c>
      <c r="C8493" s="687" t="s">
        <v>3252</v>
      </c>
      <c r="D8493" s="125"/>
    </row>
    <row r="8494">
      <c r="A8494" s="122" t="s">
        <v>3787</v>
      </c>
      <c r="B8494" s="123">
        <v>1794276.0</v>
      </c>
      <c r="C8494" s="687" t="s">
        <v>3788</v>
      </c>
      <c r="D8494" s="125"/>
    </row>
    <row r="8495">
      <c r="A8495" s="122" t="s">
        <v>8313</v>
      </c>
      <c r="B8495" s="123">
        <v>775368.0</v>
      </c>
      <c r="C8495" s="687" t="s">
        <v>8314</v>
      </c>
      <c r="D8495" s="125"/>
    </row>
    <row r="8496">
      <c r="A8496" s="122" t="s">
        <v>13816</v>
      </c>
      <c r="B8496" s="123">
        <v>1345016.0</v>
      </c>
      <c r="C8496" s="687" t="s">
        <v>13817</v>
      </c>
      <c r="D8496" s="125"/>
    </row>
    <row r="8497">
      <c r="A8497" s="122" t="s">
        <v>13798</v>
      </c>
      <c r="B8497" s="123">
        <v>1670592.0</v>
      </c>
      <c r="C8497" s="687" t="s">
        <v>13799</v>
      </c>
      <c r="D8497" s="125"/>
    </row>
    <row r="8498">
      <c r="A8498" s="122" t="s">
        <v>7049</v>
      </c>
      <c r="B8498" s="123">
        <v>1614178.0</v>
      </c>
      <c r="C8498" s="687" t="s">
        <v>7050</v>
      </c>
      <c r="D8498" s="125"/>
    </row>
    <row r="8499">
      <c r="A8499" s="122" t="s">
        <v>2413</v>
      </c>
      <c r="B8499" s="123">
        <v>1121702.0</v>
      </c>
      <c r="C8499" s="687" t="s">
        <v>2414</v>
      </c>
      <c r="D8499" s="125"/>
    </row>
    <row r="8500">
      <c r="A8500" s="122" t="s">
        <v>3199</v>
      </c>
      <c r="B8500" s="123">
        <v>1699709.0</v>
      </c>
      <c r="C8500" s="687" t="s">
        <v>3200</v>
      </c>
      <c r="D8500" s="125"/>
    </row>
    <row r="8501">
      <c r="A8501" s="122" t="s">
        <v>2149</v>
      </c>
      <c r="B8501" s="123">
        <v>1438461.0</v>
      </c>
      <c r="C8501" s="687" t="s">
        <v>2150</v>
      </c>
      <c r="D8501" s="125"/>
    </row>
    <row r="8502">
      <c r="A8502" s="122" t="s">
        <v>6301</v>
      </c>
      <c r="B8502" s="123">
        <v>1631761.0</v>
      </c>
      <c r="C8502" s="687" t="s">
        <v>6302</v>
      </c>
      <c r="D8502" s="125"/>
    </row>
    <row r="8503">
      <c r="A8503" s="122" t="s">
        <v>34306</v>
      </c>
      <c r="B8503" s="123">
        <v>1284454.0</v>
      </c>
      <c r="C8503" s="687" t="s">
        <v>34307</v>
      </c>
      <c r="D8503" s="125"/>
    </row>
    <row r="8504">
      <c r="A8504" s="122" t="s">
        <v>6289</v>
      </c>
      <c r="B8504" s="123">
        <v>1898604.0</v>
      </c>
      <c r="C8504" s="687" t="s">
        <v>6290</v>
      </c>
      <c r="D8504" s="125"/>
    </row>
    <row r="8505">
      <c r="A8505" s="122" t="s">
        <v>2454</v>
      </c>
      <c r="B8505" s="123">
        <v>1836242.0</v>
      </c>
      <c r="C8505" s="687" t="s">
        <v>2455</v>
      </c>
      <c r="D8505" s="125"/>
    </row>
    <row r="8506">
      <c r="A8506" s="122" t="s">
        <v>962</v>
      </c>
      <c r="B8506" s="123">
        <v>1907730.0</v>
      </c>
      <c r="C8506" s="687" t="s">
        <v>963</v>
      </c>
      <c r="D8506" s="125"/>
    </row>
    <row r="8507">
      <c r="A8507" s="122" t="s">
        <v>8702</v>
      </c>
      <c r="B8507" s="123">
        <v>1907730.0</v>
      </c>
      <c r="C8507" s="687" t="s">
        <v>8703</v>
      </c>
      <c r="D8507" s="125"/>
    </row>
    <row r="8508">
      <c r="A8508" s="122" t="s">
        <v>9564</v>
      </c>
      <c r="B8508" s="123">
        <v>1907730.0</v>
      </c>
      <c r="C8508" s="687" t="s">
        <v>9565</v>
      </c>
      <c r="D8508" s="125"/>
    </row>
    <row r="8509">
      <c r="A8509" s="122" t="s">
        <v>1654</v>
      </c>
      <c r="B8509" s="123">
        <v>1692068.0</v>
      </c>
      <c r="C8509" s="687" t="s">
        <v>1655</v>
      </c>
      <c r="D8509" s="125"/>
    </row>
    <row r="8510">
      <c r="A8510" s="122" t="s">
        <v>5794</v>
      </c>
      <c r="B8510" s="123">
        <v>1781753.0</v>
      </c>
      <c r="C8510" s="687" t="s">
        <v>5795</v>
      </c>
      <c r="D8510" s="125"/>
    </row>
    <row r="8511">
      <c r="A8511" s="122" t="s">
        <v>10883</v>
      </c>
      <c r="B8511" s="123">
        <v>904851.0</v>
      </c>
      <c r="C8511" s="687" t="s">
        <v>10884</v>
      </c>
      <c r="D8511" s="125"/>
    </row>
    <row r="8512">
      <c r="A8512" s="122" t="s">
        <v>2600</v>
      </c>
      <c r="B8512" s="123">
        <v>895464.0</v>
      </c>
      <c r="C8512" s="687" t="s">
        <v>2601</v>
      </c>
      <c r="D8512" s="125"/>
    </row>
    <row r="8513">
      <c r="A8513" s="122" t="s">
        <v>583</v>
      </c>
      <c r="B8513" s="123">
        <v>1624517.0</v>
      </c>
      <c r="C8513" s="687" t="s">
        <v>584</v>
      </c>
      <c r="D8513" s="125"/>
    </row>
    <row r="8514">
      <c r="A8514" s="122" t="s">
        <v>755</v>
      </c>
      <c r="B8514" s="123">
        <v>1886958.0</v>
      </c>
      <c r="C8514" s="687" t="s">
        <v>756</v>
      </c>
      <c r="D8514" s="125"/>
    </row>
    <row r="8515">
      <c r="A8515" s="122" t="s">
        <v>13253</v>
      </c>
      <c r="B8515" s="123">
        <v>1673358.0</v>
      </c>
      <c r="C8515" s="687" t="s">
        <v>13254</v>
      </c>
      <c r="D8515" s="125"/>
    </row>
    <row r="8516">
      <c r="A8516" s="122" t="s">
        <v>15715</v>
      </c>
      <c r="B8516" s="123">
        <v>1041061.0</v>
      </c>
      <c r="C8516" s="687" t="s">
        <v>15716</v>
      </c>
      <c r="D8516" s="125"/>
    </row>
    <row r="8517">
      <c r="A8517" s="122" t="s">
        <v>34308</v>
      </c>
      <c r="B8517" s="123">
        <v>1672326.0</v>
      </c>
      <c r="C8517" s="687" t="s">
        <v>34309</v>
      </c>
      <c r="D8517" s="125"/>
    </row>
    <row r="8518">
      <c r="A8518" s="122" t="s">
        <v>3959</v>
      </c>
      <c r="B8518" s="123">
        <v>1073748.0</v>
      </c>
      <c r="C8518" s="687" t="s">
        <v>3960</v>
      </c>
      <c r="D8518" s="125"/>
    </row>
    <row r="8519">
      <c r="A8519" s="122" t="s">
        <v>3277</v>
      </c>
      <c r="B8519" s="123">
        <v>1759614.0</v>
      </c>
      <c r="C8519" s="687" t="s">
        <v>3278</v>
      </c>
      <c r="D8519" s="125"/>
    </row>
    <row r="8520">
      <c r="A8520" s="122" t="s">
        <v>34310</v>
      </c>
      <c r="B8520" s="123">
        <v>1893124.0</v>
      </c>
      <c r="C8520" s="687" t="s">
        <v>34311</v>
      </c>
      <c r="D8520" s="125"/>
    </row>
    <row r="8521">
      <c r="A8521" s="122" t="s">
        <v>11871</v>
      </c>
      <c r="B8521" s="123">
        <v>1704292.0</v>
      </c>
      <c r="C8521" s="687" t="s">
        <v>11872</v>
      </c>
      <c r="D8521" s="125"/>
    </row>
    <row r="8522">
      <c r="A8522" s="122" t="s">
        <v>8799</v>
      </c>
      <c r="B8522" s="123">
        <v>1846750.0</v>
      </c>
      <c r="C8522" s="687" t="s">
        <v>8800</v>
      </c>
      <c r="D8522" s="125"/>
    </row>
    <row r="8523">
      <c r="A8523" s="122" t="s">
        <v>16572</v>
      </c>
      <c r="B8523" s="123">
        <v>1674988.0</v>
      </c>
      <c r="C8523" s="687" t="s">
        <v>16573</v>
      </c>
      <c r="D8523" s="125"/>
    </row>
    <row r="8524">
      <c r="A8524" s="122" t="s">
        <v>16315</v>
      </c>
      <c r="B8524" s="123">
        <v>877212.0</v>
      </c>
      <c r="C8524" s="687" t="s">
        <v>16316</v>
      </c>
      <c r="D8524" s="125"/>
    </row>
    <row r="8525">
      <c r="A8525" s="122" t="s">
        <v>9446</v>
      </c>
      <c r="B8525" s="123">
        <v>1725160.0</v>
      </c>
      <c r="C8525" s="687" t="s">
        <v>9447</v>
      </c>
      <c r="D8525" s="125"/>
    </row>
    <row r="8526">
      <c r="A8526" s="122" t="s">
        <v>4741</v>
      </c>
      <c r="B8526" s="123">
        <v>1463172.0</v>
      </c>
      <c r="C8526" s="687" t="s">
        <v>4258</v>
      </c>
      <c r="D8526" s="125"/>
    </row>
    <row r="8527">
      <c r="A8527" s="122" t="s">
        <v>4257</v>
      </c>
      <c r="B8527" s="123">
        <v>1904501.0</v>
      </c>
      <c r="C8527" s="687" t="s">
        <v>4258</v>
      </c>
      <c r="D8527" s="125"/>
    </row>
    <row r="8528">
      <c r="A8528" s="122" t="s">
        <v>3970</v>
      </c>
      <c r="B8528" s="123">
        <v>1836934.0</v>
      </c>
      <c r="C8528" s="687" t="s">
        <v>3971</v>
      </c>
      <c r="D8528" s="125"/>
    </row>
    <row r="8529">
      <c r="A8529" s="122" t="s">
        <v>4050</v>
      </c>
      <c r="B8529" s="123">
        <v>1720446.0</v>
      </c>
      <c r="C8529" s="687" t="s">
        <v>4051</v>
      </c>
      <c r="D8529" s="125"/>
    </row>
    <row r="8530">
      <c r="A8530" s="122" t="s">
        <v>34312</v>
      </c>
      <c r="B8530" s="123">
        <v>1285543.0</v>
      </c>
      <c r="C8530" s="687" t="s">
        <v>34313</v>
      </c>
      <c r="D8530" s="125"/>
    </row>
    <row r="8531">
      <c r="A8531" s="122" t="s">
        <v>34314</v>
      </c>
      <c r="B8531" s="123">
        <v>1574186.0</v>
      </c>
      <c r="C8531" s="687" t="s">
        <v>34315</v>
      </c>
      <c r="D8531" s="125"/>
    </row>
    <row r="8532">
      <c r="A8532" s="122" t="s">
        <v>1010</v>
      </c>
      <c r="B8532" s="123">
        <v>1823575.0</v>
      </c>
      <c r="C8532" s="687" t="s">
        <v>1011</v>
      </c>
      <c r="D8532" s="125"/>
    </row>
    <row r="8533">
      <c r="A8533" s="122" t="s">
        <v>3699</v>
      </c>
      <c r="B8533" s="123">
        <v>1823575.0</v>
      </c>
      <c r="C8533" s="687" t="s">
        <v>3700</v>
      </c>
      <c r="D8533" s="125"/>
    </row>
    <row r="8534">
      <c r="A8534" s="122" t="s">
        <v>8298</v>
      </c>
      <c r="B8534" s="123">
        <v>1851003.0</v>
      </c>
      <c r="C8534" s="687" t="s">
        <v>8299</v>
      </c>
      <c r="D8534" s="125"/>
    </row>
    <row r="8535">
      <c r="A8535" s="122" t="s">
        <v>7583</v>
      </c>
      <c r="B8535" s="123">
        <v>1687926.0</v>
      </c>
      <c r="C8535" s="687" t="s">
        <v>7584</v>
      </c>
      <c r="D8535" s="125"/>
    </row>
    <row r="8536">
      <c r="A8536" s="122" t="s">
        <v>4489</v>
      </c>
      <c r="B8536" s="123">
        <v>1854139.0</v>
      </c>
      <c r="C8536" s="687" t="s">
        <v>4490</v>
      </c>
      <c r="D8536" s="125"/>
    </row>
    <row r="8537">
      <c r="A8537" s="122" t="s">
        <v>4884</v>
      </c>
      <c r="B8537" s="123">
        <v>1594204.0</v>
      </c>
      <c r="C8537" s="687" t="s">
        <v>4885</v>
      </c>
      <c r="D8537" s="125"/>
    </row>
    <row r="8538">
      <c r="A8538" s="122" t="s">
        <v>3449</v>
      </c>
      <c r="B8538" s="123">
        <v>1835724.0</v>
      </c>
      <c r="C8538" s="687" t="s">
        <v>3450</v>
      </c>
      <c r="D8538" s="125"/>
    </row>
    <row r="8539">
      <c r="A8539" s="122" t="s">
        <v>6075</v>
      </c>
      <c r="B8539" s="123">
        <v>1672886.0</v>
      </c>
      <c r="C8539" s="687" t="s">
        <v>6076</v>
      </c>
      <c r="D8539" s="125"/>
    </row>
    <row r="8540">
      <c r="A8540" s="122" t="s">
        <v>2592</v>
      </c>
      <c r="B8540" s="123">
        <v>1785566.0</v>
      </c>
      <c r="C8540" s="687" t="s">
        <v>2593</v>
      </c>
      <c r="D8540" s="125"/>
    </row>
    <row r="8541">
      <c r="A8541" s="122" t="s">
        <v>5237</v>
      </c>
      <c r="B8541" s="123">
        <v>1495686.0</v>
      </c>
      <c r="C8541" s="687" t="s">
        <v>5238</v>
      </c>
      <c r="D8541" s="125"/>
    </row>
    <row r="8542">
      <c r="A8542" s="122" t="s">
        <v>10798</v>
      </c>
      <c r="B8542" s="123">
        <v>1495686.0</v>
      </c>
      <c r="C8542" s="687" t="s">
        <v>10799</v>
      </c>
      <c r="D8542" s="125"/>
    </row>
    <row r="8543">
      <c r="A8543" s="122" t="s">
        <v>34316</v>
      </c>
      <c r="B8543" s="123">
        <v>1465311.0</v>
      </c>
      <c r="C8543" s="687" t="s">
        <v>34317</v>
      </c>
      <c r="D8543" s="125"/>
    </row>
    <row r="8544">
      <c r="A8544" s="122" t="s">
        <v>14711</v>
      </c>
      <c r="B8544" s="123">
        <v>1084048.0</v>
      </c>
      <c r="C8544" s="687" t="s">
        <v>14712</v>
      </c>
      <c r="D8544" s="125"/>
    </row>
    <row r="8545">
      <c r="A8545" s="122" t="s">
        <v>14303</v>
      </c>
      <c r="B8545" s="123">
        <v>1617640.0</v>
      </c>
      <c r="C8545" s="687" t="s">
        <v>14304</v>
      </c>
      <c r="D8545" s="125"/>
    </row>
    <row r="8546">
      <c r="A8546" s="122" t="s">
        <v>14362</v>
      </c>
      <c r="B8546" s="123">
        <v>1617640.0</v>
      </c>
      <c r="C8546" s="687" t="s">
        <v>14363</v>
      </c>
      <c r="D8546" s="125"/>
    </row>
    <row r="8547">
      <c r="A8547" s="122" t="s">
        <v>9945</v>
      </c>
      <c r="B8547" s="123">
        <v>1654126.0</v>
      </c>
      <c r="C8547" s="687" t="s">
        <v>9946</v>
      </c>
      <c r="D8547" s="125"/>
    </row>
    <row r="8548">
      <c r="A8548" s="122" t="s">
        <v>15689</v>
      </c>
      <c r="B8548" s="123">
        <v>1136869.0</v>
      </c>
      <c r="C8548" s="687" t="s">
        <v>15690</v>
      </c>
      <c r="D8548" s="125"/>
    </row>
    <row r="8549">
      <c r="A8549" s="122" t="s">
        <v>11026</v>
      </c>
      <c r="B8549" s="123">
        <v>1876588.0</v>
      </c>
      <c r="C8549" s="687" t="s">
        <v>11027</v>
      </c>
      <c r="D8549" s="125"/>
    </row>
    <row r="8550">
      <c r="A8550" s="122" t="s">
        <v>1541</v>
      </c>
      <c r="B8550" s="123">
        <v>1131312.0</v>
      </c>
      <c r="C8550" s="687" t="s">
        <v>1542</v>
      </c>
      <c r="D8550" s="125"/>
    </row>
    <row r="8551">
      <c r="A8551" s="122" t="s">
        <v>13535</v>
      </c>
      <c r="B8551" s="123">
        <v>109380.0</v>
      </c>
      <c r="C8551" s="687" t="s">
        <v>13536</v>
      </c>
      <c r="D8551" s="125"/>
    </row>
    <row r="8552">
      <c r="A8552" s="122" t="s">
        <v>12400</v>
      </c>
      <c r="B8552" s="123">
        <v>109380.0</v>
      </c>
      <c r="C8552" s="687" t="s">
        <v>12401</v>
      </c>
      <c r="D8552" s="125"/>
    </row>
    <row r="8553">
      <c r="A8553" s="122" t="s">
        <v>11347</v>
      </c>
      <c r="B8553" s="123">
        <v>109380.0</v>
      </c>
      <c r="C8553" s="687" t="s">
        <v>11348</v>
      </c>
      <c r="D8553" s="125"/>
    </row>
    <row r="8554">
      <c r="A8554" s="122" t="s">
        <v>12467</v>
      </c>
      <c r="B8554" s="123">
        <v>109380.0</v>
      </c>
      <c r="C8554" s="687" t="s">
        <v>12468</v>
      </c>
      <c r="D8554" s="125"/>
    </row>
    <row r="8555">
      <c r="A8555" s="122" t="s">
        <v>10225</v>
      </c>
      <c r="B8555" s="123">
        <v>1617553.0</v>
      </c>
      <c r="C8555" s="687" t="s">
        <v>10226</v>
      </c>
      <c r="D8555" s="125"/>
    </row>
    <row r="8556">
      <c r="A8556" s="122" t="s">
        <v>7402</v>
      </c>
      <c r="B8556" s="123">
        <v>1101026.0</v>
      </c>
      <c r="C8556" s="687" t="s">
        <v>7403</v>
      </c>
      <c r="D8556" s="125"/>
    </row>
    <row r="8557">
      <c r="A8557" s="122" t="s">
        <v>3405</v>
      </c>
      <c r="B8557" s="123">
        <v>1687451.0</v>
      </c>
      <c r="C8557" s="687" t="s">
        <v>3406</v>
      </c>
      <c r="D8557" s="125"/>
    </row>
    <row r="8558">
      <c r="A8558" s="122" t="s">
        <v>34318</v>
      </c>
      <c r="B8558" s="123">
        <v>1568875.0</v>
      </c>
      <c r="C8558" s="687" t="s">
        <v>34319</v>
      </c>
      <c r="D8558" s="125"/>
    </row>
    <row r="8559">
      <c r="A8559" s="122" t="s">
        <v>16110</v>
      </c>
      <c r="B8559" s="123">
        <v>1555280.0</v>
      </c>
      <c r="C8559" s="687" t="s">
        <v>16111</v>
      </c>
      <c r="D8559" s="125"/>
    </row>
    <row r="8560">
      <c r="A8560" s="122" t="s">
        <v>2009</v>
      </c>
      <c r="B8560" s="123">
        <v>1684144.0</v>
      </c>
      <c r="C8560" s="687" t="s">
        <v>2010</v>
      </c>
      <c r="D8560" s="125"/>
    </row>
    <row r="8561">
      <c r="A8561" s="122" t="s">
        <v>2925</v>
      </c>
      <c r="B8561" s="123">
        <v>1279620.0</v>
      </c>
      <c r="C8561" s="687" t="s">
        <v>2926</v>
      </c>
      <c r="D8561" s="125"/>
    </row>
    <row r="8562">
      <c r="A8562" s="122" t="s">
        <v>14597</v>
      </c>
      <c r="B8562" s="123">
        <v>1585521.0</v>
      </c>
      <c r="C8562" s="687" t="s">
        <v>14598</v>
      </c>
      <c r="D8562" s="125"/>
    </row>
    <row r="8563">
      <c r="A8563" s="122" t="s">
        <v>10495</v>
      </c>
      <c r="B8563" s="123">
        <v>1794515.0</v>
      </c>
      <c r="C8563" s="687" t="s">
        <v>10496</v>
      </c>
      <c r="D8563" s="125"/>
    </row>
    <row r="8564">
      <c r="A8564" s="122" t="s">
        <v>34320</v>
      </c>
      <c r="B8564" s="123">
        <v>1635748.0</v>
      </c>
      <c r="C8564" s="687" t="s">
        <v>34321</v>
      </c>
      <c r="D8564" s="125"/>
    </row>
    <row r="8565">
      <c r="A8565" s="122" t="s">
        <v>16301</v>
      </c>
      <c r="B8565" s="123">
        <v>1713683.0</v>
      </c>
      <c r="C8565" s="687" t="s">
        <v>16302</v>
      </c>
      <c r="D8565" s="125"/>
    </row>
    <row r="8566">
      <c r="A8566" s="122" t="s">
        <v>10671</v>
      </c>
      <c r="B8566" s="123">
        <v>1677250.0</v>
      </c>
      <c r="C8566" s="687" t="s">
        <v>10672</v>
      </c>
      <c r="D8566" s="125"/>
    </row>
    <row r="8567">
      <c r="A8567" s="122" t="s">
        <v>10972</v>
      </c>
      <c r="B8567" s="123">
        <v>1318008.0</v>
      </c>
      <c r="C8567" s="687" t="s">
        <v>10973</v>
      </c>
      <c r="D8567" s="125"/>
    </row>
    <row r="8568">
      <c r="A8568" s="122" t="s">
        <v>7926</v>
      </c>
      <c r="B8568" s="123">
        <v>1423774.0</v>
      </c>
      <c r="C8568" s="687" t="s">
        <v>7927</v>
      </c>
      <c r="D8568" s="125"/>
    </row>
    <row r="8569">
      <c r="A8569" s="122" t="s">
        <v>12868</v>
      </c>
      <c r="B8569" s="123">
        <v>1439288.0</v>
      </c>
      <c r="C8569" s="687" t="s">
        <v>12869</v>
      </c>
      <c r="D8569" s="125"/>
    </row>
    <row r="8570">
      <c r="A8570" s="122" t="s">
        <v>3693</v>
      </c>
      <c r="B8570" s="123">
        <v>1376321.0</v>
      </c>
      <c r="C8570" s="687" t="s">
        <v>3694</v>
      </c>
      <c r="D8570" s="125"/>
    </row>
    <row r="8571">
      <c r="A8571" s="122" t="s">
        <v>9081</v>
      </c>
      <c r="B8571" s="123">
        <v>1403752.0</v>
      </c>
      <c r="C8571" s="687" t="s">
        <v>9082</v>
      </c>
      <c r="D8571" s="125"/>
    </row>
    <row r="8572">
      <c r="A8572" s="122" t="s">
        <v>9497</v>
      </c>
      <c r="B8572" s="123">
        <v>846475.0</v>
      </c>
      <c r="C8572" s="687" t="s">
        <v>9498</v>
      </c>
      <c r="D8572" s="125"/>
    </row>
    <row r="8573">
      <c r="A8573" s="122" t="s">
        <v>12759</v>
      </c>
      <c r="B8573" s="123">
        <v>1675149.0</v>
      </c>
      <c r="C8573" s="687" t="s">
        <v>12760</v>
      </c>
      <c r="D8573" s="125"/>
    </row>
    <row r="8574">
      <c r="A8574" s="122" t="s">
        <v>34322</v>
      </c>
      <c r="B8574" s="123">
        <v>1829432.0</v>
      </c>
      <c r="C8574" s="687" t="str">
        <f>IFERROR(__xludf.DUMMYFUNCTION("GOOGLEFINANCE(A8574,""name"")"),"#N/A")</f>
        <v>#N/A</v>
      </c>
      <c r="D8574" s="125"/>
    </row>
    <row r="8575">
      <c r="A8575" s="122" t="s">
        <v>34323</v>
      </c>
      <c r="B8575" s="123">
        <v>1829432.0</v>
      </c>
      <c r="C8575" s="687" t="str">
        <f>IFERROR(__xludf.DUMMYFUNCTION("GOOGLEFINANCE(A8575,""name"")"),"#N/A")</f>
        <v>#N/A</v>
      </c>
      <c r="D8575" s="125"/>
    </row>
    <row r="8576">
      <c r="A8576" s="122" t="s">
        <v>34324</v>
      </c>
      <c r="B8576" s="123">
        <v>1822365.0</v>
      </c>
      <c r="C8576" s="687" t="str">
        <f>IFERROR(__xludf.DUMMYFUNCTION("GOOGLEFINANCE(""aacp"",""name"")"),"#N/A")</f>
        <v>#N/A</v>
      </c>
      <c r="D8576" s="125"/>
    </row>
    <row r="8577">
      <c r="A8577" s="122" t="s">
        <v>34325</v>
      </c>
      <c r="B8577" s="123">
        <v>1209028.0</v>
      </c>
      <c r="C8577" s="687" t="str">
        <f>IFERROR(__xludf.DUMMYFUNCTION("GOOGLEFINANCE(A8577,""name"")"),"#N/A")</f>
        <v>#N/A</v>
      </c>
      <c r="D8577" s="125"/>
    </row>
    <row r="8578">
      <c r="A8578" s="122" t="s">
        <v>34326</v>
      </c>
      <c r="B8578" s="123">
        <v>1209028.0</v>
      </c>
      <c r="C8578" s="687" t="str">
        <f>IFERROR(__xludf.DUMMYFUNCTION("GOOGLEFINANCE(A8578,""name"")"),"#N/A")</f>
        <v>#N/A</v>
      </c>
      <c r="D8578" s="125"/>
    </row>
    <row r="8579">
      <c r="A8579" s="122" t="s">
        <v>34327</v>
      </c>
      <c r="B8579" s="123">
        <v>1209028.0</v>
      </c>
      <c r="C8579" s="687" t="str">
        <f>IFERROR(__xludf.DUMMYFUNCTION("GOOGLEFINANCE(A8579,""name"")"),"#N/A")</f>
        <v>#N/A</v>
      </c>
      <c r="D8579" s="125"/>
    </row>
    <row r="8580">
      <c r="A8580" s="122" t="s">
        <v>34328</v>
      </c>
      <c r="B8580" s="123">
        <v>1754927.0</v>
      </c>
      <c r="C8580" s="687" t="str">
        <f>IFERROR(__xludf.DUMMYFUNCTION("GOOGLEFINANCE(A8580,""name"")"),"#N/A")</f>
        <v>#N/A</v>
      </c>
      <c r="D8580" s="125"/>
    </row>
    <row r="8581">
      <c r="A8581" s="122" t="s">
        <v>34329</v>
      </c>
      <c r="B8581" s="123">
        <v>1209028.0</v>
      </c>
      <c r="C8581" s="687" t="str">
        <f>IFERROR(__xludf.DUMMYFUNCTION("GOOGLEFINANCE(A8581,""name"")"),"#N/A")</f>
        <v>#N/A</v>
      </c>
      <c r="D8581" s="125"/>
    </row>
    <row r="8582">
      <c r="A8582" s="122" t="s">
        <v>34330</v>
      </c>
      <c r="B8582" s="123">
        <v>1411494.0</v>
      </c>
      <c r="C8582" s="687" t="str">
        <f>IFERROR(__xludf.DUMMYFUNCTION("GOOGLEFINANCE(A8582,""name"")"),"#N/A")</f>
        <v>#N/A</v>
      </c>
      <c r="D8582" s="125"/>
    </row>
    <row r="8583">
      <c r="A8583" s="122" t="s">
        <v>34331</v>
      </c>
      <c r="B8583" s="123">
        <v>1411494.0</v>
      </c>
      <c r="C8583" s="687" t="str">
        <f>IFERROR(__xludf.DUMMYFUNCTION("GOOGLEFINANCE(A8583,""name"")"),"#N/A")</f>
        <v>#N/A</v>
      </c>
      <c r="D8583" s="125"/>
    </row>
    <row r="8584">
      <c r="A8584" s="122" t="s">
        <v>34332</v>
      </c>
      <c r="B8584" s="123">
        <v>1838883.0</v>
      </c>
      <c r="C8584" s="687" t="str">
        <f>IFERROR(__xludf.DUMMYFUNCTION("GOOGLEFINANCE(A8584,""name"")"),"#N/A")</f>
        <v>#N/A</v>
      </c>
      <c r="D8584" s="125"/>
    </row>
    <row r="8585">
      <c r="A8585" s="122" t="s">
        <v>34333</v>
      </c>
      <c r="B8585" s="123">
        <v>1838883.0</v>
      </c>
      <c r="C8585" s="687" t="str">
        <f>IFERROR(__xludf.DUMMYFUNCTION("GOOGLEFINANCE(A8585,""name"")"),"#N/A")</f>
        <v>#N/A</v>
      </c>
      <c r="D8585" s="125"/>
    </row>
    <row r="8586">
      <c r="A8586" s="122" t="s">
        <v>34334</v>
      </c>
      <c r="B8586" s="123">
        <v>1838883.0</v>
      </c>
      <c r="C8586" s="687" t="str">
        <f>IFERROR(__xludf.DUMMYFUNCTION("GOOGLEFINANCE(A8586,""name"")"),"#N/A")</f>
        <v>#N/A</v>
      </c>
      <c r="D8586" s="125"/>
    </row>
    <row r="8587">
      <c r="A8587" s="122" t="s">
        <v>34335</v>
      </c>
      <c r="B8587" s="123">
        <v>1713210.0</v>
      </c>
      <c r="C8587" s="687" t="str">
        <f>IFERROR(__xludf.DUMMYFUNCTION("GOOGLEFINANCE(""AATP"",""name"")"),"#N/A")</f>
        <v>#N/A</v>
      </c>
      <c r="D8587" s="125"/>
    </row>
    <row r="8588">
      <c r="A8588" s="122" t="s">
        <v>34336</v>
      </c>
      <c r="B8588" s="123">
        <v>1135185.0</v>
      </c>
      <c r="C8588" s="687" t="str">
        <f>IFERROR(__xludf.DUMMYFUNCTION("GOOGLEFINANCE(A8588,""name"")"),"#N/A")</f>
        <v>#N/A</v>
      </c>
      <c r="D8588" s="125"/>
    </row>
    <row r="8589">
      <c r="A8589" s="122" t="s">
        <v>34337</v>
      </c>
      <c r="B8589" s="123">
        <v>825313.0</v>
      </c>
      <c r="C8589" s="687" t="str">
        <f>IFERROR(__xludf.DUMMYFUNCTION("GOOGLEFINANCE(A8589,""name"")"),"Alliancebernstein Holding LP")</f>
        <v>Alliancebernstein Holding LP</v>
      </c>
      <c r="D8589" s="125"/>
    </row>
    <row r="8590">
      <c r="A8590" s="122" t="s">
        <v>34338</v>
      </c>
      <c r="B8590" s="123">
        <v>1492074.0</v>
      </c>
      <c r="C8590" s="687" t="str">
        <f>IFERROR(__xludf.DUMMYFUNCTION("GOOGLEFINANCE(A8590,""name"")"),"#N/A")</f>
        <v>#N/A</v>
      </c>
      <c r="D8590" s="125"/>
    </row>
    <row r="8591">
      <c r="A8591" s="122" t="s">
        <v>34339</v>
      </c>
      <c r="B8591" s="123">
        <v>1833764.0</v>
      </c>
      <c r="C8591" s="687" t="str">
        <f>IFERROR(__xludf.DUMMYFUNCTION("GOOGLEFINANCE(A8591,""name"")"),"#N/A")</f>
        <v>#N/A</v>
      </c>
      <c r="D8591" s="125"/>
    </row>
    <row r="8592">
      <c r="A8592" s="122" t="s">
        <v>34340</v>
      </c>
      <c r="B8592" s="123">
        <v>815094.0</v>
      </c>
      <c r="C8592" s="687" t="str">
        <f>IFERROR(__xludf.DUMMYFUNCTION("GOOGLEFINANCE(A8592,""name"")"),"#N/A")</f>
        <v>#N/A</v>
      </c>
      <c r="D8592" s="125"/>
    </row>
    <row r="8593">
      <c r="A8593" s="122" t="s">
        <v>34341</v>
      </c>
      <c r="B8593" s="123">
        <v>1576873.0</v>
      </c>
      <c r="C8593" s="687" t="str">
        <f>IFERROR(__xludf.DUMMYFUNCTION("GOOGLEFINANCE(A8593,""name"")"),"#N/A")</f>
        <v>#N/A</v>
      </c>
      <c r="D8593" s="125"/>
    </row>
    <row r="8594">
      <c r="A8594" s="122" t="s">
        <v>34342</v>
      </c>
      <c r="B8594" s="123">
        <v>1253986.0</v>
      </c>
      <c r="C8594" s="687" t="str">
        <f>IFERROR(__xludf.DUMMYFUNCTION("GOOGLEFINANCE(A8594,""name"")"),"#N/A")</f>
        <v>#N/A</v>
      </c>
      <c r="D8594" s="125"/>
    </row>
    <row r="8595">
      <c r="A8595" s="122" t="s">
        <v>34343</v>
      </c>
      <c r="B8595" s="123">
        <v>1253986.0</v>
      </c>
      <c r="C8595" s="687" t="str">
        <f>IFERROR(__xludf.DUMMYFUNCTION("GOOGLEFINANCE(A8595,""name"")"),"#N/A")</f>
        <v>#N/A</v>
      </c>
      <c r="D8595" s="125"/>
    </row>
    <row r="8596">
      <c r="A8596" s="122" t="s">
        <v>34344</v>
      </c>
      <c r="B8596" s="123">
        <v>1253986.0</v>
      </c>
      <c r="C8596" s="687" t="str">
        <f>IFERROR(__xludf.DUMMYFUNCTION("GOOGLEFINANCE(A8596,""name"")"),"#N/A")</f>
        <v>#N/A</v>
      </c>
      <c r="D8596" s="125"/>
    </row>
    <row r="8597">
      <c r="A8597" s="122" t="s">
        <v>34345</v>
      </c>
      <c r="B8597" s="123">
        <v>1071058.0</v>
      </c>
      <c r="C8597" s="687" t="str">
        <f>IFERROR(__xludf.DUMMYFUNCTION("GOOGLEFINANCE(A8597,""name"")"),"#N/A")</f>
        <v>#N/A</v>
      </c>
      <c r="D8597" s="125"/>
    </row>
    <row r="8598">
      <c r="A8598" s="122" t="s">
        <v>34346</v>
      </c>
      <c r="B8598" s="123">
        <v>1642081.0</v>
      </c>
      <c r="C8598" s="687" t="str">
        <f>IFERROR(__xludf.DUMMYFUNCTION("GOOGLEFINANCE(A8598,""name"")"),"#N/A")</f>
        <v>#N/A</v>
      </c>
      <c r="D8598" s="125"/>
    </row>
    <row r="8599">
      <c r="A8599" s="122" t="s">
        <v>34347</v>
      </c>
      <c r="B8599" s="123">
        <v>1642122.0</v>
      </c>
      <c r="C8599" s="687" t="str">
        <f>IFERROR(__xludf.DUMMYFUNCTION("GOOGLEFINANCE(A8599,""name"")"),"Air Canada")</f>
        <v>Air Canada</v>
      </c>
      <c r="D8599" s="125"/>
    </row>
    <row r="8600">
      <c r="A8600" s="122" t="s">
        <v>34348</v>
      </c>
      <c r="B8600" s="123">
        <v>1846125.0</v>
      </c>
      <c r="C8600" s="687" t="str">
        <f>IFERROR(__xludf.DUMMYFUNCTION("GOOGLEFINANCE(A8600,""name"")"),"#N/A")</f>
        <v>#N/A</v>
      </c>
      <c r="D8600" s="125"/>
    </row>
    <row r="8601">
      <c r="A8601" s="122" t="s">
        <v>34349</v>
      </c>
      <c r="B8601" s="123">
        <v>1869141.0</v>
      </c>
      <c r="C8601" s="687" t="str">
        <f>IFERROR(__xludf.DUMMYFUNCTION("GOOGLEFINANCE(A8601,""name"")"),"#N/A")</f>
        <v>#N/A</v>
      </c>
      <c r="D8601" s="125"/>
    </row>
    <row r="8602">
      <c r="A8602" s="122" t="s">
        <v>34350</v>
      </c>
      <c r="B8602" s="123">
        <v>1869141.0</v>
      </c>
      <c r="C8602" s="687" t="str">
        <f>IFERROR(__xludf.DUMMYFUNCTION("GOOGLEFINANCE(A8602,""name"")"),"#N/A")</f>
        <v>#N/A</v>
      </c>
      <c r="D8602" s="125"/>
    </row>
    <row r="8603">
      <c r="A8603" s="122" t="s">
        <v>34351</v>
      </c>
      <c r="B8603" s="123">
        <v>1869141.0</v>
      </c>
      <c r="C8603" s="687" t="str">
        <f>IFERROR(__xludf.DUMMYFUNCTION("GOOGLEFINANCE(A8603,""name"")"),"#N/A")</f>
        <v>#N/A</v>
      </c>
      <c r="D8603" s="125"/>
    </row>
    <row r="8604">
      <c r="A8604" s="122" t="s">
        <v>34352</v>
      </c>
      <c r="B8604" s="123">
        <v>1897245.0</v>
      </c>
      <c r="C8604" s="687" t="str">
        <f>IFERROR(__xludf.DUMMYFUNCTION("GOOGLEFINANCE(A8604,""name"")"),"#N/A")</f>
        <v>#N/A</v>
      </c>
      <c r="D8604" s="125"/>
    </row>
    <row r="8605">
      <c r="A8605" s="122" t="s">
        <v>34353</v>
      </c>
      <c r="B8605" s="123">
        <v>1897245.0</v>
      </c>
      <c r="C8605" s="687" t="str">
        <f>IFERROR(__xludf.DUMMYFUNCTION("GOOGLEFINANCE(A8605,""name"")"),"#N/A")</f>
        <v>#N/A</v>
      </c>
      <c r="D8605" s="125"/>
    </row>
    <row r="8606">
      <c r="A8606" s="122" t="s">
        <v>34354</v>
      </c>
      <c r="B8606" s="123">
        <v>1897245.0</v>
      </c>
      <c r="C8606" s="687" t="str">
        <f>IFERROR(__xludf.DUMMYFUNCTION("GOOGLEFINANCE(A8606,""name"")"),"#N/A")</f>
        <v>#N/A</v>
      </c>
      <c r="D8606" s="125"/>
    </row>
    <row r="8607">
      <c r="A8607" s="122" t="s">
        <v>34355</v>
      </c>
      <c r="B8607" s="123">
        <v>1897245.0</v>
      </c>
      <c r="C8607" s="687" t="str">
        <f>IFERROR(__xludf.DUMMYFUNCTION("GOOGLEFINANCE(A8607,""name"")"),"#N/A")</f>
        <v>#N/A</v>
      </c>
      <c r="D8607" s="125"/>
    </row>
    <row r="8608">
      <c r="A8608" s="122" t="s">
        <v>34356</v>
      </c>
      <c r="B8608" s="123">
        <v>1461755.0</v>
      </c>
      <c r="C8608" s="687" t="str">
        <f>IFERROR(__xludf.DUMMYFUNCTION("GOOGLEFINANCE(A8608,""name"")"),"#N/A")</f>
        <v>#N/A</v>
      </c>
      <c r="D8608" s="125"/>
    </row>
    <row r="8609">
      <c r="A8609" s="122" t="s">
        <v>34357</v>
      </c>
      <c r="B8609" s="123">
        <v>1847499.0</v>
      </c>
      <c r="C8609" s="687" t="str">
        <f>IFERROR(__xludf.DUMMYFUNCTION("GOOGLEFINANCE(A8609,""name"")"),"#N/A")</f>
        <v>#N/A</v>
      </c>
      <c r="D8609" s="125"/>
    </row>
    <row r="8610">
      <c r="A8610" s="122" t="s">
        <v>34358</v>
      </c>
      <c r="B8610" s="123">
        <v>1850316.0</v>
      </c>
      <c r="C8610" s="687" t="str">
        <f>IFERROR(__xludf.DUMMYFUNCTION("GOOGLEFINANCE(A8610,""name"")"),"#N/A")</f>
        <v>#N/A</v>
      </c>
      <c r="D8610" s="125"/>
    </row>
    <row r="8611">
      <c r="A8611" s="122" t="s">
        <v>34359</v>
      </c>
      <c r="B8611" s="123">
        <v>1850316.0</v>
      </c>
      <c r="C8611" s="687" t="str">
        <f>IFERROR(__xludf.DUMMYFUNCTION("GOOGLEFINANCE(A8611,""name"")"),"#N/A")</f>
        <v>#N/A</v>
      </c>
      <c r="D8611" s="125"/>
    </row>
    <row r="8612">
      <c r="A8612" s="122" t="s">
        <v>34360</v>
      </c>
      <c r="B8612" s="123">
        <v>1850316.0</v>
      </c>
      <c r="C8612" s="687" t="str">
        <f>IFERROR(__xludf.DUMMYFUNCTION("GOOGLEFINANCE(A8612,""name"")"),"#N/A")</f>
        <v>#N/A</v>
      </c>
      <c r="D8612" s="125"/>
    </row>
    <row r="8613">
      <c r="A8613" s="122" t="s">
        <v>34361</v>
      </c>
      <c r="B8613" s="123">
        <v>1069308.0</v>
      </c>
      <c r="C8613" s="687" t="str">
        <f>IFERROR(__xludf.DUMMYFUNCTION("GOOGLEFINANCE(A8613,""name"")"),"#N/A")</f>
        <v>#N/A</v>
      </c>
      <c r="D8613" s="125"/>
    </row>
    <row r="8614">
      <c r="A8614" s="122" t="s">
        <v>34362</v>
      </c>
      <c r="B8614" s="123">
        <v>1813658.0</v>
      </c>
      <c r="C8614" s="687" t="str">
        <f>IFERROR(__xludf.DUMMYFUNCTION("GOOGLEFINANCE(A8614,""name"")"),"#N/A")</f>
        <v>#N/A</v>
      </c>
      <c r="D8614" s="125"/>
    </row>
    <row r="8615">
      <c r="A8615" s="122" t="s">
        <v>34363</v>
      </c>
      <c r="B8615" s="123">
        <v>1813658.0</v>
      </c>
      <c r="C8615" s="687" t="str">
        <f>IFERROR(__xludf.DUMMYFUNCTION("GOOGLEFINANCE(A8615,""name"")"),"#N/A")</f>
        <v>#N/A</v>
      </c>
      <c r="D8615" s="125"/>
    </row>
    <row r="8616">
      <c r="A8616" s="122" t="s">
        <v>34364</v>
      </c>
      <c r="B8616" s="123">
        <v>1813658.0</v>
      </c>
      <c r="C8616" s="687" t="str">
        <f>IFERROR(__xludf.DUMMYFUNCTION("GOOGLEFINANCE(A8616,""name"")"),"#N/A")</f>
        <v>#N/A</v>
      </c>
      <c r="D8616" s="125"/>
    </row>
    <row r="8617">
      <c r="A8617" s="122" t="s">
        <v>34365</v>
      </c>
      <c r="B8617" s="123">
        <v>1161611.0</v>
      </c>
      <c r="C8617" s="687" t="str">
        <f>IFERROR(__xludf.DUMMYFUNCTION("GOOGLEFINANCE(A8617,""name"")"),"#N/A")</f>
        <v>#N/A</v>
      </c>
      <c r="D8617" s="125"/>
    </row>
    <row r="8618">
      <c r="A8618" s="122" t="s">
        <v>34366</v>
      </c>
      <c r="B8618" s="123">
        <v>1672571.0</v>
      </c>
      <c r="C8618" s="687" t="str">
        <f>IFERROR(__xludf.DUMMYFUNCTION("GOOGLEFINANCE(A8618,""name"")"),"#N/A")</f>
        <v>#N/A</v>
      </c>
      <c r="D8618" s="125"/>
    </row>
    <row r="8619">
      <c r="A8619" s="122" t="s">
        <v>34367</v>
      </c>
      <c r="B8619" s="123">
        <v>1824502.0</v>
      </c>
      <c r="C8619" s="687" t="str">
        <f>IFERROR(__xludf.DUMMYFUNCTION("GOOGLEFINANCE(A8619,""name"")"),"#N/A")</f>
        <v>#N/A</v>
      </c>
      <c r="D8619" s="125"/>
    </row>
    <row r="8620">
      <c r="A8620" s="122" t="s">
        <v>34368</v>
      </c>
      <c r="B8620" s="123">
        <v>1838614.0</v>
      </c>
      <c r="C8620" s="687" t="str">
        <f>IFERROR(__xludf.DUMMYFUNCTION("GOOGLEFINANCE(A8620,""name"")"),"Innovator Index Autocallable Income Strategy ETF")</f>
        <v>Innovator Index Autocallable Income Strategy ETF</v>
      </c>
      <c r="D8620" s="125"/>
    </row>
    <row r="8621">
      <c r="A8621" s="122" t="s">
        <v>34369</v>
      </c>
      <c r="B8621" s="123">
        <v>1838614.0</v>
      </c>
      <c r="C8621" s="687" t="str">
        <f>IFERROR(__xludf.DUMMYFUNCTION("GOOGLEFINANCE(A8621,""name"")"),"#N/A")</f>
        <v>#N/A</v>
      </c>
      <c r="D8621" s="125"/>
    </row>
    <row r="8622">
      <c r="A8622" s="122" t="s">
        <v>34370</v>
      </c>
      <c r="B8622" s="123">
        <v>1838614.0</v>
      </c>
      <c r="C8622" s="687" t="str">
        <f>IFERROR(__xludf.DUMMYFUNCTION("GOOGLEFINANCE(A8622,""name"")"),"#N/A")</f>
        <v>#N/A</v>
      </c>
      <c r="D8622" s="125"/>
    </row>
    <row r="8623">
      <c r="A8623" s="122" t="s">
        <v>34371</v>
      </c>
      <c r="B8623" s="123">
        <v>934543.0</v>
      </c>
      <c r="C8623" s="687" t="str">
        <f>IFERROR(__xludf.DUMMYFUNCTION("GOOGLEFINANCE(A8623,""name"")"),"#N/A")</f>
        <v>#N/A</v>
      </c>
      <c r="D8623" s="125"/>
    </row>
    <row r="8624">
      <c r="A8624" s="122" t="s">
        <v>34372</v>
      </c>
      <c r="B8624" s="123">
        <v>1850767.0</v>
      </c>
      <c r="C8624" s="687" t="str">
        <f>IFERROR(__xludf.DUMMYFUNCTION("GOOGLEFINANCE(A8624,""name"")"),"#N/A")</f>
        <v>#N/A</v>
      </c>
      <c r="D8624" s="125"/>
    </row>
    <row r="8625">
      <c r="A8625" s="122" t="s">
        <v>34373</v>
      </c>
      <c r="B8625" s="123">
        <v>1503290.0</v>
      </c>
      <c r="C8625" s="687" t="str">
        <f>IFERROR(__xludf.DUMMYFUNCTION("GOOGLEFINANCE(A8625,""name"")"),"#N/A")</f>
        <v>#N/A</v>
      </c>
      <c r="D8625" s="125"/>
    </row>
    <row r="8626">
      <c r="A8626" s="122" t="s">
        <v>34374</v>
      </c>
      <c r="B8626" s="123">
        <v>1837393.0</v>
      </c>
      <c r="C8626" s="687" t="str">
        <f>IFERROR(__xludf.DUMMYFUNCTION("GOOGLEFINANCE(A8626,""name"")"),"#N/A")</f>
        <v>#N/A</v>
      </c>
      <c r="D8626" s="125"/>
    </row>
    <row r="8627">
      <c r="A8627" s="122" t="s">
        <v>34375</v>
      </c>
      <c r="B8627" s="123">
        <v>1837393.0</v>
      </c>
      <c r="C8627" s="687" t="str">
        <f>IFERROR(__xludf.DUMMYFUNCTION("GOOGLEFINANCE(A8627,""name"")"),"#N/A")</f>
        <v>#N/A</v>
      </c>
      <c r="D8627" s="125"/>
    </row>
    <row r="8628">
      <c r="A8628" s="122" t="s">
        <v>34376</v>
      </c>
      <c r="B8628" s="123">
        <v>1837393.0</v>
      </c>
      <c r="C8628" s="687" t="str">
        <f>IFERROR(__xludf.DUMMYFUNCTION("GOOGLEFINANCE(A8628,""name"")"),"#N/A")</f>
        <v>#N/A</v>
      </c>
      <c r="D8628" s="125"/>
    </row>
    <row r="8629">
      <c r="A8629" s="122" t="s">
        <v>34377</v>
      </c>
      <c r="B8629" s="123">
        <v>1332551.0</v>
      </c>
      <c r="C8629" s="687" t="str">
        <f>IFERROR(__xludf.DUMMYFUNCTION("GOOGLEFINANCE(A8629,""name"")"),"#N/A")</f>
        <v>#N/A</v>
      </c>
      <c r="D8629" s="125"/>
    </row>
    <row r="8630">
      <c r="A8630" s="122" t="s">
        <v>34378</v>
      </c>
      <c r="B8630" s="123">
        <v>1332551.0</v>
      </c>
      <c r="C8630" s="687" t="str">
        <f>IFERROR(__xludf.DUMMYFUNCTION("GOOGLEFINANCE(A8630,""name"")"),"#N/A")</f>
        <v>#N/A</v>
      </c>
      <c r="D8630" s="125"/>
    </row>
    <row r="8631">
      <c r="A8631" s="122" t="s">
        <v>34379</v>
      </c>
      <c r="B8631" s="123">
        <v>1847891.0</v>
      </c>
      <c r="C8631" s="687" t="str">
        <f>IFERROR(__xludf.DUMMYFUNCTION("GOOGLEFINANCE(A8631,""name"")"),"#N/A")</f>
        <v>#N/A</v>
      </c>
      <c r="D8631" s="125"/>
    </row>
    <row r="8632">
      <c r="A8632" s="122" t="s">
        <v>34380</v>
      </c>
      <c r="B8632" s="123">
        <v>1847891.0</v>
      </c>
      <c r="C8632" s="687" t="str">
        <f>IFERROR(__xludf.DUMMYFUNCTION("GOOGLEFINANCE(A8632,""name"")"),"#N/A")</f>
        <v>#N/A</v>
      </c>
      <c r="D8632" s="125"/>
    </row>
    <row r="8633">
      <c r="A8633" s="122" t="s">
        <v>34381</v>
      </c>
      <c r="B8633" s="123">
        <v>1427925.0</v>
      </c>
      <c r="C8633" s="687" t="str">
        <f>IFERROR(__xludf.DUMMYFUNCTION("GOOGLEFINANCE(A8633,""name"")"),"#N/A")</f>
        <v>#N/A</v>
      </c>
      <c r="D8633" s="125"/>
    </row>
    <row r="8634">
      <c r="A8634" s="122" t="s">
        <v>34382</v>
      </c>
      <c r="B8634" s="123">
        <v>1736243.0</v>
      </c>
      <c r="C8634" s="687" t="str">
        <f>IFERROR(__xludf.DUMMYFUNCTION("GOOGLEFINANCE(A8634,""name"")"),"Acurx Pharmaceuticals Inc")</f>
        <v>Acurx Pharmaceuticals Inc</v>
      </c>
      <c r="D8634" s="125"/>
    </row>
    <row r="8635">
      <c r="A8635" s="122" t="s">
        <v>34383</v>
      </c>
      <c r="B8635" s="123">
        <v>1853928.0</v>
      </c>
      <c r="C8635" s="687" t="str">
        <f>IFERROR(__xludf.DUMMYFUNCTION("GOOGLEFINANCE(A8635,""name"")"),"#N/A")</f>
        <v>#N/A</v>
      </c>
      <c r="D8635" s="125"/>
    </row>
    <row r="8636">
      <c r="A8636" s="122" t="s">
        <v>34384</v>
      </c>
      <c r="B8636" s="123">
        <v>1853928.0</v>
      </c>
      <c r="C8636" s="687" t="str">
        <f>IFERROR(__xludf.DUMMYFUNCTION("GOOGLEFINANCE(A8636,""name"")"),"#N/A")</f>
        <v>#N/A</v>
      </c>
      <c r="D8636" s="125"/>
    </row>
    <row r="8637">
      <c r="A8637" s="122" t="s">
        <v>34385</v>
      </c>
      <c r="B8637" s="123">
        <v>917251.0</v>
      </c>
      <c r="C8637" s="687" t="str">
        <f>IFERROR(__xludf.DUMMYFUNCTION("GOOGLEFINANCE(A8637,""name"")"),"#N/A")</f>
        <v>#N/A</v>
      </c>
      <c r="D8637" s="125"/>
    </row>
    <row r="8638">
      <c r="A8638" s="122" t="s">
        <v>34386</v>
      </c>
      <c r="B8638" s="123">
        <v>1822912.0</v>
      </c>
      <c r="C8638" s="687" t="str">
        <f>IFERROR(__xludf.DUMMYFUNCTION("GOOGLEFINANCE(A8638,""name"")"),"#N/A")</f>
        <v>#N/A</v>
      </c>
      <c r="D8638" s="125"/>
    </row>
    <row r="8639">
      <c r="A8639" s="122" t="s">
        <v>34387</v>
      </c>
      <c r="B8639" s="123">
        <v>1822912.0</v>
      </c>
      <c r="C8639" s="687" t="str">
        <f>IFERROR(__xludf.DUMMYFUNCTION("GOOGLEFINANCE(A8639,""name"")"),"#N/A")</f>
        <v>#N/A</v>
      </c>
      <c r="D8639" s="125"/>
    </row>
    <row r="8640">
      <c r="A8640" s="122" t="s">
        <v>34388</v>
      </c>
      <c r="B8640" s="123">
        <v>1822912.0</v>
      </c>
      <c r="C8640" s="687" t="str">
        <f>IFERROR(__xludf.DUMMYFUNCTION("GOOGLEFINANCE(A8640,""name"")"),"#N/A")</f>
        <v>#N/A</v>
      </c>
      <c r="D8640" s="125"/>
    </row>
    <row r="8641">
      <c r="A8641" s="122" t="s">
        <v>34389</v>
      </c>
      <c r="B8641" s="123">
        <v>1830029.0</v>
      </c>
      <c r="C8641" s="687" t="str">
        <f>IFERROR(__xludf.DUMMYFUNCTION("GOOGLEFINANCE(A8641,""name"")"),"#N/A")</f>
        <v>#N/A</v>
      </c>
      <c r="D8641" s="125"/>
    </row>
    <row r="8642">
      <c r="A8642" s="122" t="s">
        <v>34390</v>
      </c>
      <c r="B8642" s="123">
        <v>1830029.0</v>
      </c>
      <c r="C8642" s="687" t="str">
        <f>IFERROR(__xludf.DUMMYFUNCTION("GOOGLEFINANCE(A8642,""name"")"),"#N/A")</f>
        <v>#N/A</v>
      </c>
      <c r="D8642" s="125"/>
    </row>
    <row r="8643">
      <c r="A8643" s="122" t="s">
        <v>34391</v>
      </c>
      <c r="B8643" s="123">
        <v>1830029.0</v>
      </c>
      <c r="C8643" s="687" t="str">
        <f>IFERROR(__xludf.DUMMYFUNCTION("GOOGLEFINANCE(A8643,""name"")"),"#N/A")</f>
        <v>#N/A</v>
      </c>
      <c r="D8643" s="125"/>
    </row>
    <row r="8644">
      <c r="A8644" s="122" t="s">
        <v>34392</v>
      </c>
      <c r="B8644" s="123">
        <v>1832038.0</v>
      </c>
      <c r="C8644" s="687" t="str">
        <f>IFERROR(__xludf.DUMMYFUNCTION("GOOGLEFINANCE(A8644,""name"")"),"#N/A")</f>
        <v>#N/A</v>
      </c>
      <c r="D8644" s="125"/>
    </row>
    <row r="8645">
      <c r="A8645" s="122" t="s">
        <v>34393</v>
      </c>
      <c r="B8645" s="123">
        <v>1513525.0</v>
      </c>
      <c r="C8645" s="687" t="str">
        <f>IFERROR(__xludf.DUMMYFUNCTION("GOOGLEFINANCE(A8645,""name"")"),"#N/A")</f>
        <v>#N/A</v>
      </c>
      <c r="D8645" s="125"/>
    </row>
    <row r="8646">
      <c r="A8646" s="122" t="s">
        <v>34394</v>
      </c>
      <c r="B8646" s="123">
        <v>887247.0</v>
      </c>
      <c r="C8646" s="687" t="str">
        <f>IFERROR(__xludf.DUMMYFUNCTION("GOOGLEFINANCE(A8646,""name"")"),"#N/A")</f>
        <v>#N/A</v>
      </c>
      <c r="D8646" s="125"/>
    </row>
    <row r="8647">
      <c r="A8647" s="122" t="s">
        <v>34395</v>
      </c>
      <c r="B8647" s="123">
        <v>1824884.0</v>
      </c>
      <c r="C8647" s="687" t="str">
        <f>IFERROR(__xludf.DUMMYFUNCTION("GOOGLEFINANCE(A8647,""name"")"),"#N/A")</f>
        <v>#N/A</v>
      </c>
      <c r="D8647" s="125"/>
    </row>
    <row r="8648">
      <c r="A8648" s="122" t="s">
        <v>34396</v>
      </c>
      <c r="B8648" s="123">
        <v>1823584.0</v>
      </c>
      <c r="C8648" s="687" t="str">
        <f>IFERROR(__xludf.DUMMYFUNCTION("GOOGLEFINANCE(A8648,""name"")"),"#N/A")</f>
        <v>#N/A</v>
      </c>
      <c r="D8648" s="125"/>
    </row>
    <row r="8649">
      <c r="A8649" s="122" t="s">
        <v>34397</v>
      </c>
      <c r="B8649" s="123">
        <v>1823584.0</v>
      </c>
      <c r="C8649" s="687" t="str">
        <f>IFERROR(__xludf.DUMMYFUNCTION("GOOGLEFINANCE(A8649,""name"")"),"#N/A")</f>
        <v>#N/A</v>
      </c>
      <c r="D8649" s="125"/>
    </row>
    <row r="8650">
      <c r="A8650" s="122" t="s">
        <v>34398</v>
      </c>
      <c r="B8650" s="123">
        <v>1169717.0</v>
      </c>
      <c r="C8650" s="687" t="str">
        <f>IFERROR(__xludf.DUMMYFUNCTION("GOOGLEFINANCE(A8650,""name"")"),"#N/A")</f>
        <v>#N/A</v>
      </c>
      <c r="D8650" s="125"/>
    </row>
    <row r="8651">
      <c r="A8651" s="122" t="s">
        <v>34399</v>
      </c>
      <c r="B8651" s="123">
        <v>1864032.0</v>
      </c>
      <c r="C8651" s="687" t="str">
        <f>IFERROR(__xludf.DUMMYFUNCTION("GOOGLEFINANCE(A8651,""name"")"),"#N/A")</f>
        <v>#N/A</v>
      </c>
      <c r="D8651" s="125"/>
    </row>
    <row r="8652">
      <c r="A8652" s="122" t="s">
        <v>34400</v>
      </c>
      <c r="B8652" s="123">
        <v>1169717.0</v>
      </c>
      <c r="C8652" s="687" t="str">
        <f>IFERROR(__xludf.DUMMYFUNCTION("GOOGLEFINANCE(A8652,""name"")"),"#N/A")</f>
        <v>#N/A</v>
      </c>
      <c r="D8652" s="125"/>
    </row>
    <row r="8653">
      <c r="A8653" s="122" t="s">
        <v>34401</v>
      </c>
      <c r="B8653" s="123">
        <v>1698519.0</v>
      </c>
      <c r="C8653" s="687" t="str">
        <f>IFERROR(__xludf.DUMMYFUNCTION("GOOGLEFINANCE(A8653,""name"")"),"#N/A")</f>
        <v>#N/A</v>
      </c>
      <c r="D8653" s="125"/>
    </row>
    <row r="8654">
      <c r="A8654" s="122" t="s">
        <v>34402</v>
      </c>
      <c r="B8654" s="123">
        <v>1776661.0</v>
      </c>
      <c r="C8654" s="687" t="str">
        <f>IFERROR(__xludf.DUMMYFUNCTION("GOOGLEFINANCE(A8654,""name"")"),"Advantage Solutions")</f>
        <v>Advantage Solutions</v>
      </c>
      <c r="D8654" s="125"/>
    </row>
    <row r="8655">
      <c r="A8655" s="122" t="s">
        <v>34403</v>
      </c>
      <c r="B8655" s="123">
        <v>2178.0</v>
      </c>
      <c r="C8655" s="687" t="str">
        <f>IFERROR(__xludf.DUMMYFUNCTION("GOOGLEFINANCE(A8655,""name"")"),"American Eagle Gold Corp")</f>
        <v>American Eagle Gold Corp</v>
      </c>
      <c r="D8655" s="125"/>
    </row>
    <row r="8656">
      <c r="A8656" s="122" t="s">
        <v>34404</v>
      </c>
      <c r="B8656" s="123">
        <v>1827392.0</v>
      </c>
      <c r="C8656" s="687" t="str">
        <f>IFERROR(__xludf.DUMMYFUNCTION("GOOGLEFINANCE(A8656,""name"")"),"#N/A")</f>
        <v>#N/A</v>
      </c>
      <c r="D8656" s="125"/>
    </row>
    <row r="8657">
      <c r="A8657" s="122" t="s">
        <v>34405</v>
      </c>
      <c r="B8657" s="123">
        <v>1827392.0</v>
      </c>
      <c r="C8657" s="687" t="str">
        <f>IFERROR(__xludf.DUMMYFUNCTION("GOOGLEFINANCE(A8657,""name"")"),"#N/A")</f>
        <v>#N/A</v>
      </c>
      <c r="D8657" s="125"/>
    </row>
    <row r="8658">
      <c r="A8658" s="122" t="s">
        <v>34406</v>
      </c>
      <c r="B8658" s="123">
        <v>1827392.0</v>
      </c>
      <c r="C8658" s="687" t="str">
        <f>IFERROR(__xludf.DUMMYFUNCTION("GOOGLEFINANCE(A8658,""name"")"),"#N/A")</f>
        <v>#N/A</v>
      </c>
      <c r="D8658" s="125"/>
    </row>
    <row r="8659">
      <c r="A8659" s="122" t="s">
        <v>34407</v>
      </c>
      <c r="B8659" s="123">
        <v>769218.0</v>
      </c>
      <c r="C8659" s="687" t="str">
        <f>IFERROR(__xludf.DUMMYFUNCTION("GOOGLEFINANCE(A8659,""name"")"),"Aegon Funding Company LLC")</f>
        <v>Aegon Funding Company LLC</v>
      </c>
      <c r="D8659" s="125"/>
    </row>
    <row r="8660">
      <c r="A8660" s="122" t="s">
        <v>34408</v>
      </c>
      <c r="B8660" s="123">
        <v>1869974.0</v>
      </c>
      <c r="C8660" s="687" t="str">
        <f>IFERROR(__xludf.DUMMYFUNCTION("GOOGLEFINANCE(A8660,""name"")"),"#N/A")</f>
        <v>#N/A</v>
      </c>
      <c r="D8660" s="125"/>
    </row>
    <row r="8661">
      <c r="A8661" s="122" t="s">
        <v>34409</v>
      </c>
      <c r="B8661" s="123">
        <v>1869974.0</v>
      </c>
      <c r="C8661" s="687" t="str">
        <f>IFERROR(__xludf.DUMMYFUNCTION("GOOGLEFINANCE(A8661,""name"")"),"#N/A")</f>
        <v>#N/A</v>
      </c>
      <c r="D8661" s="125"/>
    </row>
    <row r="8662">
      <c r="A8662" s="122" t="s">
        <v>34410</v>
      </c>
      <c r="B8662" s="123">
        <v>1875655.0</v>
      </c>
      <c r="C8662" s="687" t="str">
        <f>IFERROR(__xludf.DUMMYFUNCTION("GOOGLEFINANCE(A8662,""name"")"),"#N/A")</f>
        <v>#N/A</v>
      </c>
      <c r="D8662" s="125"/>
    </row>
    <row r="8663">
      <c r="A8663" s="122" t="s">
        <v>34411</v>
      </c>
      <c r="B8663" s="123">
        <v>1039828.0</v>
      </c>
      <c r="C8663" s="687" t="str">
        <f>IFERROR(__xludf.DUMMYFUNCTION("GOOGLEFINANCE(A8663,""name"")"),"#N/A")</f>
        <v>#N/A</v>
      </c>
      <c r="D8663" s="125"/>
    </row>
    <row r="8664">
      <c r="A8664" s="122" t="s">
        <v>34412</v>
      </c>
      <c r="B8664" s="123">
        <v>1039828.0</v>
      </c>
      <c r="C8664" s="687" t="str">
        <f>IFERROR(__xludf.DUMMYFUNCTION("GOOGLEFINANCE(A8664,""name"")"),"#N/A")</f>
        <v>#N/A</v>
      </c>
      <c r="D8664" s="125"/>
    </row>
    <row r="8665">
      <c r="A8665" s="122" t="s">
        <v>34413</v>
      </c>
      <c r="B8665" s="123">
        <v>1572621.0</v>
      </c>
      <c r="C8665" s="687" t="str">
        <f>IFERROR(__xludf.DUMMYFUNCTION("GOOGLEFINANCE(A8665,""name"")"),"#N/A")</f>
        <v>#N/A</v>
      </c>
      <c r="D8665" s="125"/>
    </row>
    <row r="8666">
      <c r="A8666" s="122" t="s">
        <v>34414</v>
      </c>
      <c r="B8666" s="123">
        <v>4904.0</v>
      </c>
      <c r="C8666" s="687" t="str">
        <f>IFERROR(__xludf.DUMMYFUNCTION("GOOGLEFINANCE(A8666,""name"")"),"#N/A")</f>
        <v>#N/A</v>
      </c>
      <c r="D8666" s="125"/>
    </row>
    <row r="8667">
      <c r="A8667" s="122" t="s">
        <v>34415</v>
      </c>
      <c r="B8667" s="123">
        <v>1872356.0</v>
      </c>
      <c r="C8667" s="687" t="str">
        <f>IFERROR(__xludf.DUMMYFUNCTION("GOOGLEFINANCE(A8667,""name"")"),"#N/A")</f>
        <v>#N/A</v>
      </c>
      <c r="D8667" s="125"/>
    </row>
    <row r="8668">
      <c r="A8668" s="122" t="s">
        <v>34416</v>
      </c>
      <c r="B8668" s="123">
        <v>1708341.0</v>
      </c>
      <c r="C8668" s="687" t="str">
        <f>IFERROR(__xludf.DUMMYFUNCTION("GOOGLEFINANCE(A8668,""name"")"),"#N/A")</f>
        <v>#N/A</v>
      </c>
      <c r="D8668" s="125"/>
    </row>
    <row r="8669">
      <c r="A8669" s="122" t="s">
        <v>34417</v>
      </c>
      <c r="B8669" s="123">
        <v>1789029.0</v>
      </c>
      <c r="C8669" s="687" t="str">
        <f>IFERROR(__xludf.DUMMYFUNCTION("GOOGLEFINANCE(A8669,""name"")"),"#N/A")</f>
        <v>#N/A</v>
      </c>
      <c r="D8669" s="125"/>
    </row>
    <row r="8670">
      <c r="A8670" s="122" t="s">
        <v>34418</v>
      </c>
      <c r="B8670" s="123">
        <v>1849489.0</v>
      </c>
      <c r="C8670" s="687" t="str">
        <f>IFERROR(__xludf.DUMMYFUNCTION("GOOGLEFINANCE(A8670,""name"")"),"#N/A")</f>
        <v>#N/A</v>
      </c>
      <c r="D8670" s="125"/>
    </row>
    <row r="8671">
      <c r="A8671" s="122" t="s">
        <v>34419</v>
      </c>
      <c r="B8671" s="123">
        <v>1841661.0</v>
      </c>
      <c r="C8671" s="687" t="str">
        <f>IFERROR(__xludf.DUMMYFUNCTION("GOOGLEFINANCE(A8671,""name"")"),"#N/A")</f>
        <v>#N/A</v>
      </c>
      <c r="D8671" s="125"/>
    </row>
    <row r="8672">
      <c r="A8672" s="122" t="s">
        <v>34420</v>
      </c>
      <c r="B8672" s="123">
        <v>1841661.0</v>
      </c>
      <c r="C8672" s="687" t="str">
        <f>IFERROR(__xludf.DUMMYFUNCTION("GOOGLEFINANCE(A8672,""name"")"),"#N/A")</f>
        <v>#N/A</v>
      </c>
      <c r="D8672" s="125"/>
    </row>
    <row r="8673">
      <c r="A8673" s="122" t="s">
        <v>34421</v>
      </c>
      <c r="B8673" s="123">
        <v>1841661.0</v>
      </c>
      <c r="C8673" s="687" t="str">
        <f>IFERROR(__xludf.DUMMYFUNCTION("GOOGLEFINANCE(A8673,""name"")"),"#N/A")</f>
        <v>#N/A</v>
      </c>
      <c r="D8673" s="125"/>
    </row>
    <row r="8674">
      <c r="A8674" s="122" t="s">
        <v>34422</v>
      </c>
      <c r="B8674" s="123">
        <v>1822523.0</v>
      </c>
      <c r="C8674" s="687" t="str">
        <f>IFERROR(__xludf.DUMMYFUNCTION("GOOGLEFINANCE(A8674,""name"")"),"Advanced Flower Capital Inc")</f>
        <v>Advanced Flower Capital Inc</v>
      </c>
      <c r="D8674" s="125"/>
    </row>
    <row r="8675">
      <c r="A8675" s="122" t="s">
        <v>34423</v>
      </c>
      <c r="B8675" s="123">
        <v>1469038.0</v>
      </c>
      <c r="C8675" s="687" t="str">
        <f>IFERROR(__xludf.DUMMYFUNCTION("GOOGLEFINANCE(A8675,""name"")"),"#N/A")</f>
        <v>#N/A</v>
      </c>
      <c r="D8675" s="125"/>
    </row>
    <row r="8676">
      <c r="A8676" s="122" t="s">
        <v>34424</v>
      </c>
      <c r="B8676" s="123">
        <v>1182731.0</v>
      </c>
      <c r="C8676" s="687" t="str">
        <f>IFERROR(__xludf.DUMMYFUNCTION("GOOGLEFINANCE(A8676,""name"")"),"#N/A")</f>
        <v>#N/A</v>
      </c>
      <c r="D8676" s="125"/>
    </row>
    <row r="8677">
      <c r="A8677" s="122" t="s">
        <v>34425</v>
      </c>
      <c r="B8677" s="123">
        <v>1865975.0</v>
      </c>
      <c r="C8677" s="687" t="str">
        <f>IFERROR(__xludf.DUMMYFUNCTION("GOOGLEFINANCE(A8677,""name"")"),"#N/A")</f>
        <v>#N/A</v>
      </c>
      <c r="D8677" s="125"/>
    </row>
    <row r="8678">
      <c r="A8678" s="122" t="s">
        <v>34426</v>
      </c>
      <c r="B8678" s="123">
        <v>1865975.0</v>
      </c>
      <c r="C8678" s="687" t="str">
        <f>IFERROR(__xludf.DUMMYFUNCTION("GOOGLEFINANCE(A8678,""name"")"),"#N/A")</f>
        <v>#N/A</v>
      </c>
      <c r="D8678" s="125"/>
    </row>
    <row r="8679">
      <c r="A8679" s="122" t="s">
        <v>34427</v>
      </c>
      <c r="B8679" s="123">
        <v>1865975.0</v>
      </c>
      <c r="C8679" s="687" t="str">
        <f>IFERROR(__xludf.DUMMYFUNCTION("GOOGLEFINANCE(A8679,""name"")"),"#N/A")</f>
        <v>#N/A</v>
      </c>
      <c r="D8679" s="125"/>
    </row>
    <row r="8680">
      <c r="A8680" s="122" t="s">
        <v>34428</v>
      </c>
      <c r="B8680" s="123">
        <v>1792694.0</v>
      </c>
      <c r="C8680" s="687" t="str">
        <f>IFERROR(__xludf.DUMMYFUNCTION("GOOGLEFINANCE(A8680,""name"")"),"#N/A")</f>
        <v>#N/A</v>
      </c>
      <c r="D8680" s="125"/>
    </row>
    <row r="8681">
      <c r="A8681" s="122" t="s">
        <v>34429</v>
      </c>
      <c r="B8681" s="123">
        <v>1308648.0</v>
      </c>
      <c r="C8681" s="687" t="str">
        <f>IFERROR(__xludf.DUMMYFUNCTION("GOOGLEFINANCE(A8681,""name"")"),"First Majestic Silver Corp")</f>
        <v>First Majestic Silver Corp</v>
      </c>
      <c r="D8681" s="125"/>
    </row>
    <row r="8682">
      <c r="A8682" s="122" t="s">
        <v>34430</v>
      </c>
      <c r="B8682" s="123">
        <v>1833909.0</v>
      </c>
      <c r="C8682" s="687" t="str">
        <f>IFERROR(__xludf.DUMMYFUNCTION("GOOGLEFINANCE(A8682,""name"")"),"iShares Core Gl Aggregate Bd UCITS ETF USD Acc")</f>
        <v>iShares Core Gl Aggregate Bd UCITS ETF USD Acc</v>
      </c>
      <c r="D8682" s="125"/>
    </row>
    <row r="8683">
      <c r="A8683" s="122" t="s">
        <v>34431</v>
      </c>
      <c r="B8683" s="123">
        <v>1833909.0</v>
      </c>
      <c r="C8683" s="687" t="str">
        <f>IFERROR(__xludf.DUMMYFUNCTION("GOOGLEFINANCE(A8683,""name"")"),"#N/A")</f>
        <v>#N/A</v>
      </c>
      <c r="D8683" s="125"/>
    </row>
    <row r="8684">
      <c r="A8684" s="122" t="s">
        <v>34432</v>
      </c>
      <c r="B8684" s="123">
        <v>1833909.0</v>
      </c>
      <c r="C8684" s="687" t="str">
        <f>IFERROR(__xludf.DUMMYFUNCTION("GOOGLEFINANCE(A8684,""name"")"),"#N/A")</f>
        <v>#N/A</v>
      </c>
      <c r="D8684" s="125"/>
    </row>
    <row r="8685">
      <c r="A8685" s="122" t="s">
        <v>34433</v>
      </c>
      <c r="B8685" s="123">
        <v>1769624.0</v>
      </c>
      <c r="C8685" s="687" t="str">
        <f>IFERROR(__xludf.DUMMYFUNCTION("GOOGLEFINANCE(A8685,""name"")"),"#N/A")</f>
        <v>#N/A</v>
      </c>
      <c r="D8685" s="125"/>
    </row>
    <row r="8686">
      <c r="A8686" s="122" t="s">
        <v>34434</v>
      </c>
      <c r="B8686" s="123">
        <v>1830232.0</v>
      </c>
      <c r="C8686" s="687" t="str">
        <f>IFERROR(__xludf.DUMMYFUNCTION("GOOGLEFINANCE(A8686,""name"")"),"#N/A")</f>
        <v>#N/A</v>
      </c>
      <c r="D8686" s="125"/>
    </row>
    <row r="8687">
      <c r="A8687" s="122" t="s">
        <v>34435</v>
      </c>
      <c r="B8687" s="123">
        <v>1423689.0</v>
      </c>
      <c r="C8687" s="687" t="str">
        <f>IFERROR(__xludf.DUMMYFUNCTION("GOOGLEFINANCE(A8687,""name"")"),"#N/A")</f>
        <v>#N/A</v>
      </c>
      <c r="D8687" s="125"/>
    </row>
    <row r="8688">
      <c r="A8688" s="122" t="s">
        <v>34436</v>
      </c>
      <c r="B8688" s="123">
        <v>1842329.0</v>
      </c>
      <c r="C8688" s="687" t="str">
        <f>IFERROR(__xludf.DUMMYFUNCTION("GOOGLEFINANCE(A8688,""name"")"),"#N/A")</f>
        <v>#N/A</v>
      </c>
      <c r="D8688" s="125"/>
    </row>
    <row r="8689">
      <c r="A8689" s="122" t="s">
        <v>34437</v>
      </c>
      <c r="B8689" s="123">
        <v>1842329.0</v>
      </c>
      <c r="C8689" s="687" t="str">
        <f>IFERROR(__xludf.DUMMYFUNCTION("GOOGLEFINANCE(A8689,""name"")"),"#N/A")</f>
        <v>#N/A</v>
      </c>
      <c r="D8689" s="125"/>
    </row>
    <row r="8690">
      <c r="A8690" s="122" t="s">
        <v>34438</v>
      </c>
      <c r="B8690" s="123">
        <v>1842329.0</v>
      </c>
      <c r="C8690" s="687" t="str">
        <f>IFERROR(__xludf.DUMMYFUNCTION("GOOGLEFINANCE(A8690,""name"")"),"#N/A")</f>
        <v>#N/A</v>
      </c>
      <c r="D8690" s="125"/>
    </row>
    <row r="8691">
      <c r="A8691" s="122" t="s">
        <v>34439</v>
      </c>
      <c r="B8691" s="123">
        <v>1085596.0</v>
      </c>
      <c r="C8691" s="687" t="str">
        <f>IFERROR(__xludf.DUMMYFUNCTION("GOOGLEFINANCE(A8691,""name"")"),"#N/A")</f>
        <v>#N/A</v>
      </c>
      <c r="D8691" s="125"/>
    </row>
    <row r="8692">
      <c r="A8692" s="122" t="s">
        <v>34440</v>
      </c>
      <c r="B8692" s="123">
        <v>885074.0</v>
      </c>
      <c r="C8692" s="687" t="str">
        <f>IFERROR(__xludf.DUMMYFUNCTION("GOOGLEFINANCE(A8692,""name"")"),"#N/A")</f>
        <v>#N/A</v>
      </c>
      <c r="D8692" s="125"/>
    </row>
    <row r="8693">
      <c r="A8693" s="122" t="s">
        <v>34441</v>
      </c>
      <c r="B8693" s="123">
        <v>1790625.0</v>
      </c>
      <c r="C8693" s="687" t="str">
        <f>IFERROR(__xludf.DUMMYFUNCTION("GOOGLEFINANCE(A8693,""name"")"),"#N/A")</f>
        <v>#N/A</v>
      </c>
      <c r="D8693" s="125"/>
    </row>
    <row r="8694">
      <c r="A8694" s="122" t="s">
        <v>34442</v>
      </c>
      <c r="B8694" s="123">
        <v>1636282.0</v>
      </c>
      <c r="C8694" s="687" t="str">
        <f>IFERROR(__xludf.DUMMYFUNCTION("GOOGLEFINANCE(A8694,""name"")"),"#N/A")</f>
        <v>#N/A</v>
      </c>
      <c r="D8694" s="125"/>
    </row>
    <row r="8695">
      <c r="A8695" s="122" t="s">
        <v>34443</v>
      </c>
      <c r="B8695" s="123">
        <v>845877.0</v>
      </c>
      <c r="C8695" s="687" t="str">
        <f>IFERROR(__xludf.DUMMYFUNCTION("GOOGLEFINANCE(A8695,""name"")"),"#N/A")</f>
        <v>#N/A</v>
      </c>
      <c r="D8695" s="125"/>
    </row>
    <row r="8696">
      <c r="A8696" s="122" t="s">
        <v>34444</v>
      </c>
      <c r="B8696" s="123">
        <v>845877.0</v>
      </c>
      <c r="C8696" s="687" t="str">
        <f>IFERROR(__xludf.DUMMYFUNCTION("GOOGLEFINANCE(A8696,""name"")"),"#N/A")</f>
        <v>#N/A</v>
      </c>
      <c r="D8696" s="125"/>
    </row>
    <row r="8697">
      <c r="A8697" s="122" t="s">
        <v>34445</v>
      </c>
      <c r="B8697" s="123">
        <v>845877.0</v>
      </c>
      <c r="C8697" s="687" t="str">
        <f>IFERROR(__xludf.DUMMYFUNCTION("GOOGLEFINANCE(A8697,""name"")"),"#N/A")</f>
        <v>#N/A</v>
      </c>
      <c r="D8697" s="125"/>
    </row>
    <row r="8698">
      <c r="A8698" s="122" t="s">
        <v>34446</v>
      </c>
      <c r="B8698" s="123">
        <v>845877.0</v>
      </c>
      <c r="C8698" s="687" t="str">
        <f>IFERROR(__xludf.DUMMYFUNCTION("GOOGLEFINANCE(A8698,""name"")"),"#N/A")</f>
        <v>#N/A</v>
      </c>
      <c r="D8698" s="125"/>
    </row>
    <row r="8699">
      <c r="A8699" s="122" t="s">
        <v>34447</v>
      </c>
      <c r="B8699" s="123">
        <v>845877.0</v>
      </c>
      <c r="C8699" s="687" t="str">
        <f>IFERROR(__xludf.DUMMYFUNCTION("GOOGLEFINANCE(A8699,""name"")"),"#N/A")</f>
        <v>#N/A</v>
      </c>
      <c r="D8699" s="125"/>
    </row>
    <row r="8700">
      <c r="A8700" s="122" t="s">
        <v>34448</v>
      </c>
      <c r="B8700" s="123">
        <v>845877.0</v>
      </c>
      <c r="C8700" s="687" t="str">
        <f>IFERROR(__xludf.DUMMYFUNCTION("GOOGLEFINANCE(A8700,""name"")"),"#N/A")</f>
        <v>#N/A</v>
      </c>
      <c r="D8700" s="125"/>
    </row>
    <row r="8701">
      <c r="A8701" s="122" t="s">
        <v>34449</v>
      </c>
      <c r="B8701" s="123">
        <v>1273636.0</v>
      </c>
      <c r="C8701" s="687" t="str">
        <f>IFERROR(__xludf.DUMMYFUNCTION("GOOGLEFINANCE(A8701,""name"")"),"#N/A")</f>
        <v>#N/A</v>
      </c>
      <c r="D8701" s="125"/>
    </row>
    <row r="8702">
      <c r="A8702" s="122" t="s">
        <v>34450</v>
      </c>
      <c r="B8702" s="123">
        <v>1569187.0</v>
      </c>
      <c r="C8702" s="687" t="str">
        <f>IFERROR(__xludf.DUMMYFUNCTION("GOOGLEFINANCE(A8702,""name"")"),"#N/A")</f>
        <v>#N/A</v>
      </c>
      <c r="D8702" s="125"/>
    </row>
    <row r="8703">
      <c r="A8703" s="122" t="s">
        <v>34451</v>
      </c>
      <c r="B8703" s="123">
        <v>1267395.0</v>
      </c>
      <c r="C8703" s="687" t="str">
        <f>IFERROR(__xludf.DUMMYFUNCTION("GOOGLEFINANCE(A8703,""name"")"),"#N/A")</f>
        <v>#N/A</v>
      </c>
      <c r="D8703" s="125"/>
    </row>
    <row r="8704">
      <c r="A8704" s="122" t="s">
        <v>34452</v>
      </c>
      <c r="B8704" s="123">
        <v>1267395.0</v>
      </c>
      <c r="C8704" s="687" t="str">
        <f>IFERROR(__xludf.DUMMYFUNCTION("GOOGLEFINANCE(A8704,""name"")"),"#N/A")</f>
        <v>#N/A</v>
      </c>
      <c r="D8704" s="125"/>
    </row>
    <row r="8705">
      <c r="A8705" s="122" t="s">
        <v>34453</v>
      </c>
      <c r="B8705" s="123">
        <v>1267395.0</v>
      </c>
      <c r="C8705" s="687" t="str">
        <f>IFERROR(__xludf.DUMMYFUNCTION("GOOGLEFINANCE(A8705,""name"")"),"#N/A")</f>
        <v>#N/A</v>
      </c>
      <c r="D8705" s="125"/>
    </row>
    <row r="8706">
      <c r="A8706" s="122" t="s">
        <v>34454</v>
      </c>
      <c r="B8706" s="123">
        <v>1846253.0</v>
      </c>
      <c r="C8706" s="687" t="str">
        <f>IFERROR(__xludf.DUMMYFUNCTION("GOOGLEFINANCE(A8706,""name"")"),"#N/A")</f>
        <v>#N/A</v>
      </c>
      <c r="D8706" s="125"/>
    </row>
    <row r="8707">
      <c r="A8707" s="122" t="s">
        <v>34455</v>
      </c>
      <c r="B8707" s="123">
        <v>1846253.0</v>
      </c>
      <c r="C8707" s="687" t="str">
        <f>IFERROR(__xludf.DUMMYFUNCTION("GOOGLEFINANCE(A8707,""name"")"),"#N/A")</f>
        <v>#N/A</v>
      </c>
      <c r="D8707" s="125"/>
    </row>
    <row r="8708">
      <c r="A8708" s="122" t="s">
        <v>34456</v>
      </c>
      <c r="B8708" s="123">
        <v>1846253.0</v>
      </c>
      <c r="C8708" s="687" t="str">
        <f>IFERROR(__xludf.DUMMYFUNCTION("GOOGLEFINANCE(A8708,""name"")"),"#N/A")</f>
        <v>#N/A</v>
      </c>
      <c r="D8708" s="125"/>
    </row>
    <row r="8709">
      <c r="A8709" s="122" t="s">
        <v>34457</v>
      </c>
      <c r="B8709" s="123">
        <v>874710.0</v>
      </c>
      <c r="C8709" s="687" t="str">
        <f>IFERROR(__xludf.DUMMYFUNCTION("GOOGLEFINANCE(A8709,""name"")"),"#N/A")</f>
        <v>#N/A</v>
      </c>
      <c r="D8709" s="125"/>
    </row>
    <row r="8710">
      <c r="A8710" s="122" t="s">
        <v>34458</v>
      </c>
      <c r="B8710" s="123">
        <v>1856696.0</v>
      </c>
      <c r="C8710" s="687" t="str">
        <f>IFERROR(__xludf.DUMMYFUNCTION("GOOGLEFINANCE(A8710,""name"")"),"#N/A")</f>
        <v>#N/A</v>
      </c>
      <c r="D8710" s="125"/>
    </row>
    <row r="8711">
      <c r="A8711" s="122" t="s">
        <v>34459</v>
      </c>
      <c r="B8711" s="123">
        <v>1856696.0</v>
      </c>
      <c r="C8711" s="687" t="str">
        <f>IFERROR(__xludf.DUMMYFUNCTION("GOOGLEFINANCE(A8711,""name"")"),"#N/A")</f>
        <v>#N/A</v>
      </c>
      <c r="D8711" s="125"/>
    </row>
    <row r="8712">
      <c r="A8712" s="122" t="s">
        <v>34460</v>
      </c>
      <c r="B8712" s="123">
        <v>1856696.0</v>
      </c>
      <c r="C8712" s="687" t="str">
        <f>IFERROR(__xludf.DUMMYFUNCTION("GOOGLEFINANCE(A8712,""name"")"),"#N/A")</f>
        <v>#N/A</v>
      </c>
      <c r="D8712" s="125"/>
    </row>
    <row r="8713">
      <c r="A8713" s="122" t="s">
        <v>34461</v>
      </c>
      <c r="B8713" s="123">
        <v>1232582.0</v>
      </c>
      <c r="C8713" s="687" t="str">
        <f>IFERROR(__xludf.DUMMYFUNCTION("GOOGLEFINANCE(A8713,""name"")"),"#N/A")</f>
        <v>#N/A</v>
      </c>
      <c r="D8713" s="125"/>
    </row>
    <row r="8714">
      <c r="A8714" s="122" t="s">
        <v>34462</v>
      </c>
      <c r="B8714" s="123">
        <v>1232582.0</v>
      </c>
      <c r="C8714" s="687" t="str">
        <f>IFERROR(__xludf.DUMMYFUNCTION("GOOGLEFINANCE(A8714,""name"")"),"#N/A")</f>
        <v>#N/A</v>
      </c>
      <c r="D8714" s="125"/>
    </row>
    <row r="8715">
      <c r="A8715" s="122" t="s">
        <v>34463</v>
      </c>
      <c r="B8715" s="123">
        <v>1232582.0</v>
      </c>
      <c r="C8715" s="687" t="str">
        <f>IFERROR(__xludf.DUMMYFUNCTION("GOOGLEFINANCE(A8715,""name"")"),"#N/A")</f>
        <v>#N/A</v>
      </c>
      <c r="D8715" s="125"/>
    </row>
    <row r="8716">
      <c r="A8716" s="122" t="s">
        <v>34464</v>
      </c>
      <c r="B8716" s="123">
        <v>1232582.0</v>
      </c>
      <c r="C8716" s="687" t="str">
        <f>IFERROR(__xludf.DUMMYFUNCTION("GOOGLEFINANCE(A8716,""name"")"),"#N/A")</f>
        <v>#N/A</v>
      </c>
      <c r="D8716" s="125"/>
    </row>
    <row r="8717">
      <c r="A8717" s="122" t="s">
        <v>34465</v>
      </c>
      <c r="B8717" s="123">
        <v>1232582.0</v>
      </c>
      <c r="C8717" s="687" t="str">
        <f>IFERROR(__xludf.DUMMYFUNCTION("GOOGLEFINANCE(A8717,""name"")"),"#N/A")</f>
        <v>#N/A</v>
      </c>
      <c r="D8717" s="125"/>
    </row>
    <row r="8718">
      <c r="A8718" s="122" t="s">
        <v>34466</v>
      </c>
      <c r="B8718" s="123">
        <v>1577526.0</v>
      </c>
      <c r="C8718" s="687" t="str">
        <f>IFERROR(__xludf.DUMMYFUNCTION("GOOGLEFINANCE(A8718,""name"")"),"C3.ai Inc")</f>
        <v>C3.ai Inc</v>
      </c>
      <c r="D8718" s="125"/>
    </row>
    <row r="8719">
      <c r="A8719" s="122" t="s">
        <v>34467</v>
      </c>
      <c r="B8719" s="123">
        <v>1882963.0</v>
      </c>
      <c r="C8719" s="687" t="str">
        <f>IFERROR(__xludf.DUMMYFUNCTION("GOOGLEFINANCE(A8719,""name"")"),"#N/A")</f>
        <v>#N/A</v>
      </c>
      <c r="D8719" s="125"/>
    </row>
    <row r="8720">
      <c r="A8720" s="122" t="s">
        <v>34468</v>
      </c>
      <c r="B8720" s="123">
        <v>1702015.0</v>
      </c>
      <c r="C8720" s="687" t="str">
        <f>IFERROR(__xludf.DUMMYFUNCTION("GOOGLEFINANCE(A8720,""name"")"),"#N/A")</f>
        <v>#N/A</v>
      </c>
      <c r="D8720" s="125"/>
    </row>
    <row r="8721">
      <c r="A8721" s="122" t="s">
        <v>34469</v>
      </c>
      <c r="B8721" s="123">
        <v>5272.0</v>
      </c>
      <c r="C8721" s="687" t="str">
        <f>IFERROR(__xludf.DUMMYFUNCTION("GOOGLEFINANCE(A8721,""name"")"),"#N/A")</f>
        <v>#N/A</v>
      </c>
      <c r="D8721" s="125"/>
    </row>
    <row r="8722">
      <c r="A8722" s="122" t="s">
        <v>34470</v>
      </c>
      <c r="B8722" s="123">
        <v>12239.0</v>
      </c>
      <c r="C8722" s="687" t="str">
        <f>IFERROR(__xludf.DUMMYFUNCTION("GOOGLEFINANCE(A8722,""name"")"),"#N/A")</f>
        <v>#N/A</v>
      </c>
      <c r="D8722" s="125"/>
    </row>
    <row r="8723">
      <c r="A8723" s="122" t="s">
        <v>34471</v>
      </c>
      <c r="B8723" s="123">
        <v>1903464.0</v>
      </c>
      <c r="C8723" s="687" t="str">
        <f>IFERROR(__xludf.DUMMYFUNCTION("GOOGLEFINANCE(A8723,""name"")"),"#N/A")</f>
        <v>#N/A</v>
      </c>
      <c r="D8723" s="125"/>
    </row>
    <row r="8724">
      <c r="A8724" s="122" t="s">
        <v>34472</v>
      </c>
      <c r="B8724" s="123">
        <v>1374535.0</v>
      </c>
      <c r="C8724" s="687" t="str">
        <f>IFERROR(__xludf.DUMMYFUNCTION("GOOGLEFINANCE(A8724,""name"")"),"#N/A")</f>
        <v>#N/A</v>
      </c>
      <c r="D8724" s="125"/>
    </row>
    <row r="8725">
      <c r="A8725" s="122" t="s">
        <v>34473</v>
      </c>
      <c r="B8725" s="123">
        <v>40888.0</v>
      </c>
      <c r="C8725" s="687" t="str">
        <f>IFERROR(__xludf.DUMMYFUNCTION("GOOGLEFINANCE(A8725,""name"")"),"#N/A")</f>
        <v>#N/A</v>
      </c>
      <c r="D8725" s="125"/>
    </row>
    <row r="8726">
      <c r="A8726" s="122" t="s">
        <v>34474</v>
      </c>
      <c r="B8726" s="123">
        <v>1888014.0</v>
      </c>
      <c r="C8726" s="687" t="str">
        <f>IFERROR(__xludf.DUMMYFUNCTION("GOOGLEFINANCE(A8726,""name"")"),"Akanda Corp")</f>
        <v>Akanda Corp</v>
      </c>
      <c r="D8726" s="125"/>
    </row>
    <row r="8727">
      <c r="A8727" s="122" t="s">
        <v>34475</v>
      </c>
      <c r="B8727" s="123">
        <v>1826574.0</v>
      </c>
      <c r="C8727" s="687" t="str">
        <f>IFERROR(__xludf.DUMMYFUNCTION("GOOGLEFINANCE(A8727,""name"")"),"#N/A")</f>
        <v>#N/A</v>
      </c>
      <c r="D8727" s="125"/>
    </row>
    <row r="8728">
      <c r="A8728" s="122" t="s">
        <v>34476</v>
      </c>
      <c r="B8728" s="123">
        <v>1826574.0</v>
      </c>
      <c r="C8728" s="687" t="str">
        <f>IFERROR(__xludf.DUMMYFUNCTION("GOOGLEFINANCE(A8728,""name"")"),"#N/A")</f>
        <v>#N/A</v>
      </c>
      <c r="D8728" s="125"/>
    </row>
    <row r="8729">
      <c r="A8729" s="122" t="s">
        <v>34477</v>
      </c>
      <c r="B8729" s="123">
        <v>1826574.0</v>
      </c>
      <c r="C8729" s="687" t="str">
        <f>IFERROR(__xludf.DUMMYFUNCTION("GOOGLEFINANCE(A8729,""name"")"),"#N/A")</f>
        <v>#N/A</v>
      </c>
      <c r="D8729" s="125"/>
    </row>
    <row r="8730">
      <c r="A8730" s="122" t="s">
        <v>34478</v>
      </c>
      <c r="B8730" s="123">
        <v>1850266.0</v>
      </c>
      <c r="C8730" s="687" t="str">
        <f>IFERROR(__xludf.DUMMYFUNCTION("GOOGLEFINANCE(A8730,""name"")"),"#N/A")</f>
        <v>#N/A</v>
      </c>
      <c r="D8730" s="125"/>
    </row>
    <row r="8731">
      <c r="A8731" s="122" t="s">
        <v>34479</v>
      </c>
      <c r="B8731" s="123">
        <v>925261.0</v>
      </c>
      <c r="C8731" s="687" t="str">
        <f>IFERROR(__xludf.DUMMYFUNCTION("GOOGLEFINANCE(A8731,""name"")"),"#N/A")</f>
        <v>#N/A</v>
      </c>
      <c r="D8731" s="125"/>
    </row>
    <row r="8732">
      <c r="A8732" s="122" t="s">
        <v>34480</v>
      </c>
      <c r="B8732" s="123">
        <v>925261.0</v>
      </c>
      <c r="C8732" s="687" t="str">
        <f>IFERROR(__xludf.DUMMYFUNCTION("GOOGLEFINANCE(A8732,""name"")"),"#N/A")</f>
        <v>#N/A</v>
      </c>
      <c r="D8732" s="125"/>
    </row>
    <row r="8733">
      <c r="A8733" s="122" t="s">
        <v>34481</v>
      </c>
      <c r="B8733" s="123">
        <v>1722271.0</v>
      </c>
      <c r="C8733" s="687" t="str">
        <f>IFERROR(__xludf.DUMMYFUNCTION("GOOGLEFINANCE(A8733,""name"")"),"#N/A")</f>
        <v>#N/A</v>
      </c>
      <c r="D8733" s="125"/>
    </row>
    <row r="8734">
      <c r="A8734" s="122" t="s">
        <v>34482</v>
      </c>
      <c r="B8734" s="123">
        <v>1487712.0</v>
      </c>
      <c r="C8734" s="687" t="str">
        <f>IFERROR(__xludf.DUMMYFUNCTION("GOOGLEFINANCE(A8734,""name"")"),"Air Lease Corp")</f>
        <v>Air Lease Corp</v>
      </c>
      <c r="D8734" s="125"/>
    </row>
    <row r="8735">
      <c r="A8735" s="122" t="s">
        <v>34483</v>
      </c>
      <c r="B8735" s="123">
        <v>1487712.0</v>
      </c>
      <c r="C8735" s="687" t="str">
        <f>IFERROR(__xludf.DUMMYFUNCTION("GOOGLEFINANCE(A8735,""name"")"),"#N/A")</f>
        <v>#N/A</v>
      </c>
      <c r="D8735" s="125"/>
    </row>
    <row r="8736">
      <c r="A8736" s="122" t="s">
        <v>34484</v>
      </c>
      <c r="B8736" s="123">
        <v>1322505.0</v>
      </c>
      <c r="C8736" s="687" t="str">
        <f>IFERROR(__xludf.DUMMYFUNCTION("GOOGLEFINANCE(A8736,""name"")"),"#N/A")</f>
        <v>#N/A</v>
      </c>
      <c r="D8736" s="125"/>
    </row>
    <row r="8737">
      <c r="A8737" s="122" t="s">
        <v>34485</v>
      </c>
      <c r="B8737" s="123">
        <v>1887389.0</v>
      </c>
      <c r="C8737" s="687" t="str">
        <f>IFERROR(__xludf.DUMMYFUNCTION("GOOGLEFINANCE(A8737,""name"")"),"#N/A")</f>
        <v>#N/A</v>
      </c>
      <c r="D8737" s="125"/>
    </row>
    <row r="8738">
      <c r="A8738" s="122" t="s">
        <v>34486</v>
      </c>
      <c r="B8738" s="123">
        <v>1806905.0</v>
      </c>
      <c r="C8738" s="687" t="str">
        <f>IFERROR(__xludf.DUMMYFUNCTION("GOOGLEFINANCE(A8738,""name"")"),"#N/A")</f>
        <v>#N/A</v>
      </c>
      <c r="D8738" s="125"/>
    </row>
    <row r="8739">
      <c r="A8739" s="122" t="s">
        <v>34487</v>
      </c>
      <c r="B8739" s="123">
        <v>1833908.0</v>
      </c>
      <c r="C8739" s="687" t="str">
        <f>IFERROR(__xludf.DUMMYFUNCTION("GOOGLEFINANCE(A8739,""name"")"),"#N/A")</f>
        <v>#N/A</v>
      </c>
      <c r="D8739" s="125"/>
    </row>
    <row r="8740">
      <c r="A8740" s="122" t="s">
        <v>34488</v>
      </c>
      <c r="B8740" s="123">
        <v>1438731.0</v>
      </c>
      <c r="C8740" s="687" t="str">
        <f>IFERROR(__xludf.DUMMYFUNCTION("GOOGLEFINANCE(A8740,""name"")"),"#N/A")</f>
        <v>#N/A</v>
      </c>
      <c r="D8740" s="125"/>
    </row>
    <row r="8741">
      <c r="A8741" s="122" t="s">
        <v>34489</v>
      </c>
      <c r="B8741" s="123">
        <v>899051.0</v>
      </c>
      <c r="C8741" s="687" t="str">
        <f>IFERROR(__xludf.DUMMYFUNCTION("GOOGLEFINANCE(A8741,""name"")"),"#N/A")</f>
        <v>#N/A</v>
      </c>
      <c r="D8741" s="125"/>
    </row>
    <row r="8742">
      <c r="A8742" s="122" t="s">
        <v>34490</v>
      </c>
      <c r="B8742" s="123">
        <v>899051.0</v>
      </c>
      <c r="C8742" s="687" t="str">
        <f>IFERROR(__xludf.DUMMYFUNCTION("GOOGLEFINANCE(A8742,""name"")"),"#N/A")</f>
        <v>#N/A</v>
      </c>
      <c r="D8742" s="125"/>
    </row>
    <row r="8743">
      <c r="A8743" s="122" t="s">
        <v>34491</v>
      </c>
      <c r="B8743" s="123">
        <v>899051.0</v>
      </c>
      <c r="C8743" s="687" t="str">
        <f>IFERROR(__xludf.DUMMYFUNCTION("GOOGLEFINANCE(A8743,""name"")"),"#N/A")</f>
        <v>#N/A</v>
      </c>
      <c r="D8743" s="125"/>
    </row>
    <row r="8744">
      <c r="A8744" s="122" t="s">
        <v>34492</v>
      </c>
      <c r="B8744" s="123">
        <v>899051.0</v>
      </c>
      <c r="C8744" s="687" t="str">
        <f>IFERROR(__xludf.DUMMYFUNCTION("GOOGLEFINANCE(A8744,""name"")"),"#N/A")</f>
        <v>#N/A</v>
      </c>
      <c r="D8744" s="125"/>
    </row>
    <row r="8745">
      <c r="A8745" s="122" t="s">
        <v>34493</v>
      </c>
      <c r="B8745" s="123">
        <v>1874474.0</v>
      </c>
      <c r="C8745" s="687" t="str">
        <f>IFERROR(__xludf.DUMMYFUNCTION("GOOGLEFINANCE(A8745,""name"")"),"#N/A")</f>
        <v>#N/A</v>
      </c>
      <c r="D8745" s="125"/>
    </row>
    <row r="8746">
      <c r="A8746" s="122" t="s">
        <v>34494</v>
      </c>
      <c r="B8746" s="123">
        <v>1624658.0</v>
      </c>
      <c r="C8746" s="687" t="str">
        <f>IFERROR(__xludf.DUMMYFUNCTION("GOOGLEFINANCE(A8746,""name"")"),"#N/A")</f>
        <v>#N/A</v>
      </c>
      <c r="D8746" s="125"/>
    </row>
    <row r="8747">
      <c r="A8747" s="122" t="s">
        <v>34495</v>
      </c>
      <c r="B8747" s="123">
        <v>1862733.0</v>
      </c>
      <c r="C8747" s="687" t="str">
        <f>IFERROR(__xludf.DUMMYFUNCTION("GOOGLEFINANCE(A8747,""name"")"),"#N/A")</f>
        <v>#N/A</v>
      </c>
      <c r="D8747" s="125"/>
    </row>
    <row r="8748">
      <c r="A8748" s="122" t="s">
        <v>34496</v>
      </c>
      <c r="B8748" s="123">
        <v>1883962.0</v>
      </c>
      <c r="C8748" s="687" t="str">
        <f>IFERROR(__xludf.DUMMYFUNCTION("GOOGLEFINANCE(A8748,""name"")"),"#N/A")</f>
        <v>#N/A</v>
      </c>
      <c r="D8748" s="125"/>
    </row>
    <row r="8749">
      <c r="A8749" s="122" t="s">
        <v>34497</v>
      </c>
      <c r="B8749" s="123">
        <v>1883962.0</v>
      </c>
      <c r="C8749" s="687" t="str">
        <f>IFERROR(__xludf.DUMMYFUNCTION("GOOGLEFINANCE(A8749,""name"")"),"#N/A")</f>
        <v>#N/A</v>
      </c>
      <c r="D8749" s="125"/>
    </row>
    <row r="8750">
      <c r="A8750" s="122" t="s">
        <v>34498</v>
      </c>
      <c r="B8750" s="123">
        <v>3153.0</v>
      </c>
      <c r="C8750" s="687" t="str">
        <f>IFERROR(__xludf.DUMMYFUNCTION("GOOGLEFINANCE(A8750,""name"")"),"#N/A")</f>
        <v>#N/A</v>
      </c>
      <c r="D8750" s="125"/>
    </row>
    <row r="8751">
      <c r="A8751" s="122" t="s">
        <v>34499</v>
      </c>
      <c r="B8751" s="123">
        <v>1842939.0</v>
      </c>
      <c r="C8751" s="687" t="str">
        <f>IFERROR(__xludf.DUMMYFUNCTION("GOOGLEFINANCE(A8751,""name"")"),"#N/A")</f>
        <v>#N/A</v>
      </c>
      <c r="D8751" s="125"/>
    </row>
    <row r="8752">
      <c r="A8752" s="122" t="s">
        <v>34500</v>
      </c>
      <c r="B8752" s="123">
        <v>1616736.0</v>
      </c>
      <c r="C8752" s="687" t="str">
        <f>IFERROR(__xludf.DUMMYFUNCTION("GOOGLEFINANCE(A8752,""name"")"),"Alpha Investment Inc")</f>
        <v>Alpha Investment Inc</v>
      </c>
      <c r="D8752" s="125"/>
    </row>
    <row r="8753">
      <c r="A8753" s="122" t="s">
        <v>34501</v>
      </c>
      <c r="B8753" s="123">
        <v>1087022.0</v>
      </c>
      <c r="C8753" s="687" t="str">
        <f>IFERROR(__xludf.DUMMYFUNCTION("GOOGLEFINANCE(A8753,""name"")"),"Defence Holdings PLC")</f>
        <v>Defence Holdings PLC</v>
      </c>
      <c r="D8753" s="125"/>
    </row>
    <row r="8754">
      <c r="A8754" s="122" t="s">
        <v>34502</v>
      </c>
      <c r="B8754" s="123">
        <v>1865111.0</v>
      </c>
      <c r="C8754" s="687" t="str">
        <f>IFERROR(__xludf.DUMMYFUNCTION("GOOGLEFINANCE(A8754,""name"")"),"#N/A")</f>
        <v>#N/A</v>
      </c>
      <c r="D8754" s="125"/>
    </row>
    <row r="8755">
      <c r="A8755" s="122" t="s">
        <v>34503</v>
      </c>
      <c r="B8755" s="123">
        <v>1759824.0</v>
      </c>
      <c r="C8755" s="687" t="str">
        <f>IFERROR(__xludf.DUMMYFUNCTION("GOOGLEFINANCE(A8755,""name"")"),"#N/A")</f>
        <v>#N/A</v>
      </c>
      <c r="D8755" s="125"/>
    </row>
    <row r="8756">
      <c r="A8756" s="122" t="s">
        <v>34504</v>
      </c>
      <c r="B8756" s="123">
        <v>1843079.0</v>
      </c>
      <c r="C8756" s="687" t="str">
        <f>IFERROR(__xludf.DUMMYFUNCTION("GOOGLEFINANCE(A8756,""name"")"),"#N/A")</f>
        <v>#N/A</v>
      </c>
      <c r="D8756" s="125"/>
    </row>
    <row r="8757">
      <c r="A8757" s="122" t="s">
        <v>34505</v>
      </c>
      <c r="B8757" s="123">
        <v>1908211.0</v>
      </c>
      <c r="C8757" s="687" t="str">
        <f>IFERROR(__xludf.DUMMYFUNCTION("GOOGLEFINANCE(A8757,""name"")"),"#N/A")</f>
        <v>#N/A</v>
      </c>
      <c r="D8757" s="125"/>
    </row>
    <row r="8758">
      <c r="A8758" s="122" t="s">
        <v>34506</v>
      </c>
      <c r="B8758" s="123">
        <v>1623925.0</v>
      </c>
      <c r="C8758" s="687" t="str">
        <f>IFERROR(__xludf.DUMMYFUNCTION("GOOGLEFINANCE(A8758,""name"")"),"Antero Midstream Corp")</f>
        <v>Antero Midstream Corp</v>
      </c>
      <c r="D8758" s="125"/>
    </row>
    <row r="8759">
      <c r="A8759" s="122" t="s">
        <v>34507</v>
      </c>
      <c r="B8759" s="123">
        <v>1843656.0</v>
      </c>
      <c r="C8759" s="687" t="str">
        <f>IFERROR(__xludf.DUMMYFUNCTION("GOOGLEFINANCE(A8759,""name"")"),"#N/A")</f>
        <v>#N/A</v>
      </c>
      <c r="D8759" s="125"/>
    </row>
    <row r="8760">
      <c r="A8760" s="122" t="s">
        <v>34508</v>
      </c>
      <c r="B8760" s="123">
        <v>1843656.0</v>
      </c>
      <c r="C8760" s="687" t="str">
        <f>IFERROR(__xludf.DUMMYFUNCTION("GOOGLEFINANCE(A8760,""name"")"),"#N/A")</f>
        <v>#N/A</v>
      </c>
      <c r="D8760" s="125"/>
    </row>
    <row r="8761">
      <c r="A8761" s="122" t="s">
        <v>34509</v>
      </c>
      <c r="B8761" s="123">
        <v>874501.0</v>
      </c>
      <c r="C8761" s="687" t="str">
        <f>IFERROR(__xludf.DUMMYFUNCTION("GOOGLEFINANCE(A8761,""name"")"),"#N/A")</f>
        <v>#N/A</v>
      </c>
      <c r="D8761" s="125"/>
    </row>
    <row r="8762">
      <c r="A8762" s="122" t="s">
        <v>34510</v>
      </c>
      <c r="B8762" s="123">
        <v>1845097.0</v>
      </c>
      <c r="C8762" s="687" t="str">
        <f>IFERROR(__xludf.DUMMYFUNCTION("GOOGLEFINANCE(A8762,""name"")"),"#N/A")</f>
        <v>#N/A</v>
      </c>
      <c r="D8762" s="125"/>
    </row>
    <row r="8763">
      <c r="A8763" s="122" t="s">
        <v>34511</v>
      </c>
      <c r="B8763" s="123">
        <v>1843724.0</v>
      </c>
      <c r="C8763" s="687" t="str">
        <f>IFERROR(__xludf.DUMMYFUNCTION("GOOGLEFINANCE(A8763,""name"")"),"#N/A")</f>
        <v>#N/A</v>
      </c>
      <c r="D8763" s="125"/>
    </row>
    <row r="8764">
      <c r="A8764" s="122" t="s">
        <v>34512</v>
      </c>
      <c r="B8764" s="123">
        <v>1843724.0</v>
      </c>
      <c r="C8764" s="687" t="str">
        <f>IFERROR(__xludf.DUMMYFUNCTION("GOOGLEFINANCE(A8764,""name"")"),"#N/A")</f>
        <v>#N/A</v>
      </c>
      <c r="D8764" s="125"/>
    </row>
    <row r="8765">
      <c r="A8765" s="122" t="s">
        <v>34513</v>
      </c>
      <c r="B8765" s="123">
        <v>1843724.0</v>
      </c>
      <c r="C8765" s="687" t="str">
        <f>IFERROR(__xludf.DUMMYFUNCTION("GOOGLEFINANCE(A8765,""name"")"),"#N/A")</f>
        <v>#N/A</v>
      </c>
      <c r="D8765" s="125"/>
    </row>
    <row r="8766">
      <c r="A8766" s="122" t="s">
        <v>34514</v>
      </c>
      <c r="B8766" s="123">
        <v>1562401.0</v>
      </c>
      <c r="C8766" s="687" t="str">
        <f>IFERROR(__xludf.DUMMYFUNCTION("GOOGLEFINANCE(A8766,""name"")"),"#N/A")</f>
        <v>#N/A</v>
      </c>
      <c r="D8766" s="125"/>
    </row>
    <row r="8767">
      <c r="A8767" s="122" t="s">
        <v>34515</v>
      </c>
      <c r="B8767" s="123">
        <v>1562401.0</v>
      </c>
      <c r="C8767" s="687" t="str">
        <f>IFERROR(__xludf.DUMMYFUNCTION("GOOGLEFINANCE(A8767,""name"")"),"#N/A")</f>
        <v>#N/A</v>
      </c>
      <c r="D8767" s="125"/>
    </row>
    <row r="8768">
      <c r="A8768" s="122" t="s">
        <v>34516</v>
      </c>
      <c r="B8768" s="123">
        <v>1114446.0</v>
      </c>
      <c r="C8768" s="687" t="str">
        <f>IFERROR(__xludf.DUMMYFUNCTION("GOOGLEFINANCE(A8768,""name"")"),"#N/A")</f>
        <v>#N/A</v>
      </c>
      <c r="D8768" s="125"/>
    </row>
    <row r="8769">
      <c r="A8769" s="122" t="s">
        <v>34517</v>
      </c>
      <c r="B8769" s="123">
        <v>1129137.0</v>
      </c>
      <c r="C8769" s="687" t="str">
        <f>IFERROR(__xludf.DUMMYFUNCTION("GOOGLEFINANCE(A8769,""name"")"),"#N/A")</f>
        <v>#N/A</v>
      </c>
      <c r="D8769" s="125"/>
    </row>
    <row r="8770">
      <c r="A8770" s="122" t="s">
        <v>34518</v>
      </c>
      <c r="B8770" s="123">
        <v>1129137.0</v>
      </c>
      <c r="C8770" s="687" t="str">
        <f>IFERROR(__xludf.DUMMYFUNCTION("GOOGLEFINANCE(A8770,""name"")"),"#N/A")</f>
        <v>#N/A</v>
      </c>
      <c r="D8770" s="125"/>
    </row>
    <row r="8771">
      <c r="A8771" s="122" t="s">
        <v>34519</v>
      </c>
      <c r="B8771" s="123">
        <v>1835636.0</v>
      </c>
      <c r="C8771" s="687" t="str">
        <f>IFERROR(__xludf.DUMMYFUNCTION("GOOGLEFINANCE(A8771,""name"")"),"#N/A")</f>
        <v>#N/A</v>
      </c>
      <c r="D8771" s="125"/>
    </row>
    <row r="8772">
      <c r="A8772" s="122" t="s">
        <v>34520</v>
      </c>
      <c r="B8772" s="123">
        <v>1835636.0</v>
      </c>
      <c r="C8772" s="687" t="str">
        <f>IFERROR(__xludf.DUMMYFUNCTION("GOOGLEFINANCE(A8772,""name"")"),"#N/A")</f>
        <v>#N/A</v>
      </c>
      <c r="D8772" s="125"/>
    </row>
    <row r="8773">
      <c r="A8773" s="122" t="s">
        <v>34521</v>
      </c>
      <c r="B8773" s="123">
        <v>1835636.0</v>
      </c>
      <c r="C8773" s="687" t="str">
        <f>IFERROR(__xludf.DUMMYFUNCTION("GOOGLEFINANCE(A8773,""name"")"),"#N/A")</f>
        <v>#N/A</v>
      </c>
      <c r="D8773" s="125"/>
    </row>
    <row r="8774">
      <c r="A8774" s="122" t="s">
        <v>34522</v>
      </c>
      <c r="B8774" s="123">
        <v>1828723.0</v>
      </c>
      <c r="C8774" s="687" t="str">
        <f>IFERROR(__xludf.DUMMYFUNCTION("GOOGLEFINANCE(A8774,""name"")"),"#N/A")</f>
        <v>#N/A</v>
      </c>
      <c r="D8774" s="125"/>
    </row>
    <row r="8775">
      <c r="A8775" s="122" t="s">
        <v>34523</v>
      </c>
      <c r="B8775" s="123">
        <v>1899287.0</v>
      </c>
      <c r="C8775" s="687" t="str">
        <f>IFERROR(__xludf.DUMMYFUNCTION("GOOGLEFINANCE(A8775,""name"")"),"#N/A")</f>
        <v>#N/A</v>
      </c>
      <c r="D8775" s="125"/>
    </row>
    <row r="8776">
      <c r="A8776" s="122" t="s">
        <v>34524</v>
      </c>
      <c r="B8776" s="123">
        <v>1488638.0</v>
      </c>
      <c r="C8776" s="687" t="str">
        <f>IFERROR(__xludf.DUMMYFUNCTION("GOOGLEFINANCE(A8776,""name"")"),"#N/A")</f>
        <v>#N/A</v>
      </c>
      <c r="D8776" s="125"/>
    </row>
    <row r="8777">
      <c r="A8777" s="122" t="s">
        <v>34525</v>
      </c>
      <c r="B8777" s="123">
        <v>1243429.0</v>
      </c>
      <c r="C8777" s="687" t="str">
        <f>IFERROR(__xludf.DUMMYFUNCTION("GOOGLEFINANCE(A8777,""name"")"),"#N/A")</f>
        <v>#N/A</v>
      </c>
      <c r="D8777" s="125"/>
    </row>
    <row r="8778">
      <c r="A8778" s="122" t="s">
        <v>34526</v>
      </c>
      <c r="B8778" s="123">
        <v>1807166.0</v>
      </c>
      <c r="C8778" s="687" t="str">
        <f>IFERROR(__xludf.DUMMYFUNCTION("GOOGLEFINANCE(A8778,""name"")"),"Amesite Inc")</f>
        <v>Amesite Inc</v>
      </c>
      <c r="D8778" s="125"/>
    </row>
    <row r="8779">
      <c r="A8779" s="122" t="s">
        <v>34527</v>
      </c>
      <c r="B8779" s="123">
        <v>1142801.0</v>
      </c>
      <c r="C8779" s="687" t="str">
        <f>IFERROR(__xludf.DUMMYFUNCTION("GOOGLEFINANCE(A8779,""name"")"),"#N/A")</f>
        <v>#N/A</v>
      </c>
      <c r="D8779" s="125"/>
    </row>
    <row r="8780">
      <c r="A8780" s="122" t="s">
        <v>34528</v>
      </c>
      <c r="B8780" s="123">
        <v>1734342.0</v>
      </c>
      <c r="C8780" s="687" t="str">
        <f>IFERROR(__xludf.DUMMYFUNCTION("GOOGLEFINANCE(A8780,""name"")"),"Amerant Bancorp Inc")</f>
        <v>Amerant Bancorp Inc</v>
      </c>
      <c r="D8780" s="125"/>
    </row>
    <row r="8781">
      <c r="A8781" s="122" t="s">
        <v>34529</v>
      </c>
      <c r="B8781" s="123">
        <v>1769731.0</v>
      </c>
      <c r="C8781" s="687" t="str">
        <f>IFERROR(__xludf.DUMMYFUNCTION("GOOGLEFINANCE(A8781,""name"")"),"#N/A")</f>
        <v>#N/A</v>
      </c>
      <c r="D8781" s="125"/>
    </row>
    <row r="8782">
      <c r="A8782" s="122" t="s">
        <v>34530</v>
      </c>
      <c r="B8782" s="123">
        <v>1801777.0</v>
      </c>
      <c r="C8782" s="687" t="str">
        <f>IFERROR(__xludf.DUMMYFUNCTION("GOOGLEFINANCE(A8782,""name"")"),"#N/A")</f>
        <v>#N/A</v>
      </c>
      <c r="D8782" s="125"/>
    </row>
    <row r="8783">
      <c r="A8783" s="122" t="s">
        <v>34531</v>
      </c>
      <c r="B8783" s="123">
        <v>1114446.0</v>
      </c>
      <c r="C8783" s="687" t="str">
        <f>IFERROR(__xludf.DUMMYFUNCTION("GOOGLEFINANCE(A8783,""name"")"),"#N/A")</f>
        <v>#N/A</v>
      </c>
      <c r="D8783" s="125"/>
    </row>
    <row r="8784">
      <c r="A8784" s="122" t="s">
        <v>34532</v>
      </c>
      <c r="B8784" s="123">
        <v>738214.0</v>
      </c>
      <c r="C8784" s="687" t="str">
        <f>IFERROR(__xludf.DUMMYFUNCTION("GOOGLEFINANCE(A8784,""name"")"),"Aemetis Inc")</f>
        <v>Aemetis Inc</v>
      </c>
      <c r="D8784" s="125"/>
    </row>
    <row r="8785">
      <c r="A8785" s="122" t="s">
        <v>34533</v>
      </c>
      <c r="B8785" s="123">
        <v>945828.0</v>
      </c>
      <c r="C8785" s="687" t="str">
        <f>IFERROR(__xludf.DUMMYFUNCTION("GOOGLEFINANCE(A8785,""name"")"),"Amerityre Corp")</f>
        <v>Amerityre Corp</v>
      </c>
      <c r="D8785" s="125"/>
    </row>
    <row r="8786">
      <c r="A8786" s="122" t="s">
        <v>34534</v>
      </c>
      <c r="B8786" s="123">
        <v>1114446.0</v>
      </c>
      <c r="C8786" s="687" t="str">
        <f>IFERROR(__xludf.DUMMYFUNCTION("GOOGLEFINANCE(A8786,""name"")"),"UBS ETRACS Alerian MLP Index ETN Series B due 18 July 2042 Series B")</f>
        <v>UBS ETRACS Alerian MLP Index ETN Series B due 18 July 2042 Series B</v>
      </c>
      <c r="D8786" s="125"/>
    </row>
    <row r="8787">
      <c r="A8787" s="122" t="s">
        <v>34535</v>
      </c>
      <c r="B8787" s="123">
        <v>794619.0</v>
      </c>
      <c r="C8787" s="687" t="str">
        <f>IFERROR(__xludf.DUMMYFUNCTION("GOOGLEFINANCE(A8787,""name"")"),"American Woodmark Corp")</f>
        <v>American Woodmark Corp</v>
      </c>
      <c r="D8787" s="125"/>
    </row>
    <row r="8788">
      <c r="A8788" s="122" t="s">
        <v>34536</v>
      </c>
      <c r="B8788" s="123">
        <v>1129137.0</v>
      </c>
      <c r="C8788" s="687" t="str">
        <f>IFERROR(__xludf.DUMMYFUNCTION("GOOGLEFINANCE(A8788,""name"")"),"#N/A")</f>
        <v>#N/A</v>
      </c>
      <c r="D8788" s="125"/>
    </row>
    <row r="8789">
      <c r="A8789" s="122" t="s">
        <v>34537</v>
      </c>
      <c r="B8789" s="123">
        <v>1783010.0</v>
      </c>
      <c r="C8789" s="687" t="str">
        <f>IFERROR(__xludf.DUMMYFUNCTION("GOOGLEFINANCE(A8789,""name"")"),"#N/A")</f>
        <v>#N/A</v>
      </c>
      <c r="D8789" s="125"/>
    </row>
    <row r="8790">
      <c r="A8790" s="122" t="s">
        <v>34538</v>
      </c>
      <c r="B8790" s="123">
        <v>350698.0</v>
      </c>
      <c r="C8790" s="687" t="str">
        <f>IFERROR(__xludf.DUMMYFUNCTION("GOOGLEFINANCE(A8790,""name"")"),"AutoNation Inc")</f>
        <v>AutoNation Inc</v>
      </c>
      <c r="D8790" s="125"/>
    </row>
    <row r="8791">
      <c r="A8791" s="122" t="s">
        <v>34539</v>
      </c>
      <c r="B8791" s="123">
        <v>1829558.0</v>
      </c>
      <c r="C8791" s="687" t="str">
        <f>IFERROR(__xludf.DUMMYFUNCTION("GOOGLEFINANCE(A8791,""name"")"),"#N/A")</f>
        <v>#N/A</v>
      </c>
      <c r="D8791" s="125"/>
    </row>
    <row r="8792">
      <c r="A8792" s="122" t="s">
        <v>34540</v>
      </c>
      <c r="B8792" s="123">
        <v>1829558.0</v>
      </c>
      <c r="C8792" s="687" t="str">
        <f>IFERROR(__xludf.DUMMYFUNCTION("GOOGLEFINANCE(A8792,""name"")"),"#N/A")</f>
        <v>#N/A</v>
      </c>
      <c r="D8792" s="125"/>
    </row>
    <row r="8793">
      <c r="A8793" s="122" t="s">
        <v>34541</v>
      </c>
      <c r="B8793" s="123">
        <v>1829558.0</v>
      </c>
      <c r="C8793" s="687" t="str">
        <f>IFERROR(__xludf.DUMMYFUNCTION("GOOGLEFINANCE(A8793,""name"")"),"#N/A")</f>
        <v>#N/A</v>
      </c>
      <c r="D8793" s="125"/>
    </row>
    <row r="8794">
      <c r="A8794" s="122" t="s">
        <v>34542</v>
      </c>
      <c r="B8794" s="123">
        <v>1491829.0</v>
      </c>
      <c r="C8794" s="687" t="str">
        <f>IFERROR(__xludf.DUMMYFUNCTION("GOOGLEFINANCE(A8794,""name"")"),"#N/A")</f>
        <v>#N/A</v>
      </c>
      <c r="D8794" s="125"/>
    </row>
    <row r="8795">
      <c r="A8795" s="122" t="s">
        <v>34543</v>
      </c>
      <c r="B8795" s="123">
        <v>1601485.0</v>
      </c>
      <c r="C8795" s="687" t="str">
        <f>IFERROR(__xludf.DUMMYFUNCTION("GOOGLEFINANCE(A8795,""name"")"),"#N/A")</f>
        <v>#N/A</v>
      </c>
      <c r="D8795" s="125"/>
    </row>
    <row r="8796">
      <c r="A8796" s="122" t="s">
        <v>34544</v>
      </c>
      <c r="B8796" s="123">
        <v>1786511.0</v>
      </c>
      <c r="C8796" s="687" t="str">
        <f>IFERROR(__xludf.DUMMYFUNCTION("GOOGLEFINANCE(A8796,""name"")"),"#N/A")</f>
        <v>#N/A</v>
      </c>
      <c r="D8796" s="125"/>
    </row>
    <row r="8797">
      <c r="A8797" s="122" t="s">
        <v>34545</v>
      </c>
      <c r="B8797" s="123">
        <v>1840877.0</v>
      </c>
      <c r="C8797" s="687" t="str">
        <f>IFERROR(__xludf.DUMMYFUNCTION("GOOGLEFINANCE(A8797,""name"")"),"#N/A")</f>
        <v>#N/A</v>
      </c>
      <c r="D8797" s="125"/>
    </row>
    <row r="8798">
      <c r="A8798" s="122" t="s">
        <v>34546</v>
      </c>
      <c r="B8798" s="123">
        <v>1840877.0</v>
      </c>
      <c r="C8798" s="687" t="str">
        <f>IFERROR(__xludf.DUMMYFUNCTION("GOOGLEFINANCE(A8798,""name"")"),"#N/A")</f>
        <v>#N/A</v>
      </c>
      <c r="D8798" s="125"/>
    </row>
    <row r="8799">
      <c r="A8799" s="122" t="s">
        <v>34547</v>
      </c>
      <c r="B8799" s="123">
        <v>1840877.0</v>
      </c>
      <c r="C8799" s="687" t="str">
        <f>IFERROR(__xludf.DUMMYFUNCTION("GOOGLEFINANCE(A8799,""name"")"),"#N/A")</f>
        <v>#N/A</v>
      </c>
      <c r="D8799" s="125"/>
    </row>
    <row r="8800">
      <c r="A8800" s="122" t="s">
        <v>34548</v>
      </c>
      <c r="B8800" s="123">
        <v>1766478.0</v>
      </c>
      <c r="C8800" s="687" t="str">
        <f>IFERROR(__xludf.DUMMYFUNCTION("GOOGLEFINANCE(A8800,""name"")"),"Angel Oak Mortgage REIT Inc")</f>
        <v>Angel Oak Mortgage REIT Inc</v>
      </c>
      <c r="D8800" s="125"/>
    </row>
    <row r="8801">
      <c r="A8801" s="122" t="s">
        <v>34549</v>
      </c>
      <c r="B8801" s="123">
        <v>6176.0</v>
      </c>
      <c r="C8801" s="687" t="str">
        <f>IFERROR(__xludf.DUMMYFUNCTION("GOOGLEFINANCE(A8801,""name"")"),"#N/A")</f>
        <v>#N/A</v>
      </c>
      <c r="D8801" s="125"/>
    </row>
    <row r="8802">
      <c r="A8802" s="122" t="s">
        <v>34550</v>
      </c>
      <c r="B8802" s="123">
        <v>1862993.0</v>
      </c>
      <c r="C8802" s="687" t="str">
        <f>IFERROR(__xludf.DUMMYFUNCTION("GOOGLEFINANCE(A8802,""name"")"),"#N/A")</f>
        <v>#N/A</v>
      </c>
      <c r="D8802" s="125"/>
    </row>
    <row r="8803">
      <c r="A8803" s="122" t="s">
        <v>34551</v>
      </c>
      <c r="B8803" s="123">
        <v>1251769.0</v>
      </c>
      <c r="C8803" s="687" t="str">
        <f>IFERROR(__xludf.DUMMYFUNCTION("GOOGLEFINANCE(A8803,""name"")"),"#N/A")</f>
        <v>#N/A</v>
      </c>
      <c r="D8803" s="125"/>
    </row>
    <row r="8804">
      <c r="A8804" s="122" t="s">
        <v>34552</v>
      </c>
      <c r="B8804" s="123">
        <v>1838337.0</v>
      </c>
      <c r="C8804" s="687" t="str">
        <f>IFERROR(__xludf.DUMMYFUNCTION("GOOGLEFINANCE(A8804,""name"")"),"#N/A")</f>
        <v>#N/A</v>
      </c>
      <c r="D8804" s="125"/>
    </row>
    <row r="8805">
      <c r="A8805" s="122" t="s">
        <v>34553</v>
      </c>
      <c r="B8805" s="123">
        <v>1838337.0</v>
      </c>
      <c r="C8805" s="687" t="str">
        <f>IFERROR(__xludf.DUMMYFUNCTION("GOOGLEFINANCE(A8805,""name"")"),"#N/A")</f>
        <v>#N/A</v>
      </c>
      <c r="D8805" s="125"/>
    </row>
    <row r="8806">
      <c r="A8806" s="122" t="s">
        <v>34554</v>
      </c>
      <c r="B8806" s="123">
        <v>1838337.0</v>
      </c>
      <c r="C8806" s="687" t="str">
        <f>IFERROR(__xludf.DUMMYFUNCTION("GOOGLEFINANCE(A8806,""name"")"),"#N/A")</f>
        <v>#N/A</v>
      </c>
      <c r="D8806" s="125"/>
    </row>
    <row r="8807">
      <c r="A8807" s="122" t="s">
        <v>34555</v>
      </c>
      <c r="B8807" s="123">
        <v>1840632.0</v>
      </c>
      <c r="C8807" s="687" t="str">
        <f>IFERROR(__xludf.DUMMYFUNCTION("GOOGLEFINANCE(A8807,""name"")"),"#N/A")</f>
        <v>#N/A</v>
      </c>
      <c r="D8807" s="125"/>
    </row>
    <row r="8808">
      <c r="A8808" s="122" t="s">
        <v>34556</v>
      </c>
      <c r="B8808" s="123">
        <v>1814140.0</v>
      </c>
      <c r="C8808" s="687" t="str">
        <f>IFERROR(__xludf.DUMMYFUNCTION("GOOGLEFINANCE(A8808,""name"")"),"#N/A")</f>
        <v>#N/A</v>
      </c>
      <c r="D8808" s="125"/>
    </row>
    <row r="8809">
      <c r="A8809" s="122" t="s">
        <v>34557</v>
      </c>
      <c r="B8809" s="123">
        <v>855787.0</v>
      </c>
      <c r="C8809" s="687" t="str">
        <f>IFERROR(__xludf.DUMMYFUNCTION("GOOGLEFINANCE(A8809,""name"")"),"#N/A")</f>
        <v>#N/A</v>
      </c>
      <c r="D8809" s="125"/>
    </row>
    <row r="8810">
      <c r="A8810" s="122" t="s">
        <v>34558</v>
      </c>
      <c r="B8810" s="123">
        <v>1857662.0</v>
      </c>
      <c r="C8810" s="687" t="str">
        <f>IFERROR(__xludf.DUMMYFUNCTION("GOOGLEFINANCE(A8810,""name"")"),"#N/A")</f>
        <v>#N/A</v>
      </c>
      <c r="D8810" s="125"/>
    </row>
    <row r="8811">
      <c r="A8811" s="122" t="s">
        <v>34559</v>
      </c>
      <c r="B8811" s="123">
        <v>1857662.0</v>
      </c>
      <c r="C8811" s="687" t="str">
        <f>IFERROR(__xludf.DUMMYFUNCTION("GOOGLEFINANCE(A8811,""name"")"),"#N/A")</f>
        <v>#N/A</v>
      </c>
      <c r="D8811" s="125"/>
    </row>
    <row r="8812">
      <c r="A8812" s="122" t="s">
        <v>34560</v>
      </c>
      <c r="B8812" s="123">
        <v>1862462.0</v>
      </c>
      <c r="C8812" s="687" t="str">
        <f>IFERROR(__xludf.DUMMYFUNCTION("GOOGLEFINANCE(A8812,""name"")"),"#N/A")</f>
        <v>#N/A</v>
      </c>
      <c r="D8812" s="125"/>
    </row>
    <row r="8813">
      <c r="A8813" s="122" t="s">
        <v>34561</v>
      </c>
      <c r="B8813" s="123">
        <v>1807707.0</v>
      </c>
      <c r="C8813" s="687" t="str">
        <f>IFERROR(__xludf.DUMMYFUNCTION("GOOGLEFINANCE(A8813,""name"")"),"#N/A")</f>
        <v>#N/A</v>
      </c>
      <c r="D8813" s="125"/>
    </row>
    <row r="8814">
      <c r="A8814" s="122" t="s">
        <v>34562</v>
      </c>
      <c r="B8814" s="123">
        <v>1701114.0</v>
      </c>
      <c r="C8814" s="687" t="str">
        <f>IFERROR(__xludf.DUMMYFUNCTION("GOOGLEFINANCE(A8814,""name"")"),"#N/A")</f>
        <v>#N/A</v>
      </c>
      <c r="D8814" s="125"/>
    </row>
    <row r="8815">
      <c r="A8815" s="122" t="s">
        <v>34563</v>
      </c>
      <c r="B8815" s="123">
        <v>1481832.0</v>
      </c>
      <c r="C8815" s="687" t="str">
        <f>IFERROR(__xludf.DUMMYFUNCTION("GOOGLEFINANCE(A8815,""name"")"),"#N/A")</f>
        <v>#N/A</v>
      </c>
      <c r="D8815" s="125"/>
    </row>
    <row r="8816">
      <c r="A8816" s="122" t="s">
        <v>34564</v>
      </c>
      <c r="B8816" s="123">
        <v>1521332.0</v>
      </c>
      <c r="C8816" s="687" t="str">
        <f>IFERROR(__xludf.DUMMYFUNCTION("GOOGLEFINANCE(A8816,""name"")"),"#N/A")</f>
        <v>#N/A</v>
      </c>
      <c r="D8816" s="125"/>
    </row>
    <row r="8817">
      <c r="A8817" s="122" t="s">
        <v>34565</v>
      </c>
      <c r="B8817" s="123">
        <v>1674365.0</v>
      </c>
      <c r="C8817" s="687" t="str">
        <f>IFERROR(__xludf.DUMMYFUNCTION("GOOGLEFINANCE(A8817,""name"")"),"#N/A")</f>
        <v>#N/A</v>
      </c>
      <c r="D8817" s="125"/>
    </row>
    <row r="8818">
      <c r="A8818" s="122" t="s">
        <v>34566</v>
      </c>
      <c r="B8818" s="123">
        <v>1653710.0</v>
      </c>
      <c r="C8818" s="687" t="str">
        <f>IFERROR(__xludf.DUMMYFUNCTION("GOOGLEFINANCE(A8818,""name"")"),"#N/A")</f>
        <v>#N/A</v>
      </c>
      <c r="D8818" s="125"/>
    </row>
    <row r="8819">
      <c r="A8819" s="122" t="s">
        <v>34567</v>
      </c>
      <c r="B8819" s="123">
        <v>1174169.0</v>
      </c>
      <c r="C8819" s="687" t="str">
        <f>IFERROR(__xludf.DUMMYFUNCTION("GOOGLEFINANCE(A8819,""name"")"),"#N/A")</f>
        <v>#N/A</v>
      </c>
      <c r="D8819" s="125"/>
    </row>
    <row r="8820">
      <c r="A8820" s="122" t="s">
        <v>34568</v>
      </c>
      <c r="B8820" s="123">
        <v>1604643.0</v>
      </c>
      <c r="C8820" s="687" t="str">
        <f>IFERROR(__xludf.DUMMYFUNCTION("GOOGLEFINANCE(A8820,""name"")"),"#N/A")</f>
        <v>#N/A</v>
      </c>
      <c r="D8820" s="125"/>
    </row>
    <row r="8821">
      <c r="A8821" s="122" t="s">
        <v>34569</v>
      </c>
      <c r="B8821" s="123">
        <v>1863974.0</v>
      </c>
      <c r="C8821" s="687" t="str">
        <f>IFERROR(__xludf.DUMMYFUNCTION("GOOGLEFINANCE(A8821,""name"")"),"#N/A")</f>
        <v>#N/A</v>
      </c>
      <c r="D8821" s="125"/>
    </row>
    <row r="8822">
      <c r="A8822" s="122" t="s">
        <v>34570</v>
      </c>
      <c r="B8822" s="123">
        <v>1853864.0</v>
      </c>
      <c r="C8822" s="687" t="str">
        <f>IFERROR(__xludf.DUMMYFUNCTION("GOOGLEFINANCE(A8822,""name"")"),"#N/A")</f>
        <v>#N/A</v>
      </c>
      <c r="D8822" s="125"/>
    </row>
    <row r="8823">
      <c r="A8823" s="122" t="s">
        <v>34571</v>
      </c>
      <c r="B8823" s="123">
        <v>1895812.0</v>
      </c>
      <c r="C8823" s="687" t="str">
        <f>IFERROR(__xludf.DUMMYFUNCTION("GOOGLEFINANCE(A8823,""name"")"),"#N/A")</f>
        <v>#N/A</v>
      </c>
      <c r="D8823" s="125"/>
    </row>
    <row r="8824">
      <c r="A8824" s="122" t="s">
        <v>34572</v>
      </c>
      <c r="B8824" s="123">
        <v>1083922.0</v>
      </c>
      <c r="C8824" s="687" t="str">
        <f>IFERROR(__xludf.DUMMYFUNCTION("GOOGLEFINANCE(A8824,""name"")"),"AuraSource Inc")</f>
        <v>AuraSource Inc</v>
      </c>
      <c r="D8824" s="125"/>
    </row>
    <row r="8825">
      <c r="A8825" s="122" t="s">
        <v>34573</v>
      </c>
      <c r="B8825" s="123">
        <v>1861841.0</v>
      </c>
      <c r="C8825" s="687" t="str">
        <f>IFERROR(__xludf.DUMMYFUNCTION("GOOGLEFINANCE(A8825,""name"")"),"Arbe Robotics Ltd")</f>
        <v>Arbe Robotics Ltd</v>
      </c>
      <c r="D8825" s="125"/>
    </row>
    <row r="8826">
      <c r="A8826" s="122" t="s">
        <v>34574</v>
      </c>
      <c r="B8826" s="123">
        <v>1823826.0</v>
      </c>
      <c r="C8826" s="687" t="str">
        <f>IFERROR(__xludf.DUMMYFUNCTION("GOOGLEFINANCE(A8826,""name"")"),"#N/A")</f>
        <v>#N/A</v>
      </c>
      <c r="D8826" s="125"/>
    </row>
    <row r="8827">
      <c r="A8827" s="122" t="s">
        <v>34575</v>
      </c>
      <c r="B8827" s="123">
        <v>1823826.0</v>
      </c>
      <c r="C8827" s="687" t="str">
        <f>IFERROR(__xludf.DUMMYFUNCTION("GOOGLEFINANCE(A8827,""name"")"),"#N/A")</f>
        <v>#N/A</v>
      </c>
      <c r="D8827" s="125"/>
    </row>
    <row r="8828">
      <c r="A8828" s="122" t="s">
        <v>34576</v>
      </c>
      <c r="B8828" s="123">
        <v>1823826.0</v>
      </c>
      <c r="C8828" s="687" t="str">
        <f>IFERROR(__xludf.DUMMYFUNCTION("GOOGLEFINANCE(A8828,""name"")"),"#N/A")</f>
        <v>#N/A</v>
      </c>
      <c r="D8828" s="125"/>
    </row>
    <row r="8829">
      <c r="A8829" s="122" t="s">
        <v>34577</v>
      </c>
      <c r="B8829" s="123">
        <v>1841675.0</v>
      </c>
      <c r="C8829" s="687" t="str">
        <f>IFERROR(__xludf.DUMMYFUNCTION("GOOGLEFINANCE(A8829,""name"")"),"Argo Blockchain PLC - ADR")</f>
        <v>Argo Blockchain PLC - ADR</v>
      </c>
      <c r="D8829" s="125"/>
    </row>
    <row r="8830">
      <c r="A8830" s="122" t="s">
        <v>34578</v>
      </c>
      <c r="B8830" s="123">
        <v>1740594.0</v>
      </c>
      <c r="C8830" s="687" t="str">
        <f>IFERROR(__xludf.DUMMYFUNCTION("GOOGLEFINANCE(A8830,""name"")"),"#N/A")</f>
        <v>#N/A</v>
      </c>
      <c r="D8830" s="125"/>
    </row>
    <row r="8831">
      <c r="A8831" s="122" t="s">
        <v>34579</v>
      </c>
      <c r="B8831" s="123">
        <v>1855886.0</v>
      </c>
      <c r="C8831" s="687" t="str">
        <f>IFERROR(__xludf.DUMMYFUNCTION("GOOGLEFINANCE(A8831,""name"")"),"ARK Innovation UCITS ETF USD Acc")</f>
        <v>ARK Innovation UCITS ETF USD Acc</v>
      </c>
      <c r="D8831" s="125"/>
    </row>
    <row r="8832">
      <c r="A8832" s="122" t="s">
        <v>34580</v>
      </c>
      <c r="B8832" s="123">
        <v>1855886.0</v>
      </c>
      <c r="C8832" s="687" t="str">
        <f>IFERROR(__xludf.DUMMYFUNCTION("GOOGLEFINANCE(A8832,""name"")"),"#N/A")</f>
        <v>#N/A</v>
      </c>
      <c r="D8832" s="125"/>
    </row>
    <row r="8833">
      <c r="A8833" s="122" t="s">
        <v>34581</v>
      </c>
      <c r="B8833" s="123">
        <v>1855886.0</v>
      </c>
      <c r="C8833" s="687" t="str">
        <f>IFERROR(__xludf.DUMMYFUNCTION("GOOGLEFINANCE(A8833,""name"")"),"#N/A")</f>
        <v>#N/A</v>
      </c>
      <c r="D8833" s="125"/>
    </row>
    <row r="8834">
      <c r="A8834" s="122" t="s">
        <v>34582</v>
      </c>
      <c r="B8834" s="123">
        <v>1091748.0</v>
      </c>
      <c r="C8834" s="687" t="str">
        <f>IFERROR(__xludf.DUMMYFUNCTION("GOOGLEFINANCE(A8834,""name"")"),"#N/A")</f>
        <v>#N/A</v>
      </c>
      <c r="D8834" s="125"/>
    </row>
    <row r="8835">
      <c r="A8835" s="122" t="s">
        <v>34583</v>
      </c>
      <c r="B8835" s="123">
        <v>1865377.0</v>
      </c>
      <c r="C8835" s="687" t="str">
        <f>IFERROR(__xludf.DUMMYFUNCTION("GOOGLEFINANCE(A8835,""name"")"),"#N/A")</f>
        <v>#N/A</v>
      </c>
      <c r="D8835" s="125"/>
    </row>
    <row r="8836">
      <c r="A8836" s="122" t="s">
        <v>34584</v>
      </c>
      <c r="B8836" s="123">
        <v>1865377.0</v>
      </c>
      <c r="C8836" s="687" t="str">
        <f>IFERROR(__xludf.DUMMYFUNCTION("GOOGLEFINANCE(A8836,""name"")"),"#N/A")</f>
        <v>#N/A</v>
      </c>
      <c r="D8836" s="125"/>
    </row>
    <row r="8837">
      <c r="A8837" s="122" t="s">
        <v>34585</v>
      </c>
      <c r="B8837" s="123">
        <v>1865377.0</v>
      </c>
      <c r="C8837" s="687" t="str">
        <f>IFERROR(__xludf.DUMMYFUNCTION("GOOGLEFINANCE(A8837,""name"")"),"#N/A")</f>
        <v>#N/A</v>
      </c>
      <c r="D8837" s="125"/>
    </row>
    <row r="8838">
      <c r="A8838" s="122" t="s">
        <v>34586</v>
      </c>
      <c r="B8838" s="123">
        <v>1882078.0</v>
      </c>
      <c r="C8838" s="687" t="str">
        <f>IFERROR(__xludf.DUMMYFUNCTION("GOOGLEFINANCE(A8838,""name"")"),"#N/A")</f>
        <v>#N/A</v>
      </c>
      <c r="D8838" s="125"/>
    </row>
    <row r="8839">
      <c r="A8839" s="122" t="s">
        <v>34587</v>
      </c>
      <c r="B8839" s="123">
        <v>1415813.0</v>
      </c>
      <c r="C8839" s="687" t="str">
        <f>IFERROR(__xludf.DUMMYFUNCTION("GOOGLEFINANCE(A8839,""name"")"),"Un Monde International Ltd")</f>
        <v>Un Monde International Ltd</v>
      </c>
      <c r="D8839" s="125"/>
    </row>
    <row r="8840">
      <c r="A8840" s="122" t="s">
        <v>34588</v>
      </c>
      <c r="B8840" s="123">
        <v>1534155.0</v>
      </c>
      <c r="C8840" s="687" t="str">
        <f>IFERROR(__xludf.DUMMYFUNCTION("GOOGLEFINANCE(A8840,""name"")"),"#N/A")</f>
        <v>#N/A</v>
      </c>
      <c r="D8840" s="125"/>
    </row>
    <row r="8841">
      <c r="A8841" s="122" t="s">
        <v>34589</v>
      </c>
      <c r="B8841" s="123">
        <v>1790982.0</v>
      </c>
      <c r="C8841" s="687" t="str">
        <f>IFERROR(__xludf.DUMMYFUNCTION("GOOGLEFINANCE(A8841,""name"")"),"#N/A")</f>
        <v>#N/A</v>
      </c>
      <c r="D8841" s="125"/>
    </row>
    <row r="8842">
      <c r="A8842" s="122" t="s">
        <v>34590</v>
      </c>
      <c r="B8842" s="123">
        <v>1428205.0</v>
      </c>
      <c r="C8842" s="687" t="str">
        <f>IFERROR(__xludf.DUMMYFUNCTION("GOOGLEFINANCE(A8842,""name"")"),"#N/A")</f>
        <v>#N/A</v>
      </c>
      <c r="D8842" s="125"/>
    </row>
    <row r="8843">
      <c r="A8843" s="122" t="s">
        <v>34591</v>
      </c>
      <c r="B8843" s="123">
        <v>1624517.0</v>
      </c>
      <c r="C8843" s="687" t="str">
        <f>IFERROR(__xludf.DUMMYFUNCTION("GOOGLEFINANCE(A8843,""name"")"),"#N/A")</f>
        <v>#N/A</v>
      </c>
      <c r="D8843" s="125"/>
    </row>
    <row r="8844">
      <c r="A8844" s="122" t="s">
        <v>34592</v>
      </c>
      <c r="B8844" s="123">
        <v>1839990.0</v>
      </c>
      <c r="C8844" s="687" t="str">
        <f>IFERROR(__xludf.DUMMYFUNCTION("GOOGLEFINANCE(A8844,""name"")"),"#N/A")</f>
        <v>#N/A</v>
      </c>
      <c r="D8844" s="125"/>
    </row>
    <row r="8845">
      <c r="A8845" s="122" t="s">
        <v>34593</v>
      </c>
      <c r="B8845" s="123">
        <v>1839990.0</v>
      </c>
      <c r="C8845" s="687" t="str">
        <f>IFERROR(__xludf.DUMMYFUNCTION("GOOGLEFINANCE(A8845,""name"")"),"#N/A")</f>
        <v>#N/A</v>
      </c>
      <c r="D8845" s="125"/>
    </row>
    <row r="8846">
      <c r="A8846" s="122" t="s">
        <v>34594</v>
      </c>
      <c r="B8846" s="123">
        <v>1835059.0</v>
      </c>
      <c r="C8846" s="687" t="str">
        <f>IFERROR(__xludf.DUMMYFUNCTION("GOOGLEFINANCE(A8846,""name"")"),"#N/A")</f>
        <v>#N/A</v>
      </c>
      <c r="D8846" s="125"/>
    </row>
    <row r="8847">
      <c r="A8847" s="122" t="s">
        <v>34595</v>
      </c>
      <c r="B8847" s="123">
        <v>1852432.0</v>
      </c>
      <c r="C8847" s="687" t="str">
        <f>IFERROR(__xludf.DUMMYFUNCTION("GOOGLEFINANCE(A8847,""name"")"),"#N/A")</f>
        <v>#N/A</v>
      </c>
      <c r="D8847" s="125"/>
    </row>
    <row r="8848">
      <c r="A8848" s="122" t="s">
        <v>34596</v>
      </c>
      <c r="B8848" s="123">
        <v>1819510.0</v>
      </c>
      <c r="C8848" s="687" t="str">
        <f>IFERROR(__xludf.DUMMYFUNCTION("GOOGLEFINANCE(A8848,""name"")"),"#N/A")</f>
        <v>#N/A</v>
      </c>
      <c r="D8848" s="125"/>
    </row>
    <row r="8849">
      <c r="A8849" s="122" t="s">
        <v>34597</v>
      </c>
      <c r="B8849" s="123">
        <v>1819510.0</v>
      </c>
      <c r="C8849" s="687" t="str">
        <f>IFERROR(__xludf.DUMMYFUNCTION("GOOGLEFINANCE(A8849,""name"")"),"#N/A")</f>
        <v>#N/A</v>
      </c>
      <c r="D8849" s="125"/>
    </row>
    <row r="8850">
      <c r="A8850" s="122" t="s">
        <v>34598</v>
      </c>
      <c r="B8850" s="123">
        <v>1819510.0</v>
      </c>
      <c r="C8850" s="687" t="str">
        <f>IFERROR(__xludf.DUMMYFUNCTION("GOOGLEFINANCE(A8850,""name"")"),"#N/A")</f>
        <v>#N/A</v>
      </c>
      <c r="D8850" s="125"/>
    </row>
    <row r="8851">
      <c r="A8851" s="122" t="s">
        <v>34599</v>
      </c>
      <c r="B8851" s="123">
        <v>1824211.0</v>
      </c>
      <c r="C8851" s="687" t="str">
        <f>IFERROR(__xludf.DUMMYFUNCTION("GOOGLEFINANCE(A8851,""name"")"),"#N/A")</f>
        <v>#N/A</v>
      </c>
      <c r="D8851" s="125"/>
    </row>
    <row r="8852">
      <c r="A8852" s="122" t="s">
        <v>34600</v>
      </c>
      <c r="B8852" s="123">
        <v>1824211.0</v>
      </c>
      <c r="C8852" s="687" t="str">
        <f>IFERROR(__xludf.DUMMYFUNCTION("GOOGLEFINANCE(A8852,""name"")"),"#N/A")</f>
        <v>#N/A</v>
      </c>
      <c r="D8852" s="125"/>
    </row>
    <row r="8853">
      <c r="A8853" s="122" t="s">
        <v>34601</v>
      </c>
      <c r="B8853" s="123">
        <v>1824211.0</v>
      </c>
      <c r="C8853" s="687" t="str">
        <f>IFERROR(__xludf.DUMMYFUNCTION("GOOGLEFINANCE(A8853,""name"")"),"#N/A")</f>
        <v>#N/A</v>
      </c>
      <c r="D8853" s="125"/>
    </row>
    <row r="8854">
      <c r="A8854" s="122" t="s">
        <v>34602</v>
      </c>
      <c r="B8854" s="123">
        <v>7789.0</v>
      </c>
      <c r="C8854" s="687" t="str">
        <f>IFERROR(__xludf.DUMMYFUNCTION("GOOGLEFINANCE(A8854,""name"")"),"#N/A")</f>
        <v>#N/A</v>
      </c>
      <c r="D8854" s="125"/>
    </row>
    <row r="8855">
      <c r="A8855" s="122" t="s">
        <v>34603</v>
      </c>
      <c r="B8855" s="123">
        <v>7789.0</v>
      </c>
      <c r="C8855" s="687" t="str">
        <f>IFERROR(__xludf.DUMMYFUNCTION("GOOGLEFINANCE(A8855,""name"")"),"#N/A")</f>
        <v>#N/A</v>
      </c>
      <c r="D8855" s="125"/>
    </row>
    <row r="8856">
      <c r="A8856" s="122" t="s">
        <v>34604</v>
      </c>
      <c r="B8856" s="123">
        <v>1868775.0</v>
      </c>
      <c r="C8856" s="687" t="str">
        <f>IFERROR(__xludf.DUMMYFUNCTION("GOOGLEFINANCE(A8856,""name"")"),"#N/A")</f>
        <v>#N/A</v>
      </c>
      <c r="D8856" s="125"/>
    </row>
    <row r="8857">
      <c r="A8857" s="122" t="s">
        <v>34605</v>
      </c>
      <c r="B8857" s="123">
        <v>1876716.0</v>
      </c>
      <c r="C8857" s="687" t="str">
        <f>IFERROR(__xludf.DUMMYFUNCTION("GOOGLEFINANCE(A8857,""name"")"),"#N/A")</f>
        <v>#N/A</v>
      </c>
      <c r="D8857" s="125"/>
    </row>
    <row r="8858">
      <c r="A8858" s="122" t="s">
        <v>34606</v>
      </c>
      <c r="B8858" s="123">
        <v>1716885.0</v>
      </c>
      <c r="C8858" s="687" t="str">
        <f>IFERROR(__xludf.DUMMYFUNCTION("GOOGLEFINANCE(A8858,""name"")"),"#N/A")</f>
        <v>#N/A</v>
      </c>
      <c r="D8858" s="125"/>
    </row>
    <row r="8859">
      <c r="A8859" s="122" t="s">
        <v>34607</v>
      </c>
      <c r="B8859" s="123">
        <v>1425203.0</v>
      </c>
      <c r="C8859" s="687" t="str">
        <f>IFERROR(__xludf.DUMMYFUNCTION("GOOGLEFINANCE(A8859,""name"")"),"#N/A")</f>
        <v>#N/A</v>
      </c>
      <c r="D8859" s="125"/>
    </row>
    <row r="8860">
      <c r="A8860" s="122" t="s">
        <v>34608</v>
      </c>
      <c r="B8860" s="123">
        <v>1882607.0</v>
      </c>
      <c r="C8860" s="687" t="str">
        <f>IFERROR(__xludf.DUMMYFUNCTION("GOOGLEFINANCE(A8860,""name"")"),"#N/A")</f>
        <v>#N/A</v>
      </c>
      <c r="D8860" s="125"/>
    </row>
    <row r="8861">
      <c r="A8861" s="122" t="s">
        <v>34609</v>
      </c>
      <c r="B8861" s="123">
        <v>1793855.0</v>
      </c>
      <c r="C8861" s="687" t="str">
        <f>IFERROR(__xludf.DUMMYFUNCTION("GOOGLEFINANCE(A8861,""name"")"),"Abrdn Global Infrastructure Income Fund")</f>
        <v>Abrdn Global Infrastructure Income Fund</v>
      </c>
      <c r="D8861" s="125"/>
    </row>
    <row r="8862">
      <c r="A8862" s="122" t="s">
        <v>34610</v>
      </c>
      <c r="B8862" s="123">
        <v>1011060.0</v>
      </c>
      <c r="C8862" s="687" t="str">
        <f>IFERROR(__xludf.DUMMYFUNCTION("GOOGLEFINANCE(A8862,""name"")"),"#N/A")</f>
        <v>#N/A</v>
      </c>
      <c r="D8862" s="125"/>
    </row>
    <row r="8863">
      <c r="A8863" s="122" t="s">
        <v>34611</v>
      </c>
      <c r="B8863" s="123">
        <v>1854583.0</v>
      </c>
      <c r="C8863" s="687" t="str">
        <f>IFERROR(__xludf.DUMMYFUNCTION("GOOGLEFINANCE(A8863,""name"")"),"#N/A")</f>
        <v>#N/A</v>
      </c>
      <c r="D8863" s="125"/>
    </row>
    <row r="8864">
      <c r="A8864" s="122" t="s">
        <v>34612</v>
      </c>
      <c r="B8864" s="123">
        <v>1854583.0</v>
      </c>
      <c r="C8864" s="687" t="str">
        <f>IFERROR(__xludf.DUMMYFUNCTION("GOOGLEFINANCE(A8864,""name"")"),"#N/A")</f>
        <v>#N/A</v>
      </c>
      <c r="D8864" s="125"/>
    </row>
    <row r="8865">
      <c r="A8865" s="122" t="s">
        <v>34613</v>
      </c>
      <c r="B8865" s="123">
        <v>1906195.0</v>
      </c>
      <c r="C8865" s="687" t="str">
        <f>IFERROR(__xludf.DUMMYFUNCTION("GOOGLEFINANCE(A8865,""name"")"),"#N/A")</f>
        <v>#N/A</v>
      </c>
      <c r="D8865" s="125"/>
    </row>
    <row r="8866">
      <c r="A8866" s="122" t="s">
        <v>34614</v>
      </c>
      <c r="B8866" s="123">
        <v>1846459.0</v>
      </c>
      <c r="C8866" s="687" t="str">
        <f>IFERROR(__xludf.DUMMYFUNCTION("GOOGLEFINANCE(A8866,""name"")"),"#N/A")</f>
        <v>#N/A</v>
      </c>
      <c r="D8866" s="125"/>
    </row>
    <row r="8867">
      <c r="A8867" s="122" t="s">
        <v>34615</v>
      </c>
      <c r="B8867" s="123">
        <v>1719435.0</v>
      </c>
      <c r="C8867" s="687" t="str">
        <f>IFERROR(__xludf.DUMMYFUNCTION("GOOGLEFINANCE(A8867,""name"")"),"#N/A")</f>
        <v>#N/A</v>
      </c>
      <c r="D8867" s="125"/>
    </row>
    <row r="8868">
      <c r="A8868" s="122" t="s">
        <v>34616</v>
      </c>
      <c r="B8868" s="123">
        <v>1920406.0</v>
      </c>
      <c r="C8868" s="687" t="str">
        <f>IFERROR(__xludf.DUMMYFUNCTION("GOOGLEFINANCE(A8868,""name"")"),"Strive Inc")</f>
        <v>Strive Inc</v>
      </c>
      <c r="D8868" s="125"/>
    </row>
    <row r="8869">
      <c r="A8869" s="122" t="s">
        <v>34617</v>
      </c>
      <c r="B8869" s="123">
        <v>1122411.0</v>
      </c>
      <c r="C8869" s="687" t="str">
        <f>IFERROR(__xludf.DUMMYFUNCTION("GOOGLEFINANCE(A8869,""name"")"),"ASE Technology Holding Co Ltd")</f>
        <v>ASE Technology Holding Co Ltd</v>
      </c>
      <c r="D8869" s="125"/>
    </row>
    <row r="8870">
      <c r="A8870" s="122" t="s">
        <v>34618</v>
      </c>
      <c r="B8870" s="123">
        <v>1839191.0</v>
      </c>
      <c r="C8870" s="687" t="str">
        <f>IFERROR(__xludf.DUMMYFUNCTION("GOOGLEFINANCE(A8870,""name"")"),"#N/A")</f>
        <v>#N/A</v>
      </c>
      <c r="D8870" s="125"/>
    </row>
    <row r="8871">
      <c r="A8871" s="122" t="s">
        <v>34619</v>
      </c>
      <c r="B8871" s="123">
        <v>1839191.0</v>
      </c>
      <c r="C8871" s="687" t="str">
        <f>IFERROR(__xludf.DUMMYFUNCTION("GOOGLEFINANCE(A8871,""name"")"),"#N/A")</f>
        <v>#N/A</v>
      </c>
      <c r="D8871" s="125"/>
    </row>
    <row r="8872">
      <c r="A8872" s="122" t="s">
        <v>34620</v>
      </c>
      <c r="B8872" s="123">
        <v>1839191.0</v>
      </c>
      <c r="C8872" s="687" t="str">
        <f>IFERROR(__xludf.DUMMYFUNCTION("GOOGLEFINANCE(A8872,""name"")"),"#N/A")</f>
        <v>#N/A</v>
      </c>
      <c r="D8872" s="125"/>
    </row>
    <row r="8873">
      <c r="A8873" s="122" t="s">
        <v>34621</v>
      </c>
      <c r="B8873" s="123">
        <v>1825254.0</v>
      </c>
      <c r="C8873" s="687" t="str">
        <f>IFERROR(__xludf.DUMMYFUNCTION("GOOGLEFINANCE(A8873,""name"")"),"#N/A")</f>
        <v>#N/A</v>
      </c>
      <c r="D8873" s="125"/>
    </row>
    <row r="8874">
      <c r="A8874" s="122" t="s">
        <v>34622</v>
      </c>
      <c r="B8874" s="123">
        <v>1883788.0</v>
      </c>
      <c r="C8874" s="687" t="str">
        <f>IFERROR(__xludf.DUMMYFUNCTION("GOOGLEFINANCE(A8874,""name"")"),"#N/A")</f>
        <v>#N/A</v>
      </c>
      <c r="D8874" s="125"/>
    </row>
    <row r="8875">
      <c r="A8875" s="122" t="s">
        <v>34623</v>
      </c>
      <c r="B8875" s="123">
        <v>1883788.0</v>
      </c>
      <c r="C8875" s="687" t="str">
        <f>IFERROR(__xludf.DUMMYFUNCTION("GOOGLEFINANCE(A8875,""name"")"),"#N/A")</f>
        <v>#N/A</v>
      </c>
      <c r="D8875" s="125"/>
    </row>
    <row r="8876">
      <c r="A8876" s="122" t="s">
        <v>34624</v>
      </c>
      <c r="B8876" s="123">
        <v>1883788.0</v>
      </c>
      <c r="C8876" s="687" t="str">
        <f>IFERROR(__xludf.DUMMYFUNCTION("GOOGLEFINANCE(A8876,""name"")"),"#N/A")</f>
        <v>#N/A</v>
      </c>
      <c r="D8876" s="125"/>
    </row>
    <row r="8877">
      <c r="A8877" s="122" t="s">
        <v>34625</v>
      </c>
      <c r="B8877" s="123">
        <v>1841004.0</v>
      </c>
      <c r="C8877" s="687" t="str">
        <f>IFERROR(__xludf.DUMMYFUNCTION("GOOGLEFINANCE(A8877,""name"")"),"#N/A")</f>
        <v>#N/A</v>
      </c>
      <c r="D8877" s="125"/>
    </row>
    <row r="8878">
      <c r="A8878" s="122" t="s">
        <v>34626</v>
      </c>
      <c r="B8878" s="123">
        <v>1437775.0</v>
      </c>
      <c r="C8878" s="687" t="str">
        <f>IFERROR(__xludf.DUMMYFUNCTION("GOOGLEFINANCE(A8878,""name"")"),"#N/A")</f>
        <v>#N/A</v>
      </c>
      <c r="D8878" s="125"/>
    </row>
    <row r="8879">
      <c r="A8879" s="122" t="s">
        <v>34627</v>
      </c>
      <c r="B8879" s="123">
        <v>1059142.0</v>
      </c>
      <c r="C8879" s="687" t="str">
        <f>IFERROR(__xludf.DUMMYFUNCTION("GOOGLEFINANCE(A8879,""name"")"),"#N/A")</f>
        <v>#N/A</v>
      </c>
      <c r="D8879" s="125"/>
    </row>
    <row r="8880">
      <c r="A8880" s="122" t="s">
        <v>34628</v>
      </c>
      <c r="B8880" s="123">
        <v>1794846.0</v>
      </c>
      <c r="C8880" s="687" t="str">
        <f>IFERROR(__xludf.DUMMYFUNCTION("GOOGLEFINANCE(A8880,""name"")"),"#N/A")</f>
        <v>#N/A</v>
      </c>
      <c r="D8880" s="125"/>
    </row>
    <row r="8881">
      <c r="A8881" s="122" t="s">
        <v>34629</v>
      </c>
      <c r="B8881" s="123">
        <v>1794846.0</v>
      </c>
      <c r="C8881" s="687" t="str">
        <f>IFERROR(__xludf.DUMMYFUNCTION("GOOGLEFINANCE(A8881,""name"")"),"#N/A")</f>
        <v>#N/A</v>
      </c>
      <c r="D8881" s="125"/>
    </row>
    <row r="8882">
      <c r="A8882" s="122" t="s">
        <v>34630</v>
      </c>
      <c r="B8882" s="123">
        <v>1794846.0</v>
      </c>
      <c r="C8882" s="687" t="str">
        <f>IFERROR(__xludf.DUMMYFUNCTION("GOOGLEFINANCE(A8882,""name"")"),"#N/A")</f>
        <v>#N/A</v>
      </c>
      <c r="D8882" s="125"/>
    </row>
    <row r="8883">
      <c r="A8883" s="122" t="s">
        <v>34631</v>
      </c>
      <c r="B8883" s="123">
        <v>1794846.0</v>
      </c>
      <c r="C8883" s="687" t="str">
        <f>IFERROR(__xludf.DUMMYFUNCTION("GOOGLEFINANCE(A8883,""name"")"),"#N/A")</f>
        <v>#N/A</v>
      </c>
      <c r="D8883" s="125"/>
    </row>
    <row r="8884">
      <c r="A8884" s="122" t="s">
        <v>34632</v>
      </c>
      <c r="B8884" s="123">
        <v>1751143.0</v>
      </c>
      <c r="C8884" s="687" t="str">
        <f>IFERROR(__xludf.DUMMYFUNCTION("GOOGLEFINANCE(A8884,""name"")"),"#N/A")</f>
        <v>#N/A</v>
      </c>
      <c r="D8884" s="125"/>
    </row>
    <row r="8885">
      <c r="A8885" s="122" t="s">
        <v>34633</v>
      </c>
      <c r="B8885" s="123">
        <v>1437541.0</v>
      </c>
      <c r="C8885" s="687" t="str">
        <f>IFERROR(__xludf.DUMMYFUNCTION("GOOGLEFINANCE(A8885,""name"")"),"Altagas American Depository Receipt")</f>
        <v>Altagas American Depository Receipt</v>
      </c>
      <c r="D8885" s="125"/>
    </row>
    <row r="8886">
      <c r="A8886" s="122" t="s">
        <v>34634</v>
      </c>
      <c r="B8886" s="123">
        <v>1527469.0</v>
      </c>
      <c r="C8886" s="687" t="str">
        <f>IFERROR(__xludf.DUMMYFUNCTION("GOOGLEFINANCE(A8886,""name"")"),"#N/A")</f>
        <v>#N/A</v>
      </c>
      <c r="D8886" s="125"/>
    </row>
    <row r="8887">
      <c r="A8887" s="122" t="s">
        <v>34635</v>
      </c>
      <c r="B8887" s="123">
        <v>1527469.0</v>
      </c>
      <c r="C8887" s="687" t="str">
        <f>IFERROR(__xludf.DUMMYFUNCTION("GOOGLEFINANCE(A8887,""name"")"),"#N/A")</f>
        <v>#N/A</v>
      </c>
      <c r="D8887" s="125"/>
    </row>
    <row r="8888">
      <c r="A8888" s="122" t="s">
        <v>34636</v>
      </c>
      <c r="B8888" s="123">
        <v>1527469.0</v>
      </c>
      <c r="C8888" s="687" t="str">
        <f>IFERROR(__xludf.DUMMYFUNCTION("GOOGLEFINANCE(A8888,""name"")"),"#N/A")</f>
        <v>#N/A</v>
      </c>
      <c r="D8888" s="125"/>
    </row>
    <row r="8889">
      <c r="A8889" s="122" t="s">
        <v>34637</v>
      </c>
      <c r="B8889" s="123">
        <v>1527469.0</v>
      </c>
      <c r="C8889" s="687" t="str">
        <f>IFERROR(__xludf.DUMMYFUNCTION("GOOGLEFINANCE(A8889,""name"")"),"#N/A")</f>
        <v>#N/A</v>
      </c>
      <c r="D8889" s="125"/>
    </row>
    <row r="8890">
      <c r="A8890" s="122" t="s">
        <v>34638</v>
      </c>
      <c r="B8890" s="123">
        <v>1368148.0</v>
      </c>
      <c r="C8890" s="687" t="str">
        <f>IFERROR(__xludf.DUMMYFUNCTION("GOOGLEFINANCE(A8890,""name"")"),"#N/A")</f>
        <v>#N/A</v>
      </c>
      <c r="D8890" s="125"/>
    </row>
    <row r="8891">
      <c r="A8891" s="122" t="s">
        <v>34639</v>
      </c>
      <c r="B8891" s="123">
        <v>1815849.0</v>
      </c>
      <c r="C8891" s="687" t="str">
        <f>IFERROR(__xludf.DUMMYFUNCTION("GOOGLEFINANCE(A8891,""name"")"),"#N/A")</f>
        <v>#N/A</v>
      </c>
      <c r="D8891" s="125"/>
    </row>
    <row r="8892">
      <c r="A8892" s="122" t="s">
        <v>34640</v>
      </c>
      <c r="B8892" s="123">
        <v>1869089.0</v>
      </c>
      <c r="C8892" s="687" t="str">
        <f>IFERROR(__xludf.DUMMYFUNCTION("GOOGLEFINANCE(A8892,""name"")"),"Atlantis Subsea Indonesia Tbk PT")</f>
        <v>Atlantis Subsea Indonesia Tbk PT</v>
      </c>
      <c r="D8892" s="125"/>
    </row>
    <row r="8893">
      <c r="A8893" s="122" t="s">
        <v>34641</v>
      </c>
      <c r="B8893" s="123">
        <v>1062128.0</v>
      </c>
      <c r="C8893" s="687" t="str">
        <f>IFERROR(__xludf.DUMMYFUNCTION("GOOGLEFINANCE(A8893,""name"")"),"#N/A")</f>
        <v>#N/A</v>
      </c>
      <c r="D8893" s="125"/>
    </row>
    <row r="8894">
      <c r="A8894" s="122" t="s">
        <v>34642</v>
      </c>
      <c r="B8894" s="123">
        <v>1300699.0</v>
      </c>
      <c r="C8894" s="687" t="str">
        <f>IFERROR(__xludf.DUMMYFUNCTION("GOOGLEFINANCE(A8894,""name"")"),"#N/A")</f>
        <v>#N/A</v>
      </c>
      <c r="D8894" s="125"/>
    </row>
    <row r="8895">
      <c r="A8895" s="122" t="s">
        <v>34643</v>
      </c>
      <c r="B8895" s="123">
        <v>1740076.0</v>
      </c>
      <c r="C8895" s="687" t="str">
        <f>IFERROR(__xludf.DUMMYFUNCTION("GOOGLEFINANCE(A8895,""name"")"),"#N/A")</f>
        <v>#N/A</v>
      </c>
      <c r="D8895" s="125"/>
    </row>
    <row r="8896">
      <c r="A8896" s="122" t="s">
        <v>34644</v>
      </c>
      <c r="B8896" s="123">
        <v>1606457.0</v>
      </c>
      <c r="C8896" s="687" t="str">
        <f>IFERROR(__xludf.DUMMYFUNCTION("GOOGLEFINANCE(A8896,""name"")"),"#N/A")</f>
        <v>#N/A</v>
      </c>
      <c r="D8896" s="125"/>
    </row>
    <row r="8897">
      <c r="A8897" s="122" t="s">
        <v>34645</v>
      </c>
      <c r="B8897" s="123">
        <v>1844940.0</v>
      </c>
      <c r="C8897" s="687" t="str">
        <f>IFERROR(__xludf.DUMMYFUNCTION("GOOGLEFINANCE(A8897,""name"")"),"#N/A")</f>
        <v>#N/A</v>
      </c>
      <c r="D8897" s="125"/>
    </row>
    <row r="8898">
      <c r="A8898" s="122" t="s">
        <v>34646</v>
      </c>
      <c r="B8898" s="123">
        <v>1650101.0</v>
      </c>
      <c r="C8898" s="687" t="str">
        <f>IFERROR(__xludf.DUMMYFUNCTION("GOOGLEFINANCE(A8898,""name"")"),"Addentax Group Corp")</f>
        <v>Addentax Group Corp</v>
      </c>
      <c r="D8898" s="125"/>
    </row>
    <row r="8899">
      <c r="A8899" s="122" t="s">
        <v>34647</v>
      </c>
      <c r="B8899" s="123">
        <v>1644963.0</v>
      </c>
      <c r="C8899" s="687" t="str">
        <f>IFERROR(__xludf.DUMMYFUNCTION("GOOGLEFINANCE(A8899,""name"")"),"Avenue Therapeutics Inc")</f>
        <v>Avenue Therapeutics Inc</v>
      </c>
      <c r="D8899" s="125"/>
    </row>
    <row r="8900">
      <c r="A8900" s="122" t="s">
        <v>34648</v>
      </c>
      <c r="B8900" s="123">
        <v>1454789.0</v>
      </c>
      <c r="C8900" s="687" t="str">
        <f>IFERROR(__xludf.DUMMYFUNCTION("GOOGLEFINANCE(A8900,""name"")"),"Astria Therapeutics Inc")</f>
        <v>Astria Therapeutics Inc</v>
      </c>
      <c r="D8900" s="125"/>
    </row>
    <row r="8901">
      <c r="A8901" s="122" t="s">
        <v>34649</v>
      </c>
      <c r="B8901" s="123">
        <v>1093636.0</v>
      </c>
      <c r="C8901" s="687" t="str">
        <f>IFERROR(__xludf.DUMMYFUNCTION("GOOGLEFINANCE(A8901,""name"")"),"Saxon Capital Group Inc")</f>
        <v>Saxon Capital Group Inc</v>
      </c>
      <c r="D8901" s="125"/>
    </row>
    <row r="8902">
      <c r="A8902" s="122" t="s">
        <v>34650</v>
      </c>
      <c r="B8902" s="123">
        <v>883948.0</v>
      </c>
      <c r="C8902" s="687" t="str">
        <f>IFERROR(__xludf.DUMMYFUNCTION("GOOGLEFINANCE(A8902,""name"")"),"#N/A")</f>
        <v>#N/A</v>
      </c>
      <c r="D8902" s="125"/>
    </row>
    <row r="8903">
      <c r="A8903" s="122" t="s">
        <v>34651</v>
      </c>
      <c r="B8903" s="123">
        <v>1067428.0</v>
      </c>
      <c r="C8903" s="687" t="str">
        <f>IFERROR(__xludf.DUMMYFUNCTION("GOOGLEFINANCE(A8903,""name"")"),"#N/A")</f>
        <v>#N/A</v>
      </c>
      <c r="D8903" s="125"/>
    </row>
    <row r="8904">
      <c r="A8904" s="122" t="s">
        <v>34652</v>
      </c>
      <c r="B8904" s="123">
        <v>1835856.0</v>
      </c>
      <c r="C8904" s="687" t="str">
        <f>IFERROR(__xludf.DUMMYFUNCTION("GOOGLEFINANCE(A8904,""name"")"),"#N/A")</f>
        <v>#N/A</v>
      </c>
      <c r="D8904" s="125"/>
    </row>
    <row r="8905">
      <c r="A8905" s="122" t="s">
        <v>34653</v>
      </c>
      <c r="B8905" s="123">
        <v>1835856.0</v>
      </c>
      <c r="C8905" s="687" t="str">
        <f>IFERROR(__xludf.DUMMYFUNCTION("GOOGLEFINANCE(A8905,""name"")"),"#N/A")</f>
        <v>#N/A</v>
      </c>
      <c r="D8905" s="125"/>
    </row>
    <row r="8906">
      <c r="A8906" s="122" t="s">
        <v>34654</v>
      </c>
      <c r="B8906" s="123">
        <v>1835856.0</v>
      </c>
      <c r="C8906" s="687" t="str">
        <f>IFERROR(__xludf.DUMMYFUNCTION("GOOGLEFINANCE(A8906,""name"")"),"#N/A")</f>
        <v>#N/A</v>
      </c>
      <c r="D8906" s="125"/>
    </row>
    <row r="8907">
      <c r="A8907" s="122" t="s">
        <v>34655</v>
      </c>
      <c r="B8907" s="123">
        <v>1849006.0</v>
      </c>
      <c r="C8907" s="687" t="str">
        <f>IFERROR(__xludf.DUMMYFUNCTION("GOOGLEFINANCE(A8907,""name"")"),"#N/A")</f>
        <v>#N/A</v>
      </c>
      <c r="D8907" s="125"/>
    </row>
    <row r="8908">
      <c r="A8908" s="122" t="s">
        <v>34656</v>
      </c>
      <c r="B8908" s="123">
        <v>1838207.0</v>
      </c>
      <c r="C8908" s="687" t="str">
        <f>IFERROR(__xludf.DUMMYFUNCTION("GOOGLEFINANCE(A8908,""name"")"),"#N/A")</f>
        <v>#N/A</v>
      </c>
      <c r="D8908" s="125"/>
    </row>
    <row r="8909">
      <c r="A8909" s="122" t="s">
        <v>34657</v>
      </c>
      <c r="B8909" s="123">
        <v>1838207.0</v>
      </c>
      <c r="C8909" s="687" t="str">
        <f>IFERROR(__xludf.DUMMYFUNCTION("GOOGLEFINANCE(A8909,""name"")"),"#N/A")</f>
        <v>#N/A</v>
      </c>
      <c r="D8909" s="125"/>
    </row>
    <row r="8910">
      <c r="A8910" s="122" t="s">
        <v>34658</v>
      </c>
      <c r="B8910" s="123">
        <v>1811109.0</v>
      </c>
      <c r="C8910" s="687" t="str">
        <f>IFERROR(__xludf.DUMMYFUNCTION("GOOGLEFINANCE(A8910,""name"")"),"Applied UV Inc Preferred Shares Series A")</f>
        <v>Applied UV Inc Preferred Shares Series A</v>
      </c>
      <c r="D8910" s="125"/>
    </row>
    <row r="8911">
      <c r="A8911" s="122" t="s">
        <v>34659</v>
      </c>
      <c r="B8911" s="123">
        <v>1264089.0</v>
      </c>
      <c r="C8911" s="687" t="str">
        <f>IFERROR(__xludf.DUMMYFUNCTION("GOOGLEFINANCE(A8911,""name"")"),"#N/A")</f>
        <v>#N/A</v>
      </c>
      <c r="D8911" s="125"/>
    </row>
    <row r="8912">
      <c r="A8912" s="122" t="s">
        <v>34660</v>
      </c>
      <c r="B8912" s="123">
        <v>1836478.0</v>
      </c>
      <c r="C8912" s="687" t="str">
        <f>IFERROR(__xludf.DUMMYFUNCTION("GOOGLEFINANCE(A8912,""name"")"),"#N/A")</f>
        <v>#N/A</v>
      </c>
      <c r="D8912" s="125"/>
    </row>
    <row r="8913">
      <c r="A8913" s="122" t="s">
        <v>34661</v>
      </c>
      <c r="B8913" s="123">
        <v>1836478.0</v>
      </c>
      <c r="C8913" s="687" t="str">
        <f>IFERROR(__xludf.DUMMYFUNCTION("GOOGLEFINANCE(A8913,""name"")"),"#N/A")</f>
        <v>#N/A</v>
      </c>
      <c r="D8913" s="125"/>
    </row>
    <row r="8914">
      <c r="A8914" s="122" t="s">
        <v>34662</v>
      </c>
      <c r="B8914" s="123">
        <v>1504764.0</v>
      </c>
      <c r="C8914" s="687" t="str">
        <f>IFERROR(__xludf.DUMMYFUNCTION("GOOGLEFINANCE(A8914,""name"")"),"Grupo Aval Acciones y Valores SA - ADR ADR")</f>
        <v>Grupo Aval Acciones y Valores SA - ADR ADR</v>
      </c>
      <c r="D8914" s="125"/>
    </row>
    <row r="8915">
      <c r="A8915" s="122" t="s">
        <v>34663</v>
      </c>
      <c r="B8915" s="123">
        <v>1819608.0</v>
      </c>
      <c r="C8915" s="687" t="str">
        <f>IFERROR(__xludf.DUMMYFUNCTION("GOOGLEFINANCE(A8915,""name"")"),"#N/A")</f>
        <v>#N/A</v>
      </c>
      <c r="D8915" s="125"/>
    </row>
    <row r="8916">
      <c r="A8916" s="122" t="s">
        <v>34664</v>
      </c>
      <c r="B8916" s="123">
        <v>1819608.0</v>
      </c>
      <c r="C8916" s="687" t="str">
        <f>IFERROR(__xludf.DUMMYFUNCTION("GOOGLEFINANCE(A8916,""name"")"),"#N/A")</f>
        <v>#N/A</v>
      </c>
      <c r="D8916" s="125"/>
    </row>
    <row r="8917">
      <c r="A8917" s="122" t="s">
        <v>34665</v>
      </c>
      <c r="B8917" s="123">
        <v>1819608.0</v>
      </c>
      <c r="C8917" s="687" t="str">
        <f>IFERROR(__xludf.DUMMYFUNCTION("GOOGLEFINANCE(A8917,""name"")"),"#N/A")</f>
        <v>#N/A</v>
      </c>
      <c r="D8917" s="125"/>
    </row>
    <row r="8918">
      <c r="A8918" s="122" t="s">
        <v>34666</v>
      </c>
      <c r="B8918" s="123">
        <v>1630212.0</v>
      </c>
      <c r="C8918" s="687" t="str">
        <f>IFERROR(__xludf.DUMMYFUNCTION("GOOGLEFINANCE(A8918,""name"")"),"#N/A")</f>
        <v>#N/A</v>
      </c>
      <c r="D8918" s="125"/>
    </row>
    <row r="8919">
      <c r="A8919" s="122" t="s">
        <v>34667</v>
      </c>
      <c r="B8919" s="123">
        <v>1704760.0</v>
      </c>
      <c r="C8919" s="687" t="str">
        <f>IFERROR(__xludf.DUMMYFUNCTION("GOOGLEFINANCE(A8919,""name"")"),"#N/A")</f>
        <v>#N/A</v>
      </c>
      <c r="D8919" s="125"/>
    </row>
    <row r="8920">
      <c r="A8920" s="122" t="s">
        <v>34668</v>
      </c>
      <c r="B8920" s="123">
        <v>1325879.0</v>
      </c>
      <c r="C8920" s="687" t="str">
        <f>IFERROR(__xludf.DUMMYFUNCTION("GOOGLEFINANCE(A8920,""name"")"),"#N/A")</f>
        <v>#N/A</v>
      </c>
      <c r="D8920" s="125"/>
    </row>
    <row r="8921">
      <c r="A8921" s="122" t="s">
        <v>34669</v>
      </c>
      <c r="B8921" s="123">
        <v>1730168.0</v>
      </c>
      <c r="C8921" s="687" t="str">
        <f>IFERROR(__xludf.DUMMYFUNCTION("GOOGLEFINANCE(A8921,""name"")"),"#N/A")</f>
        <v>#N/A</v>
      </c>
      <c r="D8921" s="125"/>
    </row>
    <row r="8922">
      <c r="A8922" s="122" t="s">
        <v>34670</v>
      </c>
      <c r="B8922" s="123">
        <v>896841.0</v>
      </c>
      <c r="C8922" s="687" t="str">
        <f>IFERROR(__xludf.DUMMYFUNCTION("GOOGLEFINANCE(A8922,""name"")"),"#N/A")</f>
        <v>#N/A</v>
      </c>
      <c r="D8922" s="125"/>
    </row>
    <row r="8923">
      <c r="A8923" s="122" t="s">
        <v>34671</v>
      </c>
      <c r="B8923" s="123">
        <v>1348036.0</v>
      </c>
      <c r="C8923" s="687" t="str">
        <f>IFERROR(__xludf.DUMMYFUNCTION("GOOGLEFINANCE(A8923,""name"")"),"#N/A")</f>
        <v>#N/A</v>
      </c>
      <c r="D8923" s="125"/>
    </row>
    <row r="8924">
      <c r="A8924" s="122" t="s">
        <v>34672</v>
      </c>
      <c r="B8924" s="123">
        <v>1676163.0</v>
      </c>
      <c r="C8924" s="687" t="str">
        <f>IFERROR(__xludf.DUMMYFUNCTION("GOOGLEFINANCE(A8924,""name"")"),"#N/A")</f>
        <v>#N/A</v>
      </c>
      <c r="D8924" s="125"/>
    </row>
    <row r="8925">
      <c r="A8925" s="122" t="s">
        <v>34673</v>
      </c>
      <c r="B8925" s="123">
        <v>1418100.0</v>
      </c>
      <c r="C8925" s="687" t="str">
        <f>IFERROR(__xludf.DUMMYFUNCTION("GOOGLEFINANCE(A8925,""name"")"),"#N/A")</f>
        <v>#N/A</v>
      </c>
      <c r="D8925" s="125"/>
    </row>
    <row r="8926">
      <c r="A8926" s="122" t="s">
        <v>34674</v>
      </c>
      <c r="B8926" s="123">
        <v>1021917.0</v>
      </c>
      <c r="C8926" s="687" t="str">
        <f>IFERROR(__xludf.DUMMYFUNCTION("GOOGLEFINANCE(A8926,""name"")"),"#N/A")</f>
        <v>#N/A</v>
      </c>
      <c r="D8926" s="125"/>
    </row>
    <row r="8927">
      <c r="A8927" s="122" t="s">
        <v>34675</v>
      </c>
      <c r="B8927" s="123">
        <v>1898019.0</v>
      </c>
      <c r="C8927" s="687" t="str">
        <f>IFERROR(__xludf.DUMMYFUNCTION("GOOGLEFINANCE(A8927,""name"")"),"#N/A")</f>
        <v>#N/A</v>
      </c>
      <c r="D8927" s="125"/>
    </row>
    <row r="8928">
      <c r="A8928" s="122" t="s">
        <v>34676</v>
      </c>
      <c r="B8928" s="123">
        <v>1898019.0</v>
      </c>
      <c r="C8928" s="687" t="str">
        <f>IFERROR(__xludf.DUMMYFUNCTION("GOOGLEFINANCE(A8928,""name"")"),"#N/A")</f>
        <v>#N/A</v>
      </c>
      <c r="D8928" s="125"/>
    </row>
    <row r="8929">
      <c r="A8929" s="122" t="s">
        <v>34677</v>
      </c>
      <c r="B8929" s="123">
        <v>867665.0</v>
      </c>
      <c r="C8929" s="687" t="str">
        <f>IFERROR(__xludf.DUMMYFUNCTION("GOOGLEFINANCE(A8929,""name"")"),"#N/A")</f>
        <v>#N/A</v>
      </c>
      <c r="D8929" s="125"/>
    </row>
    <row r="8930">
      <c r="A8930" s="122" t="s">
        <v>34678</v>
      </c>
      <c r="B8930" s="123">
        <v>1855302.0</v>
      </c>
      <c r="C8930" s="687" t="str">
        <f>IFERROR(__xludf.DUMMYFUNCTION("GOOGLEFINANCE(A8930,""name"")"),"#N/A")</f>
        <v>#N/A</v>
      </c>
      <c r="D8930" s="125"/>
    </row>
    <row r="8931">
      <c r="A8931" s="122" t="s">
        <v>34679</v>
      </c>
      <c r="B8931" s="123">
        <v>835662.0</v>
      </c>
      <c r="C8931" s="687" t="str">
        <f>IFERROR(__xludf.DUMMYFUNCTION("GOOGLEFINANCE(A8931,""name"")"),"Axiom Intelligence Acquisition Corp 1")</f>
        <v>Axiom Intelligence Acquisition Corp 1</v>
      </c>
      <c r="D8931" s="125"/>
    </row>
    <row r="8932">
      <c r="A8932" s="122" t="s">
        <v>34680</v>
      </c>
      <c r="B8932" s="123">
        <v>1633070.0</v>
      </c>
      <c r="C8932" s="687" t="str">
        <f>IFERROR(__xludf.DUMMYFUNCTION("GOOGLEFINANCE(A8932,""name"")"),"#N/A")</f>
        <v>#N/A</v>
      </c>
      <c r="D8932" s="125"/>
    </row>
    <row r="8933">
      <c r="A8933" s="122" t="s">
        <v>34681</v>
      </c>
      <c r="B8933" s="123">
        <v>1214816.0</v>
      </c>
      <c r="C8933" s="687" t="str">
        <f>IFERROR(__xludf.DUMMYFUNCTION("GOOGLEFINANCE(A8933,""name"")"),"#N/A")</f>
        <v>#N/A</v>
      </c>
      <c r="D8933" s="125"/>
    </row>
    <row r="8934">
      <c r="A8934" s="122" t="s">
        <v>34682</v>
      </c>
      <c r="B8934" s="123">
        <v>1797336.0</v>
      </c>
      <c r="C8934" s="687" t="str">
        <f>IFERROR(__xludf.DUMMYFUNCTION("GOOGLEFINANCE(A8934,""name"")"),"#N/A")</f>
        <v>#N/A</v>
      </c>
      <c r="D8934" s="125"/>
    </row>
    <row r="8935">
      <c r="A8935" s="122" t="s">
        <v>34683</v>
      </c>
      <c r="B8935" s="123">
        <v>1533475.0</v>
      </c>
      <c r="C8935" s="687" t="str">
        <f>IFERROR(__xludf.DUMMYFUNCTION("GOOGLEFINANCE(A8935,""name"")"),"#N/A")</f>
        <v>#N/A</v>
      </c>
      <c r="D8935" s="125"/>
    </row>
    <row r="8936">
      <c r="A8936" s="122" t="s">
        <v>34684</v>
      </c>
      <c r="B8936" s="123">
        <v>1897982.0</v>
      </c>
      <c r="C8936" s="687" t="str">
        <f>IFERROR(__xludf.DUMMYFUNCTION("GOOGLEFINANCE(A8936,""name"")"),"#N/A")</f>
        <v>#N/A</v>
      </c>
      <c r="D8936" s="125"/>
    </row>
    <row r="8937">
      <c r="A8937" s="122" t="s">
        <v>34685</v>
      </c>
      <c r="B8937" s="123">
        <v>1633438.0</v>
      </c>
      <c r="C8937" s="687" t="str">
        <f>IFERROR(__xludf.DUMMYFUNCTION("GOOGLEFINANCE(A8937,""name"")"),"#N/A")</f>
        <v>#N/A</v>
      </c>
      <c r="D8937" s="125"/>
    </row>
    <row r="8938">
      <c r="A8938" s="122" t="s">
        <v>34686</v>
      </c>
      <c r="B8938" s="123">
        <v>1921332.0</v>
      </c>
      <c r="C8938" s="687" t="str">
        <f>IFERROR(__xludf.DUMMYFUNCTION("GOOGLEFINANCE(A8938,""name"")"),"#N/A")</f>
        <v>#N/A</v>
      </c>
      <c r="D8938" s="125"/>
    </row>
    <row r="8939">
      <c r="A8939" s="122" t="s">
        <v>34687</v>
      </c>
      <c r="B8939" s="123">
        <v>1708527.0</v>
      </c>
      <c r="C8939" s="687" t="str">
        <f>IFERROR(__xludf.DUMMYFUNCTION("GOOGLEFINANCE(A8939,""name"")"),"#N/A")</f>
        <v>#N/A</v>
      </c>
      <c r="D8939" s="125"/>
    </row>
    <row r="8940">
      <c r="A8940" s="122" t="s">
        <v>34688</v>
      </c>
      <c r="B8940" s="123">
        <v>70858.0</v>
      </c>
      <c r="C8940" s="687" t="str">
        <f>IFERROR(__xludf.DUMMYFUNCTION("GOOGLEFINANCE(A8940,""name"")"),"#N/A")</f>
        <v>#N/A</v>
      </c>
      <c r="D8940" s="125"/>
    </row>
    <row r="8941">
      <c r="A8941" s="122" t="s">
        <v>34689</v>
      </c>
      <c r="B8941" s="123">
        <v>70858.0</v>
      </c>
      <c r="C8941" s="687" t="str">
        <f>IFERROR(__xludf.DUMMYFUNCTION("GOOGLEFINANCE(A8941,""name"")"),"#N/A")</f>
        <v>#N/A</v>
      </c>
      <c r="D8941" s="125"/>
    </row>
    <row r="8942">
      <c r="A8942" s="122" t="s">
        <v>34690</v>
      </c>
      <c r="B8942" s="123">
        <v>70858.0</v>
      </c>
      <c r="C8942" s="687" t="str">
        <f>IFERROR(__xludf.DUMMYFUNCTION("GOOGLEFINANCE(A8942,""name"")"),"#N/A")</f>
        <v>#N/A</v>
      </c>
      <c r="D8942" s="125"/>
    </row>
    <row r="8943">
      <c r="A8943" s="122" t="s">
        <v>34691</v>
      </c>
      <c r="B8943" s="123">
        <v>70858.0</v>
      </c>
      <c r="C8943" s="687" t="str">
        <f>IFERROR(__xludf.DUMMYFUNCTION("GOOGLEFINANCE(A8943,""name"")"),"#N/A")</f>
        <v>#N/A</v>
      </c>
      <c r="D8943" s="125"/>
    </row>
    <row r="8944">
      <c r="A8944" s="122" t="s">
        <v>34692</v>
      </c>
      <c r="B8944" s="123">
        <v>70858.0</v>
      </c>
      <c r="C8944" s="687" t="str">
        <f>IFERROR(__xludf.DUMMYFUNCTION("GOOGLEFINANCE(A8944,""name"")"),"#N/A")</f>
        <v>#N/A</v>
      </c>
      <c r="D8944" s="125"/>
    </row>
    <row r="8945">
      <c r="A8945" s="122" t="s">
        <v>34693</v>
      </c>
      <c r="B8945" s="123">
        <v>70858.0</v>
      </c>
      <c r="C8945" s="687" t="str">
        <f>IFERROR(__xludf.DUMMYFUNCTION("GOOGLEFINANCE(A8945,""name"")"),"#N/A")</f>
        <v>#N/A</v>
      </c>
      <c r="D8945" s="125"/>
    </row>
    <row r="8946">
      <c r="A8946" s="122" t="s">
        <v>34694</v>
      </c>
      <c r="B8946" s="123">
        <v>70858.0</v>
      </c>
      <c r="C8946" s="687" t="str">
        <f>IFERROR(__xludf.DUMMYFUNCTION("GOOGLEFINANCE(A8946,""name"")"),"#N/A")</f>
        <v>#N/A</v>
      </c>
      <c r="D8946" s="125"/>
    </row>
    <row r="8947">
      <c r="A8947" s="122" t="s">
        <v>34695</v>
      </c>
      <c r="B8947" s="123">
        <v>70858.0</v>
      </c>
      <c r="C8947" s="687" t="str">
        <f>IFERROR(__xludf.DUMMYFUNCTION("GOOGLEFINANCE(A8947,""name"")"),"#N/A")</f>
        <v>#N/A</v>
      </c>
      <c r="D8947" s="125"/>
    </row>
    <row r="8948">
      <c r="A8948" s="122" t="s">
        <v>34696</v>
      </c>
      <c r="B8948" s="123">
        <v>70858.0</v>
      </c>
      <c r="C8948" s="687" t="str">
        <f>IFERROR(__xludf.DUMMYFUNCTION("GOOGLEFINANCE(A8948,""name"")"),"#N/A")</f>
        <v>#N/A</v>
      </c>
      <c r="D8948" s="125"/>
    </row>
    <row r="8949">
      <c r="A8949" s="122" t="s">
        <v>34697</v>
      </c>
      <c r="B8949" s="123">
        <v>70858.0</v>
      </c>
      <c r="C8949" s="687" t="str">
        <f>IFERROR(__xludf.DUMMYFUNCTION("GOOGLEFINANCE(A8949,""name"")"),"#N/A")</f>
        <v>#N/A</v>
      </c>
      <c r="D8949" s="125"/>
    </row>
    <row r="8950">
      <c r="A8950" s="122" t="s">
        <v>34698</v>
      </c>
      <c r="B8950" s="123">
        <v>1869673.0</v>
      </c>
      <c r="C8950" s="687" t="str">
        <f>IFERROR(__xludf.DUMMYFUNCTION("GOOGLEFINANCE(A8950,""name"")"),"#N/A")</f>
        <v>#N/A</v>
      </c>
      <c r="D8950" s="125"/>
    </row>
    <row r="8951">
      <c r="A8951" s="122" t="s">
        <v>34699</v>
      </c>
      <c r="B8951" s="123">
        <v>1869673.0</v>
      </c>
      <c r="C8951" s="687" t="str">
        <f>IFERROR(__xludf.DUMMYFUNCTION("GOOGLEFINANCE(A8951,""name"")"),"#N/A")</f>
        <v>#N/A</v>
      </c>
      <c r="D8951" s="125"/>
    </row>
    <row r="8952">
      <c r="A8952" s="122" t="s">
        <v>34700</v>
      </c>
      <c r="B8952" s="123">
        <v>312070.0</v>
      </c>
      <c r="C8952" s="687" t="str">
        <f>IFERROR(__xludf.DUMMYFUNCTION("GOOGLEFINANCE(A8952,""name"")"),"#N/A")</f>
        <v>#N/A</v>
      </c>
      <c r="D8952" s="125"/>
    </row>
    <row r="8953">
      <c r="A8953" s="122" t="s">
        <v>34701</v>
      </c>
      <c r="B8953" s="123">
        <v>312070.0</v>
      </c>
      <c r="C8953" s="687" t="str">
        <f>IFERROR(__xludf.DUMMYFUNCTION("GOOGLEFINANCE(A8953,""name"")"),"#N/A")</f>
        <v>#N/A</v>
      </c>
      <c r="D8953" s="125"/>
    </row>
    <row r="8954">
      <c r="A8954" s="122" t="s">
        <v>34702</v>
      </c>
      <c r="B8954" s="123">
        <v>1001085.0</v>
      </c>
      <c r="C8954" s="687" t="str">
        <f>IFERROR(__xludf.DUMMYFUNCTION("GOOGLEFINANCE(A8954,""name"")"),"#N/A")</f>
        <v>#N/A</v>
      </c>
      <c r="D8954" s="125"/>
    </row>
    <row r="8955">
      <c r="A8955" s="122" t="s">
        <v>34703</v>
      </c>
      <c r="B8955" s="123">
        <v>1837429.0</v>
      </c>
      <c r="C8955" s="687" t="str">
        <f>IFERROR(__xludf.DUMMYFUNCTION("GOOGLEFINANCE(A8955,""name"")"),"#N/A")</f>
        <v>#N/A</v>
      </c>
      <c r="D8955" s="125"/>
    </row>
    <row r="8956">
      <c r="A8956" s="122" t="s">
        <v>34704</v>
      </c>
      <c r="B8956" s="123">
        <v>1819574.0</v>
      </c>
      <c r="C8956" s="687" t="str">
        <f>IFERROR(__xludf.DUMMYFUNCTION("GOOGLEFINANCE(A8956,""name"")"),"#N/A")</f>
        <v>#N/A</v>
      </c>
      <c r="D8956" s="125"/>
    </row>
    <row r="8957">
      <c r="A8957" s="122" t="s">
        <v>34705</v>
      </c>
      <c r="B8957" s="123">
        <v>1330016.0</v>
      </c>
      <c r="C8957" s="687" t="str">
        <f>IFERROR(__xludf.DUMMYFUNCTION("GOOGLEFINANCE(A8957,""name"")"),"#N/A")</f>
        <v>#N/A</v>
      </c>
      <c r="D8957" s="125"/>
    </row>
    <row r="8958">
      <c r="A8958" s="122" t="s">
        <v>34706</v>
      </c>
      <c r="B8958" s="123">
        <v>1109189.0</v>
      </c>
      <c r="C8958" s="687" t="str">
        <f>IFERROR(__xludf.DUMMYFUNCTION("GOOGLEFINANCE(A8958,""name"")"),"#N/A")</f>
        <v>#N/A</v>
      </c>
      <c r="D8958" s="125"/>
    </row>
    <row r="8959">
      <c r="A8959" s="122" t="s">
        <v>34707</v>
      </c>
      <c r="B8959" s="123">
        <v>1836981.0</v>
      </c>
      <c r="C8959" s="687" t="str">
        <f>IFERROR(__xludf.DUMMYFUNCTION("GOOGLEFINANCE(A8959,""name"")"),"#N/A")</f>
        <v>#N/A</v>
      </c>
      <c r="D8959" s="125"/>
    </row>
    <row r="8960">
      <c r="A8960" s="122" t="s">
        <v>34708</v>
      </c>
      <c r="B8960" s="123">
        <v>913059.0</v>
      </c>
      <c r="C8960" s="687" t="str">
        <f>IFERROR(__xludf.DUMMYFUNCTION("GOOGLEFINANCE(A8960,""name"")"),"Banco BBVA Argentina SA")</f>
        <v>Banco BBVA Argentina SA</v>
      </c>
      <c r="D8960" s="125"/>
    </row>
    <row r="8961">
      <c r="A8961" s="122" t="s">
        <v>34709</v>
      </c>
      <c r="B8961" s="123">
        <v>886158.0</v>
      </c>
      <c r="C8961" s="687" t="str">
        <f>IFERROR(__xludf.DUMMYFUNCTION("GOOGLEFINANCE(A8961,""name"")"),"Bed Bath &amp; Beyond Inc")</f>
        <v>Bed Bath &amp; Beyond Inc</v>
      </c>
      <c r="D8961" s="125"/>
    </row>
    <row r="8962">
      <c r="A8962" s="122" t="s">
        <v>34710</v>
      </c>
      <c r="B8962" s="123">
        <v>1703956.0</v>
      </c>
      <c r="C8962" s="687" t="str">
        <f>IFERROR(__xludf.DUMMYFUNCTION("GOOGLEFINANCE(A8962,""name"")"),"#N/A")</f>
        <v>#N/A</v>
      </c>
      <c r="D8962" s="125"/>
    </row>
    <row r="8963">
      <c r="A8963" s="122" t="s">
        <v>34711</v>
      </c>
      <c r="B8963" s="123">
        <v>1866390.0</v>
      </c>
      <c r="C8963" s="687" t="str">
        <f>IFERROR(__xludf.DUMMYFUNCTION("GOOGLEFINANCE(A8963,""name"")"),"#N/A")</f>
        <v>#N/A</v>
      </c>
      <c r="D8963" s="125"/>
    </row>
    <row r="8964">
      <c r="A8964" s="122" t="s">
        <v>34712</v>
      </c>
      <c r="B8964" s="123">
        <v>1021270.0</v>
      </c>
      <c r="C8964" s="687" t="str">
        <f>IFERROR(__xludf.DUMMYFUNCTION("GOOGLEFINANCE(A8964,""name"")"),"#N/A")</f>
        <v>#N/A</v>
      </c>
      <c r="D8964" s="125"/>
    </row>
    <row r="8965">
      <c r="A8965" s="122" t="s">
        <v>34713</v>
      </c>
      <c r="B8965" s="123">
        <v>14930.0</v>
      </c>
      <c r="C8965" s="687" t="str">
        <f>IFERROR(__xludf.DUMMYFUNCTION("GOOGLEFINANCE(A8965,""name"")"),"#N/A")</f>
        <v>#N/A</v>
      </c>
      <c r="D8965" s="125"/>
    </row>
    <row r="8966">
      <c r="A8966" s="122" t="s">
        <v>34714</v>
      </c>
      <c r="B8966" s="123">
        <v>14930.0</v>
      </c>
      <c r="C8966" s="687" t="str">
        <f>IFERROR(__xludf.DUMMYFUNCTION("GOOGLEFINANCE(A8966,""name"")"),"#N/A")</f>
        <v>#N/A</v>
      </c>
      <c r="D8966" s="125"/>
    </row>
    <row r="8967">
      <c r="A8967" s="122" t="s">
        <v>34715</v>
      </c>
      <c r="B8967" s="123">
        <v>14930.0</v>
      </c>
      <c r="C8967" s="687" t="str">
        <f>IFERROR(__xludf.DUMMYFUNCTION("GOOGLEFINANCE(A8967,""name"")"),"#N/A")</f>
        <v>#N/A</v>
      </c>
      <c r="D8967" s="125"/>
    </row>
    <row r="8968">
      <c r="A8968" s="122" t="s">
        <v>34716</v>
      </c>
      <c r="B8968" s="123">
        <v>1809541.0</v>
      </c>
      <c r="C8968" s="687" t="str">
        <f>IFERROR(__xludf.DUMMYFUNCTION("GOOGLEFINANCE(A8968,""name"")"),"BlackRock Capital Allocation Term Trust")</f>
        <v>BlackRock Capital Allocation Term Trust</v>
      </c>
      <c r="D8968" s="125"/>
    </row>
    <row r="8969">
      <c r="A8969" s="122" t="s">
        <v>34717</v>
      </c>
      <c r="B8969" s="123">
        <v>1932629.0</v>
      </c>
      <c r="C8969" s="687" t="str">
        <f>IFERROR(__xludf.DUMMYFUNCTION("GOOGLEFINANCE(A8969,""name"")"),"#N/A")</f>
        <v>#N/A</v>
      </c>
      <c r="D8969" s="125"/>
    </row>
    <row r="8970">
      <c r="A8970" s="122" t="s">
        <v>34718</v>
      </c>
      <c r="B8970" s="123">
        <v>1068875.0</v>
      </c>
      <c r="C8970" s="687" t="str">
        <f>IFERROR(__xludf.DUMMYFUNCTION("GOOGLEFINANCE(A8970,""name"")"),"BLUCORA INC Common Stock")</f>
        <v>BLUCORA INC Common Stock</v>
      </c>
      <c r="D8970" s="125"/>
    </row>
    <row r="8971">
      <c r="A8971" s="122" t="s">
        <v>34719</v>
      </c>
      <c r="B8971" s="123">
        <v>9521.0</v>
      </c>
      <c r="C8971" s="687" t="str">
        <f>IFERROR(__xludf.DUMMYFUNCTION("GOOGLEFINANCE(A8971,""name"")"),"#N/A")</f>
        <v>#N/A</v>
      </c>
      <c r="D8971" s="125"/>
    </row>
    <row r="8972">
      <c r="A8972" s="122" t="s">
        <v>34720</v>
      </c>
      <c r="B8972" s="123">
        <v>1114446.0</v>
      </c>
      <c r="C8972" s="687" t="str">
        <f>IFERROR(__xludf.DUMMYFUNCTION("GOOGLEFINANCE(A8972,""name"")"),"ETRACS Quarterly Pay 1.5x Leveraged MarketVector BDC Liquid Index ETN due June 10 2050")</f>
        <v>ETRACS Quarterly Pay 1.5x Leveraged MarketVector BDC Liquid Index ETN due June 10 2050</v>
      </c>
      <c r="D8972" s="125"/>
    </row>
    <row r="8973">
      <c r="A8973" s="122" t="s">
        <v>34721</v>
      </c>
      <c r="B8973" s="123">
        <v>1114446.0</v>
      </c>
      <c r="C8973" s="687" t="str">
        <f>IFERROR(__xludf.DUMMYFUNCTION("GOOGLEFINANCE(A8973,""name"")"),"ETRACS MarketVector Business Development Companies Liquid Index ETN due April 26 2041")</f>
        <v>ETRACS MarketVector Business Development Companies Liquid Index ETN due April 26 2041</v>
      </c>
      <c r="D8973" s="125"/>
    </row>
    <row r="8974">
      <c r="A8974" s="122" t="s">
        <v>34722</v>
      </c>
      <c r="B8974" s="123">
        <v>1745846.0</v>
      </c>
      <c r="C8974" s="687" t="str">
        <f>IFERROR(__xludf.DUMMYFUNCTION("GOOGLEFINANCE(A8974,""name"")"),"#N/A")</f>
        <v>#N/A</v>
      </c>
      <c r="D8974" s="125"/>
    </row>
    <row r="8975">
      <c r="A8975" s="122" t="s">
        <v>34723</v>
      </c>
      <c r="B8975" s="123">
        <v>1103021.0</v>
      </c>
      <c r="C8975" s="687" t="str">
        <f>IFERROR(__xludf.DUMMYFUNCTION("GOOGLEFINANCE(A8975,""name"")"),"#N/A")</f>
        <v>#N/A</v>
      </c>
      <c r="D8975" s="125"/>
    </row>
    <row r="8976">
      <c r="A8976" s="122" t="s">
        <v>34724</v>
      </c>
      <c r="B8976" s="123">
        <v>10795.0</v>
      </c>
      <c r="C8976" s="687" t="str">
        <f>IFERROR(__xludf.DUMMYFUNCTION("GOOGLEFINANCE(A8976,""name"")"),"#N/A")</f>
        <v>#N/A</v>
      </c>
      <c r="D8976" s="125"/>
    </row>
    <row r="8977">
      <c r="A8977" s="122" t="s">
        <v>34725</v>
      </c>
      <c r="B8977" s="123">
        <v>1749817.0</v>
      </c>
      <c r="C8977" s="687" t="str">
        <f>IFERROR(__xludf.DUMMYFUNCTION("GOOGLEFINANCE(A8977,""name"")"),"#N/A")</f>
        <v>#N/A</v>
      </c>
      <c r="D8977" s="125"/>
    </row>
    <row r="8978">
      <c r="A8978" s="122" t="s">
        <v>34726</v>
      </c>
      <c r="B8978" s="123">
        <v>1828735.0</v>
      </c>
      <c r="C8978" s="687" t="str">
        <f>IFERROR(__xludf.DUMMYFUNCTION("GOOGLEFINANCE(A8978,""name"")"),"#N/A")</f>
        <v>#N/A</v>
      </c>
      <c r="D8978" s="125"/>
    </row>
    <row r="8979">
      <c r="A8979" s="122" t="s">
        <v>34727</v>
      </c>
      <c r="B8979" s="123">
        <v>1828735.0</v>
      </c>
      <c r="C8979" s="687" t="str">
        <f>IFERROR(__xludf.DUMMYFUNCTION("GOOGLEFINANCE(A8979,""name"")"),"#N/A")</f>
        <v>#N/A</v>
      </c>
      <c r="D8979" s="125"/>
    </row>
    <row r="8980">
      <c r="A8980" s="122" t="s">
        <v>34728</v>
      </c>
      <c r="B8980" s="123">
        <v>1533232.0</v>
      </c>
      <c r="C8980" s="687" t="str">
        <f>IFERROR(__xludf.DUMMYFUNCTION("GOOGLEFINANCE(A8980,""name"")"),"#N/A")</f>
        <v>#N/A</v>
      </c>
      <c r="D8980" s="125"/>
    </row>
    <row r="8981">
      <c r="A8981" s="122" t="s">
        <v>34729</v>
      </c>
      <c r="B8981" s="123">
        <v>927971.0</v>
      </c>
      <c r="C8981" s="687" t="str">
        <f>IFERROR(__xludf.DUMMYFUNCTION("GOOGLEFINANCE(A8981,""name"")"),"Bank of Montreal MicroSectors FANG &amp; Innovation 3x Inverse Leveraged ETN")</f>
        <v>Bank of Montreal MicroSectors FANG &amp; Innovation 3x Inverse Leveraged ETN</v>
      </c>
      <c r="D8981" s="125"/>
    </row>
    <row r="8982">
      <c r="A8982" s="122" t="s">
        <v>34730</v>
      </c>
      <c r="B8982" s="123">
        <v>14693.0</v>
      </c>
      <c r="C8982" s="687" t="str">
        <f>IFERROR(__xludf.DUMMYFUNCTION("GOOGLEFINANCE(A8982,""name"")"),"#N/A")</f>
        <v>#N/A</v>
      </c>
      <c r="D8982" s="125"/>
    </row>
    <row r="8983">
      <c r="A8983" s="122" t="s">
        <v>34731</v>
      </c>
      <c r="B8983" s="123">
        <v>14693.0</v>
      </c>
      <c r="C8983" s="687" t="str">
        <f>IFERROR(__xludf.DUMMYFUNCTION("GOOGLEFINANCE(A8983,""name"")"),"#N/A")</f>
        <v>#N/A</v>
      </c>
      <c r="D8983" s="125"/>
    </row>
    <row r="8984">
      <c r="A8984" s="122" t="s">
        <v>34732</v>
      </c>
      <c r="B8984" s="123">
        <v>1880441.0</v>
      </c>
      <c r="C8984" s="687" t="str">
        <f>IFERROR(__xludf.DUMMYFUNCTION("GOOGLEFINANCE(A8984,""name"")"),"#N/A")</f>
        <v>#N/A</v>
      </c>
      <c r="D8984" s="125"/>
    </row>
    <row r="8985">
      <c r="A8985" s="122" t="s">
        <v>34733</v>
      </c>
      <c r="B8985" s="123">
        <v>1880441.0</v>
      </c>
      <c r="C8985" s="687" t="str">
        <f>IFERROR(__xludf.DUMMYFUNCTION("GOOGLEFINANCE(A8985,""name"")"),"#N/A")</f>
        <v>#N/A</v>
      </c>
      <c r="D8985" s="125"/>
    </row>
    <row r="8986">
      <c r="A8986" s="122" t="s">
        <v>34734</v>
      </c>
      <c r="B8986" s="123">
        <v>1712641.0</v>
      </c>
      <c r="C8986" s="687" t="str">
        <f>IFERROR(__xludf.DUMMYFUNCTION("GOOGLEFINANCE(A8986,""name"")"),"#N/A")</f>
        <v>#N/A</v>
      </c>
      <c r="D8986" s="125"/>
    </row>
    <row r="8987">
      <c r="A8987" s="122" t="s">
        <v>34735</v>
      </c>
      <c r="B8987" s="123">
        <v>1804176.0</v>
      </c>
      <c r="C8987" s="687" t="str">
        <f>IFERROR(__xludf.DUMMYFUNCTION("GOOGLEFINANCE(A8987,""name"")"),"#N/A")</f>
        <v>#N/A</v>
      </c>
      <c r="D8987" s="125"/>
    </row>
    <row r="8988">
      <c r="A8988" s="122" t="s">
        <v>34736</v>
      </c>
      <c r="B8988" s="123">
        <v>907254.0</v>
      </c>
      <c r="C8988" s="687" t="str">
        <f>IFERROR(__xludf.DUMMYFUNCTION("GOOGLEFINANCE(A8988,""name"")"),"#N/A")</f>
        <v>#N/A</v>
      </c>
      <c r="D8988" s="125"/>
    </row>
    <row r="8989">
      <c r="A8989" s="122" t="s">
        <v>34737</v>
      </c>
      <c r="B8989" s="123">
        <v>907254.0</v>
      </c>
      <c r="C8989" s="687" t="str">
        <f>IFERROR(__xludf.DUMMYFUNCTION("GOOGLEFINANCE(A8989,""name"")"),"#N/A")</f>
        <v>#N/A</v>
      </c>
      <c r="D8989" s="125"/>
    </row>
    <row r="8990">
      <c r="A8990" s="122" t="s">
        <v>34738</v>
      </c>
      <c r="B8990" s="123">
        <v>1852707.0</v>
      </c>
      <c r="C8990" s="687" t="str">
        <f>IFERROR(__xludf.DUMMYFUNCTION("GOOGLEFINANCE(A8990,""name"")"),"Better for You Wellness Inc")</f>
        <v>Better for You Wellness Inc</v>
      </c>
      <c r="D8990" s="125"/>
    </row>
    <row r="8991">
      <c r="A8991" s="122" t="s">
        <v>34739</v>
      </c>
      <c r="B8991" s="123">
        <v>1137391.0</v>
      </c>
      <c r="C8991" s="687" t="str">
        <f>IFERROR(__xludf.DUMMYFUNCTION("GOOGLEFINANCE(A8991,""name"")"),"BlackRock California Municil Incm Trust")</f>
        <v>BlackRock California Municil Incm Trust</v>
      </c>
      <c r="D8991" s="125"/>
    </row>
    <row r="8992">
      <c r="A8992" s="122" t="s">
        <v>34740</v>
      </c>
      <c r="B8992" s="123">
        <v>1916902.0</v>
      </c>
      <c r="C8992" s="687" t="str">
        <f>IFERROR(__xludf.DUMMYFUNCTION("GOOGLEFINANCE(A8992,""name"")"),"#N/A")</f>
        <v>#N/A</v>
      </c>
      <c r="D8992" s="125"/>
    </row>
    <row r="8993">
      <c r="A8993" s="122" t="s">
        <v>34741</v>
      </c>
      <c r="B8993" s="123">
        <v>1094831.0</v>
      </c>
      <c r="C8993" s="687" t="str">
        <f>IFERROR(__xludf.DUMMYFUNCTION("GOOGLEFINANCE(A8993,""name"")"),"#N/A")</f>
        <v>#N/A</v>
      </c>
      <c r="D8993" s="125"/>
    </row>
    <row r="8994">
      <c r="A8994" s="122" t="s">
        <v>34742</v>
      </c>
      <c r="B8994" s="123">
        <v>1710523.0</v>
      </c>
      <c r="C8994" s="687" t="str">
        <f>IFERROR(__xludf.DUMMYFUNCTION("GOOGLEFINANCE(A8994,""name"")"),"#N/A")</f>
        <v>#N/A</v>
      </c>
      <c r="D8994" s="125"/>
    </row>
    <row r="8995">
      <c r="A8995" s="122" t="s">
        <v>34743</v>
      </c>
      <c r="B8995" s="123">
        <v>1824734.0</v>
      </c>
      <c r="C8995" s="687" t="str">
        <f>IFERROR(__xludf.DUMMYFUNCTION("GOOGLEFINANCE(A8995,""name"")"),"#N/A")</f>
        <v>#N/A</v>
      </c>
      <c r="D8995" s="125"/>
    </row>
    <row r="8996">
      <c r="A8996" s="122" t="s">
        <v>34744</v>
      </c>
      <c r="B8996" s="123">
        <v>1824734.0</v>
      </c>
      <c r="C8996" s="687" t="str">
        <f>IFERROR(__xludf.DUMMYFUNCTION("GOOGLEFINANCE(A8996,""name"")"),"#N/A")</f>
        <v>#N/A</v>
      </c>
      <c r="D8996" s="125"/>
    </row>
    <row r="8997">
      <c r="A8997" s="122" t="s">
        <v>34745</v>
      </c>
      <c r="B8997" s="123">
        <v>1838666.0</v>
      </c>
      <c r="C8997" s="687" t="str">
        <f>IFERROR(__xludf.DUMMYFUNCTION("GOOGLEFINANCE(A8997,""name"")"),"#N/A")</f>
        <v>#N/A</v>
      </c>
      <c r="D8997" s="125"/>
    </row>
    <row r="8998">
      <c r="A8998" s="122" t="s">
        <v>34746</v>
      </c>
      <c r="B8998" s="123">
        <v>1838666.0</v>
      </c>
      <c r="C8998" s="687" t="str">
        <f>IFERROR(__xludf.DUMMYFUNCTION("GOOGLEFINANCE(A8998,""name"")"),"#N/A")</f>
        <v>#N/A</v>
      </c>
      <c r="D8998" s="125"/>
    </row>
    <row r="8999">
      <c r="A8999" s="122" t="s">
        <v>34747</v>
      </c>
      <c r="B8999" s="123">
        <v>1838666.0</v>
      </c>
      <c r="C8999" s="687" t="str">
        <f>IFERROR(__xludf.DUMMYFUNCTION("GOOGLEFINANCE(A8999,""name"")"),"#N/A")</f>
        <v>#N/A</v>
      </c>
      <c r="D8999" s="125"/>
    </row>
    <row r="9000">
      <c r="A9000" s="122" t="s">
        <v>34748</v>
      </c>
      <c r="B9000" s="123">
        <v>1518720.0</v>
      </c>
      <c r="C9000" s="687" t="str">
        <f>IFERROR(__xludf.DUMMYFUNCTION("GOOGLEFINANCE(A9000,""name"")"),"#N/A")</f>
        <v>#N/A</v>
      </c>
      <c r="D9000" s="125"/>
    </row>
    <row r="9001">
      <c r="A9001" s="122" t="s">
        <v>34749</v>
      </c>
      <c r="B9001" s="123">
        <v>1726173.0</v>
      </c>
      <c r="C9001" s="687" t="str">
        <f>IFERROR(__xludf.DUMMYFUNCTION("GOOGLEFINANCE(A9001,""name"")"),"#N/A")</f>
        <v>#N/A</v>
      </c>
      <c r="D9001" s="125"/>
    </row>
    <row r="9002">
      <c r="A9002" s="122" t="s">
        <v>34750</v>
      </c>
      <c r="B9002" s="123">
        <v>1685040.0</v>
      </c>
      <c r="C9002" s="687" t="str">
        <f>IFERROR(__xludf.DUMMYFUNCTION("GOOGLEFINANCE(A9002,""name"")"),"Brighthouse Financial Junior Subordinated Debentures Exp 2058")</f>
        <v>Brighthouse Financial Junior Subordinated Debentures Exp 2058</v>
      </c>
      <c r="D9002" s="125"/>
    </row>
    <row r="9003">
      <c r="A9003" s="122" t="s">
        <v>34751</v>
      </c>
      <c r="B9003" s="123">
        <v>1830210.0</v>
      </c>
      <c r="C9003" s="687" t="str">
        <f>IFERROR(__xludf.DUMMYFUNCTION("GOOGLEFINANCE(A9003,""name"")"),"#N/A")</f>
        <v>#N/A</v>
      </c>
      <c r="D9003" s="125"/>
    </row>
    <row r="9004">
      <c r="A9004" s="122" t="s">
        <v>34752</v>
      </c>
      <c r="B9004" s="123">
        <v>1574085.0</v>
      </c>
      <c r="C9004" s="687" t="str">
        <f>IFERROR(__xludf.DUMMYFUNCTION("GOOGLEFINANCE(A9004,""name"")"),"#N/A")</f>
        <v>#N/A</v>
      </c>
      <c r="D9004" s="125"/>
    </row>
    <row r="9005">
      <c r="A9005" s="122" t="s">
        <v>34753</v>
      </c>
      <c r="B9005" s="123">
        <v>1574085.0</v>
      </c>
      <c r="C9005" s="687" t="str">
        <f>IFERROR(__xludf.DUMMYFUNCTION("GOOGLEFINANCE(A9005,""name"")"),"#N/A")</f>
        <v>#N/A</v>
      </c>
      <c r="D9005" s="125"/>
    </row>
    <row r="9006">
      <c r="A9006" s="122" t="s">
        <v>34754</v>
      </c>
      <c r="B9006" s="123">
        <v>1759186.0</v>
      </c>
      <c r="C9006" s="687" t="str">
        <f>IFERROR(__xludf.DUMMYFUNCTION("GOOGLEFINANCE(A9006,""name"")"),"#N/A")</f>
        <v>#N/A</v>
      </c>
      <c r="D9006" s="125"/>
    </row>
    <row r="9007">
      <c r="A9007" s="122" t="s">
        <v>34755</v>
      </c>
      <c r="B9007" s="123">
        <v>1759186.0</v>
      </c>
      <c r="C9007" s="687" t="str">
        <f>IFERROR(__xludf.DUMMYFUNCTION("GOOGLEFINANCE(A9007,""name"")"),"#N/A")</f>
        <v>#N/A</v>
      </c>
      <c r="D9007" s="125"/>
    </row>
    <row r="9008">
      <c r="A9008" s="122" t="s">
        <v>34756</v>
      </c>
      <c r="B9008" s="123">
        <v>1759186.0</v>
      </c>
      <c r="C9008" s="687" t="str">
        <f>IFERROR(__xludf.DUMMYFUNCTION("GOOGLEFINANCE(A9008,""name"")"),"#N/A")</f>
        <v>#N/A</v>
      </c>
      <c r="D9008" s="125"/>
    </row>
    <row r="9009">
      <c r="A9009" s="122" t="s">
        <v>34757</v>
      </c>
      <c r="B9009" s="123">
        <v>1753391.0</v>
      </c>
      <c r="C9009" s="687" t="str">
        <f>IFERROR(__xludf.DUMMYFUNCTION("GOOGLEFINANCE(A9009,""name"")"),"#N/A")</f>
        <v>#N/A</v>
      </c>
      <c r="D9009" s="125"/>
    </row>
    <row r="9010">
      <c r="A9010" s="122" t="s">
        <v>34758</v>
      </c>
      <c r="B9010" s="123">
        <v>12208.0</v>
      </c>
      <c r="C9010" s="687" t="str">
        <f>IFERROR(__xludf.DUMMYFUNCTION("GOOGLEFINANCE(A9010,""name"")"),"#N/A")</f>
        <v>#N/A</v>
      </c>
      <c r="D9010" s="125"/>
    </row>
    <row r="9011">
      <c r="A9011" s="122" t="s">
        <v>34759</v>
      </c>
      <c r="B9011" s="123">
        <v>1044378.0</v>
      </c>
      <c r="C9011" s="687" t="str">
        <f>IFERROR(__xludf.DUMMYFUNCTION("GOOGLEFINANCE(A9011,""name"")"),"#N/A")</f>
        <v>#N/A</v>
      </c>
      <c r="D9011" s="125"/>
    </row>
    <row r="9012">
      <c r="A9012" s="122" t="s">
        <v>34760</v>
      </c>
      <c r="B9012" s="123">
        <v>1856653.0</v>
      </c>
      <c r="C9012" s="687" t="str">
        <f>IFERROR(__xludf.DUMMYFUNCTION("GOOGLEFINANCE(A9012,""name"")"),"#N/A")</f>
        <v>#N/A</v>
      </c>
      <c r="D9012" s="125"/>
    </row>
    <row r="9013">
      <c r="A9013" s="122" t="s">
        <v>34761</v>
      </c>
      <c r="B9013" s="123">
        <v>1825413.0</v>
      </c>
      <c r="C9013" s="687" t="str">
        <f>IFERROR(__xludf.DUMMYFUNCTION("GOOGLEFINANCE(A9013,""name"")"),"#N/A")</f>
        <v>#N/A</v>
      </c>
      <c r="D9013" s="125"/>
    </row>
    <row r="9014">
      <c r="A9014" s="122" t="s">
        <v>34762</v>
      </c>
      <c r="B9014" s="123">
        <v>1825413.0</v>
      </c>
      <c r="C9014" s="687" t="str">
        <f>IFERROR(__xludf.DUMMYFUNCTION("GOOGLEFINANCE(A9014,""name"")"),"#N/A")</f>
        <v>#N/A</v>
      </c>
      <c r="D9014" s="125"/>
    </row>
    <row r="9015">
      <c r="A9015" s="122" t="s">
        <v>34763</v>
      </c>
      <c r="B9015" s="123">
        <v>1406234.0</v>
      </c>
      <c r="C9015" s="687" t="str">
        <f>IFERROR(__xludf.DUMMYFUNCTION("GOOGLEFINANCE(A9015,""name"")"),"#N/A")</f>
        <v>#N/A</v>
      </c>
      <c r="D9015" s="125"/>
    </row>
    <row r="9016">
      <c r="A9016" s="122" t="s">
        <v>34764</v>
      </c>
      <c r="B9016" s="123">
        <v>1406234.0</v>
      </c>
      <c r="C9016" s="687" t="str">
        <f>IFERROR(__xludf.DUMMYFUNCTION("GOOGLEFINANCE(A9016,""name"")"),"#N/A")</f>
        <v>#N/A</v>
      </c>
      <c r="D9016" s="125"/>
    </row>
    <row r="9017">
      <c r="A9017" s="122" t="s">
        <v>34765</v>
      </c>
      <c r="B9017" s="123">
        <v>1831270.0</v>
      </c>
      <c r="C9017" s="687" t="str">
        <f>IFERROR(__xludf.DUMMYFUNCTION("GOOGLEFINANCE(A9017,""name"")"),"#N/A")</f>
        <v>#N/A</v>
      </c>
      <c r="D9017" s="125"/>
    </row>
    <row r="9018">
      <c r="A9018" s="122" t="s">
        <v>34766</v>
      </c>
      <c r="B9018" s="123">
        <v>1831270.0</v>
      </c>
      <c r="C9018" s="687" t="str">
        <f>IFERROR(__xludf.DUMMYFUNCTION("GOOGLEFINANCE(A9018,""name"")"),"#N/A")</f>
        <v>#N/A</v>
      </c>
      <c r="D9018" s="125"/>
    </row>
    <row r="9019">
      <c r="A9019" s="122" t="s">
        <v>34767</v>
      </c>
      <c r="B9019" s="123">
        <v>1392091.0</v>
      </c>
      <c r="C9019" s="687" t="str">
        <f>IFERROR(__xludf.DUMMYFUNCTION("GOOGLEFINANCE(A9019,""name"")"),"#N/A")</f>
        <v>#N/A</v>
      </c>
      <c r="D9019" s="125"/>
    </row>
    <row r="9020">
      <c r="A9020" s="122" t="s">
        <v>34768</v>
      </c>
      <c r="B9020" s="123">
        <v>1820302.0</v>
      </c>
      <c r="C9020" s="687" t="str">
        <f>IFERROR(__xludf.DUMMYFUNCTION("GOOGLEFINANCE(A9020,""name"")"),"#N/A")</f>
        <v>#N/A</v>
      </c>
      <c r="D9020" s="125"/>
    </row>
    <row r="9021">
      <c r="A9021" s="122" t="s">
        <v>34769</v>
      </c>
      <c r="B9021" s="123">
        <v>1753539.0</v>
      </c>
      <c r="C9021" s="687" t="str">
        <f>IFERROR(__xludf.DUMMYFUNCTION("GOOGLEFINANCE(A9021,""name"")"),"#N/A")</f>
        <v>#N/A</v>
      </c>
      <c r="D9021" s="125"/>
    </row>
    <row r="9022">
      <c r="A9022" s="122" t="s">
        <v>34770</v>
      </c>
      <c r="B9022" s="123">
        <v>1019034.0</v>
      </c>
      <c r="C9022" s="687" t="str">
        <f>IFERROR(__xludf.DUMMYFUNCTION("GOOGLEFINANCE(A9022,""name"")"),"BIO-Key International Inc")</f>
        <v>BIO-Key International Inc</v>
      </c>
      <c r="D9022" s="125"/>
    </row>
    <row r="9023">
      <c r="A9023" s="122" t="s">
        <v>34771</v>
      </c>
      <c r="B9023" s="123">
        <v>1843370.0</v>
      </c>
      <c r="C9023" s="687" t="str">
        <f>IFERROR(__xludf.DUMMYFUNCTION("GOOGLEFINANCE(A9023,""name"")"),"#N/A")</f>
        <v>#N/A</v>
      </c>
      <c r="D9023" s="125"/>
    </row>
    <row r="9024">
      <c r="A9024" s="122" t="s">
        <v>34772</v>
      </c>
      <c r="B9024" s="123">
        <v>1689657.0</v>
      </c>
      <c r="C9024" s="687" t="str">
        <f>IFERROR(__xludf.DUMMYFUNCTION("GOOGLEFINANCE(A9024,""name"")"),"#N/A")</f>
        <v>#N/A</v>
      </c>
      <c r="D9024" s="125"/>
    </row>
    <row r="9025">
      <c r="A9025" s="122" t="s">
        <v>34773</v>
      </c>
      <c r="B9025" s="123">
        <v>1842384.0</v>
      </c>
      <c r="C9025" s="687" t="str">
        <f>IFERROR(__xludf.DUMMYFUNCTION("GOOGLEFINANCE(A9025,""name"")"),"#N/A")</f>
        <v>#N/A</v>
      </c>
      <c r="D9025" s="125"/>
    </row>
    <row r="9026">
      <c r="A9026" s="122" t="s">
        <v>34774</v>
      </c>
      <c r="B9026" s="123">
        <v>1842384.0</v>
      </c>
      <c r="C9026" s="687" t="str">
        <f>IFERROR(__xludf.DUMMYFUNCTION("GOOGLEFINANCE(A9026,""name"")"),"#N/A")</f>
        <v>#N/A</v>
      </c>
      <c r="D9026" s="125"/>
    </row>
    <row r="9027">
      <c r="A9027" s="122" t="s">
        <v>34775</v>
      </c>
      <c r="B9027" s="123">
        <v>1842384.0</v>
      </c>
      <c r="C9027" s="687" t="str">
        <f>IFERROR(__xludf.DUMMYFUNCTION("GOOGLEFINANCE(A9027,""name"")"),"#N/A")</f>
        <v>#N/A</v>
      </c>
      <c r="D9027" s="125"/>
    </row>
    <row r="9028">
      <c r="A9028" s="122" t="s">
        <v>34776</v>
      </c>
      <c r="B9028" s="123">
        <v>1429764.0</v>
      </c>
      <c r="C9028" s="687" t="str">
        <f>IFERROR(__xludf.DUMMYFUNCTION("GOOGLEFINANCE(A9028,""name"")"),"#N/A")</f>
        <v>#N/A</v>
      </c>
      <c r="D9028" s="125"/>
    </row>
    <row r="9029">
      <c r="A9029" s="122" t="s">
        <v>34777</v>
      </c>
      <c r="B9029" s="123">
        <v>1498403.0</v>
      </c>
      <c r="C9029" s="687" t="str">
        <f>IFERROR(__xludf.DUMMYFUNCTION("GOOGLEFINANCE(A9029,""name"")"),"BioLine RX Ltd - ADR")</f>
        <v>BioLine RX Ltd - ADR</v>
      </c>
      <c r="D9029" s="125"/>
    </row>
    <row r="9030">
      <c r="A9030" s="122" t="s">
        <v>34778</v>
      </c>
      <c r="B9030" s="123">
        <v>1823200.0</v>
      </c>
      <c r="C9030" s="687" t="str">
        <f>IFERROR(__xludf.DUMMYFUNCTION("GOOGLEFINANCE(A9030,""name"")"),"#N/A")</f>
        <v>#N/A</v>
      </c>
      <c r="D9030" s="125"/>
    </row>
    <row r="9031">
      <c r="A9031" s="122" t="s">
        <v>34779</v>
      </c>
      <c r="B9031" s="123">
        <v>1827328.0</v>
      </c>
      <c r="C9031" s="687" t="str">
        <f>IFERROR(__xludf.DUMMYFUNCTION("GOOGLEFINANCE(A9031,""name"")"),"#N/A")</f>
        <v>#N/A</v>
      </c>
      <c r="D9031" s="125"/>
    </row>
    <row r="9032">
      <c r="A9032" s="122" t="s">
        <v>34780</v>
      </c>
      <c r="B9032" s="123">
        <v>1827328.0</v>
      </c>
      <c r="C9032" s="687" t="str">
        <f>IFERROR(__xludf.DUMMYFUNCTION("GOOGLEFINANCE(A9032,""name"")"),"#N/A")</f>
        <v>#N/A</v>
      </c>
      <c r="D9032" s="125"/>
    </row>
    <row r="9033">
      <c r="A9033" s="122" t="s">
        <v>34781</v>
      </c>
      <c r="B9033" s="123">
        <v>1827328.0</v>
      </c>
      <c r="C9033" s="687" t="str">
        <f>IFERROR(__xludf.DUMMYFUNCTION("GOOGLEFINANCE(A9033,""name"")"),"#N/A")</f>
        <v>#N/A</v>
      </c>
      <c r="D9033" s="125"/>
    </row>
    <row r="9034">
      <c r="A9034" s="122" t="s">
        <v>34782</v>
      </c>
      <c r="B9034" s="123">
        <v>1831006.0</v>
      </c>
      <c r="C9034" s="687" t="str">
        <f>IFERROR(__xludf.DUMMYFUNCTION("GOOGLEFINANCE(A9034,""name"")"),"#N/A")</f>
        <v>#N/A</v>
      </c>
      <c r="D9034" s="125"/>
    </row>
    <row r="9035">
      <c r="A9035" s="122" t="s">
        <v>34783</v>
      </c>
      <c r="B9035" s="123">
        <v>1831006.0</v>
      </c>
      <c r="C9035" s="687" t="str">
        <f>IFERROR(__xludf.DUMMYFUNCTION("GOOGLEFINANCE(A9035,""name"")"),"#N/A")</f>
        <v>#N/A</v>
      </c>
      <c r="D9035" s="125"/>
    </row>
    <row r="9036">
      <c r="A9036" s="122" t="s">
        <v>34784</v>
      </c>
      <c r="B9036" s="123">
        <v>1428389.0</v>
      </c>
      <c r="C9036" s="687" t="str">
        <f>IFERROR(__xludf.DUMMYFUNCTION("GOOGLEFINANCE(A9036,""name"")"),"#N/A")</f>
        <v>#N/A</v>
      </c>
      <c r="D9036" s="125"/>
    </row>
    <row r="9037">
      <c r="A9037" s="122" t="s">
        <v>34785</v>
      </c>
      <c r="B9037" s="123">
        <v>1848020.0</v>
      </c>
      <c r="C9037" s="687" t="str">
        <f>IFERROR(__xludf.DUMMYFUNCTION("GOOGLEFINANCE(A9037,""name"")"),"DDA ETP ETN")</f>
        <v>DDA ETP ETN</v>
      </c>
      <c r="D9037" s="125"/>
    </row>
    <row r="9038">
      <c r="A9038" s="122" t="s">
        <v>34786</v>
      </c>
      <c r="B9038" s="123">
        <v>1848020.0</v>
      </c>
      <c r="C9038" s="687" t="str">
        <f>IFERROR(__xludf.DUMMYFUNCTION("GOOGLEFINANCE(A9038,""name"")"),"#N/A")</f>
        <v>#N/A</v>
      </c>
      <c r="D9038" s="125"/>
    </row>
    <row r="9039">
      <c r="A9039" s="122" t="s">
        <v>34787</v>
      </c>
      <c r="B9039" s="123">
        <v>1848020.0</v>
      </c>
      <c r="C9039" s="687" t="str">
        <f>IFERROR(__xludf.DUMMYFUNCTION("GOOGLEFINANCE(A9039,""name"")"),"#N/A")</f>
        <v>#N/A</v>
      </c>
      <c r="D9039" s="125"/>
    </row>
    <row r="9040">
      <c r="A9040" s="122" t="s">
        <v>34788</v>
      </c>
      <c r="B9040" s="123">
        <v>1867757.0</v>
      </c>
      <c r="C9040" s="687" t="str">
        <f>IFERROR(__xludf.DUMMYFUNCTION("GOOGLEFINANCE(A9040,""name"")"),"#N/A")</f>
        <v>#N/A</v>
      </c>
      <c r="D9040" s="125"/>
    </row>
    <row r="9041">
      <c r="A9041" s="122" t="s">
        <v>34789</v>
      </c>
      <c r="B9041" s="123">
        <v>1867757.0</v>
      </c>
      <c r="C9041" s="687" t="str">
        <f>IFERROR(__xludf.DUMMYFUNCTION("GOOGLEFINANCE(A9041,""name"")"),"#N/A")</f>
        <v>#N/A</v>
      </c>
      <c r="D9041" s="125"/>
    </row>
    <row r="9042">
      <c r="A9042" s="122" t="s">
        <v>34790</v>
      </c>
      <c r="B9042" s="123">
        <v>1867757.0</v>
      </c>
      <c r="C9042" s="687" t="str">
        <f>IFERROR(__xludf.DUMMYFUNCTION("GOOGLEFINANCE(A9042,""name"")"),"#N/A")</f>
        <v>#N/A</v>
      </c>
      <c r="D9042" s="125"/>
    </row>
    <row r="9043">
      <c r="A9043" s="122" t="s">
        <v>34791</v>
      </c>
      <c r="B9043" s="123">
        <v>1867757.0</v>
      </c>
      <c r="C9043" s="687" t="str">
        <f>IFERROR(__xludf.DUMMYFUNCTION("GOOGLEFINANCE(A9043,""name"")"),"#N/A")</f>
        <v>#N/A</v>
      </c>
      <c r="D9043" s="125"/>
    </row>
    <row r="9044">
      <c r="A9044" s="122" t="s">
        <v>34792</v>
      </c>
      <c r="B9044" s="123">
        <v>1540684.0</v>
      </c>
      <c r="C9044" s="687" t="str">
        <f>IFERROR(__xludf.DUMMYFUNCTION("GOOGLEFINANCE(A9044,""name"")"),"#N/A")</f>
        <v>#N/A</v>
      </c>
      <c r="D9044" s="125"/>
    </row>
    <row r="9045">
      <c r="A9045" s="122" t="s">
        <v>34793</v>
      </c>
      <c r="B9045" s="123">
        <v>70858.0</v>
      </c>
      <c r="C9045" s="687" t="str">
        <f>IFERROR(__xludf.DUMMYFUNCTION("GOOGLEFINANCE(A9045,""name"")"),"#N/A")</f>
        <v>#N/A</v>
      </c>
      <c r="D9045" s="125"/>
    </row>
    <row r="9046">
      <c r="A9046" s="122" t="s">
        <v>34794</v>
      </c>
      <c r="B9046" s="123">
        <v>70858.0</v>
      </c>
      <c r="C9046" s="687" t="str">
        <f>IFERROR(__xludf.DUMMYFUNCTION("GOOGLEFINANCE(A9046,""name"")"),"#N/A")</f>
        <v>#N/A</v>
      </c>
      <c r="D9046" s="125"/>
    </row>
    <row r="9047">
      <c r="A9047" s="122" t="s">
        <v>34795</v>
      </c>
      <c r="B9047" s="123">
        <v>70858.0</v>
      </c>
      <c r="C9047" s="687" t="str">
        <f>IFERROR(__xludf.DUMMYFUNCTION("GOOGLEFINANCE(A9047,""name"")"),"#N/A")</f>
        <v>#N/A</v>
      </c>
      <c r="D9047" s="125"/>
    </row>
    <row r="9048">
      <c r="A9048" s="122" t="s">
        <v>34796</v>
      </c>
      <c r="B9048" s="123">
        <v>70858.0</v>
      </c>
      <c r="C9048" s="687" t="str">
        <f>IFERROR(__xludf.DUMMYFUNCTION("GOOGLEFINANCE(A9048,""name"")"),"#N/A")</f>
        <v>#N/A</v>
      </c>
      <c r="D9048" s="125"/>
    </row>
    <row r="9049">
      <c r="A9049" s="122" t="s">
        <v>34797</v>
      </c>
      <c r="B9049" s="123">
        <v>1725872.0</v>
      </c>
      <c r="C9049" s="687" t="str">
        <f>IFERROR(__xludf.DUMMYFUNCTION("GOOGLEFINANCE(A9049,""name"")"),"#N/A")</f>
        <v>#N/A</v>
      </c>
      <c r="D9049" s="125"/>
    </row>
    <row r="9050">
      <c r="A9050" s="122" t="s">
        <v>34798</v>
      </c>
      <c r="B9050" s="123">
        <v>1576169.0</v>
      </c>
      <c r="C9050" s="687" t="str">
        <f>IFERROR(__xludf.DUMMYFUNCTION("GOOGLEFINANCE(A9050,""name"")"),"#N/A")</f>
        <v>#N/A</v>
      </c>
      <c r="D9050" s="125"/>
    </row>
    <row r="9051">
      <c r="A9051" s="122" t="s">
        <v>34799</v>
      </c>
      <c r="B9051" s="123">
        <v>1411690.0</v>
      </c>
      <c r="C9051" s="687" t="str">
        <f>IFERROR(__xludf.DUMMYFUNCTION("GOOGLEFINANCE(A9051,""name"")"),"#N/A")</f>
        <v>#N/A</v>
      </c>
      <c r="D9051" s="125"/>
    </row>
    <row r="9052">
      <c r="A9052" s="122" t="s">
        <v>34800</v>
      </c>
      <c r="B9052" s="123">
        <v>1845942.0</v>
      </c>
      <c r="C9052" s="687" t="str">
        <f>IFERROR(__xludf.DUMMYFUNCTION("GOOGLEFINANCE(A9052,""name"")"),"#N/A")</f>
        <v>#N/A</v>
      </c>
      <c r="D9052" s="125"/>
    </row>
    <row r="9053">
      <c r="A9053" s="122" t="s">
        <v>34801</v>
      </c>
      <c r="B9053" s="123">
        <v>1852332.0</v>
      </c>
      <c r="C9053" s="687" t="str">
        <f>IFERROR(__xludf.DUMMYFUNCTION("GOOGLEFINANCE(A9053,""name"")"),"#N/A")</f>
        <v>#N/A</v>
      </c>
      <c r="D9053" s="125"/>
    </row>
    <row r="9054">
      <c r="A9054" s="122" t="s">
        <v>34802</v>
      </c>
      <c r="B9054" s="123">
        <v>1852332.0</v>
      </c>
      <c r="C9054" s="687" t="str">
        <f>IFERROR(__xludf.DUMMYFUNCTION("GOOGLEFINANCE(A9054,""name"")"),"#N/A")</f>
        <v>#N/A</v>
      </c>
      <c r="D9054" s="125"/>
    </row>
    <row r="9055">
      <c r="A9055" s="122" t="s">
        <v>34803</v>
      </c>
      <c r="B9055" s="123">
        <v>1852332.0</v>
      </c>
      <c r="C9055" s="687" t="str">
        <f>IFERROR(__xludf.DUMMYFUNCTION("GOOGLEFINANCE(A9055,""name"")"),"#N/A")</f>
        <v>#N/A</v>
      </c>
      <c r="D9055" s="125"/>
    </row>
    <row r="9056">
      <c r="A9056" s="122" t="s">
        <v>34804</v>
      </c>
      <c r="B9056" s="123">
        <v>1877788.0</v>
      </c>
      <c r="C9056" s="687" t="str">
        <f>IFERROR(__xludf.DUMMYFUNCTION("GOOGLEFINANCE(A9056,""name"")"),"#N/A")</f>
        <v>#N/A</v>
      </c>
      <c r="D9056" s="125"/>
    </row>
    <row r="9057">
      <c r="A9057" s="122" t="s">
        <v>34805</v>
      </c>
      <c r="B9057" s="123">
        <v>846546.0</v>
      </c>
      <c r="C9057" s="687" t="str">
        <f>IFERROR(__xludf.DUMMYFUNCTION("GOOGLEFINANCE(A9057,""name"")"),"#N/A")</f>
        <v>#N/A</v>
      </c>
      <c r="D9057" s="125"/>
    </row>
    <row r="9058">
      <c r="A9058" s="122" t="s">
        <v>34806</v>
      </c>
      <c r="B9058" s="123">
        <v>1818089.0</v>
      </c>
      <c r="C9058" s="687" t="str">
        <f>IFERROR(__xludf.DUMMYFUNCTION("GOOGLEFINANCE(A9058,""name"")"),"#N/A")</f>
        <v>#N/A</v>
      </c>
      <c r="D9058" s="125"/>
    </row>
    <row r="9059">
      <c r="A9059" s="122" t="s">
        <v>34807</v>
      </c>
      <c r="B9059" s="123">
        <v>1818089.0</v>
      </c>
      <c r="C9059" s="687" t="str">
        <f>IFERROR(__xludf.DUMMYFUNCTION("GOOGLEFINANCE(A9059,""name"")"),"#N/A")</f>
        <v>#N/A</v>
      </c>
      <c r="D9059" s="125"/>
    </row>
    <row r="9060">
      <c r="A9060" s="122" t="s">
        <v>34808</v>
      </c>
      <c r="B9060" s="123">
        <v>1838544.0</v>
      </c>
      <c r="C9060" s="687" t="str">
        <f>IFERROR(__xludf.DUMMYFUNCTION("GOOGLEFINANCE(A9060,""name"")"),"#N/A")</f>
        <v>#N/A</v>
      </c>
      <c r="D9060" s="125"/>
    </row>
    <row r="9061">
      <c r="A9061" s="122" t="s">
        <v>34809</v>
      </c>
      <c r="B9061" s="123">
        <v>1838544.0</v>
      </c>
      <c r="C9061" s="687" t="str">
        <f>IFERROR(__xludf.DUMMYFUNCTION("GOOGLEFINANCE(A9061,""name"")"),"#N/A")</f>
        <v>#N/A</v>
      </c>
      <c r="D9061" s="125"/>
    </row>
    <row r="9062">
      <c r="A9062" s="122" t="s">
        <v>34810</v>
      </c>
      <c r="B9062" s="123">
        <v>1838544.0</v>
      </c>
      <c r="C9062" s="687" t="str">
        <f>IFERROR(__xludf.DUMMYFUNCTION("GOOGLEFINANCE(A9062,""name"")"),"#N/A")</f>
        <v>#N/A</v>
      </c>
      <c r="D9062" s="125"/>
    </row>
    <row r="9063">
      <c r="A9063" s="122" t="s">
        <v>34811</v>
      </c>
      <c r="B9063" s="123">
        <v>1826889.0</v>
      </c>
      <c r="C9063" s="687" t="str">
        <f>IFERROR(__xludf.DUMMYFUNCTION("GOOGLEFINANCE(A9063,""name"")"),"#N/A")</f>
        <v>#N/A</v>
      </c>
      <c r="D9063" s="125"/>
    </row>
    <row r="9064">
      <c r="A9064" s="122" t="s">
        <v>34812</v>
      </c>
      <c r="B9064" s="123">
        <v>46195.0</v>
      </c>
      <c r="C9064" s="687" t="str">
        <f>IFERROR(__xludf.DUMMYFUNCTION("GOOGLEFINANCE(A9064,""name"")"),"#N/A")</f>
        <v>#N/A</v>
      </c>
      <c r="D9064" s="125"/>
    </row>
    <row r="9065">
      <c r="A9065" s="122" t="s">
        <v>34813</v>
      </c>
      <c r="B9065" s="123">
        <v>1446457.0</v>
      </c>
      <c r="C9065" s="687" t="str">
        <f>IFERROR(__xludf.DUMMYFUNCTION("GOOGLEFINANCE(A9065,""name"")"),"#N/A")</f>
        <v>#N/A</v>
      </c>
      <c r="D9065" s="125"/>
    </row>
    <row r="9066">
      <c r="A9066" s="122" t="s">
        <v>34814</v>
      </c>
      <c r="B9066" s="123">
        <v>1678746.0</v>
      </c>
      <c r="C9066" s="687" t="str">
        <f>IFERROR(__xludf.DUMMYFUNCTION("GOOGLEFINANCE(A9066,""name"")"),"#N/A")</f>
        <v>#N/A</v>
      </c>
      <c r="D9066" s="125"/>
    </row>
    <row r="9067">
      <c r="A9067" s="122" t="s">
        <v>34815</v>
      </c>
      <c r="B9067" s="123">
        <v>1439264.0</v>
      </c>
      <c r="C9067" s="687" t="str">
        <f>IFERROR(__xludf.DUMMYFUNCTION("GOOGLEFINANCE(A9067,""name"")"),"#N/A")</f>
        <v>#N/A</v>
      </c>
      <c r="D9067" s="125"/>
    </row>
    <row r="9068">
      <c r="A9068" s="122" t="s">
        <v>34816</v>
      </c>
      <c r="B9068" s="123">
        <v>1909142.0</v>
      </c>
      <c r="C9068" s="687" t="str">
        <f>IFERROR(__xludf.DUMMYFUNCTION("GOOGLEFINANCE(A9068,""name"")"),"#N/A")</f>
        <v>#N/A</v>
      </c>
      <c r="D9068" s="125"/>
    </row>
    <row r="9069">
      <c r="A9069" s="122" t="s">
        <v>34817</v>
      </c>
      <c r="B9069" s="123">
        <v>1828672.0</v>
      </c>
      <c r="C9069" s="687" t="str">
        <f>IFERROR(__xludf.DUMMYFUNCTION("GOOGLEFINANCE(A9069,""name"")"),"#N/A")</f>
        <v>#N/A</v>
      </c>
      <c r="D9069" s="125"/>
    </row>
    <row r="9070">
      <c r="A9070" s="122" t="s">
        <v>34818</v>
      </c>
      <c r="B9070" s="123">
        <v>1828672.0</v>
      </c>
      <c r="C9070" s="687" t="str">
        <f>IFERROR(__xludf.DUMMYFUNCTION("GOOGLEFINANCE(A9070,""name"")"),"#N/A")</f>
        <v>#N/A</v>
      </c>
      <c r="D9070" s="125"/>
    </row>
    <row r="9071">
      <c r="A9071" s="122" t="s">
        <v>34819</v>
      </c>
      <c r="B9071" s="123">
        <v>1487718.0</v>
      </c>
      <c r="C9071" s="687" t="str">
        <f>IFERROR(__xludf.DUMMYFUNCTION("GOOGLEFINANCE(A9071,""name"")"),"#N/A")</f>
        <v>#N/A</v>
      </c>
      <c r="D9071" s="125"/>
    </row>
    <row r="9072">
      <c r="A9072" s="122" t="s">
        <v>34820</v>
      </c>
      <c r="B9072" s="123">
        <v>1856724.0</v>
      </c>
      <c r="C9072" s="687" t="str">
        <f>IFERROR(__xludf.DUMMYFUNCTION("GOOGLEFINANCE(A9072,""name"")"),"#N/A")</f>
        <v>#N/A</v>
      </c>
      <c r="D9072" s="125"/>
    </row>
    <row r="9073">
      <c r="A9073" s="122" t="s">
        <v>34821</v>
      </c>
      <c r="B9073" s="123">
        <v>1856724.0</v>
      </c>
      <c r="C9073" s="687" t="str">
        <f>IFERROR(__xludf.DUMMYFUNCTION("GOOGLEFINANCE(A9073,""name"")"),"#N/A")</f>
        <v>#N/A</v>
      </c>
      <c r="D9073" s="125"/>
    </row>
    <row r="9074">
      <c r="A9074" s="122" t="s">
        <v>34822</v>
      </c>
      <c r="B9074" s="123">
        <v>1158399.0</v>
      </c>
      <c r="C9074" s="687" t="str">
        <f>IFERROR(__xludf.DUMMYFUNCTION("GOOGLEFINANCE(A9074,""name"")"),"#N/A")</f>
        <v>#N/A</v>
      </c>
      <c r="D9074" s="125"/>
    </row>
    <row r="9075">
      <c r="A9075" s="122" t="s">
        <v>34823</v>
      </c>
      <c r="B9075" s="123">
        <v>1847351.0</v>
      </c>
      <c r="C9075" s="687" t="str">
        <f>IFERROR(__xludf.DUMMYFUNCTION("GOOGLEFINANCE(A9075,""name"")"),"#N/A")</f>
        <v>#N/A</v>
      </c>
      <c r="D9075" s="125"/>
    </row>
    <row r="9076">
      <c r="A9076" s="122" t="s">
        <v>34824</v>
      </c>
      <c r="B9076" s="123">
        <v>1847351.0</v>
      </c>
      <c r="C9076" s="687" t="str">
        <f>IFERROR(__xludf.DUMMYFUNCTION("GOOGLEFINANCE(A9076,""name"")"),"#N/A")</f>
        <v>#N/A</v>
      </c>
      <c r="D9076" s="125"/>
    </row>
    <row r="9077">
      <c r="A9077" s="122" t="s">
        <v>34825</v>
      </c>
      <c r="B9077" s="123">
        <v>1861449.0</v>
      </c>
      <c r="C9077" s="687" t="str">
        <f>IFERROR(__xludf.DUMMYFUNCTION("GOOGLEFINANCE(A9077,""name"")"),"#N/A")</f>
        <v>#N/A</v>
      </c>
      <c r="D9077" s="125"/>
    </row>
    <row r="9078">
      <c r="A9078" s="122" t="s">
        <v>34826</v>
      </c>
      <c r="B9078" s="123">
        <v>1861449.0</v>
      </c>
      <c r="C9078" s="687" t="str">
        <f>IFERROR(__xludf.DUMMYFUNCTION("GOOGLEFINANCE(A9078,""name"")"),"#N/A")</f>
        <v>#N/A</v>
      </c>
      <c r="D9078" s="125"/>
    </row>
    <row r="9079">
      <c r="A9079" s="122" t="s">
        <v>34827</v>
      </c>
      <c r="B9079" s="123">
        <v>1817640.0</v>
      </c>
      <c r="C9079" s="687" t="str">
        <f>IFERROR(__xludf.DUMMYFUNCTION("GOOGLEFINANCE(A9079,""name"")"),"#N/A")</f>
        <v>#N/A</v>
      </c>
      <c r="D9079" s="125"/>
    </row>
    <row r="9080">
      <c r="A9080" s="122" t="s">
        <v>34828</v>
      </c>
      <c r="B9080" s="123">
        <v>1442626.0</v>
      </c>
      <c r="C9080" s="687" t="str">
        <f>IFERROR(__xludf.DUMMYFUNCTION("GOOGLEFINANCE(A9080,""name"")"),"#N/A")</f>
        <v>#N/A</v>
      </c>
      <c r="D9080" s="125"/>
    </row>
    <row r="9081">
      <c r="A9081" s="122" t="s">
        <v>34829</v>
      </c>
      <c r="B9081" s="123">
        <v>1442626.0</v>
      </c>
      <c r="C9081" s="687" t="str">
        <f>IFERROR(__xludf.DUMMYFUNCTION("GOOGLEFINANCE(A9081,""name"")"),"#N/A")</f>
        <v>#N/A</v>
      </c>
      <c r="D9081" s="125"/>
    </row>
    <row r="9082">
      <c r="A9082" s="122" t="s">
        <v>34830</v>
      </c>
      <c r="B9082" s="123">
        <v>1844211.0</v>
      </c>
      <c r="C9082" s="687" t="str">
        <f>IFERROR(__xludf.DUMMYFUNCTION("GOOGLEFINANCE(A9082,""name"")"),"#N/A")</f>
        <v>#N/A</v>
      </c>
      <c r="D9082" s="125"/>
    </row>
    <row r="9083">
      <c r="A9083" s="122" t="s">
        <v>34831</v>
      </c>
      <c r="B9083" s="123">
        <v>1844211.0</v>
      </c>
      <c r="C9083" s="687" t="str">
        <f>IFERROR(__xludf.DUMMYFUNCTION("GOOGLEFINANCE(A9083,""name"")"),"#N/A")</f>
        <v>#N/A</v>
      </c>
      <c r="D9083" s="125"/>
    </row>
    <row r="9084">
      <c r="A9084" s="122" t="s">
        <v>34832</v>
      </c>
      <c r="B9084" s="123">
        <v>1844211.0</v>
      </c>
      <c r="C9084" s="687" t="str">
        <f>IFERROR(__xludf.DUMMYFUNCTION("GOOGLEFINANCE(A9084,""name"")"),"#N/A")</f>
        <v>#N/A</v>
      </c>
      <c r="D9084" s="125"/>
    </row>
    <row r="9085">
      <c r="A9085" s="122" t="s">
        <v>34833</v>
      </c>
      <c r="B9085" s="123">
        <v>1067983.0</v>
      </c>
      <c r="C9085" s="687" t="str">
        <f>IFERROR(__xludf.DUMMYFUNCTION("GOOGLEFINANCE(A9085,""name"")"),"#N/A")</f>
        <v>#N/A</v>
      </c>
      <c r="D9085" s="125"/>
    </row>
    <row r="9086">
      <c r="A9086" s="122" t="s">
        <v>34834</v>
      </c>
      <c r="B9086" s="123">
        <v>1067983.0</v>
      </c>
      <c r="C9086" s="687" t="str">
        <f>IFERROR(__xludf.DUMMYFUNCTION("GOOGLEFINANCE(A9086,""name"")"),"#N/A")</f>
        <v>#N/A</v>
      </c>
      <c r="D9086" s="125"/>
    </row>
    <row r="9087">
      <c r="A9087" s="122" t="s">
        <v>34835</v>
      </c>
      <c r="B9087" s="123">
        <v>1787518.0</v>
      </c>
      <c r="C9087" s="687" t="str">
        <f>IFERROR(__xludf.DUMMYFUNCTION("GOOGLEFINANCE(A9087,""name"")"),"#N/A")</f>
        <v>#N/A</v>
      </c>
      <c r="D9087" s="125"/>
    </row>
    <row r="9088">
      <c r="A9088" s="122" t="s">
        <v>34836</v>
      </c>
      <c r="B9088" s="123">
        <v>1787518.0</v>
      </c>
      <c r="C9088" s="687" t="str">
        <f>IFERROR(__xludf.DUMMYFUNCTION("GOOGLEFINANCE(A9088,""name"")"),"#N/A")</f>
        <v>#N/A</v>
      </c>
      <c r="D9088" s="125"/>
    </row>
    <row r="9089">
      <c r="A9089" s="122" t="s">
        <v>34837</v>
      </c>
      <c r="B9089" s="123">
        <v>1784797.0</v>
      </c>
      <c r="C9089" s="687" t="str">
        <f>IFERROR(__xludf.DUMMYFUNCTION("GOOGLEFINANCE(A9089,""name"")"),"#N/A")</f>
        <v>#N/A</v>
      </c>
      <c r="D9089" s="125"/>
    </row>
    <row r="9090">
      <c r="A9090" s="122" t="s">
        <v>34838</v>
      </c>
      <c r="B9090" s="123">
        <v>1784797.0</v>
      </c>
      <c r="C9090" s="687" t="str">
        <f>IFERROR(__xludf.DUMMYFUNCTION("GOOGLEFINANCE(A9090,""name"")"),"#N/A")</f>
        <v>#N/A</v>
      </c>
      <c r="D9090" s="125"/>
    </row>
    <row r="9091">
      <c r="A9091" s="122" t="s">
        <v>34839</v>
      </c>
      <c r="B9091" s="123">
        <v>1851651.0</v>
      </c>
      <c r="C9091" s="687" t="str">
        <f>IFERROR(__xludf.DUMMYFUNCTION("GOOGLEFINANCE(A9091,""name"")"),"#N/A")</f>
        <v>#N/A</v>
      </c>
      <c r="D9091" s="125"/>
    </row>
    <row r="9092">
      <c r="A9092" s="122" t="s">
        <v>34840</v>
      </c>
      <c r="B9092" s="123">
        <v>1774983.0</v>
      </c>
      <c r="C9092" s="687" t="str">
        <f>IFERROR(__xludf.DUMMYFUNCTION("GOOGLEFINANCE(A9092,""name"")"),"#N/A")</f>
        <v>#N/A</v>
      </c>
      <c r="D9092" s="125"/>
    </row>
    <row r="9093">
      <c r="A9093" s="122" t="s">
        <v>34841</v>
      </c>
      <c r="B9093" s="123">
        <v>1650575.0</v>
      </c>
      <c r="C9093" s="687" t="str">
        <f>IFERROR(__xludf.DUMMYFUNCTION("GOOGLEFINANCE(A9093,""name"")"),"#N/A")</f>
        <v>#N/A</v>
      </c>
      <c r="D9093" s="125"/>
    </row>
    <row r="9094">
      <c r="A9094" s="122" t="s">
        <v>34842</v>
      </c>
      <c r="B9094" s="123">
        <v>1851908.0</v>
      </c>
      <c r="C9094" s="687" t="str">
        <f>IFERROR(__xludf.DUMMYFUNCTION("GOOGLEFINANCE(A9094,""name"")"),"#N/A")</f>
        <v>#N/A</v>
      </c>
      <c r="D9094" s="125"/>
    </row>
    <row r="9095">
      <c r="A9095" s="122" t="s">
        <v>34843</v>
      </c>
      <c r="B9095" s="123">
        <v>1724001.0</v>
      </c>
      <c r="C9095" s="687" t="str">
        <f>IFERROR(__xludf.DUMMYFUNCTION("GOOGLEFINANCE(A9095,""name"")"),"#N/A")</f>
        <v>#N/A</v>
      </c>
      <c r="D9095" s="125"/>
    </row>
    <row r="9096">
      <c r="A9096" s="122" t="s">
        <v>34844</v>
      </c>
      <c r="B9096" s="123">
        <v>1853084.0</v>
      </c>
      <c r="C9096" s="687" t="str">
        <f>IFERROR(__xludf.DUMMYFUNCTION("GOOGLEFINANCE(A9096,""name"")"),"#N/A")</f>
        <v>#N/A</v>
      </c>
      <c r="D9096" s="125"/>
    </row>
    <row r="9097">
      <c r="A9097" s="122" t="s">
        <v>34845</v>
      </c>
      <c r="B9097" s="123">
        <v>1853084.0</v>
      </c>
      <c r="C9097" s="687" t="str">
        <f>IFERROR(__xludf.DUMMYFUNCTION("GOOGLEFINANCE(A9097,""name"")"),"#N/A")</f>
        <v>#N/A</v>
      </c>
      <c r="D9097" s="125"/>
    </row>
    <row r="9098">
      <c r="A9098" s="122" t="s">
        <v>34846</v>
      </c>
      <c r="B9098" s="123">
        <v>1853084.0</v>
      </c>
      <c r="C9098" s="687" t="str">
        <f>IFERROR(__xludf.DUMMYFUNCTION("GOOGLEFINANCE(A9098,""name"")"),"#N/A")</f>
        <v>#N/A</v>
      </c>
      <c r="D9098" s="125"/>
    </row>
    <row r="9099">
      <c r="A9099" s="122" t="s">
        <v>34847</v>
      </c>
      <c r="B9099" s="123">
        <v>1846804.0</v>
      </c>
      <c r="C9099" s="687" t="str">
        <f>IFERROR(__xludf.DUMMYFUNCTION("GOOGLEFINANCE(A9099,""name"")"),"Blusky Carbon Inc")</f>
        <v>Blusky Carbon Inc</v>
      </c>
      <c r="D9099" s="125"/>
    </row>
    <row r="9100">
      <c r="A9100" s="122" t="s">
        <v>34848</v>
      </c>
      <c r="B9100" s="123">
        <v>1846804.0</v>
      </c>
      <c r="C9100" s="687" t="str">
        <f>IFERROR(__xludf.DUMMYFUNCTION("GOOGLEFINANCE(A9100,""name"")"),"#N/A")</f>
        <v>#N/A</v>
      </c>
      <c r="D9100" s="125"/>
    </row>
    <row r="9101">
      <c r="A9101" s="122" t="s">
        <v>34849</v>
      </c>
      <c r="B9101" s="123">
        <v>1846804.0</v>
      </c>
      <c r="C9101" s="687" t="str">
        <f>IFERROR(__xludf.DUMMYFUNCTION("GOOGLEFINANCE(A9101,""name"")"),"#N/A")</f>
        <v>#N/A</v>
      </c>
      <c r="D9101" s="125"/>
    </row>
    <row r="9102">
      <c r="A9102" s="122" t="s">
        <v>34850</v>
      </c>
      <c r="B9102" s="123">
        <v>1698287.0</v>
      </c>
      <c r="C9102" s="687" t="str">
        <f>IFERROR(__xludf.DUMMYFUNCTION("GOOGLEFINANCE(A9102,""name"")"),"#N/A")</f>
        <v>#N/A</v>
      </c>
      <c r="D9102" s="125"/>
    </row>
    <row r="9103">
      <c r="A9103" s="122" t="s">
        <v>34851</v>
      </c>
      <c r="B9103" s="123">
        <v>1054721.0</v>
      </c>
      <c r="C9103" s="687" t="str">
        <f>IFERROR(__xludf.DUMMYFUNCTION("GOOGLEFINANCE(A9103,""name"")"),"#N/A")</f>
        <v>#N/A</v>
      </c>
      <c r="D9103" s="125"/>
    </row>
    <row r="9104">
      <c r="A9104" s="122" t="s">
        <v>34852</v>
      </c>
      <c r="B9104" s="123">
        <v>1563665.0</v>
      </c>
      <c r="C9104" s="687" t="str">
        <f>IFERROR(__xludf.DUMMYFUNCTION("GOOGLEFINANCE(A9104,""name"")"),"#N/A")</f>
        <v>#N/A</v>
      </c>
      <c r="D9104" s="125"/>
    </row>
    <row r="9105">
      <c r="A9105" s="122" t="s">
        <v>34853</v>
      </c>
      <c r="B9105" s="123">
        <v>885725.0</v>
      </c>
      <c r="C9105" s="687" t="str">
        <f>IFERROR(__xludf.DUMMYFUNCTION("GOOGLEFINANCE(A9105,""name"")"),"#N/A")</f>
        <v>#N/A</v>
      </c>
      <c r="D9105" s="125"/>
    </row>
    <row r="9106">
      <c r="A9106" s="122" t="s">
        <v>34854</v>
      </c>
      <c r="B9106" s="123">
        <v>1543268.0</v>
      </c>
      <c r="C9106" s="687" t="str">
        <f>IFERROR(__xludf.DUMMYFUNCTION("GOOGLEFINANCE(A9106,""name"")"),"#N/A")</f>
        <v>#N/A</v>
      </c>
      <c r="D9106" s="125"/>
    </row>
    <row r="9107">
      <c r="A9107" s="122" t="s">
        <v>34855</v>
      </c>
      <c r="B9107" s="123">
        <v>1279495.0</v>
      </c>
      <c r="C9107" s="687" t="str">
        <f>IFERROR(__xludf.DUMMYFUNCTION("GOOGLEFINANCE(A9107,""name"")"),"#N/A")</f>
        <v>#N/A</v>
      </c>
      <c r="D9107" s="125"/>
    </row>
    <row r="9108">
      <c r="A9108" s="122" t="s">
        <v>34856</v>
      </c>
      <c r="B9108" s="123">
        <v>1622231.0</v>
      </c>
      <c r="C9108" s="687" t="str">
        <f>IFERROR(__xludf.DUMMYFUNCTION("GOOGLEFINANCE(A9108,""name"")"),"Million Health Technology Inc")</f>
        <v>Million Health Technology Inc</v>
      </c>
      <c r="D9108" s="125"/>
    </row>
    <row r="9109">
      <c r="A9109" s="122" t="s">
        <v>34857</v>
      </c>
      <c r="B9109" s="123">
        <v>1819253.0</v>
      </c>
      <c r="C9109" s="687" t="str">
        <f>IFERROR(__xludf.DUMMYFUNCTION("GOOGLEFINANCE(A9109,""name"")"),"#N/A")</f>
        <v>#N/A</v>
      </c>
      <c r="D9109" s="125"/>
    </row>
    <row r="9110">
      <c r="A9110" s="122" t="s">
        <v>34858</v>
      </c>
      <c r="B9110" s="123">
        <v>1844028.0</v>
      </c>
      <c r="C9110" s="687" t="str">
        <f>IFERROR(__xludf.DUMMYFUNCTION("GOOGLEFINANCE(A9110,""name"")"),"#N/A")</f>
        <v>#N/A</v>
      </c>
      <c r="D9110" s="125"/>
    </row>
    <row r="9111">
      <c r="A9111" s="122" t="s">
        <v>34859</v>
      </c>
      <c r="B9111" s="123">
        <v>1774155.0</v>
      </c>
      <c r="C9111" s="687" t="str">
        <f>IFERROR(__xludf.DUMMYFUNCTION("GOOGLEFINANCE(A9111,""name"")"),"#N/A")</f>
        <v>#N/A</v>
      </c>
      <c r="D9111" s="125"/>
    </row>
    <row r="9112">
      <c r="A9112" s="122" t="s">
        <v>34860</v>
      </c>
      <c r="B9112" s="123">
        <v>1709385.0</v>
      </c>
      <c r="C9112" s="687" t="str">
        <f>IFERROR(__xludf.DUMMYFUNCTION("GOOGLEFINANCE(A9112,""name"")"),"#N/A")</f>
        <v>#N/A</v>
      </c>
      <c r="D9112" s="125"/>
    </row>
    <row r="9113">
      <c r="A9113" s="122" t="s">
        <v>34861</v>
      </c>
      <c r="B9113" s="123">
        <v>1857971.0</v>
      </c>
      <c r="C9113" s="687" t="str">
        <f>IFERROR(__xludf.DUMMYFUNCTION("GOOGLEFINANCE(A9113,""name"")"),"#N/A")</f>
        <v>#N/A</v>
      </c>
      <c r="D9113" s="125"/>
    </row>
    <row r="9114">
      <c r="A9114" s="122" t="s">
        <v>34862</v>
      </c>
      <c r="B9114" s="123">
        <v>1846599.0</v>
      </c>
      <c r="C9114" s="687" t="str">
        <f>IFERROR(__xludf.DUMMYFUNCTION("GOOGLEFINANCE(A9114,""name"")"),"#N/A")</f>
        <v>#N/A</v>
      </c>
      <c r="D9114" s="125"/>
    </row>
    <row r="9115">
      <c r="A9115" s="122" t="s">
        <v>34863</v>
      </c>
      <c r="B9115" s="123">
        <v>1815086.0</v>
      </c>
      <c r="C9115" s="687" t="str">
        <f>IFERROR(__xludf.DUMMYFUNCTION("GOOGLEFINANCE(A9115,""name"")"),"#N/A")</f>
        <v>#N/A</v>
      </c>
      <c r="D9115" s="125"/>
    </row>
    <row r="9116">
      <c r="A9116" s="122" t="s">
        <v>34864</v>
      </c>
      <c r="B9116" s="123">
        <v>1815086.0</v>
      </c>
      <c r="C9116" s="687" t="str">
        <f>IFERROR(__xludf.DUMMYFUNCTION("GOOGLEFINANCE(A9116,""name"")"),"#N/A")</f>
        <v>#N/A</v>
      </c>
      <c r="D9116" s="125"/>
    </row>
    <row r="9117">
      <c r="A9117" s="122" t="s">
        <v>34865</v>
      </c>
      <c r="B9117" s="123">
        <v>1815086.0</v>
      </c>
      <c r="C9117" s="687" t="str">
        <f>IFERROR(__xludf.DUMMYFUNCTION("GOOGLEFINANCE(A9117,""name"")"),"#N/A")</f>
        <v>#N/A</v>
      </c>
      <c r="D9117" s="125"/>
    </row>
    <row r="9118">
      <c r="A9118" s="122" t="s">
        <v>34866</v>
      </c>
      <c r="B9118" s="123">
        <v>927971.0</v>
      </c>
      <c r="C9118" s="687" t="str">
        <f>IFERROR(__xludf.DUMMYFUNCTION("GOOGLEFINANCE(A9118,""name"")"),"Bank of Montreal MicroSectors FANG Innovation 3x Leveraged ETN")</f>
        <v>Bank of Montreal MicroSectors FANG Innovation 3x Leveraged ETN</v>
      </c>
      <c r="D9118" s="125"/>
    </row>
    <row r="9119">
      <c r="A9119" s="122" t="s">
        <v>34867</v>
      </c>
      <c r="B9119" s="123">
        <v>1611747.0</v>
      </c>
      <c r="C9119" s="687" t="str">
        <f>IFERROR(__xludf.DUMMYFUNCTION("GOOGLEFINANCE(A9119,""name"")"),"#N/A")</f>
        <v>#N/A</v>
      </c>
      <c r="D9119" s="125"/>
    </row>
    <row r="9120">
      <c r="A9120" s="122" t="s">
        <v>34868</v>
      </c>
      <c r="B9120" s="123">
        <v>1630805.0</v>
      </c>
      <c r="C9120" s="687" t="str">
        <f>IFERROR(__xludf.DUMMYFUNCTION("GOOGLEFINANCE(A9120,""name"")"),"#N/A")</f>
        <v>#N/A</v>
      </c>
      <c r="D9120" s="125"/>
    </row>
    <row r="9121">
      <c r="A9121" s="122" t="s">
        <v>34869</v>
      </c>
      <c r="B9121" s="123">
        <v>1821146.0</v>
      </c>
      <c r="C9121" s="687" t="str">
        <f>IFERROR(__xludf.DUMMYFUNCTION("GOOGLEFINANCE(A9121,""name"")"),"#N/A")</f>
        <v>#N/A</v>
      </c>
      <c r="D9121" s="125"/>
    </row>
    <row r="9122">
      <c r="A9122" s="122" t="s">
        <v>34870</v>
      </c>
      <c r="B9122" s="123">
        <v>1821146.0</v>
      </c>
      <c r="C9122" s="687" t="str">
        <f>IFERROR(__xludf.DUMMYFUNCTION("GOOGLEFINANCE(A9122,""name"")"),"#N/A")</f>
        <v>#N/A</v>
      </c>
      <c r="D9122" s="125"/>
    </row>
    <row r="9123">
      <c r="A9123" s="122" t="s">
        <v>34871</v>
      </c>
      <c r="B9123" s="123">
        <v>1878074.0</v>
      </c>
      <c r="C9123" s="687" t="str">
        <f>IFERROR(__xludf.DUMMYFUNCTION("GOOGLEFINANCE(A9123,""name"")"),"#N/A")</f>
        <v>#N/A</v>
      </c>
      <c r="D9123" s="125"/>
    </row>
    <row r="9124">
      <c r="A9124" s="122" t="s">
        <v>34872</v>
      </c>
      <c r="B9124" s="123">
        <v>1854863.0</v>
      </c>
      <c r="C9124" s="687" t="str">
        <f>IFERROR(__xludf.DUMMYFUNCTION("GOOGLEFINANCE(A9124,""name"")"),"#N/A")</f>
        <v>#N/A</v>
      </c>
      <c r="D9124" s="125"/>
    </row>
    <row r="9125">
      <c r="A9125" s="122" t="s">
        <v>34873</v>
      </c>
      <c r="B9125" s="123">
        <v>1854863.0</v>
      </c>
      <c r="C9125" s="687" t="str">
        <f>IFERROR(__xludf.DUMMYFUNCTION("GOOGLEFINANCE(A9125,""name"")"),"#N/A")</f>
        <v>#N/A</v>
      </c>
      <c r="D9125" s="125"/>
    </row>
    <row r="9126">
      <c r="A9126" s="122" t="s">
        <v>34874</v>
      </c>
      <c r="B9126" s="123">
        <v>1782107.0</v>
      </c>
      <c r="C9126" s="687" t="str">
        <f>IFERROR(__xludf.DUMMYFUNCTION("GOOGLEFINANCE(A9126,""name"")"),"#N/A")</f>
        <v>#N/A</v>
      </c>
      <c r="D9126" s="125"/>
    </row>
    <row r="9127">
      <c r="A9127" s="122" t="s">
        <v>34875</v>
      </c>
      <c r="B9127" s="123">
        <v>1680689.0</v>
      </c>
      <c r="C9127" s="687" t="str">
        <f>IFERROR(__xludf.DUMMYFUNCTION("GOOGLEFINANCE(A9127,""name"")"),"#N/A")</f>
        <v>#N/A</v>
      </c>
      <c r="D9127" s="125"/>
    </row>
    <row r="9128">
      <c r="A9128" s="122" t="s">
        <v>34876</v>
      </c>
      <c r="B9128" s="123">
        <v>1852633.0</v>
      </c>
      <c r="C9128" s="687" t="str">
        <f>IFERROR(__xludf.DUMMYFUNCTION("GOOGLEFINANCE(A9128,""name"")"),"#N/A")</f>
        <v>#N/A</v>
      </c>
      <c r="D9128" s="125"/>
    </row>
    <row r="9129">
      <c r="A9129" s="122" t="s">
        <v>34877</v>
      </c>
      <c r="B9129" s="123">
        <v>1852633.0</v>
      </c>
      <c r="C9129" s="687" t="str">
        <f>IFERROR(__xludf.DUMMYFUNCTION("GOOGLEFINANCE(A9129,""name"")"),"#N/A")</f>
        <v>#N/A</v>
      </c>
      <c r="D9129" s="125"/>
    </row>
    <row r="9130">
      <c r="A9130" s="122" t="s">
        <v>34878</v>
      </c>
      <c r="B9130" s="123">
        <v>1842566.0</v>
      </c>
      <c r="C9130" s="687" t="str">
        <f>IFERROR(__xludf.DUMMYFUNCTION("GOOGLEFINANCE(A9130,""name"")"),"#N/A")</f>
        <v>#N/A</v>
      </c>
      <c r="D9130" s="125"/>
    </row>
    <row r="9131">
      <c r="A9131" s="122" t="s">
        <v>34879</v>
      </c>
      <c r="B9131" s="123">
        <v>1842566.0</v>
      </c>
      <c r="C9131" s="687" t="str">
        <f>IFERROR(__xludf.DUMMYFUNCTION("GOOGLEFINANCE(A9131,""name"")"),"#N/A")</f>
        <v>#N/A</v>
      </c>
      <c r="D9131" s="125"/>
    </row>
    <row r="9132">
      <c r="A9132" s="122" t="s">
        <v>34880</v>
      </c>
      <c r="B9132" s="123">
        <v>831001.0</v>
      </c>
      <c r="C9132" s="687" t="str">
        <f>IFERROR(__xludf.DUMMYFUNCTION("GOOGLEFINANCE(A9132,""name"")"),"#N/A")</f>
        <v>#N/A</v>
      </c>
      <c r="D9132" s="125"/>
    </row>
    <row r="9133">
      <c r="A9133" s="122" t="s">
        <v>34881</v>
      </c>
      <c r="B9133" s="123">
        <v>831001.0</v>
      </c>
      <c r="C9133" s="687" t="str">
        <f>IFERROR(__xludf.DUMMYFUNCTION("GOOGLEFINANCE(A9133,""name"")"),"#N/A")</f>
        <v>#N/A</v>
      </c>
      <c r="D9133" s="125"/>
    </row>
    <row r="9134">
      <c r="A9134" s="122" t="s">
        <v>34882</v>
      </c>
      <c r="B9134" s="123">
        <v>831001.0</v>
      </c>
      <c r="C9134" s="687" t="str">
        <f>IFERROR(__xludf.DUMMYFUNCTION("GOOGLEFINANCE(A9134,""name"")"),"#N/A")</f>
        <v>#N/A</v>
      </c>
      <c r="D9134" s="125"/>
    </row>
    <row r="9135">
      <c r="A9135" s="122" t="s">
        <v>34883</v>
      </c>
      <c r="B9135" s="123">
        <v>1678124.0</v>
      </c>
      <c r="C9135" s="687" t="str">
        <f>IFERROR(__xludf.DUMMYFUNCTION("GOOGLEFINANCE(A9135,""name"")"),"#N/A")</f>
        <v>#N/A</v>
      </c>
      <c r="D9135" s="125"/>
    </row>
    <row r="9136">
      <c r="A9136" s="122" t="s">
        <v>34884</v>
      </c>
      <c r="B9136" s="123">
        <v>1299939.0</v>
      </c>
      <c r="C9136" s="687" t="str">
        <f>IFERROR(__xludf.DUMMYFUNCTION("GOOGLEFINANCE(A9136,""name"")"),"#N/A")</f>
        <v>#N/A</v>
      </c>
      <c r="D9136" s="125"/>
    </row>
    <row r="9137">
      <c r="A9137" s="122" t="s">
        <v>34885</v>
      </c>
      <c r="B9137" s="123">
        <v>16988.0</v>
      </c>
      <c r="C9137" s="687" t="str">
        <f>IFERROR(__xludf.DUMMYFUNCTION("GOOGLEFINANCE(A9137,""name"")"),"Canon Inc")</f>
        <v>Canon Inc</v>
      </c>
      <c r="D9137" s="125"/>
    </row>
    <row r="9138">
      <c r="A9138" s="122" t="s">
        <v>34886</v>
      </c>
      <c r="B9138" s="123">
        <v>1843080.0</v>
      </c>
      <c r="C9138" s="687" t="str">
        <f>IFERROR(__xludf.DUMMYFUNCTION("GOOGLEFINANCE(A9138,""name"")"),"#N/A")</f>
        <v>#N/A</v>
      </c>
      <c r="D9138" s="125"/>
    </row>
    <row r="9139">
      <c r="A9139" s="122" t="s">
        <v>34887</v>
      </c>
      <c r="B9139" s="123">
        <v>1725123.0</v>
      </c>
      <c r="C9139" s="687" t="str">
        <f>IFERROR(__xludf.DUMMYFUNCTION("GOOGLEFINANCE(A9139,""name"")"),"Cango Inc - ADR")</f>
        <v>Cango Inc - ADR</v>
      </c>
      <c r="D9139" s="125"/>
    </row>
    <row r="9140">
      <c r="A9140" s="122" t="s">
        <v>34888</v>
      </c>
      <c r="B9140" s="123">
        <v>1800682.0</v>
      </c>
      <c r="C9140" s="687" t="str">
        <f>IFERROR(__xludf.DUMMYFUNCTION("GOOGLEFINANCE(A9140,""name"")"),"#N/A")</f>
        <v>#N/A</v>
      </c>
      <c r="D9140" s="125"/>
    </row>
    <row r="9141">
      <c r="A9141" s="122" t="s">
        <v>34889</v>
      </c>
      <c r="B9141" s="123">
        <v>1845149.0</v>
      </c>
      <c r="C9141" s="687" t="str">
        <f>IFERROR(__xludf.DUMMYFUNCTION("GOOGLEFINANCE(A9141,""name"")"),"#N/A")</f>
        <v>#N/A</v>
      </c>
      <c r="D9141" s="125"/>
    </row>
    <row r="9142">
      <c r="A9142" s="122" t="s">
        <v>34890</v>
      </c>
      <c r="B9142" s="123">
        <v>1473844.0</v>
      </c>
      <c r="C9142" s="687" t="str">
        <f>IFERROR(__xludf.DUMMYFUNCTION("GOOGLEFINANCE(A9142,""name"")"),"Cboe Bitcoin U.S. ETF Index")</f>
        <v>Cboe Bitcoin U.S. ETF Index</v>
      </c>
      <c r="D9142" s="125"/>
    </row>
    <row r="9143">
      <c r="A9143" s="122" t="s">
        <v>34891</v>
      </c>
      <c r="B9143" s="123">
        <v>1846968.0</v>
      </c>
      <c r="C9143" s="687" t="str">
        <f>IFERROR(__xludf.DUMMYFUNCTION("GOOGLEFINANCE(A9143,""name"")"),"#N/A")</f>
        <v>#N/A</v>
      </c>
      <c r="D9143" s="125"/>
    </row>
    <row r="9144">
      <c r="A9144" s="122" t="s">
        <v>34892</v>
      </c>
      <c r="B9144" s="123">
        <v>1846968.0</v>
      </c>
      <c r="C9144" s="687" t="str">
        <f>IFERROR(__xludf.DUMMYFUNCTION("GOOGLEFINANCE(A9144,""name"")"),"#N/A")</f>
        <v>#N/A</v>
      </c>
      <c r="D9144" s="125"/>
    </row>
    <row r="9145">
      <c r="A9145" s="122" t="s">
        <v>34893</v>
      </c>
      <c r="B9145" s="123">
        <v>1846968.0</v>
      </c>
      <c r="C9145" s="687" t="str">
        <f>IFERROR(__xludf.DUMMYFUNCTION("GOOGLEFINANCE(A9145,""name"")"),"#N/A")</f>
        <v>#N/A</v>
      </c>
      <c r="D9145" s="125"/>
    </row>
    <row r="9146">
      <c r="A9146" s="122" t="s">
        <v>34894</v>
      </c>
      <c r="B9146" s="123">
        <v>830524.0</v>
      </c>
      <c r="C9146" s="687" t="str">
        <f>IFERROR(__xludf.DUMMYFUNCTION("GOOGLEFINANCE(A9146,""name"")"),"#N/A")</f>
        <v>#N/A</v>
      </c>
      <c r="D9146" s="125"/>
    </row>
    <row r="9147">
      <c r="A9147" s="122" t="s">
        <v>34895</v>
      </c>
      <c r="B9147" s="123">
        <v>1776738.0</v>
      </c>
      <c r="C9147" s="687" t="str">
        <f>IFERROR(__xludf.DUMMYFUNCTION("GOOGLEFINANCE(A9147,""name"")"),"#N/A")</f>
        <v>#N/A</v>
      </c>
      <c r="D9147" s="125"/>
    </row>
    <row r="9148">
      <c r="A9148" s="122" t="s">
        <v>34896</v>
      </c>
      <c r="B9148" s="123">
        <v>1735964.0</v>
      </c>
      <c r="C9148" s="687" t="str">
        <f>IFERROR(__xludf.DUMMYFUNCTION("GOOGLEFINANCE(A9148,""name"")"),"#N/A")</f>
        <v>#N/A</v>
      </c>
      <c r="D9148" s="125"/>
    </row>
    <row r="9149">
      <c r="A9149" s="122" t="s">
        <v>34897</v>
      </c>
      <c r="B9149" s="123">
        <v>1641398.0</v>
      </c>
      <c r="C9149" s="687" t="str">
        <f>IFERROR(__xludf.DUMMYFUNCTION("GOOGLEFINANCE(A9149,""name"")"),"#N/A")</f>
        <v>#N/A</v>
      </c>
      <c r="D9149" s="125"/>
    </row>
    <row r="9150">
      <c r="A9150" s="122" t="s">
        <v>34898</v>
      </c>
      <c r="B9150" s="123">
        <v>1445109.0</v>
      </c>
      <c r="C9150" s="687" t="str">
        <f>IFERROR(__xludf.DUMMYFUNCTION("GOOGLEFINANCE(A9150,""name"")"),"Catalyst Crew Technologies Corp")</f>
        <v>Catalyst Crew Technologies Corp</v>
      </c>
      <c r="D9150" s="125"/>
    </row>
    <row r="9151">
      <c r="A9151" s="122" t="s">
        <v>34899</v>
      </c>
      <c r="B9151" s="123">
        <v>1812234.0</v>
      </c>
      <c r="C9151" s="687" t="str">
        <f>IFERROR(__xludf.DUMMYFUNCTION("GOOGLEFINANCE(A9151,""name"")"),"#N/A")</f>
        <v>#N/A</v>
      </c>
      <c r="D9151" s="125"/>
    </row>
    <row r="9152">
      <c r="A9152" s="122" t="s">
        <v>34900</v>
      </c>
      <c r="B9152" s="123">
        <v>1812234.0</v>
      </c>
      <c r="C9152" s="687" t="str">
        <f>IFERROR(__xludf.DUMMYFUNCTION("GOOGLEFINANCE(A9152,""name"")"),"#N/A")</f>
        <v>#N/A</v>
      </c>
      <c r="D9152" s="125"/>
    </row>
    <row r="9153">
      <c r="A9153" s="122" t="s">
        <v>34901</v>
      </c>
      <c r="B9153" s="123">
        <v>1828250.0</v>
      </c>
      <c r="C9153" s="687" t="str">
        <f>IFERROR(__xludf.DUMMYFUNCTION("GOOGLEFINANCE(A9153,""name"")"),"#N/A")</f>
        <v>#N/A</v>
      </c>
      <c r="D9153" s="125"/>
    </row>
    <row r="9154">
      <c r="A9154" s="122" t="s">
        <v>34902</v>
      </c>
      <c r="B9154" s="123">
        <v>1828250.0</v>
      </c>
      <c r="C9154" s="687" t="str">
        <f>IFERROR(__xludf.DUMMYFUNCTION("GOOGLEFINANCE(A9154,""name"")"),"#N/A")</f>
        <v>#N/A</v>
      </c>
      <c r="D9154" s="125"/>
    </row>
    <row r="9155">
      <c r="A9155" s="122" t="s">
        <v>34903</v>
      </c>
      <c r="B9155" s="123">
        <v>1828250.0</v>
      </c>
      <c r="C9155" s="687" t="str">
        <f>IFERROR(__xludf.DUMMYFUNCTION("GOOGLEFINANCE(A9155,""name"")"),"#N/A")</f>
        <v>#N/A</v>
      </c>
      <c r="D9155" s="125"/>
    </row>
    <row r="9156">
      <c r="A9156" s="122" t="s">
        <v>34904</v>
      </c>
      <c r="B9156" s="123">
        <v>1340652.0</v>
      </c>
      <c r="C9156" s="687" t="str">
        <f>IFERROR(__xludf.DUMMYFUNCTION("GOOGLEFINANCE(A9156,""name"")"),"#N/A")</f>
        <v>#N/A</v>
      </c>
      <c r="D9156" s="125"/>
    </row>
    <row r="9157">
      <c r="A9157" s="122" t="s">
        <v>34905</v>
      </c>
      <c r="B9157" s="123">
        <v>1659352.0</v>
      </c>
      <c r="C9157" s="687" t="str">
        <f>IFERROR(__xludf.DUMMYFUNCTION("GOOGLEFINANCE(A9157,""name"")"),"DAX MIDSMALL CAP GR EO")</f>
        <v>DAX MIDSMALL CAP GR EO</v>
      </c>
      <c r="D9157" s="125"/>
    </row>
    <row r="9158">
      <c r="A9158" s="122" t="s">
        <v>34906</v>
      </c>
      <c r="B9158" s="123">
        <v>1851909.0</v>
      </c>
      <c r="C9158" s="687" t="str">
        <f>IFERROR(__xludf.DUMMYFUNCTION("GOOGLEFINANCE(A9158,""name"")"),"#N/A")</f>
        <v>#N/A</v>
      </c>
      <c r="D9158" s="125"/>
    </row>
    <row r="9159">
      <c r="A9159" s="122" t="s">
        <v>34907</v>
      </c>
      <c r="B9159" s="123">
        <v>1725057.0</v>
      </c>
      <c r="C9159" s="687" t="str">
        <f>IFERROR(__xludf.DUMMYFUNCTION("GOOGLEFINANCE(A9159,""name"")"),"#N/A")</f>
        <v>#N/A</v>
      </c>
      <c r="D9159" s="125"/>
    </row>
    <row r="9160">
      <c r="A9160" s="122" t="s">
        <v>34908</v>
      </c>
      <c r="B9160" s="123">
        <v>1545634.0</v>
      </c>
      <c r="C9160" s="687" t="str">
        <f>IFERROR(__xludf.DUMMYFUNCTION("GOOGLEFINANCE(A9160,""name"")"),"Cordoba Minerals Corp")</f>
        <v>Cordoba Minerals Corp</v>
      </c>
      <c r="D9160" s="125"/>
    </row>
    <row r="9161">
      <c r="A9161" s="122" t="s">
        <v>34909</v>
      </c>
      <c r="B9161" s="123">
        <v>811222.0</v>
      </c>
      <c r="C9161" s="687" t="str">
        <f>IFERROR(__xludf.DUMMYFUNCTION("GOOGLEFINANCE(A9161,""name"")"),"Cardiff Lexington Corp")</f>
        <v>Cardiff Lexington Corp</v>
      </c>
      <c r="D9161" s="125"/>
    </row>
    <row r="9162">
      <c r="A9162" s="122" t="s">
        <v>34910</v>
      </c>
      <c r="B9162" s="123">
        <v>761648.0</v>
      </c>
      <c r="C9162" s="687" t="str">
        <f>IFERROR(__xludf.DUMMYFUNCTION("GOOGLEFINANCE(A9162,""name"")"),"#N/A")</f>
        <v>#N/A</v>
      </c>
      <c r="D9162" s="125"/>
    </row>
    <row r="9163">
      <c r="A9163" s="122" t="s">
        <v>34911</v>
      </c>
      <c r="B9163" s="123">
        <v>761648.0</v>
      </c>
      <c r="C9163" s="687" t="str">
        <f>IFERROR(__xludf.DUMMYFUNCTION("GOOGLEFINANCE(A9163,""name"")"),"#N/A")</f>
        <v>#N/A</v>
      </c>
      <c r="D9163" s="125"/>
    </row>
    <row r="9164">
      <c r="A9164" s="122" t="s">
        <v>34912</v>
      </c>
      <c r="B9164" s="123">
        <v>1793895.0</v>
      </c>
      <c r="C9164" s="687" t="str">
        <f>IFERROR(__xludf.DUMMYFUNCTION("GOOGLEFINANCE(A9164,""name"")"),"CDT Environmental Tech Invmt Hlds Ltd")</f>
        <v>CDT Environmental Tech Invmt Hlds Ltd</v>
      </c>
      <c r="D9164" s="125"/>
    </row>
    <row r="9165">
      <c r="A9165" s="122" t="s">
        <v>34913</v>
      </c>
      <c r="B9165" s="123">
        <v>1916148.0</v>
      </c>
      <c r="C9165" s="687" t="str">
        <f>IFERROR(__xludf.DUMMYFUNCTION("GOOGLEFINANCE(A9165,""name"")"),"#N/A")</f>
        <v>#N/A</v>
      </c>
      <c r="D9165" s="125"/>
    </row>
    <row r="9166">
      <c r="A9166" s="122" t="s">
        <v>34914</v>
      </c>
      <c r="B9166" s="123">
        <v>1795938.0</v>
      </c>
      <c r="C9166" s="687" t="str">
        <f>IFERROR(__xludf.DUMMYFUNCTION("GOOGLEFINANCE(A9166,""name"")"),"#N/A")</f>
        <v>#N/A</v>
      </c>
      <c r="D9166" s="125"/>
    </row>
    <row r="9167">
      <c r="A9167" s="122" t="s">
        <v>34915</v>
      </c>
      <c r="B9167" s="123">
        <v>3197.0</v>
      </c>
      <c r="C9167" s="687" t="str">
        <f>IFERROR(__xludf.DUMMYFUNCTION("GOOGLEFINANCE(A9167,""name"")"),"#N/A")</f>
        <v>#N/A</v>
      </c>
      <c r="D9167" s="125"/>
    </row>
    <row r="9168">
      <c r="A9168" s="122" t="s">
        <v>34916</v>
      </c>
      <c r="B9168" s="123">
        <v>926865.0</v>
      </c>
      <c r="C9168" s="687" t="str">
        <f>IFERROR(__xludf.DUMMYFUNCTION("GOOGLEFINANCE(A9168,""name"")"),"#N/A")</f>
        <v>#N/A</v>
      </c>
      <c r="D9168" s="125"/>
    </row>
    <row r="9169">
      <c r="A9169" s="122" t="s">
        <v>34917</v>
      </c>
      <c r="B9169" s="123">
        <v>1722837.0</v>
      </c>
      <c r="C9169" s="687" t="str">
        <f>IFERROR(__xludf.DUMMYFUNCTION("GOOGLEFINANCE(A9169,""name"")"),"#N/A")</f>
        <v>#N/A</v>
      </c>
      <c r="D9169" s="125"/>
    </row>
    <row r="9170">
      <c r="A9170" s="122" t="s">
        <v>34918</v>
      </c>
      <c r="B9170" s="123">
        <v>1114446.0</v>
      </c>
      <c r="C9170" s="687" t="str">
        <f>IFERROR(__xludf.DUMMYFUNCTION("GOOGLEFINANCE(A9170,""name"")"),"ETRACS Monthly Pay 1.5X Leveraged Closed End Fund Index ETN")</f>
        <v>ETRACS Monthly Pay 1.5X Leveraged Closed End Fund Index ETN</v>
      </c>
      <c r="D9170" s="125"/>
    </row>
    <row r="9171">
      <c r="A9171" s="122" t="s">
        <v>34919</v>
      </c>
      <c r="B9171" s="123">
        <v>14272.0</v>
      </c>
      <c r="C9171" s="687" t="str">
        <f>IFERROR(__xludf.DUMMYFUNCTION("GOOGLEFINANCE(A9171,""name"")"),"#N/A")</f>
        <v>#N/A</v>
      </c>
      <c r="D9171" s="125"/>
    </row>
    <row r="9172">
      <c r="A9172" s="122" t="s">
        <v>34920</v>
      </c>
      <c r="B9172" s="123">
        <v>1841425.0</v>
      </c>
      <c r="C9172" s="687" t="str">
        <f>IFERROR(__xludf.DUMMYFUNCTION("GOOGLEFINANCE(A9172,""name"")"),"#N/A")</f>
        <v>#N/A</v>
      </c>
      <c r="D9172" s="125"/>
    </row>
    <row r="9173">
      <c r="A9173" s="122" t="s">
        <v>34921</v>
      </c>
      <c r="B9173" s="123">
        <v>1841425.0</v>
      </c>
      <c r="C9173" s="687" t="str">
        <f>IFERROR(__xludf.DUMMYFUNCTION("GOOGLEFINANCE(A9173,""name"")"),"#N/A")</f>
        <v>#N/A</v>
      </c>
      <c r="D9173" s="125"/>
    </row>
    <row r="9174">
      <c r="A9174" s="122" t="s">
        <v>34922</v>
      </c>
      <c r="B9174" s="123">
        <v>1136352.0</v>
      </c>
      <c r="C9174" s="687" t="str">
        <f>IFERROR(__xludf.DUMMYFUNCTION("GOOGLEFINANCE(A9174,""name"")"),"#N/A")</f>
        <v>#N/A</v>
      </c>
      <c r="D9174" s="125"/>
    </row>
    <row r="9175">
      <c r="A9175" s="122" t="s">
        <v>34923</v>
      </c>
      <c r="B9175" s="123">
        <v>1136352.0</v>
      </c>
      <c r="C9175" s="687" t="str">
        <f>IFERROR(__xludf.DUMMYFUNCTION("GOOGLEFINANCE(A9175,""name"")"),"#N/A")</f>
        <v>#N/A</v>
      </c>
      <c r="D9175" s="125"/>
    </row>
    <row r="9176">
      <c r="A9176" s="122" t="s">
        <v>34924</v>
      </c>
      <c r="B9176" s="123">
        <v>1936702.0</v>
      </c>
      <c r="C9176" s="687" t="str">
        <f>IFERROR(__xludf.DUMMYFUNCTION("GOOGLEFINANCE(A9176,""name"")"),"#N/A")</f>
        <v>#N/A</v>
      </c>
      <c r="D9176" s="125"/>
    </row>
    <row r="9177">
      <c r="A9177" s="122" t="s">
        <v>34925</v>
      </c>
      <c r="B9177" s="123">
        <v>1489803.0</v>
      </c>
      <c r="C9177" s="687" t="str">
        <f>IFERROR(__xludf.DUMMYFUNCTION("GOOGLEFINANCE(A9177,""name"")"),"#N/A")</f>
        <v>#N/A</v>
      </c>
      <c r="D9177" s="125"/>
    </row>
    <row r="9178">
      <c r="A9178" s="122" t="s">
        <v>34926</v>
      </c>
      <c r="B9178" s="123">
        <v>1839530.0</v>
      </c>
      <c r="C9178" s="687" t="str">
        <f>IFERROR(__xludf.DUMMYFUNCTION("GOOGLEFINANCE(A9178,""name"")"),"#N/A")</f>
        <v>#N/A</v>
      </c>
      <c r="D9178" s="125"/>
    </row>
    <row r="9179">
      <c r="A9179" s="122" t="s">
        <v>34927</v>
      </c>
      <c r="B9179" s="123">
        <v>1839530.0</v>
      </c>
      <c r="C9179" s="687" t="str">
        <f>IFERROR(__xludf.DUMMYFUNCTION("GOOGLEFINANCE(A9179,""name"")"),"#N/A")</f>
        <v>#N/A</v>
      </c>
      <c r="D9179" s="125"/>
    </row>
    <row r="9180">
      <c r="A9180" s="122" t="s">
        <v>34928</v>
      </c>
      <c r="B9180" s="123">
        <v>1839530.0</v>
      </c>
      <c r="C9180" s="687" t="str">
        <f>IFERROR(__xludf.DUMMYFUNCTION("GOOGLEFINANCE(A9180,""name"")"),"#N/A")</f>
        <v>#N/A</v>
      </c>
      <c r="D9180" s="125"/>
    </row>
    <row r="9181">
      <c r="A9181" s="122" t="s">
        <v>34929</v>
      </c>
      <c r="B9181" s="123">
        <v>759944.0</v>
      </c>
      <c r="C9181" s="687" t="str">
        <f>IFERROR(__xludf.DUMMYFUNCTION("GOOGLEFINANCE(A9181,""name"")"),"#N/A")</f>
        <v>#N/A</v>
      </c>
      <c r="D9181" s="125"/>
    </row>
    <row r="9182">
      <c r="A9182" s="122" t="s">
        <v>34930</v>
      </c>
      <c r="B9182" s="123">
        <v>759944.0</v>
      </c>
      <c r="C9182" s="687" t="str">
        <f>IFERROR(__xludf.DUMMYFUNCTION("GOOGLEFINANCE(A9182,""name"")"),"#N/A")</f>
        <v>#N/A</v>
      </c>
      <c r="D9182" s="125"/>
    </row>
    <row r="9183">
      <c r="A9183" s="122" t="s">
        <v>34931</v>
      </c>
      <c r="B9183" s="123">
        <v>1825249.0</v>
      </c>
      <c r="C9183" s="687" t="str">
        <f>IFERROR(__xludf.DUMMYFUNCTION("GOOGLEFINANCE(A9183,""name"")"),"#N/A")</f>
        <v>#N/A</v>
      </c>
      <c r="D9183" s="125"/>
    </row>
    <row r="9184">
      <c r="A9184" s="122" t="s">
        <v>34932</v>
      </c>
      <c r="B9184" s="123">
        <v>1825249.0</v>
      </c>
      <c r="C9184" s="687" t="str">
        <f>IFERROR(__xludf.DUMMYFUNCTION("GOOGLEFINANCE(A9184,""name"")"),"#N/A")</f>
        <v>#N/A</v>
      </c>
      <c r="D9184" s="125"/>
    </row>
    <row r="9185">
      <c r="A9185" s="122" t="s">
        <v>34933</v>
      </c>
      <c r="B9185" s="123">
        <v>1825249.0</v>
      </c>
      <c r="C9185" s="687" t="str">
        <f>IFERROR(__xludf.DUMMYFUNCTION("GOOGLEFINANCE(A9185,""name"")"),"#N/A")</f>
        <v>#N/A</v>
      </c>
      <c r="D9185" s="125"/>
    </row>
    <row r="9186">
      <c r="A9186" s="122" t="s">
        <v>34934</v>
      </c>
      <c r="B9186" s="123">
        <v>1305773.0</v>
      </c>
      <c r="C9186" s="687" t="str">
        <f>IFERROR(__xludf.DUMMYFUNCTION("GOOGLEFINANCE(A9186,""name"")"),"#N/A")</f>
        <v>#N/A</v>
      </c>
      <c r="D9186" s="125"/>
    </row>
    <row r="9187">
      <c r="A9187" s="122" t="s">
        <v>34935</v>
      </c>
      <c r="B9187" s="123">
        <v>39263.0</v>
      </c>
      <c r="C9187" s="687" t="str">
        <f>IFERROR(__xludf.DUMMYFUNCTION("GOOGLEFINANCE(A9187,""name"")"),"#N/A")</f>
        <v>#N/A</v>
      </c>
      <c r="D9187" s="125"/>
    </row>
    <row r="9188">
      <c r="A9188" s="122" t="s">
        <v>34936</v>
      </c>
      <c r="B9188" s="123">
        <v>1478069.0</v>
      </c>
      <c r="C9188" s="687" t="str">
        <f>IFERROR(__xludf.DUMMYFUNCTION("GOOGLEFINANCE(A9188,""name"")"),"#N/A")</f>
        <v>#N/A</v>
      </c>
      <c r="D9188" s="125"/>
    </row>
    <row r="9189">
      <c r="A9189" s="122" t="s">
        <v>34937</v>
      </c>
      <c r="B9189" s="123">
        <v>1830081.0</v>
      </c>
      <c r="C9189" s="687" t="str">
        <f>IFERROR(__xludf.DUMMYFUNCTION("GOOGLEFINANCE(A9189,""name"")"),"#N/A")</f>
        <v>#N/A</v>
      </c>
      <c r="D9189" s="125"/>
    </row>
    <row r="9190">
      <c r="A9190" s="122" t="s">
        <v>34938</v>
      </c>
      <c r="B9190" s="123">
        <v>1830081.0</v>
      </c>
      <c r="C9190" s="687" t="str">
        <f>IFERROR(__xludf.DUMMYFUNCTION("GOOGLEFINANCE(A9190,""name"")"),"#N/A")</f>
        <v>#N/A</v>
      </c>
      <c r="D9190" s="125"/>
    </row>
    <row r="9191">
      <c r="A9191" s="122" t="s">
        <v>34939</v>
      </c>
      <c r="B9191" s="123">
        <v>1830081.0</v>
      </c>
      <c r="C9191" s="687" t="str">
        <f>IFERROR(__xludf.DUMMYFUNCTION("GOOGLEFINANCE(A9191,""name"")"),"#N/A")</f>
        <v>#N/A</v>
      </c>
      <c r="D9191" s="125"/>
    </row>
    <row r="9192">
      <c r="A9192" s="122" t="s">
        <v>34940</v>
      </c>
      <c r="B9192" s="123">
        <v>1676197.0</v>
      </c>
      <c r="C9192" s="687" t="str">
        <f>IFERROR(__xludf.DUMMYFUNCTION("GOOGLEFINANCE(A9192,""name"")"),"#N/A")</f>
        <v>#N/A</v>
      </c>
      <c r="D9192" s="125"/>
    </row>
    <row r="9193">
      <c r="A9193" s="122" t="s">
        <v>34941</v>
      </c>
      <c r="B9193" s="123">
        <v>1789972.0</v>
      </c>
      <c r="C9193" s="687" t="str">
        <f>IFERROR(__xludf.DUMMYFUNCTION("GOOGLEFINANCE(A9193,""name"")"),"Cullinan Therapeutics Inc")</f>
        <v>Cullinan Therapeutics Inc</v>
      </c>
      <c r="D9193" s="125"/>
    </row>
    <row r="9194">
      <c r="A9194" s="122" t="s">
        <v>34942</v>
      </c>
      <c r="B9194" s="123">
        <v>1119774.0</v>
      </c>
      <c r="C9194" s="687" t="str">
        <f>IFERROR(__xludf.DUMMYFUNCTION("GOOGLEFINANCE(A9194,""name"")"),"Compugen Ltd")</f>
        <v>Compugen Ltd</v>
      </c>
      <c r="D9194" s="125"/>
    </row>
    <row r="9195">
      <c r="A9195" s="122" t="s">
        <v>34943</v>
      </c>
      <c r="B9195" s="123">
        <v>1838293.0</v>
      </c>
      <c r="C9195" s="687" t="str">
        <f>IFERROR(__xludf.DUMMYFUNCTION("GOOGLEFINANCE(A9195,""name"")"),"#N/A")</f>
        <v>#N/A</v>
      </c>
      <c r="D9195" s="125"/>
    </row>
    <row r="9196">
      <c r="A9196" s="122" t="s">
        <v>34944</v>
      </c>
      <c r="B9196" s="123">
        <v>1838293.0</v>
      </c>
      <c r="C9196" s="687" t="str">
        <f>IFERROR(__xludf.DUMMYFUNCTION("GOOGLEFINANCE(A9196,""name"")"),"#N/A")</f>
        <v>#N/A</v>
      </c>
      <c r="D9196" s="125"/>
    </row>
    <row r="9197">
      <c r="A9197" s="122" t="s">
        <v>34945</v>
      </c>
      <c r="B9197" s="123">
        <v>22872.0</v>
      </c>
      <c r="C9197" s="687" t="str">
        <f>IFERROR(__xludf.DUMMYFUNCTION("GOOGLEFINANCE(A9197,""name"")"),"#N/A")</f>
        <v>#N/A</v>
      </c>
      <c r="D9197" s="125"/>
    </row>
    <row r="9198">
      <c r="A9198" s="122" t="s">
        <v>34946</v>
      </c>
      <c r="B9198" s="123">
        <v>1856948.0</v>
      </c>
      <c r="C9198" s="687" t="str">
        <f>IFERROR(__xludf.DUMMYFUNCTION("GOOGLEFINANCE(A9198,""name"")"),"#N/A")</f>
        <v>#N/A</v>
      </c>
      <c r="D9198" s="125"/>
    </row>
    <row r="9199">
      <c r="A9199" s="122" t="s">
        <v>34947</v>
      </c>
      <c r="B9199" s="123">
        <v>1610590.0</v>
      </c>
      <c r="C9199" s="687" t="str">
        <f>IFERROR(__xludf.DUMMYFUNCTION("GOOGLEFINANCE(A9199,""name"")"),"#N/A")</f>
        <v>#N/A</v>
      </c>
      <c r="D9199" s="125"/>
    </row>
    <row r="9200">
      <c r="A9200" s="122" t="s">
        <v>34948</v>
      </c>
      <c r="B9200" s="123">
        <v>1571776.0</v>
      </c>
      <c r="C9200" s="687" t="str">
        <f>IFERROR(__xludf.DUMMYFUNCTION("GOOGLEFINANCE(A9200,""name"")"),"#N/A")</f>
        <v>#N/A</v>
      </c>
      <c r="D9200" s="125"/>
    </row>
    <row r="9201">
      <c r="A9201" s="122" t="s">
        <v>34949</v>
      </c>
      <c r="B9201" s="123">
        <v>1571776.0</v>
      </c>
      <c r="C9201" s="687" t="str">
        <f>IFERROR(__xludf.DUMMYFUNCTION("GOOGLEFINANCE(A9201,""name"")"),"#N/A")</f>
        <v>#N/A</v>
      </c>
      <c r="D9201" s="125"/>
    </row>
    <row r="9202">
      <c r="A9202" s="122" t="s">
        <v>34950</v>
      </c>
      <c r="B9202" s="123">
        <v>1765048.0</v>
      </c>
      <c r="C9202" s="687" t="str">
        <f>IFERROR(__xludf.DUMMYFUNCTION("GOOGLEFINANCE(A9202,""name"")"),"#N/A")</f>
        <v>#N/A</v>
      </c>
      <c r="D9202" s="125"/>
    </row>
    <row r="9203">
      <c r="A9203" s="122" t="s">
        <v>34951</v>
      </c>
      <c r="B9203" s="123">
        <v>1411057.0</v>
      </c>
      <c r="C9203" s="687" t="str">
        <f>IFERROR(__xludf.DUMMYFUNCTION("GOOGLEFINANCE(A9203,""name"")"),"#N/A")</f>
        <v>#N/A</v>
      </c>
      <c r="D9203" s="125"/>
    </row>
    <row r="9204">
      <c r="A9204" s="122" t="s">
        <v>34952</v>
      </c>
      <c r="B9204" s="123">
        <v>1756497.0</v>
      </c>
      <c r="C9204" s="687" t="str">
        <f>IFERROR(__xludf.DUMMYFUNCTION("GOOGLEFINANCE(A9204,""name"")"),"#N/A")</f>
        <v>#N/A</v>
      </c>
      <c r="D9204" s="125"/>
    </row>
    <row r="9205">
      <c r="A9205" s="122" t="s">
        <v>34953</v>
      </c>
      <c r="B9205" s="123">
        <v>1730346.0</v>
      </c>
      <c r="C9205" s="687" t="str">
        <f>IFERROR(__xludf.DUMMYFUNCTION("GOOGLEFINANCE(A9205,""name"")"),"#N/A")</f>
        <v>#N/A</v>
      </c>
      <c r="D9205" s="125"/>
    </row>
    <row r="9206">
      <c r="A9206" s="122" t="s">
        <v>34954</v>
      </c>
      <c r="B9206" s="123">
        <v>1867752.0</v>
      </c>
      <c r="C9206" s="687" t="str">
        <f>IFERROR(__xludf.DUMMYFUNCTION("GOOGLEFINANCE(A9206,""name"")"),"#N/A")</f>
        <v>#N/A</v>
      </c>
      <c r="D9206" s="125"/>
    </row>
    <row r="9207">
      <c r="A9207" s="122" t="s">
        <v>34955</v>
      </c>
      <c r="B9207" s="123">
        <v>1173204.0</v>
      </c>
      <c r="C9207" s="687" t="str">
        <f>IFERROR(__xludf.DUMMYFUNCTION("GOOGLEFINANCE(A9207,""name"")"),"#N/A")</f>
        <v>#N/A</v>
      </c>
      <c r="D9207" s="125"/>
    </row>
    <row r="9208">
      <c r="A9208" s="122" t="s">
        <v>34956</v>
      </c>
      <c r="B9208" s="123">
        <v>1157557.0</v>
      </c>
      <c r="C9208" s="687" t="str">
        <f>IFERROR(__xludf.DUMMYFUNCTION("GOOGLEFINANCE(A9208,""name"")"),"#N/A")</f>
        <v>#N/A</v>
      </c>
      <c r="D9208" s="125"/>
    </row>
    <row r="9209">
      <c r="A9209" s="122" t="s">
        <v>34957</v>
      </c>
      <c r="B9209" s="123">
        <v>1841338.0</v>
      </c>
      <c r="C9209" s="687" t="str">
        <f>IFERROR(__xludf.DUMMYFUNCTION("GOOGLEFINANCE(A9209,""name"")"),"#N/A")</f>
        <v>#N/A</v>
      </c>
      <c r="D9209" s="125"/>
    </row>
    <row r="9210">
      <c r="A9210" s="122" t="s">
        <v>34958</v>
      </c>
      <c r="B9210" s="123">
        <v>1841338.0</v>
      </c>
      <c r="C9210" s="687" t="str">
        <f>IFERROR(__xludf.DUMMYFUNCTION("GOOGLEFINANCE(A9210,""name"")"),"#N/A")</f>
        <v>#N/A</v>
      </c>
      <c r="D9210" s="125"/>
    </row>
    <row r="9211">
      <c r="A9211" s="122" t="s">
        <v>34959</v>
      </c>
      <c r="B9211" s="123">
        <v>1841338.0</v>
      </c>
      <c r="C9211" s="687" t="str">
        <f>IFERROR(__xludf.DUMMYFUNCTION("GOOGLEFINANCE(A9211,""name"")"),"#N/A")</f>
        <v>#N/A</v>
      </c>
      <c r="D9211" s="125"/>
    </row>
    <row r="9212">
      <c r="A9212" s="122" t="s">
        <v>34960</v>
      </c>
      <c r="B9212" s="123">
        <v>1409493.0</v>
      </c>
      <c r="C9212" s="687" t="str">
        <f>IFERROR(__xludf.DUMMYFUNCTION("GOOGLEFINANCE(A9212,""name"")"),"#N/A")</f>
        <v>#N/A</v>
      </c>
      <c r="D9212" s="125"/>
    </row>
    <row r="9213">
      <c r="A9213" s="122" t="s">
        <v>34961</v>
      </c>
      <c r="B9213" s="123">
        <v>1409493.0</v>
      </c>
      <c r="C9213" s="687" t="str">
        <f>IFERROR(__xludf.DUMMYFUNCTION("GOOGLEFINANCE(A9213,""name"")"),"#N/A")</f>
        <v>#N/A</v>
      </c>
      <c r="D9213" s="125"/>
    </row>
    <row r="9214">
      <c r="A9214" s="122" t="s">
        <v>34962</v>
      </c>
      <c r="B9214" s="123">
        <v>1409493.0</v>
      </c>
      <c r="C9214" s="687" t="str">
        <f>IFERROR(__xludf.DUMMYFUNCTION("GOOGLEFINANCE(A9214,""name"")"),"#N/A")</f>
        <v>#N/A</v>
      </c>
      <c r="D9214" s="125"/>
    </row>
    <row r="9215">
      <c r="A9215" s="122" t="s">
        <v>34963</v>
      </c>
      <c r="B9215" s="123">
        <v>1409493.0</v>
      </c>
      <c r="C9215" s="687" t="str">
        <f>IFERROR(__xludf.DUMMYFUNCTION("GOOGLEFINANCE(A9215,""name"")"),"#N/A")</f>
        <v>#N/A</v>
      </c>
      <c r="D9215" s="125"/>
    </row>
    <row r="9216">
      <c r="A9216" s="122" t="s">
        <v>34964</v>
      </c>
      <c r="B9216" s="123">
        <v>1593222.0</v>
      </c>
      <c r="C9216" s="687" t="str">
        <f>IFERROR(__xludf.DUMMYFUNCTION("GOOGLEFINANCE(A9216,""name"")"),"#N/A")</f>
        <v>#N/A</v>
      </c>
      <c r="D9216" s="125"/>
    </row>
    <row r="9217">
      <c r="A9217" s="122" t="s">
        <v>34965</v>
      </c>
      <c r="B9217" s="123">
        <v>1829948.0</v>
      </c>
      <c r="C9217" s="687" t="str">
        <f>IFERROR(__xludf.DUMMYFUNCTION("GOOGLEFINANCE(A9217,""name"")"),"#N/A")</f>
        <v>#N/A</v>
      </c>
      <c r="D9217" s="125"/>
    </row>
    <row r="9218">
      <c r="A9218" s="122" t="s">
        <v>34966</v>
      </c>
      <c r="B9218" s="123">
        <v>1895159.0</v>
      </c>
      <c r="C9218" s="687" t="str">
        <f>IFERROR(__xludf.DUMMYFUNCTION("GOOGLEFINANCE(A9218,""name"")"),"#N/A")</f>
        <v>#N/A</v>
      </c>
      <c r="D9218" s="125"/>
    </row>
    <row r="9219">
      <c r="A9219" s="122" t="s">
        <v>34967</v>
      </c>
      <c r="B9219" s="123">
        <v>352955.0</v>
      </c>
      <c r="C9219" s="687" t="str">
        <f>IFERROR(__xludf.DUMMYFUNCTION("GOOGLEFINANCE(A9219,""name"")"),"CKX Lands Inc")</f>
        <v>CKX Lands Inc</v>
      </c>
      <c r="D9219" s="125"/>
    </row>
    <row r="9220">
      <c r="A9220" s="122" t="s">
        <v>34968</v>
      </c>
      <c r="B9220" s="123">
        <v>1837739.0</v>
      </c>
      <c r="C9220" s="687" t="str">
        <f>IFERROR(__xludf.DUMMYFUNCTION("GOOGLEFINANCE(A9220,""name"")"),"#N/A")</f>
        <v>#N/A</v>
      </c>
      <c r="D9220" s="125"/>
    </row>
    <row r="9221">
      <c r="A9221" s="122" t="s">
        <v>34969</v>
      </c>
      <c r="B9221" s="123">
        <v>1837739.0</v>
      </c>
      <c r="C9221" s="687" t="str">
        <f>IFERROR(__xludf.DUMMYFUNCTION("GOOGLEFINANCE(A9221,""name"")"),"#N/A")</f>
        <v>#N/A</v>
      </c>
      <c r="D9221" s="125"/>
    </row>
    <row r="9222">
      <c r="A9222" s="122" t="s">
        <v>34970</v>
      </c>
      <c r="B9222" s="123">
        <v>1849820.0</v>
      </c>
      <c r="C9222" s="687" t="str">
        <f>IFERROR(__xludf.DUMMYFUNCTION("GOOGLEFINANCE(A9222,""name"")"),"#N/A")</f>
        <v>#N/A</v>
      </c>
      <c r="D9222" s="125"/>
    </row>
    <row r="9223">
      <c r="A9223" s="122" t="s">
        <v>34971</v>
      </c>
      <c r="B9223" s="123">
        <v>1849820.0</v>
      </c>
      <c r="C9223" s="687" t="str">
        <f>IFERROR(__xludf.DUMMYFUNCTION("GOOGLEFINANCE(A9223,""name"")"),"#N/A")</f>
        <v>#N/A</v>
      </c>
      <c r="D9223" s="125"/>
    </row>
    <row r="9224">
      <c r="A9224" s="122" t="s">
        <v>34972</v>
      </c>
      <c r="B9224" s="123">
        <v>1849820.0</v>
      </c>
      <c r="C9224" s="687" t="str">
        <f>IFERROR(__xludf.DUMMYFUNCTION("GOOGLEFINANCE(A9224,""name"")"),"#N/A")</f>
        <v>#N/A</v>
      </c>
      <c r="D9224" s="125"/>
    </row>
    <row r="9225">
      <c r="A9225" s="122" t="s">
        <v>34973</v>
      </c>
      <c r="B9225" s="123">
        <v>1849820.0</v>
      </c>
      <c r="C9225" s="687" t="str">
        <f>IFERROR(__xludf.DUMMYFUNCTION("GOOGLEFINANCE(A9225,""name"")"),"#N/A")</f>
        <v>#N/A</v>
      </c>
      <c r="D9225" s="125"/>
    </row>
    <row r="9226">
      <c r="A9226" s="122" t="s">
        <v>34974</v>
      </c>
      <c r="B9226" s="123">
        <v>1826855.0</v>
      </c>
      <c r="C9226" s="687" t="str">
        <f>IFERROR(__xludf.DUMMYFUNCTION("GOOGLEFINANCE(A9226,""name"")"),"#N/A")</f>
        <v>#N/A</v>
      </c>
      <c r="D9226" s="125"/>
    </row>
    <row r="9227">
      <c r="A9227" s="122" t="s">
        <v>34975</v>
      </c>
      <c r="B9227" s="123">
        <v>1826855.0</v>
      </c>
      <c r="C9227" s="687" t="str">
        <f>IFERROR(__xludf.DUMMYFUNCTION("GOOGLEFINANCE(A9227,""name"")"),"#N/A")</f>
        <v>#N/A</v>
      </c>
      <c r="D9227" s="125"/>
    </row>
    <row r="9228">
      <c r="A9228" s="122" t="s">
        <v>34976</v>
      </c>
      <c r="B9228" s="123">
        <v>1826855.0</v>
      </c>
      <c r="C9228" s="687" t="str">
        <f>IFERROR(__xludf.DUMMYFUNCTION("GOOGLEFINANCE(A9228,""name"")"),"#N/A")</f>
        <v>#N/A</v>
      </c>
      <c r="D9228" s="125"/>
    </row>
    <row r="9229">
      <c r="A9229" s="122" t="s">
        <v>34977</v>
      </c>
      <c r="B9229" s="123">
        <v>1855467.0</v>
      </c>
      <c r="C9229" s="687" t="str">
        <f>IFERROR(__xludf.DUMMYFUNCTION("GOOGLEFINANCE(A9229,""name"")"),"#N/A")</f>
        <v>#N/A</v>
      </c>
      <c r="D9229" s="125"/>
    </row>
    <row r="9230">
      <c r="A9230" s="122" t="s">
        <v>34978</v>
      </c>
      <c r="B9230" s="123">
        <v>1000229.0</v>
      </c>
      <c r="C9230" s="687" t="str">
        <f>IFERROR(__xludf.DUMMYFUNCTION("GOOGLEFINANCE(A9230,""name"")"),"Core Laboratories Inc")</f>
        <v>Core Laboratories Inc</v>
      </c>
      <c r="D9230" s="125"/>
    </row>
    <row r="9231">
      <c r="A9231" s="122" t="s">
        <v>34979</v>
      </c>
      <c r="B9231" s="123">
        <v>1847064.0</v>
      </c>
      <c r="C9231" s="687" t="str">
        <f>IFERROR(__xludf.DUMMYFUNCTION("GOOGLEFINANCE(A9231,""name"")"),"#N/A")</f>
        <v>#N/A</v>
      </c>
      <c r="D9231" s="125"/>
    </row>
    <row r="9232">
      <c r="A9232" s="122" t="s">
        <v>34980</v>
      </c>
      <c r="B9232" s="123">
        <v>1847064.0</v>
      </c>
      <c r="C9232" s="687" t="str">
        <f>IFERROR(__xludf.DUMMYFUNCTION("GOOGLEFINANCE(A9232,""name"")"),"#N/A")</f>
        <v>#N/A</v>
      </c>
      <c r="D9232" s="125"/>
    </row>
    <row r="9233">
      <c r="A9233" s="122" t="s">
        <v>34981</v>
      </c>
      <c r="B9233" s="123">
        <v>1394638.0</v>
      </c>
      <c r="C9233" s="687" t="str">
        <f>IFERROR(__xludf.DUMMYFUNCTION("GOOGLEFINANCE(A9233,""name"")"),"#N/A")</f>
        <v>#N/A</v>
      </c>
      <c r="D9233" s="125"/>
    </row>
    <row r="9234">
      <c r="A9234" s="122" t="s">
        <v>34982</v>
      </c>
      <c r="B9234" s="123">
        <v>1476045.0</v>
      </c>
      <c r="C9234" s="687" t="str">
        <f>IFERROR(__xludf.DUMMYFUNCTION("GOOGLEFINANCE(A9234,""name"")"),"#N/A")</f>
        <v>#N/A</v>
      </c>
      <c r="D9234" s="125"/>
    </row>
    <row r="9235">
      <c r="A9235" s="122" t="s">
        <v>34983</v>
      </c>
      <c r="B9235" s="123">
        <v>1835713.0</v>
      </c>
      <c r="C9235" s="687" t="str">
        <f>IFERROR(__xludf.DUMMYFUNCTION("GOOGLEFINANCE(A9235,""name"")"),"#N/A")</f>
        <v>#N/A</v>
      </c>
      <c r="D9235" s="125"/>
    </row>
    <row r="9236">
      <c r="A9236" s="122" t="s">
        <v>34984</v>
      </c>
      <c r="B9236" s="123">
        <v>1835713.0</v>
      </c>
      <c r="C9236" s="687" t="str">
        <f>IFERROR(__xludf.DUMMYFUNCTION("GOOGLEFINANCE(A9236,""name"")"),"#N/A")</f>
        <v>#N/A</v>
      </c>
      <c r="D9236" s="125"/>
    </row>
    <row r="9237">
      <c r="A9237" s="122" t="s">
        <v>34985</v>
      </c>
      <c r="B9237" s="123">
        <v>1883984.0</v>
      </c>
      <c r="C9237" s="687" t="str">
        <f>IFERROR(__xludf.DUMMYFUNCTION("GOOGLEFINANCE(A9237,""name"")"),"#N/A")</f>
        <v>#N/A</v>
      </c>
      <c r="D9237" s="125"/>
    </row>
    <row r="9238">
      <c r="A9238" s="122" t="s">
        <v>34986</v>
      </c>
      <c r="B9238" s="123">
        <v>1883984.0</v>
      </c>
      <c r="C9238" s="687" t="str">
        <f>IFERROR(__xludf.DUMMYFUNCTION("GOOGLEFINANCE(A9238,""name"")"),"#N/A")</f>
        <v>#N/A</v>
      </c>
      <c r="D9238" s="125"/>
    </row>
    <row r="9239">
      <c r="A9239" s="122" t="s">
        <v>34987</v>
      </c>
      <c r="B9239" s="123">
        <v>1883984.0</v>
      </c>
      <c r="C9239" s="687" t="str">
        <f>IFERROR(__xludf.DUMMYFUNCTION("GOOGLEFINANCE(A9239,""name"")"),"#N/A")</f>
        <v>#N/A</v>
      </c>
      <c r="D9239" s="125"/>
    </row>
    <row r="9240">
      <c r="A9240" s="122" t="s">
        <v>34988</v>
      </c>
      <c r="B9240" s="123">
        <v>1883984.0</v>
      </c>
      <c r="C9240" s="687" t="str">
        <f>IFERROR(__xludf.DUMMYFUNCTION("GOOGLEFINANCE(A9240,""name"")"),"#N/A")</f>
        <v>#N/A</v>
      </c>
      <c r="D9240" s="125"/>
    </row>
    <row r="9241">
      <c r="A9241" s="122" t="s">
        <v>34989</v>
      </c>
      <c r="B9241" s="123">
        <v>1627281.0</v>
      </c>
      <c r="C9241" s="687" t="str">
        <f>IFERROR(__xludf.DUMMYFUNCTION("GOOGLEFINANCE(A9241,""name"")"),"Cellectis SA")</f>
        <v>Cellectis SA</v>
      </c>
      <c r="D9241" s="125"/>
    </row>
    <row r="9242">
      <c r="A9242" s="122" t="s">
        <v>34990</v>
      </c>
      <c r="B9242" s="123">
        <v>1849058.0</v>
      </c>
      <c r="C9242" s="687" t="str">
        <f>IFERROR(__xludf.DUMMYFUNCTION("GOOGLEFINANCE(A9242,""name"")"),"#N/A")</f>
        <v>#N/A</v>
      </c>
      <c r="D9242" s="125"/>
    </row>
    <row r="9243">
      <c r="A9243" s="122" t="s">
        <v>34991</v>
      </c>
      <c r="B9243" s="123">
        <v>1849058.0</v>
      </c>
      <c r="C9243" s="687" t="str">
        <f>IFERROR(__xludf.DUMMYFUNCTION("GOOGLEFINANCE(A9243,""name"")"),"#N/A")</f>
        <v>#N/A</v>
      </c>
      <c r="D9243" s="125"/>
    </row>
    <row r="9244">
      <c r="A9244" s="122" t="s">
        <v>34992</v>
      </c>
      <c r="B9244" s="123">
        <v>1903392.0</v>
      </c>
      <c r="C9244" s="687" t="str">
        <f>IFERROR(__xludf.DUMMYFUNCTION("GOOGLEFINANCE(A9244,""name"")"),"#N/A")</f>
        <v>#N/A</v>
      </c>
      <c r="D9244" s="125"/>
    </row>
    <row r="9245">
      <c r="A9245" s="122" t="s">
        <v>34993</v>
      </c>
      <c r="B9245" s="123">
        <v>1903392.0</v>
      </c>
      <c r="C9245" s="687" t="str">
        <f>IFERROR(__xludf.DUMMYFUNCTION("GOOGLEFINANCE(A9245,""name"")"),"#N/A")</f>
        <v>#N/A</v>
      </c>
      <c r="D9245" s="125"/>
    </row>
    <row r="9246">
      <c r="A9246" s="122" t="s">
        <v>34994</v>
      </c>
      <c r="B9246" s="123">
        <v>1903392.0</v>
      </c>
      <c r="C9246" s="687" t="str">
        <f>IFERROR(__xludf.DUMMYFUNCTION("GOOGLEFINANCE(A9246,""name"")"),"#N/A")</f>
        <v>#N/A</v>
      </c>
      <c r="D9246" s="125"/>
    </row>
    <row r="9247">
      <c r="A9247" s="122" t="s">
        <v>34995</v>
      </c>
      <c r="B9247" s="123">
        <v>1831937.0</v>
      </c>
      <c r="C9247" s="687" t="str">
        <f>IFERROR(__xludf.DUMMYFUNCTION("GOOGLEFINANCE(A9247,""name"")"),"#N/A")</f>
        <v>#N/A</v>
      </c>
      <c r="D9247" s="125"/>
    </row>
    <row r="9248">
      <c r="A9248" s="122" t="s">
        <v>34996</v>
      </c>
      <c r="B9248" s="123">
        <v>1831937.0</v>
      </c>
      <c r="C9248" s="687" t="str">
        <f>IFERROR(__xludf.DUMMYFUNCTION("GOOGLEFINANCE(A9248,""name"")"),"#N/A")</f>
        <v>#N/A</v>
      </c>
      <c r="D9248" s="125"/>
    </row>
    <row r="9249">
      <c r="A9249" s="122" t="s">
        <v>34997</v>
      </c>
      <c r="B9249" s="123">
        <v>1831937.0</v>
      </c>
      <c r="C9249" s="687" t="str">
        <f>IFERROR(__xludf.DUMMYFUNCTION("GOOGLEFINANCE(A9249,""name"")"),"#N/A")</f>
        <v>#N/A</v>
      </c>
      <c r="D9249" s="125"/>
    </row>
    <row r="9250">
      <c r="A9250" s="122" t="s">
        <v>34998</v>
      </c>
      <c r="B9250" s="123">
        <v>749647.0</v>
      </c>
      <c r="C9250" s="687" t="str">
        <f>IFERROR(__xludf.DUMMYFUNCTION("GOOGLEFINANCE(A9250,""name"")"),"#N/A")</f>
        <v>#N/A</v>
      </c>
      <c r="D9250" s="125"/>
    </row>
    <row r="9251">
      <c r="A9251" s="122" t="s">
        <v>34999</v>
      </c>
      <c r="B9251" s="123">
        <v>1466301.0</v>
      </c>
      <c r="C9251" s="687" t="str">
        <f>IFERROR(__xludf.DUMMYFUNCTION("GOOGLEFINANCE(A9251,""name"")"),"#N/A")</f>
        <v>#N/A</v>
      </c>
      <c r="D9251" s="125"/>
    </row>
    <row r="9252">
      <c r="A9252" s="122" t="s">
        <v>35000</v>
      </c>
      <c r="B9252" s="123">
        <v>1764046.0</v>
      </c>
      <c r="C9252" s="687" t="str">
        <f>IFERROR(__xludf.DUMMYFUNCTION("GOOGLEFINANCE(A9252,""name"")"),"#N/A")</f>
        <v>#N/A</v>
      </c>
      <c r="D9252" s="125"/>
    </row>
    <row r="9253">
      <c r="A9253" s="122" t="s">
        <v>35001</v>
      </c>
      <c r="B9253" s="123">
        <v>1705843.0</v>
      </c>
      <c r="C9253" s="687" t="str">
        <f>IFERROR(__xludf.DUMMYFUNCTION("GOOGLEFINANCE(A9253,""name"")"),"#N/A")</f>
        <v>#N/A</v>
      </c>
      <c r="D9253" s="125"/>
    </row>
    <row r="9254">
      <c r="A9254" s="122" t="s">
        <v>35002</v>
      </c>
      <c r="B9254" s="123">
        <v>908311.0</v>
      </c>
      <c r="C9254" s="687" t="str">
        <f>IFERROR(__xludf.DUMMYFUNCTION("GOOGLEFINANCE(A9254,""name"")"),"#N/A")</f>
        <v>#N/A</v>
      </c>
      <c r="D9254" s="125"/>
    </row>
    <row r="9255">
      <c r="A9255" s="122" t="s">
        <v>35003</v>
      </c>
      <c r="B9255" s="123">
        <v>1534248.0</v>
      </c>
      <c r="C9255" s="687" t="str">
        <f>IFERROR(__xludf.DUMMYFUNCTION("GOOGLEFINANCE(A9255,""name"")"),"Chemomab Therapeutics Ltd - ADR")</f>
        <v>Chemomab Therapeutics Ltd - ADR</v>
      </c>
      <c r="D9255" s="125"/>
    </row>
    <row r="9256">
      <c r="A9256" s="122" t="s">
        <v>35004</v>
      </c>
      <c r="B9256" s="123">
        <v>1503584.0</v>
      </c>
      <c r="C9256" s="687" t="str">
        <f>IFERROR(__xludf.DUMMYFUNCTION("GOOGLEFINANCE(A9256,""name"")"),"#N/A")</f>
        <v>#N/A</v>
      </c>
      <c r="D9256" s="125"/>
    </row>
    <row r="9257">
      <c r="A9257" s="122" t="s">
        <v>35005</v>
      </c>
      <c r="B9257" s="123">
        <v>1503584.0</v>
      </c>
      <c r="C9257" s="687" t="str">
        <f>IFERROR(__xludf.DUMMYFUNCTION("GOOGLEFINANCE(A9257,""name"")"),"#N/A")</f>
        <v>#N/A</v>
      </c>
      <c r="D9257" s="125"/>
    </row>
    <row r="9258">
      <c r="A9258" s="122" t="s">
        <v>35006</v>
      </c>
      <c r="B9258" s="123">
        <v>1503584.0</v>
      </c>
      <c r="C9258" s="687" t="str">
        <f>IFERROR(__xludf.DUMMYFUNCTION("GOOGLEFINANCE(A9258,""name"")"),"#N/A")</f>
        <v>#N/A</v>
      </c>
      <c r="D9258" s="125"/>
    </row>
    <row r="9259">
      <c r="A9259" s="122" t="s">
        <v>35007</v>
      </c>
      <c r="B9259" s="123">
        <v>1503584.0</v>
      </c>
      <c r="C9259" s="687" t="str">
        <f>IFERROR(__xludf.DUMMYFUNCTION("GOOGLEFINANCE(A9259,""name"")"),"#N/A")</f>
        <v>#N/A</v>
      </c>
      <c r="D9259" s="125"/>
    </row>
    <row r="9260">
      <c r="A9260" s="122" t="s">
        <v>35008</v>
      </c>
      <c r="B9260" s="123">
        <v>201533.0</v>
      </c>
      <c r="C9260" s="687" t="str">
        <f>IFERROR(__xludf.DUMMYFUNCTION("GOOGLEFINANCE(A9260,""name"")"),"#N/A")</f>
        <v>#N/A</v>
      </c>
      <c r="D9260" s="125"/>
    </row>
    <row r="9261">
      <c r="A9261" s="122" t="s">
        <v>35009</v>
      </c>
      <c r="B9261" s="123">
        <v>811156.0</v>
      </c>
      <c r="C9261" s="687" t="str">
        <f>IFERROR(__xludf.DUMMYFUNCTION("GOOGLEFINANCE(A9261,""name"")"),"#N/A")</f>
        <v>#N/A</v>
      </c>
      <c r="D9261" s="125"/>
    </row>
    <row r="9262">
      <c r="A9262" s="122" t="s">
        <v>35010</v>
      </c>
      <c r="B9262" s="123">
        <v>811156.0</v>
      </c>
      <c r="C9262" s="687" t="str">
        <f>IFERROR(__xludf.DUMMYFUNCTION("GOOGLEFINANCE(A9262,""name"")"),"CMS Energy 5.625 Junior Subordinated Notes Exp 2078")</f>
        <v>CMS Energy 5.625 Junior Subordinated Notes Exp 2078</v>
      </c>
      <c r="D9262" s="125"/>
    </row>
    <row r="9263">
      <c r="A9263" s="122" t="s">
        <v>35011</v>
      </c>
      <c r="B9263" s="123">
        <v>811156.0</v>
      </c>
      <c r="C9263" s="687" t="str">
        <f>IFERROR(__xludf.DUMMYFUNCTION("GOOGLEFINANCE(A9263,""name"")"),"CMS Energy 5 875 Junior Subordinated Notes due 15 Oct 2078")</f>
        <v>CMS Energy 5 875 Junior Subordinated Notes due 15 Oct 2078</v>
      </c>
      <c r="D9263" s="125"/>
    </row>
    <row r="9264">
      <c r="A9264" s="122" t="s">
        <v>35012</v>
      </c>
      <c r="B9264" s="123">
        <v>1842431.0</v>
      </c>
      <c r="C9264" s="687" t="str">
        <f>IFERROR(__xludf.DUMMYFUNCTION("GOOGLEFINANCE(A9264,""name"")"),"#N/A")</f>
        <v>#N/A</v>
      </c>
      <c r="D9264" s="125"/>
    </row>
    <row r="9265">
      <c r="A9265" s="122" t="s">
        <v>35013</v>
      </c>
      <c r="B9265" s="123">
        <v>1367920.0</v>
      </c>
      <c r="C9265" s="687" t="str">
        <f>IFERROR(__xludf.DUMMYFUNCTION("GOOGLEFINANCE(A9265,""name"")"),"#N/A")</f>
        <v>#N/A</v>
      </c>
      <c r="D9265" s="125"/>
    </row>
    <row r="9266">
      <c r="A9266" s="122" t="s">
        <v>35014</v>
      </c>
      <c r="B9266" s="123">
        <v>1824301.0</v>
      </c>
      <c r="C9266" s="687" t="str">
        <f>IFERROR(__xludf.DUMMYFUNCTION("GOOGLEFINANCE(A9266,""name"")"),"#N/A")</f>
        <v>#N/A</v>
      </c>
      <c r="D9266" s="125"/>
    </row>
    <row r="9267">
      <c r="A9267" s="122" t="s">
        <v>35015</v>
      </c>
      <c r="B9267" s="123">
        <v>1824301.0</v>
      </c>
      <c r="C9267" s="687" t="str">
        <f>IFERROR(__xludf.DUMMYFUNCTION("GOOGLEFINANCE(A9267,""name"")"),"#N/A")</f>
        <v>#N/A</v>
      </c>
      <c r="D9267" s="125"/>
    </row>
    <row r="9268">
      <c r="A9268" s="122" t="s">
        <v>35016</v>
      </c>
      <c r="B9268" s="123">
        <v>1851959.0</v>
      </c>
      <c r="C9268" s="687" t="str">
        <f>IFERROR(__xludf.DUMMYFUNCTION("GOOGLEFINANCE(A9268,""name"")"),"#N/A")</f>
        <v>#N/A</v>
      </c>
      <c r="D9268" s="125"/>
    </row>
    <row r="9269">
      <c r="A9269" s="122" t="s">
        <v>35017</v>
      </c>
      <c r="B9269" s="123">
        <v>1851959.0</v>
      </c>
      <c r="C9269" s="687" t="str">
        <f>IFERROR(__xludf.DUMMYFUNCTION("GOOGLEFINANCE(A9269,""name"")"),"#N/A")</f>
        <v>#N/A</v>
      </c>
      <c r="D9269" s="125"/>
    </row>
    <row r="9270">
      <c r="A9270" s="122" t="s">
        <v>35018</v>
      </c>
      <c r="B9270" s="123">
        <v>1851961.0</v>
      </c>
      <c r="C9270" s="687" t="str">
        <f>IFERROR(__xludf.DUMMYFUNCTION("GOOGLEFINANCE(A9270,""name"")"),"#N/A")</f>
        <v>#N/A</v>
      </c>
      <c r="D9270" s="125"/>
    </row>
    <row r="9271">
      <c r="A9271" s="122" t="s">
        <v>35019</v>
      </c>
      <c r="B9271" s="123">
        <v>1851961.0</v>
      </c>
      <c r="C9271" s="687" t="str">
        <f>IFERROR(__xludf.DUMMYFUNCTION("GOOGLEFINANCE(A9271,""name"")"),"#N/A")</f>
        <v>#N/A</v>
      </c>
      <c r="D9271" s="125"/>
    </row>
    <row r="9272">
      <c r="A9272" s="122" t="s">
        <v>35020</v>
      </c>
      <c r="B9272" s="123">
        <v>1502292.0</v>
      </c>
      <c r="C9272" s="687" t="str">
        <f>IFERROR(__xludf.DUMMYFUNCTION("GOOGLEFINANCE(A9272,""name"")"),"#N/A")</f>
        <v>#N/A</v>
      </c>
      <c r="D9272" s="125"/>
    </row>
    <row r="9273">
      <c r="A9273" s="122" t="s">
        <v>35021</v>
      </c>
      <c r="B9273" s="123">
        <v>1787005.0</v>
      </c>
      <c r="C9273" s="687" t="str">
        <f>IFERROR(__xludf.DUMMYFUNCTION("GOOGLEFINANCE(A9273,""name"")"),"#N/A")</f>
        <v>#N/A</v>
      </c>
      <c r="D9273" s="125"/>
    </row>
    <row r="9274">
      <c r="A9274" s="122" t="s">
        <v>35022</v>
      </c>
      <c r="B9274" s="123">
        <v>1224608.0</v>
      </c>
      <c r="C9274" s="687" t="str">
        <f>IFERROR(__xludf.DUMMYFUNCTION("GOOGLEFINANCE(A9274,""name"")"),"#N/A")</f>
        <v>#N/A</v>
      </c>
      <c r="D9274" s="125"/>
    </row>
    <row r="9275">
      <c r="A9275" s="122" t="s">
        <v>35023</v>
      </c>
      <c r="B9275" s="123">
        <v>1690996.0</v>
      </c>
      <c r="C9275" s="687" t="str">
        <f>IFERROR(__xludf.DUMMYFUNCTION("GOOGLEFINANCE(A9275,""name"")"),"#N/A")</f>
        <v>#N/A</v>
      </c>
      <c r="D9275" s="125"/>
    </row>
    <row r="9276">
      <c r="A9276" s="122" t="s">
        <v>35024</v>
      </c>
      <c r="B9276" s="123">
        <v>1737936.0</v>
      </c>
      <c r="C9276" s="687" t="str">
        <f>IFERROR(__xludf.DUMMYFUNCTION("GOOGLEFINANCE(A9276,""name"")"),"#N/A")</f>
        <v>#N/A</v>
      </c>
      <c r="D9276" s="125"/>
    </row>
    <row r="9277">
      <c r="A9277" s="122" t="s">
        <v>35025</v>
      </c>
      <c r="B9277" s="123">
        <v>1835268.0</v>
      </c>
      <c r="C9277" s="687" t="str">
        <f>IFERROR(__xludf.DUMMYFUNCTION("GOOGLEFINANCE(A9277,""name"")"),"Connect Biopharma Holdings Ltd")</f>
        <v>Connect Biopharma Holdings Ltd</v>
      </c>
      <c r="D9277" s="125"/>
    </row>
    <row r="9278">
      <c r="A9278" s="122" t="s">
        <v>35026</v>
      </c>
      <c r="B9278" s="123">
        <v>1847986.0</v>
      </c>
      <c r="C9278" s="687" t="str">
        <f>IFERROR(__xludf.DUMMYFUNCTION("GOOGLEFINANCE(A9278,""name"")"),"#N/A")</f>
        <v>#N/A</v>
      </c>
      <c r="D9278" s="125"/>
    </row>
    <row r="9279">
      <c r="A9279" s="122" t="s">
        <v>35027</v>
      </c>
      <c r="B9279" s="123">
        <v>1847986.0</v>
      </c>
      <c r="C9279" s="687" t="str">
        <f>IFERROR(__xludf.DUMMYFUNCTION("GOOGLEFINANCE(A9279,""name"")"),"#N/A")</f>
        <v>#N/A</v>
      </c>
      <c r="D9279" s="125"/>
    </row>
    <row r="9280">
      <c r="A9280" s="122" t="s">
        <v>35028</v>
      </c>
      <c r="B9280" s="123">
        <v>1847986.0</v>
      </c>
      <c r="C9280" s="687" t="str">
        <f>IFERROR(__xludf.DUMMYFUNCTION("GOOGLEFINANCE(A9280,""name"")"),"#N/A")</f>
        <v>#N/A</v>
      </c>
      <c r="D9280" s="125"/>
    </row>
    <row r="9281">
      <c r="A9281" s="122" t="s">
        <v>35029</v>
      </c>
      <c r="B9281" s="123">
        <v>1704715.0</v>
      </c>
      <c r="C9281" s="687" t="str">
        <f>IFERROR(__xludf.DUMMYFUNCTION("GOOGLEFINANCE(A9281,""name"")"),"#N/A")</f>
        <v>#N/A</v>
      </c>
      <c r="D9281" s="125"/>
    </row>
    <row r="9282">
      <c r="A9282" s="122" t="s">
        <v>35030</v>
      </c>
      <c r="B9282" s="123">
        <v>1787640.0</v>
      </c>
      <c r="C9282" s="687" t="str">
        <f>IFERROR(__xludf.DUMMYFUNCTION("GOOGLEFINANCE(A9282,""name"")"),"#N/A")</f>
        <v>#N/A</v>
      </c>
      <c r="D9282" s="125"/>
    </row>
    <row r="9283">
      <c r="A9283" s="122" t="s">
        <v>35031</v>
      </c>
      <c r="B9283" s="123">
        <v>1345126.0</v>
      </c>
      <c r="C9283" s="687" t="str">
        <f>IFERROR(__xludf.DUMMYFUNCTION("GOOGLEFINANCE(A9283,""name"")"),"#N/A")</f>
        <v>#N/A</v>
      </c>
      <c r="D9283" s="125"/>
    </row>
    <row r="9284">
      <c r="A9284" s="122" t="s">
        <v>35032</v>
      </c>
      <c r="B9284" s="123">
        <v>1345126.0</v>
      </c>
      <c r="C9284" s="687" t="str">
        <f>IFERROR(__xludf.DUMMYFUNCTION("GOOGLEFINANCE(A9284,""name"")"),"#N/A")</f>
        <v>#N/A</v>
      </c>
      <c r="D9284" s="125"/>
    </row>
    <row r="9285">
      <c r="A9285" s="122" t="s">
        <v>35033</v>
      </c>
      <c r="B9285" s="123">
        <v>1345126.0</v>
      </c>
      <c r="C9285" s="687" t="str">
        <f>IFERROR(__xludf.DUMMYFUNCTION("GOOGLEFINANCE(A9285,""name"")"),"#N/A")</f>
        <v>#N/A</v>
      </c>
      <c r="D9285" s="125"/>
    </row>
    <row r="9286">
      <c r="A9286" s="122" t="s">
        <v>35034</v>
      </c>
      <c r="B9286" s="123">
        <v>927628.0</v>
      </c>
      <c r="C9286" s="687" t="str">
        <f>IFERROR(__xludf.DUMMYFUNCTION("GOOGLEFINANCE(A9286,""name"")"),"#N/A")</f>
        <v>#N/A</v>
      </c>
      <c r="D9286" s="125"/>
    </row>
    <row r="9287">
      <c r="A9287" s="122" t="s">
        <v>35035</v>
      </c>
      <c r="B9287" s="123">
        <v>927628.0</v>
      </c>
      <c r="C9287" s="687" t="str">
        <f>IFERROR(__xludf.DUMMYFUNCTION("GOOGLEFINANCE(A9287,""name"")"),"#N/A")</f>
        <v>#N/A</v>
      </c>
      <c r="D9287" s="125"/>
    </row>
    <row r="9288">
      <c r="A9288" s="122" t="s">
        <v>35036</v>
      </c>
      <c r="B9288" s="123">
        <v>927628.0</v>
      </c>
      <c r="C9288" s="687" t="str">
        <f>IFERROR(__xludf.DUMMYFUNCTION("GOOGLEFINANCE(A9288,""name"")"),"#N/A")</f>
        <v>#N/A</v>
      </c>
      <c r="D9288" s="125"/>
    </row>
    <row r="9289">
      <c r="A9289" s="122" t="s">
        <v>35037</v>
      </c>
      <c r="B9289" s="123">
        <v>927628.0</v>
      </c>
      <c r="C9289" s="687" t="str">
        <f>IFERROR(__xludf.DUMMYFUNCTION("GOOGLEFINANCE(A9289,""name"")"),"#N/A")</f>
        <v>#N/A</v>
      </c>
      <c r="D9289" s="125"/>
    </row>
    <row r="9290">
      <c r="A9290" s="122" t="s">
        <v>35038</v>
      </c>
      <c r="B9290" s="123">
        <v>927628.0</v>
      </c>
      <c r="C9290" s="687" t="str">
        <f>IFERROR(__xludf.DUMMYFUNCTION("GOOGLEFINANCE(A9290,""name"")"),"#N/A")</f>
        <v>#N/A</v>
      </c>
      <c r="D9290" s="125"/>
    </row>
    <row r="9291">
      <c r="A9291" s="122" t="s">
        <v>35039</v>
      </c>
      <c r="B9291" s="123">
        <v>1829615.0</v>
      </c>
      <c r="C9291" s="687" t="str">
        <f>IFERROR(__xludf.DUMMYFUNCTION("GOOGLEFINANCE(A9291,""name"")"),"#N/A")</f>
        <v>#N/A</v>
      </c>
      <c r="D9291" s="125"/>
    </row>
    <row r="9292">
      <c r="A9292" s="122" t="s">
        <v>35040</v>
      </c>
      <c r="B9292" s="123">
        <v>1829615.0</v>
      </c>
      <c r="C9292" s="687" t="str">
        <f>IFERROR(__xludf.DUMMYFUNCTION("GOOGLEFINANCE(A9292,""name"")"),"#N/A")</f>
        <v>#N/A</v>
      </c>
      <c r="D9292" s="125"/>
    </row>
    <row r="9293">
      <c r="A9293" s="122" t="s">
        <v>35041</v>
      </c>
      <c r="B9293" s="123">
        <v>1829615.0</v>
      </c>
      <c r="C9293" s="687" t="str">
        <f>IFERROR(__xludf.DUMMYFUNCTION("GOOGLEFINANCE(A9293,""name"")"),"#N/A")</f>
        <v>#N/A</v>
      </c>
      <c r="D9293" s="125"/>
    </row>
    <row r="9294">
      <c r="A9294" s="122" t="s">
        <v>35042</v>
      </c>
      <c r="B9294" s="123">
        <v>1178727.0</v>
      </c>
      <c r="C9294" s="687" t="str">
        <f>IFERROR(__xludf.DUMMYFUNCTION("GOOGLEFINANCE(A9294,""name"")"),"COMSovereign Holding Corp.")</f>
        <v>COMSovereign Holding Corp.</v>
      </c>
      <c r="D9294" s="125"/>
    </row>
    <row r="9295">
      <c r="A9295" s="122" t="s">
        <v>35043</v>
      </c>
      <c r="B9295" s="123">
        <v>1347652.0</v>
      </c>
      <c r="C9295" s="687" t="str">
        <f>IFERROR(__xludf.DUMMYFUNCTION("GOOGLEFINANCE(A9295,""name"")"),"#N/A")</f>
        <v>#N/A</v>
      </c>
      <c r="D9295" s="125"/>
    </row>
    <row r="9296">
      <c r="A9296" s="122" t="s">
        <v>35044</v>
      </c>
      <c r="B9296" s="123">
        <v>1842659.0</v>
      </c>
      <c r="C9296" s="687" t="str">
        <f>IFERROR(__xludf.DUMMYFUNCTION("GOOGLEFINANCE(A9296,""name"")"),"#N/A")</f>
        <v>#N/A</v>
      </c>
      <c r="D9296" s="125"/>
    </row>
    <row r="9297">
      <c r="A9297" s="122" t="s">
        <v>35045</v>
      </c>
      <c r="B9297" s="123">
        <v>1842659.0</v>
      </c>
      <c r="C9297" s="687" t="str">
        <f>IFERROR(__xludf.DUMMYFUNCTION("GOOGLEFINANCE(A9297,""name"")"),"#N/A")</f>
        <v>#N/A</v>
      </c>
      <c r="D9297" s="125"/>
    </row>
    <row r="9298">
      <c r="A9298" s="122" t="s">
        <v>35046</v>
      </c>
      <c r="B9298" s="123">
        <v>1842659.0</v>
      </c>
      <c r="C9298" s="687" t="str">
        <f>IFERROR(__xludf.DUMMYFUNCTION("GOOGLEFINANCE(A9298,""name"")"),"#N/A")</f>
        <v>#N/A</v>
      </c>
      <c r="D9298" s="125"/>
    </row>
    <row r="9299">
      <c r="A9299" s="122" t="s">
        <v>35047</v>
      </c>
      <c r="B9299" s="123">
        <v>1024305.0</v>
      </c>
      <c r="C9299" s="687" t="str">
        <f>IFERROR(__xludf.DUMMYFUNCTION("GOOGLEFINANCE(A9299,""name"")"),"Coty Inc")</f>
        <v>Coty Inc</v>
      </c>
      <c r="D9299" s="125"/>
    </row>
    <row r="9300">
      <c r="A9300" s="122" t="s">
        <v>35048</v>
      </c>
      <c r="B9300" s="123">
        <v>1385867.0</v>
      </c>
      <c r="C9300" s="687" t="str">
        <f>IFERROR(__xludf.DUMMYFUNCTION("GOOGLEFINANCE(A9300,""name"")"),"#N/A")</f>
        <v>#N/A</v>
      </c>
      <c r="D9300" s="125"/>
    </row>
    <row r="9301">
      <c r="A9301" s="122" t="s">
        <v>35049</v>
      </c>
      <c r="B9301" s="123">
        <v>1651562.0</v>
      </c>
      <c r="C9301" s="687" t="str">
        <f>IFERROR(__xludf.DUMMYFUNCTION("GOOGLEFINANCE(A9301,""name"")"),"Coursera Inc")</f>
        <v>Coursera Inc</v>
      </c>
      <c r="D9301" s="125"/>
    </row>
    <row r="9302">
      <c r="A9302" s="122" t="s">
        <v>35050</v>
      </c>
      <c r="B9302" s="123">
        <v>1450307.0</v>
      </c>
      <c r="C9302" s="687" t="str">
        <f>IFERROR(__xludf.DUMMYFUNCTION("GOOGLEFINANCE(A9302,""name"")"),"Corporate Universe Ord Shs")</f>
        <v>Corporate Universe Ord Shs</v>
      </c>
      <c r="D9302" s="125"/>
    </row>
    <row r="9303">
      <c r="A9303" s="122" t="s">
        <v>35051</v>
      </c>
      <c r="B9303" s="123">
        <v>1837160.0</v>
      </c>
      <c r="C9303" s="687" t="str">
        <f>IFERROR(__xludf.DUMMYFUNCTION("GOOGLEFINANCE(A9303,""name"")"),"#N/A")</f>
        <v>#N/A</v>
      </c>
      <c r="D9303" s="125"/>
    </row>
    <row r="9304">
      <c r="A9304" s="122" t="s">
        <v>35052</v>
      </c>
      <c r="B9304" s="123">
        <v>1837160.0</v>
      </c>
      <c r="C9304" s="687" t="str">
        <f>IFERROR(__xludf.DUMMYFUNCTION("GOOGLEFINANCE(A9304,""name"")"),"#N/A")</f>
        <v>#N/A</v>
      </c>
      <c r="D9304" s="125"/>
    </row>
    <row r="9305">
      <c r="A9305" s="122" t="s">
        <v>35053</v>
      </c>
      <c r="B9305" s="123">
        <v>1837160.0</v>
      </c>
      <c r="C9305" s="687" t="str">
        <f>IFERROR(__xludf.DUMMYFUNCTION("GOOGLEFINANCE(A9305,""name"")"),"#N/A")</f>
        <v>#N/A</v>
      </c>
      <c r="D9305" s="125"/>
    </row>
    <row r="9306">
      <c r="A9306" s="122" t="s">
        <v>35054</v>
      </c>
      <c r="B9306" s="123">
        <v>1466538.0</v>
      </c>
      <c r="C9306" s="687" t="str">
        <f>IFERROR(__xludf.DUMMYFUNCTION("GOOGLEFINANCE(A9306,""name"")"),"#N/A")</f>
        <v>#N/A</v>
      </c>
      <c r="D9306" s="125"/>
    </row>
    <row r="9307">
      <c r="A9307" s="122" t="s">
        <v>35055</v>
      </c>
      <c r="B9307" s="123">
        <v>1466538.0</v>
      </c>
      <c r="C9307" s="687" t="str">
        <f>IFERROR(__xludf.DUMMYFUNCTION("GOOGLEFINANCE(A9307,""name"")"),"#N/A")</f>
        <v>#N/A</v>
      </c>
      <c r="D9307" s="125"/>
    </row>
    <row r="9308">
      <c r="A9308" s="122" t="s">
        <v>35056</v>
      </c>
      <c r="B9308" s="123">
        <v>312070.0</v>
      </c>
      <c r="C9308" s="687" t="str">
        <f>IFERROR(__xludf.DUMMYFUNCTION("GOOGLEFINANCE(A9308,""name"")"),"#N/A")</f>
        <v>#N/A</v>
      </c>
      <c r="D9308" s="125"/>
    </row>
    <row r="9309">
      <c r="A9309" s="122" t="s">
        <v>35057</v>
      </c>
      <c r="B9309" s="123">
        <v>1841137.0</v>
      </c>
      <c r="C9309" s="687" t="str">
        <f>IFERROR(__xludf.DUMMYFUNCTION("GOOGLEFINANCE(A9309,""name"")"),"#N/A")</f>
        <v>#N/A</v>
      </c>
      <c r="D9309" s="125"/>
    </row>
    <row r="9310">
      <c r="A9310" s="122" t="s">
        <v>35058</v>
      </c>
      <c r="B9310" s="123">
        <v>1841137.0</v>
      </c>
      <c r="C9310" s="687" t="str">
        <f>IFERROR(__xludf.DUMMYFUNCTION("GOOGLEFINANCE(A9310,""name"")"),"#N/A")</f>
        <v>#N/A</v>
      </c>
      <c r="D9310" s="125"/>
    </row>
    <row r="9311">
      <c r="A9311" s="122" t="s">
        <v>35059</v>
      </c>
      <c r="B9311" s="123">
        <v>1841137.0</v>
      </c>
      <c r="C9311" s="687" t="str">
        <f>IFERROR(__xludf.DUMMYFUNCTION("GOOGLEFINANCE(A9311,""name"")"),"#N/A")</f>
        <v>#N/A</v>
      </c>
      <c r="D9311" s="125"/>
    </row>
    <row r="9312">
      <c r="A9312" s="122" t="s">
        <v>35060</v>
      </c>
      <c r="B9312" s="123">
        <v>1873964.0</v>
      </c>
      <c r="C9312" s="687" t="str">
        <f>IFERROR(__xludf.DUMMYFUNCTION("GOOGLEFINANCE(A9312,""name"")"),"#N/A")</f>
        <v>#N/A</v>
      </c>
      <c r="D9312" s="125"/>
    </row>
    <row r="9313">
      <c r="A9313" s="122" t="s">
        <v>35061</v>
      </c>
      <c r="B9313" s="123">
        <v>1873964.0</v>
      </c>
      <c r="C9313" s="687" t="str">
        <f>IFERROR(__xludf.DUMMYFUNCTION("GOOGLEFINANCE(A9313,""name"")"),"#N/A")</f>
        <v>#N/A</v>
      </c>
      <c r="D9313" s="125"/>
    </row>
    <row r="9314">
      <c r="A9314" s="122" t="s">
        <v>35062</v>
      </c>
      <c r="B9314" s="123">
        <v>1873964.0</v>
      </c>
      <c r="C9314" s="687" t="str">
        <f>IFERROR(__xludf.DUMMYFUNCTION("GOOGLEFINANCE(A9314,""name"")"),"#N/A")</f>
        <v>#N/A</v>
      </c>
      <c r="D9314" s="125"/>
    </row>
    <row r="9315">
      <c r="A9315" s="122" t="s">
        <v>35063</v>
      </c>
      <c r="B9315" s="123">
        <v>1848410.0</v>
      </c>
      <c r="C9315" s="687" t="str">
        <f>IFERROR(__xludf.DUMMYFUNCTION("GOOGLEFINANCE(A9315,""name"")"),"#N/A")</f>
        <v>#N/A</v>
      </c>
      <c r="D9315" s="125"/>
    </row>
    <row r="9316">
      <c r="A9316" s="122" t="s">
        <v>35064</v>
      </c>
      <c r="B9316" s="123">
        <v>1848410.0</v>
      </c>
      <c r="C9316" s="687" t="str">
        <f>IFERROR(__xludf.DUMMYFUNCTION("GOOGLEFINANCE(A9316,""name"")"),"#N/A")</f>
        <v>#N/A</v>
      </c>
      <c r="D9316" s="125"/>
    </row>
    <row r="9317">
      <c r="A9317" s="122" t="s">
        <v>35065</v>
      </c>
      <c r="B9317" s="123">
        <v>1848410.0</v>
      </c>
      <c r="C9317" s="687" t="str">
        <f>IFERROR(__xludf.DUMMYFUNCTION("GOOGLEFINANCE(A9317,""name"")"),"#N/A")</f>
        <v>#N/A</v>
      </c>
      <c r="D9317" s="125"/>
    </row>
    <row r="9318">
      <c r="A9318" s="122" t="s">
        <v>35066</v>
      </c>
      <c r="B9318" s="123">
        <v>1106644.0</v>
      </c>
      <c r="C9318" s="687" t="str">
        <f>IFERROR(__xludf.DUMMYFUNCTION("GOOGLEFINANCE(A9318,""name"")"),"China Pharma Holdings Inc")</f>
        <v>China Pharma Holdings Inc</v>
      </c>
      <c r="D9318" s="125"/>
    </row>
    <row r="9319">
      <c r="A9319" s="122" t="s">
        <v>35067</v>
      </c>
      <c r="B9319" s="123">
        <v>852747.0</v>
      </c>
      <c r="C9319" s="687" t="str">
        <f>IFERROR(__xludf.DUMMYFUNCTION("GOOGLEFINANCE(A9319,""name"")"),"#N/A")</f>
        <v>#N/A</v>
      </c>
      <c r="D9319" s="125"/>
    </row>
    <row r="9320">
      <c r="A9320" s="122" t="s">
        <v>35068</v>
      </c>
      <c r="B9320" s="123">
        <v>1762562.0</v>
      </c>
      <c r="C9320" s="687" t="str">
        <f>IFERROR(__xludf.DUMMYFUNCTION("GOOGLEFINANCE(A9320,""name"")"),"#N/A")</f>
        <v>#N/A</v>
      </c>
      <c r="D9320" s="125"/>
    </row>
    <row r="9321">
      <c r="A9321" s="122" t="s">
        <v>35069</v>
      </c>
      <c r="B9321" s="123">
        <v>1827899.0</v>
      </c>
      <c r="C9321" s="687" t="str">
        <f>IFERROR(__xludf.DUMMYFUNCTION("GOOGLEFINANCE(A9321,""name"")"),"#N/A")</f>
        <v>#N/A</v>
      </c>
      <c r="D9321" s="125"/>
    </row>
    <row r="9322">
      <c r="A9322" s="122" t="s">
        <v>35070</v>
      </c>
      <c r="B9322" s="123">
        <v>1827899.0</v>
      </c>
      <c r="C9322" s="687" t="str">
        <f>IFERROR(__xludf.DUMMYFUNCTION("GOOGLEFINANCE(A9322,""name"")"),"#N/A")</f>
        <v>#N/A</v>
      </c>
      <c r="D9322" s="125"/>
    </row>
    <row r="9323">
      <c r="A9323" s="122" t="s">
        <v>35071</v>
      </c>
      <c r="B9323" s="123">
        <v>1828608.0</v>
      </c>
      <c r="C9323" s="687" t="str">
        <f>IFERROR(__xludf.DUMMYFUNCTION("GOOGLEFINANCE(A9323,""name"")"),"#N/A")</f>
        <v>#N/A</v>
      </c>
      <c r="D9323" s="125"/>
    </row>
    <row r="9324">
      <c r="A9324" s="122" t="s">
        <v>35072</v>
      </c>
      <c r="B9324" s="123">
        <v>1828608.0</v>
      </c>
      <c r="C9324" s="687" t="str">
        <f>IFERROR(__xludf.DUMMYFUNCTION("GOOGLEFINANCE(A9324,""name"")"),"#N/A")</f>
        <v>#N/A</v>
      </c>
      <c r="D9324" s="125"/>
    </row>
    <row r="9325">
      <c r="A9325" s="122" t="s">
        <v>35073</v>
      </c>
      <c r="B9325" s="123">
        <v>1828608.0</v>
      </c>
      <c r="C9325" s="687" t="str">
        <f>IFERROR(__xludf.DUMMYFUNCTION("GOOGLEFINANCE(A9325,""name"")"),"#N/A")</f>
        <v>#N/A</v>
      </c>
      <c r="D9325" s="125"/>
    </row>
    <row r="9326">
      <c r="A9326" s="122" t="s">
        <v>35074</v>
      </c>
      <c r="B9326" s="123">
        <v>1717457.0</v>
      </c>
      <c r="C9326" s="687" t="str">
        <f>IFERROR(__xludf.DUMMYFUNCTION("GOOGLEFINANCE(A9326,""name"")"),"Calamos Long/Shrt Eqty&amp;DycIncmTrmTst")</f>
        <v>Calamos Long/Shrt Eqty&amp;DycIncmTrmTst</v>
      </c>
      <c r="D9326" s="125"/>
    </row>
    <row r="9327">
      <c r="A9327" s="122" t="s">
        <v>35075</v>
      </c>
      <c r="B9327" s="123">
        <v>1595097.0</v>
      </c>
      <c r="C9327" s="687" t="str">
        <f>IFERROR(__xludf.DUMMYFUNCTION("GOOGLEFINANCE(A9327,""name"")"),"Corbus Pharmaceuticals Holdings Inc")</f>
        <v>Corbus Pharmaceuticals Holdings Inc</v>
      </c>
      <c r="D9327" s="125"/>
    </row>
    <row r="9328">
      <c r="A9328" s="122" t="s">
        <v>35076</v>
      </c>
      <c r="B9328" s="123">
        <v>25475.0</v>
      </c>
      <c r="C9328" s="687" t="str">
        <f>IFERROR(__xludf.DUMMYFUNCTION("GOOGLEFINANCE(A9328,""name"")"),"#N/A")</f>
        <v>#N/A</v>
      </c>
      <c r="D9328" s="125"/>
    </row>
    <row r="9329">
      <c r="A9329" s="122" t="s">
        <v>35077</v>
      </c>
      <c r="B9329" s="123">
        <v>25475.0</v>
      </c>
      <c r="C9329" s="687" t="str">
        <f>IFERROR(__xludf.DUMMYFUNCTION("GOOGLEFINANCE(A9329,""name"")"),"#N/A")</f>
        <v>#N/A</v>
      </c>
      <c r="D9329" s="125"/>
    </row>
    <row r="9330">
      <c r="A9330" s="122" t="s">
        <v>35078</v>
      </c>
      <c r="B9330" s="123">
        <v>1676197.0</v>
      </c>
      <c r="C9330" s="687" t="str">
        <f>IFERROR(__xludf.DUMMYFUNCTION("GOOGLEFINANCE(A9330,""name"")"),"#N/A")</f>
        <v>#N/A</v>
      </c>
      <c r="D9330" s="125"/>
    </row>
    <row r="9331">
      <c r="A9331" s="122" t="s">
        <v>35079</v>
      </c>
      <c r="B9331" s="123">
        <v>1851230.0</v>
      </c>
      <c r="C9331" s="687" t="str">
        <f>IFERROR(__xludf.DUMMYFUNCTION("GOOGLEFINANCE(A9331,""name"")"),"#N/A")</f>
        <v>#N/A</v>
      </c>
      <c r="D9331" s="125"/>
    </row>
    <row r="9332">
      <c r="A9332" s="122" t="s">
        <v>35080</v>
      </c>
      <c r="B9332" s="123">
        <v>1851230.0</v>
      </c>
      <c r="C9332" s="687" t="str">
        <f>IFERROR(__xludf.DUMMYFUNCTION("GOOGLEFINANCE(A9332,""name"")"),"#N/A")</f>
        <v>#N/A</v>
      </c>
      <c r="D9332" s="125"/>
    </row>
    <row r="9333">
      <c r="A9333" s="122" t="s">
        <v>35081</v>
      </c>
      <c r="B9333" s="123">
        <v>1851230.0</v>
      </c>
      <c r="C9333" s="687" t="str">
        <f>IFERROR(__xludf.DUMMYFUNCTION("GOOGLEFINANCE(A9333,""name"")"),"#N/A")</f>
        <v>#N/A</v>
      </c>
      <c r="D9333" s="125"/>
    </row>
    <row r="9334">
      <c r="A9334" s="122" t="s">
        <v>35082</v>
      </c>
      <c r="B9334" s="123">
        <v>1356093.0</v>
      </c>
      <c r="C9334" s="687" t="str">
        <f>IFERROR(__xludf.DUMMYFUNCTION("GOOGLEFINANCE(A9334,""name"")"),"#N/A")</f>
        <v>#N/A</v>
      </c>
      <c r="D9334" s="125"/>
    </row>
    <row r="9335">
      <c r="A9335" s="122" t="s">
        <v>35083</v>
      </c>
      <c r="B9335" s="123">
        <v>1798458.0</v>
      </c>
      <c r="C9335" s="687" t="str">
        <f>IFERROR(__xludf.DUMMYFUNCTION("GOOGLEFINANCE(A9335,""name"")"),"Zhonghe Brand Yunjigou Technology Inc")</f>
        <v>Zhonghe Brand Yunjigou Technology Inc</v>
      </c>
      <c r="D9335" s="125"/>
    </row>
    <row r="9336">
      <c r="A9336" s="122" t="s">
        <v>35084</v>
      </c>
      <c r="B9336" s="123">
        <v>1818212.0</v>
      </c>
      <c r="C9336" s="687" t="str">
        <f>IFERROR(__xludf.DUMMYFUNCTION("GOOGLEFINANCE(A9336,""name"")"),"#N/A")</f>
        <v>#N/A</v>
      </c>
      <c r="D9336" s="125"/>
    </row>
    <row r="9337">
      <c r="A9337" s="122" t="s">
        <v>35085</v>
      </c>
      <c r="B9337" s="123">
        <v>1818212.0</v>
      </c>
      <c r="C9337" s="687" t="str">
        <f>IFERROR(__xludf.DUMMYFUNCTION("GOOGLEFINANCE(A9337,""name"")"),"#N/A")</f>
        <v>#N/A</v>
      </c>
      <c r="D9337" s="125"/>
    </row>
    <row r="9338">
      <c r="A9338" s="122" t="s">
        <v>35086</v>
      </c>
      <c r="B9338" s="123">
        <v>1818212.0</v>
      </c>
      <c r="C9338" s="687" t="str">
        <f>IFERROR(__xludf.DUMMYFUNCTION("GOOGLEFINANCE(A9338,""name"")"),"#N/A")</f>
        <v>#N/A</v>
      </c>
      <c r="D9338" s="125"/>
    </row>
    <row r="9339">
      <c r="A9339" s="122" t="s">
        <v>35087</v>
      </c>
      <c r="B9339" s="123">
        <v>849395.0</v>
      </c>
      <c r="C9339" s="687" t="str">
        <f>IFERROR(__xludf.DUMMYFUNCTION("GOOGLEFINANCE(A9339,""name"")"),"#N/A")</f>
        <v>#N/A</v>
      </c>
      <c r="D9339" s="125"/>
    </row>
    <row r="9340">
      <c r="A9340" s="122" t="s">
        <v>35088</v>
      </c>
      <c r="B9340" s="123">
        <v>1700357.0</v>
      </c>
      <c r="C9340" s="687" t="str">
        <f>IFERROR(__xludf.DUMMYFUNCTION("GOOGLEFINANCE(A9340,""name"")"),"#N/A")</f>
        <v>#N/A</v>
      </c>
      <c r="D9340" s="125"/>
    </row>
    <row r="9341">
      <c r="A9341" s="122" t="s">
        <v>35089</v>
      </c>
      <c r="B9341" s="123">
        <v>1162896.0</v>
      </c>
      <c r="C9341" s="687" t="str">
        <f>IFERROR(__xludf.DUMMYFUNCTION("GOOGLEFINANCE(A9341,""name"")"),"#N/A")</f>
        <v>#N/A</v>
      </c>
      <c r="D9341" s="125"/>
    </row>
    <row r="9342">
      <c r="A9342" s="122" t="s">
        <v>35090</v>
      </c>
      <c r="B9342" s="123">
        <v>1357671.0</v>
      </c>
      <c r="C9342" s="687" t="str">
        <f>IFERROR(__xludf.DUMMYFUNCTION("GOOGLEFINANCE(A9342,""name"")"),"Creatd Inc")</f>
        <v>Creatd Inc</v>
      </c>
      <c r="D9342" s="125"/>
    </row>
    <row r="9343">
      <c r="A9343" s="122" t="s">
        <v>35091</v>
      </c>
      <c r="B9343" s="123">
        <v>1825497.0</v>
      </c>
      <c r="C9343" s="687" t="str">
        <f>IFERROR(__xludf.DUMMYFUNCTION("GOOGLEFINANCE(A9343,""name"")"),"#N/A")</f>
        <v>#N/A</v>
      </c>
      <c r="D9343" s="125"/>
    </row>
    <row r="9344">
      <c r="A9344" s="122" t="s">
        <v>35092</v>
      </c>
      <c r="B9344" s="123">
        <v>1825497.0</v>
      </c>
      <c r="C9344" s="687" t="str">
        <f>IFERROR(__xludf.DUMMYFUNCTION("GOOGLEFINANCE(A9344,""name"")"),"#N/A")</f>
        <v>#N/A</v>
      </c>
      <c r="D9344" s="125"/>
    </row>
    <row r="9345">
      <c r="A9345" s="122" t="s">
        <v>35093</v>
      </c>
      <c r="B9345" s="123">
        <v>1817944.0</v>
      </c>
      <c r="C9345" s="687" t="str">
        <f>IFERROR(__xludf.DUMMYFUNCTION("GOOGLEFINANCE(A9345,""name"")"),"#N/A")</f>
        <v>#N/A</v>
      </c>
      <c r="D9345" s="125"/>
    </row>
    <row r="9346">
      <c r="A9346" s="122" t="s">
        <v>35094</v>
      </c>
      <c r="B9346" s="123">
        <v>1817944.0</v>
      </c>
      <c r="C9346" s="687" t="str">
        <f>IFERROR(__xludf.DUMMYFUNCTION("GOOGLEFINANCE(A9346,""name"")"),"#N/A")</f>
        <v>#N/A</v>
      </c>
      <c r="D9346" s="125"/>
    </row>
    <row r="9347">
      <c r="A9347" s="122" t="s">
        <v>35095</v>
      </c>
      <c r="B9347" s="123">
        <v>1817944.0</v>
      </c>
      <c r="C9347" s="687" t="str">
        <f>IFERROR(__xludf.DUMMYFUNCTION("GOOGLEFINANCE(A9347,""name"")"),"#N/A")</f>
        <v>#N/A</v>
      </c>
      <c r="D9347" s="125"/>
    </row>
    <row r="9348">
      <c r="A9348" s="122" t="s">
        <v>35096</v>
      </c>
      <c r="B9348" s="123">
        <v>1817944.0</v>
      </c>
      <c r="C9348" s="687" t="str">
        <f>IFERROR(__xludf.DUMMYFUNCTION("GOOGLEFINANCE(A9348,""name"")"),"#N/A")</f>
        <v>#N/A</v>
      </c>
      <c r="D9348" s="125"/>
    </row>
    <row r="9349">
      <c r="A9349" s="122" t="s">
        <v>35097</v>
      </c>
      <c r="B9349" s="123">
        <v>1844635.0</v>
      </c>
      <c r="C9349" s="687" t="str">
        <f>IFERROR(__xludf.DUMMYFUNCTION("GOOGLEFINANCE(A9349,""name"")"),"#N/A")</f>
        <v>#N/A</v>
      </c>
      <c r="D9349" s="125"/>
    </row>
    <row r="9350">
      <c r="A9350" s="122" t="s">
        <v>35098</v>
      </c>
      <c r="B9350" s="123">
        <v>1844635.0</v>
      </c>
      <c r="C9350" s="687" t="str">
        <f>IFERROR(__xludf.DUMMYFUNCTION("GOOGLEFINANCE(A9350,""name"")"),"#N/A")</f>
        <v>#N/A</v>
      </c>
      <c r="D9350" s="125"/>
    </row>
    <row r="9351">
      <c r="A9351" s="122" t="s">
        <v>35099</v>
      </c>
      <c r="B9351" s="123">
        <v>1844635.0</v>
      </c>
      <c r="C9351" s="687" t="str">
        <f>IFERROR(__xludf.DUMMYFUNCTION("GOOGLEFINANCE(A9351,""name"")"),"#N/A")</f>
        <v>#N/A</v>
      </c>
      <c r="D9351" s="125"/>
    </row>
    <row r="9352">
      <c r="A9352" s="122" t="s">
        <v>35100</v>
      </c>
      <c r="B9352" s="123">
        <v>1747661.0</v>
      </c>
      <c r="C9352" s="687" t="str">
        <f>IFERROR(__xludf.DUMMYFUNCTION("GOOGLEFINANCE(A9352,""name"")"),"#N/A")</f>
        <v>#N/A</v>
      </c>
      <c r="D9352" s="125"/>
    </row>
    <row r="9353">
      <c r="A9353" s="122" t="s">
        <v>35101</v>
      </c>
      <c r="B9353" s="123">
        <v>1159510.0</v>
      </c>
      <c r="C9353" s="687" t="str">
        <f>IFERROR(__xludf.DUMMYFUNCTION("GOOGLEFINANCE(A9353,""name"")"),"#N/A")</f>
        <v>#N/A</v>
      </c>
      <c r="D9353" s="125"/>
    </row>
    <row r="9354">
      <c r="A9354" s="122" t="s">
        <v>35102</v>
      </c>
      <c r="B9354" s="123">
        <v>1180145.0</v>
      </c>
      <c r="C9354" s="687" t="str">
        <f>IFERROR(__xludf.DUMMYFUNCTION("GOOGLEFINANCE(A9354,""name"")"),"#N/A")</f>
        <v>#N/A</v>
      </c>
      <c r="D9354" s="125"/>
    </row>
    <row r="9355">
      <c r="A9355" s="122" t="s">
        <v>35103</v>
      </c>
      <c r="B9355" s="123">
        <v>1451797.0</v>
      </c>
      <c r="C9355" s="687" t="str">
        <f>IFERROR(__xludf.DUMMYFUNCTION("GOOGLEFINANCE(A9355,""name"")"),"#N/A")</f>
        <v>#N/A</v>
      </c>
      <c r="D9355" s="125"/>
    </row>
    <row r="9356">
      <c r="A9356" s="122" t="s">
        <v>35104</v>
      </c>
      <c r="B9356" s="123">
        <v>798359.0</v>
      </c>
      <c r="C9356" s="687" t="str">
        <f>IFERROR(__xludf.DUMMYFUNCTION("GOOGLEFINANCE(A9356,""name"")"),"#N/A")</f>
        <v>#N/A</v>
      </c>
      <c r="D9356" s="125"/>
    </row>
    <row r="9357">
      <c r="A9357" s="122" t="s">
        <v>35105</v>
      </c>
      <c r="B9357" s="123">
        <v>1834032.0</v>
      </c>
      <c r="C9357" s="687" t="str">
        <f>IFERROR(__xludf.DUMMYFUNCTION("GOOGLEFINANCE(A9357,""name"")"),"EN EZ CSTAPLES PR")</f>
        <v>EN EZ CSTAPLES PR</v>
      </c>
      <c r="D9357" s="125"/>
    </row>
    <row r="9358">
      <c r="A9358" s="122" t="s">
        <v>35106</v>
      </c>
      <c r="B9358" s="123">
        <v>1834032.0</v>
      </c>
      <c r="C9358" s="687" t="str">
        <f>IFERROR(__xludf.DUMMYFUNCTION("GOOGLEFINANCE(A9358,""name"")"),"#N/A")</f>
        <v>#N/A</v>
      </c>
      <c r="D9358" s="125"/>
    </row>
    <row r="9359">
      <c r="A9359" s="122" t="s">
        <v>35107</v>
      </c>
      <c r="B9359" s="123">
        <v>1834032.0</v>
      </c>
      <c r="C9359" s="687" t="str">
        <f>IFERROR(__xludf.DUMMYFUNCTION("GOOGLEFINANCE(A9359,""name"")"),"#N/A")</f>
        <v>#N/A</v>
      </c>
      <c r="D9359" s="125"/>
    </row>
    <row r="9360">
      <c r="A9360" s="122" t="s">
        <v>35108</v>
      </c>
      <c r="B9360" s="123">
        <v>30554.0</v>
      </c>
      <c r="C9360" s="687" t="str">
        <f>IFERROR(__xludf.DUMMYFUNCTION("GOOGLEFINANCE(A9360,""name"")"),"#N/A")</f>
        <v>#N/A</v>
      </c>
      <c r="D9360" s="125"/>
    </row>
    <row r="9361">
      <c r="A9361" s="122" t="s">
        <v>35109</v>
      </c>
      <c r="B9361" s="123">
        <v>30554.0</v>
      </c>
      <c r="C9361" s="687" t="str">
        <f>IFERROR(__xludf.DUMMYFUNCTION("GOOGLEFINANCE(A9361,""name"")"),"#N/A")</f>
        <v>#N/A</v>
      </c>
      <c r="D9361" s="125"/>
    </row>
    <row r="9362">
      <c r="A9362" s="122" t="s">
        <v>35110</v>
      </c>
      <c r="B9362" s="123">
        <v>18172.0</v>
      </c>
      <c r="C9362" s="687" t="str">
        <f>IFERROR(__xludf.DUMMYFUNCTION("GOOGLEFINANCE(A9362,""name"")"),"#N/A")</f>
        <v>#N/A</v>
      </c>
      <c r="D9362" s="125"/>
    </row>
    <row r="9363">
      <c r="A9363" s="122" t="s">
        <v>35111</v>
      </c>
      <c r="B9363" s="123">
        <v>1823634.0</v>
      </c>
      <c r="C9363" s="687" t="str">
        <f>IFERROR(__xludf.DUMMYFUNCTION("GOOGLEFINANCE(A9363,""name"")"),"#N/A")</f>
        <v>#N/A</v>
      </c>
      <c r="D9363" s="125"/>
    </row>
    <row r="9364">
      <c r="A9364" s="122" t="s">
        <v>35112</v>
      </c>
      <c r="B9364" s="123">
        <v>1823634.0</v>
      </c>
      <c r="C9364" s="687" t="str">
        <f>IFERROR(__xludf.DUMMYFUNCTION("GOOGLEFINANCE(A9364,""name"")"),"#N/A")</f>
        <v>#N/A</v>
      </c>
      <c r="D9364" s="125"/>
    </row>
    <row r="9365">
      <c r="A9365" s="122" t="s">
        <v>35113</v>
      </c>
      <c r="B9365" s="123">
        <v>1042187.0</v>
      </c>
      <c r="C9365" s="687" t="str">
        <f>IFERROR(__xludf.DUMMYFUNCTION("GOOGLEFINANCE(A9365,""name"")"),"#N/A")</f>
        <v>#N/A</v>
      </c>
      <c r="D9365" s="125"/>
    </row>
    <row r="9366">
      <c r="A9366" s="122" t="s">
        <v>35114</v>
      </c>
      <c r="B9366" s="123">
        <v>891293.0</v>
      </c>
      <c r="C9366" s="687" t="str">
        <f>IFERROR(__xludf.DUMMYFUNCTION("GOOGLEFINANCE(A9366,""name"")"),"#N/A")</f>
        <v>#N/A</v>
      </c>
      <c r="D9366" s="125"/>
    </row>
    <row r="9367">
      <c r="A9367" s="122" t="s">
        <v>35115</v>
      </c>
      <c r="B9367" s="123">
        <v>23795.0</v>
      </c>
      <c r="C9367" s="687" t="str">
        <f>IFERROR(__xludf.DUMMYFUNCTION("GOOGLEFINANCE(A9367,""name"")"),"#N/A")</f>
        <v>#N/A</v>
      </c>
      <c r="D9367" s="125"/>
    </row>
    <row r="9368">
      <c r="A9368" s="122" t="s">
        <v>35116</v>
      </c>
      <c r="B9368" s="123">
        <v>1709682.0</v>
      </c>
      <c r="C9368" s="687" t="str">
        <f>IFERROR(__xludf.DUMMYFUNCTION("GOOGLEFINANCE(A9368,""name"")"),"#N/A")</f>
        <v>#N/A</v>
      </c>
      <c r="D9368" s="125"/>
    </row>
    <row r="9369">
      <c r="A9369" s="122" t="s">
        <v>35117</v>
      </c>
      <c r="B9369" s="123">
        <v>1835378.0</v>
      </c>
      <c r="C9369" s="687" t="str">
        <f>IFERROR(__xludf.DUMMYFUNCTION("GOOGLEFINANCE(A9369,""name"")"),"#N/A")</f>
        <v>#N/A</v>
      </c>
      <c r="D9369" s="125"/>
    </row>
    <row r="9370">
      <c r="A9370" s="122" t="s">
        <v>35118</v>
      </c>
      <c r="B9370" s="123">
        <v>877890.0</v>
      </c>
      <c r="C9370" s="687" t="str">
        <f>IFERROR(__xludf.DUMMYFUNCTION("GOOGLEFINANCE(A9370,""name"")"),"#N/A")</f>
        <v>#N/A</v>
      </c>
      <c r="D9370" s="125"/>
    </row>
    <row r="9371">
      <c r="A9371" s="122" t="s">
        <v>35119</v>
      </c>
      <c r="B9371" s="123">
        <v>1488813.0</v>
      </c>
      <c r="C9371" s="687" t="str">
        <f>IFERROR(__xludf.DUMMYFUNCTION("GOOGLEFINANCE(A9371,""name"")"),"#N/A")</f>
        <v>#N/A</v>
      </c>
      <c r="D9371" s="125"/>
    </row>
    <row r="9372">
      <c r="A9372" s="122" t="s">
        <v>35120</v>
      </c>
      <c r="B9372" s="123">
        <v>1488813.0</v>
      </c>
      <c r="C9372" s="687" t="str">
        <f>IFERROR(__xludf.DUMMYFUNCTION("GOOGLEFINANCE(A9372,""name"")"),"#N/A")</f>
        <v>#N/A</v>
      </c>
      <c r="D9372" s="125"/>
    </row>
    <row r="9373">
      <c r="A9373" s="122" t="s">
        <v>35121</v>
      </c>
      <c r="B9373" s="123">
        <v>1643301.0</v>
      </c>
      <c r="C9373" s="687" t="str">
        <f>IFERROR(__xludf.DUMMYFUNCTION("GOOGLEFINANCE(A9373,""name"")"),"CURRENC Group Inc")</f>
        <v>CURRENC Group Inc</v>
      </c>
      <c r="D9373" s="125"/>
    </row>
    <row r="9374">
      <c r="A9374" s="122" t="s">
        <v>35122</v>
      </c>
      <c r="B9374" s="123">
        <v>1752836.0</v>
      </c>
      <c r="C9374" s="687" t="str">
        <f>IFERROR(__xludf.DUMMYFUNCTION("GOOGLEFINANCE(A9374,""name"")"),"#N/A")</f>
        <v>#N/A</v>
      </c>
      <c r="D9374" s="125"/>
    </row>
    <row r="9375">
      <c r="A9375" s="122" t="s">
        <v>35123</v>
      </c>
      <c r="B9375" s="123">
        <v>1871717.0</v>
      </c>
      <c r="C9375" s="687" t="str">
        <f>IFERROR(__xludf.DUMMYFUNCTION("GOOGLEFINANCE(A9375,""name"")"),"#N/A")</f>
        <v>#N/A</v>
      </c>
      <c r="D9375" s="125"/>
    </row>
    <row r="9376">
      <c r="A9376" s="122" t="s">
        <v>35124</v>
      </c>
      <c r="B9376" s="123">
        <v>1828248.0</v>
      </c>
      <c r="C9376" s="687" t="str">
        <f>IFERROR(__xludf.DUMMYFUNCTION("GOOGLEFINANCE(A9376,""name"")"),"#N/A")</f>
        <v>#N/A</v>
      </c>
      <c r="D9376" s="125"/>
    </row>
    <row r="9377">
      <c r="A9377" s="122" t="s">
        <v>35125</v>
      </c>
      <c r="B9377" s="123">
        <v>1828248.0</v>
      </c>
      <c r="C9377" s="687" t="str">
        <f>IFERROR(__xludf.DUMMYFUNCTION("GOOGLEFINANCE(A9377,""name"")"),"#N/A")</f>
        <v>#N/A</v>
      </c>
      <c r="D9377" s="125"/>
    </row>
    <row r="9378">
      <c r="A9378" s="122" t="s">
        <v>35126</v>
      </c>
      <c r="B9378" s="123">
        <v>889348.0</v>
      </c>
      <c r="C9378" s="687" t="str">
        <f>IFERROR(__xludf.DUMMYFUNCTION("GOOGLEFINANCE(A9378,""name"")"),"#N/A")</f>
        <v>#N/A</v>
      </c>
      <c r="D9378" s="125"/>
    </row>
    <row r="9379">
      <c r="A9379" s="122" t="s">
        <v>35127</v>
      </c>
      <c r="B9379" s="123">
        <v>1567683.0</v>
      </c>
      <c r="C9379" s="687" t="str">
        <f>IFERROR(__xludf.DUMMYFUNCTION("GOOGLEFINANCE(A9379,""name"")"),"#N/A")</f>
        <v>#N/A</v>
      </c>
      <c r="D9379" s="125"/>
    </row>
    <row r="9380">
      <c r="A9380" s="122" t="s">
        <v>35128</v>
      </c>
      <c r="B9380" s="123">
        <v>1466538.0</v>
      </c>
      <c r="C9380" s="687" t="str">
        <f>IFERROR(__xludf.DUMMYFUNCTION("GOOGLEFINANCE(A9380,""name"")"),"#N/A")</f>
        <v>#N/A</v>
      </c>
      <c r="D9380" s="125"/>
    </row>
    <row r="9381">
      <c r="A9381" s="122" t="s">
        <v>35129</v>
      </c>
      <c r="B9381" s="123">
        <v>1856242.0</v>
      </c>
      <c r="C9381" s="687" t="str">
        <f>IFERROR(__xludf.DUMMYFUNCTION("GOOGLEFINANCE(A9381,""name"")"),"#N/A")</f>
        <v>#N/A</v>
      </c>
      <c r="D9381" s="125"/>
    </row>
    <row r="9382">
      <c r="A9382" s="122" t="s">
        <v>35130</v>
      </c>
      <c r="B9382" s="123">
        <v>1856242.0</v>
      </c>
      <c r="C9382" s="687" t="str">
        <f>IFERROR(__xludf.DUMMYFUNCTION("GOOGLEFINANCE(A9382,""name"")"),"#N/A")</f>
        <v>#N/A</v>
      </c>
      <c r="D9382" s="125"/>
    </row>
    <row r="9383">
      <c r="A9383" s="122" t="s">
        <v>35131</v>
      </c>
      <c r="B9383" s="123">
        <v>1856242.0</v>
      </c>
      <c r="C9383" s="687" t="str">
        <f>IFERROR(__xludf.DUMMYFUNCTION("GOOGLEFINANCE(A9383,""name"")"),"#N/A")</f>
        <v>#N/A</v>
      </c>
      <c r="D9383" s="125"/>
    </row>
    <row r="9384">
      <c r="A9384" s="122" t="s">
        <v>35132</v>
      </c>
      <c r="B9384" s="123">
        <v>1353970.0</v>
      </c>
      <c r="C9384" s="687" t="str">
        <f>IFERROR(__xludf.DUMMYFUNCTION("GOOGLEFINANCE(A9384,""name"")"),"#N/A")</f>
        <v>#N/A</v>
      </c>
      <c r="D9384" s="125"/>
    </row>
    <row r="9385">
      <c r="A9385" s="122" t="s">
        <v>35133</v>
      </c>
      <c r="B9385" s="123">
        <v>1502557.0</v>
      </c>
      <c r="C9385" s="687" t="str">
        <f>IFERROR(__xludf.DUMMYFUNCTION("GOOGLEFINANCE(A9385,""name"")"),"#N/A")</f>
        <v>#N/A</v>
      </c>
      <c r="D9385" s="125"/>
    </row>
    <row r="9386">
      <c r="A9386" s="122" t="s">
        <v>35134</v>
      </c>
      <c r="B9386" s="123">
        <v>1084577.0</v>
      </c>
      <c r="C9386" s="687" t="str">
        <f>IFERROR(__xludf.DUMMYFUNCTION("GOOGLEFINANCE(A9386,""name"")"),"#N/A")</f>
        <v>#N/A</v>
      </c>
      <c r="D9386" s="125"/>
    </row>
    <row r="9387">
      <c r="A9387" s="122" t="s">
        <v>35135</v>
      </c>
      <c r="B9387" s="123">
        <v>1124524.0</v>
      </c>
      <c r="C9387" s="687" t="str">
        <f>IFERROR(__xludf.DUMMYFUNCTION("GOOGLEFINANCE(A9387,""name"")"),"CryoPort Inc")</f>
        <v>CryoPort Inc</v>
      </c>
      <c r="D9387" s="125"/>
    </row>
    <row r="9388">
      <c r="A9388" s="122" t="s">
        <v>35136</v>
      </c>
      <c r="B9388" s="123">
        <v>799698.0</v>
      </c>
      <c r="C9388" s="687" t="str">
        <f>IFERROR(__xludf.DUMMYFUNCTION("GOOGLEFINANCE(A9388,""name"")"),"#N/A")</f>
        <v>#N/A</v>
      </c>
      <c r="D9388" s="125"/>
    </row>
    <row r="9389">
      <c r="A9389" s="122" t="s">
        <v>35137</v>
      </c>
      <c r="B9389" s="123">
        <v>1794905.0</v>
      </c>
      <c r="C9389" s="687" t="str">
        <f>IFERROR(__xludf.DUMMYFUNCTION("GOOGLEFINANCE(A9389,""name"")"),"#N/A")</f>
        <v>#N/A</v>
      </c>
      <c r="D9389" s="125"/>
    </row>
    <row r="9390">
      <c r="A9390" s="122" t="s">
        <v>35138</v>
      </c>
      <c r="B9390" s="123">
        <v>1381871.0</v>
      </c>
      <c r="C9390" s="687" t="str">
        <f>IFERROR(__xludf.DUMMYFUNCTION("GOOGLEFINANCE(A9390,""name"")"),"#N/A")</f>
        <v>#N/A</v>
      </c>
      <c r="D9390" s="125"/>
    </row>
    <row r="9391">
      <c r="A9391" s="122" t="s">
        <v>35139</v>
      </c>
      <c r="B9391" s="123">
        <v>1859639.0</v>
      </c>
      <c r="C9391" s="687" t="str">
        <f>IFERROR(__xludf.DUMMYFUNCTION("GOOGLEFINANCE(A9391,""name"")"),"#N/A")</f>
        <v>#N/A</v>
      </c>
      <c r="D9391" s="125"/>
    </row>
    <row r="9392">
      <c r="A9392" s="122" t="s">
        <v>35140</v>
      </c>
      <c r="B9392" s="123">
        <v>1863294.0</v>
      </c>
      <c r="C9392" s="687" t="str">
        <f>IFERROR(__xludf.DUMMYFUNCTION("GOOGLEFINANCE(A9392,""name"")"),"#N/A")</f>
        <v>#N/A</v>
      </c>
      <c r="D9392" s="125"/>
    </row>
    <row r="9393">
      <c r="A9393" s="122" t="s">
        <v>35141</v>
      </c>
      <c r="B9393" s="123">
        <v>1870471.0</v>
      </c>
      <c r="C9393" s="687" t="str">
        <f>IFERROR(__xludf.DUMMYFUNCTION("GOOGLEFINANCE(A9393,""name"")"),"#N/A")</f>
        <v>#N/A</v>
      </c>
      <c r="D9393" s="125"/>
    </row>
    <row r="9394">
      <c r="A9394" s="122" t="s">
        <v>35142</v>
      </c>
      <c r="B9394" s="123">
        <v>1870471.0</v>
      </c>
      <c r="C9394" s="687" t="str">
        <f>IFERROR(__xludf.DUMMYFUNCTION("GOOGLEFINANCE(A9394,""name"")"),"#N/A")</f>
        <v>#N/A</v>
      </c>
      <c r="D9394" s="125"/>
    </row>
    <row r="9395">
      <c r="A9395" s="122" t="s">
        <v>35143</v>
      </c>
      <c r="B9395" s="123">
        <v>1870471.0</v>
      </c>
      <c r="C9395" s="687" t="str">
        <f>IFERROR(__xludf.DUMMYFUNCTION("GOOGLEFINANCE(A9395,""name"")"),"#N/A")</f>
        <v>#N/A</v>
      </c>
      <c r="D9395" s="125"/>
    </row>
    <row r="9396">
      <c r="A9396" s="122" t="s">
        <v>35144</v>
      </c>
      <c r="B9396" s="123">
        <v>1656081.0</v>
      </c>
      <c r="C9396" s="687" t="str">
        <f>IFERROR(__xludf.DUMMYFUNCTION("GOOGLEFINANCE(A9396,""name"")"),"Endava PLC - ADR")</f>
        <v>Endava PLC - ADR</v>
      </c>
      <c r="D9396" s="125"/>
    </row>
    <row r="9397">
      <c r="A9397" s="122" t="s">
        <v>35145</v>
      </c>
      <c r="B9397" s="123">
        <v>1841408.0</v>
      </c>
      <c r="C9397" s="687" t="str">
        <f>IFERROR(__xludf.DUMMYFUNCTION("GOOGLEFINANCE(A9397,""name"")"),"Dave Inc")</f>
        <v>Dave Inc</v>
      </c>
      <c r="D9397" s="125"/>
    </row>
    <row r="9398">
      <c r="A9398" s="122" t="s">
        <v>35146</v>
      </c>
      <c r="B9398" s="123">
        <v>1845337.0</v>
      </c>
      <c r="C9398" s="687" t="str">
        <f>IFERROR(__xludf.DUMMYFUNCTION("GOOGLEFINANCE(A9398,""name"")"),"Day One Biopharmaceuticals Inc")</f>
        <v>Day One Biopharmaceuticals Inc</v>
      </c>
      <c r="D9398" s="125"/>
    </row>
    <row r="9399">
      <c r="A9399" s="122" t="s">
        <v>35147</v>
      </c>
      <c r="B9399" s="123">
        <v>1679688.0</v>
      </c>
      <c r="C9399" s="687" t="str">
        <f>IFERROR(__xludf.DUMMYFUNCTION("GOOGLEFINANCE(A9399,""name"")"),"#N/A")</f>
        <v>#N/A</v>
      </c>
      <c r="D9399" s="125"/>
    </row>
    <row r="9400">
      <c r="A9400" s="122" t="s">
        <v>35148</v>
      </c>
      <c r="B9400" s="123">
        <v>1679688.0</v>
      </c>
      <c r="C9400" s="687" t="str">
        <f>IFERROR(__xludf.DUMMYFUNCTION("GOOGLEFINANCE(A9400,""name"")"),"#N/A")</f>
        <v>#N/A</v>
      </c>
      <c r="D9400" s="125"/>
    </row>
    <row r="9401">
      <c r="A9401" s="122" t="s">
        <v>35149</v>
      </c>
      <c r="B9401" s="123">
        <v>1679688.0</v>
      </c>
      <c r="C9401" s="687" t="str">
        <f>IFERROR(__xludf.DUMMYFUNCTION("GOOGLEFINANCE(A9401,""name"")"),"#N/A")</f>
        <v>#N/A</v>
      </c>
      <c r="D9401" s="125"/>
    </row>
    <row r="9402">
      <c r="A9402" s="122" t="s">
        <v>35150</v>
      </c>
      <c r="B9402" s="123">
        <v>1383054.0</v>
      </c>
      <c r="C9402" s="687" t="str">
        <f>IFERROR(__xludf.DUMMYFUNCTION("GOOGLEFINANCE(A9402,""name"")"),"#N/A")</f>
        <v>#N/A</v>
      </c>
      <c r="D9402" s="125"/>
    </row>
    <row r="9403">
      <c r="A9403" s="122" t="s">
        <v>35151</v>
      </c>
      <c r="B9403" s="123">
        <v>1656536.0</v>
      </c>
      <c r="C9403" s="687" t="str">
        <f>IFERROR(__xludf.DUMMYFUNCTION("GOOGLEFINANCE(A9403,""name"")"),"#N/A")</f>
        <v>#N/A</v>
      </c>
      <c r="D9403" s="125"/>
    </row>
    <row r="9404">
      <c r="A9404" s="122" t="s">
        <v>35152</v>
      </c>
      <c r="B9404" s="123">
        <v>1852353.0</v>
      </c>
      <c r="C9404" s="687" t="str">
        <f>IFERROR(__xludf.DUMMYFUNCTION("GOOGLEFINANCE(A9404,""name"")"),"#N/A")</f>
        <v>#N/A</v>
      </c>
      <c r="D9404" s="125"/>
    </row>
    <row r="9405">
      <c r="A9405" s="122" t="s">
        <v>35153</v>
      </c>
      <c r="B9405" s="123">
        <v>1498291.0</v>
      </c>
      <c r="C9405" s="687" t="str">
        <f>IFERROR(__xludf.DUMMYFUNCTION("GOOGLEFINANCE(A9405,""name"")"),"Daniels Corporate Advisory Company Inc")</f>
        <v>Daniels Corporate Advisory Company Inc</v>
      </c>
      <c r="D9405" s="125"/>
    </row>
    <row r="9406">
      <c r="A9406" s="122" t="s">
        <v>35154</v>
      </c>
      <c r="B9406" s="123">
        <v>1829959.0</v>
      </c>
      <c r="C9406" s="687" t="str">
        <f>IFERROR(__xludf.DUMMYFUNCTION("GOOGLEFINANCE(A9406,""name"")"),"Docebo Inc")</f>
        <v>Docebo Inc</v>
      </c>
      <c r="D9406" s="125"/>
    </row>
    <row r="9407">
      <c r="A9407" s="122" t="s">
        <v>35155</v>
      </c>
      <c r="B9407" s="123">
        <v>1822359.0</v>
      </c>
      <c r="C9407" s="687" t="str">
        <f>IFERROR(__xludf.DUMMYFUNCTION("GOOGLEFINANCE(A9407,""name"")"),"#N/A")</f>
        <v>#N/A</v>
      </c>
      <c r="D9407" s="125"/>
    </row>
    <row r="9408">
      <c r="A9408" s="122" t="s">
        <v>35156</v>
      </c>
      <c r="B9408" s="123">
        <v>1338065.0</v>
      </c>
      <c r="C9408" s="687" t="str">
        <f>IFERROR(__xludf.DUMMYFUNCTION("GOOGLEFINANCE(A9408,""name"")"),"#N/A")</f>
        <v>#N/A</v>
      </c>
      <c r="D9408" s="125"/>
    </row>
    <row r="9409">
      <c r="A9409" s="122" t="s">
        <v>35157</v>
      </c>
      <c r="B9409" s="123">
        <v>1338065.0</v>
      </c>
      <c r="C9409" s="687" t="str">
        <f>IFERROR(__xludf.DUMMYFUNCTION("GOOGLEFINANCE(A9409,""name"")"),"#N/A")</f>
        <v>#N/A</v>
      </c>
      <c r="D9409" s="125"/>
    </row>
    <row r="9410">
      <c r="A9410" s="122" t="s">
        <v>35158</v>
      </c>
      <c r="B9410" s="123">
        <v>1848959.0</v>
      </c>
      <c r="C9410" s="687" t="str">
        <f>IFERROR(__xludf.DUMMYFUNCTION("GOOGLEFINANCE(A9410,""name"")"),"#N/A")</f>
        <v>#N/A</v>
      </c>
      <c r="D9410" s="125"/>
    </row>
    <row r="9411">
      <c r="A9411" s="122" t="s">
        <v>35159</v>
      </c>
      <c r="B9411" s="123">
        <v>1848959.0</v>
      </c>
      <c r="C9411" s="687" t="str">
        <f>IFERROR(__xludf.DUMMYFUNCTION("GOOGLEFINANCE(A9411,""name"")"),"#N/A")</f>
        <v>#N/A</v>
      </c>
      <c r="D9411" s="125"/>
    </row>
    <row r="9412">
      <c r="A9412" s="122" t="s">
        <v>35160</v>
      </c>
      <c r="B9412" s="123">
        <v>1848959.0</v>
      </c>
      <c r="C9412" s="687" t="str">
        <f>IFERROR(__xludf.DUMMYFUNCTION("GOOGLEFINANCE(A9412,""name"")"),"#N/A")</f>
        <v>#N/A</v>
      </c>
      <c r="D9412" s="125"/>
    </row>
    <row r="9413">
      <c r="A9413" s="122" t="s">
        <v>35161</v>
      </c>
      <c r="B9413" s="123">
        <v>1160951.0</v>
      </c>
      <c r="C9413" s="687" t="str">
        <f>IFERROR(__xludf.DUMMYFUNCTION("GOOGLEFINANCE(A9413,""name"")"),"#N/A")</f>
        <v>#N/A</v>
      </c>
      <c r="D9413" s="125"/>
    </row>
    <row r="9414">
      <c r="A9414" s="122" t="s">
        <v>35162</v>
      </c>
      <c r="B9414" s="123">
        <v>896923.0</v>
      </c>
      <c r="C9414" s="687" t="str">
        <f>IFERROR(__xludf.DUMMYFUNCTION("GOOGLEFINANCE(A9414,""name"")"),"#N/A")</f>
        <v>#N/A</v>
      </c>
      <c r="D9414" s="125"/>
    </row>
    <row r="9415">
      <c r="A9415" s="122" t="s">
        <v>35163</v>
      </c>
      <c r="B9415" s="123">
        <v>1668069.0</v>
      </c>
      <c r="C9415" s="687" t="str">
        <f>IFERROR(__xludf.DUMMYFUNCTION("GOOGLEFINANCE(A9415,""name"")"),"#N/A")</f>
        <v>#N/A</v>
      </c>
      <c r="D9415" s="125"/>
    </row>
    <row r="9416">
      <c r="A9416" s="122" t="s">
        <v>35164</v>
      </c>
      <c r="B9416" s="123">
        <v>1888274.0</v>
      </c>
      <c r="C9416" s="687" t="str">
        <f>IFERROR(__xludf.DUMMYFUNCTION("GOOGLEFINANCE(A9416,""name"")"),"DeFi Technologies Inc")</f>
        <v>DeFi Technologies Inc</v>
      </c>
      <c r="D9416" s="125"/>
    </row>
    <row r="9417">
      <c r="A9417" s="122" t="s">
        <v>35165</v>
      </c>
      <c r="B9417" s="123">
        <v>1886015.0</v>
      </c>
      <c r="C9417" s="687" t="str">
        <f>IFERROR(__xludf.DUMMYFUNCTION("GOOGLEFINANCE(A9417,""name"")"),"#N/A")</f>
        <v>#N/A</v>
      </c>
      <c r="D9417" s="125"/>
    </row>
    <row r="9418">
      <c r="A9418" s="122" t="s">
        <v>35166</v>
      </c>
      <c r="B9418" s="123">
        <v>1703141.0</v>
      </c>
      <c r="C9418" s="687" t="str">
        <f>IFERROR(__xludf.DUMMYFUNCTION("GOOGLEFINANCE(A9418,""name"")"),"#N/A")</f>
        <v>#N/A</v>
      </c>
      <c r="D9418" s="125"/>
    </row>
    <row r="9419">
      <c r="A9419" s="122" t="s">
        <v>35167</v>
      </c>
      <c r="B9419" s="123">
        <v>1882148.0</v>
      </c>
      <c r="C9419" s="687" t="str">
        <f>IFERROR(__xludf.DUMMYFUNCTION("GOOGLEFINANCE(A9419,""name"")"),"#N/A")</f>
        <v>#N/A</v>
      </c>
      <c r="D9419" s="125"/>
    </row>
    <row r="9420">
      <c r="A9420" s="122" t="s">
        <v>35168</v>
      </c>
      <c r="B9420" s="123">
        <v>896985.0</v>
      </c>
      <c r="C9420" s="687" t="str">
        <f>IFERROR(__xludf.DUMMYFUNCTION("GOOGLEFINANCE(A9420,""name"")"),"#N/A")</f>
        <v>#N/A</v>
      </c>
      <c r="D9420" s="125"/>
    </row>
    <row r="9421">
      <c r="A9421" s="122" t="s">
        <v>35169</v>
      </c>
      <c r="B9421" s="123">
        <v>1053691.0</v>
      </c>
      <c r="C9421" s="687" t="str">
        <f>IFERROR(__xludf.DUMMYFUNCTION("GOOGLEFINANCE(A9421,""name"")"),"#N/A")</f>
        <v>#N/A</v>
      </c>
      <c r="D9421" s="125"/>
    </row>
    <row r="9422">
      <c r="A9422" s="122" t="s">
        <v>35170</v>
      </c>
      <c r="B9422" s="123">
        <v>1825088.0</v>
      </c>
      <c r="C9422" s="687" t="str">
        <f>IFERROR(__xludf.DUMMYFUNCTION("GOOGLEFINANCE(A9422,""name"")"),"Dream Finders Homes Inc")</f>
        <v>Dream Finders Homes Inc</v>
      </c>
      <c r="D9422" s="125"/>
    </row>
    <row r="9423">
      <c r="A9423" s="122" t="s">
        <v>35171</v>
      </c>
      <c r="B9423" s="123">
        <v>1559991.0</v>
      </c>
      <c r="C9423" s="687" t="str">
        <f>IFERROR(__xludf.DUMMYFUNCTION("GOOGLEFINANCE(A9423,""name"")"),"Flaherty &amp; Crumrine Dynmc Prf&amp;Inm Fd Inc")</f>
        <v>Flaherty &amp; Crumrine Dynmc Prf&amp;Inm Fd Inc</v>
      </c>
      <c r="D9423" s="125"/>
    </row>
    <row r="9424">
      <c r="A9424" s="122" t="s">
        <v>35172</v>
      </c>
      <c r="B9424" s="123">
        <v>1393612.0</v>
      </c>
      <c r="C9424" s="687" t="str">
        <f>IFERROR(__xludf.DUMMYFUNCTION("GOOGLEFINANCE(A9424,""name"")"),"DFS Furniture PLC")</f>
        <v>DFS Furniture PLC</v>
      </c>
      <c r="D9424" s="125"/>
    </row>
    <row r="9425">
      <c r="A9425" s="122" t="s">
        <v>35173</v>
      </c>
      <c r="B9425" s="123">
        <v>1383055.0</v>
      </c>
      <c r="C9425" s="687" t="str">
        <f>IFERROR(__xludf.DUMMYFUNCTION("GOOGLEFINANCE(A9425,""name"")"),"DGL Group Ltd")</f>
        <v>DGL Group Ltd</v>
      </c>
      <c r="D9425" s="125"/>
    </row>
    <row r="9426">
      <c r="A9426" s="122" t="s">
        <v>35174</v>
      </c>
      <c r="B9426" s="123">
        <v>1827076.0</v>
      </c>
      <c r="C9426" s="687" t="str">
        <f>IFERROR(__xludf.DUMMYFUNCTION("GOOGLEFINANCE(A9426,""name"")"),"#N/A")</f>
        <v>#N/A</v>
      </c>
      <c r="D9426" s="125"/>
    </row>
    <row r="9427">
      <c r="A9427" s="122" t="s">
        <v>35175</v>
      </c>
      <c r="B9427" s="123">
        <v>1159508.0</v>
      </c>
      <c r="C9427" s="687" t="str">
        <f>IFERROR(__xludf.DUMMYFUNCTION("GOOGLEFINANCE(A9427,""name"")"),"DB Gold Double Long ETN Exp 15 Feb 2038")</f>
        <v>DB Gold Double Long ETN Exp 15 Feb 2038</v>
      </c>
      <c r="D9427" s="125"/>
    </row>
    <row r="9428">
      <c r="A9428" s="122" t="s">
        <v>35176</v>
      </c>
      <c r="B9428" s="123">
        <v>1838176.0</v>
      </c>
      <c r="C9428" s="687" t="str">
        <f>IFERROR(__xludf.DUMMYFUNCTION("GOOGLEFINANCE(A9428,""name"")"),"#N/A")</f>
        <v>#N/A</v>
      </c>
      <c r="D9428" s="125"/>
    </row>
    <row r="9429">
      <c r="A9429" s="122" t="s">
        <v>35177</v>
      </c>
      <c r="B9429" s="123">
        <v>1838176.0</v>
      </c>
      <c r="C9429" s="687" t="str">
        <f>IFERROR(__xludf.DUMMYFUNCTION("GOOGLEFINANCE(A9429,""name"")"),"#N/A")</f>
        <v>#N/A</v>
      </c>
      <c r="D9429" s="125"/>
    </row>
    <row r="9430">
      <c r="A9430" s="122" t="s">
        <v>35178</v>
      </c>
      <c r="B9430" s="123">
        <v>1838176.0</v>
      </c>
      <c r="C9430" s="687" t="str">
        <f>IFERROR(__xludf.DUMMYFUNCTION("GOOGLEFINANCE(A9430,""name"")"),"#N/A")</f>
        <v>#N/A</v>
      </c>
      <c r="D9430" s="125"/>
    </row>
    <row r="9431">
      <c r="A9431" s="122" t="s">
        <v>35179</v>
      </c>
      <c r="B9431" s="123">
        <v>1830188.0</v>
      </c>
      <c r="C9431" s="687" t="str">
        <f>IFERROR(__xludf.DUMMYFUNCTION("GOOGLEFINANCE(A9431,""name"")"),"#N/A")</f>
        <v>#N/A</v>
      </c>
      <c r="D9431" s="125"/>
    </row>
    <row r="9432">
      <c r="A9432" s="122" t="s">
        <v>35180</v>
      </c>
      <c r="B9432" s="123">
        <v>1830188.0</v>
      </c>
      <c r="C9432" s="687" t="str">
        <f>IFERROR(__xludf.DUMMYFUNCTION("GOOGLEFINANCE(A9432,""name"")"),"#N/A")</f>
        <v>#N/A</v>
      </c>
      <c r="D9432" s="125"/>
    </row>
    <row r="9433">
      <c r="A9433" s="122" t="s">
        <v>35181</v>
      </c>
      <c r="B9433" s="123">
        <v>1830188.0</v>
      </c>
      <c r="C9433" s="687" t="str">
        <f>IFERROR(__xludf.DUMMYFUNCTION("GOOGLEFINANCE(A9433,""name"")"),"#N/A")</f>
        <v>#N/A</v>
      </c>
      <c r="D9433" s="125"/>
    </row>
    <row r="9434">
      <c r="A9434" s="122" t="s">
        <v>35182</v>
      </c>
      <c r="B9434" s="123">
        <v>313616.0</v>
      </c>
      <c r="C9434" s="687" t="str">
        <f>IFERROR(__xludf.DUMMYFUNCTION("GOOGLEFINANCE(A9434,""name"")"),"#N/A")</f>
        <v>#N/A</v>
      </c>
      <c r="D9434" s="125"/>
    </row>
    <row r="9435">
      <c r="A9435" s="122" t="s">
        <v>35183</v>
      </c>
      <c r="B9435" s="123">
        <v>1645569.0</v>
      </c>
      <c r="C9435" s="687" t="str">
        <f>IFERROR(__xludf.DUMMYFUNCTION("GOOGLEFINANCE(A9435,""name"")"),"#N/A")</f>
        <v>#N/A</v>
      </c>
      <c r="D9435" s="125"/>
    </row>
    <row r="9436">
      <c r="A9436" s="122" t="s">
        <v>35184</v>
      </c>
      <c r="B9436" s="123">
        <v>1843608.0</v>
      </c>
      <c r="C9436" s="687" t="str">
        <f>IFERROR(__xludf.DUMMYFUNCTION("GOOGLEFINANCE(A9436,""name"")"),"#N/A")</f>
        <v>#N/A</v>
      </c>
      <c r="D9436" s="125"/>
    </row>
    <row r="9437">
      <c r="A9437" s="122" t="s">
        <v>35185</v>
      </c>
      <c r="B9437" s="123">
        <v>1843608.0</v>
      </c>
      <c r="C9437" s="687" t="str">
        <f>IFERROR(__xludf.DUMMYFUNCTION("GOOGLEFINANCE(A9437,""name"")"),"#N/A")</f>
        <v>#N/A</v>
      </c>
      <c r="D9437" s="125"/>
    </row>
    <row r="9438">
      <c r="A9438" s="122" t="s">
        <v>35186</v>
      </c>
      <c r="B9438" s="123">
        <v>1843608.0</v>
      </c>
      <c r="C9438" s="687" t="str">
        <f>IFERROR(__xludf.DUMMYFUNCTION("GOOGLEFINANCE(A9438,""name"")"),"#N/A")</f>
        <v>#N/A</v>
      </c>
      <c r="D9438" s="125"/>
    </row>
    <row r="9439">
      <c r="A9439" s="122" t="s">
        <v>35187</v>
      </c>
      <c r="B9439" s="123">
        <v>1838831.0</v>
      </c>
      <c r="C9439" s="687" t="str">
        <f>IFERROR(__xludf.DUMMYFUNCTION("GOOGLEFINANCE(A9439,""name"")"),"#N/A")</f>
        <v>#N/A</v>
      </c>
      <c r="D9439" s="125"/>
    </row>
    <row r="9440">
      <c r="A9440" s="122" t="s">
        <v>35188</v>
      </c>
      <c r="B9440" s="123">
        <v>1838831.0</v>
      </c>
      <c r="C9440" s="687" t="str">
        <f>IFERROR(__xludf.DUMMYFUNCTION("GOOGLEFINANCE(A9440,""name"")"),"#N/A")</f>
        <v>#N/A</v>
      </c>
      <c r="D9440" s="125"/>
    </row>
    <row r="9441">
      <c r="A9441" s="122" t="s">
        <v>35189</v>
      </c>
      <c r="B9441" s="123">
        <v>1838831.0</v>
      </c>
      <c r="C9441" s="687" t="str">
        <f>IFERROR(__xludf.DUMMYFUNCTION("GOOGLEFINANCE(A9441,""name"")"),"#N/A")</f>
        <v>#N/A</v>
      </c>
      <c r="D9441" s="125"/>
    </row>
    <row r="9442">
      <c r="A9442" s="122" t="s">
        <v>35190</v>
      </c>
      <c r="B9442" s="123">
        <v>1671750.0</v>
      </c>
      <c r="C9442" s="687" t="str">
        <f>IFERROR(__xludf.DUMMYFUNCTION("GOOGLEFINANCE(A9442,""name"")"),"Disco Corp")</f>
        <v>Disco Corp</v>
      </c>
      <c r="D9442" s="125"/>
    </row>
    <row r="9443">
      <c r="A9443" s="122" t="s">
        <v>35191</v>
      </c>
      <c r="B9443" s="123">
        <v>1818605.0</v>
      </c>
      <c r="C9443" s="687" t="str">
        <f>IFERROR(__xludf.DUMMYFUNCTION("GOOGLEFINANCE(A9443,""name"")"),"#N/A")</f>
        <v>#N/A</v>
      </c>
      <c r="D9443" s="125"/>
    </row>
    <row r="9444">
      <c r="A9444" s="122" t="s">
        <v>35192</v>
      </c>
      <c r="B9444" s="123">
        <v>825788.0</v>
      </c>
      <c r="C9444" s="687" t="str">
        <f>IFERROR(__xludf.DUMMYFUNCTION("GOOGLEFINANCE(A9444,""name"")"),"#N/A")</f>
        <v>#N/A</v>
      </c>
      <c r="D9444" s="125"/>
    </row>
    <row r="9445">
      <c r="A9445" s="122" t="s">
        <v>35193</v>
      </c>
      <c r="B9445" s="123">
        <v>1114446.0</v>
      </c>
      <c r="C9445" s="687" t="str">
        <f>IFERROR(__xludf.DUMMYFUNCTION("GOOGLEFINANCE(A9445,""name"")"),"#N/A")</f>
        <v>#N/A</v>
      </c>
      <c r="D9445" s="125"/>
    </row>
    <row r="9446">
      <c r="A9446" s="122" t="s">
        <v>35194</v>
      </c>
      <c r="B9446" s="123">
        <v>1849380.0</v>
      </c>
      <c r="C9446" s="687" t="str">
        <f>IFERROR(__xludf.DUMMYFUNCTION("GOOGLEFINANCE(A9446,""name"")"),"#N/A")</f>
        <v>#N/A</v>
      </c>
      <c r="D9446" s="125"/>
    </row>
    <row r="9447">
      <c r="A9447" s="122" t="s">
        <v>35195</v>
      </c>
      <c r="B9447" s="123">
        <v>1849380.0</v>
      </c>
      <c r="C9447" s="687" t="str">
        <f>IFERROR(__xludf.DUMMYFUNCTION("GOOGLEFINANCE(A9447,""name"")"),"#N/A")</f>
        <v>#N/A</v>
      </c>
      <c r="D9447" s="125"/>
    </row>
    <row r="9448">
      <c r="A9448" s="122" t="s">
        <v>35196</v>
      </c>
      <c r="B9448" s="123">
        <v>1849380.0</v>
      </c>
      <c r="C9448" s="687" t="str">
        <f>IFERROR(__xludf.DUMMYFUNCTION("GOOGLEFINANCE(A9448,""name"")"),"#N/A")</f>
        <v>#N/A</v>
      </c>
      <c r="D9448" s="125"/>
    </row>
    <row r="9449">
      <c r="A9449" s="122" t="s">
        <v>35197</v>
      </c>
      <c r="B9449" s="123">
        <v>1831928.0</v>
      </c>
      <c r="C9449" s="687" t="str">
        <f>IFERROR(__xludf.DUMMYFUNCTION("GOOGLEFINANCE(A9449,""name"")"),"#N/A")</f>
        <v>#N/A</v>
      </c>
      <c r="D9449" s="125"/>
    </row>
    <row r="9450">
      <c r="A9450" s="122" t="s">
        <v>35198</v>
      </c>
      <c r="B9450" s="123">
        <v>1831928.0</v>
      </c>
      <c r="C9450" s="687" t="str">
        <f>IFERROR(__xludf.DUMMYFUNCTION("GOOGLEFINANCE(A9450,""name"")"),"#N/A")</f>
        <v>#N/A</v>
      </c>
      <c r="D9450" s="125"/>
    </row>
    <row r="9451">
      <c r="A9451" s="122" t="s">
        <v>35199</v>
      </c>
      <c r="B9451" s="123">
        <v>1831928.0</v>
      </c>
      <c r="C9451" s="687" t="str">
        <f>IFERROR(__xludf.DUMMYFUNCTION("GOOGLEFINANCE(A9451,""name"")"),"#N/A")</f>
        <v>#N/A</v>
      </c>
      <c r="D9451" s="125"/>
    </row>
    <row r="9452">
      <c r="A9452" s="122" t="s">
        <v>35200</v>
      </c>
      <c r="B9452" s="123">
        <v>1578453.0</v>
      </c>
      <c r="C9452" s="687" t="str">
        <f>IFERROR(__xludf.DUMMYFUNCTION("GOOGLEFINANCE(A9452,""name"")"),"#N/A")</f>
        <v>#N/A</v>
      </c>
      <c r="D9452" s="125"/>
    </row>
    <row r="9453">
      <c r="A9453" s="122" t="s">
        <v>35201</v>
      </c>
      <c r="B9453" s="123">
        <v>1578453.0</v>
      </c>
      <c r="C9453" s="687" t="str">
        <f>IFERROR(__xludf.DUMMYFUNCTION("GOOGLEFINANCE(A9453,""name"")"),"#N/A")</f>
        <v>#N/A</v>
      </c>
      <c r="D9453" s="125"/>
    </row>
    <row r="9454">
      <c r="A9454" s="122" t="s">
        <v>35202</v>
      </c>
      <c r="B9454" s="123">
        <v>1297996.0</v>
      </c>
      <c r="C9454" s="687" t="str">
        <f>IFERROR(__xludf.DUMMYFUNCTION("GOOGLEFINANCE(A9454,""name"")"),"#N/A")</f>
        <v>#N/A</v>
      </c>
      <c r="D9454" s="125"/>
    </row>
    <row r="9455">
      <c r="A9455" s="122" t="s">
        <v>35203</v>
      </c>
      <c r="B9455" s="123">
        <v>1297996.0</v>
      </c>
      <c r="C9455" s="687" t="str">
        <f>IFERROR(__xludf.DUMMYFUNCTION("GOOGLEFINANCE(A9455,""name"")"),"#N/A")</f>
        <v>#N/A</v>
      </c>
      <c r="D9455" s="125"/>
    </row>
    <row r="9456">
      <c r="A9456" s="122" t="s">
        <v>35204</v>
      </c>
      <c r="B9456" s="123">
        <v>1297996.0</v>
      </c>
      <c r="C9456" s="687" t="str">
        <f>IFERROR(__xludf.DUMMYFUNCTION("GOOGLEFINANCE(A9456,""name"")"),"#N/A")</f>
        <v>#N/A</v>
      </c>
      <c r="D9456" s="125"/>
    </row>
    <row r="9457">
      <c r="A9457" s="122" t="s">
        <v>35205</v>
      </c>
      <c r="B9457" s="123">
        <v>1857086.0</v>
      </c>
      <c r="C9457" s="687" t="str">
        <f>IFERROR(__xludf.DUMMYFUNCTION("GOOGLEFINANCE(A9457,""name"")"),"#N/A")</f>
        <v>#N/A</v>
      </c>
      <c r="D9457" s="125"/>
    </row>
    <row r="9458">
      <c r="A9458" s="122" t="s">
        <v>35206</v>
      </c>
      <c r="B9458" s="123">
        <v>1857086.0</v>
      </c>
      <c r="C9458" s="687" t="str">
        <f>IFERROR(__xludf.DUMMYFUNCTION("GOOGLEFINANCE(A9458,""name"")"),"#N/A")</f>
        <v>#N/A</v>
      </c>
      <c r="D9458" s="125"/>
    </row>
    <row r="9459">
      <c r="A9459" s="122" t="s">
        <v>35207</v>
      </c>
      <c r="B9459" s="123">
        <v>1067318.0</v>
      </c>
      <c r="C9459" s="687" t="str">
        <f>IFERROR(__xludf.DUMMYFUNCTION("GOOGLEFINANCE(A9459,""name"")"),"#N/A")</f>
        <v>#N/A</v>
      </c>
      <c r="D9459" s="125"/>
    </row>
    <row r="9460">
      <c r="A9460" s="122" t="s">
        <v>35208</v>
      </c>
      <c r="B9460" s="123">
        <v>1725134.0</v>
      </c>
      <c r="C9460" s="687" t="str">
        <f>IFERROR(__xludf.DUMMYFUNCTION("GOOGLEFINANCE(A9460,""name"")"),"#N/A")</f>
        <v>#N/A</v>
      </c>
      <c r="D9460" s="125"/>
    </row>
    <row r="9461">
      <c r="A9461" s="122" t="s">
        <v>35209</v>
      </c>
      <c r="B9461" s="123">
        <v>1725134.0</v>
      </c>
      <c r="C9461" s="687" t="str">
        <f>IFERROR(__xludf.DUMMYFUNCTION("GOOGLEFINANCE(A9461,""name"")"),"#N/A")</f>
        <v>#N/A</v>
      </c>
      <c r="D9461" s="125"/>
    </row>
    <row r="9462">
      <c r="A9462" s="122" t="s">
        <v>35210</v>
      </c>
      <c r="B9462" s="123">
        <v>1858327.0</v>
      </c>
      <c r="C9462" s="687" t="str">
        <f>IFERROR(__xludf.DUMMYFUNCTION("GOOGLEFINANCE(A9462,""name"")"),"#N/A")</f>
        <v>#N/A</v>
      </c>
      <c r="D9462" s="125"/>
    </row>
    <row r="9463">
      <c r="A9463" s="122" t="s">
        <v>35211</v>
      </c>
      <c r="B9463" s="123">
        <v>1858327.0</v>
      </c>
      <c r="C9463" s="687" t="str">
        <f>IFERROR(__xludf.DUMMYFUNCTION("GOOGLEFINANCE(A9463,""name"")"),"#N/A")</f>
        <v>#N/A</v>
      </c>
      <c r="D9463" s="125"/>
    </row>
    <row r="9464">
      <c r="A9464" s="122" t="s">
        <v>35212</v>
      </c>
      <c r="B9464" s="123">
        <v>1858327.0</v>
      </c>
      <c r="C9464" s="687" t="str">
        <f>IFERROR(__xludf.DUMMYFUNCTION("GOOGLEFINANCE(A9464,""name"")"),"#N/A")</f>
        <v>#N/A</v>
      </c>
      <c r="D9464" s="125"/>
    </row>
    <row r="9465">
      <c r="A9465" s="122" t="s">
        <v>35213</v>
      </c>
      <c r="B9465" s="123">
        <v>1830214.0</v>
      </c>
      <c r="C9465" s="687" t="str">
        <f>IFERROR(__xludf.DUMMYFUNCTION("GOOGLEFINANCE(A9465,""name"")"),"#N/A")</f>
        <v>#N/A</v>
      </c>
      <c r="D9465" s="125"/>
    </row>
    <row r="9466">
      <c r="A9466" s="122" t="s">
        <v>35214</v>
      </c>
      <c r="B9466" s="123">
        <v>1850271.0</v>
      </c>
      <c r="C9466" s="687" t="str">
        <f>IFERROR(__xludf.DUMMYFUNCTION("GOOGLEFINANCE(A9466,""name"")"),"#N/A")</f>
        <v>#N/A</v>
      </c>
      <c r="D9466" s="125"/>
    </row>
    <row r="9467">
      <c r="A9467" s="122" t="s">
        <v>35215</v>
      </c>
      <c r="B9467" s="123">
        <v>1850272.0</v>
      </c>
      <c r="C9467" s="687" t="str">
        <f>IFERROR(__xludf.DUMMYFUNCTION("GOOGLEFINANCE(A9467,""name"")"),"#N/A")</f>
        <v>#N/A</v>
      </c>
      <c r="D9467" s="125"/>
    </row>
    <row r="9468">
      <c r="A9468" s="122" t="s">
        <v>35216</v>
      </c>
      <c r="B9468" s="123">
        <v>1850079.0</v>
      </c>
      <c r="C9468" s="687" t="str">
        <f>IFERROR(__xludf.DUMMYFUNCTION("GOOGLEFINANCE(A9468,""name"")"),"#N/A")</f>
        <v>#N/A</v>
      </c>
      <c r="D9468" s="125"/>
    </row>
    <row r="9469">
      <c r="A9469" s="122" t="s">
        <v>35217</v>
      </c>
      <c r="B9469" s="123">
        <v>1059213.0</v>
      </c>
      <c r="C9469" s="687" t="str">
        <f>IFERROR(__xludf.DUMMYFUNCTION("GOOGLEFINANCE(A9469,""name"")"),"#N/A")</f>
        <v>#N/A</v>
      </c>
      <c r="D9469" s="125"/>
    </row>
    <row r="9470">
      <c r="A9470" s="122" t="s">
        <v>35218</v>
      </c>
      <c r="B9470" s="123">
        <v>1487739.0</v>
      </c>
      <c r="C9470" s="687" t="str">
        <f>IFERROR(__xludf.DUMMYFUNCTION("GOOGLEFINANCE(A9470,""name"")"),"#N/A")</f>
        <v>#N/A</v>
      </c>
      <c r="D9470" s="125"/>
    </row>
    <row r="9471">
      <c r="A9471" s="122" t="s">
        <v>35219</v>
      </c>
      <c r="B9471" s="123">
        <v>1779020.0</v>
      </c>
      <c r="C9471" s="687" t="str">
        <f>IFERROR(__xludf.DUMMYFUNCTION("GOOGLEFINANCE(A9471,""name"")"),"Danimer Scientific Ord Shs Class A")</f>
        <v>Danimer Scientific Ord Shs Class A</v>
      </c>
      <c r="D9471" s="125"/>
    </row>
    <row r="9472">
      <c r="A9472" s="122" t="s">
        <v>35220</v>
      </c>
      <c r="B9472" s="123">
        <v>945764.0</v>
      </c>
      <c r="C9472" s="687" t="str">
        <f>IFERROR(__xludf.DUMMYFUNCTION("GOOGLEFINANCE(A9472,""name"")"),"#N/A")</f>
        <v>#N/A</v>
      </c>
      <c r="D9472" s="125"/>
    </row>
    <row r="9473">
      <c r="A9473" s="122" t="s">
        <v>35221</v>
      </c>
      <c r="B9473" s="123">
        <v>1830374.0</v>
      </c>
      <c r="C9473" s="687" t="str">
        <f>IFERROR(__xludf.DUMMYFUNCTION("GOOGLEFINANCE(A9473,""name"")"),"#N/A")</f>
        <v>#N/A</v>
      </c>
      <c r="D9473" s="125"/>
    </row>
    <row r="9474">
      <c r="A9474" s="122" t="s">
        <v>35222</v>
      </c>
      <c r="B9474" s="123">
        <v>1830374.0</v>
      </c>
      <c r="C9474" s="687" t="str">
        <f>IFERROR(__xludf.DUMMYFUNCTION("GOOGLEFINANCE(A9474,""name"")"),"#N/A")</f>
        <v>#N/A</v>
      </c>
      <c r="D9474" s="125"/>
    </row>
    <row r="9475">
      <c r="A9475" s="122" t="s">
        <v>35223</v>
      </c>
      <c r="B9475" s="123">
        <v>1722438.0</v>
      </c>
      <c r="C9475" s="687" t="str">
        <f>IFERROR(__xludf.DUMMYFUNCTION("GOOGLEFINANCE(A9475,""name"")"),"#N/A")</f>
        <v>#N/A</v>
      </c>
      <c r="D9475" s="125"/>
    </row>
    <row r="9476">
      <c r="A9476" s="122" t="s">
        <v>35224</v>
      </c>
      <c r="B9476" s="123">
        <v>1864132.0</v>
      </c>
      <c r="C9476" s="687" t="str">
        <f>IFERROR(__xludf.DUMMYFUNCTION("GOOGLEFINANCE(A9476,""name"")"),"#N/A")</f>
        <v>#N/A</v>
      </c>
      <c r="D9476" s="125"/>
    </row>
    <row r="9477">
      <c r="A9477" s="122" t="s">
        <v>35225</v>
      </c>
      <c r="B9477" s="123">
        <v>1110607.0</v>
      </c>
      <c r="C9477" s="687" t="str">
        <f>IFERROR(__xludf.DUMMYFUNCTION("GOOGLEFINANCE(A9477,""name"")"),"#N/A")</f>
        <v>#N/A</v>
      </c>
      <c r="D9477" s="125"/>
    </row>
    <row r="9478">
      <c r="A9478" s="122" t="s">
        <v>35226</v>
      </c>
      <c r="B9478" s="123">
        <v>1786286.0</v>
      </c>
      <c r="C9478" s="687" t="str">
        <f>IFERROR(__xludf.DUMMYFUNCTION("GOOGLEFINANCE(A9478,""name"")"),"Draganfly Inc")</f>
        <v>Draganfly Inc</v>
      </c>
      <c r="D9478" s="125"/>
    </row>
    <row r="9479">
      <c r="A9479" s="122" t="s">
        <v>35227</v>
      </c>
      <c r="B9479" s="123">
        <v>1852771.0</v>
      </c>
      <c r="C9479" s="687" t="str">
        <f>IFERROR(__xludf.DUMMYFUNCTION("GOOGLEFINANCE(A9479,""name"")"),"YieldMax DKNG Option Income Strategy ETF")</f>
        <v>YieldMax DKNG Option Income Strategy ETF</v>
      </c>
      <c r="D9479" s="125"/>
    </row>
    <row r="9480">
      <c r="A9480" s="122" t="s">
        <v>35228</v>
      </c>
      <c r="B9480" s="123">
        <v>1852771.0</v>
      </c>
      <c r="C9480" s="687" t="str">
        <f>IFERROR(__xludf.DUMMYFUNCTION("GOOGLEFINANCE(A9480,""name"")"),"#N/A")</f>
        <v>#N/A</v>
      </c>
      <c r="D9480" s="125"/>
    </row>
    <row r="9481">
      <c r="A9481" s="122" t="s">
        <v>35229</v>
      </c>
      <c r="B9481" s="123">
        <v>1852771.0</v>
      </c>
      <c r="C9481" s="687" t="str">
        <f>IFERROR(__xludf.DUMMYFUNCTION("GOOGLEFINANCE(A9481,""name"")"),"#N/A")</f>
        <v>#N/A</v>
      </c>
      <c r="D9481" s="125"/>
    </row>
    <row r="9482">
      <c r="A9482" s="122" t="s">
        <v>35230</v>
      </c>
      <c r="B9482" s="123">
        <v>1880613.0</v>
      </c>
      <c r="C9482" s="687" t="str">
        <f>IFERROR(__xludf.DUMMYFUNCTION("GOOGLEFINANCE(A9482,""name"")"),"#N/A")</f>
        <v>#N/A</v>
      </c>
      <c r="D9482" s="125"/>
    </row>
    <row r="9483">
      <c r="A9483" s="122" t="s">
        <v>35231</v>
      </c>
      <c r="B9483" s="123">
        <v>1298946.0</v>
      </c>
      <c r="C9483" s="687" t="str">
        <f>IFERROR(__xludf.DUMMYFUNCTION("GOOGLEFINANCE(A9483,""name"")"),"#N/A")</f>
        <v>#N/A</v>
      </c>
      <c r="D9483" s="125"/>
    </row>
    <row r="9484">
      <c r="A9484" s="122" t="s">
        <v>35232</v>
      </c>
      <c r="B9484" s="123">
        <v>1340476.0</v>
      </c>
      <c r="C9484" s="687" t="str">
        <f>IFERROR(__xludf.DUMMYFUNCTION("GOOGLEFINANCE(A9484,""name"")"),"#N/A")</f>
        <v>#N/A</v>
      </c>
      <c r="D9484" s="125"/>
    </row>
    <row r="9485">
      <c r="A9485" s="122" t="s">
        <v>35233</v>
      </c>
      <c r="B9485" s="123">
        <v>1804745.0</v>
      </c>
      <c r="C9485" s="687" t="str">
        <f>IFERROR(__xludf.DUMMYFUNCTION("GOOGLEFINANCE(A9485,""name"")"),"Driven Brands Holdings Inc")</f>
        <v>Driven Brands Holdings Inc</v>
      </c>
      <c r="D9485" s="125"/>
    </row>
    <row r="9486">
      <c r="A9486" s="122" t="s">
        <v>35234</v>
      </c>
      <c r="B9486" s="123">
        <v>1175483.0</v>
      </c>
      <c r="C9486" s="687" t="str">
        <f>IFERROR(__xludf.DUMMYFUNCTION("GOOGLEFINANCE(A9486,""name"")"),"#N/A")</f>
        <v>#N/A</v>
      </c>
      <c r="D9486" s="125"/>
    </row>
    <row r="9487">
      <c r="A9487" s="122" t="s">
        <v>35235</v>
      </c>
      <c r="B9487" s="123">
        <v>1175483.0</v>
      </c>
      <c r="C9487" s="687" t="str">
        <f>IFERROR(__xludf.DUMMYFUNCTION("GOOGLEFINANCE(A9487,""name"")"),"#N/A")</f>
        <v>#N/A</v>
      </c>
      <c r="D9487" s="125"/>
    </row>
    <row r="9488">
      <c r="A9488" s="122" t="s">
        <v>35236</v>
      </c>
      <c r="B9488" s="123">
        <v>1175483.0</v>
      </c>
      <c r="C9488" s="687" t="str">
        <f>IFERROR(__xludf.DUMMYFUNCTION("GOOGLEFINANCE(A9488,""name"")"),"#N/A")</f>
        <v>#N/A</v>
      </c>
      <c r="D9488" s="125"/>
    </row>
    <row r="9489">
      <c r="A9489" s="122" t="s">
        <v>35237</v>
      </c>
      <c r="B9489" s="123">
        <v>1871745.0</v>
      </c>
      <c r="C9489" s="687" t="str">
        <f>IFERROR(__xludf.DUMMYFUNCTION("GOOGLEFINANCE(A9489,""name"")"),"#N/A")</f>
        <v>#N/A</v>
      </c>
      <c r="D9489" s="125"/>
    </row>
    <row r="9490">
      <c r="A9490" s="122" t="s">
        <v>35238</v>
      </c>
      <c r="B9490" s="123">
        <v>1831617.0</v>
      </c>
      <c r="C9490" s="687" t="str">
        <f>IFERROR(__xludf.DUMMYFUNCTION("GOOGLEFINANCE(A9490,""name"")"),"#N/A")</f>
        <v>#N/A</v>
      </c>
      <c r="D9490" s="125"/>
    </row>
    <row r="9491">
      <c r="A9491" s="122" t="s">
        <v>35239</v>
      </c>
      <c r="B9491" s="123">
        <v>1053092.0</v>
      </c>
      <c r="C9491" s="687" t="str">
        <f>IFERROR(__xludf.DUMMYFUNCTION("GOOGLEFINANCE(A9491,""name"")"),"#N/A")</f>
        <v>#N/A</v>
      </c>
      <c r="D9491" s="125"/>
    </row>
    <row r="9492">
      <c r="A9492" s="122" t="s">
        <v>35240</v>
      </c>
      <c r="B9492" s="123">
        <v>1917762.0</v>
      </c>
      <c r="C9492" s="687" t="str">
        <f>IFERROR(__xludf.DUMMYFUNCTION("GOOGLEFINANCE(A9492,""name"")"),"#N/A")</f>
        <v>#N/A</v>
      </c>
      <c r="D9492" s="125"/>
    </row>
    <row r="9493">
      <c r="A9493" s="122" t="s">
        <v>35241</v>
      </c>
      <c r="B9493" s="123">
        <v>924396.0</v>
      </c>
      <c r="C9493" s="687" t="str">
        <f>IFERROR(__xludf.DUMMYFUNCTION("GOOGLEFINANCE(A9493,""name"")"),"#N/A")</f>
        <v>#N/A</v>
      </c>
      <c r="D9493" s="125"/>
    </row>
    <row r="9494">
      <c r="A9494" s="122" t="s">
        <v>35242</v>
      </c>
      <c r="B9494" s="123">
        <v>1879560.0</v>
      </c>
      <c r="C9494" s="687" t="str">
        <f>IFERROR(__xludf.DUMMYFUNCTION("GOOGLEFINANCE(A9494,""name"")"),"#N/A")</f>
        <v>#N/A</v>
      </c>
      <c r="D9494" s="125"/>
    </row>
    <row r="9495">
      <c r="A9495" s="122" t="s">
        <v>35243</v>
      </c>
      <c r="B9495" s="123">
        <v>1318885.0</v>
      </c>
      <c r="C9495" s="687" t="str">
        <f>IFERROR(__xludf.DUMMYFUNCTION("GOOGLEFINANCE(A9495,""name"")"),"#N/A")</f>
        <v>#N/A</v>
      </c>
      <c r="D9495" s="125"/>
    </row>
    <row r="9496">
      <c r="A9496" s="122" t="s">
        <v>35244</v>
      </c>
      <c r="B9496" s="123">
        <v>1627606.0</v>
      </c>
      <c r="C9496" s="687" t="str">
        <f>IFERROR(__xludf.DUMMYFUNCTION("GOOGLEFINANCE(A9496,""name"")"),"DavidsTea Inc")</f>
        <v>DavidsTea Inc</v>
      </c>
      <c r="D9496" s="125"/>
    </row>
    <row r="9497">
      <c r="A9497" s="122" t="s">
        <v>35245</v>
      </c>
      <c r="B9497" s="123">
        <v>1575311.0</v>
      </c>
      <c r="C9497" s="687" t="str">
        <f>IFERROR(__xludf.DUMMYFUNCTION("GOOGLEFINANCE(A9497,""name"")"),"#N/A")</f>
        <v>#N/A</v>
      </c>
      <c r="D9497" s="125"/>
    </row>
    <row r="9498">
      <c r="A9498" s="122" t="s">
        <v>35246</v>
      </c>
      <c r="B9498" s="123">
        <v>1839998.0</v>
      </c>
      <c r="C9498" s="687" t="str">
        <f>IFERROR(__xludf.DUMMYFUNCTION("GOOGLEFINANCE(A9498,""name"")"),"#N/A")</f>
        <v>#N/A</v>
      </c>
      <c r="D9498" s="125"/>
    </row>
    <row r="9499">
      <c r="A9499" s="122" t="s">
        <v>35247</v>
      </c>
      <c r="B9499" s="123">
        <v>1839998.0</v>
      </c>
      <c r="C9499" s="687" t="str">
        <f>IFERROR(__xludf.DUMMYFUNCTION("GOOGLEFINANCE(A9499,""name"")"),"#N/A")</f>
        <v>#N/A</v>
      </c>
      <c r="D9499" s="125"/>
    </row>
    <row r="9500">
      <c r="A9500" s="122" t="s">
        <v>35248</v>
      </c>
      <c r="B9500" s="123">
        <v>1839998.0</v>
      </c>
      <c r="C9500" s="687" t="str">
        <f>IFERROR(__xludf.DUMMYFUNCTION("GOOGLEFINANCE(A9500,""name"")"),"#N/A")</f>
        <v>#N/A</v>
      </c>
      <c r="D9500" s="125"/>
    </row>
    <row r="9501">
      <c r="A9501" s="122" t="s">
        <v>35249</v>
      </c>
      <c r="B9501" s="123">
        <v>936340.0</v>
      </c>
      <c r="C9501" s="687" t="str">
        <f>IFERROR(__xludf.DUMMYFUNCTION("GOOGLEFINANCE(A9501,""name"")"),"#N/A")</f>
        <v>#N/A</v>
      </c>
      <c r="D9501" s="125"/>
    </row>
    <row r="9502">
      <c r="A9502" s="122" t="s">
        <v>35250</v>
      </c>
      <c r="B9502" s="123">
        <v>1865537.0</v>
      </c>
      <c r="C9502" s="687" t="str">
        <f>IFERROR(__xludf.DUMMYFUNCTION("GOOGLEFINANCE(A9502,""name"")"),"#N/A")</f>
        <v>#N/A</v>
      </c>
      <c r="D9502" s="125"/>
    </row>
    <row r="9503">
      <c r="A9503" s="122" t="s">
        <v>35251</v>
      </c>
      <c r="B9503" s="123">
        <v>1865537.0</v>
      </c>
      <c r="C9503" s="687" t="str">
        <f>IFERROR(__xludf.DUMMYFUNCTION("GOOGLEFINANCE(A9503,""name"")"),"#N/A")</f>
        <v>#N/A</v>
      </c>
      <c r="D9503" s="125"/>
    </row>
    <row r="9504">
      <c r="A9504" s="122" t="s">
        <v>35252</v>
      </c>
      <c r="B9504" s="123">
        <v>1865537.0</v>
      </c>
      <c r="C9504" s="687" t="str">
        <f>IFERROR(__xludf.DUMMYFUNCTION("GOOGLEFINANCE(A9504,""name"")"),"#N/A")</f>
        <v>#N/A</v>
      </c>
      <c r="D9504" s="125"/>
    </row>
    <row r="9505">
      <c r="A9505" s="122" t="s">
        <v>35253</v>
      </c>
      <c r="B9505" s="123">
        <v>936340.0</v>
      </c>
      <c r="C9505" s="687" t="str">
        <f>IFERROR(__xludf.DUMMYFUNCTION("GOOGLEFINANCE(A9505,""name"")"),"Dte Energy Company 5 25 Junior Subordinated Debentures due 2077 Series E")</f>
        <v>Dte Energy Company 5 25 Junior Subordinated Debentures due 2077 Series E</v>
      </c>
      <c r="D9505" s="125"/>
    </row>
    <row r="9506">
      <c r="A9506" s="122" t="s">
        <v>35254</v>
      </c>
      <c r="B9506" s="123">
        <v>1326160.0</v>
      </c>
      <c r="C9506" s="687" t="str">
        <f>IFERROR(__xludf.DUMMYFUNCTION("GOOGLEFINANCE(A9506,""name"")"),"#N/A")</f>
        <v>#N/A</v>
      </c>
      <c r="D9506" s="125"/>
    </row>
    <row r="9507">
      <c r="A9507" s="122" t="s">
        <v>35255</v>
      </c>
      <c r="B9507" s="123">
        <v>1326160.0</v>
      </c>
      <c r="C9507" s="687" t="str">
        <f>IFERROR(__xludf.DUMMYFUNCTION("GOOGLEFINANCE(A9507,""name"")"),"Duke Energy Corporation 5.625% Junior Subordinated Debentures Exp 15 Sep 2078")</f>
        <v>Duke Energy Corporation 5.625% Junior Subordinated Debentures Exp 15 Sep 2078</v>
      </c>
      <c r="D9507" s="125"/>
    </row>
    <row r="9508">
      <c r="A9508" s="122" t="s">
        <v>35256</v>
      </c>
      <c r="B9508" s="123">
        <v>1817232.0</v>
      </c>
      <c r="C9508" s="687" t="str">
        <f>IFERROR(__xludf.DUMMYFUNCTION("GOOGLEFINANCE(A9508,""name"")"),"#N/A")</f>
        <v>#N/A</v>
      </c>
      <c r="D9508" s="125"/>
    </row>
    <row r="9509">
      <c r="A9509" s="122" t="s">
        <v>35257</v>
      </c>
      <c r="B9509" s="123">
        <v>1817232.0</v>
      </c>
      <c r="C9509" s="687" t="str">
        <f>IFERROR(__xludf.DUMMYFUNCTION("GOOGLEFINANCE(A9509,""name"")"),"#N/A")</f>
        <v>#N/A</v>
      </c>
      <c r="D9509" s="125"/>
    </row>
    <row r="9510">
      <c r="A9510" s="122" t="s">
        <v>35258</v>
      </c>
      <c r="B9510" s="123">
        <v>1849635.0</v>
      </c>
      <c r="C9510" s="687" t="str">
        <f>IFERROR(__xludf.DUMMYFUNCTION("GOOGLEFINANCE(A9510,""name"")"),"#N/A")</f>
        <v>#N/A</v>
      </c>
      <c r="D9510" s="125"/>
    </row>
    <row r="9511">
      <c r="A9511" s="122" t="s">
        <v>35259</v>
      </c>
      <c r="B9511" s="123">
        <v>1849635.0</v>
      </c>
      <c r="C9511" s="687" t="str">
        <f>IFERROR(__xludf.DUMMYFUNCTION("GOOGLEFINANCE(A9511,""name"")"),"#N/A")</f>
        <v>#N/A</v>
      </c>
      <c r="D9511" s="125"/>
    </row>
    <row r="9512">
      <c r="A9512" s="122" t="s">
        <v>35260</v>
      </c>
      <c r="B9512" s="123">
        <v>1849635.0</v>
      </c>
      <c r="C9512" s="687" t="str">
        <f>IFERROR(__xludf.DUMMYFUNCTION("GOOGLEFINANCE(A9512,""name"")"),"#N/A")</f>
        <v>#N/A</v>
      </c>
      <c r="D9512" s="125"/>
    </row>
    <row r="9513">
      <c r="A9513" s="122" t="s">
        <v>35261</v>
      </c>
      <c r="B9513" s="123">
        <v>1812360.0</v>
      </c>
      <c r="C9513" s="687" t="str">
        <f>IFERROR(__xludf.DUMMYFUNCTION("GOOGLEFINANCE(A9513,""name"")"),"#N/A")</f>
        <v>#N/A</v>
      </c>
      <c r="D9513" s="125"/>
    </row>
    <row r="9514">
      <c r="A9514" s="122" t="s">
        <v>35262</v>
      </c>
      <c r="B9514" s="123">
        <v>1812360.0</v>
      </c>
      <c r="C9514" s="687" t="str">
        <f>IFERROR(__xludf.DUMMYFUNCTION("GOOGLEFINANCE(A9514,""name"")"),"#N/A")</f>
        <v>#N/A</v>
      </c>
      <c r="D9514" s="125"/>
    </row>
    <row r="9515">
      <c r="A9515" s="122" t="s">
        <v>35263</v>
      </c>
      <c r="B9515" s="123">
        <v>1812360.0</v>
      </c>
      <c r="C9515" s="687" t="str">
        <f>IFERROR(__xludf.DUMMYFUNCTION("GOOGLEFINANCE(A9515,""name"")"),"#N/A")</f>
        <v>#N/A</v>
      </c>
      <c r="D9515" s="125"/>
    </row>
    <row r="9516">
      <c r="A9516" s="122" t="s">
        <v>35264</v>
      </c>
      <c r="B9516" s="123">
        <v>826675.0</v>
      </c>
      <c r="C9516" s="687" t="str">
        <f>IFERROR(__xludf.DUMMYFUNCTION("GOOGLEFINANCE(A9516,""name"")"),"#N/A")</f>
        <v>#N/A</v>
      </c>
      <c r="D9516" s="125"/>
    </row>
    <row r="9517">
      <c r="A9517" s="122" t="s">
        <v>35265</v>
      </c>
      <c r="B9517" s="123">
        <v>1843974.0</v>
      </c>
      <c r="C9517" s="687" t="str">
        <f>IFERROR(__xludf.DUMMYFUNCTION("GOOGLEFINANCE(A9517,""name"")"),"Destiny Tech100 Inc")</f>
        <v>Destiny Tech100 Inc</v>
      </c>
      <c r="D9517" s="125"/>
    </row>
    <row r="9518">
      <c r="A9518" s="122" t="s">
        <v>35266</v>
      </c>
      <c r="B9518" s="123">
        <v>1830569.0</v>
      </c>
      <c r="C9518" s="687" t="str">
        <f>IFERROR(__xludf.DUMMYFUNCTION("GOOGLEFINANCE(A9518,""name"")"),"#N/A")</f>
        <v>#N/A</v>
      </c>
      <c r="D9518" s="125"/>
    </row>
    <row r="9519">
      <c r="A9519" s="122" t="s">
        <v>35267</v>
      </c>
      <c r="B9519" s="123">
        <v>1686515.0</v>
      </c>
      <c r="C9519" s="687" t="str">
        <f>IFERROR(__xludf.DUMMYFUNCTION("GOOGLEFINANCE(A9519,""name"")"),"#N/A")</f>
        <v>#N/A</v>
      </c>
      <c r="D9519" s="125"/>
    </row>
    <row r="9520">
      <c r="A9520" s="122" t="s">
        <v>35268</v>
      </c>
      <c r="B9520" s="123">
        <v>1841258.0</v>
      </c>
      <c r="C9520" s="687" t="str">
        <f>IFERROR(__xludf.DUMMYFUNCTION("GOOGLEFINANCE(A9520,""name"")"),"#N/A")</f>
        <v>#N/A</v>
      </c>
      <c r="D9520" s="125"/>
    </row>
    <row r="9521">
      <c r="A9521" s="122" t="s">
        <v>35269</v>
      </c>
      <c r="B9521" s="123">
        <v>1841258.0</v>
      </c>
      <c r="C9521" s="687" t="str">
        <f>IFERROR(__xludf.DUMMYFUNCTION("GOOGLEFINANCE(A9521,""name"")"),"#N/A")</f>
        <v>#N/A</v>
      </c>
      <c r="D9521" s="125"/>
    </row>
    <row r="9522">
      <c r="A9522" s="122" t="s">
        <v>35270</v>
      </c>
      <c r="B9522" s="123">
        <v>1841258.0</v>
      </c>
      <c r="C9522" s="687" t="str">
        <f>IFERROR(__xludf.DUMMYFUNCTION("GOOGLEFINANCE(A9522,""name"")"),"#N/A")</f>
        <v>#N/A</v>
      </c>
      <c r="D9522" s="125"/>
    </row>
    <row r="9523">
      <c r="A9523" s="122" t="s">
        <v>35271</v>
      </c>
      <c r="B9523" s="123">
        <v>814549.0</v>
      </c>
      <c r="C9523" s="687" t="str">
        <f>IFERROR(__xludf.DUMMYFUNCTION("GOOGLEFINANCE(A9523,""name"")"),"#N/A")</f>
        <v>#N/A</v>
      </c>
      <c r="D9523" s="125"/>
    </row>
    <row r="9524">
      <c r="A9524" s="122" t="s">
        <v>35272</v>
      </c>
      <c r="B9524" s="123">
        <v>1439124.0</v>
      </c>
      <c r="C9524" s="687" t="str">
        <f>IFERROR(__xludf.DUMMYFUNCTION("GOOGLEFINANCE(A9524,""name"")"),"#N/A")</f>
        <v>#N/A</v>
      </c>
      <c r="D9524" s="125"/>
    </row>
    <row r="9525">
      <c r="A9525" s="122" t="s">
        <v>35273</v>
      </c>
      <c r="B9525" s="123">
        <v>1604174.0</v>
      </c>
      <c r="C9525" s="687" t="str">
        <f>IFERROR(__xludf.DUMMYFUNCTION("GOOGLEFINANCE(A9525,""name"")"),"#N/A")</f>
        <v>#N/A</v>
      </c>
      <c r="D9525" s="125"/>
    </row>
    <row r="9526">
      <c r="A9526" s="122" t="s">
        <v>35274</v>
      </c>
      <c r="B9526" s="123">
        <v>1909658.0</v>
      </c>
      <c r="C9526" s="687" t="str">
        <f>IFERROR(__xludf.DUMMYFUNCTION("GOOGLEFINANCE(A9526,""name"")"),"#N/A")</f>
        <v>#N/A</v>
      </c>
      <c r="D9526" s="125"/>
    </row>
    <row r="9527">
      <c r="A9527" s="122" t="s">
        <v>35275</v>
      </c>
      <c r="B9527" s="123">
        <v>793040.0</v>
      </c>
      <c r="C9527" s="687" t="str">
        <f>IFERROR(__xludf.DUMMYFUNCTION("GOOGLEFINANCE(A9527,""name"")"),"#N/A")</f>
        <v>#N/A</v>
      </c>
      <c r="D9527" s="125"/>
    </row>
    <row r="9528">
      <c r="A9528" s="122" t="s">
        <v>35276</v>
      </c>
      <c r="B9528" s="123">
        <v>1884431.0</v>
      </c>
      <c r="C9528" s="687" t="str">
        <f>IFERROR(__xludf.DUMMYFUNCTION("GOOGLEFINANCE(A9528,""name"")"),"#N/A")</f>
        <v>#N/A</v>
      </c>
      <c r="D9528" s="125"/>
    </row>
    <row r="9529">
      <c r="A9529" s="122" t="s">
        <v>35277</v>
      </c>
      <c r="B9529" s="123">
        <v>1041934.0</v>
      </c>
      <c r="C9529" s="687" t="str">
        <f>IFERROR(__xludf.DUMMYFUNCTION("GOOGLEFINANCE(A9529,""name"")"),"Edap Tms SA")</f>
        <v>Edap Tms SA</v>
      </c>
      <c r="D9529" s="125"/>
    </row>
    <row r="9530">
      <c r="A9530" s="122" t="s">
        <v>35278</v>
      </c>
      <c r="B9530" s="123">
        <v>1809750.0</v>
      </c>
      <c r="C9530" s="687" t="str">
        <f>IFERROR(__xludf.DUMMYFUNCTION("GOOGLEFINANCE(A9530,""name"")"),"Edible Garden AG Inc")</f>
        <v>Edible Garden AG Inc</v>
      </c>
      <c r="D9530" s="125"/>
    </row>
    <row r="9531">
      <c r="A9531" s="122" t="s">
        <v>35279</v>
      </c>
      <c r="B9531" s="123">
        <v>1614826.0</v>
      </c>
      <c r="C9531" s="687" t="str">
        <f>IFERROR(__xludf.DUMMYFUNCTION("GOOGLEFINANCE(A9531,""name"")"),"#N/A")</f>
        <v>#N/A</v>
      </c>
      <c r="D9531" s="125"/>
    </row>
    <row r="9532">
      <c r="A9532" s="122" t="s">
        <v>35280</v>
      </c>
      <c r="B9532" s="123">
        <v>1864891.0</v>
      </c>
      <c r="C9532" s="687" t="str">
        <f>IFERROR(__xludf.DUMMYFUNCTION("GOOGLEFINANCE(A9532,""name"")"),"#N/A")</f>
        <v>#N/A</v>
      </c>
      <c r="D9532" s="125"/>
    </row>
    <row r="9533">
      <c r="A9533" s="122" t="s">
        <v>35281</v>
      </c>
      <c r="B9533" s="123">
        <v>1817153.0</v>
      </c>
      <c r="C9533" s="687" t="str">
        <f>IFERROR(__xludf.DUMMYFUNCTION("GOOGLEFINANCE(A9533,""name"")"),"#N/A")</f>
        <v>#N/A</v>
      </c>
      <c r="D9533" s="125"/>
    </row>
    <row r="9534">
      <c r="A9534" s="122" t="s">
        <v>35282</v>
      </c>
      <c r="B9534" s="123">
        <v>1817153.0</v>
      </c>
      <c r="C9534" s="687" t="str">
        <f>IFERROR(__xludf.DUMMYFUNCTION("GOOGLEFINANCE(A9534,""name"")"),"#N/A")</f>
        <v>#N/A</v>
      </c>
      <c r="D9534" s="125"/>
    </row>
    <row r="9535">
      <c r="A9535" s="122" t="s">
        <v>35283</v>
      </c>
      <c r="B9535" s="123">
        <v>1817153.0</v>
      </c>
      <c r="C9535" s="687" t="str">
        <f>IFERROR(__xludf.DUMMYFUNCTION("GOOGLEFINANCE(A9535,""name"")"),"#N/A")</f>
        <v>#N/A</v>
      </c>
      <c r="D9535" s="125"/>
    </row>
    <row r="9536">
      <c r="A9536" s="122" t="s">
        <v>35284</v>
      </c>
      <c r="B9536" s="123">
        <v>1109486.0</v>
      </c>
      <c r="C9536" s="687" t="str">
        <f>IFERROR(__xludf.DUMMYFUNCTION("GOOGLEFINANCE(A9536,""name"")"),"Endexx Corp")</f>
        <v>Endexx Corp</v>
      </c>
      <c r="D9536" s="125"/>
    </row>
    <row r="9537">
      <c r="A9537" s="122" t="s">
        <v>35285</v>
      </c>
      <c r="B9537" s="123">
        <v>1411342.0</v>
      </c>
      <c r="C9537" s="687" t="str">
        <f>IFERROR(__xludf.DUMMYFUNCTION("GOOGLEFINANCE(A9537,""name"")"),"#N/A")</f>
        <v>#N/A</v>
      </c>
      <c r="D9537" s="125"/>
    </row>
    <row r="9538">
      <c r="A9538" s="122" t="s">
        <v>35286</v>
      </c>
      <c r="B9538" s="123">
        <v>1411342.0</v>
      </c>
      <c r="C9538" s="687" t="str">
        <f>IFERROR(__xludf.DUMMYFUNCTION("GOOGLEFINANCE(A9538,""name"")"),"#N/A")</f>
        <v>#N/A</v>
      </c>
      <c r="D9538" s="125"/>
    </row>
    <row r="9539">
      <c r="A9539" s="122" t="s">
        <v>35287</v>
      </c>
      <c r="B9539" s="123">
        <v>1922858.0</v>
      </c>
      <c r="C9539" s="687" t="str">
        <f>IFERROR(__xludf.DUMMYFUNCTION("GOOGLEFINANCE(A9539,""name"")"),"#N/A")</f>
        <v>#N/A</v>
      </c>
      <c r="D9539" s="125"/>
    </row>
    <row r="9540">
      <c r="A9540" s="122" t="s">
        <v>35288</v>
      </c>
      <c r="B9540" s="123">
        <v>1922858.0</v>
      </c>
      <c r="C9540" s="687" t="str">
        <f>IFERROR(__xludf.DUMMYFUNCTION("GOOGLEFINANCE(A9540,""name"")"),"#N/A")</f>
        <v>#N/A</v>
      </c>
      <c r="D9540" s="125"/>
    </row>
    <row r="9541">
      <c r="A9541" s="122" t="s">
        <v>35289</v>
      </c>
      <c r="B9541" s="123">
        <v>1851366.0</v>
      </c>
      <c r="C9541" s="687" t="str">
        <f>IFERROR(__xludf.DUMMYFUNCTION("GOOGLEFINANCE(A9541,""name"")"),"#N/A")</f>
        <v>#N/A</v>
      </c>
      <c r="D9541" s="125"/>
    </row>
    <row r="9542">
      <c r="A9542" s="122" t="s">
        <v>35290</v>
      </c>
      <c r="B9542" s="123">
        <v>1843973.0</v>
      </c>
      <c r="C9542" s="687" t="str">
        <f>IFERROR(__xludf.DUMMYFUNCTION("GOOGLEFINANCE(A9542,""name"")"),"#N/A")</f>
        <v>#N/A</v>
      </c>
      <c r="D9542" s="125"/>
    </row>
    <row r="9543">
      <c r="A9543" s="122" t="s">
        <v>35291</v>
      </c>
      <c r="B9543" s="123">
        <v>1751156.0</v>
      </c>
      <c r="C9543" s="687" t="str">
        <f>IFERROR(__xludf.DUMMYFUNCTION("GOOGLEFINANCE(A9543,""name"")"),"#N/A")</f>
        <v>#N/A</v>
      </c>
      <c r="D9543" s="125"/>
    </row>
    <row r="9544">
      <c r="A9544" s="122" t="s">
        <v>35292</v>
      </c>
      <c r="B9544" s="123">
        <v>1739104.0</v>
      </c>
      <c r="C9544" s="687" t="str">
        <f>IFERROR(__xludf.DUMMYFUNCTION("GOOGLEFINANCE(A9544,""name"")"),"#N/A")</f>
        <v>#N/A</v>
      </c>
      <c r="D9544" s="125"/>
    </row>
    <row r="9545">
      <c r="A9545" s="122" t="s">
        <v>35293</v>
      </c>
      <c r="B9545" s="123">
        <v>1885493.0</v>
      </c>
      <c r="C9545" s="687" t="str">
        <f>IFERROR(__xludf.DUMMYFUNCTION("GOOGLEFINANCE(A9545,""name"")"),"#N/A")</f>
        <v>#N/A</v>
      </c>
      <c r="D9545" s="125"/>
    </row>
    <row r="9546">
      <c r="A9546" s="122" t="s">
        <v>35294</v>
      </c>
      <c r="B9546" s="123">
        <v>1035354.0</v>
      </c>
      <c r="C9546" s="687" t="str">
        <f>IFERROR(__xludf.DUMMYFUNCTION("GOOGLEFINANCE(A9546,""name"")"),"Eloxx Pharmaceuticals Inc")</f>
        <v>Eloxx Pharmaceuticals Inc</v>
      </c>
      <c r="D9546" s="125"/>
    </row>
    <row r="9547">
      <c r="A9547" s="122" t="s">
        <v>35295</v>
      </c>
      <c r="B9547" s="123">
        <v>1880047.0</v>
      </c>
      <c r="C9547" s="687" t="str">
        <f>IFERROR(__xludf.DUMMYFUNCTION("GOOGLEFINANCE(A9547,""name"")"),"#N/A")</f>
        <v>#N/A</v>
      </c>
      <c r="D9547" s="125"/>
    </row>
    <row r="9548">
      <c r="A9548" s="122" t="s">
        <v>35296</v>
      </c>
      <c r="B9548" s="123">
        <v>1827980.0</v>
      </c>
      <c r="C9548" s="687" t="str">
        <f>IFERROR(__xludf.DUMMYFUNCTION("GOOGLEFINANCE(A9548,""name"")"),"#N/A")</f>
        <v>#N/A</v>
      </c>
      <c r="D9548" s="125"/>
    </row>
    <row r="9549">
      <c r="A9549" s="122" t="s">
        <v>35297</v>
      </c>
      <c r="B9549" s="123">
        <v>1827980.0</v>
      </c>
      <c r="C9549" s="687" t="str">
        <f>IFERROR(__xludf.DUMMYFUNCTION("GOOGLEFINANCE(A9549,""name"")"),"#N/A")</f>
        <v>#N/A</v>
      </c>
      <c r="D9549" s="125"/>
    </row>
    <row r="9550">
      <c r="A9550" s="122" t="s">
        <v>35298</v>
      </c>
      <c r="B9550" s="123">
        <v>858800.0</v>
      </c>
      <c r="C9550" s="687" t="str">
        <f>IFERROR(__xludf.DUMMYFUNCTION("GOOGLEFINANCE(A9550,""name"")"),"#N/A")</f>
        <v>#N/A</v>
      </c>
      <c r="D9550" s="125"/>
    </row>
    <row r="9551">
      <c r="A9551" s="122" t="s">
        <v>35299</v>
      </c>
      <c r="B9551" s="123">
        <v>1869601.0</v>
      </c>
      <c r="C9551" s="687" t="str">
        <f>IFERROR(__xludf.DUMMYFUNCTION("GOOGLEFINANCE(A9551,""name"")"),"#N/A")</f>
        <v>#N/A</v>
      </c>
      <c r="D9551" s="125"/>
    </row>
    <row r="9552">
      <c r="A9552" s="122" t="s">
        <v>35300</v>
      </c>
      <c r="B9552" s="123">
        <v>1494448.0</v>
      </c>
      <c r="C9552" s="687" t="str">
        <f>IFERROR(__xludf.DUMMYFUNCTION("GOOGLEFINANCE(A9552,""name"")"),"#N/A")</f>
        <v>#N/A</v>
      </c>
      <c r="D9552" s="125"/>
    </row>
    <row r="9553">
      <c r="A9553" s="122" t="s">
        <v>35301</v>
      </c>
      <c r="B9553" s="123">
        <v>1768225.0</v>
      </c>
      <c r="C9553" s="687" t="str">
        <f>IFERROR(__xludf.DUMMYFUNCTION("GOOGLEFINANCE(A9553,""name"")"),"#N/A")</f>
        <v>#N/A</v>
      </c>
      <c r="D9553" s="125"/>
    </row>
    <row r="9554">
      <c r="A9554" s="122" t="s">
        <v>35302</v>
      </c>
      <c r="B9554" s="123">
        <v>1889123.0</v>
      </c>
      <c r="C9554" s="687" t="str">
        <f>IFERROR(__xludf.DUMMYFUNCTION("GOOGLEFINANCE(A9554,""name"")"),"#N/A")</f>
        <v>#N/A</v>
      </c>
      <c r="D9554" s="125"/>
    </row>
    <row r="9555">
      <c r="A9555" s="122" t="s">
        <v>35303</v>
      </c>
      <c r="B9555" s="123">
        <v>822370.0</v>
      </c>
      <c r="C9555" s="687" t="str">
        <f>IFERROR(__xludf.DUMMYFUNCTION("GOOGLEFINANCE(A9555,""name"")"),"Emmaus Life Sciences Inc")</f>
        <v>Emmaus Life Sciences Inc</v>
      </c>
      <c r="D9555" s="125"/>
    </row>
    <row r="9556">
      <c r="A9556" s="122" t="s">
        <v>35304</v>
      </c>
      <c r="B9556" s="123">
        <v>1822928.0</v>
      </c>
      <c r="C9556" s="687" t="str">
        <f>IFERROR(__xludf.DUMMYFUNCTION("GOOGLEFINANCE(A9556,""name"")"),"#N/A")</f>
        <v>#N/A</v>
      </c>
      <c r="D9556" s="125"/>
    </row>
    <row r="9557">
      <c r="A9557" s="122" t="s">
        <v>35305</v>
      </c>
      <c r="B9557" s="123">
        <v>1254348.0</v>
      </c>
      <c r="C9557" s="687" t="str">
        <f>IFERROR(__xludf.DUMMYFUNCTION("GOOGLEFINANCE(A9557,""name"")"),"#N/A")</f>
        <v>#N/A</v>
      </c>
      <c r="D9557" s="125"/>
    </row>
    <row r="9558">
      <c r="A9558" s="122" t="s">
        <v>35306</v>
      </c>
      <c r="B9558" s="123">
        <v>1532981.0</v>
      </c>
      <c r="C9558" s="687" t="str">
        <f>IFERROR(__xludf.DUMMYFUNCTION("GOOGLEFINANCE(A9558,""name"")"),"Eros Media World PLC")</f>
        <v>Eros Media World PLC</v>
      </c>
      <c r="D9558" s="125"/>
    </row>
    <row r="9559">
      <c r="A9559" s="122" t="s">
        <v>35307</v>
      </c>
      <c r="B9559" s="123">
        <v>1860220.0</v>
      </c>
      <c r="C9559" s="687" t="str">
        <f>IFERROR(__xludf.DUMMYFUNCTION("GOOGLEFINANCE(A9559,""name"")"),"#N/A")</f>
        <v>#N/A</v>
      </c>
      <c r="D9559" s="125"/>
    </row>
    <row r="9560">
      <c r="A9560" s="122" t="s">
        <v>35308</v>
      </c>
      <c r="B9560" s="123">
        <v>895728.0</v>
      </c>
      <c r="C9560" s="687" t="str">
        <f>IFERROR(__xludf.DUMMYFUNCTION("GOOGLEFINANCE(A9560,""name"")"),"#N/A")</f>
        <v>#N/A</v>
      </c>
      <c r="D9560" s="125"/>
    </row>
    <row r="9561">
      <c r="A9561" s="122" t="s">
        <v>35309</v>
      </c>
      <c r="B9561" s="123">
        <v>1500881.0</v>
      </c>
      <c r="C9561" s="687" t="str">
        <f>IFERROR(__xludf.DUMMYFUNCTION("GOOGLEFINANCE(A9561,""name"")"),"#N/A")</f>
        <v>#N/A</v>
      </c>
      <c r="D9561" s="125"/>
    </row>
    <row r="9562">
      <c r="A9562" s="122" t="s">
        <v>35310</v>
      </c>
      <c r="B9562" s="123">
        <v>1500881.0</v>
      </c>
      <c r="C9562" s="687" t="str">
        <f>IFERROR(__xludf.DUMMYFUNCTION("GOOGLEFINANCE(A9562,""name"")"),"#N/A")</f>
        <v>#N/A</v>
      </c>
      <c r="D9562" s="125"/>
    </row>
    <row r="9563">
      <c r="A9563" s="122" t="s">
        <v>35311</v>
      </c>
      <c r="B9563" s="123">
        <v>1855555.0</v>
      </c>
      <c r="C9563" s="687" t="str">
        <f>IFERROR(__xludf.DUMMYFUNCTION("GOOGLEFINANCE(A9563,""name"")"),"#N/A")</f>
        <v>#N/A</v>
      </c>
      <c r="D9563" s="125"/>
    </row>
    <row r="9564">
      <c r="A9564" s="122" t="s">
        <v>35312</v>
      </c>
      <c r="B9564" s="123">
        <v>1855555.0</v>
      </c>
      <c r="C9564" s="687" t="str">
        <f>IFERROR(__xludf.DUMMYFUNCTION("GOOGLEFINANCE(A9564,""name"")"),"#N/A")</f>
        <v>#N/A</v>
      </c>
      <c r="D9564" s="125"/>
    </row>
    <row r="9565">
      <c r="A9565" s="122" t="s">
        <v>35313</v>
      </c>
      <c r="B9565" s="123">
        <v>71508.0</v>
      </c>
      <c r="C9565" s="687" t="str">
        <f>IFERROR(__xludf.DUMMYFUNCTION("GOOGLEFINANCE(A9565,""name"")"),"Entergy Orleans 5% Mortgage Bonds Series Exp 01 Dec 2052")</f>
        <v>Entergy Orleans 5% Mortgage Bonds Series Exp 01 Dec 2052</v>
      </c>
      <c r="D9565" s="125"/>
    </row>
    <row r="9566">
      <c r="A9566" s="122" t="s">
        <v>35314</v>
      </c>
      <c r="B9566" s="123">
        <v>1830180.0</v>
      </c>
      <c r="C9566" s="687" t="str">
        <f>IFERROR(__xludf.DUMMYFUNCTION("GOOGLEFINANCE(A9566,""name"")"),"#N/A")</f>
        <v>#N/A</v>
      </c>
      <c r="D9566" s="125"/>
    </row>
    <row r="9567">
      <c r="A9567" s="122" t="s">
        <v>35315</v>
      </c>
      <c r="B9567" s="123">
        <v>1830180.0</v>
      </c>
      <c r="C9567" s="687" t="str">
        <f>IFERROR(__xludf.DUMMYFUNCTION("GOOGLEFINANCE(A9567,""name"")"),"#N/A")</f>
        <v>#N/A</v>
      </c>
      <c r="D9567" s="125"/>
    </row>
    <row r="9568">
      <c r="A9568" s="122" t="s">
        <v>35316</v>
      </c>
      <c r="B9568" s="123">
        <v>1527728.0</v>
      </c>
      <c r="C9568" s="687" t="str">
        <f>IFERROR(__xludf.DUMMYFUNCTION("GOOGLEFINANCE(A9568,""name"")"),"#N/A")</f>
        <v>#N/A</v>
      </c>
      <c r="D9568" s="125"/>
    </row>
    <row r="9569">
      <c r="A9569" s="122" t="s">
        <v>35317</v>
      </c>
      <c r="B9569" s="123">
        <v>1816261.0</v>
      </c>
      <c r="C9569" s="687" t="str">
        <f>IFERROR(__xludf.DUMMYFUNCTION("GOOGLEFINANCE(A9569,""name"")"),"#N/A")</f>
        <v>#N/A</v>
      </c>
      <c r="D9569" s="125"/>
    </row>
    <row r="9570">
      <c r="A9570" s="122" t="s">
        <v>35318</v>
      </c>
      <c r="B9570" s="123">
        <v>1816261.0</v>
      </c>
      <c r="C9570" s="687" t="str">
        <f>IFERROR(__xludf.DUMMYFUNCTION("GOOGLEFINANCE(A9570,""name"")"),"#N/A")</f>
        <v>#N/A</v>
      </c>
      <c r="D9570" s="125"/>
    </row>
    <row r="9571">
      <c r="A9571" s="122" t="s">
        <v>35319</v>
      </c>
      <c r="B9571" s="123">
        <v>1816261.0</v>
      </c>
      <c r="C9571" s="687" t="str">
        <f>IFERROR(__xludf.DUMMYFUNCTION("GOOGLEFINANCE(A9571,""name"")"),"#N/A")</f>
        <v>#N/A</v>
      </c>
      <c r="D9571" s="125"/>
    </row>
    <row r="9572">
      <c r="A9572" s="122" t="s">
        <v>35320</v>
      </c>
      <c r="B9572" s="123">
        <v>1904856.0</v>
      </c>
      <c r="C9572" s="687" t="str">
        <f>IFERROR(__xludf.DUMMYFUNCTION("GOOGLEFINANCE(A9572,""name"")"),"#N/A")</f>
        <v>#N/A</v>
      </c>
      <c r="D9572" s="125"/>
    </row>
    <row r="9573">
      <c r="A9573" s="122" t="s">
        <v>35321</v>
      </c>
      <c r="B9573" s="123">
        <v>1870925.0</v>
      </c>
      <c r="C9573" s="687" t="str">
        <f>IFERROR(__xludf.DUMMYFUNCTION("GOOGLEFINANCE(A9573,""name"")"),"#N/A")</f>
        <v>#N/A</v>
      </c>
      <c r="D9573" s="125"/>
    </row>
    <row r="9574">
      <c r="A9574" s="122" t="s">
        <v>35322</v>
      </c>
      <c r="B9574" s="123">
        <v>1870925.0</v>
      </c>
      <c r="C9574" s="687" t="str">
        <f>IFERROR(__xludf.DUMMYFUNCTION("GOOGLEFINANCE(A9574,""name"")"),"#N/A")</f>
        <v>#N/A</v>
      </c>
      <c r="D9574" s="125"/>
    </row>
    <row r="9575">
      <c r="A9575" s="122" t="s">
        <v>35323</v>
      </c>
      <c r="B9575" s="123">
        <v>1870925.0</v>
      </c>
      <c r="C9575" s="687" t="str">
        <f>IFERROR(__xludf.DUMMYFUNCTION("GOOGLEFINANCE(A9575,""name"")"),"#N/A")</f>
        <v>#N/A</v>
      </c>
      <c r="D9575" s="125"/>
    </row>
    <row r="9576">
      <c r="A9576" s="122" t="s">
        <v>35324</v>
      </c>
      <c r="B9576" s="123">
        <v>1638097.0</v>
      </c>
      <c r="C9576" s="687" t="str">
        <f>IFERROR(__xludf.DUMMYFUNCTION("GOOGLEFINANCE(A9576,""name"")"),"#N/A")</f>
        <v>#N/A</v>
      </c>
      <c r="D9576" s="125"/>
    </row>
    <row r="9577">
      <c r="A9577" s="122" t="s">
        <v>35325</v>
      </c>
      <c r="B9577" s="123">
        <v>1843917.0</v>
      </c>
      <c r="C9577" s="687" t="str">
        <f>IFERROR(__xludf.DUMMYFUNCTION("GOOGLEFINANCE(A9577,""name"")"),"#N/A")</f>
        <v>#N/A</v>
      </c>
      <c r="D9577" s="125"/>
    </row>
    <row r="9578">
      <c r="A9578" s="122" t="s">
        <v>35326</v>
      </c>
      <c r="B9578" s="123">
        <v>1843862.0</v>
      </c>
      <c r="C9578" s="687" t="str">
        <f>IFERROR(__xludf.DUMMYFUNCTION("GOOGLEFINANCE(A9578,""name"")"),"#N/A")</f>
        <v>#N/A</v>
      </c>
      <c r="D9578" s="125"/>
    </row>
    <row r="9579">
      <c r="A9579" s="122" t="s">
        <v>35327</v>
      </c>
      <c r="B9579" s="123">
        <v>1843862.0</v>
      </c>
      <c r="C9579" s="687" t="str">
        <f>IFERROR(__xludf.DUMMYFUNCTION("GOOGLEFINANCE(A9579,""name"")"),"#N/A")</f>
        <v>#N/A</v>
      </c>
      <c r="D9579" s="125"/>
    </row>
    <row r="9580">
      <c r="A9580" s="122" t="s">
        <v>35328</v>
      </c>
      <c r="B9580" s="123">
        <v>1843862.0</v>
      </c>
      <c r="C9580" s="687" t="str">
        <f>IFERROR(__xludf.DUMMYFUNCTION("GOOGLEFINANCE(A9580,""name"")"),"#N/A")</f>
        <v>#N/A</v>
      </c>
      <c r="D9580" s="125"/>
    </row>
    <row r="9581">
      <c r="A9581" s="122" t="s">
        <v>35329</v>
      </c>
      <c r="B9581" s="123">
        <v>1506307.0</v>
      </c>
      <c r="C9581" s="687" t="str">
        <f>IFERROR(__xludf.DUMMYFUNCTION("GOOGLEFINANCE(A9581,""name"")"),"#N/A")</f>
        <v>#N/A</v>
      </c>
      <c r="D9581" s="125"/>
    </row>
    <row r="9582">
      <c r="A9582" s="122" t="s">
        <v>35330</v>
      </c>
      <c r="B9582" s="123">
        <v>1827248.0</v>
      </c>
      <c r="C9582" s="687" t="str">
        <f>IFERROR(__xludf.DUMMYFUNCTION("GOOGLEFINANCE(A9582,""name"")"),"#N/A")</f>
        <v>#N/A</v>
      </c>
      <c r="D9582" s="125"/>
    </row>
    <row r="9583">
      <c r="A9583" s="122" t="s">
        <v>35331</v>
      </c>
      <c r="B9583" s="123">
        <v>1827248.0</v>
      </c>
      <c r="C9583" s="687" t="str">
        <f>IFERROR(__xludf.DUMMYFUNCTION("GOOGLEFINANCE(A9583,""name"")"),"#N/A")</f>
        <v>#N/A</v>
      </c>
      <c r="D9583" s="125"/>
    </row>
    <row r="9584">
      <c r="A9584" s="122" t="s">
        <v>35332</v>
      </c>
      <c r="B9584" s="123">
        <v>1827248.0</v>
      </c>
      <c r="C9584" s="687" t="str">
        <f>IFERROR(__xludf.DUMMYFUNCTION("GOOGLEFINANCE(A9584,""name"")"),"#N/A")</f>
        <v>#N/A</v>
      </c>
      <c r="D9584" s="125"/>
    </row>
    <row r="9585">
      <c r="A9585" s="122" t="s">
        <v>35333</v>
      </c>
      <c r="B9585" s="123">
        <v>1045450.0</v>
      </c>
      <c r="C9585" s="687" t="str">
        <f>IFERROR(__xludf.DUMMYFUNCTION("GOOGLEFINANCE(A9585,""name"")"),"#N/A")</f>
        <v>#N/A</v>
      </c>
      <c r="D9585" s="125"/>
    </row>
    <row r="9586">
      <c r="A9586" s="122" t="s">
        <v>35334</v>
      </c>
      <c r="B9586" s="123">
        <v>1045450.0</v>
      </c>
      <c r="C9586" s="687" t="str">
        <f>IFERROR(__xludf.DUMMYFUNCTION("GOOGLEFINANCE(A9586,""name"")"),"#N/A")</f>
        <v>#N/A</v>
      </c>
      <c r="D9586" s="125"/>
    </row>
    <row r="9587">
      <c r="A9587" s="122" t="s">
        <v>35335</v>
      </c>
      <c r="B9587" s="123">
        <v>1045450.0</v>
      </c>
      <c r="C9587" s="687" t="str">
        <f>IFERROR(__xludf.DUMMYFUNCTION("GOOGLEFINANCE(A9587,""name"")"),"#N/A")</f>
        <v>#N/A</v>
      </c>
      <c r="D9587" s="125"/>
    </row>
    <row r="9588">
      <c r="A9588" s="122" t="s">
        <v>35336</v>
      </c>
      <c r="B9588" s="123">
        <v>1825720.0</v>
      </c>
      <c r="C9588" s="687" t="str">
        <f>IFERROR(__xludf.DUMMYFUNCTION("GOOGLEFINANCE(A9588,""name"")"),"#N/A")</f>
        <v>#N/A</v>
      </c>
      <c r="D9588" s="125"/>
    </row>
    <row r="9589">
      <c r="A9589" s="122" t="s">
        <v>35337</v>
      </c>
      <c r="B9589" s="123">
        <v>803649.0</v>
      </c>
      <c r="C9589" s="687" t="str">
        <f>IFERROR(__xludf.DUMMYFUNCTION("GOOGLEFINANCE(A9589,""name"")"),"#N/A")</f>
        <v>#N/A</v>
      </c>
      <c r="D9589" s="125"/>
    </row>
    <row r="9590">
      <c r="A9590" s="122" t="s">
        <v>35338</v>
      </c>
      <c r="B9590" s="123">
        <v>1582138.0</v>
      </c>
      <c r="C9590" s="687" t="str">
        <f>IFERROR(__xludf.DUMMYFUNCTION("GOOGLEFINANCE(A9590,""name"")"),"#N/A")</f>
        <v>#N/A</v>
      </c>
      <c r="D9590" s="125"/>
    </row>
    <row r="9591">
      <c r="A9591" s="122" t="s">
        <v>35339</v>
      </c>
      <c r="B9591" s="123">
        <v>1818221.0</v>
      </c>
      <c r="C9591" s="687" t="str">
        <f>IFERROR(__xludf.DUMMYFUNCTION("GOOGLEFINANCE(A9591,""name"")"),"#N/A")</f>
        <v>#N/A</v>
      </c>
      <c r="D9591" s="125"/>
    </row>
    <row r="9592">
      <c r="A9592" s="122" t="s">
        <v>35340</v>
      </c>
      <c r="B9592" s="123">
        <v>1818221.0</v>
      </c>
      <c r="C9592" s="687" t="str">
        <f>IFERROR(__xludf.DUMMYFUNCTION("GOOGLEFINANCE(A9592,""name"")"),"#N/A")</f>
        <v>#N/A</v>
      </c>
      <c r="D9592" s="125"/>
    </row>
    <row r="9593">
      <c r="A9593" s="122" t="s">
        <v>35341</v>
      </c>
      <c r="B9593" s="123">
        <v>1333986.0</v>
      </c>
      <c r="C9593" s="687" t="str">
        <f>IFERROR(__xludf.DUMMYFUNCTION("GOOGLEFINANCE(A9593,""name"")"),"#N/A")</f>
        <v>#N/A</v>
      </c>
      <c r="D9593" s="125"/>
    </row>
    <row r="9594">
      <c r="A9594" s="122" t="s">
        <v>35342</v>
      </c>
      <c r="B9594" s="123">
        <v>1333986.0</v>
      </c>
      <c r="C9594" s="687" t="str">
        <f>IFERROR(__xludf.DUMMYFUNCTION("GOOGLEFINANCE(A9594,""name"")"),"#N/A")</f>
        <v>#N/A</v>
      </c>
      <c r="D9594" s="125"/>
    </row>
    <row r="9595">
      <c r="A9595" s="122" t="s">
        <v>35343</v>
      </c>
      <c r="B9595" s="123">
        <v>1826729.0</v>
      </c>
      <c r="C9595" s="687" t="str">
        <f>IFERROR(__xludf.DUMMYFUNCTION("GOOGLEFINANCE(A9595,""name"")"),"#N/A")</f>
        <v>#N/A</v>
      </c>
      <c r="D9595" s="125"/>
    </row>
    <row r="9596">
      <c r="A9596" s="122" t="s">
        <v>35344</v>
      </c>
      <c r="B9596" s="123">
        <v>1826729.0</v>
      </c>
      <c r="C9596" s="687" t="str">
        <f>IFERROR(__xludf.DUMMYFUNCTION("GOOGLEFINANCE(A9596,""name"")"),"#N/A")</f>
        <v>#N/A</v>
      </c>
      <c r="D9596" s="125"/>
    </row>
    <row r="9597">
      <c r="A9597" s="122" t="s">
        <v>35345</v>
      </c>
      <c r="B9597" s="123">
        <v>1826729.0</v>
      </c>
      <c r="C9597" s="687" t="str">
        <f>IFERROR(__xludf.DUMMYFUNCTION("GOOGLEFINANCE(A9597,""name"")"),"#N/A")</f>
        <v>#N/A</v>
      </c>
      <c r="D9597" s="125"/>
    </row>
    <row r="9598">
      <c r="A9598" s="122" t="s">
        <v>35346</v>
      </c>
      <c r="B9598" s="123">
        <v>1792554.0</v>
      </c>
      <c r="C9598" s="687" t="str">
        <f>IFERROR(__xludf.DUMMYFUNCTION("GOOGLEFINANCE(A9598,""name"")"),"Equity Metals Corp")</f>
        <v>Equity Metals Corp</v>
      </c>
      <c r="D9598" s="125"/>
    </row>
    <row r="9599">
      <c r="A9599" s="122" t="s">
        <v>35347</v>
      </c>
      <c r="B9599" s="123">
        <v>1790515.0</v>
      </c>
      <c r="C9599" s="687" t="str">
        <f>IFERROR(__xludf.DUMMYFUNCTION("GOOGLEFINANCE(A9599,""name"")"),"#N/A")</f>
        <v>#N/A</v>
      </c>
      <c r="D9599" s="125"/>
    </row>
    <row r="9600">
      <c r="A9600" s="122" t="s">
        <v>35348</v>
      </c>
      <c r="B9600" s="123">
        <v>1843762.0</v>
      </c>
      <c r="C9600" s="687" t="str">
        <f>IFERROR(__xludf.DUMMYFUNCTION("GOOGLEFINANCE(A9600,""name"")"),"#N/A")</f>
        <v>#N/A</v>
      </c>
      <c r="D9600" s="125"/>
    </row>
    <row r="9601">
      <c r="A9601" s="122" t="s">
        <v>35349</v>
      </c>
      <c r="B9601" s="123">
        <v>1843762.0</v>
      </c>
      <c r="C9601" s="687" t="str">
        <f>IFERROR(__xludf.DUMMYFUNCTION("GOOGLEFINANCE(A9601,""name"")"),"#N/A")</f>
        <v>#N/A</v>
      </c>
      <c r="D9601" s="125"/>
    </row>
    <row r="9602">
      <c r="A9602" s="122" t="s">
        <v>35350</v>
      </c>
      <c r="B9602" s="123">
        <v>1563536.0</v>
      </c>
      <c r="C9602" s="687" t="str">
        <f>IFERROR(__xludf.DUMMYFUNCTION("GOOGLEFINANCE(A9602,""name"")"),"#N/A")</f>
        <v>#N/A</v>
      </c>
      <c r="D9602" s="125"/>
    </row>
    <row r="9603">
      <c r="A9603" s="122" t="s">
        <v>35351</v>
      </c>
      <c r="B9603" s="123">
        <v>1814287.0</v>
      </c>
      <c r="C9603" s="687" t="str">
        <f>IFERROR(__xludf.DUMMYFUNCTION("GOOGLEFINANCE(A9603,""name"")"),"#N/A")</f>
        <v>#N/A</v>
      </c>
      <c r="D9603" s="125"/>
    </row>
    <row r="9604">
      <c r="A9604" s="122" t="s">
        <v>35352</v>
      </c>
      <c r="B9604" s="123">
        <v>1814287.0</v>
      </c>
      <c r="C9604" s="687" t="str">
        <f>IFERROR(__xludf.DUMMYFUNCTION("GOOGLEFINANCE(A9604,""name"")"),"#N/A")</f>
        <v>#N/A</v>
      </c>
      <c r="D9604" s="125"/>
    </row>
    <row r="9605">
      <c r="A9605" s="122" t="s">
        <v>35353</v>
      </c>
      <c r="B9605" s="123">
        <v>1814287.0</v>
      </c>
      <c r="C9605" s="687" t="str">
        <f>IFERROR(__xludf.DUMMYFUNCTION("GOOGLEFINANCE(A9605,""name"")"),"#N/A")</f>
        <v>#N/A</v>
      </c>
      <c r="D9605" s="125"/>
    </row>
    <row r="9606">
      <c r="A9606" s="122" t="s">
        <v>35354</v>
      </c>
      <c r="B9606" s="123">
        <v>1624422.0</v>
      </c>
      <c r="C9606" s="687" t="str">
        <f>IFERROR(__xludf.DUMMYFUNCTION("GOOGLEFINANCE(A9606,""name"")"),"#N/A")</f>
        <v>#N/A</v>
      </c>
      <c r="D9606" s="125"/>
    </row>
    <row r="9607">
      <c r="A9607" s="122" t="s">
        <v>35355</v>
      </c>
      <c r="B9607" s="123">
        <v>1841420.0</v>
      </c>
      <c r="C9607" s="687" t="str">
        <f>IFERROR(__xludf.DUMMYFUNCTION("GOOGLEFINANCE(A9607,""name"")"),"#N/A")</f>
        <v>#N/A</v>
      </c>
      <c r="D9607" s="125"/>
    </row>
    <row r="9608">
      <c r="A9608" s="122" t="s">
        <v>35356</v>
      </c>
      <c r="B9608" s="123">
        <v>1841420.0</v>
      </c>
      <c r="C9608" s="687" t="str">
        <f>IFERROR(__xludf.DUMMYFUNCTION("GOOGLEFINANCE(A9608,""name"")"),"#N/A")</f>
        <v>#N/A</v>
      </c>
      <c r="D9608" s="125"/>
    </row>
    <row r="9609">
      <c r="A9609" s="122" t="s">
        <v>35357</v>
      </c>
      <c r="B9609" s="123">
        <v>1346526.0</v>
      </c>
      <c r="C9609" s="687" t="str">
        <f>IFERROR(__xludf.DUMMYFUNCTION("GOOGLEFINANCE(A9609,""name"")"),"#N/A")</f>
        <v>#N/A</v>
      </c>
      <c r="D9609" s="125"/>
    </row>
    <row r="9610">
      <c r="A9610" s="122" t="s">
        <v>35358</v>
      </c>
      <c r="B9610" s="123">
        <v>1346526.0</v>
      </c>
      <c r="C9610" s="687" t="str">
        <f>IFERROR(__xludf.DUMMYFUNCTION("GOOGLEFINANCE(A9610,""name"")"),"#N/A")</f>
        <v>#N/A</v>
      </c>
      <c r="D9610" s="125"/>
    </row>
    <row r="9611">
      <c r="A9611" s="122" t="s">
        <v>35359</v>
      </c>
      <c r="B9611" s="123">
        <v>1760683.0</v>
      </c>
      <c r="C9611" s="687" t="str">
        <f>IFERROR(__xludf.DUMMYFUNCTION("GOOGLEFINANCE(A9611,""name"")"),"Eventide Small Cap ETF")</f>
        <v>Eventide Small Cap ETF</v>
      </c>
      <c r="D9611" s="125"/>
    </row>
    <row r="9612">
      <c r="A9612" s="122" t="s">
        <v>35360</v>
      </c>
      <c r="B9612" s="123">
        <v>1760683.0</v>
      </c>
      <c r="C9612" s="687" t="str">
        <f>IFERROR(__xludf.DUMMYFUNCTION("GOOGLEFINANCE(A9612,""name"")"),"#N/A")</f>
        <v>#N/A</v>
      </c>
      <c r="D9612" s="125"/>
    </row>
    <row r="9613">
      <c r="A9613" s="122" t="s">
        <v>35361</v>
      </c>
      <c r="B9613" s="123">
        <v>1760683.0</v>
      </c>
      <c r="C9613" s="687" t="str">
        <f>IFERROR(__xludf.DUMMYFUNCTION("GOOGLEFINANCE(A9613,""name"")"),"#N/A")</f>
        <v>#N/A</v>
      </c>
      <c r="D9613" s="125"/>
    </row>
    <row r="9614">
      <c r="A9614" s="122" t="s">
        <v>35362</v>
      </c>
      <c r="B9614" s="123">
        <v>1760683.0</v>
      </c>
      <c r="C9614" s="687" t="str">
        <f>IFERROR(__xludf.DUMMYFUNCTION("GOOGLEFINANCE(A9614,""name"")"),"#N/A")</f>
        <v>#N/A</v>
      </c>
      <c r="D9614" s="125"/>
    </row>
    <row r="9615">
      <c r="A9615" s="122" t="s">
        <v>35363</v>
      </c>
      <c r="B9615" s="123">
        <v>1490873.0</v>
      </c>
      <c r="C9615" s="687" t="str">
        <f>IFERROR(__xludf.DUMMYFUNCTION("GOOGLEFINANCE(A9615,""name"")"),"Eco Science Solutions Inc")</f>
        <v>Eco Science Solutions Inc</v>
      </c>
      <c r="D9615" s="125"/>
    </row>
    <row r="9616">
      <c r="A9616" s="122" t="s">
        <v>35364</v>
      </c>
      <c r="B9616" s="123">
        <v>10254.0</v>
      </c>
      <c r="C9616" s="687" t="str">
        <f>IFERROR(__xludf.DUMMYFUNCTION("GOOGLEFINANCE(A9616,""name"")"),"#N/A")</f>
        <v>#N/A</v>
      </c>
      <c r="D9616" s="125"/>
    </row>
    <row r="9617">
      <c r="A9617" s="122" t="s">
        <v>35365</v>
      </c>
      <c r="B9617" s="123">
        <v>1716586.0</v>
      </c>
      <c r="C9617" s="687" t="str">
        <f>IFERROR(__xludf.DUMMYFUNCTION("GOOGLEFINANCE(A9617,""name"")"),"#N/A")</f>
        <v>#N/A</v>
      </c>
      <c r="D9617" s="125"/>
    </row>
    <row r="9618">
      <c r="A9618" s="122" t="s">
        <v>35366</v>
      </c>
      <c r="B9618" s="123">
        <v>1276187.0</v>
      </c>
      <c r="C9618" s="687" t="str">
        <f>IFERROR(__xludf.DUMMYFUNCTION("GOOGLEFINANCE(A9618,""name"")"),"#N/A")</f>
        <v>#N/A</v>
      </c>
      <c r="D9618" s="125"/>
    </row>
    <row r="9619">
      <c r="A9619" s="122" t="s">
        <v>35367</v>
      </c>
      <c r="B9619" s="123">
        <v>1276187.0</v>
      </c>
      <c r="C9619" s="687" t="str">
        <f>IFERROR(__xludf.DUMMYFUNCTION("GOOGLEFINANCE(A9619,""name"")"),"#N/A")</f>
        <v>#N/A</v>
      </c>
      <c r="D9619" s="125"/>
    </row>
    <row r="9620">
      <c r="A9620" s="122" t="s">
        <v>35368</v>
      </c>
      <c r="B9620" s="123">
        <v>1276187.0</v>
      </c>
      <c r="C9620" s="687" t="str">
        <f>IFERROR(__xludf.DUMMYFUNCTION("GOOGLEFINANCE(A9620,""name"")"),"#N/A")</f>
        <v>#N/A</v>
      </c>
      <c r="D9620" s="125"/>
    </row>
    <row r="9621">
      <c r="A9621" s="122" t="s">
        <v>35369</v>
      </c>
      <c r="B9621" s="123">
        <v>1814728.0</v>
      </c>
      <c r="C9621" s="687" t="str">
        <f>IFERROR(__xludf.DUMMYFUNCTION("GOOGLEFINANCE(A9621,""name"")"),"#N/A")</f>
        <v>#N/A</v>
      </c>
      <c r="D9621" s="125"/>
    </row>
    <row r="9622">
      <c r="A9622" s="122" t="s">
        <v>35370</v>
      </c>
      <c r="B9622" s="123">
        <v>1482753.0</v>
      </c>
      <c r="C9622" s="687" t="str">
        <f>IFERROR(__xludf.DUMMYFUNCTION("GOOGLEFINANCE(A9622,""name"")"),"#N/A")</f>
        <v>#N/A</v>
      </c>
      <c r="D9622" s="125"/>
    </row>
    <row r="9623">
      <c r="A9623" s="122" t="s">
        <v>35371</v>
      </c>
      <c r="B9623" s="123">
        <v>1427437.0</v>
      </c>
      <c r="C9623" s="687" t="str">
        <f>IFERROR(__xludf.DUMMYFUNCTION("GOOGLEFINANCE(A9623,""name"")"),"#N/A")</f>
        <v>#N/A</v>
      </c>
      <c r="D9623" s="125"/>
    </row>
    <row r="9624">
      <c r="A9624" s="122" t="s">
        <v>35372</v>
      </c>
      <c r="B9624" s="123">
        <v>1800347.0</v>
      </c>
      <c r="C9624" s="687" t="str">
        <f>IFERROR(__xludf.DUMMYFUNCTION("GOOGLEFINANCE(A9624,""name"")"),"#N/A")</f>
        <v>#N/A</v>
      </c>
      <c r="D9624" s="125"/>
    </row>
    <row r="9625">
      <c r="A9625" s="122" t="s">
        <v>35373</v>
      </c>
      <c r="B9625" s="123">
        <v>1822929.0</v>
      </c>
      <c r="C9625" s="687" t="str">
        <f>IFERROR(__xludf.DUMMYFUNCTION("GOOGLEFINANCE(A9625,""name"")"),"#N/A")</f>
        <v>#N/A</v>
      </c>
      <c r="D9625" s="125"/>
    </row>
    <row r="9626">
      <c r="A9626" s="122" t="s">
        <v>35374</v>
      </c>
      <c r="B9626" s="123">
        <v>1822929.0</v>
      </c>
      <c r="C9626" s="687" t="str">
        <f>IFERROR(__xludf.DUMMYFUNCTION("GOOGLEFINANCE(A9626,""name"")"),"#N/A")</f>
        <v>#N/A</v>
      </c>
      <c r="D9626" s="125"/>
    </row>
    <row r="9627">
      <c r="A9627" s="122" t="s">
        <v>35375</v>
      </c>
      <c r="B9627" s="123">
        <v>1822929.0</v>
      </c>
      <c r="C9627" s="687" t="str">
        <f>IFERROR(__xludf.DUMMYFUNCTION("GOOGLEFINANCE(A9627,""name"")"),"#N/A")</f>
        <v>#N/A</v>
      </c>
      <c r="D9627" s="125"/>
    </row>
    <row r="9628">
      <c r="A9628" s="122" t="s">
        <v>35376</v>
      </c>
      <c r="B9628" s="123">
        <v>1861121.0</v>
      </c>
      <c r="C9628" s="687" t="str">
        <f>IFERROR(__xludf.DUMMYFUNCTION("GOOGLEFINANCE(A9628,""name"")"),"#N/A")</f>
        <v>#N/A</v>
      </c>
      <c r="D9628" s="125"/>
    </row>
    <row r="9629">
      <c r="A9629" s="122" t="s">
        <v>35377</v>
      </c>
      <c r="B9629" s="123">
        <v>1861121.0</v>
      </c>
      <c r="C9629" s="687" t="str">
        <f>IFERROR(__xludf.DUMMYFUNCTION("GOOGLEFINANCE(A9629,""name"")"),"#N/A")</f>
        <v>#N/A</v>
      </c>
      <c r="D9629" s="125"/>
    </row>
    <row r="9630">
      <c r="A9630" s="122" t="s">
        <v>35378</v>
      </c>
      <c r="B9630" s="123">
        <v>1823652.0</v>
      </c>
      <c r="C9630" s="687" t="str">
        <f>IFERROR(__xludf.DUMMYFUNCTION("GOOGLEFINANCE(A9630,""name"")"),"#N/A")</f>
        <v>#N/A</v>
      </c>
      <c r="D9630" s="125"/>
    </row>
    <row r="9631">
      <c r="A9631" s="122" t="s">
        <v>35379</v>
      </c>
      <c r="B9631" s="123">
        <v>1628908.0</v>
      </c>
      <c r="C9631" s="687" t="str">
        <f>IFERROR(__xludf.DUMMYFUNCTION("GOOGLEFINANCE(A9631,""name"")"),"Evolent Health Inc")</f>
        <v>Evolent Health Inc</v>
      </c>
      <c r="D9631" s="125"/>
    </row>
    <row r="9632">
      <c r="A9632" s="122" t="s">
        <v>35380</v>
      </c>
      <c r="B9632" s="123">
        <v>1834342.0</v>
      </c>
      <c r="C9632" s="687" t="str">
        <f>IFERROR(__xludf.DUMMYFUNCTION("GOOGLEFINANCE(A9632,""name"")"),"#N/A")</f>
        <v>#N/A</v>
      </c>
      <c r="D9632" s="125"/>
    </row>
    <row r="9633">
      <c r="A9633" s="122" t="s">
        <v>35381</v>
      </c>
      <c r="B9633" s="123">
        <v>1834342.0</v>
      </c>
      <c r="C9633" s="687" t="str">
        <f>IFERROR(__xludf.DUMMYFUNCTION("GOOGLEFINANCE(A9633,""name"")"),"#N/A")</f>
        <v>#N/A</v>
      </c>
      <c r="D9633" s="125"/>
    </row>
    <row r="9634">
      <c r="A9634" s="122" t="s">
        <v>35382</v>
      </c>
      <c r="B9634" s="123">
        <v>1704596.0</v>
      </c>
      <c r="C9634" s="687" t="str">
        <f>IFERROR(__xludf.DUMMYFUNCTION("GOOGLEFINANCE(A9634,""name"")"),"#N/A")</f>
        <v>#N/A</v>
      </c>
      <c r="D9634" s="125"/>
    </row>
    <row r="9635">
      <c r="A9635" s="122" t="s">
        <v>35383</v>
      </c>
      <c r="B9635" s="123">
        <v>1867102.0</v>
      </c>
      <c r="C9635" s="687" t="str">
        <f>IFERROR(__xludf.DUMMYFUNCTION("GOOGLEFINANCE(A9635,""name"")"),"Vertical Aerospace Ltd")</f>
        <v>Vertical Aerospace Ltd</v>
      </c>
      <c r="D9635" s="125"/>
    </row>
    <row r="9636">
      <c r="A9636" s="122" t="s">
        <v>35384</v>
      </c>
      <c r="B9636" s="123">
        <v>1867102.0</v>
      </c>
      <c r="C9636" s="687" t="str">
        <f>IFERROR(__xludf.DUMMYFUNCTION("GOOGLEFINANCE(A9636,""name"")"),"#N/A")</f>
        <v>#N/A</v>
      </c>
      <c r="D9636" s="125"/>
    </row>
    <row r="9637">
      <c r="A9637" s="122" t="s">
        <v>35385</v>
      </c>
      <c r="B9637" s="123">
        <v>1043894.0</v>
      </c>
      <c r="C9637" s="687" t="str">
        <f>IFERROR(__xludf.DUMMYFUNCTION("GOOGLEFINANCE(A9637,""name"")"),"#N/A")</f>
        <v>#N/A</v>
      </c>
      <c r="D9637" s="125"/>
    </row>
    <row r="9638">
      <c r="A9638" s="122" t="s">
        <v>35386</v>
      </c>
      <c r="B9638" s="123">
        <v>1844019.0</v>
      </c>
      <c r="C9638" s="687" t="str">
        <f>IFERROR(__xludf.DUMMYFUNCTION("GOOGLEFINANCE(A9638,""name"")"),"#N/A")</f>
        <v>#N/A</v>
      </c>
      <c r="D9638" s="125"/>
    </row>
    <row r="9639">
      <c r="A9639" s="122" t="s">
        <v>35387</v>
      </c>
      <c r="B9639" s="123">
        <v>1480999.0</v>
      </c>
      <c r="C9639" s="687" t="str">
        <f>IFERROR(__xludf.DUMMYFUNCTION("GOOGLEFINANCE(A9639,""name"")"),"#N/A")</f>
        <v>#N/A</v>
      </c>
      <c r="D9639" s="125"/>
    </row>
    <row r="9640">
      <c r="A9640" s="122" t="s">
        <v>35388</v>
      </c>
      <c r="B9640" s="123">
        <v>1635881.0</v>
      </c>
      <c r="C9640" s="687" t="str">
        <f>IFERROR(__xludf.DUMMYFUNCTION("GOOGLEFINANCE(A9640,""name"")"),"#N/A")</f>
        <v>#N/A</v>
      </c>
      <c r="D9640" s="125"/>
    </row>
    <row r="9641">
      <c r="A9641" s="122" t="s">
        <v>35389</v>
      </c>
      <c r="B9641" s="123">
        <v>1266806.0</v>
      </c>
      <c r="C9641" s="687" t="str">
        <f>IFERROR(__xludf.DUMMYFUNCTION("GOOGLEFINANCE(A9641,""name"")"),"#N/A")</f>
        <v>#N/A</v>
      </c>
      <c r="D9641" s="125"/>
    </row>
    <row r="9642">
      <c r="A9642" s="122" t="s">
        <v>35390</v>
      </c>
      <c r="B9642" s="123">
        <v>1752372.0</v>
      </c>
      <c r="C9642" s="687" t="str">
        <f>IFERROR(__xludf.DUMMYFUNCTION("GOOGLEFINANCE(A9642,""name"")"),"#N/A")</f>
        <v>#N/A</v>
      </c>
      <c r="D9642" s="125"/>
    </row>
    <row r="9643">
      <c r="A9643" s="122" t="s">
        <v>35391</v>
      </c>
      <c r="B9643" s="123">
        <v>37996.0</v>
      </c>
      <c r="C9643" s="687" t="str">
        <f>IFERROR(__xludf.DUMMYFUNCTION("GOOGLEFINANCE(A9643,""name"")"),"#N/A")</f>
        <v>#N/A</v>
      </c>
      <c r="D9643" s="125"/>
    </row>
    <row r="9644">
      <c r="A9644" s="122" t="s">
        <v>35392</v>
      </c>
      <c r="B9644" s="123">
        <v>37996.0</v>
      </c>
      <c r="C9644" s="687" t="str">
        <f>IFERROR(__xludf.DUMMYFUNCTION("GOOGLEFINANCE(A9644,""name"")"),"#N/A")</f>
        <v>#N/A</v>
      </c>
      <c r="D9644" s="125"/>
    </row>
    <row r="9645">
      <c r="A9645" s="122" t="s">
        <v>35393</v>
      </c>
      <c r="B9645" s="123">
        <v>37996.0</v>
      </c>
      <c r="C9645" s="687" t="str">
        <f>IFERROR(__xludf.DUMMYFUNCTION("GOOGLEFINANCE(A9645,""name"")"),"#N/A")</f>
        <v>#N/A</v>
      </c>
      <c r="D9645" s="125"/>
    </row>
    <row r="9646">
      <c r="A9646" s="122" t="s">
        <v>35394</v>
      </c>
      <c r="B9646" s="123">
        <v>1839550.0</v>
      </c>
      <c r="C9646" s="687" t="str">
        <f>IFERROR(__xludf.DUMMYFUNCTION("GOOGLEFINANCE(A9646,""name"")"),"#N/A")</f>
        <v>#N/A</v>
      </c>
      <c r="D9646" s="125"/>
    </row>
    <row r="9647">
      <c r="A9647" s="122" t="s">
        <v>35395</v>
      </c>
      <c r="B9647" s="123">
        <v>1839550.0</v>
      </c>
      <c r="C9647" s="687" t="str">
        <f>IFERROR(__xludf.DUMMYFUNCTION("GOOGLEFINANCE(A9647,""name"")"),"#N/A")</f>
        <v>#N/A</v>
      </c>
      <c r="D9647" s="125"/>
    </row>
    <row r="9648">
      <c r="A9648" s="122" t="s">
        <v>35396</v>
      </c>
      <c r="B9648" s="123">
        <v>1839550.0</v>
      </c>
      <c r="C9648" s="687" t="str">
        <f>IFERROR(__xludf.DUMMYFUNCTION("GOOGLEFINANCE(A9648,""name"")"),"#N/A")</f>
        <v>#N/A</v>
      </c>
      <c r="D9648" s="125"/>
    </row>
    <row r="9649">
      <c r="A9649" s="122" t="s">
        <v>35397</v>
      </c>
      <c r="B9649" s="123">
        <v>1838987.0</v>
      </c>
      <c r="C9649" s="687" t="str">
        <f>IFERROR(__xludf.DUMMYFUNCTION("GOOGLEFINANCE(A9649,""name"")"),"#N/A")</f>
        <v>#N/A</v>
      </c>
      <c r="D9649" s="125"/>
    </row>
    <row r="9650">
      <c r="A9650" s="122" t="s">
        <v>35398</v>
      </c>
      <c r="B9650" s="123">
        <v>1838987.0</v>
      </c>
      <c r="C9650" s="687" t="str">
        <f>IFERROR(__xludf.DUMMYFUNCTION("GOOGLEFINANCE(A9650,""name"")"),"#N/A")</f>
        <v>#N/A</v>
      </c>
      <c r="D9650" s="125"/>
    </row>
    <row r="9651">
      <c r="A9651" s="122" t="s">
        <v>35399</v>
      </c>
      <c r="B9651" s="123">
        <v>1836176.0</v>
      </c>
      <c r="C9651" s="687" t="str">
        <f>IFERROR(__xludf.DUMMYFUNCTION("GOOGLEFINANCE(A9651,""name"")"),"#N/A")</f>
        <v>#N/A</v>
      </c>
      <c r="D9651" s="125"/>
    </row>
    <row r="9652">
      <c r="A9652" s="122" t="s">
        <v>35400</v>
      </c>
      <c r="B9652" s="123">
        <v>1865045.0</v>
      </c>
      <c r="C9652" s="687" t="str">
        <f>IFERROR(__xludf.DUMMYFUNCTION("GOOGLEFINANCE(A9652,""name"")"),"#N/A")</f>
        <v>#N/A</v>
      </c>
      <c r="D9652" s="125"/>
    </row>
    <row r="9653">
      <c r="A9653" s="122" t="s">
        <v>35401</v>
      </c>
      <c r="B9653" s="123">
        <v>1865045.0</v>
      </c>
      <c r="C9653" s="687" t="str">
        <f>IFERROR(__xludf.DUMMYFUNCTION("GOOGLEFINANCE(A9653,""name"")"),"#N/A")</f>
        <v>#N/A</v>
      </c>
      <c r="D9653" s="125"/>
    </row>
    <row r="9654">
      <c r="A9654" s="122" t="s">
        <v>35402</v>
      </c>
      <c r="B9654" s="123">
        <v>1865045.0</v>
      </c>
      <c r="C9654" s="687" t="str">
        <f>IFERROR(__xludf.DUMMYFUNCTION("GOOGLEFINANCE(A9654,""name"")"),"#N/A")</f>
        <v>#N/A</v>
      </c>
      <c r="D9654" s="125"/>
    </row>
    <row r="9655">
      <c r="A9655" s="122" t="s">
        <v>35403</v>
      </c>
      <c r="B9655" s="123">
        <v>1033012.0</v>
      </c>
      <c r="C9655" s="687" t="str">
        <f>IFERROR(__xludf.DUMMYFUNCTION("GOOGLEFINANCE(A9655,""name"")"),"#N/A")</f>
        <v>#N/A</v>
      </c>
      <c r="D9655" s="125"/>
    </row>
    <row r="9656">
      <c r="A9656" s="122" t="s">
        <v>35404</v>
      </c>
      <c r="B9656" s="123">
        <v>926844.0</v>
      </c>
      <c r="C9656" s="687" t="str">
        <f>IFERROR(__xludf.DUMMYFUNCTION("GOOGLEFINANCE(A9656,""name"")"),"Fuss Brands Corp")</f>
        <v>Fuss Brands Corp</v>
      </c>
      <c r="D9656" s="125"/>
    </row>
    <row r="9657">
      <c r="A9657" s="122" t="s">
        <v>35405</v>
      </c>
      <c r="B9657" s="123">
        <v>1114446.0</v>
      </c>
      <c r="C9657" s="687" t="str">
        <f>IFERROR(__xludf.DUMMYFUNCTION("GOOGLEFINANCE(A9657,""name"")"),"#N/A")</f>
        <v>#N/A</v>
      </c>
      <c r="D9657" s="125"/>
    </row>
    <row r="9658">
      <c r="A9658" s="122" t="s">
        <v>35406</v>
      </c>
      <c r="B9658" s="123">
        <v>1519751.0</v>
      </c>
      <c r="C9658" s="687" t="str">
        <f>IFERROR(__xludf.DUMMYFUNCTION("GOOGLEFINANCE(A9658,""name"")"),"#N/A")</f>
        <v>#N/A</v>
      </c>
      <c r="D9658" s="125"/>
    </row>
    <row r="9659">
      <c r="A9659" s="122" t="s">
        <v>35407</v>
      </c>
      <c r="B9659" s="123">
        <v>1747624.0</v>
      </c>
      <c r="C9659" s="687" t="str">
        <f>IFERROR(__xludf.DUMMYFUNCTION("GOOGLEFINANCE(A9659,""name"")"),"#N/A")</f>
        <v>#N/A</v>
      </c>
      <c r="D9659" s="125"/>
    </row>
    <row r="9660">
      <c r="A9660" s="122" t="s">
        <v>35408</v>
      </c>
      <c r="B9660" s="123">
        <v>1562528.0</v>
      </c>
      <c r="C9660" s="687" t="str">
        <f>IFERROR(__xludf.DUMMYFUNCTION("GOOGLEFINANCE(A9660,""name"")"),"#N/A")</f>
        <v>#N/A</v>
      </c>
      <c r="D9660" s="125"/>
    </row>
    <row r="9661">
      <c r="A9661" s="122" t="s">
        <v>35409</v>
      </c>
      <c r="B9661" s="123">
        <v>1823733.0</v>
      </c>
      <c r="C9661" s="687" t="str">
        <f>IFERROR(__xludf.DUMMYFUNCTION("GOOGLEFINANCE(A9661,""name"")"),"#N/A")</f>
        <v>#N/A</v>
      </c>
      <c r="D9661" s="125"/>
    </row>
    <row r="9662">
      <c r="A9662" s="122" t="s">
        <v>35410</v>
      </c>
      <c r="B9662" s="123">
        <v>1823733.0</v>
      </c>
      <c r="C9662" s="687" t="str">
        <f>IFERROR(__xludf.DUMMYFUNCTION("GOOGLEFINANCE(A9662,""name"")"),"#N/A")</f>
        <v>#N/A</v>
      </c>
      <c r="D9662" s="125"/>
    </row>
    <row r="9663">
      <c r="A9663" s="122" t="s">
        <v>35411</v>
      </c>
      <c r="B9663" s="123">
        <v>1823733.0</v>
      </c>
      <c r="C9663" s="687" t="str">
        <f>IFERROR(__xludf.DUMMYFUNCTION("GOOGLEFINANCE(A9663,""name"")"),"#N/A")</f>
        <v>#N/A</v>
      </c>
      <c r="D9663" s="125"/>
    </row>
    <row r="9664">
      <c r="A9664" s="122" t="s">
        <v>35412</v>
      </c>
      <c r="B9664" s="123">
        <v>1464963.0</v>
      </c>
      <c r="C9664" s="687" t="str">
        <f>IFERROR(__xludf.DUMMYFUNCTION("GOOGLEFINANCE(A9664,""name"")"),"#N/A")</f>
        <v>#N/A</v>
      </c>
      <c r="D9664" s="125"/>
    </row>
    <row r="9665">
      <c r="A9665" s="122" t="s">
        <v>35413</v>
      </c>
      <c r="B9665" s="123">
        <v>1688897.0</v>
      </c>
      <c r="C9665" s="687" t="str">
        <f>IFERROR(__xludf.DUMMYFUNCTION("GOOGLEFINANCE(A9665,""name"")"),"#N/A")</f>
        <v>#N/A</v>
      </c>
      <c r="D9665" s="125"/>
    </row>
    <row r="9666">
      <c r="A9666" s="122" t="s">
        <v>35414</v>
      </c>
      <c r="B9666" s="123">
        <v>1646109.0</v>
      </c>
      <c r="C9666" s="687" t="str">
        <f>IFERROR(__xludf.DUMMYFUNCTION("GOOGLEFINANCE(A9666,""name"")"),"#N/A")</f>
        <v>#N/A</v>
      </c>
      <c r="D9666" s="125"/>
    </row>
    <row r="9667">
      <c r="A9667" s="122" t="s">
        <v>35415</v>
      </c>
      <c r="B9667" s="123">
        <v>1868951.0</v>
      </c>
      <c r="C9667" s="687" t="str">
        <f>IFERROR(__xludf.DUMMYFUNCTION("GOOGLEFINANCE(A9667,""name"")"),"#N/A")</f>
        <v>#N/A</v>
      </c>
      <c r="D9667" s="125"/>
    </row>
    <row r="9668">
      <c r="A9668" s="122" t="s">
        <v>35416</v>
      </c>
      <c r="B9668" s="123">
        <v>1114446.0</v>
      </c>
      <c r="C9668" s="687" t="str">
        <f>IFERROR(__xludf.DUMMYFUNCTION("GOOGLEFINANCE(A9668,""name"")"),"#N/A")</f>
        <v>#N/A</v>
      </c>
      <c r="D9668" s="125"/>
    </row>
    <row r="9669">
      <c r="A9669" s="122" t="s">
        <v>35417</v>
      </c>
      <c r="B9669" s="123">
        <v>1852407.0</v>
      </c>
      <c r="C9669" s="687" t="str">
        <f>IFERROR(__xludf.DUMMYFUNCTION("GOOGLEFINANCE(A9669,""name"")"),"#N/A")</f>
        <v>#N/A</v>
      </c>
      <c r="D9669" s="125"/>
    </row>
    <row r="9670">
      <c r="A9670" s="122" t="s">
        <v>35418</v>
      </c>
      <c r="B9670" s="123">
        <v>1381074.0</v>
      </c>
      <c r="C9670" s="687" t="str">
        <f>IFERROR(__xludf.DUMMYFUNCTION("GOOGLEFINANCE(A9670,""name"")"),"#N/A")</f>
        <v>#N/A</v>
      </c>
      <c r="D9670" s="125"/>
    </row>
    <row r="9671">
      <c r="A9671" s="122" t="s">
        <v>35419</v>
      </c>
      <c r="B9671" s="123">
        <v>1408534.0</v>
      </c>
      <c r="C9671" s="687" t="str">
        <f>IFERROR(__xludf.DUMMYFUNCTION("GOOGLEFINANCE(A9671,""name"")"),"First Guaranty Bancshares Inc")</f>
        <v>First Guaranty Bancshares Inc</v>
      </c>
      <c r="D9671" s="125"/>
    </row>
    <row r="9672">
      <c r="A9672" s="122" t="s">
        <v>35420</v>
      </c>
      <c r="B9672" s="123">
        <v>921299.0</v>
      </c>
      <c r="C9672" s="687" t="str">
        <f>IFERROR(__xludf.DUMMYFUNCTION("GOOGLEFINANCE(A9672,""name"")"),"FibroGen Inc")</f>
        <v>FibroGen Inc</v>
      </c>
      <c r="D9672" s="125"/>
    </row>
    <row r="9673">
      <c r="A9673" s="122" t="s">
        <v>35421</v>
      </c>
      <c r="B9673" s="123">
        <v>1858258.0</v>
      </c>
      <c r="C9673" s="687" t="str">
        <f>IFERROR(__xludf.DUMMYFUNCTION("GOOGLEFINANCE(A9673,""name"")"),"#N/A")</f>
        <v>#N/A</v>
      </c>
      <c r="D9673" s="125"/>
    </row>
    <row r="9674">
      <c r="A9674" s="122" t="s">
        <v>35422</v>
      </c>
      <c r="B9674" s="123">
        <v>1906133.0</v>
      </c>
      <c r="C9674" s="687" t="str">
        <f>IFERROR(__xludf.DUMMYFUNCTION("GOOGLEFINANCE(A9674,""name"")"),"FG Merger II Corp")</f>
        <v>FG Merger II Corp</v>
      </c>
      <c r="D9674" s="125"/>
    </row>
    <row r="9675">
      <c r="A9675" s="122" t="s">
        <v>35423</v>
      </c>
      <c r="B9675" s="123">
        <v>1906133.0</v>
      </c>
      <c r="C9675" s="687" t="str">
        <f>IFERROR(__xludf.DUMMYFUNCTION("GOOGLEFINANCE(A9675,""name"")"),"FG Merger II Units")</f>
        <v>FG Merger II Units</v>
      </c>
      <c r="D9675" s="125"/>
    </row>
    <row r="9676">
      <c r="A9676" s="122" t="s">
        <v>35424</v>
      </c>
      <c r="B9676" s="123">
        <v>1906133.0</v>
      </c>
      <c r="C9676" s="687" t="str">
        <f>IFERROR(__xludf.DUMMYFUNCTION("GOOGLEFINANCE(A9676,""name"")"),"#N/A")</f>
        <v>#N/A</v>
      </c>
      <c r="D9676" s="125"/>
    </row>
    <row r="9677">
      <c r="A9677" s="122" t="s">
        <v>35425</v>
      </c>
      <c r="B9677" s="123">
        <v>1844364.0</v>
      </c>
      <c r="C9677" s="687" t="str">
        <f>IFERROR(__xludf.DUMMYFUNCTION("GOOGLEFINANCE(A9677,""name"")"),"#N/A")</f>
        <v>#N/A</v>
      </c>
      <c r="D9677" s="125"/>
    </row>
    <row r="9678">
      <c r="A9678" s="122" t="s">
        <v>35426</v>
      </c>
      <c r="B9678" s="123">
        <v>1309251.0</v>
      </c>
      <c r="C9678" s="687" t="str">
        <f>IFERROR(__xludf.DUMMYFUNCTION("GOOGLEFINANCE(A9678,""name"")"),"#N/A")</f>
        <v>#N/A</v>
      </c>
      <c r="D9678" s="125"/>
    </row>
    <row r="9679">
      <c r="A9679" s="122" t="s">
        <v>35427</v>
      </c>
      <c r="B9679" s="123">
        <v>36966.0</v>
      </c>
      <c r="C9679" s="687" t="str">
        <f>IFERROR(__xludf.DUMMYFUNCTION("GOOGLEFINANCE(A9679,""name"")"),"#N/A")</f>
        <v>#N/A</v>
      </c>
      <c r="D9679" s="125"/>
    </row>
    <row r="9680">
      <c r="A9680" s="122" t="s">
        <v>35428</v>
      </c>
      <c r="B9680" s="123">
        <v>36966.0</v>
      </c>
      <c r="C9680" s="687" t="str">
        <f>IFERROR(__xludf.DUMMYFUNCTION("GOOGLEFINANCE(A9680,""name"")"),"#N/A")</f>
        <v>#N/A</v>
      </c>
      <c r="D9680" s="125"/>
    </row>
    <row r="9681">
      <c r="A9681" s="122" t="s">
        <v>35429</v>
      </c>
      <c r="B9681" s="123">
        <v>36966.0</v>
      </c>
      <c r="C9681" s="687" t="str">
        <f>IFERROR(__xludf.DUMMYFUNCTION("GOOGLEFINANCE(A9681,""name"")"),"#N/A")</f>
        <v>#N/A</v>
      </c>
      <c r="D9681" s="125"/>
    </row>
    <row r="9682">
      <c r="A9682" s="122" t="s">
        <v>35430</v>
      </c>
      <c r="B9682" s="123">
        <v>36966.0</v>
      </c>
      <c r="C9682" s="687" t="str">
        <f>IFERROR(__xludf.DUMMYFUNCTION("GOOGLEFINANCE(A9682,""name"")"),"#N/A")</f>
        <v>#N/A</v>
      </c>
      <c r="D9682" s="125"/>
    </row>
    <row r="9683">
      <c r="A9683" s="122" t="s">
        <v>35431</v>
      </c>
      <c r="B9683" s="123">
        <v>36966.0</v>
      </c>
      <c r="C9683" s="687" t="str">
        <f>IFERROR(__xludf.DUMMYFUNCTION("GOOGLEFINANCE(A9683,""name"")"),"#N/A")</f>
        <v>#N/A</v>
      </c>
      <c r="D9683" s="125"/>
    </row>
    <row r="9684">
      <c r="A9684" s="122" t="s">
        <v>35432</v>
      </c>
      <c r="B9684" s="123">
        <v>1764443.0</v>
      </c>
      <c r="C9684" s="687" t="str">
        <f>IFERROR(__xludf.DUMMYFUNCTION("GOOGLEFINANCE(A9684,""name"")"),"#N/A")</f>
        <v>#N/A</v>
      </c>
      <c r="D9684" s="125"/>
    </row>
    <row r="9685">
      <c r="A9685" s="122" t="s">
        <v>35433</v>
      </c>
      <c r="B9685" s="123">
        <v>1114446.0</v>
      </c>
      <c r="C9685" s="687" t="str">
        <f>IFERROR(__xludf.DUMMYFUNCTION("GOOGLEFINANCE(A9685,""name"")"),"FIEE Inc")</f>
        <v>FIEE Inc</v>
      </c>
      <c r="D9685" s="125"/>
    </row>
    <row r="9686">
      <c r="A9686" s="122" t="s">
        <v>35434</v>
      </c>
      <c r="B9686" s="123">
        <v>1648903.0</v>
      </c>
      <c r="C9686" s="687" t="str">
        <f>IFERROR(__xludf.DUMMYFUNCTION("GOOGLEFINANCE(A9686,""name"")"),"First Foods Group Inc")</f>
        <v>First Foods Group Inc</v>
      </c>
      <c r="D9686" s="125"/>
    </row>
    <row r="9687">
      <c r="A9687" s="122" t="s">
        <v>35435</v>
      </c>
      <c r="B9687" s="123">
        <v>1114446.0</v>
      </c>
      <c r="C9687" s="687" t="str">
        <f>IFERROR(__xludf.DUMMYFUNCTION("GOOGLEFINANCE(A9687,""name"")"),"#N/A")</f>
        <v>#N/A</v>
      </c>
      <c r="D9687" s="125"/>
    </row>
    <row r="9688">
      <c r="A9688" s="122" t="s">
        <v>35436</v>
      </c>
      <c r="B9688" s="123">
        <v>1823855.0</v>
      </c>
      <c r="C9688" s="687" t="str">
        <f>IFERROR(__xludf.DUMMYFUNCTION("GOOGLEFINANCE(A9688,""name"")"),"#N/A")</f>
        <v>#N/A</v>
      </c>
      <c r="D9688" s="125"/>
    </row>
    <row r="9689">
      <c r="A9689" s="122" t="s">
        <v>35437</v>
      </c>
      <c r="B9689" s="123">
        <v>1899194.0</v>
      </c>
      <c r="C9689" s="687" t="str">
        <f>IFERROR(__xludf.DUMMYFUNCTION("GOOGLEFINANCE(A9689,""name"")"),"#N/A")</f>
        <v>#N/A</v>
      </c>
      <c r="D9689" s="125"/>
    </row>
    <row r="9690">
      <c r="A9690" s="122" t="s">
        <v>35438</v>
      </c>
      <c r="B9690" s="123">
        <v>1828326.0</v>
      </c>
      <c r="C9690" s="687" t="str">
        <f>IFERROR(__xludf.DUMMYFUNCTION("GOOGLEFINANCE(A9690,""name"")"),"#N/A")</f>
        <v>#N/A</v>
      </c>
      <c r="D9690" s="125"/>
    </row>
    <row r="9691">
      <c r="A9691" s="122" t="s">
        <v>35439</v>
      </c>
      <c r="B9691" s="123">
        <v>1828326.0</v>
      </c>
      <c r="C9691" s="687" t="str">
        <f>IFERROR(__xludf.DUMMYFUNCTION("GOOGLEFINANCE(A9691,""name"")"),"#N/A")</f>
        <v>#N/A</v>
      </c>
      <c r="D9691" s="125"/>
    </row>
    <row r="9692">
      <c r="A9692" s="122" t="s">
        <v>35440</v>
      </c>
      <c r="B9692" s="123">
        <v>1828326.0</v>
      </c>
      <c r="C9692" s="687" t="str">
        <f>IFERROR(__xludf.DUMMYFUNCTION("GOOGLEFINANCE(A9692,""name"")"),"#N/A")</f>
        <v>#N/A</v>
      </c>
      <c r="D9692" s="125"/>
    </row>
    <row r="9693">
      <c r="A9693" s="122" t="s">
        <v>35441</v>
      </c>
      <c r="B9693" s="123">
        <v>1855485.0</v>
      </c>
      <c r="C9693" s="687" t="str">
        <f>IFERROR(__xludf.DUMMYFUNCTION("GOOGLEFINANCE(A9693,""name"")"),"Global X S&amp;P 500 US Market Leaders Top 50 ETF")</f>
        <v>Global X S&amp;P 500 US Market Leaders Top 50 ETF</v>
      </c>
      <c r="D9693" s="125"/>
    </row>
    <row r="9694">
      <c r="A9694" s="122" t="s">
        <v>35442</v>
      </c>
      <c r="B9694" s="123">
        <v>1912287.0</v>
      </c>
      <c r="C9694" s="687" t="str">
        <f>IFERROR(__xludf.DUMMYFUNCTION("GOOGLEFINANCE(A9694,""name"")"),"#N/A")</f>
        <v>#N/A</v>
      </c>
      <c r="D9694" s="125"/>
    </row>
    <row r="9695">
      <c r="A9695" s="122" t="s">
        <v>35443</v>
      </c>
      <c r="B9695" s="123">
        <v>1609988.0</v>
      </c>
      <c r="C9695" s="687" t="str">
        <f>IFERROR(__xludf.DUMMYFUNCTION("GOOGLEFINANCE(A9695,""name"")"),"Quantum Energy Corp")</f>
        <v>Quantum Energy Corp</v>
      </c>
      <c r="D9695" s="125"/>
    </row>
    <row r="9696">
      <c r="A9696" s="122" t="s">
        <v>35444</v>
      </c>
      <c r="B9696" s="123">
        <v>1438901.0</v>
      </c>
      <c r="C9696" s="687" t="str">
        <f>IFERROR(__xludf.DUMMYFUNCTION("GOOGLEFINANCE(A9696,""name"")"),"Auto Parts 4Less Group Inc")</f>
        <v>Auto Parts 4Less Group Inc</v>
      </c>
      <c r="D9696" s="125"/>
    </row>
    <row r="9697">
      <c r="A9697" s="122" t="s">
        <v>35445</v>
      </c>
      <c r="B9697" s="123">
        <v>866374.0</v>
      </c>
      <c r="C9697" s="687" t="str">
        <f>IFERROR(__xludf.DUMMYFUNCTION("GOOGLEFINANCE(A9697,""name"")"),"Flex Ltd")</f>
        <v>Flex Ltd</v>
      </c>
      <c r="D9697" s="125"/>
    </row>
    <row r="9698">
      <c r="A9698" s="122" t="s">
        <v>35446</v>
      </c>
      <c r="B9698" s="123">
        <v>1912582.0</v>
      </c>
      <c r="C9698" s="687" t="str">
        <f>IFERROR(__xludf.DUMMYFUNCTION("GOOGLEFINANCE(A9698,""name"")"),"#N/A")</f>
        <v>#N/A</v>
      </c>
      <c r="D9698" s="125"/>
    </row>
    <row r="9699">
      <c r="A9699" s="122" t="s">
        <v>35447</v>
      </c>
      <c r="B9699" s="123">
        <v>1659207.0</v>
      </c>
      <c r="C9699" s="687" t="str">
        <f>IFERROR(__xludf.DUMMYFUNCTION("GOOGLEFINANCE(A9699,""name"")"),"#N/A")</f>
        <v>#N/A</v>
      </c>
      <c r="D9699" s="125"/>
    </row>
    <row r="9700">
      <c r="A9700" s="122" t="s">
        <v>35448</v>
      </c>
      <c r="B9700" s="123">
        <v>1831481.0</v>
      </c>
      <c r="C9700" s="687" t="str">
        <f>IFERROR(__xludf.DUMMYFUNCTION("GOOGLEFINANCE(A9700,""name"")"),"#N/A")</f>
        <v>#N/A</v>
      </c>
      <c r="D9700" s="125"/>
    </row>
    <row r="9701">
      <c r="A9701" s="122" t="s">
        <v>35449</v>
      </c>
      <c r="B9701" s="123">
        <v>1831481.0</v>
      </c>
      <c r="C9701" s="687" t="str">
        <f>IFERROR(__xludf.DUMMYFUNCTION("GOOGLEFINANCE(A9701,""name"")"),"#N/A")</f>
        <v>#N/A</v>
      </c>
      <c r="D9701" s="125"/>
    </row>
    <row r="9702">
      <c r="A9702" s="122" t="s">
        <v>35450</v>
      </c>
      <c r="B9702" s="123">
        <v>1124198.0</v>
      </c>
      <c r="C9702" s="687" t="str">
        <f>IFERROR(__xludf.DUMMYFUNCTION("GOOGLEFINANCE(A9702,""name"")"),"#N/A")</f>
        <v>#N/A</v>
      </c>
      <c r="D9702" s="125"/>
    </row>
    <row r="9703">
      <c r="A9703" s="122" t="s">
        <v>35451</v>
      </c>
      <c r="B9703" s="123">
        <v>1787462.0</v>
      </c>
      <c r="C9703" s="687" t="str">
        <f>IFERROR(__xludf.DUMMYFUNCTION("GOOGLEFINANCE(A9703,""name"")"),"#N/A")</f>
        <v>#N/A</v>
      </c>
      <c r="D9703" s="125"/>
    </row>
    <row r="9704">
      <c r="A9704" s="122" t="s">
        <v>35452</v>
      </c>
      <c r="B9704" s="123">
        <v>1844650.0</v>
      </c>
      <c r="C9704" s="687" t="str">
        <f>IFERROR(__xludf.DUMMYFUNCTION("GOOGLEFINANCE(A9704,""name"")"),"#N/A")</f>
        <v>#N/A</v>
      </c>
      <c r="D9704" s="125"/>
    </row>
    <row r="9705">
      <c r="A9705" s="122" t="s">
        <v>35453</v>
      </c>
      <c r="B9705" s="123">
        <v>1844650.0</v>
      </c>
      <c r="C9705" s="687" t="str">
        <f>IFERROR(__xludf.DUMMYFUNCTION("GOOGLEFINANCE(A9705,""name"")"),"#N/A")</f>
        <v>#N/A</v>
      </c>
      <c r="D9705" s="125"/>
    </row>
    <row r="9706">
      <c r="A9706" s="122" t="s">
        <v>35454</v>
      </c>
      <c r="B9706" s="123">
        <v>1844650.0</v>
      </c>
      <c r="C9706" s="687" t="str">
        <f>IFERROR(__xludf.DUMMYFUNCTION("GOOGLEFINANCE(A9706,""name"")"),"#N/A")</f>
        <v>#N/A</v>
      </c>
      <c r="D9706" s="125"/>
    </row>
    <row r="9707">
      <c r="A9707" s="122" t="s">
        <v>35455</v>
      </c>
      <c r="B9707" s="123">
        <v>927971.0</v>
      </c>
      <c r="C9707" s="687" t="str">
        <f>IFERROR(__xludf.DUMMYFUNCTION("GOOGLEFINANCE(A9707,""name"")"),"MicroSectors Travel 3X Inverse Leveraged ETN")</f>
        <v>MicroSectors Travel 3X Inverse Leveraged ETN</v>
      </c>
      <c r="D9707" s="125"/>
    </row>
    <row r="9708">
      <c r="A9708" s="122" t="s">
        <v>35456</v>
      </c>
      <c r="B9708" s="123">
        <v>927971.0</v>
      </c>
      <c r="C9708" s="687" t="str">
        <f>IFERROR(__xludf.DUMMYFUNCTION("GOOGLEFINANCE(A9708,""name"")"),"MicroSectors Travel 3X Leveraged ETN")</f>
        <v>MicroSectors Travel 3X Leveraged ETN</v>
      </c>
      <c r="D9708" s="125"/>
    </row>
    <row r="9709">
      <c r="A9709" s="122" t="s">
        <v>35457</v>
      </c>
      <c r="B9709" s="123">
        <v>1842916.0</v>
      </c>
      <c r="C9709" s="687" t="str">
        <f>IFERROR(__xludf.DUMMYFUNCTION("GOOGLEFINANCE(A9709,""name"")"),"#N/A")</f>
        <v>#N/A</v>
      </c>
      <c r="D9709" s="125"/>
    </row>
    <row r="9710">
      <c r="A9710" s="122" t="s">
        <v>35458</v>
      </c>
      <c r="B9710" s="123">
        <v>1842916.0</v>
      </c>
      <c r="C9710" s="687" t="str">
        <f>IFERROR(__xludf.DUMMYFUNCTION("GOOGLEFINANCE(A9710,""name"")"),"#N/A")</f>
        <v>#N/A</v>
      </c>
      <c r="D9710" s="125"/>
    </row>
    <row r="9711">
      <c r="A9711" s="122" t="s">
        <v>35459</v>
      </c>
      <c r="B9711" s="123">
        <v>1842916.0</v>
      </c>
      <c r="C9711" s="687" t="str">
        <f>IFERROR(__xludf.DUMMYFUNCTION("GOOGLEFINANCE(A9711,""name"")"),"#N/A")</f>
        <v>#N/A</v>
      </c>
      <c r="D9711" s="125"/>
    </row>
    <row r="9712">
      <c r="A9712" s="122" t="s">
        <v>35460</v>
      </c>
      <c r="B9712" s="123">
        <v>1538927.0</v>
      </c>
      <c r="C9712" s="687" t="str">
        <f>IFERROR(__xludf.DUMMYFUNCTION("GOOGLEFINANCE(A9712,""name"")"),"#N/A")</f>
        <v>#N/A</v>
      </c>
      <c r="D9712" s="125"/>
    </row>
    <row r="9713">
      <c r="A9713" s="122" t="s">
        <v>35461</v>
      </c>
      <c r="B9713" s="123">
        <v>37808.0</v>
      </c>
      <c r="C9713" s="687" t="str">
        <f>IFERROR(__xludf.DUMMYFUNCTION("GOOGLEFINANCE(A9713,""name"")"),"#N/A")</f>
        <v>#N/A</v>
      </c>
      <c r="D9713" s="125"/>
    </row>
    <row r="9714">
      <c r="A9714" s="122" t="s">
        <v>35462</v>
      </c>
      <c r="B9714" s="123">
        <v>927971.0</v>
      </c>
      <c r="C9714" s="687" t="str">
        <f>IFERROR(__xludf.DUMMYFUNCTION("GOOGLEFINANCE(A9714,""name"")"),"Bank of Montreal MicroSectors FANG ETN Exp 8 Jan 2038")</f>
        <v>Bank of Montreal MicroSectors FANG ETN Exp 8 Jan 2038</v>
      </c>
      <c r="D9714" s="125"/>
    </row>
    <row r="9715">
      <c r="A9715" s="122" t="s">
        <v>35463</v>
      </c>
      <c r="B9715" s="123">
        <v>1069996.0</v>
      </c>
      <c r="C9715" s="687" t="str">
        <f>IFERROR(__xludf.DUMMYFUNCTION("GOOGLEFINANCE(A9715,""name"")"),"#N/A")</f>
        <v>#N/A</v>
      </c>
      <c r="D9715" s="125"/>
    </row>
    <row r="9716">
      <c r="A9716" s="122" t="s">
        <v>35464</v>
      </c>
      <c r="B9716" s="123">
        <v>1704711.0</v>
      </c>
      <c r="C9716" s="687" t="str">
        <f>IFERROR(__xludf.DUMMYFUNCTION("GOOGLEFINANCE(A9716,""name"")"),"Funko Inc")</f>
        <v>Funko Inc</v>
      </c>
      <c r="D9716" s="125"/>
    </row>
    <row r="9717">
      <c r="A9717" s="122" t="s">
        <v>35465</v>
      </c>
      <c r="B9717" s="123">
        <v>1828937.0</v>
      </c>
      <c r="C9717" s="687" t="str">
        <f>IFERROR(__xludf.DUMMYFUNCTION("GOOGLEFINANCE(A9717,""name"")"),"#N/A")</f>
        <v>#N/A</v>
      </c>
      <c r="D9717" s="125"/>
    </row>
    <row r="9718">
      <c r="A9718" s="122" t="s">
        <v>35466</v>
      </c>
      <c r="B9718" s="123">
        <v>1651052.0</v>
      </c>
      <c r="C9718" s="687" t="str">
        <f>IFERROR(__xludf.DUMMYFUNCTION("GOOGLEFINANCE(A9718,""name"")"),"#N/A")</f>
        <v>#N/A</v>
      </c>
      <c r="D9718" s="125"/>
    </row>
    <row r="9719">
      <c r="A9719" s="122" t="s">
        <v>35467</v>
      </c>
      <c r="B9719" s="123">
        <v>1883631.0</v>
      </c>
      <c r="C9719" s="687" t="str">
        <f>IFERROR(__xludf.DUMMYFUNCTION("GOOGLEFINANCE(A9719,""name"")"),"#N/A")</f>
        <v>#N/A</v>
      </c>
      <c r="D9719" s="125"/>
    </row>
    <row r="9720">
      <c r="A9720" s="122" t="s">
        <v>35468</v>
      </c>
      <c r="B9720" s="123">
        <v>1543916.0</v>
      </c>
      <c r="C9720" s="687" t="str">
        <f>IFERROR(__xludf.DUMMYFUNCTION("GOOGLEFINANCE(A9720,""name"")"),"#N/A")</f>
        <v>#N/A</v>
      </c>
      <c r="D9720" s="125"/>
    </row>
    <row r="9721">
      <c r="A9721" s="122" t="s">
        <v>35469</v>
      </c>
      <c r="B9721" s="123">
        <v>1936255.0</v>
      </c>
      <c r="C9721" s="687" t="str">
        <f>IFERROR(__xludf.DUMMYFUNCTION("GOOGLEFINANCE(A9721,""name"")"),"Four Leaf Acquisition Corp")</f>
        <v>Four Leaf Acquisition Corp</v>
      </c>
      <c r="D9721" s="125"/>
    </row>
    <row r="9722">
      <c r="A9722" s="122" t="s">
        <v>35470</v>
      </c>
      <c r="B9722" s="123">
        <v>1039399.0</v>
      </c>
      <c r="C9722" s="687" t="str">
        <f>IFERROR(__xludf.DUMMYFUNCTION("GOOGLEFINANCE(A9722,""name"")"),"FormFactor Inc")</f>
        <v>FormFactor Inc</v>
      </c>
      <c r="D9722" s="125"/>
    </row>
    <row r="9723">
      <c r="A9723" s="122" t="s">
        <v>35471</v>
      </c>
      <c r="B9723" s="123">
        <v>1023313.0</v>
      </c>
      <c r="C9723" s="687" t="str">
        <f>IFERROR(__xludf.DUMMYFUNCTION("GOOGLEFINANCE(A9723,""name"")"),"Forrester Research Inc")</f>
        <v>Forrester Research Inc</v>
      </c>
      <c r="D9723" s="125"/>
    </row>
    <row r="9724">
      <c r="A9724" s="122" t="s">
        <v>35472</v>
      </c>
      <c r="B9724" s="123">
        <v>1683131.0</v>
      </c>
      <c r="C9724" s="687" t="str">
        <f>IFERROR(__xludf.DUMMYFUNCTION("GOOGLEFINANCE(A9724,""name"")"),"Forza Innovations Inc")</f>
        <v>Forza Innovations Inc</v>
      </c>
      <c r="D9724" s="125"/>
    </row>
    <row r="9725">
      <c r="A9725" s="122" t="s">
        <v>35473</v>
      </c>
      <c r="B9725" s="123">
        <v>883569.0</v>
      </c>
      <c r="C9725" s="687" t="str">
        <f>IFERROR(__xludf.DUMMYFUNCTION("GOOGLEFINANCE(A9725,""name"")"),"Fossil Group Inc")</f>
        <v>Fossil Group Inc</v>
      </c>
      <c r="D9725" s="125"/>
    </row>
    <row r="9726">
      <c r="A9726" s="122" t="s">
        <v>35474</v>
      </c>
      <c r="B9726" s="123">
        <v>1099668.0</v>
      </c>
      <c r="C9726" s="687" t="str">
        <f>IFERROR(__xludf.DUMMYFUNCTION("GOOGLEFINANCE(A9726,""name"")"),"First Ottawa Bancshares Inc")</f>
        <v>First Ottawa Bancshares Inc</v>
      </c>
      <c r="D9726" s="125"/>
    </row>
    <row r="9727">
      <c r="A9727" s="122" t="s">
        <v>35475</v>
      </c>
      <c r="B9727" s="123">
        <v>1829999.0</v>
      </c>
      <c r="C9727" s="687" t="str">
        <f>IFERROR(__xludf.DUMMYFUNCTION("GOOGLEFINANCE(A9727,""name"")"),"#N/A")</f>
        <v>#N/A</v>
      </c>
      <c r="D9727" s="125"/>
    </row>
    <row r="9728">
      <c r="A9728" s="122" t="s">
        <v>35476</v>
      </c>
      <c r="B9728" s="123">
        <v>1829999.0</v>
      </c>
      <c r="C9728" s="687" t="str">
        <f>IFERROR(__xludf.DUMMYFUNCTION("GOOGLEFINANCE(A9728,""name"")"),"#N/A")</f>
        <v>#N/A</v>
      </c>
      <c r="D9728" s="125"/>
    </row>
    <row r="9729">
      <c r="A9729" s="122" t="s">
        <v>35477</v>
      </c>
      <c r="B9729" s="123">
        <v>1829999.0</v>
      </c>
      <c r="C9729" s="687" t="str">
        <f>IFERROR(__xludf.DUMMYFUNCTION("GOOGLEFINANCE(A9729,""name"")"),"#N/A")</f>
        <v>#N/A</v>
      </c>
      <c r="D9729" s="125"/>
    </row>
    <row r="9730">
      <c r="A9730" s="122" t="s">
        <v>35478</v>
      </c>
      <c r="B9730" s="123">
        <v>1829426.0</v>
      </c>
      <c r="C9730" s="687" t="str">
        <f>IFERROR(__xludf.DUMMYFUNCTION("GOOGLEFINANCE(A9730,""name"")"),"#N/A")</f>
        <v>#N/A</v>
      </c>
      <c r="D9730" s="125"/>
    </row>
    <row r="9731">
      <c r="A9731" s="122" t="s">
        <v>35479</v>
      </c>
      <c r="B9731" s="123">
        <v>1829426.0</v>
      </c>
      <c r="C9731" s="687" t="str">
        <f>IFERROR(__xludf.DUMMYFUNCTION("GOOGLEFINANCE(A9731,""name"")"),"#N/A")</f>
        <v>#N/A</v>
      </c>
      <c r="D9731" s="125"/>
    </row>
    <row r="9732">
      <c r="A9732" s="122" t="s">
        <v>35480</v>
      </c>
      <c r="B9732" s="123">
        <v>1829426.0</v>
      </c>
      <c r="C9732" s="687" t="str">
        <f>IFERROR(__xludf.DUMMYFUNCTION("GOOGLEFINANCE(A9732,""name"")"),"#N/A")</f>
        <v>#N/A</v>
      </c>
      <c r="D9732" s="125"/>
    </row>
    <row r="9733">
      <c r="A9733" s="122" t="s">
        <v>35481</v>
      </c>
      <c r="B9733" s="123">
        <v>1874495.0</v>
      </c>
      <c r="C9733" s="687" t="str">
        <f>IFERROR(__xludf.DUMMYFUNCTION("GOOGLEFINANCE(A9733,""name"")"),"#N/A")</f>
        <v>#N/A</v>
      </c>
      <c r="D9733" s="125"/>
    </row>
    <row r="9734">
      <c r="A9734" s="122" t="s">
        <v>35482</v>
      </c>
      <c r="B9734" s="123">
        <v>1874495.0</v>
      </c>
      <c r="C9734" s="687" t="str">
        <f>IFERROR(__xludf.DUMMYFUNCTION("GOOGLEFINANCE(A9734,""name"")"),"#N/A")</f>
        <v>#N/A</v>
      </c>
      <c r="D9734" s="125"/>
    </row>
    <row r="9735">
      <c r="A9735" s="122" t="s">
        <v>35483</v>
      </c>
      <c r="B9735" s="123">
        <v>1132979.0</v>
      </c>
      <c r="C9735" s="687" t="str">
        <f>IFERROR(__xludf.DUMMYFUNCTION("GOOGLEFINANCE(A9735,""name"")"),"#N/A")</f>
        <v>#N/A</v>
      </c>
      <c r="D9735" s="125"/>
    </row>
    <row r="9736">
      <c r="A9736" s="122" t="s">
        <v>35484</v>
      </c>
      <c r="B9736" s="123">
        <v>1132979.0</v>
      </c>
      <c r="C9736" s="687" t="str">
        <f>IFERROR(__xludf.DUMMYFUNCTION("GOOGLEFINANCE(A9736,""name"")"),"#N/A")</f>
        <v>#N/A</v>
      </c>
      <c r="D9736" s="125"/>
    </row>
    <row r="9737">
      <c r="A9737" s="122" t="s">
        <v>35485</v>
      </c>
      <c r="B9737" s="123">
        <v>1132979.0</v>
      </c>
      <c r="C9737" s="687" t="str">
        <f>IFERROR(__xludf.DUMMYFUNCTION("GOOGLEFINANCE(A9737,""name"")"),"#N/A")</f>
        <v>#N/A</v>
      </c>
      <c r="D9737" s="125"/>
    </row>
    <row r="9738">
      <c r="A9738" s="122" t="s">
        <v>35486</v>
      </c>
      <c r="B9738" s="123">
        <v>1132979.0</v>
      </c>
      <c r="C9738" s="687" t="str">
        <f>IFERROR(__xludf.DUMMYFUNCTION("GOOGLEFINANCE(A9738,""name"")"),"#N/A")</f>
        <v>#N/A</v>
      </c>
      <c r="D9738" s="125"/>
    </row>
    <row r="9739">
      <c r="A9739" s="122" t="s">
        <v>35487</v>
      </c>
      <c r="B9739" s="123">
        <v>1132979.0</v>
      </c>
      <c r="C9739" s="687" t="str">
        <f>IFERROR(__xludf.DUMMYFUNCTION("GOOGLEFINANCE(A9739,""name"")"),"#N/A")</f>
        <v>#N/A</v>
      </c>
      <c r="D9739" s="125"/>
    </row>
    <row r="9740">
      <c r="A9740" s="122" t="s">
        <v>35488</v>
      </c>
      <c r="B9740" s="123">
        <v>1132979.0</v>
      </c>
      <c r="C9740" s="687" t="str">
        <f>IFERROR(__xludf.DUMMYFUNCTION("GOOGLEFINANCE(A9740,""name"")"),"#N/A")</f>
        <v>#N/A</v>
      </c>
      <c r="D9740" s="125"/>
    </row>
    <row r="9741">
      <c r="A9741" s="122" t="s">
        <v>35489</v>
      </c>
      <c r="B9741" s="123">
        <v>1132979.0</v>
      </c>
      <c r="C9741" s="687" t="str">
        <f>IFERROR(__xludf.DUMMYFUNCTION("GOOGLEFINANCE(A9741,""name"")"),"#N/A")</f>
        <v>#N/A</v>
      </c>
      <c r="D9741" s="125"/>
    </row>
    <row r="9742">
      <c r="A9742" s="122" t="s">
        <v>35490</v>
      </c>
      <c r="B9742" s="123">
        <v>1132979.0</v>
      </c>
      <c r="C9742" s="687" t="str">
        <f>IFERROR(__xludf.DUMMYFUNCTION("GOOGLEFINANCE(A9742,""name"")"),"#N/A")</f>
        <v>#N/A</v>
      </c>
      <c r="D9742" s="125"/>
    </row>
    <row r="9743">
      <c r="A9743" s="122" t="s">
        <v>35491</v>
      </c>
      <c r="B9743" s="123">
        <v>1844224.0</v>
      </c>
      <c r="C9743" s="687" t="str">
        <f>IFERROR(__xludf.DUMMYFUNCTION("GOOGLEFINANCE(A9743,""name"")"),"#N/A")</f>
        <v>#N/A</v>
      </c>
      <c r="D9743" s="125"/>
    </row>
    <row r="9744">
      <c r="A9744" s="122" t="s">
        <v>35492</v>
      </c>
      <c r="B9744" s="123">
        <v>1528930.0</v>
      </c>
      <c r="C9744" s="687" t="str">
        <f>IFERROR(__xludf.DUMMYFUNCTION("GOOGLEFINANCE(A9744,""name"")"),"#N/A")</f>
        <v>#N/A</v>
      </c>
      <c r="D9744" s="125"/>
    </row>
    <row r="9745">
      <c r="A9745" s="122" t="s">
        <v>35493</v>
      </c>
      <c r="B9745" s="123">
        <v>1534992.0</v>
      </c>
      <c r="C9745" s="687" t="str">
        <f>IFERROR(__xludf.DUMMYFUNCTION("GOOGLEFINANCE(A9745,""name"")"),"#N/A")</f>
        <v>#N/A</v>
      </c>
      <c r="D9745" s="125"/>
    </row>
    <row r="9746">
      <c r="A9746" s="122" t="s">
        <v>35494</v>
      </c>
      <c r="B9746" s="123">
        <v>1842223.0</v>
      </c>
      <c r="C9746" s="687" t="str">
        <f>IFERROR(__xludf.DUMMYFUNCTION("GOOGLEFINANCE(A9746,""name"")"),"#N/A")</f>
        <v>#N/A</v>
      </c>
      <c r="D9746" s="125"/>
    </row>
    <row r="9747">
      <c r="A9747" s="122" t="s">
        <v>35495</v>
      </c>
      <c r="B9747" s="123">
        <v>1842223.0</v>
      </c>
      <c r="C9747" s="687" t="str">
        <f>IFERROR(__xludf.DUMMYFUNCTION("GOOGLEFINANCE(A9747,""name"")"),"#N/A")</f>
        <v>#N/A</v>
      </c>
      <c r="D9747" s="125"/>
    </row>
    <row r="9748">
      <c r="A9748" s="122" t="s">
        <v>35496</v>
      </c>
      <c r="B9748" s="123">
        <v>1842223.0</v>
      </c>
      <c r="C9748" s="687" t="str">
        <f>IFERROR(__xludf.DUMMYFUNCTION("GOOGLEFINANCE(A9748,""name"")"),"#N/A")</f>
        <v>#N/A</v>
      </c>
      <c r="D9748" s="125"/>
    </row>
    <row r="9749">
      <c r="A9749" s="122" t="s">
        <v>35497</v>
      </c>
      <c r="B9749" s="123">
        <v>1732078.0</v>
      </c>
      <c r="C9749" s="687" t="str">
        <f>IFERROR(__xludf.DUMMYFUNCTION("GOOGLEFINANCE(A9749,""name"")"),"#N/A")</f>
        <v>#N/A</v>
      </c>
      <c r="D9749" s="125"/>
    </row>
    <row r="9750">
      <c r="A9750" s="122" t="s">
        <v>35498</v>
      </c>
      <c r="B9750" s="123">
        <v>1830162.0</v>
      </c>
      <c r="C9750" s="687" t="str">
        <f>IFERROR(__xludf.DUMMYFUNCTION("GOOGLEFINANCE(A9750,""name"")"),"#N/A")</f>
        <v>#N/A</v>
      </c>
      <c r="D9750" s="125"/>
    </row>
    <row r="9751">
      <c r="A9751" s="122" t="s">
        <v>35499</v>
      </c>
      <c r="B9751" s="123">
        <v>1842883.0</v>
      </c>
      <c r="C9751" s="687" t="str">
        <f>IFERROR(__xludf.DUMMYFUNCTION("GOOGLEFINANCE(A9751,""name"")"),"#N/A")</f>
        <v>#N/A</v>
      </c>
      <c r="D9751" s="125"/>
    </row>
    <row r="9752">
      <c r="A9752" s="122" t="s">
        <v>35500</v>
      </c>
      <c r="B9752" s="123">
        <v>1842883.0</v>
      </c>
      <c r="C9752" s="687" t="str">
        <f>IFERROR(__xludf.DUMMYFUNCTION("GOOGLEFINANCE(A9752,""name"")"),"#N/A")</f>
        <v>#N/A</v>
      </c>
      <c r="D9752" s="125"/>
    </row>
    <row r="9753">
      <c r="A9753" s="122" t="s">
        <v>35501</v>
      </c>
      <c r="B9753" s="123">
        <v>1842883.0</v>
      </c>
      <c r="C9753" s="687" t="str">
        <f>IFERROR(__xludf.DUMMYFUNCTION("GOOGLEFINANCE(A9753,""name"")"),"#N/A")</f>
        <v>#N/A</v>
      </c>
      <c r="D9753" s="125"/>
    </row>
    <row r="9754">
      <c r="A9754" s="122" t="s">
        <v>35502</v>
      </c>
      <c r="B9754" s="123">
        <v>34903.0</v>
      </c>
      <c r="C9754" s="687" t="str">
        <f>IFERROR(__xludf.DUMMYFUNCTION("GOOGLEFINANCE(A9754,""name"")"),"#N/A")</f>
        <v>#N/A</v>
      </c>
      <c r="D9754" s="125"/>
    </row>
    <row r="9755">
      <c r="A9755" s="122" t="s">
        <v>35503</v>
      </c>
      <c r="B9755" s="123">
        <v>1589361.0</v>
      </c>
      <c r="C9755" s="687" t="str">
        <f>IFERROR(__xludf.DUMMYFUNCTION("GOOGLEFINANCE(A9755,""name"")"),"#N/A")</f>
        <v>#N/A</v>
      </c>
      <c r="D9755" s="125"/>
    </row>
    <row r="9756">
      <c r="A9756" s="122" t="s">
        <v>35504</v>
      </c>
      <c r="B9756" s="123">
        <v>1825739.0</v>
      </c>
      <c r="C9756" s="687" t="str">
        <f>IFERROR(__xludf.DUMMYFUNCTION("GOOGLEFINANCE(A9756,""name"")"),"#N/A")</f>
        <v>#N/A</v>
      </c>
      <c r="D9756" s="125"/>
    </row>
    <row r="9757">
      <c r="A9757" s="122" t="s">
        <v>35505</v>
      </c>
      <c r="B9757" s="123">
        <v>1825739.0</v>
      </c>
      <c r="C9757" s="687" t="str">
        <f>IFERROR(__xludf.DUMMYFUNCTION("GOOGLEFINANCE(A9757,""name"")"),"#N/A")</f>
        <v>#N/A</v>
      </c>
      <c r="D9757" s="125"/>
    </row>
    <row r="9758">
      <c r="A9758" s="122" t="s">
        <v>35506</v>
      </c>
      <c r="B9758" s="123">
        <v>1840161.0</v>
      </c>
      <c r="C9758" s="687" t="str">
        <f>IFERROR(__xludf.DUMMYFUNCTION("GOOGLEFINANCE(A9758,""name"")"),"#N/A")</f>
        <v>#N/A</v>
      </c>
      <c r="D9758" s="125"/>
    </row>
    <row r="9759">
      <c r="A9759" s="122" t="s">
        <v>35507</v>
      </c>
      <c r="B9759" s="123">
        <v>1840161.0</v>
      </c>
      <c r="C9759" s="687" t="str">
        <f>IFERROR(__xludf.DUMMYFUNCTION("GOOGLEFINANCE(A9759,""name"")"),"#N/A")</f>
        <v>#N/A</v>
      </c>
      <c r="D9759" s="125"/>
    </row>
    <row r="9760">
      <c r="A9760" s="122" t="s">
        <v>35508</v>
      </c>
      <c r="B9760" s="123">
        <v>1840161.0</v>
      </c>
      <c r="C9760" s="687" t="str">
        <f>IFERROR(__xludf.DUMMYFUNCTION("GOOGLEFINANCE(A9760,""name"")"),"#N/A")</f>
        <v>#N/A</v>
      </c>
      <c r="D9760" s="125"/>
    </row>
    <row r="9761">
      <c r="A9761" s="122" t="s">
        <v>35509</v>
      </c>
      <c r="B9761" s="123">
        <v>1435508.0</v>
      </c>
      <c r="C9761" s="687" t="str">
        <f>IFERROR(__xludf.DUMMYFUNCTION("GOOGLEFINANCE(A9761,""name"")"),"First Savings Financial Group Inc")</f>
        <v>First Savings Financial Group Inc</v>
      </c>
      <c r="D9761" s="125"/>
    </row>
    <row r="9762">
      <c r="A9762" s="122" t="s">
        <v>35510</v>
      </c>
      <c r="B9762" s="123">
        <v>1850059.0</v>
      </c>
      <c r="C9762" s="687" t="str">
        <f>IFERROR(__xludf.DUMMYFUNCTION("GOOGLEFINANCE(A9762,""name"")"),"Flag Ship Acquisition Corp")</f>
        <v>Flag Ship Acquisition Corp</v>
      </c>
      <c r="D9762" s="125"/>
    </row>
    <row r="9763">
      <c r="A9763" s="122" t="s">
        <v>35511</v>
      </c>
      <c r="B9763" s="123">
        <v>1840225.0</v>
      </c>
      <c r="C9763" s="687" t="str">
        <f>IFERROR(__xludf.DUMMYFUNCTION("GOOGLEFINANCE(A9763,""name"")"),"#N/A")</f>
        <v>#N/A</v>
      </c>
      <c r="D9763" s="125"/>
    </row>
    <row r="9764">
      <c r="A9764" s="122" t="s">
        <v>35512</v>
      </c>
      <c r="B9764" s="123">
        <v>1840225.0</v>
      </c>
      <c r="C9764" s="687" t="str">
        <f>IFERROR(__xludf.DUMMYFUNCTION("GOOGLEFINANCE(A9764,""name"")"),"#N/A")</f>
        <v>#N/A</v>
      </c>
      <c r="D9764" s="125"/>
    </row>
    <row r="9765">
      <c r="A9765" s="122" t="s">
        <v>35513</v>
      </c>
      <c r="B9765" s="123">
        <v>1840225.0</v>
      </c>
      <c r="C9765" s="687" t="str">
        <f>IFERROR(__xludf.DUMMYFUNCTION("GOOGLEFINANCE(A9765,""name"")"),"#N/A")</f>
        <v>#N/A</v>
      </c>
      <c r="D9765" s="125"/>
    </row>
    <row r="9766">
      <c r="A9766" s="122" t="s">
        <v>35514</v>
      </c>
      <c r="B9766" s="123">
        <v>1558536.0</v>
      </c>
      <c r="C9766" s="687" t="str">
        <f>IFERROR(__xludf.DUMMYFUNCTION("GOOGLEFINANCE(A9766,""name"")"),"#N/A")</f>
        <v>#N/A</v>
      </c>
      <c r="D9766" s="125"/>
    </row>
    <row r="9767">
      <c r="A9767" s="122" t="s">
        <v>35515</v>
      </c>
      <c r="B9767" s="123">
        <v>1832351.0</v>
      </c>
      <c r="C9767" s="687" t="str">
        <f>IFERROR(__xludf.DUMMYFUNCTION("GOOGLEFINANCE(A9767,""name"")"),"#N/A")</f>
        <v>#N/A</v>
      </c>
      <c r="D9767" s="125"/>
    </row>
    <row r="9768">
      <c r="A9768" s="122" t="s">
        <v>35516</v>
      </c>
      <c r="B9768" s="123">
        <v>1832351.0</v>
      </c>
      <c r="C9768" s="687" t="str">
        <f>IFERROR(__xludf.DUMMYFUNCTION("GOOGLEFINANCE(A9768,""name"")"),"#N/A")</f>
        <v>#N/A</v>
      </c>
      <c r="D9768" s="125"/>
    </row>
    <row r="9769">
      <c r="A9769" s="122" t="s">
        <v>35517</v>
      </c>
      <c r="B9769" s="123">
        <v>1834336.0</v>
      </c>
      <c r="C9769" s="687" t="str">
        <f>IFERROR(__xludf.DUMMYFUNCTION("GOOGLEFINANCE(A9769,""name"")"),"#N/A")</f>
        <v>#N/A</v>
      </c>
      <c r="D9769" s="125"/>
    </row>
    <row r="9770">
      <c r="A9770" s="122" t="s">
        <v>35518</v>
      </c>
      <c r="B9770" s="123">
        <v>1834336.0</v>
      </c>
      <c r="C9770" s="687" t="str">
        <f>IFERROR(__xludf.DUMMYFUNCTION("GOOGLEFINANCE(A9770,""name"")"),"#N/A")</f>
        <v>#N/A</v>
      </c>
      <c r="D9770" s="125"/>
    </row>
    <row r="9771">
      <c r="A9771" s="122" t="s">
        <v>35519</v>
      </c>
      <c r="B9771" s="123">
        <v>1834336.0</v>
      </c>
      <c r="C9771" s="687" t="str">
        <f>IFERROR(__xludf.DUMMYFUNCTION("GOOGLEFINANCE(A9771,""name"")"),"#N/A")</f>
        <v>#N/A</v>
      </c>
      <c r="D9771" s="125"/>
    </row>
    <row r="9772">
      <c r="A9772" s="122" t="s">
        <v>35520</v>
      </c>
      <c r="B9772" s="123">
        <v>1822862.0</v>
      </c>
      <c r="C9772" s="687" t="str">
        <f>IFERROR(__xludf.DUMMYFUNCTION("GOOGLEFINANCE(A9772,""name"")"),"#N/A")</f>
        <v>#N/A</v>
      </c>
      <c r="D9772" s="125"/>
    </row>
    <row r="9773">
      <c r="A9773" s="122" t="s">
        <v>35521</v>
      </c>
      <c r="B9773" s="123">
        <v>1822862.0</v>
      </c>
      <c r="C9773" s="687" t="str">
        <f>IFERROR(__xludf.DUMMYFUNCTION("GOOGLEFINANCE(A9773,""name"")"),"#N/A")</f>
        <v>#N/A</v>
      </c>
      <c r="D9773" s="125"/>
    </row>
    <row r="9774">
      <c r="A9774" s="122" t="s">
        <v>35522</v>
      </c>
      <c r="B9774" s="123">
        <v>1566373.0</v>
      </c>
      <c r="C9774" s="687" t="str">
        <f>IFERROR(__xludf.DUMMYFUNCTION("GOOGLEFINANCE(A9774,""name"")"),"#N/A")</f>
        <v>#N/A</v>
      </c>
      <c r="D9774" s="125"/>
    </row>
    <row r="9775">
      <c r="A9775" s="122" t="s">
        <v>35523</v>
      </c>
      <c r="B9775" s="123">
        <v>1832696.0</v>
      </c>
      <c r="C9775" s="687" t="str">
        <f>IFERROR(__xludf.DUMMYFUNCTION("GOOGLEFINANCE(A9775,""name"")"),"#N/A")</f>
        <v>#N/A</v>
      </c>
      <c r="D9775" s="125"/>
    </row>
    <row r="9776">
      <c r="A9776" s="122" t="s">
        <v>35524</v>
      </c>
      <c r="B9776" s="123">
        <v>1832696.0</v>
      </c>
      <c r="C9776" s="687" t="str">
        <f>IFERROR(__xludf.DUMMYFUNCTION("GOOGLEFINANCE(A9776,""name"")"),"#N/A")</f>
        <v>#N/A</v>
      </c>
      <c r="D9776" s="125"/>
    </row>
    <row r="9777">
      <c r="A9777" s="122" t="s">
        <v>35525</v>
      </c>
      <c r="B9777" s="123">
        <v>1832696.0</v>
      </c>
      <c r="C9777" s="687" t="str">
        <f>IFERROR(__xludf.DUMMYFUNCTION("GOOGLEFINANCE(A9777,""name"")"),"#N/A")</f>
        <v>#N/A</v>
      </c>
      <c r="D9777" s="125"/>
    </row>
    <row r="9778">
      <c r="A9778" s="122" t="s">
        <v>35526</v>
      </c>
      <c r="B9778" s="123">
        <v>1740915.0</v>
      </c>
      <c r="C9778" s="687" t="str">
        <f>IFERROR(__xludf.DUMMYFUNCTION("GOOGLEFINANCE(A9778,""name"")"),"#N/A")</f>
        <v>#N/A</v>
      </c>
      <c r="D9778" s="125"/>
    </row>
    <row r="9779">
      <c r="A9779" s="122" t="s">
        <v>35527</v>
      </c>
      <c r="B9779" s="123">
        <v>1829328.0</v>
      </c>
      <c r="C9779" s="687" t="str">
        <f>IFERROR(__xludf.DUMMYFUNCTION("GOOGLEFINANCE(A9779,""name"")"),"#N/A")</f>
        <v>#N/A</v>
      </c>
      <c r="D9779" s="125"/>
    </row>
    <row r="9780">
      <c r="A9780" s="122" t="s">
        <v>35528</v>
      </c>
      <c r="B9780" s="123">
        <v>1829328.0</v>
      </c>
      <c r="C9780" s="687" t="str">
        <f>IFERROR(__xludf.DUMMYFUNCTION("GOOGLEFINANCE(A9780,""name"")"),"#N/A")</f>
        <v>#N/A</v>
      </c>
      <c r="D9780" s="125"/>
    </row>
    <row r="9781">
      <c r="A9781" s="122" t="s">
        <v>35529</v>
      </c>
      <c r="B9781" s="123">
        <v>1829328.0</v>
      </c>
      <c r="C9781" s="687" t="str">
        <f>IFERROR(__xludf.DUMMYFUNCTION("GOOGLEFINANCE(A9781,""name"")"),"#N/A")</f>
        <v>#N/A</v>
      </c>
      <c r="D9781" s="125"/>
    </row>
    <row r="9782">
      <c r="A9782" s="122" t="s">
        <v>35530</v>
      </c>
      <c r="B9782" s="123">
        <v>1856114.0</v>
      </c>
      <c r="C9782" s="687" t="str">
        <f>IFERROR(__xludf.DUMMYFUNCTION("GOOGLEFINANCE(A9782,""name"")"),"#N/A")</f>
        <v>#N/A</v>
      </c>
      <c r="D9782" s="125"/>
    </row>
    <row r="9783">
      <c r="A9783" s="122" t="s">
        <v>35531</v>
      </c>
      <c r="B9783" s="123">
        <v>1839569.0</v>
      </c>
      <c r="C9783" s="687" t="str">
        <f>IFERROR(__xludf.DUMMYFUNCTION("GOOGLEFINANCE(A9783,""name"")"),"#N/A")</f>
        <v>#N/A</v>
      </c>
      <c r="D9783" s="125"/>
    </row>
    <row r="9784">
      <c r="A9784" s="122" t="s">
        <v>35532</v>
      </c>
      <c r="B9784" s="123">
        <v>1839569.0</v>
      </c>
      <c r="C9784" s="687" t="str">
        <f>IFERROR(__xludf.DUMMYFUNCTION("GOOGLEFINANCE(A9784,""name"")"),"#N/A")</f>
        <v>#N/A</v>
      </c>
      <c r="D9784" s="125"/>
    </row>
    <row r="9785">
      <c r="A9785" s="122" t="s">
        <v>35533</v>
      </c>
      <c r="B9785" s="123">
        <v>1839569.0</v>
      </c>
      <c r="C9785" s="687" t="str">
        <f>IFERROR(__xludf.DUMMYFUNCTION("GOOGLEFINANCE(A9785,""name"")"),"#N/A")</f>
        <v>#N/A</v>
      </c>
      <c r="D9785" s="125"/>
    </row>
    <row r="9786">
      <c r="A9786" s="122" t="s">
        <v>35534</v>
      </c>
      <c r="B9786" s="123">
        <v>1839972.0</v>
      </c>
      <c r="C9786" s="687" t="str">
        <f>IFERROR(__xludf.DUMMYFUNCTION("GOOGLEFINANCE(A9786,""name"")"),"Franklin Pennsylvania Municipal Income ETF")</f>
        <v>Franklin Pennsylvania Municipal Income ETF</v>
      </c>
      <c r="D9786" s="125"/>
    </row>
    <row r="9787">
      <c r="A9787" s="122" t="s">
        <v>35535</v>
      </c>
      <c r="B9787" s="123">
        <v>1839972.0</v>
      </c>
      <c r="C9787" s="687" t="str">
        <f>IFERROR(__xludf.DUMMYFUNCTION("GOOGLEFINANCE(A9787,""name"")"),"#N/A")</f>
        <v>#N/A</v>
      </c>
      <c r="D9787" s="125"/>
    </row>
    <row r="9788">
      <c r="A9788" s="122" t="s">
        <v>35536</v>
      </c>
      <c r="B9788" s="123">
        <v>1839972.0</v>
      </c>
      <c r="C9788" s="687" t="str">
        <f>IFERROR(__xludf.DUMMYFUNCTION("GOOGLEFINANCE(A9788,""name"")"),"#N/A")</f>
        <v>#N/A</v>
      </c>
      <c r="D9788" s="125"/>
    </row>
    <row r="9789">
      <c r="A9789" s="122" t="s">
        <v>35537</v>
      </c>
      <c r="B9789" s="123">
        <v>1844336.0</v>
      </c>
      <c r="C9789" s="687" t="str">
        <f>IFERROR(__xludf.DUMMYFUNCTION("GOOGLEFINANCE(A9789,""name"")"),"#N/A")</f>
        <v>#N/A</v>
      </c>
      <c r="D9789" s="125"/>
    </row>
    <row r="9790">
      <c r="A9790" s="122" t="s">
        <v>35538</v>
      </c>
      <c r="B9790" s="123">
        <v>1844336.0</v>
      </c>
      <c r="C9790" s="687" t="str">
        <f>IFERROR(__xludf.DUMMYFUNCTION("GOOGLEFINANCE(A9790,""name"")"),"#N/A")</f>
        <v>#N/A</v>
      </c>
      <c r="D9790" s="125"/>
    </row>
    <row r="9791">
      <c r="A9791" s="122" t="s">
        <v>35539</v>
      </c>
      <c r="B9791" s="123">
        <v>1844336.0</v>
      </c>
      <c r="C9791" s="687" t="str">
        <f>IFERROR(__xludf.DUMMYFUNCTION("GOOGLEFINANCE(A9791,""name"")"),"#N/A")</f>
        <v>#N/A</v>
      </c>
      <c r="D9791" s="125"/>
    </row>
    <row r="9792">
      <c r="A9792" s="122" t="s">
        <v>35540</v>
      </c>
      <c r="B9792" s="123">
        <v>352960.0</v>
      </c>
      <c r="C9792" s="687" t="str">
        <f>IFERROR(__xludf.DUMMYFUNCTION("GOOGLEFINANCE(A9792,""name"")"),"#N/A")</f>
        <v>#N/A</v>
      </c>
      <c r="D9792" s="125"/>
    </row>
    <row r="9793">
      <c r="A9793" s="122" t="s">
        <v>35541</v>
      </c>
      <c r="B9793" s="123">
        <v>1823465.0</v>
      </c>
      <c r="C9793" s="687" t="str">
        <f>IFERROR(__xludf.DUMMYFUNCTION("GOOGLEFINANCE(A9793,""name"")"),"#N/A")</f>
        <v>#N/A</v>
      </c>
      <c r="D9793" s="125"/>
    </row>
    <row r="9794">
      <c r="A9794" s="122" t="s">
        <v>35542</v>
      </c>
      <c r="B9794" s="123">
        <v>1828183.0</v>
      </c>
      <c r="C9794" s="687" t="str">
        <f>IFERROR(__xludf.DUMMYFUNCTION("GOOGLEFINANCE(A9794,""name"")"),"#N/A")</f>
        <v>#N/A</v>
      </c>
      <c r="D9794" s="125"/>
    </row>
    <row r="9795">
      <c r="A9795" s="122" t="s">
        <v>35543</v>
      </c>
      <c r="B9795" s="123">
        <v>1828183.0</v>
      </c>
      <c r="C9795" s="687" t="str">
        <f>IFERROR(__xludf.DUMMYFUNCTION("GOOGLEFINANCE(A9795,""name"")"),"#N/A")</f>
        <v>#N/A</v>
      </c>
      <c r="D9795" s="125"/>
    </row>
    <row r="9796">
      <c r="A9796" s="122" t="s">
        <v>35544</v>
      </c>
      <c r="B9796" s="123">
        <v>1828183.0</v>
      </c>
      <c r="C9796" s="687" t="str">
        <f>IFERROR(__xludf.DUMMYFUNCTION("GOOGLEFINANCE(A9796,""name"")"),"#N/A")</f>
        <v>#N/A</v>
      </c>
      <c r="D9796" s="125"/>
    </row>
    <row r="9797">
      <c r="A9797" s="122" t="s">
        <v>35545</v>
      </c>
      <c r="B9797" s="123">
        <v>1824434.0</v>
      </c>
      <c r="C9797" s="687" t="str">
        <f>IFERROR(__xludf.DUMMYFUNCTION("GOOGLEFINANCE(A9797,""name"")"),"#N/A")</f>
        <v>#N/A</v>
      </c>
      <c r="D9797" s="125"/>
    </row>
    <row r="9798">
      <c r="A9798" s="122" t="s">
        <v>35546</v>
      </c>
      <c r="B9798" s="123">
        <v>1824434.0</v>
      </c>
      <c r="C9798" s="687" t="str">
        <f>IFERROR(__xludf.DUMMYFUNCTION("GOOGLEFINANCE(A9798,""name"")"),"#N/A")</f>
        <v>#N/A</v>
      </c>
      <c r="D9798" s="125"/>
    </row>
    <row r="9799">
      <c r="A9799" s="122" t="s">
        <v>35547</v>
      </c>
      <c r="B9799" s="123">
        <v>1824434.0</v>
      </c>
      <c r="C9799" s="687" t="str">
        <f>IFERROR(__xludf.DUMMYFUNCTION("GOOGLEFINANCE(A9799,""name"")"),"#N/A")</f>
        <v>#N/A</v>
      </c>
      <c r="D9799" s="125"/>
    </row>
    <row r="9800">
      <c r="A9800" s="122" t="s">
        <v>35548</v>
      </c>
      <c r="B9800" s="123">
        <v>1847874.0</v>
      </c>
      <c r="C9800" s="687" t="str">
        <f>IFERROR(__xludf.DUMMYFUNCTION("GOOGLEFINANCE(A9800,""name"")"),"#N/A")</f>
        <v>#N/A</v>
      </c>
      <c r="D9800" s="125"/>
    </row>
    <row r="9801">
      <c r="A9801" s="122" t="s">
        <v>35549</v>
      </c>
      <c r="B9801" s="123">
        <v>1652958.0</v>
      </c>
      <c r="C9801" s="687" t="str">
        <f>IFERROR(__xludf.DUMMYFUNCTION("GOOGLEFINANCE(A9801,""name"")"),"#N/A")</f>
        <v>#N/A</v>
      </c>
      <c r="D9801" s="125"/>
    </row>
    <row r="9802">
      <c r="A9802" s="122" t="s">
        <v>35550</v>
      </c>
      <c r="B9802" s="123">
        <v>1604924.0</v>
      </c>
      <c r="C9802" s="687" t="str">
        <f>IFERROR(__xludf.DUMMYFUNCTION("GOOGLEFINANCE(A9802,""name"")"),"#N/A")</f>
        <v>#N/A</v>
      </c>
      <c r="D9802" s="125"/>
    </row>
    <row r="9803">
      <c r="A9803" s="122" t="s">
        <v>35551</v>
      </c>
      <c r="B9803" s="123">
        <v>1839824.0</v>
      </c>
      <c r="C9803" s="687" t="str">
        <f>IFERROR(__xludf.DUMMYFUNCTION("GOOGLEFINANCE(A9803,""name"")"),"#N/A")</f>
        <v>#N/A</v>
      </c>
      <c r="D9803" s="125"/>
    </row>
    <row r="9804">
      <c r="A9804" s="122" t="s">
        <v>35552</v>
      </c>
      <c r="B9804" s="123">
        <v>1839824.0</v>
      </c>
      <c r="C9804" s="687" t="str">
        <f>IFERROR(__xludf.DUMMYFUNCTION("GOOGLEFINANCE(A9804,""name"")"),"#N/A")</f>
        <v>#N/A</v>
      </c>
      <c r="D9804" s="125"/>
    </row>
    <row r="9805">
      <c r="A9805" s="122" t="s">
        <v>35553</v>
      </c>
      <c r="B9805" s="123">
        <v>1839824.0</v>
      </c>
      <c r="C9805" s="687" t="str">
        <f>IFERROR(__xludf.DUMMYFUNCTION("GOOGLEFINANCE(A9805,""name"")"),"#N/A")</f>
        <v>#N/A</v>
      </c>
      <c r="D9805" s="125"/>
    </row>
    <row r="9806">
      <c r="A9806" s="122" t="s">
        <v>35554</v>
      </c>
      <c r="B9806" s="123">
        <v>794685.0</v>
      </c>
      <c r="C9806" s="687" t="str">
        <f>IFERROR(__xludf.DUMMYFUNCTION("GOOGLEFINANCE(A9806,""name"")"),"Gabelli Equity Trust Inc")</f>
        <v>Gabelli Equity Trust Inc</v>
      </c>
      <c r="D9806" s="125"/>
    </row>
    <row r="9807">
      <c r="A9807" s="122" t="s">
        <v>35555</v>
      </c>
      <c r="B9807" s="123">
        <v>794685.0</v>
      </c>
      <c r="C9807" s="687" t="str">
        <f>IFERROR(__xludf.DUMMYFUNCTION("GOOGLEFINANCE(A9807,""name"")"),"#N/A")</f>
        <v>#N/A</v>
      </c>
      <c r="D9807" s="125"/>
    </row>
    <row r="9808">
      <c r="A9808" s="122" t="s">
        <v>35556</v>
      </c>
      <c r="B9808" s="123">
        <v>794685.0</v>
      </c>
      <c r="C9808" s="687" t="str">
        <f>IFERROR(__xludf.DUMMYFUNCTION("GOOGLEFINANCE(A9808,""name"")"),"#N/A")</f>
        <v>#N/A</v>
      </c>
      <c r="D9808" s="125"/>
    </row>
    <row r="9809">
      <c r="A9809" s="122" t="s">
        <v>35557</v>
      </c>
      <c r="B9809" s="123">
        <v>794685.0</v>
      </c>
      <c r="C9809" s="687" t="str">
        <f>IFERROR(__xludf.DUMMYFUNCTION("GOOGLEFINANCE(A9809,""name"")"),"#N/A")</f>
        <v>#N/A</v>
      </c>
      <c r="D9809" s="125"/>
    </row>
    <row r="9810">
      <c r="A9810" s="122" t="s">
        <v>35558</v>
      </c>
      <c r="B9810" s="123">
        <v>1846288.0</v>
      </c>
      <c r="C9810" s="687" t="str">
        <f>IFERROR(__xludf.DUMMYFUNCTION("GOOGLEFINANCE(A9810,""name"")"),"#N/A")</f>
        <v>#N/A</v>
      </c>
      <c r="D9810" s="125"/>
    </row>
    <row r="9811">
      <c r="A9811" s="122" t="s">
        <v>35559</v>
      </c>
      <c r="B9811" s="123">
        <v>1846288.0</v>
      </c>
      <c r="C9811" s="687" t="str">
        <f>IFERROR(__xludf.DUMMYFUNCTION("GOOGLEFINANCE(A9811,""name"")"),"#N/A")</f>
        <v>#N/A</v>
      </c>
      <c r="D9811" s="125"/>
    </row>
    <row r="9812">
      <c r="A9812" s="122" t="s">
        <v>35560</v>
      </c>
      <c r="B9812" s="123">
        <v>1846288.0</v>
      </c>
      <c r="C9812" s="687" t="str">
        <f>IFERROR(__xludf.DUMMYFUNCTION("GOOGLEFINANCE(A9812,""name"")"),"#N/A")</f>
        <v>#N/A</v>
      </c>
      <c r="D9812" s="125"/>
    </row>
    <row r="9813">
      <c r="A9813" s="122" t="s">
        <v>35561</v>
      </c>
      <c r="B9813" s="123">
        <v>40417.0</v>
      </c>
      <c r="C9813" s="687" t="str">
        <f>IFERROR(__xludf.DUMMYFUNCTION("GOOGLEFINANCE(A9813,""name"")"),"General American Investors Co Inc Closed-Ended Fund")</f>
        <v>General American Investors Co Inc Closed-Ended Fund</v>
      </c>
      <c r="D9813" s="125"/>
    </row>
    <row r="9814">
      <c r="A9814" s="122" t="s">
        <v>35562</v>
      </c>
      <c r="B9814" s="123">
        <v>40417.0</v>
      </c>
      <c r="C9814" s="687" t="str">
        <f>IFERROR(__xludf.DUMMYFUNCTION("GOOGLEFINANCE(A9814,""name"")"),"#N/A")</f>
        <v>#N/A</v>
      </c>
      <c r="D9814" s="125"/>
    </row>
    <row r="9815">
      <c r="A9815" s="122" t="s">
        <v>35563</v>
      </c>
      <c r="B9815" s="123">
        <v>1799332.0</v>
      </c>
      <c r="C9815" s="687" t="str">
        <f>IFERROR(__xludf.DUMMYFUNCTION("GOOGLEFINANCE(A9815,""name"")"),"Naturgy Energy Group SA")</f>
        <v>Naturgy Energy Group SA</v>
      </c>
      <c r="D9815" s="125"/>
    </row>
    <row r="9816">
      <c r="A9816" s="122" t="s">
        <v>35564</v>
      </c>
      <c r="B9816" s="123">
        <v>1839121.0</v>
      </c>
      <c r="C9816" s="687" t="str">
        <f>IFERROR(__xludf.DUMMYFUNCTION("GOOGLEFINANCE(A9816,""name"")"),"#N/A")</f>
        <v>#N/A</v>
      </c>
      <c r="D9816" s="125"/>
    </row>
    <row r="9817">
      <c r="A9817" s="122" t="s">
        <v>35565</v>
      </c>
      <c r="B9817" s="123">
        <v>1839121.0</v>
      </c>
      <c r="C9817" s="687" t="str">
        <f>IFERROR(__xludf.DUMMYFUNCTION("GOOGLEFINANCE(A9817,""name"")"),"#N/A")</f>
        <v>#N/A</v>
      </c>
      <c r="D9817" s="125"/>
    </row>
    <row r="9818">
      <c r="A9818" s="122" t="s">
        <v>35566</v>
      </c>
      <c r="B9818" s="123">
        <v>1839121.0</v>
      </c>
      <c r="C9818" s="687" t="str">
        <f>IFERROR(__xludf.DUMMYFUNCTION("GOOGLEFINANCE(A9818,""name"")"),"#N/A")</f>
        <v>#N/A</v>
      </c>
      <c r="D9818" s="125"/>
    </row>
    <row r="9819">
      <c r="A9819" s="122" t="s">
        <v>35567</v>
      </c>
      <c r="B9819" s="123">
        <v>1852061.0</v>
      </c>
      <c r="C9819" s="687" t="str">
        <f>IFERROR(__xludf.DUMMYFUNCTION("GOOGLEFINANCE(A9819,""name"")"),"#N/A")</f>
        <v>#N/A</v>
      </c>
      <c r="D9819" s="125"/>
    </row>
    <row r="9820">
      <c r="A9820" s="122" t="s">
        <v>35568</v>
      </c>
      <c r="B9820" s="123">
        <v>1852061.0</v>
      </c>
      <c r="C9820" s="687" t="str">
        <f>IFERROR(__xludf.DUMMYFUNCTION("GOOGLEFINANCE(A9820,""name"")"),"#N/A")</f>
        <v>#N/A</v>
      </c>
      <c r="D9820" s="125"/>
    </row>
    <row r="9821">
      <c r="A9821" s="122" t="s">
        <v>35569</v>
      </c>
      <c r="B9821" s="123">
        <v>1852061.0</v>
      </c>
      <c r="C9821" s="687" t="str">
        <f>IFERROR(__xludf.DUMMYFUNCTION("GOOGLEFINANCE(A9821,""name"")"),"#N/A")</f>
        <v>#N/A</v>
      </c>
      <c r="D9821" s="125"/>
    </row>
    <row r="9822">
      <c r="A9822" s="122" t="s">
        <v>35570</v>
      </c>
      <c r="B9822" s="123">
        <v>1838513.0</v>
      </c>
      <c r="C9822" s="687" t="str">
        <f>IFERROR(__xludf.DUMMYFUNCTION("GOOGLEFINANCE(A9822,""name"")"),"#N/A")</f>
        <v>#N/A</v>
      </c>
      <c r="D9822" s="125"/>
    </row>
    <row r="9823">
      <c r="A9823" s="122" t="s">
        <v>35571</v>
      </c>
      <c r="B9823" s="123">
        <v>1517006.0</v>
      </c>
      <c r="C9823" s="687" t="str">
        <f>IFERROR(__xludf.DUMMYFUNCTION("GOOGLEFINANCE(A9823,""name"")"),"#N/A")</f>
        <v>#N/A</v>
      </c>
      <c r="D9823" s="125"/>
    </row>
    <row r="9824">
      <c r="A9824" s="122" t="s">
        <v>35572</v>
      </c>
      <c r="B9824" s="123">
        <v>312070.0</v>
      </c>
      <c r="C9824" s="687" t="str">
        <f>IFERROR(__xludf.DUMMYFUNCTION("GOOGLEFINANCE(A9824,""name"")"),"#N/A")</f>
        <v>#N/A</v>
      </c>
      <c r="D9824" s="125"/>
    </row>
    <row r="9825">
      <c r="A9825" s="122" t="s">
        <v>35573</v>
      </c>
      <c r="B9825" s="123">
        <v>1799983.0</v>
      </c>
      <c r="C9825" s="687" t="str">
        <f>IFERROR(__xludf.DUMMYFUNCTION("GOOGLEFINANCE(A9825,""name"")"),"#N/A")</f>
        <v>#N/A</v>
      </c>
      <c r="D9825" s="125"/>
    </row>
    <row r="9826">
      <c r="A9826" s="122" t="s">
        <v>35574</v>
      </c>
      <c r="B9826" s="123">
        <v>1894951.0</v>
      </c>
      <c r="C9826" s="687" t="str">
        <f>IFERROR(__xludf.DUMMYFUNCTION("GOOGLEFINANCE(A9826,""name"")"),"#N/A")</f>
        <v>#N/A</v>
      </c>
      <c r="D9826" s="125"/>
    </row>
    <row r="9827">
      <c r="A9827" s="122" t="s">
        <v>35575</v>
      </c>
      <c r="B9827" s="123">
        <v>1060349.0</v>
      </c>
      <c r="C9827" s="687" t="str">
        <f>IFERROR(__xludf.DUMMYFUNCTION("GOOGLEFINANCE(A9827,""name"")"),"Surefire Resources NL")</f>
        <v>Surefire Resources NL</v>
      </c>
      <c r="D9827" s="125"/>
    </row>
    <row r="9828">
      <c r="A9828" s="122" t="s">
        <v>35576</v>
      </c>
      <c r="B9828" s="123">
        <v>1419275.0</v>
      </c>
      <c r="C9828" s="687" t="str">
        <f>IFERROR(__xludf.DUMMYFUNCTION("GOOGLEFINANCE(A9828,""name"")"),"#N/A")</f>
        <v>#N/A</v>
      </c>
      <c r="D9828" s="125"/>
    </row>
    <row r="9829">
      <c r="A9829" s="122" t="s">
        <v>35577</v>
      </c>
      <c r="B9829" s="123">
        <v>1527844.0</v>
      </c>
      <c r="C9829" s="687" t="str">
        <f>IFERROR(__xludf.DUMMYFUNCTION("GOOGLEFINANCE(A9829,""name"")"),"#N/A")</f>
        <v>#N/A</v>
      </c>
      <c r="D9829" s="125"/>
    </row>
    <row r="9830">
      <c r="A9830" s="122" t="s">
        <v>35578</v>
      </c>
      <c r="B9830" s="123">
        <v>1822792.0</v>
      </c>
      <c r="C9830" s="687" t="str">
        <f>IFERROR(__xludf.DUMMYFUNCTION("GOOGLEFINANCE(A9830,""name"")"),"#N/A")</f>
        <v>#N/A</v>
      </c>
      <c r="D9830" s="125"/>
    </row>
    <row r="9831">
      <c r="A9831" s="122" t="s">
        <v>35579</v>
      </c>
      <c r="B9831" s="123">
        <v>1822792.0</v>
      </c>
      <c r="C9831" s="687" t="str">
        <f>IFERROR(__xludf.DUMMYFUNCTION("GOOGLEFINANCE(A9831,""name"")"),"#N/A")</f>
        <v>#N/A</v>
      </c>
      <c r="D9831" s="125"/>
    </row>
    <row r="9832">
      <c r="A9832" s="122" t="s">
        <v>35580</v>
      </c>
      <c r="B9832" s="123">
        <v>1822792.0</v>
      </c>
      <c r="C9832" s="687" t="str">
        <f>IFERROR(__xludf.DUMMYFUNCTION("GOOGLEFINANCE(A9832,""name"")"),"#N/A")</f>
        <v>#N/A</v>
      </c>
      <c r="D9832" s="125"/>
    </row>
    <row r="9833">
      <c r="A9833" s="122" t="s">
        <v>35581</v>
      </c>
      <c r="B9833" s="123">
        <v>1822792.0</v>
      </c>
      <c r="C9833" s="687" t="str">
        <f>IFERROR(__xludf.DUMMYFUNCTION("GOOGLEFINANCE(A9833,""name"")"),"#N/A")</f>
        <v>#N/A</v>
      </c>
      <c r="D9833" s="125"/>
    </row>
    <row r="9834">
      <c r="A9834" s="122" t="s">
        <v>35582</v>
      </c>
      <c r="B9834" s="123">
        <v>1820872.0</v>
      </c>
      <c r="C9834" s="687" t="str">
        <f>IFERROR(__xludf.DUMMYFUNCTION("GOOGLEFINANCE(A9834,""name"")"),"#N/A")</f>
        <v>#N/A</v>
      </c>
      <c r="D9834" s="125"/>
    </row>
    <row r="9835">
      <c r="A9835" s="122" t="s">
        <v>35583</v>
      </c>
      <c r="B9835" s="123">
        <v>1657564.0</v>
      </c>
      <c r="C9835" s="687" t="str">
        <f>IFERROR(__xludf.DUMMYFUNCTION("GOOGLEFINANCE(A9835,""name"")"),"#N/A")</f>
        <v>#N/A</v>
      </c>
      <c r="D9835" s="125"/>
    </row>
    <row r="9836">
      <c r="A9836" s="122" t="s">
        <v>35584</v>
      </c>
      <c r="B9836" s="123">
        <v>312070.0</v>
      </c>
      <c r="C9836" s="687" t="str">
        <f>IFERROR(__xludf.DUMMYFUNCTION("GOOGLEFINANCE(A9836,""name"")"),"Sprott Active Gold &amp; Silver Miners ETF")</f>
        <v>Sprott Active Gold &amp; Silver Miners ETF</v>
      </c>
      <c r="D9836" s="125"/>
    </row>
    <row r="9837">
      <c r="A9837" s="122" t="s">
        <v>35585</v>
      </c>
      <c r="B9837" s="123">
        <v>1805586.0</v>
      </c>
      <c r="C9837" s="687" t="str">
        <f>IFERROR(__xludf.DUMMYFUNCTION("GOOGLEFINANCE(A9837,""name"")"),"Goldcana Resources Inc")</f>
        <v>Goldcana Resources Inc</v>
      </c>
      <c r="D9837" s="125"/>
    </row>
    <row r="9838">
      <c r="A9838" s="122" t="s">
        <v>35586</v>
      </c>
      <c r="B9838" s="123">
        <v>1597634.0</v>
      </c>
      <c r="C9838" s="687" t="str">
        <f>IFERROR(__xludf.DUMMYFUNCTION("GOOGLEFINANCE(A9838,""name"")"),"#N/A")</f>
        <v>#N/A</v>
      </c>
      <c r="D9838" s="125"/>
    </row>
    <row r="9839">
      <c r="A9839" s="122" t="s">
        <v>35587</v>
      </c>
      <c r="B9839" s="123">
        <v>1378701.0</v>
      </c>
      <c r="C9839" s="687" t="str">
        <f>IFERROR(__xludf.DUMMYFUNCTION("GOOGLEFINANCE(A9839,""name"")"),"#N/A")</f>
        <v>#N/A</v>
      </c>
      <c r="D9839" s="125"/>
    </row>
    <row r="9840">
      <c r="A9840" s="122" t="s">
        <v>35588</v>
      </c>
      <c r="B9840" s="123">
        <v>1725911.0</v>
      </c>
      <c r="C9840" s="687" t="str">
        <f>IFERROR(__xludf.DUMMYFUNCTION("GOOGLEFINANCE(A9840,""name"")"),"#N/A")</f>
        <v>#N/A</v>
      </c>
      <c r="D9840" s="125"/>
    </row>
    <row r="9841">
      <c r="A9841" s="122" t="s">
        <v>35589</v>
      </c>
      <c r="B9841" s="123">
        <v>1858912.0</v>
      </c>
      <c r="C9841" s="687" t="str">
        <f>IFERROR(__xludf.DUMMYFUNCTION("GOOGLEFINANCE(A9841,""name"")"),"#N/A")</f>
        <v>#N/A</v>
      </c>
      <c r="D9841" s="125"/>
    </row>
    <row r="9842">
      <c r="A9842" s="122" t="s">
        <v>35590</v>
      </c>
      <c r="B9842" s="123">
        <v>1858912.0</v>
      </c>
      <c r="C9842" s="687" t="str">
        <f>IFERROR(__xludf.DUMMYFUNCTION("GOOGLEFINANCE(A9842,""name"")"),"#N/A")</f>
        <v>#N/A</v>
      </c>
      <c r="D9842" s="125"/>
    </row>
    <row r="9843">
      <c r="A9843" s="122" t="s">
        <v>35591</v>
      </c>
      <c r="B9843" s="123">
        <v>1858007.0</v>
      </c>
      <c r="C9843" s="687" t="str">
        <f>IFERROR(__xludf.DUMMYFUNCTION("GOOGLEFINANCE(A9843,""name"")"),"#N/A")</f>
        <v>#N/A</v>
      </c>
      <c r="D9843" s="125"/>
    </row>
    <row r="9844">
      <c r="A9844" s="122" t="s">
        <v>35592</v>
      </c>
      <c r="B9844" s="123">
        <v>1260729.0</v>
      </c>
      <c r="C9844" s="687" t="str">
        <f>IFERROR(__xludf.DUMMYFUNCTION("GOOGLEFINANCE(A9844,""name"")"),"#N/A")</f>
        <v>#N/A</v>
      </c>
      <c r="D9844" s="125"/>
    </row>
    <row r="9845">
      <c r="A9845" s="122" t="s">
        <v>35593</v>
      </c>
      <c r="B9845" s="123">
        <v>1260729.0</v>
      </c>
      <c r="C9845" s="687" t="str">
        <f>IFERROR(__xludf.DUMMYFUNCTION("GOOGLEFINANCE(A9845,""name"")"),"#N/A")</f>
        <v>#N/A</v>
      </c>
      <c r="D9845" s="125"/>
    </row>
    <row r="9846">
      <c r="A9846" s="122" t="s">
        <v>35594</v>
      </c>
      <c r="B9846" s="123">
        <v>927971.0</v>
      </c>
      <c r="C9846" s="687" t="str">
        <f>IFERROR(__xludf.DUMMYFUNCTION("GOOGLEFINANCE(A9846,""name"")"),"MicroSectors Gold Miners 3X Leveraged ETN")</f>
        <v>MicroSectors Gold Miners 3X Leveraged ETN</v>
      </c>
      <c r="D9846" s="125"/>
    </row>
    <row r="9847">
      <c r="A9847" s="122" t="s">
        <v>35595</v>
      </c>
      <c r="B9847" s="123">
        <v>1675033.0</v>
      </c>
      <c r="C9847" s="687" t="str">
        <f>IFERROR(__xludf.DUMMYFUNCTION("GOOGLEFINANCE(A9847,""name"")"),"#N/A")</f>
        <v>#N/A</v>
      </c>
      <c r="D9847" s="125"/>
    </row>
    <row r="9848">
      <c r="A9848" s="122" t="s">
        <v>35596</v>
      </c>
      <c r="B9848" s="123">
        <v>1675033.0</v>
      </c>
      <c r="C9848" s="687" t="str">
        <f>IFERROR(__xludf.DUMMYFUNCTION("GOOGLEFINANCE(A9848,""name"")"),"#N/A")</f>
        <v>#N/A</v>
      </c>
      <c r="D9848" s="125"/>
    </row>
    <row r="9849">
      <c r="A9849" s="122" t="s">
        <v>35597</v>
      </c>
      <c r="B9849" s="123">
        <v>1856774.0</v>
      </c>
      <c r="C9849" s="687" t="str">
        <f>IFERROR(__xludf.DUMMYFUNCTION("GOOGLEFINANCE(A9849,""name"")"),"#N/A")</f>
        <v>#N/A</v>
      </c>
      <c r="D9849" s="125"/>
    </row>
    <row r="9850">
      <c r="A9850" s="122" t="s">
        <v>35598</v>
      </c>
      <c r="B9850" s="123">
        <v>1856774.0</v>
      </c>
      <c r="C9850" s="687" t="str">
        <f>IFERROR(__xludf.DUMMYFUNCTION("GOOGLEFINANCE(A9850,""name"")"),"#N/A")</f>
        <v>#N/A</v>
      </c>
      <c r="D9850" s="125"/>
    </row>
    <row r="9851">
      <c r="A9851" s="122" t="s">
        <v>35599</v>
      </c>
      <c r="B9851" s="123">
        <v>1856774.0</v>
      </c>
      <c r="C9851" s="687" t="str">
        <f>IFERROR(__xludf.DUMMYFUNCTION("GOOGLEFINANCE(A9851,""name"")"),"#N/A")</f>
        <v>#N/A</v>
      </c>
      <c r="D9851" s="125"/>
    </row>
    <row r="9852">
      <c r="A9852" s="122" t="s">
        <v>35600</v>
      </c>
      <c r="B9852" s="123">
        <v>43920.0</v>
      </c>
      <c r="C9852" s="687" t="str">
        <f>IFERROR(__xludf.DUMMYFUNCTION("GOOGLEFINANCE(A9852,""name"")"),"#N/A")</f>
        <v>#N/A</v>
      </c>
      <c r="D9852" s="125"/>
    </row>
    <row r="9853">
      <c r="A9853" s="122" t="s">
        <v>35601</v>
      </c>
      <c r="B9853" s="123">
        <v>1708441.0</v>
      </c>
      <c r="C9853" s="687" t="str">
        <f>IFERROR(__xludf.DUMMYFUNCTION("GOOGLEFINANCE(A9853,""name"")"),"#N/A")</f>
        <v>#N/A</v>
      </c>
      <c r="D9853" s="125"/>
    </row>
    <row r="9854">
      <c r="A9854" s="122" t="s">
        <v>35602</v>
      </c>
      <c r="B9854" s="123">
        <v>1920092.0</v>
      </c>
      <c r="C9854" s="687" t="str">
        <f>IFERROR(__xludf.DUMMYFUNCTION("GOOGLEFINANCE(A9854,""name"")"),"Gelteq Ltd")</f>
        <v>Gelteq Ltd</v>
      </c>
      <c r="D9854" s="125"/>
    </row>
    <row r="9855">
      <c r="A9855" s="122" t="s">
        <v>35603</v>
      </c>
      <c r="B9855" s="123">
        <v>1527102.0</v>
      </c>
      <c r="C9855" s="687" t="str">
        <f>IFERROR(__xludf.DUMMYFUNCTION("GOOGLEFINANCE(A9855,""name"")"),"#N/A")</f>
        <v>#N/A</v>
      </c>
      <c r="D9855" s="125"/>
    </row>
    <row r="9856">
      <c r="A9856" s="122" t="s">
        <v>35604</v>
      </c>
      <c r="B9856" s="123">
        <v>1834489.0</v>
      </c>
      <c r="C9856" s="687" t="str">
        <f>IFERROR(__xludf.DUMMYFUNCTION("GOOGLEFINANCE(A9856,""name"")"),"#N/A")</f>
        <v>#N/A</v>
      </c>
      <c r="D9856" s="125"/>
    </row>
    <row r="9857">
      <c r="A9857" s="122" t="s">
        <v>35605</v>
      </c>
      <c r="B9857" s="123">
        <v>1853112.0</v>
      </c>
      <c r="C9857" s="687" t="str">
        <f>IFERROR(__xludf.DUMMYFUNCTION("GOOGLEFINANCE(A9857,""name"")"),"#N/A")</f>
        <v>#N/A</v>
      </c>
      <c r="D9857" s="125"/>
    </row>
    <row r="9858">
      <c r="A9858" s="122" t="s">
        <v>35606</v>
      </c>
      <c r="B9858" s="123">
        <v>1853112.0</v>
      </c>
      <c r="C9858" s="687" t="str">
        <f>IFERROR(__xludf.DUMMYFUNCTION("GOOGLEFINANCE(A9858,""name"")"),"#N/A")</f>
        <v>#N/A</v>
      </c>
      <c r="D9858" s="125"/>
    </row>
    <row r="9859">
      <c r="A9859" s="122" t="s">
        <v>35607</v>
      </c>
      <c r="B9859" s="123">
        <v>1853112.0</v>
      </c>
      <c r="C9859" s="687" t="str">
        <f>IFERROR(__xludf.DUMMYFUNCTION("GOOGLEFINANCE(A9859,""name"")"),"#N/A")</f>
        <v>#N/A</v>
      </c>
      <c r="D9859" s="125"/>
    </row>
    <row r="9860">
      <c r="A9860" s="122" t="s">
        <v>35608</v>
      </c>
      <c r="B9860" s="123">
        <v>1898496.0</v>
      </c>
      <c r="C9860" s="687" t="str">
        <f>IFERROR(__xludf.DUMMYFUNCTION("GOOGLEFINANCE(A9860,""name"")"),"#N/A")</f>
        <v>#N/A</v>
      </c>
      <c r="D9860" s="125"/>
    </row>
    <row r="9861">
      <c r="A9861" s="122" t="s">
        <v>35609</v>
      </c>
      <c r="B9861" s="123">
        <v>1876714.0</v>
      </c>
      <c r="C9861" s="687" t="str">
        <f>IFERROR(__xludf.DUMMYFUNCTION("GOOGLEFINANCE(A9861,""name"")"),"#N/A")</f>
        <v>#N/A</v>
      </c>
      <c r="D9861" s="125"/>
    </row>
    <row r="9862">
      <c r="A9862" s="122" t="s">
        <v>35610</v>
      </c>
      <c r="B9862" s="123">
        <v>1876714.0</v>
      </c>
      <c r="C9862" s="687" t="str">
        <f>IFERROR(__xludf.DUMMYFUNCTION("GOOGLEFINANCE(A9862,""name"")"),"#N/A")</f>
        <v>#N/A</v>
      </c>
      <c r="D9862" s="125"/>
    </row>
    <row r="9863">
      <c r="A9863" s="122" t="s">
        <v>35611</v>
      </c>
      <c r="B9863" s="123">
        <v>1876714.0</v>
      </c>
      <c r="C9863" s="687" t="str">
        <f>IFERROR(__xludf.DUMMYFUNCTION("GOOGLEFINANCE(A9863,""name"")"),"#N/A")</f>
        <v>#N/A</v>
      </c>
      <c r="D9863" s="125"/>
    </row>
    <row r="9864">
      <c r="A9864" s="122" t="s">
        <v>35612</v>
      </c>
      <c r="B9864" s="123">
        <v>1842327.0</v>
      </c>
      <c r="C9864" s="687" t="str">
        <f>IFERROR(__xludf.DUMMYFUNCTION("GOOGLEFINANCE(A9864,""name"")"),"#N/A")</f>
        <v>#N/A</v>
      </c>
      <c r="D9864" s="125"/>
    </row>
    <row r="9865">
      <c r="A9865" s="122" t="s">
        <v>35613</v>
      </c>
      <c r="B9865" s="123">
        <v>1780232.0</v>
      </c>
      <c r="C9865" s="687" t="str">
        <f>IFERROR(__xludf.DUMMYFUNCTION("GOOGLEFINANCE(A9865,""name"")"),"#N/A")</f>
        <v>#N/A</v>
      </c>
      <c r="D9865" s="125"/>
    </row>
    <row r="9866">
      <c r="A9866" s="122" t="s">
        <v>35614</v>
      </c>
      <c r="B9866" s="123">
        <v>1845459.0</v>
      </c>
      <c r="C9866" s="687" t="str">
        <f>IFERROR(__xludf.DUMMYFUNCTION("GOOGLEFINANCE(A9866,""name"")"),"#N/A")</f>
        <v>#N/A</v>
      </c>
      <c r="D9866" s="125"/>
    </row>
    <row r="9867">
      <c r="A9867" s="122" t="s">
        <v>35615</v>
      </c>
      <c r="B9867" s="123">
        <v>1845459.0</v>
      </c>
      <c r="C9867" s="687" t="str">
        <f>IFERROR(__xludf.DUMMYFUNCTION("GOOGLEFINANCE(A9867,""name"")"),"#N/A")</f>
        <v>#N/A</v>
      </c>
      <c r="D9867" s="125"/>
    </row>
    <row r="9868">
      <c r="A9868" s="122" t="s">
        <v>35616</v>
      </c>
      <c r="B9868" s="123">
        <v>1845459.0</v>
      </c>
      <c r="C9868" s="687" t="str">
        <f>IFERROR(__xludf.DUMMYFUNCTION("GOOGLEFINANCE(A9868,""name"")"),"#N/A")</f>
        <v>#N/A</v>
      </c>
      <c r="D9868" s="125"/>
    </row>
    <row r="9869">
      <c r="A9869" s="122" t="s">
        <v>35617</v>
      </c>
      <c r="B9869" s="123">
        <v>1338929.0</v>
      </c>
      <c r="C9869" s="687" t="str">
        <f>IFERROR(__xludf.DUMMYFUNCTION("GOOGLEFINANCE(A9869,""name"")"),"#N/A")</f>
        <v>#N/A</v>
      </c>
      <c r="D9869" s="125"/>
    </row>
    <row r="9870">
      <c r="A9870" s="122" t="s">
        <v>35618</v>
      </c>
      <c r="B9870" s="123">
        <v>1823896.0</v>
      </c>
      <c r="C9870" s="687" t="str">
        <f>IFERROR(__xludf.DUMMYFUNCTION("GOOGLEFINANCE(A9870,""name"")"),"#N/A")</f>
        <v>#N/A</v>
      </c>
      <c r="D9870" s="125"/>
    </row>
    <row r="9871">
      <c r="A9871" s="122" t="s">
        <v>35619</v>
      </c>
      <c r="B9871" s="123">
        <v>1823896.0</v>
      </c>
      <c r="C9871" s="687" t="str">
        <f>IFERROR(__xludf.DUMMYFUNCTION("GOOGLEFINANCE(A9871,""name"")"),"#N/A")</f>
        <v>#N/A</v>
      </c>
      <c r="D9871" s="125"/>
    </row>
    <row r="9872">
      <c r="A9872" s="122" t="s">
        <v>35620</v>
      </c>
      <c r="B9872" s="123">
        <v>1823896.0</v>
      </c>
      <c r="C9872" s="687" t="str">
        <f>IFERROR(__xludf.DUMMYFUNCTION("GOOGLEFINANCE(A9872,""name"")"),"#N/A")</f>
        <v>#N/A</v>
      </c>
      <c r="D9872" s="125"/>
    </row>
    <row r="9873">
      <c r="A9873" s="122" t="s">
        <v>35621</v>
      </c>
      <c r="B9873" s="123">
        <v>1865697.0</v>
      </c>
      <c r="C9873" s="687" t="str">
        <f>IFERROR(__xludf.DUMMYFUNCTION("GOOGLEFINANCE(A9873,""name"")"),"#N/A")</f>
        <v>#N/A</v>
      </c>
      <c r="D9873" s="125"/>
    </row>
    <row r="9874">
      <c r="A9874" s="122" t="s">
        <v>35622</v>
      </c>
      <c r="B9874" s="123">
        <v>1865697.0</v>
      </c>
      <c r="C9874" s="687" t="str">
        <f>IFERROR(__xludf.DUMMYFUNCTION("GOOGLEFINANCE(A9874,""name"")"),"#N/A")</f>
        <v>#N/A</v>
      </c>
      <c r="D9874" s="125"/>
    </row>
    <row r="9875">
      <c r="A9875" s="122" t="s">
        <v>35623</v>
      </c>
      <c r="B9875" s="123">
        <v>1865697.0</v>
      </c>
      <c r="C9875" s="687" t="str">
        <f>IFERROR(__xludf.DUMMYFUNCTION("GOOGLEFINANCE(A9875,""name"")"),"#N/A")</f>
        <v>#N/A</v>
      </c>
      <c r="D9875" s="125"/>
    </row>
    <row r="9876">
      <c r="A9876" s="122" t="s">
        <v>35624</v>
      </c>
      <c r="B9876" s="123">
        <v>1818880.0</v>
      </c>
      <c r="C9876" s="687" t="str">
        <f>IFERROR(__xludf.DUMMYFUNCTION("GOOGLEFINANCE(A9876,""name"")"),"#N/A")</f>
        <v>#N/A</v>
      </c>
      <c r="D9876" s="125"/>
    </row>
    <row r="9877">
      <c r="A9877" s="122" t="s">
        <v>35625</v>
      </c>
      <c r="B9877" s="123">
        <v>1818880.0</v>
      </c>
      <c r="C9877" s="687" t="str">
        <f>IFERROR(__xludf.DUMMYFUNCTION("GOOGLEFINANCE(A9877,""name"")"),"#N/A")</f>
        <v>#N/A</v>
      </c>
      <c r="D9877" s="125"/>
    </row>
    <row r="9878">
      <c r="A9878" s="122" t="s">
        <v>35626</v>
      </c>
      <c r="B9878" s="123">
        <v>1818880.0</v>
      </c>
      <c r="C9878" s="687" t="str">
        <f>IFERROR(__xludf.DUMMYFUNCTION("GOOGLEFINANCE(A9878,""name"")"),"#N/A")</f>
        <v>#N/A</v>
      </c>
      <c r="D9878" s="125"/>
    </row>
    <row r="9879">
      <c r="A9879" s="122" t="s">
        <v>35627</v>
      </c>
      <c r="B9879" s="123">
        <v>1313510.0</v>
      </c>
      <c r="C9879" s="687" t="str">
        <f>IFERROR(__xludf.DUMMYFUNCTION("GOOGLEFINANCE(A9879,""name"")"),"#N/A")</f>
        <v>#N/A</v>
      </c>
      <c r="D9879" s="125"/>
    </row>
    <row r="9880">
      <c r="A9880" s="122" t="s">
        <v>35628</v>
      </c>
      <c r="B9880" s="123">
        <v>921671.0</v>
      </c>
      <c r="C9880" s="687" t="str">
        <f>IFERROR(__xludf.DUMMYFUNCTION("GOOGLEFINANCE(A9880,""name"")"),"#N/A")</f>
        <v>#N/A</v>
      </c>
      <c r="D9880" s="125"/>
    </row>
    <row r="9881">
      <c r="A9881" s="122" t="s">
        <v>35629</v>
      </c>
      <c r="B9881" s="123">
        <v>921671.0</v>
      </c>
      <c r="C9881" s="687" t="str">
        <f>IFERROR(__xludf.DUMMYFUNCTION("GOOGLEFINANCE(A9881,""name"")"),"#N/A")</f>
        <v>#N/A</v>
      </c>
      <c r="D9881" s="125"/>
    </row>
    <row r="9882">
      <c r="A9882" s="122" t="s">
        <v>35630</v>
      </c>
      <c r="B9882" s="123">
        <v>1806156.0</v>
      </c>
      <c r="C9882" s="687" t="str">
        <f>IFERROR(__xludf.DUMMYFUNCTION("GOOGLEFINANCE(A9882,""name"")"),"#N/A")</f>
        <v>#N/A</v>
      </c>
      <c r="D9882" s="125"/>
    </row>
    <row r="9883">
      <c r="A9883" s="122" t="s">
        <v>35631</v>
      </c>
      <c r="B9883" s="123">
        <v>1806156.0</v>
      </c>
      <c r="C9883" s="687" t="str">
        <f>IFERROR(__xludf.DUMMYFUNCTION("GOOGLEFINANCE(A9883,""name"")"),"#N/A")</f>
        <v>#N/A</v>
      </c>
      <c r="D9883" s="125"/>
    </row>
    <row r="9884">
      <c r="A9884" s="122" t="s">
        <v>35632</v>
      </c>
      <c r="B9884" s="123">
        <v>1464865.0</v>
      </c>
      <c r="C9884" s="687" t="str">
        <f>IFERROR(__xludf.DUMMYFUNCTION("GOOGLEFINANCE(A9884,""name"")"),"#N/A")</f>
        <v>#N/A</v>
      </c>
      <c r="D9884" s="125"/>
    </row>
    <row r="9885">
      <c r="A9885" s="122" t="s">
        <v>35633</v>
      </c>
      <c r="B9885" s="123">
        <v>1844505.0</v>
      </c>
      <c r="C9885" s="687" t="str">
        <f>IFERROR(__xludf.DUMMYFUNCTION("GOOGLEFINANCE(A9885,""name"")"),"#N/A")</f>
        <v>#N/A</v>
      </c>
      <c r="D9885" s="125"/>
    </row>
    <row r="9886">
      <c r="A9886" s="122" t="s">
        <v>35634</v>
      </c>
      <c r="B9886" s="123">
        <v>1844505.0</v>
      </c>
      <c r="C9886" s="687" t="str">
        <f>IFERROR(__xludf.DUMMYFUNCTION("GOOGLEFINANCE(A9886,""name"")"),"#N/A")</f>
        <v>#N/A</v>
      </c>
      <c r="D9886" s="125"/>
    </row>
    <row r="9887">
      <c r="A9887" s="122" t="s">
        <v>35635</v>
      </c>
      <c r="B9887" s="123">
        <v>1853314.0</v>
      </c>
      <c r="C9887" s="687" t="str">
        <f>IFERROR(__xludf.DUMMYFUNCTION("GOOGLEFINANCE(A9887,""name"")"),"#N/A")</f>
        <v>#N/A</v>
      </c>
      <c r="D9887" s="125"/>
    </row>
    <row r="9888">
      <c r="A9888" s="122" t="s">
        <v>35636</v>
      </c>
      <c r="B9888" s="123">
        <v>1853314.0</v>
      </c>
      <c r="C9888" s="687" t="str">
        <f>IFERROR(__xludf.DUMMYFUNCTION("GOOGLEFINANCE(A9888,""name"")"),"#N/A")</f>
        <v>#N/A</v>
      </c>
      <c r="D9888" s="125"/>
    </row>
    <row r="9889">
      <c r="A9889" s="122" t="s">
        <v>35637</v>
      </c>
      <c r="B9889" s="123">
        <v>1853314.0</v>
      </c>
      <c r="C9889" s="687" t="str">
        <f>IFERROR(__xludf.DUMMYFUNCTION("GOOGLEFINANCE(A9889,""name"")"),"#N/A")</f>
        <v>#N/A</v>
      </c>
      <c r="D9889" s="125"/>
    </row>
    <row r="9890">
      <c r="A9890" s="122" t="s">
        <v>35638</v>
      </c>
      <c r="B9890" s="123">
        <v>1841080.0</v>
      </c>
      <c r="C9890" s="687" t="str">
        <f>IFERROR(__xludf.DUMMYFUNCTION("GOOGLEFINANCE(A9890,""name"")"),"#N/A")</f>
        <v>#N/A</v>
      </c>
      <c r="D9890" s="125"/>
    </row>
    <row r="9891">
      <c r="A9891" s="122" t="s">
        <v>35639</v>
      </c>
      <c r="B9891" s="123">
        <v>1841080.0</v>
      </c>
      <c r="C9891" s="687" t="str">
        <f>IFERROR(__xludf.DUMMYFUNCTION("GOOGLEFINANCE(A9891,""name"")"),"#N/A")</f>
        <v>#N/A</v>
      </c>
      <c r="D9891" s="125"/>
    </row>
    <row r="9892">
      <c r="A9892" s="122" t="s">
        <v>35640</v>
      </c>
      <c r="B9892" s="123">
        <v>1841080.0</v>
      </c>
      <c r="C9892" s="687" t="str">
        <f>IFERROR(__xludf.DUMMYFUNCTION("GOOGLEFINANCE(A9892,""name"")"),"#N/A")</f>
        <v>#N/A</v>
      </c>
      <c r="D9892" s="125"/>
    </row>
    <row r="9893">
      <c r="A9893" s="122" t="s">
        <v>35641</v>
      </c>
      <c r="B9893" s="123">
        <v>828803.0</v>
      </c>
      <c r="C9893" s="687" t="str">
        <f>IFERROR(__xludf.DUMMYFUNCTION("GOOGLEFINANCE(A9893,""name"")"),"#N/A")</f>
        <v>#N/A</v>
      </c>
      <c r="D9893" s="125"/>
    </row>
    <row r="9894">
      <c r="A9894" s="122" t="s">
        <v>35642</v>
      </c>
      <c r="B9894" s="123">
        <v>1597634.0</v>
      </c>
      <c r="C9894" s="687" t="str">
        <f>IFERROR(__xludf.DUMMYFUNCTION("GOOGLEFINANCE(A9894,""name"")"),"#N/A")</f>
        <v>#N/A</v>
      </c>
      <c r="D9894" s="125"/>
    </row>
    <row r="9895">
      <c r="A9895" s="122" t="s">
        <v>35643</v>
      </c>
      <c r="B9895" s="123">
        <v>1848795.0</v>
      </c>
      <c r="C9895" s="687" t="str">
        <f>IFERROR(__xludf.DUMMYFUNCTION("GOOGLEFINANCE(A9895,""name"")"),"GigCapital8 Corp")</f>
        <v>GigCapital8 Corp</v>
      </c>
      <c r="D9895" s="125"/>
    </row>
    <row r="9896">
      <c r="A9896" s="122" t="s">
        <v>35644</v>
      </c>
      <c r="B9896" s="123">
        <v>1848795.0</v>
      </c>
      <c r="C9896" s="687" t="str">
        <f>IFERROR(__xludf.DUMMYFUNCTION("GOOGLEFINANCE(A9896,""name"")"),"#N/A")</f>
        <v>#N/A</v>
      </c>
      <c r="D9896" s="125"/>
    </row>
    <row r="9897">
      <c r="A9897" s="122" t="s">
        <v>35645</v>
      </c>
      <c r="B9897" s="123">
        <v>1781726.0</v>
      </c>
      <c r="C9897" s="687" t="str">
        <f>IFERROR(__xludf.DUMMYFUNCTION("GOOGLEFINANCE(A9897,""name"")"),"#N/A")</f>
        <v>#N/A</v>
      </c>
      <c r="D9897" s="125"/>
    </row>
    <row r="9898">
      <c r="A9898" s="122" t="s">
        <v>35646</v>
      </c>
      <c r="B9898" s="123">
        <v>320335.0</v>
      </c>
      <c r="C9898" s="687" t="str">
        <f>IFERROR(__xludf.DUMMYFUNCTION("GOOGLEFINANCE(A9898,""name"")"),"#N/A")</f>
        <v>#N/A</v>
      </c>
      <c r="D9898" s="125"/>
    </row>
    <row r="9899">
      <c r="A9899" s="122" t="s">
        <v>35647</v>
      </c>
      <c r="B9899" s="123">
        <v>1524829.0</v>
      </c>
      <c r="C9899" s="687" t="str">
        <f>IFERROR(__xludf.DUMMYFUNCTION("GOOGLEFINANCE(A9899,""name"")"),"#N/A")</f>
        <v>#N/A</v>
      </c>
      <c r="D9899" s="125"/>
    </row>
    <row r="9900">
      <c r="A9900" s="122" t="s">
        <v>35648</v>
      </c>
      <c r="B9900" s="123">
        <v>1838615.0</v>
      </c>
      <c r="C9900" s="687" t="str">
        <f>IFERROR(__xludf.DUMMYFUNCTION("GOOGLEFINANCE(A9900,""name"")"),"#N/A")</f>
        <v>#N/A</v>
      </c>
      <c r="D9900" s="125"/>
    </row>
    <row r="9901">
      <c r="A9901" s="122" t="s">
        <v>35649</v>
      </c>
      <c r="B9901" s="123">
        <v>1843248.0</v>
      </c>
      <c r="C9901" s="687" t="str">
        <f>IFERROR(__xludf.DUMMYFUNCTION("GOOGLEFINANCE(A9901,""name"")"),"#N/A")</f>
        <v>#N/A</v>
      </c>
      <c r="D9901" s="125"/>
    </row>
    <row r="9902">
      <c r="A9902" s="122" t="s">
        <v>35650</v>
      </c>
      <c r="B9902" s="123">
        <v>1843248.0</v>
      </c>
      <c r="C9902" s="687" t="str">
        <f>IFERROR(__xludf.DUMMYFUNCTION("GOOGLEFINANCE(A9902,""name"")"),"#N/A")</f>
        <v>#N/A</v>
      </c>
      <c r="D9902" s="125"/>
    </row>
    <row r="9903">
      <c r="A9903" s="122" t="s">
        <v>35651</v>
      </c>
      <c r="B9903" s="123">
        <v>1843248.0</v>
      </c>
      <c r="C9903" s="687" t="str">
        <f>IFERROR(__xludf.DUMMYFUNCTION("GOOGLEFINANCE(A9903,""name"")"),"#N/A")</f>
        <v>#N/A</v>
      </c>
      <c r="D9903" s="125"/>
    </row>
    <row r="9904">
      <c r="A9904" s="122" t="s">
        <v>35652</v>
      </c>
      <c r="B9904" s="123">
        <v>1841734.0</v>
      </c>
      <c r="C9904" s="687" t="str">
        <f>IFERROR(__xludf.DUMMYFUNCTION("GOOGLEFINANCE(A9904,""name"")"),"#N/A")</f>
        <v>#N/A</v>
      </c>
      <c r="D9904" s="125"/>
    </row>
    <row r="9905">
      <c r="A9905" s="122" t="s">
        <v>35653</v>
      </c>
      <c r="B9905" s="123">
        <v>1841734.0</v>
      </c>
      <c r="C9905" s="687" t="str">
        <f>IFERROR(__xludf.DUMMYFUNCTION("GOOGLEFINANCE(A9905,""name"")"),"#N/A")</f>
        <v>#N/A</v>
      </c>
      <c r="D9905" s="125"/>
    </row>
    <row r="9906">
      <c r="A9906" s="122" t="s">
        <v>35654</v>
      </c>
      <c r="B9906" s="123">
        <v>1841734.0</v>
      </c>
      <c r="C9906" s="687" t="str">
        <f>IFERROR(__xludf.DUMMYFUNCTION("GOOGLEFINANCE(A9906,""name"")"),"#N/A")</f>
        <v>#N/A</v>
      </c>
      <c r="D9906" s="125"/>
    </row>
    <row r="9907">
      <c r="A9907" s="122" t="s">
        <v>35655</v>
      </c>
      <c r="B9907" s="123">
        <v>1852024.0</v>
      </c>
      <c r="C9907" s="687" t="str">
        <f>IFERROR(__xludf.DUMMYFUNCTION("GOOGLEFINANCE(A9907,""name"")"),"Grayscale Livepeer Trust (LPT)")</f>
        <v>Grayscale Livepeer Trust (LPT)</v>
      </c>
      <c r="D9907" s="125"/>
    </row>
    <row r="9908">
      <c r="A9908" s="122" t="s">
        <v>35656</v>
      </c>
      <c r="B9908" s="123">
        <v>1888734.0</v>
      </c>
      <c r="C9908" s="687" t="str">
        <f>IFERROR(__xludf.DUMMYFUNCTION("GOOGLEFINANCE(A9908,""name"")"),"#N/A")</f>
        <v>#N/A</v>
      </c>
      <c r="D9908" s="125"/>
    </row>
    <row r="9909">
      <c r="A9909" s="122" t="s">
        <v>35657</v>
      </c>
      <c r="B9909" s="123">
        <v>1888734.0</v>
      </c>
      <c r="C9909" s="687" t="str">
        <f>IFERROR(__xludf.DUMMYFUNCTION("GOOGLEFINANCE(A9909,""name"")"),"#N/A")</f>
        <v>#N/A</v>
      </c>
      <c r="D9909" s="125"/>
    </row>
    <row r="9910">
      <c r="A9910" s="122" t="s">
        <v>35658</v>
      </c>
      <c r="B9910" s="123">
        <v>1595353.0</v>
      </c>
      <c r="C9910" s="687" t="str">
        <f>IFERROR(__xludf.DUMMYFUNCTION("GOOGLEFINANCE(A9910,""name"")"),"Galmed Pharmaceuticals Ltd")</f>
        <v>Galmed Pharmaceuticals Ltd</v>
      </c>
      <c r="D9910" s="125"/>
    </row>
    <row r="9911">
      <c r="A9911" s="122" t="s">
        <v>35659</v>
      </c>
      <c r="B9911" s="123">
        <v>1534126.0</v>
      </c>
      <c r="C9911" s="687" t="str">
        <f>IFERROR(__xludf.DUMMYFUNCTION("GOOGLEFINANCE(A9911,""name"")"),"#N/A")</f>
        <v>#N/A</v>
      </c>
      <c r="D9911" s="125"/>
    </row>
    <row r="9912">
      <c r="A9912" s="122" t="s">
        <v>35660</v>
      </c>
      <c r="B9912" s="123">
        <v>1598655.0</v>
      </c>
      <c r="C9912" s="687" t="str">
        <f>IFERROR(__xludf.DUMMYFUNCTION("GOOGLEFINANCE(A9912,""name"")"),"#N/A")</f>
        <v>#N/A</v>
      </c>
      <c r="D9912" s="125"/>
    </row>
    <row r="9913">
      <c r="A9913" s="122" t="s">
        <v>35661</v>
      </c>
      <c r="B9913" s="123">
        <v>1598655.0</v>
      </c>
      <c r="C9913" s="687" t="str">
        <f>IFERROR(__xludf.DUMMYFUNCTION("GOOGLEFINANCE(A9913,""name"")"),"#N/A")</f>
        <v>#N/A</v>
      </c>
      <c r="D9913" s="125"/>
    </row>
    <row r="9914">
      <c r="A9914" s="122" t="s">
        <v>35662</v>
      </c>
      <c r="B9914" s="123">
        <v>1598655.0</v>
      </c>
      <c r="C9914" s="687" t="str">
        <f>IFERROR(__xludf.DUMMYFUNCTION("GOOGLEFINANCE(A9914,""name"")"),"#N/A")</f>
        <v>#N/A</v>
      </c>
      <c r="D9914" s="125"/>
    </row>
    <row r="9915">
      <c r="A9915" s="122" t="s">
        <v>35663</v>
      </c>
      <c r="B9915" s="123">
        <v>1598655.0</v>
      </c>
      <c r="C9915" s="687" t="str">
        <f>IFERROR(__xludf.DUMMYFUNCTION("GOOGLEFINANCE(A9915,""name"")"),"#N/A")</f>
        <v>#N/A</v>
      </c>
      <c r="D9915" s="125"/>
    </row>
    <row r="9916">
      <c r="A9916" s="122" t="s">
        <v>35664</v>
      </c>
      <c r="B9916" s="123">
        <v>1323468.0</v>
      </c>
      <c r="C9916" s="687" t="str">
        <f>IFERROR(__xludf.DUMMYFUNCTION("GOOGLEFINANCE(A9916,""name"")"),"#N/A")</f>
        <v>#N/A</v>
      </c>
      <c r="D9916" s="125"/>
    </row>
    <row r="9917">
      <c r="A9917" s="122" t="s">
        <v>35665</v>
      </c>
      <c r="B9917" s="123">
        <v>1323468.0</v>
      </c>
      <c r="C9917" s="687" t="str">
        <f>IFERROR(__xludf.DUMMYFUNCTION("GOOGLEFINANCE(A9917,""name"")"),"#N/A")</f>
        <v>#N/A</v>
      </c>
      <c r="D9917" s="125"/>
    </row>
    <row r="9918">
      <c r="A9918" s="122" t="s">
        <v>35666</v>
      </c>
      <c r="B9918" s="123">
        <v>1421876.0</v>
      </c>
      <c r="C9918" s="687" t="str">
        <f>IFERROR(__xludf.DUMMYFUNCTION("GOOGLEFINANCE(A9918,""name"")"),"Galapagos NV - ADR")</f>
        <v>Galapagos NV - ADR</v>
      </c>
      <c r="D9918" s="125"/>
    </row>
    <row r="9919">
      <c r="A9919" s="122" t="s">
        <v>35667</v>
      </c>
      <c r="B9919" s="123">
        <v>1805087.0</v>
      </c>
      <c r="C9919" s="687" t="str">
        <f>IFERROR(__xludf.DUMMYFUNCTION("GOOGLEFINANCE(A9919,""name"")"),"#N/A")</f>
        <v>#N/A</v>
      </c>
      <c r="D9919" s="125"/>
    </row>
    <row r="9920">
      <c r="A9920" s="122" t="s">
        <v>35668</v>
      </c>
      <c r="B9920" s="123">
        <v>1852767.0</v>
      </c>
      <c r="C9920" s="687" t="str">
        <f>IFERROR(__xludf.DUMMYFUNCTION("GOOGLEFINANCE(A9920,""name"")"),"#N/A")</f>
        <v>#N/A</v>
      </c>
      <c r="D9920" s="125"/>
    </row>
    <row r="9921">
      <c r="A9921" s="122" t="s">
        <v>35669</v>
      </c>
      <c r="B9921" s="123">
        <v>1852767.0</v>
      </c>
      <c r="C9921" s="687" t="str">
        <f>IFERROR(__xludf.DUMMYFUNCTION("GOOGLEFINANCE(A9921,""name"")"),"#N/A")</f>
        <v>#N/A</v>
      </c>
      <c r="D9921" s="125"/>
    </row>
    <row r="9922">
      <c r="A9922" s="122" t="s">
        <v>35670</v>
      </c>
      <c r="B9922" s="123">
        <v>1282957.0</v>
      </c>
      <c r="C9922" s="687" t="str">
        <f>IFERROR(__xludf.DUMMYFUNCTION("GOOGLEFINANCE(A9922,""name"")"),"#N/A")</f>
        <v>#N/A</v>
      </c>
      <c r="D9922" s="125"/>
    </row>
    <row r="9923">
      <c r="A9923" s="122" t="s">
        <v>35671</v>
      </c>
      <c r="B9923" s="123">
        <v>1282957.0</v>
      </c>
      <c r="C9923" s="687" t="str">
        <f>IFERROR(__xludf.DUMMYFUNCTION("GOOGLEFINANCE(A9923,""name"")"),"#N/A")</f>
        <v>#N/A</v>
      </c>
      <c r="D9923" s="125"/>
    </row>
    <row r="9924">
      <c r="A9924" s="122" t="s">
        <v>35672</v>
      </c>
      <c r="B9924" s="123">
        <v>1533615.0</v>
      </c>
      <c r="C9924" s="687" t="str">
        <f>IFERROR(__xludf.DUMMYFUNCTION("GOOGLEFINANCE(A9924,""name"")"),"#N/A")</f>
        <v>#N/A</v>
      </c>
      <c r="D9924" s="125"/>
    </row>
    <row r="9925">
      <c r="A9925" s="122" t="s">
        <v>35673</v>
      </c>
      <c r="B9925" s="123">
        <v>1816736.0</v>
      </c>
      <c r="C9925" s="687" t="str">
        <f>IFERROR(__xludf.DUMMYFUNCTION("GOOGLEFINANCE(A9925,""name"")"),"#N/A")</f>
        <v>#N/A</v>
      </c>
      <c r="D9925" s="125"/>
    </row>
    <row r="9926">
      <c r="A9926" s="122" t="s">
        <v>35674</v>
      </c>
      <c r="B9926" s="123">
        <v>1760764.0</v>
      </c>
      <c r="C9926" s="687" t="str">
        <f>IFERROR(__xludf.DUMMYFUNCTION("GOOGLEFINANCE(A9926,""name"")"),"#N/A")</f>
        <v>#N/A</v>
      </c>
      <c r="D9926" s="125"/>
    </row>
    <row r="9927">
      <c r="A9927" s="122" t="s">
        <v>35675</v>
      </c>
      <c r="B9927" s="123">
        <v>1760764.0</v>
      </c>
      <c r="C9927" s="687" t="str">
        <f>IFERROR(__xludf.DUMMYFUNCTION("GOOGLEFINANCE(A9927,""name"")"),"#N/A")</f>
        <v>#N/A</v>
      </c>
      <c r="D9927" s="125"/>
    </row>
    <row r="9928">
      <c r="A9928" s="122" t="s">
        <v>35676</v>
      </c>
      <c r="B9928" s="123">
        <v>1781929.0</v>
      </c>
      <c r="C9928" s="687" t="str">
        <f>IFERROR(__xludf.DUMMYFUNCTION("GOOGLEFINANCE(A9928,""name"")"),"#N/A")</f>
        <v>#N/A</v>
      </c>
      <c r="D9928" s="125"/>
    </row>
    <row r="9929">
      <c r="A9929" s="122" t="s">
        <v>35677</v>
      </c>
      <c r="B9929" s="123">
        <v>1832250.0</v>
      </c>
      <c r="C9929" s="687" t="str">
        <f>IFERROR(__xludf.DUMMYFUNCTION("GOOGLEFINANCE(A9929,""name"")"),"#N/A")</f>
        <v>#N/A</v>
      </c>
      <c r="D9929" s="125"/>
    </row>
    <row r="9930">
      <c r="A9930" s="122" t="s">
        <v>35678</v>
      </c>
      <c r="B9930" s="123">
        <v>1832250.0</v>
      </c>
      <c r="C9930" s="687" t="str">
        <f>IFERROR(__xludf.DUMMYFUNCTION("GOOGLEFINANCE(A9930,""name"")"),"#N/A")</f>
        <v>#N/A</v>
      </c>
      <c r="D9930" s="125"/>
    </row>
    <row r="9931">
      <c r="A9931" s="122" t="s">
        <v>35679</v>
      </c>
      <c r="B9931" s="123">
        <v>1832250.0</v>
      </c>
      <c r="C9931" s="687" t="str">
        <f>IFERROR(__xludf.DUMMYFUNCTION("GOOGLEFINANCE(A9931,""name"")"),"#N/A")</f>
        <v>#N/A</v>
      </c>
      <c r="D9931" s="125"/>
    </row>
    <row r="9932">
      <c r="A9932" s="122" t="s">
        <v>35680</v>
      </c>
      <c r="B9932" s="123">
        <v>1059784.0</v>
      </c>
      <c r="C9932" s="687" t="str">
        <f>IFERROR(__xludf.DUMMYFUNCTION("GOOGLEFINANCE(A9932,""name"")"),"#N/A")</f>
        <v>#N/A</v>
      </c>
      <c r="D9932" s="125"/>
    </row>
    <row r="9933">
      <c r="A9933" s="122" t="s">
        <v>35681</v>
      </c>
      <c r="B9933" s="123">
        <v>1457612.0</v>
      </c>
      <c r="C9933" s="687" t="str">
        <f>IFERROR(__xludf.DUMMYFUNCTION("GOOGLEFINANCE(A9933,""name"")"),"#N/A")</f>
        <v>#N/A</v>
      </c>
      <c r="D9933" s="125"/>
    </row>
    <row r="9934">
      <c r="A9934" s="122" t="s">
        <v>35682</v>
      </c>
      <c r="B9934" s="123">
        <v>1528356.0</v>
      </c>
      <c r="C9934" s="687" t="str">
        <f>IFERROR(__xludf.DUMMYFUNCTION("GOOGLEFINANCE(A9934,""name"")"),"#N/A")</f>
        <v>#N/A</v>
      </c>
      <c r="D9934" s="125"/>
    </row>
    <row r="9935">
      <c r="A9935" s="122" t="s">
        <v>35683</v>
      </c>
      <c r="B9935" s="123">
        <v>1526113.0</v>
      </c>
      <c r="C9935" s="687" t="str">
        <f>IFERROR(__xludf.DUMMYFUNCTION("GOOGLEFINANCE(A9935,""name"")"),"#N/A")</f>
        <v>#N/A</v>
      </c>
      <c r="D9935" s="125"/>
    </row>
    <row r="9936">
      <c r="A9936" s="122" t="s">
        <v>35684</v>
      </c>
      <c r="B9936" s="123">
        <v>1526113.0</v>
      </c>
      <c r="C9936" s="687" t="str">
        <f>IFERROR(__xludf.DUMMYFUNCTION("GOOGLEFINANCE(A9936,""name"")"),"#N/A")</f>
        <v>#N/A</v>
      </c>
      <c r="D9936" s="125"/>
    </row>
    <row r="9937">
      <c r="A9937" s="122" t="s">
        <v>35685</v>
      </c>
      <c r="B9937" s="123">
        <v>1438893.0</v>
      </c>
      <c r="C9937" s="687" t="str">
        <f>IFERROR(__xludf.DUMMYFUNCTION("GOOGLEFINANCE(A9937,""name"")"),"#N/A")</f>
        <v>#N/A</v>
      </c>
      <c r="D9937" s="125"/>
    </row>
    <row r="9938">
      <c r="A9938" s="122" t="s">
        <v>35686</v>
      </c>
      <c r="B9938" s="123">
        <v>1355848.0</v>
      </c>
      <c r="C9938" s="687" t="str">
        <f>IFERROR(__xludf.DUMMYFUNCTION("GOOGLEFINANCE(A9938,""name"")"),"#N/A")</f>
        <v>#N/A</v>
      </c>
      <c r="D9938" s="125"/>
    </row>
    <row r="9939">
      <c r="A9939" s="122" t="s">
        <v>35687</v>
      </c>
      <c r="B9939" s="123">
        <v>1750153.0</v>
      </c>
      <c r="C9939" s="687" t="str">
        <f>IFERROR(__xludf.DUMMYFUNCTION("GOOGLEFINANCE(A9939,""name"")"),"#N/A")</f>
        <v>#N/A</v>
      </c>
      <c r="D9939" s="125"/>
    </row>
    <row r="9940">
      <c r="A9940" s="122" t="s">
        <v>35688</v>
      </c>
      <c r="B9940" s="123">
        <v>1029145.0</v>
      </c>
      <c r="C9940" s="687" t="str">
        <f>IFERROR(__xludf.DUMMYFUNCTION("GOOGLEFINANCE(A9940,""name"")"),"Alphabet Inc Class A")</f>
        <v>Alphabet Inc Class A</v>
      </c>
      <c r="D9940" s="125"/>
    </row>
    <row r="9941">
      <c r="A9941" s="122" t="s">
        <v>35689</v>
      </c>
      <c r="B9941" s="123">
        <v>1852940.0</v>
      </c>
      <c r="C9941" s="687" t="str">
        <f>IFERROR(__xludf.DUMMYFUNCTION("GOOGLEFINANCE(A9941,""name"")"),"#N/A")</f>
        <v>#N/A</v>
      </c>
      <c r="D9941" s="125"/>
    </row>
    <row r="9942">
      <c r="A9942" s="122" t="s">
        <v>35690</v>
      </c>
      <c r="B9942" s="123">
        <v>1852940.0</v>
      </c>
      <c r="C9942" s="687" t="str">
        <f>IFERROR(__xludf.DUMMYFUNCTION("GOOGLEFINANCE(A9942,""name"")"),"#N/A")</f>
        <v>#N/A</v>
      </c>
      <c r="D9942" s="125"/>
    </row>
    <row r="9943">
      <c r="A9943" s="122" t="s">
        <v>35691</v>
      </c>
      <c r="B9943" s="123">
        <v>1852940.0</v>
      </c>
      <c r="C9943" s="687" t="str">
        <f>IFERROR(__xludf.DUMMYFUNCTION("GOOGLEFINANCE(A9943,""name"")"),"#N/A")</f>
        <v>#N/A</v>
      </c>
      <c r="D9943" s="125"/>
    </row>
    <row r="9944">
      <c r="A9944" s="122" t="s">
        <v>35692</v>
      </c>
      <c r="B9944" s="123">
        <v>1291733.0</v>
      </c>
      <c r="C9944" s="687" t="str">
        <f>IFERROR(__xludf.DUMMYFUNCTION("GOOGLEFINANCE(A9944,""name"")"),"#N/A")</f>
        <v>#N/A</v>
      </c>
      <c r="D9944" s="125"/>
    </row>
    <row r="9945">
      <c r="A9945" s="122" t="s">
        <v>35693</v>
      </c>
      <c r="B9945" s="123">
        <v>1858939.0</v>
      </c>
      <c r="C9945" s="687" t="str">
        <f>IFERROR(__xludf.DUMMYFUNCTION("GOOGLEFINANCE(A9945,""name"")"),"#N/A")</f>
        <v>#N/A</v>
      </c>
      <c r="D9945" s="125"/>
    </row>
    <row r="9946">
      <c r="A9946" s="122" t="s">
        <v>35694</v>
      </c>
      <c r="B9946" s="123">
        <v>1791405.0</v>
      </c>
      <c r="C9946" s="687" t="str">
        <f>IFERROR(__xludf.DUMMYFUNCTION("GOOGLEFINANCE(A9946,""name"")"),"#N/A")</f>
        <v>#N/A</v>
      </c>
      <c r="D9946" s="125"/>
    </row>
    <row r="9947">
      <c r="A9947" s="122" t="s">
        <v>35695</v>
      </c>
      <c r="B9947" s="123">
        <v>1584547.0</v>
      </c>
      <c r="C9947" s="687" t="str">
        <f>IFERROR(__xludf.DUMMYFUNCTION("GOOGLEFINANCE(A9947,""name"")"),"GreenPower Motor Company Inc")</f>
        <v>GreenPower Motor Company Inc</v>
      </c>
      <c r="D9947" s="125"/>
    </row>
    <row r="9948">
      <c r="A9948" s="122" t="s">
        <v>35696</v>
      </c>
      <c r="B9948" s="123">
        <v>1834526.0</v>
      </c>
      <c r="C9948" s="687" t="str">
        <f>IFERROR(__xludf.DUMMYFUNCTION("GOOGLEFINANCE(A9948,""name"")"),"GP-Act III Acquisition Corp")</f>
        <v>GP-Act III Acquisition Corp</v>
      </c>
      <c r="D9948" s="125"/>
    </row>
    <row r="9949">
      <c r="A9949" s="122" t="s">
        <v>35697</v>
      </c>
      <c r="B9949" s="123">
        <v>1841209.0</v>
      </c>
      <c r="C9949" s="687" t="str">
        <f>IFERROR(__xludf.DUMMYFUNCTION("GOOGLEFINANCE(A9949,""name"")"),"#N/A")</f>
        <v>#N/A</v>
      </c>
      <c r="D9949" s="125"/>
    </row>
    <row r="9950">
      <c r="A9950" s="122" t="s">
        <v>35698</v>
      </c>
      <c r="B9950" s="123">
        <v>1841209.0</v>
      </c>
      <c r="C9950" s="687" t="str">
        <f>IFERROR(__xludf.DUMMYFUNCTION("GOOGLEFINANCE(A9950,""name"")"),"#N/A")</f>
        <v>#N/A</v>
      </c>
      <c r="D9950" s="125"/>
    </row>
    <row r="9951">
      <c r="A9951" s="122" t="s">
        <v>35699</v>
      </c>
      <c r="B9951" s="123">
        <v>1841209.0</v>
      </c>
      <c r="C9951" s="687" t="str">
        <f>IFERROR(__xludf.DUMMYFUNCTION("GOOGLEFINANCE(A9951,""name"")"),"#N/A")</f>
        <v>#N/A</v>
      </c>
      <c r="D9951" s="125"/>
    </row>
    <row r="9952">
      <c r="A9952" s="122" t="s">
        <v>35700</v>
      </c>
      <c r="B9952" s="123">
        <v>1841209.0</v>
      </c>
      <c r="C9952" s="687" t="str">
        <f>IFERROR(__xludf.DUMMYFUNCTION("GOOGLEFINANCE(A9952,""name"")"),"#N/A")</f>
        <v>#N/A</v>
      </c>
      <c r="D9952" s="125"/>
    </row>
    <row r="9953">
      <c r="A9953" s="122" t="s">
        <v>35701</v>
      </c>
      <c r="B9953" s="123">
        <v>41091.0</v>
      </c>
      <c r="C9953" s="687" t="str">
        <f>IFERROR(__xludf.DUMMYFUNCTION("GOOGLEFINANCE(A9953,""name"")"),"Georgia Power 5 Junior Subordinated Notes Exp 1 Oct 2077 Series 2017A")</f>
        <v>Georgia Power 5 Junior Subordinated Notes Exp 1 Oct 2077 Series 2017A</v>
      </c>
      <c r="D9953" s="125"/>
    </row>
    <row r="9954">
      <c r="A9954" s="122" t="s">
        <v>35702</v>
      </c>
      <c r="B9954" s="123">
        <v>1703644.0</v>
      </c>
      <c r="C9954" s="687" t="str">
        <f>IFERROR(__xludf.DUMMYFUNCTION("GOOGLEFINANCE(A9954,""name"")"),"#N/A")</f>
        <v>#N/A</v>
      </c>
      <c r="D9954" s="125"/>
    </row>
    <row r="9955">
      <c r="A9955" s="122" t="s">
        <v>35703</v>
      </c>
      <c r="B9955" s="123">
        <v>1635650.0</v>
      </c>
      <c r="C9955" s="687" t="str">
        <f>IFERROR(__xludf.DUMMYFUNCTION("GOOGLEFINANCE(A9955,""name"")"),"#N/A")</f>
        <v>#N/A</v>
      </c>
      <c r="D9955" s="125"/>
    </row>
    <row r="9956">
      <c r="A9956" s="122" t="s">
        <v>35704</v>
      </c>
      <c r="B9956" s="123">
        <v>1876945.0</v>
      </c>
      <c r="C9956" s="687" t="str">
        <f>IFERROR(__xludf.DUMMYFUNCTION("GOOGLEFINANCE(A9956,""name"")"),"#N/A")</f>
        <v>#N/A</v>
      </c>
      <c r="D9956" s="125"/>
    </row>
    <row r="9957">
      <c r="A9957" s="122" t="s">
        <v>35705</v>
      </c>
      <c r="B9957" s="123">
        <v>1373670.0</v>
      </c>
      <c r="C9957" s="687" t="str">
        <f>IFERROR(__xludf.DUMMYFUNCTION("GOOGLEFINANCE(A9957,""name"")"),"#N/A")</f>
        <v>#N/A</v>
      </c>
      <c r="D9957" s="125"/>
    </row>
    <row r="9958">
      <c r="A9958" s="122" t="s">
        <v>35706</v>
      </c>
      <c r="B9958" s="123">
        <v>1768910.0</v>
      </c>
      <c r="C9958" s="687" t="str">
        <f>IFERROR(__xludf.DUMMYFUNCTION("GOOGLEFINANCE(A9958,""name"")"),"#N/A")</f>
        <v>#N/A</v>
      </c>
      <c r="D9958" s="125"/>
    </row>
    <row r="9959">
      <c r="A9959" s="122" t="s">
        <v>35707</v>
      </c>
      <c r="B9959" s="123">
        <v>1768910.0</v>
      </c>
      <c r="C9959" s="687" t="str">
        <f>IFERROR(__xludf.DUMMYFUNCTION("GOOGLEFINANCE(A9959,""name"")"),"#N/A")</f>
        <v>#N/A</v>
      </c>
      <c r="D9959" s="125"/>
    </row>
    <row r="9960">
      <c r="A9960" s="122" t="s">
        <v>35708</v>
      </c>
      <c r="B9960" s="123">
        <v>1701756.0</v>
      </c>
      <c r="C9960" s="687" t="str">
        <f>IFERROR(__xludf.DUMMYFUNCTION("GOOGLEFINANCE(A9960,""name"")"),"#N/A")</f>
        <v>#N/A</v>
      </c>
      <c r="D9960" s="125"/>
    </row>
    <row r="9961">
      <c r="A9961" s="122" t="s">
        <v>35709</v>
      </c>
      <c r="B9961" s="123">
        <v>1876945.0</v>
      </c>
      <c r="C9961" s="687" t="str">
        <f>IFERROR(__xludf.DUMMYFUNCTION("GOOGLEFINANCE(A9961,""name"")"),"#N/A")</f>
        <v>#N/A</v>
      </c>
      <c r="D9961" s="125"/>
    </row>
    <row r="9962">
      <c r="A9962" s="122" t="s">
        <v>35710</v>
      </c>
      <c r="B9962" s="123">
        <v>1822691.0</v>
      </c>
      <c r="C9962" s="687" t="str">
        <f>IFERROR(__xludf.DUMMYFUNCTION("GOOGLEFINANCE(A9962,""name"")"),"#N/A")</f>
        <v>#N/A</v>
      </c>
      <c r="D9962" s="125"/>
    </row>
    <row r="9963">
      <c r="A9963" s="122" t="s">
        <v>35711</v>
      </c>
      <c r="B9963" s="123">
        <v>1822691.0</v>
      </c>
      <c r="C9963" s="687" t="str">
        <f>IFERROR(__xludf.DUMMYFUNCTION("GOOGLEFINANCE(A9963,""name"")"),"#N/A")</f>
        <v>#N/A</v>
      </c>
      <c r="D9963" s="125"/>
    </row>
    <row r="9964">
      <c r="A9964" s="122" t="s">
        <v>35712</v>
      </c>
      <c r="B9964" s="123">
        <v>1437710.0</v>
      </c>
      <c r="C9964" s="687" t="str">
        <f>IFERROR(__xludf.DUMMYFUNCTION("GOOGLEFINANCE(A9964,""name"")"),"#N/A")</f>
        <v>#N/A</v>
      </c>
      <c r="D9964" s="125"/>
    </row>
    <row r="9965">
      <c r="A9965" s="122" t="s">
        <v>35713</v>
      </c>
      <c r="B9965" s="123">
        <v>1841761.0</v>
      </c>
      <c r="C9965" s="687" t="str">
        <f>IFERROR(__xludf.DUMMYFUNCTION("GOOGLEFINANCE(A9965,""name"")"),"#N/A")</f>
        <v>#N/A</v>
      </c>
      <c r="D9965" s="125"/>
    </row>
    <row r="9966">
      <c r="A9966" s="122" t="s">
        <v>35714</v>
      </c>
      <c r="B9966" s="123">
        <v>1834026.0</v>
      </c>
      <c r="C9966" s="687" t="str">
        <f>IFERROR(__xludf.DUMMYFUNCTION("GOOGLEFINANCE(A9966,""name"")"),"#N/A")</f>
        <v>#N/A</v>
      </c>
      <c r="D9966" s="125"/>
    </row>
    <row r="9967">
      <c r="A9967" s="122" t="s">
        <v>35715</v>
      </c>
      <c r="B9967" s="123">
        <v>1564538.0</v>
      </c>
      <c r="C9967" s="687" t="str">
        <f>IFERROR(__xludf.DUMMYFUNCTION("GOOGLEFINANCE(A9967,""name"")"),"#N/A")</f>
        <v>#N/A</v>
      </c>
      <c r="D9967" s="125"/>
    </row>
    <row r="9968">
      <c r="A9968" s="122" t="s">
        <v>35716</v>
      </c>
      <c r="B9968" s="123">
        <v>1472998.0</v>
      </c>
      <c r="C9968" s="687" t="str">
        <f>IFERROR(__xludf.DUMMYFUNCTION("GOOGLEFINANCE(A9968,""name"")"),"#N/A")</f>
        <v>#N/A</v>
      </c>
      <c r="D9968" s="125"/>
    </row>
    <row r="9969">
      <c r="A9969" s="122" t="s">
        <v>35717</v>
      </c>
      <c r="B9969" s="123">
        <v>1126961.0</v>
      </c>
      <c r="C9969" s="687" t="str">
        <f>IFERROR(__xludf.DUMMYFUNCTION("GOOGLEFINANCE(A9969,""name"")"),"#N/A")</f>
        <v>#N/A</v>
      </c>
      <c r="D9969" s="125"/>
    </row>
    <row r="9970">
      <c r="A9970" s="122" t="s">
        <v>35718</v>
      </c>
      <c r="B9970" s="123">
        <v>1600626.0</v>
      </c>
      <c r="C9970" s="687" t="str">
        <f>IFERROR(__xludf.DUMMYFUNCTION("GOOGLEFINANCE(A9970,""name"")"),"#N/A")</f>
        <v>#N/A</v>
      </c>
      <c r="D9970" s="125"/>
    </row>
    <row r="9971">
      <c r="A9971" s="122" t="s">
        <v>35719</v>
      </c>
      <c r="B9971" s="123">
        <v>1905312.0</v>
      </c>
      <c r="C9971" s="687" t="str">
        <f>IFERROR(__xludf.DUMMYFUNCTION("GOOGLEFINANCE(A9971,""name"")"),"#N/A")</f>
        <v>#N/A</v>
      </c>
      <c r="D9971" s="125"/>
    </row>
    <row r="9972">
      <c r="A9972" s="122" t="s">
        <v>35720</v>
      </c>
      <c r="B9972" s="123">
        <v>1656634.0</v>
      </c>
      <c r="C9972" s="687" t="str">
        <f>IFERROR(__xludf.DUMMYFUNCTION("GOOGLEFINANCE(A9972,""name"")"),"#N/A")</f>
        <v>#N/A</v>
      </c>
      <c r="D9972" s="125"/>
    </row>
    <row r="9973">
      <c r="A9973" s="122" t="s">
        <v>35721</v>
      </c>
      <c r="B9973" s="123">
        <v>1313310.0</v>
      </c>
      <c r="C9973" s="687" t="str">
        <f>IFERROR(__xludf.DUMMYFUNCTION("GOOGLEFINANCE(A9973,""name"")"),"Gravity Co., LTD.")</f>
        <v>Gravity Co., LTD.</v>
      </c>
      <c r="D9973" s="125"/>
    </row>
    <row r="9974">
      <c r="A9974" s="122" t="s">
        <v>35722</v>
      </c>
      <c r="B9974" s="123">
        <v>1448558.0</v>
      </c>
      <c r="C9974" s="687" t="str">
        <f>IFERROR(__xludf.DUMMYFUNCTION("GOOGLEFINANCE(A9974,""name"")"),"Grow Capital Inc")</f>
        <v>Grow Capital Inc</v>
      </c>
      <c r="D9974" s="125"/>
    </row>
    <row r="9975">
      <c r="A9975" s="122" t="s">
        <v>35723</v>
      </c>
      <c r="B9975" s="123">
        <v>1604868.0</v>
      </c>
      <c r="C9975" s="687" t="str">
        <f>IFERROR(__xludf.DUMMYFUNCTION("GOOGLEFINANCE(A9975,""name"")"),"GrowGeneration Corp")</f>
        <v>GrowGeneration Corp</v>
      </c>
      <c r="D9975" s="125"/>
    </row>
    <row r="9976">
      <c r="A9976" s="122" t="s">
        <v>35724</v>
      </c>
      <c r="B9976" s="123">
        <v>886982.0</v>
      </c>
      <c r="C9976" s="687" t="str">
        <f>IFERROR(__xludf.DUMMYFUNCTION("GOOGLEFINANCE(A9976,""name"")"),"#N/A")</f>
        <v>#N/A</v>
      </c>
      <c r="D9976" s="125"/>
    </row>
    <row r="9977">
      <c r="A9977" s="122" t="s">
        <v>35725</v>
      </c>
      <c r="B9977" s="123">
        <v>886982.0</v>
      </c>
      <c r="C9977" s="687" t="str">
        <f>IFERROR(__xludf.DUMMYFUNCTION("GOOGLEFINANCE(A9977,""name"")"),"#N/A")</f>
        <v>#N/A</v>
      </c>
      <c r="D9977" s="125"/>
    </row>
    <row r="9978">
      <c r="A9978" s="122" t="s">
        <v>35726</v>
      </c>
      <c r="B9978" s="123">
        <v>886982.0</v>
      </c>
      <c r="C9978" s="687" t="str">
        <f>IFERROR(__xludf.DUMMYFUNCTION("GOOGLEFINANCE(A9978,""name"")"),"#N/A")</f>
        <v>#N/A</v>
      </c>
      <c r="D9978" s="125"/>
    </row>
    <row r="9979">
      <c r="A9979" s="122" t="s">
        <v>35727</v>
      </c>
      <c r="B9979" s="123">
        <v>886982.0</v>
      </c>
      <c r="C9979" s="687" t="str">
        <f>IFERROR(__xludf.DUMMYFUNCTION("GOOGLEFINANCE(A9979,""name"")"),"#N/A")</f>
        <v>#N/A</v>
      </c>
      <c r="D9979" s="125"/>
    </row>
    <row r="9980">
      <c r="A9980" s="122" t="s">
        <v>35728</v>
      </c>
      <c r="B9980" s="123">
        <v>886982.0</v>
      </c>
      <c r="C9980" s="687" t="str">
        <f>IFERROR(__xludf.DUMMYFUNCTION("GOOGLEFINANCE(A9980,""name"")"),"#N/A")</f>
        <v>#N/A</v>
      </c>
      <c r="D9980" s="125"/>
    </row>
    <row r="9981">
      <c r="A9981" s="122" t="s">
        <v>35729</v>
      </c>
      <c r="B9981" s="123">
        <v>887153.0</v>
      </c>
      <c r="C9981" s="687" t="str">
        <f>IFERROR(__xludf.DUMMYFUNCTION("GOOGLEFINANCE(A9981,""name"")"),"#N/A")</f>
        <v>#N/A</v>
      </c>
      <c r="D9981" s="125"/>
    </row>
    <row r="9982">
      <c r="A9982" s="122" t="s">
        <v>35730</v>
      </c>
      <c r="B9982" s="123">
        <v>1366868.0</v>
      </c>
      <c r="C9982" s="687" t="str">
        <f>IFERROR(__xludf.DUMMYFUNCTION("GOOGLEFINANCE(A9982,""name"")"),"Globalstar, Inc.")</f>
        <v>Globalstar, Inc.</v>
      </c>
      <c r="D9982" s="125"/>
    </row>
    <row r="9983">
      <c r="A9983" s="122" t="s">
        <v>35731</v>
      </c>
      <c r="B9983" s="123">
        <v>1828096.0</v>
      </c>
      <c r="C9983" s="687" t="str">
        <f>IFERROR(__xludf.DUMMYFUNCTION("GOOGLEFINANCE(A9983,""name"")"),"#N/A")</f>
        <v>#N/A</v>
      </c>
      <c r="D9983" s="125"/>
    </row>
    <row r="9984">
      <c r="A9984" s="122" t="s">
        <v>35732</v>
      </c>
      <c r="B9984" s="123">
        <v>1828096.0</v>
      </c>
      <c r="C9984" s="687" t="str">
        <f>IFERROR(__xludf.DUMMYFUNCTION("GOOGLEFINANCE(A9984,""name"")"),"#N/A")</f>
        <v>#N/A</v>
      </c>
      <c r="D9984" s="125"/>
    </row>
    <row r="9985">
      <c r="A9985" s="122" t="s">
        <v>35733</v>
      </c>
      <c r="B9985" s="123">
        <v>1828096.0</v>
      </c>
      <c r="C9985" s="687" t="str">
        <f>IFERROR(__xludf.DUMMYFUNCTION("GOOGLEFINANCE(A9985,""name"")"),"#N/A")</f>
        <v>#N/A</v>
      </c>
      <c r="D9985" s="125"/>
    </row>
    <row r="9986">
      <c r="A9986" s="122" t="s">
        <v>35734</v>
      </c>
      <c r="B9986" s="123">
        <v>1668523.0</v>
      </c>
      <c r="C9986" s="687" t="str">
        <f>IFERROR(__xludf.DUMMYFUNCTION("GOOGLEFINANCE(A9986,""name"")"),"#N/A")</f>
        <v>#N/A</v>
      </c>
      <c r="D9986" s="125"/>
    </row>
    <row r="9987">
      <c r="A9987" s="122" t="s">
        <v>35735</v>
      </c>
      <c r="B9987" s="123">
        <v>1712923.0</v>
      </c>
      <c r="C9987" s="687" t="str">
        <f>IFERROR(__xludf.DUMMYFUNCTION("GOOGLEFINANCE(A9987,""name"")"),"#N/A")</f>
        <v>#N/A</v>
      </c>
      <c r="D9987" s="125"/>
    </row>
    <row r="9988">
      <c r="A9988" s="122" t="s">
        <v>35736</v>
      </c>
      <c r="B9988" s="123">
        <v>1430725.0</v>
      </c>
      <c r="C9988" s="687" t="str">
        <f>IFERROR(__xludf.DUMMYFUNCTION("GOOGLEFINANCE(A9988,""name"")"),"#N/A")</f>
        <v>#N/A</v>
      </c>
      <c r="D9988" s="125"/>
    </row>
    <row r="9989">
      <c r="A9989" s="122" t="s">
        <v>35737</v>
      </c>
      <c r="B9989" s="123">
        <v>1738758.0</v>
      </c>
      <c r="C9989" s="687" t="str">
        <f>IFERROR(__xludf.DUMMYFUNCTION("GOOGLEFINANCE(A9989,""name"")"),"#N/A")</f>
        <v>#N/A</v>
      </c>
      <c r="D9989" s="125"/>
    </row>
    <row r="9990">
      <c r="A9990" s="122" t="s">
        <v>35738</v>
      </c>
      <c r="B9990" s="123">
        <v>1849280.0</v>
      </c>
      <c r="C9990" s="687" t="str">
        <f>IFERROR(__xludf.DUMMYFUNCTION("GOOGLEFINANCE(A9990,""name"")"),"#N/A")</f>
        <v>#N/A</v>
      </c>
      <c r="D9990" s="125"/>
    </row>
    <row r="9991">
      <c r="A9991" s="122" t="s">
        <v>35739</v>
      </c>
      <c r="B9991" s="123">
        <v>1849280.0</v>
      </c>
      <c r="C9991" s="687" t="str">
        <f>IFERROR(__xludf.DUMMYFUNCTION("GOOGLEFINANCE(A9991,""name"")"),"#N/A")</f>
        <v>#N/A</v>
      </c>
      <c r="D9991" s="125"/>
    </row>
    <row r="9992">
      <c r="A9992" s="122" t="s">
        <v>35740</v>
      </c>
      <c r="B9992" s="123">
        <v>1849280.0</v>
      </c>
      <c r="C9992" s="687" t="str">
        <f>IFERROR(__xludf.DUMMYFUNCTION("GOOGLEFINANCE(A9992,""name"")"),"#N/A")</f>
        <v>#N/A</v>
      </c>
      <c r="D9992" s="125"/>
    </row>
    <row r="9993">
      <c r="A9993" s="122" t="s">
        <v>35741</v>
      </c>
      <c r="B9993" s="123">
        <v>1837207.0</v>
      </c>
      <c r="C9993" s="687" t="str">
        <f>IFERROR(__xludf.DUMMYFUNCTION("GOOGLEFINANCE(A9993,""name"")"),"#N/A")</f>
        <v>#N/A</v>
      </c>
      <c r="D9993" s="125"/>
    </row>
    <row r="9994">
      <c r="A9994" s="122" t="s">
        <v>35742</v>
      </c>
      <c r="B9994" s="123">
        <v>1837207.0</v>
      </c>
      <c r="C9994" s="687" t="str">
        <f>IFERROR(__xludf.DUMMYFUNCTION("GOOGLEFINANCE(A9994,""name"")"),"#N/A")</f>
        <v>#N/A</v>
      </c>
      <c r="D9994" s="125"/>
    </row>
    <row r="9995">
      <c r="A9995" s="122" t="s">
        <v>35743</v>
      </c>
      <c r="B9995" s="123">
        <v>1837207.0</v>
      </c>
      <c r="C9995" s="687" t="str">
        <f>IFERROR(__xludf.DUMMYFUNCTION("GOOGLEFINANCE(A9995,""name"")"),"#N/A")</f>
        <v>#N/A</v>
      </c>
      <c r="D9995" s="125"/>
    </row>
    <row r="9996">
      <c r="A9996" s="122" t="s">
        <v>35744</v>
      </c>
      <c r="B9996" s="123">
        <v>1901799.0</v>
      </c>
      <c r="C9996" s="687" t="str">
        <f>IFERROR(__xludf.DUMMYFUNCTION("GOOGLEFINANCE(A9996,""name"")"),"#N/A")</f>
        <v>#N/A</v>
      </c>
      <c r="D9996" s="125"/>
    </row>
    <row r="9997">
      <c r="A9997" s="122" t="s">
        <v>35745</v>
      </c>
      <c r="B9997" s="123">
        <v>1901799.0</v>
      </c>
      <c r="C9997" s="687" t="str">
        <f>IFERROR(__xludf.DUMMYFUNCTION("GOOGLEFINANCE(A9997,""name"")"),"#N/A")</f>
        <v>#N/A</v>
      </c>
      <c r="D9997" s="125"/>
    </row>
    <row r="9998">
      <c r="A9998" s="122" t="s">
        <v>35746</v>
      </c>
      <c r="B9998" s="123">
        <v>1901799.0</v>
      </c>
      <c r="C9998" s="687" t="str">
        <f>IFERROR(__xludf.DUMMYFUNCTION("GOOGLEFINANCE(A9998,""name"")"),"#N/A")</f>
        <v>#N/A</v>
      </c>
      <c r="D9998" s="125"/>
    </row>
    <row r="9999">
      <c r="A9999" s="122" t="s">
        <v>35747</v>
      </c>
      <c r="B9999" s="123">
        <v>1901799.0</v>
      </c>
      <c r="C9999" s="687" t="str">
        <f>IFERROR(__xludf.DUMMYFUNCTION("GOOGLEFINANCE(A9999,""name"")"),"#N/A")</f>
        <v>#N/A</v>
      </c>
      <c r="D9999" s="125"/>
    </row>
    <row r="10000">
      <c r="A10000" s="122" t="s">
        <v>35748</v>
      </c>
      <c r="B10000" s="123">
        <v>1381240.0</v>
      </c>
      <c r="C10000" s="687" t="str">
        <f>IFERROR(__xludf.DUMMYFUNCTION("GOOGLEFINANCE(A10000,""name"")"),"GSRX Industries Inc")</f>
        <v>GSRX Industries Inc</v>
      </c>
      <c r="D10000" s="125"/>
    </row>
    <row r="10001">
      <c r="A10001" s="122" t="s">
        <v>35749</v>
      </c>
      <c r="B10001" s="123">
        <v>1321847.0</v>
      </c>
      <c r="C10001" s="687" t="str">
        <f>IFERROR(__xludf.DUMMYFUNCTION("GOOGLEFINANCE(A10001,""name"")"),"#N/A")</f>
        <v>#N/A</v>
      </c>
      <c r="D10001" s="125"/>
    </row>
    <row r="10002">
      <c r="A10002" s="122" t="s">
        <v>35750</v>
      </c>
      <c r="B10002" s="123">
        <v>1897941.0</v>
      </c>
      <c r="C10002" s="687" t="str">
        <f>IFERROR(__xludf.DUMMYFUNCTION("GOOGLEFINANCE(A10002,""name"")"),"Gores Holdings X Inc")</f>
        <v>Gores Holdings X Inc</v>
      </c>
      <c r="D10002" s="125"/>
    </row>
    <row r="10003">
      <c r="A10003" s="122" t="s">
        <v>35751</v>
      </c>
      <c r="B10003" s="123">
        <v>43196.0</v>
      </c>
      <c r="C10003" s="687" t="str">
        <f>IFERROR(__xludf.DUMMYFUNCTION("GOOGLEFINANCE(A10003,""name"")"),"#N/A")</f>
        <v>#N/A</v>
      </c>
      <c r="D10003" s="125"/>
    </row>
    <row r="10004">
      <c r="A10004" s="122" t="s">
        <v>35752</v>
      </c>
      <c r="B10004" s="123">
        <v>1837105.0</v>
      </c>
      <c r="C10004" s="687" t="str">
        <f>IFERROR(__xludf.DUMMYFUNCTION("GOOGLEFINANCE(A10004,""name"")"),"#N/A")</f>
        <v>#N/A</v>
      </c>
      <c r="D10004" s="125"/>
    </row>
    <row r="10005">
      <c r="A10005" s="122" t="s">
        <v>35753</v>
      </c>
      <c r="B10005" s="123">
        <v>1837105.0</v>
      </c>
      <c r="C10005" s="687" t="str">
        <f>IFERROR(__xludf.DUMMYFUNCTION("GOOGLEFINANCE(A10005,""name"")"),"#N/A")</f>
        <v>#N/A</v>
      </c>
      <c r="D10005" s="125"/>
    </row>
    <row r="10006">
      <c r="A10006" s="122" t="s">
        <v>35754</v>
      </c>
      <c r="B10006" s="123">
        <v>1837105.0</v>
      </c>
      <c r="C10006" s="687" t="str">
        <f>IFERROR(__xludf.DUMMYFUNCTION("GOOGLEFINANCE(A10006,""name"")"),"#N/A")</f>
        <v>#N/A</v>
      </c>
      <c r="D10006" s="125"/>
    </row>
    <row r="10007">
      <c r="A10007" s="122" t="s">
        <v>35755</v>
      </c>
      <c r="B10007" s="123">
        <v>1842046.0</v>
      </c>
      <c r="C10007" s="687" t="str">
        <f>IFERROR(__xludf.DUMMYFUNCTION("GOOGLEFINANCE(A10007,""name"")"),"#N/A")</f>
        <v>#N/A</v>
      </c>
      <c r="D10007" s="125"/>
    </row>
    <row r="10008">
      <c r="A10008" s="122" t="s">
        <v>35756</v>
      </c>
      <c r="B10008" s="123">
        <v>1842046.0</v>
      </c>
      <c r="C10008" s="687" t="str">
        <f>IFERROR(__xludf.DUMMYFUNCTION("GOOGLEFINANCE(A10008,""name"")"),"#N/A")</f>
        <v>#N/A</v>
      </c>
      <c r="D10008" s="125"/>
    </row>
    <row r="10009">
      <c r="A10009" s="122" t="s">
        <v>35757</v>
      </c>
      <c r="B10009" s="123">
        <v>1842046.0</v>
      </c>
      <c r="C10009" s="687" t="str">
        <f>IFERROR(__xludf.DUMMYFUNCTION("GOOGLEFINANCE(A10009,""name"")"),"#N/A")</f>
        <v>#N/A</v>
      </c>
      <c r="D10009" s="125"/>
    </row>
    <row r="10010">
      <c r="A10010" s="122" t="s">
        <v>35758</v>
      </c>
      <c r="B10010" s="123">
        <v>1368757.0</v>
      </c>
      <c r="C10010" s="687" t="str">
        <f>IFERROR(__xludf.DUMMYFUNCTION("GOOGLEFINANCE(A10010,""name"")"),"GTJ REIT Inc")</f>
        <v>GTJ REIT Inc</v>
      </c>
      <c r="D10010" s="125"/>
    </row>
    <row r="10011">
      <c r="A10011" s="122" t="s">
        <v>35759</v>
      </c>
      <c r="B10011" s="123">
        <v>1315255.0</v>
      </c>
      <c r="C10011" s="687" t="str">
        <f>IFERROR(__xludf.DUMMYFUNCTION("GOOGLEFINANCE(A10011,""name"")"),"#N/A")</f>
        <v>#N/A</v>
      </c>
      <c r="D10011" s="125"/>
    </row>
    <row r="10012">
      <c r="A10012" s="122" t="s">
        <v>35760</v>
      </c>
      <c r="B10012" s="123">
        <v>1263364.0</v>
      </c>
      <c r="C10012" s="687" t="str">
        <f>IFERROR(__xludf.DUMMYFUNCTION("GOOGLEFINANCE(A10012,""name"")"),"#N/A")</f>
        <v>#N/A</v>
      </c>
      <c r="D10012" s="125"/>
    </row>
    <row r="10013">
      <c r="A10013" s="122" t="s">
        <v>35761</v>
      </c>
      <c r="B10013" s="123">
        <v>1735707.0</v>
      </c>
      <c r="C10013" s="687" t="str">
        <f>IFERROR(__xludf.DUMMYFUNCTION("GOOGLEFINANCE(A10013,""name"")"),"#N/A")</f>
        <v>#N/A</v>
      </c>
      <c r="D10013" s="125"/>
    </row>
    <row r="10014">
      <c r="A10014" s="122" t="s">
        <v>35762</v>
      </c>
      <c r="B10014" s="123">
        <v>1375793.0</v>
      </c>
      <c r="C10014" s="687" t="str">
        <f>IFERROR(__xludf.DUMMYFUNCTION("GOOGLEFINANCE(A10014,""name"")"),"#N/A")</f>
        <v>#N/A</v>
      </c>
      <c r="D10014" s="125"/>
    </row>
    <row r="10015">
      <c r="A10015" s="122" t="s">
        <v>35763</v>
      </c>
      <c r="B10015" s="123">
        <v>1080720.0</v>
      </c>
      <c r="C10015" s="687" t="str">
        <f>IFERROR(__xludf.DUMMYFUNCTION("GOOGLEFINANCE(A10015,""name"")"),"#N/A")</f>
        <v>#N/A</v>
      </c>
      <c r="D10015" s="125"/>
    </row>
    <row r="10016">
      <c r="A10016" s="122" t="s">
        <v>35764</v>
      </c>
      <c r="B10016" s="123">
        <v>1867183.0</v>
      </c>
      <c r="C10016" s="687" t="str">
        <f>IFERROR(__xludf.DUMMYFUNCTION("GOOGLEFINANCE(A10016,""name"")"),"#N/A")</f>
        <v>#N/A</v>
      </c>
      <c r="D10016" s="125"/>
    </row>
    <row r="10017">
      <c r="A10017" s="122" t="s">
        <v>35765</v>
      </c>
      <c r="B10017" s="123">
        <v>1571804.0</v>
      </c>
      <c r="C10017" s="687" t="str">
        <f>IFERROR(__xludf.DUMMYFUNCTION("GOOGLEFINANCE(A10017,""name"")"),"#N/A")</f>
        <v>#N/A</v>
      </c>
      <c r="D10017" s="125"/>
    </row>
    <row r="10018">
      <c r="A10018" s="122" t="s">
        <v>35766</v>
      </c>
      <c r="B10018" s="123">
        <v>1858503.0</v>
      </c>
      <c r="C10018" s="687" t="str">
        <f>IFERROR(__xludf.DUMMYFUNCTION("GOOGLEFINANCE(A10018,""name"")"),"#N/A")</f>
        <v>#N/A</v>
      </c>
      <c r="D10018" s="125"/>
    </row>
    <row r="10019">
      <c r="A10019" s="122" t="s">
        <v>35767</v>
      </c>
      <c r="B10019" s="123">
        <v>1858503.0</v>
      </c>
      <c r="C10019" s="687" t="str">
        <f>IFERROR(__xludf.DUMMYFUNCTION("GOOGLEFINANCE(A10019,""name"")"),"#N/A")</f>
        <v>#N/A</v>
      </c>
      <c r="D10019" s="125"/>
    </row>
    <row r="10020">
      <c r="A10020" s="122" t="s">
        <v>35768</v>
      </c>
      <c r="B10020" s="123">
        <v>1858503.0</v>
      </c>
      <c r="C10020" s="687" t="str">
        <f>IFERROR(__xludf.DUMMYFUNCTION("GOOGLEFINANCE(A10020,""name"")"),"#N/A")</f>
        <v>#N/A</v>
      </c>
      <c r="D10020" s="125"/>
    </row>
    <row r="10021">
      <c r="A10021" s="122" t="s">
        <v>35769</v>
      </c>
      <c r="B10021" s="123">
        <v>1522690.0</v>
      </c>
      <c r="C10021" s="687" t="str">
        <f>IFERROR(__xludf.DUMMYFUNCTION("GOOGLEFINANCE(A10021,""name"")"),"#N/A")</f>
        <v>#N/A</v>
      </c>
      <c r="D10021" s="125"/>
    </row>
    <row r="10022">
      <c r="A10022" s="122" t="s">
        <v>35770</v>
      </c>
      <c r="B10022" s="123">
        <v>1819438.0</v>
      </c>
      <c r="C10022" s="687" t="str">
        <f>IFERROR(__xludf.DUMMYFUNCTION("GOOGLEFINANCE(A10022,""name"")"),"#N/A")</f>
        <v>#N/A</v>
      </c>
      <c r="D10022" s="125"/>
    </row>
    <row r="10023">
      <c r="A10023" s="122" t="s">
        <v>35771</v>
      </c>
      <c r="B10023" s="123">
        <v>1850487.0</v>
      </c>
      <c r="C10023" s="687" t="str">
        <f>IFERROR(__xludf.DUMMYFUNCTION("GOOGLEFINANCE(A10023,""name"")"),"#N/A")</f>
        <v>#N/A</v>
      </c>
      <c r="D10023" s="125"/>
    </row>
    <row r="10024">
      <c r="A10024" s="122" t="s">
        <v>35772</v>
      </c>
      <c r="B10024" s="123">
        <v>1850487.0</v>
      </c>
      <c r="C10024" s="687" t="str">
        <f>IFERROR(__xludf.DUMMYFUNCTION("GOOGLEFINANCE(A10024,""name"")"),"#N/A")</f>
        <v>#N/A</v>
      </c>
      <c r="D10024" s="125"/>
    </row>
    <row r="10025">
      <c r="A10025" s="122" t="s">
        <v>35773</v>
      </c>
      <c r="B10025" s="123">
        <v>1826669.0</v>
      </c>
      <c r="C10025" s="687" t="str">
        <f>IFERROR(__xludf.DUMMYFUNCTION("GOOGLEFINANCE(A10025,""name"")"),"#N/A")</f>
        <v>#N/A</v>
      </c>
      <c r="D10025" s="125"/>
    </row>
    <row r="10026">
      <c r="A10026" s="122" t="s">
        <v>35774</v>
      </c>
      <c r="B10026" s="123">
        <v>1826669.0</v>
      </c>
      <c r="C10026" s="687" t="str">
        <f>IFERROR(__xludf.DUMMYFUNCTION("GOOGLEFINANCE(A10026,""name"")"),"#N/A")</f>
        <v>#N/A</v>
      </c>
      <c r="D10026" s="125"/>
    </row>
    <row r="10027">
      <c r="A10027" s="122" t="s">
        <v>35775</v>
      </c>
      <c r="B10027" s="123">
        <v>1826669.0</v>
      </c>
      <c r="C10027" s="687" t="str">
        <f>IFERROR(__xludf.DUMMYFUNCTION("GOOGLEFINANCE(A10027,""name"")"),"#N/A")</f>
        <v>#N/A</v>
      </c>
      <c r="D10027" s="125"/>
    </row>
    <row r="10028">
      <c r="A10028" s="122" t="s">
        <v>35776</v>
      </c>
      <c r="B10028" s="123">
        <v>1267612.0</v>
      </c>
      <c r="C10028" s="687" t="str">
        <f>IFERROR(__xludf.DUMMYFUNCTION("GOOGLEFINANCE(A10028,""name"")"),"#N/A")</f>
        <v>#N/A</v>
      </c>
      <c r="D10028" s="125"/>
    </row>
    <row r="10029">
      <c r="A10029" s="122" t="s">
        <v>35777</v>
      </c>
      <c r="B10029" s="123">
        <v>1824013.0</v>
      </c>
      <c r="C10029" s="687" t="str">
        <f>IFERROR(__xludf.DUMMYFUNCTION("GOOGLEFINANCE(A10029,""name"")"),"#N/A")</f>
        <v>#N/A</v>
      </c>
      <c r="D10029" s="125"/>
    </row>
    <row r="10030">
      <c r="A10030" s="122" t="s">
        <v>35778</v>
      </c>
      <c r="B10030" s="123">
        <v>1824013.0</v>
      </c>
      <c r="C10030" s="687" t="str">
        <f>IFERROR(__xludf.DUMMYFUNCTION("GOOGLEFINANCE(A10030,""name"")"),"#N/A")</f>
        <v>#N/A</v>
      </c>
      <c r="D10030" s="125"/>
    </row>
    <row r="10031">
      <c r="A10031" s="122" t="s">
        <v>35779</v>
      </c>
      <c r="B10031" s="123">
        <v>1824013.0</v>
      </c>
      <c r="C10031" s="687" t="str">
        <f>IFERROR(__xludf.DUMMYFUNCTION("GOOGLEFINANCE(A10031,""name"")"),"#N/A")</f>
        <v>#N/A</v>
      </c>
      <c r="D10031" s="125"/>
    </row>
    <row r="10032">
      <c r="A10032" s="122" t="s">
        <v>35780</v>
      </c>
      <c r="B10032" s="123">
        <v>1751876.0</v>
      </c>
      <c r="C10032" s="687" t="str">
        <f>IFERROR(__xludf.DUMMYFUNCTION("GOOGLEFINANCE(A10032,""name"")"),"#N/A")</f>
        <v>#N/A</v>
      </c>
      <c r="D10032" s="125"/>
    </row>
    <row r="10033">
      <c r="A10033" s="122" t="s">
        <v>35781</v>
      </c>
      <c r="B10033" s="123">
        <v>1824846.0</v>
      </c>
      <c r="C10033" s="687" t="str">
        <f>IFERROR(__xludf.DUMMYFUNCTION("GOOGLEFINANCE(A10033,""name"")"),"#N/A")</f>
        <v>#N/A</v>
      </c>
      <c r="D10033" s="125"/>
    </row>
    <row r="10034">
      <c r="A10034" s="122" t="s">
        <v>35782</v>
      </c>
      <c r="B10034" s="123">
        <v>1824846.0</v>
      </c>
      <c r="C10034" s="687" t="str">
        <f>IFERROR(__xludf.DUMMYFUNCTION("GOOGLEFINANCE(A10034,""name"")"),"#N/A")</f>
        <v>#N/A</v>
      </c>
      <c r="D10034" s="125"/>
    </row>
    <row r="10035">
      <c r="A10035" s="122" t="s">
        <v>35783</v>
      </c>
      <c r="B10035" s="123">
        <v>1824846.0</v>
      </c>
      <c r="C10035" s="687" t="str">
        <f>IFERROR(__xludf.DUMMYFUNCTION("GOOGLEFINANCE(A10035,""name"")"),"#N/A")</f>
        <v>#N/A</v>
      </c>
      <c r="D10035" s="125"/>
    </row>
    <row r="10036">
      <c r="A10036" s="122" t="s">
        <v>35784</v>
      </c>
      <c r="B10036" s="123">
        <v>1403431.0</v>
      </c>
      <c r="C10036" s="687" t="str">
        <f>IFERROR(__xludf.DUMMYFUNCTION("GOOGLEFINANCE(A10036,""name"")"),"#N/A")</f>
        <v>#N/A</v>
      </c>
      <c r="D10036" s="125"/>
    </row>
    <row r="10037">
      <c r="A10037" s="122" t="s">
        <v>35785</v>
      </c>
      <c r="B10037" s="123">
        <v>1784567.0</v>
      </c>
      <c r="C10037" s="687" t="str">
        <f>IFERROR(__xludf.DUMMYFUNCTION("GOOGLEFINANCE(A10037,""name"")"),"#N/A")</f>
        <v>#N/A</v>
      </c>
      <c r="D10037" s="125"/>
    </row>
    <row r="10038">
      <c r="A10038" s="122" t="s">
        <v>35786</v>
      </c>
      <c r="B10038" s="123">
        <v>1784567.0</v>
      </c>
      <c r="C10038" s="687" t="str">
        <f>IFERROR(__xludf.DUMMYFUNCTION("GOOGLEFINANCE(A10038,""name"")"),"#N/A")</f>
        <v>#N/A</v>
      </c>
      <c r="D10038" s="125"/>
    </row>
    <row r="10039">
      <c r="A10039" s="122" t="s">
        <v>35787</v>
      </c>
      <c r="B10039" s="123">
        <v>1784567.0</v>
      </c>
      <c r="C10039" s="687" t="str">
        <f>IFERROR(__xludf.DUMMYFUNCTION("GOOGLEFINANCE(A10039,""name"")"),"#N/A")</f>
        <v>#N/A</v>
      </c>
      <c r="D10039" s="125"/>
    </row>
    <row r="10040">
      <c r="A10040" s="122" t="s">
        <v>35788</v>
      </c>
      <c r="B10040" s="123">
        <v>1784567.0</v>
      </c>
      <c r="C10040" s="687" t="str">
        <f>IFERROR(__xludf.DUMMYFUNCTION("GOOGLEFINANCE(A10040,""name"")"),"#N/A")</f>
        <v>#N/A</v>
      </c>
      <c r="D10040" s="125"/>
    </row>
    <row r="10041">
      <c r="A10041" s="122" t="s">
        <v>35789</v>
      </c>
      <c r="B10041" s="123">
        <v>1829455.0</v>
      </c>
      <c r="C10041" s="687" t="str">
        <f>IFERROR(__xludf.DUMMYFUNCTION("GOOGLEFINANCE(A10041,""name"")"),"#N/A")</f>
        <v>#N/A</v>
      </c>
      <c r="D10041" s="125"/>
    </row>
    <row r="10042">
      <c r="A10042" s="122" t="s">
        <v>35790</v>
      </c>
      <c r="B10042" s="123">
        <v>1829455.0</v>
      </c>
      <c r="C10042" s="687" t="str">
        <f>IFERROR(__xludf.DUMMYFUNCTION("GOOGLEFINANCE(A10042,""name"")"),"#N/A")</f>
        <v>#N/A</v>
      </c>
      <c r="D10042" s="125"/>
    </row>
    <row r="10043">
      <c r="A10043" s="122" t="s">
        <v>35791</v>
      </c>
      <c r="B10043" s="123">
        <v>1829455.0</v>
      </c>
      <c r="C10043" s="687" t="str">
        <f>IFERROR(__xludf.DUMMYFUNCTION("GOOGLEFINANCE(A10043,""name"")"),"#N/A")</f>
        <v>#N/A</v>
      </c>
      <c r="D10043" s="125"/>
    </row>
    <row r="10044">
      <c r="A10044" s="122" t="s">
        <v>35792</v>
      </c>
      <c r="B10044" s="123">
        <v>1823033.0</v>
      </c>
      <c r="C10044" s="687" t="str">
        <f>IFERROR(__xludf.DUMMYFUNCTION("GOOGLEFINANCE(A10044,""name"")"),"#N/A")</f>
        <v>#N/A</v>
      </c>
      <c r="D10044" s="125"/>
    </row>
    <row r="10045">
      <c r="A10045" s="122" t="s">
        <v>35793</v>
      </c>
      <c r="B10045" s="123">
        <v>1823033.0</v>
      </c>
      <c r="C10045" s="687" t="str">
        <f>IFERROR(__xludf.DUMMYFUNCTION("GOOGLEFINANCE(A10045,""name"")"),"#N/A")</f>
        <v>#N/A</v>
      </c>
      <c r="D10045" s="125"/>
    </row>
    <row r="10046">
      <c r="A10046" s="122" t="s">
        <v>35794</v>
      </c>
      <c r="B10046" s="123">
        <v>1843205.0</v>
      </c>
      <c r="C10046" s="687" t="str">
        <f>IFERROR(__xludf.DUMMYFUNCTION("GOOGLEFINANCE(A10046,""name"")"),"#N/A")</f>
        <v>#N/A</v>
      </c>
      <c r="D10046" s="125"/>
    </row>
    <row r="10047">
      <c r="A10047" s="122" t="s">
        <v>35795</v>
      </c>
      <c r="B10047" s="123">
        <v>1843205.0</v>
      </c>
      <c r="C10047" s="687" t="str">
        <f>IFERROR(__xludf.DUMMYFUNCTION("GOOGLEFINANCE(A10047,""name"")"),"#N/A")</f>
        <v>#N/A</v>
      </c>
      <c r="D10047" s="125"/>
    </row>
    <row r="10048">
      <c r="A10048" s="122" t="s">
        <v>35796</v>
      </c>
      <c r="B10048" s="123">
        <v>1843205.0</v>
      </c>
      <c r="C10048" s="687" t="str">
        <f>IFERROR(__xludf.DUMMYFUNCTION("GOOGLEFINANCE(A10048,""name"")"),"#N/A")</f>
        <v>#N/A</v>
      </c>
      <c r="D10048" s="125"/>
    </row>
    <row r="10049">
      <c r="A10049" s="122" t="s">
        <v>35797</v>
      </c>
      <c r="B10049" s="123">
        <v>1280784.0</v>
      </c>
      <c r="C10049" s="687" t="str">
        <f>IFERROR(__xludf.DUMMYFUNCTION("GOOGLEFINANCE(A10049,""name"")"),"Hercules Capital 6 25 Notes due 2033")</f>
        <v>Hercules Capital 6 25 Notes due 2033</v>
      </c>
      <c r="D10049" s="125"/>
    </row>
    <row r="10050">
      <c r="A10050" s="122" t="s">
        <v>35798</v>
      </c>
      <c r="B10050" s="123">
        <v>1591165.0</v>
      </c>
      <c r="C10050" s="687" t="str">
        <f>IFERROR(__xludf.DUMMYFUNCTION("GOOGLEFINANCE(A10050,""name"")"),"#N/A")</f>
        <v>#N/A</v>
      </c>
      <c r="D10050" s="125"/>
    </row>
    <row r="10051">
      <c r="A10051" s="122" t="s">
        <v>35799</v>
      </c>
      <c r="B10051" s="123">
        <v>1114446.0</v>
      </c>
      <c r="C10051" s="687" t="str">
        <f>IFERROR(__xludf.DUMMYFUNCTION("GOOGLEFINANCE(A10051,""name"")"),"ETRACS Monthly Pay 2xLeveraged US High Dividend Low Volatility ETN Series B Due 30 Sep 2044 Series B")</f>
        <v>ETRACS Monthly Pay 2xLeveraged US High Dividend Low Volatility ETN Series B Due 30 Sep 2044 Series B</v>
      </c>
      <c r="D10051" s="125"/>
    </row>
    <row r="10052">
      <c r="A10052" s="122" t="s">
        <v>35800</v>
      </c>
      <c r="B10052" s="123">
        <v>1804506.0</v>
      </c>
      <c r="C10052" s="687" t="str">
        <f>IFERROR(__xludf.DUMMYFUNCTION("GOOGLEFINANCE(A10052,""name"")"),"#N/A")</f>
        <v>#N/A</v>
      </c>
      <c r="D10052" s="125"/>
    </row>
    <row r="10053">
      <c r="A10053" s="122" t="s">
        <v>35801</v>
      </c>
      <c r="B10053" s="123">
        <v>46619.0</v>
      </c>
      <c r="C10053" s="687" t="str">
        <f>IFERROR(__xludf.DUMMYFUNCTION("GOOGLEFINANCE(A10053,""name"")"),"#N/A")</f>
        <v>#N/A</v>
      </c>
      <c r="D10053" s="125"/>
    </row>
    <row r="10054">
      <c r="A10054" s="122" t="s">
        <v>35802</v>
      </c>
      <c r="B10054" s="123">
        <v>1283140.0</v>
      </c>
      <c r="C10054" s="687" t="str">
        <f>IFERROR(__xludf.DUMMYFUNCTION("GOOGLEFINANCE(A10054,""name"")"),"#N/A")</f>
        <v>#N/A</v>
      </c>
      <c r="D10054" s="125"/>
    </row>
    <row r="10055">
      <c r="A10055" s="122" t="s">
        <v>35803</v>
      </c>
      <c r="B10055" s="123">
        <v>1842912.0</v>
      </c>
      <c r="C10055" s="687" t="str">
        <f>IFERROR(__xludf.DUMMYFUNCTION("GOOGLEFINANCE(A10055,""name"")"),"#N/A")</f>
        <v>#N/A</v>
      </c>
      <c r="D10055" s="125"/>
    </row>
    <row r="10056">
      <c r="A10056" s="122" t="s">
        <v>35804</v>
      </c>
      <c r="B10056" s="123">
        <v>1842912.0</v>
      </c>
      <c r="C10056" s="687" t="str">
        <f>IFERROR(__xludf.DUMMYFUNCTION("GOOGLEFINANCE(A10056,""name"")"),"#N/A")</f>
        <v>#N/A</v>
      </c>
      <c r="D10056" s="125"/>
    </row>
    <row r="10057">
      <c r="A10057" s="122" t="s">
        <v>35805</v>
      </c>
      <c r="B10057" s="123">
        <v>1842912.0</v>
      </c>
      <c r="C10057" s="687" t="str">
        <f>IFERROR(__xludf.DUMMYFUNCTION("GOOGLEFINANCE(A10057,""name"")"),"#N/A")</f>
        <v>#N/A</v>
      </c>
      <c r="D10057" s="125"/>
    </row>
    <row r="10058">
      <c r="A10058" s="122" t="s">
        <v>35806</v>
      </c>
      <c r="B10058" s="123">
        <v>1907702.0</v>
      </c>
      <c r="C10058" s="687" t="str">
        <f>IFERROR(__xludf.DUMMYFUNCTION("GOOGLEFINANCE(A10058,""name"")"),"#N/A")</f>
        <v>#N/A</v>
      </c>
      <c r="D10058" s="125"/>
    </row>
    <row r="10059">
      <c r="A10059" s="122" t="s">
        <v>35807</v>
      </c>
      <c r="B10059" s="123">
        <v>1690947.0</v>
      </c>
      <c r="C10059" s="687" t="str">
        <f>IFERROR(__xludf.DUMMYFUNCTION("GOOGLEFINANCE(A10059,""name"")"),"#N/A")</f>
        <v>#N/A</v>
      </c>
      <c r="D10059" s="125"/>
    </row>
    <row r="10060">
      <c r="A10060" s="122" t="s">
        <v>35808</v>
      </c>
      <c r="B10060" s="123">
        <v>1710680.0</v>
      </c>
      <c r="C10060" s="687" t="str">
        <f>IFERROR(__xludf.DUMMYFUNCTION("GOOGLEFINANCE(A10060,""name"")"),"#N/A")</f>
        <v>#N/A</v>
      </c>
      <c r="D10060" s="125"/>
    </row>
    <row r="10061">
      <c r="A10061" s="122" t="s">
        <v>35809</v>
      </c>
      <c r="B10061" s="123">
        <v>1665421.0</v>
      </c>
      <c r="C10061" s="687" t="str">
        <f>IFERROR(__xludf.DUMMYFUNCTION("GOOGLEFINANCE(A10061,""name"")"),"#N/A")</f>
        <v>#N/A</v>
      </c>
      <c r="D10061" s="125"/>
    </row>
    <row r="10062">
      <c r="A10062" s="122" t="s">
        <v>35810</v>
      </c>
      <c r="B10062" s="123">
        <v>1868110.0</v>
      </c>
      <c r="C10062" s="687" t="str">
        <f>IFERROR(__xludf.DUMMYFUNCTION("GOOGLEFINANCE(A10062,""name"")"),"#N/A")</f>
        <v>#N/A</v>
      </c>
      <c r="D10062" s="125"/>
    </row>
    <row r="10063">
      <c r="A10063" s="122" t="s">
        <v>35811</v>
      </c>
      <c r="B10063" s="123">
        <v>1023514.0</v>
      </c>
      <c r="C10063" s="687" t="str">
        <f>IFERROR(__xludf.DUMMYFUNCTION("GOOGLEFINANCE(A10063,""name"")"),"Harmony Gold Mining Company Ltd")</f>
        <v>Harmony Gold Mining Company Ltd</v>
      </c>
      <c r="D10063" s="125"/>
    </row>
    <row r="10064">
      <c r="A10064" s="122" t="s">
        <v>35812</v>
      </c>
      <c r="B10064" s="123">
        <v>862022.0</v>
      </c>
      <c r="C10064" s="687" t="str">
        <f>IFERROR(__xludf.DUMMYFUNCTION("GOOGLEFINANCE(A10064,""name"")"),"Hugoton Royalty Trust")</f>
        <v>Hugoton Royalty Trust</v>
      </c>
      <c r="D10064" s="125"/>
    </row>
    <row r="10065">
      <c r="A10065" s="122" t="s">
        <v>35813</v>
      </c>
      <c r="B10065" s="123">
        <v>1840776.0</v>
      </c>
      <c r="C10065" s="687" t="str">
        <f>IFERROR(__xludf.DUMMYFUNCTION("GOOGLEFINANCE(A10065,""name"")"),"#N/A")</f>
        <v>#N/A</v>
      </c>
      <c r="D10065" s="125"/>
    </row>
    <row r="10066">
      <c r="A10066" s="122" t="s">
        <v>35814</v>
      </c>
      <c r="B10066" s="123">
        <v>1822886.0</v>
      </c>
      <c r="C10066" s="687" t="str">
        <f>IFERROR(__xludf.DUMMYFUNCTION("GOOGLEFINANCE(A10066,""name"")"),"#N/A")</f>
        <v>#N/A</v>
      </c>
      <c r="D10066" s="125"/>
    </row>
    <row r="10067">
      <c r="A10067" s="122" t="s">
        <v>35815</v>
      </c>
      <c r="B10067" s="123">
        <v>1824185.0</v>
      </c>
      <c r="C10067" s="687" t="str">
        <f>IFERROR(__xludf.DUMMYFUNCTION("GOOGLEFINANCE(A10067,""name"")"),"#N/A")</f>
        <v>#N/A</v>
      </c>
      <c r="D10067" s="125"/>
    </row>
    <row r="10068">
      <c r="A10068" s="122" t="s">
        <v>35816</v>
      </c>
      <c r="B10068" s="123">
        <v>1824185.0</v>
      </c>
      <c r="C10068" s="687" t="str">
        <f>IFERROR(__xludf.DUMMYFUNCTION("GOOGLEFINANCE(A10068,""name"")"),"#N/A")</f>
        <v>#N/A</v>
      </c>
      <c r="D10068" s="125"/>
    </row>
    <row r="10069">
      <c r="A10069" s="122" t="s">
        <v>35817</v>
      </c>
      <c r="B10069" s="123">
        <v>874766.0</v>
      </c>
      <c r="C10069" s="687" t="str">
        <f>IFERROR(__xludf.DUMMYFUNCTION("GOOGLEFINANCE(A10069,""name"")"),"#N/A")</f>
        <v>#N/A</v>
      </c>
      <c r="D10069" s="125"/>
    </row>
    <row r="10070">
      <c r="A10070" s="122" t="s">
        <v>35818</v>
      </c>
      <c r="B10070" s="123">
        <v>1823776.0</v>
      </c>
      <c r="C10070" s="687" t="str">
        <f>IFERROR(__xludf.DUMMYFUNCTION("GOOGLEFINANCE(A10070,""name"")"),"#N/A")</f>
        <v>#N/A</v>
      </c>
      <c r="D10070" s="125"/>
    </row>
    <row r="10071">
      <c r="A10071" s="122" t="s">
        <v>35819</v>
      </c>
      <c r="B10071" s="123">
        <v>1823776.0</v>
      </c>
      <c r="C10071" s="687" t="str">
        <f>IFERROR(__xludf.DUMMYFUNCTION("GOOGLEFINANCE(A10071,""name"")"),"#N/A")</f>
        <v>#N/A</v>
      </c>
      <c r="D10071" s="125"/>
    </row>
    <row r="10072">
      <c r="A10072" s="122" t="s">
        <v>35820</v>
      </c>
      <c r="B10072" s="123">
        <v>1823034.0</v>
      </c>
      <c r="C10072" s="687" t="str">
        <f>IFERROR(__xludf.DUMMYFUNCTION("GOOGLEFINANCE(A10072,""name"")"),"#N/A")</f>
        <v>#N/A</v>
      </c>
      <c r="D10072" s="125"/>
    </row>
    <row r="10073">
      <c r="A10073" s="122" t="s">
        <v>35821</v>
      </c>
      <c r="B10073" s="123">
        <v>1823034.0</v>
      </c>
      <c r="C10073" s="687" t="str">
        <f>IFERROR(__xludf.DUMMYFUNCTION("GOOGLEFINANCE(A10073,""name"")"),"#N/A")</f>
        <v>#N/A</v>
      </c>
      <c r="D10073" s="125"/>
    </row>
    <row r="10074">
      <c r="A10074" s="122" t="s">
        <v>35822</v>
      </c>
      <c r="B10074" s="123">
        <v>1823034.0</v>
      </c>
      <c r="C10074" s="687" t="str">
        <f>IFERROR(__xludf.DUMMYFUNCTION("GOOGLEFINANCE(A10074,""name"")"),"#N/A")</f>
        <v>#N/A</v>
      </c>
      <c r="D10074" s="125"/>
    </row>
    <row r="10075">
      <c r="A10075" s="122" t="s">
        <v>35823</v>
      </c>
      <c r="B10075" s="123">
        <v>1828105.0</v>
      </c>
      <c r="C10075" s="687" t="str">
        <f>IFERROR(__xludf.DUMMYFUNCTION("GOOGLEFINANCE(A10075,""name"")"),"#N/A")</f>
        <v>#N/A</v>
      </c>
      <c r="D10075" s="125"/>
    </row>
    <row r="10076">
      <c r="A10076" s="122" t="s">
        <v>35824</v>
      </c>
      <c r="B10076" s="123">
        <v>719413.0</v>
      </c>
      <c r="C10076" s="687" t="str">
        <f>IFERROR(__xludf.DUMMYFUNCTION("GOOGLEFINANCE(A10076,""name"")"),"#N/A")</f>
        <v>#N/A</v>
      </c>
      <c r="D10076" s="125"/>
    </row>
    <row r="10077">
      <c r="A10077" s="122" t="s">
        <v>35825</v>
      </c>
      <c r="B10077" s="123">
        <v>1826814.0</v>
      </c>
      <c r="C10077" s="687" t="str">
        <f>IFERROR(__xludf.DUMMYFUNCTION("GOOGLEFINANCE(A10077,""name"")"),"#N/A")</f>
        <v>#N/A</v>
      </c>
      <c r="D10077" s="125"/>
    </row>
    <row r="10078">
      <c r="A10078" s="122" t="s">
        <v>35826</v>
      </c>
      <c r="B10078" s="123">
        <v>1826814.0</v>
      </c>
      <c r="C10078" s="687" t="str">
        <f>IFERROR(__xludf.DUMMYFUNCTION("GOOGLEFINANCE(A10078,""name"")"),"#N/A")</f>
        <v>#N/A</v>
      </c>
      <c r="D10078" s="125"/>
    </row>
    <row r="10079">
      <c r="A10079" s="122" t="s">
        <v>35827</v>
      </c>
      <c r="B10079" s="123">
        <v>1826814.0</v>
      </c>
      <c r="C10079" s="687" t="str">
        <f>IFERROR(__xludf.DUMMYFUNCTION("GOOGLEFINANCE(A10079,""name"")"),"#N/A")</f>
        <v>#N/A</v>
      </c>
      <c r="D10079" s="125"/>
    </row>
    <row r="10080">
      <c r="A10080" s="122" t="s">
        <v>35828</v>
      </c>
      <c r="B10080" s="123">
        <v>1788841.0</v>
      </c>
      <c r="C10080" s="687" t="str">
        <f>IFERROR(__xludf.DUMMYFUNCTION("GOOGLEFINANCE(A10080,""name"")"),"#N/A")</f>
        <v>#N/A</v>
      </c>
      <c r="D10080" s="125"/>
    </row>
    <row r="10081">
      <c r="A10081" s="122" t="s">
        <v>35829</v>
      </c>
      <c r="B10081" s="123">
        <v>1788841.0</v>
      </c>
      <c r="C10081" s="687" t="str">
        <f>IFERROR(__xludf.DUMMYFUNCTION("GOOGLEFINANCE(A10081,""name"")"),"#N/A")</f>
        <v>#N/A</v>
      </c>
      <c r="D10081" s="125"/>
    </row>
    <row r="10082">
      <c r="A10082" s="122" t="s">
        <v>35830</v>
      </c>
      <c r="B10082" s="123">
        <v>1840292.0</v>
      </c>
      <c r="C10082" s="687" t="str">
        <f>IFERROR(__xludf.DUMMYFUNCTION("GOOGLEFINANCE(A10082,""name"")"),"#N/A")</f>
        <v>#N/A</v>
      </c>
      <c r="D10082" s="125"/>
    </row>
    <row r="10083">
      <c r="A10083" s="122" t="s">
        <v>35831</v>
      </c>
      <c r="B10083" s="123">
        <v>1822928.0</v>
      </c>
      <c r="C10083" s="687" t="str">
        <f>IFERROR(__xludf.DUMMYFUNCTION("GOOGLEFINANCE(A10083,""name"")"),"#N/A")</f>
        <v>#N/A</v>
      </c>
      <c r="D10083" s="125"/>
    </row>
    <row r="10084">
      <c r="A10084" s="122" t="s">
        <v>35832</v>
      </c>
      <c r="B10084" s="123">
        <v>1944977.0</v>
      </c>
      <c r="C10084" s="687" t="str">
        <f>IFERROR(__xludf.DUMMYFUNCTION("GOOGLEFINANCE(A10084,""name"")"),"#N/A")</f>
        <v>#N/A</v>
      </c>
      <c r="D10084" s="125"/>
    </row>
    <row r="10085">
      <c r="A10085" s="122" t="s">
        <v>35833</v>
      </c>
      <c r="B10085" s="123">
        <v>1422768.0</v>
      </c>
      <c r="C10085" s="687" t="str">
        <f>IFERROR(__xludf.DUMMYFUNCTION("GOOGLEFINANCE(A10085,""name"")"),"#N/A")</f>
        <v>#N/A</v>
      </c>
      <c r="D10085" s="125"/>
    </row>
    <row r="10086">
      <c r="A10086" s="122" t="s">
        <v>35834</v>
      </c>
      <c r="B10086" s="123">
        <v>1850529.0</v>
      </c>
      <c r="C10086" s="687" t="str">
        <f>IFERROR(__xludf.DUMMYFUNCTION("GOOGLEFINANCE(A10086,""name"")"),"#N/A")</f>
        <v>#N/A</v>
      </c>
      <c r="D10086" s="125"/>
    </row>
    <row r="10087">
      <c r="A10087" s="122" t="s">
        <v>35835</v>
      </c>
      <c r="B10087" s="123">
        <v>1850529.0</v>
      </c>
      <c r="C10087" s="687" t="str">
        <f>IFERROR(__xludf.DUMMYFUNCTION("GOOGLEFINANCE(A10087,""name"")"),"#N/A")</f>
        <v>#N/A</v>
      </c>
      <c r="D10087" s="125"/>
    </row>
    <row r="10088">
      <c r="A10088" s="122" t="s">
        <v>35836</v>
      </c>
      <c r="B10088" s="123">
        <v>1850529.0</v>
      </c>
      <c r="C10088" s="687" t="str">
        <f>IFERROR(__xludf.DUMMYFUNCTION("GOOGLEFINANCE(A10088,""name"")"),"#N/A")</f>
        <v>#N/A</v>
      </c>
      <c r="D10088" s="125"/>
    </row>
    <row r="10089">
      <c r="A10089" s="122" t="s">
        <v>35837</v>
      </c>
      <c r="B10089" s="123">
        <v>1894370.0</v>
      </c>
      <c r="C10089" s="687" t="str">
        <f>IFERROR(__xludf.DUMMYFUNCTION("GOOGLEFINANCE(A10089,""name"")"),"#N/A")</f>
        <v>#N/A</v>
      </c>
      <c r="D10089" s="125"/>
    </row>
    <row r="10090">
      <c r="A10090" s="122" t="s">
        <v>35838</v>
      </c>
      <c r="B10090" s="123">
        <v>1894370.0</v>
      </c>
      <c r="C10090" s="687" t="str">
        <f>IFERROR(__xludf.DUMMYFUNCTION("GOOGLEFINANCE(A10090,""name"")"),"#N/A")</f>
        <v>#N/A</v>
      </c>
      <c r="D10090" s="125"/>
    </row>
    <row r="10091">
      <c r="A10091" s="122" t="s">
        <v>35839</v>
      </c>
      <c r="B10091" s="123">
        <v>1894370.0</v>
      </c>
      <c r="C10091" s="687" t="str">
        <f>IFERROR(__xludf.DUMMYFUNCTION("GOOGLEFINANCE(A10091,""name"")"),"#N/A")</f>
        <v>#N/A</v>
      </c>
      <c r="D10091" s="125"/>
    </row>
    <row r="10092">
      <c r="A10092" s="122" t="s">
        <v>35840</v>
      </c>
      <c r="B10092" s="123">
        <v>1894370.0</v>
      </c>
      <c r="C10092" s="687" t="str">
        <f>IFERROR(__xludf.DUMMYFUNCTION("GOOGLEFINANCE(A10092,""name"")"),"#N/A")</f>
        <v>#N/A</v>
      </c>
      <c r="D10092" s="125"/>
    </row>
    <row r="10093">
      <c r="A10093" s="122" t="s">
        <v>35841</v>
      </c>
      <c r="B10093" s="123">
        <v>1829042.0</v>
      </c>
      <c r="C10093" s="687" t="str">
        <f>IFERROR(__xludf.DUMMYFUNCTION("GOOGLEFINANCE(A10093,""name"")"),"#N/A")</f>
        <v>#N/A</v>
      </c>
      <c r="D10093" s="125"/>
    </row>
    <row r="10094">
      <c r="A10094" s="122" t="s">
        <v>35842</v>
      </c>
      <c r="B10094" s="123">
        <v>1829042.0</v>
      </c>
      <c r="C10094" s="687" t="str">
        <f>IFERROR(__xludf.DUMMYFUNCTION("GOOGLEFINANCE(A10094,""name"")"),"#N/A")</f>
        <v>#N/A</v>
      </c>
      <c r="D10094" s="125"/>
    </row>
    <row r="10095">
      <c r="A10095" s="122" t="s">
        <v>35843</v>
      </c>
      <c r="B10095" s="123">
        <v>1829042.0</v>
      </c>
      <c r="C10095" s="687" t="str">
        <f>IFERROR(__xludf.DUMMYFUNCTION("GOOGLEFINANCE(A10095,""name"")"),"#N/A")</f>
        <v>#N/A</v>
      </c>
      <c r="D10095" s="125"/>
    </row>
    <row r="10096">
      <c r="A10096" s="122" t="s">
        <v>35844</v>
      </c>
      <c r="B10096" s="123">
        <v>1409624.0</v>
      </c>
      <c r="C10096" s="687" t="str">
        <f>IFERROR(__xludf.DUMMYFUNCTION("GOOGLEFINANCE(A10096,""name"")"),"Himalaya Technologies Inc")</f>
        <v>Himalaya Technologies Inc</v>
      </c>
      <c r="D10096" s="125"/>
    </row>
    <row r="10097">
      <c r="A10097" s="122" t="s">
        <v>35845</v>
      </c>
      <c r="B10097" s="123">
        <v>1603016.0</v>
      </c>
      <c r="C10097" s="687" t="str">
        <f>IFERROR(__xludf.DUMMYFUNCTION("GOOGLEFINANCE(A10097,""name"")"),"#N/A")</f>
        <v>#N/A</v>
      </c>
      <c r="D10097" s="125"/>
    </row>
    <row r="10098">
      <c r="A10098" s="122" t="s">
        <v>35846</v>
      </c>
      <c r="B10098" s="123">
        <v>1603016.0</v>
      </c>
      <c r="C10098" s="687" t="str">
        <f>IFERROR(__xludf.DUMMYFUNCTION("GOOGLEFINANCE(A10098,""name"")"),"#N/A")</f>
        <v>#N/A</v>
      </c>
      <c r="D10098" s="125"/>
    </row>
    <row r="10099">
      <c r="A10099" s="122" t="s">
        <v>35847</v>
      </c>
      <c r="B10099" s="123">
        <v>1830197.0</v>
      </c>
      <c r="C10099" s="687" t="str">
        <f>IFERROR(__xludf.DUMMYFUNCTION("GOOGLEFINANCE(A10099,""name"")"),"#N/A")</f>
        <v>#N/A</v>
      </c>
      <c r="D10099" s="125"/>
    </row>
    <row r="10100">
      <c r="A10100" s="122" t="s">
        <v>35848</v>
      </c>
      <c r="B10100" s="123">
        <v>1567345.0</v>
      </c>
      <c r="C10100" s="687" t="str">
        <f>IFERROR(__xludf.DUMMYFUNCTION("GOOGLEFINANCE(A10100,""name"")"),"#N/A")</f>
        <v>#N/A</v>
      </c>
      <c r="D10100" s="125"/>
    </row>
    <row r="10101">
      <c r="A10101" s="122" t="s">
        <v>35849</v>
      </c>
      <c r="B10101" s="123">
        <v>1336364.0</v>
      </c>
      <c r="C10101" s="687" t="str">
        <f>IFERROR(__xludf.DUMMYFUNCTION("GOOGLEFINANCE(A10101,""name"")"),"#N/A")</f>
        <v>#N/A</v>
      </c>
      <c r="D10101" s="125"/>
    </row>
    <row r="10102">
      <c r="A10102" s="122" t="s">
        <v>35850</v>
      </c>
      <c r="B10102" s="123">
        <v>722723.0</v>
      </c>
      <c r="C10102" s="687" t="str">
        <f>IFERROR(__xludf.DUMMYFUNCTION("GOOGLEFINANCE(A10102,""name"")"),"#N/A")</f>
        <v>#N/A</v>
      </c>
      <c r="D10102" s="125"/>
    </row>
    <row r="10103">
      <c r="A10103" s="122" t="s">
        <v>35851</v>
      </c>
      <c r="B10103" s="123">
        <v>929058.0</v>
      </c>
      <c r="C10103" s="687" t="str">
        <f>IFERROR(__xludf.DUMMYFUNCTION("GOOGLEFINANCE(A10103,""name"")"),"#N/A")</f>
        <v>#N/A</v>
      </c>
      <c r="D10103" s="125"/>
    </row>
    <row r="10104">
      <c r="A10104" s="122" t="s">
        <v>35852</v>
      </c>
      <c r="B10104" s="123">
        <v>1842556.0</v>
      </c>
      <c r="C10104" s="687" t="str">
        <f>IFERROR(__xludf.DUMMYFUNCTION("GOOGLEFINANCE(A10104,""name"")"),"#N/A")</f>
        <v>#N/A</v>
      </c>
      <c r="D10104" s="125"/>
    </row>
    <row r="10105">
      <c r="A10105" s="122" t="s">
        <v>35853</v>
      </c>
      <c r="B10105" s="123">
        <v>1357450.0</v>
      </c>
      <c r="C10105" s="687" t="str">
        <f>IFERROR(__xludf.DUMMYFUNCTION("GOOGLEFINANCE(A10105,""name"")"),"#N/A")</f>
        <v>#N/A</v>
      </c>
      <c r="D10105" s="125"/>
    </row>
    <row r="10106">
      <c r="A10106" s="122" t="s">
        <v>35854</v>
      </c>
      <c r="B10106" s="123">
        <v>859737.0</v>
      </c>
      <c r="C10106" s="687" t="str">
        <f>IFERROR(__xludf.DUMMYFUNCTION("GOOGLEFINANCE(A10106,""name"")"),"Hologic Inc")</f>
        <v>Hologic Inc</v>
      </c>
      <c r="D10106" s="125"/>
    </row>
    <row r="10107">
      <c r="A10107" s="122" t="s">
        <v>35855</v>
      </c>
      <c r="B10107" s="123">
        <v>1331520.0</v>
      </c>
      <c r="C10107" s="687" t="str">
        <f>IFERROR(__xludf.DUMMYFUNCTION("GOOGLEFINANCE(A10107,""name"")"),"Home Bancshares Inc")</f>
        <v>Home Bancshares Inc</v>
      </c>
      <c r="D10107" s="125"/>
    </row>
    <row r="10108">
      <c r="A10108" s="122" t="s">
        <v>35856</v>
      </c>
      <c r="B10108" s="123">
        <v>1760542.0</v>
      </c>
      <c r="C10108" s="687" t="str">
        <f>IFERROR(__xludf.DUMMYFUNCTION("GOOGLEFINANCE(A10108,""name"")"),"Hookipa Pharma Inc")</f>
        <v>Hookipa Pharma Inc</v>
      </c>
      <c r="D10108" s="125"/>
    </row>
    <row r="10109">
      <c r="A10109" s="122" t="s">
        <v>35857</v>
      </c>
      <c r="B10109" s="123">
        <v>1128361.0</v>
      </c>
      <c r="C10109" s="687" t="str">
        <f>IFERROR(__xludf.DUMMYFUNCTION("GOOGLEFINANCE(A10109,""name"")"),"Hope Bancorp Inc")</f>
        <v>Hope Bancorp Inc</v>
      </c>
      <c r="D10109" s="125"/>
    </row>
    <row r="10110">
      <c r="A10110" s="122" t="s">
        <v>35858</v>
      </c>
      <c r="B10110" s="123">
        <v>1865533.0</v>
      </c>
      <c r="C10110" s="687" t="str">
        <f>IFERROR(__xludf.DUMMYFUNCTION("GOOGLEFINANCE(A10110,""name"")"),"#N/A")</f>
        <v>#N/A</v>
      </c>
      <c r="D10110" s="125"/>
    </row>
    <row r="10111">
      <c r="A10111" s="122" t="s">
        <v>35859</v>
      </c>
      <c r="B10111" s="123">
        <v>1865533.0</v>
      </c>
      <c r="C10111" s="687" t="str">
        <f>IFERROR(__xludf.DUMMYFUNCTION("GOOGLEFINANCE(A10111,""name"")"),"#N/A")</f>
        <v>#N/A</v>
      </c>
      <c r="D10111" s="125"/>
    </row>
    <row r="10112">
      <c r="A10112" s="122" t="s">
        <v>35860</v>
      </c>
      <c r="B10112" s="123">
        <v>1615647.0</v>
      </c>
      <c r="C10112" s="687" t="str">
        <f>IFERROR(__xludf.DUMMYFUNCTION("GOOGLEFINANCE(A10112,""name"")"),"#N/A")</f>
        <v>#N/A</v>
      </c>
      <c r="D10112" s="125"/>
    </row>
    <row r="10113">
      <c r="A10113" s="122" t="s">
        <v>35861</v>
      </c>
      <c r="B10113" s="123">
        <v>1398987.0</v>
      </c>
      <c r="C10113" s="687" t="str">
        <f>IFERROR(__xludf.DUMMYFUNCTION("GOOGLEFINANCE(A10113,""name"")"),"Anywhere Real Estate Inc")</f>
        <v>Anywhere Real Estate Inc</v>
      </c>
      <c r="D10113" s="125"/>
    </row>
    <row r="10114">
      <c r="A10114" s="122" t="s">
        <v>35862</v>
      </c>
      <c r="B10114" s="123">
        <v>1892480.0</v>
      </c>
      <c r="C10114" s="687" t="str">
        <f>IFERROR(__xludf.DUMMYFUNCTION("GOOGLEFINANCE(A10114,""name"")"),"Hempacco Co Inc")</f>
        <v>Hempacco Co Inc</v>
      </c>
      <c r="D10114" s="125"/>
    </row>
    <row r="10115">
      <c r="A10115" s="122" t="s">
        <v>35863</v>
      </c>
      <c r="B10115" s="123">
        <v>1792849.0</v>
      </c>
      <c r="C10115" s="687" t="str">
        <f>IFERROR(__xludf.DUMMYFUNCTION("GOOGLEFINANCE(A10115,""name"")"),"Highpeak Energy Inc")</f>
        <v>Highpeak Energy Inc</v>
      </c>
      <c r="D10115" s="125"/>
    </row>
    <row r="10116">
      <c r="A10116" s="122" t="s">
        <v>35864</v>
      </c>
      <c r="B10116" s="123">
        <v>1863181.0</v>
      </c>
      <c r="C10116" s="687" t="str">
        <f>IFERROR(__xludf.DUMMYFUNCTION("GOOGLEFINANCE(A10116,""name"")"),"#N/A")</f>
        <v>#N/A</v>
      </c>
      <c r="D10116" s="125"/>
    </row>
    <row r="10117">
      <c r="A10117" s="122" t="s">
        <v>35865</v>
      </c>
      <c r="B10117" s="123">
        <v>1863181.0</v>
      </c>
      <c r="C10117" s="687" t="str">
        <f>IFERROR(__xludf.DUMMYFUNCTION("GOOGLEFINANCE(A10117,""name"")"),"#N/A")</f>
        <v>#N/A</v>
      </c>
      <c r="D10117" s="125"/>
    </row>
    <row r="10118">
      <c r="A10118" s="122" t="s">
        <v>35866</v>
      </c>
      <c r="B10118" s="123">
        <v>1863181.0</v>
      </c>
      <c r="C10118" s="687" t="str">
        <f>IFERROR(__xludf.DUMMYFUNCTION("GOOGLEFINANCE(A10118,""name"")"),"#N/A")</f>
        <v>#N/A</v>
      </c>
      <c r="D10118" s="125"/>
    </row>
    <row r="10119">
      <c r="A10119" s="122" t="s">
        <v>35867</v>
      </c>
      <c r="B10119" s="123">
        <v>1482512.0</v>
      </c>
      <c r="C10119" s="687" t="str">
        <f>IFERROR(__xludf.DUMMYFUNCTION("GOOGLEFINANCE(A10119,""name"")"),"#N/A")</f>
        <v>#N/A</v>
      </c>
      <c r="D10119" s="125"/>
    </row>
    <row r="10120">
      <c r="A10120" s="122" t="s">
        <v>35868</v>
      </c>
      <c r="B10120" s="123">
        <v>1809353.0</v>
      </c>
      <c r="C10120" s="687" t="str">
        <f>IFERROR(__xludf.DUMMYFUNCTION("GOOGLEFINANCE(A10120,""name"")"),"#N/A")</f>
        <v>#N/A</v>
      </c>
      <c r="D10120" s="125"/>
    </row>
    <row r="10121">
      <c r="A10121" s="122" t="s">
        <v>35869</v>
      </c>
      <c r="B10121" s="123">
        <v>1809353.0</v>
      </c>
      <c r="C10121" s="687" t="str">
        <f>IFERROR(__xludf.DUMMYFUNCTION("GOOGLEFINANCE(A10121,""name"")"),"#N/A")</f>
        <v>#N/A</v>
      </c>
      <c r="D10121" s="125"/>
    </row>
    <row r="10122">
      <c r="A10122" s="122" t="s">
        <v>35870</v>
      </c>
      <c r="B10122" s="123">
        <v>1816978.0</v>
      </c>
      <c r="C10122" s="687" t="str">
        <f>IFERROR(__xludf.DUMMYFUNCTION("GOOGLEFINANCE(A10122,""name"")"),"#N/A")</f>
        <v>#N/A</v>
      </c>
      <c r="D10122" s="125"/>
    </row>
    <row r="10123">
      <c r="A10123" s="122" t="s">
        <v>35871</v>
      </c>
      <c r="B10123" s="123">
        <v>1867684.0</v>
      </c>
      <c r="C10123" s="687" t="str">
        <f>IFERROR(__xludf.DUMMYFUNCTION("GOOGLEFINANCE(A10123,""name"")"),"#N/A")</f>
        <v>#N/A</v>
      </c>
      <c r="D10123" s="125"/>
    </row>
    <row r="10124">
      <c r="A10124" s="122" t="s">
        <v>35872</v>
      </c>
      <c r="B10124" s="123">
        <v>1814114.0</v>
      </c>
      <c r="C10124" s="687" t="str">
        <f>IFERROR(__xludf.DUMMYFUNCTION("GOOGLEFINANCE(A10124,""name"")"),"#N/A")</f>
        <v>#N/A</v>
      </c>
      <c r="D10124" s="125"/>
    </row>
    <row r="10125">
      <c r="A10125" s="122" t="s">
        <v>35873</v>
      </c>
      <c r="B10125" s="123">
        <v>45876.0</v>
      </c>
      <c r="C10125" s="687" t="str">
        <f>IFERROR(__xludf.DUMMYFUNCTION("GOOGLEFINANCE(A10125,""name"")"),"#N/A")</f>
        <v>#N/A</v>
      </c>
      <c r="D10125" s="125"/>
    </row>
    <row r="10126">
      <c r="A10126" s="122" t="s">
        <v>35874</v>
      </c>
      <c r="B10126" s="123">
        <v>1038133.0</v>
      </c>
      <c r="C10126" s="687" t="str">
        <f>IFERROR(__xludf.DUMMYFUNCTION("GOOGLEFINANCE(A10126,""name"")"),"#N/A")</f>
        <v>#N/A</v>
      </c>
      <c r="D10126" s="125"/>
    </row>
    <row r="10127">
      <c r="A10127" s="122" t="s">
        <v>35875</v>
      </c>
      <c r="B10127" s="123">
        <v>1063344.0</v>
      </c>
      <c r="C10127" s="687" t="str">
        <f>IFERROR(__xludf.DUMMYFUNCTION("GOOGLEFINANCE(A10127,""name"")"),"#N/A")</f>
        <v>#N/A</v>
      </c>
      <c r="D10127" s="125"/>
    </row>
    <row r="10128">
      <c r="A10128" s="122" t="s">
        <v>35876</v>
      </c>
      <c r="B10128" s="123">
        <v>1063344.0</v>
      </c>
      <c r="C10128" s="687" t="str">
        <f>IFERROR(__xludf.DUMMYFUNCTION("GOOGLEFINANCE(A10128,""name"")"),"#N/A")</f>
        <v>#N/A</v>
      </c>
      <c r="D10128" s="125"/>
    </row>
    <row r="10129">
      <c r="A10129" s="122" t="s">
        <v>35877</v>
      </c>
      <c r="B10129" s="123">
        <v>1063344.0</v>
      </c>
      <c r="C10129" s="687" t="str">
        <f>IFERROR(__xludf.DUMMYFUNCTION("GOOGLEFINANCE(A10129,""name"")"),"#N/A")</f>
        <v>#N/A</v>
      </c>
      <c r="D10129" s="125"/>
    </row>
    <row r="10130">
      <c r="A10130" s="122" t="s">
        <v>35878</v>
      </c>
      <c r="B10130" s="123">
        <v>1063344.0</v>
      </c>
      <c r="C10130" s="687" t="str">
        <f>IFERROR(__xludf.DUMMYFUNCTION("GOOGLEFINANCE(A10130,""name"")"),"#N/A")</f>
        <v>#N/A</v>
      </c>
      <c r="D10130" s="125"/>
    </row>
    <row r="10131">
      <c r="A10131" s="122" t="s">
        <v>35879</v>
      </c>
      <c r="B10131" s="123">
        <v>1850038.0</v>
      </c>
      <c r="C10131" s="687" t="str">
        <f>IFERROR(__xludf.DUMMYFUNCTION("GOOGLEFINANCE(A10131,""name"")"),"#N/A")</f>
        <v>#N/A</v>
      </c>
      <c r="D10131" s="125"/>
    </row>
    <row r="10132">
      <c r="A10132" s="122" t="s">
        <v>35880</v>
      </c>
      <c r="B10132" s="123">
        <v>1850038.0</v>
      </c>
      <c r="C10132" s="687" t="str">
        <f>IFERROR(__xludf.DUMMYFUNCTION("GOOGLEFINANCE(A10132,""name"")"),"#N/A")</f>
        <v>#N/A</v>
      </c>
      <c r="D10132" s="125"/>
    </row>
    <row r="10133">
      <c r="A10133" s="122" t="s">
        <v>35881</v>
      </c>
      <c r="B10133" s="123">
        <v>1850038.0</v>
      </c>
      <c r="C10133" s="687" t="str">
        <f>IFERROR(__xludf.DUMMYFUNCTION("GOOGLEFINANCE(A10133,""name"")"),"#N/A")</f>
        <v>#N/A</v>
      </c>
      <c r="D10133" s="125"/>
    </row>
    <row r="10134">
      <c r="A10134" s="122" t="s">
        <v>35882</v>
      </c>
      <c r="B10134" s="123">
        <v>1169987.0</v>
      </c>
      <c r="C10134" s="687" t="str">
        <f>IFERROR(__xludf.DUMMYFUNCTION("GOOGLEFINANCE(A10134,""name"")"),"#N/A")</f>
        <v>#N/A</v>
      </c>
      <c r="D10134" s="125"/>
    </row>
    <row r="10135">
      <c r="A10135" s="122" t="s">
        <v>35883</v>
      </c>
      <c r="B10135" s="123">
        <v>1714420.0</v>
      </c>
      <c r="C10135" s="687" t="str">
        <f>IFERROR(__xludf.DUMMYFUNCTION("GOOGLEFINANCE(A10135,""name"")"),"#N/A")</f>
        <v>#N/A</v>
      </c>
      <c r="D10135" s="125"/>
    </row>
    <row r="10136">
      <c r="A10136" s="122" t="s">
        <v>35884</v>
      </c>
      <c r="B10136" s="123">
        <v>1828817.0</v>
      </c>
      <c r="C10136" s="687" t="str">
        <f>IFERROR(__xludf.DUMMYFUNCTION("GOOGLEFINANCE(A10136,""name"")"),"#N/A")</f>
        <v>#N/A</v>
      </c>
      <c r="D10136" s="125"/>
    </row>
    <row r="10137">
      <c r="A10137" s="122" t="s">
        <v>35885</v>
      </c>
      <c r="B10137" s="123">
        <v>1828817.0</v>
      </c>
      <c r="C10137" s="687" t="str">
        <f>IFERROR(__xludf.DUMMYFUNCTION("GOOGLEFINANCE(A10137,""name"")"),"#N/A")</f>
        <v>#N/A</v>
      </c>
      <c r="D10137" s="125"/>
    </row>
    <row r="10138">
      <c r="A10138" s="122" t="s">
        <v>35886</v>
      </c>
      <c r="B10138" s="123">
        <v>1828817.0</v>
      </c>
      <c r="C10138" s="687" t="str">
        <f>IFERROR(__xludf.DUMMYFUNCTION("GOOGLEFINANCE(A10138,""name"")"),"#N/A")</f>
        <v>#N/A</v>
      </c>
      <c r="D10138" s="125"/>
    </row>
    <row r="10139">
      <c r="A10139" s="122" t="s">
        <v>35887</v>
      </c>
      <c r="B10139" s="123">
        <v>1812673.0</v>
      </c>
      <c r="C10139" s="687" t="str">
        <f>IFERROR(__xludf.DUMMYFUNCTION("GOOGLEFINANCE(A10139,""name"")"),"#N/A")</f>
        <v>#N/A</v>
      </c>
      <c r="D10139" s="125"/>
    </row>
    <row r="10140">
      <c r="A10140" s="122" t="s">
        <v>35888</v>
      </c>
      <c r="B10140" s="123">
        <v>1836894.0</v>
      </c>
      <c r="C10140" s="687" t="str">
        <f>IFERROR(__xludf.DUMMYFUNCTION("GOOGLEFINANCE(A10140,""name"")"),"#N/A")</f>
        <v>#N/A</v>
      </c>
      <c r="D10140" s="125"/>
    </row>
    <row r="10141">
      <c r="A10141" s="122" t="s">
        <v>35889</v>
      </c>
      <c r="B10141" s="123">
        <v>1836894.0</v>
      </c>
      <c r="C10141" s="687" t="str">
        <f>IFERROR(__xludf.DUMMYFUNCTION("GOOGLEFINANCE(A10141,""name"")"),"#N/A")</f>
        <v>#N/A</v>
      </c>
      <c r="D10141" s="125"/>
    </row>
    <row r="10142">
      <c r="A10142" s="122" t="s">
        <v>35890</v>
      </c>
      <c r="B10142" s="123">
        <v>1836894.0</v>
      </c>
      <c r="C10142" s="687" t="str">
        <f>IFERROR(__xludf.DUMMYFUNCTION("GOOGLEFINANCE(A10142,""name"")"),"#N/A")</f>
        <v>#N/A</v>
      </c>
      <c r="D10142" s="125"/>
    </row>
    <row r="10143">
      <c r="A10143" s="122" t="s">
        <v>35891</v>
      </c>
      <c r="B10143" s="123">
        <v>1818382.0</v>
      </c>
      <c r="C10143" s="687" t="str">
        <f>IFERROR(__xludf.DUMMYFUNCTION("GOOGLEFINANCE(A10143,""name"")"),"Humacyte")</f>
        <v>Humacyte</v>
      </c>
      <c r="D10143" s="125"/>
    </row>
    <row r="10144">
      <c r="A10144" s="122" t="s">
        <v>35892</v>
      </c>
      <c r="B10144" s="123">
        <v>1728190.0</v>
      </c>
      <c r="C10144" s="687" t="str">
        <f>IFERROR(__xludf.DUMMYFUNCTION("GOOGLEFINANCE(A10144,""name"")"),"HUYA Inc - ADR")</f>
        <v>HUYA Inc - ADR</v>
      </c>
      <c r="D10144" s="125"/>
    </row>
    <row r="10145">
      <c r="A10145" s="122" t="s">
        <v>35893</v>
      </c>
      <c r="B10145" s="123">
        <v>1594555.0</v>
      </c>
      <c r="C10145" s="687" t="str">
        <f>IFERROR(__xludf.DUMMYFUNCTION("GOOGLEFINANCE(A10145,""name"")"),"#N/A")</f>
        <v>#N/A</v>
      </c>
      <c r="D10145" s="125"/>
    </row>
    <row r="10146">
      <c r="A10146" s="122" t="s">
        <v>35894</v>
      </c>
      <c r="B10146" s="123">
        <v>216085.0</v>
      </c>
      <c r="C10146" s="687" t="str">
        <f>IFERROR(__xludf.DUMMYFUNCTION("GOOGLEFINANCE(A10146,""name"")"),"#N/A")</f>
        <v>#N/A</v>
      </c>
      <c r="D10146" s="125"/>
    </row>
    <row r="10147">
      <c r="A10147" s="122" t="s">
        <v>35895</v>
      </c>
      <c r="B10147" s="123">
        <v>1845013.0</v>
      </c>
      <c r="C10147" s="687" t="str">
        <f>IFERROR(__xludf.DUMMYFUNCTION("GOOGLEFINANCE(A10147,""name"")"),"#N/A")</f>
        <v>#N/A</v>
      </c>
      <c r="D10147" s="125"/>
    </row>
    <row r="10148">
      <c r="A10148" s="122" t="s">
        <v>35896</v>
      </c>
      <c r="B10148" s="123">
        <v>1845013.0</v>
      </c>
      <c r="C10148" s="687" t="str">
        <f>IFERROR(__xludf.DUMMYFUNCTION("GOOGLEFINANCE(A10148,""name"")"),"#N/A")</f>
        <v>#N/A</v>
      </c>
      <c r="D10148" s="125"/>
    </row>
    <row r="10149">
      <c r="A10149" s="122" t="s">
        <v>35897</v>
      </c>
      <c r="B10149" s="123">
        <v>1623590.0</v>
      </c>
      <c r="C10149" s="687" t="str">
        <f>IFERROR(__xludf.DUMMYFUNCTION("GOOGLEFINANCE(A10149,""name"")"),"#N/A")</f>
        <v>#N/A</v>
      </c>
      <c r="D10149" s="125"/>
    </row>
    <row r="10150">
      <c r="A10150" s="122" t="s">
        <v>35898</v>
      </c>
      <c r="B10150" s="123">
        <v>1841144.0</v>
      </c>
      <c r="C10150" s="687" t="str">
        <f>IFERROR(__xludf.DUMMYFUNCTION("GOOGLEFINANCE(A10150,""name"")"),"#N/A")</f>
        <v>#N/A</v>
      </c>
      <c r="D10150" s="125"/>
    </row>
    <row r="10151">
      <c r="A10151" s="122" t="s">
        <v>35899</v>
      </c>
      <c r="B10151" s="123">
        <v>1841144.0</v>
      </c>
      <c r="C10151" s="687" t="str">
        <f>IFERROR(__xludf.DUMMYFUNCTION("GOOGLEFINANCE(A10151,""name"")"),"#N/A")</f>
        <v>#N/A</v>
      </c>
      <c r="D10151" s="125"/>
    </row>
    <row r="10152">
      <c r="A10152" s="122" t="s">
        <v>35900</v>
      </c>
      <c r="B10152" s="123">
        <v>4281.0</v>
      </c>
      <c r="C10152" s="687" t="str">
        <f>IFERROR(__xludf.DUMMYFUNCTION("GOOGLEFINANCE(A10152,""name"")"),"#N/A")</f>
        <v>#N/A</v>
      </c>
      <c r="D10152" s="125"/>
    </row>
    <row r="10153">
      <c r="A10153" s="122" t="s">
        <v>35901</v>
      </c>
      <c r="B10153" s="123">
        <v>1086303.0</v>
      </c>
      <c r="C10153" s="687" t="str">
        <f>IFERROR(__xludf.DUMMYFUNCTION("GOOGLEFINANCE(A10153,""name"")"),"#N/A")</f>
        <v>#N/A</v>
      </c>
      <c r="D10153" s="125"/>
    </row>
    <row r="10154">
      <c r="A10154" s="122" t="s">
        <v>35902</v>
      </c>
      <c r="B10154" s="123">
        <v>1630176.0</v>
      </c>
      <c r="C10154" s="687" t="str">
        <f>IFERROR(__xludf.DUMMYFUNCTION("GOOGLEFINANCE(A10154,""name"")"),"Healthy Extracts Inc")</f>
        <v>Healthy Extracts Inc</v>
      </c>
      <c r="D10154" s="125"/>
    </row>
    <row r="10155">
      <c r="A10155" s="122" t="s">
        <v>35903</v>
      </c>
      <c r="B10155" s="123">
        <v>1695295.0</v>
      </c>
      <c r="C10155" s="687" t="str">
        <f>IFERROR(__xludf.DUMMYFUNCTION("GOOGLEFINANCE(A10155,""name"")"),"Hydrofarm Holdings Group Inc")</f>
        <v>Hydrofarm Holdings Group Inc</v>
      </c>
      <c r="D10155" s="125"/>
    </row>
    <row r="10156">
      <c r="A10156" s="122" t="s">
        <v>35904</v>
      </c>
      <c r="B10156" s="123">
        <v>1849812.0</v>
      </c>
      <c r="C10156" s="687" t="str">
        <f>IFERROR(__xludf.DUMMYFUNCTION("GOOGLEFINANCE(A10156,""name"")"),"#N/A")</f>
        <v>#N/A</v>
      </c>
      <c r="D10156" s="125"/>
    </row>
    <row r="10157">
      <c r="A10157" s="122" t="s">
        <v>35905</v>
      </c>
      <c r="B10157" s="123">
        <v>1759631.0</v>
      </c>
      <c r="C10157" s="687" t="str">
        <f>IFERROR(__xludf.DUMMYFUNCTION("GOOGLEFINANCE(A10157,""name"")"),"Hyliion Holdings Corp")</f>
        <v>Hyliion Holdings Corp</v>
      </c>
      <c r="D10157" s="125"/>
    </row>
    <row r="10158">
      <c r="A10158" s="122" t="s">
        <v>35906</v>
      </c>
      <c r="B10158" s="123">
        <v>1718405.0</v>
      </c>
      <c r="C10158" s="687" t="str">
        <f>IFERROR(__xludf.DUMMYFUNCTION("GOOGLEFINANCE(A10158,""name"")"),"#N/A")</f>
        <v>#N/A</v>
      </c>
      <c r="D10158" s="125"/>
    </row>
    <row r="10159">
      <c r="A10159" s="122" t="s">
        <v>35907</v>
      </c>
      <c r="B10159" s="123">
        <v>1923673.0</v>
      </c>
      <c r="C10159" s="687" t="str">
        <f>IFERROR(__xludf.DUMMYFUNCTION("GOOGLEFINANCE(A10159,""name"")"),"#N/A")</f>
        <v>#N/A</v>
      </c>
      <c r="D10159" s="125"/>
    </row>
    <row r="10160">
      <c r="A10160" s="122" t="s">
        <v>35908</v>
      </c>
      <c r="B10160" s="123">
        <v>1713832.0</v>
      </c>
      <c r="C10160" s="687" t="str">
        <f>IFERROR(__xludf.DUMMYFUNCTION("GOOGLEFINANCE(A10160,""name"")"),"#N/A")</f>
        <v>#N/A</v>
      </c>
      <c r="D10160" s="125"/>
    </row>
    <row r="10161">
      <c r="A10161" s="122" t="s">
        <v>35909</v>
      </c>
      <c r="B10161" s="123">
        <v>1900554.0</v>
      </c>
      <c r="C10161" s="687" t="str">
        <f>IFERROR(__xludf.DUMMYFUNCTION("GOOGLEFINANCE(A10161,""name"")"),"#N/A")</f>
        <v>#N/A</v>
      </c>
      <c r="D10161" s="125"/>
    </row>
    <row r="10162">
      <c r="A10162" s="122" t="s">
        <v>35910</v>
      </c>
      <c r="B10162" s="123">
        <v>1492426.0</v>
      </c>
      <c r="C10162" s="687" t="str">
        <f>IFERROR(__xludf.DUMMYFUNCTION("GOOGLEFINANCE(A10162,""name"")"),"#N/A")</f>
        <v>#N/A</v>
      </c>
      <c r="D10162" s="125"/>
    </row>
    <row r="10163">
      <c r="A10163" s="122" t="s">
        <v>35911</v>
      </c>
      <c r="B10163" s="123">
        <v>1821788.0</v>
      </c>
      <c r="C10163" s="687" t="str">
        <f>IFERROR(__xludf.DUMMYFUNCTION("GOOGLEFINANCE(A10163,""name"")"),"#N/A")</f>
        <v>#N/A</v>
      </c>
      <c r="D10163" s="125"/>
    </row>
    <row r="10164">
      <c r="A10164" s="122" t="s">
        <v>35912</v>
      </c>
      <c r="B10164" s="123">
        <v>1821788.0</v>
      </c>
      <c r="C10164" s="687" t="str">
        <f>IFERROR(__xludf.DUMMYFUNCTION("GOOGLEFINANCE(A10164,""name"")"),"#N/A")</f>
        <v>#N/A</v>
      </c>
      <c r="D10164" s="125"/>
    </row>
    <row r="10165">
      <c r="A10165" s="122" t="s">
        <v>35913</v>
      </c>
      <c r="B10165" s="123">
        <v>1821788.0</v>
      </c>
      <c r="C10165" s="687" t="str">
        <f>IFERROR(__xludf.DUMMYFUNCTION("GOOGLEFINANCE(A10165,""name"")"),"#N/A")</f>
        <v>#N/A</v>
      </c>
      <c r="D10165" s="125"/>
    </row>
    <row r="10166">
      <c r="A10166" s="122" t="s">
        <v>35914</v>
      </c>
      <c r="B10166" s="123">
        <v>1844579.0</v>
      </c>
      <c r="C10166" s="687" t="str">
        <f>IFERROR(__xludf.DUMMYFUNCTION("GOOGLEFINANCE(A10166,""name"")"),"#N/A")</f>
        <v>#N/A</v>
      </c>
      <c r="D10166" s="125"/>
    </row>
    <row r="10167">
      <c r="A10167" s="122" t="s">
        <v>35915</v>
      </c>
      <c r="B10167" s="123">
        <v>1892876.0</v>
      </c>
      <c r="C10167" s="687" t="str">
        <f>IFERROR(__xludf.DUMMYFUNCTION("GOOGLEFINANCE(A10167,""name"")"),"#N/A")</f>
        <v>#N/A</v>
      </c>
      <c r="D10167" s="125"/>
    </row>
    <row r="10168">
      <c r="A10168" s="122" t="s">
        <v>35916</v>
      </c>
      <c r="B10168" s="123">
        <v>1044896.0</v>
      </c>
      <c r="C10168" s="687" t="str">
        <f>IFERROR(__xludf.DUMMYFUNCTION("GOOGLEFINANCE(A10168,""name"")"),"#N/A")</f>
        <v>#N/A</v>
      </c>
      <c r="D10168" s="125"/>
    </row>
    <row r="10169">
      <c r="A10169" s="122" t="s">
        <v>35917</v>
      </c>
      <c r="B10169" s="123">
        <v>1835205.0</v>
      </c>
      <c r="C10169" s="687" t="str">
        <f>IFERROR(__xludf.DUMMYFUNCTION("GOOGLEFINANCE(A10169,""name"")"),"#N/A")</f>
        <v>#N/A</v>
      </c>
      <c r="D10169" s="125"/>
    </row>
    <row r="10170">
      <c r="A10170" s="122" t="s">
        <v>35918</v>
      </c>
      <c r="B10170" s="123">
        <v>1835205.0</v>
      </c>
      <c r="C10170" s="687" t="str">
        <f>IFERROR(__xludf.DUMMYFUNCTION("GOOGLEFINANCE(A10170,""name"")"),"#N/A")</f>
        <v>#N/A</v>
      </c>
      <c r="D10170" s="125"/>
    </row>
    <row r="10171">
      <c r="A10171" s="122" t="s">
        <v>35919</v>
      </c>
      <c r="B10171" s="123">
        <v>1835205.0</v>
      </c>
      <c r="C10171" s="687" t="str">
        <f>IFERROR(__xludf.DUMMYFUNCTION("GOOGLEFINANCE(A10171,""name"")"),"#N/A")</f>
        <v>#N/A</v>
      </c>
      <c r="D10171" s="125"/>
    </row>
    <row r="10172">
      <c r="A10172" s="122" t="s">
        <v>35920</v>
      </c>
      <c r="B10172" s="123">
        <v>1837177.0</v>
      </c>
      <c r="C10172" s="687" t="str">
        <f>IFERROR(__xludf.DUMMYFUNCTION("GOOGLEFINANCE(A10172,""name"")"),"#N/A")</f>
        <v>#N/A</v>
      </c>
      <c r="D10172" s="125"/>
    </row>
    <row r="10173">
      <c r="A10173" s="122" t="s">
        <v>35921</v>
      </c>
      <c r="B10173" s="123">
        <v>1858351.0</v>
      </c>
      <c r="C10173" s="687" t="str">
        <f>IFERROR(__xludf.DUMMYFUNCTION("GOOGLEFINANCE(A10173,""name"")"),"#N/A")</f>
        <v>#N/A</v>
      </c>
      <c r="D10173" s="125"/>
    </row>
    <row r="10174">
      <c r="A10174" s="122" t="s">
        <v>35922</v>
      </c>
      <c r="B10174" s="123">
        <v>1858351.0</v>
      </c>
      <c r="C10174" s="687" t="str">
        <f>IFERROR(__xludf.DUMMYFUNCTION("GOOGLEFINANCE(A10174,""name"")"),"#N/A")</f>
        <v>#N/A</v>
      </c>
      <c r="D10174" s="125"/>
    </row>
    <row r="10175">
      <c r="A10175" s="122" t="s">
        <v>35923</v>
      </c>
      <c r="B10175" s="123">
        <v>1690012.0</v>
      </c>
      <c r="C10175" s="687" t="str">
        <f>IFERROR(__xludf.DUMMYFUNCTION("GOOGLEFINANCE(A10175,""name"")"),"#N/A")</f>
        <v>#N/A</v>
      </c>
      <c r="D10175" s="125"/>
    </row>
    <row r="10176">
      <c r="A10176" s="122" t="s">
        <v>35924</v>
      </c>
      <c r="B10176" s="123">
        <v>1010134.0</v>
      </c>
      <c r="C10176" s="687" t="str">
        <f>IFERROR(__xludf.DUMMYFUNCTION("GOOGLEFINANCE(A10176,""name"")"),"#N/A")</f>
        <v>#N/A</v>
      </c>
      <c r="D10176" s="125"/>
    </row>
    <row r="10177">
      <c r="A10177" s="122" t="s">
        <v>35925</v>
      </c>
      <c r="B10177" s="123">
        <v>1824036.0</v>
      </c>
      <c r="C10177" s="687" t="str">
        <f>IFERROR(__xludf.DUMMYFUNCTION("GOOGLEFINANCE(A10177,""name"")"),"#N/A")</f>
        <v>#N/A</v>
      </c>
      <c r="D10177" s="125"/>
    </row>
    <row r="10178">
      <c r="A10178" s="122" t="s">
        <v>35926</v>
      </c>
      <c r="B10178" s="123">
        <v>1688487.0</v>
      </c>
      <c r="C10178" s="687" t="str">
        <f>IFERROR(__xludf.DUMMYFUNCTION("GOOGLEFINANCE(A10178,""name"")"),"Bovespa Dividend Index")</f>
        <v>Bovespa Dividend Index</v>
      </c>
      <c r="D10178" s="125"/>
    </row>
    <row r="10179">
      <c r="A10179" s="122" t="s">
        <v>35927</v>
      </c>
      <c r="B10179" s="123">
        <v>861838.0</v>
      </c>
      <c r="C10179" s="687" t="str">
        <f>IFERROR(__xludf.DUMMYFUNCTION("GOOGLEFINANCE(A10179,""name"")"),"#N/A")</f>
        <v>#N/A</v>
      </c>
      <c r="D10179" s="125"/>
    </row>
    <row r="10180">
      <c r="A10180" s="122" t="s">
        <v>35928</v>
      </c>
      <c r="B10180" s="123">
        <v>1463833.0</v>
      </c>
      <c r="C10180" s="687" t="str">
        <f>IFERROR(__xludf.DUMMYFUNCTION("GOOGLEFINANCE(A10180,""name"")"),"#N/A")</f>
        <v>#N/A</v>
      </c>
      <c r="D10180" s="125"/>
    </row>
    <row r="10181">
      <c r="A10181" s="122" t="s">
        <v>35929</v>
      </c>
      <c r="B10181" s="123">
        <v>1652362.0</v>
      </c>
      <c r="C10181" s="687" t="str">
        <f>IFERROR(__xludf.DUMMYFUNCTION("GOOGLEFINANCE(A10181,""name"")"),"#N/A")</f>
        <v>#N/A</v>
      </c>
      <c r="D10181" s="125"/>
    </row>
    <row r="10182">
      <c r="A10182" s="122" t="s">
        <v>35930</v>
      </c>
      <c r="B10182" s="123">
        <v>1114446.0</v>
      </c>
      <c r="C10182" s="687" t="str">
        <f>IFERROR(__xludf.DUMMYFUNCTION("GOOGLEFINANCE(A10182,""name"")"),"USB ETRACS IFED Invest with the Fed TR Index ETN")</f>
        <v>USB ETRACS IFED Invest with the Fed TR Index ETN</v>
      </c>
      <c r="D10182" s="125"/>
    </row>
    <row r="10183">
      <c r="A10183" s="122" t="s">
        <v>35931</v>
      </c>
      <c r="B10183" s="123">
        <v>1862935.0</v>
      </c>
      <c r="C10183" s="687" t="str">
        <f>IFERROR(__xludf.DUMMYFUNCTION("GOOGLEFINANCE(A10183,""name"")"),"#N/A")</f>
        <v>#N/A</v>
      </c>
      <c r="D10183" s="125"/>
    </row>
    <row r="10184">
      <c r="A10184" s="122" t="s">
        <v>35932</v>
      </c>
      <c r="B10184" s="123">
        <v>1862935.0</v>
      </c>
      <c r="C10184" s="687" t="str">
        <f>IFERROR(__xludf.DUMMYFUNCTION("GOOGLEFINANCE(A10184,""name"")"),"#N/A")</f>
        <v>#N/A</v>
      </c>
      <c r="D10184" s="125"/>
    </row>
    <row r="10185">
      <c r="A10185" s="122" t="s">
        <v>35933</v>
      </c>
      <c r="B10185" s="123">
        <v>822746.0</v>
      </c>
      <c r="C10185" s="687" t="str">
        <f>IFERROR(__xludf.DUMMYFUNCTION("GOOGLEFINANCE(A10185,""name"")"),"#N/A")</f>
        <v>#N/A</v>
      </c>
      <c r="D10185" s="125"/>
    </row>
    <row r="10186">
      <c r="A10186" s="122" t="s">
        <v>35934</v>
      </c>
      <c r="B10186" s="123">
        <v>1819496.0</v>
      </c>
      <c r="C10186" s="687" t="str">
        <f>IFERROR(__xludf.DUMMYFUNCTION("GOOGLEFINANCE(A10186,""name"")"),"#N/A")</f>
        <v>#N/A</v>
      </c>
      <c r="D10186" s="125"/>
    </row>
    <row r="10187">
      <c r="A10187" s="122" t="s">
        <v>35935</v>
      </c>
      <c r="B10187" s="123">
        <v>1819496.0</v>
      </c>
      <c r="C10187" s="687" t="str">
        <f>IFERROR(__xludf.DUMMYFUNCTION("GOOGLEFINANCE(A10187,""name"")"),"#N/A")</f>
        <v>#N/A</v>
      </c>
      <c r="D10187" s="125"/>
    </row>
    <row r="10188">
      <c r="A10188" s="122" t="s">
        <v>35936</v>
      </c>
      <c r="B10188" s="123">
        <v>1819496.0</v>
      </c>
      <c r="C10188" s="687" t="str">
        <f>IFERROR(__xludf.DUMMYFUNCTION("GOOGLEFINANCE(A10188,""name"")"),"#N/A")</f>
        <v>#N/A</v>
      </c>
      <c r="D10188" s="125"/>
    </row>
    <row r="10189">
      <c r="A10189" s="122" t="s">
        <v>35937</v>
      </c>
      <c r="B10189" s="123">
        <v>1794338.0</v>
      </c>
      <c r="C10189" s="687" t="str">
        <f>IFERROR(__xludf.DUMMYFUNCTION("GOOGLEFINANCE(A10189,""name"")"),"#N/A")</f>
        <v>#N/A</v>
      </c>
      <c r="D10189" s="125"/>
    </row>
    <row r="10190">
      <c r="A10190" s="122" t="s">
        <v>35938</v>
      </c>
      <c r="B10190" s="123">
        <v>1834645.0</v>
      </c>
      <c r="C10190" s="687" t="str">
        <f>IFERROR(__xludf.DUMMYFUNCTION("GOOGLEFINANCE(A10190,""name"")"),"#N/A")</f>
        <v>#N/A</v>
      </c>
      <c r="D10190" s="125"/>
    </row>
    <row r="10191">
      <c r="A10191" s="122" t="s">
        <v>35939</v>
      </c>
      <c r="B10191" s="123">
        <v>1834645.0</v>
      </c>
      <c r="C10191" s="687" t="str">
        <f>IFERROR(__xludf.DUMMYFUNCTION("GOOGLEFINANCE(A10191,""name"")"),"#N/A")</f>
        <v>#N/A</v>
      </c>
      <c r="D10191" s="125"/>
    </row>
    <row r="10192">
      <c r="A10192" s="122" t="s">
        <v>35940</v>
      </c>
      <c r="B10192" s="123">
        <v>1834645.0</v>
      </c>
      <c r="C10192" s="687" t="str">
        <f>IFERROR(__xludf.DUMMYFUNCTION("GOOGLEFINANCE(A10192,""name"")"),"#N/A")</f>
        <v>#N/A</v>
      </c>
      <c r="D10192" s="125"/>
    </row>
    <row r="10193">
      <c r="A10193" s="122" t="s">
        <v>35941</v>
      </c>
      <c r="B10193" s="123">
        <v>1866838.0</v>
      </c>
      <c r="C10193" s="687" t="str">
        <f>IFERROR(__xludf.DUMMYFUNCTION("GOOGLEFINANCE(A10193,""name"")"),"#N/A")</f>
        <v>#N/A</v>
      </c>
      <c r="D10193" s="125"/>
    </row>
    <row r="10194">
      <c r="A10194" s="122" t="s">
        <v>35942</v>
      </c>
      <c r="B10194" s="123">
        <v>1508633.0</v>
      </c>
      <c r="C10194" s="687" t="str">
        <f>IFERROR(__xludf.DUMMYFUNCTION("GOOGLEFINANCE(A10194,""name"")"),"Inchcape plc")</f>
        <v>Inchcape plc</v>
      </c>
      <c r="D10194" s="125"/>
    </row>
    <row r="10195">
      <c r="A10195" s="122" t="s">
        <v>35943</v>
      </c>
      <c r="B10195" s="123">
        <v>1682811.0</v>
      </c>
      <c r="C10195" s="687" t="str">
        <f>IFERROR(__xludf.DUMMYFUNCTION("GOOGLEFINANCE(A10195,""name"")"),"#N/A")</f>
        <v>#N/A</v>
      </c>
      <c r="D10195" s="125"/>
    </row>
    <row r="10196">
      <c r="A10196" s="122" t="s">
        <v>35944</v>
      </c>
      <c r="B10196" s="123">
        <v>1698508.0</v>
      </c>
      <c r="C10196" s="687" t="str">
        <f>IFERROR(__xludf.DUMMYFUNCTION("GOOGLEFINANCE(A10196,""name"")"),"#N/A")</f>
        <v>#N/A</v>
      </c>
      <c r="D10196" s="125"/>
    </row>
    <row r="10197">
      <c r="A10197" s="122" t="s">
        <v>35945</v>
      </c>
      <c r="B10197" s="123">
        <v>1829889.0</v>
      </c>
      <c r="C10197" s="687" t="str">
        <f>IFERROR(__xludf.DUMMYFUNCTION("GOOGLEFINANCE(A10197,""name"")"),"#N/A")</f>
        <v>#N/A</v>
      </c>
      <c r="D10197" s="125"/>
    </row>
    <row r="10198">
      <c r="A10198" s="122" t="s">
        <v>35946</v>
      </c>
      <c r="B10198" s="123">
        <v>1829889.0</v>
      </c>
      <c r="C10198" s="687" t="str">
        <f>IFERROR(__xludf.DUMMYFUNCTION("GOOGLEFINANCE(A10198,""name"")"),"#N/A")</f>
        <v>#N/A</v>
      </c>
      <c r="D10198" s="125"/>
    </row>
    <row r="10199">
      <c r="A10199" s="122" t="s">
        <v>35947</v>
      </c>
      <c r="B10199" s="123">
        <v>1829889.0</v>
      </c>
      <c r="C10199" s="687" t="str">
        <f>IFERROR(__xludf.DUMMYFUNCTION("GOOGLEFINANCE(A10199,""name"")"),"#N/A")</f>
        <v>#N/A</v>
      </c>
      <c r="D10199" s="125"/>
    </row>
    <row r="10200">
      <c r="A10200" s="122" t="s">
        <v>35948</v>
      </c>
      <c r="B10200" s="123">
        <v>1677576.0</v>
      </c>
      <c r="C10200" s="687" t="str">
        <f>IFERROR(__xludf.DUMMYFUNCTION("GOOGLEFINANCE(A10200,""name"")"),"#N/A")</f>
        <v>#N/A</v>
      </c>
      <c r="D10200" s="125"/>
    </row>
    <row r="10201">
      <c r="A10201" s="122" t="s">
        <v>35949</v>
      </c>
      <c r="B10201" s="123">
        <v>820318.0</v>
      </c>
      <c r="C10201" s="687" t="str">
        <f>IFERROR(__xludf.DUMMYFUNCTION("GOOGLEFINANCE(A10201,""name"")"),"#N/A")</f>
        <v>#N/A</v>
      </c>
      <c r="D10201" s="125"/>
    </row>
    <row r="10202">
      <c r="A10202" s="122" t="s">
        <v>35950</v>
      </c>
      <c r="B10202" s="123">
        <v>820318.0</v>
      </c>
      <c r="C10202" s="687" t="str">
        <f>IFERROR(__xludf.DUMMYFUNCTION("GOOGLEFINANCE(A10202,""name"")"),"#N/A")</f>
        <v>#N/A</v>
      </c>
      <c r="D10202" s="125"/>
    </row>
    <row r="10203">
      <c r="A10203" s="122" t="s">
        <v>35951</v>
      </c>
      <c r="B10203" s="123">
        <v>1835579.0</v>
      </c>
      <c r="C10203" s="687" t="str">
        <f>IFERROR(__xludf.DUMMYFUNCTION("GOOGLEFINANCE(A10203,""name"")"),"#N/A")</f>
        <v>#N/A</v>
      </c>
      <c r="D10203" s="125"/>
    </row>
    <row r="10204">
      <c r="A10204" s="122" t="s">
        <v>35952</v>
      </c>
      <c r="B10204" s="123">
        <v>870826.0</v>
      </c>
      <c r="C10204" s="687" t="str">
        <f>IFERROR(__xludf.DUMMYFUNCTION("GOOGLEFINANCE(A10204,""name"")"),"#N/A")</f>
        <v>#N/A</v>
      </c>
      <c r="D10204" s="125"/>
    </row>
    <row r="10205">
      <c r="A10205" s="122" t="s">
        <v>35953</v>
      </c>
      <c r="B10205" s="123">
        <v>870826.0</v>
      </c>
      <c r="C10205" s="687" t="str">
        <f>IFERROR(__xludf.DUMMYFUNCTION("GOOGLEFINANCE(A10205,""name"")"),"#N/A")</f>
        <v>#N/A</v>
      </c>
      <c r="D10205" s="125"/>
    </row>
    <row r="10206">
      <c r="A10206" s="122" t="s">
        <v>35954</v>
      </c>
      <c r="B10206" s="123">
        <v>1623715.0</v>
      </c>
      <c r="C10206" s="687" t="str">
        <f>IFERROR(__xludf.DUMMYFUNCTION("GOOGLEFINANCE(A10206,""name"")"),"#N/A")</f>
        <v>#N/A</v>
      </c>
      <c r="D10206" s="125"/>
    </row>
    <row r="10207">
      <c r="A10207" s="122" t="s">
        <v>35955</v>
      </c>
      <c r="B10207" s="123">
        <v>1000298.0</v>
      </c>
      <c r="C10207" s="687" t="str">
        <f>IFERROR(__xludf.DUMMYFUNCTION("GOOGLEFINANCE(A10207,""name"")"),"#N/A")</f>
        <v>#N/A</v>
      </c>
      <c r="D10207" s="125"/>
    </row>
    <row r="10208">
      <c r="A10208" s="122" t="s">
        <v>35956</v>
      </c>
      <c r="B10208" s="123">
        <v>312070.0</v>
      </c>
      <c r="C10208" s="687" t="str">
        <f>IFERROR(__xludf.DUMMYFUNCTION("GOOGLEFINANCE(A10208,""name"")"),"#N/A")</f>
        <v>#N/A</v>
      </c>
      <c r="D10208" s="125"/>
    </row>
    <row r="10209">
      <c r="A10209" s="122" t="s">
        <v>35957</v>
      </c>
      <c r="B10209" s="123">
        <v>1000298.0</v>
      </c>
      <c r="C10209" s="687" t="str">
        <f>IFERROR(__xludf.DUMMYFUNCTION("GOOGLEFINANCE(A10209,""name"")"),"#N/A")</f>
        <v>#N/A</v>
      </c>
      <c r="D10209" s="125"/>
    </row>
    <row r="10210">
      <c r="A10210" s="122" t="s">
        <v>35958</v>
      </c>
      <c r="B10210" s="123">
        <v>1445499.0</v>
      </c>
      <c r="C10210" s="687" t="str">
        <f>IFERROR(__xludf.DUMMYFUNCTION("GOOGLEFINANCE(A10210,""name"")"),"#N/A")</f>
        <v>#N/A</v>
      </c>
      <c r="D10210" s="125"/>
    </row>
    <row r="10211">
      <c r="A10211" s="122" t="s">
        <v>35959</v>
      </c>
      <c r="B10211" s="123">
        <v>1820191.0</v>
      </c>
      <c r="C10211" s="687" t="str">
        <f>IFERROR(__xludf.DUMMYFUNCTION("GOOGLEFINANCE(A10211,""name"")"),"#N/A")</f>
        <v>#N/A</v>
      </c>
      <c r="D10211" s="125"/>
    </row>
    <row r="10212">
      <c r="A10212" s="122" t="s">
        <v>35960</v>
      </c>
      <c r="B10212" s="123">
        <v>1820191.0</v>
      </c>
      <c r="C10212" s="687" t="str">
        <f>IFERROR(__xludf.DUMMYFUNCTION("GOOGLEFINANCE(A10212,""name"")"),"#N/A")</f>
        <v>#N/A</v>
      </c>
      <c r="D10212" s="125"/>
    </row>
    <row r="10213">
      <c r="A10213" s="122" t="s">
        <v>35961</v>
      </c>
      <c r="B10213" s="123">
        <v>1820191.0</v>
      </c>
      <c r="C10213" s="687" t="str">
        <f>IFERROR(__xludf.DUMMYFUNCTION("GOOGLEFINANCE(A10213,""name"")"),"#N/A")</f>
        <v>#N/A</v>
      </c>
      <c r="D10213" s="125"/>
    </row>
    <row r="10214">
      <c r="A10214" s="122" t="s">
        <v>35962</v>
      </c>
      <c r="B10214" s="123">
        <v>1672619.0</v>
      </c>
      <c r="C10214" s="687" t="str">
        <f>IFERROR(__xludf.DUMMYFUNCTION("GOOGLEFINANCE(A10214,""name"")"),"Bitwise MARA Option Income Strategy ETF")</f>
        <v>Bitwise MARA Option Income Strategy ETF</v>
      </c>
      <c r="D10214" s="125"/>
    </row>
    <row r="10215">
      <c r="A10215" s="122" t="s">
        <v>35963</v>
      </c>
      <c r="B10215" s="123">
        <v>1660046.0</v>
      </c>
      <c r="C10215" s="687" t="str">
        <f>IFERROR(__xludf.DUMMYFUNCTION("GOOGLEFINANCE(A10215,""name"")"),"#N/A")</f>
        <v>#N/A</v>
      </c>
      <c r="D10215" s="125"/>
    </row>
    <row r="10216">
      <c r="A10216" s="122" t="s">
        <v>35964</v>
      </c>
      <c r="B10216" s="123">
        <v>1559356.0</v>
      </c>
      <c r="C10216" s="687" t="str">
        <f>IFERROR(__xludf.DUMMYFUNCTION("GOOGLEFINANCE(A10216,""name"")"),"#N/A")</f>
        <v>#N/A</v>
      </c>
      <c r="D10216" s="125"/>
    </row>
    <row r="10217">
      <c r="A10217" s="122" t="s">
        <v>35965</v>
      </c>
      <c r="B10217" s="123">
        <v>1740279.0</v>
      </c>
      <c r="C10217" s="687" t="str">
        <f>IFERROR(__xludf.DUMMYFUNCTION("GOOGLEFINANCE(A10217,""name"")"),"IN8bio Inc")</f>
        <v>IN8bio Inc</v>
      </c>
      <c r="D10217" s="125"/>
    </row>
    <row r="10218">
      <c r="A10218" s="122" t="s">
        <v>35966</v>
      </c>
      <c r="B10218" s="123">
        <v>1862463.0</v>
      </c>
      <c r="C10218" s="687" t="str">
        <f>IFERROR(__xludf.DUMMYFUNCTION("GOOGLEFINANCE(A10218,""name"")"),"#N/A")</f>
        <v>#N/A</v>
      </c>
      <c r="D10218" s="125"/>
    </row>
    <row r="10219">
      <c r="A10219" s="122" t="s">
        <v>35967</v>
      </c>
      <c r="B10219" s="123">
        <v>1862463.0</v>
      </c>
      <c r="C10219" s="687" t="str">
        <f>IFERROR(__xludf.DUMMYFUNCTION("GOOGLEFINANCE(A10219,""name"")"),"#N/A")</f>
        <v>#N/A</v>
      </c>
      <c r="D10219" s="125"/>
    </row>
    <row r="10220">
      <c r="A10220" s="122" t="s">
        <v>35968</v>
      </c>
      <c r="B10220" s="123">
        <v>1657803.0</v>
      </c>
      <c r="C10220" s="687" t="str">
        <f>IFERROR(__xludf.DUMMYFUNCTION("GOOGLEFINANCE(A10220,""name"")"),"#N/A")</f>
        <v>#N/A</v>
      </c>
      <c r="D10220" s="125"/>
    </row>
    <row r="10221">
      <c r="A10221" s="122" t="s">
        <v>35969</v>
      </c>
      <c r="B10221" s="123">
        <v>1841925.0</v>
      </c>
      <c r="C10221" s="687" t="str">
        <f>IFERROR(__xludf.DUMMYFUNCTION("GOOGLEFINANCE(A10221,""name"")"),"#N/A")</f>
        <v>#N/A</v>
      </c>
      <c r="D10221" s="125"/>
    </row>
    <row r="10222">
      <c r="A10222" s="122" t="s">
        <v>35970</v>
      </c>
      <c r="B10222" s="123">
        <v>1826671.0</v>
      </c>
      <c r="C10222" s="687" t="str">
        <f>IFERROR(__xludf.DUMMYFUNCTION("GOOGLEFINANCE(A10222,""name"")"),"#N/A")</f>
        <v>#N/A</v>
      </c>
      <c r="D10222" s="125"/>
    </row>
    <row r="10223">
      <c r="A10223" s="122" t="s">
        <v>35971</v>
      </c>
      <c r="B10223" s="123">
        <v>1826671.0</v>
      </c>
      <c r="C10223" s="687" t="str">
        <f>IFERROR(__xludf.DUMMYFUNCTION("GOOGLEFINANCE(A10223,""name"")"),"#N/A")</f>
        <v>#N/A</v>
      </c>
      <c r="D10223" s="125"/>
    </row>
    <row r="10224">
      <c r="A10224" s="122" t="s">
        <v>35972</v>
      </c>
      <c r="B10224" s="123">
        <v>1753373.0</v>
      </c>
      <c r="C10224" s="687" t="str">
        <f>IFERROR(__xludf.DUMMYFUNCTION("GOOGLEFINANCE(A10224,""name"")"),"#N/A")</f>
        <v>#N/A</v>
      </c>
      <c r="D10224" s="125"/>
    </row>
    <row r="10225">
      <c r="A10225" s="122" t="s">
        <v>35973</v>
      </c>
      <c r="B10225" s="123">
        <v>1497645.0</v>
      </c>
      <c r="C10225" s="687" t="str">
        <f>IFERROR(__xludf.DUMMYFUNCTION("GOOGLEFINANCE(A10225,""name"")"),"#N/A")</f>
        <v>#N/A</v>
      </c>
      <c r="D10225" s="125"/>
    </row>
    <row r="10226">
      <c r="A10226" s="122" t="s">
        <v>35974</v>
      </c>
      <c r="B10226" s="123">
        <v>1497645.0</v>
      </c>
      <c r="C10226" s="687" t="str">
        <f>IFERROR(__xludf.DUMMYFUNCTION("GOOGLEFINANCE(A10226,""name"")"),"#N/A")</f>
        <v>#N/A</v>
      </c>
      <c r="D10226" s="125"/>
    </row>
    <row r="10227">
      <c r="A10227" s="122" t="s">
        <v>35975</v>
      </c>
      <c r="B10227" s="123">
        <v>1835104.0</v>
      </c>
      <c r="C10227" s="687" t="str">
        <f>IFERROR(__xludf.DUMMYFUNCTION("GOOGLEFINANCE(A10227,""name"")"),"Invesco Intermediate Municipal ETF")</f>
        <v>Invesco Intermediate Municipal ETF</v>
      </c>
      <c r="D10227" s="125"/>
    </row>
    <row r="10228">
      <c r="A10228" s="122" t="s">
        <v>35976</v>
      </c>
      <c r="B10228" s="123">
        <v>1854275.0</v>
      </c>
      <c r="C10228" s="687" t="str">
        <f>IFERROR(__xludf.DUMMYFUNCTION("GOOGLEFINANCE(A10228,""name"")"),"#N/A")</f>
        <v>#N/A</v>
      </c>
      <c r="D10228" s="125"/>
    </row>
    <row r="10229">
      <c r="A10229" s="122" t="s">
        <v>35977</v>
      </c>
      <c r="B10229" s="123">
        <v>1854275.0</v>
      </c>
      <c r="C10229" s="687" t="str">
        <f>IFERROR(__xludf.DUMMYFUNCTION("GOOGLEFINANCE(A10229,""name"")"),"#N/A")</f>
        <v>#N/A</v>
      </c>
      <c r="D10229" s="125"/>
    </row>
    <row r="10230">
      <c r="A10230" s="122" t="s">
        <v>35978</v>
      </c>
      <c r="B10230" s="123">
        <v>1854275.0</v>
      </c>
      <c r="C10230" s="687" t="str">
        <f>IFERROR(__xludf.DUMMYFUNCTION("GOOGLEFINANCE(A10230,""name"")"),"#N/A")</f>
        <v>#N/A</v>
      </c>
      <c r="D10230" s="125"/>
    </row>
    <row r="10231">
      <c r="A10231" s="122" t="s">
        <v>35979</v>
      </c>
      <c r="B10231" s="123">
        <v>866609.0</v>
      </c>
      <c r="C10231" s="687" t="str">
        <f>IFERROR(__xludf.DUMMYFUNCTION("GOOGLEFINANCE(A10231,""name"")"),"#N/A")</f>
        <v>#N/A</v>
      </c>
      <c r="D10231" s="125"/>
    </row>
    <row r="10232">
      <c r="A10232" s="122" t="s">
        <v>35980</v>
      </c>
      <c r="B10232" s="123">
        <v>1798270.0</v>
      </c>
      <c r="C10232" s="687" t="str">
        <f>IFERROR(__xludf.DUMMYFUNCTION("GOOGLEFINANCE(A10232,""name"")"),"Assure Holdings Corp")</f>
        <v>Assure Holdings Corp</v>
      </c>
      <c r="D10232" s="125"/>
    </row>
    <row r="10233">
      <c r="A10233" s="122" t="s">
        <v>35981</v>
      </c>
      <c r="B10233" s="123">
        <v>1824920.0</v>
      </c>
      <c r="C10233" s="687" t="str">
        <f>IFERROR(__xludf.DUMMYFUNCTION("GOOGLEFINANCE(A10233,""name"")"),"#N/A")</f>
        <v>#N/A</v>
      </c>
      <c r="D10233" s="125"/>
    </row>
    <row r="10234">
      <c r="A10234" s="122" t="s">
        <v>35982</v>
      </c>
      <c r="B10234" s="123">
        <v>1844452.0</v>
      </c>
      <c r="C10234" s="687" t="str">
        <f>IFERROR(__xludf.DUMMYFUNCTION("GOOGLEFINANCE(A10234,""name"")"),"#N/A")</f>
        <v>#N/A</v>
      </c>
      <c r="D10234" s="125"/>
    </row>
    <row r="10235">
      <c r="A10235" s="122" t="s">
        <v>35983</v>
      </c>
      <c r="B10235" s="123">
        <v>1844452.0</v>
      </c>
      <c r="C10235" s="687" t="str">
        <f>IFERROR(__xludf.DUMMYFUNCTION("GOOGLEFINANCE(A10235,""name"")"),"#N/A")</f>
        <v>#N/A</v>
      </c>
      <c r="D10235" s="125"/>
    </row>
    <row r="10236">
      <c r="A10236" s="122" t="s">
        <v>35984</v>
      </c>
      <c r="B10236" s="123">
        <v>1844452.0</v>
      </c>
      <c r="C10236" s="687" t="str">
        <f>IFERROR(__xludf.DUMMYFUNCTION("GOOGLEFINANCE(A10236,""name"")"),"#N/A")</f>
        <v>#N/A</v>
      </c>
      <c r="D10236" s="125"/>
    </row>
    <row r="10237">
      <c r="A10237" s="122" t="s">
        <v>35985</v>
      </c>
      <c r="B10237" s="123">
        <v>1818876.0</v>
      </c>
      <c r="C10237" s="687" t="str">
        <f>IFERROR(__xludf.DUMMYFUNCTION("GOOGLEFINANCE(A10237,""name"")"),"Dune Acquisition Corp II")</f>
        <v>Dune Acquisition Corp II</v>
      </c>
      <c r="D10237" s="125"/>
    </row>
    <row r="10238">
      <c r="A10238" s="122" t="s">
        <v>35986</v>
      </c>
      <c r="B10238" s="123">
        <v>1818876.0</v>
      </c>
      <c r="C10238" s="687" t="str">
        <f>IFERROR(__xludf.DUMMYFUNCTION("GOOGLEFINANCE(A10238,""name"")"),"#N/A")</f>
        <v>#N/A</v>
      </c>
      <c r="D10238" s="125"/>
    </row>
    <row r="10239">
      <c r="A10239" s="122" t="s">
        <v>35987</v>
      </c>
      <c r="B10239" s="123">
        <v>1818876.0</v>
      </c>
      <c r="C10239" s="687" t="str">
        <f>IFERROR(__xludf.DUMMYFUNCTION("GOOGLEFINANCE(A10239,""name"")"),"#N/A")</f>
        <v>#N/A</v>
      </c>
      <c r="D10239" s="125"/>
    </row>
    <row r="10240">
      <c r="A10240" s="122" t="s">
        <v>35988</v>
      </c>
      <c r="B10240" s="123">
        <v>1818873.0</v>
      </c>
      <c r="C10240" s="687" t="str">
        <f>IFERROR(__xludf.DUMMYFUNCTION("GOOGLEFINANCE(A10240,""name"")"),"#N/A")</f>
        <v>#N/A</v>
      </c>
      <c r="D10240" s="125"/>
    </row>
    <row r="10241">
      <c r="A10241" s="122" t="s">
        <v>35989</v>
      </c>
      <c r="B10241" s="123">
        <v>1818873.0</v>
      </c>
      <c r="C10241" s="687" t="str">
        <f>IFERROR(__xludf.DUMMYFUNCTION("GOOGLEFINANCE(A10241,""name"")"),"#N/A")</f>
        <v>#N/A</v>
      </c>
      <c r="D10241" s="125"/>
    </row>
    <row r="10242">
      <c r="A10242" s="122" t="s">
        <v>35990</v>
      </c>
      <c r="B10242" s="123">
        <v>1818873.0</v>
      </c>
      <c r="C10242" s="687" t="str">
        <f>IFERROR(__xludf.DUMMYFUNCTION("GOOGLEFINANCE(A10242,""name"")"),"#N/A")</f>
        <v>#N/A</v>
      </c>
      <c r="D10242" s="125"/>
    </row>
    <row r="10243">
      <c r="A10243" s="122" t="s">
        <v>35991</v>
      </c>
      <c r="B10243" s="123">
        <v>1839608.0</v>
      </c>
      <c r="C10243" s="687" t="str">
        <f>IFERROR(__xludf.DUMMYFUNCTION("GOOGLEFINANCE(A10243,""name"")"),"#N/A")</f>
        <v>#N/A</v>
      </c>
      <c r="D10243" s="125"/>
    </row>
    <row r="10244">
      <c r="A10244" s="122" t="s">
        <v>35992</v>
      </c>
      <c r="B10244" s="123">
        <v>1839608.0</v>
      </c>
      <c r="C10244" s="687" t="str">
        <f>IFERROR(__xludf.DUMMYFUNCTION("GOOGLEFINANCE(A10244,""name"")"),"#N/A")</f>
        <v>#N/A</v>
      </c>
      <c r="D10244" s="125"/>
    </row>
    <row r="10245">
      <c r="A10245" s="122" t="s">
        <v>35993</v>
      </c>
      <c r="B10245" s="123">
        <v>1839608.0</v>
      </c>
      <c r="C10245" s="687" t="str">
        <f>IFERROR(__xludf.DUMMYFUNCTION("GOOGLEFINANCE(A10245,""name"")"),"#N/A")</f>
        <v>#N/A</v>
      </c>
      <c r="D10245" s="125"/>
    </row>
    <row r="10246">
      <c r="A10246" s="122" t="s">
        <v>35994</v>
      </c>
      <c r="B10246" s="123">
        <v>1839610.0</v>
      </c>
      <c r="C10246" s="687" t="str">
        <f>IFERROR(__xludf.DUMMYFUNCTION("GOOGLEFINANCE(A10246,""name"")"),"#N/A")</f>
        <v>#N/A</v>
      </c>
      <c r="D10246" s="125"/>
    </row>
    <row r="10247">
      <c r="A10247" s="122" t="s">
        <v>35995</v>
      </c>
      <c r="B10247" s="123">
        <v>1839610.0</v>
      </c>
      <c r="C10247" s="687" t="str">
        <f>IFERROR(__xludf.DUMMYFUNCTION("GOOGLEFINANCE(A10247,""name"")"),"#N/A")</f>
        <v>#N/A</v>
      </c>
      <c r="D10247" s="125"/>
    </row>
    <row r="10248">
      <c r="A10248" s="122" t="s">
        <v>35996</v>
      </c>
      <c r="B10248" s="123">
        <v>1839611.0</v>
      </c>
      <c r="C10248" s="687" t="str">
        <f>IFERROR(__xludf.DUMMYFUNCTION("GOOGLEFINANCE(A10248,""name"")"),"#N/A")</f>
        <v>#N/A</v>
      </c>
      <c r="D10248" s="125"/>
    </row>
    <row r="10249">
      <c r="A10249" s="122" t="s">
        <v>35997</v>
      </c>
      <c r="B10249" s="123">
        <v>1839611.0</v>
      </c>
      <c r="C10249" s="687" t="str">
        <f>IFERROR(__xludf.DUMMYFUNCTION("GOOGLEFINANCE(A10249,""name"")"),"#N/A")</f>
        <v>#N/A</v>
      </c>
      <c r="D10249" s="125"/>
    </row>
    <row r="10250">
      <c r="A10250" s="122" t="s">
        <v>35998</v>
      </c>
      <c r="B10250" s="123">
        <v>1839611.0</v>
      </c>
      <c r="C10250" s="687" t="str">
        <f>IFERROR(__xludf.DUMMYFUNCTION("GOOGLEFINANCE(A10250,""name"")"),"#N/A")</f>
        <v>#N/A</v>
      </c>
      <c r="D10250" s="125"/>
    </row>
    <row r="10251">
      <c r="A10251" s="122" t="s">
        <v>35999</v>
      </c>
      <c r="B10251" s="123">
        <v>874761.0</v>
      </c>
      <c r="C10251" s="687" t="str">
        <f>IFERROR(__xludf.DUMMYFUNCTION("GOOGLEFINANCE(A10251,""name"")"),"#N/A")</f>
        <v>#N/A</v>
      </c>
      <c r="D10251" s="125"/>
    </row>
    <row r="10252">
      <c r="A10252" s="122" t="s">
        <v>36000</v>
      </c>
      <c r="B10252" s="123">
        <v>874761.0</v>
      </c>
      <c r="C10252" s="687" t="str">
        <f>IFERROR(__xludf.DUMMYFUNCTION("GOOGLEFINANCE(A10252,""name"")"),"#N/A")</f>
        <v>#N/A</v>
      </c>
      <c r="D10252" s="125"/>
    </row>
    <row r="10253">
      <c r="A10253" s="122" t="s">
        <v>36001</v>
      </c>
      <c r="B10253" s="123">
        <v>1722608.0</v>
      </c>
      <c r="C10253" s="687" t="str">
        <f>IFERROR(__xludf.DUMMYFUNCTION("GOOGLEFINANCE(A10253,""name"")"),"IQIYI Inc - ADR")</f>
        <v>IQIYI Inc - ADR</v>
      </c>
      <c r="D10253" s="125"/>
    </row>
    <row r="10254">
      <c r="A10254" s="122" t="s">
        <v>36002</v>
      </c>
      <c r="B10254" s="123">
        <v>1850051.0</v>
      </c>
      <c r="C10254" s="687" t="str">
        <f>IFERROR(__xludf.DUMMYFUNCTION("GOOGLEFINANCE(A10254,""name"")"),"#N/A")</f>
        <v>#N/A</v>
      </c>
      <c r="D10254" s="125"/>
    </row>
    <row r="10255">
      <c r="A10255" s="122" t="s">
        <v>36003</v>
      </c>
      <c r="B10255" s="123">
        <v>1850051.0</v>
      </c>
      <c r="C10255" s="687" t="str">
        <f>IFERROR(__xludf.DUMMYFUNCTION("GOOGLEFINANCE(A10255,""name"")"),"#N/A")</f>
        <v>#N/A</v>
      </c>
      <c r="D10255" s="125"/>
    </row>
    <row r="10256">
      <c r="A10256" s="122" t="s">
        <v>36004</v>
      </c>
      <c r="B10256" s="123">
        <v>1850051.0</v>
      </c>
      <c r="C10256" s="687" t="str">
        <f>IFERROR(__xludf.DUMMYFUNCTION("GOOGLEFINANCE(A10256,""name"")"),"#N/A")</f>
        <v>#N/A</v>
      </c>
      <c r="D10256" s="125"/>
    </row>
    <row r="10257">
      <c r="A10257" s="122" t="s">
        <v>36005</v>
      </c>
      <c r="B10257" s="123">
        <v>1373690.0</v>
      </c>
      <c r="C10257" s="687" t="str">
        <f>IFERROR(__xludf.DUMMYFUNCTION("GOOGLEFINANCE(A10257,""name"")"),"#N/A")</f>
        <v>#N/A</v>
      </c>
      <c r="D10257" s="125"/>
    </row>
    <row r="10258">
      <c r="A10258" s="122" t="s">
        <v>36006</v>
      </c>
      <c r="B10258" s="123">
        <v>1777946.0</v>
      </c>
      <c r="C10258" s="687" t="str">
        <f>IFERROR(__xludf.DUMMYFUNCTION("GOOGLEFINANCE(A10258,""name"")"),"#N/A")</f>
        <v>#N/A</v>
      </c>
      <c r="D10258" s="125"/>
    </row>
    <row r="10259">
      <c r="A10259" s="122" t="s">
        <v>36007</v>
      </c>
      <c r="B10259" s="123">
        <v>1777946.0</v>
      </c>
      <c r="C10259" s="687" t="str">
        <f>IFERROR(__xludf.DUMMYFUNCTION("GOOGLEFINANCE(A10259,""name"")"),"#N/A")</f>
        <v>#N/A</v>
      </c>
      <c r="D10259" s="125"/>
    </row>
    <row r="10260">
      <c r="A10260" s="122" t="s">
        <v>36008</v>
      </c>
      <c r="B10260" s="123">
        <v>1514743.0</v>
      </c>
      <c r="C10260" s="687" t="str">
        <f>IFERROR(__xludf.DUMMYFUNCTION("GOOGLEFINANCE(A10260,""name"")"),"IF Bancorp Inc")</f>
        <v>IF Bancorp Inc</v>
      </c>
      <c r="D10260" s="125"/>
    </row>
    <row r="10261">
      <c r="A10261" s="122" t="s">
        <v>36009</v>
      </c>
      <c r="B10261" s="123">
        <v>1854795.0</v>
      </c>
      <c r="C10261" s="687" t="str">
        <f>IFERROR(__xludf.DUMMYFUNCTION("GOOGLEFINANCE(A10261,""name"")"),"Integrated Rail and Rsurcs Acqstn Corp")</f>
        <v>Integrated Rail and Rsurcs Acqstn Corp</v>
      </c>
      <c r="D10261" s="125"/>
    </row>
    <row r="10262">
      <c r="A10262" s="122" t="s">
        <v>36010</v>
      </c>
      <c r="B10262" s="123">
        <v>1854795.0</v>
      </c>
      <c r="C10262" s="687" t="str">
        <f>IFERROR(__xludf.DUMMYFUNCTION("GOOGLEFINANCE(A10262,""name"")"),"#N/A")</f>
        <v>#N/A</v>
      </c>
      <c r="D10262" s="125"/>
    </row>
    <row r="10263">
      <c r="A10263" s="122" t="s">
        <v>36011</v>
      </c>
      <c r="B10263" s="123">
        <v>1854795.0</v>
      </c>
      <c r="C10263" s="687" t="str">
        <f>IFERROR(__xludf.DUMMYFUNCTION("GOOGLEFINANCE(A10263,""name"")"),"#N/A")</f>
        <v>#N/A</v>
      </c>
      <c r="D10263" s="125"/>
    </row>
    <row r="10264">
      <c r="A10264" s="122" t="s">
        <v>36012</v>
      </c>
      <c r="B10264" s="123">
        <v>933267.0</v>
      </c>
      <c r="C10264" s="687" t="str">
        <f>IFERROR(__xludf.DUMMYFUNCTION("GOOGLEFINANCE(A10264,""name"")"),"#N/A")</f>
        <v>#N/A</v>
      </c>
      <c r="D10264" s="125"/>
    </row>
    <row r="10265">
      <c r="A10265" s="122" t="s">
        <v>36013</v>
      </c>
      <c r="B10265" s="123">
        <v>1845601.0</v>
      </c>
      <c r="C10265" s="687" t="str">
        <f>IFERROR(__xludf.DUMMYFUNCTION("GOOGLEFINANCE(A10265,""name"")"),"#N/A")</f>
        <v>#N/A</v>
      </c>
      <c r="D10265" s="125"/>
    </row>
    <row r="10266">
      <c r="A10266" s="122" t="s">
        <v>36014</v>
      </c>
      <c r="B10266" s="123">
        <v>1594012.0</v>
      </c>
      <c r="C10266" s="687" t="str">
        <f>IFERROR(__xludf.DUMMYFUNCTION("GOOGLEFINANCE(A10266,""name"")"),"#N/A")</f>
        <v>#N/A</v>
      </c>
      <c r="D10266" s="125"/>
    </row>
    <row r="10267">
      <c r="A10267" s="122" t="s">
        <v>36015</v>
      </c>
      <c r="B10267" s="123">
        <v>875355.0</v>
      </c>
      <c r="C10267" s="687" t="str">
        <f>IFERROR(__xludf.DUMMYFUNCTION("GOOGLEFINANCE(A10267,""name"")"),"#N/A")</f>
        <v>#N/A</v>
      </c>
      <c r="D10267" s="125"/>
    </row>
    <row r="10268">
      <c r="A10268" s="122" t="s">
        <v>36016</v>
      </c>
      <c r="B10268" s="123">
        <v>727634.0</v>
      </c>
      <c r="C10268" s="687" t="str">
        <f>IFERROR(__xludf.DUMMYFUNCTION("GOOGLEFINANCE(A10268,""name"")"),"#N/A")</f>
        <v>#N/A</v>
      </c>
      <c r="D10268" s="125"/>
    </row>
    <row r="10269">
      <c r="A10269" s="122" t="s">
        <v>36017</v>
      </c>
      <c r="B10269" s="123">
        <v>728387.0</v>
      </c>
      <c r="C10269" s="687" t="str">
        <f>IFERROR(__xludf.DUMMYFUNCTION("GOOGLEFINANCE(A10269,""name"")"),"#N/A")</f>
        <v>#N/A</v>
      </c>
      <c r="D10269" s="125"/>
    </row>
    <row r="10270">
      <c r="A10270" s="122" t="s">
        <v>36018</v>
      </c>
      <c r="B10270" s="123">
        <v>1841586.0</v>
      </c>
      <c r="C10270" s="687" t="str">
        <f>IFERROR(__xludf.DUMMYFUNCTION("GOOGLEFINANCE(A10270,""name"")"),"#N/A")</f>
        <v>#N/A</v>
      </c>
      <c r="D10270" s="125"/>
    </row>
    <row r="10271">
      <c r="A10271" s="122" t="s">
        <v>36019</v>
      </c>
      <c r="B10271" s="123">
        <v>1841586.0</v>
      </c>
      <c r="C10271" s="687" t="str">
        <f>IFERROR(__xludf.DUMMYFUNCTION("GOOGLEFINANCE(A10271,""name"")"),"#N/A")</f>
        <v>#N/A</v>
      </c>
      <c r="D10271" s="125"/>
    </row>
    <row r="10272">
      <c r="A10272" s="122" t="s">
        <v>36020</v>
      </c>
      <c r="B10272" s="123">
        <v>1841586.0</v>
      </c>
      <c r="C10272" s="687" t="str">
        <f>IFERROR(__xludf.DUMMYFUNCTION("GOOGLEFINANCE(A10272,""name"")"),"#N/A")</f>
        <v>#N/A</v>
      </c>
      <c r="D10272" s="125"/>
    </row>
    <row r="10273">
      <c r="A10273" s="122" t="s">
        <v>36021</v>
      </c>
      <c r="B10273" s="123">
        <v>1276671.0</v>
      </c>
      <c r="C10273" s="687" t="str">
        <f>IFERROR(__xludf.DUMMYFUNCTION("GOOGLEFINANCE(A10273,""name"")"),"#N/A")</f>
        <v>#N/A</v>
      </c>
      <c r="D10273" s="125"/>
    </row>
    <row r="10274">
      <c r="A10274" s="122" t="s">
        <v>36022</v>
      </c>
      <c r="B10274" s="123">
        <v>1579597.0</v>
      </c>
      <c r="C10274" s="687" t="str">
        <f>IFERROR(__xludf.DUMMYFUNCTION("GOOGLEFINANCE(A10274,""name"")"),"#N/A")</f>
        <v>#N/A</v>
      </c>
      <c r="D10274" s="125"/>
    </row>
    <row r="10275">
      <c r="A10275" s="122" t="s">
        <v>36023</v>
      </c>
      <c r="B10275" s="123">
        <v>1579597.0</v>
      </c>
      <c r="C10275" s="687" t="str">
        <f>IFERROR(__xludf.DUMMYFUNCTION("GOOGLEFINANCE(A10275,""name"")"),"#N/A")</f>
        <v>#N/A</v>
      </c>
      <c r="D10275" s="125"/>
    </row>
    <row r="10276">
      <c r="A10276" s="122" t="s">
        <v>36024</v>
      </c>
      <c r="B10276" s="123">
        <v>1805508.0</v>
      </c>
      <c r="C10276" s="687" t="str">
        <f>IFERROR(__xludf.DUMMYFUNCTION("GOOGLEFINANCE(A10276,""name"")"),"#N/A")</f>
        <v>#N/A</v>
      </c>
      <c r="D10276" s="125"/>
    </row>
    <row r="10277">
      <c r="A10277" s="122" t="s">
        <v>36025</v>
      </c>
      <c r="B10277" s="123">
        <v>1805508.0</v>
      </c>
      <c r="C10277" s="687" t="str">
        <f>IFERROR(__xludf.DUMMYFUNCTION("GOOGLEFINANCE(A10277,""name"")"),"#N/A")</f>
        <v>#N/A</v>
      </c>
      <c r="D10277" s="125"/>
    </row>
    <row r="10278">
      <c r="A10278" s="122" t="s">
        <v>36026</v>
      </c>
      <c r="B10278" s="123">
        <v>1805508.0</v>
      </c>
      <c r="C10278" s="687" t="str">
        <f>IFERROR(__xludf.DUMMYFUNCTION("GOOGLEFINANCE(A10278,""name"")"),"#N/A")</f>
        <v>#N/A</v>
      </c>
      <c r="D10278" s="125"/>
    </row>
    <row r="10279">
      <c r="A10279" s="122" t="s">
        <v>36027</v>
      </c>
      <c r="B10279" s="123">
        <v>1568292.0</v>
      </c>
      <c r="C10279" s="687" t="str">
        <f>IFERROR(__xludf.DUMMYFUNCTION("GOOGLEFINANCE(A10279,""name"")"),"Carlton Precious Inc")</f>
        <v>Carlton Precious Inc</v>
      </c>
      <c r="D10279" s="125"/>
    </row>
    <row r="10280">
      <c r="A10280" s="122" t="s">
        <v>36028</v>
      </c>
      <c r="B10280" s="123">
        <v>1437071.0</v>
      </c>
      <c r="C10280" s="687" t="str">
        <f>IFERROR(__xludf.DUMMYFUNCTION("GOOGLEFINANCE(A10280,""name"")"),"#N/A")</f>
        <v>#N/A</v>
      </c>
      <c r="D10280" s="125"/>
    </row>
    <row r="10281">
      <c r="A10281" s="122" t="s">
        <v>36029</v>
      </c>
      <c r="B10281" s="123">
        <v>1437071.0</v>
      </c>
      <c r="C10281" s="687" t="str">
        <f>IFERROR(__xludf.DUMMYFUNCTION("GOOGLEFINANCE(A10281,""name"")"),"#N/A")</f>
        <v>#N/A</v>
      </c>
      <c r="D10281" s="125"/>
    </row>
    <row r="10282">
      <c r="A10282" s="122" t="s">
        <v>36030</v>
      </c>
      <c r="B10282" s="123">
        <v>1114446.0</v>
      </c>
      <c r="C10282" s="687" t="str">
        <f>IFERROR(__xludf.DUMMYFUNCTION("GOOGLEFINANCE(A10282,""name"")"),"ETRACS 2x Leveraged US Value Factor TR ETN")</f>
        <v>ETRACS 2x Leveraged US Value Factor TR ETN</v>
      </c>
      <c r="D10282" s="125"/>
    </row>
    <row r="10283">
      <c r="A10283" s="122" t="s">
        <v>36031</v>
      </c>
      <c r="B10283" s="123">
        <v>1114446.0</v>
      </c>
      <c r="C10283" s="687" t="str">
        <f>IFERROR(__xludf.DUMMYFUNCTION("GOOGLEFINANCE(A10283,""name"")"),"ETRACS 2x Leveraged US Growth Factor TR ETN")</f>
        <v>ETRACS 2x Leveraged US Growth Factor TR ETN</v>
      </c>
      <c r="D10283" s="125"/>
    </row>
    <row r="10284">
      <c r="A10284" s="122" t="s">
        <v>36032</v>
      </c>
      <c r="B10284" s="123">
        <v>1114446.0</v>
      </c>
      <c r="C10284" s="687" t="str">
        <f>IFERROR(__xludf.DUMMYFUNCTION("GOOGLEFINANCE(A10284,""name"")"),"ETRACS 2x Leveraged US Size Factor TR ETN")</f>
        <v>ETRACS 2x Leveraged US Size Factor TR ETN</v>
      </c>
      <c r="D10284" s="125"/>
    </row>
    <row r="10285">
      <c r="A10285" s="122" t="s">
        <v>36033</v>
      </c>
      <c r="B10285" s="123">
        <v>1854572.0</v>
      </c>
      <c r="C10285" s="687" t="str">
        <f>IFERROR(__xludf.DUMMYFUNCTION("GOOGLEFINANCE(A10285,""name"")"),"ICZOOM Group Inc")</f>
        <v>ICZOOM Group Inc</v>
      </c>
      <c r="D10285" s="125"/>
    </row>
    <row r="10286">
      <c r="A10286" s="122" t="s">
        <v>36034</v>
      </c>
      <c r="B10286" s="123">
        <v>1817868.0</v>
      </c>
      <c r="C10286" s="687" t="str">
        <f>IFERROR(__xludf.DUMMYFUNCTION("GOOGLEFINANCE(A10286,""name"")"),"#N/A")</f>
        <v>#N/A</v>
      </c>
      <c r="D10286" s="125"/>
    </row>
    <row r="10287">
      <c r="A10287" s="122" t="s">
        <v>36035</v>
      </c>
      <c r="B10287" s="123">
        <v>1817868.0</v>
      </c>
      <c r="C10287" s="687" t="str">
        <f>IFERROR(__xludf.DUMMYFUNCTION("GOOGLEFINANCE(A10287,""name"")"),"#N/A")</f>
        <v>#N/A</v>
      </c>
      <c r="D10287" s="125"/>
    </row>
    <row r="10288">
      <c r="A10288" s="122" t="s">
        <v>36036</v>
      </c>
      <c r="B10288" s="123">
        <v>1817868.0</v>
      </c>
      <c r="C10288" s="687" t="str">
        <f>IFERROR(__xludf.DUMMYFUNCTION("GOOGLEFINANCE(A10288,""name"")"),"#N/A")</f>
        <v>#N/A</v>
      </c>
      <c r="D10288" s="125"/>
    </row>
    <row r="10289">
      <c r="A10289" s="122" t="s">
        <v>36037</v>
      </c>
      <c r="B10289" s="123">
        <v>1855644.0</v>
      </c>
      <c r="C10289" s="687" t="str">
        <f>IFERROR(__xludf.DUMMYFUNCTION("GOOGLEFINANCE(A10289,""name"")"),"#N/A")</f>
        <v>#N/A</v>
      </c>
      <c r="D10289" s="125"/>
    </row>
    <row r="10290">
      <c r="A10290" s="122" t="s">
        <v>36038</v>
      </c>
      <c r="B10290" s="123">
        <v>1855644.0</v>
      </c>
      <c r="C10290" s="687" t="str">
        <f>IFERROR(__xludf.DUMMYFUNCTION("GOOGLEFINANCE(A10290,""name"")"),"#N/A")</f>
        <v>#N/A</v>
      </c>
      <c r="D10290" s="125"/>
    </row>
    <row r="10291">
      <c r="A10291" s="122" t="s">
        <v>36039</v>
      </c>
      <c r="B10291" s="123">
        <v>1158463.0</v>
      </c>
      <c r="C10291" s="687" t="str">
        <f>IFERROR(__xludf.DUMMYFUNCTION("GOOGLEFINANCE(A10291,""name"")"),"JetBlue Airways Corp")</f>
        <v>JetBlue Airways Corp</v>
      </c>
      <c r="D10291" s="125"/>
    </row>
    <row r="10292">
      <c r="A10292" s="122" t="s">
        <v>36040</v>
      </c>
      <c r="B10292" s="123">
        <v>1822312.0</v>
      </c>
      <c r="C10292" s="687" t="str">
        <f>IFERROR(__xludf.DUMMYFUNCTION("GOOGLEFINANCE(A10292,""name"")"),"#N/A")</f>
        <v>#N/A</v>
      </c>
      <c r="D10292" s="125"/>
    </row>
    <row r="10293">
      <c r="A10293" s="122" t="s">
        <v>36041</v>
      </c>
      <c r="B10293" s="123">
        <v>1822312.0</v>
      </c>
      <c r="C10293" s="687" t="str">
        <f>IFERROR(__xludf.DUMMYFUNCTION("GOOGLEFINANCE(A10293,""name"")"),"#N/A")</f>
        <v>#N/A</v>
      </c>
      <c r="D10293" s="125"/>
    </row>
    <row r="10294">
      <c r="A10294" s="122" t="s">
        <v>36042</v>
      </c>
      <c r="B10294" s="123">
        <v>1686142.0</v>
      </c>
      <c r="C10294" s="687" t="str">
        <f>IFERROR(__xludf.DUMMYFUNCTION("GOOGLEFINANCE(A10294,""name"")"),"#N/A")</f>
        <v>#N/A</v>
      </c>
      <c r="D10294" s="125"/>
    </row>
    <row r="10295">
      <c r="A10295" s="122" t="s">
        <v>36043</v>
      </c>
      <c r="B10295" s="123">
        <v>1708261.0</v>
      </c>
      <c r="C10295" s="687" t="str">
        <f>IFERROR(__xludf.DUMMYFUNCTION("GOOGLEFINANCE(A10295,""name"")"),"#N/A")</f>
        <v>#N/A</v>
      </c>
      <c r="D10295" s="125"/>
    </row>
    <row r="10296">
      <c r="A10296" s="122" t="s">
        <v>36044</v>
      </c>
      <c r="B10296" s="123">
        <v>1538789.0</v>
      </c>
      <c r="C10296" s="687" t="str">
        <f>IFERROR(__xludf.DUMMYFUNCTION("GOOGLEFINANCE(A10296,""name"")"),"#N/A")</f>
        <v>#N/A</v>
      </c>
      <c r="D10296" s="125"/>
    </row>
    <row r="10297">
      <c r="A10297" s="122" t="s">
        <v>36045</v>
      </c>
      <c r="B10297" s="123">
        <v>1857518.0</v>
      </c>
      <c r="C10297" s="687" t="str">
        <f>IFERROR(__xludf.DUMMYFUNCTION("GOOGLEFINANCE(A10297,""name"")"),"#N/A")</f>
        <v>#N/A</v>
      </c>
      <c r="D10297" s="125"/>
    </row>
    <row r="10298">
      <c r="A10298" s="122" t="s">
        <v>36046</v>
      </c>
      <c r="B10298" s="123">
        <v>1857518.0</v>
      </c>
      <c r="C10298" s="687" t="str">
        <f>IFERROR(__xludf.DUMMYFUNCTION("GOOGLEFINANCE(A10298,""name"")"),"#N/A")</f>
        <v>#N/A</v>
      </c>
      <c r="D10298" s="125"/>
    </row>
    <row r="10299">
      <c r="A10299" s="122" t="s">
        <v>36047</v>
      </c>
      <c r="B10299" s="123">
        <v>1857518.0</v>
      </c>
      <c r="C10299" s="687" t="str">
        <f>IFERROR(__xludf.DUMMYFUNCTION("GOOGLEFINANCE(A10299,""name"")"),"#N/A")</f>
        <v>#N/A</v>
      </c>
      <c r="D10299" s="125"/>
    </row>
    <row r="10300">
      <c r="A10300" s="122" t="s">
        <v>36048</v>
      </c>
      <c r="B10300" s="123">
        <v>1857518.0</v>
      </c>
      <c r="C10300" s="687" t="str">
        <f>IFERROR(__xludf.DUMMYFUNCTION("GOOGLEFINANCE(A10300,""name"")"),"#N/A")</f>
        <v>#N/A</v>
      </c>
      <c r="D10300" s="125"/>
    </row>
    <row r="10301">
      <c r="A10301" s="122" t="s">
        <v>36049</v>
      </c>
      <c r="B10301" s="123">
        <v>1753217.0</v>
      </c>
      <c r="C10301" s="687" t="str">
        <f>IFERROR(__xludf.DUMMYFUNCTION("GOOGLEFINANCE(A10301,""name"")"),"#N/A")</f>
        <v>#N/A</v>
      </c>
      <c r="D10301" s="125"/>
    </row>
    <row r="10302">
      <c r="A10302" s="122" t="s">
        <v>36050</v>
      </c>
      <c r="B10302" s="123">
        <v>1798255.0</v>
      </c>
      <c r="C10302" s="687" t="str">
        <f>IFERROR(__xludf.DUMMYFUNCTION("GOOGLEFINANCE(A10302,""name"")"),"#N/A")</f>
        <v>#N/A</v>
      </c>
      <c r="D10302" s="125"/>
    </row>
    <row r="10303">
      <c r="A10303" s="122" t="s">
        <v>36051</v>
      </c>
      <c r="B10303" s="123">
        <v>312070.0</v>
      </c>
      <c r="C10303" s="687" t="str">
        <f>IFERROR(__xludf.DUMMYFUNCTION("GOOGLEFINANCE(A10303,""name"")"),"#N/A")</f>
        <v>#N/A</v>
      </c>
      <c r="D10303" s="125"/>
    </row>
    <row r="10304">
      <c r="A10304" s="122" t="s">
        <v>36052</v>
      </c>
      <c r="B10304" s="123">
        <v>312070.0</v>
      </c>
      <c r="C10304" s="687" t="str">
        <f>IFERROR(__xludf.DUMMYFUNCTION("GOOGLEFINANCE(A10304,""name"")"),"#N/A")</f>
        <v>#N/A</v>
      </c>
      <c r="D10304" s="125"/>
    </row>
    <row r="10305">
      <c r="A10305" s="122" t="s">
        <v>36053</v>
      </c>
      <c r="B10305" s="123">
        <v>312070.0</v>
      </c>
      <c r="C10305" s="687" t="str">
        <f>IFERROR(__xludf.DUMMYFUNCTION("GOOGLEFINANCE(A10305,""name"")"),"#N/A")</f>
        <v>#N/A</v>
      </c>
      <c r="D10305" s="125"/>
    </row>
    <row r="10306">
      <c r="A10306" s="122" t="s">
        <v>36054</v>
      </c>
      <c r="B10306" s="123">
        <v>312070.0</v>
      </c>
      <c r="C10306" s="687" t="str">
        <f>IFERROR(__xludf.DUMMYFUNCTION("GOOGLEFINANCE(A10306,""name"")"),"#N/A")</f>
        <v>#N/A</v>
      </c>
      <c r="D10306" s="125"/>
    </row>
    <row r="10307">
      <c r="A10307" s="122" t="s">
        <v>36055</v>
      </c>
      <c r="B10307" s="123">
        <v>312070.0</v>
      </c>
      <c r="C10307" s="687" t="str">
        <f>IFERROR(__xludf.DUMMYFUNCTION("GOOGLEFINANCE(A10307,""name"")"),"#N/A")</f>
        <v>#N/A</v>
      </c>
      <c r="D10307" s="125"/>
    </row>
    <row r="10308">
      <c r="A10308" s="122" t="s">
        <v>36056</v>
      </c>
      <c r="B10308" s="123">
        <v>312070.0</v>
      </c>
      <c r="C10308" s="687" t="str">
        <f>IFERROR(__xludf.DUMMYFUNCTION("GOOGLEFINANCE(A10308,""name"")"),"#N/A")</f>
        <v>#N/A</v>
      </c>
      <c r="D10308" s="125"/>
    </row>
    <row r="10309">
      <c r="A10309" s="122" t="s">
        <v>36057</v>
      </c>
      <c r="B10309" s="123">
        <v>1861733.0</v>
      </c>
      <c r="C10309" s="687" t="str">
        <f>IFERROR(__xludf.DUMMYFUNCTION("GOOGLEFINANCE(A10309,""name"")"),"#N/A")</f>
        <v>#N/A</v>
      </c>
      <c r="D10309" s="125"/>
    </row>
    <row r="10310">
      <c r="A10310" s="122" t="s">
        <v>36058</v>
      </c>
      <c r="B10310" s="123">
        <v>312070.0</v>
      </c>
      <c r="C10310" s="687" t="str">
        <f>IFERROR(__xludf.DUMMYFUNCTION("GOOGLEFINANCE(A10310,""name"")"),"#N/A")</f>
        <v>#N/A</v>
      </c>
      <c r="D10310" s="125"/>
    </row>
    <row r="10311">
      <c r="A10311" s="122" t="s">
        <v>36059</v>
      </c>
      <c r="B10311" s="123">
        <v>312070.0</v>
      </c>
      <c r="C10311" s="687" t="str">
        <f>IFERROR(__xludf.DUMMYFUNCTION("GOOGLEFINANCE(A10311,""name"")"),"#N/A")</f>
        <v>#N/A</v>
      </c>
      <c r="D10311" s="125"/>
    </row>
    <row r="10312">
      <c r="A10312" s="122" t="s">
        <v>36060</v>
      </c>
      <c r="B10312" s="123">
        <v>312070.0</v>
      </c>
      <c r="C10312" s="687" t="str">
        <f>IFERROR(__xludf.DUMMYFUNCTION("GOOGLEFINANCE(A10312,""name"")"),"#N/A")</f>
        <v>#N/A</v>
      </c>
      <c r="D10312" s="125"/>
    </row>
    <row r="10313">
      <c r="A10313" s="122" t="s">
        <v>36061</v>
      </c>
      <c r="B10313" s="123">
        <v>312070.0</v>
      </c>
      <c r="C10313" s="687" t="str">
        <f>IFERROR(__xludf.DUMMYFUNCTION("GOOGLEFINANCE(A10313,""name"")"),"#N/A")</f>
        <v>#N/A</v>
      </c>
      <c r="D10313" s="125"/>
    </row>
    <row r="10314">
      <c r="A10314" s="122" t="s">
        <v>36062</v>
      </c>
      <c r="B10314" s="123">
        <v>312070.0</v>
      </c>
      <c r="C10314" s="687" t="str">
        <f>IFERROR(__xludf.DUMMYFUNCTION("GOOGLEFINANCE(A10314,""name"")"),"#N/A")</f>
        <v>#N/A</v>
      </c>
      <c r="D10314" s="125"/>
    </row>
    <row r="10315">
      <c r="A10315" s="122" t="s">
        <v>36063</v>
      </c>
      <c r="B10315" s="123">
        <v>1874259.0</v>
      </c>
      <c r="C10315" s="687" t="str">
        <f>IFERROR(__xludf.DUMMYFUNCTION("GOOGLEFINANCE(A10315,""name"")"),"#N/A")</f>
        <v>#N/A</v>
      </c>
      <c r="D10315" s="125"/>
    </row>
    <row r="10316">
      <c r="A10316" s="122" t="s">
        <v>36064</v>
      </c>
      <c r="B10316" s="123">
        <v>1874259.0</v>
      </c>
      <c r="C10316" s="687" t="str">
        <f>IFERROR(__xludf.DUMMYFUNCTION("GOOGLEFINANCE(A10316,""name"")"),"#N/A")</f>
        <v>#N/A</v>
      </c>
      <c r="D10316" s="125"/>
    </row>
    <row r="10317">
      <c r="A10317" s="122" t="s">
        <v>36065</v>
      </c>
      <c r="B10317" s="123">
        <v>1874259.0</v>
      </c>
      <c r="C10317" s="687" t="str">
        <f>IFERROR(__xludf.DUMMYFUNCTION("GOOGLEFINANCE(A10317,""name"")"),"#N/A")</f>
        <v>#N/A</v>
      </c>
      <c r="D10317" s="125"/>
    </row>
    <row r="10318">
      <c r="A10318" s="122" t="s">
        <v>36066</v>
      </c>
      <c r="B10318" s="123">
        <v>1640455.0</v>
      </c>
      <c r="C10318" s="687" t="str">
        <f>IFERROR(__xludf.DUMMYFUNCTION("GOOGLEFINANCE(A10318,""name"")"),"#N/A")</f>
        <v>#N/A</v>
      </c>
      <c r="D10318" s="125"/>
    </row>
    <row r="10319">
      <c r="A10319" s="122" t="s">
        <v>36067</v>
      </c>
      <c r="B10319" s="123">
        <v>312070.0</v>
      </c>
      <c r="C10319" s="687" t="str">
        <f>IFERROR(__xludf.DUMMYFUNCTION("GOOGLEFINANCE(A10319,""name"")"),"#N/A")</f>
        <v>#N/A</v>
      </c>
      <c r="D10319" s="125"/>
    </row>
    <row r="10320">
      <c r="A10320" s="122" t="s">
        <v>36068</v>
      </c>
      <c r="B10320" s="123">
        <v>1819848.0</v>
      </c>
      <c r="C10320" s="687" t="str">
        <f>IFERROR(__xludf.DUMMYFUNCTION("GOOGLEFINANCE(A10320,""name"")"),"#N/A")</f>
        <v>#N/A</v>
      </c>
      <c r="D10320" s="125"/>
    </row>
    <row r="10321">
      <c r="A10321" s="122" t="s">
        <v>36069</v>
      </c>
      <c r="B10321" s="123">
        <v>1824149.0</v>
      </c>
      <c r="C10321" s="687" t="str">
        <f>IFERROR(__xludf.DUMMYFUNCTION("GOOGLEFINANCE(A10321,""name"")"),"#N/A")</f>
        <v>#N/A</v>
      </c>
      <c r="D10321" s="125"/>
    </row>
    <row r="10322">
      <c r="A10322" s="122" t="s">
        <v>36070</v>
      </c>
      <c r="B10322" s="123">
        <v>1824149.0</v>
      </c>
      <c r="C10322" s="687" t="str">
        <f>IFERROR(__xludf.DUMMYFUNCTION("GOOGLEFINANCE(A10322,""name"")"),"#N/A")</f>
        <v>#N/A</v>
      </c>
      <c r="D10322" s="125"/>
    </row>
    <row r="10323">
      <c r="A10323" s="122" t="s">
        <v>36071</v>
      </c>
      <c r="B10323" s="123">
        <v>1824149.0</v>
      </c>
      <c r="C10323" s="687" t="str">
        <f>IFERROR(__xludf.DUMMYFUNCTION("GOOGLEFINANCE(A10323,""name"")"),"#N/A")</f>
        <v>#N/A</v>
      </c>
      <c r="D10323" s="125"/>
    </row>
    <row r="10324">
      <c r="A10324" s="122" t="s">
        <v>36072</v>
      </c>
      <c r="B10324" s="123">
        <v>19617.0</v>
      </c>
      <c r="C10324" s="687" t="str">
        <f>IFERROR(__xludf.DUMMYFUNCTION("GOOGLEFINANCE(A10324,""name"")"),"#N/A")</f>
        <v>#N/A</v>
      </c>
      <c r="D10324" s="125"/>
    </row>
    <row r="10325">
      <c r="A10325" s="122" t="s">
        <v>36073</v>
      </c>
      <c r="B10325" s="123">
        <v>19617.0</v>
      </c>
      <c r="C10325" s="687" t="str">
        <f>IFERROR(__xludf.DUMMYFUNCTION("GOOGLEFINANCE(A10325,""name"")"),"#N/A")</f>
        <v>#N/A</v>
      </c>
      <c r="D10325" s="125"/>
    </row>
    <row r="10326">
      <c r="A10326" s="122" t="s">
        <v>36074</v>
      </c>
      <c r="B10326" s="123">
        <v>19617.0</v>
      </c>
      <c r="C10326" s="687" t="str">
        <f>IFERROR(__xludf.DUMMYFUNCTION("GOOGLEFINANCE(A10326,""name"")"),"#N/A")</f>
        <v>#N/A</v>
      </c>
      <c r="D10326" s="125"/>
    </row>
    <row r="10327">
      <c r="A10327" s="122" t="s">
        <v>36075</v>
      </c>
      <c r="B10327" s="123">
        <v>19617.0</v>
      </c>
      <c r="C10327" s="687" t="str">
        <f>IFERROR(__xludf.DUMMYFUNCTION("GOOGLEFINANCE(A10327,""name"")"),"#N/A")</f>
        <v>#N/A</v>
      </c>
      <c r="D10327" s="125"/>
    </row>
    <row r="10328">
      <c r="A10328" s="122" t="s">
        <v>36076</v>
      </c>
      <c r="B10328" s="123">
        <v>19617.0</v>
      </c>
      <c r="C10328" s="687" t="str">
        <f>IFERROR(__xludf.DUMMYFUNCTION("GOOGLEFINANCE(A10328,""name"")"),"#N/A")</f>
        <v>#N/A</v>
      </c>
      <c r="D10328" s="125"/>
    </row>
    <row r="10329">
      <c r="A10329" s="122" t="s">
        <v>36077</v>
      </c>
      <c r="B10329" s="123">
        <v>19617.0</v>
      </c>
      <c r="C10329" s="687" t="str">
        <f>IFERROR(__xludf.DUMMYFUNCTION("GOOGLEFINANCE(A10329,""name"")"),"#N/A")</f>
        <v>#N/A</v>
      </c>
      <c r="D10329" s="125"/>
    </row>
    <row r="10330">
      <c r="A10330" s="122" t="s">
        <v>36078</v>
      </c>
      <c r="B10330" s="123">
        <v>1176433.0</v>
      </c>
      <c r="C10330" s="687" t="str">
        <f>IFERROR(__xludf.DUMMYFUNCTION("GOOGLEFINANCE(A10330,""name"")"),"#N/A")</f>
        <v>#N/A</v>
      </c>
      <c r="D10330" s="125"/>
    </row>
    <row r="10331">
      <c r="A10331" s="122" t="s">
        <v>36079</v>
      </c>
      <c r="B10331" s="123">
        <v>1679033.0</v>
      </c>
      <c r="C10331" s="687" t="str">
        <f>IFERROR(__xludf.DUMMYFUNCTION("GOOGLEFINANCE(A10331,""name"")"),"#N/A")</f>
        <v>#N/A</v>
      </c>
      <c r="D10331" s="125"/>
    </row>
    <row r="10332">
      <c r="A10332" s="122" t="s">
        <v>36080</v>
      </c>
      <c r="B10332" s="123">
        <v>1289213.0</v>
      </c>
      <c r="C10332" s="687" t="str">
        <f>IFERROR(__xludf.DUMMYFUNCTION("GOOGLEFINANCE(A10332,""name"")"),"#N/A")</f>
        <v>#N/A</v>
      </c>
      <c r="D10332" s="125"/>
    </row>
    <row r="10333">
      <c r="A10333" s="122" t="s">
        <v>36081</v>
      </c>
      <c r="B10333" s="123">
        <v>1556801.0</v>
      </c>
      <c r="C10333" s="687" t="str">
        <f>IFERROR(__xludf.DUMMYFUNCTION("GOOGLEFINANCE(A10333,""name"")"),"#N/A")</f>
        <v>#N/A</v>
      </c>
      <c r="D10333" s="125"/>
    </row>
    <row r="10334">
      <c r="A10334" s="122" t="s">
        <v>36082</v>
      </c>
      <c r="B10334" s="123">
        <v>1509253.0</v>
      </c>
      <c r="C10334" s="687" t="str">
        <f>IFERROR(__xludf.DUMMYFUNCTION("GOOGLEFINANCE(A10334,""name"")"),"#N/A")</f>
        <v>#N/A</v>
      </c>
      <c r="D10334" s="125"/>
    </row>
    <row r="10335">
      <c r="A10335" s="122" t="s">
        <v>36083</v>
      </c>
      <c r="B10335" s="123">
        <v>1788028.0</v>
      </c>
      <c r="C10335" s="687" t="str">
        <f>IFERROR(__xludf.DUMMYFUNCTION("GOOGLEFINANCE(A10335,""name"")"),"Jasper Therapeutics Inc")</f>
        <v>Jasper Therapeutics Inc</v>
      </c>
      <c r="D10335" s="125"/>
    </row>
    <row r="10336">
      <c r="A10336" s="122" t="s">
        <v>36084</v>
      </c>
      <c r="B10336" s="123">
        <v>1842609.0</v>
      </c>
      <c r="C10336" s="687" t="str">
        <f>IFERROR(__xludf.DUMMYFUNCTION("GOOGLEFINANCE(A10336,""name"")"),"#N/A")</f>
        <v>#N/A</v>
      </c>
      <c r="D10336" s="125"/>
    </row>
    <row r="10337">
      <c r="A10337" s="122" t="s">
        <v>36085</v>
      </c>
      <c r="B10337" s="123">
        <v>1842609.0</v>
      </c>
      <c r="C10337" s="687" t="str">
        <f>IFERROR(__xludf.DUMMYFUNCTION("GOOGLEFINANCE(A10337,""name"")"),"#N/A")</f>
        <v>#N/A</v>
      </c>
      <c r="D10337" s="125"/>
    </row>
    <row r="10338">
      <c r="A10338" s="122" t="s">
        <v>36086</v>
      </c>
      <c r="B10338" s="123">
        <v>1842609.0</v>
      </c>
      <c r="C10338" s="687" t="str">
        <f>IFERROR(__xludf.DUMMYFUNCTION("GOOGLEFINANCE(A10338,""name"")"),"#N/A")</f>
        <v>#N/A</v>
      </c>
      <c r="D10338" s="125"/>
    </row>
    <row r="10339">
      <c r="A10339" s="122" t="s">
        <v>36087</v>
      </c>
      <c r="B10339" s="123">
        <v>1838814.0</v>
      </c>
      <c r="C10339" s="687" t="str">
        <f>IFERROR(__xludf.DUMMYFUNCTION("GOOGLEFINANCE(A10339,""name"")"),"#N/A")</f>
        <v>#N/A</v>
      </c>
      <c r="D10339" s="125"/>
    </row>
    <row r="10340">
      <c r="A10340" s="122" t="s">
        <v>36088</v>
      </c>
      <c r="B10340" s="123">
        <v>1838814.0</v>
      </c>
      <c r="C10340" s="687" t="str">
        <f>IFERROR(__xludf.DUMMYFUNCTION("GOOGLEFINANCE(A10340,""name"")"),"#N/A")</f>
        <v>#N/A</v>
      </c>
      <c r="D10340" s="125"/>
    </row>
    <row r="10341">
      <c r="A10341" s="122" t="s">
        <v>36089</v>
      </c>
      <c r="B10341" s="123">
        <v>1838814.0</v>
      </c>
      <c r="C10341" s="687" t="str">
        <f>IFERROR(__xludf.DUMMYFUNCTION("GOOGLEFINANCE(A10341,""name"")"),"#N/A")</f>
        <v>#N/A</v>
      </c>
      <c r="D10341" s="125"/>
    </row>
    <row r="10342">
      <c r="A10342" s="122" t="s">
        <v>36090</v>
      </c>
      <c r="B10342" s="123">
        <v>1679628.0</v>
      </c>
      <c r="C10342" s="687" t="str">
        <f>IFERROR(__xludf.DUMMYFUNCTION("GOOGLEFINANCE(A10342,""name"")"),"Jupiter Neurosciences Inc")</f>
        <v>Jupiter Neurosciences Inc</v>
      </c>
      <c r="D10342" s="125"/>
    </row>
    <row r="10343">
      <c r="A10343" s="122" t="s">
        <v>36091</v>
      </c>
      <c r="B10343" s="123">
        <v>1760903.0</v>
      </c>
      <c r="C10343" s="687" t="str">
        <f>IFERROR(__xludf.DUMMYFUNCTION("GOOGLEFINANCE(A10343,""name"")"),"#N/A")</f>
        <v>#N/A</v>
      </c>
      <c r="D10343" s="125"/>
    </row>
    <row r="10344">
      <c r="A10344" s="122" t="s">
        <v>36092</v>
      </c>
      <c r="B10344" s="123">
        <v>1760903.0</v>
      </c>
      <c r="C10344" s="687" t="str">
        <f>IFERROR(__xludf.DUMMYFUNCTION("GOOGLEFINANCE(A10344,""name"")"),"#N/A")</f>
        <v>#N/A</v>
      </c>
      <c r="D10344" s="125"/>
    </row>
    <row r="10345">
      <c r="A10345" s="122" t="s">
        <v>36093</v>
      </c>
      <c r="B10345" s="123">
        <v>714712.0</v>
      </c>
      <c r="C10345" s="687" t="str">
        <f>IFERROR(__xludf.DUMMYFUNCTION("GOOGLEFINANCE(A10345,""name"")"),"Juniata Valley Financial Corp")</f>
        <v>Juniata Valley Financial Corp</v>
      </c>
      <c r="D10345" s="125"/>
    </row>
    <row r="10346">
      <c r="A10346" s="122" t="s">
        <v>36094</v>
      </c>
      <c r="B10346" s="123">
        <v>1883799.0</v>
      </c>
      <c r="C10346" s="687" t="str">
        <f>IFERROR(__xludf.DUMMYFUNCTION("GOOGLEFINANCE(A10346,""name"")"),"#N/A")</f>
        <v>#N/A</v>
      </c>
      <c r="D10346" s="125"/>
    </row>
    <row r="10347">
      <c r="A10347" s="122" t="s">
        <v>36095</v>
      </c>
      <c r="B10347" s="123">
        <v>1883799.0</v>
      </c>
      <c r="C10347" s="687" t="str">
        <f>IFERROR(__xludf.DUMMYFUNCTION("GOOGLEFINANCE(A10347,""name"")"),"#N/A")</f>
        <v>#N/A</v>
      </c>
      <c r="D10347" s="125"/>
    </row>
    <row r="10348">
      <c r="A10348" s="122" t="s">
        <v>36096</v>
      </c>
      <c r="B10348" s="123">
        <v>1831359.0</v>
      </c>
      <c r="C10348" s="687" t="str">
        <f>IFERROR(__xludf.DUMMYFUNCTION("GOOGLEFINANCE(A10348,""name"")"),"#N/A")</f>
        <v>#N/A</v>
      </c>
      <c r="D10348" s="125"/>
    </row>
    <row r="10349">
      <c r="A10349" s="122" t="s">
        <v>36097</v>
      </c>
      <c r="B10349" s="123">
        <v>1831359.0</v>
      </c>
      <c r="C10349" s="687" t="str">
        <f>IFERROR(__xludf.DUMMYFUNCTION("GOOGLEFINANCE(A10349,""name"")"),"#N/A")</f>
        <v>#N/A</v>
      </c>
      <c r="D10349" s="125"/>
    </row>
    <row r="10350">
      <c r="A10350" s="122" t="s">
        <v>36098</v>
      </c>
      <c r="B10350" s="123">
        <v>1831359.0</v>
      </c>
      <c r="C10350" s="687" t="str">
        <f>IFERROR(__xludf.DUMMYFUNCTION("GOOGLEFINANCE(A10350,""name"")"),"#N/A")</f>
        <v>#N/A</v>
      </c>
      <c r="D10350" s="125"/>
    </row>
    <row r="10351">
      <c r="A10351" s="122" t="s">
        <v>36099</v>
      </c>
      <c r="B10351" s="123">
        <v>1487533.0</v>
      </c>
      <c r="C10351" s="687" t="str">
        <f>IFERROR(__xludf.DUMMYFUNCTION("GOOGLEFINANCE(A10351,""name"")"),"Eneos Holdings ADR Representing 2 Ord Shs")</f>
        <v>Eneos Holdings ADR Representing 2 Ord Shs</v>
      </c>
      <c r="D10351" s="125"/>
    </row>
    <row r="10352">
      <c r="A10352" s="122" t="s">
        <v>36100</v>
      </c>
      <c r="B10352" s="123">
        <v>1824119.0</v>
      </c>
      <c r="C10352" s="687" t="str">
        <f>IFERROR(__xludf.DUMMYFUNCTION("GOOGLEFINANCE(A10352,""name"")"),"#N/A")</f>
        <v>#N/A</v>
      </c>
      <c r="D10352" s="125"/>
    </row>
    <row r="10353">
      <c r="A10353" s="122" t="s">
        <v>36101</v>
      </c>
      <c r="B10353" s="123">
        <v>1865468.0</v>
      </c>
      <c r="C10353" s="687" t="str">
        <f>IFERROR(__xludf.DUMMYFUNCTION("GOOGLEFINANCE(A10353,""name"")"),"#N/A")</f>
        <v>#N/A</v>
      </c>
      <c r="D10353" s="125"/>
    </row>
    <row r="10354">
      <c r="A10354" s="122" t="s">
        <v>36102</v>
      </c>
      <c r="B10354" s="123">
        <v>1865468.0</v>
      </c>
      <c r="C10354" s="687" t="str">
        <f>IFERROR(__xludf.DUMMYFUNCTION("GOOGLEFINANCE(A10354,""name"")"),"#N/A")</f>
        <v>#N/A</v>
      </c>
      <c r="D10354" s="125"/>
    </row>
    <row r="10355">
      <c r="A10355" s="122" t="s">
        <v>36103</v>
      </c>
      <c r="B10355" s="123">
        <v>1843212.0</v>
      </c>
      <c r="C10355" s="687" t="str">
        <f>IFERROR(__xludf.DUMMYFUNCTION("GOOGLEFINANCE(A10355,""name"")"),"#N/A")</f>
        <v>#N/A</v>
      </c>
      <c r="D10355" s="125"/>
    </row>
    <row r="10356">
      <c r="A10356" s="122" t="s">
        <v>36104</v>
      </c>
      <c r="B10356" s="123">
        <v>1843212.0</v>
      </c>
      <c r="C10356" s="687" t="str">
        <f>IFERROR(__xludf.DUMMYFUNCTION("GOOGLEFINANCE(A10356,""name"")"),"#N/A")</f>
        <v>#N/A</v>
      </c>
      <c r="D10356" s="125"/>
    </row>
    <row r="10357">
      <c r="A10357" s="122" t="s">
        <v>36105</v>
      </c>
      <c r="B10357" s="123">
        <v>1843212.0</v>
      </c>
      <c r="C10357" s="687" t="str">
        <f>IFERROR(__xludf.DUMMYFUNCTION("GOOGLEFINANCE(A10357,""name"")"),"#N/A")</f>
        <v>#N/A</v>
      </c>
      <c r="D10357" s="125"/>
    </row>
    <row r="10358">
      <c r="A10358" s="122" t="s">
        <v>36106</v>
      </c>
      <c r="B10358" s="123">
        <v>1825962.0</v>
      </c>
      <c r="C10358" s="687" t="str">
        <f>IFERROR(__xludf.DUMMYFUNCTION("GOOGLEFINANCE(A10358,""name"")"),"#N/A")</f>
        <v>#N/A</v>
      </c>
      <c r="D10358" s="125"/>
    </row>
    <row r="10359">
      <c r="A10359" s="122" t="s">
        <v>36107</v>
      </c>
      <c r="B10359" s="123">
        <v>1825962.0</v>
      </c>
      <c r="C10359" s="687" t="str">
        <f>IFERROR(__xludf.DUMMYFUNCTION("GOOGLEFINANCE(A10359,""name"")"),"#N/A")</f>
        <v>#N/A</v>
      </c>
      <c r="D10359" s="125"/>
    </row>
    <row r="10360">
      <c r="A10360" s="122" t="s">
        <v>36108</v>
      </c>
      <c r="B10360" s="123">
        <v>1825962.0</v>
      </c>
      <c r="C10360" s="687" t="str">
        <f>IFERROR(__xludf.DUMMYFUNCTION("GOOGLEFINANCE(A10360,""name"")"),"#N/A")</f>
        <v>#N/A</v>
      </c>
      <c r="D10360" s="125"/>
    </row>
    <row r="10361">
      <c r="A10361" s="122" t="s">
        <v>36109</v>
      </c>
      <c r="B10361" s="123">
        <v>1824171.0</v>
      </c>
      <c r="C10361" s="687" t="str">
        <f>IFERROR(__xludf.DUMMYFUNCTION("GOOGLEFINANCE(A10361,""name"")"),"#N/A")</f>
        <v>#N/A</v>
      </c>
      <c r="D10361" s="125"/>
    </row>
    <row r="10362">
      <c r="A10362" s="122" t="s">
        <v>36110</v>
      </c>
      <c r="B10362" s="123">
        <v>1824171.0</v>
      </c>
      <c r="C10362" s="687" t="str">
        <f>IFERROR(__xludf.DUMMYFUNCTION("GOOGLEFINANCE(A10362,""name"")"),"#N/A")</f>
        <v>#N/A</v>
      </c>
      <c r="D10362" s="125"/>
    </row>
    <row r="10363">
      <c r="A10363" s="122" t="s">
        <v>36111</v>
      </c>
      <c r="B10363" s="123">
        <v>1824171.0</v>
      </c>
      <c r="C10363" s="687" t="str">
        <f>IFERROR(__xludf.DUMMYFUNCTION("GOOGLEFINANCE(A10363,""name"")"),"#N/A")</f>
        <v>#N/A</v>
      </c>
      <c r="D10363" s="125"/>
    </row>
    <row r="10364">
      <c r="A10364" s="122" t="s">
        <v>36112</v>
      </c>
      <c r="B10364" s="123">
        <v>1909152.0</v>
      </c>
      <c r="C10364" s="687" t="str">
        <f>IFERROR(__xludf.DUMMYFUNCTION("GOOGLEFINANCE(A10364,""name"")"),"#N/A")</f>
        <v>#N/A</v>
      </c>
      <c r="D10364" s="125"/>
    </row>
    <row r="10365">
      <c r="A10365" s="122" t="s">
        <v>36113</v>
      </c>
      <c r="B10365" s="123">
        <v>1729637.0</v>
      </c>
      <c r="C10365" s="687" t="str">
        <f>IFERROR(__xludf.DUMMYFUNCTION("GOOGLEFINANCE(A10365,""name"")"),"Karbon-X Corp")</f>
        <v>Karbon-X Corp</v>
      </c>
      <c r="D10365" s="125"/>
    </row>
    <row r="10366">
      <c r="A10366" s="122" t="s">
        <v>36114</v>
      </c>
      <c r="B10366" s="123">
        <v>1445930.0</v>
      </c>
      <c r="C10366" s="687" t="str">
        <f>IFERROR(__xludf.DUMMYFUNCTION("GOOGLEFINANCE(A10366,""name"")"),"KB Financial Group Inc")</f>
        <v>KB Financial Group Inc</v>
      </c>
      <c r="D10366" s="125"/>
    </row>
    <row r="10367">
      <c r="A10367" s="122" t="s">
        <v>36115</v>
      </c>
      <c r="B10367" s="123">
        <v>55772.0</v>
      </c>
      <c r="C10367" s="687" t="str">
        <f>IFERROR(__xludf.DUMMYFUNCTION("GOOGLEFINANCE(A10367,""name"")"),"#N/A")</f>
        <v>#N/A</v>
      </c>
      <c r="D10367" s="125"/>
    </row>
    <row r="10368">
      <c r="A10368" s="122" t="s">
        <v>36116</v>
      </c>
      <c r="B10368" s="123">
        <v>1411059.0</v>
      </c>
      <c r="C10368" s="687" t="str">
        <f>IFERROR(__xludf.DUMMYFUNCTION("GOOGLEFINANCE(A10368,""name"")"),"#N/A")</f>
        <v>#N/A</v>
      </c>
      <c r="D10368" s="125"/>
    </row>
    <row r="10369">
      <c r="A10369" s="122" t="s">
        <v>36117</v>
      </c>
      <c r="B10369" s="123">
        <v>1790727.0</v>
      </c>
      <c r="C10369" s="687" t="str">
        <f>IFERROR(__xludf.DUMMYFUNCTION("GOOGLEFINANCE(A10369,""name"")"),"#N/A")</f>
        <v>#N/A</v>
      </c>
      <c r="D10369" s="125"/>
    </row>
    <row r="10370">
      <c r="A10370" s="122" t="s">
        <v>36118</v>
      </c>
      <c r="B10370" s="123">
        <v>1899287.0</v>
      </c>
      <c r="C10370" s="687" t="str">
        <f>IFERROR(__xludf.DUMMYFUNCTION("GOOGLEFINANCE(A10370,""name"")"),"#N/A")</f>
        <v>#N/A</v>
      </c>
      <c r="D10370" s="125"/>
    </row>
    <row r="10371">
      <c r="A10371" s="122" t="s">
        <v>36119</v>
      </c>
      <c r="B10371" s="123">
        <v>1899287.0</v>
      </c>
      <c r="C10371" s="687" t="str">
        <f>IFERROR(__xludf.DUMMYFUNCTION("GOOGLEFINANCE(A10371,""name"")"),"#N/A")</f>
        <v>#N/A</v>
      </c>
      <c r="D10371" s="125"/>
    </row>
    <row r="10372">
      <c r="A10372" s="122" t="s">
        <v>36120</v>
      </c>
      <c r="B10372" s="123">
        <v>1899287.0</v>
      </c>
      <c r="C10372" s="687" t="str">
        <f>IFERROR(__xludf.DUMMYFUNCTION("GOOGLEFINANCE(A10372,""name"")"),"#N/A")</f>
        <v>#N/A</v>
      </c>
      <c r="D10372" s="125"/>
    </row>
    <row r="10373">
      <c r="A10373" s="122" t="s">
        <v>36121</v>
      </c>
      <c r="B10373" s="123">
        <v>1865407.0</v>
      </c>
      <c r="C10373" s="687" t="str">
        <f>IFERROR(__xludf.DUMMYFUNCTION("GOOGLEFINANCE(A10373,""name"")"),"#N/A")</f>
        <v>#N/A</v>
      </c>
      <c r="D10373" s="125"/>
    </row>
    <row r="10374">
      <c r="A10374" s="122" t="s">
        <v>36122</v>
      </c>
      <c r="B10374" s="123">
        <v>1865407.0</v>
      </c>
      <c r="C10374" s="687" t="str">
        <f>IFERROR(__xludf.DUMMYFUNCTION("GOOGLEFINANCE(A10374,""name"")"),"#N/A")</f>
        <v>#N/A</v>
      </c>
      <c r="D10374" s="125"/>
    </row>
    <row r="10375">
      <c r="A10375" s="122" t="s">
        <v>36123</v>
      </c>
      <c r="B10375" s="123">
        <v>1435049.0</v>
      </c>
      <c r="C10375" s="687" t="str">
        <f>IFERROR(__xludf.DUMMYFUNCTION("GOOGLEFINANCE(A10375,""name"")"),"#N/A")</f>
        <v>#N/A</v>
      </c>
      <c r="D10375" s="125"/>
    </row>
    <row r="10376">
      <c r="A10376" s="122" t="s">
        <v>36124</v>
      </c>
      <c r="B10376" s="123">
        <v>55135.0</v>
      </c>
      <c r="C10376" s="687" t="str">
        <f>IFERROR(__xludf.DUMMYFUNCTION("GOOGLEFINANCE(A10376,""name"")"),"Kelly Services Inc Class A")</f>
        <v>Kelly Services Inc Class A</v>
      </c>
      <c r="D10376" s="125"/>
    </row>
    <row r="10377">
      <c r="A10377" s="122" t="s">
        <v>36125</v>
      </c>
      <c r="B10377" s="123">
        <v>55135.0</v>
      </c>
      <c r="C10377" s="687" t="str">
        <f>IFERROR(__xludf.DUMMYFUNCTION("GOOGLEFINANCE(A10377,""name"")"),"Kelly Services Inc Class B")</f>
        <v>Kelly Services Inc Class B</v>
      </c>
      <c r="D10377" s="125"/>
    </row>
    <row r="10378">
      <c r="A10378" s="122" t="s">
        <v>36126</v>
      </c>
      <c r="B10378" s="123">
        <v>887225.0</v>
      </c>
      <c r="C10378" s="687" t="str">
        <f>IFERROR(__xludf.DUMMYFUNCTION("GOOGLEFINANCE(A10378,""name"")"),"Korea Electric Power Corp")</f>
        <v>Korea Electric Power Corp</v>
      </c>
      <c r="D10378" s="125"/>
    </row>
    <row r="10379">
      <c r="A10379" s="122" t="s">
        <v>36127</v>
      </c>
      <c r="B10379" s="123">
        <v>1755953.0</v>
      </c>
      <c r="C10379" s="687" t="str">
        <f>IFERROR(__xludf.DUMMYFUNCTION("GOOGLEFINANCE(A10379,""name"")"),"Kering SA")</f>
        <v>Kering SA</v>
      </c>
      <c r="D10379" s="125"/>
    </row>
    <row r="10380">
      <c r="A10380" s="122" t="s">
        <v>36128</v>
      </c>
      <c r="B10380" s="123">
        <v>91576.0</v>
      </c>
      <c r="C10380" s="687" t="str">
        <f>IFERROR(__xludf.DUMMYFUNCTION("GOOGLEFINANCE(A10380,""name"")"),"#N/A")</f>
        <v>#N/A</v>
      </c>
      <c r="D10380" s="125"/>
    </row>
    <row r="10381">
      <c r="A10381" s="122" t="s">
        <v>36129</v>
      </c>
      <c r="B10381" s="123">
        <v>91576.0</v>
      </c>
      <c r="C10381" s="687" t="str">
        <f>IFERROR(__xludf.DUMMYFUNCTION("GOOGLEFINANCE(A10381,""name"")"),"#N/A")</f>
        <v>#N/A</v>
      </c>
      <c r="D10381" s="125"/>
    </row>
    <row r="10382">
      <c r="A10382" s="122" t="s">
        <v>36130</v>
      </c>
      <c r="B10382" s="123">
        <v>91576.0</v>
      </c>
      <c r="C10382" s="687" t="str">
        <f>IFERROR(__xludf.DUMMYFUNCTION("GOOGLEFINANCE(A10382,""name"")"),"#N/A")</f>
        <v>#N/A</v>
      </c>
      <c r="D10382" s="125"/>
    </row>
    <row r="10383">
      <c r="A10383" s="122" t="s">
        <v>36131</v>
      </c>
      <c r="B10383" s="123">
        <v>91576.0</v>
      </c>
      <c r="C10383" s="687" t="str">
        <f>IFERROR(__xludf.DUMMYFUNCTION("GOOGLEFINANCE(A10383,""name"")"),"#N/A")</f>
        <v>#N/A</v>
      </c>
      <c r="D10383" s="125"/>
    </row>
    <row r="10384">
      <c r="A10384" s="122" t="s">
        <v>36132</v>
      </c>
      <c r="B10384" s="123">
        <v>1072627.0</v>
      </c>
      <c r="C10384" s="687" t="str">
        <f>IFERROR(__xludf.DUMMYFUNCTION("GOOGLEFINANCE(A10384,""name"")"),"#N/A")</f>
        <v>#N/A</v>
      </c>
      <c r="D10384" s="125"/>
    </row>
    <row r="10385">
      <c r="A10385" s="122" t="s">
        <v>36133</v>
      </c>
      <c r="B10385" s="123">
        <v>1477081.0</v>
      </c>
      <c r="C10385" s="687" t="str">
        <f>IFERROR(__xludf.DUMMYFUNCTION("GOOGLEFINANCE(A10385,""name"")"),"#N/A")</f>
        <v>#N/A</v>
      </c>
      <c r="D10385" s="125"/>
    </row>
    <row r="10386">
      <c r="A10386" s="122" t="s">
        <v>36134</v>
      </c>
      <c r="B10386" s="123">
        <v>1593773.0</v>
      </c>
      <c r="C10386" s="687" t="str">
        <f>IFERROR(__xludf.DUMMYFUNCTION("GOOGLEFINANCE(A10386,""name"")"),"#N/A")</f>
        <v>#N/A</v>
      </c>
      <c r="D10386" s="125"/>
    </row>
    <row r="10387">
      <c r="A10387" s="122" t="s">
        <v>36135</v>
      </c>
      <c r="B10387" s="123">
        <v>1826059.0</v>
      </c>
      <c r="C10387" s="687" t="str">
        <f>IFERROR(__xludf.DUMMYFUNCTION("GOOGLEFINANCE(A10387,""name"")"),"#N/A")</f>
        <v>#N/A</v>
      </c>
      <c r="D10387" s="125"/>
    </row>
    <row r="10388">
      <c r="A10388" s="122" t="s">
        <v>36136</v>
      </c>
      <c r="B10388" s="123">
        <v>1826059.0</v>
      </c>
      <c r="C10388" s="687" t="str">
        <f>IFERROR(__xludf.DUMMYFUNCTION("GOOGLEFINANCE(A10388,""name"")"),"#N/A")</f>
        <v>#N/A</v>
      </c>
      <c r="D10388" s="125"/>
    </row>
    <row r="10389">
      <c r="A10389" s="122" t="s">
        <v>36137</v>
      </c>
      <c r="B10389" s="123">
        <v>1826059.0</v>
      </c>
      <c r="C10389" s="687" t="str">
        <f>IFERROR(__xludf.DUMMYFUNCTION("GOOGLEFINANCE(A10389,""name"")"),"#N/A")</f>
        <v>#N/A</v>
      </c>
      <c r="D10389" s="125"/>
    </row>
    <row r="10390">
      <c r="A10390" s="122" t="s">
        <v>36138</v>
      </c>
      <c r="B10390" s="123">
        <v>879101.0</v>
      </c>
      <c r="C10390" s="687" t="str">
        <f>IFERROR(__xludf.DUMMYFUNCTION("GOOGLEFINANCE(A10390,""name"")"),"#N/A")</f>
        <v>#N/A</v>
      </c>
      <c r="D10390" s="125"/>
    </row>
    <row r="10391">
      <c r="A10391" s="122" t="s">
        <v>36139</v>
      </c>
      <c r="B10391" s="123">
        <v>879101.0</v>
      </c>
      <c r="C10391" s="687" t="str">
        <f>IFERROR(__xludf.DUMMYFUNCTION("GOOGLEFINANCE(A10391,""name"")"),"#N/A")</f>
        <v>#N/A</v>
      </c>
      <c r="D10391" s="125"/>
    </row>
    <row r="10392">
      <c r="A10392" s="122" t="s">
        <v>36140</v>
      </c>
      <c r="B10392" s="123">
        <v>1820875.0</v>
      </c>
      <c r="C10392" s="687" t="str">
        <f>IFERROR(__xludf.DUMMYFUNCTION("GOOGLEFINANCE(A10392,""name"")"),"#N/A")</f>
        <v>#N/A</v>
      </c>
      <c r="D10392" s="125"/>
    </row>
    <row r="10393">
      <c r="A10393" s="122" t="s">
        <v>36141</v>
      </c>
      <c r="B10393" s="123">
        <v>1820875.0</v>
      </c>
      <c r="C10393" s="687" t="str">
        <f>IFERROR(__xludf.DUMMYFUNCTION("GOOGLEFINANCE(A10393,""name"")"),"#N/A")</f>
        <v>#N/A</v>
      </c>
      <c r="D10393" s="125"/>
    </row>
    <row r="10394">
      <c r="A10394" s="122" t="s">
        <v>36142</v>
      </c>
      <c r="B10394" s="123">
        <v>1820875.0</v>
      </c>
      <c r="C10394" s="687" t="str">
        <f>IFERROR(__xludf.DUMMYFUNCTION("GOOGLEFINANCE(A10394,""name"")"),"#N/A")</f>
        <v>#N/A</v>
      </c>
      <c r="D10394" s="125"/>
    </row>
    <row r="10395">
      <c r="A10395" s="122" t="s">
        <v>36143</v>
      </c>
      <c r="B10395" s="123">
        <v>1404912.0</v>
      </c>
      <c r="C10395" s="687" t="str">
        <f>IFERROR(__xludf.DUMMYFUNCTION("GOOGLEFINANCE(A10395,""name"")"),"#N/A")</f>
        <v>#N/A</v>
      </c>
      <c r="D10395" s="125"/>
    </row>
    <row r="10396">
      <c r="A10396" s="122" t="s">
        <v>36144</v>
      </c>
      <c r="B10396" s="123">
        <v>1823323.0</v>
      </c>
      <c r="C10396" s="687" t="str">
        <f>IFERROR(__xludf.DUMMYFUNCTION("GOOGLEFINANCE(A10396,""name"")"),"#N/A")</f>
        <v>#N/A</v>
      </c>
      <c r="D10396" s="125"/>
    </row>
    <row r="10397">
      <c r="A10397" s="122" t="s">
        <v>36145</v>
      </c>
      <c r="B10397" s="123">
        <v>1823323.0</v>
      </c>
      <c r="C10397" s="687" t="str">
        <f>IFERROR(__xludf.DUMMYFUNCTION("GOOGLEFINANCE(A10397,""name"")"),"#N/A")</f>
        <v>#N/A</v>
      </c>
      <c r="D10397" s="125"/>
    </row>
    <row r="10398">
      <c r="A10398" s="122" t="s">
        <v>36146</v>
      </c>
      <c r="B10398" s="123">
        <v>1873529.0</v>
      </c>
      <c r="C10398" s="687" t="str">
        <f>IFERROR(__xludf.DUMMYFUNCTION("GOOGLEFINANCE(A10398,""name"")"),"KinderCare Learning Companies Inc")</f>
        <v>KinderCare Learning Companies Inc</v>
      </c>
      <c r="D10398" s="125"/>
    </row>
    <row r="10399">
      <c r="A10399" s="122" t="s">
        <v>36147</v>
      </c>
      <c r="B10399" s="123">
        <v>1719489.0</v>
      </c>
      <c r="C10399" s="687" t="str">
        <f>IFERROR(__xludf.DUMMYFUNCTION("GOOGLEFINANCE(A10399,""name"")"),"#N/A")</f>
        <v>#N/A</v>
      </c>
      <c r="D10399" s="125"/>
    </row>
    <row r="10400">
      <c r="A10400" s="122" t="s">
        <v>36148</v>
      </c>
      <c r="B10400" s="123">
        <v>1738827.0</v>
      </c>
      <c r="C10400" s="687" t="str">
        <f>IFERROR(__xludf.DUMMYFUNCTION("GOOGLEFINANCE(A10400,""name"")"),"KLX Energy Services Holdings Inc")</f>
        <v>KLX Energy Services Holdings Inc</v>
      </c>
      <c r="D10400" s="125"/>
    </row>
    <row r="10401">
      <c r="A10401" s="122" t="s">
        <v>36149</v>
      </c>
      <c r="B10401" s="123">
        <v>1500096.0</v>
      </c>
      <c r="C10401" s="687" t="str">
        <f>IFERROR(__xludf.DUMMYFUNCTION("GOOGLEFINANCE(A10401,""name"")"),"#N/A")</f>
        <v>#N/A</v>
      </c>
      <c r="D10401" s="125"/>
    </row>
    <row r="10402">
      <c r="A10402" s="122" t="s">
        <v>36150</v>
      </c>
      <c r="B10402" s="123">
        <v>1434647.0</v>
      </c>
      <c r="C10402" s="687" t="str">
        <f>IFERROR(__xludf.DUMMYFUNCTION("GOOGLEFINANCE(A10402,""name"")"),"#N/A")</f>
        <v>#N/A</v>
      </c>
      <c r="D10402" s="125"/>
    </row>
    <row r="10403">
      <c r="A10403" s="122" t="s">
        <v>36151</v>
      </c>
      <c r="B10403" s="123">
        <v>1664998.0</v>
      </c>
      <c r="C10403" s="687" t="str">
        <f>IFERROR(__xludf.DUMMYFUNCTION("GOOGLEFINANCE(A10403,""name"")"),"#N/A")</f>
        <v>#N/A</v>
      </c>
      <c r="D10403" s="125"/>
    </row>
    <row r="10404">
      <c r="A10404" s="122" t="s">
        <v>36152</v>
      </c>
      <c r="B10404" s="123">
        <v>1885444.0</v>
      </c>
      <c r="C10404" s="687" t="str">
        <f>IFERROR(__xludf.DUMMYFUNCTION("GOOGLEFINANCE(A10404,""name"")"),"#N/A")</f>
        <v>#N/A</v>
      </c>
      <c r="D10404" s="125"/>
    </row>
    <row r="10405">
      <c r="A10405" s="122" t="s">
        <v>36153</v>
      </c>
      <c r="B10405" s="123">
        <v>1885444.0</v>
      </c>
      <c r="C10405" s="687" t="str">
        <f>IFERROR(__xludf.DUMMYFUNCTION("GOOGLEFINANCE(A10405,""name"")"),"#N/A")</f>
        <v>#N/A</v>
      </c>
      <c r="D10405" s="125"/>
    </row>
    <row r="10406">
      <c r="A10406" s="122" t="s">
        <v>36154</v>
      </c>
      <c r="B10406" s="123">
        <v>1885444.0</v>
      </c>
      <c r="C10406" s="687" t="str">
        <f>IFERROR(__xludf.DUMMYFUNCTION("GOOGLEFINANCE(A10406,""name"")"),"#N/A")</f>
        <v>#N/A</v>
      </c>
      <c r="D10406" s="125"/>
    </row>
    <row r="10407">
      <c r="A10407" s="122" t="s">
        <v>36155</v>
      </c>
      <c r="B10407" s="123">
        <v>1074828.0</v>
      </c>
      <c r="C10407" s="687" t="str">
        <f>IFERROR(__xludf.DUMMYFUNCTION("GOOGLEFINANCE(A10407,""name"")"),"#N/A")</f>
        <v>#N/A</v>
      </c>
      <c r="D10407" s="125"/>
    </row>
    <row r="10408">
      <c r="A10408" s="122" t="s">
        <v>36156</v>
      </c>
      <c r="B10408" s="123">
        <v>1855255.0</v>
      </c>
      <c r="C10408" s="687" t="str">
        <f>IFERROR(__xludf.DUMMYFUNCTION("GOOGLEFINANCE(A10408,""name"")"),"North Shore Equity Rotation ETF")</f>
        <v>North Shore Equity Rotation ETF</v>
      </c>
      <c r="D10408" s="125"/>
    </row>
    <row r="10409">
      <c r="A10409" s="122" t="s">
        <v>36157</v>
      </c>
      <c r="B10409" s="123">
        <v>1855457.0</v>
      </c>
      <c r="C10409" s="687" t="str">
        <f>IFERROR(__xludf.DUMMYFUNCTION("GOOGLEFINANCE(A10409,""name"")"),"#N/A")</f>
        <v>#N/A</v>
      </c>
      <c r="D10409" s="125"/>
    </row>
    <row r="10410">
      <c r="A10410" s="122" t="s">
        <v>36158</v>
      </c>
      <c r="B10410" s="123">
        <v>1826202.0</v>
      </c>
      <c r="C10410" s="687" t="str">
        <f>IFERROR(__xludf.DUMMYFUNCTION("GOOGLEFINANCE(A10410,""name"")"),"#N/A")</f>
        <v>#N/A</v>
      </c>
      <c r="D10410" s="125"/>
    </row>
    <row r="10411">
      <c r="A10411" s="122" t="s">
        <v>36159</v>
      </c>
      <c r="B10411" s="123">
        <v>1372514.0</v>
      </c>
      <c r="C10411" s="687" t="str">
        <f>IFERROR(__xludf.DUMMYFUNCTION("GOOGLEFINANCE(A10411,""name"")"),"Kiora Pharmaceuticals Inc")</f>
        <v>Kiora Pharmaceuticals Inc</v>
      </c>
      <c r="D10411" s="125"/>
    </row>
    <row r="10412">
      <c r="A10412" s="122" t="s">
        <v>36160</v>
      </c>
      <c r="B10412" s="123">
        <v>1631596.0</v>
      </c>
      <c r="C10412" s="687" t="str">
        <f>IFERROR(__xludf.DUMMYFUNCTION("GOOGLEFINANCE(A10412,""name"")"),"#N/A")</f>
        <v>#N/A</v>
      </c>
      <c r="D10412" s="125"/>
    </row>
    <row r="10413">
      <c r="A10413" s="122" t="s">
        <v>36161</v>
      </c>
      <c r="B10413" s="123">
        <v>1832950.0</v>
      </c>
      <c r="C10413" s="687" t="str">
        <f>IFERROR(__xludf.DUMMYFUNCTION("GOOGLEFINANCE(A10413,""name"")"),"#N/A")</f>
        <v>#N/A</v>
      </c>
      <c r="D10413" s="125"/>
    </row>
    <row r="10414">
      <c r="A10414" s="122" t="s">
        <v>36162</v>
      </c>
      <c r="B10414" s="123">
        <v>1843351.0</v>
      </c>
      <c r="C10414" s="687" t="str">
        <f>IFERROR(__xludf.DUMMYFUNCTION("GOOGLEFINANCE(A10414,""name"")"),"#N/A")</f>
        <v>#N/A</v>
      </c>
      <c r="D10414" s="125"/>
    </row>
    <row r="10415">
      <c r="A10415" s="122" t="s">
        <v>36163</v>
      </c>
      <c r="B10415" s="123">
        <v>1843351.0</v>
      </c>
      <c r="C10415" s="687" t="str">
        <f>IFERROR(__xludf.DUMMYFUNCTION("GOOGLEFINANCE(A10415,""name"")"),"#N/A")</f>
        <v>#N/A</v>
      </c>
      <c r="D10415" s="125"/>
    </row>
    <row r="10416">
      <c r="A10416" s="122" t="s">
        <v>36164</v>
      </c>
      <c r="B10416" s="123">
        <v>1467845.0</v>
      </c>
      <c r="C10416" s="687" t="str">
        <f>IFERROR(__xludf.DUMMYFUNCTION("GOOGLEFINANCE(A10416,""name"")"),"#N/A")</f>
        <v>#N/A</v>
      </c>
      <c r="D10416" s="125"/>
    </row>
    <row r="10417">
      <c r="A10417" s="122" t="s">
        <v>36165</v>
      </c>
      <c r="B10417" s="123">
        <v>1841873.0</v>
      </c>
      <c r="C10417" s="687" t="str">
        <f>IFERROR(__xludf.DUMMYFUNCTION("GOOGLEFINANCE(A10417,""name"")"),"#N/A")</f>
        <v>#N/A</v>
      </c>
      <c r="D10417" s="125"/>
    </row>
    <row r="10418">
      <c r="A10418" s="122" t="s">
        <v>36166</v>
      </c>
      <c r="B10418" s="123">
        <v>1846068.0</v>
      </c>
      <c r="C10418" s="687" t="str">
        <f>IFERROR(__xludf.DUMMYFUNCTION("GOOGLEFINANCE(A10418,""name"")"),"#N/A")</f>
        <v>#N/A</v>
      </c>
      <c r="D10418" s="125"/>
    </row>
    <row r="10419">
      <c r="A10419" s="122" t="s">
        <v>36167</v>
      </c>
      <c r="B10419" s="123">
        <v>1847037.0</v>
      </c>
      <c r="C10419" s="687" t="str">
        <f>IFERROR(__xludf.DUMMYFUNCTION("GOOGLEFINANCE(A10419,""name"")"),"#N/A")</f>
        <v>#N/A</v>
      </c>
      <c r="D10419" s="125"/>
    </row>
    <row r="10420">
      <c r="A10420" s="122" t="s">
        <v>36168</v>
      </c>
      <c r="B10420" s="123">
        <v>1159275.0</v>
      </c>
      <c r="C10420" s="687" t="str">
        <f>IFERROR(__xludf.DUMMYFUNCTION("GOOGLEFINANCE(A10420,""name"")"),"#N/A")</f>
        <v>#N/A</v>
      </c>
      <c r="D10420" s="125"/>
    </row>
    <row r="10421">
      <c r="A10421" s="122" t="s">
        <v>36169</v>
      </c>
      <c r="B10421" s="123">
        <v>1889823.0</v>
      </c>
      <c r="C10421" s="687" t="str">
        <f>IFERROR(__xludf.DUMMYFUNCTION("GOOGLEFINANCE(A10421,""name"")"),"#N/A")</f>
        <v>#N/A</v>
      </c>
      <c r="D10421" s="125"/>
    </row>
    <row r="10422">
      <c r="A10422" s="122" t="s">
        <v>36170</v>
      </c>
      <c r="B10422" s="123">
        <v>1848000.0</v>
      </c>
      <c r="C10422" s="687" t="str">
        <f>IFERROR(__xludf.DUMMYFUNCTION("GOOGLEFINANCE(A10422,""name"")"),"#N/A")</f>
        <v>#N/A</v>
      </c>
      <c r="D10422" s="125"/>
    </row>
    <row r="10423">
      <c r="A10423" s="122" t="s">
        <v>36171</v>
      </c>
      <c r="B10423" s="123">
        <v>1848000.0</v>
      </c>
      <c r="C10423" s="687" t="str">
        <f>IFERROR(__xludf.DUMMYFUNCTION("GOOGLEFINANCE(A10423,""name"")"),"#N/A")</f>
        <v>#N/A</v>
      </c>
      <c r="D10423" s="125"/>
    </row>
    <row r="10424">
      <c r="A10424" s="122" t="s">
        <v>36172</v>
      </c>
      <c r="B10424" s="123">
        <v>1848000.0</v>
      </c>
      <c r="C10424" s="687" t="str">
        <f>IFERROR(__xludf.DUMMYFUNCTION("GOOGLEFINANCE(A10424,""name"")"),"#N/A")</f>
        <v>#N/A</v>
      </c>
      <c r="D10424" s="125"/>
    </row>
    <row r="10425">
      <c r="A10425" s="122" t="s">
        <v>36173</v>
      </c>
      <c r="B10425" s="123">
        <v>1742056.0</v>
      </c>
      <c r="C10425" s="687" t="str">
        <f>IFERROR(__xludf.DUMMYFUNCTION("GOOGLEFINANCE(A10425,""name"")"),"#N/A")</f>
        <v>#N/A</v>
      </c>
      <c r="D10425" s="125"/>
    </row>
    <row r="10426">
      <c r="A10426" s="122" t="s">
        <v>36174</v>
      </c>
      <c r="B10426" s="123">
        <v>1495240.0</v>
      </c>
      <c r="C10426" s="687" t="str">
        <f>IFERROR(__xludf.DUMMYFUNCTION("GOOGLEFINANCE(A10426,""name"")"),"GLADSTONE LD Term Pref Shs")</f>
        <v>GLADSTONE LD Term Pref Shs</v>
      </c>
      <c r="D10426" s="125"/>
    </row>
    <row r="10427">
      <c r="A10427" s="122" t="s">
        <v>36175</v>
      </c>
      <c r="B10427" s="123">
        <v>1495240.0</v>
      </c>
      <c r="C10427" s="687" t="str">
        <f>IFERROR(__xludf.DUMMYFUNCTION("GOOGLEFINANCE(A10427,""name"")"),"Gladstone Land 6 00 Cum Redmabe Prf Shs Series B")</f>
        <v>Gladstone Land 6 00 Cum Redmabe Prf Shs Series B</v>
      </c>
      <c r="D10427" s="125"/>
    </row>
    <row r="10428">
      <c r="A10428" s="122" t="s">
        <v>36176</v>
      </c>
      <c r="B10428" s="123">
        <v>1753712.0</v>
      </c>
      <c r="C10428" s="687" t="str">
        <f>IFERROR(__xludf.DUMMYFUNCTION("GOOGLEFINANCE(A10428,""name"")"),"#N/A")</f>
        <v>#N/A</v>
      </c>
      <c r="D10428" s="125"/>
    </row>
    <row r="10429">
      <c r="A10429" s="122" t="s">
        <v>36177</v>
      </c>
      <c r="B10429" s="123">
        <v>1868269.0</v>
      </c>
      <c r="C10429" s="687" t="str">
        <f>IFERROR(__xludf.DUMMYFUNCTION("GOOGLEFINANCE(A10429,""name"")"),"#N/A")</f>
        <v>#N/A</v>
      </c>
      <c r="D10429" s="125"/>
    </row>
    <row r="10430">
      <c r="A10430" s="122" t="s">
        <v>36178</v>
      </c>
      <c r="B10430" s="123">
        <v>1847846.0</v>
      </c>
      <c r="C10430" s="687" t="str">
        <f>IFERROR(__xludf.DUMMYFUNCTION("GOOGLEFINANCE(A10430,""name"")"),"#N/A")</f>
        <v>#N/A</v>
      </c>
      <c r="D10430" s="125"/>
    </row>
    <row r="10431">
      <c r="A10431" s="122" t="s">
        <v>36179</v>
      </c>
      <c r="B10431" s="123">
        <v>1847846.0</v>
      </c>
      <c r="C10431" s="687" t="str">
        <f>IFERROR(__xludf.DUMMYFUNCTION("GOOGLEFINANCE(A10431,""name"")"),"#N/A")</f>
        <v>#N/A</v>
      </c>
      <c r="D10431" s="125"/>
    </row>
    <row r="10432">
      <c r="A10432" s="122" t="s">
        <v>36180</v>
      </c>
      <c r="B10432" s="123">
        <v>1847846.0</v>
      </c>
      <c r="C10432" s="687" t="str">
        <f>IFERROR(__xludf.DUMMYFUNCTION("GOOGLEFINANCE(A10432,""name"")"),"#N/A")</f>
        <v>#N/A</v>
      </c>
      <c r="D10432" s="125"/>
    </row>
    <row r="10433">
      <c r="A10433" s="122" t="s">
        <v>36181</v>
      </c>
      <c r="B10433" s="123">
        <v>1721741.0</v>
      </c>
      <c r="C10433" s="687" t="str">
        <f>IFERROR(__xludf.DUMMYFUNCTION("GOOGLEFINANCE(A10433,""name"")"),"#N/A")</f>
        <v>#N/A</v>
      </c>
      <c r="D10433" s="125"/>
    </row>
    <row r="10434">
      <c r="A10434" s="122" t="s">
        <v>36182</v>
      </c>
      <c r="B10434" s="123">
        <v>1721741.0</v>
      </c>
      <c r="C10434" s="687" t="str">
        <f>IFERROR(__xludf.DUMMYFUNCTION("GOOGLEFINANCE(A10434,""name"")"),"#N/A")</f>
        <v>#N/A</v>
      </c>
      <c r="D10434" s="125"/>
    </row>
    <row r="10435">
      <c r="A10435" s="122" t="s">
        <v>36183</v>
      </c>
      <c r="B10435" s="123">
        <v>1586452.0</v>
      </c>
      <c r="C10435" s="687" t="str">
        <f>IFERROR(__xludf.DUMMYFUNCTION("GOOGLEFINANCE(A10435,""name"")"),"#N/A")</f>
        <v>#N/A</v>
      </c>
      <c r="D10435" s="125"/>
    </row>
    <row r="10436">
      <c r="A10436" s="122" t="s">
        <v>36184</v>
      </c>
      <c r="B10436" s="123">
        <v>1867287.0</v>
      </c>
      <c r="C10436" s="687" t="str">
        <f>IFERROR(__xludf.DUMMYFUNCTION("GOOGLEFINANCE(A10436,""name"")"),"#N/A")</f>
        <v>#N/A</v>
      </c>
      <c r="D10436" s="125"/>
    </row>
    <row r="10437">
      <c r="A10437" s="122" t="s">
        <v>36185</v>
      </c>
      <c r="B10437" s="123">
        <v>1896425.0</v>
      </c>
      <c r="C10437" s="687" t="str">
        <f>IFERROR(__xludf.DUMMYFUNCTION("GOOGLEFINANCE(A10437,""name"")"),"LI Bang International Corporation Inc")</f>
        <v>LI Bang International Corporation Inc</v>
      </c>
      <c r="D10437" s="125"/>
    </row>
    <row r="10438">
      <c r="A10438" s="122" t="s">
        <v>36186</v>
      </c>
      <c r="B10438" s="123">
        <v>57725.0</v>
      </c>
      <c r="C10438" s="687" t="str">
        <f>IFERROR(__xludf.DUMMYFUNCTION("GOOGLEFINANCE(A10438,""name"")"),"#N/A")</f>
        <v>#N/A</v>
      </c>
      <c r="D10438" s="125"/>
    </row>
    <row r="10439">
      <c r="A10439" s="122" t="s">
        <v>36187</v>
      </c>
      <c r="B10439" s="123">
        <v>874396.0</v>
      </c>
      <c r="C10439" s="687" t="str">
        <f>IFERROR(__xludf.DUMMYFUNCTION("GOOGLEFINANCE(A10439,""name"")"),"Lifetime Brands Inc")</f>
        <v>Lifetime Brands Inc</v>
      </c>
      <c r="D10439" s="125"/>
    </row>
    <row r="10440">
      <c r="A10440" s="122" t="s">
        <v>36188</v>
      </c>
      <c r="B10440" s="123">
        <v>1847577.0</v>
      </c>
      <c r="C10440" s="687" t="str">
        <f>IFERROR(__xludf.DUMMYFUNCTION("GOOGLEFINANCE(A10440,""name"")"),"#N/A")</f>
        <v>#N/A</v>
      </c>
      <c r="D10440" s="125"/>
    </row>
    <row r="10441">
      <c r="A10441" s="122" t="s">
        <v>36189</v>
      </c>
      <c r="B10441" s="123">
        <v>312070.0</v>
      </c>
      <c r="C10441" s="687" t="str">
        <f>IFERROR(__xludf.DUMMYFUNCTION("GOOGLEFINANCE(A10441,""name"")"),"#N/A")</f>
        <v>#N/A</v>
      </c>
      <c r="D10441" s="125"/>
    </row>
    <row r="10442">
      <c r="A10442" s="122" t="s">
        <v>36190</v>
      </c>
      <c r="B10442" s="123">
        <v>1842373.0</v>
      </c>
      <c r="C10442" s="687" t="str">
        <f>IFERROR(__xludf.DUMMYFUNCTION("GOOGLEFINANCE(A10442,""name"")"),"#N/A")</f>
        <v>#N/A</v>
      </c>
      <c r="D10442" s="125"/>
    </row>
    <row r="10443">
      <c r="A10443" s="122" t="s">
        <v>36191</v>
      </c>
      <c r="B10443" s="123">
        <v>1842373.0</v>
      </c>
      <c r="C10443" s="687" t="str">
        <f>IFERROR(__xludf.DUMMYFUNCTION("GOOGLEFINANCE(A10443,""name"")"),"#N/A")</f>
        <v>#N/A</v>
      </c>
      <c r="D10443" s="125"/>
    </row>
    <row r="10444">
      <c r="A10444" s="122" t="s">
        <v>36192</v>
      </c>
      <c r="B10444" s="123">
        <v>1842373.0</v>
      </c>
      <c r="C10444" s="687" t="str">
        <f>IFERROR(__xludf.DUMMYFUNCTION("GOOGLEFINANCE(A10444,""name"")"),"#N/A")</f>
        <v>#N/A</v>
      </c>
      <c r="D10444" s="125"/>
    </row>
    <row r="10445">
      <c r="A10445" s="122" t="s">
        <v>36193</v>
      </c>
      <c r="B10445" s="123">
        <v>1898570.0</v>
      </c>
      <c r="C10445" s="687" t="str">
        <f>IFERROR(__xludf.DUMMYFUNCTION("GOOGLEFINANCE(A10445,""name"")"),"#N/A")</f>
        <v>#N/A</v>
      </c>
      <c r="D10445" s="125"/>
    </row>
    <row r="10446">
      <c r="A10446" s="122" t="s">
        <v>36194</v>
      </c>
      <c r="B10446" s="123">
        <v>1872206.0</v>
      </c>
      <c r="C10446" s="687" t="str">
        <f>IFERROR(__xludf.DUMMYFUNCTION("GOOGLEFINANCE(A10446,""name"")"),"#N/A")</f>
        <v>#N/A</v>
      </c>
      <c r="D10446" s="125"/>
    </row>
    <row r="10447">
      <c r="A10447" s="122" t="s">
        <v>36195</v>
      </c>
      <c r="B10447" s="123">
        <v>1834628.0</v>
      </c>
      <c r="C10447" s="687" t="str">
        <f>IFERROR(__xludf.DUMMYFUNCTION("GOOGLEFINANCE(A10447,""name"")"),"#N/A")</f>
        <v>#N/A</v>
      </c>
      <c r="D10447" s="125"/>
    </row>
    <row r="10448">
      <c r="A10448" s="122" t="s">
        <v>36196</v>
      </c>
      <c r="B10448" s="123">
        <v>1834628.0</v>
      </c>
      <c r="C10448" s="687" t="str">
        <f>IFERROR(__xludf.DUMMYFUNCTION("GOOGLEFINANCE(A10448,""name"")"),"#N/A")</f>
        <v>#N/A</v>
      </c>
      <c r="D10448" s="125"/>
    </row>
    <row r="10449">
      <c r="A10449" s="122" t="s">
        <v>36197</v>
      </c>
      <c r="B10449" s="123">
        <v>1834628.0</v>
      </c>
      <c r="C10449" s="687" t="str">
        <f>IFERROR(__xludf.DUMMYFUNCTION("GOOGLEFINANCE(A10449,""name"")"),"#N/A")</f>
        <v>#N/A</v>
      </c>
      <c r="D10449" s="125"/>
    </row>
    <row r="10450">
      <c r="A10450" s="122" t="s">
        <v>36198</v>
      </c>
      <c r="B10450" s="123">
        <v>1423579.0</v>
      </c>
      <c r="C10450" s="687" t="str">
        <f>IFERROR(__xludf.DUMMYFUNCTION("GOOGLEFINANCE(A10450,""name"")"),"#N/A")</f>
        <v>#N/A</v>
      </c>
      <c r="D10450" s="125"/>
    </row>
    <row r="10451">
      <c r="A10451" s="122" t="s">
        <v>36199</v>
      </c>
      <c r="B10451" s="123">
        <v>1658645.0</v>
      </c>
      <c r="C10451" s="687" t="str">
        <f>IFERROR(__xludf.DUMMYFUNCTION("GOOGLEFINANCE(A10451,""name"")"),"#N/A")</f>
        <v>#N/A</v>
      </c>
      <c r="D10451" s="125"/>
    </row>
    <row r="10452">
      <c r="A10452" s="122" t="s">
        <v>36200</v>
      </c>
      <c r="B10452" s="123">
        <v>1834974.0</v>
      </c>
      <c r="C10452" s="687" t="str">
        <f>IFERROR(__xludf.DUMMYFUNCTION("GOOGLEFINANCE(A10452,""name"")"),"#N/A")</f>
        <v>#N/A</v>
      </c>
      <c r="D10452" s="125"/>
    </row>
    <row r="10453">
      <c r="A10453" s="122" t="s">
        <v>36201</v>
      </c>
      <c r="B10453" s="123">
        <v>1851266.0</v>
      </c>
      <c r="C10453" s="687" t="str">
        <f>IFERROR(__xludf.DUMMYFUNCTION("GOOGLEFINANCE(A10453,""name"")"),"#N/A")</f>
        <v>#N/A</v>
      </c>
      <c r="D10453" s="125"/>
    </row>
    <row r="10454">
      <c r="A10454" s="122" t="s">
        <v>36202</v>
      </c>
      <c r="B10454" s="123">
        <v>1851266.0</v>
      </c>
      <c r="C10454" s="687" t="str">
        <f>IFERROR(__xludf.DUMMYFUNCTION("GOOGLEFINANCE(A10454,""name"")"),"#N/A")</f>
        <v>#N/A</v>
      </c>
      <c r="D10454" s="125"/>
    </row>
    <row r="10455">
      <c r="A10455" s="122" t="s">
        <v>36203</v>
      </c>
      <c r="B10455" s="123">
        <v>1851266.0</v>
      </c>
      <c r="C10455" s="687" t="str">
        <f>IFERROR(__xludf.DUMMYFUNCTION("GOOGLEFINANCE(A10455,""name"")"),"#N/A")</f>
        <v>#N/A</v>
      </c>
      <c r="D10455" s="125"/>
    </row>
    <row r="10456">
      <c r="A10456" s="122" t="s">
        <v>36204</v>
      </c>
      <c r="B10456" s="123">
        <v>1268896.0</v>
      </c>
      <c r="C10456" s="687" t="str">
        <f>IFERROR(__xludf.DUMMYFUNCTION("GOOGLEFINANCE(A10456,""name"")"),"#N/A")</f>
        <v>#N/A</v>
      </c>
      <c r="D10456" s="125"/>
    </row>
    <row r="10457">
      <c r="A10457" s="122" t="s">
        <v>36205</v>
      </c>
      <c r="B10457" s="123">
        <v>1547546.0</v>
      </c>
      <c r="C10457" s="687" t="str">
        <f>IFERROR(__xludf.DUMMYFUNCTION("GOOGLEFINANCE(A10457,""name"")"),"#N/A")</f>
        <v>#N/A</v>
      </c>
      <c r="D10457" s="125"/>
    </row>
    <row r="10458">
      <c r="A10458" s="122" t="s">
        <v>36206</v>
      </c>
      <c r="B10458" s="123">
        <v>1851991.0</v>
      </c>
      <c r="C10458" s="687" t="str">
        <f>IFERROR(__xludf.DUMMYFUNCTION("GOOGLEFINANCE(A10458,""name"")"),"#N/A")</f>
        <v>#N/A</v>
      </c>
      <c r="D10458" s="125"/>
    </row>
    <row r="10459">
      <c r="A10459" s="122" t="s">
        <v>36207</v>
      </c>
      <c r="B10459" s="123">
        <v>1822873.0</v>
      </c>
      <c r="C10459" s="687" t="str">
        <f>IFERROR(__xludf.DUMMYFUNCTION("GOOGLEFINANCE(A10459,""name"")"),"#N/A")</f>
        <v>#N/A</v>
      </c>
      <c r="D10459" s="125"/>
    </row>
    <row r="10460">
      <c r="A10460" s="122" t="s">
        <v>36208</v>
      </c>
      <c r="B10460" s="123">
        <v>1822873.0</v>
      </c>
      <c r="C10460" s="687" t="str">
        <f>IFERROR(__xludf.DUMMYFUNCTION("GOOGLEFINANCE(A10460,""name"")"),"#N/A")</f>
        <v>#N/A</v>
      </c>
      <c r="D10460" s="125"/>
    </row>
    <row r="10461">
      <c r="A10461" s="122" t="s">
        <v>36209</v>
      </c>
      <c r="B10461" s="123">
        <v>1822873.0</v>
      </c>
      <c r="C10461" s="687" t="str">
        <f>IFERROR(__xludf.DUMMYFUNCTION("GOOGLEFINANCE(A10461,""name"")"),"#N/A")</f>
        <v>#N/A</v>
      </c>
      <c r="D10461" s="125"/>
    </row>
    <row r="10462">
      <c r="A10462" s="122" t="s">
        <v>36210</v>
      </c>
      <c r="B10462" s="123">
        <v>849146.0</v>
      </c>
      <c r="C10462" s="687" t="str">
        <f>IFERROR(__xludf.DUMMYFUNCTION("GOOGLEFINANCE(A10462,""name"")"),"LifeVantage Corp")</f>
        <v>LifeVantage Corp</v>
      </c>
      <c r="D10462" s="125"/>
    </row>
    <row r="10463">
      <c r="A10463" s="122" t="s">
        <v>36211</v>
      </c>
      <c r="B10463" s="123">
        <v>1836337.0</v>
      </c>
      <c r="C10463" s="687" t="str">
        <f>IFERROR(__xludf.DUMMYFUNCTION("GOOGLEFINANCE(A10463,""name"")"),"#N/A")</f>
        <v>#N/A</v>
      </c>
      <c r="D10463" s="125"/>
    </row>
    <row r="10464">
      <c r="A10464" s="122" t="s">
        <v>36212</v>
      </c>
      <c r="B10464" s="123">
        <v>1836337.0</v>
      </c>
      <c r="C10464" s="687" t="str">
        <f>IFERROR(__xludf.DUMMYFUNCTION("GOOGLEFINANCE(A10464,""name"")"),"#N/A")</f>
        <v>#N/A</v>
      </c>
      <c r="D10464" s="125"/>
    </row>
    <row r="10465">
      <c r="A10465" s="122" t="s">
        <v>36213</v>
      </c>
      <c r="B10465" s="123">
        <v>1836337.0</v>
      </c>
      <c r="C10465" s="687" t="str">
        <f>IFERROR(__xludf.DUMMYFUNCTION("GOOGLEFINANCE(A10465,""name"")"),"#N/A")</f>
        <v>#N/A</v>
      </c>
      <c r="D10465" s="125"/>
    </row>
    <row r="10466">
      <c r="A10466" s="122" t="s">
        <v>36214</v>
      </c>
      <c r="B10466" s="123">
        <v>929351.0</v>
      </c>
      <c r="C10466" s="687" t="str">
        <f>IFERROR(__xludf.DUMMYFUNCTION("GOOGLEFINANCE(A10466,""name"")"),"#N/A")</f>
        <v>#N/A</v>
      </c>
      <c r="D10466" s="125"/>
    </row>
    <row r="10467">
      <c r="A10467" s="122" t="s">
        <v>36215</v>
      </c>
      <c r="B10467" s="123">
        <v>929351.0</v>
      </c>
      <c r="C10467" s="687" t="str">
        <f>IFERROR(__xludf.DUMMYFUNCTION("GOOGLEFINANCE(A10467,""name"")"),"#N/A")</f>
        <v>#N/A</v>
      </c>
      <c r="D10467" s="125"/>
    </row>
    <row r="10468">
      <c r="A10468" s="122" t="s">
        <v>36216</v>
      </c>
      <c r="B10468" s="123">
        <v>1806524.0</v>
      </c>
      <c r="C10468" s="687" t="str">
        <f>IFERROR(__xludf.DUMMYFUNCTION("GOOGLEFINANCE(A10468,""name"")"),"#N/A")</f>
        <v>#N/A</v>
      </c>
      <c r="D10468" s="125"/>
    </row>
    <row r="10469">
      <c r="A10469" s="122" t="s">
        <v>36217</v>
      </c>
      <c r="B10469" s="123">
        <v>61004.0</v>
      </c>
      <c r="C10469" s="687" t="str">
        <f>IFERROR(__xludf.DUMMYFUNCTION("GOOGLEFINANCE(A10469,""name"")"),"#N/A")</f>
        <v>#N/A</v>
      </c>
      <c r="D10469" s="125"/>
    </row>
    <row r="10470">
      <c r="A10470" s="122" t="s">
        <v>36218</v>
      </c>
      <c r="B10470" s="123">
        <v>886163.0</v>
      </c>
      <c r="C10470" s="687" t="str">
        <f>IFERROR(__xludf.DUMMYFUNCTION("GOOGLEFINANCE(A10470,""name"")"),"#N/A")</f>
        <v>#N/A</v>
      </c>
      <c r="D10470" s="125"/>
    </row>
    <row r="10471">
      <c r="A10471" s="122" t="s">
        <v>36219</v>
      </c>
      <c r="B10471" s="123">
        <v>886163.0</v>
      </c>
      <c r="C10471" s="687" t="str">
        <f>IFERROR(__xludf.DUMMYFUNCTION("GOOGLEFINANCE(A10471,""name"")"),"#N/A")</f>
        <v>#N/A</v>
      </c>
      <c r="D10471" s="125"/>
    </row>
    <row r="10472">
      <c r="A10472" s="122" t="s">
        <v>36220</v>
      </c>
      <c r="B10472" s="123">
        <v>886163.0</v>
      </c>
      <c r="C10472" s="687" t="str">
        <f>IFERROR(__xludf.DUMMYFUNCTION("GOOGLEFINANCE(A10472,""name"")"),"#N/A")</f>
        <v>#N/A</v>
      </c>
      <c r="D10472" s="125"/>
    </row>
    <row r="10473">
      <c r="A10473" s="122" t="s">
        <v>36221</v>
      </c>
      <c r="B10473" s="123">
        <v>886163.0</v>
      </c>
      <c r="C10473" s="687" t="str">
        <f>IFERROR(__xludf.DUMMYFUNCTION("GOOGLEFINANCE(A10473,""name"")"),"#N/A")</f>
        <v>#N/A</v>
      </c>
      <c r="D10473" s="125"/>
    </row>
    <row r="10474">
      <c r="A10474" s="122" t="s">
        <v>36222</v>
      </c>
      <c r="B10474" s="123">
        <v>1883814.0</v>
      </c>
      <c r="C10474" s="687" t="str">
        <f>IFERROR(__xludf.DUMMYFUNCTION("GOOGLEFINANCE(A10474,""name"")"),"#N/A")</f>
        <v>#N/A</v>
      </c>
      <c r="D10474" s="125"/>
    </row>
    <row r="10475">
      <c r="A10475" s="122" t="s">
        <v>36223</v>
      </c>
      <c r="B10475" s="123">
        <v>1883814.0</v>
      </c>
      <c r="C10475" s="687" t="str">
        <f>IFERROR(__xludf.DUMMYFUNCTION("GOOGLEFINANCE(A10475,""name"")"),"#N/A")</f>
        <v>#N/A</v>
      </c>
      <c r="D10475" s="125"/>
    </row>
    <row r="10476">
      <c r="A10476" s="122" t="s">
        <v>36224</v>
      </c>
      <c r="B10476" s="123">
        <v>1883814.0</v>
      </c>
      <c r="C10476" s="687" t="str">
        <f>IFERROR(__xludf.DUMMYFUNCTION("GOOGLEFINANCE(A10476,""name"")"),"#N/A")</f>
        <v>#N/A</v>
      </c>
      <c r="D10476" s="125"/>
    </row>
    <row r="10477">
      <c r="A10477" s="122" t="s">
        <v>36225</v>
      </c>
      <c r="B10477" s="123">
        <v>1832300.0</v>
      </c>
      <c r="C10477" s="687" t="str">
        <f>IFERROR(__xludf.DUMMYFUNCTION("GOOGLEFINANCE(A10477,""name"")"),"#N/A")</f>
        <v>#N/A</v>
      </c>
      <c r="D10477" s="125"/>
    </row>
    <row r="10478">
      <c r="A10478" s="122" t="s">
        <v>36226</v>
      </c>
      <c r="B10478" s="123">
        <v>1832300.0</v>
      </c>
      <c r="C10478" s="687" t="str">
        <f>IFERROR(__xludf.DUMMYFUNCTION("GOOGLEFINANCE(A10478,""name"")"),"#N/A")</f>
        <v>#N/A</v>
      </c>
      <c r="D10478" s="125"/>
    </row>
    <row r="10479">
      <c r="A10479" s="122" t="s">
        <v>36227</v>
      </c>
      <c r="B10479" s="123">
        <v>1832300.0</v>
      </c>
      <c r="C10479" s="687" t="str">
        <f>IFERROR(__xludf.DUMMYFUNCTION("GOOGLEFINANCE(A10479,""name"")"),"#N/A")</f>
        <v>#N/A</v>
      </c>
      <c r="D10479" s="125"/>
    </row>
    <row r="10480">
      <c r="A10480" s="122" t="s">
        <v>36228</v>
      </c>
      <c r="B10480" s="123">
        <v>1841948.0</v>
      </c>
      <c r="C10480" s="687" t="str">
        <f>IFERROR(__xludf.DUMMYFUNCTION("GOOGLEFINANCE(A10480,""name"")"),"#N/A")</f>
        <v>#N/A</v>
      </c>
      <c r="D10480" s="125"/>
    </row>
    <row r="10481">
      <c r="A10481" s="122" t="s">
        <v>36229</v>
      </c>
      <c r="B10481" s="123">
        <v>1824153.0</v>
      </c>
      <c r="C10481" s="687" t="str">
        <f>IFERROR(__xludf.DUMMYFUNCTION("GOOGLEFINANCE(A10481,""name"")"),"#N/A")</f>
        <v>#N/A</v>
      </c>
      <c r="D10481" s="125"/>
    </row>
    <row r="10482">
      <c r="A10482" s="122" t="s">
        <v>36230</v>
      </c>
      <c r="B10482" s="123">
        <v>1824153.0</v>
      </c>
      <c r="C10482" s="687" t="str">
        <f>IFERROR(__xludf.DUMMYFUNCTION("GOOGLEFINANCE(A10482,""name"")"),"#N/A")</f>
        <v>#N/A</v>
      </c>
      <c r="D10482" s="125"/>
    </row>
    <row r="10483">
      <c r="A10483" s="122" t="s">
        <v>36231</v>
      </c>
      <c r="B10483" s="123">
        <v>1852084.0</v>
      </c>
      <c r="C10483" s="687" t="str">
        <f>IFERROR(__xludf.DUMMYFUNCTION("GOOGLEFINANCE(A10483,""name"")"),"#N/A")</f>
        <v>#N/A</v>
      </c>
      <c r="D10483" s="125"/>
    </row>
    <row r="10484">
      <c r="A10484" s="122" t="s">
        <v>36232</v>
      </c>
      <c r="B10484" s="123">
        <v>1303313.0</v>
      </c>
      <c r="C10484" s="687" t="str">
        <f>IFERROR(__xludf.DUMMYFUNCTION("GOOGLEFINANCE(A10484,""name"")"),"#N/A")</f>
        <v>#N/A</v>
      </c>
      <c r="D10484" s="125"/>
    </row>
    <row r="10485">
      <c r="A10485" s="122" t="s">
        <v>36233</v>
      </c>
      <c r="B10485" s="123">
        <v>1652724.0</v>
      </c>
      <c r="C10485" s="687" t="str">
        <f>IFERROR(__xludf.DUMMYFUNCTION("GOOGLEFINANCE(A10485,""name"")"),"#N/A")</f>
        <v>#N/A</v>
      </c>
      <c r="D10485" s="125"/>
    </row>
    <row r="10486">
      <c r="A10486" s="122" t="s">
        <v>36234</v>
      </c>
      <c r="B10486" s="123">
        <v>1880151.0</v>
      </c>
      <c r="C10486" s="687" t="str">
        <f>IFERROR(__xludf.DUMMYFUNCTION("GOOGLEFINANCE(A10486,""name"")"),"#N/A")</f>
        <v>#N/A</v>
      </c>
      <c r="D10486" s="125"/>
    </row>
    <row r="10487">
      <c r="A10487" s="122" t="s">
        <v>36235</v>
      </c>
      <c r="B10487" s="123">
        <v>1880151.0</v>
      </c>
      <c r="C10487" s="687" t="str">
        <f>IFERROR(__xludf.DUMMYFUNCTION("GOOGLEFINANCE(A10487,""name"")"),"#N/A")</f>
        <v>#N/A</v>
      </c>
      <c r="D10487" s="125"/>
    </row>
    <row r="10488">
      <c r="A10488" s="122" t="s">
        <v>36236</v>
      </c>
      <c r="B10488" s="123">
        <v>1845991.0</v>
      </c>
      <c r="C10488" s="687" t="str">
        <f>IFERROR(__xludf.DUMMYFUNCTION("GOOGLEFINANCE(A10488,""name"")"),"#N/A")</f>
        <v>#N/A</v>
      </c>
      <c r="D10488" s="125"/>
    </row>
    <row r="10489">
      <c r="A10489" s="122" t="s">
        <v>36237</v>
      </c>
      <c r="B10489" s="123">
        <v>1848364.0</v>
      </c>
      <c r="C10489" s="687" t="str">
        <f>IFERROR(__xludf.DUMMYFUNCTION("GOOGLEFINANCE(A10489,""name"")"),"#N/A")</f>
        <v>#N/A</v>
      </c>
      <c r="D10489" s="125"/>
    </row>
    <row r="10490">
      <c r="A10490" s="122" t="s">
        <v>36238</v>
      </c>
      <c r="B10490" s="123">
        <v>1848364.0</v>
      </c>
      <c r="C10490" s="687" t="str">
        <f>IFERROR(__xludf.DUMMYFUNCTION("GOOGLEFINANCE(A10490,""name"")"),"#N/A")</f>
        <v>#N/A</v>
      </c>
      <c r="D10490" s="125"/>
    </row>
    <row r="10491">
      <c r="A10491" s="122" t="s">
        <v>36239</v>
      </c>
      <c r="B10491" s="123">
        <v>1875257.0</v>
      </c>
      <c r="C10491" s="687" t="str">
        <f>IFERROR(__xludf.DUMMYFUNCTION("GOOGLEFINANCE(A10491,""name"")"),"#N/A")</f>
        <v>#N/A</v>
      </c>
      <c r="D10491" s="125"/>
    </row>
    <row r="10492">
      <c r="A10492" s="122" t="s">
        <v>36240</v>
      </c>
      <c r="B10492" s="123">
        <v>1875257.0</v>
      </c>
      <c r="C10492" s="687" t="str">
        <f>IFERROR(__xludf.DUMMYFUNCTION("GOOGLEFINANCE(A10492,""name"")"),"#N/A")</f>
        <v>#N/A</v>
      </c>
      <c r="D10492" s="125"/>
    </row>
    <row r="10493">
      <c r="A10493" s="122" t="s">
        <v>36241</v>
      </c>
      <c r="B10493" s="123">
        <v>1875257.0</v>
      </c>
      <c r="C10493" s="687" t="str">
        <f>IFERROR(__xludf.DUMMYFUNCTION("GOOGLEFINANCE(A10493,""name"")"),"#N/A")</f>
        <v>#N/A</v>
      </c>
      <c r="D10493" s="125"/>
    </row>
    <row r="10494">
      <c r="A10494" s="122" t="s">
        <v>36242</v>
      </c>
      <c r="B10494" s="123">
        <v>1783407.0</v>
      </c>
      <c r="C10494" s="687" t="str">
        <f>IFERROR(__xludf.DUMMYFUNCTION("GOOGLEFINANCE(A10494,""name"")"),"#N/A")</f>
        <v>#N/A</v>
      </c>
      <c r="D10494" s="125"/>
    </row>
    <row r="10495">
      <c r="A10495" s="122" t="s">
        <v>36243</v>
      </c>
      <c r="B10495" s="123">
        <v>1825437.0</v>
      </c>
      <c r="C10495" s="687" t="str">
        <f>IFERROR(__xludf.DUMMYFUNCTION("GOOGLEFINANCE(A10495,""name"")"),"#N/A")</f>
        <v>#N/A</v>
      </c>
      <c r="D10495" s="125"/>
    </row>
    <row r="10496">
      <c r="A10496" s="122" t="s">
        <v>36244</v>
      </c>
      <c r="B10496" s="123">
        <v>1825437.0</v>
      </c>
      <c r="C10496" s="687" t="str">
        <f>IFERROR(__xludf.DUMMYFUNCTION("GOOGLEFINANCE(A10496,""name"")"),"#N/A")</f>
        <v>#N/A</v>
      </c>
      <c r="D10496" s="125"/>
    </row>
    <row r="10497">
      <c r="A10497" s="122" t="s">
        <v>36245</v>
      </c>
      <c r="B10497" s="123">
        <v>1825437.0</v>
      </c>
      <c r="C10497" s="687" t="str">
        <f>IFERROR(__xludf.DUMMYFUNCTION("GOOGLEFINANCE(A10497,""name"")"),"#N/A")</f>
        <v>#N/A</v>
      </c>
      <c r="D10497" s="125"/>
    </row>
    <row r="10498">
      <c r="A10498" s="122" t="s">
        <v>36246</v>
      </c>
      <c r="B10498" s="123">
        <v>1853790.0</v>
      </c>
      <c r="C10498" s="687" t="str">
        <f>IFERROR(__xludf.DUMMYFUNCTION("GOOGLEFINANCE(A10498,""name"")"),"#N/A")</f>
        <v>#N/A</v>
      </c>
      <c r="D10498" s="125"/>
    </row>
    <row r="10499">
      <c r="A10499" s="122" t="s">
        <v>36247</v>
      </c>
      <c r="B10499" s="123">
        <v>1835512.0</v>
      </c>
      <c r="C10499" s="687" t="str">
        <f>IFERROR(__xludf.DUMMYFUNCTION("GOOGLEFINANCE(A10499,""name"")"),"#N/A")</f>
        <v>#N/A</v>
      </c>
      <c r="D10499" s="125"/>
    </row>
    <row r="10500">
      <c r="A10500" s="122" t="s">
        <v>36248</v>
      </c>
      <c r="B10500" s="123">
        <v>1831992.0</v>
      </c>
      <c r="C10500" s="687" t="str">
        <f>IFERROR(__xludf.DUMMYFUNCTION("GOOGLEFINANCE(A10500,""name"")"),"#N/A")</f>
        <v>#N/A</v>
      </c>
      <c r="D10500" s="125"/>
    </row>
    <row r="10501">
      <c r="A10501" s="122" t="s">
        <v>36249</v>
      </c>
      <c r="B10501" s="123">
        <v>1831992.0</v>
      </c>
      <c r="C10501" s="687" t="str">
        <f>IFERROR(__xludf.DUMMYFUNCTION("GOOGLEFINANCE(A10501,""name"")"),"#N/A")</f>
        <v>#N/A</v>
      </c>
      <c r="D10501" s="125"/>
    </row>
    <row r="10502">
      <c r="A10502" s="122" t="s">
        <v>36250</v>
      </c>
      <c r="B10502" s="123">
        <v>1831992.0</v>
      </c>
      <c r="C10502" s="687" t="str">
        <f>IFERROR(__xludf.DUMMYFUNCTION("GOOGLEFINANCE(A10502,""name"")"),"#N/A")</f>
        <v>#N/A</v>
      </c>
      <c r="D10502" s="125"/>
    </row>
    <row r="10503">
      <c r="A10503" s="122" t="s">
        <v>36251</v>
      </c>
      <c r="B10503" s="123">
        <v>1831868.0</v>
      </c>
      <c r="C10503" s="687" t="str">
        <f>IFERROR(__xludf.DUMMYFUNCTION("GOOGLEFINANCE(A10503,""name"")"),"#N/A")</f>
        <v>#N/A</v>
      </c>
      <c r="D10503" s="125"/>
    </row>
    <row r="10504">
      <c r="A10504" s="122" t="s">
        <v>36252</v>
      </c>
      <c r="B10504" s="123">
        <v>1831868.0</v>
      </c>
      <c r="C10504" s="687" t="str">
        <f>IFERROR(__xludf.DUMMYFUNCTION("GOOGLEFINANCE(A10504,""name"")"),"#N/A")</f>
        <v>#N/A</v>
      </c>
      <c r="D10504" s="125"/>
    </row>
    <row r="10505">
      <c r="A10505" s="122" t="s">
        <v>36253</v>
      </c>
      <c r="B10505" s="123">
        <v>1831868.0</v>
      </c>
      <c r="C10505" s="687" t="str">
        <f>IFERROR(__xludf.DUMMYFUNCTION("GOOGLEFINANCE(A10505,""name"")"),"#N/A")</f>
        <v>#N/A</v>
      </c>
      <c r="D10505" s="125"/>
    </row>
    <row r="10506">
      <c r="A10506" s="122" t="s">
        <v>36254</v>
      </c>
      <c r="B10506" s="123">
        <v>1685428.0</v>
      </c>
      <c r="C10506" s="687" t="str">
        <f>IFERROR(__xludf.DUMMYFUNCTION("GOOGLEFINANCE(A10506,""name"")"),"#N/A")</f>
        <v>#N/A</v>
      </c>
      <c r="D10506" s="125"/>
    </row>
    <row r="10507">
      <c r="A10507" s="122" t="s">
        <v>36255</v>
      </c>
      <c r="B10507" s="123">
        <v>1685428.0</v>
      </c>
      <c r="C10507" s="687" t="str">
        <f>IFERROR(__xludf.DUMMYFUNCTION("GOOGLEFINANCE(A10507,""name"")"),"#N/A")</f>
        <v>#N/A</v>
      </c>
      <c r="D10507" s="125"/>
    </row>
    <row r="10508">
      <c r="A10508" s="122" t="s">
        <v>36256</v>
      </c>
      <c r="B10508" s="123">
        <v>1351172.0</v>
      </c>
      <c r="C10508" s="687" t="str">
        <f>IFERROR(__xludf.DUMMYFUNCTION("GOOGLEFINANCE(A10508,""name"")"),"#N/A")</f>
        <v>#N/A</v>
      </c>
      <c r="D10508" s="125"/>
    </row>
    <row r="10509">
      <c r="A10509" s="122" t="s">
        <v>36257</v>
      </c>
      <c r="B10509" s="123">
        <v>1358356.0</v>
      </c>
      <c r="C10509" s="687" t="str">
        <f>IFERROR(__xludf.DUMMYFUNCTION("GOOGLEFINANCE(A10509,""name"")"),"#N/A")</f>
        <v>#N/A</v>
      </c>
      <c r="D10509" s="125"/>
    </row>
    <row r="10510">
      <c r="A10510" s="122" t="s">
        <v>36258</v>
      </c>
      <c r="B10510" s="123">
        <v>1602706.0</v>
      </c>
      <c r="C10510" s="687" t="str">
        <f>IFERROR(__xludf.DUMMYFUNCTION("GOOGLEFINANCE(A10510,""name"")"),"#N/A")</f>
        <v>#N/A</v>
      </c>
      <c r="D10510" s="125"/>
    </row>
    <row r="10511">
      <c r="A10511" s="122" t="s">
        <v>36259</v>
      </c>
      <c r="B10511" s="123">
        <v>1592651.0</v>
      </c>
      <c r="C10511" s="687" t="str">
        <f>IFERROR(__xludf.DUMMYFUNCTION("GOOGLEFINANCE(A10511,""name"")"),"#N/A")</f>
        <v>#N/A</v>
      </c>
      <c r="D10511" s="125"/>
    </row>
    <row r="10512">
      <c r="A10512" s="122" t="s">
        <v>36260</v>
      </c>
      <c r="B10512" s="123">
        <v>1848323.0</v>
      </c>
      <c r="C10512" s="687" t="str">
        <f>IFERROR(__xludf.DUMMYFUNCTION("GOOGLEFINANCE(A10512,""name"")"),"#N/A")</f>
        <v>#N/A</v>
      </c>
      <c r="D10512" s="125"/>
    </row>
    <row r="10513">
      <c r="A10513" s="122" t="s">
        <v>36261</v>
      </c>
      <c r="B10513" s="123">
        <v>1848323.0</v>
      </c>
      <c r="C10513" s="687" t="str">
        <f>IFERROR(__xludf.DUMMYFUNCTION("GOOGLEFINANCE(A10513,""name"")"),"#N/A")</f>
        <v>#N/A</v>
      </c>
      <c r="D10513" s="125"/>
    </row>
    <row r="10514">
      <c r="A10514" s="122" t="s">
        <v>36262</v>
      </c>
      <c r="B10514" s="123">
        <v>1848323.0</v>
      </c>
      <c r="C10514" s="687" t="str">
        <f>IFERROR(__xludf.DUMMYFUNCTION("GOOGLEFINANCE(A10514,""name"")"),"#N/A")</f>
        <v>#N/A</v>
      </c>
      <c r="D10514" s="125"/>
    </row>
    <row r="10515">
      <c r="A10515" s="122" t="s">
        <v>36263</v>
      </c>
      <c r="B10515" s="123">
        <v>1840780.0</v>
      </c>
      <c r="C10515" s="687" t="str">
        <f>IFERROR(__xludf.DUMMYFUNCTION("GOOGLEFINANCE(A10515,""name"")"),"#N/A")</f>
        <v>#N/A</v>
      </c>
      <c r="D10515" s="125"/>
    </row>
    <row r="10516">
      <c r="A10516" s="122" t="s">
        <v>36264</v>
      </c>
      <c r="B10516" s="123">
        <v>1664106.0</v>
      </c>
      <c r="C10516" s="687" t="str">
        <f>IFERROR(__xludf.DUMMYFUNCTION("GOOGLEFINANCE(A10516,""name"")"),"ContextLogic Holdings Inc")</f>
        <v>ContextLogic Holdings Inc</v>
      </c>
      <c r="D10516" s="125"/>
    </row>
    <row r="10517">
      <c r="A10517" s="122" t="s">
        <v>36265</v>
      </c>
      <c r="B10517" s="123">
        <v>1785880.0</v>
      </c>
      <c r="C10517" s="687" t="str">
        <f>IFERROR(__xludf.DUMMYFUNCTION("GOOGLEFINANCE(A10517,""name"")"),"#N/A")</f>
        <v>#N/A</v>
      </c>
      <c r="D10517" s="125"/>
    </row>
    <row r="10518">
      <c r="A10518" s="122" t="s">
        <v>36266</v>
      </c>
      <c r="B10518" s="123">
        <v>1841585.0</v>
      </c>
      <c r="C10518" s="687" t="str">
        <f>IFERROR(__xludf.DUMMYFUNCTION("GOOGLEFINANCE(A10518,""name"")"),"#N/A")</f>
        <v>#N/A</v>
      </c>
      <c r="D10518" s="125"/>
    </row>
    <row r="10519">
      <c r="A10519" s="122" t="s">
        <v>36267</v>
      </c>
      <c r="B10519" s="123">
        <v>1841585.0</v>
      </c>
      <c r="C10519" s="687" t="str">
        <f>IFERROR(__xludf.DUMMYFUNCTION("GOOGLEFINANCE(A10519,""name"")"),"#N/A")</f>
        <v>#N/A</v>
      </c>
      <c r="D10519" s="125"/>
    </row>
    <row r="10520">
      <c r="A10520" s="122" t="s">
        <v>36268</v>
      </c>
      <c r="B10520" s="123">
        <v>1841585.0</v>
      </c>
      <c r="C10520" s="687" t="str">
        <f>IFERROR(__xludf.DUMMYFUNCTION("GOOGLEFINANCE(A10520,""name"")"),"#N/A")</f>
        <v>#N/A</v>
      </c>
      <c r="D10520" s="125"/>
    </row>
    <row r="10521">
      <c r="A10521" s="122" t="s">
        <v>36269</v>
      </c>
      <c r="B10521" s="123">
        <v>1759008.0</v>
      </c>
      <c r="C10521" s="687" t="str">
        <f>IFERROR(__xludf.DUMMYFUNCTION("GOOGLEFINANCE(A10521,""name"")"),"#N/A")</f>
        <v>#N/A</v>
      </c>
      <c r="D10521" s="125"/>
    </row>
    <row r="10522">
      <c r="A10522" s="122" t="s">
        <v>36270</v>
      </c>
      <c r="B10522" s="123">
        <v>1759008.0</v>
      </c>
      <c r="C10522" s="687" t="str">
        <f>IFERROR(__xludf.DUMMYFUNCTION("GOOGLEFINANCE(A10522,""name"")"),"#N/A")</f>
        <v>#N/A</v>
      </c>
      <c r="D10522" s="125"/>
    </row>
    <row r="10523">
      <c r="A10523" s="122" t="s">
        <v>36271</v>
      </c>
      <c r="B10523" s="123">
        <v>58411.0</v>
      </c>
      <c r="C10523" s="687" t="str">
        <f>IFERROR(__xludf.DUMMYFUNCTION("GOOGLEFINANCE(A10523,""name"")"),"#N/A")</f>
        <v>#N/A</v>
      </c>
      <c r="D10523" s="125"/>
    </row>
    <row r="10524">
      <c r="A10524" s="122" t="s">
        <v>36272</v>
      </c>
      <c r="B10524" s="123">
        <v>1819576.0</v>
      </c>
      <c r="C10524" s="687" t="str">
        <f>IFERROR(__xludf.DUMMYFUNCTION("GOOGLEFINANCE(A10524,""name"")"),"Liquidia Corp")</f>
        <v>Liquidia Corp</v>
      </c>
      <c r="D10524" s="125"/>
    </row>
    <row r="10525">
      <c r="A10525" s="122" t="s">
        <v>36273</v>
      </c>
      <c r="B10525" s="123">
        <v>1235468.0</v>
      </c>
      <c r="C10525" s="687" t="str">
        <f>IFERROR(__xludf.DUMMYFUNCTION("GOOGLEFINANCE(A10525,""name"")"),"Liquidity Services Inc")</f>
        <v>Liquidity Services Inc</v>
      </c>
      <c r="D10525" s="125"/>
    </row>
    <row r="10526">
      <c r="A10526" s="122" t="s">
        <v>36274</v>
      </c>
      <c r="B10526" s="123">
        <v>1547660.0</v>
      </c>
      <c r="C10526" s="687" t="str">
        <f>IFERROR(__xludf.DUMMYFUNCTION("GOOGLEFINANCE(A10526,""name"")"),"#N/A")</f>
        <v>#N/A</v>
      </c>
      <c r="D10526" s="125"/>
    </row>
    <row r="10527">
      <c r="A10527" s="122" t="s">
        <v>36275</v>
      </c>
      <c r="B10527" s="123">
        <v>1869365.0</v>
      </c>
      <c r="C10527" s="687" t="str">
        <f>IFERROR(__xludf.DUMMYFUNCTION("GOOGLEFINANCE(A10527,""name"")"),"#N/A")</f>
        <v>#N/A</v>
      </c>
      <c r="D10527" s="125"/>
    </row>
    <row r="10528">
      <c r="A10528" s="122" t="s">
        <v>36276</v>
      </c>
      <c r="B10528" s="123">
        <v>1859007.0</v>
      </c>
      <c r="C10528" s="687" t="str">
        <f>IFERROR(__xludf.DUMMYFUNCTION("GOOGLEFINANCE(A10528,""name"")"),"#N/A")</f>
        <v>#N/A</v>
      </c>
      <c r="D10528" s="125"/>
    </row>
    <row r="10529">
      <c r="A10529" s="122" t="s">
        <v>36277</v>
      </c>
      <c r="B10529" s="123">
        <v>1859007.0</v>
      </c>
      <c r="C10529" s="687" t="str">
        <f>IFERROR(__xludf.DUMMYFUNCTION("GOOGLEFINANCE(A10529,""name"")"),"#N/A")</f>
        <v>#N/A</v>
      </c>
      <c r="D10529" s="125"/>
    </row>
    <row r="10530">
      <c r="A10530" s="122" t="s">
        <v>36278</v>
      </c>
      <c r="B10530" s="123">
        <v>1496254.0</v>
      </c>
      <c r="C10530" s="687" t="str">
        <f>IFERROR(__xludf.DUMMYFUNCTION("GOOGLEFINANCE(A10530,""name"")"),"#N/A")</f>
        <v>#N/A</v>
      </c>
      <c r="D10530" s="125"/>
    </row>
    <row r="10531">
      <c r="A10531" s="122" t="s">
        <v>36279</v>
      </c>
      <c r="B10531" s="123">
        <v>1496254.0</v>
      </c>
      <c r="C10531" s="687" t="str">
        <f>IFERROR(__xludf.DUMMYFUNCTION("GOOGLEFINANCE(A10531,""name"")"),"#N/A")</f>
        <v>#N/A</v>
      </c>
      <c r="D10531" s="125"/>
    </row>
    <row r="10532">
      <c r="A10532" s="122" t="s">
        <v>36280</v>
      </c>
      <c r="B10532" s="123">
        <v>1496254.0</v>
      </c>
      <c r="C10532" s="687" t="str">
        <f>IFERROR(__xludf.DUMMYFUNCTION("GOOGLEFINANCE(A10532,""name"")"),"#N/A")</f>
        <v>#N/A</v>
      </c>
      <c r="D10532" s="125"/>
    </row>
    <row r="10533">
      <c r="A10533" s="122" t="s">
        <v>36281</v>
      </c>
      <c r="B10533" s="123">
        <v>1047716.0</v>
      </c>
      <c r="C10533" s="687" t="str">
        <f>IFERROR(__xludf.DUMMYFUNCTION("GOOGLEFINANCE(A10533,""name"")"),"#N/A")</f>
        <v>#N/A</v>
      </c>
      <c r="D10533" s="125"/>
    </row>
    <row r="10534">
      <c r="A10534" s="122" t="s">
        <v>36282</v>
      </c>
      <c r="B10534" s="123">
        <v>1108891.0</v>
      </c>
      <c r="C10534" s="687" t="str">
        <f>IFERROR(__xludf.DUMMYFUNCTION("GOOGLEFINANCE(A10534,""name"")"),"#N/A")</f>
        <v>#N/A</v>
      </c>
      <c r="D10534" s="125"/>
    </row>
    <row r="10535">
      <c r="A10535" s="122" t="s">
        <v>36283</v>
      </c>
      <c r="B10535" s="123">
        <v>1851195.0</v>
      </c>
      <c r="C10535" s="687" t="str">
        <f>IFERROR(__xludf.DUMMYFUNCTION("GOOGLEFINANCE(A10535,""name"")"),"#N/A")</f>
        <v>#N/A</v>
      </c>
      <c r="D10535" s="125"/>
    </row>
    <row r="10536">
      <c r="A10536" s="122" t="s">
        <v>36284</v>
      </c>
      <c r="B10536" s="123">
        <v>92380.0</v>
      </c>
      <c r="C10536" s="687" t="str">
        <f>IFERROR(__xludf.DUMMYFUNCTION("GOOGLEFINANCE(A10536,""name"")"),"Southwest Airlines Co")</f>
        <v>Southwest Airlines Co</v>
      </c>
      <c r="D10536" s="125"/>
    </row>
    <row r="10537">
      <c r="A10537" s="122" t="s">
        <v>36285</v>
      </c>
      <c r="B10537" s="123">
        <v>1823767.0</v>
      </c>
      <c r="C10537" s="687" t="str">
        <f>IFERROR(__xludf.DUMMYFUNCTION("GOOGLEFINANCE(A10537,""name"")"),"#N/A")</f>
        <v>#N/A</v>
      </c>
      <c r="D10537" s="125"/>
    </row>
    <row r="10538">
      <c r="A10538" s="122" t="s">
        <v>36286</v>
      </c>
      <c r="B10538" s="123">
        <v>1823767.0</v>
      </c>
      <c r="C10538" s="687" t="str">
        <f>IFERROR(__xludf.DUMMYFUNCTION("GOOGLEFINANCE(A10538,""name"")"),"#N/A")</f>
        <v>#N/A</v>
      </c>
      <c r="D10538" s="125"/>
    </row>
    <row r="10539">
      <c r="A10539" s="122" t="s">
        <v>36287</v>
      </c>
      <c r="B10539" s="123">
        <v>1823767.0</v>
      </c>
      <c r="C10539" s="687" t="str">
        <f>IFERROR(__xludf.DUMMYFUNCTION("GOOGLEFINANCE(A10539,""name"")"),"#N/A")</f>
        <v>#N/A</v>
      </c>
      <c r="D10539" s="125"/>
    </row>
    <row r="10540">
      <c r="A10540" s="122" t="s">
        <v>36288</v>
      </c>
      <c r="B10540" s="123">
        <v>1855450.0</v>
      </c>
      <c r="C10540" s="687" t="str">
        <f>IFERROR(__xludf.DUMMYFUNCTION("GOOGLEFINANCE(A10540,""name"")"),"#N/A")</f>
        <v>#N/A</v>
      </c>
      <c r="D10540" s="125"/>
    </row>
    <row r="10541">
      <c r="A10541" s="122" t="s">
        <v>36289</v>
      </c>
      <c r="B10541" s="123">
        <v>1855450.0</v>
      </c>
      <c r="C10541" s="687" t="str">
        <f>IFERROR(__xludf.DUMMYFUNCTION("GOOGLEFINANCE(A10541,""name"")"),"#N/A")</f>
        <v>#N/A</v>
      </c>
      <c r="D10541" s="125"/>
    </row>
    <row r="10542">
      <c r="A10542" s="122" t="s">
        <v>36290</v>
      </c>
      <c r="B10542" s="123">
        <v>1503658.0</v>
      </c>
      <c r="C10542" s="687" t="str">
        <f>IFERROR(__xludf.DUMMYFUNCTION("GOOGLEFINANCE(A10542,""name"")"),"#N/A")</f>
        <v>#N/A</v>
      </c>
      <c r="D10542" s="125"/>
    </row>
    <row r="10543">
      <c r="A10543" s="122" t="s">
        <v>36291</v>
      </c>
      <c r="B10543" s="123">
        <v>1491419.0</v>
      </c>
      <c r="C10543" s="687" t="str">
        <f>IFERROR(__xludf.DUMMYFUNCTION("GOOGLEFINANCE(A10543,""name"")"),"LiveOne Inc")</f>
        <v>LiveOne Inc</v>
      </c>
      <c r="D10543" s="125"/>
    </row>
    <row r="10544">
      <c r="A10544" s="122" t="s">
        <v>36292</v>
      </c>
      <c r="B10544" s="123">
        <v>1723648.0</v>
      </c>
      <c r="C10544" s="687" t="str">
        <f>IFERROR(__xludf.DUMMYFUNCTION("GOOGLEFINANCE(A10544,""name"")"),"#N/A")</f>
        <v>#N/A</v>
      </c>
      <c r="D10544" s="125"/>
    </row>
    <row r="10545">
      <c r="A10545" s="122" t="s">
        <v>36293</v>
      </c>
      <c r="B10545" s="123">
        <v>1723648.0</v>
      </c>
      <c r="C10545" s="687" t="str">
        <f>IFERROR(__xludf.DUMMYFUNCTION("GOOGLEFINANCE(A10545,""name"")"),"#N/A")</f>
        <v>#N/A</v>
      </c>
      <c r="D10545" s="125"/>
    </row>
    <row r="10546">
      <c r="A10546" s="122" t="s">
        <v>36294</v>
      </c>
      <c r="B10546" s="123">
        <v>1723648.0</v>
      </c>
      <c r="C10546" s="687" t="str">
        <f>IFERROR(__xludf.DUMMYFUNCTION("GOOGLEFINANCE(A10546,""name"")"),"#N/A")</f>
        <v>#N/A</v>
      </c>
      <c r="D10546" s="125"/>
    </row>
    <row r="10547">
      <c r="A10547" s="122" t="s">
        <v>36295</v>
      </c>
      <c r="B10547" s="123">
        <v>1841383.0</v>
      </c>
      <c r="C10547" s="687" t="str">
        <f>IFERROR(__xludf.DUMMYFUNCTION("GOOGLEFINANCE(A10547,""name"")"),"#N/A")</f>
        <v>#N/A</v>
      </c>
      <c r="D10547" s="125"/>
    </row>
    <row r="10548">
      <c r="A10548" s="122" t="s">
        <v>36296</v>
      </c>
      <c r="B10548" s="123">
        <v>1300514.0</v>
      </c>
      <c r="C10548" s="687" t="str">
        <f>IFERROR(__xludf.DUMMYFUNCTION("GOOGLEFINANCE(A10548,""name"")"),"Las Vegas Sands Corp.")</f>
        <v>Las Vegas Sands Corp.</v>
      </c>
      <c r="D10548" s="125"/>
    </row>
    <row r="10549">
      <c r="A10549" s="122" t="s">
        <v>36297</v>
      </c>
      <c r="B10549" s="123">
        <v>1567098.0</v>
      </c>
      <c r="C10549" s="687" t="str">
        <f>IFERROR(__xludf.DUMMYFUNCTION("GOOGLEFINANCE(A10549,""name"")"),"#N/A")</f>
        <v>#N/A</v>
      </c>
      <c r="D10549" s="125"/>
    </row>
    <row r="10550">
      <c r="A10550" s="122" t="s">
        <v>36298</v>
      </c>
      <c r="B10550" s="123">
        <v>910108.0</v>
      </c>
      <c r="C10550" s="687" t="str">
        <f>IFERROR(__xludf.DUMMYFUNCTION("GOOGLEFINANCE(A10550,""name"")"),"#N/A")</f>
        <v>#N/A</v>
      </c>
      <c r="D10550" s="125"/>
    </row>
    <row r="10551">
      <c r="A10551" s="122" t="s">
        <v>36299</v>
      </c>
      <c r="B10551" s="123">
        <v>1450416.0</v>
      </c>
      <c r="C10551" s="687" t="str">
        <f>IFERROR(__xludf.DUMMYFUNCTION("GOOGLEFINANCE(A10551,""name"")"),"#N/A")</f>
        <v>#N/A</v>
      </c>
      <c r="D10551" s="125"/>
    </row>
    <row r="10552">
      <c r="A10552" s="122" t="s">
        <v>36300</v>
      </c>
      <c r="B10552" s="123">
        <v>1870997.0</v>
      </c>
      <c r="C10552" s="687" t="str">
        <f>IFERROR(__xludf.DUMMYFUNCTION("GOOGLEFINANCE(A10552,""name"")"),"#N/A")</f>
        <v>#N/A</v>
      </c>
      <c r="D10552" s="125"/>
    </row>
    <row r="10553">
      <c r="A10553" s="122" t="s">
        <v>36301</v>
      </c>
      <c r="B10553" s="123">
        <v>763532.0</v>
      </c>
      <c r="C10553" s="687" t="str">
        <f>IFERROR(__xludf.DUMMYFUNCTION("GOOGLEFINANCE(A10553,""name"")"),"LSI Industries Inc")</f>
        <v>LSI Industries Inc</v>
      </c>
      <c r="D10553" s="125"/>
    </row>
    <row r="10554">
      <c r="A10554" s="122" t="s">
        <v>36302</v>
      </c>
      <c r="B10554" s="123">
        <v>912595.0</v>
      </c>
      <c r="C10554" s="687" t="str">
        <f>IFERROR(__xludf.DUMMYFUNCTION("GOOGLEFINANCE(A10554,""name"")"),"#N/A")</f>
        <v>#N/A</v>
      </c>
      <c r="D10554" s="125"/>
    </row>
    <row r="10555">
      <c r="A10555" s="122" t="s">
        <v>36303</v>
      </c>
      <c r="B10555" s="123">
        <v>1870144.0</v>
      </c>
      <c r="C10555" s="687" t="str">
        <f>IFERROR(__xludf.DUMMYFUNCTION("GOOGLEFINANCE(A10555,""name"")"),"#N/A")</f>
        <v>#N/A</v>
      </c>
      <c r="D10555" s="125"/>
    </row>
    <row r="10556">
      <c r="A10556" s="122" t="s">
        <v>36304</v>
      </c>
      <c r="B10556" s="123">
        <v>1870144.0</v>
      </c>
      <c r="C10556" s="687" t="str">
        <f>IFERROR(__xludf.DUMMYFUNCTION("GOOGLEFINANCE(A10556,""name"")"),"#N/A")</f>
        <v>#N/A</v>
      </c>
      <c r="D10556" s="125"/>
    </row>
    <row r="10557">
      <c r="A10557" s="122" t="s">
        <v>36305</v>
      </c>
      <c r="B10557" s="123">
        <v>1870144.0</v>
      </c>
      <c r="C10557" s="687" t="str">
        <f>IFERROR(__xludf.DUMMYFUNCTION("GOOGLEFINANCE(A10557,""name"")"),"#N/A")</f>
        <v>#N/A</v>
      </c>
      <c r="D10557" s="125"/>
    </row>
    <row r="10558">
      <c r="A10558" s="122" t="s">
        <v>36306</v>
      </c>
      <c r="B10558" s="123">
        <v>1840148.0</v>
      </c>
      <c r="C10558" s="687" t="str">
        <f>IFERROR(__xludf.DUMMYFUNCTION("GOOGLEFINANCE(A10558,""name"")"),"#N/A")</f>
        <v>#N/A</v>
      </c>
      <c r="D10558" s="125"/>
    </row>
    <row r="10559">
      <c r="A10559" s="122" t="s">
        <v>36307</v>
      </c>
      <c r="B10559" s="123">
        <v>1840148.0</v>
      </c>
      <c r="C10559" s="687" t="str">
        <f>IFERROR(__xludf.DUMMYFUNCTION("GOOGLEFINANCE(A10559,""name"")"),"#N/A")</f>
        <v>#N/A</v>
      </c>
      <c r="D10559" s="125"/>
    </row>
    <row r="10560">
      <c r="A10560" s="122" t="s">
        <v>36308</v>
      </c>
      <c r="B10560" s="123">
        <v>1840148.0</v>
      </c>
      <c r="C10560" s="687" t="str">
        <f>IFERROR(__xludf.DUMMYFUNCTION("GOOGLEFINANCE(A10560,""name"")"),"#N/A")</f>
        <v>#N/A</v>
      </c>
      <c r="D10560" s="125"/>
    </row>
    <row r="10561">
      <c r="A10561" s="122" t="s">
        <v>36309</v>
      </c>
      <c r="B10561" s="123">
        <v>1052354.0</v>
      </c>
      <c r="C10561" s="687" t="str">
        <f>IFERROR(__xludf.DUMMYFUNCTION("GOOGLEFINANCE(A10561,""name"")"),"#N/A")</f>
        <v>#N/A</v>
      </c>
      <c r="D10561" s="125"/>
    </row>
    <row r="10562">
      <c r="A10562" s="122" t="s">
        <v>36310</v>
      </c>
      <c r="B10562" s="123">
        <v>892537.0</v>
      </c>
      <c r="C10562" s="687" t="str">
        <f>IFERROR(__xludf.DUMMYFUNCTION("GOOGLEFINANCE(A10562,""name"")"),"#N/A")</f>
        <v>#N/A</v>
      </c>
      <c r="D10562" s="125"/>
    </row>
    <row r="10563">
      <c r="A10563" s="122" t="s">
        <v>36311</v>
      </c>
      <c r="B10563" s="123">
        <v>1368365.0</v>
      </c>
      <c r="C10563" s="687" t="str">
        <f>IFERROR(__xludf.DUMMYFUNCTION("GOOGLEFINANCE(A10563,""name"")"),"Remark Holdings Inc")</f>
        <v>Remark Holdings Inc</v>
      </c>
      <c r="D10563" s="125"/>
    </row>
    <row r="10564">
      <c r="A10564" s="122" t="s">
        <v>36312</v>
      </c>
      <c r="B10564" s="123">
        <v>62362.0</v>
      </c>
      <c r="C10564" s="687" t="str">
        <f>IFERROR(__xludf.DUMMYFUNCTION("GOOGLEFINANCE(A10564,""name"")"),"Marine Petroleum Trust")</f>
        <v>Marine Petroleum Trust</v>
      </c>
      <c r="D10564" s="125"/>
    </row>
    <row r="10565">
      <c r="A10565" s="122" t="s">
        <v>36313</v>
      </c>
      <c r="B10565" s="123">
        <v>1121142.0</v>
      </c>
      <c r="C10565" s="687" t="str">
        <f>IFERROR(__xludf.DUMMYFUNCTION("GOOGLEFINANCE(A10565,""name"")"),"#N/A")</f>
        <v>#N/A</v>
      </c>
      <c r="D10565" s="125"/>
    </row>
    <row r="10566">
      <c r="A10566" s="122" t="s">
        <v>36314</v>
      </c>
      <c r="B10566" s="123">
        <v>1839175.0</v>
      </c>
      <c r="C10566" s="687" t="str">
        <f>IFERROR(__xludf.DUMMYFUNCTION("GOOGLEFINANCE(A10566,""name"")"),"#N/A")</f>
        <v>#N/A</v>
      </c>
      <c r="D10566" s="125"/>
    </row>
    <row r="10567">
      <c r="A10567" s="122" t="s">
        <v>36315</v>
      </c>
      <c r="B10567" s="123">
        <v>1839175.0</v>
      </c>
      <c r="C10567" s="687" t="str">
        <f>IFERROR(__xludf.DUMMYFUNCTION("GOOGLEFINANCE(A10567,""name"")"),"#N/A")</f>
        <v>#N/A</v>
      </c>
      <c r="D10567" s="125"/>
    </row>
    <row r="10568">
      <c r="A10568" s="122" t="s">
        <v>36316</v>
      </c>
      <c r="B10568" s="123">
        <v>1856589.0</v>
      </c>
      <c r="C10568" s="687" t="str">
        <f>IFERROR(__xludf.DUMMYFUNCTION("GOOGLEFINANCE(A10568,""name"")"),"#N/A")</f>
        <v>#N/A</v>
      </c>
      <c r="D10568" s="125"/>
    </row>
    <row r="10569">
      <c r="A10569" s="122" t="s">
        <v>36317</v>
      </c>
      <c r="B10569" s="123">
        <v>1856589.0</v>
      </c>
      <c r="C10569" s="687" t="str">
        <f>IFERROR(__xludf.DUMMYFUNCTION("GOOGLEFINANCE(A10569,""name"")"),"#N/A")</f>
        <v>#N/A</v>
      </c>
      <c r="D10569" s="125"/>
    </row>
    <row r="10570">
      <c r="A10570" s="122" t="s">
        <v>36318</v>
      </c>
      <c r="B10570" s="123">
        <v>1856589.0</v>
      </c>
      <c r="C10570" s="687" t="str">
        <f>IFERROR(__xludf.DUMMYFUNCTION("GOOGLEFINANCE(A10570,""name"")"),"#N/A")</f>
        <v>#N/A</v>
      </c>
      <c r="D10570" s="125"/>
    </row>
    <row r="10571">
      <c r="A10571" s="122" t="s">
        <v>36319</v>
      </c>
      <c r="B10571" s="123">
        <v>1837344.0</v>
      </c>
      <c r="C10571" s="687" t="str">
        <f>IFERROR(__xludf.DUMMYFUNCTION("GOOGLEFINANCE(A10571,""name"")"),"#N/A")</f>
        <v>#N/A</v>
      </c>
      <c r="D10571" s="125"/>
    </row>
    <row r="10572">
      <c r="A10572" s="122" t="s">
        <v>36320</v>
      </c>
      <c r="B10572" s="123">
        <v>1895249.0</v>
      </c>
      <c r="C10572" s="687" t="str">
        <f>IFERROR(__xludf.DUMMYFUNCTION("GOOGLEFINANCE(A10572,""name"")"),"#N/A")</f>
        <v>#N/A</v>
      </c>
      <c r="D10572" s="125"/>
    </row>
    <row r="10573">
      <c r="A10573" s="122" t="s">
        <v>36321</v>
      </c>
      <c r="B10573" s="123">
        <v>1853775.0</v>
      </c>
      <c r="C10573" s="687" t="str">
        <f>IFERROR(__xludf.DUMMYFUNCTION("GOOGLEFINANCE(A10573,""name"")"),"#N/A")</f>
        <v>#N/A</v>
      </c>
      <c r="D10573" s="125"/>
    </row>
    <row r="10574">
      <c r="A10574" s="122" t="s">
        <v>36322</v>
      </c>
      <c r="B10574" s="123">
        <v>1853775.0</v>
      </c>
      <c r="C10574" s="687" t="str">
        <f>IFERROR(__xludf.DUMMYFUNCTION("GOOGLEFINANCE(A10574,""name"")"),"#N/A")</f>
        <v>#N/A</v>
      </c>
      <c r="D10574" s="125"/>
    </row>
    <row r="10575">
      <c r="A10575" s="122" t="s">
        <v>36323</v>
      </c>
      <c r="B10575" s="123">
        <v>1853774.0</v>
      </c>
      <c r="C10575" s="687" t="str">
        <f>IFERROR(__xludf.DUMMYFUNCTION("GOOGLEFINANCE(A10575,""name"")"),"#N/A")</f>
        <v>#N/A</v>
      </c>
      <c r="D10575" s="125"/>
    </row>
    <row r="10576">
      <c r="A10576" s="122" t="s">
        <v>36324</v>
      </c>
      <c r="B10576" s="123">
        <v>1783317.0</v>
      </c>
      <c r="C10576" s="687" t="str">
        <f>IFERROR(__xludf.DUMMYFUNCTION("GOOGLEFINANCE(A10576,""name"")"),"#N/A")</f>
        <v>#N/A</v>
      </c>
      <c r="D10576" s="125"/>
    </row>
    <row r="10577">
      <c r="A10577" s="122" t="s">
        <v>36325</v>
      </c>
      <c r="B10577" s="123">
        <v>1638290.0</v>
      </c>
      <c r="C10577" s="687" t="str">
        <f>IFERROR(__xludf.DUMMYFUNCTION("GOOGLEFINANCE(A10577,""name"")"),"Mastercraft Boat Holdings Inc")</f>
        <v>Mastercraft Boat Holdings Inc</v>
      </c>
      <c r="D10577" s="125"/>
    </row>
    <row r="10578">
      <c r="A10578" s="122" t="s">
        <v>36326</v>
      </c>
      <c r="B10578" s="123">
        <v>1359711.0</v>
      </c>
      <c r="C10578" s="687" t="str">
        <f>IFERROR(__xludf.DUMMYFUNCTION("GOOGLEFINANCE(A10578,""name"")"),"#N/A")</f>
        <v>#N/A</v>
      </c>
      <c r="D10578" s="125"/>
    </row>
    <row r="10579">
      <c r="A10579" s="122" t="s">
        <v>36327</v>
      </c>
      <c r="B10579" s="123">
        <v>1756499.0</v>
      </c>
      <c r="C10579" s="687" t="str">
        <f>IFERROR(__xludf.DUMMYFUNCTION("GOOGLEFINANCE(A10579,""name"")"),"#N/A")</f>
        <v>#N/A</v>
      </c>
      <c r="D10579" s="125"/>
    </row>
    <row r="10580">
      <c r="A10580" s="122" t="s">
        <v>36328</v>
      </c>
      <c r="B10580" s="123">
        <v>1756499.0</v>
      </c>
      <c r="C10580" s="687" t="str">
        <f>IFERROR(__xludf.DUMMYFUNCTION("GOOGLEFINANCE(A10580,""name"")"),"#N/A")</f>
        <v>#N/A</v>
      </c>
      <c r="D10580" s="125"/>
    </row>
    <row r="10581">
      <c r="A10581" s="122" t="s">
        <v>36329</v>
      </c>
      <c r="B10581" s="123">
        <v>1846752.0</v>
      </c>
      <c r="C10581" s="687" t="str">
        <f>IFERROR(__xludf.DUMMYFUNCTION("GOOGLEFINANCE(A10581,""name"")"),"#N/A")</f>
        <v>#N/A</v>
      </c>
      <c r="D10581" s="125"/>
    </row>
    <row r="10582">
      <c r="A10582" s="122" t="s">
        <v>36330</v>
      </c>
      <c r="B10582" s="123">
        <v>1618500.0</v>
      </c>
      <c r="C10582" s="687" t="str">
        <f>IFERROR(__xludf.DUMMYFUNCTION("GOOGLEFINANCE(A10582,""name"")"),"#N/A")</f>
        <v>#N/A</v>
      </c>
      <c r="D10582" s="125"/>
    </row>
    <row r="10583">
      <c r="A10583" s="122" t="s">
        <v>36331</v>
      </c>
      <c r="B10583" s="123">
        <v>1823143.0</v>
      </c>
      <c r="C10583" s="687" t="str">
        <f>IFERROR(__xludf.DUMMYFUNCTION("GOOGLEFINANCE(A10583,""name"")"),"#N/A")</f>
        <v>#N/A</v>
      </c>
      <c r="D10583" s="125"/>
    </row>
    <row r="10584">
      <c r="A10584" s="122" t="s">
        <v>36332</v>
      </c>
      <c r="B10584" s="123">
        <v>1645108.0</v>
      </c>
      <c r="C10584" s="687" t="str">
        <f>IFERROR(__xludf.DUMMYFUNCTION("GOOGLEFINANCE(A10584,""name"")"),"#N/A")</f>
        <v>#N/A</v>
      </c>
      <c r="D10584" s="125"/>
    </row>
    <row r="10585">
      <c r="A10585" s="122" t="s">
        <v>36333</v>
      </c>
      <c r="B10585" s="123">
        <v>1933644.0</v>
      </c>
      <c r="C10585" s="687" t="str">
        <f>IFERROR(__xludf.DUMMYFUNCTION("GOOGLEFINANCE(A10585,""name"")"),"#N/A")</f>
        <v>#N/A</v>
      </c>
      <c r="D10585" s="125"/>
    </row>
    <row r="10586">
      <c r="A10586" s="122" t="s">
        <v>36334</v>
      </c>
      <c r="B10586" s="123">
        <v>1645873.0</v>
      </c>
      <c r="C10586" s="687" t="str">
        <f>IFERROR(__xludf.DUMMYFUNCTION("GOOGLEFINANCE(A10586,""name"")"),"Modiv Industrial Inc Class C")</f>
        <v>Modiv Industrial Inc Class C</v>
      </c>
      <c r="D10586" s="125"/>
    </row>
    <row r="10587">
      <c r="A10587" s="122" t="s">
        <v>36335</v>
      </c>
      <c r="B10587" s="123">
        <v>1645873.0</v>
      </c>
      <c r="C10587" s="687" t="str">
        <f>IFERROR(__xludf.DUMMYFUNCTION("GOOGLEFINANCE(A10587,""name"")"),"#N/A")</f>
        <v>#N/A</v>
      </c>
      <c r="D10587" s="125"/>
    </row>
    <row r="10588">
      <c r="A10588" s="122" t="s">
        <v>36336</v>
      </c>
      <c r="B10588" s="123">
        <v>1671077.0</v>
      </c>
      <c r="C10588" s="687" t="str">
        <f>IFERROR(__xludf.DUMMYFUNCTION("GOOGLEFINANCE(A10588,""name"")"),"#N/A")</f>
        <v>#N/A</v>
      </c>
      <c r="D10588" s="125"/>
    </row>
    <row r="10589">
      <c r="A10589" s="122" t="s">
        <v>36337</v>
      </c>
      <c r="B10589" s="123">
        <v>355379.0</v>
      </c>
      <c r="C10589" s="687" t="str">
        <f>IFERROR(__xludf.DUMMYFUNCTION("GOOGLEFINANCE(A10589,""name"")"),"#N/A")</f>
        <v>#N/A</v>
      </c>
      <c r="D10589" s="125"/>
    </row>
    <row r="10590">
      <c r="A10590" s="122" t="s">
        <v>36338</v>
      </c>
      <c r="B10590" s="123">
        <v>1849902.0</v>
      </c>
      <c r="C10590" s="687" t="str">
        <f>IFERROR(__xludf.DUMMYFUNCTION("GOOGLEFINANCE(A10590,""name"")"),"#N/A")</f>
        <v>#N/A</v>
      </c>
      <c r="D10590" s="125"/>
    </row>
    <row r="10591">
      <c r="A10591" s="122" t="s">
        <v>36339</v>
      </c>
      <c r="B10591" s="123">
        <v>1849902.0</v>
      </c>
      <c r="C10591" s="687" t="str">
        <f>IFERROR(__xludf.DUMMYFUNCTION("GOOGLEFINANCE(A10591,""name"")"),"#N/A")</f>
        <v>#N/A</v>
      </c>
      <c r="D10591" s="125"/>
    </row>
    <row r="10592">
      <c r="A10592" s="122" t="s">
        <v>36340</v>
      </c>
      <c r="B10592" s="123">
        <v>1870258.0</v>
      </c>
      <c r="C10592" s="687" t="str">
        <f>IFERROR(__xludf.DUMMYFUNCTION("GOOGLEFINANCE(A10592,""name"")"),"#N/A")</f>
        <v>#N/A</v>
      </c>
      <c r="D10592" s="125"/>
    </row>
    <row r="10593">
      <c r="A10593" s="122" t="s">
        <v>36341</v>
      </c>
      <c r="B10593" s="123">
        <v>1859310.0</v>
      </c>
      <c r="C10593" s="687" t="str">
        <f>IFERROR(__xludf.DUMMYFUNCTION("GOOGLEFINANCE(A10593,""name"")"),"#N/A")</f>
        <v>#N/A</v>
      </c>
      <c r="D10593" s="125"/>
    </row>
    <row r="10594">
      <c r="A10594" s="122" t="s">
        <v>36342</v>
      </c>
      <c r="B10594" s="123">
        <v>1859310.0</v>
      </c>
      <c r="C10594" s="687" t="str">
        <f>IFERROR(__xludf.DUMMYFUNCTION("GOOGLEFINANCE(A10594,""name"")"),"#N/A")</f>
        <v>#N/A</v>
      </c>
      <c r="D10594" s="125"/>
    </row>
    <row r="10595">
      <c r="A10595" s="122" t="s">
        <v>36343</v>
      </c>
      <c r="B10595" s="123">
        <v>70858.0</v>
      </c>
      <c r="C10595" s="687" t="str">
        <f>IFERROR(__xludf.DUMMYFUNCTION("GOOGLEFINANCE(A10595,""name"")"),"#N/A")</f>
        <v>#N/A</v>
      </c>
      <c r="D10595" s="125"/>
    </row>
    <row r="10596">
      <c r="A10596" s="122" t="s">
        <v>36344</v>
      </c>
      <c r="B10596" s="123">
        <v>1099219.0</v>
      </c>
      <c r="C10596" s="687" t="str">
        <f>IFERROR(__xludf.DUMMYFUNCTION("GOOGLEFINANCE(A10596,""name"")"),"#N/A")</f>
        <v>#N/A</v>
      </c>
      <c r="D10596" s="125"/>
    </row>
    <row r="10597">
      <c r="A10597" s="122" t="s">
        <v>36345</v>
      </c>
      <c r="B10597" s="123">
        <v>1099219.0</v>
      </c>
      <c r="C10597" s="687" t="str">
        <f>IFERROR(__xludf.DUMMYFUNCTION("GOOGLEFINANCE(A10597,""name"")"),"#N/A")</f>
        <v>#N/A</v>
      </c>
      <c r="D10597" s="125"/>
    </row>
    <row r="10598">
      <c r="A10598" s="122" t="s">
        <v>36346</v>
      </c>
      <c r="B10598" s="123">
        <v>1099219.0</v>
      </c>
      <c r="C10598" s="687" t="str">
        <f>IFERROR(__xludf.DUMMYFUNCTION("GOOGLEFINANCE(A10598,""name"")"),"#N/A")</f>
        <v>#N/A</v>
      </c>
      <c r="D10598" s="125"/>
    </row>
    <row r="10599">
      <c r="A10599" s="122" t="s">
        <v>36347</v>
      </c>
      <c r="B10599" s="123">
        <v>1796514.0</v>
      </c>
      <c r="C10599" s="687" t="str">
        <f>IFERROR(__xludf.DUMMYFUNCTION("GOOGLEFINANCE(A10599,""name"")"),"#N/A")</f>
        <v>#N/A</v>
      </c>
      <c r="D10599" s="125"/>
    </row>
    <row r="10600">
      <c r="A10600" s="122" t="s">
        <v>36348</v>
      </c>
      <c r="B10600" s="123">
        <v>1055160.0</v>
      </c>
      <c r="C10600" s="687" t="str">
        <f>IFERROR(__xludf.DUMMYFUNCTION("GOOGLEFINANCE(A10600,""name"")"),"#N/A")</f>
        <v>#N/A</v>
      </c>
      <c r="D10600" s="125"/>
    </row>
    <row r="10601">
      <c r="A10601" s="122" t="s">
        <v>36349</v>
      </c>
      <c r="B10601" s="123">
        <v>1055160.0</v>
      </c>
      <c r="C10601" s="687" t="str">
        <f>IFERROR(__xludf.DUMMYFUNCTION("GOOGLEFINANCE(A10601,""name"")"),"#N/A")</f>
        <v>#N/A</v>
      </c>
      <c r="D10601" s="125"/>
    </row>
    <row r="10602">
      <c r="A10602" s="122" t="s">
        <v>36350</v>
      </c>
      <c r="B10602" s="123">
        <v>1359711.0</v>
      </c>
      <c r="C10602" s="687" t="str">
        <f>IFERROR(__xludf.DUMMYFUNCTION("GOOGLEFINANCE(A10602,""name"")"),"#N/A")</f>
        <v>#N/A</v>
      </c>
      <c r="D10602" s="125"/>
    </row>
    <row r="10603">
      <c r="A10603" s="122" t="s">
        <v>36351</v>
      </c>
      <c r="B10603" s="123">
        <v>1883331.0</v>
      </c>
      <c r="C10603" s="687" t="str">
        <f>IFERROR(__xludf.DUMMYFUNCTION("GOOGLEFINANCE(A10603,""name"")"),"#N/A")</f>
        <v>#N/A</v>
      </c>
      <c r="D10603" s="125"/>
    </row>
    <row r="10604">
      <c r="A10604" s="122" t="s">
        <v>36352</v>
      </c>
      <c r="B10604" s="123">
        <v>1690585.0</v>
      </c>
      <c r="C10604" s="687" t="str">
        <f>IFERROR(__xludf.DUMMYFUNCTION("GOOGLEFINANCE(A10604,""name"")"),"#N/A")</f>
        <v>#N/A</v>
      </c>
      <c r="D10604" s="125"/>
    </row>
    <row r="10605">
      <c r="A10605" s="122" t="s">
        <v>36353</v>
      </c>
      <c r="B10605" s="123">
        <v>1412100.0</v>
      </c>
      <c r="C10605" s="687" t="str">
        <f>IFERROR(__xludf.DUMMYFUNCTION("GOOGLEFINANCE(A10605,""name"")"),"#N/A")</f>
        <v>#N/A</v>
      </c>
      <c r="D10605" s="125"/>
    </row>
    <row r="10606">
      <c r="A10606" s="122" t="s">
        <v>36354</v>
      </c>
      <c r="B10606" s="123">
        <v>1412100.0</v>
      </c>
      <c r="C10606" s="687" t="str">
        <f>IFERROR(__xludf.DUMMYFUNCTION("GOOGLEFINANCE(A10606,""name"")"),"#N/A")</f>
        <v>#N/A</v>
      </c>
      <c r="D10606" s="125"/>
    </row>
    <row r="10607">
      <c r="A10607" s="122" t="s">
        <v>36355</v>
      </c>
      <c r="B10607" s="123">
        <v>1412100.0</v>
      </c>
      <c r="C10607" s="687" t="str">
        <f>IFERROR(__xludf.DUMMYFUNCTION("GOOGLEFINANCE(A10607,""name"")"),"#N/A")</f>
        <v>#N/A</v>
      </c>
      <c r="D10607" s="125"/>
    </row>
    <row r="10608">
      <c r="A10608" s="122" t="s">
        <v>36356</v>
      </c>
      <c r="B10608" s="123">
        <v>1412100.0</v>
      </c>
      <c r="C10608" s="687" t="str">
        <f>IFERROR(__xludf.DUMMYFUNCTION("GOOGLEFINANCE(A10608,""name"")"),"Maiden 6.625 Notes Exp 2046")</f>
        <v>Maiden 6.625 Notes Exp 2046</v>
      </c>
      <c r="D10608" s="125"/>
    </row>
    <row r="10609">
      <c r="A10609" s="122" t="s">
        <v>36357</v>
      </c>
      <c r="B10609" s="123">
        <v>912958.0</v>
      </c>
      <c r="C10609" s="687" t="str">
        <f>IFERROR(__xludf.DUMMYFUNCTION("GOOGLEFINANCE(A10609,""name"")"),"#N/A")</f>
        <v>#N/A</v>
      </c>
      <c r="D10609" s="125"/>
    </row>
    <row r="10610">
      <c r="A10610" s="122" t="s">
        <v>36358</v>
      </c>
      <c r="B10610" s="123">
        <v>819689.0</v>
      </c>
      <c r="C10610" s="687" t="str">
        <f>IFERROR(__xludf.DUMMYFUNCTION("GOOGLEFINANCE(A10610,""name"")"),"Micron Solutions Inc")</f>
        <v>Micron Solutions Inc</v>
      </c>
      <c r="D10610" s="125"/>
    </row>
    <row r="10611">
      <c r="A10611" s="122" t="s">
        <v>36359</v>
      </c>
      <c r="B10611" s="123">
        <v>854800.0</v>
      </c>
      <c r="C10611" s="687" t="str">
        <f>IFERROR(__xludf.DUMMYFUNCTION("GOOGLEFINANCE(A10611,""name"")"),"#N/A")</f>
        <v>#N/A</v>
      </c>
      <c r="D10611" s="125"/>
    </row>
    <row r="10612">
      <c r="A10612" s="122" t="s">
        <v>36360</v>
      </c>
      <c r="B10612" s="123">
        <v>1898643.0</v>
      </c>
      <c r="C10612" s="687" t="str">
        <f>IFERROR(__xludf.DUMMYFUNCTION("GOOGLEFINANCE(A10612,""name"")"),"#N/A")</f>
        <v>#N/A</v>
      </c>
      <c r="D10612" s="125"/>
    </row>
    <row r="10613">
      <c r="A10613" s="122" t="s">
        <v>36361</v>
      </c>
      <c r="B10613" s="123">
        <v>1823882.0</v>
      </c>
      <c r="C10613" s="687" t="str">
        <f>IFERROR(__xludf.DUMMYFUNCTION("GOOGLEFINANCE(A10613,""name"")"),"#N/A")</f>
        <v>#N/A</v>
      </c>
      <c r="D10613" s="125"/>
    </row>
    <row r="10614">
      <c r="A10614" s="122" t="s">
        <v>36362</v>
      </c>
      <c r="B10614" s="123">
        <v>1809987.0</v>
      </c>
      <c r="C10614" s="687" t="str">
        <f>IFERROR(__xludf.DUMMYFUNCTION("GOOGLEFINANCE(A10614,""name"")"),"#N/A")</f>
        <v>#N/A</v>
      </c>
      <c r="D10614" s="125"/>
    </row>
    <row r="10615">
      <c r="A10615" s="122" t="s">
        <v>36363</v>
      </c>
      <c r="B10615" s="123">
        <v>1527096.0</v>
      </c>
      <c r="C10615" s="687" t="str">
        <f>IFERROR(__xludf.DUMMYFUNCTION("GOOGLEFINANCE(A10615,""name"")"),"#N/A")</f>
        <v>#N/A</v>
      </c>
      <c r="D10615" s="125"/>
    </row>
    <row r="10616">
      <c r="A10616" s="122" t="s">
        <v>36364</v>
      </c>
      <c r="B10616" s="123">
        <v>1826058.0</v>
      </c>
      <c r="C10616" s="687" t="str">
        <f>IFERROR(__xludf.DUMMYFUNCTION("GOOGLEFINANCE(A10616,""name"")"),"#N/A")</f>
        <v>#N/A</v>
      </c>
      <c r="D10616" s="125"/>
    </row>
    <row r="10617">
      <c r="A10617" s="122" t="s">
        <v>36365</v>
      </c>
      <c r="B10617" s="123">
        <v>1826058.0</v>
      </c>
      <c r="C10617" s="687" t="str">
        <f>IFERROR(__xludf.DUMMYFUNCTION("GOOGLEFINANCE(A10617,""name"")"),"#N/A")</f>
        <v>#N/A</v>
      </c>
      <c r="D10617" s="125"/>
    </row>
    <row r="10618">
      <c r="A10618" s="122" t="s">
        <v>36366</v>
      </c>
      <c r="B10618" s="123">
        <v>1696396.0</v>
      </c>
      <c r="C10618" s="687" t="str">
        <f>IFERROR(__xludf.DUMMYFUNCTION("GOOGLEFINANCE(A10618,""name"")"),"#N/A")</f>
        <v>#N/A</v>
      </c>
      <c r="D10618" s="125"/>
    </row>
    <row r="10619">
      <c r="A10619" s="122" t="s">
        <v>36367</v>
      </c>
      <c r="B10619" s="123">
        <v>1514281.0</v>
      </c>
      <c r="C10619" s="687" t="str">
        <f>IFERROR(__xludf.DUMMYFUNCTION("GOOGLEFINANCE(A10619,""name"")"),"#N/A")</f>
        <v>#N/A</v>
      </c>
      <c r="D10619" s="125"/>
    </row>
    <row r="10620">
      <c r="A10620" s="122" t="s">
        <v>36368</v>
      </c>
      <c r="B10620" s="123">
        <v>1514281.0</v>
      </c>
      <c r="C10620" s="687" t="str">
        <f>IFERROR(__xludf.DUMMYFUNCTION("GOOGLEFINANCE(A10620,""name"")"),"#N/A")</f>
        <v>#N/A</v>
      </c>
      <c r="D10620" s="125"/>
    </row>
    <row r="10621">
      <c r="A10621" s="122" t="s">
        <v>36369</v>
      </c>
      <c r="B10621" s="123">
        <v>1514281.0</v>
      </c>
      <c r="C10621" s="687" t="str">
        <f>IFERROR(__xludf.DUMMYFUNCTION("GOOGLEFINANCE(A10621,""name"")"),"#N/A")</f>
        <v>#N/A</v>
      </c>
      <c r="D10621" s="125"/>
    </row>
    <row r="10622">
      <c r="A10622" s="122" t="s">
        <v>36370</v>
      </c>
      <c r="B10622" s="123">
        <v>1871810.0</v>
      </c>
      <c r="C10622" s="687" t="str">
        <f>IFERROR(__xludf.DUMMYFUNCTION("GOOGLEFINANCE(A10622,""name"")"),"#N/A")</f>
        <v>#N/A</v>
      </c>
      <c r="D10622" s="125"/>
    </row>
    <row r="10623">
      <c r="A10623" s="122" t="s">
        <v>36371</v>
      </c>
      <c r="B10623" s="123">
        <v>1758736.0</v>
      </c>
      <c r="C10623" s="687" t="str">
        <f>IFERROR(__xludf.DUMMYFUNCTION("GOOGLEFINANCE(A10623,""name"")"),"#N/A")</f>
        <v>#N/A</v>
      </c>
      <c r="D10623" s="125"/>
    </row>
    <row r="10624">
      <c r="A10624" s="122" t="s">
        <v>36372</v>
      </c>
      <c r="B10624" s="123">
        <v>1816613.0</v>
      </c>
      <c r="C10624" s="687" t="str">
        <f>IFERROR(__xludf.DUMMYFUNCTION("GOOGLEFINANCE(A10624,""name"")"),"#N/A")</f>
        <v>#N/A</v>
      </c>
      <c r="D10624" s="125"/>
    </row>
    <row r="10625">
      <c r="A10625" s="122" t="s">
        <v>36373</v>
      </c>
      <c r="B10625" s="123">
        <v>1805651.0</v>
      </c>
      <c r="C10625" s="687" t="str">
        <f>IFERROR(__xludf.DUMMYFUNCTION("GOOGLEFINANCE(A10625,""name"")"),"#N/A")</f>
        <v>#N/A</v>
      </c>
      <c r="D10625" s="125"/>
    </row>
    <row r="10626">
      <c r="A10626" s="122" t="s">
        <v>36374</v>
      </c>
      <c r="B10626" s="123">
        <v>1807846.0</v>
      </c>
      <c r="C10626" s="687" t="str">
        <f>IFERROR(__xludf.DUMMYFUNCTION("GOOGLEFINANCE(A10626,""name"")"),"#N/A")</f>
        <v>#N/A</v>
      </c>
      <c r="D10626" s="125"/>
    </row>
    <row r="10627">
      <c r="A10627" s="122" t="s">
        <v>36375</v>
      </c>
      <c r="B10627" s="123">
        <v>1807594.0</v>
      </c>
      <c r="C10627" s="687" t="str">
        <f>IFERROR(__xludf.DUMMYFUNCTION("GOOGLEFINANCE(A10627,""name"")"),"Mountain Lake Acquisition Corp")</f>
        <v>Mountain Lake Acquisition Corp</v>
      </c>
      <c r="D10627" s="125"/>
    </row>
    <row r="10628">
      <c r="A10628" s="122" t="s">
        <v>36376</v>
      </c>
      <c r="B10628" s="123">
        <v>1807594.0</v>
      </c>
      <c r="C10628" s="687" t="str">
        <f>IFERROR(__xludf.DUMMYFUNCTION("GOOGLEFINANCE(A10628,""name"")"),"Mountain Lake Acquisition Units")</f>
        <v>Mountain Lake Acquisition Units</v>
      </c>
      <c r="D10628" s="125"/>
    </row>
    <row r="10629">
      <c r="A10629" s="122" t="s">
        <v>36377</v>
      </c>
      <c r="B10629" s="123">
        <v>1807594.0</v>
      </c>
      <c r="C10629" s="687" t="str">
        <f>IFERROR(__xludf.DUMMYFUNCTION("GOOGLEFINANCE(A10629,""name"")"),"#N/A")</f>
        <v>#N/A</v>
      </c>
      <c r="D10629" s="125"/>
    </row>
    <row r="10630">
      <c r="A10630" s="122" t="s">
        <v>36378</v>
      </c>
      <c r="B10630" s="123">
        <v>1851625.0</v>
      </c>
      <c r="C10630" s="687" t="str">
        <f>IFERROR(__xludf.DUMMYFUNCTION("GOOGLEFINANCE(A10630,""name"")"),"#N/A")</f>
        <v>#N/A</v>
      </c>
      <c r="D10630" s="125"/>
    </row>
    <row r="10631">
      <c r="A10631" s="122" t="s">
        <v>36379</v>
      </c>
      <c r="B10631" s="123">
        <v>1851625.0</v>
      </c>
      <c r="C10631" s="687" t="str">
        <f>IFERROR(__xludf.DUMMYFUNCTION("GOOGLEFINANCE(A10631,""name"")"),"#N/A")</f>
        <v>#N/A</v>
      </c>
      <c r="D10631" s="125"/>
    </row>
    <row r="10632">
      <c r="A10632" s="122" t="s">
        <v>36380</v>
      </c>
      <c r="B10632" s="123">
        <v>1874848.0</v>
      </c>
      <c r="C10632" s="687" t="str">
        <f>IFERROR(__xludf.DUMMYFUNCTION("GOOGLEFINANCE(A10632,""name"")"),"#N/A")</f>
        <v>#N/A</v>
      </c>
      <c r="D10632" s="125"/>
    </row>
    <row r="10633">
      <c r="A10633" s="122" t="s">
        <v>36381</v>
      </c>
      <c r="B10633" s="123">
        <v>1438943.0</v>
      </c>
      <c r="C10633" s="687" t="str">
        <f>IFERROR(__xludf.DUMMYFUNCTION("GOOGLEFINANCE(A10633,""name"")"),"#N/A")</f>
        <v>#N/A</v>
      </c>
      <c r="D10633" s="125"/>
    </row>
    <row r="10634">
      <c r="A10634" s="122" t="s">
        <v>36382</v>
      </c>
      <c r="B10634" s="123">
        <v>1114446.0</v>
      </c>
      <c r="C10634" s="687" t="str">
        <f>IFERROR(__xludf.DUMMYFUNCTION("GOOGLEFINANCE(A10634,""name"")"),"UBS ETRACS Alerian MLP Infrastructure Index ETN Series B due 2 April 2040 Series B")</f>
        <v>UBS ETRACS Alerian MLP Infrastructure Index ETN Series B due 2 April 2040 Series B</v>
      </c>
      <c r="D10634" s="125"/>
    </row>
    <row r="10635">
      <c r="A10635" s="122" t="s">
        <v>36383</v>
      </c>
      <c r="B10635" s="123">
        <v>1053092.0</v>
      </c>
      <c r="C10635" s="687" t="str">
        <f>IFERROR(__xludf.DUMMYFUNCTION("GOOGLEFINANCE(A10635,""name"")"),"#N/A")</f>
        <v>#N/A</v>
      </c>
      <c r="D10635" s="125"/>
    </row>
    <row r="10636">
      <c r="A10636" s="122" t="s">
        <v>36384</v>
      </c>
      <c r="B10636" s="123">
        <v>1114446.0</v>
      </c>
      <c r="C10636" s="687" t="str">
        <f>IFERROR(__xludf.DUMMYFUNCTION("GOOGLEFINANCE(A10636,""name"")"),"ETRACS Quarterly Pay 1.5X Leveraged Alerian MLP Index ETN")</f>
        <v>ETRACS Quarterly Pay 1.5X Leveraged Alerian MLP Index ETN</v>
      </c>
      <c r="D10636" s="125"/>
    </row>
    <row r="10637">
      <c r="A10637" s="122" t="s">
        <v>36385</v>
      </c>
      <c r="B10637" s="123">
        <v>1409680.0</v>
      </c>
      <c r="C10637" s="687" t="str">
        <f>IFERROR(__xludf.DUMMYFUNCTION("GOOGLEFINANCE(A10637,""name"")"),"#N/A")</f>
        <v>#N/A</v>
      </c>
      <c r="D10637" s="125"/>
    </row>
    <row r="10638">
      <c r="A10638" s="122" t="s">
        <v>36386</v>
      </c>
      <c r="B10638" s="123">
        <v>1846362.0</v>
      </c>
      <c r="C10638" s="687" t="str">
        <f>IFERROR(__xludf.DUMMYFUNCTION("GOOGLEFINANCE(A10638,""name"")"),"#N/A")</f>
        <v>#N/A</v>
      </c>
      <c r="D10638" s="125"/>
    </row>
    <row r="10639">
      <c r="A10639" s="122" t="s">
        <v>36387</v>
      </c>
      <c r="B10639" s="123">
        <v>1550603.0</v>
      </c>
      <c r="C10639" s="687" t="str">
        <f>IFERROR(__xludf.DUMMYFUNCTION("GOOGLEFINANCE(A10639,""name"")"),"#N/A")</f>
        <v>#N/A</v>
      </c>
      <c r="D10639" s="125"/>
    </row>
    <row r="10640">
      <c r="A10640" s="122" t="s">
        <v>36388</v>
      </c>
      <c r="B10640" s="123">
        <v>1847408.0</v>
      </c>
      <c r="C10640" s="687" t="str">
        <f>IFERROR(__xludf.DUMMYFUNCTION("GOOGLEFINANCE(A10640,""name"")"),"#N/A")</f>
        <v>#N/A</v>
      </c>
      <c r="D10640" s="125"/>
    </row>
    <row r="10641">
      <c r="A10641" s="122" t="s">
        <v>36389</v>
      </c>
      <c r="B10641" s="123">
        <v>1520358.0</v>
      </c>
      <c r="C10641" s="687" t="str">
        <f>IFERROR(__xludf.DUMMYFUNCTION("GOOGLEFINANCE(A10641,""name"")"),"#N/A")</f>
        <v>#N/A</v>
      </c>
      <c r="D10641" s="125"/>
    </row>
    <row r="10642">
      <c r="A10642" s="122" t="s">
        <v>36390</v>
      </c>
      <c r="B10642" s="123">
        <v>1085921.0</v>
      </c>
      <c r="C10642" s="687" t="str">
        <f>IFERROR(__xludf.DUMMYFUNCTION("GOOGLEFINANCE(A10642,""name"")"),"Micromem Technologies Inc")</f>
        <v>Micromem Technologies Inc</v>
      </c>
      <c r="D10642" s="125"/>
    </row>
    <row r="10643">
      <c r="A10643" s="122" t="s">
        <v>36391</v>
      </c>
      <c r="B10643" s="123">
        <v>1431959.0</v>
      </c>
      <c r="C10643" s="687" t="str">
        <f>IFERROR(__xludf.DUMMYFUNCTION("GOOGLEFINANCE(A10643,""name"")"),"#N/A")</f>
        <v>#N/A</v>
      </c>
      <c r="D10643" s="125"/>
    </row>
    <row r="10644">
      <c r="A10644" s="122" t="s">
        <v>36392</v>
      </c>
      <c r="B10644" s="123">
        <v>1710495.0</v>
      </c>
      <c r="C10644" s="687" t="str">
        <f>IFERROR(__xludf.DUMMYFUNCTION("GOOGLEFINANCE(A10644,""name"")"),"#N/A")</f>
        <v>#N/A</v>
      </c>
      <c r="D10644" s="125"/>
    </row>
    <row r="10645">
      <c r="A10645" s="122" t="s">
        <v>36393</v>
      </c>
      <c r="B10645" s="123">
        <v>1370880.0</v>
      </c>
      <c r="C10645" s="687" t="str">
        <f>IFERROR(__xludf.DUMMYFUNCTION("GOOGLEFINANCE(A10645,""name"")"),"#N/A")</f>
        <v>#N/A</v>
      </c>
      <c r="D10645" s="125"/>
    </row>
    <row r="10646">
      <c r="A10646" s="122" t="s">
        <v>36394</v>
      </c>
      <c r="B10646" s="123">
        <v>1567892.0</v>
      </c>
      <c r="C10646" s="687" t="str">
        <f>IFERROR(__xludf.DUMMYFUNCTION("GOOGLEFINANCE(A10646,""name"")"),"#N/A")</f>
        <v>#N/A</v>
      </c>
      <c r="D10646" s="125"/>
    </row>
    <row r="10647">
      <c r="A10647" s="122" t="s">
        <v>36395</v>
      </c>
      <c r="B10647" s="123">
        <v>1745797.0</v>
      </c>
      <c r="C10647" s="687" t="str">
        <f>IFERROR(__xludf.DUMMYFUNCTION("GOOGLEFINANCE(A10647,""name"")"),"#N/A")</f>
        <v>#N/A</v>
      </c>
      <c r="D10647" s="125"/>
    </row>
    <row r="10648">
      <c r="A10648" s="122" t="s">
        <v>36396</v>
      </c>
      <c r="B10648" s="123">
        <v>1555746.0</v>
      </c>
      <c r="C10648" s="687" t="str">
        <f>IFERROR(__xludf.DUMMYFUNCTION("GOOGLEFINANCE(A10648,""name"")"),"#N/A")</f>
        <v>#N/A</v>
      </c>
      <c r="D10648" s="125"/>
    </row>
    <row r="10649">
      <c r="A10649" s="122" t="s">
        <v>36397</v>
      </c>
      <c r="B10649" s="123">
        <v>1863719.0</v>
      </c>
      <c r="C10649" s="687" t="str">
        <f>IFERROR(__xludf.DUMMYFUNCTION("GOOGLEFINANCE(A10649,""name"")"),"#N/A")</f>
        <v>#N/A</v>
      </c>
      <c r="D10649" s="125"/>
    </row>
    <row r="10650">
      <c r="A10650" s="122" t="s">
        <v>36398</v>
      </c>
      <c r="B10650" s="123">
        <v>1863719.0</v>
      </c>
      <c r="C10650" s="687" t="str">
        <f>IFERROR(__xludf.DUMMYFUNCTION("GOOGLEFINANCE(A10650,""name"")"),"#N/A")</f>
        <v>#N/A</v>
      </c>
      <c r="D10650" s="125"/>
    </row>
    <row r="10651">
      <c r="A10651" s="122" t="s">
        <v>36399</v>
      </c>
      <c r="B10651" s="123">
        <v>1781162.0</v>
      </c>
      <c r="C10651" s="687" t="str">
        <f>IFERROR(__xludf.DUMMYFUNCTION("GOOGLEFINANCE(A10651,""name"")"),"Momentus Inc")</f>
        <v>Momentus Inc</v>
      </c>
      <c r="D10651" s="125"/>
    </row>
    <row r="10652">
      <c r="A10652" s="122" t="s">
        <v>36400</v>
      </c>
      <c r="B10652" s="123">
        <v>1739936.0</v>
      </c>
      <c r="C10652" s="687" t="str">
        <f>IFERROR(__xludf.DUMMYFUNCTION("GOOGLEFINANCE(A10652,""name"")"),"#N/A")</f>
        <v>#N/A</v>
      </c>
      <c r="D10652" s="125"/>
    </row>
    <row r="10653">
      <c r="A10653" s="122" t="s">
        <v>36401</v>
      </c>
      <c r="B10653" s="123">
        <v>1931691.0</v>
      </c>
      <c r="C10653" s="687" t="str">
        <f>IFERROR(__xludf.DUMMYFUNCTION("GOOGLEFINANCE(A10653,""name"")"),"#N/A")</f>
        <v>#N/A</v>
      </c>
      <c r="D10653" s="125"/>
    </row>
    <row r="10654">
      <c r="A10654" s="122" t="s">
        <v>36402</v>
      </c>
      <c r="B10654" s="123">
        <v>1931691.0</v>
      </c>
      <c r="C10654" s="687" t="str">
        <f>IFERROR(__xludf.DUMMYFUNCTION("GOOGLEFINANCE(A10654,""name"")"),"#N/A")</f>
        <v>#N/A</v>
      </c>
      <c r="D10654" s="125"/>
    </row>
    <row r="10655">
      <c r="A10655" s="122" t="s">
        <v>36403</v>
      </c>
      <c r="B10655" s="123">
        <v>67887.0</v>
      </c>
      <c r="C10655" s="687" t="str">
        <f>IFERROR(__xludf.DUMMYFUNCTION("GOOGLEFINANCE(A10655,""name"")"),"#N/A")</f>
        <v>#N/A</v>
      </c>
      <c r="D10655" s="125"/>
    </row>
    <row r="10656">
      <c r="A10656" s="122" t="s">
        <v>36404</v>
      </c>
      <c r="B10656" s="123">
        <v>67887.0</v>
      </c>
      <c r="C10656" s="687" t="str">
        <f>IFERROR(__xludf.DUMMYFUNCTION("GOOGLEFINANCE(A10656,""name"")"),"#N/A")</f>
        <v>#N/A</v>
      </c>
      <c r="D10656" s="125"/>
    </row>
    <row r="10657">
      <c r="A10657" s="122" t="s">
        <v>36405</v>
      </c>
      <c r="B10657" s="123">
        <v>1763197.0</v>
      </c>
      <c r="C10657" s="687" t="str">
        <f>IFERROR(__xludf.DUMMYFUNCTION("GOOGLEFINANCE(A10657,""name"")"),"#N/A")</f>
        <v>#N/A</v>
      </c>
      <c r="D10657" s="125"/>
    </row>
    <row r="10658">
      <c r="A10658" s="122" t="s">
        <v>36406</v>
      </c>
      <c r="B10658" s="123">
        <v>1828325.0</v>
      </c>
      <c r="C10658" s="687" t="str">
        <f>IFERROR(__xludf.DUMMYFUNCTION("GOOGLEFINANCE(A10658,""name"")"),"#N/A")</f>
        <v>#N/A</v>
      </c>
      <c r="D10658" s="125"/>
    </row>
    <row r="10659">
      <c r="A10659" s="122" t="s">
        <v>36407</v>
      </c>
      <c r="B10659" s="123">
        <v>1828325.0</v>
      </c>
      <c r="C10659" s="687" t="str">
        <f>IFERROR(__xludf.DUMMYFUNCTION("GOOGLEFINANCE(A10659,""name"")"),"#N/A")</f>
        <v>#N/A</v>
      </c>
      <c r="D10659" s="125"/>
    </row>
    <row r="10660">
      <c r="A10660" s="122" t="s">
        <v>36408</v>
      </c>
      <c r="B10660" s="123">
        <v>1828852.0</v>
      </c>
      <c r="C10660" s="687" t="str">
        <f>IFERROR(__xludf.DUMMYFUNCTION("GOOGLEFINANCE(A10660,""name"")"),"#N/A")</f>
        <v>#N/A</v>
      </c>
      <c r="D10660" s="125"/>
    </row>
    <row r="10661">
      <c r="A10661" s="122" t="s">
        <v>36409</v>
      </c>
      <c r="B10661" s="123">
        <v>1113513.0</v>
      </c>
      <c r="C10661" s="687" t="str">
        <f>IFERROR(__xludf.DUMMYFUNCTION("GOOGLEFINANCE(A10661,""name"")"),"#N/A")</f>
        <v>#N/A</v>
      </c>
      <c r="D10661" s="125"/>
    </row>
    <row r="10662">
      <c r="A10662" s="122" t="s">
        <v>36410</v>
      </c>
      <c r="B10662" s="123">
        <v>1864055.0</v>
      </c>
      <c r="C10662" s="687" t="str">
        <f>IFERROR(__xludf.DUMMYFUNCTION("GOOGLEFINANCE(A10662,""name"")"),"#N/A")</f>
        <v>#N/A</v>
      </c>
      <c r="D10662" s="125"/>
    </row>
    <row r="10663">
      <c r="A10663" s="122" t="s">
        <v>36411</v>
      </c>
      <c r="B10663" s="123">
        <v>1841993.0</v>
      </c>
      <c r="C10663" s="687" t="str">
        <f>IFERROR(__xludf.DUMMYFUNCTION("GOOGLEFINANCE(A10663,""name"")"),"#N/A")</f>
        <v>#N/A</v>
      </c>
      <c r="D10663" s="125"/>
    </row>
    <row r="10664">
      <c r="A10664" s="122" t="s">
        <v>36412</v>
      </c>
      <c r="B10664" s="123">
        <v>1841993.0</v>
      </c>
      <c r="C10664" s="687" t="str">
        <f>IFERROR(__xludf.DUMMYFUNCTION("GOOGLEFINANCE(A10664,""name"")"),"#N/A")</f>
        <v>#N/A</v>
      </c>
      <c r="D10664" s="125"/>
    </row>
    <row r="10665">
      <c r="A10665" s="122" t="s">
        <v>36413</v>
      </c>
      <c r="B10665" s="123">
        <v>1582962.0</v>
      </c>
      <c r="C10665" s="687" t="str">
        <f>IFERROR(__xludf.DUMMYFUNCTION("GOOGLEFINANCE(A10665,""name"")"),"#N/A")</f>
        <v>#N/A</v>
      </c>
      <c r="D10665" s="125"/>
    </row>
    <row r="10666">
      <c r="A10666" s="122" t="s">
        <v>36414</v>
      </c>
      <c r="B10666" s="123">
        <v>1793229.0</v>
      </c>
      <c r="C10666" s="687" t="str">
        <f>IFERROR(__xludf.DUMMYFUNCTION("GOOGLEFINANCE(A10666,""name"")"),"#N/A")</f>
        <v>#N/A</v>
      </c>
      <c r="D10666" s="125"/>
    </row>
    <row r="10667">
      <c r="A10667" s="122" t="s">
        <v>36415</v>
      </c>
      <c r="B10667" s="123">
        <v>1853436.0</v>
      </c>
      <c r="C10667" s="687" t="str">
        <f>IFERROR(__xludf.DUMMYFUNCTION("GOOGLEFINANCE(A10667,""name"")"),"#N/A")</f>
        <v>#N/A</v>
      </c>
      <c r="D10667" s="125"/>
    </row>
    <row r="10668">
      <c r="A10668" s="122" t="s">
        <v>36416</v>
      </c>
      <c r="B10668" s="123">
        <v>1853436.0</v>
      </c>
      <c r="C10668" s="687" t="str">
        <f>IFERROR(__xludf.DUMMYFUNCTION("GOOGLEFINANCE(A10668,""name"")"),"#N/A")</f>
        <v>#N/A</v>
      </c>
      <c r="D10668" s="125"/>
    </row>
    <row r="10669">
      <c r="A10669" s="122" t="s">
        <v>36417</v>
      </c>
      <c r="B10669" s="123">
        <v>1280452.0</v>
      </c>
      <c r="C10669" s="687" t="str">
        <f>IFERROR(__xludf.DUMMYFUNCTION("GOOGLEFINANCE(A10669,""name"")"),"Monolithic Power Systems Inc")</f>
        <v>Monolithic Power Systems Inc</v>
      </c>
      <c r="D10669" s="125"/>
    </row>
    <row r="10670">
      <c r="A10670" s="122" t="s">
        <v>36418</v>
      </c>
      <c r="B10670" s="123">
        <v>1576263.0</v>
      </c>
      <c r="C10670" s="687" t="str">
        <f>IFERROR(__xludf.DUMMYFUNCTION("GOOGLEFINANCE(A10670,""name"")"),"#N/A")</f>
        <v>#N/A</v>
      </c>
      <c r="D10670" s="125"/>
    </row>
    <row r="10671">
      <c r="A10671" s="122" t="s">
        <v>36419</v>
      </c>
      <c r="B10671" s="123">
        <v>895421.0</v>
      </c>
      <c r="C10671" s="687" t="str">
        <f>IFERROR(__xludf.DUMMYFUNCTION("GOOGLEFINANCE(A10671,""name"")"),"#N/A")</f>
        <v>#N/A</v>
      </c>
      <c r="D10671" s="125"/>
    </row>
    <row r="10672">
      <c r="A10672" s="122" t="s">
        <v>36420</v>
      </c>
      <c r="B10672" s="123">
        <v>895421.0</v>
      </c>
      <c r="C10672" s="687" t="str">
        <f>IFERROR(__xludf.DUMMYFUNCTION("GOOGLEFINANCE(A10672,""name"")"),"#N/A")</f>
        <v>#N/A</v>
      </c>
      <c r="D10672" s="125"/>
    </row>
    <row r="10673">
      <c r="A10673" s="122" t="s">
        <v>36421</v>
      </c>
      <c r="B10673" s="123">
        <v>895421.0</v>
      </c>
      <c r="C10673" s="687" t="str">
        <f>IFERROR(__xludf.DUMMYFUNCTION("GOOGLEFINANCE(A10673,""name"")"),"#N/A")</f>
        <v>#N/A</v>
      </c>
      <c r="D10673" s="125"/>
    </row>
    <row r="10674">
      <c r="A10674" s="122" t="s">
        <v>36422</v>
      </c>
      <c r="B10674" s="123">
        <v>895421.0</v>
      </c>
      <c r="C10674" s="687" t="str">
        <f>IFERROR(__xludf.DUMMYFUNCTION("GOOGLEFINANCE(A10674,""name"")"),"#N/A")</f>
        <v>#N/A</v>
      </c>
      <c r="D10674" s="125"/>
    </row>
    <row r="10675">
      <c r="A10675" s="122" t="s">
        <v>36423</v>
      </c>
      <c r="B10675" s="123">
        <v>895421.0</v>
      </c>
      <c r="C10675" s="687" t="str">
        <f>IFERROR(__xludf.DUMMYFUNCTION("GOOGLEFINANCE(A10675,""name"")"),"#N/A")</f>
        <v>#N/A</v>
      </c>
      <c r="D10675" s="125"/>
    </row>
    <row r="10676">
      <c r="A10676" s="122" t="s">
        <v>36424</v>
      </c>
      <c r="B10676" s="123">
        <v>895421.0</v>
      </c>
      <c r="C10676" s="687" t="str">
        <f>IFERROR(__xludf.DUMMYFUNCTION("GOOGLEFINANCE(A10676,""name"")"),"#N/A")</f>
        <v>#N/A</v>
      </c>
      <c r="D10676" s="125"/>
    </row>
    <row r="10677">
      <c r="A10677" s="122" t="s">
        <v>36425</v>
      </c>
      <c r="B10677" s="123">
        <v>895421.0</v>
      </c>
      <c r="C10677" s="687" t="str">
        <f>IFERROR(__xludf.DUMMYFUNCTION("GOOGLEFINANCE(A10677,""name"")"),"#N/A")</f>
        <v>#N/A</v>
      </c>
      <c r="D10677" s="125"/>
    </row>
    <row r="10678">
      <c r="A10678" s="122" t="s">
        <v>36426</v>
      </c>
      <c r="B10678" s="123">
        <v>895421.0</v>
      </c>
      <c r="C10678" s="687" t="str">
        <f>IFERROR(__xludf.DUMMYFUNCTION("GOOGLEFINANCE(A10678,""name"")"),"#N/A")</f>
        <v>#N/A</v>
      </c>
      <c r="D10678" s="125"/>
    </row>
    <row r="10679">
      <c r="A10679" s="122" t="s">
        <v>36427</v>
      </c>
      <c r="B10679" s="123">
        <v>1836517.0</v>
      </c>
      <c r="C10679" s="687" t="str">
        <f>IFERROR(__xludf.DUMMYFUNCTION("GOOGLEFINANCE(A10679,""name"")"),"#N/A")</f>
        <v>#N/A</v>
      </c>
      <c r="D10679" s="125"/>
    </row>
    <row r="10680">
      <c r="A10680" s="122" t="s">
        <v>36428</v>
      </c>
      <c r="B10680" s="123">
        <v>1846996.0</v>
      </c>
      <c r="C10680" s="687" t="str">
        <f>IFERROR(__xludf.DUMMYFUNCTION("GOOGLEFINANCE(A10680,""name"")"),"#N/A")</f>
        <v>#N/A</v>
      </c>
      <c r="D10680" s="125"/>
    </row>
    <row r="10681">
      <c r="A10681" s="122" t="s">
        <v>36429</v>
      </c>
      <c r="B10681" s="123">
        <v>1846996.0</v>
      </c>
      <c r="C10681" s="687" t="str">
        <f>IFERROR(__xludf.DUMMYFUNCTION("GOOGLEFINANCE(A10681,""name"")"),"#N/A")</f>
        <v>#N/A</v>
      </c>
      <c r="D10681" s="125"/>
    </row>
    <row r="10682">
      <c r="A10682" s="122" t="s">
        <v>36430</v>
      </c>
      <c r="B10682" s="123">
        <v>1846996.0</v>
      </c>
      <c r="C10682" s="687" t="str">
        <f>IFERROR(__xludf.DUMMYFUNCTION("GOOGLEFINANCE(A10682,""name"")"),"#N/A")</f>
        <v>#N/A</v>
      </c>
      <c r="D10682" s="125"/>
    </row>
    <row r="10683">
      <c r="A10683" s="122" t="s">
        <v>36431</v>
      </c>
      <c r="B10683" s="123">
        <v>1523289.0</v>
      </c>
      <c r="C10683" s="687" t="str">
        <f>IFERROR(__xludf.DUMMYFUNCTION("GOOGLEFINANCE(A10683,""name"")"),"#N/A")</f>
        <v>#N/A</v>
      </c>
      <c r="D10683" s="125"/>
    </row>
    <row r="10684">
      <c r="A10684" s="122" t="s">
        <v>36432</v>
      </c>
      <c r="B10684" s="123">
        <v>1415684.0</v>
      </c>
      <c r="C10684" s="687" t="str">
        <f>IFERROR(__xludf.DUMMYFUNCTION("GOOGLEFINANCE(A10684,""name"")"),"#N/A")</f>
        <v>#N/A</v>
      </c>
      <c r="D10684" s="125"/>
    </row>
    <row r="10685">
      <c r="A10685" s="122" t="s">
        <v>36433</v>
      </c>
      <c r="B10685" s="123">
        <v>766404.0</v>
      </c>
      <c r="C10685" s="687" t="str">
        <f>IFERROR(__xludf.DUMMYFUNCTION("GOOGLEFINANCE(A10685,""name"")"),"#N/A")</f>
        <v>#N/A</v>
      </c>
      <c r="D10685" s="125"/>
    </row>
    <row r="10686">
      <c r="A10686" s="122" t="s">
        <v>36434</v>
      </c>
      <c r="B10686" s="123">
        <v>1802450.0</v>
      </c>
      <c r="C10686" s="687" t="str">
        <f>IFERROR(__xludf.DUMMYFUNCTION("GOOGLEFINANCE(A10686,""name"")"),"MSP Recovery Inc")</f>
        <v>MSP Recovery Inc</v>
      </c>
      <c r="D10686" s="125"/>
    </row>
    <row r="10687">
      <c r="A10687" s="122" t="s">
        <v>36435</v>
      </c>
      <c r="B10687" s="123">
        <v>1802450.0</v>
      </c>
      <c r="C10687" s="687" t="str">
        <f>IFERROR(__xludf.DUMMYFUNCTION("GOOGLEFINANCE(A10687,""name"")"),"MSP Recovery Inc")</f>
        <v>MSP Recovery Inc</v>
      </c>
      <c r="D10687" s="125"/>
    </row>
    <row r="10688">
      <c r="A10688" s="122" t="s">
        <v>36436</v>
      </c>
      <c r="B10688" s="123">
        <v>1802450.0</v>
      </c>
      <c r="C10688" s="687" t="str">
        <f>IFERROR(__xludf.DUMMYFUNCTION("GOOGLEFINANCE(A10688,""name"")"),"MSP Recovery Inc")</f>
        <v>MSP Recovery Inc</v>
      </c>
      <c r="D10688" s="125"/>
    </row>
    <row r="10689">
      <c r="A10689" s="122" t="s">
        <v>36437</v>
      </c>
      <c r="B10689" s="123">
        <v>1882464.0</v>
      </c>
      <c r="C10689" s="687" t="str">
        <f>IFERROR(__xludf.DUMMYFUNCTION("GOOGLEFINANCE(A10689,""name"")"),"#N/A")</f>
        <v>#N/A</v>
      </c>
      <c r="D10689" s="125"/>
    </row>
    <row r="10690">
      <c r="A10690" s="122" t="s">
        <v>36438</v>
      </c>
      <c r="B10690" s="123">
        <v>1882464.0</v>
      </c>
      <c r="C10690" s="687" t="str">
        <f>IFERROR(__xludf.DUMMYFUNCTION("GOOGLEFINANCE(A10690,""name"")"),"#N/A")</f>
        <v>#N/A</v>
      </c>
      <c r="D10690" s="125"/>
    </row>
    <row r="10691">
      <c r="A10691" s="122" t="s">
        <v>36439</v>
      </c>
      <c r="B10691" s="123">
        <v>1882464.0</v>
      </c>
      <c r="C10691" s="687" t="str">
        <f>IFERROR(__xludf.DUMMYFUNCTION("GOOGLEFINANCE(A10691,""name"")"),"#N/A")</f>
        <v>#N/A</v>
      </c>
      <c r="D10691" s="125"/>
    </row>
    <row r="10692">
      <c r="A10692" s="122" t="s">
        <v>36440</v>
      </c>
      <c r="B10692" s="123">
        <v>1693687.0</v>
      </c>
      <c r="C10692" s="687" t="str">
        <f>IFERROR(__xludf.DUMMYFUNCTION("GOOGLEFINANCE(A10692,""name"")"),"#N/A")</f>
        <v>#N/A</v>
      </c>
      <c r="D10692" s="125"/>
    </row>
    <row r="10693">
      <c r="A10693" s="122" t="s">
        <v>36441</v>
      </c>
      <c r="B10693" s="123">
        <v>1826667.0</v>
      </c>
      <c r="C10693" s="687" t="str">
        <f>IFERROR(__xludf.DUMMYFUNCTION("GOOGLEFINANCE(A10693,""name"")"),"#N/A")</f>
        <v>#N/A</v>
      </c>
      <c r="D10693" s="125"/>
    </row>
    <row r="10694">
      <c r="A10694" s="122" t="s">
        <v>36442</v>
      </c>
      <c r="B10694" s="123">
        <v>1826667.0</v>
      </c>
      <c r="C10694" s="687" t="str">
        <f>IFERROR(__xludf.DUMMYFUNCTION("GOOGLEFINANCE(A10694,""name"")"),"#N/A")</f>
        <v>#N/A</v>
      </c>
      <c r="D10694" s="125"/>
    </row>
    <row r="10695">
      <c r="A10695" s="122" t="s">
        <v>36443</v>
      </c>
      <c r="B10695" s="123">
        <v>1826667.0</v>
      </c>
      <c r="C10695" s="687" t="str">
        <f>IFERROR(__xludf.DUMMYFUNCTION("GOOGLEFINANCE(A10695,""name"")"),"#N/A")</f>
        <v>#N/A</v>
      </c>
      <c r="D10695" s="125"/>
    </row>
    <row r="10696">
      <c r="A10696" s="122" t="s">
        <v>36444</v>
      </c>
      <c r="B10696" s="123">
        <v>1853021.0</v>
      </c>
      <c r="C10696" s="687" t="str">
        <f>IFERROR(__xludf.DUMMYFUNCTION("GOOGLEFINANCE(A10696,""name"")"),"#N/A")</f>
        <v>#N/A</v>
      </c>
      <c r="D10696" s="125"/>
    </row>
    <row r="10697">
      <c r="A10697" s="122" t="s">
        <v>36445</v>
      </c>
      <c r="B10697" s="123">
        <v>1853021.0</v>
      </c>
      <c r="C10697" s="687" t="str">
        <f>IFERROR(__xludf.DUMMYFUNCTION("GOOGLEFINANCE(A10697,""name"")"),"#N/A")</f>
        <v>#N/A</v>
      </c>
      <c r="D10697" s="125"/>
    </row>
    <row r="10698">
      <c r="A10698" s="122" t="s">
        <v>36446</v>
      </c>
      <c r="B10698" s="123">
        <v>36270.0</v>
      </c>
      <c r="C10698" s="687" t="str">
        <f>IFERROR(__xludf.DUMMYFUNCTION("GOOGLEFINANCE(A10698,""name"")"),"#N/A")</f>
        <v>#N/A</v>
      </c>
      <c r="D10698" s="125"/>
    </row>
    <row r="10699">
      <c r="A10699" s="122" t="s">
        <v>36447</v>
      </c>
      <c r="B10699" s="123">
        <v>1582982.0</v>
      </c>
      <c r="C10699" s="687" t="str">
        <f>IFERROR(__xludf.DUMMYFUNCTION("GOOGLEFINANCE(A10699,""name"")"),"#N/A")</f>
        <v>#N/A</v>
      </c>
      <c r="D10699" s="125"/>
    </row>
    <row r="10700">
      <c r="A10700" s="122" t="s">
        <v>36448</v>
      </c>
      <c r="B10700" s="123">
        <v>1582982.0</v>
      </c>
      <c r="C10700" s="687" t="str">
        <f>IFERROR(__xludf.DUMMYFUNCTION("GOOGLEFINANCE(A10700,""name"")"),"#N/A")</f>
        <v>#N/A</v>
      </c>
      <c r="D10700" s="125"/>
    </row>
    <row r="10701">
      <c r="A10701" s="122" t="s">
        <v>36449</v>
      </c>
      <c r="B10701" s="123">
        <v>1582982.0</v>
      </c>
      <c r="C10701" s="687" t="str">
        <f>IFERROR(__xludf.DUMMYFUNCTION("GOOGLEFINANCE(A10701,""name"")"),"#N/A")</f>
        <v>#N/A</v>
      </c>
      <c r="D10701" s="125"/>
    </row>
    <row r="10702">
      <c r="A10702" s="122" t="s">
        <v>36450</v>
      </c>
      <c r="B10702" s="123">
        <v>1243429.0</v>
      </c>
      <c r="C10702" s="687" t="str">
        <f>IFERROR(__xludf.DUMMYFUNCTION("GOOGLEFINANCE(A10702,""name"")"),"#N/A")</f>
        <v>#N/A</v>
      </c>
      <c r="D10702" s="125"/>
    </row>
    <row r="10703">
      <c r="A10703" s="122" t="s">
        <v>36451</v>
      </c>
      <c r="B10703" s="123">
        <v>1634379.0</v>
      </c>
      <c r="C10703" s="687" t="str">
        <f>IFERROR(__xludf.DUMMYFUNCTION("GOOGLEFINANCE(A10703,""name"")"),"#N/A")</f>
        <v>#N/A</v>
      </c>
      <c r="D10703" s="125"/>
    </row>
    <row r="10704">
      <c r="A10704" s="122" t="s">
        <v>36452</v>
      </c>
      <c r="B10704" s="123">
        <v>1036848.0</v>
      </c>
      <c r="C10704" s="687" t="str">
        <f>IFERROR(__xludf.DUMMYFUNCTION("GOOGLEFINANCE(A10704,""name"")"),"#N/A")</f>
        <v>#N/A</v>
      </c>
      <c r="D10704" s="125"/>
    </row>
    <row r="10705">
      <c r="A10705" s="122" t="s">
        <v>36453</v>
      </c>
      <c r="B10705" s="123">
        <v>1582554.0</v>
      </c>
      <c r="C10705" s="687" t="str">
        <f>IFERROR(__xludf.DUMMYFUNCTION("GOOGLEFINANCE(A10705,""name"")"),"Matinas BioPharma Holdings Inc")</f>
        <v>Matinas BioPharma Holdings Inc</v>
      </c>
      <c r="D10705" s="125"/>
    </row>
    <row r="10706">
      <c r="A10706" s="122" t="s">
        <v>36454</v>
      </c>
      <c r="B10706" s="123">
        <v>1643918.0</v>
      </c>
      <c r="C10706" s="687" t="str">
        <f>IFERROR(__xludf.DUMMYFUNCTION("GOOGLEFINANCE(A10706,""name"")"),"#N/A")</f>
        <v>#N/A</v>
      </c>
      <c r="D10706" s="125"/>
    </row>
    <row r="10707">
      <c r="A10707" s="122" t="s">
        <v>36455</v>
      </c>
      <c r="B10707" s="123">
        <v>1860663.0</v>
      </c>
      <c r="C10707" s="687" t="str">
        <f>IFERROR(__xludf.DUMMYFUNCTION("GOOGLEFINANCE(A10707,""name"")"),"#N/A")</f>
        <v>#N/A</v>
      </c>
      <c r="D10707" s="125"/>
    </row>
    <row r="10708">
      <c r="A10708" s="122" t="s">
        <v>36456</v>
      </c>
      <c r="B10708" s="123">
        <v>1860663.0</v>
      </c>
      <c r="C10708" s="687" t="str">
        <f>IFERROR(__xludf.DUMMYFUNCTION("GOOGLEFINANCE(A10708,""name"")"),"#N/A")</f>
        <v>#N/A</v>
      </c>
      <c r="D10708" s="125"/>
    </row>
    <row r="10709">
      <c r="A10709" s="122" t="s">
        <v>36457</v>
      </c>
      <c r="B10709" s="123">
        <v>1860663.0</v>
      </c>
      <c r="C10709" s="687" t="str">
        <f>IFERROR(__xludf.DUMMYFUNCTION("GOOGLEFINANCE(A10709,""name"")"),"#N/A")</f>
        <v>#N/A</v>
      </c>
      <c r="D10709" s="125"/>
    </row>
    <row r="10710">
      <c r="A10710" s="122" t="s">
        <v>36458</v>
      </c>
      <c r="B10710" s="123">
        <v>1885754.0</v>
      </c>
      <c r="C10710" s="687" t="str">
        <f>IFERROR(__xludf.DUMMYFUNCTION("GOOGLEFINANCE(A10710,""name"")"),"#N/A")</f>
        <v>#N/A</v>
      </c>
      <c r="D10710" s="125"/>
    </row>
    <row r="10711">
      <c r="A10711" s="122" t="s">
        <v>36459</v>
      </c>
      <c r="B10711" s="123">
        <v>1885754.0</v>
      </c>
      <c r="C10711" s="687" t="str">
        <f>IFERROR(__xludf.DUMMYFUNCTION("GOOGLEFINANCE(A10711,""name"")"),"#N/A")</f>
        <v>#N/A</v>
      </c>
      <c r="D10711" s="125"/>
    </row>
    <row r="10712">
      <c r="A10712" s="122" t="s">
        <v>36460</v>
      </c>
      <c r="B10712" s="123">
        <v>1885754.0</v>
      </c>
      <c r="C10712" s="687" t="str">
        <f>IFERROR(__xludf.DUMMYFUNCTION("GOOGLEFINANCE(A10712,""name"")"),"#N/A")</f>
        <v>#N/A</v>
      </c>
      <c r="D10712" s="125"/>
    </row>
    <row r="10713">
      <c r="A10713" s="122" t="s">
        <v>36461</v>
      </c>
      <c r="B10713" s="123">
        <v>1820727.0</v>
      </c>
      <c r="C10713" s="687" t="str">
        <f>IFERROR(__xludf.DUMMYFUNCTION("GOOGLEFINANCE(A10713,""name"")"),"#N/A")</f>
        <v>#N/A</v>
      </c>
      <c r="D10713" s="125"/>
    </row>
    <row r="10714">
      <c r="A10714" s="122" t="s">
        <v>36462</v>
      </c>
      <c r="B10714" s="123">
        <v>1820727.0</v>
      </c>
      <c r="C10714" s="687" t="str">
        <f>IFERROR(__xludf.DUMMYFUNCTION("GOOGLEFINANCE(A10714,""name"")"),"#N/A")</f>
        <v>#N/A</v>
      </c>
      <c r="D10714" s="125"/>
    </row>
    <row r="10715">
      <c r="A10715" s="122" t="s">
        <v>36463</v>
      </c>
      <c r="B10715" s="123">
        <v>1820727.0</v>
      </c>
      <c r="C10715" s="687" t="str">
        <f>IFERROR(__xludf.DUMMYFUNCTION("GOOGLEFINANCE(A10715,""name"")"),"#N/A")</f>
        <v>#N/A</v>
      </c>
      <c r="D10715" s="125"/>
    </row>
    <row r="10716">
      <c r="A10716" s="122" t="s">
        <v>36464</v>
      </c>
      <c r="B10716" s="123">
        <v>1896212.0</v>
      </c>
      <c r="C10716" s="687" t="str">
        <f>IFERROR(__xludf.DUMMYFUNCTION("GOOGLEFINANCE(A10716,""name"")"),"#N/A")</f>
        <v>#N/A</v>
      </c>
      <c r="D10716" s="125"/>
    </row>
    <row r="10717">
      <c r="A10717" s="122" t="s">
        <v>36465</v>
      </c>
      <c r="B10717" s="123">
        <v>1896212.0</v>
      </c>
      <c r="C10717" s="687" t="str">
        <f>IFERROR(__xludf.DUMMYFUNCTION("GOOGLEFINANCE(A10717,""name"")"),"#N/A")</f>
        <v>#N/A</v>
      </c>
      <c r="D10717" s="125"/>
    </row>
    <row r="10718">
      <c r="A10718" s="122" t="s">
        <v>36466</v>
      </c>
      <c r="B10718" s="123">
        <v>1896212.0</v>
      </c>
      <c r="C10718" s="687" t="str">
        <f>IFERROR(__xludf.DUMMYFUNCTION("GOOGLEFINANCE(A10718,""name"")"),"#N/A")</f>
        <v>#N/A</v>
      </c>
      <c r="D10718" s="125"/>
    </row>
    <row r="10719">
      <c r="A10719" s="122" t="s">
        <v>36467</v>
      </c>
      <c r="B10719" s="123">
        <v>1114446.0</v>
      </c>
      <c r="C10719" s="687" t="str">
        <f>IFERROR(__xludf.DUMMYFUNCTION("GOOGLEFINANCE(A10719,""name"")"),"ETRACS Monthly Pay 1.5X Leveraged Mortgage REIT ETN")</f>
        <v>ETRACS Monthly Pay 1.5X Leveraged Mortgage REIT ETN</v>
      </c>
      <c r="D10719" s="125"/>
    </row>
    <row r="10720">
      <c r="A10720" s="122" t="s">
        <v>36468</v>
      </c>
      <c r="B10720" s="123">
        <v>1435969.0</v>
      </c>
      <c r="C10720" s="687" t="str">
        <f>IFERROR(__xludf.DUMMYFUNCTION("GOOGLEFINANCE(A10720,""name"")"),"Orbia Advance Corporation SAB de CV")</f>
        <v>Orbia Advance Corporation SAB de CV</v>
      </c>
      <c r="D10720" s="125"/>
    </row>
    <row r="10721">
      <c r="A10721" s="122" t="s">
        <v>36469</v>
      </c>
      <c r="B10721" s="123">
        <v>1507181.0</v>
      </c>
      <c r="C10721" s="687" t="str">
        <f>IFERROR(__xludf.DUMMYFUNCTION("GOOGLEFINANCE(A10721,""name"")"),"#N/A")</f>
        <v>#N/A</v>
      </c>
      <c r="D10721" s="125"/>
    </row>
    <row r="10722">
      <c r="A10722" s="122" t="s">
        <v>36470</v>
      </c>
      <c r="B10722" s="123">
        <v>1321834.0</v>
      </c>
      <c r="C10722" s="687" t="str">
        <f>IFERROR(__xludf.DUMMYFUNCTION("GOOGLEFINANCE(A10722,""name"")"),"#N/A")</f>
        <v>#N/A</v>
      </c>
      <c r="D10722" s="125"/>
    </row>
    <row r="10723">
      <c r="A10723" s="122" t="s">
        <v>36471</v>
      </c>
      <c r="B10723" s="123">
        <v>927761.0</v>
      </c>
      <c r="C10723" s="687" t="str">
        <f>IFERROR(__xludf.DUMMYFUNCTION("GOOGLEFINANCE(A10723,""name"")"),"Mymetics Corp")</f>
        <v>Mymetics Corp</v>
      </c>
      <c r="D10723" s="125"/>
    </row>
    <row r="10724">
      <c r="A10724" s="122" t="s">
        <v>36472</v>
      </c>
      <c r="B10724" s="123">
        <v>1679082.0</v>
      </c>
      <c r="C10724" s="687" t="str">
        <f>IFERROR(__xludf.DUMMYFUNCTION("GOOGLEFINANCE(A10724,""name"")"),"#N/A")</f>
        <v>#N/A</v>
      </c>
      <c r="D10724" s="125"/>
    </row>
    <row r="10725">
      <c r="A10725" s="122" t="s">
        <v>36473</v>
      </c>
      <c r="B10725" s="123">
        <v>1879293.0</v>
      </c>
      <c r="C10725" s="687" t="str">
        <f>IFERROR(__xludf.DUMMYFUNCTION("GOOGLEFINANCE(A10725,""name"")"),"#N/A")</f>
        <v>#N/A</v>
      </c>
      <c r="D10725" s="125"/>
    </row>
    <row r="10726">
      <c r="A10726" s="122" t="s">
        <v>36474</v>
      </c>
      <c r="B10726" s="123">
        <v>1617351.0</v>
      </c>
      <c r="C10726" s="687" t="str">
        <f>IFERROR(__xludf.DUMMYFUNCTION("GOOGLEFINANCE(A10726,""name"")"),"#N/A")</f>
        <v>#N/A</v>
      </c>
      <c r="D10726" s="125"/>
    </row>
    <row r="10727">
      <c r="A10727" s="122" t="s">
        <v>36475</v>
      </c>
      <c r="B10727" s="123">
        <v>1830063.0</v>
      </c>
      <c r="C10727" s="687" t="str">
        <f>IFERROR(__xludf.DUMMYFUNCTION("GOOGLEFINANCE(A10727,""name"")"),"#N/A")</f>
        <v>#N/A</v>
      </c>
      <c r="D10727" s="125"/>
    </row>
    <row r="10728">
      <c r="A10728" s="122" t="s">
        <v>36476</v>
      </c>
      <c r="B10728" s="123">
        <v>1830063.0</v>
      </c>
      <c r="C10728" s="687" t="str">
        <f>IFERROR(__xludf.DUMMYFUNCTION("GOOGLEFINANCE(A10728,""name"")"),"#N/A")</f>
        <v>#N/A</v>
      </c>
      <c r="D10728" s="125"/>
    </row>
    <row r="10729">
      <c r="A10729" s="122" t="s">
        <v>36477</v>
      </c>
      <c r="B10729" s="123">
        <v>1830063.0</v>
      </c>
      <c r="C10729" s="687" t="str">
        <f>IFERROR(__xludf.DUMMYFUNCTION("GOOGLEFINANCE(A10729,""name"")"),"#N/A")</f>
        <v>#N/A</v>
      </c>
      <c r="D10729" s="125"/>
    </row>
    <row r="10730">
      <c r="A10730" s="122" t="s">
        <v>36478</v>
      </c>
      <c r="B10730" s="123">
        <v>1074952.0</v>
      </c>
      <c r="C10730" s="687" t="str">
        <f>IFERROR(__xludf.DUMMYFUNCTION("GOOGLEFINANCE(A10730,""name"")"),"Nuveen California Quality Muncpl IncmFnd")</f>
        <v>Nuveen California Quality Muncpl IncmFnd</v>
      </c>
      <c r="D10730" s="125"/>
    </row>
    <row r="10731">
      <c r="A10731" s="122" t="s">
        <v>36479</v>
      </c>
      <c r="B10731" s="123">
        <v>1083839.0</v>
      </c>
      <c r="C10731" s="687" t="str">
        <f>IFERROR(__xludf.DUMMYFUNCTION("GOOGLEFINANCE(A10731,""name"")"),"Nuveen Quality Municipal Income Fund")</f>
        <v>Nuveen Quality Municipal Income Fund</v>
      </c>
      <c r="D10731" s="125"/>
    </row>
    <row r="10732">
      <c r="A10732" s="122" t="s">
        <v>36480</v>
      </c>
      <c r="B10732" s="123">
        <v>1164771.0</v>
      </c>
      <c r="C10732" s="687" t="str">
        <f>IFERROR(__xludf.DUMMYFUNCTION("GOOGLEFINANCE(A10732,""name"")"),"Northern Dynasty Minerals Ltd")</f>
        <v>Northern Dynasty Minerals Ltd</v>
      </c>
      <c r="D10732" s="125"/>
    </row>
    <row r="10733">
      <c r="A10733" s="122" t="s">
        <v>36481</v>
      </c>
      <c r="B10733" s="123">
        <v>1074769.0</v>
      </c>
      <c r="C10733" s="687" t="str">
        <f>IFERROR(__xludf.DUMMYFUNCTION("GOOGLEFINANCE(A10733,""name"")"),"Nuveen New York Quality Muncpl Incm Fund")</f>
        <v>Nuveen New York Quality Muncpl Incm Fund</v>
      </c>
      <c r="D10733" s="125"/>
    </row>
    <row r="10734">
      <c r="A10734" s="122" t="s">
        <v>36482</v>
      </c>
      <c r="B10734" s="123">
        <v>1685570.0</v>
      </c>
      <c r="C10734" s="687" t="str">
        <f>IFERROR(__xludf.DUMMYFUNCTION("GOOGLEFINANCE(A10734,""name"")"),"#N/A")</f>
        <v>#N/A</v>
      </c>
      <c r="D10734" s="125"/>
    </row>
    <row r="10735">
      <c r="A10735" s="122" t="s">
        <v>36483</v>
      </c>
      <c r="B10735" s="123">
        <v>1000177.0</v>
      </c>
      <c r="C10735" s="687" t="str">
        <f>IFERROR(__xludf.DUMMYFUNCTION("GOOGLEFINANCE(A10735,""name"")"),"Nordic American Tankers Ltd")</f>
        <v>Nordic American Tankers Ltd</v>
      </c>
      <c r="D10735" s="125"/>
    </row>
    <row r="10736">
      <c r="A10736" s="122" t="s">
        <v>36484</v>
      </c>
      <c r="B10736" s="123">
        <v>935494.0</v>
      </c>
      <c r="C10736" s="687" t="str">
        <f>IFERROR(__xludf.DUMMYFUNCTION("GOOGLEFINANCE(A10736,""name"")"),"#N/A")</f>
        <v>#N/A</v>
      </c>
      <c r="D10736" s="125"/>
    </row>
    <row r="10737">
      <c r="A10737" s="122" t="s">
        <v>36485</v>
      </c>
      <c r="B10737" s="123">
        <v>892992.0</v>
      </c>
      <c r="C10737" s="687" t="str">
        <f>IFERROR(__xludf.DUMMYFUNCTION("GOOGLEFINANCE(A10737,""name"")"),"Nuveen Arizona Premium Income Mun Fd")</f>
        <v>Nuveen Arizona Premium Income Mun Fd</v>
      </c>
      <c r="D10737" s="125"/>
    </row>
    <row r="10738">
      <c r="A10738" s="122" t="s">
        <v>36486</v>
      </c>
      <c r="B10738" s="123">
        <v>1847888.0</v>
      </c>
      <c r="C10738" s="687" t="str">
        <f>IFERROR(__xludf.DUMMYFUNCTION("GOOGLEFINANCE(A10738,""name"")"),"#N/A")</f>
        <v>#N/A</v>
      </c>
      <c r="D10738" s="125"/>
    </row>
    <row r="10739">
      <c r="A10739" s="122" t="s">
        <v>36487</v>
      </c>
      <c r="B10739" s="123">
        <v>1478888.0</v>
      </c>
      <c r="C10739" s="687" t="str">
        <f>IFERROR(__xludf.DUMMYFUNCTION("GOOGLEFINANCE(A10739,""name"")"),"Nuveen Taxable Municipal Income Fund")</f>
        <v>Nuveen Taxable Municipal Income Fund</v>
      </c>
      <c r="D10739" s="125"/>
    </row>
    <row r="10740">
      <c r="A10740" s="122" t="s">
        <v>36488</v>
      </c>
      <c r="B10740" s="123">
        <v>1579823.0</v>
      </c>
      <c r="C10740" s="687" t="str">
        <f>IFERROR(__xludf.DUMMYFUNCTION("GOOGLEFINANCE(A10740,""name"")"),"#N/A")</f>
        <v>#N/A</v>
      </c>
      <c r="D10740" s="125"/>
    </row>
    <row r="10741">
      <c r="A10741" s="122" t="s">
        <v>36489</v>
      </c>
      <c r="B10741" s="123">
        <v>1579823.0</v>
      </c>
      <c r="C10741" s="687" t="str">
        <f>IFERROR(__xludf.DUMMYFUNCTION("GOOGLEFINANCE(A10741,""name"")"),"#N/A")</f>
        <v>#N/A</v>
      </c>
      <c r="D10741" s="125"/>
    </row>
    <row r="10742">
      <c r="A10742" s="122" t="s">
        <v>36490</v>
      </c>
      <c r="B10742" s="123">
        <v>726293.0</v>
      </c>
      <c r="C10742" s="687" t="str">
        <f>IFERROR(__xludf.DUMMYFUNCTION("GOOGLEFINANCE(A10742,""name"")"),"#N/A")</f>
        <v>#N/A</v>
      </c>
      <c r="D10742" s="125"/>
    </row>
    <row r="10743">
      <c r="A10743" s="122" t="s">
        <v>36491</v>
      </c>
      <c r="B10743" s="123">
        <v>1178839.0</v>
      </c>
      <c r="C10743" s="687" t="str">
        <f>IFERROR(__xludf.DUMMYFUNCTION("GOOGLEFINANCE(A10743,""name"")"),"Neuberger Berman Municipal Fund Inc")</f>
        <v>Neuberger Berman Municipal Fund Inc</v>
      </c>
      <c r="D10743" s="125"/>
    </row>
    <row r="10744">
      <c r="A10744" s="122" t="s">
        <v>36492</v>
      </c>
      <c r="B10744" s="123">
        <v>1725516.0</v>
      </c>
      <c r="C10744" s="687" t="str">
        <f>IFERROR(__xludf.DUMMYFUNCTION("GOOGLEFINANCE(A10744,""name"")"),"#N/A")</f>
        <v>#N/A</v>
      </c>
      <c r="D10744" s="125"/>
    </row>
    <row r="10745">
      <c r="A10745" s="122" t="s">
        <v>36493</v>
      </c>
      <c r="B10745" s="123">
        <v>1178841.0</v>
      </c>
      <c r="C10745" s="687" t="str">
        <f>IFERROR(__xludf.DUMMYFUNCTION("GOOGLEFINANCE(A10745,""name"")"),"Nisshinbo Holdings Inc")</f>
        <v>Nisshinbo Holdings Inc</v>
      </c>
      <c r="D10745" s="125"/>
    </row>
    <row r="10746">
      <c r="A10746" s="122" t="s">
        <v>36494</v>
      </c>
      <c r="B10746" s="123">
        <v>1641640.0</v>
      </c>
      <c r="C10746" s="687" t="str">
        <f>IFERROR(__xludf.DUMMYFUNCTION("GOOGLEFINANCE(A10746,""name"")"),"#N/A")</f>
        <v>#N/A</v>
      </c>
      <c r="D10746" s="125"/>
    </row>
    <row r="10747">
      <c r="A10747" s="122" t="s">
        <v>36495</v>
      </c>
      <c r="B10747" s="123">
        <v>1178840.0</v>
      </c>
      <c r="C10747" s="687" t="str">
        <f>IFERROR(__xludf.DUMMYFUNCTION("GOOGLEFINANCE(A10747,""name"")"),"#N/A")</f>
        <v>#N/A</v>
      </c>
      <c r="D10747" s="125"/>
    </row>
    <row r="10748">
      <c r="A10748" s="122" t="s">
        <v>36496</v>
      </c>
      <c r="B10748" s="123">
        <v>1843181.0</v>
      </c>
      <c r="C10748" s="687" t="str">
        <f>IFERROR(__xludf.DUMMYFUNCTION("GOOGLEFINANCE(A10748,""name"")"),"Neuberger Brmn Nxt Gnratn Cnncty Fnd Inc")</f>
        <v>Neuberger Brmn Nxt Gnratn Cnncty Fnd Inc</v>
      </c>
      <c r="D10748" s="125"/>
    </row>
    <row r="10749">
      <c r="A10749" s="122" t="s">
        <v>36497</v>
      </c>
      <c r="B10749" s="123">
        <v>1849475.0</v>
      </c>
      <c r="C10749" s="687" t="str">
        <f>IFERROR(__xludf.DUMMYFUNCTION("GOOGLEFINANCE(A10749,""name"")"),"#N/A")</f>
        <v>#N/A</v>
      </c>
      <c r="D10749" s="125"/>
    </row>
    <row r="10750">
      <c r="A10750" s="122" t="s">
        <v>36498</v>
      </c>
      <c r="B10750" s="123">
        <v>1849475.0</v>
      </c>
      <c r="C10750" s="687" t="str">
        <f>IFERROR(__xludf.DUMMYFUNCTION("GOOGLEFINANCE(A10750,""name"")"),"#N/A")</f>
        <v>#N/A</v>
      </c>
      <c r="D10750" s="125"/>
    </row>
    <row r="10751">
      <c r="A10751" s="122" t="s">
        <v>36499</v>
      </c>
      <c r="B10751" s="123">
        <v>1849475.0</v>
      </c>
      <c r="C10751" s="687" t="str">
        <f>IFERROR(__xludf.DUMMYFUNCTION("GOOGLEFINANCE(A10751,""name"")"),"#N/A")</f>
        <v>#N/A</v>
      </c>
      <c r="D10751" s="125"/>
    </row>
    <row r="10752">
      <c r="A10752" s="122" t="s">
        <v>36500</v>
      </c>
      <c r="B10752" s="123">
        <v>899611.0</v>
      </c>
      <c r="C10752" s="687" t="str">
        <f>IFERROR(__xludf.DUMMYFUNCTION("GOOGLEFINANCE(A10752,""name"")"),"#N/A")</f>
        <v>#N/A</v>
      </c>
      <c r="D10752" s="125"/>
    </row>
    <row r="10753">
      <c r="A10753" s="122" t="s">
        <v>36501</v>
      </c>
      <c r="B10753" s="123">
        <v>899611.0</v>
      </c>
      <c r="C10753" s="687" t="str">
        <f>IFERROR(__xludf.DUMMYFUNCTION("GOOGLEFINANCE(A10753,""name"")"),"#N/A")</f>
        <v>#N/A</v>
      </c>
      <c r="D10753" s="125"/>
    </row>
    <row r="10754">
      <c r="A10754" s="122" t="s">
        <v>36502</v>
      </c>
      <c r="B10754" s="123">
        <v>1214935.0</v>
      </c>
      <c r="C10754" s="687" t="str">
        <f>IFERROR(__xludf.DUMMYFUNCTION("GOOGLEFINANCE(A10754,""name"")"),"#N/A")</f>
        <v>#N/A</v>
      </c>
      <c r="D10754" s="125"/>
    </row>
    <row r="10755">
      <c r="A10755" s="122" t="s">
        <v>36503</v>
      </c>
      <c r="B10755" s="123">
        <v>1227857.0</v>
      </c>
      <c r="C10755" s="687" t="str">
        <f>IFERROR(__xludf.DUMMYFUNCTION("GOOGLEFINANCE(A10755,""name"")"),"#N/A")</f>
        <v>#N/A</v>
      </c>
      <c r="D10755" s="125"/>
    </row>
    <row r="10756">
      <c r="A10756" s="122" t="s">
        <v>36504</v>
      </c>
      <c r="B10756" s="123">
        <v>1837067.0</v>
      </c>
      <c r="C10756" s="687" t="str">
        <f>IFERROR(__xludf.DUMMYFUNCTION("GOOGLEFINANCE(A10756,""name"")"),"#N/A")</f>
        <v>#N/A</v>
      </c>
      <c r="D10756" s="125"/>
    </row>
    <row r="10757">
      <c r="A10757" s="122" t="s">
        <v>36505</v>
      </c>
      <c r="B10757" s="123">
        <v>1837067.0</v>
      </c>
      <c r="C10757" s="687" t="str">
        <f>IFERROR(__xludf.DUMMYFUNCTION("GOOGLEFINANCE(A10757,""name"")"),"#N/A")</f>
        <v>#N/A</v>
      </c>
      <c r="D10757" s="125"/>
    </row>
    <row r="10758">
      <c r="A10758" s="122" t="s">
        <v>36506</v>
      </c>
      <c r="B10758" s="123">
        <v>1837067.0</v>
      </c>
      <c r="C10758" s="687" t="str">
        <f>IFERROR(__xludf.DUMMYFUNCTION("GOOGLEFINANCE(A10758,""name"")"),"#N/A")</f>
        <v>#N/A</v>
      </c>
      <c r="D10758" s="125"/>
    </row>
    <row r="10759">
      <c r="A10759" s="122" t="s">
        <v>36507</v>
      </c>
      <c r="B10759" s="123">
        <v>1659183.0</v>
      </c>
      <c r="C10759" s="687" t="str">
        <f>IFERROR(__xludf.DUMMYFUNCTION("GOOGLEFINANCE(A10759,""name"")"),"#N/A")</f>
        <v>#N/A</v>
      </c>
      <c r="D10759" s="125"/>
    </row>
    <row r="10760">
      <c r="A10760" s="122" t="s">
        <v>36508</v>
      </c>
      <c r="B10760" s="123">
        <v>1877332.0</v>
      </c>
      <c r="C10760" s="687" t="str">
        <f>IFERROR(__xludf.DUMMYFUNCTION("GOOGLEFINANCE(A10760,""name"")"),"#N/A")</f>
        <v>#N/A</v>
      </c>
      <c r="D10760" s="125"/>
    </row>
    <row r="10761">
      <c r="A10761" s="122" t="s">
        <v>36509</v>
      </c>
      <c r="B10761" s="123">
        <v>1373853.0</v>
      </c>
      <c r="C10761" s="687" t="str">
        <f>IFERROR(__xludf.DUMMYFUNCTION("GOOGLEFINANCE(A10761,""name"")"),"#N/A")</f>
        <v>#N/A</v>
      </c>
      <c r="D10761" s="125"/>
    </row>
    <row r="10762">
      <c r="A10762" s="122" t="s">
        <v>36510</v>
      </c>
      <c r="B10762" s="123">
        <v>753308.0</v>
      </c>
      <c r="C10762" s="687" t="str">
        <f>IFERROR(__xludf.DUMMYFUNCTION("GOOGLEFINANCE(A10762,""name"")"),"#N/A")</f>
        <v>#N/A</v>
      </c>
      <c r="D10762" s="125"/>
    </row>
    <row r="10763">
      <c r="A10763" s="122" t="s">
        <v>36511</v>
      </c>
      <c r="B10763" s="123">
        <v>753308.0</v>
      </c>
      <c r="C10763" s="687" t="str">
        <f>IFERROR(__xludf.DUMMYFUNCTION("GOOGLEFINANCE(A10763,""name"")"),"#N/A")</f>
        <v>#N/A</v>
      </c>
      <c r="D10763" s="125"/>
    </row>
    <row r="10764">
      <c r="A10764" s="122" t="s">
        <v>36512</v>
      </c>
      <c r="B10764" s="123">
        <v>753308.0</v>
      </c>
      <c r="C10764" s="687" t="str">
        <f>IFERROR(__xludf.DUMMYFUNCTION("GOOGLEFINANCE(A10764,""name"")"),"#N/A")</f>
        <v>#N/A</v>
      </c>
      <c r="D10764" s="125"/>
    </row>
    <row r="10765">
      <c r="A10765" s="122" t="s">
        <v>36513</v>
      </c>
      <c r="B10765" s="123">
        <v>1082027.0</v>
      </c>
      <c r="C10765" s="687" t="str">
        <f>IFERROR(__xludf.DUMMYFUNCTION("GOOGLEFINANCE(A10765,""name"")"),"#N/A")</f>
        <v>#N/A</v>
      </c>
      <c r="D10765" s="125"/>
    </row>
    <row r="10766">
      <c r="A10766" s="122" t="s">
        <v>36514</v>
      </c>
      <c r="B10766" s="123">
        <v>1854458.0</v>
      </c>
      <c r="C10766" s="687" t="str">
        <f>IFERROR(__xludf.DUMMYFUNCTION("GOOGLEFINANCE(A10766,""name"")"),"#N/A")</f>
        <v>#N/A</v>
      </c>
      <c r="D10766" s="125"/>
    </row>
    <row r="10767">
      <c r="A10767" s="122" t="s">
        <v>36515</v>
      </c>
      <c r="B10767" s="123">
        <v>1854458.0</v>
      </c>
      <c r="C10767" s="687" t="str">
        <f>IFERROR(__xludf.DUMMYFUNCTION("GOOGLEFINANCE(A10767,""name"")"),"#N/A")</f>
        <v>#N/A</v>
      </c>
      <c r="D10767" s="125"/>
    </row>
    <row r="10768">
      <c r="A10768" s="122" t="s">
        <v>36516</v>
      </c>
      <c r="B10768" s="123">
        <v>1587264.0</v>
      </c>
      <c r="C10768" s="687" t="str">
        <f>IFERROR(__xludf.DUMMYFUNCTION("GOOGLEFINANCE(A10768,""name"")"),"#N/A")</f>
        <v>#N/A</v>
      </c>
      <c r="D10768" s="125"/>
    </row>
    <row r="10769">
      <c r="A10769" s="122" t="s">
        <v>36517</v>
      </c>
      <c r="B10769" s="123">
        <v>1448056.0</v>
      </c>
      <c r="C10769" s="687" t="str">
        <f>IFERROR(__xludf.DUMMYFUNCTION("GOOGLEFINANCE(A10769,""name"")"),"#N/A")</f>
        <v>#N/A</v>
      </c>
      <c r="D10769" s="125"/>
    </row>
    <row r="10770">
      <c r="A10770" s="122" t="s">
        <v>36518</v>
      </c>
      <c r="B10770" s="123">
        <v>1726189.0</v>
      </c>
      <c r="C10770" s="687" t="str">
        <f>IFERROR(__xludf.DUMMYFUNCTION("GOOGLEFINANCE(A10770,""name"")"),"#N/A")</f>
        <v>#N/A</v>
      </c>
      <c r="D10770" s="125"/>
    </row>
    <row r="10771">
      <c r="A10771" s="122" t="s">
        <v>36519</v>
      </c>
      <c r="B10771" s="123">
        <v>1688476.0</v>
      </c>
      <c r="C10771" s="687" t="str">
        <f>IFERROR(__xludf.DUMMYFUNCTION("GOOGLEFINANCE(A10771,""name"")"),"#N/A")</f>
        <v>#N/A</v>
      </c>
      <c r="D10771" s="125"/>
    </row>
    <row r="10772">
      <c r="A10772" s="122" t="s">
        <v>36520</v>
      </c>
      <c r="B10772" s="123">
        <v>1862327.0</v>
      </c>
      <c r="C10772" s="687" t="str">
        <f>IFERROR(__xludf.DUMMYFUNCTION("GOOGLEFINANCE(A10772,""name"")"),"#N/A")</f>
        <v>#N/A</v>
      </c>
      <c r="D10772" s="125"/>
    </row>
    <row r="10773">
      <c r="A10773" s="122" t="s">
        <v>36521</v>
      </c>
      <c r="B10773" s="123">
        <v>1862327.0</v>
      </c>
      <c r="C10773" s="687" t="str">
        <f>IFERROR(__xludf.DUMMYFUNCTION("GOOGLEFINANCE(A10773,""name"")"),"#N/A")</f>
        <v>#N/A</v>
      </c>
      <c r="D10773" s="125"/>
    </row>
    <row r="10774">
      <c r="A10774" s="122" t="s">
        <v>36522</v>
      </c>
      <c r="B10774" s="123">
        <v>1862327.0</v>
      </c>
      <c r="C10774" s="687" t="str">
        <f>IFERROR(__xludf.DUMMYFUNCTION("GOOGLEFINANCE(A10774,""name"")"),"#N/A")</f>
        <v>#N/A</v>
      </c>
      <c r="D10774" s="125"/>
    </row>
    <row r="10775">
      <c r="A10775" s="122" t="s">
        <v>36523</v>
      </c>
      <c r="B10775" s="123">
        <v>1868304.0</v>
      </c>
      <c r="C10775" s="687" t="str">
        <f>IFERROR(__xludf.DUMMYFUNCTION("GOOGLEFINANCE(A10775,""name"")"),"#N/A")</f>
        <v>#N/A</v>
      </c>
      <c r="D10775" s="125"/>
    </row>
    <row r="10776">
      <c r="A10776" s="122" t="s">
        <v>36524</v>
      </c>
      <c r="B10776" s="123">
        <v>1850502.0</v>
      </c>
      <c r="C10776" s="687" t="str">
        <f>IFERROR(__xludf.DUMMYFUNCTION("GOOGLEFINANCE(A10776,""name"")"),"#N/A")</f>
        <v>#N/A</v>
      </c>
      <c r="D10776" s="125"/>
    </row>
    <row r="10777">
      <c r="A10777" s="122" t="s">
        <v>36525</v>
      </c>
      <c r="B10777" s="123">
        <v>1850502.0</v>
      </c>
      <c r="C10777" s="687" t="str">
        <f>IFERROR(__xludf.DUMMYFUNCTION("GOOGLEFINANCE(A10777,""name"")"),"#N/A")</f>
        <v>#N/A</v>
      </c>
      <c r="D10777" s="125"/>
    </row>
    <row r="10778">
      <c r="A10778" s="122" t="s">
        <v>36526</v>
      </c>
      <c r="B10778" s="123">
        <v>1843249.0</v>
      </c>
      <c r="C10778" s="687" t="str">
        <f>IFERROR(__xludf.DUMMYFUNCTION("GOOGLEFINANCE(A10778,""name"")"),"#N/A")</f>
        <v>#N/A</v>
      </c>
      <c r="D10778" s="125"/>
    </row>
    <row r="10779">
      <c r="A10779" s="122" t="s">
        <v>36527</v>
      </c>
      <c r="B10779" s="123">
        <v>1843249.0</v>
      </c>
      <c r="C10779" s="687" t="str">
        <f>IFERROR(__xludf.DUMMYFUNCTION("GOOGLEFINANCE(A10779,""name"")"),"#N/A")</f>
        <v>#N/A</v>
      </c>
      <c r="D10779" s="125"/>
    </row>
    <row r="10780">
      <c r="A10780" s="122" t="s">
        <v>36528</v>
      </c>
      <c r="B10780" s="123">
        <v>1504461.0</v>
      </c>
      <c r="C10780" s="687" t="str">
        <f>IFERROR(__xludf.DUMMYFUNCTION("GOOGLEFINANCE(A10780,""name"")"),"#N/A")</f>
        <v>#N/A</v>
      </c>
      <c r="D10780" s="125"/>
    </row>
    <row r="10781">
      <c r="A10781" s="122" t="s">
        <v>36529</v>
      </c>
      <c r="B10781" s="123">
        <v>1504461.0</v>
      </c>
      <c r="C10781" s="687" t="str">
        <f>IFERROR(__xludf.DUMMYFUNCTION("GOOGLEFINANCE(A10781,""name"")"),"#N/A")</f>
        <v>#N/A</v>
      </c>
      <c r="D10781" s="125"/>
    </row>
    <row r="10782">
      <c r="A10782" s="122" t="s">
        <v>36530</v>
      </c>
      <c r="B10782" s="123">
        <v>1852931.0</v>
      </c>
      <c r="C10782" s="687" t="str">
        <f>IFERROR(__xludf.DUMMYFUNCTION("GOOGLEFINANCE(A10782,""name"")"),"NewHold Investment Corp III")</f>
        <v>NewHold Investment Corp III</v>
      </c>
      <c r="D10782" s="125"/>
    </row>
    <row r="10783">
      <c r="A10783" s="122" t="s">
        <v>36531</v>
      </c>
      <c r="B10783" s="123">
        <v>1852931.0</v>
      </c>
      <c r="C10783" s="687" t="str">
        <f>IFERROR(__xludf.DUMMYFUNCTION("GOOGLEFINANCE(A10783,""name"")"),"Newhold Investment III Units")</f>
        <v>Newhold Investment III Units</v>
      </c>
      <c r="D10783" s="125"/>
    </row>
    <row r="10784">
      <c r="A10784" s="122" t="s">
        <v>36532</v>
      </c>
      <c r="B10784" s="123">
        <v>1852931.0</v>
      </c>
      <c r="C10784" s="687" t="str">
        <f>IFERROR(__xludf.DUMMYFUNCTION("GOOGLEFINANCE(A10784,""name"")"),"Newhold Investment Corp III")</f>
        <v>Newhold Investment Corp III</v>
      </c>
      <c r="D10784" s="125"/>
    </row>
    <row r="10785">
      <c r="A10785" s="122" t="s">
        <v>36533</v>
      </c>
      <c r="B10785" s="123">
        <v>1552979.0</v>
      </c>
      <c r="C10785" s="687" t="str">
        <f>IFERROR(__xludf.DUMMYFUNCTION("GOOGLEFINANCE(A10785,""name"")"),"#N/A")</f>
        <v>#N/A</v>
      </c>
      <c r="D10785" s="125"/>
    </row>
    <row r="10786">
      <c r="A10786" s="122" t="s">
        <v>36534</v>
      </c>
      <c r="B10786" s="123">
        <v>1111711.0</v>
      </c>
      <c r="C10786" s="687" t="str">
        <f>IFERROR(__xludf.DUMMYFUNCTION("GOOGLEFINANCE(A10786,""name"")"),"#N/A")</f>
        <v>#N/A</v>
      </c>
      <c r="D10786" s="125"/>
    </row>
    <row r="10787">
      <c r="A10787" s="122" t="s">
        <v>36535</v>
      </c>
      <c r="B10787" s="123">
        <v>1736510.0</v>
      </c>
      <c r="C10787" s="687" t="str">
        <f>IFERROR(__xludf.DUMMYFUNCTION("GOOGLEFINANCE(A10787,""name"")"),"#N/A")</f>
        <v>#N/A</v>
      </c>
      <c r="D10787" s="125"/>
    </row>
    <row r="10788">
      <c r="A10788" s="122" t="s">
        <v>36536</v>
      </c>
      <c r="B10788" s="123">
        <v>1557915.0</v>
      </c>
      <c r="C10788" s="687" t="str">
        <f>IFERROR(__xludf.DUMMYFUNCTION("GOOGLEFINANCE(A10788,""name"")"),"#N/A")</f>
        <v>#N/A</v>
      </c>
      <c r="D10788" s="125"/>
    </row>
    <row r="10789">
      <c r="A10789" s="122" t="s">
        <v>36537</v>
      </c>
      <c r="B10789" s="123">
        <v>896493.0</v>
      </c>
      <c r="C10789" s="687" t="str">
        <f>IFERROR(__xludf.DUMMYFUNCTION("GOOGLEFINANCE(A10789,""name"")"),"#N/A")</f>
        <v>#N/A</v>
      </c>
      <c r="D10789" s="125"/>
    </row>
    <row r="10790">
      <c r="A10790" s="122" t="s">
        <v>36538</v>
      </c>
      <c r="B10790" s="123">
        <v>896493.0</v>
      </c>
      <c r="C10790" s="687" t="str">
        <f>IFERROR(__xludf.DUMMYFUNCTION("GOOGLEFINANCE(A10790,""name"")"),"#N/A")</f>
        <v>#N/A</v>
      </c>
      <c r="D10790" s="125"/>
    </row>
    <row r="10791">
      <c r="A10791" s="122" t="s">
        <v>36539</v>
      </c>
      <c r="B10791" s="123">
        <v>1111711.0</v>
      </c>
      <c r="C10791" s="687" t="str">
        <f>IFERROR(__xludf.DUMMYFUNCTION("GOOGLEFINANCE(A10791,""name"")"),"#N/A")</f>
        <v>#N/A</v>
      </c>
      <c r="D10791" s="125"/>
    </row>
    <row r="10792">
      <c r="A10792" s="122" t="s">
        <v>36540</v>
      </c>
      <c r="B10792" s="123">
        <v>1512228.0</v>
      </c>
      <c r="C10792" s="687" t="str">
        <f>IFERROR(__xludf.DUMMYFUNCTION("GOOGLEFINANCE(A10792,""name"")"),"#N/A")</f>
        <v>#N/A</v>
      </c>
      <c r="D10792" s="125"/>
    </row>
    <row r="10793">
      <c r="A10793" s="122" t="s">
        <v>36541</v>
      </c>
      <c r="B10793" s="123">
        <v>1564584.0</v>
      </c>
      <c r="C10793" s="687" t="str">
        <f>IFERROR(__xludf.DUMMYFUNCTION("GOOGLEFINANCE(A10793,""name"")"),"NIQ Global Intelligence PLC")</f>
        <v>NIQ Global Intelligence PLC</v>
      </c>
      <c r="D10793" s="125"/>
    </row>
    <row r="10794">
      <c r="A10794" s="122" t="s">
        <v>36542</v>
      </c>
      <c r="B10794" s="123">
        <v>1066719.0</v>
      </c>
      <c r="C10794" s="687" t="str">
        <f>IFERROR(__xludf.DUMMYFUNCTION("GOOGLEFINANCE(A10794,""name"")"),"#N/A")</f>
        <v>#N/A</v>
      </c>
      <c r="D10794" s="125"/>
    </row>
    <row r="10795">
      <c r="A10795" s="122" t="s">
        <v>36543</v>
      </c>
      <c r="B10795" s="123">
        <v>1854963.0</v>
      </c>
      <c r="C10795" s="687" t="str">
        <f>IFERROR(__xludf.DUMMYFUNCTION("GOOGLEFINANCE(A10795,""name"")"),"#N/A")</f>
        <v>#N/A</v>
      </c>
      <c r="D10795" s="125"/>
    </row>
    <row r="10796">
      <c r="A10796" s="122" t="s">
        <v>36544</v>
      </c>
      <c r="B10796" s="123">
        <v>1854963.0</v>
      </c>
      <c r="C10796" s="687" t="str">
        <f>IFERROR(__xludf.DUMMYFUNCTION("GOOGLEFINANCE(A10796,""name"")"),"#N/A")</f>
        <v>#N/A</v>
      </c>
      <c r="D10796" s="125"/>
    </row>
    <row r="10797">
      <c r="A10797" s="122" t="s">
        <v>36545</v>
      </c>
      <c r="B10797" s="123">
        <v>1854963.0</v>
      </c>
      <c r="C10797" s="687" t="str">
        <f>IFERROR(__xludf.DUMMYFUNCTION("GOOGLEFINANCE(A10797,""name"")"),"#N/A")</f>
        <v>#N/A</v>
      </c>
      <c r="D10797" s="125"/>
    </row>
    <row r="10798">
      <c r="A10798" s="122" t="s">
        <v>36546</v>
      </c>
      <c r="B10798" s="123">
        <v>1922194.0</v>
      </c>
      <c r="C10798" s="687" t="str">
        <f>IFERROR(__xludf.DUMMYFUNCTION("GOOGLEFINANCE(A10798,""name"")"),"#N/A")</f>
        <v>#N/A</v>
      </c>
      <c r="D10798" s="125"/>
    </row>
    <row r="10799">
      <c r="A10799" s="122" t="s">
        <v>36547</v>
      </c>
      <c r="B10799" s="123">
        <v>1078207.0</v>
      </c>
      <c r="C10799" s="687" t="str">
        <f>IFERROR(__xludf.DUMMYFUNCTION("GOOGLEFINANCE(A10799,""name"")"),"#N/A")</f>
        <v>#N/A</v>
      </c>
      <c r="D10799" s="125"/>
    </row>
    <row r="10800">
      <c r="A10800" s="122" t="s">
        <v>36548</v>
      </c>
      <c r="B10800" s="123">
        <v>1492633.0</v>
      </c>
      <c r="C10800" s="687" t="str">
        <f>IFERROR(__xludf.DUMMYFUNCTION("GOOGLEFINANCE(A10800,""name"")"),"#N/A")</f>
        <v>#N/A</v>
      </c>
      <c r="D10800" s="125"/>
    </row>
    <row r="10801">
      <c r="A10801" s="122" t="s">
        <v>36549</v>
      </c>
      <c r="B10801" s="123">
        <v>1404644.0</v>
      </c>
      <c r="C10801" s="687" t="str">
        <f>IFERROR(__xludf.DUMMYFUNCTION("GOOGLEFINANCE(A10801,""name"")"),"#N/A")</f>
        <v>#N/A</v>
      </c>
      <c r="D10801" s="125"/>
    </row>
    <row r="10802">
      <c r="A10802" s="122" t="s">
        <v>36550</v>
      </c>
      <c r="B10802" s="123">
        <v>1043219.0</v>
      </c>
      <c r="C10802" s="687" t="str">
        <f>IFERROR(__xludf.DUMMYFUNCTION("GOOGLEFINANCE(A10802,""name"")"),"#N/A")</f>
        <v>#N/A</v>
      </c>
      <c r="D10802" s="125"/>
    </row>
    <row r="10803">
      <c r="A10803" s="122" t="s">
        <v>36551</v>
      </c>
      <c r="B10803" s="123">
        <v>1043219.0</v>
      </c>
      <c r="C10803" s="687" t="str">
        <f>IFERROR(__xludf.DUMMYFUNCTION("GOOGLEFINANCE(A10803,""name"")"),"#N/A")</f>
        <v>#N/A</v>
      </c>
      <c r="D10803" s="125"/>
    </row>
    <row r="10804">
      <c r="A10804" s="122" t="s">
        <v>36552</v>
      </c>
      <c r="B10804" s="123">
        <v>1043219.0</v>
      </c>
      <c r="C10804" s="687" t="str">
        <f>IFERROR(__xludf.DUMMYFUNCTION("GOOGLEFINANCE(A10804,""name"")"),"#N/A")</f>
        <v>#N/A</v>
      </c>
      <c r="D10804" s="125"/>
    </row>
    <row r="10805">
      <c r="A10805" s="122" t="s">
        <v>36553</v>
      </c>
      <c r="B10805" s="123">
        <v>1333172.0</v>
      </c>
      <c r="C10805" s="687" t="str">
        <f>IFERROR(__xludf.DUMMYFUNCTION("GOOGLEFINANCE(A10805,""name"")"),"#N/A")</f>
        <v>#N/A</v>
      </c>
      <c r="D10805" s="125"/>
    </row>
    <row r="10806">
      <c r="A10806" s="122" t="s">
        <v>36554</v>
      </c>
      <c r="B10806" s="123">
        <v>1333172.0</v>
      </c>
      <c r="C10806" s="687" t="str">
        <f>IFERROR(__xludf.DUMMYFUNCTION("GOOGLEFINANCE(A10806,""name"")"),"#N/A")</f>
        <v>#N/A</v>
      </c>
      <c r="D10806" s="125"/>
    </row>
    <row r="10807">
      <c r="A10807" s="122" t="s">
        <v>36555</v>
      </c>
      <c r="B10807" s="123">
        <v>1333172.0</v>
      </c>
      <c r="C10807" s="687" t="str">
        <f>IFERROR(__xludf.DUMMYFUNCTION("GOOGLEFINANCE(A10807,""name"")"),"#N/A")</f>
        <v>#N/A</v>
      </c>
      <c r="D10807" s="125"/>
    </row>
    <row r="10808">
      <c r="A10808" s="122" t="s">
        <v>36556</v>
      </c>
      <c r="B10808" s="123">
        <v>1004315.0</v>
      </c>
      <c r="C10808" s="687" t="str">
        <f>IFERROR(__xludf.DUMMYFUNCTION("GOOGLEFINANCE(A10808,""name"")"),"#N/A")</f>
        <v>#N/A</v>
      </c>
      <c r="D10808" s="125"/>
    </row>
    <row r="10809">
      <c r="A10809" s="122" t="s">
        <v>36557</v>
      </c>
      <c r="B10809" s="123">
        <v>1004315.0</v>
      </c>
      <c r="C10809" s="687" t="str">
        <f>IFERROR(__xludf.DUMMYFUNCTION("GOOGLEFINANCE(A10809,""name"")"),"#N/A")</f>
        <v>#N/A</v>
      </c>
      <c r="D10809" s="125"/>
    </row>
    <row r="10810">
      <c r="A10810" s="122" t="s">
        <v>36558</v>
      </c>
      <c r="B10810" s="123">
        <v>1819157.0</v>
      </c>
      <c r="C10810" s="687" t="str">
        <f>IFERROR(__xludf.DUMMYFUNCTION("GOOGLEFINANCE(A10810,""name"")"),"#N/A")</f>
        <v>#N/A</v>
      </c>
      <c r="D10810" s="125"/>
    </row>
    <row r="10811">
      <c r="A10811" s="122" t="s">
        <v>36559</v>
      </c>
      <c r="B10811" s="123">
        <v>1819157.0</v>
      </c>
      <c r="C10811" s="687" t="str">
        <f>IFERROR(__xludf.DUMMYFUNCTION("GOOGLEFINANCE(A10811,""name"")"),"#N/A")</f>
        <v>#N/A</v>
      </c>
      <c r="D10811" s="125"/>
    </row>
    <row r="10812">
      <c r="A10812" s="122" t="s">
        <v>36560</v>
      </c>
      <c r="B10812" s="123">
        <v>1819157.0</v>
      </c>
      <c r="C10812" s="687" t="str">
        <f>IFERROR(__xludf.DUMMYFUNCTION("GOOGLEFINANCE(A10812,""name"")"),"#N/A")</f>
        <v>#N/A</v>
      </c>
      <c r="D10812" s="125"/>
    </row>
    <row r="10813">
      <c r="A10813" s="122" t="s">
        <v>36561</v>
      </c>
      <c r="B10813" s="123">
        <v>1551986.0</v>
      </c>
      <c r="C10813" s="687" t="str">
        <f>IFERROR(__xludf.DUMMYFUNCTION("GOOGLEFINANCE(A10813,""name"")"),"#N/A")</f>
        <v>#N/A</v>
      </c>
      <c r="D10813" s="125"/>
    </row>
    <row r="10814">
      <c r="A10814" s="122" t="s">
        <v>36562</v>
      </c>
      <c r="B10814" s="123">
        <v>888981.0</v>
      </c>
      <c r="C10814" s="687" t="str">
        <f>IFERROR(__xludf.DUMMYFUNCTION("GOOGLEFINANCE(A10814,""name"")"),"#N/A")</f>
        <v>#N/A</v>
      </c>
      <c r="D10814" s="125"/>
    </row>
    <row r="10815">
      <c r="A10815" s="122" t="s">
        <v>36563</v>
      </c>
      <c r="B10815" s="123">
        <v>1824888.0</v>
      </c>
      <c r="C10815" s="687" t="str">
        <f>IFERROR(__xludf.DUMMYFUNCTION("GOOGLEFINANCE(A10815,""name"")"),"#N/A")</f>
        <v>#N/A</v>
      </c>
      <c r="D10815" s="125"/>
    </row>
    <row r="10816">
      <c r="A10816" s="122" t="s">
        <v>36564</v>
      </c>
      <c r="B10816" s="123">
        <v>1824888.0</v>
      </c>
      <c r="C10816" s="687" t="str">
        <f>IFERROR(__xludf.DUMMYFUNCTION("GOOGLEFINANCE(A10816,""name"")"),"#N/A")</f>
        <v>#N/A</v>
      </c>
      <c r="D10816" s="125"/>
    </row>
    <row r="10817">
      <c r="A10817" s="122" t="s">
        <v>36565</v>
      </c>
      <c r="B10817" s="123">
        <v>1824888.0</v>
      </c>
      <c r="C10817" s="687" t="str">
        <f>IFERROR(__xludf.DUMMYFUNCTION("GOOGLEFINANCE(A10817,""name"")"),"#N/A")</f>
        <v>#N/A</v>
      </c>
      <c r="D10817" s="125"/>
    </row>
    <row r="10818">
      <c r="A10818" s="122" t="s">
        <v>36566</v>
      </c>
      <c r="B10818" s="123">
        <v>1841800.0</v>
      </c>
      <c r="C10818" s="687" t="str">
        <f>IFERROR(__xludf.DUMMYFUNCTION("GOOGLEFINANCE(A10818,""name"")"),"#N/A")</f>
        <v>#N/A</v>
      </c>
      <c r="D10818" s="125"/>
    </row>
    <row r="10819">
      <c r="A10819" s="122" t="s">
        <v>36567</v>
      </c>
      <c r="B10819" s="123">
        <v>910569.0</v>
      </c>
      <c r="C10819" s="687" t="str">
        <f>IFERROR(__xludf.DUMMYFUNCTION("GOOGLEFINANCE(A10819,""name"")"),"#N/A")</f>
        <v>#N/A</v>
      </c>
      <c r="D10819" s="125"/>
    </row>
    <row r="10820">
      <c r="A10820" s="122" t="s">
        <v>36568</v>
      </c>
      <c r="B10820" s="123">
        <v>1823466.0</v>
      </c>
      <c r="C10820" s="687" t="str">
        <f>IFERROR(__xludf.DUMMYFUNCTION("GOOGLEFINANCE(A10820,""name"")"),"#N/A")</f>
        <v>#N/A</v>
      </c>
      <c r="D10820" s="125"/>
    </row>
    <row r="10821">
      <c r="A10821" s="122" t="s">
        <v>36569</v>
      </c>
      <c r="B10821" s="123">
        <v>1772695.0</v>
      </c>
      <c r="C10821" s="687" t="str">
        <f>IFERROR(__xludf.DUMMYFUNCTION("GOOGLEFINANCE(A10821,""name"")"),"Novamarine SpA")</f>
        <v>Novamarine SpA</v>
      </c>
      <c r="D10821" s="125"/>
    </row>
    <row r="10822">
      <c r="A10822" s="122" t="s">
        <v>36570</v>
      </c>
      <c r="B10822" s="123">
        <v>1025953.0</v>
      </c>
      <c r="C10822" s="687" t="str">
        <f>IFERROR(__xludf.DUMMYFUNCTION("GOOGLEFINANCE(A10822,""name"")"),"#N/A")</f>
        <v>#N/A</v>
      </c>
      <c r="D10822" s="125"/>
    </row>
    <row r="10823">
      <c r="A10823" s="122" t="s">
        <v>36571</v>
      </c>
      <c r="B10823" s="123">
        <v>1915654.0</v>
      </c>
      <c r="C10823" s="687" t="str">
        <f>IFERROR(__xludf.DUMMYFUNCTION("GOOGLEFINANCE(A10823,""name"")"),"#N/A")</f>
        <v>#N/A</v>
      </c>
      <c r="D10823" s="125"/>
    </row>
    <row r="10824">
      <c r="A10824" s="122" t="s">
        <v>36572</v>
      </c>
      <c r="B10824" s="123">
        <v>1858028.0</v>
      </c>
      <c r="C10824" s="687" t="str">
        <f>IFERROR(__xludf.DUMMYFUNCTION("GOOGLEFINANCE(A10824,""name"")"),"#N/A")</f>
        <v>#N/A</v>
      </c>
      <c r="D10824" s="125"/>
    </row>
    <row r="10825">
      <c r="A10825" s="122" t="s">
        <v>36573</v>
      </c>
      <c r="B10825" s="123">
        <v>1844004.0</v>
      </c>
      <c r="C10825" s="687" t="str">
        <f>IFERROR(__xludf.DUMMYFUNCTION("GOOGLEFINANCE(A10825,""name"")"),"New Providence Acquisition Corp III")</f>
        <v>New Providence Acquisition Corp III</v>
      </c>
      <c r="D10825" s="125"/>
    </row>
    <row r="10826">
      <c r="A10826" s="122" t="s">
        <v>36574</v>
      </c>
      <c r="B10826" s="123">
        <v>1615999.0</v>
      </c>
      <c r="C10826" s="687" t="str">
        <f>IFERROR(__xludf.DUMMYFUNCTION("GOOGLEFINANCE(A10826,""name"")"),"#N/A")</f>
        <v>#N/A</v>
      </c>
      <c r="D10826" s="125"/>
    </row>
    <row r="10827">
      <c r="A10827" s="122" t="s">
        <v>36575</v>
      </c>
      <c r="B10827" s="123">
        <v>1819404.0</v>
      </c>
      <c r="C10827" s="687" t="str">
        <f>IFERROR(__xludf.DUMMYFUNCTION("GOOGLEFINANCE(A10827,""name"")"),"#N/A")</f>
        <v>#N/A</v>
      </c>
      <c r="D10827" s="125"/>
    </row>
    <row r="10828">
      <c r="A10828" s="122" t="s">
        <v>36576</v>
      </c>
      <c r="B10828" s="123">
        <v>1786248.0</v>
      </c>
      <c r="C10828" s="687" t="str">
        <f>IFERROR(__xludf.DUMMYFUNCTION("GOOGLEFINANCE(A10828,""name"")"),"NexPoint Real Estate Finance Inc")</f>
        <v>NexPoint Real Estate Finance Inc</v>
      </c>
      <c r="D10828" s="125"/>
    </row>
    <row r="10829">
      <c r="A10829" s="122" t="s">
        <v>36577</v>
      </c>
      <c r="B10829" s="123">
        <v>1786248.0</v>
      </c>
      <c r="C10829" s="687" t="str">
        <f>IFERROR(__xludf.DUMMYFUNCTION("GOOGLEFINANCE(A10829,""name"")"),"#N/A")</f>
        <v>#N/A</v>
      </c>
      <c r="D10829" s="125"/>
    </row>
    <row r="10830">
      <c r="A10830" s="122" t="s">
        <v>36578</v>
      </c>
      <c r="B10830" s="123">
        <v>1756908.0</v>
      </c>
      <c r="C10830" s="687" t="str">
        <f>IFERROR(__xludf.DUMMYFUNCTION("GOOGLEFINANCE(A10830,""name"")"),"#N/A")</f>
        <v>#N/A</v>
      </c>
      <c r="D10830" s="125"/>
    </row>
    <row r="10831">
      <c r="A10831" s="122" t="s">
        <v>36579</v>
      </c>
      <c r="B10831" s="123">
        <v>1663712.0</v>
      </c>
      <c r="C10831" s="687" t="str">
        <f>IFERROR(__xludf.DUMMYFUNCTION("GOOGLEFINANCE(A10831,""name"")"),"#N/A")</f>
        <v>#N/A</v>
      </c>
      <c r="D10831" s="125"/>
    </row>
    <row r="10832">
      <c r="A10832" s="122" t="s">
        <v>36580</v>
      </c>
      <c r="B10832" s="123">
        <v>1663712.0</v>
      </c>
      <c r="C10832" s="687" t="str">
        <f>IFERROR(__xludf.DUMMYFUNCTION("GOOGLEFINANCE(A10832,""name"")"),"#N/A")</f>
        <v>#N/A</v>
      </c>
      <c r="D10832" s="125"/>
    </row>
    <row r="10833">
      <c r="A10833" s="122" t="s">
        <v>36581</v>
      </c>
      <c r="B10833" s="123">
        <v>1663712.0</v>
      </c>
      <c r="C10833" s="687" t="str">
        <f>IFERROR(__xludf.DUMMYFUNCTION("GOOGLEFINANCE(A10833,""name"")"),"#N/A")</f>
        <v>#N/A</v>
      </c>
      <c r="D10833" s="125"/>
    </row>
    <row r="10834">
      <c r="A10834" s="122" t="s">
        <v>36582</v>
      </c>
      <c r="B10834" s="123">
        <v>1110805.0</v>
      </c>
      <c r="C10834" s="687" t="str">
        <f>IFERROR(__xludf.DUMMYFUNCTION("GOOGLEFINANCE(A10834,""name"")"),"#N/A")</f>
        <v>#N/A</v>
      </c>
      <c r="D10834" s="125"/>
    </row>
    <row r="10835">
      <c r="A10835" s="122" t="s">
        <v>36583</v>
      </c>
      <c r="B10835" s="123">
        <v>1110805.0</v>
      </c>
      <c r="C10835" s="687" t="str">
        <f>IFERROR(__xludf.DUMMYFUNCTION("GOOGLEFINANCE(A10835,""name"")"),"#N/A")</f>
        <v>#N/A</v>
      </c>
      <c r="D10835" s="125"/>
    </row>
    <row r="10836">
      <c r="A10836" s="122" t="s">
        <v>36584</v>
      </c>
      <c r="B10836" s="123">
        <v>1110805.0</v>
      </c>
      <c r="C10836" s="687" t="str">
        <f>IFERROR(__xludf.DUMMYFUNCTION("GOOGLEFINANCE(A10836,""name"")"),"#N/A")</f>
        <v>#N/A</v>
      </c>
      <c r="D10836" s="125"/>
    </row>
    <row r="10837">
      <c r="A10837" s="122" t="s">
        <v>36585</v>
      </c>
      <c r="B10837" s="123">
        <v>1618563.0</v>
      </c>
      <c r="C10837" s="687" t="str">
        <f>IFERROR(__xludf.DUMMYFUNCTION("GOOGLEFINANCE(A10837,""name"")"),"#N/A")</f>
        <v>#N/A</v>
      </c>
      <c r="D10837" s="125"/>
    </row>
    <row r="10838">
      <c r="A10838" s="122" t="s">
        <v>36586</v>
      </c>
      <c r="B10838" s="123">
        <v>1093428.0</v>
      </c>
      <c r="C10838" s="687" t="str">
        <f>IFERROR(__xludf.DUMMYFUNCTION("GOOGLEFINANCE(A10838,""name"")"),"#N/A")</f>
        <v>#N/A</v>
      </c>
      <c r="D10838" s="125"/>
    </row>
    <row r="10839">
      <c r="A10839" s="122" t="s">
        <v>36587</v>
      </c>
      <c r="B10839" s="123">
        <v>813639.0</v>
      </c>
      <c r="C10839" s="687" t="str">
        <f>IFERROR(__xludf.DUMMYFUNCTION("GOOGLEFINANCE(A10839,""name"")"),"#N/A")</f>
        <v>#N/A</v>
      </c>
      <c r="D10839" s="125"/>
    </row>
    <row r="10840">
      <c r="A10840" s="122" t="s">
        <v>36588</v>
      </c>
      <c r="B10840" s="123">
        <v>1834518.0</v>
      </c>
      <c r="C10840" s="687" t="str">
        <f>IFERROR(__xludf.DUMMYFUNCTION("GOOGLEFINANCE(A10840,""name"")"),"#N/A")</f>
        <v>#N/A</v>
      </c>
      <c r="D10840" s="125"/>
    </row>
    <row r="10841">
      <c r="A10841" s="122" t="s">
        <v>36589</v>
      </c>
      <c r="B10841" s="123">
        <v>1834518.0</v>
      </c>
      <c r="C10841" s="687" t="str">
        <f>IFERROR(__xludf.DUMMYFUNCTION("GOOGLEFINANCE(A10841,""name"")"),"#N/A")</f>
        <v>#N/A</v>
      </c>
      <c r="D10841" s="125"/>
    </row>
    <row r="10842">
      <c r="A10842" s="122" t="s">
        <v>36590</v>
      </c>
      <c r="B10842" s="123">
        <v>1835817.0</v>
      </c>
      <c r="C10842" s="687" t="str">
        <f>IFERROR(__xludf.DUMMYFUNCTION("GOOGLEFINANCE(A10842,""name"")"),"#N/A")</f>
        <v>#N/A</v>
      </c>
      <c r="D10842" s="125"/>
    </row>
    <row r="10843">
      <c r="A10843" s="122" t="s">
        <v>36591</v>
      </c>
      <c r="B10843" s="123">
        <v>1835817.0</v>
      </c>
      <c r="C10843" s="687" t="str">
        <f>IFERROR(__xludf.DUMMYFUNCTION("GOOGLEFINANCE(A10843,""name"")"),"#N/A")</f>
        <v>#N/A</v>
      </c>
      <c r="D10843" s="125"/>
    </row>
    <row r="10844">
      <c r="A10844" s="122" t="s">
        <v>36592</v>
      </c>
      <c r="B10844" s="123">
        <v>1835814.0</v>
      </c>
      <c r="C10844" s="687" t="str">
        <f>IFERROR(__xludf.DUMMYFUNCTION("GOOGLEFINANCE(A10844,""name"")"),"#N/A")</f>
        <v>#N/A</v>
      </c>
      <c r="D10844" s="125"/>
    </row>
    <row r="10845">
      <c r="A10845" s="122" t="s">
        <v>36593</v>
      </c>
      <c r="B10845" s="123">
        <v>1835814.0</v>
      </c>
      <c r="C10845" s="687" t="str">
        <f>IFERROR(__xludf.DUMMYFUNCTION("GOOGLEFINANCE(A10845,""name"")"),"#N/A")</f>
        <v>#N/A</v>
      </c>
      <c r="D10845" s="125"/>
    </row>
    <row r="10846">
      <c r="A10846" s="122" t="s">
        <v>36594</v>
      </c>
      <c r="B10846" s="123">
        <v>722313.0</v>
      </c>
      <c r="C10846" s="687" t="str">
        <f>IFERROR(__xludf.DUMMYFUNCTION("GOOGLEFINANCE(A10846,""name"")"),"Nortech Systems Inc")</f>
        <v>Nortech Systems Inc</v>
      </c>
      <c r="D10846" s="125"/>
    </row>
    <row r="10847">
      <c r="A10847" s="122" t="s">
        <v>36595</v>
      </c>
      <c r="B10847" s="123">
        <v>844538.0</v>
      </c>
      <c r="C10847" s="687" t="str">
        <f>IFERROR(__xludf.DUMMYFUNCTION("GOOGLEFINANCE(A10847,""name"")"),"#N/A")</f>
        <v>#N/A</v>
      </c>
      <c r="D10847" s="125"/>
    </row>
    <row r="10848">
      <c r="A10848" s="122" t="s">
        <v>36596</v>
      </c>
      <c r="B10848" s="123">
        <v>1002517.0</v>
      </c>
      <c r="C10848" s="687" t="str">
        <f>IFERROR(__xludf.DUMMYFUNCTION("GOOGLEFINANCE(A10848,""name"")"),"#N/A")</f>
        <v>#N/A</v>
      </c>
      <c r="D10848" s="125"/>
    </row>
    <row r="10849">
      <c r="A10849" s="122" t="s">
        <v>36597</v>
      </c>
      <c r="B10849" s="123">
        <v>1811063.0</v>
      </c>
      <c r="C10849" s="687" t="str">
        <f>IFERROR(__xludf.DUMMYFUNCTION("GOOGLEFINANCE(A10849,""name"")"),"#N/A")</f>
        <v>#N/A</v>
      </c>
      <c r="D10849" s="125"/>
    </row>
    <row r="10850">
      <c r="A10850" s="122" t="s">
        <v>36598</v>
      </c>
      <c r="B10850" s="123">
        <v>1671132.0</v>
      </c>
      <c r="C10850" s="687" t="str">
        <f>IFERROR(__xludf.DUMMYFUNCTION("GOOGLEFINANCE(A10850,""name"")"),"#N/A")</f>
        <v>#N/A</v>
      </c>
      <c r="D10850" s="125"/>
    </row>
    <row r="10851">
      <c r="A10851" s="122" t="s">
        <v>36599</v>
      </c>
      <c r="B10851" s="123">
        <v>1859807.0</v>
      </c>
      <c r="C10851" s="687" t="str">
        <f>IFERROR(__xludf.DUMMYFUNCTION("GOOGLEFINANCE(A10851,""name"")"),"#N/A")</f>
        <v>#N/A</v>
      </c>
      <c r="D10851" s="125"/>
    </row>
    <row r="10852">
      <c r="A10852" s="122" t="s">
        <v>36600</v>
      </c>
      <c r="B10852" s="123">
        <v>1399708.0</v>
      </c>
      <c r="C10852" s="687" t="str">
        <f>IFERROR(__xludf.DUMMYFUNCTION("GOOGLEFINANCE(A10852,""name"")"),"#N/A")</f>
        <v>#N/A</v>
      </c>
      <c r="D10852" s="125"/>
    </row>
    <row r="10853">
      <c r="A10853" s="122" t="s">
        <v>36601</v>
      </c>
      <c r="B10853" s="123">
        <v>1500122.0</v>
      </c>
      <c r="C10853" s="687" t="str">
        <f>IFERROR(__xludf.DUMMYFUNCTION("GOOGLEFINANCE(A10853,""name"")"),"#N/A")</f>
        <v>#N/A</v>
      </c>
      <c r="D10853" s="125"/>
    </row>
    <row r="10854">
      <c r="A10854" s="122" t="s">
        <v>36602</v>
      </c>
      <c r="B10854" s="123">
        <v>1661053.0</v>
      </c>
      <c r="C10854" s="687" t="str">
        <f>IFERROR(__xludf.DUMMYFUNCTION("GOOGLEFINANCE(A10854,""name"")"),"#N/A")</f>
        <v>#N/A</v>
      </c>
      <c r="D10854" s="125"/>
    </row>
    <row r="10855">
      <c r="A10855" s="122" t="s">
        <v>36603</v>
      </c>
      <c r="B10855" s="123">
        <v>1282980.0</v>
      </c>
      <c r="C10855" s="687" t="str">
        <f>IFERROR(__xludf.DUMMYFUNCTION("GOOGLEFINANCE(A10855,""name"")"),"#N/A")</f>
        <v>#N/A</v>
      </c>
      <c r="D10855" s="125"/>
    </row>
    <row r="10856">
      <c r="A10856" s="122" t="s">
        <v>36604</v>
      </c>
      <c r="B10856" s="123">
        <v>1838433.0</v>
      </c>
      <c r="C10856" s="687" t="str">
        <f>IFERROR(__xludf.DUMMYFUNCTION("GOOGLEFINANCE(A10856,""name"")"),"#N/A")</f>
        <v>#N/A</v>
      </c>
      <c r="D10856" s="125"/>
    </row>
    <row r="10857">
      <c r="A10857" s="122" t="s">
        <v>36605</v>
      </c>
      <c r="B10857" s="123">
        <v>1838433.0</v>
      </c>
      <c r="C10857" s="687" t="str">
        <f>IFERROR(__xludf.DUMMYFUNCTION("GOOGLEFINANCE(A10857,""name"")"),"#N/A")</f>
        <v>#N/A</v>
      </c>
      <c r="D10857" s="125"/>
    </row>
    <row r="10858">
      <c r="A10858" s="122" t="s">
        <v>36606</v>
      </c>
      <c r="B10858" s="123">
        <v>1838433.0</v>
      </c>
      <c r="C10858" s="687" t="str">
        <f>IFERROR(__xludf.DUMMYFUNCTION("GOOGLEFINANCE(A10858,""name"")"),"#N/A")</f>
        <v>#N/A</v>
      </c>
      <c r="D10858" s="125"/>
    </row>
    <row r="10859">
      <c r="A10859" s="122" t="s">
        <v>36607</v>
      </c>
      <c r="B10859" s="123">
        <v>1873504.0</v>
      </c>
      <c r="C10859" s="687" t="str">
        <f>IFERROR(__xludf.DUMMYFUNCTION("GOOGLEFINANCE(A10859,""name"")"),"#N/A")</f>
        <v>#N/A</v>
      </c>
      <c r="D10859" s="125"/>
    </row>
    <row r="10860">
      <c r="A10860" s="122" t="s">
        <v>36608</v>
      </c>
      <c r="B10860" s="123">
        <v>1372184.0</v>
      </c>
      <c r="C10860" s="687" t="str">
        <f>IFERROR(__xludf.DUMMYFUNCTION("GOOGLEFINANCE(A10860,""name"")"),"#N/A")</f>
        <v>#N/A</v>
      </c>
      <c r="D10860" s="125"/>
    </row>
    <row r="10861">
      <c r="A10861" s="122" t="s">
        <v>36609</v>
      </c>
      <c r="B10861" s="123">
        <v>1356115.0</v>
      </c>
      <c r="C10861" s="687" t="str">
        <f>IFERROR(__xludf.DUMMYFUNCTION("GOOGLEFINANCE(A10861,""name"")"),"#N/A")</f>
        <v>#N/A</v>
      </c>
      <c r="D10861" s="125"/>
    </row>
    <row r="10862">
      <c r="A10862" s="122" t="s">
        <v>36610</v>
      </c>
      <c r="B10862" s="123">
        <v>1468929.0</v>
      </c>
      <c r="C10862" s="687" t="str">
        <f>IFERROR(__xludf.DUMMYFUNCTION("GOOGLEFINANCE(A10862,""name"")"),"Nexgel Inc")</f>
        <v>Nexgel Inc</v>
      </c>
      <c r="D10862" s="125"/>
    </row>
    <row r="10863">
      <c r="A10863" s="122" t="s">
        <v>36611</v>
      </c>
      <c r="B10863" s="123">
        <v>708818.0</v>
      </c>
      <c r="C10863" s="687" t="str">
        <f>IFERROR(__xludf.DUMMYFUNCTION("GOOGLEFINANCE(A10863,""name"")"),"Nextgen Biomed Ltd")</f>
        <v>Nextgen Biomed Ltd</v>
      </c>
      <c r="D10863" s="125"/>
    </row>
    <row r="10864">
      <c r="A10864" s="122" t="s">
        <v>36612</v>
      </c>
      <c r="B10864" s="123">
        <v>1595527.0</v>
      </c>
      <c r="C10864" s="687" t="str">
        <f>IFERROR(__xludf.DUMMYFUNCTION("GOOGLEFINANCE(A10864,""name"")"),"American Strategic Investment Co")</f>
        <v>American Strategic Investment Co</v>
      </c>
      <c r="D10864" s="125"/>
    </row>
    <row r="10865">
      <c r="A10865" s="122" t="s">
        <v>36613</v>
      </c>
      <c r="B10865" s="123">
        <v>910073.0</v>
      </c>
      <c r="C10865" s="687" t="str">
        <f>IFERROR(__xludf.DUMMYFUNCTION("GOOGLEFINANCE(A10865,""name"")"),"#N/A")</f>
        <v>#N/A</v>
      </c>
      <c r="D10865" s="125"/>
    </row>
    <row r="10866">
      <c r="A10866" s="122" t="s">
        <v>36614</v>
      </c>
      <c r="B10866" s="123">
        <v>910073.0</v>
      </c>
      <c r="C10866" s="687" t="str">
        <f>IFERROR(__xludf.DUMMYFUNCTION("GOOGLEFINANCE(A10866,""name"")"),"#N/A")</f>
        <v>#N/A</v>
      </c>
      <c r="D10866" s="125"/>
    </row>
    <row r="10867">
      <c r="A10867" s="122" t="s">
        <v>36615</v>
      </c>
      <c r="B10867" s="123">
        <v>1018735.0</v>
      </c>
      <c r="C10867" s="687" t="str">
        <f>IFERROR(__xludf.DUMMYFUNCTION("GOOGLEFINANCE(A10867,""name"")"),"#N/A")</f>
        <v>#N/A</v>
      </c>
      <c r="D10867" s="125"/>
    </row>
    <row r="10868">
      <c r="A10868" s="122" t="s">
        <v>36616</v>
      </c>
      <c r="B10868" s="123">
        <v>1837226.0</v>
      </c>
      <c r="C10868" s="687" t="str">
        <f>IFERROR(__xludf.DUMMYFUNCTION("GOOGLEFINANCE(A10868,""name"")"),"#N/A")</f>
        <v>#N/A</v>
      </c>
      <c r="D10868" s="125"/>
    </row>
    <row r="10869">
      <c r="A10869" s="122" t="s">
        <v>36617</v>
      </c>
      <c r="B10869" s="123">
        <v>1845036.0</v>
      </c>
      <c r="C10869" s="687" t="str">
        <f>IFERROR(__xludf.DUMMYFUNCTION("GOOGLEFINANCE(A10869,""name"")"),"Oaktree Acquisition Corp III")</f>
        <v>Oaktree Acquisition Corp III</v>
      </c>
      <c r="D10869" s="125"/>
    </row>
    <row r="10870">
      <c r="A10870" s="122" t="s">
        <v>36618</v>
      </c>
      <c r="B10870" s="123">
        <v>1403528.0</v>
      </c>
      <c r="C10870" s="687" t="str">
        <f>IFERROR(__xludf.DUMMYFUNCTION("GOOGLEFINANCE(A10870,""name"")"),"#N/A")</f>
        <v>#N/A</v>
      </c>
      <c r="D10870" s="125"/>
    </row>
    <row r="10871">
      <c r="A10871" s="122" t="s">
        <v>36619</v>
      </c>
      <c r="B10871" s="123">
        <v>1403528.0</v>
      </c>
      <c r="C10871" s="687" t="str">
        <f>IFERROR(__xludf.DUMMYFUNCTION("GOOGLEFINANCE(A10871,""name"")"),"#N/A")</f>
        <v>#N/A</v>
      </c>
      <c r="D10871" s="125"/>
    </row>
    <row r="10872">
      <c r="A10872" s="122" t="s">
        <v>36620</v>
      </c>
      <c r="B10872" s="123">
        <v>1516912.0</v>
      </c>
      <c r="C10872" s="687" t="str">
        <f>IFERROR(__xludf.DUMMYFUNCTION("GOOGLEFINANCE(A10872,""name"")"),"Osprey Bonk Trust")</f>
        <v>Osprey Bonk Trust</v>
      </c>
      <c r="D10872" s="125"/>
    </row>
    <row r="10873">
      <c r="A10873" s="122" t="s">
        <v>36621</v>
      </c>
      <c r="B10873" s="123">
        <v>1685316.0</v>
      </c>
      <c r="C10873" s="687" t="str">
        <f>IFERROR(__xludf.DUMMYFUNCTION("GOOGLEFINANCE(A10873,""name"")"),"#N/A")</f>
        <v>#N/A</v>
      </c>
      <c r="D10873" s="125"/>
    </row>
    <row r="10874">
      <c r="A10874" s="122" t="s">
        <v>36622</v>
      </c>
      <c r="B10874" s="123">
        <v>1730869.0</v>
      </c>
      <c r="C10874" s="687" t="str">
        <f>IFERROR(__xludf.DUMMYFUNCTION("GOOGLEFINANCE(A10874,""name"")"),"#N/A")</f>
        <v>#N/A</v>
      </c>
      <c r="D10874" s="125"/>
    </row>
    <row r="10875">
      <c r="A10875" s="122" t="s">
        <v>36623</v>
      </c>
      <c r="B10875" s="123">
        <v>1716951.0</v>
      </c>
      <c r="C10875" s="687" t="str">
        <f>IFERROR(__xludf.DUMMYFUNCTION("GOOGLEFINANCE(A10875,""name"")"),"OFS Credit Company Inc")</f>
        <v>OFS Credit Company Inc</v>
      </c>
      <c r="D10875" s="125"/>
    </row>
    <row r="10876">
      <c r="A10876" s="122" t="s">
        <v>36624</v>
      </c>
      <c r="B10876" s="123">
        <v>1849074.0</v>
      </c>
      <c r="C10876" s="687" t="str">
        <f>IFERROR(__xludf.DUMMYFUNCTION("GOOGLEFINANCE(A10876,""name"")"),"#N/A")</f>
        <v>#N/A</v>
      </c>
      <c r="D10876" s="125"/>
    </row>
    <row r="10877">
      <c r="A10877" s="122" t="s">
        <v>36625</v>
      </c>
      <c r="B10877" s="123">
        <v>1610718.0</v>
      </c>
      <c r="C10877" s="687" t="str">
        <f>IFERROR(__xludf.DUMMYFUNCTION("GOOGLEFINANCE(A10877,""name"")"),"Outdoor Specialty Prods Ord Shs")</f>
        <v>Outdoor Specialty Prods Ord Shs</v>
      </c>
      <c r="D10877" s="125"/>
    </row>
    <row r="10878">
      <c r="A10878" s="122" t="s">
        <v>36626</v>
      </c>
      <c r="B10878" s="123">
        <v>1824677.0</v>
      </c>
      <c r="C10878" s="687" t="str">
        <f>IFERROR(__xludf.DUMMYFUNCTION("GOOGLEFINANCE(A10878,""name"")"),"#N/A")</f>
        <v>#N/A</v>
      </c>
      <c r="D10878" s="125"/>
    </row>
    <row r="10879">
      <c r="A10879" s="122" t="s">
        <v>36627</v>
      </c>
      <c r="B10879" s="123">
        <v>1824677.0</v>
      </c>
      <c r="C10879" s="687" t="str">
        <f>IFERROR(__xludf.DUMMYFUNCTION("GOOGLEFINANCE(A10879,""name"")"),"#N/A")</f>
        <v>#N/A</v>
      </c>
      <c r="D10879" s="125"/>
    </row>
    <row r="10880">
      <c r="A10880" s="122" t="s">
        <v>36628</v>
      </c>
      <c r="B10880" s="123">
        <v>1824677.0</v>
      </c>
      <c r="C10880" s="687" t="str">
        <f>IFERROR(__xludf.DUMMYFUNCTION("GOOGLEFINANCE(A10880,""name"")"),"#N/A")</f>
        <v>#N/A</v>
      </c>
      <c r="D10880" s="125"/>
    </row>
    <row r="10881">
      <c r="A10881" s="122" t="s">
        <v>36629</v>
      </c>
      <c r="B10881" s="123">
        <v>860546.0</v>
      </c>
      <c r="C10881" s="687" t="str">
        <f>IFERROR(__xludf.DUMMYFUNCTION("GOOGLEFINANCE(A10881,""name"")"),"#N/A")</f>
        <v>#N/A</v>
      </c>
      <c r="D10881" s="125"/>
    </row>
    <row r="10882">
      <c r="A10882" s="122" t="s">
        <v>36630</v>
      </c>
      <c r="B10882" s="123">
        <v>1875931.0</v>
      </c>
      <c r="C10882" s="687" t="str">
        <f>IFERROR(__xludf.DUMMYFUNCTION("GOOGLEFINANCE(A10882,""name"")"),"#N/A")</f>
        <v>#N/A</v>
      </c>
      <c r="D10882" s="125"/>
    </row>
    <row r="10883">
      <c r="A10883" s="122" t="s">
        <v>36631</v>
      </c>
      <c r="B10883" s="123">
        <v>1829949.0</v>
      </c>
      <c r="C10883" s="687" t="str">
        <f>IFERROR(__xludf.DUMMYFUNCTION("GOOGLEFINANCE(A10883,""name"")"),"#N/A")</f>
        <v>#N/A</v>
      </c>
      <c r="D10883" s="125"/>
    </row>
    <row r="10884">
      <c r="A10884" s="122" t="s">
        <v>36632</v>
      </c>
      <c r="B10884" s="123">
        <v>1870778.0</v>
      </c>
      <c r="C10884" s="687" t="str">
        <f>IFERROR(__xludf.DUMMYFUNCTION("GOOGLEFINANCE(A10884,""name"")"),"#N/A")</f>
        <v>#N/A</v>
      </c>
      <c r="D10884" s="125"/>
    </row>
    <row r="10885">
      <c r="A10885" s="122" t="s">
        <v>36633</v>
      </c>
      <c r="B10885" s="123">
        <v>1870778.0</v>
      </c>
      <c r="C10885" s="687" t="str">
        <f>IFERROR(__xludf.DUMMYFUNCTION("GOOGLEFINANCE(A10885,""name"")"),"#N/A")</f>
        <v>#N/A</v>
      </c>
      <c r="D10885" s="125"/>
    </row>
    <row r="10886">
      <c r="A10886" s="122" t="s">
        <v>36634</v>
      </c>
      <c r="B10886" s="123">
        <v>1870778.0</v>
      </c>
      <c r="C10886" s="687" t="str">
        <f>IFERROR(__xludf.DUMMYFUNCTION("GOOGLEFINANCE(A10886,""name"")"),"#N/A")</f>
        <v>#N/A</v>
      </c>
      <c r="D10886" s="125"/>
    </row>
    <row r="10887">
      <c r="A10887" s="122" t="s">
        <v>36635</v>
      </c>
      <c r="B10887" s="123">
        <v>1836129.0</v>
      </c>
      <c r="C10887" s="687" t="str">
        <f>IFERROR(__xludf.DUMMYFUNCTION("GOOGLEFINANCE(A10887,""name"")"),"#N/A")</f>
        <v>#N/A</v>
      </c>
      <c r="D10887" s="125"/>
    </row>
    <row r="10888">
      <c r="A10888" s="122" t="s">
        <v>36636</v>
      </c>
      <c r="B10888" s="123">
        <v>1836129.0</v>
      </c>
      <c r="C10888" s="687" t="str">
        <f>IFERROR(__xludf.DUMMYFUNCTION("GOOGLEFINANCE(A10888,""name"")"),"#N/A")</f>
        <v>#N/A</v>
      </c>
      <c r="D10888" s="125"/>
    </row>
    <row r="10889">
      <c r="A10889" s="122" t="s">
        <v>36637</v>
      </c>
      <c r="B10889" s="123">
        <v>1836129.0</v>
      </c>
      <c r="C10889" s="687" t="str">
        <f>IFERROR(__xludf.DUMMYFUNCTION("GOOGLEFINANCE(A10889,""name"")"),"#N/A")</f>
        <v>#N/A</v>
      </c>
      <c r="D10889" s="125"/>
    </row>
    <row r="10890">
      <c r="A10890" s="122" t="s">
        <v>36638</v>
      </c>
      <c r="B10890" s="123">
        <v>1095348.0</v>
      </c>
      <c r="C10890" s="687" t="str">
        <f>IFERROR(__xludf.DUMMYFUNCTION("GOOGLEFINANCE(A10890,""name"")"),"#N/A")</f>
        <v>#N/A</v>
      </c>
      <c r="D10890" s="125"/>
    </row>
    <row r="10891">
      <c r="A10891" s="122" t="s">
        <v>36639</v>
      </c>
      <c r="B10891" s="123">
        <v>927971.0</v>
      </c>
      <c r="C10891" s="687" t="str">
        <f>IFERROR(__xludf.DUMMYFUNCTION("GOOGLEFINANCE(A10891,""name"")"),"MicroSectors Oil &amp; Gas Exp And Prod 3x Inverse Leveraged ETN")</f>
        <v>MicroSectors Oil &amp; Gas Exp And Prod 3x Inverse Leveraged ETN</v>
      </c>
      <c r="D10891" s="125"/>
    </row>
    <row r="10892">
      <c r="A10892" s="122" t="s">
        <v>36640</v>
      </c>
      <c r="B10892" s="123">
        <v>312070.0</v>
      </c>
      <c r="C10892" s="687" t="str">
        <f>IFERROR(__xludf.DUMMYFUNCTION("GOOGLEFINANCE(A10892,""name"")"),"#N/A")</f>
        <v>#N/A</v>
      </c>
      <c r="D10892" s="125"/>
    </row>
    <row r="10893">
      <c r="A10893" s="122" t="s">
        <v>36641</v>
      </c>
      <c r="B10893" s="123">
        <v>927971.0</v>
      </c>
      <c r="C10893" s="687" t="str">
        <f>IFERROR(__xludf.DUMMYFUNCTION("GOOGLEFINANCE(A10893,""name"")"),"MicroSectors Oil &amp; Gas Exp And Prod 3x Leveraged ETN")</f>
        <v>MicroSectors Oil &amp; Gas Exp And Prod 3x Leveraged ETN</v>
      </c>
      <c r="D10893" s="125"/>
    </row>
    <row r="10894">
      <c r="A10894" s="122" t="s">
        <v>36642</v>
      </c>
      <c r="B10894" s="123">
        <v>1367408.0</v>
      </c>
      <c r="C10894" s="687" t="str">
        <f>IFERROR(__xludf.DUMMYFUNCTION("GOOGLEFINANCE(A10894,""name"")"),"Evolve Canadian Energy Enhanced Yield Index Fund (CAD-unhedged)")</f>
        <v>Evolve Canadian Energy Enhanced Yield Index Fund (CAD-unhedged)</v>
      </c>
      <c r="D10894" s="125"/>
    </row>
    <row r="10895">
      <c r="A10895" s="122" t="s">
        <v>36643</v>
      </c>
      <c r="B10895" s="123">
        <v>1866816.0</v>
      </c>
      <c r="C10895" s="687" t="str">
        <f>IFERROR(__xludf.DUMMYFUNCTION("GOOGLEFINANCE(A10895,""name"")"),"#N/A")</f>
        <v>#N/A</v>
      </c>
      <c r="D10895" s="125"/>
    </row>
    <row r="10896">
      <c r="A10896" s="122" t="s">
        <v>36644</v>
      </c>
      <c r="B10896" s="123">
        <v>1866816.0</v>
      </c>
      <c r="C10896" s="687" t="str">
        <f>IFERROR(__xludf.DUMMYFUNCTION("GOOGLEFINANCE(A10896,""name"")"),"#N/A")</f>
        <v>#N/A</v>
      </c>
      <c r="D10896" s="125"/>
    </row>
    <row r="10897">
      <c r="A10897" s="122" t="s">
        <v>36645</v>
      </c>
      <c r="B10897" s="123">
        <v>1832010.0</v>
      </c>
      <c r="C10897" s="687" t="str">
        <f>IFERROR(__xludf.DUMMYFUNCTION("GOOGLEFINANCE(A10897,""name"")"),"#N/A")</f>
        <v>#N/A</v>
      </c>
      <c r="D10897" s="125"/>
    </row>
    <row r="10898">
      <c r="A10898" s="122" t="s">
        <v>36646</v>
      </c>
      <c r="B10898" s="123">
        <v>1103640.0</v>
      </c>
      <c r="C10898" s="687" t="str">
        <f>IFERROR(__xludf.DUMMYFUNCTION("GOOGLEFINANCE(A10898,""name"")"),"#N/A")</f>
        <v>#N/A</v>
      </c>
      <c r="D10898" s="125"/>
    </row>
    <row r="10899">
      <c r="A10899" s="122" t="s">
        <v>36647</v>
      </c>
      <c r="B10899" s="123">
        <v>1671818.0</v>
      </c>
      <c r="C10899" s="687" t="str">
        <f>IFERROR(__xludf.DUMMYFUNCTION("GOOGLEFINANCE(A10899,""name"")"),"#N/A")</f>
        <v>#N/A</v>
      </c>
      <c r="D10899" s="125"/>
    </row>
    <row r="10900">
      <c r="A10900" s="122" t="s">
        <v>36648</v>
      </c>
      <c r="B10900" s="123">
        <v>1444307.0</v>
      </c>
      <c r="C10900" s="687" t="str">
        <f>IFERROR(__xludf.DUMMYFUNCTION("GOOGLEFINANCE(A10900,""name"")"),"#N/A")</f>
        <v>#N/A</v>
      </c>
      <c r="D10900" s="125"/>
    </row>
    <row r="10901">
      <c r="A10901" s="122" t="s">
        <v>36649</v>
      </c>
      <c r="B10901" s="123">
        <v>1404123.0</v>
      </c>
      <c r="C10901" s="687" t="str">
        <f>IFERROR(__xludf.DUMMYFUNCTION("GOOGLEFINANCE(A10901,""name"")"),"#N/A")</f>
        <v>#N/A</v>
      </c>
      <c r="D10901" s="125"/>
    </row>
    <row r="10902">
      <c r="A10902" s="122" t="s">
        <v>36650</v>
      </c>
      <c r="B10902" s="123">
        <v>1541165.0</v>
      </c>
      <c r="C10902" s="687" t="str">
        <f>IFERROR(__xludf.DUMMYFUNCTION("GOOGLEFINANCE(A10902,""name"")"),"#N/A")</f>
        <v>#N/A</v>
      </c>
      <c r="D10902" s="125"/>
    </row>
    <row r="10903">
      <c r="A10903" s="122" t="s">
        <v>36651</v>
      </c>
      <c r="B10903" s="123">
        <v>1877939.0</v>
      </c>
      <c r="C10903" s="687" t="str">
        <f>IFERROR(__xludf.DUMMYFUNCTION("GOOGLEFINANCE(A10903,""name"")"),"#N/A")</f>
        <v>#N/A</v>
      </c>
      <c r="D10903" s="125"/>
    </row>
    <row r="10904">
      <c r="A10904" s="122" t="s">
        <v>36652</v>
      </c>
      <c r="B10904" s="123">
        <v>1810200.0</v>
      </c>
      <c r="C10904" s="687" t="str">
        <f>IFERROR(__xludf.DUMMYFUNCTION("GOOGLEFINANCE(A10904,""name"")"),"#N/A")</f>
        <v>#N/A</v>
      </c>
      <c r="D10904" s="125"/>
    </row>
    <row r="10905">
      <c r="A10905" s="122" t="s">
        <v>36653</v>
      </c>
      <c r="B10905" s="123">
        <v>1843121.0</v>
      </c>
      <c r="C10905" s="687" t="str">
        <f>IFERROR(__xludf.DUMMYFUNCTION("GOOGLEFINANCE(A10905,""name"")"),"#N/A")</f>
        <v>#N/A</v>
      </c>
      <c r="D10905" s="125"/>
    </row>
    <row r="10906">
      <c r="A10906" s="122" t="s">
        <v>36654</v>
      </c>
      <c r="B10906" s="123">
        <v>1843121.0</v>
      </c>
      <c r="C10906" s="687" t="str">
        <f>IFERROR(__xludf.DUMMYFUNCTION("GOOGLEFINANCE(A10906,""name"")"),"#N/A")</f>
        <v>#N/A</v>
      </c>
      <c r="D10906" s="125"/>
    </row>
    <row r="10907">
      <c r="A10907" s="122" t="s">
        <v>36655</v>
      </c>
      <c r="B10907" s="123">
        <v>1825024.0</v>
      </c>
      <c r="C10907" s="687" t="str">
        <f>IFERROR(__xludf.DUMMYFUNCTION("GOOGLEFINANCE(A10907,""name"")"),"#N/A")</f>
        <v>#N/A</v>
      </c>
      <c r="D10907" s="125"/>
    </row>
    <row r="10908">
      <c r="A10908" s="122" t="s">
        <v>36656</v>
      </c>
      <c r="B10908" s="123">
        <v>1842279.0</v>
      </c>
      <c r="C10908" s="687" t="str">
        <f>IFERROR(__xludf.DUMMYFUNCTION("GOOGLEFINANCE(A10908,""name"")"),"#N/A")</f>
        <v>#N/A</v>
      </c>
      <c r="D10908" s="125"/>
    </row>
    <row r="10909">
      <c r="A10909" s="122" t="s">
        <v>36657</v>
      </c>
      <c r="B10909" s="123">
        <v>1818502.0</v>
      </c>
      <c r="C10909" s="687" t="str">
        <f>IFERROR(__xludf.DUMMYFUNCTION("GOOGLEFINANCE(A10909,""name"")"),"#N/A")</f>
        <v>#N/A</v>
      </c>
      <c r="D10909" s="125"/>
    </row>
    <row r="10910">
      <c r="A10910" s="122" t="s">
        <v>36658</v>
      </c>
      <c r="B10910" s="123">
        <v>1628228.0</v>
      </c>
      <c r="C10910" s="687" t="str">
        <f>IFERROR(__xludf.DUMMYFUNCTION("GOOGLEFINANCE(A10910,""name"")"),"#N/A")</f>
        <v>#N/A</v>
      </c>
      <c r="D10910" s="125"/>
    </row>
    <row r="10911">
      <c r="A10911" s="122" t="s">
        <v>36659</v>
      </c>
      <c r="B10911" s="123">
        <v>1385508.0</v>
      </c>
      <c r="C10911" s="687" t="str">
        <f>IFERROR(__xludf.DUMMYFUNCTION("GOOGLEFINANCE(A10911,""name"")"),"#N/A")</f>
        <v>#N/A</v>
      </c>
      <c r="D10911" s="125"/>
    </row>
    <row r="10912">
      <c r="A10912" s="122" t="s">
        <v>36660</v>
      </c>
      <c r="B10912" s="123">
        <v>1678130.0</v>
      </c>
      <c r="C10912" s="687" t="str">
        <f>IFERROR(__xludf.DUMMYFUNCTION("GOOGLEFINANCE(A10912,""name"")"),"#N/A")</f>
        <v>#N/A</v>
      </c>
      <c r="D10912" s="125"/>
    </row>
    <row r="10913">
      <c r="A10913" s="122" t="s">
        <v>36661</v>
      </c>
      <c r="B10913" s="123">
        <v>1678130.0</v>
      </c>
      <c r="C10913" s="687" t="str">
        <f>IFERROR(__xludf.DUMMYFUNCTION("GOOGLEFINANCE(A10913,""name"")"),"#N/A")</f>
        <v>#N/A</v>
      </c>
      <c r="D10913" s="125"/>
    </row>
    <row r="10914">
      <c r="A10914" s="122" t="s">
        <v>36662</v>
      </c>
      <c r="B10914" s="123">
        <v>1378140.0</v>
      </c>
      <c r="C10914" s="687" t="str">
        <f>IFERROR(__xludf.DUMMYFUNCTION("GOOGLEFINANCE(A10914,""name"")"),"Ocean Power Technologies Inc")</f>
        <v>Ocean Power Technologies Inc</v>
      </c>
      <c r="D10914" s="125"/>
    </row>
    <row r="10915">
      <c r="A10915" s="122" t="s">
        <v>36663</v>
      </c>
      <c r="B10915" s="123">
        <v>1655888.0</v>
      </c>
      <c r="C10915" s="687" t="str">
        <f>IFERROR(__xludf.DUMMYFUNCTION("GOOGLEFINANCE(A10915,""name"")"),"#N/A")</f>
        <v>#N/A</v>
      </c>
      <c r="D10915" s="125"/>
    </row>
    <row r="10916">
      <c r="A10916" s="122" t="s">
        <v>36664</v>
      </c>
      <c r="B10916" s="123">
        <v>1847416.0</v>
      </c>
      <c r="C10916" s="687" t="str">
        <f>IFERROR(__xludf.DUMMYFUNCTION("GOOGLEFINANCE(A10916,""name"")"),"#N/A")</f>
        <v>#N/A</v>
      </c>
      <c r="D10916" s="125"/>
    </row>
    <row r="10917">
      <c r="A10917" s="122" t="s">
        <v>36665</v>
      </c>
      <c r="B10917" s="123">
        <v>1847416.0</v>
      </c>
      <c r="C10917" s="687" t="str">
        <f>IFERROR(__xludf.DUMMYFUNCTION("GOOGLEFINANCE(A10917,""name"")"),"#N/A")</f>
        <v>#N/A</v>
      </c>
      <c r="D10917" s="125"/>
    </row>
    <row r="10918">
      <c r="A10918" s="122" t="s">
        <v>36666</v>
      </c>
      <c r="B10918" s="123">
        <v>1748907.0</v>
      </c>
      <c r="C10918" s="687" t="str">
        <f>IFERROR(__xludf.DUMMYFUNCTION("GOOGLEFINANCE(A10918,""name"")"),"#N/A")</f>
        <v>#N/A</v>
      </c>
      <c r="D10918" s="125"/>
    </row>
    <row r="10919">
      <c r="A10919" s="122" t="s">
        <v>36667</v>
      </c>
      <c r="B10919" s="123">
        <v>1845619.0</v>
      </c>
      <c r="C10919" s="687" t="str">
        <f>IFERROR(__xludf.DUMMYFUNCTION("GOOGLEFINANCE(A10919,""name"")"),"#N/A")</f>
        <v>#N/A</v>
      </c>
      <c r="D10919" s="125"/>
    </row>
    <row r="10920">
      <c r="A10920" s="122" t="s">
        <v>36668</v>
      </c>
      <c r="B10920" s="123">
        <v>1564406.0</v>
      </c>
      <c r="C10920" s="687" t="str">
        <f>IFERROR(__xludf.DUMMYFUNCTION("GOOGLEFINANCE(A10920,""name"")"),"#N/A")</f>
        <v>#N/A</v>
      </c>
      <c r="D10920" s="125"/>
    </row>
    <row r="10921">
      <c r="A10921" s="122" t="s">
        <v>36669</v>
      </c>
      <c r="B10921" s="123">
        <v>1832136.0</v>
      </c>
      <c r="C10921" s="687" t="str">
        <f>IFERROR(__xludf.DUMMYFUNCTION("GOOGLEFINANCE(A10921,""name"")"),"#N/A")</f>
        <v>#N/A</v>
      </c>
      <c r="D10921" s="125"/>
    </row>
    <row r="10922">
      <c r="A10922" s="122" t="s">
        <v>36670</v>
      </c>
      <c r="B10922" s="123">
        <v>1832136.0</v>
      </c>
      <c r="C10922" s="687" t="str">
        <f>IFERROR(__xludf.DUMMYFUNCTION("GOOGLEFINANCE(A10922,""name"")"),"#N/A")</f>
        <v>#N/A</v>
      </c>
      <c r="D10922" s="125"/>
    </row>
    <row r="10923">
      <c r="A10923" s="122" t="s">
        <v>36671</v>
      </c>
      <c r="B10923" s="123">
        <v>1130713.0</v>
      </c>
      <c r="C10923" s="687" t="str">
        <f>IFERROR(__xludf.DUMMYFUNCTION("GOOGLEFINANCE(A10923,""name"")"),"#N/A")</f>
        <v>#N/A</v>
      </c>
      <c r="D10923" s="125"/>
    </row>
    <row r="10924">
      <c r="A10924" s="122" t="s">
        <v>36672</v>
      </c>
      <c r="B10924" s="123">
        <v>74925.0</v>
      </c>
      <c r="C10924" s="687" t="str">
        <f>IFERROR(__xludf.DUMMYFUNCTION("GOOGLEFINANCE(A10924,""name"")"),"#N/A")</f>
        <v>#N/A</v>
      </c>
      <c r="D10924" s="125"/>
    </row>
    <row r="10925">
      <c r="A10925" s="122" t="s">
        <v>36673</v>
      </c>
      <c r="B10925" s="123">
        <v>1834226.0</v>
      </c>
      <c r="C10925" s="687" t="str">
        <f>IFERROR(__xludf.DUMMYFUNCTION("GOOGLEFINANCE(A10925,""name"")"),"#N/A")</f>
        <v>#N/A</v>
      </c>
      <c r="D10925" s="125"/>
    </row>
    <row r="10926">
      <c r="A10926" s="122" t="s">
        <v>36674</v>
      </c>
      <c r="B10926" s="123">
        <v>1834226.0</v>
      </c>
      <c r="C10926" s="687" t="str">
        <f>IFERROR(__xludf.DUMMYFUNCTION("GOOGLEFINANCE(A10926,""name"")"),"#N/A")</f>
        <v>#N/A</v>
      </c>
      <c r="D10926" s="125"/>
    </row>
    <row r="10927">
      <c r="A10927" s="122" t="s">
        <v>36675</v>
      </c>
      <c r="B10927" s="123">
        <v>1834226.0</v>
      </c>
      <c r="C10927" s="687" t="str">
        <f>IFERROR(__xludf.DUMMYFUNCTION("GOOGLEFINANCE(A10927,""name"")"),"#N/A")</f>
        <v>#N/A</v>
      </c>
      <c r="D10927" s="125"/>
    </row>
    <row r="10928">
      <c r="A10928" s="122" t="s">
        <v>36676</v>
      </c>
      <c r="B10928" s="123">
        <v>1493566.0</v>
      </c>
      <c r="C10928" s="687" t="str">
        <f>IFERROR(__xludf.DUMMYFUNCTION("GOOGLEFINANCE(A10928,""name"")"),"#N/A")</f>
        <v>#N/A</v>
      </c>
      <c r="D10928" s="125"/>
    </row>
    <row r="10929">
      <c r="A10929" s="122" t="s">
        <v>36677</v>
      </c>
      <c r="B10929" s="123">
        <v>1842498.0</v>
      </c>
      <c r="C10929" s="687" t="str">
        <f>IFERROR(__xludf.DUMMYFUNCTION("GOOGLEFINANCE(A10929,""name"")"),"#N/A")</f>
        <v>#N/A</v>
      </c>
      <c r="D10929" s="125"/>
    </row>
    <row r="10930">
      <c r="A10930" s="122" t="s">
        <v>36678</v>
      </c>
      <c r="B10930" s="123">
        <v>1842498.0</v>
      </c>
      <c r="C10930" s="687" t="str">
        <f>IFERROR(__xludf.DUMMYFUNCTION("GOOGLEFINANCE(A10930,""name"")"),"#N/A")</f>
        <v>#N/A</v>
      </c>
      <c r="D10930" s="125"/>
    </row>
    <row r="10931">
      <c r="A10931" s="122" t="s">
        <v>36679</v>
      </c>
      <c r="B10931" s="123">
        <v>1816581.0</v>
      </c>
      <c r="C10931" s="687" t="str">
        <f>IFERROR(__xludf.DUMMYFUNCTION("GOOGLEFINANCE(A10931,""name"")"),"#N/A")</f>
        <v>#N/A</v>
      </c>
      <c r="D10931" s="125"/>
    </row>
    <row r="10932">
      <c r="A10932" s="122" t="s">
        <v>36680</v>
      </c>
      <c r="B10932" s="123">
        <v>1816708.0</v>
      </c>
      <c r="C10932" s="687" t="str">
        <f>IFERROR(__xludf.DUMMYFUNCTION("GOOGLEFINANCE(A10932,""name"")"),"#N/A")</f>
        <v>#N/A</v>
      </c>
      <c r="D10932" s="125"/>
    </row>
    <row r="10933">
      <c r="A10933" s="122" t="s">
        <v>36681</v>
      </c>
      <c r="B10933" s="123">
        <v>1748680.0</v>
      </c>
      <c r="C10933" s="687" t="str">
        <f>IFERROR(__xludf.DUMMYFUNCTION("GOOGLEFINANCE(A10933,""name"")"),"#N/A")</f>
        <v>#N/A</v>
      </c>
      <c r="D10933" s="125"/>
    </row>
    <row r="10934">
      <c r="A10934" s="122" t="s">
        <v>36682</v>
      </c>
      <c r="B10934" s="123">
        <v>1861622.0</v>
      </c>
      <c r="C10934" s="687" t="str">
        <f>IFERROR(__xludf.DUMMYFUNCTION("GOOGLEFINANCE(A10934,""name"")"),"#N/A")</f>
        <v>#N/A</v>
      </c>
      <c r="D10934" s="125"/>
    </row>
    <row r="10935">
      <c r="A10935" s="122" t="s">
        <v>36683</v>
      </c>
      <c r="B10935" s="123">
        <v>1861622.0</v>
      </c>
      <c r="C10935" s="687" t="str">
        <f>IFERROR(__xludf.DUMMYFUNCTION("GOOGLEFINANCE(A10935,""name"")"),"#N/A")</f>
        <v>#N/A</v>
      </c>
      <c r="D10935" s="125"/>
    </row>
    <row r="10936">
      <c r="A10936" s="122" t="s">
        <v>36684</v>
      </c>
      <c r="B10936" s="123">
        <v>1495222.0</v>
      </c>
      <c r="C10936" s="687" t="str">
        <f>IFERROR(__xludf.DUMMYFUNCTION("GOOGLEFINANCE(A10936,""name"")"),"Oxford Lane Capital 7 125 Prf Shs Series 2029")</f>
        <v>Oxford Lane Capital 7 125 Prf Shs Series 2029</v>
      </c>
      <c r="D10936" s="125"/>
    </row>
    <row r="10937">
      <c r="A10937" s="122" t="s">
        <v>36685</v>
      </c>
      <c r="B10937" s="123">
        <v>1259429.0</v>
      </c>
      <c r="C10937" s="687" t="str">
        <f>IFERROR(__xludf.DUMMYFUNCTION("GOOGLEFINANCE(A10937,""name"")"),"#N/A")</f>
        <v>#N/A</v>
      </c>
      <c r="D10937" s="125"/>
    </row>
    <row r="10938">
      <c r="A10938" s="122" t="s">
        <v>36686</v>
      </c>
      <c r="B10938" s="123">
        <v>797468.0</v>
      </c>
      <c r="C10938" s="687" t="str">
        <f>IFERROR(__xludf.DUMMYFUNCTION("GOOGLEFINANCE(A10938,""name"")"),"#N/A")</f>
        <v>#N/A</v>
      </c>
      <c r="D10938" s="125"/>
    </row>
    <row r="10939">
      <c r="A10939" s="122" t="s">
        <v>36687</v>
      </c>
      <c r="B10939" s="123">
        <v>1720725.0</v>
      </c>
      <c r="C10939" s="687" t="str">
        <f>IFERROR(__xludf.DUMMYFUNCTION("GOOGLEFINANCE(A10939,""name"")"),"#N/A")</f>
        <v>#N/A</v>
      </c>
      <c r="D10939" s="125"/>
    </row>
    <row r="10940">
      <c r="A10940" s="122" t="s">
        <v>36688</v>
      </c>
      <c r="B10940" s="123">
        <v>1822829.0</v>
      </c>
      <c r="C10940" s="687" t="str">
        <f>IFERROR(__xludf.DUMMYFUNCTION("GOOGLEFINANCE(A10940,""name"")"),"#N/A")</f>
        <v>#N/A</v>
      </c>
      <c r="D10940" s="125"/>
    </row>
    <row r="10941">
      <c r="A10941" s="122" t="s">
        <v>36689</v>
      </c>
      <c r="B10941" s="123">
        <v>771992.0</v>
      </c>
      <c r="C10941" s="687" t="str">
        <f>IFERROR(__xludf.DUMMYFUNCTION("GOOGLEFINANCE(A10941,""name"")"),"#N/A")</f>
        <v>#N/A</v>
      </c>
      <c r="D10941" s="125"/>
    </row>
    <row r="10942">
      <c r="A10942" s="122" t="s">
        <v>36690</v>
      </c>
      <c r="B10942" s="123">
        <v>1853070.0</v>
      </c>
      <c r="C10942" s="687" t="str">
        <f>IFERROR(__xludf.DUMMYFUNCTION("GOOGLEFINANCE(A10942,""name"")"),"#N/A")</f>
        <v>#N/A</v>
      </c>
      <c r="D10942" s="125"/>
    </row>
    <row r="10943">
      <c r="A10943" s="122" t="s">
        <v>36691</v>
      </c>
      <c r="B10943" s="123">
        <v>1853070.0</v>
      </c>
      <c r="C10943" s="687" t="str">
        <f>IFERROR(__xludf.DUMMYFUNCTION("GOOGLEFINANCE(A10943,""name"")"),"#N/A")</f>
        <v>#N/A</v>
      </c>
      <c r="D10943" s="125"/>
    </row>
    <row r="10944">
      <c r="A10944" s="122" t="s">
        <v>36692</v>
      </c>
      <c r="B10944" s="123">
        <v>1853070.0</v>
      </c>
      <c r="C10944" s="687" t="str">
        <f>IFERROR(__xludf.DUMMYFUNCTION("GOOGLEFINANCE(A10944,""name"")"),"#N/A")</f>
        <v>#N/A</v>
      </c>
      <c r="D10944" s="125"/>
    </row>
    <row r="10945">
      <c r="A10945" s="122" t="s">
        <v>36693</v>
      </c>
      <c r="B10945" s="123">
        <v>1890897.0</v>
      </c>
      <c r="C10945" s="687" t="str">
        <f>IFERROR(__xludf.DUMMYFUNCTION("GOOGLEFINANCE(A10945,""name"")"),"#N/A")</f>
        <v>#N/A</v>
      </c>
      <c r="D10945" s="125"/>
    </row>
    <row r="10946">
      <c r="A10946" s="122" t="s">
        <v>36694</v>
      </c>
      <c r="B10946" s="123">
        <v>1485922.0</v>
      </c>
      <c r="C10946" s="687" t="str">
        <f>IFERROR(__xludf.DUMMYFUNCTION("GOOGLEFINANCE(A10946,""name"")"),"#N/A")</f>
        <v>#N/A</v>
      </c>
      <c r="D10946" s="125"/>
    </row>
    <row r="10947">
      <c r="A10947" s="122" t="s">
        <v>36695</v>
      </c>
      <c r="B10947" s="123">
        <v>1102112.0</v>
      </c>
      <c r="C10947" s="687" t="str">
        <f>IFERROR(__xludf.DUMMYFUNCTION("GOOGLEFINANCE(A10947,""name"")"),"Amundi Prime All Country World UCITS Dist ETF")</f>
        <v>Amundi Prime All Country World UCITS Dist ETF</v>
      </c>
      <c r="D10947" s="125"/>
    </row>
    <row r="10948">
      <c r="A10948" s="122" t="s">
        <v>36696</v>
      </c>
      <c r="B10948" s="123">
        <v>1102112.0</v>
      </c>
      <c r="C10948" s="687" t="str">
        <f>IFERROR(__xludf.DUMMYFUNCTION("GOOGLEFINANCE(A10948,""name"")"),"#N/A")</f>
        <v>#N/A</v>
      </c>
      <c r="D10948" s="125"/>
    </row>
    <row r="10949">
      <c r="A10949" s="122" t="s">
        <v>36697</v>
      </c>
      <c r="B10949" s="123">
        <v>1829797.0</v>
      </c>
      <c r="C10949" s="687" t="str">
        <f>IFERROR(__xludf.DUMMYFUNCTION("GOOGLEFINANCE(A10949,""name"")"),"#N/A")</f>
        <v>#N/A</v>
      </c>
      <c r="D10949" s="125"/>
    </row>
    <row r="10950">
      <c r="A10950" s="122" t="s">
        <v>36698</v>
      </c>
      <c r="B10950" s="123">
        <v>1829797.0</v>
      </c>
      <c r="C10950" s="687" t="str">
        <f>IFERROR(__xludf.DUMMYFUNCTION("GOOGLEFINANCE(A10950,""name"")"),"#N/A")</f>
        <v>#N/A</v>
      </c>
      <c r="D10950" s="125"/>
    </row>
    <row r="10951">
      <c r="A10951" s="122" t="s">
        <v>36699</v>
      </c>
      <c r="B10951" s="123">
        <v>1829797.0</v>
      </c>
      <c r="C10951" s="687" t="str">
        <f>IFERROR(__xludf.DUMMYFUNCTION("GOOGLEFINANCE(A10951,""name"")"),"#N/A")</f>
        <v>#N/A</v>
      </c>
      <c r="D10951" s="125"/>
    </row>
    <row r="10952">
      <c r="A10952" s="122" t="s">
        <v>36700</v>
      </c>
      <c r="B10952" s="123">
        <v>1858414.0</v>
      </c>
      <c r="C10952" s="687" t="str">
        <f>IFERROR(__xludf.DUMMYFUNCTION("GOOGLEFINANCE(A10952,""name"")"),"#N/A")</f>
        <v>#N/A</v>
      </c>
      <c r="D10952" s="125"/>
    </row>
    <row r="10953">
      <c r="A10953" s="122" t="s">
        <v>36701</v>
      </c>
      <c r="B10953" s="123">
        <v>1858414.0</v>
      </c>
      <c r="C10953" s="687" t="str">
        <f>IFERROR(__xludf.DUMMYFUNCTION("GOOGLEFINANCE(A10953,""name"")"),"#N/A")</f>
        <v>#N/A</v>
      </c>
      <c r="D10953" s="125"/>
    </row>
    <row r="10954">
      <c r="A10954" s="122" t="s">
        <v>36702</v>
      </c>
      <c r="B10954" s="123">
        <v>1828989.0</v>
      </c>
      <c r="C10954" s="687" t="str">
        <f>IFERROR(__xludf.DUMMYFUNCTION("GOOGLEFINANCE(A10954,""name"")"),"#N/A")</f>
        <v>#N/A</v>
      </c>
      <c r="D10954" s="125"/>
    </row>
    <row r="10955">
      <c r="A10955" s="122" t="s">
        <v>36703</v>
      </c>
      <c r="B10955" s="123">
        <v>1830531.0</v>
      </c>
      <c r="C10955" s="687" t="str">
        <f>IFERROR(__xludf.DUMMYFUNCTION("GOOGLEFINANCE(A10955,""name"")"),"#N/A")</f>
        <v>#N/A</v>
      </c>
      <c r="D10955" s="125"/>
    </row>
    <row r="10956">
      <c r="A10956" s="122" t="s">
        <v>36704</v>
      </c>
      <c r="B10956" s="123">
        <v>1830531.0</v>
      </c>
      <c r="C10956" s="687" t="str">
        <f>IFERROR(__xludf.DUMMYFUNCTION("GOOGLEFINANCE(A10956,""name"")"),"#N/A")</f>
        <v>#N/A</v>
      </c>
      <c r="D10956" s="125"/>
    </row>
    <row r="10957">
      <c r="A10957" s="122" t="s">
        <v>36705</v>
      </c>
      <c r="B10957" s="123">
        <v>1830531.0</v>
      </c>
      <c r="C10957" s="687" t="str">
        <f>IFERROR(__xludf.DUMMYFUNCTION("GOOGLEFINANCE(A10957,""name"")"),"#N/A")</f>
        <v>#N/A</v>
      </c>
      <c r="D10957" s="125"/>
    </row>
    <row r="10958">
      <c r="A10958" s="122" t="s">
        <v>36706</v>
      </c>
      <c r="B10958" s="123">
        <v>813828.0</v>
      </c>
      <c r="C10958" s="687" t="str">
        <f>IFERROR(__xludf.DUMMYFUNCTION("GOOGLEFINANCE(A10958,""name"")"),"#N/A")</f>
        <v>#N/A</v>
      </c>
      <c r="D10958" s="125"/>
    </row>
    <row r="10959">
      <c r="A10959" s="122" t="s">
        <v>36707</v>
      </c>
      <c r="B10959" s="123">
        <v>813828.0</v>
      </c>
      <c r="C10959" s="687" t="str">
        <f>IFERROR(__xludf.DUMMYFUNCTION("GOOGLEFINANCE(A10959,""name"")"),"#N/A")</f>
        <v>#N/A</v>
      </c>
      <c r="D10959" s="125"/>
    </row>
    <row r="10960">
      <c r="A10960" s="122" t="s">
        <v>36708</v>
      </c>
      <c r="B10960" s="123">
        <v>1495648.0</v>
      </c>
      <c r="C10960" s="687" t="str">
        <f>IFERROR(__xludf.DUMMYFUNCTION("GOOGLEFINANCE(A10960,""name"")"),"#N/A")</f>
        <v>#N/A</v>
      </c>
      <c r="D10960" s="125"/>
    </row>
    <row r="10961">
      <c r="A10961" s="122" t="s">
        <v>36709</v>
      </c>
      <c r="B10961" s="123">
        <v>1616741.0</v>
      </c>
      <c r="C10961" s="687" t="str">
        <f>IFERROR(__xludf.DUMMYFUNCTION("GOOGLEFINANCE(A10961,""name"")"),"#N/A")</f>
        <v>#N/A</v>
      </c>
      <c r="D10961" s="125"/>
    </row>
    <row r="10962">
      <c r="A10962" s="122" t="s">
        <v>36710</v>
      </c>
      <c r="B10962" s="123">
        <v>1819881.0</v>
      </c>
      <c r="C10962" s="687" t="str">
        <f>IFERROR(__xludf.DUMMYFUNCTION("GOOGLEFINANCE(A10962,""name"")"),"#N/A")</f>
        <v>#N/A</v>
      </c>
      <c r="D10962" s="125"/>
    </row>
    <row r="10963">
      <c r="A10963" s="122" t="s">
        <v>36711</v>
      </c>
      <c r="B10963" s="123">
        <v>1582568.0</v>
      </c>
      <c r="C10963" s="687" t="str">
        <f>IFERROR(__xludf.DUMMYFUNCTION("GOOGLEFINANCE(A10963,""name"")"),"#N/A")</f>
        <v>#N/A</v>
      </c>
      <c r="D10963" s="125"/>
    </row>
    <row r="10964">
      <c r="A10964" s="122" t="s">
        <v>36712</v>
      </c>
      <c r="B10964" s="123">
        <v>78814.0</v>
      </c>
      <c r="C10964" s="687" t="str">
        <f>IFERROR(__xludf.DUMMYFUNCTION("GOOGLEFINANCE(A10964,""name"")"),"#N/A")</f>
        <v>#N/A</v>
      </c>
      <c r="D10964" s="125"/>
    </row>
    <row r="10965">
      <c r="A10965" s="122" t="s">
        <v>36713</v>
      </c>
      <c r="B10965" s="123">
        <v>1771815.0</v>
      </c>
      <c r="C10965" s="687" t="str">
        <f>IFERROR(__xludf.DUMMYFUNCTION("GOOGLEFINANCE(A10965,""name"")"),"#N/A")</f>
        <v>#N/A</v>
      </c>
      <c r="D10965" s="125"/>
    </row>
    <row r="10966">
      <c r="A10966" s="122" t="s">
        <v>36714</v>
      </c>
      <c r="B10966" s="123">
        <v>1119639.0</v>
      </c>
      <c r="C10966" s="687" t="str">
        <f>IFERROR(__xludf.DUMMYFUNCTION("GOOGLEFINANCE(A10966,""name"")"),"#N/A")</f>
        <v>#N/A</v>
      </c>
      <c r="D10966" s="125"/>
    </row>
    <row r="10967">
      <c r="A10967" s="122" t="s">
        <v>36715</v>
      </c>
      <c r="B10967" s="123">
        <v>1754323.0</v>
      </c>
      <c r="C10967" s="687" t="str">
        <f>IFERROR(__xludf.DUMMYFUNCTION("GOOGLEFINANCE(A10967,""name"")"),"#N/A")</f>
        <v>#N/A</v>
      </c>
      <c r="D10967" s="125"/>
    </row>
    <row r="10968">
      <c r="A10968" s="122" t="s">
        <v>36716</v>
      </c>
      <c r="B10968" s="123">
        <v>312070.0</v>
      </c>
      <c r="C10968" s="687" t="str">
        <f>IFERROR(__xludf.DUMMYFUNCTION("GOOGLEFINANCE(A10968,""name"")"),"#N/A")</f>
        <v>#N/A</v>
      </c>
      <c r="D10968" s="125"/>
    </row>
    <row r="10969">
      <c r="A10969" s="122" t="s">
        <v>36717</v>
      </c>
      <c r="B10969" s="123">
        <v>1844149.0</v>
      </c>
      <c r="C10969" s="687" t="str">
        <f>IFERROR(__xludf.DUMMYFUNCTION("GOOGLEFINANCE(A10969,""name"")"),"#N/A")</f>
        <v>#N/A</v>
      </c>
      <c r="D10969" s="125"/>
    </row>
    <row r="10970">
      <c r="A10970" s="122" t="s">
        <v>36718</v>
      </c>
      <c r="B10970" s="123">
        <v>1844149.0</v>
      </c>
      <c r="C10970" s="687" t="str">
        <f>IFERROR(__xludf.DUMMYFUNCTION("GOOGLEFINANCE(A10970,""name"")"),"#N/A")</f>
        <v>#N/A</v>
      </c>
      <c r="D10970" s="125"/>
    </row>
    <row r="10971">
      <c r="A10971" s="122" t="s">
        <v>36719</v>
      </c>
      <c r="B10971" s="123">
        <v>1844149.0</v>
      </c>
      <c r="C10971" s="687" t="str">
        <f>IFERROR(__xludf.DUMMYFUNCTION("GOOGLEFINANCE(A10971,""name"")"),"#N/A")</f>
        <v>#N/A</v>
      </c>
      <c r="D10971" s="125"/>
    </row>
    <row r="10972">
      <c r="A10972" s="122" t="s">
        <v>36720</v>
      </c>
      <c r="B10972" s="123">
        <v>1004980.0</v>
      </c>
      <c r="C10972" s="687" t="str">
        <f>IFERROR(__xludf.DUMMYFUNCTION("GOOGLEFINANCE(A10972,""name"")"),"#N/A")</f>
        <v>#N/A</v>
      </c>
      <c r="D10972" s="125"/>
    </row>
    <row r="10973">
      <c r="A10973" s="122" t="s">
        <v>36721</v>
      </c>
      <c r="B10973" s="123">
        <v>1004980.0</v>
      </c>
      <c r="C10973" s="687" t="str">
        <f>IFERROR(__xludf.DUMMYFUNCTION("GOOGLEFINANCE(A10973,""name"")"),"#N/A")</f>
        <v>#N/A</v>
      </c>
      <c r="D10973" s="125"/>
    </row>
    <row r="10974">
      <c r="A10974" s="122" t="s">
        <v>36722</v>
      </c>
      <c r="B10974" s="123">
        <v>1004980.0</v>
      </c>
      <c r="C10974" s="687" t="str">
        <f>IFERROR(__xludf.DUMMYFUNCTION("GOOGLEFINANCE(A10974,""name"")"),"#N/A")</f>
        <v>#N/A</v>
      </c>
      <c r="D10974" s="125"/>
    </row>
    <row r="10975">
      <c r="A10975" s="122" t="s">
        <v>36723</v>
      </c>
      <c r="B10975" s="123">
        <v>1004980.0</v>
      </c>
      <c r="C10975" s="687" t="str">
        <f>IFERROR(__xludf.DUMMYFUNCTION("GOOGLEFINANCE(A10975,""name"")"),"#N/A")</f>
        <v>#N/A</v>
      </c>
      <c r="D10975" s="125"/>
    </row>
    <row r="10976">
      <c r="A10976" s="122" t="s">
        <v>36724</v>
      </c>
      <c r="B10976" s="123">
        <v>1004980.0</v>
      </c>
      <c r="C10976" s="687" t="str">
        <f>IFERROR(__xludf.DUMMYFUNCTION("GOOGLEFINANCE(A10976,""name"")"),"#N/A")</f>
        <v>#N/A</v>
      </c>
      <c r="D10976" s="125"/>
    </row>
    <row r="10977">
      <c r="A10977" s="122" t="s">
        <v>36725</v>
      </c>
      <c r="B10977" s="123">
        <v>1004980.0</v>
      </c>
      <c r="C10977" s="687" t="str">
        <f>IFERROR(__xludf.DUMMYFUNCTION("GOOGLEFINANCE(A10977,""name"")"),"#N/A")</f>
        <v>#N/A</v>
      </c>
      <c r="D10977" s="125"/>
    </row>
    <row r="10978">
      <c r="A10978" s="122" t="s">
        <v>36726</v>
      </c>
      <c r="B10978" s="123">
        <v>1004980.0</v>
      </c>
      <c r="C10978" s="687" t="str">
        <f>IFERROR(__xludf.DUMMYFUNCTION("GOOGLEFINANCE(A10978,""name"")"),"#N/A")</f>
        <v>#N/A</v>
      </c>
      <c r="D10978" s="125"/>
    </row>
    <row r="10979">
      <c r="A10979" s="122" t="s">
        <v>36727</v>
      </c>
      <c r="B10979" s="123">
        <v>1611052.0</v>
      </c>
      <c r="C10979" s="687" t="str">
        <f>IFERROR(__xludf.DUMMYFUNCTION("GOOGLEFINANCE(A10979,""name"")"),"Procore Technologies Inc")</f>
        <v>Procore Technologies Inc</v>
      </c>
      <c r="D10979" s="125"/>
    </row>
    <row r="10980">
      <c r="A10980" s="122" t="s">
        <v>36728</v>
      </c>
      <c r="B10980" s="123">
        <v>1824993.0</v>
      </c>
      <c r="C10980" s="687" t="str">
        <f>IFERROR(__xludf.DUMMYFUNCTION("GOOGLEFINANCE(A10980,""name"")"),"#N/A")</f>
        <v>#N/A</v>
      </c>
      <c r="D10980" s="125"/>
    </row>
    <row r="10981">
      <c r="A10981" s="122" t="s">
        <v>36729</v>
      </c>
      <c r="B10981" s="123">
        <v>1824993.0</v>
      </c>
      <c r="C10981" s="687" t="str">
        <f>IFERROR(__xludf.DUMMYFUNCTION("GOOGLEFINANCE(A10981,""name"")"),"#N/A")</f>
        <v>#N/A</v>
      </c>
      <c r="D10981" s="125"/>
    </row>
    <row r="10982">
      <c r="A10982" s="122" t="s">
        <v>36730</v>
      </c>
      <c r="B10982" s="123">
        <v>1824993.0</v>
      </c>
      <c r="C10982" s="687" t="str">
        <f>IFERROR(__xludf.DUMMYFUNCTION("GOOGLEFINANCE(A10982,""name"")"),"#N/A")</f>
        <v>#N/A</v>
      </c>
      <c r="D10982" s="125"/>
    </row>
    <row r="10983">
      <c r="A10983" s="122" t="s">
        <v>36731</v>
      </c>
      <c r="B10983" s="123">
        <v>1691337.0</v>
      </c>
      <c r="C10983" s="687" t="str">
        <f>IFERROR(__xludf.DUMMYFUNCTION("GOOGLEFINANCE(A10983,""name"")"),"#N/A")</f>
        <v>#N/A</v>
      </c>
      <c r="D10983" s="125"/>
    </row>
    <row r="10984">
      <c r="A10984" s="122" t="s">
        <v>36732</v>
      </c>
      <c r="B10984" s="123">
        <v>1057083.0</v>
      </c>
      <c r="C10984" s="687" t="str">
        <f>IFERROR(__xludf.DUMMYFUNCTION("GOOGLEFINANCE(A10984,""name"")"),"#N/A")</f>
        <v>#N/A</v>
      </c>
      <c r="D10984" s="125"/>
    </row>
    <row r="10985">
      <c r="A10985" s="122" t="s">
        <v>36733</v>
      </c>
      <c r="B10985" s="123">
        <v>1855751.0</v>
      </c>
      <c r="C10985" s="687" t="str">
        <f>IFERROR(__xludf.DUMMYFUNCTION("GOOGLEFINANCE(A10985,""name"")"),"#N/A")</f>
        <v>#N/A</v>
      </c>
      <c r="D10985" s="125"/>
    </row>
    <row r="10986">
      <c r="A10986" s="122" t="s">
        <v>36734</v>
      </c>
      <c r="B10986" s="123">
        <v>50471.0</v>
      </c>
      <c r="C10986" s="687" t="str">
        <f>IFERROR(__xludf.DUMMYFUNCTION("GOOGLEFINANCE(A10986,""name"")"),"#N/A")</f>
        <v>#N/A</v>
      </c>
      <c r="D10986" s="125"/>
    </row>
    <row r="10987">
      <c r="A10987" s="122" t="s">
        <v>36735</v>
      </c>
      <c r="B10987" s="123">
        <v>77877.0</v>
      </c>
      <c r="C10987" s="687" t="str">
        <f>IFERROR(__xludf.DUMMYFUNCTION("GOOGLEFINANCE(A10987,""name"")"),"#N/A")</f>
        <v>#N/A</v>
      </c>
      <c r="D10987" s="125"/>
    </row>
    <row r="10988">
      <c r="A10988" s="122" t="s">
        <v>36736</v>
      </c>
      <c r="B10988" s="123">
        <v>1841845.0</v>
      </c>
      <c r="C10988" s="687" t="str">
        <f>IFERROR(__xludf.DUMMYFUNCTION("GOOGLEFINANCE(A10988,""name"")"),"#N/A")</f>
        <v>#N/A</v>
      </c>
      <c r="D10988" s="125"/>
    </row>
    <row r="10989">
      <c r="A10989" s="122" t="s">
        <v>36737</v>
      </c>
      <c r="B10989" s="123">
        <v>1841845.0</v>
      </c>
      <c r="C10989" s="687" t="str">
        <f>IFERROR(__xludf.DUMMYFUNCTION("GOOGLEFINANCE(A10989,""name"")"),"#N/A")</f>
        <v>#N/A</v>
      </c>
      <c r="D10989" s="125"/>
    </row>
    <row r="10990">
      <c r="A10990" s="122" t="s">
        <v>36738</v>
      </c>
      <c r="B10990" s="123">
        <v>1841845.0</v>
      </c>
      <c r="C10990" s="687" t="str">
        <f>IFERROR(__xludf.DUMMYFUNCTION("GOOGLEFINANCE(A10990,""name"")"),"#N/A")</f>
        <v>#N/A</v>
      </c>
      <c r="D10990" s="125"/>
    </row>
    <row r="10991">
      <c r="A10991" s="122" t="s">
        <v>36739</v>
      </c>
      <c r="B10991" s="123">
        <v>1472091.0</v>
      </c>
      <c r="C10991" s="687" t="str">
        <f>IFERROR(__xludf.DUMMYFUNCTION("GOOGLEFINANCE(A10991,""name"")"),"PDS Biotechnology Corp")</f>
        <v>PDS Biotechnology Corp</v>
      </c>
      <c r="D10991" s="125"/>
    </row>
    <row r="10992">
      <c r="A10992" s="122" t="s">
        <v>36740</v>
      </c>
      <c r="B10992" s="123">
        <v>1756404.0</v>
      </c>
      <c r="C10992" s="687" t="str">
        <f>IFERROR(__xludf.DUMMYFUNCTION("GOOGLEFINANCE(A10992,""name"")"),"#N/A")</f>
        <v>#N/A</v>
      </c>
      <c r="D10992" s="125"/>
    </row>
    <row r="10993">
      <c r="A10993" s="122" t="s">
        <v>36741</v>
      </c>
      <c r="B10993" s="123">
        <v>1835567.0</v>
      </c>
      <c r="C10993" s="687" t="str">
        <f>IFERROR(__xludf.DUMMYFUNCTION("GOOGLEFINANCE(A10993,""name"")"),"#N/A")</f>
        <v>#N/A</v>
      </c>
      <c r="D10993" s="125"/>
    </row>
    <row r="10994">
      <c r="A10994" s="122" t="s">
        <v>36742</v>
      </c>
      <c r="B10994" s="123">
        <v>1835567.0</v>
      </c>
      <c r="C10994" s="687" t="str">
        <f>IFERROR(__xludf.DUMMYFUNCTION("GOOGLEFINANCE(A10994,""name"")"),"#N/A")</f>
        <v>#N/A</v>
      </c>
      <c r="D10994" s="125"/>
    </row>
    <row r="10995">
      <c r="A10995" s="122" t="s">
        <v>36743</v>
      </c>
      <c r="B10995" s="123">
        <v>1474098.0</v>
      </c>
      <c r="C10995" s="687" t="str">
        <f>IFERROR(__xludf.DUMMYFUNCTION("GOOGLEFINANCE(A10995,""name"")"),"#N/A")</f>
        <v>#N/A</v>
      </c>
      <c r="D10995" s="125"/>
    </row>
    <row r="10996">
      <c r="A10996" s="122" t="s">
        <v>36744</v>
      </c>
      <c r="B10996" s="123">
        <v>1474098.0</v>
      </c>
      <c r="C10996" s="687" t="str">
        <f>IFERROR(__xludf.DUMMYFUNCTION("GOOGLEFINANCE(A10996,""name"")"),"#N/A")</f>
        <v>#N/A</v>
      </c>
      <c r="D10996" s="125"/>
    </row>
    <row r="10997">
      <c r="A10997" s="122" t="s">
        <v>36745</v>
      </c>
      <c r="B10997" s="123">
        <v>1474098.0</v>
      </c>
      <c r="C10997" s="687" t="str">
        <f>IFERROR(__xludf.DUMMYFUNCTION("GOOGLEFINANCE(A10997,""name"")"),"#N/A")</f>
        <v>#N/A</v>
      </c>
      <c r="D10997" s="125"/>
    </row>
    <row r="10998">
      <c r="A10998" s="122" t="s">
        <v>36746</v>
      </c>
      <c r="B10998" s="123">
        <v>1474098.0</v>
      </c>
      <c r="C10998" s="687" t="str">
        <f>IFERROR(__xludf.DUMMYFUNCTION("GOOGLEFINANCE(A10998,""name"")"),"#N/A")</f>
        <v>#N/A</v>
      </c>
      <c r="D10998" s="125"/>
    </row>
    <row r="10999">
      <c r="A10999" s="122" t="s">
        <v>36747</v>
      </c>
      <c r="B10999" s="123">
        <v>77281.0</v>
      </c>
      <c r="C10999" s="687" t="str">
        <f>IFERROR(__xludf.DUMMYFUNCTION("GOOGLEFINANCE(A10999,""name"")"),"#N/A")</f>
        <v>#N/A</v>
      </c>
      <c r="D10999" s="125"/>
    </row>
    <row r="11000">
      <c r="A11000" s="122" t="s">
        <v>36748</v>
      </c>
      <c r="B11000" s="123">
        <v>77281.0</v>
      </c>
      <c r="C11000" s="687" t="str">
        <f>IFERROR(__xludf.DUMMYFUNCTION("GOOGLEFINANCE(A11000,""name"")"),"#N/A")</f>
        <v>#N/A</v>
      </c>
      <c r="D11000" s="125"/>
    </row>
    <row r="11001">
      <c r="A11001" s="122" t="s">
        <v>36749</v>
      </c>
      <c r="B11001" s="123">
        <v>77281.0</v>
      </c>
      <c r="C11001" s="687" t="str">
        <f>IFERROR(__xludf.DUMMYFUNCTION("GOOGLEFINANCE(A11001,""name"")"),"#N/A")</f>
        <v>#N/A</v>
      </c>
      <c r="D11001" s="125"/>
    </row>
    <row r="11002">
      <c r="A11002" s="122" t="s">
        <v>36750</v>
      </c>
      <c r="B11002" s="123">
        <v>1668673.0</v>
      </c>
      <c r="C11002" s="687" t="str">
        <f>IFERROR(__xludf.DUMMYFUNCTION("GOOGLEFINANCE(A11002,""name"")"),"#N/A")</f>
        <v>#N/A</v>
      </c>
      <c r="D11002" s="125"/>
    </row>
    <row r="11003">
      <c r="A11003" s="122" t="s">
        <v>36751</v>
      </c>
      <c r="B11003" s="123">
        <v>867840.0</v>
      </c>
      <c r="C11003" s="687" t="str">
        <f>IFERROR(__xludf.DUMMYFUNCTION("GOOGLEFINANCE(A11003,""name"")"),"#N/A")</f>
        <v>#N/A</v>
      </c>
      <c r="D11003" s="125"/>
    </row>
    <row r="11004">
      <c r="A11004" s="122" t="s">
        <v>36752</v>
      </c>
      <c r="B11004" s="123">
        <v>1688554.0</v>
      </c>
      <c r="C11004" s="687" t="str">
        <f>IFERROR(__xludf.DUMMYFUNCTION("GOOGLEFINANCE(A11004,""name"")"),"#N/A")</f>
        <v>#N/A</v>
      </c>
      <c r="D11004" s="125"/>
    </row>
    <row r="11005">
      <c r="A11005" s="122" t="s">
        <v>36753</v>
      </c>
      <c r="B11005" s="123">
        <v>770460.0</v>
      </c>
      <c r="C11005" s="687" t="str">
        <f>IFERROR(__xludf.DUMMYFUNCTION("GOOGLEFINANCE(A11005,""name"")"),"Peoples Financial Corp")</f>
        <v>Peoples Financial Corp</v>
      </c>
      <c r="D11005" s="125"/>
    </row>
    <row r="11006">
      <c r="A11006" s="122" t="s">
        <v>36754</v>
      </c>
      <c r="B11006" s="123">
        <v>1839132.0</v>
      </c>
      <c r="C11006" s="687" t="str">
        <f>IFERROR(__xludf.DUMMYFUNCTION("GOOGLEFINANCE(A11006,""name"")"),"#N/A")</f>
        <v>#N/A</v>
      </c>
      <c r="D11006" s="125"/>
    </row>
    <row r="11007">
      <c r="A11007" s="122" t="s">
        <v>36755</v>
      </c>
      <c r="B11007" s="123">
        <v>1839132.0</v>
      </c>
      <c r="C11007" s="687" t="str">
        <f>IFERROR(__xludf.DUMMYFUNCTION("GOOGLEFINANCE(A11007,""name"")"),"#N/A")</f>
        <v>#N/A</v>
      </c>
      <c r="D11007" s="125"/>
    </row>
    <row r="11008">
      <c r="A11008" s="122" t="s">
        <v>36756</v>
      </c>
      <c r="B11008" s="123">
        <v>1114446.0</v>
      </c>
      <c r="C11008" s="687" t="str">
        <f>IFERROR(__xludf.DUMMYFUNCTION("GOOGLEFINANCE(A11008,""name"")"),"UBS ETRACS 2xMonthly Pay Leveraged Preferred Stock Index ETN due September 25, 2048")</f>
        <v>UBS ETRACS 2xMonthly Pay Leveraged Preferred Stock Index ETN due September 25, 2048</v>
      </c>
      <c r="D11008" s="125"/>
    </row>
    <row r="11009">
      <c r="A11009" s="122" t="s">
        <v>36757</v>
      </c>
      <c r="B11009" s="123">
        <v>1688554.0</v>
      </c>
      <c r="C11009" s="687" t="str">
        <f>IFERROR(__xludf.DUMMYFUNCTION("GOOGLEFINANCE(A11009,""name"")"),"#N/A")</f>
        <v>#N/A</v>
      </c>
      <c r="D11009" s="125"/>
    </row>
    <row r="11010">
      <c r="A11010" s="122" t="s">
        <v>36758</v>
      </c>
      <c r="B11010" s="123">
        <v>1137774.0</v>
      </c>
      <c r="C11010" s="687" t="str">
        <f>IFERROR(__xludf.DUMMYFUNCTION("GOOGLEFINANCE(A11010,""name"")"),"Prudential Financial 4 125 Junior Subordinated Notes due 2060")</f>
        <v>Prudential Financial 4 125 Junior Subordinated Notes due 2060</v>
      </c>
      <c r="D11010" s="125"/>
    </row>
    <row r="11011">
      <c r="A11011" s="122" t="s">
        <v>36759</v>
      </c>
      <c r="B11011" s="123">
        <v>1881487.0</v>
      </c>
      <c r="C11011" s="687" t="str">
        <f>IFERROR(__xludf.DUMMYFUNCTION("GOOGLEFINANCE(A11011,""name"")"),"#N/A")</f>
        <v>#N/A</v>
      </c>
      <c r="D11011" s="125"/>
    </row>
    <row r="11012">
      <c r="A11012" s="122" t="s">
        <v>36760</v>
      </c>
      <c r="B11012" s="123">
        <v>1630856.0</v>
      </c>
      <c r="C11012" s="687" t="str">
        <f>IFERROR(__xludf.DUMMYFUNCTION("GOOGLEFINANCE(A11012,""name"")"),"#N/A")</f>
        <v>#N/A</v>
      </c>
      <c r="D11012" s="125"/>
    </row>
    <row r="11013">
      <c r="A11013" s="122" t="s">
        <v>36761</v>
      </c>
      <c r="B11013" s="123">
        <v>75340.0</v>
      </c>
      <c r="C11013" s="687" t="str">
        <f>IFERROR(__xludf.DUMMYFUNCTION("GOOGLEFINANCE(A11013,""name"")"),"Picton Income Fund ETF")</f>
        <v>Picton Income Fund ETF</v>
      </c>
      <c r="D11013" s="125"/>
    </row>
    <row r="11014">
      <c r="A11014" s="122" t="s">
        <v>36762</v>
      </c>
      <c r="B11014" s="123">
        <v>1688554.0</v>
      </c>
      <c r="C11014" s="687" t="str">
        <f>IFERROR(__xludf.DUMMYFUNCTION("GOOGLEFINANCE(A11014,""name"")"),"#N/A")</f>
        <v>#N/A</v>
      </c>
      <c r="D11014" s="125"/>
    </row>
    <row r="11015">
      <c r="A11015" s="122" t="s">
        <v>36763</v>
      </c>
      <c r="B11015" s="123">
        <v>1095315.0</v>
      </c>
      <c r="C11015" s="687" t="str">
        <f>IFERROR(__xludf.DUMMYFUNCTION("GOOGLEFINANCE(A11015,""name"")"),"#N/A")</f>
        <v>#N/A</v>
      </c>
      <c r="D11015" s="125"/>
    </row>
    <row r="11016">
      <c r="A11016" s="122" t="s">
        <v>36764</v>
      </c>
      <c r="B11016" s="123">
        <v>1490349.0</v>
      </c>
      <c r="C11016" s="687" t="str">
        <f>IFERROR(__xludf.DUMMYFUNCTION("GOOGLEFINANCE(A11016,""name"")"),"#N/A")</f>
        <v>#N/A</v>
      </c>
      <c r="D11016" s="125"/>
    </row>
    <row r="11017">
      <c r="A11017" s="122" t="s">
        <v>36765</v>
      </c>
      <c r="B11017" s="123">
        <v>1884434.0</v>
      </c>
      <c r="C11017" s="687" t="str">
        <f>IFERROR(__xludf.DUMMYFUNCTION("GOOGLEFINANCE(A11017,""name"")"),"#N/A")</f>
        <v>#N/A</v>
      </c>
      <c r="D11017" s="125"/>
    </row>
    <row r="11018">
      <c r="A11018" s="122" t="s">
        <v>36766</v>
      </c>
      <c r="B11018" s="123">
        <v>1833213.0</v>
      </c>
      <c r="C11018" s="687" t="str">
        <f>IFERROR(__xludf.DUMMYFUNCTION("GOOGLEFINANCE(A11018,""name"")"),"#N/A")</f>
        <v>#N/A</v>
      </c>
      <c r="D11018" s="125"/>
    </row>
    <row r="11019">
      <c r="A11019" s="122" t="s">
        <v>36767</v>
      </c>
      <c r="B11019" s="123">
        <v>1833213.0</v>
      </c>
      <c r="C11019" s="687" t="str">
        <f>IFERROR(__xludf.DUMMYFUNCTION("GOOGLEFINANCE(A11019,""name"")"),"#N/A")</f>
        <v>#N/A</v>
      </c>
      <c r="D11019" s="125"/>
    </row>
    <row r="11020">
      <c r="A11020" s="122" t="s">
        <v>36768</v>
      </c>
      <c r="B11020" s="123">
        <v>1833213.0</v>
      </c>
      <c r="C11020" s="687" t="str">
        <f>IFERROR(__xludf.DUMMYFUNCTION("GOOGLEFINANCE(A11020,""name"")"),"#N/A")</f>
        <v>#N/A</v>
      </c>
      <c r="D11020" s="125"/>
    </row>
    <row r="11021">
      <c r="A11021" s="122" t="s">
        <v>36769</v>
      </c>
      <c r="B11021" s="123">
        <v>1861541.0</v>
      </c>
      <c r="C11021" s="687" t="str">
        <f>IFERROR(__xludf.DUMMYFUNCTION("GOOGLEFINANCE(A11021,""name"")"),"#N/A")</f>
        <v>#N/A</v>
      </c>
      <c r="D11021" s="125"/>
    </row>
    <row r="11022">
      <c r="A11022" s="122" t="s">
        <v>36770</v>
      </c>
      <c r="B11022" s="123">
        <v>1861541.0</v>
      </c>
      <c r="C11022" s="687" t="str">
        <f>IFERROR(__xludf.DUMMYFUNCTION("GOOGLEFINANCE(A11022,""name"")"),"#N/A")</f>
        <v>#N/A</v>
      </c>
      <c r="D11022" s="125"/>
    </row>
    <row r="11023">
      <c r="A11023" s="122" t="s">
        <v>36771</v>
      </c>
      <c r="B11023" s="123">
        <v>1169245.0</v>
      </c>
      <c r="C11023" s="687" t="str">
        <f>IFERROR(__xludf.DUMMYFUNCTION("GOOGLEFINANCE(A11023,""name"")"),"#N/A")</f>
        <v>#N/A</v>
      </c>
      <c r="D11023" s="125"/>
    </row>
    <row r="11024">
      <c r="A11024" s="122" t="s">
        <v>36772</v>
      </c>
      <c r="B11024" s="123">
        <v>1861681.0</v>
      </c>
      <c r="C11024" s="687" t="str">
        <f>IFERROR(__xludf.DUMMYFUNCTION("GOOGLEFINANCE(A11024,""name"")"),"#N/A")</f>
        <v>#N/A</v>
      </c>
      <c r="D11024" s="125"/>
    </row>
    <row r="11025">
      <c r="A11025" s="122" t="s">
        <v>36773</v>
      </c>
      <c r="B11025" s="123">
        <v>1729089.0</v>
      </c>
      <c r="C11025" s="687" t="str">
        <f>IFERROR(__xludf.DUMMYFUNCTION("GOOGLEFINANCE(A11025,""name"")"),"#N/A")</f>
        <v>#N/A</v>
      </c>
      <c r="D11025" s="125"/>
    </row>
    <row r="11026">
      <c r="A11026" s="122" t="s">
        <v>36774</v>
      </c>
      <c r="B11026" s="123">
        <v>1739174.0</v>
      </c>
      <c r="C11026" s="687" t="str">
        <f>IFERROR(__xludf.DUMMYFUNCTION("GOOGLEFINANCE(A11026,""name"")"),"#N/A")</f>
        <v>#N/A</v>
      </c>
      <c r="D11026" s="125"/>
    </row>
    <row r="11027">
      <c r="A11027" s="122" t="s">
        <v>36775</v>
      </c>
      <c r="B11027" s="123">
        <v>1739174.0</v>
      </c>
      <c r="C11027" s="687" t="str">
        <f>IFERROR(__xludf.DUMMYFUNCTION("GOOGLEFINANCE(A11027,""name"")"),"#N/A")</f>
        <v>#N/A</v>
      </c>
      <c r="D11027" s="125"/>
    </row>
    <row r="11028">
      <c r="A11028" s="122" t="s">
        <v>36776</v>
      </c>
      <c r="B11028" s="123">
        <v>1825724.0</v>
      </c>
      <c r="C11028" s="687" t="str">
        <f>IFERROR(__xludf.DUMMYFUNCTION("GOOGLEFINANCE(A11028,""name"")"),"#N/A")</f>
        <v>#N/A</v>
      </c>
      <c r="D11028" s="125"/>
    </row>
    <row r="11029">
      <c r="A11029" s="122" t="s">
        <v>36777</v>
      </c>
      <c r="B11029" s="123">
        <v>1825724.0</v>
      </c>
      <c r="C11029" s="687" t="str">
        <f>IFERROR(__xludf.DUMMYFUNCTION("GOOGLEFINANCE(A11029,""name"")"),"#N/A")</f>
        <v>#N/A</v>
      </c>
      <c r="D11029" s="125"/>
    </row>
    <row r="11030">
      <c r="A11030" s="122" t="s">
        <v>36778</v>
      </c>
      <c r="B11030" s="123">
        <v>1825724.0</v>
      </c>
      <c r="C11030" s="687" t="str">
        <f>IFERROR(__xludf.DUMMYFUNCTION("GOOGLEFINANCE(A11030,""name"")"),"#N/A")</f>
        <v>#N/A</v>
      </c>
      <c r="D11030" s="125"/>
    </row>
    <row r="11031">
      <c r="A11031" s="122" t="s">
        <v>36779</v>
      </c>
      <c r="B11031" s="123">
        <v>1412408.0</v>
      </c>
      <c r="C11031" s="687" t="str">
        <f>IFERROR(__xludf.DUMMYFUNCTION("GOOGLEFINANCE(A11031,""name"")"),"Phreesia Inc")</f>
        <v>Phreesia Inc</v>
      </c>
      <c r="D11031" s="125"/>
    </row>
    <row r="11032">
      <c r="A11032" s="122" t="s">
        <v>36780</v>
      </c>
      <c r="B11032" s="123">
        <v>1665300.0</v>
      </c>
      <c r="C11032" s="687" t="str">
        <f>IFERROR(__xludf.DUMMYFUNCTION("GOOGLEFINANCE(A11032,""name"")"),"#N/A")</f>
        <v>#N/A</v>
      </c>
      <c r="D11032" s="125"/>
    </row>
    <row r="11033">
      <c r="A11033" s="122" t="s">
        <v>36781</v>
      </c>
      <c r="B11033" s="123">
        <v>1848756.0</v>
      </c>
      <c r="C11033" s="687" t="str">
        <f>IFERROR(__xludf.DUMMYFUNCTION("GOOGLEFINANCE(A11033,""name"")"),"#N/A")</f>
        <v>#N/A</v>
      </c>
      <c r="D11033" s="125"/>
    </row>
    <row r="11034">
      <c r="A11034" s="122" t="s">
        <v>36782</v>
      </c>
      <c r="B11034" s="123">
        <v>1848756.0</v>
      </c>
      <c r="C11034" s="687" t="str">
        <f>IFERROR(__xludf.DUMMYFUNCTION("GOOGLEFINANCE(A11034,""name"")"),"#N/A")</f>
        <v>#N/A</v>
      </c>
      <c r="D11034" s="125"/>
    </row>
    <row r="11035">
      <c r="A11035" s="122" t="s">
        <v>36783</v>
      </c>
      <c r="B11035" s="123">
        <v>1819175.0</v>
      </c>
      <c r="C11035" s="687" t="str">
        <f>IFERROR(__xludf.DUMMYFUNCTION("GOOGLEFINANCE(A11035,""name"")"),"#N/A")</f>
        <v>#N/A</v>
      </c>
      <c r="D11035" s="125"/>
    </row>
    <row r="11036">
      <c r="A11036" s="122" t="s">
        <v>36784</v>
      </c>
      <c r="B11036" s="123">
        <v>1819175.0</v>
      </c>
      <c r="C11036" s="687" t="str">
        <f>IFERROR(__xludf.DUMMYFUNCTION("GOOGLEFINANCE(A11036,""name"")"),"#N/A")</f>
        <v>#N/A</v>
      </c>
      <c r="D11036" s="125"/>
    </row>
    <row r="11037">
      <c r="A11037" s="122" t="s">
        <v>36785</v>
      </c>
      <c r="B11037" s="123">
        <v>1819175.0</v>
      </c>
      <c r="C11037" s="687" t="str">
        <f>IFERROR(__xludf.DUMMYFUNCTION("GOOGLEFINANCE(A11037,""name"")"),"#N/A")</f>
        <v>#N/A</v>
      </c>
      <c r="D11037" s="125"/>
    </row>
    <row r="11038">
      <c r="A11038" s="122" t="s">
        <v>36786</v>
      </c>
      <c r="B11038" s="123">
        <v>1835800.0</v>
      </c>
      <c r="C11038" s="687" t="str">
        <f>IFERROR(__xludf.DUMMYFUNCTION("GOOGLEFINANCE(A11038,""name"")"),"#N/A")</f>
        <v>#N/A</v>
      </c>
      <c r="D11038" s="125"/>
    </row>
    <row r="11039">
      <c r="A11039" s="122" t="s">
        <v>36787</v>
      </c>
      <c r="B11039" s="123">
        <v>1835800.0</v>
      </c>
      <c r="C11039" s="687" t="str">
        <f>IFERROR(__xludf.DUMMYFUNCTION("GOOGLEFINANCE(A11039,""name"")"),"#N/A")</f>
        <v>#N/A</v>
      </c>
      <c r="D11039" s="125"/>
    </row>
    <row r="11040">
      <c r="A11040" s="122" t="s">
        <v>36788</v>
      </c>
      <c r="B11040" s="123">
        <v>1835800.0</v>
      </c>
      <c r="C11040" s="687" t="str">
        <f>IFERROR(__xludf.DUMMYFUNCTION("GOOGLEFINANCE(A11040,""name"")"),"#N/A")</f>
        <v>#N/A</v>
      </c>
      <c r="D11040" s="125"/>
    </row>
    <row r="11041">
      <c r="A11041" s="122" t="s">
        <v>36789</v>
      </c>
      <c r="B11041" s="123">
        <v>1841644.0</v>
      </c>
      <c r="C11041" s="687" t="str">
        <f>IFERROR(__xludf.DUMMYFUNCTION("GOOGLEFINANCE(A11041,""name"")"),"#N/A")</f>
        <v>#N/A</v>
      </c>
      <c r="D11041" s="125"/>
    </row>
    <row r="11042">
      <c r="A11042" s="122" t="s">
        <v>36790</v>
      </c>
      <c r="B11042" s="123">
        <v>1557265.0</v>
      </c>
      <c r="C11042" s="687" t="str">
        <f>IFERROR(__xludf.DUMMYFUNCTION("GOOGLEFINANCE(A11042,""name"")"),"#N/A")</f>
        <v>#N/A</v>
      </c>
      <c r="D11042" s="125"/>
    </row>
    <row r="11043">
      <c r="A11043" s="122" t="s">
        <v>36791</v>
      </c>
      <c r="B11043" s="123">
        <v>1679826.0</v>
      </c>
      <c r="C11043" s="687" t="str">
        <f>IFERROR(__xludf.DUMMYFUNCTION("GOOGLEFINANCE(A11043,""name"")"),"#N/A")</f>
        <v>#N/A</v>
      </c>
      <c r="D11043" s="125"/>
    </row>
    <row r="11044">
      <c r="A11044" s="122" t="s">
        <v>36792</v>
      </c>
      <c r="B11044" s="123">
        <v>1822835.0</v>
      </c>
      <c r="C11044" s="687" t="str">
        <f>IFERROR(__xludf.DUMMYFUNCTION("GOOGLEFINANCE(A11044,""name"")"),"#N/A")</f>
        <v>#N/A</v>
      </c>
      <c r="D11044" s="125"/>
    </row>
    <row r="11045">
      <c r="A11045" s="122" t="s">
        <v>36793</v>
      </c>
      <c r="B11045" s="123">
        <v>1822835.0</v>
      </c>
      <c r="C11045" s="687" t="str">
        <f>IFERROR(__xludf.DUMMYFUNCTION("GOOGLEFINANCE(A11045,""name"")"),"#N/A")</f>
        <v>#N/A</v>
      </c>
      <c r="D11045" s="125"/>
    </row>
    <row r="11046">
      <c r="A11046" s="122" t="s">
        <v>36794</v>
      </c>
      <c r="B11046" s="123">
        <v>1657642.0</v>
      </c>
      <c r="C11046" s="687" t="str">
        <f>IFERROR(__xludf.DUMMYFUNCTION("GOOGLEFINANCE(A11046,""name"")"),"#N/A")</f>
        <v>#N/A</v>
      </c>
      <c r="D11046" s="125"/>
    </row>
    <row r="11047">
      <c r="A11047" s="122" t="s">
        <v>36795</v>
      </c>
      <c r="B11047" s="123">
        <v>1836833.0</v>
      </c>
      <c r="C11047" s="687" t="str">
        <f>IFERROR(__xludf.DUMMYFUNCTION("GOOGLEFINANCE(A11047,""name"")"),"#N/A")</f>
        <v>#N/A</v>
      </c>
      <c r="D11047" s="125"/>
    </row>
    <row r="11048">
      <c r="A11048" s="122" t="s">
        <v>36796</v>
      </c>
      <c r="B11048" s="123">
        <v>1728205.0</v>
      </c>
      <c r="C11048" s="687" t="str">
        <f>IFERROR(__xludf.DUMMYFUNCTION("GOOGLEFINANCE(A11048,""name"")"),"Prudential Financial Inc")</f>
        <v>Prudential Financial Inc</v>
      </c>
      <c r="D11048" s="125"/>
    </row>
    <row r="11049">
      <c r="A11049" s="122" t="s">
        <v>36797</v>
      </c>
      <c r="B11049" s="123">
        <v>866028.0</v>
      </c>
      <c r="C11049" s="687" t="str">
        <f>IFERROR(__xludf.DUMMYFUNCTION("GOOGLEFINANCE(A11049,""name"")"),"#N/A")</f>
        <v>#N/A</v>
      </c>
      <c r="D11049" s="125"/>
    </row>
    <row r="11050">
      <c r="A11050" s="122" t="s">
        <v>36798</v>
      </c>
      <c r="B11050" s="123">
        <v>1813452.0</v>
      </c>
      <c r="C11050" s="687" t="str">
        <f>IFERROR(__xludf.DUMMYFUNCTION("GOOGLEFINANCE(A11050,""name"")"),"#N/A")</f>
        <v>#N/A</v>
      </c>
      <c r="D11050" s="125"/>
    </row>
    <row r="11051">
      <c r="A11051" s="122" t="s">
        <v>36799</v>
      </c>
      <c r="B11051" s="123">
        <v>1637207.0</v>
      </c>
      <c r="C11051" s="687" t="str">
        <f>IFERROR(__xludf.DUMMYFUNCTION("GOOGLEFINANCE(A11051,""name"")"),"Planet Fitness Inc")</f>
        <v>Planet Fitness Inc</v>
      </c>
      <c r="D11051" s="125"/>
    </row>
    <row r="11052">
      <c r="A11052" s="122" t="s">
        <v>36800</v>
      </c>
      <c r="B11052" s="123">
        <v>1287213.0</v>
      </c>
      <c r="C11052" s="687" t="str">
        <f>IFERROR(__xludf.DUMMYFUNCTION("GOOGLEFINANCE(A11052,""name"")"),"Douglas Dynamics Inc")</f>
        <v>Douglas Dynamics Inc</v>
      </c>
      <c r="D11052" s="125"/>
    </row>
    <row r="11053">
      <c r="A11053" s="122" t="s">
        <v>36801</v>
      </c>
      <c r="B11053" s="123">
        <v>80035.0</v>
      </c>
      <c r="C11053" s="687" t="str">
        <f>IFERROR(__xludf.DUMMYFUNCTION("GOOGLEFINANCE(A11053,""name"")"),"Preformed Line Products Co")</f>
        <v>Preformed Line Products Co</v>
      </c>
      <c r="D11053" s="125"/>
    </row>
    <row r="11054">
      <c r="A11054" s="122" t="s">
        <v>36802</v>
      </c>
      <c r="B11054" s="123">
        <v>1639142.0</v>
      </c>
      <c r="C11054" s="687" t="str">
        <f>IFERROR(__xludf.DUMMYFUNCTION("GOOGLEFINANCE(A11054,""name"")"),"#N/A")</f>
        <v>#N/A</v>
      </c>
      <c r="D11054" s="125"/>
    </row>
    <row r="11055">
      <c r="A11055" s="122" t="s">
        <v>36803</v>
      </c>
      <c r="B11055" s="123">
        <v>1493212.0</v>
      </c>
      <c r="C11055" s="687" t="str">
        <f>IFERROR(__xludf.DUMMYFUNCTION("GOOGLEFINANCE(A11055,""name"")"),"#N/A")</f>
        <v>#N/A</v>
      </c>
      <c r="D11055" s="125"/>
    </row>
    <row r="11056">
      <c r="A11056" s="122" t="s">
        <v>36804</v>
      </c>
      <c r="B11056" s="123">
        <v>1497504.0</v>
      </c>
      <c r="C11056" s="687" t="str">
        <f>IFERROR(__xludf.DUMMYFUNCTION("GOOGLEFINANCE(A11056,""name"")"),"#N/A")</f>
        <v>#N/A</v>
      </c>
      <c r="D11056" s="125"/>
    </row>
    <row r="11057">
      <c r="A11057" s="122" t="s">
        <v>36805</v>
      </c>
      <c r="B11057" s="123">
        <v>1515816.0</v>
      </c>
      <c r="C11057" s="687" t="str">
        <f>IFERROR(__xludf.DUMMYFUNCTION("GOOGLEFINANCE(A11057,""name"")"),"#N/A")</f>
        <v>#N/A</v>
      </c>
      <c r="D11057" s="125"/>
    </row>
    <row r="11058">
      <c r="A11058" s="122" t="s">
        <v>36806</v>
      </c>
      <c r="B11058" s="123">
        <v>1870068.0</v>
      </c>
      <c r="C11058" s="687" t="str">
        <f>IFERROR(__xludf.DUMMYFUNCTION("GOOGLEFINANCE(A11058,""name"")"),"#N/A")</f>
        <v>#N/A</v>
      </c>
      <c r="D11058" s="125"/>
    </row>
    <row r="11059">
      <c r="A11059" s="122" t="s">
        <v>36807</v>
      </c>
      <c r="B11059" s="123">
        <v>1723701.0</v>
      </c>
      <c r="C11059" s="687" t="str">
        <f>IFERROR(__xludf.DUMMYFUNCTION("GOOGLEFINANCE(A11059,""name"")"),"#N/A")</f>
        <v>#N/A</v>
      </c>
      <c r="D11059" s="125"/>
    </row>
    <row r="11060">
      <c r="A11060" s="122" t="s">
        <v>36808</v>
      </c>
      <c r="B11060" s="123">
        <v>1723701.0</v>
      </c>
      <c r="C11060" s="687" t="str">
        <f>IFERROR(__xludf.DUMMYFUNCTION("GOOGLEFINANCE(A11060,""name"")"),"#N/A")</f>
        <v>#N/A</v>
      </c>
      <c r="D11060" s="125"/>
    </row>
    <row r="11061">
      <c r="A11061" s="122" t="s">
        <v>36809</v>
      </c>
      <c r="B11061" s="123">
        <v>1464423.0</v>
      </c>
      <c r="C11061" s="687" t="str">
        <f>IFERROR(__xludf.DUMMYFUNCTION("GOOGLEFINANCE(A11061,""name"")"),"#N/A")</f>
        <v>#N/A</v>
      </c>
      <c r="D11061" s="125"/>
    </row>
    <row r="11062">
      <c r="A11062" s="122" t="s">
        <v>36810</v>
      </c>
      <c r="B11062" s="123">
        <v>1464423.0</v>
      </c>
      <c r="C11062" s="687" t="str">
        <f>IFERROR(__xludf.DUMMYFUNCTION("GOOGLEFINANCE(A11062,""name"")"),"#N/A")</f>
        <v>#N/A</v>
      </c>
      <c r="D11062" s="125"/>
    </row>
    <row r="11063">
      <c r="A11063" s="122" t="s">
        <v>36811</v>
      </c>
      <c r="B11063" s="123">
        <v>1464423.0</v>
      </c>
      <c r="C11063" s="687" t="str">
        <f>IFERROR(__xludf.DUMMYFUNCTION("GOOGLEFINANCE(A11063,""name"")"),"#N/A")</f>
        <v>#N/A</v>
      </c>
      <c r="D11063" s="125"/>
    </row>
    <row r="11064">
      <c r="A11064" s="122" t="s">
        <v>36812</v>
      </c>
      <c r="B11064" s="123">
        <v>1718271.0</v>
      </c>
      <c r="C11064" s="687" t="str">
        <f>IFERROR(__xludf.DUMMYFUNCTION("GOOGLEFINANCE(A11064,""name"")"),"#N/A")</f>
        <v>#N/A</v>
      </c>
      <c r="D11064" s="125"/>
    </row>
    <row r="11065">
      <c r="A11065" s="122" t="s">
        <v>36813</v>
      </c>
      <c r="B11065" s="123">
        <v>1807765.0</v>
      </c>
      <c r="C11065" s="687" t="str">
        <f>IFERROR(__xludf.DUMMYFUNCTION("GOOGLEFINANCE(A11065,""name"")"),"#N/A")</f>
        <v>#N/A</v>
      </c>
      <c r="D11065" s="125"/>
    </row>
    <row r="11066">
      <c r="A11066" s="122" t="s">
        <v>36814</v>
      </c>
      <c r="B11066" s="123">
        <v>1807765.0</v>
      </c>
      <c r="C11066" s="687" t="str">
        <f>IFERROR(__xludf.DUMMYFUNCTION("GOOGLEFINANCE(A11066,""name"")"),"#N/A")</f>
        <v>#N/A</v>
      </c>
      <c r="D11066" s="125"/>
    </row>
    <row r="11067">
      <c r="A11067" s="122" t="s">
        <v>36815</v>
      </c>
      <c r="B11067" s="123">
        <v>1807765.0</v>
      </c>
      <c r="C11067" s="687" t="str">
        <f>IFERROR(__xludf.DUMMYFUNCTION("GOOGLEFINANCE(A11067,""name"")"),"#N/A")</f>
        <v>#N/A</v>
      </c>
      <c r="D11067" s="125"/>
    </row>
    <row r="11068">
      <c r="A11068" s="122" t="s">
        <v>36816</v>
      </c>
      <c r="B11068" s="123">
        <v>1858180.0</v>
      </c>
      <c r="C11068" s="687" t="str">
        <f>IFERROR(__xludf.DUMMYFUNCTION("GOOGLEFINANCE(A11068,""name"")"),"#N/A")</f>
        <v>#N/A</v>
      </c>
      <c r="D11068" s="125"/>
    </row>
    <row r="11069">
      <c r="A11069" s="122" t="s">
        <v>36817</v>
      </c>
      <c r="B11069" s="123">
        <v>1858180.0</v>
      </c>
      <c r="C11069" s="687" t="str">
        <f>IFERROR(__xludf.DUMMYFUNCTION("GOOGLEFINANCE(A11069,""name"")"),"#N/A")</f>
        <v>#N/A</v>
      </c>
      <c r="D11069" s="125"/>
    </row>
    <row r="11070">
      <c r="A11070" s="122" t="s">
        <v>36818</v>
      </c>
      <c r="B11070" s="123">
        <v>1858180.0</v>
      </c>
      <c r="C11070" s="687" t="str">
        <f>IFERROR(__xludf.DUMMYFUNCTION("GOOGLEFINANCE(A11070,""name"")"),"#N/A")</f>
        <v>#N/A</v>
      </c>
      <c r="D11070" s="125"/>
    </row>
    <row r="11071">
      <c r="A11071" s="122" t="s">
        <v>36819</v>
      </c>
      <c r="B11071" s="123">
        <v>1858180.0</v>
      </c>
      <c r="C11071" s="687" t="str">
        <f>IFERROR(__xludf.DUMMYFUNCTION("GOOGLEFINANCE(A11071,""name"")"),"#N/A")</f>
        <v>#N/A</v>
      </c>
      <c r="D11071" s="125"/>
    </row>
    <row r="11072">
      <c r="A11072" s="122" t="s">
        <v>36820</v>
      </c>
      <c r="B11072" s="123">
        <v>713676.0</v>
      </c>
      <c r="C11072" s="687" t="str">
        <f>IFERROR(__xludf.DUMMYFUNCTION("GOOGLEFINANCE(A11072,""name"")"),"#N/A")</f>
        <v>#N/A</v>
      </c>
      <c r="D11072" s="125"/>
    </row>
    <row r="11073">
      <c r="A11073" s="122" t="s">
        <v>36821</v>
      </c>
      <c r="B11073" s="123">
        <v>1830392.0</v>
      </c>
      <c r="C11073" s="687" t="str">
        <f>IFERROR(__xludf.DUMMYFUNCTION("GOOGLEFINANCE(A11073,""name"")"),"#N/A")</f>
        <v>#N/A</v>
      </c>
      <c r="D11073" s="125"/>
    </row>
    <row r="11074">
      <c r="A11074" s="122" t="s">
        <v>36822</v>
      </c>
      <c r="B11074" s="123">
        <v>1830392.0</v>
      </c>
      <c r="C11074" s="687" t="str">
        <f>IFERROR(__xludf.DUMMYFUNCTION("GOOGLEFINANCE(A11074,""name"")"),"#N/A")</f>
        <v>#N/A</v>
      </c>
      <c r="D11074" s="125"/>
    </row>
    <row r="11075">
      <c r="A11075" s="122" t="s">
        <v>36823</v>
      </c>
      <c r="B11075" s="123">
        <v>1830392.0</v>
      </c>
      <c r="C11075" s="687" t="str">
        <f>IFERROR(__xludf.DUMMYFUNCTION("GOOGLEFINANCE(A11075,""name"")"),"#N/A")</f>
        <v>#N/A</v>
      </c>
      <c r="D11075" s="125"/>
    </row>
    <row r="11076">
      <c r="A11076" s="122" t="s">
        <v>36824</v>
      </c>
      <c r="B11076" s="123">
        <v>1689448.0</v>
      </c>
      <c r="C11076" s="687" t="str">
        <f>IFERROR(__xludf.DUMMYFUNCTION("GOOGLEFINANCE(A11076,""name"")"),"#N/A")</f>
        <v>#N/A</v>
      </c>
      <c r="D11076" s="125"/>
    </row>
    <row r="11077">
      <c r="A11077" s="122" t="s">
        <v>36825</v>
      </c>
      <c r="B11077" s="123">
        <v>1810140.0</v>
      </c>
      <c r="C11077" s="687" t="str">
        <f>IFERROR(__xludf.DUMMYFUNCTION("GOOGLEFINANCE(A11077,""name"")"),"#N/A")</f>
        <v>#N/A</v>
      </c>
      <c r="D11077" s="125"/>
    </row>
    <row r="11078">
      <c r="A11078" s="122" t="s">
        <v>36826</v>
      </c>
      <c r="B11078" s="123">
        <v>914025.0</v>
      </c>
      <c r="C11078" s="687" t="str">
        <f>IFERROR(__xludf.DUMMYFUNCTION("GOOGLEFINANCE(A11078,""name"")"),"#N/A")</f>
        <v>#N/A</v>
      </c>
      <c r="D11078" s="125"/>
    </row>
    <row r="11079">
      <c r="A11079" s="122" t="s">
        <v>36827</v>
      </c>
      <c r="B11079" s="123">
        <v>1842430.0</v>
      </c>
      <c r="C11079" s="687" t="str">
        <f>IFERROR(__xludf.DUMMYFUNCTION("GOOGLEFINANCE(A11079,""name"")"),"#N/A")</f>
        <v>#N/A</v>
      </c>
      <c r="D11079" s="125"/>
    </row>
    <row r="11080">
      <c r="A11080" s="122" t="s">
        <v>36828</v>
      </c>
      <c r="B11080" s="123">
        <v>1855631.0</v>
      </c>
      <c r="C11080" s="687" t="str">
        <f>IFERROR(__xludf.DUMMYFUNCTION("GOOGLEFINANCE(A11080,""name"")"),"#N/A")</f>
        <v>#N/A</v>
      </c>
      <c r="D11080" s="125"/>
    </row>
    <row r="11081">
      <c r="A11081" s="122" t="s">
        <v>36829</v>
      </c>
      <c r="B11081" s="123">
        <v>1855631.0</v>
      </c>
      <c r="C11081" s="687" t="str">
        <f>IFERROR(__xludf.DUMMYFUNCTION("GOOGLEFINANCE(A11081,""name"")"),"#N/A")</f>
        <v>#N/A</v>
      </c>
      <c r="D11081" s="125"/>
    </row>
    <row r="11082">
      <c r="A11082" s="122" t="s">
        <v>36830</v>
      </c>
      <c r="B11082" s="123">
        <v>1865200.0</v>
      </c>
      <c r="C11082" s="687" t="str">
        <f>IFERROR(__xludf.DUMMYFUNCTION("GOOGLEFINANCE(A11082,""name"")"),"#N/A")</f>
        <v>#N/A</v>
      </c>
      <c r="D11082" s="125"/>
    </row>
    <row r="11083">
      <c r="A11083" s="122" t="s">
        <v>36831</v>
      </c>
      <c r="B11083" s="123">
        <v>1865200.0</v>
      </c>
      <c r="C11083" s="687" t="str">
        <f>IFERROR(__xludf.DUMMYFUNCTION("GOOGLEFINANCE(A11083,""name"")"),"#N/A")</f>
        <v>#N/A</v>
      </c>
      <c r="D11083" s="125"/>
    </row>
    <row r="11084">
      <c r="A11084" s="122" t="s">
        <v>36832</v>
      </c>
      <c r="B11084" s="123">
        <v>1825480.0</v>
      </c>
      <c r="C11084" s="687" t="str">
        <f>IFERROR(__xludf.DUMMYFUNCTION("GOOGLEFINANCE(A11084,""name"")"),"#N/A")</f>
        <v>#N/A</v>
      </c>
      <c r="D11084" s="125"/>
    </row>
    <row r="11085">
      <c r="A11085" s="122" t="s">
        <v>36833</v>
      </c>
      <c r="B11085" s="123">
        <v>1746563.0</v>
      </c>
      <c r="C11085" s="687" t="str">
        <f>IFERROR(__xludf.DUMMYFUNCTION("GOOGLEFINANCE(A11085,""name"")"),"#N/A")</f>
        <v>#N/A</v>
      </c>
      <c r="D11085" s="125"/>
    </row>
    <row r="11086">
      <c r="A11086" s="122" t="s">
        <v>36834</v>
      </c>
      <c r="B11086" s="123">
        <v>1829427.0</v>
      </c>
      <c r="C11086" s="687" t="str">
        <f>IFERROR(__xludf.DUMMYFUNCTION("GOOGLEFINANCE(A11086,""name"")"),"#N/A")</f>
        <v>#N/A</v>
      </c>
      <c r="D11086" s="125"/>
    </row>
    <row r="11087">
      <c r="A11087" s="122" t="s">
        <v>36835</v>
      </c>
      <c r="B11087" s="123">
        <v>1829427.0</v>
      </c>
      <c r="C11087" s="687" t="str">
        <f>IFERROR(__xludf.DUMMYFUNCTION("GOOGLEFINANCE(A11087,""name"")"),"#N/A")</f>
        <v>#N/A</v>
      </c>
      <c r="D11087" s="125"/>
    </row>
    <row r="11088">
      <c r="A11088" s="122" t="s">
        <v>36836</v>
      </c>
      <c r="B11088" s="123">
        <v>1031233.0</v>
      </c>
      <c r="C11088" s="687" t="str">
        <f>IFERROR(__xludf.DUMMYFUNCTION("GOOGLEFINANCE(A11088,""name"")"),"Pinnacle Bankshares Corp")</f>
        <v>Pinnacle Bankshares Corp</v>
      </c>
      <c r="D11088" s="125"/>
    </row>
    <row r="11089">
      <c r="A11089" s="122" t="s">
        <v>36837</v>
      </c>
      <c r="B11089" s="123">
        <v>1614744.0</v>
      </c>
      <c r="C11089" s="687" t="str">
        <f>IFERROR(__xludf.DUMMYFUNCTION("GOOGLEFINANCE(A11089,""name"")"),"Purple Biotech Ltd - ADR")</f>
        <v>Purple Biotech Ltd - ADR</v>
      </c>
      <c r="D11089" s="125"/>
    </row>
    <row r="11090">
      <c r="A11090" s="122" t="s">
        <v>36838</v>
      </c>
      <c r="B11090" s="123">
        <v>1517681.0</v>
      </c>
      <c r="C11090" s="687" t="str">
        <f>IFERROR(__xludf.DUMMYFUNCTION("GOOGLEFINANCE(A11090,""name"")"),"Propanc Biopharma Inc")</f>
        <v>Propanc Biopharma Inc</v>
      </c>
      <c r="D11090" s="125"/>
    </row>
    <row r="11091">
      <c r="A11091" s="122" t="s">
        <v>36839</v>
      </c>
      <c r="B11091" s="123">
        <v>1848165.0</v>
      </c>
      <c r="C11091" s="687" t="str">
        <f>IFERROR(__xludf.DUMMYFUNCTION("GOOGLEFINANCE(A11091,""name"")"),"#N/A")</f>
        <v>#N/A</v>
      </c>
      <c r="D11091" s="125"/>
    </row>
    <row r="11092">
      <c r="A11092" s="122" t="s">
        <v>36840</v>
      </c>
      <c r="B11092" s="123">
        <v>1848165.0</v>
      </c>
      <c r="C11092" s="687" t="str">
        <f>IFERROR(__xludf.DUMMYFUNCTION("GOOGLEFINANCE(A11092,""name"")"),"#N/A")</f>
        <v>#N/A</v>
      </c>
      <c r="D11092" s="125"/>
    </row>
    <row r="11093">
      <c r="A11093" s="122" t="s">
        <v>36841</v>
      </c>
      <c r="B11093" s="123">
        <v>1848165.0</v>
      </c>
      <c r="C11093" s="687" t="str">
        <f>IFERROR(__xludf.DUMMYFUNCTION("GOOGLEFINANCE(A11093,""name"")"),"#N/A")</f>
        <v>#N/A</v>
      </c>
      <c r="D11093" s="125"/>
    </row>
    <row r="11094">
      <c r="A11094" s="122" t="s">
        <v>36842</v>
      </c>
      <c r="B11094" s="123">
        <v>1568905.0</v>
      </c>
      <c r="C11094" s="687" t="str">
        <f>IFERROR(__xludf.DUMMYFUNCTION("GOOGLEFINANCE(A11094,""name"")"),"#N/A")</f>
        <v>#N/A</v>
      </c>
      <c r="D11094" s="125"/>
    </row>
    <row r="11095">
      <c r="A11095" s="122" t="s">
        <v>36843</v>
      </c>
      <c r="B11095" s="123">
        <v>1822711.0</v>
      </c>
      <c r="C11095" s="687" t="str">
        <f>IFERROR(__xludf.DUMMYFUNCTION("GOOGLEFINANCE(A11095,""name"")"),"#N/A")</f>
        <v>#N/A</v>
      </c>
      <c r="D11095" s="125"/>
    </row>
    <row r="11096">
      <c r="A11096" s="122" t="s">
        <v>36844</v>
      </c>
      <c r="B11096" s="123">
        <v>1527249.0</v>
      </c>
      <c r="C11096" s="687" t="str">
        <f>IFERROR(__xludf.DUMMYFUNCTION("GOOGLEFINANCE(A11096,""name"")"),"Prada Spa Unsponsored Italy ADR")</f>
        <v>Prada Spa Unsponsored Italy ADR</v>
      </c>
      <c r="D11096" s="125"/>
    </row>
    <row r="11097">
      <c r="A11097" s="122" t="s">
        <v>36845</v>
      </c>
      <c r="B11097" s="123">
        <v>1853232.0</v>
      </c>
      <c r="C11097" s="687" t="str">
        <f>IFERROR(__xludf.DUMMYFUNCTION("GOOGLEFINANCE(A11097,""name"")"),"#N/A")</f>
        <v>#N/A</v>
      </c>
      <c r="D11097" s="125"/>
    </row>
    <row r="11098">
      <c r="A11098" s="122" t="s">
        <v>36846</v>
      </c>
      <c r="B11098" s="123">
        <v>911421.0</v>
      </c>
      <c r="C11098" s="687" t="str">
        <f>IFERROR(__xludf.DUMMYFUNCTION("GOOGLEFINANCE(A11098,""name"")"),"#N/A")</f>
        <v>#N/A</v>
      </c>
      <c r="D11098" s="125"/>
    </row>
    <row r="11099">
      <c r="A11099" s="122" t="s">
        <v>36847</v>
      </c>
      <c r="B11099" s="123">
        <v>1554625.0</v>
      </c>
      <c r="C11099" s="687" t="str">
        <f>IFERROR(__xludf.DUMMYFUNCTION("GOOGLEFINANCE(A11099,""name"")"),"#N/A")</f>
        <v>#N/A</v>
      </c>
      <c r="D11099" s="125"/>
    </row>
    <row r="11100">
      <c r="A11100" s="122" t="s">
        <v>36848</v>
      </c>
      <c r="B11100" s="123">
        <v>1554625.0</v>
      </c>
      <c r="C11100" s="687" t="str">
        <f>IFERROR(__xludf.DUMMYFUNCTION("GOOGLEFINANCE(A11100,""name"")"),"#N/A")</f>
        <v>#N/A</v>
      </c>
      <c r="D11100" s="125"/>
    </row>
    <row r="11101">
      <c r="A11101" s="122" t="s">
        <v>36849</v>
      </c>
      <c r="B11101" s="123">
        <v>1554625.0</v>
      </c>
      <c r="C11101" s="687" t="str">
        <f>IFERROR(__xludf.DUMMYFUNCTION("GOOGLEFINANCE(A11101,""name"")"),"#N/A")</f>
        <v>#N/A</v>
      </c>
      <c r="D11101" s="125"/>
    </row>
    <row r="11102">
      <c r="A11102" s="122" t="s">
        <v>36850</v>
      </c>
      <c r="B11102" s="123">
        <v>1554625.0</v>
      </c>
      <c r="C11102" s="687" t="str">
        <f>IFERROR(__xludf.DUMMYFUNCTION("GOOGLEFINANCE(A11102,""name"")"),"#N/A")</f>
        <v>#N/A</v>
      </c>
      <c r="D11102" s="125"/>
    </row>
    <row r="11103">
      <c r="A11103" s="122" t="s">
        <v>36851</v>
      </c>
      <c r="B11103" s="123">
        <v>1554625.0</v>
      </c>
      <c r="C11103" s="687" t="str">
        <f>IFERROR(__xludf.DUMMYFUNCTION("GOOGLEFINANCE(A11103,""name"")"),"#N/A")</f>
        <v>#N/A</v>
      </c>
      <c r="D11103" s="125"/>
    </row>
    <row r="11104">
      <c r="A11104" s="122" t="s">
        <v>36852</v>
      </c>
      <c r="B11104" s="123">
        <v>1554625.0</v>
      </c>
      <c r="C11104" s="687" t="str">
        <f>IFERROR(__xludf.DUMMYFUNCTION("GOOGLEFINANCE(A11104,""name"")"),"#N/A")</f>
        <v>#N/A</v>
      </c>
      <c r="D11104" s="125"/>
    </row>
    <row r="11105">
      <c r="A11105" s="122" t="s">
        <v>36853</v>
      </c>
      <c r="B11105" s="123">
        <v>1554625.0</v>
      </c>
      <c r="C11105" s="687" t="str">
        <f>IFERROR(__xludf.DUMMYFUNCTION("GOOGLEFINANCE(A11105,""name"")"),"#N/A")</f>
        <v>#N/A</v>
      </c>
      <c r="D11105" s="125"/>
    </row>
    <row r="11106">
      <c r="A11106" s="122" t="s">
        <v>36854</v>
      </c>
      <c r="B11106" s="123">
        <v>1554625.0</v>
      </c>
      <c r="C11106" s="687" t="str">
        <f>IFERROR(__xludf.DUMMYFUNCTION("GOOGLEFINANCE(A11106,""name"")"),"#N/A")</f>
        <v>#N/A</v>
      </c>
      <c r="D11106" s="125"/>
    </row>
    <row r="11107">
      <c r="A11107" s="122" t="s">
        <v>36855</v>
      </c>
      <c r="B11107" s="123">
        <v>1557265.0</v>
      </c>
      <c r="C11107" s="687" t="str">
        <f>IFERROR(__xludf.DUMMYFUNCTION("GOOGLEFINANCE(A11107,""name"")"),"#N/A")</f>
        <v>#N/A</v>
      </c>
      <c r="D11107" s="125"/>
    </row>
    <row r="11108">
      <c r="A11108" s="122" t="s">
        <v>36856</v>
      </c>
      <c r="B11108" s="123">
        <v>1557265.0</v>
      </c>
      <c r="C11108" s="687" t="str">
        <f>IFERROR(__xludf.DUMMYFUNCTION("GOOGLEFINANCE(A11108,""name"")"),"#N/A")</f>
        <v>#N/A</v>
      </c>
      <c r="D11108" s="125"/>
    </row>
    <row r="11109">
      <c r="A11109" s="122" t="s">
        <v>36857</v>
      </c>
      <c r="B11109" s="123">
        <v>1880319.0</v>
      </c>
      <c r="C11109" s="687" t="str">
        <f>IFERROR(__xludf.DUMMYFUNCTION("GOOGLEFINANCE(A11109,""name"")"),"#N/A")</f>
        <v>#N/A</v>
      </c>
      <c r="D11109" s="125"/>
    </row>
    <row r="11110">
      <c r="A11110" s="122" t="s">
        <v>36858</v>
      </c>
      <c r="B11110" s="123">
        <v>1748669.0</v>
      </c>
      <c r="C11110" s="687" t="str">
        <f>IFERROR(__xludf.DUMMYFUNCTION("GOOGLEFINANCE(A11110,""name"")"),"#N/A")</f>
        <v>#N/A</v>
      </c>
      <c r="D11110" s="125"/>
    </row>
    <row r="11111">
      <c r="A11111" s="122" t="s">
        <v>36859</v>
      </c>
      <c r="B11111" s="123">
        <v>1932777.0</v>
      </c>
      <c r="C11111" s="687" t="str">
        <f>IFERROR(__xludf.DUMMYFUNCTION("GOOGLEFINANCE(A11111,""name"")"),"#N/A")</f>
        <v>#N/A</v>
      </c>
      <c r="D11111" s="125"/>
    </row>
    <row r="11112">
      <c r="A11112" s="122" t="s">
        <v>36860</v>
      </c>
      <c r="B11112" s="123">
        <v>1821329.0</v>
      </c>
      <c r="C11112" s="687" t="str">
        <f>IFERROR(__xludf.DUMMYFUNCTION("GOOGLEFINANCE(A11112,""name"")"),"#N/A")</f>
        <v>#N/A</v>
      </c>
      <c r="D11112" s="125"/>
    </row>
    <row r="11113">
      <c r="A11113" s="122" t="s">
        <v>36861</v>
      </c>
      <c r="B11113" s="123">
        <v>1821329.0</v>
      </c>
      <c r="C11113" s="687" t="str">
        <f>IFERROR(__xludf.DUMMYFUNCTION("GOOGLEFINANCE(A11113,""name"")"),"#N/A")</f>
        <v>#N/A</v>
      </c>
      <c r="D11113" s="125"/>
    </row>
    <row r="11114">
      <c r="A11114" s="122" t="s">
        <v>36862</v>
      </c>
      <c r="B11114" s="123">
        <v>1821329.0</v>
      </c>
      <c r="C11114" s="687" t="str">
        <f>IFERROR(__xludf.DUMMYFUNCTION("GOOGLEFINANCE(A11114,""name"")"),"#N/A")</f>
        <v>#N/A</v>
      </c>
      <c r="D11114" s="125"/>
    </row>
    <row r="11115">
      <c r="A11115" s="122" t="s">
        <v>36863</v>
      </c>
      <c r="B11115" s="123">
        <v>1825473.0</v>
      </c>
      <c r="C11115" s="687" t="str">
        <f>IFERROR(__xludf.DUMMYFUNCTION("GOOGLEFINANCE(A11115,""name"")"),"#N/A")</f>
        <v>#N/A</v>
      </c>
      <c r="D11115" s="125"/>
    </row>
    <row r="11116">
      <c r="A11116" s="122" t="s">
        <v>36864</v>
      </c>
      <c r="B11116" s="123">
        <v>1825473.0</v>
      </c>
      <c r="C11116" s="687" t="str">
        <f>IFERROR(__xludf.DUMMYFUNCTION("GOOGLEFINANCE(A11116,""name"")"),"#N/A")</f>
        <v>#N/A</v>
      </c>
      <c r="D11116" s="125"/>
    </row>
    <row r="11117">
      <c r="A11117" s="122" t="s">
        <v>36865</v>
      </c>
      <c r="B11117" s="123">
        <v>1653558.0</v>
      </c>
      <c r="C11117" s="687" t="str">
        <f>IFERROR(__xludf.DUMMYFUNCTION("GOOGLEFINANCE(A11117,""name"")"),"#N/A")</f>
        <v>#N/A</v>
      </c>
      <c r="D11117" s="125"/>
    </row>
    <row r="11118">
      <c r="A11118" s="122" t="s">
        <v>36866</v>
      </c>
      <c r="B11118" s="123">
        <v>1178711.0</v>
      </c>
      <c r="C11118" s="687" t="str">
        <f>IFERROR(__xludf.DUMMYFUNCTION("GOOGLEFINANCE(A11118,""name"")"),"#N/A")</f>
        <v>#N/A</v>
      </c>
      <c r="D11118" s="125"/>
    </row>
    <row r="11119">
      <c r="A11119" s="122" t="s">
        <v>36867</v>
      </c>
      <c r="B11119" s="123">
        <v>1874138.0</v>
      </c>
      <c r="C11119" s="687" t="str">
        <f>IFERROR(__xludf.DUMMYFUNCTION("GOOGLEFINANCE(A11119,""name"")"),"#N/A")</f>
        <v>#N/A</v>
      </c>
      <c r="D11119" s="125"/>
    </row>
    <row r="11120">
      <c r="A11120" s="122" t="s">
        <v>36868</v>
      </c>
      <c r="B11120" s="123">
        <v>1592058.0</v>
      </c>
      <c r="C11120" s="687" t="str">
        <f>IFERROR(__xludf.DUMMYFUNCTION("GOOGLEFINANCE(A11120,""name"")"),"#N/A")</f>
        <v>#N/A</v>
      </c>
      <c r="D11120" s="125"/>
    </row>
    <row r="11121">
      <c r="A11121" s="122" t="s">
        <v>36869</v>
      </c>
      <c r="B11121" s="123">
        <v>1695357.0</v>
      </c>
      <c r="C11121" s="687" t="str">
        <f>IFERROR(__xludf.DUMMYFUNCTION("GOOGLEFINANCE(A11121,""name"")"),"#N/A")</f>
        <v>#N/A</v>
      </c>
      <c r="D11121" s="125"/>
    </row>
    <row r="11122">
      <c r="A11122" s="122" t="s">
        <v>36870</v>
      </c>
      <c r="B11122" s="123">
        <v>1393311.0</v>
      </c>
      <c r="C11122" s="687" t="str">
        <f>IFERROR(__xludf.DUMMYFUNCTION("GOOGLEFINANCE(A11122,""name"")"),"#N/A")</f>
        <v>#N/A</v>
      </c>
      <c r="D11122" s="125"/>
    </row>
    <row r="11123">
      <c r="A11123" s="122" t="s">
        <v>36871</v>
      </c>
      <c r="B11123" s="123">
        <v>1393311.0</v>
      </c>
      <c r="C11123" s="687" t="str">
        <f>IFERROR(__xludf.DUMMYFUNCTION("GOOGLEFINANCE(A11123,""name"")"),"#N/A")</f>
        <v>#N/A</v>
      </c>
      <c r="D11123" s="125"/>
    </row>
    <row r="11124">
      <c r="A11124" s="122" t="s">
        <v>36872</v>
      </c>
      <c r="B11124" s="123">
        <v>1393311.0</v>
      </c>
      <c r="C11124" s="687" t="str">
        <f>IFERROR(__xludf.DUMMYFUNCTION("GOOGLEFINANCE(A11124,""name"")"),"#N/A")</f>
        <v>#N/A</v>
      </c>
      <c r="D11124" s="125"/>
    </row>
    <row r="11125">
      <c r="A11125" s="122" t="s">
        <v>36873</v>
      </c>
      <c r="B11125" s="123">
        <v>1393311.0</v>
      </c>
      <c r="C11125" s="687" t="str">
        <f>IFERROR(__xludf.DUMMYFUNCTION("GOOGLEFINANCE(A11125,""name"")"),"#N/A")</f>
        <v>#N/A</v>
      </c>
      <c r="D11125" s="125"/>
    </row>
    <row r="11126">
      <c r="A11126" s="122" t="s">
        <v>36874</v>
      </c>
      <c r="B11126" s="123">
        <v>1393311.0</v>
      </c>
      <c r="C11126" s="687" t="str">
        <f>IFERROR(__xludf.DUMMYFUNCTION("GOOGLEFINANCE(A11126,""name"")"),"#N/A")</f>
        <v>#N/A</v>
      </c>
      <c r="D11126" s="125"/>
    </row>
    <row r="11127">
      <c r="A11127" s="122" t="s">
        <v>36875</v>
      </c>
      <c r="B11127" s="123">
        <v>1393311.0</v>
      </c>
      <c r="C11127" s="687" t="str">
        <f>IFERROR(__xludf.DUMMYFUNCTION("GOOGLEFINANCE(A11127,""name"")"),"#N/A")</f>
        <v>#N/A</v>
      </c>
      <c r="D11127" s="125"/>
    </row>
    <row r="11128">
      <c r="A11128" s="122" t="s">
        <v>36876</v>
      </c>
      <c r="B11128" s="123">
        <v>1393311.0</v>
      </c>
      <c r="C11128" s="687" t="str">
        <f>IFERROR(__xludf.DUMMYFUNCTION("GOOGLEFINANCE(A11128,""name"")"),"#N/A")</f>
        <v>#N/A</v>
      </c>
      <c r="D11128" s="125"/>
    </row>
    <row r="11129">
      <c r="A11129" s="122" t="s">
        <v>36877</v>
      </c>
      <c r="B11129" s="123">
        <v>1393311.0</v>
      </c>
      <c r="C11129" s="687" t="str">
        <f>IFERROR(__xludf.DUMMYFUNCTION("GOOGLEFINANCE(A11129,""name"")"),"#N/A")</f>
        <v>#N/A</v>
      </c>
      <c r="D11129" s="125"/>
    </row>
    <row r="11130">
      <c r="A11130" s="122" t="s">
        <v>36878</v>
      </c>
      <c r="B11130" s="123">
        <v>1393311.0</v>
      </c>
      <c r="C11130" s="687" t="str">
        <f>IFERROR(__xludf.DUMMYFUNCTION("GOOGLEFINANCE(A11130,""name"")"),"#N/A")</f>
        <v>#N/A</v>
      </c>
      <c r="D11130" s="125"/>
    </row>
    <row r="11131">
      <c r="A11131" s="122" t="s">
        <v>36879</v>
      </c>
      <c r="B11131" s="123">
        <v>1393311.0</v>
      </c>
      <c r="C11131" s="687" t="str">
        <f>IFERROR(__xludf.DUMMYFUNCTION("GOOGLEFINANCE(A11131,""name"")"),"#N/A")</f>
        <v>#N/A</v>
      </c>
      <c r="D11131" s="125"/>
    </row>
    <row r="11132">
      <c r="A11132" s="122" t="s">
        <v>36880</v>
      </c>
      <c r="B11132" s="123">
        <v>1393311.0</v>
      </c>
      <c r="C11132" s="687" t="str">
        <f>IFERROR(__xludf.DUMMYFUNCTION("GOOGLEFINANCE(A11132,""name"")"),"#N/A")</f>
        <v>#N/A</v>
      </c>
      <c r="D11132" s="125"/>
    </row>
    <row r="11133">
      <c r="A11133" s="122" t="s">
        <v>36881</v>
      </c>
      <c r="B11133" s="123">
        <v>1393311.0</v>
      </c>
      <c r="C11133" s="687" t="str">
        <f>IFERROR(__xludf.DUMMYFUNCTION("GOOGLEFINANCE(A11133,""name"")"),"#N/A")</f>
        <v>#N/A</v>
      </c>
      <c r="D11133" s="125"/>
    </row>
    <row r="11134">
      <c r="A11134" s="122" t="s">
        <v>36882</v>
      </c>
      <c r="B11134" s="123">
        <v>1393311.0</v>
      </c>
      <c r="C11134" s="687" t="str">
        <f>IFERROR(__xludf.DUMMYFUNCTION("GOOGLEFINANCE(A11134,""name"")"),"#N/A")</f>
        <v>#N/A</v>
      </c>
      <c r="D11134" s="125"/>
    </row>
    <row r="11135">
      <c r="A11135" s="122" t="s">
        <v>36883</v>
      </c>
      <c r="B11135" s="123">
        <v>1393311.0</v>
      </c>
      <c r="C11135" s="687" t="str">
        <f>IFERROR(__xludf.DUMMYFUNCTION("GOOGLEFINANCE(A11135,""name"")"),"#N/A")</f>
        <v>#N/A</v>
      </c>
      <c r="D11135" s="125"/>
    </row>
    <row r="11136">
      <c r="A11136" s="122" t="s">
        <v>36884</v>
      </c>
      <c r="B11136" s="123">
        <v>1833235.0</v>
      </c>
      <c r="C11136" s="687" t="str">
        <f>IFERROR(__xludf.DUMMYFUNCTION("GOOGLEFINANCE(A11136,""name"")"),"PSI Software SE")</f>
        <v>PSI Software SE</v>
      </c>
      <c r="D11136" s="125"/>
    </row>
    <row r="11137">
      <c r="A11137" s="122" t="s">
        <v>36885</v>
      </c>
      <c r="B11137" s="123">
        <v>1833235.0</v>
      </c>
      <c r="C11137" s="687" t="str">
        <f>IFERROR(__xludf.DUMMYFUNCTION("GOOGLEFINANCE(A11137,""name"")"),"#N/A")</f>
        <v>#N/A</v>
      </c>
      <c r="D11137" s="125"/>
    </row>
    <row r="11138">
      <c r="A11138" s="122" t="s">
        <v>36886</v>
      </c>
      <c r="B11138" s="123">
        <v>1833235.0</v>
      </c>
      <c r="C11138" s="687" t="str">
        <f>IFERROR(__xludf.DUMMYFUNCTION("GOOGLEFINANCE(A11138,""name"")"),"#N/A")</f>
        <v>#N/A</v>
      </c>
      <c r="D11138" s="125"/>
    </row>
    <row r="11139">
      <c r="A11139" s="122" t="s">
        <v>36887</v>
      </c>
      <c r="B11139" s="123">
        <v>866368.0</v>
      </c>
      <c r="C11139" s="687" t="str">
        <f>IFERROR(__xludf.DUMMYFUNCTION("GOOGLEFINANCE(A11139,""name"")"),"#N/A")</f>
        <v>#N/A</v>
      </c>
      <c r="D11139" s="125"/>
    </row>
    <row r="11140">
      <c r="A11140" s="122" t="s">
        <v>36888</v>
      </c>
      <c r="B11140" s="123">
        <v>866368.0</v>
      </c>
      <c r="C11140" s="687" t="str">
        <f>IFERROR(__xludf.DUMMYFUNCTION("GOOGLEFINANCE(A11140,""name"")"),"#N/A")</f>
        <v>#N/A</v>
      </c>
      <c r="D11140" s="125"/>
    </row>
    <row r="11141">
      <c r="A11141" s="122" t="s">
        <v>36889</v>
      </c>
      <c r="B11141" s="123">
        <v>866368.0</v>
      </c>
      <c r="C11141" s="687" t="str">
        <f>IFERROR(__xludf.DUMMYFUNCTION("GOOGLEFINANCE(A11141,""name"")"),"#N/A")</f>
        <v>#N/A</v>
      </c>
      <c r="D11141" s="125"/>
    </row>
    <row r="11142">
      <c r="A11142" s="122" t="s">
        <v>36890</v>
      </c>
      <c r="B11142" s="123">
        <v>1287032.0</v>
      </c>
      <c r="C11142" s="687" t="str">
        <f>IFERROR(__xludf.DUMMYFUNCTION("GOOGLEFINANCE(A11142,""name"")"),"#N/A")</f>
        <v>#N/A</v>
      </c>
      <c r="D11142" s="125"/>
    </row>
    <row r="11143">
      <c r="A11143" s="122" t="s">
        <v>36891</v>
      </c>
      <c r="B11143" s="123">
        <v>1833835.0</v>
      </c>
      <c r="C11143" s="687" t="str">
        <f>IFERROR(__xludf.DUMMYFUNCTION("GOOGLEFINANCE(A11143,""name"")"),"#N/A")</f>
        <v>#N/A</v>
      </c>
      <c r="D11143" s="125"/>
    </row>
    <row r="11144">
      <c r="A11144" s="122" t="s">
        <v>36892</v>
      </c>
      <c r="B11144" s="123">
        <v>1931373.0</v>
      </c>
      <c r="C11144" s="687" t="str">
        <f>IFERROR(__xludf.DUMMYFUNCTION("GOOGLEFINANCE(A11144,""name"")"),"#N/A")</f>
        <v>#N/A</v>
      </c>
      <c r="D11144" s="125"/>
    </row>
    <row r="11145">
      <c r="A11145" s="122" t="s">
        <v>36893</v>
      </c>
      <c r="B11145" s="123">
        <v>1527753.0</v>
      </c>
      <c r="C11145" s="687" t="str">
        <f>IFERROR(__xludf.DUMMYFUNCTION("GOOGLEFINANCE(A11145,""name"")"),"Personalis Inc")</f>
        <v>Personalis Inc</v>
      </c>
      <c r="D11145" s="125"/>
    </row>
    <row r="11146">
      <c r="A11146" s="122" t="s">
        <v>36894</v>
      </c>
      <c r="B11146" s="123">
        <v>1608016.0</v>
      </c>
      <c r="C11146" s="687" t="str">
        <f>IFERROR(__xludf.DUMMYFUNCTION("GOOGLEFINANCE(A11146,""name"")"),"#N/A")</f>
        <v>#N/A</v>
      </c>
      <c r="D11146" s="125"/>
    </row>
    <row r="11147">
      <c r="A11147" s="122" t="s">
        <v>36895</v>
      </c>
      <c r="B11147" s="123">
        <v>1843716.0</v>
      </c>
      <c r="C11147" s="687" t="str">
        <f>IFERROR(__xludf.DUMMYFUNCTION("GOOGLEFINANCE(A11147,""name"")"),"#N/A")</f>
        <v>#N/A</v>
      </c>
      <c r="D11147" s="125"/>
    </row>
    <row r="11148">
      <c r="A11148" s="122" t="s">
        <v>36896</v>
      </c>
      <c r="B11148" s="123">
        <v>1843716.0</v>
      </c>
      <c r="C11148" s="687" t="str">
        <f>IFERROR(__xludf.DUMMYFUNCTION("GOOGLEFINANCE(A11148,""name"")"),"#N/A")</f>
        <v>#N/A</v>
      </c>
      <c r="D11148" s="125"/>
    </row>
    <row r="11149">
      <c r="A11149" s="122" t="s">
        <v>36897</v>
      </c>
      <c r="B11149" s="123">
        <v>1843716.0</v>
      </c>
      <c r="C11149" s="687" t="str">
        <f>IFERROR(__xludf.DUMMYFUNCTION("GOOGLEFINANCE(A11149,""name"")"),"#N/A")</f>
        <v>#N/A</v>
      </c>
      <c r="D11149" s="125"/>
    </row>
    <row r="11150">
      <c r="A11150" s="122" t="s">
        <v>36898</v>
      </c>
      <c r="B11150" s="123">
        <v>1821075.0</v>
      </c>
      <c r="C11150" s="687" t="str">
        <f>IFERROR(__xludf.DUMMYFUNCTION("GOOGLEFINANCE(A11150,""name"")"),"#N/A")</f>
        <v>#N/A</v>
      </c>
      <c r="D11150" s="125"/>
    </row>
    <row r="11151">
      <c r="A11151" s="122" t="s">
        <v>36899</v>
      </c>
      <c r="B11151" s="123">
        <v>1821075.0</v>
      </c>
      <c r="C11151" s="687" t="str">
        <f>IFERROR(__xludf.DUMMYFUNCTION("GOOGLEFINANCE(A11151,""name"")"),"#N/A")</f>
        <v>#N/A</v>
      </c>
      <c r="D11151" s="125"/>
    </row>
    <row r="11152">
      <c r="A11152" s="122" t="s">
        <v>36900</v>
      </c>
      <c r="B11152" s="123">
        <v>1821075.0</v>
      </c>
      <c r="C11152" s="687" t="str">
        <f>IFERROR(__xludf.DUMMYFUNCTION("GOOGLEFINANCE(A11152,""name"")"),"#N/A")</f>
        <v>#N/A</v>
      </c>
      <c r="D11152" s="125"/>
    </row>
    <row r="11153">
      <c r="A11153" s="122" t="s">
        <v>36901</v>
      </c>
      <c r="B11153" s="123">
        <v>1838238.0</v>
      </c>
      <c r="C11153" s="687" t="str">
        <f>IFERROR(__xludf.DUMMYFUNCTION("GOOGLEFINANCE(A11153,""name"")"),"#N/A")</f>
        <v>#N/A</v>
      </c>
      <c r="D11153" s="125"/>
    </row>
    <row r="11154">
      <c r="A11154" s="122" t="s">
        <v>36902</v>
      </c>
      <c r="B11154" s="123">
        <v>1838238.0</v>
      </c>
      <c r="C11154" s="687" t="str">
        <f>IFERROR(__xludf.DUMMYFUNCTION("GOOGLEFINANCE(A11154,""name"")"),"#N/A")</f>
        <v>#N/A</v>
      </c>
      <c r="D11154" s="125"/>
    </row>
    <row r="11155">
      <c r="A11155" s="122" t="s">
        <v>36903</v>
      </c>
      <c r="B11155" s="123">
        <v>1838238.0</v>
      </c>
      <c r="C11155" s="687" t="str">
        <f>IFERROR(__xludf.DUMMYFUNCTION("GOOGLEFINANCE(A11155,""name"")"),"#N/A")</f>
        <v>#N/A</v>
      </c>
      <c r="D11155" s="125"/>
    </row>
    <row r="11156">
      <c r="A11156" s="122" t="s">
        <v>36904</v>
      </c>
      <c r="B11156" s="123">
        <v>1820630.0</v>
      </c>
      <c r="C11156" s="687" t="str">
        <f>IFERROR(__xludf.DUMMYFUNCTION("GOOGLEFINANCE(A11156,""name"")"),"#N/A")</f>
        <v>#N/A</v>
      </c>
      <c r="D11156" s="125"/>
    </row>
    <row r="11157">
      <c r="A11157" s="122" t="s">
        <v>36905</v>
      </c>
      <c r="B11157" s="123">
        <v>1108329.0</v>
      </c>
      <c r="C11157" s="687" t="str">
        <f>IFERROR(__xludf.DUMMYFUNCTION("GOOGLEFINANCE(A11157,""name"")"),"#N/A")</f>
        <v>#N/A</v>
      </c>
      <c r="D11157" s="125"/>
    </row>
    <row r="11158">
      <c r="A11158" s="122" t="s">
        <v>36906</v>
      </c>
      <c r="B11158" s="123">
        <v>832090.0</v>
      </c>
      <c r="C11158" s="687" t="str">
        <f>IFERROR(__xludf.DUMMYFUNCTION("GOOGLEFINANCE(A11158,""name"")"),"#N/A")</f>
        <v>#N/A</v>
      </c>
      <c r="D11158" s="125"/>
    </row>
    <row r="11159">
      <c r="A11159" s="122" t="s">
        <v>36907</v>
      </c>
      <c r="B11159" s="123">
        <v>1575858.0</v>
      </c>
      <c r="C11159" s="687" t="str">
        <f>IFERROR(__xludf.DUMMYFUNCTION("GOOGLEFINANCE(A11159,""name"")"),"PureBase Corp")</f>
        <v>PureBase Corp</v>
      </c>
      <c r="D11159" s="125"/>
    </row>
    <row r="11160">
      <c r="A11160" s="122" t="s">
        <v>36908</v>
      </c>
      <c r="B11160" s="123">
        <v>1422930.0</v>
      </c>
      <c r="C11160" s="687" t="str">
        <f>IFERROR(__xludf.DUMMYFUNCTION("GOOGLEFINANCE(A11160,""name"")"),"PubMatic Inc")</f>
        <v>PubMatic Inc</v>
      </c>
      <c r="D11160" s="125"/>
    </row>
    <row r="11161">
      <c r="A11161" s="122" t="s">
        <v>36909</v>
      </c>
      <c r="B11161" s="123">
        <v>1836100.0</v>
      </c>
      <c r="C11161" s="687" t="str">
        <f>IFERROR(__xludf.DUMMYFUNCTION("GOOGLEFINANCE(A11161,""name"")"),"Goal Acquisitions Corp")</f>
        <v>Goal Acquisitions Corp</v>
      </c>
      <c r="D11161" s="125"/>
    </row>
    <row r="11162">
      <c r="A11162" s="122" t="s">
        <v>36910</v>
      </c>
      <c r="B11162" s="123">
        <v>1750264.0</v>
      </c>
      <c r="C11162" s="687" t="str">
        <f>IFERROR(__xludf.DUMMYFUNCTION("GOOGLEFINANCE(A11162,""name"")"),"#N/A")</f>
        <v>#N/A</v>
      </c>
      <c r="D11162" s="125"/>
    </row>
    <row r="11163">
      <c r="A11163" s="122" t="s">
        <v>36911</v>
      </c>
      <c r="B11163" s="123">
        <v>1818787.0</v>
      </c>
      <c r="C11163" s="687" t="str">
        <f>IFERROR(__xludf.DUMMYFUNCTION("GOOGLEFINANCE(A11163,""name"")"),"#N/A")</f>
        <v>#N/A</v>
      </c>
      <c r="D11163" s="125"/>
    </row>
    <row r="11164">
      <c r="A11164" s="122" t="s">
        <v>36912</v>
      </c>
      <c r="B11164" s="123">
        <v>1818787.0</v>
      </c>
      <c r="C11164" s="687" t="str">
        <f>IFERROR(__xludf.DUMMYFUNCTION("GOOGLEFINANCE(A11164,""name"")"),"#N/A")</f>
        <v>#N/A</v>
      </c>
      <c r="D11164" s="125"/>
    </row>
    <row r="11165">
      <c r="A11165" s="122" t="s">
        <v>36913</v>
      </c>
      <c r="B11165" s="123">
        <v>1532619.0</v>
      </c>
      <c r="C11165" s="687" t="str">
        <f>IFERROR(__xludf.DUMMYFUNCTION("GOOGLEFINANCE(A11165,""name"")"),"#N/A")</f>
        <v>#N/A</v>
      </c>
      <c r="D11165" s="125"/>
    </row>
    <row r="11166">
      <c r="A11166" s="122" t="s">
        <v>36914</v>
      </c>
      <c r="B11166" s="123">
        <v>1777835.0</v>
      </c>
      <c r="C11166" s="687" t="str">
        <f>IFERROR(__xludf.DUMMYFUNCTION("GOOGLEFINANCE(A11166,""name"")"),"#N/A")</f>
        <v>#N/A</v>
      </c>
      <c r="D11166" s="125"/>
    </row>
    <row r="11167">
      <c r="A11167" s="122" t="s">
        <v>36915</v>
      </c>
      <c r="B11167" s="123">
        <v>1114446.0</v>
      </c>
      <c r="C11167" s="687" t="str">
        <f>IFERROR(__xludf.DUMMYFUNCTION("GOOGLEFINANCE(A11167,""name"")"),"#N/A")</f>
        <v>#N/A</v>
      </c>
      <c r="D11167" s="125"/>
    </row>
    <row r="11168">
      <c r="A11168" s="122" t="s">
        <v>36916</v>
      </c>
      <c r="B11168" s="123">
        <v>1629210.0</v>
      </c>
      <c r="C11168" s="687" t="str">
        <f>IFERROR(__xludf.DUMMYFUNCTION("GOOGLEFINANCE(A11168,""name"")"),"Paramount Gold Nevada Corp")</f>
        <v>Paramount Gold Nevada Corp</v>
      </c>
      <c r="D11168" s="125"/>
    </row>
    <row r="11169">
      <c r="A11169" s="122" t="s">
        <v>36917</v>
      </c>
      <c r="B11169" s="123">
        <v>1399249.0</v>
      </c>
      <c r="C11169" s="687" t="str">
        <f>IFERROR(__xludf.DUMMYFUNCTION("GOOGLEFINANCE(A11169,""name"")"),"#N/A")</f>
        <v>#N/A</v>
      </c>
      <c r="D11169" s="125"/>
    </row>
    <row r="11170">
      <c r="A11170" s="122" t="s">
        <v>36918</v>
      </c>
      <c r="B11170" s="123">
        <v>1427644.0</v>
      </c>
      <c r="C11170" s="687" t="str">
        <f>IFERROR(__xludf.DUMMYFUNCTION("GOOGLEFINANCE(A11170,""name"")"),"#N/A")</f>
        <v>#N/A</v>
      </c>
      <c r="D11170" s="125"/>
    </row>
    <row r="11171">
      <c r="A11171" s="122" t="s">
        <v>36919</v>
      </c>
      <c r="B11171" s="123">
        <v>1907982.0</v>
      </c>
      <c r="C11171" s="687" t="str">
        <f>IFERROR(__xludf.DUMMYFUNCTION("GOOGLEFINANCE(A11171,""name"")"),"#N/A")</f>
        <v>#N/A</v>
      </c>
      <c r="D11171" s="125"/>
    </row>
    <row r="11172">
      <c r="A11172" s="122" t="s">
        <v>36920</v>
      </c>
      <c r="B11172" s="123">
        <v>1295961.0</v>
      </c>
      <c r="C11172" s="687" t="str">
        <f>IFERROR(__xludf.DUMMYFUNCTION("GOOGLEFINANCE(A11172,""name"")"),"#N/A")</f>
        <v>#N/A</v>
      </c>
      <c r="D11172" s="125"/>
    </row>
    <row r="11173">
      <c r="A11173" s="122" t="s">
        <v>36921</v>
      </c>
      <c r="B11173" s="123">
        <v>1830795.0</v>
      </c>
      <c r="C11173" s="687" t="str">
        <f>IFERROR(__xludf.DUMMYFUNCTION("GOOGLEFINANCE(A11173,""name"")"),"#N/A")</f>
        <v>#N/A</v>
      </c>
      <c r="D11173" s="125"/>
    </row>
    <row r="11174">
      <c r="A11174" s="122" t="s">
        <v>36922</v>
      </c>
      <c r="B11174" s="123">
        <v>1830795.0</v>
      </c>
      <c r="C11174" s="687" t="str">
        <f>IFERROR(__xludf.DUMMYFUNCTION("GOOGLEFINANCE(A11174,""name"")"),"#N/A")</f>
        <v>#N/A</v>
      </c>
      <c r="D11174" s="125"/>
    </row>
    <row r="11175">
      <c r="A11175" s="122" t="s">
        <v>36923</v>
      </c>
      <c r="B11175" s="123">
        <v>1015820.0</v>
      </c>
      <c r="C11175" s="687" t="str">
        <f>IFERROR(__xludf.DUMMYFUNCTION("GOOGLEFINANCE(A11175,""name"")"),"Qiagen NV")</f>
        <v>Qiagen NV</v>
      </c>
      <c r="D11175" s="125"/>
    </row>
    <row r="11176">
      <c r="A11176" s="122" t="s">
        <v>36924</v>
      </c>
      <c r="B11176" s="123">
        <v>1423723.0</v>
      </c>
      <c r="C11176" s="687" t="str">
        <f>IFERROR(__xludf.DUMMYFUNCTION("GOOGLEFINANCE(A11176,""name"")"),"#N/A")</f>
        <v>#N/A</v>
      </c>
      <c r="D11176" s="125"/>
    </row>
    <row r="11177">
      <c r="A11177" s="122" t="s">
        <v>36925</v>
      </c>
      <c r="B11177" s="123">
        <v>1769256.0</v>
      </c>
      <c r="C11177" s="687" t="str">
        <f>IFERROR(__xludf.DUMMYFUNCTION("GOOGLEFINANCE(A11177,""name"")"),"#N/A")</f>
        <v>#N/A</v>
      </c>
      <c r="D11177" s="125"/>
    </row>
    <row r="11178">
      <c r="A11178" s="122" t="s">
        <v>36926</v>
      </c>
      <c r="B11178" s="123">
        <v>1794621.0</v>
      </c>
      <c r="C11178" s="687" t="str">
        <f>IFERROR(__xludf.DUMMYFUNCTION("GOOGLEFINANCE(A11178,""name"")"),"#N/A")</f>
        <v>#N/A</v>
      </c>
      <c r="D11178" s="125"/>
    </row>
    <row r="11179">
      <c r="A11179" s="122" t="s">
        <v>36927</v>
      </c>
      <c r="B11179" s="123">
        <v>1794621.0</v>
      </c>
      <c r="C11179" s="687" t="str">
        <f>IFERROR(__xludf.DUMMYFUNCTION("GOOGLEFINANCE(A11179,""name"")"),"#N/A")</f>
        <v>#N/A</v>
      </c>
      <c r="D11179" s="125"/>
    </row>
    <row r="11180">
      <c r="A11180" s="122" t="s">
        <v>36928</v>
      </c>
      <c r="B11180" s="123">
        <v>1691430.0</v>
      </c>
      <c r="C11180" s="687" t="str">
        <f>IFERROR(__xludf.DUMMYFUNCTION("GOOGLEFINANCE(A11180,""name"")"),"#N/A")</f>
        <v>#N/A</v>
      </c>
      <c r="D11180" s="125"/>
    </row>
    <row r="11181">
      <c r="A11181" s="122" t="s">
        <v>36929</v>
      </c>
      <c r="B11181" s="123">
        <v>1841593.0</v>
      </c>
      <c r="C11181" s="687" t="str">
        <f>IFERROR(__xludf.DUMMYFUNCTION("GOOGLEFINANCE(A11181,""name"")"),"#N/A")</f>
        <v>#N/A</v>
      </c>
      <c r="D11181" s="125"/>
    </row>
    <row r="11182">
      <c r="A11182" s="122" t="s">
        <v>36930</v>
      </c>
      <c r="B11182" s="123">
        <v>824416.0</v>
      </c>
      <c r="C11182" s="687" t="str">
        <f>IFERROR(__xludf.DUMMYFUNCTION("GOOGLEFINANCE(A11182,""name"")"),"#N/A")</f>
        <v>#N/A</v>
      </c>
      <c r="D11182" s="125"/>
    </row>
    <row r="11183">
      <c r="A11183" s="122" t="s">
        <v>36931</v>
      </c>
      <c r="B11183" s="123">
        <v>1776641.0</v>
      </c>
      <c r="C11183" s="687" t="str">
        <f>IFERROR(__xludf.DUMMYFUNCTION("GOOGLEFINANCE(A11183,""name"")"),"#N/A")</f>
        <v>#N/A</v>
      </c>
      <c r="D11183" s="125"/>
    </row>
    <row r="11184">
      <c r="A11184" s="122" t="s">
        <v>36932</v>
      </c>
      <c r="B11184" s="123">
        <v>1608741.0</v>
      </c>
      <c r="C11184" s="687" t="str">
        <f>IFERROR(__xludf.DUMMYFUNCTION("GOOGLEFINANCE(A11184,""name"")"),"Nuveen Nasdaq 100 Dynamic Overwrite Fund")</f>
        <v>Nuveen Nasdaq 100 Dynamic Overwrite Fund</v>
      </c>
      <c r="D11184" s="125"/>
    </row>
    <row r="11185">
      <c r="A11185" s="122" t="s">
        <v>36933</v>
      </c>
      <c r="B11185" s="123">
        <v>1103795.0</v>
      </c>
      <c r="C11185" s="687" t="str">
        <f>IFERROR(__xludf.DUMMYFUNCTION("GOOGLEFINANCE(A11185,""name"")"),"QS Energy Inc")</f>
        <v>QS Energy Inc</v>
      </c>
      <c r="D11185" s="125"/>
    </row>
    <row r="11186">
      <c r="A11186" s="122" t="s">
        <v>36934</v>
      </c>
      <c r="B11186" s="123">
        <v>1627554.0</v>
      </c>
      <c r="C11186" s="687" t="str">
        <f>IFERROR(__xludf.DUMMYFUNCTION("GOOGLEFINANCE(A11186,""name"")"),"#N/A")</f>
        <v>#N/A</v>
      </c>
      <c r="D11186" s="125"/>
    </row>
    <row r="11187">
      <c r="A11187" s="122" t="s">
        <v>36935</v>
      </c>
      <c r="B11187" s="123">
        <v>1839412.0</v>
      </c>
      <c r="C11187" s="687" t="str">
        <f>IFERROR(__xludf.DUMMYFUNCTION("GOOGLEFINANCE(A11187,""name"")"),"#N/A")</f>
        <v>#N/A</v>
      </c>
      <c r="D11187" s="125"/>
    </row>
    <row r="11188">
      <c r="A11188" s="122" t="s">
        <v>36936</v>
      </c>
      <c r="B11188" s="123">
        <v>1839412.0</v>
      </c>
      <c r="C11188" s="687" t="str">
        <f>IFERROR(__xludf.DUMMYFUNCTION("GOOGLEFINANCE(A11188,""name"")"),"#N/A")</f>
        <v>#N/A</v>
      </c>
      <c r="D11188" s="125"/>
    </row>
    <row r="11189">
      <c r="A11189" s="122" t="s">
        <v>36937</v>
      </c>
      <c r="B11189" s="123">
        <v>1596946.0</v>
      </c>
      <c r="C11189" s="687" t="str">
        <f>IFERROR(__xludf.DUMMYFUNCTION("GOOGLEFINANCE(A11189,""name"")"),"#N/A")</f>
        <v>#N/A</v>
      </c>
      <c r="D11189" s="125"/>
    </row>
    <row r="11190">
      <c r="A11190" s="122" t="s">
        <v>36938</v>
      </c>
      <c r="B11190" s="123">
        <v>1733298.0</v>
      </c>
      <c r="C11190" s="687" t="str">
        <f>IFERROR(__xludf.DUMMYFUNCTION("GOOGLEFINANCE(A11190,""name"")"),"#N/A")</f>
        <v>#N/A</v>
      </c>
      <c r="D11190" s="125"/>
    </row>
    <row r="11191">
      <c r="A11191" s="122" t="s">
        <v>36939</v>
      </c>
      <c r="B11191" s="123">
        <v>1114446.0</v>
      </c>
      <c r="C11191" s="687" t="str">
        <f>IFERROR(__xludf.DUMMYFUNCTION("GOOGLEFINANCE(A11191,""name"")"),"ETRACS 2x Leveraged MSCI US Quality Factor TR ETN")</f>
        <v>ETRACS 2x Leveraged MSCI US Quality Factor TR ETN</v>
      </c>
      <c r="D11191" s="125"/>
    </row>
    <row r="11192">
      <c r="A11192" s="122" t="s">
        <v>36940</v>
      </c>
      <c r="B11192" s="123">
        <v>892482.0</v>
      </c>
      <c r="C11192" s="687" t="str">
        <f>IFERROR(__xludf.DUMMYFUNCTION("GOOGLEFINANCE(A11192,""name"")"),"#N/A")</f>
        <v>#N/A</v>
      </c>
      <c r="D11192" s="125"/>
    </row>
    <row r="11193">
      <c r="A11193" s="122" t="s">
        <v>36941</v>
      </c>
      <c r="B11193" s="123">
        <v>1115128.0</v>
      </c>
      <c r="C11193" s="687" t="str">
        <f>IFERROR(__xludf.DUMMYFUNCTION("GOOGLEFINANCE(A11193,""name"")"),"#N/A")</f>
        <v>#N/A</v>
      </c>
      <c r="D11193" s="125"/>
    </row>
    <row r="11194">
      <c r="A11194" s="122" t="s">
        <v>36942</v>
      </c>
      <c r="B11194" s="123">
        <v>1804583.0</v>
      </c>
      <c r="C11194" s="687" t="str">
        <f>IFERROR(__xludf.DUMMYFUNCTION("GOOGLEFINANCE(A11194,""name"")"),"#N/A")</f>
        <v>#N/A</v>
      </c>
      <c r="D11194" s="125"/>
    </row>
    <row r="11195">
      <c r="A11195" s="122" t="s">
        <v>36943</v>
      </c>
      <c r="B11195" s="123">
        <v>1819724.0</v>
      </c>
      <c r="C11195" s="687" t="str">
        <f>IFERROR(__xludf.DUMMYFUNCTION("GOOGLEFINANCE(A11195,""name"")"),"#N/A")</f>
        <v>#N/A</v>
      </c>
      <c r="D11195" s="125"/>
    </row>
    <row r="11196">
      <c r="A11196" s="122" t="s">
        <v>36944</v>
      </c>
      <c r="B11196" s="123">
        <v>761238.0</v>
      </c>
      <c r="C11196" s="687" t="str">
        <f>IFERROR(__xludf.DUMMYFUNCTION("GOOGLEFINANCE(A11196,""name"")"),"#N/A")</f>
        <v>#N/A</v>
      </c>
      <c r="D11196" s="125"/>
    </row>
    <row r="11197">
      <c r="A11197" s="122" t="s">
        <v>36945</v>
      </c>
      <c r="B11197" s="123">
        <v>1847512.0</v>
      </c>
      <c r="C11197" s="687" t="str">
        <f>IFERROR(__xludf.DUMMYFUNCTION("GOOGLEFINANCE(A11197,""name"")"),"#N/A")</f>
        <v>#N/A</v>
      </c>
      <c r="D11197" s="125"/>
    </row>
    <row r="11198">
      <c r="A11198" s="122" t="s">
        <v>36946</v>
      </c>
      <c r="B11198" s="123">
        <v>1810739.0</v>
      </c>
      <c r="C11198" s="687" t="str">
        <f>IFERROR(__xludf.DUMMYFUNCTION("GOOGLEFINANCE(A11198,""name"")"),"#N/A")</f>
        <v>#N/A</v>
      </c>
      <c r="D11198" s="125"/>
    </row>
    <row r="11199">
      <c r="A11199" s="122" t="s">
        <v>36947</v>
      </c>
      <c r="B11199" s="123">
        <v>1841867.0</v>
      </c>
      <c r="C11199" s="687" t="str">
        <f>IFERROR(__xludf.DUMMYFUNCTION("GOOGLEFINANCE(A11199,""name"")"),"#N/A")</f>
        <v>#N/A</v>
      </c>
      <c r="D11199" s="125"/>
    </row>
    <row r="11200">
      <c r="A11200" s="122" t="s">
        <v>36948</v>
      </c>
      <c r="B11200" s="123">
        <v>1841867.0</v>
      </c>
      <c r="C11200" s="687" t="str">
        <f>IFERROR(__xludf.DUMMYFUNCTION("GOOGLEFINANCE(A11200,""name"")"),"#N/A")</f>
        <v>#N/A</v>
      </c>
      <c r="D11200" s="125"/>
    </row>
    <row r="11201">
      <c r="A11201" s="122" t="s">
        <v>36949</v>
      </c>
      <c r="B11201" s="123">
        <v>1841867.0</v>
      </c>
      <c r="C11201" s="687" t="str">
        <f>IFERROR(__xludf.DUMMYFUNCTION("GOOGLEFINANCE(A11201,""name"")"),"#N/A")</f>
        <v>#N/A</v>
      </c>
      <c r="D11201" s="125"/>
    </row>
    <row r="11202">
      <c r="A11202" s="122" t="s">
        <v>36950</v>
      </c>
      <c r="B11202" s="123">
        <v>1883138.0</v>
      </c>
      <c r="C11202" s="687" t="str">
        <f>IFERROR(__xludf.DUMMYFUNCTION("GOOGLEFINANCE(A11202,""name"")"),"#N/A")</f>
        <v>#N/A</v>
      </c>
      <c r="D11202" s="125"/>
    </row>
    <row r="11203">
      <c r="A11203" s="122" t="s">
        <v>36951</v>
      </c>
      <c r="B11203" s="123">
        <v>1582249.0</v>
      </c>
      <c r="C11203" s="687" t="str">
        <f>IFERROR(__xludf.DUMMYFUNCTION("GOOGLEFINANCE(A11203,""name"")"),"Actavia Life Sciences Inc")</f>
        <v>Actavia Life Sciences Inc</v>
      </c>
      <c r="D11203" s="125"/>
    </row>
    <row r="11204">
      <c r="A11204" s="122" t="s">
        <v>36952</v>
      </c>
      <c r="B11204" s="123">
        <v>1812173.0</v>
      </c>
      <c r="C11204" s="687" t="str">
        <f>IFERROR(__xludf.DUMMYFUNCTION("GOOGLEFINANCE(A11204,""name"")"),"#N/A")</f>
        <v>#N/A</v>
      </c>
      <c r="D11204" s="125"/>
    </row>
    <row r="11205">
      <c r="A11205" s="122" t="s">
        <v>36953</v>
      </c>
      <c r="B11205" s="123">
        <v>844150.0</v>
      </c>
      <c r="C11205" s="687" t="str">
        <f>IFERROR(__xludf.DUMMYFUNCTION("GOOGLEFINANCE(A11205,""name"")"),"#N/A")</f>
        <v>#N/A</v>
      </c>
      <c r="D11205" s="125"/>
    </row>
    <row r="11206">
      <c r="A11206" s="122" t="s">
        <v>36954</v>
      </c>
      <c r="B11206" s="123">
        <v>1862068.0</v>
      </c>
      <c r="C11206" s="687" t="str">
        <f>IFERROR(__xludf.DUMMYFUNCTION("GOOGLEFINANCE(A11206,""name"")"),"#N/A")</f>
        <v>#N/A</v>
      </c>
      <c r="D11206" s="125"/>
    </row>
    <row r="11207">
      <c r="A11207" s="122" t="s">
        <v>36955</v>
      </c>
      <c r="B11207" s="123">
        <v>1527590.0</v>
      </c>
      <c r="C11207" s="687" t="str">
        <f>IFERROR(__xludf.DUMMYFUNCTION("GOOGLEFINANCE(A11207,""name"")"),"#N/A")</f>
        <v>#N/A</v>
      </c>
      <c r="D11207" s="125"/>
    </row>
    <row r="11208">
      <c r="A11208" s="122" t="s">
        <v>36956</v>
      </c>
      <c r="B11208" s="123">
        <v>1527590.0</v>
      </c>
      <c r="C11208" s="687" t="str">
        <f>IFERROR(__xludf.DUMMYFUNCTION("GOOGLEFINANCE(A11208,""name"")"),"#N/A")</f>
        <v>#N/A</v>
      </c>
      <c r="D11208" s="125"/>
    </row>
    <row r="11209">
      <c r="A11209" s="122" t="s">
        <v>36957</v>
      </c>
      <c r="B11209" s="123">
        <v>1527590.0</v>
      </c>
      <c r="C11209" s="687" t="str">
        <f>IFERROR(__xludf.DUMMYFUNCTION("GOOGLEFINANCE(A11209,""name"")"),"#N/A")</f>
        <v>#N/A</v>
      </c>
      <c r="D11209" s="125"/>
    </row>
    <row r="11210">
      <c r="A11210" s="122" t="s">
        <v>36958</v>
      </c>
      <c r="B11210" s="123">
        <v>1849801.0</v>
      </c>
      <c r="C11210" s="687" t="str">
        <f>IFERROR(__xludf.DUMMYFUNCTION("GOOGLEFINANCE(A11210,""name"")"),"#N/A")</f>
        <v>#N/A</v>
      </c>
      <c r="D11210" s="125"/>
    </row>
    <row r="11211">
      <c r="A11211" s="122" t="s">
        <v>36959</v>
      </c>
      <c r="B11211" s="123">
        <v>1870143.0</v>
      </c>
      <c r="C11211" s="687" t="str">
        <f>IFERROR(__xludf.DUMMYFUNCTION("GOOGLEFINANCE(A11211,""name"")"),"#N/A")</f>
        <v>#N/A</v>
      </c>
      <c r="D11211" s="125"/>
    </row>
    <row r="11212">
      <c r="A11212" s="122" t="s">
        <v>36960</v>
      </c>
      <c r="B11212" s="123">
        <v>1817786.0</v>
      </c>
      <c r="C11212" s="687" t="str">
        <f>IFERROR(__xludf.DUMMYFUNCTION("GOOGLEFINANCE(A11212,""name"")"),"#N/A")</f>
        <v>#N/A</v>
      </c>
      <c r="D11212" s="125"/>
    </row>
    <row r="11213">
      <c r="A11213" s="122" t="s">
        <v>36961</v>
      </c>
      <c r="B11213" s="123">
        <v>1817786.0</v>
      </c>
      <c r="C11213" s="687" t="str">
        <f>IFERROR(__xludf.DUMMYFUNCTION("GOOGLEFINANCE(A11213,""name"")"),"#N/A")</f>
        <v>#N/A</v>
      </c>
      <c r="D11213" s="125"/>
    </row>
    <row r="11214">
      <c r="A11214" s="122" t="s">
        <v>36962</v>
      </c>
      <c r="B11214" s="123">
        <v>1817786.0</v>
      </c>
      <c r="C11214" s="687" t="str">
        <f>IFERROR(__xludf.DUMMYFUNCTION("GOOGLEFINANCE(A11214,""name"")"),"#N/A")</f>
        <v>#N/A</v>
      </c>
      <c r="D11214" s="125"/>
    </row>
    <row r="11215">
      <c r="A11215" s="122" t="s">
        <v>36963</v>
      </c>
      <c r="B11215" s="123">
        <v>1628040.0</v>
      </c>
      <c r="C11215" s="687" t="str">
        <f>IFERROR(__xludf.DUMMYFUNCTION("GOOGLEFINANCE(A11215,""name"")"),"#N/A")</f>
        <v>#N/A</v>
      </c>
      <c r="D11215" s="125"/>
    </row>
    <row r="11216">
      <c r="A11216" s="122" t="s">
        <v>36964</v>
      </c>
      <c r="B11216" s="123">
        <v>933036.0</v>
      </c>
      <c r="C11216" s="687" t="str">
        <f>IFERROR(__xludf.DUMMYFUNCTION("GOOGLEFINANCE(A11216,""name"")"),"#N/A")</f>
        <v>#N/A</v>
      </c>
      <c r="D11216" s="125"/>
    </row>
    <row r="11217">
      <c r="A11217" s="122" t="s">
        <v>36965</v>
      </c>
      <c r="B11217" s="123">
        <v>1833498.0</v>
      </c>
      <c r="C11217" s="687" t="str">
        <f>IFERROR(__xludf.DUMMYFUNCTION("GOOGLEFINANCE(A11217,""name"")"),"#N/A")</f>
        <v>#N/A</v>
      </c>
      <c r="D11217" s="125"/>
    </row>
    <row r="11218">
      <c r="A11218" s="122" t="s">
        <v>36966</v>
      </c>
      <c r="B11218" s="123">
        <v>1833498.0</v>
      </c>
      <c r="C11218" s="687" t="str">
        <f>IFERROR(__xludf.DUMMYFUNCTION("GOOGLEFINANCE(A11218,""name"")"),"#N/A")</f>
        <v>#N/A</v>
      </c>
      <c r="D11218" s="125"/>
    </row>
    <row r="11219">
      <c r="A11219" s="122" t="s">
        <v>36967</v>
      </c>
      <c r="B11219" s="123">
        <v>1833498.0</v>
      </c>
      <c r="C11219" s="687" t="str">
        <f>IFERROR(__xludf.DUMMYFUNCTION("GOOGLEFINANCE(A11219,""name"")"),"#N/A")</f>
        <v>#N/A</v>
      </c>
      <c r="D11219" s="125"/>
    </row>
    <row r="11220">
      <c r="A11220" s="122" t="s">
        <v>36968</v>
      </c>
      <c r="B11220" s="123">
        <v>1797956.0</v>
      </c>
      <c r="C11220" s="687" t="str">
        <f>IFERROR(__xludf.DUMMYFUNCTION("GOOGLEFINANCE(A11220,""name"")"),"#N/A")</f>
        <v>#N/A</v>
      </c>
      <c r="D11220" s="125"/>
    </row>
    <row r="11221">
      <c r="A11221" s="122" t="s">
        <v>36969</v>
      </c>
      <c r="B11221" s="123">
        <v>1442620.0</v>
      </c>
      <c r="C11221" s="687" t="str">
        <f>IFERROR(__xludf.DUMMYFUNCTION("GOOGLEFINANCE(A11221,""name"")"),"Recon Technology Ltd")</f>
        <v>Recon Technology Ltd</v>
      </c>
      <c r="D11221" s="125"/>
    </row>
    <row r="11222">
      <c r="A11222" s="122" t="s">
        <v>36970</v>
      </c>
      <c r="B11222" s="123">
        <v>1799850.0</v>
      </c>
      <c r="C11222" s="687" t="str">
        <f>IFERROR(__xludf.DUMMYFUNCTION("GOOGLEFINANCE(A11222,""name"")"),"#N/A")</f>
        <v>#N/A</v>
      </c>
      <c r="D11222" s="125"/>
    </row>
    <row r="11223">
      <c r="A11223" s="122" t="s">
        <v>36971</v>
      </c>
      <c r="B11223" s="123">
        <v>1849840.0</v>
      </c>
      <c r="C11223" s="687" t="str">
        <f>IFERROR(__xludf.DUMMYFUNCTION("GOOGLEFINANCE(A11223,""name"")"),"#N/A")</f>
        <v>#N/A</v>
      </c>
      <c r="D11223" s="125"/>
    </row>
    <row r="11224">
      <c r="A11224" s="122" t="s">
        <v>36972</v>
      </c>
      <c r="B11224" s="123">
        <v>1657249.0</v>
      </c>
      <c r="C11224" s="687" t="str">
        <f>IFERROR(__xludf.DUMMYFUNCTION("GOOGLEFINANCE(A11224,""name"")"),"#N/A")</f>
        <v>#N/A</v>
      </c>
      <c r="D11224" s="125"/>
    </row>
    <row r="11225">
      <c r="A11225" s="122" t="s">
        <v>36973</v>
      </c>
      <c r="B11225" s="123">
        <v>1819810.0</v>
      </c>
      <c r="C11225" s="687" t="str">
        <f>IFERROR(__xludf.DUMMYFUNCTION("GOOGLEFINANCE(A11225,""name"")"),"#N/A")</f>
        <v>#N/A</v>
      </c>
      <c r="D11225" s="125"/>
    </row>
    <row r="11226">
      <c r="A11226" s="122" t="s">
        <v>36974</v>
      </c>
      <c r="B11226" s="123">
        <v>1849166.0</v>
      </c>
      <c r="C11226" s="687" t="str">
        <f>IFERROR(__xludf.DUMMYFUNCTION("GOOGLEFINANCE(A11226,""name"")"),"#N/A")</f>
        <v>#N/A</v>
      </c>
      <c r="D11226" s="125"/>
    </row>
    <row r="11227">
      <c r="A11227" s="122" t="s">
        <v>36975</v>
      </c>
      <c r="B11227" s="123">
        <v>1532158.0</v>
      </c>
      <c r="C11227" s="687" t="str">
        <f>IFERROR(__xludf.DUMMYFUNCTION("GOOGLEFINANCE(A11227,""name"")"),"Rebl Group Oyj")</f>
        <v>Rebl Group Oyj</v>
      </c>
      <c r="D11227" s="125"/>
    </row>
    <row r="11228">
      <c r="A11228" s="122" t="s">
        <v>36976</v>
      </c>
      <c r="B11228" s="123">
        <v>1843588.0</v>
      </c>
      <c r="C11228" s="687" t="str">
        <f>IFERROR(__xludf.DUMMYFUNCTION("GOOGLEFINANCE(A11228,""name"")"),"#N/A")</f>
        <v>#N/A</v>
      </c>
      <c r="D11228" s="125"/>
    </row>
    <row r="11229">
      <c r="A11229" s="122" t="s">
        <v>36977</v>
      </c>
      <c r="B11229" s="123">
        <v>1463258.0</v>
      </c>
      <c r="C11229" s="687" t="str">
        <f>IFERROR(__xludf.DUMMYFUNCTION("GOOGLEFINANCE(A11229,""name"")"),"#N/A")</f>
        <v>#N/A</v>
      </c>
      <c r="D11229" s="125"/>
    </row>
    <row r="11230">
      <c r="A11230" s="122" t="s">
        <v>36978</v>
      </c>
      <c r="B11230" s="123">
        <v>872589.0</v>
      </c>
      <c r="C11230" s="687" t="str">
        <f>IFERROR(__xludf.DUMMYFUNCTION("GOOGLEFINANCE(A11230,""name"")"),"Regeneron Pharmaceuticals Inc")</f>
        <v>Regeneron Pharmaceuticals Inc</v>
      </c>
      <c r="D11230" s="125"/>
    </row>
    <row r="11231">
      <c r="A11231" s="122" t="s">
        <v>36979</v>
      </c>
      <c r="B11231" s="123">
        <v>1588972.0</v>
      </c>
      <c r="C11231" s="687" t="str">
        <f>IFERROR(__xludf.DUMMYFUNCTION("GOOGLEFINANCE(A11231,""name"")"),"#N/A")</f>
        <v>#N/A</v>
      </c>
      <c r="D11231" s="125"/>
    </row>
    <row r="11232">
      <c r="A11232" s="122" t="s">
        <v>36980</v>
      </c>
      <c r="B11232" s="123">
        <v>1358762.0</v>
      </c>
      <c r="C11232" s="687" t="str">
        <f>IFERROR(__xludf.DUMMYFUNCTION("GOOGLEFINANCE(A11232,""name"")"),"#N/A")</f>
        <v>#N/A</v>
      </c>
      <c r="D11232" s="125"/>
    </row>
    <row r="11233">
      <c r="A11233" s="122" t="s">
        <v>36981</v>
      </c>
      <c r="B11233" s="123">
        <v>1865482.0</v>
      </c>
      <c r="C11233" s="687" t="str">
        <f>IFERROR(__xludf.DUMMYFUNCTION("GOOGLEFINANCE(A11233,""name"")"),"#N/A")</f>
        <v>#N/A</v>
      </c>
      <c r="D11233" s="125"/>
    </row>
    <row r="11234">
      <c r="A11234" s="122" t="s">
        <v>36982</v>
      </c>
      <c r="B11234" s="123">
        <v>887921.0</v>
      </c>
      <c r="C11234" s="687" t="str">
        <f>IFERROR(__xludf.DUMMYFUNCTION("GOOGLEFINANCE(A11234,""name"")"),"Revolution Private Credit Income Trust Units")</f>
        <v>Revolution Private Credit Income Trust Units</v>
      </c>
      <c r="D11234" s="125"/>
    </row>
    <row r="11235">
      <c r="A11235" s="122" t="s">
        <v>36983</v>
      </c>
      <c r="B11235" s="123">
        <v>1810560.0</v>
      </c>
      <c r="C11235" s="687" t="str">
        <f>IFERROR(__xludf.DUMMYFUNCTION("GOOGLEFINANCE(A11235,""name"")"),"#N/A")</f>
        <v>#N/A</v>
      </c>
      <c r="D11235" s="125"/>
    </row>
    <row r="11236">
      <c r="A11236" s="122" t="s">
        <v>36984</v>
      </c>
      <c r="B11236" s="123">
        <v>1853651.0</v>
      </c>
      <c r="C11236" s="687" t="str">
        <f>IFERROR(__xludf.DUMMYFUNCTION("GOOGLEFINANCE(A11236,""name"")"),"#N/A")</f>
        <v>#N/A</v>
      </c>
      <c r="D11236" s="125"/>
    </row>
    <row r="11237">
      <c r="A11237" s="122" t="s">
        <v>36985</v>
      </c>
      <c r="B11237" s="123">
        <v>1853651.0</v>
      </c>
      <c r="C11237" s="687" t="str">
        <f>IFERROR(__xludf.DUMMYFUNCTION("GOOGLEFINANCE(A11237,""name"")"),"#N/A")</f>
        <v>#N/A</v>
      </c>
      <c r="D11237" s="125"/>
    </row>
    <row r="11238">
      <c r="A11238" s="122" t="s">
        <v>36986</v>
      </c>
      <c r="B11238" s="123">
        <v>1841389.0</v>
      </c>
      <c r="C11238" s="687" t="str">
        <f>IFERROR(__xludf.DUMMYFUNCTION("GOOGLEFINANCE(A11238,""name"")"),"#N/A")</f>
        <v>#N/A</v>
      </c>
      <c r="D11238" s="125"/>
    </row>
    <row r="11239">
      <c r="A11239" s="122" t="s">
        <v>36987</v>
      </c>
      <c r="B11239" s="123">
        <v>1841389.0</v>
      </c>
      <c r="C11239" s="687" t="str">
        <f>IFERROR(__xludf.DUMMYFUNCTION("GOOGLEFINANCE(A11239,""name"")"),"#N/A")</f>
        <v>#N/A</v>
      </c>
      <c r="D11239" s="125"/>
    </row>
    <row r="11240">
      <c r="A11240" s="122" t="s">
        <v>36988</v>
      </c>
      <c r="B11240" s="123">
        <v>1841389.0</v>
      </c>
      <c r="C11240" s="687" t="str">
        <f>IFERROR(__xludf.DUMMYFUNCTION("GOOGLEFINANCE(A11240,""name"")"),"#N/A")</f>
        <v>#N/A</v>
      </c>
      <c r="D11240" s="125"/>
    </row>
    <row r="11241">
      <c r="A11241" s="122" t="s">
        <v>36989</v>
      </c>
      <c r="B11241" s="123">
        <v>1571283.0</v>
      </c>
      <c r="C11241" s="687" t="str">
        <f>IFERROR(__xludf.DUMMYFUNCTION("GOOGLEFINANCE(A11241,""name"")"),"#N/A")</f>
        <v>#N/A</v>
      </c>
      <c r="D11241" s="125"/>
    </row>
    <row r="11242">
      <c r="A11242" s="122" t="s">
        <v>36990</v>
      </c>
      <c r="B11242" s="123">
        <v>1571283.0</v>
      </c>
      <c r="C11242" s="687" t="str">
        <f>IFERROR(__xludf.DUMMYFUNCTION("GOOGLEFINANCE(A11242,""name"")"),"#N/A")</f>
        <v>#N/A</v>
      </c>
      <c r="D11242" s="125"/>
    </row>
    <row r="11243">
      <c r="A11243" s="122" t="s">
        <v>36991</v>
      </c>
      <c r="B11243" s="123">
        <v>1281761.0</v>
      </c>
      <c r="C11243" s="687" t="str">
        <f>IFERROR(__xludf.DUMMYFUNCTION("GOOGLEFINANCE(A11243,""name"")"),"#N/A")</f>
        <v>#N/A</v>
      </c>
      <c r="D11243" s="125"/>
    </row>
    <row r="11244">
      <c r="A11244" s="122" t="s">
        <v>36992</v>
      </c>
      <c r="B11244" s="123">
        <v>1281761.0</v>
      </c>
      <c r="C11244" s="687" t="str">
        <f>IFERROR(__xludf.DUMMYFUNCTION("GOOGLEFINANCE(A11244,""name"")"),"#N/A")</f>
        <v>#N/A</v>
      </c>
      <c r="D11244" s="125"/>
    </row>
    <row r="11245">
      <c r="A11245" s="122" t="s">
        <v>36993</v>
      </c>
      <c r="B11245" s="123">
        <v>1281761.0</v>
      </c>
      <c r="C11245" s="687" t="str">
        <f>IFERROR(__xludf.DUMMYFUNCTION("GOOGLEFINANCE(A11245,""name"")"),"#N/A")</f>
        <v>#N/A</v>
      </c>
      <c r="D11245" s="125"/>
    </row>
    <row r="11246">
      <c r="A11246" s="122" t="s">
        <v>36994</v>
      </c>
      <c r="B11246" s="123">
        <v>1847607.0</v>
      </c>
      <c r="C11246" s="687" t="str">
        <f>IFERROR(__xludf.DUMMYFUNCTION("GOOGLEFINANCE(A11246,""name"")"),"#N/A")</f>
        <v>#N/A</v>
      </c>
      <c r="D11246" s="125"/>
    </row>
    <row r="11247">
      <c r="A11247" s="122" t="s">
        <v>36995</v>
      </c>
      <c r="B11247" s="123">
        <v>1393066.0</v>
      </c>
      <c r="C11247" s="687" t="str">
        <f>IFERROR(__xludf.DUMMYFUNCTION("GOOGLEFINANCE(A11247,""name"")"),"#N/A")</f>
        <v>#N/A</v>
      </c>
      <c r="D11247" s="125"/>
    </row>
    <row r="11248">
      <c r="A11248" s="122" t="s">
        <v>36996</v>
      </c>
      <c r="B11248" s="123">
        <v>1878628.0</v>
      </c>
      <c r="C11248" s="687" t="str">
        <f>IFERROR(__xludf.DUMMYFUNCTION("GOOGLEFINANCE(A11248,""name"")"),"Rentguarantor Holdings PLC")</f>
        <v>Rentguarantor Holdings PLC</v>
      </c>
      <c r="D11248" s="125"/>
    </row>
    <row r="11249">
      <c r="A11249" s="122" t="s">
        <v>36997</v>
      </c>
      <c r="B11249" s="123">
        <v>1874985.0</v>
      </c>
      <c r="C11249" s="687" t="str">
        <f>IFERROR(__xludf.DUMMYFUNCTION("GOOGLEFINANCE(A11249,""name"")"),"#N/A")</f>
        <v>#N/A</v>
      </c>
      <c r="D11249" s="125"/>
    </row>
    <row r="11250">
      <c r="A11250" s="122" t="s">
        <v>36998</v>
      </c>
      <c r="B11250" s="123">
        <v>1004724.0</v>
      </c>
      <c r="C11250" s="687" t="str">
        <f>IFERROR(__xludf.DUMMYFUNCTION("GOOGLEFINANCE(A11250,""name"")"),"#N/A")</f>
        <v>#N/A</v>
      </c>
      <c r="D11250" s="125"/>
    </row>
    <row r="11251">
      <c r="A11251" s="122" t="s">
        <v>36999</v>
      </c>
      <c r="B11251" s="123">
        <v>1759546.0</v>
      </c>
      <c r="C11251" s="687" t="str">
        <f>IFERROR(__xludf.DUMMYFUNCTION("GOOGLEFINANCE(A11251,""name"")"),"#N/A")</f>
        <v>#N/A</v>
      </c>
      <c r="D11251" s="125"/>
    </row>
    <row r="11252">
      <c r="A11252" s="122" t="s">
        <v>37000</v>
      </c>
      <c r="B11252" s="123">
        <v>1556593.0</v>
      </c>
      <c r="C11252" s="687" t="str">
        <f>IFERROR(__xludf.DUMMYFUNCTION("GOOGLEFINANCE(A11252,""name"")"),"#N/A")</f>
        <v>#N/A</v>
      </c>
      <c r="D11252" s="125"/>
    </row>
    <row r="11253">
      <c r="A11253" s="122" t="s">
        <v>37001</v>
      </c>
      <c r="B11253" s="123">
        <v>1556593.0</v>
      </c>
      <c r="C11253" s="687" t="str">
        <f>IFERROR(__xludf.DUMMYFUNCTION("GOOGLEFINANCE(A11253,""name"")"),"#N/A")</f>
        <v>#N/A</v>
      </c>
      <c r="D11253" s="125"/>
    </row>
    <row r="11254">
      <c r="A11254" s="122" t="s">
        <v>37002</v>
      </c>
      <c r="B11254" s="123">
        <v>1556593.0</v>
      </c>
      <c r="C11254" s="687" t="str">
        <f>IFERROR(__xludf.DUMMYFUNCTION("GOOGLEFINANCE(A11254,""name"")"),"#N/A")</f>
        <v>#N/A</v>
      </c>
      <c r="D11254" s="125"/>
    </row>
    <row r="11255">
      <c r="A11255" s="122" t="s">
        <v>37003</v>
      </c>
      <c r="B11255" s="123">
        <v>1556593.0</v>
      </c>
      <c r="C11255" s="687" t="str">
        <f>IFERROR(__xludf.DUMMYFUNCTION("GOOGLEFINANCE(A11255,""name"")"),"#N/A")</f>
        <v>#N/A</v>
      </c>
      <c r="D11255" s="125"/>
    </row>
    <row r="11256">
      <c r="A11256" s="122" t="s">
        <v>37004</v>
      </c>
      <c r="B11256" s="123">
        <v>1501072.0</v>
      </c>
      <c r="C11256" s="687" t="str">
        <f>IFERROR(__xludf.DUMMYFUNCTION("GOOGLEFINANCE(A11256,""name"")"),"#N/A")</f>
        <v>#N/A</v>
      </c>
      <c r="D11256" s="125"/>
    </row>
    <row r="11257">
      <c r="A11257" s="122" t="s">
        <v>37005</v>
      </c>
      <c r="B11257" s="123">
        <v>1079282.0</v>
      </c>
      <c r="C11257" s="687" t="str">
        <f>IFERROR(__xludf.DUMMYFUNCTION("GOOGLEFINANCE(A11257,""name"")"),"#N/A")</f>
        <v>#N/A</v>
      </c>
      <c r="D11257" s="125"/>
    </row>
    <row r="11258">
      <c r="A11258" s="122" t="s">
        <v>37006</v>
      </c>
      <c r="B11258" s="123">
        <v>1852495.0</v>
      </c>
      <c r="C11258" s="687" t="str">
        <f>IFERROR(__xludf.DUMMYFUNCTION("GOOGLEFINANCE(A11258,""name"")"),"#N/A")</f>
        <v>#N/A</v>
      </c>
      <c r="D11258" s="125"/>
    </row>
    <row r="11259">
      <c r="A11259" s="122" t="s">
        <v>37007</v>
      </c>
      <c r="B11259" s="123">
        <v>1852495.0</v>
      </c>
      <c r="C11259" s="687" t="str">
        <f>IFERROR(__xludf.DUMMYFUNCTION("GOOGLEFINANCE(A11259,""name"")"),"#N/A")</f>
        <v>#N/A</v>
      </c>
      <c r="D11259" s="125"/>
    </row>
    <row r="11260">
      <c r="A11260" s="122" t="s">
        <v>37008</v>
      </c>
      <c r="B11260" s="123">
        <v>720005.0</v>
      </c>
      <c r="C11260" s="687" t="str">
        <f>IFERROR(__xludf.DUMMYFUNCTION("GOOGLEFINANCE(A11260,""name"")"),"#N/A")</f>
        <v>#N/A</v>
      </c>
      <c r="D11260" s="125"/>
    </row>
    <row r="11261">
      <c r="A11261" s="122" t="s">
        <v>37009</v>
      </c>
      <c r="B11261" s="123">
        <v>720005.0</v>
      </c>
      <c r="C11261" s="687" t="str">
        <f>IFERROR(__xludf.DUMMYFUNCTION("GOOGLEFINANCE(A11261,""name"")"),"#N/A")</f>
        <v>#N/A</v>
      </c>
      <c r="D11261" s="125"/>
    </row>
    <row r="11262">
      <c r="A11262" s="122" t="s">
        <v>37010</v>
      </c>
      <c r="B11262" s="123">
        <v>352960.0</v>
      </c>
      <c r="C11262" s="687" t="str">
        <f>IFERROR(__xludf.DUMMYFUNCTION("GOOGLEFINANCE(A11262,""name"")"),"#N/A")</f>
        <v>#N/A</v>
      </c>
      <c r="D11262" s="125"/>
    </row>
    <row r="11263">
      <c r="A11263" s="122" t="s">
        <v>37011</v>
      </c>
      <c r="B11263" s="123">
        <v>352960.0</v>
      </c>
      <c r="C11263" s="687" t="str">
        <f>IFERROR(__xludf.DUMMYFUNCTION("GOOGLEFINANCE(A11263,""name"")"),"#N/A")</f>
        <v>#N/A</v>
      </c>
      <c r="D11263" s="125"/>
    </row>
    <row r="11264">
      <c r="A11264" s="122" t="s">
        <v>37012</v>
      </c>
      <c r="B11264" s="123">
        <v>1469443.0</v>
      </c>
      <c r="C11264" s="687" t="str">
        <f>IFERROR(__xludf.DUMMYFUNCTION("GOOGLEFINANCE(A11264,""name"")"),"Arcadia Biosciences Inc")</f>
        <v>Arcadia Biosciences Inc</v>
      </c>
      <c r="D11264" s="125"/>
    </row>
    <row r="11265">
      <c r="A11265" s="122" t="s">
        <v>37013</v>
      </c>
      <c r="B11265" s="123">
        <v>1852117.0</v>
      </c>
      <c r="C11265" s="687" t="str">
        <f>IFERROR(__xludf.DUMMYFUNCTION("GOOGLEFINANCE(A11265,""name"")"),"#N/A")</f>
        <v>#N/A</v>
      </c>
      <c r="D11265" s="125"/>
    </row>
    <row r="11266">
      <c r="A11266" s="122" t="s">
        <v>37014</v>
      </c>
      <c r="B11266" s="123">
        <v>1852117.0</v>
      </c>
      <c r="C11266" s="687" t="str">
        <f>IFERROR(__xludf.DUMMYFUNCTION("GOOGLEFINANCE(A11266,""name"")"),"#N/A")</f>
        <v>#N/A</v>
      </c>
      <c r="D11266" s="125"/>
    </row>
    <row r="11267">
      <c r="A11267" s="122" t="s">
        <v>37015</v>
      </c>
      <c r="B11267" s="123">
        <v>1844363.0</v>
      </c>
      <c r="C11267" s="687" t="str">
        <f>IFERROR(__xludf.DUMMYFUNCTION("GOOGLEFINANCE(A11267,""name"")"),"#N/A")</f>
        <v>#N/A</v>
      </c>
      <c r="D11267" s="125"/>
    </row>
    <row r="11268">
      <c r="A11268" s="122" t="s">
        <v>37016</v>
      </c>
      <c r="B11268" s="123">
        <v>1511337.0</v>
      </c>
      <c r="C11268" s="687" t="str">
        <f>IFERROR(__xludf.DUMMYFUNCTION("GOOGLEFINANCE(A11268,""name"")"),"#N/A")</f>
        <v>#N/A</v>
      </c>
      <c r="D11268" s="125"/>
    </row>
    <row r="11269">
      <c r="A11269" s="122" t="s">
        <v>37017</v>
      </c>
      <c r="B11269" s="123">
        <v>1940251.0</v>
      </c>
      <c r="C11269" s="687" t="str">
        <f>IFERROR(__xludf.DUMMYFUNCTION("GOOGLEFINANCE(A11269,""name"")"),"#N/A")</f>
        <v>#N/A</v>
      </c>
      <c r="D11269" s="125"/>
    </row>
    <row r="11270">
      <c r="A11270" s="122" t="s">
        <v>37018</v>
      </c>
      <c r="B11270" s="123">
        <v>1866874.0</v>
      </c>
      <c r="C11270" s="687" t="str">
        <f>IFERROR(__xludf.DUMMYFUNCTION("GOOGLEFINANCE(A11270,""name"")"),"Cohen &amp; Strs Rl Est Opprtnts ad Incm Fnd")</f>
        <v>Cohen &amp; Strs Rl Est Opprtnts ad Incm Fnd</v>
      </c>
      <c r="D11270" s="125"/>
    </row>
    <row r="11271">
      <c r="A11271" s="122" t="s">
        <v>37019</v>
      </c>
      <c r="B11271" s="123">
        <v>1716621.0</v>
      </c>
      <c r="C11271" s="687" t="str">
        <f>IFERROR(__xludf.DUMMYFUNCTION("GOOGLEFINANCE(A11271,""name"")"),"#N/A")</f>
        <v>#N/A</v>
      </c>
      <c r="D11271" s="125"/>
    </row>
    <row r="11272">
      <c r="A11272" s="122" t="s">
        <v>37020</v>
      </c>
      <c r="B11272" s="123">
        <v>1771226.0</v>
      </c>
      <c r="C11272" s="687" t="str">
        <f>IFERROR(__xludf.DUMMYFUNCTION("GOOGLEFINANCE(A11272,""name"")"),"RiverNorth Mngd Durtn Mncpl Inc Fund Inc")</f>
        <v>RiverNorth Mngd Durtn Mncpl Inc Fund Inc</v>
      </c>
      <c r="D11272" s="125"/>
    </row>
    <row r="11273">
      <c r="A11273" s="122" t="s">
        <v>37021</v>
      </c>
      <c r="B11273" s="123">
        <v>1644771.0</v>
      </c>
      <c r="C11273" s="687" t="str">
        <f>IFERROR(__xludf.DUMMYFUNCTION("GOOGLEFINANCE(A11273,""name"")"),"#N/A")</f>
        <v>#N/A</v>
      </c>
      <c r="D11273" s="125"/>
    </row>
    <row r="11274">
      <c r="A11274" s="122" t="s">
        <v>37022</v>
      </c>
      <c r="B11274" s="123">
        <v>1644771.0</v>
      </c>
      <c r="C11274" s="687" t="str">
        <f>IFERROR(__xludf.DUMMYFUNCTION("GOOGLEFINANCE(A11274,""name"")"),"#N/A")</f>
        <v>#N/A</v>
      </c>
      <c r="D11274" s="125"/>
    </row>
    <row r="11275">
      <c r="A11275" s="122" t="s">
        <v>37023</v>
      </c>
      <c r="B11275" s="123">
        <v>1667161.0</v>
      </c>
      <c r="C11275" s="687" t="str">
        <f>IFERROR(__xludf.DUMMYFUNCTION("GOOGLEFINANCE(A11275,""name"")"),"#N/A")</f>
        <v>#N/A</v>
      </c>
      <c r="D11275" s="125"/>
    </row>
    <row r="11276">
      <c r="A11276" s="122" t="s">
        <v>37024</v>
      </c>
      <c r="B11276" s="123">
        <v>1854461.0</v>
      </c>
      <c r="C11276" s="687" t="str">
        <f>IFERROR(__xludf.DUMMYFUNCTION("GOOGLEFINANCE(A11276,""name"")"),"#N/A")</f>
        <v>#N/A</v>
      </c>
      <c r="D11276" s="125"/>
    </row>
    <row r="11277">
      <c r="A11277" s="122" t="s">
        <v>37025</v>
      </c>
      <c r="B11277" s="123">
        <v>1854461.0</v>
      </c>
      <c r="C11277" s="687" t="str">
        <f>IFERROR(__xludf.DUMMYFUNCTION("GOOGLEFINANCE(A11277,""name"")"),"#N/A")</f>
        <v>#N/A</v>
      </c>
      <c r="D11277" s="125"/>
    </row>
    <row r="11278">
      <c r="A11278" s="122" t="s">
        <v>37026</v>
      </c>
      <c r="B11278" s="123">
        <v>913144.0</v>
      </c>
      <c r="C11278" s="687" t="str">
        <f>IFERROR(__xludf.DUMMYFUNCTION("GOOGLEFINANCE(A11278,""name"")"),"#N/A")</f>
        <v>#N/A</v>
      </c>
      <c r="D11278" s="125"/>
    </row>
    <row r="11279">
      <c r="A11279" s="122" t="s">
        <v>37027</v>
      </c>
      <c r="B11279" s="123">
        <v>913144.0</v>
      </c>
      <c r="C11279" s="687" t="str">
        <f>IFERROR(__xludf.DUMMYFUNCTION("GOOGLEFINANCE(A11279,""name"")"),"#N/A")</f>
        <v>#N/A</v>
      </c>
      <c r="D11279" s="125"/>
    </row>
    <row r="11280">
      <c r="A11280" s="122" t="s">
        <v>37028</v>
      </c>
      <c r="B11280" s="123">
        <v>1046327.0</v>
      </c>
      <c r="C11280" s="687" t="str">
        <f>IFERROR(__xludf.DUMMYFUNCTION("GOOGLEFINANCE(A11280,""name"")"),"#N/A")</f>
        <v>#N/A</v>
      </c>
      <c r="D11280" s="125"/>
    </row>
    <row r="11281">
      <c r="A11281" s="122" t="s">
        <v>37029</v>
      </c>
      <c r="B11281" s="123">
        <v>1058330.0</v>
      </c>
      <c r="C11281" s="687" t="str">
        <f>IFERROR(__xludf.DUMMYFUNCTION("GOOGLEFINANCE(A11281,""name"")"),"#N/A")</f>
        <v>#N/A</v>
      </c>
      <c r="D11281" s="125"/>
    </row>
    <row r="11282">
      <c r="A11282" s="122" t="s">
        <v>37030</v>
      </c>
      <c r="B11282" s="123">
        <v>1890380.0</v>
      </c>
      <c r="C11282" s="687" t="str">
        <f>IFERROR(__xludf.DUMMYFUNCTION("GOOGLEFINANCE(A11282,""name"")"),"Lion Rock Resources Inc")</f>
        <v>Lion Rock Resources Inc</v>
      </c>
      <c r="D11282" s="125"/>
    </row>
    <row r="11283">
      <c r="A11283" s="122" t="s">
        <v>37031</v>
      </c>
      <c r="B11283" s="123">
        <v>1884516.0</v>
      </c>
      <c r="C11283" s="687" t="str">
        <f>IFERROR(__xludf.DUMMYFUNCTION("GOOGLEFINANCE(A11283,""name"")"),"#N/A")</f>
        <v>#N/A</v>
      </c>
      <c r="D11283" s="125"/>
    </row>
    <row r="11284">
      <c r="A11284" s="122" t="s">
        <v>37032</v>
      </c>
      <c r="B11284" s="123">
        <v>1884516.0</v>
      </c>
      <c r="C11284" s="687" t="str">
        <f>IFERROR(__xludf.DUMMYFUNCTION("GOOGLEFINANCE(A11284,""name"")"),"#N/A")</f>
        <v>#N/A</v>
      </c>
      <c r="D11284" s="125"/>
    </row>
    <row r="11285">
      <c r="A11285" s="122" t="s">
        <v>37033</v>
      </c>
      <c r="B11285" s="123">
        <v>77159.0</v>
      </c>
      <c r="C11285" s="687" t="str">
        <f>IFERROR(__xludf.DUMMYFUNCTION("GOOGLEFINANCE(A11285,""name"")"),"#N/A")</f>
        <v>#N/A</v>
      </c>
      <c r="D11285" s="125"/>
    </row>
    <row r="11286">
      <c r="A11286" s="122" t="s">
        <v>37034</v>
      </c>
      <c r="B11286" s="123">
        <v>1855447.0</v>
      </c>
      <c r="C11286" s="687" t="str">
        <f>IFERROR(__xludf.DUMMYFUNCTION("GOOGLEFINANCE(A11286,""name"")"),"#N/A")</f>
        <v>#N/A</v>
      </c>
      <c r="D11286" s="125"/>
    </row>
    <row r="11287">
      <c r="A11287" s="122" t="s">
        <v>37035</v>
      </c>
      <c r="B11287" s="123">
        <v>1635088.0</v>
      </c>
      <c r="C11287" s="687" t="str">
        <f>IFERROR(__xludf.DUMMYFUNCTION("GOOGLEFINANCE(A11287,""name"")"),"Roivant Sciences Ltd")</f>
        <v>Roivant Sciences Ltd</v>
      </c>
      <c r="D11287" s="125"/>
    </row>
    <row r="11288">
      <c r="A11288" s="122" t="s">
        <v>37036</v>
      </c>
      <c r="B11288" s="123">
        <v>1635088.0</v>
      </c>
      <c r="C11288" s="687" t="str">
        <f>IFERROR(__xludf.DUMMYFUNCTION("GOOGLEFINANCE(A11288,""name"")"),"#N/A")</f>
        <v>#N/A</v>
      </c>
      <c r="D11288" s="125"/>
    </row>
    <row r="11289">
      <c r="A11289" s="122" t="s">
        <v>37037</v>
      </c>
      <c r="B11289" s="123">
        <v>1324948.0</v>
      </c>
      <c r="C11289" s="687" t="str">
        <f>IFERROR(__xludf.DUMMYFUNCTION("GOOGLEFINANCE(A11289,""name"")"),"#N/A")</f>
        <v>#N/A</v>
      </c>
      <c r="D11289" s="125"/>
    </row>
    <row r="11290">
      <c r="A11290" s="122" t="s">
        <v>37038</v>
      </c>
      <c r="B11290" s="123">
        <v>1845437.0</v>
      </c>
      <c r="C11290" s="687" t="str">
        <f>IFERROR(__xludf.DUMMYFUNCTION("GOOGLEFINANCE(A11290,""name"")"),"#N/A")</f>
        <v>#N/A</v>
      </c>
      <c r="D11290" s="125"/>
    </row>
    <row r="11291">
      <c r="A11291" s="122" t="s">
        <v>37039</v>
      </c>
      <c r="B11291" s="123">
        <v>1845437.0</v>
      </c>
      <c r="C11291" s="687" t="str">
        <f>IFERROR(__xludf.DUMMYFUNCTION("GOOGLEFINANCE(A11291,""name"")"),"#N/A")</f>
        <v>#N/A</v>
      </c>
      <c r="D11291" s="125"/>
    </row>
    <row r="11292">
      <c r="A11292" s="122" t="s">
        <v>37040</v>
      </c>
      <c r="B11292" s="123">
        <v>1845437.0</v>
      </c>
      <c r="C11292" s="687" t="str">
        <f>IFERROR(__xludf.DUMMYFUNCTION("GOOGLEFINANCE(A11292,""name"")"),"#N/A")</f>
        <v>#N/A</v>
      </c>
      <c r="D11292" s="125"/>
    </row>
    <row r="11293">
      <c r="A11293" s="122" t="s">
        <v>37041</v>
      </c>
      <c r="B11293" s="123">
        <v>1870129.0</v>
      </c>
      <c r="C11293" s="687" t="str">
        <f>IFERROR(__xludf.DUMMYFUNCTION("GOOGLEFINANCE(A11293,""name"")"),"#N/A")</f>
        <v>#N/A</v>
      </c>
      <c r="D11293" s="125"/>
    </row>
    <row r="11294">
      <c r="A11294" s="122" t="s">
        <v>37042</v>
      </c>
      <c r="B11294" s="123">
        <v>1870129.0</v>
      </c>
      <c r="C11294" s="687" t="str">
        <f>IFERROR(__xludf.DUMMYFUNCTION("GOOGLEFINANCE(A11294,""name"")"),"#N/A")</f>
        <v>#N/A</v>
      </c>
      <c r="D11294" s="125"/>
    </row>
    <row r="11295">
      <c r="A11295" s="122" t="s">
        <v>37043</v>
      </c>
      <c r="B11295" s="123">
        <v>1841610.0</v>
      </c>
      <c r="C11295" s="687" t="str">
        <f>IFERROR(__xludf.DUMMYFUNCTION("GOOGLEFINANCE(A11295,""name"")"),"#N/A")</f>
        <v>#N/A</v>
      </c>
      <c r="D11295" s="125"/>
    </row>
    <row r="11296">
      <c r="A11296" s="122" t="s">
        <v>37044</v>
      </c>
      <c r="B11296" s="123">
        <v>1841610.0</v>
      </c>
      <c r="C11296" s="687" t="str">
        <f>IFERROR(__xludf.DUMMYFUNCTION("GOOGLEFINANCE(A11296,""name"")"),"#N/A")</f>
        <v>#N/A</v>
      </c>
      <c r="D11296" s="125"/>
    </row>
    <row r="11297">
      <c r="A11297" s="122" t="s">
        <v>37045</v>
      </c>
      <c r="B11297" s="123">
        <v>1858721.0</v>
      </c>
      <c r="C11297" s="687" t="str">
        <f>IFERROR(__xludf.DUMMYFUNCTION("GOOGLEFINANCE(A11297,""name"")"),"#N/A")</f>
        <v>#N/A</v>
      </c>
      <c r="D11297" s="125"/>
    </row>
    <row r="11298">
      <c r="A11298" s="122" t="s">
        <v>37046</v>
      </c>
      <c r="B11298" s="123">
        <v>1912884.0</v>
      </c>
      <c r="C11298" s="687" t="str">
        <f>IFERROR(__xludf.DUMMYFUNCTION("GOOGLEFINANCE(A11298,""name"")"),"Republic Power Group Ltd")</f>
        <v>Republic Power Group Ltd</v>
      </c>
      <c r="D11298" s="125"/>
    </row>
    <row r="11299">
      <c r="A11299" s="122" t="s">
        <v>37047</v>
      </c>
      <c r="B11299" s="123">
        <v>842183.0</v>
      </c>
      <c r="C11299" s="687" t="str">
        <f>IFERROR(__xludf.DUMMYFUNCTION("GOOGLEFINANCE(A11299,""name"")"),"Rithm Property Trust Inc")</f>
        <v>Rithm Property Trust Inc</v>
      </c>
      <c r="D11299" s="125"/>
    </row>
    <row r="11300">
      <c r="A11300" s="122" t="s">
        <v>37048</v>
      </c>
      <c r="B11300" s="123">
        <v>842183.0</v>
      </c>
      <c r="C11300" s="687" t="str">
        <f>IFERROR(__xludf.DUMMYFUNCTION("GOOGLEFINANCE(A11300,""name"")"),"#N/A")</f>
        <v>#N/A</v>
      </c>
      <c r="D11300" s="125"/>
    </row>
    <row r="11301">
      <c r="A11301" s="122" t="s">
        <v>37049</v>
      </c>
      <c r="B11301" s="123">
        <v>1860879.0</v>
      </c>
      <c r="C11301" s="687" t="str">
        <f>IFERROR(__xludf.DUMMYFUNCTION("GOOGLEFINANCE(A11301,""name"")"),"#N/A")</f>
        <v>#N/A</v>
      </c>
      <c r="D11301" s="125"/>
    </row>
    <row r="11302">
      <c r="A11302" s="122" t="s">
        <v>37050</v>
      </c>
      <c r="B11302" s="123">
        <v>1860879.0</v>
      </c>
      <c r="C11302" s="687" t="str">
        <f>IFERROR(__xludf.DUMMYFUNCTION("GOOGLEFINANCE(A11302,""name"")"),"#N/A")</f>
        <v>#N/A</v>
      </c>
      <c r="D11302" s="125"/>
    </row>
    <row r="11303">
      <c r="A11303" s="122" t="s">
        <v>37051</v>
      </c>
      <c r="B11303" s="123">
        <v>1768126.0</v>
      </c>
      <c r="C11303" s="687" t="str">
        <f>IFERROR(__xludf.DUMMYFUNCTION("GOOGLEFINANCE(A11303,""name"")"),"#N/A")</f>
        <v>#N/A</v>
      </c>
      <c r="D11303" s="125"/>
    </row>
    <row r="11304">
      <c r="A11304" s="122" t="s">
        <v>37052</v>
      </c>
      <c r="B11304" s="123">
        <v>1568162.0</v>
      </c>
      <c r="C11304" s="687" t="str">
        <f>IFERROR(__xludf.DUMMYFUNCTION("GOOGLEFINANCE(A11304,""name"")"),"#N/A")</f>
        <v>#N/A</v>
      </c>
      <c r="D11304" s="125"/>
    </row>
    <row r="11305">
      <c r="A11305" s="122" t="s">
        <v>37053</v>
      </c>
      <c r="B11305" s="123">
        <v>1568162.0</v>
      </c>
      <c r="C11305" s="687" t="str">
        <f>IFERROR(__xludf.DUMMYFUNCTION("GOOGLEFINANCE(A11305,""name"")"),"#N/A")</f>
        <v>#N/A</v>
      </c>
      <c r="D11305" s="125"/>
    </row>
    <row r="11306">
      <c r="A11306" s="122" t="s">
        <v>37054</v>
      </c>
      <c r="B11306" s="123">
        <v>1748773.0</v>
      </c>
      <c r="C11306" s="687" t="str">
        <f>IFERROR(__xludf.DUMMYFUNCTION("GOOGLEFINANCE(A11306,""name"")"),"#N/A")</f>
        <v>#N/A</v>
      </c>
      <c r="D11306" s="125"/>
    </row>
    <row r="11307">
      <c r="A11307" s="122" t="s">
        <v>37055</v>
      </c>
      <c r="B11307" s="123">
        <v>930157.0</v>
      </c>
      <c r="C11307" s="687" t="str">
        <f>IFERROR(__xludf.DUMMYFUNCTION("GOOGLEFINANCE(A11307,""name"")"),"#N/A")</f>
        <v>#N/A</v>
      </c>
      <c r="D11307" s="125"/>
    </row>
    <row r="11308">
      <c r="A11308" s="122" t="s">
        <v>37056</v>
      </c>
      <c r="B11308" s="123">
        <v>1828109.0</v>
      </c>
      <c r="C11308" s="687" t="str">
        <f>IFERROR(__xludf.DUMMYFUNCTION("GOOGLEFINANCE(A11308,""name"")"),"#N/A")</f>
        <v>#N/A</v>
      </c>
      <c r="D11308" s="125"/>
    </row>
    <row r="11309">
      <c r="A11309" s="122" t="s">
        <v>37057</v>
      </c>
      <c r="B11309" s="123">
        <v>1646576.0</v>
      </c>
      <c r="C11309" s="687" t="str">
        <f>IFERROR(__xludf.DUMMYFUNCTION("GOOGLEFINANCE(A11309,""name"")"),"#N/A")</f>
        <v>#N/A</v>
      </c>
      <c r="D11309" s="125"/>
    </row>
    <row r="11310">
      <c r="A11310" s="122" t="s">
        <v>37058</v>
      </c>
      <c r="B11310" s="123">
        <v>1817241.0</v>
      </c>
      <c r="C11310" s="687" t="str">
        <f>IFERROR(__xludf.DUMMYFUNCTION("GOOGLEFINANCE(A11310,""name"")"),"#N/A")</f>
        <v>#N/A</v>
      </c>
      <c r="D11310" s="125"/>
    </row>
    <row r="11311">
      <c r="A11311" s="122" t="s">
        <v>37059</v>
      </c>
      <c r="B11311" s="123">
        <v>1324272.0</v>
      </c>
      <c r="C11311" s="687" t="str">
        <f>IFERROR(__xludf.DUMMYFUNCTION("GOOGLEFINANCE(A11311,""name"")"),"#N/A")</f>
        <v>#N/A</v>
      </c>
      <c r="D11311" s="125"/>
    </row>
    <row r="11312">
      <c r="A11312" s="122" t="s">
        <v>37060</v>
      </c>
      <c r="B11312" s="123">
        <v>1735184.0</v>
      </c>
      <c r="C11312" s="687" t="str">
        <f>IFERROR(__xludf.DUMMYFUNCTION("GOOGLEFINANCE(A11312,""name"")"),"#N/A")</f>
        <v>#N/A</v>
      </c>
      <c r="D11312" s="125"/>
    </row>
    <row r="11313">
      <c r="A11313" s="122" t="s">
        <v>37061</v>
      </c>
      <c r="B11313" s="123">
        <v>1718500.0</v>
      </c>
      <c r="C11313" s="687" t="str">
        <f>IFERROR(__xludf.DUMMYFUNCTION("GOOGLEFINANCE(A11313,""name"")"),"#N/A")</f>
        <v>#N/A</v>
      </c>
      <c r="D11313" s="125"/>
    </row>
    <row r="11314">
      <c r="A11314" s="122" t="s">
        <v>37062</v>
      </c>
      <c r="B11314" s="123">
        <v>1739426.0</v>
      </c>
      <c r="C11314" s="687" t="str">
        <f>IFERROR(__xludf.DUMMYFUNCTION("GOOGLEFINANCE(A11314,""name"")"),"#N/A")</f>
        <v>#N/A</v>
      </c>
      <c r="D11314" s="125"/>
    </row>
    <row r="11315">
      <c r="A11315" s="122" t="s">
        <v>37063</v>
      </c>
      <c r="B11315" s="123">
        <v>1744345.0</v>
      </c>
      <c r="C11315" s="687" t="str">
        <f>IFERROR(__xludf.DUMMYFUNCTION("GOOGLEFINANCE(A11315,""name"")"),"#N/A")</f>
        <v>#N/A</v>
      </c>
      <c r="D11315" s="125"/>
    </row>
    <row r="11316">
      <c r="A11316" s="122" t="s">
        <v>37064</v>
      </c>
      <c r="B11316" s="123">
        <v>1607962.0</v>
      </c>
      <c r="C11316" s="687" t="str">
        <f>IFERROR(__xludf.DUMMYFUNCTION("GOOGLEFINANCE(A11316,""name"")"),"#N/A")</f>
        <v>#N/A</v>
      </c>
      <c r="D11316" s="125"/>
    </row>
    <row r="11317">
      <c r="A11317" s="122" t="s">
        <v>37065</v>
      </c>
      <c r="B11317" s="123">
        <v>1718852.0</v>
      </c>
      <c r="C11317" s="687" t="str">
        <f>IFERROR(__xludf.DUMMYFUNCTION("GOOGLEFINANCE(A11317,""name"")"),"#N/A")</f>
        <v>#N/A</v>
      </c>
      <c r="D11317" s="125"/>
    </row>
    <row r="11318">
      <c r="A11318" s="122" t="s">
        <v>37066</v>
      </c>
      <c r="B11318" s="123">
        <v>1840463.0</v>
      </c>
      <c r="C11318" s="687" t="str">
        <f>IFERROR(__xludf.DUMMYFUNCTION("GOOGLEFINANCE(A11318,""name"")"),"#N/A")</f>
        <v>#N/A</v>
      </c>
      <c r="D11318" s="125"/>
    </row>
    <row r="11319">
      <c r="A11319" s="122" t="s">
        <v>37067</v>
      </c>
      <c r="B11319" s="123">
        <v>1840463.0</v>
      </c>
      <c r="C11319" s="687" t="str">
        <f>IFERROR(__xludf.DUMMYFUNCTION("GOOGLEFINANCE(A11319,""name"")"),"#N/A")</f>
        <v>#N/A</v>
      </c>
      <c r="D11319" s="125"/>
    </row>
    <row r="11320">
      <c r="A11320" s="122" t="s">
        <v>37068</v>
      </c>
      <c r="B11320" s="123">
        <v>1840463.0</v>
      </c>
      <c r="C11320" s="687" t="str">
        <f>IFERROR(__xludf.DUMMYFUNCTION("GOOGLEFINANCE(A11320,""name"")"),"#N/A")</f>
        <v>#N/A</v>
      </c>
      <c r="D11320" s="125"/>
    </row>
    <row r="11321">
      <c r="A11321" s="122" t="s">
        <v>37069</v>
      </c>
      <c r="B11321" s="123">
        <v>1000275.0</v>
      </c>
      <c r="C11321" s="687" t="str">
        <f>IFERROR(__xludf.DUMMYFUNCTION("GOOGLEFINANCE(A11321,""name"")"),"#N/A")</f>
        <v>#N/A</v>
      </c>
      <c r="D11321" s="125"/>
    </row>
    <row r="11322">
      <c r="A11322" s="122" t="s">
        <v>37070</v>
      </c>
      <c r="B11322" s="123">
        <v>898174.0</v>
      </c>
      <c r="C11322" s="687" t="str">
        <f>IFERROR(__xludf.DUMMYFUNCTION("GOOGLEFINANCE(A11322,""name"")"),"Reinsurance Group of America 5.75 Fixed To Floating Rate Subordinated Debentures Exp 2056")</f>
        <v>Reinsurance Group of America 5.75 Fixed To Floating Rate Subordinated Debentures Exp 2056</v>
      </c>
      <c r="D11322" s="125"/>
    </row>
    <row r="11323">
      <c r="A11323" s="122" t="s">
        <v>37071</v>
      </c>
      <c r="B11323" s="123">
        <v>1062750.0</v>
      </c>
      <c r="C11323" s="687" t="str">
        <f>IFERROR(__xludf.DUMMYFUNCTION("GOOGLEFINANCE(A11323,""name"")"),"#N/A")</f>
        <v>#N/A</v>
      </c>
      <c r="D11323" s="125"/>
    </row>
    <row r="11324">
      <c r="A11324" s="122" t="s">
        <v>37072</v>
      </c>
      <c r="B11324" s="123">
        <v>1597033.0</v>
      </c>
      <c r="C11324" s="687" t="str">
        <f>IFERROR(__xludf.DUMMYFUNCTION("GOOGLEFINANCE(A11324,""name"")"),"#N/A")</f>
        <v>#N/A</v>
      </c>
      <c r="D11324" s="125"/>
    </row>
    <row r="11325">
      <c r="A11325" s="122" t="s">
        <v>37073</v>
      </c>
      <c r="B11325" s="123">
        <v>1682220.0</v>
      </c>
      <c r="C11325" s="687" t="str">
        <f>IFERROR(__xludf.DUMMYFUNCTION("GOOGLEFINANCE(A11325,""name"")"),"#N/A")</f>
        <v>#N/A</v>
      </c>
      <c r="D11325" s="125"/>
    </row>
    <row r="11326">
      <c r="A11326" s="122" t="s">
        <v>37074</v>
      </c>
      <c r="B11326" s="123">
        <v>313151.0</v>
      </c>
      <c r="C11326" s="687" t="str">
        <f>IFERROR(__xludf.DUMMYFUNCTION("GOOGLEFINANCE(A11326,""name"")"),"#N/A")</f>
        <v>#N/A</v>
      </c>
      <c r="D11326" s="125"/>
    </row>
    <row r="11327">
      <c r="A11327" s="122" t="s">
        <v>37075</v>
      </c>
      <c r="B11327" s="123">
        <v>1688852.0</v>
      </c>
      <c r="C11327" s="687" t="str">
        <f>IFERROR(__xludf.DUMMYFUNCTION("GOOGLEFINANCE(A11327,""name"")"),"Safehold Inc")</f>
        <v>Safehold Inc</v>
      </c>
      <c r="D11327" s="125"/>
    </row>
    <row r="11328">
      <c r="A11328" s="122" t="s">
        <v>37076</v>
      </c>
      <c r="B11328" s="123">
        <v>1172052.0</v>
      </c>
      <c r="C11328" s="687" t="str">
        <f>IFERROR(__xludf.DUMMYFUNCTION("GOOGLEFINANCE(A11328,""name"")"),"Safety Insurance Group Inc")</f>
        <v>Safety Insurance Group Inc</v>
      </c>
      <c r="D11328" s="125"/>
    </row>
    <row r="11329">
      <c r="A11329" s="122" t="s">
        <v>37077</v>
      </c>
      <c r="B11329" s="123">
        <v>1855351.0</v>
      </c>
      <c r="C11329" s="687" t="str">
        <f>IFERROR(__xludf.DUMMYFUNCTION("GOOGLEFINANCE(A11329,""name"")"),"Saga Metals Corp")</f>
        <v>Saga Metals Corp</v>
      </c>
      <c r="D11329" s="125"/>
    </row>
    <row r="11330">
      <c r="A11330" s="122" t="s">
        <v>37078</v>
      </c>
      <c r="B11330" s="123">
        <v>1855351.0</v>
      </c>
      <c r="C11330" s="687" t="str">
        <f>IFERROR(__xludf.DUMMYFUNCTION("GOOGLEFINANCE(A11330,""name"")"),"#N/A")</f>
        <v>#N/A</v>
      </c>
      <c r="D11330" s="125"/>
    </row>
    <row r="11331">
      <c r="A11331" s="122" t="s">
        <v>37079</v>
      </c>
      <c r="B11331" s="123">
        <v>1597553.0</v>
      </c>
      <c r="C11331" s="687" t="str">
        <f>IFERROR(__xludf.DUMMYFUNCTION("GOOGLEFINANCE(A11331,""name"")"),"Sage Potash Corp")</f>
        <v>Sage Potash Corp</v>
      </c>
      <c r="D11331" s="125"/>
    </row>
    <row r="11332">
      <c r="A11332" s="122" t="s">
        <v>37080</v>
      </c>
      <c r="B11332" s="123">
        <v>1639953.0</v>
      </c>
      <c r="C11332" s="687" t="str">
        <f>IFERROR(__xludf.DUMMYFUNCTION("GOOGLEFINANCE(A11332,""name"")"),"#N/A")</f>
        <v>#N/A</v>
      </c>
      <c r="D11332" s="125"/>
    </row>
    <row r="11333">
      <c r="A11333" s="122" t="s">
        <v>37081</v>
      </c>
      <c r="B11333" s="123">
        <v>1177702.0</v>
      </c>
      <c r="C11333" s="687" t="str">
        <f>IFERROR(__xludf.DUMMYFUNCTION("GOOGLEFINANCE(A11333,""name"")"),"Saia Inc")</f>
        <v>Saia Inc</v>
      </c>
      <c r="D11333" s="125"/>
    </row>
    <row r="11334">
      <c r="A11334" s="122" t="s">
        <v>37082</v>
      </c>
      <c r="B11334" s="123">
        <v>1571123.0</v>
      </c>
      <c r="C11334" s="687" t="str">
        <f>IFERROR(__xludf.DUMMYFUNCTION("GOOGLEFINANCE(A11334,""name"")"),"Science Applications International Corp")</f>
        <v>Science Applications International Corp</v>
      </c>
      <c r="D11334" s="125"/>
    </row>
    <row r="11335">
      <c r="A11335" s="122" t="s">
        <v>37083</v>
      </c>
      <c r="B11335" s="123">
        <v>1843100.0</v>
      </c>
      <c r="C11335" s="687" t="str">
        <f>IFERROR(__xludf.DUMMYFUNCTION("GOOGLEFINANCE(A11335,""name"")"),"#N/A")</f>
        <v>#N/A</v>
      </c>
      <c r="D11335" s="125"/>
    </row>
    <row r="11336">
      <c r="A11336" s="122" t="s">
        <v>37084</v>
      </c>
      <c r="B11336" s="123">
        <v>1843100.0</v>
      </c>
      <c r="C11336" s="687" t="str">
        <f>IFERROR(__xludf.DUMMYFUNCTION("GOOGLEFINANCE(A11336,""name"")"),"#N/A")</f>
        <v>#N/A</v>
      </c>
      <c r="D11336" s="125"/>
    </row>
    <row r="11337">
      <c r="A11337" s="122" t="s">
        <v>37085</v>
      </c>
      <c r="B11337" s="123">
        <v>1843100.0</v>
      </c>
      <c r="C11337" s="687" t="str">
        <f>IFERROR(__xludf.DUMMYFUNCTION("GOOGLEFINANCE(A11337,""name"")"),"#N/A")</f>
        <v>#N/A</v>
      </c>
      <c r="D11337" s="125"/>
    </row>
    <row r="11338">
      <c r="A11338" s="122" t="s">
        <v>37086</v>
      </c>
      <c r="B11338" s="123">
        <v>1856689.0</v>
      </c>
      <c r="C11338" s="687" t="str">
        <f>IFERROR(__xludf.DUMMYFUNCTION("GOOGLEFINANCE(A11338,""name"")"),"#N/A")</f>
        <v>#N/A</v>
      </c>
      <c r="D11338" s="125"/>
    </row>
    <row r="11339">
      <c r="A11339" s="122" t="s">
        <v>37087</v>
      </c>
      <c r="B11339" s="123">
        <v>1062750.0</v>
      </c>
      <c r="C11339" s="687" t="str">
        <f>IFERROR(__xludf.DUMMYFUNCTION("GOOGLEFINANCE(A11339,""name"")"),"#N/A")</f>
        <v>#N/A</v>
      </c>
      <c r="D11339" s="125"/>
    </row>
    <row r="11340">
      <c r="A11340" s="122" t="s">
        <v>37088</v>
      </c>
      <c r="B11340" s="123">
        <v>1451279.0</v>
      </c>
      <c r="C11340" s="687" t="str">
        <f>IFERROR(__xludf.DUMMYFUNCTION("GOOGLEFINANCE(A11340,""name"")"),"Straumann Holding AG")</f>
        <v>Straumann Holding AG</v>
      </c>
      <c r="D11340" s="125"/>
    </row>
    <row r="11341">
      <c r="A11341" s="122" t="s">
        <v>37089</v>
      </c>
      <c r="B11341" s="123">
        <v>1451279.0</v>
      </c>
      <c r="C11341" s="687" t="str">
        <f>IFERROR(__xludf.DUMMYFUNCTION("GOOGLEFINANCE(A11341,""name"")"),"Straumann Holding ADR")</f>
        <v>Straumann Holding ADR</v>
      </c>
      <c r="D11341" s="125"/>
    </row>
    <row r="11342">
      <c r="A11342" s="122" t="s">
        <v>37090</v>
      </c>
      <c r="B11342" s="123">
        <v>1434754.0</v>
      </c>
      <c r="C11342" s="687" t="str">
        <f>IFERROR(__xludf.DUMMYFUNCTION("GOOGLEFINANCE(A11342,""name"")"),"#N/A")</f>
        <v>#N/A</v>
      </c>
      <c r="D11342" s="125"/>
    </row>
    <row r="11343">
      <c r="A11343" s="122" t="s">
        <v>37091</v>
      </c>
      <c r="B11343" s="123">
        <v>1434754.0</v>
      </c>
      <c r="C11343" s="687" t="str">
        <f>IFERROR(__xludf.DUMMYFUNCTION("GOOGLEFINANCE(A11343,""name"")"),"#N/A")</f>
        <v>#N/A</v>
      </c>
      <c r="D11343" s="125"/>
    </row>
    <row r="11344">
      <c r="A11344" s="122" t="s">
        <v>37092</v>
      </c>
      <c r="B11344" s="123">
        <v>1553788.0</v>
      </c>
      <c r="C11344" s="687" t="str">
        <f>IFERROR(__xludf.DUMMYFUNCTION("GOOGLEFINANCE(A11344,""name"")"),"#N/A")</f>
        <v>#N/A</v>
      </c>
      <c r="D11344" s="125"/>
    </row>
    <row r="11345">
      <c r="A11345" s="122" t="s">
        <v>37093</v>
      </c>
      <c r="B11345" s="123">
        <v>1842729.0</v>
      </c>
      <c r="C11345" s="687" t="str">
        <f>IFERROR(__xludf.DUMMYFUNCTION("GOOGLEFINANCE(A11345,""name"")"),"#N/A")</f>
        <v>#N/A</v>
      </c>
      <c r="D11345" s="125"/>
    </row>
    <row r="11346">
      <c r="A11346" s="122" t="s">
        <v>37094</v>
      </c>
      <c r="B11346" s="123">
        <v>1842729.0</v>
      </c>
      <c r="C11346" s="687" t="str">
        <f>IFERROR(__xludf.DUMMYFUNCTION("GOOGLEFINANCE(A11346,""name"")"),"#N/A")</f>
        <v>#N/A</v>
      </c>
      <c r="D11346" s="125"/>
    </row>
    <row r="11347">
      <c r="A11347" s="122" t="s">
        <v>37095</v>
      </c>
      <c r="B11347" s="123">
        <v>1842729.0</v>
      </c>
      <c r="C11347" s="687" t="str">
        <f>IFERROR(__xludf.DUMMYFUNCTION("GOOGLEFINANCE(A11347,""name"")"),"#N/A")</f>
        <v>#N/A</v>
      </c>
      <c r="D11347" s="125"/>
    </row>
    <row r="11348">
      <c r="A11348" s="122" t="s">
        <v>37096</v>
      </c>
      <c r="B11348" s="123">
        <v>1288784.0</v>
      </c>
      <c r="C11348" s="687" t="str">
        <f>IFERROR(__xludf.DUMMYFUNCTION("GOOGLEFINANCE(A11348,""name"")"),"#N/A")</f>
        <v>#N/A</v>
      </c>
      <c r="D11348" s="125"/>
    </row>
    <row r="11349">
      <c r="A11349" s="122" t="s">
        <v>37097</v>
      </c>
      <c r="B11349" s="123">
        <v>312070.0</v>
      </c>
      <c r="C11349" s="687" t="str">
        <f>IFERROR(__xludf.DUMMYFUNCTION("GOOGLEFINANCE(A11349,""name"")"),"#N/A")</f>
        <v>#N/A</v>
      </c>
      <c r="D11349" s="125"/>
    </row>
    <row r="11350">
      <c r="A11350" s="122" t="s">
        <v>37098</v>
      </c>
      <c r="B11350" s="123">
        <v>1821812.0</v>
      </c>
      <c r="C11350" s="687" t="str">
        <f>IFERROR(__xludf.DUMMYFUNCTION("GOOGLEFINANCE(A11350,""name"")"),"#N/A")</f>
        <v>#N/A</v>
      </c>
      <c r="D11350" s="125"/>
    </row>
    <row r="11351">
      <c r="A11351" s="122" t="s">
        <v>37099</v>
      </c>
      <c r="B11351" s="123">
        <v>1821812.0</v>
      </c>
      <c r="C11351" s="687" t="str">
        <f>IFERROR(__xludf.DUMMYFUNCTION("GOOGLEFINANCE(A11351,""name"")"),"#N/A")</f>
        <v>#N/A</v>
      </c>
      <c r="D11351" s="125"/>
    </row>
    <row r="11352">
      <c r="A11352" s="122" t="s">
        <v>37100</v>
      </c>
      <c r="B11352" s="123">
        <v>1821812.0</v>
      </c>
      <c r="C11352" s="687" t="str">
        <f>IFERROR(__xludf.DUMMYFUNCTION("GOOGLEFINANCE(A11352,""name"")"),"#N/A")</f>
        <v>#N/A</v>
      </c>
      <c r="D11352" s="125"/>
    </row>
    <row r="11353">
      <c r="A11353" s="122" t="s">
        <v>37101</v>
      </c>
      <c r="B11353" s="123">
        <v>1114446.0</v>
      </c>
      <c r="C11353" s="687" t="str">
        <f>IFERROR(__xludf.DUMMYFUNCTION("GOOGLEFINANCE(A11353,""name"")"),"ETRACS 2x Leveraged US Dividend Factor TR ETN")</f>
        <v>ETRACS 2x Leveraged US Dividend Factor TR ETN</v>
      </c>
      <c r="D11353" s="125"/>
    </row>
    <row r="11354">
      <c r="A11354" s="122" t="s">
        <v>37102</v>
      </c>
      <c r="B11354" s="123">
        <v>92103.0</v>
      </c>
      <c r="C11354" s="687" t="str">
        <f>IFERROR(__xludf.DUMMYFUNCTION("GOOGLEFINANCE(A11354,""name"")"),"#N/A")</f>
        <v>#N/A</v>
      </c>
      <c r="D11354" s="125"/>
    </row>
    <row r="11355">
      <c r="A11355" s="122" t="s">
        <v>37103</v>
      </c>
      <c r="B11355" s="123">
        <v>92103.0</v>
      </c>
      <c r="C11355" s="687" t="str">
        <f>IFERROR(__xludf.DUMMYFUNCTION("GOOGLEFINANCE(A11355,""name"")"),"#N/A")</f>
        <v>#N/A</v>
      </c>
      <c r="D11355" s="125"/>
    </row>
    <row r="11356">
      <c r="A11356" s="122" t="s">
        <v>37104</v>
      </c>
      <c r="B11356" s="123">
        <v>92103.0</v>
      </c>
      <c r="C11356" s="687" t="str">
        <f>IFERROR(__xludf.DUMMYFUNCTION("GOOGLEFINANCE(A11356,""name"")"),"#N/A")</f>
        <v>#N/A</v>
      </c>
      <c r="D11356" s="125"/>
    </row>
    <row r="11357">
      <c r="A11357" s="122" t="s">
        <v>37105</v>
      </c>
      <c r="B11357" s="123">
        <v>92103.0</v>
      </c>
      <c r="C11357" s="687" t="str">
        <f>IFERROR(__xludf.DUMMYFUNCTION("GOOGLEFINANCE(A11357,""name"")"),"#N/A")</f>
        <v>#N/A</v>
      </c>
      <c r="D11357" s="125"/>
    </row>
    <row r="11358">
      <c r="A11358" s="122" t="s">
        <v>37106</v>
      </c>
      <c r="B11358" s="123">
        <v>92103.0</v>
      </c>
      <c r="C11358" s="687" t="str">
        <f>IFERROR(__xludf.DUMMYFUNCTION("GOOGLEFINANCE(A11358,""name"")"),"#N/A")</f>
        <v>#N/A</v>
      </c>
      <c r="D11358" s="125"/>
    </row>
    <row r="11359">
      <c r="A11359" s="122" t="s">
        <v>37107</v>
      </c>
      <c r="B11359" s="123">
        <v>1851091.0</v>
      </c>
      <c r="C11359" s="687" t="str">
        <f>IFERROR(__xludf.DUMMYFUNCTION("GOOGLEFINANCE(A11359,""name"")"),"#N/A")</f>
        <v>#N/A</v>
      </c>
      <c r="D11359" s="125"/>
    </row>
    <row r="11360">
      <c r="A11360" s="122" t="s">
        <v>37108</v>
      </c>
      <c r="B11360" s="123">
        <v>316709.0</v>
      </c>
      <c r="C11360" s="687" t="str">
        <f>IFERROR(__xludf.DUMMYFUNCTION("GOOGLEFINANCE(A11360,""name"")"),"#N/A")</f>
        <v>#N/A</v>
      </c>
      <c r="D11360" s="125"/>
    </row>
    <row r="11361">
      <c r="A11361" s="122" t="s">
        <v>37109</v>
      </c>
      <c r="B11361" s="123">
        <v>316709.0</v>
      </c>
      <c r="C11361" s="687" t="str">
        <f>IFERROR(__xludf.DUMMYFUNCTION("GOOGLEFINANCE(A11361,""name"")"),"#N/A")</f>
        <v>#N/A</v>
      </c>
      <c r="D11361" s="125"/>
    </row>
    <row r="11362">
      <c r="A11362" s="122" t="s">
        <v>37110</v>
      </c>
      <c r="B11362" s="123">
        <v>1803487.0</v>
      </c>
      <c r="C11362" s="687" t="str">
        <f>IFERROR(__xludf.DUMMYFUNCTION("GOOGLEFINANCE(A11362,""name"")"),"#N/A")</f>
        <v>#N/A</v>
      </c>
      <c r="D11362" s="125"/>
    </row>
    <row r="11363">
      <c r="A11363" s="122" t="s">
        <v>37111</v>
      </c>
      <c r="B11363" s="123">
        <v>1838697.0</v>
      </c>
      <c r="C11363" s="687" t="str">
        <f>IFERROR(__xludf.DUMMYFUNCTION("GOOGLEFINANCE(A11363,""name"")"),"#N/A")</f>
        <v>#N/A</v>
      </c>
      <c r="D11363" s="125"/>
    </row>
    <row r="11364">
      <c r="A11364" s="122" t="s">
        <v>37112</v>
      </c>
      <c r="B11364" s="123">
        <v>1838697.0</v>
      </c>
      <c r="C11364" s="687" t="str">
        <f>IFERROR(__xludf.DUMMYFUNCTION("GOOGLEFINANCE(A11364,""name"")"),"#N/A")</f>
        <v>#N/A</v>
      </c>
      <c r="D11364" s="125"/>
    </row>
    <row r="11365">
      <c r="A11365" s="122" t="s">
        <v>37113</v>
      </c>
      <c r="B11365" s="123">
        <v>1838697.0</v>
      </c>
      <c r="C11365" s="687" t="str">
        <f>IFERROR(__xludf.DUMMYFUNCTION("GOOGLEFINANCE(A11365,""name"")"),"#N/A")</f>
        <v>#N/A</v>
      </c>
      <c r="D11365" s="125"/>
    </row>
    <row r="11366">
      <c r="A11366" s="122" t="s">
        <v>37114</v>
      </c>
      <c r="B11366" s="123">
        <v>1828985.0</v>
      </c>
      <c r="C11366" s="687" t="str">
        <f>IFERROR(__xludf.DUMMYFUNCTION("GOOGLEFINANCE(A11366,""name"")"),"#N/A")</f>
        <v>#N/A</v>
      </c>
      <c r="D11366" s="125"/>
    </row>
    <row r="11367">
      <c r="A11367" s="122" t="s">
        <v>37115</v>
      </c>
      <c r="B11367" s="123">
        <v>1828985.0</v>
      </c>
      <c r="C11367" s="687" t="str">
        <f>IFERROR(__xludf.DUMMYFUNCTION("GOOGLEFINANCE(A11367,""name"")"),"#N/A")</f>
        <v>#N/A</v>
      </c>
      <c r="D11367" s="125"/>
    </row>
    <row r="11368">
      <c r="A11368" s="122" t="s">
        <v>37116</v>
      </c>
      <c r="B11368" s="123">
        <v>1828985.0</v>
      </c>
      <c r="C11368" s="687" t="str">
        <f>IFERROR(__xludf.DUMMYFUNCTION("GOOGLEFINANCE(A11368,""name"")"),"#N/A")</f>
        <v>#N/A</v>
      </c>
      <c r="D11368" s="125"/>
    </row>
    <row r="11369">
      <c r="A11369" s="122" t="s">
        <v>37117</v>
      </c>
      <c r="B11369" s="123">
        <v>1838431.0</v>
      </c>
      <c r="C11369" s="687" t="str">
        <f>IFERROR(__xludf.DUMMYFUNCTION("GOOGLEFINANCE(A11369,""name"")"),"#N/A")</f>
        <v>#N/A</v>
      </c>
      <c r="D11369" s="125"/>
    </row>
    <row r="11370">
      <c r="A11370" s="122" t="s">
        <v>37118</v>
      </c>
      <c r="B11370" s="123">
        <v>1838431.0</v>
      </c>
      <c r="C11370" s="687" t="str">
        <f>IFERROR(__xludf.DUMMYFUNCTION("GOOGLEFINANCE(A11370,""name"")"),"#N/A")</f>
        <v>#N/A</v>
      </c>
      <c r="D11370" s="125"/>
    </row>
    <row r="11371">
      <c r="A11371" s="122" t="s">
        <v>37119</v>
      </c>
      <c r="B11371" s="123">
        <v>1838431.0</v>
      </c>
      <c r="C11371" s="687" t="str">
        <f>IFERROR(__xludf.DUMMYFUNCTION("GOOGLEFINANCE(A11371,""name"")"),"#N/A")</f>
        <v>#N/A</v>
      </c>
      <c r="D11371" s="125"/>
    </row>
    <row r="11372">
      <c r="A11372" s="122" t="s">
        <v>37120</v>
      </c>
      <c r="B11372" s="123">
        <v>1403256.0</v>
      </c>
      <c r="C11372" s="687" t="str">
        <f>IFERROR(__xludf.DUMMYFUNCTION("GOOGLEFINANCE(A11372,""name"")"),"Sankamap Metals Inc")</f>
        <v>Sankamap Metals Inc</v>
      </c>
      <c r="D11372" s="125"/>
    </row>
    <row r="11373">
      <c r="A11373" s="122" t="s">
        <v>37121</v>
      </c>
      <c r="B11373" s="123">
        <v>1853594.0</v>
      </c>
      <c r="C11373" s="687" t="str">
        <f>IFERROR(__xludf.DUMMYFUNCTION("GOOGLEFINANCE(A11373,""name"")"),"#N/A")</f>
        <v>#N/A</v>
      </c>
      <c r="D11373" s="125"/>
    </row>
    <row r="11374">
      <c r="A11374" s="122" t="s">
        <v>37122</v>
      </c>
      <c r="B11374" s="123">
        <v>1853594.0</v>
      </c>
      <c r="C11374" s="687" t="str">
        <f>IFERROR(__xludf.DUMMYFUNCTION("GOOGLEFINANCE(A11374,""name"")"),"#N/A")</f>
        <v>#N/A</v>
      </c>
      <c r="D11374" s="125"/>
    </row>
    <row r="11375">
      <c r="A11375" s="122" t="s">
        <v>37123</v>
      </c>
      <c r="B11375" s="123">
        <v>1853594.0</v>
      </c>
      <c r="C11375" s="687" t="str">
        <f>IFERROR(__xludf.DUMMYFUNCTION("GOOGLEFINANCE(A11375,""name"")"),"#N/A")</f>
        <v>#N/A</v>
      </c>
      <c r="D11375" s="125"/>
    </row>
    <row r="11376">
      <c r="A11376" s="122" t="s">
        <v>37124</v>
      </c>
      <c r="B11376" s="123">
        <v>1837248.0</v>
      </c>
      <c r="C11376" s="687" t="str">
        <f>IFERROR(__xludf.DUMMYFUNCTION("GOOGLEFINANCE(A11376,""name"")"),"Suncar Technology Group Ord Class A")</f>
        <v>Suncar Technology Group Ord Class A</v>
      </c>
      <c r="D11376" s="125"/>
    </row>
    <row r="11377">
      <c r="A11377" s="122" t="s">
        <v>37125</v>
      </c>
      <c r="B11377" s="123">
        <v>1837248.0</v>
      </c>
      <c r="C11377" s="687" t="str">
        <f>IFERROR(__xludf.DUMMYFUNCTION("GOOGLEFINANCE(A11377,""name"")"),"#N/A")</f>
        <v>#N/A</v>
      </c>
      <c r="D11377" s="125"/>
    </row>
    <row r="11378">
      <c r="A11378" s="122" t="s">
        <v>37126</v>
      </c>
      <c r="B11378" s="123">
        <v>1837248.0</v>
      </c>
      <c r="C11378" s="687" t="str">
        <f>IFERROR(__xludf.DUMMYFUNCTION("GOOGLEFINANCE(A11378,""name"")"),"#N/A")</f>
        <v>#N/A</v>
      </c>
      <c r="D11378" s="125"/>
    </row>
    <row r="11379">
      <c r="A11379" s="122" t="s">
        <v>37127</v>
      </c>
      <c r="B11379" s="123">
        <v>1775625.0</v>
      </c>
      <c r="C11379" s="687" t="str">
        <f>IFERROR(__xludf.DUMMYFUNCTION("GOOGLEFINANCE(A11379,""name"")"),"#N/A")</f>
        <v>#N/A</v>
      </c>
      <c r="D11379" s="125"/>
    </row>
    <row r="11380">
      <c r="A11380" s="122" t="s">
        <v>37128</v>
      </c>
      <c r="B11380" s="123">
        <v>1349436.0</v>
      </c>
      <c r="C11380" s="687" t="str">
        <f>IFERROR(__xludf.DUMMYFUNCTION("GOOGLEFINANCE(A11380,""name"")"),"#N/A")</f>
        <v>#N/A</v>
      </c>
      <c r="D11380" s="125"/>
    </row>
    <row r="11381">
      <c r="A11381" s="122" t="s">
        <v>37129</v>
      </c>
      <c r="B11381" s="123">
        <v>1349436.0</v>
      </c>
      <c r="C11381" s="687" t="str">
        <f>IFERROR(__xludf.DUMMYFUNCTION("GOOGLEFINANCE(A11381,""name"")"),"#N/A")</f>
        <v>#N/A</v>
      </c>
      <c r="D11381" s="125"/>
    </row>
    <row r="11382">
      <c r="A11382" s="122" t="s">
        <v>37130</v>
      </c>
      <c r="B11382" s="123">
        <v>1267919.0</v>
      </c>
      <c r="C11382" s="687" t="str">
        <f>IFERROR(__xludf.DUMMYFUNCTION("GOOGLEFINANCE(A11382,""name"")"),"Signature Devices Inc")</f>
        <v>Signature Devices Inc</v>
      </c>
      <c r="D11382" s="125"/>
    </row>
    <row r="11383">
      <c r="A11383" s="122" t="s">
        <v>37131</v>
      </c>
      <c r="B11383" s="123">
        <v>1308106.0</v>
      </c>
      <c r="C11383" s="687" t="str">
        <f>IFERROR(__xludf.DUMMYFUNCTION("GOOGLEFINANCE(A11383,""name"")"),"#N/A")</f>
        <v>#N/A</v>
      </c>
      <c r="D11383" s="125"/>
    </row>
    <row r="11384">
      <c r="A11384" s="122" t="s">
        <v>37132</v>
      </c>
      <c r="B11384" s="123">
        <v>1308106.0</v>
      </c>
      <c r="C11384" s="687" t="str">
        <f>IFERROR(__xludf.DUMMYFUNCTION("GOOGLEFINANCE(A11384,""name"")"),"#N/A")</f>
        <v>#N/A</v>
      </c>
      <c r="D11384" s="125"/>
    </row>
    <row r="11385">
      <c r="A11385" s="122" t="s">
        <v>37133</v>
      </c>
      <c r="B11385" s="123">
        <v>1846975.0</v>
      </c>
      <c r="C11385" s="687" t="str">
        <f>IFERROR(__xludf.DUMMYFUNCTION("GOOGLEFINANCE(A11385,""name"")"),"#N/A")</f>
        <v>#N/A</v>
      </c>
      <c r="D11385" s="125"/>
    </row>
    <row r="11386">
      <c r="A11386" s="122" t="s">
        <v>37134</v>
      </c>
      <c r="B11386" s="123">
        <v>1846975.0</v>
      </c>
      <c r="C11386" s="687" t="str">
        <f>IFERROR(__xludf.DUMMYFUNCTION("GOOGLEFINANCE(A11386,""name"")"),"#N/A")</f>
        <v>#N/A</v>
      </c>
      <c r="D11386" s="125"/>
    </row>
    <row r="11387">
      <c r="A11387" s="122" t="s">
        <v>37135</v>
      </c>
      <c r="B11387" s="123">
        <v>1737706.0</v>
      </c>
      <c r="C11387" s="687" t="str">
        <f>IFERROR(__xludf.DUMMYFUNCTION("GOOGLEFINANCE(A11387,""name"")"),"#N/A")</f>
        <v>#N/A</v>
      </c>
      <c r="D11387" s="125"/>
    </row>
    <row r="11388">
      <c r="A11388" s="122" t="s">
        <v>37136</v>
      </c>
      <c r="B11388" s="123">
        <v>1453687.0</v>
      </c>
      <c r="C11388" s="687" t="str">
        <f>IFERROR(__xludf.DUMMYFUNCTION("GOOGLEFINANCE(A11388,""name"")"),"#N/A")</f>
        <v>#N/A</v>
      </c>
      <c r="D11388" s="125"/>
    </row>
    <row r="11389">
      <c r="A11389" s="122" t="s">
        <v>37137</v>
      </c>
      <c r="B11389" s="123">
        <v>1534969.0</v>
      </c>
      <c r="C11389" s="687" t="str">
        <f>IFERROR(__xludf.DUMMYFUNCTION("GOOGLEFINANCE(A11389,""name"")"),"Sera Prognostics Inc")</f>
        <v>Sera Prognostics Inc</v>
      </c>
      <c r="D11389" s="125"/>
    </row>
    <row r="11390">
      <c r="A11390" s="122" t="s">
        <v>37138</v>
      </c>
      <c r="B11390" s="123">
        <v>1819142.0</v>
      </c>
      <c r="C11390" s="687" t="str">
        <f>IFERROR(__xludf.DUMMYFUNCTION("GOOGLEFINANCE(A11390,""name"")"),"#N/A")</f>
        <v>#N/A</v>
      </c>
      <c r="D11390" s="125"/>
    </row>
    <row r="11391">
      <c r="A11391" s="122" t="s">
        <v>37139</v>
      </c>
      <c r="B11391" s="123">
        <v>1485003.0</v>
      </c>
      <c r="C11391" s="687" t="str">
        <f>IFERROR(__xludf.DUMMYFUNCTION("GOOGLEFINANCE(A11391,""name"")"),"#N/A")</f>
        <v>#N/A</v>
      </c>
      <c r="D11391" s="125"/>
    </row>
    <row r="11392">
      <c r="A11392" s="122" t="s">
        <v>37140</v>
      </c>
      <c r="B11392" s="123">
        <v>1885336.0</v>
      </c>
      <c r="C11392" s="687" t="str">
        <f>IFERROR(__xludf.DUMMYFUNCTION("GOOGLEFINANCE(A11392,""name"")"),"#N/A")</f>
        <v>#N/A</v>
      </c>
      <c r="D11392" s="125"/>
    </row>
    <row r="11393">
      <c r="A11393" s="122" t="s">
        <v>37141</v>
      </c>
      <c r="B11393" s="123">
        <v>1452477.0</v>
      </c>
      <c r="C11393" s="687" t="str">
        <f>IFERROR(__xludf.DUMMYFUNCTION("GOOGLEFINANCE(A11393,""name"")"),"Seven Hills Realty Trust")</f>
        <v>Seven Hills Realty Trust</v>
      </c>
      <c r="D11393" s="125"/>
    </row>
    <row r="11394">
      <c r="A11394" s="122" t="s">
        <v>37142</v>
      </c>
      <c r="B11394" s="123">
        <v>720672.0</v>
      </c>
      <c r="C11394" s="687" t="str">
        <f>IFERROR(__xludf.DUMMYFUNCTION("GOOGLEFINANCE(A11394,""name"")"),"#N/A")</f>
        <v>#N/A</v>
      </c>
      <c r="D11394" s="125"/>
    </row>
    <row r="11395">
      <c r="A11395" s="122" t="s">
        <v>37143</v>
      </c>
      <c r="B11395" s="123">
        <v>720672.0</v>
      </c>
      <c r="C11395" s="687" t="str">
        <f>IFERROR(__xludf.DUMMYFUNCTION("GOOGLEFINANCE(A11395,""name"")"),"#N/A")</f>
        <v>#N/A</v>
      </c>
      <c r="D11395" s="125"/>
    </row>
    <row r="11396">
      <c r="A11396" s="122" t="s">
        <v>37144</v>
      </c>
      <c r="B11396" s="123">
        <v>720672.0</v>
      </c>
      <c r="C11396" s="687" t="str">
        <f>IFERROR(__xludf.DUMMYFUNCTION("GOOGLEFINANCE(A11396,""name"")"),"#N/A")</f>
        <v>#N/A</v>
      </c>
      <c r="D11396" s="125"/>
    </row>
    <row r="11397">
      <c r="A11397" s="122" t="s">
        <v>37145</v>
      </c>
      <c r="B11397" s="123">
        <v>720672.0</v>
      </c>
      <c r="C11397" s="687" t="str">
        <f>IFERROR(__xludf.DUMMYFUNCTION("GOOGLEFINANCE(A11397,""name"")"),"Stifel Financial 5 20 Senior Notes Exp 15th Oct 2047")</f>
        <v>Stifel Financial 5 20 Senior Notes Exp 15th Oct 2047</v>
      </c>
      <c r="D11397" s="125"/>
    </row>
    <row r="11398">
      <c r="A11398" s="122" t="s">
        <v>37146</v>
      </c>
      <c r="B11398" s="123">
        <v>851726.0</v>
      </c>
      <c r="C11398" s="687" t="str">
        <f>IFERROR(__xludf.DUMMYFUNCTION("GOOGLEFINANCE(A11398,""name"")"),"#N/A")</f>
        <v>#N/A</v>
      </c>
      <c r="D11398" s="125"/>
    </row>
    <row r="11399">
      <c r="A11399" s="122" t="s">
        <v>37147</v>
      </c>
      <c r="B11399" s="123">
        <v>1725332.0</v>
      </c>
      <c r="C11399" s="687" t="str">
        <f>IFERROR(__xludf.DUMMYFUNCTION("GOOGLEFINANCE(A11399,""name"")"),"#N/A")</f>
        <v>#N/A</v>
      </c>
      <c r="D11399" s="125"/>
    </row>
    <row r="11400">
      <c r="A11400" s="122" t="s">
        <v>37148</v>
      </c>
      <c r="B11400" s="123">
        <v>1828182.0</v>
      </c>
      <c r="C11400" s="687" t="str">
        <f>IFERROR(__xludf.DUMMYFUNCTION("GOOGLEFINANCE(A11400,""name"")"),"#N/A")</f>
        <v>#N/A</v>
      </c>
      <c r="D11400" s="125"/>
    </row>
    <row r="11401">
      <c r="A11401" s="122" t="s">
        <v>37149</v>
      </c>
      <c r="B11401" s="123">
        <v>1878057.0</v>
      </c>
      <c r="C11401" s="687" t="str">
        <f>IFERROR(__xludf.DUMMYFUNCTION("GOOGLEFINANCE(A11401,""name"")"),"#N/A")</f>
        <v>#N/A</v>
      </c>
      <c r="D11401" s="125"/>
    </row>
    <row r="11402">
      <c r="A11402" s="122" t="s">
        <v>37150</v>
      </c>
      <c r="B11402" s="123">
        <v>1855885.0</v>
      </c>
      <c r="C11402" s="687" t="str">
        <f>IFERROR(__xludf.DUMMYFUNCTION("GOOGLEFINANCE(A11402,""name"")"),"#N/A")</f>
        <v>#N/A</v>
      </c>
      <c r="D11402" s="125"/>
    </row>
    <row r="11403">
      <c r="A11403" s="122" t="s">
        <v>37151</v>
      </c>
      <c r="B11403" s="123">
        <v>1855885.0</v>
      </c>
      <c r="C11403" s="687" t="str">
        <f>IFERROR(__xludf.DUMMYFUNCTION("GOOGLEFINANCE(A11403,""name"")"),"#N/A")</f>
        <v>#N/A</v>
      </c>
      <c r="D11403" s="125"/>
    </row>
    <row r="11404">
      <c r="A11404" s="122" t="s">
        <v>37152</v>
      </c>
      <c r="B11404" s="123">
        <v>1855885.0</v>
      </c>
      <c r="C11404" s="687" t="str">
        <f>IFERROR(__xludf.DUMMYFUNCTION("GOOGLEFINANCE(A11404,""name"")"),"#N/A")</f>
        <v>#N/A</v>
      </c>
      <c r="D11404" s="125"/>
    </row>
    <row r="11405">
      <c r="A11405" s="122" t="s">
        <v>37153</v>
      </c>
      <c r="B11405" s="123">
        <v>1869824.0</v>
      </c>
      <c r="C11405" s="687" t="str">
        <f>IFERROR(__xludf.DUMMYFUNCTION("GOOGLEFINANCE(A11405,""name"")"),"#N/A")</f>
        <v>#N/A</v>
      </c>
      <c r="D11405" s="125"/>
    </row>
    <row r="11406">
      <c r="A11406" s="122" t="s">
        <v>37154</v>
      </c>
      <c r="B11406" s="123">
        <v>1869824.0</v>
      </c>
      <c r="C11406" s="687" t="str">
        <f>IFERROR(__xludf.DUMMYFUNCTION("GOOGLEFINANCE(A11406,""name"")"),"#N/A")</f>
        <v>#N/A</v>
      </c>
      <c r="D11406" s="125"/>
    </row>
    <row r="11407">
      <c r="A11407" s="122" t="s">
        <v>37155</v>
      </c>
      <c r="B11407" s="123">
        <v>1869824.0</v>
      </c>
      <c r="C11407" s="687" t="str">
        <f>IFERROR(__xludf.DUMMYFUNCTION("GOOGLEFINANCE(A11407,""name"")"),"#N/A")</f>
        <v>#N/A</v>
      </c>
      <c r="D11407" s="125"/>
    </row>
    <row r="11408">
      <c r="A11408" s="122" t="s">
        <v>37156</v>
      </c>
      <c r="B11408" s="123">
        <v>1398832.0</v>
      </c>
      <c r="C11408" s="687" t="str">
        <f>IFERROR(__xludf.DUMMYFUNCTION("GOOGLEFINANCE(A11408,""name"")"),"#N/A")</f>
        <v>#N/A</v>
      </c>
      <c r="D11408" s="125"/>
    </row>
    <row r="11409">
      <c r="A11409" s="122" t="s">
        <v>37157</v>
      </c>
      <c r="B11409" s="123">
        <v>1821323.0</v>
      </c>
      <c r="C11409" s="687" t="str">
        <f>IFERROR(__xludf.DUMMYFUNCTION("GOOGLEFINANCE(A11409,""name"")"),"#N/A")</f>
        <v>#N/A</v>
      </c>
      <c r="D11409" s="125"/>
    </row>
    <row r="11410">
      <c r="A11410" s="122" t="s">
        <v>37158</v>
      </c>
      <c r="B11410" s="123">
        <v>1820160.0</v>
      </c>
      <c r="C11410" s="687" t="str">
        <f>IFERROR(__xludf.DUMMYFUNCTION("GOOGLEFINANCE(A11410,""name"")"),"#N/A")</f>
        <v>#N/A</v>
      </c>
      <c r="D11410" s="125"/>
    </row>
    <row r="11411">
      <c r="A11411" s="122" t="s">
        <v>37159</v>
      </c>
      <c r="B11411" s="123">
        <v>1820160.0</v>
      </c>
      <c r="C11411" s="687" t="str">
        <f>IFERROR(__xludf.DUMMYFUNCTION("GOOGLEFINANCE(A11411,""name"")"),"#N/A")</f>
        <v>#N/A</v>
      </c>
      <c r="D11411" s="125"/>
    </row>
    <row r="11412">
      <c r="A11412" s="122" t="s">
        <v>37160</v>
      </c>
      <c r="B11412" s="123">
        <v>1881462.0</v>
      </c>
      <c r="C11412" s="687" t="str">
        <f>IFERROR(__xludf.DUMMYFUNCTION("GOOGLEFINANCE(A11412,""name"")"),"#N/A")</f>
        <v>#N/A</v>
      </c>
      <c r="D11412" s="125"/>
    </row>
    <row r="11413">
      <c r="A11413" s="122" t="s">
        <v>37161</v>
      </c>
      <c r="B11413" s="123">
        <v>1881462.0</v>
      </c>
      <c r="C11413" s="687" t="str">
        <f>IFERROR(__xludf.DUMMYFUNCTION("GOOGLEFINANCE(A11413,""name"")"),"#N/A")</f>
        <v>#N/A</v>
      </c>
      <c r="D11413" s="125"/>
    </row>
    <row r="11414">
      <c r="A11414" s="122" t="s">
        <v>37162</v>
      </c>
      <c r="B11414" s="123">
        <v>1848558.0</v>
      </c>
      <c r="C11414" s="687" t="str">
        <f>IFERROR(__xludf.DUMMYFUNCTION("GOOGLEFINANCE(A11414,""name"")"),"#N/A")</f>
        <v>#N/A</v>
      </c>
      <c r="D11414" s="125"/>
    </row>
    <row r="11415">
      <c r="A11415" s="122" t="s">
        <v>37163</v>
      </c>
      <c r="B11415" s="123">
        <v>1848558.0</v>
      </c>
      <c r="C11415" s="687" t="str">
        <f>IFERROR(__xludf.DUMMYFUNCTION("GOOGLEFINANCE(A11415,""name"")"),"#N/A")</f>
        <v>#N/A</v>
      </c>
      <c r="D11415" s="125"/>
    </row>
    <row r="11416">
      <c r="A11416" s="122" t="s">
        <v>37164</v>
      </c>
      <c r="B11416" s="123">
        <v>1848558.0</v>
      </c>
      <c r="C11416" s="687" t="str">
        <f>IFERROR(__xludf.DUMMYFUNCTION("GOOGLEFINANCE(A11416,""name"")"),"#N/A")</f>
        <v>#N/A</v>
      </c>
      <c r="D11416" s="125"/>
    </row>
    <row r="11417">
      <c r="A11417" s="122" t="s">
        <v>37165</v>
      </c>
      <c r="B11417" s="123">
        <v>1263043.0</v>
      </c>
      <c r="C11417" s="687" t="str">
        <f>IFERROR(__xludf.DUMMYFUNCTION("GOOGLEFINANCE(A11417,""name"")"),"Shinhan Financial Group Co Ltd")</f>
        <v>Shinhan Financial Group Co Ltd</v>
      </c>
      <c r="D11417" s="125"/>
    </row>
    <row r="11418">
      <c r="A11418" s="122" t="s">
        <v>37166</v>
      </c>
      <c r="B11418" s="123">
        <v>908732.0</v>
      </c>
      <c r="C11418" s="687" t="str">
        <f>IFERROR(__xludf.DUMMYFUNCTION("GOOGLEFINANCE(A11418,""name"")"),"#N/A")</f>
        <v>#N/A</v>
      </c>
      <c r="D11418" s="125"/>
    </row>
    <row r="11419">
      <c r="A11419" s="122" t="s">
        <v>37167</v>
      </c>
      <c r="B11419" s="123">
        <v>1610466.0</v>
      </c>
      <c r="C11419" s="687" t="str">
        <f>IFERROR(__xludf.DUMMYFUNCTION("GOOGLEFINANCE(A11419,""name"")"),"#N/A")</f>
        <v>#N/A</v>
      </c>
      <c r="D11419" s="125"/>
    </row>
    <row r="11420">
      <c r="A11420" s="122" t="s">
        <v>37168</v>
      </c>
      <c r="B11420" s="123">
        <v>1465470.0</v>
      </c>
      <c r="C11420" s="687" t="str">
        <f>IFERROR(__xludf.DUMMYFUNCTION("GOOGLEFINANCE(A11420,""name"")"),"NaturalShrimp Inc")</f>
        <v>NaturalShrimp Inc</v>
      </c>
      <c r="D11420" s="125"/>
    </row>
    <row r="11421">
      <c r="A11421" s="122" t="s">
        <v>37169</v>
      </c>
      <c r="B11421" s="123">
        <v>1295810.0</v>
      </c>
      <c r="C11421" s="687" t="str">
        <f>IFERROR(__xludf.DUMMYFUNCTION("GOOGLEFINANCE(A11421,""name"")"),"#N/A")</f>
        <v>#N/A</v>
      </c>
      <c r="D11421" s="125"/>
    </row>
    <row r="11422">
      <c r="A11422" s="122" t="s">
        <v>37170</v>
      </c>
      <c r="B11422" s="123">
        <v>1295810.0</v>
      </c>
      <c r="C11422" s="687" t="str">
        <f>IFERROR(__xludf.DUMMYFUNCTION("GOOGLEFINANCE(A11422,""name"")"),"#N/A")</f>
        <v>#N/A</v>
      </c>
      <c r="D11422" s="125"/>
    </row>
    <row r="11423">
      <c r="A11423" s="122" t="s">
        <v>37171</v>
      </c>
      <c r="B11423" s="123">
        <v>1784851.0</v>
      </c>
      <c r="C11423" s="687" t="str">
        <f>IFERROR(__xludf.DUMMYFUNCTION("GOOGLEFINANCE(A11423,""name"")"),"#N/A")</f>
        <v>#N/A</v>
      </c>
      <c r="D11423" s="125"/>
    </row>
    <row r="11424">
      <c r="A11424" s="122" t="s">
        <v>37172</v>
      </c>
      <c r="B11424" s="123">
        <v>1844908.0</v>
      </c>
      <c r="C11424" s="687" t="str">
        <f>IFERROR(__xludf.DUMMYFUNCTION("GOOGLEFINANCE(A11424,""name"")"),"#N/A")</f>
        <v>#N/A</v>
      </c>
      <c r="D11424" s="125"/>
    </row>
    <row r="11425">
      <c r="A11425" s="122" t="s">
        <v>37173</v>
      </c>
      <c r="B11425" s="123">
        <v>1844908.0</v>
      </c>
      <c r="C11425" s="687" t="str">
        <f>IFERROR(__xludf.DUMMYFUNCTION("GOOGLEFINANCE(A11425,""name"")"),"#N/A")</f>
        <v>#N/A</v>
      </c>
      <c r="D11425" s="125"/>
    </row>
    <row r="11426">
      <c r="A11426" s="122" t="s">
        <v>37174</v>
      </c>
      <c r="B11426" s="123">
        <v>1844908.0</v>
      </c>
      <c r="C11426" s="687" t="str">
        <f>IFERROR(__xludf.DUMMYFUNCTION("GOOGLEFINANCE(A11426,""name"")"),"#N/A")</f>
        <v>#N/A</v>
      </c>
      <c r="D11426" s="125"/>
    </row>
    <row r="11427">
      <c r="A11427" s="122" t="s">
        <v>37175</v>
      </c>
      <c r="B11427" s="123">
        <v>1886268.0</v>
      </c>
      <c r="C11427" s="687" t="str">
        <f>IFERROR(__xludf.DUMMYFUNCTION("GOOGLEFINANCE(A11427,""name"")"),"#N/A")</f>
        <v>#N/A</v>
      </c>
      <c r="D11427" s="125"/>
    </row>
    <row r="11428">
      <c r="A11428" s="122" t="s">
        <v>37176</v>
      </c>
      <c r="B11428" s="123">
        <v>1886268.0</v>
      </c>
      <c r="C11428" s="687" t="str">
        <f>IFERROR(__xludf.DUMMYFUNCTION("GOOGLEFINANCE(A11428,""name"")"),"#N/A")</f>
        <v>#N/A</v>
      </c>
      <c r="D11428" s="125"/>
    </row>
    <row r="11429">
      <c r="A11429" s="122" t="s">
        <v>37177</v>
      </c>
      <c r="B11429" s="123">
        <v>1312109.0</v>
      </c>
      <c r="C11429" s="687" t="str">
        <f>IFERROR(__xludf.DUMMYFUNCTION("GOOGLEFINANCE(A11429,""name"")"),"Shoulder Innovations Inc")</f>
        <v>Shoulder Innovations Inc</v>
      </c>
      <c r="D11429" s="125"/>
    </row>
    <row r="11430">
      <c r="A11430" s="122" t="s">
        <v>37178</v>
      </c>
      <c r="B11430" s="123">
        <v>1312109.0</v>
      </c>
      <c r="C11430" s="687" t="str">
        <f>IFERROR(__xludf.DUMMYFUNCTION("GOOGLEFINANCE(A11430,""name"")"),"#N/A")</f>
        <v>#N/A</v>
      </c>
      <c r="D11430" s="125"/>
    </row>
    <row r="11431">
      <c r="A11431" s="122" t="s">
        <v>37179</v>
      </c>
      <c r="B11431" s="123">
        <v>1488419.0</v>
      </c>
      <c r="C11431" s="687" t="str">
        <f>IFERROR(__xludf.DUMMYFUNCTION("GOOGLEFINANCE(A11431,""name"")"),"#N/A")</f>
        <v>#N/A</v>
      </c>
      <c r="D11431" s="125"/>
    </row>
    <row r="11432">
      <c r="A11432" s="122" t="s">
        <v>37180</v>
      </c>
      <c r="B11432" s="123">
        <v>1844135.0</v>
      </c>
      <c r="C11432" s="687" t="str">
        <f>IFERROR(__xludf.DUMMYFUNCTION("GOOGLEFINANCE(A11432,""name"")"),"#N/A")</f>
        <v>#N/A</v>
      </c>
      <c r="D11432" s="125"/>
    </row>
    <row r="11433">
      <c r="A11433" s="122" t="s">
        <v>37181</v>
      </c>
      <c r="B11433" s="123">
        <v>1844135.0</v>
      </c>
      <c r="C11433" s="687" t="str">
        <f>IFERROR(__xludf.DUMMYFUNCTION("GOOGLEFINANCE(A11433,""name"")"),"#N/A")</f>
        <v>#N/A</v>
      </c>
      <c r="D11433" s="125"/>
    </row>
    <row r="11434">
      <c r="A11434" s="122" t="s">
        <v>37182</v>
      </c>
      <c r="B11434" s="123">
        <v>230557.0</v>
      </c>
      <c r="C11434" s="687" t="str">
        <f>IFERROR(__xludf.DUMMYFUNCTION("GOOGLEFINANCE(A11434,""name"")"),"Selective Ins Group DS Repstg 1 1000 Interest 4.60% Non Cum Pref Shs Series B")</f>
        <v>Selective Ins Group DS Repstg 1 1000 Interest 4.60% Non Cum Pref Shs Series B</v>
      </c>
      <c r="D11434" s="125"/>
    </row>
    <row r="11435">
      <c r="A11435" s="122" t="s">
        <v>37183</v>
      </c>
      <c r="B11435" s="123">
        <v>1867955.0</v>
      </c>
      <c r="C11435" s="687" t="str">
        <f>IFERROR(__xludf.DUMMYFUNCTION("GOOGLEFINANCE(A11435,""name"")"),"#N/A")</f>
        <v>#N/A</v>
      </c>
      <c r="D11435" s="125"/>
    </row>
    <row r="11436">
      <c r="A11436" s="122" t="s">
        <v>37184</v>
      </c>
      <c r="B11436" s="123">
        <v>1642159.0</v>
      </c>
      <c r="C11436" s="687" t="str">
        <f>IFERROR(__xludf.DUMMYFUNCTION("GOOGLEFINANCE(A11436,""name"")"),"Sigyn Therapeutics Inc")</f>
        <v>Sigyn Therapeutics Inc</v>
      </c>
      <c r="D11436" s="125"/>
    </row>
    <row r="11437">
      <c r="A11437" s="122" t="s">
        <v>37185</v>
      </c>
      <c r="B11437" s="123">
        <v>1514183.0</v>
      </c>
      <c r="C11437" s="687" t="str">
        <f>IFERROR(__xludf.DUMMYFUNCTION("GOOGLEFINANCE(A11437,""name"")"),"#N/A")</f>
        <v>#N/A</v>
      </c>
      <c r="D11437" s="125"/>
    </row>
    <row r="11438">
      <c r="A11438" s="122" t="s">
        <v>37186</v>
      </c>
      <c r="B11438" s="123">
        <v>1756704.0</v>
      </c>
      <c r="C11438" s="687" t="str">
        <f>IFERROR(__xludf.DUMMYFUNCTION("GOOGLEFINANCE(A11438,""name"")"),"Solar Integrated Roofing Corp")</f>
        <v>Solar Integrated Roofing Corp</v>
      </c>
      <c r="D11438" s="125"/>
    </row>
    <row r="11439">
      <c r="A11439" s="122" t="s">
        <v>37187</v>
      </c>
      <c r="B11439" s="123">
        <v>1575051.0</v>
      </c>
      <c r="C11439" s="687" t="str">
        <f>IFERROR(__xludf.DUMMYFUNCTION("GOOGLEFINANCE(A11439,""name"")"),"#N/A")</f>
        <v>#N/A</v>
      </c>
      <c r="D11439" s="125"/>
    </row>
    <row r="11440">
      <c r="A11440" s="122" t="s">
        <v>37188</v>
      </c>
      <c r="B11440" s="123">
        <v>894315.0</v>
      </c>
      <c r="C11440" s="687" t="str">
        <f>IFERROR(__xludf.DUMMYFUNCTION("GOOGLEFINANCE(A11440,""name"")"),"#N/A")</f>
        <v>#N/A</v>
      </c>
      <c r="D11440" s="125"/>
    </row>
    <row r="11441">
      <c r="A11441" s="122" t="s">
        <v>37189</v>
      </c>
      <c r="B11441" s="123">
        <v>1157817.0</v>
      </c>
      <c r="C11441" s="687" t="str">
        <f>IFERROR(__xludf.DUMMYFUNCTION("GOOGLEFINANCE(A11441,""name"")"),"#N/A")</f>
        <v>#N/A</v>
      </c>
      <c r="D11441" s="125"/>
    </row>
    <row r="11442">
      <c r="A11442" s="122" t="s">
        <v>37190</v>
      </c>
      <c r="B11442" s="123">
        <v>719739.0</v>
      </c>
      <c r="C11442" s="687" t="str">
        <f>IFERROR(__xludf.DUMMYFUNCTION("GOOGLEFINANCE(A11442,""name"")"),"#N/A")</f>
        <v>#N/A</v>
      </c>
      <c r="D11442" s="125"/>
    </row>
    <row r="11443">
      <c r="A11443" s="122" t="s">
        <v>37191</v>
      </c>
      <c r="B11443" s="123">
        <v>719739.0</v>
      </c>
      <c r="C11443" s="687" t="str">
        <f>IFERROR(__xludf.DUMMYFUNCTION("GOOGLEFINANCE(A11443,""name"")"),"#N/A")</f>
        <v>#N/A</v>
      </c>
      <c r="D11443" s="125"/>
    </row>
    <row r="11444">
      <c r="A11444" s="122" t="s">
        <v>37192</v>
      </c>
      <c r="B11444" s="123">
        <v>91928.0</v>
      </c>
      <c r="C11444" s="687" t="str">
        <f>IFERROR(__xludf.DUMMYFUNCTION("GOOGLEFINANCE(A11444,""name"")"),"#N/A")</f>
        <v>#N/A</v>
      </c>
      <c r="D11444" s="125"/>
    </row>
    <row r="11445">
      <c r="A11445" s="122" t="s">
        <v>37193</v>
      </c>
      <c r="B11445" s="123">
        <v>91928.0</v>
      </c>
      <c r="C11445" s="687" t="str">
        <f>IFERROR(__xludf.DUMMYFUNCTION("GOOGLEFINANCE(A11445,""name"")"),"#N/A")</f>
        <v>#N/A</v>
      </c>
      <c r="D11445" s="125"/>
    </row>
    <row r="11446">
      <c r="A11446" s="122" t="s">
        <v>37194</v>
      </c>
      <c r="B11446" s="123">
        <v>91928.0</v>
      </c>
      <c r="C11446" s="687" t="str">
        <f>IFERROR(__xludf.DUMMYFUNCTION("GOOGLEFINANCE(A11446,""name"")"),"#N/A")</f>
        <v>#N/A</v>
      </c>
      <c r="D11446" s="125"/>
    </row>
    <row r="11447">
      <c r="A11447" s="122" t="s">
        <v>37195</v>
      </c>
      <c r="B11447" s="123">
        <v>932872.0</v>
      </c>
      <c r="C11447" s="687" t="str">
        <f>IFERROR(__xludf.DUMMYFUNCTION("GOOGLEFINANCE(A11447,""name"")"),"#N/A")</f>
        <v>#N/A</v>
      </c>
      <c r="D11447" s="125"/>
    </row>
    <row r="11448">
      <c r="A11448" s="122" t="s">
        <v>37196</v>
      </c>
      <c r="B11448" s="123">
        <v>932872.0</v>
      </c>
      <c r="C11448" s="687" t="str">
        <f>IFERROR(__xludf.DUMMYFUNCTION("GOOGLEFINANCE(A11448,""name"")"),"#N/A")</f>
        <v>#N/A</v>
      </c>
      <c r="D11448" s="125"/>
    </row>
    <row r="11449">
      <c r="A11449" s="122" t="s">
        <v>37197</v>
      </c>
      <c r="B11449" s="123">
        <v>1774675.0</v>
      </c>
      <c r="C11449" s="687" t="str">
        <f>IFERROR(__xludf.DUMMYFUNCTION("GOOGLEFINANCE(A11449,""name"")"),"#N/A")</f>
        <v>#N/A</v>
      </c>
      <c r="D11449" s="125"/>
    </row>
    <row r="11450">
      <c r="A11450" s="122" t="s">
        <v>37198</v>
      </c>
      <c r="B11450" s="123">
        <v>1847152.0</v>
      </c>
      <c r="C11450" s="687" t="str">
        <f>IFERROR(__xludf.DUMMYFUNCTION("GOOGLEFINANCE(A11450,""name"")"),"#N/A")</f>
        <v>#N/A</v>
      </c>
      <c r="D11450" s="125"/>
    </row>
    <row r="11451">
      <c r="A11451" s="122" t="s">
        <v>37199</v>
      </c>
      <c r="B11451" s="123">
        <v>1847152.0</v>
      </c>
      <c r="C11451" s="687" t="str">
        <f>IFERROR(__xludf.DUMMYFUNCTION("GOOGLEFINANCE(A11451,""name"")"),"#N/A")</f>
        <v>#N/A</v>
      </c>
      <c r="D11451" s="125"/>
    </row>
    <row r="11452">
      <c r="A11452" s="122" t="s">
        <v>37200</v>
      </c>
      <c r="B11452" s="123">
        <v>1847152.0</v>
      </c>
      <c r="C11452" s="687" t="str">
        <f>IFERROR(__xludf.DUMMYFUNCTION("GOOGLEFINANCE(A11452,""name"")"),"#N/A")</f>
        <v>#N/A</v>
      </c>
      <c r="D11452" s="125"/>
    </row>
    <row r="11453">
      <c r="A11453" s="122" t="s">
        <v>37201</v>
      </c>
      <c r="B11453" s="123">
        <v>1823587.0</v>
      </c>
      <c r="C11453" s="687" t="str">
        <f>IFERROR(__xludf.DUMMYFUNCTION("GOOGLEFINANCE(A11453,""name"")"),"#N/A")</f>
        <v>#N/A</v>
      </c>
      <c r="D11453" s="125"/>
    </row>
    <row r="11454">
      <c r="A11454" s="122" t="s">
        <v>37202</v>
      </c>
      <c r="B11454" s="123">
        <v>1834755.0</v>
      </c>
      <c r="C11454" s="687" t="str">
        <f>IFERROR(__xludf.DUMMYFUNCTION("GOOGLEFINANCE(A11454,""name"")"),"#N/A")</f>
        <v>#N/A</v>
      </c>
      <c r="D11454" s="125"/>
    </row>
    <row r="11455">
      <c r="A11455" s="122" t="s">
        <v>37203</v>
      </c>
      <c r="B11455" s="123">
        <v>1834755.0</v>
      </c>
      <c r="C11455" s="687" t="str">
        <f>IFERROR(__xludf.DUMMYFUNCTION("GOOGLEFINANCE(A11455,""name"")"),"#N/A")</f>
        <v>#N/A</v>
      </c>
      <c r="D11455" s="125"/>
    </row>
    <row r="11456">
      <c r="A11456" s="122" t="s">
        <v>37204</v>
      </c>
      <c r="B11456" s="123">
        <v>1523541.0</v>
      </c>
      <c r="C11456" s="687" t="str">
        <f>IFERROR(__xludf.DUMMYFUNCTION("GOOGLEFINANCE(A11456,""name"")"),"#N/A")</f>
        <v>#N/A</v>
      </c>
      <c r="D11456" s="125"/>
    </row>
    <row r="11457">
      <c r="A11457" s="122" t="s">
        <v>37205</v>
      </c>
      <c r="B11457" s="123">
        <v>1826553.0</v>
      </c>
      <c r="C11457" s="687" t="str">
        <f>IFERROR(__xludf.DUMMYFUNCTION("GOOGLEFINANCE(A11457,""name"")"),"#N/A")</f>
        <v>#N/A</v>
      </c>
      <c r="D11457" s="125"/>
    </row>
    <row r="11458">
      <c r="A11458" s="122" t="s">
        <v>37206</v>
      </c>
      <c r="B11458" s="123">
        <v>1826553.0</v>
      </c>
      <c r="C11458" s="687" t="str">
        <f>IFERROR(__xludf.DUMMYFUNCTION("GOOGLEFINANCE(A11458,""name"")"),"#N/A")</f>
        <v>#N/A</v>
      </c>
      <c r="D11458" s="125"/>
    </row>
    <row r="11459">
      <c r="A11459" s="122" t="s">
        <v>37207</v>
      </c>
      <c r="B11459" s="123">
        <v>1826553.0</v>
      </c>
      <c r="C11459" s="687" t="str">
        <f>IFERROR(__xludf.DUMMYFUNCTION("GOOGLEFINANCE(A11459,""name"")"),"#N/A")</f>
        <v>#N/A</v>
      </c>
      <c r="D11459" s="125"/>
    </row>
    <row r="11460">
      <c r="A11460" s="122" t="s">
        <v>37208</v>
      </c>
      <c r="B11460" s="123">
        <v>1040971.0</v>
      </c>
      <c r="C11460" s="687" t="str">
        <f>IFERROR(__xludf.DUMMYFUNCTION("GOOGLEFINANCE(A11460,""name"")"),"#N/A")</f>
        <v>#N/A</v>
      </c>
      <c r="D11460" s="125"/>
    </row>
    <row r="11461">
      <c r="A11461" s="122" t="s">
        <v>37209</v>
      </c>
      <c r="B11461" s="123">
        <v>1837412.0</v>
      </c>
      <c r="C11461" s="687" t="str">
        <f>IFERROR(__xludf.DUMMYFUNCTION("GOOGLEFINANCE(A11461,""name"")"),"Sun Life MFS Global Core Plus Bond Fund ETF Sr")</f>
        <v>Sun Life MFS Global Core Plus Bond Fund ETF Sr</v>
      </c>
      <c r="D11461" s="125"/>
    </row>
    <row r="11462">
      <c r="A11462" s="122" t="s">
        <v>37210</v>
      </c>
      <c r="B11462" s="123">
        <v>1837412.0</v>
      </c>
      <c r="C11462" s="687" t="str">
        <f>IFERROR(__xludf.DUMMYFUNCTION("GOOGLEFINANCE(A11462,""name"")"),"#N/A")</f>
        <v>#N/A</v>
      </c>
      <c r="D11462" s="125"/>
    </row>
    <row r="11463">
      <c r="A11463" s="122" t="s">
        <v>37211</v>
      </c>
      <c r="B11463" s="123">
        <v>1621672.0</v>
      </c>
      <c r="C11463" s="687" t="str">
        <f>IFERROR(__xludf.DUMMYFUNCTION("GOOGLEFINANCE(A11463,""name"")"),"#N/A")</f>
        <v>#N/A</v>
      </c>
      <c r="D11463" s="125"/>
    </row>
    <row r="11464">
      <c r="A11464" s="122" t="s">
        <v>37212</v>
      </c>
      <c r="B11464" s="123">
        <v>1880175.0</v>
      </c>
      <c r="C11464" s="687" t="str">
        <f>IFERROR(__xludf.DUMMYFUNCTION("GOOGLEFINANCE(A11464,""name"")"),"#N/A")</f>
        <v>#N/A</v>
      </c>
      <c r="D11464" s="125"/>
    </row>
    <row r="11465">
      <c r="A11465" s="122" t="s">
        <v>37213</v>
      </c>
      <c r="B11465" s="123">
        <v>1842644.0</v>
      </c>
      <c r="C11465" s="687" t="str">
        <f>IFERROR(__xludf.DUMMYFUNCTION("GOOGLEFINANCE(A11465,""name"")"),"#N/A")</f>
        <v>#N/A</v>
      </c>
      <c r="D11465" s="125"/>
    </row>
    <row r="11466">
      <c r="A11466" s="122" t="s">
        <v>37214</v>
      </c>
      <c r="B11466" s="123">
        <v>1842644.0</v>
      </c>
      <c r="C11466" s="687" t="str">
        <f>IFERROR(__xludf.DUMMYFUNCTION("GOOGLEFINANCE(A11466,""name"")"),"#N/A")</f>
        <v>#N/A</v>
      </c>
      <c r="D11466" s="125"/>
    </row>
    <row r="11467">
      <c r="A11467" s="122" t="s">
        <v>37215</v>
      </c>
      <c r="B11467" s="123">
        <v>1863990.0</v>
      </c>
      <c r="C11467" s="687" t="str">
        <f>IFERROR(__xludf.DUMMYFUNCTION("GOOGLEFINANCE(A11467,""name"")"),"Amplify Small-Mid Cap Equity ETF")</f>
        <v>Amplify Small-Mid Cap Equity ETF</v>
      </c>
      <c r="D11467" s="125"/>
    </row>
    <row r="11468">
      <c r="A11468" s="122" t="s">
        <v>37216</v>
      </c>
      <c r="B11468" s="123">
        <v>1863990.0</v>
      </c>
      <c r="C11468" s="687" t="str">
        <f>IFERROR(__xludf.DUMMYFUNCTION("GOOGLEFINANCE(A11468,""name"")"),"#N/A")</f>
        <v>#N/A</v>
      </c>
      <c r="D11468" s="125"/>
    </row>
    <row r="11469">
      <c r="A11469" s="122" t="s">
        <v>37217</v>
      </c>
      <c r="B11469" s="123">
        <v>1863990.0</v>
      </c>
      <c r="C11469" s="687" t="str">
        <f>IFERROR(__xludf.DUMMYFUNCTION("GOOGLEFINANCE(A11469,""name"")"),"#N/A")</f>
        <v>#N/A</v>
      </c>
      <c r="D11469" s="125"/>
    </row>
    <row r="11470">
      <c r="A11470" s="122" t="s">
        <v>37218</v>
      </c>
      <c r="B11470" s="123">
        <v>1818331.0</v>
      </c>
      <c r="C11470" s="687" t="str">
        <f>IFERROR(__xludf.DUMMYFUNCTION("GOOGLEFINANCE(A11470,""name"")"),"#N/A")</f>
        <v>#N/A</v>
      </c>
      <c r="D11470" s="125"/>
    </row>
    <row r="11471">
      <c r="A11471" s="122" t="s">
        <v>37219</v>
      </c>
      <c r="B11471" s="123">
        <v>1818331.0</v>
      </c>
      <c r="C11471" s="687" t="str">
        <f>IFERROR(__xludf.DUMMYFUNCTION("GOOGLEFINANCE(A11471,""name"")"),"#N/A")</f>
        <v>#N/A</v>
      </c>
      <c r="D11471" s="125"/>
    </row>
    <row r="11472">
      <c r="A11472" s="122" t="s">
        <v>37220</v>
      </c>
      <c r="B11472" s="123">
        <v>1675426.0</v>
      </c>
      <c r="C11472" s="687" t="str">
        <f>IFERROR(__xludf.DUMMYFUNCTION("GOOGLEFINANCE(A11472,""name"")"),"#N/A")</f>
        <v>#N/A</v>
      </c>
      <c r="D11472" s="125"/>
    </row>
    <row r="11473">
      <c r="A11473" s="122" t="s">
        <v>37221</v>
      </c>
      <c r="B11473" s="123">
        <v>1114446.0</v>
      </c>
      <c r="C11473" s="687" t="str">
        <f>IFERROR(__xludf.DUMMYFUNCTION("GOOGLEFINANCE(A11473,""name"")"),"ETRACS 2xMonthly Pay Leveraged US Small Cap High Dividend ETN Series B")</f>
        <v>ETRACS 2xMonthly Pay Leveraged US Small Cap High Dividend ETN Series B</v>
      </c>
      <c r="D11473" s="125"/>
    </row>
    <row r="11474">
      <c r="A11474" s="122" t="s">
        <v>37222</v>
      </c>
      <c r="B11474" s="123">
        <v>1690334.0</v>
      </c>
      <c r="C11474" s="687" t="str">
        <f>IFERROR(__xludf.DUMMYFUNCTION("GOOGLEFINANCE(A11474,""name"")"),"SEACOR Marine Holdings Inc")</f>
        <v>SEACOR Marine Holdings Inc</v>
      </c>
      <c r="D11474" s="125"/>
    </row>
    <row r="11475">
      <c r="A11475" s="122" t="s">
        <v>37223</v>
      </c>
      <c r="B11475" s="123">
        <v>1839185.0</v>
      </c>
      <c r="C11475" s="687" t="str">
        <f>IFERROR(__xludf.DUMMYFUNCTION("GOOGLEFINANCE(A11475,""name"")"),"#N/A")</f>
        <v>#N/A</v>
      </c>
      <c r="D11475" s="125"/>
    </row>
    <row r="11476">
      <c r="A11476" s="122" t="s">
        <v>37224</v>
      </c>
      <c r="B11476" s="123">
        <v>1839185.0</v>
      </c>
      <c r="C11476" s="687" t="str">
        <f>IFERROR(__xludf.DUMMYFUNCTION("GOOGLEFINANCE(A11476,""name"")"),"#N/A")</f>
        <v>#N/A</v>
      </c>
      <c r="D11476" s="125"/>
    </row>
    <row r="11477">
      <c r="A11477" s="122" t="s">
        <v>37225</v>
      </c>
      <c r="B11477" s="123">
        <v>1839185.0</v>
      </c>
      <c r="C11477" s="687" t="str">
        <f>IFERROR(__xludf.DUMMYFUNCTION("GOOGLEFINANCE(A11477,""name"")"),"#N/A")</f>
        <v>#N/A</v>
      </c>
      <c r="D11477" s="125"/>
    </row>
    <row r="11478">
      <c r="A11478" s="122" t="s">
        <v>37226</v>
      </c>
      <c r="B11478" s="123">
        <v>922612.0</v>
      </c>
      <c r="C11478" s="687" t="str">
        <f>IFERROR(__xludf.DUMMYFUNCTION("GOOGLEFINANCE(A11478,""name"")"),"Schmitt Industries Inc")</f>
        <v>Schmitt Industries Inc</v>
      </c>
      <c r="D11478" s="125"/>
    </row>
    <row r="11479">
      <c r="A11479" s="122" t="s">
        <v>37227</v>
      </c>
      <c r="B11479" s="123">
        <v>1549922.0</v>
      </c>
      <c r="C11479" s="687" t="str">
        <f>IFERROR(__xludf.DUMMYFUNCTION("GOOGLEFINANCE(A11479,""name"")"),"#N/A")</f>
        <v>#N/A</v>
      </c>
      <c r="D11479" s="125"/>
    </row>
    <row r="11480">
      <c r="A11480" s="122" t="s">
        <v>37228</v>
      </c>
      <c r="B11480" s="123">
        <v>1822966.0</v>
      </c>
      <c r="C11480" s="687" t="str">
        <f>IFERROR(__xludf.DUMMYFUNCTION("GOOGLEFINANCE(A11480,""name"")"),"#N/A")</f>
        <v>#N/A</v>
      </c>
      <c r="D11480" s="125"/>
    </row>
    <row r="11481">
      <c r="A11481" s="122" t="s">
        <v>37229</v>
      </c>
      <c r="B11481" s="123">
        <v>1585389.0</v>
      </c>
      <c r="C11481" s="687" t="str">
        <f>IFERROR(__xludf.DUMMYFUNCTION("GOOGLEFINANCE(A11481,""name"")"),"Defiance Daily Target 2x Short MSTR ETF")</f>
        <v>Defiance Daily Target 2x Short MSTR ETF</v>
      </c>
      <c r="D11481" s="125"/>
    </row>
    <row r="11482">
      <c r="A11482" s="122" t="s">
        <v>37230</v>
      </c>
      <c r="B11482" s="123">
        <v>1705259.0</v>
      </c>
      <c r="C11482" s="687" t="str">
        <f>IFERROR(__xludf.DUMMYFUNCTION("GOOGLEFINANCE(A11482,""name"")"),"#N/A")</f>
        <v>#N/A</v>
      </c>
      <c r="D11482" s="125"/>
    </row>
    <row r="11483">
      <c r="A11483" s="122" t="s">
        <v>37231</v>
      </c>
      <c r="B11483" s="123">
        <v>1519472.0</v>
      </c>
      <c r="C11483" s="687" t="str">
        <f>IFERROR(__xludf.DUMMYFUNCTION("GOOGLEFINANCE(A11483,""name"")"),"SolarMax Technology Inc")</f>
        <v>SolarMax Technology Inc</v>
      </c>
      <c r="D11483" s="125"/>
    </row>
    <row r="11484">
      <c r="A11484" s="122" t="s">
        <v>37232</v>
      </c>
      <c r="B11484" s="123">
        <v>1564408.0</v>
      </c>
      <c r="C11484" s="687" t="str">
        <f>IFERROR(__xludf.DUMMYFUNCTION("GOOGLEFINANCE(A11484,""name"")"),"Snap Inc")</f>
        <v>Snap Inc</v>
      </c>
      <c r="D11484" s="125"/>
    </row>
    <row r="11485">
      <c r="A11485" s="122" t="s">
        <v>37233</v>
      </c>
      <c r="B11485" s="123">
        <v>1691936.0</v>
      </c>
      <c r="C11485" s="687" t="str">
        <f>IFERROR(__xludf.DUMMYFUNCTION("GOOGLEFINANCE(A11485,""name"")"),"Stryve Foods Inc")</f>
        <v>Stryve Foods Inc</v>
      </c>
      <c r="D11485" s="125"/>
    </row>
    <row r="11486">
      <c r="A11486" s="122" t="s">
        <v>37234</v>
      </c>
      <c r="B11486" s="123">
        <v>1353406.0</v>
      </c>
      <c r="C11486" s="687" t="str">
        <f>IFERROR(__xludf.DUMMYFUNCTION("GOOGLEFINANCE(A11486,""name"")"),"#N/A")</f>
        <v>#N/A</v>
      </c>
      <c r="D11486" s="125"/>
    </row>
    <row r="11487">
      <c r="A11487" s="122" t="s">
        <v>37235</v>
      </c>
      <c r="B11487" s="123">
        <v>1766600.0</v>
      </c>
      <c r="C11487" s="687" t="str">
        <f>IFERROR(__xludf.DUMMYFUNCTION("GOOGLEFINANCE(A11487,""name"")"),"SNDL Inc")</f>
        <v>SNDL Inc</v>
      </c>
      <c r="D11487" s="125"/>
    </row>
    <row r="11488">
      <c r="A11488" s="122" t="s">
        <v>37236</v>
      </c>
      <c r="B11488" s="123">
        <v>1692063.0</v>
      </c>
      <c r="C11488" s="687" t="str">
        <f>IFERROR(__xludf.DUMMYFUNCTION("GOOGLEFINANCE(A11488,""name"")"),"Schneider National Inc")</f>
        <v>Schneider National Inc</v>
      </c>
      <c r="D11488" s="125"/>
    </row>
    <row r="11489">
      <c r="A11489" s="122" t="s">
        <v>37237</v>
      </c>
      <c r="B11489" s="123">
        <v>1395937.0</v>
      </c>
      <c r="C11489" s="687" t="str">
        <f>IFERROR(__xludf.DUMMYFUNCTION("GOOGLEFINANCE(A11489,""name"")"),"Syndax Pharmaceuticals Inc")</f>
        <v>Syndax Pharmaceuticals Inc</v>
      </c>
      <c r="D11489" s="125"/>
    </row>
    <row r="11490">
      <c r="A11490" s="122" t="s">
        <v>37238</v>
      </c>
      <c r="B11490" s="123">
        <v>1123658.0</v>
      </c>
      <c r="C11490" s="687" t="str">
        <f>IFERROR(__xludf.DUMMYFUNCTION("GOOGLEFINANCE(A11490,""name"")"),"#N/A")</f>
        <v>#N/A</v>
      </c>
      <c r="D11490" s="125"/>
    </row>
    <row r="11491">
      <c r="A11491" s="122" t="s">
        <v>37239</v>
      </c>
      <c r="B11491" s="123">
        <v>1823854.0</v>
      </c>
      <c r="C11491" s="687" t="str">
        <f>IFERROR(__xludf.DUMMYFUNCTION("GOOGLEFINANCE(A11491,""name"")"),"#N/A")</f>
        <v>#N/A</v>
      </c>
      <c r="D11491" s="125"/>
    </row>
    <row r="11492">
      <c r="A11492" s="122" t="s">
        <v>37240</v>
      </c>
      <c r="B11492" s="123">
        <v>1823854.0</v>
      </c>
      <c r="C11492" s="687" t="str">
        <f>IFERROR(__xludf.DUMMYFUNCTION("GOOGLEFINANCE(A11492,""name"")"),"#N/A")</f>
        <v>#N/A</v>
      </c>
      <c r="D11492" s="125"/>
    </row>
    <row r="11493">
      <c r="A11493" s="122" t="s">
        <v>37241</v>
      </c>
      <c r="B11493" s="123">
        <v>18349.0</v>
      </c>
      <c r="C11493" s="687" t="str">
        <f>IFERROR(__xludf.DUMMYFUNCTION("GOOGLEFINANCE(A11493,""name"")"),"#N/A")</f>
        <v>#N/A</v>
      </c>
      <c r="D11493" s="125"/>
    </row>
    <row r="11494">
      <c r="A11494" s="122" t="s">
        <v>37242</v>
      </c>
      <c r="B11494" s="123">
        <v>18349.0</v>
      </c>
      <c r="C11494" s="687" t="str">
        <f>IFERROR(__xludf.DUMMYFUNCTION("GOOGLEFINANCE(A11494,""name"")"),"#N/A")</f>
        <v>#N/A</v>
      </c>
      <c r="D11494" s="125"/>
    </row>
    <row r="11495">
      <c r="A11495" s="122" t="s">
        <v>37243</v>
      </c>
      <c r="B11495" s="123">
        <v>92108.0</v>
      </c>
      <c r="C11495" s="687" t="str">
        <f>IFERROR(__xludf.DUMMYFUNCTION("GOOGLEFINANCE(A11495,""name"")"),"Southern California Gas Co Preferred Shares Series A")</f>
        <v>Southern California Gas Co Preferred Shares Series A</v>
      </c>
      <c r="D11495" s="125"/>
    </row>
    <row r="11496">
      <c r="A11496" s="122" t="s">
        <v>37244</v>
      </c>
      <c r="B11496" s="123">
        <v>1301236.0</v>
      </c>
      <c r="C11496" s="687" t="str">
        <f>IFERROR(__xludf.DUMMYFUNCTION("GOOGLEFINANCE(A11496,""name"")"),"Sotherly Hotels Inc Preferred Shares Series D")</f>
        <v>Sotherly Hotels Inc Preferred Shares Series D</v>
      </c>
      <c r="D11496" s="125"/>
    </row>
    <row r="11497">
      <c r="A11497" s="122" t="s">
        <v>37245</v>
      </c>
      <c r="B11497" s="123">
        <v>1301236.0</v>
      </c>
      <c r="C11497" s="687" t="str">
        <f>IFERROR(__xludf.DUMMYFUNCTION("GOOGLEFINANCE(A11497,""name"")"),"Sotherly Hotels Inc Preferred Shares Series C")</f>
        <v>Sotherly Hotels Inc Preferred Shares Series C</v>
      </c>
      <c r="D11497" s="125"/>
    </row>
    <row r="11498">
      <c r="A11498" s="122" t="s">
        <v>37246</v>
      </c>
      <c r="B11498" s="123">
        <v>92122.0</v>
      </c>
      <c r="C11498" s="687" t="str">
        <f>IFERROR(__xludf.DUMMYFUNCTION("GOOGLEFINANCE(A11498,""name"")"),"Southern Junior Subordinated Notes due 1 December 2077 Series B")</f>
        <v>Southern Junior Subordinated Notes due 1 December 2077 Series B</v>
      </c>
      <c r="D11498" s="125"/>
    </row>
    <row r="11499">
      <c r="A11499" s="122" t="s">
        <v>37247</v>
      </c>
      <c r="B11499" s="123">
        <v>1637736.0</v>
      </c>
      <c r="C11499" s="687" t="str">
        <f>IFERROR(__xludf.DUMMYFUNCTION("GOOGLEFINANCE(A11499,""name"")"),"#N/A")</f>
        <v>#N/A</v>
      </c>
      <c r="D11499" s="125"/>
    </row>
    <row r="11500">
      <c r="A11500" s="122" t="s">
        <v>37248</v>
      </c>
      <c r="B11500" s="123">
        <v>1637736.0</v>
      </c>
      <c r="C11500" s="687" t="str">
        <f>IFERROR(__xludf.DUMMYFUNCTION("GOOGLEFINANCE(A11500,""name"")"),"#N/A")</f>
        <v>#N/A</v>
      </c>
      <c r="D11500" s="125"/>
    </row>
    <row r="11501">
      <c r="A11501" s="122" t="s">
        <v>37249</v>
      </c>
      <c r="B11501" s="123">
        <v>1407973.0</v>
      </c>
      <c r="C11501" s="687" t="str">
        <f>IFERROR(__xludf.DUMMYFUNCTION("GOOGLEFINANCE(A11501,""name"")"),"Sonendo Inc")</f>
        <v>Sonendo Inc</v>
      </c>
      <c r="D11501" s="125"/>
    </row>
    <row r="11502">
      <c r="A11502" s="122" t="s">
        <v>37250</v>
      </c>
      <c r="B11502" s="123">
        <v>313838.0</v>
      </c>
      <c r="C11502" s="687" t="str">
        <f>IFERROR(__xludf.DUMMYFUNCTION("GOOGLEFINANCE(A11502,""name"")"),"Sony Group Corp")</f>
        <v>Sony Group Corp</v>
      </c>
      <c r="D11502" s="125"/>
    </row>
    <row r="11503">
      <c r="A11503" s="122" t="s">
        <v>37251</v>
      </c>
      <c r="B11503" s="123">
        <v>1861785.0</v>
      </c>
      <c r="C11503" s="687" t="str">
        <f>IFERROR(__xludf.DUMMYFUNCTION("GOOGLEFINANCE(A11503,""name"")"),"#N/A")</f>
        <v>#N/A</v>
      </c>
      <c r="D11503" s="125"/>
    </row>
    <row r="11504">
      <c r="A11504" s="122" t="s">
        <v>37252</v>
      </c>
      <c r="B11504" s="123">
        <v>1880968.0</v>
      </c>
      <c r="C11504" s="687" t="str">
        <f>IFERROR(__xludf.DUMMYFUNCTION("GOOGLEFINANCE(A11504,""name"")"),"#N/A")</f>
        <v>#N/A</v>
      </c>
      <c r="D11504" s="125"/>
    </row>
    <row r="11505">
      <c r="A11505" s="122" t="s">
        <v>37253</v>
      </c>
      <c r="B11505" s="123">
        <v>1880968.0</v>
      </c>
      <c r="C11505" s="687" t="str">
        <f>IFERROR(__xludf.DUMMYFUNCTION("GOOGLEFINANCE(A11505,""name"")"),"#N/A")</f>
        <v>#N/A</v>
      </c>
      <c r="D11505" s="125"/>
    </row>
    <row r="11506">
      <c r="A11506" s="122" t="s">
        <v>37254</v>
      </c>
      <c r="B11506" s="123">
        <v>1880968.0</v>
      </c>
      <c r="C11506" s="687" t="str">
        <f>IFERROR(__xludf.DUMMYFUNCTION("GOOGLEFINANCE(A11506,""name"")"),"#N/A")</f>
        <v>#N/A</v>
      </c>
      <c r="D11506" s="125"/>
    </row>
    <row r="11507">
      <c r="A11507" s="122" t="s">
        <v>37255</v>
      </c>
      <c r="B11507" s="123">
        <v>897802.0</v>
      </c>
      <c r="C11507" s="687" t="str">
        <f>IFERROR(__xludf.DUMMYFUNCTION("GOOGLEFINANCE(A11507,""name"")"),"#N/A")</f>
        <v>#N/A</v>
      </c>
      <c r="D11507" s="125"/>
    </row>
    <row r="11508">
      <c r="A11508" s="122" t="s">
        <v>37256</v>
      </c>
      <c r="B11508" s="123">
        <v>1729895.0</v>
      </c>
      <c r="C11508" s="687" t="str">
        <f>IFERROR(__xludf.DUMMYFUNCTION("GOOGLEFINANCE(A11508,""name"")"),"#N/A")</f>
        <v>#N/A</v>
      </c>
      <c r="D11508" s="125"/>
    </row>
    <row r="11509">
      <c r="A11509" s="122" t="s">
        <v>37257</v>
      </c>
      <c r="B11509" s="123">
        <v>1063761.0</v>
      </c>
      <c r="C11509" s="687" t="str">
        <f>IFERROR(__xludf.DUMMYFUNCTION("GOOGLEFINANCE(A11509,""name"")"),"#N/A")</f>
        <v>#N/A</v>
      </c>
      <c r="D11509" s="125"/>
    </row>
    <row r="11510">
      <c r="A11510" s="122" t="s">
        <v>37258</v>
      </c>
      <c r="B11510" s="123">
        <v>1847618.0</v>
      </c>
      <c r="C11510" s="687" t="str">
        <f>IFERROR(__xludf.DUMMYFUNCTION("GOOGLEFINANCE(A11510,""name"")"),"#N/A")</f>
        <v>#N/A</v>
      </c>
      <c r="D11510" s="125"/>
    </row>
    <row r="11511">
      <c r="A11511" s="122" t="s">
        <v>37259</v>
      </c>
      <c r="B11511" s="123">
        <v>1839127.0</v>
      </c>
      <c r="C11511" s="687" t="str">
        <f>IFERROR(__xludf.DUMMYFUNCTION("GOOGLEFINANCE(A11511,""name"")"),"Supergas Power 2019 Ltd")</f>
        <v>Supergas Power 2019 Ltd</v>
      </c>
      <c r="D11511" s="125"/>
    </row>
    <row r="11512">
      <c r="A11512" s="122" t="s">
        <v>37260</v>
      </c>
      <c r="B11512" s="123">
        <v>1839127.0</v>
      </c>
      <c r="C11512" s="687" t="str">
        <f>IFERROR(__xludf.DUMMYFUNCTION("GOOGLEFINANCE(A11512,""name"")"),"#N/A")</f>
        <v>#N/A</v>
      </c>
      <c r="D11512" s="125"/>
    </row>
    <row r="11513">
      <c r="A11513" s="122" t="s">
        <v>37261</v>
      </c>
      <c r="B11513" s="123">
        <v>1839127.0</v>
      </c>
      <c r="C11513" s="687" t="str">
        <f>IFERROR(__xludf.DUMMYFUNCTION("GOOGLEFINANCE(A11513,""name"")"),"#N/A")</f>
        <v>#N/A</v>
      </c>
      <c r="D11513" s="125"/>
    </row>
    <row r="11514">
      <c r="A11514" s="122" t="s">
        <v>37262</v>
      </c>
      <c r="B11514" s="123">
        <v>1816017.0</v>
      </c>
      <c r="C11514" s="687" t="str">
        <f>IFERROR(__xludf.DUMMYFUNCTION("GOOGLEFINANCE(A11514,""name"")"),"#N/A")</f>
        <v>#N/A</v>
      </c>
      <c r="D11514" s="125"/>
    </row>
    <row r="11515">
      <c r="A11515" s="122" t="s">
        <v>37263</v>
      </c>
      <c r="B11515" s="123">
        <v>1848097.0</v>
      </c>
      <c r="C11515" s="687" t="str">
        <f>IFERROR(__xludf.DUMMYFUNCTION("GOOGLEFINANCE(A11515,""name"")"),"#N/A")</f>
        <v>#N/A</v>
      </c>
      <c r="D11515" s="125"/>
    </row>
    <row r="11516">
      <c r="A11516" s="122" t="s">
        <v>37264</v>
      </c>
      <c r="B11516" s="123">
        <v>1826435.0</v>
      </c>
      <c r="C11516" s="687" t="str">
        <f>IFERROR(__xludf.DUMMYFUNCTION("GOOGLEFINANCE(A11516,""name"")"),"#N/A")</f>
        <v>#N/A</v>
      </c>
      <c r="D11516" s="125"/>
    </row>
    <row r="11517">
      <c r="A11517" s="122" t="s">
        <v>37265</v>
      </c>
      <c r="B11517" s="123">
        <v>1826435.0</v>
      </c>
      <c r="C11517" s="687" t="str">
        <f>IFERROR(__xludf.DUMMYFUNCTION("GOOGLEFINANCE(A11517,""name"")"),"#N/A")</f>
        <v>#N/A</v>
      </c>
      <c r="D11517" s="125"/>
    </row>
    <row r="11518">
      <c r="A11518" s="122" t="s">
        <v>37266</v>
      </c>
      <c r="B11518" s="123">
        <v>1826435.0</v>
      </c>
      <c r="C11518" s="687" t="str">
        <f>IFERROR(__xludf.DUMMYFUNCTION("GOOGLEFINANCE(A11518,""name"")"),"#N/A")</f>
        <v>#N/A</v>
      </c>
      <c r="D11518" s="125"/>
    </row>
    <row r="11519">
      <c r="A11519" s="122" t="s">
        <v>37267</v>
      </c>
      <c r="B11519" s="123">
        <v>1817218.0</v>
      </c>
      <c r="C11519" s="687" t="str">
        <f>IFERROR(__xludf.DUMMYFUNCTION("GOOGLEFINANCE(A11519,""name"")"),"#N/A")</f>
        <v>#N/A</v>
      </c>
      <c r="D11519" s="125"/>
    </row>
    <row r="11520">
      <c r="A11520" s="122" t="s">
        <v>37268</v>
      </c>
      <c r="B11520" s="123">
        <v>1817218.0</v>
      </c>
      <c r="C11520" s="687" t="str">
        <f>IFERROR(__xludf.DUMMYFUNCTION("GOOGLEFINANCE(A11520,""name"")"),"#N/A")</f>
        <v>#N/A</v>
      </c>
      <c r="D11520" s="125"/>
    </row>
    <row r="11521">
      <c r="A11521" s="122" t="s">
        <v>37269</v>
      </c>
      <c r="B11521" s="123">
        <v>1452857.0</v>
      </c>
      <c r="C11521" s="687" t="str">
        <f>IFERROR(__xludf.DUMMYFUNCTION("GOOGLEFINANCE(A11521,""name"")"),"#N/A")</f>
        <v>#N/A</v>
      </c>
      <c r="D11521" s="125"/>
    </row>
    <row r="11522">
      <c r="A11522" s="122" t="s">
        <v>37270</v>
      </c>
      <c r="B11522" s="123">
        <v>1637761.0</v>
      </c>
      <c r="C11522" s="687" t="str">
        <f>IFERROR(__xludf.DUMMYFUNCTION("GOOGLEFINANCE(A11522,""name"")"),"#N/A")</f>
        <v>#N/A</v>
      </c>
      <c r="D11522" s="125"/>
    </row>
    <row r="11523">
      <c r="A11523" s="122" t="s">
        <v>37271</v>
      </c>
      <c r="B11523" s="123">
        <v>1576018.0</v>
      </c>
      <c r="C11523" s="687" t="str">
        <f>IFERROR(__xludf.DUMMYFUNCTION("GOOGLEFINANCE(A11523,""name"")"),"#N/A")</f>
        <v>#N/A</v>
      </c>
      <c r="D11523" s="125"/>
    </row>
    <row r="11524">
      <c r="A11524" s="122" t="s">
        <v>37272</v>
      </c>
      <c r="B11524" s="123">
        <v>831547.0</v>
      </c>
      <c r="C11524" s="687" t="str">
        <f>IFERROR(__xludf.DUMMYFUNCTION("GOOGLEFINANCE(A11524,""name"")"),"#N/A")</f>
        <v>#N/A</v>
      </c>
      <c r="D11524" s="125"/>
    </row>
    <row r="11525">
      <c r="A11525" s="122" t="s">
        <v>37273</v>
      </c>
      <c r="B11525" s="123">
        <v>1552164.0</v>
      </c>
      <c r="C11525" s="687" t="str">
        <f>IFERROR(__xludf.DUMMYFUNCTION("GOOGLEFINANCE(A11525,""name"")"),"#N/A")</f>
        <v>#N/A</v>
      </c>
      <c r="D11525" s="125"/>
    </row>
    <row r="11526">
      <c r="A11526" s="122" t="s">
        <v>37274</v>
      </c>
      <c r="B11526" s="123">
        <v>1848452.0</v>
      </c>
      <c r="C11526" s="687" t="str">
        <f>IFERROR(__xludf.DUMMYFUNCTION("GOOGLEFINANCE(A11526,""name"")"),"#N/A")</f>
        <v>#N/A</v>
      </c>
      <c r="D11526" s="125"/>
    </row>
    <row r="11527">
      <c r="A11527" s="122" t="s">
        <v>37275</v>
      </c>
      <c r="B11527" s="123">
        <v>1836259.0</v>
      </c>
      <c r="C11527" s="687" t="str">
        <f>IFERROR(__xludf.DUMMYFUNCTION("GOOGLEFINANCE(A11527,""name"")"),"#N/A")</f>
        <v>#N/A</v>
      </c>
      <c r="D11527" s="125"/>
    </row>
    <row r="11528">
      <c r="A11528" s="122" t="s">
        <v>37276</v>
      </c>
      <c r="B11528" s="123">
        <v>1836259.0</v>
      </c>
      <c r="C11528" s="687" t="str">
        <f>IFERROR(__xludf.DUMMYFUNCTION("GOOGLEFINANCE(A11528,""name"")"),"#N/A")</f>
        <v>#N/A</v>
      </c>
      <c r="D11528" s="125"/>
    </row>
    <row r="11529">
      <c r="A11529" s="122" t="s">
        <v>37277</v>
      </c>
      <c r="B11529" s="123">
        <v>1836259.0</v>
      </c>
      <c r="C11529" s="687" t="str">
        <f>IFERROR(__xludf.DUMMYFUNCTION("GOOGLEFINANCE(A11529,""name"")"),"#N/A")</f>
        <v>#N/A</v>
      </c>
      <c r="D11529" s="125"/>
    </row>
    <row r="11530">
      <c r="A11530" s="122" t="s">
        <v>37278</v>
      </c>
      <c r="B11530" s="123">
        <v>1126956.0</v>
      </c>
      <c r="C11530" s="687" t="str">
        <f>IFERROR(__xludf.DUMMYFUNCTION("GOOGLEFINANCE(A11530,""name"")"),"#N/A")</f>
        <v>#N/A</v>
      </c>
      <c r="D11530" s="125"/>
    </row>
    <row r="11531">
      <c r="A11531" s="122" t="s">
        <v>37279</v>
      </c>
      <c r="B11531" s="123">
        <v>1308606.0</v>
      </c>
      <c r="C11531" s="687" t="str">
        <f>IFERROR(__xludf.DUMMYFUNCTION("GOOGLEFINANCE(A11531,""name"")"),"#N/A")</f>
        <v>#N/A</v>
      </c>
      <c r="D11531" s="125"/>
    </row>
    <row r="11532">
      <c r="A11532" s="122" t="s">
        <v>37280</v>
      </c>
      <c r="B11532" s="123">
        <v>1628063.0</v>
      </c>
      <c r="C11532" s="687" t="str">
        <f>IFERROR(__xludf.DUMMYFUNCTION("GOOGLEFINANCE(A11532,""name"")"),"#N/A")</f>
        <v>#N/A</v>
      </c>
      <c r="D11532" s="125"/>
    </row>
    <row r="11533">
      <c r="A11533" s="122" t="s">
        <v>37281</v>
      </c>
      <c r="B11533" s="123">
        <v>1760173.0</v>
      </c>
      <c r="C11533" s="687" t="str">
        <f>IFERROR(__xludf.DUMMYFUNCTION("GOOGLEFINANCE(A11533,""name"")"),"#N/A")</f>
        <v>#N/A</v>
      </c>
      <c r="D11533" s="125"/>
    </row>
    <row r="11534">
      <c r="A11534" s="122" t="s">
        <v>37282</v>
      </c>
      <c r="B11534" s="123">
        <v>1401835.0</v>
      </c>
      <c r="C11534" s="687" t="str">
        <f>IFERROR(__xludf.DUMMYFUNCTION("GOOGLEFINANCE(A11534,""name"")"),"Star Gold Corp")</f>
        <v>Star Gold Corp</v>
      </c>
      <c r="D11534" s="125"/>
    </row>
    <row r="11535">
      <c r="A11535" s="122" t="s">
        <v>37283</v>
      </c>
      <c r="B11535" s="123">
        <v>1525287.0</v>
      </c>
      <c r="C11535" s="687" t="str">
        <f>IFERROR(__xludf.DUMMYFUNCTION("GOOGLEFINANCE(A11535,""name"")"),"#N/A")</f>
        <v>#N/A</v>
      </c>
      <c r="D11535" s="125"/>
    </row>
    <row r="11536">
      <c r="A11536" s="122" t="s">
        <v>37284</v>
      </c>
      <c r="B11536" s="123">
        <v>850261.0</v>
      </c>
      <c r="C11536" s="687" t="str">
        <f>IFERROR(__xludf.DUMMYFUNCTION("GOOGLEFINANCE(A11536,""name"")"),"Sorrento Therapeutics Inc")</f>
        <v>Sorrento Therapeutics Inc</v>
      </c>
      <c r="D11536" s="125"/>
    </row>
    <row r="11537">
      <c r="A11537" s="122" t="s">
        <v>37285</v>
      </c>
      <c r="B11537" s="123">
        <v>1581005.0</v>
      </c>
      <c r="C11537" s="687" t="str">
        <f>IFERROR(__xludf.DUMMYFUNCTION("GOOGLEFINANCE(A11537,""name"")"),"#N/A")</f>
        <v>#N/A</v>
      </c>
      <c r="D11537" s="125"/>
    </row>
    <row r="11538">
      <c r="A11538" s="122" t="s">
        <v>37286</v>
      </c>
      <c r="B11538" s="123">
        <v>1821682.0</v>
      </c>
      <c r="C11538" s="687" t="str">
        <f>IFERROR(__xludf.DUMMYFUNCTION("GOOGLEFINANCE(A11538,""name"")"),"#N/A")</f>
        <v>#N/A</v>
      </c>
      <c r="D11538" s="125"/>
    </row>
    <row r="11539">
      <c r="A11539" s="122" t="s">
        <v>37287</v>
      </c>
      <c r="B11539" s="123">
        <v>1821682.0</v>
      </c>
      <c r="C11539" s="687" t="str">
        <f>IFERROR(__xludf.DUMMYFUNCTION("GOOGLEFINANCE(A11539,""name"")"),"#N/A")</f>
        <v>#N/A</v>
      </c>
      <c r="D11539" s="125"/>
    </row>
    <row r="11540">
      <c r="A11540" s="122" t="s">
        <v>37288</v>
      </c>
      <c r="B11540" s="123">
        <v>1830547.0</v>
      </c>
      <c r="C11540" s="687" t="str">
        <f>IFERROR(__xludf.DUMMYFUNCTION("GOOGLEFINANCE(A11540,""name"")"),"#N/A")</f>
        <v>#N/A</v>
      </c>
      <c r="D11540" s="125"/>
    </row>
    <row r="11541">
      <c r="A11541" s="122" t="s">
        <v>37289</v>
      </c>
      <c r="B11541" s="123">
        <v>1830547.0</v>
      </c>
      <c r="C11541" s="687" t="str">
        <f>IFERROR(__xludf.DUMMYFUNCTION("GOOGLEFINANCE(A11541,""name"")"),"#N/A")</f>
        <v>#N/A</v>
      </c>
      <c r="D11541" s="125"/>
    </row>
    <row r="11542">
      <c r="A11542" s="122" t="s">
        <v>37290</v>
      </c>
      <c r="B11542" s="123">
        <v>1830547.0</v>
      </c>
      <c r="C11542" s="687" t="str">
        <f>IFERROR(__xludf.DUMMYFUNCTION("GOOGLEFINANCE(A11542,""name"")"),"#N/A")</f>
        <v>#N/A</v>
      </c>
      <c r="D11542" s="125"/>
    </row>
    <row r="11543">
      <c r="A11543" s="122" t="s">
        <v>37291</v>
      </c>
      <c r="B11543" s="123">
        <v>1473287.0</v>
      </c>
      <c r="C11543" s="687" t="str">
        <f>IFERROR(__xludf.DUMMYFUNCTION("GOOGLEFINANCE(A11543,""name"")"),"#N/A")</f>
        <v>#N/A</v>
      </c>
      <c r="D11543" s="125"/>
    </row>
    <row r="11544">
      <c r="A11544" s="122" t="s">
        <v>37292</v>
      </c>
      <c r="B11544" s="123">
        <v>1673504.0</v>
      </c>
      <c r="C11544" s="687" t="str">
        <f>IFERROR(__xludf.DUMMYFUNCTION("GOOGLEFINANCE(A11544,""name"")"),"#N/A")</f>
        <v>#N/A</v>
      </c>
      <c r="D11544" s="125"/>
    </row>
    <row r="11545">
      <c r="A11545" s="122" t="s">
        <v>37293</v>
      </c>
      <c r="B11545" s="123">
        <v>1576018.0</v>
      </c>
      <c r="C11545" s="687" t="str">
        <f>IFERROR(__xludf.DUMMYFUNCTION("GOOGLEFINANCE(A11545,""name"")"),"#N/A")</f>
        <v>#N/A</v>
      </c>
      <c r="D11545" s="125"/>
    </row>
    <row r="11546">
      <c r="A11546" s="122" t="s">
        <v>37294</v>
      </c>
      <c r="B11546" s="123">
        <v>1870079.0</v>
      </c>
      <c r="C11546" s="687" t="str">
        <f>IFERROR(__xludf.DUMMYFUNCTION("GOOGLEFINANCE(A11546,""name"")"),"#N/A")</f>
        <v>#N/A</v>
      </c>
      <c r="D11546" s="125"/>
    </row>
    <row r="11547">
      <c r="A11547" s="122" t="s">
        <v>37295</v>
      </c>
      <c r="B11547" s="123">
        <v>1805833.0</v>
      </c>
      <c r="C11547" s="687" t="str">
        <f>IFERROR(__xludf.DUMMYFUNCTION("GOOGLEFINANCE(A11547,""name"")"),"#N/A")</f>
        <v>#N/A</v>
      </c>
      <c r="D11547" s="125"/>
    </row>
    <row r="11548">
      <c r="A11548" s="122" t="s">
        <v>37296</v>
      </c>
      <c r="B11548" s="123">
        <v>1869858.0</v>
      </c>
      <c r="C11548" s="687" t="str">
        <f>IFERROR(__xludf.DUMMYFUNCTION("GOOGLEFINANCE(A11548,""name"")"),"#N/A")</f>
        <v>#N/A</v>
      </c>
      <c r="D11548" s="125"/>
    </row>
    <row r="11549">
      <c r="A11549" s="122" t="s">
        <v>37297</v>
      </c>
      <c r="B11549" s="123">
        <v>1095651.0</v>
      </c>
      <c r="C11549" s="687" t="str">
        <f>IFERROR(__xludf.DUMMYFUNCTION("GOOGLEFINANCE(A11549,""name"")"),"#N/A")</f>
        <v>#N/A</v>
      </c>
      <c r="D11549" s="125"/>
    </row>
    <row r="11550">
      <c r="A11550" s="122" t="s">
        <v>37298</v>
      </c>
      <c r="B11550" s="123">
        <v>1095651.0</v>
      </c>
      <c r="C11550" s="687" t="str">
        <f>IFERROR(__xludf.DUMMYFUNCTION("GOOGLEFINANCE(A11550,""name"")"),"#N/A")</f>
        <v>#N/A</v>
      </c>
      <c r="D11550" s="125"/>
    </row>
    <row r="11551">
      <c r="A11551" s="122" t="s">
        <v>37299</v>
      </c>
      <c r="B11551" s="123">
        <v>1095651.0</v>
      </c>
      <c r="C11551" s="687" t="str">
        <f>IFERROR(__xludf.DUMMYFUNCTION("GOOGLEFINANCE(A11551,""name"")"),"#N/A")</f>
        <v>#N/A</v>
      </c>
      <c r="D11551" s="125"/>
    </row>
    <row r="11552">
      <c r="A11552" s="122" t="s">
        <v>37300</v>
      </c>
      <c r="B11552" s="123">
        <v>1858684.0</v>
      </c>
      <c r="C11552" s="687" t="str">
        <f>IFERROR(__xludf.DUMMYFUNCTION("GOOGLEFINANCE(A11552,""name"")"),"#N/A")</f>
        <v>#N/A</v>
      </c>
      <c r="D11552" s="125"/>
    </row>
    <row r="11553">
      <c r="A11553" s="122" t="s">
        <v>37301</v>
      </c>
      <c r="B11553" s="123">
        <v>1858684.0</v>
      </c>
      <c r="C11553" s="687" t="str">
        <f>IFERROR(__xludf.DUMMYFUNCTION("GOOGLEFINANCE(A11553,""name"")"),"#N/A")</f>
        <v>#N/A</v>
      </c>
      <c r="D11553" s="125"/>
    </row>
    <row r="11554">
      <c r="A11554" s="122" t="s">
        <v>37302</v>
      </c>
      <c r="B11554" s="123">
        <v>1858684.0</v>
      </c>
      <c r="C11554" s="687" t="str">
        <f>IFERROR(__xludf.DUMMYFUNCTION("GOOGLEFINANCE(A11554,""name"")"),"#N/A")</f>
        <v>#N/A</v>
      </c>
      <c r="D11554" s="125"/>
    </row>
    <row r="11555">
      <c r="A11555" s="122" t="s">
        <v>37303</v>
      </c>
      <c r="B11555" s="123">
        <v>1697834.0</v>
      </c>
      <c r="C11555" s="687" t="str">
        <f>IFERROR(__xludf.DUMMYFUNCTION("GOOGLEFINANCE(A11555,""name"")"),"Stem Holdings Inc")</f>
        <v>Stem Holdings Inc</v>
      </c>
      <c r="D11555" s="125"/>
    </row>
    <row r="11556">
      <c r="A11556" s="122" t="s">
        <v>37304</v>
      </c>
      <c r="B11556" s="123">
        <v>1753886.0</v>
      </c>
      <c r="C11556" s="687" t="str">
        <f>IFERROR(__xludf.DUMMYFUNCTION("GOOGLEFINANCE(A11556,""name"")"),"#N/A")</f>
        <v>#N/A</v>
      </c>
      <c r="D11556" s="125"/>
    </row>
    <row r="11557">
      <c r="A11557" s="122" t="s">
        <v>37305</v>
      </c>
      <c r="B11557" s="123">
        <v>1538990.0</v>
      </c>
      <c r="C11557" s="687" t="str">
        <f>IFERROR(__xludf.DUMMYFUNCTION("GOOGLEFINANCE(A11557,""name"")"),"#N/A")</f>
        <v>#N/A</v>
      </c>
      <c r="D11557" s="125"/>
    </row>
    <row r="11558">
      <c r="A11558" s="122" t="s">
        <v>37306</v>
      </c>
      <c r="B11558" s="123">
        <v>1703785.0</v>
      </c>
      <c r="C11558" s="687" t="str">
        <f>IFERROR(__xludf.DUMMYFUNCTION("GOOGLEFINANCE(A11558,""name"")"),"#N/A")</f>
        <v>#N/A</v>
      </c>
      <c r="D11558" s="125"/>
    </row>
    <row r="11559">
      <c r="A11559" s="122" t="s">
        <v>37307</v>
      </c>
      <c r="B11559" s="123">
        <v>1838361.0</v>
      </c>
      <c r="C11559" s="687" t="str">
        <f>IFERROR(__xludf.DUMMYFUNCTION("GOOGLEFINANCE(A11559,""name"")"),"#N/A")</f>
        <v>#N/A</v>
      </c>
      <c r="D11559" s="125"/>
    </row>
    <row r="11560">
      <c r="A11560" s="122" t="s">
        <v>37308</v>
      </c>
      <c r="B11560" s="123">
        <v>1838361.0</v>
      </c>
      <c r="C11560" s="687" t="str">
        <f>IFERROR(__xludf.DUMMYFUNCTION("GOOGLEFINANCE(A11560,""name"")"),"#N/A")</f>
        <v>#N/A</v>
      </c>
      <c r="D11560" s="125"/>
    </row>
    <row r="11561">
      <c r="A11561" s="122" t="s">
        <v>37309</v>
      </c>
      <c r="B11561" s="123">
        <v>1838361.0</v>
      </c>
      <c r="C11561" s="687" t="str">
        <f>IFERROR(__xludf.DUMMYFUNCTION("GOOGLEFINANCE(A11561,""name"")"),"#N/A")</f>
        <v>#N/A</v>
      </c>
      <c r="D11561" s="125"/>
    </row>
    <row r="11562">
      <c r="A11562" s="122" t="s">
        <v>37310</v>
      </c>
      <c r="B11562" s="123">
        <v>1872525.0</v>
      </c>
      <c r="C11562" s="687" t="str">
        <f>IFERROR(__xludf.DUMMYFUNCTION("GOOGLEFINANCE(A11562,""name"")"),"#N/A")</f>
        <v>#N/A</v>
      </c>
      <c r="D11562" s="125"/>
    </row>
    <row r="11563">
      <c r="A11563" s="122" t="s">
        <v>37311</v>
      </c>
      <c r="B11563" s="123">
        <v>1884697.0</v>
      </c>
      <c r="C11563" s="687" t="str">
        <f>IFERROR(__xludf.DUMMYFUNCTION("GOOGLEFINANCE(A11563,""name"")"),"#N/A")</f>
        <v>#N/A</v>
      </c>
      <c r="D11563" s="125"/>
    </row>
    <row r="11564">
      <c r="A11564" s="122" t="s">
        <v>37312</v>
      </c>
      <c r="B11564" s="123">
        <v>1884697.0</v>
      </c>
      <c r="C11564" s="687" t="str">
        <f>IFERROR(__xludf.DUMMYFUNCTION("GOOGLEFINANCE(A11564,""name"")"),"#N/A")</f>
        <v>#N/A</v>
      </c>
      <c r="D11564" s="125"/>
    </row>
    <row r="11565">
      <c r="A11565" s="122" t="s">
        <v>37313</v>
      </c>
      <c r="B11565" s="123">
        <v>1043156.0</v>
      </c>
      <c r="C11565" s="687" t="str">
        <f>IFERROR(__xludf.DUMMYFUNCTION("GOOGLEFINANCE(A11565,""name"")"),"Starz Entertainment Corp")</f>
        <v>Starz Entertainment Corp</v>
      </c>
      <c r="D11565" s="125"/>
    </row>
    <row r="11566">
      <c r="A11566" s="122" t="s">
        <v>37314</v>
      </c>
      <c r="B11566" s="123">
        <v>1692830.0</v>
      </c>
      <c r="C11566" s="687" t="str">
        <f>IFERROR(__xludf.DUMMYFUNCTION("GOOGLEFINANCE(A11566,""name"")"),"#N/A")</f>
        <v>#N/A</v>
      </c>
      <c r="D11566" s="125"/>
    </row>
    <row r="11567">
      <c r="A11567" s="122" t="s">
        <v>37315</v>
      </c>
      <c r="B11567" s="123">
        <v>1368761.0</v>
      </c>
      <c r="C11567" s="687" t="str">
        <f>IFERROR(__xludf.DUMMYFUNCTION("GOOGLEFINANCE(A11567,""name"")"),"#N/A")</f>
        <v>#N/A</v>
      </c>
      <c r="D11567" s="125"/>
    </row>
    <row r="11568">
      <c r="A11568" s="122" t="s">
        <v>37316</v>
      </c>
      <c r="B11568" s="123">
        <v>93751.0</v>
      </c>
      <c r="C11568" s="687" t="str">
        <f>IFERROR(__xludf.DUMMYFUNCTION("GOOGLEFINANCE(A11568,""name"")"),"#N/A")</f>
        <v>#N/A</v>
      </c>
      <c r="D11568" s="125"/>
    </row>
    <row r="11569">
      <c r="A11569" s="122" t="s">
        <v>37317</v>
      </c>
      <c r="B11569" s="123">
        <v>93751.0</v>
      </c>
      <c r="C11569" s="687" t="str">
        <f>IFERROR(__xludf.DUMMYFUNCTION("GOOGLEFINANCE(A11569,""name"")"),"#N/A")</f>
        <v>#N/A</v>
      </c>
      <c r="D11569" s="125"/>
    </row>
    <row r="11570">
      <c r="A11570" s="122" t="s">
        <v>37318</v>
      </c>
      <c r="B11570" s="123">
        <v>1883898.0</v>
      </c>
      <c r="C11570" s="687" t="str">
        <f>IFERROR(__xludf.DUMMYFUNCTION("GOOGLEFINANCE(A11570,""name"")"),"#N/A")</f>
        <v>#N/A</v>
      </c>
      <c r="D11570" s="125"/>
    </row>
    <row r="11571">
      <c r="A11571" s="122" t="s">
        <v>37319</v>
      </c>
      <c r="B11571" s="123">
        <v>1897640.0</v>
      </c>
      <c r="C11571" s="687" t="str">
        <f>IFERROR(__xludf.DUMMYFUNCTION("GOOGLEFINANCE(A11571,""name"")"),"#N/A")</f>
        <v>#N/A</v>
      </c>
      <c r="D11571" s="125"/>
    </row>
    <row r="11572">
      <c r="A11572" s="122" t="s">
        <v>37320</v>
      </c>
      <c r="B11572" s="123">
        <v>16918.0</v>
      </c>
      <c r="C11572" s="687" t="str">
        <f>IFERROR(__xludf.DUMMYFUNCTION("GOOGLEFINANCE(A11572,""name"")"),"#N/A")</f>
        <v>#N/A</v>
      </c>
      <c r="D11572" s="125"/>
    </row>
    <row r="11573">
      <c r="A11573" s="122" t="s">
        <v>37321</v>
      </c>
      <c r="B11573" s="123">
        <v>1885461.0</v>
      </c>
      <c r="C11573" s="687" t="str">
        <f>IFERROR(__xludf.DUMMYFUNCTION("GOOGLEFINANCE(A11573,""name"")"),"#N/A")</f>
        <v>#N/A</v>
      </c>
      <c r="D11573" s="125"/>
    </row>
    <row r="11574">
      <c r="A11574" s="122" t="s">
        <v>37322</v>
      </c>
      <c r="B11574" s="123">
        <v>1885461.0</v>
      </c>
      <c r="C11574" s="687" t="str">
        <f>IFERROR(__xludf.DUMMYFUNCTION("GOOGLEFINANCE(A11574,""name"")"),"#N/A")</f>
        <v>#N/A</v>
      </c>
      <c r="D11574" s="125"/>
    </row>
    <row r="11575">
      <c r="A11575" s="122" t="s">
        <v>37323</v>
      </c>
      <c r="B11575" s="123">
        <v>1885461.0</v>
      </c>
      <c r="C11575" s="687" t="str">
        <f>IFERROR(__xludf.DUMMYFUNCTION("GOOGLEFINANCE(A11575,""name"")"),"#N/A")</f>
        <v>#N/A</v>
      </c>
      <c r="D11575" s="125"/>
    </row>
    <row r="11576">
      <c r="A11576" s="122" t="s">
        <v>37324</v>
      </c>
      <c r="B11576" s="123">
        <v>1643269.0</v>
      </c>
      <c r="C11576" s="687" t="str">
        <f>IFERROR(__xludf.DUMMYFUNCTION("GOOGLEFINANCE(A11576,""name"")"),"#N/A")</f>
        <v>#N/A</v>
      </c>
      <c r="D11576" s="125"/>
    </row>
    <row r="11577">
      <c r="A11577" s="122" t="s">
        <v>37325</v>
      </c>
      <c r="B11577" s="123">
        <v>1873885.0</v>
      </c>
      <c r="C11577" s="687" t="str">
        <f>IFERROR(__xludf.DUMMYFUNCTION("GOOGLEFINANCE(A11577,""name"")"),"#N/A")</f>
        <v>#N/A</v>
      </c>
      <c r="D11577" s="125"/>
    </row>
    <row r="11578">
      <c r="A11578" s="122" t="s">
        <v>37326</v>
      </c>
      <c r="B11578" s="123">
        <v>1821850.0</v>
      </c>
      <c r="C11578" s="687" t="str">
        <f>IFERROR(__xludf.DUMMYFUNCTION("GOOGLEFINANCE(A11578,""name"")"),"#N/A")</f>
        <v>#N/A</v>
      </c>
      <c r="D11578" s="125"/>
    </row>
    <row r="11579">
      <c r="A11579" s="122" t="s">
        <v>37327</v>
      </c>
      <c r="B11579" s="123">
        <v>1925179.0</v>
      </c>
      <c r="C11579" s="687" t="str">
        <f>IFERROR(__xludf.DUMMYFUNCTION("GOOGLEFINANCE(A11579,""name"")"),"#N/A")</f>
        <v>#N/A</v>
      </c>
      <c r="D11579" s="125"/>
    </row>
    <row r="11580">
      <c r="A11580" s="122" t="s">
        <v>37328</v>
      </c>
      <c r="B11580" s="123">
        <v>1718108.0</v>
      </c>
      <c r="C11580" s="687" t="str">
        <f>IFERROR(__xludf.DUMMYFUNCTION("GOOGLEFINANCE(A11580,""name"")"),"#N/A")</f>
        <v>#N/A</v>
      </c>
      <c r="D11580" s="125"/>
    </row>
    <row r="11581">
      <c r="A11581" s="122" t="s">
        <v>37329</v>
      </c>
      <c r="B11581" s="123">
        <v>1828478.0</v>
      </c>
      <c r="C11581" s="687" t="str">
        <f>IFERROR(__xludf.DUMMYFUNCTION("GOOGLEFINANCE(A11581,""name"")"),"#N/A")</f>
        <v>#N/A</v>
      </c>
      <c r="D11581" s="125"/>
    </row>
    <row r="11582">
      <c r="A11582" s="122" t="s">
        <v>37330</v>
      </c>
      <c r="B11582" s="123">
        <v>1828478.0</v>
      </c>
      <c r="C11582" s="687" t="str">
        <f>IFERROR(__xludf.DUMMYFUNCTION("GOOGLEFINANCE(A11582,""name"")"),"#N/A")</f>
        <v>#N/A</v>
      </c>
      <c r="D11582" s="125"/>
    </row>
    <row r="11583">
      <c r="A11583" s="122" t="s">
        <v>37331</v>
      </c>
      <c r="B11583" s="123">
        <v>1828478.0</v>
      </c>
      <c r="C11583" s="687" t="str">
        <f>IFERROR(__xludf.DUMMYFUNCTION("GOOGLEFINANCE(A11583,""name"")"),"#N/A")</f>
        <v>#N/A</v>
      </c>
      <c r="D11583" s="125"/>
    </row>
    <row r="11584">
      <c r="A11584" s="122" t="s">
        <v>37332</v>
      </c>
      <c r="B11584" s="123">
        <v>1837238.0</v>
      </c>
      <c r="C11584" s="687" t="str">
        <f>IFERROR(__xludf.DUMMYFUNCTION("GOOGLEFINANCE(A11584,""name"")"),"#N/A")</f>
        <v>#N/A</v>
      </c>
      <c r="D11584" s="125"/>
    </row>
    <row r="11585">
      <c r="A11585" s="122" t="s">
        <v>37333</v>
      </c>
      <c r="B11585" s="123">
        <v>1850699.0</v>
      </c>
      <c r="C11585" s="687" t="str">
        <f>IFERROR(__xludf.DUMMYFUNCTION("GOOGLEFINANCE(A11585,""name"")"),"#N/A")</f>
        <v>#N/A</v>
      </c>
      <c r="D11585" s="125"/>
    </row>
    <row r="11586">
      <c r="A11586" s="122" t="s">
        <v>37334</v>
      </c>
      <c r="B11586" s="123">
        <v>1850699.0</v>
      </c>
      <c r="C11586" s="687" t="str">
        <f>IFERROR(__xludf.DUMMYFUNCTION("GOOGLEFINANCE(A11586,""name"")"),"#N/A")</f>
        <v>#N/A</v>
      </c>
      <c r="D11586" s="125"/>
    </row>
    <row r="11587">
      <c r="A11587" s="122" t="s">
        <v>37335</v>
      </c>
      <c r="B11587" s="123">
        <v>1850699.0</v>
      </c>
      <c r="C11587" s="687" t="str">
        <f>IFERROR(__xludf.DUMMYFUNCTION("GOOGLEFINANCE(A11587,""name"")"),"#N/A")</f>
        <v>#N/A</v>
      </c>
      <c r="D11587" s="125"/>
    </row>
    <row r="11588">
      <c r="A11588" s="122" t="s">
        <v>37336</v>
      </c>
      <c r="B11588" s="123">
        <v>1849288.0</v>
      </c>
      <c r="C11588" s="687" t="str">
        <f>IFERROR(__xludf.DUMMYFUNCTION("GOOGLEFINANCE(A11588,""name"")"),"#N/A")</f>
        <v>#N/A</v>
      </c>
      <c r="D11588" s="125"/>
    </row>
    <row r="11589">
      <c r="A11589" s="122" t="s">
        <v>37337</v>
      </c>
      <c r="B11589" s="123">
        <v>1710583.0</v>
      </c>
      <c r="C11589" s="687" t="str">
        <f>IFERROR(__xludf.DUMMYFUNCTION("GOOGLEFINANCE(A11589,""name"")"),"#N/A")</f>
        <v>#N/A</v>
      </c>
      <c r="D11589" s="125"/>
    </row>
    <row r="11590">
      <c r="A11590" s="122" t="s">
        <v>37338</v>
      </c>
      <c r="B11590" s="123">
        <v>1828914.0</v>
      </c>
      <c r="C11590" s="687" t="str">
        <f>IFERROR(__xludf.DUMMYFUNCTION("GOOGLEFINANCE(A11590,""name"")"),"#N/A")</f>
        <v>#N/A</v>
      </c>
      <c r="D11590" s="125"/>
    </row>
    <row r="11591">
      <c r="A11591" s="122" t="s">
        <v>37339</v>
      </c>
      <c r="B11591" s="123">
        <v>1828914.0</v>
      </c>
      <c r="C11591" s="687" t="str">
        <f>IFERROR(__xludf.DUMMYFUNCTION("GOOGLEFINANCE(A11591,""name"")"),"#N/A")</f>
        <v>#N/A</v>
      </c>
      <c r="D11591" s="125"/>
    </row>
    <row r="11592">
      <c r="A11592" s="122" t="s">
        <v>37340</v>
      </c>
      <c r="B11592" s="123">
        <v>1828914.0</v>
      </c>
      <c r="C11592" s="687" t="str">
        <f>IFERROR(__xludf.DUMMYFUNCTION("GOOGLEFINANCE(A11592,""name"")"),"#N/A")</f>
        <v>#N/A</v>
      </c>
      <c r="D11592" s="125"/>
    </row>
    <row r="11593">
      <c r="A11593" s="122" t="s">
        <v>37341</v>
      </c>
      <c r="B11593" s="123">
        <v>1848669.0</v>
      </c>
      <c r="C11593" s="687" t="str">
        <f>IFERROR(__xludf.DUMMYFUNCTION("GOOGLEFINANCE(A11593,""name"")"),"#N/A")</f>
        <v>#N/A</v>
      </c>
      <c r="D11593" s="125"/>
    </row>
    <row r="11594">
      <c r="A11594" s="122" t="s">
        <v>37342</v>
      </c>
      <c r="B11594" s="123">
        <v>1626696.0</v>
      </c>
      <c r="C11594" s="687" t="str">
        <f>IFERROR(__xludf.DUMMYFUNCTION("GOOGLEFINANCE(A11594,""name"")"),"#N/A")</f>
        <v>#N/A</v>
      </c>
      <c r="D11594" s="125"/>
    </row>
    <row r="11595">
      <c r="A11595" s="122" t="s">
        <v>37343</v>
      </c>
      <c r="B11595" s="123">
        <v>1111863.0</v>
      </c>
      <c r="C11595" s="687" t="str">
        <f>IFERROR(__xludf.DUMMYFUNCTION("GOOGLEFINANCE(A11595,""name"")"),"#N/A")</f>
        <v>#N/A</v>
      </c>
      <c r="D11595" s="125"/>
    </row>
    <row r="11596">
      <c r="A11596" s="122" t="s">
        <v>37344</v>
      </c>
      <c r="B11596" s="123">
        <v>1011218.0</v>
      </c>
      <c r="C11596" s="687" t="str">
        <f>IFERROR(__xludf.DUMMYFUNCTION("GOOGLEFINANCE(A11596,""name"")"),"#N/A")</f>
        <v>#N/A</v>
      </c>
      <c r="D11596" s="125"/>
    </row>
    <row r="11597">
      <c r="A11597" s="122" t="s">
        <v>37345</v>
      </c>
      <c r="B11597" s="123">
        <v>1011218.0</v>
      </c>
      <c r="C11597" s="687" t="str">
        <f>IFERROR(__xludf.DUMMYFUNCTION("GOOGLEFINANCE(A11597,""name"")"),"#N/A")</f>
        <v>#N/A</v>
      </c>
      <c r="D11597" s="125"/>
    </row>
    <row r="11598">
      <c r="A11598" s="122" t="s">
        <v>37346</v>
      </c>
      <c r="B11598" s="123">
        <v>93556.0</v>
      </c>
      <c r="C11598" s="687" t="str">
        <f>IFERROR(__xludf.DUMMYFUNCTION("GOOGLEFINANCE(A11598,""name"")"),"Switch Metals PLC")</f>
        <v>Switch Metals PLC</v>
      </c>
      <c r="D11598" s="125"/>
    </row>
    <row r="11599">
      <c r="A11599" s="122" t="s">
        <v>37347</v>
      </c>
      <c r="B11599" s="123">
        <v>1601712.0</v>
      </c>
      <c r="C11599" s="687" t="str">
        <f>IFERROR(__xludf.DUMMYFUNCTION("GOOGLEFINANCE(A11599,""name"")"),"#N/A")</f>
        <v>#N/A</v>
      </c>
      <c r="D11599" s="125"/>
    </row>
    <row r="11600">
      <c r="A11600" s="122" t="s">
        <v>37348</v>
      </c>
      <c r="B11600" s="123">
        <v>1610950.0</v>
      </c>
      <c r="C11600" s="687" t="str">
        <f>IFERROR(__xludf.DUMMYFUNCTION("GOOGLEFINANCE(A11600,""name"")"),"#N/A")</f>
        <v>#N/A</v>
      </c>
      <c r="D11600" s="125"/>
    </row>
    <row r="11601">
      <c r="A11601" s="122" t="s">
        <v>37349</v>
      </c>
      <c r="B11601" s="123">
        <v>1506488.0</v>
      </c>
      <c r="C11601" s="687" t="str">
        <f>IFERROR(__xludf.DUMMYFUNCTION("GOOGLEFINANCE(A11601,""name"")"),"#N/A")</f>
        <v>#N/A</v>
      </c>
      <c r="D11601" s="125"/>
    </row>
    <row r="11602">
      <c r="A11602" s="122" t="s">
        <v>37350</v>
      </c>
      <c r="B11602" s="123">
        <v>732717.0</v>
      </c>
      <c r="C11602" s="687" t="str">
        <f>IFERROR(__xludf.DUMMYFUNCTION("GOOGLEFINANCE(A11602,""name"")"),"#N/A")</f>
        <v>#N/A</v>
      </c>
      <c r="D11602" s="125"/>
    </row>
    <row r="11603">
      <c r="A11603" s="122" t="s">
        <v>37351</v>
      </c>
      <c r="B11603" s="123">
        <v>732717.0</v>
      </c>
      <c r="C11603" s="687" t="str">
        <f>IFERROR(__xludf.DUMMYFUNCTION("GOOGLEFINANCE(A11603,""name"")"),"#N/A")</f>
        <v>#N/A</v>
      </c>
      <c r="D11603" s="125"/>
    </row>
    <row r="11604">
      <c r="A11604" s="122" t="s">
        <v>37352</v>
      </c>
      <c r="B11604" s="123">
        <v>1585583.0</v>
      </c>
      <c r="C11604" s="687" t="str">
        <f>IFERROR(__xludf.DUMMYFUNCTION("GOOGLEFINANCE(A11604,""name"")"),"Berto Acquisition Corp")</f>
        <v>Berto Acquisition Corp</v>
      </c>
      <c r="D11604" s="125"/>
    </row>
    <row r="11605">
      <c r="A11605" s="122" t="s">
        <v>37353</v>
      </c>
      <c r="B11605" s="123">
        <v>1852038.0</v>
      </c>
      <c r="C11605" s="687" t="str">
        <f>IFERROR(__xludf.DUMMYFUNCTION("GOOGLEFINANCE(A11605,""name"")"),"#N/A")</f>
        <v>#N/A</v>
      </c>
      <c r="D11605" s="125"/>
    </row>
    <row r="11606">
      <c r="A11606" s="122" t="s">
        <v>37354</v>
      </c>
      <c r="B11606" s="123">
        <v>1725472.0</v>
      </c>
      <c r="C11606" s="687" t="str">
        <f>IFERROR(__xludf.DUMMYFUNCTION("GOOGLEFINANCE(A11606,""name"")"),"#N/A")</f>
        <v>#N/A</v>
      </c>
      <c r="D11606" s="125"/>
    </row>
    <row r="11607">
      <c r="A11607" s="122" t="s">
        <v>37355</v>
      </c>
      <c r="B11607" s="123">
        <v>1725472.0</v>
      </c>
      <c r="C11607" s="687" t="str">
        <f>IFERROR(__xludf.DUMMYFUNCTION("GOOGLEFINANCE(A11607,""name"")"),"#N/A")</f>
        <v>#N/A</v>
      </c>
      <c r="D11607" s="125"/>
    </row>
    <row r="11608">
      <c r="A11608" s="122" t="s">
        <v>37356</v>
      </c>
      <c r="B11608" s="123">
        <v>1725472.0</v>
      </c>
      <c r="C11608" s="687" t="str">
        <f>IFERROR(__xludf.DUMMYFUNCTION("GOOGLEFINANCE(A11608,""name"")"),"#N/A")</f>
        <v>#N/A</v>
      </c>
      <c r="D11608" s="125"/>
    </row>
    <row r="11609">
      <c r="A11609" s="122" t="s">
        <v>37357</v>
      </c>
      <c r="B11609" s="123">
        <v>1725472.0</v>
      </c>
      <c r="C11609" s="687" t="str">
        <f>IFERROR(__xludf.DUMMYFUNCTION("GOOGLEFINANCE(A11609,""name"")"),"#N/A")</f>
        <v>#N/A</v>
      </c>
      <c r="D11609" s="125"/>
    </row>
    <row r="11610">
      <c r="A11610" s="122" t="s">
        <v>37358</v>
      </c>
      <c r="B11610" s="123">
        <v>1725472.0</v>
      </c>
      <c r="C11610" s="687" t="str">
        <f>IFERROR(__xludf.DUMMYFUNCTION("GOOGLEFINANCE(A11610,""name"")"),"#N/A")</f>
        <v>#N/A</v>
      </c>
      <c r="D11610" s="125"/>
    </row>
    <row r="11611">
      <c r="A11611" s="122" t="s">
        <v>37359</v>
      </c>
      <c r="B11611" s="123">
        <v>1725472.0</v>
      </c>
      <c r="C11611" s="687" t="str">
        <f>IFERROR(__xludf.DUMMYFUNCTION("GOOGLEFINANCE(A11611,""name"")"),"#N/A")</f>
        <v>#N/A</v>
      </c>
      <c r="D11611" s="125"/>
    </row>
    <row r="11612">
      <c r="A11612" s="122" t="s">
        <v>37360</v>
      </c>
      <c r="B11612" s="123">
        <v>1827506.0</v>
      </c>
      <c r="C11612" s="687" t="str">
        <f>IFERROR(__xludf.DUMMYFUNCTION("GOOGLEFINANCE(A11612,""name"")"),"#N/A")</f>
        <v>#N/A</v>
      </c>
      <c r="D11612" s="125"/>
    </row>
    <row r="11613">
      <c r="A11613" s="122" t="s">
        <v>37361</v>
      </c>
      <c r="B11613" s="123">
        <v>1378453.0</v>
      </c>
      <c r="C11613" s="687" t="str">
        <f>IFERROR(__xludf.DUMMYFUNCTION("GOOGLEFINANCE(A11613,""name"")"),"#N/A")</f>
        <v>#N/A</v>
      </c>
      <c r="D11613" s="125"/>
    </row>
    <row r="11614">
      <c r="A11614" s="122" t="s">
        <v>37362</v>
      </c>
      <c r="B11614" s="123">
        <v>1378453.0</v>
      </c>
      <c r="C11614" s="687" t="str">
        <f>IFERROR(__xludf.DUMMYFUNCTION("GOOGLEFINANCE(A11614,""name"")"),"#N/A")</f>
        <v>#N/A</v>
      </c>
      <c r="D11614" s="125"/>
    </row>
    <row r="11615">
      <c r="A11615" s="122" t="s">
        <v>37363</v>
      </c>
      <c r="B11615" s="123">
        <v>1378453.0</v>
      </c>
      <c r="C11615" s="687" t="str">
        <f>IFERROR(__xludf.DUMMYFUNCTION("GOOGLEFINANCE(A11615,""name"")"),"#N/A")</f>
        <v>#N/A</v>
      </c>
      <c r="D11615" s="125"/>
    </row>
    <row r="11616">
      <c r="A11616" s="122" t="s">
        <v>37364</v>
      </c>
      <c r="B11616" s="123">
        <v>24545.0</v>
      </c>
      <c r="C11616" s="687" t="str">
        <f>IFERROR(__xludf.DUMMYFUNCTION("GOOGLEFINANCE(A11616,""name"")"),"#N/A")</f>
        <v>#N/A</v>
      </c>
      <c r="D11616" s="125"/>
    </row>
    <row r="11617">
      <c r="A11617" s="122" t="s">
        <v>37365</v>
      </c>
      <c r="B11617" s="123">
        <v>1647170.0</v>
      </c>
      <c r="C11617" s="687" t="str">
        <f>IFERROR(__xludf.DUMMYFUNCTION("GOOGLEFINANCE(A11617,""name"")"),"Tapinator Inc")</f>
        <v>Tapinator Inc</v>
      </c>
      <c r="D11617" s="125"/>
    </row>
    <row r="11618">
      <c r="A11618" s="122" t="s">
        <v>37366</v>
      </c>
      <c r="B11618" s="123">
        <v>1829864.0</v>
      </c>
      <c r="C11618" s="687" t="str">
        <f>IFERROR(__xludf.DUMMYFUNCTION("GOOGLEFINANCE(A11618,""name"")"),"#N/A")</f>
        <v>#N/A</v>
      </c>
      <c r="D11618" s="125"/>
    </row>
    <row r="11619">
      <c r="A11619" s="122" t="s">
        <v>37367</v>
      </c>
      <c r="B11619" s="123">
        <v>1815753.0</v>
      </c>
      <c r="C11619" s="687" t="str">
        <f>IFERROR(__xludf.DUMMYFUNCTION("GOOGLEFINANCE(A11619,""name"")"),"#N/A")</f>
        <v>#N/A</v>
      </c>
      <c r="D11619" s="125"/>
    </row>
    <row r="11620">
      <c r="A11620" s="122" t="s">
        <v>37368</v>
      </c>
      <c r="B11620" s="123">
        <v>1815753.0</v>
      </c>
      <c r="C11620" s="687" t="str">
        <f>IFERROR(__xludf.DUMMYFUNCTION("GOOGLEFINANCE(A11620,""name"")"),"#N/A")</f>
        <v>#N/A</v>
      </c>
      <c r="D11620" s="125"/>
    </row>
    <row r="11621">
      <c r="A11621" s="122" t="s">
        <v>37369</v>
      </c>
      <c r="B11621" s="123">
        <v>1815753.0</v>
      </c>
      <c r="C11621" s="687" t="str">
        <f>IFERROR(__xludf.DUMMYFUNCTION("GOOGLEFINANCE(A11621,""name"")"),"#N/A")</f>
        <v>#N/A</v>
      </c>
      <c r="D11621" s="125"/>
    </row>
    <row r="11622">
      <c r="A11622" s="122" t="s">
        <v>37370</v>
      </c>
      <c r="B11622" s="123">
        <v>1539638.0</v>
      </c>
      <c r="C11622" s="687" t="str">
        <f>IFERROR(__xludf.DUMMYFUNCTION("GOOGLEFINANCE(A11622,""name"")"),"#N/A")</f>
        <v>#N/A</v>
      </c>
      <c r="D11622" s="125"/>
    </row>
    <row r="11623">
      <c r="A11623" s="122" t="s">
        <v>37371</v>
      </c>
      <c r="B11623" s="123">
        <v>1668370.0</v>
      </c>
      <c r="C11623" s="687" t="str">
        <f>IFERROR(__xludf.DUMMYFUNCTION("GOOGLEFINANCE(A11623,""name"")"),"#N/A")</f>
        <v>#N/A</v>
      </c>
      <c r="D11623" s="125"/>
    </row>
    <row r="11624">
      <c r="A11624" s="122" t="s">
        <v>37372</v>
      </c>
      <c r="B11624" s="123">
        <v>1934945.0</v>
      </c>
      <c r="C11624" s="687" t="str">
        <f>IFERROR(__xludf.DUMMYFUNCTION("GOOGLEFINANCE(A11624,""name"")"),"#N/A")</f>
        <v>#N/A</v>
      </c>
      <c r="D11624" s="125"/>
    </row>
    <row r="11625">
      <c r="A11625" s="122" t="s">
        <v>37373</v>
      </c>
      <c r="B11625" s="123">
        <v>1843764.0</v>
      </c>
      <c r="C11625" s="687" t="str">
        <f>IFERROR(__xludf.DUMMYFUNCTION("GOOGLEFINANCE(A11625,""name"")"),"#N/A")</f>
        <v>#N/A</v>
      </c>
      <c r="D11625" s="125"/>
    </row>
    <row r="11626">
      <c r="A11626" s="122" t="s">
        <v>37374</v>
      </c>
      <c r="B11626" s="123">
        <v>1843764.0</v>
      </c>
      <c r="C11626" s="687" t="str">
        <f>IFERROR(__xludf.DUMMYFUNCTION("GOOGLEFINANCE(A11626,""name"")"),"#N/A")</f>
        <v>#N/A</v>
      </c>
      <c r="D11626" s="125"/>
    </row>
    <row r="11627">
      <c r="A11627" s="122" t="s">
        <v>37375</v>
      </c>
      <c r="B11627" s="123">
        <v>1843764.0</v>
      </c>
      <c r="C11627" s="687" t="str">
        <f>IFERROR(__xludf.DUMMYFUNCTION("GOOGLEFINANCE(A11627,""name"")"),"#N/A")</f>
        <v>#N/A</v>
      </c>
      <c r="D11627" s="125"/>
    </row>
    <row r="11628">
      <c r="A11628" s="122" t="s">
        <v>37376</v>
      </c>
      <c r="B11628" s="123">
        <v>1595585.0</v>
      </c>
      <c r="C11628" s="687" t="str">
        <f>IFERROR(__xludf.DUMMYFUNCTION("GOOGLEFINANCE(A11628,""name"")"),"#N/A")</f>
        <v>#N/A</v>
      </c>
      <c r="D11628" s="125"/>
    </row>
    <row r="11629">
      <c r="A11629" s="122" t="s">
        <v>37377</v>
      </c>
      <c r="B11629" s="123">
        <v>855874.0</v>
      </c>
      <c r="C11629" s="687" t="str">
        <f>IFERROR(__xludf.DUMMYFUNCTION("GOOGLEFINANCE(A11629,""name"")"),"#N/A")</f>
        <v>#N/A</v>
      </c>
      <c r="D11629" s="125"/>
    </row>
    <row r="11630">
      <c r="A11630" s="122" t="s">
        <v>37378</v>
      </c>
      <c r="B11630" s="123">
        <v>1846750.0</v>
      </c>
      <c r="C11630" s="687" t="str">
        <f>IFERROR(__xludf.DUMMYFUNCTION("GOOGLEFINANCE(A11630,""name"")"),"#N/A")</f>
        <v>#N/A</v>
      </c>
      <c r="D11630" s="125"/>
    </row>
    <row r="11631">
      <c r="A11631" s="122" t="s">
        <v>37379</v>
      </c>
      <c r="B11631" s="123">
        <v>1846750.0</v>
      </c>
      <c r="C11631" s="687" t="str">
        <f>IFERROR(__xludf.DUMMYFUNCTION("GOOGLEFINANCE(A11631,""name"")"),"#N/A")</f>
        <v>#N/A</v>
      </c>
      <c r="D11631" s="125"/>
    </row>
    <row r="11632">
      <c r="A11632" s="122" t="s">
        <v>37380</v>
      </c>
      <c r="B11632" s="123">
        <v>1370755.0</v>
      </c>
      <c r="C11632" s="687" t="str">
        <f>IFERROR(__xludf.DUMMYFUNCTION("GOOGLEFINANCE(A11632,""name"")"),"BlackRock TCP Capital Corp")</f>
        <v>BlackRock TCP Capital Corp</v>
      </c>
      <c r="D11632" s="125"/>
    </row>
    <row r="11633">
      <c r="A11633" s="122" t="s">
        <v>37381</v>
      </c>
      <c r="B11633" s="123">
        <v>1750019.0</v>
      </c>
      <c r="C11633" s="687" t="str">
        <f>IFERROR(__xludf.DUMMYFUNCTION("GOOGLEFINANCE(A11633,""name"")"),"#N/A")</f>
        <v>#N/A</v>
      </c>
      <c r="D11633" s="125"/>
    </row>
    <row r="11634">
      <c r="A11634" s="122" t="s">
        <v>37382</v>
      </c>
      <c r="B11634" s="123">
        <v>1845580.0</v>
      </c>
      <c r="C11634" s="687" t="str">
        <f>IFERROR(__xludf.DUMMYFUNCTION("GOOGLEFINANCE(A11634,""name"")"),"#N/A")</f>
        <v>#N/A</v>
      </c>
      <c r="D11634" s="125"/>
    </row>
    <row r="11635">
      <c r="A11635" s="122" t="s">
        <v>37383</v>
      </c>
      <c r="B11635" s="123">
        <v>1926599.0</v>
      </c>
      <c r="C11635" s="687" t="str">
        <f>IFERROR(__xludf.DUMMYFUNCTION("GOOGLEFINANCE(A11635,""name"")"),"Translational Development Acquisitin Crp")</f>
        <v>Translational Development Acquisitin Crp</v>
      </c>
      <c r="D11635" s="125"/>
    </row>
    <row r="11636">
      <c r="A11636" s="122" t="s">
        <v>37384</v>
      </c>
      <c r="B11636" s="123">
        <v>98222.0</v>
      </c>
      <c r="C11636" s="687" t="str">
        <f>IFERROR(__xludf.DUMMYFUNCTION("GOOGLEFINANCE(A11636,""name"")"),"Tidewater")</f>
        <v>Tidewater</v>
      </c>
      <c r="D11636" s="125"/>
    </row>
    <row r="11637">
      <c r="A11637" s="122" t="s">
        <v>37385</v>
      </c>
      <c r="B11637" s="123">
        <v>1051512.0</v>
      </c>
      <c r="C11637" s="687" t="str">
        <f>IFERROR(__xludf.DUMMYFUNCTION("GOOGLEFINANCE(A11637,""name"")"),"#N/A")</f>
        <v>#N/A</v>
      </c>
      <c r="D11637" s="125"/>
    </row>
    <row r="11638">
      <c r="A11638" s="122" t="s">
        <v>37386</v>
      </c>
      <c r="B11638" s="123">
        <v>1051512.0</v>
      </c>
      <c r="C11638" s="687" t="str">
        <f>IFERROR(__xludf.DUMMYFUNCTION("GOOGLEFINANCE(A11638,""name"")"),"#N/A")</f>
        <v>#N/A</v>
      </c>
      <c r="D11638" s="125"/>
    </row>
    <row r="11639">
      <c r="A11639" s="122" t="s">
        <v>37387</v>
      </c>
      <c r="B11639" s="123">
        <v>98222.0</v>
      </c>
      <c r="C11639" s="687" t="str">
        <f>IFERROR(__xludf.DUMMYFUNCTION("GOOGLEFINANCE(A11639,""name"")"),"#N/A")</f>
        <v>#N/A</v>
      </c>
      <c r="D11639" s="125"/>
    </row>
    <row r="11640">
      <c r="A11640" s="122" t="s">
        <v>37388</v>
      </c>
      <c r="B11640" s="123">
        <v>98222.0</v>
      </c>
      <c r="C11640" s="687" t="str">
        <f>IFERROR(__xludf.DUMMYFUNCTION("GOOGLEFINANCE(A11640,""name"")"),"#N/A")</f>
        <v>#N/A</v>
      </c>
      <c r="D11640" s="125"/>
    </row>
    <row r="11641">
      <c r="A11641" s="122" t="s">
        <v>37389</v>
      </c>
      <c r="B11641" s="123">
        <v>98222.0</v>
      </c>
      <c r="C11641" s="687" t="str">
        <f>IFERROR(__xludf.DUMMYFUNCTION("GOOGLEFINANCE(A11641,""name"")"),"#N/A")</f>
        <v>#N/A</v>
      </c>
      <c r="D11641" s="125"/>
    </row>
    <row r="11642">
      <c r="A11642" s="122" t="s">
        <v>37390</v>
      </c>
      <c r="B11642" s="123">
        <v>1592560.0</v>
      </c>
      <c r="C11642" s="687" t="str">
        <f>IFERROR(__xludf.DUMMYFUNCTION("GOOGLEFINANCE(A11642,""name"")"),"#N/A")</f>
        <v>#N/A</v>
      </c>
      <c r="D11642" s="125"/>
    </row>
    <row r="11643">
      <c r="A11643" s="122" t="s">
        <v>37391</v>
      </c>
      <c r="B11643" s="123">
        <v>1847419.0</v>
      </c>
      <c r="C11643" s="687" t="str">
        <f>IFERROR(__xludf.DUMMYFUNCTION("GOOGLEFINANCE(A11643,""name"")"),"#N/A")</f>
        <v>#N/A</v>
      </c>
      <c r="D11643" s="125"/>
    </row>
    <row r="11644">
      <c r="A11644" s="122" t="s">
        <v>37392</v>
      </c>
      <c r="B11644" s="123">
        <v>1822027.0</v>
      </c>
      <c r="C11644" s="687" t="str">
        <f>IFERROR(__xludf.DUMMYFUNCTION("GOOGLEFINANCE(A11644,""name"")"),"#N/A")</f>
        <v>#N/A</v>
      </c>
      <c r="D11644" s="125"/>
    </row>
    <row r="11645">
      <c r="A11645" s="122" t="s">
        <v>37393</v>
      </c>
      <c r="B11645" s="123">
        <v>1822027.0</v>
      </c>
      <c r="C11645" s="687" t="str">
        <f>IFERROR(__xludf.DUMMYFUNCTION("GOOGLEFINANCE(A11645,""name"")"),"#N/A")</f>
        <v>#N/A</v>
      </c>
      <c r="D11645" s="125"/>
    </row>
    <row r="11646">
      <c r="A11646" s="122" t="s">
        <v>37394</v>
      </c>
      <c r="B11646" s="123">
        <v>1822027.0</v>
      </c>
      <c r="C11646" s="687" t="str">
        <f>IFERROR(__xludf.DUMMYFUNCTION("GOOGLEFINANCE(A11646,""name"")"),"#N/A")</f>
        <v>#N/A</v>
      </c>
      <c r="D11646" s="125"/>
    </row>
    <row r="11647">
      <c r="A11647" s="122" t="s">
        <v>37395</v>
      </c>
      <c r="B11647" s="123">
        <v>927355.0</v>
      </c>
      <c r="C11647" s="687" t="str">
        <f>IFERROR(__xludf.DUMMYFUNCTION("GOOGLEFINANCE(A11647,""name"")"),"#N/A")</f>
        <v>#N/A</v>
      </c>
      <c r="D11647" s="125"/>
    </row>
    <row r="11648">
      <c r="A11648" s="122" t="s">
        <v>37396</v>
      </c>
      <c r="B11648" s="123">
        <v>1444874.0</v>
      </c>
      <c r="C11648" s="687" t="str">
        <f>IFERROR(__xludf.DUMMYFUNCTION("GOOGLEFINANCE(A11648,""name"")"),"#N/A")</f>
        <v>#N/A</v>
      </c>
      <c r="D11648" s="125"/>
    </row>
    <row r="11649">
      <c r="A11649" s="122" t="s">
        <v>37397</v>
      </c>
      <c r="B11649" s="123">
        <v>1840920.0</v>
      </c>
      <c r="C11649" s="687" t="str">
        <f>IFERROR(__xludf.DUMMYFUNCTION("GOOGLEFINANCE(A11649,""name"")"),"#N/A")</f>
        <v>#N/A</v>
      </c>
      <c r="D11649" s="125"/>
    </row>
    <row r="11650">
      <c r="A11650" s="122" t="s">
        <v>37398</v>
      </c>
      <c r="B11650" s="123">
        <v>1840920.0</v>
      </c>
      <c r="C11650" s="687" t="str">
        <f>IFERROR(__xludf.DUMMYFUNCTION("GOOGLEFINANCE(A11650,""name"")"),"#N/A")</f>
        <v>#N/A</v>
      </c>
      <c r="D11650" s="125"/>
    </row>
    <row r="11651">
      <c r="A11651" s="122" t="s">
        <v>37399</v>
      </c>
      <c r="B11651" s="123">
        <v>1840920.0</v>
      </c>
      <c r="C11651" s="687" t="str">
        <f>IFERROR(__xludf.DUMMYFUNCTION("GOOGLEFINANCE(A11651,""name"")"),"#N/A")</f>
        <v>#N/A</v>
      </c>
      <c r="D11651" s="125"/>
    </row>
    <row r="11652">
      <c r="A11652" s="122" t="s">
        <v>37400</v>
      </c>
      <c r="B11652" s="123">
        <v>1084384.0</v>
      </c>
      <c r="C11652" s="687" t="str">
        <f>IFERROR(__xludf.DUMMYFUNCTION("GOOGLEFINANCE(A11652,""name"")"),"#N/A")</f>
        <v>#N/A</v>
      </c>
      <c r="D11652" s="125"/>
    </row>
    <row r="11653">
      <c r="A11653" s="122" t="s">
        <v>37401</v>
      </c>
      <c r="B11653" s="123">
        <v>92230.0</v>
      </c>
      <c r="C11653" s="687" t="str">
        <f>IFERROR(__xludf.DUMMYFUNCTION("GOOGLEFINANCE(A11653,""name"")"),"#N/A")</f>
        <v>#N/A</v>
      </c>
      <c r="D11653" s="125"/>
    </row>
    <row r="11654">
      <c r="A11654" s="122" t="s">
        <v>37402</v>
      </c>
      <c r="B11654" s="123">
        <v>92230.0</v>
      </c>
      <c r="C11654" s="687" t="str">
        <f>IFERROR(__xludf.DUMMYFUNCTION("GOOGLEFINANCE(A11654,""name"")"),"#N/A")</f>
        <v>#N/A</v>
      </c>
      <c r="D11654" s="125"/>
    </row>
    <row r="11655">
      <c r="A11655" s="122" t="s">
        <v>37403</v>
      </c>
      <c r="B11655" s="123">
        <v>92230.0</v>
      </c>
      <c r="C11655" s="687" t="str">
        <f>IFERROR(__xludf.DUMMYFUNCTION("GOOGLEFINANCE(A11655,""name"")"),"#N/A")</f>
        <v>#N/A</v>
      </c>
      <c r="D11655" s="125"/>
    </row>
    <row r="11656">
      <c r="A11656" s="122" t="s">
        <v>37404</v>
      </c>
      <c r="B11656" s="123">
        <v>1413159.0</v>
      </c>
      <c r="C11656" s="687" t="str">
        <f>IFERROR(__xludf.DUMMYFUNCTION("GOOGLEFINANCE(A11656,""name"")"),"#N/A")</f>
        <v>#N/A</v>
      </c>
      <c r="D11656" s="125"/>
    </row>
    <row r="11657">
      <c r="A11657" s="122" t="s">
        <v>37405</v>
      </c>
      <c r="B11657" s="123">
        <v>1413159.0</v>
      </c>
      <c r="C11657" s="687" t="str">
        <f>IFERROR(__xludf.DUMMYFUNCTION("GOOGLEFINANCE(A11657,""name"")"),"#N/A")</f>
        <v>#N/A</v>
      </c>
      <c r="D11657" s="125"/>
    </row>
    <row r="11658">
      <c r="A11658" s="122" t="s">
        <v>37406</v>
      </c>
      <c r="B11658" s="123">
        <v>1863099.0</v>
      </c>
      <c r="C11658" s="687" t="str">
        <f>IFERROR(__xludf.DUMMYFUNCTION("GOOGLEFINANCE(A11658,""name"")"),"#N/A")</f>
        <v>#N/A</v>
      </c>
      <c r="D11658" s="125"/>
    </row>
    <row r="11659">
      <c r="A11659" s="122" t="s">
        <v>37407</v>
      </c>
      <c r="B11659" s="123">
        <v>1863099.0</v>
      </c>
      <c r="C11659" s="687" t="str">
        <f>IFERROR(__xludf.DUMMYFUNCTION("GOOGLEFINANCE(A11659,""name"")"),"#N/A")</f>
        <v>#N/A</v>
      </c>
      <c r="D11659" s="125"/>
    </row>
    <row r="11660">
      <c r="A11660" s="122" t="s">
        <v>37408</v>
      </c>
      <c r="B11660" s="123">
        <v>1863685.0</v>
      </c>
      <c r="C11660" s="687" t="str">
        <f>IFERROR(__xludf.DUMMYFUNCTION("GOOGLEFINANCE(A11660,""name"")"),"#N/A")</f>
        <v>#N/A</v>
      </c>
      <c r="D11660" s="125"/>
    </row>
    <row r="11661">
      <c r="A11661" s="122" t="s">
        <v>37409</v>
      </c>
      <c r="B11661" s="123">
        <v>1863685.0</v>
      </c>
      <c r="C11661" s="687" t="str">
        <f>IFERROR(__xludf.DUMMYFUNCTION("GOOGLEFINANCE(A11661,""name"")"),"#N/A")</f>
        <v>#N/A</v>
      </c>
      <c r="D11661" s="125"/>
    </row>
    <row r="11662">
      <c r="A11662" s="122" t="s">
        <v>37410</v>
      </c>
      <c r="B11662" s="123">
        <v>1863685.0</v>
      </c>
      <c r="C11662" s="687" t="str">
        <f>IFERROR(__xludf.DUMMYFUNCTION("GOOGLEFINANCE(A11662,""name"")"),"#N/A")</f>
        <v>#N/A</v>
      </c>
      <c r="D11662" s="125"/>
    </row>
    <row r="11663">
      <c r="A11663" s="122" t="s">
        <v>37411</v>
      </c>
      <c r="B11663" s="123">
        <v>1773087.0</v>
      </c>
      <c r="C11663" s="687" t="str">
        <f>IFERROR(__xludf.DUMMYFUNCTION("GOOGLEFINANCE(A11663,""name"")"),"#N/A")</f>
        <v>#N/A</v>
      </c>
      <c r="D11663" s="125"/>
    </row>
    <row r="11664">
      <c r="A11664" s="122" t="s">
        <v>37412</v>
      </c>
      <c r="B11664" s="123">
        <v>1773087.0</v>
      </c>
      <c r="C11664" s="687" t="str">
        <f>IFERROR(__xludf.DUMMYFUNCTION("GOOGLEFINANCE(A11664,""name"")"),"#N/A")</f>
        <v>#N/A</v>
      </c>
      <c r="D11664" s="125"/>
    </row>
    <row r="11665">
      <c r="A11665" s="122" t="s">
        <v>37413</v>
      </c>
      <c r="B11665" s="123">
        <v>1846735.0</v>
      </c>
      <c r="C11665" s="687" t="str">
        <f>IFERROR(__xludf.DUMMYFUNCTION("GOOGLEFINANCE(A11665,""name"")"),"#N/A")</f>
        <v>#N/A</v>
      </c>
      <c r="D11665" s="125"/>
    </row>
    <row r="11666">
      <c r="A11666" s="122" t="s">
        <v>37414</v>
      </c>
      <c r="B11666" s="123">
        <v>1844280.0</v>
      </c>
      <c r="C11666" s="687" t="str">
        <f>IFERROR(__xludf.DUMMYFUNCTION("GOOGLEFINANCE(A11666,""name"")"),"#N/A")</f>
        <v>#N/A</v>
      </c>
      <c r="D11666" s="125"/>
    </row>
    <row r="11667">
      <c r="A11667" s="122" t="s">
        <v>37415</v>
      </c>
      <c r="B11667" s="123">
        <v>1820144.0</v>
      </c>
      <c r="C11667" s="687" t="str">
        <f>IFERROR(__xludf.DUMMYFUNCTION("GOOGLEFINANCE(A11667,""name"")"),"#N/A")</f>
        <v>#N/A</v>
      </c>
      <c r="D11667" s="125"/>
    </row>
    <row r="11668">
      <c r="A11668" s="122" t="s">
        <v>37416</v>
      </c>
      <c r="B11668" s="123">
        <v>1820144.0</v>
      </c>
      <c r="C11668" s="687" t="str">
        <f>IFERROR(__xludf.DUMMYFUNCTION("GOOGLEFINANCE(A11668,""name"")"),"#N/A")</f>
        <v>#N/A</v>
      </c>
      <c r="D11668" s="125"/>
    </row>
    <row r="11669">
      <c r="A11669" s="122" t="s">
        <v>37417</v>
      </c>
      <c r="B11669" s="123">
        <v>1820144.0</v>
      </c>
      <c r="C11669" s="687" t="str">
        <f>IFERROR(__xludf.DUMMYFUNCTION("GOOGLEFINANCE(A11669,""name"")"),"#N/A")</f>
        <v>#N/A</v>
      </c>
      <c r="D11669" s="125"/>
    </row>
    <row r="11670">
      <c r="A11670" s="122" t="s">
        <v>37418</v>
      </c>
      <c r="B11670" s="123">
        <v>1846163.0</v>
      </c>
      <c r="C11670" s="687" t="str">
        <f>IFERROR(__xludf.DUMMYFUNCTION("GOOGLEFINANCE(A11670,""name"")"),"#N/A")</f>
        <v>#N/A</v>
      </c>
      <c r="D11670" s="125"/>
    </row>
    <row r="11671">
      <c r="A11671" s="122" t="s">
        <v>37419</v>
      </c>
      <c r="B11671" s="123">
        <v>1846163.0</v>
      </c>
      <c r="C11671" s="687" t="str">
        <f>IFERROR(__xludf.DUMMYFUNCTION("GOOGLEFINANCE(A11671,""name"")"),"#N/A")</f>
        <v>#N/A</v>
      </c>
      <c r="D11671" s="125"/>
    </row>
    <row r="11672">
      <c r="A11672" s="122" t="s">
        <v>37420</v>
      </c>
      <c r="B11672" s="123">
        <v>1846163.0</v>
      </c>
      <c r="C11672" s="687" t="str">
        <f>IFERROR(__xludf.DUMMYFUNCTION("GOOGLEFINANCE(A11672,""name"")"),"#N/A")</f>
        <v>#N/A</v>
      </c>
      <c r="D11672" s="125"/>
    </row>
    <row r="11673">
      <c r="A11673" s="122" t="s">
        <v>37421</v>
      </c>
      <c r="B11673" s="123">
        <v>1551047.0</v>
      </c>
      <c r="C11673" s="687" t="str">
        <f>IFERROR(__xludf.DUMMYFUNCTION("GOOGLEFINANCE(A11673,""name"")"),"#N/A")</f>
        <v>#N/A</v>
      </c>
      <c r="D11673" s="125"/>
    </row>
    <row r="11674">
      <c r="A11674" s="122" t="s">
        <v>37422</v>
      </c>
      <c r="B11674" s="123">
        <v>1491487.0</v>
      </c>
      <c r="C11674" s="687" t="str">
        <f>IFERROR(__xludf.DUMMYFUNCTION("GOOGLEFINANCE(A11674,""name"")"),"#N/A")</f>
        <v>#N/A</v>
      </c>
      <c r="D11674" s="125"/>
    </row>
    <row r="11675">
      <c r="A11675" s="122" t="s">
        <v>37423</v>
      </c>
      <c r="B11675" s="123">
        <v>1094084.0</v>
      </c>
      <c r="C11675" s="687" t="str">
        <f>IFERROR(__xludf.DUMMYFUNCTION("GOOGLEFINANCE(A11675,""name"")"),"Telkonet Inc")</f>
        <v>Telkonet Inc</v>
      </c>
      <c r="D11675" s="125"/>
    </row>
    <row r="11676">
      <c r="A11676" s="122" t="s">
        <v>37424</v>
      </c>
      <c r="B11676" s="123">
        <v>909724.0</v>
      </c>
      <c r="C11676" s="687" t="str">
        <f>IFERROR(__xludf.DUMMYFUNCTION("GOOGLEFINANCE(A11676,""name"")"),"Tandy Leather Factory Inc")</f>
        <v>Tandy Leather Factory Inc</v>
      </c>
      <c r="D11676" s="125"/>
    </row>
    <row r="11677">
      <c r="A11677" s="122" t="s">
        <v>37425</v>
      </c>
      <c r="B11677" s="123">
        <v>909724.0</v>
      </c>
      <c r="C11677" s="687" t="str">
        <f>IFERROR(__xludf.DUMMYFUNCTION("GOOGLEFINANCE(A11677,""name"")"),"#N/A")</f>
        <v>#N/A</v>
      </c>
      <c r="D11677" s="125"/>
    </row>
    <row r="11678">
      <c r="A11678" s="122" t="s">
        <v>37426</v>
      </c>
      <c r="B11678" s="123">
        <v>1827871.0</v>
      </c>
      <c r="C11678" s="687" t="str">
        <f>IFERROR(__xludf.DUMMYFUNCTION("GOOGLEFINANCE(A11678,""name"")"),"#N/A")</f>
        <v>#N/A</v>
      </c>
      <c r="D11678" s="125"/>
    </row>
    <row r="11679">
      <c r="A11679" s="122" t="s">
        <v>37427</v>
      </c>
      <c r="B11679" s="123">
        <v>1827871.0</v>
      </c>
      <c r="C11679" s="687" t="str">
        <f>IFERROR(__xludf.DUMMYFUNCTION("GOOGLEFINANCE(A11679,""name"")"),"#N/A")</f>
        <v>#N/A</v>
      </c>
      <c r="D11679" s="125"/>
    </row>
    <row r="11680">
      <c r="A11680" s="122" t="s">
        <v>37428</v>
      </c>
      <c r="B11680" s="123">
        <v>1827871.0</v>
      </c>
      <c r="C11680" s="687" t="str">
        <f>IFERROR(__xludf.DUMMYFUNCTION("GOOGLEFINANCE(A11680,""name"")"),"#N/A")</f>
        <v>#N/A</v>
      </c>
      <c r="D11680" s="125"/>
    </row>
    <row r="11681">
      <c r="A11681" s="122" t="s">
        <v>37429</v>
      </c>
      <c r="B11681" s="123">
        <v>1001807.0</v>
      </c>
      <c r="C11681" s="687" t="str">
        <f>IFERROR(__xludf.DUMMYFUNCTION("GOOGLEFINANCE(A11681,""name"")"),"Telkom Indonesia (Persero) Tbk PT -ADR")</f>
        <v>Telkom Indonesia (Persero) Tbk PT -ADR</v>
      </c>
      <c r="D11681" s="125"/>
    </row>
    <row r="11682">
      <c r="A11682" s="122" t="s">
        <v>37430</v>
      </c>
      <c r="B11682" s="123">
        <v>320121.0</v>
      </c>
      <c r="C11682" s="687" t="str">
        <f>IFERROR(__xludf.DUMMYFUNCTION("GOOGLEFINANCE(A11682,""name"")"),"Telos Corp")</f>
        <v>Telos Corp</v>
      </c>
      <c r="D11682" s="125"/>
    </row>
    <row r="11683">
      <c r="A11683" s="122" t="s">
        <v>37431</v>
      </c>
      <c r="B11683" s="123">
        <v>1835236.0</v>
      </c>
      <c r="C11683" s="687" t="str">
        <f>IFERROR(__xludf.DUMMYFUNCTION("GOOGLEFINANCE(A11683,""name"")"),"#N/A")</f>
        <v>#N/A</v>
      </c>
      <c r="D11683" s="125"/>
    </row>
    <row r="11684">
      <c r="A11684" s="122" t="s">
        <v>37432</v>
      </c>
      <c r="B11684" s="123">
        <v>1835236.0</v>
      </c>
      <c r="C11684" s="687" t="str">
        <f>IFERROR(__xludf.DUMMYFUNCTION("GOOGLEFINANCE(A11684,""name"")"),"#N/A")</f>
        <v>#N/A</v>
      </c>
      <c r="D11684" s="125"/>
    </row>
    <row r="11685">
      <c r="A11685" s="122" t="s">
        <v>37433</v>
      </c>
      <c r="B11685" s="123">
        <v>1504167.0</v>
      </c>
      <c r="C11685" s="687" t="str">
        <f>IFERROR(__xludf.DUMMYFUNCTION("GOOGLEFINANCE(A11685,""name"")"),"#N/A")</f>
        <v>#N/A</v>
      </c>
      <c r="D11685" s="125"/>
    </row>
    <row r="11686">
      <c r="A11686" s="122" t="s">
        <v>37434</v>
      </c>
      <c r="B11686" s="123">
        <v>1798562.0</v>
      </c>
      <c r="C11686" s="687" t="str">
        <f>IFERROR(__xludf.DUMMYFUNCTION("GOOGLEFINANCE(A11686,""name"")"),"TMC the metals company Inc")</f>
        <v>TMC the metals company Inc</v>
      </c>
      <c r="D11686" s="125"/>
    </row>
    <row r="11687">
      <c r="A11687" s="122" t="s">
        <v>37435</v>
      </c>
      <c r="B11687" s="123">
        <v>1744676.0</v>
      </c>
      <c r="C11687" s="687" t="str">
        <f>IFERROR(__xludf.DUMMYFUNCTION("GOOGLEFINANCE(A11687,""name"")"),"Tencent Music Entertainment Group - ADR")</f>
        <v>Tencent Music Entertainment Group - ADR</v>
      </c>
      <c r="D11687" s="125"/>
    </row>
    <row r="11688">
      <c r="A11688" s="122" t="s">
        <v>37436</v>
      </c>
      <c r="B11688" s="123">
        <v>1821606.0</v>
      </c>
      <c r="C11688" s="687" t="str">
        <f>IFERROR(__xludf.DUMMYFUNCTION("GOOGLEFINANCE(A11688,""name"")"),"#N/A")</f>
        <v>#N/A</v>
      </c>
      <c r="D11688" s="125"/>
    </row>
    <row r="11689">
      <c r="A11689" s="122" t="s">
        <v>37437</v>
      </c>
      <c r="B11689" s="123">
        <v>1821606.0</v>
      </c>
      <c r="C11689" s="687" t="str">
        <f>IFERROR(__xludf.DUMMYFUNCTION("GOOGLEFINANCE(A11689,""name"")"),"#N/A")</f>
        <v>#N/A</v>
      </c>
      <c r="D11689" s="125"/>
    </row>
    <row r="11690">
      <c r="A11690" s="122" t="s">
        <v>37438</v>
      </c>
      <c r="B11690" s="123">
        <v>1821606.0</v>
      </c>
      <c r="C11690" s="687" t="str">
        <f>IFERROR(__xludf.DUMMYFUNCTION("GOOGLEFINANCE(A11690,""name"")"),"#N/A")</f>
        <v>#N/A</v>
      </c>
      <c r="D11690" s="125"/>
    </row>
    <row r="11691">
      <c r="A11691" s="122" t="s">
        <v>37439</v>
      </c>
      <c r="B11691" s="123">
        <v>97745.0</v>
      </c>
      <c r="C11691" s="687" t="str">
        <f>IFERROR(__xludf.DUMMYFUNCTION("GOOGLEFINANCE(A11691,""name"")"),"Thermo Fisher Scientific Inc")</f>
        <v>Thermo Fisher Scientific Inc</v>
      </c>
      <c r="D11691" s="125"/>
    </row>
    <row r="11692">
      <c r="A11692" s="122" t="s">
        <v>37440</v>
      </c>
      <c r="B11692" s="123">
        <v>1005817.0</v>
      </c>
      <c r="C11692" s="687" t="str">
        <f>IFERROR(__xludf.DUMMYFUNCTION("GOOGLEFINANCE(A11692,""name"")"),"Tompkins Financial Corp")</f>
        <v>Tompkins Financial Corp</v>
      </c>
      <c r="D11692" s="125"/>
    </row>
    <row r="11693">
      <c r="A11693" s="122" t="s">
        <v>37441</v>
      </c>
      <c r="B11693" s="123">
        <v>1823524.0</v>
      </c>
      <c r="C11693" s="687" t="str">
        <f>IFERROR(__xludf.DUMMYFUNCTION("GOOGLEFINANCE(A11693,""name"")"),"#N/A")</f>
        <v>#N/A</v>
      </c>
      <c r="D11693" s="125"/>
    </row>
    <row r="11694">
      <c r="A11694" s="122" t="s">
        <v>37442</v>
      </c>
      <c r="B11694" s="123">
        <v>1823524.0</v>
      </c>
      <c r="C11694" s="687" t="str">
        <f>IFERROR(__xludf.DUMMYFUNCTION("GOOGLEFINANCE(A11694,""name"")"),"#N/A")</f>
        <v>#N/A</v>
      </c>
      <c r="D11694" s="125"/>
    </row>
    <row r="11695">
      <c r="A11695" s="122" t="s">
        <v>37443</v>
      </c>
      <c r="B11695" s="123">
        <v>1823524.0</v>
      </c>
      <c r="C11695" s="687" t="str">
        <f>IFERROR(__xludf.DUMMYFUNCTION("GOOGLEFINANCE(A11695,""name"")"),"#N/A")</f>
        <v>#N/A</v>
      </c>
      <c r="D11695" s="125"/>
    </row>
    <row r="11696">
      <c r="A11696" s="122" t="s">
        <v>37444</v>
      </c>
      <c r="B11696" s="123">
        <v>1543418.0</v>
      </c>
      <c r="C11696" s="687" t="str">
        <f>IFERROR(__xludf.DUMMYFUNCTION("GOOGLEFINANCE(A11696,""name"")"),"Trilogy Metals Inc")</f>
        <v>Trilogy Metals Inc</v>
      </c>
      <c r="D11696" s="125"/>
    </row>
    <row r="11697">
      <c r="A11697" s="122" t="s">
        <v>37445</v>
      </c>
      <c r="B11697" s="123">
        <v>1166663.0</v>
      </c>
      <c r="C11697" s="687" t="str">
        <f>IFERROR(__xludf.DUMMYFUNCTION("GOOGLEFINANCE(A11697,""name"")"),"#N/A")</f>
        <v>#N/A</v>
      </c>
      <c r="D11697" s="125"/>
    </row>
    <row r="11698">
      <c r="A11698" s="122" t="s">
        <v>37446</v>
      </c>
      <c r="B11698" s="123">
        <v>1166663.0</v>
      </c>
      <c r="C11698" s="687" t="str">
        <f>IFERROR(__xludf.DUMMYFUNCTION("GOOGLEFINANCE(A11698,""name"")"),"#N/A")</f>
        <v>#N/A</v>
      </c>
      <c r="D11698" s="125"/>
    </row>
    <row r="11699">
      <c r="A11699" s="122" t="s">
        <v>37447</v>
      </c>
      <c r="B11699" s="123">
        <v>1166663.0</v>
      </c>
      <c r="C11699" s="687" t="str">
        <f>IFERROR(__xludf.DUMMYFUNCTION("GOOGLEFINANCE(A11699,""name"")"),"#N/A")</f>
        <v>#N/A</v>
      </c>
      <c r="D11699" s="125"/>
    </row>
    <row r="11700">
      <c r="A11700" s="122" t="s">
        <v>37448</v>
      </c>
      <c r="B11700" s="123">
        <v>1558924.0</v>
      </c>
      <c r="C11700" s="687" t="str">
        <f>IFERROR(__xludf.DUMMYFUNCTION("GOOGLEFINANCE(A11700,""name"")"),"#N/A")</f>
        <v>#N/A</v>
      </c>
      <c r="D11700" s="125"/>
    </row>
    <row r="11701">
      <c r="A11701" s="122" t="s">
        <v>37449</v>
      </c>
      <c r="B11701" s="123">
        <v>1860482.0</v>
      </c>
      <c r="C11701" s="687" t="str">
        <f>IFERROR(__xludf.DUMMYFUNCTION("GOOGLEFINANCE(A11701,""name"")"),"#N/A")</f>
        <v>#N/A</v>
      </c>
      <c r="D11701" s="125"/>
    </row>
    <row r="11702">
      <c r="A11702" s="122" t="s">
        <v>37450</v>
      </c>
      <c r="B11702" s="123">
        <v>1860482.0</v>
      </c>
      <c r="C11702" s="687" t="str">
        <f>IFERROR(__xludf.DUMMYFUNCTION("GOOGLEFINANCE(A11702,""name"")"),"#N/A")</f>
        <v>#N/A</v>
      </c>
      <c r="D11702" s="125"/>
    </row>
    <row r="11703">
      <c r="A11703" s="122" t="s">
        <v>37451</v>
      </c>
      <c r="B11703" s="123">
        <v>1860482.0</v>
      </c>
      <c r="C11703" s="687" t="str">
        <f>IFERROR(__xludf.DUMMYFUNCTION("GOOGLEFINANCE(A11703,""name"")"),"#N/A")</f>
        <v>#N/A</v>
      </c>
      <c r="D11703" s="125"/>
    </row>
    <row r="11704">
      <c r="A11704" s="122" t="s">
        <v>37452</v>
      </c>
      <c r="B11704" s="123">
        <v>1378125.0</v>
      </c>
      <c r="C11704" s="687" t="str">
        <f>IFERROR(__xludf.DUMMYFUNCTION("GOOGLEFINANCE(A11704,""name"")"),"#N/A")</f>
        <v>#N/A</v>
      </c>
      <c r="D11704" s="125"/>
    </row>
    <row r="11705">
      <c r="A11705" s="122" t="s">
        <v>37453</v>
      </c>
      <c r="B11705" s="123">
        <v>1847090.0</v>
      </c>
      <c r="C11705" s="687" t="str">
        <f>IFERROR(__xludf.DUMMYFUNCTION("GOOGLEFINANCE(A11705,""name"")"),"#N/A")</f>
        <v>#N/A</v>
      </c>
      <c r="D11705" s="125"/>
    </row>
    <row r="11706">
      <c r="A11706" s="122" t="s">
        <v>37454</v>
      </c>
      <c r="B11706" s="123">
        <v>1847090.0</v>
      </c>
      <c r="C11706" s="687" t="str">
        <f>IFERROR(__xludf.DUMMYFUNCTION("GOOGLEFINANCE(A11706,""name"")"),"#N/A")</f>
        <v>#N/A</v>
      </c>
      <c r="D11706" s="125"/>
    </row>
    <row r="11707">
      <c r="A11707" s="122" t="s">
        <v>37455</v>
      </c>
      <c r="B11707" s="123">
        <v>1847090.0</v>
      </c>
      <c r="C11707" s="687" t="str">
        <f>IFERROR(__xludf.DUMMYFUNCTION("GOOGLEFINANCE(A11707,""name"")"),"#N/A")</f>
        <v>#N/A</v>
      </c>
      <c r="D11707" s="125"/>
    </row>
    <row r="11708">
      <c r="A11708" s="122" t="s">
        <v>37456</v>
      </c>
      <c r="B11708" s="123">
        <v>1819399.0</v>
      </c>
      <c r="C11708" s="687" t="str">
        <f>IFERROR(__xludf.DUMMYFUNCTION("GOOGLEFINANCE(A11708,""name"")"),"#N/A")</f>
        <v>#N/A</v>
      </c>
      <c r="D11708" s="125"/>
    </row>
    <row r="11709">
      <c r="A11709" s="122" t="s">
        <v>37457</v>
      </c>
      <c r="B11709" s="123">
        <v>1819399.0</v>
      </c>
      <c r="C11709" s="687" t="str">
        <f>IFERROR(__xludf.DUMMYFUNCTION("GOOGLEFINANCE(A11709,""name"")"),"#N/A")</f>
        <v>#N/A</v>
      </c>
      <c r="D11709" s="125"/>
    </row>
    <row r="11710">
      <c r="A11710" s="122" t="s">
        <v>37458</v>
      </c>
      <c r="B11710" s="123">
        <v>1819399.0</v>
      </c>
      <c r="C11710" s="687" t="str">
        <f>IFERROR(__xludf.DUMMYFUNCTION("GOOGLEFINANCE(A11710,""name"")"),"#N/A")</f>
        <v>#N/A</v>
      </c>
      <c r="D11710" s="125"/>
    </row>
    <row r="11711">
      <c r="A11711" s="122" t="s">
        <v>37459</v>
      </c>
      <c r="B11711" s="123">
        <v>1841230.0</v>
      </c>
      <c r="C11711" s="687" t="str">
        <f>IFERROR(__xludf.DUMMYFUNCTION("GOOGLEFINANCE(A11711,""name"")"),"#N/A")</f>
        <v>#N/A</v>
      </c>
      <c r="D11711" s="125"/>
    </row>
    <row r="11712">
      <c r="A11712" s="122" t="s">
        <v>37460</v>
      </c>
      <c r="B11712" s="123">
        <v>1841230.0</v>
      </c>
      <c r="C11712" s="687" t="str">
        <f>IFERROR(__xludf.DUMMYFUNCTION("GOOGLEFINANCE(A11712,""name"")"),"#N/A")</f>
        <v>#N/A</v>
      </c>
      <c r="D11712" s="125"/>
    </row>
    <row r="11713">
      <c r="A11713" s="122" t="s">
        <v>37461</v>
      </c>
      <c r="B11713" s="123">
        <v>1841230.0</v>
      </c>
      <c r="C11713" s="687" t="str">
        <f>IFERROR(__xludf.DUMMYFUNCTION("GOOGLEFINANCE(A11713,""name"")"),"#N/A")</f>
        <v>#N/A</v>
      </c>
      <c r="D11713" s="125"/>
    </row>
    <row r="11714">
      <c r="A11714" s="122" t="s">
        <v>37462</v>
      </c>
      <c r="B11714" s="123">
        <v>1840353.0</v>
      </c>
      <c r="C11714" s="687" t="str">
        <f>IFERROR(__xludf.DUMMYFUNCTION("GOOGLEFINANCE(A11714,""name"")"),"#N/A")</f>
        <v>#N/A</v>
      </c>
      <c r="D11714" s="125"/>
    </row>
    <row r="11715">
      <c r="A11715" s="122" t="s">
        <v>37463</v>
      </c>
      <c r="B11715" s="123">
        <v>1840353.0</v>
      </c>
      <c r="C11715" s="687" t="str">
        <f>IFERROR(__xludf.DUMMYFUNCTION("GOOGLEFINANCE(A11715,""name"")"),"#N/A")</f>
        <v>#N/A</v>
      </c>
      <c r="D11715" s="125"/>
    </row>
    <row r="11716">
      <c r="A11716" s="122" t="s">
        <v>37464</v>
      </c>
      <c r="B11716" s="123">
        <v>1840353.0</v>
      </c>
      <c r="C11716" s="687" t="str">
        <f>IFERROR(__xludf.DUMMYFUNCTION("GOOGLEFINANCE(A11716,""name"")"),"#N/A")</f>
        <v>#N/A</v>
      </c>
      <c r="D11716" s="125"/>
    </row>
    <row r="11717">
      <c r="A11717" s="122" t="s">
        <v>37465</v>
      </c>
      <c r="B11717" s="123">
        <v>1111559.0</v>
      </c>
      <c r="C11717" s="687" t="str">
        <f>IFERROR(__xludf.DUMMYFUNCTION("GOOGLEFINANCE(A11717,""name"")"),"#N/A")</f>
        <v>#N/A</v>
      </c>
      <c r="D11717" s="125"/>
    </row>
    <row r="11718">
      <c r="A11718" s="122" t="s">
        <v>37466</v>
      </c>
      <c r="B11718" s="123">
        <v>1829726.0</v>
      </c>
      <c r="C11718" s="687" t="str">
        <f>IFERROR(__xludf.DUMMYFUNCTION("GOOGLEFINANCE(A11718,""name"")"),"#N/A")</f>
        <v>#N/A</v>
      </c>
      <c r="D11718" s="125"/>
    </row>
    <row r="11719">
      <c r="A11719" s="122" t="s">
        <v>37467</v>
      </c>
      <c r="B11719" s="123">
        <v>1651561.0</v>
      </c>
      <c r="C11719" s="687" t="str">
        <f>IFERROR(__xludf.DUMMYFUNCTION("GOOGLEFINANCE(A11719,""name"")"),"#N/A")</f>
        <v>#N/A</v>
      </c>
      <c r="D11719" s="125"/>
    </row>
    <row r="11720">
      <c r="A11720" s="122" t="s">
        <v>37468</v>
      </c>
      <c r="B11720" s="123">
        <v>1514056.0</v>
      </c>
      <c r="C11720" s="687" t="str">
        <f>IFERROR(__xludf.DUMMYFUNCTION("GOOGLEFINANCE(A11720,""name"")"),"#N/A")</f>
        <v>#N/A</v>
      </c>
      <c r="D11720" s="125"/>
    </row>
    <row r="11721">
      <c r="A11721" s="122" t="s">
        <v>37469</v>
      </c>
      <c r="B11721" s="123">
        <v>1852736.0</v>
      </c>
      <c r="C11721" s="687" t="str">
        <f>IFERROR(__xludf.DUMMYFUNCTION("GOOGLEFINANCE(A11721,""name"")"),"#N/A")</f>
        <v>#N/A</v>
      </c>
      <c r="D11721" s="125"/>
    </row>
    <row r="11722">
      <c r="A11722" s="122" t="s">
        <v>37470</v>
      </c>
      <c r="B11722" s="123">
        <v>1852736.0</v>
      </c>
      <c r="C11722" s="687" t="str">
        <f>IFERROR(__xludf.DUMMYFUNCTION("GOOGLEFINANCE(A11722,""name"")"),"#N/A")</f>
        <v>#N/A</v>
      </c>
      <c r="D11722" s="125"/>
    </row>
    <row r="11723">
      <c r="A11723" s="122" t="s">
        <v>37471</v>
      </c>
      <c r="B11723" s="123">
        <v>1021096.0</v>
      </c>
      <c r="C11723" s="687" t="str">
        <f>IFERROR(__xludf.DUMMYFUNCTION("GOOGLEFINANCE(A11723,""name"")"),"#N/A")</f>
        <v>#N/A</v>
      </c>
      <c r="D11723" s="125"/>
    </row>
    <row r="11724">
      <c r="A11724" s="122" t="s">
        <v>37472</v>
      </c>
      <c r="B11724" s="123">
        <v>1021096.0</v>
      </c>
      <c r="C11724" s="687" t="str">
        <f>IFERROR(__xludf.DUMMYFUNCTION("GOOGLEFINANCE(A11724,""name"")"),"#N/A")</f>
        <v>#N/A</v>
      </c>
      <c r="D11724" s="125"/>
    </row>
    <row r="11725">
      <c r="A11725" s="122" t="s">
        <v>37473</v>
      </c>
      <c r="B11725" s="123">
        <v>1849396.0</v>
      </c>
      <c r="C11725" s="687" t="str">
        <f>IFERROR(__xludf.DUMMYFUNCTION("GOOGLEFINANCE(A11725,""name"")"),"#N/A")</f>
        <v>#N/A</v>
      </c>
      <c r="D11725" s="125"/>
    </row>
    <row r="11726">
      <c r="A11726" s="122" t="s">
        <v>37474</v>
      </c>
      <c r="B11726" s="123">
        <v>1778805.0</v>
      </c>
      <c r="C11726" s="687" t="str">
        <f>IFERROR(__xludf.DUMMYFUNCTION("GOOGLEFINANCE(A11726,""name"")"),"#N/A")</f>
        <v>#N/A</v>
      </c>
      <c r="D11726" s="125"/>
    </row>
    <row r="11727">
      <c r="A11727" s="122" t="s">
        <v>37475</v>
      </c>
      <c r="B11727" s="123">
        <v>99302.0</v>
      </c>
      <c r="C11727" s="687" t="str">
        <f>IFERROR(__xludf.DUMMYFUNCTION("GOOGLEFINANCE(A11727,""name"")"),"Transcat Inc")</f>
        <v>Transcat Inc</v>
      </c>
      <c r="D11727" s="125"/>
    </row>
    <row r="11728">
      <c r="A11728" s="122" t="s">
        <v>37476</v>
      </c>
      <c r="B11728" s="123">
        <v>1353487.0</v>
      </c>
      <c r="C11728" s="687" t="str">
        <f>IFERROR(__xludf.DUMMYFUNCTION("GOOGLEFINANCE(A11728,""name"")"),"#N/A")</f>
        <v>#N/A</v>
      </c>
      <c r="D11728" s="125"/>
    </row>
    <row r="11729">
      <c r="A11729" s="122" t="s">
        <v>37477</v>
      </c>
      <c r="B11729" s="123">
        <v>1844300.0</v>
      </c>
      <c r="C11729" s="687" t="str">
        <f>IFERROR(__xludf.DUMMYFUNCTION("GOOGLEFINANCE(A11729,""name"")"),"#N/A")</f>
        <v>#N/A</v>
      </c>
      <c r="D11729" s="125"/>
    </row>
    <row r="11730">
      <c r="A11730" s="122" t="s">
        <v>37478</v>
      </c>
      <c r="B11730" s="123">
        <v>1847513.0</v>
      </c>
      <c r="C11730" s="687" t="str">
        <f>IFERROR(__xludf.DUMMYFUNCTION("GOOGLEFINANCE(A11730,""name"")"),"TRON Inc")</f>
        <v>TRON Inc</v>
      </c>
      <c r="D11730" s="125"/>
    </row>
    <row r="11731">
      <c r="A11731" s="122" t="s">
        <v>37479</v>
      </c>
      <c r="B11731" s="123">
        <v>1412095.0</v>
      </c>
      <c r="C11731" s="687" t="str">
        <f>IFERROR(__xludf.DUMMYFUNCTION("GOOGLEFINANCE(A11731,""name"")"),"TROOPS Inc")</f>
        <v>TROOPS Inc</v>
      </c>
      <c r="D11731" s="125"/>
    </row>
    <row r="11732">
      <c r="A11732" s="122" t="s">
        <v>37480</v>
      </c>
      <c r="B11732" s="123">
        <v>1158041.0</v>
      </c>
      <c r="C11732" s="687" t="str">
        <f>IFERROR(__xludf.DUMMYFUNCTION("GOOGLEFINANCE(A11732,""name"")"),"#N/A")</f>
        <v>#N/A</v>
      </c>
      <c r="D11732" s="125"/>
    </row>
    <row r="11733">
      <c r="A11733" s="122" t="s">
        <v>37481</v>
      </c>
      <c r="B11733" s="123">
        <v>1498232.0</v>
      </c>
      <c r="C11733" s="687" t="str">
        <f>IFERROR(__xludf.DUMMYFUNCTION("GOOGLEFINANCE(A11733,""name"")"),"#N/A")</f>
        <v>#N/A</v>
      </c>
      <c r="D11733" s="125"/>
    </row>
    <row r="11734">
      <c r="A11734" s="122" t="s">
        <v>37482</v>
      </c>
      <c r="B11734" s="123">
        <v>1778129.0</v>
      </c>
      <c r="C11734" s="687" t="str">
        <f>IFERROR(__xludf.DUMMYFUNCTION("GOOGLEFINANCE(A11734,""name"")"),"#N/A")</f>
        <v>#N/A</v>
      </c>
      <c r="D11734" s="125"/>
    </row>
    <row r="11735">
      <c r="A11735" s="122" t="s">
        <v>37483</v>
      </c>
      <c r="B11735" s="123">
        <v>1847112.0</v>
      </c>
      <c r="C11735" s="687" t="str">
        <f>IFERROR(__xludf.DUMMYFUNCTION("GOOGLEFINANCE(A11735,""name"")"),"#N/A")</f>
        <v>#N/A</v>
      </c>
      <c r="D11735" s="125"/>
    </row>
    <row r="11736">
      <c r="A11736" s="122" t="s">
        <v>37484</v>
      </c>
      <c r="B11736" s="123">
        <v>1847112.0</v>
      </c>
      <c r="C11736" s="687" t="str">
        <f>IFERROR(__xludf.DUMMYFUNCTION("GOOGLEFINANCE(A11736,""name"")"),"#N/A")</f>
        <v>#N/A</v>
      </c>
      <c r="D11736" s="125"/>
    </row>
    <row r="11737">
      <c r="A11737" s="122" t="s">
        <v>37485</v>
      </c>
      <c r="B11737" s="123">
        <v>1660734.0</v>
      </c>
      <c r="C11737" s="687" t="str">
        <f>IFERROR(__xludf.DUMMYFUNCTION("GOOGLEFINANCE(A11737,""name"")"),"#N/A")</f>
        <v>#N/A</v>
      </c>
      <c r="D11737" s="125"/>
    </row>
    <row r="11738">
      <c r="A11738" s="122" t="s">
        <v>37486</v>
      </c>
      <c r="B11738" s="123">
        <v>1660734.0</v>
      </c>
      <c r="C11738" s="687" t="str">
        <f>IFERROR(__xludf.DUMMYFUNCTION("GOOGLEFINANCE(A11738,""name"")"),"#N/A")</f>
        <v>#N/A</v>
      </c>
      <c r="D11738" s="125"/>
    </row>
    <row r="11739">
      <c r="A11739" s="122" t="s">
        <v>37487</v>
      </c>
      <c r="B11739" s="123">
        <v>1660734.0</v>
      </c>
      <c r="C11739" s="687" t="str">
        <f>IFERROR(__xludf.DUMMYFUNCTION("GOOGLEFINANCE(A11739,""name"")"),"#N/A")</f>
        <v>#N/A</v>
      </c>
      <c r="D11739" s="125"/>
    </row>
    <row r="11740">
      <c r="A11740" s="122" t="s">
        <v>37488</v>
      </c>
      <c r="B11740" s="123">
        <v>1660734.0</v>
      </c>
      <c r="C11740" s="687" t="str">
        <f>IFERROR(__xludf.DUMMYFUNCTION("GOOGLEFINANCE(A11740,""name"")"),"#N/A")</f>
        <v>#N/A</v>
      </c>
      <c r="D11740" s="125"/>
    </row>
    <row r="11741">
      <c r="A11741" s="122" t="s">
        <v>37489</v>
      </c>
      <c r="B11741" s="123">
        <v>1660734.0</v>
      </c>
      <c r="C11741" s="687" t="str">
        <f>IFERROR(__xludf.DUMMYFUNCTION("GOOGLEFINANCE(A11741,""name"")"),"#N/A")</f>
        <v>#N/A</v>
      </c>
      <c r="D11741" s="125"/>
    </row>
    <row r="11742">
      <c r="A11742" s="122" t="s">
        <v>37490</v>
      </c>
      <c r="B11742" s="123">
        <v>1660734.0</v>
      </c>
      <c r="C11742" s="687" t="str">
        <f>IFERROR(__xludf.DUMMYFUNCTION("GOOGLEFINANCE(A11742,""name"")"),"#N/A")</f>
        <v>#N/A</v>
      </c>
      <c r="D11742" s="125"/>
    </row>
    <row r="11743">
      <c r="A11743" s="122" t="s">
        <v>37491</v>
      </c>
      <c r="B11743" s="123">
        <v>1630472.0</v>
      </c>
      <c r="C11743" s="687" t="str">
        <f>IFERROR(__xludf.DUMMYFUNCTION("GOOGLEFINANCE(A11743,""name"")"),"#N/A")</f>
        <v>#N/A</v>
      </c>
      <c r="D11743" s="125"/>
    </row>
    <row r="11744">
      <c r="A11744" s="122" t="b">
        <v>1</v>
      </c>
      <c r="B11744" s="123">
        <v>1327318.0</v>
      </c>
      <c r="C11744" s="687" t="str">
        <f>IFERROR(__xludf.DUMMYFUNCTION("GOOGLEFINANCE(A11744,""name"")"),"#N/A")</f>
        <v>#N/A</v>
      </c>
      <c r="D11744" s="125"/>
    </row>
    <row r="11745">
      <c r="A11745" s="122" t="s">
        <v>37492</v>
      </c>
      <c r="B11745" s="123">
        <v>1899770.0</v>
      </c>
      <c r="C11745" s="687" t="str">
        <f>IFERROR(__xludf.DUMMYFUNCTION("GOOGLEFINANCE(A11745,""name"")"),"#N/A")</f>
        <v>#N/A</v>
      </c>
      <c r="D11745" s="125"/>
    </row>
    <row r="11746">
      <c r="A11746" s="122" t="s">
        <v>37493</v>
      </c>
      <c r="B11746" s="123">
        <v>1832737.0</v>
      </c>
      <c r="C11746" s="687" t="str">
        <f>IFERROR(__xludf.DUMMYFUNCTION("GOOGLEFINANCE(A11746,""name"")"),"#N/A")</f>
        <v>#N/A</v>
      </c>
      <c r="D11746" s="125"/>
    </row>
    <row r="11747">
      <c r="A11747" s="122" t="s">
        <v>37494</v>
      </c>
      <c r="B11747" s="123">
        <v>1832737.0</v>
      </c>
      <c r="C11747" s="687" t="str">
        <f>IFERROR(__xludf.DUMMYFUNCTION("GOOGLEFINANCE(A11747,""name"")"),"#N/A")</f>
        <v>#N/A</v>
      </c>
      <c r="D11747" s="125"/>
    </row>
    <row r="11748">
      <c r="A11748" s="122" t="s">
        <v>37495</v>
      </c>
      <c r="B11748" s="123">
        <v>1832737.0</v>
      </c>
      <c r="C11748" s="687" t="str">
        <f>IFERROR(__xludf.DUMMYFUNCTION("GOOGLEFINANCE(A11748,""name"")"),"#N/A")</f>
        <v>#N/A</v>
      </c>
      <c r="D11748" s="125"/>
    </row>
    <row r="11749">
      <c r="A11749" s="122" t="s">
        <v>37496</v>
      </c>
      <c r="B11749" s="123">
        <v>1725295.0</v>
      </c>
      <c r="C11749" s="687" t="str">
        <f>IFERROR(__xludf.DUMMYFUNCTION("GOOGLEFINANCE(A11749,""name"")"),"#N/A")</f>
        <v>#N/A</v>
      </c>
      <c r="D11749" s="125"/>
    </row>
    <row r="11750">
      <c r="A11750" s="122" t="s">
        <v>37497</v>
      </c>
      <c r="B11750" s="123">
        <v>1900830.0</v>
      </c>
      <c r="C11750" s="687" t="str">
        <f>IFERROR(__xludf.DUMMYFUNCTION("GOOGLEFINANCE(A11750,""name"")"),"#N/A")</f>
        <v>#N/A</v>
      </c>
      <c r="D11750" s="125"/>
    </row>
    <row r="11751">
      <c r="A11751" s="122" t="s">
        <v>37498</v>
      </c>
      <c r="B11751" s="123">
        <v>1892387.0</v>
      </c>
      <c r="C11751" s="687" t="str">
        <f>IFERROR(__xludf.DUMMYFUNCTION("GOOGLEFINANCE(A11751,""name"")"),"#N/A")</f>
        <v>#N/A</v>
      </c>
      <c r="D11751" s="125"/>
    </row>
    <row r="11752">
      <c r="A11752" s="122" t="s">
        <v>37499</v>
      </c>
      <c r="B11752" s="123">
        <v>1838219.0</v>
      </c>
      <c r="C11752" s="687" t="str">
        <f>IFERROR(__xludf.DUMMYFUNCTION("GOOGLEFINANCE(A11752,""name"")"),"#N/A")</f>
        <v>#N/A</v>
      </c>
      <c r="D11752" s="125"/>
    </row>
    <row r="11753">
      <c r="A11753" s="122" t="s">
        <v>37500</v>
      </c>
      <c r="B11753" s="123">
        <v>1838219.0</v>
      </c>
      <c r="C11753" s="687" t="str">
        <f>IFERROR(__xludf.DUMMYFUNCTION("GOOGLEFINANCE(A11753,""name"")"),"#N/A")</f>
        <v>#N/A</v>
      </c>
      <c r="D11753" s="125"/>
    </row>
    <row r="11754">
      <c r="A11754" s="122" t="s">
        <v>37501</v>
      </c>
      <c r="B11754" s="123">
        <v>1838219.0</v>
      </c>
      <c r="C11754" s="687" t="str">
        <f>IFERROR(__xludf.DUMMYFUNCTION("GOOGLEFINANCE(A11754,""name"")"),"#N/A")</f>
        <v>#N/A</v>
      </c>
      <c r="D11754" s="125"/>
    </row>
    <row r="11755">
      <c r="A11755" s="122" t="s">
        <v>37502</v>
      </c>
      <c r="B11755" s="123">
        <v>1741231.0</v>
      </c>
      <c r="C11755" s="687" t="str">
        <f>IFERROR(__xludf.DUMMYFUNCTION("GOOGLEFINANCE(A11755,""name"")"),"#N/A")</f>
        <v>#N/A</v>
      </c>
      <c r="D11755" s="125"/>
    </row>
    <row r="11756">
      <c r="A11756" s="122" t="s">
        <v>37503</v>
      </c>
      <c r="B11756" s="123">
        <v>878726.0</v>
      </c>
      <c r="C11756" s="687" t="str">
        <f>IFERROR(__xludf.DUMMYFUNCTION("GOOGLEFINANCE(A11756,""name"")"),"#N/A")</f>
        <v>#N/A</v>
      </c>
      <c r="D11756" s="125"/>
    </row>
    <row r="11757">
      <c r="A11757" s="122" t="s">
        <v>37504</v>
      </c>
      <c r="B11757" s="123">
        <v>1863032.0</v>
      </c>
      <c r="C11757" s="687" t="str">
        <f>IFERROR(__xludf.DUMMYFUNCTION("GOOGLEFINANCE(A11757,""name"")"),"#N/A")</f>
        <v>#N/A</v>
      </c>
      <c r="D11757" s="125"/>
    </row>
    <row r="11758">
      <c r="A11758" s="122" t="s">
        <v>37505</v>
      </c>
      <c r="B11758" s="123">
        <v>1514587.0</v>
      </c>
      <c r="C11758" s="687" t="str">
        <f>IFERROR(__xludf.DUMMYFUNCTION("GOOGLEFINANCE(A11758,""name"")"),"#N/A")</f>
        <v>#N/A</v>
      </c>
      <c r="D11758" s="125"/>
    </row>
    <row r="11759">
      <c r="A11759" s="122" t="s">
        <v>37506</v>
      </c>
      <c r="B11759" s="123">
        <v>1053092.0</v>
      </c>
      <c r="C11759" s="687" t="str">
        <f>IFERROR(__xludf.DUMMYFUNCTION("GOOGLEFINANCE(A11759,""name"")"),"#N/A")</f>
        <v>#N/A</v>
      </c>
      <c r="D11759" s="125"/>
    </row>
    <row r="11760">
      <c r="A11760" s="122" t="s">
        <v>37507</v>
      </c>
      <c r="B11760" s="123">
        <v>1845618.0</v>
      </c>
      <c r="C11760" s="687" t="str">
        <f>IFERROR(__xludf.DUMMYFUNCTION("GOOGLEFINANCE(A11760,""name"")"),"#N/A")</f>
        <v>#N/A</v>
      </c>
      <c r="D11760" s="125"/>
    </row>
    <row r="11761">
      <c r="A11761" s="122" t="s">
        <v>37508</v>
      </c>
      <c r="B11761" s="123">
        <v>1845618.0</v>
      </c>
      <c r="C11761" s="687" t="str">
        <f>IFERROR(__xludf.DUMMYFUNCTION("GOOGLEFINANCE(A11761,""name"")"),"#N/A")</f>
        <v>#N/A</v>
      </c>
      <c r="D11761" s="125"/>
    </row>
    <row r="11762">
      <c r="A11762" s="122" t="s">
        <v>37509</v>
      </c>
      <c r="B11762" s="123">
        <v>1845618.0</v>
      </c>
      <c r="C11762" s="687" t="str">
        <f>IFERROR(__xludf.DUMMYFUNCTION("GOOGLEFINANCE(A11762,""name"")"),"#N/A")</f>
        <v>#N/A</v>
      </c>
      <c r="D11762" s="125"/>
    </row>
    <row r="11763">
      <c r="A11763" s="122" t="s">
        <v>37510</v>
      </c>
      <c r="B11763" s="123">
        <v>1845855.0</v>
      </c>
      <c r="C11763" s="687" t="str">
        <f>IFERROR(__xludf.DUMMYFUNCTION("GOOGLEFINANCE(A11763,""name"")"),"#N/A")</f>
        <v>#N/A</v>
      </c>
      <c r="D11763" s="125"/>
    </row>
    <row r="11764">
      <c r="A11764" s="122" t="s">
        <v>37511</v>
      </c>
      <c r="B11764" s="123">
        <v>1849512.0</v>
      </c>
      <c r="C11764" s="687" t="str">
        <f>IFERROR(__xludf.DUMMYFUNCTION("GOOGLEFINANCE(A11764,""name"")"),"#N/A")</f>
        <v>#N/A</v>
      </c>
      <c r="D11764" s="125"/>
    </row>
    <row r="11765">
      <c r="A11765" s="122" t="s">
        <v>37512</v>
      </c>
      <c r="B11765" s="123">
        <v>1926451.0</v>
      </c>
      <c r="C11765" s="687" t="str">
        <f>IFERROR(__xludf.DUMMYFUNCTION("GOOGLEFINANCE(A11765,""name"")"),"#N/A")</f>
        <v>#N/A</v>
      </c>
      <c r="D11765" s="125"/>
    </row>
    <row r="11766">
      <c r="A11766" s="122" t="s">
        <v>37513</v>
      </c>
      <c r="B11766" s="123">
        <v>1845865.0</v>
      </c>
      <c r="C11766" s="687" t="str">
        <f>IFERROR(__xludf.DUMMYFUNCTION("GOOGLEFINANCE(A11766,""name"")"),"#N/A")</f>
        <v>#N/A</v>
      </c>
      <c r="D11766" s="125"/>
    </row>
    <row r="11767">
      <c r="A11767" s="122" t="s">
        <v>37514</v>
      </c>
      <c r="B11767" s="123">
        <v>1814215.0</v>
      </c>
      <c r="C11767" s="687" t="str">
        <f>IFERROR(__xludf.DUMMYFUNCTION("GOOGLEFINANCE(A11767,""name"")"),"#N/A")</f>
        <v>#N/A</v>
      </c>
      <c r="D11767" s="125"/>
    </row>
    <row r="11768">
      <c r="A11768" s="122" t="s">
        <v>37515</v>
      </c>
      <c r="B11768" s="123">
        <v>1814215.0</v>
      </c>
      <c r="C11768" s="687" t="str">
        <f>IFERROR(__xludf.DUMMYFUNCTION("GOOGLEFINANCE(A11768,""name"")"),"#N/A")</f>
        <v>#N/A</v>
      </c>
      <c r="D11768" s="125"/>
    </row>
    <row r="11769">
      <c r="A11769" s="122" t="s">
        <v>37516</v>
      </c>
      <c r="B11769" s="123">
        <v>1814215.0</v>
      </c>
      <c r="C11769" s="687" t="str">
        <f>IFERROR(__xludf.DUMMYFUNCTION("GOOGLEFINANCE(A11769,""name"")"),"#N/A")</f>
        <v>#N/A</v>
      </c>
      <c r="D11769" s="125"/>
    </row>
    <row r="11770">
      <c r="A11770" s="122" t="s">
        <v>37517</v>
      </c>
      <c r="B11770" s="123">
        <v>1835881.0</v>
      </c>
      <c r="C11770" s="687" t="str">
        <f>IFERROR(__xludf.DUMMYFUNCTION("GOOGLEFINANCE(A11770,""name"")"),"#N/A")</f>
        <v>#N/A</v>
      </c>
      <c r="D11770" s="125"/>
    </row>
    <row r="11771">
      <c r="A11771" s="122" t="s">
        <v>37518</v>
      </c>
      <c r="B11771" s="123">
        <v>1835881.0</v>
      </c>
      <c r="C11771" s="687" t="str">
        <f>IFERROR(__xludf.DUMMYFUNCTION("GOOGLEFINANCE(A11771,""name"")"),"#N/A")</f>
        <v>#N/A</v>
      </c>
      <c r="D11771" s="125"/>
    </row>
    <row r="11772">
      <c r="A11772" s="122" t="s">
        <v>37519</v>
      </c>
      <c r="B11772" s="123">
        <v>1835881.0</v>
      </c>
      <c r="C11772" s="687" t="str">
        <f>IFERROR(__xludf.DUMMYFUNCTION("GOOGLEFINANCE(A11772,""name"")"),"#N/A")</f>
        <v>#N/A</v>
      </c>
      <c r="D11772" s="125"/>
    </row>
    <row r="11773">
      <c r="A11773" s="122" t="s">
        <v>37520</v>
      </c>
      <c r="B11773" s="123">
        <v>1644406.0</v>
      </c>
      <c r="C11773" s="687" t="str">
        <f>IFERROR(__xludf.DUMMYFUNCTION("GOOGLEFINANCE(A11773,""name"")"),"#N/A")</f>
        <v>#N/A</v>
      </c>
      <c r="D11773" s="125"/>
    </row>
    <row r="11774">
      <c r="A11774" s="122" t="s">
        <v>37521</v>
      </c>
      <c r="B11774" s="123">
        <v>1465740.0</v>
      </c>
      <c r="C11774" s="687" t="str">
        <f>IFERROR(__xludf.DUMMYFUNCTION("GOOGLEFINANCE(A11774,""name"")"),"#N/A")</f>
        <v>#N/A</v>
      </c>
      <c r="D11774" s="125"/>
    </row>
    <row r="11775">
      <c r="A11775" s="122" t="s">
        <v>37522</v>
      </c>
      <c r="B11775" s="123">
        <v>1465740.0</v>
      </c>
      <c r="C11775" s="687" t="str">
        <f>IFERROR(__xludf.DUMMYFUNCTION("GOOGLEFINANCE(A11775,""name"")"),"#N/A")</f>
        <v>#N/A</v>
      </c>
      <c r="D11775" s="125"/>
    </row>
    <row r="11776">
      <c r="A11776" s="122" t="s">
        <v>37523</v>
      </c>
      <c r="B11776" s="123">
        <v>1465740.0</v>
      </c>
      <c r="C11776" s="687" t="str">
        <f>IFERROR(__xludf.DUMMYFUNCTION("GOOGLEFINANCE(A11776,""name"")"),"#N/A")</f>
        <v>#N/A</v>
      </c>
      <c r="D11776" s="125"/>
    </row>
    <row r="11777">
      <c r="A11777" s="122" t="s">
        <v>37524</v>
      </c>
      <c r="B11777" s="123">
        <v>1418091.0</v>
      </c>
      <c r="C11777" s="687" t="str">
        <f>IFERROR(__xludf.DUMMYFUNCTION("GOOGLEFINANCE(A11777,""name"")"),"#N/A")</f>
        <v>#N/A</v>
      </c>
      <c r="D11777" s="125"/>
    </row>
    <row r="11778">
      <c r="A11778" s="122" t="s">
        <v>37525</v>
      </c>
      <c r="B11778" s="123">
        <v>1892492.0</v>
      </c>
      <c r="C11778" s="687" t="str">
        <f>IFERROR(__xludf.DUMMYFUNCTION("GOOGLEFINANCE(A11778,""name"")"),"#N/A")</f>
        <v>#N/A</v>
      </c>
      <c r="D11778" s="125"/>
    </row>
    <row r="11779">
      <c r="A11779" s="122" t="s">
        <v>37526</v>
      </c>
      <c r="B11779" s="123">
        <v>1537917.0</v>
      </c>
      <c r="C11779" s="687" t="str">
        <f>IFERROR(__xludf.DUMMYFUNCTION("GOOGLEFINANCE(A11779,""name"")"),"#N/A")</f>
        <v>#N/A</v>
      </c>
      <c r="D11779" s="125"/>
    </row>
    <row r="11780">
      <c r="A11780" s="122" t="s">
        <v>37527</v>
      </c>
      <c r="B11780" s="123">
        <v>1873951.0</v>
      </c>
      <c r="C11780" s="687" t="str">
        <f>IFERROR(__xludf.DUMMYFUNCTION("GOOGLEFINANCE(A11780,""name"")"),"#N/A")</f>
        <v>#N/A</v>
      </c>
      <c r="D11780" s="125"/>
    </row>
    <row r="11781">
      <c r="A11781" s="122" t="s">
        <v>37528</v>
      </c>
      <c r="B11781" s="123">
        <v>1823481.0</v>
      </c>
      <c r="C11781" s="687" t="str">
        <f>IFERROR(__xludf.DUMMYFUNCTION("GOOGLEFINANCE(A11781,""name"")"),"#N/A")</f>
        <v>#N/A</v>
      </c>
      <c r="D11781" s="125"/>
    </row>
    <row r="11782">
      <c r="A11782" s="122" t="s">
        <v>37529</v>
      </c>
      <c r="B11782" s="123">
        <v>1823481.0</v>
      </c>
      <c r="C11782" s="687" t="str">
        <f>IFERROR(__xludf.DUMMYFUNCTION("GOOGLEFINANCE(A11782,""name"")"),"#N/A")</f>
        <v>#N/A</v>
      </c>
      <c r="D11782" s="125"/>
    </row>
    <row r="11783">
      <c r="A11783" s="122" t="s">
        <v>37530</v>
      </c>
      <c r="B11783" s="123">
        <v>1823481.0</v>
      </c>
      <c r="C11783" s="687" t="str">
        <f>IFERROR(__xludf.DUMMYFUNCTION("GOOGLEFINANCE(A11783,""name"")"),"#N/A")</f>
        <v>#N/A</v>
      </c>
      <c r="D11783" s="125"/>
    </row>
    <row r="11784">
      <c r="A11784" s="122" t="s">
        <v>37531</v>
      </c>
      <c r="B11784" s="123">
        <v>1029800.0</v>
      </c>
      <c r="C11784" s="687" t="str">
        <f>IFERROR(__xludf.DUMMYFUNCTION("GOOGLEFINANCE(A11784,""name"")"),"Ubaldi Costruzioni SpA")</f>
        <v>Ubaldi Costruzioni SpA</v>
      </c>
      <c r="D11784" s="125"/>
    </row>
    <row r="11785">
      <c r="A11785" s="122" t="s">
        <v>37532</v>
      </c>
      <c r="B11785" s="123">
        <v>1087456.0</v>
      </c>
      <c r="C11785" s="687" t="str">
        <f>IFERROR(__xludf.DUMMYFUNCTION("GOOGLEFINANCE(A11785,""name"")"),"United Bancshares Inc")</f>
        <v>United Bancshares Inc</v>
      </c>
      <c r="D11785" s="125"/>
    </row>
    <row r="11786">
      <c r="A11786" s="122" t="s">
        <v>37533</v>
      </c>
      <c r="B11786" s="123">
        <v>1029800.0</v>
      </c>
      <c r="C11786" s="687" t="str">
        <f>IFERROR(__xludf.DUMMYFUNCTION("GOOGLEFINANCE(A11786,""name"")"),"#N/A")</f>
        <v>#N/A</v>
      </c>
      <c r="D11786" s="125"/>
    </row>
    <row r="11787">
      <c r="A11787" s="122" t="s">
        <v>37534</v>
      </c>
      <c r="B11787" s="123">
        <v>1029800.0</v>
      </c>
      <c r="C11787" s="687" t="str">
        <f>IFERROR(__xludf.DUMMYFUNCTION("GOOGLEFINANCE(A11787,""name"")"),"#N/A")</f>
        <v>#N/A</v>
      </c>
      <c r="D11787" s="125"/>
    </row>
    <row r="11788">
      <c r="A11788" s="122" t="s">
        <v>37535</v>
      </c>
      <c r="B11788" s="123">
        <v>1029800.0</v>
      </c>
      <c r="C11788" s="687" t="str">
        <f>IFERROR(__xludf.DUMMYFUNCTION("GOOGLEFINANCE(A11788,""name"")"),"#N/A")</f>
        <v>#N/A</v>
      </c>
      <c r="D11788" s="125"/>
    </row>
    <row r="11789">
      <c r="A11789" s="122" t="s">
        <v>37536</v>
      </c>
      <c r="B11789" s="123">
        <v>1888525.0</v>
      </c>
      <c r="C11789" s="687" t="str">
        <f>IFERROR(__xludf.DUMMYFUNCTION("GOOGLEFINANCE(A11789,""name"")"),"U-BX Technology Ltd")</f>
        <v>U-BX Technology Ltd</v>
      </c>
      <c r="D11789" s="125"/>
    </row>
    <row r="11790">
      <c r="A11790" s="122" t="s">
        <v>37537</v>
      </c>
      <c r="B11790" s="123">
        <v>1114446.0</v>
      </c>
      <c r="C11790" s="687" t="str">
        <f>IFERROR(__xludf.DUMMYFUNCTION("GOOGLEFINANCE(A11790,""name"")"),"UBS ETRACS Bloomberg Constant Maturity Commodity CMCI Total Return ETN Series B due 5 April 2038 Series B")</f>
        <v>UBS ETRACS Bloomberg Constant Maturity Commodity CMCI Total Return ETN Series B due 5 April 2038 Series B</v>
      </c>
      <c r="D11790" s="125"/>
    </row>
    <row r="11791">
      <c r="A11791" s="122" t="s">
        <v>37538</v>
      </c>
      <c r="B11791" s="123">
        <v>1358099.0</v>
      </c>
      <c r="C11791" s="687" t="str">
        <f>IFERROR(__xludf.DUMMYFUNCTION("GOOGLEFINANCE(A11791,""name"")"),"Umbra Companies Inc")</f>
        <v>Umbra Companies Inc</v>
      </c>
      <c r="D11791" s="125"/>
    </row>
    <row r="11792">
      <c r="A11792" s="122" t="s">
        <v>37539</v>
      </c>
      <c r="B11792" s="123">
        <v>1888577.0</v>
      </c>
      <c r="C11792" s="687" t="str">
        <f>IFERROR(__xludf.DUMMYFUNCTION("GOOGLEFINANCE(A11792,""name"")"),"#N/A")</f>
        <v>#N/A</v>
      </c>
      <c r="D11792" s="125"/>
    </row>
    <row r="11793">
      <c r="A11793" s="122" t="s">
        <v>37540</v>
      </c>
      <c r="B11793" s="123">
        <v>1617669.0</v>
      </c>
      <c r="C11793" s="687" t="str">
        <f>IFERROR(__xludf.DUMMYFUNCTION("GOOGLEFINANCE(A11793,""name"")"),"#N/A")</f>
        <v>#N/A</v>
      </c>
      <c r="D11793" s="125"/>
    </row>
    <row r="11794">
      <c r="A11794" s="122" t="s">
        <v>37541</v>
      </c>
      <c r="B11794" s="123">
        <v>1831583.0</v>
      </c>
      <c r="C11794" s="687" t="str">
        <f>IFERROR(__xludf.DUMMYFUNCTION("GOOGLEFINANCE(A11794,""name"")"),"EN US FINANCIAL PR")</f>
        <v>EN US FINANCIAL PR</v>
      </c>
      <c r="D11794" s="125"/>
    </row>
    <row r="11795">
      <c r="A11795" s="122" t="s">
        <v>37542</v>
      </c>
      <c r="B11795" s="123">
        <v>1053092.0</v>
      </c>
      <c r="C11795" s="687" t="str">
        <f>IFERROR(__xludf.DUMMYFUNCTION("GOOGLEFINANCE(A11795,""name"")"),"#N/A")</f>
        <v>#N/A</v>
      </c>
      <c r="D11795" s="125"/>
    </row>
    <row r="11796">
      <c r="A11796" s="122" t="s">
        <v>37543</v>
      </c>
      <c r="B11796" s="123">
        <v>1053092.0</v>
      </c>
      <c r="C11796" s="687" t="str">
        <f>IFERROR(__xludf.DUMMYFUNCTION("GOOGLEFINANCE(A11796,""name"")"),"#N/A")</f>
        <v>#N/A</v>
      </c>
      <c r="D11796" s="125"/>
    </row>
    <row r="11797">
      <c r="A11797" s="122" t="s">
        <v>37544</v>
      </c>
      <c r="B11797" s="123">
        <v>352915.0</v>
      </c>
      <c r="C11797" s="687" t="str">
        <f>IFERROR(__xludf.DUMMYFUNCTION("GOOGLEFINANCE(A11797,""name"")"),"#N/A")</f>
        <v>#N/A</v>
      </c>
      <c r="D11797" s="125"/>
    </row>
    <row r="11798">
      <c r="A11798" s="122" t="s">
        <v>37545</v>
      </c>
      <c r="B11798" s="123">
        <v>352915.0</v>
      </c>
      <c r="C11798" s="687" t="str">
        <f>IFERROR(__xludf.DUMMYFUNCTION("GOOGLEFINANCE(A11798,""name"")"),"Universal Health Services Inc")</f>
        <v>Universal Health Services Inc</v>
      </c>
      <c r="D11798" s="125"/>
    </row>
    <row r="11799">
      <c r="A11799" s="122" t="s">
        <v>37546</v>
      </c>
      <c r="B11799" s="123">
        <v>798783.0</v>
      </c>
      <c r="C11799" s="687" t="str">
        <f>IFERROR(__xludf.DUMMYFUNCTION("GOOGLEFINANCE(A11799,""name"")"),"Universal Health Realty Income Trust")</f>
        <v>Universal Health Realty Income Trust</v>
      </c>
      <c r="D11799" s="125"/>
    </row>
    <row r="11800">
      <c r="A11800" s="122" t="s">
        <v>37547</v>
      </c>
      <c r="B11800" s="123">
        <v>1401521.0</v>
      </c>
      <c r="C11800" s="687" t="str">
        <f>IFERROR(__xludf.DUMMYFUNCTION("GOOGLEFINANCE(A11800,""name"")"),"#N/A")</f>
        <v>#N/A</v>
      </c>
      <c r="D11800" s="125"/>
    </row>
    <row r="11801">
      <c r="A11801" s="122" t="s">
        <v>37548</v>
      </c>
      <c r="B11801" s="123">
        <v>1856659.0</v>
      </c>
      <c r="C11801" s="687" t="str">
        <f>IFERROR(__xludf.DUMMYFUNCTION("GOOGLEFINANCE(A11801,""name"")"),"#N/A")</f>
        <v>#N/A</v>
      </c>
      <c r="D11801" s="125"/>
    </row>
    <row r="11802">
      <c r="A11802" s="122" t="s">
        <v>37549</v>
      </c>
      <c r="B11802" s="123">
        <v>1605810.0</v>
      </c>
      <c r="C11802" s="687" t="str">
        <f>IFERROR(__xludf.DUMMYFUNCTION("GOOGLEFINANCE(A11802,""name"")"),"#N/A")</f>
        <v>#N/A</v>
      </c>
      <c r="D11802" s="125"/>
    </row>
    <row r="11803">
      <c r="A11803" s="122" t="s">
        <v>37550</v>
      </c>
      <c r="B11803" s="123">
        <v>752642.0</v>
      </c>
      <c r="C11803" s="687" t="str">
        <f>IFERROR(__xludf.DUMMYFUNCTION("GOOGLEFINANCE(A11803,""name"")"),"#N/A")</f>
        <v>#N/A</v>
      </c>
      <c r="D11803" s="125"/>
    </row>
    <row r="11804">
      <c r="A11804" s="122" t="s">
        <v>37551</v>
      </c>
      <c r="B11804" s="123">
        <v>1317839.0</v>
      </c>
      <c r="C11804" s="687" t="str">
        <f>IFERROR(__xludf.DUMMYFUNCTION("GOOGLEFINANCE(A11804,""name"")"),"#N/A")</f>
        <v>#N/A</v>
      </c>
      <c r="D11804" s="125"/>
    </row>
    <row r="11805">
      <c r="A11805" s="122" t="s">
        <v>37552</v>
      </c>
      <c r="B11805" s="123">
        <v>1077771.0</v>
      </c>
      <c r="C11805" s="687" t="str">
        <f>IFERROR(__xludf.DUMMYFUNCTION("GOOGLEFINANCE(A11805,""name"")"),"#N/A")</f>
        <v>#N/A</v>
      </c>
      <c r="D11805" s="125"/>
    </row>
    <row r="11806">
      <c r="A11806" s="122" t="s">
        <v>37553</v>
      </c>
      <c r="B11806" s="123">
        <v>1700844.0</v>
      </c>
      <c r="C11806" s="687" t="str">
        <f>IFERROR(__xludf.DUMMYFUNCTION("GOOGLEFINANCE(A11806,""name"")"),"#N/A")</f>
        <v>#N/A</v>
      </c>
      <c r="D11806" s="125"/>
    </row>
    <row r="11807">
      <c r="A11807" s="122" t="s">
        <v>37554</v>
      </c>
      <c r="B11807" s="123">
        <v>5513.0</v>
      </c>
      <c r="C11807" s="687" t="str">
        <f>IFERROR(__xludf.DUMMYFUNCTION("GOOGLEFINANCE(A11807,""name"")"),"Unum Group 6.25% Junior Subordinated Exp 2058")</f>
        <v>Unum Group 6.25% Junior Subordinated Exp 2058</v>
      </c>
      <c r="D11807" s="125"/>
    </row>
    <row r="11808">
      <c r="A11808" s="122" t="s">
        <v>37555</v>
      </c>
      <c r="B11808" s="123">
        <v>1849470.0</v>
      </c>
      <c r="C11808" s="687" t="str">
        <f>IFERROR(__xludf.DUMMYFUNCTION("GOOGLEFINANCE(A11808,""name"")"),"#N/A")</f>
        <v>#N/A</v>
      </c>
      <c r="D11808" s="125"/>
    </row>
    <row r="11809">
      <c r="A11809" s="122" t="s">
        <v>37556</v>
      </c>
      <c r="B11809" s="123">
        <v>1538495.0</v>
      </c>
      <c r="C11809" s="687" t="str">
        <f>IFERROR(__xludf.DUMMYFUNCTION("GOOGLEFINANCE(A11809,""name"")"),"Innovator US Equity Ultra Buffer ETF - November")</f>
        <v>Innovator US Equity Ultra Buffer ETF - November</v>
      </c>
      <c r="D11809" s="125"/>
    </row>
    <row r="11810">
      <c r="A11810" s="122" t="s">
        <v>37557</v>
      </c>
      <c r="B11810" s="123">
        <v>1451512.0</v>
      </c>
      <c r="C11810" s="687" t="str">
        <f>IFERROR(__xludf.DUMMYFUNCTION("GOOGLEFINANCE(A11810,""name"")"),"#N/A")</f>
        <v>#N/A</v>
      </c>
      <c r="D11810" s="125"/>
    </row>
    <row r="11811">
      <c r="A11811" s="122" t="s">
        <v>37558</v>
      </c>
      <c r="B11811" s="123">
        <v>1434389.0</v>
      </c>
      <c r="C11811" s="687" t="str">
        <f>IFERROR(__xludf.DUMMYFUNCTION("GOOGLEFINANCE(A11811,""name"")"),"Universal Solar Technology Inc")</f>
        <v>Universal Solar Technology Inc</v>
      </c>
      <c r="D11811" s="125"/>
    </row>
    <row r="11812">
      <c r="A11812" s="122" t="s">
        <v>37559</v>
      </c>
      <c r="B11812" s="123">
        <v>1081834.0</v>
      </c>
      <c r="C11812" s="687" t="str">
        <f>IFERROR(__xludf.DUMMYFUNCTION("GOOGLEFINANCE(A11812,""name"")"),"#N/A")</f>
        <v>#N/A</v>
      </c>
      <c r="D11812" s="125"/>
    </row>
    <row r="11813">
      <c r="A11813" s="122" t="s">
        <v>37560</v>
      </c>
      <c r="B11813" s="123">
        <v>1819516.0</v>
      </c>
      <c r="C11813" s="687" t="str">
        <f>IFERROR(__xludf.DUMMYFUNCTION("GOOGLEFINANCE(A11813,""name"")"),"#N/A")</f>
        <v>#N/A</v>
      </c>
      <c r="D11813" s="125"/>
    </row>
    <row r="11814">
      <c r="A11814" s="122" t="s">
        <v>37561</v>
      </c>
      <c r="B11814" s="123">
        <v>1770141.0</v>
      </c>
      <c r="C11814" s="687" t="str">
        <f>IFERROR(__xludf.DUMMYFUNCTION("GOOGLEFINANCE(A11814,""name"")"),"#N/A")</f>
        <v>#N/A</v>
      </c>
      <c r="D11814" s="125"/>
    </row>
    <row r="11815">
      <c r="A11815" s="122" t="s">
        <v>37562</v>
      </c>
      <c r="B11815" s="123">
        <v>1469115.0</v>
      </c>
      <c r="C11815" s="687" t="str">
        <f>IFERROR(__xludf.DUMMYFUNCTION("GOOGLEFINANCE(A11815,""name"")"),"#N/A")</f>
        <v>#N/A</v>
      </c>
      <c r="D11815" s="125"/>
    </row>
    <row r="11816">
      <c r="A11816" s="122" t="s">
        <v>37563</v>
      </c>
      <c r="B11816" s="123">
        <v>1844417.0</v>
      </c>
      <c r="C11816" s="687" t="str">
        <f>IFERROR(__xludf.DUMMYFUNCTION("GOOGLEFINANCE(A11816,""name"")"),"#N/A")</f>
        <v>#N/A</v>
      </c>
      <c r="D11816" s="125"/>
    </row>
    <row r="11817">
      <c r="A11817" s="122" t="s">
        <v>37564</v>
      </c>
      <c r="B11817" s="123">
        <v>1844417.0</v>
      </c>
      <c r="C11817" s="687" t="str">
        <f>IFERROR(__xludf.DUMMYFUNCTION("GOOGLEFINANCE(A11817,""name"")"),"#N/A")</f>
        <v>#N/A</v>
      </c>
      <c r="D11817" s="125"/>
    </row>
    <row r="11818">
      <c r="A11818" s="122" t="s">
        <v>37565</v>
      </c>
      <c r="B11818" s="123">
        <v>932352.0</v>
      </c>
      <c r="C11818" s="687" t="str">
        <f>IFERROR(__xludf.DUMMYFUNCTION("GOOGLEFINANCE(A11818,""name"")"),"#N/A")</f>
        <v>#N/A</v>
      </c>
      <c r="D11818" s="125"/>
    </row>
    <row r="11819">
      <c r="A11819" s="122" t="s">
        <v>37566</v>
      </c>
      <c r="B11819" s="123">
        <v>1874981.0</v>
      </c>
      <c r="C11819" s="687" t="str">
        <f>IFERROR(__xludf.DUMMYFUNCTION("GOOGLEFINANCE(A11819,""name"")"),"WisdomTree Gl Ex-USA Qual Div Gr UCITS ETF EUR Acc")</f>
        <v>WisdomTree Gl Ex-USA Qual Div Gr UCITS ETF EUR Acc</v>
      </c>
      <c r="D11819" s="125"/>
    </row>
    <row r="11820">
      <c r="A11820" s="122" t="s">
        <v>37567</v>
      </c>
      <c r="B11820" s="123">
        <v>36104.0</v>
      </c>
      <c r="C11820" s="687" t="str">
        <f>IFERROR(__xludf.DUMMYFUNCTION("GOOGLEFINANCE(A11820,""name"")"),"#N/A")</f>
        <v>#N/A</v>
      </c>
      <c r="D11820" s="125"/>
    </row>
    <row r="11821">
      <c r="A11821" s="122" t="s">
        <v>37568</v>
      </c>
      <c r="B11821" s="123">
        <v>36104.0</v>
      </c>
      <c r="C11821" s="687" t="str">
        <f>IFERROR(__xludf.DUMMYFUNCTION("GOOGLEFINANCE(A11821,""name"")"),"#N/A")</f>
        <v>#N/A</v>
      </c>
      <c r="D11821" s="125"/>
    </row>
    <row r="11822">
      <c r="A11822" s="122" t="s">
        <v>37569</v>
      </c>
      <c r="B11822" s="123">
        <v>36104.0</v>
      </c>
      <c r="C11822" s="687" t="str">
        <f>IFERROR(__xludf.DUMMYFUNCTION("GOOGLEFINANCE(A11822,""name"")"),"#N/A")</f>
        <v>#N/A</v>
      </c>
      <c r="D11822" s="125"/>
    </row>
    <row r="11823">
      <c r="A11823" s="122" t="s">
        <v>37570</v>
      </c>
      <c r="B11823" s="123">
        <v>36104.0</v>
      </c>
      <c r="C11823" s="687" t="str">
        <f>IFERROR(__xludf.DUMMYFUNCTION("GOOGLEFINANCE(A11823,""name"")"),"#N/A")</f>
        <v>#N/A</v>
      </c>
      <c r="D11823" s="125"/>
    </row>
    <row r="11824">
      <c r="A11824" s="122" t="s">
        <v>37571</v>
      </c>
      <c r="B11824" s="123">
        <v>36104.0</v>
      </c>
      <c r="C11824" s="687" t="str">
        <f>IFERROR(__xludf.DUMMYFUNCTION("GOOGLEFINANCE(A11824,""name"")"),"#N/A")</f>
        <v>#N/A</v>
      </c>
      <c r="D11824" s="125"/>
    </row>
    <row r="11825">
      <c r="A11825" s="122" t="s">
        <v>37572</v>
      </c>
      <c r="B11825" s="123">
        <v>36104.0</v>
      </c>
      <c r="C11825" s="687" t="str">
        <f>IFERROR(__xludf.DUMMYFUNCTION("GOOGLEFINANCE(A11825,""name"")"),"#N/A")</f>
        <v>#N/A</v>
      </c>
      <c r="D11825" s="125"/>
    </row>
    <row r="11826">
      <c r="A11826" s="122" t="s">
        <v>37573</v>
      </c>
      <c r="B11826" s="123">
        <v>764630.0</v>
      </c>
      <c r="C11826" s="687" t="str">
        <f>IFERROR(__xludf.DUMMYFUNCTION("GOOGLEFINANCE(A11826,""name"")"),"#N/A")</f>
        <v>#N/A</v>
      </c>
      <c r="D11826" s="125"/>
    </row>
    <row r="11827">
      <c r="A11827" s="122" t="s">
        <v>37574</v>
      </c>
      <c r="B11827" s="123">
        <v>1557127.0</v>
      </c>
      <c r="C11827" s="687" t="str">
        <f>IFERROR(__xludf.DUMMYFUNCTION("GOOGLEFINANCE(A11827,""name"")"),"#N/A")</f>
        <v>#N/A</v>
      </c>
      <c r="D11827" s="125"/>
    </row>
    <row r="11828">
      <c r="A11828" s="122" t="s">
        <v>37575</v>
      </c>
      <c r="B11828" s="123">
        <v>1053092.0</v>
      </c>
      <c r="C11828" s="687" t="str">
        <f>IFERROR(__xludf.DUMMYFUNCTION("GOOGLEFINANCE(A11828,""name"")"),"#N/A")</f>
        <v>#N/A</v>
      </c>
      <c r="D11828" s="125"/>
    </row>
    <row r="11829">
      <c r="A11829" s="122" t="s">
        <v>37576</v>
      </c>
      <c r="B11829" s="123">
        <v>896264.0</v>
      </c>
      <c r="C11829" s="687" t="str">
        <f>IFERROR(__xludf.DUMMYFUNCTION("GOOGLEFINANCE(A11829,""name"")"),"USANA Health Sciences Inc")</f>
        <v>USANA Health Sciences Inc</v>
      </c>
      <c r="D11829" s="125"/>
    </row>
    <row r="11830">
      <c r="A11830" s="122" t="s">
        <v>37577</v>
      </c>
      <c r="B11830" s="123">
        <v>1053092.0</v>
      </c>
      <c r="C11830" s="687" t="str">
        <f>IFERROR(__xludf.DUMMYFUNCTION("GOOGLEFINANCE(A11830,""name"")"),"Ubs Ag Etracs Crude Oil Shares Covered Call ETN Exp 24th Apr 2037")</f>
        <v>Ubs Ag Etracs Crude Oil Shares Covered Call ETN Exp 24th Apr 2037</v>
      </c>
      <c r="D11830" s="125"/>
    </row>
    <row r="11831">
      <c r="A11831" s="122" t="s">
        <v>37578</v>
      </c>
      <c r="B11831" s="123">
        <v>885978.0</v>
      </c>
      <c r="C11831" s="687" t="str">
        <f>IFERROR(__xludf.DUMMYFUNCTION("GOOGLEFINANCE(A11831,""name"")"),"US Physical Therapy Inc")</f>
        <v>US Physical Therapy Inc</v>
      </c>
      <c r="D11831" s="125"/>
    </row>
    <row r="11832">
      <c r="A11832" s="122" t="s">
        <v>37579</v>
      </c>
      <c r="B11832" s="123">
        <v>1691570.0</v>
      </c>
      <c r="C11832" s="687" t="str">
        <f>IFERROR(__xludf.DUMMYFUNCTION("GOOGLEFINANCE(A11832,""name"")"),"#N/A")</f>
        <v>#N/A</v>
      </c>
      <c r="D11832" s="125"/>
    </row>
    <row r="11833">
      <c r="A11833" s="122" t="s">
        <v>37580</v>
      </c>
      <c r="B11833" s="123">
        <v>1670349.0</v>
      </c>
      <c r="C11833" s="687" t="str">
        <f>IFERROR(__xludf.DUMMYFUNCTION("GOOGLEFINANCE(A11833,""name"")"),"#N/A")</f>
        <v>#N/A</v>
      </c>
      <c r="D11833" s="125"/>
    </row>
    <row r="11834">
      <c r="A11834" s="122" t="s">
        <v>37581</v>
      </c>
      <c r="B11834" s="123">
        <v>1670349.0</v>
      </c>
      <c r="C11834" s="687" t="str">
        <f>IFERROR(__xludf.DUMMYFUNCTION("GOOGLEFINANCE(A11834,""name"")"),"#N/A")</f>
        <v>#N/A</v>
      </c>
      <c r="D11834" s="125"/>
    </row>
    <row r="11835">
      <c r="A11835" s="122" t="s">
        <v>37582</v>
      </c>
      <c r="B11835" s="123">
        <v>923571.0</v>
      </c>
      <c r="C11835" s="687" t="str">
        <f>IFERROR(__xludf.DUMMYFUNCTION("GOOGLEFINANCE(A11835,""name"")"),"#N/A")</f>
        <v>#N/A</v>
      </c>
      <c r="D11835" s="125"/>
    </row>
    <row r="11836">
      <c r="A11836" s="122" t="s">
        <v>37583</v>
      </c>
      <c r="B11836" s="123">
        <v>1879221.0</v>
      </c>
      <c r="C11836" s="687" t="str">
        <f>IFERROR(__xludf.DUMMYFUNCTION("GOOGLEFINANCE(A11836,""name"")"),"#N/A")</f>
        <v>#N/A</v>
      </c>
      <c r="D11836" s="125"/>
    </row>
    <row r="11837">
      <c r="A11837" s="122" t="s">
        <v>37584</v>
      </c>
      <c r="B11837" s="123">
        <v>1879221.0</v>
      </c>
      <c r="C11837" s="687" t="str">
        <f>IFERROR(__xludf.DUMMYFUNCTION("GOOGLEFINANCE(A11837,""name"")"),"#N/A")</f>
        <v>#N/A</v>
      </c>
      <c r="D11837" s="125"/>
    </row>
    <row r="11838">
      <c r="A11838" s="122" t="s">
        <v>37585</v>
      </c>
      <c r="B11838" s="123">
        <v>1879221.0</v>
      </c>
      <c r="C11838" s="687" t="str">
        <f>IFERROR(__xludf.DUMMYFUNCTION("GOOGLEFINANCE(A11838,""name"")"),"#N/A")</f>
        <v>#N/A</v>
      </c>
      <c r="D11838" s="125"/>
    </row>
    <row r="11839">
      <c r="A11839" s="122" t="s">
        <v>37586</v>
      </c>
      <c r="B11839" s="123">
        <v>832480.0</v>
      </c>
      <c r="C11839" s="687" t="str">
        <f>IFERROR(__xludf.DUMMYFUNCTION("GOOGLEFINANCE(A11839,""name"")"),"UTG Inc")</f>
        <v>UTG Inc</v>
      </c>
      <c r="D11839" s="125"/>
    </row>
    <row r="11840">
      <c r="A11840" s="122" t="s">
        <v>37587</v>
      </c>
      <c r="B11840" s="123">
        <v>1789299.0</v>
      </c>
      <c r="C11840" s="687" t="str">
        <f>IFERROR(__xludf.DUMMYFUNCTION("GOOGLEFINANCE(A11840,""name"")"),"#N/A")</f>
        <v>#N/A</v>
      </c>
      <c r="D11840" s="125"/>
    </row>
    <row r="11841">
      <c r="A11841" s="122" t="s">
        <v>37588</v>
      </c>
      <c r="B11841" s="123">
        <v>1793081.0</v>
      </c>
      <c r="C11841" s="687" t="str">
        <f>IFERROR(__xludf.DUMMYFUNCTION("GOOGLEFINANCE(A11841,""name"")"),"#N/A")</f>
        <v>#N/A</v>
      </c>
      <c r="D11841" s="125"/>
    </row>
    <row r="11842">
      <c r="A11842" s="122" t="s">
        <v>37589</v>
      </c>
      <c r="B11842" s="123">
        <v>1783398.0</v>
      </c>
      <c r="C11842" s="687" t="str">
        <f>IFERROR(__xludf.DUMMYFUNCTION("GOOGLEFINANCE(A11842,""name"")"),"#N/A")</f>
        <v>#N/A</v>
      </c>
      <c r="D11842" s="125"/>
    </row>
    <row r="11843">
      <c r="A11843" s="122" t="s">
        <v>37590</v>
      </c>
      <c r="B11843" s="123">
        <v>1828185.0</v>
      </c>
      <c r="C11843" s="687" t="str">
        <f>IFERROR(__xludf.DUMMYFUNCTION("GOOGLEFINANCE(A11843,""name"")"),"#N/A")</f>
        <v>#N/A</v>
      </c>
      <c r="D11843" s="125"/>
    </row>
    <row r="11844">
      <c r="A11844" s="122" t="s">
        <v>37591</v>
      </c>
      <c r="B11844" s="123">
        <v>1865249.0</v>
      </c>
      <c r="C11844" s="687" t="str">
        <f>IFERROR(__xludf.DUMMYFUNCTION("GOOGLEFINANCE(A11844,""name"")"),"#N/A")</f>
        <v>#N/A</v>
      </c>
      <c r="D11844" s="125"/>
    </row>
    <row r="11845">
      <c r="A11845" s="122" t="s">
        <v>37592</v>
      </c>
      <c r="B11845" s="123">
        <v>314808.0</v>
      </c>
      <c r="C11845" s="687" t="str">
        <f>IFERROR(__xludf.DUMMYFUNCTION("GOOGLEFINANCE(A11845,""name"")"),"#N/A")</f>
        <v>#N/A</v>
      </c>
      <c r="D11845" s="125"/>
    </row>
    <row r="11846">
      <c r="A11846" s="122" t="s">
        <v>37593</v>
      </c>
      <c r="B11846" s="123">
        <v>1851169.0</v>
      </c>
      <c r="C11846" s="687" t="str">
        <f>IFERROR(__xludf.DUMMYFUNCTION("GOOGLEFINANCE(A11846,""name"")"),"#N/A")</f>
        <v>#N/A</v>
      </c>
      <c r="D11846" s="125"/>
    </row>
    <row r="11847">
      <c r="A11847" s="122" t="s">
        <v>37594</v>
      </c>
      <c r="B11847" s="123">
        <v>797542.0</v>
      </c>
      <c r="C11847" s="687" t="str">
        <f>IFERROR(__xludf.DUMMYFUNCTION("GOOGLEFINANCE(A11847,""name"")"),"#N/A")</f>
        <v>#N/A</v>
      </c>
      <c r="D11847" s="125"/>
    </row>
    <row r="11848">
      <c r="A11848" s="122" t="s">
        <v>37595</v>
      </c>
      <c r="B11848" s="123">
        <v>1603207.0</v>
      </c>
      <c r="C11848" s="687" t="str">
        <f>IFERROR(__xludf.DUMMYFUNCTION("GOOGLEFINANCE(A11848,""name"")"),"#N/A")</f>
        <v>#N/A</v>
      </c>
      <c r="D11848" s="125"/>
    </row>
    <row r="11849">
      <c r="A11849" s="122" t="s">
        <v>37596</v>
      </c>
      <c r="B11849" s="123">
        <v>1853920.0</v>
      </c>
      <c r="C11849" s="687" t="str">
        <f>IFERROR(__xludf.DUMMYFUNCTION("GOOGLEFINANCE(A11849,""name"")"),"#N/A")</f>
        <v>#N/A</v>
      </c>
      <c r="D11849" s="125"/>
    </row>
    <row r="11850">
      <c r="A11850" s="122" t="s">
        <v>37597</v>
      </c>
      <c r="B11850" s="123">
        <v>1853920.0</v>
      </c>
      <c r="C11850" s="687" t="str">
        <f>IFERROR(__xludf.DUMMYFUNCTION("GOOGLEFINANCE(A11850,""name"")"),"#N/A")</f>
        <v>#N/A</v>
      </c>
      <c r="D11850" s="125"/>
    </row>
    <row r="11851">
      <c r="A11851" s="122" t="s">
        <v>37598</v>
      </c>
      <c r="B11851" s="123">
        <v>1517767.0</v>
      </c>
      <c r="C11851" s="687" t="str">
        <f>IFERROR(__xludf.DUMMYFUNCTION("GOOGLEFINANCE(A11851,""name"")"),"#N/A")</f>
        <v>#N/A</v>
      </c>
      <c r="D11851" s="125"/>
    </row>
    <row r="11852">
      <c r="A11852" s="122" t="s">
        <v>37599</v>
      </c>
      <c r="B11852" s="123">
        <v>1820190.0</v>
      </c>
      <c r="C11852" s="687" t="str">
        <f>IFERROR(__xludf.DUMMYFUNCTION("GOOGLEFINANCE(A11852,""name"")"),"#N/A")</f>
        <v>#N/A</v>
      </c>
      <c r="D11852" s="125"/>
    </row>
    <row r="11853">
      <c r="A11853" s="122" t="s">
        <v>37600</v>
      </c>
      <c r="B11853" s="123">
        <v>1820190.0</v>
      </c>
      <c r="C11853" s="687" t="str">
        <f>IFERROR(__xludf.DUMMYFUNCTION("GOOGLEFINANCE(A11853,""name"")"),"#N/A")</f>
        <v>#N/A</v>
      </c>
      <c r="D11853" s="125"/>
    </row>
    <row r="11854">
      <c r="A11854" s="122" t="s">
        <v>37601</v>
      </c>
      <c r="B11854" s="123">
        <v>1515001.0</v>
      </c>
      <c r="C11854" s="687" t="str">
        <f>IFERROR(__xludf.DUMMYFUNCTION("GOOGLEFINANCE(A11854,""name"")"),"#N/A")</f>
        <v>#N/A</v>
      </c>
      <c r="D11854" s="125"/>
    </row>
    <row r="11855">
      <c r="A11855" s="122" t="s">
        <v>37602</v>
      </c>
      <c r="B11855" s="123">
        <v>1687898.0</v>
      </c>
      <c r="C11855" s="687" t="str">
        <f>IFERROR(__xludf.DUMMYFUNCTION("GOOGLEFINANCE(A11855,""name"")"),"#N/A")</f>
        <v>#N/A</v>
      </c>
      <c r="D11855" s="125"/>
    </row>
    <row r="11856">
      <c r="A11856" s="122" t="s">
        <v>37603</v>
      </c>
      <c r="B11856" s="123">
        <v>1848898.0</v>
      </c>
      <c r="C11856" s="687" t="str">
        <f>IFERROR(__xludf.DUMMYFUNCTION("GOOGLEFINANCE(A11856,""name"")"),"#N/A")</f>
        <v>#N/A</v>
      </c>
      <c r="D11856" s="125"/>
    </row>
    <row r="11857">
      <c r="A11857" s="122" t="s">
        <v>37604</v>
      </c>
      <c r="B11857" s="123">
        <v>1848898.0</v>
      </c>
      <c r="C11857" s="687" t="str">
        <f>IFERROR(__xludf.DUMMYFUNCTION("GOOGLEFINANCE(A11857,""name"")"),"#N/A")</f>
        <v>#N/A</v>
      </c>
      <c r="D11857" s="125"/>
    </row>
    <row r="11858">
      <c r="A11858" s="122" t="s">
        <v>37605</v>
      </c>
      <c r="B11858" s="123">
        <v>1848898.0</v>
      </c>
      <c r="C11858" s="687" t="str">
        <f>IFERROR(__xludf.DUMMYFUNCTION("GOOGLEFINANCE(A11858,""name"")"),"#N/A")</f>
        <v>#N/A</v>
      </c>
      <c r="D11858" s="125"/>
    </row>
    <row r="11859">
      <c r="A11859" s="122" t="s">
        <v>37606</v>
      </c>
      <c r="B11859" s="123">
        <v>1848948.0</v>
      </c>
      <c r="C11859" s="687" t="str">
        <f>IFERROR(__xludf.DUMMYFUNCTION("GOOGLEFINANCE(A11859,""name"")"),"#N/A")</f>
        <v>#N/A</v>
      </c>
      <c r="D11859" s="125"/>
    </row>
    <row r="11860">
      <c r="A11860" s="122" t="s">
        <v>37607</v>
      </c>
      <c r="B11860" s="123">
        <v>1848948.0</v>
      </c>
      <c r="C11860" s="687" t="str">
        <f>IFERROR(__xludf.DUMMYFUNCTION("GOOGLEFINANCE(A11860,""name"")"),"#N/A")</f>
        <v>#N/A</v>
      </c>
      <c r="D11860" s="125"/>
    </row>
    <row r="11861">
      <c r="A11861" s="122" t="s">
        <v>37608</v>
      </c>
      <c r="B11861" s="123">
        <v>1862979.0</v>
      </c>
      <c r="C11861" s="687" t="str">
        <f>IFERROR(__xludf.DUMMYFUNCTION("GOOGLEFINANCE(A11861,""name"")"),"#N/A")</f>
        <v>#N/A</v>
      </c>
      <c r="D11861" s="125"/>
    </row>
    <row r="11862">
      <c r="A11862" s="122" t="s">
        <v>37609</v>
      </c>
      <c r="B11862" s="123">
        <v>1836379.0</v>
      </c>
      <c r="C11862" s="687" t="str">
        <f>IFERROR(__xludf.DUMMYFUNCTION("GOOGLEFINANCE(A11862,""name"")"),"#N/A")</f>
        <v>#N/A</v>
      </c>
      <c r="D11862" s="125"/>
    </row>
    <row r="11863">
      <c r="A11863" s="122" t="s">
        <v>37610</v>
      </c>
      <c r="B11863" s="123">
        <v>1892274.0</v>
      </c>
      <c r="C11863" s="687" t="str">
        <f>IFERROR(__xludf.DUMMYFUNCTION("GOOGLEFINANCE(A11863,""name"")"),"#N/A")</f>
        <v>#N/A</v>
      </c>
      <c r="D11863" s="125"/>
    </row>
    <row r="11864">
      <c r="A11864" s="122" t="s">
        <v>37611</v>
      </c>
      <c r="B11864" s="123">
        <v>1508527.0</v>
      </c>
      <c r="C11864" s="687" t="str">
        <f>IFERROR(__xludf.DUMMYFUNCTION("GOOGLEFINANCE(A11864,""name"")"),"#N/A")</f>
        <v>#N/A</v>
      </c>
      <c r="D11864" s="125"/>
    </row>
    <row r="11865">
      <c r="A11865" s="122" t="s">
        <v>37612</v>
      </c>
      <c r="B11865" s="123">
        <v>1832371.0</v>
      </c>
      <c r="C11865" s="687" t="str">
        <f>IFERROR(__xludf.DUMMYFUNCTION("GOOGLEFINANCE(A11865,""name"")"),"Velo3D Inc")</f>
        <v>Velo3D Inc</v>
      </c>
      <c r="D11865" s="125"/>
    </row>
    <row r="11866">
      <c r="A11866" s="122" t="s">
        <v>37613</v>
      </c>
      <c r="B11866" s="123">
        <v>1832371.0</v>
      </c>
      <c r="C11866" s="687" t="str">
        <f>IFERROR(__xludf.DUMMYFUNCTION("GOOGLEFINANCE(A11866,""name"")"),"#N/A")</f>
        <v>#N/A</v>
      </c>
      <c r="D11866" s="125"/>
    </row>
    <row r="11867">
      <c r="A11867" s="122" t="s">
        <v>37614</v>
      </c>
      <c r="B11867" s="123">
        <v>1832371.0</v>
      </c>
      <c r="C11867" s="687" t="str">
        <f>IFERROR(__xludf.DUMMYFUNCTION("GOOGLEFINANCE(A11867,""name"")"),"#N/A")</f>
        <v>#N/A</v>
      </c>
      <c r="D11867" s="125"/>
    </row>
    <row r="11868">
      <c r="A11868" s="122" t="s">
        <v>37615</v>
      </c>
      <c r="B11868" s="123">
        <v>1846764.0</v>
      </c>
      <c r="C11868" s="687" t="str">
        <f>IFERROR(__xludf.DUMMYFUNCTION("GOOGLEFINANCE(A11868,""name"")"),"#N/A")</f>
        <v>#N/A</v>
      </c>
      <c r="D11868" s="125"/>
    </row>
    <row r="11869">
      <c r="A11869" s="122" t="s">
        <v>37616</v>
      </c>
      <c r="B11869" s="123">
        <v>1800392.0</v>
      </c>
      <c r="C11869" s="687" t="str">
        <f>IFERROR(__xludf.DUMMYFUNCTION("GOOGLEFINANCE(A11869,""name"")"),"#N/A")</f>
        <v>#N/A</v>
      </c>
      <c r="D11869" s="125"/>
    </row>
    <row r="11870">
      <c r="A11870" s="122" t="s">
        <v>37617</v>
      </c>
      <c r="B11870" s="123">
        <v>1800392.0</v>
      </c>
      <c r="C11870" s="687" t="str">
        <f>IFERROR(__xludf.DUMMYFUNCTION("GOOGLEFINANCE(A11870,""name"")"),"#N/A")</f>
        <v>#N/A</v>
      </c>
      <c r="D11870" s="125"/>
    </row>
    <row r="11871">
      <c r="A11871" s="122" t="s">
        <v>37618</v>
      </c>
      <c r="B11871" s="123">
        <v>1800392.0</v>
      </c>
      <c r="C11871" s="687" t="str">
        <f>IFERROR(__xludf.DUMMYFUNCTION("GOOGLEFINANCE(A11871,""name"")"),"#N/A")</f>
        <v>#N/A</v>
      </c>
      <c r="D11871" s="125"/>
    </row>
    <row r="11872">
      <c r="A11872" s="122" t="s">
        <v>37619</v>
      </c>
      <c r="B11872" s="123">
        <v>1468091.0</v>
      </c>
      <c r="C11872" s="687" t="str">
        <f>IFERROR(__xludf.DUMMYFUNCTION("GOOGLEFINANCE(A11872,""name"")"),"VEON Ltd")</f>
        <v>VEON Ltd</v>
      </c>
      <c r="D11872" s="125"/>
    </row>
    <row r="11873">
      <c r="A11873" s="122" t="s">
        <v>37620</v>
      </c>
      <c r="B11873" s="123">
        <v>1615165.0</v>
      </c>
      <c r="C11873" s="687" t="str">
        <f>IFERROR(__xludf.DUMMYFUNCTION("GOOGLEFINANCE(A11873,""name"")"),"Veritone Inc")</f>
        <v>Veritone Inc</v>
      </c>
      <c r="D11873" s="125"/>
    </row>
    <row r="11874">
      <c r="A11874" s="122" t="s">
        <v>37621</v>
      </c>
      <c r="B11874" s="123">
        <v>1409269.0</v>
      </c>
      <c r="C11874" s="687" t="str">
        <f>IFERROR(__xludf.DUMMYFUNCTION("GOOGLEFINANCE(A11874,""name"")"),"Venus Concept Inc")</f>
        <v>Venus Concept Inc</v>
      </c>
      <c r="D11874" s="125"/>
    </row>
    <row r="11875">
      <c r="A11875" s="122" t="s">
        <v>37622</v>
      </c>
      <c r="B11875" s="123">
        <v>863894.0</v>
      </c>
      <c r="C11875" s="687" t="str">
        <f>IFERROR(__xludf.DUMMYFUNCTION("GOOGLEFINANCE(A11875,""name"")"),"Veru Inc")</f>
        <v>Veru Inc</v>
      </c>
      <c r="D11875" s="125"/>
    </row>
    <row r="11876">
      <c r="A11876" s="122" t="s">
        <v>37623</v>
      </c>
      <c r="B11876" s="123">
        <v>1840574.0</v>
      </c>
      <c r="C11876" s="687" t="str">
        <f>IFERROR(__xludf.DUMMYFUNCTION("GOOGLEFINANCE(A11876,""name"")"),"#N/A")</f>
        <v>#N/A</v>
      </c>
      <c r="D11876" s="125"/>
    </row>
    <row r="11877">
      <c r="A11877" s="122" t="s">
        <v>37624</v>
      </c>
      <c r="B11877" s="123">
        <v>1806837.0</v>
      </c>
      <c r="C11877" s="687" t="str">
        <f>IFERROR(__xludf.DUMMYFUNCTION("GOOGLEFINANCE(A11877,""name"")"),"Vertex Inc")</f>
        <v>Vertex Inc</v>
      </c>
      <c r="D11877" s="125"/>
    </row>
    <row r="11878">
      <c r="A11878" s="122" t="s">
        <v>37625</v>
      </c>
      <c r="B11878" s="123">
        <v>1575434.0</v>
      </c>
      <c r="C11878" s="687" t="str">
        <f>IFERROR(__xludf.DUMMYFUNCTION("GOOGLEFINANCE(A11878,""name"")"),"#N/A")</f>
        <v>#N/A</v>
      </c>
      <c r="D11878" s="125"/>
    </row>
    <row r="11879">
      <c r="A11879" s="122" t="s">
        <v>37626</v>
      </c>
      <c r="B11879" s="123">
        <v>1681717.0</v>
      </c>
      <c r="C11879" s="687" t="str">
        <f>IFERROR(__xludf.DUMMYFUNCTION("GOOGLEFINANCE(A11879,""name"")"),"#N/A")</f>
        <v>#N/A</v>
      </c>
      <c r="D11879" s="125"/>
    </row>
    <row r="11880">
      <c r="A11880" s="122" t="s">
        <v>37627</v>
      </c>
      <c r="B11880" s="123">
        <v>1878835.0</v>
      </c>
      <c r="C11880" s="687" t="str">
        <f>IFERROR(__xludf.DUMMYFUNCTION("GOOGLEFINANCE(A11880,""name"")"),"#N/A")</f>
        <v>#N/A</v>
      </c>
      <c r="D11880" s="125"/>
    </row>
    <row r="11881">
      <c r="A11881" s="122" t="s">
        <v>37628</v>
      </c>
      <c r="B11881" s="123">
        <v>1823857.0</v>
      </c>
      <c r="C11881" s="687" t="str">
        <f>IFERROR(__xludf.DUMMYFUNCTION("GOOGLEFINANCE(A11881,""name"")"),"#N/A")</f>
        <v>#N/A</v>
      </c>
      <c r="D11881" s="125"/>
    </row>
    <row r="11882">
      <c r="A11882" s="122" t="s">
        <v>37629</v>
      </c>
      <c r="B11882" s="123">
        <v>1868640.0</v>
      </c>
      <c r="C11882" s="687" t="str">
        <f>IFERROR(__xludf.DUMMYFUNCTION("GOOGLEFINANCE(A11882,""name"")"),"#N/A")</f>
        <v>#N/A</v>
      </c>
      <c r="D11882" s="125"/>
    </row>
    <row r="11883">
      <c r="A11883" s="122" t="s">
        <v>37630</v>
      </c>
      <c r="B11883" s="123">
        <v>1868640.0</v>
      </c>
      <c r="C11883" s="687" t="str">
        <f>IFERROR(__xludf.DUMMYFUNCTION("GOOGLEFINANCE(A11883,""name"")"),"#N/A")</f>
        <v>#N/A</v>
      </c>
      <c r="D11883" s="125"/>
    </row>
    <row r="11884">
      <c r="A11884" s="122" t="s">
        <v>37631</v>
      </c>
      <c r="B11884" s="123">
        <v>1868640.0</v>
      </c>
      <c r="C11884" s="687" t="str">
        <f>IFERROR(__xludf.DUMMYFUNCTION("GOOGLEFINANCE(A11884,""name"")"),"#N/A")</f>
        <v>#N/A</v>
      </c>
      <c r="D11884" s="125"/>
    </row>
    <row r="11885">
      <c r="A11885" s="122" t="s">
        <v>37632</v>
      </c>
      <c r="B11885" s="123">
        <v>1676580.0</v>
      </c>
      <c r="C11885" s="687" t="str">
        <f>IFERROR(__xludf.DUMMYFUNCTION("GOOGLEFINANCE(A11885,""name"")"),"#N/A")</f>
        <v>#N/A</v>
      </c>
      <c r="D11885" s="125"/>
    </row>
    <row r="11886">
      <c r="A11886" s="122" t="s">
        <v>37633</v>
      </c>
      <c r="B11886" s="123">
        <v>1826011.0</v>
      </c>
      <c r="C11886" s="687" t="str">
        <f>IFERROR(__xludf.DUMMYFUNCTION("GOOGLEFINANCE(A11886,""name"")"),"#N/A")</f>
        <v>#N/A</v>
      </c>
      <c r="D11886" s="125"/>
    </row>
    <row r="11887">
      <c r="A11887" s="122" t="s">
        <v>37634</v>
      </c>
      <c r="B11887" s="123">
        <v>1826011.0</v>
      </c>
      <c r="C11887" s="687" t="str">
        <f>IFERROR(__xludf.DUMMYFUNCTION("GOOGLEFINANCE(A11887,""name"")"),"#N/A")</f>
        <v>#N/A</v>
      </c>
      <c r="D11887" s="125"/>
    </row>
    <row r="11888">
      <c r="A11888" s="122" t="s">
        <v>37635</v>
      </c>
      <c r="B11888" s="123">
        <v>1826011.0</v>
      </c>
      <c r="C11888" s="687" t="str">
        <f>IFERROR(__xludf.DUMMYFUNCTION("GOOGLEFINANCE(A11888,""name"")"),"#N/A")</f>
        <v>#N/A</v>
      </c>
      <c r="D11888" s="125"/>
    </row>
    <row r="11889">
      <c r="A11889" s="122" t="s">
        <v>37636</v>
      </c>
      <c r="B11889" s="123">
        <v>1053092.0</v>
      </c>
      <c r="C11889" s="687" t="str">
        <f>IFERROR(__xludf.DUMMYFUNCTION("GOOGLEFINANCE(A11889,""name"")"),"#N/A")</f>
        <v>#N/A</v>
      </c>
      <c r="D11889" s="125"/>
    </row>
    <row r="11890">
      <c r="A11890" s="122" t="s">
        <v>37637</v>
      </c>
      <c r="B11890" s="123">
        <v>1796129.0</v>
      </c>
      <c r="C11890" s="687" t="str">
        <f>IFERROR(__xludf.DUMMYFUNCTION("GOOGLEFINANCE(A11890,""name"")"),"#N/A")</f>
        <v>#N/A</v>
      </c>
      <c r="D11890" s="125"/>
    </row>
    <row r="11891">
      <c r="A11891" s="122" t="s">
        <v>37638</v>
      </c>
      <c r="B11891" s="123">
        <v>1609472.0</v>
      </c>
      <c r="C11891" s="687" t="str">
        <f>IFERROR(__xludf.DUMMYFUNCTION("GOOGLEFINANCE(A11891,""name"")"),"#N/A")</f>
        <v>#N/A</v>
      </c>
      <c r="D11891" s="125"/>
    </row>
    <row r="11892">
      <c r="A11892" s="122" t="s">
        <v>37639</v>
      </c>
      <c r="B11892" s="123">
        <v>794172.0</v>
      </c>
      <c r="C11892" s="687" t="str">
        <f>IFERROR(__xludf.DUMMYFUNCTION("GOOGLEFINANCE(A11892,""name"")"),"#N/A")</f>
        <v>#N/A</v>
      </c>
      <c r="D11892" s="125"/>
    </row>
    <row r="11893">
      <c r="A11893" s="122" t="s">
        <v>37640</v>
      </c>
      <c r="B11893" s="123">
        <v>1102432.0</v>
      </c>
      <c r="C11893" s="687" t="str">
        <f>IFERROR(__xludf.DUMMYFUNCTION("GOOGLEFINANCE(A11893,""name"")"),"#N/A")</f>
        <v>#N/A</v>
      </c>
      <c r="D11893" s="125"/>
    </row>
    <row r="11894">
      <c r="A11894" s="122" t="s">
        <v>37641</v>
      </c>
      <c r="B11894" s="123">
        <v>1843091.0</v>
      </c>
      <c r="C11894" s="687" t="str">
        <f>IFERROR(__xludf.DUMMYFUNCTION("GOOGLEFINANCE(A11894,""name"")"),"#N/A")</f>
        <v>#N/A</v>
      </c>
      <c r="D11894" s="125"/>
    </row>
    <row r="11895">
      <c r="A11895" s="122" t="s">
        <v>37642</v>
      </c>
      <c r="B11895" s="123">
        <v>1843091.0</v>
      </c>
      <c r="C11895" s="687" t="str">
        <f>IFERROR(__xludf.DUMMYFUNCTION("GOOGLEFINANCE(A11895,""name"")"),"#N/A")</f>
        <v>#N/A</v>
      </c>
      <c r="D11895" s="125"/>
    </row>
    <row r="11896">
      <c r="A11896" s="122" t="s">
        <v>37643</v>
      </c>
      <c r="B11896" s="123">
        <v>1843091.0</v>
      </c>
      <c r="C11896" s="687" t="str">
        <f>IFERROR(__xludf.DUMMYFUNCTION("GOOGLEFINANCE(A11896,""name"")"),"#N/A")</f>
        <v>#N/A</v>
      </c>
      <c r="D11896" s="125"/>
    </row>
    <row r="11897">
      <c r="A11897" s="122" t="s">
        <v>37644</v>
      </c>
      <c r="B11897" s="123">
        <v>1825079.0</v>
      </c>
      <c r="C11897" s="687" t="str">
        <f>IFERROR(__xludf.DUMMYFUNCTION("GOOGLEFINANCE(A11897,""name"")"),"#N/A")</f>
        <v>#N/A</v>
      </c>
      <c r="D11897" s="125"/>
    </row>
    <row r="11898">
      <c r="A11898" s="122" t="s">
        <v>37645</v>
      </c>
      <c r="B11898" s="123">
        <v>1745317.0</v>
      </c>
      <c r="C11898" s="687" t="str">
        <f>IFERROR(__xludf.DUMMYFUNCTION("GOOGLEFINANCE(A11898,""name"")"),"#N/A")</f>
        <v>#N/A</v>
      </c>
      <c r="D11898" s="125"/>
    </row>
    <row r="11899">
      <c r="A11899" s="122" t="s">
        <v>37646</v>
      </c>
      <c r="B11899" s="123">
        <v>1745317.0</v>
      </c>
      <c r="C11899" s="687" t="str">
        <f>IFERROR(__xludf.DUMMYFUNCTION("GOOGLEFINANCE(A11899,""name"")"),"#N/A")</f>
        <v>#N/A</v>
      </c>
      <c r="D11899" s="125"/>
    </row>
    <row r="11900">
      <c r="A11900" s="122" t="s">
        <v>37647</v>
      </c>
      <c r="B11900" s="123">
        <v>1863006.0</v>
      </c>
      <c r="C11900" s="687" t="str">
        <f>IFERROR(__xludf.DUMMYFUNCTION("GOOGLEFINANCE(A11900,""name"")"),"#N/A")</f>
        <v>#N/A</v>
      </c>
      <c r="D11900" s="125"/>
    </row>
    <row r="11901">
      <c r="A11901" s="122" t="s">
        <v>37648</v>
      </c>
      <c r="B11901" s="123">
        <v>1859902.0</v>
      </c>
      <c r="C11901" s="687" t="str">
        <f>IFERROR(__xludf.DUMMYFUNCTION("GOOGLEFINANCE(A11901,""name"")"),"#N/A")</f>
        <v>#N/A</v>
      </c>
      <c r="D11901" s="125"/>
    </row>
    <row r="11902">
      <c r="A11902" s="122" t="s">
        <v>37649</v>
      </c>
      <c r="B11902" s="123">
        <v>1824293.0</v>
      </c>
      <c r="C11902" s="687" t="str">
        <f>IFERROR(__xludf.DUMMYFUNCTION("GOOGLEFINANCE(A11902,""name"")"),"#N/A")</f>
        <v>#N/A</v>
      </c>
      <c r="D11902" s="125"/>
    </row>
    <row r="11903">
      <c r="A11903" s="122" t="s">
        <v>37650</v>
      </c>
      <c r="B11903" s="123">
        <v>846671.0</v>
      </c>
      <c r="C11903" s="687" t="str">
        <f>IFERROR(__xludf.DUMMYFUNCTION("GOOGLEFINANCE(A11903,""name"")"),"Invesco High Income Trust II")</f>
        <v>Invesco High Income Trust II</v>
      </c>
      <c r="D11903" s="125"/>
    </row>
    <row r="11904">
      <c r="A11904" s="122" t="s">
        <v>37651</v>
      </c>
      <c r="B11904" s="123">
        <v>1819584.0</v>
      </c>
      <c r="C11904" s="687" t="str">
        <f>IFERROR(__xludf.DUMMYFUNCTION("GOOGLEFINANCE(A11904,""name"")"),"#N/A")</f>
        <v>#N/A</v>
      </c>
      <c r="D11904" s="125"/>
    </row>
    <row r="11905">
      <c r="A11905" s="122" t="s">
        <v>37652</v>
      </c>
      <c r="B11905" s="123">
        <v>1102942.0</v>
      </c>
      <c r="C11905" s="687" t="str">
        <f>IFERROR(__xludf.DUMMYFUNCTION("GOOGLEFINANCE(A11905,""name"")"),"#N/A")</f>
        <v>#N/A</v>
      </c>
      <c r="D11905" s="125"/>
    </row>
    <row r="11906">
      <c r="A11906" s="122" t="s">
        <v>37653</v>
      </c>
      <c r="B11906" s="123">
        <v>1875943.0</v>
      </c>
      <c r="C11906" s="687" t="str">
        <f>IFERROR(__xludf.DUMMYFUNCTION("GOOGLEFINANCE(A11906,""name"")"),"#N/A")</f>
        <v>#N/A</v>
      </c>
      <c r="D11906" s="125"/>
    </row>
    <row r="11907">
      <c r="A11907" s="122" t="s">
        <v>37654</v>
      </c>
      <c r="B11907" s="123">
        <v>1875943.0</v>
      </c>
      <c r="C11907" s="687" t="str">
        <f>IFERROR(__xludf.DUMMYFUNCTION("GOOGLEFINANCE(A11907,""name"")"),"#N/A")</f>
        <v>#N/A</v>
      </c>
      <c r="D11907" s="125"/>
    </row>
    <row r="11908">
      <c r="A11908" s="122" t="s">
        <v>37655</v>
      </c>
      <c r="B11908" s="123">
        <v>1875943.0</v>
      </c>
      <c r="C11908" s="687" t="str">
        <f>IFERROR(__xludf.DUMMYFUNCTION("GOOGLEFINANCE(A11908,""name"")"),"#N/A")</f>
        <v>#N/A</v>
      </c>
      <c r="D11908" s="125"/>
    </row>
    <row r="11909">
      <c r="A11909" s="122" t="s">
        <v>37656</v>
      </c>
      <c r="B11909" s="123">
        <v>1605057.0</v>
      </c>
      <c r="C11909" s="687" t="str">
        <f>IFERROR(__xludf.DUMMYFUNCTION("GOOGLEFINANCE(A11909,""name"")"),"#N/A")</f>
        <v>#N/A</v>
      </c>
      <c r="D11909" s="125"/>
    </row>
    <row r="11910">
      <c r="A11910" s="122" t="s">
        <v>37657</v>
      </c>
      <c r="B11910" s="123">
        <v>899689.0</v>
      </c>
      <c r="C11910" s="687" t="str">
        <f>IFERROR(__xludf.DUMMYFUNCTION("GOOGLEFINANCE(A11910,""name"")"),"#N/A")</f>
        <v>#N/A</v>
      </c>
      <c r="D11910" s="125"/>
    </row>
    <row r="11911">
      <c r="A11911" s="122" t="s">
        <v>37658</v>
      </c>
      <c r="B11911" s="123">
        <v>899689.0</v>
      </c>
      <c r="C11911" s="687" t="str">
        <f>IFERROR(__xludf.DUMMYFUNCTION("GOOGLEFINANCE(A11911,""name"")"),"#N/A")</f>
        <v>#N/A</v>
      </c>
      <c r="D11911" s="125"/>
    </row>
    <row r="11912">
      <c r="A11912" s="122" t="s">
        <v>37659</v>
      </c>
      <c r="B11912" s="123">
        <v>899689.0</v>
      </c>
      <c r="C11912" s="687" t="str">
        <f>IFERROR(__xludf.DUMMYFUNCTION("GOOGLEFINANCE(A11912,""name"")"),"#N/A")</f>
        <v>#N/A</v>
      </c>
      <c r="D11912" s="125"/>
    </row>
    <row r="11913">
      <c r="A11913" s="122" t="s">
        <v>37660</v>
      </c>
      <c r="B11913" s="123">
        <v>899689.0</v>
      </c>
      <c r="C11913" s="687" t="str">
        <f>IFERROR(__xludf.DUMMYFUNCTION("GOOGLEFINANCE(A11913,""name"")"),"#N/A")</f>
        <v>#N/A</v>
      </c>
      <c r="D11913" s="125"/>
    </row>
    <row r="11914">
      <c r="A11914" s="122" t="s">
        <v>37661</v>
      </c>
      <c r="B11914" s="123">
        <v>1705682.0</v>
      </c>
      <c r="C11914" s="687" t="str">
        <f>IFERROR(__xludf.DUMMYFUNCTION("GOOGLEFINANCE(A11914,""name"")"),"#N/A")</f>
        <v>#N/A</v>
      </c>
      <c r="D11914" s="125"/>
    </row>
    <row r="11915">
      <c r="A11915" s="122" t="s">
        <v>37662</v>
      </c>
      <c r="B11915" s="123">
        <v>1843388.0</v>
      </c>
      <c r="C11915" s="687" t="str">
        <f>IFERROR(__xludf.DUMMYFUNCTION("GOOGLEFINANCE(A11915,""name"")"),"#N/A")</f>
        <v>#N/A</v>
      </c>
      <c r="D11915" s="125"/>
    </row>
    <row r="11916">
      <c r="A11916" s="122" t="s">
        <v>37663</v>
      </c>
      <c r="B11916" s="123">
        <v>1843388.0</v>
      </c>
      <c r="C11916" s="687" t="str">
        <f>IFERROR(__xludf.DUMMYFUNCTION("GOOGLEFINANCE(A11916,""name"")"),"#N/A")</f>
        <v>#N/A</v>
      </c>
      <c r="D11916" s="125"/>
    </row>
    <row r="11917">
      <c r="A11917" s="122" t="s">
        <v>37664</v>
      </c>
      <c r="B11917" s="123">
        <v>1907909.0</v>
      </c>
      <c r="C11917" s="687" t="str">
        <f>IFERROR(__xludf.DUMMYFUNCTION("GOOGLEFINANCE(A11917,""name"")"),"#N/A")</f>
        <v>#N/A</v>
      </c>
      <c r="D11917" s="125"/>
    </row>
    <row r="11918">
      <c r="A11918" s="122" t="s">
        <v>37665</v>
      </c>
      <c r="B11918" s="123">
        <v>1535929.0</v>
      </c>
      <c r="C11918" s="687" t="str">
        <f>IFERROR(__xludf.DUMMYFUNCTION("GOOGLEFINANCE(A11918,""name"")"),"#N/A")</f>
        <v>#N/A</v>
      </c>
      <c r="D11918" s="125"/>
    </row>
    <row r="11919">
      <c r="A11919" s="122" t="s">
        <v>37666</v>
      </c>
      <c r="B11919" s="123">
        <v>1840792.0</v>
      </c>
      <c r="C11919" s="687" t="str">
        <f>IFERROR(__xludf.DUMMYFUNCTION("GOOGLEFINANCE(A11919,""name"")"),"#N/A")</f>
        <v>#N/A</v>
      </c>
      <c r="D11919" s="125"/>
    </row>
    <row r="11920">
      <c r="A11920" s="122" t="s">
        <v>37667</v>
      </c>
      <c r="B11920" s="123">
        <v>1840792.0</v>
      </c>
      <c r="C11920" s="687" t="str">
        <f>IFERROR(__xludf.DUMMYFUNCTION("GOOGLEFINANCE(A11920,""name"")"),"#N/A")</f>
        <v>#N/A</v>
      </c>
      <c r="D11920" s="125"/>
    </row>
    <row r="11921">
      <c r="A11921" s="122" t="s">
        <v>37668</v>
      </c>
      <c r="B11921" s="123">
        <v>1597313.0</v>
      </c>
      <c r="C11921" s="687" t="str">
        <f>IFERROR(__xludf.DUMMYFUNCTION("GOOGLEFINANCE(A11921,""name"")"),"#N/A")</f>
        <v>#N/A</v>
      </c>
      <c r="D11921" s="125"/>
    </row>
    <row r="11922">
      <c r="A11922" s="122" t="s">
        <v>37669</v>
      </c>
      <c r="B11922" s="123">
        <v>1682745.0</v>
      </c>
      <c r="C11922" s="687" t="str">
        <f>IFERROR(__xludf.DUMMYFUNCTION("GOOGLEFINANCE(A11922,""name"")"),"#N/A")</f>
        <v>#N/A</v>
      </c>
      <c r="D11922" s="125"/>
    </row>
    <row r="11923">
      <c r="A11923" s="122" t="s">
        <v>37670</v>
      </c>
      <c r="B11923" s="123">
        <v>1422669.0</v>
      </c>
      <c r="C11923" s="687" t="str">
        <f>IFERROR(__xludf.DUMMYFUNCTION("GOOGLEFINANCE(A11923,""name"")"),"#N/A")</f>
        <v>#N/A</v>
      </c>
      <c r="D11923" s="125"/>
    </row>
    <row r="11924">
      <c r="A11924" s="122" t="s">
        <v>37671</v>
      </c>
      <c r="B11924" s="123">
        <v>853180.0</v>
      </c>
      <c r="C11924" s="687" t="str">
        <f>IFERROR(__xludf.DUMMYFUNCTION("GOOGLEFINANCE(A11924,""name"")"),"#N/A")</f>
        <v>#N/A</v>
      </c>
      <c r="D11924" s="125"/>
    </row>
    <row r="11925">
      <c r="A11925" s="122" t="s">
        <v>37672</v>
      </c>
      <c r="B11925" s="123">
        <v>853180.0</v>
      </c>
      <c r="C11925" s="687" t="str">
        <f>IFERROR(__xludf.DUMMYFUNCTION("GOOGLEFINANCE(A11925,""name"")"),"#N/A")</f>
        <v>#N/A</v>
      </c>
      <c r="D11925" s="125"/>
    </row>
    <row r="11926">
      <c r="A11926" s="122" t="s">
        <v>37673</v>
      </c>
      <c r="B11926" s="123">
        <v>853180.0</v>
      </c>
      <c r="C11926" s="687" t="str">
        <f>IFERROR(__xludf.DUMMYFUNCTION("GOOGLEFINANCE(A11926,""name"")"),"#N/A")</f>
        <v>#N/A</v>
      </c>
      <c r="D11926" s="125"/>
    </row>
    <row r="11927">
      <c r="A11927" s="122" t="s">
        <v>37674</v>
      </c>
      <c r="B11927" s="123">
        <v>1897342.0</v>
      </c>
      <c r="C11927" s="687" t="str">
        <f>IFERROR(__xludf.DUMMYFUNCTION("GOOGLEFINANCE(A11927,""name"")"),"#N/A")</f>
        <v>#N/A</v>
      </c>
      <c r="D11927" s="125"/>
    </row>
    <row r="11928">
      <c r="A11928" s="122" t="s">
        <v>37675</v>
      </c>
      <c r="B11928" s="123">
        <v>1075857.0</v>
      </c>
      <c r="C11928" s="687" t="str">
        <f>IFERROR(__xludf.DUMMYFUNCTION("GOOGLEFINANCE(A11928,""name"")"),"#N/A")</f>
        <v>#N/A</v>
      </c>
      <c r="D11928" s="125"/>
    </row>
    <row r="11929">
      <c r="A11929" s="122" t="s">
        <v>37676</v>
      </c>
      <c r="B11929" s="123">
        <v>1822145.0</v>
      </c>
      <c r="C11929" s="687" t="str">
        <f>IFERROR(__xludf.DUMMYFUNCTION("GOOGLEFINANCE(A11929,""name"")"),"#N/A")</f>
        <v>#N/A</v>
      </c>
      <c r="D11929" s="125"/>
    </row>
    <row r="11930">
      <c r="A11930" s="122" t="s">
        <v>37677</v>
      </c>
      <c r="B11930" s="123">
        <v>1822145.0</v>
      </c>
      <c r="C11930" s="687" t="str">
        <f>IFERROR(__xludf.DUMMYFUNCTION("GOOGLEFINANCE(A11930,""name"")"),"#N/A")</f>
        <v>#N/A</v>
      </c>
      <c r="D11930" s="125"/>
    </row>
    <row r="11931">
      <c r="A11931" s="122" t="s">
        <v>37678</v>
      </c>
      <c r="B11931" s="123">
        <v>1822145.0</v>
      </c>
      <c r="C11931" s="687" t="str">
        <f>IFERROR(__xludf.DUMMYFUNCTION("GOOGLEFINANCE(A11931,""name"")"),"#N/A")</f>
        <v>#N/A</v>
      </c>
      <c r="D11931" s="125"/>
    </row>
    <row r="11932">
      <c r="A11932" s="122" t="s">
        <v>37679</v>
      </c>
      <c r="B11932" s="123">
        <v>1822145.0</v>
      </c>
      <c r="C11932" s="687" t="str">
        <f>IFERROR(__xludf.DUMMYFUNCTION("GOOGLEFINANCE(A11932,""name"")"),"#N/A")</f>
        <v>#N/A</v>
      </c>
      <c r="D11932" s="125"/>
    </row>
    <row r="11933">
      <c r="A11933" s="122" t="s">
        <v>37680</v>
      </c>
      <c r="B11933" s="123">
        <v>1823884.0</v>
      </c>
      <c r="C11933" s="687" t="str">
        <f>IFERROR(__xludf.DUMMYFUNCTION("GOOGLEFINANCE(A11933,""name"")"),"#N/A")</f>
        <v>#N/A</v>
      </c>
      <c r="D11933" s="125"/>
    </row>
    <row r="11934">
      <c r="A11934" s="122" t="s">
        <v>37681</v>
      </c>
      <c r="B11934" s="123">
        <v>1823884.0</v>
      </c>
      <c r="C11934" s="687" t="str">
        <f>IFERROR(__xludf.DUMMYFUNCTION("GOOGLEFINANCE(A11934,""name"")"),"#N/A")</f>
        <v>#N/A</v>
      </c>
      <c r="D11934" s="125"/>
    </row>
    <row r="11935">
      <c r="A11935" s="122" t="s">
        <v>37682</v>
      </c>
      <c r="B11935" s="123">
        <v>1823884.0</v>
      </c>
      <c r="C11935" s="687" t="str">
        <f>IFERROR(__xludf.DUMMYFUNCTION("GOOGLEFINANCE(A11935,""name"")"),"#N/A")</f>
        <v>#N/A</v>
      </c>
      <c r="D11935" s="125"/>
    </row>
    <row r="11936">
      <c r="A11936" s="122" t="s">
        <v>37683</v>
      </c>
      <c r="B11936" s="123">
        <v>883265.0</v>
      </c>
      <c r="C11936" s="687" t="str">
        <f>IFERROR(__xludf.DUMMYFUNCTION("GOOGLEFINANCE(A11936,""name"")"),"Invesco Trst fr Invstmt Grd Nw Yrk Mncpl")</f>
        <v>Invesco Trst fr Invstmt Grd Nw Yrk Mncpl</v>
      </c>
      <c r="D11936" s="125"/>
    </row>
    <row r="11937">
      <c r="A11937" s="122" t="s">
        <v>37684</v>
      </c>
      <c r="B11937" s="123">
        <v>1855011.0</v>
      </c>
      <c r="C11937" s="687" t="str">
        <f>IFERROR(__xludf.DUMMYFUNCTION("GOOGLEFINANCE(A11937,""name"")"),"#N/A")</f>
        <v>#N/A</v>
      </c>
      <c r="D11937" s="125"/>
    </row>
    <row r="11938">
      <c r="A11938" s="122" t="s">
        <v>37685</v>
      </c>
      <c r="B11938" s="123">
        <v>1713952.0</v>
      </c>
      <c r="C11938" s="687" t="str">
        <f>IFERROR(__xludf.DUMMYFUNCTION("GOOGLEFINANCE(A11938,""name"")"),"#N/A")</f>
        <v>#N/A</v>
      </c>
      <c r="D11938" s="125"/>
    </row>
    <row r="11939">
      <c r="A11939" s="122" t="s">
        <v>37686</v>
      </c>
      <c r="B11939" s="123">
        <v>1681348.0</v>
      </c>
      <c r="C11939" s="687" t="str">
        <f>IFERROR(__xludf.DUMMYFUNCTION("GOOGLEFINANCE(A11939,""name"")"),"VivoPower International PLC")</f>
        <v>VivoPower International PLC</v>
      </c>
      <c r="D11939" s="125"/>
    </row>
    <row r="11940">
      <c r="A11940" s="122" t="s">
        <v>37687</v>
      </c>
      <c r="B11940" s="123">
        <v>830122.0</v>
      </c>
      <c r="C11940" s="687" t="str">
        <f>IFERROR(__xludf.DUMMYFUNCTION("GOOGLEFINANCE(A11940,""name"")"),"#N/A")</f>
        <v>#N/A</v>
      </c>
      <c r="D11940" s="125"/>
    </row>
    <row r="11941">
      <c r="A11941" s="122" t="s">
        <v>37688</v>
      </c>
      <c r="B11941" s="123">
        <v>1689258.0</v>
      </c>
      <c r="C11941" s="687" t="str">
        <f>IFERROR(__xludf.DUMMYFUNCTION("GOOGLEFINANCE(A11941,""name"")"),"#N/A")</f>
        <v>#N/A</v>
      </c>
      <c r="D11941" s="125"/>
    </row>
    <row r="11942">
      <c r="A11942" s="122" t="s">
        <v>37689</v>
      </c>
      <c r="B11942" s="123">
        <v>312070.0</v>
      </c>
      <c r="C11942" s="687" t="str">
        <f>IFERROR(__xludf.DUMMYFUNCTION("GOOGLEFINANCE(A11942,""name"")"),"Barclays iPath Series B S P 500 VIX Short Term Futures ETN Series B")</f>
        <v>Barclays iPath Series B S P 500 VIX Short Term Futures ETN Series B</v>
      </c>
      <c r="D11942" s="125"/>
    </row>
    <row r="11943">
      <c r="A11943" s="122" t="s">
        <v>37690</v>
      </c>
      <c r="B11943" s="123">
        <v>1822877.0</v>
      </c>
      <c r="C11943" s="687" t="str">
        <f>IFERROR(__xludf.DUMMYFUNCTION("GOOGLEFINANCE(A11943,""name"")"),"#N/A")</f>
        <v>#N/A</v>
      </c>
      <c r="D11943" s="125"/>
    </row>
    <row r="11944">
      <c r="A11944" s="122" t="s">
        <v>37691</v>
      </c>
      <c r="B11944" s="123">
        <v>1822877.0</v>
      </c>
      <c r="C11944" s="687" t="str">
        <f>IFERROR(__xludf.DUMMYFUNCTION("GOOGLEFINANCE(A11944,""name"")"),"#N/A")</f>
        <v>#N/A</v>
      </c>
      <c r="D11944" s="125"/>
    </row>
    <row r="11945">
      <c r="A11945" s="122" t="s">
        <v>37692</v>
      </c>
      <c r="B11945" s="123">
        <v>1822877.0</v>
      </c>
      <c r="C11945" s="687" t="str">
        <f>IFERROR(__xludf.DUMMYFUNCTION("GOOGLEFINANCE(A11945,""name"")"),"#N/A")</f>
        <v>#N/A</v>
      </c>
      <c r="D11945" s="125"/>
    </row>
    <row r="11946">
      <c r="A11946" s="122" t="s">
        <v>37693</v>
      </c>
      <c r="B11946" s="123">
        <v>1349929.0</v>
      </c>
      <c r="C11946" s="687" t="str">
        <f>IFERROR(__xludf.DUMMYFUNCTION("GOOGLEFINANCE(A11946,""name"")"),"#N/A")</f>
        <v>#N/A</v>
      </c>
      <c r="D11946" s="125"/>
    </row>
    <row r="11947">
      <c r="A11947" s="122" t="s">
        <v>37694</v>
      </c>
      <c r="B11947" s="123">
        <v>1212545.0</v>
      </c>
      <c r="C11947" s="687" t="str">
        <f>IFERROR(__xludf.DUMMYFUNCTION("GOOGLEFINANCE(A11947,""name"")"),"#N/A")</f>
        <v>#N/A</v>
      </c>
      <c r="D11947" s="125"/>
    </row>
    <row r="11948">
      <c r="A11948" s="122" t="s">
        <v>37695</v>
      </c>
      <c r="B11948" s="123">
        <v>1820209.0</v>
      </c>
      <c r="C11948" s="687" t="str">
        <f>IFERROR(__xludf.DUMMYFUNCTION("GOOGLEFINANCE(A11948,""name"")"),"#N/A")</f>
        <v>#N/A</v>
      </c>
      <c r="D11948" s="125"/>
    </row>
    <row r="11949">
      <c r="A11949" s="122" t="s">
        <v>37696</v>
      </c>
      <c r="B11949" s="123">
        <v>1849580.0</v>
      </c>
      <c r="C11949" s="687" t="str">
        <f>IFERROR(__xludf.DUMMYFUNCTION("GOOGLEFINANCE(A11949,""name"")"),"#N/A")</f>
        <v>#N/A</v>
      </c>
      <c r="D11949" s="125"/>
    </row>
    <row r="11950">
      <c r="A11950" s="122" t="s">
        <v>37697</v>
      </c>
      <c r="B11950" s="123">
        <v>1782627.0</v>
      </c>
      <c r="C11950" s="687" t="str">
        <f>IFERROR(__xludf.DUMMYFUNCTION("GOOGLEFINANCE(A11950,""name"")"),"#N/A")</f>
        <v>#N/A</v>
      </c>
      <c r="D11950" s="125"/>
    </row>
    <row r="11951">
      <c r="A11951" s="122" t="s">
        <v>37698</v>
      </c>
      <c r="B11951" s="123">
        <v>801337.0</v>
      </c>
      <c r="C11951" s="687" t="str">
        <f>IFERROR(__xludf.DUMMYFUNCTION("GOOGLEFINANCE(A11951,""name"")"),"#N/A")</f>
        <v>#N/A</v>
      </c>
      <c r="D11951" s="125"/>
    </row>
    <row r="11952">
      <c r="A11952" s="122" t="s">
        <v>37699</v>
      </c>
      <c r="B11952" s="123">
        <v>801337.0</v>
      </c>
      <c r="C11952" s="687" t="str">
        <f>IFERROR(__xludf.DUMMYFUNCTION("GOOGLEFINANCE(A11952,""name"")"),"#N/A")</f>
        <v>#N/A</v>
      </c>
      <c r="D11952" s="125"/>
    </row>
    <row r="11953">
      <c r="A11953" s="122" t="s">
        <v>37700</v>
      </c>
      <c r="B11953" s="123">
        <v>1866501.0</v>
      </c>
      <c r="C11953" s="687" t="str">
        <f>IFERROR(__xludf.DUMMYFUNCTION("GOOGLEFINANCE(A11953,""name"")"),"#N/A")</f>
        <v>#N/A</v>
      </c>
      <c r="D11953" s="125"/>
    </row>
    <row r="11954">
      <c r="A11954" s="122" t="s">
        <v>37701</v>
      </c>
      <c r="B11954" s="123">
        <v>1800044.0</v>
      </c>
      <c r="C11954" s="687" t="str">
        <f>IFERROR(__xludf.DUMMYFUNCTION("GOOGLEFINANCE(A11954,""name"")"),"WarCap Unconstrained Equity ETF")</f>
        <v>WarCap Unconstrained Equity ETF</v>
      </c>
      <c r="D11954" s="125"/>
    </row>
    <row r="11955">
      <c r="A11955" s="122" t="s">
        <v>37702</v>
      </c>
      <c r="B11955" s="123">
        <v>929008.0</v>
      </c>
      <c r="C11955" s="687" t="str">
        <f>IFERROR(__xludf.DUMMYFUNCTION("GOOGLEFINANCE(A11955,""name"")"),"#N/A")</f>
        <v>#N/A</v>
      </c>
      <c r="D11955" s="125"/>
    </row>
    <row r="11956">
      <c r="A11956" s="122" t="s">
        <v>37703</v>
      </c>
      <c r="B11956" s="123">
        <v>1813756.0</v>
      </c>
      <c r="C11956" s="687" t="str">
        <f>IFERROR(__xludf.DUMMYFUNCTION("GOOGLEFINANCE(A11956,""name"")"),"#N/A")</f>
        <v>#N/A</v>
      </c>
      <c r="D11956" s="125"/>
    </row>
    <row r="11957">
      <c r="A11957" s="122" t="s">
        <v>37704</v>
      </c>
      <c r="B11957" s="123">
        <v>1857951.0</v>
      </c>
      <c r="C11957" s="687" t="str">
        <f>IFERROR(__xludf.DUMMYFUNCTION("GOOGLEFINANCE(A11957,""name"")"),"#N/A")</f>
        <v>#N/A</v>
      </c>
      <c r="D11957" s="125"/>
    </row>
    <row r="11958">
      <c r="A11958" s="122" t="s">
        <v>37705</v>
      </c>
      <c r="B11958" s="123">
        <v>1586009.0</v>
      </c>
      <c r="C11958" s="687" t="str">
        <f>IFERROR(__xludf.DUMMYFUNCTION("GOOGLEFINANCE(A11958,""name"")"),"#N/A")</f>
        <v>#N/A</v>
      </c>
      <c r="D11958" s="125"/>
    </row>
    <row r="11959">
      <c r="A11959" s="122" t="s">
        <v>37706</v>
      </c>
      <c r="B11959" s="123">
        <v>1717976.0</v>
      </c>
      <c r="C11959" s="687" t="str">
        <f>IFERROR(__xludf.DUMMYFUNCTION("GOOGLEFINANCE(A11959,""name"")"),"#N/A")</f>
        <v>#N/A</v>
      </c>
      <c r="D11959" s="125"/>
    </row>
    <row r="11960">
      <c r="A11960" s="122" t="s">
        <v>37707</v>
      </c>
      <c r="B11960" s="123">
        <v>1586009.0</v>
      </c>
      <c r="C11960" s="687" t="str">
        <f>IFERROR(__xludf.DUMMYFUNCTION("GOOGLEFINANCE(A11960,""name"")"),"#N/A")</f>
        <v>#N/A</v>
      </c>
      <c r="D11960" s="125"/>
    </row>
    <row r="11961">
      <c r="A11961" s="122" t="s">
        <v>37708</v>
      </c>
      <c r="B11961" s="123">
        <v>1864448.0</v>
      </c>
      <c r="C11961" s="687" t="str">
        <f>IFERROR(__xludf.DUMMYFUNCTION("GOOGLEFINANCE(A11961,""name"")"),"#N/A")</f>
        <v>#N/A</v>
      </c>
      <c r="D11961" s="125"/>
    </row>
    <row r="11962">
      <c r="A11962" s="122" t="s">
        <v>37709</v>
      </c>
      <c r="B11962" s="123">
        <v>1864448.0</v>
      </c>
      <c r="C11962" s="687" t="str">
        <f>IFERROR(__xludf.DUMMYFUNCTION("GOOGLEFINANCE(A11962,""name"")"),"#N/A")</f>
        <v>#N/A</v>
      </c>
      <c r="D11962" s="125"/>
    </row>
    <row r="11963">
      <c r="A11963" s="122" t="s">
        <v>37710</v>
      </c>
      <c r="B11963" s="123">
        <v>1877557.0</v>
      </c>
      <c r="C11963" s="687" t="str">
        <f>IFERROR(__xludf.DUMMYFUNCTION("GOOGLEFINANCE(A11963,""name"")"),"#N/A")</f>
        <v>#N/A</v>
      </c>
      <c r="D11963" s="125"/>
    </row>
    <row r="11964">
      <c r="A11964" s="122" t="s">
        <v>37711</v>
      </c>
      <c r="B11964" s="123">
        <v>1586009.0</v>
      </c>
      <c r="C11964" s="687" t="str">
        <f>IFERROR(__xludf.DUMMYFUNCTION("GOOGLEFINANCE(A11964,""name"")"),"#N/A")</f>
        <v>#N/A</v>
      </c>
      <c r="D11964" s="125"/>
    </row>
    <row r="11965">
      <c r="A11965" s="122" t="s">
        <v>37712</v>
      </c>
      <c r="B11965" s="123">
        <v>880631.0</v>
      </c>
      <c r="C11965" s="687" t="str">
        <f>IFERROR(__xludf.DUMMYFUNCTION("GOOGLEFINANCE(A11965,""name"")"),"#N/A")</f>
        <v>#N/A</v>
      </c>
      <c r="D11965" s="125"/>
    </row>
    <row r="11966">
      <c r="A11966" s="122" t="s">
        <v>37713</v>
      </c>
      <c r="B11966" s="123">
        <v>72971.0</v>
      </c>
      <c r="C11966" s="687" t="str">
        <f>IFERROR(__xludf.DUMMYFUNCTION("GOOGLEFINANCE(A11966,""name"")"),"#N/A")</f>
        <v>#N/A</v>
      </c>
      <c r="D11966" s="125"/>
    </row>
    <row r="11967">
      <c r="A11967" s="122" t="s">
        <v>37714</v>
      </c>
      <c r="B11967" s="123">
        <v>72971.0</v>
      </c>
      <c r="C11967" s="687" t="str">
        <f>IFERROR(__xludf.DUMMYFUNCTION("GOOGLEFINANCE(A11967,""name"")"),"#N/A")</f>
        <v>#N/A</v>
      </c>
      <c r="D11967" s="125"/>
    </row>
    <row r="11968">
      <c r="A11968" s="122" t="s">
        <v>37715</v>
      </c>
      <c r="B11968" s="123">
        <v>72971.0</v>
      </c>
      <c r="C11968" s="687" t="str">
        <f>IFERROR(__xludf.DUMMYFUNCTION("GOOGLEFINANCE(A11968,""name"")"),"#N/A")</f>
        <v>#N/A</v>
      </c>
      <c r="D11968" s="125"/>
    </row>
    <row r="11969">
      <c r="A11969" s="122" t="s">
        <v>37716</v>
      </c>
      <c r="B11969" s="123">
        <v>72971.0</v>
      </c>
      <c r="C11969" s="687" t="str">
        <f>IFERROR(__xludf.DUMMYFUNCTION("GOOGLEFINANCE(A11969,""name"")"),"#N/A")</f>
        <v>#N/A</v>
      </c>
      <c r="D11969" s="125"/>
    </row>
    <row r="11970">
      <c r="A11970" s="122" t="s">
        <v>37717</v>
      </c>
      <c r="B11970" s="123">
        <v>72971.0</v>
      </c>
      <c r="C11970" s="687" t="str">
        <f>IFERROR(__xludf.DUMMYFUNCTION("GOOGLEFINANCE(A11970,""name"")"),"#N/A")</f>
        <v>#N/A</v>
      </c>
      <c r="D11970" s="125"/>
    </row>
    <row r="11971">
      <c r="A11971" s="122" t="s">
        <v>37718</v>
      </c>
      <c r="B11971" s="123">
        <v>72971.0</v>
      </c>
      <c r="C11971" s="687" t="str">
        <f>IFERROR(__xludf.DUMMYFUNCTION("GOOGLEFINANCE(A11971,""name"")"),"#N/A")</f>
        <v>#N/A</v>
      </c>
      <c r="D11971" s="125"/>
    </row>
    <row r="11972">
      <c r="A11972" s="122" t="s">
        <v>37719</v>
      </c>
      <c r="B11972" s="123">
        <v>72971.0</v>
      </c>
      <c r="C11972" s="687" t="str">
        <f>IFERROR(__xludf.DUMMYFUNCTION("GOOGLEFINANCE(A11972,""name"")"),"#N/A")</f>
        <v>#N/A</v>
      </c>
      <c r="D11972" s="125"/>
    </row>
    <row r="11973">
      <c r="A11973" s="122" t="s">
        <v>37720</v>
      </c>
      <c r="B11973" s="123">
        <v>72971.0</v>
      </c>
      <c r="C11973" s="687" t="str">
        <f>IFERROR(__xludf.DUMMYFUNCTION("GOOGLEFINANCE(A11973,""name"")"),"#N/A")</f>
        <v>#N/A</v>
      </c>
      <c r="D11973" s="125"/>
    </row>
    <row r="11974">
      <c r="A11974" s="122" t="s">
        <v>37721</v>
      </c>
      <c r="B11974" s="123">
        <v>1603923.0</v>
      </c>
      <c r="C11974" s="687" t="str">
        <f>IFERROR(__xludf.DUMMYFUNCTION("GOOGLEFINANCE(A11974,""name"")"),"#N/A")</f>
        <v>#N/A</v>
      </c>
      <c r="D11974" s="125"/>
    </row>
    <row r="11975">
      <c r="A11975" s="122" t="s">
        <v>37722</v>
      </c>
      <c r="B11975" s="123">
        <v>1030997.0</v>
      </c>
      <c r="C11975" s="687" t="str">
        <f>IFERROR(__xludf.DUMMYFUNCTION("GOOGLEFINANCE(A11975,""name"")"),"G Willi Food International Ltd")</f>
        <v>G Willi Food International Ltd</v>
      </c>
      <c r="D11975" s="125"/>
    </row>
    <row r="11976">
      <c r="A11976" s="122" t="s">
        <v>37723</v>
      </c>
      <c r="B11976" s="123">
        <v>1708410.0</v>
      </c>
      <c r="C11976" s="687" t="str">
        <f>IFERROR(__xludf.DUMMYFUNCTION("GOOGLEFINANCE(A11976,""name"")"),"#N/A")</f>
        <v>#N/A</v>
      </c>
      <c r="D11976" s="125"/>
    </row>
    <row r="11977">
      <c r="A11977" s="122" t="s">
        <v>37724</v>
      </c>
      <c r="B11977" s="123">
        <v>1756640.0</v>
      </c>
      <c r="C11977" s="687" t="str">
        <f>IFERROR(__xludf.DUMMYFUNCTION("GOOGLEFINANCE(A11977,""name"")"),"#N/A")</f>
        <v>#N/A</v>
      </c>
      <c r="D11977" s="125"/>
    </row>
    <row r="11978">
      <c r="A11978" s="122" t="s">
        <v>37725</v>
      </c>
      <c r="B11978" s="123">
        <v>1096275.0</v>
      </c>
      <c r="C11978" s="687" t="str">
        <f>IFERROR(__xludf.DUMMYFUNCTION("GOOGLEFINANCE(A11978,""name"")"),"#N/A")</f>
        <v>#N/A</v>
      </c>
      <c r="D11978" s="125"/>
    </row>
    <row r="11979">
      <c r="A11979" s="122" t="s">
        <v>37726</v>
      </c>
      <c r="B11979" s="123">
        <v>1136294.0</v>
      </c>
      <c r="C11979" s="687" t="str">
        <f>IFERROR(__xludf.DUMMYFUNCTION("GOOGLEFINANCE(A11979,""name"")"),"#N/A")</f>
        <v>#N/A</v>
      </c>
      <c r="D11979" s="125"/>
    </row>
    <row r="11980">
      <c r="A11980" s="122" t="s">
        <v>37727</v>
      </c>
      <c r="B11980" s="123">
        <v>1828376.0</v>
      </c>
      <c r="C11980" s="687" t="str">
        <f>IFERROR(__xludf.DUMMYFUNCTION("GOOGLEFINANCE(A11980,""name"")"),"#N/A")</f>
        <v>#N/A</v>
      </c>
      <c r="D11980" s="125"/>
    </row>
    <row r="11981">
      <c r="A11981" s="122" t="s">
        <v>37728</v>
      </c>
      <c r="B11981" s="123">
        <v>1843714.0</v>
      </c>
      <c r="C11981" s="687" t="str">
        <f>IFERROR(__xludf.DUMMYFUNCTION("GOOGLEFINANCE(A11981,""name"")"),"#N/A")</f>
        <v>#N/A</v>
      </c>
      <c r="D11981" s="125"/>
    </row>
    <row r="11982">
      <c r="A11982" s="122" t="s">
        <v>37729</v>
      </c>
      <c r="B11982" s="123">
        <v>1843714.0</v>
      </c>
      <c r="C11982" s="687" t="str">
        <f>IFERROR(__xludf.DUMMYFUNCTION("GOOGLEFINANCE(A11982,""name"")"),"#N/A")</f>
        <v>#N/A</v>
      </c>
      <c r="D11982" s="125"/>
    </row>
    <row r="11983">
      <c r="A11983" s="122" t="s">
        <v>37730</v>
      </c>
      <c r="B11983" s="123">
        <v>1862681.0</v>
      </c>
      <c r="C11983" s="687" t="str">
        <f>IFERROR(__xludf.DUMMYFUNCTION("GOOGLEFINANCE(A11983,""name"")"),"#N/A")</f>
        <v>#N/A</v>
      </c>
      <c r="D11983" s="125"/>
    </row>
    <row r="11984">
      <c r="A11984" s="122" t="s">
        <v>37731</v>
      </c>
      <c r="B11984" s="123">
        <v>1424404.0</v>
      </c>
      <c r="C11984" s="687" t="str">
        <f>IFERROR(__xludf.DUMMYFUNCTION("GOOGLEFINANCE(A11984,""name"")"),"#N/A")</f>
        <v>#N/A</v>
      </c>
      <c r="D11984" s="125"/>
    </row>
    <row r="11985">
      <c r="A11985" s="122" t="s">
        <v>37732</v>
      </c>
      <c r="B11985" s="123">
        <v>1927596.0</v>
      </c>
      <c r="C11985" s="687" t="str">
        <f>IFERROR(__xludf.DUMMYFUNCTION("GOOGLEFINANCE(A11985,""name"")"),"#N/A")</f>
        <v>#N/A</v>
      </c>
      <c r="D11985" s="125"/>
    </row>
    <row r="11986">
      <c r="A11986" s="122" t="s">
        <v>37733</v>
      </c>
      <c r="B11986" s="123">
        <v>1836075.0</v>
      </c>
      <c r="C11986" s="687" t="str">
        <f>IFERROR(__xludf.DUMMYFUNCTION("GOOGLEFINANCE(A11986,""name"")"),"#N/A")</f>
        <v>#N/A</v>
      </c>
      <c r="D11986" s="125"/>
    </row>
    <row r="11987">
      <c r="A11987" s="122" t="s">
        <v>37734</v>
      </c>
      <c r="B11987" s="123">
        <v>1836075.0</v>
      </c>
      <c r="C11987" s="687" t="str">
        <f>IFERROR(__xludf.DUMMYFUNCTION("GOOGLEFINANCE(A11987,""name"")"),"#N/A")</f>
        <v>#N/A</v>
      </c>
      <c r="D11987" s="125"/>
    </row>
    <row r="11988">
      <c r="A11988" s="122" t="s">
        <v>37735</v>
      </c>
      <c r="B11988" s="123">
        <v>1836075.0</v>
      </c>
      <c r="C11988" s="687" t="str">
        <f>IFERROR(__xludf.DUMMYFUNCTION("GOOGLEFINANCE(A11988,""name"")"),"#N/A")</f>
        <v>#N/A</v>
      </c>
      <c r="D11988" s="125"/>
    </row>
    <row r="11989">
      <c r="A11989" s="122" t="s">
        <v>37736</v>
      </c>
      <c r="B11989" s="123">
        <v>1836074.0</v>
      </c>
      <c r="C11989" s="687" t="str">
        <f>IFERROR(__xludf.DUMMYFUNCTION("GOOGLEFINANCE(A11989,""name"")"),"#N/A")</f>
        <v>#N/A</v>
      </c>
      <c r="D11989" s="125"/>
    </row>
    <row r="11990">
      <c r="A11990" s="122" t="s">
        <v>37737</v>
      </c>
      <c r="B11990" s="123">
        <v>1836074.0</v>
      </c>
      <c r="C11990" s="687" t="str">
        <f>IFERROR(__xludf.DUMMYFUNCTION("GOOGLEFINANCE(A11990,""name"")"),"#N/A")</f>
        <v>#N/A</v>
      </c>
      <c r="D11990" s="125"/>
    </row>
    <row r="11991">
      <c r="A11991" s="122" t="s">
        <v>37738</v>
      </c>
      <c r="B11991" s="123">
        <v>1836074.0</v>
      </c>
      <c r="C11991" s="687" t="str">
        <f>IFERROR(__xludf.DUMMYFUNCTION("GOOGLEFINANCE(A11991,""name"")"),"#N/A")</f>
        <v>#N/A</v>
      </c>
      <c r="D11991" s="125"/>
    </row>
    <row r="11992">
      <c r="A11992" s="122" t="s">
        <v>37739</v>
      </c>
      <c r="B11992" s="123">
        <v>1851174.0</v>
      </c>
      <c r="C11992" s="687" t="str">
        <f>IFERROR(__xludf.DUMMYFUNCTION("GOOGLEFINANCE(A11992,""name"")"),"#N/A")</f>
        <v>#N/A</v>
      </c>
      <c r="D11992" s="125"/>
    </row>
    <row r="11993">
      <c r="A11993" s="122" t="s">
        <v>37740</v>
      </c>
      <c r="B11993" s="123">
        <v>1851174.0</v>
      </c>
      <c r="C11993" s="687" t="str">
        <f>IFERROR(__xludf.DUMMYFUNCTION("GOOGLEFINANCE(A11993,""name"")"),"#N/A")</f>
        <v>#N/A</v>
      </c>
      <c r="D11993" s="125"/>
    </row>
    <row r="11994">
      <c r="A11994" s="122" t="s">
        <v>37741</v>
      </c>
      <c r="B11994" s="123">
        <v>1851174.0</v>
      </c>
      <c r="C11994" s="687" t="str">
        <f>IFERROR(__xludf.DUMMYFUNCTION("GOOGLEFINANCE(A11994,""name"")"),"#N/A")</f>
        <v>#N/A</v>
      </c>
      <c r="D11994" s="125"/>
    </row>
    <row r="11995">
      <c r="A11995" s="122" t="s">
        <v>37742</v>
      </c>
      <c r="B11995" s="123">
        <v>1855168.0</v>
      </c>
      <c r="C11995" s="687" t="str">
        <f>IFERROR(__xludf.DUMMYFUNCTION("GOOGLEFINANCE(A11995,""name"")"),"#N/A")</f>
        <v>#N/A</v>
      </c>
      <c r="D11995" s="125"/>
    </row>
    <row r="11996">
      <c r="A11996" s="122" t="s">
        <v>37743</v>
      </c>
      <c r="B11996" s="123">
        <v>11544.0</v>
      </c>
      <c r="C11996" s="687" t="str">
        <f>IFERROR(__xludf.DUMMYFUNCTION("GOOGLEFINANCE(A11996,""name"")"),"#N/A")</f>
        <v>#N/A</v>
      </c>
      <c r="D11996" s="125"/>
    </row>
    <row r="11997">
      <c r="A11997" s="122" t="s">
        <v>37744</v>
      </c>
      <c r="B11997" s="123">
        <v>11544.0</v>
      </c>
      <c r="C11997" s="687" t="str">
        <f>IFERROR(__xludf.DUMMYFUNCTION("GOOGLEFINANCE(A11997,""name"")"),"#N/A")</f>
        <v>#N/A</v>
      </c>
      <c r="D11997" s="125"/>
    </row>
    <row r="11998">
      <c r="A11998" s="122" t="s">
        <v>37745</v>
      </c>
      <c r="B11998" s="123">
        <v>11544.0</v>
      </c>
      <c r="C11998" s="687" t="str">
        <f>IFERROR(__xludf.DUMMYFUNCTION("GOOGLEFINANCE(A11998,""name"")"),"#N/A")</f>
        <v>#N/A</v>
      </c>
      <c r="D11998" s="125"/>
    </row>
    <row r="11999">
      <c r="A11999" s="122" t="s">
        <v>37746</v>
      </c>
      <c r="B11999" s="123">
        <v>11544.0</v>
      </c>
      <c r="C11999" s="687" t="str">
        <f>IFERROR(__xludf.DUMMYFUNCTION("GOOGLEFINANCE(A11999,""name"")"),"#N/A")</f>
        <v>#N/A</v>
      </c>
      <c r="D11999" s="125"/>
    </row>
    <row r="12000">
      <c r="A12000" s="122" t="s">
        <v>37747</v>
      </c>
      <c r="B12000" s="123">
        <v>104894.0</v>
      </c>
      <c r="C12000" s="687" t="str">
        <f>IFERROR(__xludf.DUMMYFUNCTION("GOOGLEFINANCE(A12000,""name"")"),"#N/A")</f>
        <v>#N/A</v>
      </c>
      <c r="D12000" s="125"/>
    </row>
    <row r="12001">
      <c r="A12001" s="122" t="s">
        <v>37748</v>
      </c>
      <c r="B12001" s="123">
        <v>1609471.0</v>
      </c>
      <c r="C12001" s="687" t="str">
        <f>IFERROR(__xludf.DUMMYFUNCTION("GOOGLEFINANCE(A12001,""name"")"),"#N/A")</f>
        <v>#N/A</v>
      </c>
      <c r="D12001" s="125"/>
    </row>
    <row r="12002">
      <c r="A12002" s="122" t="s">
        <v>37749</v>
      </c>
      <c r="B12002" s="123">
        <v>795800.0</v>
      </c>
      <c r="C12002" s="687" t="str">
        <f>IFERROR(__xludf.DUMMYFUNCTION("GOOGLEFINANCE(A12002,""name"")"),"#N/A")</f>
        <v>#N/A</v>
      </c>
      <c r="D12002" s="125"/>
    </row>
    <row r="12003">
      <c r="A12003" s="122" t="s">
        <v>37750</v>
      </c>
      <c r="B12003" s="123">
        <v>795800.0</v>
      </c>
      <c r="C12003" s="687" t="str">
        <f>IFERROR(__xludf.DUMMYFUNCTION("GOOGLEFINANCE(A12003,""name"")"),"#N/A")</f>
        <v>#N/A</v>
      </c>
      <c r="D12003" s="125"/>
    </row>
    <row r="12004">
      <c r="A12004" s="122" t="s">
        <v>37751</v>
      </c>
      <c r="B12004" s="123">
        <v>105016.0</v>
      </c>
      <c r="C12004" s="687" t="str">
        <f>IFERROR(__xludf.DUMMYFUNCTION("GOOGLEFINANCE(A12004,""name"")"),"#N/A")</f>
        <v>#N/A</v>
      </c>
      <c r="D12004" s="125"/>
    </row>
    <row r="12005">
      <c r="A12005" s="122" t="s">
        <v>37752</v>
      </c>
      <c r="B12005" s="123">
        <v>945983.0</v>
      </c>
      <c r="C12005" s="687" t="str">
        <f>IFERROR(__xludf.DUMMYFUNCTION("GOOGLEFINANCE(A12005,""name"")"),"#N/A")</f>
        <v>#N/A</v>
      </c>
      <c r="D12005" s="125"/>
    </row>
    <row r="12006">
      <c r="A12006" s="122" t="s">
        <v>37753</v>
      </c>
      <c r="B12006" s="123">
        <v>1866226.0</v>
      </c>
      <c r="C12006" s="687" t="str">
        <f>IFERROR(__xludf.DUMMYFUNCTION("GOOGLEFINANCE(A12006,""name"")"),"#N/A")</f>
        <v>#N/A</v>
      </c>
      <c r="D12006" s="125"/>
    </row>
    <row r="12007">
      <c r="A12007" s="122" t="s">
        <v>37754</v>
      </c>
      <c r="B12007" s="123">
        <v>1713909.0</v>
      </c>
      <c r="C12007" s="687" t="str">
        <f>IFERROR(__xludf.DUMMYFUNCTION("GOOGLEFINANCE(A12007,""name"")"),"#N/A")</f>
        <v>#N/A</v>
      </c>
      <c r="D12007" s="125"/>
    </row>
    <row r="12008">
      <c r="A12008" s="122" t="s">
        <v>37755</v>
      </c>
      <c r="B12008" s="123">
        <v>1653247.0</v>
      </c>
      <c r="C12008" s="687" t="str">
        <f>IFERROR(__xludf.DUMMYFUNCTION("GOOGLEFINANCE(A12008,""name"")"),"#N/A")</f>
        <v>#N/A</v>
      </c>
      <c r="D12008" s="125"/>
    </row>
    <row r="12009">
      <c r="A12009" s="122" t="s">
        <v>37756</v>
      </c>
      <c r="B12009" s="123">
        <v>878828.0</v>
      </c>
      <c r="C12009" s="687" t="str">
        <f>IFERROR(__xludf.DUMMYFUNCTION("GOOGLEFINANCE(A12009,""name"")"),"#N/A")</f>
        <v>#N/A</v>
      </c>
      <c r="D12009" s="125"/>
    </row>
    <row r="12010">
      <c r="A12010" s="122" t="s">
        <v>37757</v>
      </c>
      <c r="B12010" s="123">
        <v>1687065.0</v>
      </c>
      <c r="C12010" s="687" t="str">
        <f>IFERROR(__xludf.DUMMYFUNCTION("GOOGLEFINANCE(A12010,""name"")"),"#N/A")</f>
        <v>#N/A</v>
      </c>
      <c r="D12010" s="125"/>
    </row>
    <row r="12011">
      <c r="A12011" s="122" t="s">
        <v>37758</v>
      </c>
      <c r="B12011" s="123">
        <v>1853044.0</v>
      </c>
      <c r="C12011" s="687" t="str">
        <f>IFERROR(__xludf.DUMMYFUNCTION("GOOGLEFINANCE(A12011,""name"")"),"#N/A")</f>
        <v>#N/A</v>
      </c>
      <c r="D12011" s="125"/>
    </row>
    <row r="12012">
      <c r="A12012" s="122" t="s">
        <v>37759</v>
      </c>
      <c r="B12012" s="123">
        <v>1853044.0</v>
      </c>
      <c r="C12012" s="687" t="str">
        <f>IFERROR(__xludf.DUMMYFUNCTION("GOOGLEFINANCE(A12012,""name"")"),"#N/A")</f>
        <v>#N/A</v>
      </c>
      <c r="D12012" s="125"/>
    </row>
    <row r="12013">
      <c r="A12013" s="122" t="s">
        <v>37760</v>
      </c>
      <c r="B12013" s="123">
        <v>1853044.0</v>
      </c>
      <c r="C12013" s="687" t="str">
        <f>IFERROR(__xludf.DUMMYFUNCTION("GOOGLEFINANCE(A12013,""name"")"),"#N/A")</f>
        <v>#N/A</v>
      </c>
      <c r="D12013" s="125"/>
    </row>
    <row r="12014">
      <c r="A12014" s="122" t="s">
        <v>37761</v>
      </c>
      <c r="B12014" s="123">
        <v>1091907.0</v>
      </c>
      <c r="C12014" s="687" t="str">
        <f>IFERROR(__xludf.DUMMYFUNCTION("GOOGLEFINANCE(A12014,""name"")"),"#N/A")</f>
        <v>#N/A</v>
      </c>
      <c r="D12014" s="125"/>
    </row>
    <row r="12015">
      <c r="A12015" s="122" t="s">
        <v>37762</v>
      </c>
      <c r="B12015" s="123">
        <v>1905448.0</v>
      </c>
      <c r="C12015" s="687" t="str">
        <f>IFERROR(__xludf.DUMMYFUNCTION("GOOGLEFINANCE(A12015,""name"")"),"#N/A")</f>
        <v>#N/A</v>
      </c>
      <c r="D12015" s="125"/>
    </row>
    <row r="12016">
      <c r="A12016" s="122" t="s">
        <v>37763</v>
      </c>
      <c r="B12016" s="123">
        <v>1560143.0</v>
      </c>
      <c r="C12016" s="687" t="str">
        <f>IFERROR(__xludf.DUMMYFUNCTION("GOOGLEFINANCE(A12016,""name"")"),"Wytec International Inc")</f>
        <v>Wytec International Inc</v>
      </c>
      <c r="D12016" s="125"/>
    </row>
    <row r="12017">
      <c r="A12017" s="122" t="s">
        <v>37764</v>
      </c>
      <c r="B12017" s="123">
        <v>1729678.0</v>
      </c>
      <c r="C12017" s="687" t="str">
        <f>IFERROR(__xludf.DUMMYFUNCTION("GOOGLEFINANCE(A12017,""name"")"),"#N/A")</f>
        <v>#N/A</v>
      </c>
      <c r="D12017" s="125"/>
    </row>
    <row r="12018">
      <c r="A12018" s="122" t="s">
        <v>37765</v>
      </c>
      <c r="B12018" s="123">
        <v>1467631.0</v>
      </c>
      <c r="C12018" s="687" t="str">
        <f>IFERROR(__xludf.DUMMYFUNCTION("GOOGLEFINANCE(A12018,""name"")"),"#N/A")</f>
        <v>#N/A</v>
      </c>
      <c r="D12018" s="125"/>
    </row>
    <row r="12019">
      <c r="A12019" s="122" t="s">
        <v>37766</v>
      </c>
      <c r="B12019" s="123">
        <v>1467631.0</v>
      </c>
      <c r="C12019" s="687" t="str">
        <f>IFERROR(__xludf.DUMMYFUNCTION("GOOGLEFINANCE(A12019,""name"")"),"#N/A")</f>
        <v>#N/A</v>
      </c>
      <c r="D12019" s="125"/>
    </row>
    <row r="12020">
      <c r="A12020" s="122" t="s">
        <v>37767</v>
      </c>
      <c r="B12020" s="123">
        <v>1565381.0</v>
      </c>
      <c r="C12020" s="687" t="str">
        <f>IFERROR(__xludf.DUMMYFUNCTION("GOOGLEFINANCE(A12020,""name"")"),"#N/A")</f>
        <v>#N/A</v>
      </c>
      <c r="D12020" s="125"/>
    </row>
    <row r="12021">
      <c r="A12021" s="122" t="s">
        <v>37768</v>
      </c>
      <c r="B12021" s="123">
        <v>1703079.0</v>
      </c>
      <c r="C12021" s="687" t="str">
        <f>IFERROR(__xludf.DUMMYFUNCTION("GOOGLEFINANCE(A12021,""name"")"),"#N/A")</f>
        <v>#N/A</v>
      </c>
      <c r="D12021" s="125"/>
    </row>
    <row r="12022">
      <c r="A12022" s="122" t="s">
        <v>37769</v>
      </c>
      <c r="B12022" s="123">
        <v>1642563.0</v>
      </c>
      <c r="C12022" s="687" t="str">
        <f>IFERROR(__xludf.DUMMYFUNCTION("GOOGLEFINANCE(A12022,""name"")"),"#N/A")</f>
        <v>#N/A</v>
      </c>
      <c r="D12022" s="125"/>
    </row>
    <row r="12023">
      <c r="A12023" s="122" t="s">
        <v>37770</v>
      </c>
      <c r="B12023" s="123">
        <v>1616037.0</v>
      </c>
      <c r="C12023" s="687" t="str">
        <f>IFERROR(__xludf.DUMMYFUNCTION("GOOGLEFINANCE(A12023,""name"")"),"#N/A")</f>
        <v>#N/A</v>
      </c>
      <c r="D12023" s="125"/>
    </row>
    <row r="12024">
      <c r="A12024" s="122" t="s">
        <v>37771</v>
      </c>
      <c r="B12024" s="123">
        <v>1747748.0</v>
      </c>
      <c r="C12024" s="687" t="str">
        <f>IFERROR(__xludf.DUMMYFUNCTION("GOOGLEFINANCE(A12024,""name"")"),"#N/A")</f>
        <v>#N/A</v>
      </c>
      <c r="D12024" s="125"/>
    </row>
    <row r="12025">
      <c r="A12025" s="122" t="s">
        <v>37772</v>
      </c>
      <c r="B12025" s="123">
        <v>1819493.0</v>
      </c>
      <c r="C12025" s="687" t="str">
        <f>IFERROR(__xludf.DUMMYFUNCTION("GOOGLEFINANCE(A12025,""name"")"),"Xos, Inc.")</f>
        <v>Xos, Inc.</v>
      </c>
      <c r="D12025" s="125"/>
    </row>
    <row r="12026">
      <c r="A12026" s="122" t="s">
        <v>37773</v>
      </c>
      <c r="B12026" s="123">
        <v>1682662.0</v>
      </c>
      <c r="C12026" s="687" t="str">
        <f>IFERROR(__xludf.DUMMYFUNCTION("GOOGLEFINANCE(A12026,""name"")"),"#N/A")</f>
        <v>#N/A</v>
      </c>
      <c r="D12026" s="125"/>
    </row>
    <row r="12027">
      <c r="A12027" s="122" t="s">
        <v>37774</v>
      </c>
      <c r="B12027" s="123">
        <v>1853397.0</v>
      </c>
      <c r="C12027" s="687" t="str">
        <f>IFERROR(__xludf.DUMMYFUNCTION("GOOGLEFINANCE(A12027,""name"")"),"#N/A")</f>
        <v>#N/A</v>
      </c>
      <c r="D12027" s="125"/>
    </row>
    <row r="12028">
      <c r="A12028" s="122" t="s">
        <v>37775</v>
      </c>
      <c r="B12028" s="123">
        <v>1853397.0</v>
      </c>
      <c r="C12028" s="687" t="str">
        <f>IFERROR(__xludf.DUMMYFUNCTION("GOOGLEFINANCE(A12028,""name"")"),"#N/A")</f>
        <v>#N/A</v>
      </c>
      <c r="D12028" s="125"/>
    </row>
    <row r="12029">
      <c r="A12029" s="122" t="s">
        <v>37776</v>
      </c>
      <c r="B12029" s="123">
        <v>1853397.0</v>
      </c>
      <c r="C12029" s="687" t="str">
        <f>IFERROR(__xludf.DUMMYFUNCTION("GOOGLEFINANCE(A12029,""name"")"),"#N/A")</f>
        <v>#N/A</v>
      </c>
      <c r="D12029" s="125"/>
    </row>
    <row r="12030">
      <c r="A12030" s="122" t="s">
        <v>37777</v>
      </c>
      <c r="B12030" s="123">
        <v>853180.0</v>
      </c>
      <c r="C12030" s="687" t="str">
        <f>IFERROR(__xludf.DUMMYFUNCTION("GOOGLEFINANCE(A12030,""name"")"),"#N/A")</f>
        <v>#N/A</v>
      </c>
      <c r="D12030" s="125"/>
    </row>
    <row r="12031">
      <c r="A12031" s="122" t="s">
        <v>37778</v>
      </c>
      <c r="B12031" s="123">
        <v>1677615.0</v>
      </c>
      <c r="C12031" s="687" t="str">
        <f>IFERROR(__xludf.DUMMYFUNCTION("GOOGLEFINANCE(A12031,""name"")"),"#N/A")</f>
        <v>#N/A</v>
      </c>
      <c r="D12031" s="125"/>
    </row>
    <row r="12032">
      <c r="A12032" s="122" t="s">
        <v>37779</v>
      </c>
      <c r="B12032" s="123">
        <v>1875746.0</v>
      </c>
      <c r="C12032" s="687" t="str">
        <f>IFERROR(__xludf.DUMMYFUNCTION("GOOGLEFINANCE(A12032,""name"")"),"#N/A")</f>
        <v>#N/A</v>
      </c>
      <c r="D12032" s="125"/>
    </row>
    <row r="12033">
      <c r="A12033" s="122" t="s">
        <v>37780</v>
      </c>
      <c r="B12033" s="123">
        <v>1124959.0</v>
      </c>
      <c r="C12033" s="687" t="str">
        <f>IFERROR(__xludf.DUMMYFUNCTION("GOOGLEFINANCE(A12033,""name"")"),"#N/A")</f>
        <v>#N/A</v>
      </c>
      <c r="D12033" s="125"/>
    </row>
    <row r="12034">
      <c r="A12034" s="122" t="s">
        <v>37781</v>
      </c>
      <c r="B12034" s="123">
        <v>1124959.0</v>
      </c>
      <c r="C12034" s="687" t="str">
        <f>IFERROR(__xludf.DUMMYFUNCTION("GOOGLEFINANCE(A12034,""name"")"),"#N/A")</f>
        <v>#N/A</v>
      </c>
      <c r="D12034" s="125"/>
    </row>
    <row r="12035">
      <c r="A12035" s="122" t="s">
        <v>37782</v>
      </c>
      <c r="B12035" s="123">
        <v>1124959.0</v>
      </c>
      <c r="C12035" s="687" t="str">
        <f>IFERROR(__xludf.DUMMYFUNCTION("GOOGLEFINANCE(A12035,""name"")"),"#N/A")</f>
        <v>#N/A</v>
      </c>
      <c r="D12035" s="125"/>
    </row>
    <row r="12036">
      <c r="A12036" s="122" t="s">
        <v>37783</v>
      </c>
      <c r="B12036" s="123">
        <v>1124959.0</v>
      </c>
      <c r="C12036" s="687" t="str">
        <f>IFERROR(__xludf.DUMMYFUNCTION("GOOGLEFINANCE(A12036,""name"")"),"#N/A")</f>
        <v>#N/A</v>
      </c>
      <c r="D12036" s="125"/>
    </row>
    <row r="12037">
      <c r="A12037" s="122" t="s">
        <v>37784</v>
      </c>
      <c r="B12037" s="123">
        <v>853180.0</v>
      </c>
      <c r="C12037" s="687" t="str">
        <f>IFERROR(__xludf.DUMMYFUNCTION("GOOGLEFINANCE(A12037,""name"")"),"#N/A")</f>
        <v>#N/A</v>
      </c>
      <c r="D12037" s="125"/>
    </row>
    <row r="12038">
      <c r="A12038" s="122" t="s">
        <v>37785</v>
      </c>
      <c r="B12038" s="123">
        <v>1410428.0</v>
      </c>
      <c r="C12038" s="687" t="str">
        <f>IFERROR(__xludf.DUMMYFUNCTION("GOOGLEFINANCE(A12038,""name"")"),"#N/A")</f>
        <v>#N/A</v>
      </c>
      <c r="D12038" s="125"/>
    </row>
    <row r="12039">
      <c r="A12039" s="122" t="s">
        <v>37786</v>
      </c>
      <c r="B12039" s="123">
        <v>1628104.0</v>
      </c>
      <c r="C12039" s="687" t="str">
        <f>IFERROR(__xludf.DUMMYFUNCTION("GOOGLEFINANCE(A12039,""name"")"),"#N/A")</f>
        <v>#N/A</v>
      </c>
      <c r="D12039" s="125"/>
    </row>
    <row r="12040">
      <c r="A12040" s="122" t="s">
        <v>37787</v>
      </c>
      <c r="B12040" s="123">
        <v>1555085.0</v>
      </c>
      <c r="C12040" s="687" t="str">
        <f>IFERROR(__xludf.DUMMYFUNCTION("GOOGLEFINANCE(A12040,""name"")"),"#N/A")</f>
        <v>#N/A</v>
      </c>
      <c r="D12040" s="125"/>
    </row>
    <row r="12041">
      <c r="A12041" s="122" t="s">
        <v>37788</v>
      </c>
      <c r="B12041" s="123">
        <v>1525355.0</v>
      </c>
      <c r="C12041" s="687" t="str">
        <f>IFERROR(__xludf.DUMMYFUNCTION("GOOGLEFINANCE(A12041,""name"")"),"#N/A")</f>
        <v>#N/A</v>
      </c>
      <c r="D12041" s="125"/>
    </row>
    <row r="12042">
      <c r="A12042" s="122" t="s">
        <v>37789</v>
      </c>
      <c r="B12042" s="123">
        <v>1885840.0</v>
      </c>
      <c r="C12042" s="687" t="str">
        <f>IFERROR(__xludf.DUMMYFUNCTION("GOOGLEFINANCE(A12042,""name"")"),"#N/A")</f>
        <v>#N/A</v>
      </c>
      <c r="D12042" s="125"/>
    </row>
    <row r="12043">
      <c r="A12043" s="122" t="s">
        <v>37790</v>
      </c>
      <c r="B12043" s="123">
        <v>1794350.0</v>
      </c>
      <c r="C12043" s="687" t="str">
        <f>IFERROR(__xludf.DUMMYFUNCTION("GOOGLEFINANCE(A12043,""name"")"),"Yalla Group Ltd - ADR")</f>
        <v>Yalla Group Ltd - ADR</v>
      </c>
      <c r="D12043" s="125"/>
    </row>
    <row r="12044">
      <c r="A12044" s="122" t="s">
        <v>37791</v>
      </c>
      <c r="B12044" s="123">
        <v>1885514.0</v>
      </c>
      <c r="C12044" s="687" t="str">
        <f>IFERROR(__xludf.DUMMYFUNCTION("GOOGLEFINANCE(A12044,""name"")"),"#N/A")</f>
        <v>#N/A</v>
      </c>
      <c r="D12044" s="125"/>
    </row>
    <row r="12045">
      <c r="A12045" s="122" t="s">
        <v>37792</v>
      </c>
      <c r="B12045" s="123">
        <v>1644903.0</v>
      </c>
      <c r="C12045" s="687" t="str">
        <f>IFERROR(__xludf.DUMMYFUNCTION("GOOGLEFINANCE(A12045,""name"")"),"#N/A")</f>
        <v>#N/A</v>
      </c>
      <c r="D12045" s="125"/>
    </row>
    <row r="12046">
      <c r="A12046" s="122" t="s">
        <v>37793</v>
      </c>
      <c r="B12046" s="123">
        <v>716006.0</v>
      </c>
      <c r="C12046" s="687" t="str">
        <f>IFERROR(__xludf.DUMMYFUNCTION("GOOGLEFINANCE(A12046,""name"")"),"#N/A")</f>
        <v>#N/A</v>
      </c>
      <c r="D12046" s="125"/>
    </row>
    <row r="12047">
      <c r="A12047" s="122" t="s">
        <v>37794</v>
      </c>
      <c r="B12047" s="123">
        <v>1548240.0</v>
      </c>
      <c r="C12047" s="687" t="str">
        <f>IFERROR(__xludf.DUMMYFUNCTION("GOOGLEFINANCE(A12047,""name"")"),"#N/A")</f>
        <v>#N/A</v>
      </c>
      <c r="D12047" s="125"/>
    </row>
    <row r="12048">
      <c r="A12048" s="122" t="s">
        <v>37795</v>
      </c>
      <c r="B12048" s="123">
        <v>1569329.0</v>
      </c>
      <c r="C12048" s="687" t="str">
        <f>IFERROR(__xludf.DUMMYFUNCTION("GOOGLEFINANCE(A12048,""name"")"),"#N/A")</f>
        <v>#N/A</v>
      </c>
      <c r="D12048" s="125"/>
    </row>
    <row r="12049">
      <c r="A12049" s="122" t="s">
        <v>37796</v>
      </c>
      <c r="B12049" s="123">
        <v>1569329.0</v>
      </c>
      <c r="C12049" s="687" t="str">
        <f>IFERROR(__xludf.DUMMYFUNCTION("GOOGLEFINANCE(A12049,""name"")"),"#N/A")</f>
        <v>#N/A</v>
      </c>
      <c r="D12049" s="125"/>
    </row>
    <row r="12050">
      <c r="A12050" s="122" t="s">
        <v>37797</v>
      </c>
      <c r="B12050" s="123">
        <v>1445283.0</v>
      </c>
      <c r="C12050" s="687" t="str">
        <f>IFERROR(__xludf.DUMMYFUNCTION("GOOGLEFINANCE(A12050,""name"")"),"#N/A")</f>
        <v>#N/A</v>
      </c>
      <c r="D12050" s="125"/>
    </row>
    <row r="12051">
      <c r="A12051" s="122" t="s">
        <v>37798</v>
      </c>
      <c r="B12051" s="123">
        <v>108985.0</v>
      </c>
      <c r="C12051" s="687" t="str">
        <f>IFERROR(__xludf.DUMMYFUNCTION("GOOGLEFINANCE(A12051,""name"")"),"York Water Co")</f>
        <v>York Water Co</v>
      </c>
      <c r="D12051" s="125"/>
    </row>
    <row r="12052">
      <c r="A12052" s="122" t="s">
        <v>37799</v>
      </c>
      <c r="B12052" s="123">
        <v>1907730.0</v>
      </c>
      <c r="C12052" s="687" t="str">
        <f>IFERROR(__xludf.DUMMYFUNCTION("GOOGLEFINANCE(A12052,""name"")"),"#N/A")</f>
        <v>#N/A</v>
      </c>
      <c r="D12052" s="125"/>
    </row>
    <row r="12053">
      <c r="A12053" s="122" t="s">
        <v>37800</v>
      </c>
      <c r="B12053" s="123">
        <v>1859836.0</v>
      </c>
      <c r="C12053" s="687" t="str">
        <f>IFERROR(__xludf.DUMMYFUNCTION("GOOGLEFINANCE(A12053,""name"")"),"#N/A")</f>
        <v>#N/A</v>
      </c>
      <c r="D12053" s="125"/>
    </row>
    <row r="12054">
      <c r="A12054" s="122" t="s">
        <v>37801</v>
      </c>
      <c r="B12054" s="123">
        <v>1840859.0</v>
      </c>
      <c r="C12054" s="687" t="str">
        <f>IFERROR(__xludf.DUMMYFUNCTION("GOOGLEFINANCE(A12054,""name"")"),"#N/A")</f>
        <v>#N/A</v>
      </c>
      <c r="D12054" s="125"/>
    </row>
    <row r="12055">
      <c r="A12055" s="122" t="s">
        <v>37802</v>
      </c>
      <c r="B12055" s="123">
        <v>1417370.0</v>
      </c>
      <c r="C12055" s="687" t="str">
        <f>IFERROR(__xludf.DUMMYFUNCTION("GOOGLEFINANCE(A12055,""name"")"),"#N/A")</f>
        <v>#N/A</v>
      </c>
      <c r="D12055" s="125"/>
    </row>
    <row r="12056">
      <c r="A12056" s="122" t="s">
        <v>37803</v>
      </c>
      <c r="B12056" s="123">
        <v>884247.0</v>
      </c>
      <c r="C12056" s="687" t="str">
        <f>IFERROR(__xludf.DUMMYFUNCTION("GOOGLEFINANCE(A12056,""name"")"),"#N/A")</f>
        <v>#N/A</v>
      </c>
      <c r="D12056" s="125"/>
    </row>
    <row r="12057">
      <c r="A12057" s="122" t="s">
        <v>37804</v>
      </c>
      <c r="B12057" s="123">
        <v>1667313.0</v>
      </c>
      <c r="C12057" s="687" t="str">
        <f>IFERROR(__xludf.DUMMYFUNCTION("GOOGLEFINANCE(A12057,""name"")"),"Zedge Inc")</f>
        <v>Zedge Inc</v>
      </c>
      <c r="D12057" s="125"/>
    </row>
    <row r="12058">
      <c r="A12058" s="122" t="s">
        <v>37805</v>
      </c>
      <c r="B12058" s="123">
        <v>1458581.0</v>
      </c>
      <c r="C12058" s="687" t="str">
        <f>IFERROR(__xludf.DUMMYFUNCTION("GOOGLEFINANCE(A12058,""name"")"),"#N/A")</f>
        <v>#N/A</v>
      </c>
      <c r="D12058" s="125"/>
    </row>
    <row r="12059">
      <c r="A12059" s="122" t="s">
        <v>37806</v>
      </c>
      <c r="B12059" s="123">
        <v>1437491.0</v>
      </c>
      <c r="C12059" s="687" t="str">
        <f>IFERROR(__xludf.DUMMYFUNCTION("GOOGLEFINANCE(A12059,""name"")"),"Zest SpA")</f>
        <v>Zest SpA</v>
      </c>
      <c r="D12059" s="125"/>
    </row>
    <row r="12060">
      <c r="A12060" s="122" t="s">
        <v>37807</v>
      </c>
      <c r="B12060" s="123">
        <v>1802749.0</v>
      </c>
      <c r="C12060" s="687" t="str">
        <f>IFERROR(__xludf.DUMMYFUNCTION("GOOGLEFINANCE(A12060,""name"")"),"#N/A")</f>
        <v>#N/A</v>
      </c>
      <c r="D12060" s="125"/>
    </row>
    <row r="12061">
      <c r="A12061" s="122" t="s">
        <v>37808</v>
      </c>
      <c r="B12061" s="123">
        <v>1802749.0</v>
      </c>
      <c r="C12061" s="687" t="str">
        <f>IFERROR(__xludf.DUMMYFUNCTION("GOOGLEFINANCE(A12061,""name"")"),"#N/A")</f>
        <v>#N/A</v>
      </c>
      <c r="D12061" s="125"/>
    </row>
    <row r="12062">
      <c r="A12062" s="122" t="s">
        <v>37809</v>
      </c>
      <c r="B12062" s="123">
        <v>1778404.0</v>
      </c>
      <c r="C12062" s="687" t="str">
        <f>IFERROR(__xludf.DUMMYFUNCTION("GOOGLEFINANCE(A12062,""name"")"),"#N/A")</f>
        <v>#N/A</v>
      </c>
      <c r="D12062" s="125"/>
    </row>
    <row r="12063">
      <c r="A12063" s="122" t="s">
        <v>37810</v>
      </c>
      <c r="B12063" s="123">
        <v>1877787.0</v>
      </c>
      <c r="C12063" s="687" t="str">
        <f>IFERROR(__xludf.DUMMYFUNCTION("GOOGLEFINANCE(A12063,""name"")"),"#N/A")</f>
        <v>#N/A</v>
      </c>
      <c r="D12063" s="125"/>
    </row>
    <row r="12064">
      <c r="A12064" s="122" t="s">
        <v>37811</v>
      </c>
      <c r="B12064" s="123">
        <v>1594114.0</v>
      </c>
      <c r="C12064" s="687" t="str">
        <f>IFERROR(__xludf.DUMMYFUNCTION("GOOGLEFINANCE(A12064,""name"")"),"#N/A")</f>
        <v>#N/A</v>
      </c>
      <c r="D12064" s="125"/>
    </row>
    <row r="12065">
      <c r="A12065" s="122" t="s">
        <v>37812</v>
      </c>
      <c r="B12065" s="123">
        <v>1844270.0</v>
      </c>
      <c r="C12065" s="687" t="str">
        <f>IFERROR(__xludf.DUMMYFUNCTION("GOOGLEFINANCE(A12065,""name"")"),"#N/A")</f>
        <v>#N/A</v>
      </c>
      <c r="D12065" s="125"/>
    </row>
    <row r="12066">
      <c r="A12066" s="122" t="s">
        <v>37813</v>
      </c>
      <c r="B12066" s="123">
        <v>1844270.0</v>
      </c>
      <c r="C12066" s="687" t="str">
        <f>IFERROR(__xludf.DUMMYFUNCTION("GOOGLEFINANCE(A12066,""name"")"),"#N/A")</f>
        <v>#N/A</v>
      </c>
      <c r="D12066" s="125"/>
    </row>
    <row r="12067">
      <c r="A12067" s="122" t="s">
        <v>37814</v>
      </c>
      <c r="B12067" s="123">
        <v>1844270.0</v>
      </c>
      <c r="C12067" s="687" t="str">
        <f>IFERROR(__xludf.DUMMYFUNCTION("GOOGLEFINANCE(A12067,""name"")"),"#N/A")</f>
        <v>#N/A</v>
      </c>
      <c r="D12067" s="125"/>
    </row>
    <row r="12068">
      <c r="A12068" s="122" t="s">
        <v>37815</v>
      </c>
      <c r="B12068" s="123">
        <v>1053092.0</v>
      </c>
      <c r="C12068" s="687" t="str">
        <f>IFERROR(__xludf.DUMMYFUNCTION("GOOGLEFINANCE(A12068,""name"")"),"#N/A")</f>
        <v>#N/A</v>
      </c>
      <c r="D12068" s="125"/>
    </row>
    <row r="12069">
      <c r="A12069" s="122" t="s">
        <v>37816</v>
      </c>
      <c r="B12069" s="123">
        <v>1489300.0</v>
      </c>
      <c r="C12069" s="687" t="str">
        <f>IFERROR(__xludf.DUMMYFUNCTION("GOOGLEFINANCE(A12069,""name"")"),"Zhanling International Ord Shs")</f>
        <v>Zhanling International Ord Shs</v>
      </c>
      <c r="D12069" s="125"/>
    </row>
    <row r="12070">
      <c r="A12070" s="122" t="s">
        <v>37817</v>
      </c>
      <c r="B12070" s="123">
        <v>1838937.0</v>
      </c>
      <c r="C12070" s="687" t="str">
        <f>IFERROR(__xludf.DUMMYFUNCTION("GOOGLEFINANCE(A12070,""name"")"),"#N/A")</f>
        <v>#N/A</v>
      </c>
      <c r="D12070" s="125"/>
    </row>
    <row r="12071">
      <c r="A12071" s="122" t="s">
        <v>37818</v>
      </c>
      <c r="B12071" s="123">
        <v>1041668.0</v>
      </c>
      <c r="C12071" s="687" t="str">
        <f>IFERROR(__xludf.DUMMYFUNCTION("GOOGLEFINANCE(A12071,""name"")"),"#N/A")</f>
        <v>#N/A</v>
      </c>
      <c r="D12071" s="125"/>
    </row>
    <row r="12072">
      <c r="A12072" s="122" t="s">
        <v>37819</v>
      </c>
      <c r="B12072" s="123">
        <v>1587221.0</v>
      </c>
      <c r="C12072" s="687" t="str">
        <f>IFERROR(__xludf.DUMMYFUNCTION("GOOGLEFINANCE(A12072,""name"")"),"#N/A")</f>
        <v>#N/A</v>
      </c>
      <c r="D12072" s="125"/>
    </row>
    <row r="12073">
      <c r="A12073" s="122" t="s">
        <v>37820</v>
      </c>
      <c r="B12073" s="123">
        <v>1849408.0</v>
      </c>
      <c r="C12073" s="687" t="str">
        <f>IFERROR(__xludf.DUMMYFUNCTION("GOOGLEFINANCE(A12073,""name"")"),"#N/A")</f>
        <v>#N/A</v>
      </c>
      <c r="D12073" s="125"/>
    </row>
    <row r="12074">
      <c r="A12074" s="122" t="s">
        <v>37821</v>
      </c>
      <c r="B12074" s="123">
        <v>1849408.0</v>
      </c>
      <c r="C12074" s="687" t="str">
        <f>IFERROR(__xludf.DUMMYFUNCTION("GOOGLEFINANCE(A12074,""name"")"),"#N/A")</f>
        <v>#N/A</v>
      </c>
      <c r="D12074" s="125"/>
    </row>
    <row r="12075">
      <c r="A12075" s="122" t="s">
        <v>37822</v>
      </c>
      <c r="B12075" s="123">
        <v>1849408.0</v>
      </c>
      <c r="C12075" s="687" t="str">
        <f>IFERROR(__xludf.DUMMYFUNCTION("GOOGLEFINANCE(A12075,""name"")"),"#N/A")</f>
        <v>#N/A</v>
      </c>
      <c r="D12075" s="125"/>
    </row>
    <row r="12076">
      <c r="A12076" s="122" t="s">
        <v>37823</v>
      </c>
      <c r="B12076" s="123">
        <v>1869901.0</v>
      </c>
      <c r="C12076" s="687" t="str">
        <f>IFERROR(__xludf.DUMMYFUNCTION("GOOGLEFINANCE(A12076,""name"")"),"F/m High Yield 100 ETF")</f>
        <v>F/m High Yield 100 ETF</v>
      </c>
      <c r="D12076" s="125"/>
    </row>
    <row r="12077">
      <c r="A12077" s="122" t="s">
        <v>37824</v>
      </c>
      <c r="B12077" s="123">
        <v>1305323.0</v>
      </c>
      <c r="C12077" s="687" t="str">
        <f>IFERROR(__xludf.DUMMYFUNCTION("GOOGLEFINANCE(A12077,""name"")"),"#N/A")</f>
        <v>#N/A</v>
      </c>
      <c r="D12077" s="125"/>
    </row>
    <row r="12078">
      <c r="A12078" s="122" t="s">
        <v>37825</v>
      </c>
      <c r="B12078" s="123">
        <v>1828438.0</v>
      </c>
      <c r="C12078" s="687" t="str">
        <f>IFERROR(__xludf.DUMMYFUNCTION("GOOGLEFINANCE(A12078,""name"")"),"#N/A")</f>
        <v>#N/A</v>
      </c>
      <c r="D12078" s="125"/>
    </row>
    <row r="12079">
      <c r="A12079" s="122" t="s">
        <v>37826</v>
      </c>
      <c r="B12079" s="123">
        <v>1828438.0</v>
      </c>
      <c r="C12079" s="687" t="str">
        <f>IFERROR(__xludf.DUMMYFUNCTION("GOOGLEFINANCE(A12079,""name"")"),"#N/A")</f>
        <v>#N/A</v>
      </c>
      <c r="D12079" s="125"/>
    </row>
    <row r="12080">
      <c r="A12080" s="122" t="s">
        <v>37827</v>
      </c>
      <c r="B12080" s="123">
        <v>1828438.0</v>
      </c>
      <c r="C12080" s="687" t="str">
        <f>IFERROR(__xludf.DUMMYFUNCTION("GOOGLEFINANCE(A12080,""name"")"),"#N/A")</f>
        <v>#N/A</v>
      </c>
      <c r="D12080" s="125"/>
    </row>
    <row r="12081">
      <c r="A12081" s="122" t="s">
        <v>37828</v>
      </c>
      <c r="B12081" s="123">
        <v>1645842.0</v>
      </c>
      <c r="C12081" s="687" t="str">
        <f>IFERROR(__xludf.DUMMYFUNCTION("GOOGLEFINANCE(A12081,""name"")"),"#N/A")</f>
        <v>#N/A</v>
      </c>
      <c r="D12081" s="125"/>
    </row>
    <row r="12082">
      <c r="A12082" s="122" t="s">
        <v>37829</v>
      </c>
      <c r="B12082" s="123">
        <v>1442101.0</v>
      </c>
      <c r="C12082" s="687" t="str">
        <f>IFERROR(__xludf.DUMMYFUNCTION("GOOGLEFINANCE(A12082,""name"")"),"#N/A")</f>
        <v>#N/A</v>
      </c>
      <c r="D12082" s="125"/>
    </row>
    <row r="12083">
      <c r="A12083" s="122" t="s">
        <v>37830</v>
      </c>
      <c r="B12083" s="123">
        <v>1621443.0</v>
      </c>
      <c r="C12083" s="687" t="str">
        <f>IFERROR(__xludf.DUMMYFUNCTION("GOOGLEFINANCE(A12083,""name"")"),"#N/A")</f>
        <v>#N/A</v>
      </c>
      <c r="D12083" s="125"/>
    </row>
    <row r="12084">
      <c r="A12084" s="122" t="s">
        <v>37831</v>
      </c>
      <c r="B12084" s="123">
        <v>1790368.0</v>
      </c>
      <c r="C12084" s="687" t="str">
        <f>IFERROR(__xludf.DUMMYFUNCTION("GOOGLEFINANCE(A12084,""name"")"),"#N/A")</f>
        <v>#N/A</v>
      </c>
      <c r="D12084" s="125"/>
    </row>
    <row r="12085">
      <c r="A12085" s="122" t="s">
        <v>37832</v>
      </c>
      <c r="B12085" s="123">
        <v>1365357.0</v>
      </c>
      <c r="C12085" s="687" t="str">
        <f>IFERROR(__xludf.DUMMYFUNCTION("GOOGLEFINANCE(A12085,""name"")"),"#N/A")</f>
        <v>#N/A</v>
      </c>
      <c r="D12085" s="125"/>
    </row>
  </sheetData>
  <conditionalFormatting sqref="A1:A12085">
    <cfRule type="notContainsBlanks" dxfId="0" priority="1">
      <formula>LEN(TRIM(A1))&gt;0</formula>
    </cfRule>
  </conditionalFormatting>
  <conditionalFormatting sqref="A4">
    <cfRule type="notContainsBlanks" dxfId="0" priority="2">
      <formula>LEN(TRIM(A4))&gt;0</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7"/>
      <c r="B1" s="257" t="s">
        <v>37833</v>
      </c>
    </row>
    <row r="2">
      <c r="A2" s="688"/>
    </row>
    <row r="3">
      <c r="A3" s="689" t="s">
        <v>37834</v>
      </c>
    </row>
    <row r="4">
      <c r="A4" s="688"/>
    </row>
    <row r="5">
      <c r="A5" s="547" t="s">
        <v>37835</v>
      </c>
    </row>
    <row r="6">
      <c r="A6" s="283" t="s">
        <v>37836</v>
      </c>
    </row>
    <row r="7">
      <c r="A7" s="283" t="s">
        <v>37837</v>
      </c>
    </row>
    <row r="8">
      <c r="A8" s="283" t="s">
        <v>37838</v>
      </c>
    </row>
    <row r="9">
      <c r="A9" s="688"/>
    </row>
    <row r="10">
      <c r="A10" s="690" t="s">
        <v>37839</v>
      </c>
    </row>
    <row r="11">
      <c r="A11" s="691" t="s">
        <v>37840</v>
      </c>
    </row>
    <row r="12">
      <c r="A12" s="692"/>
    </row>
    <row r="13">
      <c r="A13" s="257" t="s">
        <v>37841</v>
      </c>
    </row>
    <row r="14">
      <c r="A14" s="688"/>
    </row>
    <row r="15">
      <c r="A15" s="257" t="s">
        <v>37842</v>
      </c>
    </row>
    <row r="16">
      <c r="A16" s="547" t="s">
        <v>37843</v>
      </c>
    </row>
    <row r="17">
      <c r="A17" s="283" t="s">
        <v>37844</v>
      </c>
    </row>
    <row r="18">
      <c r="A18" s="283" t="s">
        <v>37845</v>
      </c>
    </row>
    <row r="19">
      <c r="A19" s="693" t="s">
        <v>37846</v>
      </c>
    </row>
    <row r="20">
      <c r="A20" s="7" t="s">
        <v>37847</v>
      </c>
    </row>
    <row r="21">
      <c r="A21" s="7" t="s">
        <v>37848</v>
      </c>
    </row>
  </sheetData>
  <hyperlinks>
    <hyperlink r:id="rId1" ref="B1"/>
    <hyperlink r:id="rId2" ref="A11"/>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75"/>
    <col customWidth="1" min="3" max="3" width="57.75"/>
  </cols>
  <sheetData>
    <row r="1">
      <c r="A1" s="694" t="s">
        <v>37849</v>
      </c>
      <c r="B1" s="695" t="s">
        <v>37850</v>
      </c>
      <c r="C1" s="695" t="s">
        <v>37851</v>
      </c>
      <c r="D1" s="696"/>
      <c r="E1" s="696"/>
      <c r="F1" s="696"/>
      <c r="G1" s="696"/>
      <c r="H1" s="696"/>
      <c r="I1" s="696"/>
      <c r="J1" s="696"/>
      <c r="K1" s="696"/>
      <c r="L1" s="696"/>
      <c r="M1" s="696"/>
      <c r="N1" s="696"/>
      <c r="O1" s="696"/>
      <c r="P1" s="696"/>
      <c r="Q1" s="696"/>
      <c r="R1" s="696"/>
      <c r="S1" s="696"/>
      <c r="T1" s="696"/>
      <c r="U1" s="696"/>
      <c r="V1" s="696"/>
      <c r="W1" s="696"/>
      <c r="X1" s="696"/>
      <c r="Y1" s="696"/>
      <c r="Z1" s="696"/>
    </row>
    <row r="2">
      <c r="A2" s="697">
        <v>100.0</v>
      </c>
      <c r="B2" s="697" t="s">
        <v>37852</v>
      </c>
      <c r="C2" s="697" t="s">
        <v>37853</v>
      </c>
    </row>
    <row r="3">
      <c r="A3" s="697">
        <v>200.0</v>
      </c>
      <c r="B3" s="697" t="s">
        <v>37852</v>
      </c>
      <c r="C3" s="697" t="s">
        <v>37854</v>
      </c>
    </row>
    <row r="4">
      <c r="A4" s="697">
        <v>700.0</v>
      </c>
      <c r="B4" s="697" t="s">
        <v>37852</v>
      </c>
      <c r="C4" s="697" t="s">
        <v>37855</v>
      </c>
    </row>
    <row r="5">
      <c r="A5" s="697">
        <v>800.0</v>
      </c>
      <c r="B5" s="697" t="s">
        <v>37852</v>
      </c>
      <c r="C5" s="697" t="s">
        <v>37856</v>
      </c>
    </row>
    <row r="6">
      <c r="A6" s="697">
        <v>900.0</v>
      </c>
      <c r="B6" s="697" t="s">
        <v>37852</v>
      </c>
      <c r="C6" s="697" t="s">
        <v>37857</v>
      </c>
    </row>
    <row r="7">
      <c r="A7" s="697">
        <v>1000.0</v>
      </c>
      <c r="B7" s="697" t="s">
        <v>37858</v>
      </c>
      <c r="C7" s="697" t="s">
        <v>37859</v>
      </c>
    </row>
    <row r="8">
      <c r="A8" s="697">
        <v>1040.0</v>
      </c>
      <c r="B8" s="697" t="s">
        <v>37858</v>
      </c>
      <c r="C8" s="697" t="s">
        <v>37860</v>
      </c>
    </row>
    <row r="9">
      <c r="A9" s="697">
        <v>1090.0</v>
      </c>
      <c r="B9" s="697" t="s">
        <v>37858</v>
      </c>
      <c r="C9" s="697" t="s">
        <v>37861</v>
      </c>
    </row>
    <row r="10">
      <c r="A10" s="697">
        <v>1220.0</v>
      </c>
      <c r="B10" s="697" t="s">
        <v>37858</v>
      </c>
      <c r="C10" s="697" t="s">
        <v>37862</v>
      </c>
    </row>
    <row r="11">
      <c r="A11" s="697">
        <v>1221.0</v>
      </c>
      <c r="B11" s="697" t="s">
        <v>37858</v>
      </c>
      <c r="C11" s="697" t="s">
        <v>37863</v>
      </c>
    </row>
    <row r="12">
      <c r="A12" s="697">
        <v>1311.0</v>
      </c>
      <c r="B12" s="697" t="s">
        <v>37858</v>
      </c>
      <c r="C12" s="697" t="s">
        <v>37864</v>
      </c>
    </row>
    <row r="13">
      <c r="A13" s="697">
        <v>1381.0</v>
      </c>
      <c r="B13" s="697" t="s">
        <v>37858</v>
      </c>
      <c r="C13" s="697" t="s">
        <v>37865</v>
      </c>
    </row>
    <row r="14">
      <c r="A14" s="697">
        <v>1382.0</v>
      </c>
      <c r="B14" s="697" t="s">
        <v>37858</v>
      </c>
      <c r="C14" s="697" t="s">
        <v>37866</v>
      </c>
    </row>
    <row r="15">
      <c r="A15" s="697">
        <v>1389.0</v>
      </c>
      <c r="B15" s="697" t="s">
        <v>37858</v>
      </c>
      <c r="C15" s="697" t="s">
        <v>37867</v>
      </c>
    </row>
    <row r="16">
      <c r="A16" s="697">
        <v>1400.0</v>
      </c>
      <c r="B16" s="697" t="s">
        <v>37858</v>
      </c>
      <c r="C16" s="697" t="s">
        <v>37868</v>
      </c>
    </row>
    <row r="17">
      <c r="A17" s="697">
        <v>1520.0</v>
      </c>
      <c r="B17" s="697" t="s">
        <v>37869</v>
      </c>
      <c r="C17" s="697" t="s">
        <v>37870</v>
      </c>
    </row>
    <row r="18">
      <c r="A18" s="697">
        <v>1531.0</v>
      </c>
      <c r="B18" s="697" t="s">
        <v>37869</v>
      </c>
      <c r="C18" s="697" t="s">
        <v>37871</v>
      </c>
    </row>
    <row r="19">
      <c r="A19" s="697">
        <v>1540.0</v>
      </c>
      <c r="B19" s="697" t="s">
        <v>37869</v>
      </c>
      <c r="C19" s="697" t="s">
        <v>37872</v>
      </c>
    </row>
    <row r="20">
      <c r="A20" s="697">
        <v>1600.0</v>
      </c>
      <c r="B20" s="697" t="s">
        <v>37869</v>
      </c>
      <c r="C20" s="697" t="s">
        <v>37873</v>
      </c>
    </row>
    <row r="21">
      <c r="A21" s="697">
        <v>1623.0</v>
      </c>
      <c r="B21" s="697" t="s">
        <v>37869</v>
      </c>
      <c r="C21" s="697" t="s">
        <v>37874</v>
      </c>
    </row>
    <row r="22">
      <c r="A22" s="697">
        <v>1700.0</v>
      </c>
      <c r="B22" s="697" t="s">
        <v>37869</v>
      </c>
      <c r="C22" s="697" t="s">
        <v>37875</v>
      </c>
    </row>
    <row r="23">
      <c r="A23" s="697">
        <v>1731.0</v>
      </c>
      <c r="B23" s="697" t="s">
        <v>37869</v>
      </c>
      <c r="C23" s="697" t="s">
        <v>37876</v>
      </c>
    </row>
    <row r="24">
      <c r="A24" s="697">
        <v>2000.0</v>
      </c>
      <c r="B24" s="697" t="s">
        <v>37877</v>
      </c>
      <c r="C24" s="697" t="s">
        <v>37878</v>
      </c>
    </row>
    <row r="25">
      <c r="A25" s="697">
        <v>2011.0</v>
      </c>
      <c r="B25" s="697" t="s">
        <v>37877</v>
      </c>
      <c r="C25" s="697" t="s">
        <v>37879</v>
      </c>
    </row>
    <row r="26">
      <c r="A26" s="697">
        <v>2013.0</v>
      </c>
      <c r="B26" s="697" t="s">
        <v>37877</v>
      </c>
      <c r="C26" s="697" t="s">
        <v>37880</v>
      </c>
    </row>
    <row r="27">
      <c r="A27" s="697">
        <v>2015.0</v>
      </c>
      <c r="B27" s="697" t="s">
        <v>37877</v>
      </c>
      <c r="C27" s="697" t="s">
        <v>37881</v>
      </c>
    </row>
    <row r="28">
      <c r="A28" s="697">
        <v>2020.0</v>
      </c>
      <c r="B28" s="697" t="s">
        <v>37877</v>
      </c>
      <c r="C28" s="697" t="s">
        <v>37882</v>
      </c>
    </row>
    <row r="29">
      <c r="A29" s="697">
        <v>2024.0</v>
      </c>
      <c r="B29" s="697" t="s">
        <v>37877</v>
      </c>
      <c r="C29" s="697" t="s">
        <v>37883</v>
      </c>
    </row>
    <row r="30">
      <c r="A30" s="697">
        <v>2030.0</v>
      </c>
      <c r="B30" s="697" t="s">
        <v>37877</v>
      </c>
      <c r="C30" s="697" t="s">
        <v>37884</v>
      </c>
    </row>
    <row r="31">
      <c r="A31" s="697">
        <v>2033.0</v>
      </c>
      <c r="B31" s="697" t="s">
        <v>37877</v>
      </c>
      <c r="C31" s="697" t="s">
        <v>37885</v>
      </c>
    </row>
    <row r="32">
      <c r="A32" s="697">
        <v>2040.0</v>
      </c>
      <c r="B32" s="697" t="s">
        <v>37877</v>
      </c>
      <c r="C32" s="697" t="s">
        <v>37886</v>
      </c>
    </row>
    <row r="33">
      <c r="A33" s="697">
        <v>2050.0</v>
      </c>
      <c r="B33" s="697" t="s">
        <v>37877</v>
      </c>
      <c r="C33" s="697" t="s">
        <v>37887</v>
      </c>
    </row>
    <row r="34">
      <c r="A34" s="697">
        <v>2052.0</v>
      </c>
      <c r="B34" s="697" t="s">
        <v>37877</v>
      </c>
      <c r="C34" s="697" t="s">
        <v>37888</v>
      </c>
    </row>
    <row r="35">
      <c r="A35" s="697">
        <v>2060.0</v>
      </c>
      <c r="B35" s="697" t="s">
        <v>37877</v>
      </c>
      <c r="C35" s="697" t="s">
        <v>37889</v>
      </c>
    </row>
    <row r="36">
      <c r="A36" s="697">
        <v>2070.0</v>
      </c>
      <c r="B36" s="697" t="s">
        <v>37877</v>
      </c>
      <c r="C36" s="697" t="s">
        <v>37890</v>
      </c>
    </row>
    <row r="37">
      <c r="A37" s="697">
        <v>2080.0</v>
      </c>
      <c r="B37" s="697" t="s">
        <v>37877</v>
      </c>
      <c r="C37" s="697" t="s">
        <v>37891</v>
      </c>
    </row>
    <row r="38">
      <c r="A38" s="697">
        <v>2082.0</v>
      </c>
      <c r="B38" s="697" t="s">
        <v>37877</v>
      </c>
      <c r="C38" s="697" t="s">
        <v>37892</v>
      </c>
    </row>
    <row r="39">
      <c r="A39" s="697">
        <v>2086.0</v>
      </c>
      <c r="B39" s="697" t="s">
        <v>37877</v>
      </c>
      <c r="C39" s="697" t="s">
        <v>37893</v>
      </c>
    </row>
    <row r="40">
      <c r="A40" s="697">
        <v>2090.0</v>
      </c>
      <c r="B40" s="697" t="s">
        <v>37877</v>
      </c>
      <c r="C40" s="697" t="s">
        <v>37894</v>
      </c>
    </row>
    <row r="41">
      <c r="A41" s="697">
        <v>2092.0</v>
      </c>
      <c r="B41" s="697" t="s">
        <v>37877</v>
      </c>
      <c r="C41" s="697" t="s">
        <v>37895</v>
      </c>
    </row>
    <row r="42">
      <c r="A42" s="697">
        <v>2100.0</v>
      </c>
      <c r="B42" s="697" t="s">
        <v>37877</v>
      </c>
      <c r="C42" s="697" t="s">
        <v>37896</v>
      </c>
    </row>
    <row r="43">
      <c r="A43" s="697">
        <v>2111.0</v>
      </c>
      <c r="B43" s="697" t="s">
        <v>37877</v>
      </c>
      <c r="C43" s="697" t="s">
        <v>37897</v>
      </c>
    </row>
    <row r="44">
      <c r="A44" s="697">
        <v>2200.0</v>
      </c>
      <c r="B44" s="697" t="s">
        <v>37877</v>
      </c>
      <c r="C44" s="697" t="s">
        <v>37898</v>
      </c>
    </row>
    <row r="45">
      <c r="A45" s="697">
        <v>2211.0</v>
      </c>
      <c r="B45" s="697" t="s">
        <v>37877</v>
      </c>
      <c r="C45" s="697" t="s">
        <v>37899</v>
      </c>
    </row>
    <row r="46">
      <c r="A46" s="697">
        <v>2221.0</v>
      </c>
      <c r="B46" s="697" t="s">
        <v>37877</v>
      </c>
      <c r="C46" s="697" t="s">
        <v>37900</v>
      </c>
    </row>
    <row r="47">
      <c r="A47" s="697">
        <v>2250.0</v>
      </c>
      <c r="B47" s="697" t="s">
        <v>37877</v>
      </c>
      <c r="C47" s="697" t="s">
        <v>37901</v>
      </c>
    </row>
    <row r="48">
      <c r="A48" s="697">
        <v>2253.0</v>
      </c>
      <c r="B48" s="697" t="s">
        <v>37877</v>
      </c>
      <c r="C48" s="697" t="s">
        <v>37902</v>
      </c>
    </row>
    <row r="49">
      <c r="A49" s="697">
        <v>2273.0</v>
      </c>
      <c r="B49" s="697" t="s">
        <v>37877</v>
      </c>
      <c r="C49" s="697" t="s">
        <v>37903</v>
      </c>
    </row>
    <row r="50">
      <c r="A50" s="697">
        <v>2300.0</v>
      </c>
      <c r="B50" s="697" t="s">
        <v>37877</v>
      </c>
      <c r="C50" s="697" t="s">
        <v>37904</v>
      </c>
    </row>
    <row r="51">
      <c r="A51" s="697">
        <v>2320.0</v>
      </c>
      <c r="B51" s="697" t="s">
        <v>37877</v>
      </c>
      <c r="C51" s="697" t="s">
        <v>37905</v>
      </c>
    </row>
    <row r="52">
      <c r="A52" s="697">
        <v>2330.0</v>
      </c>
      <c r="B52" s="697" t="s">
        <v>37877</v>
      </c>
      <c r="C52" s="697" t="s">
        <v>37906</v>
      </c>
    </row>
    <row r="53">
      <c r="A53" s="697">
        <v>2340.0</v>
      </c>
      <c r="B53" s="697" t="s">
        <v>37877</v>
      </c>
      <c r="C53" s="697" t="s">
        <v>37907</v>
      </c>
    </row>
    <row r="54">
      <c r="A54" s="697">
        <v>2390.0</v>
      </c>
      <c r="B54" s="697" t="s">
        <v>37877</v>
      </c>
      <c r="C54" s="697" t="s">
        <v>37908</v>
      </c>
    </row>
    <row r="55">
      <c r="A55" s="697">
        <v>2400.0</v>
      </c>
      <c r="B55" s="697" t="s">
        <v>37877</v>
      </c>
      <c r="C55" s="697" t="s">
        <v>37909</v>
      </c>
    </row>
    <row r="56">
      <c r="A56" s="697">
        <v>2421.0</v>
      </c>
      <c r="B56" s="697" t="s">
        <v>37877</v>
      </c>
      <c r="C56" s="697" t="s">
        <v>37910</v>
      </c>
    </row>
    <row r="57">
      <c r="A57" s="697">
        <v>2430.0</v>
      </c>
      <c r="B57" s="697" t="s">
        <v>37877</v>
      </c>
      <c r="C57" s="697" t="s">
        <v>37911</v>
      </c>
    </row>
    <row r="58">
      <c r="A58" s="697">
        <v>2451.0</v>
      </c>
      <c r="B58" s="697" t="s">
        <v>37877</v>
      </c>
      <c r="C58" s="697" t="s">
        <v>37912</v>
      </c>
    </row>
    <row r="59">
      <c r="A59" s="697">
        <v>2452.0</v>
      </c>
      <c r="B59" s="697" t="s">
        <v>37877</v>
      </c>
      <c r="C59" s="697" t="s">
        <v>37913</v>
      </c>
    </row>
    <row r="60">
      <c r="A60" s="697">
        <v>2510.0</v>
      </c>
      <c r="B60" s="697" t="s">
        <v>37877</v>
      </c>
      <c r="C60" s="697" t="s">
        <v>37914</v>
      </c>
    </row>
    <row r="61">
      <c r="A61" s="697">
        <v>2511.0</v>
      </c>
      <c r="B61" s="697" t="s">
        <v>37877</v>
      </c>
      <c r="C61" s="697" t="s">
        <v>37915</v>
      </c>
    </row>
    <row r="62">
      <c r="A62" s="697">
        <v>2520.0</v>
      </c>
      <c r="B62" s="697" t="s">
        <v>37877</v>
      </c>
      <c r="C62" s="697" t="s">
        <v>37916</v>
      </c>
    </row>
    <row r="63">
      <c r="A63" s="697">
        <v>2522.0</v>
      </c>
      <c r="B63" s="697" t="s">
        <v>37877</v>
      </c>
      <c r="C63" s="697" t="s">
        <v>37917</v>
      </c>
    </row>
    <row r="64">
      <c r="A64" s="697">
        <v>2531.0</v>
      </c>
      <c r="B64" s="697" t="s">
        <v>37877</v>
      </c>
      <c r="C64" s="697" t="s">
        <v>37918</v>
      </c>
    </row>
    <row r="65">
      <c r="A65" s="697">
        <v>2540.0</v>
      </c>
      <c r="B65" s="697" t="s">
        <v>37877</v>
      </c>
      <c r="C65" s="697" t="s">
        <v>37919</v>
      </c>
    </row>
    <row r="66">
      <c r="A66" s="697">
        <v>2590.0</v>
      </c>
      <c r="B66" s="697" t="s">
        <v>37877</v>
      </c>
      <c r="C66" s="697" t="s">
        <v>37920</v>
      </c>
    </row>
    <row r="67">
      <c r="A67" s="697">
        <v>2600.0</v>
      </c>
      <c r="B67" s="697" t="s">
        <v>37877</v>
      </c>
      <c r="C67" s="697" t="s">
        <v>37921</v>
      </c>
    </row>
    <row r="68">
      <c r="A68" s="697">
        <v>2611.0</v>
      </c>
      <c r="B68" s="697" t="s">
        <v>37877</v>
      </c>
      <c r="C68" s="697" t="s">
        <v>37922</v>
      </c>
    </row>
    <row r="69">
      <c r="A69" s="697">
        <v>2621.0</v>
      </c>
      <c r="B69" s="697" t="s">
        <v>37877</v>
      </c>
      <c r="C69" s="697" t="s">
        <v>37923</v>
      </c>
    </row>
    <row r="70">
      <c r="A70" s="697">
        <v>2631.0</v>
      </c>
      <c r="B70" s="697" t="s">
        <v>37877</v>
      </c>
      <c r="C70" s="697" t="s">
        <v>37924</v>
      </c>
    </row>
    <row r="71">
      <c r="A71" s="697">
        <v>2650.0</v>
      </c>
      <c r="B71" s="697" t="s">
        <v>37877</v>
      </c>
      <c r="C71" s="697" t="s">
        <v>37925</v>
      </c>
    </row>
    <row r="72">
      <c r="A72" s="697">
        <v>2670.0</v>
      </c>
      <c r="B72" s="697" t="s">
        <v>37877</v>
      </c>
      <c r="C72" s="697" t="s">
        <v>37926</v>
      </c>
    </row>
    <row r="73">
      <c r="A73" s="697">
        <v>2673.0</v>
      </c>
      <c r="B73" s="697" t="s">
        <v>37877</v>
      </c>
      <c r="C73" s="697" t="s">
        <v>37927</v>
      </c>
    </row>
    <row r="74">
      <c r="A74" s="697">
        <v>2711.0</v>
      </c>
      <c r="B74" s="697" t="s">
        <v>37877</v>
      </c>
      <c r="C74" s="697" t="s">
        <v>37928</v>
      </c>
    </row>
    <row r="75">
      <c r="A75" s="697">
        <v>2721.0</v>
      </c>
      <c r="B75" s="697" t="s">
        <v>37877</v>
      </c>
      <c r="C75" s="697" t="s">
        <v>37929</v>
      </c>
    </row>
    <row r="76">
      <c r="A76" s="697">
        <v>2731.0</v>
      </c>
      <c r="B76" s="697" t="s">
        <v>37877</v>
      </c>
      <c r="C76" s="697" t="s">
        <v>37930</v>
      </c>
    </row>
    <row r="77">
      <c r="A77" s="697">
        <v>2732.0</v>
      </c>
      <c r="B77" s="697" t="s">
        <v>37877</v>
      </c>
      <c r="C77" s="697" t="s">
        <v>37931</v>
      </c>
    </row>
    <row r="78">
      <c r="A78" s="697">
        <v>2741.0</v>
      </c>
      <c r="B78" s="697" t="s">
        <v>37877</v>
      </c>
      <c r="C78" s="697" t="s">
        <v>37932</v>
      </c>
    </row>
    <row r="79">
      <c r="A79" s="697">
        <v>2750.0</v>
      </c>
      <c r="B79" s="697" t="s">
        <v>37877</v>
      </c>
      <c r="C79" s="697" t="s">
        <v>37933</v>
      </c>
    </row>
    <row r="80">
      <c r="A80" s="697">
        <v>2761.0</v>
      </c>
      <c r="B80" s="697" t="s">
        <v>37877</v>
      </c>
      <c r="C80" s="697" t="s">
        <v>37934</v>
      </c>
    </row>
    <row r="81">
      <c r="A81" s="697">
        <v>2771.0</v>
      </c>
      <c r="B81" s="697" t="s">
        <v>37877</v>
      </c>
      <c r="C81" s="697" t="s">
        <v>37935</v>
      </c>
    </row>
    <row r="82">
      <c r="A82" s="697">
        <v>2780.0</v>
      </c>
      <c r="B82" s="697" t="s">
        <v>37877</v>
      </c>
      <c r="C82" s="697" t="s">
        <v>37936</v>
      </c>
    </row>
    <row r="83">
      <c r="A83" s="697">
        <v>2790.0</v>
      </c>
      <c r="B83" s="697" t="s">
        <v>37877</v>
      </c>
      <c r="C83" s="697" t="s">
        <v>37937</v>
      </c>
    </row>
    <row r="84">
      <c r="A84" s="697">
        <v>2800.0</v>
      </c>
      <c r="B84" s="697" t="s">
        <v>37852</v>
      </c>
      <c r="C84" s="697" t="s">
        <v>37938</v>
      </c>
    </row>
    <row r="85">
      <c r="A85" s="697">
        <v>2810.0</v>
      </c>
      <c r="B85" s="697" t="s">
        <v>37852</v>
      </c>
      <c r="C85" s="697" t="s">
        <v>37939</v>
      </c>
    </row>
    <row r="86">
      <c r="A86" s="697">
        <v>2820.0</v>
      </c>
      <c r="B86" s="697" t="s">
        <v>37852</v>
      </c>
      <c r="C86" s="697" t="s">
        <v>37940</v>
      </c>
    </row>
    <row r="87">
      <c r="A87" s="697">
        <v>2821.0</v>
      </c>
      <c r="B87" s="697" t="s">
        <v>37852</v>
      </c>
      <c r="C87" s="697" t="s">
        <v>37941</v>
      </c>
    </row>
    <row r="88">
      <c r="A88" s="697">
        <v>2833.0</v>
      </c>
      <c r="B88" s="697" t="s">
        <v>37942</v>
      </c>
      <c r="C88" s="697" t="s">
        <v>37943</v>
      </c>
    </row>
    <row r="89">
      <c r="A89" s="697">
        <v>2834.0</v>
      </c>
      <c r="B89" s="697" t="s">
        <v>37942</v>
      </c>
      <c r="C89" s="697" t="s">
        <v>37944</v>
      </c>
    </row>
    <row r="90">
      <c r="A90" s="697">
        <v>2835.0</v>
      </c>
      <c r="B90" s="697" t="s">
        <v>37942</v>
      </c>
      <c r="C90" s="697" t="s">
        <v>37945</v>
      </c>
    </row>
    <row r="91">
      <c r="A91" s="697">
        <v>2836.0</v>
      </c>
      <c r="B91" s="697" t="s">
        <v>37942</v>
      </c>
      <c r="C91" s="697" t="s">
        <v>37946</v>
      </c>
    </row>
    <row r="92">
      <c r="A92" s="697">
        <v>2840.0</v>
      </c>
      <c r="B92" s="697" t="s">
        <v>37852</v>
      </c>
      <c r="C92" s="697" t="s">
        <v>37947</v>
      </c>
    </row>
    <row r="93">
      <c r="A93" s="697">
        <v>2842.0</v>
      </c>
      <c r="B93" s="697" t="s">
        <v>37852</v>
      </c>
      <c r="C93" s="697" t="s">
        <v>37948</v>
      </c>
    </row>
    <row r="94">
      <c r="A94" s="697">
        <v>2844.0</v>
      </c>
      <c r="B94" s="697" t="s">
        <v>37852</v>
      </c>
      <c r="C94" s="697" t="s">
        <v>37949</v>
      </c>
    </row>
    <row r="95">
      <c r="A95" s="697">
        <v>2851.0</v>
      </c>
      <c r="B95" s="697" t="s">
        <v>37852</v>
      </c>
      <c r="C95" s="697" t="s">
        <v>37950</v>
      </c>
    </row>
    <row r="96">
      <c r="A96" s="697">
        <v>2860.0</v>
      </c>
      <c r="B96" s="697" t="s">
        <v>37852</v>
      </c>
      <c r="C96" s="697" t="s">
        <v>37951</v>
      </c>
    </row>
    <row r="97">
      <c r="A97" s="697">
        <v>2870.0</v>
      </c>
      <c r="B97" s="697" t="s">
        <v>37852</v>
      </c>
      <c r="C97" s="697" t="s">
        <v>37952</v>
      </c>
    </row>
    <row r="98">
      <c r="A98" s="697">
        <v>2890.0</v>
      </c>
      <c r="B98" s="697" t="s">
        <v>37852</v>
      </c>
      <c r="C98" s="697" t="s">
        <v>37953</v>
      </c>
    </row>
    <row r="99">
      <c r="A99" s="697">
        <v>2891.0</v>
      </c>
      <c r="B99" s="697" t="s">
        <v>37852</v>
      </c>
      <c r="C99" s="697" t="s">
        <v>37954</v>
      </c>
    </row>
    <row r="100">
      <c r="A100" s="697">
        <v>2911.0</v>
      </c>
      <c r="B100" s="697" t="s">
        <v>37858</v>
      </c>
      <c r="C100" s="697" t="s">
        <v>37955</v>
      </c>
    </row>
    <row r="101">
      <c r="A101" s="697">
        <v>2950.0</v>
      </c>
      <c r="B101" s="697" t="s">
        <v>37858</v>
      </c>
      <c r="C101" s="697" t="s">
        <v>37956</v>
      </c>
    </row>
    <row r="102">
      <c r="A102" s="697">
        <v>2990.0</v>
      </c>
      <c r="B102" s="697" t="s">
        <v>37858</v>
      </c>
      <c r="C102" s="697" t="s">
        <v>37957</v>
      </c>
    </row>
    <row r="103">
      <c r="A103" s="697">
        <v>3011.0</v>
      </c>
      <c r="B103" s="697" t="s">
        <v>37877</v>
      </c>
      <c r="C103" s="697" t="s">
        <v>37958</v>
      </c>
    </row>
    <row r="104">
      <c r="A104" s="697">
        <v>3021.0</v>
      </c>
      <c r="B104" s="697" t="s">
        <v>37877</v>
      </c>
      <c r="C104" s="697" t="s">
        <v>37959</v>
      </c>
    </row>
    <row r="105">
      <c r="A105" s="697">
        <v>3050.0</v>
      </c>
      <c r="B105" s="697" t="s">
        <v>37877</v>
      </c>
      <c r="C105" s="697" t="s">
        <v>37960</v>
      </c>
    </row>
    <row r="106">
      <c r="A106" s="697">
        <v>3060.0</v>
      </c>
      <c r="B106" s="697" t="s">
        <v>37877</v>
      </c>
      <c r="C106" s="697" t="s">
        <v>37961</v>
      </c>
    </row>
    <row r="107">
      <c r="A107" s="697">
        <v>3080.0</v>
      </c>
      <c r="B107" s="697" t="s">
        <v>37852</v>
      </c>
      <c r="C107" s="697" t="s">
        <v>37962</v>
      </c>
    </row>
    <row r="108">
      <c r="A108" s="697">
        <v>3081.0</v>
      </c>
      <c r="B108" s="697" t="s">
        <v>37852</v>
      </c>
      <c r="C108" s="697" t="s">
        <v>37963</v>
      </c>
    </row>
    <row r="109">
      <c r="A109" s="697">
        <v>3086.0</v>
      </c>
      <c r="B109" s="697" t="s">
        <v>37852</v>
      </c>
      <c r="C109" s="697" t="s">
        <v>37964</v>
      </c>
    </row>
    <row r="110">
      <c r="A110" s="697">
        <v>3089.0</v>
      </c>
      <c r="B110" s="697" t="s">
        <v>37852</v>
      </c>
      <c r="C110" s="697" t="s">
        <v>37965</v>
      </c>
    </row>
    <row r="111">
      <c r="A111" s="697">
        <v>3100.0</v>
      </c>
      <c r="B111" s="697" t="s">
        <v>37877</v>
      </c>
      <c r="C111" s="697" t="s">
        <v>37966</v>
      </c>
    </row>
    <row r="112">
      <c r="A112" s="697">
        <v>3140.0</v>
      </c>
      <c r="B112" s="697" t="s">
        <v>37877</v>
      </c>
      <c r="C112" s="697" t="s">
        <v>37967</v>
      </c>
    </row>
    <row r="113">
      <c r="A113" s="697">
        <v>3211.0</v>
      </c>
      <c r="B113" s="697" t="s">
        <v>37877</v>
      </c>
      <c r="C113" s="697" t="s">
        <v>37968</v>
      </c>
    </row>
    <row r="114">
      <c r="A114" s="697">
        <v>3220.0</v>
      </c>
      <c r="B114" s="697" t="s">
        <v>37877</v>
      </c>
      <c r="C114" s="697" t="s">
        <v>37969</v>
      </c>
    </row>
    <row r="115">
      <c r="A115" s="697">
        <v>3221.0</v>
      </c>
      <c r="B115" s="697" t="s">
        <v>37877</v>
      </c>
      <c r="C115" s="697" t="s">
        <v>37970</v>
      </c>
    </row>
    <row r="116">
      <c r="A116" s="697">
        <v>3231.0</v>
      </c>
      <c r="B116" s="697" t="s">
        <v>37877</v>
      </c>
      <c r="C116" s="697" t="s">
        <v>37971</v>
      </c>
    </row>
    <row r="117">
      <c r="A117" s="697">
        <v>3241.0</v>
      </c>
      <c r="B117" s="697" t="s">
        <v>37877</v>
      </c>
      <c r="C117" s="697" t="s">
        <v>37972</v>
      </c>
    </row>
    <row r="118">
      <c r="A118" s="697">
        <v>3250.0</v>
      </c>
      <c r="B118" s="697" t="s">
        <v>37877</v>
      </c>
      <c r="C118" s="697" t="s">
        <v>37973</v>
      </c>
    </row>
    <row r="119">
      <c r="A119" s="697">
        <v>3260.0</v>
      </c>
      <c r="B119" s="697" t="s">
        <v>37877</v>
      </c>
      <c r="C119" s="697" t="s">
        <v>37974</v>
      </c>
    </row>
    <row r="120">
      <c r="A120" s="697">
        <v>3270.0</v>
      </c>
      <c r="B120" s="697" t="s">
        <v>37877</v>
      </c>
      <c r="C120" s="697" t="s">
        <v>37975</v>
      </c>
    </row>
    <row r="121">
      <c r="A121" s="697">
        <v>3272.0</v>
      </c>
      <c r="B121" s="697" t="s">
        <v>37877</v>
      </c>
      <c r="C121" s="697" t="s">
        <v>37976</v>
      </c>
    </row>
    <row r="122">
      <c r="A122" s="697">
        <v>3281.0</v>
      </c>
      <c r="B122" s="697" t="s">
        <v>37877</v>
      </c>
      <c r="C122" s="697" t="s">
        <v>37977</v>
      </c>
    </row>
    <row r="123">
      <c r="A123" s="697">
        <v>3290.0</v>
      </c>
      <c r="B123" s="697" t="s">
        <v>37877</v>
      </c>
      <c r="C123" s="697" t="s">
        <v>37978</v>
      </c>
    </row>
    <row r="124">
      <c r="A124" s="697">
        <v>3310.0</v>
      </c>
      <c r="B124" s="697" t="s">
        <v>37877</v>
      </c>
      <c r="C124" s="697" t="s">
        <v>37979</v>
      </c>
    </row>
    <row r="125">
      <c r="A125" s="697">
        <v>3312.0</v>
      </c>
      <c r="B125" s="697" t="s">
        <v>37877</v>
      </c>
      <c r="C125" s="697" t="s">
        <v>37980</v>
      </c>
    </row>
    <row r="126">
      <c r="A126" s="697">
        <v>3317.0</v>
      </c>
      <c r="B126" s="697" t="s">
        <v>37877</v>
      </c>
      <c r="C126" s="697" t="s">
        <v>37981</v>
      </c>
    </row>
    <row r="127">
      <c r="A127" s="697">
        <v>3320.0</v>
      </c>
      <c r="B127" s="697" t="s">
        <v>37877</v>
      </c>
      <c r="C127" s="697" t="s">
        <v>37982</v>
      </c>
    </row>
    <row r="128">
      <c r="A128" s="697">
        <v>3330.0</v>
      </c>
      <c r="B128" s="697" t="s">
        <v>37877</v>
      </c>
      <c r="C128" s="697" t="s">
        <v>37983</v>
      </c>
    </row>
    <row r="129">
      <c r="A129" s="697">
        <v>3334.0</v>
      </c>
      <c r="B129" s="697" t="s">
        <v>37877</v>
      </c>
      <c r="C129" s="697" t="s">
        <v>37984</v>
      </c>
    </row>
    <row r="130">
      <c r="A130" s="697">
        <v>3341.0</v>
      </c>
      <c r="B130" s="697" t="s">
        <v>37877</v>
      </c>
      <c r="C130" s="697" t="s">
        <v>37985</v>
      </c>
    </row>
    <row r="131">
      <c r="A131" s="697">
        <v>3350.0</v>
      </c>
      <c r="B131" s="697" t="s">
        <v>37877</v>
      </c>
      <c r="C131" s="697" t="s">
        <v>37986</v>
      </c>
    </row>
    <row r="132">
      <c r="A132" s="697">
        <v>3357.0</v>
      </c>
      <c r="B132" s="697" t="s">
        <v>37877</v>
      </c>
      <c r="C132" s="697" t="s">
        <v>37987</v>
      </c>
    </row>
    <row r="133">
      <c r="A133" s="697">
        <v>3360.0</v>
      </c>
      <c r="B133" s="697" t="s">
        <v>37877</v>
      </c>
      <c r="C133" s="697" t="s">
        <v>37988</v>
      </c>
    </row>
    <row r="134">
      <c r="A134" s="697">
        <v>3390.0</v>
      </c>
      <c r="B134" s="697" t="s">
        <v>37877</v>
      </c>
      <c r="C134" s="697" t="s">
        <v>37989</v>
      </c>
    </row>
    <row r="135">
      <c r="A135" s="697">
        <v>3411.0</v>
      </c>
      <c r="B135" s="697" t="s">
        <v>37877</v>
      </c>
      <c r="C135" s="697" t="s">
        <v>37990</v>
      </c>
    </row>
    <row r="136">
      <c r="A136" s="697">
        <v>3412.0</v>
      </c>
      <c r="B136" s="697" t="s">
        <v>37877</v>
      </c>
      <c r="C136" s="697" t="s">
        <v>37991</v>
      </c>
    </row>
    <row r="137">
      <c r="A137" s="697">
        <v>3420.0</v>
      </c>
      <c r="B137" s="697" t="s">
        <v>37877</v>
      </c>
      <c r="C137" s="697" t="s">
        <v>37992</v>
      </c>
    </row>
    <row r="138">
      <c r="A138" s="697">
        <v>3430.0</v>
      </c>
      <c r="B138" s="697" t="s">
        <v>37877</v>
      </c>
      <c r="C138" s="697" t="s">
        <v>37993</v>
      </c>
    </row>
    <row r="139">
      <c r="A139" s="697">
        <v>3433.0</v>
      </c>
      <c r="B139" s="697" t="s">
        <v>37877</v>
      </c>
      <c r="C139" s="697" t="s">
        <v>37994</v>
      </c>
    </row>
    <row r="140">
      <c r="A140" s="697">
        <v>3440.0</v>
      </c>
      <c r="B140" s="697" t="s">
        <v>37877</v>
      </c>
      <c r="C140" s="697" t="s">
        <v>37995</v>
      </c>
    </row>
    <row r="141">
      <c r="A141" s="697">
        <v>3442.0</v>
      </c>
      <c r="B141" s="697" t="s">
        <v>37877</v>
      </c>
      <c r="C141" s="697" t="s">
        <v>37996</v>
      </c>
    </row>
    <row r="142">
      <c r="A142" s="697">
        <v>3443.0</v>
      </c>
      <c r="B142" s="697" t="s">
        <v>37877</v>
      </c>
      <c r="C142" s="697" t="s">
        <v>37997</v>
      </c>
    </row>
    <row r="143">
      <c r="A143" s="697">
        <v>3444.0</v>
      </c>
      <c r="B143" s="697" t="s">
        <v>37877</v>
      </c>
      <c r="C143" s="697" t="s">
        <v>37998</v>
      </c>
    </row>
    <row r="144">
      <c r="A144" s="697">
        <v>3448.0</v>
      </c>
      <c r="B144" s="697" t="s">
        <v>37877</v>
      </c>
      <c r="C144" s="697" t="s">
        <v>37999</v>
      </c>
    </row>
    <row r="145">
      <c r="A145" s="697">
        <v>3451.0</v>
      </c>
      <c r="B145" s="697" t="s">
        <v>37877</v>
      </c>
      <c r="C145" s="697" t="s">
        <v>38000</v>
      </c>
    </row>
    <row r="146">
      <c r="A146" s="697">
        <v>3452.0</v>
      </c>
      <c r="B146" s="697" t="s">
        <v>37877</v>
      </c>
      <c r="C146" s="697" t="s">
        <v>38001</v>
      </c>
    </row>
    <row r="147">
      <c r="A147" s="697">
        <v>3460.0</v>
      </c>
      <c r="B147" s="697" t="s">
        <v>37877</v>
      </c>
      <c r="C147" s="697" t="s">
        <v>38002</v>
      </c>
    </row>
    <row r="148">
      <c r="A148" s="697">
        <v>3470.0</v>
      </c>
      <c r="B148" s="697" t="s">
        <v>37877</v>
      </c>
      <c r="C148" s="697" t="s">
        <v>38003</v>
      </c>
    </row>
    <row r="149">
      <c r="A149" s="697">
        <v>3480.0</v>
      </c>
      <c r="B149" s="697" t="s">
        <v>37877</v>
      </c>
      <c r="C149" s="697" t="s">
        <v>38004</v>
      </c>
    </row>
    <row r="150">
      <c r="A150" s="697">
        <v>3490.0</v>
      </c>
      <c r="B150" s="697" t="s">
        <v>37877</v>
      </c>
      <c r="C150" s="697" t="s">
        <v>38005</v>
      </c>
    </row>
    <row r="151">
      <c r="A151" s="697">
        <v>3510.0</v>
      </c>
      <c r="B151" s="697" t="s">
        <v>38006</v>
      </c>
      <c r="C151" s="697" t="s">
        <v>38007</v>
      </c>
    </row>
    <row r="152">
      <c r="A152" s="697">
        <v>3523.0</v>
      </c>
      <c r="B152" s="697" t="s">
        <v>38006</v>
      </c>
      <c r="C152" s="697" t="s">
        <v>38008</v>
      </c>
    </row>
    <row r="153">
      <c r="A153" s="697">
        <v>3524.0</v>
      </c>
      <c r="B153" s="697" t="s">
        <v>38006</v>
      </c>
      <c r="C153" s="697" t="s">
        <v>38009</v>
      </c>
    </row>
    <row r="154">
      <c r="A154" s="697">
        <v>3530.0</v>
      </c>
      <c r="B154" s="697" t="s">
        <v>38006</v>
      </c>
      <c r="C154" s="697" t="s">
        <v>38010</v>
      </c>
    </row>
    <row r="155">
      <c r="A155" s="697">
        <v>3531.0</v>
      </c>
      <c r="B155" s="697" t="s">
        <v>38006</v>
      </c>
      <c r="C155" s="697" t="s">
        <v>38011</v>
      </c>
    </row>
    <row r="156">
      <c r="A156" s="697">
        <v>3532.0</v>
      </c>
      <c r="B156" s="697" t="s">
        <v>38006</v>
      </c>
      <c r="C156" s="697" t="s">
        <v>38012</v>
      </c>
    </row>
    <row r="157">
      <c r="A157" s="697">
        <v>3533.0</v>
      </c>
      <c r="B157" s="697" t="s">
        <v>38006</v>
      </c>
      <c r="C157" s="697" t="s">
        <v>38013</v>
      </c>
    </row>
    <row r="158">
      <c r="A158" s="697">
        <v>3537.0</v>
      </c>
      <c r="B158" s="697" t="s">
        <v>38006</v>
      </c>
      <c r="C158" s="697" t="s">
        <v>38014</v>
      </c>
    </row>
    <row r="159">
      <c r="A159" s="697">
        <v>3540.0</v>
      </c>
      <c r="B159" s="697" t="s">
        <v>38006</v>
      </c>
      <c r="C159" s="697" t="s">
        <v>38015</v>
      </c>
    </row>
    <row r="160">
      <c r="A160" s="697">
        <v>3541.0</v>
      </c>
      <c r="B160" s="697" t="s">
        <v>38006</v>
      </c>
      <c r="C160" s="697" t="s">
        <v>38016</v>
      </c>
    </row>
    <row r="161">
      <c r="A161" s="697">
        <v>3550.0</v>
      </c>
      <c r="B161" s="697" t="s">
        <v>38006</v>
      </c>
      <c r="C161" s="697" t="s">
        <v>38017</v>
      </c>
    </row>
    <row r="162">
      <c r="A162" s="697">
        <v>3555.0</v>
      </c>
      <c r="B162" s="697" t="s">
        <v>38006</v>
      </c>
      <c r="C162" s="697" t="s">
        <v>38018</v>
      </c>
    </row>
    <row r="163">
      <c r="A163" s="697">
        <v>3559.0</v>
      </c>
      <c r="B163" s="697" t="s">
        <v>38006</v>
      </c>
      <c r="C163" s="697" t="s">
        <v>38019</v>
      </c>
    </row>
    <row r="164">
      <c r="A164" s="697">
        <v>3560.0</v>
      </c>
      <c r="B164" s="697" t="s">
        <v>38006</v>
      </c>
      <c r="C164" s="697" t="s">
        <v>38020</v>
      </c>
    </row>
    <row r="165">
      <c r="A165" s="697">
        <v>3561.0</v>
      </c>
      <c r="B165" s="697" t="s">
        <v>38006</v>
      </c>
      <c r="C165" s="697" t="s">
        <v>38021</v>
      </c>
    </row>
    <row r="166">
      <c r="A166" s="697">
        <v>3562.0</v>
      </c>
      <c r="B166" s="697" t="s">
        <v>38006</v>
      </c>
      <c r="C166" s="697" t="s">
        <v>38022</v>
      </c>
    </row>
    <row r="167">
      <c r="A167" s="697">
        <v>3564.0</v>
      </c>
      <c r="B167" s="697" t="s">
        <v>38006</v>
      </c>
      <c r="C167" s="697" t="s">
        <v>38023</v>
      </c>
    </row>
    <row r="168">
      <c r="A168" s="697">
        <v>3567.0</v>
      </c>
      <c r="B168" s="697" t="s">
        <v>38006</v>
      </c>
      <c r="C168" s="697" t="s">
        <v>38024</v>
      </c>
    </row>
    <row r="169">
      <c r="A169" s="697">
        <v>3569.0</v>
      </c>
      <c r="B169" s="697" t="s">
        <v>38006</v>
      </c>
      <c r="C169" s="697" t="s">
        <v>38025</v>
      </c>
    </row>
    <row r="170">
      <c r="A170" s="697">
        <v>3570.0</v>
      </c>
      <c r="B170" s="697" t="s">
        <v>38006</v>
      </c>
      <c r="C170" s="697" t="s">
        <v>38026</v>
      </c>
    </row>
    <row r="171">
      <c r="A171" s="697">
        <v>3571.0</v>
      </c>
      <c r="B171" s="697" t="s">
        <v>38006</v>
      </c>
      <c r="C171" s="697" t="s">
        <v>38027</v>
      </c>
    </row>
    <row r="172">
      <c r="A172" s="697">
        <v>3572.0</v>
      </c>
      <c r="B172" s="697" t="s">
        <v>38006</v>
      </c>
      <c r="C172" s="697" t="s">
        <v>38028</v>
      </c>
    </row>
    <row r="173">
      <c r="A173" s="697">
        <v>3575.0</v>
      </c>
      <c r="B173" s="697" t="s">
        <v>38006</v>
      </c>
      <c r="C173" s="697" t="s">
        <v>38029</v>
      </c>
    </row>
    <row r="174">
      <c r="A174" s="697">
        <v>3576.0</v>
      </c>
      <c r="B174" s="697" t="s">
        <v>38006</v>
      </c>
      <c r="C174" s="697" t="s">
        <v>38030</v>
      </c>
    </row>
    <row r="175">
      <c r="A175" s="697">
        <v>3577.0</v>
      </c>
      <c r="B175" s="697" t="s">
        <v>38006</v>
      </c>
      <c r="C175" s="697" t="s">
        <v>38031</v>
      </c>
    </row>
    <row r="176">
      <c r="A176" s="697">
        <v>3578.0</v>
      </c>
      <c r="B176" s="697" t="s">
        <v>38006</v>
      </c>
      <c r="C176" s="697" t="s">
        <v>38032</v>
      </c>
    </row>
    <row r="177">
      <c r="A177" s="697">
        <v>3579.0</v>
      </c>
      <c r="B177" s="697" t="s">
        <v>38006</v>
      </c>
      <c r="C177" s="697" t="s">
        <v>38033</v>
      </c>
    </row>
    <row r="178">
      <c r="A178" s="697">
        <v>3580.0</v>
      </c>
      <c r="B178" s="697" t="s">
        <v>38006</v>
      </c>
      <c r="C178" s="697" t="s">
        <v>38034</v>
      </c>
    </row>
    <row r="179">
      <c r="A179" s="697">
        <v>3585.0</v>
      </c>
      <c r="B179" s="697" t="s">
        <v>38006</v>
      </c>
      <c r="C179" s="697" t="s">
        <v>38035</v>
      </c>
    </row>
    <row r="180">
      <c r="A180" s="697">
        <v>3590.0</v>
      </c>
      <c r="B180" s="697" t="s">
        <v>38006</v>
      </c>
      <c r="C180" s="697" t="s">
        <v>38036</v>
      </c>
    </row>
    <row r="181">
      <c r="A181" s="697">
        <v>3600.0</v>
      </c>
      <c r="B181" s="697" t="s">
        <v>37877</v>
      </c>
      <c r="C181" s="697" t="s">
        <v>38037</v>
      </c>
    </row>
    <row r="182">
      <c r="A182" s="697">
        <v>3612.0</v>
      </c>
      <c r="B182" s="697" t="s">
        <v>37877</v>
      </c>
      <c r="C182" s="697" t="s">
        <v>38038</v>
      </c>
    </row>
    <row r="183">
      <c r="A183" s="697">
        <v>3613.0</v>
      </c>
      <c r="B183" s="697" t="s">
        <v>37877</v>
      </c>
      <c r="C183" s="697" t="s">
        <v>38039</v>
      </c>
    </row>
    <row r="184">
      <c r="A184" s="697">
        <v>3620.0</v>
      </c>
      <c r="B184" s="697" t="s">
        <v>37877</v>
      </c>
      <c r="C184" s="697" t="s">
        <v>38040</v>
      </c>
    </row>
    <row r="185">
      <c r="A185" s="697">
        <v>3621.0</v>
      </c>
      <c r="B185" s="697" t="s">
        <v>37877</v>
      </c>
      <c r="C185" s="697" t="s">
        <v>38041</v>
      </c>
    </row>
    <row r="186">
      <c r="A186" s="697">
        <v>3630.0</v>
      </c>
      <c r="B186" s="697" t="s">
        <v>37877</v>
      </c>
      <c r="C186" s="697" t="s">
        <v>38042</v>
      </c>
    </row>
    <row r="187">
      <c r="A187" s="697">
        <v>3634.0</v>
      </c>
      <c r="B187" s="697" t="s">
        <v>37877</v>
      </c>
      <c r="C187" s="697" t="s">
        <v>38043</v>
      </c>
    </row>
    <row r="188">
      <c r="A188" s="697">
        <v>3640.0</v>
      </c>
      <c r="B188" s="697" t="s">
        <v>37877</v>
      </c>
      <c r="C188" s="697" t="s">
        <v>38044</v>
      </c>
    </row>
    <row r="189">
      <c r="A189" s="697">
        <v>3651.0</v>
      </c>
      <c r="B189" s="697" t="s">
        <v>37877</v>
      </c>
      <c r="C189" s="697" t="s">
        <v>38045</v>
      </c>
    </row>
    <row r="190">
      <c r="A190" s="697">
        <v>3652.0</v>
      </c>
      <c r="B190" s="697" t="s">
        <v>37877</v>
      </c>
      <c r="C190" s="697" t="s">
        <v>38046</v>
      </c>
    </row>
    <row r="191">
      <c r="A191" s="697">
        <v>3661.0</v>
      </c>
      <c r="B191" s="697" t="s">
        <v>37877</v>
      </c>
      <c r="C191" s="697" t="s">
        <v>38047</v>
      </c>
    </row>
    <row r="192">
      <c r="A192" s="697">
        <v>3663.0</v>
      </c>
      <c r="B192" s="697" t="s">
        <v>37877</v>
      </c>
      <c r="C192" s="697" t="s">
        <v>38048</v>
      </c>
    </row>
    <row r="193">
      <c r="A193" s="697">
        <v>3669.0</v>
      </c>
      <c r="B193" s="697" t="s">
        <v>37877</v>
      </c>
      <c r="C193" s="697" t="s">
        <v>38049</v>
      </c>
    </row>
    <row r="194">
      <c r="A194" s="697">
        <v>3670.0</v>
      </c>
      <c r="B194" s="697" t="s">
        <v>37877</v>
      </c>
      <c r="C194" s="697" t="s">
        <v>38050</v>
      </c>
    </row>
    <row r="195">
      <c r="A195" s="697">
        <v>3672.0</v>
      </c>
      <c r="B195" s="697" t="s">
        <v>37877</v>
      </c>
      <c r="C195" s="697" t="s">
        <v>38051</v>
      </c>
    </row>
    <row r="196">
      <c r="A196" s="697">
        <v>3674.0</v>
      </c>
      <c r="B196" s="697" t="s">
        <v>37877</v>
      </c>
      <c r="C196" s="697" t="s">
        <v>38052</v>
      </c>
    </row>
    <row r="197">
      <c r="A197" s="697">
        <v>3677.0</v>
      </c>
      <c r="B197" s="697" t="s">
        <v>37877</v>
      </c>
      <c r="C197" s="697" t="s">
        <v>38053</v>
      </c>
    </row>
    <row r="198">
      <c r="A198" s="697">
        <v>3678.0</v>
      </c>
      <c r="B198" s="697" t="s">
        <v>37877</v>
      </c>
      <c r="C198" s="697" t="s">
        <v>38054</v>
      </c>
    </row>
    <row r="199">
      <c r="A199" s="697">
        <v>3679.0</v>
      </c>
      <c r="B199" s="697" t="s">
        <v>37877</v>
      </c>
      <c r="C199" s="697" t="s">
        <v>38055</v>
      </c>
    </row>
    <row r="200">
      <c r="A200" s="697">
        <v>3690.0</v>
      </c>
      <c r="B200" s="697" t="s">
        <v>37877</v>
      </c>
      <c r="C200" s="697" t="s">
        <v>38056</v>
      </c>
    </row>
    <row r="201">
      <c r="A201" s="697">
        <v>3695.0</v>
      </c>
      <c r="B201" s="697" t="s">
        <v>37877</v>
      </c>
      <c r="C201" s="697" t="s">
        <v>38057</v>
      </c>
    </row>
    <row r="202">
      <c r="A202" s="697">
        <v>3711.0</v>
      </c>
      <c r="B202" s="697" t="s">
        <v>37877</v>
      </c>
      <c r="C202" s="697" t="s">
        <v>38058</v>
      </c>
    </row>
    <row r="203">
      <c r="A203" s="697">
        <v>3713.0</v>
      </c>
      <c r="B203" s="697" t="s">
        <v>37877</v>
      </c>
      <c r="C203" s="697" t="s">
        <v>38059</v>
      </c>
    </row>
    <row r="204">
      <c r="A204" s="697">
        <v>3714.0</v>
      </c>
      <c r="B204" s="697" t="s">
        <v>37877</v>
      </c>
      <c r="C204" s="697" t="s">
        <v>38060</v>
      </c>
    </row>
    <row r="205">
      <c r="A205" s="697">
        <v>3715.0</v>
      </c>
      <c r="B205" s="697" t="s">
        <v>37877</v>
      </c>
      <c r="C205" s="697" t="s">
        <v>38061</v>
      </c>
    </row>
    <row r="206">
      <c r="A206" s="697">
        <v>3716.0</v>
      </c>
      <c r="B206" s="697" t="s">
        <v>37877</v>
      </c>
      <c r="C206" s="697" t="s">
        <v>38062</v>
      </c>
    </row>
    <row r="207">
      <c r="A207" s="697">
        <v>3720.0</v>
      </c>
      <c r="B207" s="697" t="s">
        <v>37877</v>
      </c>
      <c r="C207" s="697" t="s">
        <v>38063</v>
      </c>
    </row>
    <row r="208">
      <c r="A208" s="697">
        <v>3721.0</v>
      </c>
      <c r="B208" s="697" t="s">
        <v>37877</v>
      </c>
      <c r="C208" s="697" t="s">
        <v>38064</v>
      </c>
    </row>
    <row r="209">
      <c r="A209" s="697">
        <v>3724.0</v>
      </c>
      <c r="B209" s="697" t="s">
        <v>37877</v>
      </c>
      <c r="C209" s="697" t="s">
        <v>38065</v>
      </c>
    </row>
    <row r="210">
      <c r="A210" s="697">
        <v>3728.0</v>
      </c>
      <c r="B210" s="697" t="s">
        <v>37877</v>
      </c>
      <c r="C210" s="697" t="s">
        <v>38066</v>
      </c>
    </row>
    <row r="211">
      <c r="A211" s="697">
        <v>3730.0</v>
      </c>
      <c r="B211" s="697" t="s">
        <v>37877</v>
      </c>
      <c r="C211" s="697" t="s">
        <v>38067</v>
      </c>
    </row>
    <row r="212">
      <c r="A212" s="697">
        <v>3743.0</v>
      </c>
      <c r="B212" s="697" t="s">
        <v>37877</v>
      </c>
      <c r="C212" s="697" t="s">
        <v>38068</v>
      </c>
    </row>
    <row r="213">
      <c r="A213" s="697">
        <v>3751.0</v>
      </c>
      <c r="B213" s="697" t="s">
        <v>37877</v>
      </c>
      <c r="C213" s="697" t="s">
        <v>38069</v>
      </c>
    </row>
    <row r="214">
      <c r="A214" s="697">
        <v>3760.0</v>
      </c>
      <c r="B214" s="697" t="s">
        <v>37877</v>
      </c>
      <c r="C214" s="697" t="s">
        <v>38070</v>
      </c>
    </row>
    <row r="215">
      <c r="A215" s="697">
        <v>3790.0</v>
      </c>
      <c r="B215" s="697" t="s">
        <v>37877</v>
      </c>
      <c r="C215" s="697" t="s">
        <v>38071</v>
      </c>
    </row>
    <row r="216">
      <c r="A216" s="697">
        <v>3812.0</v>
      </c>
      <c r="B216" s="697" t="s">
        <v>37877</v>
      </c>
      <c r="C216" s="697" t="s">
        <v>38072</v>
      </c>
    </row>
    <row r="217">
      <c r="A217" s="697">
        <v>3821.0</v>
      </c>
      <c r="B217" s="697" t="s">
        <v>37852</v>
      </c>
      <c r="C217" s="697" t="s">
        <v>38073</v>
      </c>
    </row>
    <row r="218">
      <c r="A218" s="697">
        <v>3822.0</v>
      </c>
      <c r="B218" s="697" t="s">
        <v>37852</v>
      </c>
      <c r="C218" s="697" t="s">
        <v>38074</v>
      </c>
    </row>
    <row r="219">
      <c r="A219" s="697">
        <v>3823.0</v>
      </c>
      <c r="B219" s="697" t="s">
        <v>37852</v>
      </c>
      <c r="C219" s="697" t="s">
        <v>38075</v>
      </c>
    </row>
    <row r="220">
      <c r="A220" s="697">
        <v>3824.0</v>
      </c>
      <c r="B220" s="697" t="s">
        <v>37852</v>
      </c>
      <c r="C220" s="697" t="s">
        <v>38076</v>
      </c>
    </row>
    <row r="221">
      <c r="A221" s="697">
        <v>3825.0</v>
      </c>
      <c r="B221" s="697" t="s">
        <v>37852</v>
      </c>
      <c r="C221" s="697" t="s">
        <v>38077</v>
      </c>
    </row>
    <row r="222">
      <c r="A222" s="697">
        <v>3826.0</v>
      </c>
      <c r="B222" s="697" t="s">
        <v>37852</v>
      </c>
      <c r="C222" s="697" t="s">
        <v>38078</v>
      </c>
    </row>
    <row r="223">
      <c r="A223" s="697">
        <v>3827.0</v>
      </c>
      <c r="B223" s="697" t="s">
        <v>37852</v>
      </c>
      <c r="C223" s="697" t="s">
        <v>38079</v>
      </c>
    </row>
    <row r="224">
      <c r="A224" s="697">
        <v>3829.0</v>
      </c>
      <c r="B224" s="697" t="s">
        <v>37852</v>
      </c>
      <c r="C224" s="697" t="s">
        <v>38080</v>
      </c>
    </row>
    <row r="225">
      <c r="A225" s="697">
        <v>3841.0</v>
      </c>
      <c r="B225" s="697" t="s">
        <v>37852</v>
      </c>
      <c r="C225" s="697" t="s">
        <v>38081</v>
      </c>
    </row>
    <row r="226">
      <c r="A226" s="697">
        <v>3842.0</v>
      </c>
      <c r="B226" s="697" t="s">
        <v>37852</v>
      </c>
      <c r="C226" s="697" t="s">
        <v>38082</v>
      </c>
    </row>
    <row r="227">
      <c r="A227" s="697">
        <v>3843.0</v>
      </c>
      <c r="B227" s="697" t="s">
        <v>37852</v>
      </c>
      <c r="C227" s="697" t="s">
        <v>38083</v>
      </c>
    </row>
    <row r="228">
      <c r="A228" s="697">
        <v>3844.0</v>
      </c>
      <c r="B228" s="697" t="s">
        <v>37852</v>
      </c>
      <c r="C228" s="697" t="s">
        <v>38084</v>
      </c>
    </row>
    <row r="229">
      <c r="A229" s="697">
        <v>3845.0</v>
      </c>
      <c r="B229" s="697" t="s">
        <v>37852</v>
      </c>
      <c r="C229" s="697" t="s">
        <v>38085</v>
      </c>
    </row>
    <row r="230">
      <c r="A230" s="697">
        <v>3851.0</v>
      </c>
      <c r="B230" s="697" t="s">
        <v>37852</v>
      </c>
      <c r="C230" s="697" t="s">
        <v>38086</v>
      </c>
    </row>
    <row r="231">
      <c r="A231" s="697">
        <v>3861.0</v>
      </c>
      <c r="B231" s="697" t="s">
        <v>37852</v>
      </c>
      <c r="C231" s="697" t="s">
        <v>38087</v>
      </c>
    </row>
    <row r="232">
      <c r="A232" s="697">
        <v>3873.0</v>
      </c>
      <c r="B232" s="697" t="s">
        <v>37852</v>
      </c>
      <c r="C232" s="697" t="s">
        <v>38088</v>
      </c>
    </row>
    <row r="233">
      <c r="A233" s="697">
        <v>3910.0</v>
      </c>
      <c r="B233" s="697" t="s">
        <v>37877</v>
      </c>
      <c r="C233" s="697" t="s">
        <v>38089</v>
      </c>
    </row>
    <row r="234">
      <c r="A234" s="697">
        <v>3911.0</v>
      </c>
      <c r="B234" s="697" t="s">
        <v>37877</v>
      </c>
      <c r="C234" s="697" t="s">
        <v>38090</v>
      </c>
    </row>
    <row r="235">
      <c r="A235" s="697">
        <v>3931.0</v>
      </c>
      <c r="B235" s="697" t="s">
        <v>37877</v>
      </c>
      <c r="C235" s="697" t="s">
        <v>38091</v>
      </c>
    </row>
    <row r="236">
      <c r="A236" s="697">
        <v>3942.0</v>
      </c>
      <c r="B236" s="697" t="s">
        <v>37877</v>
      </c>
      <c r="C236" s="697" t="s">
        <v>38092</v>
      </c>
    </row>
    <row r="237">
      <c r="A237" s="697">
        <v>3944.0</v>
      </c>
      <c r="B237" s="697" t="s">
        <v>37877</v>
      </c>
      <c r="C237" s="697" t="s">
        <v>38093</v>
      </c>
    </row>
    <row r="238">
      <c r="A238" s="697">
        <v>3949.0</v>
      </c>
      <c r="B238" s="697" t="s">
        <v>37877</v>
      </c>
      <c r="C238" s="697" t="s">
        <v>38094</v>
      </c>
    </row>
    <row r="239">
      <c r="A239" s="697">
        <v>3950.0</v>
      </c>
      <c r="B239" s="697" t="s">
        <v>37877</v>
      </c>
      <c r="C239" s="697" t="s">
        <v>38095</v>
      </c>
    </row>
    <row r="240">
      <c r="A240" s="697">
        <v>3960.0</v>
      </c>
      <c r="B240" s="697" t="s">
        <v>37877</v>
      </c>
      <c r="C240" s="697" t="s">
        <v>38096</v>
      </c>
    </row>
    <row r="241">
      <c r="A241" s="697">
        <v>3990.0</v>
      </c>
      <c r="B241" s="697" t="s">
        <v>37877</v>
      </c>
      <c r="C241" s="697" t="s">
        <v>38097</v>
      </c>
    </row>
    <row r="242">
      <c r="A242" s="697">
        <v>4011.0</v>
      </c>
      <c r="B242" s="697" t="s">
        <v>37858</v>
      </c>
      <c r="C242" s="697" t="s">
        <v>38098</v>
      </c>
    </row>
    <row r="243">
      <c r="A243" s="697">
        <v>4013.0</v>
      </c>
      <c r="B243" s="697" t="s">
        <v>37858</v>
      </c>
      <c r="C243" s="697" t="s">
        <v>38099</v>
      </c>
    </row>
    <row r="244">
      <c r="A244" s="697">
        <v>4100.0</v>
      </c>
      <c r="B244" s="697" t="s">
        <v>37858</v>
      </c>
      <c r="C244" s="697" t="s">
        <v>38100</v>
      </c>
    </row>
    <row r="245">
      <c r="A245" s="697">
        <v>4210.0</v>
      </c>
      <c r="B245" s="697" t="s">
        <v>37858</v>
      </c>
      <c r="C245" s="697" t="s">
        <v>38101</v>
      </c>
    </row>
    <row r="246">
      <c r="A246" s="697">
        <v>4213.0</v>
      </c>
      <c r="B246" s="697" t="s">
        <v>37858</v>
      </c>
      <c r="C246" s="697" t="s">
        <v>38102</v>
      </c>
    </row>
    <row r="247">
      <c r="A247" s="697">
        <v>4220.0</v>
      </c>
      <c r="B247" s="697" t="s">
        <v>37858</v>
      </c>
      <c r="C247" s="697" t="s">
        <v>38103</v>
      </c>
    </row>
    <row r="248">
      <c r="A248" s="697">
        <v>4231.0</v>
      </c>
      <c r="B248" s="697" t="s">
        <v>37858</v>
      </c>
      <c r="C248" s="697" t="s">
        <v>38104</v>
      </c>
    </row>
    <row r="249">
      <c r="A249" s="697">
        <v>4400.0</v>
      </c>
      <c r="B249" s="697" t="s">
        <v>37858</v>
      </c>
      <c r="C249" s="697" t="s">
        <v>38105</v>
      </c>
    </row>
    <row r="250">
      <c r="A250" s="697">
        <v>4412.0</v>
      </c>
      <c r="B250" s="697" t="s">
        <v>37858</v>
      </c>
      <c r="C250" s="697" t="s">
        <v>38106</v>
      </c>
    </row>
    <row r="251">
      <c r="A251" s="697">
        <v>4512.0</v>
      </c>
      <c r="B251" s="697" t="s">
        <v>37858</v>
      </c>
      <c r="C251" s="697" t="s">
        <v>38107</v>
      </c>
    </row>
    <row r="252">
      <c r="A252" s="697">
        <v>4513.0</v>
      </c>
      <c r="B252" s="697" t="s">
        <v>37858</v>
      </c>
      <c r="C252" s="697" t="s">
        <v>38108</v>
      </c>
    </row>
    <row r="253">
      <c r="A253" s="697">
        <v>4522.0</v>
      </c>
      <c r="B253" s="697" t="s">
        <v>37858</v>
      </c>
      <c r="C253" s="697" t="s">
        <v>38109</v>
      </c>
    </row>
    <row r="254">
      <c r="A254" s="697">
        <v>4581.0</v>
      </c>
      <c r="B254" s="697" t="s">
        <v>37858</v>
      </c>
      <c r="C254" s="697" t="s">
        <v>38110</v>
      </c>
    </row>
    <row r="255">
      <c r="A255" s="697">
        <v>4610.0</v>
      </c>
      <c r="B255" s="697" t="s">
        <v>37858</v>
      </c>
      <c r="C255" s="697" t="s">
        <v>38111</v>
      </c>
    </row>
    <row r="256">
      <c r="A256" s="697">
        <v>4700.0</v>
      </c>
      <c r="B256" s="697" t="s">
        <v>37858</v>
      </c>
      <c r="C256" s="697" t="s">
        <v>38112</v>
      </c>
    </row>
    <row r="257">
      <c r="A257" s="697">
        <v>4731.0</v>
      </c>
      <c r="B257" s="697" t="s">
        <v>37858</v>
      </c>
      <c r="C257" s="697" t="s">
        <v>38113</v>
      </c>
    </row>
    <row r="258">
      <c r="A258" s="697">
        <v>4812.0</v>
      </c>
      <c r="B258" s="697" t="s">
        <v>38006</v>
      </c>
      <c r="C258" s="697" t="s">
        <v>38114</v>
      </c>
    </row>
    <row r="259">
      <c r="A259" s="697">
        <v>4813.0</v>
      </c>
      <c r="B259" s="697" t="s">
        <v>38006</v>
      </c>
      <c r="C259" s="697" t="s">
        <v>38115</v>
      </c>
    </row>
    <row r="260">
      <c r="A260" s="697">
        <v>4822.0</v>
      </c>
      <c r="B260" s="697" t="s">
        <v>38006</v>
      </c>
      <c r="C260" s="697" t="s">
        <v>38116</v>
      </c>
    </row>
    <row r="261">
      <c r="A261" s="697">
        <v>4832.0</v>
      </c>
      <c r="B261" s="697" t="s">
        <v>38006</v>
      </c>
      <c r="C261" s="697" t="s">
        <v>38117</v>
      </c>
    </row>
    <row r="262">
      <c r="A262" s="697">
        <v>4833.0</v>
      </c>
      <c r="B262" s="697" t="s">
        <v>38006</v>
      </c>
      <c r="C262" s="697" t="s">
        <v>38118</v>
      </c>
    </row>
    <row r="263">
      <c r="A263" s="697">
        <v>4841.0</v>
      </c>
      <c r="B263" s="697" t="s">
        <v>38006</v>
      </c>
      <c r="C263" s="697" t="s">
        <v>38119</v>
      </c>
    </row>
    <row r="264">
      <c r="A264" s="697">
        <v>4899.0</v>
      </c>
      <c r="B264" s="697" t="s">
        <v>38006</v>
      </c>
      <c r="C264" s="697" t="s">
        <v>38120</v>
      </c>
    </row>
    <row r="265">
      <c r="A265" s="697">
        <v>4900.0</v>
      </c>
      <c r="B265" s="697" t="s">
        <v>37858</v>
      </c>
      <c r="C265" s="697" t="s">
        <v>38121</v>
      </c>
    </row>
    <row r="266">
      <c r="A266" s="697">
        <v>4911.0</v>
      </c>
      <c r="B266" s="697" t="s">
        <v>37858</v>
      </c>
      <c r="C266" s="697" t="s">
        <v>38122</v>
      </c>
    </row>
    <row r="267">
      <c r="A267" s="697">
        <v>4922.0</v>
      </c>
      <c r="B267" s="697" t="s">
        <v>37858</v>
      </c>
      <c r="C267" s="697" t="s">
        <v>38123</v>
      </c>
    </row>
    <row r="268">
      <c r="A268" s="697">
        <v>4923.0</v>
      </c>
      <c r="B268" s="697" t="s">
        <v>37858</v>
      </c>
      <c r="C268" s="697" t="s">
        <v>38124</v>
      </c>
    </row>
    <row r="269">
      <c r="A269" s="697">
        <v>4924.0</v>
      </c>
      <c r="B269" s="697" t="s">
        <v>37858</v>
      </c>
      <c r="C269" s="697" t="s">
        <v>38125</v>
      </c>
    </row>
    <row r="270">
      <c r="A270" s="697">
        <v>4931.0</v>
      </c>
      <c r="B270" s="697" t="s">
        <v>37858</v>
      </c>
      <c r="C270" s="697" t="s">
        <v>38126</v>
      </c>
    </row>
    <row r="271">
      <c r="A271" s="697">
        <v>4932.0</v>
      </c>
      <c r="B271" s="697" t="s">
        <v>37858</v>
      </c>
      <c r="C271" s="697" t="s">
        <v>38127</v>
      </c>
    </row>
    <row r="272">
      <c r="A272" s="697">
        <v>4941.0</v>
      </c>
      <c r="B272" s="697" t="s">
        <v>37858</v>
      </c>
      <c r="C272" s="697" t="s">
        <v>38128</v>
      </c>
    </row>
    <row r="273">
      <c r="A273" s="697">
        <v>4950.0</v>
      </c>
      <c r="B273" s="697" t="s">
        <v>37858</v>
      </c>
      <c r="C273" s="697" t="s">
        <v>38129</v>
      </c>
    </row>
    <row r="274">
      <c r="A274" s="697">
        <v>4953.0</v>
      </c>
      <c r="B274" s="697" t="s">
        <v>37858</v>
      </c>
      <c r="C274" s="697" t="s">
        <v>38130</v>
      </c>
    </row>
    <row r="275">
      <c r="A275" s="697">
        <v>4955.0</v>
      </c>
      <c r="B275" s="697" t="s">
        <v>37858</v>
      </c>
      <c r="C275" s="697" t="s">
        <v>38131</v>
      </c>
    </row>
    <row r="276">
      <c r="A276" s="697">
        <v>4961.0</v>
      </c>
      <c r="B276" s="697" t="s">
        <v>37858</v>
      </c>
      <c r="C276" s="697" t="s">
        <v>38132</v>
      </c>
    </row>
    <row r="277">
      <c r="A277" s="697">
        <v>4991.0</v>
      </c>
      <c r="B277" s="697" t="s">
        <v>37858</v>
      </c>
      <c r="C277" s="697" t="s">
        <v>38133</v>
      </c>
    </row>
    <row r="278">
      <c r="A278" s="697">
        <v>5000.0</v>
      </c>
      <c r="B278" s="697" t="s">
        <v>38134</v>
      </c>
      <c r="C278" s="697" t="s">
        <v>38135</v>
      </c>
    </row>
    <row r="279">
      <c r="A279" s="697">
        <v>5010.0</v>
      </c>
      <c r="B279" s="697" t="s">
        <v>38134</v>
      </c>
      <c r="C279" s="697" t="s">
        <v>38136</v>
      </c>
    </row>
    <row r="280">
      <c r="A280" s="697">
        <v>5013.0</v>
      </c>
      <c r="B280" s="697" t="s">
        <v>38134</v>
      </c>
      <c r="C280" s="697" t="s">
        <v>38137</v>
      </c>
    </row>
    <row r="281">
      <c r="A281" s="697">
        <v>5020.0</v>
      </c>
      <c r="B281" s="697" t="s">
        <v>38134</v>
      </c>
      <c r="C281" s="697" t="s">
        <v>38138</v>
      </c>
    </row>
    <row r="282">
      <c r="A282" s="697">
        <v>5030.0</v>
      </c>
      <c r="B282" s="697" t="s">
        <v>38134</v>
      </c>
      <c r="C282" s="697" t="s">
        <v>38139</v>
      </c>
    </row>
    <row r="283">
      <c r="A283" s="697">
        <v>5031.0</v>
      </c>
      <c r="B283" s="697" t="s">
        <v>38134</v>
      </c>
      <c r="C283" s="697" t="s">
        <v>38140</v>
      </c>
    </row>
    <row r="284">
      <c r="A284" s="697">
        <v>5040.0</v>
      </c>
      <c r="B284" s="697" t="s">
        <v>38134</v>
      </c>
      <c r="C284" s="697" t="s">
        <v>38141</v>
      </c>
    </row>
    <row r="285">
      <c r="A285" s="697">
        <v>5045.0</v>
      </c>
      <c r="B285" s="697" t="s">
        <v>38134</v>
      </c>
      <c r="C285" s="697" t="s">
        <v>38142</v>
      </c>
    </row>
    <row r="286">
      <c r="A286" s="697">
        <v>5047.0</v>
      </c>
      <c r="B286" s="697" t="s">
        <v>38134</v>
      </c>
      <c r="C286" s="697" t="s">
        <v>38143</v>
      </c>
    </row>
    <row r="287">
      <c r="A287" s="697">
        <v>5050.0</v>
      </c>
      <c r="B287" s="697" t="s">
        <v>38134</v>
      </c>
      <c r="C287" s="697" t="s">
        <v>38144</v>
      </c>
    </row>
    <row r="288">
      <c r="A288" s="697">
        <v>5051.0</v>
      </c>
      <c r="B288" s="697" t="s">
        <v>38134</v>
      </c>
      <c r="C288" s="697" t="s">
        <v>38145</v>
      </c>
    </row>
    <row r="289">
      <c r="A289" s="697">
        <v>5063.0</v>
      </c>
      <c r="B289" s="697" t="s">
        <v>38134</v>
      </c>
      <c r="C289" s="697" t="s">
        <v>38146</v>
      </c>
    </row>
    <row r="290">
      <c r="A290" s="697">
        <v>5064.0</v>
      </c>
      <c r="B290" s="697" t="s">
        <v>38134</v>
      </c>
      <c r="C290" s="697" t="s">
        <v>38147</v>
      </c>
    </row>
    <row r="291">
      <c r="A291" s="697">
        <v>5065.0</v>
      </c>
      <c r="B291" s="697" t="s">
        <v>38134</v>
      </c>
      <c r="C291" s="697" t="s">
        <v>38148</v>
      </c>
    </row>
    <row r="292">
      <c r="A292" s="697">
        <v>5070.0</v>
      </c>
      <c r="B292" s="697" t="s">
        <v>38134</v>
      </c>
      <c r="C292" s="697" t="s">
        <v>38149</v>
      </c>
    </row>
    <row r="293">
      <c r="A293" s="697">
        <v>5072.0</v>
      </c>
      <c r="B293" s="697" t="s">
        <v>38134</v>
      </c>
      <c r="C293" s="697" t="s">
        <v>38150</v>
      </c>
    </row>
    <row r="294">
      <c r="A294" s="697">
        <v>5080.0</v>
      </c>
      <c r="B294" s="697" t="s">
        <v>38134</v>
      </c>
      <c r="C294" s="697" t="s">
        <v>38151</v>
      </c>
    </row>
    <row r="295">
      <c r="A295" s="697">
        <v>5082.0</v>
      </c>
      <c r="B295" s="697" t="s">
        <v>38134</v>
      </c>
      <c r="C295" s="697" t="s">
        <v>38152</v>
      </c>
    </row>
    <row r="296">
      <c r="A296" s="697">
        <v>5084.0</v>
      </c>
      <c r="B296" s="697" t="s">
        <v>38134</v>
      </c>
      <c r="C296" s="697" t="s">
        <v>38153</v>
      </c>
    </row>
    <row r="297">
      <c r="A297" s="697">
        <v>5090.0</v>
      </c>
      <c r="B297" s="697" t="s">
        <v>38134</v>
      </c>
      <c r="C297" s="697" t="s">
        <v>38154</v>
      </c>
    </row>
    <row r="298">
      <c r="A298" s="697">
        <v>5094.0</v>
      </c>
      <c r="B298" s="697" t="s">
        <v>38134</v>
      </c>
      <c r="C298" s="697" t="s">
        <v>38155</v>
      </c>
    </row>
    <row r="299">
      <c r="A299" s="697">
        <v>5099.0</v>
      </c>
      <c r="B299" s="697" t="s">
        <v>38134</v>
      </c>
      <c r="C299" s="697" t="s">
        <v>38156</v>
      </c>
    </row>
    <row r="300">
      <c r="A300" s="697">
        <v>5110.0</v>
      </c>
      <c r="B300" s="697" t="s">
        <v>38134</v>
      </c>
      <c r="C300" s="697" t="s">
        <v>38157</v>
      </c>
    </row>
    <row r="301">
      <c r="A301" s="697">
        <v>5122.0</v>
      </c>
      <c r="B301" s="697" t="s">
        <v>38134</v>
      </c>
      <c r="C301" s="697" t="s">
        <v>38158</v>
      </c>
    </row>
    <row r="302">
      <c r="A302" s="697">
        <v>5130.0</v>
      </c>
      <c r="B302" s="697" t="s">
        <v>38134</v>
      </c>
      <c r="C302" s="697" t="s">
        <v>38159</v>
      </c>
    </row>
    <row r="303">
      <c r="A303" s="697">
        <v>5140.0</v>
      </c>
      <c r="B303" s="697" t="s">
        <v>38134</v>
      </c>
      <c r="C303" s="697" t="s">
        <v>38160</v>
      </c>
    </row>
    <row r="304">
      <c r="A304" s="697">
        <v>5141.0</v>
      </c>
      <c r="B304" s="697" t="s">
        <v>38134</v>
      </c>
      <c r="C304" s="697" t="s">
        <v>38161</v>
      </c>
    </row>
    <row r="305">
      <c r="A305" s="697">
        <v>5150.0</v>
      </c>
      <c r="B305" s="697" t="s">
        <v>38134</v>
      </c>
      <c r="C305" s="697" t="s">
        <v>38162</v>
      </c>
    </row>
    <row r="306">
      <c r="A306" s="697">
        <v>5160.0</v>
      </c>
      <c r="B306" s="697" t="s">
        <v>38134</v>
      </c>
      <c r="C306" s="697" t="s">
        <v>38163</v>
      </c>
    </row>
    <row r="307">
      <c r="A307" s="697">
        <v>5171.0</v>
      </c>
      <c r="B307" s="697" t="s">
        <v>38134</v>
      </c>
      <c r="C307" s="697" t="s">
        <v>38164</v>
      </c>
    </row>
    <row r="308">
      <c r="A308" s="697">
        <v>5172.0</v>
      </c>
      <c r="B308" s="697" t="s">
        <v>38134</v>
      </c>
      <c r="C308" s="697" t="s">
        <v>38165</v>
      </c>
    </row>
    <row r="309">
      <c r="A309" s="697">
        <v>5180.0</v>
      </c>
      <c r="B309" s="697" t="s">
        <v>38134</v>
      </c>
      <c r="C309" s="697" t="s">
        <v>38166</v>
      </c>
    </row>
    <row r="310">
      <c r="A310" s="697">
        <v>5190.0</v>
      </c>
      <c r="B310" s="697" t="s">
        <v>38134</v>
      </c>
      <c r="C310" s="697" t="s">
        <v>38167</v>
      </c>
    </row>
    <row r="311">
      <c r="A311" s="697">
        <v>5200.0</v>
      </c>
      <c r="B311" s="697" t="s">
        <v>38134</v>
      </c>
      <c r="C311" s="697" t="s">
        <v>38168</v>
      </c>
    </row>
    <row r="312">
      <c r="A312" s="697">
        <v>5211.0</v>
      </c>
      <c r="B312" s="697" t="s">
        <v>38134</v>
      </c>
      <c r="C312" s="697" t="s">
        <v>38169</v>
      </c>
    </row>
    <row r="313">
      <c r="A313" s="697">
        <v>5271.0</v>
      </c>
      <c r="B313" s="697" t="s">
        <v>38134</v>
      </c>
      <c r="C313" s="697" t="s">
        <v>38170</v>
      </c>
    </row>
    <row r="314">
      <c r="A314" s="697">
        <v>5311.0</v>
      </c>
      <c r="B314" s="697" t="s">
        <v>38134</v>
      </c>
      <c r="C314" s="697" t="s">
        <v>38171</v>
      </c>
    </row>
    <row r="315">
      <c r="A315" s="697">
        <v>5331.0</v>
      </c>
      <c r="B315" s="697" t="s">
        <v>38134</v>
      </c>
      <c r="C315" s="697" t="s">
        <v>38172</v>
      </c>
    </row>
    <row r="316">
      <c r="A316" s="697">
        <v>5399.0</v>
      </c>
      <c r="B316" s="697" t="s">
        <v>38134</v>
      </c>
      <c r="C316" s="697" t="s">
        <v>38173</v>
      </c>
    </row>
    <row r="317">
      <c r="A317" s="697">
        <v>5400.0</v>
      </c>
      <c r="B317" s="697" t="s">
        <v>38134</v>
      </c>
      <c r="C317" s="697" t="s">
        <v>38174</v>
      </c>
    </row>
    <row r="318">
      <c r="A318" s="697">
        <v>5411.0</v>
      </c>
      <c r="B318" s="697" t="s">
        <v>38134</v>
      </c>
      <c r="C318" s="697" t="s">
        <v>38175</v>
      </c>
    </row>
    <row r="319">
      <c r="A319" s="697">
        <v>5412.0</v>
      </c>
      <c r="B319" s="697" t="s">
        <v>38134</v>
      </c>
      <c r="C319" s="697" t="s">
        <v>38176</v>
      </c>
    </row>
    <row r="320">
      <c r="A320" s="697">
        <v>5500.0</v>
      </c>
      <c r="B320" s="697" t="s">
        <v>38134</v>
      </c>
      <c r="C320" s="697" t="s">
        <v>38177</v>
      </c>
    </row>
    <row r="321">
      <c r="A321" s="697">
        <v>5531.0</v>
      </c>
      <c r="B321" s="697" t="s">
        <v>38134</v>
      </c>
      <c r="C321" s="697" t="s">
        <v>38178</v>
      </c>
    </row>
    <row r="322">
      <c r="A322" s="697">
        <v>5600.0</v>
      </c>
      <c r="B322" s="697" t="s">
        <v>38134</v>
      </c>
      <c r="C322" s="697" t="s">
        <v>38179</v>
      </c>
    </row>
    <row r="323">
      <c r="A323" s="697">
        <v>5621.0</v>
      </c>
      <c r="B323" s="697" t="s">
        <v>38134</v>
      </c>
      <c r="C323" s="697" t="s">
        <v>38180</v>
      </c>
    </row>
    <row r="324">
      <c r="A324" s="697">
        <v>5651.0</v>
      </c>
      <c r="B324" s="697" t="s">
        <v>38134</v>
      </c>
      <c r="C324" s="697" t="s">
        <v>38181</v>
      </c>
    </row>
    <row r="325">
      <c r="A325" s="697">
        <v>5661.0</v>
      </c>
      <c r="B325" s="697" t="s">
        <v>38134</v>
      </c>
      <c r="C325" s="697" t="s">
        <v>38182</v>
      </c>
    </row>
    <row r="326">
      <c r="A326" s="697">
        <v>5700.0</v>
      </c>
      <c r="B326" s="697" t="s">
        <v>38134</v>
      </c>
      <c r="C326" s="697" t="s">
        <v>38183</v>
      </c>
    </row>
    <row r="327">
      <c r="A327" s="697">
        <v>5712.0</v>
      </c>
      <c r="B327" s="697" t="s">
        <v>38134</v>
      </c>
      <c r="C327" s="697" t="s">
        <v>38184</v>
      </c>
    </row>
    <row r="328">
      <c r="A328" s="697">
        <v>5731.0</v>
      </c>
      <c r="B328" s="697" t="s">
        <v>38134</v>
      </c>
      <c r="C328" s="697" t="s">
        <v>38185</v>
      </c>
    </row>
    <row r="329">
      <c r="A329" s="697">
        <v>5734.0</v>
      </c>
      <c r="B329" s="697" t="s">
        <v>38134</v>
      </c>
      <c r="C329" s="697" t="s">
        <v>38186</v>
      </c>
    </row>
    <row r="330">
      <c r="A330" s="697">
        <v>5735.0</v>
      </c>
      <c r="B330" s="697" t="s">
        <v>38134</v>
      </c>
      <c r="C330" s="697" t="s">
        <v>38187</v>
      </c>
    </row>
    <row r="331">
      <c r="A331" s="697">
        <v>5810.0</v>
      </c>
      <c r="B331" s="697" t="s">
        <v>38134</v>
      </c>
      <c r="C331" s="697" t="s">
        <v>38188</v>
      </c>
    </row>
    <row r="332">
      <c r="A332" s="697">
        <v>5812.0</v>
      </c>
      <c r="B332" s="697" t="s">
        <v>38134</v>
      </c>
      <c r="C332" s="697" t="s">
        <v>38189</v>
      </c>
    </row>
    <row r="333">
      <c r="A333" s="697">
        <v>5900.0</v>
      </c>
      <c r="B333" s="697" t="s">
        <v>38134</v>
      </c>
      <c r="C333" s="697" t="s">
        <v>38190</v>
      </c>
    </row>
    <row r="334">
      <c r="A334" s="697">
        <v>5912.0</v>
      </c>
      <c r="B334" s="697" t="s">
        <v>38134</v>
      </c>
      <c r="C334" s="697" t="s">
        <v>38191</v>
      </c>
    </row>
    <row r="335">
      <c r="A335" s="697">
        <v>5940.0</v>
      </c>
      <c r="B335" s="697" t="s">
        <v>38134</v>
      </c>
      <c r="C335" s="697" t="s">
        <v>38192</v>
      </c>
    </row>
    <row r="336">
      <c r="A336" s="697">
        <v>5944.0</v>
      </c>
      <c r="B336" s="697" t="s">
        <v>38134</v>
      </c>
      <c r="C336" s="697" t="s">
        <v>38193</v>
      </c>
    </row>
    <row r="337">
      <c r="A337" s="697">
        <v>5945.0</v>
      </c>
      <c r="B337" s="697" t="s">
        <v>38134</v>
      </c>
      <c r="C337" s="697" t="s">
        <v>38194</v>
      </c>
    </row>
    <row r="338">
      <c r="A338" s="697">
        <v>5960.0</v>
      </c>
      <c r="B338" s="697" t="s">
        <v>38134</v>
      </c>
      <c r="C338" s="697" t="s">
        <v>38195</v>
      </c>
    </row>
    <row r="339">
      <c r="A339" s="697">
        <v>5961.0</v>
      </c>
      <c r="B339" s="697" t="s">
        <v>38134</v>
      </c>
      <c r="C339" s="697" t="s">
        <v>38196</v>
      </c>
    </row>
    <row r="340">
      <c r="A340" s="697">
        <v>5990.0</v>
      </c>
      <c r="B340" s="697" t="s">
        <v>38134</v>
      </c>
      <c r="C340" s="697" t="s">
        <v>38197</v>
      </c>
    </row>
    <row r="341">
      <c r="A341" s="697">
        <v>6021.0</v>
      </c>
      <c r="B341" s="697" t="s">
        <v>38198</v>
      </c>
      <c r="C341" s="697" t="s">
        <v>38199</v>
      </c>
    </row>
    <row r="342">
      <c r="A342" s="697">
        <v>6022.0</v>
      </c>
      <c r="B342" s="697" t="s">
        <v>38198</v>
      </c>
      <c r="C342" s="697" t="s">
        <v>38200</v>
      </c>
    </row>
    <row r="343">
      <c r="A343" s="697">
        <v>6029.0</v>
      </c>
      <c r="B343" s="697" t="s">
        <v>38198</v>
      </c>
      <c r="C343" s="697" t="s">
        <v>38201</v>
      </c>
    </row>
    <row r="344">
      <c r="A344" s="697">
        <v>6035.0</v>
      </c>
      <c r="B344" s="697" t="s">
        <v>38198</v>
      </c>
      <c r="C344" s="697" t="s">
        <v>38202</v>
      </c>
    </row>
    <row r="345">
      <c r="A345" s="697">
        <v>6036.0</v>
      </c>
      <c r="B345" s="697" t="s">
        <v>38198</v>
      </c>
      <c r="C345" s="697" t="s">
        <v>38203</v>
      </c>
    </row>
    <row r="346">
      <c r="A346" s="697">
        <v>6099.0</v>
      </c>
      <c r="B346" s="697" t="s">
        <v>38198</v>
      </c>
      <c r="C346" s="697" t="s">
        <v>38204</v>
      </c>
    </row>
    <row r="347">
      <c r="A347" s="697">
        <v>6111.0</v>
      </c>
      <c r="B347" s="697" t="s">
        <v>38198</v>
      </c>
      <c r="C347" s="697" t="s">
        <v>38205</v>
      </c>
    </row>
    <row r="348">
      <c r="A348" s="697">
        <v>6141.0</v>
      </c>
      <c r="B348" s="697" t="s">
        <v>38198</v>
      </c>
      <c r="C348" s="697" t="s">
        <v>38206</v>
      </c>
    </row>
    <row r="349">
      <c r="A349" s="697">
        <v>6153.0</v>
      </c>
      <c r="B349" s="697" t="s">
        <v>38198</v>
      </c>
      <c r="C349" s="697" t="s">
        <v>38207</v>
      </c>
    </row>
    <row r="350">
      <c r="A350" s="697">
        <v>6159.0</v>
      </c>
      <c r="B350" s="697" t="s">
        <v>38198</v>
      </c>
      <c r="C350" s="697" t="s">
        <v>38208</v>
      </c>
    </row>
    <row r="351">
      <c r="A351" s="697">
        <v>6162.0</v>
      </c>
      <c r="B351" s="697" t="s">
        <v>38198</v>
      </c>
      <c r="C351" s="697" t="s">
        <v>38209</v>
      </c>
    </row>
    <row r="352">
      <c r="A352" s="697">
        <v>6163.0</v>
      </c>
      <c r="B352" s="697" t="s">
        <v>38198</v>
      </c>
      <c r="C352" s="697" t="s">
        <v>38210</v>
      </c>
    </row>
    <row r="353">
      <c r="A353" s="697">
        <v>6172.0</v>
      </c>
      <c r="B353" s="697" t="s">
        <v>38198</v>
      </c>
      <c r="C353" s="697" t="s">
        <v>38211</v>
      </c>
    </row>
    <row r="354">
      <c r="A354" s="697">
        <v>6189.0</v>
      </c>
      <c r="B354" s="697" t="s">
        <v>38212</v>
      </c>
      <c r="C354" s="697" t="s">
        <v>38213</v>
      </c>
    </row>
    <row r="355">
      <c r="A355" s="697">
        <v>6199.0</v>
      </c>
      <c r="B355" s="697" t="s">
        <v>38214</v>
      </c>
      <c r="C355" s="697" t="s">
        <v>38215</v>
      </c>
    </row>
    <row r="356">
      <c r="A356" s="697">
        <v>6200.0</v>
      </c>
      <c r="B356" s="697" t="s">
        <v>38198</v>
      </c>
      <c r="C356" s="697" t="s">
        <v>38216</v>
      </c>
    </row>
    <row r="357">
      <c r="A357" s="697">
        <v>6211.0</v>
      </c>
      <c r="B357" s="697" t="s">
        <v>38198</v>
      </c>
      <c r="C357" s="697" t="s">
        <v>38217</v>
      </c>
    </row>
    <row r="358">
      <c r="A358" s="697">
        <v>6221.0</v>
      </c>
      <c r="B358" s="697" t="s">
        <v>38218</v>
      </c>
      <c r="C358" s="697" t="s">
        <v>38219</v>
      </c>
    </row>
    <row r="359">
      <c r="A359" s="697">
        <v>6282.0</v>
      </c>
      <c r="B359" s="697" t="s">
        <v>38198</v>
      </c>
      <c r="C359" s="697" t="s">
        <v>38220</v>
      </c>
    </row>
    <row r="360">
      <c r="A360" s="697">
        <v>6311.0</v>
      </c>
      <c r="B360" s="697" t="s">
        <v>38198</v>
      </c>
      <c r="C360" s="697" t="s">
        <v>38221</v>
      </c>
    </row>
    <row r="361">
      <c r="A361" s="697">
        <v>6321.0</v>
      </c>
      <c r="B361" s="697" t="s">
        <v>38198</v>
      </c>
      <c r="C361" s="697" t="s">
        <v>38222</v>
      </c>
    </row>
    <row r="362">
      <c r="A362" s="697">
        <v>6324.0</v>
      </c>
      <c r="B362" s="697" t="s">
        <v>38198</v>
      </c>
      <c r="C362" s="697" t="s">
        <v>38223</v>
      </c>
    </row>
    <row r="363">
      <c r="A363" s="697">
        <v>6331.0</v>
      </c>
      <c r="B363" s="697" t="s">
        <v>38198</v>
      </c>
      <c r="C363" s="697" t="s">
        <v>38224</v>
      </c>
    </row>
    <row r="364">
      <c r="A364" s="697">
        <v>6351.0</v>
      </c>
      <c r="B364" s="697" t="s">
        <v>38198</v>
      </c>
      <c r="C364" s="697" t="s">
        <v>38225</v>
      </c>
    </row>
    <row r="365">
      <c r="A365" s="697">
        <v>6361.0</v>
      </c>
      <c r="B365" s="697" t="s">
        <v>38198</v>
      </c>
      <c r="C365" s="697" t="s">
        <v>38226</v>
      </c>
    </row>
    <row r="366">
      <c r="A366" s="697">
        <v>6399.0</v>
      </c>
      <c r="B366" s="697" t="s">
        <v>38198</v>
      </c>
      <c r="C366" s="697" t="s">
        <v>38227</v>
      </c>
    </row>
    <row r="367">
      <c r="A367" s="697">
        <v>6411.0</v>
      </c>
      <c r="B367" s="697" t="s">
        <v>38198</v>
      </c>
      <c r="C367" s="697" t="s">
        <v>38228</v>
      </c>
    </row>
    <row r="368">
      <c r="A368" s="697">
        <v>6500.0</v>
      </c>
      <c r="B368" s="697" t="s">
        <v>37869</v>
      </c>
      <c r="C368" s="697" t="s">
        <v>38229</v>
      </c>
    </row>
    <row r="369">
      <c r="A369" s="697">
        <v>6510.0</v>
      </c>
      <c r="B369" s="697" t="s">
        <v>37869</v>
      </c>
      <c r="C369" s="697" t="s">
        <v>38230</v>
      </c>
    </row>
    <row r="370">
      <c r="A370" s="697">
        <v>6512.0</v>
      </c>
      <c r="B370" s="697" t="s">
        <v>37869</v>
      </c>
      <c r="C370" s="697" t="s">
        <v>38231</v>
      </c>
    </row>
    <row r="371">
      <c r="A371" s="697">
        <v>6513.0</v>
      </c>
      <c r="B371" s="697" t="s">
        <v>37869</v>
      </c>
      <c r="C371" s="697" t="s">
        <v>38232</v>
      </c>
    </row>
    <row r="372">
      <c r="A372" s="697">
        <v>6519.0</v>
      </c>
      <c r="B372" s="697" t="s">
        <v>37869</v>
      </c>
      <c r="C372" s="697" t="s">
        <v>38233</v>
      </c>
    </row>
    <row r="373">
      <c r="A373" s="697">
        <v>6531.0</v>
      </c>
      <c r="B373" s="697" t="s">
        <v>37869</v>
      </c>
      <c r="C373" s="697" t="s">
        <v>38234</v>
      </c>
    </row>
    <row r="374">
      <c r="A374" s="697">
        <v>6532.0</v>
      </c>
      <c r="B374" s="697" t="s">
        <v>37869</v>
      </c>
      <c r="C374" s="697" t="s">
        <v>38235</v>
      </c>
    </row>
    <row r="375">
      <c r="A375" s="697">
        <v>6552.0</v>
      </c>
      <c r="B375" s="697" t="s">
        <v>37869</v>
      </c>
      <c r="C375" s="697" t="s">
        <v>38236</v>
      </c>
    </row>
    <row r="376">
      <c r="A376" s="697">
        <v>6770.0</v>
      </c>
      <c r="B376" s="697" t="s">
        <v>37869</v>
      </c>
      <c r="C376" s="697" t="s">
        <v>38237</v>
      </c>
    </row>
    <row r="377">
      <c r="A377" s="697">
        <v>6792.0</v>
      </c>
      <c r="B377" s="697" t="s">
        <v>37869</v>
      </c>
      <c r="C377" s="697" t="s">
        <v>38238</v>
      </c>
    </row>
    <row r="378">
      <c r="A378" s="697">
        <v>6794.0</v>
      </c>
      <c r="B378" s="697" t="s">
        <v>37869</v>
      </c>
      <c r="C378" s="697" t="s">
        <v>38239</v>
      </c>
    </row>
    <row r="379">
      <c r="A379" s="697">
        <v>6795.0</v>
      </c>
      <c r="B379" s="697" t="s">
        <v>37869</v>
      </c>
      <c r="C379" s="697" t="s">
        <v>38240</v>
      </c>
    </row>
    <row r="380">
      <c r="A380" s="697">
        <v>6798.0</v>
      </c>
      <c r="B380" s="697" t="s">
        <v>37869</v>
      </c>
      <c r="C380" s="697" t="s">
        <v>38241</v>
      </c>
    </row>
    <row r="381">
      <c r="A381" s="697">
        <v>6799.0</v>
      </c>
      <c r="B381" s="697" t="s">
        <v>37869</v>
      </c>
      <c r="C381" s="697" t="s">
        <v>38242</v>
      </c>
    </row>
    <row r="382">
      <c r="A382" s="697">
        <v>7000.0</v>
      </c>
      <c r="B382" s="697" t="s">
        <v>37869</v>
      </c>
      <c r="C382" s="697" t="s">
        <v>38243</v>
      </c>
    </row>
    <row r="383">
      <c r="A383" s="697">
        <v>7011.0</v>
      </c>
      <c r="B383" s="697" t="s">
        <v>37869</v>
      </c>
      <c r="C383" s="697" t="s">
        <v>38244</v>
      </c>
    </row>
    <row r="384">
      <c r="A384" s="697">
        <v>7200.0</v>
      </c>
      <c r="B384" s="697" t="s">
        <v>38134</v>
      </c>
      <c r="C384" s="697" t="s">
        <v>38245</v>
      </c>
    </row>
    <row r="385">
      <c r="A385" s="697">
        <v>7310.0</v>
      </c>
      <c r="B385" s="697" t="s">
        <v>38134</v>
      </c>
      <c r="C385" s="697" t="s">
        <v>38246</v>
      </c>
    </row>
    <row r="386">
      <c r="A386" s="697">
        <v>7311.0</v>
      </c>
      <c r="B386" s="697" t="s">
        <v>38134</v>
      </c>
      <c r="C386" s="697" t="s">
        <v>38247</v>
      </c>
    </row>
    <row r="387">
      <c r="A387" s="697">
        <v>7320.0</v>
      </c>
      <c r="B387" s="697" t="s">
        <v>38134</v>
      </c>
      <c r="C387" s="697" t="s">
        <v>38248</v>
      </c>
    </row>
    <row r="388">
      <c r="A388" s="697">
        <v>7330.0</v>
      </c>
      <c r="B388" s="697" t="s">
        <v>38134</v>
      </c>
      <c r="C388" s="697" t="s">
        <v>38249</v>
      </c>
    </row>
    <row r="389">
      <c r="A389" s="697">
        <v>7331.0</v>
      </c>
      <c r="B389" s="697" t="s">
        <v>38134</v>
      </c>
      <c r="C389" s="697" t="s">
        <v>38250</v>
      </c>
    </row>
    <row r="390">
      <c r="A390" s="697">
        <v>7340.0</v>
      </c>
      <c r="B390" s="697" t="s">
        <v>38134</v>
      </c>
      <c r="C390" s="697" t="s">
        <v>38251</v>
      </c>
    </row>
    <row r="391">
      <c r="A391" s="697">
        <v>7350.0</v>
      </c>
      <c r="B391" s="697" t="s">
        <v>38134</v>
      </c>
      <c r="C391" s="697" t="s">
        <v>38252</v>
      </c>
    </row>
    <row r="392">
      <c r="A392" s="697">
        <v>7359.0</v>
      </c>
      <c r="B392" s="697" t="s">
        <v>38134</v>
      </c>
      <c r="C392" s="697" t="s">
        <v>38253</v>
      </c>
    </row>
    <row r="393">
      <c r="A393" s="697">
        <v>7361.0</v>
      </c>
      <c r="B393" s="697" t="s">
        <v>38134</v>
      </c>
      <c r="C393" s="697" t="s">
        <v>38254</v>
      </c>
    </row>
    <row r="394">
      <c r="A394" s="697">
        <v>7363.0</v>
      </c>
      <c r="B394" s="697" t="s">
        <v>38134</v>
      </c>
      <c r="C394" s="697" t="s">
        <v>38255</v>
      </c>
    </row>
    <row r="395">
      <c r="A395" s="697">
        <v>7370.0</v>
      </c>
      <c r="B395" s="697" t="s">
        <v>38006</v>
      </c>
      <c r="C395" s="697" t="s">
        <v>38256</v>
      </c>
    </row>
    <row r="396">
      <c r="A396" s="697">
        <v>7371.0</v>
      </c>
      <c r="B396" s="697" t="s">
        <v>38006</v>
      </c>
      <c r="C396" s="697" t="s">
        <v>38257</v>
      </c>
    </row>
    <row r="397">
      <c r="A397" s="697">
        <v>7372.0</v>
      </c>
      <c r="B397" s="697" t="s">
        <v>38006</v>
      </c>
      <c r="C397" s="697" t="s">
        <v>38258</v>
      </c>
    </row>
    <row r="398">
      <c r="A398" s="697">
        <v>7373.0</v>
      </c>
      <c r="B398" s="697" t="s">
        <v>38006</v>
      </c>
      <c r="C398" s="697" t="s">
        <v>38259</v>
      </c>
    </row>
    <row r="399">
      <c r="A399" s="697">
        <v>7374.0</v>
      </c>
      <c r="B399" s="697" t="s">
        <v>38006</v>
      </c>
      <c r="C399" s="697" t="s">
        <v>38260</v>
      </c>
    </row>
    <row r="400">
      <c r="A400" s="697">
        <v>7377.0</v>
      </c>
      <c r="B400" s="697" t="s">
        <v>38134</v>
      </c>
      <c r="C400" s="697" t="s">
        <v>38261</v>
      </c>
    </row>
    <row r="401">
      <c r="A401" s="697">
        <v>7380.0</v>
      </c>
      <c r="B401" s="697" t="s">
        <v>38134</v>
      </c>
      <c r="C401" s="697" t="s">
        <v>38262</v>
      </c>
    </row>
    <row r="402">
      <c r="A402" s="697">
        <v>7381.0</v>
      </c>
      <c r="B402" s="697" t="s">
        <v>38134</v>
      </c>
      <c r="C402" s="697" t="s">
        <v>38263</v>
      </c>
    </row>
    <row r="403">
      <c r="A403" s="697">
        <v>7384.0</v>
      </c>
      <c r="B403" s="697" t="s">
        <v>38134</v>
      </c>
      <c r="C403" s="697" t="s">
        <v>38264</v>
      </c>
    </row>
    <row r="404">
      <c r="A404" s="697">
        <v>7385.0</v>
      </c>
      <c r="B404" s="697" t="s">
        <v>38134</v>
      </c>
      <c r="C404" s="697" t="s">
        <v>38265</v>
      </c>
    </row>
    <row r="405">
      <c r="A405" s="697">
        <v>7389.0</v>
      </c>
      <c r="B405" s="697" t="s">
        <v>38134</v>
      </c>
      <c r="C405" s="697" t="s">
        <v>38266</v>
      </c>
    </row>
    <row r="406">
      <c r="A406" s="697">
        <v>7500.0</v>
      </c>
      <c r="B406" s="697" t="s">
        <v>38134</v>
      </c>
      <c r="C406" s="697" t="s">
        <v>38267</v>
      </c>
    </row>
    <row r="407">
      <c r="A407" s="697">
        <v>7510.0</v>
      </c>
      <c r="B407" s="697" t="s">
        <v>38134</v>
      </c>
      <c r="C407" s="697" t="s">
        <v>38268</v>
      </c>
    </row>
    <row r="408">
      <c r="A408" s="697">
        <v>7600.0</v>
      </c>
      <c r="B408" s="697" t="s">
        <v>38134</v>
      </c>
      <c r="C408" s="697" t="s">
        <v>38269</v>
      </c>
    </row>
    <row r="409">
      <c r="A409" s="697">
        <v>7812.0</v>
      </c>
      <c r="B409" s="697" t="s">
        <v>38134</v>
      </c>
      <c r="C409" s="697" t="s">
        <v>38270</v>
      </c>
    </row>
    <row r="410">
      <c r="A410" s="697">
        <v>7819.0</v>
      </c>
      <c r="B410" s="697" t="s">
        <v>38134</v>
      </c>
      <c r="C410" s="697" t="s">
        <v>38271</v>
      </c>
    </row>
    <row r="411">
      <c r="A411" s="697">
        <v>7822.0</v>
      </c>
      <c r="B411" s="697" t="s">
        <v>38134</v>
      </c>
      <c r="C411" s="697" t="s">
        <v>38272</v>
      </c>
    </row>
    <row r="412">
      <c r="A412" s="697">
        <v>7829.0</v>
      </c>
      <c r="B412" s="697" t="s">
        <v>38134</v>
      </c>
      <c r="C412" s="697" t="s">
        <v>38273</v>
      </c>
    </row>
    <row r="413">
      <c r="A413" s="697">
        <v>7830.0</v>
      </c>
      <c r="B413" s="697" t="s">
        <v>38134</v>
      </c>
      <c r="C413" s="697" t="s">
        <v>38274</v>
      </c>
    </row>
    <row r="414">
      <c r="A414" s="697">
        <v>7841.0</v>
      </c>
      <c r="B414" s="697" t="s">
        <v>38134</v>
      </c>
      <c r="C414" s="697" t="s">
        <v>38275</v>
      </c>
    </row>
    <row r="415">
      <c r="A415" s="697">
        <v>7900.0</v>
      </c>
      <c r="B415" s="697" t="s">
        <v>38134</v>
      </c>
      <c r="C415" s="697" t="s">
        <v>38276</v>
      </c>
    </row>
    <row r="416">
      <c r="A416" s="697">
        <v>7948.0</v>
      </c>
      <c r="B416" s="697" t="s">
        <v>38134</v>
      </c>
      <c r="C416" s="697" t="s">
        <v>38277</v>
      </c>
    </row>
    <row r="417">
      <c r="A417" s="697">
        <v>7990.0</v>
      </c>
      <c r="B417" s="697" t="s">
        <v>38134</v>
      </c>
      <c r="C417" s="697" t="s">
        <v>38278</v>
      </c>
    </row>
    <row r="418">
      <c r="A418" s="697">
        <v>7997.0</v>
      </c>
      <c r="B418" s="697" t="s">
        <v>38134</v>
      </c>
      <c r="C418" s="697" t="s">
        <v>38279</v>
      </c>
    </row>
    <row r="419">
      <c r="A419" s="697">
        <v>8000.0</v>
      </c>
      <c r="B419" s="697" t="s">
        <v>37852</v>
      </c>
      <c r="C419" s="697" t="s">
        <v>38280</v>
      </c>
    </row>
    <row r="420">
      <c r="A420" s="697">
        <v>8011.0</v>
      </c>
      <c r="B420" s="697" t="s">
        <v>37852</v>
      </c>
      <c r="C420" s="697" t="s">
        <v>38281</v>
      </c>
    </row>
    <row r="421">
      <c r="A421" s="697">
        <v>8050.0</v>
      </c>
      <c r="B421" s="697" t="s">
        <v>37852</v>
      </c>
      <c r="C421" s="697" t="s">
        <v>38282</v>
      </c>
    </row>
    <row r="422">
      <c r="A422" s="697">
        <v>8051.0</v>
      </c>
      <c r="B422" s="697" t="s">
        <v>37852</v>
      </c>
      <c r="C422" s="697" t="s">
        <v>38283</v>
      </c>
    </row>
    <row r="423">
      <c r="A423" s="697">
        <v>8060.0</v>
      </c>
      <c r="B423" s="697" t="s">
        <v>37852</v>
      </c>
      <c r="C423" s="697" t="s">
        <v>38284</v>
      </c>
    </row>
    <row r="424">
      <c r="A424" s="697">
        <v>8062.0</v>
      </c>
      <c r="B424" s="697" t="s">
        <v>37852</v>
      </c>
      <c r="C424" s="697" t="s">
        <v>38285</v>
      </c>
    </row>
    <row r="425">
      <c r="A425" s="697">
        <v>8071.0</v>
      </c>
      <c r="B425" s="697" t="s">
        <v>37852</v>
      </c>
      <c r="C425" s="697" t="s">
        <v>38286</v>
      </c>
    </row>
    <row r="426">
      <c r="A426" s="697">
        <v>8082.0</v>
      </c>
      <c r="B426" s="697" t="s">
        <v>37852</v>
      </c>
      <c r="C426" s="697" t="s">
        <v>38287</v>
      </c>
    </row>
    <row r="427">
      <c r="A427" s="697">
        <v>8090.0</v>
      </c>
      <c r="B427" s="697" t="s">
        <v>37852</v>
      </c>
      <c r="C427" s="697" t="s">
        <v>38288</v>
      </c>
    </row>
    <row r="428">
      <c r="A428" s="697">
        <v>8093.0</v>
      </c>
      <c r="B428" s="697" t="s">
        <v>37852</v>
      </c>
      <c r="C428" s="697" t="s">
        <v>38289</v>
      </c>
    </row>
    <row r="429">
      <c r="A429" s="697">
        <v>8111.0</v>
      </c>
      <c r="B429" s="697" t="s">
        <v>38134</v>
      </c>
      <c r="C429" s="697" t="s">
        <v>38290</v>
      </c>
    </row>
    <row r="430">
      <c r="A430" s="697">
        <v>8200.0</v>
      </c>
      <c r="B430" s="697" t="s">
        <v>38134</v>
      </c>
      <c r="C430" s="697" t="s">
        <v>38291</v>
      </c>
    </row>
    <row r="431">
      <c r="A431" s="697">
        <v>8300.0</v>
      </c>
      <c r="B431" s="697" t="s">
        <v>37852</v>
      </c>
      <c r="C431" s="697" t="s">
        <v>38292</v>
      </c>
    </row>
    <row r="432">
      <c r="A432" s="697">
        <v>8351.0</v>
      </c>
      <c r="B432" s="697" t="s">
        <v>38134</v>
      </c>
      <c r="C432" s="697" t="s">
        <v>38293</v>
      </c>
    </row>
    <row r="433">
      <c r="A433" s="697">
        <v>8600.0</v>
      </c>
      <c r="B433" s="697" t="s">
        <v>38134</v>
      </c>
      <c r="C433" s="697" t="s">
        <v>38294</v>
      </c>
    </row>
    <row r="434">
      <c r="A434" s="697">
        <v>8700.0</v>
      </c>
      <c r="B434" s="697" t="s">
        <v>38134</v>
      </c>
      <c r="C434" s="697" t="s">
        <v>38295</v>
      </c>
    </row>
    <row r="435">
      <c r="A435" s="697">
        <v>8711.0</v>
      </c>
      <c r="B435" s="697" t="s">
        <v>38134</v>
      </c>
      <c r="C435" s="697" t="s">
        <v>38296</v>
      </c>
    </row>
    <row r="436">
      <c r="A436" s="697">
        <v>8731.0</v>
      </c>
      <c r="B436" s="697" t="s">
        <v>37852</v>
      </c>
      <c r="C436" s="697" t="s">
        <v>38297</v>
      </c>
    </row>
    <row r="437">
      <c r="A437" s="697">
        <v>8734.0</v>
      </c>
      <c r="B437" s="697" t="s">
        <v>37852</v>
      </c>
      <c r="C437" s="697" t="s">
        <v>38298</v>
      </c>
    </row>
    <row r="438">
      <c r="A438" s="697">
        <v>8741.0</v>
      </c>
      <c r="B438" s="697" t="s">
        <v>38134</v>
      </c>
      <c r="C438" s="697" t="s">
        <v>38299</v>
      </c>
    </row>
    <row r="439">
      <c r="A439" s="697">
        <v>8742.0</v>
      </c>
      <c r="B439" s="697" t="s">
        <v>38134</v>
      </c>
      <c r="C439" s="697" t="s">
        <v>38300</v>
      </c>
    </row>
    <row r="440">
      <c r="A440" s="697">
        <v>8744.0</v>
      </c>
      <c r="B440" s="697" t="s">
        <v>38134</v>
      </c>
      <c r="C440" s="697" t="s">
        <v>38301</v>
      </c>
    </row>
    <row r="441">
      <c r="A441" s="697">
        <v>8880.0</v>
      </c>
      <c r="B441" s="697" t="s">
        <v>38302</v>
      </c>
      <c r="C441" s="697" t="s">
        <v>38303</v>
      </c>
    </row>
    <row r="442">
      <c r="A442" s="697">
        <v>8888.0</v>
      </c>
      <c r="B442" s="697" t="s">
        <v>38302</v>
      </c>
      <c r="C442" s="697" t="s">
        <v>38304</v>
      </c>
    </row>
    <row r="443">
      <c r="A443" s="697">
        <v>8900.0</v>
      </c>
      <c r="B443" s="697" t="s">
        <v>38134</v>
      </c>
      <c r="C443" s="697" t="s">
        <v>38305</v>
      </c>
    </row>
    <row r="444">
      <c r="A444" s="697">
        <v>9721.0</v>
      </c>
      <c r="B444" s="697" t="s">
        <v>38302</v>
      </c>
      <c r="C444" s="697" t="s">
        <v>38306</v>
      </c>
    </row>
    <row r="445">
      <c r="A445" s="697">
        <v>9995.0</v>
      </c>
      <c r="B445" s="697" t="s">
        <v>37869</v>
      </c>
      <c r="C445" s="697" t="s">
        <v>38307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38308</v>
      </c>
    </row>
    <row r="2">
      <c r="A2" s="7" t="s">
        <v>38309</v>
      </c>
    </row>
    <row r="3">
      <c r="A3" s="7" t="s">
        <v>38310</v>
      </c>
    </row>
    <row r="4">
      <c r="A4" s="7" t="s">
        <v>38311</v>
      </c>
    </row>
    <row r="6">
      <c r="A6" s="7" t="s">
        <v>38312</v>
      </c>
      <c r="B6" s="7" t="s">
        <v>38313</v>
      </c>
    </row>
    <row r="7">
      <c r="A7" s="7" t="s">
        <v>38314</v>
      </c>
      <c r="B7" s="7" t="s">
        <v>38315</v>
      </c>
    </row>
    <row r="8">
      <c r="A8" s="7" t="s">
        <v>38316</v>
      </c>
    </row>
    <row r="9">
      <c r="A9" s="7" t="s">
        <v>38317</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88"/>
  </cols>
  <sheetData>
    <row r="1">
      <c r="A1" s="698" t="s">
        <v>38318</v>
      </c>
    </row>
    <row r="2">
      <c r="A2" s="698" t="s">
        <v>38319</v>
      </c>
    </row>
    <row r="3">
      <c r="A3" s="698" t="s">
        <v>38320</v>
      </c>
      <c r="B3" s="699" t="s">
        <v>38321</v>
      </c>
    </row>
    <row r="4">
      <c r="A4" s="698" t="s">
        <v>38322</v>
      </c>
    </row>
    <row r="5">
      <c r="A5" s="698" t="s">
        <v>38323</v>
      </c>
    </row>
    <row r="6">
      <c r="A6" s="700" t="s">
        <v>38324</v>
      </c>
    </row>
    <row r="7">
      <c r="A7" s="698" t="s">
        <v>38325</v>
      </c>
    </row>
    <row r="8">
      <c r="A8" s="698" t="s">
        <v>38326</v>
      </c>
    </row>
    <row r="9">
      <c r="A9" s="698" t="s">
        <v>38327</v>
      </c>
    </row>
    <row r="10">
      <c r="A10" s="698" t="s">
        <v>38328</v>
      </c>
    </row>
    <row r="11">
      <c r="A11" s="698" t="s">
        <v>38329</v>
      </c>
    </row>
    <row r="12">
      <c r="A12" s="698" t="s">
        <v>38330</v>
      </c>
    </row>
    <row r="13">
      <c r="A13" s="698" t="s">
        <v>38331</v>
      </c>
    </row>
    <row r="14">
      <c r="A14" s="698" t="s">
        <v>38332</v>
      </c>
    </row>
    <row r="15">
      <c r="A15" s="698" t="s">
        <v>38333</v>
      </c>
    </row>
    <row r="16">
      <c r="A16" s="698" t="s">
        <v>38334</v>
      </c>
    </row>
    <row r="17">
      <c r="A17" s="698" t="s">
        <v>38335</v>
      </c>
    </row>
    <row r="18">
      <c r="A18" s="698" t="s">
        <v>38336</v>
      </c>
    </row>
    <row r="19">
      <c r="A19" s="698" t="s">
        <v>38337</v>
      </c>
    </row>
    <row r="20">
      <c r="A20" s="698" t="s">
        <v>38338</v>
      </c>
    </row>
    <row r="21">
      <c r="A21" s="698" t="s">
        <v>38339</v>
      </c>
    </row>
    <row r="22">
      <c r="A22" s="698" t="s">
        <v>38340</v>
      </c>
    </row>
    <row r="23">
      <c r="A23" s="698" t="s">
        <v>38341</v>
      </c>
    </row>
    <row r="24">
      <c r="A24" s="698" t="s">
        <v>38342</v>
      </c>
    </row>
    <row r="25">
      <c r="A25" s="698" t="s">
        <v>38343</v>
      </c>
    </row>
    <row r="26">
      <c r="A26" s="698" t="s">
        <v>38344</v>
      </c>
    </row>
    <row r="27">
      <c r="A27" s="698" t="s">
        <v>38345</v>
      </c>
    </row>
    <row r="28">
      <c r="A28" s="698" t="s">
        <v>38346</v>
      </c>
    </row>
    <row r="29">
      <c r="A29" s="698" t="s">
        <v>38347</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88"/>
  </cols>
  <sheetData>
    <row r="1">
      <c r="A1" s="701" t="s">
        <v>38348</v>
      </c>
      <c r="B1" s="701" t="s">
        <v>38349</v>
      </c>
      <c r="C1" s="701" t="s">
        <v>38350</v>
      </c>
      <c r="D1" s="701" t="s">
        <v>38351</v>
      </c>
      <c r="E1" s="612"/>
      <c r="F1" s="702" t="s">
        <v>18516</v>
      </c>
      <c r="I1" s="703" t="s">
        <v>16811</v>
      </c>
    </row>
    <row r="2">
      <c r="A2" s="704" t="s">
        <v>38352</v>
      </c>
      <c r="B2" s="705" t="s">
        <v>38353</v>
      </c>
      <c r="C2" s="705" t="s">
        <v>31872</v>
      </c>
      <c r="D2" s="706">
        <v>3.0</v>
      </c>
      <c r="F2" s="707" t="s">
        <v>38354</v>
      </c>
      <c r="I2" s="708"/>
    </row>
    <row r="3">
      <c r="A3" s="709" t="s">
        <v>38355</v>
      </c>
      <c r="B3" s="710" t="s">
        <v>38356</v>
      </c>
      <c r="C3" s="710" t="s">
        <v>31872</v>
      </c>
      <c r="D3" s="711">
        <v>5.0</v>
      </c>
      <c r="F3" s="712" t="s">
        <v>38357</v>
      </c>
      <c r="I3" s="713" t="s">
        <v>38358</v>
      </c>
      <c r="N3" s="7" t="s">
        <v>38359</v>
      </c>
    </row>
    <row r="4">
      <c r="A4" s="709" t="s">
        <v>38360</v>
      </c>
      <c r="B4" s="710" t="s">
        <v>38356</v>
      </c>
      <c r="C4" s="710" t="s">
        <v>31877</v>
      </c>
      <c r="D4" s="711">
        <v>1.0</v>
      </c>
      <c r="I4" s="714"/>
    </row>
    <row r="5">
      <c r="A5" s="709" t="s">
        <v>38361</v>
      </c>
      <c r="B5" s="710" t="s">
        <v>38356</v>
      </c>
      <c r="C5" s="710" t="s">
        <v>31872</v>
      </c>
      <c r="D5" s="711">
        <v>4.0</v>
      </c>
      <c r="I5" s="715" t="s">
        <v>38362</v>
      </c>
    </row>
    <row r="6">
      <c r="A6" s="716" t="s">
        <v>38363</v>
      </c>
      <c r="B6" s="717" t="s">
        <v>38353</v>
      </c>
      <c r="C6" s="717" t="s">
        <v>31877</v>
      </c>
      <c r="D6" s="718">
        <v>2.0</v>
      </c>
      <c r="I6" s="714"/>
    </row>
    <row r="7">
      <c r="I7" s="719" t="s">
        <v>38364</v>
      </c>
    </row>
    <row r="8">
      <c r="A8" s="720"/>
      <c r="B8" s="720"/>
      <c r="C8" s="440"/>
      <c r="D8" s="440"/>
      <c r="E8" s="440"/>
      <c r="G8" s="7" t="s">
        <v>38365</v>
      </c>
      <c r="I8" s="721"/>
    </row>
    <row r="9">
      <c r="A9" s="722" t="s">
        <v>215</v>
      </c>
      <c r="B9" s="723" t="s">
        <v>38366</v>
      </c>
      <c r="C9" s="724"/>
      <c r="D9" s="440"/>
      <c r="E9" s="440"/>
      <c r="G9" s="99" t="str">
        <f>index(A2$D6,2,1)</f>
        <v>#ERROR!</v>
      </c>
      <c r="I9" s="725" t="s">
        <v>38348</v>
      </c>
      <c r="J9" s="726" t="s">
        <v>38349</v>
      </c>
      <c r="K9" s="726" t="s">
        <v>38350</v>
      </c>
      <c r="L9" s="726" t="s">
        <v>38351</v>
      </c>
    </row>
    <row r="10">
      <c r="A10" s="727" t="str">
        <f t="array" ref="A10">INDEX(A2:D6, 2, 1)</f>
        <v>Bob</v>
      </c>
      <c r="B10" s="728" t="s">
        <v>38355</v>
      </c>
      <c r="C10" s="724"/>
      <c r="D10" s="440"/>
      <c r="E10" s="440"/>
      <c r="G10" s="105" t="s">
        <v>38367</v>
      </c>
      <c r="H10" s="99" t="str">
        <f t="array" ref="H10">index(B3:E7,2,1)</f>
        <v>None</v>
      </c>
      <c r="I10" s="729" t="s">
        <v>38352</v>
      </c>
      <c r="J10" s="730" t="s">
        <v>38353</v>
      </c>
      <c r="K10" s="730" t="s">
        <v>31872</v>
      </c>
      <c r="L10" s="730">
        <v>3.0</v>
      </c>
    </row>
    <row r="11">
      <c r="A11" s="731" t="str">
        <f t="array" ref="A11">INDEX(A2:D6, 4, 2)</f>
        <v>None</v>
      </c>
      <c r="B11" s="732" t="s">
        <v>38356</v>
      </c>
      <c r="C11" s="724"/>
      <c r="D11" s="440"/>
      <c r="E11" s="440"/>
      <c r="G11" s="733" t="s">
        <v>38368</v>
      </c>
      <c r="I11" s="729" t="s">
        <v>38355</v>
      </c>
      <c r="J11" s="734" t="s">
        <v>38356</v>
      </c>
      <c r="K11" s="734" t="s">
        <v>31872</v>
      </c>
      <c r="L11" s="734">
        <v>5.0</v>
      </c>
    </row>
    <row r="12">
      <c r="A12" s="735" t="str">
        <f t="array" ref="A12">INDEX(A2:D6,1,1)</f>
        <v>David</v>
      </c>
      <c r="B12" s="732" t="s">
        <v>38352</v>
      </c>
      <c r="C12" s="724"/>
      <c r="D12" s="440"/>
      <c r="E12" s="440"/>
      <c r="F12" s="99" t="str">
        <f t="array" ref="F12">INDEX(A1:D6, MATCH(2, D1:D6, 0), MATCH("Guest Name", A1:D1, 0))</f>
        <v>Mary</v>
      </c>
      <c r="I12" s="729" t="s">
        <v>38360</v>
      </c>
      <c r="J12" s="730" t="s">
        <v>38356</v>
      </c>
      <c r="K12" s="730" t="s">
        <v>31877</v>
      </c>
      <c r="L12" s="730">
        <v>1.0</v>
      </c>
    </row>
    <row r="13">
      <c r="A13" s="736" t="str">
        <f t="array" ref="A13">INDEX(A1:D6, 6, 3)</f>
        <v>Yes</v>
      </c>
      <c r="B13" s="737" t="s">
        <v>31877</v>
      </c>
      <c r="C13" s="724"/>
      <c r="D13" s="440"/>
      <c r="E13" s="440"/>
      <c r="I13" s="729" t="s">
        <v>38361</v>
      </c>
      <c r="J13" s="734" t="s">
        <v>38356</v>
      </c>
      <c r="K13" s="734" t="s">
        <v>31872</v>
      </c>
      <c r="L13" s="734">
        <v>4.0</v>
      </c>
    </row>
    <row r="14">
      <c r="A14" s="738"/>
      <c r="B14" s="738"/>
      <c r="C14" s="440"/>
      <c r="D14" s="440"/>
      <c r="E14" s="440"/>
      <c r="I14" s="729" t="s">
        <v>38363</v>
      </c>
      <c r="J14" s="730" t="s">
        <v>38353</v>
      </c>
      <c r="K14" s="730" t="s">
        <v>31877</v>
      </c>
      <c r="L14" s="730">
        <v>2.0</v>
      </c>
    </row>
    <row r="15">
      <c r="A15" s="440"/>
      <c r="B15" s="440"/>
      <c r="C15" s="440"/>
      <c r="D15" s="440"/>
      <c r="E15" s="440"/>
      <c r="I15" s="721"/>
    </row>
    <row r="16">
      <c r="A16" s="739" t="s">
        <v>215</v>
      </c>
      <c r="B16" s="740"/>
      <c r="C16" s="740"/>
      <c r="D16" s="741"/>
      <c r="E16" s="440"/>
      <c r="I16" s="725" t="s">
        <v>215</v>
      </c>
      <c r="J16" s="726" t="s">
        <v>38366</v>
      </c>
    </row>
    <row r="17">
      <c r="A17" s="742" t="str">
        <f t="array" ref="A17:D17">INDEX(A2:D6, 2, 0)</f>
        <v>Bob</v>
      </c>
      <c r="B17" s="743" t="s">
        <v>38356</v>
      </c>
      <c r="C17" s="743" t="s">
        <v>31872</v>
      </c>
      <c r="D17" s="744">
        <v>5.0</v>
      </c>
      <c r="E17" s="440"/>
      <c r="I17" s="745" t="str">
        <f t="array" ref="I17">INDEX(A2:D6, 2, 1)</f>
        <v>Bob</v>
      </c>
      <c r="J17" s="730" t="s">
        <v>38355</v>
      </c>
    </row>
    <row r="18">
      <c r="A18" s="440"/>
      <c r="B18" s="440"/>
      <c r="C18" s="440"/>
      <c r="D18" s="440"/>
      <c r="E18" s="440"/>
      <c r="G18" s="746" t="s">
        <v>38359</v>
      </c>
      <c r="I18" s="747">
        <f t="array" ref="I18">INDEX(A2:D6, 4, 4)</f>
        <v>4</v>
      </c>
      <c r="J18" s="734">
        <v>4.0</v>
      </c>
    </row>
    <row r="19">
      <c r="A19" s="748" t="s">
        <v>38366</v>
      </c>
      <c r="B19" s="740"/>
      <c r="C19" s="740"/>
      <c r="D19" s="741"/>
      <c r="E19" s="440"/>
      <c r="I19" s="745" t="str">
        <f t="array" ref="I19">INDEX(A2:D6,1,1)</f>
        <v>David</v>
      </c>
      <c r="J19" s="730" t="s">
        <v>38352</v>
      </c>
    </row>
    <row r="20">
      <c r="A20" s="749" t="s">
        <v>38355</v>
      </c>
      <c r="B20" s="750" t="s">
        <v>38356</v>
      </c>
      <c r="C20" s="750" t="s">
        <v>31872</v>
      </c>
      <c r="D20" s="751">
        <v>5.0</v>
      </c>
      <c r="E20" s="440"/>
      <c r="I20" s="745" t="str">
        <f t="array" ref="I20">INDEX(A1:D6, 6, 2)</f>
        <v>Vegetarian</v>
      </c>
      <c r="J20" s="734" t="s">
        <v>38353</v>
      </c>
    </row>
    <row r="21">
      <c r="A21" s="440"/>
      <c r="B21" s="440"/>
      <c r="C21" s="440"/>
      <c r="D21" s="440"/>
      <c r="E21" s="440"/>
      <c r="I21" s="721"/>
    </row>
    <row r="22">
      <c r="A22" s="440"/>
      <c r="B22" s="440"/>
      <c r="C22" s="440"/>
      <c r="D22" s="440"/>
      <c r="E22" s="440"/>
      <c r="I22" s="752"/>
      <c r="J22" s="753"/>
      <c r="K22" s="754"/>
      <c r="L22" s="754"/>
      <c r="M22" s="755"/>
    </row>
    <row r="23">
      <c r="A23" s="722" t="s">
        <v>215</v>
      </c>
      <c r="B23" s="756" t="s">
        <v>38366</v>
      </c>
      <c r="C23" s="440"/>
      <c r="D23" s="440"/>
      <c r="E23" s="440"/>
      <c r="I23" s="757"/>
      <c r="J23" s="758"/>
      <c r="K23" s="758"/>
      <c r="L23" s="758"/>
      <c r="M23" s="758"/>
    </row>
    <row r="24">
      <c r="A24" s="759">
        <f t="array" ref="A24:A28">INDEX(A2:D6, 0, 4)</f>
        <v>3</v>
      </c>
      <c r="B24" s="760">
        <v>3.0</v>
      </c>
      <c r="C24" s="440"/>
      <c r="D24" s="440"/>
      <c r="E24" s="440"/>
      <c r="I24" s="444"/>
    </row>
    <row r="25">
      <c r="A25" s="761">
        <v>5.0</v>
      </c>
      <c r="B25" s="762">
        <v>5.0</v>
      </c>
      <c r="C25" s="440"/>
      <c r="D25" s="440"/>
      <c r="E25" s="440"/>
      <c r="I25" s="725" t="s">
        <v>215</v>
      </c>
      <c r="J25" s="726" t="s">
        <v>38366</v>
      </c>
    </row>
    <row r="26">
      <c r="A26" s="763">
        <v>1.0</v>
      </c>
      <c r="B26" s="762">
        <v>1.0</v>
      </c>
      <c r="C26" s="440"/>
      <c r="D26" s="440"/>
      <c r="E26" s="440"/>
      <c r="I26" s="764">
        <f t="array" ref="I26:I30">INDEX(A2:D6, 0, 4)</f>
        <v>3</v>
      </c>
      <c r="J26" s="730">
        <v>3.0</v>
      </c>
    </row>
    <row r="27">
      <c r="A27" s="761">
        <v>4.0</v>
      </c>
      <c r="B27" s="762">
        <v>4.0</v>
      </c>
      <c r="I27" s="765"/>
      <c r="J27" s="734">
        <v>5.0</v>
      </c>
    </row>
    <row r="28">
      <c r="A28" s="766">
        <v>2.0</v>
      </c>
      <c r="B28" s="767">
        <v>2.0</v>
      </c>
      <c r="I28" s="765"/>
      <c r="J28" s="730">
        <v>1.0</v>
      </c>
    </row>
    <row r="29">
      <c r="I29" s="765"/>
      <c r="J29" s="734">
        <v>4.0</v>
      </c>
    </row>
    <row r="30">
      <c r="I30" s="768"/>
      <c r="J30" s="730">
        <v>2.0</v>
      </c>
    </row>
    <row r="31">
      <c r="I31" s="721"/>
    </row>
    <row r="32">
      <c r="A32" s="769" t="s">
        <v>38369</v>
      </c>
      <c r="B32" s="770"/>
      <c r="C32" s="770"/>
      <c r="D32" s="770"/>
      <c r="E32" s="770"/>
      <c r="F32" s="770"/>
      <c r="I32" s="771" t="s">
        <v>38370</v>
      </c>
    </row>
    <row r="33">
      <c r="I33" s="772"/>
    </row>
    <row r="34">
      <c r="A34" s="773" t="s">
        <v>38348</v>
      </c>
      <c r="B34" s="774" t="s">
        <v>38349</v>
      </c>
      <c r="C34" s="774" t="s">
        <v>38350</v>
      </c>
      <c r="D34" s="775" t="s">
        <v>38351</v>
      </c>
      <c r="E34" s="467"/>
      <c r="F34" s="467"/>
      <c r="I34" s="776" t="s">
        <v>38371</v>
      </c>
    </row>
    <row r="35">
      <c r="A35" s="777" t="s">
        <v>38352</v>
      </c>
      <c r="B35" s="778" t="s">
        <v>38353</v>
      </c>
      <c r="C35" s="778" t="s">
        <v>31872</v>
      </c>
      <c r="D35" s="779">
        <v>3.0</v>
      </c>
      <c r="E35" s="467"/>
      <c r="F35" s="467"/>
      <c r="I35" s="772"/>
    </row>
    <row r="36">
      <c r="A36" s="780" t="s">
        <v>38355</v>
      </c>
      <c r="B36" s="468" t="s">
        <v>38356</v>
      </c>
      <c r="C36" s="468" t="s">
        <v>31872</v>
      </c>
      <c r="D36" s="781">
        <v>5.0</v>
      </c>
      <c r="E36" s="467"/>
      <c r="F36" s="467"/>
      <c r="I36" s="782" t="s">
        <v>38372</v>
      </c>
    </row>
    <row r="37">
      <c r="A37" s="780" t="s">
        <v>38360</v>
      </c>
      <c r="B37" s="468" t="s">
        <v>38356</v>
      </c>
      <c r="C37" s="468" t="s">
        <v>31877</v>
      </c>
      <c r="D37" s="781">
        <v>1.0</v>
      </c>
      <c r="E37" s="467"/>
      <c r="F37" s="467"/>
      <c r="I37" s="772"/>
    </row>
    <row r="38">
      <c r="A38" s="780" t="s">
        <v>38361</v>
      </c>
      <c r="B38" s="468" t="s">
        <v>38356</v>
      </c>
      <c r="C38" s="468" t="s">
        <v>31872</v>
      </c>
      <c r="D38" s="781">
        <v>4.0</v>
      </c>
      <c r="E38" s="467"/>
      <c r="F38" s="467"/>
      <c r="I38" s="776" t="s">
        <v>38373</v>
      </c>
    </row>
    <row r="39">
      <c r="A39" s="783" t="s">
        <v>38363</v>
      </c>
      <c r="B39" s="784" t="s">
        <v>38353</v>
      </c>
      <c r="C39" s="784" t="s">
        <v>31877</v>
      </c>
      <c r="D39" s="785">
        <v>2.0</v>
      </c>
      <c r="E39" s="467"/>
      <c r="F39" s="467"/>
      <c r="I39" s="772"/>
    </row>
    <row r="40">
      <c r="A40" s="467"/>
      <c r="B40" s="467"/>
      <c r="C40" s="467"/>
      <c r="D40" s="467"/>
      <c r="E40" s="467"/>
      <c r="F40" s="467"/>
      <c r="I40" s="786" t="s">
        <v>38374</v>
      </c>
    </row>
    <row r="41">
      <c r="I41" s="787"/>
    </row>
    <row r="42">
      <c r="A42" s="788" t="s">
        <v>38375</v>
      </c>
      <c r="B42" s="722" t="s">
        <v>215</v>
      </c>
      <c r="C42" s="756" t="s">
        <v>38366</v>
      </c>
      <c r="D42" s="722" t="s">
        <v>38376</v>
      </c>
      <c r="I42" s="782" t="s">
        <v>38377</v>
      </c>
    </row>
    <row r="43">
      <c r="A43" s="789" t="s">
        <v>38378</v>
      </c>
      <c r="B43" s="790" t="str">
        <f>VLOOKUP("Mary", A1:D6, 2, false)</f>
        <v>Vegetarian</v>
      </c>
      <c r="C43" s="791" t="s">
        <v>38353</v>
      </c>
      <c r="D43" s="789" t="s">
        <v>38379</v>
      </c>
      <c r="I43" s="787"/>
    </row>
    <row r="44">
      <c r="A44" s="789" t="s">
        <v>38378</v>
      </c>
      <c r="B44" s="792" t="str">
        <f t="array" ref="B44">INDEX(A1:D6, MATCH("Mary", A1:A6, 0), 2)</f>
        <v>Vegetarian</v>
      </c>
      <c r="C44" s="793" t="s">
        <v>38353</v>
      </c>
      <c r="D44" s="789" t="s">
        <v>38380</v>
      </c>
      <c r="I44" s="782" t="s">
        <v>38381</v>
      </c>
    </row>
    <row r="45">
      <c r="A45" s="789" t="s">
        <v>38378</v>
      </c>
      <c r="B45" s="792" t="str">
        <f t="array" ref="B45">INDEX(A1:D6, MATCH("Mary", A1:A6, 0), MATCH("Dietary Restriction", A1:D1, 0))</f>
        <v>Vegetarian</v>
      </c>
      <c r="C45" s="793" t="s">
        <v>38353</v>
      </c>
      <c r="D45" s="789" t="s">
        <v>38382</v>
      </c>
      <c r="I45" s="787"/>
    </row>
    <row r="46">
      <c r="A46" s="789" t="s">
        <v>38383</v>
      </c>
      <c r="B46" s="794" t="s">
        <v>38384</v>
      </c>
      <c r="C46" s="793" t="s">
        <v>38385</v>
      </c>
      <c r="D46" s="789" t="s">
        <v>38386</v>
      </c>
      <c r="I46" s="782" t="s">
        <v>38387</v>
      </c>
    </row>
    <row r="47">
      <c r="A47" s="795" t="s">
        <v>38383</v>
      </c>
      <c r="B47" s="796" t="str">
        <f t="array" ref="B47">INDEX(A1:D6, MATCH(2, D1:D6, 0), MATCH("Guest Name", A1:D1, 0))</f>
        <v>Mary</v>
      </c>
      <c r="C47" s="797" t="s">
        <v>38363</v>
      </c>
      <c r="D47" s="795" t="s">
        <v>38388</v>
      </c>
      <c r="I47" s="776" t="s">
        <v>38389</v>
      </c>
    </row>
    <row r="48">
      <c r="I48" s="772"/>
    </row>
    <row r="49">
      <c r="I49" s="776" t="s">
        <v>33223</v>
      </c>
    </row>
    <row r="50">
      <c r="I50" s="772"/>
    </row>
    <row r="51">
      <c r="I51" s="798" t="s">
        <v>33224</v>
      </c>
    </row>
    <row r="52">
      <c r="I52" s="725" t="s">
        <v>38348</v>
      </c>
      <c r="J52" s="726" t="s">
        <v>38349</v>
      </c>
      <c r="K52" s="726" t="s">
        <v>38350</v>
      </c>
      <c r="L52" s="726" t="s">
        <v>38351</v>
      </c>
    </row>
    <row r="53">
      <c r="I53" s="729" t="s">
        <v>38352</v>
      </c>
      <c r="J53" s="730" t="s">
        <v>38353</v>
      </c>
      <c r="K53" s="730" t="s">
        <v>31872</v>
      </c>
      <c r="L53" s="730">
        <v>3.0</v>
      </c>
    </row>
    <row r="54">
      <c r="I54" s="729" t="s">
        <v>38355</v>
      </c>
      <c r="J54" s="734" t="s">
        <v>38356</v>
      </c>
      <c r="K54" s="734" t="s">
        <v>31872</v>
      </c>
      <c r="L54" s="734">
        <v>5.0</v>
      </c>
    </row>
    <row r="55">
      <c r="I55" s="729" t="s">
        <v>38360</v>
      </c>
      <c r="J55" s="730" t="s">
        <v>38356</v>
      </c>
      <c r="K55" s="730" t="s">
        <v>31877</v>
      </c>
      <c r="L55" s="730">
        <v>1.0</v>
      </c>
    </row>
    <row r="56">
      <c r="I56" s="729" t="s">
        <v>38361</v>
      </c>
      <c r="J56" s="734" t="s">
        <v>38356</v>
      </c>
      <c r="K56" s="734" t="s">
        <v>31872</v>
      </c>
      <c r="L56" s="734">
        <v>4.0</v>
      </c>
    </row>
    <row r="57">
      <c r="I57" s="729" t="s">
        <v>38363</v>
      </c>
      <c r="J57" s="730" t="s">
        <v>38353</v>
      </c>
      <c r="K57" s="730" t="s">
        <v>31877</v>
      </c>
      <c r="L57" s="730">
        <v>2.0</v>
      </c>
    </row>
    <row r="58">
      <c r="I58" s="721"/>
    </row>
    <row r="59">
      <c r="I59" s="725" t="s">
        <v>38375</v>
      </c>
      <c r="J59" s="726" t="s">
        <v>215</v>
      </c>
      <c r="K59" s="726" t="s">
        <v>38366</v>
      </c>
      <c r="L59" s="726" t="s">
        <v>38376</v>
      </c>
    </row>
    <row r="60">
      <c r="I60" s="729" t="s">
        <v>38378</v>
      </c>
      <c r="J60" s="799" t="str">
        <f>VLOOKUP("Mary", A1:D6, 2, false)</f>
        <v>Vegetarian</v>
      </c>
      <c r="K60" s="730" t="s">
        <v>38353</v>
      </c>
      <c r="L60" s="730" t="s">
        <v>38379</v>
      </c>
    </row>
    <row r="61">
      <c r="I61" s="729" t="s">
        <v>38378</v>
      </c>
      <c r="J61" s="800" t="str">
        <f t="array" ref="J61">INDEX(A1:D6, MATCH("Mary", A1:A6, 0), 2)</f>
        <v>Vegetarian</v>
      </c>
      <c r="K61" s="734" t="s">
        <v>38353</v>
      </c>
      <c r="L61" s="734" t="s">
        <v>38380</v>
      </c>
    </row>
    <row r="62">
      <c r="I62" s="729" t="s">
        <v>38378</v>
      </c>
      <c r="J62" s="799" t="str">
        <f t="array" ref="J62">INDEX(A1:D6, MATCH("Mary", A1:A6, 0), MATCH("Dietary Restriction", A1:D1, 0))</f>
        <v>Vegetarian</v>
      </c>
      <c r="K62" s="730" t="s">
        <v>38353</v>
      </c>
      <c r="L62" s="730" t="s">
        <v>38382</v>
      </c>
    </row>
    <row r="63">
      <c r="I63" s="729" t="s">
        <v>38383</v>
      </c>
      <c r="J63" s="734" t="s">
        <v>38384</v>
      </c>
      <c r="K63" s="734" t="s">
        <v>38385</v>
      </c>
      <c r="L63" s="734" t="s">
        <v>38386</v>
      </c>
    </row>
    <row r="64">
      <c r="I64" s="729" t="s">
        <v>38383</v>
      </c>
      <c r="J64" s="799" t="str">
        <f t="array" ref="J64">INDEX(A1:D6, MATCH(2, D1:D6, 0), MATCH("Guest Name", A1:D1, 0))</f>
        <v>Mary</v>
      </c>
      <c r="K64" s="730" t="s">
        <v>38363</v>
      </c>
      <c r="L64" s="730" t="s">
        <v>38388</v>
      </c>
      <c r="M64" s="105" t="s">
        <v>33222</v>
      </c>
    </row>
    <row r="65">
      <c r="I65" s="776" t="s">
        <v>38390</v>
      </c>
    </row>
    <row r="66">
      <c r="I66" s="772"/>
    </row>
    <row r="67">
      <c r="I67" s="798" t="s">
        <v>38391</v>
      </c>
    </row>
    <row r="68">
      <c r="I68" s="801"/>
    </row>
    <row r="69">
      <c r="I69" s="798" t="s">
        <v>38392</v>
      </c>
    </row>
    <row r="70">
      <c r="I70" s="772"/>
    </row>
    <row r="71">
      <c r="I71" s="776" t="s">
        <v>38393</v>
      </c>
    </row>
    <row r="72">
      <c r="I72" s="782" t="s">
        <v>38394</v>
      </c>
    </row>
    <row r="73">
      <c r="I73" s="802"/>
    </row>
    <row r="74">
      <c r="I74" s="802"/>
    </row>
    <row r="75">
      <c r="I75" s="802"/>
    </row>
    <row r="76">
      <c r="I76" s="802"/>
    </row>
    <row r="77">
      <c r="I77" s="802"/>
    </row>
    <row r="78">
      <c r="I78" s="802"/>
    </row>
    <row r="79">
      <c r="I79" s="802"/>
    </row>
    <row r="80">
      <c r="I80" s="802"/>
    </row>
    <row r="81">
      <c r="I81" s="802"/>
    </row>
    <row r="82">
      <c r="I82" s="802"/>
    </row>
    <row r="83">
      <c r="I83" s="802"/>
    </row>
    <row r="84">
      <c r="I84" s="802"/>
    </row>
    <row r="85">
      <c r="I85" s="802"/>
    </row>
    <row r="86">
      <c r="I86" s="802"/>
    </row>
    <row r="87">
      <c r="I87" s="802"/>
    </row>
    <row r="88">
      <c r="I88" s="802"/>
    </row>
    <row r="89">
      <c r="I89" s="802"/>
    </row>
    <row r="90">
      <c r="I90" s="802"/>
    </row>
    <row r="91">
      <c r="I91" s="802"/>
    </row>
    <row r="92">
      <c r="I92" s="802"/>
    </row>
    <row r="93">
      <c r="I93" s="802"/>
    </row>
    <row r="94">
      <c r="I94" s="802"/>
    </row>
    <row r="95">
      <c r="I95" s="802"/>
    </row>
    <row r="96">
      <c r="I96" s="802"/>
    </row>
    <row r="97">
      <c r="I97" s="802"/>
    </row>
    <row r="98">
      <c r="I98" s="802"/>
    </row>
    <row r="99">
      <c r="I99" s="802"/>
    </row>
    <row r="100">
      <c r="I100" s="802"/>
    </row>
    <row r="101">
      <c r="I101" s="802"/>
    </row>
    <row r="102">
      <c r="I102" s="802"/>
    </row>
    <row r="103">
      <c r="I103" s="802"/>
    </row>
    <row r="104">
      <c r="I104" s="802"/>
    </row>
    <row r="105">
      <c r="I105" s="802"/>
    </row>
    <row r="106">
      <c r="I106" s="802"/>
    </row>
    <row r="107">
      <c r="I107" s="802"/>
    </row>
    <row r="108">
      <c r="I108" s="802"/>
    </row>
    <row r="109">
      <c r="I109" s="802"/>
    </row>
    <row r="110">
      <c r="I110" s="802"/>
    </row>
    <row r="111">
      <c r="I111" s="802"/>
    </row>
    <row r="112">
      <c r="I112" s="802"/>
    </row>
    <row r="113">
      <c r="I113" s="802"/>
    </row>
    <row r="114">
      <c r="I114" s="802"/>
    </row>
    <row r="115">
      <c r="I115" s="802"/>
    </row>
    <row r="116">
      <c r="I116" s="802"/>
    </row>
    <row r="117">
      <c r="I117" s="802"/>
    </row>
    <row r="118">
      <c r="I118" s="802"/>
    </row>
    <row r="119">
      <c r="I119" s="802"/>
    </row>
    <row r="120">
      <c r="I120" s="802"/>
    </row>
    <row r="121">
      <c r="I121" s="802"/>
    </row>
    <row r="122">
      <c r="I122" s="802"/>
    </row>
    <row r="123">
      <c r="I123" s="802"/>
    </row>
    <row r="124">
      <c r="I124" s="802"/>
    </row>
    <row r="125">
      <c r="I125" s="802"/>
    </row>
    <row r="126">
      <c r="I126" s="802"/>
    </row>
    <row r="127">
      <c r="I127" s="802"/>
    </row>
    <row r="128">
      <c r="I128" s="802"/>
    </row>
    <row r="129">
      <c r="I129" s="802"/>
    </row>
    <row r="130">
      <c r="I130" s="802"/>
    </row>
    <row r="131">
      <c r="I131" s="802"/>
    </row>
    <row r="132">
      <c r="I132" s="802"/>
    </row>
    <row r="133">
      <c r="I133" s="802"/>
    </row>
    <row r="134">
      <c r="I134" s="802"/>
    </row>
    <row r="135">
      <c r="I135" s="802"/>
    </row>
    <row r="136">
      <c r="I136" s="802"/>
    </row>
    <row r="137">
      <c r="I137" s="802"/>
    </row>
    <row r="138">
      <c r="I138" s="802"/>
    </row>
    <row r="139">
      <c r="I139" s="802"/>
    </row>
    <row r="140">
      <c r="I140" s="802"/>
    </row>
    <row r="141">
      <c r="I141" s="802"/>
    </row>
    <row r="142">
      <c r="I142" s="802"/>
    </row>
    <row r="143">
      <c r="I143" s="802"/>
    </row>
    <row r="144">
      <c r="I144" s="802"/>
    </row>
    <row r="145">
      <c r="I145" s="802"/>
    </row>
    <row r="146">
      <c r="I146" s="802"/>
    </row>
    <row r="147">
      <c r="I147" s="802"/>
    </row>
    <row r="148">
      <c r="I148" s="802"/>
    </row>
    <row r="149">
      <c r="I149" s="802"/>
    </row>
    <row r="150">
      <c r="I150" s="802"/>
    </row>
    <row r="151">
      <c r="I151" s="802"/>
    </row>
    <row r="152">
      <c r="I152" s="802"/>
    </row>
    <row r="153">
      <c r="I153" s="802"/>
    </row>
    <row r="154">
      <c r="I154" s="802"/>
    </row>
    <row r="155">
      <c r="I155" s="802"/>
    </row>
    <row r="156">
      <c r="I156" s="802"/>
    </row>
    <row r="157">
      <c r="I157" s="802"/>
    </row>
    <row r="158">
      <c r="I158" s="802"/>
    </row>
    <row r="159">
      <c r="I159" s="802"/>
    </row>
    <row r="160">
      <c r="I160" s="802"/>
    </row>
    <row r="161">
      <c r="I161" s="802"/>
    </row>
    <row r="162">
      <c r="I162" s="802"/>
    </row>
    <row r="163">
      <c r="I163" s="802"/>
    </row>
    <row r="164">
      <c r="I164" s="802"/>
    </row>
    <row r="165">
      <c r="I165" s="802"/>
    </row>
    <row r="166">
      <c r="I166" s="802"/>
    </row>
    <row r="167">
      <c r="I167" s="802"/>
    </row>
    <row r="168">
      <c r="I168" s="802"/>
    </row>
    <row r="169">
      <c r="I169" s="802"/>
    </row>
    <row r="170">
      <c r="I170" s="802"/>
    </row>
    <row r="171">
      <c r="I171" s="802"/>
    </row>
    <row r="172">
      <c r="I172" s="802"/>
    </row>
    <row r="173">
      <c r="I173" s="802"/>
    </row>
    <row r="174">
      <c r="I174" s="802"/>
    </row>
    <row r="175">
      <c r="I175" s="802"/>
    </row>
    <row r="176">
      <c r="I176" s="802"/>
    </row>
    <row r="177">
      <c r="I177" s="802"/>
    </row>
    <row r="178">
      <c r="I178" s="802"/>
    </row>
    <row r="179">
      <c r="I179" s="802"/>
    </row>
    <row r="180">
      <c r="I180" s="802"/>
    </row>
    <row r="181">
      <c r="I181" s="802"/>
    </row>
    <row r="182">
      <c r="I182" s="802"/>
    </row>
    <row r="183">
      <c r="I183" s="802"/>
    </row>
    <row r="184">
      <c r="I184" s="802"/>
    </row>
    <row r="185">
      <c r="I185" s="802"/>
    </row>
    <row r="186">
      <c r="I186" s="802"/>
    </row>
    <row r="187">
      <c r="I187" s="802"/>
    </row>
    <row r="188">
      <c r="I188" s="802"/>
    </row>
    <row r="189">
      <c r="I189" s="802"/>
    </row>
    <row r="190">
      <c r="I190" s="802"/>
    </row>
    <row r="191">
      <c r="I191" s="802"/>
    </row>
    <row r="192">
      <c r="I192" s="802"/>
    </row>
    <row r="193">
      <c r="I193" s="802"/>
    </row>
    <row r="194">
      <c r="I194" s="802"/>
    </row>
    <row r="195">
      <c r="I195" s="802"/>
    </row>
    <row r="196">
      <c r="I196" s="802"/>
    </row>
    <row r="197">
      <c r="I197" s="802"/>
    </row>
    <row r="198">
      <c r="I198" s="802"/>
    </row>
    <row r="199">
      <c r="I199" s="802"/>
    </row>
    <row r="200">
      <c r="I200" s="802"/>
    </row>
    <row r="201">
      <c r="I201" s="802"/>
    </row>
    <row r="202">
      <c r="I202" s="802"/>
    </row>
    <row r="203">
      <c r="I203" s="802"/>
    </row>
    <row r="204">
      <c r="I204" s="802"/>
    </row>
    <row r="205">
      <c r="I205" s="802"/>
    </row>
    <row r="206">
      <c r="I206" s="802"/>
    </row>
    <row r="207">
      <c r="I207" s="802"/>
    </row>
    <row r="208">
      <c r="I208" s="802"/>
    </row>
    <row r="209">
      <c r="I209" s="802"/>
    </row>
    <row r="210">
      <c r="I210" s="802"/>
    </row>
    <row r="211">
      <c r="I211" s="802"/>
    </row>
    <row r="212">
      <c r="I212" s="802"/>
    </row>
    <row r="213">
      <c r="I213" s="802"/>
    </row>
    <row r="214">
      <c r="I214" s="802"/>
    </row>
    <row r="215">
      <c r="I215" s="802"/>
    </row>
    <row r="216">
      <c r="I216" s="802"/>
    </row>
    <row r="217">
      <c r="I217" s="802"/>
    </row>
    <row r="218">
      <c r="I218" s="802"/>
    </row>
    <row r="219">
      <c r="I219" s="802"/>
    </row>
    <row r="220">
      <c r="I220" s="802"/>
    </row>
    <row r="221">
      <c r="I221" s="802"/>
    </row>
    <row r="222">
      <c r="I222" s="802"/>
    </row>
    <row r="223">
      <c r="I223" s="802"/>
    </row>
    <row r="224">
      <c r="I224" s="802"/>
    </row>
    <row r="225">
      <c r="I225" s="802"/>
    </row>
    <row r="226">
      <c r="I226" s="802"/>
    </row>
    <row r="227">
      <c r="I227" s="802"/>
    </row>
    <row r="228">
      <c r="I228" s="802"/>
    </row>
    <row r="229">
      <c r="I229" s="802"/>
    </row>
    <row r="230">
      <c r="I230" s="802"/>
    </row>
    <row r="231">
      <c r="I231" s="802"/>
    </row>
    <row r="232">
      <c r="I232" s="802"/>
    </row>
    <row r="233">
      <c r="I233" s="802"/>
    </row>
    <row r="234">
      <c r="I234" s="802"/>
    </row>
    <row r="235">
      <c r="I235" s="802"/>
    </row>
    <row r="236">
      <c r="I236" s="802"/>
    </row>
    <row r="237">
      <c r="I237" s="802"/>
    </row>
    <row r="238">
      <c r="I238" s="802"/>
    </row>
    <row r="239">
      <c r="I239" s="802"/>
    </row>
    <row r="240">
      <c r="I240" s="802"/>
    </row>
    <row r="241">
      <c r="I241" s="802"/>
    </row>
    <row r="242">
      <c r="I242" s="802"/>
    </row>
    <row r="243">
      <c r="I243" s="802"/>
    </row>
    <row r="244">
      <c r="I244" s="802"/>
    </row>
    <row r="245">
      <c r="I245" s="802"/>
    </row>
    <row r="246">
      <c r="I246" s="802"/>
    </row>
    <row r="247">
      <c r="I247" s="802"/>
    </row>
    <row r="248">
      <c r="I248" s="802"/>
    </row>
    <row r="249">
      <c r="I249" s="802"/>
    </row>
    <row r="250">
      <c r="I250" s="802"/>
    </row>
    <row r="251">
      <c r="I251" s="802"/>
    </row>
    <row r="252">
      <c r="I252" s="802"/>
    </row>
    <row r="253">
      <c r="I253" s="802"/>
    </row>
    <row r="254">
      <c r="I254" s="802"/>
    </row>
    <row r="255">
      <c r="I255" s="802"/>
    </row>
    <row r="256">
      <c r="I256" s="802"/>
    </row>
    <row r="257">
      <c r="I257" s="802"/>
    </row>
    <row r="258">
      <c r="I258" s="802"/>
    </row>
    <row r="259">
      <c r="I259" s="802"/>
    </row>
    <row r="260">
      <c r="I260" s="802"/>
    </row>
    <row r="261">
      <c r="I261" s="802"/>
    </row>
    <row r="262">
      <c r="I262" s="802"/>
    </row>
    <row r="263">
      <c r="I263" s="802"/>
    </row>
    <row r="264">
      <c r="I264" s="802"/>
    </row>
    <row r="265">
      <c r="I265" s="802"/>
    </row>
    <row r="266">
      <c r="I266" s="802"/>
    </row>
    <row r="267">
      <c r="I267" s="802"/>
    </row>
    <row r="268">
      <c r="I268" s="802"/>
    </row>
    <row r="269">
      <c r="I269" s="802"/>
    </row>
    <row r="270">
      <c r="I270" s="802"/>
    </row>
    <row r="271">
      <c r="I271" s="802"/>
    </row>
    <row r="272">
      <c r="I272" s="802"/>
    </row>
    <row r="273">
      <c r="I273" s="802"/>
    </row>
    <row r="274">
      <c r="I274" s="802"/>
    </row>
    <row r="275">
      <c r="I275" s="802"/>
    </row>
    <row r="276">
      <c r="I276" s="802"/>
    </row>
    <row r="277">
      <c r="I277" s="802"/>
    </row>
    <row r="278">
      <c r="I278" s="802"/>
    </row>
    <row r="279">
      <c r="I279" s="802"/>
    </row>
    <row r="280">
      <c r="I280" s="802"/>
    </row>
    <row r="281">
      <c r="I281" s="802"/>
    </row>
    <row r="282">
      <c r="I282" s="802"/>
    </row>
    <row r="283">
      <c r="I283" s="802"/>
    </row>
    <row r="284">
      <c r="I284" s="802"/>
    </row>
    <row r="285">
      <c r="I285" s="802"/>
    </row>
    <row r="286">
      <c r="I286" s="802"/>
    </row>
    <row r="287">
      <c r="I287" s="802"/>
    </row>
    <row r="288">
      <c r="I288" s="802"/>
    </row>
    <row r="289">
      <c r="I289" s="802"/>
    </row>
    <row r="290">
      <c r="I290" s="802"/>
    </row>
    <row r="291">
      <c r="I291" s="802"/>
    </row>
    <row r="292">
      <c r="I292" s="802"/>
    </row>
    <row r="293">
      <c r="I293" s="802"/>
    </row>
    <row r="294">
      <c r="I294" s="802"/>
    </row>
    <row r="295">
      <c r="I295" s="802"/>
    </row>
    <row r="296">
      <c r="I296" s="802"/>
    </row>
    <row r="297">
      <c r="I297" s="802"/>
    </row>
    <row r="298">
      <c r="I298" s="802"/>
    </row>
    <row r="299">
      <c r="I299" s="802"/>
    </row>
    <row r="300">
      <c r="I300" s="802"/>
    </row>
    <row r="301">
      <c r="I301" s="802"/>
    </row>
    <row r="302">
      <c r="I302" s="802"/>
    </row>
    <row r="303">
      <c r="I303" s="802"/>
    </row>
    <row r="304">
      <c r="I304" s="802"/>
    </row>
    <row r="305">
      <c r="I305" s="802"/>
    </row>
    <row r="306">
      <c r="I306" s="802"/>
    </row>
    <row r="307">
      <c r="I307" s="802"/>
    </row>
    <row r="308">
      <c r="I308" s="802"/>
    </row>
    <row r="309">
      <c r="I309" s="802"/>
    </row>
    <row r="310">
      <c r="I310" s="802"/>
    </row>
    <row r="311">
      <c r="I311" s="802"/>
    </row>
    <row r="312">
      <c r="I312" s="802"/>
    </row>
    <row r="313">
      <c r="I313" s="802"/>
    </row>
    <row r="314">
      <c r="I314" s="802"/>
    </row>
    <row r="315">
      <c r="I315" s="802"/>
    </row>
    <row r="316">
      <c r="I316" s="802"/>
    </row>
    <row r="317">
      <c r="I317" s="802"/>
    </row>
    <row r="318">
      <c r="I318" s="802"/>
    </row>
    <row r="319">
      <c r="I319" s="802"/>
    </row>
    <row r="320">
      <c r="I320" s="802"/>
    </row>
    <row r="321">
      <c r="I321" s="802"/>
    </row>
    <row r="322">
      <c r="I322" s="802"/>
    </row>
    <row r="323">
      <c r="I323" s="802"/>
    </row>
    <row r="324">
      <c r="I324" s="802"/>
    </row>
    <row r="325">
      <c r="I325" s="802"/>
    </row>
    <row r="326">
      <c r="I326" s="802"/>
    </row>
    <row r="327">
      <c r="I327" s="802"/>
    </row>
    <row r="328">
      <c r="I328" s="802"/>
    </row>
    <row r="329">
      <c r="I329" s="802"/>
    </row>
    <row r="330">
      <c r="I330" s="802"/>
    </row>
    <row r="331">
      <c r="I331" s="802"/>
    </row>
    <row r="332">
      <c r="I332" s="802"/>
    </row>
    <row r="333">
      <c r="I333" s="802"/>
    </row>
    <row r="334">
      <c r="I334" s="802"/>
    </row>
    <row r="335">
      <c r="I335" s="802"/>
    </row>
    <row r="336">
      <c r="I336" s="802"/>
    </row>
    <row r="337">
      <c r="I337" s="802"/>
    </row>
    <row r="338">
      <c r="I338" s="802"/>
    </row>
    <row r="339">
      <c r="I339" s="802"/>
    </row>
    <row r="340">
      <c r="I340" s="802"/>
    </row>
    <row r="341">
      <c r="I341" s="802"/>
    </row>
    <row r="342">
      <c r="I342" s="802"/>
    </row>
    <row r="343">
      <c r="I343" s="802"/>
    </row>
    <row r="344">
      <c r="I344" s="802"/>
    </row>
    <row r="345">
      <c r="I345" s="802"/>
    </row>
    <row r="346">
      <c r="I346" s="802"/>
    </row>
    <row r="347">
      <c r="I347" s="802"/>
    </row>
    <row r="348">
      <c r="I348" s="802"/>
    </row>
    <row r="349">
      <c r="I349" s="802"/>
    </row>
    <row r="350">
      <c r="I350" s="802"/>
    </row>
    <row r="351">
      <c r="I351" s="802"/>
    </row>
    <row r="352">
      <c r="I352" s="802"/>
    </row>
    <row r="353">
      <c r="I353" s="802"/>
    </row>
    <row r="354">
      <c r="I354" s="802"/>
    </row>
    <row r="355">
      <c r="I355" s="802"/>
    </row>
    <row r="356">
      <c r="I356" s="802"/>
    </row>
    <row r="357">
      <c r="I357" s="802"/>
    </row>
    <row r="358">
      <c r="I358" s="802"/>
    </row>
    <row r="359">
      <c r="I359" s="802"/>
    </row>
    <row r="360">
      <c r="I360" s="802"/>
    </row>
    <row r="361">
      <c r="I361" s="802"/>
    </row>
    <row r="362">
      <c r="I362" s="802"/>
    </row>
    <row r="363">
      <c r="I363" s="802"/>
    </row>
    <row r="364">
      <c r="I364" s="802"/>
    </row>
    <row r="365">
      <c r="I365" s="802"/>
    </row>
    <row r="366">
      <c r="I366" s="802"/>
    </row>
    <row r="367">
      <c r="I367" s="802"/>
    </row>
    <row r="368">
      <c r="I368" s="802"/>
    </row>
    <row r="369">
      <c r="I369" s="802"/>
    </row>
    <row r="370">
      <c r="I370" s="802"/>
    </row>
    <row r="371">
      <c r="I371" s="802"/>
    </row>
    <row r="372">
      <c r="I372" s="802"/>
    </row>
    <row r="373">
      <c r="I373" s="802"/>
    </row>
    <row r="374">
      <c r="I374" s="802"/>
    </row>
    <row r="375">
      <c r="I375" s="802"/>
    </row>
    <row r="376">
      <c r="I376" s="802"/>
    </row>
    <row r="377">
      <c r="I377" s="802"/>
    </row>
    <row r="378">
      <c r="I378" s="802"/>
    </row>
    <row r="379">
      <c r="I379" s="802"/>
    </row>
    <row r="380">
      <c r="I380" s="802"/>
    </row>
    <row r="381">
      <c r="I381" s="802"/>
    </row>
    <row r="382">
      <c r="I382" s="802"/>
    </row>
    <row r="383">
      <c r="I383" s="802"/>
    </row>
    <row r="384">
      <c r="I384" s="802"/>
    </row>
    <row r="385">
      <c r="I385" s="802"/>
    </row>
    <row r="386">
      <c r="I386" s="802"/>
    </row>
    <row r="387">
      <c r="I387" s="802"/>
    </row>
    <row r="388">
      <c r="I388" s="802"/>
    </row>
    <row r="389">
      <c r="I389" s="802"/>
    </row>
    <row r="390">
      <c r="I390" s="802"/>
    </row>
    <row r="391">
      <c r="I391" s="802"/>
    </row>
    <row r="392">
      <c r="I392" s="802"/>
    </row>
    <row r="393">
      <c r="I393" s="802"/>
    </row>
    <row r="394">
      <c r="I394" s="802"/>
    </row>
    <row r="395">
      <c r="I395" s="802"/>
    </row>
    <row r="396">
      <c r="I396" s="802"/>
    </row>
    <row r="397">
      <c r="I397" s="802"/>
    </row>
    <row r="398">
      <c r="I398" s="802"/>
    </row>
    <row r="399">
      <c r="I399" s="802"/>
    </row>
    <row r="400">
      <c r="I400" s="802"/>
    </row>
    <row r="401">
      <c r="I401" s="802"/>
    </row>
    <row r="402">
      <c r="I402" s="802"/>
    </row>
    <row r="403">
      <c r="I403" s="802"/>
    </row>
    <row r="404">
      <c r="I404" s="802"/>
    </row>
    <row r="405">
      <c r="I405" s="802"/>
    </row>
    <row r="406">
      <c r="I406" s="802"/>
    </row>
    <row r="407">
      <c r="I407" s="802"/>
    </row>
    <row r="408">
      <c r="I408" s="802"/>
    </row>
    <row r="409">
      <c r="I409" s="802"/>
    </row>
    <row r="410">
      <c r="I410" s="802"/>
    </row>
    <row r="411">
      <c r="I411" s="802"/>
    </row>
    <row r="412">
      <c r="I412" s="802"/>
    </row>
    <row r="413">
      <c r="I413" s="802"/>
    </row>
    <row r="414">
      <c r="I414" s="802"/>
    </row>
    <row r="415">
      <c r="I415" s="802"/>
    </row>
    <row r="416">
      <c r="I416" s="802"/>
    </row>
    <row r="417">
      <c r="I417" s="802"/>
    </row>
    <row r="418">
      <c r="I418" s="802"/>
    </row>
    <row r="419">
      <c r="I419" s="802"/>
    </row>
    <row r="420">
      <c r="I420" s="802"/>
    </row>
    <row r="421">
      <c r="I421" s="802"/>
    </row>
    <row r="422">
      <c r="I422" s="802"/>
    </row>
    <row r="423">
      <c r="I423" s="802"/>
    </row>
    <row r="424">
      <c r="I424" s="802"/>
    </row>
    <row r="425">
      <c r="I425" s="802"/>
    </row>
    <row r="426">
      <c r="I426" s="802"/>
    </row>
    <row r="427">
      <c r="I427" s="802"/>
    </row>
    <row r="428">
      <c r="I428" s="802"/>
    </row>
    <row r="429">
      <c r="I429" s="802"/>
    </row>
    <row r="430">
      <c r="I430" s="802"/>
    </row>
    <row r="431">
      <c r="I431" s="802"/>
    </row>
    <row r="432">
      <c r="I432" s="802"/>
    </row>
    <row r="433">
      <c r="I433" s="802"/>
    </row>
    <row r="434">
      <c r="I434" s="802"/>
    </row>
    <row r="435">
      <c r="I435" s="802"/>
    </row>
    <row r="436">
      <c r="I436" s="802"/>
    </row>
    <row r="437">
      <c r="I437" s="802"/>
    </row>
    <row r="438">
      <c r="I438" s="802"/>
    </row>
    <row r="439">
      <c r="I439" s="802"/>
    </row>
    <row r="440">
      <c r="I440" s="802"/>
    </row>
    <row r="441">
      <c r="I441" s="802"/>
    </row>
    <row r="442">
      <c r="I442" s="802"/>
    </row>
    <row r="443">
      <c r="I443" s="802"/>
    </row>
    <row r="444">
      <c r="I444" s="802"/>
    </row>
    <row r="445">
      <c r="I445" s="802"/>
    </row>
    <row r="446">
      <c r="I446" s="802"/>
    </row>
    <row r="447">
      <c r="I447" s="802"/>
    </row>
    <row r="448">
      <c r="I448" s="802"/>
    </row>
    <row r="449">
      <c r="I449" s="802"/>
    </row>
    <row r="450">
      <c r="I450" s="802"/>
    </row>
    <row r="451">
      <c r="I451" s="802"/>
    </row>
    <row r="452">
      <c r="I452" s="802"/>
    </row>
    <row r="453">
      <c r="I453" s="802"/>
    </row>
    <row r="454">
      <c r="I454" s="802"/>
    </row>
    <row r="455">
      <c r="I455" s="802"/>
    </row>
    <row r="456">
      <c r="I456" s="802"/>
    </row>
    <row r="457">
      <c r="I457" s="802"/>
    </row>
    <row r="458">
      <c r="I458" s="802"/>
    </row>
    <row r="459">
      <c r="I459" s="802"/>
    </row>
    <row r="460">
      <c r="I460" s="802"/>
    </row>
    <row r="461">
      <c r="I461" s="802"/>
    </row>
    <row r="462">
      <c r="I462" s="802"/>
    </row>
    <row r="463">
      <c r="I463" s="802"/>
    </row>
    <row r="464">
      <c r="I464" s="802"/>
    </row>
    <row r="465">
      <c r="I465" s="802"/>
    </row>
    <row r="466">
      <c r="I466" s="802"/>
    </row>
    <row r="467">
      <c r="I467" s="802"/>
    </row>
    <row r="468">
      <c r="I468" s="802"/>
    </row>
    <row r="469">
      <c r="I469" s="802"/>
    </row>
    <row r="470">
      <c r="I470" s="802"/>
    </row>
    <row r="471">
      <c r="I471" s="802"/>
    </row>
    <row r="472">
      <c r="I472" s="802"/>
    </row>
    <row r="473">
      <c r="I473" s="802"/>
    </row>
    <row r="474">
      <c r="I474" s="802"/>
    </row>
    <row r="475">
      <c r="I475" s="802"/>
    </row>
    <row r="476">
      <c r="I476" s="802"/>
    </row>
    <row r="477">
      <c r="I477" s="802"/>
    </row>
    <row r="478">
      <c r="I478" s="802"/>
    </row>
    <row r="479">
      <c r="I479" s="802"/>
    </row>
    <row r="480">
      <c r="I480" s="802"/>
    </row>
    <row r="481">
      <c r="I481" s="802"/>
    </row>
    <row r="482">
      <c r="I482" s="802"/>
    </row>
    <row r="483">
      <c r="I483" s="802"/>
    </row>
    <row r="484">
      <c r="I484" s="802"/>
    </row>
    <row r="485">
      <c r="I485" s="802"/>
    </row>
    <row r="486">
      <c r="I486" s="802"/>
    </row>
    <row r="487">
      <c r="I487" s="802"/>
    </row>
    <row r="488">
      <c r="I488" s="802"/>
    </row>
    <row r="489">
      <c r="I489" s="802"/>
    </row>
    <row r="490">
      <c r="I490" s="802"/>
    </row>
    <row r="491">
      <c r="I491" s="802"/>
    </row>
    <row r="492">
      <c r="I492" s="802"/>
    </row>
    <row r="493">
      <c r="I493" s="802"/>
    </row>
    <row r="494">
      <c r="I494" s="802"/>
    </row>
    <row r="495">
      <c r="I495" s="802"/>
    </row>
    <row r="496">
      <c r="I496" s="802"/>
    </row>
    <row r="497">
      <c r="I497" s="802"/>
    </row>
    <row r="498">
      <c r="I498" s="802"/>
    </row>
    <row r="499">
      <c r="I499" s="802"/>
    </row>
    <row r="500">
      <c r="I500" s="802"/>
    </row>
    <row r="501">
      <c r="I501" s="802"/>
    </row>
    <row r="502">
      <c r="I502" s="802"/>
    </row>
    <row r="503">
      <c r="I503" s="802"/>
    </row>
    <row r="504">
      <c r="I504" s="802"/>
    </row>
    <row r="505">
      <c r="I505" s="802"/>
    </row>
    <row r="506">
      <c r="I506" s="802"/>
    </row>
    <row r="507">
      <c r="I507" s="802"/>
    </row>
    <row r="508">
      <c r="I508" s="802"/>
    </row>
    <row r="509">
      <c r="I509" s="802"/>
    </row>
    <row r="510">
      <c r="I510" s="802"/>
    </row>
    <row r="511">
      <c r="I511" s="802"/>
    </row>
    <row r="512">
      <c r="I512" s="802"/>
    </row>
    <row r="513">
      <c r="I513" s="802"/>
    </row>
    <row r="514">
      <c r="I514" s="802"/>
    </row>
    <row r="515">
      <c r="I515" s="802"/>
    </row>
    <row r="516">
      <c r="I516" s="802"/>
    </row>
    <row r="517">
      <c r="I517" s="802"/>
    </row>
    <row r="518">
      <c r="I518" s="802"/>
    </row>
    <row r="519">
      <c r="I519" s="802"/>
    </row>
    <row r="520">
      <c r="I520" s="802"/>
    </row>
    <row r="521">
      <c r="I521" s="802"/>
    </row>
    <row r="522">
      <c r="I522" s="802"/>
    </row>
    <row r="523">
      <c r="I523" s="802"/>
    </row>
    <row r="524">
      <c r="I524" s="802"/>
    </row>
    <row r="525">
      <c r="I525" s="802"/>
    </row>
    <row r="526">
      <c r="I526" s="802"/>
    </row>
    <row r="527">
      <c r="I527" s="802"/>
    </row>
    <row r="528">
      <c r="I528" s="802"/>
    </row>
    <row r="529">
      <c r="I529" s="802"/>
    </row>
    <row r="530">
      <c r="I530" s="802"/>
    </row>
    <row r="531">
      <c r="I531" s="802"/>
    </row>
    <row r="532">
      <c r="I532" s="802"/>
    </row>
    <row r="533">
      <c r="I533" s="802"/>
    </row>
    <row r="534">
      <c r="I534" s="802"/>
    </row>
    <row r="535">
      <c r="I535" s="802"/>
    </row>
    <row r="536">
      <c r="I536" s="802"/>
    </row>
    <row r="537">
      <c r="I537" s="802"/>
    </row>
    <row r="538">
      <c r="I538" s="802"/>
    </row>
    <row r="539">
      <c r="I539" s="802"/>
    </row>
    <row r="540">
      <c r="I540" s="802"/>
    </row>
    <row r="541">
      <c r="I541" s="802"/>
    </row>
    <row r="542">
      <c r="I542" s="802"/>
    </row>
    <row r="543">
      <c r="I543" s="802"/>
    </row>
    <row r="544">
      <c r="I544" s="802"/>
    </row>
    <row r="545">
      <c r="I545" s="802"/>
    </row>
    <row r="546">
      <c r="I546" s="802"/>
    </row>
    <row r="547">
      <c r="I547" s="802"/>
    </row>
    <row r="548">
      <c r="I548" s="802"/>
    </row>
    <row r="549">
      <c r="I549" s="802"/>
    </row>
    <row r="550">
      <c r="I550" s="802"/>
    </row>
    <row r="551">
      <c r="I551" s="802"/>
    </row>
    <row r="552">
      <c r="I552" s="802"/>
    </row>
    <row r="553">
      <c r="I553" s="802"/>
    </row>
    <row r="554">
      <c r="I554" s="802"/>
    </row>
    <row r="555">
      <c r="I555" s="802"/>
    </row>
    <row r="556">
      <c r="I556" s="802"/>
    </row>
    <row r="557">
      <c r="I557" s="802"/>
    </row>
    <row r="558">
      <c r="I558" s="802"/>
    </row>
    <row r="559">
      <c r="I559" s="802"/>
    </row>
    <row r="560">
      <c r="I560" s="802"/>
    </row>
    <row r="561">
      <c r="I561" s="802"/>
    </row>
    <row r="562">
      <c r="I562" s="802"/>
    </row>
    <row r="563">
      <c r="I563" s="802"/>
    </row>
    <row r="564">
      <c r="I564" s="802"/>
    </row>
    <row r="565">
      <c r="I565" s="802"/>
    </row>
    <row r="566">
      <c r="I566" s="802"/>
    </row>
    <row r="567">
      <c r="I567" s="802"/>
    </row>
    <row r="568">
      <c r="I568" s="802"/>
    </row>
    <row r="569">
      <c r="I569" s="802"/>
    </row>
    <row r="570">
      <c r="I570" s="802"/>
    </row>
    <row r="571">
      <c r="I571" s="802"/>
    </row>
    <row r="572">
      <c r="I572" s="802"/>
    </row>
    <row r="573">
      <c r="I573" s="802"/>
    </row>
    <row r="574">
      <c r="I574" s="802"/>
    </row>
    <row r="575">
      <c r="I575" s="802"/>
    </row>
    <row r="576">
      <c r="I576" s="802"/>
    </row>
    <row r="577">
      <c r="I577" s="802"/>
    </row>
    <row r="578">
      <c r="I578" s="802"/>
    </row>
    <row r="579">
      <c r="I579" s="802"/>
    </row>
    <row r="580">
      <c r="I580" s="802"/>
    </row>
    <row r="581">
      <c r="I581" s="802"/>
    </row>
    <row r="582">
      <c r="I582" s="802"/>
    </row>
    <row r="583">
      <c r="I583" s="802"/>
    </row>
    <row r="584">
      <c r="I584" s="802"/>
    </row>
    <row r="585">
      <c r="I585" s="802"/>
    </row>
    <row r="586">
      <c r="I586" s="802"/>
    </row>
    <row r="587">
      <c r="I587" s="802"/>
    </row>
    <row r="588">
      <c r="I588" s="802"/>
    </row>
    <row r="589">
      <c r="I589" s="802"/>
    </row>
    <row r="590">
      <c r="I590" s="802"/>
    </row>
    <row r="591">
      <c r="I591" s="802"/>
    </row>
    <row r="592">
      <c r="I592" s="802"/>
    </row>
    <row r="593">
      <c r="I593" s="802"/>
    </row>
    <row r="594">
      <c r="I594" s="802"/>
    </row>
    <row r="595">
      <c r="I595" s="802"/>
    </row>
    <row r="596">
      <c r="I596" s="802"/>
    </row>
    <row r="597">
      <c r="I597" s="802"/>
    </row>
    <row r="598">
      <c r="I598" s="802"/>
    </row>
    <row r="599">
      <c r="I599" s="802"/>
    </row>
    <row r="600">
      <c r="I600" s="802"/>
    </row>
    <row r="601">
      <c r="I601" s="802"/>
    </row>
    <row r="602">
      <c r="I602" s="802"/>
    </row>
    <row r="603">
      <c r="I603" s="802"/>
    </row>
    <row r="604">
      <c r="I604" s="802"/>
    </row>
    <row r="605">
      <c r="I605" s="802"/>
    </row>
    <row r="606">
      <c r="I606" s="802"/>
    </row>
    <row r="607">
      <c r="I607" s="802"/>
    </row>
    <row r="608">
      <c r="I608" s="802"/>
    </row>
    <row r="609">
      <c r="I609" s="802"/>
    </row>
    <row r="610">
      <c r="I610" s="802"/>
    </row>
    <row r="611">
      <c r="I611" s="802"/>
    </row>
    <row r="612">
      <c r="I612" s="802"/>
    </row>
    <row r="613">
      <c r="I613" s="802"/>
    </row>
    <row r="614">
      <c r="I614" s="802"/>
    </row>
    <row r="615">
      <c r="I615" s="802"/>
    </row>
    <row r="616">
      <c r="I616" s="802"/>
    </row>
    <row r="617">
      <c r="I617" s="802"/>
    </row>
    <row r="618">
      <c r="I618" s="802"/>
    </row>
    <row r="619">
      <c r="I619" s="802"/>
    </row>
    <row r="620">
      <c r="I620" s="802"/>
    </row>
    <row r="621">
      <c r="I621" s="802"/>
    </row>
    <row r="622">
      <c r="I622" s="802"/>
    </row>
    <row r="623">
      <c r="I623" s="802"/>
    </row>
    <row r="624">
      <c r="I624" s="802"/>
    </row>
    <row r="625">
      <c r="I625" s="802"/>
    </row>
    <row r="626">
      <c r="I626" s="802"/>
    </row>
    <row r="627">
      <c r="I627" s="802"/>
    </row>
    <row r="628">
      <c r="I628" s="802"/>
    </row>
    <row r="629">
      <c r="I629" s="802"/>
    </row>
    <row r="630">
      <c r="I630" s="802"/>
    </row>
    <row r="631">
      <c r="I631" s="802"/>
    </row>
    <row r="632">
      <c r="I632" s="802"/>
    </row>
    <row r="633">
      <c r="I633" s="802"/>
    </row>
    <row r="634">
      <c r="I634" s="802"/>
    </row>
    <row r="635">
      <c r="I635" s="802"/>
    </row>
    <row r="636">
      <c r="I636" s="802"/>
    </row>
    <row r="637">
      <c r="I637" s="802"/>
    </row>
    <row r="638">
      <c r="I638" s="802"/>
    </row>
    <row r="639">
      <c r="I639" s="802"/>
    </row>
    <row r="640">
      <c r="I640" s="802"/>
    </row>
    <row r="641">
      <c r="I641" s="802"/>
    </row>
    <row r="642">
      <c r="I642" s="802"/>
    </row>
    <row r="643">
      <c r="I643" s="802"/>
    </row>
    <row r="644">
      <c r="I644" s="802"/>
    </row>
    <row r="645">
      <c r="I645" s="802"/>
    </row>
    <row r="646">
      <c r="I646" s="802"/>
    </row>
    <row r="647">
      <c r="I647" s="802"/>
    </row>
    <row r="648">
      <c r="I648" s="802"/>
    </row>
    <row r="649">
      <c r="I649" s="802"/>
    </row>
    <row r="650">
      <c r="I650" s="802"/>
    </row>
    <row r="651">
      <c r="I651" s="802"/>
    </row>
    <row r="652">
      <c r="I652" s="802"/>
    </row>
    <row r="653">
      <c r="I653" s="802"/>
    </row>
    <row r="654">
      <c r="I654" s="802"/>
    </row>
    <row r="655">
      <c r="I655" s="802"/>
    </row>
    <row r="656">
      <c r="I656" s="802"/>
    </row>
    <row r="657">
      <c r="I657" s="802"/>
    </row>
    <row r="658">
      <c r="I658" s="802"/>
    </row>
    <row r="659">
      <c r="I659" s="802"/>
    </row>
    <row r="660">
      <c r="I660" s="802"/>
    </row>
    <row r="661">
      <c r="I661" s="802"/>
    </row>
    <row r="662">
      <c r="I662" s="802"/>
    </row>
    <row r="663">
      <c r="I663" s="802"/>
    </row>
    <row r="664">
      <c r="I664" s="802"/>
    </row>
    <row r="665">
      <c r="I665" s="802"/>
    </row>
    <row r="666">
      <c r="I666" s="802"/>
    </row>
    <row r="667">
      <c r="I667" s="802"/>
    </row>
    <row r="668">
      <c r="I668" s="802"/>
    </row>
    <row r="669">
      <c r="I669" s="802"/>
    </row>
    <row r="670">
      <c r="I670" s="802"/>
    </row>
    <row r="671">
      <c r="I671" s="802"/>
    </row>
    <row r="672">
      <c r="I672" s="802"/>
    </row>
    <row r="673">
      <c r="I673" s="802"/>
    </row>
    <row r="674">
      <c r="I674" s="802"/>
    </row>
    <row r="675">
      <c r="I675" s="802"/>
    </row>
    <row r="676">
      <c r="I676" s="802"/>
    </row>
    <row r="677">
      <c r="I677" s="802"/>
    </row>
    <row r="678">
      <c r="I678" s="802"/>
    </row>
    <row r="679">
      <c r="I679" s="802"/>
    </row>
    <row r="680">
      <c r="I680" s="802"/>
    </row>
    <row r="681">
      <c r="I681" s="802"/>
    </row>
    <row r="682">
      <c r="I682" s="802"/>
    </row>
    <row r="683">
      <c r="I683" s="802"/>
    </row>
    <row r="684">
      <c r="I684" s="802"/>
    </row>
    <row r="685">
      <c r="I685" s="802"/>
    </row>
    <row r="686">
      <c r="I686" s="802"/>
    </row>
    <row r="687">
      <c r="I687" s="802"/>
    </row>
    <row r="688">
      <c r="I688" s="802"/>
    </row>
    <row r="689">
      <c r="I689" s="802"/>
    </row>
    <row r="690">
      <c r="I690" s="802"/>
    </row>
    <row r="691">
      <c r="I691" s="802"/>
    </row>
    <row r="692">
      <c r="I692" s="802"/>
    </row>
    <row r="693">
      <c r="I693" s="802"/>
    </row>
    <row r="694">
      <c r="I694" s="802"/>
    </row>
    <row r="695">
      <c r="I695" s="802"/>
    </row>
    <row r="696">
      <c r="I696" s="802"/>
    </row>
    <row r="697">
      <c r="I697" s="802"/>
    </row>
    <row r="698">
      <c r="I698" s="802"/>
    </row>
    <row r="699">
      <c r="I699" s="802"/>
    </row>
    <row r="700">
      <c r="I700" s="802"/>
    </row>
    <row r="701">
      <c r="I701" s="802"/>
    </row>
    <row r="702">
      <c r="I702" s="802"/>
    </row>
    <row r="703">
      <c r="I703" s="802"/>
    </row>
    <row r="704">
      <c r="I704" s="802"/>
    </row>
    <row r="705">
      <c r="I705" s="802"/>
    </row>
    <row r="706">
      <c r="I706" s="802"/>
    </row>
    <row r="707">
      <c r="I707" s="802"/>
    </row>
    <row r="708">
      <c r="I708" s="802"/>
    </row>
    <row r="709">
      <c r="I709" s="802"/>
    </row>
    <row r="710">
      <c r="I710" s="802"/>
    </row>
    <row r="711">
      <c r="I711" s="802"/>
    </row>
    <row r="712">
      <c r="I712" s="802"/>
    </row>
    <row r="713">
      <c r="I713" s="802"/>
    </row>
    <row r="714">
      <c r="I714" s="802"/>
    </row>
    <row r="715">
      <c r="I715" s="802"/>
    </row>
    <row r="716">
      <c r="I716" s="802"/>
    </row>
    <row r="717">
      <c r="I717" s="802"/>
    </row>
    <row r="718">
      <c r="I718" s="802"/>
    </row>
    <row r="719">
      <c r="I719" s="802"/>
    </row>
    <row r="720">
      <c r="I720" s="802"/>
    </row>
    <row r="721">
      <c r="I721" s="802"/>
    </row>
    <row r="722">
      <c r="I722" s="802"/>
    </row>
    <row r="723">
      <c r="I723" s="802"/>
    </row>
    <row r="724">
      <c r="I724" s="802"/>
    </row>
    <row r="725">
      <c r="I725" s="802"/>
    </row>
    <row r="726">
      <c r="I726" s="802"/>
    </row>
    <row r="727">
      <c r="I727" s="802"/>
    </row>
    <row r="728">
      <c r="I728" s="802"/>
    </row>
    <row r="729">
      <c r="I729" s="802"/>
    </row>
    <row r="730">
      <c r="I730" s="802"/>
    </row>
    <row r="731">
      <c r="I731" s="802"/>
    </row>
    <row r="732">
      <c r="I732" s="802"/>
    </row>
    <row r="733">
      <c r="I733" s="802"/>
    </row>
    <row r="734">
      <c r="I734" s="802"/>
    </row>
    <row r="735">
      <c r="I735" s="802"/>
    </row>
    <row r="736">
      <c r="I736" s="802"/>
    </row>
    <row r="737">
      <c r="I737" s="802"/>
    </row>
    <row r="738">
      <c r="I738" s="802"/>
    </row>
    <row r="739">
      <c r="I739" s="802"/>
    </row>
    <row r="740">
      <c r="I740" s="802"/>
    </row>
    <row r="741">
      <c r="I741" s="802"/>
    </row>
    <row r="742">
      <c r="I742" s="802"/>
    </row>
    <row r="743">
      <c r="I743" s="802"/>
    </row>
    <row r="744">
      <c r="I744" s="802"/>
    </row>
    <row r="745">
      <c r="I745" s="802"/>
    </row>
    <row r="746">
      <c r="I746" s="802"/>
    </row>
    <row r="747">
      <c r="I747" s="802"/>
    </row>
    <row r="748">
      <c r="I748" s="802"/>
    </row>
    <row r="749">
      <c r="I749" s="802"/>
    </row>
    <row r="750">
      <c r="I750" s="802"/>
    </row>
    <row r="751">
      <c r="I751" s="802"/>
    </row>
    <row r="752">
      <c r="I752" s="802"/>
    </row>
    <row r="753">
      <c r="I753" s="802"/>
    </row>
    <row r="754">
      <c r="I754" s="802"/>
    </row>
    <row r="755">
      <c r="I755" s="802"/>
    </row>
    <row r="756">
      <c r="I756" s="802"/>
    </row>
    <row r="757">
      <c r="I757" s="802"/>
    </row>
    <row r="758">
      <c r="I758" s="802"/>
    </row>
    <row r="759">
      <c r="I759" s="802"/>
    </row>
    <row r="760">
      <c r="I760" s="802"/>
    </row>
    <row r="761">
      <c r="I761" s="802"/>
    </row>
    <row r="762">
      <c r="I762" s="802"/>
    </row>
    <row r="763">
      <c r="I763" s="802"/>
    </row>
    <row r="764">
      <c r="I764" s="802"/>
    </row>
    <row r="765">
      <c r="I765" s="802"/>
    </row>
    <row r="766">
      <c r="I766" s="802"/>
    </row>
    <row r="767">
      <c r="I767" s="802"/>
    </row>
    <row r="768">
      <c r="I768" s="802"/>
    </row>
    <row r="769">
      <c r="I769" s="802"/>
    </row>
    <row r="770">
      <c r="I770" s="802"/>
    </row>
    <row r="771">
      <c r="I771" s="802"/>
    </row>
    <row r="772">
      <c r="I772" s="802"/>
    </row>
    <row r="773">
      <c r="I773" s="802"/>
    </row>
    <row r="774">
      <c r="I774" s="802"/>
    </row>
    <row r="775">
      <c r="I775" s="802"/>
    </row>
    <row r="776">
      <c r="I776" s="802"/>
    </row>
    <row r="777">
      <c r="I777" s="802"/>
    </row>
    <row r="778">
      <c r="I778" s="802"/>
    </row>
    <row r="779">
      <c r="I779" s="802"/>
    </row>
    <row r="780">
      <c r="I780" s="802"/>
    </row>
    <row r="781">
      <c r="I781" s="802"/>
    </row>
    <row r="782">
      <c r="I782" s="802"/>
    </row>
    <row r="783">
      <c r="I783" s="802"/>
    </row>
    <row r="784">
      <c r="I784" s="802"/>
    </row>
    <row r="785">
      <c r="I785" s="802"/>
    </row>
    <row r="786">
      <c r="I786" s="802"/>
    </row>
    <row r="787">
      <c r="I787" s="802"/>
    </row>
    <row r="788">
      <c r="I788" s="802"/>
    </row>
    <row r="789">
      <c r="I789" s="802"/>
    </row>
    <row r="790">
      <c r="I790" s="802"/>
    </row>
    <row r="791">
      <c r="I791" s="802"/>
    </row>
    <row r="792">
      <c r="I792" s="802"/>
    </row>
    <row r="793">
      <c r="I793" s="802"/>
    </row>
    <row r="794">
      <c r="I794" s="802"/>
    </row>
    <row r="795">
      <c r="I795" s="802"/>
    </row>
    <row r="796">
      <c r="I796" s="802"/>
    </row>
    <row r="797">
      <c r="I797" s="802"/>
    </row>
    <row r="798">
      <c r="I798" s="802"/>
    </row>
    <row r="799">
      <c r="I799" s="802"/>
    </row>
    <row r="800">
      <c r="I800" s="802"/>
    </row>
    <row r="801">
      <c r="I801" s="802"/>
    </row>
    <row r="802">
      <c r="I802" s="802"/>
    </row>
    <row r="803">
      <c r="I803" s="802"/>
    </row>
    <row r="804">
      <c r="I804" s="802"/>
    </row>
    <row r="805">
      <c r="I805" s="802"/>
    </row>
    <row r="806">
      <c r="I806" s="802"/>
    </row>
    <row r="807">
      <c r="I807" s="802"/>
    </row>
    <row r="808">
      <c r="I808" s="802"/>
    </row>
    <row r="809">
      <c r="I809" s="802"/>
    </row>
    <row r="810">
      <c r="I810" s="802"/>
    </row>
    <row r="811">
      <c r="I811" s="802"/>
    </row>
    <row r="812">
      <c r="I812" s="802"/>
    </row>
    <row r="813">
      <c r="I813" s="802"/>
    </row>
    <row r="814">
      <c r="I814" s="802"/>
    </row>
    <row r="815">
      <c r="I815" s="802"/>
    </row>
    <row r="816">
      <c r="I816" s="802"/>
    </row>
    <row r="817">
      <c r="I817" s="802"/>
    </row>
    <row r="818">
      <c r="I818" s="802"/>
    </row>
    <row r="819">
      <c r="I819" s="802"/>
    </row>
    <row r="820">
      <c r="I820" s="802"/>
    </row>
    <row r="821">
      <c r="I821" s="802"/>
    </row>
    <row r="822">
      <c r="I822" s="802"/>
    </row>
    <row r="823">
      <c r="I823" s="802"/>
    </row>
    <row r="824">
      <c r="I824" s="802"/>
    </row>
    <row r="825">
      <c r="I825" s="802"/>
    </row>
    <row r="826">
      <c r="I826" s="802"/>
    </row>
    <row r="827">
      <c r="I827" s="802"/>
    </row>
    <row r="828">
      <c r="I828" s="802"/>
    </row>
    <row r="829">
      <c r="I829" s="802"/>
    </row>
    <row r="830">
      <c r="I830" s="802"/>
    </row>
    <row r="831">
      <c r="I831" s="802"/>
    </row>
    <row r="832">
      <c r="I832" s="802"/>
    </row>
    <row r="833">
      <c r="I833" s="802"/>
    </row>
    <row r="834">
      <c r="I834" s="802"/>
    </row>
    <row r="835">
      <c r="I835" s="802"/>
    </row>
    <row r="836">
      <c r="I836" s="802"/>
    </row>
    <row r="837">
      <c r="I837" s="802"/>
    </row>
    <row r="838">
      <c r="I838" s="802"/>
    </row>
    <row r="839">
      <c r="I839" s="802"/>
    </row>
    <row r="840">
      <c r="I840" s="802"/>
    </row>
    <row r="841">
      <c r="I841" s="802"/>
    </row>
    <row r="842">
      <c r="I842" s="802"/>
    </row>
    <row r="843">
      <c r="I843" s="802"/>
    </row>
    <row r="844">
      <c r="I844" s="802"/>
    </row>
    <row r="845">
      <c r="I845" s="802"/>
    </row>
    <row r="846">
      <c r="I846" s="802"/>
    </row>
    <row r="847">
      <c r="I847" s="802"/>
    </row>
    <row r="848">
      <c r="I848" s="802"/>
    </row>
    <row r="849">
      <c r="I849" s="802"/>
    </row>
    <row r="850">
      <c r="I850" s="802"/>
    </row>
    <row r="851">
      <c r="I851" s="802"/>
    </row>
    <row r="852">
      <c r="I852" s="802"/>
    </row>
    <row r="853">
      <c r="I853" s="802"/>
    </row>
    <row r="854">
      <c r="I854" s="802"/>
    </row>
    <row r="855">
      <c r="I855" s="802"/>
    </row>
    <row r="856">
      <c r="I856" s="802"/>
    </row>
    <row r="857">
      <c r="I857" s="802"/>
    </row>
    <row r="858">
      <c r="I858" s="802"/>
    </row>
    <row r="859">
      <c r="I859" s="802"/>
    </row>
    <row r="860">
      <c r="I860" s="802"/>
    </row>
    <row r="861">
      <c r="I861" s="802"/>
    </row>
    <row r="862">
      <c r="I862" s="802"/>
    </row>
    <row r="863">
      <c r="I863" s="802"/>
    </row>
    <row r="864">
      <c r="I864" s="802"/>
    </row>
    <row r="865">
      <c r="I865" s="802"/>
    </row>
    <row r="866">
      <c r="I866" s="802"/>
    </row>
    <row r="867">
      <c r="I867" s="802"/>
    </row>
    <row r="868">
      <c r="I868" s="802"/>
    </row>
    <row r="869">
      <c r="I869" s="802"/>
    </row>
    <row r="870">
      <c r="I870" s="802"/>
    </row>
    <row r="871">
      <c r="I871" s="802"/>
    </row>
    <row r="872">
      <c r="I872" s="802"/>
    </row>
    <row r="873">
      <c r="I873" s="802"/>
    </row>
    <row r="874">
      <c r="I874" s="802"/>
    </row>
    <row r="875">
      <c r="I875" s="802"/>
    </row>
    <row r="876">
      <c r="I876" s="802"/>
    </row>
    <row r="877">
      <c r="I877" s="802"/>
    </row>
    <row r="878">
      <c r="I878" s="802"/>
    </row>
    <row r="879">
      <c r="I879" s="802"/>
    </row>
    <row r="880">
      <c r="I880" s="802"/>
    </row>
    <row r="881">
      <c r="I881" s="802"/>
    </row>
    <row r="882">
      <c r="I882" s="802"/>
    </row>
    <row r="883">
      <c r="I883" s="802"/>
    </row>
    <row r="884">
      <c r="I884" s="802"/>
    </row>
    <row r="885">
      <c r="I885" s="802"/>
    </row>
    <row r="886">
      <c r="I886" s="802"/>
    </row>
    <row r="887">
      <c r="I887" s="802"/>
    </row>
    <row r="888">
      <c r="I888" s="802"/>
    </row>
    <row r="889">
      <c r="I889" s="802"/>
    </row>
    <row r="890">
      <c r="I890" s="802"/>
    </row>
    <row r="891">
      <c r="I891" s="802"/>
    </row>
    <row r="892">
      <c r="I892" s="802"/>
    </row>
    <row r="893">
      <c r="I893" s="802"/>
    </row>
    <row r="894">
      <c r="I894" s="802"/>
    </row>
    <row r="895">
      <c r="I895" s="802"/>
    </row>
    <row r="896">
      <c r="I896" s="802"/>
    </row>
    <row r="897">
      <c r="I897" s="802"/>
    </row>
    <row r="898">
      <c r="I898" s="802"/>
    </row>
    <row r="899">
      <c r="I899" s="802"/>
    </row>
    <row r="900">
      <c r="I900" s="802"/>
    </row>
    <row r="901">
      <c r="I901" s="802"/>
    </row>
    <row r="902">
      <c r="I902" s="802"/>
    </row>
    <row r="903">
      <c r="I903" s="802"/>
    </row>
    <row r="904">
      <c r="I904" s="802"/>
    </row>
    <row r="905">
      <c r="I905" s="802"/>
    </row>
    <row r="906">
      <c r="I906" s="802"/>
    </row>
    <row r="907">
      <c r="I907" s="802"/>
    </row>
    <row r="908">
      <c r="I908" s="802"/>
    </row>
    <row r="909">
      <c r="I909" s="802"/>
    </row>
    <row r="910">
      <c r="I910" s="802"/>
    </row>
    <row r="911">
      <c r="I911" s="802"/>
    </row>
    <row r="912">
      <c r="I912" s="802"/>
    </row>
    <row r="913">
      <c r="I913" s="802"/>
    </row>
    <row r="914">
      <c r="I914" s="802"/>
    </row>
    <row r="915">
      <c r="I915" s="802"/>
    </row>
    <row r="916">
      <c r="I916" s="802"/>
    </row>
    <row r="917">
      <c r="I917" s="802"/>
    </row>
    <row r="918">
      <c r="I918" s="802"/>
    </row>
    <row r="919">
      <c r="I919" s="802"/>
    </row>
    <row r="920">
      <c r="I920" s="802"/>
    </row>
    <row r="921">
      <c r="I921" s="802"/>
    </row>
    <row r="922">
      <c r="I922" s="802"/>
    </row>
    <row r="923">
      <c r="I923" s="802"/>
    </row>
    <row r="924">
      <c r="I924" s="802"/>
    </row>
    <row r="925">
      <c r="I925" s="802"/>
    </row>
    <row r="926">
      <c r="I926" s="802"/>
    </row>
    <row r="927">
      <c r="I927" s="802"/>
    </row>
    <row r="928">
      <c r="I928" s="802"/>
    </row>
    <row r="929">
      <c r="I929" s="802"/>
    </row>
    <row r="930">
      <c r="I930" s="802"/>
    </row>
    <row r="931">
      <c r="I931" s="802"/>
    </row>
    <row r="932">
      <c r="I932" s="802"/>
    </row>
    <row r="933">
      <c r="I933" s="802"/>
    </row>
    <row r="934">
      <c r="I934" s="802"/>
    </row>
    <row r="935">
      <c r="I935" s="802"/>
    </row>
    <row r="936">
      <c r="I936" s="802"/>
    </row>
    <row r="937">
      <c r="I937" s="802"/>
    </row>
    <row r="938">
      <c r="I938" s="802"/>
    </row>
    <row r="939">
      <c r="I939" s="802"/>
    </row>
    <row r="940">
      <c r="I940" s="802"/>
    </row>
    <row r="941">
      <c r="I941" s="802"/>
    </row>
    <row r="942">
      <c r="I942" s="802"/>
    </row>
    <row r="943">
      <c r="I943" s="802"/>
    </row>
    <row r="944">
      <c r="I944" s="802"/>
    </row>
    <row r="945">
      <c r="I945" s="802"/>
    </row>
    <row r="946">
      <c r="I946" s="802"/>
    </row>
    <row r="947">
      <c r="I947" s="802"/>
    </row>
    <row r="948">
      <c r="I948" s="802"/>
    </row>
    <row r="949">
      <c r="I949" s="802"/>
    </row>
    <row r="950">
      <c r="I950" s="802"/>
    </row>
    <row r="951">
      <c r="I951" s="802"/>
    </row>
    <row r="952">
      <c r="I952" s="802"/>
    </row>
    <row r="953">
      <c r="I953" s="802"/>
    </row>
    <row r="954">
      <c r="I954" s="802"/>
    </row>
    <row r="955">
      <c r="I955" s="802"/>
    </row>
    <row r="956">
      <c r="I956" s="802"/>
    </row>
    <row r="957">
      <c r="I957" s="802"/>
    </row>
    <row r="958">
      <c r="I958" s="802"/>
    </row>
    <row r="959">
      <c r="I959" s="802"/>
    </row>
    <row r="960">
      <c r="I960" s="802"/>
    </row>
    <row r="961">
      <c r="I961" s="802"/>
    </row>
    <row r="962">
      <c r="I962" s="802"/>
    </row>
    <row r="963">
      <c r="I963" s="802"/>
    </row>
    <row r="964">
      <c r="I964" s="802"/>
    </row>
    <row r="965">
      <c r="I965" s="802"/>
    </row>
    <row r="966">
      <c r="I966" s="802"/>
    </row>
    <row r="967">
      <c r="I967" s="802"/>
    </row>
    <row r="968">
      <c r="I968" s="802"/>
    </row>
    <row r="969">
      <c r="I969" s="802"/>
    </row>
    <row r="970">
      <c r="I970" s="802"/>
    </row>
    <row r="971">
      <c r="I971" s="802"/>
    </row>
    <row r="972">
      <c r="I972" s="802"/>
    </row>
    <row r="973">
      <c r="I973" s="802"/>
    </row>
    <row r="974">
      <c r="I974" s="802"/>
    </row>
    <row r="975">
      <c r="I975" s="802"/>
    </row>
    <row r="976">
      <c r="I976" s="802"/>
    </row>
    <row r="977">
      <c r="I977" s="802"/>
    </row>
    <row r="978">
      <c r="I978" s="802"/>
    </row>
    <row r="979">
      <c r="I979" s="802"/>
    </row>
    <row r="980">
      <c r="I980" s="802"/>
    </row>
    <row r="981">
      <c r="I981" s="802"/>
    </row>
    <row r="982">
      <c r="I982" s="802"/>
    </row>
    <row r="983">
      <c r="I983" s="802"/>
    </row>
    <row r="984">
      <c r="I984" s="802"/>
    </row>
    <row r="985">
      <c r="I985" s="802"/>
    </row>
    <row r="986">
      <c r="I986" s="802"/>
    </row>
    <row r="987">
      <c r="I987" s="802"/>
    </row>
    <row r="988">
      <c r="I988" s="802"/>
    </row>
    <row r="989">
      <c r="I989" s="802"/>
    </row>
    <row r="990">
      <c r="I990" s="802"/>
    </row>
    <row r="991">
      <c r="I991" s="802"/>
    </row>
    <row r="992">
      <c r="I992" s="802"/>
    </row>
    <row r="993">
      <c r="I993" s="802"/>
    </row>
    <row r="994">
      <c r="I994" s="802"/>
    </row>
    <row r="995">
      <c r="I995" s="802"/>
    </row>
    <row r="996">
      <c r="I996" s="802"/>
    </row>
    <row r="997">
      <c r="I997" s="802"/>
    </row>
    <row r="998">
      <c r="I998" s="802"/>
    </row>
    <row r="999">
      <c r="I999" s="802"/>
    </row>
    <row r="1000">
      <c r="I1000" s="802"/>
    </row>
  </sheetData>
  <mergeCells count="4">
    <mergeCell ref="A16:D16"/>
    <mergeCell ref="A19:D19"/>
    <mergeCell ref="J22:M22"/>
    <mergeCell ref="I26:I30"/>
  </mergeCells>
  <hyperlinks>
    <hyperlink r:id="rId2" ref="I7"/>
    <hyperlink r:id="rId3" ref="I51"/>
    <hyperlink r:id="rId4" ref="I67"/>
    <hyperlink r:id="rId5" ref="I69"/>
  </hyperlinks>
  <drawing r:id="rId6"/>
  <legacyDrawing r:id="rId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29.13"/>
  </cols>
  <sheetData>
    <row r="1">
      <c r="A1" s="803" t="s">
        <v>38395</v>
      </c>
      <c r="B1" s="804">
        <v>44931.0</v>
      </c>
      <c r="C1" s="805"/>
      <c r="D1" s="805"/>
      <c r="E1" s="805"/>
      <c r="F1" s="805"/>
      <c r="G1" s="806"/>
      <c r="H1" s="807" t="s">
        <v>38396</v>
      </c>
      <c r="I1" s="808" t="s">
        <v>38393</v>
      </c>
      <c r="J1" s="805"/>
      <c r="K1" s="809"/>
      <c r="L1" s="810"/>
      <c r="M1" s="810"/>
      <c r="N1" s="810"/>
      <c r="O1" s="810"/>
      <c r="P1" s="811"/>
      <c r="Q1" s="810"/>
      <c r="R1" s="810"/>
      <c r="S1" s="810"/>
      <c r="T1" s="810"/>
      <c r="U1" s="810"/>
      <c r="V1" s="810"/>
      <c r="W1" s="810"/>
      <c r="X1" s="810"/>
      <c r="Y1" s="810"/>
      <c r="Z1" s="810"/>
    </row>
    <row r="2">
      <c r="A2" s="812" t="s">
        <v>38397</v>
      </c>
      <c r="B2" s="813" t="s">
        <v>38398</v>
      </c>
      <c r="C2" s="814"/>
      <c r="D2" s="814"/>
      <c r="E2" s="814"/>
      <c r="F2" s="814"/>
      <c r="G2" s="815"/>
      <c r="H2" s="816"/>
      <c r="I2" s="817" t="s">
        <v>38399</v>
      </c>
      <c r="K2" s="818"/>
      <c r="L2" s="810"/>
      <c r="M2" s="810"/>
      <c r="N2" s="810"/>
      <c r="O2" s="810"/>
      <c r="P2" s="811"/>
      <c r="Q2" s="810"/>
      <c r="R2" s="810"/>
      <c r="S2" s="810"/>
      <c r="T2" s="810"/>
      <c r="U2" s="810"/>
      <c r="V2" s="810"/>
      <c r="W2" s="810"/>
      <c r="X2" s="810"/>
      <c r="Y2" s="810"/>
      <c r="Z2" s="810"/>
    </row>
    <row r="3">
      <c r="A3" s="812" t="s">
        <v>38400</v>
      </c>
      <c r="B3" s="819" t="s">
        <v>38401</v>
      </c>
      <c r="C3" s="814"/>
      <c r="D3" s="814"/>
      <c r="E3" s="815"/>
      <c r="F3" s="819" t="s">
        <v>38402</v>
      </c>
      <c r="G3" s="815"/>
      <c r="H3" s="816"/>
      <c r="K3" s="818"/>
      <c r="L3" s="810"/>
      <c r="M3" s="810"/>
      <c r="N3" s="810"/>
      <c r="O3" s="810"/>
      <c r="P3" s="811"/>
      <c r="Q3" s="810"/>
      <c r="R3" s="810"/>
      <c r="S3" s="810"/>
      <c r="T3" s="810"/>
      <c r="U3" s="810"/>
      <c r="V3" s="810"/>
      <c r="W3" s="810"/>
      <c r="X3" s="810"/>
      <c r="Y3" s="810"/>
      <c r="Z3" s="810"/>
    </row>
    <row r="4">
      <c r="A4" s="812" t="s">
        <v>38403</v>
      </c>
      <c r="B4" s="820" t="s">
        <v>38404</v>
      </c>
      <c r="C4" s="814"/>
      <c r="D4" s="814"/>
      <c r="E4" s="814"/>
      <c r="F4" s="814"/>
      <c r="G4" s="815"/>
      <c r="H4" s="816"/>
      <c r="K4" s="818"/>
      <c r="L4" s="810"/>
      <c r="M4" s="810"/>
      <c r="N4" s="810"/>
      <c r="O4" s="810"/>
      <c r="P4" s="811"/>
      <c r="Q4" s="810"/>
      <c r="R4" s="810"/>
      <c r="S4" s="810"/>
      <c r="T4" s="810"/>
      <c r="U4" s="810"/>
      <c r="V4" s="810"/>
      <c r="W4" s="810"/>
      <c r="X4" s="810"/>
      <c r="Y4" s="810"/>
      <c r="Z4" s="810"/>
    </row>
    <row r="5">
      <c r="A5" s="812" t="s">
        <v>38405</v>
      </c>
      <c r="B5" s="813" t="s">
        <v>38406</v>
      </c>
      <c r="C5" s="814"/>
      <c r="D5" s="814"/>
      <c r="E5" s="814"/>
      <c r="F5" s="814"/>
      <c r="G5" s="815"/>
      <c r="H5" s="816"/>
      <c r="K5" s="818"/>
      <c r="L5" s="810"/>
      <c r="M5" s="810"/>
      <c r="N5" s="810"/>
      <c r="O5" s="810"/>
      <c r="P5" s="811"/>
      <c r="Q5" s="810"/>
      <c r="R5" s="810"/>
      <c r="S5" s="810"/>
      <c r="T5" s="810"/>
      <c r="U5" s="810"/>
      <c r="V5" s="810"/>
      <c r="W5" s="810"/>
      <c r="X5" s="810"/>
      <c r="Y5" s="810"/>
      <c r="Z5" s="810"/>
    </row>
    <row r="6">
      <c r="A6" s="812" t="s">
        <v>38407</v>
      </c>
      <c r="B6" s="813" t="s">
        <v>38408</v>
      </c>
      <c r="C6" s="814"/>
      <c r="D6" s="814"/>
      <c r="E6" s="814"/>
      <c r="F6" s="814"/>
      <c r="G6" s="815"/>
      <c r="H6" s="816"/>
      <c r="K6" s="818"/>
      <c r="L6" s="810"/>
      <c r="M6" s="810"/>
      <c r="N6" s="810"/>
      <c r="O6" s="810"/>
      <c r="P6" s="811"/>
      <c r="Q6" s="810"/>
      <c r="R6" s="810"/>
      <c r="S6" s="810"/>
      <c r="T6" s="810"/>
      <c r="U6" s="810"/>
      <c r="V6" s="810"/>
      <c r="W6" s="810"/>
      <c r="X6" s="810"/>
      <c r="Y6" s="810"/>
      <c r="Z6" s="810"/>
    </row>
    <row r="7">
      <c r="A7" s="821" t="s">
        <v>38409</v>
      </c>
      <c r="B7" s="822" t="s">
        <v>38410</v>
      </c>
      <c r="G7" s="816"/>
      <c r="H7" s="815"/>
      <c r="I7" s="823"/>
      <c r="J7" s="823"/>
      <c r="K7" s="824"/>
      <c r="L7" s="810"/>
      <c r="M7" s="810"/>
      <c r="N7" s="810"/>
      <c r="O7" s="810"/>
      <c r="P7" s="811"/>
      <c r="Q7" s="810"/>
      <c r="R7" s="810"/>
      <c r="S7" s="810"/>
      <c r="T7" s="810"/>
      <c r="U7" s="810"/>
      <c r="V7" s="810"/>
      <c r="W7" s="810"/>
      <c r="X7" s="810"/>
      <c r="Y7" s="810"/>
      <c r="Z7" s="810"/>
    </row>
    <row r="8">
      <c r="A8" s="825" t="s">
        <v>38411</v>
      </c>
      <c r="B8" s="810"/>
      <c r="C8" s="811"/>
      <c r="D8" s="810"/>
      <c r="E8" s="826"/>
      <c r="F8" s="827" t="s">
        <v>38412</v>
      </c>
      <c r="G8" s="810"/>
      <c r="H8" s="810"/>
      <c r="I8" s="810"/>
      <c r="J8" s="810"/>
      <c r="K8" s="828"/>
      <c r="L8" s="829"/>
      <c r="M8" s="829"/>
      <c r="N8" s="829"/>
      <c r="O8" s="829"/>
      <c r="P8" s="830"/>
      <c r="Q8" s="810"/>
      <c r="R8" s="810"/>
      <c r="S8" s="810"/>
      <c r="T8" s="810"/>
      <c r="U8" s="810"/>
      <c r="V8" s="810"/>
      <c r="W8" s="810"/>
      <c r="X8" s="810"/>
      <c r="Y8" s="810"/>
      <c r="Z8" s="810"/>
    </row>
    <row r="9">
      <c r="A9" s="831" t="s">
        <v>38413</v>
      </c>
      <c r="B9" s="832"/>
      <c r="C9" s="833"/>
      <c r="D9" s="832"/>
      <c r="E9" s="834"/>
      <c r="F9" s="835">
        <v>0.25</v>
      </c>
      <c r="G9" s="832"/>
      <c r="H9" s="832"/>
      <c r="I9" s="832"/>
      <c r="J9" s="832"/>
      <c r="K9" s="836"/>
      <c r="L9" s="837" t="s">
        <v>38414</v>
      </c>
      <c r="M9" s="823"/>
      <c r="N9" s="823"/>
      <c r="O9" s="823"/>
      <c r="P9" s="824"/>
      <c r="Q9" s="810"/>
      <c r="R9" s="810"/>
      <c r="S9" s="810"/>
      <c r="T9" s="810"/>
      <c r="U9" s="810"/>
      <c r="V9" s="810"/>
      <c r="W9" s="810"/>
      <c r="X9" s="810"/>
      <c r="Y9" s="810"/>
      <c r="Z9" s="810"/>
    </row>
    <row r="10" ht="57.0" customHeight="1">
      <c r="A10" s="838" t="s">
        <v>38415</v>
      </c>
      <c r="B10" s="839" t="s">
        <v>38416</v>
      </c>
      <c r="C10" s="840" t="s">
        <v>38417</v>
      </c>
      <c r="D10" s="839" t="s">
        <v>38418</v>
      </c>
      <c r="E10" s="839" t="s">
        <v>38419</v>
      </c>
      <c r="F10" s="839" t="s">
        <v>38420</v>
      </c>
      <c r="G10" s="839" t="s">
        <v>38421</v>
      </c>
      <c r="H10" s="839" t="s">
        <v>38422</v>
      </c>
      <c r="I10" s="839" t="s">
        <v>38423</v>
      </c>
      <c r="J10" s="839" t="s">
        <v>38424</v>
      </c>
      <c r="K10" s="841" t="s">
        <v>38425</v>
      </c>
      <c r="L10" s="839" t="s">
        <v>38426</v>
      </c>
      <c r="M10" s="839" t="s">
        <v>38427</v>
      </c>
      <c r="N10" s="839" t="s">
        <v>38428</v>
      </c>
      <c r="O10" s="839" t="s">
        <v>38429</v>
      </c>
      <c r="P10" s="840" t="s">
        <v>38430</v>
      </c>
      <c r="Q10" s="810"/>
      <c r="R10" s="810"/>
      <c r="S10" s="810"/>
      <c r="T10" s="810"/>
      <c r="U10" s="810"/>
      <c r="V10" s="810"/>
      <c r="W10" s="810"/>
      <c r="X10" s="810"/>
      <c r="Y10" s="810"/>
      <c r="Z10" s="810"/>
    </row>
    <row r="11">
      <c r="A11" s="842" t="s">
        <v>38431</v>
      </c>
      <c r="B11" s="843">
        <v>91.0</v>
      </c>
      <c r="C11" s="844">
        <v>1.363575730964357</v>
      </c>
      <c r="D11" s="845">
        <v>0.04802537315978222</v>
      </c>
      <c r="E11" s="845">
        <v>0.0381657195507904</v>
      </c>
      <c r="F11" s="844">
        <f t="shared" ref="F11:F106" si="1">IF($F$8="Effective",C11/(1+(1-E11)*D11),C11/(1+(1-$F$9)*D11))</f>
        <v>1.316168614</v>
      </c>
      <c r="G11" s="845">
        <v>0.03071817066284499</v>
      </c>
      <c r="H11" s="844">
        <f t="shared" ref="H11:H106" si="2">F11/(1-G11)</f>
        <v>1.35788021</v>
      </c>
      <c r="I11" s="846">
        <v>0.6871552157284953</v>
      </c>
      <c r="J11" s="845">
        <v>0.5870954387158441</v>
      </c>
      <c r="K11" s="845">
        <v>0.6913671007358034</v>
      </c>
      <c r="L11" s="844">
        <v>1.2697947323690497</v>
      </c>
      <c r="M11" s="844">
        <v>1.2858744552797758</v>
      </c>
      <c r="N11" s="847">
        <v>0.96</v>
      </c>
      <c r="O11" s="844">
        <v>1.2075498828617475</v>
      </c>
      <c r="P11" s="848" t="str">
        <f t="shared" ref="P11:P106" si="3">AVERAGE('Industry Averages'!$H11,'Industry Averages'!$L11:$O11)</f>
        <v>#REF!</v>
      </c>
      <c r="Q11" s="810"/>
      <c r="R11" s="810"/>
      <c r="S11" s="810"/>
      <c r="T11" s="810"/>
      <c r="U11" s="810"/>
      <c r="V11" s="810"/>
      <c r="W11" s="810"/>
      <c r="X11" s="810"/>
      <c r="Y11" s="810"/>
      <c r="Z11" s="810"/>
    </row>
    <row r="12">
      <c r="A12" s="849" t="s">
        <v>38432</v>
      </c>
      <c r="B12" s="850">
        <v>13.0</v>
      </c>
      <c r="C12" s="851">
        <v>1.3276925338648697</v>
      </c>
      <c r="D12" s="852">
        <v>0.09014065552744598</v>
      </c>
      <c r="E12" s="852">
        <v>0.1069836773191477</v>
      </c>
      <c r="F12" s="851">
        <f t="shared" si="1"/>
        <v>1.243617183</v>
      </c>
      <c r="G12" s="852">
        <v>0.03495874941035351</v>
      </c>
      <c r="H12" s="851">
        <f t="shared" si="2"/>
        <v>1.288667383</v>
      </c>
      <c r="I12" s="853">
        <v>0.5084634578495381</v>
      </c>
      <c r="J12" s="852">
        <v>0.39374185918980237</v>
      </c>
      <c r="K12" s="852">
        <v>0.2827079019714945</v>
      </c>
      <c r="L12" s="851">
        <v>0.7412820035926789</v>
      </c>
      <c r="M12" s="851">
        <v>0.8336099690951179</v>
      </c>
      <c r="N12" s="854">
        <v>0.98</v>
      </c>
      <c r="O12" s="851">
        <v>1.1884916532310223</v>
      </c>
      <c r="P12" s="855" t="str">
        <f t="shared" si="3"/>
        <v>#REF!</v>
      </c>
      <c r="Q12" s="810"/>
      <c r="R12" s="810"/>
      <c r="S12" s="810"/>
      <c r="T12" s="810"/>
      <c r="U12" s="810"/>
      <c r="V12" s="810"/>
      <c r="W12" s="810"/>
      <c r="X12" s="810"/>
      <c r="Y12" s="810"/>
      <c r="Z12" s="810"/>
    </row>
    <row r="13">
      <c r="A13" s="842" t="s">
        <v>38433</v>
      </c>
      <c r="B13" s="843">
        <v>390.0</v>
      </c>
      <c r="C13" s="844">
        <v>1.4697712402478267</v>
      </c>
      <c r="D13" s="845">
        <v>0.09364871792736469</v>
      </c>
      <c r="E13" s="845">
        <v>0.03395114353447462</v>
      </c>
      <c r="F13" s="844">
        <f t="shared" si="1"/>
        <v>1.373314391</v>
      </c>
      <c r="G13" s="845">
        <v>0.02806607714827414</v>
      </c>
      <c r="H13" s="844">
        <f t="shared" si="2"/>
        <v>1.412970943</v>
      </c>
      <c r="I13" s="846">
        <v>0.6164066436646158</v>
      </c>
      <c r="J13" s="845">
        <v>0.5211121018357716</v>
      </c>
      <c r="K13" s="845">
        <v>0.3224015937291314</v>
      </c>
      <c r="L13" s="844">
        <v>1.1619596463607587</v>
      </c>
      <c r="M13" s="844">
        <v>1.149160826869191</v>
      </c>
      <c r="N13" s="847">
        <v>0.89</v>
      </c>
      <c r="O13" s="844">
        <v>1.122454939608095</v>
      </c>
      <c r="P13" s="848" t="str">
        <f t="shared" si="3"/>
        <v>#REF!</v>
      </c>
      <c r="Q13" s="810"/>
      <c r="R13" s="810"/>
      <c r="S13" s="810"/>
      <c r="T13" s="810"/>
      <c r="U13" s="810"/>
      <c r="V13" s="810"/>
      <c r="W13" s="810"/>
      <c r="X13" s="810"/>
      <c r="Y13" s="810"/>
      <c r="Z13" s="810"/>
    </row>
    <row r="14">
      <c r="A14" s="849" t="s">
        <v>38434</v>
      </c>
      <c r="B14" s="850">
        <v>42.0</v>
      </c>
      <c r="C14" s="851">
        <v>1.2910863648381774</v>
      </c>
      <c r="D14" s="852">
        <v>0.09522698938682962</v>
      </c>
      <c r="E14" s="852">
        <v>0.09132626196935435</v>
      </c>
      <c r="F14" s="851">
        <f t="shared" si="1"/>
        <v>1.205023308</v>
      </c>
      <c r="G14" s="852">
        <v>0.01794482752125007</v>
      </c>
      <c r="H14" s="851">
        <f t="shared" si="2"/>
        <v>1.227042372</v>
      </c>
      <c r="I14" s="853">
        <v>0.4600212953010714</v>
      </c>
      <c r="J14" s="852">
        <v>0.48725444355956743</v>
      </c>
      <c r="K14" s="852">
        <v>0.2502042492888249</v>
      </c>
      <c r="L14" s="851">
        <v>1.4982789281613096</v>
      </c>
      <c r="M14" s="851">
        <v>1.6400833392351297</v>
      </c>
      <c r="N14" s="854">
        <v>1.14</v>
      </c>
      <c r="O14" s="851">
        <v>1.2487708944175273</v>
      </c>
      <c r="P14" s="855" t="str">
        <f t="shared" si="3"/>
        <v>#REF!</v>
      </c>
      <c r="Q14" s="810"/>
      <c r="R14" s="810"/>
      <c r="S14" s="810"/>
      <c r="T14" s="810"/>
      <c r="U14" s="810"/>
      <c r="V14" s="810"/>
      <c r="W14" s="810"/>
      <c r="X14" s="810"/>
      <c r="Y14" s="810"/>
      <c r="Z14" s="810"/>
    </row>
    <row r="15">
      <c r="A15" s="842" t="s">
        <v>38435</v>
      </c>
      <c r="B15" s="843">
        <v>68.0</v>
      </c>
      <c r="C15" s="844">
        <v>1.607746258634069</v>
      </c>
      <c r="D15" s="845">
        <v>0.11265628382191657</v>
      </c>
      <c r="E15" s="845">
        <v>0.08181926880368372</v>
      </c>
      <c r="F15" s="844">
        <f t="shared" si="1"/>
        <v>1.482487601</v>
      </c>
      <c r="G15" s="845">
        <v>0.033748762158634794</v>
      </c>
      <c r="H15" s="844">
        <f t="shared" si="2"/>
        <v>1.53426722</v>
      </c>
      <c r="I15" s="846">
        <v>0.4893379233506794</v>
      </c>
      <c r="J15" s="845">
        <v>0.38404265117692143</v>
      </c>
      <c r="K15" s="845">
        <v>0.38437761380903246</v>
      </c>
      <c r="L15" s="844">
        <v>1.2637967280679967</v>
      </c>
      <c r="M15" s="844">
        <v>1.236890276724555</v>
      </c>
      <c r="N15" s="847">
        <v>0.96</v>
      </c>
      <c r="O15" s="844">
        <v>1.135821074309048</v>
      </c>
      <c r="P15" s="848" t="str">
        <f t="shared" si="3"/>
        <v>#REF!</v>
      </c>
      <c r="Q15" s="810"/>
      <c r="R15" s="810"/>
      <c r="S15" s="810"/>
      <c r="T15" s="810"/>
      <c r="U15" s="810"/>
      <c r="V15" s="810"/>
      <c r="W15" s="810"/>
      <c r="X15" s="810"/>
      <c r="Y15" s="810"/>
      <c r="Z15" s="810"/>
    </row>
    <row r="16">
      <c r="A16" s="842" t="s">
        <v>38436</v>
      </c>
      <c r="B16" s="843">
        <v>4.0</v>
      </c>
      <c r="C16" s="844">
        <v>0.9774858927490678</v>
      </c>
      <c r="D16" s="845">
        <v>0.11503816258570915</v>
      </c>
      <c r="E16" s="845">
        <v>0.14222153189085546</v>
      </c>
      <c r="F16" s="844">
        <f t="shared" si="1"/>
        <v>0.8998482277</v>
      </c>
      <c r="G16" s="845">
        <v>0.049056001104084736</v>
      </c>
      <c r="H16" s="844">
        <f t="shared" si="2"/>
        <v>0.9462683699</v>
      </c>
      <c r="I16" s="846">
        <v>0.34410896982169686</v>
      </c>
      <c r="J16" s="845">
        <v>0.3054894443464334</v>
      </c>
      <c r="K16" s="845">
        <v>0.9762764799479865</v>
      </c>
      <c r="L16" s="844">
        <v>1.055607164642918</v>
      </c>
      <c r="M16" s="844">
        <v>1.1174661727895663</v>
      </c>
      <c r="N16" s="847">
        <v>0.98</v>
      </c>
      <c r="O16" s="844">
        <v>1.250926196365303</v>
      </c>
      <c r="P16" s="848" t="str">
        <f t="shared" si="3"/>
        <v>#REF!</v>
      </c>
      <c r="Q16" s="810"/>
      <c r="R16" s="810"/>
      <c r="S16" s="810"/>
      <c r="T16" s="810"/>
      <c r="U16" s="810"/>
      <c r="V16" s="810"/>
      <c r="W16" s="810"/>
      <c r="X16" s="810"/>
      <c r="Y16" s="810"/>
      <c r="Z16" s="810"/>
    </row>
    <row r="17">
      <c r="A17" s="849" t="s">
        <v>38437</v>
      </c>
      <c r="B17" s="850">
        <v>79.0</v>
      </c>
      <c r="C17" s="851">
        <v>1.2331194872073334</v>
      </c>
      <c r="D17" s="852">
        <v>0.11678322018549975</v>
      </c>
      <c r="E17" s="852">
        <v>0.040571929767536014</v>
      </c>
      <c r="F17" s="851">
        <f t="shared" si="1"/>
        <v>1.133811839</v>
      </c>
      <c r="G17" s="852">
        <v>0.03791101679160369</v>
      </c>
      <c r="H17" s="851">
        <f t="shared" si="2"/>
        <v>1.178489577</v>
      </c>
      <c r="I17" s="853">
        <v>0.5273300494301266</v>
      </c>
      <c r="J17" s="852">
        <v>0.4134875394830146</v>
      </c>
      <c r="K17" s="852">
        <v>0.13611769117236694</v>
      </c>
      <c r="L17" s="851">
        <v>1.0228587017593667</v>
      </c>
      <c r="M17" s="851">
        <v>0.8359786583228734</v>
      </c>
      <c r="N17" s="854">
        <v>0.83</v>
      </c>
      <c r="O17" s="851">
        <v>1.0568634798545709</v>
      </c>
      <c r="P17" s="855" t="str">
        <f t="shared" si="3"/>
        <v>#REF!</v>
      </c>
      <c r="Q17" s="810"/>
      <c r="R17" s="810"/>
      <c r="S17" s="810"/>
      <c r="T17" s="810"/>
      <c r="U17" s="810"/>
      <c r="V17" s="810"/>
      <c r="W17" s="810"/>
      <c r="X17" s="810"/>
      <c r="Y17" s="810"/>
      <c r="Z17" s="810"/>
    </row>
    <row r="18">
      <c r="A18" s="849" t="s">
        <v>38438</v>
      </c>
      <c r="B18" s="850">
        <v>30.0</v>
      </c>
      <c r="C18" s="851">
        <v>1.757142721715889</v>
      </c>
      <c r="D18" s="852">
        <v>0.11786824757584162</v>
      </c>
      <c r="E18" s="852">
        <v>0.10936898430604083</v>
      </c>
      <c r="F18" s="851">
        <f t="shared" si="1"/>
        <v>1.614425586</v>
      </c>
      <c r="G18" s="852">
        <v>0.04429296564844726</v>
      </c>
      <c r="H18" s="851">
        <f t="shared" si="2"/>
        <v>1.689247361</v>
      </c>
      <c r="I18" s="853">
        <v>0.4351337345019169</v>
      </c>
      <c r="J18" s="852">
        <v>0.4156872302967652</v>
      </c>
      <c r="K18" s="852">
        <v>0.6849290918256756</v>
      </c>
      <c r="L18" s="851">
        <v>1.3908894934763405</v>
      </c>
      <c r="M18" s="851">
        <v>1.2534843105487556</v>
      </c>
      <c r="N18" s="854">
        <v>1.07</v>
      </c>
      <c r="O18" s="851">
        <v>1.3414180698068143</v>
      </c>
      <c r="P18" s="855" t="str">
        <f t="shared" si="3"/>
        <v>#REF!</v>
      </c>
      <c r="Q18" s="810"/>
      <c r="R18" s="810"/>
      <c r="S18" s="810"/>
      <c r="T18" s="810"/>
      <c r="U18" s="810"/>
      <c r="V18" s="810"/>
      <c r="W18" s="810"/>
      <c r="X18" s="810"/>
      <c r="Y18" s="810"/>
      <c r="Z18" s="810"/>
    </row>
    <row r="19">
      <c r="A19" s="849" t="s">
        <v>38439</v>
      </c>
      <c r="B19" s="850">
        <v>254.0</v>
      </c>
      <c r="C19" s="851">
        <v>1.1623831948690986</v>
      </c>
      <c r="D19" s="852">
        <v>0.12602806724123175</v>
      </c>
      <c r="E19" s="852">
        <v>0.03696751928901867</v>
      </c>
      <c r="F19" s="851">
        <f t="shared" si="1"/>
        <v>1.06200168</v>
      </c>
      <c r="G19" s="852">
        <v>0.0319945277817212</v>
      </c>
      <c r="H19" s="851">
        <f t="shared" si="2"/>
        <v>1.097102972</v>
      </c>
      <c r="I19" s="853">
        <v>0.5938554268008396</v>
      </c>
      <c r="J19" s="852">
        <v>0.5094012253760996</v>
      </c>
      <c r="K19" s="852">
        <v>0.3009797999987402</v>
      </c>
      <c r="L19" s="851">
        <v>1.0412420580286896</v>
      </c>
      <c r="M19" s="851">
        <v>0.9818186838686335</v>
      </c>
      <c r="N19" s="854">
        <v>0.8</v>
      </c>
      <c r="O19" s="851">
        <v>0.9123800188457021</v>
      </c>
      <c r="P19" s="855" t="str">
        <f t="shared" si="3"/>
        <v>#REF!</v>
      </c>
      <c r="Q19" s="810"/>
      <c r="R19" s="810"/>
      <c r="S19" s="810"/>
      <c r="T19" s="810"/>
      <c r="U19" s="810"/>
      <c r="V19" s="810"/>
      <c r="W19" s="810"/>
      <c r="X19" s="810"/>
      <c r="Y19" s="810"/>
      <c r="Z19" s="810"/>
    </row>
    <row r="20">
      <c r="A20" s="842" t="s">
        <v>38440</v>
      </c>
      <c r="B20" s="843">
        <v>73.0</v>
      </c>
      <c r="C20" s="844">
        <v>1.4047128789332648</v>
      </c>
      <c r="D20" s="845">
        <v>0.13058755319285983</v>
      </c>
      <c r="E20" s="845">
        <v>0.12449529547899026</v>
      </c>
      <c r="F20" s="844">
        <f t="shared" si="1"/>
        <v>1.279406915</v>
      </c>
      <c r="G20" s="845">
        <v>0.04052417555967079</v>
      </c>
      <c r="H20" s="844">
        <f t="shared" si="2"/>
        <v>1.333443618</v>
      </c>
      <c r="I20" s="846">
        <v>0.4768121512169421</v>
      </c>
      <c r="J20" s="845">
        <v>0.4510937058049509</v>
      </c>
      <c r="K20" s="845">
        <v>0.2835450565434452</v>
      </c>
      <c r="L20" s="844">
        <v>1.04761476043476</v>
      </c>
      <c r="M20" s="844">
        <v>1.0315158970762186</v>
      </c>
      <c r="N20" s="847">
        <v>0.97</v>
      </c>
      <c r="O20" s="844">
        <v>1.2038667851126352</v>
      </c>
      <c r="P20" s="848" t="str">
        <f t="shared" si="3"/>
        <v>#REF!</v>
      </c>
      <c r="Q20" s="810"/>
      <c r="R20" s="810"/>
      <c r="S20" s="810"/>
      <c r="T20" s="810"/>
      <c r="U20" s="810"/>
      <c r="V20" s="810"/>
      <c r="W20" s="810"/>
      <c r="X20" s="810"/>
      <c r="Y20" s="810"/>
      <c r="Z20" s="810"/>
    </row>
    <row r="21">
      <c r="A21" s="849" t="s">
        <v>38441</v>
      </c>
      <c r="B21" s="850">
        <v>281.0</v>
      </c>
      <c r="C21" s="851">
        <v>1.2680061555196915</v>
      </c>
      <c r="D21" s="852">
        <v>0.13615574045546022</v>
      </c>
      <c r="E21" s="852">
        <v>0.02373947361492524</v>
      </c>
      <c r="F21" s="851">
        <f t="shared" si="1"/>
        <v>1.150518846</v>
      </c>
      <c r="G21" s="852">
        <v>0.025649637421181277</v>
      </c>
      <c r="H21" s="851">
        <f t="shared" si="2"/>
        <v>1.180806095</v>
      </c>
      <c r="I21" s="853">
        <v>0.6919122536259916</v>
      </c>
      <c r="J21" s="852">
        <v>0.6488355395045173</v>
      </c>
      <c r="K21" s="852">
        <v>0.18546971819096153</v>
      </c>
      <c r="L21" s="851">
        <v>1.3790871702678402</v>
      </c>
      <c r="M21" s="851">
        <v>1.2856575366949226</v>
      </c>
      <c r="N21" s="854">
        <v>0.84</v>
      </c>
      <c r="O21" s="851">
        <v>1.009823573553889</v>
      </c>
      <c r="P21" s="855" t="str">
        <f t="shared" si="3"/>
        <v>#REF!</v>
      </c>
      <c r="Q21" s="810"/>
      <c r="R21" s="810"/>
      <c r="S21" s="810"/>
      <c r="T21" s="810"/>
      <c r="U21" s="810"/>
      <c r="V21" s="810"/>
      <c r="W21" s="810"/>
      <c r="X21" s="810"/>
      <c r="Y21" s="810"/>
      <c r="Z21" s="810"/>
    </row>
    <row r="22">
      <c r="A22" s="849" t="s">
        <v>38442</v>
      </c>
      <c r="B22" s="850">
        <v>138.0</v>
      </c>
      <c r="C22" s="851">
        <v>1.4715094541215377</v>
      </c>
      <c r="D22" s="852">
        <v>0.14208144140427534</v>
      </c>
      <c r="E22" s="852">
        <v>0.04304939948115865</v>
      </c>
      <c r="F22" s="851">
        <f t="shared" si="1"/>
        <v>1.329804092</v>
      </c>
      <c r="G22" s="852">
        <v>0.029861395459020352</v>
      </c>
      <c r="H22" s="851">
        <f t="shared" si="2"/>
        <v>1.370736188</v>
      </c>
      <c r="I22" s="853">
        <v>0.6172879220079127</v>
      </c>
      <c r="J22" s="852">
        <v>0.5387173762249065</v>
      </c>
      <c r="K22" s="852">
        <v>0.48966291900694897</v>
      </c>
      <c r="L22" s="851">
        <v>1.1770734443491222</v>
      </c>
      <c r="M22" s="851">
        <v>1.152697351786613</v>
      </c>
      <c r="N22" s="854">
        <v>0.75</v>
      </c>
      <c r="O22" s="851">
        <v>0.9088883028884132</v>
      </c>
      <c r="P22" s="855" t="str">
        <f t="shared" si="3"/>
        <v>#REF!</v>
      </c>
      <c r="Q22" s="810"/>
      <c r="R22" s="810"/>
      <c r="S22" s="810"/>
      <c r="T22" s="810"/>
      <c r="U22" s="810"/>
      <c r="V22" s="810"/>
      <c r="W22" s="810"/>
      <c r="X22" s="810"/>
      <c r="Y22" s="810"/>
      <c r="Z22" s="810"/>
    </row>
    <row r="23">
      <c r="A23" s="842" t="s">
        <v>38443</v>
      </c>
      <c r="B23" s="843">
        <v>31.0</v>
      </c>
      <c r="C23" s="844">
        <v>1.3034433070435496</v>
      </c>
      <c r="D23" s="845">
        <v>0.1526904463074982</v>
      </c>
      <c r="E23" s="845">
        <v>0.06416466447114642</v>
      </c>
      <c r="F23" s="844">
        <f t="shared" si="1"/>
        <v>1.169513189</v>
      </c>
      <c r="G23" s="845">
        <v>0.02655230937298967</v>
      </c>
      <c r="H23" s="844">
        <f t="shared" si="2"/>
        <v>1.201413492</v>
      </c>
      <c r="I23" s="846">
        <v>0.6105213214406137</v>
      </c>
      <c r="J23" s="845">
        <v>0.41717146856964005</v>
      </c>
      <c r="K23" s="845">
        <v>0.09356484549793757</v>
      </c>
      <c r="L23" s="844">
        <v>1.0445632745746374</v>
      </c>
      <c r="M23" s="844">
        <v>1.0907131928183842</v>
      </c>
      <c r="N23" s="847">
        <v>0.71</v>
      </c>
      <c r="O23" s="844">
        <v>1.1155473334942059</v>
      </c>
      <c r="P23" s="848" t="str">
        <f t="shared" si="3"/>
        <v>#REF!</v>
      </c>
      <c r="Q23" s="810"/>
      <c r="R23" s="810"/>
      <c r="S23" s="810"/>
      <c r="T23" s="810"/>
      <c r="U23" s="810"/>
      <c r="V23" s="810"/>
      <c r="W23" s="810"/>
      <c r="X23" s="810"/>
      <c r="Y23" s="810"/>
      <c r="Z23" s="810"/>
    </row>
    <row r="24">
      <c r="A24" s="842" t="s">
        <v>38444</v>
      </c>
      <c r="B24" s="843">
        <v>598.0</v>
      </c>
      <c r="C24" s="844">
        <v>1.2417422800706084</v>
      </c>
      <c r="D24" s="845">
        <v>0.1532086421175077</v>
      </c>
      <c r="E24" s="845">
        <v>0.00936698809111424</v>
      </c>
      <c r="F24" s="844">
        <f t="shared" si="1"/>
        <v>1.113763621</v>
      </c>
      <c r="G24" s="845">
        <v>0.0714372514888118</v>
      </c>
      <c r="H24" s="844">
        <f t="shared" si="2"/>
        <v>1.199448958</v>
      </c>
      <c r="I24" s="846">
        <v>0.6539990607514994</v>
      </c>
      <c r="J24" s="845">
        <v>0.5841409330821086</v>
      </c>
      <c r="K24" s="845">
        <v>0.29812569880822276</v>
      </c>
      <c r="L24" s="844">
        <v>1.4307835597315306</v>
      </c>
      <c r="M24" s="844">
        <v>1.3891731337867141</v>
      </c>
      <c r="N24" s="847">
        <v>0.85</v>
      </c>
      <c r="O24" s="844">
        <v>0.9722328956942816</v>
      </c>
      <c r="P24" s="848" t="str">
        <f t="shared" si="3"/>
        <v>#REF!</v>
      </c>
      <c r="Q24" s="810"/>
      <c r="R24" s="810"/>
      <c r="S24" s="810"/>
      <c r="T24" s="810"/>
      <c r="U24" s="810"/>
      <c r="V24" s="810"/>
      <c r="W24" s="810"/>
      <c r="X24" s="810"/>
      <c r="Y24" s="810"/>
      <c r="Z24" s="810"/>
    </row>
    <row r="25">
      <c r="A25" s="849" t="s">
        <v>38445</v>
      </c>
      <c r="B25" s="850">
        <v>127.0</v>
      </c>
      <c r="C25" s="851">
        <v>1.1550009836175177</v>
      </c>
      <c r="D25" s="852">
        <v>0.1552397595380495</v>
      </c>
      <c r="E25" s="852">
        <v>0.06727024630355635</v>
      </c>
      <c r="F25" s="851">
        <f t="shared" si="1"/>
        <v>1.034548669</v>
      </c>
      <c r="G25" s="852">
        <v>0.022054657954777637</v>
      </c>
      <c r="H25" s="851">
        <f t="shared" si="2"/>
        <v>1.057879847</v>
      </c>
      <c r="I25" s="853">
        <v>0.657658600910968</v>
      </c>
      <c r="J25" s="852">
        <v>0.568275249431107</v>
      </c>
      <c r="K25" s="852">
        <v>0.06918830586435934</v>
      </c>
      <c r="L25" s="851">
        <v>0.9972506674830345</v>
      </c>
      <c r="M25" s="851">
        <v>0.9370572448948898</v>
      </c>
      <c r="N25" s="854">
        <v>0.68</v>
      </c>
      <c r="O25" s="851">
        <v>0.9200717469168898</v>
      </c>
      <c r="P25" s="855" t="str">
        <f t="shared" si="3"/>
        <v>#REF!</v>
      </c>
      <c r="Q25" s="810"/>
      <c r="R25" s="810"/>
      <c r="S25" s="810"/>
      <c r="T25" s="810"/>
      <c r="U25" s="810"/>
      <c r="V25" s="810"/>
      <c r="W25" s="810"/>
      <c r="X25" s="810"/>
      <c r="Y25" s="810"/>
      <c r="Z25" s="810"/>
    </row>
    <row r="26">
      <c r="A26" s="849" t="s">
        <v>17726</v>
      </c>
      <c r="B26" s="850">
        <v>74.0</v>
      </c>
      <c r="C26" s="851">
        <v>1.2336190389708566</v>
      </c>
      <c r="D26" s="852">
        <v>0.16326322309396255</v>
      </c>
      <c r="E26" s="852">
        <v>0.02873015346934519</v>
      </c>
      <c r="F26" s="851">
        <f t="shared" si="1"/>
        <v>1.099043946</v>
      </c>
      <c r="G26" s="852">
        <v>0.07426215546078967</v>
      </c>
      <c r="H26" s="851">
        <f t="shared" si="2"/>
        <v>1.187208617</v>
      </c>
      <c r="I26" s="853">
        <v>0.6947327970793664</v>
      </c>
      <c r="J26" s="852">
        <v>0.7254331454586879</v>
      </c>
      <c r="K26" s="852">
        <v>0.7081999774663107</v>
      </c>
      <c r="L26" s="851">
        <v>1.1490747541483908</v>
      </c>
      <c r="M26" s="851">
        <v>1.3320479668619645</v>
      </c>
      <c r="N26" s="854">
        <v>0.75</v>
      </c>
      <c r="O26" s="851">
        <v>0.9873774941222514</v>
      </c>
      <c r="P26" s="855" t="str">
        <f t="shared" si="3"/>
        <v>#REF!</v>
      </c>
      <c r="Q26" s="810"/>
      <c r="R26" s="810"/>
      <c r="S26" s="810"/>
      <c r="T26" s="810"/>
      <c r="U26" s="810"/>
      <c r="V26" s="810"/>
      <c r="W26" s="810"/>
      <c r="X26" s="810"/>
      <c r="Y26" s="810"/>
      <c r="Z26" s="810"/>
    </row>
    <row r="27">
      <c r="A27" s="842" t="s">
        <v>38446</v>
      </c>
      <c r="B27" s="843">
        <v>16.0</v>
      </c>
      <c r="C27" s="844">
        <v>1.538919124088938</v>
      </c>
      <c r="D27" s="845">
        <v>0.1645441535812963</v>
      </c>
      <c r="E27" s="845">
        <v>0.039839422941665745</v>
      </c>
      <c r="F27" s="844">
        <f t="shared" si="1"/>
        <v>1.369866483</v>
      </c>
      <c r="G27" s="845">
        <v>0.15076516748919444</v>
      </c>
      <c r="H27" s="844">
        <f t="shared" si="2"/>
        <v>1.613059699</v>
      </c>
      <c r="I27" s="846">
        <v>0.59618023652288</v>
      </c>
      <c r="J27" s="845">
        <v>0.3956471324501661</v>
      </c>
      <c r="K27" s="845">
        <v>3.28167406691279</v>
      </c>
      <c r="L27" s="844">
        <v>1.2240277060430294</v>
      </c>
      <c r="M27" s="844">
        <v>1.25079435757328</v>
      </c>
      <c r="N27" s="847">
        <v>1.01</v>
      </c>
      <c r="O27" s="844">
        <v>1.0571596798644427</v>
      </c>
      <c r="P27" s="848" t="str">
        <f t="shared" si="3"/>
        <v>#REF!</v>
      </c>
      <c r="Q27" s="810"/>
      <c r="R27" s="810"/>
      <c r="S27" s="810"/>
      <c r="T27" s="810"/>
      <c r="U27" s="810"/>
      <c r="V27" s="810"/>
      <c r="W27" s="810"/>
      <c r="X27" s="810"/>
      <c r="Y27" s="810"/>
      <c r="Z27" s="810"/>
    </row>
    <row r="28">
      <c r="A28" s="849" t="s">
        <v>38447</v>
      </c>
      <c r="B28" s="850">
        <v>33.0</v>
      </c>
      <c r="C28" s="851">
        <v>1.5513058877107246</v>
      </c>
      <c r="D28" s="852">
        <v>0.17655464364745466</v>
      </c>
      <c r="E28" s="852">
        <v>0.02365026388789812</v>
      </c>
      <c r="F28" s="851">
        <f t="shared" si="1"/>
        <v>1.369908153</v>
      </c>
      <c r="G28" s="852">
        <v>0.03290002058829303</v>
      </c>
      <c r="H28" s="851">
        <f t="shared" si="2"/>
        <v>1.416511408</v>
      </c>
      <c r="I28" s="853">
        <v>0.6605497248979673</v>
      </c>
      <c r="J28" s="852">
        <v>0.5524383754678915</v>
      </c>
      <c r="K28" s="852">
        <v>0.9109004246955699</v>
      </c>
      <c r="L28" s="851">
        <v>1.3051434552841432</v>
      </c>
      <c r="M28" s="851">
        <v>1.5032034061311</v>
      </c>
      <c r="N28" s="854">
        <v>0.75</v>
      </c>
      <c r="O28" s="851">
        <v>0.9750638036621639</v>
      </c>
      <c r="P28" s="855" t="str">
        <f t="shared" si="3"/>
        <v>#REF!</v>
      </c>
      <c r="Q28" s="810"/>
      <c r="R28" s="810"/>
      <c r="S28" s="810"/>
      <c r="T28" s="810"/>
      <c r="U28" s="810"/>
      <c r="V28" s="810"/>
      <c r="W28" s="810"/>
      <c r="X28" s="810"/>
      <c r="Y28" s="810"/>
      <c r="Z28" s="810"/>
    </row>
    <row r="29">
      <c r="A29" s="849" t="s">
        <v>38448</v>
      </c>
      <c r="B29" s="850">
        <v>138.0</v>
      </c>
      <c r="C29" s="851">
        <v>1.2012527647557136</v>
      </c>
      <c r="D29" s="852">
        <v>0.18815296717148403</v>
      </c>
      <c r="E29" s="852">
        <v>0.06290651967255027</v>
      </c>
      <c r="F29" s="851">
        <f t="shared" si="1"/>
        <v>1.052701133</v>
      </c>
      <c r="G29" s="852">
        <v>0.056857387672521964</v>
      </c>
      <c r="H29" s="851">
        <f t="shared" si="2"/>
        <v>1.116163261</v>
      </c>
      <c r="I29" s="853">
        <v>0.5030761314415528</v>
      </c>
      <c r="J29" s="852">
        <v>0.449375866701406</v>
      </c>
      <c r="K29" s="852">
        <v>0.25372538724431853</v>
      </c>
      <c r="L29" s="851">
        <v>0.9606603035174501</v>
      </c>
      <c r="M29" s="851">
        <v>1.070921529276746</v>
      </c>
      <c r="N29" s="854">
        <v>0.86</v>
      </c>
      <c r="O29" s="851">
        <v>1.051017267647953</v>
      </c>
      <c r="P29" s="855" t="str">
        <f t="shared" si="3"/>
        <v>#REF!</v>
      </c>
      <c r="Q29" s="810"/>
      <c r="R29" s="810"/>
      <c r="S29" s="810"/>
      <c r="T29" s="810"/>
      <c r="U29" s="810"/>
      <c r="V29" s="810"/>
      <c r="W29" s="810"/>
      <c r="X29" s="810"/>
      <c r="Y29" s="810"/>
      <c r="Z29" s="810"/>
    </row>
    <row r="30">
      <c r="A30" s="849" t="s">
        <v>38449</v>
      </c>
      <c r="B30" s="850">
        <v>63.0</v>
      </c>
      <c r="C30" s="851">
        <v>1.4871300694613425</v>
      </c>
      <c r="D30" s="852">
        <v>0.19174447188057428</v>
      </c>
      <c r="E30" s="852">
        <v>0.04094171985804849</v>
      </c>
      <c r="F30" s="851">
        <f t="shared" si="1"/>
        <v>1.300156678</v>
      </c>
      <c r="G30" s="852">
        <v>0.04117520996342569</v>
      </c>
      <c r="H30" s="851">
        <f t="shared" si="2"/>
        <v>1.355989844</v>
      </c>
      <c r="I30" s="853">
        <v>0.7024869327703446</v>
      </c>
      <c r="J30" s="852">
        <v>0.5941038876075868</v>
      </c>
      <c r="K30" s="852">
        <v>0.77434468390971</v>
      </c>
      <c r="L30" s="851">
        <v>1.34449825920508</v>
      </c>
      <c r="M30" s="851">
        <v>1.1594182467938388</v>
      </c>
      <c r="N30" s="854">
        <v>1.14</v>
      </c>
      <c r="O30" s="851">
        <v>1.0650034437346438</v>
      </c>
      <c r="P30" s="855" t="str">
        <f t="shared" si="3"/>
        <v>#REF!</v>
      </c>
      <c r="Q30" s="810"/>
      <c r="R30" s="810"/>
      <c r="S30" s="810"/>
      <c r="T30" s="810"/>
      <c r="U30" s="810"/>
      <c r="V30" s="810"/>
      <c r="W30" s="810"/>
      <c r="X30" s="810"/>
      <c r="Y30" s="810"/>
      <c r="Z30" s="810"/>
    </row>
    <row r="31">
      <c r="A31" s="849" t="s">
        <v>38450</v>
      </c>
      <c r="B31" s="850">
        <v>15.0</v>
      </c>
      <c r="C31" s="851">
        <v>1.3632136186935628</v>
      </c>
      <c r="D31" s="852">
        <v>0.19969640536769256</v>
      </c>
      <c r="E31" s="852">
        <v>0.21259763765231698</v>
      </c>
      <c r="F31" s="851">
        <f t="shared" si="1"/>
        <v>1.185637899</v>
      </c>
      <c r="G31" s="852">
        <v>0.028245545382027257</v>
      </c>
      <c r="H31" s="851">
        <f t="shared" si="2"/>
        <v>1.220100297</v>
      </c>
      <c r="I31" s="853">
        <v>0.34600452314885843</v>
      </c>
      <c r="J31" s="852">
        <v>0.3152808031931311</v>
      </c>
      <c r="K31" s="852">
        <v>0.11083736572099039</v>
      </c>
      <c r="L31" s="851">
        <v>0.7514861871220232</v>
      </c>
      <c r="M31" s="851">
        <v>0.9457267947342817</v>
      </c>
      <c r="N31" s="854">
        <v>0.81</v>
      </c>
      <c r="O31" s="851">
        <v>1.0383563104796276</v>
      </c>
      <c r="P31" s="855" t="str">
        <f t="shared" si="3"/>
        <v>#REF!</v>
      </c>
      <c r="Q31" s="810"/>
      <c r="R31" s="810"/>
      <c r="S31" s="810"/>
      <c r="T31" s="810"/>
      <c r="U31" s="810"/>
      <c r="V31" s="810"/>
      <c r="W31" s="810"/>
      <c r="X31" s="810"/>
      <c r="Y31" s="810"/>
      <c r="Z31" s="810"/>
    </row>
    <row r="32">
      <c r="A32" s="849" t="s">
        <v>38451</v>
      </c>
      <c r="B32" s="850">
        <v>174.0</v>
      </c>
      <c r="C32" s="851">
        <v>1.2574315521617736</v>
      </c>
      <c r="D32" s="852">
        <v>0.2008332844302546</v>
      </c>
      <c r="E32" s="852">
        <v>0.04603859457651496</v>
      </c>
      <c r="F32" s="851">
        <f t="shared" si="1"/>
        <v>1.092824849</v>
      </c>
      <c r="G32" s="852">
        <v>0.038114747359291025</v>
      </c>
      <c r="H32" s="851">
        <f t="shared" si="2"/>
        <v>1.136128084</v>
      </c>
      <c r="I32" s="853">
        <v>0.5789642939989437</v>
      </c>
      <c r="J32" s="852">
        <v>0.569768773700139</v>
      </c>
      <c r="K32" s="852">
        <v>2.3177756312329634</v>
      </c>
      <c r="L32" s="851">
        <v>1.0743174544514105</v>
      </c>
      <c r="M32" s="851">
        <v>1.076710639640376</v>
      </c>
      <c r="N32" s="854">
        <v>0.81</v>
      </c>
      <c r="O32" s="851">
        <v>1.1279889221313977</v>
      </c>
      <c r="P32" s="855" t="str">
        <f t="shared" si="3"/>
        <v>#REF!</v>
      </c>
      <c r="Q32" s="810"/>
      <c r="R32" s="810"/>
      <c r="S32" s="810"/>
      <c r="T32" s="810"/>
      <c r="U32" s="810"/>
      <c r="V32" s="810"/>
      <c r="W32" s="810"/>
      <c r="X32" s="810"/>
      <c r="Y32" s="810"/>
      <c r="Z32" s="810"/>
    </row>
    <row r="33">
      <c r="A33" s="849" t="s">
        <v>38452</v>
      </c>
      <c r="B33" s="850">
        <v>116.0</v>
      </c>
      <c r="C33" s="851">
        <v>1.224816899432044</v>
      </c>
      <c r="D33" s="852">
        <v>0.20842493500465975</v>
      </c>
      <c r="E33" s="852">
        <v>0.10366582315102471</v>
      </c>
      <c r="F33" s="851">
        <f t="shared" si="1"/>
        <v>1.059238165</v>
      </c>
      <c r="G33" s="852">
        <v>0.03162015188543964</v>
      </c>
      <c r="H33" s="851">
        <f t="shared" si="2"/>
        <v>1.09382508</v>
      </c>
      <c r="I33" s="853">
        <v>0.4224065663042139</v>
      </c>
      <c r="J33" s="852">
        <v>0.32362033573649224</v>
      </c>
      <c r="K33" s="852">
        <v>0.16912160618518354</v>
      </c>
      <c r="L33" s="851">
        <v>1.0121653053546547</v>
      </c>
      <c r="M33" s="851">
        <v>1.0985210616277283</v>
      </c>
      <c r="N33" s="854">
        <v>0.96</v>
      </c>
      <c r="O33" s="851">
        <v>1.1782642967693542</v>
      </c>
      <c r="P33" s="855" t="str">
        <f t="shared" si="3"/>
        <v>#REF!</v>
      </c>
      <c r="Q33" s="810"/>
      <c r="R33" s="810"/>
      <c r="S33" s="810"/>
      <c r="T33" s="810"/>
      <c r="U33" s="810"/>
      <c r="V33" s="810"/>
      <c r="W33" s="810"/>
      <c r="X33" s="810"/>
      <c r="Y33" s="810"/>
      <c r="Z33" s="810"/>
    </row>
    <row r="34">
      <c r="A34" s="849" t="s">
        <v>38453</v>
      </c>
      <c r="B34" s="850">
        <v>15.0</v>
      </c>
      <c r="C34" s="851">
        <v>1.7891723510222548</v>
      </c>
      <c r="D34" s="852">
        <v>0.21213527708387048</v>
      </c>
      <c r="E34" s="852">
        <v>0.13391716018934746</v>
      </c>
      <c r="F34" s="851">
        <f t="shared" si="1"/>
        <v>1.543585627</v>
      </c>
      <c r="G34" s="852">
        <v>0.014968542835664624</v>
      </c>
      <c r="H34" s="851">
        <f t="shared" si="2"/>
        <v>1.567041962</v>
      </c>
      <c r="I34" s="853">
        <v>0.4708175159353282</v>
      </c>
      <c r="J34" s="852">
        <v>0.3754618371665436</v>
      </c>
      <c r="K34" s="852">
        <v>0.33819679970227606</v>
      </c>
      <c r="L34" s="851">
        <v>0.9672791777625668</v>
      </c>
      <c r="M34" s="851">
        <v>1.1509711433254448</v>
      </c>
      <c r="N34" s="854">
        <v>1.43</v>
      </c>
      <c r="O34" s="851">
        <v>1.4189632481805372</v>
      </c>
      <c r="P34" s="855" t="str">
        <f t="shared" si="3"/>
        <v>#REF!</v>
      </c>
      <c r="Q34" s="810"/>
      <c r="R34" s="810"/>
      <c r="S34" s="810"/>
      <c r="T34" s="810"/>
      <c r="U34" s="810"/>
      <c r="V34" s="810"/>
      <c r="W34" s="810"/>
      <c r="X34" s="810"/>
      <c r="Y34" s="810"/>
      <c r="Z34" s="810"/>
    </row>
    <row r="35">
      <c r="A35" s="849" t="s">
        <v>38454</v>
      </c>
      <c r="B35" s="850">
        <v>23.0</v>
      </c>
      <c r="C35" s="851">
        <v>1.0382284747790869</v>
      </c>
      <c r="D35" s="852">
        <v>0.21236570626489795</v>
      </c>
      <c r="E35" s="852">
        <v>0.029800285457986134</v>
      </c>
      <c r="F35" s="851">
        <f t="shared" si="1"/>
        <v>0.8955848439</v>
      </c>
      <c r="G35" s="852">
        <v>0.046739475865868324</v>
      </c>
      <c r="H35" s="851">
        <f t="shared" si="2"/>
        <v>0.9394964138</v>
      </c>
      <c r="I35" s="853">
        <v>0.5643234779391457</v>
      </c>
      <c r="J35" s="852">
        <v>0.5784443873074648</v>
      </c>
      <c r="K35" s="852">
        <v>0.4871807435997979</v>
      </c>
      <c r="L35" s="851">
        <v>1.1438090814341535</v>
      </c>
      <c r="M35" s="851">
        <v>1.2484828302966493</v>
      </c>
      <c r="N35" s="854">
        <v>0.89</v>
      </c>
      <c r="O35" s="851">
        <v>0.7021414621539441</v>
      </c>
      <c r="P35" s="855" t="str">
        <f t="shared" si="3"/>
        <v>#REF!</v>
      </c>
      <c r="Q35" s="810"/>
      <c r="R35" s="810"/>
      <c r="S35" s="810"/>
      <c r="T35" s="810"/>
      <c r="U35" s="810"/>
      <c r="V35" s="810"/>
      <c r="W35" s="810"/>
      <c r="X35" s="810"/>
      <c r="Y35" s="810"/>
      <c r="Z35" s="810"/>
    </row>
    <row r="36">
      <c r="A36" s="849" t="s">
        <v>38455</v>
      </c>
      <c r="B36" s="850">
        <v>51.0</v>
      </c>
      <c r="C36" s="851">
        <v>0.8033013628246957</v>
      </c>
      <c r="D36" s="852">
        <v>0.21465948670887489</v>
      </c>
      <c r="E36" s="852">
        <v>0.109240658776035</v>
      </c>
      <c r="F36" s="851">
        <f t="shared" si="1"/>
        <v>0.6919079145</v>
      </c>
      <c r="G36" s="852">
        <v>0.05158141832694316</v>
      </c>
      <c r="H36" s="851">
        <f t="shared" si="2"/>
        <v>0.7295385475</v>
      </c>
      <c r="I36" s="853">
        <v>0.3527091878622686</v>
      </c>
      <c r="J36" s="852">
        <v>0.2766718330726164</v>
      </c>
      <c r="K36" s="852">
        <v>0.25431028874335815</v>
      </c>
      <c r="L36" s="851">
        <v>0.6511506597940658</v>
      </c>
      <c r="M36" s="851">
        <v>0.5890715247484962</v>
      </c>
      <c r="N36" s="854">
        <v>0.58</v>
      </c>
      <c r="O36" s="851">
        <v>0.7847772659651794</v>
      </c>
      <c r="P36" s="855" t="str">
        <f t="shared" si="3"/>
        <v>#REF!</v>
      </c>
      <c r="Q36" s="810"/>
      <c r="R36" s="810"/>
      <c r="S36" s="810"/>
      <c r="T36" s="810"/>
      <c r="U36" s="810"/>
      <c r="V36" s="810"/>
      <c r="W36" s="810"/>
      <c r="X36" s="810"/>
      <c r="Y36" s="810"/>
      <c r="Z36" s="810"/>
    </row>
    <row r="37">
      <c r="A37" s="842" t="s">
        <v>38456</v>
      </c>
      <c r="B37" s="843">
        <v>68.0</v>
      </c>
      <c r="C37" s="844">
        <v>1.2900534643158847</v>
      </c>
      <c r="D37" s="845">
        <v>0.21544931089430228</v>
      </c>
      <c r="E37" s="845">
        <v>0.04147068722180357</v>
      </c>
      <c r="F37" s="844">
        <f t="shared" si="1"/>
        <v>1.110595662</v>
      </c>
      <c r="G37" s="845">
        <v>0.08907141033422034</v>
      </c>
      <c r="H37" s="844">
        <f t="shared" si="2"/>
        <v>1.219190697</v>
      </c>
      <c r="I37" s="846">
        <v>0.6658049675950692</v>
      </c>
      <c r="J37" s="845">
        <v>0.7005623950119386</v>
      </c>
      <c r="K37" s="845">
        <v>0.5271134029983492</v>
      </c>
      <c r="L37" s="844">
        <v>1.1094422701693822</v>
      </c>
      <c r="M37" s="844">
        <v>1.0865722025981523</v>
      </c>
      <c r="N37" s="847">
        <v>0.82</v>
      </c>
      <c r="O37" s="844">
        <v>1.1279972137776122</v>
      </c>
      <c r="P37" s="848" t="str">
        <f t="shared" si="3"/>
        <v>#REF!</v>
      </c>
      <c r="Q37" s="810"/>
      <c r="R37" s="810"/>
      <c r="S37" s="810"/>
      <c r="T37" s="810"/>
      <c r="U37" s="810"/>
      <c r="V37" s="810"/>
      <c r="W37" s="810"/>
      <c r="X37" s="810"/>
      <c r="Y37" s="810"/>
      <c r="Z37" s="810"/>
    </row>
    <row r="38">
      <c r="A38" s="849" t="s">
        <v>38457</v>
      </c>
      <c r="B38" s="850">
        <v>19.0</v>
      </c>
      <c r="C38" s="851">
        <v>1.45217888188087</v>
      </c>
      <c r="D38" s="852">
        <v>0.21708836405146484</v>
      </c>
      <c r="E38" s="852">
        <v>0.022762442840657152</v>
      </c>
      <c r="F38" s="851">
        <f t="shared" si="1"/>
        <v>1.24884637</v>
      </c>
      <c r="G38" s="852">
        <v>0.12601748160559528</v>
      </c>
      <c r="H38" s="851">
        <f t="shared" si="2"/>
        <v>1.428914588</v>
      </c>
      <c r="I38" s="853">
        <v>0.5502255669727574</v>
      </c>
      <c r="J38" s="852">
        <v>0.6195673940499934</v>
      </c>
      <c r="K38" s="852" t="s">
        <v>26809</v>
      </c>
      <c r="L38" s="851">
        <v>0.967284291647994</v>
      </c>
      <c r="M38" s="851">
        <v>1.0486643640232785</v>
      </c>
      <c r="N38" s="854">
        <v>0.56</v>
      </c>
      <c r="O38" s="851">
        <v>0.819710873327334</v>
      </c>
      <c r="P38" s="855" t="str">
        <f t="shared" si="3"/>
        <v>#REF!</v>
      </c>
      <c r="Q38" s="810"/>
      <c r="R38" s="810"/>
      <c r="S38" s="810"/>
      <c r="T38" s="810"/>
      <c r="U38" s="810"/>
      <c r="V38" s="810"/>
      <c r="W38" s="810"/>
      <c r="X38" s="810"/>
      <c r="Y38" s="810"/>
      <c r="Z38" s="810"/>
    </row>
    <row r="39">
      <c r="A39" s="849" t="s">
        <v>38458</v>
      </c>
      <c r="B39" s="850">
        <v>110.0</v>
      </c>
      <c r="C39" s="851">
        <v>1.5896686619511227</v>
      </c>
      <c r="D39" s="852">
        <v>0.2251789711931941</v>
      </c>
      <c r="E39" s="852">
        <v>0.04468854824762538</v>
      </c>
      <c r="F39" s="851">
        <f t="shared" si="1"/>
        <v>1.359988118</v>
      </c>
      <c r="G39" s="852">
        <v>0.05072174941867486</v>
      </c>
      <c r="H39" s="851">
        <f t="shared" si="2"/>
        <v>1.43265488</v>
      </c>
      <c r="I39" s="853">
        <v>0.5944028755049212</v>
      </c>
      <c r="J39" s="852">
        <v>0.5855485943663449</v>
      </c>
      <c r="K39" s="852">
        <v>0.13952392240432268</v>
      </c>
      <c r="L39" s="851">
        <v>1.1823979253907428</v>
      </c>
      <c r="M39" s="851">
        <v>1.307118859086069</v>
      </c>
      <c r="N39" s="854">
        <v>1.0</v>
      </c>
      <c r="O39" s="851">
        <v>1.194327330306878</v>
      </c>
      <c r="P39" s="855" t="str">
        <f t="shared" si="3"/>
        <v>#REF!</v>
      </c>
      <c r="Q39" s="810"/>
      <c r="R39" s="810"/>
      <c r="S39" s="810"/>
      <c r="T39" s="810"/>
      <c r="U39" s="810"/>
      <c r="V39" s="810"/>
      <c r="W39" s="810"/>
      <c r="X39" s="810"/>
      <c r="Y39" s="810"/>
      <c r="Z39" s="810"/>
    </row>
    <row r="40">
      <c r="A40" s="849" t="s">
        <v>38459</v>
      </c>
      <c r="B40" s="850">
        <v>23.0</v>
      </c>
      <c r="C40" s="851">
        <v>1.0129742331996445</v>
      </c>
      <c r="D40" s="852">
        <v>0.22909687972770462</v>
      </c>
      <c r="E40" s="852">
        <v>0.09393784176761753</v>
      </c>
      <c r="F40" s="851">
        <f t="shared" si="1"/>
        <v>0.8644432882</v>
      </c>
      <c r="G40" s="852">
        <v>0.018550558673249666</v>
      </c>
      <c r="H40" s="851">
        <f t="shared" si="2"/>
        <v>0.8807822918</v>
      </c>
      <c r="I40" s="853">
        <v>0.5870582585990226</v>
      </c>
      <c r="J40" s="852">
        <v>0.4987467644298934</v>
      </c>
      <c r="K40" s="852">
        <v>0.33799560403248413</v>
      </c>
      <c r="L40" s="851">
        <v>1.0479649012287298</v>
      </c>
      <c r="M40" s="851">
        <v>0.9188825577761112</v>
      </c>
      <c r="N40" s="854">
        <v>0.67</v>
      </c>
      <c r="O40" s="851">
        <v>0.7205248116424126</v>
      </c>
      <c r="P40" s="855" t="str">
        <f t="shared" si="3"/>
        <v>#REF!</v>
      </c>
      <c r="Q40" s="810"/>
      <c r="R40" s="810"/>
      <c r="S40" s="810"/>
      <c r="T40" s="810"/>
      <c r="U40" s="810"/>
      <c r="V40" s="810"/>
      <c r="W40" s="810"/>
      <c r="X40" s="810"/>
      <c r="Y40" s="810"/>
      <c r="Z40" s="810"/>
    </row>
    <row r="41">
      <c r="A41" s="842" t="s">
        <v>38460</v>
      </c>
      <c r="B41" s="843">
        <v>131.0</v>
      </c>
      <c r="C41" s="844">
        <v>1.1603652760592904</v>
      </c>
      <c r="D41" s="845">
        <v>0.23605438336428305</v>
      </c>
      <c r="E41" s="845">
        <v>0.06742278274865686</v>
      </c>
      <c r="F41" s="844">
        <f t="shared" si="1"/>
        <v>0.9858326817</v>
      </c>
      <c r="G41" s="845">
        <v>0.08084912929595559</v>
      </c>
      <c r="H41" s="844">
        <f t="shared" si="2"/>
        <v>1.072547188</v>
      </c>
      <c r="I41" s="846">
        <v>0.5635984031690817</v>
      </c>
      <c r="J41" s="845">
        <v>0.47792508451312243</v>
      </c>
      <c r="K41" s="845">
        <v>0.27585814850670065</v>
      </c>
      <c r="L41" s="844">
        <v>1.0266507370055664</v>
      </c>
      <c r="M41" s="844">
        <v>0.9462382149452834</v>
      </c>
      <c r="N41" s="847">
        <v>0.74</v>
      </c>
      <c r="O41" s="844">
        <v>0.9498469507729029</v>
      </c>
      <c r="P41" s="848" t="str">
        <f t="shared" si="3"/>
        <v>#REF!</v>
      </c>
      <c r="Q41" s="810"/>
      <c r="R41" s="810"/>
      <c r="S41" s="810"/>
      <c r="T41" s="810"/>
      <c r="U41" s="810"/>
      <c r="V41" s="810"/>
      <c r="W41" s="810"/>
      <c r="X41" s="810"/>
      <c r="Y41" s="810"/>
      <c r="Z41" s="810"/>
    </row>
    <row r="42">
      <c r="A42" s="849" t="s">
        <v>23613</v>
      </c>
      <c r="B42" s="850">
        <v>15.0</v>
      </c>
      <c r="C42" s="851">
        <v>2.0004565028386407</v>
      </c>
      <c r="D42" s="852">
        <v>0.24055401059949102</v>
      </c>
      <c r="E42" s="852">
        <v>0.09833050902520135</v>
      </c>
      <c r="F42" s="851">
        <f t="shared" si="1"/>
        <v>1.694705372</v>
      </c>
      <c r="G42" s="852">
        <v>0.028404796925753654</v>
      </c>
      <c r="H42" s="851">
        <f t="shared" si="2"/>
        <v>1.744250452</v>
      </c>
      <c r="I42" s="853">
        <v>0.6063488165394005</v>
      </c>
      <c r="J42" s="852">
        <v>0.44059235658259677</v>
      </c>
      <c r="K42" s="852">
        <v>0.07695213478107094</v>
      </c>
      <c r="L42" s="851">
        <v>1.1252643536813445</v>
      </c>
      <c r="M42" s="851">
        <v>1.426322641272642</v>
      </c>
      <c r="N42" s="854">
        <v>0.61</v>
      </c>
      <c r="O42" s="851">
        <v>0.8622490848413021</v>
      </c>
      <c r="P42" s="855" t="str">
        <f t="shared" si="3"/>
        <v>#REF!</v>
      </c>
      <c r="Q42" s="810"/>
      <c r="R42" s="810"/>
      <c r="S42" s="810"/>
      <c r="T42" s="810"/>
      <c r="U42" s="810"/>
      <c r="V42" s="810"/>
      <c r="W42" s="810"/>
      <c r="X42" s="810"/>
      <c r="Y42" s="810"/>
      <c r="Z42" s="810"/>
    </row>
    <row r="43">
      <c r="A43" s="842" t="s">
        <v>38461</v>
      </c>
      <c r="B43" s="843">
        <v>62.0</v>
      </c>
      <c r="C43" s="844">
        <v>1.0153454106826958</v>
      </c>
      <c r="D43" s="845">
        <v>0.25536486314909534</v>
      </c>
      <c r="E43" s="845">
        <v>0.05421100591235166</v>
      </c>
      <c r="F43" s="844">
        <f t="shared" si="1"/>
        <v>0.8521403775</v>
      </c>
      <c r="G43" s="845">
        <v>0.008113707809271745</v>
      </c>
      <c r="H43" s="844">
        <f t="shared" si="2"/>
        <v>0.8591109528</v>
      </c>
      <c r="I43" s="846">
        <v>0.6156615678292375</v>
      </c>
      <c r="J43" s="845">
        <v>0.48087346767746236</v>
      </c>
      <c r="K43" s="845">
        <v>0.13314926778396013</v>
      </c>
      <c r="L43" s="844">
        <v>0.9601751957992237</v>
      </c>
      <c r="M43" s="844">
        <v>1.0485101305295534</v>
      </c>
      <c r="N43" s="847">
        <v>0.82</v>
      </c>
      <c r="O43" s="844">
        <v>1.086182979964372</v>
      </c>
      <c r="P43" s="848" t="str">
        <f t="shared" si="3"/>
        <v>#REF!</v>
      </c>
      <c r="Q43" s="810"/>
      <c r="R43" s="810"/>
      <c r="S43" s="810"/>
      <c r="T43" s="810"/>
      <c r="U43" s="810"/>
      <c r="V43" s="810"/>
      <c r="W43" s="810"/>
      <c r="X43" s="810"/>
      <c r="Y43" s="810"/>
      <c r="Z43" s="810"/>
    </row>
    <row r="44">
      <c r="A44" s="842" t="s">
        <v>38462</v>
      </c>
      <c r="B44" s="843">
        <v>77.0</v>
      </c>
      <c r="C44" s="844">
        <v>1.414182280259186</v>
      </c>
      <c r="D44" s="845">
        <v>0.2605712069801203</v>
      </c>
      <c r="E44" s="845">
        <v>0.08602766440767734</v>
      </c>
      <c r="F44" s="844">
        <f t="shared" si="1"/>
        <v>1.182992034</v>
      </c>
      <c r="G44" s="845">
        <v>0.037667223768941376</v>
      </c>
      <c r="H44" s="844">
        <f t="shared" si="2"/>
        <v>1.229296209</v>
      </c>
      <c r="I44" s="846">
        <v>0.47207385668758833</v>
      </c>
      <c r="J44" s="845">
        <v>0.3755554495377183</v>
      </c>
      <c r="K44" s="845">
        <v>0.19186738783955246</v>
      </c>
      <c r="L44" s="844">
        <v>1.09222603297197</v>
      </c>
      <c r="M44" s="844">
        <v>1.078522159887352</v>
      </c>
      <c r="N44" s="847">
        <v>0.91</v>
      </c>
      <c r="O44" s="844">
        <v>1.1104126718043248</v>
      </c>
      <c r="P44" s="848" t="str">
        <f t="shared" si="3"/>
        <v>#REF!</v>
      </c>
      <c r="Q44" s="810"/>
      <c r="R44" s="810"/>
      <c r="S44" s="810"/>
      <c r="T44" s="810"/>
      <c r="U44" s="810"/>
      <c r="V44" s="810"/>
      <c r="W44" s="810"/>
      <c r="X44" s="810"/>
      <c r="Y44" s="810"/>
      <c r="Z44" s="810"/>
    </row>
    <row r="45">
      <c r="A45" s="856" t="s">
        <v>38463</v>
      </c>
      <c r="B45" s="857">
        <v>5649.0</v>
      </c>
      <c r="C45" s="858">
        <v>1.292817025743946</v>
      </c>
      <c r="D45" s="859">
        <v>0.2639886783983181</v>
      </c>
      <c r="E45" s="859">
        <v>0.06384678049524473</v>
      </c>
      <c r="F45" s="858">
        <f t="shared" si="1"/>
        <v>1.079153747</v>
      </c>
      <c r="G45" s="859">
        <v>0.037516689774389836</v>
      </c>
      <c r="H45" s="858">
        <f t="shared" si="2"/>
        <v>1.12121814</v>
      </c>
      <c r="I45" s="860">
        <v>0.5575213805701925</v>
      </c>
      <c r="J45" s="859">
        <v>0.47976813197581314</v>
      </c>
      <c r="K45" s="859">
        <v>0.18503610455341124</v>
      </c>
      <c r="L45" s="861">
        <v>0.9985589472694634</v>
      </c>
      <c r="M45" s="861">
        <v>1.0124816766890556</v>
      </c>
      <c r="N45" s="862">
        <v>0.86</v>
      </c>
      <c r="O45" s="858">
        <v>1.0402068170288452</v>
      </c>
      <c r="P45" s="863" t="str">
        <f t="shared" si="3"/>
        <v>#REF!</v>
      </c>
      <c r="Q45" s="810"/>
      <c r="R45" s="810"/>
      <c r="S45" s="810"/>
      <c r="T45" s="810"/>
      <c r="U45" s="810"/>
      <c r="V45" s="810"/>
      <c r="W45" s="810"/>
      <c r="X45" s="810"/>
      <c r="Y45" s="810"/>
      <c r="Z45" s="810"/>
    </row>
    <row r="46">
      <c r="A46" s="842" t="s">
        <v>38464</v>
      </c>
      <c r="B46" s="843">
        <v>76.0</v>
      </c>
      <c r="C46" s="844">
        <v>1.2772947079305697</v>
      </c>
      <c r="D46" s="845">
        <v>0.274043320141152</v>
      </c>
      <c r="E46" s="845">
        <v>0.10749764638974661</v>
      </c>
      <c r="F46" s="844">
        <f t="shared" si="1"/>
        <v>1.059527403</v>
      </c>
      <c r="G46" s="845">
        <v>0.04996681928439253</v>
      </c>
      <c r="H46" s="844">
        <f t="shared" si="2"/>
        <v>1.11525305</v>
      </c>
      <c r="I46" s="846">
        <v>0.48818195945349135</v>
      </c>
      <c r="J46" s="845">
        <v>0.4232046909214356</v>
      </c>
      <c r="K46" s="845">
        <v>0.1159045625536897</v>
      </c>
      <c r="L46" s="844">
        <v>0.9890237899947718</v>
      </c>
      <c r="M46" s="844">
        <v>0.9648570942816654</v>
      </c>
      <c r="N46" s="847">
        <v>0.82</v>
      </c>
      <c r="O46" s="844">
        <v>0.997722954089115</v>
      </c>
      <c r="P46" s="848" t="str">
        <f t="shared" si="3"/>
        <v>#REF!</v>
      </c>
      <c r="Q46" s="810"/>
      <c r="R46" s="810"/>
      <c r="S46" s="810"/>
      <c r="T46" s="810"/>
      <c r="U46" s="810"/>
      <c r="V46" s="810"/>
      <c r="W46" s="810"/>
      <c r="X46" s="810"/>
      <c r="Y46" s="810"/>
      <c r="Z46" s="810"/>
    </row>
    <row r="47">
      <c r="A47" s="849" t="s">
        <v>38465</v>
      </c>
      <c r="B47" s="850">
        <v>4.0</v>
      </c>
      <c r="C47" s="851">
        <v>1.1078308621714459</v>
      </c>
      <c r="D47" s="852">
        <v>0.2745120514778946</v>
      </c>
      <c r="E47" s="852">
        <v>0.16567959676788763</v>
      </c>
      <c r="F47" s="851">
        <f t="shared" si="1"/>
        <v>0.9186877234</v>
      </c>
      <c r="G47" s="852">
        <v>0.014686917256493601</v>
      </c>
      <c r="H47" s="851">
        <f t="shared" si="2"/>
        <v>0.9323815339</v>
      </c>
      <c r="I47" s="853">
        <v>0.22719138715983178</v>
      </c>
      <c r="J47" s="852">
        <v>0.1634126909210618</v>
      </c>
      <c r="K47" s="852">
        <v>0.11810856266876285</v>
      </c>
      <c r="L47" s="851">
        <v>2.080151823033132</v>
      </c>
      <c r="M47" s="851">
        <v>1.8919831806779572</v>
      </c>
      <c r="N47" s="854">
        <v>0.74</v>
      </c>
      <c r="O47" s="851">
        <v>0.647608223077268</v>
      </c>
      <c r="P47" s="855" t="str">
        <f t="shared" si="3"/>
        <v>#REF!</v>
      </c>
      <c r="Q47" s="810"/>
      <c r="R47" s="810"/>
      <c r="S47" s="810"/>
      <c r="T47" s="810"/>
      <c r="U47" s="810"/>
      <c r="V47" s="810"/>
      <c r="W47" s="810"/>
      <c r="X47" s="810"/>
      <c r="Y47" s="810"/>
      <c r="Z47" s="810"/>
    </row>
    <row r="48">
      <c r="A48" s="842" t="s">
        <v>38466</v>
      </c>
      <c r="B48" s="843">
        <v>164.0</v>
      </c>
      <c r="C48" s="844">
        <v>1.1709200204529924</v>
      </c>
      <c r="D48" s="845">
        <v>0.27473813403561204</v>
      </c>
      <c r="E48" s="845">
        <v>0.09426309087876697</v>
      </c>
      <c r="F48" s="844">
        <f t="shared" si="1"/>
        <v>0.9708689729</v>
      </c>
      <c r="G48" s="845">
        <v>0.048045201312521844</v>
      </c>
      <c r="H48" s="844">
        <f t="shared" si="2"/>
        <v>1.019868773</v>
      </c>
      <c r="I48" s="846">
        <v>0.5384231377505506</v>
      </c>
      <c r="J48" s="845">
        <v>0.4578249370970681</v>
      </c>
      <c r="K48" s="845">
        <v>0.188855823489921</v>
      </c>
      <c r="L48" s="844">
        <v>1.0001911265533716</v>
      </c>
      <c r="M48" s="844">
        <v>0.8948866171646999</v>
      </c>
      <c r="N48" s="847">
        <v>0.83</v>
      </c>
      <c r="O48" s="844">
        <v>0.9861131480384713</v>
      </c>
      <c r="P48" s="848" t="str">
        <f t="shared" si="3"/>
        <v>#REF!</v>
      </c>
      <c r="Q48" s="810"/>
      <c r="R48" s="810"/>
      <c r="S48" s="810"/>
      <c r="T48" s="810"/>
      <c r="U48" s="810"/>
      <c r="V48" s="810"/>
      <c r="W48" s="810"/>
      <c r="X48" s="810"/>
      <c r="Y48" s="810"/>
      <c r="Z48" s="810"/>
    </row>
    <row r="49">
      <c r="A49" s="849" t="s">
        <v>38467</v>
      </c>
      <c r="B49" s="850">
        <v>28.0</v>
      </c>
      <c r="C49" s="851">
        <v>1.3424843767995962</v>
      </c>
      <c r="D49" s="852">
        <v>0.2859510252270157</v>
      </c>
      <c r="E49" s="852">
        <v>0.14954162997616205</v>
      </c>
      <c r="F49" s="851">
        <f t="shared" si="1"/>
        <v>1.105413734</v>
      </c>
      <c r="G49" s="852">
        <v>0.08835427855270939</v>
      </c>
      <c r="H49" s="851">
        <f t="shared" si="2"/>
        <v>1.212547493</v>
      </c>
      <c r="I49" s="853">
        <v>0.39412504778160207</v>
      </c>
      <c r="J49" s="852">
        <v>0.3829895701117335</v>
      </c>
      <c r="K49" s="852">
        <v>1.0458573404445946</v>
      </c>
      <c r="L49" s="851">
        <v>1.2948714024708063</v>
      </c>
      <c r="M49" s="851">
        <v>1.2855689138232198</v>
      </c>
      <c r="N49" s="854">
        <v>0.78</v>
      </c>
      <c r="O49" s="851">
        <v>0.9825569980735249</v>
      </c>
      <c r="P49" s="855" t="str">
        <f t="shared" si="3"/>
        <v>#REF!</v>
      </c>
      <c r="Q49" s="810"/>
      <c r="R49" s="810"/>
      <c r="S49" s="810"/>
      <c r="T49" s="810"/>
      <c r="U49" s="810"/>
      <c r="V49" s="810"/>
      <c r="W49" s="810"/>
      <c r="X49" s="810"/>
      <c r="Y49" s="810"/>
      <c r="Z49" s="810"/>
    </row>
    <row r="50">
      <c r="A50" s="849" t="s">
        <v>38468</v>
      </c>
      <c r="B50" s="850">
        <v>92.0</v>
      </c>
      <c r="C50" s="851">
        <v>0.9175202331173958</v>
      </c>
      <c r="D50" s="852">
        <v>0.2885787002356797</v>
      </c>
      <c r="E50" s="852">
        <v>0.07736930904283144</v>
      </c>
      <c r="F50" s="851">
        <f t="shared" si="1"/>
        <v>0.7542704447</v>
      </c>
      <c r="G50" s="852">
        <v>0.0187364939663376</v>
      </c>
      <c r="H50" s="851">
        <f t="shared" si="2"/>
        <v>0.7686726756</v>
      </c>
      <c r="I50" s="853">
        <v>0.4866088668527545</v>
      </c>
      <c r="J50" s="852">
        <v>0.3422878341543323</v>
      </c>
      <c r="K50" s="852">
        <v>0.16971271691317583</v>
      </c>
      <c r="L50" s="851">
        <v>0.6114219919250382</v>
      </c>
      <c r="M50" s="851">
        <v>0.6968082479529737</v>
      </c>
      <c r="N50" s="854">
        <v>0.53</v>
      </c>
      <c r="O50" s="851">
        <v>0.632413845750539</v>
      </c>
      <c r="P50" s="855" t="str">
        <f t="shared" si="3"/>
        <v>#REF!</v>
      </c>
      <c r="Q50" s="810"/>
      <c r="R50" s="810"/>
      <c r="S50" s="810"/>
      <c r="T50" s="810"/>
      <c r="U50" s="810"/>
      <c r="V50" s="810"/>
      <c r="W50" s="810"/>
      <c r="X50" s="810"/>
      <c r="Y50" s="810"/>
      <c r="Z50" s="810"/>
    </row>
    <row r="51">
      <c r="A51" s="849" t="s">
        <v>17442</v>
      </c>
      <c r="B51" s="850">
        <v>45.0</v>
      </c>
      <c r="C51" s="851">
        <v>1.277280094823728</v>
      </c>
      <c r="D51" s="852">
        <v>0.28926208389857394</v>
      </c>
      <c r="E51" s="852">
        <v>0.16705684920922526</v>
      </c>
      <c r="F51" s="851">
        <f t="shared" si="1"/>
        <v>1.049577799</v>
      </c>
      <c r="G51" s="852">
        <v>0.044413028827024706</v>
      </c>
      <c r="H51" s="851">
        <f t="shared" si="2"/>
        <v>1.09835926</v>
      </c>
      <c r="I51" s="853">
        <v>0.4207823750753867</v>
      </c>
      <c r="J51" s="852">
        <v>0.2918991384716212</v>
      </c>
      <c r="K51" s="852">
        <v>0.5136947113031773</v>
      </c>
      <c r="L51" s="851">
        <v>0.9149343033203543</v>
      </c>
      <c r="M51" s="851">
        <v>1.0185312839204805</v>
      </c>
      <c r="N51" s="854">
        <v>0.97</v>
      </c>
      <c r="O51" s="851">
        <v>1.0871499229138373</v>
      </c>
      <c r="P51" s="855" t="str">
        <f t="shared" si="3"/>
        <v>#REF!</v>
      </c>
      <c r="Q51" s="810"/>
      <c r="R51" s="810"/>
      <c r="S51" s="810"/>
      <c r="T51" s="810"/>
      <c r="U51" s="810"/>
      <c r="V51" s="810"/>
      <c r="W51" s="810"/>
      <c r="X51" s="810"/>
      <c r="Y51" s="810"/>
      <c r="Z51" s="810"/>
    </row>
    <row r="52">
      <c r="A52" s="842" t="s">
        <v>38469</v>
      </c>
      <c r="B52" s="843">
        <v>18.0</v>
      </c>
      <c r="C52" s="844">
        <v>1.058265749430396</v>
      </c>
      <c r="D52" s="845">
        <v>0.2951015148745407</v>
      </c>
      <c r="E52" s="845">
        <v>0.16385816650202897</v>
      </c>
      <c r="F52" s="844">
        <f t="shared" si="1"/>
        <v>0.8664890713</v>
      </c>
      <c r="G52" s="845">
        <v>0.06284353900358093</v>
      </c>
      <c r="H52" s="844">
        <f t="shared" si="2"/>
        <v>0.924593819</v>
      </c>
      <c r="I52" s="846">
        <v>0.4789286178644412</v>
      </c>
      <c r="J52" s="845">
        <v>0.28046286808958065</v>
      </c>
      <c r="K52" s="845">
        <v>0.2696335861105363</v>
      </c>
      <c r="L52" s="844">
        <v>0.8992975404508528</v>
      </c>
      <c r="M52" s="844">
        <v>0.9572701695111526</v>
      </c>
      <c r="N52" s="847">
        <v>0.79</v>
      </c>
      <c r="O52" s="844">
        <v>0.715814769679072</v>
      </c>
      <c r="P52" s="848" t="str">
        <f t="shared" si="3"/>
        <v>#REF!</v>
      </c>
      <c r="Q52" s="810"/>
      <c r="R52" s="810"/>
      <c r="S52" s="810"/>
      <c r="T52" s="810"/>
      <c r="U52" s="810"/>
      <c r="V52" s="810"/>
      <c r="W52" s="810"/>
      <c r="X52" s="810"/>
      <c r="Y52" s="810"/>
      <c r="Z52" s="810"/>
    </row>
    <row r="53">
      <c r="A53" s="842" t="s">
        <v>38470</v>
      </c>
      <c r="B53" s="843">
        <v>49.0</v>
      </c>
      <c r="C53" s="844">
        <v>1.264396002860222</v>
      </c>
      <c r="D53" s="845">
        <v>0.30126277175061744</v>
      </c>
      <c r="E53" s="845">
        <v>0.10517907237686368</v>
      </c>
      <c r="F53" s="844">
        <f t="shared" si="1"/>
        <v>1.03136263</v>
      </c>
      <c r="G53" s="845">
        <v>0.04153892916080696</v>
      </c>
      <c r="H53" s="844">
        <f t="shared" si="2"/>
        <v>1.076061053</v>
      </c>
      <c r="I53" s="846">
        <v>0.4573409539780639</v>
      </c>
      <c r="J53" s="845">
        <v>0.3511164528388211</v>
      </c>
      <c r="K53" s="845">
        <v>0.19305242155651664</v>
      </c>
      <c r="L53" s="844">
        <v>1.149597054125011</v>
      </c>
      <c r="M53" s="844">
        <v>1.10359654774166</v>
      </c>
      <c r="N53" s="847">
        <v>0.87</v>
      </c>
      <c r="O53" s="844">
        <v>0.9796485993062782</v>
      </c>
      <c r="P53" s="848" t="str">
        <f t="shared" si="3"/>
        <v>#REF!</v>
      </c>
      <c r="Q53" s="810"/>
      <c r="R53" s="810"/>
      <c r="S53" s="810"/>
      <c r="T53" s="810"/>
      <c r="U53" s="810"/>
      <c r="V53" s="810"/>
      <c r="W53" s="810"/>
      <c r="X53" s="810"/>
      <c r="Y53" s="810"/>
      <c r="Z53" s="810"/>
    </row>
    <row r="54">
      <c r="A54" s="849" t="s">
        <v>38471</v>
      </c>
      <c r="B54" s="850">
        <v>21.0</v>
      </c>
      <c r="C54" s="851">
        <v>1.2277613538599423</v>
      </c>
      <c r="D54" s="852">
        <v>0.304889713977625</v>
      </c>
      <c r="E54" s="852">
        <v>0.10263886699732405</v>
      </c>
      <c r="F54" s="851">
        <f t="shared" si="1"/>
        <v>0.9992626713</v>
      </c>
      <c r="G54" s="852">
        <v>0.026949929115194532</v>
      </c>
      <c r="H54" s="851">
        <f t="shared" si="2"/>
        <v>1.026938594</v>
      </c>
      <c r="I54" s="853">
        <v>0.45212247290893337</v>
      </c>
      <c r="J54" s="852">
        <v>0.4376102850667002</v>
      </c>
      <c r="K54" s="852">
        <v>0.3798975221445363</v>
      </c>
      <c r="L54" s="851">
        <v>0.6717916195533868</v>
      </c>
      <c r="M54" s="851">
        <v>0.5926992839184214</v>
      </c>
      <c r="N54" s="854">
        <v>0.56</v>
      </c>
      <c r="O54" s="851">
        <v>0.8109091333395879</v>
      </c>
      <c r="P54" s="855" t="str">
        <f t="shared" si="3"/>
        <v>#REF!</v>
      </c>
      <c r="Q54" s="810"/>
      <c r="R54" s="810"/>
      <c r="S54" s="810"/>
      <c r="T54" s="810"/>
      <c r="U54" s="810"/>
      <c r="V54" s="810"/>
      <c r="W54" s="810"/>
      <c r="X54" s="810"/>
      <c r="Y54" s="810"/>
      <c r="Z54" s="810"/>
    </row>
    <row r="55">
      <c r="A55" s="842" t="s">
        <v>38472</v>
      </c>
      <c r="B55" s="843">
        <v>33.0</v>
      </c>
      <c r="C55" s="844">
        <v>1.1008288893194806</v>
      </c>
      <c r="D55" s="845">
        <v>0.3061042078714493</v>
      </c>
      <c r="E55" s="845">
        <v>0.07098235745829681</v>
      </c>
      <c r="F55" s="844">
        <f t="shared" si="1"/>
        <v>0.8952898879</v>
      </c>
      <c r="G55" s="845">
        <v>0.09904860589779241</v>
      </c>
      <c r="H55" s="844">
        <f t="shared" si="2"/>
        <v>0.9937160803</v>
      </c>
      <c r="I55" s="846">
        <v>0.5483166862101779</v>
      </c>
      <c r="J55" s="845">
        <v>0.41812601855058806</v>
      </c>
      <c r="K55" s="845">
        <v>0.17467699345638765</v>
      </c>
      <c r="L55" s="844">
        <v>1.1083755117525074</v>
      </c>
      <c r="M55" s="844">
        <v>1.3560146590000444</v>
      </c>
      <c r="N55" s="847">
        <v>1.07</v>
      </c>
      <c r="O55" s="844">
        <v>1.1033169078612295</v>
      </c>
      <c r="P55" s="848" t="str">
        <f t="shared" si="3"/>
        <v>#REF!</v>
      </c>
      <c r="Q55" s="810"/>
      <c r="R55" s="810"/>
      <c r="S55" s="810"/>
      <c r="T55" s="810"/>
      <c r="U55" s="810"/>
      <c r="V55" s="810"/>
      <c r="W55" s="810"/>
      <c r="X55" s="810"/>
      <c r="Y55" s="810"/>
      <c r="Z55" s="810"/>
    </row>
    <row r="56">
      <c r="A56" s="849" t="s">
        <v>38473</v>
      </c>
      <c r="B56" s="850">
        <v>70.0</v>
      </c>
      <c r="C56" s="851">
        <v>1.4103978688180479</v>
      </c>
      <c r="D56" s="852">
        <v>0.3077543721088449</v>
      </c>
      <c r="E56" s="852">
        <v>0.08544330611761185</v>
      </c>
      <c r="F56" s="851">
        <f t="shared" si="1"/>
        <v>1.14590493</v>
      </c>
      <c r="G56" s="852">
        <v>0.01723563580721726</v>
      </c>
      <c r="H56" s="851">
        <f t="shared" si="2"/>
        <v>1.166001711</v>
      </c>
      <c r="I56" s="853">
        <v>0.4749197130090601</v>
      </c>
      <c r="J56" s="852">
        <v>0.41147053391609606</v>
      </c>
      <c r="K56" s="852">
        <v>0.16308151930383236</v>
      </c>
      <c r="L56" s="851">
        <v>0.6510688399498351</v>
      </c>
      <c r="M56" s="851">
        <v>0.7518963813261236</v>
      </c>
      <c r="N56" s="854">
        <v>1.11</v>
      </c>
      <c r="O56" s="851">
        <v>1.332165894153193</v>
      </c>
      <c r="P56" s="855" t="str">
        <f t="shared" si="3"/>
        <v>#REF!</v>
      </c>
      <c r="Q56" s="810"/>
      <c r="R56" s="810"/>
      <c r="S56" s="810"/>
      <c r="T56" s="810"/>
      <c r="U56" s="810"/>
      <c r="V56" s="810"/>
      <c r="W56" s="810"/>
      <c r="X56" s="810"/>
      <c r="Y56" s="810"/>
      <c r="Z56" s="810"/>
    </row>
    <row r="57">
      <c r="A57" s="842" t="s">
        <v>38474</v>
      </c>
      <c r="B57" s="843">
        <v>43.0</v>
      </c>
      <c r="C57" s="844">
        <v>1.1967640138319908</v>
      </c>
      <c r="D57" s="845">
        <v>0.3159216597803674</v>
      </c>
      <c r="E57" s="845">
        <v>0.13296156731028333</v>
      </c>
      <c r="F57" s="844">
        <f t="shared" si="1"/>
        <v>0.9675188849</v>
      </c>
      <c r="G57" s="845">
        <v>0.049237983688661585</v>
      </c>
      <c r="H57" s="844">
        <f t="shared" si="2"/>
        <v>1.017624672</v>
      </c>
      <c r="I57" s="846">
        <v>0.42193835857454437</v>
      </c>
      <c r="J57" s="845">
        <v>0.3516684814395371</v>
      </c>
      <c r="K57" s="845">
        <v>0.1519539977388748</v>
      </c>
      <c r="L57" s="844">
        <v>0.810158783963093</v>
      </c>
      <c r="M57" s="844">
        <v>1.3250378765861548</v>
      </c>
      <c r="N57" s="847">
        <v>0.95</v>
      </c>
      <c r="O57" s="844">
        <v>0.9739625248634707</v>
      </c>
      <c r="P57" s="848" t="str">
        <f t="shared" si="3"/>
        <v>#REF!</v>
      </c>
      <c r="Q57" s="810"/>
      <c r="R57" s="810"/>
      <c r="S57" s="810"/>
      <c r="T57" s="810"/>
      <c r="U57" s="810"/>
      <c r="V57" s="810"/>
      <c r="W57" s="810"/>
      <c r="X57" s="810"/>
      <c r="Y57" s="810"/>
      <c r="Z57" s="810"/>
    </row>
    <row r="58">
      <c r="A58" s="842" t="s">
        <v>17457</v>
      </c>
      <c r="B58" s="843">
        <v>32.0</v>
      </c>
      <c r="C58" s="844">
        <v>1.5022071383659328</v>
      </c>
      <c r="D58" s="845">
        <v>0.3233573501665131</v>
      </c>
      <c r="E58" s="845">
        <v>0.1781463991245361</v>
      </c>
      <c r="F58" s="844">
        <f t="shared" si="1"/>
        <v>1.209002303</v>
      </c>
      <c r="G58" s="845">
        <v>0.09312754390018754</v>
      </c>
      <c r="H58" s="844">
        <f t="shared" si="2"/>
        <v>1.333155831</v>
      </c>
      <c r="I58" s="846">
        <v>0.41272083246912217</v>
      </c>
      <c r="J58" s="845">
        <v>0.3333038712963018</v>
      </c>
      <c r="K58" s="845">
        <v>0.7057621887664007</v>
      </c>
      <c r="L58" s="844">
        <v>0.7246149165867888</v>
      </c>
      <c r="M58" s="844">
        <v>0.6640558389827699</v>
      </c>
      <c r="N58" s="847">
        <v>1.33</v>
      </c>
      <c r="O58" s="844">
        <v>1.5855573182596445</v>
      </c>
      <c r="P58" s="848" t="str">
        <f t="shared" si="3"/>
        <v>#REF!</v>
      </c>
      <c r="Q58" s="810"/>
      <c r="R58" s="810"/>
      <c r="S58" s="810"/>
      <c r="T58" s="810"/>
      <c r="U58" s="810"/>
      <c r="V58" s="810"/>
      <c r="W58" s="810"/>
      <c r="X58" s="810"/>
      <c r="Y58" s="810"/>
      <c r="Z58" s="810"/>
    </row>
    <row r="59">
      <c r="A59" s="842" t="s">
        <v>38475</v>
      </c>
      <c r="B59" s="843">
        <v>80.0</v>
      </c>
      <c r="C59" s="844">
        <v>1.1713869322889647</v>
      </c>
      <c r="D59" s="845">
        <v>0.32563052145455873</v>
      </c>
      <c r="E59" s="845">
        <v>0.06470761995257893</v>
      </c>
      <c r="F59" s="844">
        <f t="shared" si="1"/>
        <v>0.9414606825</v>
      </c>
      <c r="G59" s="845">
        <v>0.052114354259030375</v>
      </c>
      <c r="H59" s="844">
        <f t="shared" si="2"/>
        <v>0.993221795</v>
      </c>
      <c r="I59" s="846">
        <v>0.6052685974116296</v>
      </c>
      <c r="J59" s="845">
        <v>0.47775300169020696</v>
      </c>
      <c r="K59" s="845">
        <v>0.26370038953388647</v>
      </c>
      <c r="L59" s="844">
        <v>1.0462592460215911</v>
      </c>
      <c r="M59" s="844">
        <v>0.9528662646292019</v>
      </c>
      <c r="N59" s="847">
        <v>0.94</v>
      </c>
      <c r="O59" s="844">
        <v>1.0576213168025859</v>
      </c>
      <c r="P59" s="848" t="str">
        <f t="shared" si="3"/>
        <v>#REF!</v>
      </c>
      <c r="Q59" s="810"/>
      <c r="R59" s="810"/>
      <c r="S59" s="810"/>
      <c r="T59" s="810"/>
      <c r="U59" s="810"/>
      <c r="V59" s="810"/>
      <c r="W59" s="810"/>
      <c r="X59" s="810"/>
      <c r="Y59" s="810"/>
      <c r="Z59" s="810"/>
    </row>
    <row r="60">
      <c r="A60" s="849" t="s">
        <v>38476</v>
      </c>
      <c r="B60" s="850">
        <v>101.0</v>
      </c>
      <c r="C60" s="851">
        <v>1.3751593545688363</v>
      </c>
      <c r="D60" s="852">
        <v>0.32604180548581313</v>
      </c>
      <c r="E60" s="852">
        <v>0.07068521438891592</v>
      </c>
      <c r="F60" s="851">
        <f t="shared" si="1"/>
        <v>1.104961599</v>
      </c>
      <c r="G60" s="852">
        <v>0.06906599724805292</v>
      </c>
      <c r="H60" s="851">
        <f t="shared" si="2"/>
        <v>1.186938704</v>
      </c>
      <c r="I60" s="853">
        <v>0.5323266583847177</v>
      </c>
      <c r="J60" s="852">
        <v>0.4689810733878538</v>
      </c>
      <c r="K60" s="852">
        <v>0.6757256150042742</v>
      </c>
      <c r="L60" s="851">
        <v>1.0668864769579942</v>
      </c>
      <c r="M60" s="851">
        <v>1.218654717118134</v>
      </c>
      <c r="N60" s="854">
        <v>0.83</v>
      </c>
      <c r="O60" s="851">
        <v>1.1791731857829815</v>
      </c>
      <c r="P60" s="855" t="str">
        <f t="shared" si="3"/>
        <v>#REF!</v>
      </c>
      <c r="Q60" s="810"/>
      <c r="R60" s="810"/>
      <c r="S60" s="810"/>
      <c r="T60" s="810"/>
      <c r="U60" s="810"/>
      <c r="V60" s="810"/>
      <c r="W60" s="810"/>
      <c r="X60" s="810"/>
      <c r="Y60" s="810"/>
      <c r="Z60" s="810"/>
    </row>
    <row r="61">
      <c r="A61" s="849" t="s">
        <v>38477</v>
      </c>
      <c r="B61" s="850">
        <v>110.0</v>
      </c>
      <c r="C61" s="851">
        <v>1.4497950169593838</v>
      </c>
      <c r="D61" s="852">
        <v>0.33280500111802513</v>
      </c>
      <c r="E61" s="852">
        <v>0.0344857737154456</v>
      </c>
      <c r="F61" s="851">
        <f t="shared" si="1"/>
        <v>1.160203797</v>
      </c>
      <c r="G61" s="852">
        <v>0.06902348253686368</v>
      </c>
      <c r="H61" s="851">
        <f t="shared" si="2"/>
        <v>1.246222408</v>
      </c>
      <c r="I61" s="853">
        <v>0.688274441827099</v>
      </c>
      <c r="J61" s="852">
        <v>0.578095571351251</v>
      </c>
      <c r="K61" s="852">
        <v>0.25732913893489373</v>
      </c>
      <c r="L61" s="851">
        <v>1.2140124334135816</v>
      </c>
      <c r="M61" s="851">
        <v>1.2017030374551592</v>
      </c>
      <c r="N61" s="854">
        <v>0.84</v>
      </c>
      <c r="O61" s="851">
        <v>0.9642484762875171</v>
      </c>
      <c r="P61" s="855" t="str">
        <f t="shared" si="3"/>
        <v>#REF!</v>
      </c>
      <c r="Q61" s="810"/>
      <c r="R61" s="810"/>
      <c r="S61" s="810"/>
      <c r="T61" s="810"/>
      <c r="U61" s="810"/>
      <c r="V61" s="810"/>
      <c r="W61" s="810"/>
      <c r="X61" s="810"/>
      <c r="Y61" s="810"/>
      <c r="Z61" s="810"/>
    </row>
    <row r="62">
      <c r="A62" s="849" t="s">
        <v>38478</v>
      </c>
      <c r="B62" s="850">
        <v>39.0</v>
      </c>
      <c r="C62" s="851">
        <v>1.1403135761675725</v>
      </c>
      <c r="D62" s="852">
        <v>0.33866680168767294</v>
      </c>
      <c r="E62" s="852">
        <v>0.06635461534211075</v>
      </c>
      <c r="F62" s="851">
        <f t="shared" si="1"/>
        <v>0.9093408964</v>
      </c>
      <c r="G62" s="852">
        <v>0.02331648917564196</v>
      </c>
      <c r="H62" s="851">
        <f t="shared" si="2"/>
        <v>0.9310497068</v>
      </c>
      <c r="I62" s="853">
        <v>0.5890289174435183</v>
      </c>
      <c r="J62" s="852">
        <v>0.5442670958617369</v>
      </c>
      <c r="K62" s="852">
        <v>0.2608998731092537</v>
      </c>
      <c r="L62" s="851">
        <v>0.49587806644422544</v>
      </c>
      <c r="M62" s="851">
        <v>0.6274511480684076</v>
      </c>
      <c r="N62" s="854">
        <v>0.68</v>
      </c>
      <c r="O62" s="851">
        <v>0.8478652069247063</v>
      </c>
      <c r="P62" s="855" t="str">
        <f t="shared" si="3"/>
        <v>#REF!</v>
      </c>
      <c r="Q62" s="810"/>
      <c r="R62" s="810"/>
      <c r="S62" s="810"/>
      <c r="T62" s="810"/>
      <c r="U62" s="810"/>
      <c r="V62" s="810"/>
      <c r="W62" s="810"/>
      <c r="X62" s="810"/>
      <c r="Y62" s="810"/>
      <c r="Z62" s="810"/>
    </row>
    <row r="63">
      <c r="A63" s="842" t="s">
        <v>38479</v>
      </c>
      <c r="B63" s="843">
        <v>600.0</v>
      </c>
      <c r="C63" s="844">
        <v>0.6236129544790963</v>
      </c>
      <c r="D63" s="845">
        <v>0.38346905996267916</v>
      </c>
      <c r="E63" s="845">
        <v>0.040125418223955996</v>
      </c>
      <c r="F63" s="844">
        <f t="shared" si="1"/>
        <v>0.4843212839</v>
      </c>
      <c r="G63" s="845">
        <v>0.09936121965537131</v>
      </c>
      <c r="H63" s="844">
        <f t="shared" si="2"/>
        <v>0.5377530864</v>
      </c>
      <c r="I63" s="846">
        <v>0.14993616815022495</v>
      </c>
      <c r="J63" s="845">
        <v>0.09906426739982557</v>
      </c>
      <c r="K63" s="845">
        <v>0.26121287090127876</v>
      </c>
      <c r="L63" s="844">
        <v>0.866684474117967</v>
      </c>
      <c r="M63" s="844">
        <v>0.8601828401441228</v>
      </c>
      <c r="N63" s="847">
        <v>0.78</v>
      </c>
      <c r="O63" s="844">
        <v>0.9651176049094974</v>
      </c>
      <c r="P63" s="848" t="str">
        <f t="shared" si="3"/>
        <v>#REF!</v>
      </c>
      <c r="Q63" s="810"/>
      <c r="R63" s="810"/>
      <c r="S63" s="810"/>
      <c r="T63" s="810"/>
      <c r="U63" s="810"/>
      <c r="V63" s="810"/>
      <c r="W63" s="810"/>
      <c r="X63" s="810"/>
      <c r="Y63" s="810"/>
      <c r="Z63" s="810"/>
    </row>
    <row r="64">
      <c r="A64" s="842" t="s">
        <v>38480</v>
      </c>
      <c r="B64" s="843">
        <v>8.0</v>
      </c>
      <c r="C64" s="844">
        <v>0.9437386318475969</v>
      </c>
      <c r="D64" s="845">
        <v>0.3901857569968924</v>
      </c>
      <c r="E64" s="845">
        <v>0.06232205247471385</v>
      </c>
      <c r="F64" s="844">
        <f t="shared" si="1"/>
        <v>0.7300865902</v>
      </c>
      <c r="G64" s="845">
        <v>0.0643921299063508</v>
      </c>
      <c r="H64" s="844">
        <f t="shared" si="2"/>
        <v>0.7803339556</v>
      </c>
      <c r="I64" s="846">
        <v>0.4893232382847557</v>
      </c>
      <c r="J64" s="845">
        <v>0.4116087861322939</v>
      </c>
      <c r="K64" s="845">
        <v>0.8299863036102109</v>
      </c>
      <c r="L64" s="844">
        <v>0.7785073448794292</v>
      </c>
      <c r="M64" s="844">
        <v>1.5713945020074378</v>
      </c>
      <c r="N64" s="847">
        <v>0.74</v>
      </c>
      <c r="O64" s="844">
        <v>0.8023174759642652</v>
      </c>
      <c r="P64" s="848" t="str">
        <f t="shared" si="3"/>
        <v>#REF!</v>
      </c>
      <c r="Q64" s="810"/>
      <c r="R64" s="810"/>
      <c r="S64" s="810"/>
      <c r="T64" s="810"/>
      <c r="U64" s="810"/>
      <c r="V64" s="810"/>
      <c r="W64" s="810"/>
      <c r="X64" s="810"/>
      <c r="Y64" s="810"/>
      <c r="Z64" s="810"/>
    </row>
    <row r="65">
      <c r="A65" s="842" t="s">
        <v>38481</v>
      </c>
      <c r="B65" s="843">
        <v>78.0</v>
      </c>
      <c r="C65" s="844">
        <v>1.4752073825450458</v>
      </c>
      <c r="D65" s="845">
        <v>0.39158372922601853</v>
      </c>
      <c r="E65" s="845">
        <v>0.15019349979060045</v>
      </c>
      <c r="F65" s="844">
        <f t="shared" si="1"/>
        <v>1.14031174</v>
      </c>
      <c r="G65" s="845">
        <v>0.040041704683196455</v>
      </c>
      <c r="H65" s="844">
        <f t="shared" si="2"/>
        <v>1.187876333</v>
      </c>
      <c r="I65" s="846">
        <v>0.5087813282201621</v>
      </c>
      <c r="J65" s="845">
        <v>0.3858590522578964</v>
      </c>
      <c r="K65" s="845">
        <v>0.22316138846103836</v>
      </c>
      <c r="L65" s="844">
        <v>0.8000650410909912</v>
      </c>
      <c r="M65" s="844">
        <v>0.6903463796794427</v>
      </c>
      <c r="N65" s="847">
        <v>1.03</v>
      </c>
      <c r="O65" s="844">
        <v>1.2289647113509314</v>
      </c>
      <c r="P65" s="848" t="str">
        <f t="shared" si="3"/>
        <v>#REF!</v>
      </c>
      <c r="Q65" s="810"/>
      <c r="R65" s="810"/>
      <c r="S65" s="810"/>
      <c r="T65" s="810"/>
      <c r="U65" s="810"/>
      <c r="V65" s="810"/>
      <c r="W65" s="810"/>
      <c r="X65" s="810"/>
      <c r="Y65" s="810"/>
      <c r="Z65" s="810"/>
    </row>
    <row r="66">
      <c r="A66" s="842" t="s">
        <v>38482</v>
      </c>
      <c r="B66" s="843">
        <v>69.0</v>
      </c>
      <c r="C66" s="844">
        <v>1.2752456934388758</v>
      </c>
      <c r="D66" s="845">
        <v>0.3956729589000016</v>
      </c>
      <c r="E66" s="845">
        <v>0.135946438940009</v>
      </c>
      <c r="F66" s="844">
        <f t="shared" si="1"/>
        <v>0.9834131888</v>
      </c>
      <c r="G66" s="845">
        <v>0.022524354628298306</v>
      </c>
      <c r="H66" s="844">
        <f t="shared" si="2"/>
        <v>1.006074365</v>
      </c>
      <c r="I66" s="846">
        <v>0.46193491376213663</v>
      </c>
      <c r="J66" s="845">
        <v>0.3708301077624006</v>
      </c>
      <c r="K66" s="845">
        <v>0.25350519996716575</v>
      </c>
      <c r="L66" s="844">
        <v>0.9870211814795625</v>
      </c>
      <c r="M66" s="844">
        <v>0.8937149652220674</v>
      </c>
      <c r="N66" s="847">
        <v>0.75</v>
      </c>
      <c r="O66" s="844">
        <v>1.064511615250408</v>
      </c>
      <c r="P66" s="848" t="str">
        <f t="shared" si="3"/>
        <v>#REF!</v>
      </c>
      <c r="Q66" s="810"/>
      <c r="R66" s="810"/>
      <c r="S66" s="810"/>
      <c r="T66" s="810"/>
      <c r="U66" s="810"/>
      <c r="V66" s="810"/>
      <c r="W66" s="810"/>
      <c r="X66" s="810"/>
      <c r="Y66" s="810"/>
      <c r="Z66" s="810"/>
    </row>
    <row r="67">
      <c r="A67" s="849" t="s">
        <v>38483</v>
      </c>
      <c r="B67" s="850">
        <v>12.0</v>
      </c>
      <c r="C67" s="851">
        <v>0.7898029768416497</v>
      </c>
      <c r="D67" s="852">
        <v>0.39818801240908047</v>
      </c>
      <c r="E67" s="852">
        <v>0.09371295164655669</v>
      </c>
      <c r="F67" s="851">
        <f t="shared" si="1"/>
        <v>0.6081765254</v>
      </c>
      <c r="G67" s="852">
        <v>0.08536515356952208</v>
      </c>
      <c r="H67" s="851">
        <f t="shared" si="2"/>
        <v>0.6649391589</v>
      </c>
      <c r="I67" s="853">
        <v>0.5264619483249621</v>
      </c>
      <c r="J67" s="852">
        <v>0.28661749273612586</v>
      </c>
      <c r="K67" s="852">
        <v>1.118865944697315</v>
      </c>
      <c r="L67" s="851">
        <v>1.32735715457991</v>
      </c>
      <c r="M67" s="851">
        <v>1.501720441937595</v>
      </c>
      <c r="N67" s="854">
        <v>0.76</v>
      </c>
      <c r="O67" s="851">
        <v>0.8332663411468256</v>
      </c>
      <c r="P67" s="855" t="str">
        <f t="shared" si="3"/>
        <v>#REF!</v>
      </c>
      <c r="Q67" s="810"/>
      <c r="R67" s="810"/>
      <c r="S67" s="810"/>
      <c r="T67" s="810"/>
      <c r="U67" s="810"/>
      <c r="V67" s="810"/>
      <c r="W67" s="810"/>
      <c r="X67" s="810"/>
      <c r="Y67" s="810"/>
      <c r="Z67" s="810"/>
    </row>
    <row r="68">
      <c r="A68" s="842" t="s">
        <v>38484</v>
      </c>
      <c r="B68" s="843">
        <v>20.0</v>
      </c>
      <c r="C68" s="844">
        <v>1.114895776688169</v>
      </c>
      <c r="D68" s="845">
        <v>0.4217637707327963</v>
      </c>
      <c r="E68" s="845">
        <v>0.09667014521273086</v>
      </c>
      <c r="F68" s="844">
        <f t="shared" si="1"/>
        <v>0.8469774685</v>
      </c>
      <c r="G68" s="845">
        <v>0.0734864652444319</v>
      </c>
      <c r="H68" s="844">
        <f t="shared" si="2"/>
        <v>0.9141555269</v>
      </c>
      <c r="I68" s="846">
        <v>0.4606505763247093</v>
      </c>
      <c r="J68" s="845">
        <v>0.30919744401282184</v>
      </c>
      <c r="K68" s="845">
        <v>0.12028984478810541</v>
      </c>
      <c r="L68" s="844">
        <v>0.8978859113758451</v>
      </c>
      <c r="M68" s="844">
        <v>0.7567842313849863</v>
      </c>
      <c r="N68" s="847">
        <v>1.1</v>
      </c>
      <c r="O68" s="844">
        <v>1.4642640113348089</v>
      </c>
      <c r="P68" s="848" t="str">
        <f t="shared" si="3"/>
        <v>#REF!</v>
      </c>
      <c r="Q68" s="810"/>
      <c r="R68" s="810"/>
      <c r="S68" s="810"/>
      <c r="T68" s="810"/>
      <c r="U68" s="810"/>
      <c r="V68" s="810"/>
      <c r="W68" s="810"/>
      <c r="X68" s="810"/>
      <c r="Y68" s="810"/>
      <c r="Z68" s="810"/>
    </row>
    <row r="69">
      <c r="A69" s="842" t="s">
        <v>38485</v>
      </c>
      <c r="B69" s="843">
        <v>37.0</v>
      </c>
      <c r="C69" s="844">
        <v>1.4739918130238336</v>
      </c>
      <c r="D69" s="845">
        <v>0.4265540414760251</v>
      </c>
      <c r="E69" s="845">
        <v>0.09296676821885928</v>
      </c>
      <c r="F69" s="844">
        <f t="shared" si="1"/>
        <v>1.116731926</v>
      </c>
      <c r="G69" s="845">
        <v>0.07127572687624346</v>
      </c>
      <c r="H69" s="844">
        <f t="shared" si="2"/>
        <v>1.202436458</v>
      </c>
      <c r="I69" s="846">
        <v>0.5099287640392465</v>
      </c>
      <c r="J69" s="845">
        <v>0.39519394771296495</v>
      </c>
      <c r="K69" s="845">
        <v>0.25416812415110307</v>
      </c>
      <c r="L69" s="844">
        <v>0.9678850643412212</v>
      </c>
      <c r="M69" s="844">
        <v>0.9469935769993065</v>
      </c>
      <c r="N69" s="847">
        <v>1.09</v>
      </c>
      <c r="O69" s="844">
        <v>1.212594354633614</v>
      </c>
      <c r="P69" s="848" t="str">
        <f t="shared" si="3"/>
        <v>#REF!</v>
      </c>
      <c r="Q69" s="810"/>
      <c r="R69" s="810"/>
      <c r="S69" s="810"/>
      <c r="T69" s="810"/>
      <c r="U69" s="810"/>
      <c r="V69" s="810"/>
      <c r="W69" s="810"/>
      <c r="X69" s="810"/>
      <c r="Y69" s="810"/>
      <c r="Z69" s="810"/>
    </row>
    <row r="70">
      <c r="A70" s="842" t="s">
        <v>38486</v>
      </c>
      <c r="B70" s="843">
        <v>16.0</v>
      </c>
      <c r="C70" s="844">
        <v>1.1524153536245123</v>
      </c>
      <c r="D70" s="845">
        <v>0.433964758852066</v>
      </c>
      <c r="E70" s="845">
        <v>0.08445430761407405</v>
      </c>
      <c r="F70" s="844">
        <f t="shared" si="1"/>
        <v>0.8694366907</v>
      </c>
      <c r="G70" s="845">
        <v>0.003534797484929879</v>
      </c>
      <c r="H70" s="844">
        <f t="shared" si="2"/>
        <v>0.8725208753</v>
      </c>
      <c r="I70" s="846">
        <v>0.3655131913452527</v>
      </c>
      <c r="J70" s="845">
        <v>0.413732943885831</v>
      </c>
      <c r="K70" s="845">
        <v>0.13746671306527883</v>
      </c>
      <c r="L70" s="844">
        <v>0.32295708453677063</v>
      </c>
      <c r="M70" s="844">
        <v>0.5653212571240506</v>
      </c>
      <c r="N70" s="847">
        <v>0.57</v>
      </c>
      <c r="O70" s="844">
        <v>0.6141799524382789</v>
      </c>
      <c r="P70" s="848" t="str">
        <f t="shared" si="3"/>
        <v>#REF!</v>
      </c>
      <c r="Q70" s="810"/>
      <c r="R70" s="810"/>
      <c r="S70" s="810"/>
      <c r="T70" s="810"/>
      <c r="U70" s="810"/>
      <c r="V70" s="810"/>
      <c r="W70" s="810"/>
      <c r="X70" s="810"/>
      <c r="Y70" s="810"/>
      <c r="Z70" s="810"/>
    </row>
    <row r="71">
      <c r="A71" s="849" t="s">
        <v>38487</v>
      </c>
      <c r="B71" s="850">
        <v>7.0</v>
      </c>
      <c r="C71" s="851">
        <v>1.3830066711394122</v>
      </c>
      <c r="D71" s="852">
        <v>0.4386501965496456</v>
      </c>
      <c r="E71" s="852">
        <v>0.12757457269381595</v>
      </c>
      <c r="F71" s="851">
        <f t="shared" si="1"/>
        <v>1.040646746</v>
      </c>
      <c r="G71" s="852">
        <v>0.07567108490585898</v>
      </c>
      <c r="H71" s="851">
        <f t="shared" si="2"/>
        <v>1.125840303</v>
      </c>
      <c r="I71" s="853">
        <v>0.6011566734952618</v>
      </c>
      <c r="J71" s="852">
        <v>0.42843597130920175</v>
      </c>
      <c r="K71" s="852">
        <v>0.9283253994083562</v>
      </c>
      <c r="L71" s="851">
        <v>1.1728745712683208</v>
      </c>
      <c r="M71" s="851">
        <v>1.2543747470505289</v>
      </c>
      <c r="N71" s="854">
        <v>0.96</v>
      </c>
      <c r="O71" s="851">
        <v>0.9984958405826988</v>
      </c>
      <c r="P71" s="855" t="str">
        <f t="shared" si="3"/>
        <v>#REF!</v>
      </c>
      <c r="Q71" s="810"/>
      <c r="R71" s="810"/>
      <c r="S71" s="810"/>
      <c r="T71" s="810"/>
      <c r="U71" s="810"/>
      <c r="V71" s="810"/>
      <c r="W71" s="810"/>
      <c r="X71" s="810"/>
      <c r="Y71" s="810"/>
      <c r="Z71" s="810"/>
    </row>
    <row r="72">
      <c r="A72" s="842" t="s">
        <v>38488</v>
      </c>
      <c r="B72" s="843">
        <v>35.0</v>
      </c>
      <c r="C72" s="844">
        <v>1.5451244708853058</v>
      </c>
      <c r="D72" s="845">
        <v>0.4391358653932136</v>
      </c>
      <c r="E72" s="845">
        <v>0.14785932618179476</v>
      </c>
      <c r="F72" s="844">
        <f t="shared" si="1"/>
        <v>1.162314111</v>
      </c>
      <c r="G72" s="845">
        <v>0.057218077552788967</v>
      </c>
      <c r="H72" s="844">
        <f t="shared" si="2"/>
        <v>1.232855747</v>
      </c>
      <c r="I72" s="846">
        <v>0.4458153014104363</v>
      </c>
      <c r="J72" s="845">
        <v>0.4117132456701876</v>
      </c>
      <c r="K72" s="845">
        <v>1.5003843688997927</v>
      </c>
      <c r="L72" s="844">
        <v>0.71085656044871</v>
      </c>
      <c r="M72" s="844">
        <v>1.041066799245524</v>
      </c>
      <c r="N72" s="847">
        <v>0.94</v>
      </c>
      <c r="O72" s="844">
        <v>1.2784881792172302</v>
      </c>
      <c r="P72" s="848" t="str">
        <f t="shared" si="3"/>
        <v>#REF!</v>
      </c>
      <c r="Q72" s="810"/>
      <c r="R72" s="810"/>
      <c r="S72" s="810"/>
      <c r="T72" s="810"/>
      <c r="U72" s="810"/>
      <c r="V72" s="810"/>
      <c r="W72" s="810"/>
      <c r="X72" s="810"/>
      <c r="Y72" s="810"/>
      <c r="Z72" s="810"/>
    </row>
    <row r="73">
      <c r="A73" s="849" t="s">
        <v>17391</v>
      </c>
      <c r="B73" s="850">
        <v>58.0</v>
      </c>
      <c r="C73" s="851">
        <v>1.6317380595347237</v>
      </c>
      <c r="D73" s="852">
        <v>0.4498894482885307</v>
      </c>
      <c r="E73" s="852">
        <v>0.06390508819605847</v>
      </c>
      <c r="F73" s="851">
        <f t="shared" si="1"/>
        <v>1.220066706</v>
      </c>
      <c r="G73" s="852">
        <v>0.09348885357842812</v>
      </c>
      <c r="H73" s="851">
        <f t="shared" si="2"/>
        <v>1.345892669</v>
      </c>
      <c r="I73" s="853">
        <v>0.6867454020094217</v>
      </c>
      <c r="J73" s="852">
        <v>0.5272211445533301</v>
      </c>
      <c r="K73" s="852">
        <v>0.1439689400971841</v>
      </c>
      <c r="L73" s="851">
        <v>0.8679813153566758</v>
      </c>
      <c r="M73" s="851">
        <v>0.9349531429448596</v>
      </c>
      <c r="N73" s="854">
        <v>0.77</v>
      </c>
      <c r="O73" s="851">
        <v>1.1018246898142943</v>
      </c>
      <c r="P73" s="855" t="str">
        <f t="shared" si="3"/>
        <v>#REF!</v>
      </c>
      <c r="Q73" s="810"/>
      <c r="R73" s="810"/>
      <c r="S73" s="810"/>
      <c r="T73" s="810"/>
      <c r="U73" s="810"/>
      <c r="V73" s="810"/>
      <c r="W73" s="810"/>
      <c r="X73" s="810"/>
      <c r="Y73" s="810"/>
      <c r="Z73" s="810"/>
    </row>
    <row r="74">
      <c r="A74" s="842" t="s">
        <v>38489</v>
      </c>
      <c r="B74" s="843">
        <v>1.0</v>
      </c>
      <c r="C74" s="844">
        <v>0.8292482034163514</v>
      </c>
      <c r="D74" s="845">
        <v>0.45098674687154305</v>
      </c>
      <c r="E74" s="845">
        <v>0.06482982171799027</v>
      </c>
      <c r="F74" s="844">
        <f t="shared" si="1"/>
        <v>0.6196557913</v>
      </c>
      <c r="G74" s="845">
        <v>0.254869779181335</v>
      </c>
      <c r="H74" s="844">
        <f t="shared" si="2"/>
        <v>0.8316073808</v>
      </c>
      <c r="I74" s="846">
        <v>0.20758239974021755</v>
      </c>
      <c r="J74" s="845">
        <v>0.1936761567443839</v>
      </c>
      <c r="K74" s="845">
        <v>0.21772502996630683</v>
      </c>
      <c r="L74" s="844">
        <v>0.8820173563179452</v>
      </c>
      <c r="M74" s="844">
        <v>0.7698542925210008</v>
      </c>
      <c r="N74" s="847">
        <v>1.13</v>
      </c>
      <c r="O74" s="844">
        <v>1.2950268765575916</v>
      </c>
      <c r="P74" s="848" t="str">
        <f t="shared" si="3"/>
        <v>#REF!</v>
      </c>
      <c r="Q74" s="810"/>
      <c r="R74" s="810"/>
      <c r="S74" s="810"/>
      <c r="T74" s="810"/>
      <c r="U74" s="810"/>
      <c r="V74" s="810"/>
      <c r="W74" s="810"/>
      <c r="X74" s="810"/>
      <c r="Y74" s="810"/>
      <c r="Z74" s="810"/>
    </row>
    <row r="75">
      <c r="A75" s="842" t="s">
        <v>38490</v>
      </c>
      <c r="B75" s="843">
        <v>14.0</v>
      </c>
      <c r="C75" s="844">
        <v>1.1237058272854066</v>
      </c>
      <c r="D75" s="845">
        <v>0.4615645897310518</v>
      </c>
      <c r="E75" s="845">
        <v>0.11937255281975857</v>
      </c>
      <c r="F75" s="844">
        <f t="shared" si="1"/>
        <v>0.8347407488</v>
      </c>
      <c r="G75" s="845">
        <v>0.012964298755208017</v>
      </c>
      <c r="H75" s="844">
        <f t="shared" si="2"/>
        <v>0.8457047175</v>
      </c>
      <c r="I75" s="846">
        <v>0.4792931471704661</v>
      </c>
      <c r="J75" s="845">
        <v>0.32418308733551454</v>
      </c>
      <c r="K75" s="845">
        <v>0.25632423585379177</v>
      </c>
      <c r="L75" s="844">
        <v>1.234429635135682</v>
      </c>
      <c r="M75" s="844">
        <v>0.6577661732913673</v>
      </c>
      <c r="N75" s="847">
        <v>0.8</v>
      </c>
      <c r="O75" s="844">
        <v>1.083475210571128</v>
      </c>
      <c r="P75" s="848" t="str">
        <f t="shared" si="3"/>
        <v>#REF!</v>
      </c>
      <c r="Q75" s="810"/>
      <c r="R75" s="810"/>
      <c r="S75" s="810"/>
      <c r="T75" s="810"/>
      <c r="U75" s="810"/>
      <c r="V75" s="810"/>
      <c r="W75" s="810"/>
      <c r="X75" s="810"/>
      <c r="Y75" s="810"/>
      <c r="Z75" s="810"/>
    </row>
    <row r="76">
      <c r="A76" s="842" t="s">
        <v>38491</v>
      </c>
      <c r="B76" s="843">
        <v>38.0</v>
      </c>
      <c r="C76" s="844">
        <v>1.2471014770997904</v>
      </c>
      <c r="D76" s="845">
        <v>0.48300567282668855</v>
      </c>
      <c r="E76" s="845">
        <v>0.09828891682614273</v>
      </c>
      <c r="F76" s="844">
        <f t="shared" si="1"/>
        <v>0.9154689537</v>
      </c>
      <c r="G76" s="845">
        <v>0.04538219979751011</v>
      </c>
      <c r="H76" s="844">
        <f t="shared" si="2"/>
        <v>0.9589900308</v>
      </c>
      <c r="I76" s="846">
        <v>0.5269623558081643</v>
      </c>
      <c r="J76" s="845">
        <v>0.4657900442175986</v>
      </c>
      <c r="K76" s="845">
        <v>0.4345106161071502</v>
      </c>
      <c r="L76" s="844">
        <v>1.1226945412373202</v>
      </c>
      <c r="M76" s="844">
        <v>0.9929566124984756</v>
      </c>
      <c r="N76" s="847">
        <v>0.76</v>
      </c>
      <c r="O76" s="844">
        <v>0.9371284252203465</v>
      </c>
      <c r="P76" s="848" t="str">
        <f t="shared" si="3"/>
        <v>#REF!</v>
      </c>
      <c r="Q76" s="810"/>
      <c r="R76" s="810"/>
      <c r="S76" s="810"/>
      <c r="T76" s="810"/>
      <c r="U76" s="810"/>
      <c r="V76" s="810"/>
      <c r="W76" s="810"/>
      <c r="X76" s="810"/>
      <c r="Y76" s="810"/>
      <c r="Z76" s="810"/>
    </row>
    <row r="77">
      <c r="A77" s="849" t="s">
        <v>38492</v>
      </c>
      <c r="B77" s="850">
        <v>31.0</v>
      </c>
      <c r="C77" s="851">
        <v>1.5405976750533805</v>
      </c>
      <c r="D77" s="852">
        <v>0.5019098374758252</v>
      </c>
      <c r="E77" s="852">
        <v>0.029973504818388647</v>
      </c>
      <c r="F77" s="851">
        <f t="shared" si="1"/>
        <v>1.119268698</v>
      </c>
      <c r="G77" s="852">
        <v>0.08670777358222838</v>
      </c>
      <c r="H77" s="851">
        <f t="shared" si="2"/>
        <v>1.225531834</v>
      </c>
      <c r="I77" s="853">
        <v>0.6906352624443269</v>
      </c>
      <c r="J77" s="852">
        <v>0.5261412487524837</v>
      </c>
      <c r="K77" s="852">
        <v>0.4609691036774551</v>
      </c>
      <c r="L77" s="851">
        <v>0.3418710955309782</v>
      </c>
      <c r="M77" s="851">
        <v>0.5257350397759242</v>
      </c>
      <c r="N77" s="854">
        <v>1.05</v>
      </c>
      <c r="O77" s="851">
        <v>1.0207658043192696</v>
      </c>
      <c r="P77" s="855" t="str">
        <f t="shared" si="3"/>
        <v>#REF!</v>
      </c>
      <c r="Q77" s="810"/>
      <c r="R77" s="810"/>
      <c r="S77" s="810"/>
      <c r="T77" s="810"/>
      <c r="U77" s="810"/>
      <c r="V77" s="810"/>
      <c r="W77" s="810"/>
      <c r="X77" s="810"/>
      <c r="Y77" s="810"/>
      <c r="Z77" s="810"/>
    </row>
    <row r="78">
      <c r="A78" s="842" t="s">
        <v>17318</v>
      </c>
      <c r="B78" s="843">
        <v>39.0</v>
      </c>
      <c r="C78" s="844">
        <v>1.3246974025641622</v>
      </c>
      <c r="D78" s="845">
        <v>0.5157235161320588</v>
      </c>
      <c r="E78" s="845">
        <v>0.12038118261958633</v>
      </c>
      <c r="F78" s="844">
        <f t="shared" si="1"/>
        <v>0.9552238504</v>
      </c>
      <c r="G78" s="845">
        <v>0.06017031784769348</v>
      </c>
      <c r="H78" s="844">
        <f t="shared" si="2"/>
        <v>1.016379743</v>
      </c>
      <c r="I78" s="846">
        <v>0.5219832711715527</v>
      </c>
      <c r="J78" s="845">
        <v>0.38508746928890447</v>
      </c>
      <c r="K78" s="845">
        <v>0.23018170002537106</v>
      </c>
      <c r="L78" s="844">
        <v>0.7631729241326889</v>
      </c>
      <c r="M78" s="844">
        <v>0.8296410009433827</v>
      </c>
      <c r="N78" s="847">
        <v>0.94</v>
      </c>
      <c r="O78" s="844">
        <v>1.098346042881063</v>
      </c>
      <c r="P78" s="848" t="str">
        <f t="shared" si="3"/>
        <v>#REF!</v>
      </c>
      <c r="Q78" s="810"/>
      <c r="R78" s="810"/>
      <c r="S78" s="810"/>
      <c r="T78" s="810"/>
      <c r="U78" s="810"/>
      <c r="V78" s="810"/>
      <c r="W78" s="810"/>
      <c r="X78" s="810"/>
      <c r="Y78" s="810"/>
      <c r="Z78" s="810"/>
    </row>
    <row r="79">
      <c r="A79" s="849" t="s">
        <v>38493</v>
      </c>
      <c r="B79" s="850">
        <v>57.0</v>
      </c>
      <c r="C79" s="851">
        <v>1.417980944163648</v>
      </c>
      <c r="D79" s="852">
        <v>0.5206053865144905</v>
      </c>
      <c r="E79" s="852">
        <v>0.09492884546666287</v>
      </c>
      <c r="F79" s="851">
        <f t="shared" si="1"/>
        <v>1.019797062</v>
      </c>
      <c r="G79" s="852">
        <v>0.05178636146236303</v>
      </c>
      <c r="H79" s="851">
        <f t="shared" si="2"/>
        <v>1.075492927</v>
      </c>
      <c r="I79" s="853">
        <v>0.5939259548412263</v>
      </c>
      <c r="J79" s="852">
        <v>0.42131153923229786</v>
      </c>
      <c r="K79" s="852">
        <v>0.18303595298722516</v>
      </c>
      <c r="L79" s="851">
        <v>0.8092329672801789</v>
      </c>
      <c r="M79" s="851">
        <v>0.7540286170435926</v>
      </c>
      <c r="N79" s="854">
        <v>0.77</v>
      </c>
      <c r="O79" s="851">
        <v>1.073632586741868</v>
      </c>
      <c r="P79" s="855" t="str">
        <f t="shared" si="3"/>
        <v>#REF!</v>
      </c>
      <c r="Q79" s="810"/>
      <c r="R79" s="810"/>
      <c r="S79" s="810"/>
      <c r="T79" s="810"/>
      <c r="U79" s="810"/>
      <c r="V79" s="810"/>
      <c r="W79" s="810"/>
      <c r="X79" s="810"/>
      <c r="Y79" s="810"/>
      <c r="Z79" s="810"/>
    </row>
    <row r="80">
      <c r="A80" s="849" t="s">
        <v>38494</v>
      </c>
      <c r="B80" s="850">
        <v>7165.0</v>
      </c>
      <c r="C80" s="851">
        <v>1.1572702941885729</v>
      </c>
      <c r="D80" s="852">
        <v>0.5352197869392211</v>
      </c>
      <c r="E80" s="852">
        <v>0.0751978380580143</v>
      </c>
      <c r="F80" s="851">
        <f t="shared" si="1"/>
        <v>0.8257870981</v>
      </c>
      <c r="G80" s="852">
        <v>0.06663031752436263</v>
      </c>
      <c r="H80" s="851">
        <f t="shared" si="2"/>
        <v>0.8847374343</v>
      </c>
      <c r="I80" s="853">
        <v>0.4832448489852054</v>
      </c>
      <c r="J80" s="852">
        <v>0.413732943885831</v>
      </c>
      <c r="K80" s="852">
        <v>0.1900788202618873</v>
      </c>
      <c r="L80" s="864">
        <v>0.8020173970839132</v>
      </c>
      <c r="M80" s="864">
        <v>0.8294537733223437</v>
      </c>
      <c r="N80" s="854">
        <v>0.75</v>
      </c>
      <c r="O80" s="851">
        <v>0.9093805676301691</v>
      </c>
      <c r="P80" s="855" t="str">
        <f t="shared" si="3"/>
        <v>#REF!</v>
      </c>
      <c r="Q80" s="810"/>
      <c r="R80" s="810"/>
      <c r="S80" s="810"/>
      <c r="T80" s="810"/>
      <c r="U80" s="810"/>
      <c r="V80" s="810"/>
      <c r="W80" s="810"/>
      <c r="X80" s="810"/>
      <c r="Y80" s="810"/>
      <c r="Z80" s="810"/>
    </row>
    <row r="81">
      <c r="A81" s="849" t="s">
        <v>38495</v>
      </c>
      <c r="B81" s="850">
        <v>32.0</v>
      </c>
      <c r="C81" s="851">
        <v>1.2708955631991046</v>
      </c>
      <c r="D81" s="852">
        <v>0.5593620118557551</v>
      </c>
      <c r="E81" s="852">
        <v>0.1267222401825311</v>
      </c>
      <c r="F81" s="851">
        <f t="shared" si="1"/>
        <v>0.8952985603</v>
      </c>
      <c r="G81" s="852">
        <v>0.05947362585200794</v>
      </c>
      <c r="H81" s="851">
        <f t="shared" si="2"/>
        <v>0.9519122322</v>
      </c>
      <c r="I81" s="853">
        <v>0.5483600453060752</v>
      </c>
      <c r="J81" s="852">
        <v>0.41911842205905825</v>
      </c>
      <c r="K81" s="852">
        <v>0.24912194882957625</v>
      </c>
      <c r="L81" s="851">
        <v>0.6678086467719215</v>
      </c>
      <c r="M81" s="851">
        <v>0.8183273103323906</v>
      </c>
      <c r="N81" s="854">
        <v>0.78</v>
      </c>
      <c r="O81" s="851">
        <v>0.9930686395536672</v>
      </c>
      <c r="P81" s="855" t="str">
        <f t="shared" si="3"/>
        <v>#REF!</v>
      </c>
      <c r="Q81" s="810"/>
      <c r="R81" s="810"/>
      <c r="S81" s="810"/>
      <c r="T81" s="810"/>
      <c r="U81" s="810"/>
      <c r="V81" s="810"/>
      <c r="W81" s="810"/>
      <c r="X81" s="810"/>
      <c r="Y81" s="810"/>
      <c r="Z81" s="810"/>
    </row>
    <row r="82">
      <c r="A82" s="842" t="s">
        <v>38496</v>
      </c>
      <c r="B82" s="843">
        <v>30.0</v>
      </c>
      <c r="C82" s="844">
        <v>1.5201925121768585</v>
      </c>
      <c r="D82" s="845">
        <v>0.5748680415838864</v>
      </c>
      <c r="E82" s="845">
        <v>0.15838509352594998</v>
      </c>
      <c r="F82" s="844">
        <f t="shared" si="1"/>
        <v>1.062216691</v>
      </c>
      <c r="G82" s="845">
        <v>0.018942366151700137</v>
      </c>
      <c r="H82" s="844">
        <f t="shared" si="2"/>
        <v>1.082726085</v>
      </c>
      <c r="I82" s="846">
        <v>0.4958162101500319</v>
      </c>
      <c r="J82" s="845">
        <v>0.3571089596648453</v>
      </c>
      <c r="K82" s="845">
        <v>0.31378397990022294</v>
      </c>
      <c r="L82" s="844">
        <v>0.7609980014069839</v>
      </c>
      <c r="M82" s="844">
        <v>0.8685186932111402</v>
      </c>
      <c r="N82" s="847">
        <v>0.99</v>
      </c>
      <c r="O82" s="844">
        <v>1.1214912603915739</v>
      </c>
      <c r="P82" s="848" t="str">
        <f t="shared" si="3"/>
        <v>#REF!</v>
      </c>
      <c r="Q82" s="810"/>
      <c r="R82" s="810"/>
      <c r="S82" s="810"/>
      <c r="T82" s="810"/>
      <c r="U82" s="810"/>
      <c r="V82" s="810"/>
      <c r="W82" s="810"/>
      <c r="X82" s="810"/>
      <c r="Y82" s="810"/>
      <c r="Z82" s="810"/>
    </row>
    <row r="83">
      <c r="A83" s="849" t="s">
        <v>38497</v>
      </c>
      <c r="B83" s="850">
        <v>4.0</v>
      </c>
      <c r="C83" s="851">
        <v>1.4125912305600932</v>
      </c>
      <c r="D83" s="852">
        <v>0.5824211815724537</v>
      </c>
      <c r="E83" s="852">
        <v>0.12024424146819795</v>
      </c>
      <c r="F83" s="851">
        <f t="shared" si="1"/>
        <v>0.9831400419</v>
      </c>
      <c r="G83" s="852">
        <v>0.09824891404022827</v>
      </c>
      <c r="H83" s="851">
        <f t="shared" si="2"/>
        <v>1.090256565</v>
      </c>
      <c r="I83" s="853">
        <v>0.4489238033488614</v>
      </c>
      <c r="J83" s="852">
        <v>0.3949317614003628</v>
      </c>
      <c r="K83" s="852">
        <v>0.41460083246837737</v>
      </c>
      <c r="L83" s="851">
        <v>1.4913554180375088</v>
      </c>
      <c r="M83" s="851">
        <v>1.2147165368811397</v>
      </c>
      <c r="N83" s="854">
        <v>1.03</v>
      </c>
      <c r="O83" s="851">
        <v>1.2079101125783385</v>
      </c>
      <c r="P83" s="855" t="str">
        <f t="shared" si="3"/>
        <v>#REF!</v>
      </c>
      <c r="Q83" s="810"/>
      <c r="R83" s="810"/>
      <c r="S83" s="810"/>
      <c r="T83" s="810"/>
      <c r="U83" s="810"/>
      <c r="V83" s="810"/>
      <c r="W83" s="810"/>
      <c r="X83" s="810"/>
      <c r="Y83" s="810"/>
      <c r="Z83" s="810"/>
    </row>
    <row r="84">
      <c r="A84" s="842" t="s">
        <v>38498</v>
      </c>
      <c r="B84" s="843">
        <v>25.0</v>
      </c>
      <c r="C84" s="844">
        <v>0.9524219969120523</v>
      </c>
      <c r="D84" s="845">
        <v>0.6196564642805832</v>
      </c>
      <c r="E84" s="845">
        <v>0.14661913030028642</v>
      </c>
      <c r="F84" s="844">
        <f t="shared" si="1"/>
        <v>0.6502317613</v>
      </c>
      <c r="G84" s="845">
        <v>0.03022814172214613</v>
      </c>
      <c r="H84" s="844">
        <f t="shared" si="2"/>
        <v>0.6704997219</v>
      </c>
      <c r="I84" s="846">
        <v>0.3688793813718014</v>
      </c>
      <c r="J84" s="845">
        <v>0.24431384085324004</v>
      </c>
      <c r="K84" s="845">
        <v>0.08167653480583857</v>
      </c>
      <c r="L84" s="844">
        <v>0.7370550227480763</v>
      </c>
      <c r="M84" s="844">
        <v>0.6781735167393964</v>
      </c>
      <c r="N84" s="847">
        <v>0.68</v>
      </c>
      <c r="O84" s="844">
        <v>0.7782958213072473</v>
      </c>
      <c r="P84" s="848" t="str">
        <f t="shared" si="3"/>
        <v>#REF!</v>
      </c>
      <c r="Q84" s="810"/>
      <c r="R84" s="810"/>
      <c r="S84" s="810"/>
      <c r="T84" s="810"/>
      <c r="U84" s="810"/>
      <c r="V84" s="810"/>
      <c r="W84" s="810"/>
      <c r="X84" s="810"/>
      <c r="Y84" s="810"/>
      <c r="Z84" s="810"/>
    </row>
    <row r="85">
      <c r="A85" s="842" t="s">
        <v>38499</v>
      </c>
      <c r="B85" s="843">
        <v>557.0</v>
      </c>
      <c r="C85" s="844">
        <v>0.5048742347564779</v>
      </c>
      <c r="D85" s="845">
        <v>0.6461981108377084</v>
      </c>
      <c r="E85" s="845">
        <v>0.18838462629709835</v>
      </c>
      <c r="F85" s="844">
        <f t="shared" si="1"/>
        <v>0.3400631237</v>
      </c>
      <c r="G85" s="845">
        <v>0.1765640030797172</v>
      </c>
      <c r="H85" s="844">
        <f t="shared" si="2"/>
        <v>0.4129806384</v>
      </c>
      <c r="I85" s="846">
        <v>0.1756514255721121</v>
      </c>
      <c r="J85" s="845">
        <v>0.16758082918349013</v>
      </c>
      <c r="K85" s="845">
        <v>0.9549163494123452</v>
      </c>
      <c r="L85" s="844">
        <v>0.4043516578768579</v>
      </c>
      <c r="M85" s="844">
        <v>0.4313155820626237</v>
      </c>
      <c r="N85" s="847">
        <v>0.6</v>
      </c>
      <c r="O85" s="844">
        <v>0.8412738920935885</v>
      </c>
      <c r="P85" s="848" t="str">
        <f t="shared" si="3"/>
        <v>#REF!</v>
      </c>
      <c r="Q85" s="810"/>
      <c r="R85" s="810"/>
      <c r="S85" s="810"/>
      <c r="T85" s="810"/>
      <c r="U85" s="810"/>
      <c r="V85" s="810"/>
      <c r="W85" s="810"/>
      <c r="X85" s="810"/>
      <c r="Y85" s="810"/>
      <c r="Z85" s="810"/>
    </row>
    <row r="86">
      <c r="A86" s="842" t="s">
        <v>38500</v>
      </c>
      <c r="B86" s="843">
        <v>16.0</v>
      </c>
      <c r="C86" s="844">
        <v>1.0309737102652559</v>
      </c>
      <c r="D86" s="845">
        <v>0.6515448678781984</v>
      </c>
      <c r="E86" s="845">
        <v>0.03830228311498215</v>
      </c>
      <c r="F86" s="844">
        <f t="shared" si="1"/>
        <v>0.6925521238</v>
      </c>
      <c r="G86" s="845">
        <v>0.026437164736179304</v>
      </c>
      <c r="H86" s="844">
        <f t="shared" si="2"/>
        <v>0.7113584236</v>
      </c>
      <c r="I86" s="846">
        <v>0.572471775665538</v>
      </c>
      <c r="J86" s="845">
        <v>0.5192104768899954</v>
      </c>
      <c r="K86" s="845">
        <v>0.6945913812886989</v>
      </c>
      <c r="L86" s="844">
        <v>0.7062658331251642</v>
      </c>
      <c r="M86" s="844">
        <v>0.5969080740252654</v>
      </c>
      <c r="N86" s="847">
        <v>0.39</v>
      </c>
      <c r="O86" s="844">
        <v>0.6272301130782924</v>
      </c>
      <c r="P86" s="848" t="str">
        <f t="shared" si="3"/>
        <v>#REF!</v>
      </c>
      <c r="Q86" s="810"/>
      <c r="R86" s="810"/>
      <c r="S86" s="810"/>
      <c r="T86" s="810"/>
      <c r="U86" s="810"/>
      <c r="V86" s="810"/>
      <c r="W86" s="810"/>
      <c r="X86" s="810"/>
      <c r="Y86" s="810"/>
      <c r="Z86" s="810"/>
    </row>
    <row r="87">
      <c r="A87" s="842" t="s">
        <v>38501</v>
      </c>
      <c r="B87" s="843">
        <v>13.0</v>
      </c>
      <c r="C87" s="844">
        <v>0.6675697330631398</v>
      </c>
      <c r="D87" s="845">
        <v>0.6581757353373286</v>
      </c>
      <c r="E87" s="845">
        <v>0.16454371176768529</v>
      </c>
      <c r="F87" s="844">
        <f t="shared" si="1"/>
        <v>0.446943974</v>
      </c>
      <c r="G87" s="845">
        <v>0.05543602010882578</v>
      </c>
      <c r="H87" s="844">
        <f t="shared" si="2"/>
        <v>0.4731749077</v>
      </c>
      <c r="I87" s="846">
        <v>0.44427105868248346</v>
      </c>
      <c r="J87" s="845">
        <v>0.28264661461127033</v>
      </c>
      <c r="K87" s="845">
        <v>0.2850256744980758</v>
      </c>
      <c r="L87" s="844">
        <v>0.2812326219094314</v>
      </c>
      <c r="M87" s="844">
        <v>0.3451030636472698</v>
      </c>
      <c r="N87" s="847">
        <v>0.15</v>
      </c>
      <c r="O87" s="844">
        <v>0.21200696239163366</v>
      </c>
      <c r="P87" s="848" t="str">
        <f t="shared" si="3"/>
        <v>#REF!</v>
      </c>
      <c r="Q87" s="810"/>
      <c r="R87" s="810"/>
      <c r="S87" s="810"/>
      <c r="T87" s="810"/>
      <c r="U87" s="810"/>
      <c r="V87" s="810"/>
      <c r="W87" s="810"/>
      <c r="X87" s="810"/>
      <c r="Y87" s="810"/>
      <c r="Z87" s="810"/>
    </row>
    <row r="88">
      <c r="A88" s="842" t="s">
        <v>38502</v>
      </c>
      <c r="B88" s="843">
        <v>69.0</v>
      </c>
      <c r="C88" s="844">
        <v>1.4599765370156599</v>
      </c>
      <c r="D88" s="845">
        <v>0.66577209240564</v>
      </c>
      <c r="E88" s="845">
        <v>0.08142422866048325</v>
      </c>
      <c r="F88" s="844">
        <f t="shared" si="1"/>
        <v>0.9737532386</v>
      </c>
      <c r="G88" s="845">
        <v>0.08220035068588367</v>
      </c>
      <c r="H88" s="844">
        <f t="shared" si="2"/>
        <v>1.060964928</v>
      </c>
      <c r="I88" s="846">
        <v>0.4849956687865248</v>
      </c>
      <c r="J88" s="845">
        <v>0.38051359185436157</v>
      </c>
      <c r="K88" s="845">
        <v>1.0024098795355374</v>
      </c>
      <c r="L88" s="844">
        <v>0.7117119465176714</v>
      </c>
      <c r="M88" s="844">
        <v>0.9144446236425152</v>
      </c>
      <c r="N88" s="847">
        <v>1.19</v>
      </c>
      <c r="O88" s="844">
        <v>1.437433727843527</v>
      </c>
      <c r="P88" s="848" t="str">
        <f t="shared" si="3"/>
        <v>#REF!</v>
      </c>
      <c r="Q88" s="810"/>
      <c r="R88" s="810"/>
      <c r="S88" s="810"/>
      <c r="T88" s="810"/>
      <c r="U88" s="810"/>
      <c r="V88" s="810"/>
      <c r="W88" s="810"/>
      <c r="X88" s="810"/>
      <c r="Y88" s="810"/>
      <c r="Z88" s="810"/>
    </row>
    <row r="89">
      <c r="A89" s="849" t="s">
        <v>38503</v>
      </c>
      <c r="B89" s="850">
        <v>16.0</v>
      </c>
      <c r="C89" s="851">
        <v>1.1770946700328646</v>
      </c>
      <c r="D89" s="852">
        <v>0.6680142260029055</v>
      </c>
      <c r="E89" s="852">
        <v>0.19532686112334122</v>
      </c>
      <c r="F89" s="851">
        <f t="shared" si="1"/>
        <v>0.7842014011</v>
      </c>
      <c r="G89" s="852">
        <v>0.07177203263323499</v>
      </c>
      <c r="H89" s="851">
        <f t="shared" si="2"/>
        <v>0.8448370752</v>
      </c>
      <c r="I89" s="853">
        <v>0.4441949474746268</v>
      </c>
      <c r="J89" s="852">
        <v>0.35220934553840333</v>
      </c>
      <c r="K89" s="852">
        <v>0.18329346039703018</v>
      </c>
      <c r="L89" s="851">
        <v>1.3336679465607404</v>
      </c>
      <c r="M89" s="851">
        <v>1.2442326298508288</v>
      </c>
      <c r="N89" s="854">
        <v>0.83</v>
      </c>
      <c r="O89" s="851">
        <v>1.111467824035779</v>
      </c>
      <c r="P89" s="855" t="str">
        <f t="shared" si="3"/>
        <v>#REF!</v>
      </c>
      <c r="Q89" s="810"/>
      <c r="R89" s="810"/>
      <c r="S89" s="810"/>
      <c r="T89" s="810"/>
      <c r="U89" s="810"/>
      <c r="V89" s="810"/>
      <c r="W89" s="810"/>
      <c r="X89" s="810"/>
      <c r="Y89" s="810"/>
      <c r="Z89" s="810"/>
    </row>
    <row r="90">
      <c r="A90" s="842" t="s">
        <v>38504</v>
      </c>
      <c r="B90" s="843">
        <v>23.0</v>
      </c>
      <c r="C90" s="844">
        <v>0.9912553313271651</v>
      </c>
      <c r="D90" s="845">
        <v>0.7141092672105881</v>
      </c>
      <c r="E90" s="845">
        <v>0.06902111794587905</v>
      </c>
      <c r="F90" s="844">
        <f t="shared" si="1"/>
        <v>0.6455242138</v>
      </c>
      <c r="G90" s="845">
        <v>0.01670353878185875</v>
      </c>
      <c r="H90" s="844">
        <f t="shared" si="2"/>
        <v>0.6564899187</v>
      </c>
      <c r="I90" s="846">
        <v>0.42358629907014234</v>
      </c>
      <c r="J90" s="845">
        <v>0.33549336269635954</v>
      </c>
      <c r="K90" s="845">
        <v>0.3356125997123904</v>
      </c>
      <c r="L90" s="844">
        <v>0.6231608561764338</v>
      </c>
      <c r="M90" s="844">
        <v>0.6175192303191579</v>
      </c>
      <c r="N90" s="847">
        <v>0.6</v>
      </c>
      <c r="O90" s="844">
        <v>0.8645108713214169</v>
      </c>
      <c r="P90" s="848" t="str">
        <f t="shared" si="3"/>
        <v>#REF!</v>
      </c>
      <c r="Q90" s="810"/>
      <c r="R90" s="810"/>
      <c r="S90" s="810"/>
      <c r="T90" s="810"/>
      <c r="U90" s="810"/>
      <c r="V90" s="810"/>
      <c r="W90" s="810"/>
      <c r="X90" s="810"/>
      <c r="Y90" s="810"/>
      <c r="Z90" s="810"/>
    </row>
    <row r="91">
      <c r="A91" s="849" t="s">
        <v>38505</v>
      </c>
      <c r="B91" s="850">
        <v>15.0</v>
      </c>
      <c r="C91" s="851">
        <v>0.6351394196016483</v>
      </c>
      <c r="D91" s="852">
        <v>0.7417500350202615</v>
      </c>
      <c r="E91" s="852">
        <v>0.1320304774832625</v>
      </c>
      <c r="F91" s="851">
        <f t="shared" si="1"/>
        <v>0.4081053187</v>
      </c>
      <c r="G91" s="852">
        <v>0.0033127957239668755</v>
      </c>
      <c r="H91" s="851">
        <f t="shared" si="2"/>
        <v>0.409461782</v>
      </c>
      <c r="I91" s="853">
        <v>0.15608401947167233</v>
      </c>
      <c r="J91" s="852">
        <v>0.1497076220101746</v>
      </c>
      <c r="K91" s="852">
        <v>0.09361578447409787</v>
      </c>
      <c r="L91" s="851">
        <v>0.1745698394445703</v>
      </c>
      <c r="M91" s="851">
        <v>0.18968841681761509</v>
      </c>
      <c r="N91" s="854">
        <v>0.48</v>
      </c>
      <c r="O91" s="851">
        <v>0.5962187862572423</v>
      </c>
      <c r="P91" s="855" t="str">
        <f t="shared" si="3"/>
        <v>#REF!</v>
      </c>
      <c r="Q91" s="810"/>
      <c r="R91" s="810"/>
      <c r="S91" s="810"/>
      <c r="T91" s="810"/>
      <c r="U91" s="810"/>
      <c r="V91" s="810"/>
      <c r="W91" s="810"/>
      <c r="X91" s="810"/>
      <c r="Y91" s="810"/>
      <c r="Z91" s="810"/>
    </row>
    <row r="92">
      <c r="A92" s="842" t="s">
        <v>38506</v>
      </c>
      <c r="B92" s="843">
        <v>48.0</v>
      </c>
      <c r="C92" s="844">
        <v>0.7250009747102386</v>
      </c>
      <c r="D92" s="845">
        <v>0.7715575373016235</v>
      </c>
      <c r="E92" s="845">
        <v>0.12298398219937019</v>
      </c>
      <c r="F92" s="844">
        <f t="shared" si="1"/>
        <v>0.4592484959</v>
      </c>
      <c r="G92" s="845">
        <v>0.01029660045083866</v>
      </c>
      <c r="H92" s="844">
        <f t="shared" si="2"/>
        <v>0.4640263902</v>
      </c>
      <c r="I92" s="846">
        <v>0.2556313254305959</v>
      </c>
      <c r="J92" s="845">
        <v>0.1717812350329328</v>
      </c>
      <c r="K92" s="845">
        <v>0.08060268856782013</v>
      </c>
      <c r="L92" s="844">
        <v>0.3460165075906414</v>
      </c>
      <c r="M92" s="844">
        <v>0.37843539998307546</v>
      </c>
      <c r="N92" s="847">
        <v>0.43</v>
      </c>
      <c r="O92" s="844">
        <v>0.5574641631069509</v>
      </c>
      <c r="P92" s="848" t="str">
        <f t="shared" si="3"/>
        <v>#REF!</v>
      </c>
      <c r="Q92" s="810"/>
      <c r="R92" s="810"/>
      <c r="S92" s="810"/>
      <c r="T92" s="810"/>
      <c r="U92" s="810"/>
      <c r="V92" s="810"/>
      <c r="W92" s="810"/>
      <c r="X92" s="810"/>
      <c r="Y92" s="810"/>
      <c r="Z92" s="810"/>
    </row>
    <row r="93">
      <c r="A93" s="849" t="s">
        <v>38507</v>
      </c>
      <c r="B93" s="850">
        <v>223.0</v>
      </c>
      <c r="C93" s="851">
        <v>1.063376043005491</v>
      </c>
      <c r="D93" s="852">
        <v>0.7732793309077326</v>
      </c>
      <c r="E93" s="852">
        <v>0.033816563274859365</v>
      </c>
      <c r="F93" s="851">
        <f t="shared" si="1"/>
        <v>0.6730400648</v>
      </c>
      <c r="G93" s="852">
        <v>0.018257812982754706</v>
      </c>
      <c r="H93" s="851">
        <f t="shared" si="2"/>
        <v>0.6855568332</v>
      </c>
      <c r="I93" s="853">
        <v>0.3082774695650108</v>
      </c>
      <c r="J93" s="852">
        <v>0.21541532639566627</v>
      </c>
      <c r="K93" s="852">
        <v>0.20589119125697528</v>
      </c>
      <c r="L93" s="851">
        <v>0.409468579532681</v>
      </c>
      <c r="M93" s="851">
        <v>0.4256203375693727</v>
      </c>
      <c r="N93" s="854">
        <v>0.79</v>
      </c>
      <c r="O93" s="851">
        <v>0.9882216516797577</v>
      </c>
      <c r="P93" s="855" t="str">
        <f t="shared" si="3"/>
        <v>#REF!</v>
      </c>
      <c r="Q93" s="810"/>
      <c r="R93" s="810"/>
      <c r="S93" s="810"/>
      <c r="T93" s="810"/>
      <c r="U93" s="810"/>
      <c r="V93" s="810"/>
      <c r="W93" s="810"/>
      <c r="X93" s="810"/>
      <c r="Y93" s="810"/>
      <c r="Z93" s="810"/>
    </row>
    <row r="94">
      <c r="A94" s="849" t="s">
        <v>38508</v>
      </c>
      <c r="B94" s="850">
        <v>34.0</v>
      </c>
      <c r="C94" s="851">
        <v>1.174001444953803</v>
      </c>
      <c r="D94" s="852">
        <v>0.8723742598020087</v>
      </c>
      <c r="E94" s="852">
        <v>0.09557019609780229</v>
      </c>
      <c r="F94" s="851">
        <f t="shared" si="1"/>
        <v>0.7096748748</v>
      </c>
      <c r="G94" s="852">
        <v>0.01853821258731876</v>
      </c>
      <c r="H94" s="851">
        <f t="shared" si="2"/>
        <v>0.7230794758</v>
      </c>
      <c r="I94" s="853">
        <v>0.6027909329624173</v>
      </c>
      <c r="J94" s="852">
        <v>0.5119442326502478</v>
      </c>
      <c r="K94" s="852">
        <v>0.18609860515663568</v>
      </c>
      <c r="L94" s="851">
        <v>0.5521951118294665</v>
      </c>
      <c r="M94" s="851">
        <v>0.6255623897598616</v>
      </c>
      <c r="N94" s="854">
        <v>0.8</v>
      </c>
      <c r="O94" s="851">
        <v>0.9635819983948228</v>
      </c>
      <c r="P94" s="855" t="str">
        <f t="shared" si="3"/>
        <v>#REF!</v>
      </c>
      <c r="Q94" s="810"/>
      <c r="R94" s="810"/>
      <c r="S94" s="810"/>
      <c r="T94" s="810"/>
      <c r="U94" s="810"/>
      <c r="V94" s="810"/>
      <c r="W94" s="810"/>
      <c r="X94" s="810"/>
      <c r="Y94" s="810"/>
      <c r="Z94" s="810"/>
    </row>
    <row r="95">
      <c r="A95" s="842" t="s">
        <v>38509</v>
      </c>
      <c r="B95" s="843">
        <v>27.0</v>
      </c>
      <c r="C95" s="844">
        <v>0.9393536603143791</v>
      </c>
      <c r="D95" s="845">
        <v>0.9240320674011627</v>
      </c>
      <c r="E95" s="845">
        <v>0.11407564986678613</v>
      </c>
      <c r="F95" s="844">
        <f t="shared" si="1"/>
        <v>0.5548377532</v>
      </c>
      <c r="G95" s="845">
        <v>0.16873839578331887</v>
      </c>
      <c r="H95" s="844">
        <f t="shared" si="2"/>
        <v>0.667464671</v>
      </c>
      <c r="I95" s="846">
        <v>0.37737813626902367</v>
      </c>
      <c r="J95" s="845">
        <v>0.28891454530535254</v>
      </c>
      <c r="K95" s="845">
        <v>0.19531559316980887</v>
      </c>
      <c r="L95" s="844">
        <v>0.7033562806382644</v>
      </c>
      <c r="M95" s="844">
        <v>0.7324805743770343</v>
      </c>
      <c r="N95" s="847">
        <v>0.64</v>
      </c>
      <c r="O95" s="844">
        <v>0.8829882032543376</v>
      </c>
      <c r="P95" s="848" t="str">
        <f t="shared" si="3"/>
        <v>#REF!</v>
      </c>
      <c r="Q95" s="810"/>
      <c r="R95" s="810"/>
      <c r="S95" s="810"/>
      <c r="T95" s="810"/>
      <c r="U95" s="810"/>
      <c r="V95" s="810"/>
      <c r="W95" s="810"/>
      <c r="X95" s="810"/>
      <c r="Y95" s="810"/>
      <c r="Z95" s="810"/>
    </row>
    <row r="96">
      <c r="A96" s="849" t="s">
        <v>38510</v>
      </c>
      <c r="B96" s="850">
        <v>10.0</v>
      </c>
      <c r="C96" s="851">
        <v>1.2551641961018303</v>
      </c>
      <c r="D96" s="852">
        <v>1.0726584461257194</v>
      </c>
      <c r="E96" s="852">
        <v>0.21948943063387358</v>
      </c>
      <c r="F96" s="851">
        <f t="shared" si="1"/>
        <v>0.6955768826</v>
      </c>
      <c r="G96" s="852">
        <v>0.014652309221875827</v>
      </c>
      <c r="H96" s="851">
        <f t="shared" si="2"/>
        <v>0.7059202443</v>
      </c>
      <c r="I96" s="853">
        <v>0.4067510262609936</v>
      </c>
      <c r="J96" s="852">
        <v>0.25406917505650006</v>
      </c>
      <c r="K96" s="852">
        <v>0.28732110193947924</v>
      </c>
      <c r="L96" s="851">
        <v>0.761515774451065</v>
      </c>
      <c r="M96" s="851">
        <v>0.776608279328833</v>
      </c>
      <c r="N96" s="854">
        <v>0.7</v>
      </c>
      <c r="O96" s="851">
        <v>0.6641386109632104</v>
      </c>
      <c r="P96" s="855" t="str">
        <f t="shared" si="3"/>
        <v>#REF!</v>
      </c>
      <c r="Q96" s="810"/>
      <c r="R96" s="810"/>
      <c r="S96" s="810"/>
      <c r="T96" s="810"/>
      <c r="U96" s="810"/>
      <c r="V96" s="810"/>
      <c r="W96" s="810"/>
      <c r="X96" s="810"/>
      <c r="Y96" s="810"/>
      <c r="Z96" s="810"/>
    </row>
    <row r="97">
      <c r="A97" s="842" t="s">
        <v>38511</v>
      </c>
      <c r="B97" s="843">
        <v>60.0</v>
      </c>
      <c r="C97" s="844">
        <v>1.3454843302112593</v>
      </c>
      <c r="D97" s="845">
        <v>1.0925740752439148</v>
      </c>
      <c r="E97" s="845">
        <v>0.054661662502489834</v>
      </c>
      <c r="F97" s="844">
        <f t="shared" si="1"/>
        <v>0.7395084827</v>
      </c>
      <c r="G97" s="845">
        <v>0.08137943505084179</v>
      </c>
      <c r="H97" s="844">
        <f t="shared" si="2"/>
        <v>0.8050206047</v>
      </c>
      <c r="I97" s="846">
        <v>0.5368798902000679</v>
      </c>
      <c r="J97" s="845">
        <v>0.44434220453063733</v>
      </c>
      <c r="K97" s="845">
        <v>1.2181846340506288</v>
      </c>
      <c r="L97" s="844">
        <v>0.9528770584096617</v>
      </c>
      <c r="M97" s="844">
        <v>0.6750476077656148</v>
      </c>
      <c r="N97" s="847">
        <v>0.75</v>
      </c>
      <c r="O97" s="844">
        <v>0.8711247503573315</v>
      </c>
      <c r="P97" s="848" t="str">
        <f t="shared" si="3"/>
        <v>#REF!</v>
      </c>
      <c r="Q97" s="810"/>
      <c r="R97" s="810"/>
      <c r="S97" s="810"/>
      <c r="T97" s="810"/>
      <c r="U97" s="810"/>
      <c r="V97" s="810"/>
      <c r="W97" s="810"/>
      <c r="X97" s="810"/>
      <c r="Y97" s="810"/>
      <c r="Z97" s="810"/>
    </row>
    <row r="98">
      <c r="A98" s="842" t="s">
        <v>38512</v>
      </c>
      <c r="B98" s="843">
        <v>18.0</v>
      </c>
      <c r="C98" s="844">
        <v>1.5166924498761216</v>
      </c>
      <c r="D98" s="845">
        <v>1.1255656150447586</v>
      </c>
      <c r="E98" s="845">
        <v>0.06664021651309512</v>
      </c>
      <c r="F98" s="844">
        <f t="shared" si="1"/>
        <v>0.8224236304</v>
      </c>
      <c r="G98" s="845">
        <v>0.0694510769416436</v>
      </c>
      <c r="H98" s="844">
        <f t="shared" si="2"/>
        <v>0.8838048274</v>
      </c>
      <c r="I98" s="846">
        <v>0.5935560500176223</v>
      </c>
      <c r="J98" s="845">
        <v>0.5125063500210518</v>
      </c>
      <c r="K98" s="845">
        <v>0.6987425968407183</v>
      </c>
      <c r="L98" s="844">
        <v>0.8710375930164825</v>
      </c>
      <c r="M98" s="844">
        <v>0.8910740523856756</v>
      </c>
      <c r="N98" s="847">
        <v>0.56</v>
      </c>
      <c r="O98" s="844">
        <v>0.7424411801966027</v>
      </c>
      <c r="P98" s="848" t="str">
        <f t="shared" si="3"/>
        <v>#REF!</v>
      </c>
      <c r="Q98" s="810"/>
      <c r="R98" s="810"/>
      <c r="S98" s="810"/>
      <c r="T98" s="810"/>
      <c r="U98" s="810"/>
      <c r="V98" s="810"/>
      <c r="W98" s="810"/>
      <c r="X98" s="810"/>
      <c r="Y98" s="810"/>
      <c r="Z98" s="810"/>
    </row>
    <row r="99">
      <c r="A99" s="842" t="s">
        <v>38513</v>
      </c>
      <c r="B99" s="843">
        <v>49.0</v>
      </c>
      <c r="C99" s="844">
        <v>0.8822681652856597</v>
      </c>
      <c r="D99" s="845">
        <v>1.177175991928478</v>
      </c>
      <c r="E99" s="845">
        <v>0.06536808307836371</v>
      </c>
      <c r="F99" s="844">
        <f t="shared" si="1"/>
        <v>0.4685732659</v>
      </c>
      <c r="G99" s="845">
        <v>0.01125298621890258</v>
      </c>
      <c r="H99" s="844">
        <f t="shared" si="2"/>
        <v>0.473906125</v>
      </c>
      <c r="I99" s="846">
        <v>0.5554026212509242</v>
      </c>
      <c r="J99" s="845">
        <v>0.5537169562159238</v>
      </c>
      <c r="K99" s="845">
        <v>0.22217299283269712</v>
      </c>
      <c r="L99" s="844">
        <v>0.7408260327170008</v>
      </c>
      <c r="M99" s="844">
        <v>0.6665842243194448</v>
      </c>
      <c r="N99" s="847">
        <v>0.42</v>
      </c>
      <c r="O99" s="844">
        <v>0.509153351164839</v>
      </c>
      <c r="P99" s="848" t="str">
        <f t="shared" si="3"/>
        <v>#REF!</v>
      </c>
      <c r="Q99" s="810"/>
      <c r="R99" s="810"/>
      <c r="S99" s="810"/>
      <c r="T99" s="810"/>
      <c r="U99" s="810"/>
      <c r="V99" s="810"/>
      <c r="W99" s="810"/>
      <c r="X99" s="810"/>
      <c r="Y99" s="810"/>
      <c r="Z99" s="810"/>
    </row>
    <row r="100">
      <c r="A100" s="842" t="s">
        <v>38514</v>
      </c>
      <c r="B100" s="843">
        <v>19.0</v>
      </c>
      <c r="C100" s="844">
        <v>1.60070111091836</v>
      </c>
      <c r="D100" s="845">
        <v>1.2111640347849206</v>
      </c>
      <c r="E100" s="845">
        <v>0.06727922973761617</v>
      </c>
      <c r="F100" s="844">
        <f t="shared" si="1"/>
        <v>0.8387778956</v>
      </c>
      <c r="G100" s="845">
        <v>0.04379247523402989</v>
      </c>
      <c r="H100" s="844">
        <f t="shared" si="2"/>
        <v>0.8771923185</v>
      </c>
      <c r="I100" s="846">
        <v>0.6770603046757789</v>
      </c>
      <c r="J100" s="845">
        <v>0.6759835919999633</v>
      </c>
      <c r="K100" s="845">
        <v>0.6282189602833063</v>
      </c>
      <c r="L100" s="844">
        <v>0.7987630939198215</v>
      </c>
      <c r="M100" s="844">
        <v>0.593772952019942</v>
      </c>
      <c r="N100" s="847">
        <v>0.68</v>
      </c>
      <c r="O100" s="844">
        <v>1.0952567764169068</v>
      </c>
      <c r="P100" s="848" t="str">
        <f t="shared" si="3"/>
        <v>#REF!</v>
      </c>
      <c r="Q100" s="810"/>
      <c r="R100" s="810"/>
      <c r="S100" s="810"/>
      <c r="T100" s="810"/>
      <c r="U100" s="810"/>
      <c r="V100" s="810"/>
      <c r="W100" s="810"/>
      <c r="X100" s="810"/>
      <c r="Y100" s="810"/>
      <c r="Z100" s="810"/>
    </row>
    <row r="101">
      <c r="A101" s="849" t="s">
        <v>17619</v>
      </c>
      <c r="B101" s="850">
        <v>26.0</v>
      </c>
      <c r="C101" s="851">
        <v>1.322058642547223</v>
      </c>
      <c r="D101" s="852">
        <v>1.4683207619722523</v>
      </c>
      <c r="E101" s="852">
        <v>0.1576323221290473</v>
      </c>
      <c r="F101" s="851">
        <f t="shared" si="1"/>
        <v>0.6291800475</v>
      </c>
      <c r="G101" s="852">
        <v>0.10393630501139743</v>
      </c>
      <c r="H101" s="851">
        <f t="shared" si="2"/>
        <v>0.7021599592</v>
      </c>
      <c r="I101" s="853">
        <v>0.558392045026283</v>
      </c>
      <c r="J101" s="852">
        <v>0.468984145587513</v>
      </c>
      <c r="K101" s="852">
        <v>0.3165910010704478</v>
      </c>
      <c r="L101" s="851">
        <v>0.5086546647315182</v>
      </c>
      <c r="M101" s="851">
        <v>0.729937390293151</v>
      </c>
      <c r="N101" s="854">
        <v>0.65</v>
      </c>
      <c r="O101" s="851">
        <v>0.8112721237191215</v>
      </c>
      <c r="P101" s="855" t="str">
        <f t="shared" si="3"/>
        <v>#REF!</v>
      </c>
      <c r="Q101" s="810"/>
      <c r="R101" s="810"/>
      <c r="S101" s="810"/>
      <c r="T101" s="810"/>
      <c r="U101" s="810"/>
      <c r="V101" s="810"/>
      <c r="W101" s="810"/>
      <c r="X101" s="810"/>
      <c r="Y101" s="810"/>
      <c r="Z101" s="810"/>
    </row>
    <row r="102">
      <c r="A102" s="849" t="s">
        <v>38515</v>
      </c>
      <c r="B102" s="850">
        <v>21.0</v>
      </c>
      <c r="C102" s="851">
        <v>1.4159650876966507</v>
      </c>
      <c r="D102" s="852">
        <v>1.8633437109872604</v>
      </c>
      <c r="E102" s="852">
        <v>0.10471812677937932</v>
      </c>
      <c r="F102" s="851">
        <f t="shared" si="1"/>
        <v>0.5905987449</v>
      </c>
      <c r="G102" s="852">
        <v>0.14899071469326405</v>
      </c>
      <c r="H102" s="851">
        <f t="shared" si="2"/>
        <v>0.6939980034</v>
      </c>
      <c r="I102" s="853">
        <v>0.44026952881288556</v>
      </c>
      <c r="J102" s="852">
        <v>0.37727498727802966</v>
      </c>
      <c r="K102" s="852">
        <v>2.2120098410672444</v>
      </c>
      <c r="L102" s="851">
        <v>0.6344901276087225</v>
      </c>
      <c r="M102" s="851">
        <v>0.8436729976274394</v>
      </c>
      <c r="N102" s="854">
        <v>0.91</v>
      </c>
      <c r="O102" s="851">
        <v>0.914138227895993</v>
      </c>
      <c r="P102" s="855" t="str">
        <f t="shared" si="3"/>
        <v>#REF!</v>
      </c>
      <c r="Q102" s="810"/>
      <c r="R102" s="810"/>
      <c r="S102" s="810"/>
      <c r="T102" s="810"/>
      <c r="U102" s="810"/>
      <c r="V102" s="810"/>
      <c r="W102" s="810"/>
      <c r="X102" s="810"/>
      <c r="Y102" s="810"/>
      <c r="Z102" s="810"/>
    </row>
    <row r="103">
      <c r="A103" s="842" t="s">
        <v>38516</v>
      </c>
      <c r="B103" s="843">
        <v>30.0</v>
      </c>
      <c r="C103" s="844">
        <v>1.2048082896180194</v>
      </c>
      <c r="D103" s="845">
        <v>2.0108831543010175</v>
      </c>
      <c r="E103" s="845">
        <v>0.15316532055412033</v>
      </c>
      <c r="F103" s="844">
        <f t="shared" si="1"/>
        <v>0.4803549826</v>
      </c>
      <c r="G103" s="845">
        <v>0.30759698309671335</v>
      </c>
      <c r="H103" s="844">
        <f t="shared" si="2"/>
        <v>0.6937505628</v>
      </c>
      <c r="I103" s="846">
        <v>0.35452868010802446</v>
      </c>
      <c r="J103" s="845">
        <v>0.2799624925624301</v>
      </c>
      <c r="K103" s="845">
        <v>0.3787979681993663</v>
      </c>
      <c r="L103" s="844">
        <v>0.4576710177663197</v>
      </c>
      <c r="M103" s="844">
        <v>0.5676743238719565</v>
      </c>
      <c r="N103" s="847">
        <v>0.57</v>
      </c>
      <c r="O103" s="844">
        <v>0.6700703117819938</v>
      </c>
      <c r="P103" s="848" t="str">
        <f t="shared" si="3"/>
        <v>#REF!</v>
      </c>
      <c r="Q103" s="810"/>
      <c r="R103" s="810"/>
      <c r="S103" s="810"/>
      <c r="T103" s="810"/>
      <c r="U103" s="810"/>
      <c r="V103" s="810"/>
      <c r="W103" s="810"/>
      <c r="X103" s="810"/>
      <c r="Y103" s="810"/>
      <c r="Z103" s="810"/>
    </row>
    <row r="104">
      <c r="A104" s="849" t="s">
        <v>38517</v>
      </c>
      <c r="B104" s="850">
        <v>7.0</v>
      </c>
      <c r="C104" s="851">
        <v>1.0801015876287672</v>
      </c>
      <c r="D104" s="852">
        <v>2.1638477432836223</v>
      </c>
      <c r="E104" s="852">
        <v>0.16253159242370313</v>
      </c>
      <c r="F104" s="851">
        <f t="shared" si="1"/>
        <v>0.4117989371</v>
      </c>
      <c r="G104" s="852">
        <v>0.443019260041712</v>
      </c>
      <c r="H104" s="851">
        <f t="shared" si="2"/>
        <v>0.7393414306</v>
      </c>
      <c r="I104" s="853">
        <v>0.22354726306204947</v>
      </c>
      <c r="J104" s="852">
        <v>0.19594323414619666</v>
      </c>
      <c r="K104" s="852" t="s">
        <v>26809</v>
      </c>
      <c r="L104" s="851">
        <v>0.4282334507505517</v>
      </c>
      <c r="M104" s="851">
        <v>0.5595414670761663</v>
      </c>
      <c r="N104" s="854">
        <v>0.59</v>
      </c>
      <c r="O104" s="851">
        <v>1.0325147457583626</v>
      </c>
      <c r="P104" s="855" t="str">
        <f t="shared" si="3"/>
        <v>#REF!</v>
      </c>
      <c r="Q104" s="810"/>
      <c r="R104" s="810"/>
      <c r="S104" s="810"/>
      <c r="T104" s="810"/>
      <c r="U104" s="810"/>
      <c r="V104" s="810"/>
      <c r="W104" s="810"/>
      <c r="X104" s="810"/>
      <c r="Y104" s="810"/>
      <c r="Z104" s="810"/>
    </row>
    <row r="105">
      <c r="A105" s="849" t="s">
        <v>38518</v>
      </c>
      <c r="B105" s="850">
        <v>3.0</v>
      </c>
      <c r="C105" s="851">
        <v>0.8380149796297053</v>
      </c>
      <c r="D105" s="852">
        <v>3.303339604619385</v>
      </c>
      <c r="E105" s="852">
        <v>0.0</v>
      </c>
      <c r="F105" s="851">
        <f t="shared" si="1"/>
        <v>0.2409816955</v>
      </c>
      <c r="G105" s="852">
        <v>0.09969102162421777</v>
      </c>
      <c r="H105" s="851">
        <f t="shared" si="2"/>
        <v>0.2676655474</v>
      </c>
      <c r="I105" s="853">
        <v>0.4502618640265363</v>
      </c>
      <c r="J105" s="852">
        <v>0.39785998397496214</v>
      </c>
      <c r="K105" s="852">
        <v>0.5067199861505031</v>
      </c>
      <c r="L105" s="851">
        <v>0.23902988074589715</v>
      </c>
      <c r="M105" s="851">
        <v>0.45318132931651134</v>
      </c>
      <c r="N105" s="854">
        <v>0.54</v>
      </c>
      <c r="O105" s="851">
        <v>0.5892129358333806</v>
      </c>
      <c r="P105" s="855" t="str">
        <f t="shared" si="3"/>
        <v>#REF!</v>
      </c>
      <c r="Q105" s="810"/>
      <c r="R105" s="810"/>
      <c r="S105" s="810"/>
      <c r="T105" s="810"/>
      <c r="U105" s="810"/>
      <c r="V105" s="810"/>
      <c r="W105" s="810"/>
      <c r="X105" s="810"/>
      <c r="Y105" s="810"/>
      <c r="Z105" s="810"/>
    </row>
    <row r="106">
      <c r="A106" s="842" t="s">
        <v>38519</v>
      </c>
      <c r="B106" s="843">
        <v>223.0</v>
      </c>
      <c r="C106" s="844">
        <v>0.8857250736377152</v>
      </c>
      <c r="D106" s="845">
        <v>10.043963353993375</v>
      </c>
      <c r="E106" s="845">
        <v>0.1460858554783109</v>
      </c>
      <c r="F106" s="844">
        <f t="shared" si="1"/>
        <v>0.1038002961</v>
      </c>
      <c r="G106" s="845">
        <v>0.0223635951229793</v>
      </c>
      <c r="H106" s="844">
        <f t="shared" si="2"/>
        <v>0.1061747451</v>
      </c>
      <c r="I106" s="846">
        <v>0.33784250120258325</v>
      </c>
      <c r="J106" s="845">
        <v>0.2714530650370676</v>
      </c>
      <c r="K106" s="845">
        <v>0.6167037912205172</v>
      </c>
      <c r="L106" s="844">
        <v>0.07561533503134525</v>
      </c>
      <c r="M106" s="844">
        <v>0.09826313785398752</v>
      </c>
      <c r="N106" s="847">
        <v>0.11</v>
      </c>
      <c r="O106" s="844">
        <v>0.15175874715602064</v>
      </c>
      <c r="P106" s="848" t="str">
        <f t="shared" si="3"/>
        <v>#REF!</v>
      </c>
      <c r="Q106" s="810"/>
      <c r="R106" s="810"/>
      <c r="S106" s="810"/>
      <c r="T106" s="810"/>
      <c r="U106" s="810"/>
      <c r="V106" s="810"/>
      <c r="W106" s="810"/>
      <c r="X106" s="810"/>
      <c r="Y106" s="810"/>
      <c r="Z106" s="810"/>
    </row>
    <row r="107">
      <c r="A107" s="810"/>
      <c r="B107" s="810"/>
      <c r="C107" s="810"/>
      <c r="D107" s="810"/>
      <c r="E107" s="810"/>
      <c r="F107" s="810"/>
      <c r="G107" s="810"/>
      <c r="H107" s="810"/>
      <c r="I107" s="810"/>
      <c r="J107" s="810"/>
      <c r="K107" s="810"/>
      <c r="L107" s="810"/>
      <c r="M107" s="810"/>
      <c r="N107" s="810"/>
      <c r="O107" s="810"/>
      <c r="P107" s="811"/>
      <c r="Q107" s="810"/>
      <c r="R107" s="810"/>
      <c r="S107" s="810"/>
      <c r="T107" s="810"/>
      <c r="U107" s="810"/>
      <c r="V107" s="810"/>
      <c r="W107" s="810"/>
      <c r="X107" s="810"/>
      <c r="Y107" s="810"/>
      <c r="Z107" s="810"/>
    </row>
    <row r="108">
      <c r="A108" s="810"/>
      <c r="B108" s="810"/>
      <c r="C108" s="810"/>
      <c r="D108" s="810"/>
      <c r="E108" s="810"/>
      <c r="F108" s="810"/>
      <c r="G108" s="810"/>
      <c r="H108" s="810"/>
      <c r="I108" s="810"/>
      <c r="J108" s="810"/>
      <c r="K108" s="810"/>
      <c r="L108" s="810"/>
      <c r="M108" s="810"/>
      <c r="N108" s="810"/>
      <c r="O108" s="810"/>
      <c r="P108" s="811"/>
      <c r="Q108" s="810"/>
      <c r="R108" s="810"/>
      <c r="S108" s="810"/>
      <c r="T108" s="810"/>
      <c r="U108" s="810"/>
      <c r="V108" s="810"/>
      <c r="W108" s="810"/>
      <c r="X108" s="810"/>
      <c r="Y108" s="810"/>
      <c r="Z108" s="810"/>
    </row>
    <row r="109">
      <c r="A109" s="810"/>
      <c r="B109" s="810"/>
      <c r="C109" s="810"/>
      <c r="D109" s="810"/>
      <c r="E109" s="810"/>
      <c r="F109" s="810"/>
      <c r="G109" s="810"/>
      <c r="H109" s="810"/>
      <c r="I109" s="810"/>
      <c r="J109" s="810"/>
      <c r="K109" s="810"/>
      <c r="L109" s="810"/>
      <c r="M109" s="810"/>
      <c r="N109" s="810"/>
      <c r="O109" s="810"/>
      <c r="P109" s="811"/>
      <c r="Q109" s="810"/>
      <c r="R109" s="810"/>
      <c r="S109" s="810"/>
      <c r="T109" s="810"/>
      <c r="U109" s="810"/>
      <c r="V109" s="810"/>
      <c r="W109" s="810"/>
      <c r="X109" s="810"/>
      <c r="Y109" s="810"/>
      <c r="Z109" s="810"/>
    </row>
    <row r="110">
      <c r="A110" s="810"/>
      <c r="B110" s="810"/>
      <c r="C110" s="810"/>
      <c r="D110" s="810"/>
      <c r="E110" s="810"/>
      <c r="F110" s="810"/>
      <c r="G110" s="810"/>
      <c r="H110" s="810"/>
      <c r="I110" s="810"/>
      <c r="J110" s="810"/>
      <c r="K110" s="810"/>
      <c r="L110" s="810"/>
      <c r="M110" s="810"/>
      <c r="N110" s="810"/>
      <c r="O110" s="810"/>
      <c r="P110" s="811"/>
      <c r="Q110" s="810"/>
      <c r="R110" s="810"/>
      <c r="S110" s="810"/>
      <c r="T110" s="810"/>
      <c r="U110" s="810"/>
      <c r="V110" s="810"/>
      <c r="W110" s="810"/>
      <c r="X110" s="810"/>
      <c r="Y110" s="810"/>
      <c r="Z110" s="810"/>
    </row>
    <row r="111">
      <c r="A111" s="810"/>
      <c r="B111" s="810"/>
      <c r="C111" s="810"/>
      <c r="D111" s="810"/>
      <c r="E111" s="810"/>
      <c r="F111" s="810"/>
      <c r="G111" s="810"/>
      <c r="H111" s="810"/>
      <c r="I111" s="810"/>
      <c r="J111" s="810"/>
      <c r="K111" s="810"/>
      <c r="L111" s="810"/>
      <c r="M111" s="810"/>
      <c r="N111" s="810"/>
      <c r="O111" s="810"/>
      <c r="P111" s="811"/>
      <c r="Q111" s="810"/>
      <c r="R111" s="810"/>
      <c r="S111" s="810"/>
      <c r="T111" s="810"/>
      <c r="U111" s="810"/>
      <c r="V111" s="810"/>
      <c r="W111" s="810"/>
      <c r="X111" s="810"/>
      <c r="Y111" s="810"/>
      <c r="Z111" s="810"/>
    </row>
    <row r="112">
      <c r="A112" s="810"/>
      <c r="B112" s="810"/>
      <c r="C112" s="810"/>
      <c r="D112" s="810"/>
      <c r="E112" s="810"/>
      <c r="F112" s="810"/>
      <c r="G112" s="810"/>
      <c r="H112" s="810"/>
      <c r="I112" s="810"/>
      <c r="J112" s="810"/>
      <c r="K112" s="810"/>
      <c r="L112" s="810"/>
      <c r="M112" s="810"/>
      <c r="N112" s="810"/>
      <c r="O112" s="810"/>
      <c r="P112" s="811"/>
      <c r="Q112" s="810"/>
      <c r="R112" s="810"/>
      <c r="S112" s="810"/>
      <c r="T112" s="810"/>
      <c r="U112" s="810"/>
      <c r="V112" s="810"/>
      <c r="W112" s="810"/>
      <c r="X112" s="810"/>
      <c r="Y112" s="810"/>
      <c r="Z112" s="810"/>
    </row>
    <row r="113">
      <c r="A113" s="810"/>
      <c r="B113" s="810"/>
      <c r="C113" s="810"/>
      <c r="D113" s="810"/>
      <c r="E113" s="810"/>
      <c r="F113" s="810"/>
      <c r="G113" s="810"/>
      <c r="H113" s="810"/>
      <c r="I113" s="810"/>
      <c r="J113" s="810"/>
      <c r="K113" s="810"/>
      <c r="L113" s="810"/>
      <c r="M113" s="810"/>
      <c r="N113" s="810"/>
      <c r="O113" s="810"/>
      <c r="P113" s="811"/>
      <c r="Q113" s="810"/>
      <c r="R113" s="810"/>
      <c r="S113" s="810"/>
      <c r="T113" s="810"/>
      <c r="U113" s="810"/>
      <c r="V113" s="810"/>
      <c r="W113" s="810"/>
      <c r="X113" s="810"/>
      <c r="Y113" s="810"/>
      <c r="Z113" s="810"/>
    </row>
    <row r="114">
      <c r="A114" s="810"/>
      <c r="B114" s="810"/>
      <c r="C114" s="810"/>
      <c r="D114" s="810"/>
      <c r="E114" s="810"/>
      <c r="F114" s="810"/>
      <c r="G114" s="810"/>
      <c r="H114" s="810"/>
      <c r="I114" s="810"/>
      <c r="J114" s="810"/>
      <c r="K114" s="810"/>
      <c r="L114" s="810"/>
      <c r="M114" s="810"/>
      <c r="N114" s="810"/>
      <c r="O114" s="810"/>
      <c r="P114" s="811"/>
      <c r="Q114" s="810"/>
      <c r="R114" s="810"/>
      <c r="S114" s="810"/>
      <c r="T114" s="810"/>
      <c r="U114" s="810"/>
      <c r="V114" s="810"/>
      <c r="W114" s="810"/>
      <c r="X114" s="810"/>
      <c r="Y114" s="810"/>
      <c r="Z114" s="810"/>
    </row>
    <row r="115">
      <c r="A115" s="810"/>
      <c r="B115" s="810"/>
      <c r="C115" s="810"/>
      <c r="D115" s="810"/>
      <c r="E115" s="810"/>
      <c r="F115" s="810"/>
      <c r="G115" s="810"/>
      <c r="H115" s="810"/>
      <c r="I115" s="810"/>
      <c r="J115" s="810"/>
      <c r="K115" s="810"/>
      <c r="L115" s="810"/>
      <c r="M115" s="810"/>
      <c r="N115" s="810"/>
      <c r="O115" s="810"/>
      <c r="P115" s="811"/>
      <c r="Q115" s="810"/>
      <c r="R115" s="810"/>
      <c r="S115" s="810"/>
      <c r="T115" s="810"/>
      <c r="U115" s="810"/>
      <c r="V115" s="810"/>
      <c r="W115" s="810"/>
      <c r="X115" s="810"/>
      <c r="Y115" s="810"/>
      <c r="Z115" s="810"/>
    </row>
    <row r="116">
      <c r="A116" s="810"/>
      <c r="B116" s="810"/>
      <c r="C116" s="810"/>
      <c r="D116" s="810"/>
      <c r="E116" s="810"/>
      <c r="F116" s="810"/>
      <c r="G116" s="810"/>
      <c r="H116" s="810"/>
      <c r="I116" s="810"/>
      <c r="J116" s="810"/>
      <c r="K116" s="810"/>
      <c r="L116" s="810"/>
      <c r="M116" s="810"/>
      <c r="N116" s="810"/>
      <c r="O116" s="810"/>
      <c r="P116" s="811"/>
      <c r="Q116" s="810"/>
      <c r="R116" s="810"/>
      <c r="S116" s="810"/>
      <c r="T116" s="810"/>
      <c r="U116" s="810"/>
      <c r="V116" s="810"/>
      <c r="W116" s="810"/>
      <c r="X116" s="810"/>
      <c r="Y116" s="810"/>
      <c r="Z116" s="810"/>
    </row>
    <row r="117">
      <c r="A117" s="810"/>
      <c r="B117" s="810"/>
      <c r="C117" s="810"/>
      <c r="D117" s="810"/>
      <c r="E117" s="810"/>
      <c r="F117" s="810"/>
      <c r="G117" s="810"/>
      <c r="H117" s="810"/>
      <c r="I117" s="810"/>
      <c r="J117" s="810"/>
      <c r="K117" s="810"/>
      <c r="L117" s="810"/>
      <c r="M117" s="810"/>
      <c r="N117" s="810"/>
      <c r="O117" s="810"/>
      <c r="P117" s="811"/>
      <c r="Q117" s="810"/>
      <c r="R117" s="810"/>
      <c r="S117" s="810"/>
      <c r="T117" s="810"/>
      <c r="U117" s="810"/>
      <c r="V117" s="810"/>
      <c r="W117" s="810"/>
      <c r="X117" s="810"/>
      <c r="Y117" s="810"/>
      <c r="Z117" s="810"/>
    </row>
    <row r="118">
      <c r="A118" s="810"/>
      <c r="B118" s="810"/>
      <c r="C118" s="810"/>
      <c r="D118" s="810"/>
      <c r="E118" s="810"/>
      <c r="F118" s="810"/>
      <c r="G118" s="810"/>
      <c r="H118" s="810"/>
      <c r="I118" s="810"/>
      <c r="J118" s="810"/>
      <c r="K118" s="810"/>
      <c r="L118" s="810"/>
      <c r="M118" s="810"/>
      <c r="N118" s="810"/>
      <c r="O118" s="810"/>
      <c r="P118" s="811"/>
      <c r="Q118" s="810"/>
      <c r="R118" s="810"/>
      <c r="S118" s="810"/>
      <c r="T118" s="810"/>
      <c r="U118" s="810"/>
      <c r="V118" s="810"/>
      <c r="W118" s="810"/>
      <c r="X118" s="810"/>
      <c r="Y118" s="810"/>
      <c r="Z118" s="810"/>
    </row>
    <row r="119">
      <c r="A119" s="810"/>
      <c r="B119" s="810"/>
      <c r="C119" s="810"/>
      <c r="D119" s="810"/>
      <c r="E119" s="810"/>
      <c r="F119" s="810"/>
      <c r="G119" s="810"/>
      <c r="H119" s="810"/>
      <c r="I119" s="810"/>
      <c r="J119" s="810"/>
      <c r="K119" s="810"/>
      <c r="L119" s="810"/>
      <c r="M119" s="810"/>
      <c r="N119" s="810"/>
      <c r="O119" s="810"/>
      <c r="P119" s="811"/>
      <c r="Q119" s="810"/>
      <c r="R119" s="810"/>
      <c r="S119" s="810"/>
      <c r="T119" s="810"/>
      <c r="U119" s="810"/>
      <c r="V119" s="810"/>
      <c r="W119" s="810"/>
      <c r="X119" s="810"/>
      <c r="Y119" s="810"/>
      <c r="Z119" s="810"/>
    </row>
    <row r="120">
      <c r="A120" s="810"/>
      <c r="B120" s="810"/>
      <c r="C120" s="810"/>
      <c r="D120" s="810"/>
      <c r="E120" s="810"/>
      <c r="F120" s="810"/>
      <c r="G120" s="810"/>
      <c r="H120" s="810"/>
      <c r="I120" s="810"/>
      <c r="J120" s="810"/>
      <c r="K120" s="810"/>
      <c r="L120" s="810"/>
      <c r="M120" s="810"/>
      <c r="N120" s="810"/>
      <c r="O120" s="810"/>
      <c r="P120" s="811"/>
      <c r="Q120" s="810"/>
      <c r="R120" s="810"/>
      <c r="S120" s="810"/>
      <c r="T120" s="810"/>
      <c r="U120" s="810"/>
      <c r="V120" s="810"/>
      <c r="W120" s="810"/>
      <c r="X120" s="810"/>
      <c r="Y120" s="810"/>
      <c r="Z120" s="810"/>
    </row>
    <row r="121">
      <c r="A121" s="810"/>
      <c r="B121" s="810"/>
      <c r="C121" s="810"/>
      <c r="D121" s="810"/>
      <c r="E121" s="810"/>
      <c r="F121" s="810"/>
      <c r="G121" s="810"/>
      <c r="H121" s="810"/>
      <c r="I121" s="810"/>
      <c r="J121" s="810"/>
      <c r="K121" s="810"/>
      <c r="L121" s="810"/>
      <c r="M121" s="810"/>
      <c r="N121" s="810"/>
      <c r="O121" s="810"/>
      <c r="P121" s="811"/>
      <c r="Q121" s="810"/>
      <c r="R121" s="810"/>
      <c r="S121" s="810"/>
      <c r="T121" s="810"/>
      <c r="U121" s="810"/>
      <c r="V121" s="810"/>
      <c r="W121" s="810"/>
      <c r="X121" s="810"/>
      <c r="Y121" s="810"/>
      <c r="Z121" s="810"/>
    </row>
    <row r="122">
      <c r="A122" s="810"/>
      <c r="B122" s="810"/>
      <c r="C122" s="810"/>
      <c r="D122" s="810"/>
      <c r="E122" s="810"/>
      <c r="F122" s="810"/>
      <c r="G122" s="810"/>
      <c r="H122" s="810"/>
      <c r="I122" s="810"/>
      <c r="J122" s="810"/>
      <c r="K122" s="810"/>
      <c r="L122" s="810"/>
      <c r="M122" s="810"/>
      <c r="N122" s="810"/>
      <c r="O122" s="810"/>
      <c r="P122" s="811"/>
      <c r="Q122" s="810"/>
      <c r="R122" s="810"/>
      <c r="S122" s="810"/>
      <c r="T122" s="810"/>
      <c r="U122" s="810"/>
      <c r="V122" s="810"/>
      <c r="W122" s="810"/>
      <c r="X122" s="810"/>
      <c r="Y122" s="810"/>
      <c r="Z122" s="810"/>
    </row>
    <row r="123">
      <c r="A123" s="810"/>
      <c r="B123" s="810"/>
      <c r="C123" s="810"/>
      <c r="D123" s="810"/>
      <c r="E123" s="810"/>
      <c r="F123" s="810"/>
      <c r="G123" s="810"/>
      <c r="H123" s="810"/>
      <c r="I123" s="810"/>
      <c r="J123" s="810"/>
      <c r="K123" s="810"/>
      <c r="L123" s="810"/>
      <c r="M123" s="810"/>
      <c r="N123" s="810"/>
      <c r="O123" s="810"/>
      <c r="P123" s="811"/>
      <c r="Q123" s="810"/>
      <c r="R123" s="810"/>
      <c r="S123" s="810"/>
      <c r="T123" s="810"/>
      <c r="U123" s="810"/>
      <c r="V123" s="810"/>
      <c r="W123" s="810"/>
      <c r="X123" s="810"/>
      <c r="Y123" s="810"/>
      <c r="Z123" s="810"/>
    </row>
    <row r="124">
      <c r="A124" s="810"/>
      <c r="B124" s="810"/>
      <c r="C124" s="810"/>
      <c r="D124" s="810"/>
      <c r="E124" s="810"/>
      <c r="F124" s="810"/>
      <c r="G124" s="810"/>
      <c r="H124" s="810"/>
      <c r="I124" s="810"/>
      <c r="J124" s="810"/>
      <c r="K124" s="810"/>
      <c r="L124" s="810"/>
      <c r="M124" s="810"/>
      <c r="N124" s="810"/>
      <c r="O124" s="810"/>
      <c r="P124" s="811"/>
      <c r="Q124" s="810"/>
      <c r="R124" s="810"/>
      <c r="S124" s="810"/>
      <c r="T124" s="810"/>
      <c r="U124" s="810"/>
      <c r="V124" s="810"/>
      <c r="W124" s="810"/>
      <c r="X124" s="810"/>
      <c r="Y124" s="810"/>
      <c r="Z124" s="810"/>
    </row>
    <row r="125">
      <c r="A125" s="810"/>
      <c r="B125" s="810"/>
      <c r="C125" s="810"/>
      <c r="D125" s="810"/>
      <c r="E125" s="810"/>
      <c r="F125" s="810"/>
      <c r="G125" s="810"/>
      <c r="H125" s="810"/>
      <c r="I125" s="810"/>
      <c r="J125" s="810"/>
      <c r="K125" s="810"/>
      <c r="L125" s="810"/>
      <c r="M125" s="810"/>
      <c r="N125" s="810"/>
      <c r="O125" s="810"/>
      <c r="P125" s="811"/>
      <c r="Q125" s="810"/>
      <c r="R125" s="810"/>
      <c r="S125" s="810"/>
      <c r="T125" s="810"/>
      <c r="U125" s="810"/>
      <c r="V125" s="810"/>
      <c r="W125" s="810"/>
      <c r="X125" s="810"/>
      <c r="Y125" s="810"/>
      <c r="Z125" s="810"/>
    </row>
    <row r="126">
      <c r="A126" s="810"/>
      <c r="B126" s="810"/>
      <c r="C126" s="810"/>
      <c r="D126" s="810"/>
      <c r="E126" s="810"/>
      <c r="F126" s="810"/>
      <c r="G126" s="810"/>
      <c r="H126" s="810"/>
      <c r="I126" s="810"/>
      <c r="J126" s="810"/>
      <c r="K126" s="810"/>
      <c r="L126" s="810"/>
      <c r="M126" s="810"/>
      <c r="N126" s="810"/>
      <c r="O126" s="810"/>
      <c r="P126" s="811"/>
      <c r="Q126" s="810"/>
      <c r="R126" s="810"/>
      <c r="S126" s="810"/>
      <c r="T126" s="810"/>
      <c r="U126" s="810"/>
      <c r="V126" s="810"/>
      <c r="W126" s="810"/>
      <c r="X126" s="810"/>
      <c r="Y126" s="810"/>
      <c r="Z126" s="810"/>
    </row>
    <row r="127">
      <c r="A127" s="810"/>
      <c r="B127" s="810"/>
      <c r="C127" s="810"/>
      <c r="D127" s="810"/>
      <c r="E127" s="810"/>
      <c r="F127" s="810"/>
      <c r="G127" s="810"/>
      <c r="H127" s="810"/>
      <c r="I127" s="810"/>
      <c r="J127" s="810"/>
      <c r="K127" s="810"/>
      <c r="L127" s="810"/>
      <c r="M127" s="810"/>
      <c r="N127" s="810"/>
      <c r="O127" s="810"/>
      <c r="P127" s="811"/>
      <c r="Q127" s="810"/>
      <c r="R127" s="810"/>
      <c r="S127" s="810"/>
      <c r="T127" s="810"/>
      <c r="U127" s="810"/>
      <c r="V127" s="810"/>
      <c r="W127" s="810"/>
      <c r="X127" s="810"/>
      <c r="Y127" s="810"/>
      <c r="Z127" s="810"/>
    </row>
    <row r="128">
      <c r="A128" s="810"/>
      <c r="B128" s="810"/>
      <c r="C128" s="810"/>
      <c r="D128" s="810"/>
      <c r="E128" s="810"/>
      <c r="F128" s="810"/>
      <c r="G128" s="810"/>
      <c r="H128" s="810"/>
      <c r="I128" s="810"/>
      <c r="J128" s="810"/>
      <c r="K128" s="810"/>
      <c r="L128" s="810"/>
      <c r="M128" s="810"/>
      <c r="N128" s="810"/>
      <c r="O128" s="810"/>
      <c r="P128" s="811"/>
      <c r="Q128" s="810"/>
      <c r="R128" s="810"/>
      <c r="S128" s="810"/>
      <c r="T128" s="810"/>
      <c r="U128" s="810"/>
      <c r="V128" s="810"/>
      <c r="W128" s="810"/>
      <c r="X128" s="810"/>
      <c r="Y128" s="810"/>
      <c r="Z128" s="810"/>
    </row>
    <row r="129">
      <c r="A129" s="810"/>
      <c r="B129" s="810"/>
      <c r="C129" s="810"/>
      <c r="D129" s="810"/>
      <c r="E129" s="810"/>
      <c r="F129" s="810"/>
      <c r="G129" s="810"/>
      <c r="H129" s="810"/>
      <c r="I129" s="810"/>
      <c r="J129" s="810"/>
      <c r="K129" s="810"/>
      <c r="L129" s="810"/>
      <c r="M129" s="810"/>
      <c r="N129" s="810"/>
      <c r="O129" s="810"/>
      <c r="P129" s="811"/>
      <c r="Q129" s="810"/>
      <c r="R129" s="810"/>
      <c r="S129" s="810"/>
      <c r="T129" s="810"/>
      <c r="U129" s="810"/>
      <c r="V129" s="810"/>
      <c r="W129" s="810"/>
      <c r="X129" s="810"/>
      <c r="Y129" s="810"/>
      <c r="Z129" s="810"/>
    </row>
    <row r="130">
      <c r="A130" s="810"/>
      <c r="B130" s="810"/>
      <c r="C130" s="810"/>
      <c r="D130" s="810"/>
      <c r="E130" s="810"/>
      <c r="F130" s="810"/>
      <c r="G130" s="810"/>
      <c r="H130" s="810"/>
      <c r="I130" s="810"/>
      <c r="J130" s="810"/>
      <c r="K130" s="810"/>
      <c r="L130" s="810"/>
      <c r="M130" s="810"/>
      <c r="N130" s="810"/>
      <c r="O130" s="810"/>
      <c r="P130" s="811"/>
      <c r="Q130" s="810"/>
      <c r="R130" s="810"/>
      <c r="S130" s="810"/>
      <c r="T130" s="810"/>
      <c r="U130" s="810"/>
      <c r="V130" s="810"/>
      <c r="W130" s="810"/>
      <c r="X130" s="810"/>
      <c r="Y130" s="810"/>
      <c r="Z130" s="810"/>
    </row>
    <row r="131">
      <c r="A131" s="810"/>
      <c r="B131" s="810"/>
      <c r="C131" s="810"/>
      <c r="D131" s="810"/>
      <c r="E131" s="810"/>
      <c r="F131" s="810"/>
      <c r="G131" s="810"/>
      <c r="H131" s="810"/>
      <c r="I131" s="810"/>
      <c r="J131" s="810"/>
      <c r="K131" s="810"/>
      <c r="L131" s="810"/>
      <c r="M131" s="810"/>
      <c r="N131" s="810"/>
      <c r="O131" s="810"/>
      <c r="P131" s="811"/>
      <c r="Q131" s="810"/>
      <c r="R131" s="810"/>
      <c r="S131" s="810"/>
      <c r="T131" s="810"/>
      <c r="U131" s="810"/>
      <c r="V131" s="810"/>
      <c r="W131" s="810"/>
      <c r="X131" s="810"/>
      <c r="Y131" s="810"/>
      <c r="Z131" s="810"/>
    </row>
    <row r="132">
      <c r="A132" s="810"/>
      <c r="B132" s="810"/>
      <c r="C132" s="810"/>
      <c r="D132" s="810"/>
      <c r="E132" s="810"/>
      <c r="F132" s="810"/>
      <c r="G132" s="810"/>
      <c r="H132" s="810"/>
      <c r="I132" s="810"/>
      <c r="J132" s="810"/>
      <c r="K132" s="810"/>
      <c r="L132" s="810"/>
      <c r="M132" s="810"/>
      <c r="N132" s="810"/>
      <c r="O132" s="810"/>
      <c r="P132" s="811"/>
      <c r="Q132" s="810"/>
      <c r="R132" s="810"/>
      <c r="S132" s="810"/>
      <c r="T132" s="810"/>
      <c r="U132" s="810"/>
      <c r="V132" s="810"/>
      <c r="W132" s="810"/>
      <c r="X132" s="810"/>
      <c r="Y132" s="810"/>
      <c r="Z132" s="810"/>
    </row>
    <row r="133">
      <c r="A133" s="810"/>
      <c r="B133" s="810"/>
      <c r="C133" s="810"/>
      <c r="D133" s="810"/>
      <c r="E133" s="810"/>
      <c r="F133" s="810"/>
      <c r="G133" s="810"/>
      <c r="H133" s="810"/>
      <c r="I133" s="810"/>
      <c r="J133" s="810"/>
      <c r="K133" s="810"/>
      <c r="L133" s="810"/>
      <c r="M133" s="810"/>
      <c r="N133" s="810"/>
      <c r="O133" s="810"/>
      <c r="P133" s="811"/>
      <c r="Q133" s="810"/>
      <c r="R133" s="810"/>
      <c r="S133" s="810"/>
      <c r="T133" s="810"/>
      <c r="U133" s="810"/>
      <c r="V133" s="810"/>
      <c r="W133" s="810"/>
      <c r="X133" s="810"/>
      <c r="Y133" s="810"/>
      <c r="Z133" s="810"/>
    </row>
    <row r="134">
      <c r="A134" s="810"/>
      <c r="B134" s="810"/>
      <c r="C134" s="810"/>
      <c r="D134" s="810"/>
      <c r="E134" s="810"/>
      <c r="F134" s="810"/>
      <c r="G134" s="810"/>
      <c r="H134" s="810"/>
      <c r="I134" s="810"/>
      <c r="J134" s="810"/>
      <c r="K134" s="810"/>
      <c r="L134" s="810"/>
      <c r="M134" s="810"/>
      <c r="N134" s="810"/>
      <c r="O134" s="810"/>
      <c r="P134" s="811"/>
      <c r="Q134" s="810"/>
      <c r="R134" s="810"/>
      <c r="S134" s="810"/>
      <c r="T134" s="810"/>
      <c r="U134" s="810"/>
      <c r="V134" s="810"/>
      <c r="W134" s="810"/>
      <c r="X134" s="810"/>
      <c r="Y134" s="810"/>
      <c r="Z134" s="810"/>
    </row>
    <row r="135">
      <c r="A135" s="810"/>
      <c r="B135" s="810"/>
      <c r="C135" s="810"/>
      <c r="D135" s="810"/>
      <c r="E135" s="810"/>
      <c r="F135" s="810"/>
      <c r="G135" s="810"/>
      <c r="H135" s="810"/>
      <c r="I135" s="810"/>
      <c r="J135" s="810"/>
      <c r="K135" s="810"/>
      <c r="L135" s="810"/>
      <c r="M135" s="810"/>
      <c r="N135" s="810"/>
      <c r="O135" s="810"/>
      <c r="P135" s="811"/>
      <c r="Q135" s="810"/>
      <c r="R135" s="810"/>
      <c r="S135" s="810"/>
      <c r="T135" s="810"/>
      <c r="U135" s="810"/>
      <c r="V135" s="810"/>
      <c r="W135" s="810"/>
      <c r="X135" s="810"/>
      <c r="Y135" s="810"/>
      <c r="Z135" s="810"/>
    </row>
    <row r="136">
      <c r="A136" s="810"/>
      <c r="B136" s="810"/>
      <c r="C136" s="810"/>
      <c r="D136" s="810"/>
      <c r="E136" s="810"/>
      <c r="F136" s="810"/>
      <c r="G136" s="810"/>
      <c r="H136" s="810"/>
      <c r="I136" s="810"/>
      <c r="J136" s="810"/>
      <c r="K136" s="810"/>
      <c r="L136" s="810"/>
      <c r="M136" s="810"/>
      <c r="N136" s="810"/>
      <c r="O136" s="810"/>
      <c r="P136" s="811"/>
      <c r="Q136" s="810"/>
      <c r="R136" s="810"/>
      <c r="S136" s="810"/>
      <c r="T136" s="810"/>
      <c r="U136" s="810"/>
      <c r="V136" s="810"/>
      <c r="W136" s="810"/>
      <c r="X136" s="810"/>
      <c r="Y136" s="810"/>
      <c r="Z136" s="810"/>
    </row>
    <row r="137">
      <c r="A137" s="810"/>
      <c r="B137" s="810"/>
      <c r="C137" s="810"/>
      <c r="D137" s="810"/>
      <c r="E137" s="810"/>
      <c r="F137" s="810"/>
      <c r="G137" s="810"/>
      <c r="H137" s="810"/>
      <c r="I137" s="810"/>
      <c r="J137" s="810"/>
      <c r="K137" s="810"/>
      <c r="L137" s="810"/>
      <c r="M137" s="810"/>
      <c r="N137" s="810"/>
      <c r="O137" s="810"/>
      <c r="P137" s="811"/>
      <c r="Q137" s="810"/>
      <c r="R137" s="810"/>
      <c r="S137" s="810"/>
      <c r="T137" s="810"/>
      <c r="U137" s="810"/>
      <c r="V137" s="810"/>
      <c r="W137" s="810"/>
      <c r="X137" s="810"/>
      <c r="Y137" s="810"/>
      <c r="Z137" s="810"/>
    </row>
    <row r="138">
      <c r="A138" s="810"/>
      <c r="B138" s="810"/>
      <c r="C138" s="810"/>
      <c r="D138" s="810"/>
      <c r="E138" s="810"/>
      <c r="F138" s="810"/>
      <c r="G138" s="810"/>
      <c r="H138" s="810"/>
      <c r="I138" s="810"/>
      <c r="J138" s="810"/>
      <c r="K138" s="810"/>
      <c r="L138" s="810"/>
      <c r="M138" s="810"/>
      <c r="N138" s="810"/>
      <c r="O138" s="810"/>
      <c r="P138" s="811"/>
      <c r="Q138" s="810"/>
      <c r="R138" s="810"/>
      <c r="S138" s="810"/>
      <c r="T138" s="810"/>
      <c r="U138" s="810"/>
      <c r="V138" s="810"/>
      <c r="W138" s="810"/>
      <c r="X138" s="810"/>
      <c r="Y138" s="810"/>
      <c r="Z138" s="810"/>
    </row>
    <row r="139">
      <c r="A139" s="810"/>
      <c r="B139" s="810"/>
      <c r="C139" s="810"/>
      <c r="D139" s="810"/>
      <c r="E139" s="810"/>
      <c r="F139" s="810"/>
      <c r="G139" s="810"/>
      <c r="H139" s="810"/>
      <c r="I139" s="810"/>
      <c r="J139" s="810"/>
      <c r="K139" s="810"/>
      <c r="L139" s="810"/>
      <c r="M139" s="810"/>
      <c r="N139" s="810"/>
      <c r="O139" s="810"/>
      <c r="P139" s="811"/>
      <c r="Q139" s="810"/>
      <c r="R139" s="810"/>
      <c r="S139" s="810"/>
      <c r="T139" s="810"/>
      <c r="U139" s="810"/>
      <c r="V139" s="810"/>
      <c r="W139" s="810"/>
      <c r="X139" s="810"/>
      <c r="Y139" s="810"/>
      <c r="Z139" s="810"/>
    </row>
    <row r="140">
      <c r="A140" s="810"/>
      <c r="B140" s="810"/>
      <c r="C140" s="810"/>
      <c r="D140" s="810"/>
      <c r="E140" s="810"/>
      <c r="F140" s="810"/>
      <c r="G140" s="810"/>
      <c r="H140" s="810"/>
      <c r="I140" s="810"/>
      <c r="J140" s="810"/>
      <c r="K140" s="810"/>
      <c r="L140" s="810"/>
      <c r="M140" s="810"/>
      <c r="N140" s="810"/>
      <c r="O140" s="810"/>
      <c r="P140" s="811"/>
      <c r="Q140" s="810"/>
      <c r="R140" s="810"/>
      <c r="S140" s="810"/>
      <c r="T140" s="810"/>
      <c r="U140" s="810"/>
      <c r="V140" s="810"/>
      <c r="W140" s="810"/>
      <c r="X140" s="810"/>
      <c r="Y140" s="810"/>
      <c r="Z140" s="810"/>
    </row>
    <row r="141">
      <c r="A141" s="810"/>
      <c r="B141" s="810"/>
      <c r="C141" s="810"/>
      <c r="D141" s="810"/>
      <c r="E141" s="810"/>
      <c r="F141" s="810"/>
      <c r="G141" s="810"/>
      <c r="H141" s="810"/>
      <c r="I141" s="810"/>
      <c r="J141" s="810"/>
      <c r="K141" s="810"/>
      <c r="L141" s="810"/>
      <c r="M141" s="810"/>
      <c r="N141" s="810"/>
      <c r="O141" s="810"/>
      <c r="P141" s="811"/>
      <c r="Q141" s="810"/>
      <c r="R141" s="810"/>
      <c r="S141" s="810"/>
      <c r="T141" s="810"/>
      <c r="U141" s="810"/>
      <c r="V141" s="810"/>
      <c r="W141" s="810"/>
      <c r="X141" s="810"/>
      <c r="Y141" s="810"/>
      <c r="Z141" s="810"/>
    </row>
    <row r="142">
      <c r="A142" s="810"/>
      <c r="B142" s="810"/>
      <c r="C142" s="810"/>
      <c r="D142" s="810"/>
      <c r="E142" s="810"/>
      <c r="F142" s="810"/>
      <c r="G142" s="810"/>
      <c r="H142" s="810"/>
      <c r="I142" s="810"/>
      <c r="J142" s="810"/>
      <c r="K142" s="810"/>
      <c r="L142" s="810"/>
      <c r="M142" s="810"/>
      <c r="N142" s="810"/>
      <c r="O142" s="810"/>
      <c r="P142" s="811"/>
      <c r="Q142" s="810"/>
      <c r="R142" s="810"/>
      <c r="S142" s="810"/>
      <c r="T142" s="810"/>
      <c r="U142" s="810"/>
      <c r="V142" s="810"/>
      <c r="W142" s="810"/>
      <c r="X142" s="810"/>
      <c r="Y142" s="810"/>
      <c r="Z142" s="810"/>
    </row>
    <row r="143">
      <c r="A143" s="810"/>
      <c r="B143" s="810"/>
      <c r="C143" s="810"/>
      <c r="D143" s="810"/>
      <c r="E143" s="810"/>
      <c r="F143" s="810"/>
      <c r="G143" s="810"/>
      <c r="H143" s="810"/>
      <c r="I143" s="810"/>
      <c r="J143" s="810"/>
      <c r="K143" s="810"/>
      <c r="L143" s="810"/>
      <c r="M143" s="810"/>
      <c r="N143" s="810"/>
      <c r="O143" s="810"/>
      <c r="P143" s="811"/>
      <c r="Q143" s="810"/>
      <c r="R143" s="810"/>
      <c r="S143" s="810"/>
      <c r="T143" s="810"/>
      <c r="U143" s="810"/>
      <c r="V143" s="810"/>
      <c r="W143" s="810"/>
      <c r="X143" s="810"/>
      <c r="Y143" s="810"/>
      <c r="Z143" s="810"/>
    </row>
    <row r="144">
      <c r="A144" s="810"/>
      <c r="B144" s="810"/>
      <c r="C144" s="810"/>
      <c r="D144" s="810"/>
      <c r="E144" s="810"/>
      <c r="F144" s="810"/>
      <c r="G144" s="810"/>
      <c r="H144" s="810"/>
      <c r="I144" s="810"/>
      <c r="J144" s="810"/>
      <c r="K144" s="810"/>
      <c r="L144" s="810"/>
      <c r="M144" s="810"/>
      <c r="N144" s="810"/>
      <c r="O144" s="810"/>
      <c r="P144" s="811"/>
      <c r="Q144" s="810"/>
      <c r="R144" s="810"/>
      <c r="S144" s="810"/>
      <c r="T144" s="810"/>
      <c r="U144" s="810"/>
      <c r="V144" s="810"/>
      <c r="W144" s="810"/>
      <c r="X144" s="810"/>
      <c r="Y144" s="810"/>
      <c r="Z144" s="810"/>
    </row>
    <row r="145">
      <c r="A145" s="810"/>
      <c r="B145" s="810"/>
      <c r="C145" s="810"/>
      <c r="D145" s="810"/>
      <c r="E145" s="810"/>
      <c r="F145" s="810"/>
      <c r="G145" s="810"/>
      <c r="H145" s="810"/>
      <c r="I145" s="810"/>
      <c r="J145" s="810"/>
      <c r="K145" s="810"/>
      <c r="L145" s="810"/>
      <c r="M145" s="810"/>
      <c r="N145" s="810"/>
      <c r="O145" s="810"/>
      <c r="P145" s="811"/>
      <c r="Q145" s="810"/>
      <c r="R145" s="810"/>
      <c r="S145" s="810"/>
      <c r="T145" s="810"/>
      <c r="U145" s="810"/>
      <c r="V145" s="810"/>
      <c r="W145" s="810"/>
      <c r="X145" s="810"/>
      <c r="Y145" s="810"/>
      <c r="Z145" s="810"/>
    </row>
    <row r="146">
      <c r="A146" s="810"/>
      <c r="B146" s="810"/>
      <c r="C146" s="810"/>
      <c r="D146" s="810"/>
      <c r="E146" s="810"/>
      <c r="F146" s="810"/>
      <c r="G146" s="810"/>
      <c r="H146" s="810"/>
      <c r="I146" s="810"/>
      <c r="J146" s="810"/>
      <c r="K146" s="810"/>
      <c r="L146" s="810"/>
      <c r="M146" s="810"/>
      <c r="N146" s="810"/>
      <c r="O146" s="810"/>
      <c r="P146" s="811"/>
      <c r="Q146" s="810"/>
      <c r="R146" s="810"/>
      <c r="S146" s="810"/>
      <c r="T146" s="810"/>
      <c r="U146" s="810"/>
      <c r="V146" s="810"/>
      <c r="W146" s="810"/>
      <c r="X146" s="810"/>
      <c r="Y146" s="810"/>
      <c r="Z146" s="810"/>
    </row>
    <row r="147">
      <c r="A147" s="810"/>
      <c r="B147" s="810"/>
      <c r="C147" s="810"/>
      <c r="D147" s="810"/>
      <c r="E147" s="810"/>
      <c r="F147" s="810"/>
      <c r="G147" s="810"/>
      <c r="H147" s="810"/>
      <c r="I147" s="810"/>
      <c r="J147" s="810"/>
      <c r="K147" s="810"/>
      <c r="L147" s="810"/>
      <c r="M147" s="810"/>
      <c r="N147" s="810"/>
      <c r="O147" s="810"/>
      <c r="P147" s="811"/>
      <c r="Q147" s="810"/>
      <c r="R147" s="810"/>
      <c r="S147" s="810"/>
      <c r="T147" s="810"/>
      <c r="U147" s="810"/>
      <c r="V147" s="810"/>
      <c r="W147" s="810"/>
      <c r="X147" s="810"/>
      <c r="Y147" s="810"/>
      <c r="Z147" s="810"/>
    </row>
    <row r="148">
      <c r="A148" s="810"/>
      <c r="B148" s="810"/>
      <c r="C148" s="810"/>
      <c r="D148" s="810"/>
      <c r="E148" s="810"/>
      <c r="F148" s="810"/>
      <c r="G148" s="810"/>
      <c r="H148" s="810"/>
      <c r="I148" s="810"/>
      <c r="J148" s="810"/>
      <c r="K148" s="810"/>
      <c r="L148" s="810"/>
      <c r="M148" s="810"/>
      <c r="N148" s="810"/>
      <c r="O148" s="810"/>
      <c r="P148" s="811"/>
      <c r="Q148" s="810"/>
      <c r="R148" s="810"/>
      <c r="S148" s="810"/>
      <c r="T148" s="810"/>
      <c r="U148" s="810"/>
      <c r="V148" s="810"/>
      <c r="W148" s="810"/>
      <c r="X148" s="810"/>
      <c r="Y148" s="810"/>
      <c r="Z148" s="810"/>
    </row>
    <row r="149">
      <c r="A149" s="810"/>
      <c r="B149" s="810"/>
      <c r="C149" s="810"/>
      <c r="D149" s="810"/>
      <c r="E149" s="810"/>
      <c r="F149" s="810"/>
      <c r="G149" s="810"/>
      <c r="H149" s="810"/>
      <c r="I149" s="810"/>
      <c r="J149" s="810"/>
      <c r="K149" s="810"/>
      <c r="L149" s="810"/>
      <c r="M149" s="810"/>
      <c r="N149" s="810"/>
      <c r="O149" s="810"/>
      <c r="P149" s="811"/>
      <c r="Q149" s="810"/>
      <c r="R149" s="810"/>
      <c r="S149" s="810"/>
      <c r="T149" s="810"/>
      <c r="U149" s="810"/>
      <c r="V149" s="810"/>
      <c r="W149" s="810"/>
      <c r="X149" s="810"/>
      <c r="Y149" s="810"/>
      <c r="Z149" s="810"/>
    </row>
    <row r="150">
      <c r="A150" s="810"/>
      <c r="B150" s="810"/>
      <c r="C150" s="810"/>
      <c r="D150" s="810"/>
      <c r="E150" s="810"/>
      <c r="F150" s="810"/>
      <c r="G150" s="810"/>
      <c r="H150" s="810"/>
      <c r="I150" s="810"/>
      <c r="J150" s="810"/>
      <c r="K150" s="810"/>
      <c r="L150" s="810"/>
      <c r="M150" s="810"/>
      <c r="N150" s="810"/>
      <c r="O150" s="810"/>
      <c r="P150" s="811"/>
      <c r="Q150" s="810"/>
      <c r="R150" s="810"/>
      <c r="S150" s="810"/>
      <c r="T150" s="810"/>
      <c r="U150" s="810"/>
      <c r="V150" s="810"/>
      <c r="W150" s="810"/>
      <c r="X150" s="810"/>
      <c r="Y150" s="810"/>
      <c r="Z150" s="810"/>
    </row>
    <row r="151">
      <c r="A151" s="810"/>
      <c r="B151" s="810"/>
      <c r="C151" s="810"/>
      <c r="D151" s="810"/>
      <c r="E151" s="810"/>
      <c r="F151" s="810"/>
      <c r="G151" s="810"/>
      <c r="H151" s="810"/>
      <c r="I151" s="810"/>
      <c r="J151" s="810"/>
      <c r="K151" s="810"/>
      <c r="L151" s="810"/>
      <c r="M151" s="810"/>
      <c r="N151" s="810"/>
      <c r="O151" s="810"/>
      <c r="P151" s="811"/>
      <c r="Q151" s="810"/>
      <c r="R151" s="810"/>
      <c r="S151" s="810"/>
      <c r="T151" s="810"/>
      <c r="U151" s="810"/>
      <c r="V151" s="810"/>
      <c r="W151" s="810"/>
      <c r="X151" s="810"/>
      <c r="Y151" s="810"/>
      <c r="Z151" s="810"/>
    </row>
    <row r="152">
      <c r="A152" s="810"/>
      <c r="B152" s="810"/>
      <c r="C152" s="810"/>
      <c r="D152" s="810"/>
      <c r="E152" s="810"/>
      <c r="F152" s="810"/>
      <c r="G152" s="810"/>
      <c r="H152" s="810"/>
      <c r="I152" s="810"/>
      <c r="J152" s="810"/>
      <c r="K152" s="810"/>
      <c r="L152" s="810"/>
      <c r="M152" s="810"/>
      <c r="N152" s="810"/>
      <c r="O152" s="810"/>
      <c r="P152" s="811"/>
      <c r="Q152" s="810"/>
      <c r="R152" s="810"/>
      <c r="S152" s="810"/>
      <c r="T152" s="810"/>
      <c r="U152" s="810"/>
      <c r="V152" s="810"/>
      <c r="W152" s="810"/>
      <c r="X152" s="810"/>
      <c r="Y152" s="810"/>
      <c r="Z152" s="810"/>
    </row>
    <row r="153">
      <c r="A153" s="810"/>
      <c r="B153" s="810"/>
      <c r="C153" s="810"/>
      <c r="D153" s="810"/>
      <c r="E153" s="810"/>
      <c r="F153" s="810"/>
      <c r="G153" s="810"/>
      <c r="H153" s="810"/>
      <c r="I153" s="810"/>
      <c r="J153" s="810"/>
      <c r="K153" s="810"/>
      <c r="L153" s="810"/>
      <c r="M153" s="810"/>
      <c r="N153" s="810"/>
      <c r="O153" s="810"/>
      <c r="P153" s="811"/>
      <c r="Q153" s="810"/>
      <c r="R153" s="810"/>
      <c r="S153" s="810"/>
      <c r="T153" s="810"/>
      <c r="U153" s="810"/>
      <c r="V153" s="810"/>
      <c r="W153" s="810"/>
      <c r="X153" s="810"/>
      <c r="Y153" s="810"/>
      <c r="Z153" s="810"/>
    </row>
    <row r="154">
      <c r="A154" s="810"/>
      <c r="B154" s="810"/>
      <c r="C154" s="810"/>
      <c r="D154" s="810"/>
      <c r="E154" s="810"/>
      <c r="F154" s="810"/>
      <c r="G154" s="810"/>
      <c r="H154" s="810"/>
      <c r="I154" s="810"/>
      <c r="J154" s="810"/>
      <c r="K154" s="810"/>
      <c r="L154" s="810"/>
      <c r="M154" s="810"/>
      <c r="N154" s="810"/>
      <c r="O154" s="810"/>
      <c r="P154" s="811"/>
      <c r="Q154" s="810"/>
      <c r="R154" s="810"/>
      <c r="S154" s="810"/>
      <c r="T154" s="810"/>
      <c r="U154" s="810"/>
      <c r="V154" s="810"/>
      <c r="W154" s="810"/>
      <c r="X154" s="810"/>
      <c r="Y154" s="810"/>
      <c r="Z154" s="810"/>
    </row>
    <row r="155">
      <c r="A155" s="810"/>
      <c r="B155" s="810"/>
      <c r="C155" s="810"/>
      <c r="D155" s="810"/>
      <c r="E155" s="810"/>
      <c r="F155" s="810"/>
      <c r="G155" s="810"/>
      <c r="H155" s="810"/>
      <c r="I155" s="810"/>
      <c r="J155" s="810"/>
      <c r="K155" s="810"/>
      <c r="L155" s="810"/>
      <c r="M155" s="810"/>
      <c r="N155" s="810"/>
      <c r="O155" s="810"/>
      <c r="P155" s="811"/>
      <c r="Q155" s="810"/>
      <c r="R155" s="810"/>
      <c r="S155" s="810"/>
      <c r="T155" s="810"/>
      <c r="U155" s="810"/>
      <c r="V155" s="810"/>
      <c r="W155" s="810"/>
      <c r="X155" s="810"/>
      <c r="Y155" s="810"/>
      <c r="Z155" s="810"/>
    </row>
    <row r="156">
      <c r="A156" s="810"/>
      <c r="B156" s="810"/>
      <c r="C156" s="810"/>
      <c r="D156" s="810"/>
      <c r="E156" s="810"/>
      <c r="F156" s="810"/>
      <c r="G156" s="810"/>
      <c r="H156" s="810"/>
      <c r="I156" s="810"/>
      <c r="J156" s="810"/>
      <c r="K156" s="810"/>
      <c r="L156" s="810"/>
      <c r="M156" s="810"/>
      <c r="N156" s="810"/>
      <c r="O156" s="810"/>
      <c r="P156" s="811"/>
      <c r="Q156" s="810"/>
      <c r="R156" s="810"/>
      <c r="S156" s="810"/>
      <c r="T156" s="810"/>
      <c r="U156" s="810"/>
      <c r="V156" s="810"/>
      <c r="W156" s="810"/>
      <c r="X156" s="810"/>
      <c r="Y156" s="810"/>
      <c r="Z156" s="810"/>
    </row>
    <row r="157">
      <c r="A157" s="810"/>
      <c r="B157" s="810"/>
      <c r="C157" s="810"/>
      <c r="D157" s="810"/>
      <c r="E157" s="810"/>
      <c r="F157" s="810"/>
      <c r="G157" s="810"/>
      <c r="H157" s="810"/>
      <c r="I157" s="810"/>
      <c r="J157" s="810"/>
      <c r="K157" s="810"/>
      <c r="L157" s="810"/>
      <c r="M157" s="810"/>
      <c r="N157" s="810"/>
      <c r="O157" s="810"/>
      <c r="P157" s="811"/>
      <c r="Q157" s="810"/>
      <c r="R157" s="810"/>
      <c r="S157" s="810"/>
      <c r="T157" s="810"/>
      <c r="U157" s="810"/>
      <c r="V157" s="810"/>
      <c r="W157" s="810"/>
      <c r="X157" s="810"/>
      <c r="Y157" s="810"/>
      <c r="Z157" s="810"/>
    </row>
    <row r="158">
      <c r="A158" s="810"/>
      <c r="B158" s="810"/>
      <c r="C158" s="810"/>
      <c r="D158" s="810"/>
      <c r="E158" s="810"/>
      <c r="F158" s="810"/>
      <c r="G158" s="810"/>
      <c r="H158" s="810"/>
      <c r="I158" s="810"/>
      <c r="J158" s="810"/>
      <c r="K158" s="810"/>
      <c r="L158" s="810"/>
      <c r="M158" s="810"/>
      <c r="N158" s="810"/>
      <c r="O158" s="810"/>
      <c r="P158" s="811"/>
      <c r="Q158" s="810"/>
      <c r="R158" s="810"/>
      <c r="S158" s="810"/>
      <c r="T158" s="810"/>
      <c r="U158" s="810"/>
      <c r="V158" s="810"/>
      <c r="W158" s="810"/>
      <c r="X158" s="810"/>
      <c r="Y158" s="810"/>
      <c r="Z158" s="810"/>
    </row>
    <row r="159">
      <c r="A159" s="810"/>
      <c r="B159" s="810"/>
      <c r="C159" s="810"/>
      <c r="D159" s="810"/>
      <c r="E159" s="810"/>
      <c r="F159" s="810"/>
      <c r="G159" s="810"/>
      <c r="H159" s="810"/>
      <c r="I159" s="810"/>
      <c r="J159" s="810"/>
      <c r="K159" s="810"/>
      <c r="L159" s="810"/>
      <c r="M159" s="810"/>
      <c r="N159" s="810"/>
      <c r="O159" s="810"/>
      <c r="P159" s="811"/>
      <c r="Q159" s="810"/>
      <c r="R159" s="810"/>
      <c r="S159" s="810"/>
      <c r="T159" s="810"/>
      <c r="U159" s="810"/>
      <c r="V159" s="810"/>
      <c r="W159" s="810"/>
      <c r="X159" s="810"/>
      <c r="Y159" s="810"/>
      <c r="Z159" s="810"/>
    </row>
    <row r="160">
      <c r="A160" s="810"/>
      <c r="B160" s="810"/>
      <c r="C160" s="810"/>
      <c r="D160" s="810"/>
      <c r="E160" s="810"/>
      <c r="F160" s="810"/>
      <c r="G160" s="810"/>
      <c r="H160" s="810"/>
      <c r="I160" s="810"/>
      <c r="J160" s="810"/>
      <c r="K160" s="810"/>
      <c r="L160" s="810"/>
      <c r="M160" s="810"/>
      <c r="N160" s="810"/>
      <c r="O160" s="810"/>
      <c r="P160" s="811"/>
      <c r="Q160" s="810"/>
      <c r="R160" s="810"/>
      <c r="S160" s="810"/>
      <c r="T160" s="810"/>
      <c r="U160" s="810"/>
      <c r="V160" s="810"/>
      <c r="W160" s="810"/>
      <c r="X160" s="810"/>
      <c r="Y160" s="810"/>
      <c r="Z160" s="810"/>
    </row>
    <row r="161">
      <c r="A161" s="810"/>
      <c r="B161" s="810"/>
      <c r="C161" s="810"/>
      <c r="D161" s="810"/>
      <c r="E161" s="810"/>
      <c r="F161" s="810"/>
      <c r="G161" s="810"/>
      <c r="H161" s="810"/>
      <c r="I161" s="810"/>
      <c r="J161" s="810"/>
      <c r="K161" s="810"/>
      <c r="L161" s="810"/>
      <c r="M161" s="810"/>
      <c r="N161" s="810"/>
      <c r="O161" s="810"/>
      <c r="P161" s="811"/>
      <c r="Q161" s="810"/>
      <c r="R161" s="810"/>
      <c r="S161" s="810"/>
      <c r="T161" s="810"/>
      <c r="U161" s="810"/>
      <c r="V161" s="810"/>
      <c r="W161" s="810"/>
      <c r="X161" s="810"/>
      <c r="Y161" s="810"/>
      <c r="Z161" s="810"/>
    </row>
    <row r="162">
      <c r="A162" s="810"/>
      <c r="B162" s="810"/>
      <c r="C162" s="810"/>
      <c r="D162" s="810"/>
      <c r="E162" s="810"/>
      <c r="F162" s="810"/>
      <c r="G162" s="810"/>
      <c r="H162" s="810"/>
      <c r="I162" s="810"/>
      <c r="J162" s="810"/>
      <c r="K162" s="810"/>
      <c r="L162" s="810"/>
      <c r="M162" s="810"/>
      <c r="N162" s="810"/>
      <c r="O162" s="810"/>
      <c r="P162" s="811"/>
      <c r="Q162" s="810"/>
      <c r="R162" s="810"/>
      <c r="S162" s="810"/>
      <c r="T162" s="810"/>
      <c r="U162" s="810"/>
      <c r="V162" s="810"/>
      <c r="W162" s="810"/>
      <c r="X162" s="810"/>
      <c r="Y162" s="810"/>
      <c r="Z162" s="810"/>
    </row>
    <row r="163">
      <c r="A163" s="810"/>
      <c r="B163" s="810"/>
      <c r="C163" s="810"/>
      <c r="D163" s="810"/>
      <c r="E163" s="810"/>
      <c r="F163" s="810"/>
      <c r="G163" s="810"/>
      <c r="H163" s="810"/>
      <c r="I163" s="810"/>
      <c r="J163" s="810"/>
      <c r="K163" s="810"/>
      <c r="L163" s="810"/>
      <c r="M163" s="810"/>
      <c r="N163" s="810"/>
      <c r="O163" s="810"/>
      <c r="P163" s="811"/>
      <c r="Q163" s="810"/>
      <c r="R163" s="810"/>
      <c r="S163" s="810"/>
      <c r="T163" s="810"/>
      <c r="U163" s="810"/>
      <c r="V163" s="810"/>
      <c r="W163" s="810"/>
      <c r="X163" s="810"/>
      <c r="Y163" s="810"/>
      <c r="Z163" s="810"/>
    </row>
    <row r="164">
      <c r="A164" s="810"/>
      <c r="B164" s="810"/>
      <c r="C164" s="810"/>
      <c r="D164" s="810"/>
      <c r="E164" s="810"/>
      <c r="F164" s="810"/>
      <c r="G164" s="810"/>
      <c r="H164" s="810"/>
      <c r="I164" s="810"/>
      <c r="J164" s="810"/>
      <c r="K164" s="810"/>
      <c r="L164" s="810"/>
      <c r="M164" s="810"/>
      <c r="N164" s="810"/>
      <c r="O164" s="810"/>
      <c r="P164" s="811"/>
      <c r="Q164" s="810"/>
      <c r="R164" s="810"/>
      <c r="S164" s="810"/>
      <c r="T164" s="810"/>
      <c r="U164" s="810"/>
      <c r="V164" s="810"/>
      <c r="W164" s="810"/>
      <c r="X164" s="810"/>
      <c r="Y164" s="810"/>
      <c r="Z164" s="810"/>
    </row>
    <row r="165">
      <c r="A165" s="810"/>
      <c r="B165" s="810"/>
      <c r="C165" s="810"/>
      <c r="D165" s="810"/>
      <c r="E165" s="810"/>
      <c r="F165" s="810"/>
      <c r="G165" s="810"/>
      <c r="H165" s="810"/>
      <c r="I165" s="810"/>
      <c r="J165" s="810"/>
      <c r="K165" s="810"/>
      <c r="L165" s="810"/>
      <c r="M165" s="810"/>
      <c r="N165" s="810"/>
      <c r="O165" s="810"/>
      <c r="P165" s="811"/>
      <c r="Q165" s="810"/>
      <c r="R165" s="810"/>
      <c r="S165" s="810"/>
      <c r="T165" s="810"/>
      <c r="U165" s="810"/>
      <c r="V165" s="810"/>
      <c r="W165" s="810"/>
      <c r="X165" s="810"/>
      <c r="Y165" s="810"/>
      <c r="Z165" s="810"/>
    </row>
    <row r="166">
      <c r="A166" s="810"/>
      <c r="B166" s="810"/>
      <c r="C166" s="810"/>
      <c r="D166" s="810"/>
      <c r="E166" s="810"/>
      <c r="F166" s="810"/>
      <c r="G166" s="810"/>
      <c r="H166" s="810"/>
      <c r="I166" s="810"/>
      <c r="J166" s="810"/>
      <c r="K166" s="810"/>
      <c r="L166" s="810"/>
      <c r="M166" s="810"/>
      <c r="N166" s="810"/>
      <c r="O166" s="810"/>
      <c r="P166" s="811"/>
      <c r="Q166" s="810"/>
      <c r="R166" s="810"/>
      <c r="S166" s="810"/>
      <c r="T166" s="810"/>
      <c r="U166" s="810"/>
      <c r="V166" s="810"/>
      <c r="W166" s="810"/>
      <c r="X166" s="810"/>
      <c r="Y166" s="810"/>
      <c r="Z166" s="810"/>
    </row>
    <row r="167">
      <c r="A167" s="810"/>
      <c r="B167" s="810"/>
      <c r="C167" s="810"/>
      <c r="D167" s="810"/>
      <c r="E167" s="810"/>
      <c r="F167" s="810"/>
      <c r="G167" s="810"/>
      <c r="H167" s="810"/>
      <c r="I167" s="810"/>
      <c r="J167" s="810"/>
      <c r="K167" s="810"/>
      <c r="L167" s="810"/>
      <c r="M167" s="810"/>
      <c r="N167" s="810"/>
      <c r="O167" s="810"/>
      <c r="P167" s="811"/>
      <c r="Q167" s="810"/>
      <c r="R167" s="810"/>
      <c r="S167" s="810"/>
      <c r="T167" s="810"/>
      <c r="U167" s="810"/>
      <c r="V167" s="810"/>
      <c r="W167" s="810"/>
      <c r="X167" s="810"/>
      <c r="Y167" s="810"/>
      <c r="Z167" s="810"/>
    </row>
    <row r="168">
      <c r="A168" s="810"/>
      <c r="B168" s="810"/>
      <c r="C168" s="810"/>
      <c r="D168" s="810"/>
      <c r="E168" s="810"/>
      <c r="F168" s="810"/>
      <c r="G168" s="810"/>
      <c r="H168" s="810"/>
      <c r="I168" s="810"/>
      <c r="J168" s="810"/>
      <c r="K168" s="810"/>
      <c r="L168" s="810"/>
      <c r="M168" s="810"/>
      <c r="N168" s="810"/>
      <c r="O168" s="810"/>
      <c r="P168" s="811"/>
      <c r="Q168" s="810"/>
      <c r="R168" s="810"/>
      <c r="S168" s="810"/>
      <c r="T168" s="810"/>
      <c r="U168" s="810"/>
      <c r="V168" s="810"/>
      <c r="W168" s="810"/>
      <c r="X168" s="810"/>
      <c r="Y168" s="810"/>
      <c r="Z168" s="810"/>
    </row>
    <row r="169">
      <c r="A169" s="810"/>
      <c r="B169" s="810"/>
      <c r="C169" s="810"/>
      <c r="D169" s="810"/>
      <c r="E169" s="810"/>
      <c r="F169" s="810"/>
      <c r="G169" s="810"/>
      <c r="H169" s="810"/>
      <c r="I169" s="810"/>
      <c r="J169" s="810"/>
      <c r="K169" s="810"/>
      <c r="L169" s="810"/>
      <c r="M169" s="810"/>
      <c r="N169" s="810"/>
      <c r="O169" s="810"/>
      <c r="P169" s="811"/>
      <c r="Q169" s="810"/>
      <c r="R169" s="810"/>
      <c r="S169" s="810"/>
      <c r="T169" s="810"/>
      <c r="U169" s="810"/>
      <c r="V169" s="810"/>
      <c r="W169" s="810"/>
      <c r="X169" s="810"/>
      <c r="Y169" s="810"/>
      <c r="Z169" s="810"/>
    </row>
    <row r="170">
      <c r="A170" s="810"/>
      <c r="B170" s="810"/>
      <c r="C170" s="810"/>
      <c r="D170" s="810"/>
      <c r="E170" s="810"/>
      <c r="F170" s="810"/>
      <c r="G170" s="810"/>
      <c r="H170" s="810"/>
      <c r="I170" s="810"/>
      <c r="J170" s="810"/>
      <c r="K170" s="810"/>
      <c r="L170" s="810"/>
      <c r="M170" s="810"/>
      <c r="N170" s="810"/>
      <c r="O170" s="810"/>
      <c r="P170" s="811"/>
      <c r="Q170" s="810"/>
      <c r="R170" s="810"/>
      <c r="S170" s="810"/>
      <c r="T170" s="810"/>
      <c r="U170" s="810"/>
      <c r="V170" s="810"/>
      <c r="W170" s="810"/>
      <c r="X170" s="810"/>
      <c r="Y170" s="810"/>
      <c r="Z170" s="810"/>
    </row>
    <row r="171">
      <c r="A171" s="810"/>
      <c r="B171" s="810"/>
      <c r="C171" s="810"/>
      <c r="D171" s="810"/>
      <c r="E171" s="810"/>
      <c r="F171" s="810"/>
      <c r="G171" s="810"/>
      <c r="H171" s="810"/>
      <c r="I171" s="810"/>
      <c r="J171" s="810"/>
      <c r="K171" s="810"/>
      <c r="L171" s="810"/>
      <c r="M171" s="810"/>
      <c r="N171" s="810"/>
      <c r="O171" s="810"/>
      <c r="P171" s="811"/>
      <c r="Q171" s="810"/>
      <c r="R171" s="810"/>
      <c r="S171" s="810"/>
      <c r="T171" s="810"/>
      <c r="U171" s="810"/>
      <c r="V171" s="810"/>
      <c r="W171" s="810"/>
      <c r="X171" s="810"/>
      <c r="Y171" s="810"/>
      <c r="Z171" s="810"/>
    </row>
    <row r="172">
      <c r="A172" s="810"/>
      <c r="B172" s="810"/>
      <c r="C172" s="810"/>
      <c r="D172" s="810"/>
      <c r="E172" s="810"/>
      <c r="F172" s="810"/>
      <c r="G172" s="810"/>
      <c r="H172" s="810"/>
      <c r="I172" s="810"/>
      <c r="J172" s="810"/>
      <c r="K172" s="810"/>
      <c r="L172" s="810"/>
      <c r="M172" s="810"/>
      <c r="N172" s="810"/>
      <c r="O172" s="810"/>
      <c r="P172" s="811"/>
      <c r="Q172" s="810"/>
      <c r="R172" s="810"/>
      <c r="S172" s="810"/>
      <c r="T172" s="810"/>
      <c r="U172" s="810"/>
      <c r="V172" s="810"/>
      <c r="W172" s="810"/>
      <c r="X172" s="810"/>
      <c r="Y172" s="810"/>
      <c r="Z172" s="810"/>
    </row>
    <row r="173">
      <c r="A173" s="810"/>
      <c r="B173" s="810"/>
      <c r="C173" s="810"/>
      <c r="D173" s="810"/>
      <c r="E173" s="810"/>
      <c r="F173" s="810"/>
      <c r="G173" s="810"/>
      <c r="H173" s="810"/>
      <c r="I173" s="810"/>
      <c r="J173" s="810"/>
      <c r="K173" s="810"/>
      <c r="L173" s="810"/>
      <c r="M173" s="810"/>
      <c r="N173" s="810"/>
      <c r="O173" s="810"/>
      <c r="P173" s="811"/>
      <c r="Q173" s="810"/>
      <c r="R173" s="810"/>
      <c r="S173" s="810"/>
      <c r="T173" s="810"/>
      <c r="U173" s="810"/>
      <c r="V173" s="810"/>
      <c r="W173" s="810"/>
      <c r="X173" s="810"/>
      <c r="Y173" s="810"/>
      <c r="Z173" s="810"/>
    </row>
    <row r="174">
      <c r="A174" s="810"/>
      <c r="B174" s="810"/>
      <c r="C174" s="810"/>
      <c r="D174" s="810"/>
      <c r="E174" s="810"/>
      <c r="F174" s="810"/>
      <c r="G174" s="810"/>
      <c r="H174" s="810"/>
      <c r="I174" s="810"/>
      <c r="J174" s="810"/>
      <c r="K174" s="810"/>
      <c r="L174" s="810"/>
      <c r="M174" s="810"/>
      <c r="N174" s="810"/>
      <c r="O174" s="810"/>
      <c r="P174" s="811"/>
      <c r="Q174" s="810"/>
      <c r="R174" s="810"/>
      <c r="S174" s="810"/>
      <c r="T174" s="810"/>
      <c r="U174" s="810"/>
      <c r="V174" s="810"/>
      <c r="W174" s="810"/>
      <c r="X174" s="810"/>
      <c r="Y174" s="810"/>
      <c r="Z174" s="810"/>
    </row>
    <row r="175">
      <c r="A175" s="810"/>
      <c r="B175" s="810"/>
      <c r="C175" s="810"/>
      <c r="D175" s="810"/>
      <c r="E175" s="810"/>
      <c r="F175" s="810"/>
      <c r="G175" s="810"/>
      <c r="H175" s="810"/>
      <c r="I175" s="810"/>
      <c r="J175" s="810"/>
      <c r="K175" s="810"/>
      <c r="L175" s="810"/>
      <c r="M175" s="810"/>
      <c r="N175" s="810"/>
      <c r="O175" s="810"/>
      <c r="P175" s="811"/>
      <c r="Q175" s="810"/>
      <c r="R175" s="810"/>
      <c r="S175" s="810"/>
      <c r="T175" s="810"/>
      <c r="U175" s="810"/>
      <c r="V175" s="810"/>
      <c r="W175" s="810"/>
      <c r="X175" s="810"/>
      <c r="Y175" s="810"/>
      <c r="Z175" s="810"/>
    </row>
    <row r="176">
      <c r="A176" s="810"/>
      <c r="B176" s="810"/>
      <c r="C176" s="810"/>
      <c r="D176" s="810"/>
      <c r="E176" s="810"/>
      <c r="F176" s="810"/>
      <c r="G176" s="810"/>
      <c r="H176" s="810"/>
      <c r="I176" s="810"/>
      <c r="J176" s="810"/>
      <c r="K176" s="810"/>
      <c r="L176" s="810"/>
      <c r="M176" s="810"/>
      <c r="N176" s="810"/>
      <c r="O176" s="810"/>
      <c r="P176" s="811"/>
      <c r="Q176" s="810"/>
      <c r="R176" s="810"/>
      <c r="S176" s="810"/>
      <c r="T176" s="810"/>
      <c r="U176" s="810"/>
      <c r="V176" s="810"/>
      <c r="W176" s="810"/>
      <c r="X176" s="810"/>
      <c r="Y176" s="810"/>
      <c r="Z176" s="810"/>
    </row>
    <row r="177">
      <c r="A177" s="810"/>
      <c r="B177" s="810"/>
      <c r="C177" s="810"/>
      <c r="D177" s="810"/>
      <c r="E177" s="810"/>
      <c r="F177" s="810"/>
      <c r="G177" s="810"/>
      <c r="H177" s="810"/>
      <c r="I177" s="810"/>
      <c r="J177" s="810"/>
      <c r="K177" s="810"/>
      <c r="L177" s="810"/>
      <c r="M177" s="810"/>
      <c r="N177" s="810"/>
      <c r="O177" s="810"/>
      <c r="P177" s="811"/>
      <c r="Q177" s="810"/>
      <c r="R177" s="810"/>
      <c r="S177" s="810"/>
      <c r="T177" s="810"/>
      <c r="U177" s="810"/>
      <c r="V177" s="810"/>
      <c r="W177" s="810"/>
      <c r="X177" s="810"/>
      <c r="Y177" s="810"/>
      <c r="Z177" s="810"/>
    </row>
    <row r="178">
      <c r="A178" s="810"/>
      <c r="B178" s="810"/>
      <c r="C178" s="810"/>
      <c r="D178" s="810"/>
      <c r="E178" s="810"/>
      <c r="F178" s="810"/>
      <c r="G178" s="810"/>
      <c r="H178" s="810"/>
      <c r="I178" s="810"/>
      <c r="J178" s="810"/>
      <c r="K178" s="810"/>
      <c r="L178" s="810"/>
      <c r="M178" s="810"/>
      <c r="N178" s="810"/>
      <c r="O178" s="810"/>
      <c r="P178" s="811"/>
      <c r="Q178" s="810"/>
      <c r="R178" s="810"/>
      <c r="S178" s="810"/>
      <c r="T178" s="810"/>
      <c r="U178" s="810"/>
      <c r="V178" s="810"/>
      <c r="W178" s="810"/>
      <c r="X178" s="810"/>
      <c r="Y178" s="810"/>
      <c r="Z178" s="810"/>
    </row>
    <row r="179">
      <c r="A179" s="810"/>
      <c r="B179" s="810"/>
      <c r="C179" s="810"/>
      <c r="D179" s="810"/>
      <c r="E179" s="810"/>
      <c r="F179" s="810"/>
      <c r="G179" s="810"/>
      <c r="H179" s="810"/>
      <c r="I179" s="810"/>
      <c r="J179" s="810"/>
      <c r="K179" s="810"/>
      <c r="L179" s="810"/>
      <c r="M179" s="810"/>
      <c r="N179" s="810"/>
      <c r="O179" s="810"/>
      <c r="P179" s="811"/>
      <c r="Q179" s="810"/>
      <c r="R179" s="810"/>
      <c r="S179" s="810"/>
      <c r="T179" s="810"/>
      <c r="U179" s="810"/>
      <c r="V179" s="810"/>
      <c r="W179" s="810"/>
      <c r="X179" s="810"/>
      <c r="Y179" s="810"/>
      <c r="Z179" s="810"/>
    </row>
    <row r="180">
      <c r="A180" s="810"/>
      <c r="B180" s="810"/>
      <c r="C180" s="810"/>
      <c r="D180" s="810"/>
      <c r="E180" s="810"/>
      <c r="F180" s="810"/>
      <c r="G180" s="810"/>
      <c r="H180" s="810"/>
      <c r="I180" s="810"/>
      <c r="J180" s="810"/>
      <c r="K180" s="810"/>
      <c r="L180" s="810"/>
      <c r="M180" s="810"/>
      <c r="N180" s="810"/>
      <c r="O180" s="810"/>
      <c r="P180" s="811"/>
      <c r="Q180" s="810"/>
      <c r="R180" s="810"/>
      <c r="S180" s="810"/>
      <c r="T180" s="810"/>
      <c r="U180" s="810"/>
      <c r="V180" s="810"/>
      <c r="W180" s="810"/>
      <c r="X180" s="810"/>
      <c r="Y180" s="810"/>
      <c r="Z180" s="810"/>
    </row>
    <row r="181">
      <c r="A181" s="810"/>
      <c r="B181" s="810"/>
      <c r="C181" s="810"/>
      <c r="D181" s="810"/>
      <c r="E181" s="810"/>
      <c r="F181" s="810"/>
      <c r="G181" s="810"/>
      <c r="H181" s="810"/>
      <c r="I181" s="810"/>
      <c r="J181" s="810"/>
      <c r="K181" s="810"/>
      <c r="L181" s="810"/>
      <c r="M181" s="810"/>
      <c r="N181" s="810"/>
      <c r="O181" s="810"/>
      <c r="P181" s="811"/>
      <c r="Q181" s="810"/>
      <c r="R181" s="810"/>
      <c r="S181" s="810"/>
      <c r="T181" s="810"/>
      <c r="U181" s="810"/>
      <c r="V181" s="810"/>
      <c r="W181" s="810"/>
      <c r="X181" s="810"/>
      <c r="Y181" s="810"/>
      <c r="Z181" s="810"/>
    </row>
    <row r="182">
      <c r="A182" s="810"/>
      <c r="B182" s="810"/>
      <c r="C182" s="810"/>
      <c r="D182" s="810"/>
      <c r="E182" s="810"/>
      <c r="F182" s="810"/>
      <c r="G182" s="810"/>
      <c r="H182" s="810"/>
      <c r="I182" s="810"/>
      <c r="J182" s="810"/>
      <c r="K182" s="810"/>
      <c r="L182" s="810"/>
      <c r="M182" s="810"/>
      <c r="N182" s="810"/>
      <c r="O182" s="810"/>
      <c r="P182" s="811"/>
      <c r="Q182" s="810"/>
      <c r="R182" s="810"/>
      <c r="S182" s="810"/>
      <c r="T182" s="810"/>
      <c r="U182" s="810"/>
      <c r="V182" s="810"/>
      <c r="W182" s="810"/>
      <c r="X182" s="810"/>
      <c r="Y182" s="810"/>
      <c r="Z182" s="810"/>
    </row>
    <row r="183">
      <c r="A183" s="810"/>
      <c r="B183" s="810"/>
      <c r="C183" s="810"/>
      <c r="D183" s="810"/>
      <c r="E183" s="810"/>
      <c r="F183" s="810"/>
      <c r="G183" s="810"/>
      <c r="H183" s="810"/>
      <c r="I183" s="810"/>
      <c r="J183" s="810"/>
      <c r="K183" s="810"/>
      <c r="L183" s="810"/>
      <c r="M183" s="810"/>
      <c r="N183" s="810"/>
      <c r="O183" s="810"/>
      <c r="P183" s="811"/>
      <c r="Q183" s="810"/>
      <c r="R183" s="810"/>
      <c r="S183" s="810"/>
      <c r="T183" s="810"/>
      <c r="U183" s="810"/>
      <c r="V183" s="810"/>
      <c r="W183" s="810"/>
      <c r="X183" s="810"/>
      <c r="Y183" s="810"/>
      <c r="Z183" s="810"/>
    </row>
    <row r="184">
      <c r="A184" s="810"/>
      <c r="B184" s="810"/>
      <c r="C184" s="810"/>
      <c r="D184" s="810"/>
      <c r="E184" s="810"/>
      <c r="F184" s="810"/>
      <c r="G184" s="810"/>
      <c r="H184" s="810"/>
      <c r="I184" s="810"/>
      <c r="J184" s="810"/>
      <c r="K184" s="810"/>
      <c r="L184" s="810"/>
      <c r="M184" s="810"/>
      <c r="N184" s="810"/>
      <c r="O184" s="810"/>
      <c r="P184" s="811"/>
      <c r="Q184" s="810"/>
      <c r="R184" s="810"/>
      <c r="S184" s="810"/>
      <c r="T184" s="810"/>
      <c r="U184" s="810"/>
      <c r="V184" s="810"/>
      <c r="W184" s="810"/>
      <c r="X184" s="810"/>
      <c r="Y184" s="810"/>
      <c r="Z184" s="810"/>
    </row>
    <row r="185">
      <c r="A185" s="810"/>
      <c r="B185" s="810"/>
      <c r="C185" s="810"/>
      <c r="D185" s="810"/>
      <c r="E185" s="810"/>
      <c r="F185" s="810"/>
      <c r="G185" s="810"/>
      <c r="H185" s="810"/>
      <c r="I185" s="810"/>
      <c r="J185" s="810"/>
      <c r="K185" s="810"/>
      <c r="L185" s="810"/>
      <c r="M185" s="810"/>
      <c r="N185" s="810"/>
      <c r="O185" s="810"/>
      <c r="P185" s="811"/>
      <c r="Q185" s="810"/>
      <c r="R185" s="810"/>
      <c r="S185" s="810"/>
      <c r="T185" s="810"/>
      <c r="U185" s="810"/>
      <c r="V185" s="810"/>
      <c r="W185" s="810"/>
      <c r="X185" s="810"/>
      <c r="Y185" s="810"/>
      <c r="Z185" s="810"/>
    </row>
    <row r="186">
      <c r="A186" s="810"/>
      <c r="B186" s="810"/>
      <c r="C186" s="810"/>
      <c r="D186" s="810"/>
      <c r="E186" s="810"/>
      <c r="F186" s="810"/>
      <c r="G186" s="810"/>
      <c r="H186" s="810"/>
      <c r="I186" s="810"/>
      <c r="J186" s="810"/>
      <c r="K186" s="810"/>
      <c r="L186" s="810"/>
      <c r="M186" s="810"/>
      <c r="N186" s="810"/>
      <c r="O186" s="810"/>
      <c r="P186" s="811"/>
      <c r="Q186" s="810"/>
      <c r="R186" s="810"/>
      <c r="S186" s="810"/>
      <c r="T186" s="810"/>
      <c r="U186" s="810"/>
      <c r="V186" s="810"/>
      <c r="W186" s="810"/>
      <c r="X186" s="810"/>
      <c r="Y186" s="810"/>
      <c r="Z186" s="810"/>
    </row>
    <row r="187">
      <c r="A187" s="810"/>
      <c r="B187" s="810"/>
      <c r="C187" s="810"/>
      <c r="D187" s="810"/>
      <c r="E187" s="810"/>
      <c r="F187" s="810"/>
      <c r="G187" s="810"/>
      <c r="H187" s="810"/>
      <c r="I187" s="810"/>
      <c r="J187" s="810"/>
      <c r="K187" s="810"/>
      <c r="L187" s="810"/>
      <c r="M187" s="810"/>
      <c r="N187" s="810"/>
      <c r="O187" s="810"/>
      <c r="P187" s="811"/>
      <c r="Q187" s="810"/>
      <c r="R187" s="810"/>
      <c r="S187" s="810"/>
      <c r="T187" s="810"/>
      <c r="U187" s="810"/>
      <c r="V187" s="810"/>
      <c r="W187" s="810"/>
      <c r="X187" s="810"/>
      <c r="Y187" s="810"/>
      <c r="Z187" s="810"/>
    </row>
    <row r="188">
      <c r="A188" s="810"/>
      <c r="B188" s="810"/>
      <c r="C188" s="810"/>
      <c r="D188" s="810"/>
      <c r="E188" s="810"/>
      <c r="F188" s="810"/>
      <c r="G188" s="810"/>
      <c r="H188" s="810"/>
      <c r="I188" s="810"/>
      <c r="J188" s="810"/>
      <c r="K188" s="810"/>
      <c r="L188" s="810"/>
      <c r="M188" s="810"/>
      <c r="N188" s="810"/>
      <c r="O188" s="810"/>
      <c r="P188" s="811"/>
      <c r="Q188" s="810"/>
      <c r="R188" s="810"/>
      <c r="S188" s="810"/>
      <c r="T188" s="810"/>
      <c r="U188" s="810"/>
      <c r="V188" s="810"/>
      <c r="W188" s="810"/>
      <c r="X188" s="810"/>
      <c r="Y188" s="810"/>
      <c r="Z188" s="810"/>
    </row>
    <row r="189">
      <c r="A189" s="810"/>
      <c r="B189" s="810"/>
      <c r="C189" s="810"/>
      <c r="D189" s="810"/>
      <c r="E189" s="810"/>
      <c r="F189" s="810"/>
      <c r="G189" s="810"/>
      <c r="H189" s="810"/>
      <c r="I189" s="810"/>
      <c r="J189" s="810"/>
      <c r="K189" s="810"/>
      <c r="L189" s="810"/>
      <c r="M189" s="810"/>
      <c r="N189" s="810"/>
      <c r="O189" s="810"/>
      <c r="P189" s="811"/>
      <c r="Q189" s="810"/>
      <c r="R189" s="810"/>
      <c r="S189" s="810"/>
      <c r="T189" s="810"/>
      <c r="U189" s="810"/>
      <c r="V189" s="810"/>
      <c r="W189" s="810"/>
      <c r="X189" s="810"/>
      <c r="Y189" s="810"/>
      <c r="Z189" s="810"/>
    </row>
    <row r="190">
      <c r="A190" s="810"/>
      <c r="B190" s="810"/>
      <c r="C190" s="810"/>
      <c r="D190" s="810"/>
      <c r="E190" s="810"/>
      <c r="F190" s="810"/>
      <c r="G190" s="810"/>
      <c r="H190" s="810"/>
      <c r="I190" s="810"/>
      <c r="J190" s="810"/>
      <c r="K190" s="810"/>
      <c r="L190" s="810"/>
      <c r="M190" s="810"/>
      <c r="N190" s="810"/>
      <c r="O190" s="810"/>
      <c r="P190" s="811"/>
      <c r="Q190" s="810"/>
      <c r="R190" s="810"/>
      <c r="S190" s="810"/>
      <c r="T190" s="810"/>
      <c r="U190" s="810"/>
      <c r="V190" s="810"/>
      <c r="W190" s="810"/>
      <c r="X190" s="810"/>
      <c r="Y190" s="810"/>
      <c r="Z190" s="810"/>
    </row>
    <row r="191">
      <c r="A191" s="810"/>
      <c r="B191" s="810"/>
      <c r="C191" s="810"/>
      <c r="D191" s="810"/>
      <c r="E191" s="810"/>
      <c r="F191" s="810"/>
      <c r="G191" s="810"/>
      <c r="H191" s="810"/>
      <c r="I191" s="810"/>
      <c r="J191" s="810"/>
      <c r="K191" s="810"/>
      <c r="L191" s="810"/>
      <c r="M191" s="810"/>
      <c r="N191" s="810"/>
      <c r="O191" s="810"/>
      <c r="P191" s="811"/>
      <c r="Q191" s="810"/>
      <c r="R191" s="810"/>
      <c r="S191" s="810"/>
      <c r="T191" s="810"/>
      <c r="U191" s="810"/>
      <c r="V191" s="810"/>
      <c r="W191" s="810"/>
      <c r="X191" s="810"/>
      <c r="Y191" s="810"/>
      <c r="Z191" s="810"/>
    </row>
    <row r="192">
      <c r="A192" s="810"/>
      <c r="B192" s="810"/>
      <c r="C192" s="810"/>
      <c r="D192" s="810"/>
      <c r="E192" s="810"/>
      <c r="F192" s="810"/>
      <c r="G192" s="810"/>
      <c r="H192" s="810"/>
      <c r="I192" s="810"/>
      <c r="J192" s="810"/>
      <c r="K192" s="810"/>
      <c r="L192" s="810"/>
      <c r="M192" s="810"/>
      <c r="N192" s="810"/>
      <c r="O192" s="810"/>
      <c r="P192" s="811"/>
      <c r="Q192" s="810"/>
      <c r="R192" s="810"/>
      <c r="S192" s="810"/>
      <c r="T192" s="810"/>
      <c r="U192" s="810"/>
      <c r="V192" s="810"/>
      <c r="W192" s="810"/>
      <c r="X192" s="810"/>
      <c r="Y192" s="810"/>
      <c r="Z192" s="810"/>
    </row>
    <row r="193">
      <c r="A193" s="810"/>
      <c r="B193" s="810"/>
      <c r="C193" s="810"/>
      <c r="D193" s="810"/>
      <c r="E193" s="810"/>
      <c r="F193" s="810"/>
      <c r="G193" s="810"/>
      <c r="H193" s="810"/>
      <c r="I193" s="810"/>
      <c r="J193" s="810"/>
      <c r="K193" s="810"/>
      <c r="L193" s="810"/>
      <c r="M193" s="810"/>
      <c r="N193" s="810"/>
      <c r="O193" s="810"/>
      <c r="P193" s="811"/>
      <c r="Q193" s="810"/>
      <c r="R193" s="810"/>
      <c r="S193" s="810"/>
      <c r="T193" s="810"/>
      <c r="U193" s="810"/>
      <c r="V193" s="810"/>
      <c r="W193" s="810"/>
      <c r="X193" s="810"/>
      <c r="Y193" s="810"/>
      <c r="Z193" s="810"/>
    </row>
    <row r="194">
      <c r="A194" s="810"/>
      <c r="B194" s="810"/>
      <c r="C194" s="810"/>
      <c r="D194" s="810"/>
      <c r="E194" s="810"/>
      <c r="F194" s="810"/>
      <c r="G194" s="810"/>
      <c r="H194" s="810"/>
      <c r="I194" s="810"/>
      <c r="J194" s="810"/>
      <c r="K194" s="810"/>
      <c r="L194" s="810"/>
      <c r="M194" s="810"/>
      <c r="N194" s="810"/>
      <c r="O194" s="810"/>
      <c r="P194" s="811"/>
      <c r="Q194" s="810"/>
      <c r="R194" s="810"/>
      <c r="S194" s="810"/>
      <c r="T194" s="810"/>
      <c r="U194" s="810"/>
      <c r="V194" s="810"/>
      <c r="W194" s="810"/>
      <c r="X194" s="810"/>
      <c r="Y194" s="810"/>
      <c r="Z194" s="810"/>
    </row>
    <row r="195">
      <c r="A195" s="810"/>
      <c r="B195" s="810"/>
      <c r="C195" s="810"/>
      <c r="D195" s="810"/>
      <c r="E195" s="810"/>
      <c r="F195" s="810"/>
      <c r="G195" s="810"/>
      <c r="H195" s="810"/>
      <c r="I195" s="810"/>
      <c r="J195" s="810"/>
      <c r="K195" s="810"/>
      <c r="L195" s="810"/>
      <c r="M195" s="810"/>
      <c r="N195" s="810"/>
      <c r="O195" s="810"/>
      <c r="P195" s="811"/>
      <c r="Q195" s="810"/>
      <c r="R195" s="810"/>
      <c r="S195" s="810"/>
      <c r="T195" s="810"/>
      <c r="U195" s="810"/>
      <c r="V195" s="810"/>
      <c r="W195" s="810"/>
      <c r="X195" s="810"/>
      <c r="Y195" s="810"/>
      <c r="Z195" s="810"/>
    </row>
    <row r="196">
      <c r="A196" s="810"/>
      <c r="B196" s="810"/>
      <c r="C196" s="810"/>
      <c r="D196" s="810"/>
      <c r="E196" s="810"/>
      <c r="F196" s="810"/>
      <c r="G196" s="810"/>
      <c r="H196" s="810"/>
      <c r="I196" s="810"/>
      <c r="J196" s="810"/>
      <c r="K196" s="810"/>
      <c r="L196" s="810"/>
      <c r="M196" s="810"/>
      <c r="N196" s="810"/>
      <c r="O196" s="810"/>
      <c r="P196" s="811"/>
      <c r="Q196" s="810"/>
      <c r="R196" s="810"/>
      <c r="S196" s="810"/>
      <c r="T196" s="810"/>
      <c r="U196" s="810"/>
      <c r="V196" s="810"/>
      <c r="W196" s="810"/>
      <c r="X196" s="810"/>
      <c r="Y196" s="810"/>
      <c r="Z196" s="810"/>
    </row>
    <row r="197">
      <c r="A197" s="810"/>
      <c r="B197" s="810"/>
      <c r="C197" s="810"/>
      <c r="D197" s="810"/>
      <c r="E197" s="810"/>
      <c r="F197" s="810"/>
      <c r="G197" s="810"/>
      <c r="H197" s="810"/>
      <c r="I197" s="810"/>
      <c r="J197" s="810"/>
      <c r="K197" s="810"/>
      <c r="L197" s="810"/>
      <c r="M197" s="810"/>
      <c r="N197" s="810"/>
      <c r="O197" s="810"/>
      <c r="P197" s="811"/>
      <c r="Q197" s="810"/>
      <c r="R197" s="810"/>
      <c r="S197" s="810"/>
      <c r="T197" s="810"/>
      <c r="U197" s="810"/>
      <c r="V197" s="810"/>
      <c r="W197" s="810"/>
      <c r="X197" s="810"/>
      <c r="Y197" s="810"/>
      <c r="Z197" s="810"/>
    </row>
    <row r="198">
      <c r="A198" s="810"/>
      <c r="B198" s="810"/>
      <c r="C198" s="810"/>
      <c r="D198" s="810"/>
      <c r="E198" s="810"/>
      <c r="F198" s="810"/>
      <c r="G198" s="810"/>
      <c r="H198" s="810"/>
      <c r="I198" s="810"/>
      <c r="J198" s="810"/>
      <c r="K198" s="810"/>
      <c r="L198" s="810"/>
      <c r="M198" s="810"/>
      <c r="N198" s="810"/>
      <c r="O198" s="810"/>
      <c r="P198" s="811"/>
      <c r="Q198" s="810"/>
      <c r="R198" s="810"/>
      <c r="S198" s="810"/>
      <c r="T198" s="810"/>
      <c r="U198" s="810"/>
      <c r="V198" s="810"/>
      <c r="W198" s="810"/>
      <c r="X198" s="810"/>
      <c r="Y198" s="810"/>
      <c r="Z198" s="810"/>
    </row>
    <row r="199">
      <c r="A199" s="810"/>
      <c r="B199" s="810"/>
      <c r="C199" s="810"/>
      <c r="D199" s="810"/>
      <c r="E199" s="810"/>
      <c r="F199" s="810"/>
      <c r="G199" s="810"/>
      <c r="H199" s="810"/>
      <c r="I199" s="810"/>
      <c r="J199" s="810"/>
      <c r="K199" s="810"/>
      <c r="L199" s="810"/>
      <c r="M199" s="810"/>
      <c r="N199" s="810"/>
      <c r="O199" s="810"/>
      <c r="P199" s="811"/>
      <c r="Q199" s="810"/>
      <c r="R199" s="810"/>
      <c r="S199" s="810"/>
      <c r="T199" s="810"/>
      <c r="U199" s="810"/>
      <c r="V199" s="810"/>
      <c r="W199" s="810"/>
      <c r="X199" s="810"/>
      <c r="Y199" s="810"/>
      <c r="Z199" s="810"/>
    </row>
    <row r="200">
      <c r="A200" s="810"/>
      <c r="B200" s="810"/>
      <c r="C200" s="810"/>
      <c r="D200" s="810"/>
      <c r="E200" s="810"/>
      <c r="F200" s="810"/>
      <c r="G200" s="810"/>
      <c r="H200" s="810"/>
      <c r="I200" s="810"/>
      <c r="J200" s="810"/>
      <c r="K200" s="810"/>
      <c r="L200" s="810"/>
      <c r="M200" s="810"/>
      <c r="N200" s="810"/>
      <c r="O200" s="810"/>
      <c r="P200" s="811"/>
      <c r="Q200" s="810"/>
      <c r="R200" s="810"/>
      <c r="S200" s="810"/>
      <c r="T200" s="810"/>
      <c r="U200" s="810"/>
      <c r="V200" s="810"/>
      <c r="W200" s="810"/>
      <c r="X200" s="810"/>
      <c r="Y200" s="810"/>
      <c r="Z200" s="810"/>
    </row>
    <row r="201">
      <c r="A201" s="810"/>
      <c r="B201" s="810"/>
      <c r="C201" s="810"/>
      <c r="D201" s="810"/>
      <c r="E201" s="810"/>
      <c r="F201" s="810"/>
      <c r="G201" s="810"/>
      <c r="H201" s="810"/>
      <c r="I201" s="810"/>
      <c r="J201" s="810"/>
      <c r="K201" s="810"/>
      <c r="L201" s="810"/>
      <c r="M201" s="810"/>
      <c r="N201" s="810"/>
      <c r="O201" s="810"/>
      <c r="P201" s="811"/>
      <c r="Q201" s="810"/>
      <c r="R201" s="810"/>
      <c r="S201" s="810"/>
      <c r="T201" s="810"/>
      <c r="U201" s="810"/>
      <c r="V201" s="810"/>
      <c r="W201" s="810"/>
      <c r="X201" s="810"/>
      <c r="Y201" s="810"/>
      <c r="Z201" s="810"/>
    </row>
    <row r="202">
      <c r="A202" s="810"/>
      <c r="B202" s="810"/>
      <c r="C202" s="810"/>
      <c r="D202" s="810"/>
      <c r="E202" s="810"/>
      <c r="F202" s="810"/>
      <c r="G202" s="810"/>
      <c r="H202" s="810"/>
      <c r="I202" s="810"/>
      <c r="J202" s="810"/>
      <c r="K202" s="810"/>
      <c r="L202" s="810"/>
      <c r="M202" s="810"/>
      <c r="N202" s="810"/>
      <c r="O202" s="810"/>
      <c r="P202" s="811"/>
      <c r="Q202" s="810"/>
      <c r="R202" s="810"/>
      <c r="S202" s="810"/>
      <c r="T202" s="810"/>
      <c r="U202" s="810"/>
      <c r="V202" s="810"/>
      <c r="W202" s="810"/>
      <c r="X202" s="810"/>
      <c r="Y202" s="810"/>
      <c r="Z202" s="810"/>
    </row>
    <row r="203">
      <c r="A203" s="810"/>
      <c r="B203" s="810"/>
      <c r="C203" s="810"/>
      <c r="D203" s="810"/>
      <c r="E203" s="810"/>
      <c r="F203" s="810"/>
      <c r="G203" s="810"/>
      <c r="H203" s="810"/>
      <c r="I203" s="810"/>
      <c r="J203" s="810"/>
      <c r="K203" s="810"/>
      <c r="L203" s="810"/>
      <c r="M203" s="810"/>
      <c r="N203" s="810"/>
      <c r="O203" s="810"/>
      <c r="P203" s="811"/>
      <c r="Q203" s="810"/>
      <c r="R203" s="810"/>
      <c r="S203" s="810"/>
      <c r="T203" s="810"/>
      <c r="U203" s="810"/>
      <c r="V203" s="810"/>
      <c r="W203" s="810"/>
      <c r="X203" s="810"/>
      <c r="Y203" s="810"/>
      <c r="Z203" s="810"/>
    </row>
    <row r="204">
      <c r="A204" s="810"/>
      <c r="B204" s="810"/>
      <c r="C204" s="810"/>
      <c r="D204" s="810"/>
      <c r="E204" s="810"/>
      <c r="F204" s="810"/>
      <c r="G204" s="810"/>
      <c r="H204" s="810"/>
      <c r="I204" s="810"/>
      <c r="J204" s="810"/>
      <c r="K204" s="810"/>
      <c r="L204" s="810"/>
      <c r="M204" s="810"/>
      <c r="N204" s="810"/>
      <c r="O204" s="810"/>
      <c r="P204" s="811"/>
      <c r="Q204" s="810"/>
      <c r="R204" s="810"/>
      <c r="S204" s="810"/>
      <c r="T204" s="810"/>
      <c r="U204" s="810"/>
      <c r="V204" s="810"/>
      <c r="W204" s="810"/>
      <c r="X204" s="810"/>
      <c r="Y204" s="810"/>
      <c r="Z204" s="810"/>
    </row>
    <row r="205">
      <c r="A205" s="810"/>
      <c r="B205" s="810"/>
      <c r="C205" s="810"/>
      <c r="D205" s="810"/>
      <c r="E205" s="810"/>
      <c r="F205" s="810"/>
      <c r="G205" s="810"/>
      <c r="H205" s="810"/>
      <c r="I205" s="810"/>
      <c r="J205" s="810"/>
      <c r="K205" s="810"/>
      <c r="L205" s="810"/>
      <c r="M205" s="810"/>
      <c r="N205" s="810"/>
      <c r="O205" s="810"/>
      <c r="P205" s="811"/>
      <c r="Q205" s="810"/>
      <c r="R205" s="810"/>
      <c r="S205" s="810"/>
      <c r="T205" s="810"/>
      <c r="U205" s="810"/>
      <c r="V205" s="810"/>
      <c r="W205" s="810"/>
      <c r="X205" s="810"/>
      <c r="Y205" s="810"/>
      <c r="Z205" s="810"/>
    </row>
    <row r="206">
      <c r="A206" s="810"/>
      <c r="B206" s="810"/>
      <c r="C206" s="810"/>
      <c r="D206" s="810"/>
      <c r="E206" s="810"/>
      <c r="F206" s="810"/>
      <c r="G206" s="810"/>
      <c r="H206" s="810"/>
      <c r="I206" s="810"/>
      <c r="J206" s="810"/>
      <c r="K206" s="810"/>
      <c r="L206" s="810"/>
      <c r="M206" s="810"/>
      <c r="N206" s="810"/>
      <c r="O206" s="810"/>
      <c r="P206" s="811"/>
      <c r="Q206" s="810"/>
      <c r="R206" s="810"/>
      <c r="S206" s="810"/>
      <c r="T206" s="810"/>
      <c r="U206" s="810"/>
      <c r="V206" s="810"/>
      <c r="W206" s="810"/>
      <c r="X206" s="810"/>
      <c r="Y206" s="810"/>
      <c r="Z206" s="810"/>
    </row>
    <row r="207">
      <c r="A207" s="810"/>
      <c r="B207" s="810"/>
      <c r="C207" s="810"/>
      <c r="D207" s="810"/>
      <c r="E207" s="810"/>
      <c r="F207" s="810"/>
      <c r="G207" s="810"/>
      <c r="H207" s="810"/>
      <c r="I207" s="810"/>
      <c r="J207" s="810"/>
      <c r="K207" s="810"/>
      <c r="L207" s="810"/>
      <c r="M207" s="810"/>
      <c r="N207" s="810"/>
      <c r="O207" s="810"/>
      <c r="P207" s="811"/>
      <c r="Q207" s="810"/>
      <c r="R207" s="810"/>
      <c r="S207" s="810"/>
      <c r="T207" s="810"/>
      <c r="U207" s="810"/>
      <c r="V207" s="810"/>
      <c r="W207" s="810"/>
      <c r="X207" s="810"/>
      <c r="Y207" s="810"/>
      <c r="Z207" s="810"/>
    </row>
    <row r="208">
      <c r="A208" s="810"/>
      <c r="B208" s="810"/>
      <c r="C208" s="810"/>
      <c r="D208" s="810"/>
      <c r="E208" s="810"/>
      <c r="F208" s="810"/>
      <c r="G208" s="810"/>
      <c r="H208" s="810"/>
      <c r="I208" s="810"/>
      <c r="J208" s="810"/>
      <c r="K208" s="810"/>
      <c r="L208" s="810"/>
      <c r="M208" s="810"/>
      <c r="N208" s="810"/>
      <c r="O208" s="810"/>
      <c r="P208" s="811"/>
      <c r="Q208" s="810"/>
      <c r="R208" s="810"/>
      <c r="S208" s="810"/>
      <c r="T208" s="810"/>
      <c r="U208" s="810"/>
      <c r="V208" s="810"/>
      <c r="W208" s="810"/>
      <c r="X208" s="810"/>
      <c r="Y208" s="810"/>
      <c r="Z208" s="810"/>
    </row>
    <row r="209">
      <c r="A209" s="810"/>
      <c r="B209" s="810"/>
      <c r="C209" s="810"/>
      <c r="D209" s="810"/>
      <c r="E209" s="810"/>
      <c r="F209" s="810"/>
      <c r="G209" s="810"/>
      <c r="H209" s="810"/>
      <c r="I209" s="810"/>
      <c r="J209" s="810"/>
      <c r="K209" s="810"/>
      <c r="L209" s="810"/>
      <c r="M209" s="810"/>
      <c r="N209" s="810"/>
      <c r="O209" s="810"/>
      <c r="P209" s="811"/>
      <c r="Q209" s="810"/>
      <c r="R209" s="810"/>
      <c r="S209" s="810"/>
      <c r="T209" s="810"/>
      <c r="U209" s="810"/>
      <c r="V209" s="810"/>
      <c r="W209" s="810"/>
      <c r="X209" s="810"/>
      <c r="Y209" s="810"/>
      <c r="Z209" s="810"/>
    </row>
    <row r="210">
      <c r="A210" s="810"/>
      <c r="B210" s="810"/>
      <c r="C210" s="810"/>
      <c r="D210" s="810"/>
      <c r="E210" s="810"/>
      <c r="F210" s="810"/>
      <c r="G210" s="810"/>
      <c r="H210" s="810"/>
      <c r="I210" s="810"/>
      <c r="J210" s="810"/>
      <c r="K210" s="810"/>
      <c r="L210" s="810"/>
      <c r="M210" s="810"/>
      <c r="N210" s="810"/>
      <c r="O210" s="810"/>
      <c r="P210" s="811"/>
      <c r="Q210" s="810"/>
      <c r="R210" s="810"/>
      <c r="S210" s="810"/>
      <c r="T210" s="810"/>
      <c r="U210" s="810"/>
      <c r="V210" s="810"/>
      <c r="W210" s="810"/>
      <c r="X210" s="810"/>
      <c r="Y210" s="810"/>
      <c r="Z210" s="810"/>
    </row>
    <row r="211">
      <c r="A211" s="810"/>
      <c r="B211" s="810"/>
      <c r="C211" s="810"/>
      <c r="D211" s="810"/>
      <c r="E211" s="810"/>
      <c r="F211" s="810"/>
      <c r="G211" s="810"/>
      <c r="H211" s="810"/>
      <c r="I211" s="810"/>
      <c r="J211" s="810"/>
      <c r="K211" s="810"/>
      <c r="L211" s="810"/>
      <c r="M211" s="810"/>
      <c r="N211" s="810"/>
      <c r="O211" s="810"/>
      <c r="P211" s="811"/>
      <c r="Q211" s="810"/>
      <c r="R211" s="810"/>
      <c r="S211" s="810"/>
      <c r="T211" s="810"/>
      <c r="U211" s="810"/>
      <c r="V211" s="810"/>
      <c r="W211" s="810"/>
      <c r="X211" s="810"/>
      <c r="Y211" s="810"/>
      <c r="Z211" s="810"/>
    </row>
    <row r="212">
      <c r="A212" s="810"/>
      <c r="B212" s="810"/>
      <c r="C212" s="810"/>
      <c r="D212" s="810"/>
      <c r="E212" s="810"/>
      <c r="F212" s="810"/>
      <c r="G212" s="810"/>
      <c r="H212" s="810"/>
      <c r="I212" s="810"/>
      <c r="J212" s="810"/>
      <c r="K212" s="810"/>
      <c r="L212" s="810"/>
      <c r="M212" s="810"/>
      <c r="N212" s="810"/>
      <c r="O212" s="810"/>
      <c r="P212" s="811"/>
      <c r="Q212" s="810"/>
      <c r="R212" s="810"/>
      <c r="S212" s="810"/>
      <c r="T212" s="810"/>
      <c r="U212" s="810"/>
      <c r="V212" s="810"/>
      <c r="W212" s="810"/>
      <c r="X212" s="810"/>
      <c r="Y212" s="810"/>
      <c r="Z212" s="810"/>
    </row>
    <row r="213">
      <c r="A213" s="810"/>
      <c r="B213" s="810"/>
      <c r="C213" s="810"/>
      <c r="D213" s="810"/>
      <c r="E213" s="810"/>
      <c r="F213" s="810"/>
      <c r="G213" s="810"/>
      <c r="H213" s="810"/>
      <c r="I213" s="810"/>
      <c r="J213" s="810"/>
      <c r="K213" s="810"/>
      <c r="L213" s="810"/>
      <c r="M213" s="810"/>
      <c r="N213" s="810"/>
      <c r="O213" s="810"/>
      <c r="P213" s="811"/>
      <c r="Q213" s="810"/>
      <c r="R213" s="810"/>
      <c r="S213" s="810"/>
      <c r="T213" s="810"/>
      <c r="U213" s="810"/>
      <c r="V213" s="810"/>
      <c r="W213" s="810"/>
      <c r="X213" s="810"/>
      <c r="Y213" s="810"/>
      <c r="Z213" s="810"/>
    </row>
    <row r="214">
      <c r="A214" s="810"/>
      <c r="B214" s="810"/>
      <c r="C214" s="810"/>
      <c r="D214" s="810"/>
      <c r="E214" s="810"/>
      <c r="F214" s="810"/>
      <c r="G214" s="810"/>
      <c r="H214" s="810"/>
      <c r="I214" s="810"/>
      <c r="J214" s="810"/>
      <c r="K214" s="810"/>
      <c r="L214" s="810"/>
      <c r="M214" s="810"/>
      <c r="N214" s="810"/>
      <c r="O214" s="810"/>
      <c r="P214" s="811"/>
      <c r="Q214" s="810"/>
      <c r="R214" s="810"/>
      <c r="S214" s="810"/>
      <c r="T214" s="810"/>
      <c r="U214" s="810"/>
      <c r="V214" s="810"/>
      <c r="W214" s="810"/>
      <c r="X214" s="810"/>
      <c r="Y214" s="810"/>
      <c r="Z214" s="810"/>
    </row>
    <row r="215">
      <c r="A215" s="810"/>
      <c r="B215" s="810"/>
      <c r="C215" s="810"/>
      <c r="D215" s="810"/>
      <c r="E215" s="810"/>
      <c r="F215" s="810"/>
      <c r="G215" s="810"/>
      <c r="H215" s="810"/>
      <c r="I215" s="810"/>
      <c r="J215" s="810"/>
      <c r="K215" s="810"/>
      <c r="L215" s="810"/>
      <c r="M215" s="810"/>
      <c r="N215" s="810"/>
      <c r="O215" s="810"/>
      <c r="P215" s="811"/>
      <c r="Q215" s="810"/>
      <c r="R215" s="810"/>
      <c r="S215" s="810"/>
      <c r="T215" s="810"/>
      <c r="U215" s="810"/>
      <c r="V215" s="810"/>
      <c r="W215" s="810"/>
      <c r="X215" s="810"/>
      <c r="Y215" s="810"/>
      <c r="Z215" s="810"/>
    </row>
    <row r="216">
      <c r="A216" s="810"/>
      <c r="B216" s="810"/>
      <c r="C216" s="810"/>
      <c r="D216" s="810"/>
      <c r="E216" s="810"/>
      <c r="F216" s="810"/>
      <c r="G216" s="810"/>
      <c r="H216" s="810"/>
      <c r="I216" s="810"/>
      <c r="J216" s="810"/>
      <c r="K216" s="810"/>
      <c r="L216" s="810"/>
      <c r="M216" s="810"/>
      <c r="N216" s="810"/>
      <c r="O216" s="810"/>
      <c r="P216" s="811"/>
      <c r="Q216" s="810"/>
      <c r="R216" s="810"/>
      <c r="S216" s="810"/>
      <c r="T216" s="810"/>
      <c r="U216" s="810"/>
      <c r="V216" s="810"/>
      <c r="W216" s="810"/>
      <c r="X216" s="810"/>
      <c r="Y216" s="810"/>
      <c r="Z216" s="810"/>
    </row>
    <row r="217">
      <c r="A217" s="810"/>
      <c r="B217" s="810"/>
      <c r="C217" s="810"/>
      <c r="D217" s="810"/>
      <c r="E217" s="810"/>
      <c r="F217" s="810"/>
      <c r="G217" s="810"/>
      <c r="H217" s="810"/>
      <c r="I217" s="810"/>
      <c r="J217" s="810"/>
      <c r="K217" s="810"/>
      <c r="L217" s="810"/>
      <c r="M217" s="810"/>
      <c r="N217" s="810"/>
      <c r="O217" s="810"/>
      <c r="P217" s="811"/>
      <c r="Q217" s="810"/>
      <c r="R217" s="810"/>
      <c r="S217" s="810"/>
      <c r="T217" s="810"/>
      <c r="U217" s="810"/>
      <c r="V217" s="810"/>
      <c r="W217" s="810"/>
      <c r="X217" s="810"/>
      <c r="Y217" s="810"/>
      <c r="Z217" s="810"/>
    </row>
    <row r="218">
      <c r="A218" s="810"/>
      <c r="B218" s="810"/>
      <c r="C218" s="810"/>
      <c r="D218" s="810"/>
      <c r="E218" s="810"/>
      <c r="F218" s="810"/>
      <c r="G218" s="810"/>
      <c r="H218" s="810"/>
      <c r="I218" s="810"/>
      <c r="J218" s="810"/>
      <c r="K218" s="810"/>
      <c r="L218" s="810"/>
      <c r="M218" s="810"/>
      <c r="N218" s="810"/>
      <c r="O218" s="810"/>
      <c r="P218" s="811"/>
      <c r="Q218" s="810"/>
      <c r="R218" s="810"/>
      <c r="S218" s="810"/>
      <c r="T218" s="810"/>
      <c r="U218" s="810"/>
      <c r="V218" s="810"/>
      <c r="W218" s="810"/>
      <c r="X218" s="810"/>
      <c r="Y218" s="810"/>
      <c r="Z218" s="810"/>
    </row>
    <row r="219">
      <c r="A219" s="810"/>
      <c r="B219" s="810"/>
      <c r="C219" s="810"/>
      <c r="D219" s="810"/>
      <c r="E219" s="810"/>
      <c r="F219" s="810"/>
      <c r="G219" s="810"/>
      <c r="H219" s="810"/>
      <c r="I219" s="810"/>
      <c r="J219" s="810"/>
      <c r="K219" s="810"/>
      <c r="L219" s="810"/>
      <c r="M219" s="810"/>
      <c r="N219" s="810"/>
      <c r="O219" s="810"/>
      <c r="P219" s="811"/>
      <c r="Q219" s="810"/>
      <c r="R219" s="810"/>
      <c r="S219" s="810"/>
      <c r="T219" s="810"/>
      <c r="U219" s="810"/>
      <c r="V219" s="810"/>
      <c r="W219" s="810"/>
      <c r="X219" s="810"/>
      <c r="Y219" s="810"/>
      <c r="Z219" s="810"/>
    </row>
    <row r="220">
      <c r="A220" s="810"/>
      <c r="B220" s="810"/>
      <c r="C220" s="810"/>
      <c r="D220" s="810"/>
      <c r="E220" s="810"/>
      <c r="F220" s="810"/>
      <c r="G220" s="810"/>
      <c r="H220" s="810"/>
      <c r="I220" s="810"/>
      <c r="J220" s="810"/>
      <c r="K220" s="810"/>
      <c r="L220" s="810"/>
      <c r="M220" s="810"/>
      <c r="N220" s="810"/>
      <c r="O220" s="810"/>
      <c r="P220" s="811"/>
      <c r="Q220" s="810"/>
      <c r="R220" s="810"/>
      <c r="S220" s="810"/>
      <c r="T220" s="810"/>
      <c r="U220" s="810"/>
      <c r="V220" s="810"/>
      <c r="W220" s="810"/>
      <c r="X220" s="810"/>
      <c r="Y220" s="810"/>
      <c r="Z220" s="810"/>
    </row>
    <row r="221">
      <c r="A221" s="810"/>
      <c r="B221" s="810"/>
      <c r="C221" s="810"/>
      <c r="D221" s="810"/>
      <c r="E221" s="810"/>
      <c r="F221" s="810"/>
      <c r="G221" s="810"/>
      <c r="H221" s="810"/>
      <c r="I221" s="810"/>
      <c r="J221" s="810"/>
      <c r="K221" s="810"/>
      <c r="L221" s="810"/>
      <c r="M221" s="810"/>
      <c r="N221" s="810"/>
      <c r="O221" s="810"/>
      <c r="P221" s="811"/>
      <c r="Q221" s="810"/>
      <c r="R221" s="810"/>
      <c r="S221" s="810"/>
      <c r="T221" s="810"/>
      <c r="U221" s="810"/>
      <c r="V221" s="810"/>
      <c r="W221" s="810"/>
      <c r="X221" s="810"/>
      <c r="Y221" s="810"/>
      <c r="Z221" s="810"/>
    </row>
    <row r="222">
      <c r="A222" s="810"/>
      <c r="B222" s="810"/>
      <c r="C222" s="810"/>
      <c r="D222" s="810"/>
      <c r="E222" s="810"/>
      <c r="F222" s="810"/>
      <c r="G222" s="810"/>
      <c r="H222" s="810"/>
      <c r="I222" s="810"/>
      <c r="J222" s="810"/>
      <c r="K222" s="810"/>
      <c r="L222" s="810"/>
      <c r="M222" s="810"/>
      <c r="N222" s="810"/>
      <c r="O222" s="810"/>
      <c r="P222" s="811"/>
      <c r="Q222" s="810"/>
      <c r="R222" s="810"/>
      <c r="S222" s="810"/>
      <c r="T222" s="810"/>
      <c r="U222" s="810"/>
      <c r="V222" s="810"/>
      <c r="W222" s="810"/>
      <c r="X222" s="810"/>
      <c r="Y222" s="810"/>
      <c r="Z222" s="810"/>
    </row>
    <row r="223">
      <c r="A223" s="810"/>
      <c r="B223" s="810"/>
      <c r="C223" s="810"/>
      <c r="D223" s="810"/>
      <c r="E223" s="810"/>
      <c r="F223" s="810"/>
      <c r="G223" s="810"/>
      <c r="H223" s="810"/>
      <c r="I223" s="810"/>
      <c r="J223" s="810"/>
      <c r="K223" s="810"/>
      <c r="L223" s="810"/>
      <c r="M223" s="810"/>
      <c r="N223" s="810"/>
      <c r="O223" s="810"/>
      <c r="P223" s="811"/>
      <c r="Q223" s="810"/>
      <c r="R223" s="810"/>
      <c r="S223" s="810"/>
      <c r="T223" s="810"/>
      <c r="U223" s="810"/>
      <c r="V223" s="810"/>
      <c r="W223" s="810"/>
      <c r="X223" s="810"/>
      <c r="Y223" s="810"/>
      <c r="Z223" s="810"/>
    </row>
    <row r="224">
      <c r="A224" s="810"/>
      <c r="B224" s="810"/>
      <c r="C224" s="810"/>
      <c r="D224" s="810"/>
      <c r="E224" s="810"/>
      <c r="F224" s="810"/>
      <c r="G224" s="810"/>
      <c r="H224" s="810"/>
      <c r="I224" s="810"/>
      <c r="J224" s="810"/>
      <c r="K224" s="810"/>
      <c r="L224" s="810"/>
      <c r="M224" s="810"/>
      <c r="N224" s="810"/>
      <c r="O224" s="810"/>
      <c r="P224" s="811"/>
      <c r="Q224" s="810"/>
      <c r="R224" s="810"/>
      <c r="S224" s="810"/>
      <c r="T224" s="810"/>
      <c r="U224" s="810"/>
      <c r="V224" s="810"/>
      <c r="W224" s="810"/>
      <c r="X224" s="810"/>
      <c r="Y224" s="810"/>
      <c r="Z224" s="810"/>
    </row>
    <row r="225">
      <c r="A225" s="810"/>
      <c r="B225" s="810"/>
      <c r="C225" s="810"/>
      <c r="D225" s="810"/>
      <c r="E225" s="810"/>
      <c r="F225" s="810"/>
      <c r="G225" s="810"/>
      <c r="H225" s="810"/>
      <c r="I225" s="810"/>
      <c r="J225" s="810"/>
      <c r="K225" s="810"/>
      <c r="L225" s="810"/>
      <c r="M225" s="810"/>
      <c r="N225" s="810"/>
      <c r="O225" s="810"/>
      <c r="P225" s="811"/>
      <c r="Q225" s="810"/>
      <c r="R225" s="810"/>
      <c r="S225" s="810"/>
      <c r="T225" s="810"/>
      <c r="U225" s="810"/>
      <c r="V225" s="810"/>
      <c r="W225" s="810"/>
      <c r="X225" s="810"/>
      <c r="Y225" s="810"/>
      <c r="Z225" s="810"/>
    </row>
    <row r="226">
      <c r="A226" s="810"/>
      <c r="B226" s="810"/>
      <c r="C226" s="810"/>
      <c r="D226" s="810"/>
      <c r="E226" s="810"/>
      <c r="F226" s="810"/>
      <c r="G226" s="810"/>
      <c r="H226" s="810"/>
      <c r="I226" s="810"/>
      <c r="J226" s="810"/>
      <c r="K226" s="810"/>
      <c r="L226" s="810"/>
      <c r="M226" s="810"/>
      <c r="N226" s="810"/>
      <c r="O226" s="810"/>
      <c r="P226" s="811"/>
      <c r="Q226" s="810"/>
      <c r="R226" s="810"/>
      <c r="S226" s="810"/>
      <c r="T226" s="810"/>
      <c r="U226" s="810"/>
      <c r="V226" s="810"/>
      <c r="W226" s="810"/>
      <c r="X226" s="810"/>
      <c r="Y226" s="810"/>
      <c r="Z226" s="810"/>
    </row>
    <row r="227">
      <c r="A227" s="810"/>
      <c r="B227" s="810"/>
      <c r="C227" s="810"/>
      <c r="D227" s="810"/>
      <c r="E227" s="810"/>
      <c r="F227" s="810"/>
      <c r="G227" s="810"/>
      <c r="H227" s="810"/>
      <c r="I227" s="810"/>
      <c r="J227" s="810"/>
      <c r="K227" s="810"/>
      <c r="L227" s="810"/>
      <c r="M227" s="810"/>
      <c r="N227" s="810"/>
      <c r="O227" s="810"/>
      <c r="P227" s="811"/>
      <c r="Q227" s="810"/>
      <c r="R227" s="810"/>
      <c r="S227" s="810"/>
      <c r="T227" s="810"/>
      <c r="U227" s="810"/>
      <c r="V227" s="810"/>
      <c r="W227" s="810"/>
      <c r="X227" s="810"/>
      <c r="Y227" s="810"/>
      <c r="Z227" s="810"/>
    </row>
    <row r="228">
      <c r="A228" s="810"/>
      <c r="B228" s="810"/>
      <c r="C228" s="810"/>
      <c r="D228" s="810"/>
      <c r="E228" s="810"/>
      <c r="F228" s="810"/>
      <c r="G228" s="810"/>
      <c r="H228" s="810"/>
      <c r="I228" s="810"/>
      <c r="J228" s="810"/>
      <c r="K228" s="810"/>
      <c r="L228" s="810"/>
      <c r="M228" s="810"/>
      <c r="N228" s="810"/>
      <c r="O228" s="810"/>
      <c r="P228" s="811"/>
      <c r="Q228" s="810"/>
      <c r="R228" s="810"/>
      <c r="S228" s="810"/>
      <c r="T228" s="810"/>
      <c r="U228" s="810"/>
      <c r="V228" s="810"/>
      <c r="W228" s="810"/>
      <c r="X228" s="810"/>
      <c r="Y228" s="810"/>
      <c r="Z228" s="810"/>
    </row>
    <row r="229">
      <c r="A229" s="810"/>
      <c r="B229" s="810"/>
      <c r="C229" s="810"/>
      <c r="D229" s="810"/>
      <c r="E229" s="810"/>
      <c r="F229" s="810"/>
      <c r="G229" s="810"/>
      <c r="H229" s="810"/>
      <c r="I229" s="810"/>
      <c r="J229" s="810"/>
      <c r="K229" s="810"/>
      <c r="L229" s="810"/>
      <c r="M229" s="810"/>
      <c r="N229" s="810"/>
      <c r="O229" s="810"/>
      <c r="P229" s="811"/>
      <c r="Q229" s="810"/>
      <c r="R229" s="810"/>
      <c r="S229" s="810"/>
      <c r="T229" s="810"/>
      <c r="U229" s="810"/>
      <c r="V229" s="810"/>
      <c r="W229" s="810"/>
      <c r="X229" s="810"/>
      <c r="Y229" s="810"/>
      <c r="Z229" s="810"/>
    </row>
    <row r="230">
      <c r="A230" s="810"/>
      <c r="B230" s="810"/>
      <c r="C230" s="810"/>
      <c r="D230" s="810"/>
      <c r="E230" s="810"/>
      <c r="F230" s="810"/>
      <c r="G230" s="810"/>
      <c r="H230" s="810"/>
      <c r="I230" s="810"/>
      <c r="J230" s="810"/>
      <c r="K230" s="810"/>
      <c r="L230" s="810"/>
      <c r="M230" s="810"/>
      <c r="N230" s="810"/>
      <c r="O230" s="810"/>
      <c r="P230" s="811"/>
      <c r="Q230" s="810"/>
      <c r="R230" s="810"/>
      <c r="S230" s="810"/>
      <c r="T230" s="810"/>
      <c r="U230" s="810"/>
      <c r="V230" s="810"/>
      <c r="W230" s="810"/>
      <c r="X230" s="810"/>
      <c r="Y230" s="810"/>
      <c r="Z230" s="810"/>
    </row>
    <row r="231">
      <c r="A231" s="810"/>
      <c r="B231" s="810"/>
      <c r="C231" s="810"/>
      <c r="D231" s="810"/>
      <c r="E231" s="810"/>
      <c r="F231" s="810"/>
      <c r="G231" s="810"/>
      <c r="H231" s="810"/>
      <c r="I231" s="810"/>
      <c r="J231" s="810"/>
      <c r="K231" s="810"/>
      <c r="L231" s="810"/>
      <c r="M231" s="810"/>
      <c r="N231" s="810"/>
      <c r="O231" s="810"/>
      <c r="P231" s="811"/>
      <c r="Q231" s="810"/>
      <c r="R231" s="810"/>
      <c r="S231" s="810"/>
      <c r="T231" s="810"/>
      <c r="U231" s="810"/>
      <c r="V231" s="810"/>
      <c r="W231" s="810"/>
      <c r="X231" s="810"/>
      <c r="Y231" s="810"/>
      <c r="Z231" s="810"/>
    </row>
    <row r="232">
      <c r="A232" s="810"/>
      <c r="B232" s="810"/>
      <c r="C232" s="810"/>
      <c r="D232" s="810"/>
      <c r="E232" s="810"/>
      <c r="F232" s="810"/>
      <c r="G232" s="810"/>
      <c r="H232" s="810"/>
      <c r="I232" s="810"/>
      <c r="J232" s="810"/>
      <c r="K232" s="810"/>
      <c r="L232" s="810"/>
      <c r="M232" s="810"/>
      <c r="N232" s="810"/>
      <c r="O232" s="810"/>
      <c r="P232" s="811"/>
      <c r="Q232" s="810"/>
      <c r="R232" s="810"/>
      <c r="S232" s="810"/>
      <c r="T232" s="810"/>
      <c r="U232" s="810"/>
      <c r="V232" s="810"/>
      <c r="W232" s="810"/>
      <c r="X232" s="810"/>
      <c r="Y232" s="810"/>
      <c r="Z232" s="810"/>
    </row>
    <row r="233">
      <c r="A233" s="810"/>
      <c r="B233" s="810"/>
      <c r="C233" s="810"/>
      <c r="D233" s="810"/>
      <c r="E233" s="810"/>
      <c r="F233" s="810"/>
      <c r="G233" s="810"/>
      <c r="H233" s="810"/>
      <c r="I233" s="810"/>
      <c r="J233" s="810"/>
      <c r="K233" s="810"/>
      <c r="L233" s="810"/>
      <c r="M233" s="810"/>
      <c r="N233" s="810"/>
      <c r="O233" s="810"/>
      <c r="P233" s="811"/>
      <c r="Q233" s="810"/>
      <c r="R233" s="810"/>
      <c r="S233" s="810"/>
      <c r="T233" s="810"/>
      <c r="U233" s="810"/>
      <c r="V233" s="810"/>
      <c r="W233" s="810"/>
      <c r="X233" s="810"/>
      <c r="Y233" s="810"/>
      <c r="Z233" s="810"/>
    </row>
    <row r="234">
      <c r="A234" s="810"/>
      <c r="B234" s="810"/>
      <c r="C234" s="810"/>
      <c r="D234" s="810"/>
      <c r="E234" s="810"/>
      <c r="F234" s="810"/>
      <c r="G234" s="810"/>
      <c r="H234" s="810"/>
      <c r="I234" s="810"/>
      <c r="J234" s="810"/>
      <c r="K234" s="810"/>
      <c r="L234" s="810"/>
      <c r="M234" s="810"/>
      <c r="N234" s="810"/>
      <c r="O234" s="810"/>
      <c r="P234" s="811"/>
      <c r="Q234" s="810"/>
      <c r="R234" s="810"/>
      <c r="S234" s="810"/>
      <c r="T234" s="810"/>
      <c r="U234" s="810"/>
      <c r="V234" s="810"/>
      <c r="W234" s="810"/>
      <c r="X234" s="810"/>
      <c r="Y234" s="810"/>
      <c r="Z234" s="810"/>
    </row>
    <row r="235">
      <c r="A235" s="810"/>
      <c r="B235" s="810"/>
      <c r="C235" s="810"/>
      <c r="D235" s="810"/>
      <c r="E235" s="810"/>
      <c r="F235" s="810"/>
      <c r="G235" s="810"/>
      <c r="H235" s="810"/>
      <c r="I235" s="810"/>
      <c r="J235" s="810"/>
      <c r="K235" s="810"/>
      <c r="L235" s="810"/>
      <c r="M235" s="810"/>
      <c r="N235" s="810"/>
      <c r="O235" s="810"/>
      <c r="P235" s="811"/>
      <c r="Q235" s="810"/>
      <c r="R235" s="810"/>
      <c r="S235" s="810"/>
      <c r="T235" s="810"/>
      <c r="U235" s="810"/>
      <c r="V235" s="810"/>
      <c r="W235" s="810"/>
      <c r="X235" s="810"/>
      <c r="Y235" s="810"/>
      <c r="Z235" s="810"/>
    </row>
    <row r="236">
      <c r="A236" s="810"/>
      <c r="B236" s="810"/>
      <c r="C236" s="810"/>
      <c r="D236" s="810"/>
      <c r="E236" s="810"/>
      <c r="F236" s="810"/>
      <c r="G236" s="810"/>
      <c r="H236" s="810"/>
      <c r="I236" s="810"/>
      <c r="J236" s="810"/>
      <c r="K236" s="810"/>
      <c r="L236" s="810"/>
      <c r="M236" s="810"/>
      <c r="N236" s="810"/>
      <c r="O236" s="810"/>
      <c r="P236" s="811"/>
      <c r="Q236" s="810"/>
      <c r="R236" s="810"/>
      <c r="S236" s="810"/>
      <c r="T236" s="810"/>
      <c r="U236" s="810"/>
      <c r="V236" s="810"/>
      <c r="W236" s="810"/>
      <c r="X236" s="810"/>
      <c r="Y236" s="810"/>
      <c r="Z236" s="810"/>
    </row>
    <row r="237">
      <c r="A237" s="810"/>
      <c r="B237" s="810"/>
      <c r="C237" s="810"/>
      <c r="D237" s="810"/>
      <c r="E237" s="810"/>
      <c r="F237" s="810"/>
      <c r="G237" s="810"/>
      <c r="H237" s="810"/>
      <c r="I237" s="810"/>
      <c r="J237" s="810"/>
      <c r="K237" s="810"/>
      <c r="L237" s="810"/>
      <c r="M237" s="810"/>
      <c r="N237" s="810"/>
      <c r="O237" s="810"/>
      <c r="P237" s="811"/>
      <c r="Q237" s="810"/>
      <c r="R237" s="810"/>
      <c r="S237" s="810"/>
      <c r="T237" s="810"/>
      <c r="U237" s="810"/>
      <c r="V237" s="810"/>
      <c r="W237" s="810"/>
      <c r="X237" s="810"/>
      <c r="Y237" s="810"/>
      <c r="Z237" s="810"/>
    </row>
    <row r="238">
      <c r="A238" s="810"/>
      <c r="B238" s="810"/>
      <c r="C238" s="810"/>
      <c r="D238" s="810"/>
      <c r="E238" s="810"/>
      <c r="F238" s="810"/>
      <c r="G238" s="810"/>
      <c r="H238" s="810"/>
      <c r="I238" s="810"/>
      <c r="J238" s="810"/>
      <c r="K238" s="810"/>
      <c r="L238" s="810"/>
      <c r="M238" s="810"/>
      <c r="N238" s="810"/>
      <c r="O238" s="810"/>
      <c r="P238" s="811"/>
      <c r="Q238" s="810"/>
      <c r="R238" s="810"/>
      <c r="S238" s="810"/>
      <c r="T238" s="810"/>
      <c r="U238" s="810"/>
      <c r="V238" s="810"/>
      <c r="W238" s="810"/>
      <c r="X238" s="810"/>
      <c r="Y238" s="810"/>
      <c r="Z238" s="810"/>
    </row>
    <row r="239">
      <c r="A239" s="810"/>
      <c r="B239" s="810"/>
      <c r="C239" s="810"/>
      <c r="D239" s="810"/>
      <c r="E239" s="810"/>
      <c r="F239" s="810"/>
      <c r="G239" s="810"/>
      <c r="H239" s="810"/>
      <c r="I239" s="810"/>
      <c r="J239" s="810"/>
      <c r="K239" s="810"/>
      <c r="L239" s="810"/>
      <c r="M239" s="810"/>
      <c r="N239" s="810"/>
      <c r="O239" s="810"/>
      <c r="P239" s="811"/>
      <c r="Q239" s="810"/>
      <c r="R239" s="810"/>
      <c r="S239" s="810"/>
      <c r="T239" s="810"/>
      <c r="U239" s="810"/>
      <c r="V239" s="810"/>
      <c r="W239" s="810"/>
      <c r="X239" s="810"/>
      <c r="Y239" s="810"/>
      <c r="Z239" s="810"/>
    </row>
    <row r="240">
      <c r="A240" s="810"/>
      <c r="B240" s="810"/>
      <c r="C240" s="810"/>
      <c r="D240" s="810"/>
      <c r="E240" s="810"/>
      <c r="F240" s="810"/>
      <c r="G240" s="810"/>
      <c r="H240" s="810"/>
      <c r="I240" s="810"/>
      <c r="J240" s="810"/>
      <c r="K240" s="810"/>
      <c r="L240" s="810"/>
      <c r="M240" s="810"/>
      <c r="N240" s="810"/>
      <c r="O240" s="810"/>
      <c r="P240" s="811"/>
      <c r="Q240" s="810"/>
      <c r="R240" s="810"/>
      <c r="S240" s="810"/>
      <c r="T240" s="810"/>
      <c r="U240" s="810"/>
      <c r="V240" s="810"/>
      <c r="W240" s="810"/>
      <c r="X240" s="810"/>
      <c r="Y240" s="810"/>
      <c r="Z240" s="810"/>
    </row>
    <row r="241">
      <c r="A241" s="810"/>
      <c r="B241" s="810"/>
      <c r="C241" s="810"/>
      <c r="D241" s="810"/>
      <c r="E241" s="810"/>
      <c r="F241" s="810"/>
      <c r="G241" s="810"/>
      <c r="H241" s="810"/>
      <c r="I241" s="810"/>
      <c r="J241" s="810"/>
      <c r="K241" s="810"/>
      <c r="L241" s="810"/>
      <c r="M241" s="810"/>
      <c r="N241" s="810"/>
      <c r="O241" s="810"/>
      <c r="P241" s="811"/>
      <c r="Q241" s="810"/>
      <c r="R241" s="810"/>
      <c r="S241" s="810"/>
      <c r="T241" s="810"/>
      <c r="U241" s="810"/>
      <c r="V241" s="810"/>
      <c r="W241" s="810"/>
      <c r="X241" s="810"/>
      <c r="Y241" s="810"/>
      <c r="Z241" s="810"/>
    </row>
    <row r="242">
      <c r="A242" s="810"/>
      <c r="B242" s="810"/>
      <c r="C242" s="810"/>
      <c r="D242" s="810"/>
      <c r="E242" s="810"/>
      <c r="F242" s="810"/>
      <c r="G242" s="810"/>
      <c r="H242" s="810"/>
      <c r="I242" s="810"/>
      <c r="J242" s="810"/>
      <c r="K242" s="810"/>
      <c r="L242" s="810"/>
      <c r="M242" s="810"/>
      <c r="N242" s="810"/>
      <c r="O242" s="810"/>
      <c r="P242" s="811"/>
      <c r="Q242" s="810"/>
      <c r="R242" s="810"/>
      <c r="S242" s="810"/>
      <c r="T242" s="810"/>
      <c r="U242" s="810"/>
      <c r="V242" s="810"/>
      <c r="W242" s="810"/>
      <c r="X242" s="810"/>
      <c r="Y242" s="810"/>
      <c r="Z242" s="810"/>
    </row>
    <row r="243">
      <c r="A243" s="810"/>
      <c r="B243" s="810"/>
      <c r="C243" s="810"/>
      <c r="D243" s="810"/>
      <c r="E243" s="810"/>
      <c r="F243" s="810"/>
      <c r="G243" s="810"/>
      <c r="H243" s="810"/>
      <c r="I243" s="810"/>
      <c r="J243" s="810"/>
      <c r="K243" s="810"/>
      <c r="L243" s="810"/>
      <c r="M243" s="810"/>
      <c r="N243" s="810"/>
      <c r="O243" s="810"/>
      <c r="P243" s="811"/>
      <c r="Q243" s="810"/>
      <c r="R243" s="810"/>
      <c r="S243" s="810"/>
      <c r="T243" s="810"/>
      <c r="U243" s="810"/>
      <c r="V243" s="810"/>
      <c r="W243" s="810"/>
      <c r="X243" s="810"/>
      <c r="Y243" s="810"/>
      <c r="Z243" s="810"/>
    </row>
    <row r="244">
      <c r="A244" s="810"/>
      <c r="B244" s="810"/>
      <c r="C244" s="810"/>
      <c r="D244" s="810"/>
      <c r="E244" s="810"/>
      <c r="F244" s="810"/>
      <c r="G244" s="810"/>
      <c r="H244" s="810"/>
      <c r="I244" s="810"/>
      <c r="J244" s="810"/>
      <c r="K244" s="810"/>
      <c r="L244" s="810"/>
      <c r="M244" s="810"/>
      <c r="N244" s="810"/>
      <c r="O244" s="810"/>
      <c r="P244" s="811"/>
      <c r="Q244" s="810"/>
      <c r="R244" s="810"/>
      <c r="S244" s="810"/>
      <c r="T244" s="810"/>
      <c r="U244" s="810"/>
      <c r="V244" s="810"/>
      <c r="W244" s="810"/>
      <c r="X244" s="810"/>
      <c r="Y244" s="810"/>
      <c r="Z244" s="810"/>
    </row>
    <row r="245">
      <c r="A245" s="810"/>
      <c r="B245" s="810"/>
      <c r="C245" s="810"/>
      <c r="D245" s="810"/>
      <c r="E245" s="810"/>
      <c r="F245" s="810"/>
      <c r="G245" s="810"/>
      <c r="H245" s="810"/>
      <c r="I245" s="810"/>
      <c r="J245" s="810"/>
      <c r="K245" s="810"/>
      <c r="L245" s="810"/>
      <c r="M245" s="810"/>
      <c r="N245" s="810"/>
      <c r="O245" s="810"/>
      <c r="P245" s="811"/>
      <c r="Q245" s="810"/>
      <c r="R245" s="810"/>
      <c r="S245" s="810"/>
      <c r="T245" s="810"/>
      <c r="U245" s="810"/>
      <c r="V245" s="810"/>
      <c r="W245" s="810"/>
      <c r="X245" s="810"/>
      <c r="Y245" s="810"/>
      <c r="Z245" s="810"/>
    </row>
    <row r="246">
      <c r="A246" s="810"/>
      <c r="B246" s="810"/>
      <c r="C246" s="810"/>
      <c r="D246" s="810"/>
      <c r="E246" s="810"/>
      <c r="F246" s="810"/>
      <c r="G246" s="810"/>
      <c r="H246" s="810"/>
      <c r="I246" s="810"/>
      <c r="J246" s="810"/>
      <c r="K246" s="810"/>
      <c r="L246" s="810"/>
      <c r="M246" s="810"/>
      <c r="N246" s="810"/>
      <c r="O246" s="810"/>
      <c r="P246" s="811"/>
      <c r="Q246" s="810"/>
      <c r="R246" s="810"/>
      <c r="S246" s="810"/>
      <c r="T246" s="810"/>
      <c r="U246" s="810"/>
      <c r="V246" s="810"/>
      <c r="W246" s="810"/>
      <c r="X246" s="810"/>
      <c r="Y246" s="810"/>
      <c r="Z246" s="810"/>
    </row>
    <row r="247">
      <c r="A247" s="810"/>
      <c r="B247" s="810"/>
      <c r="C247" s="810"/>
      <c r="D247" s="810"/>
      <c r="E247" s="810"/>
      <c r="F247" s="810"/>
      <c r="G247" s="810"/>
      <c r="H247" s="810"/>
      <c r="I247" s="810"/>
      <c r="J247" s="810"/>
      <c r="K247" s="810"/>
      <c r="L247" s="810"/>
      <c r="M247" s="810"/>
      <c r="N247" s="810"/>
      <c r="O247" s="810"/>
      <c r="P247" s="811"/>
      <c r="Q247" s="810"/>
      <c r="R247" s="810"/>
      <c r="S247" s="810"/>
      <c r="T247" s="810"/>
      <c r="U247" s="810"/>
      <c r="V247" s="810"/>
      <c r="W247" s="810"/>
      <c r="X247" s="810"/>
      <c r="Y247" s="810"/>
      <c r="Z247" s="810"/>
    </row>
    <row r="248">
      <c r="A248" s="810"/>
      <c r="B248" s="810"/>
      <c r="C248" s="810"/>
      <c r="D248" s="810"/>
      <c r="E248" s="810"/>
      <c r="F248" s="810"/>
      <c r="G248" s="810"/>
      <c r="H248" s="810"/>
      <c r="I248" s="810"/>
      <c r="J248" s="810"/>
      <c r="K248" s="810"/>
      <c r="L248" s="810"/>
      <c r="M248" s="810"/>
      <c r="N248" s="810"/>
      <c r="O248" s="810"/>
      <c r="P248" s="811"/>
      <c r="Q248" s="810"/>
      <c r="R248" s="810"/>
      <c r="S248" s="810"/>
      <c r="T248" s="810"/>
      <c r="U248" s="810"/>
      <c r="V248" s="810"/>
      <c r="W248" s="810"/>
      <c r="X248" s="810"/>
      <c r="Y248" s="810"/>
      <c r="Z248" s="810"/>
    </row>
    <row r="249">
      <c r="A249" s="810"/>
      <c r="B249" s="810"/>
      <c r="C249" s="810"/>
      <c r="D249" s="810"/>
      <c r="E249" s="810"/>
      <c r="F249" s="810"/>
      <c r="G249" s="810"/>
      <c r="H249" s="810"/>
      <c r="I249" s="810"/>
      <c r="J249" s="810"/>
      <c r="K249" s="810"/>
      <c r="L249" s="810"/>
      <c r="M249" s="810"/>
      <c r="N249" s="810"/>
      <c r="O249" s="810"/>
      <c r="P249" s="811"/>
      <c r="Q249" s="810"/>
      <c r="R249" s="810"/>
      <c r="S249" s="810"/>
      <c r="T249" s="810"/>
      <c r="U249" s="810"/>
      <c r="V249" s="810"/>
      <c r="W249" s="810"/>
      <c r="X249" s="810"/>
      <c r="Y249" s="810"/>
      <c r="Z249" s="810"/>
    </row>
    <row r="250">
      <c r="A250" s="810"/>
      <c r="B250" s="810"/>
      <c r="C250" s="810"/>
      <c r="D250" s="810"/>
      <c r="E250" s="810"/>
      <c r="F250" s="810"/>
      <c r="G250" s="810"/>
      <c r="H250" s="810"/>
      <c r="I250" s="810"/>
      <c r="J250" s="810"/>
      <c r="K250" s="810"/>
      <c r="L250" s="810"/>
      <c r="M250" s="810"/>
      <c r="N250" s="810"/>
      <c r="O250" s="810"/>
      <c r="P250" s="811"/>
      <c r="Q250" s="810"/>
      <c r="R250" s="810"/>
      <c r="S250" s="810"/>
      <c r="T250" s="810"/>
      <c r="U250" s="810"/>
      <c r="V250" s="810"/>
      <c r="W250" s="810"/>
      <c r="X250" s="810"/>
      <c r="Y250" s="810"/>
      <c r="Z250" s="810"/>
    </row>
    <row r="251">
      <c r="A251" s="810"/>
      <c r="B251" s="810"/>
      <c r="C251" s="810"/>
      <c r="D251" s="810"/>
      <c r="E251" s="810"/>
      <c r="F251" s="810"/>
      <c r="G251" s="810"/>
      <c r="H251" s="810"/>
      <c r="I251" s="810"/>
      <c r="J251" s="810"/>
      <c r="K251" s="810"/>
      <c r="L251" s="810"/>
      <c r="M251" s="810"/>
      <c r="N251" s="810"/>
      <c r="O251" s="810"/>
      <c r="P251" s="811"/>
      <c r="Q251" s="810"/>
      <c r="R251" s="810"/>
      <c r="S251" s="810"/>
      <c r="T251" s="810"/>
      <c r="U251" s="810"/>
      <c r="V251" s="810"/>
      <c r="W251" s="810"/>
      <c r="X251" s="810"/>
      <c r="Y251" s="810"/>
      <c r="Z251" s="810"/>
    </row>
    <row r="252">
      <c r="A252" s="810"/>
      <c r="B252" s="810"/>
      <c r="C252" s="810"/>
      <c r="D252" s="810"/>
      <c r="E252" s="810"/>
      <c r="F252" s="810"/>
      <c r="G252" s="810"/>
      <c r="H252" s="810"/>
      <c r="I252" s="810"/>
      <c r="J252" s="810"/>
      <c r="K252" s="810"/>
      <c r="L252" s="810"/>
      <c r="M252" s="810"/>
      <c r="N252" s="810"/>
      <c r="O252" s="810"/>
      <c r="P252" s="811"/>
      <c r="Q252" s="810"/>
      <c r="R252" s="810"/>
      <c r="S252" s="810"/>
      <c r="T252" s="810"/>
      <c r="U252" s="810"/>
      <c r="V252" s="810"/>
      <c r="W252" s="810"/>
      <c r="X252" s="810"/>
      <c r="Y252" s="810"/>
      <c r="Z252" s="810"/>
    </row>
    <row r="253">
      <c r="A253" s="810"/>
      <c r="B253" s="810"/>
      <c r="C253" s="810"/>
      <c r="D253" s="810"/>
      <c r="E253" s="810"/>
      <c r="F253" s="810"/>
      <c r="G253" s="810"/>
      <c r="H253" s="810"/>
      <c r="I253" s="810"/>
      <c r="J253" s="810"/>
      <c r="K253" s="810"/>
      <c r="L253" s="810"/>
      <c r="M253" s="810"/>
      <c r="N253" s="810"/>
      <c r="O253" s="810"/>
      <c r="P253" s="811"/>
      <c r="Q253" s="810"/>
      <c r="R253" s="810"/>
      <c r="S253" s="810"/>
      <c r="T253" s="810"/>
      <c r="U253" s="810"/>
      <c r="V253" s="810"/>
      <c r="W253" s="810"/>
      <c r="X253" s="810"/>
      <c r="Y253" s="810"/>
      <c r="Z253" s="810"/>
    </row>
    <row r="254">
      <c r="A254" s="810"/>
      <c r="B254" s="810"/>
      <c r="C254" s="810"/>
      <c r="D254" s="810"/>
      <c r="E254" s="810"/>
      <c r="F254" s="810"/>
      <c r="G254" s="810"/>
      <c r="H254" s="810"/>
      <c r="I254" s="810"/>
      <c r="J254" s="810"/>
      <c r="K254" s="810"/>
      <c r="L254" s="810"/>
      <c r="M254" s="810"/>
      <c r="N254" s="810"/>
      <c r="O254" s="810"/>
      <c r="P254" s="811"/>
      <c r="Q254" s="810"/>
      <c r="R254" s="810"/>
      <c r="S254" s="810"/>
      <c r="T254" s="810"/>
      <c r="U254" s="810"/>
      <c r="V254" s="810"/>
      <c r="W254" s="810"/>
      <c r="X254" s="810"/>
      <c r="Y254" s="810"/>
      <c r="Z254" s="810"/>
    </row>
    <row r="255">
      <c r="A255" s="810"/>
      <c r="B255" s="810"/>
      <c r="C255" s="810"/>
      <c r="D255" s="810"/>
      <c r="E255" s="810"/>
      <c r="F255" s="810"/>
      <c r="G255" s="810"/>
      <c r="H255" s="810"/>
      <c r="I255" s="810"/>
      <c r="J255" s="810"/>
      <c r="K255" s="810"/>
      <c r="L255" s="810"/>
      <c r="M255" s="810"/>
      <c r="N255" s="810"/>
      <c r="O255" s="810"/>
      <c r="P255" s="811"/>
      <c r="Q255" s="810"/>
      <c r="R255" s="810"/>
      <c r="S255" s="810"/>
      <c r="T255" s="810"/>
      <c r="U255" s="810"/>
      <c r="V255" s="810"/>
      <c r="W255" s="810"/>
      <c r="X255" s="810"/>
      <c r="Y255" s="810"/>
      <c r="Z255" s="810"/>
    </row>
    <row r="256">
      <c r="A256" s="810"/>
      <c r="B256" s="810"/>
      <c r="C256" s="810"/>
      <c r="D256" s="810"/>
      <c r="E256" s="810"/>
      <c r="F256" s="810"/>
      <c r="G256" s="810"/>
      <c r="H256" s="810"/>
      <c r="I256" s="810"/>
      <c r="J256" s="810"/>
      <c r="K256" s="810"/>
      <c r="L256" s="810"/>
      <c r="M256" s="810"/>
      <c r="N256" s="810"/>
      <c r="O256" s="810"/>
      <c r="P256" s="811"/>
      <c r="Q256" s="810"/>
      <c r="R256" s="810"/>
      <c r="S256" s="810"/>
      <c r="T256" s="810"/>
      <c r="U256" s="810"/>
      <c r="V256" s="810"/>
      <c r="W256" s="810"/>
      <c r="X256" s="810"/>
      <c r="Y256" s="810"/>
      <c r="Z256" s="810"/>
    </row>
    <row r="257">
      <c r="A257" s="810"/>
      <c r="B257" s="810"/>
      <c r="C257" s="810"/>
      <c r="D257" s="810"/>
      <c r="E257" s="810"/>
      <c r="F257" s="810"/>
      <c r="G257" s="810"/>
      <c r="H257" s="810"/>
      <c r="I257" s="810"/>
      <c r="J257" s="810"/>
      <c r="K257" s="810"/>
      <c r="L257" s="810"/>
      <c r="M257" s="810"/>
      <c r="N257" s="810"/>
      <c r="O257" s="810"/>
      <c r="P257" s="811"/>
      <c r="Q257" s="810"/>
      <c r="R257" s="810"/>
      <c r="S257" s="810"/>
      <c r="T257" s="810"/>
      <c r="U257" s="810"/>
      <c r="V257" s="810"/>
      <c r="W257" s="810"/>
      <c r="X257" s="810"/>
      <c r="Y257" s="810"/>
      <c r="Z257" s="810"/>
    </row>
    <row r="258">
      <c r="A258" s="810"/>
      <c r="B258" s="810"/>
      <c r="C258" s="810"/>
      <c r="D258" s="810"/>
      <c r="E258" s="810"/>
      <c r="F258" s="810"/>
      <c r="G258" s="810"/>
      <c r="H258" s="810"/>
      <c r="I258" s="810"/>
      <c r="J258" s="810"/>
      <c r="K258" s="810"/>
      <c r="L258" s="810"/>
      <c r="M258" s="810"/>
      <c r="N258" s="810"/>
      <c r="O258" s="810"/>
      <c r="P258" s="811"/>
      <c r="Q258" s="810"/>
      <c r="R258" s="810"/>
      <c r="S258" s="810"/>
      <c r="T258" s="810"/>
      <c r="U258" s="810"/>
      <c r="V258" s="810"/>
      <c r="W258" s="810"/>
      <c r="X258" s="810"/>
      <c r="Y258" s="810"/>
      <c r="Z258" s="810"/>
    </row>
    <row r="259">
      <c r="A259" s="810"/>
      <c r="B259" s="810"/>
      <c r="C259" s="810"/>
      <c r="D259" s="810"/>
      <c r="E259" s="810"/>
      <c r="F259" s="810"/>
      <c r="G259" s="810"/>
      <c r="H259" s="810"/>
      <c r="I259" s="810"/>
      <c r="J259" s="810"/>
      <c r="K259" s="810"/>
      <c r="L259" s="810"/>
      <c r="M259" s="810"/>
      <c r="N259" s="810"/>
      <c r="O259" s="810"/>
      <c r="P259" s="811"/>
      <c r="Q259" s="810"/>
      <c r="R259" s="810"/>
      <c r="S259" s="810"/>
      <c r="T259" s="810"/>
      <c r="U259" s="810"/>
      <c r="V259" s="810"/>
      <c r="W259" s="810"/>
      <c r="X259" s="810"/>
      <c r="Y259" s="810"/>
      <c r="Z259" s="810"/>
    </row>
    <row r="260">
      <c r="A260" s="810"/>
      <c r="B260" s="810"/>
      <c r="C260" s="810"/>
      <c r="D260" s="810"/>
      <c r="E260" s="810"/>
      <c r="F260" s="810"/>
      <c r="G260" s="810"/>
      <c r="H260" s="810"/>
      <c r="I260" s="810"/>
      <c r="J260" s="810"/>
      <c r="K260" s="810"/>
      <c r="L260" s="810"/>
      <c r="M260" s="810"/>
      <c r="N260" s="810"/>
      <c r="O260" s="810"/>
      <c r="P260" s="811"/>
      <c r="Q260" s="810"/>
      <c r="R260" s="810"/>
      <c r="S260" s="810"/>
      <c r="T260" s="810"/>
      <c r="U260" s="810"/>
      <c r="V260" s="810"/>
      <c r="W260" s="810"/>
      <c r="X260" s="810"/>
      <c r="Y260" s="810"/>
      <c r="Z260" s="810"/>
    </row>
    <row r="261">
      <c r="A261" s="810"/>
      <c r="B261" s="810"/>
      <c r="C261" s="810"/>
      <c r="D261" s="810"/>
      <c r="E261" s="810"/>
      <c r="F261" s="810"/>
      <c r="G261" s="810"/>
      <c r="H261" s="810"/>
      <c r="I261" s="810"/>
      <c r="J261" s="810"/>
      <c r="K261" s="810"/>
      <c r="L261" s="810"/>
      <c r="M261" s="810"/>
      <c r="N261" s="810"/>
      <c r="O261" s="810"/>
      <c r="P261" s="811"/>
      <c r="Q261" s="810"/>
      <c r="R261" s="810"/>
      <c r="S261" s="810"/>
      <c r="T261" s="810"/>
      <c r="U261" s="810"/>
      <c r="V261" s="810"/>
      <c r="W261" s="810"/>
      <c r="X261" s="810"/>
      <c r="Y261" s="810"/>
      <c r="Z261" s="810"/>
    </row>
    <row r="262">
      <c r="A262" s="810"/>
      <c r="B262" s="810"/>
      <c r="C262" s="810"/>
      <c r="D262" s="810"/>
      <c r="E262" s="810"/>
      <c r="F262" s="810"/>
      <c r="G262" s="810"/>
      <c r="H262" s="810"/>
      <c r="I262" s="810"/>
      <c r="J262" s="810"/>
      <c r="K262" s="810"/>
      <c r="L262" s="810"/>
      <c r="M262" s="810"/>
      <c r="N262" s="810"/>
      <c r="O262" s="810"/>
      <c r="P262" s="811"/>
      <c r="Q262" s="810"/>
      <c r="R262" s="810"/>
      <c r="S262" s="810"/>
      <c r="T262" s="810"/>
      <c r="U262" s="810"/>
      <c r="V262" s="810"/>
      <c r="W262" s="810"/>
      <c r="X262" s="810"/>
      <c r="Y262" s="810"/>
      <c r="Z262" s="810"/>
    </row>
    <row r="263">
      <c r="A263" s="810"/>
      <c r="B263" s="810"/>
      <c r="C263" s="810"/>
      <c r="D263" s="810"/>
      <c r="E263" s="810"/>
      <c r="F263" s="810"/>
      <c r="G263" s="810"/>
      <c r="H263" s="810"/>
      <c r="I263" s="810"/>
      <c r="J263" s="810"/>
      <c r="K263" s="810"/>
      <c r="L263" s="810"/>
      <c r="M263" s="810"/>
      <c r="N263" s="810"/>
      <c r="O263" s="810"/>
      <c r="P263" s="811"/>
      <c r="Q263" s="810"/>
      <c r="R263" s="810"/>
      <c r="S263" s="810"/>
      <c r="T263" s="810"/>
      <c r="U263" s="810"/>
      <c r="V263" s="810"/>
      <c r="W263" s="810"/>
      <c r="X263" s="810"/>
      <c r="Y263" s="810"/>
      <c r="Z263" s="810"/>
    </row>
    <row r="264">
      <c r="A264" s="810"/>
      <c r="B264" s="810"/>
      <c r="C264" s="810"/>
      <c r="D264" s="810"/>
      <c r="E264" s="810"/>
      <c r="F264" s="810"/>
      <c r="G264" s="810"/>
      <c r="H264" s="810"/>
      <c r="I264" s="810"/>
      <c r="J264" s="810"/>
      <c r="K264" s="810"/>
      <c r="L264" s="810"/>
      <c r="M264" s="810"/>
      <c r="N264" s="810"/>
      <c r="O264" s="810"/>
      <c r="P264" s="811"/>
      <c r="Q264" s="810"/>
      <c r="R264" s="810"/>
      <c r="S264" s="810"/>
      <c r="T264" s="810"/>
      <c r="U264" s="810"/>
      <c r="V264" s="810"/>
      <c r="W264" s="810"/>
      <c r="X264" s="810"/>
      <c r="Y264" s="810"/>
      <c r="Z264" s="810"/>
    </row>
    <row r="265">
      <c r="A265" s="810"/>
      <c r="B265" s="810"/>
      <c r="C265" s="810"/>
      <c r="D265" s="810"/>
      <c r="E265" s="810"/>
      <c r="F265" s="810"/>
      <c r="G265" s="810"/>
      <c r="H265" s="810"/>
      <c r="I265" s="810"/>
      <c r="J265" s="810"/>
      <c r="K265" s="810"/>
      <c r="L265" s="810"/>
      <c r="M265" s="810"/>
      <c r="N265" s="810"/>
      <c r="O265" s="810"/>
      <c r="P265" s="811"/>
      <c r="Q265" s="810"/>
      <c r="R265" s="810"/>
      <c r="S265" s="810"/>
      <c r="T265" s="810"/>
      <c r="U265" s="810"/>
      <c r="V265" s="810"/>
      <c r="W265" s="810"/>
      <c r="X265" s="810"/>
      <c r="Y265" s="810"/>
      <c r="Z265" s="810"/>
    </row>
    <row r="266">
      <c r="A266" s="810"/>
      <c r="B266" s="810"/>
      <c r="C266" s="810"/>
      <c r="D266" s="810"/>
      <c r="E266" s="810"/>
      <c r="F266" s="810"/>
      <c r="G266" s="810"/>
      <c r="H266" s="810"/>
      <c r="I266" s="810"/>
      <c r="J266" s="810"/>
      <c r="K266" s="810"/>
      <c r="L266" s="810"/>
      <c r="M266" s="810"/>
      <c r="N266" s="810"/>
      <c r="O266" s="810"/>
      <c r="P266" s="811"/>
      <c r="Q266" s="810"/>
      <c r="R266" s="810"/>
      <c r="S266" s="810"/>
      <c r="T266" s="810"/>
      <c r="U266" s="810"/>
      <c r="V266" s="810"/>
      <c r="W266" s="810"/>
      <c r="X266" s="810"/>
      <c r="Y266" s="810"/>
      <c r="Z266" s="810"/>
    </row>
    <row r="267">
      <c r="A267" s="810"/>
      <c r="B267" s="810"/>
      <c r="C267" s="810"/>
      <c r="D267" s="810"/>
      <c r="E267" s="810"/>
      <c r="F267" s="810"/>
      <c r="G267" s="810"/>
      <c r="H267" s="810"/>
      <c r="I267" s="810"/>
      <c r="J267" s="810"/>
      <c r="K267" s="810"/>
      <c r="L267" s="810"/>
      <c r="M267" s="810"/>
      <c r="N267" s="810"/>
      <c r="O267" s="810"/>
      <c r="P267" s="811"/>
      <c r="Q267" s="810"/>
      <c r="R267" s="810"/>
      <c r="S267" s="810"/>
      <c r="T267" s="810"/>
      <c r="U267" s="810"/>
      <c r="V267" s="810"/>
      <c r="W267" s="810"/>
      <c r="X267" s="810"/>
      <c r="Y267" s="810"/>
      <c r="Z267" s="810"/>
    </row>
    <row r="268">
      <c r="A268" s="810"/>
      <c r="B268" s="810"/>
      <c r="C268" s="810"/>
      <c r="D268" s="810"/>
      <c r="E268" s="810"/>
      <c r="F268" s="810"/>
      <c r="G268" s="810"/>
      <c r="H268" s="810"/>
      <c r="I268" s="810"/>
      <c r="J268" s="810"/>
      <c r="K268" s="810"/>
      <c r="L268" s="810"/>
      <c r="M268" s="810"/>
      <c r="N268" s="810"/>
      <c r="O268" s="810"/>
      <c r="P268" s="811"/>
      <c r="Q268" s="810"/>
      <c r="R268" s="810"/>
      <c r="S268" s="810"/>
      <c r="T268" s="810"/>
      <c r="U268" s="810"/>
      <c r="V268" s="810"/>
      <c r="W268" s="810"/>
      <c r="X268" s="810"/>
      <c r="Y268" s="810"/>
      <c r="Z268" s="810"/>
    </row>
    <row r="269">
      <c r="A269" s="810"/>
      <c r="B269" s="810"/>
      <c r="C269" s="810"/>
      <c r="D269" s="810"/>
      <c r="E269" s="810"/>
      <c r="F269" s="810"/>
      <c r="G269" s="810"/>
      <c r="H269" s="810"/>
      <c r="I269" s="810"/>
      <c r="J269" s="810"/>
      <c r="K269" s="810"/>
      <c r="L269" s="810"/>
      <c r="M269" s="810"/>
      <c r="N269" s="810"/>
      <c r="O269" s="810"/>
      <c r="P269" s="811"/>
      <c r="Q269" s="810"/>
      <c r="R269" s="810"/>
      <c r="S269" s="810"/>
      <c r="T269" s="810"/>
      <c r="U269" s="810"/>
      <c r="V269" s="810"/>
      <c r="W269" s="810"/>
      <c r="X269" s="810"/>
      <c r="Y269" s="810"/>
      <c r="Z269" s="810"/>
    </row>
    <row r="270">
      <c r="A270" s="810"/>
      <c r="B270" s="810"/>
      <c r="C270" s="810"/>
      <c r="D270" s="810"/>
      <c r="E270" s="810"/>
      <c r="F270" s="810"/>
      <c r="G270" s="810"/>
      <c r="H270" s="810"/>
      <c r="I270" s="810"/>
      <c r="J270" s="810"/>
      <c r="K270" s="810"/>
      <c r="L270" s="810"/>
      <c r="M270" s="810"/>
      <c r="N270" s="810"/>
      <c r="O270" s="810"/>
      <c r="P270" s="811"/>
      <c r="Q270" s="810"/>
      <c r="R270" s="810"/>
      <c r="S270" s="810"/>
      <c r="T270" s="810"/>
      <c r="U270" s="810"/>
      <c r="V270" s="810"/>
      <c r="W270" s="810"/>
      <c r="X270" s="810"/>
      <c r="Y270" s="810"/>
      <c r="Z270" s="810"/>
    </row>
    <row r="271">
      <c r="A271" s="810"/>
      <c r="B271" s="810"/>
      <c r="C271" s="810"/>
      <c r="D271" s="810"/>
      <c r="E271" s="810"/>
      <c r="F271" s="810"/>
      <c r="G271" s="810"/>
      <c r="H271" s="810"/>
      <c r="I271" s="810"/>
      <c r="J271" s="810"/>
      <c r="K271" s="810"/>
      <c r="L271" s="810"/>
      <c r="M271" s="810"/>
      <c r="N271" s="810"/>
      <c r="O271" s="810"/>
      <c r="P271" s="811"/>
      <c r="Q271" s="810"/>
      <c r="R271" s="810"/>
      <c r="S271" s="810"/>
      <c r="T271" s="810"/>
      <c r="U271" s="810"/>
      <c r="V271" s="810"/>
      <c r="W271" s="810"/>
      <c r="X271" s="810"/>
      <c r="Y271" s="810"/>
      <c r="Z271" s="810"/>
    </row>
    <row r="272">
      <c r="A272" s="810"/>
      <c r="B272" s="810"/>
      <c r="C272" s="810"/>
      <c r="D272" s="810"/>
      <c r="E272" s="810"/>
      <c r="F272" s="810"/>
      <c r="G272" s="810"/>
      <c r="H272" s="810"/>
      <c r="I272" s="810"/>
      <c r="J272" s="810"/>
      <c r="K272" s="810"/>
      <c r="L272" s="810"/>
      <c r="M272" s="810"/>
      <c r="N272" s="810"/>
      <c r="O272" s="810"/>
      <c r="P272" s="811"/>
      <c r="Q272" s="810"/>
      <c r="R272" s="810"/>
      <c r="S272" s="810"/>
      <c r="T272" s="810"/>
      <c r="U272" s="810"/>
      <c r="V272" s="810"/>
      <c r="W272" s="810"/>
      <c r="X272" s="810"/>
      <c r="Y272" s="810"/>
      <c r="Z272" s="810"/>
    </row>
    <row r="273">
      <c r="A273" s="810"/>
      <c r="B273" s="810"/>
      <c r="C273" s="810"/>
      <c r="D273" s="810"/>
      <c r="E273" s="810"/>
      <c r="F273" s="810"/>
      <c r="G273" s="810"/>
      <c r="H273" s="810"/>
      <c r="I273" s="810"/>
      <c r="J273" s="810"/>
      <c r="K273" s="810"/>
      <c r="L273" s="810"/>
      <c r="M273" s="810"/>
      <c r="N273" s="810"/>
      <c r="O273" s="810"/>
      <c r="P273" s="811"/>
      <c r="Q273" s="810"/>
      <c r="R273" s="810"/>
      <c r="S273" s="810"/>
      <c r="T273" s="810"/>
      <c r="U273" s="810"/>
      <c r="V273" s="810"/>
      <c r="W273" s="810"/>
      <c r="X273" s="810"/>
      <c r="Y273" s="810"/>
      <c r="Z273" s="810"/>
    </row>
    <row r="274">
      <c r="A274" s="810"/>
      <c r="B274" s="810"/>
      <c r="C274" s="810"/>
      <c r="D274" s="810"/>
      <c r="E274" s="810"/>
      <c r="F274" s="810"/>
      <c r="G274" s="810"/>
      <c r="H274" s="810"/>
      <c r="I274" s="810"/>
      <c r="J274" s="810"/>
      <c r="K274" s="810"/>
      <c r="L274" s="810"/>
      <c r="M274" s="810"/>
      <c r="N274" s="810"/>
      <c r="O274" s="810"/>
      <c r="P274" s="811"/>
      <c r="Q274" s="810"/>
      <c r="R274" s="810"/>
      <c r="S274" s="810"/>
      <c r="T274" s="810"/>
      <c r="U274" s="810"/>
      <c r="V274" s="810"/>
      <c r="W274" s="810"/>
      <c r="X274" s="810"/>
      <c r="Y274" s="810"/>
      <c r="Z274" s="810"/>
    </row>
    <row r="275">
      <c r="A275" s="810"/>
      <c r="B275" s="810"/>
      <c r="C275" s="810"/>
      <c r="D275" s="810"/>
      <c r="E275" s="810"/>
      <c r="F275" s="810"/>
      <c r="G275" s="810"/>
      <c r="H275" s="810"/>
      <c r="I275" s="810"/>
      <c r="J275" s="810"/>
      <c r="K275" s="810"/>
      <c r="L275" s="810"/>
      <c r="M275" s="810"/>
      <c r="N275" s="810"/>
      <c r="O275" s="810"/>
      <c r="P275" s="811"/>
      <c r="Q275" s="810"/>
      <c r="R275" s="810"/>
      <c r="S275" s="810"/>
      <c r="T275" s="810"/>
      <c r="U275" s="810"/>
      <c r="V275" s="810"/>
      <c r="W275" s="810"/>
      <c r="X275" s="810"/>
      <c r="Y275" s="810"/>
      <c r="Z275" s="810"/>
    </row>
    <row r="276">
      <c r="A276" s="810"/>
      <c r="B276" s="810"/>
      <c r="C276" s="810"/>
      <c r="D276" s="810"/>
      <c r="E276" s="810"/>
      <c r="F276" s="810"/>
      <c r="G276" s="810"/>
      <c r="H276" s="810"/>
      <c r="I276" s="810"/>
      <c r="J276" s="810"/>
      <c r="K276" s="810"/>
      <c r="L276" s="810"/>
      <c r="M276" s="810"/>
      <c r="N276" s="810"/>
      <c r="O276" s="810"/>
      <c r="P276" s="811"/>
      <c r="Q276" s="810"/>
      <c r="R276" s="810"/>
      <c r="S276" s="810"/>
      <c r="T276" s="810"/>
      <c r="U276" s="810"/>
      <c r="V276" s="810"/>
      <c r="W276" s="810"/>
      <c r="X276" s="810"/>
      <c r="Y276" s="810"/>
      <c r="Z276" s="810"/>
    </row>
    <row r="277">
      <c r="A277" s="810"/>
      <c r="B277" s="810"/>
      <c r="C277" s="810"/>
      <c r="D277" s="810"/>
      <c r="E277" s="810"/>
      <c r="F277" s="810"/>
      <c r="G277" s="810"/>
      <c r="H277" s="810"/>
      <c r="I277" s="810"/>
      <c r="J277" s="810"/>
      <c r="K277" s="810"/>
      <c r="L277" s="810"/>
      <c r="M277" s="810"/>
      <c r="N277" s="810"/>
      <c r="O277" s="810"/>
      <c r="P277" s="811"/>
      <c r="Q277" s="810"/>
      <c r="R277" s="810"/>
      <c r="S277" s="810"/>
      <c r="T277" s="810"/>
      <c r="U277" s="810"/>
      <c r="V277" s="810"/>
      <c r="W277" s="810"/>
      <c r="X277" s="810"/>
      <c r="Y277" s="810"/>
      <c r="Z277" s="810"/>
    </row>
    <row r="278">
      <c r="A278" s="810"/>
      <c r="B278" s="810"/>
      <c r="C278" s="810"/>
      <c r="D278" s="810"/>
      <c r="E278" s="810"/>
      <c r="F278" s="810"/>
      <c r="G278" s="810"/>
      <c r="H278" s="810"/>
      <c r="I278" s="810"/>
      <c r="J278" s="810"/>
      <c r="K278" s="810"/>
      <c r="L278" s="810"/>
      <c r="M278" s="810"/>
      <c r="N278" s="810"/>
      <c r="O278" s="810"/>
      <c r="P278" s="811"/>
      <c r="Q278" s="810"/>
      <c r="R278" s="810"/>
      <c r="S278" s="810"/>
      <c r="T278" s="810"/>
      <c r="U278" s="810"/>
      <c r="V278" s="810"/>
      <c r="W278" s="810"/>
      <c r="X278" s="810"/>
      <c r="Y278" s="810"/>
      <c r="Z278" s="810"/>
    </row>
    <row r="279">
      <c r="A279" s="810"/>
      <c r="B279" s="810"/>
      <c r="C279" s="810"/>
      <c r="D279" s="810"/>
      <c r="E279" s="810"/>
      <c r="F279" s="810"/>
      <c r="G279" s="810"/>
      <c r="H279" s="810"/>
      <c r="I279" s="810"/>
      <c r="J279" s="810"/>
      <c r="K279" s="810"/>
      <c r="L279" s="810"/>
      <c r="M279" s="810"/>
      <c r="N279" s="810"/>
      <c r="O279" s="810"/>
      <c r="P279" s="811"/>
      <c r="Q279" s="810"/>
      <c r="R279" s="810"/>
      <c r="S279" s="810"/>
      <c r="T279" s="810"/>
      <c r="U279" s="810"/>
      <c r="V279" s="810"/>
      <c r="W279" s="810"/>
      <c r="X279" s="810"/>
      <c r="Y279" s="810"/>
      <c r="Z279" s="810"/>
    </row>
    <row r="280">
      <c r="A280" s="810"/>
      <c r="B280" s="810"/>
      <c r="C280" s="810"/>
      <c r="D280" s="810"/>
      <c r="E280" s="810"/>
      <c r="F280" s="810"/>
      <c r="G280" s="810"/>
      <c r="H280" s="810"/>
      <c r="I280" s="810"/>
      <c r="J280" s="810"/>
      <c r="K280" s="810"/>
      <c r="L280" s="810"/>
      <c r="M280" s="810"/>
      <c r="N280" s="810"/>
      <c r="O280" s="810"/>
      <c r="P280" s="811"/>
      <c r="Q280" s="810"/>
      <c r="R280" s="810"/>
      <c r="S280" s="810"/>
      <c r="T280" s="810"/>
      <c r="U280" s="810"/>
      <c r="V280" s="810"/>
      <c r="W280" s="810"/>
      <c r="X280" s="810"/>
      <c r="Y280" s="810"/>
      <c r="Z280" s="810"/>
    </row>
    <row r="281">
      <c r="A281" s="810"/>
      <c r="B281" s="810"/>
      <c r="C281" s="810"/>
      <c r="D281" s="810"/>
      <c r="E281" s="810"/>
      <c r="F281" s="810"/>
      <c r="G281" s="810"/>
      <c r="H281" s="810"/>
      <c r="I281" s="810"/>
      <c r="J281" s="810"/>
      <c r="K281" s="810"/>
      <c r="L281" s="810"/>
      <c r="M281" s="810"/>
      <c r="N281" s="810"/>
      <c r="O281" s="810"/>
      <c r="P281" s="811"/>
      <c r="Q281" s="810"/>
      <c r="R281" s="810"/>
      <c r="S281" s="810"/>
      <c r="T281" s="810"/>
      <c r="U281" s="810"/>
      <c r="V281" s="810"/>
      <c r="W281" s="810"/>
      <c r="X281" s="810"/>
      <c r="Y281" s="810"/>
      <c r="Z281" s="810"/>
    </row>
    <row r="282">
      <c r="A282" s="810"/>
      <c r="B282" s="810"/>
      <c r="C282" s="810"/>
      <c r="D282" s="810"/>
      <c r="E282" s="810"/>
      <c r="F282" s="810"/>
      <c r="G282" s="810"/>
      <c r="H282" s="810"/>
      <c r="I282" s="810"/>
      <c r="J282" s="810"/>
      <c r="K282" s="810"/>
      <c r="L282" s="810"/>
      <c r="M282" s="810"/>
      <c r="N282" s="810"/>
      <c r="O282" s="810"/>
      <c r="P282" s="811"/>
      <c r="Q282" s="810"/>
      <c r="R282" s="810"/>
      <c r="S282" s="810"/>
      <c r="T282" s="810"/>
      <c r="U282" s="810"/>
      <c r="V282" s="810"/>
      <c r="W282" s="810"/>
      <c r="X282" s="810"/>
      <c r="Y282" s="810"/>
      <c r="Z282" s="810"/>
    </row>
    <row r="283">
      <c r="A283" s="810"/>
      <c r="B283" s="810"/>
      <c r="C283" s="810"/>
      <c r="D283" s="810"/>
      <c r="E283" s="810"/>
      <c r="F283" s="810"/>
      <c r="G283" s="810"/>
      <c r="H283" s="810"/>
      <c r="I283" s="810"/>
      <c r="J283" s="810"/>
      <c r="K283" s="810"/>
      <c r="L283" s="810"/>
      <c r="M283" s="810"/>
      <c r="N283" s="810"/>
      <c r="O283" s="810"/>
      <c r="P283" s="811"/>
      <c r="Q283" s="810"/>
      <c r="R283" s="810"/>
      <c r="S283" s="810"/>
      <c r="T283" s="810"/>
      <c r="U283" s="810"/>
      <c r="V283" s="810"/>
      <c r="W283" s="810"/>
      <c r="X283" s="810"/>
      <c r="Y283" s="810"/>
      <c r="Z283" s="810"/>
    </row>
    <row r="284">
      <c r="A284" s="810"/>
      <c r="B284" s="810"/>
      <c r="C284" s="810"/>
      <c r="D284" s="810"/>
      <c r="E284" s="810"/>
      <c r="F284" s="810"/>
      <c r="G284" s="810"/>
      <c r="H284" s="810"/>
      <c r="I284" s="810"/>
      <c r="J284" s="810"/>
      <c r="K284" s="810"/>
      <c r="L284" s="810"/>
      <c r="M284" s="810"/>
      <c r="N284" s="810"/>
      <c r="O284" s="810"/>
      <c r="P284" s="811"/>
      <c r="Q284" s="810"/>
      <c r="R284" s="810"/>
      <c r="S284" s="810"/>
      <c r="T284" s="810"/>
      <c r="U284" s="810"/>
      <c r="V284" s="810"/>
      <c r="W284" s="810"/>
      <c r="X284" s="810"/>
      <c r="Y284" s="810"/>
      <c r="Z284" s="810"/>
    </row>
    <row r="285">
      <c r="A285" s="810"/>
      <c r="B285" s="810"/>
      <c r="C285" s="810"/>
      <c r="D285" s="810"/>
      <c r="E285" s="810"/>
      <c r="F285" s="810"/>
      <c r="G285" s="810"/>
      <c r="H285" s="810"/>
      <c r="I285" s="810"/>
      <c r="J285" s="810"/>
      <c r="K285" s="810"/>
      <c r="L285" s="810"/>
      <c r="M285" s="810"/>
      <c r="N285" s="810"/>
      <c r="O285" s="810"/>
      <c r="P285" s="811"/>
      <c r="Q285" s="810"/>
      <c r="R285" s="810"/>
      <c r="S285" s="810"/>
      <c r="T285" s="810"/>
      <c r="U285" s="810"/>
      <c r="V285" s="810"/>
      <c r="W285" s="810"/>
      <c r="X285" s="810"/>
      <c r="Y285" s="810"/>
      <c r="Z285" s="810"/>
    </row>
    <row r="286">
      <c r="A286" s="810"/>
      <c r="B286" s="810"/>
      <c r="C286" s="810"/>
      <c r="D286" s="810"/>
      <c r="E286" s="810"/>
      <c r="F286" s="810"/>
      <c r="G286" s="810"/>
      <c r="H286" s="810"/>
      <c r="I286" s="810"/>
      <c r="J286" s="810"/>
      <c r="K286" s="810"/>
      <c r="L286" s="810"/>
      <c r="M286" s="810"/>
      <c r="N286" s="810"/>
      <c r="O286" s="810"/>
      <c r="P286" s="811"/>
      <c r="Q286" s="810"/>
      <c r="R286" s="810"/>
      <c r="S286" s="810"/>
      <c r="T286" s="810"/>
      <c r="U286" s="810"/>
      <c r="V286" s="810"/>
      <c r="W286" s="810"/>
      <c r="X286" s="810"/>
      <c r="Y286" s="810"/>
      <c r="Z286" s="810"/>
    </row>
    <row r="287">
      <c r="A287" s="810"/>
      <c r="B287" s="810"/>
      <c r="C287" s="810"/>
      <c r="D287" s="810"/>
      <c r="E287" s="810"/>
      <c r="F287" s="810"/>
      <c r="G287" s="810"/>
      <c r="H287" s="810"/>
      <c r="I287" s="810"/>
      <c r="J287" s="810"/>
      <c r="K287" s="810"/>
      <c r="L287" s="810"/>
      <c r="M287" s="810"/>
      <c r="N287" s="810"/>
      <c r="O287" s="810"/>
      <c r="P287" s="811"/>
      <c r="Q287" s="810"/>
      <c r="R287" s="810"/>
      <c r="S287" s="810"/>
      <c r="T287" s="810"/>
      <c r="U287" s="810"/>
      <c r="V287" s="810"/>
      <c r="W287" s="810"/>
      <c r="X287" s="810"/>
      <c r="Y287" s="810"/>
      <c r="Z287" s="810"/>
    </row>
    <row r="288">
      <c r="A288" s="810"/>
      <c r="B288" s="810"/>
      <c r="C288" s="810"/>
      <c r="D288" s="810"/>
      <c r="E288" s="810"/>
      <c r="F288" s="810"/>
      <c r="G288" s="810"/>
      <c r="H288" s="810"/>
      <c r="I288" s="810"/>
      <c r="J288" s="810"/>
      <c r="K288" s="810"/>
      <c r="L288" s="810"/>
      <c r="M288" s="810"/>
      <c r="N288" s="810"/>
      <c r="O288" s="810"/>
      <c r="P288" s="811"/>
      <c r="Q288" s="810"/>
      <c r="R288" s="810"/>
      <c r="S288" s="810"/>
      <c r="T288" s="810"/>
      <c r="U288" s="810"/>
      <c r="V288" s="810"/>
      <c r="W288" s="810"/>
      <c r="X288" s="810"/>
      <c r="Y288" s="810"/>
      <c r="Z288" s="810"/>
    </row>
    <row r="289">
      <c r="A289" s="810"/>
      <c r="B289" s="810"/>
      <c r="C289" s="810"/>
      <c r="D289" s="810"/>
      <c r="E289" s="810"/>
      <c r="F289" s="810"/>
      <c r="G289" s="810"/>
      <c r="H289" s="810"/>
      <c r="I289" s="810"/>
      <c r="J289" s="810"/>
      <c r="K289" s="810"/>
      <c r="L289" s="810"/>
      <c r="M289" s="810"/>
      <c r="N289" s="810"/>
      <c r="O289" s="810"/>
      <c r="P289" s="811"/>
      <c r="Q289" s="810"/>
      <c r="R289" s="810"/>
      <c r="S289" s="810"/>
      <c r="T289" s="810"/>
      <c r="U289" s="810"/>
      <c r="V289" s="810"/>
      <c r="W289" s="810"/>
      <c r="X289" s="810"/>
      <c r="Y289" s="810"/>
      <c r="Z289" s="810"/>
    </row>
    <row r="290">
      <c r="A290" s="810"/>
      <c r="B290" s="810"/>
      <c r="C290" s="810"/>
      <c r="D290" s="810"/>
      <c r="E290" s="810"/>
      <c r="F290" s="810"/>
      <c r="G290" s="810"/>
      <c r="H290" s="810"/>
      <c r="I290" s="810"/>
      <c r="J290" s="810"/>
      <c r="K290" s="810"/>
      <c r="L290" s="810"/>
      <c r="M290" s="810"/>
      <c r="N290" s="810"/>
      <c r="O290" s="810"/>
      <c r="P290" s="811"/>
      <c r="Q290" s="810"/>
      <c r="R290" s="810"/>
      <c r="S290" s="810"/>
      <c r="T290" s="810"/>
      <c r="U290" s="810"/>
      <c r="V290" s="810"/>
      <c r="W290" s="810"/>
      <c r="X290" s="810"/>
      <c r="Y290" s="810"/>
      <c r="Z290" s="810"/>
    </row>
    <row r="291">
      <c r="A291" s="810"/>
      <c r="B291" s="810"/>
      <c r="C291" s="810"/>
      <c r="D291" s="810"/>
      <c r="E291" s="810"/>
      <c r="F291" s="810"/>
      <c r="G291" s="810"/>
      <c r="H291" s="810"/>
      <c r="I291" s="810"/>
      <c r="J291" s="810"/>
      <c r="K291" s="810"/>
      <c r="L291" s="810"/>
      <c r="M291" s="810"/>
      <c r="N291" s="810"/>
      <c r="O291" s="810"/>
      <c r="P291" s="811"/>
      <c r="Q291" s="810"/>
      <c r="R291" s="810"/>
      <c r="S291" s="810"/>
      <c r="T291" s="810"/>
      <c r="U291" s="810"/>
      <c r="V291" s="810"/>
      <c r="W291" s="810"/>
      <c r="X291" s="810"/>
      <c r="Y291" s="810"/>
      <c r="Z291" s="810"/>
    </row>
    <row r="292">
      <c r="A292" s="810"/>
      <c r="B292" s="810"/>
      <c r="C292" s="810"/>
      <c r="D292" s="810"/>
      <c r="E292" s="810"/>
      <c r="F292" s="810"/>
      <c r="G292" s="810"/>
      <c r="H292" s="810"/>
      <c r="I292" s="810"/>
      <c r="J292" s="810"/>
      <c r="K292" s="810"/>
      <c r="L292" s="810"/>
      <c r="M292" s="810"/>
      <c r="N292" s="810"/>
      <c r="O292" s="810"/>
      <c r="P292" s="811"/>
      <c r="Q292" s="810"/>
      <c r="R292" s="810"/>
      <c r="S292" s="810"/>
      <c r="T292" s="810"/>
      <c r="U292" s="810"/>
      <c r="V292" s="810"/>
      <c r="W292" s="810"/>
      <c r="X292" s="810"/>
      <c r="Y292" s="810"/>
      <c r="Z292" s="810"/>
    </row>
    <row r="293">
      <c r="A293" s="810"/>
      <c r="B293" s="810"/>
      <c r="C293" s="810"/>
      <c r="D293" s="810"/>
      <c r="E293" s="810"/>
      <c r="F293" s="810"/>
      <c r="G293" s="810"/>
      <c r="H293" s="810"/>
      <c r="I293" s="810"/>
      <c r="J293" s="810"/>
      <c r="K293" s="810"/>
      <c r="L293" s="810"/>
      <c r="M293" s="810"/>
      <c r="N293" s="810"/>
      <c r="O293" s="810"/>
      <c r="P293" s="811"/>
      <c r="Q293" s="810"/>
      <c r="R293" s="810"/>
      <c r="S293" s="810"/>
      <c r="T293" s="810"/>
      <c r="U293" s="810"/>
      <c r="V293" s="810"/>
      <c r="W293" s="810"/>
      <c r="X293" s="810"/>
      <c r="Y293" s="810"/>
      <c r="Z293" s="810"/>
    </row>
    <row r="294">
      <c r="A294" s="810"/>
      <c r="B294" s="810"/>
      <c r="C294" s="810"/>
      <c r="D294" s="810"/>
      <c r="E294" s="810"/>
      <c r="F294" s="810"/>
      <c r="G294" s="810"/>
      <c r="H294" s="810"/>
      <c r="I294" s="810"/>
      <c r="J294" s="810"/>
      <c r="K294" s="810"/>
      <c r="L294" s="810"/>
      <c r="M294" s="810"/>
      <c r="N294" s="810"/>
      <c r="O294" s="810"/>
      <c r="P294" s="811"/>
      <c r="Q294" s="810"/>
      <c r="R294" s="810"/>
      <c r="S294" s="810"/>
      <c r="T294" s="810"/>
      <c r="U294" s="810"/>
      <c r="V294" s="810"/>
      <c r="W294" s="810"/>
      <c r="X294" s="810"/>
      <c r="Y294" s="810"/>
      <c r="Z294" s="810"/>
    </row>
    <row r="295">
      <c r="A295" s="810"/>
      <c r="B295" s="810"/>
      <c r="C295" s="810"/>
      <c r="D295" s="810"/>
      <c r="E295" s="810"/>
      <c r="F295" s="810"/>
      <c r="G295" s="810"/>
      <c r="H295" s="810"/>
      <c r="I295" s="810"/>
      <c r="J295" s="810"/>
      <c r="K295" s="810"/>
      <c r="L295" s="810"/>
      <c r="M295" s="810"/>
      <c r="N295" s="810"/>
      <c r="O295" s="810"/>
      <c r="P295" s="811"/>
      <c r="Q295" s="810"/>
      <c r="R295" s="810"/>
      <c r="S295" s="810"/>
      <c r="T295" s="810"/>
      <c r="U295" s="810"/>
      <c r="V295" s="810"/>
      <c r="W295" s="810"/>
      <c r="X295" s="810"/>
      <c r="Y295" s="810"/>
      <c r="Z295" s="810"/>
    </row>
    <row r="296">
      <c r="A296" s="810"/>
      <c r="B296" s="810"/>
      <c r="C296" s="810"/>
      <c r="D296" s="810"/>
      <c r="E296" s="810"/>
      <c r="F296" s="810"/>
      <c r="G296" s="810"/>
      <c r="H296" s="810"/>
      <c r="I296" s="810"/>
      <c r="J296" s="810"/>
      <c r="K296" s="810"/>
      <c r="L296" s="810"/>
      <c r="M296" s="810"/>
      <c r="N296" s="810"/>
      <c r="O296" s="810"/>
      <c r="P296" s="811"/>
      <c r="Q296" s="810"/>
      <c r="R296" s="810"/>
      <c r="S296" s="810"/>
      <c r="T296" s="810"/>
      <c r="U296" s="810"/>
      <c r="V296" s="810"/>
      <c r="W296" s="810"/>
      <c r="X296" s="810"/>
      <c r="Y296" s="810"/>
      <c r="Z296" s="810"/>
    </row>
    <row r="297">
      <c r="A297" s="810"/>
      <c r="B297" s="810"/>
      <c r="C297" s="810"/>
      <c r="D297" s="810"/>
      <c r="E297" s="810"/>
      <c r="F297" s="810"/>
      <c r="G297" s="810"/>
      <c r="H297" s="810"/>
      <c r="I297" s="810"/>
      <c r="J297" s="810"/>
      <c r="K297" s="810"/>
      <c r="L297" s="810"/>
      <c r="M297" s="810"/>
      <c r="N297" s="810"/>
      <c r="O297" s="810"/>
      <c r="P297" s="811"/>
      <c r="Q297" s="810"/>
      <c r="R297" s="810"/>
      <c r="S297" s="810"/>
      <c r="T297" s="810"/>
      <c r="U297" s="810"/>
      <c r="V297" s="810"/>
      <c r="W297" s="810"/>
      <c r="X297" s="810"/>
      <c r="Y297" s="810"/>
      <c r="Z297" s="810"/>
    </row>
    <row r="298">
      <c r="A298" s="810"/>
      <c r="B298" s="810"/>
      <c r="C298" s="810"/>
      <c r="D298" s="810"/>
      <c r="E298" s="810"/>
      <c r="F298" s="810"/>
      <c r="G298" s="810"/>
      <c r="H298" s="810"/>
      <c r="I298" s="810"/>
      <c r="J298" s="810"/>
      <c r="K298" s="810"/>
      <c r="L298" s="810"/>
      <c r="M298" s="810"/>
      <c r="N298" s="810"/>
      <c r="O298" s="810"/>
      <c r="P298" s="811"/>
      <c r="Q298" s="810"/>
      <c r="R298" s="810"/>
      <c r="S298" s="810"/>
      <c r="T298" s="810"/>
      <c r="U298" s="810"/>
      <c r="V298" s="810"/>
      <c r="W298" s="810"/>
      <c r="X298" s="810"/>
      <c r="Y298" s="810"/>
      <c r="Z298" s="810"/>
    </row>
    <row r="299">
      <c r="A299" s="810"/>
      <c r="B299" s="810"/>
      <c r="C299" s="810"/>
      <c r="D299" s="810"/>
      <c r="E299" s="810"/>
      <c r="F299" s="810"/>
      <c r="G299" s="810"/>
      <c r="H299" s="810"/>
      <c r="I299" s="810"/>
      <c r="J299" s="810"/>
      <c r="K299" s="810"/>
      <c r="L299" s="810"/>
      <c r="M299" s="810"/>
      <c r="N299" s="810"/>
      <c r="O299" s="810"/>
      <c r="P299" s="811"/>
      <c r="Q299" s="810"/>
      <c r="R299" s="810"/>
      <c r="S299" s="810"/>
      <c r="T299" s="810"/>
      <c r="U299" s="810"/>
      <c r="V299" s="810"/>
      <c r="W299" s="810"/>
      <c r="X299" s="810"/>
      <c r="Y299" s="810"/>
      <c r="Z299" s="810"/>
    </row>
    <row r="300">
      <c r="A300" s="810"/>
      <c r="B300" s="810"/>
      <c r="C300" s="810"/>
      <c r="D300" s="810"/>
      <c r="E300" s="810"/>
      <c r="F300" s="810"/>
      <c r="G300" s="810"/>
      <c r="H300" s="810"/>
      <c r="I300" s="810"/>
      <c r="J300" s="810"/>
      <c r="K300" s="810"/>
      <c r="L300" s="810"/>
      <c r="M300" s="810"/>
      <c r="N300" s="810"/>
      <c r="O300" s="810"/>
      <c r="P300" s="811"/>
      <c r="Q300" s="810"/>
      <c r="R300" s="810"/>
      <c r="S300" s="810"/>
      <c r="T300" s="810"/>
      <c r="U300" s="810"/>
      <c r="V300" s="810"/>
      <c r="W300" s="810"/>
      <c r="X300" s="810"/>
      <c r="Y300" s="810"/>
      <c r="Z300" s="810"/>
    </row>
    <row r="301">
      <c r="A301" s="810"/>
      <c r="B301" s="810"/>
      <c r="C301" s="810"/>
      <c r="D301" s="810"/>
      <c r="E301" s="810"/>
      <c r="F301" s="810"/>
      <c r="G301" s="810"/>
      <c r="H301" s="810"/>
      <c r="I301" s="810"/>
      <c r="J301" s="810"/>
      <c r="K301" s="810"/>
      <c r="L301" s="810"/>
      <c r="M301" s="810"/>
      <c r="N301" s="810"/>
      <c r="O301" s="810"/>
      <c r="P301" s="811"/>
      <c r="Q301" s="810"/>
      <c r="R301" s="810"/>
      <c r="S301" s="810"/>
      <c r="T301" s="810"/>
      <c r="U301" s="810"/>
      <c r="V301" s="810"/>
      <c r="W301" s="810"/>
      <c r="X301" s="810"/>
      <c r="Y301" s="810"/>
      <c r="Z301" s="810"/>
    </row>
    <row r="302">
      <c r="A302" s="810"/>
      <c r="B302" s="810"/>
      <c r="C302" s="810"/>
      <c r="D302" s="810"/>
      <c r="E302" s="810"/>
      <c r="F302" s="810"/>
      <c r="G302" s="810"/>
      <c r="H302" s="810"/>
      <c r="I302" s="810"/>
      <c r="J302" s="810"/>
      <c r="K302" s="810"/>
      <c r="L302" s="810"/>
      <c r="M302" s="810"/>
      <c r="N302" s="810"/>
      <c r="O302" s="810"/>
      <c r="P302" s="811"/>
      <c r="Q302" s="810"/>
      <c r="R302" s="810"/>
      <c r="S302" s="810"/>
      <c r="T302" s="810"/>
      <c r="U302" s="810"/>
      <c r="V302" s="810"/>
      <c r="W302" s="810"/>
      <c r="X302" s="810"/>
      <c r="Y302" s="810"/>
      <c r="Z302" s="810"/>
    </row>
    <row r="303">
      <c r="A303" s="810"/>
      <c r="B303" s="810"/>
      <c r="C303" s="810"/>
      <c r="D303" s="810"/>
      <c r="E303" s="810"/>
      <c r="F303" s="810"/>
      <c r="G303" s="810"/>
      <c r="H303" s="810"/>
      <c r="I303" s="810"/>
      <c r="J303" s="810"/>
      <c r="K303" s="810"/>
      <c r="L303" s="810"/>
      <c r="M303" s="810"/>
      <c r="N303" s="810"/>
      <c r="O303" s="810"/>
      <c r="P303" s="811"/>
      <c r="Q303" s="810"/>
      <c r="R303" s="810"/>
      <c r="S303" s="810"/>
      <c r="T303" s="810"/>
      <c r="U303" s="810"/>
      <c r="V303" s="810"/>
      <c r="W303" s="810"/>
      <c r="X303" s="810"/>
      <c r="Y303" s="810"/>
      <c r="Z303" s="810"/>
    </row>
    <row r="304">
      <c r="A304" s="810"/>
      <c r="B304" s="810"/>
      <c r="C304" s="810"/>
      <c r="D304" s="810"/>
      <c r="E304" s="810"/>
      <c r="F304" s="810"/>
      <c r="G304" s="810"/>
      <c r="H304" s="810"/>
      <c r="I304" s="810"/>
      <c r="J304" s="810"/>
      <c r="K304" s="810"/>
      <c r="L304" s="810"/>
      <c r="M304" s="810"/>
      <c r="N304" s="810"/>
      <c r="O304" s="810"/>
      <c r="P304" s="811"/>
      <c r="Q304" s="810"/>
      <c r="R304" s="810"/>
      <c r="S304" s="810"/>
      <c r="T304" s="810"/>
      <c r="U304" s="810"/>
      <c r="V304" s="810"/>
      <c r="W304" s="810"/>
      <c r="X304" s="810"/>
      <c r="Y304" s="810"/>
      <c r="Z304" s="810"/>
    </row>
    <row r="305">
      <c r="A305" s="810"/>
      <c r="B305" s="810"/>
      <c r="C305" s="810"/>
      <c r="D305" s="810"/>
      <c r="E305" s="810"/>
      <c r="F305" s="810"/>
      <c r="G305" s="810"/>
      <c r="H305" s="810"/>
      <c r="I305" s="810"/>
      <c r="J305" s="810"/>
      <c r="K305" s="810"/>
      <c r="L305" s="810"/>
      <c r="M305" s="810"/>
      <c r="N305" s="810"/>
      <c r="O305" s="810"/>
      <c r="P305" s="811"/>
      <c r="Q305" s="810"/>
      <c r="R305" s="810"/>
      <c r="S305" s="810"/>
      <c r="T305" s="810"/>
      <c r="U305" s="810"/>
      <c r="V305" s="810"/>
      <c r="W305" s="810"/>
      <c r="X305" s="810"/>
      <c r="Y305" s="810"/>
      <c r="Z305" s="810"/>
    </row>
    <row r="306">
      <c r="A306" s="810"/>
      <c r="B306" s="810"/>
      <c r="C306" s="810"/>
      <c r="D306" s="810"/>
      <c r="E306" s="810"/>
      <c r="F306" s="810"/>
      <c r="G306" s="810"/>
      <c r="H306" s="810"/>
      <c r="I306" s="810"/>
      <c r="J306" s="810"/>
      <c r="K306" s="810"/>
      <c r="L306" s="810"/>
      <c r="M306" s="810"/>
      <c r="N306" s="810"/>
      <c r="O306" s="810"/>
      <c r="P306" s="811"/>
      <c r="Q306" s="810"/>
      <c r="R306" s="810"/>
      <c r="S306" s="810"/>
      <c r="T306" s="810"/>
      <c r="U306" s="810"/>
      <c r="V306" s="810"/>
      <c r="W306" s="810"/>
      <c r="X306" s="810"/>
      <c r="Y306" s="810"/>
      <c r="Z306" s="810"/>
    </row>
    <row r="307">
      <c r="A307" s="810"/>
      <c r="B307" s="810"/>
      <c r="C307" s="810"/>
      <c r="D307" s="810"/>
      <c r="E307" s="810"/>
      <c r="F307" s="810"/>
      <c r="G307" s="810"/>
      <c r="H307" s="810"/>
      <c r="I307" s="810"/>
      <c r="J307" s="810"/>
      <c r="K307" s="810"/>
      <c r="L307" s="810"/>
      <c r="M307" s="810"/>
      <c r="N307" s="810"/>
      <c r="O307" s="810"/>
      <c r="P307" s="811"/>
      <c r="Q307" s="810"/>
      <c r="R307" s="810"/>
      <c r="S307" s="810"/>
      <c r="T307" s="810"/>
      <c r="U307" s="810"/>
      <c r="V307" s="810"/>
      <c r="W307" s="810"/>
      <c r="X307" s="810"/>
      <c r="Y307" s="810"/>
      <c r="Z307" s="810"/>
    </row>
    <row r="308">
      <c r="A308" s="810"/>
      <c r="B308" s="810"/>
      <c r="C308" s="810"/>
      <c r="D308" s="810"/>
      <c r="E308" s="810"/>
      <c r="F308" s="810"/>
      <c r="G308" s="810"/>
      <c r="H308" s="810"/>
      <c r="I308" s="810"/>
      <c r="J308" s="810"/>
      <c r="K308" s="810"/>
      <c r="L308" s="810"/>
      <c r="M308" s="810"/>
      <c r="N308" s="810"/>
      <c r="O308" s="810"/>
      <c r="P308" s="811"/>
      <c r="Q308" s="810"/>
      <c r="R308" s="810"/>
      <c r="S308" s="810"/>
      <c r="T308" s="810"/>
      <c r="U308" s="810"/>
      <c r="V308" s="810"/>
      <c r="W308" s="810"/>
      <c r="X308" s="810"/>
      <c r="Y308" s="810"/>
      <c r="Z308" s="810"/>
    </row>
    <row r="309">
      <c r="A309" s="810"/>
      <c r="B309" s="810"/>
      <c r="C309" s="810"/>
      <c r="D309" s="810"/>
      <c r="E309" s="810"/>
      <c r="F309" s="810"/>
      <c r="G309" s="810"/>
      <c r="H309" s="810"/>
      <c r="I309" s="810"/>
      <c r="J309" s="810"/>
      <c r="K309" s="810"/>
      <c r="L309" s="810"/>
      <c r="M309" s="810"/>
      <c r="N309" s="810"/>
      <c r="O309" s="810"/>
      <c r="P309" s="811"/>
      <c r="Q309" s="810"/>
      <c r="R309" s="810"/>
      <c r="S309" s="810"/>
      <c r="T309" s="810"/>
      <c r="U309" s="810"/>
      <c r="V309" s="810"/>
      <c r="W309" s="810"/>
      <c r="X309" s="810"/>
      <c r="Y309" s="810"/>
      <c r="Z309" s="810"/>
    </row>
    <row r="310">
      <c r="A310" s="810"/>
      <c r="B310" s="810"/>
      <c r="C310" s="810"/>
      <c r="D310" s="810"/>
      <c r="E310" s="810"/>
      <c r="F310" s="810"/>
      <c r="G310" s="810"/>
      <c r="H310" s="810"/>
      <c r="I310" s="810"/>
      <c r="J310" s="810"/>
      <c r="K310" s="810"/>
      <c r="L310" s="810"/>
      <c r="M310" s="810"/>
      <c r="N310" s="810"/>
      <c r="O310" s="810"/>
      <c r="P310" s="811"/>
      <c r="Q310" s="810"/>
      <c r="R310" s="810"/>
      <c r="S310" s="810"/>
      <c r="T310" s="810"/>
      <c r="U310" s="810"/>
      <c r="V310" s="810"/>
      <c r="W310" s="810"/>
      <c r="X310" s="810"/>
      <c r="Y310" s="810"/>
      <c r="Z310" s="810"/>
    </row>
    <row r="311">
      <c r="A311" s="810"/>
      <c r="B311" s="810"/>
      <c r="C311" s="810"/>
      <c r="D311" s="810"/>
      <c r="E311" s="810"/>
      <c r="F311" s="810"/>
      <c r="G311" s="810"/>
      <c r="H311" s="810"/>
      <c r="I311" s="810"/>
      <c r="J311" s="810"/>
      <c r="K311" s="810"/>
      <c r="L311" s="810"/>
      <c r="M311" s="810"/>
      <c r="N311" s="810"/>
      <c r="O311" s="810"/>
      <c r="P311" s="811"/>
      <c r="Q311" s="810"/>
      <c r="R311" s="810"/>
      <c r="S311" s="810"/>
      <c r="T311" s="810"/>
      <c r="U311" s="810"/>
      <c r="V311" s="810"/>
      <c r="W311" s="810"/>
      <c r="X311" s="810"/>
      <c r="Y311" s="810"/>
      <c r="Z311" s="810"/>
    </row>
    <row r="312">
      <c r="A312" s="810"/>
      <c r="B312" s="810"/>
      <c r="C312" s="810"/>
      <c r="D312" s="810"/>
      <c r="E312" s="810"/>
      <c r="F312" s="810"/>
      <c r="G312" s="810"/>
      <c r="H312" s="810"/>
      <c r="I312" s="810"/>
      <c r="J312" s="810"/>
      <c r="K312" s="810"/>
      <c r="L312" s="810"/>
      <c r="M312" s="810"/>
      <c r="N312" s="810"/>
      <c r="O312" s="810"/>
      <c r="P312" s="811"/>
      <c r="Q312" s="810"/>
      <c r="R312" s="810"/>
      <c r="S312" s="810"/>
      <c r="T312" s="810"/>
      <c r="U312" s="810"/>
      <c r="V312" s="810"/>
      <c r="W312" s="810"/>
      <c r="X312" s="810"/>
      <c r="Y312" s="810"/>
      <c r="Z312" s="810"/>
    </row>
    <row r="313">
      <c r="A313" s="810"/>
      <c r="B313" s="810"/>
      <c r="C313" s="810"/>
      <c r="D313" s="810"/>
      <c r="E313" s="810"/>
      <c r="F313" s="810"/>
      <c r="G313" s="810"/>
      <c r="H313" s="810"/>
      <c r="I313" s="810"/>
      <c r="J313" s="810"/>
      <c r="K313" s="810"/>
      <c r="L313" s="810"/>
      <c r="M313" s="810"/>
      <c r="N313" s="810"/>
      <c r="O313" s="810"/>
      <c r="P313" s="811"/>
      <c r="Q313" s="810"/>
      <c r="R313" s="810"/>
      <c r="S313" s="810"/>
      <c r="T313" s="810"/>
      <c r="U313" s="810"/>
      <c r="V313" s="810"/>
      <c r="W313" s="810"/>
      <c r="X313" s="810"/>
      <c r="Y313" s="810"/>
      <c r="Z313" s="810"/>
    </row>
    <row r="314">
      <c r="A314" s="810"/>
      <c r="B314" s="810"/>
      <c r="C314" s="810"/>
      <c r="D314" s="810"/>
      <c r="E314" s="810"/>
      <c r="F314" s="810"/>
      <c r="G314" s="810"/>
      <c r="H314" s="810"/>
      <c r="I314" s="810"/>
      <c r="J314" s="810"/>
      <c r="K314" s="810"/>
      <c r="L314" s="810"/>
      <c r="M314" s="810"/>
      <c r="N314" s="810"/>
      <c r="O314" s="810"/>
      <c r="P314" s="811"/>
      <c r="Q314" s="810"/>
      <c r="R314" s="810"/>
      <c r="S314" s="810"/>
      <c r="T314" s="810"/>
      <c r="U314" s="810"/>
      <c r="V314" s="810"/>
      <c r="W314" s="810"/>
      <c r="X314" s="810"/>
      <c r="Y314" s="810"/>
      <c r="Z314" s="810"/>
    </row>
    <row r="315">
      <c r="A315" s="810"/>
      <c r="B315" s="810"/>
      <c r="C315" s="810"/>
      <c r="D315" s="810"/>
      <c r="E315" s="810"/>
      <c r="F315" s="810"/>
      <c r="G315" s="810"/>
      <c r="H315" s="810"/>
      <c r="I315" s="810"/>
      <c r="J315" s="810"/>
      <c r="K315" s="810"/>
      <c r="L315" s="810"/>
      <c r="M315" s="810"/>
      <c r="N315" s="810"/>
      <c r="O315" s="810"/>
      <c r="P315" s="811"/>
      <c r="Q315" s="810"/>
      <c r="R315" s="810"/>
      <c r="S315" s="810"/>
      <c r="T315" s="810"/>
      <c r="U315" s="810"/>
      <c r="V315" s="810"/>
      <c r="W315" s="810"/>
      <c r="X315" s="810"/>
      <c r="Y315" s="810"/>
      <c r="Z315" s="810"/>
    </row>
    <row r="316">
      <c r="A316" s="810"/>
      <c r="B316" s="810"/>
      <c r="C316" s="810"/>
      <c r="D316" s="810"/>
      <c r="E316" s="810"/>
      <c r="F316" s="810"/>
      <c r="G316" s="810"/>
      <c r="H316" s="810"/>
      <c r="I316" s="810"/>
      <c r="J316" s="810"/>
      <c r="K316" s="810"/>
      <c r="L316" s="810"/>
      <c r="M316" s="810"/>
      <c r="N316" s="810"/>
      <c r="O316" s="810"/>
      <c r="P316" s="811"/>
      <c r="Q316" s="810"/>
      <c r="R316" s="810"/>
      <c r="S316" s="810"/>
      <c r="T316" s="810"/>
      <c r="U316" s="810"/>
      <c r="V316" s="810"/>
      <c r="W316" s="810"/>
      <c r="X316" s="810"/>
      <c r="Y316" s="810"/>
      <c r="Z316" s="810"/>
    </row>
    <row r="317">
      <c r="A317" s="810"/>
      <c r="B317" s="810"/>
      <c r="C317" s="810"/>
      <c r="D317" s="810"/>
      <c r="E317" s="810"/>
      <c r="F317" s="810"/>
      <c r="G317" s="810"/>
      <c r="H317" s="810"/>
      <c r="I317" s="810"/>
      <c r="J317" s="810"/>
      <c r="K317" s="810"/>
      <c r="L317" s="810"/>
      <c r="M317" s="810"/>
      <c r="N317" s="810"/>
      <c r="O317" s="810"/>
      <c r="P317" s="811"/>
      <c r="Q317" s="810"/>
      <c r="R317" s="810"/>
      <c r="S317" s="810"/>
      <c r="T317" s="810"/>
      <c r="U317" s="810"/>
      <c r="V317" s="810"/>
      <c r="W317" s="810"/>
      <c r="X317" s="810"/>
      <c r="Y317" s="810"/>
      <c r="Z317" s="810"/>
    </row>
    <row r="318">
      <c r="A318" s="810"/>
      <c r="B318" s="810"/>
      <c r="C318" s="810"/>
      <c r="D318" s="810"/>
      <c r="E318" s="810"/>
      <c r="F318" s="810"/>
      <c r="G318" s="810"/>
      <c r="H318" s="810"/>
      <c r="I318" s="810"/>
      <c r="J318" s="810"/>
      <c r="K318" s="810"/>
      <c r="L318" s="810"/>
      <c r="M318" s="810"/>
      <c r="N318" s="810"/>
      <c r="O318" s="810"/>
      <c r="P318" s="811"/>
      <c r="Q318" s="810"/>
      <c r="R318" s="810"/>
      <c r="S318" s="810"/>
      <c r="T318" s="810"/>
      <c r="U318" s="810"/>
      <c r="V318" s="810"/>
      <c r="W318" s="810"/>
      <c r="X318" s="810"/>
      <c r="Y318" s="810"/>
      <c r="Z318" s="810"/>
    </row>
    <row r="319">
      <c r="A319" s="810"/>
      <c r="B319" s="810"/>
      <c r="C319" s="810"/>
      <c r="D319" s="810"/>
      <c r="E319" s="810"/>
      <c r="F319" s="810"/>
      <c r="G319" s="810"/>
      <c r="H319" s="810"/>
      <c r="I319" s="810"/>
      <c r="J319" s="810"/>
      <c r="K319" s="810"/>
      <c r="L319" s="810"/>
      <c r="M319" s="810"/>
      <c r="N319" s="810"/>
      <c r="O319" s="810"/>
      <c r="P319" s="811"/>
      <c r="Q319" s="810"/>
      <c r="R319" s="810"/>
      <c r="S319" s="810"/>
      <c r="T319" s="810"/>
      <c r="U319" s="810"/>
      <c r="V319" s="810"/>
      <c r="W319" s="810"/>
      <c r="X319" s="810"/>
      <c r="Y319" s="810"/>
      <c r="Z319" s="810"/>
    </row>
    <row r="320">
      <c r="A320" s="810"/>
      <c r="B320" s="810"/>
      <c r="C320" s="810"/>
      <c r="D320" s="810"/>
      <c r="E320" s="810"/>
      <c r="F320" s="810"/>
      <c r="G320" s="810"/>
      <c r="H320" s="810"/>
      <c r="I320" s="810"/>
      <c r="J320" s="810"/>
      <c r="K320" s="810"/>
      <c r="L320" s="810"/>
      <c r="M320" s="810"/>
      <c r="N320" s="810"/>
      <c r="O320" s="810"/>
      <c r="P320" s="811"/>
      <c r="Q320" s="810"/>
      <c r="R320" s="810"/>
      <c r="S320" s="810"/>
      <c r="T320" s="810"/>
      <c r="U320" s="810"/>
      <c r="V320" s="810"/>
      <c r="W320" s="810"/>
      <c r="X320" s="810"/>
      <c r="Y320" s="810"/>
      <c r="Z320" s="810"/>
    </row>
    <row r="321">
      <c r="A321" s="810"/>
      <c r="B321" s="810"/>
      <c r="C321" s="810"/>
      <c r="D321" s="810"/>
      <c r="E321" s="810"/>
      <c r="F321" s="810"/>
      <c r="G321" s="810"/>
      <c r="H321" s="810"/>
      <c r="I321" s="810"/>
      <c r="J321" s="810"/>
      <c r="K321" s="810"/>
      <c r="L321" s="810"/>
      <c r="M321" s="810"/>
      <c r="N321" s="810"/>
      <c r="O321" s="810"/>
      <c r="P321" s="811"/>
      <c r="Q321" s="810"/>
      <c r="R321" s="810"/>
      <c r="S321" s="810"/>
      <c r="T321" s="810"/>
      <c r="U321" s="810"/>
      <c r="V321" s="810"/>
      <c r="W321" s="810"/>
      <c r="X321" s="810"/>
      <c r="Y321" s="810"/>
      <c r="Z321" s="810"/>
    </row>
    <row r="322">
      <c r="A322" s="810"/>
      <c r="B322" s="810"/>
      <c r="C322" s="810"/>
      <c r="D322" s="810"/>
      <c r="E322" s="810"/>
      <c r="F322" s="810"/>
      <c r="G322" s="810"/>
      <c r="H322" s="810"/>
      <c r="I322" s="810"/>
      <c r="J322" s="810"/>
      <c r="K322" s="810"/>
      <c r="L322" s="810"/>
      <c r="M322" s="810"/>
      <c r="N322" s="810"/>
      <c r="O322" s="810"/>
      <c r="P322" s="811"/>
      <c r="Q322" s="810"/>
      <c r="R322" s="810"/>
      <c r="S322" s="810"/>
      <c r="T322" s="810"/>
      <c r="U322" s="810"/>
      <c r="V322" s="810"/>
      <c r="W322" s="810"/>
      <c r="X322" s="810"/>
      <c r="Y322" s="810"/>
      <c r="Z322" s="810"/>
    </row>
    <row r="323">
      <c r="A323" s="810"/>
      <c r="B323" s="810"/>
      <c r="C323" s="810"/>
      <c r="D323" s="810"/>
      <c r="E323" s="810"/>
      <c r="F323" s="810"/>
      <c r="G323" s="810"/>
      <c r="H323" s="810"/>
      <c r="I323" s="810"/>
      <c r="J323" s="810"/>
      <c r="K323" s="810"/>
      <c r="L323" s="810"/>
      <c r="M323" s="810"/>
      <c r="N323" s="810"/>
      <c r="O323" s="810"/>
      <c r="P323" s="811"/>
      <c r="Q323" s="810"/>
      <c r="R323" s="810"/>
      <c r="S323" s="810"/>
      <c r="T323" s="810"/>
      <c r="U323" s="810"/>
      <c r="V323" s="810"/>
      <c r="W323" s="810"/>
      <c r="X323" s="810"/>
      <c r="Y323" s="810"/>
      <c r="Z323" s="810"/>
    </row>
    <row r="324">
      <c r="A324" s="810"/>
      <c r="B324" s="810"/>
      <c r="C324" s="810"/>
      <c r="D324" s="810"/>
      <c r="E324" s="810"/>
      <c r="F324" s="810"/>
      <c r="G324" s="810"/>
      <c r="H324" s="810"/>
      <c r="I324" s="810"/>
      <c r="J324" s="810"/>
      <c r="K324" s="810"/>
      <c r="L324" s="810"/>
      <c r="M324" s="810"/>
      <c r="N324" s="810"/>
      <c r="O324" s="810"/>
      <c r="P324" s="811"/>
      <c r="Q324" s="810"/>
      <c r="R324" s="810"/>
      <c r="S324" s="810"/>
      <c r="T324" s="810"/>
      <c r="U324" s="810"/>
      <c r="V324" s="810"/>
      <c r="W324" s="810"/>
      <c r="X324" s="810"/>
      <c r="Y324" s="810"/>
      <c r="Z324" s="810"/>
    </row>
    <row r="325">
      <c r="A325" s="810"/>
      <c r="B325" s="810"/>
      <c r="C325" s="810"/>
      <c r="D325" s="810"/>
      <c r="E325" s="810"/>
      <c r="F325" s="810"/>
      <c r="G325" s="810"/>
      <c r="H325" s="810"/>
      <c r="I325" s="810"/>
      <c r="J325" s="810"/>
      <c r="K325" s="810"/>
      <c r="L325" s="810"/>
      <c r="M325" s="810"/>
      <c r="N325" s="810"/>
      <c r="O325" s="810"/>
      <c r="P325" s="811"/>
      <c r="Q325" s="810"/>
      <c r="R325" s="810"/>
      <c r="S325" s="810"/>
      <c r="T325" s="810"/>
      <c r="U325" s="810"/>
      <c r="V325" s="810"/>
      <c r="W325" s="810"/>
      <c r="X325" s="810"/>
      <c r="Y325" s="810"/>
      <c r="Z325" s="810"/>
    </row>
    <row r="326">
      <c r="A326" s="810"/>
      <c r="B326" s="810"/>
      <c r="C326" s="810"/>
      <c r="D326" s="810"/>
      <c r="E326" s="810"/>
      <c r="F326" s="810"/>
      <c r="G326" s="810"/>
      <c r="H326" s="810"/>
      <c r="I326" s="810"/>
      <c r="J326" s="810"/>
      <c r="K326" s="810"/>
      <c r="L326" s="810"/>
      <c r="M326" s="810"/>
      <c r="N326" s="810"/>
      <c r="O326" s="810"/>
      <c r="P326" s="811"/>
      <c r="Q326" s="810"/>
      <c r="R326" s="810"/>
      <c r="S326" s="810"/>
      <c r="T326" s="810"/>
      <c r="U326" s="810"/>
      <c r="V326" s="810"/>
      <c r="W326" s="810"/>
      <c r="X326" s="810"/>
      <c r="Y326" s="810"/>
      <c r="Z326" s="810"/>
    </row>
    <row r="327">
      <c r="A327" s="810"/>
      <c r="B327" s="810"/>
      <c r="C327" s="810"/>
      <c r="D327" s="810"/>
      <c r="E327" s="810"/>
      <c r="F327" s="810"/>
      <c r="G327" s="810"/>
      <c r="H327" s="810"/>
      <c r="I327" s="810"/>
      <c r="J327" s="810"/>
      <c r="K327" s="810"/>
      <c r="L327" s="810"/>
      <c r="M327" s="810"/>
      <c r="N327" s="810"/>
      <c r="O327" s="810"/>
      <c r="P327" s="811"/>
      <c r="Q327" s="810"/>
      <c r="R327" s="810"/>
      <c r="S327" s="810"/>
      <c r="T327" s="810"/>
      <c r="U327" s="810"/>
      <c r="V327" s="810"/>
      <c r="W327" s="810"/>
      <c r="X327" s="810"/>
      <c r="Y327" s="810"/>
      <c r="Z327" s="810"/>
    </row>
    <row r="328">
      <c r="A328" s="810"/>
      <c r="B328" s="810"/>
      <c r="C328" s="810"/>
      <c r="D328" s="810"/>
      <c r="E328" s="810"/>
      <c r="F328" s="810"/>
      <c r="G328" s="810"/>
      <c r="H328" s="810"/>
      <c r="I328" s="810"/>
      <c r="J328" s="810"/>
      <c r="K328" s="810"/>
      <c r="L328" s="810"/>
      <c r="M328" s="810"/>
      <c r="N328" s="810"/>
      <c r="O328" s="810"/>
      <c r="P328" s="811"/>
      <c r="Q328" s="810"/>
      <c r="R328" s="810"/>
      <c r="S328" s="810"/>
      <c r="T328" s="810"/>
      <c r="U328" s="810"/>
      <c r="V328" s="810"/>
      <c r="W328" s="810"/>
      <c r="X328" s="810"/>
      <c r="Y328" s="810"/>
      <c r="Z328" s="810"/>
    </row>
    <row r="329">
      <c r="A329" s="810"/>
      <c r="B329" s="810"/>
      <c r="C329" s="810"/>
      <c r="D329" s="810"/>
      <c r="E329" s="810"/>
      <c r="F329" s="810"/>
      <c r="G329" s="810"/>
      <c r="H329" s="810"/>
      <c r="I329" s="810"/>
      <c r="J329" s="810"/>
      <c r="K329" s="810"/>
      <c r="L329" s="810"/>
      <c r="M329" s="810"/>
      <c r="N329" s="810"/>
      <c r="O329" s="810"/>
      <c r="P329" s="811"/>
      <c r="Q329" s="810"/>
      <c r="R329" s="810"/>
      <c r="S329" s="810"/>
      <c r="T329" s="810"/>
      <c r="U329" s="810"/>
      <c r="V329" s="810"/>
      <c r="W329" s="810"/>
      <c r="X329" s="810"/>
      <c r="Y329" s="810"/>
      <c r="Z329" s="810"/>
    </row>
    <row r="330">
      <c r="A330" s="810"/>
      <c r="B330" s="810"/>
      <c r="C330" s="810"/>
      <c r="D330" s="810"/>
      <c r="E330" s="810"/>
      <c r="F330" s="810"/>
      <c r="G330" s="810"/>
      <c r="H330" s="810"/>
      <c r="I330" s="810"/>
      <c r="J330" s="810"/>
      <c r="K330" s="810"/>
      <c r="L330" s="810"/>
      <c r="M330" s="810"/>
      <c r="N330" s="810"/>
      <c r="O330" s="810"/>
      <c r="P330" s="811"/>
      <c r="Q330" s="810"/>
      <c r="R330" s="810"/>
      <c r="S330" s="810"/>
      <c r="T330" s="810"/>
      <c r="U330" s="810"/>
      <c r="V330" s="810"/>
      <c r="W330" s="810"/>
      <c r="X330" s="810"/>
      <c r="Y330" s="810"/>
      <c r="Z330" s="810"/>
    </row>
    <row r="331">
      <c r="A331" s="810"/>
      <c r="B331" s="810"/>
      <c r="C331" s="810"/>
      <c r="D331" s="810"/>
      <c r="E331" s="810"/>
      <c r="F331" s="810"/>
      <c r="G331" s="810"/>
      <c r="H331" s="810"/>
      <c r="I331" s="810"/>
      <c r="J331" s="810"/>
      <c r="K331" s="810"/>
      <c r="L331" s="810"/>
      <c r="M331" s="810"/>
      <c r="N331" s="810"/>
      <c r="O331" s="810"/>
      <c r="P331" s="811"/>
      <c r="Q331" s="810"/>
      <c r="R331" s="810"/>
      <c r="S331" s="810"/>
      <c r="T331" s="810"/>
      <c r="U331" s="810"/>
      <c r="V331" s="810"/>
      <c r="W331" s="810"/>
      <c r="X331" s="810"/>
      <c r="Y331" s="810"/>
      <c r="Z331" s="810"/>
    </row>
    <row r="332">
      <c r="A332" s="810"/>
      <c r="B332" s="810"/>
      <c r="C332" s="810"/>
      <c r="D332" s="810"/>
      <c r="E332" s="810"/>
      <c r="F332" s="810"/>
      <c r="G332" s="810"/>
      <c r="H332" s="810"/>
      <c r="I332" s="810"/>
      <c r="J332" s="810"/>
      <c r="K332" s="810"/>
      <c r="L332" s="810"/>
      <c r="M332" s="810"/>
      <c r="N332" s="810"/>
      <c r="O332" s="810"/>
      <c r="P332" s="811"/>
      <c r="Q332" s="810"/>
      <c r="R332" s="810"/>
      <c r="S332" s="810"/>
      <c r="T332" s="810"/>
      <c r="U332" s="810"/>
      <c r="V332" s="810"/>
      <c r="W332" s="810"/>
      <c r="X332" s="810"/>
      <c r="Y332" s="810"/>
      <c r="Z332" s="810"/>
    </row>
    <row r="333">
      <c r="A333" s="810"/>
      <c r="B333" s="810"/>
      <c r="C333" s="810"/>
      <c r="D333" s="810"/>
      <c r="E333" s="810"/>
      <c r="F333" s="810"/>
      <c r="G333" s="810"/>
      <c r="H333" s="810"/>
      <c r="I333" s="810"/>
      <c r="J333" s="810"/>
      <c r="K333" s="810"/>
      <c r="L333" s="810"/>
      <c r="M333" s="810"/>
      <c r="N333" s="810"/>
      <c r="O333" s="810"/>
      <c r="P333" s="811"/>
      <c r="Q333" s="810"/>
      <c r="R333" s="810"/>
      <c r="S333" s="810"/>
      <c r="T333" s="810"/>
      <c r="U333" s="810"/>
      <c r="V333" s="810"/>
      <c r="W333" s="810"/>
      <c r="X333" s="810"/>
      <c r="Y333" s="810"/>
      <c r="Z333" s="810"/>
    </row>
    <row r="334">
      <c r="A334" s="810"/>
      <c r="B334" s="810"/>
      <c r="C334" s="810"/>
      <c r="D334" s="810"/>
      <c r="E334" s="810"/>
      <c r="F334" s="810"/>
      <c r="G334" s="810"/>
      <c r="H334" s="810"/>
      <c r="I334" s="810"/>
      <c r="J334" s="810"/>
      <c r="K334" s="810"/>
      <c r="L334" s="810"/>
      <c r="M334" s="810"/>
      <c r="N334" s="810"/>
      <c r="O334" s="810"/>
      <c r="P334" s="811"/>
      <c r="Q334" s="810"/>
      <c r="R334" s="810"/>
      <c r="S334" s="810"/>
      <c r="T334" s="810"/>
      <c r="U334" s="810"/>
      <c r="V334" s="810"/>
      <c r="W334" s="810"/>
      <c r="X334" s="810"/>
      <c r="Y334" s="810"/>
      <c r="Z334" s="810"/>
    </row>
    <row r="335">
      <c r="A335" s="810"/>
      <c r="B335" s="810"/>
      <c r="C335" s="810"/>
      <c r="D335" s="810"/>
      <c r="E335" s="810"/>
      <c r="F335" s="810"/>
      <c r="G335" s="810"/>
      <c r="H335" s="810"/>
      <c r="I335" s="810"/>
      <c r="J335" s="810"/>
      <c r="K335" s="810"/>
      <c r="L335" s="810"/>
      <c r="M335" s="810"/>
      <c r="N335" s="810"/>
      <c r="O335" s="810"/>
      <c r="P335" s="811"/>
      <c r="Q335" s="810"/>
      <c r="R335" s="810"/>
      <c r="S335" s="810"/>
      <c r="T335" s="810"/>
      <c r="U335" s="810"/>
      <c r="V335" s="810"/>
      <c r="W335" s="810"/>
      <c r="X335" s="810"/>
      <c r="Y335" s="810"/>
      <c r="Z335" s="810"/>
    </row>
    <row r="336">
      <c r="A336" s="810"/>
      <c r="B336" s="810"/>
      <c r="C336" s="810"/>
      <c r="D336" s="810"/>
      <c r="E336" s="810"/>
      <c r="F336" s="810"/>
      <c r="G336" s="810"/>
      <c r="H336" s="810"/>
      <c r="I336" s="810"/>
      <c r="J336" s="810"/>
      <c r="K336" s="810"/>
      <c r="L336" s="810"/>
      <c r="M336" s="810"/>
      <c r="N336" s="810"/>
      <c r="O336" s="810"/>
      <c r="P336" s="811"/>
      <c r="Q336" s="810"/>
      <c r="R336" s="810"/>
      <c r="S336" s="810"/>
      <c r="T336" s="810"/>
      <c r="U336" s="810"/>
      <c r="V336" s="810"/>
      <c r="W336" s="810"/>
      <c r="X336" s="810"/>
      <c r="Y336" s="810"/>
      <c r="Z336" s="810"/>
    </row>
    <row r="337">
      <c r="A337" s="810"/>
      <c r="B337" s="810"/>
      <c r="C337" s="810"/>
      <c r="D337" s="810"/>
      <c r="E337" s="810"/>
      <c r="F337" s="810"/>
      <c r="G337" s="810"/>
      <c r="H337" s="810"/>
      <c r="I337" s="810"/>
      <c r="J337" s="810"/>
      <c r="K337" s="810"/>
      <c r="L337" s="810"/>
      <c r="M337" s="810"/>
      <c r="N337" s="810"/>
      <c r="O337" s="810"/>
      <c r="P337" s="811"/>
      <c r="Q337" s="810"/>
      <c r="R337" s="810"/>
      <c r="S337" s="810"/>
      <c r="T337" s="810"/>
      <c r="U337" s="810"/>
      <c r="V337" s="810"/>
      <c r="W337" s="810"/>
      <c r="X337" s="810"/>
      <c r="Y337" s="810"/>
      <c r="Z337" s="810"/>
    </row>
    <row r="338">
      <c r="A338" s="810"/>
      <c r="B338" s="810"/>
      <c r="C338" s="810"/>
      <c r="D338" s="810"/>
      <c r="E338" s="810"/>
      <c r="F338" s="810"/>
      <c r="G338" s="810"/>
      <c r="H338" s="810"/>
      <c r="I338" s="810"/>
      <c r="J338" s="810"/>
      <c r="K338" s="810"/>
      <c r="L338" s="810"/>
      <c r="M338" s="810"/>
      <c r="N338" s="810"/>
      <c r="O338" s="810"/>
      <c r="P338" s="811"/>
      <c r="Q338" s="810"/>
      <c r="R338" s="810"/>
      <c r="S338" s="810"/>
      <c r="T338" s="810"/>
      <c r="U338" s="810"/>
      <c r="V338" s="810"/>
      <c r="W338" s="810"/>
      <c r="X338" s="810"/>
      <c r="Y338" s="810"/>
      <c r="Z338" s="810"/>
    </row>
    <row r="339">
      <c r="A339" s="810"/>
      <c r="B339" s="810"/>
      <c r="C339" s="810"/>
      <c r="D339" s="810"/>
      <c r="E339" s="810"/>
      <c r="F339" s="810"/>
      <c r="G339" s="810"/>
      <c r="H339" s="810"/>
      <c r="I339" s="810"/>
      <c r="J339" s="810"/>
      <c r="K339" s="810"/>
      <c r="L339" s="810"/>
      <c r="M339" s="810"/>
      <c r="N339" s="810"/>
      <c r="O339" s="810"/>
      <c r="P339" s="811"/>
      <c r="Q339" s="810"/>
      <c r="R339" s="810"/>
      <c r="S339" s="810"/>
      <c r="T339" s="810"/>
      <c r="U339" s="810"/>
      <c r="V339" s="810"/>
      <c r="W339" s="810"/>
      <c r="X339" s="810"/>
      <c r="Y339" s="810"/>
      <c r="Z339" s="810"/>
    </row>
    <row r="340">
      <c r="A340" s="810"/>
      <c r="B340" s="810"/>
      <c r="C340" s="810"/>
      <c r="D340" s="810"/>
      <c r="E340" s="810"/>
      <c r="F340" s="810"/>
      <c r="G340" s="810"/>
      <c r="H340" s="810"/>
      <c r="I340" s="810"/>
      <c r="J340" s="810"/>
      <c r="K340" s="810"/>
      <c r="L340" s="810"/>
      <c r="M340" s="810"/>
      <c r="N340" s="810"/>
      <c r="O340" s="810"/>
      <c r="P340" s="811"/>
      <c r="Q340" s="810"/>
      <c r="R340" s="810"/>
      <c r="S340" s="810"/>
      <c r="T340" s="810"/>
      <c r="U340" s="810"/>
      <c r="V340" s="810"/>
      <c r="W340" s="810"/>
      <c r="X340" s="810"/>
      <c r="Y340" s="810"/>
      <c r="Z340" s="810"/>
    </row>
    <row r="341">
      <c r="A341" s="810"/>
      <c r="B341" s="810"/>
      <c r="C341" s="810"/>
      <c r="D341" s="810"/>
      <c r="E341" s="810"/>
      <c r="F341" s="810"/>
      <c r="G341" s="810"/>
      <c r="H341" s="810"/>
      <c r="I341" s="810"/>
      <c r="J341" s="810"/>
      <c r="K341" s="810"/>
      <c r="L341" s="810"/>
      <c r="M341" s="810"/>
      <c r="N341" s="810"/>
      <c r="O341" s="810"/>
      <c r="P341" s="811"/>
      <c r="Q341" s="810"/>
      <c r="R341" s="810"/>
      <c r="S341" s="810"/>
      <c r="T341" s="810"/>
      <c r="U341" s="810"/>
      <c r="V341" s="810"/>
      <c r="W341" s="810"/>
      <c r="X341" s="810"/>
      <c r="Y341" s="810"/>
      <c r="Z341" s="810"/>
    </row>
    <row r="342">
      <c r="A342" s="810"/>
      <c r="B342" s="810"/>
      <c r="C342" s="810"/>
      <c r="D342" s="810"/>
      <c r="E342" s="810"/>
      <c r="F342" s="810"/>
      <c r="G342" s="810"/>
      <c r="H342" s="810"/>
      <c r="I342" s="810"/>
      <c r="J342" s="810"/>
      <c r="K342" s="810"/>
      <c r="L342" s="810"/>
      <c r="M342" s="810"/>
      <c r="N342" s="810"/>
      <c r="O342" s="810"/>
      <c r="P342" s="811"/>
      <c r="Q342" s="810"/>
      <c r="R342" s="810"/>
      <c r="S342" s="810"/>
      <c r="T342" s="810"/>
      <c r="U342" s="810"/>
      <c r="V342" s="810"/>
      <c r="W342" s="810"/>
      <c r="X342" s="810"/>
      <c r="Y342" s="810"/>
      <c r="Z342" s="810"/>
    </row>
    <row r="343">
      <c r="A343" s="810"/>
      <c r="B343" s="810"/>
      <c r="C343" s="810"/>
      <c r="D343" s="810"/>
      <c r="E343" s="810"/>
      <c r="F343" s="810"/>
      <c r="G343" s="810"/>
      <c r="H343" s="810"/>
      <c r="I343" s="810"/>
      <c r="J343" s="810"/>
      <c r="K343" s="810"/>
      <c r="L343" s="810"/>
      <c r="M343" s="810"/>
      <c r="N343" s="810"/>
      <c r="O343" s="810"/>
      <c r="P343" s="811"/>
      <c r="Q343" s="810"/>
      <c r="R343" s="810"/>
      <c r="S343" s="810"/>
      <c r="T343" s="810"/>
      <c r="U343" s="810"/>
      <c r="V343" s="810"/>
      <c r="W343" s="810"/>
      <c r="X343" s="810"/>
      <c r="Y343" s="810"/>
      <c r="Z343" s="810"/>
    </row>
    <row r="344">
      <c r="A344" s="810"/>
      <c r="B344" s="810"/>
      <c r="C344" s="810"/>
      <c r="D344" s="810"/>
      <c r="E344" s="810"/>
      <c r="F344" s="810"/>
      <c r="G344" s="810"/>
      <c r="H344" s="810"/>
      <c r="I344" s="810"/>
      <c r="J344" s="810"/>
      <c r="K344" s="810"/>
      <c r="L344" s="810"/>
      <c r="M344" s="810"/>
      <c r="N344" s="810"/>
      <c r="O344" s="810"/>
      <c r="P344" s="811"/>
      <c r="Q344" s="810"/>
      <c r="R344" s="810"/>
      <c r="S344" s="810"/>
      <c r="T344" s="810"/>
      <c r="U344" s="810"/>
      <c r="V344" s="810"/>
      <c r="W344" s="810"/>
      <c r="X344" s="810"/>
      <c r="Y344" s="810"/>
      <c r="Z344" s="810"/>
    </row>
    <row r="345">
      <c r="A345" s="810"/>
      <c r="B345" s="810"/>
      <c r="C345" s="810"/>
      <c r="D345" s="810"/>
      <c r="E345" s="810"/>
      <c r="F345" s="810"/>
      <c r="G345" s="810"/>
      <c r="H345" s="810"/>
      <c r="I345" s="810"/>
      <c r="J345" s="810"/>
      <c r="K345" s="810"/>
      <c r="L345" s="810"/>
      <c r="M345" s="810"/>
      <c r="N345" s="810"/>
      <c r="O345" s="810"/>
      <c r="P345" s="811"/>
      <c r="Q345" s="810"/>
      <c r="R345" s="810"/>
      <c r="S345" s="810"/>
      <c r="T345" s="810"/>
      <c r="U345" s="810"/>
      <c r="V345" s="810"/>
      <c r="W345" s="810"/>
      <c r="X345" s="810"/>
      <c r="Y345" s="810"/>
      <c r="Z345" s="810"/>
    </row>
    <row r="346">
      <c r="A346" s="810"/>
      <c r="B346" s="810"/>
      <c r="C346" s="810"/>
      <c r="D346" s="810"/>
      <c r="E346" s="810"/>
      <c r="F346" s="810"/>
      <c r="G346" s="810"/>
      <c r="H346" s="810"/>
      <c r="I346" s="810"/>
      <c r="J346" s="810"/>
      <c r="K346" s="810"/>
      <c r="L346" s="810"/>
      <c r="M346" s="810"/>
      <c r="N346" s="810"/>
      <c r="O346" s="810"/>
      <c r="P346" s="811"/>
      <c r="Q346" s="810"/>
      <c r="R346" s="810"/>
      <c r="S346" s="810"/>
      <c r="T346" s="810"/>
      <c r="U346" s="810"/>
      <c r="V346" s="810"/>
      <c r="W346" s="810"/>
      <c r="X346" s="810"/>
      <c r="Y346" s="810"/>
      <c r="Z346" s="810"/>
    </row>
    <row r="347">
      <c r="A347" s="810"/>
      <c r="B347" s="810"/>
      <c r="C347" s="810"/>
      <c r="D347" s="810"/>
      <c r="E347" s="810"/>
      <c r="F347" s="810"/>
      <c r="G347" s="810"/>
      <c r="H347" s="810"/>
      <c r="I347" s="810"/>
      <c r="J347" s="810"/>
      <c r="K347" s="810"/>
      <c r="L347" s="810"/>
      <c r="M347" s="810"/>
      <c r="N347" s="810"/>
      <c r="O347" s="810"/>
      <c r="P347" s="811"/>
      <c r="Q347" s="810"/>
      <c r="R347" s="810"/>
      <c r="S347" s="810"/>
      <c r="T347" s="810"/>
      <c r="U347" s="810"/>
      <c r="V347" s="810"/>
      <c r="W347" s="810"/>
      <c r="X347" s="810"/>
      <c r="Y347" s="810"/>
      <c r="Z347" s="810"/>
    </row>
    <row r="348">
      <c r="A348" s="810"/>
      <c r="B348" s="810"/>
      <c r="C348" s="810"/>
      <c r="D348" s="810"/>
      <c r="E348" s="810"/>
      <c r="F348" s="810"/>
      <c r="G348" s="810"/>
      <c r="H348" s="810"/>
      <c r="I348" s="810"/>
      <c r="J348" s="810"/>
      <c r="K348" s="810"/>
      <c r="L348" s="810"/>
      <c r="M348" s="810"/>
      <c r="N348" s="810"/>
      <c r="O348" s="810"/>
      <c r="P348" s="811"/>
      <c r="Q348" s="810"/>
      <c r="R348" s="810"/>
      <c r="S348" s="810"/>
      <c r="T348" s="810"/>
      <c r="U348" s="810"/>
      <c r="V348" s="810"/>
      <c r="W348" s="810"/>
      <c r="X348" s="810"/>
      <c r="Y348" s="810"/>
      <c r="Z348" s="810"/>
    </row>
    <row r="349">
      <c r="A349" s="810"/>
      <c r="B349" s="810"/>
      <c r="C349" s="810"/>
      <c r="D349" s="810"/>
      <c r="E349" s="810"/>
      <c r="F349" s="810"/>
      <c r="G349" s="810"/>
      <c r="H349" s="810"/>
      <c r="I349" s="810"/>
      <c r="J349" s="810"/>
      <c r="K349" s="810"/>
      <c r="L349" s="810"/>
      <c r="M349" s="810"/>
      <c r="N349" s="810"/>
      <c r="O349" s="810"/>
      <c r="P349" s="811"/>
      <c r="Q349" s="810"/>
      <c r="R349" s="810"/>
      <c r="S349" s="810"/>
      <c r="T349" s="810"/>
      <c r="U349" s="810"/>
      <c r="V349" s="810"/>
      <c r="W349" s="810"/>
      <c r="X349" s="810"/>
      <c r="Y349" s="810"/>
      <c r="Z349" s="810"/>
    </row>
    <row r="350">
      <c r="A350" s="810"/>
      <c r="B350" s="810"/>
      <c r="C350" s="810"/>
      <c r="D350" s="810"/>
      <c r="E350" s="810"/>
      <c r="F350" s="810"/>
      <c r="G350" s="810"/>
      <c r="H350" s="810"/>
      <c r="I350" s="810"/>
      <c r="J350" s="810"/>
      <c r="K350" s="810"/>
      <c r="L350" s="810"/>
      <c r="M350" s="810"/>
      <c r="N350" s="810"/>
      <c r="O350" s="810"/>
      <c r="P350" s="811"/>
      <c r="Q350" s="810"/>
      <c r="R350" s="810"/>
      <c r="S350" s="810"/>
      <c r="T350" s="810"/>
      <c r="U350" s="810"/>
      <c r="V350" s="810"/>
      <c r="W350" s="810"/>
      <c r="X350" s="810"/>
      <c r="Y350" s="810"/>
      <c r="Z350" s="810"/>
    </row>
    <row r="351">
      <c r="A351" s="810"/>
      <c r="B351" s="810"/>
      <c r="C351" s="810"/>
      <c r="D351" s="810"/>
      <c r="E351" s="810"/>
      <c r="F351" s="810"/>
      <c r="G351" s="810"/>
      <c r="H351" s="810"/>
      <c r="I351" s="810"/>
      <c r="J351" s="810"/>
      <c r="K351" s="810"/>
      <c r="L351" s="810"/>
      <c r="M351" s="810"/>
      <c r="N351" s="810"/>
      <c r="O351" s="810"/>
      <c r="P351" s="811"/>
      <c r="Q351" s="810"/>
      <c r="R351" s="810"/>
      <c r="S351" s="810"/>
      <c r="T351" s="810"/>
      <c r="U351" s="810"/>
      <c r="V351" s="810"/>
      <c r="W351" s="810"/>
      <c r="X351" s="810"/>
      <c r="Y351" s="810"/>
      <c r="Z351" s="810"/>
    </row>
    <row r="352">
      <c r="A352" s="810"/>
      <c r="B352" s="810"/>
      <c r="C352" s="810"/>
      <c r="D352" s="810"/>
      <c r="E352" s="810"/>
      <c r="F352" s="810"/>
      <c r="G352" s="810"/>
      <c r="H352" s="810"/>
      <c r="I352" s="810"/>
      <c r="J352" s="810"/>
      <c r="K352" s="810"/>
      <c r="L352" s="810"/>
      <c r="M352" s="810"/>
      <c r="N352" s="810"/>
      <c r="O352" s="810"/>
      <c r="P352" s="811"/>
      <c r="Q352" s="810"/>
      <c r="R352" s="810"/>
      <c r="S352" s="810"/>
      <c r="T352" s="810"/>
      <c r="U352" s="810"/>
      <c r="V352" s="810"/>
      <c r="W352" s="810"/>
      <c r="X352" s="810"/>
      <c r="Y352" s="810"/>
      <c r="Z352" s="810"/>
    </row>
    <row r="353">
      <c r="A353" s="810"/>
      <c r="B353" s="810"/>
      <c r="C353" s="810"/>
      <c r="D353" s="810"/>
      <c r="E353" s="810"/>
      <c r="F353" s="810"/>
      <c r="G353" s="810"/>
      <c r="H353" s="810"/>
      <c r="I353" s="810"/>
      <c r="J353" s="810"/>
      <c r="K353" s="810"/>
      <c r="L353" s="810"/>
      <c r="M353" s="810"/>
      <c r="N353" s="810"/>
      <c r="O353" s="810"/>
      <c r="P353" s="811"/>
      <c r="Q353" s="810"/>
      <c r="R353" s="810"/>
      <c r="S353" s="810"/>
      <c r="T353" s="810"/>
      <c r="U353" s="810"/>
      <c r="V353" s="810"/>
      <c r="W353" s="810"/>
      <c r="X353" s="810"/>
      <c r="Y353" s="810"/>
      <c r="Z353" s="810"/>
    </row>
    <row r="354">
      <c r="A354" s="810"/>
      <c r="B354" s="810"/>
      <c r="C354" s="810"/>
      <c r="D354" s="810"/>
      <c r="E354" s="810"/>
      <c r="F354" s="810"/>
      <c r="G354" s="810"/>
      <c r="H354" s="810"/>
      <c r="I354" s="810"/>
      <c r="J354" s="810"/>
      <c r="K354" s="810"/>
      <c r="L354" s="810"/>
      <c r="M354" s="810"/>
      <c r="N354" s="810"/>
      <c r="O354" s="810"/>
      <c r="P354" s="811"/>
      <c r="Q354" s="810"/>
      <c r="R354" s="810"/>
      <c r="S354" s="810"/>
      <c r="T354" s="810"/>
      <c r="U354" s="810"/>
      <c r="V354" s="810"/>
      <c r="W354" s="810"/>
      <c r="X354" s="810"/>
      <c r="Y354" s="810"/>
      <c r="Z354" s="810"/>
    </row>
    <row r="355">
      <c r="A355" s="810"/>
      <c r="B355" s="810"/>
      <c r="C355" s="810"/>
      <c r="D355" s="810"/>
      <c r="E355" s="810"/>
      <c r="F355" s="810"/>
      <c r="G355" s="810"/>
      <c r="H355" s="810"/>
      <c r="I355" s="810"/>
      <c r="J355" s="810"/>
      <c r="K355" s="810"/>
      <c r="L355" s="810"/>
      <c r="M355" s="810"/>
      <c r="N355" s="810"/>
      <c r="O355" s="810"/>
      <c r="P355" s="811"/>
      <c r="Q355" s="810"/>
      <c r="R355" s="810"/>
      <c r="S355" s="810"/>
      <c r="T355" s="810"/>
      <c r="U355" s="810"/>
      <c r="V355" s="810"/>
      <c r="W355" s="810"/>
      <c r="X355" s="810"/>
      <c r="Y355" s="810"/>
      <c r="Z355" s="810"/>
    </row>
    <row r="356">
      <c r="A356" s="810"/>
      <c r="B356" s="810"/>
      <c r="C356" s="810"/>
      <c r="D356" s="810"/>
      <c r="E356" s="810"/>
      <c r="F356" s="810"/>
      <c r="G356" s="810"/>
      <c r="H356" s="810"/>
      <c r="I356" s="810"/>
      <c r="J356" s="810"/>
      <c r="K356" s="810"/>
      <c r="L356" s="810"/>
      <c r="M356" s="810"/>
      <c r="N356" s="810"/>
      <c r="O356" s="810"/>
      <c r="P356" s="811"/>
      <c r="Q356" s="810"/>
      <c r="R356" s="810"/>
      <c r="S356" s="810"/>
      <c r="T356" s="810"/>
      <c r="U356" s="810"/>
      <c r="V356" s="810"/>
      <c r="W356" s="810"/>
      <c r="X356" s="810"/>
      <c r="Y356" s="810"/>
      <c r="Z356" s="810"/>
    </row>
    <row r="357">
      <c r="A357" s="810"/>
      <c r="B357" s="810"/>
      <c r="C357" s="810"/>
      <c r="D357" s="810"/>
      <c r="E357" s="810"/>
      <c r="F357" s="810"/>
      <c r="G357" s="810"/>
      <c r="H357" s="810"/>
      <c r="I357" s="810"/>
      <c r="J357" s="810"/>
      <c r="K357" s="810"/>
      <c r="L357" s="810"/>
      <c r="M357" s="810"/>
      <c r="N357" s="810"/>
      <c r="O357" s="810"/>
      <c r="P357" s="811"/>
      <c r="Q357" s="810"/>
      <c r="R357" s="810"/>
      <c r="S357" s="810"/>
      <c r="T357" s="810"/>
      <c r="U357" s="810"/>
      <c r="V357" s="810"/>
      <c r="W357" s="810"/>
      <c r="X357" s="810"/>
      <c r="Y357" s="810"/>
      <c r="Z357" s="810"/>
    </row>
    <row r="358">
      <c r="A358" s="810"/>
      <c r="B358" s="810"/>
      <c r="C358" s="810"/>
      <c r="D358" s="810"/>
      <c r="E358" s="810"/>
      <c r="F358" s="810"/>
      <c r="G358" s="810"/>
      <c r="H358" s="810"/>
      <c r="I358" s="810"/>
      <c r="J358" s="810"/>
      <c r="K358" s="810"/>
      <c r="L358" s="810"/>
      <c r="M358" s="810"/>
      <c r="N358" s="810"/>
      <c r="O358" s="810"/>
      <c r="P358" s="811"/>
      <c r="Q358" s="810"/>
      <c r="R358" s="810"/>
      <c r="S358" s="810"/>
      <c r="T358" s="810"/>
      <c r="U358" s="810"/>
      <c r="V358" s="810"/>
      <c r="W358" s="810"/>
      <c r="X358" s="810"/>
      <c r="Y358" s="810"/>
      <c r="Z358" s="810"/>
    </row>
    <row r="359">
      <c r="A359" s="810"/>
      <c r="B359" s="810"/>
      <c r="C359" s="810"/>
      <c r="D359" s="810"/>
      <c r="E359" s="810"/>
      <c r="F359" s="810"/>
      <c r="G359" s="810"/>
      <c r="H359" s="810"/>
      <c r="I359" s="810"/>
      <c r="J359" s="810"/>
      <c r="K359" s="810"/>
      <c r="L359" s="810"/>
      <c r="M359" s="810"/>
      <c r="N359" s="810"/>
      <c r="O359" s="810"/>
      <c r="P359" s="811"/>
      <c r="Q359" s="810"/>
      <c r="R359" s="810"/>
      <c r="S359" s="810"/>
      <c r="T359" s="810"/>
      <c r="U359" s="810"/>
      <c r="V359" s="810"/>
      <c r="W359" s="810"/>
      <c r="X359" s="810"/>
      <c r="Y359" s="810"/>
      <c r="Z359" s="810"/>
    </row>
    <row r="360">
      <c r="A360" s="810"/>
      <c r="B360" s="810"/>
      <c r="C360" s="810"/>
      <c r="D360" s="810"/>
      <c r="E360" s="810"/>
      <c r="F360" s="810"/>
      <c r="G360" s="810"/>
      <c r="H360" s="810"/>
      <c r="I360" s="810"/>
      <c r="J360" s="810"/>
      <c r="K360" s="810"/>
      <c r="L360" s="810"/>
      <c r="M360" s="810"/>
      <c r="N360" s="810"/>
      <c r="O360" s="810"/>
      <c r="P360" s="811"/>
      <c r="Q360" s="810"/>
      <c r="R360" s="810"/>
      <c r="S360" s="810"/>
      <c r="T360" s="810"/>
      <c r="U360" s="810"/>
      <c r="V360" s="810"/>
      <c r="W360" s="810"/>
      <c r="X360" s="810"/>
      <c r="Y360" s="810"/>
      <c r="Z360" s="810"/>
    </row>
    <row r="361">
      <c r="A361" s="810"/>
      <c r="B361" s="810"/>
      <c r="C361" s="810"/>
      <c r="D361" s="810"/>
      <c r="E361" s="810"/>
      <c r="F361" s="810"/>
      <c r="G361" s="810"/>
      <c r="H361" s="810"/>
      <c r="I361" s="810"/>
      <c r="J361" s="810"/>
      <c r="K361" s="810"/>
      <c r="L361" s="810"/>
      <c r="M361" s="810"/>
      <c r="N361" s="810"/>
      <c r="O361" s="810"/>
      <c r="P361" s="811"/>
      <c r="Q361" s="810"/>
      <c r="R361" s="810"/>
      <c r="S361" s="810"/>
      <c r="T361" s="810"/>
      <c r="U361" s="810"/>
      <c r="V361" s="810"/>
      <c r="W361" s="810"/>
      <c r="X361" s="810"/>
      <c r="Y361" s="810"/>
      <c r="Z361" s="810"/>
    </row>
    <row r="362">
      <c r="A362" s="810"/>
      <c r="B362" s="810"/>
      <c r="C362" s="810"/>
      <c r="D362" s="810"/>
      <c r="E362" s="810"/>
      <c r="F362" s="810"/>
      <c r="G362" s="810"/>
      <c r="H362" s="810"/>
      <c r="I362" s="810"/>
      <c r="J362" s="810"/>
      <c r="K362" s="810"/>
      <c r="L362" s="810"/>
      <c r="M362" s="810"/>
      <c r="N362" s="810"/>
      <c r="O362" s="810"/>
      <c r="P362" s="811"/>
      <c r="Q362" s="810"/>
      <c r="R362" s="810"/>
      <c r="S362" s="810"/>
      <c r="T362" s="810"/>
      <c r="U362" s="810"/>
      <c r="V362" s="810"/>
      <c r="W362" s="810"/>
      <c r="X362" s="810"/>
      <c r="Y362" s="810"/>
      <c r="Z362" s="810"/>
    </row>
    <row r="363">
      <c r="A363" s="810"/>
      <c r="B363" s="810"/>
      <c r="C363" s="810"/>
      <c r="D363" s="810"/>
      <c r="E363" s="810"/>
      <c r="F363" s="810"/>
      <c r="G363" s="810"/>
      <c r="H363" s="810"/>
      <c r="I363" s="810"/>
      <c r="J363" s="810"/>
      <c r="K363" s="810"/>
      <c r="L363" s="810"/>
      <c r="M363" s="810"/>
      <c r="N363" s="810"/>
      <c r="O363" s="810"/>
      <c r="P363" s="811"/>
      <c r="Q363" s="810"/>
      <c r="R363" s="810"/>
      <c r="S363" s="810"/>
      <c r="T363" s="810"/>
      <c r="U363" s="810"/>
      <c r="V363" s="810"/>
      <c r="W363" s="810"/>
      <c r="X363" s="810"/>
      <c r="Y363" s="810"/>
      <c r="Z363" s="810"/>
    </row>
    <row r="364">
      <c r="A364" s="810"/>
      <c r="B364" s="810"/>
      <c r="C364" s="810"/>
      <c r="D364" s="810"/>
      <c r="E364" s="810"/>
      <c r="F364" s="810"/>
      <c r="G364" s="810"/>
      <c r="H364" s="810"/>
      <c r="I364" s="810"/>
      <c r="J364" s="810"/>
      <c r="K364" s="810"/>
      <c r="L364" s="810"/>
      <c r="M364" s="810"/>
      <c r="N364" s="810"/>
      <c r="O364" s="810"/>
      <c r="P364" s="811"/>
      <c r="Q364" s="810"/>
      <c r="R364" s="810"/>
      <c r="S364" s="810"/>
      <c r="T364" s="810"/>
      <c r="U364" s="810"/>
      <c r="V364" s="810"/>
      <c r="W364" s="810"/>
      <c r="X364" s="810"/>
      <c r="Y364" s="810"/>
      <c r="Z364" s="810"/>
    </row>
    <row r="365">
      <c r="A365" s="810"/>
      <c r="B365" s="810"/>
      <c r="C365" s="810"/>
      <c r="D365" s="810"/>
      <c r="E365" s="810"/>
      <c r="F365" s="810"/>
      <c r="G365" s="810"/>
      <c r="H365" s="810"/>
      <c r="I365" s="810"/>
      <c r="J365" s="810"/>
      <c r="K365" s="810"/>
      <c r="L365" s="810"/>
      <c r="M365" s="810"/>
      <c r="N365" s="810"/>
      <c r="O365" s="810"/>
      <c r="P365" s="811"/>
      <c r="Q365" s="810"/>
      <c r="R365" s="810"/>
      <c r="S365" s="810"/>
      <c r="T365" s="810"/>
      <c r="U365" s="810"/>
      <c r="V365" s="810"/>
      <c r="W365" s="810"/>
      <c r="X365" s="810"/>
      <c r="Y365" s="810"/>
      <c r="Z365" s="810"/>
    </row>
    <row r="366">
      <c r="A366" s="810"/>
      <c r="B366" s="810"/>
      <c r="C366" s="810"/>
      <c r="D366" s="810"/>
      <c r="E366" s="810"/>
      <c r="F366" s="810"/>
      <c r="G366" s="810"/>
      <c r="H366" s="810"/>
      <c r="I366" s="810"/>
      <c r="J366" s="810"/>
      <c r="K366" s="810"/>
      <c r="L366" s="810"/>
      <c r="M366" s="810"/>
      <c r="N366" s="810"/>
      <c r="O366" s="810"/>
      <c r="P366" s="811"/>
      <c r="Q366" s="810"/>
      <c r="R366" s="810"/>
      <c r="S366" s="810"/>
      <c r="T366" s="810"/>
      <c r="U366" s="810"/>
      <c r="V366" s="810"/>
      <c r="W366" s="810"/>
      <c r="X366" s="810"/>
      <c r="Y366" s="810"/>
      <c r="Z366" s="810"/>
    </row>
    <row r="367">
      <c r="A367" s="810"/>
      <c r="B367" s="810"/>
      <c r="C367" s="810"/>
      <c r="D367" s="810"/>
      <c r="E367" s="810"/>
      <c r="F367" s="810"/>
      <c r="G367" s="810"/>
      <c r="H367" s="810"/>
      <c r="I367" s="810"/>
      <c r="J367" s="810"/>
      <c r="K367" s="810"/>
      <c r="L367" s="810"/>
      <c r="M367" s="810"/>
      <c r="N367" s="810"/>
      <c r="O367" s="810"/>
      <c r="P367" s="811"/>
      <c r="Q367" s="810"/>
      <c r="R367" s="810"/>
      <c r="S367" s="810"/>
      <c r="T367" s="810"/>
      <c r="U367" s="810"/>
      <c r="V367" s="810"/>
      <c r="W367" s="810"/>
      <c r="X367" s="810"/>
      <c r="Y367" s="810"/>
      <c r="Z367" s="810"/>
    </row>
    <row r="368">
      <c r="A368" s="810"/>
      <c r="B368" s="810"/>
      <c r="C368" s="810"/>
      <c r="D368" s="810"/>
      <c r="E368" s="810"/>
      <c r="F368" s="810"/>
      <c r="G368" s="810"/>
      <c r="H368" s="810"/>
      <c r="I368" s="810"/>
      <c r="J368" s="810"/>
      <c r="K368" s="810"/>
      <c r="L368" s="810"/>
      <c r="M368" s="810"/>
      <c r="N368" s="810"/>
      <c r="O368" s="810"/>
      <c r="P368" s="811"/>
      <c r="Q368" s="810"/>
      <c r="R368" s="810"/>
      <c r="S368" s="810"/>
      <c r="T368" s="810"/>
      <c r="U368" s="810"/>
      <c r="V368" s="810"/>
      <c r="W368" s="810"/>
      <c r="X368" s="810"/>
      <c r="Y368" s="810"/>
      <c r="Z368" s="810"/>
    </row>
    <row r="369">
      <c r="A369" s="810"/>
      <c r="B369" s="810"/>
      <c r="C369" s="810"/>
      <c r="D369" s="810"/>
      <c r="E369" s="810"/>
      <c r="F369" s="810"/>
      <c r="G369" s="810"/>
      <c r="H369" s="810"/>
      <c r="I369" s="810"/>
      <c r="J369" s="810"/>
      <c r="K369" s="810"/>
      <c r="L369" s="810"/>
      <c r="M369" s="810"/>
      <c r="N369" s="810"/>
      <c r="O369" s="810"/>
      <c r="P369" s="811"/>
      <c r="Q369" s="810"/>
      <c r="R369" s="810"/>
      <c r="S369" s="810"/>
      <c r="T369" s="810"/>
      <c r="U369" s="810"/>
      <c r="V369" s="810"/>
      <c r="W369" s="810"/>
      <c r="X369" s="810"/>
      <c r="Y369" s="810"/>
      <c r="Z369" s="810"/>
    </row>
    <row r="370">
      <c r="A370" s="810"/>
      <c r="B370" s="810"/>
      <c r="C370" s="810"/>
      <c r="D370" s="810"/>
      <c r="E370" s="810"/>
      <c r="F370" s="810"/>
      <c r="G370" s="810"/>
      <c r="H370" s="810"/>
      <c r="I370" s="810"/>
      <c r="J370" s="810"/>
      <c r="K370" s="810"/>
      <c r="L370" s="810"/>
      <c r="M370" s="810"/>
      <c r="N370" s="810"/>
      <c r="O370" s="810"/>
      <c r="P370" s="811"/>
      <c r="Q370" s="810"/>
      <c r="R370" s="810"/>
      <c r="S370" s="810"/>
      <c r="T370" s="810"/>
      <c r="U370" s="810"/>
      <c r="V370" s="810"/>
      <c r="W370" s="810"/>
      <c r="X370" s="810"/>
      <c r="Y370" s="810"/>
      <c r="Z370" s="810"/>
    </row>
    <row r="371">
      <c r="A371" s="810"/>
      <c r="B371" s="810"/>
      <c r="C371" s="810"/>
      <c r="D371" s="810"/>
      <c r="E371" s="810"/>
      <c r="F371" s="810"/>
      <c r="G371" s="810"/>
      <c r="H371" s="810"/>
      <c r="I371" s="810"/>
      <c r="J371" s="810"/>
      <c r="K371" s="810"/>
      <c r="L371" s="810"/>
      <c r="M371" s="810"/>
      <c r="N371" s="810"/>
      <c r="O371" s="810"/>
      <c r="P371" s="811"/>
      <c r="Q371" s="810"/>
      <c r="R371" s="810"/>
      <c r="S371" s="810"/>
      <c r="T371" s="810"/>
      <c r="U371" s="810"/>
      <c r="V371" s="810"/>
      <c r="W371" s="810"/>
      <c r="X371" s="810"/>
      <c r="Y371" s="810"/>
      <c r="Z371" s="810"/>
    </row>
    <row r="372">
      <c r="A372" s="810"/>
      <c r="B372" s="810"/>
      <c r="C372" s="810"/>
      <c r="D372" s="810"/>
      <c r="E372" s="810"/>
      <c r="F372" s="810"/>
      <c r="G372" s="810"/>
      <c r="H372" s="810"/>
      <c r="I372" s="810"/>
      <c r="J372" s="810"/>
      <c r="K372" s="810"/>
      <c r="L372" s="810"/>
      <c r="M372" s="810"/>
      <c r="N372" s="810"/>
      <c r="O372" s="810"/>
      <c r="P372" s="811"/>
      <c r="Q372" s="810"/>
      <c r="R372" s="810"/>
      <c r="S372" s="810"/>
      <c r="T372" s="810"/>
      <c r="U372" s="810"/>
      <c r="V372" s="810"/>
      <c r="W372" s="810"/>
      <c r="X372" s="810"/>
      <c r="Y372" s="810"/>
      <c r="Z372" s="810"/>
    </row>
    <row r="373">
      <c r="A373" s="810"/>
      <c r="B373" s="810"/>
      <c r="C373" s="810"/>
      <c r="D373" s="810"/>
      <c r="E373" s="810"/>
      <c r="F373" s="810"/>
      <c r="G373" s="810"/>
      <c r="H373" s="810"/>
      <c r="I373" s="810"/>
      <c r="J373" s="810"/>
      <c r="K373" s="810"/>
      <c r="L373" s="810"/>
      <c r="M373" s="810"/>
      <c r="N373" s="810"/>
      <c r="O373" s="810"/>
      <c r="P373" s="811"/>
      <c r="Q373" s="810"/>
      <c r="R373" s="810"/>
      <c r="S373" s="810"/>
      <c r="T373" s="810"/>
      <c r="U373" s="810"/>
      <c r="V373" s="810"/>
      <c r="W373" s="810"/>
      <c r="X373" s="810"/>
      <c r="Y373" s="810"/>
      <c r="Z373" s="810"/>
    </row>
    <row r="374">
      <c r="A374" s="810"/>
      <c r="B374" s="810"/>
      <c r="C374" s="810"/>
      <c r="D374" s="810"/>
      <c r="E374" s="810"/>
      <c r="F374" s="810"/>
      <c r="G374" s="810"/>
      <c r="H374" s="810"/>
      <c r="I374" s="810"/>
      <c r="J374" s="810"/>
      <c r="K374" s="810"/>
      <c r="L374" s="810"/>
      <c r="M374" s="810"/>
      <c r="N374" s="810"/>
      <c r="O374" s="810"/>
      <c r="P374" s="811"/>
      <c r="Q374" s="810"/>
      <c r="R374" s="810"/>
      <c r="S374" s="810"/>
      <c r="T374" s="810"/>
      <c r="U374" s="810"/>
      <c r="V374" s="810"/>
      <c r="W374" s="810"/>
      <c r="X374" s="810"/>
      <c r="Y374" s="810"/>
      <c r="Z374" s="810"/>
    </row>
    <row r="375">
      <c r="A375" s="810"/>
      <c r="B375" s="810"/>
      <c r="C375" s="810"/>
      <c r="D375" s="810"/>
      <c r="E375" s="810"/>
      <c r="F375" s="810"/>
      <c r="G375" s="810"/>
      <c r="H375" s="810"/>
      <c r="I375" s="810"/>
      <c r="J375" s="810"/>
      <c r="K375" s="810"/>
      <c r="L375" s="810"/>
      <c r="M375" s="810"/>
      <c r="N375" s="810"/>
      <c r="O375" s="810"/>
      <c r="P375" s="811"/>
      <c r="Q375" s="810"/>
      <c r="R375" s="810"/>
      <c r="S375" s="810"/>
      <c r="T375" s="810"/>
      <c r="U375" s="810"/>
      <c r="V375" s="810"/>
      <c r="W375" s="810"/>
      <c r="X375" s="810"/>
      <c r="Y375" s="810"/>
      <c r="Z375" s="810"/>
    </row>
    <row r="376">
      <c r="A376" s="810"/>
      <c r="B376" s="810"/>
      <c r="C376" s="810"/>
      <c r="D376" s="810"/>
      <c r="E376" s="810"/>
      <c r="F376" s="810"/>
      <c r="G376" s="810"/>
      <c r="H376" s="810"/>
      <c r="I376" s="810"/>
      <c r="J376" s="810"/>
      <c r="K376" s="810"/>
      <c r="L376" s="810"/>
      <c r="M376" s="810"/>
      <c r="N376" s="810"/>
      <c r="O376" s="810"/>
      <c r="P376" s="811"/>
      <c r="Q376" s="810"/>
      <c r="R376" s="810"/>
      <c r="S376" s="810"/>
      <c r="T376" s="810"/>
      <c r="U376" s="810"/>
      <c r="V376" s="810"/>
      <c r="W376" s="810"/>
      <c r="X376" s="810"/>
      <c r="Y376" s="810"/>
      <c r="Z376" s="810"/>
    </row>
    <row r="377">
      <c r="A377" s="810"/>
      <c r="B377" s="810"/>
      <c r="C377" s="810"/>
      <c r="D377" s="810"/>
      <c r="E377" s="810"/>
      <c r="F377" s="810"/>
      <c r="G377" s="810"/>
      <c r="H377" s="810"/>
      <c r="I377" s="810"/>
      <c r="J377" s="810"/>
      <c r="K377" s="810"/>
      <c r="L377" s="810"/>
      <c r="M377" s="810"/>
      <c r="N377" s="810"/>
      <c r="O377" s="810"/>
      <c r="P377" s="811"/>
      <c r="Q377" s="810"/>
      <c r="R377" s="810"/>
      <c r="S377" s="810"/>
      <c r="T377" s="810"/>
      <c r="U377" s="810"/>
      <c r="V377" s="810"/>
      <c r="W377" s="810"/>
      <c r="X377" s="810"/>
      <c r="Y377" s="810"/>
      <c r="Z377" s="810"/>
    </row>
    <row r="378">
      <c r="A378" s="810"/>
      <c r="B378" s="810"/>
      <c r="C378" s="810"/>
      <c r="D378" s="810"/>
      <c r="E378" s="810"/>
      <c r="F378" s="810"/>
      <c r="G378" s="810"/>
      <c r="H378" s="810"/>
      <c r="I378" s="810"/>
      <c r="J378" s="810"/>
      <c r="K378" s="810"/>
      <c r="L378" s="810"/>
      <c r="M378" s="810"/>
      <c r="N378" s="810"/>
      <c r="O378" s="810"/>
      <c r="P378" s="811"/>
      <c r="Q378" s="810"/>
      <c r="R378" s="810"/>
      <c r="S378" s="810"/>
      <c r="T378" s="810"/>
      <c r="U378" s="810"/>
      <c r="V378" s="810"/>
      <c r="W378" s="810"/>
      <c r="X378" s="810"/>
      <c r="Y378" s="810"/>
      <c r="Z378" s="810"/>
    </row>
    <row r="379">
      <c r="A379" s="810"/>
      <c r="B379" s="810"/>
      <c r="C379" s="810"/>
      <c r="D379" s="810"/>
      <c r="E379" s="810"/>
      <c r="F379" s="810"/>
      <c r="G379" s="810"/>
      <c r="H379" s="810"/>
      <c r="I379" s="810"/>
      <c r="J379" s="810"/>
      <c r="K379" s="810"/>
      <c r="L379" s="810"/>
      <c r="M379" s="810"/>
      <c r="N379" s="810"/>
      <c r="O379" s="810"/>
      <c r="P379" s="811"/>
      <c r="Q379" s="810"/>
      <c r="R379" s="810"/>
      <c r="S379" s="810"/>
      <c r="T379" s="810"/>
      <c r="U379" s="810"/>
      <c r="V379" s="810"/>
      <c r="W379" s="810"/>
      <c r="X379" s="810"/>
      <c r="Y379" s="810"/>
      <c r="Z379" s="810"/>
    </row>
    <row r="380">
      <c r="A380" s="810"/>
      <c r="B380" s="810"/>
      <c r="C380" s="810"/>
      <c r="D380" s="810"/>
      <c r="E380" s="810"/>
      <c r="F380" s="810"/>
      <c r="G380" s="810"/>
      <c r="H380" s="810"/>
      <c r="I380" s="810"/>
      <c r="J380" s="810"/>
      <c r="K380" s="810"/>
      <c r="L380" s="810"/>
      <c r="M380" s="810"/>
      <c r="N380" s="810"/>
      <c r="O380" s="810"/>
      <c r="P380" s="811"/>
      <c r="Q380" s="810"/>
      <c r="R380" s="810"/>
      <c r="S380" s="810"/>
      <c r="T380" s="810"/>
      <c r="U380" s="810"/>
      <c r="V380" s="810"/>
      <c r="W380" s="810"/>
      <c r="X380" s="810"/>
      <c r="Y380" s="810"/>
      <c r="Z380" s="810"/>
    </row>
    <row r="381">
      <c r="A381" s="810"/>
      <c r="B381" s="810"/>
      <c r="C381" s="810"/>
      <c r="D381" s="810"/>
      <c r="E381" s="810"/>
      <c r="F381" s="810"/>
      <c r="G381" s="810"/>
      <c r="H381" s="810"/>
      <c r="I381" s="810"/>
      <c r="J381" s="810"/>
      <c r="K381" s="810"/>
      <c r="L381" s="810"/>
      <c r="M381" s="810"/>
      <c r="N381" s="810"/>
      <c r="O381" s="810"/>
      <c r="P381" s="811"/>
      <c r="Q381" s="810"/>
      <c r="R381" s="810"/>
      <c r="S381" s="810"/>
      <c r="T381" s="810"/>
      <c r="U381" s="810"/>
      <c r="V381" s="810"/>
      <c r="W381" s="810"/>
      <c r="X381" s="810"/>
      <c r="Y381" s="810"/>
      <c r="Z381" s="810"/>
    </row>
    <row r="382">
      <c r="A382" s="810"/>
      <c r="B382" s="810"/>
      <c r="C382" s="810"/>
      <c r="D382" s="810"/>
      <c r="E382" s="810"/>
      <c r="F382" s="810"/>
      <c r="G382" s="810"/>
      <c r="H382" s="810"/>
      <c r="I382" s="810"/>
      <c r="J382" s="810"/>
      <c r="K382" s="810"/>
      <c r="L382" s="810"/>
      <c r="M382" s="810"/>
      <c r="N382" s="810"/>
      <c r="O382" s="810"/>
      <c r="P382" s="811"/>
      <c r="Q382" s="810"/>
      <c r="R382" s="810"/>
      <c r="S382" s="810"/>
      <c r="T382" s="810"/>
      <c r="U382" s="810"/>
      <c r="V382" s="810"/>
      <c r="W382" s="810"/>
      <c r="X382" s="810"/>
      <c r="Y382" s="810"/>
      <c r="Z382" s="810"/>
    </row>
    <row r="383">
      <c r="A383" s="810"/>
      <c r="B383" s="810"/>
      <c r="C383" s="810"/>
      <c r="D383" s="810"/>
      <c r="E383" s="810"/>
      <c r="F383" s="810"/>
      <c r="G383" s="810"/>
      <c r="H383" s="810"/>
      <c r="I383" s="810"/>
      <c r="J383" s="810"/>
      <c r="K383" s="810"/>
      <c r="L383" s="810"/>
      <c r="M383" s="810"/>
      <c r="N383" s="810"/>
      <c r="O383" s="810"/>
      <c r="P383" s="811"/>
      <c r="Q383" s="810"/>
      <c r="R383" s="810"/>
      <c r="S383" s="810"/>
      <c r="T383" s="810"/>
      <c r="U383" s="810"/>
      <c r="V383" s="810"/>
      <c r="W383" s="810"/>
      <c r="X383" s="810"/>
      <c r="Y383" s="810"/>
      <c r="Z383" s="810"/>
    </row>
    <row r="384">
      <c r="A384" s="810"/>
      <c r="B384" s="810"/>
      <c r="C384" s="810"/>
      <c r="D384" s="810"/>
      <c r="E384" s="810"/>
      <c r="F384" s="810"/>
      <c r="G384" s="810"/>
      <c r="H384" s="810"/>
      <c r="I384" s="810"/>
      <c r="J384" s="810"/>
      <c r="K384" s="810"/>
      <c r="L384" s="810"/>
      <c r="M384" s="810"/>
      <c r="N384" s="810"/>
      <c r="O384" s="810"/>
      <c r="P384" s="811"/>
      <c r="Q384" s="810"/>
      <c r="R384" s="810"/>
      <c r="S384" s="810"/>
      <c r="T384" s="810"/>
      <c r="U384" s="810"/>
      <c r="V384" s="810"/>
      <c r="W384" s="810"/>
      <c r="X384" s="810"/>
      <c r="Y384" s="810"/>
      <c r="Z384" s="810"/>
    </row>
    <row r="385">
      <c r="A385" s="810"/>
      <c r="B385" s="810"/>
      <c r="C385" s="810"/>
      <c r="D385" s="810"/>
      <c r="E385" s="810"/>
      <c r="F385" s="810"/>
      <c r="G385" s="810"/>
      <c r="H385" s="810"/>
      <c r="I385" s="810"/>
      <c r="J385" s="810"/>
      <c r="K385" s="810"/>
      <c r="L385" s="810"/>
      <c r="M385" s="810"/>
      <c r="N385" s="810"/>
      <c r="O385" s="810"/>
      <c r="P385" s="811"/>
      <c r="Q385" s="810"/>
      <c r="R385" s="810"/>
      <c r="S385" s="810"/>
      <c r="T385" s="810"/>
      <c r="U385" s="810"/>
      <c r="V385" s="810"/>
      <c r="W385" s="810"/>
      <c r="X385" s="810"/>
      <c r="Y385" s="810"/>
      <c r="Z385" s="810"/>
    </row>
    <row r="386">
      <c r="A386" s="810"/>
      <c r="B386" s="810"/>
      <c r="C386" s="810"/>
      <c r="D386" s="810"/>
      <c r="E386" s="810"/>
      <c r="F386" s="810"/>
      <c r="G386" s="810"/>
      <c r="H386" s="810"/>
      <c r="I386" s="810"/>
      <c r="J386" s="810"/>
      <c r="K386" s="810"/>
      <c r="L386" s="810"/>
      <c r="M386" s="810"/>
      <c r="N386" s="810"/>
      <c r="O386" s="810"/>
      <c r="P386" s="811"/>
      <c r="Q386" s="810"/>
      <c r="R386" s="810"/>
      <c r="S386" s="810"/>
      <c r="T386" s="810"/>
      <c r="U386" s="810"/>
      <c r="V386" s="810"/>
      <c r="W386" s="810"/>
      <c r="X386" s="810"/>
      <c r="Y386" s="810"/>
      <c r="Z386" s="810"/>
    </row>
    <row r="387">
      <c r="A387" s="810"/>
      <c r="B387" s="810"/>
      <c r="C387" s="810"/>
      <c r="D387" s="810"/>
      <c r="E387" s="810"/>
      <c r="F387" s="810"/>
      <c r="G387" s="810"/>
      <c r="H387" s="810"/>
      <c r="I387" s="810"/>
      <c r="J387" s="810"/>
      <c r="K387" s="810"/>
      <c r="L387" s="810"/>
      <c r="M387" s="810"/>
      <c r="N387" s="810"/>
      <c r="O387" s="810"/>
      <c r="P387" s="811"/>
      <c r="Q387" s="810"/>
      <c r="R387" s="810"/>
      <c r="S387" s="810"/>
      <c r="T387" s="810"/>
      <c r="U387" s="810"/>
      <c r="V387" s="810"/>
      <c r="W387" s="810"/>
      <c r="X387" s="810"/>
      <c r="Y387" s="810"/>
      <c r="Z387" s="810"/>
    </row>
    <row r="388">
      <c r="A388" s="810"/>
      <c r="B388" s="810"/>
      <c r="C388" s="810"/>
      <c r="D388" s="810"/>
      <c r="E388" s="810"/>
      <c r="F388" s="810"/>
      <c r="G388" s="810"/>
      <c r="H388" s="810"/>
      <c r="I388" s="810"/>
      <c r="J388" s="810"/>
      <c r="K388" s="810"/>
      <c r="L388" s="810"/>
      <c r="M388" s="810"/>
      <c r="N388" s="810"/>
      <c r="O388" s="810"/>
      <c r="P388" s="811"/>
      <c r="Q388" s="810"/>
      <c r="R388" s="810"/>
      <c r="S388" s="810"/>
      <c r="T388" s="810"/>
      <c r="U388" s="810"/>
      <c r="V388" s="810"/>
      <c r="W388" s="810"/>
      <c r="X388" s="810"/>
      <c r="Y388" s="810"/>
      <c r="Z388" s="810"/>
    </row>
    <row r="389">
      <c r="A389" s="810"/>
      <c r="B389" s="810"/>
      <c r="C389" s="810"/>
      <c r="D389" s="810"/>
      <c r="E389" s="810"/>
      <c r="F389" s="810"/>
      <c r="G389" s="810"/>
      <c r="H389" s="810"/>
      <c r="I389" s="810"/>
      <c r="J389" s="810"/>
      <c r="K389" s="810"/>
      <c r="L389" s="810"/>
      <c r="M389" s="810"/>
      <c r="N389" s="810"/>
      <c r="O389" s="810"/>
      <c r="P389" s="811"/>
      <c r="Q389" s="810"/>
      <c r="R389" s="810"/>
      <c r="S389" s="810"/>
      <c r="T389" s="810"/>
      <c r="U389" s="810"/>
      <c r="V389" s="810"/>
      <c r="W389" s="810"/>
      <c r="X389" s="810"/>
      <c r="Y389" s="810"/>
      <c r="Z389" s="810"/>
    </row>
    <row r="390">
      <c r="A390" s="810"/>
      <c r="B390" s="810"/>
      <c r="C390" s="810"/>
      <c r="D390" s="810"/>
      <c r="E390" s="810"/>
      <c r="F390" s="810"/>
      <c r="G390" s="810"/>
      <c r="H390" s="810"/>
      <c r="I390" s="810"/>
      <c r="J390" s="810"/>
      <c r="K390" s="810"/>
      <c r="L390" s="810"/>
      <c r="M390" s="810"/>
      <c r="N390" s="810"/>
      <c r="O390" s="810"/>
      <c r="P390" s="811"/>
      <c r="Q390" s="810"/>
      <c r="R390" s="810"/>
      <c r="S390" s="810"/>
      <c r="T390" s="810"/>
      <c r="U390" s="810"/>
      <c r="V390" s="810"/>
      <c r="W390" s="810"/>
      <c r="X390" s="810"/>
      <c r="Y390" s="810"/>
      <c r="Z390" s="810"/>
    </row>
    <row r="391">
      <c r="A391" s="810"/>
      <c r="B391" s="810"/>
      <c r="C391" s="810"/>
      <c r="D391" s="810"/>
      <c r="E391" s="810"/>
      <c r="F391" s="810"/>
      <c r="G391" s="810"/>
      <c r="H391" s="810"/>
      <c r="I391" s="810"/>
      <c r="J391" s="810"/>
      <c r="K391" s="810"/>
      <c r="L391" s="810"/>
      <c r="M391" s="810"/>
      <c r="N391" s="810"/>
      <c r="O391" s="810"/>
      <c r="P391" s="811"/>
      <c r="Q391" s="810"/>
      <c r="R391" s="810"/>
      <c r="S391" s="810"/>
      <c r="T391" s="810"/>
      <c r="U391" s="810"/>
      <c r="V391" s="810"/>
      <c r="W391" s="810"/>
      <c r="X391" s="810"/>
      <c r="Y391" s="810"/>
      <c r="Z391" s="810"/>
    </row>
    <row r="392">
      <c r="A392" s="810"/>
      <c r="B392" s="810"/>
      <c r="C392" s="810"/>
      <c r="D392" s="810"/>
      <c r="E392" s="810"/>
      <c r="F392" s="810"/>
      <c r="G392" s="810"/>
      <c r="H392" s="810"/>
      <c r="I392" s="810"/>
      <c r="J392" s="810"/>
      <c r="K392" s="810"/>
      <c r="L392" s="810"/>
      <c r="M392" s="810"/>
      <c r="N392" s="810"/>
      <c r="O392" s="810"/>
      <c r="P392" s="811"/>
      <c r="Q392" s="810"/>
      <c r="R392" s="810"/>
      <c r="S392" s="810"/>
      <c r="T392" s="810"/>
      <c r="U392" s="810"/>
      <c r="V392" s="810"/>
      <c r="W392" s="810"/>
      <c r="X392" s="810"/>
      <c r="Y392" s="810"/>
      <c r="Z392" s="810"/>
    </row>
    <row r="393">
      <c r="A393" s="810"/>
      <c r="B393" s="810"/>
      <c r="C393" s="810"/>
      <c r="D393" s="810"/>
      <c r="E393" s="810"/>
      <c r="F393" s="810"/>
      <c r="G393" s="810"/>
      <c r="H393" s="810"/>
      <c r="I393" s="810"/>
      <c r="J393" s="810"/>
      <c r="K393" s="810"/>
      <c r="L393" s="810"/>
      <c r="M393" s="810"/>
      <c r="N393" s="810"/>
      <c r="O393" s="810"/>
      <c r="P393" s="811"/>
      <c r="Q393" s="810"/>
      <c r="R393" s="810"/>
      <c r="S393" s="810"/>
      <c r="T393" s="810"/>
      <c r="U393" s="810"/>
      <c r="V393" s="810"/>
      <c r="W393" s="810"/>
      <c r="X393" s="810"/>
      <c r="Y393" s="810"/>
      <c r="Z393" s="810"/>
    </row>
    <row r="394">
      <c r="A394" s="810"/>
      <c r="B394" s="810"/>
      <c r="C394" s="810"/>
      <c r="D394" s="810"/>
      <c r="E394" s="810"/>
      <c r="F394" s="810"/>
      <c r="G394" s="810"/>
      <c r="H394" s="810"/>
      <c r="I394" s="810"/>
      <c r="J394" s="810"/>
      <c r="K394" s="810"/>
      <c r="L394" s="810"/>
      <c r="M394" s="810"/>
      <c r="N394" s="810"/>
      <c r="O394" s="810"/>
      <c r="P394" s="811"/>
      <c r="Q394" s="810"/>
      <c r="R394" s="810"/>
      <c r="S394" s="810"/>
      <c r="T394" s="810"/>
      <c r="U394" s="810"/>
      <c r="V394" s="810"/>
      <c r="W394" s="810"/>
      <c r="X394" s="810"/>
      <c r="Y394" s="810"/>
      <c r="Z394" s="810"/>
    </row>
    <row r="395">
      <c r="A395" s="810"/>
      <c r="B395" s="810"/>
      <c r="C395" s="810"/>
      <c r="D395" s="810"/>
      <c r="E395" s="810"/>
      <c r="F395" s="810"/>
      <c r="G395" s="810"/>
      <c r="H395" s="810"/>
      <c r="I395" s="810"/>
      <c r="J395" s="810"/>
      <c r="K395" s="810"/>
      <c r="L395" s="810"/>
      <c r="M395" s="810"/>
      <c r="N395" s="810"/>
      <c r="O395" s="810"/>
      <c r="P395" s="811"/>
      <c r="Q395" s="810"/>
      <c r="R395" s="810"/>
      <c r="S395" s="810"/>
      <c r="T395" s="810"/>
      <c r="U395" s="810"/>
      <c r="V395" s="810"/>
      <c r="W395" s="810"/>
      <c r="X395" s="810"/>
      <c r="Y395" s="810"/>
      <c r="Z395" s="810"/>
    </row>
    <row r="396">
      <c r="A396" s="810"/>
      <c r="B396" s="810"/>
      <c r="C396" s="810"/>
      <c r="D396" s="810"/>
      <c r="E396" s="810"/>
      <c r="F396" s="810"/>
      <c r="G396" s="810"/>
      <c r="H396" s="810"/>
      <c r="I396" s="810"/>
      <c r="J396" s="810"/>
      <c r="K396" s="810"/>
      <c r="L396" s="810"/>
      <c r="M396" s="810"/>
      <c r="N396" s="810"/>
      <c r="O396" s="810"/>
      <c r="P396" s="811"/>
      <c r="Q396" s="810"/>
      <c r="R396" s="810"/>
      <c r="S396" s="810"/>
      <c r="T396" s="810"/>
      <c r="U396" s="810"/>
      <c r="V396" s="810"/>
      <c r="W396" s="810"/>
      <c r="X396" s="810"/>
      <c r="Y396" s="810"/>
      <c r="Z396" s="810"/>
    </row>
    <row r="397">
      <c r="A397" s="810"/>
      <c r="B397" s="810"/>
      <c r="C397" s="810"/>
      <c r="D397" s="810"/>
      <c r="E397" s="810"/>
      <c r="F397" s="810"/>
      <c r="G397" s="810"/>
      <c r="H397" s="810"/>
      <c r="I397" s="810"/>
      <c r="J397" s="810"/>
      <c r="K397" s="810"/>
      <c r="L397" s="810"/>
      <c r="M397" s="810"/>
      <c r="N397" s="810"/>
      <c r="O397" s="810"/>
      <c r="P397" s="811"/>
      <c r="Q397" s="810"/>
      <c r="R397" s="810"/>
      <c r="S397" s="810"/>
      <c r="T397" s="810"/>
      <c r="U397" s="810"/>
      <c r="V397" s="810"/>
      <c r="W397" s="810"/>
      <c r="X397" s="810"/>
      <c r="Y397" s="810"/>
      <c r="Z397" s="810"/>
    </row>
    <row r="398">
      <c r="A398" s="810"/>
      <c r="B398" s="810"/>
      <c r="C398" s="810"/>
      <c r="D398" s="810"/>
      <c r="E398" s="810"/>
      <c r="F398" s="810"/>
      <c r="G398" s="810"/>
      <c r="H398" s="810"/>
      <c r="I398" s="810"/>
      <c r="J398" s="810"/>
      <c r="K398" s="810"/>
      <c r="L398" s="810"/>
      <c r="M398" s="810"/>
      <c r="N398" s="810"/>
      <c r="O398" s="810"/>
      <c r="P398" s="811"/>
      <c r="Q398" s="810"/>
      <c r="R398" s="810"/>
      <c r="S398" s="810"/>
      <c r="T398" s="810"/>
      <c r="U398" s="810"/>
      <c r="V398" s="810"/>
      <c r="W398" s="810"/>
      <c r="X398" s="810"/>
      <c r="Y398" s="810"/>
      <c r="Z398" s="810"/>
    </row>
    <row r="399">
      <c r="A399" s="810"/>
      <c r="B399" s="810"/>
      <c r="C399" s="810"/>
      <c r="D399" s="810"/>
      <c r="E399" s="810"/>
      <c r="F399" s="810"/>
      <c r="G399" s="810"/>
      <c r="H399" s="810"/>
      <c r="I399" s="810"/>
      <c r="J399" s="810"/>
      <c r="K399" s="810"/>
      <c r="L399" s="810"/>
      <c r="M399" s="810"/>
      <c r="N399" s="810"/>
      <c r="O399" s="810"/>
      <c r="P399" s="811"/>
      <c r="Q399" s="810"/>
      <c r="R399" s="810"/>
      <c r="S399" s="810"/>
      <c r="T399" s="810"/>
      <c r="U399" s="810"/>
      <c r="V399" s="810"/>
      <c r="W399" s="810"/>
      <c r="X399" s="810"/>
      <c r="Y399" s="810"/>
      <c r="Z399" s="810"/>
    </row>
    <row r="400">
      <c r="A400" s="810"/>
      <c r="B400" s="810"/>
      <c r="C400" s="810"/>
      <c r="D400" s="810"/>
      <c r="E400" s="810"/>
      <c r="F400" s="810"/>
      <c r="G400" s="810"/>
      <c r="H400" s="810"/>
      <c r="I400" s="810"/>
      <c r="J400" s="810"/>
      <c r="K400" s="810"/>
      <c r="L400" s="810"/>
      <c r="M400" s="810"/>
      <c r="N400" s="810"/>
      <c r="O400" s="810"/>
      <c r="P400" s="811"/>
      <c r="Q400" s="810"/>
      <c r="R400" s="810"/>
      <c r="S400" s="810"/>
      <c r="T400" s="810"/>
      <c r="U400" s="810"/>
      <c r="V400" s="810"/>
      <c r="W400" s="810"/>
      <c r="X400" s="810"/>
      <c r="Y400" s="810"/>
      <c r="Z400" s="810"/>
    </row>
    <row r="401">
      <c r="A401" s="810"/>
      <c r="B401" s="810"/>
      <c r="C401" s="810"/>
      <c r="D401" s="810"/>
      <c r="E401" s="810"/>
      <c r="F401" s="810"/>
      <c r="G401" s="810"/>
      <c r="H401" s="810"/>
      <c r="I401" s="810"/>
      <c r="J401" s="810"/>
      <c r="K401" s="810"/>
      <c r="L401" s="810"/>
      <c r="M401" s="810"/>
      <c r="N401" s="810"/>
      <c r="O401" s="810"/>
      <c r="P401" s="811"/>
      <c r="Q401" s="810"/>
      <c r="R401" s="810"/>
      <c r="S401" s="810"/>
      <c r="T401" s="810"/>
      <c r="U401" s="810"/>
      <c r="V401" s="810"/>
      <c r="W401" s="810"/>
      <c r="X401" s="810"/>
      <c r="Y401" s="810"/>
      <c r="Z401" s="810"/>
    </row>
    <row r="402">
      <c r="A402" s="810"/>
      <c r="B402" s="810"/>
      <c r="C402" s="810"/>
      <c r="D402" s="810"/>
      <c r="E402" s="810"/>
      <c r="F402" s="810"/>
      <c r="G402" s="810"/>
      <c r="H402" s="810"/>
      <c r="I402" s="810"/>
      <c r="J402" s="810"/>
      <c r="K402" s="810"/>
      <c r="L402" s="810"/>
      <c r="M402" s="810"/>
      <c r="N402" s="810"/>
      <c r="O402" s="810"/>
      <c r="P402" s="811"/>
      <c r="Q402" s="810"/>
      <c r="R402" s="810"/>
      <c r="S402" s="810"/>
      <c r="T402" s="810"/>
      <c r="U402" s="810"/>
      <c r="V402" s="810"/>
      <c r="W402" s="810"/>
      <c r="X402" s="810"/>
      <c r="Y402" s="810"/>
      <c r="Z402" s="810"/>
    </row>
    <row r="403">
      <c r="A403" s="810"/>
      <c r="B403" s="810"/>
      <c r="C403" s="810"/>
      <c r="D403" s="810"/>
      <c r="E403" s="810"/>
      <c r="F403" s="810"/>
      <c r="G403" s="810"/>
      <c r="H403" s="810"/>
      <c r="I403" s="810"/>
      <c r="J403" s="810"/>
      <c r="K403" s="810"/>
      <c r="L403" s="810"/>
      <c r="M403" s="810"/>
      <c r="N403" s="810"/>
      <c r="O403" s="810"/>
      <c r="P403" s="811"/>
      <c r="Q403" s="810"/>
      <c r="R403" s="810"/>
      <c r="S403" s="810"/>
      <c r="T403" s="810"/>
      <c r="U403" s="810"/>
      <c r="V403" s="810"/>
      <c r="W403" s="810"/>
      <c r="X403" s="810"/>
      <c r="Y403" s="810"/>
      <c r="Z403" s="810"/>
    </row>
    <row r="404">
      <c r="A404" s="810"/>
      <c r="B404" s="810"/>
      <c r="C404" s="810"/>
      <c r="D404" s="810"/>
      <c r="E404" s="810"/>
      <c r="F404" s="810"/>
      <c r="G404" s="810"/>
      <c r="H404" s="810"/>
      <c r="I404" s="810"/>
      <c r="J404" s="810"/>
      <c r="K404" s="810"/>
      <c r="L404" s="810"/>
      <c r="M404" s="810"/>
      <c r="N404" s="810"/>
      <c r="O404" s="810"/>
      <c r="P404" s="811"/>
      <c r="Q404" s="810"/>
      <c r="R404" s="810"/>
      <c r="S404" s="810"/>
      <c r="T404" s="810"/>
      <c r="U404" s="810"/>
      <c r="V404" s="810"/>
      <c r="W404" s="810"/>
      <c r="X404" s="810"/>
      <c r="Y404" s="810"/>
      <c r="Z404" s="810"/>
    </row>
    <row r="405">
      <c r="A405" s="810"/>
      <c r="B405" s="810"/>
      <c r="C405" s="810"/>
      <c r="D405" s="810"/>
      <c r="E405" s="810"/>
      <c r="F405" s="810"/>
      <c r="G405" s="810"/>
      <c r="H405" s="810"/>
      <c r="I405" s="810"/>
      <c r="J405" s="810"/>
      <c r="K405" s="810"/>
      <c r="L405" s="810"/>
      <c r="M405" s="810"/>
      <c r="N405" s="810"/>
      <c r="O405" s="810"/>
      <c r="P405" s="811"/>
      <c r="Q405" s="810"/>
      <c r="R405" s="810"/>
      <c r="S405" s="810"/>
      <c r="T405" s="810"/>
      <c r="U405" s="810"/>
      <c r="V405" s="810"/>
      <c r="W405" s="810"/>
      <c r="X405" s="810"/>
      <c r="Y405" s="810"/>
      <c r="Z405" s="810"/>
    </row>
    <row r="406">
      <c r="A406" s="810"/>
      <c r="B406" s="810"/>
      <c r="C406" s="810"/>
      <c r="D406" s="810"/>
      <c r="E406" s="810"/>
      <c r="F406" s="810"/>
      <c r="G406" s="810"/>
      <c r="H406" s="810"/>
      <c r="I406" s="810"/>
      <c r="J406" s="810"/>
      <c r="K406" s="810"/>
      <c r="L406" s="810"/>
      <c r="M406" s="810"/>
      <c r="N406" s="810"/>
      <c r="O406" s="810"/>
      <c r="P406" s="811"/>
      <c r="Q406" s="810"/>
      <c r="R406" s="810"/>
      <c r="S406" s="810"/>
      <c r="T406" s="810"/>
      <c r="U406" s="810"/>
      <c r="V406" s="810"/>
      <c r="W406" s="810"/>
      <c r="X406" s="810"/>
      <c r="Y406" s="810"/>
      <c r="Z406" s="810"/>
    </row>
    <row r="407">
      <c r="A407" s="810"/>
      <c r="B407" s="810"/>
      <c r="C407" s="810"/>
      <c r="D407" s="810"/>
      <c r="E407" s="810"/>
      <c r="F407" s="810"/>
      <c r="G407" s="810"/>
      <c r="H407" s="810"/>
      <c r="I407" s="810"/>
      <c r="J407" s="810"/>
      <c r="K407" s="810"/>
      <c r="L407" s="810"/>
      <c r="M407" s="810"/>
      <c r="N407" s="810"/>
      <c r="O407" s="810"/>
      <c r="P407" s="811"/>
      <c r="Q407" s="810"/>
      <c r="R407" s="810"/>
      <c r="S407" s="810"/>
      <c r="T407" s="810"/>
      <c r="U407" s="810"/>
      <c r="V407" s="810"/>
      <c r="W407" s="810"/>
      <c r="X407" s="810"/>
      <c r="Y407" s="810"/>
      <c r="Z407" s="810"/>
    </row>
    <row r="408">
      <c r="A408" s="810"/>
      <c r="B408" s="810"/>
      <c r="C408" s="810"/>
      <c r="D408" s="810"/>
      <c r="E408" s="810"/>
      <c r="F408" s="810"/>
      <c r="G408" s="810"/>
      <c r="H408" s="810"/>
      <c r="I408" s="810"/>
      <c r="J408" s="810"/>
      <c r="K408" s="810"/>
      <c r="L408" s="810"/>
      <c r="M408" s="810"/>
      <c r="N408" s="810"/>
      <c r="O408" s="810"/>
      <c r="P408" s="811"/>
      <c r="Q408" s="810"/>
      <c r="R408" s="810"/>
      <c r="S408" s="810"/>
      <c r="T408" s="810"/>
      <c r="U408" s="810"/>
      <c r="V408" s="810"/>
      <c r="W408" s="810"/>
      <c r="X408" s="810"/>
      <c r="Y408" s="810"/>
      <c r="Z408" s="810"/>
    </row>
    <row r="409">
      <c r="A409" s="810"/>
      <c r="B409" s="810"/>
      <c r="C409" s="810"/>
      <c r="D409" s="810"/>
      <c r="E409" s="810"/>
      <c r="F409" s="810"/>
      <c r="G409" s="810"/>
      <c r="H409" s="810"/>
      <c r="I409" s="810"/>
      <c r="J409" s="810"/>
      <c r="K409" s="810"/>
      <c r="L409" s="810"/>
      <c r="M409" s="810"/>
      <c r="N409" s="810"/>
      <c r="O409" s="810"/>
      <c r="P409" s="811"/>
      <c r="Q409" s="810"/>
      <c r="R409" s="810"/>
      <c r="S409" s="810"/>
      <c r="T409" s="810"/>
      <c r="U409" s="810"/>
      <c r="V409" s="810"/>
      <c r="W409" s="810"/>
      <c r="X409" s="810"/>
      <c r="Y409" s="810"/>
      <c r="Z409" s="810"/>
    </row>
    <row r="410">
      <c r="A410" s="810"/>
      <c r="B410" s="810"/>
      <c r="C410" s="810"/>
      <c r="D410" s="810"/>
      <c r="E410" s="810"/>
      <c r="F410" s="810"/>
      <c r="G410" s="810"/>
      <c r="H410" s="810"/>
      <c r="I410" s="810"/>
      <c r="J410" s="810"/>
      <c r="K410" s="810"/>
      <c r="L410" s="810"/>
      <c r="M410" s="810"/>
      <c r="N410" s="810"/>
      <c r="O410" s="810"/>
      <c r="P410" s="811"/>
      <c r="Q410" s="810"/>
      <c r="R410" s="810"/>
      <c r="S410" s="810"/>
      <c r="T410" s="810"/>
      <c r="U410" s="810"/>
      <c r="V410" s="810"/>
      <c r="W410" s="810"/>
      <c r="X410" s="810"/>
      <c r="Y410" s="810"/>
      <c r="Z410" s="810"/>
    </row>
    <row r="411">
      <c r="A411" s="810"/>
      <c r="B411" s="810"/>
      <c r="C411" s="810"/>
      <c r="D411" s="810"/>
      <c r="E411" s="810"/>
      <c r="F411" s="810"/>
      <c r="G411" s="810"/>
      <c r="H411" s="810"/>
      <c r="I411" s="810"/>
      <c r="J411" s="810"/>
      <c r="K411" s="810"/>
      <c r="L411" s="810"/>
      <c r="M411" s="810"/>
      <c r="N411" s="810"/>
      <c r="O411" s="810"/>
      <c r="P411" s="811"/>
      <c r="Q411" s="810"/>
      <c r="R411" s="810"/>
      <c r="S411" s="810"/>
      <c r="T411" s="810"/>
      <c r="U411" s="810"/>
      <c r="V411" s="810"/>
      <c r="W411" s="810"/>
      <c r="X411" s="810"/>
      <c r="Y411" s="810"/>
      <c r="Z411" s="810"/>
    </row>
    <row r="412">
      <c r="A412" s="810"/>
      <c r="B412" s="810"/>
      <c r="C412" s="810"/>
      <c r="D412" s="810"/>
      <c r="E412" s="810"/>
      <c r="F412" s="810"/>
      <c r="G412" s="810"/>
      <c r="H412" s="810"/>
      <c r="I412" s="810"/>
      <c r="J412" s="810"/>
      <c r="K412" s="810"/>
      <c r="L412" s="810"/>
      <c r="M412" s="810"/>
      <c r="N412" s="810"/>
      <c r="O412" s="810"/>
      <c r="P412" s="811"/>
      <c r="Q412" s="810"/>
      <c r="R412" s="810"/>
      <c r="S412" s="810"/>
      <c r="T412" s="810"/>
      <c r="U412" s="810"/>
      <c r="V412" s="810"/>
      <c r="W412" s="810"/>
      <c r="X412" s="810"/>
      <c r="Y412" s="810"/>
      <c r="Z412" s="810"/>
    </row>
    <row r="413">
      <c r="A413" s="810"/>
      <c r="B413" s="810"/>
      <c r="C413" s="810"/>
      <c r="D413" s="810"/>
      <c r="E413" s="810"/>
      <c r="F413" s="810"/>
      <c r="G413" s="810"/>
      <c r="H413" s="810"/>
      <c r="I413" s="810"/>
      <c r="J413" s="810"/>
      <c r="K413" s="810"/>
      <c r="L413" s="810"/>
      <c r="M413" s="810"/>
      <c r="N413" s="810"/>
      <c r="O413" s="810"/>
      <c r="P413" s="811"/>
      <c r="Q413" s="810"/>
      <c r="R413" s="810"/>
      <c r="S413" s="810"/>
      <c r="T413" s="810"/>
      <c r="U413" s="810"/>
      <c r="V413" s="810"/>
      <c r="W413" s="810"/>
      <c r="X413" s="810"/>
      <c r="Y413" s="810"/>
      <c r="Z413" s="810"/>
    </row>
    <row r="414">
      <c r="A414" s="810"/>
      <c r="B414" s="810"/>
      <c r="C414" s="810"/>
      <c r="D414" s="810"/>
      <c r="E414" s="810"/>
      <c r="F414" s="810"/>
      <c r="G414" s="810"/>
      <c r="H414" s="810"/>
      <c r="I414" s="810"/>
      <c r="J414" s="810"/>
      <c r="K414" s="810"/>
      <c r="L414" s="810"/>
      <c r="M414" s="810"/>
      <c r="N414" s="810"/>
      <c r="O414" s="810"/>
      <c r="P414" s="811"/>
      <c r="Q414" s="810"/>
      <c r="R414" s="810"/>
      <c r="S414" s="810"/>
      <c r="T414" s="810"/>
      <c r="U414" s="810"/>
      <c r="V414" s="810"/>
      <c r="W414" s="810"/>
      <c r="X414" s="810"/>
      <c r="Y414" s="810"/>
      <c r="Z414" s="810"/>
    </row>
    <row r="415">
      <c r="A415" s="810"/>
      <c r="B415" s="810"/>
      <c r="C415" s="810"/>
      <c r="D415" s="810"/>
      <c r="E415" s="810"/>
      <c r="F415" s="810"/>
      <c r="G415" s="810"/>
      <c r="H415" s="810"/>
      <c r="I415" s="810"/>
      <c r="J415" s="810"/>
      <c r="K415" s="810"/>
      <c r="L415" s="810"/>
      <c r="M415" s="810"/>
      <c r="N415" s="810"/>
      <c r="O415" s="810"/>
      <c r="P415" s="811"/>
      <c r="Q415" s="810"/>
      <c r="R415" s="810"/>
      <c r="S415" s="810"/>
      <c r="T415" s="810"/>
      <c r="U415" s="810"/>
      <c r="V415" s="810"/>
      <c r="W415" s="810"/>
      <c r="X415" s="810"/>
      <c r="Y415" s="810"/>
      <c r="Z415" s="810"/>
    </row>
    <row r="416">
      <c r="A416" s="810"/>
      <c r="B416" s="810"/>
      <c r="C416" s="810"/>
      <c r="D416" s="810"/>
      <c r="E416" s="810"/>
      <c r="F416" s="810"/>
      <c r="G416" s="810"/>
      <c r="H416" s="810"/>
      <c r="I416" s="810"/>
      <c r="J416" s="810"/>
      <c r="K416" s="810"/>
      <c r="L416" s="810"/>
      <c r="M416" s="810"/>
      <c r="N416" s="810"/>
      <c r="O416" s="810"/>
      <c r="P416" s="811"/>
      <c r="Q416" s="810"/>
      <c r="R416" s="810"/>
      <c r="S416" s="810"/>
      <c r="T416" s="810"/>
      <c r="U416" s="810"/>
      <c r="V416" s="810"/>
      <c r="W416" s="810"/>
      <c r="X416" s="810"/>
      <c r="Y416" s="810"/>
      <c r="Z416" s="810"/>
    </row>
    <row r="417">
      <c r="A417" s="810"/>
      <c r="B417" s="810"/>
      <c r="C417" s="810"/>
      <c r="D417" s="810"/>
      <c r="E417" s="810"/>
      <c r="F417" s="810"/>
      <c r="G417" s="810"/>
      <c r="H417" s="810"/>
      <c r="I417" s="810"/>
      <c r="J417" s="810"/>
      <c r="K417" s="810"/>
      <c r="L417" s="810"/>
      <c r="M417" s="810"/>
      <c r="N417" s="810"/>
      <c r="O417" s="810"/>
      <c r="P417" s="811"/>
      <c r="Q417" s="810"/>
      <c r="R417" s="810"/>
      <c r="S417" s="810"/>
      <c r="T417" s="810"/>
      <c r="U417" s="810"/>
      <c r="V417" s="810"/>
      <c r="W417" s="810"/>
      <c r="X417" s="810"/>
      <c r="Y417" s="810"/>
      <c r="Z417" s="810"/>
    </row>
    <row r="418">
      <c r="A418" s="810"/>
      <c r="B418" s="810"/>
      <c r="C418" s="810"/>
      <c r="D418" s="810"/>
      <c r="E418" s="810"/>
      <c r="F418" s="810"/>
      <c r="G418" s="810"/>
      <c r="H418" s="810"/>
      <c r="I418" s="810"/>
      <c r="J418" s="810"/>
      <c r="K418" s="810"/>
      <c r="L418" s="810"/>
      <c r="M418" s="810"/>
      <c r="N418" s="810"/>
      <c r="O418" s="810"/>
      <c r="P418" s="811"/>
      <c r="Q418" s="810"/>
      <c r="R418" s="810"/>
      <c r="S418" s="810"/>
      <c r="T418" s="810"/>
      <c r="U418" s="810"/>
      <c r="V418" s="810"/>
      <c r="W418" s="810"/>
      <c r="X418" s="810"/>
      <c r="Y418" s="810"/>
      <c r="Z418" s="810"/>
    </row>
    <row r="419">
      <c r="A419" s="810"/>
      <c r="B419" s="810"/>
      <c r="C419" s="810"/>
      <c r="D419" s="810"/>
      <c r="E419" s="810"/>
      <c r="F419" s="810"/>
      <c r="G419" s="810"/>
      <c r="H419" s="810"/>
      <c r="I419" s="810"/>
      <c r="J419" s="810"/>
      <c r="K419" s="810"/>
      <c r="L419" s="810"/>
      <c r="M419" s="810"/>
      <c r="N419" s="810"/>
      <c r="O419" s="810"/>
      <c r="P419" s="811"/>
      <c r="Q419" s="810"/>
      <c r="R419" s="810"/>
      <c r="S419" s="810"/>
      <c r="T419" s="810"/>
      <c r="U419" s="810"/>
      <c r="V419" s="810"/>
      <c r="W419" s="810"/>
      <c r="X419" s="810"/>
      <c r="Y419" s="810"/>
      <c r="Z419" s="810"/>
    </row>
    <row r="420">
      <c r="A420" s="810"/>
      <c r="B420" s="810"/>
      <c r="C420" s="810"/>
      <c r="D420" s="810"/>
      <c r="E420" s="810"/>
      <c r="F420" s="810"/>
      <c r="G420" s="810"/>
      <c r="H420" s="810"/>
      <c r="I420" s="810"/>
      <c r="J420" s="810"/>
      <c r="K420" s="810"/>
      <c r="L420" s="810"/>
      <c r="M420" s="810"/>
      <c r="N420" s="810"/>
      <c r="O420" s="810"/>
      <c r="P420" s="811"/>
      <c r="Q420" s="810"/>
      <c r="R420" s="810"/>
      <c r="S420" s="810"/>
      <c r="T420" s="810"/>
      <c r="U420" s="810"/>
      <c r="V420" s="810"/>
      <c r="W420" s="810"/>
      <c r="X420" s="810"/>
      <c r="Y420" s="810"/>
      <c r="Z420" s="810"/>
    </row>
    <row r="421">
      <c r="A421" s="810"/>
      <c r="B421" s="810"/>
      <c r="C421" s="810"/>
      <c r="D421" s="810"/>
      <c r="E421" s="810"/>
      <c r="F421" s="810"/>
      <c r="G421" s="810"/>
      <c r="H421" s="810"/>
      <c r="I421" s="810"/>
      <c r="J421" s="810"/>
      <c r="K421" s="810"/>
      <c r="L421" s="810"/>
      <c r="M421" s="810"/>
      <c r="N421" s="810"/>
      <c r="O421" s="810"/>
      <c r="P421" s="811"/>
      <c r="Q421" s="810"/>
      <c r="R421" s="810"/>
      <c r="S421" s="810"/>
      <c r="T421" s="810"/>
      <c r="U421" s="810"/>
      <c r="V421" s="810"/>
      <c r="W421" s="810"/>
      <c r="X421" s="810"/>
      <c r="Y421" s="810"/>
      <c r="Z421" s="810"/>
    </row>
    <row r="422">
      <c r="A422" s="810"/>
      <c r="B422" s="810"/>
      <c r="C422" s="810"/>
      <c r="D422" s="810"/>
      <c r="E422" s="810"/>
      <c r="F422" s="810"/>
      <c r="G422" s="810"/>
      <c r="H422" s="810"/>
      <c r="I422" s="810"/>
      <c r="J422" s="810"/>
      <c r="K422" s="810"/>
      <c r="L422" s="810"/>
      <c r="M422" s="810"/>
      <c r="N422" s="810"/>
      <c r="O422" s="810"/>
      <c r="P422" s="811"/>
      <c r="Q422" s="810"/>
      <c r="R422" s="810"/>
      <c r="S422" s="810"/>
      <c r="T422" s="810"/>
      <c r="U422" s="810"/>
      <c r="V422" s="810"/>
      <c r="W422" s="810"/>
      <c r="X422" s="810"/>
      <c r="Y422" s="810"/>
      <c r="Z422" s="810"/>
    </row>
    <row r="423">
      <c r="A423" s="810"/>
      <c r="B423" s="810"/>
      <c r="C423" s="810"/>
      <c r="D423" s="810"/>
      <c r="E423" s="810"/>
      <c r="F423" s="810"/>
      <c r="G423" s="810"/>
      <c r="H423" s="810"/>
      <c r="I423" s="810"/>
      <c r="J423" s="810"/>
      <c r="K423" s="810"/>
      <c r="L423" s="810"/>
      <c r="M423" s="810"/>
      <c r="N423" s="810"/>
      <c r="O423" s="810"/>
      <c r="P423" s="811"/>
      <c r="Q423" s="810"/>
      <c r="R423" s="810"/>
      <c r="S423" s="810"/>
      <c r="T423" s="810"/>
      <c r="U423" s="810"/>
      <c r="V423" s="810"/>
      <c r="W423" s="810"/>
      <c r="X423" s="810"/>
      <c r="Y423" s="810"/>
      <c r="Z423" s="810"/>
    </row>
    <row r="424">
      <c r="A424" s="810"/>
      <c r="B424" s="810"/>
      <c r="C424" s="810"/>
      <c r="D424" s="810"/>
      <c r="E424" s="810"/>
      <c r="F424" s="810"/>
      <c r="G424" s="810"/>
      <c r="H424" s="810"/>
      <c r="I424" s="810"/>
      <c r="J424" s="810"/>
      <c r="K424" s="810"/>
      <c r="L424" s="810"/>
      <c r="M424" s="810"/>
      <c r="N424" s="810"/>
      <c r="O424" s="810"/>
      <c r="P424" s="811"/>
      <c r="Q424" s="810"/>
      <c r="R424" s="810"/>
      <c r="S424" s="810"/>
      <c r="T424" s="810"/>
      <c r="U424" s="810"/>
      <c r="V424" s="810"/>
      <c r="W424" s="810"/>
      <c r="X424" s="810"/>
      <c r="Y424" s="810"/>
      <c r="Z424" s="810"/>
    </row>
    <row r="425">
      <c r="A425" s="810"/>
      <c r="B425" s="810"/>
      <c r="C425" s="810"/>
      <c r="D425" s="810"/>
      <c r="E425" s="810"/>
      <c r="F425" s="810"/>
      <c r="G425" s="810"/>
      <c r="H425" s="810"/>
      <c r="I425" s="810"/>
      <c r="J425" s="810"/>
      <c r="K425" s="810"/>
      <c r="L425" s="810"/>
      <c r="M425" s="810"/>
      <c r="N425" s="810"/>
      <c r="O425" s="810"/>
      <c r="P425" s="811"/>
      <c r="Q425" s="810"/>
      <c r="R425" s="810"/>
      <c r="S425" s="810"/>
      <c r="T425" s="810"/>
      <c r="U425" s="810"/>
      <c r="V425" s="810"/>
      <c r="W425" s="810"/>
      <c r="X425" s="810"/>
      <c r="Y425" s="810"/>
      <c r="Z425" s="810"/>
    </row>
    <row r="426">
      <c r="A426" s="810"/>
      <c r="B426" s="810"/>
      <c r="C426" s="810"/>
      <c r="D426" s="810"/>
      <c r="E426" s="810"/>
      <c r="F426" s="810"/>
      <c r="G426" s="810"/>
      <c r="H426" s="810"/>
      <c r="I426" s="810"/>
      <c r="J426" s="810"/>
      <c r="K426" s="810"/>
      <c r="L426" s="810"/>
      <c r="M426" s="810"/>
      <c r="N426" s="810"/>
      <c r="O426" s="810"/>
      <c r="P426" s="811"/>
      <c r="Q426" s="810"/>
      <c r="R426" s="810"/>
      <c r="S426" s="810"/>
      <c r="T426" s="810"/>
      <c r="U426" s="810"/>
      <c r="V426" s="810"/>
      <c r="W426" s="810"/>
      <c r="X426" s="810"/>
      <c r="Y426" s="810"/>
      <c r="Z426" s="810"/>
    </row>
    <row r="427">
      <c r="A427" s="810"/>
      <c r="B427" s="810"/>
      <c r="C427" s="810"/>
      <c r="D427" s="810"/>
      <c r="E427" s="810"/>
      <c r="F427" s="810"/>
      <c r="G427" s="810"/>
      <c r="H427" s="810"/>
      <c r="I427" s="810"/>
      <c r="J427" s="810"/>
      <c r="K427" s="810"/>
      <c r="L427" s="810"/>
      <c r="M427" s="810"/>
      <c r="N427" s="810"/>
      <c r="O427" s="810"/>
      <c r="P427" s="811"/>
      <c r="Q427" s="810"/>
      <c r="R427" s="810"/>
      <c r="S427" s="810"/>
      <c r="T427" s="810"/>
      <c r="U427" s="810"/>
      <c r="V427" s="810"/>
      <c r="W427" s="810"/>
      <c r="X427" s="810"/>
      <c r="Y427" s="810"/>
      <c r="Z427" s="810"/>
    </row>
    <row r="428">
      <c r="A428" s="810"/>
      <c r="B428" s="810"/>
      <c r="C428" s="810"/>
      <c r="D428" s="810"/>
      <c r="E428" s="810"/>
      <c r="F428" s="810"/>
      <c r="G428" s="810"/>
      <c r="H428" s="810"/>
      <c r="I428" s="810"/>
      <c r="J428" s="810"/>
      <c r="K428" s="810"/>
      <c r="L428" s="810"/>
      <c r="M428" s="810"/>
      <c r="N428" s="810"/>
      <c r="O428" s="810"/>
      <c r="P428" s="811"/>
      <c r="Q428" s="810"/>
      <c r="R428" s="810"/>
      <c r="S428" s="810"/>
      <c r="T428" s="810"/>
      <c r="U428" s="810"/>
      <c r="V428" s="810"/>
      <c r="W428" s="810"/>
      <c r="X428" s="810"/>
      <c r="Y428" s="810"/>
      <c r="Z428" s="810"/>
    </row>
    <row r="429">
      <c r="A429" s="810"/>
      <c r="B429" s="810"/>
      <c r="C429" s="810"/>
      <c r="D429" s="810"/>
      <c r="E429" s="810"/>
      <c r="F429" s="810"/>
      <c r="G429" s="810"/>
      <c r="H429" s="810"/>
      <c r="I429" s="810"/>
      <c r="J429" s="810"/>
      <c r="K429" s="810"/>
      <c r="L429" s="810"/>
      <c r="M429" s="810"/>
      <c r="N429" s="810"/>
      <c r="O429" s="810"/>
      <c r="P429" s="811"/>
      <c r="Q429" s="810"/>
      <c r="R429" s="810"/>
      <c r="S429" s="810"/>
      <c r="T429" s="810"/>
      <c r="U429" s="810"/>
      <c r="V429" s="810"/>
      <c r="W429" s="810"/>
      <c r="X429" s="810"/>
      <c r="Y429" s="810"/>
      <c r="Z429" s="810"/>
    </row>
    <row r="430">
      <c r="A430" s="810"/>
      <c r="B430" s="810"/>
      <c r="C430" s="810"/>
      <c r="D430" s="810"/>
      <c r="E430" s="810"/>
      <c r="F430" s="810"/>
      <c r="G430" s="810"/>
      <c r="H430" s="810"/>
      <c r="I430" s="810"/>
      <c r="J430" s="810"/>
      <c r="K430" s="810"/>
      <c r="L430" s="810"/>
      <c r="M430" s="810"/>
      <c r="N430" s="810"/>
      <c r="O430" s="810"/>
      <c r="P430" s="811"/>
      <c r="Q430" s="810"/>
      <c r="R430" s="810"/>
      <c r="S430" s="810"/>
      <c r="T430" s="810"/>
      <c r="U430" s="810"/>
      <c r="V430" s="810"/>
      <c r="W430" s="810"/>
      <c r="X430" s="810"/>
      <c r="Y430" s="810"/>
      <c r="Z430" s="810"/>
    </row>
    <row r="431">
      <c r="A431" s="810"/>
      <c r="B431" s="810"/>
      <c r="C431" s="810"/>
      <c r="D431" s="810"/>
      <c r="E431" s="810"/>
      <c r="F431" s="810"/>
      <c r="G431" s="810"/>
      <c r="H431" s="810"/>
      <c r="I431" s="810"/>
      <c r="J431" s="810"/>
      <c r="K431" s="810"/>
      <c r="L431" s="810"/>
      <c r="M431" s="810"/>
      <c r="N431" s="810"/>
      <c r="O431" s="810"/>
      <c r="P431" s="811"/>
      <c r="Q431" s="810"/>
      <c r="R431" s="810"/>
      <c r="S431" s="810"/>
      <c r="T431" s="810"/>
      <c r="U431" s="810"/>
      <c r="V431" s="810"/>
      <c r="W431" s="810"/>
      <c r="X431" s="810"/>
      <c r="Y431" s="810"/>
      <c r="Z431" s="810"/>
    </row>
    <row r="432">
      <c r="A432" s="810"/>
      <c r="B432" s="810"/>
      <c r="C432" s="810"/>
      <c r="D432" s="810"/>
      <c r="E432" s="810"/>
      <c r="F432" s="810"/>
      <c r="G432" s="810"/>
      <c r="H432" s="810"/>
      <c r="I432" s="810"/>
      <c r="J432" s="810"/>
      <c r="K432" s="810"/>
      <c r="L432" s="810"/>
      <c r="M432" s="810"/>
      <c r="N432" s="810"/>
      <c r="O432" s="810"/>
      <c r="P432" s="811"/>
      <c r="Q432" s="810"/>
      <c r="R432" s="810"/>
      <c r="S432" s="810"/>
      <c r="T432" s="810"/>
      <c r="U432" s="810"/>
      <c r="V432" s="810"/>
      <c r="W432" s="810"/>
      <c r="X432" s="810"/>
      <c r="Y432" s="810"/>
      <c r="Z432" s="810"/>
    </row>
    <row r="433">
      <c r="A433" s="810"/>
      <c r="B433" s="810"/>
      <c r="C433" s="810"/>
      <c r="D433" s="810"/>
      <c r="E433" s="810"/>
      <c r="F433" s="810"/>
      <c r="G433" s="810"/>
      <c r="H433" s="810"/>
      <c r="I433" s="810"/>
      <c r="J433" s="810"/>
      <c r="K433" s="810"/>
      <c r="L433" s="810"/>
      <c r="M433" s="810"/>
      <c r="N433" s="810"/>
      <c r="O433" s="810"/>
      <c r="P433" s="811"/>
      <c r="Q433" s="810"/>
      <c r="R433" s="810"/>
      <c r="S433" s="810"/>
      <c r="T433" s="810"/>
      <c r="U433" s="810"/>
      <c r="V433" s="810"/>
      <c r="W433" s="810"/>
      <c r="X433" s="810"/>
      <c r="Y433" s="810"/>
      <c r="Z433" s="810"/>
    </row>
    <row r="434">
      <c r="A434" s="810"/>
      <c r="B434" s="810"/>
      <c r="C434" s="810"/>
      <c r="D434" s="810"/>
      <c r="E434" s="810"/>
      <c r="F434" s="810"/>
      <c r="G434" s="810"/>
      <c r="H434" s="810"/>
      <c r="I434" s="810"/>
      <c r="J434" s="810"/>
      <c r="K434" s="810"/>
      <c r="L434" s="810"/>
      <c r="M434" s="810"/>
      <c r="N434" s="810"/>
      <c r="O434" s="810"/>
      <c r="P434" s="811"/>
      <c r="Q434" s="810"/>
      <c r="R434" s="810"/>
      <c r="S434" s="810"/>
      <c r="T434" s="810"/>
      <c r="U434" s="810"/>
      <c r="V434" s="810"/>
      <c r="W434" s="810"/>
      <c r="X434" s="810"/>
      <c r="Y434" s="810"/>
      <c r="Z434" s="810"/>
    </row>
    <row r="435">
      <c r="A435" s="810"/>
      <c r="B435" s="810"/>
      <c r="C435" s="810"/>
      <c r="D435" s="810"/>
      <c r="E435" s="810"/>
      <c r="F435" s="810"/>
      <c r="G435" s="810"/>
      <c r="H435" s="810"/>
      <c r="I435" s="810"/>
      <c r="J435" s="810"/>
      <c r="K435" s="810"/>
      <c r="L435" s="810"/>
      <c r="M435" s="810"/>
      <c r="N435" s="810"/>
      <c r="O435" s="810"/>
      <c r="P435" s="811"/>
      <c r="Q435" s="810"/>
      <c r="R435" s="810"/>
      <c r="S435" s="810"/>
      <c r="T435" s="810"/>
      <c r="U435" s="810"/>
      <c r="V435" s="810"/>
      <c r="W435" s="810"/>
      <c r="X435" s="810"/>
      <c r="Y435" s="810"/>
      <c r="Z435" s="810"/>
    </row>
    <row r="436">
      <c r="A436" s="810"/>
      <c r="B436" s="810"/>
      <c r="C436" s="810"/>
      <c r="D436" s="810"/>
      <c r="E436" s="810"/>
      <c r="F436" s="810"/>
      <c r="G436" s="810"/>
      <c r="H436" s="810"/>
      <c r="I436" s="810"/>
      <c r="J436" s="810"/>
      <c r="K436" s="810"/>
      <c r="L436" s="810"/>
      <c r="M436" s="810"/>
      <c r="N436" s="810"/>
      <c r="O436" s="810"/>
      <c r="P436" s="811"/>
      <c r="Q436" s="810"/>
      <c r="R436" s="810"/>
      <c r="S436" s="810"/>
      <c r="T436" s="810"/>
      <c r="U436" s="810"/>
      <c r="V436" s="810"/>
      <c r="W436" s="810"/>
      <c r="X436" s="810"/>
      <c r="Y436" s="810"/>
      <c r="Z436" s="810"/>
    </row>
    <row r="437">
      <c r="A437" s="810"/>
      <c r="B437" s="810"/>
      <c r="C437" s="810"/>
      <c r="D437" s="810"/>
      <c r="E437" s="810"/>
      <c r="F437" s="810"/>
      <c r="G437" s="810"/>
      <c r="H437" s="810"/>
      <c r="I437" s="810"/>
      <c r="J437" s="810"/>
      <c r="K437" s="810"/>
      <c r="L437" s="810"/>
      <c r="M437" s="810"/>
      <c r="N437" s="810"/>
      <c r="O437" s="810"/>
      <c r="P437" s="811"/>
      <c r="Q437" s="810"/>
      <c r="R437" s="810"/>
      <c r="S437" s="810"/>
      <c r="T437" s="810"/>
      <c r="U437" s="810"/>
      <c r="V437" s="810"/>
      <c r="W437" s="810"/>
      <c r="X437" s="810"/>
      <c r="Y437" s="810"/>
      <c r="Z437" s="810"/>
    </row>
    <row r="438">
      <c r="A438" s="810"/>
      <c r="B438" s="810"/>
      <c r="C438" s="810"/>
      <c r="D438" s="810"/>
      <c r="E438" s="810"/>
      <c r="F438" s="810"/>
      <c r="G438" s="810"/>
      <c r="H438" s="810"/>
      <c r="I438" s="810"/>
      <c r="J438" s="810"/>
      <c r="K438" s="810"/>
      <c r="L438" s="810"/>
      <c r="M438" s="810"/>
      <c r="N438" s="810"/>
      <c r="O438" s="810"/>
      <c r="P438" s="811"/>
      <c r="Q438" s="810"/>
      <c r="R438" s="810"/>
      <c r="S438" s="810"/>
      <c r="T438" s="810"/>
      <c r="U438" s="810"/>
      <c r="V438" s="810"/>
      <c r="W438" s="810"/>
      <c r="X438" s="810"/>
      <c r="Y438" s="810"/>
      <c r="Z438" s="810"/>
    </row>
    <row r="439">
      <c r="A439" s="810"/>
      <c r="B439" s="810"/>
      <c r="C439" s="810"/>
      <c r="D439" s="810"/>
      <c r="E439" s="810"/>
      <c r="F439" s="810"/>
      <c r="G439" s="810"/>
      <c r="H439" s="810"/>
      <c r="I439" s="810"/>
      <c r="J439" s="810"/>
      <c r="K439" s="810"/>
      <c r="L439" s="810"/>
      <c r="M439" s="810"/>
      <c r="N439" s="810"/>
      <c r="O439" s="810"/>
      <c r="P439" s="811"/>
      <c r="Q439" s="810"/>
      <c r="R439" s="810"/>
      <c r="S439" s="810"/>
      <c r="T439" s="810"/>
      <c r="U439" s="810"/>
      <c r="V439" s="810"/>
      <c r="W439" s="810"/>
      <c r="X439" s="810"/>
      <c r="Y439" s="810"/>
      <c r="Z439" s="810"/>
    </row>
    <row r="440">
      <c r="A440" s="810"/>
      <c r="B440" s="810"/>
      <c r="C440" s="810"/>
      <c r="D440" s="810"/>
      <c r="E440" s="810"/>
      <c r="F440" s="810"/>
      <c r="G440" s="810"/>
      <c r="H440" s="810"/>
      <c r="I440" s="810"/>
      <c r="J440" s="810"/>
      <c r="K440" s="810"/>
      <c r="L440" s="810"/>
      <c r="M440" s="810"/>
      <c r="N440" s="810"/>
      <c r="O440" s="810"/>
      <c r="P440" s="811"/>
      <c r="Q440" s="810"/>
      <c r="R440" s="810"/>
      <c r="S440" s="810"/>
      <c r="T440" s="810"/>
      <c r="U440" s="810"/>
      <c r="V440" s="810"/>
      <c r="W440" s="810"/>
      <c r="X440" s="810"/>
      <c r="Y440" s="810"/>
      <c r="Z440" s="810"/>
    </row>
    <row r="441">
      <c r="A441" s="810"/>
      <c r="B441" s="810"/>
      <c r="C441" s="810"/>
      <c r="D441" s="810"/>
      <c r="E441" s="810"/>
      <c r="F441" s="810"/>
      <c r="G441" s="810"/>
      <c r="H441" s="810"/>
      <c r="I441" s="810"/>
      <c r="J441" s="810"/>
      <c r="K441" s="810"/>
      <c r="L441" s="810"/>
      <c r="M441" s="810"/>
      <c r="N441" s="810"/>
      <c r="O441" s="810"/>
      <c r="P441" s="811"/>
      <c r="Q441" s="810"/>
      <c r="R441" s="810"/>
      <c r="S441" s="810"/>
      <c r="T441" s="810"/>
      <c r="U441" s="810"/>
      <c r="V441" s="810"/>
      <c r="W441" s="810"/>
      <c r="X441" s="810"/>
      <c r="Y441" s="810"/>
      <c r="Z441" s="810"/>
    </row>
    <row r="442">
      <c r="A442" s="810"/>
      <c r="B442" s="810"/>
      <c r="C442" s="810"/>
      <c r="D442" s="810"/>
      <c r="E442" s="810"/>
      <c r="F442" s="810"/>
      <c r="G442" s="810"/>
      <c r="H442" s="810"/>
      <c r="I442" s="810"/>
      <c r="J442" s="810"/>
      <c r="K442" s="810"/>
      <c r="L442" s="810"/>
      <c r="M442" s="810"/>
      <c r="N442" s="810"/>
      <c r="O442" s="810"/>
      <c r="P442" s="811"/>
      <c r="Q442" s="810"/>
      <c r="R442" s="810"/>
      <c r="S442" s="810"/>
      <c r="T442" s="810"/>
      <c r="U442" s="810"/>
      <c r="V442" s="810"/>
      <c r="W442" s="810"/>
      <c r="X442" s="810"/>
      <c r="Y442" s="810"/>
      <c r="Z442" s="810"/>
    </row>
    <row r="443">
      <c r="A443" s="810"/>
      <c r="B443" s="810"/>
      <c r="C443" s="810"/>
      <c r="D443" s="810"/>
      <c r="E443" s="810"/>
      <c r="F443" s="810"/>
      <c r="G443" s="810"/>
      <c r="H443" s="810"/>
      <c r="I443" s="810"/>
      <c r="J443" s="810"/>
      <c r="K443" s="810"/>
      <c r="L443" s="810"/>
      <c r="M443" s="810"/>
      <c r="N443" s="810"/>
      <c r="O443" s="810"/>
      <c r="P443" s="811"/>
      <c r="Q443" s="810"/>
      <c r="R443" s="810"/>
      <c r="S443" s="810"/>
      <c r="T443" s="810"/>
      <c r="U443" s="810"/>
      <c r="V443" s="810"/>
      <c r="W443" s="810"/>
      <c r="X443" s="810"/>
      <c r="Y443" s="810"/>
      <c r="Z443" s="810"/>
    </row>
    <row r="444">
      <c r="A444" s="810"/>
      <c r="B444" s="810"/>
      <c r="C444" s="810"/>
      <c r="D444" s="810"/>
      <c r="E444" s="810"/>
      <c r="F444" s="810"/>
      <c r="G444" s="810"/>
      <c r="H444" s="810"/>
      <c r="I444" s="810"/>
      <c r="J444" s="810"/>
      <c r="K444" s="810"/>
      <c r="L444" s="810"/>
      <c r="M444" s="810"/>
      <c r="N444" s="810"/>
      <c r="O444" s="810"/>
      <c r="P444" s="811"/>
      <c r="Q444" s="810"/>
      <c r="R444" s="810"/>
      <c r="S444" s="810"/>
      <c r="T444" s="810"/>
      <c r="U444" s="810"/>
      <c r="V444" s="810"/>
      <c r="W444" s="810"/>
      <c r="X444" s="810"/>
      <c r="Y444" s="810"/>
      <c r="Z444" s="810"/>
    </row>
    <row r="445">
      <c r="A445" s="810"/>
      <c r="B445" s="810"/>
      <c r="C445" s="810"/>
      <c r="D445" s="810"/>
      <c r="E445" s="810"/>
      <c r="F445" s="810"/>
      <c r="G445" s="810"/>
      <c r="H445" s="810"/>
      <c r="I445" s="810"/>
      <c r="J445" s="810"/>
      <c r="K445" s="810"/>
      <c r="L445" s="810"/>
      <c r="M445" s="810"/>
      <c r="N445" s="810"/>
      <c r="O445" s="810"/>
      <c r="P445" s="811"/>
      <c r="Q445" s="810"/>
      <c r="R445" s="810"/>
      <c r="S445" s="810"/>
      <c r="T445" s="810"/>
      <c r="U445" s="810"/>
      <c r="V445" s="810"/>
      <c r="W445" s="810"/>
      <c r="X445" s="810"/>
      <c r="Y445" s="810"/>
      <c r="Z445" s="810"/>
    </row>
    <row r="446">
      <c r="A446" s="810"/>
      <c r="B446" s="810"/>
      <c r="C446" s="810"/>
      <c r="D446" s="810"/>
      <c r="E446" s="810"/>
      <c r="F446" s="810"/>
      <c r="G446" s="810"/>
      <c r="H446" s="810"/>
      <c r="I446" s="810"/>
      <c r="J446" s="810"/>
      <c r="K446" s="810"/>
      <c r="L446" s="810"/>
      <c r="M446" s="810"/>
      <c r="N446" s="810"/>
      <c r="O446" s="810"/>
      <c r="P446" s="811"/>
      <c r="Q446" s="810"/>
      <c r="R446" s="810"/>
      <c r="S446" s="810"/>
      <c r="T446" s="810"/>
      <c r="U446" s="810"/>
      <c r="V446" s="810"/>
      <c r="W446" s="810"/>
      <c r="X446" s="810"/>
      <c r="Y446" s="810"/>
      <c r="Z446" s="810"/>
    </row>
    <row r="447">
      <c r="A447" s="810"/>
      <c r="B447" s="810"/>
      <c r="C447" s="810"/>
      <c r="D447" s="810"/>
      <c r="E447" s="810"/>
      <c r="F447" s="810"/>
      <c r="G447" s="810"/>
      <c r="H447" s="810"/>
      <c r="I447" s="810"/>
      <c r="J447" s="810"/>
      <c r="K447" s="810"/>
      <c r="L447" s="810"/>
      <c r="M447" s="810"/>
      <c r="N447" s="810"/>
      <c r="O447" s="810"/>
      <c r="P447" s="811"/>
      <c r="Q447" s="810"/>
      <c r="R447" s="810"/>
      <c r="S447" s="810"/>
      <c r="T447" s="810"/>
      <c r="U447" s="810"/>
      <c r="V447" s="810"/>
      <c r="W447" s="810"/>
      <c r="X447" s="810"/>
      <c r="Y447" s="810"/>
      <c r="Z447" s="810"/>
    </row>
    <row r="448">
      <c r="A448" s="810"/>
      <c r="B448" s="810"/>
      <c r="C448" s="810"/>
      <c r="D448" s="810"/>
      <c r="E448" s="810"/>
      <c r="F448" s="810"/>
      <c r="G448" s="810"/>
      <c r="H448" s="810"/>
      <c r="I448" s="810"/>
      <c r="J448" s="810"/>
      <c r="K448" s="810"/>
      <c r="L448" s="810"/>
      <c r="M448" s="810"/>
      <c r="N448" s="810"/>
      <c r="O448" s="810"/>
      <c r="P448" s="811"/>
      <c r="Q448" s="810"/>
      <c r="R448" s="810"/>
      <c r="S448" s="810"/>
      <c r="T448" s="810"/>
      <c r="U448" s="810"/>
      <c r="V448" s="810"/>
      <c r="W448" s="810"/>
      <c r="X448" s="810"/>
      <c r="Y448" s="810"/>
      <c r="Z448" s="810"/>
    </row>
    <row r="449">
      <c r="A449" s="810"/>
      <c r="B449" s="810"/>
      <c r="C449" s="810"/>
      <c r="D449" s="810"/>
      <c r="E449" s="810"/>
      <c r="F449" s="810"/>
      <c r="G449" s="810"/>
      <c r="H449" s="810"/>
      <c r="I449" s="810"/>
      <c r="J449" s="810"/>
      <c r="K449" s="810"/>
      <c r="L449" s="810"/>
      <c r="M449" s="810"/>
      <c r="N449" s="810"/>
      <c r="O449" s="810"/>
      <c r="P449" s="811"/>
      <c r="Q449" s="810"/>
      <c r="R449" s="810"/>
      <c r="S449" s="810"/>
      <c r="T449" s="810"/>
      <c r="U449" s="810"/>
      <c r="V449" s="810"/>
      <c r="W449" s="810"/>
      <c r="X449" s="810"/>
      <c r="Y449" s="810"/>
      <c r="Z449" s="810"/>
    </row>
    <row r="450">
      <c r="A450" s="810"/>
      <c r="B450" s="810"/>
      <c r="C450" s="810"/>
      <c r="D450" s="810"/>
      <c r="E450" s="810"/>
      <c r="F450" s="810"/>
      <c r="G450" s="810"/>
      <c r="H450" s="810"/>
      <c r="I450" s="810"/>
      <c r="J450" s="810"/>
      <c r="K450" s="810"/>
      <c r="L450" s="810"/>
      <c r="M450" s="810"/>
      <c r="N450" s="810"/>
      <c r="O450" s="810"/>
      <c r="P450" s="811"/>
      <c r="Q450" s="810"/>
      <c r="R450" s="810"/>
      <c r="S450" s="810"/>
      <c r="T450" s="810"/>
      <c r="U450" s="810"/>
      <c r="V450" s="810"/>
      <c r="W450" s="810"/>
      <c r="X450" s="810"/>
      <c r="Y450" s="810"/>
      <c r="Z450" s="810"/>
    </row>
    <row r="451">
      <c r="A451" s="810"/>
      <c r="B451" s="810"/>
      <c r="C451" s="810"/>
      <c r="D451" s="810"/>
      <c r="E451" s="810"/>
      <c r="F451" s="810"/>
      <c r="G451" s="810"/>
      <c r="H451" s="810"/>
      <c r="I451" s="810"/>
      <c r="J451" s="810"/>
      <c r="K451" s="810"/>
      <c r="L451" s="810"/>
      <c r="M451" s="810"/>
      <c r="N451" s="810"/>
      <c r="O451" s="810"/>
      <c r="P451" s="811"/>
      <c r="Q451" s="810"/>
      <c r="R451" s="810"/>
      <c r="S451" s="810"/>
      <c r="T451" s="810"/>
      <c r="U451" s="810"/>
      <c r="V451" s="810"/>
      <c r="W451" s="810"/>
      <c r="X451" s="810"/>
      <c r="Y451" s="810"/>
      <c r="Z451" s="810"/>
    </row>
    <row r="452">
      <c r="A452" s="810"/>
      <c r="B452" s="810"/>
      <c r="C452" s="810"/>
      <c r="D452" s="810"/>
      <c r="E452" s="810"/>
      <c r="F452" s="810"/>
      <c r="G452" s="810"/>
      <c r="H452" s="810"/>
      <c r="I452" s="810"/>
      <c r="J452" s="810"/>
      <c r="K452" s="810"/>
      <c r="L452" s="810"/>
      <c r="M452" s="810"/>
      <c r="N452" s="810"/>
      <c r="O452" s="810"/>
      <c r="P452" s="811"/>
      <c r="Q452" s="810"/>
      <c r="R452" s="810"/>
      <c r="S452" s="810"/>
      <c r="T452" s="810"/>
      <c r="U452" s="810"/>
      <c r="V452" s="810"/>
      <c r="W452" s="810"/>
      <c r="X452" s="810"/>
      <c r="Y452" s="810"/>
      <c r="Z452" s="810"/>
    </row>
    <row r="453">
      <c r="A453" s="810"/>
      <c r="B453" s="810"/>
      <c r="C453" s="810"/>
      <c r="D453" s="810"/>
      <c r="E453" s="810"/>
      <c r="F453" s="810"/>
      <c r="G453" s="810"/>
      <c r="H453" s="810"/>
      <c r="I453" s="810"/>
      <c r="J453" s="810"/>
      <c r="K453" s="810"/>
      <c r="L453" s="810"/>
      <c r="M453" s="810"/>
      <c r="N453" s="810"/>
      <c r="O453" s="810"/>
      <c r="P453" s="811"/>
      <c r="Q453" s="810"/>
      <c r="R453" s="810"/>
      <c r="S453" s="810"/>
      <c r="T453" s="810"/>
      <c r="U453" s="810"/>
      <c r="V453" s="810"/>
      <c r="W453" s="810"/>
      <c r="X453" s="810"/>
      <c r="Y453" s="810"/>
      <c r="Z453" s="810"/>
    </row>
    <row r="454">
      <c r="A454" s="810"/>
      <c r="B454" s="810"/>
      <c r="C454" s="810"/>
      <c r="D454" s="810"/>
      <c r="E454" s="810"/>
      <c r="F454" s="810"/>
      <c r="G454" s="810"/>
      <c r="H454" s="810"/>
      <c r="I454" s="810"/>
      <c r="J454" s="810"/>
      <c r="K454" s="810"/>
      <c r="L454" s="810"/>
      <c r="M454" s="810"/>
      <c r="N454" s="810"/>
      <c r="O454" s="810"/>
      <c r="P454" s="811"/>
      <c r="Q454" s="810"/>
      <c r="R454" s="810"/>
      <c r="S454" s="810"/>
      <c r="T454" s="810"/>
      <c r="U454" s="810"/>
      <c r="V454" s="810"/>
      <c r="W454" s="810"/>
      <c r="X454" s="810"/>
      <c r="Y454" s="810"/>
      <c r="Z454" s="810"/>
    </row>
    <row r="455">
      <c r="A455" s="810"/>
      <c r="B455" s="810"/>
      <c r="C455" s="810"/>
      <c r="D455" s="810"/>
      <c r="E455" s="810"/>
      <c r="F455" s="810"/>
      <c r="G455" s="810"/>
      <c r="H455" s="810"/>
      <c r="I455" s="810"/>
      <c r="J455" s="810"/>
      <c r="K455" s="810"/>
      <c r="L455" s="810"/>
      <c r="M455" s="810"/>
      <c r="N455" s="810"/>
      <c r="O455" s="810"/>
      <c r="P455" s="811"/>
      <c r="Q455" s="810"/>
      <c r="R455" s="810"/>
      <c r="S455" s="810"/>
      <c r="T455" s="810"/>
      <c r="U455" s="810"/>
      <c r="V455" s="810"/>
      <c r="W455" s="810"/>
      <c r="X455" s="810"/>
      <c r="Y455" s="810"/>
      <c r="Z455" s="810"/>
    </row>
    <row r="456">
      <c r="A456" s="810"/>
      <c r="B456" s="810"/>
      <c r="C456" s="810"/>
      <c r="D456" s="810"/>
      <c r="E456" s="810"/>
      <c r="F456" s="810"/>
      <c r="G456" s="810"/>
      <c r="H456" s="810"/>
      <c r="I456" s="810"/>
      <c r="J456" s="810"/>
      <c r="K456" s="810"/>
      <c r="L456" s="810"/>
      <c r="M456" s="810"/>
      <c r="N456" s="810"/>
      <c r="O456" s="810"/>
      <c r="P456" s="811"/>
      <c r="Q456" s="810"/>
      <c r="R456" s="810"/>
      <c r="S456" s="810"/>
      <c r="T456" s="810"/>
      <c r="U456" s="810"/>
      <c r="V456" s="810"/>
      <c r="W456" s="810"/>
      <c r="X456" s="810"/>
      <c r="Y456" s="810"/>
      <c r="Z456" s="810"/>
    </row>
    <row r="457">
      <c r="A457" s="810"/>
      <c r="B457" s="810"/>
      <c r="C457" s="810"/>
      <c r="D457" s="810"/>
      <c r="E457" s="810"/>
      <c r="F457" s="810"/>
      <c r="G457" s="810"/>
      <c r="H457" s="810"/>
      <c r="I457" s="810"/>
      <c r="J457" s="810"/>
      <c r="K457" s="810"/>
      <c r="L457" s="810"/>
      <c r="M457" s="810"/>
      <c r="N457" s="810"/>
      <c r="O457" s="810"/>
      <c r="P457" s="811"/>
      <c r="Q457" s="810"/>
      <c r="R457" s="810"/>
      <c r="S457" s="810"/>
      <c r="T457" s="810"/>
      <c r="U457" s="810"/>
      <c r="V457" s="810"/>
      <c r="W457" s="810"/>
      <c r="X457" s="810"/>
      <c r="Y457" s="810"/>
      <c r="Z457" s="810"/>
    </row>
    <row r="458">
      <c r="A458" s="810"/>
      <c r="B458" s="810"/>
      <c r="C458" s="810"/>
      <c r="D458" s="810"/>
      <c r="E458" s="810"/>
      <c r="F458" s="810"/>
      <c r="G458" s="810"/>
      <c r="H458" s="810"/>
      <c r="I458" s="810"/>
      <c r="J458" s="810"/>
      <c r="K458" s="810"/>
      <c r="L458" s="810"/>
      <c r="M458" s="810"/>
      <c r="N458" s="810"/>
      <c r="O458" s="810"/>
      <c r="P458" s="811"/>
      <c r="Q458" s="810"/>
      <c r="R458" s="810"/>
      <c r="S458" s="810"/>
      <c r="T458" s="810"/>
      <c r="U458" s="810"/>
      <c r="V458" s="810"/>
      <c r="W458" s="810"/>
      <c r="X458" s="810"/>
      <c r="Y458" s="810"/>
      <c r="Z458" s="810"/>
    </row>
    <row r="459">
      <c r="A459" s="810"/>
      <c r="B459" s="810"/>
      <c r="C459" s="810"/>
      <c r="D459" s="810"/>
      <c r="E459" s="810"/>
      <c r="F459" s="810"/>
      <c r="G459" s="810"/>
      <c r="H459" s="810"/>
      <c r="I459" s="810"/>
      <c r="J459" s="810"/>
      <c r="K459" s="810"/>
      <c r="L459" s="810"/>
      <c r="M459" s="810"/>
      <c r="N459" s="810"/>
      <c r="O459" s="810"/>
      <c r="P459" s="811"/>
      <c r="Q459" s="810"/>
      <c r="R459" s="810"/>
      <c r="S459" s="810"/>
      <c r="T459" s="810"/>
      <c r="U459" s="810"/>
      <c r="V459" s="810"/>
      <c r="W459" s="810"/>
      <c r="X459" s="810"/>
      <c r="Y459" s="810"/>
      <c r="Z459" s="810"/>
    </row>
    <row r="460">
      <c r="A460" s="810"/>
      <c r="B460" s="810"/>
      <c r="C460" s="810"/>
      <c r="D460" s="810"/>
      <c r="E460" s="810"/>
      <c r="F460" s="810"/>
      <c r="G460" s="810"/>
      <c r="H460" s="810"/>
      <c r="I460" s="810"/>
      <c r="J460" s="810"/>
      <c r="K460" s="810"/>
      <c r="L460" s="810"/>
      <c r="M460" s="810"/>
      <c r="N460" s="810"/>
      <c r="O460" s="810"/>
      <c r="P460" s="811"/>
      <c r="Q460" s="810"/>
      <c r="R460" s="810"/>
      <c r="S460" s="810"/>
      <c r="T460" s="810"/>
      <c r="U460" s="810"/>
      <c r="V460" s="810"/>
      <c r="W460" s="810"/>
      <c r="X460" s="810"/>
      <c r="Y460" s="810"/>
      <c r="Z460" s="810"/>
    </row>
    <row r="461">
      <c r="A461" s="810"/>
      <c r="B461" s="810"/>
      <c r="C461" s="810"/>
      <c r="D461" s="810"/>
      <c r="E461" s="810"/>
      <c r="F461" s="810"/>
      <c r="G461" s="810"/>
      <c r="H461" s="810"/>
      <c r="I461" s="810"/>
      <c r="J461" s="810"/>
      <c r="K461" s="810"/>
      <c r="L461" s="810"/>
      <c r="M461" s="810"/>
      <c r="N461" s="810"/>
      <c r="O461" s="810"/>
      <c r="P461" s="811"/>
      <c r="Q461" s="810"/>
      <c r="R461" s="810"/>
      <c r="S461" s="810"/>
      <c r="T461" s="810"/>
      <c r="U461" s="810"/>
      <c r="V461" s="810"/>
      <c r="W461" s="810"/>
      <c r="X461" s="810"/>
      <c r="Y461" s="810"/>
      <c r="Z461" s="810"/>
    </row>
    <row r="462">
      <c r="A462" s="810"/>
      <c r="B462" s="810"/>
      <c r="C462" s="810"/>
      <c r="D462" s="810"/>
      <c r="E462" s="810"/>
      <c r="F462" s="810"/>
      <c r="G462" s="810"/>
      <c r="H462" s="810"/>
      <c r="I462" s="810"/>
      <c r="J462" s="810"/>
      <c r="K462" s="810"/>
      <c r="L462" s="810"/>
      <c r="M462" s="810"/>
      <c r="N462" s="810"/>
      <c r="O462" s="810"/>
      <c r="P462" s="811"/>
      <c r="Q462" s="810"/>
      <c r="R462" s="810"/>
      <c r="S462" s="810"/>
      <c r="T462" s="810"/>
      <c r="U462" s="810"/>
      <c r="V462" s="810"/>
      <c r="W462" s="810"/>
      <c r="X462" s="810"/>
      <c r="Y462" s="810"/>
      <c r="Z462" s="810"/>
    </row>
    <row r="463">
      <c r="A463" s="810"/>
      <c r="B463" s="810"/>
      <c r="C463" s="810"/>
      <c r="D463" s="810"/>
      <c r="E463" s="810"/>
      <c r="F463" s="810"/>
      <c r="G463" s="810"/>
      <c r="H463" s="810"/>
      <c r="I463" s="810"/>
      <c r="J463" s="810"/>
      <c r="K463" s="810"/>
      <c r="L463" s="810"/>
      <c r="M463" s="810"/>
      <c r="N463" s="810"/>
      <c r="O463" s="810"/>
      <c r="P463" s="811"/>
      <c r="Q463" s="810"/>
      <c r="R463" s="810"/>
      <c r="S463" s="810"/>
      <c r="T463" s="810"/>
      <c r="U463" s="810"/>
      <c r="V463" s="810"/>
      <c r="W463" s="810"/>
      <c r="X463" s="810"/>
      <c r="Y463" s="810"/>
      <c r="Z463" s="810"/>
    </row>
    <row r="464">
      <c r="A464" s="810"/>
      <c r="B464" s="810"/>
      <c r="C464" s="810"/>
      <c r="D464" s="810"/>
      <c r="E464" s="810"/>
      <c r="F464" s="810"/>
      <c r="G464" s="810"/>
      <c r="H464" s="810"/>
      <c r="I464" s="810"/>
      <c r="J464" s="810"/>
      <c r="K464" s="810"/>
      <c r="L464" s="810"/>
      <c r="M464" s="810"/>
      <c r="N464" s="810"/>
      <c r="O464" s="810"/>
      <c r="P464" s="811"/>
      <c r="Q464" s="810"/>
      <c r="R464" s="810"/>
      <c r="S464" s="810"/>
      <c r="T464" s="810"/>
      <c r="U464" s="810"/>
      <c r="V464" s="810"/>
      <c r="W464" s="810"/>
      <c r="X464" s="810"/>
      <c r="Y464" s="810"/>
      <c r="Z464" s="810"/>
    </row>
    <row r="465">
      <c r="A465" s="810"/>
      <c r="B465" s="810"/>
      <c r="C465" s="810"/>
      <c r="D465" s="810"/>
      <c r="E465" s="810"/>
      <c r="F465" s="810"/>
      <c r="G465" s="810"/>
      <c r="H465" s="810"/>
      <c r="I465" s="810"/>
      <c r="J465" s="810"/>
      <c r="K465" s="810"/>
      <c r="L465" s="810"/>
      <c r="M465" s="810"/>
      <c r="N465" s="810"/>
      <c r="O465" s="810"/>
      <c r="P465" s="811"/>
      <c r="Q465" s="810"/>
      <c r="R465" s="810"/>
      <c r="S465" s="810"/>
      <c r="T465" s="810"/>
      <c r="U465" s="810"/>
      <c r="V465" s="810"/>
      <c r="W465" s="810"/>
      <c r="X465" s="810"/>
      <c r="Y465" s="810"/>
      <c r="Z465" s="810"/>
    </row>
    <row r="466">
      <c r="A466" s="810"/>
      <c r="B466" s="810"/>
      <c r="C466" s="810"/>
      <c r="D466" s="810"/>
      <c r="E466" s="810"/>
      <c r="F466" s="810"/>
      <c r="G466" s="810"/>
      <c r="H466" s="810"/>
      <c r="I466" s="810"/>
      <c r="J466" s="810"/>
      <c r="K466" s="810"/>
      <c r="L466" s="810"/>
      <c r="M466" s="810"/>
      <c r="N466" s="810"/>
      <c r="O466" s="810"/>
      <c r="P466" s="811"/>
      <c r="Q466" s="810"/>
      <c r="R466" s="810"/>
      <c r="S466" s="810"/>
      <c r="T466" s="810"/>
      <c r="U466" s="810"/>
      <c r="V466" s="810"/>
      <c r="W466" s="810"/>
      <c r="X466" s="810"/>
      <c r="Y466" s="810"/>
      <c r="Z466" s="810"/>
    </row>
    <row r="467">
      <c r="A467" s="810"/>
      <c r="B467" s="810"/>
      <c r="C467" s="810"/>
      <c r="D467" s="810"/>
      <c r="E467" s="810"/>
      <c r="F467" s="810"/>
      <c r="G467" s="810"/>
      <c r="H467" s="810"/>
      <c r="I467" s="810"/>
      <c r="J467" s="810"/>
      <c r="K467" s="810"/>
      <c r="L467" s="810"/>
      <c r="M467" s="810"/>
      <c r="N467" s="810"/>
      <c r="O467" s="810"/>
      <c r="P467" s="811"/>
      <c r="Q467" s="810"/>
      <c r="R467" s="810"/>
      <c r="S467" s="810"/>
      <c r="T467" s="810"/>
      <c r="U467" s="810"/>
      <c r="V467" s="810"/>
      <c r="W467" s="810"/>
      <c r="X467" s="810"/>
      <c r="Y467" s="810"/>
      <c r="Z467" s="810"/>
    </row>
    <row r="468">
      <c r="A468" s="810"/>
      <c r="B468" s="810"/>
      <c r="C468" s="810"/>
      <c r="D468" s="810"/>
      <c r="E468" s="810"/>
      <c r="F468" s="810"/>
      <c r="G468" s="810"/>
      <c r="H468" s="810"/>
      <c r="I468" s="810"/>
      <c r="J468" s="810"/>
      <c r="K468" s="810"/>
      <c r="L468" s="810"/>
      <c r="M468" s="810"/>
      <c r="N468" s="810"/>
      <c r="O468" s="810"/>
      <c r="P468" s="811"/>
      <c r="Q468" s="810"/>
      <c r="R468" s="810"/>
      <c r="S468" s="810"/>
      <c r="T468" s="810"/>
      <c r="U468" s="810"/>
      <c r="V468" s="810"/>
      <c r="W468" s="810"/>
      <c r="X468" s="810"/>
      <c r="Y468" s="810"/>
      <c r="Z468" s="810"/>
    </row>
    <row r="469">
      <c r="A469" s="810"/>
      <c r="B469" s="810"/>
      <c r="C469" s="810"/>
      <c r="D469" s="810"/>
      <c r="E469" s="810"/>
      <c r="F469" s="810"/>
      <c r="G469" s="810"/>
      <c r="H469" s="810"/>
      <c r="I469" s="810"/>
      <c r="J469" s="810"/>
      <c r="K469" s="810"/>
      <c r="L469" s="810"/>
      <c r="M469" s="810"/>
      <c r="N469" s="810"/>
      <c r="O469" s="810"/>
      <c r="P469" s="811"/>
      <c r="Q469" s="810"/>
      <c r="R469" s="810"/>
      <c r="S469" s="810"/>
      <c r="T469" s="810"/>
      <c r="U469" s="810"/>
      <c r="V469" s="810"/>
      <c r="W469" s="810"/>
      <c r="X469" s="810"/>
      <c r="Y469" s="810"/>
      <c r="Z469" s="810"/>
    </row>
    <row r="470">
      <c r="A470" s="810"/>
      <c r="B470" s="810"/>
      <c r="C470" s="810"/>
      <c r="D470" s="810"/>
      <c r="E470" s="810"/>
      <c r="F470" s="810"/>
      <c r="G470" s="810"/>
      <c r="H470" s="810"/>
      <c r="I470" s="810"/>
      <c r="J470" s="810"/>
      <c r="K470" s="810"/>
      <c r="L470" s="810"/>
      <c r="M470" s="810"/>
      <c r="N470" s="810"/>
      <c r="O470" s="810"/>
      <c r="P470" s="811"/>
      <c r="Q470" s="810"/>
      <c r="R470" s="810"/>
      <c r="S470" s="810"/>
      <c r="T470" s="810"/>
      <c r="U470" s="810"/>
      <c r="V470" s="810"/>
      <c r="W470" s="810"/>
      <c r="X470" s="810"/>
      <c r="Y470" s="810"/>
      <c r="Z470" s="810"/>
    </row>
    <row r="471">
      <c r="A471" s="810"/>
      <c r="B471" s="810"/>
      <c r="C471" s="810"/>
      <c r="D471" s="810"/>
      <c r="E471" s="810"/>
      <c r="F471" s="810"/>
      <c r="G471" s="810"/>
      <c r="H471" s="810"/>
      <c r="I471" s="810"/>
      <c r="J471" s="810"/>
      <c r="K471" s="810"/>
      <c r="L471" s="810"/>
      <c r="M471" s="810"/>
      <c r="N471" s="810"/>
      <c r="O471" s="810"/>
      <c r="P471" s="811"/>
      <c r="Q471" s="810"/>
      <c r="R471" s="810"/>
      <c r="S471" s="810"/>
      <c r="T471" s="810"/>
      <c r="U471" s="810"/>
      <c r="V471" s="810"/>
      <c r="W471" s="810"/>
      <c r="X471" s="810"/>
      <c r="Y471" s="810"/>
      <c r="Z471" s="810"/>
    </row>
    <row r="472">
      <c r="A472" s="810"/>
      <c r="B472" s="810"/>
      <c r="C472" s="810"/>
      <c r="D472" s="810"/>
      <c r="E472" s="810"/>
      <c r="F472" s="810"/>
      <c r="G472" s="810"/>
      <c r="H472" s="810"/>
      <c r="I472" s="810"/>
      <c r="J472" s="810"/>
      <c r="K472" s="810"/>
      <c r="L472" s="810"/>
      <c r="M472" s="810"/>
      <c r="N472" s="810"/>
      <c r="O472" s="810"/>
      <c r="P472" s="811"/>
      <c r="Q472" s="810"/>
      <c r="R472" s="810"/>
      <c r="S472" s="810"/>
      <c r="T472" s="810"/>
      <c r="U472" s="810"/>
      <c r="V472" s="810"/>
      <c r="W472" s="810"/>
      <c r="X472" s="810"/>
      <c r="Y472" s="810"/>
      <c r="Z472" s="810"/>
    </row>
    <row r="473">
      <c r="A473" s="810"/>
      <c r="B473" s="810"/>
      <c r="C473" s="810"/>
      <c r="D473" s="810"/>
      <c r="E473" s="810"/>
      <c r="F473" s="810"/>
      <c r="G473" s="810"/>
      <c r="H473" s="810"/>
      <c r="I473" s="810"/>
      <c r="J473" s="810"/>
      <c r="K473" s="810"/>
      <c r="L473" s="810"/>
      <c r="M473" s="810"/>
      <c r="N473" s="810"/>
      <c r="O473" s="810"/>
      <c r="P473" s="811"/>
      <c r="Q473" s="810"/>
      <c r="R473" s="810"/>
      <c r="S473" s="810"/>
      <c r="T473" s="810"/>
      <c r="U473" s="810"/>
      <c r="V473" s="810"/>
      <c r="W473" s="810"/>
      <c r="X473" s="810"/>
      <c r="Y473" s="810"/>
      <c r="Z473" s="810"/>
    </row>
    <row r="474">
      <c r="A474" s="810"/>
      <c r="B474" s="810"/>
      <c r="C474" s="810"/>
      <c r="D474" s="810"/>
      <c r="E474" s="810"/>
      <c r="F474" s="810"/>
      <c r="G474" s="810"/>
      <c r="H474" s="810"/>
      <c r="I474" s="810"/>
      <c r="J474" s="810"/>
      <c r="K474" s="810"/>
      <c r="L474" s="810"/>
      <c r="M474" s="810"/>
      <c r="N474" s="810"/>
      <c r="O474" s="810"/>
      <c r="P474" s="811"/>
      <c r="Q474" s="810"/>
      <c r="R474" s="810"/>
      <c r="S474" s="810"/>
      <c r="T474" s="810"/>
      <c r="U474" s="810"/>
      <c r="V474" s="810"/>
      <c r="W474" s="810"/>
      <c r="X474" s="810"/>
      <c r="Y474" s="810"/>
      <c r="Z474" s="810"/>
    </row>
    <row r="475">
      <c r="A475" s="810"/>
      <c r="B475" s="810"/>
      <c r="C475" s="810"/>
      <c r="D475" s="810"/>
      <c r="E475" s="810"/>
      <c r="F475" s="810"/>
      <c r="G475" s="810"/>
      <c r="H475" s="810"/>
      <c r="I475" s="810"/>
      <c r="J475" s="810"/>
      <c r="K475" s="810"/>
      <c r="L475" s="810"/>
      <c r="M475" s="810"/>
      <c r="N475" s="810"/>
      <c r="O475" s="810"/>
      <c r="P475" s="811"/>
      <c r="Q475" s="810"/>
      <c r="R475" s="810"/>
      <c r="S475" s="810"/>
      <c r="T475" s="810"/>
      <c r="U475" s="810"/>
      <c r="V475" s="810"/>
      <c r="W475" s="810"/>
      <c r="X475" s="810"/>
      <c r="Y475" s="810"/>
      <c r="Z475" s="810"/>
    </row>
    <row r="476">
      <c r="A476" s="810"/>
      <c r="B476" s="810"/>
      <c r="C476" s="810"/>
      <c r="D476" s="810"/>
      <c r="E476" s="810"/>
      <c r="F476" s="810"/>
      <c r="G476" s="810"/>
      <c r="H476" s="810"/>
      <c r="I476" s="810"/>
      <c r="J476" s="810"/>
      <c r="K476" s="810"/>
      <c r="L476" s="810"/>
      <c r="M476" s="810"/>
      <c r="N476" s="810"/>
      <c r="O476" s="810"/>
      <c r="P476" s="811"/>
      <c r="Q476" s="810"/>
      <c r="R476" s="810"/>
      <c r="S476" s="810"/>
      <c r="T476" s="810"/>
      <c r="U476" s="810"/>
      <c r="V476" s="810"/>
      <c r="W476" s="810"/>
      <c r="X476" s="810"/>
      <c r="Y476" s="810"/>
      <c r="Z476" s="810"/>
    </row>
    <row r="477">
      <c r="A477" s="810"/>
      <c r="B477" s="810"/>
      <c r="C477" s="810"/>
      <c r="D477" s="810"/>
      <c r="E477" s="810"/>
      <c r="F477" s="810"/>
      <c r="G477" s="810"/>
      <c r="H477" s="810"/>
      <c r="I477" s="810"/>
      <c r="J477" s="810"/>
      <c r="K477" s="810"/>
      <c r="L477" s="810"/>
      <c r="M477" s="810"/>
      <c r="N477" s="810"/>
      <c r="O477" s="810"/>
      <c r="P477" s="811"/>
      <c r="Q477" s="810"/>
      <c r="R477" s="810"/>
      <c r="S477" s="810"/>
      <c r="T477" s="810"/>
      <c r="U477" s="810"/>
      <c r="V477" s="810"/>
      <c r="W477" s="810"/>
      <c r="X477" s="810"/>
      <c r="Y477" s="810"/>
      <c r="Z477" s="810"/>
    </row>
    <row r="478">
      <c r="A478" s="810"/>
      <c r="B478" s="810"/>
      <c r="C478" s="810"/>
      <c r="D478" s="810"/>
      <c r="E478" s="810"/>
      <c r="F478" s="810"/>
      <c r="G478" s="810"/>
      <c r="H478" s="810"/>
      <c r="I478" s="810"/>
      <c r="J478" s="810"/>
      <c r="K478" s="810"/>
      <c r="L478" s="810"/>
      <c r="M478" s="810"/>
      <c r="N478" s="810"/>
      <c r="O478" s="810"/>
      <c r="P478" s="811"/>
      <c r="Q478" s="810"/>
      <c r="R478" s="810"/>
      <c r="S478" s="810"/>
      <c r="T478" s="810"/>
      <c r="U478" s="810"/>
      <c r="V478" s="810"/>
      <c r="W478" s="810"/>
      <c r="X478" s="810"/>
      <c r="Y478" s="810"/>
      <c r="Z478" s="810"/>
    </row>
    <row r="479">
      <c r="A479" s="810"/>
      <c r="B479" s="810"/>
      <c r="C479" s="810"/>
      <c r="D479" s="810"/>
      <c r="E479" s="810"/>
      <c r="F479" s="810"/>
      <c r="G479" s="810"/>
      <c r="H479" s="810"/>
      <c r="I479" s="810"/>
      <c r="J479" s="810"/>
      <c r="K479" s="810"/>
      <c r="L479" s="810"/>
      <c r="M479" s="810"/>
      <c r="N479" s="810"/>
      <c r="O479" s="810"/>
      <c r="P479" s="811"/>
      <c r="Q479" s="810"/>
      <c r="R479" s="810"/>
      <c r="S479" s="810"/>
      <c r="T479" s="810"/>
      <c r="U479" s="810"/>
      <c r="V479" s="810"/>
      <c r="W479" s="810"/>
      <c r="X479" s="810"/>
      <c r="Y479" s="810"/>
      <c r="Z479" s="810"/>
    </row>
    <row r="480">
      <c r="A480" s="810"/>
      <c r="B480" s="810"/>
      <c r="C480" s="810"/>
      <c r="D480" s="810"/>
      <c r="E480" s="810"/>
      <c r="F480" s="810"/>
      <c r="G480" s="810"/>
      <c r="H480" s="810"/>
      <c r="I480" s="810"/>
      <c r="J480" s="810"/>
      <c r="K480" s="810"/>
      <c r="L480" s="810"/>
      <c r="M480" s="810"/>
      <c r="N480" s="810"/>
      <c r="O480" s="810"/>
      <c r="P480" s="811"/>
      <c r="Q480" s="810"/>
      <c r="R480" s="810"/>
      <c r="S480" s="810"/>
      <c r="T480" s="810"/>
      <c r="U480" s="810"/>
      <c r="V480" s="810"/>
      <c r="W480" s="810"/>
      <c r="X480" s="810"/>
      <c r="Y480" s="810"/>
      <c r="Z480" s="810"/>
    </row>
    <row r="481">
      <c r="A481" s="810"/>
      <c r="B481" s="810"/>
      <c r="C481" s="810"/>
      <c r="D481" s="810"/>
      <c r="E481" s="810"/>
      <c r="F481" s="810"/>
      <c r="G481" s="810"/>
      <c r="H481" s="810"/>
      <c r="I481" s="810"/>
      <c r="J481" s="810"/>
      <c r="K481" s="810"/>
      <c r="L481" s="810"/>
      <c r="M481" s="810"/>
      <c r="N481" s="810"/>
      <c r="O481" s="810"/>
      <c r="P481" s="811"/>
      <c r="Q481" s="810"/>
      <c r="R481" s="810"/>
      <c r="S481" s="810"/>
      <c r="T481" s="810"/>
      <c r="U481" s="810"/>
      <c r="V481" s="810"/>
      <c r="W481" s="810"/>
      <c r="X481" s="810"/>
      <c r="Y481" s="810"/>
      <c r="Z481" s="810"/>
    </row>
    <row r="482">
      <c r="A482" s="810"/>
      <c r="B482" s="810"/>
      <c r="C482" s="810"/>
      <c r="D482" s="810"/>
      <c r="E482" s="810"/>
      <c r="F482" s="810"/>
      <c r="G482" s="810"/>
      <c r="H482" s="810"/>
      <c r="I482" s="810"/>
      <c r="J482" s="810"/>
      <c r="K482" s="810"/>
      <c r="L482" s="810"/>
      <c r="M482" s="810"/>
      <c r="N482" s="810"/>
      <c r="O482" s="810"/>
      <c r="P482" s="811"/>
      <c r="Q482" s="810"/>
      <c r="R482" s="810"/>
      <c r="S482" s="810"/>
      <c r="T482" s="810"/>
      <c r="U482" s="810"/>
      <c r="V482" s="810"/>
      <c r="W482" s="810"/>
      <c r="X482" s="810"/>
      <c r="Y482" s="810"/>
      <c r="Z482" s="810"/>
    </row>
    <row r="483">
      <c r="A483" s="810"/>
      <c r="B483" s="810"/>
      <c r="C483" s="810"/>
      <c r="D483" s="810"/>
      <c r="E483" s="810"/>
      <c r="F483" s="810"/>
      <c r="G483" s="810"/>
      <c r="H483" s="810"/>
      <c r="I483" s="810"/>
      <c r="J483" s="810"/>
      <c r="K483" s="810"/>
      <c r="L483" s="810"/>
      <c r="M483" s="810"/>
      <c r="N483" s="810"/>
      <c r="O483" s="810"/>
      <c r="P483" s="811"/>
      <c r="Q483" s="810"/>
      <c r="R483" s="810"/>
      <c r="S483" s="810"/>
      <c r="T483" s="810"/>
      <c r="U483" s="810"/>
      <c r="V483" s="810"/>
      <c r="W483" s="810"/>
      <c r="X483" s="810"/>
      <c r="Y483" s="810"/>
      <c r="Z483" s="810"/>
    </row>
    <row r="484">
      <c r="A484" s="810"/>
      <c r="B484" s="810"/>
      <c r="C484" s="810"/>
      <c r="D484" s="810"/>
      <c r="E484" s="810"/>
      <c r="F484" s="810"/>
      <c r="G484" s="810"/>
      <c r="H484" s="810"/>
      <c r="I484" s="810"/>
      <c r="J484" s="810"/>
      <c r="K484" s="810"/>
      <c r="L484" s="810"/>
      <c r="M484" s="810"/>
      <c r="N484" s="810"/>
      <c r="O484" s="810"/>
      <c r="P484" s="811"/>
      <c r="Q484" s="810"/>
      <c r="R484" s="810"/>
      <c r="S484" s="810"/>
      <c r="T484" s="810"/>
      <c r="U484" s="810"/>
      <c r="V484" s="810"/>
      <c r="W484" s="810"/>
      <c r="X484" s="810"/>
      <c r="Y484" s="810"/>
      <c r="Z484" s="810"/>
    </row>
    <row r="485">
      <c r="A485" s="810"/>
      <c r="B485" s="810"/>
      <c r="C485" s="810"/>
      <c r="D485" s="810"/>
      <c r="E485" s="810"/>
      <c r="F485" s="810"/>
      <c r="G485" s="810"/>
      <c r="H485" s="810"/>
      <c r="I485" s="810"/>
      <c r="J485" s="810"/>
      <c r="K485" s="810"/>
      <c r="L485" s="810"/>
      <c r="M485" s="810"/>
      <c r="N485" s="810"/>
      <c r="O485" s="810"/>
      <c r="P485" s="811"/>
      <c r="Q485" s="810"/>
      <c r="R485" s="810"/>
      <c r="S485" s="810"/>
      <c r="T485" s="810"/>
      <c r="U485" s="810"/>
      <c r="V485" s="810"/>
      <c r="W485" s="810"/>
      <c r="X485" s="810"/>
      <c r="Y485" s="810"/>
      <c r="Z485" s="810"/>
    </row>
    <row r="486">
      <c r="A486" s="810"/>
      <c r="B486" s="810"/>
      <c r="C486" s="810"/>
      <c r="D486" s="810"/>
      <c r="E486" s="810"/>
      <c r="F486" s="810"/>
      <c r="G486" s="810"/>
      <c r="H486" s="810"/>
      <c r="I486" s="810"/>
      <c r="J486" s="810"/>
      <c r="K486" s="810"/>
      <c r="L486" s="810"/>
      <c r="M486" s="810"/>
      <c r="N486" s="810"/>
      <c r="O486" s="810"/>
      <c r="P486" s="811"/>
      <c r="Q486" s="810"/>
      <c r="R486" s="810"/>
      <c r="S486" s="810"/>
      <c r="T486" s="810"/>
      <c r="U486" s="810"/>
      <c r="V486" s="810"/>
      <c r="W486" s="810"/>
      <c r="X486" s="810"/>
      <c r="Y486" s="810"/>
      <c r="Z486" s="810"/>
    </row>
    <row r="487">
      <c r="A487" s="810"/>
      <c r="B487" s="810"/>
      <c r="C487" s="810"/>
      <c r="D487" s="810"/>
      <c r="E487" s="810"/>
      <c r="F487" s="810"/>
      <c r="G487" s="810"/>
      <c r="H487" s="810"/>
      <c r="I487" s="810"/>
      <c r="J487" s="810"/>
      <c r="K487" s="810"/>
      <c r="L487" s="810"/>
      <c r="M487" s="810"/>
      <c r="N487" s="810"/>
      <c r="O487" s="810"/>
      <c r="P487" s="811"/>
      <c r="Q487" s="810"/>
      <c r="R487" s="810"/>
      <c r="S487" s="810"/>
      <c r="T487" s="810"/>
      <c r="U487" s="810"/>
      <c r="V487" s="810"/>
      <c r="W487" s="810"/>
      <c r="X487" s="810"/>
      <c r="Y487" s="810"/>
      <c r="Z487" s="810"/>
    </row>
    <row r="488">
      <c r="A488" s="810"/>
      <c r="B488" s="810"/>
      <c r="C488" s="810"/>
      <c r="D488" s="810"/>
      <c r="E488" s="810"/>
      <c r="F488" s="810"/>
      <c r="G488" s="810"/>
      <c r="H488" s="810"/>
      <c r="I488" s="810"/>
      <c r="J488" s="810"/>
      <c r="K488" s="810"/>
      <c r="L488" s="810"/>
      <c r="M488" s="810"/>
      <c r="N488" s="810"/>
      <c r="O488" s="810"/>
      <c r="P488" s="811"/>
      <c r="Q488" s="810"/>
      <c r="R488" s="810"/>
      <c r="S488" s="810"/>
      <c r="T488" s="810"/>
      <c r="U488" s="810"/>
      <c r="V488" s="810"/>
      <c r="W488" s="810"/>
      <c r="X488" s="810"/>
      <c r="Y488" s="810"/>
      <c r="Z488" s="810"/>
    </row>
    <row r="489">
      <c r="A489" s="810"/>
      <c r="B489" s="810"/>
      <c r="C489" s="810"/>
      <c r="D489" s="810"/>
      <c r="E489" s="810"/>
      <c r="F489" s="810"/>
      <c r="G489" s="810"/>
      <c r="H489" s="810"/>
      <c r="I489" s="810"/>
      <c r="J489" s="810"/>
      <c r="K489" s="810"/>
      <c r="L489" s="810"/>
      <c r="M489" s="810"/>
      <c r="N489" s="810"/>
      <c r="O489" s="810"/>
      <c r="P489" s="811"/>
      <c r="Q489" s="810"/>
      <c r="R489" s="810"/>
      <c r="S489" s="810"/>
      <c r="T489" s="810"/>
      <c r="U489" s="810"/>
      <c r="V489" s="810"/>
      <c r="W489" s="810"/>
      <c r="X489" s="810"/>
      <c r="Y489" s="810"/>
      <c r="Z489" s="810"/>
    </row>
    <row r="490">
      <c r="A490" s="810"/>
      <c r="B490" s="810"/>
      <c r="C490" s="810"/>
      <c r="D490" s="810"/>
      <c r="E490" s="810"/>
      <c r="F490" s="810"/>
      <c r="G490" s="810"/>
      <c r="H490" s="810"/>
      <c r="I490" s="810"/>
      <c r="J490" s="810"/>
      <c r="K490" s="810"/>
      <c r="L490" s="810"/>
      <c r="M490" s="810"/>
      <c r="N490" s="810"/>
      <c r="O490" s="810"/>
      <c r="P490" s="811"/>
      <c r="Q490" s="810"/>
      <c r="R490" s="810"/>
      <c r="S490" s="810"/>
      <c r="T490" s="810"/>
      <c r="U490" s="810"/>
      <c r="V490" s="810"/>
      <c r="W490" s="810"/>
      <c r="X490" s="810"/>
      <c r="Y490" s="810"/>
      <c r="Z490" s="810"/>
    </row>
    <row r="491">
      <c r="A491" s="810"/>
      <c r="B491" s="810"/>
      <c r="C491" s="810"/>
      <c r="D491" s="810"/>
      <c r="E491" s="810"/>
      <c r="F491" s="810"/>
      <c r="G491" s="810"/>
      <c r="H491" s="810"/>
      <c r="I491" s="810"/>
      <c r="J491" s="810"/>
      <c r="K491" s="810"/>
      <c r="L491" s="810"/>
      <c r="M491" s="810"/>
      <c r="N491" s="810"/>
      <c r="O491" s="810"/>
      <c r="P491" s="811"/>
      <c r="Q491" s="810"/>
      <c r="R491" s="810"/>
      <c r="S491" s="810"/>
      <c r="T491" s="810"/>
      <c r="U491" s="810"/>
      <c r="V491" s="810"/>
      <c r="W491" s="810"/>
      <c r="X491" s="810"/>
      <c r="Y491" s="810"/>
      <c r="Z491" s="810"/>
    </row>
    <row r="492">
      <c r="A492" s="810"/>
      <c r="B492" s="810"/>
      <c r="C492" s="810"/>
      <c r="D492" s="810"/>
      <c r="E492" s="810"/>
      <c r="F492" s="810"/>
      <c r="G492" s="810"/>
      <c r="H492" s="810"/>
      <c r="I492" s="810"/>
      <c r="J492" s="810"/>
      <c r="K492" s="810"/>
      <c r="L492" s="810"/>
      <c r="M492" s="810"/>
      <c r="N492" s="810"/>
      <c r="O492" s="810"/>
      <c r="P492" s="811"/>
      <c r="Q492" s="810"/>
      <c r="R492" s="810"/>
      <c r="S492" s="810"/>
      <c r="T492" s="810"/>
      <c r="U492" s="810"/>
      <c r="V492" s="810"/>
      <c r="W492" s="810"/>
      <c r="X492" s="810"/>
      <c r="Y492" s="810"/>
      <c r="Z492" s="810"/>
    </row>
    <row r="493">
      <c r="A493" s="810"/>
      <c r="B493" s="810"/>
      <c r="C493" s="810"/>
      <c r="D493" s="810"/>
      <c r="E493" s="810"/>
      <c r="F493" s="810"/>
      <c r="G493" s="810"/>
      <c r="H493" s="810"/>
      <c r="I493" s="810"/>
      <c r="J493" s="810"/>
      <c r="K493" s="810"/>
      <c r="L493" s="810"/>
      <c r="M493" s="810"/>
      <c r="N493" s="810"/>
      <c r="O493" s="810"/>
      <c r="P493" s="811"/>
      <c r="Q493" s="810"/>
      <c r="R493" s="810"/>
      <c r="S493" s="810"/>
      <c r="T493" s="810"/>
      <c r="U493" s="810"/>
      <c r="V493" s="810"/>
      <c r="W493" s="810"/>
      <c r="X493" s="810"/>
      <c r="Y493" s="810"/>
      <c r="Z493" s="810"/>
    </row>
    <row r="494">
      <c r="A494" s="810"/>
      <c r="B494" s="810"/>
      <c r="C494" s="810"/>
      <c r="D494" s="810"/>
      <c r="E494" s="810"/>
      <c r="F494" s="810"/>
      <c r="G494" s="810"/>
      <c r="H494" s="810"/>
      <c r="I494" s="810"/>
      <c r="J494" s="810"/>
      <c r="K494" s="810"/>
      <c r="L494" s="810"/>
      <c r="M494" s="810"/>
      <c r="N494" s="810"/>
      <c r="O494" s="810"/>
      <c r="P494" s="811"/>
      <c r="Q494" s="810"/>
      <c r="R494" s="810"/>
      <c r="S494" s="810"/>
      <c r="T494" s="810"/>
      <c r="U494" s="810"/>
      <c r="V494" s="810"/>
      <c r="W494" s="810"/>
      <c r="X494" s="810"/>
      <c r="Y494" s="810"/>
      <c r="Z494" s="810"/>
    </row>
    <row r="495">
      <c r="A495" s="810"/>
      <c r="B495" s="810"/>
      <c r="C495" s="810"/>
      <c r="D495" s="810"/>
      <c r="E495" s="810"/>
      <c r="F495" s="810"/>
      <c r="G495" s="810"/>
      <c r="H495" s="810"/>
      <c r="I495" s="810"/>
      <c r="J495" s="810"/>
      <c r="K495" s="810"/>
      <c r="L495" s="810"/>
      <c r="M495" s="810"/>
      <c r="N495" s="810"/>
      <c r="O495" s="810"/>
      <c r="P495" s="811"/>
      <c r="Q495" s="810"/>
      <c r="R495" s="810"/>
      <c r="S495" s="810"/>
      <c r="T495" s="810"/>
      <c r="U495" s="810"/>
      <c r="V495" s="810"/>
      <c r="W495" s="810"/>
      <c r="X495" s="810"/>
      <c r="Y495" s="810"/>
      <c r="Z495" s="810"/>
    </row>
    <row r="496">
      <c r="A496" s="810"/>
      <c r="B496" s="810"/>
      <c r="C496" s="810"/>
      <c r="D496" s="810"/>
      <c r="E496" s="810"/>
      <c r="F496" s="810"/>
      <c r="G496" s="810"/>
      <c r="H496" s="810"/>
      <c r="I496" s="810"/>
      <c r="J496" s="810"/>
      <c r="K496" s="810"/>
      <c r="L496" s="810"/>
      <c r="M496" s="810"/>
      <c r="N496" s="810"/>
      <c r="O496" s="810"/>
      <c r="P496" s="811"/>
      <c r="Q496" s="810"/>
      <c r="R496" s="810"/>
      <c r="S496" s="810"/>
      <c r="T496" s="810"/>
      <c r="U496" s="810"/>
      <c r="V496" s="810"/>
      <c r="W496" s="810"/>
      <c r="X496" s="810"/>
      <c r="Y496" s="810"/>
      <c r="Z496" s="810"/>
    </row>
    <row r="497">
      <c r="A497" s="810"/>
      <c r="B497" s="810"/>
      <c r="C497" s="810"/>
      <c r="D497" s="810"/>
      <c r="E497" s="810"/>
      <c r="F497" s="810"/>
      <c r="G497" s="810"/>
      <c r="H497" s="810"/>
      <c r="I497" s="810"/>
      <c r="J497" s="810"/>
      <c r="K497" s="810"/>
      <c r="L497" s="810"/>
      <c r="M497" s="810"/>
      <c r="N497" s="810"/>
      <c r="O497" s="810"/>
      <c r="P497" s="811"/>
      <c r="Q497" s="810"/>
      <c r="R497" s="810"/>
      <c r="S497" s="810"/>
      <c r="T497" s="810"/>
      <c r="U497" s="810"/>
      <c r="V497" s="810"/>
      <c r="W497" s="810"/>
      <c r="X497" s="810"/>
      <c r="Y497" s="810"/>
      <c r="Z497" s="810"/>
    </row>
    <row r="498">
      <c r="A498" s="810"/>
      <c r="B498" s="810"/>
      <c r="C498" s="810"/>
      <c r="D498" s="810"/>
      <c r="E498" s="810"/>
      <c r="F498" s="810"/>
      <c r="G498" s="810"/>
      <c r="H498" s="810"/>
      <c r="I498" s="810"/>
      <c r="J498" s="810"/>
      <c r="K498" s="810"/>
      <c r="L498" s="810"/>
      <c r="M498" s="810"/>
      <c r="N498" s="810"/>
      <c r="O498" s="810"/>
      <c r="P498" s="811"/>
      <c r="Q498" s="810"/>
      <c r="R498" s="810"/>
      <c r="S498" s="810"/>
      <c r="T498" s="810"/>
      <c r="U498" s="810"/>
      <c r="V498" s="810"/>
      <c r="W498" s="810"/>
      <c r="X498" s="810"/>
      <c r="Y498" s="810"/>
      <c r="Z498" s="810"/>
    </row>
    <row r="499">
      <c r="A499" s="810"/>
      <c r="B499" s="810"/>
      <c r="C499" s="810"/>
      <c r="D499" s="810"/>
      <c r="E499" s="810"/>
      <c r="F499" s="810"/>
      <c r="G499" s="810"/>
      <c r="H499" s="810"/>
      <c r="I499" s="810"/>
      <c r="J499" s="810"/>
      <c r="K499" s="810"/>
      <c r="L499" s="810"/>
      <c r="M499" s="810"/>
      <c r="N499" s="810"/>
      <c r="O499" s="810"/>
      <c r="P499" s="811"/>
      <c r="Q499" s="810"/>
      <c r="R499" s="810"/>
      <c r="S499" s="810"/>
      <c r="T499" s="810"/>
      <c r="U499" s="810"/>
      <c r="V499" s="810"/>
      <c r="W499" s="810"/>
      <c r="X499" s="810"/>
      <c r="Y499" s="810"/>
      <c r="Z499" s="810"/>
    </row>
    <row r="500">
      <c r="A500" s="810"/>
      <c r="B500" s="810"/>
      <c r="C500" s="810"/>
      <c r="D500" s="810"/>
      <c r="E500" s="810"/>
      <c r="F500" s="810"/>
      <c r="G500" s="810"/>
      <c r="H500" s="810"/>
      <c r="I500" s="810"/>
      <c r="J500" s="810"/>
      <c r="K500" s="810"/>
      <c r="L500" s="810"/>
      <c r="M500" s="810"/>
      <c r="N500" s="810"/>
      <c r="O500" s="810"/>
      <c r="P500" s="811"/>
      <c r="Q500" s="810"/>
      <c r="R500" s="810"/>
      <c r="S500" s="810"/>
      <c r="T500" s="810"/>
      <c r="U500" s="810"/>
      <c r="V500" s="810"/>
      <c r="W500" s="810"/>
      <c r="X500" s="810"/>
      <c r="Y500" s="810"/>
      <c r="Z500" s="810"/>
    </row>
    <row r="501">
      <c r="A501" s="810"/>
      <c r="B501" s="810"/>
      <c r="C501" s="810"/>
      <c r="D501" s="810"/>
      <c r="E501" s="810"/>
      <c r="F501" s="810"/>
      <c r="G501" s="810"/>
      <c r="H501" s="810"/>
      <c r="I501" s="810"/>
      <c r="J501" s="810"/>
      <c r="K501" s="810"/>
      <c r="L501" s="810"/>
      <c r="M501" s="810"/>
      <c r="N501" s="810"/>
      <c r="O501" s="810"/>
      <c r="P501" s="811"/>
      <c r="Q501" s="810"/>
      <c r="R501" s="810"/>
      <c r="S501" s="810"/>
      <c r="T501" s="810"/>
      <c r="U501" s="810"/>
      <c r="V501" s="810"/>
      <c r="W501" s="810"/>
      <c r="X501" s="810"/>
      <c r="Y501" s="810"/>
      <c r="Z501" s="810"/>
    </row>
    <row r="502">
      <c r="A502" s="810"/>
      <c r="B502" s="810"/>
      <c r="C502" s="810"/>
      <c r="D502" s="810"/>
      <c r="E502" s="810"/>
      <c r="F502" s="810"/>
      <c r="G502" s="810"/>
      <c r="H502" s="810"/>
      <c r="I502" s="810"/>
      <c r="J502" s="810"/>
      <c r="K502" s="810"/>
      <c r="L502" s="810"/>
      <c r="M502" s="810"/>
      <c r="N502" s="810"/>
      <c r="O502" s="810"/>
      <c r="P502" s="811"/>
      <c r="Q502" s="810"/>
      <c r="R502" s="810"/>
      <c r="S502" s="810"/>
      <c r="T502" s="810"/>
      <c r="U502" s="810"/>
      <c r="V502" s="810"/>
      <c r="W502" s="810"/>
      <c r="X502" s="810"/>
      <c r="Y502" s="810"/>
      <c r="Z502" s="810"/>
    </row>
    <row r="503">
      <c r="A503" s="810"/>
      <c r="B503" s="810"/>
      <c r="C503" s="810"/>
      <c r="D503" s="810"/>
      <c r="E503" s="810"/>
      <c r="F503" s="810"/>
      <c r="G503" s="810"/>
      <c r="H503" s="810"/>
      <c r="I503" s="810"/>
      <c r="J503" s="810"/>
      <c r="K503" s="810"/>
      <c r="L503" s="810"/>
      <c r="M503" s="810"/>
      <c r="N503" s="810"/>
      <c r="O503" s="810"/>
      <c r="P503" s="811"/>
      <c r="Q503" s="810"/>
      <c r="R503" s="810"/>
      <c r="S503" s="810"/>
      <c r="T503" s="810"/>
      <c r="U503" s="810"/>
      <c r="V503" s="810"/>
      <c r="W503" s="810"/>
      <c r="X503" s="810"/>
      <c r="Y503" s="810"/>
      <c r="Z503" s="810"/>
    </row>
    <row r="504">
      <c r="A504" s="810"/>
      <c r="B504" s="810"/>
      <c r="C504" s="810"/>
      <c r="D504" s="810"/>
      <c r="E504" s="810"/>
      <c r="F504" s="810"/>
      <c r="G504" s="810"/>
      <c r="H504" s="810"/>
      <c r="I504" s="810"/>
      <c r="J504" s="810"/>
      <c r="K504" s="810"/>
      <c r="L504" s="810"/>
      <c r="M504" s="810"/>
      <c r="N504" s="810"/>
      <c r="O504" s="810"/>
      <c r="P504" s="811"/>
      <c r="Q504" s="810"/>
      <c r="R504" s="810"/>
      <c r="S504" s="810"/>
      <c r="T504" s="810"/>
      <c r="U504" s="810"/>
      <c r="V504" s="810"/>
      <c r="W504" s="810"/>
      <c r="X504" s="810"/>
      <c r="Y504" s="810"/>
      <c r="Z504" s="810"/>
    </row>
    <row r="505">
      <c r="A505" s="810"/>
      <c r="B505" s="810"/>
      <c r="C505" s="810"/>
      <c r="D505" s="810"/>
      <c r="E505" s="810"/>
      <c r="F505" s="810"/>
      <c r="G505" s="810"/>
      <c r="H505" s="810"/>
      <c r="I505" s="810"/>
      <c r="J505" s="810"/>
      <c r="K505" s="810"/>
      <c r="L505" s="810"/>
      <c r="M505" s="810"/>
      <c r="N505" s="810"/>
      <c r="O505" s="810"/>
      <c r="P505" s="811"/>
      <c r="Q505" s="810"/>
      <c r="R505" s="810"/>
      <c r="S505" s="810"/>
      <c r="T505" s="810"/>
      <c r="U505" s="810"/>
      <c r="V505" s="810"/>
      <c r="W505" s="810"/>
      <c r="X505" s="810"/>
      <c r="Y505" s="810"/>
      <c r="Z505" s="810"/>
    </row>
    <row r="506">
      <c r="A506" s="810"/>
      <c r="B506" s="810"/>
      <c r="C506" s="810"/>
      <c r="D506" s="810"/>
      <c r="E506" s="810"/>
      <c r="F506" s="810"/>
      <c r="G506" s="810"/>
      <c r="H506" s="810"/>
      <c r="I506" s="810"/>
      <c r="J506" s="810"/>
      <c r="K506" s="810"/>
      <c r="L506" s="810"/>
      <c r="M506" s="810"/>
      <c r="N506" s="810"/>
      <c r="O506" s="810"/>
      <c r="P506" s="811"/>
      <c r="Q506" s="810"/>
      <c r="R506" s="810"/>
      <c r="S506" s="810"/>
      <c r="T506" s="810"/>
      <c r="U506" s="810"/>
      <c r="V506" s="810"/>
      <c r="W506" s="810"/>
      <c r="X506" s="810"/>
      <c r="Y506" s="810"/>
      <c r="Z506" s="810"/>
    </row>
    <row r="507">
      <c r="A507" s="810"/>
      <c r="B507" s="810"/>
      <c r="C507" s="810"/>
      <c r="D507" s="810"/>
      <c r="E507" s="810"/>
      <c r="F507" s="810"/>
      <c r="G507" s="810"/>
      <c r="H507" s="810"/>
      <c r="I507" s="810"/>
      <c r="J507" s="810"/>
      <c r="K507" s="810"/>
      <c r="L507" s="810"/>
      <c r="M507" s="810"/>
      <c r="N507" s="810"/>
      <c r="O507" s="810"/>
      <c r="P507" s="811"/>
      <c r="Q507" s="810"/>
      <c r="R507" s="810"/>
      <c r="S507" s="810"/>
      <c r="T507" s="810"/>
      <c r="U507" s="810"/>
      <c r="V507" s="810"/>
      <c r="W507" s="810"/>
      <c r="X507" s="810"/>
      <c r="Y507" s="810"/>
      <c r="Z507" s="810"/>
    </row>
    <row r="508">
      <c r="A508" s="810"/>
      <c r="B508" s="810"/>
      <c r="C508" s="810"/>
      <c r="D508" s="810"/>
      <c r="E508" s="810"/>
      <c r="F508" s="810"/>
      <c r="G508" s="810"/>
      <c r="H508" s="810"/>
      <c r="I508" s="810"/>
      <c r="J508" s="810"/>
      <c r="K508" s="810"/>
      <c r="L508" s="810"/>
      <c r="M508" s="810"/>
      <c r="N508" s="810"/>
      <c r="O508" s="810"/>
      <c r="P508" s="811"/>
      <c r="Q508" s="810"/>
      <c r="R508" s="810"/>
      <c r="S508" s="810"/>
      <c r="T508" s="810"/>
      <c r="U508" s="810"/>
      <c r="V508" s="810"/>
      <c r="W508" s="810"/>
      <c r="X508" s="810"/>
      <c r="Y508" s="810"/>
      <c r="Z508" s="810"/>
    </row>
    <row r="509">
      <c r="A509" s="810"/>
      <c r="B509" s="810"/>
      <c r="C509" s="810"/>
      <c r="D509" s="810"/>
      <c r="E509" s="810"/>
      <c r="F509" s="810"/>
      <c r="G509" s="810"/>
      <c r="H509" s="810"/>
      <c r="I509" s="810"/>
      <c r="J509" s="810"/>
      <c r="K509" s="810"/>
      <c r="L509" s="810"/>
      <c r="M509" s="810"/>
      <c r="N509" s="810"/>
      <c r="O509" s="810"/>
      <c r="P509" s="811"/>
      <c r="Q509" s="810"/>
      <c r="R509" s="810"/>
      <c r="S509" s="810"/>
      <c r="T509" s="810"/>
      <c r="U509" s="810"/>
      <c r="V509" s="810"/>
      <c r="W509" s="810"/>
      <c r="X509" s="810"/>
      <c r="Y509" s="810"/>
      <c r="Z509" s="810"/>
    </row>
    <row r="510">
      <c r="A510" s="810"/>
      <c r="B510" s="810"/>
      <c r="C510" s="810"/>
      <c r="D510" s="810"/>
      <c r="E510" s="810"/>
      <c r="F510" s="810"/>
      <c r="G510" s="810"/>
      <c r="H510" s="810"/>
      <c r="I510" s="810"/>
      <c r="J510" s="810"/>
      <c r="K510" s="810"/>
      <c r="L510" s="810"/>
      <c r="M510" s="810"/>
      <c r="N510" s="810"/>
      <c r="O510" s="810"/>
      <c r="P510" s="811"/>
      <c r="Q510" s="810"/>
      <c r="R510" s="810"/>
      <c r="S510" s="810"/>
      <c r="T510" s="810"/>
      <c r="U510" s="810"/>
      <c r="V510" s="810"/>
      <c r="W510" s="810"/>
      <c r="X510" s="810"/>
      <c r="Y510" s="810"/>
      <c r="Z510" s="810"/>
    </row>
    <row r="511">
      <c r="A511" s="810"/>
      <c r="B511" s="810"/>
      <c r="C511" s="810"/>
      <c r="D511" s="810"/>
      <c r="E511" s="810"/>
      <c r="F511" s="810"/>
      <c r="G511" s="810"/>
      <c r="H511" s="810"/>
      <c r="I511" s="810"/>
      <c r="J511" s="810"/>
      <c r="K511" s="810"/>
      <c r="L511" s="810"/>
      <c r="M511" s="810"/>
      <c r="N511" s="810"/>
      <c r="O511" s="810"/>
      <c r="P511" s="811"/>
      <c r="Q511" s="810"/>
      <c r="R511" s="810"/>
      <c r="S511" s="810"/>
      <c r="T511" s="810"/>
      <c r="U511" s="810"/>
      <c r="V511" s="810"/>
      <c r="W511" s="810"/>
      <c r="X511" s="810"/>
      <c r="Y511" s="810"/>
      <c r="Z511" s="810"/>
    </row>
    <row r="512">
      <c r="A512" s="810"/>
      <c r="B512" s="810"/>
      <c r="C512" s="810"/>
      <c r="D512" s="810"/>
      <c r="E512" s="810"/>
      <c r="F512" s="810"/>
      <c r="G512" s="810"/>
      <c r="H512" s="810"/>
      <c r="I512" s="810"/>
      <c r="J512" s="810"/>
      <c r="K512" s="810"/>
      <c r="L512" s="810"/>
      <c r="M512" s="810"/>
      <c r="N512" s="810"/>
      <c r="O512" s="810"/>
      <c r="P512" s="811"/>
      <c r="Q512" s="810"/>
      <c r="R512" s="810"/>
      <c r="S512" s="810"/>
      <c r="T512" s="810"/>
      <c r="U512" s="810"/>
      <c r="V512" s="810"/>
      <c r="W512" s="810"/>
      <c r="X512" s="810"/>
      <c r="Y512" s="810"/>
      <c r="Z512" s="810"/>
    </row>
    <row r="513">
      <c r="A513" s="810"/>
      <c r="B513" s="810"/>
      <c r="C513" s="810"/>
      <c r="D513" s="810"/>
      <c r="E513" s="810"/>
      <c r="F513" s="810"/>
      <c r="G513" s="810"/>
      <c r="H513" s="810"/>
      <c r="I513" s="810"/>
      <c r="J513" s="810"/>
      <c r="K513" s="810"/>
      <c r="L513" s="810"/>
      <c r="M513" s="810"/>
      <c r="N513" s="810"/>
      <c r="O513" s="810"/>
      <c r="P513" s="811"/>
      <c r="Q513" s="810"/>
      <c r="R513" s="810"/>
      <c r="S513" s="810"/>
      <c r="T513" s="810"/>
      <c r="U513" s="810"/>
      <c r="V513" s="810"/>
      <c r="W513" s="810"/>
      <c r="X513" s="810"/>
      <c r="Y513" s="810"/>
      <c r="Z513" s="810"/>
    </row>
    <row r="514">
      <c r="A514" s="810"/>
      <c r="B514" s="810"/>
      <c r="C514" s="810"/>
      <c r="D514" s="810"/>
      <c r="E514" s="810"/>
      <c r="F514" s="810"/>
      <c r="G514" s="810"/>
      <c r="H514" s="810"/>
      <c r="I514" s="810"/>
      <c r="J514" s="810"/>
      <c r="K514" s="810"/>
      <c r="L514" s="810"/>
      <c r="M514" s="810"/>
      <c r="N514" s="810"/>
      <c r="O514" s="810"/>
      <c r="P514" s="811"/>
      <c r="Q514" s="810"/>
      <c r="R514" s="810"/>
      <c r="S514" s="810"/>
      <c r="T514" s="810"/>
      <c r="U514" s="810"/>
      <c r="V514" s="810"/>
      <c r="W514" s="810"/>
      <c r="X514" s="810"/>
      <c r="Y514" s="810"/>
      <c r="Z514" s="810"/>
    </row>
    <row r="515">
      <c r="A515" s="810"/>
      <c r="B515" s="810"/>
      <c r="C515" s="810"/>
      <c r="D515" s="810"/>
      <c r="E515" s="810"/>
      <c r="F515" s="810"/>
      <c r="G515" s="810"/>
      <c r="H515" s="810"/>
      <c r="I515" s="810"/>
      <c r="J515" s="810"/>
      <c r="K515" s="810"/>
      <c r="L515" s="810"/>
      <c r="M515" s="810"/>
      <c r="N515" s="810"/>
      <c r="O515" s="810"/>
      <c r="P515" s="811"/>
      <c r="Q515" s="810"/>
      <c r="R515" s="810"/>
      <c r="S515" s="810"/>
      <c r="T515" s="810"/>
      <c r="U515" s="810"/>
      <c r="V515" s="810"/>
      <c r="W515" s="810"/>
      <c r="X515" s="810"/>
      <c r="Y515" s="810"/>
      <c r="Z515" s="810"/>
    </row>
    <row r="516">
      <c r="A516" s="810"/>
      <c r="B516" s="810"/>
      <c r="C516" s="810"/>
      <c r="D516" s="810"/>
      <c r="E516" s="810"/>
      <c r="F516" s="810"/>
      <c r="G516" s="810"/>
      <c r="H516" s="810"/>
      <c r="I516" s="810"/>
      <c r="J516" s="810"/>
      <c r="K516" s="810"/>
      <c r="L516" s="810"/>
      <c r="M516" s="810"/>
      <c r="N516" s="810"/>
      <c r="O516" s="810"/>
      <c r="P516" s="811"/>
      <c r="Q516" s="810"/>
      <c r="R516" s="810"/>
      <c r="S516" s="810"/>
      <c r="T516" s="810"/>
      <c r="U516" s="810"/>
      <c r="V516" s="810"/>
      <c r="W516" s="810"/>
      <c r="X516" s="810"/>
      <c r="Y516" s="810"/>
      <c r="Z516" s="810"/>
    </row>
    <row r="517">
      <c r="A517" s="810"/>
      <c r="B517" s="810"/>
      <c r="C517" s="810"/>
      <c r="D517" s="810"/>
      <c r="E517" s="810"/>
      <c r="F517" s="810"/>
      <c r="G517" s="810"/>
      <c r="H517" s="810"/>
      <c r="I517" s="810"/>
      <c r="J517" s="810"/>
      <c r="K517" s="810"/>
      <c r="L517" s="810"/>
      <c r="M517" s="810"/>
      <c r="N517" s="810"/>
      <c r="O517" s="810"/>
      <c r="P517" s="811"/>
      <c r="Q517" s="810"/>
      <c r="R517" s="810"/>
      <c r="S517" s="810"/>
      <c r="T517" s="810"/>
      <c r="U517" s="810"/>
      <c r="V517" s="810"/>
      <c r="W517" s="810"/>
      <c r="X517" s="810"/>
      <c r="Y517" s="810"/>
      <c r="Z517" s="810"/>
    </row>
    <row r="518">
      <c r="A518" s="810"/>
      <c r="B518" s="810"/>
      <c r="C518" s="810"/>
      <c r="D518" s="810"/>
      <c r="E518" s="810"/>
      <c r="F518" s="810"/>
      <c r="G518" s="810"/>
      <c r="H518" s="810"/>
      <c r="I518" s="810"/>
      <c r="J518" s="810"/>
      <c r="K518" s="810"/>
      <c r="L518" s="810"/>
      <c r="M518" s="810"/>
      <c r="N518" s="810"/>
      <c r="O518" s="810"/>
      <c r="P518" s="811"/>
      <c r="Q518" s="810"/>
      <c r="R518" s="810"/>
      <c r="S518" s="810"/>
      <c r="T518" s="810"/>
      <c r="U518" s="810"/>
      <c r="V518" s="810"/>
      <c r="W518" s="810"/>
      <c r="X518" s="810"/>
      <c r="Y518" s="810"/>
      <c r="Z518" s="810"/>
    </row>
    <row r="519">
      <c r="A519" s="810"/>
      <c r="B519" s="810"/>
      <c r="C519" s="810"/>
      <c r="D519" s="810"/>
      <c r="E519" s="810"/>
      <c r="F519" s="810"/>
      <c r="G519" s="810"/>
      <c r="H519" s="810"/>
      <c r="I519" s="810"/>
      <c r="J519" s="810"/>
      <c r="K519" s="810"/>
      <c r="L519" s="810"/>
      <c r="M519" s="810"/>
      <c r="N519" s="810"/>
      <c r="O519" s="810"/>
      <c r="P519" s="811"/>
      <c r="Q519" s="810"/>
      <c r="R519" s="810"/>
      <c r="S519" s="810"/>
      <c r="T519" s="810"/>
      <c r="U519" s="810"/>
      <c r="V519" s="810"/>
      <c r="W519" s="810"/>
      <c r="X519" s="810"/>
      <c r="Y519" s="810"/>
      <c r="Z519" s="810"/>
    </row>
    <row r="520">
      <c r="A520" s="810"/>
      <c r="B520" s="810"/>
      <c r="C520" s="810"/>
      <c r="D520" s="810"/>
      <c r="E520" s="810"/>
      <c r="F520" s="810"/>
      <c r="G520" s="810"/>
      <c r="H520" s="810"/>
      <c r="I520" s="810"/>
      <c r="J520" s="810"/>
      <c r="K520" s="810"/>
      <c r="L520" s="810"/>
      <c r="M520" s="810"/>
      <c r="N520" s="810"/>
      <c r="O520" s="810"/>
      <c r="P520" s="811"/>
      <c r="Q520" s="810"/>
      <c r="R520" s="810"/>
      <c r="S520" s="810"/>
      <c r="T520" s="810"/>
      <c r="U520" s="810"/>
      <c r="V520" s="810"/>
      <c r="W520" s="810"/>
      <c r="X520" s="810"/>
      <c r="Y520" s="810"/>
      <c r="Z520" s="810"/>
    </row>
    <row r="521">
      <c r="A521" s="810"/>
      <c r="B521" s="810"/>
      <c r="C521" s="810"/>
      <c r="D521" s="810"/>
      <c r="E521" s="810"/>
      <c r="F521" s="810"/>
      <c r="G521" s="810"/>
      <c r="H521" s="810"/>
      <c r="I521" s="810"/>
      <c r="J521" s="810"/>
      <c r="K521" s="810"/>
      <c r="L521" s="810"/>
      <c r="M521" s="810"/>
      <c r="N521" s="810"/>
      <c r="O521" s="810"/>
      <c r="P521" s="811"/>
      <c r="Q521" s="810"/>
      <c r="R521" s="810"/>
      <c r="S521" s="810"/>
      <c r="T521" s="810"/>
      <c r="U521" s="810"/>
      <c r="V521" s="810"/>
      <c r="W521" s="810"/>
      <c r="X521" s="810"/>
      <c r="Y521" s="810"/>
      <c r="Z521" s="810"/>
    </row>
    <row r="522">
      <c r="A522" s="810"/>
      <c r="B522" s="810"/>
      <c r="C522" s="810"/>
      <c r="D522" s="810"/>
      <c r="E522" s="810"/>
      <c r="F522" s="810"/>
      <c r="G522" s="810"/>
      <c r="H522" s="810"/>
      <c r="I522" s="810"/>
      <c r="J522" s="810"/>
      <c r="K522" s="810"/>
      <c r="L522" s="810"/>
      <c r="M522" s="810"/>
      <c r="N522" s="810"/>
      <c r="O522" s="810"/>
      <c r="P522" s="811"/>
      <c r="Q522" s="810"/>
      <c r="R522" s="810"/>
      <c r="S522" s="810"/>
      <c r="T522" s="810"/>
      <c r="U522" s="810"/>
      <c r="V522" s="810"/>
      <c r="W522" s="810"/>
      <c r="X522" s="810"/>
      <c r="Y522" s="810"/>
      <c r="Z522" s="810"/>
    </row>
    <row r="523">
      <c r="A523" s="810"/>
      <c r="B523" s="810"/>
      <c r="C523" s="810"/>
      <c r="D523" s="810"/>
      <c r="E523" s="810"/>
      <c r="F523" s="810"/>
      <c r="G523" s="810"/>
      <c r="H523" s="810"/>
      <c r="I523" s="810"/>
      <c r="J523" s="810"/>
      <c r="K523" s="810"/>
      <c r="L523" s="810"/>
      <c r="M523" s="810"/>
      <c r="N523" s="810"/>
      <c r="O523" s="810"/>
      <c r="P523" s="811"/>
      <c r="Q523" s="810"/>
      <c r="R523" s="810"/>
      <c r="S523" s="810"/>
      <c r="T523" s="810"/>
      <c r="U523" s="810"/>
      <c r="V523" s="810"/>
      <c r="W523" s="810"/>
      <c r="X523" s="810"/>
      <c r="Y523" s="810"/>
      <c r="Z523" s="810"/>
    </row>
    <row r="524">
      <c r="A524" s="810"/>
      <c r="B524" s="810"/>
      <c r="C524" s="810"/>
      <c r="D524" s="810"/>
      <c r="E524" s="810"/>
      <c r="F524" s="810"/>
      <c r="G524" s="810"/>
      <c r="H524" s="810"/>
      <c r="I524" s="810"/>
      <c r="J524" s="810"/>
      <c r="K524" s="810"/>
      <c r="L524" s="810"/>
      <c r="M524" s="810"/>
      <c r="N524" s="810"/>
      <c r="O524" s="810"/>
      <c r="P524" s="811"/>
      <c r="Q524" s="810"/>
      <c r="R524" s="810"/>
      <c r="S524" s="810"/>
      <c r="T524" s="810"/>
      <c r="U524" s="810"/>
      <c r="V524" s="810"/>
      <c r="W524" s="810"/>
      <c r="X524" s="810"/>
      <c r="Y524" s="810"/>
      <c r="Z524" s="810"/>
    </row>
    <row r="525">
      <c r="A525" s="810"/>
      <c r="B525" s="810"/>
      <c r="C525" s="810"/>
      <c r="D525" s="810"/>
      <c r="E525" s="810"/>
      <c r="F525" s="810"/>
      <c r="G525" s="810"/>
      <c r="H525" s="810"/>
      <c r="I525" s="810"/>
      <c r="J525" s="810"/>
      <c r="K525" s="810"/>
      <c r="L525" s="810"/>
      <c r="M525" s="810"/>
      <c r="N525" s="810"/>
      <c r="O525" s="810"/>
      <c r="P525" s="811"/>
      <c r="Q525" s="810"/>
      <c r="R525" s="810"/>
      <c r="S525" s="810"/>
      <c r="T525" s="810"/>
      <c r="U525" s="810"/>
      <c r="V525" s="810"/>
      <c r="W525" s="810"/>
      <c r="X525" s="810"/>
      <c r="Y525" s="810"/>
      <c r="Z525" s="810"/>
    </row>
    <row r="526">
      <c r="A526" s="810"/>
      <c r="B526" s="810"/>
      <c r="C526" s="810"/>
      <c r="D526" s="810"/>
      <c r="E526" s="810"/>
      <c r="F526" s="810"/>
      <c r="G526" s="810"/>
      <c r="H526" s="810"/>
      <c r="I526" s="810"/>
      <c r="J526" s="810"/>
      <c r="K526" s="810"/>
      <c r="L526" s="810"/>
      <c r="M526" s="810"/>
      <c r="N526" s="810"/>
      <c r="O526" s="810"/>
      <c r="P526" s="811"/>
      <c r="Q526" s="810"/>
      <c r="R526" s="810"/>
      <c r="S526" s="810"/>
      <c r="T526" s="810"/>
      <c r="U526" s="810"/>
      <c r="V526" s="810"/>
      <c r="W526" s="810"/>
      <c r="X526" s="810"/>
      <c r="Y526" s="810"/>
      <c r="Z526" s="810"/>
    </row>
    <row r="527">
      <c r="A527" s="810"/>
      <c r="B527" s="810"/>
      <c r="C527" s="810"/>
      <c r="D527" s="810"/>
      <c r="E527" s="810"/>
      <c r="F527" s="810"/>
      <c r="G527" s="810"/>
      <c r="H527" s="810"/>
      <c r="I527" s="810"/>
      <c r="J527" s="810"/>
      <c r="K527" s="810"/>
      <c r="L527" s="810"/>
      <c r="M527" s="810"/>
      <c r="N527" s="810"/>
      <c r="O527" s="810"/>
      <c r="P527" s="811"/>
      <c r="Q527" s="810"/>
      <c r="R527" s="810"/>
      <c r="S527" s="810"/>
      <c r="T527" s="810"/>
      <c r="U527" s="810"/>
      <c r="V527" s="810"/>
      <c r="W527" s="810"/>
      <c r="X527" s="810"/>
      <c r="Y527" s="810"/>
      <c r="Z527" s="810"/>
    </row>
    <row r="528">
      <c r="A528" s="810"/>
      <c r="B528" s="810"/>
      <c r="C528" s="810"/>
      <c r="D528" s="810"/>
      <c r="E528" s="810"/>
      <c r="F528" s="810"/>
      <c r="G528" s="810"/>
      <c r="H528" s="810"/>
      <c r="I528" s="810"/>
      <c r="J528" s="810"/>
      <c r="K528" s="810"/>
      <c r="L528" s="810"/>
      <c r="M528" s="810"/>
      <c r="N528" s="810"/>
      <c r="O528" s="810"/>
      <c r="P528" s="811"/>
      <c r="Q528" s="810"/>
      <c r="R528" s="810"/>
      <c r="S528" s="810"/>
      <c r="T528" s="810"/>
      <c r="U528" s="810"/>
      <c r="V528" s="810"/>
      <c r="W528" s="810"/>
      <c r="X528" s="810"/>
      <c r="Y528" s="810"/>
      <c r="Z528" s="810"/>
    </row>
    <row r="529">
      <c r="A529" s="810"/>
      <c r="B529" s="810"/>
      <c r="C529" s="810"/>
      <c r="D529" s="810"/>
      <c r="E529" s="810"/>
      <c r="F529" s="810"/>
      <c r="G529" s="810"/>
      <c r="H529" s="810"/>
      <c r="I529" s="810"/>
      <c r="J529" s="810"/>
      <c r="K529" s="810"/>
      <c r="L529" s="810"/>
      <c r="M529" s="810"/>
      <c r="N529" s="810"/>
      <c r="O529" s="810"/>
      <c r="P529" s="811"/>
      <c r="Q529" s="810"/>
      <c r="R529" s="810"/>
      <c r="S529" s="810"/>
      <c r="T529" s="810"/>
      <c r="U529" s="810"/>
      <c r="V529" s="810"/>
      <c r="W529" s="810"/>
      <c r="X529" s="810"/>
      <c r="Y529" s="810"/>
      <c r="Z529" s="810"/>
    </row>
    <row r="530">
      <c r="A530" s="810"/>
      <c r="B530" s="810"/>
      <c r="C530" s="810"/>
      <c r="D530" s="810"/>
      <c r="E530" s="810"/>
      <c r="F530" s="810"/>
      <c r="G530" s="810"/>
      <c r="H530" s="810"/>
      <c r="I530" s="810"/>
      <c r="J530" s="810"/>
      <c r="K530" s="810"/>
      <c r="L530" s="810"/>
      <c r="M530" s="810"/>
      <c r="N530" s="810"/>
      <c r="O530" s="810"/>
      <c r="P530" s="811"/>
      <c r="Q530" s="810"/>
      <c r="R530" s="810"/>
      <c r="S530" s="810"/>
      <c r="T530" s="810"/>
      <c r="U530" s="810"/>
      <c r="V530" s="810"/>
      <c r="W530" s="810"/>
      <c r="X530" s="810"/>
      <c r="Y530" s="810"/>
      <c r="Z530" s="810"/>
    </row>
    <row r="531">
      <c r="A531" s="810"/>
      <c r="B531" s="810"/>
      <c r="C531" s="810"/>
      <c r="D531" s="810"/>
      <c r="E531" s="810"/>
      <c r="F531" s="810"/>
      <c r="G531" s="810"/>
      <c r="H531" s="810"/>
      <c r="I531" s="810"/>
      <c r="J531" s="810"/>
      <c r="K531" s="810"/>
      <c r="L531" s="810"/>
      <c r="M531" s="810"/>
      <c r="N531" s="810"/>
      <c r="O531" s="810"/>
      <c r="P531" s="811"/>
      <c r="Q531" s="810"/>
      <c r="R531" s="810"/>
      <c r="S531" s="810"/>
      <c r="T531" s="810"/>
      <c r="U531" s="810"/>
      <c r="V531" s="810"/>
      <c r="W531" s="810"/>
      <c r="X531" s="810"/>
      <c r="Y531" s="810"/>
      <c r="Z531" s="810"/>
    </row>
    <row r="532">
      <c r="A532" s="810"/>
      <c r="B532" s="810"/>
      <c r="C532" s="810"/>
      <c r="D532" s="810"/>
      <c r="E532" s="810"/>
      <c r="F532" s="810"/>
      <c r="G532" s="810"/>
      <c r="H532" s="810"/>
      <c r="I532" s="810"/>
      <c r="J532" s="810"/>
      <c r="K532" s="810"/>
      <c r="L532" s="810"/>
      <c r="M532" s="810"/>
      <c r="N532" s="810"/>
      <c r="O532" s="810"/>
      <c r="P532" s="811"/>
      <c r="Q532" s="810"/>
      <c r="R532" s="810"/>
      <c r="S532" s="810"/>
      <c r="T532" s="810"/>
      <c r="U532" s="810"/>
      <c r="V532" s="810"/>
      <c r="W532" s="810"/>
      <c r="X532" s="810"/>
      <c r="Y532" s="810"/>
      <c r="Z532" s="810"/>
    </row>
    <row r="533">
      <c r="A533" s="810"/>
      <c r="B533" s="810"/>
      <c r="C533" s="810"/>
      <c r="D533" s="810"/>
      <c r="E533" s="810"/>
      <c r="F533" s="810"/>
      <c r="G533" s="810"/>
      <c r="H533" s="810"/>
      <c r="I533" s="810"/>
      <c r="J533" s="810"/>
      <c r="K533" s="810"/>
      <c r="L533" s="810"/>
      <c r="M533" s="810"/>
      <c r="N533" s="810"/>
      <c r="O533" s="810"/>
      <c r="P533" s="811"/>
      <c r="Q533" s="810"/>
      <c r="R533" s="810"/>
      <c r="S533" s="810"/>
      <c r="T533" s="810"/>
      <c r="U533" s="810"/>
      <c r="V533" s="810"/>
      <c r="W533" s="810"/>
      <c r="X533" s="810"/>
      <c r="Y533" s="810"/>
      <c r="Z533" s="810"/>
    </row>
    <row r="534">
      <c r="A534" s="810"/>
      <c r="B534" s="810"/>
      <c r="C534" s="810"/>
      <c r="D534" s="810"/>
      <c r="E534" s="810"/>
      <c r="F534" s="810"/>
      <c r="G534" s="810"/>
      <c r="H534" s="810"/>
      <c r="I534" s="810"/>
      <c r="J534" s="810"/>
      <c r="K534" s="810"/>
      <c r="L534" s="810"/>
      <c r="M534" s="810"/>
      <c r="N534" s="810"/>
      <c r="O534" s="810"/>
      <c r="P534" s="811"/>
      <c r="Q534" s="810"/>
      <c r="R534" s="810"/>
      <c r="S534" s="810"/>
      <c r="T534" s="810"/>
      <c r="U534" s="810"/>
      <c r="V534" s="810"/>
      <c r="W534" s="810"/>
      <c r="X534" s="810"/>
      <c r="Y534" s="810"/>
      <c r="Z534" s="810"/>
    </row>
    <row r="535">
      <c r="A535" s="810"/>
      <c r="B535" s="810"/>
      <c r="C535" s="810"/>
      <c r="D535" s="810"/>
      <c r="E535" s="810"/>
      <c r="F535" s="810"/>
      <c r="G535" s="810"/>
      <c r="H535" s="810"/>
      <c r="I535" s="810"/>
      <c r="J535" s="810"/>
      <c r="K535" s="810"/>
      <c r="L535" s="810"/>
      <c r="M535" s="810"/>
      <c r="N535" s="810"/>
      <c r="O535" s="810"/>
      <c r="P535" s="811"/>
      <c r="Q535" s="810"/>
      <c r="R535" s="810"/>
      <c r="S535" s="810"/>
      <c r="T535" s="810"/>
      <c r="U535" s="810"/>
      <c r="V535" s="810"/>
      <c r="W535" s="810"/>
      <c r="X535" s="810"/>
      <c r="Y535" s="810"/>
      <c r="Z535" s="810"/>
    </row>
    <row r="536">
      <c r="A536" s="810"/>
      <c r="B536" s="810"/>
      <c r="C536" s="810"/>
      <c r="D536" s="810"/>
      <c r="E536" s="810"/>
      <c r="F536" s="810"/>
      <c r="G536" s="810"/>
      <c r="H536" s="810"/>
      <c r="I536" s="810"/>
      <c r="J536" s="810"/>
      <c r="K536" s="810"/>
      <c r="L536" s="810"/>
      <c r="M536" s="810"/>
      <c r="N536" s="810"/>
      <c r="O536" s="810"/>
      <c r="P536" s="811"/>
      <c r="Q536" s="810"/>
      <c r="R536" s="810"/>
      <c r="S536" s="810"/>
      <c r="T536" s="810"/>
      <c r="U536" s="810"/>
      <c r="V536" s="810"/>
      <c r="W536" s="810"/>
      <c r="X536" s="810"/>
      <c r="Y536" s="810"/>
      <c r="Z536" s="810"/>
    </row>
    <row r="537">
      <c r="A537" s="810"/>
      <c r="B537" s="810"/>
      <c r="C537" s="810"/>
      <c r="D537" s="810"/>
      <c r="E537" s="810"/>
      <c r="F537" s="810"/>
      <c r="G537" s="810"/>
      <c r="H537" s="810"/>
      <c r="I537" s="810"/>
      <c r="J537" s="810"/>
      <c r="K537" s="810"/>
      <c r="L537" s="810"/>
      <c r="M537" s="810"/>
      <c r="N537" s="810"/>
      <c r="O537" s="810"/>
      <c r="P537" s="811"/>
      <c r="Q537" s="810"/>
      <c r="R537" s="810"/>
      <c r="S537" s="810"/>
      <c r="T537" s="810"/>
      <c r="U537" s="810"/>
      <c r="V537" s="810"/>
      <c r="W537" s="810"/>
      <c r="X537" s="810"/>
      <c r="Y537" s="810"/>
      <c r="Z537" s="810"/>
    </row>
    <row r="538">
      <c r="A538" s="810"/>
      <c r="B538" s="810"/>
      <c r="C538" s="810"/>
      <c r="D538" s="810"/>
      <c r="E538" s="810"/>
      <c r="F538" s="810"/>
      <c r="G538" s="810"/>
      <c r="H538" s="810"/>
      <c r="I538" s="810"/>
      <c r="J538" s="810"/>
      <c r="K538" s="810"/>
      <c r="L538" s="810"/>
      <c r="M538" s="810"/>
      <c r="N538" s="810"/>
      <c r="O538" s="810"/>
      <c r="P538" s="811"/>
      <c r="Q538" s="810"/>
      <c r="R538" s="810"/>
      <c r="S538" s="810"/>
      <c r="T538" s="810"/>
      <c r="U538" s="810"/>
      <c r="V538" s="810"/>
      <c r="W538" s="810"/>
      <c r="X538" s="810"/>
      <c r="Y538" s="810"/>
      <c r="Z538" s="810"/>
    </row>
    <row r="539">
      <c r="A539" s="810"/>
      <c r="B539" s="810"/>
      <c r="C539" s="810"/>
      <c r="D539" s="810"/>
      <c r="E539" s="810"/>
      <c r="F539" s="810"/>
      <c r="G539" s="810"/>
      <c r="H539" s="810"/>
      <c r="I539" s="810"/>
      <c r="J539" s="810"/>
      <c r="K539" s="810"/>
      <c r="L539" s="810"/>
      <c r="M539" s="810"/>
      <c r="N539" s="810"/>
      <c r="O539" s="810"/>
      <c r="P539" s="811"/>
      <c r="Q539" s="810"/>
      <c r="R539" s="810"/>
      <c r="S539" s="810"/>
      <c r="T539" s="810"/>
      <c r="U539" s="810"/>
      <c r="V539" s="810"/>
      <c r="W539" s="810"/>
      <c r="X539" s="810"/>
      <c r="Y539" s="810"/>
      <c r="Z539" s="810"/>
    </row>
    <row r="540">
      <c r="A540" s="810"/>
      <c r="B540" s="810"/>
      <c r="C540" s="810"/>
      <c r="D540" s="810"/>
      <c r="E540" s="810"/>
      <c r="F540" s="810"/>
      <c r="G540" s="810"/>
      <c r="H540" s="810"/>
      <c r="I540" s="810"/>
      <c r="J540" s="810"/>
      <c r="K540" s="810"/>
      <c r="L540" s="810"/>
      <c r="M540" s="810"/>
      <c r="N540" s="810"/>
      <c r="O540" s="810"/>
      <c r="P540" s="811"/>
      <c r="Q540" s="810"/>
      <c r="R540" s="810"/>
      <c r="S540" s="810"/>
      <c r="T540" s="810"/>
      <c r="U540" s="810"/>
      <c r="V540" s="810"/>
      <c r="W540" s="810"/>
      <c r="X540" s="810"/>
      <c r="Y540" s="810"/>
      <c r="Z540" s="810"/>
    </row>
    <row r="541">
      <c r="A541" s="810"/>
      <c r="B541" s="810"/>
      <c r="C541" s="810"/>
      <c r="D541" s="810"/>
      <c r="E541" s="810"/>
      <c r="F541" s="810"/>
      <c r="G541" s="810"/>
      <c r="H541" s="810"/>
      <c r="I541" s="810"/>
      <c r="J541" s="810"/>
      <c r="K541" s="810"/>
      <c r="L541" s="810"/>
      <c r="M541" s="810"/>
      <c r="N541" s="810"/>
      <c r="O541" s="810"/>
      <c r="P541" s="811"/>
      <c r="Q541" s="810"/>
      <c r="R541" s="810"/>
      <c r="S541" s="810"/>
      <c r="T541" s="810"/>
      <c r="U541" s="810"/>
      <c r="V541" s="810"/>
      <c r="W541" s="810"/>
      <c r="X541" s="810"/>
      <c r="Y541" s="810"/>
      <c r="Z541" s="810"/>
    </row>
    <row r="542">
      <c r="A542" s="810"/>
      <c r="B542" s="810"/>
      <c r="C542" s="810"/>
      <c r="D542" s="810"/>
      <c r="E542" s="810"/>
      <c r="F542" s="810"/>
      <c r="G542" s="810"/>
      <c r="H542" s="810"/>
      <c r="I542" s="810"/>
      <c r="J542" s="810"/>
      <c r="K542" s="810"/>
      <c r="L542" s="810"/>
      <c r="M542" s="810"/>
      <c r="N542" s="810"/>
      <c r="O542" s="810"/>
      <c r="P542" s="811"/>
      <c r="Q542" s="810"/>
      <c r="R542" s="810"/>
      <c r="S542" s="810"/>
      <c r="T542" s="810"/>
      <c r="U542" s="810"/>
      <c r="V542" s="810"/>
      <c r="W542" s="810"/>
      <c r="X542" s="810"/>
      <c r="Y542" s="810"/>
      <c r="Z542" s="810"/>
    </row>
    <row r="543">
      <c r="A543" s="810"/>
      <c r="B543" s="810"/>
      <c r="C543" s="810"/>
      <c r="D543" s="810"/>
      <c r="E543" s="810"/>
      <c r="F543" s="810"/>
      <c r="G543" s="810"/>
      <c r="H543" s="810"/>
      <c r="I543" s="810"/>
      <c r="J543" s="810"/>
      <c r="K543" s="810"/>
      <c r="L543" s="810"/>
      <c r="M543" s="810"/>
      <c r="N543" s="810"/>
      <c r="O543" s="810"/>
      <c r="P543" s="811"/>
      <c r="Q543" s="810"/>
      <c r="R543" s="810"/>
      <c r="S543" s="810"/>
      <c r="T543" s="810"/>
      <c r="U543" s="810"/>
      <c r="V543" s="810"/>
      <c r="W543" s="810"/>
      <c r="X543" s="810"/>
      <c r="Y543" s="810"/>
      <c r="Z543" s="810"/>
    </row>
    <row r="544">
      <c r="A544" s="810"/>
      <c r="B544" s="810"/>
      <c r="C544" s="810"/>
      <c r="D544" s="810"/>
      <c r="E544" s="810"/>
      <c r="F544" s="810"/>
      <c r="G544" s="810"/>
      <c r="H544" s="810"/>
      <c r="I544" s="810"/>
      <c r="J544" s="810"/>
      <c r="K544" s="810"/>
      <c r="L544" s="810"/>
      <c r="M544" s="810"/>
      <c r="N544" s="810"/>
      <c r="O544" s="810"/>
      <c r="P544" s="811"/>
      <c r="Q544" s="810"/>
      <c r="R544" s="810"/>
      <c r="S544" s="810"/>
      <c r="T544" s="810"/>
      <c r="U544" s="810"/>
      <c r="V544" s="810"/>
      <c r="W544" s="810"/>
      <c r="X544" s="810"/>
      <c r="Y544" s="810"/>
      <c r="Z544" s="810"/>
    </row>
    <row r="545">
      <c r="A545" s="810"/>
      <c r="B545" s="810"/>
      <c r="C545" s="810"/>
      <c r="D545" s="810"/>
      <c r="E545" s="810"/>
      <c r="F545" s="810"/>
      <c r="G545" s="810"/>
      <c r="H545" s="810"/>
      <c r="I545" s="810"/>
      <c r="J545" s="810"/>
      <c r="K545" s="810"/>
      <c r="L545" s="810"/>
      <c r="M545" s="810"/>
      <c r="N545" s="810"/>
      <c r="O545" s="810"/>
      <c r="P545" s="811"/>
      <c r="Q545" s="810"/>
      <c r="R545" s="810"/>
      <c r="S545" s="810"/>
      <c r="T545" s="810"/>
      <c r="U545" s="810"/>
      <c r="V545" s="810"/>
      <c r="W545" s="810"/>
      <c r="X545" s="810"/>
      <c r="Y545" s="810"/>
      <c r="Z545" s="810"/>
    </row>
    <row r="546">
      <c r="A546" s="810"/>
      <c r="B546" s="810"/>
      <c r="C546" s="810"/>
      <c r="D546" s="810"/>
      <c r="E546" s="810"/>
      <c r="F546" s="810"/>
      <c r="G546" s="810"/>
      <c r="H546" s="810"/>
      <c r="I546" s="810"/>
      <c r="J546" s="810"/>
      <c r="K546" s="810"/>
      <c r="L546" s="810"/>
      <c r="M546" s="810"/>
      <c r="N546" s="810"/>
      <c r="O546" s="810"/>
      <c r="P546" s="811"/>
      <c r="Q546" s="810"/>
      <c r="R546" s="810"/>
      <c r="S546" s="810"/>
      <c r="T546" s="810"/>
      <c r="U546" s="810"/>
      <c r="V546" s="810"/>
      <c r="W546" s="810"/>
      <c r="X546" s="810"/>
      <c r="Y546" s="810"/>
      <c r="Z546" s="810"/>
    </row>
    <row r="547">
      <c r="A547" s="810"/>
      <c r="B547" s="810"/>
      <c r="C547" s="810"/>
      <c r="D547" s="810"/>
      <c r="E547" s="810"/>
      <c r="F547" s="810"/>
      <c r="G547" s="810"/>
      <c r="H547" s="810"/>
      <c r="I547" s="810"/>
      <c r="J547" s="810"/>
      <c r="K547" s="810"/>
      <c r="L547" s="810"/>
      <c r="M547" s="810"/>
      <c r="N547" s="810"/>
      <c r="O547" s="810"/>
      <c r="P547" s="811"/>
      <c r="Q547" s="810"/>
      <c r="R547" s="810"/>
      <c r="S547" s="810"/>
      <c r="T547" s="810"/>
      <c r="U547" s="810"/>
      <c r="V547" s="810"/>
      <c r="W547" s="810"/>
      <c r="X547" s="810"/>
      <c r="Y547" s="810"/>
      <c r="Z547" s="810"/>
    </row>
    <row r="548">
      <c r="A548" s="810"/>
      <c r="B548" s="810"/>
      <c r="C548" s="810"/>
      <c r="D548" s="810"/>
      <c r="E548" s="810"/>
      <c r="F548" s="810"/>
      <c r="G548" s="810"/>
      <c r="H548" s="810"/>
      <c r="I548" s="810"/>
      <c r="J548" s="810"/>
      <c r="K548" s="810"/>
      <c r="L548" s="810"/>
      <c r="M548" s="810"/>
      <c r="N548" s="810"/>
      <c r="O548" s="810"/>
      <c r="P548" s="811"/>
      <c r="Q548" s="810"/>
      <c r="R548" s="810"/>
      <c r="S548" s="810"/>
      <c r="T548" s="810"/>
      <c r="U548" s="810"/>
      <c r="V548" s="810"/>
      <c r="W548" s="810"/>
      <c r="X548" s="810"/>
      <c r="Y548" s="810"/>
      <c r="Z548" s="810"/>
    </row>
    <row r="549">
      <c r="A549" s="810"/>
      <c r="B549" s="810"/>
      <c r="C549" s="810"/>
      <c r="D549" s="810"/>
      <c r="E549" s="810"/>
      <c r="F549" s="810"/>
      <c r="G549" s="810"/>
      <c r="H549" s="810"/>
      <c r="I549" s="810"/>
      <c r="J549" s="810"/>
      <c r="K549" s="810"/>
      <c r="L549" s="810"/>
      <c r="M549" s="810"/>
      <c r="N549" s="810"/>
      <c r="O549" s="810"/>
      <c r="P549" s="811"/>
      <c r="Q549" s="810"/>
      <c r="R549" s="810"/>
      <c r="S549" s="810"/>
      <c r="T549" s="810"/>
      <c r="U549" s="810"/>
      <c r="V549" s="810"/>
      <c r="W549" s="810"/>
      <c r="X549" s="810"/>
      <c r="Y549" s="810"/>
      <c r="Z549" s="810"/>
    </row>
    <row r="550">
      <c r="A550" s="810"/>
      <c r="B550" s="810"/>
      <c r="C550" s="810"/>
      <c r="D550" s="810"/>
      <c r="E550" s="810"/>
      <c r="F550" s="810"/>
      <c r="G550" s="810"/>
      <c r="H550" s="810"/>
      <c r="I550" s="810"/>
      <c r="J550" s="810"/>
      <c r="K550" s="810"/>
      <c r="L550" s="810"/>
      <c r="M550" s="810"/>
      <c r="N550" s="810"/>
      <c r="O550" s="810"/>
      <c r="P550" s="811"/>
      <c r="Q550" s="810"/>
      <c r="R550" s="810"/>
      <c r="S550" s="810"/>
      <c r="T550" s="810"/>
      <c r="U550" s="810"/>
      <c r="V550" s="810"/>
      <c r="W550" s="810"/>
      <c r="X550" s="810"/>
      <c r="Y550" s="810"/>
      <c r="Z550" s="810"/>
    </row>
    <row r="551">
      <c r="A551" s="810"/>
      <c r="B551" s="810"/>
      <c r="C551" s="810"/>
      <c r="D551" s="810"/>
      <c r="E551" s="810"/>
      <c r="F551" s="810"/>
      <c r="G551" s="810"/>
      <c r="H551" s="810"/>
      <c r="I551" s="810"/>
      <c r="J551" s="810"/>
      <c r="K551" s="810"/>
      <c r="L551" s="810"/>
      <c r="M551" s="810"/>
      <c r="N551" s="810"/>
      <c r="O551" s="810"/>
      <c r="P551" s="811"/>
      <c r="Q551" s="810"/>
      <c r="R551" s="810"/>
      <c r="S551" s="810"/>
      <c r="T551" s="810"/>
      <c r="U551" s="810"/>
      <c r="V551" s="810"/>
      <c r="W551" s="810"/>
      <c r="X551" s="810"/>
      <c r="Y551" s="810"/>
      <c r="Z551" s="810"/>
    </row>
    <row r="552">
      <c r="A552" s="810"/>
      <c r="B552" s="810"/>
      <c r="C552" s="810"/>
      <c r="D552" s="810"/>
      <c r="E552" s="810"/>
      <c r="F552" s="810"/>
      <c r="G552" s="810"/>
      <c r="H552" s="810"/>
      <c r="I552" s="810"/>
      <c r="J552" s="810"/>
      <c r="K552" s="810"/>
      <c r="L552" s="810"/>
      <c r="M552" s="810"/>
      <c r="N552" s="810"/>
      <c r="O552" s="810"/>
      <c r="P552" s="811"/>
      <c r="Q552" s="810"/>
      <c r="R552" s="810"/>
      <c r="S552" s="810"/>
      <c r="T552" s="810"/>
      <c r="U552" s="810"/>
      <c r="V552" s="810"/>
      <c r="W552" s="810"/>
      <c r="X552" s="810"/>
      <c r="Y552" s="810"/>
      <c r="Z552" s="810"/>
    </row>
    <row r="553">
      <c r="A553" s="810"/>
      <c r="B553" s="810"/>
      <c r="C553" s="810"/>
      <c r="D553" s="810"/>
      <c r="E553" s="810"/>
      <c r="F553" s="810"/>
      <c r="G553" s="810"/>
      <c r="H553" s="810"/>
      <c r="I553" s="810"/>
      <c r="J553" s="810"/>
      <c r="K553" s="810"/>
      <c r="L553" s="810"/>
      <c r="M553" s="810"/>
      <c r="N553" s="810"/>
      <c r="O553" s="810"/>
      <c r="P553" s="811"/>
      <c r="Q553" s="810"/>
      <c r="R553" s="810"/>
      <c r="S553" s="810"/>
      <c r="T553" s="810"/>
      <c r="U553" s="810"/>
      <c r="V553" s="810"/>
      <c r="W553" s="810"/>
      <c r="X553" s="810"/>
      <c r="Y553" s="810"/>
      <c r="Z553" s="810"/>
    </row>
    <row r="554">
      <c r="A554" s="810"/>
      <c r="B554" s="810"/>
      <c r="C554" s="810"/>
      <c r="D554" s="810"/>
      <c r="E554" s="810"/>
      <c r="F554" s="810"/>
      <c r="G554" s="810"/>
      <c r="H554" s="810"/>
      <c r="I554" s="810"/>
      <c r="J554" s="810"/>
      <c r="K554" s="810"/>
      <c r="L554" s="810"/>
      <c r="M554" s="810"/>
      <c r="N554" s="810"/>
      <c r="O554" s="810"/>
      <c r="P554" s="811"/>
      <c r="Q554" s="810"/>
      <c r="R554" s="810"/>
      <c r="S554" s="810"/>
      <c r="T554" s="810"/>
      <c r="U554" s="810"/>
      <c r="V554" s="810"/>
      <c r="W554" s="810"/>
      <c r="X554" s="810"/>
      <c r="Y554" s="810"/>
      <c r="Z554" s="810"/>
    </row>
    <row r="555">
      <c r="A555" s="810"/>
      <c r="B555" s="810"/>
      <c r="C555" s="810"/>
      <c r="D555" s="810"/>
      <c r="E555" s="810"/>
      <c r="F555" s="810"/>
      <c r="G555" s="810"/>
      <c r="H555" s="810"/>
      <c r="I555" s="810"/>
      <c r="J555" s="810"/>
      <c r="K555" s="810"/>
      <c r="L555" s="810"/>
      <c r="M555" s="810"/>
      <c r="N555" s="810"/>
      <c r="O555" s="810"/>
      <c r="P555" s="811"/>
      <c r="Q555" s="810"/>
      <c r="R555" s="810"/>
      <c r="S555" s="810"/>
      <c r="T555" s="810"/>
      <c r="U555" s="810"/>
      <c r="V555" s="810"/>
      <c r="W555" s="810"/>
      <c r="X555" s="810"/>
      <c r="Y555" s="810"/>
      <c r="Z555" s="810"/>
    </row>
    <row r="556">
      <c r="A556" s="810"/>
      <c r="B556" s="810"/>
      <c r="C556" s="810"/>
      <c r="D556" s="810"/>
      <c r="E556" s="810"/>
      <c r="F556" s="810"/>
      <c r="G556" s="810"/>
      <c r="H556" s="810"/>
      <c r="I556" s="810"/>
      <c r="J556" s="810"/>
      <c r="K556" s="810"/>
      <c r="L556" s="810"/>
      <c r="M556" s="810"/>
      <c r="N556" s="810"/>
      <c r="O556" s="810"/>
      <c r="P556" s="811"/>
      <c r="Q556" s="810"/>
      <c r="R556" s="810"/>
      <c r="S556" s="810"/>
      <c r="T556" s="810"/>
      <c r="U556" s="810"/>
      <c r="V556" s="810"/>
      <c r="W556" s="810"/>
      <c r="X556" s="810"/>
      <c r="Y556" s="810"/>
      <c r="Z556" s="810"/>
    </row>
    <row r="557">
      <c r="A557" s="810"/>
      <c r="B557" s="810"/>
      <c r="C557" s="810"/>
      <c r="D557" s="810"/>
      <c r="E557" s="810"/>
      <c r="F557" s="810"/>
      <c r="G557" s="810"/>
      <c r="H557" s="810"/>
      <c r="I557" s="810"/>
      <c r="J557" s="810"/>
      <c r="K557" s="810"/>
      <c r="L557" s="810"/>
      <c r="M557" s="810"/>
      <c r="N557" s="810"/>
      <c r="O557" s="810"/>
      <c r="P557" s="811"/>
      <c r="Q557" s="810"/>
      <c r="R557" s="810"/>
      <c r="S557" s="810"/>
      <c r="T557" s="810"/>
      <c r="U557" s="810"/>
      <c r="V557" s="810"/>
      <c r="W557" s="810"/>
      <c r="X557" s="810"/>
      <c r="Y557" s="810"/>
      <c r="Z557" s="810"/>
    </row>
    <row r="558">
      <c r="A558" s="810"/>
      <c r="B558" s="810"/>
      <c r="C558" s="810"/>
      <c r="D558" s="810"/>
      <c r="E558" s="810"/>
      <c r="F558" s="810"/>
      <c r="G558" s="810"/>
      <c r="H558" s="810"/>
      <c r="I558" s="810"/>
      <c r="J558" s="810"/>
      <c r="K558" s="810"/>
      <c r="L558" s="810"/>
      <c r="M558" s="810"/>
      <c r="N558" s="810"/>
      <c r="O558" s="810"/>
      <c r="P558" s="811"/>
      <c r="Q558" s="810"/>
      <c r="R558" s="810"/>
      <c r="S558" s="810"/>
      <c r="T558" s="810"/>
      <c r="U558" s="810"/>
      <c r="V558" s="810"/>
      <c r="W558" s="810"/>
      <c r="X558" s="810"/>
      <c r="Y558" s="810"/>
      <c r="Z558" s="810"/>
    </row>
    <row r="559">
      <c r="A559" s="810"/>
      <c r="B559" s="810"/>
      <c r="C559" s="810"/>
      <c r="D559" s="810"/>
      <c r="E559" s="810"/>
      <c r="F559" s="810"/>
      <c r="G559" s="810"/>
      <c r="H559" s="810"/>
      <c r="I559" s="810"/>
      <c r="J559" s="810"/>
      <c r="K559" s="810"/>
      <c r="L559" s="810"/>
      <c r="M559" s="810"/>
      <c r="N559" s="810"/>
      <c r="O559" s="810"/>
      <c r="P559" s="811"/>
      <c r="Q559" s="810"/>
      <c r="R559" s="810"/>
      <c r="S559" s="810"/>
      <c r="T559" s="810"/>
      <c r="U559" s="810"/>
      <c r="V559" s="810"/>
      <c r="W559" s="810"/>
      <c r="X559" s="810"/>
      <c r="Y559" s="810"/>
      <c r="Z559" s="810"/>
    </row>
    <row r="560">
      <c r="A560" s="810"/>
      <c r="B560" s="810"/>
      <c r="C560" s="810"/>
      <c r="D560" s="810"/>
      <c r="E560" s="810"/>
      <c r="F560" s="810"/>
      <c r="G560" s="810"/>
      <c r="H560" s="810"/>
      <c r="I560" s="810"/>
      <c r="J560" s="810"/>
      <c r="K560" s="810"/>
      <c r="L560" s="810"/>
      <c r="M560" s="810"/>
      <c r="N560" s="810"/>
      <c r="O560" s="810"/>
      <c r="P560" s="811"/>
      <c r="Q560" s="810"/>
      <c r="R560" s="810"/>
      <c r="S560" s="810"/>
      <c r="T560" s="810"/>
      <c r="U560" s="810"/>
      <c r="V560" s="810"/>
      <c r="W560" s="810"/>
      <c r="X560" s="810"/>
      <c r="Y560" s="810"/>
      <c r="Z560" s="810"/>
    </row>
    <row r="561">
      <c r="A561" s="810"/>
      <c r="B561" s="810"/>
      <c r="C561" s="810"/>
      <c r="D561" s="810"/>
      <c r="E561" s="810"/>
      <c r="F561" s="810"/>
      <c r="G561" s="810"/>
      <c r="H561" s="810"/>
      <c r="I561" s="810"/>
      <c r="J561" s="810"/>
      <c r="K561" s="810"/>
      <c r="L561" s="810"/>
      <c r="M561" s="810"/>
      <c r="N561" s="810"/>
      <c r="O561" s="810"/>
      <c r="P561" s="811"/>
      <c r="Q561" s="810"/>
      <c r="R561" s="810"/>
      <c r="S561" s="810"/>
      <c r="T561" s="810"/>
      <c r="U561" s="810"/>
      <c r="V561" s="810"/>
      <c r="W561" s="810"/>
      <c r="X561" s="810"/>
      <c r="Y561" s="810"/>
      <c r="Z561" s="810"/>
    </row>
    <row r="562">
      <c r="A562" s="810"/>
      <c r="B562" s="810"/>
      <c r="C562" s="810"/>
      <c r="D562" s="810"/>
      <c r="E562" s="810"/>
      <c r="F562" s="810"/>
      <c r="G562" s="810"/>
      <c r="H562" s="810"/>
      <c r="I562" s="810"/>
      <c r="J562" s="810"/>
      <c r="K562" s="810"/>
      <c r="L562" s="810"/>
      <c r="M562" s="810"/>
      <c r="N562" s="810"/>
      <c r="O562" s="810"/>
      <c r="P562" s="811"/>
      <c r="Q562" s="810"/>
      <c r="R562" s="810"/>
      <c r="S562" s="810"/>
      <c r="T562" s="810"/>
      <c r="U562" s="810"/>
      <c r="V562" s="810"/>
      <c r="W562" s="810"/>
      <c r="X562" s="810"/>
      <c r="Y562" s="810"/>
      <c r="Z562" s="810"/>
    </row>
    <row r="563">
      <c r="A563" s="810"/>
      <c r="B563" s="810"/>
      <c r="C563" s="810"/>
      <c r="D563" s="810"/>
      <c r="E563" s="810"/>
      <c r="F563" s="810"/>
      <c r="G563" s="810"/>
      <c r="H563" s="810"/>
      <c r="I563" s="810"/>
      <c r="J563" s="810"/>
      <c r="K563" s="810"/>
      <c r="L563" s="810"/>
      <c r="M563" s="810"/>
      <c r="N563" s="810"/>
      <c r="O563" s="810"/>
      <c r="P563" s="811"/>
      <c r="Q563" s="810"/>
      <c r="R563" s="810"/>
      <c r="S563" s="810"/>
      <c r="T563" s="810"/>
      <c r="U563" s="810"/>
      <c r="V563" s="810"/>
      <c r="W563" s="810"/>
      <c r="X563" s="810"/>
      <c r="Y563" s="810"/>
      <c r="Z563" s="810"/>
    </row>
    <row r="564">
      <c r="A564" s="810"/>
      <c r="B564" s="810"/>
      <c r="C564" s="810"/>
      <c r="D564" s="810"/>
      <c r="E564" s="810"/>
      <c r="F564" s="810"/>
      <c r="G564" s="810"/>
      <c r="H564" s="810"/>
      <c r="I564" s="810"/>
      <c r="J564" s="810"/>
      <c r="K564" s="810"/>
      <c r="L564" s="810"/>
      <c r="M564" s="810"/>
      <c r="N564" s="810"/>
      <c r="O564" s="810"/>
      <c r="P564" s="811"/>
      <c r="Q564" s="810"/>
      <c r="R564" s="810"/>
      <c r="S564" s="810"/>
      <c r="T564" s="810"/>
      <c r="U564" s="810"/>
      <c r="V564" s="810"/>
      <c r="W564" s="810"/>
      <c r="X564" s="810"/>
      <c r="Y564" s="810"/>
      <c r="Z564" s="810"/>
    </row>
    <row r="565">
      <c r="A565" s="810"/>
      <c r="B565" s="810"/>
      <c r="C565" s="810"/>
      <c r="D565" s="810"/>
      <c r="E565" s="810"/>
      <c r="F565" s="810"/>
      <c r="G565" s="810"/>
      <c r="H565" s="810"/>
      <c r="I565" s="810"/>
      <c r="J565" s="810"/>
      <c r="K565" s="810"/>
      <c r="L565" s="810"/>
      <c r="M565" s="810"/>
      <c r="N565" s="810"/>
      <c r="O565" s="810"/>
      <c r="P565" s="811"/>
      <c r="Q565" s="810"/>
      <c r="R565" s="810"/>
      <c r="S565" s="810"/>
      <c r="T565" s="810"/>
      <c r="U565" s="810"/>
      <c r="V565" s="810"/>
      <c r="W565" s="810"/>
      <c r="X565" s="810"/>
      <c r="Y565" s="810"/>
      <c r="Z565" s="810"/>
    </row>
    <row r="566">
      <c r="A566" s="810"/>
      <c r="B566" s="810"/>
      <c r="C566" s="810"/>
      <c r="D566" s="810"/>
      <c r="E566" s="810"/>
      <c r="F566" s="810"/>
      <c r="G566" s="810"/>
      <c r="H566" s="810"/>
      <c r="I566" s="810"/>
      <c r="J566" s="810"/>
      <c r="K566" s="810"/>
      <c r="L566" s="810"/>
      <c r="M566" s="810"/>
      <c r="N566" s="810"/>
      <c r="O566" s="810"/>
      <c r="P566" s="811"/>
      <c r="Q566" s="810"/>
      <c r="R566" s="810"/>
      <c r="S566" s="810"/>
      <c r="T566" s="810"/>
      <c r="U566" s="810"/>
      <c r="V566" s="810"/>
      <c r="W566" s="810"/>
      <c r="X566" s="810"/>
      <c r="Y566" s="810"/>
      <c r="Z566" s="810"/>
    </row>
    <row r="567">
      <c r="A567" s="810"/>
      <c r="B567" s="810"/>
      <c r="C567" s="810"/>
      <c r="D567" s="810"/>
      <c r="E567" s="810"/>
      <c r="F567" s="810"/>
      <c r="G567" s="810"/>
      <c r="H567" s="810"/>
      <c r="I567" s="810"/>
      <c r="J567" s="810"/>
      <c r="K567" s="810"/>
      <c r="L567" s="810"/>
      <c r="M567" s="810"/>
      <c r="N567" s="810"/>
      <c r="O567" s="810"/>
      <c r="P567" s="811"/>
      <c r="Q567" s="810"/>
      <c r="R567" s="810"/>
      <c r="S567" s="810"/>
      <c r="T567" s="810"/>
      <c r="U567" s="810"/>
      <c r="V567" s="810"/>
      <c r="W567" s="810"/>
      <c r="X567" s="810"/>
      <c r="Y567" s="810"/>
      <c r="Z567" s="810"/>
    </row>
    <row r="568">
      <c r="A568" s="810"/>
      <c r="B568" s="810"/>
      <c r="C568" s="810"/>
      <c r="D568" s="810"/>
      <c r="E568" s="810"/>
      <c r="F568" s="810"/>
      <c r="G568" s="810"/>
      <c r="H568" s="810"/>
      <c r="I568" s="810"/>
      <c r="J568" s="810"/>
      <c r="K568" s="810"/>
      <c r="L568" s="810"/>
      <c r="M568" s="810"/>
      <c r="N568" s="810"/>
      <c r="O568" s="810"/>
      <c r="P568" s="811"/>
      <c r="Q568" s="810"/>
      <c r="R568" s="810"/>
      <c r="S568" s="810"/>
      <c r="T568" s="810"/>
      <c r="U568" s="810"/>
      <c r="V568" s="810"/>
      <c r="W568" s="810"/>
      <c r="X568" s="810"/>
      <c r="Y568" s="810"/>
      <c r="Z568" s="810"/>
    </row>
    <row r="569">
      <c r="A569" s="810"/>
      <c r="B569" s="810"/>
      <c r="C569" s="810"/>
      <c r="D569" s="810"/>
      <c r="E569" s="810"/>
      <c r="F569" s="810"/>
      <c r="G569" s="810"/>
      <c r="H569" s="810"/>
      <c r="I569" s="810"/>
      <c r="J569" s="810"/>
      <c r="K569" s="810"/>
      <c r="L569" s="810"/>
      <c r="M569" s="810"/>
      <c r="N569" s="810"/>
      <c r="O569" s="810"/>
      <c r="P569" s="811"/>
      <c r="Q569" s="810"/>
      <c r="R569" s="810"/>
      <c r="S569" s="810"/>
      <c r="T569" s="810"/>
      <c r="U569" s="810"/>
      <c r="V569" s="810"/>
      <c r="W569" s="810"/>
      <c r="X569" s="810"/>
      <c r="Y569" s="810"/>
      <c r="Z569" s="810"/>
    </row>
    <row r="570">
      <c r="A570" s="810"/>
      <c r="B570" s="810"/>
      <c r="C570" s="810"/>
      <c r="D570" s="810"/>
      <c r="E570" s="810"/>
      <c r="F570" s="810"/>
      <c r="G570" s="810"/>
      <c r="H570" s="810"/>
      <c r="I570" s="810"/>
      <c r="J570" s="810"/>
      <c r="K570" s="810"/>
      <c r="L570" s="810"/>
      <c r="M570" s="810"/>
      <c r="N570" s="810"/>
      <c r="O570" s="810"/>
      <c r="P570" s="811"/>
      <c r="Q570" s="810"/>
      <c r="R570" s="810"/>
      <c r="S570" s="810"/>
      <c r="T570" s="810"/>
      <c r="U570" s="810"/>
      <c r="V570" s="810"/>
      <c r="W570" s="810"/>
      <c r="X570" s="810"/>
      <c r="Y570" s="810"/>
      <c r="Z570" s="810"/>
    </row>
    <row r="571">
      <c r="A571" s="810"/>
      <c r="B571" s="810"/>
      <c r="C571" s="810"/>
      <c r="D571" s="810"/>
      <c r="E571" s="810"/>
      <c r="F571" s="810"/>
      <c r="G571" s="810"/>
      <c r="H571" s="810"/>
      <c r="I571" s="810"/>
      <c r="J571" s="810"/>
      <c r="K571" s="810"/>
      <c r="L571" s="810"/>
      <c r="M571" s="810"/>
      <c r="N571" s="810"/>
      <c r="O571" s="810"/>
      <c r="P571" s="811"/>
      <c r="Q571" s="810"/>
      <c r="R571" s="810"/>
      <c r="S571" s="810"/>
      <c r="T571" s="810"/>
      <c r="U571" s="810"/>
      <c r="V571" s="810"/>
      <c r="W571" s="810"/>
      <c r="X571" s="810"/>
      <c r="Y571" s="810"/>
      <c r="Z571" s="810"/>
    </row>
    <row r="572">
      <c r="A572" s="810"/>
      <c r="B572" s="810"/>
      <c r="C572" s="810"/>
      <c r="D572" s="810"/>
      <c r="E572" s="810"/>
      <c r="F572" s="810"/>
      <c r="G572" s="810"/>
      <c r="H572" s="810"/>
      <c r="I572" s="810"/>
      <c r="J572" s="810"/>
      <c r="K572" s="810"/>
      <c r="L572" s="810"/>
      <c r="M572" s="810"/>
      <c r="N572" s="810"/>
      <c r="O572" s="810"/>
      <c r="P572" s="811"/>
      <c r="Q572" s="810"/>
      <c r="R572" s="810"/>
      <c r="S572" s="810"/>
      <c r="T572" s="810"/>
      <c r="U572" s="810"/>
      <c r="V572" s="810"/>
      <c r="W572" s="810"/>
      <c r="X572" s="810"/>
      <c r="Y572" s="810"/>
      <c r="Z572" s="810"/>
    </row>
    <row r="573">
      <c r="A573" s="810"/>
      <c r="B573" s="810"/>
      <c r="C573" s="810"/>
      <c r="D573" s="810"/>
      <c r="E573" s="810"/>
      <c r="F573" s="810"/>
      <c r="G573" s="810"/>
      <c r="H573" s="810"/>
      <c r="I573" s="810"/>
      <c r="J573" s="810"/>
      <c r="K573" s="810"/>
      <c r="L573" s="810"/>
      <c r="M573" s="810"/>
      <c r="N573" s="810"/>
      <c r="O573" s="810"/>
      <c r="P573" s="811"/>
      <c r="Q573" s="810"/>
      <c r="R573" s="810"/>
      <c r="S573" s="810"/>
      <c r="T573" s="810"/>
      <c r="U573" s="810"/>
      <c r="V573" s="810"/>
      <c r="W573" s="810"/>
      <c r="X573" s="810"/>
      <c r="Y573" s="810"/>
      <c r="Z573" s="810"/>
    </row>
    <row r="574">
      <c r="A574" s="810"/>
      <c r="B574" s="810"/>
      <c r="C574" s="810"/>
      <c r="D574" s="810"/>
      <c r="E574" s="810"/>
      <c r="F574" s="810"/>
      <c r="G574" s="810"/>
      <c r="H574" s="810"/>
      <c r="I574" s="810"/>
      <c r="J574" s="810"/>
      <c r="K574" s="810"/>
      <c r="L574" s="810"/>
      <c r="M574" s="810"/>
      <c r="N574" s="810"/>
      <c r="O574" s="810"/>
      <c r="P574" s="811"/>
      <c r="Q574" s="810"/>
      <c r="R574" s="810"/>
      <c r="S574" s="810"/>
      <c r="T574" s="810"/>
      <c r="U574" s="810"/>
      <c r="V574" s="810"/>
      <c r="W574" s="810"/>
      <c r="X574" s="810"/>
      <c r="Y574" s="810"/>
      <c r="Z574" s="810"/>
    </row>
    <row r="575">
      <c r="A575" s="810"/>
      <c r="B575" s="810"/>
      <c r="C575" s="810"/>
      <c r="D575" s="810"/>
      <c r="E575" s="810"/>
      <c r="F575" s="810"/>
      <c r="G575" s="810"/>
      <c r="H575" s="810"/>
      <c r="I575" s="810"/>
      <c r="J575" s="810"/>
      <c r="K575" s="810"/>
      <c r="L575" s="810"/>
      <c r="M575" s="810"/>
      <c r="N575" s="810"/>
      <c r="O575" s="810"/>
      <c r="P575" s="811"/>
      <c r="Q575" s="810"/>
      <c r="R575" s="810"/>
      <c r="S575" s="810"/>
      <c r="T575" s="810"/>
      <c r="U575" s="810"/>
      <c r="V575" s="810"/>
      <c r="W575" s="810"/>
      <c r="X575" s="810"/>
      <c r="Y575" s="810"/>
      <c r="Z575" s="810"/>
    </row>
    <row r="576">
      <c r="A576" s="810"/>
      <c r="B576" s="810"/>
      <c r="C576" s="810"/>
      <c r="D576" s="810"/>
      <c r="E576" s="810"/>
      <c r="F576" s="810"/>
      <c r="G576" s="810"/>
      <c r="H576" s="810"/>
      <c r="I576" s="810"/>
      <c r="J576" s="810"/>
      <c r="K576" s="810"/>
      <c r="L576" s="810"/>
      <c r="M576" s="810"/>
      <c r="N576" s="810"/>
      <c r="O576" s="810"/>
      <c r="P576" s="811"/>
      <c r="Q576" s="810"/>
      <c r="R576" s="810"/>
      <c r="S576" s="810"/>
      <c r="T576" s="810"/>
      <c r="U576" s="810"/>
      <c r="V576" s="810"/>
      <c r="W576" s="810"/>
      <c r="X576" s="810"/>
      <c r="Y576" s="810"/>
      <c r="Z576" s="810"/>
    </row>
    <row r="577">
      <c r="A577" s="810"/>
      <c r="B577" s="810"/>
      <c r="C577" s="810"/>
      <c r="D577" s="810"/>
      <c r="E577" s="810"/>
      <c r="F577" s="810"/>
      <c r="G577" s="810"/>
      <c r="H577" s="810"/>
      <c r="I577" s="810"/>
      <c r="J577" s="810"/>
      <c r="K577" s="810"/>
      <c r="L577" s="810"/>
      <c r="M577" s="810"/>
      <c r="N577" s="810"/>
      <c r="O577" s="810"/>
      <c r="P577" s="811"/>
      <c r="Q577" s="810"/>
      <c r="R577" s="810"/>
      <c r="S577" s="810"/>
      <c r="T577" s="810"/>
      <c r="U577" s="810"/>
      <c r="V577" s="810"/>
      <c r="W577" s="810"/>
      <c r="X577" s="810"/>
      <c r="Y577" s="810"/>
      <c r="Z577" s="810"/>
    </row>
    <row r="578">
      <c r="A578" s="810"/>
      <c r="B578" s="810"/>
      <c r="C578" s="810"/>
      <c r="D578" s="810"/>
      <c r="E578" s="810"/>
      <c r="F578" s="810"/>
      <c r="G578" s="810"/>
      <c r="H578" s="810"/>
      <c r="I578" s="810"/>
      <c r="J578" s="810"/>
      <c r="K578" s="810"/>
      <c r="L578" s="810"/>
      <c r="M578" s="810"/>
      <c r="N578" s="810"/>
      <c r="O578" s="810"/>
      <c r="P578" s="811"/>
      <c r="Q578" s="810"/>
      <c r="R578" s="810"/>
      <c r="S578" s="810"/>
      <c r="T578" s="810"/>
      <c r="U578" s="810"/>
      <c r="V578" s="810"/>
      <c r="W578" s="810"/>
      <c r="X578" s="810"/>
      <c r="Y578" s="810"/>
      <c r="Z578" s="810"/>
    </row>
    <row r="579">
      <c r="A579" s="810"/>
      <c r="B579" s="810"/>
      <c r="C579" s="810"/>
      <c r="D579" s="810"/>
      <c r="E579" s="810"/>
      <c r="F579" s="810"/>
      <c r="G579" s="810"/>
      <c r="H579" s="810"/>
      <c r="I579" s="810"/>
      <c r="J579" s="810"/>
      <c r="K579" s="810"/>
      <c r="L579" s="810"/>
      <c r="M579" s="810"/>
      <c r="N579" s="810"/>
      <c r="O579" s="810"/>
      <c r="P579" s="811"/>
      <c r="Q579" s="810"/>
      <c r="R579" s="810"/>
      <c r="S579" s="810"/>
      <c r="T579" s="810"/>
      <c r="U579" s="810"/>
      <c r="V579" s="810"/>
      <c r="W579" s="810"/>
      <c r="X579" s="810"/>
      <c r="Y579" s="810"/>
      <c r="Z579" s="810"/>
    </row>
    <row r="580">
      <c r="A580" s="810"/>
      <c r="B580" s="810"/>
      <c r="C580" s="810"/>
      <c r="D580" s="810"/>
      <c r="E580" s="810"/>
      <c r="F580" s="810"/>
      <c r="G580" s="810"/>
      <c r="H580" s="810"/>
      <c r="I580" s="810"/>
      <c r="J580" s="810"/>
      <c r="K580" s="810"/>
      <c r="L580" s="810"/>
      <c r="M580" s="810"/>
      <c r="N580" s="810"/>
      <c r="O580" s="810"/>
      <c r="P580" s="811"/>
      <c r="Q580" s="810"/>
      <c r="R580" s="810"/>
      <c r="S580" s="810"/>
      <c r="T580" s="810"/>
      <c r="U580" s="810"/>
      <c r="V580" s="810"/>
      <c r="W580" s="810"/>
      <c r="X580" s="810"/>
      <c r="Y580" s="810"/>
      <c r="Z580" s="810"/>
    </row>
    <row r="581">
      <c r="A581" s="810"/>
      <c r="B581" s="810"/>
      <c r="C581" s="810"/>
      <c r="D581" s="810"/>
      <c r="E581" s="810"/>
      <c r="F581" s="810"/>
      <c r="G581" s="810"/>
      <c r="H581" s="810"/>
      <c r="I581" s="810"/>
      <c r="J581" s="810"/>
      <c r="K581" s="810"/>
      <c r="L581" s="810"/>
      <c r="M581" s="810"/>
      <c r="N581" s="810"/>
      <c r="O581" s="810"/>
      <c r="P581" s="811"/>
      <c r="Q581" s="810"/>
      <c r="R581" s="810"/>
      <c r="S581" s="810"/>
      <c r="T581" s="810"/>
      <c r="U581" s="810"/>
      <c r="V581" s="810"/>
      <c r="W581" s="810"/>
      <c r="X581" s="810"/>
      <c r="Y581" s="810"/>
      <c r="Z581" s="810"/>
    </row>
    <row r="582">
      <c r="A582" s="810"/>
      <c r="B582" s="810"/>
      <c r="C582" s="810"/>
      <c r="D582" s="810"/>
      <c r="E582" s="810"/>
      <c r="F582" s="810"/>
      <c r="G582" s="810"/>
      <c r="H582" s="810"/>
      <c r="I582" s="810"/>
      <c r="J582" s="810"/>
      <c r="K582" s="810"/>
      <c r="L582" s="810"/>
      <c r="M582" s="810"/>
      <c r="N582" s="810"/>
      <c r="O582" s="810"/>
      <c r="P582" s="811"/>
      <c r="Q582" s="810"/>
      <c r="R582" s="810"/>
      <c r="S582" s="810"/>
      <c r="T582" s="810"/>
      <c r="U582" s="810"/>
      <c r="V582" s="810"/>
      <c r="W582" s="810"/>
      <c r="X582" s="810"/>
      <c r="Y582" s="810"/>
      <c r="Z582" s="810"/>
    </row>
    <row r="583">
      <c r="A583" s="810"/>
      <c r="B583" s="810"/>
      <c r="C583" s="810"/>
      <c r="D583" s="810"/>
      <c r="E583" s="810"/>
      <c r="F583" s="810"/>
      <c r="G583" s="810"/>
      <c r="H583" s="810"/>
      <c r="I583" s="810"/>
      <c r="J583" s="810"/>
      <c r="K583" s="810"/>
      <c r="L583" s="810"/>
      <c r="M583" s="810"/>
      <c r="N583" s="810"/>
      <c r="O583" s="810"/>
      <c r="P583" s="811"/>
      <c r="Q583" s="810"/>
      <c r="R583" s="810"/>
      <c r="S583" s="810"/>
      <c r="T583" s="810"/>
      <c r="U583" s="810"/>
      <c r="V583" s="810"/>
      <c r="W583" s="810"/>
      <c r="X583" s="810"/>
      <c r="Y583" s="810"/>
      <c r="Z583" s="810"/>
    </row>
    <row r="584">
      <c r="A584" s="810"/>
      <c r="B584" s="810"/>
      <c r="C584" s="810"/>
      <c r="D584" s="810"/>
      <c r="E584" s="810"/>
      <c r="F584" s="810"/>
      <c r="G584" s="810"/>
      <c r="H584" s="810"/>
      <c r="I584" s="810"/>
      <c r="J584" s="810"/>
      <c r="K584" s="810"/>
      <c r="L584" s="810"/>
      <c r="M584" s="810"/>
      <c r="N584" s="810"/>
      <c r="O584" s="810"/>
      <c r="P584" s="811"/>
      <c r="Q584" s="810"/>
      <c r="R584" s="810"/>
      <c r="S584" s="810"/>
      <c r="T584" s="810"/>
      <c r="U584" s="810"/>
      <c r="V584" s="810"/>
      <c r="W584" s="810"/>
      <c r="X584" s="810"/>
      <c r="Y584" s="810"/>
      <c r="Z584" s="810"/>
    </row>
    <row r="585">
      <c r="A585" s="810"/>
      <c r="B585" s="810"/>
      <c r="C585" s="810"/>
      <c r="D585" s="810"/>
      <c r="E585" s="810"/>
      <c r="F585" s="810"/>
      <c r="G585" s="810"/>
      <c r="H585" s="810"/>
      <c r="I585" s="810"/>
      <c r="J585" s="810"/>
      <c r="K585" s="810"/>
      <c r="L585" s="810"/>
      <c r="M585" s="810"/>
      <c r="N585" s="810"/>
      <c r="O585" s="810"/>
      <c r="P585" s="811"/>
      <c r="Q585" s="810"/>
      <c r="R585" s="810"/>
      <c r="S585" s="810"/>
      <c r="T585" s="810"/>
      <c r="U585" s="810"/>
      <c r="V585" s="810"/>
      <c r="W585" s="810"/>
      <c r="X585" s="810"/>
      <c r="Y585" s="810"/>
      <c r="Z585" s="810"/>
    </row>
    <row r="586">
      <c r="A586" s="810"/>
      <c r="B586" s="810"/>
      <c r="C586" s="810"/>
      <c r="D586" s="810"/>
      <c r="E586" s="810"/>
      <c r="F586" s="810"/>
      <c r="G586" s="810"/>
      <c r="H586" s="810"/>
      <c r="I586" s="810"/>
      <c r="J586" s="810"/>
      <c r="K586" s="810"/>
      <c r="L586" s="810"/>
      <c r="M586" s="810"/>
      <c r="N586" s="810"/>
      <c r="O586" s="810"/>
      <c r="P586" s="811"/>
      <c r="Q586" s="810"/>
      <c r="R586" s="810"/>
      <c r="S586" s="810"/>
      <c r="T586" s="810"/>
      <c r="U586" s="810"/>
      <c r="V586" s="810"/>
      <c r="W586" s="810"/>
      <c r="X586" s="810"/>
      <c r="Y586" s="810"/>
      <c r="Z586" s="810"/>
    </row>
    <row r="587">
      <c r="A587" s="810"/>
      <c r="B587" s="810"/>
      <c r="C587" s="810"/>
      <c r="D587" s="810"/>
      <c r="E587" s="810"/>
      <c r="F587" s="810"/>
      <c r="G587" s="810"/>
      <c r="H587" s="810"/>
      <c r="I587" s="810"/>
      <c r="J587" s="810"/>
      <c r="K587" s="810"/>
      <c r="L587" s="810"/>
      <c r="M587" s="810"/>
      <c r="N587" s="810"/>
      <c r="O587" s="810"/>
      <c r="P587" s="811"/>
      <c r="Q587" s="810"/>
      <c r="R587" s="810"/>
      <c r="S587" s="810"/>
      <c r="T587" s="810"/>
      <c r="U587" s="810"/>
      <c r="V587" s="810"/>
      <c r="W587" s="810"/>
      <c r="X587" s="810"/>
      <c r="Y587" s="810"/>
      <c r="Z587" s="810"/>
    </row>
    <row r="588">
      <c r="A588" s="810"/>
      <c r="B588" s="810"/>
      <c r="C588" s="810"/>
      <c r="D588" s="810"/>
      <c r="E588" s="810"/>
      <c r="F588" s="810"/>
      <c r="G588" s="810"/>
      <c r="H588" s="810"/>
      <c r="I588" s="810"/>
      <c r="J588" s="810"/>
      <c r="K588" s="810"/>
      <c r="L588" s="810"/>
      <c r="M588" s="810"/>
      <c r="N588" s="810"/>
      <c r="O588" s="810"/>
      <c r="P588" s="811"/>
      <c r="Q588" s="810"/>
      <c r="R588" s="810"/>
      <c r="S588" s="810"/>
      <c r="T588" s="810"/>
      <c r="U588" s="810"/>
      <c r="V588" s="810"/>
      <c r="W588" s="810"/>
      <c r="X588" s="810"/>
      <c r="Y588" s="810"/>
      <c r="Z588" s="810"/>
    </row>
    <row r="589">
      <c r="A589" s="810"/>
      <c r="B589" s="810"/>
      <c r="C589" s="810"/>
      <c r="D589" s="810"/>
      <c r="E589" s="810"/>
      <c r="F589" s="810"/>
      <c r="G589" s="810"/>
      <c r="H589" s="810"/>
      <c r="I589" s="810"/>
      <c r="J589" s="810"/>
      <c r="K589" s="810"/>
      <c r="L589" s="810"/>
      <c r="M589" s="810"/>
      <c r="N589" s="810"/>
      <c r="O589" s="810"/>
      <c r="P589" s="811"/>
      <c r="Q589" s="810"/>
      <c r="R589" s="810"/>
      <c r="S589" s="810"/>
      <c r="T589" s="810"/>
      <c r="U589" s="810"/>
      <c r="V589" s="810"/>
      <c r="W589" s="810"/>
      <c r="X589" s="810"/>
      <c r="Y589" s="810"/>
      <c r="Z589" s="810"/>
    </row>
    <row r="590">
      <c r="A590" s="810"/>
      <c r="B590" s="810"/>
      <c r="C590" s="810"/>
      <c r="D590" s="810"/>
      <c r="E590" s="810"/>
      <c r="F590" s="810"/>
      <c r="G590" s="810"/>
      <c r="H590" s="810"/>
      <c r="I590" s="810"/>
      <c r="J590" s="810"/>
      <c r="K590" s="810"/>
      <c r="L590" s="810"/>
      <c r="M590" s="810"/>
      <c r="N590" s="810"/>
      <c r="O590" s="810"/>
      <c r="P590" s="811"/>
      <c r="Q590" s="810"/>
      <c r="R590" s="810"/>
      <c r="S590" s="810"/>
      <c r="T590" s="810"/>
      <c r="U590" s="810"/>
      <c r="V590" s="810"/>
      <c r="W590" s="810"/>
      <c r="X590" s="810"/>
      <c r="Y590" s="810"/>
      <c r="Z590" s="810"/>
    </row>
    <row r="591">
      <c r="A591" s="810"/>
      <c r="B591" s="810"/>
      <c r="C591" s="810"/>
      <c r="D591" s="810"/>
      <c r="E591" s="810"/>
      <c r="F591" s="810"/>
      <c r="G591" s="810"/>
      <c r="H591" s="810"/>
      <c r="I591" s="810"/>
      <c r="J591" s="810"/>
      <c r="K591" s="810"/>
      <c r="L591" s="810"/>
      <c r="M591" s="810"/>
      <c r="N591" s="810"/>
      <c r="O591" s="810"/>
      <c r="P591" s="811"/>
      <c r="Q591" s="810"/>
      <c r="R591" s="810"/>
      <c r="S591" s="810"/>
      <c r="T591" s="810"/>
      <c r="U591" s="810"/>
      <c r="V591" s="810"/>
      <c r="W591" s="810"/>
      <c r="X591" s="810"/>
      <c r="Y591" s="810"/>
      <c r="Z591" s="810"/>
    </row>
    <row r="592">
      <c r="A592" s="810"/>
      <c r="B592" s="810"/>
      <c r="C592" s="810"/>
      <c r="D592" s="810"/>
      <c r="E592" s="810"/>
      <c r="F592" s="810"/>
      <c r="G592" s="810"/>
      <c r="H592" s="810"/>
      <c r="I592" s="810"/>
      <c r="J592" s="810"/>
      <c r="K592" s="810"/>
      <c r="L592" s="810"/>
      <c r="M592" s="810"/>
      <c r="N592" s="810"/>
      <c r="O592" s="810"/>
      <c r="P592" s="811"/>
      <c r="Q592" s="810"/>
      <c r="R592" s="810"/>
      <c r="S592" s="810"/>
      <c r="T592" s="810"/>
      <c r="U592" s="810"/>
      <c r="V592" s="810"/>
      <c r="W592" s="810"/>
      <c r="X592" s="810"/>
      <c r="Y592" s="810"/>
      <c r="Z592" s="810"/>
    </row>
    <row r="593">
      <c r="A593" s="810"/>
      <c r="B593" s="810"/>
      <c r="C593" s="810"/>
      <c r="D593" s="810"/>
      <c r="E593" s="810"/>
      <c r="F593" s="810"/>
      <c r="G593" s="810"/>
      <c r="H593" s="810"/>
      <c r="I593" s="810"/>
      <c r="J593" s="810"/>
      <c r="K593" s="810"/>
      <c r="L593" s="810"/>
      <c r="M593" s="810"/>
      <c r="N593" s="810"/>
      <c r="O593" s="810"/>
      <c r="P593" s="811"/>
      <c r="Q593" s="810"/>
      <c r="R593" s="810"/>
      <c r="S593" s="810"/>
      <c r="T593" s="810"/>
      <c r="U593" s="810"/>
      <c r="V593" s="810"/>
      <c r="W593" s="810"/>
      <c r="X593" s="810"/>
      <c r="Y593" s="810"/>
      <c r="Z593" s="810"/>
    </row>
    <row r="594">
      <c r="A594" s="810"/>
      <c r="B594" s="810"/>
      <c r="C594" s="810"/>
      <c r="D594" s="810"/>
      <c r="E594" s="810"/>
      <c r="F594" s="810"/>
      <c r="G594" s="810"/>
      <c r="H594" s="810"/>
      <c r="I594" s="810"/>
      <c r="J594" s="810"/>
      <c r="K594" s="810"/>
      <c r="L594" s="810"/>
      <c r="M594" s="810"/>
      <c r="N594" s="810"/>
      <c r="O594" s="810"/>
      <c r="P594" s="811"/>
      <c r="Q594" s="810"/>
      <c r="R594" s="810"/>
      <c r="S594" s="810"/>
      <c r="T594" s="810"/>
      <c r="U594" s="810"/>
      <c r="V594" s="810"/>
      <c r="W594" s="810"/>
      <c r="X594" s="810"/>
      <c r="Y594" s="810"/>
      <c r="Z594" s="810"/>
    </row>
    <row r="595">
      <c r="A595" s="810"/>
      <c r="B595" s="810"/>
      <c r="C595" s="810"/>
      <c r="D595" s="810"/>
      <c r="E595" s="810"/>
      <c r="F595" s="810"/>
      <c r="G595" s="810"/>
      <c r="H595" s="810"/>
      <c r="I595" s="810"/>
      <c r="J595" s="810"/>
      <c r="K595" s="810"/>
      <c r="L595" s="810"/>
      <c r="M595" s="810"/>
      <c r="N595" s="810"/>
      <c r="O595" s="810"/>
      <c r="P595" s="811"/>
      <c r="Q595" s="810"/>
      <c r="R595" s="810"/>
      <c r="S595" s="810"/>
      <c r="T595" s="810"/>
      <c r="U595" s="810"/>
      <c r="V595" s="810"/>
      <c r="W595" s="810"/>
      <c r="X595" s="810"/>
      <c r="Y595" s="810"/>
      <c r="Z595" s="810"/>
    </row>
    <row r="596">
      <c r="A596" s="810"/>
      <c r="B596" s="810"/>
      <c r="C596" s="810"/>
      <c r="D596" s="810"/>
      <c r="E596" s="810"/>
      <c r="F596" s="810"/>
      <c r="G596" s="810"/>
      <c r="H596" s="810"/>
      <c r="I596" s="810"/>
      <c r="J596" s="810"/>
      <c r="K596" s="810"/>
      <c r="L596" s="810"/>
      <c r="M596" s="810"/>
      <c r="N596" s="810"/>
      <c r="O596" s="810"/>
      <c r="P596" s="811"/>
      <c r="Q596" s="810"/>
      <c r="R596" s="810"/>
      <c r="S596" s="810"/>
      <c r="T596" s="810"/>
      <c r="U596" s="810"/>
      <c r="V596" s="810"/>
      <c r="W596" s="810"/>
      <c r="X596" s="810"/>
      <c r="Y596" s="810"/>
      <c r="Z596" s="810"/>
    </row>
    <row r="597">
      <c r="A597" s="810"/>
      <c r="B597" s="810"/>
      <c r="C597" s="810"/>
      <c r="D597" s="810"/>
      <c r="E597" s="810"/>
      <c r="F597" s="810"/>
      <c r="G597" s="810"/>
      <c r="H597" s="810"/>
      <c r="I597" s="810"/>
      <c r="J597" s="810"/>
      <c r="K597" s="810"/>
      <c r="L597" s="810"/>
      <c r="M597" s="810"/>
      <c r="N597" s="810"/>
      <c r="O597" s="810"/>
      <c r="P597" s="811"/>
      <c r="Q597" s="810"/>
      <c r="R597" s="810"/>
      <c r="S597" s="810"/>
      <c r="T597" s="810"/>
      <c r="U597" s="810"/>
      <c r="V597" s="810"/>
      <c r="W597" s="810"/>
      <c r="X597" s="810"/>
      <c r="Y597" s="810"/>
      <c r="Z597" s="810"/>
    </row>
    <row r="598">
      <c r="A598" s="810"/>
      <c r="B598" s="810"/>
      <c r="C598" s="810"/>
      <c r="D598" s="810"/>
      <c r="E598" s="810"/>
      <c r="F598" s="810"/>
      <c r="G598" s="810"/>
      <c r="H598" s="810"/>
      <c r="I598" s="810"/>
      <c r="J598" s="810"/>
      <c r="K598" s="810"/>
      <c r="L598" s="810"/>
      <c r="M598" s="810"/>
      <c r="N598" s="810"/>
      <c r="O598" s="810"/>
      <c r="P598" s="811"/>
      <c r="Q598" s="810"/>
      <c r="R598" s="810"/>
      <c r="S598" s="810"/>
      <c r="T598" s="810"/>
      <c r="U598" s="810"/>
      <c r="V598" s="810"/>
      <c r="W598" s="810"/>
      <c r="X598" s="810"/>
      <c r="Y598" s="810"/>
      <c r="Z598" s="810"/>
    </row>
    <row r="599">
      <c r="A599" s="810"/>
      <c r="B599" s="810"/>
      <c r="C599" s="810"/>
      <c r="D599" s="810"/>
      <c r="E599" s="810"/>
      <c r="F599" s="810"/>
      <c r="G599" s="810"/>
      <c r="H599" s="810"/>
      <c r="I599" s="810"/>
      <c r="J599" s="810"/>
      <c r="K599" s="810"/>
      <c r="L599" s="810"/>
      <c r="M599" s="810"/>
      <c r="N599" s="810"/>
      <c r="O599" s="810"/>
      <c r="P599" s="811"/>
      <c r="Q599" s="810"/>
      <c r="R599" s="810"/>
      <c r="S599" s="810"/>
      <c r="T599" s="810"/>
      <c r="U599" s="810"/>
      <c r="V599" s="810"/>
      <c r="W599" s="810"/>
      <c r="X599" s="810"/>
      <c r="Y599" s="810"/>
      <c r="Z599" s="810"/>
    </row>
    <row r="600">
      <c r="A600" s="810"/>
      <c r="B600" s="810"/>
      <c r="C600" s="810"/>
      <c r="D600" s="810"/>
      <c r="E600" s="810"/>
      <c r="F600" s="810"/>
      <c r="G600" s="810"/>
      <c r="H600" s="810"/>
      <c r="I600" s="810"/>
      <c r="J600" s="810"/>
      <c r="K600" s="810"/>
      <c r="L600" s="810"/>
      <c r="M600" s="810"/>
      <c r="N600" s="810"/>
      <c r="O600" s="810"/>
      <c r="P600" s="811"/>
      <c r="Q600" s="810"/>
      <c r="R600" s="810"/>
      <c r="S600" s="810"/>
      <c r="T600" s="810"/>
      <c r="U600" s="810"/>
      <c r="V600" s="810"/>
      <c r="W600" s="810"/>
      <c r="X600" s="810"/>
      <c r="Y600" s="810"/>
      <c r="Z600" s="810"/>
    </row>
    <row r="601">
      <c r="A601" s="810"/>
      <c r="B601" s="810"/>
      <c r="C601" s="810"/>
      <c r="D601" s="810"/>
      <c r="E601" s="810"/>
      <c r="F601" s="810"/>
      <c r="G601" s="810"/>
      <c r="H601" s="810"/>
      <c r="I601" s="810"/>
      <c r="J601" s="810"/>
      <c r="K601" s="810"/>
      <c r="L601" s="810"/>
      <c r="M601" s="810"/>
      <c r="N601" s="810"/>
      <c r="O601" s="810"/>
      <c r="P601" s="811"/>
      <c r="Q601" s="810"/>
      <c r="R601" s="810"/>
      <c r="S601" s="810"/>
      <c r="T601" s="810"/>
      <c r="U601" s="810"/>
      <c r="V601" s="810"/>
      <c r="W601" s="810"/>
      <c r="X601" s="810"/>
      <c r="Y601" s="810"/>
      <c r="Z601" s="810"/>
    </row>
    <row r="602">
      <c r="A602" s="810"/>
      <c r="B602" s="810"/>
      <c r="C602" s="810"/>
      <c r="D602" s="810"/>
      <c r="E602" s="810"/>
      <c r="F602" s="810"/>
      <c r="G602" s="810"/>
      <c r="H602" s="810"/>
      <c r="I602" s="810"/>
      <c r="J602" s="810"/>
      <c r="K602" s="810"/>
      <c r="L602" s="810"/>
      <c r="M602" s="810"/>
      <c r="N602" s="810"/>
      <c r="O602" s="810"/>
      <c r="P602" s="811"/>
      <c r="Q602" s="810"/>
      <c r="R602" s="810"/>
      <c r="S602" s="810"/>
      <c r="T602" s="810"/>
      <c r="U602" s="810"/>
      <c r="V602" s="810"/>
      <c r="W602" s="810"/>
      <c r="X602" s="810"/>
      <c r="Y602" s="810"/>
      <c r="Z602" s="810"/>
    </row>
    <row r="603">
      <c r="A603" s="810"/>
      <c r="B603" s="810"/>
      <c r="C603" s="810"/>
      <c r="D603" s="810"/>
      <c r="E603" s="810"/>
      <c r="F603" s="810"/>
      <c r="G603" s="810"/>
      <c r="H603" s="810"/>
      <c r="I603" s="810"/>
      <c r="J603" s="810"/>
      <c r="K603" s="810"/>
      <c r="L603" s="810"/>
      <c r="M603" s="810"/>
      <c r="N603" s="810"/>
      <c r="O603" s="810"/>
      <c r="P603" s="811"/>
      <c r="Q603" s="810"/>
      <c r="R603" s="810"/>
      <c r="S603" s="810"/>
      <c r="T603" s="810"/>
      <c r="U603" s="810"/>
      <c r="V603" s="810"/>
      <c r="W603" s="810"/>
      <c r="X603" s="810"/>
      <c r="Y603" s="810"/>
      <c r="Z603" s="810"/>
    </row>
    <row r="604">
      <c r="A604" s="810"/>
      <c r="B604" s="810"/>
      <c r="C604" s="810"/>
      <c r="D604" s="810"/>
      <c r="E604" s="810"/>
      <c r="F604" s="810"/>
      <c r="G604" s="810"/>
      <c r="H604" s="810"/>
      <c r="I604" s="810"/>
      <c r="J604" s="810"/>
      <c r="K604" s="810"/>
      <c r="L604" s="810"/>
      <c r="M604" s="810"/>
      <c r="N604" s="810"/>
      <c r="O604" s="810"/>
      <c r="P604" s="811"/>
      <c r="Q604" s="810"/>
      <c r="R604" s="810"/>
      <c r="S604" s="810"/>
      <c r="T604" s="810"/>
      <c r="U604" s="810"/>
      <c r="V604" s="810"/>
      <c r="W604" s="810"/>
      <c r="X604" s="810"/>
      <c r="Y604" s="810"/>
      <c r="Z604" s="810"/>
    </row>
    <row r="605">
      <c r="A605" s="810"/>
      <c r="B605" s="810"/>
      <c r="C605" s="810"/>
      <c r="D605" s="810"/>
      <c r="E605" s="810"/>
      <c r="F605" s="810"/>
      <c r="G605" s="810"/>
      <c r="H605" s="810"/>
      <c r="I605" s="810"/>
      <c r="J605" s="810"/>
      <c r="K605" s="810"/>
      <c r="L605" s="810"/>
      <c r="M605" s="810"/>
      <c r="N605" s="810"/>
      <c r="O605" s="810"/>
      <c r="P605" s="811"/>
      <c r="Q605" s="810"/>
      <c r="R605" s="810"/>
      <c r="S605" s="810"/>
      <c r="T605" s="810"/>
      <c r="U605" s="810"/>
      <c r="V605" s="810"/>
      <c r="W605" s="810"/>
      <c r="X605" s="810"/>
      <c r="Y605" s="810"/>
      <c r="Z605" s="810"/>
    </row>
    <row r="606">
      <c r="A606" s="810"/>
      <c r="B606" s="810"/>
      <c r="C606" s="810"/>
      <c r="D606" s="810"/>
      <c r="E606" s="810"/>
      <c r="F606" s="810"/>
      <c r="G606" s="810"/>
      <c r="H606" s="810"/>
      <c r="I606" s="810"/>
      <c r="J606" s="810"/>
      <c r="K606" s="810"/>
      <c r="L606" s="810"/>
      <c r="M606" s="810"/>
      <c r="N606" s="810"/>
      <c r="O606" s="810"/>
      <c r="P606" s="811"/>
      <c r="Q606" s="810"/>
      <c r="R606" s="810"/>
      <c r="S606" s="810"/>
      <c r="T606" s="810"/>
      <c r="U606" s="810"/>
      <c r="V606" s="810"/>
      <c r="W606" s="810"/>
      <c r="X606" s="810"/>
      <c r="Y606" s="810"/>
      <c r="Z606" s="810"/>
    </row>
    <row r="607">
      <c r="A607" s="810"/>
      <c r="B607" s="810"/>
      <c r="C607" s="810"/>
      <c r="D607" s="810"/>
      <c r="E607" s="810"/>
      <c r="F607" s="810"/>
      <c r="G607" s="810"/>
      <c r="H607" s="810"/>
      <c r="I607" s="810"/>
      <c r="J607" s="810"/>
      <c r="K607" s="810"/>
      <c r="L607" s="810"/>
      <c r="M607" s="810"/>
      <c r="N607" s="810"/>
      <c r="O607" s="810"/>
      <c r="P607" s="811"/>
      <c r="Q607" s="810"/>
      <c r="R607" s="810"/>
      <c r="S607" s="810"/>
      <c r="T607" s="810"/>
      <c r="U607" s="810"/>
      <c r="V607" s="810"/>
      <c r="W607" s="810"/>
      <c r="X607" s="810"/>
      <c r="Y607" s="810"/>
      <c r="Z607" s="810"/>
    </row>
    <row r="608">
      <c r="A608" s="810"/>
      <c r="B608" s="810"/>
      <c r="C608" s="810"/>
      <c r="D608" s="810"/>
      <c r="E608" s="810"/>
      <c r="F608" s="810"/>
      <c r="G608" s="810"/>
      <c r="H608" s="810"/>
      <c r="I608" s="810"/>
      <c r="J608" s="810"/>
      <c r="K608" s="810"/>
      <c r="L608" s="810"/>
      <c r="M608" s="810"/>
      <c r="N608" s="810"/>
      <c r="O608" s="810"/>
      <c r="P608" s="811"/>
      <c r="Q608" s="810"/>
      <c r="R608" s="810"/>
      <c r="S608" s="810"/>
      <c r="T608" s="810"/>
      <c r="U608" s="810"/>
      <c r="V608" s="810"/>
      <c r="W608" s="810"/>
      <c r="X608" s="810"/>
      <c r="Y608" s="810"/>
      <c r="Z608" s="810"/>
    </row>
    <row r="609">
      <c r="A609" s="810"/>
      <c r="B609" s="810"/>
      <c r="C609" s="810"/>
      <c r="D609" s="810"/>
      <c r="E609" s="810"/>
      <c r="F609" s="810"/>
      <c r="G609" s="810"/>
      <c r="H609" s="810"/>
      <c r="I609" s="810"/>
      <c r="J609" s="810"/>
      <c r="K609" s="810"/>
      <c r="L609" s="810"/>
      <c r="M609" s="810"/>
      <c r="N609" s="810"/>
      <c r="O609" s="810"/>
      <c r="P609" s="811"/>
      <c r="Q609" s="810"/>
      <c r="R609" s="810"/>
      <c r="S609" s="810"/>
      <c r="T609" s="810"/>
      <c r="U609" s="810"/>
      <c r="V609" s="810"/>
      <c r="W609" s="810"/>
      <c r="X609" s="810"/>
      <c r="Y609" s="810"/>
      <c r="Z609" s="810"/>
    </row>
    <row r="610">
      <c r="A610" s="810"/>
      <c r="B610" s="810"/>
      <c r="C610" s="810"/>
      <c r="D610" s="810"/>
      <c r="E610" s="810"/>
      <c r="F610" s="810"/>
      <c r="G610" s="810"/>
      <c r="H610" s="810"/>
      <c r="I610" s="810"/>
      <c r="J610" s="810"/>
      <c r="K610" s="810"/>
      <c r="L610" s="810"/>
      <c r="M610" s="810"/>
      <c r="N610" s="810"/>
      <c r="O610" s="810"/>
      <c r="P610" s="811"/>
      <c r="Q610" s="810"/>
      <c r="R610" s="810"/>
      <c r="S610" s="810"/>
      <c r="T610" s="810"/>
      <c r="U610" s="810"/>
      <c r="V610" s="810"/>
      <c r="W610" s="810"/>
      <c r="X610" s="810"/>
      <c r="Y610" s="810"/>
      <c r="Z610" s="810"/>
    </row>
    <row r="611">
      <c r="A611" s="810"/>
      <c r="B611" s="810"/>
      <c r="C611" s="810"/>
      <c r="D611" s="810"/>
      <c r="E611" s="810"/>
      <c r="F611" s="810"/>
      <c r="G611" s="810"/>
      <c r="H611" s="810"/>
      <c r="I611" s="810"/>
      <c r="J611" s="810"/>
      <c r="K611" s="810"/>
      <c r="L611" s="810"/>
      <c r="M611" s="810"/>
      <c r="N611" s="810"/>
      <c r="O611" s="810"/>
      <c r="P611" s="811"/>
      <c r="Q611" s="810"/>
      <c r="R611" s="810"/>
      <c r="S611" s="810"/>
      <c r="T611" s="810"/>
      <c r="U611" s="810"/>
      <c r="V611" s="810"/>
      <c r="W611" s="810"/>
      <c r="X611" s="810"/>
      <c r="Y611" s="810"/>
      <c r="Z611" s="810"/>
    </row>
    <row r="612">
      <c r="A612" s="810"/>
      <c r="B612" s="810"/>
      <c r="C612" s="810"/>
      <c r="D612" s="810"/>
      <c r="E612" s="810"/>
      <c r="F612" s="810"/>
      <c r="G612" s="810"/>
      <c r="H612" s="810"/>
      <c r="I612" s="810"/>
      <c r="J612" s="810"/>
      <c r="K612" s="810"/>
      <c r="L612" s="810"/>
      <c r="M612" s="810"/>
      <c r="N612" s="810"/>
      <c r="O612" s="810"/>
      <c r="P612" s="811"/>
      <c r="Q612" s="810"/>
      <c r="R612" s="810"/>
      <c r="S612" s="810"/>
      <c r="T612" s="810"/>
      <c r="U612" s="810"/>
      <c r="V612" s="810"/>
      <c r="W612" s="810"/>
      <c r="X612" s="810"/>
      <c r="Y612" s="810"/>
      <c r="Z612" s="810"/>
    </row>
    <row r="613">
      <c r="A613" s="810"/>
      <c r="B613" s="810"/>
      <c r="C613" s="810"/>
      <c r="D613" s="810"/>
      <c r="E613" s="810"/>
      <c r="F613" s="810"/>
      <c r="G613" s="810"/>
      <c r="H613" s="810"/>
      <c r="I613" s="810"/>
      <c r="J613" s="810"/>
      <c r="K613" s="810"/>
      <c r="L613" s="810"/>
      <c r="M613" s="810"/>
      <c r="N613" s="810"/>
      <c r="O613" s="810"/>
      <c r="P613" s="811"/>
      <c r="Q613" s="810"/>
      <c r="R613" s="810"/>
      <c r="S613" s="810"/>
      <c r="T613" s="810"/>
      <c r="U613" s="810"/>
      <c r="V613" s="810"/>
      <c r="W613" s="810"/>
      <c r="X613" s="810"/>
      <c r="Y613" s="810"/>
      <c r="Z613" s="810"/>
    </row>
    <row r="614">
      <c r="A614" s="810"/>
      <c r="B614" s="810"/>
      <c r="C614" s="810"/>
      <c r="D614" s="810"/>
      <c r="E614" s="810"/>
      <c r="F614" s="810"/>
      <c r="G614" s="810"/>
      <c r="H614" s="810"/>
      <c r="I614" s="810"/>
      <c r="J614" s="810"/>
      <c r="K614" s="810"/>
      <c r="L614" s="810"/>
      <c r="M614" s="810"/>
      <c r="N614" s="810"/>
      <c r="O614" s="810"/>
      <c r="P614" s="811"/>
      <c r="Q614" s="810"/>
      <c r="R614" s="810"/>
      <c r="S614" s="810"/>
      <c r="T614" s="810"/>
      <c r="U614" s="810"/>
      <c r="V614" s="810"/>
      <c r="W614" s="810"/>
      <c r="X614" s="810"/>
      <c r="Y614" s="810"/>
      <c r="Z614" s="810"/>
    </row>
    <row r="615">
      <c r="A615" s="810"/>
      <c r="B615" s="810"/>
      <c r="C615" s="810"/>
      <c r="D615" s="810"/>
      <c r="E615" s="810"/>
      <c r="F615" s="810"/>
      <c r="G615" s="810"/>
      <c r="H615" s="810"/>
      <c r="I615" s="810"/>
      <c r="J615" s="810"/>
      <c r="K615" s="810"/>
      <c r="L615" s="810"/>
      <c r="M615" s="810"/>
      <c r="N615" s="810"/>
      <c r="O615" s="810"/>
      <c r="P615" s="811"/>
      <c r="Q615" s="810"/>
      <c r="R615" s="810"/>
      <c r="S615" s="810"/>
      <c r="T615" s="810"/>
      <c r="U615" s="810"/>
      <c r="V615" s="810"/>
      <c r="W615" s="810"/>
      <c r="X615" s="810"/>
      <c r="Y615" s="810"/>
      <c r="Z615" s="810"/>
    </row>
    <row r="616">
      <c r="A616" s="810"/>
      <c r="B616" s="810"/>
      <c r="C616" s="810"/>
      <c r="D616" s="810"/>
      <c r="E616" s="810"/>
      <c r="F616" s="810"/>
      <c r="G616" s="810"/>
      <c r="H616" s="810"/>
      <c r="I616" s="810"/>
      <c r="J616" s="810"/>
      <c r="K616" s="810"/>
      <c r="L616" s="810"/>
      <c r="M616" s="810"/>
      <c r="N616" s="810"/>
      <c r="O616" s="810"/>
      <c r="P616" s="811"/>
      <c r="Q616" s="810"/>
      <c r="R616" s="810"/>
      <c r="S616" s="810"/>
      <c r="T616" s="810"/>
      <c r="U616" s="810"/>
      <c r="V616" s="810"/>
      <c r="W616" s="810"/>
      <c r="X616" s="810"/>
      <c r="Y616" s="810"/>
      <c r="Z616" s="810"/>
    </row>
    <row r="617">
      <c r="A617" s="810"/>
      <c r="B617" s="810"/>
      <c r="C617" s="810"/>
      <c r="D617" s="810"/>
      <c r="E617" s="810"/>
      <c r="F617" s="810"/>
      <c r="G617" s="810"/>
      <c r="H617" s="810"/>
      <c r="I617" s="810"/>
      <c r="J617" s="810"/>
      <c r="K617" s="810"/>
      <c r="L617" s="810"/>
      <c r="M617" s="810"/>
      <c r="N617" s="810"/>
      <c r="O617" s="810"/>
      <c r="P617" s="811"/>
      <c r="Q617" s="810"/>
      <c r="R617" s="810"/>
      <c r="S617" s="810"/>
      <c r="T617" s="810"/>
      <c r="U617" s="810"/>
      <c r="V617" s="810"/>
      <c r="W617" s="810"/>
      <c r="X617" s="810"/>
      <c r="Y617" s="810"/>
      <c r="Z617" s="810"/>
    </row>
    <row r="618">
      <c r="A618" s="810"/>
      <c r="B618" s="810"/>
      <c r="C618" s="810"/>
      <c r="D618" s="810"/>
      <c r="E618" s="810"/>
      <c r="F618" s="810"/>
      <c r="G618" s="810"/>
      <c r="H618" s="810"/>
      <c r="I618" s="810"/>
      <c r="J618" s="810"/>
      <c r="K618" s="810"/>
      <c r="L618" s="810"/>
      <c r="M618" s="810"/>
      <c r="N618" s="810"/>
      <c r="O618" s="810"/>
      <c r="P618" s="811"/>
      <c r="Q618" s="810"/>
      <c r="R618" s="810"/>
      <c r="S618" s="810"/>
      <c r="T618" s="810"/>
      <c r="U618" s="810"/>
      <c r="V618" s="810"/>
      <c r="W618" s="810"/>
      <c r="X618" s="810"/>
      <c r="Y618" s="810"/>
      <c r="Z618" s="810"/>
    </row>
    <row r="619">
      <c r="A619" s="810"/>
      <c r="B619" s="810"/>
      <c r="C619" s="810"/>
      <c r="D619" s="810"/>
      <c r="E619" s="810"/>
      <c r="F619" s="810"/>
      <c r="G619" s="810"/>
      <c r="H619" s="810"/>
      <c r="I619" s="810"/>
      <c r="J619" s="810"/>
      <c r="K619" s="810"/>
      <c r="L619" s="810"/>
      <c r="M619" s="810"/>
      <c r="N619" s="810"/>
      <c r="O619" s="810"/>
      <c r="P619" s="811"/>
      <c r="Q619" s="810"/>
      <c r="R619" s="810"/>
      <c r="S619" s="810"/>
      <c r="T619" s="810"/>
      <c r="U619" s="810"/>
      <c r="V619" s="810"/>
      <c r="W619" s="810"/>
      <c r="X619" s="810"/>
      <c r="Y619" s="810"/>
      <c r="Z619" s="810"/>
    </row>
    <row r="620">
      <c r="A620" s="810"/>
      <c r="B620" s="810"/>
      <c r="C620" s="810"/>
      <c r="D620" s="810"/>
      <c r="E620" s="810"/>
      <c r="F620" s="810"/>
      <c r="G620" s="810"/>
      <c r="H620" s="810"/>
      <c r="I620" s="810"/>
      <c r="J620" s="810"/>
      <c r="K620" s="810"/>
      <c r="L620" s="810"/>
      <c r="M620" s="810"/>
      <c r="N620" s="810"/>
      <c r="O620" s="810"/>
      <c r="P620" s="811"/>
      <c r="Q620" s="810"/>
      <c r="R620" s="810"/>
      <c r="S620" s="810"/>
      <c r="T620" s="810"/>
      <c r="U620" s="810"/>
      <c r="V620" s="810"/>
      <c r="W620" s="810"/>
      <c r="X620" s="810"/>
      <c r="Y620" s="810"/>
      <c r="Z620" s="810"/>
    </row>
    <row r="621">
      <c r="A621" s="810"/>
      <c r="B621" s="810"/>
      <c r="C621" s="810"/>
      <c r="D621" s="810"/>
      <c r="E621" s="810"/>
      <c r="F621" s="810"/>
      <c r="G621" s="810"/>
      <c r="H621" s="810"/>
      <c r="I621" s="810"/>
      <c r="J621" s="810"/>
      <c r="K621" s="810"/>
      <c r="L621" s="810"/>
      <c r="M621" s="810"/>
      <c r="N621" s="810"/>
      <c r="O621" s="810"/>
      <c r="P621" s="811"/>
      <c r="Q621" s="810"/>
      <c r="R621" s="810"/>
      <c r="S621" s="810"/>
      <c r="T621" s="810"/>
      <c r="U621" s="810"/>
      <c r="V621" s="810"/>
      <c r="W621" s="810"/>
      <c r="X621" s="810"/>
      <c r="Y621" s="810"/>
      <c r="Z621" s="810"/>
    </row>
    <row r="622">
      <c r="A622" s="810"/>
      <c r="B622" s="810"/>
      <c r="C622" s="810"/>
      <c r="D622" s="810"/>
      <c r="E622" s="810"/>
      <c r="F622" s="810"/>
      <c r="G622" s="810"/>
      <c r="H622" s="810"/>
      <c r="I622" s="810"/>
      <c r="J622" s="810"/>
      <c r="K622" s="810"/>
      <c r="L622" s="810"/>
      <c r="M622" s="810"/>
      <c r="N622" s="810"/>
      <c r="O622" s="810"/>
      <c r="P622" s="811"/>
      <c r="Q622" s="810"/>
      <c r="R622" s="810"/>
      <c r="S622" s="810"/>
      <c r="T622" s="810"/>
      <c r="U622" s="810"/>
      <c r="V622" s="810"/>
      <c r="W622" s="810"/>
      <c r="X622" s="810"/>
      <c r="Y622" s="810"/>
      <c r="Z622" s="810"/>
    </row>
    <row r="623">
      <c r="A623" s="810"/>
      <c r="B623" s="810"/>
      <c r="C623" s="810"/>
      <c r="D623" s="810"/>
      <c r="E623" s="810"/>
      <c r="F623" s="810"/>
      <c r="G623" s="810"/>
      <c r="H623" s="810"/>
      <c r="I623" s="810"/>
      <c r="J623" s="810"/>
      <c r="K623" s="810"/>
      <c r="L623" s="810"/>
      <c r="M623" s="810"/>
      <c r="N623" s="810"/>
      <c r="O623" s="810"/>
      <c r="P623" s="811"/>
      <c r="Q623" s="810"/>
      <c r="R623" s="810"/>
      <c r="S623" s="810"/>
      <c r="T623" s="810"/>
      <c r="U623" s="810"/>
      <c r="V623" s="810"/>
      <c r="W623" s="810"/>
      <c r="X623" s="810"/>
      <c r="Y623" s="810"/>
      <c r="Z623" s="810"/>
    </row>
    <row r="624">
      <c r="A624" s="810"/>
      <c r="B624" s="810"/>
      <c r="C624" s="810"/>
      <c r="D624" s="810"/>
      <c r="E624" s="810"/>
      <c r="F624" s="810"/>
      <c r="G624" s="810"/>
      <c r="H624" s="810"/>
      <c r="I624" s="810"/>
      <c r="J624" s="810"/>
      <c r="K624" s="810"/>
      <c r="L624" s="810"/>
      <c r="M624" s="810"/>
      <c r="N624" s="810"/>
      <c r="O624" s="810"/>
      <c r="P624" s="811"/>
      <c r="Q624" s="810"/>
      <c r="R624" s="810"/>
      <c r="S624" s="810"/>
      <c r="T624" s="810"/>
      <c r="U624" s="810"/>
      <c r="V624" s="810"/>
      <c r="W624" s="810"/>
      <c r="X624" s="810"/>
      <c r="Y624" s="810"/>
      <c r="Z624" s="810"/>
    </row>
    <row r="625">
      <c r="A625" s="810"/>
      <c r="B625" s="810"/>
      <c r="C625" s="810"/>
      <c r="D625" s="810"/>
      <c r="E625" s="810"/>
      <c r="F625" s="810"/>
      <c r="G625" s="810"/>
      <c r="H625" s="810"/>
      <c r="I625" s="810"/>
      <c r="J625" s="810"/>
      <c r="K625" s="810"/>
      <c r="L625" s="810"/>
      <c r="M625" s="810"/>
      <c r="N625" s="810"/>
      <c r="O625" s="810"/>
      <c r="P625" s="811"/>
      <c r="Q625" s="810"/>
      <c r="R625" s="810"/>
      <c r="S625" s="810"/>
      <c r="T625" s="810"/>
      <c r="U625" s="810"/>
      <c r="V625" s="810"/>
      <c r="W625" s="810"/>
      <c r="X625" s="810"/>
      <c r="Y625" s="810"/>
      <c r="Z625" s="810"/>
    </row>
    <row r="626">
      <c r="A626" s="810"/>
      <c r="B626" s="810"/>
      <c r="C626" s="810"/>
      <c r="D626" s="810"/>
      <c r="E626" s="810"/>
      <c r="F626" s="810"/>
      <c r="G626" s="810"/>
      <c r="H626" s="810"/>
      <c r="I626" s="810"/>
      <c r="J626" s="810"/>
      <c r="K626" s="810"/>
      <c r="L626" s="810"/>
      <c r="M626" s="810"/>
      <c r="N626" s="810"/>
      <c r="O626" s="810"/>
      <c r="P626" s="811"/>
      <c r="Q626" s="810"/>
      <c r="R626" s="810"/>
      <c r="S626" s="810"/>
      <c r="T626" s="810"/>
      <c r="U626" s="810"/>
      <c r="V626" s="810"/>
      <c r="W626" s="810"/>
      <c r="X626" s="810"/>
      <c r="Y626" s="810"/>
      <c r="Z626" s="810"/>
    </row>
    <row r="627">
      <c r="A627" s="810"/>
      <c r="B627" s="810"/>
      <c r="C627" s="810"/>
      <c r="D627" s="810"/>
      <c r="E627" s="810"/>
      <c r="F627" s="810"/>
      <c r="G627" s="810"/>
      <c r="H627" s="810"/>
      <c r="I627" s="810"/>
      <c r="J627" s="810"/>
      <c r="K627" s="810"/>
      <c r="L627" s="810"/>
      <c r="M627" s="810"/>
      <c r="N627" s="810"/>
      <c r="O627" s="810"/>
      <c r="P627" s="811"/>
      <c r="Q627" s="810"/>
      <c r="R627" s="810"/>
      <c r="S627" s="810"/>
      <c r="T627" s="810"/>
      <c r="U627" s="810"/>
      <c r="V627" s="810"/>
      <c r="W627" s="810"/>
      <c r="X627" s="810"/>
      <c r="Y627" s="810"/>
      <c r="Z627" s="810"/>
    </row>
    <row r="628">
      <c r="A628" s="810"/>
      <c r="B628" s="810"/>
      <c r="C628" s="810"/>
      <c r="D628" s="810"/>
      <c r="E628" s="810"/>
      <c r="F628" s="810"/>
      <c r="G628" s="810"/>
      <c r="H628" s="810"/>
      <c r="I628" s="810"/>
      <c r="J628" s="810"/>
      <c r="K628" s="810"/>
      <c r="L628" s="810"/>
      <c r="M628" s="810"/>
      <c r="N628" s="810"/>
      <c r="O628" s="810"/>
      <c r="P628" s="811"/>
      <c r="Q628" s="810"/>
      <c r="R628" s="810"/>
      <c r="S628" s="810"/>
      <c r="T628" s="810"/>
      <c r="U628" s="810"/>
      <c r="V628" s="810"/>
      <c r="W628" s="810"/>
      <c r="X628" s="810"/>
      <c r="Y628" s="810"/>
      <c r="Z628" s="810"/>
    </row>
    <row r="629">
      <c r="A629" s="810"/>
      <c r="B629" s="810"/>
      <c r="C629" s="810"/>
      <c r="D629" s="810"/>
      <c r="E629" s="810"/>
      <c r="F629" s="810"/>
      <c r="G629" s="810"/>
      <c r="H629" s="810"/>
      <c r="I629" s="810"/>
      <c r="J629" s="810"/>
      <c r="K629" s="810"/>
      <c r="L629" s="810"/>
      <c r="M629" s="810"/>
      <c r="N629" s="810"/>
      <c r="O629" s="810"/>
      <c r="P629" s="811"/>
      <c r="Q629" s="810"/>
      <c r="R629" s="810"/>
      <c r="S629" s="810"/>
      <c r="T629" s="810"/>
      <c r="U629" s="810"/>
      <c r="V629" s="810"/>
      <c r="W629" s="810"/>
      <c r="X629" s="810"/>
      <c r="Y629" s="810"/>
      <c r="Z629" s="810"/>
    </row>
    <row r="630">
      <c r="A630" s="810"/>
      <c r="B630" s="810"/>
      <c r="C630" s="810"/>
      <c r="D630" s="810"/>
      <c r="E630" s="810"/>
      <c r="F630" s="810"/>
      <c r="G630" s="810"/>
      <c r="H630" s="810"/>
      <c r="I630" s="810"/>
      <c r="J630" s="810"/>
      <c r="K630" s="810"/>
      <c r="L630" s="810"/>
      <c r="M630" s="810"/>
      <c r="N630" s="810"/>
      <c r="O630" s="810"/>
      <c r="P630" s="811"/>
      <c r="Q630" s="810"/>
      <c r="R630" s="810"/>
      <c r="S630" s="810"/>
      <c r="T630" s="810"/>
      <c r="U630" s="810"/>
      <c r="V630" s="810"/>
      <c r="W630" s="810"/>
      <c r="X630" s="810"/>
      <c r="Y630" s="810"/>
      <c r="Z630" s="810"/>
    </row>
    <row r="631">
      <c r="A631" s="810"/>
      <c r="B631" s="810"/>
      <c r="C631" s="810"/>
      <c r="D631" s="810"/>
      <c r="E631" s="810"/>
      <c r="F631" s="810"/>
      <c r="G631" s="810"/>
      <c r="H631" s="810"/>
      <c r="I631" s="810"/>
      <c r="J631" s="810"/>
      <c r="K631" s="810"/>
      <c r="L631" s="810"/>
      <c r="M631" s="810"/>
      <c r="N631" s="810"/>
      <c r="O631" s="810"/>
      <c r="P631" s="811"/>
      <c r="Q631" s="810"/>
      <c r="R631" s="810"/>
      <c r="S631" s="810"/>
      <c r="T631" s="810"/>
      <c r="U631" s="810"/>
      <c r="V631" s="810"/>
      <c r="W631" s="810"/>
      <c r="X631" s="810"/>
      <c r="Y631" s="810"/>
      <c r="Z631" s="810"/>
    </row>
    <row r="632">
      <c r="A632" s="810"/>
      <c r="B632" s="810"/>
      <c r="C632" s="810"/>
      <c r="D632" s="810"/>
      <c r="E632" s="810"/>
      <c r="F632" s="810"/>
      <c r="G632" s="810"/>
      <c r="H632" s="810"/>
      <c r="I632" s="810"/>
      <c r="J632" s="810"/>
      <c r="K632" s="810"/>
      <c r="L632" s="810"/>
      <c r="M632" s="810"/>
      <c r="N632" s="810"/>
      <c r="O632" s="810"/>
      <c r="P632" s="811"/>
      <c r="Q632" s="810"/>
      <c r="R632" s="810"/>
      <c r="S632" s="810"/>
      <c r="T632" s="810"/>
      <c r="U632" s="810"/>
      <c r="V632" s="810"/>
      <c r="W632" s="810"/>
      <c r="X632" s="810"/>
      <c r="Y632" s="810"/>
      <c r="Z632" s="810"/>
    </row>
    <row r="633">
      <c r="A633" s="810"/>
      <c r="B633" s="810"/>
      <c r="C633" s="810"/>
      <c r="D633" s="810"/>
      <c r="E633" s="810"/>
      <c r="F633" s="810"/>
      <c r="G633" s="810"/>
      <c r="H633" s="810"/>
      <c r="I633" s="810"/>
      <c r="J633" s="810"/>
      <c r="K633" s="810"/>
      <c r="L633" s="810"/>
      <c r="M633" s="810"/>
      <c r="N633" s="810"/>
      <c r="O633" s="810"/>
      <c r="P633" s="811"/>
      <c r="Q633" s="810"/>
      <c r="R633" s="810"/>
      <c r="S633" s="810"/>
      <c r="T633" s="810"/>
      <c r="U633" s="810"/>
      <c r="V633" s="810"/>
      <c r="W633" s="810"/>
      <c r="X633" s="810"/>
      <c r="Y633" s="810"/>
      <c r="Z633" s="810"/>
    </row>
    <row r="634">
      <c r="A634" s="810"/>
      <c r="B634" s="810"/>
      <c r="C634" s="810"/>
      <c r="D634" s="810"/>
      <c r="E634" s="810"/>
      <c r="F634" s="810"/>
      <c r="G634" s="810"/>
      <c r="H634" s="810"/>
      <c r="I634" s="810"/>
      <c r="J634" s="810"/>
      <c r="K634" s="810"/>
      <c r="L634" s="810"/>
      <c r="M634" s="810"/>
      <c r="N634" s="810"/>
      <c r="O634" s="810"/>
      <c r="P634" s="811"/>
      <c r="Q634" s="810"/>
      <c r="R634" s="810"/>
      <c r="S634" s="810"/>
      <c r="T634" s="810"/>
      <c r="U634" s="810"/>
      <c r="V634" s="810"/>
      <c r="W634" s="810"/>
      <c r="X634" s="810"/>
      <c r="Y634" s="810"/>
      <c r="Z634" s="810"/>
    </row>
    <row r="635">
      <c r="A635" s="810"/>
      <c r="B635" s="810"/>
      <c r="C635" s="810"/>
      <c r="D635" s="810"/>
      <c r="E635" s="810"/>
      <c r="F635" s="810"/>
      <c r="G635" s="810"/>
      <c r="H635" s="810"/>
      <c r="I635" s="810"/>
      <c r="J635" s="810"/>
      <c r="K635" s="810"/>
      <c r="L635" s="810"/>
      <c r="M635" s="810"/>
      <c r="N635" s="810"/>
      <c r="O635" s="810"/>
      <c r="P635" s="811"/>
      <c r="Q635" s="810"/>
      <c r="R635" s="810"/>
      <c r="S635" s="810"/>
      <c r="T635" s="810"/>
      <c r="U635" s="810"/>
      <c r="V635" s="810"/>
      <c r="W635" s="810"/>
      <c r="X635" s="810"/>
      <c r="Y635" s="810"/>
      <c r="Z635" s="810"/>
    </row>
    <row r="636">
      <c r="A636" s="810"/>
      <c r="B636" s="810"/>
      <c r="C636" s="810"/>
      <c r="D636" s="810"/>
      <c r="E636" s="810"/>
      <c r="F636" s="810"/>
      <c r="G636" s="810"/>
      <c r="H636" s="810"/>
      <c r="I636" s="810"/>
      <c r="J636" s="810"/>
      <c r="K636" s="810"/>
      <c r="L636" s="810"/>
      <c r="M636" s="810"/>
      <c r="N636" s="810"/>
      <c r="O636" s="810"/>
      <c r="P636" s="811"/>
      <c r="Q636" s="810"/>
      <c r="R636" s="810"/>
      <c r="S636" s="810"/>
      <c r="T636" s="810"/>
      <c r="U636" s="810"/>
      <c r="V636" s="810"/>
      <c r="W636" s="810"/>
      <c r="X636" s="810"/>
      <c r="Y636" s="810"/>
      <c r="Z636" s="810"/>
    </row>
    <row r="637">
      <c r="A637" s="810"/>
      <c r="B637" s="810"/>
      <c r="C637" s="810"/>
      <c r="D637" s="810"/>
      <c r="E637" s="810"/>
      <c r="F637" s="810"/>
      <c r="G637" s="810"/>
      <c r="H637" s="810"/>
      <c r="I637" s="810"/>
      <c r="J637" s="810"/>
      <c r="K637" s="810"/>
      <c r="L637" s="810"/>
      <c r="M637" s="810"/>
      <c r="N637" s="810"/>
      <c r="O637" s="810"/>
      <c r="P637" s="811"/>
      <c r="Q637" s="810"/>
      <c r="R637" s="810"/>
      <c r="S637" s="810"/>
      <c r="T637" s="810"/>
      <c r="U637" s="810"/>
      <c r="V637" s="810"/>
      <c r="W637" s="810"/>
      <c r="X637" s="810"/>
      <c r="Y637" s="810"/>
      <c r="Z637" s="810"/>
    </row>
    <row r="638">
      <c r="A638" s="810"/>
      <c r="B638" s="810"/>
      <c r="C638" s="810"/>
      <c r="D638" s="810"/>
      <c r="E638" s="810"/>
      <c r="F638" s="810"/>
      <c r="G638" s="810"/>
      <c r="H638" s="810"/>
      <c r="I638" s="810"/>
      <c r="J638" s="810"/>
      <c r="K638" s="810"/>
      <c r="L638" s="810"/>
      <c r="M638" s="810"/>
      <c r="N638" s="810"/>
      <c r="O638" s="810"/>
      <c r="P638" s="811"/>
      <c r="Q638" s="810"/>
      <c r="R638" s="810"/>
      <c r="S638" s="810"/>
      <c r="T638" s="810"/>
      <c r="U638" s="810"/>
      <c r="V638" s="810"/>
      <c r="W638" s="810"/>
      <c r="X638" s="810"/>
      <c r="Y638" s="810"/>
      <c r="Z638" s="810"/>
    </row>
    <row r="639">
      <c r="A639" s="810"/>
      <c r="B639" s="810"/>
      <c r="C639" s="810"/>
      <c r="D639" s="810"/>
      <c r="E639" s="810"/>
      <c r="F639" s="810"/>
      <c r="G639" s="810"/>
      <c r="H639" s="810"/>
      <c r="I639" s="810"/>
      <c r="J639" s="810"/>
      <c r="K639" s="810"/>
      <c r="L639" s="810"/>
      <c r="M639" s="810"/>
      <c r="N639" s="810"/>
      <c r="O639" s="810"/>
      <c r="P639" s="811"/>
      <c r="Q639" s="810"/>
      <c r="R639" s="810"/>
      <c r="S639" s="810"/>
      <c r="T639" s="810"/>
      <c r="U639" s="810"/>
      <c r="V639" s="810"/>
      <c r="W639" s="810"/>
      <c r="X639" s="810"/>
      <c r="Y639" s="810"/>
      <c r="Z639" s="810"/>
    </row>
    <row r="640">
      <c r="A640" s="810"/>
      <c r="B640" s="810"/>
      <c r="C640" s="810"/>
      <c r="D640" s="810"/>
      <c r="E640" s="810"/>
      <c r="F640" s="810"/>
      <c r="G640" s="810"/>
      <c r="H640" s="810"/>
      <c r="I640" s="810"/>
      <c r="J640" s="810"/>
      <c r="K640" s="810"/>
      <c r="L640" s="810"/>
      <c r="M640" s="810"/>
      <c r="N640" s="810"/>
      <c r="O640" s="810"/>
      <c r="P640" s="811"/>
      <c r="Q640" s="810"/>
      <c r="R640" s="810"/>
      <c r="S640" s="810"/>
      <c r="T640" s="810"/>
      <c r="U640" s="810"/>
      <c r="V640" s="810"/>
      <c r="W640" s="810"/>
      <c r="X640" s="810"/>
      <c r="Y640" s="810"/>
      <c r="Z640" s="810"/>
    </row>
    <row r="641">
      <c r="A641" s="810"/>
      <c r="B641" s="810"/>
      <c r="C641" s="810"/>
      <c r="D641" s="810"/>
      <c r="E641" s="810"/>
      <c r="F641" s="810"/>
      <c r="G641" s="810"/>
      <c r="H641" s="810"/>
      <c r="I641" s="810"/>
      <c r="J641" s="810"/>
      <c r="K641" s="810"/>
      <c r="L641" s="810"/>
      <c r="M641" s="810"/>
      <c r="N641" s="810"/>
      <c r="O641" s="810"/>
      <c r="P641" s="811"/>
      <c r="Q641" s="810"/>
      <c r="R641" s="810"/>
      <c r="S641" s="810"/>
      <c r="T641" s="810"/>
      <c r="U641" s="810"/>
      <c r="V641" s="810"/>
      <c r="W641" s="810"/>
      <c r="X641" s="810"/>
      <c r="Y641" s="810"/>
      <c r="Z641" s="810"/>
    </row>
    <row r="642">
      <c r="A642" s="810"/>
      <c r="B642" s="810"/>
      <c r="C642" s="810"/>
      <c r="D642" s="810"/>
      <c r="E642" s="810"/>
      <c r="F642" s="810"/>
      <c r="G642" s="810"/>
      <c r="H642" s="810"/>
      <c r="I642" s="810"/>
      <c r="J642" s="810"/>
      <c r="K642" s="810"/>
      <c r="L642" s="810"/>
      <c r="M642" s="810"/>
      <c r="N642" s="810"/>
      <c r="O642" s="810"/>
      <c r="P642" s="811"/>
      <c r="Q642" s="810"/>
      <c r="R642" s="810"/>
      <c r="S642" s="810"/>
      <c r="T642" s="810"/>
      <c r="U642" s="810"/>
      <c r="V642" s="810"/>
      <c r="W642" s="810"/>
      <c r="X642" s="810"/>
      <c r="Y642" s="810"/>
      <c r="Z642" s="810"/>
    </row>
    <row r="643">
      <c r="A643" s="810"/>
      <c r="B643" s="810"/>
      <c r="C643" s="810"/>
      <c r="D643" s="810"/>
      <c r="E643" s="810"/>
      <c r="F643" s="810"/>
      <c r="G643" s="810"/>
      <c r="H643" s="810"/>
      <c r="I643" s="810"/>
      <c r="J643" s="810"/>
      <c r="K643" s="810"/>
      <c r="L643" s="810"/>
      <c r="M643" s="810"/>
      <c r="N643" s="810"/>
      <c r="O643" s="810"/>
      <c r="P643" s="811"/>
      <c r="Q643" s="810"/>
      <c r="R643" s="810"/>
      <c r="S643" s="810"/>
      <c r="T643" s="810"/>
      <c r="U643" s="810"/>
      <c r="V643" s="810"/>
      <c r="W643" s="810"/>
      <c r="X643" s="810"/>
      <c r="Y643" s="810"/>
      <c r="Z643" s="810"/>
    </row>
    <row r="644">
      <c r="A644" s="810"/>
      <c r="B644" s="810"/>
      <c r="C644" s="810"/>
      <c r="D644" s="810"/>
      <c r="E644" s="810"/>
      <c r="F644" s="810"/>
      <c r="G644" s="810"/>
      <c r="H644" s="810"/>
      <c r="I644" s="810"/>
      <c r="J644" s="810"/>
      <c r="K644" s="810"/>
      <c r="L644" s="810"/>
      <c r="M644" s="810"/>
      <c r="N644" s="810"/>
      <c r="O644" s="810"/>
      <c r="P644" s="811"/>
      <c r="Q644" s="810"/>
      <c r="R644" s="810"/>
      <c r="S644" s="810"/>
      <c r="T644" s="810"/>
      <c r="U644" s="810"/>
      <c r="V644" s="810"/>
      <c r="W644" s="810"/>
      <c r="X644" s="810"/>
      <c r="Y644" s="810"/>
      <c r="Z644" s="810"/>
    </row>
    <row r="645">
      <c r="A645" s="810"/>
      <c r="B645" s="810"/>
      <c r="C645" s="810"/>
      <c r="D645" s="810"/>
      <c r="E645" s="810"/>
      <c r="F645" s="810"/>
      <c r="G645" s="810"/>
      <c r="H645" s="810"/>
      <c r="I645" s="810"/>
      <c r="J645" s="810"/>
      <c r="K645" s="810"/>
      <c r="L645" s="810"/>
      <c r="M645" s="810"/>
      <c r="N645" s="810"/>
      <c r="O645" s="810"/>
      <c r="P645" s="811"/>
      <c r="Q645" s="810"/>
      <c r="R645" s="810"/>
      <c r="S645" s="810"/>
      <c r="T645" s="810"/>
      <c r="U645" s="810"/>
      <c r="V645" s="810"/>
      <c r="W645" s="810"/>
      <c r="X645" s="810"/>
      <c r="Y645" s="810"/>
      <c r="Z645" s="810"/>
    </row>
    <row r="646">
      <c r="A646" s="810"/>
      <c r="B646" s="810"/>
      <c r="C646" s="810"/>
      <c r="D646" s="810"/>
      <c r="E646" s="810"/>
      <c r="F646" s="810"/>
      <c r="G646" s="810"/>
      <c r="H646" s="810"/>
      <c r="I646" s="810"/>
      <c r="J646" s="810"/>
      <c r="K646" s="810"/>
      <c r="L646" s="810"/>
      <c r="M646" s="810"/>
      <c r="N646" s="810"/>
      <c r="O646" s="810"/>
      <c r="P646" s="811"/>
      <c r="Q646" s="810"/>
      <c r="R646" s="810"/>
      <c r="S646" s="810"/>
      <c r="T646" s="810"/>
      <c r="U646" s="810"/>
      <c r="V646" s="810"/>
      <c r="W646" s="810"/>
      <c r="X646" s="810"/>
      <c r="Y646" s="810"/>
      <c r="Z646" s="810"/>
    </row>
    <row r="647">
      <c r="A647" s="810"/>
      <c r="B647" s="810"/>
      <c r="C647" s="810"/>
      <c r="D647" s="810"/>
      <c r="E647" s="810"/>
      <c r="F647" s="810"/>
      <c r="G647" s="810"/>
      <c r="H647" s="810"/>
      <c r="I647" s="810"/>
      <c r="J647" s="810"/>
      <c r="K647" s="810"/>
      <c r="L647" s="810"/>
      <c r="M647" s="810"/>
      <c r="N647" s="810"/>
      <c r="O647" s="810"/>
      <c r="P647" s="811"/>
      <c r="Q647" s="810"/>
      <c r="R647" s="810"/>
      <c r="S647" s="810"/>
      <c r="T647" s="810"/>
      <c r="U647" s="810"/>
      <c r="V647" s="810"/>
      <c r="W647" s="810"/>
      <c r="X647" s="810"/>
      <c r="Y647" s="810"/>
      <c r="Z647" s="810"/>
    </row>
    <row r="648">
      <c r="A648" s="810"/>
      <c r="B648" s="810"/>
      <c r="C648" s="810"/>
      <c r="D648" s="810"/>
      <c r="E648" s="810"/>
      <c r="F648" s="810"/>
      <c r="G648" s="810"/>
      <c r="H648" s="810"/>
      <c r="I648" s="810"/>
      <c r="J648" s="810"/>
      <c r="K648" s="810"/>
      <c r="L648" s="810"/>
      <c r="M648" s="810"/>
      <c r="N648" s="810"/>
      <c r="O648" s="810"/>
      <c r="P648" s="811"/>
      <c r="Q648" s="810"/>
      <c r="R648" s="810"/>
      <c r="S648" s="810"/>
      <c r="T648" s="810"/>
      <c r="U648" s="810"/>
      <c r="V648" s="810"/>
      <c r="W648" s="810"/>
      <c r="X648" s="810"/>
      <c r="Y648" s="810"/>
      <c r="Z648" s="810"/>
    </row>
    <row r="649">
      <c r="A649" s="810"/>
      <c r="B649" s="810"/>
      <c r="C649" s="810"/>
      <c r="D649" s="810"/>
      <c r="E649" s="810"/>
      <c r="F649" s="810"/>
      <c r="G649" s="810"/>
      <c r="H649" s="810"/>
      <c r="I649" s="810"/>
      <c r="J649" s="810"/>
      <c r="K649" s="810"/>
      <c r="L649" s="810"/>
      <c r="M649" s="810"/>
      <c r="N649" s="810"/>
      <c r="O649" s="810"/>
      <c r="P649" s="811"/>
      <c r="Q649" s="810"/>
      <c r="R649" s="810"/>
      <c r="S649" s="810"/>
      <c r="T649" s="810"/>
      <c r="U649" s="810"/>
      <c r="V649" s="810"/>
      <c r="W649" s="810"/>
      <c r="X649" s="810"/>
      <c r="Y649" s="810"/>
      <c r="Z649" s="810"/>
    </row>
    <row r="650">
      <c r="A650" s="810"/>
      <c r="B650" s="810"/>
      <c r="C650" s="810"/>
      <c r="D650" s="810"/>
      <c r="E650" s="810"/>
      <c r="F650" s="810"/>
      <c r="G650" s="810"/>
      <c r="H650" s="810"/>
      <c r="I650" s="810"/>
      <c r="J650" s="810"/>
      <c r="K650" s="810"/>
      <c r="L650" s="810"/>
      <c r="M650" s="810"/>
      <c r="N650" s="810"/>
      <c r="O650" s="810"/>
      <c r="P650" s="811"/>
      <c r="Q650" s="810"/>
      <c r="R650" s="810"/>
      <c r="S650" s="810"/>
      <c r="T650" s="810"/>
      <c r="U650" s="810"/>
      <c r="V650" s="810"/>
      <c r="W650" s="810"/>
      <c r="X650" s="810"/>
      <c r="Y650" s="810"/>
      <c r="Z650" s="810"/>
    </row>
    <row r="651">
      <c r="A651" s="810"/>
      <c r="B651" s="810"/>
      <c r="C651" s="810"/>
      <c r="D651" s="810"/>
      <c r="E651" s="810"/>
      <c r="F651" s="810"/>
      <c r="G651" s="810"/>
      <c r="H651" s="810"/>
      <c r="I651" s="810"/>
      <c r="J651" s="810"/>
      <c r="K651" s="810"/>
      <c r="L651" s="810"/>
      <c r="M651" s="810"/>
      <c r="N651" s="810"/>
      <c r="O651" s="810"/>
      <c r="P651" s="811"/>
      <c r="Q651" s="810"/>
      <c r="R651" s="810"/>
      <c r="S651" s="810"/>
      <c r="T651" s="810"/>
      <c r="U651" s="810"/>
      <c r="V651" s="810"/>
      <c r="W651" s="810"/>
      <c r="X651" s="810"/>
      <c r="Y651" s="810"/>
      <c r="Z651" s="810"/>
    </row>
    <row r="652">
      <c r="A652" s="810"/>
      <c r="B652" s="810"/>
      <c r="C652" s="810"/>
      <c r="D652" s="810"/>
      <c r="E652" s="810"/>
      <c r="F652" s="810"/>
      <c r="G652" s="810"/>
      <c r="H652" s="810"/>
      <c r="I652" s="810"/>
      <c r="J652" s="810"/>
      <c r="K652" s="810"/>
      <c r="L652" s="810"/>
      <c r="M652" s="810"/>
      <c r="N652" s="810"/>
      <c r="O652" s="810"/>
      <c r="P652" s="811"/>
      <c r="Q652" s="810"/>
      <c r="R652" s="810"/>
      <c r="S652" s="810"/>
      <c r="T652" s="810"/>
      <c r="U652" s="810"/>
      <c r="V652" s="810"/>
      <c r="W652" s="810"/>
      <c r="X652" s="810"/>
      <c r="Y652" s="810"/>
      <c r="Z652" s="810"/>
    </row>
    <row r="653">
      <c r="A653" s="810"/>
      <c r="B653" s="810"/>
      <c r="C653" s="810"/>
      <c r="D653" s="810"/>
      <c r="E653" s="810"/>
      <c r="F653" s="810"/>
      <c r="G653" s="810"/>
      <c r="H653" s="810"/>
      <c r="I653" s="810"/>
      <c r="J653" s="810"/>
      <c r="K653" s="810"/>
      <c r="L653" s="810"/>
      <c r="M653" s="810"/>
      <c r="N653" s="810"/>
      <c r="O653" s="810"/>
      <c r="P653" s="811"/>
      <c r="Q653" s="810"/>
      <c r="R653" s="810"/>
      <c r="S653" s="810"/>
      <c r="T653" s="810"/>
      <c r="U653" s="810"/>
      <c r="V653" s="810"/>
      <c r="W653" s="810"/>
      <c r="X653" s="810"/>
      <c r="Y653" s="810"/>
      <c r="Z653" s="810"/>
    </row>
    <row r="654">
      <c r="A654" s="810"/>
      <c r="B654" s="810"/>
      <c r="C654" s="810"/>
      <c r="D654" s="810"/>
      <c r="E654" s="810"/>
      <c r="F654" s="810"/>
      <c r="G654" s="810"/>
      <c r="H654" s="810"/>
      <c r="I654" s="810"/>
      <c r="J654" s="810"/>
      <c r="K654" s="810"/>
      <c r="L654" s="810"/>
      <c r="M654" s="810"/>
      <c r="N654" s="810"/>
      <c r="O654" s="810"/>
      <c r="P654" s="811"/>
      <c r="Q654" s="810"/>
      <c r="R654" s="810"/>
      <c r="S654" s="810"/>
      <c r="T654" s="810"/>
      <c r="U654" s="810"/>
      <c r="V654" s="810"/>
      <c r="W654" s="810"/>
      <c r="X654" s="810"/>
      <c r="Y654" s="810"/>
      <c r="Z654" s="810"/>
    </row>
    <row r="655">
      <c r="A655" s="810"/>
      <c r="B655" s="810"/>
      <c r="C655" s="810"/>
      <c r="D655" s="810"/>
      <c r="E655" s="810"/>
      <c r="F655" s="810"/>
      <c r="G655" s="810"/>
      <c r="H655" s="810"/>
      <c r="I655" s="810"/>
      <c r="J655" s="810"/>
      <c r="K655" s="810"/>
      <c r="L655" s="810"/>
      <c r="M655" s="810"/>
      <c r="N655" s="810"/>
      <c r="O655" s="810"/>
      <c r="P655" s="811"/>
      <c r="Q655" s="810"/>
      <c r="R655" s="810"/>
      <c r="S655" s="810"/>
      <c r="T655" s="810"/>
      <c r="U655" s="810"/>
      <c r="V655" s="810"/>
      <c r="W655" s="810"/>
      <c r="X655" s="810"/>
      <c r="Y655" s="810"/>
      <c r="Z655" s="810"/>
    </row>
    <row r="656">
      <c r="A656" s="810"/>
      <c r="B656" s="810"/>
      <c r="C656" s="810"/>
      <c r="D656" s="810"/>
      <c r="E656" s="810"/>
      <c r="F656" s="810"/>
      <c r="G656" s="810"/>
      <c r="H656" s="810"/>
      <c r="I656" s="810"/>
      <c r="J656" s="810"/>
      <c r="K656" s="810"/>
      <c r="L656" s="810"/>
      <c r="M656" s="810"/>
      <c r="N656" s="810"/>
      <c r="O656" s="810"/>
      <c r="P656" s="811"/>
      <c r="Q656" s="810"/>
      <c r="R656" s="810"/>
      <c r="S656" s="810"/>
      <c r="T656" s="810"/>
      <c r="U656" s="810"/>
      <c r="V656" s="810"/>
      <c r="W656" s="810"/>
      <c r="X656" s="810"/>
      <c r="Y656" s="810"/>
      <c r="Z656" s="810"/>
    </row>
    <row r="657">
      <c r="A657" s="810"/>
      <c r="B657" s="810"/>
      <c r="C657" s="810"/>
      <c r="D657" s="810"/>
      <c r="E657" s="810"/>
      <c r="F657" s="810"/>
      <c r="G657" s="810"/>
      <c r="H657" s="810"/>
      <c r="I657" s="810"/>
      <c r="J657" s="810"/>
      <c r="K657" s="810"/>
      <c r="L657" s="810"/>
      <c r="M657" s="810"/>
      <c r="N657" s="810"/>
      <c r="O657" s="810"/>
      <c r="P657" s="811"/>
      <c r="Q657" s="810"/>
      <c r="R657" s="810"/>
      <c r="S657" s="810"/>
      <c r="T657" s="810"/>
      <c r="U657" s="810"/>
      <c r="V657" s="810"/>
      <c r="W657" s="810"/>
      <c r="X657" s="810"/>
      <c r="Y657" s="810"/>
      <c r="Z657" s="810"/>
    </row>
    <row r="658">
      <c r="A658" s="810"/>
      <c r="B658" s="810"/>
      <c r="C658" s="810"/>
      <c r="D658" s="810"/>
      <c r="E658" s="810"/>
      <c r="F658" s="810"/>
      <c r="G658" s="810"/>
      <c r="H658" s="810"/>
      <c r="I658" s="810"/>
      <c r="J658" s="810"/>
      <c r="K658" s="810"/>
      <c r="L658" s="810"/>
      <c r="M658" s="810"/>
      <c r="N658" s="810"/>
      <c r="O658" s="810"/>
      <c r="P658" s="811"/>
      <c r="Q658" s="810"/>
      <c r="R658" s="810"/>
      <c r="S658" s="810"/>
      <c r="T658" s="810"/>
      <c r="U658" s="810"/>
      <c r="V658" s="810"/>
      <c r="W658" s="810"/>
      <c r="X658" s="810"/>
      <c r="Y658" s="810"/>
      <c r="Z658" s="810"/>
    </row>
    <row r="659">
      <c r="A659" s="810"/>
      <c r="B659" s="810"/>
      <c r="C659" s="810"/>
      <c r="D659" s="810"/>
      <c r="E659" s="810"/>
      <c r="F659" s="810"/>
      <c r="G659" s="810"/>
      <c r="H659" s="810"/>
      <c r="I659" s="810"/>
      <c r="J659" s="810"/>
      <c r="K659" s="810"/>
      <c r="L659" s="810"/>
      <c r="M659" s="810"/>
      <c r="N659" s="810"/>
      <c r="O659" s="810"/>
      <c r="P659" s="811"/>
      <c r="Q659" s="810"/>
      <c r="R659" s="810"/>
      <c r="S659" s="810"/>
      <c r="T659" s="810"/>
      <c r="U659" s="810"/>
      <c r="V659" s="810"/>
      <c r="W659" s="810"/>
      <c r="X659" s="810"/>
      <c r="Y659" s="810"/>
      <c r="Z659" s="810"/>
    </row>
    <row r="660">
      <c r="A660" s="810"/>
      <c r="B660" s="810"/>
      <c r="C660" s="810"/>
      <c r="D660" s="810"/>
      <c r="E660" s="810"/>
      <c r="F660" s="810"/>
      <c r="G660" s="810"/>
      <c r="H660" s="810"/>
      <c r="I660" s="810"/>
      <c r="J660" s="810"/>
      <c r="K660" s="810"/>
      <c r="L660" s="810"/>
      <c r="M660" s="810"/>
      <c r="N660" s="810"/>
      <c r="O660" s="810"/>
      <c r="P660" s="811"/>
      <c r="Q660" s="810"/>
      <c r="R660" s="810"/>
      <c r="S660" s="810"/>
      <c r="T660" s="810"/>
      <c r="U660" s="810"/>
      <c r="V660" s="810"/>
      <c r="W660" s="810"/>
      <c r="X660" s="810"/>
      <c r="Y660" s="810"/>
      <c r="Z660" s="810"/>
    </row>
    <row r="661">
      <c r="A661" s="810"/>
      <c r="B661" s="810"/>
      <c r="C661" s="810"/>
      <c r="D661" s="810"/>
      <c r="E661" s="810"/>
      <c r="F661" s="810"/>
      <c r="G661" s="810"/>
      <c r="H661" s="810"/>
      <c r="I661" s="810"/>
      <c r="J661" s="810"/>
      <c r="K661" s="810"/>
      <c r="L661" s="810"/>
      <c r="M661" s="810"/>
      <c r="N661" s="810"/>
      <c r="O661" s="810"/>
      <c r="P661" s="811"/>
      <c r="Q661" s="810"/>
      <c r="R661" s="810"/>
      <c r="S661" s="810"/>
      <c r="T661" s="810"/>
      <c r="U661" s="810"/>
      <c r="V661" s="810"/>
      <c r="W661" s="810"/>
      <c r="X661" s="810"/>
      <c r="Y661" s="810"/>
      <c r="Z661" s="810"/>
    </row>
    <row r="662">
      <c r="A662" s="810"/>
      <c r="B662" s="810"/>
      <c r="C662" s="810"/>
      <c r="D662" s="810"/>
      <c r="E662" s="810"/>
      <c r="F662" s="810"/>
      <c r="G662" s="810"/>
      <c r="H662" s="810"/>
      <c r="I662" s="810"/>
      <c r="J662" s="810"/>
      <c r="K662" s="810"/>
      <c r="L662" s="810"/>
      <c r="M662" s="810"/>
      <c r="N662" s="810"/>
      <c r="O662" s="810"/>
      <c r="P662" s="811"/>
      <c r="Q662" s="810"/>
      <c r="R662" s="810"/>
      <c r="S662" s="810"/>
      <c r="T662" s="810"/>
      <c r="U662" s="810"/>
      <c r="V662" s="810"/>
      <c r="W662" s="810"/>
      <c r="X662" s="810"/>
      <c r="Y662" s="810"/>
      <c r="Z662" s="810"/>
    </row>
    <row r="663">
      <c r="A663" s="810"/>
      <c r="B663" s="810"/>
      <c r="C663" s="810"/>
      <c r="D663" s="810"/>
      <c r="E663" s="810"/>
      <c r="F663" s="810"/>
      <c r="G663" s="810"/>
      <c r="H663" s="810"/>
      <c r="I663" s="810"/>
      <c r="J663" s="810"/>
      <c r="K663" s="810"/>
      <c r="L663" s="810"/>
      <c r="M663" s="810"/>
      <c r="N663" s="810"/>
      <c r="O663" s="810"/>
      <c r="P663" s="811"/>
      <c r="Q663" s="810"/>
      <c r="R663" s="810"/>
      <c r="S663" s="810"/>
      <c r="T663" s="810"/>
      <c r="U663" s="810"/>
      <c r="V663" s="810"/>
      <c r="W663" s="810"/>
      <c r="X663" s="810"/>
      <c r="Y663" s="810"/>
      <c r="Z663" s="810"/>
    </row>
    <row r="664">
      <c r="A664" s="810"/>
      <c r="B664" s="810"/>
      <c r="C664" s="810"/>
      <c r="D664" s="810"/>
      <c r="E664" s="810"/>
      <c r="F664" s="810"/>
      <c r="G664" s="810"/>
      <c r="H664" s="810"/>
      <c r="I664" s="810"/>
      <c r="J664" s="810"/>
      <c r="K664" s="810"/>
      <c r="L664" s="810"/>
      <c r="M664" s="810"/>
      <c r="N664" s="810"/>
      <c r="O664" s="810"/>
      <c r="P664" s="811"/>
      <c r="Q664" s="810"/>
      <c r="R664" s="810"/>
      <c r="S664" s="810"/>
      <c r="T664" s="810"/>
      <c r="U664" s="810"/>
      <c r="V664" s="810"/>
      <c r="W664" s="810"/>
      <c r="X664" s="810"/>
      <c r="Y664" s="810"/>
      <c r="Z664" s="810"/>
    </row>
    <row r="665">
      <c r="A665" s="810"/>
      <c r="B665" s="810"/>
      <c r="C665" s="810"/>
      <c r="D665" s="810"/>
      <c r="E665" s="810"/>
      <c r="F665" s="810"/>
      <c r="G665" s="810"/>
      <c r="H665" s="810"/>
      <c r="I665" s="810"/>
      <c r="J665" s="810"/>
      <c r="K665" s="810"/>
      <c r="L665" s="810"/>
      <c r="M665" s="810"/>
      <c r="N665" s="810"/>
      <c r="O665" s="810"/>
      <c r="P665" s="811"/>
      <c r="Q665" s="810"/>
      <c r="R665" s="810"/>
      <c r="S665" s="810"/>
      <c r="T665" s="810"/>
      <c r="U665" s="810"/>
      <c r="V665" s="810"/>
      <c r="W665" s="810"/>
      <c r="X665" s="810"/>
      <c r="Y665" s="810"/>
      <c r="Z665" s="810"/>
    </row>
    <row r="666">
      <c r="A666" s="810"/>
      <c r="B666" s="810"/>
      <c r="C666" s="810"/>
      <c r="D666" s="810"/>
      <c r="E666" s="810"/>
      <c r="F666" s="810"/>
      <c r="G666" s="810"/>
      <c r="H666" s="810"/>
      <c r="I666" s="810"/>
      <c r="J666" s="810"/>
      <c r="K666" s="810"/>
      <c r="L666" s="810"/>
      <c r="M666" s="810"/>
      <c r="N666" s="810"/>
      <c r="O666" s="810"/>
      <c r="P666" s="811"/>
      <c r="Q666" s="810"/>
      <c r="R666" s="810"/>
      <c r="S666" s="810"/>
      <c r="T666" s="810"/>
      <c r="U666" s="810"/>
      <c r="V666" s="810"/>
      <c r="W666" s="810"/>
      <c r="X666" s="810"/>
      <c r="Y666" s="810"/>
      <c r="Z666" s="810"/>
    </row>
    <row r="667">
      <c r="A667" s="810"/>
      <c r="B667" s="810"/>
      <c r="C667" s="810"/>
      <c r="D667" s="810"/>
      <c r="E667" s="810"/>
      <c r="F667" s="810"/>
      <c r="G667" s="810"/>
      <c r="H667" s="810"/>
      <c r="I667" s="810"/>
      <c r="J667" s="810"/>
      <c r="K667" s="810"/>
      <c r="L667" s="810"/>
      <c r="M667" s="810"/>
      <c r="N667" s="810"/>
      <c r="O667" s="810"/>
      <c r="P667" s="811"/>
      <c r="Q667" s="810"/>
      <c r="R667" s="810"/>
      <c r="S667" s="810"/>
      <c r="T667" s="810"/>
      <c r="U667" s="810"/>
      <c r="V667" s="810"/>
      <c r="W667" s="810"/>
      <c r="X667" s="810"/>
      <c r="Y667" s="810"/>
      <c r="Z667" s="810"/>
    </row>
    <row r="668">
      <c r="A668" s="810"/>
      <c r="B668" s="810"/>
      <c r="C668" s="810"/>
      <c r="D668" s="810"/>
      <c r="E668" s="810"/>
      <c r="F668" s="810"/>
      <c r="G668" s="810"/>
      <c r="H668" s="810"/>
      <c r="I668" s="810"/>
      <c r="J668" s="810"/>
      <c r="K668" s="810"/>
      <c r="L668" s="810"/>
      <c r="M668" s="810"/>
      <c r="N668" s="810"/>
      <c r="O668" s="810"/>
      <c r="P668" s="811"/>
      <c r="Q668" s="810"/>
      <c r="R668" s="810"/>
      <c r="S668" s="810"/>
      <c r="T668" s="810"/>
      <c r="U668" s="810"/>
      <c r="V668" s="810"/>
      <c r="W668" s="810"/>
      <c r="X668" s="810"/>
      <c r="Y668" s="810"/>
      <c r="Z668" s="810"/>
    </row>
    <row r="669">
      <c r="A669" s="810"/>
      <c r="B669" s="810"/>
      <c r="C669" s="810"/>
      <c r="D669" s="810"/>
      <c r="E669" s="810"/>
      <c r="F669" s="810"/>
      <c r="G669" s="810"/>
      <c r="H669" s="810"/>
      <c r="I669" s="810"/>
      <c r="J669" s="810"/>
      <c r="K669" s="810"/>
      <c r="L669" s="810"/>
      <c r="M669" s="810"/>
      <c r="N669" s="810"/>
      <c r="O669" s="810"/>
      <c r="P669" s="811"/>
      <c r="Q669" s="810"/>
      <c r="R669" s="810"/>
      <c r="S669" s="810"/>
      <c r="T669" s="810"/>
      <c r="U669" s="810"/>
      <c r="V669" s="810"/>
      <c r="W669" s="810"/>
      <c r="X669" s="810"/>
      <c r="Y669" s="810"/>
      <c r="Z669" s="810"/>
    </row>
    <row r="670">
      <c r="A670" s="810"/>
      <c r="B670" s="810"/>
      <c r="C670" s="810"/>
      <c r="D670" s="810"/>
      <c r="E670" s="810"/>
      <c r="F670" s="810"/>
      <c r="G670" s="810"/>
      <c r="H670" s="810"/>
      <c r="I670" s="810"/>
      <c r="J670" s="810"/>
      <c r="K670" s="810"/>
      <c r="L670" s="810"/>
      <c r="M670" s="810"/>
      <c r="N670" s="810"/>
      <c r="O670" s="810"/>
      <c r="P670" s="811"/>
      <c r="Q670" s="810"/>
      <c r="R670" s="810"/>
      <c r="S670" s="810"/>
      <c r="T670" s="810"/>
      <c r="U670" s="810"/>
      <c r="V670" s="810"/>
      <c r="W670" s="810"/>
      <c r="X670" s="810"/>
      <c r="Y670" s="810"/>
      <c r="Z670" s="810"/>
    </row>
    <row r="671">
      <c r="A671" s="810"/>
      <c r="B671" s="810"/>
      <c r="C671" s="810"/>
      <c r="D671" s="810"/>
      <c r="E671" s="810"/>
      <c r="F671" s="810"/>
      <c r="G671" s="810"/>
      <c r="H671" s="810"/>
      <c r="I671" s="810"/>
      <c r="J671" s="810"/>
      <c r="K671" s="810"/>
      <c r="L671" s="810"/>
      <c r="M671" s="810"/>
      <c r="N671" s="810"/>
      <c r="O671" s="810"/>
      <c r="P671" s="811"/>
      <c r="Q671" s="810"/>
      <c r="R671" s="810"/>
      <c r="S671" s="810"/>
      <c r="T671" s="810"/>
      <c r="U671" s="810"/>
      <c r="V671" s="810"/>
      <c r="W671" s="810"/>
      <c r="X671" s="810"/>
      <c r="Y671" s="810"/>
      <c r="Z671" s="810"/>
    </row>
    <row r="672">
      <c r="A672" s="810"/>
      <c r="B672" s="810"/>
      <c r="C672" s="810"/>
      <c r="D672" s="810"/>
      <c r="E672" s="810"/>
      <c r="F672" s="810"/>
      <c r="G672" s="810"/>
      <c r="H672" s="810"/>
      <c r="I672" s="810"/>
      <c r="J672" s="810"/>
      <c r="K672" s="810"/>
      <c r="L672" s="810"/>
      <c r="M672" s="810"/>
      <c r="N672" s="810"/>
      <c r="O672" s="810"/>
      <c r="P672" s="811"/>
      <c r="Q672" s="810"/>
      <c r="R672" s="810"/>
      <c r="S672" s="810"/>
      <c r="T672" s="810"/>
      <c r="U672" s="810"/>
      <c r="V672" s="810"/>
      <c r="W672" s="810"/>
      <c r="X672" s="810"/>
      <c r="Y672" s="810"/>
      <c r="Z672" s="810"/>
    </row>
    <row r="673">
      <c r="A673" s="810"/>
      <c r="B673" s="810"/>
      <c r="C673" s="810"/>
      <c r="D673" s="810"/>
      <c r="E673" s="810"/>
      <c r="F673" s="810"/>
      <c r="G673" s="810"/>
      <c r="H673" s="810"/>
      <c r="I673" s="810"/>
      <c r="J673" s="810"/>
      <c r="K673" s="810"/>
      <c r="L673" s="810"/>
      <c r="M673" s="810"/>
      <c r="N673" s="810"/>
      <c r="O673" s="810"/>
      <c r="P673" s="811"/>
      <c r="Q673" s="810"/>
      <c r="R673" s="810"/>
      <c r="S673" s="810"/>
      <c r="T673" s="810"/>
      <c r="U673" s="810"/>
      <c r="V673" s="810"/>
      <c r="W673" s="810"/>
      <c r="X673" s="810"/>
      <c r="Y673" s="810"/>
      <c r="Z673" s="810"/>
    </row>
    <row r="674">
      <c r="A674" s="810"/>
      <c r="B674" s="810"/>
      <c r="C674" s="810"/>
      <c r="D674" s="810"/>
      <c r="E674" s="810"/>
      <c r="F674" s="810"/>
      <c r="G674" s="810"/>
      <c r="H674" s="810"/>
      <c r="I674" s="810"/>
      <c r="J674" s="810"/>
      <c r="K674" s="810"/>
      <c r="L674" s="810"/>
      <c r="M674" s="810"/>
      <c r="N674" s="810"/>
      <c r="O674" s="810"/>
      <c r="P674" s="811"/>
      <c r="Q674" s="810"/>
      <c r="R674" s="810"/>
      <c r="S674" s="810"/>
      <c r="T674" s="810"/>
      <c r="U674" s="810"/>
      <c r="V674" s="810"/>
      <c r="W674" s="810"/>
      <c r="X674" s="810"/>
      <c r="Y674" s="810"/>
      <c r="Z674" s="810"/>
    </row>
    <row r="675">
      <c r="A675" s="810"/>
      <c r="B675" s="810"/>
      <c r="C675" s="810"/>
      <c r="D675" s="810"/>
      <c r="E675" s="810"/>
      <c r="F675" s="810"/>
      <c r="G675" s="810"/>
      <c r="H675" s="810"/>
      <c r="I675" s="810"/>
      <c r="J675" s="810"/>
      <c r="K675" s="810"/>
      <c r="L675" s="810"/>
      <c r="M675" s="810"/>
      <c r="N675" s="810"/>
      <c r="O675" s="810"/>
      <c r="P675" s="811"/>
      <c r="Q675" s="810"/>
      <c r="R675" s="810"/>
      <c r="S675" s="810"/>
      <c r="T675" s="810"/>
      <c r="U675" s="810"/>
      <c r="V675" s="810"/>
      <c r="W675" s="810"/>
      <c r="X675" s="810"/>
      <c r="Y675" s="810"/>
      <c r="Z675" s="810"/>
    </row>
    <row r="676">
      <c r="A676" s="810"/>
      <c r="B676" s="810"/>
      <c r="C676" s="810"/>
      <c r="D676" s="810"/>
      <c r="E676" s="810"/>
      <c r="F676" s="810"/>
      <c r="G676" s="810"/>
      <c r="H676" s="810"/>
      <c r="I676" s="810"/>
      <c r="J676" s="810"/>
      <c r="K676" s="810"/>
      <c r="L676" s="810"/>
      <c r="M676" s="810"/>
      <c r="N676" s="810"/>
      <c r="O676" s="810"/>
      <c r="P676" s="811"/>
      <c r="Q676" s="810"/>
      <c r="R676" s="810"/>
      <c r="S676" s="810"/>
      <c r="T676" s="810"/>
      <c r="U676" s="810"/>
      <c r="V676" s="810"/>
      <c r="W676" s="810"/>
      <c r="X676" s="810"/>
      <c r="Y676" s="810"/>
      <c r="Z676" s="810"/>
    </row>
    <row r="677">
      <c r="A677" s="810"/>
      <c r="B677" s="810"/>
      <c r="C677" s="810"/>
      <c r="D677" s="810"/>
      <c r="E677" s="810"/>
      <c r="F677" s="810"/>
      <c r="G677" s="810"/>
      <c r="H677" s="810"/>
      <c r="I677" s="810"/>
      <c r="J677" s="810"/>
      <c r="K677" s="810"/>
      <c r="L677" s="810"/>
      <c r="M677" s="810"/>
      <c r="N677" s="810"/>
      <c r="O677" s="810"/>
      <c r="P677" s="811"/>
      <c r="Q677" s="810"/>
      <c r="R677" s="810"/>
      <c r="S677" s="810"/>
      <c r="T677" s="810"/>
      <c r="U677" s="810"/>
      <c r="V677" s="810"/>
      <c r="W677" s="810"/>
      <c r="X677" s="810"/>
      <c r="Y677" s="810"/>
      <c r="Z677" s="810"/>
    </row>
    <row r="678">
      <c r="A678" s="810"/>
      <c r="B678" s="810"/>
      <c r="C678" s="810"/>
      <c r="D678" s="810"/>
      <c r="E678" s="810"/>
      <c r="F678" s="810"/>
      <c r="G678" s="810"/>
      <c r="H678" s="810"/>
      <c r="I678" s="810"/>
      <c r="J678" s="810"/>
      <c r="K678" s="810"/>
      <c r="L678" s="810"/>
      <c r="M678" s="810"/>
      <c r="N678" s="810"/>
      <c r="O678" s="810"/>
      <c r="P678" s="811"/>
      <c r="Q678" s="810"/>
      <c r="R678" s="810"/>
      <c r="S678" s="810"/>
      <c r="T678" s="810"/>
      <c r="U678" s="810"/>
      <c r="V678" s="810"/>
      <c r="W678" s="810"/>
      <c r="X678" s="810"/>
      <c r="Y678" s="810"/>
      <c r="Z678" s="810"/>
    </row>
    <row r="679">
      <c r="A679" s="810"/>
      <c r="B679" s="810"/>
      <c r="C679" s="810"/>
      <c r="D679" s="810"/>
      <c r="E679" s="810"/>
      <c r="F679" s="810"/>
      <c r="G679" s="810"/>
      <c r="H679" s="810"/>
      <c r="I679" s="810"/>
      <c r="J679" s="810"/>
      <c r="K679" s="810"/>
      <c r="L679" s="810"/>
      <c r="M679" s="810"/>
      <c r="N679" s="810"/>
      <c r="O679" s="810"/>
      <c r="P679" s="811"/>
      <c r="Q679" s="810"/>
      <c r="R679" s="810"/>
      <c r="S679" s="810"/>
      <c r="T679" s="810"/>
      <c r="U679" s="810"/>
      <c r="V679" s="810"/>
      <c r="W679" s="810"/>
      <c r="X679" s="810"/>
      <c r="Y679" s="810"/>
      <c r="Z679" s="810"/>
    </row>
    <row r="680">
      <c r="A680" s="810"/>
      <c r="B680" s="810"/>
      <c r="C680" s="810"/>
      <c r="D680" s="810"/>
      <c r="E680" s="810"/>
      <c r="F680" s="810"/>
      <c r="G680" s="810"/>
      <c r="H680" s="810"/>
      <c r="I680" s="810"/>
      <c r="J680" s="810"/>
      <c r="K680" s="810"/>
      <c r="L680" s="810"/>
      <c r="M680" s="810"/>
      <c r="N680" s="810"/>
      <c r="O680" s="810"/>
      <c r="P680" s="811"/>
      <c r="Q680" s="810"/>
      <c r="R680" s="810"/>
      <c r="S680" s="810"/>
      <c r="T680" s="810"/>
      <c r="U680" s="810"/>
      <c r="V680" s="810"/>
      <c r="W680" s="810"/>
      <c r="X680" s="810"/>
      <c r="Y680" s="810"/>
      <c r="Z680" s="810"/>
    </row>
    <row r="681">
      <c r="A681" s="810"/>
      <c r="B681" s="810"/>
      <c r="C681" s="810"/>
      <c r="D681" s="810"/>
      <c r="E681" s="810"/>
      <c r="F681" s="810"/>
      <c r="G681" s="810"/>
      <c r="H681" s="810"/>
      <c r="I681" s="810"/>
      <c r="J681" s="810"/>
      <c r="K681" s="810"/>
      <c r="L681" s="810"/>
      <c r="M681" s="810"/>
      <c r="N681" s="810"/>
      <c r="O681" s="810"/>
      <c r="P681" s="811"/>
      <c r="Q681" s="810"/>
      <c r="R681" s="810"/>
      <c r="S681" s="810"/>
      <c r="T681" s="810"/>
      <c r="U681" s="810"/>
      <c r="V681" s="810"/>
      <c r="W681" s="810"/>
      <c r="X681" s="810"/>
      <c r="Y681" s="810"/>
      <c r="Z681" s="810"/>
    </row>
    <row r="682">
      <c r="A682" s="810"/>
      <c r="B682" s="810"/>
      <c r="C682" s="810"/>
      <c r="D682" s="810"/>
      <c r="E682" s="810"/>
      <c r="F682" s="810"/>
      <c r="G682" s="810"/>
      <c r="H682" s="810"/>
      <c r="I682" s="810"/>
      <c r="J682" s="810"/>
      <c r="K682" s="810"/>
      <c r="L682" s="810"/>
      <c r="M682" s="810"/>
      <c r="N682" s="810"/>
      <c r="O682" s="810"/>
      <c r="P682" s="811"/>
      <c r="Q682" s="810"/>
      <c r="R682" s="810"/>
      <c r="S682" s="810"/>
      <c r="T682" s="810"/>
      <c r="U682" s="810"/>
      <c r="V682" s="810"/>
      <c r="W682" s="810"/>
      <c r="X682" s="810"/>
      <c r="Y682" s="810"/>
      <c r="Z682" s="810"/>
    </row>
    <row r="683">
      <c r="A683" s="810"/>
      <c r="B683" s="810"/>
      <c r="C683" s="810"/>
      <c r="D683" s="810"/>
      <c r="E683" s="810"/>
      <c r="F683" s="810"/>
      <c r="G683" s="810"/>
      <c r="H683" s="810"/>
      <c r="I683" s="810"/>
      <c r="J683" s="810"/>
      <c r="K683" s="810"/>
      <c r="L683" s="810"/>
      <c r="M683" s="810"/>
      <c r="N683" s="810"/>
      <c r="O683" s="810"/>
      <c r="P683" s="811"/>
      <c r="Q683" s="810"/>
      <c r="R683" s="810"/>
      <c r="S683" s="810"/>
      <c r="T683" s="810"/>
      <c r="U683" s="810"/>
      <c r="V683" s="810"/>
      <c r="W683" s="810"/>
      <c r="X683" s="810"/>
      <c r="Y683" s="810"/>
      <c r="Z683" s="810"/>
    </row>
    <row r="684">
      <c r="A684" s="810"/>
      <c r="B684" s="810"/>
      <c r="C684" s="810"/>
      <c r="D684" s="810"/>
      <c r="E684" s="810"/>
      <c r="F684" s="810"/>
      <c r="G684" s="810"/>
      <c r="H684" s="810"/>
      <c r="I684" s="810"/>
      <c r="J684" s="810"/>
      <c r="K684" s="810"/>
      <c r="L684" s="810"/>
      <c r="M684" s="810"/>
      <c r="N684" s="810"/>
      <c r="O684" s="810"/>
      <c r="P684" s="811"/>
      <c r="Q684" s="810"/>
      <c r="R684" s="810"/>
      <c r="S684" s="810"/>
      <c r="T684" s="810"/>
      <c r="U684" s="810"/>
      <c r="V684" s="810"/>
      <c r="W684" s="810"/>
      <c r="X684" s="810"/>
      <c r="Y684" s="810"/>
      <c r="Z684" s="810"/>
    </row>
    <row r="685">
      <c r="A685" s="810"/>
      <c r="B685" s="810"/>
      <c r="C685" s="810"/>
      <c r="D685" s="810"/>
      <c r="E685" s="810"/>
      <c r="F685" s="810"/>
      <c r="G685" s="810"/>
      <c r="H685" s="810"/>
      <c r="I685" s="810"/>
      <c r="J685" s="810"/>
      <c r="K685" s="810"/>
      <c r="L685" s="810"/>
      <c r="M685" s="810"/>
      <c r="N685" s="810"/>
      <c r="O685" s="810"/>
      <c r="P685" s="811"/>
      <c r="Q685" s="810"/>
      <c r="R685" s="810"/>
      <c r="S685" s="810"/>
      <c r="T685" s="810"/>
      <c r="U685" s="810"/>
      <c r="V685" s="810"/>
      <c r="W685" s="810"/>
      <c r="X685" s="810"/>
      <c r="Y685" s="810"/>
      <c r="Z685" s="810"/>
    </row>
    <row r="686">
      <c r="A686" s="810"/>
      <c r="B686" s="810"/>
      <c r="C686" s="810"/>
      <c r="D686" s="810"/>
      <c r="E686" s="810"/>
      <c r="F686" s="810"/>
      <c r="G686" s="810"/>
      <c r="H686" s="810"/>
      <c r="I686" s="810"/>
      <c r="J686" s="810"/>
      <c r="K686" s="810"/>
      <c r="L686" s="810"/>
      <c r="M686" s="810"/>
      <c r="N686" s="810"/>
      <c r="O686" s="810"/>
      <c r="P686" s="811"/>
      <c r="Q686" s="810"/>
      <c r="R686" s="810"/>
      <c r="S686" s="810"/>
      <c r="T686" s="810"/>
      <c r="U686" s="810"/>
      <c r="V686" s="810"/>
      <c r="W686" s="810"/>
      <c r="X686" s="810"/>
      <c r="Y686" s="810"/>
      <c r="Z686" s="810"/>
    </row>
    <row r="687">
      <c r="A687" s="810"/>
      <c r="B687" s="810"/>
      <c r="C687" s="810"/>
      <c r="D687" s="810"/>
      <c r="E687" s="810"/>
      <c r="F687" s="810"/>
      <c r="G687" s="810"/>
      <c r="H687" s="810"/>
      <c r="I687" s="810"/>
      <c r="J687" s="810"/>
      <c r="K687" s="810"/>
      <c r="L687" s="810"/>
      <c r="M687" s="810"/>
      <c r="N687" s="810"/>
      <c r="O687" s="810"/>
      <c r="P687" s="811"/>
      <c r="Q687" s="810"/>
      <c r="R687" s="810"/>
      <c r="S687" s="810"/>
      <c r="T687" s="810"/>
      <c r="U687" s="810"/>
      <c r="V687" s="810"/>
      <c r="W687" s="810"/>
      <c r="X687" s="810"/>
      <c r="Y687" s="810"/>
      <c r="Z687" s="810"/>
    </row>
    <row r="688">
      <c r="A688" s="810"/>
      <c r="B688" s="810"/>
      <c r="C688" s="810"/>
      <c r="D688" s="810"/>
      <c r="E688" s="810"/>
      <c r="F688" s="810"/>
      <c r="G688" s="810"/>
      <c r="H688" s="810"/>
      <c r="I688" s="810"/>
      <c r="J688" s="810"/>
      <c r="K688" s="810"/>
      <c r="L688" s="810"/>
      <c r="M688" s="810"/>
      <c r="N688" s="810"/>
      <c r="O688" s="810"/>
      <c r="P688" s="811"/>
      <c r="Q688" s="810"/>
      <c r="R688" s="810"/>
      <c r="S688" s="810"/>
      <c r="T688" s="810"/>
      <c r="U688" s="810"/>
      <c r="V688" s="810"/>
      <c r="W688" s="810"/>
      <c r="X688" s="810"/>
      <c r="Y688" s="810"/>
      <c r="Z688" s="810"/>
    </row>
    <row r="689">
      <c r="A689" s="810"/>
      <c r="B689" s="810"/>
      <c r="C689" s="810"/>
      <c r="D689" s="810"/>
      <c r="E689" s="810"/>
      <c r="F689" s="810"/>
      <c r="G689" s="810"/>
      <c r="H689" s="810"/>
      <c r="I689" s="810"/>
      <c r="J689" s="810"/>
      <c r="K689" s="810"/>
      <c r="L689" s="810"/>
      <c r="M689" s="810"/>
      <c r="N689" s="810"/>
      <c r="O689" s="810"/>
      <c r="P689" s="811"/>
      <c r="Q689" s="810"/>
      <c r="R689" s="810"/>
      <c r="S689" s="810"/>
      <c r="T689" s="810"/>
      <c r="U689" s="810"/>
      <c r="V689" s="810"/>
      <c r="W689" s="810"/>
      <c r="X689" s="810"/>
      <c r="Y689" s="810"/>
      <c r="Z689" s="810"/>
    </row>
    <row r="690">
      <c r="A690" s="810"/>
      <c r="B690" s="810"/>
      <c r="C690" s="810"/>
      <c r="D690" s="810"/>
      <c r="E690" s="810"/>
      <c r="F690" s="810"/>
      <c r="G690" s="810"/>
      <c r="H690" s="810"/>
      <c r="I690" s="810"/>
      <c r="J690" s="810"/>
      <c r="K690" s="810"/>
      <c r="L690" s="810"/>
      <c r="M690" s="810"/>
      <c r="N690" s="810"/>
      <c r="O690" s="810"/>
      <c r="P690" s="811"/>
      <c r="Q690" s="810"/>
      <c r="R690" s="810"/>
      <c r="S690" s="810"/>
      <c r="T690" s="810"/>
      <c r="U690" s="810"/>
      <c r="V690" s="810"/>
      <c r="W690" s="810"/>
      <c r="X690" s="810"/>
      <c r="Y690" s="810"/>
      <c r="Z690" s="810"/>
    </row>
    <row r="691">
      <c r="A691" s="810"/>
      <c r="B691" s="810"/>
      <c r="C691" s="810"/>
      <c r="D691" s="810"/>
      <c r="E691" s="810"/>
      <c r="F691" s="810"/>
      <c r="G691" s="810"/>
      <c r="H691" s="810"/>
      <c r="I691" s="810"/>
      <c r="J691" s="810"/>
      <c r="K691" s="810"/>
      <c r="L691" s="810"/>
      <c r="M691" s="810"/>
      <c r="N691" s="810"/>
      <c r="O691" s="810"/>
      <c r="P691" s="811"/>
      <c r="Q691" s="810"/>
      <c r="R691" s="810"/>
      <c r="S691" s="810"/>
      <c r="T691" s="810"/>
      <c r="U691" s="810"/>
      <c r="V691" s="810"/>
      <c r="W691" s="810"/>
      <c r="X691" s="810"/>
      <c r="Y691" s="810"/>
      <c r="Z691" s="810"/>
    </row>
    <row r="692">
      <c r="A692" s="810"/>
      <c r="B692" s="810"/>
      <c r="C692" s="810"/>
      <c r="D692" s="810"/>
      <c r="E692" s="810"/>
      <c r="F692" s="810"/>
      <c r="G692" s="810"/>
      <c r="H692" s="810"/>
      <c r="I692" s="810"/>
      <c r="J692" s="810"/>
      <c r="K692" s="810"/>
      <c r="L692" s="810"/>
      <c r="M692" s="810"/>
      <c r="N692" s="810"/>
      <c r="O692" s="810"/>
      <c r="P692" s="811"/>
      <c r="Q692" s="810"/>
      <c r="R692" s="810"/>
      <c r="S692" s="810"/>
      <c r="T692" s="810"/>
      <c r="U692" s="810"/>
      <c r="V692" s="810"/>
      <c r="W692" s="810"/>
      <c r="X692" s="810"/>
      <c r="Y692" s="810"/>
      <c r="Z692" s="810"/>
    </row>
    <row r="693">
      <c r="A693" s="810"/>
      <c r="B693" s="810"/>
      <c r="C693" s="810"/>
      <c r="D693" s="810"/>
      <c r="E693" s="810"/>
      <c r="F693" s="810"/>
      <c r="G693" s="810"/>
      <c r="H693" s="810"/>
      <c r="I693" s="810"/>
      <c r="J693" s="810"/>
      <c r="K693" s="810"/>
      <c r="L693" s="810"/>
      <c r="M693" s="810"/>
      <c r="N693" s="810"/>
      <c r="O693" s="810"/>
      <c r="P693" s="811"/>
      <c r="Q693" s="810"/>
      <c r="R693" s="810"/>
      <c r="S693" s="810"/>
      <c r="T693" s="810"/>
      <c r="U693" s="810"/>
      <c r="V693" s="810"/>
      <c r="W693" s="810"/>
      <c r="X693" s="810"/>
      <c r="Y693" s="810"/>
      <c r="Z693" s="810"/>
    </row>
    <row r="694">
      <c r="A694" s="810"/>
      <c r="B694" s="810"/>
      <c r="C694" s="810"/>
      <c r="D694" s="810"/>
      <c r="E694" s="810"/>
      <c r="F694" s="810"/>
      <c r="G694" s="810"/>
      <c r="H694" s="810"/>
      <c r="I694" s="810"/>
      <c r="J694" s="810"/>
      <c r="K694" s="810"/>
      <c r="L694" s="810"/>
      <c r="M694" s="810"/>
      <c r="N694" s="810"/>
      <c r="O694" s="810"/>
      <c r="P694" s="811"/>
      <c r="Q694" s="810"/>
      <c r="R694" s="810"/>
      <c r="S694" s="810"/>
      <c r="T694" s="810"/>
      <c r="U694" s="810"/>
      <c r="V694" s="810"/>
      <c r="W694" s="810"/>
      <c r="X694" s="810"/>
      <c r="Y694" s="810"/>
      <c r="Z694" s="810"/>
    </row>
    <row r="695">
      <c r="A695" s="810"/>
      <c r="B695" s="810"/>
      <c r="C695" s="810"/>
      <c r="D695" s="810"/>
      <c r="E695" s="810"/>
      <c r="F695" s="810"/>
      <c r="G695" s="810"/>
      <c r="H695" s="810"/>
      <c r="I695" s="810"/>
      <c r="J695" s="810"/>
      <c r="K695" s="810"/>
      <c r="L695" s="810"/>
      <c r="M695" s="810"/>
      <c r="N695" s="810"/>
      <c r="O695" s="810"/>
      <c r="P695" s="811"/>
      <c r="Q695" s="810"/>
      <c r="R695" s="810"/>
      <c r="S695" s="810"/>
      <c r="T695" s="810"/>
      <c r="U695" s="810"/>
      <c r="V695" s="810"/>
      <c r="W695" s="810"/>
      <c r="X695" s="810"/>
      <c r="Y695" s="810"/>
      <c r="Z695" s="810"/>
    </row>
    <row r="696">
      <c r="A696" s="810"/>
      <c r="B696" s="810"/>
      <c r="C696" s="810"/>
      <c r="D696" s="810"/>
      <c r="E696" s="810"/>
      <c r="F696" s="810"/>
      <c r="G696" s="810"/>
      <c r="H696" s="810"/>
      <c r="I696" s="810"/>
      <c r="J696" s="810"/>
      <c r="K696" s="810"/>
      <c r="L696" s="810"/>
      <c r="M696" s="810"/>
      <c r="N696" s="810"/>
      <c r="O696" s="810"/>
      <c r="P696" s="811"/>
      <c r="Q696" s="810"/>
      <c r="R696" s="810"/>
      <c r="S696" s="810"/>
      <c r="T696" s="810"/>
      <c r="U696" s="810"/>
      <c r="V696" s="810"/>
      <c r="W696" s="810"/>
      <c r="X696" s="810"/>
      <c r="Y696" s="810"/>
      <c r="Z696" s="810"/>
    </row>
    <row r="697">
      <c r="A697" s="810"/>
      <c r="B697" s="810"/>
      <c r="C697" s="810"/>
      <c r="D697" s="810"/>
      <c r="E697" s="810"/>
      <c r="F697" s="810"/>
      <c r="G697" s="810"/>
      <c r="H697" s="810"/>
      <c r="I697" s="810"/>
      <c r="J697" s="810"/>
      <c r="K697" s="810"/>
      <c r="L697" s="810"/>
      <c r="M697" s="810"/>
      <c r="N697" s="810"/>
      <c r="O697" s="810"/>
      <c r="P697" s="811"/>
      <c r="Q697" s="810"/>
      <c r="R697" s="810"/>
      <c r="S697" s="810"/>
      <c r="T697" s="810"/>
      <c r="U697" s="810"/>
      <c r="V697" s="810"/>
      <c r="W697" s="810"/>
      <c r="X697" s="810"/>
      <c r="Y697" s="810"/>
      <c r="Z697" s="810"/>
    </row>
    <row r="698">
      <c r="A698" s="810"/>
      <c r="B698" s="810"/>
      <c r="C698" s="810"/>
      <c r="D698" s="810"/>
      <c r="E698" s="810"/>
      <c r="F698" s="810"/>
      <c r="G698" s="810"/>
      <c r="H698" s="810"/>
      <c r="I698" s="810"/>
      <c r="J698" s="810"/>
      <c r="K698" s="810"/>
      <c r="L698" s="810"/>
      <c r="M698" s="810"/>
      <c r="N698" s="810"/>
      <c r="O698" s="810"/>
      <c r="P698" s="811"/>
      <c r="Q698" s="810"/>
      <c r="R698" s="810"/>
      <c r="S698" s="810"/>
      <c r="T698" s="810"/>
      <c r="U698" s="810"/>
      <c r="V698" s="810"/>
      <c r="W698" s="810"/>
      <c r="X698" s="810"/>
      <c r="Y698" s="810"/>
      <c r="Z698" s="810"/>
    </row>
    <row r="699">
      <c r="A699" s="810"/>
      <c r="B699" s="810"/>
      <c r="C699" s="810"/>
      <c r="D699" s="810"/>
      <c r="E699" s="810"/>
      <c r="F699" s="810"/>
      <c r="G699" s="810"/>
      <c r="H699" s="810"/>
      <c r="I699" s="810"/>
      <c r="J699" s="810"/>
      <c r="K699" s="810"/>
      <c r="L699" s="810"/>
      <c r="M699" s="810"/>
      <c r="N699" s="810"/>
      <c r="O699" s="810"/>
      <c r="P699" s="811"/>
      <c r="Q699" s="810"/>
      <c r="R699" s="810"/>
      <c r="S699" s="810"/>
      <c r="T699" s="810"/>
      <c r="U699" s="810"/>
      <c r="V699" s="810"/>
      <c r="W699" s="810"/>
      <c r="X699" s="810"/>
      <c r="Y699" s="810"/>
      <c r="Z699" s="810"/>
    </row>
    <row r="700">
      <c r="A700" s="810"/>
      <c r="B700" s="810"/>
      <c r="C700" s="810"/>
      <c r="D700" s="810"/>
      <c r="E700" s="810"/>
      <c r="F700" s="810"/>
      <c r="G700" s="810"/>
      <c r="H700" s="810"/>
      <c r="I700" s="810"/>
      <c r="J700" s="810"/>
      <c r="K700" s="810"/>
      <c r="L700" s="810"/>
      <c r="M700" s="810"/>
      <c r="N700" s="810"/>
      <c r="O700" s="810"/>
      <c r="P700" s="811"/>
      <c r="Q700" s="810"/>
      <c r="R700" s="810"/>
      <c r="S700" s="810"/>
      <c r="T700" s="810"/>
      <c r="U700" s="810"/>
      <c r="V700" s="810"/>
      <c r="W700" s="810"/>
      <c r="X700" s="810"/>
      <c r="Y700" s="810"/>
      <c r="Z700" s="810"/>
    </row>
    <row r="701">
      <c r="A701" s="810"/>
      <c r="B701" s="810"/>
      <c r="C701" s="810"/>
      <c r="D701" s="810"/>
      <c r="E701" s="810"/>
      <c r="F701" s="810"/>
      <c r="G701" s="810"/>
      <c r="H701" s="810"/>
      <c r="I701" s="810"/>
      <c r="J701" s="810"/>
      <c r="K701" s="810"/>
      <c r="L701" s="810"/>
      <c r="M701" s="810"/>
      <c r="N701" s="810"/>
      <c r="O701" s="810"/>
      <c r="P701" s="811"/>
      <c r="Q701" s="810"/>
      <c r="R701" s="810"/>
      <c r="S701" s="810"/>
      <c r="T701" s="810"/>
      <c r="U701" s="810"/>
      <c r="V701" s="810"/>
      <c r="W701" s="810"/>
      <c r="X701" s="810"/>
      <c r="Y701" s="810"/>
      <c r="Z701" s="810"/>
    </row>
    <row r="702">
      <c r="A702" s="810"/>
      <c r="B702" s="810"/>
      <c r="C702" s="810"/>
      <c r="D702" s="810"/>
      <c r="E702" s="810"/>
      <c r="F702" s="810"/>
      <c r="G702" s="810"/>
      <c r="H702" s="810"/>
      <c r="I702" s="810"/>
      <c r="J702" s="810"/>
      <c r="K702" s="810"/>
      <c r="L702" s="810"/>
      <c r="M702" s="810"/>
      <c r="N702" s="810"/>
      <c r="O702" s="810"/>
      <c r="P702" s="811"/>
      <c r="Q702" s="810"/>
      <c r="R702" s="810"/>
      <c r="S702" s="810"/>
      <c r="T702" s="810"/>
      <c r="U702" s="810"/>
      <c r="V702" s="810"/>
      <c r="W702" s="810"/>
      <c r="X702" s="810"/>
      <c r="Y702" s="810"/>
      <c r="Z702" s="810"/>
    </row>
    <row r="703">
      <c r="A703" s="810"/>
      <c r="B703" s="810"/>
      <c r="C703" s="810"/>
      <c r="D703" s="810"/>
      <c r="E703" s="810"/>
      <c r="F703" s="810"/>
      <c r="G703" s="810"/>
      <c r="H703" s="810"/>
      <c r="I703" s="810"/>
      <c r="J703" s="810"/>
      <c r="K703" s="810"/>
      <c r="L703" s="810"/>
      <c r="M703" s="810"/>
      <c r="N703" s="810"/>
      <c r="O703" s="810"/>
      <c r="P703" s="811"/>
      <c r="Q703" s="810"/>
      <c r="R703" s="810"/>
      <c r="S703" s="810"/>
      <c r="T703" s="810"/>
      <c r="U703" s="810"/>
      <c r="V703" s="810"/>
      <c r="W703" s="810"/>
      <c r="X703" s="810"/>
      <c r="Y703" s="810"/>
      <c r="Z703" s="810"/>
    </row>
    <row r="704">
      <c r="A704" s="810"/>
      <c r="B704" s="810"/>
      <c r="C704" s="810"/>
      <c r="D704" s="810"/>
      <c r="E704" s="810"/>
      <c r="F704" s="810"/>
      <c r="G704" s="810"/>
      <c r="H704" s="810"/>
      <c r="I704" s="810"/>
      <c r="J704" s="810"/>
      <c r="K704" s="810"/>
      <c r="L704" s="810"/>
      <c r="M704" s="810"/>
      <c r="N704" s="810"/>
      <c r="O704" s="810"/>
      <c r="P704" s="811"/>
      <c r="Q704" s="810"/>
      <c r="R704" s="810"/>
      <c r="S704" s="810"/>
      <c r="T704" s="810"/>
      <c r="U704" s="810"/>
      <c r="V704" s="810"/>
      <c r="W704" s="810"/>
      <c r="X704" s="810"/>
      <c r="Y704" s="810"/>
      <c r="Z704" s="810"/>
    </row>
    <row r="705">
      <c r="A705" s="810"/>
      <c r="B705" s="810"/>
      <c r="C705" s="810"/>
      <c r="D705" s="810"/>
      <c r="E705" s="810"/>
      <c r="F705" s="810"/>
      <c r="G705" s="810"/>
      <c r="H705" s="810"/>
      <c r="I705" s="810"/>
      <c r="J705" s="810"/>
      <c r="K705" s="810"/>
      <c r="L705" s="810"/>
      <c r="M705" s="810"/>
      <c r="N705" s="810"/>
      <c r="O705" s="810"/>
      <c r="P705" s="811"/>
      <c r="Q705" s="810"/>
      <c r="R705" s="810"/>
      <c r="S705" s="810"/>
      <c r="T705" s="810"/>
      <c r="U705" s="810"/>
      <c r="V705" s="810"/>
      <c r="W705" s="810"/>
      <c r="X705" s="810"/>
      <c r="Y705" s="810"/>
      <c r="Z705" s="810"/>
    </row>
    <row r="706">
      <c r="A706" s="810"/>
      <c r="B706" s="810"/>
      <c r="C706" s="810"/>
      <c r="D706" s="810"/>
      <c r="E706" s="810"/>
      <c r="F706" s="810"/>
      <c r="G706" s="810"/>
      <c r="H706" s="810"/>
      <c r="I706" s="810"/>
      <c r="J706" s="810"/>
      <c r="K706" s="810"/>
      <c r="L706" s="810"/>
      <c r="M706" s="810"/>
      <c r="N706" s="810"/>
      <c r="O706" s="810"/>
      <c r="P706" s="811"/>
      <c r="Q706" s="810"/>
      <c r="R706" s="810"/>
      <c r="S706" s="810"/>
      <c r="T706" s="810"/>
      <c r="U706" s="810"/>
      <c r="V706" s="810"/>
      <c r="W706" s="810"/>
      <c r="X706" s="810"/>
      <c r="Y706" s="810"/>
      <c r="Z706" s="810"/>
    </row>
    <row r="707">
      <c r="A707" s="810"/>
      <c r="B707" s="810"/>
      <c r="C707" s="810"/>
      <c r="D707" s="810"/>
      <c r="E707" s="810"/>
      <c r="F707" s="810"/>
      <c r="G707" s="810"/>
      <c r="H707" s="810"/>
      <c r="I707" s="810"/>
      <c r="J707" s="810"/>
      <c r="K707" s="810"/>
      <c r="L707" s="810"/>
      <c r="M707" s="810"/>
      <c r="N707" s="810"/>
      <c r="O707" s="810"/>
      <c r="P707" s="811"/>
      <c r="Q707" s="810"/>
      <c r="R707" s="810"/>
      <c r="S707" s="810"/>
      <c r="T707" s="810"/>
      <c r="U707" s="810"/>
      <c r="V707" s="810"/>
      <c r="W707" s="810"/>
      <c r="X707" s="810"/>
      <c r="Y707" s="810"/>
      <c r="Z707" s="810"/>
    </row>
    <row r="708">
      <c r="A708" s="810"/>
      <c r="B708" s="810"/>
      <c r="C708" s="810"/>
      <c r="D708" s="810"/>
      <c r="E708" s="810"/>
      <c r="F708" s="810"/>
      <c r="G708" s="810"/>
      <c r="H708" s="810"/>
      <c r="I708" s="810"/>
      <c r="J708" s="810"/>
      <c r="K708" s="810"/>
      <c r="L708" s="810"/>
      <c r="M708" s="810"/>
      <c r="N708" s="810"/>
      <c r="O708" s="810"/>
      <c r="P708" s="811"/>
      <c r="Q708" s="810"/>
      <c r="R708" s="810"/>
      <c r="S708" s="810"/>
      <c r="T708" s="810"/>
      <c r="U708" s="810"/>
      <c r="V708" s="810"/>
      <c r="W708" s="810"/>
      <c r="X708" s="810"/>
      <c r="Y708" s="810"/>
      <c r="Z708" s="810"/>
    </row>
    <row r="709">
      <c r="A709" s="810"/>
      <c r="B709" s="810"/>
      <c r="C709" s="810"/>
      <c r="D709" s="810"/>
      <c r="E709" s="810"/>
      <c r="F709" s="810"/>
      <c r="G709" s="810"/>
      <c r="H709" s="810"/>
      <c r="I709" s="810"/>
      <c r="J709" s="810"/>
      <c r="K709" s="810"/>
      <c r="L709" s="810"/>
      <c r="M709" s="810"/>
      <c r="N709" s="810"/>
      <c r="O709" s="810"/>
      <c r="P709" s="811"/>
      <c r="Q709" s="810"/>
      <c r="R709" s="810"/>
      <c r="S709" s="810"/>
      <c r="T709" s="810"/>
      <c r="U709" s="810"/>
      <c r="V709" s="810"/>
      <c r="W709" s="810"/>
      <c r="X709" s="810"/>
      <c r="Y709" s="810"/>
      <c r="Z709" s="810"/>
    </row>
    <row r="710">
      <c r="A710" s="810"/>
      <c r="B710" s="810"/>
      <c r="C710" s="810"/>
      <c r="D710" s="810"/>
      <c r="E710" s="810"/>
      <c r="F710" s="810"/>
      <c r="G710" s="810"/>
      <c r="H710" s="810"/>
      <c r="I710" s="810"/>
      <c r="J710" s="810"/>
      <c r="K710" s="810"/>
      <c r="L710" s="810"/>
      <c r="M710" s="810"/>
      <c r="N710" s="810"/>
      <c r="O710" s="810"/>
      <c r="P710" s="811"/>
      <c r="Q710" s="810"/>
      <c r="R710" s="810"/>
      <c r="S710" s="810"/>
      <c r="T710" s="810"/>
      <c r="U710" s="810"/>
      <c r="V710" s="810"/>
      <c r="W710" s="810"/>
      <c r="X710" s="810"/>
      <c r="Y710" s="810"/>
      <c r="Z710" s="810"/>
    </row>
    <row r="711">
      <c r="A711" s="810"/>
      <c r="B711" s="810"/>
      <c r="C711" s="810"/>
      <c r="D711" s="810"/>
      <c r="E711" s="810"/>
      <c r="F711" s="810"/>
      <c r="G711" s="810"/>
      <c r="H711" s="810"/>
      <c r="I711" s="810"/>
      <c r="J711" s="810"/>
      <c r="K711" s="810"/>
      <c r="L711" s="810"/>
      <c r="M711" s="810"/>
      <c r="N711" s="810"/>
      <c r="O711" s="810"/>
      <c r="P711" s="811"/>
      <c r="Q711" s="810"/>
      <c r="R711" s="810"/>
      <c r="S711" s="810"/>
      <c r="T711" s="810"/>
      <c r="U711" s="810"/>
      <c r="V711" s="810"/>
      <c r="W711" s="810"/>
      <c r="X711" s="810"/>
      <c r="Y711" s="810"/>
      <c r="Z711" s="810"/>
    </row>
    <row r="712">
      <c r="A712" s="810"/>
      <c r="B712" s="810"/>
      <c r="C712" s="810"/>
      <c r="D712" s="810"/>
      <c r="E712" s="810"/>
      <c r="F712" s="810"/>
      <c r="G712" s="810"/>
      <c r="H712" s="810"/>
      <c r="I712" s="810"/>
      <c r="J712" s="810"/>
      <c r="K712" s="810"/>
      <c r="L712" s="810"/>
      <c r="M712" s="810"/>
      <c r="N712" s="810"/>
      <c r="O712" s="810"/>
      <c r="P712" s="811"/>
      <c r="Q712" s="810"/>
      <c r="R712" s="810"/>
      <c r="S712" s="810"/>
      <c r="T712" s="810"/>
      <c r="U712" s="810"/>
      <c r="V712" s="810"/>
      <c r="W712" s="810"/>
      <c r="X712" s="810"/>
      <c r="Y712" s="810"/>
      <c r="Z712" s="810"/>
    </row>
    <row r="713">
      <c r="A713" s="810"/>
      <c r="B713" s="810"/>
      <c r="C713" s="810"/>
      <c r="D713" s="810"/>
      <c r="E713" s="810"/>
      <c r="F713" s="810"/>
      <c r="G713" s="810"/>
      <c r="H713" s="810"/>
      <c r="I713" s="810"/>
      <c r="J713" s="810"/>
      <c r="K713" s="810"/>
      <c r="L713" s="810"/>
      <c r="M713" s="810"/>
      <c r="N713" s="810"/>
      <c r="O713" s="810"/>
      <c r="P713" s="811"/>
      <c r="Q713" s="810"/>
      <c r="R713" s="810"/>
      <c r="S713" s="810"/>
      <c r="T713" s="810"/>
      <c r="U713" s="810"/>
      <c r="V713" s="810"/>
      <c r="W713" s="810"/>
      <c r="X713" s="810"/>
      <c r="Y713" s="810"/>
      <c r="Z713" s="810"/>
    </row>
    <row r="714">
      <c r="A714" s="810"/>
      <c r="B714" s="810"/>
      <c r="C714" s="810"/>
      <c r="D714" s="810"/>
      <c r="E714" s="810"/>
      <c r="F714" s="810"/>
      <c r="G714" s="810"/>
      <c r="H714" s="810"/>
      <c r="I714" s="810"/>
      <c r="J714" s="810"/>
      <c r="K714" s="810"/>
      <c r="L714" s="810"/>
      <c r="M714" s="810"/>
      <c r="N714" s="810"/>
      <c r="O714" s="810"/>
      <c r="P714" s="811"/>
      <c r="Q714" s="810"/>
      <c r="R714" s="810"/>
      <c r="S714" s="810"/>
      <c r="T714" s="810"/>
      <c r="U714" s="810"/>
      <c r="V714" s="810"/>
      <c r="W714" s="810"/>
      <c r="X714" s="810"/>
      <c r="Y714" s="810"/>
      <c r="Z714" s="810"/>
    </row>
    <row r="715">
      <c r="A715" s="810"/>
      <c r="B715" s="810"/>
      <c r="C715" s="810"/>
      <c r="D715" s="810"/>
      <c r="E715" s="810"/>
      <c r="F715" s="810"/>
      <c r="G715" s="810"/>
      <c r="H715" s="810"/>
      <c r="I715" s="810"/>
      <c r="J715" s="810"/>
      <c r="K715" s="810"/>
      <c r="L715" s="810"/>
      <c r="M715" s="810"/>
      <c r="N715" s="810"/>
      <c r="O715" s="810"/>
      <c r="P715" s="811"/>
      <c r="Q715" s="810"/>
      <c r="R715" s="810"/>
      <c r="S715" s="810"/>
      <c r="T715" s="810"/>
      <c r="U715" s="810"/>
      <c r="V715" s="810"/>
      <c r="W715" s="810"/>
      <c r="X715" s="810"/>
      <c r="Y715" s="810"/>
      <c r="Z715" s="810"/>
    </row>
    <row r="716">
      <c r="A716" s="810"/>
      <c r="B716" s="810"/>
      <c r="C716" s="810"/>
      <c r="D716" s="810"/>
      <c r="E716" s="810"/>
      <c r="F716" s="810"/>
      <c r="G716" s="810"/>
      <c r="H716" s="810"/>
      <c r="I716" s="810"/>
      <c r="J716" s="810"/>
      <c r="K716" s="810"/>
      <c r="L716" s="810"/>
      <c r="M716" s="810"/>
      <c r="N716" s="810"/>
      <c r="O716" s="810"/>
      <c r="P716" s="811"/>
      <c r="Q716" s="810"/>
      <c r="R716" s="810"/>
      <c r="S716" s="810"/>
      <c r="T716" s="810"/>
      <c r="U716" s="810"/>
      <c r="V716" s="810"/>
      <c r="W716" s="810"/>
      <c r="X716" s="810"/>
      <c r="Y716" s="810"/>
      <c r="Z716" s="810"/>
    </row>
    <row r="717">
      <c r="A717" s="810"/>
      <c r="B717" s="810"/>
      <c r="C717" s="810"/>
      <c r="D717" s="810"/>
      <c r="E717" s="810"/>
      <c r="F717" s="810"/>
      <c r="G717" s="810"/>
      <c r="H717" s="810"/>
      <c r="I717" s="810"/>
      <c r="J717" s="810"/>
      <c r="K717" s="810"/>
      <c r="L717" s="810"/>
      <c r="M717" s="810"/>
      <c r="N717" s="810"/>
      <c r="O717" s="810"/>
      <c r="P717" s="811"/>
      <c r="Q717" s="810"/>
      <c r="R717" s="810"/>
      <c r="S717" s="810"/>
      <c r="T717" s="810"/>
      <c r="U717" s="810"/>
      <c r="V717" s="810"/>
      <c r="W717" s="810"/>
      <c r="X717" s="810"/>
      <c r="Y717" s="810"/>
      <c r="Z717" s="810"/>
    </row>
    <row r="718">
      <c r="A718" s="810"/>
      <c r="B718" s="810"/>
      <c r="C718" s="810"/>
      <c r="D718" s="810"/>
      <c r="E718" s="810"/>
      <c r="F718" s="810"/>
      <c r="G718" s="810"/>
      <c r="H718" s="810"/>
      <c r="I718" s="810"/>
      <c r="J718" s="810"/>
      <c r="K718" s="810"/>
      <c r="L718" s="810"/>
      <c r="M718" s="810"/>
      <c r="N718" s="810"/>
      <c r="O718" s="810"/>
      <c r="P718" s="811"/>
      <c r="Q718" s="810"/>
      <c r="R718" s="810"/>
      <c r="S718" s="810"/>
      <c r="T718" s="810"/>
      <c r="U718" s="810"/>
      <c r="V718" s="810"/>
      <c r="W718" s="810"/>
      <c r="X718" s="810"/>
      <c r="Y718" s="810"/>
      <c r="Z718" s="810"/>
    </row>
    <row r="719">
      <c r="A719" s="810"/>
      <c r="B719" s="810"/>
      <c r="C719" s="810"/>
      <c r="D719" s="810"/>
      <c r="E719" s="810"/>
      <c r="F719" s="810"/>
      <c r="G719" s="810"/>
      <c r="H719" s="810"/>
      <c r="I719" s="810"/>
      <c r="J719" s="810"/>
      <c r="K719" s="810"/>
      <c r="L719" s="810"/>
      <c r="M719" s="810"/>
      <c r="N719" s="810"/>
      <c r="O719" s="810"/>
      <c r="P719" s="811"/>
      <c r="Q719" s="810"/>
      <c r="R719" s="810"/>
      <c r="S719" s="810"/>
      <c r="T719" s="810"/>
      <c r="U719" s="810"/>
      <c r="V719" s="810"/>
      <c r="W719" s="810"/>
      <c r="X719" s="810"/>
      <c r="Y719" s="810"/>
      <c r="Z719" s="810"/>
    </row>
    <row r="720">
      <c r="A720" s="810"/>
      <c r="B720" s="810"/>
      <c r="C720" s="810"/>
      <c r="D720" s="810"/>
      <c r="E720" s="810"/>
      <c r="F720" s="810"/>
      <c r="G720" s="810"/>
      <c r="H720" s="810"/>
      <c r="I720" s="810"/>
      <c r="J720" s="810"/>
      <c r="K720" s="810"/>
      <c r="L720" s="810"/>
      <c r="M720" s="810"/>
      <c r="N720" s="810"/>
      <c r="O720" s="810"/>
      <c r="P720" s="811"/>
      <c r="Q720" s="810"/>
      <c r="R720" s="810"/>
      <c r="S720" s="810"/>
      <c r="T720" s="810"/>
      <c r="U720" s="810"/>
      <c r="V720" s="810"/>
      <c r="W720" s="810"/>
      <c r="X720" s="810"/>
      <c r="Y720" s="810"/>
      <c r="Z720" s="810"/>
    </row>
    <row r="721">
      <c r="A721" s="810"/>
      <c r="B721" s="810"/>
      <c r="C721" s="810"/>
      <c r="D721" s="810"/>
      <c r="E721" s="810"/>
      <c r="F721" s="810"/>
      <c r="G721" s="810"/>
      <c r="H721" s="810"/>
      <c r="I721" s="810"/>
      <c r="J721" s="810"/>
      <c r="K721" s="810"/>
      <c r="L721" s="810"/>
      <c r="M721" s="810"/>
      <c r="N721" s="810"/>
      <c r="O721" s="810"/>
      <c r="P721" s="811"/>
      <c r="Q721" s="810"/>
      <c r="R721" s="810"/>
      <c r="S721" s="810"/>
      <c r="T721" s="810"/>
      <c r="U721" s="810"/>
      <c r="V721" s="810"/>
      <c r="W721" s="810"/>
      <c r="X721" s="810"/>
      <c r="Y721" s="810"/>
      <c r="Z721" s="810"/>
    </row>
    <row r="722">
      <c r="A722" s="810"/>
      <c r="B722" s="810"/>
      <c r="C722" s="810"/>
      <c r="D722" s="810"/>
      <c r="E722" s="810"/>
      <c r="F722" s="810"/>
      <c r="G722" s="810"/>
      <c r="H722" s="810"/>
      <c r="I722" s="810"/>
      <c r="J722" s="810"/>
      <c r="K722" s="810"/>
      <c r="L722" s="810"/>
      <c r="M722" s="810"/>
      <c r="N722" s="810"/>
      <c r="O722" s="810"/>
      <c r="P722" s="811"/>
      <c r="Q722" s="810"/>
      <c r="R722" s="810"/>
      <c r="S722" s="810"/>
      <c r="T722" s="810"/>
      <c r="U722" s="810"/>
      <c r="V722" s="810"/>
      <c r="W722" s="810"/>
      <c r="X722" s="810"/>
      <c r="Y722" s="810"/>
      <c r="Z722" s="810"/>
    </row>
    <row r="723">
      <c r="A723" s="810"/>
      <c r="B723" s="810"/>
      <c r="C723" s="810"/>
      <c r="D723" s="810"/>
      <c r="E723" s="810"/>
      <c r="F723" s="810"/>
      <c r="G723" s="810"/>
      <c r="H723" s="810"/>
      <c r="I723" s="810"/>
      <c r="J723" s="810"/>
      <c r="K723" s="810"/>
      <c r="L723" s="810"/>
      <c r="M723" s="810"/>
      <c r="N723" s="810"/>
      <c r="O723" s="810"/>
      <c r="P723" s="811"/>
      <c r="Q723" s="810"/>
      <c r="R723" s="810"/>
      <c r="S723" s="810"/>
      <c r="T723" s="810"/>
      <c r="U723" s="810"/>
      <c r="V723" s="810"/>
      <c r="W723" s="810"/>
      <c r="X723" s="810"/>
      <c r="Y723" s="810"/>
      <c r="Z723" s="810"/>
    </row>
    <row r="724">
      <c r="A724" s="810"/>
      <c r="B724" s="810"/>
      <c r="C724" s="810"/>
      <c r="D724" s="810"/>
      <c r="E724" s="810"/>
      <c r="F724" s="810"/>
      <c r="G724" s="810"/>
      <c r="H724" s="810"/>
      <c r="I724" s="810"/>
      <c r="J724" s="810"/>
      <c r="K724" s="810"/>
      <c r="L724" s="810"/>
      <c r="M724" s="810"/>
      <c r="N724" s="810"/>
      <c r="O724" s="810"/>
      <c r="P724" s="811"/>
      <c r="Q724" s="810"/>
      <c r="R724" s="810"/>
      <c r="S724" s="810"/>
      <c r="T724" s="810"/>
      <c r="U724" s="810"/>
      <c r="V724" s="810"/>
      <c r="W724" s="810"/>
      <c r="X724" s="810"/>
      <c r="Y724" s="810"/>
      <c r="Z724" s="810"/>
    </row>
    <row r="725">
      <c r="A725" s="810"/>
      <c r="B725" s="810"/>
      <c r="C725" s="810"/>
      <c r="D725" s="810"/>
      <c r="E725" s="810"/>
      <c r="F725" s="810"/>
      <c r="G725" s="810"/>
      <c r="H725" s="810"/>
      <c r="I725" s="810"/>
      <c r="J725" s="810"/>
      <c r="K725" s="810"/>
      <c r="L725" s="810"/>
      <c r="M725" s="810"/>
      <c r="N725" s="810"/>
      <c r="O725" s="810"/>
      <c r="P725" s="811"/>
      <c r="Q725" s="810"/>
      <c r="R725" s="810"/>
      <c r="S725" s="810"/>
      <c r="T725" s="810"/>
      <c r="U725" s="810"/>
      <c r="V725" s="810"/>
      <c r="W725" s="810"/>
      <c r="X725" s="810"/>
      <c r="Y725" s="810"/>
      <c r="Z725" s="810"/>
    </row>
    <row r="726">
      <c r="A726" s="810"/>
      <c r="B726" s="810"/>
      <c r="C726" s="810"/>
      <c r="D726" s="810"/>
      <c r="E726" s="810"/>
      <c r="F726" s="810"/>
      <c r="G726" s="810"/>
      <c r="H726" s="810"/>
      <c r="I726" s="810"/>
      <c r="J726" s="810"/>
      <c r="K726" s="810"/>
      <c r="L726" s="810"/>
      <c r="M726" s="810"/>
      <c r="N726" s="810"/>
      <c r="O726" s="810"/>
      <c r="P726" s="811"/>
      <c r="Q726" s="810"/>
      <c r="R726" s="810"/>
      <c r="S726" s="810"/>
      <c r="T726" s="810"/>
      <c r="U726" s="810"/>
      <c r="V726" s="810"/>
      <c r="W726" s="810"/>
      <c r="X726" s="810"/>
      <c r="Y726" s="810"/>
      <c r="Z726" s="810"/>
    </row>
    <row r="727">
      <c r="A727" s="810"/>
      <c r="B727" s="810"/>
      <c r="C727" s="810"/>
      <c r="D727" s="810"/>
      <c r="E727" s="810"/>
      <c r="F727" s="810"/>
      <c r="G727" s="810"/>
      <c r="H727" s="810"/>
      <c r="I727" s="810"/>
      <c r="J727" s="810"/>
      <c r="K727" s="810"/>
      <c r="L727" s="810"/>
      <c r="M727" s="810"/>
      <c r="N727" s="810"/>
      <c r="O727" s="810"/>
      <c r="P727" s="811"/>
      <c r="Q727" s="810"/>
      <c r="R727" s="810"/>
      <c r="S727" s="810"/>
      <c r="T727" s="810"/>
      <c r="U727" s="810"/>
      <c r="V727" s="810"/>
      <c r="W727" s="810"/>
      <c r="X727" s="810"/>
      <c r="Y727" s="810"/>
      <c r="Z727" s="810"/>
    </row>
    <row r="728">
      <c r="A728" s="810"/>
      <c r="B728" s="810"/>
      <c r="C728" s="810"/>
      <c r="D728" s="810"/>
      <c r="E728" s="810"/>
      <c r="F728" s="810"/>
      <c r="G728" s="810"/>
      <c r="H728" s="810"/>
      <c r="I728" s="810"/>
      <c r="J728" s="810"/>
      <c r="K728" s="810"/>
      <c r="L728" s="810"/>
      <c r="M728" s="810"/>
      <c r="N728" s="810"/>
      <c r="O728" s="810"/>
      <c r="P728" s="811"/>
      <c r="Q728" s="810"/>
      <c r="R728" s="810"/>
      <c r="S728" s="810"/>
      <c r="T728" s="810"/>
      <c r="U728" s="810"/>
      <c r="V728" s="810"/>
      <c r="W728" s="810"/>
      <c r="X728" s="810"/>
      <c r="Y728" s="810"/>
      <c r="Z728" s="810"/>
    </row>
    <row r="729">
      <c r="A729" s="810"/>
      <c r="B729" s="810"/>
      <c r="C729" s="810"/>
      <c r="D729" s="810"/>
      <c r="E729" s="810"/>
      <c r="F729" s="810"/>
      <c r="G729" s="810"/>
      <c r="H729" s="810"/>
      <c r="I729" s="810"/>
      <c r="J729" s="810"/>
      <c r="K729" s="810"/>
      <c r="L729" s="810"/>
      <c r="M729" s="810"/>
      <c r="N729" s="810"/>
      <c r="O729" s="810"/>
      <c r="P729" s="811"/>
      <c r="Q729" s="810"/>
      <c r="R729" s="810"/>
      <c r="S729" s="810"/>
      <c r="T729" s="810"/>
      <c r="U729" s="810"/>
      <c r="V729" s="810"/>
      <c r="W729" s="810"/>
      <c r="X729" s="810"/>
      <c r="Y729" s="810"/>
      <c r="Z729" s="810"/>
    </row>
    <row r="730">
      <c r="A730" s="810"/>
      <c r="B730" s="810"/>
      <c r="C730" s="810"/>
      <c r="D730" s="810"/>
      <c r="E730" s="810"/>
      <c r="F730" s="810"/>
      <c r="G730" s="810"/>
      <c r="H730" s="810"/>
      <c r="I730" s="810"/>
      <c r="J730" s="810"/>
      <c r="K730" s="810"/>
      <c r="L730" s="810"/>
      <c r="M730" s="810"/>
      <c r="N730" s="810"/>
      <c r="O730" s="810"/>
      <c r="P730" s="811"/>
      <c r="Q730" s="810"/>
      <c r="R730" s="810"/>
      <c r="S730" s="810"/>
      <c r="T730" s="810"/>
      <c r="U730" s="810"/>
      <c r="V730" s="810"/>
      <c r="W730" s="810"/>
      <c r="X730" s="810"/>
      <c r="Y730" s="810"/>
      <c r="Z730" s="810"/>
    </row>
    <row r="731">
      <c r="A731" s="810"/>
      <c r="B731" s="810"/>
      <c r="C731" s="810"/>
      <c r="D731" s="810"/>
      <c r="E731" s="810"/>
      <c r="F731" s="810"/>
      <c r="G731" s="810"/>
      <c r="H731" s="810"/>
      <c r="I731" s="810"/>
      <c r="J731" s="810"/>
      <c r="K731" s="810"/>
      <c r="L731" s="810"/>
      <c r="M731" s="810"/>
      <c r="N731" s="810"/>
      <c r="O731" s="810"/>
      <c r="P731" s="811"/>
      <c r="Q731" s="810"/>
      <c r="R731" s="810"/>
      <c r="S731" s="810"/>
      <c r="T731" s="810"/>
      <c r="U731" s="810"/>
      <c r="V731" s="810"/>
      <c r="W731" s="810"/>
      <c r="X731" s="810"/>
      <c r="Y731" s="810"/>
      <c r="Z731" s="810"/>
    </row>
    <row r="732">
      <c r="A732" s="810"/>
      <c r="B732" s="810"/>
      <c r="C732" s="810"/>
      <c r="D732" s="810"/>
      <c r="E732" s="810"/>
      <c r="F732" s="810"/>
      <c r="G732" s="810"/>
      <c r="H732" s="810"/>
      <c r="I732" s="810"/>
      <c r="J732" s="810"/>
      <c r="K732" s="810"/>
      <c r="L732" s="810"/>
      <c r="M732" s="810"/>
      <c r="N732" s="810"/>
      <c r="O732" s="810"/>
      <c r="P732" s="811"/>
      <c r="Q732" s="810"/>
      <c r="R732" s="810"/>
      <c r="S732" s="810"/>
      <c r="T732" s="810"/>
      <c r="U732" s="810"/>
      <c r="V732" s="810"/>
      <c r="W732" s="810"/>
      <c r="X732" s="810"/>
      <c r="Y732" s="810"/>
      <c r="Z732" s="810"/>
    </row>
    <row r="733">
      <c r="A733" s="810"/>
      <c r="B733" s="810"/>
      <c r="C733" s="810"/>
      <c r="D733" s="810"/>
      <c r="E733" s="810"/>
      <c r="F733" s="810"/>
      <c r="G733" s="810"/>
      <c r="H733" s="810"/>
      <c r="I733" s="810"/>
      <c r="J733" s="810"/>
      <c r="K733" s="810"/>
      <c r="L733" s="810"/>
      <c r="M733" s="810"/>
      <c r="N733" s="810"/>
      <c r="O733" s="810"/>
      <c r="P733" s="811"/>
      <c r="Q733" s="810"/>
      <c r="R733" s="810"/>
      <c r="S733" s="810"/>
      <c r="T733" s="810"/>
      <c r="U733" s="810"/>
      <c r="V733" s="810"/>
      <c r="W733" s="810"/>
      <c r="X733" s="810"/>
      <c r="Y733" s="810"/>
      <c r="Z733" s="810"/>
    </row>
    <row r="734">
      <c r="A734" s="810"/>
      <c r="B734" s="810"/>
      <c r="C734" s="810"/>
      <c r="D734" s="810"/>
      <c r="E734" s="810"/>
      <c r="F734" s="810"/>
      <c r="G734" s="810"/>
      <c r="H734" s="810"/>
      <c r="I734" s="810"/>
      <c r="J734" s="810"/>
      <c r="K734" s="810"/>
      <c r="L734" s="810"/>
      <c r="M734" s="810"/>
      <c r="N734" s="810"/>
      <c r="O734" s="810"/>
      <c r="P734" s="811"/>
      <c r="Q734" s="810"/>
      <c r="R734" s="810"/>
      <c r="S734" s="810"/>
      <c r="T734" s="810"/>
      <c r="U734" s="810"/>
      <c r="V734" s="810"/>
      <c r="W734" s="810"/>
      <c r="X734" s="810"/>
      <c r="Y734" s="810"/>
      <c r="Z734" s="810"/>
    </row>
    <row r="735">
      <c r="A735" s="810"/>
      <c r="B735" s="810"/>
      <c r="C735" s="810"/>
      <c r="D735" s="810"/>
      <c r="E735" s="810"/>
      <c r="F735" s="810"/>
      <c r="G735" s="810"/>
      <c r="H735" s="810"/>
      <c r="I735" s="810"/>
      <c r="J735" s="810"/>
      <c r="K735" s="810"/>
      <c r="L735" s="810"/>
      <c r="M735" s="810"/>
      <c r="N735" s="810"/>
      <c r="O735" s="810"/>
      <c r="P735" s="811"/>
      <c r="Q735" s="810"/>
      <c r="R735" s="810"/>
      <c r="S735" s="810"/>
      <c r="T735" s="810"/>
      <c r="U735" s="810"/>
      <c r="V735" s="810"/>
      <c r="W735" s="810"/>
      <c r="X735" s="810"/>
      <c r="Y735" s="810"/>
      <c r="Z735" s="810"/>
    </row>
    <row r="736">
      <c r="A736" s="810"/>
      <c r="B736" s="810"/>
      <c r="C736" s="810"/>
      <c r="D736" s="810"/>
      <c r="E736" s="810"/>
      <c r="F736" s="810"/>
      <c r="G736" s="810"/>
      <c r="H736" s="810"/>
      <c r="I736" s="810"/>
      <c r="J736" s="810"/>
      <c r="K736" s="810"/>
      <c r="L736" s="810"/>
      <c r="M736" s="810"/>
      <c r="N736" s="810"/>
      <c r="O736" s="810"/>
      <c r="P736" s="811"/>
      <c r="Q736" s="810"/>
      <c r="R736" s="810"/>
      <c r="S736" s="810"/>
      <c r="T736" s="810"/>
      <c r="U736" s="810"/>
      <c r="V736" s="810"/>
      <c r="W736" s="810"/>
      <c r="X736" s="810"/>
      <c r="Y736" s="810"/>
      <c r="Z736" s="810"/>
    </row>
    <row r="737">
      <c r="A737" s="810"/>
      <c r="B737" s="810"/>
      <c r="C737" s="810"/>
      <c r="D737" s="810"/>
      <c r="E737" s="810"/>
      <c r="F737" s="810"/>
      <c r="G737" s="810"/>
      <c r="H737" s="810"/>
      <c r="I737" s="810"/>
      <c r="J737" s="810"/>
      <c r="K737" s="810"/>
      <c r="L737" s="810"/>
      <c r="M737" s="810"/>
      <c r="N737" s="810"/>
      <c r="O737" s="810"/>
      <c r="P737" s="811"/>
      <c r="Q737" s="810"/>
      <c r="R737" s="810"/>
      <c r="S737" s="810"/>
      <c r="T737" s="810"/>
      <c r="U737" s="810"/>
      <c r="V737" s="810"/>
      <c r="W737" s="810"/>
      <c r="X737" s="810"/>
      <c r="Y737" s="810"/>
      <c r="Z737" s="810"/>
    </row>
    <row r="738">
      <c r="A738" s="810"/>
      <c r="B738" s="810"/>
      <c r="C738" s="810"/>
      <c r="D738" s="810"/>
      <c r="E738" s="810"/>
      <c r="F738" s="810"/>
      <c r="G738" s="810"/>
      <c r="H738" s="810"/>
      <c r="I738" s="810"/>
      <c r="J738" s="810"/>
      <c r="K738" s="810"/>
      <c r="L738" s="810"/>
      <c r="M738" s="810"/>
      <c r="N738" s="810"/>
      <c r="O738" s="810"/>
      <c r="P738" s="811"/>
      <c r="Q738" s="810"/>
      <c r="R738" s="810"/>
      <c r="S738" s="810"/>
      <c r="T738" s="810"/>
      <c r="U738" s="810"/>
      <c r="V738" s="810"/>
      <c r="W738" s="810"/>
      <c r="X738" s="810"/>
      <c r="Y738" s="810"/>
      <c r="Z738" s="810"/>
    </row>
    <row r="739">
      <c r="A739" s="810"/>
      <c r="B739" s="810"/>
      <c r="C739" s="810"/>
      <c r="D739" s="810"/>
      <c r="E739" s="810"/>
      <c r="F739" s="810"/>
      <c r="G739" s="810"/>
      <c r="H739" s="810"/>
      <c r="I739" s="810"/>
      <c r="J739" s="810"/>
      <c r="K739" s="810"/>
      <c r="L739" s="810"/>
      <c r="M739" s="810"/>
      <c r="N739" s="810"/>
      <c r="O739" s="810"/>
      <c r="P739" s="811"/>
      <c r="Q739" s="810"/>
      <c r="R739" s="810"/>
      <c r="S739" s="810"/>
      <c r="T739" s="810"/>
      <c r="U739" s="810"/>
      <c r="V739" s="810"/>
      <c r="W739" s="810"/>
      <c r="X739" s="810"/>
      <c r="Y739" s="810"/>
      <c r="Z739" s="810"/>
    </row>
    <row r="740">
      <c r="A740" s="810"/>
      <c r="B740" s="810"/>
      <c r="C740" s="810"/>
      <c r="D740" s="810"/>
      <c r="E740" s="810"/>
      <c r="F740" s="810"/>
      <c r="G740" s="810"/>
      <c r="H740" s="810"/>
      <c r="I740" s="810"/>
      <c r="J740" s="810"/>
      <c r="K740" s="810"/>
      <c r="L740" s="810"/>
      <c r="M740" s="810"/>
      <c r="N740" s="810"/>
      <c r="O740" s="810"/>
      <c r="P740" s="811"/>
      <c r="Q740" s="810"/>
      <c r="R740" s="810"/>
      <c r="S740" s="810"/>
      <c r="T740" s="810"/>
      <c r="U740" s="810"/>
      <c r="V740" s="810"/>
      <c r="W740" s="810"/>
      <c r="X740" s="810"/>
      <c r="Y740" s="810"/>
      <c r="Z740" s="810"/>
    </row>
    <row r="741">
      <c r="A741" s="810"/>
      <c r="B741" s="810"/>
      <c r="C741" s="810"/>
      <c r="D741" s="810"/>
      <c r="E741" s="810"/>
      <c r="F741" s="810"/>
      <c r="G741" s="810"/>
      <c r="H741" s="810"/>
      <c r="I741" s="810"/>
      <c r="J741" s="810"/>
      <c r="K741" s="810"/>
      <c r="L741" s="810"/>
      <c r="M741" s="810"/>
      <c r="N741" s="810"/>
      <c r="O741" s="810"/>
      <c r="P741" s="811"/>
      <c r="Q741" s="810"/>
      <c r="R741" s="810"/>
      <c r="S741" s="810"/>
      <c r="T741" s="810"/>
      <c r="U741" s="810"/>
      <c r="V741" s="810"/>
      <c r="W741" s="810"/>
      <c r="X741" s="810"/>
      <c r="Y741" s="810"/>
      <c r="Z741" s="810"/>
    </row>
    <row r="742">
      <c r="A742" s="810"/>
      <c r="B742" s="810"/>
      <c r="C742" s="810"/>
      <c r="D742" s="810"/>
      <c r="E742" s="810"/>
      <c r="F742" s="810"/>
      <c r="G742" s="810"/>
      <c r="H742" s="810"/>
      <c r="I742" s="810"/>
      <c r="J742" s="810"/>
      <c r="K742" s="810"/>
      <c r="L742" s="810"/>
      <c r="M742" s="810"/>
      <c r="N742" s="810"/>
      <c r="O742" s="810"/>
      <c r="P742" s="811"/>
      <c r="Q742" s="810"/>
      <c r="R742" s="810"/>
      <c r="S742" s="810"/>
      <c r="T742" s="810"/>
      <c r="U742" s="810"/>
      <c r="V742" s="810"/>
      <c r="W742" s="810"/>
      <c r="X742" s="810"/>
      <c r="Y742" s="810"/>
      <c r="Z742" s="810"/>
    </row>
    <row r="743">
      <c r="A743" s="810"/>
      <c r="B743" s="810"/>
      <c r="C743" s="810"/>
      <c r="D743" s="810"/>
      <c r="E743" s="810"/>
      <c r="F743" s="810"/>
      <c r="G743" s="810"/>
      <c r="H743" s="810"/>
      <c r="I743" s="810"/>
      <c r="J743" s="810"/>
      <c r="K743" s="810"/>
      <c r="L743" s="810"/>
      <c r="M743" s="810"/>
      <c r="N743" s="810"/>
      <c r="O743" s="810"/>
      <c r="P743" s="811"/>
      <c r="Q743" s="810"/>
      <c r="R743" s="810"/>
      <c r="S743" s="810"/>
      <c r="T743" s="810"/>
      <c r="U743" s="810"/>
      <c r="V743" s="810"/>
      <c r="W743" s="810"/>
      <c r="X743" s="810"/>
      <c r="Y743" s="810"/>
      <c r="Z743" s="810"/>
    </row>
    <row r="744">
      <c r="A744" s="810"/>
      <c r="B744" s="810"/>
      <c r="C744" s="810"/>
      <c r="D744" s="810"/>
      <c r="E744" s="810"/>
      <c r="F744" s="810"/>
      <c r="G744" s="810"/>
      <c r="H744" s="810"/>
      <c r="I744" s="810"/>
      <c r="J744" s="810"/>
      <c r="K744" s="810"/>
      <c r="L744" s="810"/>
      <c r="M744" s="810"/>
      <c r="N744" s="810"/>
      <c r="O744" s="810"/>
      <c r="P744" s="811"/>
      <c r="Q744" s="810"/>
      <c r="R744" s="810"/>
      <c r="S744" s="810"/>
      <c r="T744" s="810"/>
      <c r="U744" s="810"/>
      <c r="V744" s="810"/>
      <c r="W744" s="810"/>
      <c r="X744" s="810"/>
      <c r="Y744" s="810"/>
      <c r="Z744" s="810"/>
    </row>
    <row r="745">
      <c r="A745" s="810"/>
      <c r="B745" s="810"/>
      <c r="C745" s="810"/>
      <c r="D745" s="810"/>
      <c r="E745" s="810"/>
      <c r="F745" s="810"/>
      <c r="G745" s="810"/>
      <c r="H745" s="810"/>
      <c r="I745" s="810"/>
      <c r="J745" s="810"/>
      <c r="K745" s="810"/>
      <c r="L745" s="810"/>
      <c r="M745" s="810"/>
      <c r="N745" s="810"/>
      <c r="O745" s="810"/>
      <c r="P745" s="811"/>
      <c r="Q745" s="810"/>
      <c r="R745" s="810"/>
      <c r="S745" s="810"/>
      <c r="T745" s="810"/>
      <c r="U745" s="810"/>
      <c r="V745" s="810"/>
      <c r="W745" s="810"/>
      <c r="X745" s="810"/>
      <c r="Y745" s="810"/>
      <c r="Z745" s="810"/>
    </row>
    <row r="746">
      <c r="A746" s="810"/>
      <c r="B746" s="810"/>
      <c r="C746" s="810"/>
      <c r="D746" s="810"/>
      <c r="E746" s="810"/>
      <c r="F746" s="810"/>
      <c r="G746" s="810"/>
      <c r="H746" s="810"/>
      <c r="I746" s="810"/>
      <c r="J746" s="810"/>
      <c r="K746" s="810"/>
      <c r="L746" s="810"/>
      <c r="M746" s="810"/>
      <c r="N746" s="810"/>
      <c r="O746" s="810"/>
      <c r="P746" s="811"/>
      <c r="Q746" s="810"/>
      <c r="R746" s="810"/>
      <c r="S746" s="810"/>
      <c r="T746" s="810"/>
      <c r="U746" s="810"/>
      <c r="V746" s="810"/>
      <c r="W746" s="810"/>
      <c r="X746" s="810"/>
      <c r="Y746" s="810"/>
      <c r="Z746" s="810"/>
    </row>
    <row r="747">
      <c r="A747" s="810"/>
      <c r="B747" s="810"/>
      <c r="C747" s="810"/>
      <c r="D747" s="810"/>
      <c r="E747" s="810"/>
      <c r="F747" s="810"/>
      <c r="G747" s="810"/>
      <c r="H747" s="810"/>
      <c r="I747" s="810"/>
      <c r="J747" s="810"/>
      <c r="K747" s="810"/>
      <c r="L747" s="810"/>
      <c r="M747" s="810"/>
      <c r="N747" s="810"/>
      <c r="O747" s="810"/>
      <c r="P747" s="811"/>
      <c r="Q747" s="810"/>
      <c r="R747" s="810"/>
      <c r="S747" s="810"/>
      <c r="T747" s="810"/>
      <c r="U747" s="810"/>
      <c r="V747" s="810"/>
      <c r="W747" s="810"/>
      <c r="X747" s="810"/>
      <c r="Y747" s="810"/>
      <c r="Z747" s="810"/>
    </row>
    <row r="748">
      <c r="A748" s="810"/>
      <c r="B748" s="810"/>
      <c r="C748" s="810"/>
      <c r="D748" s="810"/>
      <c r="E748" s="810"/>
      <c r="F748" s="810"/>
      <c r="G748" s="810"/>
      <c r="H748" s="810"/>
      <c r="I748" s="810"/>
      <c r="J748" s="810"/>
      <c r="K748" s="810"/>
      <c r="L748" s="810"/>
      <c r="M748" s="810"/>
      <c r="N748" s="810"/>
      <c r="O748" s="810"/>
      <c r="P748" s="811"/>
      <c r="Q748" s="810"/>
      <c r="R748" s="810"/>
      <c r="S748" s="810"/>
      <c r="T748" s="810"/>
      <c r="U748" s="810"/>
      <c r="V748" s="810"/>
      <c r="W748" s="810"/>
      <c r="X748" s="810"/>
      <c r="Y748" s="810"/>
      <c r="Z748" s="810"/>
    </row>
    <row r="749">
      <c r="A749" s="810"/>
      <c r="B749" s="810"/>
      <c r="C749" s="810"/>
      <c r="D749" s="810"/>
      <c r="E749" s="810"/>
      <c r="F749" s="810"/>
      <c r="G749" s="810"/>
      <c r="H749" s="810"/>
      <c r="I749" s="810"/>
      <c r="J749" s="810"/>
      <c r="K749" s="810"/>
      <c r="L749" s="810"/>
      <c r="M749" s="810"/>
      <c r="N749" s="810"/>
      <c r="O749" s="810"/>
      <c r="P749" s="811"/>
      <c r="Q749" s="810"/>
      <c r="R749" s="810"/>
      <c r="S749" s="810"/>
      <c r="T749" s="810"/>
      <c r="U749" s="810"/>
      <c r="V749" s="810"/>
      <c r="W749" s="810"/>
      <c r="X749" s="810"/>
      <c r="Y749" s="810"/>
      <c r="Z749" s="810"/>
    </row>
    <row r="750">
      <c r="A750" s="810"/>
      <c r="B750" s="810"/>
      <c r="C750" s="810"/>
      <c r="D750" s="810"/>
      <c r="E750" s="810"/>
      <c r="F750" s="810"/>
      <c r="G750" s="810"/>
      <c r="H750" s="810"/>
      <c r="I750" s="810"/>
      <c r="J750" s="810"/>
      <c r="K750" s="810"/>
      <c r="L750" s="810"/>
      <c r="M750" s="810"/>
      <c r="N750" s="810"/>
      <c r="O750" s="810"/>
      <c r="P750" s="811"/>
      <c r="Q750" s="810"/>
      <c r="R750" s="810"/>
      <c r="S750" s="810"/>
      <c r="T750" s="810"/>
      <c r="U750" s="810"/>
      <c r="V750" s="810"/>
      <c r="W750" s="810"/>
      <c r="X750" s="810"/>
      <c r="Y750" s="810"/>
      <c r="Z750" s="810"/>
    </row>
    <row r="751">
      <c r="A751" s="810"/>
      <c r="B751" s="810"/>
      <c r="C751" s="810"/>
      <c r="D751" s="810"/>
      <c r="E751" s="810"/>
      <c r="F751" s="810"/>
      <c r="G751" s="810"/>
      <c r="H751" s="810"/>
      <c r="I751" s="810"/>
      <c r="J751" s="810"/>
      <c r="K751" s="810"/>
      <c r="L751" s="810"/>
      <c r="M751" s="810"/>
      <c r="N751" s="810"/>
      <c r="O751" s="810"/>
      <c r="P751" s="811"/>
      <c r="Q751" s="810"/>
      <c r="R751" s="810"/>
      <c r="S751" s="810"/>
      <c r="T751" s="810"/>
      <c r="U751" s="810"/>
      <c r="V751" s="810"/>
      <c r="W751" s="810"/>
      <c r="X751" s="810"/>
      <c r="Y751" s="810"/>
      <c r="Z751" s="810"/>
    </row>
    <row r="752">
      <c r="A752" s="810"/>
      <c r="B752" s="810"/>
      <c r="C752" s="810"/>
      <c r="D752" s="810"/>
      <c r="E752" s="810"/>
      <c r="F752" s="810"/>
      <c r="G752" s="810"/>
      <c r="H752" s="810"/>
      <c r="I752" s="810"/>
      <c r="J752" s="810"/>
      <c r="K752" s="810"/>
      <c r="L752" s="810"/>
      <c r="M752" s="810"/>
      <c r="N752" s="810"/>
      <c r="O752" s="810"/>
      <c r="P752" s="811"/>
      <c r="Q752" s="810"/>
      <c r="R752" s="810"/>
      <c r="S752" s="810"/>
      <c r="T752" s="810"/>
      <c r="U752" s="810"/>
      <c r="V752" s="810"/>
      <c r="W752" s="810"/>
      <c r="X752" s="810"/>
      <c r="Y752" s="810"/>
      <c r="Z752" s="810"/>
    </row>
    <row r="753">
      <c r="A753" s="810"/>
      <c r="B753" s="810"/>
      <c r="C753" s="810"/>
      <c r="D753" s="810"/>
      <c r="E753" s="810"/>
      <c r="F753" s="810"/>
      <c r="G753" s="810"/>
      <c r="H753" s="810"/>
      <c r="I753" s="810"/>
      <c r="J753" s="810"/>
      <c r="K753" s="810"/>
      <c r="L753" s="810"/>
      <c r="M753" s="810"/>
      <c r="N753" s="810"/>
      <c r="O753" s="810"/>
      <c r="P753" s="811"/>
      <c r="Q753" s="810"/>
      <c r="R753" s="810"/>
      <c r="S753" s="810"/>
      <c r="T753" s="810"/>
      <c r="U753" s="810"/>
      <c r="V753" s="810"/>
      <c r="W753" s="810"/>
      <c r="X753" s="810"/>
      <c r="Y753" s="810"/>
      <c r="Z753" s="810"/>
    </row>
    <row r="754">
      <c r="A754" s="810"/>
      <c r="B754" s="810"/>
      <c r="C754" s="810"/>
      <c r="D754" s="810"/>
      <c r="E754" s="810"/>
      <c r="F754" s="810"/>
      <c r="G754" s="810"/>
      <c r="H754" s="810"/>
      <c r="I754" s="810"/>
      <c r="J754" s="810"/>
      <c r="K754" s="810"/>
      <c r="L754" s="810"/>
      <c r="M754" s="810"/>
      <c r="N754" s="810"/>
      <c r="O754" s="810"/>
      <c r="P754" s="811"/>
      <c r="Q754" s="810"/>
      <c r="R754" s="810"/>
      <c r="S754" s="810"/>
      <c r="T754" s="810"/>
      <c r="U754" s="810"/>
      <c r="V754" s="810"/>
      <c r="W754" s="810"/>
      <c r="X754" s="810"/>
      <c r="Y754" s="810"/>
      <c r="Z754" s="810"/>
    </row>
    <row r="755">
      <c r="A755" s="810"/>
      <c r="B755" s="810"/>
      <c r="C755" s="810"/>
      <c r="D755" s="810"/>
      <c r="E755" s="810"/>
      <c r="F755" s="810"/>
      <c r="G755" s="810"/>
      <c r="H755" s="810"/>
      <c r="I755" s="810"/>
      <c r="J755" s="810"/>
      <c r="K755" s="810"/>
      <c r="L755" s="810"/>
      <c r="M755" s="810"/>
      <c r="N755" s="810"/>
      <c r="O755" s="810"/>
      <c r="P755" s="811"/>
      <c r="Q755" s="810"/>
      <c r="R755" s="810"/>
      <c r="S755" s="810"/>
      <c r="T755" s="810"/>
      <c r="U755" s="810"/>
      <c r="V755" s="810"/>
      <c r="W755" s="810"/>
      <c r="X755" s="810"/>
      <c r="Y755" s="810"/>
      <c r="Z755" s="810"/>
    </row>
    <row r="756">
      <c r="A756" s="810"/>
      <c r="B756" s="810"/>
      <c r="C756" s="810"/>
      <c r="D756" s="810"/>
      <c r="E756" s="810"/>
      <c r="F756" s="810"/>
      <c r="G756" s="810"/>
      <c r="H756" s="810"/>
      <c r="I756" s="810"/>
      <c r="J756" s="810"/>
      <c r="K756" s="810"/>
      <c r="L756" s="810"/>
      <c r="M756" s="810"/>
      <c r="N756" s="810"/>
      <c r="O756" s="810"/>
      <c r="P756" s="811"/>
      <c r="Q756" s="810"/>
      <c r="R756" s="810"/>
      <c r="S756" s="810"/>
      <c r="T756" s="810"/>
      <c r="U756" s="810"/>
      <c r="V756" s="810"/>
      <c r="W756" s="810"/>
      <c r="X756" s="810"/>
      <c r="Y756" s="810"/>
      <c r="Z756" s="810"/>
    </row>
    <row r="757">
      <c r="A757" s="810"/>
      <c r="B757" s="810"/>
      <c r="C757" s="810"/>
      <c r="D757" s="810"/>
      <c r="E757" s="810"/>
      <c r="F757" s="810"/>
      <c r="G757" s="810"/>
      <c r="H757" s="810"/>
      <c r="I757" s="810"/>
      <c r="J757" s="810"/>
      <c r="K757" s="810"/>
      <c r="L757" s="810"/>
      <c r="M757" s="810"/>
      <c r="N757" s="810"/>
      <c r="O757" s="810"/>
      <c r="P757" s="811"/>
      <c r="Q757" s="810"/>
      <c r="R757" s="810"/>
      <c r="S757" s="810"/>
      <c r="T757" s="810"/>
      <c r="U757" s="810"/>
      <c r="V757" s="810"/>
      <c r="W757" s="810"/>
      <c r="X757" s="810"/>
      <c r="Y757" s="810"/>
      <c r="Z757" s="810"/>
    </row>
    <row r="758">
      <c r="A758" s="810"/>
      <c r="B758" s="810"/>
      <c r="C758" s="810"/>
      <c r="D758" s="810"/>
      <c r="E758" s="810"/>
      <c r="F758" s="810"/>
      <c r="G758" s="810"/>
      <c r="H758" s="810"/>
      <c r="I758" s="810"/>
      <c r="J758" s="810"/>
      <c r="K758" s="810"/>
      <c r="L758" s="810"/>
      <c r="M758" s="810"/>
      <c r="N758" s="810"/>
      <c r="O758" s="810"/>
      <c r="P758" s="811"/>
      <c r="Q758" s="810"/>
      <c r="R758" s="810"/>
      <c r="S758" s="810"/>
      <c r="T758" s="810"/>
      <c r="U758" s="810"/>
      <c r="V758" s="810"/>
      <c r="W758" s="810"/>
      <c r="X758" s="810"/>
      <c r="Y758" s="810"/>
      <c r="Z758" s="810"/>
    </row>
    <row r="759">
      <c r="A759" s="810"/>
      <c r="B759" s="810"/>
      <c r="C759" s="810"/>
      <c r="D759" s="810"/>
      <c r="E759" s="810"/>
      <c r="F759" s="810"/>
      <c r="G759" s="810"/>
      <c r="H759" s="810"/>
      <c r="I759" s="810"/>
      <c r="J759" s="810"/>
      <c r="K759" s="810"/>
      <c r="L759" s="810"/>
      <c r="M759" s="810"/>
      <c r="N759" s="810"/>
      <c r="O759" s="810"/>
      <c r="P759" s="811"/>
      <c r="Q759" s="810"/>
      <c r="R759" s="810"/>
      <c r="S759" s="810"/>
      <c r="T759" s="810"/>
      <c r="U759" s="810"/>
      <c r="V759" s="810"/>
      <c r="W759" s="810"/>
      <c r="X759" s="810"/>
      <c r="Y759" s="810"/>
      <c r="Z759" s="810"/>
    </row>
    <row r="760">
      <c r="A760" s="810"/>
      <c r="B760" s="810"/>
      <c r="C760" s="810"/>
      <c r="D760" s="810"/>
      <c r="E760" s="810"/>
      <c r="F760" s="810"/>
      <c r="G760" s="810"/>
      <c r="H760" s="810"/>
      <c r="I760" s="810"/>
      <c r="J760" s="810"/>
      <c r="K760" s="810"/>
      <c r="L760" s="810"/>
      <c r="M760" s="810"/>
      <c r="N760" s="810"/>
      <c r="O760" s="810"/>
      <c r="P760" s="811"/>
      <c r="Q760" s="810"/>
      <c r="R760" s="810"/>
      <c r="S760" s="810"/>
      <c r="T760" s="810"/>
      <c r="U760" s="810"/>
      <c r="V760" s="810"/>
      <c r="W760" s="810"/>
      <c r="X760" s="810"/>
      <c r="Y760" s="810"/>
      <c r="Z760" s="810"/>
    </row>
    <row r="761">
      <c r="A761" s="810"/>
      <c r="B761" s="810"/>
      <c r="C761" s="810"/>
      <c r="D761" s="810"/>
      <c r="E761" s="810"/>
      <c r="F761" s="810"/>
      <c r="G761" s="810"/>
      <c r="H761" s="810"/>
      <c r="I761" s="810"/>
      <c r="J761" s="810"/>
      <c r="K761" s="810"/>
      <c r="L761" s="810"/>
      <c r="M761" s="810"/>
      <c r="N761" s="810"/>
      <c r="O761" s="810"/>
      <c r="P761" s="811"/>
      <c r="Q761" s="810"/>
      <c r="R761" s="810"/>
      <c r="S761" s="810"/>
      <c r="T761" s="810"/>
      <c r="U761" s="810"/>
      <c r="V761" s="810"/>
      <c r="W761" s="810"/>
      <c r="X761" s="810"/>
      <c r="Y761" s="810"/>
      <c r="Z761" s="810"/>
    </row>
    <row r="762">
      <c r="A762" s="810"/>
      <c r="B762" s="810"/>
      <c r="C762" s="810"/>
      <c r="D762" s="810"/>
      <c r="E762" s="810"/>
      <c r="F762" s="810"/>
      <c r="G762" s="810"/>
      <c r="H762" s="810"/>
      <c r="I762" s="810"/>
      <c r="J762" s="810"/>
      <c r="K762" s="810"/>
      <c r="L762" s="810"/>
      <c r="M762" s="810"/>
      <c r="N762" s="810"/>
      <c r="O762" s="810"/>
      <c r="P762" s="811"/>
      <c r="Q762" s="810"/>
      <c r="R762" s="810"/>
      <c r="S762" s="810"/>
      <c r="T762" s="810"/>
      <c r="U762" s="810"/>
      <c r="V762" s="810"/>
      <c r="W762" s="810"/>
      <c r="X762" s="810"/>
      <c r="Y762" s="810"/>
      <c r="Z762" s="810"/>
    </row>
    <row r="763">
      <c r="A763" s="810"/>
      <c r="B763" s="810"/>
      <c r="C763" s="810"/>
      <c r="D763" s="810"/>
      <c r="E763" s="810"/>
      <c r="F763" s="810"/>
      <c r="G763" s="810"/>
      <c r="H763" s="810"/>
      <c r="I763" s="810"/>
      <c r="J763" s="810"/>
      <c r="K763" s="810"/>
      <c r="L763" s="810"/>
      <c r="M763" s="810"/>
      <c r="N763" s="810"/>
      <c r="O763" s="810"/>
      <c r="P763" s="811"/>
      <c r="Q763" s="810"/>
      <c r="R763" s="810"/>
      <c r="S763" s="810"/>
      <c r="T763" s="810"/>
      <c r="U763" s="810"/>
      <c r="V763" s="810"/>
      <c r="W763" s="810"/>
      <c r="X763" s="810"/>
      <c r="Y763" s="810"/>
      <c r="Z763" s="810"/>
    </row>
    <row r="764">
      <c r="A764" s="810"/>
      <c r="B764" s="810"/>
      <c r="C764" s="810"/>
      <c r="D764" s="810"/>
      <c r="E764" s="810"/>
      <c r="F764" s="810"/>
      <c r="G764" s="810"/>
      <c r="H764" s="810"/>
      <c r="I764" s="810"/>
      <c r="J764" s="810"/>
      <c r="K764" s="810"/>
      <c r="L764" s="810"/>
      <c r="M764" s="810"/>
      <c r="N764" s="810"/>
      <c r="O764" s="810"/>
      <c r="P764" s="811"/>
      <c r="Q764" s="810"/>
      <c r="R764" s="810"/>
      <c r="S764" s="810"/>
      <c r="T764" s="810"/>
      <c r="U764" s="810"/>
      <c r="V764" s="810"/>
      <c r="W764" s="810"/>
      <c r="X764" s="810"/>
      <c r="Y764" s="810"/>
      <c r="Z764" s="810"/>
    </row>
    <row r="765">
      <c r="A765" s="810"/>
      <c r="B765" s="810"/>
      <c r="C765" s="810"/>
      <c r="D765" s="810"/>
      <c r="E765" s="810"/>
      <c r="F765" s="810"/>
      <c r="G765" s="810"/>
      <c r="H765" s="810"/>
      <c r="I765" s="810"/>
      <c r="J765" s="810"/>
      <c r="K765" s="810"/>
      <c r="L765" s="810"/>
      <c r="M765" s="810"/>
      <c r="N765" s="810"/>
      <c r="O765" s="810"/>
      <c r="P765" s="811"/>
      <c r="Q765" s="810"/>
      <c r="R765" s="810"/>
      <c r="S765" s="810"/>
      <c r="T765" s="810"/>
      <c r="U765" s="810"/>
      <c r="V765" s="810"/>
      <c r="W765" s="810"/>
      <c r="X765" s="810"/>
      <c r="Y765" s="810"/>
      <c r="Z765" s="810"/>
    </row>
    <row r="766">
      <c r="A766" s="810"/>
      <c r="B766" s="810"/>
      <c r="C766" s="810"/>
      <c r="D766" s="810"/>
      <c r="E766" s="810"/>
      <c r="F766" s="810"/>
      <c r="G766" s="810"/>
      <c r="H766" s="810"/>
      <c r="I766" s="810"/>
      <c r="J766" s="810"/>
      <c r="K766" s="810"/>
      <c r="L766" s="810"/>
      <c r="M766" s="810"/>
      <c r="N766" s="810"/>
      <c r="O766" s="810"/>
      <c r="P766" s="811"/>
      <c r="Q766" s="810"/>
      <c r="R766" s="810"/>
      <c r="S766" s="810"/>
      <c r="T766" s="810"/>
      <c r="U766" s="810"/>
      <c r="V766" s="810"/>
      <c r="W766" s="810"/>
      <c r="X766" s="810"/>
      <c r="Y766" s="810"/>
      <c r="Z766" s="810"/>
    </row>
    <row r="767">
      <c r="A767" s="810"/>
      <c r="B767" s="810"/>
      <c r="C767" s="810"/>
      <c r="D767" s="810"/>
      <c r="E767" s="810"/>
      <c r="F767" s="810"/>
      <c r="G767" s="810"/>
      <c r="H767" s="810"/>
      <c r="I767" s="810"/>
      <c r="J767" s="810"/>
      <c r="K767" s="810"/>
      <c r="L767" s="810"/>
      <c r="M767" s="810"/>
      <c r="N767" s="810"/>
      <c r="O767" s="810"/>
      <c r="P767" s="811"/>
      <c r="Q767" s="810"/>
      <c r="R767" s="810"/>
      <c r="S767" s="810"/>
      <c r="T767" s="810"/>
      <c r="U767" s="810"/>
      <c r="V767" s="810"/>
      <c r="W767" s="810"/>
      <c r="X767" s="810"/>
      <c r="Y767" s="810"/>
      <c r="Z767" s="810"/>
    </row>
    <row r="768">
      <c r="A768" s="810"/>
      <c r="B768" s="810"/>
      <c r="C768" s="810"/>
      <c r="D768" s="810"/>
      <c r="E768" s="810"/>
      <c r="F768" s="810"/>
      <c r="G768" s="810"/>
      <c r="H768" s="810"/>
      <c r="I768" s="810"/>
      <c r="J768" s="810"/>
      <c r="K768" s="810"/>
      <c r="L768" s="810"/>
      <c r="M768" s="810"/>
      <c r="N768" s="810"/>
      <c r="O768" s="810"/>
      <c r="P768" s="811"/>
      <c r="Q768" s="810"/>
      <c r="R768" s="810"/>
      <c r="S768" s="810"/>
      <c r="T768" s="810"/>
      <c r="U768" s="810"/>
      <c r="V768" s="810"/>
      <c r="W768" s="810"/>
      <c r="X768" s="810"/>
      <c r="Y768" s="810"/>
      <c r="Z768" s="810"/>
    </row>
    <row r="769">
      <c r="A769" s="810"/>
      <c r="B769" s="810"/>
      <c r="C769" s="810"/>
      <c r="D769" s="810"/>
      <c r="E769" s="810"/>
      <c r="F769" s="810"/>
      <c r="G769" s="810"/>
      <c r="H769" s="810"/>
      <c r="I769" s="810"/>
      <c r="J769" s="810"/>
      <c r="K769" s="810"/>
      <c r="L769" s="810"/>
      <c r="M769" s="810"/>
      <c r="N769" s="810"/>
      <c r="O769" s="810"/>
      <c r="P769" s="811"/>
      <c r="Q769" s="810"/>
      <c r="R769" s="810"/>
      <c r="S769" s="810"/>
      <c r="T769" s="810"/>
      <c r="U769" s="810"/>
      <c r="V769" s="810"/>
      <c r="W769" s="810"/>
      <c r="X769" s="810"/>
      <c r="Y769" s="810"/>
      <c r="Z769" s="810"/>
    </row>
    <row r="770">
      <c r="A770" s="810"/>
      <c r="B770" s="810"/>
      <c r="C770" s="810"/>
      <c r="D770" s="810"/>
      <c r="E770" s="810"/>
      <c r="F770" s="810"/>
      <c r="G770" s="810"/>
      <c r="H770" s="810"/>
      <c r="I770" s="810"/>
      <c r="J770" s="810"/>
      <c r="K770" s="810"/>
      <c r="L770" s="810"/>
      <c r="M770" s="810"/>
      <c r="N770" s="810"/>
      <c r="O770" s="810"/>
      <c r="P770" s="811"/>
      <c r="Q770" s="810"/>
      <c r="R770" s="810"/>
      <c r="S770" s="810"/>
      <c r="T770" s="810"/>
      <c r="U770" s="810"/>
      <c r="V770" s="810"/>
      <c r="W770" s="810"/>
      <c r="X770" s="810"/>
      <c r="Y770" s="810"/>
      <c r="Z770" s="810"/>
    </row>
    <row r="771">
      <c r="A771" s="810"/>
      <c r="B771" s="810"/>
      <c r="C771" s="810"/>
      <c r="D771" s="810"/>
      <c r="E771" s="810"/>
      <c r="F771" s="810"/>
      <c r="G771" s="810"/>
      <c r="H771" s="810"/>
      <c r="I771" s="810"/>
      <c r="J771" s="810"/>
      <c r="K771" s="810"/>
      <c r="L771" s="810"/>
      <c r="M771" s="810"/>
      <c r="N771" s="810"/>
      <c r="O771" s="810"/>
      <c r="P771" s="811"/>
      <c r="Q771" s="810"/>
      <c r="R771" s="810"/>
      <c r="S771" s="810"/>
      <c r="T771" s="810"/>
      <c r="U771" s="810"/>
      <c r="V771" s="810"/>
      <c r="W771" s="810"/>
      <c r="X771" s="810"/>
      <c r="Y771" s="810"/>
      <c r="Z771" s="810"/>
    </row>
    <row r="772">
      <c r="A772" s="810"/>
      <c r="B772" s="810"/>
      <c r="C772" s="810"/>
      <c r="D772" s="810"/>
      <c r="E772" s="810"/>
      <c r="F772" s="810"/>
      <c r="G772" s="810"/>
      <c r="H772" s="810"/>
      <c r="I772" s="810"/>
      <c r="J772" s="810"/>
      <c r="K772" s="810"/>
      <c r="L772" s="810"/>
      <c r="M772" s="810"/>
      <c r="N772" s="810"/>
      <c r="O772" s="810"/>
      <c r="P772" s="811"/>
      <c r="Q772" s="810"/>
      <c r="R772" s="810"/>
      <c r="S772" s="810"/>
      <c r="T772" s="810"/>
      <c r="U772" s="810"/>
      <c r="V772" s="810"/>
      <c r="W772" s="810"/>
      <c r="X772" s="810"/>
      <c r="Y772" s="810"/>
      <c r="Z772" s="810"/>
    </row>
    <row r="773">
      <c r="A773" s="810"/>
      <c r="B773" s="810"/>
      <c r="C773" s="810"/>
      <c r="D773" s="810"/>
      <c r="E773" s="810"/>
      <c r="F773" s="810"/>
      <c r="G773" s="810"/>
      <c r="H773" s="810"/>
      <c r="I773" s="810"/>
      <c r="J773" s="810"/>
      <c r="K773" s="810"/>
      <c r="L773" s="810"/>
      <c r="M773" s="810"/>
      <c r="N773" s="810"/>
      <c r="O773" s="810"/>
      <c r="P773" s="811"/>
      <c r="Q773" s="810"/>
      <c r="R773" s="810"/>
      <c r="S773" s="810"/>
      <c r="T773" s="810"/>
      <c r="U773" s="810"/>
      <c r="V773" s="810"/>
      <c r="W773" s="810"/>
      <c r="X773" s="810"/>
      <c r="Y773" s="810"/>
      <c r="Z773" s="810"/>
    </row>
    <row r="774">
      <c r="A774" s="810"/>
      <c r="B774" s="810"/>
      <c r="C774" s="810"/>
      <c r="D774" s="810"/>
      <c r="E774" s="810"/>
      <c r="F774" s="810"/>
      <c r="G774" s="810"/>
      <c r="H774" s="810"/>
      <c r="I774" s="810"/>
      <c r="J774" s="810"/>
      <c r="K774" s="810"/>
      <c r="L774" s="810"/>
      <c r="M774" s="810"/>
      <c r="N774" s="810"/>
      <c r="O774" s="810"/>
      <c r="P774" s="811"/>
      <c r="Q774" s="810"/>
      <c r="R774" s="810"/>
      <c r="S774" s="810"/>
      <c r="T774" s="810"/>
      <c r="U774" s="810"/>
      <c r="V774" s="810"/>
      <c r="W774" s="810"/>
      <c r="X774" s="810"/>
      <c r="Y774" s="810"/>
      <c r="Z774" s="810"/>
    </row>
    <row r="775">
      <c r="A775" s="810"/>
      <c r="B775" s="810"/>
      <c r="C775" s="810"/>
      <c r="D775" s="810"/>
      <c r="E775" s="810"/>
      <c r="F775" s="810"/>
      <c r="G775" s="810"/>
      <c r="H775" s="810"/>
      <c r="I775" s="810"/>
      <c r="J775" s="810"/>
      <c r="K775" s="810"/>
      <c r="L775" s="810"/>
      <c r="M775" s="810"/>
      <c r="N775" s="810"/>
      <c r="O775" s="810"/>
      <c r="P775" s="811"/>
      <c r="Q775" s="810"/>
      <c r="R775" s="810"/>
      <c r="S775" s="810"/>
      <c r="T775" s="810"/>
      <c r="U775" s="810"/>
      <c r="V775" s="810"/>
      <c r="W775" s="810"/>
      <c r="X775" s="810"/>
      <c r="Y775" s="810"/>
      <c r="Z775" s="810"/>
    </row>
    <row r="776">
      <c r="A776" s="810"/>
      <c r="B776" s="810"/>
      <c r="C776" s="810"/>
      <c r="D776" s="810"/>
      <c r="E776" s="810"/>
      <c r="F776" s="810"/>
      <c r="G776" s="810"/>
      <c r="H776" s="810"/>
      <c r="I776" s="810"/>
      <c r="J776" s="810"/>
      <c r="K776" s="810"/>
      <c r="L776" s="810"/>
      <c r="M776" s="810"/>
      <c r="N776" s="810"/>
      <c r="O776" s="810"/>
      <c r="P776" s="811"/>
      <c r="Q776" s="810"/>
      <c r="R776" s="810"/>
      <c r="S776" s="810"/>
      <c r="T776" s="810"/>
      <c r="U776" s="810"/>
      <c r="V776" s="810"/>
      <c r="W776" s="810"/>
      <c r="X776" s="810"/>
      <c r="Y776" s="810"/>
      <c r="Z776" s="810"/>
    </row>
    <row r="777">
      <c r="A777" s="810"/>
      <c r="B777" s="810"/>
      <c r="C777" s="810"/>
      <c r="D777" s="810"/>
      <c r="E777" s="810"/>
      <c r="F777" s="810"/>
      <c r="G777" s="810"/>
      <c r="H777" s="810"/>
      <c r="I777" s="810"/>
      <c r="J777" s="810"/>
      <c r="K777" s="810"/>
      <c r="L777" s="810"/>
      <c r="M777" s="810"/>
      <c r="N777" s="810"/>
      <c r="O777" s="810"/>
      <c r="P777" s="811"/>
      <c r="Q777" s="810"/>
      <c r="R777" s="810"/>
      <c r="S777" s="810"/>
      <c r="T777" s="810"/>
      <c r="U777" s="810"/>
      <c r="V777" s="810"/>
      <c r="W777" s="810"/>
      <c r="X777" s="810"/>
      <c r="Y777" s="810"/>
      <c r="Z777" s="810"/>
    </row>
    <row r="778">
      <c r="A778" s="810"/>
      <c r="B778" s="810"/>
      <c r="C778" s="810"/>
      <c r="D778" s="810"/>
      <c r="E778" s="810"/>
      <c r="F778" s="810"/>
      <c r="G778" s="810"/>
      <c r="H778" s="810"/>
      <c r="I778" s="810"/>
      <c r="J778" s="810"/>
      <c r="K778" s="810"/>
      <c r="L778" s="810"/>
      <c r="M778" s="810"/>
      <c r="N778" s="810"/>
      <c r="O778" s="810"/>
      <c r="P778" s="811"/>
      <c r="Q778" s="810"/>
      <c r="R778" s="810"/>
      <c r="S778" s="810"/>
      <c r="T778" s="810"/>
      <c r="U778" s="810"/>
      <c r="V778" s="810"/>
      <c r="W778" s="810"/>
      <c r="X778" s="810"/>
      <c r="Y778" s="810"/>
      <c r="Z778" s="810"/>
    </row>
    <row r="779">
      <c r="A779" s="810"/>
      <c r="B779" s="810"/>
      <c r="C779" s="810"/>
      <c r="D779" s="810"/>
      <c r="E779" s="810"/>
      <c r="F779" s="810"/>
      <c r="G779" s="810"/>
      <c r="H779" s="810"/>
      <c r="I779" s="810"/>
      <c r="J779" s="810"/>
      <c r="K779" s="810"/>
      <c r="L779" s="810"/>
      <c r="M779" s="810"/>
      <c r="N779" s="810"/>
      <c r="O779" s="810"/>
      <c r="P779" s="811"/>
      <c r="Q779" s="810"/>
      <c r="R779" s="810"/>
      <c r="S779" s="810"/>
      <c r="T779" s="810"/>
      <c r="U779" s="810"/>
      <c r="V779" s="810"/>
      <c r="W779" s="810"/>
      <c r="X779" s="810"/>
      <c r="Y779" s="810"/>
      <c r="Z779" s="810"/>
    </row>
    <row r="780">
      <c r="A780" s="810"/>
      <c r="B780" s="810"/>
      <c r="C780" s="810"/>
      <c r="D780" s="810"/>
      <c r="E780" s="810"/>
      <c r="F780" s="810"/>
      <c r="G780" s="810"/>
      <c r="H780" s="810"/>
      <c r="I780" s="810"/>
      <c r="J780" s="810"/>
      <c r="K780" s="810"/>
      <c r="L780" s="810"/>
      <c r="M780" s="810"/>
      <c r="N780" s="810"/>
      <c r="O780" s="810"/>
      <c r="P780" s="811"/>
      <c r="Q780" s="810"/>
      <c r="R780" s="810"/>
      <c r="S780" s="810"/>
      <c r="T780" s="810"/>
      <c r="U780" s="810"/>
      <c r="V780" s="810"/>
      <c r="W780" s="810"/>
      <c r="X780" s="810"/>
      <c r="Y780" s="810"/>
      <c r="Z780" s="810"/>
    </row>
    <row r="781">
      <c r="A781" s="810"/>
      <c r="B781" s="810"/>
      <c r="C781" s="810"/>
      <c r="D781" s="810"/>
      <c r="E781" s="810"/>
      <c r="F781" s="810"/>
      <c r="G781" s="810"/>
      <c r="H781" s="810"/>
      <c r="I781" s="810"/>
      <c r="J781" s="810"/>
      <c r="K781" s="810"/>
      <c r="L781" s="810"/>
      <c r="M781" s="810"/>
      <c r="N781" s="810"/>
      <c r="O781" s="810"/>
      <c r="P781" s="811"/>
      <c r="Q781" s="810"/>
      <c r="R781" s="810"/>
      <c r="S781" s="810"/>
      <c r="T781" s="810"/>
      <c r="U781" s="810"/>
      <c r="V781" s="810"/>
      <c r="W781" s="810"/>
      <c r="X781" s="810"/>
      <c r="Y781" s="810"/>
      <c r="Z781" s="810"/>
    </row>
    <row r="782">
      <c r="A782" s="810"/>
      <c r="B782" s="810"/>
      <c r="C782" s="810"/>
      <c r="D782" s="810"/>
      <c r="E782" s="810"/>
      <c r="F782" s="810"/>
      <c r="G782" s="810"/>
      <c r="H782" s="810"/>
      <c r="I782" s="810"/>
      <c r="J782" s="810"/>
      <c r="K782" s="810"/>
      <c r="L782" s="810"/>
      <c r="M782" s="810"/>
      <c r="N782" s="810"/>
      <c r="O782" s="810"/>
      <c r="P782" s="811"/>
      <c r="Q782" s="810"/>
      <c r="R782" s="810"/>
      <c r="S782" s="810"/>
      <c r="T782" s="810"/>
      <c r="U782" s="810"/>
      <c r="V782" s="810"/>
      <c r="W782" s="810"/>
      <c r="X782" s="810"/>
      <c r="Y782" s="810"/>
      <c r="Z782" s="810"/>
    </row>
    <row r="783">
      <c r="A783" s="810"/>
      <c r="B783" s="810"/>
      <c r="C783" s="810"/>
      <c r="D783" s="810"/>
      <c r="E783" s="810"/>
      <c r="F783" s="810"/>
      <c r="G783" s="810"/>
      <c r="H783" s="810"/>
      <c r="I783" s="810"/>
      <c r="J783" s="810"/>
      <c r="K783" s="810"/>
      <c r="L783" s="810"/>
      <c r="M783" s="810"/>
      <c r="N783" s="810"/>
      <c r="O783" s="810"/>
      <c r="P783" s="811"/>
      <c r="Q783" s="810"/>
      <c r="R783" s="810"/>
      <c r="S783" s="810"/>
      <c r="T783" s="810"/>
      <c r="U783" s="810"/>
      <c r="V783" s="810"/>
      <c r="W783" s="810"/>
      <c r="X783" s="810"/>
      <c r="Y783" s="810"/>
      <c r="Z783" s="810"/>
    </row>
    <row r="784">
      <c r="A784" s="810"/>
      <c r="B784" s="810"/>
      <c r="C784" s="810"/>
      <c r="D784" s="810"/>
      <c r="E784" s="810"/>
      <c r="F784" s="810"/>
      <c r="G784" s="810"/>
      <c r="H784" s="810"/>
      <c r="I784" s="810"/>
      <c r="J784" s="810"/>
      <c r="K784" s="810"/>
      <c r="L784" s="810"/>
      <c r="M784" s="810"/>
      <c r="N784" s="810"/>
      <c r="O784" s="810"/>
      <c r="P784" s="811"/>
      <c r="Q784" s="810"/>
      <c r="R784" s="810"/>
      <c r="S784" s="810"/>
      <c r="T784" s="810"/>
      <c r="U784" s="810"/>
      <c r="V784" s="810"/>
      <c r="W784" s="810"/>
      <c r="X784" s="810"/>
      <c r="Y784" s="810"/>
      <c r="Z784" s="810"/>
    </row>
    <row r="785">
      <c r="A785" s="810"/>
      <c r="B785" s="810"/>
      <c r="C785" s="810"/>
      <c r="D785" s="810"/>
      <c r="E785" s="810"/>
      <c r="F785" s="810"/>
      <c r="G785" s="810"/>
      <c r="H785" s="810"/>
      <c r="I785" s="810"/>
      <c r="J785" s="810"/>
      <c r="K785" s="810"/>
      <c r="L785" s="810"/>
      <c r="M785" s="810"/>
      <c r="N785" s="810"/>
      <c r="O785" s="810"/>
      <c r="P785" s="811"/>
      <c r="Q785" s="810"/>
      <c r="R785" s="810"/>
      <c r="S785" s="810"/>
      <c r="T785" s="810"/>
      <c r="U785" s="810"/>
      <c r="V785" s="810"/>
      <c r="W785" s="810"/>
      <c r="X785" s="810"/>
      <c r="Y785" s="810"/>
      <c r="Z785" s="810"/>
    </row>
    <row r="786">
      <c r="A786" s="810"/>
      <c r="B786" s="810"/>
      <c r="C786" s="810"/>
      <c r="D786" s="810"/>
      <c r="E786" s="810"/>
      <c r="F786" s="810"/>
      <c r="G786" s="810"/>
      <c r="H786" s="810"/>
      <c r="I786" s="810"/>
      <c r="J786" s="810"/>
      <c r="K786" s="810"/>
      <c r="L786" s="810"/>
      <c r="M786" s="810"/>
      <c r="N786" s="810"/>
      <c r="O786" s="810"/>
      <c r="P786" s="811"/>
      <c r="Q786" s="810"/>
      <c r="R786" s="810"/>
      <c r="S786" s="810"/>
      <c r="T786" s="810"/>
      <c r="U786" s="810"/>
      <c r="V786" s="810"/>
      <c r="W786" s="810"/>
      <c r="X786" s="810"/>
      <c r="Y786" s="810"/>
      <c r="Z786" s="810"/>
    </row>
    <row r="787">
      <c r="A787" s="810"/>
      <c r="B787" s="810"/>
      <c r="C787" s="810"/>
      <c r="D787" s="810"/>
      <c r="E787" s="810"/>
      <c r="F787" s="810"/>
      <c r="G787" s="810"/>
      <c r="H787" s="810"/>
      <c r="I787" s="810"/>
      <c r="J787" s="810"/>
      <c r="K787" s="810"/>
      <c r="L787" s="810"/>
      <c r="M787" s="810"/>
      <c r="N787" s="810"/>
      <c r="O787" s="810"/>
      <c r="P787" s="811"/>
      <c r="Q787" s="810"/>
      <c r="R787" s="810"/>
      <c r="S787" s="810"/>
      <c r="T787" s="810"/>
      <c r="U787" s="810"/>
      <c r="V787" s="810"/>
      <c r="W787" s="810"/>
      <c r="X787" s="810"/>
      <c r="Y787" s="810"/>
      <c r="Z787" s="810"/>
    </row>
    <row r="788">
      <c r="A788" s="810"/>
      <c r="B788" s="810"/>
      <c r="C788" s="810"/>
      <c r="D788" s="810"/>
      <c r="E788" s="810"/>
      <c r="F788" s="810"/>
      <c r="G788" s="810"/>
      <c r="H788" s="810"/>
      <c r="I788" s="810"/>
      <c r="J788" s="810"/>
      <c r="K788" s="810"/>
      <c r="L788" s="810"/>
      <c r="M788" s="810"/>
      <c r="N788" s="810"/>
      <c r="O788" s="810"/>
      <c r="P788" s="811"/>
      <c r="Q788" s="810"/>
      <c r="R788" s="810"/>
      <c r="S788" s="810"/>
      <c r="T788" s="810"/>
      <c r="U788" s="810"/>
      <c r="V788" s="810"/>
      <c r="W788" s="810"/>
      <c r="X788" s="810"/>
      <c r="Y788" s="810"/>
      <c r="Z788" s="810"/>
    </row>
    <row r="789">
      <c r="A789" s="810"/>
      <c r="B789" s="810"/>
      <c r="C789" s="810"/>
      <c r="D789" s="810"/>
      <c r="E789" s="810"/>
      <c r="F789" s="810"/>
      <c r="G789" s="810"/>
      <c r="H789" s="810"/>
      <c r="I789" s="810"/>
      <c r="J789" s="810"/>
      <c r="K789" s="810"/>
      <c r="L789" s="810"/>
      <c r="M789" s="810"/>
      <c r="N789" s="810"/>
      <c r="O789" s="810"/>
      <c r="P789" s="811"/>
      <c r="Q789" s="810"/>
      <c r="R789" s="810"/>
      <c r="S789" s="810"/>
      <c r="T789" s="810"/>
      <c r="U789" s="810"/>
      <c r="V789" s="810"/>
      <c r="W789" s="810"/>
      <c r="X789" s="810"/>
      <c r="Y789" s="810"/>
      <c r="Z789" s="810"/>
    </row>
    <row r="790">
      <c r="A790" s="810"/>
      <c r="B790" s="810"/>
      <c r="C790" s="810"/>
      <c r="D790" s="810"/>
      <c r="E790" s="810"/>
      <c r="F790" s="810"/>
      <c r="G790" s="810"/>
      <c r="H790" s="810"/>
      <c r="I790" s="810"/>
      <c r="J790" s="810"/>
      <c r="K790" s="810"/>
      <c r="L790" s="810"/>
      <c r="M790" s="810"/>
      <c r="N790" s="810"/>
      <c r="O790" s="810"/>
      <c r="P790" s="811"/>
      <c r="Q790" s="810"/>
      <c r="R790" s="810"/>
      <c r="S790" s="810"/>
      <c r="T790" s="810"/>
      <c r="U790" s="810"/>
      <c r="V790" s="810"/>
      <c r="W790" s="810"/>
      <c r="X790" s="810"/>
      <c r="Y790" s="810"/>
      <c r="Z790" s="810"/>
    </row>
    <row r="791">
      <c r="A791" s="810"/>
      <c r="B791" s="810"/>
      <c r="C791" s="810"/>
      <c r="D791" s="810"/>
      <c r="E791" s="810"/>
      <c r="F791" s="810"/>
      <c r="G791" s="810"/>
      <c r="H791" s="810"/>
      <c r="I791" s="810"/>
      <c r="J791" s="810"/>
      <c r="K791" s="810"/>
      <c r="L791" s="810"/>
      <c r="M791" s="810"/>
      <c r="N791" s="810"/>
      <c r="O791" s="810"/>
      <c r="P791" s="811"/>
      <c r="Q791" s="810"/>
      <c r="R791" s="810"/>
      <c r="S791" s="810"/>
      <c r="T791" s="810"/>
      <c r="U791" s="810"/>
      <c r="V791" s="810"/>
      <c r="W791" s="810"/>
      <c r="X791" s="810"/>
      <c r="Y791" s="810"/>
      <c r="Z791" s="810"/>
    </row>
    <row r="792">
      <c r="A792" s="810"/>
      <c r="B792" s="810"/>
      <c r="C792" s="810"/>
      <c r="D792" s="810"/>
      <c r="E792" s="810"/>
      <c r="F792" s="810"/>
      <c r="G792" s="810"/>
      <c r="H792" s="810"/>
      <c r="I792" s="810"/>
      <c r="J792" s="810"/>
      <c r="K792" s="810"/>
      <c r="L792" s="810"/>
      <c r="M792" s="810"/>
      <c r="N792" s="810"/>
      <c r="O792" s="810"/>
      <c r="P792" s="811"/>
      <c r="Q792" s="810"/>
      <c r="R792" s="810"/>
      <c r="S792" s="810"/>
      <c r="T792" s="810"/>
      <c r="U792" s="810"/>
      <c r="V792" s="810"/>
      <c r="W792" s="810"/>
      <c r="X792" s="810"/>
      <c r="Y792" s="810"/>
      <c r="Z792" s="810"/>
    </row>
    <row r="793">
      <c r="A793" s="810"/>
      <c r="B793" s="810"/>
      <c r="C793" s="810"/>
      <c r="D793" s="810"/>
      <c r="E793" s="810"/>
      <c r="F793" s="810"/>
      <c r="G793" s="810"/>
      <c r="H793" s="810"/>
      <c r="I793" s="810"/>
      <c r="J793" s="810"/>
      <c r="K793" s="810"/>
      <c r="L793" s="810"/>
      <c r="M793" s="810"/>
      <c r="N793" s="810"/>
      <c r="O793" s="810"/>
      <c r="P793" s="811"/>
      <c r="Q793" s="810"/>
      <c r="R793" s="810"/>
      <c r="S793" s="810"/>
      <c r="T793" s="810"/>
      <c r="U793" s="810"/>
      <c r="V793" s="810"/>
      <c r="W793" s="810"/>
      <c r="X793" s="810"/>
      <c r="Y793" s="810"/>
      <c r="Z793" s="810"/>
    </row>
    <row r="794">
      <c r="A794" s="810"/>
      <c r="B794" s="810"/>
      <c r="C794" s="810"/>
      <c r="D794" s="810"/>
      <c r="E794" s="810"/>
      <c r="F794" s="810"/>
      <c r="G794" s="810"/>
      <c r="H794" s="810"/>
      <c r="I794" s="810"/>
      <c r="J794" s="810"/>
      <c r="K794" s="810"/>
      <c r="L794" s="810"/>
      <c r="M794" s="810"/>
      <c r="N794" s="810"/>
      <c r="O794" s="810"/>
      <c r="P794" s="811"/>
      <c r="Q794" s="810"/>
      <c r="R794" s="810"/>
      <c r="S794" s="810"/>
      <c r="T794" s="810"/>
      <c r="U794" s="810"/>
      <c r="V794" s="810"/>
      <c r="W794" s="810"/>
      <c r="X794" s="810"/>
      <c r="Y794" s="810"/>
      <c r="Z794" s="810"/>
    </row>
    <row r="795">
      <c r="A795" s="810"/>
      <c r="B795" s="810"/>
      <c r="C795" s="810"/>
      <c r="D795" s="810"/>
      <c r="E795" s="810"/>
      <c r="F795" s="810"/>
      <c r="G795" s="810"/>
      <c r="H795" s="810"/>
      <c r="I795" s="810"/>
      <c r="J795" s="810"/>
      <c r="K795" s="810"/>
      <c r="L795" s="810"/>
      <c r="M795" s="810"/>
      <c r="N795" s="810"/>
      <c r="O795" s="810"/>
      <c r="P795" s="811"/>
      <c r="Q795" s="810"/>
      <c r="R795" s="810"/>
      <c r="S795" s="810"/>
      <c r="T795" s="810"/>
      <c r="U795" s="810"/>
      <c r="V795" s="810"/>
      <c r="W795" s="810"/>
      <c r="X795" s="810"/>
      <c r="Y795" s="810"/>
      <c r="Z795" s="810"/>
    </row>
    <row r="796">
      <c r="A796" s="810"/>
      <c r="B796" s="810"/>
      <c r="C796" s="810"/>
      <c r="D796" s="810"/>
      <c r="E796" s="810"/>
      <c r="F796" s="810"/>
      <c r="G796" s="810"/>
      <c r="H796" s="810"/>
      <c r="I796" s="810"/>
      <c r="J796" s="810"/>
      <c r="K796" s="810"/>
      <c r="L796" s="810"/>
      <c r="M796" s="810"/>
      <c r="N796" s="810"/>
      <c r="O796" s="810"/>
      <c r="P796" s="811"/>
      <c r="Q796" s="810"/>
      <c r="R796" s="810"/>
      <c r="S796" s="810"/>
      <c r="T796" s="810"/>
      <c r="U796" s="810"/>
      <c r="V796" s="810"/>
      <c r="W796" s="810"/>
      <c r="X796" s="810"/>
      <c r="Y796" s="810"/>
      <c r="Z796" s="810"/>
    </row>
    <row r="797">
      <c r="A797" s="810"/>
      <c r="B797" s="810"/>
      <c r="C797" s="810"/>
      <c r="D797" s="810"/>
      <c r="E797" s="810"/>
      <c r="F797" s="810"/>
      <c r="G797" s="810"/>
      <c r="H797" s="810"/>
      <c r="I797" s="810"/>
      <c r="J797" s="810"/>
      <c r="K797" s="810"/>
      <c r="L797" s="810"/>
      <c r="M797" s="810"/>
      <c r="N797" s="810"/>
      <c r="O797" s="810"/>
      <c r="P797" s="811"/>
      <c r="Q797" s="810"/>
      <c r="R797" s="810"/>
      <c r="S797" s="810"/>
      <c r="T797" s="810"/>
      <c r="U797" s="810"/>
      <c r="V797" s="810"/>
      <c r="W797" s="810"/>
      <c r="X797" s="810"/>
      <c r="Y797" s="810"/>
      <c r="Z797" s="810"/>
    </row>
    <row r="798">
      <c r="A798" s="810"/>
      <c r="B798" s="810"/>
      <c r="C798" s="810"/>
      <c r="D798" s="810"/>
      <c r="E798" s="810"/>
      <c r="F798" s="810"/>
      <c r="G798" s="810"/>
      <c r="H798" s="810"/>
      <c r="I798" s="810"/>
      <c r="J798" s="810"/>
      <c r="K798" s="810"/>
      <c r="L798" s="810"/>
      <c r="M798" s="810"/>
      <c r="N798" s="810"/>
      <c r="O798" s="810"/>
      <c r="P798" s="811"/>
      <c r="Q798" s="810"/>
      <c r="R798" s="810"/>
      <c r="S798" s="810"/>
      <c r="T798" s="810"/>
      <c r="U798" s="810"/>
      <c r="V798" s="810"/>
      <c r="W798" s="810"/>
      <c r="X798" s="810"/>
      <c r="Y798" s="810"/>
      <c r="Z798" s="810"/>
    </row>
    <row r="799">
      <c r="A799" s="810"/>
      <c r="B799" s="810"/>
      <c r="C799" s="810"/>
      <c r="D799" s="810"/>
      <c r="E799" s="810"/>
      <c r="F799" s="810"/>
      <c r="G799" s="810"/>
      <c r="H799" s="810"/>
      <c r="I799" s="810"/>
      <c r="J799" s="810"/>
      <c r="K799" s="810"/>
      <c r="L799" s="810"/>
      <c r="M799" s="810"/>
      <c r="N799" s="810"/>
      <c r="O799" s="810"/>
      <c r="P799" s="811"/>
      <c r="Q799" s="810"/>
      <c r="R799" s="810"/>
      <c r="S799" s="810"/>
      <c r="T799" s="810"/>
      <c r="U799" s="810"/>
      <c r="V799" s="810"/>
      <c r="W799" s="810"/>
      <c r="X799" s="810"/>
      <c r="Y799" s="810"/>
      <c r="Z799" s="810"/>
    </row>
    <row r="800">
      <c r="A800" s="810"/>
      <c r="B800" s="810"/>
      <c r="C800" s="810"/>
      <c r="D800" s="810"/>
      <c r="E800" s="810"/>
      <c r="F800" s="810"/>
      <c r="G800" s="810"/>
      <c r="H800" s="810"/>
      <c r="I800" s="810"/>
      <c r="J800" s="810"/>
      <c r="K800" s="810"/>
      <c r="L800" s="810"/>
      <c r="M800" s="810"/>
      <c r="N800" s="810"/>
      <c r="O800" s="810"/>
      <c r="P800" s="811"/>
      <c r="Q800" s="810"/>
      <c r="R800" s="810"/>
      <c r="S800" s="810"/>
      <c r="T800" s="810"/>
      <c r="U800" s="810"/>
      <c r="V800" s="810"/>
      <c r="W800" s="810"/>
      <c r="X800" s="810"/>
      <c r="Y800" s="810"/>
      <c r="Z800" s="810"/>
    </row>
    <row r="801">
      <c r="A801" s="810"/>
      <c r="B801" s="810"/>
      <c r="C801" s="810"/>
      <c r="D801" s="810"/>
      <c r="E801" s="810"/>
      <c r="F801" s="810"/>
      <c r="G801" s="810"/>
      <c r="H801" s="810"/>
      <c r="I801" s="810"/>
      <c r="J801" s="810"/>
      <c r="K801" s="810"/>
      <c r="L801" s="810"/>
      <c r="M801" s="810"/>
      <c r="N801" s="810"/>
      <c r="O801" s="810"/>
      <c r="P801" s="811"/>
      <c r="Q801" s="810"/>
      <c r="R801" s="810"/>
      <c r="S801" s="810"/>
      <c r="T801" s="810"/>
      <c r="U801" s="810"/>
      <c r="V801" s="810"/>
      <c r="W801" s="810"/>
      <c r="X801" s="810"/>
      <c r="Y801" s="810"/>
      <c r="Z801" s="810"/>
    </row>
    <row r="802">
      <c r="A802" s="810"/>
      <c r="B802" s="810"/>
      <c r="C802" s="810"/>
      <c r="D802" s="810"/>
      <c r="E802" s="810"/>
      <c r="F802" s="810"/>
      <c r="G802" s="810"/>
      <c r="H802" s="810"/>
      <c r="I802" s="810"/>
      <c r="J802" s="810"/>
      <c r="K802" s="810"/>
      <c r="L802" s="810"/>
      <c r="M802" s="810"/>
      <c r="N802" s="810"/>
      <c r="O802" s="810"/>
      <c r="P802" s="811"/>
      <c r="Q802" s="810"/>
      <c r="R802" s="810"/>
      <c r="S802" s="810"/>
      <c r="T802" s="810"/>
      <c r="U802" s="810"/>
      <c r="V802" s="810"/>
      <c r="W802" s="810"/>
      <c r="X802" s="810"/>
      <c r="Y802" s="810"/>
      <c r="Z802" s="810"/>
    </row>
    <row r="803">
      <c r="A803" s="810"/>
      <c r="B803" s="810"/>
      <c r="C803" s="810"/>
      <c r="D803" s="810"/>
      <c r="E803" s="810"/>
      <c r="F803" s="810"/>
      <c r="G803" s="810"/>
      <c r="H803" s="810"/>
      <c r="I803" s="810"/>
      <c r="J803" s="810"/>
      <c r="K803" s="810"/>
      <c r="L803" s="810"/>
      <c r="M803" s="810"/>
      <c r="N803" s="810"/>
      <c r="O803" s="810"/>
      <c r="P803" s="811"/>
      <c r="Q803" s="810"/>
      <c r="R803" s="810"/>
      <c r="S803" s="810"/>
      <c r="T803" s="810"/>
      <c r="U803" s="810"/>
      <c r="V803" s="810"/>
      <c r="W803" s="810"/>
      <c r="X803" s="810"/>
      <c r="Y803" s="810"/>
      <c r="Z803" s="810"/>
    </row>
    <row r="804">
      <c r="A804" s="810"/>
      <c r="B804" s="810"/>
      <c r="C804" s="810"/>
      <c r="D804" s="810"/>
      <c r="E804" s="810"/>
      <c r="F804" s="810"/>
      <c r="G804" s="810"/>
      <c r="H804" s="810"/>
      <c r="I804" s="810"/>
      <c r="J804" s="810"/>
      <c r="K804" s="810"/>
      <c r="L804" s="810"/>
      <c r="M804" s="810"/>
      <c r="N804" s="810"/>
      <c r="O804" s="810"/>
      <c r="P804" s="811"/>
      <c r="Q804" s="810"/>
      <c r="R804" s="810"/>
      <c r="S804" s="810"/>
      <c r="T804" s="810"/>
      <c r="U804" s="810"/>
      <c r="V804" s="810"/>
      <c r="W804" s="810"/>
      <c r="X804" s="810"/>
      <c r="Y804" s="810"/>
      <c r="Z804" s="810"/>
    </row>
    <row r="805">
      <c r="A805" s="810"/>
      <c r="B805" s="810"/>
      <c r="C805" s="810"/>
      <c r="D805" s="810"/>
      <c r="E805" s="810"/>
      <c r="F805" s="810"/>
      <c r="G805" s="810"/>
      <c r="H805" s="810"/>
      <c r="I805" s="810"/>
      <c r="J805" s="810"/>
      <c r="K805" s="810"/>
      <c r="L805" s="810"/>
      <c r="M805" s="810"/>
      <c r="N805" s="810"/>
      <c r="O805" s="810"/>
      <c r="P805" s="811"/>
      <c r="Q805" s="810"/>
      <c r="R805" s="810"/>
      <c r="S805" s="810"/>
      <c r="T805" s="810"/>
      <c r="U805" s="810"/>
      <c r="V805" s="810"/>
      <c r="W805" s="810"/>
      <c r="X805" s="810"/>
      <c r="Y805" s="810"/>
      <c r="Z805" s="810"/>
    </row>
    <row r="806">
      <c r="A806" s="810"/>
      <c r="B806" s="810"/>
      <c r="C806" s="810"/>
      <c r="D806" s="810"/>
      <c r="E806" s="810"/>
      <c r="F806" s="810"/>
      <c r="G806" s="810"/>
      <c r="H806" s="810"/>
      <c r="I806" s="810"/>
      <c r="J806" s="810"/>
      <c r="K806" s="810"/>
      <c r="L806" s="810"/>
      <c r="M806" s="810"/>
      <c r="N806" s="810"/>
      <c r="O806" s="810"/>
      <c r="P806" s="811"/>
      <c r="Q806" s="810"/>
      <c r="R806" s="810"/>
      <c r="S806" s="810"/>
      <c r="T806" s="810"/>
      <c r="U806" s="810"/>
      <c r="V806" s="810"/>
      <c r="W806" s="810"/>
      <c r="X806" s="810"/>
      <c r="Y806" s="810"/>
      <c r="Z806" s="810"/>
    </row>
    <row r="807">
      <c r="A807" s="810"/>
      <c r="B807" s="810"/>
      <c r="C807" s="810"/>
      <c r="D807" s="810"/>
      <c r="E807" s="810"/>
      <c r="F807" s="810"/>
      <c r="G807" s="810"/>
      <c r="H807" s="810"/>
      <c r="I807" s="810"/>
      <c r="J807" s="810"/>
      <c r="K807" s="810"/>
      <c r="L807" s="810"/>
      <c r="M807" s="810"/>
      <c r="N807" s="810"/>
      <c r="O807" s="810"/>
      <c r="P807" s="811"/>
      <c r="Q807" s="810"/>
      <c r="R807" s="810"/>
      <c r="S807" s="810"/>
      <c r="T807" s="810"/>
      <c r="U807" s="810"/>
      <c r="V807" s="810"/>
      <c r="W807" s="810"/>
      <c r="X807" s="810"/>
      <c r="Y807" s="810"/>
      <c r="Z807" s="810"/>
    </row>
    <row r="808">
      <c r="A808" s="810"/>
      <c r="B808" s="810"/>
      <c r="C808" s="810"/>
      <c r="D808" s="810"/>
      <c r="E808" s="810"/>
      <c r="F808" s="810"/>
      <c r="G808" s="810"/>
      <c r="H808" s="810"/>
      <c r="I808" s="810"/>
      <c r="J808" s="810"/>
      <c r="K808" s="810"/>
      <c r="L808" s="810"/>
      <c r="M808" s="810"/>
      <c r="N808" s="810"/>
      <c r="O808" s="810"/>
      <c r="P808" s="811"/>
      <c r="Q808" s="810"/>
      <c r="R808" s="810"/>
      <c r="S808" s="810"/>
      <c r="T808" s="810"/>
      <c r="U808" s="810"/>
      <c r="V808" s="810"/>
      <c r="W808" s="810"/>
      <c r="X808" s="810"/>
      <c r="Y808" s="810"/>
      <c r="Z808" s="810"/>
    </row>
    <row r="809">
      <c r="A809" s="810"/>
      <c r="B809" s="810"/>
      <c r="C809" s="810"/>
      <c r="D809" s="810"/>
      <c r="E809" s="810"/>
      <c r="F809" s="810"/>
      <c r="G809" s="810"/>
      <c r="H809" s="810"/>
      <c r="I809" s="810"/>
      <c r="J809" s="810"/>
      <c r="K809" s="810"/>
      <c r="L809" s="810"/>
      <c r="M809" s="810"/>
      <c r="N809" s="810"/>
      <c r="O809" s="810"/>
      <c r="P809" s="811"/>
      <c r="Q809" s="810"/>
      <c r="R809" s="810"/>
      <c r="S809" s="810"/>
      <c r="T809" s="810"/>
      <c r="U809" s="810"/>
      <c r="V809" s="810"/>
      <c r="W809" s="810"/>
      <c r="X809" s="810"/>
      <c r="Y809" s="810"/>
      <c r="Z809" s="810"/>
    </row>
    <row r="810">
      <c r="A810" s="810"/>
      <c r="B810" s="810"/>
      <c r="C810" s="810"/>
      <c r="D810" s="810"/>
      <c r="E810" s="810"/>
      <c r="F810" s="810"/>
      <c r="G810" s="810"/>
      <c r="H810" s="810"/>
      <c r="I810" s="810"/>
      <c r="J810" s="810"/>
      <c r="K810" s="810"/>
      <c r="L810" s="810"/>
      <c r="M810" s="810"/>
      <c r="N810" s="810"/>
      <c r="O810" s="810"/>
      <c r="P810" s="811"/>
      <c r="Q810" s="810"/>
      <c r="R810" s="810"/>
      <c r="S810" s="810"/>
      <c r="T810" s="810"/>
      <c r="U810" s="810"/>
      <c r="V810" s="810"/>
      <c r="W810" s="810"/>
      <c r="X810" s="810"/>
      <c r="Y810" s="810"/>
      <c r="Z810" s="810"/>
    </row>
    <row r="811">
      <c r="A811" s="810"/>
      <c r="B811" s="810"/>
      <c r="C811" s="810"/>
      <c r="D811" s="810"/>
      <c r="E811" s="810"/>
      <c r="F811" s="810"/>
      <c r="G811" s="810"/>
      <c r="H811" s="810"/>
      <c r="I811" s="810"/>
      <c r="J811" s="810"/>
      <c r="K811" s="810"/>
      <c r="L811" s="810"/>
      <c r="M811" s="810"/>
      <c r="N811" s="810"/>
      <c r="O811" s="810"/>
      <c r="P811" s="811"/>
      <c r="Q811" s="810"/>
      <c r="R811" s="810"/>
      <c r="S811" s="810"/>
      <c r="T811" s="810"/>
      <c r="U811" s="810"/>
      <c r="V811" s="810"/>
      <c r="W811" s="810"/>
      <c r="X811" s="810"/>
      <c r="Y811" s="810"/>
      <c r="Z811" s="810"/>
    </row>
    <row r="812">
      <c r="A812" s="810"/>
      <c r="B812" s="810"/>
      <c r="C812" s="810"/>
      <c r="D812" s="810"/>
      <c r="E812" s="810"/>
      <c r="F812" s="810"/>
      <c r="G812" s="810"/>
      <c r="H812" s="810"/>
      <c r="I812" s="810"/>
      <c r="J812" s="810"/>
      <c r="K812" s="810"/>
      <c r="L812" s="810"/>
      <c r="M812" s="810"/>
      <c r="N812" s="810"/>
      <c r="O812" s="810"/>
      <c r="P812" s="811"/>
      <c r="Q812" s="810"/>
      <c r="R812" s="810"/>
      <c r="S812" s="810"/>
      <c r="T812" s="810"/>
      <c r="U812" s="810"/>
      <c r="V812" s="810"/>
      <c r="W812" s="810"/>
      <c r="X812" s="810"/>
      <c r="Y812" s="810"/>
      <c r="Z812" s="810"/>
    </row>
    <row r="813">
      <c r="A813" s="810"/>
      <c r="B813" s="810"/>
      <c r="C813" s="810"/>
      <c r="D813" s="810"/>
      <c r="E813" s="810"/>
      <c r="F813" s="810"/>
      <c r="G813" s="810"/>
      <c r="H813" s="810"/>
      <c r="I813" s="810"/>
      <c r="J813" s="810"/>
      <c r="K813" s="810"/>
      <c r="L813" s="810"/>
      <c r="M813" s="810"/>
      <c r="N813" s="810"/>
      <c r="O813" s="810"/>
      <c r="P813" s="811"/>
      <c r="Q813" s="810"/>
      <c r="R813" s="810"/>
      <c r="S813" s="810"/>
      <c r="T813" s="810"/>
      <c r="U813" s="810"/>
      <c r="V813" s="810"/>
      <c r="W813" s="810"/>
      <c r="X813" s="810"/>
      <c r="Y813" s="810"/>
      <c r="Z813" s="810"/>
    </row>
    <row r="814">
      <c r="A814" s="810"/>
      <c r="B814" s="810"/>
      <c r="C814" s="810"/>
      <c r="D814" s="810"/>
      <c r="E814" s="810"/>
      <c r="F814" s="810"/>
      <c r="G814" s="810"/>
      <c r="H814" s="810"/>
      <c r="I814" s="810"/>
      <c r="J814" s="810"/>
      <c r="K814" s="810"/>
      <c r="L814" s="810"/>
      <c r="M814" s="810"/>
      <c r="N814" s="810"/>
      <c r="O814" s="810"/>
      <c r="P814" s="811"/>
      <c r="Q814" s="810"/>
      <c r="R814" s="810"/>
      <c r="S814" s="810"/>
      <c r="T814" s="810"/>
      <c r="U814" s="810"/>
      <c r="V814" s="810"/>
      <c r="W814" s="810"/>
      <c r="X814" s="810"/>
      <c r="Y814" s="810"/>
      <c r="Z814" s="810"/>
    </row>
    <row r="815">
      <c r="A815" s="810"/>
      <c r="B815" s="810"/>
      <c r="C815" s="810"/>
      <c r="D815" s="810"/>
      <c r="E815" s="810"/>
      <c r="F815" s="810"/>
      <c r="G815" s="810"/>
      <c r="H815" s="810"/>
      <c r="I815" s="810"/>
      <c r="J815" s="810"/>
      <c r="K815" s="810"/>
      <c r="L815" s="810"/>
      <c r="M815" s="810"/>
      <c r="N815" s="810"/>
      <c r="O815" s="810"/>
      <c r="P815" s="811"/>
      <c r="Q815" s="810"/>
      <c r="R815" s="810"/>
      <c r="S815" s="810"/>
      <c r="T815" s="810"/>
      <c r="U815" s="810"/>
      <c r="V815" s="810"/>
      <c r="W815" s="810"/>
      <c r="X815" s="810"/>
      <c r="Y815" s="810"/>
      <c r="Z815" s="810"/>
    </row>
    <row r="816">
      <c r="A816" s="810"/>
      <c r="B816" s="810"/>
      <c r="C816" s="810"/>
      <c r="D816" s="810"/>
      <c r="E816" s="810"/>
      <c r="F816" s="810"/>
      <c r="G816" s="810"/>
      <c r="H816" s="810"/>
      <c r="I816" s="810"/>
      <c r="J816" s="810"/>
      <c r="K816" s="810"/>
      <c r="L816" s="810"/>
      <c r="M816" s="810"/>
      <c r="N816" s="810"/>
      <c r="O816" s="810"/>
      <c r="P816" s="811"/>
      <c r="Q816" s="810"/>
      <c r="R816" s="810"/>
      <c r="S816" s="810"/>
      <c r="T816" s="810"/>
      <c r="U816" s="810"/>
      <c r="V816" s="810"/>
      <c r="W816" s="810"/>
      <c r="X816" s="810"/>
      <c r="Y816" s="810"/>
      <c r="Z816" s="810"/>
    </row>
    <row r="817">
      <c r="A817" s="810"/>
      <c r="B817" s="810"/>
      <c r="C817" s="810"/>
      <c r="D817" s="810"/>
      <c r="E817" s="810"/>
      <c r="F817" s="810"/>
      <c r="G817" s="810"/>
      <c r="H817" s="810"/>
      <c r="I817" s="810"/>
      <c r="J817" s="810"/>
      <c r="K817" s="810"/>
      <c r="L817" s="810"/>
      <c r="M817" s="810"/>
      <c r="N817" s="810"/>
      <c r="O817" s="810"/>
      <c r="P817" s="811"/>
      <c r="Q817" s="810"/>
      <c r="R817" s="810"/>
      <c r="S817" s="810"/>
      <c r="T817" s="810"/>
      <c r="U817" s="810"/>
      <c r="V817" s="810"/>
      <c r="W817" s="810"/>
      <c r="X817" s="810"/>
      <c r="Y817" s="810"/>
      <c r="Z817" s="810"/>
    </row>
    <row r="818">
      <c r="A818" s="810"/>
      <c r="B818" s="810"/>
      <c r="C818" s="810"/>
      <c r="D818" s="810"/>
      <c r="E818" s="810"/>
      <c r="F818" s="810"/>
      <c r="G818" s="810"/>
      <c r="H818" s="810"/>
      <c r="I818" s="810"/>
      <c r="J818" s="810"/>
      <c r="K818" s="810"/>
      <c r="L818" s="810"/>
      <c r="M818" s="810"/>
      <c r="N818" s="810"/>
      <c r="O818" s="810"/>
      <c r="P818" s="811"/>
      <c r="Q818" s="810"/>
      <c r="R818" s="810"/>
      <c r="S818" s="810"/>
      <c r="T818" s="810"/>
      <c r="U818" s="810"/>
      <c r="V818" s="810"/>
      <c r="W818" s="810"/>
      <c r="X818" s="810"/>
      <c r="Y818" s="810"/>
      <c r="Z818" s="810"/>
    </row>
    <row r="819">
      <c r="A819" s="810"/>
      <c r="B819" s="810"/>
      <c r="C819" s="810"/>
      <c r="D819" s="810"/>
      <c r="E819" s="810"/>
      <c r="F819" s="810"/>
      <c r="G819" s="810"/>
      <c r="H819" s="810"/>
      <c r="I819" s="810"/>
      <c r="J819" s="810"/>
      <c r="K819" s="810"/>
      <c r="L819" s="810"/>
      <c r="M819" s="810"/>
      <c r="N819" s="810"/>
      <c r="O819" s="810"/>
      <c r="P819" s="811"/>
      <c r="Q819" s="810"/>
      <c r="R819" s="810"/>
      <c r="S819" s="810"/>
      <c r="T819" s="810"/>
      <c r="U819" s="810"/>
      <c r="V819" s="810"/>
      <c r="W819" s="810"/>
      <c r="X819" s="810"/>
      <c r="Y819" s="810"/>
      <c r="Z819" s="810"/>
    </row>
    <row r="820">
      <c r="A820" s="810"/>
      <c r="B820" s="810"/>
      <c r="C820" s="810"/>
      <c r="D820" s="810"/>
      <c r="E820" s="810"/>
      <c r="F820" s="810"/>
      <c r="G820" s="810"/>
      <c r="H820" s="810"/>
      <c r="I820" s="810"/>
      <c r="J820" s="810"/>
      <c r="K820" s="810"/>
      <c r="L820" s="810"/>
      <c r="M820" s="810"/>
      <c r="N820" s="810"/>
      <c r="O820" s="810"/>
      <c r="P820" s="811"/>
      <c r="Q820" s="810"/>
      <c r="R820" s="810"/>
      <c r="S820" s="810"/>
      <c r="T820" s="810"/>
      <c r="U820" s="810"/>
      <c r="V820" s="810"/>
      <c r="W820" s="810"/>
      <c r="X820" s="810"/>
      <c r="Y820" s="810"/>
      <c r="Z820" s="810"/>
    </row>
    <row r="821">
      <c r="A821" s="810"/>
      <c r="B821" s="810"/>
      <c r="C821" s="810"/>
      <c r="D821" s="810"/>
      <c r="E821" s="810"/>
      <c r="F821" s="810"/>
      <c r="G821" s="810"/>
      <c r="H821" s="810"/>
      <c r="I821" s="810"/>
      <c r="J821" s="810"/>
      <c r="K821" s="810"/>
      <c r="L821" s="810"/>
      <c r="M821" s="810"/>
      <c r="N821" s="810"/>
      <c r="O821" s="810"/>
      <c r="P821" s="811"/>
      <c r="Q821" s="810"/>
      <c r="R821" s="810"/>
      <c r="S821" s="810"/>
      <c r="T821" s="810"/>
      <c r="U821" s="810"/>
      <c r="V821" s="810"/>
      <c r="W821" s="810"/>
      <c r="X821" s="810"/>
      <c r="Y821" s="810"/>
      <c r="Z821" s="810"/>
    </row>
    <row r="822">
      <c r="A822" s="810"/>
      <c r="B822" s="810"/>
      <c r="C822" s="810"/>
      <c r="D822" s="810"/>
      <c r="E822" s="810"/>
      <c r="F822" s="810"/>
      <c r="G822" s="810"/>
      <c r="H822" s="810"/>
      <c r="I822" s="810"/>
      <c r="J822" s="810"/>
      <c r="K822" s="810"/>
      <c r="L822" s="810"/>
      <c r="M822" s="810"/>
      <c r="N822" s="810"/>
      <c r="O822" s="810"/>
      <c r="P822" s="811"/>
      <c r="Q822" s="810"/>
      <c r="R822" s="810"/>
      <c r="S822" s="810"/>
      <c r="T822" s="810"/>
      <c r="U822" s="810"/>
      <c r="V822" s="810"/>
      <c r="W822" s="810"/>
      <c r="X822" s="810"/>
      <c r="Y822" s="810"/>
      <c r="Z822" s="810"/>
    </row>
    <row r="823">
      <c r="A823" s="810"/>
      <c r="B823" s="810"/>
      <c r="C823" s="810"/>
      <c r="D823" s="810"/>
      <c r="E823" s="810"/>
      <c r="F823" s="810"/>
      <c r="G823" s="810"/>
      <c r="H823" s="810"/>
      <c r="I823" s="810"/>
      <c r="J823" s="810"/>
      <c r="K823" s="810"/>
      <c r="L823" s="810"/>
      <c r="M823" s="810"/>
      <c r="N823" s="810"/>
      <c r="O823" s="810"/>
      <c r="P823" s="811"/>
      <c r="Q823" s="810"/>
      <c r="R823" s="810"/>
      <c r="S823" s="810"/>
      <c r="T823" s="810"/>
      <c r="U823" s="810"/>
      <c r="V823" s="810"/>
      <c r="W823" s="810"/>
      <c r="X823" s="810"/>
      <c r="Y823" s="810"/>
      <c r="Z823" s="810"/>
    </row>
    <row r="824">
      <c r="A824" s="810"/>
      <c r="B824" s="810"/>
      <c r="C824" s="810"/>
      <c r="D824" s="810"/>
      <c r="E824" s="810"/>
      <c r="F824" s="810"/>
      <c r="G824" s="810"/>
      <c r="H824" s="810"/>
      <c r="I824" s="810"/>
      <c r="J824" s="810"/>
      <c r="K824" s="810"/>
      <c r="L824" s="810"/>
      <c r="M824" s="810"/>
      <c r="N824" s="810"/>
      <c r="O824" s="810"/>
      <c r="P824" s="811"/>
      <c r="Q824" s="810"/>
      <c r="R824" s="810"/>
      <c r="S824" s="810"/>
      <c r="T824" s="810"/>
      <c r="U824" s="810"/>
      <c r="V824" s="810"/>
      <c r="W824" s="810"/>
      <c r="X824" s="810"/>
      <c r="Y824" s="810"/>
      <c r="Z824" s="810"/>
    </row>
    <row r="825">
      <c r="A825" s="810"/>
      <c r="B825" s="810"/>
      <c r="C825" s="810"/>
      <c r="D825" s="810"/>
      <c r="E825" s="810"/>
      <c r="F825" s="810"/>
      <c r="G825" s="810"/>
      <c r="H825" s="810"/>
      <c r="I825" s="810"/>
      <c r="J825" s="810"/>
      <c r="K825" s="810"/>
      <c r="L825" s="810"/>
      <c r="M825" s="810"/>
      <c r="N825" s="810"/>
      <c r="O825" s="810"/>
      <c r="P825" s="811"/>
      <c r="Q825" s="810"/>
      <c r="R825" s="810"/>
      <c r="S825" s="810"/>
      <c r="T825" s="810"/>
      <c r="U825" s="810"/>
      <c r="V825" s="810"/>
      <c r="W825" s="810"/>
      <c r="X825" s="810"/>
      <c r="Y825" s="810"/>
      <c r="Z825" s="810"/>
    </row>
    <row r="826">
      <c r="A826" s="810"/>
      <c r="B826" s="810"/>
      <c r="C826" s="810"/>
      <c r="D826" s="810"/>
      <c r="E826" s="810"/>
      <c r="F826" s="810"/>
      <c r="G826" s="810"/>
      <c r="H826" s="810"/>
      <c r="I826" s="810"/>
      <c r="J826" s="810"/>
      <c r="K826" s="810"/>
      <c r="L826" s="810"/>
      <c r="M826" s="810"/>
      <c r="N826" s="810"/>
      <c r="O826" s="810"/>
      <c r="P826" s="811"/>
      <c r="Q826" s="810"/>
      <c r="R826" s="810"/>
      <c r="S826" s="810"/>
      <c r="T826" s="810"/>
      <c r="U826" s="810"/>
      <c r="V826" s="810"/>
      <c r="W826" s="810"/>
      <c r="X826" s="810"/>
      <c r="Y826" s="810"/>
      <c r="Z826" s="810"/>
    </row>
    <row r="827">
      <c r="A827" s="810"/>
      <c r="B827" s="810"/>
      <c r="C827" s="810"/>
      <c r="D827" s="810"/>
      <c r="E827" s="810"/>
      <c r="F827" s="810"/>
      <c r="G827" s="810"/>
      <c r="H827" s="810"/>
      <c r="I827" s="810"/>
      <c r="J827" s="810"/>
      <c r="K827" s="810"/>
      <c r="L827" s="810"/>
      <c r="M827" s="810"/>
      <c r="N827" s="810"/>
      <c r="O827" s="810"/>
      <c r="P827" s="811"/>
      <c r="Q827" s="810"/>
      <c r="R827" s="810"/>
      <c r="S827" s="810"/>
      <c r="T827" s="810"/>
      <c r="U827" s="810"/>
      <c r="V827" s="810"/>
      <c r="W827" s="810"/>
      <c r="X827" s="810"/>
      <c r="Y827" s="810"/>
      <c r="Z827" s="810"/>
    </row>
    <row r="828">
      <c r="A828" s="810"/>
      <c r="B828" s="810"/>
      <c r="C828" s="810"/>
      <c r="D828" s="810"/>
      <c r="E828" s="810"/>
      <c r="F828" s="810"/>
      <c r="G828" s="810"/>
      <c r="H828" s="810"/>
      <c r="I828" s="810"/>
      <c r="J828" s="810"/>
      <c r="K828" s="810"/>
      <c r="L828" s="810"/>
      <c r="M828" s="810"/>
      <c r="N828" s="810"/>
      <c r="O828" s="810"/>
      <c r="P828" s="811"/>
      <c r="Q828" s="810"/>
      <c r="R828" s="810"/>
      <c r="S828" s="810"/>
      <c r="T828" s="810"/>
      <c r="U828" s="810"/>
      <c r="V828" s="810"/>
      <c r="W828" s="810"/>
      <c r="X828" s="810"/>
      <c r="Y828" s="810"/>
      <c r="Z828" s="810"/>
    </row>
    <row r="829">
      <c r="A829" s="810"/>
      <c r="B829" s="810"/>
      <c r="C829" s="810"/>
      <c r="D829" s="810"/>
      <c r="E829" s="810"/>
      <c r="F829" s="810"/>
      <c r="G829" s="810"/>
      <c r="H829" s="810"/>
      <c r="I829" s="810"/>
      <c r="J829" s="810"/>
      <c r="K829" s="810"/>
      <c r="L829" s="810"/>
      <c r="M829" s="810"/>
      <c r="N829" s="810"/>
      <c r="O829" s="810"/>
      <c r="P829" s="811"/>
      <c r="Q829" s="810"/>
      <c r="R829" s="810"/>
      <c r="S829" s="810"/>
      <c r="T829" s="810"/>
      <c r="U829" s="810"/>
      <c r="V829" s="810"/>
      <c r="W829" s="810"/>
      <c r="X829" s="810"/>
      <c r="Y829" s="810"/>
      <c r="Z829" s="810"/>
    </row>
    <row r="830">
      <c r="A830" s="810"/>
      <c r="B830" s="810"/>
      <c r="C830" s="810"/>
      <c r="D830" s="810"/>
      <c r="E830" s="810"/>
      <c r="F830" s="810"/>
      <c r="G830" s="810"/>
      <c r="H830" s="810"/>
      <c r="I830" s="810"/>
      <c r="J830" s="810"/>
      <c r="K830" s="810"/>
      <c r="L830" s="810"/>
      <c r="M830" s="810"/>
      <c r="N830" s="810"/>
      <c r="O830" s="810"/>
      <c r="P830" s="811"/>
      <c r="Q830" s="810"/>
      <c r="R830" s="810"/>
      <c r="S830" s="810"/>
      <c r="T830" s="810"/>
      <c r="U830" s="810"/>
      <c r="V830" s="810"/>
      <c r="W830" s="810"/>
      <c r="X830" s="810"/>
      <c r="Y830" s="810"/>
      <c r="Z830" s="810"/>
    </row>
    <row r="831">
      <c r="A831" s="810"/>
      <c r="B831" s="810"/>
      <c r="C831" s="810"/>
      <c r="D831" s="810"/>
      <c r="E831" s="810"/>
      <c r="F831" s="810"/>
      <c r="G831" s="810"/>
      <c r="H831" s="810"/>
      <c r="I831" s="810"/>
      <c r="J831" s="810"/>
      <c r="K831" s="810"/>
      <c r="L831" s="810"/>
      <c r="M831" s="810"/>
      <c r="N831" s="810"/>
      <c r="O831" s="810"/>
      <c r="P831" s="811"/>
      <c r="Q831" s="810"/>
      <c r="R831" s="810"/>
      <c r="S831" s="810"/>
      <c r="T831" s="810"/>
      <c r="U831" s="810"/>
      <c r="V831" s="810"/>
      <c r="W831" s="810"/>
      <c r="X831" s="810"/>
      <c r="Y831" s="810"/>
      <c r="Z831" s="810"/>
    </row>
    <row r="832">
      <c r="A832" s="810"/>
      <c r="B832" s="810"/>
      <c r="C832" s="810"/>
      <c r="D832" s="810"/>
      <c r="E832" s="810"/>
      <c r="F832" s="810"/>
      <c r="G832" s="810"/>
      <c r="H832" s="810"/>
      <c r="I832" s="810"/>
      <c r="J832" s="810"/>
      <c r="K832" s="810"/>
      <c r="L832" s="810"/>
      <c r="M832" s="810"/>
      <c r="N832" s="810"/>
      <c r="O832" s="810"/>
      <c r="P832" s="811"/>
      <c r="Q832" s="810"/>
      <c r="R832" s="810"/>
      <c r="S832" s="810"/>
      <c r="T832" s="810"/>
      <c r="U832" s="810"/>
      <c r="V832" s="810"/>
      <c r="W832" s="810"/>
      <c r="X832" s="810"/>
      <c r="Y832" s="810"/>
      <c r="Z832" s="810"/>
    </row>
    <row r="833">
      <c r="A833" s="810"/>
      <c r="B833" s="810"/>
      <c r="C833" s="810"/>
      <c r="D833" s="810"/>
      <c r="E833" s="810"/>
      <c r="F833" s="810"/>
      <c r="G833" s="810"/>
      <c r="H833" s="810"/>
      <c r="I833" s="810"/>
      <c r="J833" s="810"/>
      <c r="K833" s="810"/>
      <c r="L833" s="810"/>
      <c r="M833" s="810"/>
      <c r="N833" s="810"/>
      <c r="O833" s="810"/>
      <c r="P833" s="811"/>
      <c r="Q833" s="810"/>
      <c r="R833" s="810"/>
      <c r="S833" s="810"/>
      <c r="T833" s="810"/>
      <c r="U833" s="810"/>
      <c r="V833" s="810"/>
      <c r="W833" s="810"/>
      <c r="X833" s="810"/>
      <c r="Y833" s="810"/>
      <c r="Z833" s="810"/>
    </row>
    <row r="834">
      <c r="A834" s="810"/>
      <c r="B834" s="810"/>
      <c r="C834" s="810"/>
      <c r="D834" s="810"/>
      <c r="E834" s="810"/>
      <c r="F834" s="810"/>
      <c r="G834" s="810"/>
      <c r="H834" s="810"/>
      <c r="I834" s="810"/>
      <c r="J834" s="810"/>
      <c r="K834" s="810"/>
      <c r="L834" s="810"/>
      <c r="M834" s="810"/>
      <c r="N834" s="810"/>
      <c r="O834" s="810"/>
      <c r="P834" s="811"/>
      <c r="Q834" s="810"/>
      <c r="R834" s="810"/>
      <c r="S834" s="810"/>
      <c r="T834" s="810"/>
      <c r="U834" s="810"/>
      <c r="V834" s="810"/>
      <c r="W834" s="810"/>
      <c r="X834" s="810"/>
      <c r="Y834" s="810"/>
      <c r="Z834" s="810"/>
    </row>
    <row r="835">
      <c r="A835" s="810"/>
      <c r="B835" s="810"/>
      <c r="C835" s="810"/>
      <c r="D835" s="810"/>
      <c r="E835" s="810"/>
      <c r="F835" s="810"/>
      <c r="G835" s="810"/>
      <c r="H835" s="810"/>
      <c r="I835" s="810"/>
      <c r="J835" s="810"/>
      <c r="K835" s="810"/>
      <c r="L835" s="810"/>
      <c r="M835" s="810"/>
      <c r="N835" s="810"/>
      <c r="O835" s="810"/>
      <c r="P835" s="811"/>
      <c r="Q835" s="810"/>
      <c r="R835" s="810"/>
      <c r="S835" s="810"/>
      <c r="T835" s="810"/>
      <c r="U835" s="810"/>
      <c r="V835" s="810"/>
      <c r="W835" s="810"/>
      <c r="X835" s="810"/>
      <c r="Y835" s="810"/>
      <c r="Z835" s="810"/>
    </row>
    <row r="836">
      <c r="A836" s="810"/>
      <c r="B836" s="810"/>
      <c r="C836" s="810"/>
      <c r="D836" s="810"/>
      <c r="E836" s="810"/>
      <c r="F836" s="810"/>
      <c r="G836" s="810"/>
      <c r="H836" s="810"/>
      <c r="I836" s="810"/>
      <c r="J836" s="810"/>
      <c r="K836" s="810"/>
      <c r="L836" s="810"/>
      <c r="M836" s="810"/>
      <c r="N836" s="810"/>
      <c r="O836" s="810"/>
      <c r="P836" s="811"/>
      <c r="Q836" s="810"/>
      <c r="R836" s="810"/>
      <c r="S836" s="810"/>
      <c r="T836" s="810"/>
      <c r="U836" s="810"/>
      <c r="V836" s="810"/>
      <c r="W836" s="810"/>
      <c r="X836" s="810"/>
      <c r="Y836" s="810"/>
      <c r="Z836" s="810"/>
    </row>
    <row r="837">
      <c r="A837" s="810"/>
      <c r="B837" s="810"/>
      <c r="C837" s="810"/>
      <c r="D837" s="810"/>
      <c r="E837" s="810"/>
      <c r="F837" s="810"/>
      <c r="G837" s="810"/>
      <c r="H837" s="810"/>
      <c r="I837" s="810"/>
      <c r="J837" s="810"/>
      <c r="K837" s="810"/>
      <c r="L837" s="810"/>
      <c r="M837" s="810"/>
      <c r="N837" s="810"/>
      <c r="O837" s="810"/>
      <c r="P837" s="811"/>
      <c r="Q837" s="810"/>
      <c r="R837" s="810"/>
      <c r="S837" s="810"/>
      <c r="T837" s="810"/>
      <c r="U837" s="810"/>
      <c r="V837" s="810"/>
      <c r="W837" s="810"/>
      <c r="X837" s="810"/>
      <c r="Y837" s="810"/>
      <c r="Z837" s="810"/>
    </row>
    <row r="838">
      <c r="A838" s="810"/>
      <c r="B838" s="810"/>
      <c r="C838" s="810"/>
      <c r="D838" s="810"/>
      <c r="E838" s="810"/>
      <c r="F838" s="810"/>
      <c r="G838" s="810"/>
      <c r="H838" s="810"/>
      <c r="I838" s="810"/>
      <c r="J838" s="810"/>
      <c r="K838" s="810"/>
      <c r="L838" s="810"/>
      <c r="M838" s="810"/>
      <c r="N838" s="810"/>
      <c r="O838" s="810"/>
      <c r="P838" s="811"/>
      <c r="Q838" s="810"/>
      <c r="R838" s="810"/>
      <c r="S838" s="810"/>
      <c r="T838" s="810"/>
      <c r="U838" s="810"/>
      <c r="V838" s="810"/>
      <c r="W838" s="810"/>
      <c r="X838" s="810"/>
      <c r="Y838" s="810"/>
      <c r="Z838" s="810"/>
    </row>
    <row r="839">
      <c r="A839" s="810"/>
      <c r="B839" s="810"/>
      <c r="C839" s="810"/>
      <c r="D839" s="810"/>
      <c r="E839" s="810"/>
      <c r="F839" s="810"/>
      <c r="G839" s="810"/>
      <c r="H839" s="810"/>
      <c r="I839" s="810"/>
      <c r="J839" s="810"/>
      <c r="K839" s="810"/>
      <c r="L839" s="810"/>
      <c r="M839" s="810"/>
      <c r="N839" s="810"/>
      <c r="O839" s="810"/>
      <c r="P839" s="811"/>
      <c r="Q839" s="810"/>
      <c r="R839" s="810"/>
      <c r="S839" s="810"/>
      <c r="T839" s="810"/>
      <c r="U839" s="810"/>
      <c r="V839" s="810"/>
      <c r="W839" s="810"/>
      <c r="X839" s="810"/>
      <c r="Y839" s="810"/>
      <c r="Z839" s="810"/>
    </row>
    <row r="840">
      <c r="A840" s="810"/>
      <c r="B840" s="810"/>
      <c r="C840" s="810"/>
      <c r="D840" s="810"/>
      <c r="E840" s="810"/>
      <c r="F840" s="810"/>
      <c r="G840" s="810"/>
      <c r="H840" s="810"/>
      <c r="I840" s="810"/>
      <c r="J840" s="810"/>
      <c r="K840" s="810"/>
      <c r="L840" s="810"/>
      <c r="M840" s="810"/>
      <c r="N840" s="810"/>
      <c r="O840" s="810"/>
      <c r="P840" s="811"/>
      <c r="Q840" s="810"/>
      <c r="R840" s="810"/>
      <c r="S840" s="810"/>
      <c r="T840" s="810"/>
      <c r="U840" s="810"/>
      <c r="V840" s="810"/>
      <c r="W840" s="810"/>
      <c r="X840" s="810"/>
      <c r="Y840" s="810"/>
      <c r="Z840" s="810"/>
    </row>
    <row r="841">
      <c r="A841" s="810"/>
      <c r="B841" s="810"/>
      <c r="C841" s="810"/>
      <c r="D841" s="810"/>
      <c r="E841" s="810"/>
      <c r="F841" s="810"/>
      <c r="G841" s="810"/>
      <c r="H841" s="810"/>
      <c r="I841" s="810"/>
      <c r="J841" s="810"/>
      <c r="K841" s="810"/>
      <c r="L841" s="810"/>
      <c r="M841" s="810"/>
      <c r="N841" s="810"/>
      <c r="O841" s="810"/>
      <c r="P841" s="811"/>
      <c r="Q841" s="810"/>
      <c r="R841" s="810"/>
      <c r="S841" s="810"/>
      <c r="T841" s="810"/>
      <c r="U841" s="810"/>
      <c r="V841" s="810"/>
      <c r="W841" s="810"/>
      <c r="X841" s="810"/>
      <c r="Y841" s="810"/>
      <c r="Z841" s="810"/>
    </row>
    <row r="842">
      <c r="A842" s="810"/>
      <c r="B842" s="810"/>
      <c r="C842" s="810"/>
      <c r="D842" s="810"/>
      <c r="E842" s="810"/>
      <c r="F842" s="810"/>
      <c r="G842" s="810"/>
      <c r="H842" s="810"/>
      <c r="I842" s="810"/>
      <c r="J842" s="810"/>
      <c r="K842" s="810"/>
      <c r="L842" s="810"/>
      <c r="M842" s="810"/>
      <c r="N842" s="810"/>
      <c r="O842" s="810"/>
      <c r="P842" s="811"/>
      <c r="Q842" s="810"/>
      <c r="R842" s="810"/>
      <c r="S842" s="810"/>
      <c r="T842" s="810"/>
      <c r="U842" s="810"/>
      <c r="V842" s="810"/>
      <c r="W842" s="810"/>
      <c r="X842" s="810"/>
      <c r="Y842" s="810"/>
      <c r="Z842" s="810"/>
    </row>
    <row r="843">
      <c r="A843" s="810"/>
      <c r="B843" s="810"/>
      <c r="C843" s="810"/>
      <c r="D843" s="810"/>
      <c r="E843" s="810"/>
      <c r="F843" s="810"/>
      <c r="G843" s="810"/>
      <c r="H843" s="810"/>
      <c r="I843" s="810"/>
      <c r="J843" s="810"/>
      <c r="K843" s="810"/>
      <c r="L843" s="810"/>
      <c r="M843" s="810"/>
      <c r="N843" s="810"/>
      <c r="O843" s="810"/>
      <c r="P843" s="811"/>
      <c r="Q843" s="810"/>
      <c r="R843" s="810"/>
      <c r="S843" s="810"/>
      <c r="T843" s="810"/>
      <c r="U843" s="810"/>
      <c r="V843" s="810"/>
      <c r="W843" s="810"/>
      <c r="X843" s="810"/>
      <c r="Y843" s="810"/>
      <c r="Z843" s="810"/>
    </row>
    <row r="844">
      <c r="A844" s="810"/>
      <c r="B844" s="810"/>
      <c r="C844" s="810"/>
      <c r="D844" s="810"/>
      <c r="E844" s="810"/>
      <c r="F844" s="810"/>
      <c r="G844" s="810"/>
      <c r="H844" s="810"/>
      <c r="I844" s="810"/>
      <c r="J844" s="810"/>
      <c r="K844" s="810"/>
      <c r="L844" s="810"/>
      <c r="M844" s="810"/>
      <c r="N844" s="810"/>
      <c r="O844" s="810"/>
      <c r="P844" s="811"/>
      <c r="Q844" s="810"/>
      <c r="R844" s="810"/>
      <c r="S844" s="810"/>
      <c r="T844" s="810"/>
      <c r="U844" s="810"/>
      <c r="V844" s="810"/>
      <c r="W844" s="810"/>
      <c r="X844" s="810"/>
      <c r="Y844" s="810"/>
      <c r="Z844" s="810"/>
    </row>
    <row r="845">
      <c r="A845" s="810"/>
      <c r="B845" s="810"/>
      <c r="C845" s="810"/>
      <c r="D845" s="810"/>
      <c r="E845" s="810"/>
      <c r="F845" s="810"/>
      <c r="G845" s="810"/>
      <c r="H845" s="810"/>
      <c r="I845" s="810"/>
      <c r="J845" s="810"/>
      <c r="K845" s="810"/>
      <c r="L845" s="810"/>
      <c r="M845" s="810"/>
      <c r="N845" s="810"/>
      <c r="O845" s="810"/>
      <c r="P845" s="811"/>
      <c r="Q845" s="810"/>
      <c r="R845" s="810"/>
      <c r="S845" s="810"/>
      <c r="T845" s="810"/>
      <c r="U845" s="810"/>
      <c r="V845" s="810"/>
      <c r="W845" s="810"/>
      <c r="X845" s="810"/>
      <c r="Y845" s="810"/>
      <c r="Z845" s="810"/>
    </row>
    <row r="846">
      <c r="A846" s="810"/>
      <c r="B846" s="810"/>
      <c r="C846" s="810"/>
      <c r="D846" s="810"/>
      <c r="E846" s="810"/>
      <c r="F846" s="810"/>
      <c r="G846" s="810"/>
      <c r="H846" s="810"/>
      <c r="I846" s="810"/>
      <c r="J846" s="810"/>
      <c r="K846" s="810"/>
      <c r="L846" s="810"/>
      <c r="M846" s="810"/>
      <c r="N846" s="810"/>
      <c r="O846" s="810"/>
      <c r="P846" s="811"/>
      <c r="Q846" s="810"/>
      <c r="R846" s="810"/>
      <c r="S846" s="810"/>
      <c r="T846" s="810"/>
      <c r="U846" s="810"/>
      <c r="V846" s="810"/>
      <c r="W846" s="810"/>
      <c r="X846" s="810"/>
      <c r="Y846" s="810"/>
      <c r="Z846" s="810"/>
    </row>
    <row r="847">
      <c r="A847" s="810"/>
      <c r="B847" s="810"/>
      <c r="C847" s="810"/>
      <c r="D847" s="810"/>
      <c r="E847" s="810"/>
      <c r="F847" s="810"/>
      <c r="G847" s="810"/>
      <c r="H847" s="810"/>
      <c r="I847" s="810"/>
      <c r="J847" s="810"/>
      <c r="K847" s="810"/>
      <c r="L847" s="810"/>
      <c r="M847" s="810"/>
      <c r="N847" s="810"/>
      <c r="O847" s="810"/>
      <c r="P847" s="811"/>
      <c r="Q847" s="810"/>
      <c r="R847" s="810"/>
      <c r="S847" s="810"/>
      <c r="T847" s="810"/>
      <c r="U847" s="810"/>
      <c r="V847" s="810"/>
      <c r="W847" s="810"/>
      <c r="X847" s="810"/>
      <c r="Y847" s="810"/>
      <c r="Z847" s="810"/>
    </row>
    <row r="848">
      <c r="A848" s="810"/>
      <c r="B848" s="810"/>
      <c r="C848" s="810"/>
      <c r="D848" s="810"/>
      <c r="E848" s="810"/>
      <c r="F848" s="810"/>
      <c r="G848" s="810"/>
      <c r="H848" s="810"/>
      <c r="I848" s="810"/>
      <c r="J848" s="810"/>
      <c r="K848" s="810"/>
      <c r="L848" s="810"/>
      <c r="M848" s="810"/>
      <c r="N848" s="810"/>
      <c r="O848" s="810"/>
      <c r="P848" s="811"/>
      <c r="Q848" s="810"/>
      <c r="R848" s="810"/>
      <c r="S848" s="810"/>
      <c r="T848" s="810"/>
      <c r="U848" s="810"/>
      <c r="V848" s="810"/>
      <c r="W848" s="810"/>
      <c r="X848" s="810"/>
      <c r="Y848" s="810"/>
      <c r="Z848" s="810"/>
    </row>
    <row r="849">
      <c r="A849" s="810"/>
      <c r="B849" s="810"/>
      <c r="C849" s="810"/>
      <c r="D849" s="810"/>
      <c r="E849" s="810"/>
      <c r="F849" s="810"/>
      <c r="G849" s="810"/>
      <c r="H849" s="810"/>
      <c r="I849" s="810"/>
      <c r="J849" s="810"/>
      <c r="K849" s="810"/>
      <c r="L849" s="810"/>
      <c r="M849" s="810"/>
      <c r="N849" s="810"/>
      <c r="O849" s="810"/>
      <c r="P849" s="811"/>
      <c r="Q849" s="810"/>
      <c r="R849" s="810"/>
      <c r="S849" s="810"/>
      <c r="T849" s="810"/>
      <c r="U849" s="810"/>
      <c r="V849" s="810"/>
      <c r="W849" s="810"/>
      <c r="X849" s="810"/>
      <c r="Y849" s="810"/>
      <c r="Z849" s="810"/>
    </row>
    <row r="850">
      <c r="A850" s="810"/>
      <c r="B850" s="810"/>
      <c r="C850" s="810"/>
      <c r="D850" s="810"/>
      <c r="E850" s="810"/>
      <c r="F850" s="810"/>
      <c r="G850" s="810"/>
      <c r="H850" s="810"/>
      <c r="I850" s="810"/>
      <c r="J850" s="810"/>
      <c r="K850" s="810"/>
      <c r="L850" s="810"/>
      <c r="M850" s="810"/>
      <c r="N850" s="810"/>
      <c r="O850" s="810"/>
      <c r="P850" s="811"/>
      <c r="Q850" s="810"/>
      <c r="R850" s="810"/>
      <c r="S850" s="810"/>
      <c r="T850" s="810"/>
      <c r="U850" s="810"/>
      <c r="V850" s="810"/>
      <c r="W850" s="810"/>
      <c r="X850" s="810"/>
      <c r="Y850" s="810"/>
      <c r="Z850" s="810"/>
    </row>
    <row r="851">
      <c r="A851" s="810"/>
      <c r="B851" s="810"/>
      <c r="C851" s="810"/>
      <c r="D851" s="810"/>
      <c r="E851" s="810"/>
      <c r="F851" s="810"/>
      <c r="G851" s="810"/>
      <c r="H851" s="810"/>
      <c r="I851" s="810"/>
      <c r="J851" s="810"/>
      <c r="K851" s="810"/>
      <c r="L851" s="810"/>
      <c r="M851" s="810"/>
      <c r="N851" s="810"/>
      <c r="O851" s="810"/>
      <c r="P851" s="811"/>
      <c r="Q851" s="810"/>
      <c r="R851" s="810"/>
      <c r="S851" s="810"/>
      <c r="T851" s="810"/>
      <c r="U851" s="810"/>
      <c r="V851" s="810"/>
      <c r="W851" s="810"/>
      <c r="X851" s="810"/>
      <c r="Y851" s="810"/>
      <c r="Z851" s="810"/>
    </row>
    <row r="852">
      <c r="A852" s="810"/>
      <c r="B852" s="810"/>
      <c r="C852" s="810"/>
      <c r="D852" s="810"/>
      <c r="E852" s="810"/>
      <c r="F852" s="810"/>
      <c r="G852" s="810"/>
      <c r="H852" s="810"/>
      <c r="I852" s="810"/>
      <c r="J852" s="810"/>
      <c r="K852" s="810"/>
      <c r="L852" s="810"/>
      <c r="M852" s="810"/>
      <c r="N852" s="810"/>
      <c r="O852" s="810"/>
      <c r="P852" s="811"/>
      <c r="Q852" s="810"/>
      <c r="R852" s="810"/>
      <c r="S852" s="810"/>
      <c r="T852" s="810"/>
      <c r="U852" s="810"/>
      <c r="V852" s="810"/>
      <c r="W852" s="810"/>
      <c r="X852" s="810"/>
      <c r="Y852" s="810"/>
      <c r="Z852" s="810"/>
    </row>
    <row r="853">
      <c r="A853" s="810"/>
      <c r="B853" s="810"/>
      <c r="C853" s="810"/>
      <c r="D853" s="810"/>
      <c r="E853" s="810"/>
      <c r="F853" s="810"/>
      <c r="G853" s="810"/>
      <c r="H853" s="810"/>
      <c r="I853" s="810"/>
      <c r="J853" s="810"/>
      <c r="K853" s="810"/>
      <c r="L853" s="810"/>
      <c r="M853" s="810"/>
      <c r="N853" s="810"/>
      <c r="O853" s="810"/>
      <c r="P853" s="811"/>
      <c r="Q853" s="810"/>
      <c r="R853" s="810"/>
      <c r="S853" s="810"/>
      <c r="T853" s="810"/>
      <c r="U853" s="810"/>
      <c r="V853" s="810"/>
      <c r="W853" s="810"/>
      <c r="X853" s="810"/>
      <c r="Y853" s="810"/>
      <c r="Z853" s="810"/>
    </row>
    <row r="854">
      <c r="A854" s="810"/>
      <c r="B854" s="810"/>
      <c r="C854" s="810"/>
      <c r="D854" s="810"/>
      <c r="E854" s="810"/>
      <c r="F854" s="810"/>
      <c r="G854" s="810"/>
      <c r="H854" s="810"/>
      <c r="I854" s="810"/>
      <c r="J854" s="810"/>
      <c r="K854" s="810"/>
      <c r="L854" s="810"/>
      <c r="M854" s="810"/>
      <c r="N854" s="810"/>
      <c r="O854" s="810"/>
      <c r="P854" s="811"/>
      <c r="Q854" s="810"/>
      <c r="R854" s="810"/>
      <c r="S854" s="810"/>
      <c r="T854" s="810"/>
      <c r="U854" s="810"/>
      <c r="V854" s="810"/>
      <c r="W854" s="810"/>
      <c r="X854" s="810"/>
      <c r="Y854" s="810"/>
      <c r="Z854" s="810"/>
    </row>
    <row r="855">
      <c r="A855" s="810"/>
      <c r="B855" s="810"/>
      <c r="C855" s="810"/>
      <c r="D855" s="810"/>
      <c r="E855" s="810"/>
      <c r="F855" s="810"/>
      <c r="G855" s="810"/>
      <c r="H855" s="810"/>
      <c r="I855" s="810"/>
      <c r="J855" s="810"/>
      <c r="K855" s="810"/>
      <c r="L855" s="810"/>
      <c r="M855" s="810"/>
      <c r="N855" s="810"/>
      <c r="O855" s="810"/>
      <c r="P855" s="811"/>
      <c r="Q855" s="810"/>
      <c r="R855" s="810"/>
      <c r="S855" s="810"/>
      <c r="T855" s="810"/>
      <c r="U855" s="810"/>
      <c r="V855" s="810"/>
      <c r="W855" s="810"/>
      <c r="X855" s="810"/>
      <c r="Y855" s="810"/>
      <c r="Z855" s="810"/>
    </row>
    <row r="856">
      <c r="A856" s="810"/>
      <c r="B856" s="810"/>
      <c r="C856" s="810"/>
      <c r="D856" s="810"/>
      <c r="E856" s="810"/>
      <c r="F856" s="810"/>
      <c r="G856" s="810"/>
      <c r="H856" s="810"/>
      <c r="I856" s="810"/>
      <c r="J856" s="810"/>
      <c r="K856" s="810"/>
      <c r="L856" s="810"/>
      <c r="M856" s="810"/>
      <c r="N856" s="810"/>
      <c r="O856" s="810"/>
      <c r="P856" s="811"/>
      <c r="Q856" s="810"/>
      <c r="R856" s="810"/>
      <c r="S856" s="810"/>
      <c r="T856" s="810"/>
      <c r="U856" s="810"/>
      <c r="V856" s="810"/>
      <c r="W856" s="810"/>
      <c r="X856" s="810"/>
      <c r="Y856" s="810"/>
      <c r="Z856" s="810"/>
    </row>
    <row r="857">
      <c r="A857" s="810"/>
      <c r="B857" s="810"/>
      <c r="C857" s="810"/>
      <c r="D857" s="810"/>
      <c r="E857" s="810"/>
      <c r="F857" s="810"/>
      <c r="G857" s="810"/>
      <c r="H857" s="810"/>
      <c r="I857" s="810"/>
      <c r="J857" s="810"/>
      <c r="K857" s="810"/>
      <c r="L857" s="810"/>
      <c r="M857" s="810"/>
      <c r="N857" s="810"/>
      <c r="O857" s="810"/>
      <c r="P857" s="811"/>
      <c r="Q857" s="810"/>
      <c r="R857" s="810"/>
      <c r="S857" s="810"/>
      <c r="T857" s="810"/>
      <c r="U857" s="810"/>
      <c r="V857" s="810"/>
      <c r="W857" s="810"/>
      <c r="X857" s="810"/>
      <c r="Y857" s="810"/>
      <c r="Z857" s="810"/>
    </row>
    <row r="858">
      <c r="A858" s="810"/>
      <c r="B858" s="810"/>
      <c r="C858" s="810"/>
      <c r="D858" s="810"/>
      <c r="E858" s="810"/>
      <c r="F858" s="810"/>
      <c r="G858" s="810"/>
      <c r="H858" s="810"/>
      <c r="I858" s="810"/>
      <c r="J858" s="810"/>
      <c r="K858" s="810"/>
      <c r="L858" s="810"/>
      <c r="M858" s="810"/>
      <c r="N858" s="810"/>
      <c r="O858" s="810"/>
      <c r="P858" s="811"/>
      <c r="Q858" s="810"/>
      <c r="R858" s="810"/>
      <c r="S858" s="810"/>
      <c r="T858" s="810"/>
      <c r="U858" s="810"/>
      <c r="V858" s="810"/>
      <c r="W858" s="810"/>
      <c r="X858" s="810"/>
      <c r="Y858" s="810"/>
      <c r="Z858" s="810"/>
    </row>
    <row r="859">
      <c r="A859" s="810"/>
      <c r="B859" s="810"/>
      <c r="C859" s="810"/>
      <c r="D859" s="810"/>
      <c r="E859" s="810"/>
      <c r="F859" s="810"/>
      <c r="G859" s="810"/>
      <c r="H859" s="810"/>
      <c r="I859" s="810"/>
      <c r="J859" s="810"/>
      <c r="K859" s="810"/>
      <c r="L859" s="810"/>
      <c r="M859" s="810"/>
      <c r="N859" s="810"/>
      <c r="O859" s="810"/>
      <c r="P859" s="811"/>
      <c r="Q859" s="810"/>
      <c r="R859" s="810"/>
      <c r="S859" s="810"/>
      <c r="T859" s="810"/>
      <c r="U859" s="810"/>
      <c r="V859" s="810"/>
      <c r="W859" s="810"/>
      <c r="X859" s="810"/>
      <c r="Y859" s="810"/>
      <c r="Z859" s="810"/>
    </row>
    <row r="860">
      <c r="A860" s="810"/>
      <c r="B860" s="810"/>
      <c r="C860" s="810"/>
      <c r="D860" s="810"/>
      <c r="E860" s="810"/>
      <c r="F860" s="810"/>
      <c r="G860" s="810"/>
      <c r="H860" s="810"/>
      <c r="I860" s="810"/>
      <c r="J860" s="810"/>
      <c r="K860" s="810"/>
      <c r="L860" s="810"/>
      <c r="M860" s="810"/>
      <c r="N860" s="810"/>
      <c r="O860" s="810"/>
      <c r="P860" s="811"/>
      <c r="Q860" s="810"/>
      <c r="R860" s="810"/>
      <c r="S860" s="810"/>
      <c r="T860" s="810"/>
      <c r="U860" s="810"/>
      <c r="V860" s="810"/>
      <c r="W860" s="810"/>
      <c r="X860" s="810"/>
      <c r="Y860" s="810"/>
      <c r="Z860" s="810"/>
    </row>
    <row r="861">
      <c r="A861" s="810"/>
      <c r="B861" s="810"/>
      <c r="C861" s="810"/>
      <c r="D861" s="810"/>
      <c r="E861" s="810"/>
      <c r="F861" s="810"/>
      <c r="G861" s="810"/>
      <c r="H861" s="810"/>
      <c r="I861" s="810"/>
      <c r="J861" s="810"/>
      <c r="K861" s="810"/>
      <c r="L861" s="810"/>
      <c r="M861" s="810"/>
      <c r="N861" s="810"/>
      <c r="O861" s="810"/>
      <c r="P861" s="811"/>
      <c r="Q861" s="810"/>
      <c r="R861" s="810"/>
      <c r="S861" s="810"/>
      <c r="T861" s="810"/>
      <c r="U861" s="810"/>
      <c r="V861" s="810"/>
      <c r="W861" s="810"/>
      <c r="X861" s="810"/>
      <c r="Y861" s="810"/>
      <c r="Z861" s="810"/>
    </row>
    <row r="862">
      <c r="A862" s="810"/>
      <c r="B862" s="810"/>
      <c r="C862" s="810"/>
      <c r="D862" s="810"/>
      <c r="E862" s="810"/>
      <c r="F862" s="810"/>
      <c r="G862" s="810"/>
      <c r="H862" s="810"/>
      <c r="I862" s="810"/>
      <c r="J862" s="810"/>
      <c r="K862" s="810"/>
      <c r="L862" s="810"/>
      <c r="M862" s="810"/>
      <c r="N862" s="810"/>
      <c r="O862" s="810"/>
      <c r="P862" s="811"/>
      <c r="Q862" s="810"/>
      <c r="R862" s="810"/>
      <c r="S862" s="810"/>
      <c r="T862" s="810"/>
      <c r="U862" s="810"/>
      <c r="V862" s="810"/>
      <c r="W862" s="810"/>
      <c r="X862" s="810"/>
      <c r="Y862" s="810"/>
      <c r="Z862" s="810"/>
    </row>
    <row r="863">
      <c r="A863" s="810"/>
      <c r="B863" s="810"/>
      <c r="C863" s="810"/>
      <c r="D863" s="810"/>
      <c r="E863" s="810"/>
      <c r="F863" s="810"/>
      <c r="G863" s="810"/>
      <c r="H863" s="810"/>
      <c r="I863" s="810"/>
      <c r="J863" s="810"/>
      <c r="K863" s="810"/>
      <c r="L863" s="810"/>
      <c r="M863" s="810"/>
      <c r="N863" s="810"/>
      <c r="O863" s="810"/>
      <c r="P863" s="811"/>
      <c r="Q863" s="810"/>
      <c r="R863" s="810"/>
      <c r="S863" s="810"/>
      <c r="T863" s="810"/>
      <c r="U863" s="810"/>
      <c r="V863" s="810"/>
      <c r="W863" s="810"/>
      <c r="X863" s="810"/>
      <c r="Y863" s="810"/>
      <c r="Z863" s="810"/>
    </row>
    <row r="864">
      <c r="A864" s="810"/>
      <c r="B864" s="810"/>
      <c r="C864" s="810"/>
      <c r="D864" s="810"/>
      <c r="E864" s="810"/>
      <c r="F864" s="810"/>
      <c r="G864" s="810"/>
      <c r="H864" s="810"/>
      <c r="I864" s="810"/>
      <c r="J864" s="810"/>
      <c r="K864" s="810"/>
      <c r="L864" s="810"/>
      <c r="M864" s="810"/>
      <c r="N864" s="810"/>
      <c r="O864" s="810"/>
      <c r="P864" s="811"/>
      <c r="Q864" s="810"/>
      <c r="R864" s="810"/>
      <c r="S864" s="810"/>
      <c r="T864" s="810"/>
      <c r="U864" s="810"/>
      <c r="V864" s="810"/>
      <c r="W864" s="810"/>
      <c r="X864" s="810"/>
      <c r="Y864" s="810"/>
      <c r="Z864" s="810"/>
    </row>
    <row r="865">
      <c r="A865" s="810"/>
      <c r="B865" s="810"/>
      <c r="C865" s="810"/>
      <c r="D865" s="810"/>
      <c r="E865" s="810"/>
      <c r="F865" s="810"/>
      <c r="G865" s="810"/>
      <c r="H865" s="810"/>
      <c r="I865" s="810"/>
      <c r="J865" s="810"/>
      <c r="K865" s="810"/>
      <c r="L865" s="810"/>
      <c r="M865" s="810"/>
      <c r="N865" s="810"/>
      <c r="O865" s="810"/>
      <c r="P865" s="811"/>
      <c r="Q865" s="810"/>
      <c r="R865" s="810"/>
      <c r="S865" s="810"/>
      <c r="T865" s="810"/>
      <c r="U865" s="810"/>
      <c r="V865" s="810"/>
      <c r="W865" s="810"/>
      <c r="X865" s="810"/>
      <c r="Y865" s="810"/>
      <c r="Z865" s="810"/>
    </row>
    <row r="866">
      <c r="A866" s="810"/>
      <c r="B866" s="810"/>
      <c r="C866" s="810"/>
      <c r="D866" s="810"/>
      <c r="E866" s="810"/>
      <c r="F866" s="810"/>
      <c r="G866" s="810"/>
      <c r="H866" s="810"/>
      <c r="I866" s="810"/>
      <c r="J866" s="810"/>
      <c r="K866" s="810"/>
      <c r="L866" s="810"/>
      <c r="M866" s="810"/>
      <c r="N866" s="810"/>
      <c r="O866" s="810"/>
      <c r="P866" s="811"/>
      <c r="Q866" s="810"/>
      <c r="R866" s="810"/>
      <c r="S866" s="810"/>
      <c r="T866" s="810"/>
      <c r="U866" s="810"/>
      <c r="V866" s="810"/>
      <c r="W866" s="810"/>
      <c r="X866" s="810"/>
      <c r="Y866" s="810"/>
      <c r="Z866" s="810"/>
    </row>
    <row r="867">
      <c r="A867" s="810"/>
      <c r="B867" s="810"/>
      <c r="C867" s="810"/>
      <c r="D867" s="810"/>
      <c r="E867" s="810"/>
      <c r="F867" s="810"/>
      <c r="G867" s="810"/>
      <c r="H867" s="810"/>
      <c r="I867" s="810"/>
      <c r="J867" s="810"/>
      <c r="K867" s="810"/>
      <c r="L867" s="810"/>
      <c r="M867" s="810"/>
      <c r="N867" s="810"/>
      <c r="O867" s="810"/>
      <c r="P867" s="811"/>
      <c r="Q867" s="810"/>
      <c r="R867" s="810"/>
      <c r="S867" s="810"/>
      <c r="T867" s="810"/>
      <c r="U867" s="810"/>
      <c r="V867" s="810"/>
      <c r="W867" s="810"/>
      <c r="X867" s="810"/>
      <c r="Y867" s="810"/>
      <c r="Z867" s="810"/>
    </row>
    <row r="868">
      <c r="A868" s="810"/>
      <c r="B868" s="810"/>
      <c r="C868" s="810"/>
      <c r="D868" s="810"/>
      <c r="E868" s="810"/>
      <c r="F868" s="810"/>
      <c r="G868" s="810"/>
      <c r="H868" s="810"/>
      <c r="I868" s="810"/>
      <c r="J868" s="810"/>
      <c r="K868" s="810"/>
      <c r="L868" s="810"/>
      <c r="M868" s="810"/>
      <c r="N868" s="810"/>
      <c r="O868" s="810"/>
      <c r="P868" s="811"/>
      <c r="Q868" s="810"/>
      <c r="R868" s="810"/>
      <c r="S868" s="810"/>
      <c r="T868" s="810"/>
      <c r="U868" s="810"/>
      <c r="V868" s="810"/>
      <c r="W868" s="810"/>
      <c r="X868" s="810"/>
      <c r="Y868" s="810"/>
      <c r="Z868" s="810"/>
    </row>
    <row r="869">
      <c r="A869" s="810"/>
      <c r="B869" s="810"/>
      <c r="C869" s="810"/>
      <c r="D869" s="810"/>
      <c r="E869" s="810"/>
      <c r="F869" s="810"/>
      <c r="G869" s="810"/>
      <c r="H869" s="810"/>
      <c r="I869" s="810"/>
      <c r="J869" s="810"/>
      <c r="K869" s="810"/>
      <c r="L869" s="810"/>
      <c r="M869" s="810"/>
      <c r="N869" s="810"/>
      <c r="O869" s="810"/>
      <c r="P869" s="811"/>
      <c r="Q869" s="810"/>
      <c r="R869" s="810"/>
      <c r="S869" s="810"/>
      <c r="T869" s="810"/>
      <c r="U869" s="810"/>
      <c r="V869" s="810"/>
      <c r="W869" s="810"/>
      <c r="X869" s="810"/>
      <c r="Y869" s="810"/>
      <c r="Z869" s="810"/>
    </row>
    <row r="870">
      <c r="A870" s="810"/>
      <c r="B870" s="810"/>
      <c r="C870" s="810"/>
      <c r="D870" s="810"/>
      <c r="E870" s="810"/>
      <c r="F870" s="810"/>
      <c r="G870" s="810"/>
      <c r="H870" s="810"/>
      <c r="I870" s="810"/>
      <c r="J870" s="810"/>
      <c r="K870" s="810"/>
      <c r="L870" s="810"/>
      <c r="M870" s="810"/>
      <c r="N870" s="810"/>
      <c r="O870" s="810"/>
      <c r="P870" s="811"/>
      <c r="Q870" s="810"/>
      <c r="R870" s="810"/>
      <c r="S870" s="810"/>
      <c r="T870" s="810"/>
      <c r="U870" s="810"/>
      <c r="V870" s="810"/>
      <c r="W870" s="810"/>
      <c r="X870" s="810"/>
      <c r="Y870" s="810"/>
      <c r="Z870" s="810"/>
    </row>
    <row r="871">
      <c r="A871" s="810"/>
      <c r="B871" s="810"/>
      <c r="C871" s="810"/>
      <c r="D871" s="810"/>
      <c r="E871" s="810"/>
      <c r="F871" s="810"/>
      <c r="G871" s="810"/>
      <c r="H871" s="810"/>
      <c r="I871" s="810"/>
      <c r="J871" s="810"/>
      <c r="K871" s="810"/>
      <c r="L871" s="810"/>
      <c r="M871" s="810"/>
      <c r="N871" s="810"/>
      <c r="O871" s="810"/>
      <c r="P871" s="811"/>
      <c r="Q871" s="810"/>
      <c r="R871" s="810"/>
      <c r="S871" s="810"/>
      <c r="T871" s="810"/>
      <c r="U871" s="810"/>
      <c r="V871" s="810"/>
      <c r="W871" s="810"/>
      <c r="X871" s="810"/>
      <c r="Y871" s="810"/>
      <c r="Z871" s="810"/>
    </row>
    <row r="872">
      <c r="A872" s="810"/>
      <c r="B872" s="810"/>
      <c r="C872" s="810"/>
      <c r="D872" s="810"/>
      <c r="E872" s="810"/>
      <c r="F872" s="810"/>
      <c r="G872" s="810"/>
      <c r="H872" s="810"/>
      <c r="I872" s="810"/>
      <c r="J872" s="810"/>
      <c r="K872" s="810"/>
      <c r="L872" s="810"/>
      <c r="M872" s="810"/>
      <c r="N872" s="810"/>
      <c r="O872" s="810"/>
      <c r="P872" s="811"/>
      <c r="Q872" s="810"/>
      <c r="R872" s="810"/>
      <c r="S872" s="810"/>
      <c r="T872" s="810"/>
      <c r="U872" s="810"/>
      <c r="V872" s="810"/>
      <c r="W872" s="810"/>
      <c r="X872" s="810"/>
      <c r="Y872" s="810"/>
      <c r="Z872" s="810"/>
    </row>
    <row r="873">
      <c r="A873" s="810"/>
      <c r="B873" s="810"/>
      <c r="C873" s="810"/>
      <c r="D873" s="810"/>
      <c r="E873" s="810"/>
      <c r="F873" s="810"/>
      <c r="G873" s="810"/>
      <c r="H873" s="810"/>
      <c r="I873" s="810"/>
      <c r="J873" s="810"/>
      <c r="K873" s="810"/>
      <c r="L873" s="810"/>
      <c r="M873" s="810"/>
      <c r="N873" s="810"/>
      <c r="O873" s="810"/>
      <c r="P873" s="811"/>
      <c r="Q873" s="810"/>
      <c r="R873" s="810"/>
      <c r="S873" s="810"/>
      <c r="T873" s="810"/>
      <c r="U873" s="810"/>
      <c r="V873" s="810"/>
      <c r="W873" s="810"/>
      <c r="X873" s="810"/>
      <c r="Y873" s="810"/>
      <c r="Z873" s="810"/>
    </row>
    <row r="874">
      <c r="A874" s="810"/>
      <c r="B874" s="810"/>
      <c r="C874" s="810"/>
      <c r="D874" s="810"/>
      <c r="E874" s="810"/>
      <c r="F874" s="810"/>
      <c r="G874" s="810"/>
      <c r="H874" s="810"/>
      <c r="I874" s="810"/>
      <c r="J874" s="810"/>
      <c r="K874" s="810"/>
      <c r="L874" s="810"/>
      <c r="M874" s="810"/>
      <c r="N874" s="810"/>
      <c r="O874" s="810"/>
      <c r="P874" s="811"/>
      <c r="Q874" s="810"/>
      <c r="R874" s="810"/>
      <c r="S874" s="810"/>
      <c r="T874" s="810"/>
      <c r="U874" s="810"/>
      <c r="V874" s="810"/>
      <c r="W874" s="810"/>
      <c r="X874" s="810"/>
      <c r="Y874" s="810"/>
      <c r="Z874" s="810"/>
    </row>
    <row r="875">
      <c r="A875" s="810"/>
      <c r="B875" s="810"/>
      <c r="C875" s="810"/>
      <c r="D875" s="810"/>
      <c r="E875" s="810"/>
      <c r="F875" s="810"/>
      <c r="G875" s="810"/>
      <c r="H875" s="810"/>
      <c r="I875" s="810"/>
      <c r="J875" s="810"/>
      <c r="K875" s="810"/>
      <c r="L875" s="810"/>
      <c r="M875" s="810"/>
      <c r="N875" s="810"/>
      <c r="O875" s="810"/>
      <c r="P875" s="811"/>
      <c r="Q875" s="810"/>
      <c r="R875" s="810"/>
      <c r="S875" s="810"/>
      <c r="T875" s="810"/>
      <c r="U875" s="810"/>
      <c r="V875" s="810"/>
      <c r="W875" s="810"/>
      <c r="X875" s="810"/>
      <c r="Y875" s="810"/>
      <c r="Z875" s="810"/>
    </row>
    <row r="876">
      <c r="A876" s="810"/>
      <c r="B876" s="810"/>
      <c r="C876" s="810"/>
      <c r="D876" s="810"/>
      <c r="E876" s="810"/>
      <c r="F876" s="810"/>
      <c r="G876" s="810"/>
      <c r="H876" s="810"/>
      <c r="I876" s="810"/>
      <c r="J876" s="810"/>
      <c r="K876" s="810"/>
      <c r="L876" s="810"/>
      <c r="M876" s="810"/>
      <c r="N876" s="810"/>
      <c r="O876" s="810"/>
      <c r="P876" s="811"/>
      <c r="Q876" s="810"/>
      <c r="R876" s="810"/>
      <c r="S876" s="810"/>
      <c r="T876" s="810"/>
      <c r="U876" s="810"/>
      <c r="V876" s="810"/>
      <c r="W876" s="810"/>
      <c r="X876" s="810"/>
      <c r="Y876" s="810"/>
      <c r="Z876" s="810"/>
    </row>
    <row r="877">
      <c r="A877" s="810"/>
      <c r="B877" s="810"/>
      <c r="C877" s="810"/>
      <c r="D877" s="810"/>
      <c r="E877" s="810"/>
      <c r="F877" s="810"/>
      <c r="G877" s="810"/>
      <c r="H877" s="810"/>
      <c r="I877" s="810"/>
      <c r="J877" s="810"/>
      <c r="K877" s="810"/>
      <c r="L877" s="810"/>
      <c r="M877" s="810"/>
      <c r="N877" s="810"/>
      <c r="O877" s="810"/>
      <c r="P877" s="811"/>
      <c r="Q877" s="810"/>
      <c r="R877" s="810"/>
      <c r="S877" s="810"/>
      <c r="T877" s="810"/>
      <c r="U877" s="810"/>
      <c r="V877" s="810"/>
      <c r="W877" s="810"/>
      <c r="X877" s="810"/>
      <c r="Y877" s="810"/>
      <c r="Z877" s="810"/>
    </row>
    <row r="878">
      <c r="A878" s="810"/>
      <c r="B878" s="810"/>
      <c r="C878" s="810"/>
      <c r="D878" s="810"/>
      <c r="E878" s="810"/>
      <c r="F878" s="810"/>
      <c r="G878" s="810"/>
      <c r="H878" s="810"/>
      <c r="I878" s="810"/>
      <c r="J878" s="810"/>
      <c r="K878" s="810"/>
      <c r="L878" s="810"/>
      <c r="M878" s="810"/>
      <c r="N878" s="810"/>
      <c r="O878" s="810"/>
      <c r="P878" s="811"/>
      <c r="Q878" s="810"/>
      <c r="R878" s="810"/>
      <c r="S878" s="810"/>
      <c r="T878" s="810"/>
      <c r="U878" s="810"/>
      <c r="V878" s="810"/>
      <c r="W878" s="810"/>
      <c r="X878" s="810"/>
      <c r="Y878" s="810"/>
      <c r="Z878" s="810"/>
    </row>
    <row r="879">
      <c r="A879" s="810"/>
      <c r="B879" s="810"/>
      <c r="C879" s="810"/>
      <c r="D879" s="810"/>
      <c r="E879" s="810"/>
      <c r="F879" s="810"/>
      <c r="G879" s="810"/>
      <c r="H879" s="810"/>
      <c r="I879" s="810"/>
      <c r="J879" s="810"/>
      <c r="K879" s="810"/>
      <c r="L879" s="810"/>
      <c r="M879" s="810"/>
      <c r="N879" s="810"/>
      <c r="O879" s="810"/>
      <c r="P879" s="811"/>
      <c r="Q879" s="810"/>
      <c r="R879" s="810"/>
      <c r="S879" s="810"/>
      <c r="T879" s="810"/>
      <c r="U879" s="810"/>
      <c r="V879" s="810"/>
      <c r="W879" s="810"/>
      <c r="X879" s="810"/>
      <c r="Y879" s="810"/>
      <c r="Z879" s="810"/>
    </row>
    <row r="880">
      <c r="A880" s="810"/>
      <c r="B880" s="810"/>
      <c r="C880" s="810"/>
      <c r="D880" s="810"/>
      <c r="E880" s="810"/>
      <c r="F880" s="810"/>
      <c r="G880" s="810"/>
      <c r="H880" s="810"/>
      <c r="I880" s="810"/>
      <c r="J880" s="810"/>
      <c r="K880" s="810"/>
      <c r="L880" s="810"/>
      <c r="M880" s="810"/>
      <c r="N880" s="810"/>
      <c r="O880" s="810"/>
      <c r="P880" s="811"/>
      <c r="Q880" s="810"/>
      <c r="R880" s="810"/>
      <c r="S880" s="810"/>
      <c r="T880" s="810"/>
      <c r="U880" s="810"/>
      <c r="V880" s="810"/>
      <c r="W880" s="810"/>
      <c r="X880" s="810"/>
      <c r="Y880" s="810"/>
      <c r="Z880" s="810"/>
    </row>
    <row r="881">
      <c r="A881" s="810"/>
      <c r="B881" s="810"/>
      <c r="C881" s="810"/>
      <c r="D881" s="810"/>
      <c r="E881" s="810"/>
      <c r="F881" s="810"/>
      <c r="G881" s="810"/>
      <c r="H881" s="810"/>
      <c r="I881" s="810"/>
      <c r="J881" s="810"/>
      <c r="K881" s="810"/>
      <c r="L881" s="810"/>
      <c r="M881" s="810"/>
      <c r="N881" s="810"/>
      <c r="O881" s="810"/>
      <c r="P881" s="811"/>
      <c r="Q881" s="810"/>
      <c r="R881" s="810"/>
      <c r="S881" s="810"/>
      <c r="T881" s="810"/>
      <c r="U881" s="810"/>
      <c r="V881" s="810"/>
      <c r="W881" s="810"/>
      <c r="X881" s="810"/>
      <c r="Y881" s="810"/>
      <c r="Z881" s="810"/>
    </row>
    <row r="882">
      <c r="A882" s="810"/>
      <c r="B882" s="810"/>
      <c r="C882" s="810"/>
      <c r="D882" s="810"/>
      <c r="E882" s="810"/>
      <c r="F882" s="810"/>
      <c r="G882" s="810"/>
      <c r="H882" s="810"/>
      <c r="I882" s="810"/>
      <c r="J882" s="810"/>
      <c r="K882" s="810"/>
      <c r="L882" s="810"/>
      <c r="M882" s="810"/>
      <c r="N882" s="810"/>
      <c r="O882" s="810"/>
      <c r="P882" s="811"/>
      <c r="Q882" s="810"/>
      <c r="R882" s="810"/>
      <c r="S882" s="810"/>
      <c r="T882" s="810"/>
      <c r="U882" s="810"/>
      <c r="V882" s="810"/>
      <c r="W882" s="810"/>
      <c r="X882" s="810"/>
      <c r="Y882" s="810"/>
      <c r="Z882" s="810"/>
    </row>
    <row r="883">
      <c r="A883" s="810"/>
      <c r="B883" s="810"/>
      <c r="C883" s="810"/>
      <c r="D883" s="810"/>
      <c r="E883" s="810"/>
      <c r="F883" s="810"/>
      <c r="G883" s="810"/>
      <c r="H883" s="810"/>
      <c r="I883" s="810"/>
      <c r="J883" s="810"/>
      <c r="K883" s="810"/>
      <c r="L883" s="810"/>
      <c r="M883" s="810"/>
      <c r="N883" s="810"/>
      <c r="O883" s="810"/>
      <c r="P883" s="811"/>
      <c r="Q883" s="810"/>
      <c r="R883" s="810"/>
      <c r="S883" s="810"/>
      <c r="T883" s="810"/>
      <c r="U883" s="810"/>
      <c r="V883" s="810"/>
      <c r="W883" s="810"/>
      <c r="X883" s="810"/>
      <c r="Y883" s="810"/>
      <c r="Z883" s="810"/>
    </row>
    <row r="884">
      <c r="A884" s="810"/>
      <c r="B884" s="810"/>
      <c r="C884" s="810"/>
      <c r="D884" s="810"/>
      <c r="E884" s="810"/>
      <c r="F884" s="810"/>
      <c r="G884" s="810"/>
      <c r="H884" s="810"/>
      <c r="I884" s="810"/>
      <c r="J884" s="810"/>
      <c r="K884" s="810"/>
      <c r="L884" s="810"/>
      <c r="M884" s="810"/>
      <c r="N884" s="810"/>
      <c r="O884" s="810"/>
      <c r="P884" s="811"/>
      <c r="Q884" s="810"/>
      <c r="R884" s="810"/>
      <c r="S884" s="810"/>
      <c r="T884" s="810"/>
      <c r="U884" s="810"/>
      <c r="V884" s="810"/>
      <c r="W884" s="810"/>
      <c r="X884" s="810"/>
      <c r="Y884" s="810"/>
      <c r="Z884" s="810"/>
    </row>
    <row r="885">
      <c r="A885" s="810"/>
      <c r="B885" s="810"/>
      <c r="C885" s="810"/>
      <c r="D885" s="810"/>
      <c r="E885" s="810"/>
      <c r="F885" s="810"/>
      <c r="G885" s="810"/>
      <c r="H885" s="810"/>
      <c r="I885" s="810"/>
      <c r="J885" s="810"/>
      <c r="K885" s="810"/>
      <c r="L885" s="810"/>
      <c r="M885" s="810"/>
      <c r="N885" s="810"/>
      <c r="O885" s="810"/>
      <c r="P885" s="811"/>
      <c r="Q885" s="810"/>
      <c r="R885" s="810"/>
      <c r="S885" s="810"/>
      <c r="T885" s="810"/>
      <c r="U885" s="810"/>
      <c r="V885" s="810"/>
      <c r="W885" s="810"/>
      <c r="X885" s="810"/>
      <c r="Y885" s="810"/>
      <c r="Z885" s="810"/>
    </row>
    <row r="886">
      <c r="A886" s="810"/>
      <c r="B886" s="810"/>
      <c r="C886" s="810"/>
      <c r="D886" s="810"/>
      <c r="E886" s="810"/>
      <c r="F886" s="810"/>
      <c r="G886" s="810"/>
      <c r="H886" s="810"/>
      <c r="I886" s="810"/>
      <c r="J886" s="810"/>
      <c r="K886" s="810"/>
      <c r="L886" s="810"/>
      <c r="M886" s="810"/>
      <c r="N886" s="810"/>
      <c r="O886" s="810"/>
      <c r="P886" s="811"/>
      <c r="Q886" s="810"/>
      <c r="R886" s="810"/>
      <c r="S886" s="810"/>
      <c r="T886" s="810"/>
      <c r="U886" s="810"/>
      <c r="V886" s="810"/>
      <c r="W886" s="810"/>
      <c r="X886" s="810"/>
      <c r="Y886" s="810"/>
      <c r="Z886" s="810"/>
    </row>
    <row r="887">
      <c r="A887" s="810"/>
      <c r="B887" s="810"/>
      <c r="C887" s="810"/>
      <c r="D887" s="810"/>
      <c r="E887" s="810"/>
      <c r="F887" s="810"/>
      <c r="G887" s="810"/>
      <c r="H887" s="810"/>
      <c r="I887" s="810"/>
      <c r="J887" s="810"/>
      <c r="K887" s="810"/>
      <c r="L887" s="810"/>
      <c r="M887" s="810"/>
      <c r="N887" s="810"/>
      <c r="O887" s="810"/>
      <c r="P887" s="811"/>
      <c r="Q887" s="810"/>
      <c r="R887" s="810"/>
      <c r="S887" s="810"/>
      <c r="T887" s="810"/>
      <c r="U887" s="810"/>
      <c r="V887" s="810"/>
      <c r="W887" s="810"/>
      <c r="X887" s="810"/>
      <c r="Y887" s="810"/>
      <c r="Z887" s="810"/>
    </row>
    <row r="888">
      <c r="A888" s="810"/>
      <c r="B888" s="810"/>
      <c r="C888" s="810"/>
      <c r="D888" s="810"/>
      <c r="E888" s="810"/>
      <c r="F888" s="810"/>
      <c r="G888" s="810"/>
      <c r="H888" s="810"/>
      <c r="I888" s="810"/>
      <c r="J888" s="810"/>
      <c r="K888" s="810"/>
      <c r="L888" s="810"/>
      <c r="M888" s="810"/>
      <c r="N888" s="810"/>
      <c r="O888" s="810"/>
      <c r="P888" s="811"/>
      <c r="Q888" s="810"/>
      <c r="R888" s="810"/>
      <c r="S888" s="810"/>
      <c r="T888" s="810"/>
      <c r="U888" s="810"/>
      <c r="V888" s="810"/>
      <c r="W888" s="810"/>
      <c r="X888" s="810"/>
      <c r="Y888" s="810"/>
      <c r="Z888" s="810"/>
    </row>
    <row r="889">
      <c r="A889" s="810"/>
      <c r="B889" s="810"/>
      <c r="C889" s="810"/>
      <c r="D889" s="810"/>
      <c r="E889" s="810"/>
      <c r="F889" s="810"/>
      <c r="G889" s="810"/>
      <c r="H889" s="810"/>
      <c r="I889" s="810"/>
      <c r="J889" s="810"/>
      <c r="K889" s="810"/>
      <c r="L889" s="810"/>
      <c r="M889" s="810"/>
      <c r="N889" s="810"/>
      <c r="O889" s="810"/>
      <c r="P889" s="811"/>
      <c r="Q889" s="810"/>
      <c r="R889" s="810"/>
      <c r="S889" s="810"/>
      <c r="T889" s="810"/>
      <c r="U889" s="810"/>
      <c r="V889" s="810"/>
      <c r="W889" s="810"/>
      <c r="X889" s="810"/>
      <c r="Y889" s="810"/>
      <c r="Z889" s="810"/>
    </row>
    <row r="890">
      <c r="A890" s="810"/>
      <c r="B890" s="810"/>
      <c r="C890" s="810"/>
      <c r="D890" s="810"/>
      <c r="E890" s="810"/>
      <c r="F890" s="810"/>
      <c r="G890" s="810"/>
      <c r="H890" s="810"/>
      <c r="I890" s="810"/>
      <c r="J890" s="810"/>
      <c r="K890" s="810"/>
      <c r="L890" s="810"/>
      <c r="M890" s="810"/>
      <c r="N890" s="810"/>
      <c r="O890" s="810"/>
      <c r="P890" s="811"/>
      <c r="Q890" s="810"/>
      <c r="R890" s="810"/>
      <c r="S890" s="810"/>
      <c r="T890" s="810"/>
      <c r="U890" s="810"/>
      <c r="V890" s="810"/>
      <c r="W890" s="810"/>
      <c r="X890" s="810"/>
      <c r="Y890" s="810"/>
      <c r="Z890" s="810"/>
    </row>
    <row r="891">
      <c r="A891" s="810"/>
      <c r="B891" s="810"/>
      <c r="C891" s="810"/>
      <c r="D891" s="810"/>
      <c r="E891" s="810"/>
      <c r="F891" s="810"/>
      <c r="G891" s="810"/>
      <c r="H891" s="810"/>
      <c r="I891" s="810"/>
      <c r="J891" s="810"/>
      <c r="K891" s="810"/>
      <c r="L891" s="810"/>
      <c r="M891" s="810"/>
      <c r="N891" s="810"/>
      <c r="O891" s="810"/>
      <c r="P891" s="811"/>
      <c r="Q891" s="810"/>
      <c r="R891" s="810"/>
      <c r="S891" s="810"/>
      <c r="T891" s="810"/>
      <c r="U891" s="810"/>
      <c r="V891" s="810"/>
      <c r="W891" s="810"/>
      <c r="X891" s="810"/>
      <c r="Y891" s="810"/>
      <c r="Z891" s="810"/>
    </row>
    <row r="892">
      <c r="A892" s="810"/>
      <c r="B892" s="810"/>
      <c r="C892" s="810"/>
      <c r="D892" s="810"/>
      <c r="E892" s="810"/>
      <c r="F892" s="810"/>
      <c r="G892" s="810"/>
      <c r="H892" s="810"/>
      <c r="I892" s="810"/>
      <c r="J892" s="810"/>
      <c r="K892" s="810"/>
      <c r="L892" s="810"/>
      <c r="M892" s="810"/>
      <c r="N892" s="810"/>
      <c r="O892" s="810"/>
      <c r="P892" s="811"/>
      <c r="Q892" s="810"/>
      <c r="R892" s="810"/>
      <c r="S892" s="810"/>
      <c r="T892" s="810"/>
      <c r="U892" s="810"/>
      <c r="V892" s="810"/>
      <c r="W892" s="810"/>
      <c r="X892" s="810"/>
      <c r="Y892" s="810"/>
      <c r="Z892" s="810"/>
    </row>
    <row r="893">
      <c r="A893" s="810"/>
      <c r="B893" s="810"/>
      <c r="C893" s="810"/>
      <c r="D893" s="810"/>
      <c r="E893" s="810"/>
      <c r="F893" s="810"/>
      <c r="G893" s="810"/>
      <c r="H893" s="810"/>
      <c r="I893" s="810"/>
      <c r="J893" s="810"/>
      <c r="K893" s="810"/>
      <c r="L893" s="810"/>
      <c r="M893" s="810"/>
      <c r="N893" s="810"/>
      <c r="O893" s="810"/>
      <c r="P893" s="811"/>
      <c r="Q893" s="810"/>
      <c r="R893" s="810"/>
      <c r="S893" s="810"/>
      <c r="T893" s="810"/>
      <c r="U893" s="810"/>
      <c r="V893" s="810"/>
      <c r="W893" s="810"/>
      <c r="X893" s="810"/>
      <c r="Y893" s="810"/>
      <c r="Z893" s="810"/>
    </row>
    <row r="894">
      <c r="A894" s="810"/>
      <c r="B894" s="810"/>
      <c r="C894" s="810"/>
      <c r="D894" s="810"/>
      <c r="E894" s="810"/>
      <c r="F894" s="810"/>
      <c r="G894" s="810"/>
      <c r="H894" s="810"/>
      <c r="I894" s="810"/>
      <c r="J894" s="810"/>
      <c r="K894" s="810"/>
      <c r="L894" s="810"/>
      <c r="M894" s="810"/>
      <c r="N894" s="810"/>
      <c r="O894" s="810"/>
      <c r="P894" s="811"/>
      <c r="Q894" s="810"/>
      <c r="R894" s="810"/>
      <c r="S894" s="810"/>
      <c r="T894" s="810"/>
      <c r="U894" s="810"/>
      <c r="V894" s="810"/>
      <c r="W894" s="810"/>
      <c r="X894" s="810"/>
      <c r="Y894" s="810"/>
      <c r="Z894" s="810"/>
    </row>
    <row r="895">
      <c r="A895" s="810"/>
      <c r="B895" s="810"/>
      <c r="C895" s="810"/>
      <c r="D895" s="810"/>
      <c r="E895" s="810"/>
      <c r="F895" s="810"/>
      <c r="G895" s="810"/>
      <c r="H895" s="810"/>
      <c r="I895" s="810"/>
      <c r="J895" s="810"/>
      <c r="K895" s="810"/>
      <c r="L895" s="810"/>
      <c r="M895" s="810"/>
      <c r="N895" s="810"/>
      <c r="O895" s="810"/>
      <c r="P895" s="811"/>
      <c r="Q895" s="810"/>
      <c r="R895" s="810"/>
      <c r="S895" s="810"/>
      <c r="T895" s="810"/>
      <c r="U895" s="810"/>
      <c r="V895" s="810"/>
      <c r="W895" s="810"/>
      <c r="X895" s="810"/>
      <c r="Y895" s="810"/>
      <c r="Z895" s="810"/>
    </row>
    <row r="896">
      <c r="A896" s="810"/>
      <c r="B896" s="810"/>
      <c r="C896" s="810"/>
      <c r="D896" s="810"/>
      <c r="E896" s="810"/>
      <c r="F896" s="810"/>
      <c r="G896" s="810"/>
      <c r="H896" s="810"/>
      <c r="I896" s="810"/>
      <c r="J896" s="810"/>
      <c r="K896" s="810"/>
      <c r="L896" s="810"/>
      <c r="M896" s="810"/>
      <c r="N896" s="810"/>
      <c r="O896" s="810"/>
      <c r="P896" s="811"/>
      <c r="Q896" s="810"/>
      <c r="R896" s="810"/>
      <c r="S896" s="810"/>
      <c r="T896" s="810"/>
      <c r="U896" s="810"/>
      <c r="V896" s="810"/>
      <c r="W896" s="810"/>
      <c r="X896" s="810"/>
      <c r="Y896" s="810"/>
      <c r="Z896" s="810"/>
    </row>
    <row r="897">
      <c r="A897" s="810"/>
      <c r="B897" s="810"/>
      <c r="C897" s="810"/>
      <c r="D897" s="810"/>
      <c r="E897" s="810"/>
      <c r="F897" s="810"/>
      <c r="G897" s="810"/>
      <c r="H897" s="810"/>
      <c r="I897" s="810"/>
      <c r="J897" s="810"/>
      <c r="K897" s="810"/>
      <c r="L897" s="810"/>
      <c r="M897" s="810"/>
      <c r="N897" s="810"/>
      <c r="O897" s="810"/>
      <c r="P897" s="811"/>
      <c r="Q897" s="810"/>
      <c r="R897" s="810"/>
      <c r="S897" s="810"/>
      <c r="T897" s="810"/>
      <c r="U897" s="810"/>
      <c r="V897" s="810"/>
      <c r="W897" s="810"/>
      <c r="X897" s="810"/>
      <c r="Y897" s="810"/>
      <c r="Z897" s="810"/>
    </row>
    <row r="898">
      <c r="A898" s="810"/>
      <c r="B898" s="810"/>
      <c r="C898" s="810"/>
      <c r="D898" s="810"/>
      <c r="E898" s="810"/>
      <c r="F898" s="810"/>
      <c r="G898" s="810"/>
      <c r="H898" s="810"/>
      <c r="I898" s="810"/>
      <c r="J898" s="810"/>
      <c r="K898" s="810"/>
      <c r="L898" s="810"/>
      <c r="M898" s="810"/>
      <c r="N898" s="810"/>
      <c r="O898" s="810"/>
      <c r="P898" s="811"/>
      <c r="Q898" s="810"/>
      <c r="R898" s="810"/>
      <c r="S898" s="810"/>
      <c r="T898" s="810"/>
      <c r="U898" s="810"/>
      <c r="V898" s="810"/>
      <c r="W898" s="810"/>
      <c r="X898" s="810"/>
      <c r="Y898" s="810"/>
      <c r="Z898" s="810"/>
    </row>
    <row r="899">
      <c r="A899" s="810"/>
      <c r="B899" s="810"/>
      <c r="C899" s="810"/>
      <c r="D899" s="810"/>
      <c r="E899" s="810"/>
      <c r="F899" s="810"/>
      <c r="G899" s="810"/>
      <c r="H899" s="810"/>
      <c r="I899" s="810"/>
      <c r="J899" s="810"/>
      <c r="K899" s="810"/>
      <c r="L899" s="810"/>
      <c r="M899" s="810"/>
      <c r="N899" s="810"/>
      <c r="O899" s="810"/>
      <c r="P899" s="811"/>
      <c r="Q899" s="810"/>
      <c r="R899" s="810"/>
      <c r="S899" s="810"/>
      <c r="T899" s="810"/>
      <c r="U899" s="810"/>
      <c r="V899" s="810"/>
      <c r="W899" s="810"/>
      <c r="X899" s="810"/>
      <c r="Y899" s="810"/>
      <c r="Z899" s="810"/>
    </row>
    <row r="900">
      <c r="A900" s="810"/>
      <c r="B900" s="810"/>
      <c r="C900" s="810"/>
      <c r="D900" s="810"/>
      <c r="E900" s="810"/>
      <c r="F900" s="810"/>
      <c r="G900" s="810"/>
      <c r="H900" s="810"/>
      <c r="I900" s="810"/>
      <c r="J900" s="810"/>
      <c r="K900" s="810"/>
      <c r="L900" s="810"/>
      <c r="M900" s="810"/>
      <c r="N900" s="810"/>
      <c r="O900" s="810"/>
      <c r="P900" s="811"/>
      <c r="Q900" s="810"/>
      <c r="R900" s="810"/>
      <c r="S900" s="810"/>
      <c r="T900" s="810"/>
      <c r="U900" s="810"/>
      <c r="V900" s="810"/>
      <c r="W900" s="810"/>
      <c r="X900" s="810"/>
      <c r="Y900" s="810"/>
      <c r="Z900" s="810"/>
    </row>
    <row r="901">
      <c r="A901" s="810"/>
      <c r="B901" s="810"/>
      <c r="C901" s="810"/>
      <c r="D901" s="810"/>
      <c r="E901" s="810"/>
      <c r="F901" s="810"/>
      <c r="G901" s="810"/>
      <c r="H901" s="810"/>
      <c r="I901" s="810"/>
      <c r="J901" s="810"/>
      <c r="K901" s="810"/>
      <c r="L901" s="810"/>
      <c r="M901" s="810"/>
      <c r="N901" s="810"/>
      <c r="O901" s="810"/>
      <c r="P901" s="811"/>
      <c r="Q901" s="810"/>
      <c r="R901" s="810"/>
      <c r="S901" s="810"/>
      <c r="T901" s="810"/>
      <c r="U901" s="810"/>
      <c r="V901" s="810"/>
      <c r="W901" s="810"/>
      <c r="X901" s="810"/>
      <c r="Y901" s="810"/>
      <c r="Z901" s="810"/>
    </row>
    <row r="902">
      <c r="A902" s="810"/>
      <c r="B902" s="810"/>
      <c r="C902" s="810"/>
      <c r="D902" s="810"/>
      <c r="E902" s="810"/>
      <c r="F902" s="810"/>
      <c r="G902" s="810"/>
      <c r="H902" s="810"/>
      <c r="I902" s="810"/>
      <c r="J902" s="810"/>
      <c r="K902" s="810"/>
      <c r="L902" s="810"/>
      <c r="M902" s="810"/>
      <c r="N902" s="810"/>
      <c r="O902" s="810"/>
      <c r="P902" s="811"/>
      <c r="Q902" s="810"/>
      <c r="R902" s="810"/>
      <c r="S902" s="810"/>
      <c r="T902" s="810"/>
      <c r="U902" s="810"/>
      <c r="V902" s="810"/>
      <c r="W902" s="810"/>
      <c r="X902" s="810"/>
      <c r="Y902" s="810"/>
      <c r="Z902" s="810"/>
    </row>
    <row r="903">
      <c r="A903" s="810"/>
      <c r="B903" s="810"/>
      <c r="C903" s="810"/>
      <c r="D903" s="810"/>
      <c r="E903" s="810"/>
      <c r="F903" s="810"/>
      <c r="G903" s="810"/>
      <c r="H903" s="810"/>
      <c r="I903" s="810"/>
      <c r="J903" s="810"/>
      <c r="K903" s="810"/>
      <c r="L903" s="810"/>
      <c r="M903" s="810"/>
      <c r="N903" s="810"/>
      <c r="O903" s="810"/>
      <c r="P903" s="811"/>
      <c r="Q903" s="810"/>
      <c r="R903" s="810"/>
      <c r="S903" s="810"/>
      <c r="T903" s="810"/>
      <c r="U903" s="810"/>
      <c r="V903" s="810"/>
      <c r="W903" s="810"/>
      <c r="X903" s="810"/>
      <c r="Y903" s="810"/>
      <c r="Z903" s="810"/>
    </row>
    <row r="904">
      <c r="A904" s="810"/>
      <c r="B904" s="810"/>
      <c r="C904" s="810"/>
      <c r="D904" s="810"/>
      <c r="E904" s="810"/>
      <c r="F904" s="810"/>
      <c r="G904" s="810"/>
      <c r="H904" s="810"/>
      <c r="I904" s="810"/>
      <c r="J904" s="810"/>
      <c r="K904" s="810"/>
      <c r="L904" s="810"/>
      <c r="M904" s="810"/>
      <c r="N904" s="810"/>
      <c r="O904" s="810"/>
      <c r="P904" s="811"/>
      <c r="Q904" s="810"/>
      <c r="R904" s="810"/>
      <c r="S904" s="810"/>
      <c r="T904" s="810"/>
      <c r="U904" s="810"/>
      <c r="V904" s="810"/>
      <c r="W904" s="810"/>
      <c r="X904" s="810"/>
      <c r="Y904" s="810"/>
      <c r="Z904" s="810"/>
    </row>
    <row r="905">
      <c r="A905" s="810"/>
      <c r="B905" s="810"/>
      <c r="C905" s="810"/>
      <c r="D905" s="810"/>
      <c r="E905" s="810"/>
      <c r="F905" s="810"/>
      <c r="G905" s="810"/>
      <c r="H905" s="810"/>
      <c r="I905" s="810"/>
      <c r="J905" s="810"/>
      <c r="K905" s="810"/>
      <c r="L905" s="810"/>
      <c r="M905" s="810"/>
      <c r="N905" s="810"/>
      <c r="O905" s="810"/>
      <c r="P905" s="811"/>
      <c r="Q905" s="810"/>
      <c r="R905" s="810"/>
      <c r="S905" s="810"/>
      <c r="T905" s="810"/>
      <c r="U905" s="810"/>
      <c r="V905" s="810"/>
      <c r="W905" s="810"/>
      <c r="X905" s="810"/>
      <c r="Y905" s="810"/>
      <c r="Z905" s="810"/>
    </row>
    <row r="906">
      <c r="A906" s="810"/>
      <c r="B906" s="810"/>
      <c r="C906" s="810"/>
      <c r="D906" s="810"/>
      <c r="E906" s="810"/>
      <c r="F906" s="810"/>
      <c r="G906" s="810"/>
      <c r="H906" s="810"/>
      <c r="I906" s="810"/>
      <c r="J906" s="810"/>
      <c r="K906" s="810"/>
      <c r="L906" s="810"/>
      <c r="M906" s="810"/>
      <c r="N906" s="810"/>
      <c r="O906" s="810"/>
      <c r="P906" s="811"/>
      <c r="Q906" s="810"/>
      <c r="R906" s="810"/>
      <c r="S906" s="810"/>
      <c r="T906" s="810"/>
      <c r="U906" s="810"/>
      <c r="V906" s="810"/>
      <c r="W906" s="810"/>
      <c r="X906" s="810"/>
      <c r="Y906" s="810"/>
      <c r="Z906" s="810"/>
    </row>
    <row r="907">
      <c r="A907" s="810"/>
      <c r="B907" s="810"/>
      <c r="C907" s="810"/>
      <c r="D907" s="810"/>
      <c r="E907" s="810"/>
      <c r="F907" s="810"/>
      <c r="G907" s="810"/>
      <c r="H907" s="810"/>
      <c r="I907" s="810"/>
      <c r="J907" s="810"/>
      <c r="K907" s="810"/>
      <c r="L907" s="810"/>
      <c r="M907" s="810"/>
      <c r="N907" s="810"/>
      <c r="O907" s="810"/>
      <c r="P907" s="811"/>
      <c r="Q907" s="810"/>
      <c r="R907" s="810"/>
      <c r="S907" s="810"/>
      <c r="T907" s="810"/>
      <c r="U907" s="810"/>
      <c r="V907" s="810"/>
      <c r="W907" s="810"/>
      <c r="X907" s="810"/>
      <c r="Y907" s="810"/>
      <c r="Z907" s="810"/>
    </row>
    <row r="908">
      <c r="A908" s="810"/>
      <c r="B908" s="810"/>
      <c r="C908" s="810"/>
      <c r="D908" s="810"/>
      <c r="E908" s="810"/>
      <c r="F908" s="810"/>
      <c r="G908" s="810"/>
      <c r="H908" s="810"/>
      <c r="I908" s="810"/>
      <c r="J908" s="810"/>
      <c r="K908" s="810"/>
      <c r="L908" s="810"/>
      <c r="M908" s="810"/>
      <c r="N908" s="810"/>
      <c r="O908" s="810"/>
      <c r="P908" s="811"/>
      <c r="Q908" s="810"/>
      <c r="R908" s="810"/>
      <c r="S908" s="810"/>
      <c r="T908" s="810"/>
      <c r="U908" s="810"/>
      <c r="V908" s="810"/>
      <c r="W908" s="810"/>
      <c r="X908" s="810"/>
      <c r="Y908" s="810"/>
      <c r="Z908" s="810"/>
    </row>
    <row r="909">
      <c r="A909" s="810"/>
      <c r="B909" s="810"/>
      <c r="C909" s="810"/>
      <c r="D909" s="810"/>
      <c r="E909" s="810"/>
      <c r="F909" s="810"/>
      <c r="G909" s="810"/>
      <c r="H909" s="810"/>
      <c r="I909" s="810"/>
      <c r="J909" s="810"/>
      <c r="K909" s="810"/>
      <c r="L909" s="810"/>
      <c r="M909" s="810"/>
      <c r="N909" s="810"/>
      <c r="O909" s="810"/>
      <c r="P909" s="811"/>
      <c r="Q909" s="810"/>
      <c r="R909" s="810"/>
      <c r="S909" s="810"/>
      <c r="T909" s="810"/>
      <c r="U909" s="810"/>
      <c r="V909" s="810"/>
      <c r="W909" s="810"/>
      <c r="X909" s="810"/>
      <c r="Y909" s="810"/>
      <c r="Z909" s="810"/>
    </row>
    <row r="910">
      <c r="A910" s="810"/>
      <c r="B910" s="810"/>
      <c r="C910" s="810"/>
      <c r="D910" s="810"/>
      <c r="E910" s="810"/>
      <c r="F910" s="810"/>
      <c r="G910" s="810"/>
      <c r="H910" s="810"/>
      <c r="I910" s="810"/>
      <c r="J910" s="810"/>
      <c r="K910" s="810"/>
      <c r="L910" s="810"/>
      <c r="M910" s="810"/>
      <c r="N910" s="810"/>
      <c r="O910" s="810"/>
      <c r="P910" s="811"/>
      <c r="Q910" s="810"/>
      <c r="R910" s="810"/>
      <c r="S910" s="810"/>
      <c r="T910" s="810"/>
      <c r="U910" s="810"/>
      <c r="V910" s="810"/>
      <c r="W910" s="810"/>
      <c r="X910" s="810"/>
      <c r="Y910" s="810"/>
      <c r="Z910" s="810"/>
    </row>
    <row r="911">
      <c r="A911" s="810"/>
      <c r="B911" s="810"/>
      <c r="C911" s="810"/>
      <c r="D911" s="810"/>
      <c r="E911" s="810"/>
      <c r="F911" s="810"/>
      <c r="G911" s="810"/>
      <c r="H911" s="810"/>
      <c r="I911" s="810"/>
      <c r="J911" s="810"/>
      <c r="K911" s="810"/>
      <c r="L911" s="810"/>
      <c r="M911" s="810"/>
      <c r="N911" s="810"/>
      <c r="O911" s="810"/>
      <c r="P911" s="811"/>
      <c r="Q911" s="810"/>
      <c r="R911" s="810"/>
      <c r="S911" s="810"/>
      <c r="T911" s="810"/>
      <c r="U911" s="810"/>
      <c r="V911" s="810"/>
      <c r="W911" s="810"/>
      <c r="X911" s="810"/>
      <c r="Y911" s="810"/>
      <c r="Z911" s="810"/>
    </row>
    <row r="912">
      <c r="A912" s="810"/>
      <c r="B912" s="810"/>
      <c r="C912" s="810"/>
      <c r="D912" s="810"/>
      <c r="E912" s="810"/>
      <c r="F912" s="810"/>
      <c r="G912" s="810"/>
      <c r="H912" s="810"/>
      <c r="I912" s="810"/>
      <c r="J912" s="810"/>
      <c r="K912" s="810"/>
      <c r="L912" s="810"/>
      <c r="M912" s="810"/>
      <c r="N912" s="810"/>
      <c r="O912" s="810"/>
      <c r="P912" s="811"/>
      <c r="Q912" s="810"/>
      <c r="R912" s="810"/>
      <c r="S912" s="810"/>
      <c r="T912" s="810"/>
      <c r="U912" s="810"/>
      <c r="V912" s="810"/>
      <c r="W912" s="810"/>
      <c r="X912" s="810"/>
      <c r="Y912" s="810"/>
      <c r="Z912" s="810"/>
    </row>
    <row r="913">
      <c r="A913" s="810"/>
      <c r="B913" s="810"/>
      <c r="C913" s="810"/>
      <c r="D913" s="810"/>
      <c r="E913" s="810"/>
      <c r="F913" s="810"/>
      <c r="G913" s="810"/>
      <c r="H913" s="810"/>
      <c r="I913" s="810"/>
      <c r="J913" s="810"/>
      <c r="K913" s="810"/>
      <c r="L913" s="810"/>
      <c r="M913" s="810"/>
      <c r="N913" s="810"/>
      <c r="O913" s="810"/>
      <c r="P913" s="811"/>
      <c r="Q913" s="810"/>
      <c r="R913" s="810"/>
      <c r="S913" s="810"/>
      <c r="T913" s="810"/>
      <c r="U913" s="810"/>
      <c r="V913" s="810"/>
      <c r="W913" s="810"/>
      <c r="X913" s="810"/>
      <c r="Y913" s="810"/>
      <c r="Z913" s="810"/>
    </row>
    <row r="914">
      <c r="A914" s="810"/>
      <c r="B914" s="810"/>
      <c r="C914" s="810"/>
      <c r="D914" s="810"/>
      <c r="E914" s="810"/>
      <c r="F914" s="810"/>
      <c r="G914" s="810"/>
      <c r="H914" s="810"/>
      <c r="I914" s="810"/>
      <c r="J914" s="810"/>
      <c r="K914" s="810"/>
      <c r="L914" s="810"/>
      <c r="M914" s="810"/>
      <c r="N914" s="810"/>
      <c r="O914" s="810"/>
      <c r="P914" s="811"/>
      <c r="Q914" s="810"/>
      <c r="R914" s="810"/>
      <c r="S914" s="810"/>
      <c r="T914" s="810"/>
      <c r="U914" s="810"/>
      <c r="V914" s="810"/>
      <c r="W914" s="810"/>
      <c r="X914" s="810"/>
      <c r="Y914" s="810"/>
      <c r="Z914" s="810"/>
    </row>
    <row r="915">
      <c r="A915" s="810"/>
      <c r="B915" s="810"/>
      <c r="C915" s="810"/>
      <c r="D915" s="810"/>
      <c r="E915" s="810"/>
      <c r="F915" s="810"/>
      <c r="G915" s="810"/>
      <c r="H915" s="810"/>
      <c r="I915" s="810"/>
      <c r="J915" s="810"/>
      <c r="K915" s="810"/>
      <c r="L915" s="810"/>
      <c r="M915" s="810"/>
      <c r="N915" s="810"/>
      <c r="O915" s="810"/>
      <c r="P915" s="811"/>
      <c r="Q915" s="810"/>
      <c r="R915" s="810"/>
      <c r="S915" s="810"/>
      <c r="T915" s="810"/>
      <c r="U915" s="810"/>
      <c r="V915" s="810"/>
      <c r="W915" s="810"/>
      <c r="X915" s="810"/>
      <c r="Y915" s="810"/>
      <c r="Z915" s="810"/>
    </row>
    <row r="916">
      <c r="A916" s="810"/>
      <c r="B916" s="810"/>
      <c r="C916" s="810"/>
      <c r="D916" s="810"/>
      <c r="E916" s="810"/>
      <c r="F916" s="810"/>
      <c r="G916" s="810"/>
      <c r="H916" s="810"/>
      <c r="I916" s="810"/>
      <c r="J916" s="810"/>
      <c r="K916" s="810"/>
      <c r="L916" s="810"/>
      <c r="M916" s="810"/>
      <c r="N916" s="810"/>
      <c r="O916" s="810"/>
      <c r="P916" s="811"/>
      <c r="Q916" s="810"/>
      <c r="R916" s="810"/>
      <c r="S916" s="810"/>
      <c r="T916" s="810"/>
      <c r="U916" s="810"/>
      <c r="V916" s="810"/>
      <c r="W916" s="810"/>
      <c r="X916" s="810"/>
      <c r="Y916" s="810"/>
      <c r="Z916" s="810"/>
    </row>
    <row r="917">
      <c r="A917" s="810"/>
      <c r="B917" s="810"/>
      <c r="C917" s="810"/>
      <c r="D917" s="810"/>
      <c r="E917" s="810"/>
      <c r="F917" s="810"/>
      <c r="G917" s="810"/>
      <c r="H917" s="810"/>
      <c r="I917" s="810"/>
      <c r="J917" s="810"/>
      <c r="K917" s="810"/>
      <c r="L917" s="810"/>
      <c r="M917" s="810"/>
      <c r="N917" s="810"/>
      <c r="O917" s="810"/>
      <c r="P917" s="811"/>
      <c r="Q917" s="810"/>
      <c r="R917" s="810"/>
      <c r="S917" s="810"/>
      <c r="T917" s="810"/>
      <c r="U917" s="810"/>
      <c r="V917" s="810"/>
      <c r="W917" s="810"/>
      <c r="X917" s="810"/>
      <c r="Y917" s="810"/>
      <c r="Z917" s="810"/>
    </row>
    <row r="918">
      <c r="A918" s="810"/>
      <c r="B918" s="810"/>
      <c r="C918" s="810"/>
      <c r="D918" s="810"/>
      <c r="E918" s="810"/>
      <c r="F918" s="810"/>
      <c r="G918" s="810"/>
      <c r="H918" s="810"/>
      <c r="I918" s="810"/>
      <c r="J918" s="810"/>
      <c r="K918" s="810"/>
      <c r="L918" s="810"/>
      <c r="M918" s="810"/>
      <c r="N918" s="810"/>
      <c r="O918" s="810"/>
      <c r="P918" s="811"/>
      <c r="Q918" s="810"/>
      <c r="R918" s="810"/>
      <c r="S918" s="810"/>
      <c r="T918" s="810"/>
      <c r="U918" s="810"/>
      <c r="V918" s="810"/>
      <c r="W918" s="810"/>
      <c r="X918" s="810"/>
      <c r="Y918" s="810"/>
      <c r="Z918" s="810"/>
    </row>
    <row r="919">
      <c r="A919" s="810"/>
      <c r="B919" s="810"/>
      <c r="C919" s="810"/>
      <c r="D919" s="810"/>
      <c r="E919" s="810"/>
      <c r="F919" s="810"/>
      <c r="G919" s="810"/>
      <c r="H919" s="810"/>
      <c r="I919" s="810"/>
      <c r="J919" s="810"/>
      <c r="K919" s="810"/>
      <c r="L919" s="810"/>
      <c r="M919" s="810"/>
      <c r="N919" s="810"/>
      <c r="O919" s="810"/>
      <c r="P919" s="811"/>
      <c r="Q919" s="810"/>
      <c r="R919" s="810"/>
      <c r="S919" s="810"/>
      <c r="T919" s="810"/>
      <c r="U919" s="810"/>
      <c r="V919" s="810"/>
      <c r="W919" s="810"/>
      <c r="X919" s="810"/>
      <c r="Y919" s="810"/>
      <c r="Z919" s="810"/>
    </row>
    <row r="920">
      <c r="A920" s="810"/>
      <c r="B920" s="810"/>
      <c r="C920" s="810"/>
      <c r="D920" s="810"/>
      <c r="E920" s="810"/>
      <c r="F920" s="810"/>
      <c r="G920" s="810"/>
      <c r="H920" s="810"/>
      <c r="I920" s="810"/>
      <c r="J920" s="810"/>
      <c r="K920" s="810"/>
      <c r="L920" s="810"/>
      <c r="M920" s="810"/>
      <c r="N920" s="810"/>
      <c r="O920" s="810"/>
      <c r="P920" s="811"/>
      <c r="Q920" s="810"/>
      <c r="R920" s="810"/>
      <c r="S920" s="810"/>
      <c r="T920" s="810"/>
      <c r="U920" s="810"/>
      <c r="V920" s="810"/>
      <c r="W920" s="810"/>
      <c r="X920" s="810"/>
      <c r="Y920" s="810"/>
      <c r="Z920" s="810"/>
    </row>
    <row r="921">
      <c r="A921" s="810"/>
      <c r="B921" s="810"/>
      <c r="C921" s="810"/>
      <c r="D921" s="810"/>
      <c r="E921" s="810"/>
      <c r="F921" s="810"/>
      <c r="G921" s="810"/>
      <c r="H921" s="810"/>
      <c r="I921" s="810"/>
      <c r="J921" s="810"/>
      <c r="K921" s="810"/>
      <c r="L921" s="810"/>
      <c r="M921" s="810"/>
      <c r="N921" s="810"/>
      <c r="O921" s="810"/>
      <c r="P921" s="811"/>
      <c r="Q921" s="810"/>
      <c r="R921" s="810"/>
      <c r="S921" s="810"/>
      <c r="T921" s="810"/>
      <c r="U921" s="810"/>
      <c r="V921" s="810"/>
      <c r="W921" s="810"/>
      <c r="X921" s="810"/>
      <c r="Y921" s="810"/>
      <c r="Z921" s="810"/>
    </row>
    <row r="922">
      <c r="A922" s="810"/>
      <c r="B922" s="810"/>
      <c r="C922" s="810"/>
      <c r="D922" s="810"/>
      <c r="E922" s="810"/>
      <c r="F922" s="810"/>
      <c r="G922" s="810"/>
      <c r="H922" s="810"/>
      <c r="I922" s="810"/>
      <c r="J922" s="810"/>
      <c r="K922" s="810"/>
      <c r="L922" s="810"/>
      <c r="M922" s="810"/>
      <c r="N922" s="810"/>
      <c r="O922" s="810"/>
      <c r="P922" s="811"/>
      <c r="Q922" s="810"/>
      <c r="R922" s="810"/>
      <c r="S922" s="810"/>
      <c r="T922" s="810"/>
      <c r="U922" s="810"/>
      <c r="V922" s="810"/>
      <c r="W922" s="810"/>
      <c r="X922" s="810"/>
      <c r="Y922" s="810"/>
      <c r="Z922" s="810"/>
    </row>
    <row r="923">
      <c r="A923" s="810"/>
      <c r="B923" s="810"/>
      <c r="C923" s="810"/>
      <c r="D923" s="810"/>
      <c r="E923" s="810"/>
      <c r="F923" s="810"/>
      <c r="G923" s="810"/>
      <c r="H923" s="810"/>
      <c r="I923" s="810"/>
      <c r="J923" s="810"/>
      <c r="K923" s="810"/>
      <c r="L923" s="810"/>
      <c r="M923" s="810"/>
      <c r="N923" s="810"/>
      <c r="O923" s="810"/>
      <c r="P923" s="811"/>
      <c r="Q923" s="810"/>
      <c r="R923" s="810"/>
      <c r="S923" s="810"/>
      <c r="T923" s="810"/>
      <c r="U923" s="810"/>
      <c r="V923" s="810"/>
      <c r="W923" s="810"/>
      <c r="X923" s="810"/>
      <c r="Y923" s="810"/>
      <c r="Z923" s="810"/>
    </row>
    <row r="924">
      <c r="A924" s="810"/>
      <c r="B924" s="810"/>
      <c r="C924" s="810"/>
      <c r="D924" s="810"/>
      <c r="E924" s="810"/>
      <c r="F924" s="810"/>
      <c r="G924" s="810"/>
      <c r="H924" s="810"/>
      <c r="I924" s="810"/>
      <c r="J924" s="810"/>
      <c r="K924" s="810"/>
      <c r="L924" s="810"/>
      <c r="M924" s="810"/>
      <c r="N924" s="810"/>
      <c r="O924" s="810"/>
      <c r="P924" s="811"/>
      <c r="Q924" s="810"/>
      <c r="R924" s="810"/>
      <c r="S924" s="810"/>
      <c r="T924" s="810"/>
      <c r="U924" s="810"/>
      <c r="V924" s="810"/>
      <c r="W924" s="810"/>
      <c r="X924" s="810"/>
      <c r="Y924" s="810"/>
      <c r="Z924" s="810"/>
    </row>
    <row r="925">
      <c r="A925" s="810"/>
      <c r="B925" s="810"/>
      <c r="C925" s="810"/>
      <c r="D925" s="810"/>
      <c r="E925" s="810"/>
      <c r="F925" s="810"/>
      <c r="G925" s="810"/>
      <c r="H925" s="810"/>
      <c r="I925" s="810"/>
      <c r="J925" s="810"/>
      <c r="K925" s="810"/>
      <c r="L925" s="810"/>
      <c r="M925" s="810"/>
      <c r="N925" s="810"/>
      <c r="O925" s="810"/>
      <c r="P925" s="811"/>
      <c r="Q925" s="810"/>
      <c r="R925" s="810"/>
      <c r="S925" s="810"/>
      <c r="T925" s="810"/>
      <c r="U925" s="810"/>
      <c r="V925" s="810"/>
      <c r="W925" s="810"/>
      <c r="X925" s="810"/>
      <c r="Y925" s="810"/>
      <c r="Z925" s="810"/>
    </row>
    <row r="926">
      <c r="A926" s="810"/>
      <c r="B926" s="810"/>
      <c r="C926" s="810"/>
      <c r="D926" s="810"/>
      <c r="E926" s="810"/>
      <c r="F926" s="810"/>
      <c r="G926" s="810"/>
      <c r="H926" s="810"/>
      <c r="I926" s="810"/>
      <c r="J926" s="810"/>
      <c r="K926" s="810"/>
      <c r="L926" s="810"/>
      <c r="M926" s="810"/>
      <c r="N926" s="810"/>
      <c r="O926" s="810"/>
      <c r="P926" s="811"/>
      <c r="Q926" s="810"/>
      <c r="R926" s="810"/>
      <c r="S926" s="810"/>
      <c r="T926" s="810"/>
      <c r="U926" s="810"/>
      <c r="V926" s="810"/>
      <c r="W926" s="810"/>
      <c r="X926" s="810"/>
      <c r="Y926" s="810"/>
      <c r="Z926" s="810"/>
    </row>
    <row r="927">
      <c r="A927" s="810"/>
      <c r="B927" s="810"/>
      <c r="C927" s="810"/>
      <c r="D927" s="810"/>
      <c r="E927" s="810"/>
      <c r="F927" s="810"/>
      <c r="G927" s="810"/>
      <c r="H927" s="810"/>
      <c r="I927" s="810"/>
      <c r="J927" s="810"/>
      <c r="K927" s="810"/>
      <c r="L927" s="810"/>
      <c r="M927" s="810"/>
      <c r="N927" s="810"/>
      <c r="O927" s="810"/>
      <c r="P927" s="811"/>
      <c r="Q927" s="810"/>
      <c r="R927" s="810"/>
      <c r="S927" s="810"/>
      <c r="T927" s="810"/>
      <c r="U927" s="810"/>
      <c r="V927" s="810"/>
      <c r="W927" s="810"/>
      <c r="X927" s="810"/>
      <c r="Y927" s="810"/>
      <c r="Z927" s="810"/>
    </row>
    <row r="928">
      <c r="A928" s="810"/>
      <c r="B928" s="810"/>
      <c r="C928" s="810"/>
      <c r="D928" s="810"/>
      <c r="E928" s="810"/>
      <c r="F928" s="810"/>
      <c r="G928" s="810"/>
      <c r="H928" s="810"/>
      <c r="I928" s="810"/>
      <c r="J928" s="810"/>
      <c r="K928" s="810"/>
      <c r="L928" s="810"/>
      <c r="M928" s="810"/>
      <c r="N928" s="810"/>
      <c r="O928" s="810"/>
      <c r="P928" s="811"/>
      <c r="Q928" s="810"/>
      <c r="R928" s="810"/>
      <c r="S928" s="810"/>
      <c r="T928" s="810"/>
      <c r="U928" s="810"/>
      <c r="V928" s="810"/>
      <c r="W928" s="810"/>
      <c r="X928" s="810"/>
      <c r="Y928" s="810"/>
      <c r="Z928" s="810"/>
    </row>
    <row r="929">
      <c r="A929" s="810"/>
      <c r="B929" s="810"/>
      <c r="C929" s="810"/>
      <c r="D929" s="810"/>
      <c r="E929" s="810"/>
      <c r="F929" s="810"/>
      <c r="G929" s="810"/>
      <c r="H929" s="810"/>
      <c r="I929" s="810"/>
      <c r="J929" s="810"/>
      <c r="K929" s="810"/>
      <c r="L929" s="810"/>
      <c r="M929" s="810"/>
      <c r="N929" s="810"/>
      <c r="O929" s="810"/>
      <c r="P929" s="811"/>
      <c r="Q929" s="810"/>
      <c r="R929" s="810"/>
      <c r="S929" s="810"/>
      <c r="T929" s="810"/>
      <c r="U929" s="810"/>
      <c r="V929" s="810"/>
      <c r="W929" s="810"/>
      <c r="X929" s="810"/>
      <c r="Y929" s="810"/>
      <c r="Z929" s="810"/>
    </row>
    <row r="930">
      <c r="A930" s="810"/>
      <c r="B930" s="810"/>
      <c r="C930" s="810"/>
      <c r="D930" s="810"/>
      <c r="E930" s="810"/>
      <c r="F930" s="810"/>
      <c r="G930" s="810"/>
      <c r="H930" s="810"/>
      <c r="I930" s="810"/>
      <c r="J930" s="810"/>
      <c r="K930" s="810"/>
      <c r="L930" s="810"/>
      <c r="M930" s="810"/>
      <c r="N930" s="810"/>
      <c r="O930" s="810"/>
      <c r="P930" s="811"/>
      <c r="Q930" s="810"/>
      <c r="R930" s="810"/>
      <c r="S930" s="810"/>
      <c r="T930" s="810"/>
      <c r="U930" s="810"/>
      <c r="V930" s="810"/>
      <c r="W930" s="810"/>
      <c r="X930" s="810"/>
      <c r="Y930" s="810"/>
      <c r="Z930" s="810"/>
    </row>
    <row r="931">
      <c r="A931" s="810"/>
      <c r="B931" s="810"/>
      <c r="C931" s="810"/>
      <c r="D931" s="810"/>
      <c r="E931" s="810"/>
      <c r="F931" s="810"/>
      <c r="G931" s="810"/>
      <c r="H931" s="810"/>
      <c r="I931" s="810"/>
      <c r="J931" s="810"/>
      <c r="K931" s="810"/>
      <c r="L931" s="810"/>
      <c r="M931" s="810"/>
      <c r="N931" s="810"/>
      <c r="O931" s="810"/>
      <c r="P931" s="811"/>
      <c r="Q931" s="810"/>
      <c r="R931" s="810"/>
      <c r="S931" s="810"/>
      <c r="T931" s="810"/>
      <c r="U931" s="810"/>
      <c r="V931" s="810"/>
      <c r="W931" s="810"/>
      <c r="X931" s="810"/>
      <c r="Y931" s="810"/>
      <c r="Z931" s="810"/>
    </row>
    <row r="932">
      <c r="A932" s="810"/>
      <c r="B932" s="810"/>
      <c r="C932" s="810"/>
      <c r="D932" s="810"/>
      <c r="E932" s="810"/>
      <c r="F932" s="810"/>
      <c r="G932" s="810"/>
      <c r="H932" s="810"/>
      <c r="I932" s="810"/>
      <c r="J932" s="810"/>
      <c r="K932" s="810"/>
      <c r="L932" s="810"/>
      <c r="M932" s="810"/>
      <c r="N932" s="810"/>
      <c r="O932" s="810"/>
      <c r="P932" s="811"/>
      <c r="Q932" s="810"/>
      <c r="R932" s="810"/>
      <c r="S932" s="810"/>
      <c r="T932" s="810"/>
      <c r="U932" s="810"/>
      <c r="V932" s="810"/>
      <c r="W932" s="810"/>
      <c r="X932" s="810"/>
      <c r="Y932" s="810"/>
      <c r="Z932" s="810"/>
    </row>
    <row r="933">
      <c r="A933" s="810"/>
      <c r="B933" s="810"/>
      <c r="C933" s="810"/>
      <c r="D933" s="810"/>
      <c r="E933" s="810"/>
      <c r="F933" s="810"/>
      <c r="G933" s="810"/>
      <c r="H933" s="810"/>
      <c r="I933" s="810"/>
      <c r="J933" s="810"/>
      <c r="K933" s="810"/>
      <c r="L933" s="810"/>
      <c r="M933" s="810"/>
      <c r="N933" s="810"/>
      <c r="O933" s="810"/>
      <c r="P933" s="811"/>
      <c r="Q933" s="810"/>
      <c r="R933" s="810"/>
      <c r="S933" s="810"/>
      <c r="T933" s="810"/>
      <c r="U933" s="810"/>
      <c r="V933" s="810"/>
      <c r="W933" s="810"/>
      <c r="X933" s="810"/>
      <c r="Y933" s="810"/>
      <c r="Z933" s="810"/>
    </row>
    <row r="934">
      <c r="A934" s="810"/>
      <c r="B934" s="810"/>
      <c r="C934" s="810"/>
      <c r="D934" s="810"/>
      <c r="E934" s="810"/>
      <c r="F934" s="810"/>
      <c r="G934" s="810"/>
      <c r="H934" s="810"/>
      <c r="I934" s="810"/>
      <c r="J934" s="810"/>
      <c r="K934" s="810"/>
      <c r="L934" s="810"/>
      <c r="M934" s="810"/>
      <c r="N934" s="810"/>
      <c r="O934" s="810"/>
      <c r="P934" s="811"/>
      <c r="Q934" s="810"/>
      <c r="R934" s="810"/>
      <c r="S934" s="810"/>
      <c r="T934" s="810"/>
      <c r="U934" s="810"/>
      <c r="V934" s="810"/>
      <c r="W934" s="810"/>
      <c r="X934" s="810"/>
      <c r="Y934" s="810"/>
      <c r="Z934" s="810"/>
    </row>
    <row r="935">
      <c r="A935" s="810"/>
      <c r="B935" s="810"/>
      <c r="C935" s="810"/>
      <c r="D935" s="810"/>
      <c r="E935" s="810"/>
      <c r="F935" s="810"/>
      <c r="G935" s="810"/>
      <c r="H935" s="810"/>
      <c r="I935" s="810"/>
      <c r="J935" s="810"/>
      <c r="K935" s="810"/>
      <c r="L935" s="810"/>
      <c r="M935" s="810"/>
      <c r="N935" s="810"/>
      <c r="O935" s="810"/>
      <c r="P935" s="811"/>
      <c r="Q935" s="810"/>
      <c r="R935" s="810"/>
      <c r="S935" s="810"/>
      <c r="T935" s="810"/>
      <c r="U935" s="810"/>
      <c r="V935" s="810"/>
      <c r="W935" s="810"/>
      <c r="X935" s="810"/>
      <c r="Y935" s="810"/>
      <c r="Z935" s="810"/>
    </row>
    <row r="936">
      <c r="A936" s="810"/>
      <c r="B936" s="810"/>
      <c r="C936" s="810"/>
      <c r="D936" s="810"/>
      <c r="E936" s="810"/>
      <c r="F936" s="810"/>
      <c r="G936" s="810"/>
      <c r="H936" s="810"/>
      <c r="I936" s="810"/>
      <c r="J936" s="810"/>
      <c r="K936" s="810"/>
      <c r="L936" s="810"/>
      <c r="M936" s="810"/>
      <c r="N936" s="810"/>
      <c r="O936" s="810"/>
      <c r="P936" s="811"/>
      <c r="Q936" s="810"/>
      <c r="R936" s="810"/>
      <c r="S936" s="810"/>
      <c r="T936" s="810"/>
      <c r="U936" s="810"/>
      <c r="V936" s="810"/>
      <c r="W936" s="810"/>
      <c r="X936" s="810"/>
      <c r="Y936" s="810"/>
      <c r="Z936" s="810"/>
    </row>
    <row r="937">
      <c r="A937" s="810"/>
      <c r="B937" s="810"/>
      <c r="C937" s="810"/>
      <c r="D937" s="810"/>
      <c r="E937" s="810"/>
      <c r="F937" s="810"/>
      <c r="G937" s="810"/>
      <c r="H937" s="810"/>
      <c r="I937" s="810"/>
      <c r="J937" s="810"/>
      <c r="K937" s="810"/>
      <c r="L937" s="810"/>
      <c r="M937" s="810"/>
      <c r="N937" s="810"/>
      <c r="O937" s="810"/>
      <c r="P937" s="811"/>
      <c r="Q937" s="810"/>
      <c r="R937" s="810"/>
      <c r="S937" s="810"/>
      <c r="T937" s="810"/>
      <c r="U937" s="810"/>
      <c r="V937" s="810"/>
      <c r="W937" s="810"/>
      <c r="X937" s="810"/>
      <c r="Y937" s="810"/>
      <c r="Z937" s="810"/>
    </row>
    <row r="938">
      <c r="A938" s="810"/>
      <c r="B938" s="810"/>
      <c r="C938" s="810"/>
      <c r="D938" s="810"/>
      <c r="E938" s="810"/>
      <c r="F938" s="810"/>
      <c r="G938" s="810"/>
      <c r="H938" s="810"/>
      <c r="I938" s="810"/>
      <c r="J938" s="810"/>
      <c r="K938" s="810"/>
      <c r="L938" s="810"/>
      <c r="M938" s="810"/>
      <c r="N938" s="810"/>
      <c r="O938" s="810"/>
      <c r="P938" s="811"/>
      <c r="Q938" s="810"/>
      <c r="R938" s="810"/>
      <c r="S938" s="810"/>
      <c r="T938" s="810"/>
      <c r="U938" s="810"/>
      <c r="V938" s="810"/>
      <c r="W938" s="810"/>
      <c r="X938" s="810"/>
      <c r="Y938" s="810"/>
      <c r="Z938" s="810"/>
    </row>
    <row r="939">
      <c r="A939" s="810"/>
      <c r="B939" s="810"/>
      <c r="C939" s="810"/>
      <c r="D939" s="810"/>
      <c r="E939" s="810"/>
      <c r="F939" s="810"/>
      <c r="G939" s="810"/>
      <c r="H939" s="810"/>
      <c r="I939" s="810"/>
      <c r="J939" s="810"/>
      <c r="K939" s="810"/>
      <c r="L939" s="810"/>
      <c r="M939" s="810"/>
      <c r="N939" s="810"/>
      <c r="O939" s="810"/>
      <c r="P939" s="811"/>
      <c r="Q939" s="810"/>
      <c r="R939" s="810"/>
      <c r="S939" s="810"/>
      <c r="T939" s="810"/>
      <c r="U939" s="810"/>
      <c r="V939" s="810"/>
      <c r="W939" s="810"/>
      <c r="X939" s="810"/>
      <c r="Y939" s="810"/>
      <c r="Z939" s="810"/>
    </row>
    <row r="940">
      <c r="A940" s="810"/>
      <c r="B940" s="810"/>
      <c r="C940" s="810"/>
      <c r="D940" s="810"/>
      <c r="E940" s="810"/>
      <c r="F940" s="810"/>
      <c r="G940" s="810"/>
      <c r="H940" s="810"/>
      <c r="I940" s="810"/>
      <c r="J940" s="810"/>
      <c r="K940" s="810"/>
      <c r="L940" s="810"/>
      <c r="M940" s="810"/>
      <c r="N940" s="810"/>
      <c r="O940" s="810"/>
      <c r="P940" s="811"/>
      <c r="Q940" s="810"/>
      <c r="R940" s="810"/>
      <c r="S940" s="810"/>
      <c r="T940" s="810"/>
      <c r="U940" s="810"/>
      <c r="V940" s="810"/>
      <c r="W940" s="810"/>
      <c r="X940" s="810"/>
      <c r="Y940" s="810"/>
      <c r="Z940" s="810"/>
    </row>
    <row r="941">
      <c r="A941" s="810"/>
      <c r="B941" s="810"/>
      <c r="C941" s="810"/>
      <c r="D941" s="810"/>
      <c r="E941" s="810"/>
      <c r="F941" s="810"/>
      <c r="G941" s="810"/>
      <c r="H941" s="810"/>
      <c r="I941" s="810"/>
      <c r="J941" s="810"/>
      <c r="K941" s="810"/>
      <c r="L941" s="810"/>
      <c r="M941" s="810"/>
      <c r="N941" s="810"/>
      <c r="O941" s="810"/>
      <c r="P941" s="811"/>
      <c r="Q941" s="810"/>
      <c r="R941" s="810"/>
      <c r="S941" s="810"/>
      <c r="T941" s="810"/>
      <c r="U941" s="810"/>
      <c r="V941" s="810"/>
      <c r="W941" s="810"/>
      <c r="X941" s="810"/>
      <c r="Y941" s="810"/>
      <c r="Z941" s="810"/>
    </row>
    <row r="942">
      <c r="A942" s="810"/>
      <c r="B942" s="810"/>
      <c r="C942" s="810"/>
      <c r="D942" s="810"/>
      <c r="E942" s="810"/>
      <c r="F942" s="810"/>
      <c r="G942" s="810"/>
      <c r="H942" s="810"/>
      <c r="I942" s="810"/>
      <c r="J942" s="810"/>
      <c r="K942" s="810"/>
      <c r="L942" s="810"/>
      <c r="M942" s="810"/>
      <c r="N942" s="810"/>
      <c r="O942" s="810"/>
      <c r="P942" s="811"/>
      <c r="Q942" s="810"/>
      <c r="R942" s="810"/>
      <c r="S942" s="810"/>
      <c r="T942" s="810"/>
      <c r="U942" s="810"/>
      <c r="V942" s="810"/>
      <c r="W942" s="810"/>
      <c r="X942" s="810"/>
      <c r="Y942" s="810"/>
      <c r="Z942" s="810"/>
    </row>
    <row r="943">
      <c r="A943" s="810"/>
      <c r="B943" s="810"/>
      <c r="C943" s="810"/>
      <c r="D943" s="810"/>
      <c r="E943" s="810"/>
      <c r="F943" s="810"/>
      <c r="G943" s="810"/>
      <c r="H943" s="810"/>
      <c r="I943" s="810"/>
      <c r="J943" s="810"/>
      <c r="K943" s="810"/>
      <c r="L943" s="810"/>
      <c r="M943" s="810"/>
      <c r="N943" s="810"/>
      <c r="O943" s="810"/>
      <c r="P943" s="811"/>
      <c r="Q943" s="810"/>
      <c r="R943" s="810"/>
      <c r="S943" s="810"/>
      <c r="T943" s="810"/>
      <c r="U943" s="810"/>
      <c r="V943" s="810"/>
      <c r="W943" s="810"/>
      <c r="X943" s="810"/>
      <c r="Y943" s="810"/>
      <c r="Z943" s="810"/>
    </row>
    <row r="944">
      <c r="A944" s="810"/>
      <c r="B944" s="810"/>
      <c r="C944" s="810"/>
      <c r="D944" s="810"/>
      <c r="E944" s="810"/>
      <c r="F944" s="810"/>
      <c r="G944" s="810"/>
      <c r="H944" s="810"/>
      <c r="I944" s="810"/>
      <c r="J944" s="810"/>
      <c r="K944" s="810"/>
      <c r="L944" s="810"/>
      <c r="M944" s="810"/>
      <c r="N944" s="810"/>
      <c r="O944" s="810"/>
      <c r="P944" s="811"/>
      <c r="Q944" s="810"/>
      <c r="R944" s="810"/>
      <c r="S944" s="810"/>
      <c r="T944" s="810"/>
      <c r="U944" s="810"/>
      <c r="V944" s="810"/>
      <c r="W944" s="810"/>
      <c r="X944" s="810"/>
      <c r="Y944" s="810"/>
      <c r="Z944" s="810"/>
    </row>
    <row r="945">
      <c r="A945" s="810"/>
      <c r="B945" s="810"/>
      <c r="C945" s="810"/>
      <c r="D945" s="810"/>
      <c r="E945" s="810"/>
      <c r="F945" s="810"/>
      <c r="G945" s="810"/>
      <c r="H945" s="810"/>
      <c r="I945" s="810"/>
      <c r="J945" s="810"/>
      <c r="K945" s="810"/>
      <c r="L945" s="810"/>
      <c r="M945" s="810"/>
      <c r="N945" s="810"/>
      <c r="O945" s="810"/>
      <c r="P945" s="811"/>
      <c r="Q945" s="810"/>
      <c r="R945" s="810"/>
      <c r="S945" s="810"/>
      <c r="T945" s="810"/>
      <c r="U945" s="810"/>
      <c r="V945" s="810"/>
      <c r="W945" s="810"/>
      <c r="X945" s="810"/>
      <c r="Y945" s="810"/>
      <c r="Z945" s="810"/>
    </row>
    <row r="946">
      <c r="A946" s="810"/>
      <c r="B946" s="810"/>
      <c r="C946" s="810"/>
      <c r="D946" s="810"/>
      <c r="E946" s="810"/>
      <c r="F946" s="810"/>
      <c r="G946" s="810"/>
      <c r="H946" s="810"/>
      <c r="I946" s="810"/>
      <c r="J946" s="810"/>
      <c r="K946" s="810"/>
      <c r="L946" s="810"/>
      <c r="M946" s="810"/>
      <c r="N946" s="810"/>
      <c r="O946" s="810"/>
      <c r="P946" s="811"/>
      <c r="Q946" s="810"/>
      <c r="R946" s="810"/>
      <c r="S946" s="810"/>
      <c r="T946" s="810"/>
      <c r="U946" s="810"/>
      <c r="V946" s="810"/>
      <c r="W946" s="810"/>
      <c r="X946" s="810"/>
      <c r="Y946" s="810"/>
      <c r="Z946" s="810"/>
    </row>
    <row r="947">
      <c r="A947" s="810"/>
      <c r="B947" s="810"/>
      <c r="C947" s="810"/>
      <c r="D947" s="810"/>
      <c r="E947" s="810"/>
      <c r="F947" s="810"/>
      <c r="G947" s="810"/>
      <c r="H947" s="810"/>
      <c r="I947" s="810"/>
      <c r="J947" s="810"/>
      <c r="K947" s="810"/>
      <c r="L947" s="810"/>
      <c r="M947" s="810"/>
      <c r="N947" s="810"/>
      <c r="O947" s="810"/>
      <c r="P947" s="811"/>
      <c r="Q947" s="810"/>
      <c r="R947" s="810"/>
      <c r="S947" s="810"/>
      <c r="T947" s="810"/>
      <c r="U947" s="810"/>
      <c r="V947" s="810"/>
      <c r="W947" s="810"/>
      <c r="X947" s="810"/>
      <c r="Y947" s="810"/>
      <c r="Z947" s="810"/>
    </row>
    <row r="948">
      <c r="A948" s="810"/>
      <c r="B948" s="810"/>
      <c r="C948" s="810"/>
      <c r="D948" s="810"/>
      <c r="E948" s="810"/>
      <c r="F948" s="810"/>
      <c r="G948" s="810"/>
      <c r="H948" s="810"/>
      <c r="I948" s="810"/>
      <c r="J948" s="810"/>
      <c r="K948" s="810"/>
      <c r="L948" s="810"/>
      <c r="M948" s="810"/>
      <c r="N948" s="810"/>
      <c r="O948" s="810"/>
      <c r="P948" s="811"/>
      <c r="Q948" s="810"/>
      <c r="R948" s="810"/>
      <c r="S948" s="810"/>
      <c r="T948" s="810"/>
      <c r="U948" s="810"/>
      <c r="V948" s="810"/>
      <c r="W948" s="810"/>
      <c r="X948" s="810"/>
      <c r="Y948" s="810"/>
      <c r="Z948" s="810"/>
    </row>
    <row r="949">
      <c r="A949" s="810"/>
      <c r="B949" s="810"/>
      <c r="C949" s="810"/>
      <c r="D949" s="810"/>
      <c r="E949" s="810"/>
      <c r="F949" s="810"/>
      <c r="G949" s="810"/>
      <c r="H949" s="810"/>
      <c r="I949" s="810"/>
      <c r="J949" s="810"/>
      <c r="K949" s="810"/>
      <c r="L949" s="810"/>
      <c r="M949" s="810"/>
      <c r="N949" s="810"/>
      <c r="O949" s="810"/>
      <c r="P949" s="811"/>
      <c r="Q949" s="810"/>
      <c r="R949" s="810"/>
      <c r="S949" s="810"/>
      <c r="T949" s="810"/>
      <c r="U949" s="810"/>
      <c r="V949" s="810"/>
      <c r="W949" s="810"/>
      <c r="X949" s="810"/>
      <c r="Y949" s="810"/>
      <c r="Z949" s="810"/>
    </row>
    <row r="950">
      <c r="A950" s="810"/>
      <c r="B950" s="810"/>
      <c r="C950" s="810"/>
      <c r="D950" s="810"/>
      <c r="E950" s="810"/>
      <c r="F950" s="810"/>
      <c r="G950" s="810"/>
      <c r="H950" s="810"/>
      <c r="I950" s="810"/>
      <c r="J950" s="810"/>
      <c r="K950" s="810"/>
      <c r="L950" s="810"/>
      <c r="M950" s="810"/>
      <c r="N950" s="810"/>
      <c r="O950" s="810"/>
      <c r="P950" s="811"/>
      <c r="Q950" s="810"/>
      <c r="R950" s="810"/>
      <c r="S950" s="810"/>
      <c r="T950" s="810"/>
      <c r="U950" s="810"/>
      <c r="V950" s="810"/>
      <c r="W950" s="810"/>
      <c r="X950" s="810"/>
      <c r="Y950" s="810"/>
      <c r="Z950" s="810"/>
    </row>
    <row r="951">
      <c r="A951" s="810"/>
      <c r="B951" s="810"/>
      <c r="C951" s="810"/>
      <c r="D951" s="810"/>
      <c r="E951" s="810"/>
      <c r="F951" s="810"/>
      <c r="G951" s="810"/>
      <c r="H951" s="810"/>
      <c r="I951" s="810"/>
      <c r="J951" s="810"/>
      <c r="K951" s="810"/>
      <c r="L951" s="810"/>
      <c r="M951" s="810"/>
      <c r="N951" s="810"/>
      <c r="O951" s="810"/>
      <c r="P951" s="811"/>
      <c r="Q951" s="810"/>
      <c r="R951" s="810"/>
      <c r="S951" s="810"/>
      <c r="T951" s="810"/>
      <c r="U951" s="810"/>
      <c r="V951" s="810"/>
      <c r="W951" s="810"/>
      <c r="X951" s="810"/>
      <c r="Y951" s="810"/>
      <c r="Z951" s="810"/>
    </row>
    <row r="952">
      <c r="A952" s="810"/>
      <c r="B952" s="810"/>
      <c r="C952" s="810"/>
      <c r="D952" s="810"/>
      <c r="E952" s="810"/>
      <c r="F952" s="810"/>
      <c r="G952" s="810"/>
      <c r="H952" s="810"/>
      <c r="I952" s="810"/>
      <c r="J952" s="810"/>
      <c r="K952" s="810"/>
      <c r="L952" s="810"/>
      <c r="M952" s="810"/>
      <c r="N952" s="810"/>
      <c r="O952" s="810"/>
      <c r="P952" s="811"/>
      <c r="Q952" s="810"/>
      <c r="R952" s="810"/>
      <c r="S952" s="810"/>
      <c r="T952" s="810"/>
      <c r="U952" s="810"/>
      <c r="V952" s="810"/>
      <c r="W952" s="810"/>
      <c r="X952" s="810"/>
      <c r="Y952" s="810"/>
      <c r="Z952" s="810"/>
    </row>
    <row r="953">
      <c r="A953" s="810"/>
      <c r="B953" s="810"/>
      <c r="C953" s="810"/>
      <c r="D953" s="810"/>
      <c r="E953" s="810"/>
      <c r="F953" s="810"/>
      <c r="G953" s="810"/>
      <c r="H953" s="810"/>
      <c r="I953" s="810"/>
      <c r="J953" s="810"/>
      <c r="K953" s="810"/>
      <c r="L953" s="810"/>
      <c r="M953" s="810"/>
      <c r="N953" s="810"/>
      <c r="O953" s="810"/>
      <c r="P953" s="811"/>
      <c r="Q953" s="810"/>
      <c r="R953" s="810"/>
      <c r="S953" s="810"/>
      <c r="T953" s="810"/>
      <c r="U953" s="810"/>
      <c r="V953" s="810"/>
      <c r="W953" s="810"/>
      <c r="X953" s="810"/>
      <c r="Y953" s="810"/>
      <c r="Z953" s="810"/>
    </row>
    <row r="954">
      <c r="A954" s="810"/>
      <c r="B954" s="810"/>
      <c r="C954" s="810"/>
      <c r="D954" s="810"/>
      <c r="E954" s="810"/>
      <c r="F954" s="810"/>
      <c r="G954" s="810"/>
      <c r="H954" s="810"/>
      <c r="I954" s="810"/>
      <c r="J954" s="810"/>
      <c r="K954" s="810"/>
      <c r="L954" s="810"/>
      <c r="M954" s="810"/>
      <c r="N954" s="810"/>
      <c r="O954" s="810"/>
      <c r="P954" s="811"/>
      <c r="Q954" s="810"/>
      <c r="R954" s="810"/>
      <c r="S954" s="810"/>
      <c r="T954" s="810"/>
      <c r="U954" s="810"/>
      <c r="V954" s="810"/>
      <c r="W954" s="810"/>
      <c r="X954" s="810"/>
      <c r="Y954" s="810"/>
      <c r="Z954" s="810"/>
    </row>
    <row r="955">
      <c r="A955" s="810"/>
      <c r="B955" s="810"/>
      <c r="C955" s="810"/>
      <c r="D955" s="810"/>
      <c r="E955" s="810"/>
      <c r="F955" s="810"/>
      <c r="G955" s="810"/>
      <c r="H955" s="810"/>
      <c r="I955" s="810"/>
      <c r="J955" s="810"/>
      <c r="K955" s="810"/>
      <c r="L955" s="810"/>
      <c r="M955" s="810"/>
      <c r="N955" s="810"/>
      <c r="O955" s="810"/>
      <c r="P955" s="811"/>
      <c r="Q955" s="810"/>
      <c r="R955" s="810"/>
      <c r="S955" s="810"/>
      <c r="T955" s="810"/>
      <c r="U955" s="810"/>
      <c r="V955" s="810"/>
      <c r="W955" s="810"/>
      <c r="X955" s="810"/>
      <c r="Y955" s="810"/>
      <c r="Z955" s="810"/>
    </row>
    <row r="956">
      <c r="A956" s="810"/>
      <c r="B956" s="810"/>
      <c r="C956" s="810"/>
      <c r="D956" s="810"/>
      <c r="E956" s="810"/>
      <c r="F956" s="810"/>
      <c r="G956" s="810"/>
      <c r="H956" s="810"/>
      <c r="I956" s="810"/>
      <c r="J956" s="810"/>
      <c r="K956" s="810"/>
      <c r="L956" s="810"/>
      <c r="M956" s="810"/>
      <c r="N956" s="810"/>
      <c r="O956" s="810"/>
      <c r="P956" s="811"/>
      <c r="Q956" s="810"/>
      <c r="R956" s="810"/>
      <c r="S956" s="810"/>
      <c r="T956" s="810"/>
      <c r="U956" s="810"/>
      <c r="V956" s="810"/>
      <c r="W956" s="810"/>
      <c r="X956" s="810"/>
      <c r="Y956" s="810"/>
      <c r="Z956" s="810"/>
    </row>
    <row r="957">
      <c r="A957" s="810"/>
      <c r="B957" s="810"/>
      <c r="C957" s="810"/>
      <c r="D957" s="810"/>
      <c r="E957" s="810"/>
      <c r="F957" s="810"/>
      <c r="G957" s="810"/>
      <c r="H957" s="810"/>
      <c r="I957" s="810"/>
      <c r="J957" s="810"/>
      <c r="K957" s="810"/>
      <c r="L957" s="810"/>
      <c r="M957" s="810"/>
      <c r="N957" s="810"/>
      <c r="O957" s="810"/>
      <c r="P957" s="811"/>
      <c r="Q957" s="810"/>
      <c r="R957" s="810"/>
      <c r="S957" s="810"/>
      <c r="T957" s="810"/>
      <c r="U957" s="810"/>
      <c r="V957" s="810"/>
      <c r="W957" s="810"/>
      <c r="X957" s="810"/>
      <c r="Y957" s="810"/>
      <c r="Z957" s="810"/>
    </row>
    <row r="958">
      <c r="A958" s="810"/>
      <c r="B958" s="810"/>
      <c r="C958" s="810"/>
      <c r="D958" s="810"/>
      <c r="E958" s="810"/>
      <c r="F958" s="810"/>
      <c r="G958" s="810"/>
      <c r="H958" s="810"/>
      <c r="I958" s="810"/>
      <c r="J958" s="810"/>
      <c r="K958" s="810"/>
      <c r="L958" s="810"/>
      <c r="M958" s="810"/>
      <c r="N958" s="810"/>
      <c r="O958" s="810"/>
      <c r="P958" s="811"/>
      <c r="Q958" s="810"/>
      <c r="R958" s="810"/>
      <c r="S958" s="810"/>
      <c r="T958" s="810"/>
      <c r="U958" s="810"/>
      <c r="V958" s="810"/>
      <c r="W958" s="810"/>
      <c r="X958" s="810"/>
      <c r="Y958" s="810"/>
      <c r="Z958" s="810"/>
    </row>
    <row r="959">
      <c r="A959" s="810"/>
      <c r="B959" s="810"/>
      <c r="C959" s="810"/>
      <c r="D959" s="810"/>
      <c r="E959" s="810"/>
      <c r="F959" s="810"/>
      <c r="G959" s="810"/>
      <c r="H959" s="810"/>
      <c r="I959" s="810"/>
      <c r="J959" s="810"/>
      <c r="K959" s="810"/>
      <c r="L959" s="810"/>
      <c r="M959" s="810"/>
      <c r="N959" s="810"/>
      <c r="O959" s="810"/>
      <c r="P959" s="811"/>
      <c r="Q959" s="810"/>
      <c r="R959" s="810"/>
      <c r="S959" s="810"/>
      <c r="T959" s="810"/>
      <c r="U959" s="810"/>
      <c r="V959" s="810"/>
      <c r="W959" s="810"/>
      <c r="X959" s="810"/>
      <c r="Y959" s="810"/>
      <c r="Z959" s="810"/>
    </row>
    <row r="960">
      <c r="A960" s="810"/>
      <c r="B960" s="810"/>
      <c r="C960" s="810"/>
      <c r="D960" s="810"/>
      <c r="E960" s="810"/>
      <c r="F960" s="810"/>
      <c r="G960" s="810"/>
      <c r="H960" s="810"/>
      <c r="I960" s="810"/>
      <c r="J960" s="810"/>
      <c r="K960" s="810"/>
      <c r="L960" s="810"/>
      <c r="M960" s="810"/>
      <c r="N960" s="810"/>
      <c r="O960" s="810"/>
      <c r="P960" s="811"/>
      <c r="Q960" s="810"/>
      <c r="R960" s="810"/>
      <c r="S960" s="810"/>
      <c r="T960" s="810"/>
      <c r="U960" s="810"/>
      <c r="V960" s="810"/>
      <c r="W960" s="810"/>
      <c r="X960" s="810"/>
      <c r="Y960" s="810"/>
      <c r="Z960" s="810"/>
    </row>
    <row r="961">
      <c r="A961" s="810"/>
      <c r="B961" s="810"/>
      <c r="C961" s="810"/>
      <c r="D961" s="810"/>
      <c r="E961" s="810"/>
      <c r="F961" s="810"/>
      <c r="G961" s="810"/>
      <c r="H961" s="810"/>
      <c r="I961" s="810"/>
      <c r="J961" s="810"/>
      <c r="K961" s="810"/>
      <c r="L961" s="810"/>
      <c r="M961" s="810"/>
      <c r="N961" s="810"/>
      <c r="O961" s="810"/>
      <c r="P961" s="811"/>
      <c r="Q961" s="810"/>
      <c r="R961" s="810"/>
      <c r="S961" s="810"/>
      <c r="T961" s="810"/>
      <c r="U961" s="810"/>
      <c r="V961" s="810"/>
      <c r="W961" s="810"/>
      <c r="X961" s="810"/>
      <c r="Y961" s="810"/>
      <c r="Z961" s="810"/>
    </row>
    <row r="962">
      <c r="A962" s="810"/>
      <c r="B962" s="810"/>
      <c r="C962" s="810"/>
      <c r="D962" s="810"/>
      <c r="E962" s="810"/>
      <c r="F962" s="810"/>
      <c r="G962" s="810"/>
      <c r="H962" s="810"/>
      <c r="I962" s="810"/>
      <c r="J962" s="810"/>
      <c r="K962" s="810"/>
      <c r="L962" s="810"/>
      <c r="M962" s="810"/>
      <c r="N962" s="810"/>
      <c r="O962" s="810"/>
      <c r="P962" s="811"/>
      <c r="Q962" s="810"/>
      <c r="R962" s="810"/>
      <c r="S962" s="810"/>
      <c r="T962" s="810"/>
      <c r="U962" s="810"/>
      <c r="V962" s="810"/>
      <c r="W962" s="810"/>
      <c r="X962" s="810"/>
      <c r="Y962" s="810"/>
      <c r="Z962" s="810"/>
    </row>
    <row r="963">
      <c r="A963" s="810"/>
      <c r="B963" s="810"/>
      <c r="C963" s="810"/>
      <c r="D963" s="810"/>
      <c r="E963" s="810"/>
      <c r="F963" s="810"/>
      <c r="G963" s="810"/>
      <c r="H963" s="810"/>
      <c r="I963" s="810"/>
      <c r="J963" s="810"/>
      <c r="K963" s="810"/>
      <c r="L963" s="810"/>
      <c r="M963" s="810"/>
      <c r="N963" s="810"/>
      <c r="O963" s="810"/>
      <c r="P963" s="811"/>
      <c r="Q963" s="810"/>
      <c r="R963" s="810"/>
      <c r="S963" s="810"/>
      <c r="T963" s="810"/>
      <c r="U963" s="810"/>
      <c r="V963" s="810"/>
      <c r="W963" s="810"/>
      <c r="X963" s="810"/>
      <c r="Y963" s="810"/>
      <c r="Z963" s="810"/>
    </row>
    <row r="964">
      <c r="A964" s="810"/>
      <c r="B964" s="810"/>
      <c r="C964" s="810"/>
      <c r="D964" s="810"/>
      <c r="E964" s="810"/>
      <c r="F964" s="810"/>
      <c r="G964" s="810"/>
      <c r="H964" s="810"/>
      <c r="I964" s="810"/>
      <c r="J964" s="810"/>
      <c r="K964" s="810"/>
      <c r="L964" s="810"/>
      <c r="M964" s="810"/>
      <c r="N964" s="810"/>
      <c r="O964" s="810"/>
      <c r="P964" s="811"/>
      <c r="Q964" s="810"/>
      <c r="R964" s="810"/>
      <c r="S964" s="810"/>
      <c r="T964" s="810"/>
      <c r="U964" s="810"/>
      <c r="V964" s="810"/>
      <c r="W964" s="810"/>
      <c r="X964" s="810"/>
      <c r="Y964" s="810"/>
      <c r="Z964" s="810"/>
    </row>
    <row r="965">
      <c r="A965" s="810"/>
      <c r="B965" s="810"/>
      <c r="C965" s="810"/>
      <c r="D965" s="810"/>
      <c r="E965" s="810"/>
      <c r="F965" s="810"/>
      <c r="G965" s="810"/>
      <c r="H965" s="810"/>
      <c r="I965" s="810"/>
      <c r="J965" s="810"/>
      <c r="K965" s="810"/>
      <c r="L965" s="810"/>
      <c r="M965" s="810"/>
      <c r="N965" s="810"/>
      <c r="O965" s="810"/>
      <c r="P965" s="811"/>
      <c r="Q965" s="810"/>
      <c r="R965" s="810"/>
      <c r="S965" s="810"/>
      <c r="T965" s="810"/>
      <c r="U965" s="810"/>
      <c r="V965" s="810"/>
      <c r="W965" s="810"/>
      <c r="X965" s="810"/>
      <c r="Y965" s="810"/>
      <c r="Z965" s="810"/>
    </row>
    <row r="966">
      <c r="A966" s="810"/>
      <c r="B966" s="810"/>
      <c r="C966" s="810"/>
      <c r="D966" s="810"/>
      <c r="E966" s="810"/>
      <c r="F966" s="810"/>
      <c r="G966" s="810"/>
      <c r="H966" s="810"/>
      <c r="I966" s="810"/>
      <c r="J966" s="810"/>
      <c r="K966" s="810"/>
      <c r="L966" s="810"/>
      <c r="M966" s="810"/>
      <c r="N966" s="810"/>
      <c r="O966" s="810"/>
      <c r="P966" s="811"/>
      <c r="Q966" s="810"/>
      <c r="R966" s="810"/>
      <c r="S966" s="810"/>
      <c r="T966" s="810"/>
      <c r="U966" s="810"/>
      <c r="V966" s="810"/>
      <c r="W966" s="810"/>
      <c r="X966" s="810"/>
      <c r="Y966" s="810"/>
      <c r="Z966" s="810"/>
    </row>
    <row r="967">
      <c r="A967" s="810"/>
      <c r="B967" s="810"/>
      <c r="C967" s="810"/>
      <c r="D967" s="810"/>
      <c r="E967" s="810"/>
      <c r="F967" s="810"/>
      <c r="G967" s="810"/>
      <c r="H967" s="810"/>
      <c r="I967" s="810"/>
      <c r="J967" s="810"/>
      <c r="K967" s="810"/>
      <c r="L967" s="810"/>
      <c r="M967" s="810"/>
      <c r="N967" s="810"/>
      <c r="O967" s="810"/>
      <c r="P967" s="811"/>
      <c r="Q967" s="810"/>
      <c r="R967" s="810"/>
      <c r="S967" s="810"/>
      <c r="T967" s="810"/>
      <c r="U967" s="810"/>
      <c r="V967" s="810"/>
      <c r="W967" s="810"/>
      <c r="X967" s="810"/>
      <c r="Y967" s="810"/>
      <c r="Z967" s="810"/>
    </row>
    <row r="968">
      <c r="A968" s="810"/>
      <c r="B968" s="810"/>
      <c r="C968" s="810"/>
      <c r="D968" s="810"/>
      <c r="E968" s="810"/>
      <c r="F968" s="810"/>
      <c r="G968" s="810"/>
      <c r="H968" s="810"/>
      <c r="I968" s="810"/>
      <c r="J968" s="810"/>
      <c r="K968" s="810"/>
      <c r="L968" s="810"/>
      <c r="M968" s="810"/>
      <c r="N968" s="810"/>
      <c r="O968" s="810"/>
      <c r="P968" s="811"/>
      <c r="Q968" s="810"/>
      <c r="R968" s="810"/>
      <c r="S968" s="810"/>
      <c r="T968" s="810"/>
      <c r="U968" s="810"/>
      <c r="V968" s="810"/>
      <c r="W968" s="810"/>
      <c r="X968" s="810"/>
      <c r="Y968" s="810"/>
      <c r="Z968" s="810"/>
    </row>
    <row r="969">
      <c r="A969" s="810"/>
      <c r="B969" s="810"/>
      <c r="C969" s="810"/>
      <c r="D969" s="810"/>
      <c r="E969" s="810"/>
      <c r="F969" s="810"/>
      <c r="G969" s="810"/>
      <c r="H969" s="810"/>
      <c r="I969" s="810"/>
      <c r="J969" s="810"/>
      <c r="K969" s="810"/>
      <c r="L969" s="810"/>
      <c r="M969" s="810"/>
      <c r="N969" s="810"/>
      <c r="O969" s="810"/>
      <c r="P969" s="811"/>
      <c r="Q969" s="810"/>
      <c r="R969" s="810"/>
      <c r="S969" s="810"/>
      <c r="T969" s="810"/>
      <c r="U969" s="810"/>
      <c r="V969" s="810"/>
      <c r="W969" s="810"/>
      <c r="X969" s="810"/>
      <c r="Y969" s="810"/>
      <c r="Z969" s="810"/>
    </row>
    <row r="970">
      <c r="A970" s="810"/>
      <c r="B970" s="810"/>
      <c r="C970" s="810"/>
      <c r="D970" s="810"/>
      <c r="E970" s="810"/>
      <c r="F970" s="810"/>
      <c r="G970" s="810"/>
      <c r="H970" s="810"/>
      <c r="I970" s="810"/>
      <c r="J970" s="810"/>
      <c r="K970" s="810"/>
      <c r="L970" s="810"/>
      <c r="M970" s="810"/>
      <c r="N970" s="810"/>
      <c r="O970" s="810"/>
      <c r="P970" s="811"/>
      <c r="Q970" s="810"/>
      <c r="R970" s="810"/>
      <c r="S970" s="810"/>
      <c r="T970" s="810"/>
      <c r="U970" s="810"/>
      <c r="V970" s="810"/>
      <c r="W970" s="810"/>
      <c r="X970" s="810"/>
      <c r="Y970" s="810"/>
      <c r="Z970" s="810"/>
    </row>
    <row r="971">
      <c r="A971" s="810"/>
      <c r="B971" s="810"/>
      <c r="C971" s="810"/>
      <c r="D971" s="810"/>
      <c r="E971" s="810"/>
      <c r="F971" s="810"/>
      <c r="G971" s="810"/>
      <c r="H971" s="810"/>
      <c r="I971" s="810"/>
      <c r="J971" s="810"/>
      <c r="K971" s="810"/>
      <c r="L971" s="810"/>
      <c r="M971" s="810"/>
      <c r="N971" s="810"/>
      <c r="O971" s="810"/>
      <c r="P971" s="811"/>
      <c r="Q971" s="810"/>
      <c r="R971" s="810"/>
      <c r="S971" s="810"/>
      <c r="T971" s="810"/>
      <c r="U971" s="810"/>
      <c r="V971" s="810"/>
      <c r="W971" s="810"/>
      <c r="X971" s="810"/>
      <c r="Y971" s="810"/>
      <c r="Z971" s="810"/>
    </row>
    <row r="972">
      <c r="A972" s="810"/>
      <c r="B972" s="810"/>
      <c r="C972" s="810"/>
      <c r="D972" s="810"/>
      <c r="E972" s="810"/>
      <c r="F972" s="810"/>
      <c r="G972" s="810"/>
      <c r="H972" s="810"/>
      <c r="I972" s="810"/>
      <c r="J972" s="810"/>
      <c r="K972" s="810"/>
      <c r="L972" s="810"/>
      <c r="M972" s="810"/>
      <c r="N972" s="810"/>
      <c r="O972" s="810"/>
      <c r="P972" s="811"/>
      <c r="Q972" s="810"/>
      <c r="R972" s="810"/>
      <c r="S972" s="810"/>
      <c r="T972" s="810"/>
      <c r="U972" s="810"/>
      <c r="V972" s="810"/>
      <c r="W972" s="810"/>
      <c r="X972" s="810"/>
      <c r="Y972" s="810"/>
      <c r="Z972" s="810"/>
    </row>
    <row r="973">
      <c r="A973" s="810"/>
      <c r="B973" s="810"/>
      <c r="C973" s="810"/>
      <c r="D973" s="810"/>
      <c r="E973" s="810"/>
      <c r="F973" s="810"/>
      <c r="G973" s="810"/>
      <c r="H973" s="810"/>
      <c r="I973" s="810"/>
      <c r="J973" s="810"/>
      <c r="K973" s="810"/>
      <c r="L973" s="810"/>
      <c r="M973" s="810"/>
      <c r="N973" s="810"/>
      <c r="O973" s="810"/>
      <c r="P973" s="811"/>
      <c r="Q973" s="810"/>
      <c r="R973" s="810"/>
      <c r="S973" s="810"/>
      <c r="T973" s="810"/>
      <c r="U973" s="810"/>
      <c r="V973" s="810"/>
      <c r="W973" s="810"/>
      <c r="X973" s="810"/>
      <c r="Y973" s="810"/>
      <c r="Z973" s="810"/>
    </row>
    <row r="974">
      <c r="A974" s="810"/>
      <c r="B974" s="810"/>
      <c r="C974" s="810"/>
      <c r="D974" s="810"/>
      <c r="E974" s="810"/>
      <c r="F974" s="810"/>
      <c r="G974" s="810"/>
      <c r="H974" s="810"/>
      <c r="I974" s="810"/>
      <c r="J974" s="810"/>
      <c r="K974" s="810"/>
      <c r="L974" s="810"/>
      <c r="M974" s="810"/>
      <c r="N974" s="810"/>
      <c r="O974" s="810"/>
      <c r="P974" s="811"/>
      <c r="Q974" s="810"/>
      <c r="R974" s="810"/>
      <c r="S974" s="810"/>
      <c r="T974" s="810"/>
      <c r="U974" s="810"/>
      <c r="V974" s="810"/>
      <c r="W974" s="810"/>
      <c r="X974" s="810"/>
      <c r="Y974" s="810"/>
      <c r="Z974" s="810"/>
    </row>
    <row r="975">
      <c r="A975" s="810"/>
      <c r="B975" s="810"/>
      <c r="C975" s="810"/>
      <c r="D975" s="810"/>
      <c r="E975" s="810"/>
      <c r="F975" s="810"/>
      <c r="G975" s="810"/>
      <c r="H975" s="810"/>
      <c r="I975" s="810"/>
      <c r="J975" s="810"/>
      <c r="K975" s="810"/>
      <c r="L975" s="810"/>
      <c r="M975" s="810"/>
      <c r="N975" s="810"/>
      <c r="O975" s="810"/>
      <c r="P975" s="811"/>
      <c r="Q975" s="810"/>
      <c r="R975" s="810"/>
      <c r="S975" s="810"/>
      <c r="T975" s="810"/>
      <c r="U975" s="810"/>
      <c r="V975" s="810"/>
      <c r="W975" s="810"/>
      <c r="X975" s="810"/>
      <c r="Y975" s="810"/>
      <c r="Z975" s="810"/>
    </row>
    <row r="976">
      <c r="A976" s="810"/>
      <c r="B976" s="810"/>
      <c r="C976" s="810"/>
      <c r="D976" s="810"/>
      <c r="E976" s="810"/>
      <c r="F976" s="810"/>
      <c r="G976" s="810"/>
      <c r="H976" s="810"/>
      <c r="I976" s="810"/>
      <c r="J976" s="810"/>
      <c r="K976" s="810"/>
      <c r="L976" s="810"/>
      <c r="M976" s="810"/>
      <c r="N976" s="810"/>
      <c r="O976" s="810"/>
      <c r="P976" s="811"/>
      <c r="Q976" s="810"/>
      <c r="R976" s="810"/>
      <c r="S976" s="810"/>
      <c r="T976" s="810"/>
      <c r="U976" s="810"/>
      <c r="V976" s="810"/>
      <c r="W976" s="810"/>
      <c r="X976" s="810"/>
      <c r="Y976" s="810"/>
      <c r="Z976" s="810"/>
    </row>
    <row r="977">
      <c r="A977" s="810"/>
      <c r="B977" s="810"/>
      <c r="C977" s="810"/>
      <c r="D977" s="810"/>
      <c r="E977" s="810"/>
      <c r="F977" s="810"/>
      <c r="G977" s="810"/>
      <c r="H977" s="810"/>
      <c r="I977" s="810"/>
      <c r="J977" s="810"/>
      <c r="K977" s="810"/>
      <c r="L977" s="810"/>
      <c r="M977" s="810"/>
      <c r="N977" s="810"/>
      <c r="O977" s="810"/>
      <c r="P977" s="811"/>
      <c r="Q977" s="810"/>
      <c r="R977" s="810"/>
      <c r="S977" s="810"/>
      <c r="T977" s="810"/>
      <c r="U977" s="810"/>
      <c r="V977" s="810"/>
      <c r="W977" s="810"/>
      <c r="X977" s="810"/>
      <c r="Y977" s="810"/>
      <c r="Z977" s="810"/>
    </row>
    <row r="978">
      <c r="A978" s="810"/>
      <c r="B978" s="810"/>
      <c r="C978" s="810"/>
      <c r="D978" s="810"/>
      <c r="E978" s="810"/>
      <c r="F978" s="810"/>
      <c r="G978" s="810"/>
      <c r="H978" s="810"/>
      <c r="I978" s="810"/>
      <c r="J978" s="810"/>
      <c r="K978" s="810"/>
      <c r="L978" s="810"/>
      <c r="M978" s="810"/>
      <c r="N978" s="810"/>
      <c r="O978" s="810"/>
      <c r="P978" s="811"/>
      <c r="Q978" s="810"/>
      <c r="R978" s="810"/>
      <c r="S978" s="810"/>
      <c r="T978" s="810"/>
      <c r="U978" s="810"/>
      <c r="V978" s="810"/>
      <c r="W978" s="810"/>
      <c r="X978" s="810"/>
      <c r="Y978" s="810"/>
      <c r="Z978" s="810"/>
    </row>
    <row r="979">
      <c r="A979" s="810"/>
      <c r="B979" s="810"/>
      <c r="C979" s="810"/>
      <c r="D979" s="810"/>
      <c r="E979" s="810"/>
      <c r="F979" s="810"/>
      <c r="G979" s="810"/>
      <c r="H979" s="810"/>
      <c r="I979" s="810"/>
      <c r="J979" s="810"/>
      <c r="K979" s="810"/>
      <c r="L979" s="810"/>
      <c r="M979" s="810"/>
      <c r="N979" s="810"/>
      <c r="O979" s="810"/>
      <c r="P979" s="811"/>
      <c r="Q979" s="810"/>
      <c r="R979" s="810"/>
      <c r="S979" s="810"/>
      <c r="T979" s="810"/>
      <c r="U979" s="810"/>
      <c r="V979" s="810"/>
      <c r="W979" s="810"/>
      <c r="X979" s="810"/>
      <c r="Y979" s="810"/>
      <c r="Z979" s="810"/>
    </row>
    <row r="980">
      <c r="A980" s="810"/>
      <c r="B980" s="810"/>
      <c r="C980" s="810"/>
      <c r="D980" s="810"/>
      <c r="E980" s="810"/>
      <c r="F980" s="810"/>
      <c r="G980" s="810"/>
      <c r="H980" s="810"/>
      <c r="I980" s="810"/>
      <c r="J980" s="810"/>
      <c r="K980" s="810"/>
      <c r="L980" s="810"/>
      <c r="M980" s="810"/>
      <c r="N980" s="810"/>
      <c r="O980" s="810"/>
      <c r="P980" s="811"/>
      <c r="Q980" s="810"/>
      <c r="R980" s="810"/>
      <c r="S980" s="810"/>
      <c r="T980" s="810"/>
      <c r="U980" s="810"/>
      <c r="V980" s="810"/>
      <c r="W980" s="810"/>
      <c r="X980" s="810"/>
      <c r="Y980" s="810"/>
      <c r="Z980" s="810"/>
    </row>
    <row r="981">
      <c r="A981" s="810"/>
      <c r="B981" s="810"/>
      <c r="C981" s="810"/>
      <c r="D981" s="810"/>
      <c r="E981" s="810"/>
      <c r="F981" s="810"/>
      <c r="G981" s="810"/>
      <c r="H981" s="810"/>
      <c r="I981" s="810"/>
      <c r="J981" s="810"/>
      <c r="K981" s="810"/>
      <c r="L981" s="810"/>
      <c r="M981" s="810"/>
      <c r="N981" s="810"/>
      <c r="O981" s="810"/>
      <c r="P981" s="811"/>
      <c r="Q981" s="810"/>
      <c r="R981" s="810"/>
      <c r="S981" s="810"/>
      <c r="T981" s="810"/>
      <c r="U981" s="810"/>
      <c r="V981" s="810"/>
      <c r="W981" s="810"/>
      <c r="X981" s="810"/>
      <c r="Y981" s="810"/>
      <c r="Z981" s="810"/>
    </row>
    <row r="982">
      <c r="A982" s="810"/>
      <c r="B982" s="810"/>
      <c r="C982" s="810"/>
      <c r="D982" s="810"/>
      <c r="E982" s="810"/>
      <c r="F982" s="810"/>
      <c r="G982" s="810"/>
      <c r="H982" s="810"/>
      <c r="I982" s="810"/>
      <c r="J982" s="810"/>
      <c r="K982" s="810"/>
      <c r="L982" s="810"/>
      <c r="M982" s="810"/>
      <c r="N982" s="810"/>
      <c r="O982" s="810"/>
      <c r="P982" s="811"/>
      <c r="Q982" s="810"/>
      <c r="R982" s="810"/>
      <c r="S982" s="810"/>
      <c r="T982" s="810"/>
      <c r="U982" s="810"/>
      <c r="V982" s="810"/>
      <c r="W982" s="810"/>
      <c r="X982" s="810"/>
      <c r="Y982" s="810"/>
      <c r="Z982" s="810"/>
    </row>
    <row r="983">
      <c r="A983" s="810"/>
      <c r="B983" s="810"/>
      <c r="C983" s="810"/>
      <c r="D983" s="810"/>
      <c r="E983" s="810"/>
      <c r="F983" s="810"/>
      <c r="G983" s="810"/>
      <c r="H983" s="810"/>
      <c r="I983" s="810"/>
      <c r="J983" s="810"/>
      <c r="K983" s="810"/>
      <c r="L983" s="810"/>
      <c r="M983" s="810"/>
      <c r="N983" s="810"/>
      <c r="O983" s="810"/>
      <c r="P983" s="811"/>
      <c r="Q983" s="810"/>
      <c r="R983" s="810"/>
      <c r="S983" s="810"/>
      <c r="T983" s="810"/>
      <c r="U983" s="810"/>
      <c r="V983" s="810"/>
      <c r="W983" s="810"/>
      <c r="X983" s="810"/>
      <c r="Y983" s="810"/>
      <c r="Z983" s="810"/>
    </row>
    <row r="984">
      <c r="A984" s="810"/>
      <c r="B984" s="810"/>
      <c r="C984" s="810"/>
      <c r="D984" s="810"/>
      <c r="E984" s="810"/>
      <c r="F984" s="810"/>
      <c r="G984" s="810"/>
      <c r="H984" s="810"/>
      <c r="I984" s="810"/>
      <c r="J984" s="810"/>
      <c r="K984" s="810"/>
      <c r="L984" s="810"/>
      <c r="M984" s="810"/>
      <c r="N984" s="810"/>
      <c r="O984" s="810"/>
      <c r="P984" s="811"/>
      <c r="Q984" s="810"/>
      <c r="R984" s="810"/>
      <c r="S984" s="810"/>
      <c r="T984" s="810"/>
      <c r="U984" s="810"/>
      <c r="V984" s="810"/>
      <c r="W984" s="810"/>
      <c r="X984" s="810"/>
      <c r="Y984" s="810"/>
      <c r="Z984" s="810"/>
    </row>
    <row r="985">
      <c r="A985" s="810"/>
      <c r="B985" s="810"/>
      <c r="C985" s="810"/>
      <c r="D985" s="810"/>
      <c r="E985" s="810"/>
      <c r="F985" s="810"/>
      <c r="G985" s="810"/>
      <c r="H985" s="810"/>
      <c r="I985" s="810"/>
      <c r="J985" s="810"/>
      <c r="K985" s="810"/>
      <c r="L985" s="810"/>
      <c r="M985" s="810"/>
      <c r="N985" s="810"/>
      <c r="O985" s="810"/>
      <c r="P985" s="811"/>
      <c r="Q985" s="810"/>
      <c r="R985" s="810"/>
      <c r="S985" s="810"/>
      <c r="T985" s="810"/>
      <c r="U985" s="810"/>
      <c r="V985" s="810"/>
      <c r="W985" s="810"/>
      <c r="X985" s="810"/>
      <c r="Y985" s="810"/>
      <c r="Z985" s="810"/>
    </row>
    <row r="986">
      <c r="A986" s="810"/>
      <c r="B986" s="810"/>
      <c r="C986" s="810"/>
      <c r="D986" s="810"/>
      <c r="E986" s="810"/>
      <c r="F986" s="810"/>
      <c r="G986" s="810"/>
      <c r="H986" s="810"/>
      <c r="I986" s="810"/>
      <c r="J986" s="810"/>
      <c r="K986" s="810"/>
      <c r="L986" s="810"/>
      <c r="M986" s="810"/>
      <c r="N986" s="810"/>
      <c r="O986" s="810"/>
      <c r="P986" s="811"/>
      <c r="Q986" s="810"/>
      <c r="R986" s="810"/>
      <c r="S986" s="810"/>
      <c r="T986" s="810"/>
      <c r="U986" s="810"/>
      <c r="V986" s="810"/>
      <c r="W986" s="810"/>
      <c r="X986" s="810"/>
      <c r="Y986" s="810"/>
      <c r="Z986" s="810"/>
    </row>
    <row r="987">
      <c r="A987" s="810"/>
      <c r="B987" s="810"/>
      <c r="C987" s="810"/>
      <c r="D987" s="810"/>
      <c r="E987" s="810"/>
      <c r="F987" s="810"/>
      <c r="G987" s="810"/>
      <c r="H987" s="810"/>
      <c r="I987" s="810"/>
      <c r="J987" s="810"/>
      <c r="K987" s="810"/>
      <c r="L987" s="810"/>
      <c r="M987" s="810"/>
      <c r="N987" s="810"/>
      <c r="O987" s="810"/>
      <c r="P987" s="811"/>
      <c r="Q987" s="810"/>
      <c r="R987" s="810"/>
      <c r="S987" s="810"/>
      <c r="T987" s="810"/>
      <c r="U987" s="810"/>
      <c r="V987" s="810"/>
      <c r="W987" s="810"/>
      <c r="X987" s="810"/>
      <c r="Y987" s="810"/>
      <c r="Z987" s="810"/>
    </row>
    <row r="988">
      <c r="A988" s="810"/>
      <c r="B988" s="810"/>
      <c r="C988" s="810"/>
      <c r="D988" s="810"/>
      <c r="E988" s="810"/>
      <c r="F988" s="810"/>
      <c r="G988" s="810"/>
      <c r="H988" s="810"/>
      <c r="I988" s="810"/>
      <c r="J988" s="810"/>
      <c r="K988" s="810"/>
      <c r="L988" s="810"/>
      <c r="M988" s="810"/>
      <c r="N988" s="810"/>
      <c r="O988" s="810"/>
      <c r="P988" s="811"/>
      <c r="Q988" s="810"/>
      <c r="R988" s="810"/>
      <c r="S988" s="810"/>
      <c r="T988" s="810"/>
      <c r="U988" s="810"/>
      <c r="V988" s="810"/>
      <c r="W988" s="810"/>
      <c r="X988" s="810"/>
      <c r="Y988" s="810"/>
      <c r="Z988" s="810"/>
    </row>
    <row r="989">
      <c r="A989" s="810"/>
      <c r="B989" s="810"/>
      <c r="C989" s="810"/>
      <c r="D989" s="810"/>
      <c r="E989" s="810"/>
      <c r="F989" s="810"/>
      <c r="G989" s="810"/>
      <c r="H989" s="810"/>
      <c r="I989" s="810"/>
      <c r="J989" s="810"/>
      <c r="K989" s="810"/>
      <c r="L989" s="810"/>
      <c r="M989" s="810"/>
      <c r="N989" s="810"/>
      <c r="O989" s="810"/>
      <c r="P989" s="811"/>
      <c r="Q989" s="810"/>
      <c r="R989" s="810"/>
      <c r="S989" s="810"/>
      <c r="T989" s="810"/>
      <c r="U989" s="810"/>
      <c r="V989" s="810"/>
      <c r="W989" s="810"/>
      <c r="X989" s="810"/>
      <c r="Y989" s="810"/>
      <c r="Z989" s="810"/>
    </row>
    <row r="990">
      <c r="A990" s="810"/>
      <c r="B990" s="810"/>
      <c r="C990" s="810"/>
      <c r="D990" s="810"/>
      <c r="E990" s="810"/>
      <c r="F990" s="810"/>
      <c r="G990" s="810"/>
      <c r="H990" s="810"/>
      <c r="I990" s="810"/>
      <c r="J990" s="810"/>
      <c r="K990" s="810"/>
      <c r="L990" s="810"/>
      <c r="M990" s="810"/>
      <c r="N990" s="810"/>
      <c r="O990" s="810"/>
      <c r="P990" s="811"/>
      <c r="Q990" s="810"/>
      <c r="R990" s="810"/>
      <c r="S990" s="810"/>
      <c r="T990" s="810"/>
      <c r="U990" s="810"/>
      <c r="V990" s="810"/>
      <c r="W990" s="810"/>
      <c r="X990" s="810"/>
      <c r="Y990" s="810"/>
      <c r="Z990" s="810"/>
    </row>
    <row r="991">
      <c r="A991" s="810"/>
      <c r="B991" s="810"/>
      <c r="C991" s="810"/>
      <c r="D991" s="810"/>
      <c r="E991" s="810"/>
      <c r="F991" s="810"/>
      <c r="G991" s="810"/>
      <c r="H991" s="810"/>
      <c r="I991" s="810"/>
      <c r="J991" s="810"/>
      <c r="K991" s="810"/>
      <c r="L991" s="810"/>
      <c r="M991" s="810"/>
      <c r="N991" s="810"/>
      <c r="O991" s="810"/>
      <c r="P991" s="811"/>
      <c r="Q991" s="810"/>
      <c r="R991" s="810"/>
      <c r="S991" s="810"/>
      <c r="T991" s="810"/>
      <c r="U991" s="810"/>
      <c r="V991" s="810"/>
      <c r="W991" s="810"/>
      <c r="X991" s="810"/>
      <c r="Y991" s="810"/>
      <c r="Z991" s="810"/>
    </row>
    <row r="992">
      <c r="A992" s="810"/>
      <c r="B992" s="810"/>
      <c r="C992" s="810"/>
      <c r="D992" s="810"/>
      <c r="E992" s="810"/>
      <c r="F992" s="810"/>
      <c r="G992" s="810"/>
      <c r="H992" s="810"/>
      <c r="I992" s="810"/>
      <c r="J992" s="810"/>
      <c r="K992" s="810"/>
      <c r="L992" s="810"/>
      <c r="M992" s="810"/>
      <c r="N992" s="810"/>
      <c r="O992" s="810"/>
      <c r="P992" s="811"/>
      <c r="Q992" s="810"/>
      <c r="R992" s="810"/>
      <c r="S992" s="810"/>
      <c r="T992" s="810"/>
      <c r="U992" s="810"/>
      <c r="V992" s="810"/>
      <c r="W992" s="810"/>
      <c r="X992" s="810"/>
      <c r="Y992" s="810"/>
      <c r="Z992" s="810"/>
    </row>
    <row r="993">
      <c r="A993" s="810"/>
      <c r="B993" s="810"/>
      <c r="C993" s="810"/>
      <c r="D993" s="810"/>
      <c r="E993" s="810"/>
      <c r="F993" s="810"/>
      <c r="G993" s="810"/>
      <c r="H993" s="810"/>
      <c r="I993" s="810"/>
      <c r="J993" s="810"/>
      <c r="K993" s="810"/>
      <c r="L993" s="810"/>
      <c r="M993" s="810"/>
      <c r="N993" s="810"/>
      <c r="O993" s="810"/>
      <c r="P993" s="811"/>
      <c r="Q993" s="810"/>
      <c r="R993" s="810"/>
      <c r="S993" s="810"/>
      <c r="T993" s="810"/>
      <c r="U993" s="810"/>
      <c r="V993" s="810"/>
      <c r="W993" s="810"/>
      <c r="X993" s="810"/>
      <c r="Y993" s="810"/>
      <c r="Z993" s="810"/>
    </row>
    <row r="994">
      <c r="A994" s="810"/>
      <c r="B994" s="810"/>
      <c r="C994" s="810"/>
      <c r="D994" s="810"/>
      <c r="E994" s="810"/>
      <c r="F994" s="810"/>
      <c r="G994" s="810"/>
      <c r="H994" s="810"/>
      <c r="I994" s="810"/>
      <c r="J994" s="810"/>
      <c r="K994" s="810"/>
      <c r="L994" s="810"/>
      <c r="M994" s="810"/>
      <c r="N994" s="810"/>
      <c r="O994" s="810"/>
      <c r="P994" s="811"/>
      <c r="Q994" s="810"/>
      <c r="R994" s="810"/>
      <c r="S994" s="810"/>
      <c r="T994" s="810"/>
      <c r="U994" s="810"/>
      <c r="V994" s="810"/>
      <c r="W994" s="810"/>
      <c r="X994" s="810"/>
      <c r="Y994" s="810"/>
      <c r="Z994" s="810"/>
    </row>
    <row r="995">
      <c r="A995" s="810"/>
      <c r="B995" s="810"/>
      <c r="C995" s="810"/>
      <c r="D995" s="810"/>
      <c r="E995" s="810"/>
      <c r="F995" s="810"/>
      <c r="G995" s="810"/>
      <c r="H995" s="810"/>
      <c r="I995" s="810"/>
      <c r="J995" s="810"/>
      <c r="K995" s="810"/>
      <c r="L995" s="810"/>
      <c r="M995" s="810"/>
      <c r="N995" s="810"/>
      <c r="O995" s="810"/>
      <c r="P995" s="811"/>
      <c r="Q995" s="810"/>
      <c r="R995" s="810"/>
      <c r="S995" s="810"/>
      <c r="T995" s="810"/>
      <c r="U995" s="810"/>
      <c r="V995" s="810"/>
      <c r="W995" s="810"/>
      <c r="X995" s="810"/>
      <c r="Y995" s="810"/>
      <c r="Z995" s="810"/>
    </row>
    <row r="996">
      <c r="A996" s="810"/>
      <c r="B996" s="810"/>
      <c r="C996" s="810"/>
      <c r="D996" s="810"/>
      <c r="E996" s="810"/>
      <c r="F996" s="810"/>
      <c r="G996" s="810"/>
      <c r="H996" s="810"/>
      <c r="I996" s="810"/>
      <c r="J996" s="810"/>
      <c r="K996" s="810"/>
      <c r="L996" s="810"/>
      <c r="M996" s="810"/>
      <c r="N996" s="810"/>
      <c r="O996" s="810"/>
      <c r="P996" s="811"/>
      <c r="Q996" s="810"/>
      <c r="R996" s="810"/>
      <c r="S996" s="810"/>
      <c r="T996" s="810"/>
      <c r="U996" s="810"/>
      <c r="V996" s="810"/>
      <c r="W996" s="810"/>
      <c r="X996" s="810"/>
      <c r="Y996" s="810"/>
      <c r="Z996" s="810"/>
    </row>
    <row r="997">
      <c r="A997" s="810"/>
      <c r="B997" s="810"/>
      <c r="C997" s="810"/>
      <c r="D997" s="810"/>
      <c r="E997" s="810"/>
      <c r="F997" s="810"/>
      <c r="G997" s="810"/>
      <c r="H997" s="810"/>
      <c r="I997" s="810"/>
      <c r="J997" s="810"/>
      <c r="K997" s="810"/>
      <c r="L997" s="810"/>
      <c r="M997" s="810"/>
      <c r="N997" s="810"/>
      <c r="O997" s="810"/>
      <c r="P997" s="811"/>
      <c r="Q997" s="810"/>
      <c r="R997" s="810"/>
      <c r="S997" s="810"/>
      <c r="T997" s="810"/>
      <c r="U997" s="810"/>
      <c r="V997" s="810"/>
      <c r="W997" s="810"/>
      <c r="X997" s="810"/>
      <c r="Y997" s="810"/>
      <c r="Z997" s="810"/>
    </row>
    <row r="998">
      <c r="A998" s="810"/>
      <c r="B998" s="810"/>
      <c r="C998" s="810"/>
      <c r="D998" s="810"/>
      <c r="E998" s="810"/>
      <c r="F998" s="810"/>
      <c r="G998" s="810"/>
      <c r="H998" s="810"/>
      <c r="I998" s="810"/>
      <c r="J998" s="810"/>
      <c r="K998" s="810"/>
      <c r="L998" s="810"/>
      <c r="M998" s="810"/>
      <c r="N998" s="810"/>
      <c r="O998" s="810"/>
      <c r="P998" s="811"/>
      <c r="Q998" s="810"/>
      <c r="R998" s="810"/>
      <c r="S998" s="810"/>
      <c r="T998" s="810"/>
      <c r="U998" s="810"/>
      <c r="V998" s="810"/>
      <c r="W998" s="810"/>
      <c r="X998" s="810"/>
      <c r="Y998" s="810"/>
      <c r="Z998" s="810"/>
    </row>
    <row r="999">
      <c r="A999" s="810"/>
      <c r="B999" s="810"/>
      <c r="C999" s="810"/>
      <c r="D999" s="810"/>
      <c r="E999" s="810"/>
      <c r="F999" s="810"/>
      <c r="G999" s="810"/>
      <c r="H999" s="810"/>
      <c r="I999" s="810"/>
      <c r="J999" s="810"/>
      <c r="K999" s="810"/>
      <c r="L999" s="810"/>
      <c r="M999" s="810"/>
      <c r="N999" s="810"/>
      <c r="O999" s="810"/>
      <c r="P999" s="811"/>
      <c r="Q999" s="810"/>
      <c r="R999" s="810"/>
      <c r="S999" s="810"/>
      <c r="T999" s="810"/>
      <c r="U999" s="810"/>
      <c r="V999" s="810"/>
      <c r="W999" s="810"/>
      <c r="X999" s="810"/>
      <c r="Y999" s="810"/>
      <c r="Z999" s="810"/>
    </row>
    <row r="1000">
      <c r="A1000" s="810"/>
      <c r="B1000" s="810"/>
      <c r="C1000" s="810"/>
      <c r="D1000" s="810"/>
      <c r="E1000" s="810"/>
      <c r="F1000" s="810"/>
      <c r="G1000" s="810"/>
      <c r="H1000" s="810"/>
      <c r="I1000" s="810"/>
      <c r="J1000" s="810"/>
      <c r="K1000" s="810"/>
      <c r="L1000" s="810"/>
      <c r="M1000" s="810"/>
      <c r="N1000" s="810"/>
      <c r="O1000" s="810"/>
      <c r="P1000" s="811"/>
      <c r="Q1000" s="810"/>
      <c r="R1000" s="810"/>
      <c r="S1000" s="810"/>
      <c r="T1000" s="810"/>
      <c r="U1000" s="810"/>
      <c r="V1000" s="810"/>
      <c r="W1000" s="810"/>
      <c r="X1000" s="810"/>
      <c r="Y1000" s="810"/>
      <c r="Z1000" s="810"/>
    </row>
  </sheetData>
  <mergeCells count="12">
    <mergeCell ref="B4:G4"/>
    <mergeCell ref="B5:G5"/>
    <mergeCell ref="B6:G6"/>
    <mergeCell ref="B7:G7"/>
    <mergeCell ref="L9:P9"/>
    <mergeCell ref="B1:G1"/>
    <mergeCell ref="H1:H7"/>
    <mergeCell ref="I1:K1"/>
    <mergeCell ref="B2:G2"/>
    <mergeCell ref="I2:K7"/>
    <mergeCell ref="B3:E3"/>
    <mergeCell ref="F3:G3"/>
  </mergeCells>
  <hyperlinks>
    <hyperlink r:id="rId1" ref="B2"/>
    <hyperlink r:id="rId2" ref="B4"/>
    <hyperlink r:id="rId3" ref="B5"/>
    <hyperlink r:id="rId4" ref="B6"/>
    <hyperlink r:id="rId5" ref="B7"/>
  </hyperlinks>
  <drawing r:id="rId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0.5"/>
    <col customWidth="1" min="3" max="3" width="17.13"/>
    <col customWidth="1" min="4" max="5" width="12.13"/>
    <col customWidth="1" min="6" max="26" width="8.0"/>
  </cols>
  <sheetData>
    <row r="1" ht="54.75" customHeight="1">
      <c r="A1" s="865"/>
      <c r="B1" s="866"/>
      <c r="C1" s="867"/>
      <c r="D1" s="867"/>
      <c r="E1" s="868"/>
      <c r="F1" s="868"/>
      <c r="G1" s="868"/>
      <c r="H1" s="868"/>
      <c r="I1" s="865"/>
      <c r="J1" s="865"/>
      <c r="K1" s="865"/>
      <c r="L1" s="865"/>
      <c r="M1" s="865"/>
      <c r="N1" s="865"/>
      <c r="O1" s="865"/>
      <c r="P1" s="865"/>
      <c r="Q1" s="865"/>
      <c r="R1" s="865"/>
      <c r="S1" s="865"/>
      <c r="T1" s="865"/>
      <c r="U1" s="865"/>
      <c r="V1" s="865"/>
      <c r="W1" s="865"/>
      <c r="X1" s="865"/>
      <c r="Y1" s="865"/>
      <c r="Z1" s="865"/>
    </row>
    <row r="2" ht="14.25" customHeight="1">
      <c r="A2" s="869"/>
      <c r="B2" s="869"/>
      <c r="C2" s="869"/>
      <c r="D2" s="869"/>
      <c r="E2" s="869"/>
      <c r="F2" s="869"/>
      <c r="G2" s="869"/>
      <c r="H2" s="869"/>
      <c r="I2" s="869"/>
      <c r="J2" s="869"/>
      <c r="K2" s="869"/>
      <c r="L2" s="869"/>
      <c r="M2" s="869"/>
      <c r="N2" s="869"/>
      <c r="O2" s="869"/>
      <c r="P2" s="869"/>
      <c r="Q2" s="869"/>
      <c r="R2" s="869"/>
      <c r="S2" s="869"/>
      <c r="T2" s="869"/>
      <c r="U2" s="869"/>
      <c r="V2" s="869"/>
      <c r="W2" s="869"/>
      <c r="X2" s="869"/>
      <c r="Y2" s="869"/>
      <c r="Z2" s="869"/>
    </row>
    <row r="3" ht="14.25" customHeight="1">
      <c r="A3" s="869"/>
      <c r="B3" s="870" t="s">
        <v>38520</v>
      </c>
      <c r="C3" s="870"/>
      <c r="D3" s="870"/>
      <c r="E3" s="870"/>
      <c r="F3" s="870"/>
      <c r="G3" s="870"/>
      <c r="H3" s="870"/>
      <c r="I3" s="869"/>
      <c r="J3" s="869"/>
      <c r="K3" s="869"/>
      <c r="L3" s="869"/>
      <c r="M3" s="869"/>
      <c r="N3" s="869"/>
      <c r="O3" s="869"/>
      <c r="P3" s="869"/>
      <c r="Q3" s="869"/>
      <c r="R3" s="869"/>
      <c r="S3" s="869"/>
      <c r="T3" s="869"/>
      <c r="U3" s="869"/>
      <c r="V3" s="869"/>
      <c r="W3" s="869"/>
      <c r="X3" s="869"/>
      <c r="Y3" s="869"/>
      <c r="Z3" s="869"/>
    </row>
    <row r="4" ht="14.25" customHeight="1">
      <c r="A4" s="869"/>
      <c r="B4" s="869"/>
      <c r="C4" s="871"/>
      <c r="D4" s="869"/>
      <c r="E4" s="869"/>
      <c r="F4" s="869"/>
      <c r="G4" s="869"/>
      <c r="H4" s="869"/>
      <c r="I4" s="869"/>
      <c r="J4" s="869"/>
      <c r="K4" s="869"/>
      <c r="L4" s="869"/>
      <c r="M4" s="869"/>
      <c r="N4" s="869"/>
      <c r="O4" s="869"/>
      <c r="P4" s="869"/>
      <c r="Q4" s="869"/>
      <c r="R4" s="869"/>
      <c r="S4" s="869"/>
      <c r="T4" s="869"/>
      <c r="U4" s="869"/>
      <c r="V4" s="869"/>
      <c r="W4" s="869"/>
      <c r="X4" s="869"/>
      <c r="Y4" s="869"/>
      <c r="Z4" s="869"/>
    </row>
    <row r="5" ht="14.25" customHeight="1">
      <c r="A5" s="872"/>
      <c r="B5" s="872" t="s">
        <v>16808</v>
      </c>
      <c r="C5" s="873" t="s">
        <v>18766</v>
      </c>
      <c r="D5" s="872"/>
      <c r="E5" s="872"/>
      <c r="F5" s="872"/>
      <c r="G5" s="872"/>
      <c r="H5" s="872"/>
      <c r="I5" s="872"/>
      <c r="J5" s="872"/>
      <c r="K5" s="872"/>
      <c r="L5" s="872"/>
      <c r="M5" s="872"/>
      <c r="N5" s="872"/>
      <c r="O5" s="872"/>
      <c r="P5" s="872"/>
      <c r="Q5" s="872"/>
      <c r="R5" s="872"/>
      <c r="S5" s="872"/>
      <c r="T5" s="872"/>
      <c r="U5" s="872"/>
      <c r="V5" s="872"/>
      <c r="W5" s="872"/>
      <c r="X5" s="872"/>
      <c r="Y5" s="872"/>
      <c r="Z5" s="872"/>
    </row>
    <row r="6" ht="14.25" customHeight="1">
      <c r="A6" s="872"/>
      <c r="B6" s="872"/>
      <c r="C6" s="872"/>
      <c r="D6" s="872"/>
      <c r="E6" s="872"/>
      <c r="F6" s="872"/>
      <c r="G6" s="872"/>
      <c r="H6" s="872"/>
      <c r="I6" s="872"/>
      <c r="J6" s="872"/>
      <c r="K6" s="872"/>
      <c r="L6" s="872"/>
      <c r="M6" s="872"/>
      <c r="N6" s="872"/>
      <c r="O6" s="872"/>
      <c r="P6" s="872"/>
      <c r="Q6" s="872"/>
      <c r="R6" s="872"/>
      <c r="S6" s="872"/>
      <c r="T6" s="872"/>
      <c r="U6" s="872"/>
      <c r="V6" s="872"/>
      <c r="W6" s="872"/>
      <c r="X6" s="872"/>
      <c r="Y6" s="872"/>
      <c r="Z6" s="872"/>
    </row>
    <row r="7" ht="14.25" customHeight="1">
      <c r="A7" s="872"/>
      <c r="B7" s="874" t="s">
        <v>38521</v>
      </c>
      <c r="C7" s="874"/>
      <c r="D7" s="875">
        <v>2.0</v>
      </c>
      <c r="E7" s="876">
        <f>D7-1</f>
        <v>1</v>
      </c>
      <c r="F7" s="872"/>
      <c r="G7" s="872"/>
      <c r="H7" s="872"/>
      <c r="I7" s="872"/>
      <c r="J7" s="872"/>
      <c r="K7" s="872"/>
      <c r="L7" s="872"/>
      <c r="M7" s="872"/>
      <c r="N7" s="872"/>
      <c r="O7" s="872"/>
      <c r="P7" s="872"/>
      <c r="Q7" s="872"/>
      <c r="R7" s="872"/>
      <c r="S7" s="872"/>
      <c r="T7" s="872"/>
      <c r="U7" s="872"/>
      <c r="V7" s="872"/>
      <c r="W7" s="872"/>
      <c r="X7" s="872"/>
      <c r="Y7" s="872"/>
      <c r="Z7" s="872"/>
    </row>
    <row r="8" ht="14.25" customHeight="1">
      <c r="A8" s="872"/>
      <c r="B8" s="872" t="s">
        <v>32932</v>
      </c>
      <c r="C8" s="872"/>
      <c r="D8" s="877">
        <v>1.4101E10</v>
      </c>
      <c r="E8" s="877">
        <v>1.1338E10</v>
      </c>
      <c r="F8" s="872"/>
      <c r="G8" s="872"/>
      <c r="H8" s="872"/>
      <c r="I8" s="872"/>
      <c r="J8" s="872"/>
      <c r="K8" s="872"/>
      <c r="L8" s="872"/>
      <c r="M8" s="872"/>
      <c r="N8" s="872"/>
      <c r="O8" s="872"/>
      <c r="P8" s="872"/>
      <c r="Q8" s="872"/>
      <c r="R8" s="872"/>
      <c r="S8" s="872"/>
      <c r="T8" s="872"/>
      <c r="U8" s="872"/>
      <c r="V8" s="872"/>
      <c r="W8" s="872"/>
      <c r="X8" s="872"/>
      <c r="Y8" s="872"/>
      <c r="Z8" s="872"/>
    </row>
    <row r="9" ht="14.25" customHeight="1">
      <c r="A9" s="872"/>
      <c r="B9" s="872" t="s">
        <v>38522</v>
      </c>
      <c r="C9" s="872"/>
      <c r="D9" s="877">
        <v>1.1689E10</v>
      </c>
      <c r="E9" s="877">
        <v>9.485E9</v>
      </c>
      <c r="F9" s="872"/>
      <c r="G9" s="872"/>
      <c r="H9" s="872"/>
      <c r="I9" s="872"/>
      <c r="J9" s="872"/>
      <c r="K9" s="872"/>
      <c r="L9" s="872"/>
      <c r="M9" s="872"/>
      <c r="N9" s="872"/>
      <c r="O9" s="872"/>
      <c r="P9" s="872"/>
      <c r="Q9" s="872"/>
      <c r="R9" s="872"/>
      <c r="S9" s="872"/>
      <c r="T9" s="872"/>
      <c r="U9" s="872"/>
      <c r="V9" s="872"/>
      <c r="W9" s="872"/>
      <c r="X9" s="872"/>
      <c r="Y9" s="872"/>
      <c r="Z9" s="872"/>
    </row>
    <row r="10" ht="14.25" customHeight="1">
      <c r="A10" s="872"/>
      <c r="B10" s="872" t="s">
        <v>38523</v>
      </c>
      <c r="C10" s="872"/>
      <c r="D10" s="877">
        <v>1.25E9</v>
      </c>
      <c r="E10" s="877">
        <v>1.238E9</v>
      </c>
      <c r="F10" s="878" t="s">
        <v>38524</v>
      </c>
      <c r="G10" s="872"/>
      <c r="H10" s="872"/>
      <c r="I10" s="872"/>
      <c r="J10" s="872"/>
      <c r="K10" s="872"/>
      <c r="L10" s="872"/>
      <c r="M10" s="872"/>
      <c r="N10" s="872"/>
      <c r="O10" s="872"/>
      <c r="P10" s="872"/>
      <c r="Q10" s="872"/>
      <c r="R10" s="872"/>
      <c r="S10" s="872"/>
      <c r="T10" s="872"/>
      <c r="U10" s="872"/>
      <c r="V10" s="872"/>
      <c r="W10" s="872"/>
      <c r="X10" s="872"/>
      <c r="Y10" s="872"/>
      <c r="Z10" s="872"/>
    </row>
    <row r="11" ht="14.25" customHeight="1">
      <c r="A11" s="872"/>
      <c r="B11" s="872" t="s">
        <v>32284</v>
      </c>
      <c r="C11" s="872"/>
      <c r="D11" s="877">
        <v>5.09E8</v>
      </c>
      <c r="E11" s="877">
        <v>5.17E8</v>
      </c>
      <c r="F11" s="878" t="s">
        <v>38525</v>
      </c>
      <c r="G11" s="872"/>
      <c r="H11" s="872"/>
      <c r="I11" s="872"/>
      <c r="J11" s="872"/>
      <c r="K11" s="872"/>
      <c r="L11" s="872"/>
      <c r="M11" s="872"/>
      <c r="N11" s="872"/>
      <c r="O11" s="872"/>
      <c r="P11" s="872"/>
      <c r="Q11" s="872"/>
      <c r="R11" s="872"/>
      <c r="S11" s="872"/>
      <c r="T11" s="872"/>
      <c r="U11" s="872"/>
      <c r="V11" s="872"/>
      <c r="W11" s="872"/>
      <c r="X11" s="872"/>
      <c r="Y11" s="872"/>
      <c r="Z11" s="872"/>
    </row>
    <row r="12" ht="14.25" customHeight="1">
      <c r="A12" s="872"/>
      <c r="B12" s="872" t="s">
        <v>38526</v>
      </c>
      <c r="C12" s="872"/>
      <c r="D12" s="879">
        <v>10073.0</v>
      </c>
      <c r="E12" s="879">
        <v>3033.0</v>
      </c>
      <c r="F12" s="872"/>
      <c r="G12" s="872"/>
      <c r="H12" s="872"/>
      <c r="I12" s="872"/>
      <c r="J12" s="872"/>
      <c r="K12" s="872"/>
      <c r="L12" s="872"/>
      <c r="M12" s="872"/>
      <c r="N12" s="872"/>
      <c r="O12" s="872"/>
      <c r="P12" s="872"/>
      <c r="Q12" s="872"/>
      <c r="R12" s="872"/>
      <c r="S12" s="872"/>
      <c r="T12" s="872"/>
      <c r="U12" s="872"/>
      <c r="V12" s="872"/>
      <c r="W12" s="872"/>
      <c r="X12" s="872"/>
      <c r="Y12" s="872"/>
      <c r="Z12" s="872"/>
    </row>
    <row r="13" ht="14.25" customHeight="1">
      <c r="A13" s="872"/>
      <c r="B13" s="872" t="s">
        <v>38527</v>
      </c>
      <c r="C13" s="872"/>
      <c r="D13" s="879">
        <v>16677.0</v>
      </c>
      <c r="E13" s="879">
        <v>13164.0</v>
      </c>
      <c r="F13" s="872"/>
      <c r="G13" s="872"/>
      <c r="H13" s="872"/>
      <c r="I13" s="872"/>
      <c r="J13" s="872"/>
      <c r="K13" s="872"/>
      <c r="L13" s="872"/>
      <c r="M13" s="872"/>
      <c r="N13" s="872"/>
      <c r="O13" s="872"/>
      <c r="P13" s="872"/>
      <c r="Q13" s="872"/>
      <c r="R13" s="872"/>
      <c r="S13" s="872"/>
      <c r="T13" s="872"/>
      <c r="U13" s="872"/>
      <c r="V13" s="872"/>
      <c r="W13" s="872"/>
      <c r="X13" s="872"/>
      <c r="Y13" s="872"/>
      <c r="Z13" s="872"/>
    </row>
    <row r="14" ht="14.25" customHeight="1">
      <c r="A14" s="872"/>
      <c r="B14" s="872" t="s">
        <v>32682</v>
      </c>
      <c r="C14" s="872"/>
      <c r="D14" s="879">
        <v>75101.0</v>
      </c>
      <c r="E14" s="879">
        <v>60197.0</v>
      </c>
      <c r="F14" s="872"/>
      <c r="G14" s="872"/>
      <c r="H14" s="872"/>
      <c r="I14" s="872"/>
      <c r="J14" s="872"/>
      <c r="K14" s="872"/>
      <c r="L14" s="872"/>
      <c r="M14" s="872"/>
      <c r="N14" s="872"/>
      <c r="O14" s="872"/>
      <c r="P14" s="872"/>
      <c r="Q14" s="872"/>
      <c r="R14" s="872"/>
      <c r="S14" s="872"/>
      <c r="T14" s="872"/>
      <c r="U14" s="872"/>
      <c r="V14" s="872"/>
      <c r="W14" s="872"/>
      <c r="X14" s="872"/>
      <c r="Y14" s="872"/>
      <c r="Z14" s="872"/>
    </row>
    <row r="15" ht="14.25" customHeight="1">
      <c r="A15" s="872"/>
      <c r="B15" s="872" t="s">
        <v>38528</v>
      </c>
      <c r="C15" s="872"/>
      <c r="D15" s="879">
        <v>61797.0</v>
      </c>
      <c r="E15" s="879">
        <v>48866.0</v>
      </c>
      <c r="F15" s="872"/>
      <c r="G15" s="872"/>
      <c r="H15" s="872"/>
      <c r="I15" s="872"/>
      <c r="J15" s="872"/>
      <c r="K15" s="872"/>
      <c r="L15" s="872"/>
      <c r="M15" s="872"/>
      <c r="N15" s="872"/>
      <c r="O15" s="872"/>
      <c r="P15" s="872"/>
      <c r="Q15" s="872"/>
      <c r="R15" s="872"/>
      <c r="S15" s="872"/>
      <c r="T15" s="872"/>
      <c r="U15" s="872"/>
      <c r="V15" s="872"/>
      <c r="W15" s="872"/>
      <c r="X15" s="872"/>
      <c r="Y15" s="872"/>
      <c r="Z15" s="872"/>
    </row>
    <row r="16" ht="14.25" customHeight="1">
      <c r="A16" s="872"/>
      <c r="B16" s="872" t="s">
        <v>38529</v>
      </c>
      <c r="C16" s="872"/>
      <c r="D16" s="879">
        <v>942.0</v>
      </c>
      <c r="E16" s="879">
        <v>737.0</v>
      </c>
      <c r="F16" s="872"/>
      <c r="G16" s="872"/>
      <c r="H16" s="872"/>
      <c r="I16" s="872"/>
      <c r="J16" s="872"/>
      <c r="K16" s="872"/>
      <c r="L16" s="872"/>
      <c r="M16" s="872"/>
      <c r="N16" s="872"/>
      <c r="O16" s="872"/>
      <c r="P16" s="872"/>
      <c r="Q16" s="872"/>
      <c r="R16" s="872"/>
      <c r="S16" s="872"/>
      <c r="T16" s="872"/>
      <c r="U16" s="872"/>
      <c r="V16" s="872"/>
      <c r="W16" s="872"/>
      <c r="X16" s="872"/>
      <c r="Y16" s="872"/>
      <c r="Z16" s="872"/>
    </row>
    <row r="17" ht="14.25" customHeight="1">
      <c r="A17" s="872"/>
      <c r="B17" s="872" t="s">
        <v>32995</v>
      </c>
      <c r="C17" s="872"/>
      <c r="D17" s="879">
        <v>162648.0</v>
      </c>
      <c r="E17" s="879">
        <v>131310.0</v>
      </c>
      <c r="F17" s="872"/>
      <c r="G17" s="872"/>
      <c r="H17" s="872"/>
      <c r="I17" s="872"/>
      <c r="J17" s="872"/>
      <c r="K17" s="872"/>
      <c r="L17" s="872"/>
      <c r="M17" s="872"/>
      <c r="N17" s="872"/>
      <c r="O17" s="872"/>
      <c r="P17" s="872"/>
      <c r="Q17" s="872"/>
      <c r="R17" s="872"/>
      <c r="S17" s="872"/>
      <c r="T17" s="872"/>
      <c r="U17" s="872"/>
      <c r="V17" s="872"/>
      <c r="W17" s="872"/>
      <c r="X17" s="872"/>
      <c r="Y17" s="872"/>
      <c r="Z17" s="872"/>
    </row>
    <row r="18" ht="14.25" customHeight="1">
      <c r="A18" s="872"/>
      <c r="B18" s="872" t="s">
        <v>38530</v>
      </c>
      <c r="C18" s="872"/>
      <c r="D18" s="879">
        <v>68391.0</v>
      </c>
      <c r="E18" s="879">
        <v>57883.0</v>
      </c>
      <c r="F18" s="872"/>
      <c r="G18" s="872"/>
      <c r="H18" s="872"/>
      <c r="I18" s="872"/>
      <c r="J18" s="872"/>
      <c r="K18" s="872"/>
      <c r="L18" s="872"/>
      <c r="M18" s="872"/>
      <c r="N18" s="872"/>
      <c r="O18" s="872"/>
      <c r="P18" s="872"/>
      <c r="Q18" s="872"/>
      <c r="R18" s="872"/>
      <c r="S18" s="872"/>
      <c r="T18" s="872"/>
      <c r="U18" s="872"/>
      <c r="V18" s="872"/>
      <c r="W18" s="872"/>
      <c r="X18" s="872"/>
      <c r="Y18" s="872"/>
      <c r="Z18" s="872"/>
    </row>
    <row r="19" ht="14.25" customHeight="1">
      <c r="A19" s="872"/>
      <c r="B19" s="872" t="s">
        <v>38531</v>
      </c>
      <c r="C19" s="872"/>
      <c r="D19" s="879">
        <v>23495.0</v>
      </c>
      <c r="E19" s="879">
        <v>24743.0</v>
      </c>
      <c r="F19" s="872"/>
      <c r="G19" s="872"/>
      <c r="H19" s="872"/>
      <c r="I19" s="872"/>
      <c r="J19" s="872"/>
      <c r="K19" s="872"/>
      <c r="L19" s="872"/>
      <c r="M19" s="872"/>
      <c r="N19" s="872"/>
      <c r="O19" s="872"/>
      <c r="P19" s="872"/>
      <c r="Q19" s="872"/>
      <c r="R19" s="872"/>
      <c r="S19" s="872"/>
      <c r="T19" s="872"/>
      <c r="U19" s="872"/>
      <c r="V19" s="872"/>
      <c r="W19" s="872"/>
      <c r="X19" s="872"/>
      <c r="Y19" s="872"/>
      <c r="Z19" s="872"/>
    </row>
    <row r="20" ht="14.25" customHeight="1">
      <c r="A20" s="872"/>
      <c r="B20" s="872" t="s">
        <v>38532</v>
      </c>
      <c r="C20" s="872"/>
      <c r="D20" s="879">
        <v>30723.0</v>
      </c>
      <c r="E20" s="879">
        <v>18365.0</v>
      </c>
      <c r="F20" s="872"/>
      <c r="G20" s="872"/>
      <c r="H20" s="872"/>
      <c r="I20" s="872"/>
      <c r="J20" s="872"/>
      <c r="K20" s="872"/>
      <c r="L20" s="872"/>
      <c r="M20" s="872"/>
      <c r="N20" s="872"/>
      <c r="O20" s="872"/>
      <c r="P20" s="872"/>
      <c r="Q20" s="872"/>
      <c r="R20" s="872"/>
      <c r="S20" s="872"/>
      <c r="T20" s="872"/>
      <c r="U20" s="872"/>
      <c r="V20" s="872"/>
      <c r="W20" s="872"/>
      <c r="X20" s="872"/>
      <c r="Y20" s="872"/>
      <c r="Z20" s="872"/>
    </row>
    <row r="21" ht="14.25" customHeight="1">
      <c r="A21" s="872"/>
      <c r="B21" s="880" t="s">
        <v>38533</v>
      </c>
      <c r="C21" s="881"/>
      <c r="D21" s="882"/>
      <c r="E21" s="882"/>
      <c r="F21" s="872"/>
      <c r="G21" s="872"/>
      <c r="H21" s="872"/>
      <c r="I21" s="872"/>
      <c r="J21" s="872"/>
      <c r="K21" s="872"/>
      <c r="L21" s="872"/>
      <c r="M21" s="872"/>
      <c r="N21" s="872"/>
      <c r="O21" s="872"/>
      <c r="P21" s="872"/>
      <c r="Q21" s="872"/>
      <c r="R21" s="872"/>
      <c r="S21" s="872"/>
      <c r="T21" s="872"/>
      <c r="U21" s="872"/>
      <c r="V21" s="872"/>
      <c r="W21" s="872"/>
      <c r="X21" s="872"/>
      <c r="Y21" s="872"/>
      <c r="Z21" s="872"/>
    </row>
    <row r="22" ht="14.25" customHeight="1">
      <c r="A22" s="872"/>
      <c r="B22" s="872"/>
      <c r="C22" s="872"/>
      <c r="D22" s="883"/>
      <c r="E22" s="883"/>
      <c r="F22" s="872"/>
      <c r="G22" s="872"/>
      <c r="H22" s="872"/>
      <c r="I22" s="872"/>
      <c r="J22" s="872"/>
      <c r="K22" s="872"/>
      <c r="L22" s="872"/>
      <c r="M22" s="872"/>
      <c r="N22" s="872"/>
      <c r="O22" s="872"/>
      <c r="P22" s="872"/>
      <c r="Q22" s="872"/>
      <c r="R22" s="872"/>
      <c r="S22" s="872"/>
      <c r="T22" s="872"/>
      <c r="U22" s="872"/>
      <c r="V22" s="872"/>
      <c r="W22" s="872"/>
      <c r="X22" s="872"/>
      <c r="Y22" s="872"/>
      <c r="Z22" s="872"/>
    </row>
    <row r="23" ht="14.25" customHeight="1">
      <c r="A23" s="872"/>
      <c r="B23" s="884" t="s">
        <v>38534</v>
      </c>
      <c r="C23" s="885"/>
      <c r="D23" s="886">
        <f t="shared" ref="D23:E23" si="1">D7</f>
        <v>2</v>
      </c>
      <c r="E23" s="886">
        <f t="shared" si="1"/>
        <v>1</v>
      </c>
      <c r="F23" s="887" t="s">
        <v>432</v>
      </c>
      <c r="G23" s="872"/>
      <c r="H23" s="872"/>
      <c r="I23" s="872"/>
      <c r="J23" s="872"/>
      <c r="K23" s="872"/>
      <c r="L23" s="872"/>
      <c r="M23" s="872"/>
      <c r="N23" s="872"/>
      <c r="O23" s="872"/>
      <c r="P23" s="872"/>
      <c r="Q23" s="872"/>
      <c r="R23" s="872"/>
      <c r="S23" s="872"/>
      <c r="T23" s="872"/>
      <c r="U23" s="872"/>
      <c r="V23" s="872"/>
      <c r="W23" s="872"/>
      <c r="X23" s="872"/>
      <c r="Y23" s="872"/>
      <c r="Z23" s="872"/>
    </row>
    <row r="24" ht="14.25" customHeight="1">
      <c r="A24" s="872"/>
      <c r="B24" s="872" t="s">
        <v>38535</v>
      </c>
      <c r="C24" s="872"/>
      <c r="D24" s="888">
        <f t="shared" ref="D24:E24" si="2">D13/D8*365</f>
        <v>0.0004316789589</v>
      </c>
      <c r="E24" s="888">
        <f t="shared" si="2"/>
        <v>0.0004237837361</v>
      </c>
      <c r="F24" s="888">
        <f>D24/E24</f>
        <v>1.018630311</v>
      </c>
      <c r="G24" s="872"/>
      <c r="H24" s="872"/>
      <c r="I24" s="872"/>
      <c r="J24" s="872"/>
      <c r="K24" s="872"/>
      <c r="L24" s="872"/>
      <c r="M24" s="872"/>
      <c r="N24" s="872"/>
      <c r="O24" s="872"/>
      <c r="P24" s="872"/>
      <c r="Q24" s="872"/>
      <c r="R24" s="872"/>
      <c r="S24" s="872"/>
      <c r="T24" s="872"/>
      <c r="U24" s="872"/>
      <c r="V24" s="872"/>
      <c r="W24" s="872"/>
      <c r="X24" s="872"/>
      <c r="Y24" s="872"/>
      <c r="Z24" s="872"/>
    </row>
    <row r="25" ht="14.25" customHeight="1">
      <c r="A25" s="872"/>
      <c r="B25" s="872" t="s">
        <v>32779</v>
      </c>
      <c r="C25" s="872"/>
      <c r="D25" s="888">
        <f t="shared" ref="D25:E25" si="3">(D8-D9)/D8</f>
        <v>0.1710516985</v>
      </c>
      <c r="E25" s="888">
        <f t="shared" si="3"/>
        <v>0.1634327042</v>
      </c>
      <c r="F25" s="888">
        <f>E25/D25</f>
        <v>0.9554579443</v>
      </c>
      <c r="G25" s="872"/>
      <c r="H25" s="872"/>
      <c r="I25" s="872"/>
      <c r="J25" s="872"/>
      <c r="K25" s="872"/>
      <c r="L25" s="872"/>
      <c r="M25" s="872"/>
      <c r="N25" s="872"/>
      <c r="O25" s="872"/>
      <c r="P25" s="872"/>
      <c r="Q25" s="872"/>
      <c r="R25" s="872"/>
      <c r="S25" s="872"/>
      <c r="T25" s="872"/>
      <c r="U25" s="872"/>
      <c r="V25" s="872"/>
      <c r="W25" s="872"/>
      <c r="X25" s="872"/>
      <c r="Y25" s="872"/>
      <c r="Z25" s="872"/>
    </row>
    <row r="26" ht="14.25" customHeight="1">
      <c r="A26" s="872"/>
      <c r="B26" s="872" t="s">
        <v>32596</v>
      </c>
      <c r="C26" s="872"/>
      <c r="D26" s="888">
        <f t="shared" ref="D26:E26" si="4">(1-(D14+D15+D16))/D17</f>
        <v>-0.8474681521</v>
      </c>
      <c r="E26" s="888">
        <f t="shared" si="4"/>
        <v>-0.8361815551</v>
      </c>
      <c r="F26" s="888">
        <f t="shared" ref="F26:F27" si="6">D26/E26</f>
        <v>1.013497783</v>
      </c>
      <c r="G26" s="872"/>
      <c r="H26" s="872"/>
      <c r="I26" s="872"/>
      <c r="J26" s="872"/>
      <c r="K26" s="872"/>
      <c r="L26" s="872"/>
      <c r="M26" s="872"/>
      <c r="N26" s="872"/>
      <c r="O26" s="872"/>
      <c r="P26" s="872"/>
      <c r="Q26" s="872"/>
      <c r="R26" s="872"/>
      <c r="S26" s="872"/>
      <c r="T26" s="872"/>
      <c r="U26" s="872"/>
      <c r="V26" s="872"/>
      <c r="W26" s="872"/>
      <c r="X26" s="872"/>
      <c r="Y26" s="872"/>
      <c r="Z26" s="872"/>
    </row>
    <row r="27" ht="14.25" customHeight="1">
      <c r="A27" s="872"/>
      <c r="B27" s="872" t="s">
        <v>32943</v>
      </c>
      <c r="C27" s="872"/>
      <c r="D27" s="889">
        <f t="shared" ref="D27:E27" si="5">D8</f>
        <v>14101000000</v>
      </c>
      <c r="E27" s="889">
        <f t="shared" si="5"/>
        <v>11338000000</v>
      </c>
      <c r="F27" s="888">
        <f t="shared" si="6"/>
        <v>1.243693773</v>
      </c>
      <c r="G27" s="872"/>
      <c r="H27" s="872"/>
      <c r="I27" s="872"/>
      <c r="J27" s="872"/>
      <c r="K27" s="872"/>
      <c r="L27" s="872"/>
      <c r="M27" s="872"/>
      <c r="N27" s="872"/>
      <c r="O27" s="872"/>
      <c r="P27" s="872"/>
      <c r="Q27" s="872"/>
      <c r="R27" s="872"/>
      <c r="S27" s="872"/>
      <c r="T27" s="872"/>
      <c r="U27" s="872"/>
      <c r="V27" s="872"/>
      <c r="W27" s="872"/>
      <c r="X27" s="872"/>
      <c r="Y27" s="872"/>
      <c r="Z27" s="872"/>
    </row>
    <row r="28" ht="14.25" customHeight="1">
      <c r="A28" s="872"/>
      <c r="B28" s="872" t="s">
        <v>32699</v>
      </c>
      <c r="C28" s="872"/>
      <c r="D28" s="888">
        <f t="shared" ref="D28:E28" si="7">D11/(D15+D11)</f>
        <v>0.9998786061</v>
      </c>
      <c r="E28" s="888">
        <f t="shared" si="7"/>
        <v>0.9999054906</v>
      </c>
      <c r="F28" s="888">
        <f>E28/D28</f>
        <v>1.000026888</v>
      </c>
      <c r="G28" s="872"/>
      <c r="H28" s="872"/>
      <c r="I28" s="872"/>
      <c r="J28" s="872"/>
      <c r="K28" s="872"/>
      <c r="L28" s="872"/>
      <c r="M28" s="872"/>
      <c r="N28" s="872"/>
      <c r="O28" s="872"/>
      <c r="P28" s="872"/>
      <c r="Q28" s="872"/>
      <c r="R28" s="872"/>
      <c r="S28" s="872"/>
      <c r="T28" s="872"/>
      <c r="U28" s="872"/>
      <c r="V28" s="872"/>
      <c r="W28" s="872"/>
      <c r="X28" s="872"/>
      <c r="Y28" s="872"/>
      <c r="Z28" s="872"/>
    </row>
    <row r="29" ht="14.25" customHeight="1">
      <c r="A29" s="872"/>
      <c r="B29" s="872" t="s">
        <v>38536</v>
      </c>
      <c r="C29" s="872"/>
      <c r="D29" s="888">
        <f t="shared" ref="D29:E29" si="8">D10/D8</f>
        <v>0.08864619531</v>
      </c>
      <c r="E29" s="888">
        <f t="shared" si="8"/>
        <v>0.1091903334</v>
      </c>
      <c r="F29" s="888">
        <f t="shared" ref="F29:F30" si="10">D29/E29</f>
        <v>0.8118502119</v>
      </c>
      <c r="G29" s="872"/>
      <c r="H29" s="872"/>
      <c r="I29" s="872"/>
      <c r="J29" s="872"/>
      <c r="K29" s="872"/>
      <c r="L29" s="872"/>
      <c r="M29" s="872"/>
      <c r="N29" s="872"/>
      <c r="O29" s="872"/>
      <c r="P29" s="872"/>
      <c r="Q29" s="872"/>
      <c r="R29" s="872"/>
      <c r="S29" s="872"/>
      <c r="T29" s="872"/>
      <c r="U29" s="872"/>
      <c r="V29" s="872"/>
      <c r="W29" s="872"/>
      <c r="X29" s="872"/>
      <c r="Y29" s="872"/>
      <c r="Z29" s="872"/>
    </row>
    <row r="30" ht="14.25" customHeight="1">
      <c r="A30" s="872"/>
      <c r="B30" s="872" t="s">
        <v>32803</v>
      </c>
      <c r="C30" s="872"/>
      <c r="D30" s="888">
        <f t="shared" ref="D30:E30" si="9">(D18+D19)/D17</f>
        <v>0.5649377797</v>
      </c>
      <c r="E30" s="888">
        <f t="shared" si="9"/>
        <v>0.6292437743</v>
      </c>
      <c r="F30" s="888">
        <f t="shared" si="10"/>
        <v>0.8978043214</v>
      </c>
      <c r="G30" s="872"/>
      <c r="H30" s="872"/>
      <c r="I30" s="872"/>
      <c r="J30" s="872"/>
      <c r="K30" s="872"/>
      <c r="L30" s="872"/>
      <c r="M30" s="872"/>
      <c r="N30" s="872"/>
      <c r="O30" s="872"/>
      <c r="P30" s="872"/>
      <c r="Q30" s="872"/>
      <c r="R30" s="872"/>
      <c r="S30" s="872"/>
      <c r="T30" s="872"/>
      <c r="U30" s="872"/>
      <c r="V30" s="872"/>
      <c r="W30" s="872"/>
      <c r="X30" s="872"/>
      <c r="Y30" s="872"/>
      <c r="Z30" s="872"/>
    </row>
    <row r="31" ht="14.25" customHeight="1">
      <c r="A31" s="872"/>
      <c r="B31" s="872" t="s">
        <v>32993</v>
      </c>
      <c r="C31" s="872"/>
      <c r="D31" s="888">
        <f>(D12-D20)/D17</f>
        <v>-0.1269612906</v>
      </c>
      <c r="E31" s="890"/>
      <c r="F31" s="888">
        <f>D31</f>
        <v>-0.1269612906</v>
      </c>
      <c r="G31" s="872"/>
      <c r="H31" s="872"/>
      <c r="I31" s="872"/>
      <c r="J31" s="872"/>
      <c r="K31" s="872"/>
      <c r="L31" s="872"/>
      <c r="M31" s="872"/>
      <c r="N31" s="872"/>
      <c r="O31" s="872"/>
      <c r="P31" s="872"/>
      <c r="Q31" s="872"/>
      <c r="R31" s="872"/>
      <c r="S31" s="872"/>
      <c r="T31" s="872"/>
      <c r="U31" s="872"/>
      <c r="V31" s="872"/>
      <c r="W31" s="872"/>
      <c r="X31" s="872"/>
      <c r="Y31" s="872"/>
      <c r="Z31" s="872"/>
    </row>
    <row r="32" ht="19.5" customHeight="1">
      <c r="A32" s="872"/>
      <c r="B32" s="891" t="s">
        <v>38537</v>
      </c>
      <c r="C32" s="892"/>
      <c r="D32" s="892"/>
      <c r="E32" s="892"/>
      <c r="F32" s="893">
        <f>-4.84+0.92*F24+0.528*F25+0.404*F26+0.892*F27+0.115*F28-0.172*F29+4.679*F31-0.327*F30</f>
        <v>-2.791819406</v>
      </c>
      <c r="G32" s="872"/>
      <c r="H32" s="872"/>
      <c r="I32" s="872"/>
      <c r="J32" s="872"/>
      <c r="K32" s="872"/>
      <c r="L32" s="872"/>
      <c r="M32" s="872"/>
      <c r="N32" s="872"/>
      <c r="O32" s="872"/>
      <c r="P32" s="872"/>
      <c r="Q32" s="872"/>
      <c r="R32" s="872"/>
      <c r="S32" s="872"/>
      <c r="T32" s="872"/>
      <c r="U32" s="872"/>
      <c r="V32" s="872"/>
      <c r="W32" s="872"/>
      <c r="X32" s="872"/>
      <c r="Y32" s="872"/>
      <c r="Z32" s="872"/>
    </row>
    <row r="33" ht="14.25" customHeight="1">
      <c r="A33" s="872"/>
      <c r="B33" s="872"/>
      <c r="C33" s="872"/>
      <c r="D33" s="894"/>
      <c r="E33" s="894"/>
      <c r="F33" s="872"/>
      <c r="G33" s="872"/>
      <c r="H33" s="872"/>
      <c r="I33" s="872"/>
      <c r="J33" s="872"/>
      <c r="K33" s="872"/>
      <c r="L33" s="872"/>
      <c r="M33" s="872"/>
      <c r="N33" s="872"/>
      <c r="O33" s="872"/>
      <c r="P33" s="872"/>
      <c r="Q33" s="872"/>
      <c r="R33" s="872"/>
      <c r="S33" s="872"/>
      <c r="T33" s="872"/>
      <c r="U33" s="872"/>
      <c r="V33" s="872"/>
      <c r="W33" s="872"/>
      <c r="X33" s="872"/>
      <c r="Y33" s="872"/>
      <c r="Z33" s="872"/>
    </row>
    <row r="34" ht="14.25" customHeight="1">
      <c r="A34" s="872"/>
      <c r="B34" s="884" t="s">
        <v>38538</v>
      </c>
      <c r="C34" s="895"/>
      <c r="D34" s="892"/>
      <c r="E34" s="892"/>
      <c r="F34" s="895"/>
      <c r="G34" s="872"/>
      <c r="H34" s="872"/>
      <c r="I34" s="872"/>
      <c r="J34" s="872"/>
      <c r="K34" s="872"/>
      <c r="L34" s="872"/>
      <c r="M34" s="872"/>
      <c r="N34" s="872"/>
      <c r="O34" s="872"/>
      <c r="P34" s="872"/>
      <c r="Q34" s="872"/>
      <c r="R34" s="872"/>
      <c r="S34" s="872"/>
      <c r="T34" s="872"/>
      <c r="U34" s="872"/>
      <c r="V34" s="872"/>
      <c r="W34" s="872"/>
      <c r="X34" s="872"/>
      <c r="Y34" s="872"/>
      <c r="Z34" s="872"/>
    </row>
    <row r="35" ht="14.25" customHeight="1">
      <c r="A35" s="872"/>
      <c r="B35" s="872" t="str">
        <f>IF(F32&gt;-2.22,C5&amp;" is likely to have manipulated their earnings.",C5&amp;" is not likely to have manipulated their earnings.")</f>
        <v>IEP is not likely to have manipulated their earnings.</v>
      </c>
      <c r="C35" s="872"/>
      <c r="D35" s="894"/>
      <c r="E35" s="894"/>
      <c r="F35" s="872"/>
      <c r="G35" s="872"/>
      <c r="H35" s="872"/>
      <c r="I35" s="872"/>
      <c r="J35" s="872"/>
      <c r="K35" s="872"/>
      <c r="L35" s="872"/>
      <c r="M35" s="872"/>
      <c r="N35" s="872"/>
      <c r="O35" s="872"/>
      <c r="P35" s="872"/>
      <c r="Q35" s="872"/>
      <c r="R35" s="872"/>
      <c r="S35" s="872"/>
      <c r="T35" s="872"/>
      <c r="U35" s="872"/>
      <c r="V35" s="872"/>
      <c r="W35" s="872"/>
      <c r="X35" s="872"/>
      <c r="Y35" s="872"/>
      <c r="Z35" s="872"/>
    </row>
    <row r="36" ht="14.25" customHeight="1">
      <c r="A36" s="872"/>
      <c r="B36" s="881" t="s">
        <v>38539</v>
      </c>
      <c r="C36" s="872"/>
      <c r="D36" s="894"/>
      <c r="E36" s="894"/>
      <c r="F36" s="872"/>
      <c r="G36" s="872"/>
      <c r="H36" s="872"/>
      <c r="I36" s="872"/>
      <c r="J36" s="872"/>
      <c r="K36" s="872"/>
      <c r="L36" s="872"/>
      <c r="M36" s="872"/>
      <c r="N36" s="872"/>
      <c r="O36" s="872"/>
      <c r="P36" s="872"/>
      <c r="Q36" s="872"/>
      <c r="R36" s="872"/>
      <c r="S36" s="872"/>
      <c r="T36" s="872"/>
      <c r="U36" s="872"/>
      <c r="V36" s="872"/>
      <c r="W36" s="872"/>
      <c r="X36" s="872"/>
      <c r="Y36" s="872"/>
      <c r="Z36" s="872"/>
    </row>
    <row r="37" ht="14.25" customHeight="1">
      <c r="A37" s="872"/>
      <c r="B37" s="881" t="s">
        <v>38540</v>
      </c>
      <c r="C37" s="872"/>
      <c r="D37" s="894"/>
      <c r="E37" s="894"/>
      <c r="F37" s="872"/>
      <c r="G37" s="872"/>
      <c r="H37" s="872"/>
      <c r="I37" s="872"/>
      <c r="J37" s="872"/>
      <c r="K37" s="872"/>
      <c r="L37" s="872"/>
      <c r="M37" s="872"/>
      <c r="N37" s="872"/>
      <c r="O37" s="872"/>
      <c r="P37" s="872"/>
      <c r="Q37" s="872"/>
      <c r="R37" s="872"/>
      <c r="S37" s="872"/>
      <c r="T37" s="872"/>
      <c r="U37" s="872"/>
      <c r="V37" s="872"/>
      <c r="W37" s="872"/>
      <c r="X37" s="872"/>
      <c r="Y37" s="872"/>
      <c r="Z37" s="872"/>
    </row>
    <row r="38" ht="14.25" customHeight="1">
      <c r="A38" s="872"/>
      <c r="B38" s="872"/>
      <c r="C38" s="872"/>
      <c r="D38" s="872"/>
      <c r="E38" s="872"/>
      <c r="F38" s="872"/>
      <c r="G38" s="872"/>
      <c r="H38" s="872"/>
      <c r="I38" s="872"/>
      <c r="J38" s="872"/>
      <c r="K38" s="872"/>
      <c r="L38" s="872"/>
      <c r="M38" s="872"/>
      <c r="N38" s="872"/>
      <c r="O38" s="872"/>
      <c r="P38" s="872"/>
      <c r="Q38" s="872"/>
      <c r="R38" s="872"/>
      <c r="S38" s="872"/>
      <c r="T38" s="872"/>
      <c r="U38" s="872"/>
      <c r="V38" s="872"/>
      <c r="W38" s="872"/>
      <c r="X38" s="872"/>
      <c r="Y38" s="872"/>
      <c r="Z38" s="872"/>
    </row>
    <row r="39" ht="14.25" customHeight="1">
      <c r="A39" s="872"/>
      <c r="B39" s="872"/>
      <c r="C39" s="872"/>
      <c r="D39" s="896"/>
      <c r="E39" s="896"/>
      <c r="F39" s="872"/>
      <c r="G39" s="872"/>
      <c r="H39" s="872"/>
      <c r="I39" s="872"/>
      <c r="J39" s="872"/>
      <c r="K39" s="872"/>
      <c r="L39" s="872"/>
      <c r="M39" s="872"/>
      <c r="N39" s="872"/>
      <c r="O39" s="872"/>
      <c r="P39" s="872"/>
      <c r="Q39" s="872"/>
      <c r="R39" s="872"/>
      <c r="S39" s="872"/>
      <c r="T39" s="872"/>
      <c r="U39" s="872"/>
      <c r="V39" s="872"/>
      <c r="W39" s="872"/>
      <c r="X39" s="872"/>
      <c r="Y39" s="872"/>
      <c r="Z39" s="872"/>
    </row>
    <row r="40" ht="14.25" customHeight="1">
      <c r="A40" s="872"/>
      <c r="B40" s="872"/>
      <c r="C40" s="872"/>
      <c r="D40" s="872"/>
      <c r="E40" s="872"/>
      <c r="F40" s="872"/>
      <c r="G40" s="872"/>
      <c r="H40" s="872"/>
      <c r="I40" s="872"/>
      <c r="J40" s="872"/>
      <c r="K40" s="872"/>
      <c r="L40" s="872"/>
      <c r="M40" s="872"/>
      <c r="N40" s="872"/>
      <c r="O40" s="872"/>
      <c r="P40" s="872"/>
      <c r="Q40" s="872"/>
      <c r="R40" s="872"/>
      <c r="S40" s="872"/>
      <c r="T40" s="872"/>
      <c r="U40" s="872"/>
      <c r="V40" s="872"/>
      <c r="W40" s="872"/>
      <c r="X40" s="872"/>
      <c r="Y40" s="872"/>
      <c r="Z40" s="872"/>
    </row>
    <row r="41" ht="14.25" customHeight="1">
      <c r="A41" s="872"/>
      <c r="B41" s="872"/>
      <c r="C41" s="872"/>
      <c r="D41" s="872"/>
      <c r="E41" s="872"/>
      <c r="F41" s="872"/>
      <c r="G41" s="872"/>
      <c r="H41" s="872"/>
      <c r="I41" s="872"/>
      <c r="J41" s="872"/>
      <c r="K41" s="872"/>
      <c r="L41" s="872"/>
      <c r="M41" s="872"/>
      <c r="N41" s="872"/>
      <c r="O41" s="872"/>
      <c r="P41" s="872"/>
      <c r="Q41" s="872"/>
      <c r="R41" s="872"/>
      <c r="S41" s="872"/>
      <c r="T41" s="872"/>
      <c r="U41" s="872"/>
      <c r="V41" s="872"/>
      <c r="W41" s="872"/>
      <c r="X41" s="872"/>
      <c r="Y41" s="872"/>
      <c r="Z41" s="872"/>
    </row>
    <row r="42" ht="14.25" customHeight="1">
      <c r="A42" s="872"/>
      <c r="B42" s="872"/>
      <c r="C42" s="872"/>
      <c r="D42" s="872"/>
      <c r="E42" s="872"/>
      <c r="F42" s="872"/>
      <c r="G42" s="872"/>
      <c r="H42" s="872"/>
      <c r="I42" s="872"/>
      <c r="J42" s="872"/>
      <c r="K42" s="872"/>
      <c r="L42" s="872"/>
      <c r="M42" s="872"/>
      <c r="N42" s="872"/>
      <c r="O42" s="872"/>
      <c r="P42" s="872"/>
      <c r="Q42" s="872"/>
      <c r="R42" s="872"/>
      <c r="S42" s="872"/>
      <c r="T42" s="872"/>
      <c r="U42" s="872"/>
      <c r="V42" s="872"/>
      <c r="W42" s="872"/>
      <c r="X42" s="872"/>
      <c r="Y42" s="872"/>
      <c r="Z42" s="872"/>
    </row>
    <row r="43" ht="14.25" customHeight="1">
      <c r="A43" s="872"/>
      <c r="B43" s="872"/>
      <c r="C43" s="872"/>
      <c r="D43" s="872"/>
      <c r="E43" s="872"/>
      <c r="F43" s="872"/>
      <c r="G43" s="872"/>
      <c r="H43" s="872"/>
      <c r="I43" s="872"/>
      <c r="J43" s="872"/>
      <c r="K43" s="872"/>
      <c r="L43" s="872"/>
      <c r="M43" s="872"/>
      <c r="N43" s="872"/>
      <c r="O43" s="872"/>
      <c r="P43" s="872"/>
      <c r="Q43" s="872"/>
      <c r="R43" s="872"/>
      <c r="S43" s="872"/>
      <c r="T43" s="872"/>
      <c r="U43" s="872"/>
      <c r="V43" s="872"/>
      <c r="W43" s="872"/>
      <c r="X43" s="872"/>
      <c r="Y43" s="872"/>
      <c r="Z43" s="872"/>
    </row>
    <row r="44" ht="14.25" customHeight="1">
      <c r="A44" s="872"/>
      <c r="B44" s="872"/>
      <c r="C44" s="872"/>
      <c r="D44" s="897"/>
      <c r="E44" s="897"/>
      <c r="F44" s="872"/>
      <c r="G44" s="872"/>
      <c r="H44" s="872"/>
      <c r="I44" s="872"/>
      <c r="J44" s="872"/>
      <c r="K44" s="872"/>
      <c r="L44" s="872"/>
      <c r="M44" s="872"/>
      <c r="N44" s="872"/>
      <c r="O44" s="872"/>
      <c r="P44" s="872"/>
      <c r="Q44" s="872"/>
      <c r="R44" s="872"/>
      <c r="S44" s="872"/>
      <c r="T44" s="872"/>
      <c r="U44" s="872"/>
      <c r="V44" s="872"/>
      <c r="W44" s="872"/>
      <c r="X44" s="872"/>
      <c r="Y44" s="872"/>
      <c r="Z44" s="872"/>
    </row>
    <row r="45" ht="14.25" customHeight="1">
      <c r="A45" s="872"/>
      <c r="B45" s="898"/>
      <c r="C45" s="898"/>
      <c r="D45" s="872"/>
      <c r="E45" s="872"/>
      <c r="F45" s="872"/>
      <c r="G45" s="872"/>
      <c r="H45" s="872"/>
      <c r="I45" s="872"/>
      <c r="J45" s="872"/>
      <c r="K45" s="872"/>
      <c r="L45" s="872"/>
      <c r="M45" s="872"/>
      <c r="N45" s="872"/>
      <c r="O45" s="872"/>
      <c r="P45" s="872"/>
      <c r="Q45" s="872"/>
      <c r="R45" s="872"/>
      <c r="S45" s="872"/>
      <c r="T45" s="872"/>
      <c r="U45" s="872"/>
      <c r="V45" s="872"/>
      <c r="W45" s="872"/>
      <c r="X45" s="872"/>
      <c r="Y45" s="872"/>
      <c r="Z45" s="872"/>
    </row>
    <row r="46" ht="14.25" customHeight="1">
      <c r="A46" s="872"/>
      <c r="B46" s="872"/>
      <c r="C46" s="872"/>
      <c r="D46" s="872"/>
      <c r="E46" s="872"/>
      <c r="F46" s="872"/>
      <c r="G46" s="872"/>
      <c r="H46" s="872"/>
      <c r="I46" s="872"/>
      <c r="J46" s="872"/>
      <c r="K46" s="872"/>
      <c r="L46" s="872"/>
      <c r="M46" s="872"/>
      <c r="N46" s="872"/>
      <c r="O46" s="872"/>
      <c r="P46" s="872"/>
      <c r="Q46" s="872"/>
      <c r="R46" s="872"/>
      <c r="S46" s="872"/>
      <c r="T46" s="872"/>
      <c r="U46" s="872"/>
      <c r="V46" s="872"/>
      <c r="W46" s="872"/>
      <c r="X46" s="872"/>
      <c r="Y46" s="872"/>
      <c r="Z46" s="872"/>
    </row>
    <row r="47" ht="14.25" customHeight="1">
      <c r="A47" s="872"/>
      <c r="B47" s="872"/>
      <c r="C47" s="872"/>
      <c r="D47" s="872"/>
      <c r="E47" s="872"/>
      <c r="F47" s="872"/>
      <c r="G47" s="872"/>
      <c r="H47" s="872"/>
      <c r="I47" s="872"/>
      <c r="J47" s="872"/>
      <c r="K47" s="872"/>
      <c r="L47" s="872"/>
      <c r="M47" s="872"/>
      <c r="N47" s="872"/>
      <c r="O47" s="872"/>
      <c r="P47" s="872"/>
      <c r="Q47" s="872"/>
      <c r="R47" s="872"/>
      <c r="S47" s="872"/>
      <c r="T47" s="872"/>
      <c r="U47" s="872"/>
      <c r="V47" s="872"/>
      <c r="W47" s="872"/>
      <c r="X47" s="872"/>
      <c r="Y47" s="872"/>
      <c r="Z47" s="872"/>
    </row>
    <row r="48" ht="14.25" customHeight="1">
      <c r="A48" s="872"/>
      <c r="B48" s="872"/>
      <c r="C48" s="872"/>
      <c r="D48" s="872"/>
      <c r="E48" s="872"/>
      <c r="F48" s="872"/>
      <c r="G48" s="872"/>
      <c r="H48" s="872"/>
      <c r="I48" s="872"/>
      <c r="J48" s="872"/>
      <c r="K48" s="872"/>
      <c r="L48" s="872"/>
      <c r="M48" s="872"/>
      <c r="N48" s="872"/>
      <c r="O48" s="872"/>
      <c r="P48" s="872"/>
      <c r="Q48" s="872"/>
      <c r="R48" s="872"/>
      <c r="S48" s="872"/>
      <c r="T48" s="872"/>
      <c r="U48" s="872"/>
      <c r="V48" s="872"/>
      <c r="W48" s="872"/>
      <c r="X48" s="872"/>
      <c r="Y48" s="872"/>
      <c r="Z48" s="872"/>
    </row>
    <row r="49" ht="14.25" customHeight="1">
      <c r="A49" s="872"/>
      <c r="B49" s="872"/>
      <c r="C49" s="872"/>
      <c r="D49" s="872"/>
      <c r="E49" s="872"/>
      <c r="F49" s="872"/>
      <c r="G49" s="872"/>
      <c r="H49" s="872"/>
      <c r="I49" s="872"/>
      <c r="J49" s="872"/>
      <c r="K49" s="872"/>
      <c r="L49" s="872"/>
      <c r="M49" s="872"/>
      <c r="N49" s="872"/>
      <c r="O49" s="872"/>
      <c r="P49" s="872"/>
      <c r="Q49" s="872"/>
      <c r="R49" s="872"/>
      <c r="S49" s="872"/>
      <c r="T49" s="872"/>
      <c r="U49" s="872"/>
      <c r="V49" s="872"/>
      <c r="W49" s="872"/>
      <c r="X49" s="872"/>
      <c r="Y49" s="872"/>
      <c r="Z49" s="872"/>
    </row>
    <row r="50" ht="14.25" customHeight="1">
      <c r="A50" s="872"/>
      <c r="B50" s="872"/>
      <c r="C50" s="872"/>
      <c r="D50" s="872"/>
      <c r="E50" s="872"/>
      <c r="F50" s="872"/>
      <c r="G50" s="872"/>
      <c r="H50" s="872"/>
      <c r="I50" s="872"/>
      <c r="J50" s="872"/>
      <c r="K50" s="872"/>
      <c r="L50" s="872"/>
      <c r="M50" s="872"/>
      <c r="N50" s="872"/>
      <c r="O50" s="872"/>
      <c r="P50" s="872"/>
      <c r="Q50" s="872"/>
      <c r="R50" s="872"/>
      <c r="S50" s="872"/>
      <c r="T50" s="872"/>
      <c r="U50" s="872"/>
      <c r="V50" s="872"/>
      <c r="W50" s="872"/>
      <c r="X50" s="872"/>
      <c r="Y50" s="872"/>
      <c r="Z50" s="872"/>
    </row>
    <row r="51" ht="14.25" customHeight="1">
      <c r="A51" s="872"/>
      <c r="B51" s="872"/>
      <c r="C51" s="872"/>
      <c r="D51" s="872"/>
      <c r="E51" s="872"/>
      <c r="F51" s="872"/>
      <c r="G51" s="872"/>
      <c r="H51" s="872"/>
      <c r="I51" s="872"/>
      <c r="J51" s="872"/>
      <c r="K51" s="872"/>
      <c r="L51" s="872"/>
      <c r="M51" s="872"/>
      <c r="N51" s="872"/>
      <c r="O51" s="872"/>
      <c r="P51" s="872"/>
      <c r="Q51" s="872"/>
      <c r="R51" s="872"/>
      <c r="S51" s="872"/>
      <c r="T51" s="872"/>
      <c r="U51" s="872"/>
      <c r="V51" s="872"/>
      <c r="W51" s="872"/>
      <c r="X51" s="872"/>
      <c r="Y51" s="872"/>
      <c r="Z51" s="872"/>
    </row>
    <row r="52" ht="14.25" customHeight="1">
      <c r="A52" s="872"/>
      <c r="B52" s="872"/>
      <c r="C52" s="872"/>
      <c r="D52" s="872"/>
      <c r="E52" s="872"/>
      <c r="F52" s="872"/>
      <c r="G52" s="872"/>
      <c r="H52" s="872"/>
      <c r="I52" s="872"/>
      <c r="J52" s="872"/>
      <c r="K52" s="872"/>
      <c r="L52" s="872"/>
      <c r="M52" s="872"/>
      <c r="N52" s="872"/>
      <c r="O52" s="872"/>
      <c r="P52" s="872"/>
      <c r="Q52" s="872"/>
      <c r="R52" s="872"/>
      <c r="S52" s="872"/>
      <c r="T52" s="872"/>
      <c r="U52" s="872"/>
      <c r="V52" s="872"/>
      <c r="W52" s="872"/>
      <c r="X52" s="872"/>
      <c r="Y52" s="872"/>
      <c r="Z52" s="872"/>
    </row>
    <row r="53" ht="14.25" customHeight="1">
      <c r="A53" s="872"/>
      <c r="B53" s="872"/>
      <c r="C53" s="872"/>
      <c r="D53" s="872"/>
      <c r="E53" s="872"/>
      <c r="F53" s="872"/>
      <c r="G53" s="872"/>
      <c r="H53" s="872"/>
      <c r="I53" s="872"/>
      <c r="J53" s="872"/>
      <c r="K53" s="872"/>
      <c r="L53" s="872"/>
      <c r="M53" s="872"/>
      <c r="N53" s="872"/>
      <c r="O53" s="872"/>
      <c r="P53" s="872"/>
      <c r="Q53" s="872"/>
      <c r="R53" s="872"/>
      <c r="S53" s="872"/>
      <c r="T53" s="872"/>
      <c r="U53" s="872"/>
      <c r="V53" s="872"/>
      <c r="W53" s="872"/>
      <c r="X53" s="872"/>
      <c r="Y53" s="872"/>
      <c r="Z53" s="872"/>
    </row>
    <row r="54" ht="14.25" customHeight="1">
      <c r="A54" s="872"/>
      <c r="B54" s="872"/>
      <c r="C54" s="872"/>
      <c r="D54" s="872"/>
      <c r="E54" s="872"/>
      <c r="F54" s="872"/>
      <c r="G54" s="872"/>
      <c r="H54" s="872"/>
      <c r="I54" s="872"/>
      <c r="J54" s="872"/>
      <c r="K54" s="872"/>
      <c r="L54" s="872"/>
      <c r="M54" s="872"/>
      <c r="N54" s="872"/>
      <c r="O54" s="872"/>
      <c r="P54" s="872"/>
      <c r="Q54" s="872"/>
      <c r="R54" s="872"/>
      <c r="S54" s="872"/>
      <c r="T54" s="872"/>
      <c r="U54" s="872"/>
      <c r="V54" s="872"/>
      <c r="W54" s="872"/>
      <c r="X54" s="872"/>
      <c r="Y54" s="872"/>
      <c r="Z54" s="872"/>
    </row>
    <row r="55" ht="14.25" customHeight="1">
      <c r="A55" s="872"/>
      <c r="B55" s="872"/>
      <c r="C55" s="872"/>
      <c r="D55" s="872"/>
      <c r="E55" s="872"/>
      <c r="F55" s="872"/>
      <c r="G55" s="872"/>
      <c r="H55" s="872"/>
      <c r="I55" s="872"/>
      <c r="J55" s="872"/>
      <c r="K55" s="872"/>
      <c r="L55" s="872"/>
      <c r="M55" s="872"/>
      <c r="N55" s="872"/>
      <c r="O55" s="872"/>
      <c r="P55" s="872"/>
      <c r="Q55" s="872"/>
      <c r="R55" s="872"/>
      <c r="S55" s="872"/>
      <c r="T55" s="872"/>
      <c r="U55" s="872"/>
      <c r="V55" s="872"/>
      <c r="W55" s="872"/>
      <c r="X55" s="872"/>
      <c r="Y55" s="872"/>
      <c r="Z55" s="872"/>
    </row>
    <row r="56" ht="14.25" customHeight="1">
      <c r="A56" s="872"/>
      <c r="B56" s="872"/>
      <c r="C56" s="872"/>
      <c r="D56" s="872"/>
      <c r="E56" s="872"/>
      <c r="F56" s="872"/>
      <c r="G56" s="872"/>
      <c r="H56" s="872"/>
      <c r="I56" s="872"/>
      <c r="J56" s="872"/>
      <c r="K56" s="872"/>
      <c r="L56" s="872"/>
      <c r="M56" s="872"/>
      <c r="N56" s="872"/>
      <c r="O56" s="872"/>
      <c r="P56" s="872"/>
      <c r="Q56" s="872"/>
      <c r="R56" s="872"/>
      <c r="S56" s="872"/>
      <c r="T56" s="872"/>
      <c r="U56" s="872"/>
      <c r="V56" s="872"/>
      <c r="W56" s="872"/>
      <c r="X56" s="872"/>
      <c r="Y56" s="872"/>
      <c r="Z56" s="872"/>
    </row>
    <row r="57" ht="14.25" customHeight="1">
      <c r="A57" s="872"/>
      <c r="B57" s="872"/>
      <c r="C57" s="872"/>
      <c r="D57" s="872"/>
      <c r="E57" s="872"/>
      <c r="F57" s="872"/>
      <c r="G57" s="872"/>
      <c r="H57" s="872"/>
      <c r="I57" s="872"/>
      <c r="J57" s="872"/>
      <c r="K57" s="872"/>
      <c r="L57" s="872"/>
      <c r="M57" s="872"/>
      <c r="N57" s="872"/>
      <c r="O57" s="872"/>
      <c r="P57" s="872"/>
      <c r="Q57" s="872"/>
      <c r="R57" s="872"/>
      <c r="S57" s="872"/>
      <c r="T57" s="872"/>
      <c r="U57" s="872"/>
      <c r="V57" s="872"/>
      <c r="W57" s="872"/>
      <c r="X57" s="872"/>
      <c r="Y57" s="872"/>
      <c r="Z57" s="872"/>
    </row>
    <row r="58" ht="14.25" customHeight="1">
      <c r="A58" s="872"/>
      <c r="B58" s="872"/>
      <c r="C58" s="872"/>
      <c r="D58" s="872"/>
      <c r="E58" s="872"/>
      <c r="F58" s="872"/>
      <c r="G58" s="872"/>
      <c r="H58" s="872"/>
      <c r="I58" s="872"/>
      <c r="J58" s="872"/>
      <c r="K58" s="872"/>
      <c r="L58" s="872"/>
      <c r="M58" s="872"/>
      <c r="N58" s="872"/>
      <c r="O58" s="872"/>
      <c r="P58" s="872"/>
      <c r="Q58" s="872"/>
      <c r="R58" s="872"/>
      <c r="S58" s="872"/>
      <c r="T58" s="872"/>
      <c r="U58" s="872"/>
      <c r="V58" s="872"/>
      <c r="W58" s="872"/>
      <c r="X58" s="872"/>
      <c r="Y58" s="872"/>
      <c r="Z58" s="872"/>
    </row>
    <row r="59" ht="14.25" customHeight="1">
      <c r="A59" s="872"/>
      <c r="B59" s="872"/>
      <c r="C59" s="872"/>
      <c r="D59" s="872"/>
      <c r="E59" s="872"/>
      <c r="F59" s="872"/>
      <c r="G59" s="872"/>
      <c r="H59" s="872"/>
      <c r="I59" s="872"/>
      <c r="J59" s="872"/>
      <c r="K59" s="872"/>
      <c r="L59" s="872"/>
      <c r="M59" s="872"/>
      <c r="N59" s="872"/>
      <c r="O59" s="872"/>
      <c r="P59" s="872"/>
      <c r="Q59" s="872"/>
      <c r="R59" s="872"/>
      <c r="S59" s="872"/>
      <c r="T59" s="872"/>
      <c r="U59" s="872"/>
      <c r="V59" s="872"/>
      <c r="W59" s="872"/>
      <c r="X59" s="872"/>
      <c r="Y59" s="872"/>
      <c r="Z59" s="872"/>
    </row>
    <row r="60" ht="14.25" customHeight="1">
      <c r="A60" s="872"/>
      <c r="B60" s="872"/>
      <c r="C60" s="872"/>
      <c r="D60" s="872"/>
      <c r="E60" s="872"/>
      <c r="F60" s="872"/>
      <c r="G60" s="872"/>
      <c r="H60" s="872"/>
      <c r="I60" s="872"/>
      <c r="J60" s="872"/>
      <c r="K60" s="872"/>
      <c r="L60" s="872"/>
      <c r="M60" s="872"/>
      <c r="N60" s="872"/>
      <c r="O60" s="872"/>
      <c r="P60" s="872"/>
      <c r="Q60" s="872"/>
      <c r="R60" s="872"/>
      <c r="S60" s="872"/>
      <c r="T60" s="872"/>
      <c r="U60" s="872"/>
      <c r="V60" s="872"/>
      <c r="W60" s="872"/>
      <c r="X60" s="872"/>
      <c r="Y60" s="872"/>
      <c r="Z60" s="872"/>
    </row>
    <row r="61" ht="14.25" customHeight="1">
      <c r="A61" s="872"/>
      <c r="B61" s="872"/>
      <c r="C61" s="872"/>
      <c r="D61" s="872"/>
      <c r="E61" s="872"/>
      <c r="F61" s="872"/>
      <c r="G61" s="872"/>
      <c r="H61" s="872"/>
      <c r="I61" s="872"/>
      <c r="J61" s="872"/>
      <c r="K61" s="872"/>
      <c r="L61" s="872"/>
      <c r="M61" s="872"/>
      <c r="N61" s="872"/>
      <c r="O61" s="872"/>
      <c r="P61" s="872"/>
      <c r="Q61" s="872"/>
      <c r="R61" s="872"/>
      <c r="S61" s="872"/>
      <c r="T61" s="872"/>
      <c r="U61" s="872"/>
      <c r="V61" s="872"/>
      <c r="W61" s="872"/>
      <c r="X61" s="872"/>
      <c r="Y61" s="872"/>
      <c r="Z61" s="872"/>
    </row>
    <row r="62" ht="14.25" customHeight="1">
      <c r="A62" s="872"/>
      <c r="B62" s="872"/>
      <c r="C62" s="872"/>
      <c r="D62" s="872"/>
      <c r="E62" s="872"/>
      <c r="F62" s="872"/>
      <c r="G62" s="872"/>
      <c r="H62" s="872"/>
      <c r="I62" s="872"/>
      <c r="J62" s="872"/>
      <c r="K62" s="872"/>
      <c r="L62" s="872"/>
      <c r="M62" s="872"/>
      <c r="N62" s="872"/>
      <c r="O62" s="872"/>
      <c r="P62" s="872"/>
      <c r="Q62" s="872"/>
      <c r="R62" s="872"/>
      <c r="S62" s="872"/>
      <c r="T62" s="872"/>
      <c r="U62" s="872"/>
      <c r="V62" s="872"/>
      <c r="W62" s="872"/>
      <c r="X62" s="872"/>
      <c r="Y62" s="872"/>
      <c r="Z62" s="872"/>
    </row>
    <row r="63" ht="14.25" customHeight="1">
      <c r="A63" s="872"/>
      <c r="B63" s="872"/>
      <c r="C63" s="872"/>
      <c r="D63" s="872"/>
      <c r="E63" s="872"/>
      <c r="F63" s="872"/>
      <c r="G63" s="872"/>
      <c r="H63" s="872"/>
      <c r="I63" s="872"/>
      <c r="J63" s="872"/>
      <c r="K63" s="872"/>
      <c r="L63" s="872"/>
      <c r="M63" s="872"/>
      <c r="N63" s="872"/>
      <c r="O63" s="872"/>
      <c r="P63" s="872"/>
      <c r="Q63" s="872"/>
      <c r="R63" s="872"/>
      <c r="S63" s="872"/>
      <c r="T63" s="872"/>
      <c r="U63" s="872"/>
      <c r="V63" s="872"/>
      <c r="W63" s="872"/>
      <c r="X63" s="872"/>
      <c r="Y63" s="872"/>
      <c r="Z63" s="872"/>
    </row>
    <row r="64" ht="14.25" customHeight="1">
      <c r="A64" s="872"/>
      <c r="B64" s="872"/>
      <c r="C64" s="872"/>
      <c r="D64" s="872"/>
      <c r="E64" s="872"/>
      <c r="F64" s="872"/>
      <c r="G64" s="872"/>
      <c r="H64" s="872"/>
      <c r="I64" s="872"/>
      <c r="J64" s="872"/>
      <c r="K64" s="872"/>
      <c r="L64" s="872"/>
      <c r="M64" s="872"/>
      <c r="N64" s="872"/>
      <c r="O64" s="872"/>
      <c r="P64" s="872"/>
      <c r="Q64" s="872"/>
      <c r="R64" s="872"/>
      <c r="S64" s="872"/>
      <c r="T64" s="872"/>
      <c r="U64" s="872"/>
      <c r="V64" s="872"/>
      <c r="W64" s="872"/>
      <c r="X64" s="872"/>
      <c r="Y64" s="872"/>
      <c r="Z64" s="872"/>
    </row>
    <row r="65" ht="14.25" customHeight="1">
      <c r="A65" s="872"/>
      <c r="B65" s="872"/>
      <c r="C65" s="872"/>
      <c r="D65" s="872"/>
      <c r="E65" s="872"/>
      <c r="F65" s="872"/>
      <c r="G65" s="872"/>
      <c r="H65" s="872"/>
      <c r="I65" s="872"/>
      <c r="J65" s="872"/>
      <c r="K65" s="872"/>
      <c r="L65" s="872"/>
      <c r="M65" s="872"/>
      <c r="N65" s="872"/>
      <c r="O65" s="872"/>
      <c r="P65" s="872"/>
      <c r="Q65" s="872"/>
      <c r="R65" s="872"/>
      <c r="S65" s="872"/>
      <c r="T65" s="872"/>
      <c r="U65" s="872"/>
      <c r="V65" s="872"/>
      <c r="W65" s="872"/>
      <c r="X65" s="872"/>
      <c r="Y65" s="872"/>
      <c r="Z65" s="872"/>
    </row>
    <row r="66" ht="14.25" customHeight="1">
      <c r="A66" s="872"/>
      <c r="B66" s="872"/>
      <c r="C66" s="872"/>
      <c r="D66" s="872"/>
      <c r="E66" s="872"/>
      <c r="F66" s="872"/>
      <c r="G66" s="872"/>
      <c r="H66" s="872"/>
      <c r="I66" s="872"/>
      <c r="J66" s="872"/>
      <c r="K66" s="872"/>
      <c r="L66" s="872"/>
      <c r="M66" s="872"/>
      <c r="N66" s="872"/>
      <c r="O66" s="872"/>
      <c r="P66" s="872"/>
      <c r="Q66" s="872"/>
      <c r="R66" s="872"/>
      <c r="S66" s="872"/>
      <c r="T66" s="872"/>
      <c r="U66" s="872"/>
      <c r="V66" s="872"/>
      <c r="W66" s="872"/>
      <c r="X66" s="872"/>
      <c r="Y66" s="872"/>
      <c r="Z66" s="872"/>
    </row>
    <row r="67" ht="14.25" customHeight="1">
      <c r="A67" s="872"/>
      <c r="B67" s="872"/>
      <c r="C67" s="872"/>
      <c r="D67" s="872"/>
      <c r="E67" s="872"/>
      <c r="F67" s="872"/>
      <c r="G67" s="872"/>
      <c r="H67" s="872"/>
      <c r="I67" s="872"/>
      <c r="J67" s="872"/>
      <c r="K67" s="872"/>
      <c r="L67" s="872"/>
      <c r="M67" s="872"/>
      <c r="N67" s="872"/>
      <c r="O67" s="872"/>
      <c r="P67" s="872"/>
      <c r="Q67" s="872"/>
      <c r="R67" s="872"/>
      <c r="S67" s="872"/>
      <c r="T67" s="872"/>
      <c r="U67" s="872"/>
      <c r="V67" s="872"/>
      <c r="W67" s="872"/>
      <c r="X67" s="872"/>
      <c r="Y67" s="872"/>
      <c r="Z67" s="872"/>
    </row>
    <row r="68" ht="14.25" customHeight="1">
      <c r="A68" s="872"/>
      <c r="B68" s="872"/>
      <c r="C68" s="872"/>
      <c r="D68" s="872"/>
      <c r="E68" s="872"/>
      <c r="F68" s="872"/>
      <c r="G68" s="872"/>
      <c r="H68" s="872"/>
      <c r="I68" s="872"/>
      <c r="J68" s="872"/>
      <c r="K68" s="872"/>
      <c r="L68" s="872"/>
      <c r="M68" s="872"/>
      <c r="N68" s="872"/>
      <c r="O68" s="872"/>
      <c r="P68" s="872"/>
      <c r="Q68" s="872"/>
      <c r="R68" s="872"/>
      <c r="S68" s="872"/>
      <c r="T68" s="872"/>
      <c r="U68" s="872"/>
      <c r="V68" s="872"/>
      <c r="W68" s="872"/>
      <c r="X68" s="872"/>
      <c r="Y68" s="872"/>
      <c r="Z68" s="872"/>
    </row>
    <row r="69" ht="14.25" customHeight="1">
      <c r="A69" s="872"/>
      <c r="B69" s="872"/>
      <c r="C69" s="872"/>
      <c r="D69" s="872"/>
      <c r="E69" s="872"/>
      <c r="F69" s="872"/>
      <c r="G69" s="872"/>
      <c r="H69" s="872"/>
      <c r="I69" s="872"/>
      <c r="J69" s="872"/>
      <c r="K69" s="872"/>
      <c r="L69" s="872"/>
      <c r="M69" s="872"/>
      <c r="N69" s="872"/>
      <c r="O69" s="872"/>
      <c r="P69" s="872"/>
      <c r="Q69" s="872"/>
      <c r="R69" s="872"/>
      <c r="S69" s="872"/>
      <c r="T69" s="872"/>
      <c r="U69" s="872"/>
      <c r="V69" s="872"/>
      <c r="W69" s="872"/>
      <c r="X69" s="872"/>
      <c r="Y69" s="872"/>
      <c r="Z69" s="872"/>
    </row>
    <row r="70" ht="14.25" customHeight="1">
      <c r="A70" s="872"/>
      <c r="B70" s="872"/>
      <c r="C70" s="872"/>
      <c r="D70" s="872"/>
      <c r="E70" s="872"/>
      <c r="F70" s="872"/>
      <c r="G70" s="872"/>
      <c r="H70" s="872"/>
      <c r="I70" s="872"/>
      <c r="J70" s="872"/>
      <c r="K70" s="872"/>
      <c r="L70" s="872"/>
      <c r="M70" s="872"/>
      <c r="N70" s="872"/>
      <c r="O70" s="872"/>
      <c r="P70" s="872"/>
      <c r="Q70" s="872"/>
      <c r="R70" s="872"/>
      <c r="S70" s="872"/>
      <c r="T70" s="872"/>
      <c r="U70" s="872"/>
      <c r="V70" s="872"/>
      <c r="W70" s="872"/>
      <c r="X70" s="872"/>
      <c r="Y70" s="872"/>
      <c r="Z70" s="872"/>
    </row>
    <row r="71" ht="14.25" customHeight="1">
      <c r="A71" s="872"/>
      <c r="B71" s="872"/>
      <c r="C71" s="872"/>
      <c r="D71" s="872"/>
      <c r="E71" s="872"/>
      <c r="F71" s="872"/>
      <c r="G71" s="872"/>
      <c r="H71" s="872"/>
      <c r="I71" s="872"/>
      <c r="J71" s="872"/>
      <c r="K71" s="872"/>
      <c r="L71" s="872"/>
      <c r="M71" s="872"/>
      <c r="N71" s="872"/>
      <c r="O71" s="872"/>
      <c r="P71" s="872"/>
      <c r="Q71" s="872"/>
      <c r="R71" s="872"/>
      <c r="S71" s="872"/>
      <c r="T71" s="872"/>
      <c r="U71" s="872"/>
      <c r="V71" s="872"/>
      <c r="W71" s="872"/>
      <c r="X71" s="872"/>
      <c r="Y71" s="872"/>
      <c r="Z71" s="872"/>
    </row>
    <row r="72" ht="14.25" customHeight="1">
      <c r="A72" s="872"/>
      <c r="B72" s="872"/>
      <c r="C72" s="872"/>
      <c r="D72" s="872"/>
      <c r="E72" s="872"/>
      <c r="F72" s="872"/>
      <c r="G72" s="872"/>
      <c r="H72" s="872"/>
      <c r="I72" s="872"/>
      <c r="J72" s="872"/>
      <c r="K72" s="872"/>
      <c r="L72" s="872"/>
      <c r="M72" s="872"/>
      <c r="N72" s="872"/>
      <c r="O72" s="872"/>
      <c r="P72" s="872"/>
      <c r="Q72" s="872"/>
      <c r="R72" s="872"/>
      <c r="S72" s="872"/>
      <c r="T72" s="872"/>
      <c r="U72" s="872"/>
      <c r="V72" s="872"/>
      <c r="W72" s="872"/>
      <c r="X72" s="872"/>
      <c r="Y72" s="872"/>
      <c r="Z72" s="872"/>
    </row>
    <row r="73" ht="14.25" customHeight="1">
      <c r="A73" s="872"/>
      <c r="B73" s="872"/>
      <c r="C73" s="872"/>
      <c r="D73" s="872"/>
      <c r="E73" s="872"/>
      <c r="F73" s="872"/>
      <c r="G73" s="872"/>
      <c r="H73" s="872"/>
      <c r="I73" s="872"/>
      <c r="J73" s="872"/>
      <c r="K73" s="872"/>
      <c r="L73" s="872"/>
      <c r="M73" s="872"/>
      <c r="N73" s="872"/>
      <c r="O73" s="872"/>
      <c r="P73" s="872"/>
      <c r="Q73" s="872"/>
      <c r="R73" s="872"/>
      <c r="S73" s="872"/>
      <c r="T73" s="872"/>
      <c r="U73" s="872"/>
      <c r="V73" s="872"/>
      <c r="W73" s="872"/>
      <c r="X73" s="872"/>
      <c r="Y73" s="872"/>
      <c r="Z73" s="872"/>
    </row>
    <row r="74" ht="14.25" customHeight="1">
      <c r="A74" s="872"/>
      <c r="B74" s="872"/>
      <c r="C74" s="872"/>
      <c r="D74" s="872"/>
      <c r="E74" s="872"/>
      <c r="F74" s="872"/>
      <c r="G74" s="872"/>
      <c r="H74" s="872"/>
      <c r="I74" s="872"/>
      <c r="J74" s="872"/>
      <c r="K74" s="872"/>
      <c r="L74" s="872"/>
      <c r="M74" s="872"/>
      <c r="N74" s="872"/>
      <c r="O74" s="872"/>
      <c r="P74" s="872"/>
      <c r="Q74" s="872"/>
      <c r="R74" s="872"/>
      <c r="S74" s="872"/>
      <c r="T74" s="872"/>
      <c r="U74" s="872"/>
      <c r="V74" s="872"/>
      <c r="W74" s="872"/>
      <c r="X74" s="872"/>
      <c r="Y74" s="872"/>
      <c r="Z74" s="872"/>
    </row>
    <row r="75" ht="14.25" customHeight="1">
      <c r="A75" s="872"/>
      <c r="B75" s="872"/>
      <c r="C75" s="872"/>
      <c r="D75" s="872"/>
      <c r="E75" s="872"/>
      <c r="F75" s="872"/>
      <c r="G75" s="872"/>
      <c r="H75" s="872"/>
      <c r="I75" s="872"/>
      <c r="J75" s="872"/>
      <c r="K75" s="872"/>
      <c r="L75" s="872"/>
      <c r="M75" s="872"/>
      <c r="N75" s="872"/>
      <c r="O75" s="872"/>
      <c r="P75" s="872"/>
      <c r="Q75" s="872"/>
      <c r="R75" s="872"/>
      <c r="S75" s="872"/>
      <c r="T75" s="872"/>
      <c r="U75" s="872"/>
      <c r="V75" s="872"/>
      <c r="W75" s="872"/>
      <c r="X75" s="872"/>
      <c r="Y75" s="872"/>
      <c r="Z75" s="872"/>
    </row>
    <row r="76" ht="14.25" customHeight="1">
      <c r="A76" s="872"/>
      <c r="B76" s="872"/>
      <c r="C76" s="872"/>
      <c r="D76" s="872"/>
      <c r="E76" s="872"/>
      <c r="F76" s="872"/>
      <c r="G76" s="872"/>
      <c r="H76" s="872"/>
      <c r="I76" s="872"/>
      <c r="J76" s="872"/>
      <c r="K76" s="872"/>
      <c r="L76" s="872"/>
      <c r="M76" s="872"/>
      <c r="N76" s="872"/>
      <c r="O76" s="872"/>
      <c r="P76" s="872"/>
      <c r="Q76" s="872"/>
      <c r="R76" s="872"/>
      <c r="S76" s="872"/>
      <c r="T76" s="872"/>
      <c r="U76" s="872"/>
      <c r="V76" s="872"/>
      <c r="W76" s="872"/>
      <c r="X76" s="872"/>
      <c r="Y76" s="872"/>
      <c r="Z76" s="872"/>
    </row>
    <row r="77" ht="14.25" customHeight="1">
      <c r="A77" s="872"/>
      <c r="B77" s="872"/>
      <c r="C77" s="872"/>
      <c r="D77" s="872"/>
      <c r="E77" s="872"/>
      <c r="F77" s="872"/>
      <c r="G77" s="872"/>
      <c r="H77" s="872"/>
      <c r="I77" s="872"/>
      <c r="J77" s="872"/>
      <c r="K77" s="872"/>
      <c r="L77" s="872"/>
      <c r="M77" s="872"/>
      <c r="N77" s="872"/>
      <c r="O77" s="872"/>
      <c r="P77" s="872"/>
      <c r="Q77" s="872"/>
      <c r="R77" s="872"/>
      <c r="S77" s="872"/>
      <c r="T77" s="872"/>
      <c r="U77" s="872"/>
      <c r="V77" s="872"/>
      <c r="W77" s="872"/>
      <c r="X77" s="872"/>
      <c r="Y77" s="872"/>
      <c r="Z77" s="872"/>
    </row>
    <row r="78" ht="14.25" customHeight="1">
      <c r="A78" s="872"/>
      <c r="B78" s="872"/>
      <c r="C78" s="872"/>
      <c r="D78" s="872"/>
      <c r="E78" s="872"/>
      <c r="F78" s="872"/>
      <c r="G78" s="872"/>
      <c r="H78" s="872"/>
      <c r="I78" s="872"/>
      <c r="J78" s="872"/>
      <c r="K78" s="872"/>
      <c r="L78" s="872"/>
      <c r="M78" s="872"/>
      <c r="N78" s="872"/>
      <c r="O78" s="872"/>
      <c r="P78" s="872"/>
      <c r="Q78" s="872"/>
      <c r="R78" s="872"/>
      <c r="S78" s="872"/>
      <c r="T78" s="872"/>
      <c r="U78" s="872"/>
      <c r="V78" s="872"/>
      <c r="W78" s="872"/>
      <c r="X78" s="872"/>
      <c r="Y78" s="872"/>
      <c r="Z78" s="872"/>
    </row>
    <row r="79" ht="14.25" customHeight="1">
      <c r="A79" s="872"/>
      <c r="B79" s="872"/>
      <c r="C79" s="872"/>
      <c r="D79" s="872"/>
      <c r="E79" s="872"/>
      <c r="F79" s="872"/>
      <c r="G79" s="872"/>
      <c r="H79" s="872"/>
      <c r="I79" s="872"/>
      <c r="J79" s="872"/>
      <c r="K79" s="872"/>
      <c r="L79" s="872"/>
      <c r="M79" s="872"/>
      <c r="N79" s="872"/>
      <c r="O79" s="872"/>
      <c r="P79" s="872"/>
      <c r="Q79" s="872"/>
      <c r="R79" s="872"/>
      <c r="S79" s="872"/>
      <c r="T79" s="872"/>
      <c r="U79" s="872"/>
      <c r="V79" s="872"/>
      <c r="W79" s="872"/>
      <c r="X79" s="872"/>
      <c r="Y79" s="872"/>
      <c r="Z79" s="872"/>
    </row>
    <row r="80" ht="14.25" customHeight="1">
      <c r="A80" s="872"/>
      <c r="B80" s="872"/>
      <c r="C80" s="872"/>
      <c r="D80" s="872"/>
      <c r="E80" s="872"/>
      <c r="F80" s="872"/>
      <c r="G80" s="872"/>
      <c r="H80" s="872"/>
      <c r="I80" s="872"/>
      <c r="J80" s="872"/>
      <c r="K80" s="872"/>
      <c r="L80" s="872"/>
      <c r="M80" s="872"/>
      <c r="N80" s="872"/>
      <c r="O80" s="872"/>
      <c r="P80" s="872"/>
      <c r="Q80" s="872"/>
      <c r="R80" s="872"/>
      <c r="S80" s="872"/>
      <c r="T80" s="872"/>
      <c r="U80" s="872"/>
      <c r="V80" s="872"/>
      <c r="W80" s="872"/>
      <c r="X80" s="872"/>
      <c r="Y80" s="872"/>
      <c r="Z80" s="872"/>
    </row>
    <row r="81" ht="14.25" customHeight="1">
      <c r="A81" s="872"/>
      <c r="B81" s="872"/>
      <c r="C81" s="872"/>
      <c r="D81" s="872"/>
      <c r="E81" s="872"/>
      <c r="F81" s="872"/>
      <c r="G81" s="872"/>
      <c r="H81" s="872"/>
      <c r="I81" s="872"/>
      <c r="J81" s="872"/>
      <c r="K81" s="872"/>
      <c r="L81" s="872"/>
      <c r="M81" s="872"/>
      <c r="N81" s="872"/>
      <c r="O81" s="872"/>
      <c r="P81" s="872"/>
      <c r="Q81" s="872"/>
      <c r="R81" s="872"/>
      <c r="S81" s="872"/>
      <c r="T81" s="872"/>
      <c r="U81" s="872"/>
      <c r="V81" s="872"/>
      <c r="W81" s="872"/>
      <c r="X81" s="872"/>
      <c r="Y81" s="872"/>
      <c r="Z81" s="872"/>
    </row>
    <row r="82" ht="14.25" customHeight="1">
      <c r="A82" s="872"/>
      <c r="B82" s="872"/>
      <c r="C82" s="872"/>
      <c r="D82" s="872"/>
      <c r="E82" s="872"/>
      <c r="F82" s="872"/>
      <c r="G82" s="872"/>
      <c r="H82" s="872"/>
      <c r="I82" s="872"/>
      <c r="J82" s="872"/>
      <c r="K82" s="872"/>
      <c r="L82" s="872"/>
      <c r="M82" s="872"/>
      <c r="N82" s="872"/>
      <c r="O82" s="872"/>
      <c r="P82" s="872"/>
      <c r="Q82" s="872"/>
      <c r="R82" s="872"/>
      <c r="S82" s="872"/>
      <c r="T82" s="872"/>
      <c r="U82" s="872"/>
      <c r="V82" s="872"/>
      <c r="W82" s="872"/>
      <c r="X82" s="872"/>
      <c r="Y82" s="872"/>
      <c r="Z82" s="872"/>
    </row>
    <row r="83" ht="14.25" customHeight="1">
      <c r="A83" s="872"/>
      <c r="B83" s="872"/>
      <c r="C83" s="872"/>
      <c r="D83" s="872"/>
      <c r="E83" s="872"/>
      <c r="F83" s="872"/>
      <c r="G83" s="872"/>
      <c r="H83" s="872"/>
      <c r="I83" s="872"/>
      <c r="J83" s="872"/>
      <c r="K83" s="872"/>
      <c r="L83" s="872"/>
      <c r="M83" s="872"/>
      <c r="N83" s="872"/>
      <c r="O83" s="872"/>
      <c r="P83" s="872"/>
      <c r="Q83" s="872"/>
      <c r="R83" s="872"/>
      <c r="S83" s="872"/>
      <c r="T83" s="872"/>
      <c r="U83" s="872"/>
      <c r="V83" s="872"/>
      <c r="W83" s="872"/>
      <c r="X83" s="872"/>
      <c r="Y83" s="872"/>
      <c r="Z83" s="872"/>
    </row>
    <row r="84" ht="14.25" customHeight="1">
      <c r="A84" s="872"/>
      <c r="B84" s="872"/>
      <c r="C84" s="872"/>
      <c r="D84" s="872"/>
      <c r="E84" s="872"/>
      <c r="F84" s="872"/>
      <c r="G84" s="872"/>
      <c r="H84" s="872"/>
      <c r="I84" s="872"/>
      <c r="J84" s="872"/>
      <c r="K84" s="872"/>
      <c r="L84" s="872"/>
      <c r="M84" s="872"/>
      <c r="N84" s="872"/>
      <c r="O84" s="872"/>
      <c r="P84" s="872"/>
      <c r="Q84" s="872"/>
      <c r="R84" s="872"/>
      <c r="S84" s="872"/>
      <c r="T84" s="872"/>
      <c r="U84" s="872"/>
      <c r="V84" s="872"/>
      <c r="W84" s="872"/>
      <c r="X84" s="872"/>
      <c r="Y84" s="872"/>
      <c r="Z84" s="872"/>
    </row>
    <row r="85" ht="14.25" customHeight="1">
      <c r="A85" s="872"/>
      <c r="B85" s="872"/>
      <c r="C85" s="872"/>
      <c r="D85" s="872"/>
      <c r="E85" s="872"/>
      <c r="F85" s="872"/>
      <c r="G85" s="872"/>
      <c r="H85" s="872"/>
      <c r="I85" s="872"/>
      <c r="J85" s="872"/>
      <c r="K85" s="872"/>
      <c r="L85" s="872"/>
      <c r="M85" s="872"/>
      <c r="N85" s="872"/>
      <c r="O85" s="872"/>
      <c r="P85" s="872"/>
      <c r="Q85" s="872"/>
      <c r="R85" s="872"/>
      <c r="S85" s="872"/>
      <c r="T85" s="872"/>
      <c r="U85" s="872"/>
      <c r="V85" s="872"/>
      <c r="W85" s="872"/>
      <c r="X85" s="872"/>
      <c r="Y85" s="872"/>
      <c r="Z85" s="872"/>
    </row>
    <row r="86" ht="14.25" customHeight="1">
      <c r="A86" s="872"/>
      <c r="B86" s="872"/>
      <c r="C86" s="872"/>
      <c r="D86" s="872"/>
      <c r="E86" s="872"/>
      <c r="F86" s="872"/>
      <c r="G86" s="872"/>
      <c r="H86" s="872"/>
      <c r="I86" s="872"/>
      <c r="J86" s="872"/>
      <c r="K86" s="872"/>
      <c r="L86" s="872"/>
      <c r="M86" s="872"/>
      <c r="N86" s="872"/>
      <c r="O86" s="872"/>
      <c r="P86" s="872"/>
      <c r="Q86" s="872"/>
      <c r="R86" s="872"/>
      <c r="S86" s="872"/>
      <c r="T86" s="872"/>
      <c r="U86" s="872"/>
      <c r="V86" s="872"/>
      <c r="W86" s="872"/>
      <c r="X86" s="872"/>
      <c r="Y86" s="872"/>
      <c r="Z86" s="872"/>
    </row>
    <row r="87" ht="14.25" customHeight="1">
      <c r="A87" s="872"/>
      <c r="B87" s="872"/>
      <c r="C87" s="872"/>
      <c r="D87" s="872"/>
      <c r="E87" s="872"/>
      <c r="F87" s="872"/>
      <c r="G87" s="872"/>
      <c r="H87" s="872"/>
      <c r="I87" s="872"/>
      <c r="J87" s="872"/>
      <c r="K87" s="872"/>
      <c r="L87" s="872"/>
      <c r="M87" s="872"/>
      <c r="N87" s="872"/>
      <c r="O87" s="872"/>
      <c r="P87" s="872"/>
      <c r="Q87" s="872"/>
      <c r="R87" s="872"/>
      <c r="S87" s="872"/>
      <c r="T87" s="872"/>
      <c r="U87" s="872"/>
      <c r="V87" s="872"/>
      <c r="W87" s="872"/>
      <c r="X87" s="872"/>
      <c r="Y87" s="872"/>
      <c r="Z87" s="872"/>
    </row>
    <row r="88" ht="14.25" customHeight="1">
      <c r="A88" s="872"/>
      <c r="B88" s="872"/>
      <c r="C88" s="872"/>
      <c r="D88" s="872"/>
      <c r="E88" s="872"/>
      <c r="F88" s="872"/>
      <c r="G88" s="872"/>
      <c r="H88" s="872"/>
      <c r="I88" s="872"/>
      <c r="J88" s="872"/>
      <c r="K88" s="872"/>
      <c r="L88" s="872"/>
      <c r="M88" s="872"/>
      <c r="N88" s="872"/>
      <c r="O88" s="872"/>
      <c r="P88" s="872"/>
      <c r="Q88" s="872"/>
      <c r="R88" s="872"/>
      <c r="S88" s="872"/>
      <c r="T88" s="872"/>
      <c r="U88" s="872"/>
      <c r="V88" s="872"/>
      <c r="W88" s="872"/>
      <c r="X88" s="872"/>
      <c r="Y88" s="872"/>
      <c r="Z88" s="872"/>
    </row>
    <row r="89" ht="14.25" customHeight="1">
      <c r="A89" s="872"/>
      <c r="B89" s="872"/>
      <c r="C89" s="872"/>
      <c r="D89" s="872"/>
      <c r="E89" s="872"/>
      <c r="F89" s="872"/>
      <c r="G89" s="872"/>
      <c r="H89" s="872"/>
      <c r="I89" s="872"/>
      <c r="J89" s="872"/>
      <c r="K89" s="872"/>
      <c r="L89" s="872"/>
      <c r="M89" s="872"/>
      <c r="N89" s="872"/>
      <c r="O89" s="872"/>
      <c r="P89" s="872"/>
      <c r="Q89" s="872"/>
      <c r="R89" s="872"/>
      <c r="S89" s="872"/>
      <c r="T89" s="872"/>
      <c r="U89" s="872"/>
      <c r="V89" s="872"/>
      <c r="W89" s="872"/>
      <c r="X89" s="872"/>
      <c r="Y89" s="872"/>
      <c r="Z89" s="872"/>
    </row>
    <row r="90" ht="14.25" customHeight="1">
      <c r="A90" s="872"/>
      <c r="B90" s="872"/>
      <c r="C90" s="872"/>
      <c r="D90" s="872"/>
      <c r="E90" s="872"/>
      <c r="F90" s="872"/>
      <c r="G90" s="872"/>
      <c r="H90" s="872"/>
      <c r="I90" s="872"/>
      <c r="J90" s="872"/>
      <c r="K90" s="872"/>
      <c r="L90" s="872"/>
      <c r="M90" s="872"/>
      <c r="N90" s="872"/>
      <c r="O90" s="872"/>
      <c r="P90" s="872"/>
      <c r="Q90" s="872"/>
      <c r="R90" s="872"/>
      <c r="S90" s="872"/>
      <c r="T90" s="872"/>
      <c r="U90" s="872"/>
      <c r="V90" s="872"/>
      <c r="W90" s="872"/>
      <c r="X90" s="872"/>
      <c r="Y90" s="872"/>
      <c r="Z90" s="872"/>
    </row>
    <row r="91" ht="14.25" customHeight="1">
      <c r="A91" s="872"/>
      <c r="B91" s="872"/>
      <c r="C91" s="872"/>
      <c r="D91" s="872"/>
      <c r="E91" s="872"/>
      <c r="F91" s="872"/>
      <c r="G91" s="872"/>
      <c r="H91" s="872"/>
      <c r="I91" s="872"/>
      <c r="J91" s="872"/>
      <c r="K91" s="872"/>
      <c r="L91" s="872"/>
      <c r="M91" s="872"/>
      <c r="N91" s="872"/>
      <c r="O91" s="872"/>
      <c r="P91" s="872"/>
      <c r="Q91" s="872"/>
      <c r="R91" s="872"/>
      <c r="S91" s="872"/>
      <c r="T91" s="872"/>
      <c r="U91" s="872"/>
      <c r="V91" s="872"/>
      <c r="W91" s="872"/>
      <c r="X91" s="872"/>
      <c r="Y91" s="872"/>
      <c r="Z91" s="872"/>
    </row>
    <row r="92" ht="14.25" customHeight="1">
      <c r="A92" s="872"/>
      <c r="B92" s="872"/>
      <c r="C92" s="872"/>
      <c r="D92" s="872"/>
      <c r="E92" s="872"/>
      <c r="F92" s="872"/>
      <c r="G92" s="872"/>
      <c r="H92" s="872"/>
      <c r="I92" s="872"/>
      <c r="J92" s="872"/>
      <c r="K92" s="872"/>
      <c r="L92" s="872"/>
      <c r="M92" s="872"/>
      <c r="N92" s="872"/>
      <c r="O92" s="872"/>
      <c r="P92" s="872"/>
      <c r="Q92" s="872"/>
      <c r="R92" s="872"/>
      <c r="S92" s="872"/>
      <c r="T92" s="872"/>
      <c r="U92" s="872"/>
      <c r="V92" s="872"/>
      <c r="W92" s="872"/>
      <c r="X92" s="872"/>
      <c r="Y92" s="872"/>
      <c r="Z92" s="872"/>
    </row>
    <row r="93" ht="14.25" customHeight="1">
      <c r="A93" s="872"/>
      <c r="B93" s="872"/>
      <c r="C93" s="872"/>
      <c r="D93" s="872"/>
      <c r="E93" s="872"/>
      <c r="F93" s="872"/>
      <c r="G93" s="872"/>
      <c r="H93" s="872"/>
      <c r="I93" s="872"/>
      <c r="J93" s="872"/>
      <c r="K93" s="872"/>
      <c r="L93" s="872"/>
      <c r="M93" s="872"/>
      <c r="N93" s="872"/>
      <c r="O93" s="872"/>
      <c r="P93" s="872"/>
      <c r="Q93" s="872"/>
      <c r="R93" s="872"/>
      <c r="S93" s="872"/>
      <c r="T93" s="872"/>
      <c r="U93" s="872"/>
      <c r="V93" s="872"/>
      <c r="W93" s="872"/>
      <c r="X93" s="872"/>
      <c r="Y93" s="872"/>
      <c r="Z93" s="872"/>
    </row>
    <row r="94" ht="14.25" customHeight="1">
      <c r="A94" s="872"/>
      <c r="B94" s="872"/>
      <c r="C94" s="872"/>
      <c r="D94" s="872"/>
      <c r="E94" s="872"/>
      <c r="F94" s="872"/>
      <c r="G94" s="872"/>
      <c r="H94" s="872"/>
      <c r="I94" s="872"/>
      <c r="J94" s="872"/>
      <c r="K94" s="872"/>
      <c r="L94" s="872"/>
      <c r="M94" s="872"/>
      <c r="N94" s="872"/>
      <c r="O94" s="872"/>
      <c r="P94" s="872"/>
      <c r="Q94" s="872"/>
      <c r="R94" s="872"/>
      <c r="S94" s="872"/>
      <c r="T94" s="872"/>
      <c r="U94" s="872"/>
      <c r="V94" s="872"/>
      <c r="W94" s="872"/>
      <c r="X94" s="872"/>
      <c r="Y94" s="872"/>
      <c r="Z94" s="872"/>
    </row>
    <row r="95" ht="14.25" customHeight="1">
      <c r="A95" s="872"/>
      <c r="B95" s="872"/>
      <c r="C95" s="872"/>
      <c r="D95" s="872"/>
      <c r="E95" s="872"/>
      <c r="F95" s="872"/>
      <c r="G95" s="872"/>
      <c r="H95" s="872"/>
      <c r="I95" s="872"/>
      <c r="J95" s="872"/>
      <c r="K95" s="872"/>
      <c r="L95" s="872"/>
      <c r="M95" s="872"/>
      <c r="N95" s="872"/>
      <c r="O95" s="872"/>
      <c r="P95" s="872"/>
      <c r="Q95" s="872"/>
      <c r="R95" s="872"/>
      <c r="S95" s="872"/>
      <c r="T95" s="872"/>
      <c r="U95" s="872"/>
      <c r="V95" s="872"/>
      <c r="W95" s="872"/>
      <c r="X95" s="872"/>
      <c r="Y95" s="872"/>
      <c r="Z95" s="872"/>
    </row>
    <row r="96" ht="14.25" customHeight="1">
      <c r="A96" s="872"/>
      <c r="B96" s="872"/>
      <c r="C96" s="872"/>
      <c r="D96" s="872"/>
      <c r="E96" s="872"/>
      <c r="F96" s="872"/>
      <c r="G96" s="872"/>
      <c r="H96" s="872"/>
      <c r="I96" s="872"/>
      <c r="J96" s="872"/>
      <c r="K96" s="872"/>
      <c r="L96" s="872"/>
      <c r="M96" s="872"/>
      <c r="N96" s="872"/>
      <c r="O96" s="872"/>
      <c r="P96" s="872"/>
      <c r="Q96" s="872"/>
      <c r="R96" s="872"/>
      <c r="S96" s="872"/>
      <c r="T96" s="872"/>
      <c r="U96" s="872"/>
      <c r="V96" s="872"/>
      <c r="W96" s="872"/>
      <c r="X96" s="872"/>
      <c r="Y96" s="872"/>
      <c r="Z96" s="872"/>
    </row>
    <row r="97" ht="14.25" customHeight="1">
      <c r="A97" s="872"/>
      <c r="B97" s="872"/>
      <c r="C97" s="872"/>
      <c r="D97" s="872"/>
      <c r="E97" s="872"/>
      <c r="F97" s="872"/>
      <c r="G97" s="872"/>
      <c r="H97" s="872"/>
      <c r="I97" s="872"/>
      <c r="J97" s="872"/>
      <c r="K97" s="872"/>
      <c r="L97" s="872"/>
      <c r="M97" s="872"/>
      <c r="N97" s="872"/>
      <c r="O97" s="872"/>
      <c r="P97" s="872"/>
      <c r="Q97" s="872"/>
      <c r="R97" s="872"/>
      <c r="S97" s="872"/>
      <c r="T97" s="872"/>
      <c r="U97" s="872"/>
      <c r="V97" s="872"/>
      <c r="W97" s="872"/>
      <c r="X97" s="872"/>
      <c r="Y97" s="872"/>
      <c r="Z97" s="872"/>
    </row>
    <row r="98" ht="14.25" customHeight="1">
      <c r="A98" s="872"/>
      <c r="B98" s="872"/>
      <c r="C98" s="872"/>
      <c r="D98" s="872"/>
      <c r="E98" s="872"/>
      <c r="F98" s="872"/>
      <c r="G98" s="872"/>
      <c r="H98" s="872"/>
      <c r="I98" s="872"/>
      <c r="J98" s="872"/>
      <c r="K98" s="872"/>
      <c r="L98" s="872"/>
      <c r="M98" s="872"/>
      <c r="N98" s="872"/>
      <c r="O98" s="872"/>
      <c r="P98" s="872"/>
      <c r="Q98" s="872"/>
      <c r="R98" s="872"/>
      <c r="S98" s="872"/>
      <c r="T98" s="872"/>
      <c r="U98" s="872"/>
      <c r="V98" s="872"/>
      <c r="W98" s="872"/>
      <c r="X98" s="872"/>
      <c r="Y98" s="872"/>
      <c r="Z98" s="872"/>
    </row>
    <row r="99" ht="14.25" customHeight="1">
      <c r="A99" s="872"/>
      <c r="B99" s="872"/>
      <c r="C99" s="872"/>
      <c r="D99" s="872"/>
      <c r="E99" s="872"/>
      <c r="F99" s="872"/>
      <c r="G99" s="872"/>
      <c r="H99" s="872"/>
      <c r="I99" s="872"/>
      <c r="J99" s="872"/>
      <c r="K99" s="872"/>
      <c r="L99" s="872"/>
      <c r="M99" s="872"/>
      <c r="N99" s="872"/>
      <c r="O99" s="872"/>
      <c r="P99" s="872"/>
      <c r="Q99" s="872"/>
      <c r="R99" s="872"/>
      <c r="S99" s="872"/>
      <c r="T99" s="872"/>
      <c r="U99" s="872"/>
      <c r="V99" s="872"/>
      <c r="W99" s="872"/>
      <c r="X99" s="872"/>
      <c r="Y99" s="872"/>
      <c r="Z99" s="872"/>
    </row>
    <row r="100" ht="14.25" customHeight="1">
      <c r="A100" s="872"/>
      <c r="B100" s="872"/>
      <c r="C100" s="872"/>
      <c r="D100" s="872"/>
      <c r="E100" s="872"/>
      <c r="F100" s="872"/>
      <c r="G100" s="872"/>
      <c r="H100" s="872"/>
      <c r="I100" s="872"/>
      <c r="J100" s="872"/>
      <c r="K100" s="872"/>
      <c r="L100" s="872"/>
      <c r="M100" s="872"/>
      <c r="N100" s="872"/>
      <c r="O100" s="872"/>
      <c r="P100" s="872"/>
      <c r="Q100" s="872"/>
      <c r="R100" s="872"/>
      <c r="S100" s="872"/>
      <c r="T100" s="872"/>
      <c r="U100" s="872"/>
      <c r="V100" s="872"/>
      <c r="W100" s="872"/>
      <c r="X100" s="872"/>
      <c r="Y100" s="872"/>
      <c r="Z100" s="872"/>
    </row>
    <row r="101" ht="14.25" customHeight="1">
      <c r="A101" s="872"/>
      <c r="B101" s="872"/>
      <c r="C101" s="872"/>
      <c r="D101" s="872"/>
      <c r="E101" s="872"/>
      <c r="F101" s="872"/>
      <c r="G101" s="872"/>
      <c r="H101" s="872"/>
      <c r="I101" s="872"/>
      <c r="J101" s="872"/>
      <c r="K101" s="872"/>
      <c r="L101" s="872"/>
      <c r="M101" s="872"/>
      <c r="N101" s="872"/>
      <c r="O101" s="872"/>
      <c r="P101" s="872"/>
      <c r="Q101" s="872"/>
      <c r="R101" s="872"/>
      <c r="S101" s="872"/>
      <c r="T101" s="872"/>
      <c r="U101" s="872"/>
      <c r="V101" s="872"/>
      <c r="W101" s="872"/>
      <c r="X101" s="872"/>
      <c r="Y101" s="872"/>
      <c r="Z101" s="872"/>
    </row>
    <row r="102" ht="14.25" customHeight="1">
      <c r="A102" s="872"/>
      <c r="B102" s="872"/>
      <c r="C102" s="872"/>
      <c r="D102" s="872"/>
      <c r="E102" s="872"/>
      <c r="F102" s="872"/>
      <c r="G102" s="872"/>
      <c r="H102" s="872"/>
      <c r="I102" s="872"/>
      <c r="J102" s="872"/>
      <c r="K102" s="872"/>
      <c r="L102" s="872"/>
      <c r="M102" s="872"/>
      <c r="N102" s="872"/>
      <c r="O102" s="872"/>
      <c r="P102" s="872"/>
      <c r="Q102" s="872"/>
      <c r="R102" s="872"/>
      <c r="S102" s="872"/>
      <c r="T102" s="872"/>
      <c r="U102" s="872"/>
      <c r="V102" s="872"/>
      <c r="W102" s="872"/>
      <c r="X102" s="872"/>
      <c r="Y102" s="872"/>
      <c r="Z102" s="872"/>
    </row>
    <row r="103" ht="14.25" customHeight="1">
      <c r="A103" s="872"/>
      <c r="B103" s="872"/>
      <c r="C103" s="872"/>
      <c r="D103" s="872"/>
      <c r="E103" s="872"/>
      <c r="F103" s="872"/>
      <c r="G103" s="872"/>
      <c r="H103" s="872"/>
      <c r="I103" s="872"/>
      <c r="J103" s="872"/>
      <c r="K103" s="872"/>
      <c r="L103" s="872"/>
      <c r="M103" s="872"/>
      <c r="N103" s="872"/>
      <c r="O103" s="872"/>
      <c r="P103" s="872"/>
      <c r="Q103" s="872"/>
      <c r="R103" s="872"/>
      <c r="S103" s="872"/>
      <c r="T103" s="872"/>
      <c r="U103" s="872"/>
      <c r="V103" s="872"/>
      <c r="W103" s="872"/>
      <c r="X103" s="872"/>
      <c r="Y103" s="872"/>
      <c r="Z103" s="872"/>
    </row>
    <row r="104" ht="14.25" customHeight="1">
      <c r="A104" s="872"/>
      <c r="B104" s="872"/>
      <c r="C104" s="872"/>
      <c r="D104" s="872"/>
      <c r="E104" s="872"/>
      <c r="F104" s="872"/>
      <c r="G104" s="872"/>
      <c r="H104" s="872"/>
      <c r="I104" s="872"/>
      <c r="J104" s="872"/>
      <c r="K104" s="872"/>
      <c r="L104" s="872"/>
      <c r="M104" s="872"/>
      <c r="N104" s="872"/>
      <c r="O104" s="872"/>
      <c r="P104" s="872"/>
      <c r="Q104" s="872"/>
      <c r="R104" s="872"/>
      <c r="S104" s="872"/>
      <c r="T104" s="872"/>
      <c r="U104" s="872"/>
      <c r="V104" s="872"/>
      <c r="W104" s="872"/>
      <c r="X104" s="872"/>
      <c r="Y104" s="872"/>
      <c r="Z104" s="872"/>
    </row>
    <row r="105" ht="14.25" customHeight="1">
      <c r="A105" s="872"/>
      <c r="B105" s="872"/>
      <c r="C105" s="872"/>
      <c r="D105" s="872"/>
      <c r="E105" s="872"/>
      <c r="F105" s="872"/>
      <c r="G105" s="872"/>
      <c r="H105" s="872"/>
      <c r="I105" s="872"/>
      <c r="J105" s="872"/>
      <c r="K105" s="872"/>
      <c r="L105" s="872"/>
      <c r="M105" s="872"/>
      <c r="N105" s="872"/>
      <c r="O105" s="872"/>
      <c r="P105" s="872"/>
      <c r="Q105" s="872"/>
      <c r="R105" s="872"/>
      <c r="S105" s="872"/>
      <c r="T105" s="872"/>
      <c r="U105" s="872"/>
      <c r="V105" s="872"/>
      <c r="W105" s="872"/>
      <c r="X105" s="872"/>
      <c r="Y105" s="872"/>
      <c r="Z105" s="872"/>
    </row>
    <row r="106" ht="14.25" customHeight="1">
      <c r="A106" s="872"/>
      <c r="B106" s="872"/>
      <c r="C106" s="872"/>
      <c r="D106" s="872"/>
      <c r="E106" s="872"/>
      <c r="F106" s="872"/>
      <c r="G106" s="872"/>
      <c r="H106" s="872"/>
      <c r="I106" s="872"/>
      <c r="J106" s="872"/>
      <c r="K106" s="872"/>
      <c r="L106" s="872"/>
      <c r="M106" s="872"/>
      <c r="N106" s="872"/>
      <c r="O106" s="872"/>
      <c r="P106" s="872"/>
      <c r="Q106" s="872"/>
      <c r="R106" s="872"/>
      <c r="S106" s="872"/>
      <c r="T106" s="872"/>
      <c r="U106" s="872"/>
      <c r="V106" s="872"/>
      <c r="W106" s="872"/>
      <c r="X106" s="872"/>
      <c r="Y106" s="872"/>
      <c r="Z106" s="872"/>
    </row>
    <row r="107" ht="14.25" customHeight="1">
      <c r="A107" s="872"/>
      <c r="B107" s="872"/>
      <c r="C107" s="872"/>
      <c r="D107" s="872"/>
      <c r="E107" s="872"/>
      <c r="F107" s="872"/>
      <c r="G107" s="872"/>
      <c r="H107" s="872"/>
      <c r="I107" s="872"/>
      <c r="J107" s="872"/>
      <c r="K107" s="872"/>
      <c r="L107" s="872"/>
      <c r="M107" s="872"/>
      <c r="N107" s="872"/>
      <c r="O107" s="872"/>
      <c r="P107" s="872"/>
      <c r="Q107" s="872"/>
      <c r="R107" s="872"/>
      <c r="S107" s="872"/>
      <c r="T107" s="872"/>
      <c r="U107" s="872"/>
      <c r="V107" s="872"/>
      <c r="W107" s="872"/>
      <c r="X107" s="872"/>
      <c r="Y107" s="872"/>
      <c r="Z107" s="872"/>
    </row>
    <row r="108" ht="14.25" customHeight="1">
      <c r="A108" s="872"/>
      <c r="B108" s="872"/>
      <c r="C108" s="872"/>
      <c r="D108" s="872"/>
      <c r="E108" s="872"/>
      <c r="F108" s="872"/>
      <c r="G108" s="872"/>
      <c r="H108" s="872"/>
      <c r="I108" s="872"/>
      <c r="J108" s="872"/>
      <c r="K108" s="872"/>
      <c r="L108" s="872"/>
      <c r="M108" s="872"/>
      <c r="N108" s="872"/>
      <c r="O108" s="872"/>
      <c r="P108" s="872"/>
      <c r="Q108" s="872"/>
      <c r="R108" s="872"/>
      <c r="S108" s="872"/>
      <c r="T108" s="872"/>
      <c r="U108" s="872"/>
      <c r="V108" s="872"/>
      <c r="W108" s="872"/>
      <c r="X108" s="872"/>
      <c r="Y108" s="872"/>
      <c r="Z108" s="872"/>
    </row>
    <row r="109" ht="14.25" customHeight="1">
      <c r="A109" s="872"/>
      <c r="B109" s="872"/>
      <c r="C109" s="872"/>
      <c r="D109" s="872"/>
      <c r="E109" s="872"/>
      <c r="F109" s="872"/>
      <c r="G109" s="872"/>
      <c r="H109" s="872"/>
      <c r="I109" s="872"/>
      <c r="J109" s="872"/>
      <c r="K109" s="872"/>
      <c r="L109" s="872"/>
      <c r="M109" s="872"/>
      <c r="N109" s="872"/>
      <c r="O109" s="872"/>
      <c r="P109" s="872"/>
      <c r="Q109" s="872"/>
      <c r="R109" s="872"/>
      <c r="S109" s="872"/>
      <c r="T109" s="872"/>
      <c r="U109" s="872"/>
      <c r="V109" s="872"/>
      <c r="W109" s="872"/>
      <c r="X109" s="872"/>
      <c r="Y109" s="872"/>
      <c r="Z109" s="872"/>
    </row>
    <row r="110" ht="14.25" customHeight="1">
      <c r="A110" s="872"/>
      <c r="B110" s="872"/>
      <c r="C110" s="872"/>
      <c r="D110" s="872"/>
      <c r="E110" s="872"/>
      <c r="F110" s="872"/>
      <c r="G110" s="872"/>
      <c r="H110" s="872"/>
      <c r="I110" s="872"/>
      <c r="J110" s="872"/>
      <c r="K110" s="872"/>
      <c r="L110" s="872"/>
      <c r="M110" s="872"/>
      <c r="N110" s="872"/>
      <c r="O110" s="872"/>
      <c r="P110" s="872"/>
      <c r="Q110" s="872"/>
      <c r="R110" s="872"/>
      <c r="S110" s="872"/>
      <c r="T110" s="872"/>
      <c r="U110" s="872"/>
      <c r="V110" s="872"/>
      <c r="W110" s="872"/>
      <c r="X110" s="872"/>
      <c r="Y110" s="872"/>
      <c r="Z110" s="872"/>
    </row>
    <row r="111" ht="14.25" customHeight="1">
      <c r="A111" s="872"/>
      <c r="B111" s="872"/>
      <c r="C111" s="872"/>
      <c r="D111" s="872"/>
      <c r="E111" s="872"/>
      <c r="F111" s="872"/>
      <c r="G111" s="872"/>
      <c r="H111" s="872"/>
      <c r="I111" s="872"/>
      <c r="J111" s="872"/>
      <c r="K111" s="872"/>
      <c r="L111" s="872"/>
      <c r="M111" s="872"/>
      <c r="N111" s="872"/>
      <c r="O111" s="872"/>
      <c r="P111" s="872"/>
      <c r="Q111" s="872"/>
      <c r="R111" s="872"/>
      <c r="S111" s="872"/>
      <c r="T111" s="872"/>
      <c r="U111" s="872"/>
      <c r="V111" s="872"/>
      <c r="W111" s="872"/>
      <c r="X111" s="872"/>
      <c r="Y111" s="872"/>
      <c r="Z111" s="872"/>
    </row>
    <row r="112" ht="14.25" customHeight="1">
      <c r="A112" s="872"/>
      <c r="B112" s="872"/>
      <c r="C112" s="872"/>
      <c r="D112" s="872"/>
      <c r="E112" s="872"/>
      <c r="F112" s="872"/>
      <c r="G112" s="872"/>
      <c r="H112" s="872"/>
      <c r="I112" s="872"/>
      <c r="J112" s="872"/>
      <c r="K112" s="872"/>
      <c r="L112" s="872"/>
      <c r="M112" s="872"/>
      <c r="N112" s="872"/>
      <c r="O112" s="872"/>
      <c r="P112" s="872"/>
      <c r="Q112" s="872"/>
      <c r="R112" s="872"/>
      <c r="S112" s="872"/>
      <c r="T112" s="872"/>
      <c r="U112" s="872"/>
      <c r="V112" s="872"/>
      <c r="W112" s="872"/>
      <c r="X112" s="872"/>
      <c r="Y112" s="872"/>
      <c r="Z112" s="872"/>
    </row>
    <row r="113" ht="14.25" customHeight="1">
      <c r="A113" s="872"/>
      <c r="B113" s="872"/>
      <c r="C113" s="872"/>
      <c r="D113" s="872"/>
      <c r="E113" s="872"/>
      <c r="F113" s="872"/>
      <c r="G113" s="872"/>
      <c r="H113" s="872"/>
      <c r="I113" s="872"/>
      <c r="J113" s="872"/>
      <c r="K113" s="872"/>
      <c r="L113" s="872"/>
      <c r="M113" s="872"/>
      <c r="N113" s="872"/>
      <c r="O113" s="872"/>
      <c r="P113" s="872"/>
      <c r="Q113" s="872"/>
      <c r="R113" s="872"/>
      <c r="S113" s="872"/>
      <c r="T113" s="872"/>
      <c r="U113" s="872"/>
      <c r="V113" s="872"/>
      <c r="W113" s="872"/>
      <c r="X113" s="872"/>
      <c r="Y113" s="872"/>
      <c r="Z113" s="872"/>
    </row>
    <row r="114" ht="14.25" customHeight="1">
      <c r="A114" s="872"/>
      <c r="B114" s="872"/>
      <c r="C114" s="872"/>
      <c r="D114" s="872"/>
      <c r="E114" s="872"/>
      <c r="F114" s="872"/>
      <c r="G114" s="872"/>
      <c r="H114" s="872"/>
      <c r="I114" s="872"/>
      <c r="J114" s="872"/>
      <c r="K114" s="872"/>
      <c r="L114" s="872"/>
      <c r="M114" s="872"/>
      <c r="N114" s="872"/>
      <c r="O114" s="872"/>
      <c r="P114" s="872"/>
      <c r="Q114" s="872"/>
      <c r="R114" s="872"/>
      <c r="S114" s="872"/>
      <c r="T114" s="872"/>
      <c r="U114" s="872"/>
      <c r="V114" s="872"/>
      <c r="W114" s="872"/>
      <c r="X114" s="872"/>
      <c r="Y114" s="872"/>
      <c r="Z114" s="872"/>
    </row>
    <row r="115" ht="14.25" customHeight="1">
      <c r="A115" s="872"/>
      <c r="B115" s="872"/>
      <c r="C115" s="872"/>
      <c r="D115" s="872"/>
      <c r="E115" s="872"/>
      <c r="F115" s="872"/>
      <c r="G115" s="872"/>
      <c r="H115" s="872"/>
      <c r="I115" s="872"/>
      <c r="J115" s="872"/>
      <c r="K115" s="872"/>
      <c r="L115" s="872"/>
      <c r="M115" s="872"/>
      <c r="N115" s="872"/>
      <c r="O115" s="872"/>
      <c r="P115" s="872"/>
      <c r="Q115" s="872"/>
      <c r="R115" s="872"/>
      <c r="S115" s="872"/>
      <c r="T115" s="872"/>
      <c r="U115" s="872"/>
      <c r="V115" s="872"/>
      <c r="W115" s="872"/>
      <c r="X115" s="872"/>
      <c r="Y115" s="872"/>
      <c r="Z115" s="872"/>
    </row>
    <row r="116" ht="14.25" customHeight="1">
      <c r="A116" s="872"/>
      <c r="B116" s="872"/>
      <c r="C116" s="872"/>
      <c r="D116" s="872"/>
      <c r="E116" s="872"/>
      <c r="F116" s="872"/>
      <c r="G116" s="872"/>
      <c r="H116" s="872"/>
      <c r="I116" s="872"/>
      <c r="J116" s="872"/>
      <c r="K116" s="872"/>
      <c r="L116" s="872"/>
      <c r="M116" s="872"/>
      <c r="N116" s="872"/>
      <c r="O116" s="872"/>
      <c r="P116" s="872"/>
      <c r="Q116" s="872"/>
      <c r="R116" s="872"/>
      <c r="S116" s="872"/>
      <c r="T116" s="872"/>
      <c r="U116" s="872"/>
      <c r="V116" s="872"/>
      <c r="W116" s="872"/>
      <c r="X116" s="872"/>
      <c r="Y116" s="872"/>
      <c r="Z116" s="872"/>
    </row>
    <row r="117" ht="14.25" customHeight="1">
      <c r="A117" s="872"/>
      <c r="B117" s="872"/>
      <c r="C117" s="872"/>
      <c r="D117" s="872"/>
      <c r="E117" s="872"/>
      <c r="F117" s="872"/>
      <c r="G117" s="872"/>
      <c r="H117" s="872"/>
      <c r="I117" s="872"/>
      <c r="J117" s="872"/>
      <c r="K117" s="872"/>
      <c r="L117" s="872"/>
      <c r="M117" s="872"/>
      <c r="N117" s="872"/>
      <c r="O117" s="872"/>
      <c r="P117" s="872"/>
      <c r="Q117" s="872"/>
      <c r="R117" s="872"/>
      <c r="S117" s="872"/>
      <c r="T117" s="872"/>
      <c r="U117" s="872"/>
      <c r="V117" s="872"/>
      <c r="W117" s="872"/>
      <c r="X117" s="872"/>
      <c r="Y117" s="872"/>
      <c r="Z117" s="872"/>
    </row>
    <row r="118" ht="14.25" customHeight="1">
      <c r="A118" s="872"/>
      <c r="B118" s="872"/>
      <c r="C118" s="872"/>
      <c r="D118" s="872"/>
      <c r="E118" s="872"/>
      <c r="F118" s="872"/>
      <c r="G118" s="872"/>
      <c r="H118" s="872"/>
      <c r="I118" s="872"/>
      <c r="J118" s="872"/>
      <c r="K118" s="872"/>
      <c r="L118" s="872"/>
      <c r="M118" s="872"/>
      <c r="N118" s="872"/>
      <c r="O118" s="872"/>
      <c r="P118" s="872"/>
      <c r="Q118" s="872"/>
      <c r="R118" s="872"/>
      <c r="S118" s="872"/>
      <c r="T118" s="872"/>
      <c r="U118" s="872"/>
      <c r="V118" s="872"/>
      <c r="W118" s="872"/>
      <c r="X118" s="872"/>
      <c r="Y118" s="872"/>
      <c r="Z118" s="872"/>
    </row>
    <row r="119" ht="14.25" customHeight="1">
      <c r="A119" s="872"/>
      <c r="B119" s="872"/>
      <c r="C119" s="872"/>
      <c r="D119" s="872"/>
      <c r="E119" s="872"/>
      <c r="F119" s="872"/>
      <c r="G119" s="872"/>
      <c r="H119" s="872"/>
      <c r="I119" s="872"/>
      <c r="J119" s="872"/>
      <c r="K119" s="872"/>
      <c r="L119" s="872"/>
      <c r="M119" s="872"/>
      <c r="N119" s="872"/>
      <c r="O119" s="872"/>
      <c r="P119" s="872"/>
      <c r="Q119" s="872"/>
      <c r="R119" s="872"/>
      <c r="S119" s="872"/>
      <c r="T119" s="872"/>
      <c r="U119" s="872"/>
      <c r="V119" s="872"/>
      <c r="W119" s="872"/>
      <c r="X119" s="872"/>
      <c r="Y119" s="872"/>
      <c r="Z119" s="872"/>
    </row>
    <row r="120" ht="14.25" customHeight="1">
      <c r="A120" s="872"/>
      <c r="B120" s="872"/>
      <c r="C120" s="872"/>
      <c r="D120" s="872"/>
      <c r="E120" s="872"/>
      <c r="F120" s="872"/>
      <c r="G120" s="872"/>
      <c r="H120" s="872"/>
      <c r="I120" s="872"/>
      <c r="J120" s="872"/>
      <c r="K120" s="872"/>
      <c r="L120" s="872"/>
      <c r="M120" s="872"/>
      <c r="N120" s="872"/>
      <c r="O120" s="872"/>
      <c r="P120" s="872"/>
      <c r="Q120" s="872"/>
      <c r="R120" s="872"/>
      <c r="S120" s="872"/>
      <c r="T120" s="872"/>
      <c r="U120" s="872"/>
      <c r="V120" s="872"/>
      <c r="W120" s="872"/>
      <c r="X120" s="872"/>
      <c r="Y120" s="872"/>
      <c r="Z120" s="872"/>
    </row>
    <row r="121" ht="14.25" customHeight="1">
      <c r="A121" s="872"/>
      <c r="B121" s="872"/>
      <c r="C121" s="872"/>
      <c r="D121" s="872"/>
      <c r="E121" s="872"/>
      <c r="F121" s="872"/>
      <c r="G121" s="872"/>
      <c r="H121" s="872"/>
      <c r="I121" s="872"/>
      <c r="J121" s="872"/>
      <c r="K121" s="872"/>
      <c r="L121" s="872"/>
      <c r="M121" s="872"/>
      <c r="N121" s="872"/>
      <c r="O121" s="872"/>
      <c r="P121" s="872"/>
      <c r="Q121" s="872"/>
      <c r="R121" s="872"/>
      <c r="S121" s="872"/>
      <c r="T121" s="872"/>
      <c r="U121" s="872"/>
      <c r="V121" s="872"/>
      <c r="W121" s="872"/>
      <c r="X121" s="872"/>
      <c r="Y121" s="872"/>
      <c r="Z121" s="872"/>
    </row>
    <row r="122" ht="14.25" customHeight="1">
      <c r="A122" s="872"/>
      <c r="B122" s="872"/>
      <c r="C122" s="872"/>
      <c r="D122" s="872"/>
      <c r="E122" s="872"/>
      <c r="F122" s="872"/>
      <c r="G122" s="872"/>
      <c r="H122" s="872"/>
      <c r="I122" s="872"/>
      <c r="J122" s="872"/>
      <c r="K122" s="872"/>
      <c r="L122" s="872"/>
      <c r="M122" s="872"/>
      <c r="N122" s="872"/>
      <c r="O122" s="872"/>
      <c r="P122" s="872"/>
      <c r="Q122" s="872"/>
      <c r="R122" s="872"/>
      <c r="S122" s="872"/>
      <c r="T122" s="872"/>
      <c r="U122" s="872"/>
      <c r="V122" s="872"/>
      <c r="W122" s="872"/>
      <c r="X122" s="872"/>
      <c r="Y122" s="872"/>
      <c r="Z122" s="872"/>
    </row>
    <row r="123" ht="14.25" customHeight="1">
      <c r="A123" s="872"/>
      <c r="B123" s="872"/>
      <c r="C123" s="872"/>
      <c r="D123" s="872"/>
      <c r="E123" s="872"/>
      <c r="F123" s="872"/>
      <c r="G123" s="872"/>
      <c r="H123" s="872"/>
      <c r="I123" s="872"/>
      <c r="J123" s="872"/>
      <c r="K123" s="872"/>
      <c r="L123" s="872"/>
      <c r="M123" s="872"/>
      <c r="N123" s="872"/>
      <c r="O123" s="872"/>
      <c r="P123" s="872"/>
      <c r="Q123" s="872"/>
      <c r="R123" s="872"/>
      <c r="S123" s="872"/>
      <c r="T123" s="872"/>
      <c r="U123" s="872"/>
      <c r="V123" s="872"/>
      <c r="W123" s="872"/>
      <c r="X123" s="872"/>
      <c r="Y123" s="872"/>
      <c r="Z123" s="872"/>
    </row>
    <row r="124" ht="14.25" customHeight="1">
      <c r="A124" s="872"/>
      <c r="B124" s="872"/>
      <c r="C124" s="872"/>
      <c r="D124" s="872"/>
      <c r="E124" s="872"/>
      <c r="F124" s="872"/>
      <c r="G124" s="872"/>
      <c r="H124" s="872"/>
      <c r="I124" s="872"/>
      <c r="J124" s="872"/>
      <c r="K124" s="872"/>
      <c r="L124" s="872"/>
      <c r="M124" s="872"/>
      <c r="N124" s="872"/>
      <c r="O124" s="872"/>
      <c r="P124" s="872"/>
      <c r="Q124" s="872"/>
      <c r="R124" s="872"/>
      <c r="S124" s="872"/>
      <c r="T124" s="872"/>
      <c r="U124" s="872"/>
      <c r="V124" s="872"/>
      <c r="W124" s="872"/>
      <c r="X124" s="872"/>
      <c r="Y124" s="872"/>
      <c r="Z124" s="872"/>
    </row>
    <row r="125" ht="14.25" customHeight="1">
      <c r="A125" s="872"/>
      <c r="B125" s="872"/>
      <c r="C125" s="872"/>
      <c r="D125" s="872"/>
      <c r="E125" s="872"/>
      <c r="F125" s="872"/>
      <c r="G125" s="872"/>
      <c r="H125" s="872"/>
      <c r="I125" s="872"/>
      <c r="J125" s="872"/>
      <c r="K125" s="872"/>
      <c r="L125" s="872"/>
      <c r="M125" s="872"/>
      <c r="N125" s="872"/>
      <c r="O125" s="872"/>
      <c r="P125" s="872"/>
      <c r="Q125" s="872"/>
      <c r="R125" s="872"/>
      <c r="S125" s="872"/>
      <c r="T125" s="872"/>
      <c r="U125" s="872"/>
      <c r="V125" s="872"/>
      <c r="W125" s="872"/>
      <c r="X125" s="872"/>
      <c r="Y125" s="872"/>
      <c r="Z125" s="872"/>
    </row>
    <row r="126" ht="14.25" customHeight="1">
      <c r="A126" s="872"/>
      <c r="B126" s="872"/>
      <c r="C126" s="872"/>
      <c r="D126" s="872"/>
      <c r="E126" s="872"/>
      <c r="F126" s="872"/>
      <c r="G126" s="872"/>
      <c r="H126" s="872"/>
      <c r="I126" s="872"/>
      <c r="J126" s="872"/>
      <c r="K126" s="872"/>
      <c r="L126" s="872"/>
      <c r="M126" s="872"/>
      <c r="N126" s="872"/>
      <c r="O126" s="872"/>
      <c r="P126" s="872"/>
      <c r="Q126" s="872"/>
      <c r="R126" s="872"/>
      <c r="S126" s="872"/>
      <c r="T126" s="872"/>
      <c r="U126" s="872"/>
      <c r="V126" s="872"/>
      <c r="W126" s="872"/>
      <c r="X126" s="872"/>
      <c r="Y126" s="872"/>
      <c r="Z126" s="872"/>
    </row>
    <row r="127" ht="14.25" customHeight="1">
      <c r="A127" s="872"/>
      <c r="B127" s="872"/>
      <c r="C127" s="872"/>
      <c r="D127" s="872"/>
      <c r="E127" s="872"/>
      <c r="F127" s="872"/>
      <c r="G127" s="872"/>
      <c r="H127" s="872"/>
      <c r="I127" s="872"/>
      <c r="J127" s="872"/>
      <c r="K127" s="872"/>
      <c r="L127" s="872"/>
      <c r="M127" s="872"/>
      <c r="N127" s="872"/>
      <c r="O127" s="872"/>
      <c r="P127" s="872"/>
      <c r="Q127" s="872"/>
      <c r="R127" s="872"/>
      <c r="S127" s="872"/>
      <c r="T127" s="872"/>
      <c r="U127" s="872"/>
      <c r="V127" s="872"/>
      <c r="W127" s="872"/>
      <c r="X127" s="872"/>
      <c r="Y127" s="872"/>
      <c r="Z127" s="872"/>
    </row>
    <row r="128" ht="14.25" customHeight="1">
      <c r="A128" s="872"/>
      <c r="B128" s="872"/>
      <c r="C128" s="872"/>
      <c r="D128" s="872"/>
      <c r="E128" s="872"/>
      <c r="F128" s="872"/>
      <c r="G128" s="872"/>
      <c r="H128" s="872"/>
      <c r="I128" s="872"/>
      <c r="J128" s="872"/>
      <c r="K128" s="872"/>
      <c r="L128" s="872"/>
      <c r="M128" s="872"/>
      <c r="N128" s="872"/>
      <c r="O128" s="872"/>
      <c r="P128" s="872"/>
      <c r="Q128" s="872"/>
      <c r="R128" s="872"/>
      <c r="S128" s="872"/>
      <c r="T128" s="872"/>
      <c r="U128" s="872"/>
      <c r="V128" s="872"/>
      <c r="W128" s="872"/>
      <c r="X128" s="872"/>
      <c r="Y128" s="872"/>
      <c r="Z128" s="872"/>
    </row>
    <row r="129" ht="14.25" customHeight="1">
      <c r="A129" s="872"/>
      <c r="B129" s="872"/>
      <c r="C129" s="872"/>
      <c r="D129" s="872"/>
      <c r="E129" s="872"/>
      <c r="F129" s="872"/>
      <c r="G129" s="872"/>
      <c r="H129" s="872"/>
      <c r="I129" s="872"/>
      <c r="J129" s="872"/>
      <c r="K129" s="872"/>
      <c r="L129" s="872"/>
      <c r="M129" s="872"/>
      <c r="N129" s="872"/>
      <c r="O129" s="872"/>
      <c r="P129" s="872"/>
      <c r="Q129" s="872"/>
      <c r="R129" s="872"/>
      <c r="S129" s="872"/>
      <c r="T129" s="872"/>
      <c r="U129" s="872"/>
      <c r="V129" s="872"/>
      <c r="W129" s="872"/>
      <c r="X129" s="872"/>
      <c r="Y129" s="872"/>
      <c r="Z129" s="872"/>
    </row>
    <row r="130" ht="14.25" customHeight="1">
      <c r="A130" s="872"/>
      <c r="B130" s="872"/>
      <c r="C130" s="872"/>
      <c r="D130" s="872"/>
      <c r="E130" s="872"/>
      <c r="F130" s="872"/>
      <c r="G130" s="872"/>
      <c r="H130" s="872"/>
      <c r="I130" s="872"/>
      <c r="J130" s="872"/>
      <c r="K130" s="872"/>
      <c r="L130" s="872"/>
      <c r="M130" s="872"/>
      <c r="N130" s="872"/>
      <c r="O130" s="872"/>
      <c r="P130" s="872"/>
      <c r="Q130" s="872"/>
      <c r="R130" s="872"/>
      <c r="S130" s="872"/>
      <c r="T130" s="872"/>
      <c r="U130" s="872"/>
      <c r="V130" s="872"/>
      <c r="W130" s="872"/>
      <c r="X130" s="872"/>
      <c r="Y130" s="872"/>
      <c r="Z130" s="872"/>
    </row>
    <row r="131" ht="14.25" customHeight="1">
      <c r="A131" s="872"/>
      <c r="B131" s="872"/>
      <c r="C131" s="872"/>
      <c r="D131" s="872"/>
      <c r="E131" s="872"/>
      <c r="F131" s="872"/>
      <c r="G131" s="872"/>
      <c r="H131" s="872"/>
      <c r="I131" s="872"/>
      <c r="J131" s="872"/>
      <c r="K131" s="872"/>
      <c r="L131" s="872"/>
      <c r="M131" s="872"/>
      <c r="N131" s="872"/>
      <c r="O131" s="872"/>
      <c r="P131" s="872"/>
      <c r="Q131" s="872"/>
      <c r="R131" s="872"/>
      <c r="S131" s="872"/>
      <c r="T131" s="872"/>
      <c r="U131" s="872"/>
      <c r="V131" s="872"/>
      <c r="W131" s="872"/>
      <c r="X131" s="872"/>
      <c r="Y131" s="872"/>
      <c r="Z131" s="872"/>
    </row>
    <row r="132" ht="14.25" customHeight="1">
      <c r="A132" s="872"/>
      <c r="B132" s="872"/>
      <c r="C132" s="872"/>
      <c r="D132" s="872"/>
      <c r="E132" s="872"/>
      <c r="F132" s="872"/>
      <c r="G132" s="872"/>
      <c r="H132" s="872"/>
      <c r="I132" s="872"/>
      <c r="J132" s="872"/>
      <c r="K132" s="872"/>
      <c r="L132" s="872"/>
      <c r="M132" s="872"/>
      <c r="N132" s="872"/>
      <c r="O132" s="872"/>
      <c r="P132" s="872"/>
      <c r="Q132" s="872"/>
      <c r="R132" s="872"/>
      <c r="S132" s="872"/>
      <c r="T132" s="872"/>
      <c r="U132" s="872"/>
      <c r="V132" s="872"/>
      <c r="W132" s="872"/>
      <c r="X132" s="872"/>
      <c r="Y132" s="872"/>
      <c r="Z132" s="872"/>
    </row>
    <row r="133" ht="14.25" customHeight="1">
      <c r="A133" s="872"/>
      <c r="B133" s="872"/>
      <c r="C133" s="872"/>
      <c r="D133" s="872"/>
      <c r="E133" s="872"/>
      <c r="F133" s="872"/>
      <c r="G133" s="872"/>
      <c r="H133" s="872"/>
      <c r="I133" s="872"/>
      <c r="J133" s="872"/>
      <c r="K133" s="872"/>
      <c r="L133" s="872"/>
      <c r="M133" s="872"/>
      <c r="N133" s="872"/>
      <c r="O133" s="872"/>
      <c r="P133" s="872"/>
      <c r="Q133" s="872"/>
      <c r="R133" s="872"/>
      <c r="S133" s="872"/>
      <c r="T133" s="872"/>
      <c r="U133" s="872"/>
      <c r="V133" s="872"/>
      <c r="W133" s="872"/>
      <c r="X133" s="872"/>
      <c r="Y133" s="872"/>
      <c r="Z133" s="872"/>
    </row>
    <row r="134" ht="14.25" customHeight="1">
      <c r="A134" s="872"/>
      <c r="B134" s="872"/>
      <c r="C134" s="872"/>
      <c r="D134" s="872"/>
      <c r="E134" s="872"/>
      <c r="F134" s="872"/>
      <c r="G134" s="872"/>
      <c r="H134" s="872"/>
      <c r="I134" s="872"/>
      <c r="J134" s="872"/>
      <c r="K134" s="872"/>
      <c r="L134" s="872"/>
      <c r="M134" s="872"/>
      <c r="N134" s="872"/>
      <c r="O134" s="872"/>
      <c r="P134" s="872"/>
      <c r="Q134" s="872"/>
      <c r="R134" s="872"/>
      <c r="S134" s="872"/>
      <c r="T134" s="872"/>
      <c r="U134" s="872"/>
      <c r="V134" s="872"/>
      <c r="W134" s="872"/>
      <c r="X134" s="872"/>
      <c r="Y134" s="872"/>
      <c r="Z134" s="872"/>
    </row>
    <row r="135" ht="14.25" customHeight="1">
      <c r="A135" s="872"/>
      <c r="B135" s="872"/>
      <c r="C135" s="872"/>
      <c r="D135" s="872"/>
      <c r="E135" s="872"/>
      <c r="F135" s="872"/>
      <c r="G135" s="872"/>
      <c r="H135" s="872"/>
      <c r="I135" s="872"/>
      <c r="J135" s="872"/>
      <c r="K135" s="872"/>
      <c r="L135" s="872"/>
      <c r="M135" s="872"/>
      <c r="N135" s="872"/>
      <c r="O135" s="872"/>
      <c r="P135" s="872"/>
      <c r="Q135" s="872"/>
      <c r="R135" s="872"/>
      <c r="S135" s="872"/>
      <c r="T135" s="872"/>
      <c r="U135" s="872"/>
      <c r="V135" s="872"/>
      <c r="W135" s="872"/>
      <c r="X135" s="872"/>
      <c r="Y135" s="872"/>
      <c r="Z135" s="872"/>
    </row>
    <row r="136" ht="14.25" customHeight="1">
      <c r="A136" s="872"/>
      <c r="B136" s="872"/>
      <c r="C136" s="872"/>
      <c r="D136" s="872"/>
      <c r="E136" s="872"/>
      <c r="F136" s="872"/>
      <c r="G136" s="872"/>
      <c r="H136" s="872"/>
      <c r="I136" s="872"/>
      <c r="J136" s="872"/>
      <c r="K136" s="872"/>
      <c r="L136" s="872"/>
      <c r="M136" s="872"/>
      <c r="N136" s="872"/>
      <c r="O136" s="872"/>
      <c r="P136" s="872"/>
      <c r="Q136" s="872"/>
      <c r="R136" s="872"/>
      <c r="S136" s="872"/>
      <c r="T136" s="872"/>
      <c r="U136" s="872"/>
      <c r="V136" s="872"/>
      <c r="W136" s="872"/>
      <c r="X136" s="872"/>
      <c r="Y136" s="872"/>
      <c r="Z136" s="872"/>
    </row>
    <row r="137" ht="14.25" customHeight="1">
      <c r="A137" s="872"/>
      <c r="B137" s="872"/>
      <c r="C137" s="872"/>
      <c r="D137" s="872"/>
      <c r="E137" s="872"/>
      <c r="F137" s="872"/>
      <c r="G137" s="872"/>
      <c r="H137" s="872"/>
      <c r="I137" s="872"/>
      <c r="J137" s="872"/>
      <c r="K137" s="872"/>
      <c r="L137" s="872"/>
      <c r="M137" s="872"/>
      <c r="N137" s="872"/>
      <c r="O137" s="872"/>
      <c r="P137" s="872"/>
      <c r="Q137" s="872"/>
      <c r="R137" s="872"/>
      <c r="S137" s="872"/>
      <c r="T137" s="872"/>
      <c r="U137" s="872"/>
      <c r="V137" s="872"/>
      <c r="W137" s="872"/>
      <c r="X137" s="872"/>
      <c r="Y137" s="872"/>
      <c r="Z137" s="872"/>
    </row>
    <row r="138" ht="14.25" customHeight="1">
      <c r="A138" s="872"/>
      <c r="B138" s="872"/>
      <c r="C138" s="872"/>
      <c r="D138" s="872"/>
      <c r="E138" s="872"/>
      <c r="F138" s="872"/>
      <c r="G138" s="872"/>
      <c r="H138" s="872"/>
      <c r="I138" s="872"/>
      <c r="J138" s="872"/>
      <c r="K138" s="872"/>
      <c r="L138" s="872"/>
      <c r="M138" s="872"/>
      <c r="N138" s="872"/>
      <c r="O138" s="872"/>
      <c r="P138" s="872"/>
      <c r="Q138" s="872"/>
      <c r="R138" s="872"/>
      <c r="S138" s="872"/>
      <c r="T138" s="872"/>
      <c r="U138" s="872"/>
      <c r="V138" s="872"/>
      <c r="W138" s="872"/>
      <c r="X138" s="872"/>
      <c r="Y138" s="872"/>
      <c r="Z138" s="872"/>
    </row>
    <row r="139" ht="14.25" customHeight="1">
      <c r="A139" s="872"/>
      <c r="B139" s="872"/>
      <c r="C139" s="872"/>
      <c r="D139" s="872"/>
      <c r="E139" s="872"/>
      <c r="F139" s="872"/>
      <c r="G139" s="872"/>
      <c r="H139" s="872"/>
      <c r="I139" s="872"/>
      <c r="J139" s="872"/>
      <c r="K139" s="872"/>
      <c r="L139" s="872"/>
      <c r="M139" s="872"/>
      <c r="N139" s="872"/>
      <c r="O139" s="872"/>
      <c r="P139" s="872"/>
      <c r="Q139" s="872"/>
      <c r="R139" s="872"/>
      <c r="S139" s="872"/>
      <c r="T139" s="872"/>
      <c r="U139" s="872"/>
      <c r="V139" s="872"/>
      <c r="W139" s="872"/>
      <c r="X139" s="872"/>
      <c r="Y139" s="872"/>
      <c r="Z139" s="872"/>
    </row>
    <row r="140" ht="14.25" customHeight="1">
      <c r="A140" s="872"/>
      <c r="B140" s="872"/>
      <c r="C140" s="872"/>
      <c r="D140" s="872"/>
      <c r="E140" s="872"/>
      <c r="F140" s="872"/>
      <c r="G140" s="872"/>
      <c r="H140" s="872"/>
      <c r="I140" s="872"/>
      <c r="J140" s="872"/>
      <c r="K140" s="872"/>
      <c r="L140" s="872"/>
      <c r="M140" s="872"/>
      <c r="N140" s="872"/>
      <c r="O140" s="872"/>
      <c r="P140" s="872"/>
      <c r="Q140" s="872"/>
      <c r="R140" s="872"/>
      <c r="S140" s="872"/>
      <c r="T140" s="872"/>
      <c r="U140" s="872"/>
      <c r="V140" s="872"/>
      <c r="W140" s="872"/>
      <c r="X140" s="872"/>
      <c r="Y140" s="872"/>
      <c r="Z140" s="872"/>
    </row>
    <row r="141" ht="14.25" customHeight="1">
      <c r="A141" s="872"/>
      <c r="B141" s="872"/>
      <c r="C141" s="872"/>
      <c r="D141" s="872"/>
      <c r="E141" s="872"/>
      <c r="F141" s="872"/>
      <c r="G141" s="872"/>
      <c r="H141" s="872"/>
      <c r="I141" s="872"/>
      <c r="J141" s="872"/>
      <c r="K141" s="872"/>
      <c r="L141" s="872"/>
      <c r="M141" s="872"/>
      <c r="N141" s="872"/>
      <c r="O141" s="872"/>
      <c r="P141" s="872"/>
      <c r="Q141" s="872"/>
      <c r="R141" s="872"/>
      <c r="S141" s="872"/>
      <c r="T141" s="872"/>
      <c r="U141" s="872"/>
      <c r="V141" s="872"/>
      <c r="W141" s="872"/>
      <c r="X141" s="872"/>
      <c r="Y141" s="872"/>
      <c r="Z141" s="872"/>
    </row>
    <row r="142" ht="14.25" customHeight="1">
      <c r="A142" s="872"/>
      <c r="B142" s="872"/>
      <c r="C142" s="872"/>
      <c r="D142" s="872"/>
      <c r="E142" s="872"/>
      <c r="F142" s="872"/>
      <c r="G142" s="872"/>
      <c r="H142" s="872"/>
      <c r="I142" s="872"/>
      <c r="J142" s="872"/>
      <c r="K142" s="872"/>
      <c r="L142" s="872"/>
      <c r="M142" s="872"/>
      <c r="N142" s="872"/>
      <c r="O142" s="872"/>
      <c r="P142" s="872"/>
      <c r="Q142" s="872"/>
      <c r="R142" s="872"/>
      <c r="S142" s="872"/>
      <c r="T142" s="872"/>
      <c r="U142" s="872"/>
      <c r="V142" s="872"/>
      <c r="W142" s="872"/>
      <c r="X142" s="872"/>
      <c r="Y142" s="872"/>
      <c r="Z142" s="872"/>
    </row>
    <row r="143" ht="14.25" customHeight="1">
      <c r="A143" s="872"/>
      <c r="B143" s="872"/>
      <c r="C143" s="872"/>
      <c r="D143" s="872"/>
      <c r="E143" s="872"/>
      <c r="F143" s="872"/>
      <c r="G143" s="872"/>
      <c r="H143" s="872"/>
      <c r="I143" s="872"/>
      <c r="J143" s="872"/>
      <c r="K143" s="872"/>
      <c r="L143" s="872"/>
      <c r="M143" s="872"/>
      <c r="N143" s="872"/>
      <c r="O143" s="872"/>
      <c r="P143" s="872"/>
      <c r="Q143" s="872"/>
      <c r="R143" s="872"/>
      <c r="S143" s="872"/>
      <c r="T143" s="872"/>
      <c r="U143" s="872"/>
      <c r="V143" s="872"/>
      <c r="W143" s="872"/>
      <c r="X143" s="872"/>
      <c r="Y143" s="872"/>
      <c r="Z143" s="872"/>
    </row>
    <row r="144" ht="14.25" customHeight="1">
      <c r="A144" s="872"/>
      <c r="B144" s="872"/>
      <c r="C144" s="872"/>
      <c r="D144" s="872"/>
      <c r="E144" s="872"/>
      <c r="F144" s="872"/>
      <c r="G144" s="872"/>
      <c r="H144" s="872"/>
      <c r="I144" s="872"/>
      <c r="J144" s="872"/>
      <c r="K144" s="872"/>
      <c r="L144" s="872"/>
      <c r="M144" s="872"/>
      <c r="N144" s="872"/>
      <c r="O144" s="872"/>
      <c r="P144" s="872"/>
      <c r="Q144" s="872"/>
      <c r="R144" s="872"/>
      <c r="S144" s="872"/>
      <c r="T144" s="872"/>
      <c r="U144" s="872"/>
      <c r="V144" s="872"/>
      <c r="W144" s="872"/>
      <c r="X144" s="872"/>
      <c r="Y144" s="872"/>
      <c r="Z144" s="872"/>
    </row>
    <row r="145" ht="14.25" customHeight="1">
      <c r="A145" s="872"/>
      <c r="B145" s="872"/>
      <c r="C145" s="872"/>
      <c r="D145" s="872"/>
      <c r="E145" s="872"/>
      <c r="F145" s="872"/>
      <c r="G145" s="872"/>
      <c r="H145" s="872"/>
      <c r="I145" s="872"/>
      <c r="J145" s="872"/>
      <c r="K145" s="872"/>
      <c r="L145" s="872"/>
      <c r="M145" s="872"/>
      <c r="N145" s="872"/>
      <c r="O145" s="872"/>
      <c r="P145" s="872"/>
      <c r="Q145" s="872"/>
      <c r="R145" s="872"/>
      <c r="S145" s="872"/>
      <c r="T145" s="872"/>
      <c r="U145" s="872"/>
      <c r="V145" s="872"/>
      <c r="W145" s="872"/>
      <c r="X145" s="872"/>
      <c r="Y145" s="872"/>
      <c r="Z145" s="872"/>
    </row>
    <row r="146" ht="14.25" customHeight="1">
      <c r="A146" s="872"/>
      <c r="B146" s="872"/>
      <c r="C146" s="872"/>
      <c r="D146" s="872"/>
      <c r="E146" s="872"/>
      <c r="F146" s="872"/>
      <c r="G146" s="872"/>
      <c r="H146" s="872"/>
      <c r="I146" s="872"/>
      <c r="J146" s="872"/>
      <c r="K146" s="872"/>
      <c r="L146" s="872"/>
      <c r="M146" s="872"/>
      <c r="N146" s="872"/>
      <c r="O146" s="872"/>
      <c r="P146" s="872"/>
      <c r="Q146" s="872"/>
      <c r="R146" s="872"/>
      <c r="S146" s="872"/>
      <c r="T146" s="872"/>
      <c r="U146" s="872"/>
      <c r="V146" s="872"/>
      <c r="W146" s="872"/>
      <c r="X146" s="872"/>
      <c r="Y146" s="872"/>
      <c r="Z146" s="872"/>
    </row>
    <row r="147" ht="14.25" customHeight="1">
      <c r="A147" s="872"/>
      <c r="B147" s="872"/>
      <c r="C147" s="872"/>
      <c r="D147" s="872"/>
      <c r="E147" s="872"/>
      <c r="F147" s="872"/>
      <c r="G147" s="872"/>
      <c r="H147" s="872"/>
      <c r="I147" s="872"/>
      <c r="J147" s="872"/>
      <c r="K147" s="872"/>
      <c r="L147" s="872"/>
      <c r="M147" s="872"/>
      <c r="N147" s="872"/>
      <c r="O147" s="872"/>
      <c r="P147" s="872"/>
      <c r="Q147" s="872"/>
      <c r="R147" s="872"/>
      <c r="S147" s="872"/>
      <c r="T147" s="872"/>
      <c r="U147" s="872"/>
      <c r="V147" s="872"/>
      <c r="W147" s="872"/>
      <c r="X147" s="872"/>
      <c r="Y147" s="872"/>
      <c r="Z147" s="872"/>
    </row>
    <row r="148" ht="14.25" customHeight="1">
      <c r="A148" s="872"/>
      <c r="B148" s="872"/>
      <c r="C148" s="872"/>
      <c r="D148" s="872"/>
      <c r="E148" s="872"/>
      <c r="F148" s="872"/>
      <c r="G148" s="872"/>
      <c r="H148" s="872"/>
      <c r="I148" s="872"/>
      <c r="J148" s="872"/>
      <c r="K148" s="872"/>
      <c r="L148" s="872"/>
      <c r="M148" s="872"/>
      <c r="N148" s="872"/>
      <c r="O148" s="872"/>
      <c r="P148" s="872"/>
      <c r="Q148" s="872"/>
      <c r="R148" s="872"/>
      <c r="S148" s="872"/>
      <c r="T148" s="872"/>
      <c r="U148" s="872"/>
      <c r="V148" s="872"/>
      <c r="W148" s="872"/>
      <c r="X148" s="872"/>
      <c r="Y148" s="872"/>
      <c r="Z148" s="872"/>
    </row>
    <row r="149" ht="14.25" customHeight="1">
      <c r="A149" s="872"/>
      <c r="B149" s="872"/>
      <c r="C149" s="872"/>
      <c r="D149" s="872"/>
      <c r="E149" s="872"/>
      <c r="F149" s="872"/>
      <c r="G149" s="872"/>
      <c r="H149" s="872"/>
      <c r="I149" s="872"/>
      <c r="J149" s="872"/>
      <c r="K149" s="872"/>
      <c r="L149" s="872"/>
      <c r="M149" s="872"/>
      <c r="N149" s="872"/>
      <c r="O149" s="872"/>
      <c r="P149" s="872"/>
      <c r="Q149" s="872"/>
      <c r="R149" s="872"/>
      <c r="S149" s="872"/>
      <c r="T149" s="872"/>
      <c r="U149" s="872"/>
      <c r="V149" s="872"/>
      <c r="W149" s="872"/>
      <c r="X149" s="872"/>
      <c r="Y149" s="872"/>
      <c r="Z149" s="872"/>
    </row>
    <row r="150" ht="14.25" customHeight="1">
      <c r="A150" s="872"/>
      <c r="B150" s="872"/>
      <c r="C150" s="872"/>
      <c r="D150" s="872"/>
      <c r="E150" s="872"/>
      <c r="F150" s="872"/>
      <c r="G150" s="872"/>
      <c r="H150" s="872"/>
      <c r="I150" s="872"/>
      <c r="J150" s="872"/>
      <c r="K150" s="872"/>
      <c r="L150" s="872"/>
      <c r="M150" s="872"/>
      <c r="N150" s="872"/>
      <c r="O150" s="872"/>
      <c r="P150" s="872"/>
      <c r="Q150" s="872"/>
      <c r="R150" s="872"/>
      <c r="S150" s="872"/>
      <c r="T150" s="872"/>
      <c r="U150" s="872"/>
      <c r="V150" s="872"/>
      <c r="W150" s="872"/>
      <c r="X150" s="872"/>
      <c r="Y150" s="872"/>
      <c r="Z150" s="872"/>
    </row>
    <row r="151" ht="14.25" customHeight="1">
      <c r="A151" s="872"/>
      <c r="B151" s="872"/>
      <c r="C151" s="872"/>
      <c r="D151" s="872"/>
      <c r="E151" s="872"/>
      <c r="F151" s="872"/>
      <c r="G151" s="872"/>
      <c r="H151" s="872"/>
      <c r="I151" s="872"/>
      <c r="J151" s="872"/>
      <c r="K151" s="872"/>
      <c r="L151" s="872"/>
      <c r="M151" s="872"/>
      <c r="N151" s="872"/>
      <c r="O151" s="872"/>
      <c r="P151" s="872"/>
      <c r="Q151" s="872"/>
      <c r="R151" s="872"/>
      <c r="S151" s="872"/>
      <c r="T151" s="872"/>
      <c r="U151" s="872"/>
      <c r="V151" s="872"/>
      <c r="W151" s="872"/>
      <c r="X151" s="872"/>
      <c r="Y151" s="872"/>
      <c r="Z151" s="872"/>
    </row>
    <row r="152" ht="14.25" customHeight="1">
      <c r="A152" s="872"/>
      <c r="B152" s="872"/>
      <c r="C152" s="872"/>
      <c r="D152" s="872"/>
      <c r="E152" s="872"/>
      <c r="F152" s="872"/>
      <c r="G152" s="872"/>
      <c r="H152" s="872"/>
      <c r="I152" s="872"/>
      <c r="J152" s="872"/>
      <c r="K152" s="872"/>
      <c r="L152" s="872"/>
      <c r="M152" s="872"/>
      <c r="N152" s="872"/>
      <c r="O152" s="872"/>
      <c r="P152" s="872"/>
      <c r="Q152" s="872"/>
      <c r="R152" s="872"/>
      <c r="S152" s="872"/>
      <c r="T152" s="872"/>
      <c r="U152" s="872"/>
      <c r="V152" s="872"/>
      <c r="W152" s="872"/>
      <c r="X152" s="872"/>
      <c r="Y152" s="872"/>
      <c r="Z152" s="872"/>
    </row>
    <row r="153" ht="14.25" customHeight="1">
      <c r="A153" s="872"/>
      <c r="B153" s="872"/>
      <c r="C153" s="872"/>
      <c r="D153" s="872"/>
      <c r="E153" s="872"/>
      <c r="F153" s="872"/>
      <c r="G153" s="872"/>
      <c r="H153" s="872"/>
      <c r="I153" s="872"/>
      <c r="J153" s="872"/>
      <c r="K153" s="872"/>
      <c r="L153" s="872"/>
      <c r="M153" s="872"/>
      <c r="N153" s="872"/>
      <c r="O153" s="872"/>
      <c r="P153" s="872"/>
      <c r="Q153" s="872"/>
      <c r="R153" s="872"/>
      <c r="S153" s="872"/>
      <c r="T153" s="872"/>
      <c r="U153" s="872"/>
      <c r="V153" s="872"/>
      <c r="W153" s="872"/>
      <c r="X153" s="872"/>
      <c r="Y153" s="872"/>
      <c r="Z153" s="872"/>
    </row>
    <row r="154" ht="14.25" customHeight="1">
      <c r="A154" s="872"/>
      <c r="B154" s="872"/>
      <c r="C154" s="872"/>
      <c r="D154" s="872"/>
      <c r="E154" s="872"/>
      <c r="F154" s="872"/>
      <c r="G154" s="872"/>
      <c r="H154" s="872"/>
      <c r="I154" s="872"/>
      <c r="J154" s="872"/>
      <c r="K154" s="872"/>
      <c r="L154" s="872"/>
      <c r="M154" s="872"/>
      <c r="N154" s="872"/>
      <c r="O154" s="872"/>
      <c r="P154" s="872"/>
      <c r="Q154" s="872"/>
      <c r="R154" s="872"/>
      <c r="S154" s="872"/>
      <c r="T154" s="872"/>
      <c r="U154" s="872"/>
      <c r="V154" s="872"/>
      <c r="W154" s="872"/>
      <c r="X154" s="872"/>
      <c r="Y154" s="872"/>
      <c r="Z154" s="872"/>
    </row>
    <row r="155" ht="14.25" customHeight="1">
      <c r="A155" s="872"/>
      <c r="B155" s="872"/>
      <c r="C155" s="872"/>
      <c r="D155" s="872"/>
      <c r="E155" s="872"/>
      <c r="F155" s="872"/>
      <c r="G155" s="872"/>
      <c r="H155" s="872"/>
      <c r="I155" s="872"/>
      <c r="J155" s="872"/>
      <c r="K155" s="872"/>
      <c r="L155" s="872"/>
      <c r="M155" s="872"/>
      <c r="N155" s="872"/>
      <c r="O155" s="872"/>
      <c r="P155" s="872"/>
      <c r="Q155" s="872"/>
      <c r="R155" s="872"/>
      <c r="S155" s="872"/>
      <c r="T155" s="872"/>
      <c r="U155" s="872"/>
      <c r="V155" s="872"/>
      <c r="W155" s="872"/>
      <c r="X155" s="872"/>
      <c r="Y155" s="872"/>
      <c r="Z155" s="872"/>
    </row>
    <row r="156" ht="14.25" customHeight="1">
      <c r="A156" s="872"/>
      <c r="B156" s="872"/>
      <c r="C156" s="872"/>
      <c r="D156" s="872"/>
      <c r="E156" s="872"/>
      <c r="F156" s="872"/>
      <c r="G156" s="872"/>
      <c r="H156" s="872"/>
      <c r="I156" s="872"/>
      <c r="J156" s="872"/>
      <c r="K156" s="872"/>
      <c r="L156" s="872"/>
      <c r="M156" s="872"/>
      <c r="N156" s="872"/>
      <c r="O156" s="872"/>
      <c r="P156" s="872"/>
      <c r="Q156" s="872"/>
      <c r="R156" s="872"/>
      <c r="S156" s="872"/>
      <c r="T156" s="872"/>
      <c r="U156" s="872"/>
      <c r="V156" s="872"/>
      <c r="W156" s="872"/>
      <c r="X156" s="872"/>
      <c r="Y156" s="872"/>
      <c r="Z156" s="872"/>
    </row>
    <row r="157" ht="14.25" customHeight="1">
      <c r="A157" s="872"/>
      <c r="B157" s="872"/>
      <c r="C157" s="872"/>
      <c r="D157" s="872"/>
      <c r="E157" s="872"/>
      <c r="F157" s="872"/>
      <c r="G157" s="872"/>
      <c r="H157" s="872"/>
      <c r="I157" s="872"/>
      <c r="J157" s="872"/>
      <c r="K157" s="872"/>
      <c r="L157" s="872"/>
      <c r="M157" s="872"/>
      <c r="N157" s="872"/>
      <c r="O157" s="872"/>
      <c r="P157" s="872"/>
      <c r="Q157" s="872"/>
      <c r="R157" s="872"/>
      <c r="S157" s="872"/>
      <c r="T157" s="872"/>
      <c r="U157" s="872"/>
      <c r="V157" s="872"/>
      <c r="W157" s="872"/>
      <c r="X157" s="872"/>
      <c r="Y157" s="872"/>
      <c r="Z157" s="872"/>
    </row>
    <row r="158" ht="14.25" customHeight="1">
      <c r="A158" s="872"/>
      <c r="B158" s="872"/>
      <c r="C158" s="872"/>
      <c r="D158" s="872"/>
      <c r="E158" s="872"/>
      <c r="F158" s="872"/>
      <c r="G158" s="872"/>
      <c r="H158" s="872"/>
      <c r="I158" s="872"/>
      <c r="J158" s="872"/>
      <c r="K158" s="872"/>
      <c r="L158" s="872"/>
      <c r="M158" s="872"/>
      <c r="N158" s="872"/>
      <c r="O158" s="872"/>
      <c r="P158" s="872"/>
      <c r="Q158" s="872"/>
      <c r="R158" s="872"/>
      <c r="S158" s="872"/>
      <c r="T158" s="872"/>
      <c r="U158" s="872"/>
      <c r="V158" s="872"/>
      <c r="W158" s="872"/>
      <c r="X158" s="872"/>
      <c r="Y158" s="872"/>
      <c r="Z158" s="872"/>
    </row>
    <row r="159" ht="14.25" customHeight="1">
      <c r="A159" s="872"/>
      <c r="B159" s="872"/>
      <c r="C159" s="872"/>
      <c r="D159" s="872"/>
      <c r="E159" s="872"/>
      <c r="F159" s="872"/>
      <c r="G159" s="872"/>
      <c r="H159" s="872"/>
      <c r="I159" s="872"/>
      <c r="J159" s="872"/>
      <c r="K159" s="872"/>
      <c r="L159" s="872"/>
      <c r="M159" s="872"/>
      <c r="N159" s="872"/>
      <c r="O159" s="872"/>
      <c r="P159" s="872"/>
      <c r="Q159" s="872"/>
      <c r="R159" s="872"/>
      <c r="S159" s="872"/>
      <c r="T159" s="872"/>
      <c r="U159" s="872"/>
      <c r="V159" s="872"/>
      <c r="W159" s="872"/>
      <c r="X159" s="872"/>
      <c r="Y159" s="872"/>
      <c r="Z159" s="872"/>
    </row>
    <row r="160" ht="14.25" customHeight="1">
      <c r="A160" s="872"/>
      <c r="B160" s="872"/>
      <c r="C160" s="872"/>
      <c r="D160" s="872"/>
      <c r="E160" s="872"/>
      <c r="F160" s="872"/>
      <c r="G160" s="872"/>
      <c r="H160" s="872"/>
      <c r="I160" s="872"/>
      <c r="J160" s="872"/>
      <c r="K160" s="872"/>
      <c r="L160" s="872"/>
      <c r="M160" s="872"/>
      <c r="N160" s="872"/>
      <c r="O160" s="872"/>
      <c r="P160" s="872"/>
      <c r="Q160" s="872"/>
      <c r="R160" s="872"/>
      <c r="S160" s="872"/>
      <c r="T160" s="872"/>
      <c r="U160" s="872"/>
      <c r="V160" s="872"/>
      <c r="W160" s="872"/>
      <c r="X160" s="872"/>
      <c r="Y160" s="872"/>
      <c r="Z160" s="872"/>
    </row>
    <row r="161" ht="14.25" customHeight="1">
      <c r="A161" s="872"/>
      <c r="B161" s="872"/>
      <c r="C161" s="872"/>
      <c r="D161" s="872"/>
      <c r="E161" s="872"/>
      <c r="F161" s="872"/>
      <c r="G161" s="872"/>
      <c r="H161" s="872"/>
      <c r="I161" s="872"/>
      <c r="J161" s="872"/>
      <c r="K161" s="872"/>
      <c r="L161" s="872"/>
      <c r="M161" s="872"/>
      <c r="N161" s="872"/>
      <c r="O161" s="872"/>
      <c r="P161" s="872"/>
      <c r="Q161" s="872"/>
      <c r="R161" s="872"/>
      <c r="S161" s="872"/>
      <c r="T161" s="872"/>
      <c r="U161" s="872"/>
      <c r="V161" s="872"/>
      <c r="W161" s="872"/>
      <c r="X161" s="872"/>
      <c r="Y161" s="872"/>
      <c r="Z161" s="872"/>
    </row>
    <row r="162" ht="14.25" customHeight="1">
      <c r="A162" s="872"/>
      <c r="B162" s="872"/>
      <c r="C162" s="872"/>
      <c r="D162" s="872"/>
      <c r="E162" s="872"/>
      <c r="F162" s="872"/>
      <c r="G162" s="872"/>
      <c r="H162" s="872"/>
      <c r="I162" s="872"/>
      <c r="J162" s="872"/>
      <c r="K162" s="872"/>
      <c r="L162" s="872"/>
      <c r="M162" s="872"/>
      <c r="N162" s="872"/>
      <c r="O162" s="872"/>
      <c r="P162" s="872"/>
      <c r="Q162" s="872"/>
      <c r="R162" s="872"/>
      <c r="S162" s="872"/>
      <c r="T162" s="872"/>
      <c r="U162" s="872"/>
      <c r="V162" s="872"/>
      <c r="W162" s="872"/>
      <c r="X162" s="872"/>
      <c r="Y162" s="872"/>
      <c r="Z162" s="872"/>
    </row>
    <row r="163" ht="14.25" customHeight="1">
      <c r="A163" s="872"/>
      <c r="B163" s="872"/>
      <c r="C163" s="872"/>
      <c r="D163" s="872"/>
      <c r="E163" s="872"/>
      <c r="F163" s="872"/>
      <c r="G163" s="872"/>
      <c r="H163" s="872"/>
      <c r="I163" s="872"/>
      <c r="J163" s="872"/>
      <c r="K163" s="872"/>
      <c r="L163" s="872"/>
      <c r="M163" s="872"/>
      <c r="N163" s="872"/>
      <c r="O163" s="872"/>
      <c r="P163" s="872"/>
      <c r="Q163" s="872"/>
      <c r="R163" s="872"/>
      <c r="S163" s="872"/>
      <c r="T163" s="872"/>
      <c r="U163" s="872"/>
      <c r="V163" s="872"/>
      <c r="W163" s="872"/>
      <c r="X163" s="872"/>
      <c r="Y163" s="872"/>
      <c r="Z163" s="872"/>
    </row>
    <row r="164" ht="14.25" customHeight="1">
      <c r="A164" s="872"/>
      <c r="B164" s="872"/>
      <c r="C164" s="872"/>
      <c r="D164" s="872"/>
      <c r="E164" s="872"/>
      <c r="F164" s="872"/>
      <c r="G164" s="872"/>
      <c r="H164" s="872"/>
      <c r="I164" s="872"/>
      <c r="J164" s="872"/>
      <c r="K164" s="872"/>
      <c r="L164" s="872"/>
      <c r="M164" s="872"/>
      <c r="N164" s="872"/>
      <c r="O164" s="872"/>
      <c r="P164" s="872"/>
      <c r="Q164" s="872"/>
      <c r="R164" s="872"/>
      <c r="S164" s="872"/>
      <c r="T164" s="872"/>
      <c r="U164" s="872"/>
      <c r="V164" s="872"/>
      <c r="W164" s="872"/>
      <c r="X164" s="872"/>
      <c r="Y164" s="872"/>
      <c r="Z164" s="872"/>
    </row>
    <row r="165" ht="14.25" customHeight="1">
      <c r="A165" s="872"/>
      <c r="B165" s="872"/>
      <c r="C165" s="872"/>
      <c r="D165" s="872"/>
      <c r="E165" s="872"/>
      <c r="F165" s="872"/>
      <c r="G165" s="872"/>
      <c r="H165" s="872"/>
      <c r="I165" s="872"/>
      <c r="J165" s="872"/>
      <c r="K165" s="872"/>
      <c r="L165" s="872"/>
      <c r="M165" s="872"/>
      <c r="N165" s="872"/>
      <c r="O165" s="872"/>
      <c r="P165" s="872"/>
      <c r="Q165" s="872"/>
      <c r="R165" s="872"/>
      <c r="S165" s="872"/>
      <c r="T165" s="872"/>
      <c r="U165" s="872"/>
      <c r="V165" s="872"/>
      <c r="W165" s="872"/>
      <c r="X165" s="872"/>
      <c r="Y165" s="872"/>
      <c r="Z165" s="872"/>
    </row>
    <row r="166" ht="14.25" customHeight="1">
      <c r="A166" s="872"/>
      <c r="B166" s="872"/>
      <c r="C166" s="872"/>
      <c r="D166" s="872"/>
      <c r="E166" s="872"/>
      <c r="F166" s="872"/>
      <c r="G166" s="872"/>
      <c r="H166" s="872"/>
      <c r="I166" s="872"/>
      <c r="J166" s="872"/>
      <c r="K166" s="872"/>
      <c r="L166" s="872"/>
      <c r="M166" s="872"/>
      <c r="N166" s="872"/>
      <c r="O166" s="872"/>
      <c r="P166" s="872"/>
      <c r="Q166" s="872"/>
      <c r="R166" s="872"/>
      <c r="S166" s="872"/>
      <c r="T166" s="872"/>
      <c r="U166" s="872"/>
      <c r="V166" s="872"/>
      <c r="W166" s="872"/>
      <c r="X166" s="872"/>
      <c r="Y166" s="872"/>
      <c r="Z166" s="872"/>
    </row>
    <row r="167" ht="14.25" customHeight="1">
      <c r="A167" s="872"/>
      <c r="B167" s="872"/>
      <c r="C167" s="872"/>
      <c r="D167" s="872"/>
      <c r="E167" s="872"/>
      <c r="F167" s="872"/>
      <c r="G167" s="872"/>
      <c r="H167" s="872"/>
      <c r="I167" s="872"/>
      <c r="J167" s="872"/>
      <c r="K167" s="872"/>
      <c r="L167" s="872"/>
      <c r="M167" s="872"/>
      <c r="N167" s="872"/>
      <c r="O167" s="872"/>
      <c r="P167" s="872"/>
      <c r="Q167" s="872"/>
      <c r="R167" s="872"/>
      <c r="S167" s="872"/>
      <c r="T167" s="872"/>
      <c r="U167" s="872"/>
      <c r="V167" s="872"/>
      <c r="W167" s="872"/>
      <c r="X167" s="872"/>
      <c r="Y167" s="872"/>
      <c r="Z167" s="872"/>
    </row>
    <row r="168" ht="14.25" customHeight="1">
      <c r="A168" s="872"/>
      <c r="B168" s="872"/>
      <c r="C168" s="872"/>
      <c r="D168" s="872"/>
      <c r="E168" s="872"/>
      <c r="F168" s="872"/>
      <c r="G168" s="872"/>
      <c r="H168" s="872"/>
      <c r="I168" s="872"/>
      <c r="J168" s="872"/>
      <c r="K168" s="872"/>
      <c r="L168" s="872"/>
      <c r="M168" s="872"/>
      <c r="N168" s="872"/>
      <c r="O168" s="872"/>
      <c r="P168" s="872"/>
      <c r="Q168" s="872"/>
      <c r="R168" s="872"/>
      <c r="S168" s="872"/>
      <c r="T168" s="872"/>
      <c r="U168" s="872"/>
      <c r="V168" s="872"/>
      <c r="W168" s="872"/>
      <c r="X168" s="872"/>
      <c r="Y168" s="872"/>
      <c r="Z168" s="872"/>
    </row>
    <row r="169" ht="14.25" customHeight="1">
      <c r="A169" s="872"/>
      <c r="B169" s="872"/>
      <c r="C169" s="872"/>
      <c r="D169" s="872"/>
      <c r="E169" s="872"/>
      <c r="F169" s="872"/>
      <c r="G169" s="872"/>
      <c r="H169" s="872"/>
      <c r="I169" s="872"/>
      <c r="J169" s="872"/>
      <c r="K169" s="872"/>
      <c r="L169" s="872"/>
      <c r="M169" s="872"/>
      <c r="N169" s="872"/>
      <c r="O169" s="872"/>
      <c r="P169" s="872"/>
      <c r="Q169" s="872"/>
      <c r="R169" s="872"/>
      <c r="S169" s="872"/>
      <c r="T169" s="872"/>
      <c r="U169" s="872"/>
      <c r="V169" s="872"/>
      <c r="W169" s="872"/>
      <c r="X169" s="872"/>
      <c r="Y169" s="872"/>
      <c r="Z169" s="872"/>
    </row>
    <row r="170" ht="14.25" customHeight="1">
      <c r="A170" s="872"/>
      <c r="B170" s="872"/>
      <c r="C170" s="872"/>
      <c r="D170" s="872"/>
      <c r="E170" s="872"/>
      <c r="F170" s="872"/>
      <c r="G170" s="872"/>
      <c r="H170" s="872"/>
      <c r="I170" s="872"/>
      <c r="J170" s="872"/>
      <c r="K170" s="872"/>
      <c r="L170" s="872"/>
      <c r="M170" s="872"/>
      <c r="N170" s="872"/>
      <c r="O170" s="872"/>
      <c r="P170" s="872"/>
      <c r="Q170" s="872"/>
      <c r="R170" s="872"/>
      <c r="S170" s="872"/>
      <c r="T170" s="872"/>
      <c r="U170" s="872"/>
      <c r="V170" s="872"/>
      <c r="W170" s="872"/>
      <c r="X170" s="872"/>
      <c r="Y170" s="872"/>
      <c r="Z170" s="872"/>
    </row>
    <row r="171" ht="14.25" customHeight="1">
      <c r="A171" s="872"/>
      <c r="B171" s="872"/>
      <c r="C171" s="872"/>
      <c r="D171" s="872"/>
      <c r="E171" s="872"/>
      <c r="F171" s="872"/>
      <c r="G171" s="872"/>
      <c r="H171" s="872"/>
      <c r="I171" s="872"/>
      <c r="J171" s="872"/>
      <c r="K171" s="872"/>
      <c r="L171" s="872"/>
      <c r="M171" s="872"/>
      <c r="N171" s="872"/>
      <c r="O171" s="872"/>
      <c r="P171" s="872"/>
      <c r="Q171" s="872"/>
      <c r="R171" s="872"/>
      <c r="S171" s="872"/>
      <c r="T171" s="872"/>
      <c r="U171" s="872"/>
      <c r="V171" s="872"/>
      <c r="W171" s="872"/>
      <c r="X171" s="872"/>
      <c r="Y171" s="872"/>
      <c r="Z171" s="872"/>
    </row>
    <row r="172" ht="14.25" customHeight="1">
      <c r="A172" s="872"/>
      <c r="B172" s="872"/>
      <c r="C172" s="872"/>
      <c r="D172" s="872"/>
      <c r="E172" s="872"/>
      <c r="F172" s="872"/>
      <c r="G172" s="872"/>
      <c r="H172" s="872"/>
      <c r="I172" s="872"/>
      <c r="J172" s="872"/>
      <c r="K172" s="872"/>
      <c r="L172" s="872"/>
      <c r="M172" s="872"/>
      <c r="N172" s="872"/>
      <c r="O172" s="872"/>
      <c r="P172" s="872"/>
      <c r="Q172" s="872"/>
      <c r="R172" s="872"/>
      <c r="S172" s="872"/>
      <c r="T172" s="872"/>
      <c r="U172" s="872"/>
      <c r="V172" s="872"/>
      <c r="W172" s="872"/>
      <c r="X172" s="872"/>
      <c r="Y172" s="872"/>
      <c r="Z172" s="872"/>
    </row>
    <row r="173" ht="14.25" customHeight="1">
      <c r="A173" s="872"/>
      <c r="B173" s="872"/>
      <c r="C173" s="872"/>
      <c r="D173" s="872"/>
      <c r="E173" s="872"/>
      <c r="F173" s="872"/>
      <c r="G173" s="872"/>
      <c r="H173" s="872"/>
      <c r="I173" s="872"/>
      <c r="J173" s="872"/>
      <c r="K173" s="872"/>
      <c r="L173" s="872"/>
      <c r="M173" s="872"/>
      <c r="N173" s="872"/>
      <c r="O173" s="872"/>
      <c r="P173" s="872"/>
      <c r="Q173" s="872"/>
      <c r="R173" s="872"/>
      <c r="S173" s="872"/>
      <c r="T173" s="872"/>
      <c r="U173" s="872"/>
      <c r="V173" s="872"/>
      <c r="W173" s="872"/>
      <c r="X173" s="872"/>
      <c r="Y173" s="872"/>
      <c r="Z173" s="872"/>
    </row>
    <row r="174" ht="14.25" customHeight="1">
      <c r="A174" s="872"/>
      <c r="B174" s="872"/>
      <c r="C174" s="872"/>
      <c r="D174" s="872"/>
      <c r="E174" s="872"/>
      <c r="F174" s="872"/>
      <c r="G174" s="872"/>
      <c r="H174" s="872"/>
      <c r="I174" s="872"/>
      <c r="J174" s="872"/>
      <c r="K174" s="872"/>
      <c r="L174" s="872"/>
      <c r="M174" s="872"/>
      <c r="N174" s="872"/>
      <c r="O174" s="872"/>
      <c r="P174" s="872"/>
      <c r="Q174" s="872"/>
      <c r="R174" s="872"/>
      <c r="S174" s="872"/>
      <c r="T174" s="872"/>
      <c r="U174" s="872"/>
      <c r="V174" s="872"/>
      <c r="W174" s="872"/>
      <c r="X174" s="872"/>
      <c r="Y174" s="872"/>
      <c r="Z174" s="872"/>
    </row>
    <row r="175" ht="14.25" customHeight="1">
      <c r="A175" s="872"/>
      <c r="B175" s="872"/>
      <c r="C175" s="872"/>
      <c r="D175" s="872"/>
      <c r="E175" s="872"/>
      <c r="F175" s="872"/>
      <c r="G175" s="872"/>
      <c r="H175" s="872"/>
      <c r="I175" s="872"/>
      <c r="J175" s="872"/>
      <c r="K175" s="872"/>
      <c r="L175" s="872"/>
      <c r="M175" s="872"/>
      <c r="N175" s="872"/>
      <c r="O175" s="872"/>
      <c r="P175" s="872"/>
      <c r="Q175" s="872"/>
      <c r="R175" s="872"/>
      <c r="S175" s="872"/>
      <c r="T175" s="872"/>
      <c r="U175" s="872"/>
      <c r="V175" s="872"/>
      <c r="W175" s="872"/>
      <c r="X175" s="872"/>
      <c r="Y175" s="872"/>
      <c r="Z175" s="872"/>
    </row>
    <row r="176" ht="14.25" customHeight="1">
      <c r="A176" s="872"/>
      <c r="B176" s="872"/>
      <c r="C176" s="872"/>
      <c r="D176" s="872"/>
      <c r="E176" s="872"/>
      <c r="F176" s="872"/>
      <c r="G176" s="872"/>
      <c r="H176" s="872"/>
      <c r="I176" s="872"/>
      <c r="J176" s="872"/>
      <c r="K176" s="872"/>
      <c r="L176" s="872"/>
      <c r="M176" s="872"/>
      <c r="N176" s="872"/>
      <c r="O176" s="872"/>
      <c r="P176" s="872"/>
      <c r="Q176" s="872"/>
      <c r="R176" s="872"/>
      <c r="S176" s="872"/>
      <c r="T176" s="872"/>
      <c r="U176" s="872"/>
      <c r="V176" s="872"/>
      <c r="W176" s="872"/>
      <c r="X176" s="872"/>
      <c r="Y176" s="872"/>
      <c r="Z176" s="872"/>
    </row>
    <row r="177" ht="14.25" customHeight="1">
      <c r="A177" s="872"/>
      <c r="B177" s="872"/>
      <c r="C177" s="872"/>
      <c r="D177" s="872"/>
      <c r="E177" s="872"/>
      <c r="F177" s="872"/>
      <c r="G177" s="872"/>
      <c r="H177" s="872"/>
      <c r="I177" s="872"/>
      <c r="J177" s="872"/>
      <c r="K177" s="872"/>
      <c r="L177" s="872"/>
      <c r="M177" s="872"/>
      <c r="N177" s="872"/>
      <c r="O177" s="872"/>
      <c r="P177" s="872"/>
      <c r="Q177" s="872"/>
      <c r="R177" s="872"/>
      <c r="S177" s="872"/>
      <c r="T177" s="872"/>
      <c r="U177" s="872"/>
      <c r="V177" s="872"/>
      <c r="W177" s="872"/>
      <c r="X177" s="872"/>
      <c r="Y177" s="872"/>
      <c r="Z177" s="872"/>
    </row>
    <row r="178" ht="14.25" customHeight="1">
      <c r="A178" s="872"/>
      <c r="B178" s="872"/>
      <c r="C178" s="872"/>
      <c r="D178" s="872"/>
      <c r="E178" s="872"/>
      <c r="F178" s="872"/>
      <c r="G178" s="872"/>
      <c r="H178" s="872"/>
      <c r="I178" s="872"/>
      <c r="J178" s="872"/>
      <c r="K178" s="872"/>
      <c r="L178" s="872"/>
      <c r="M178" s="872"/>
      <c r="N178" s="872"/>
      <c r="O178" s="872"/>
      <c r="P178" s="872"/>
      <c r="Q178" s="872"/>
      <c r="R178" s="872"/>
      <c r="S178" s="872"/>
      <c r="T178" s="872"/>
      <c r="U178" s="872"/>
      <c r="V178" s="872"/>
      <c r="W178" s="872"/>
      <c r="X178" s="872"/>
      <c r="Y178" s="872"/>
      <c r="Z178" s="872"/>
    </row>
    <row r="179" ht="14.25" customHeight="1">
      <c r="A179" s="872"/>
      <c r="B179" s="872"/>
      <c r="C179" s="872"/>
      <c r="D179" s="872"/>
      <c r="E179" s="872"/>
      <c r="F179" s="872"/>
      <c r="G179" s="872"/>
      <c r="H179" s="872"/>
      <c r="I179" s="872"/>
      <c r="J179" s="872"/>
      <c r="K179" s="872"/>
      <c r="L179" s="872"/>
      <c r="M179" s="872"/>
      <c r="N179" s="872"/>
      <c r="O179" s="872"/>
      <c r="P179" s="872"/>
      <c r="Q179" s="872"/>
      <c r="R179" s="872"/>
      <c r="S179" s="872"/>
      <c r="T179" s="872"/>
      <c r="U179" s="872"/>
      <c r="V179" s="872"/>
      <c r="W179" s="872"/>
      <c r="X179" s="872"/>
      <c r="Y179" s="872"/>
      <c r="Z179" s="872"/>
    </row>
    <row r="180" ht="14.25" customHeight="1">
      <c r="A180" s="872"/>
      <c r="B180" s="872"/>
      <c r="C180" s="872"/>
      <c r="D180" s="872"/>
      <c r="E180" s="872"/>
      <c r="F180" s="872"/>
      <c r="G180" s="872"/>
      <c r="H180" s="872"/>
      <c r="I180" s="872"/>
      <c r="J180" s="872"/>
      <c r="K180" s="872"/>
      <c r="L180" s="872"/>
      <c r="M180" s="872"/>
      <c r="N180" s="872"/>
      <c r="O180" s="872"/>
      <c r="P180" s="872"/>
      <c r="Q180" s="872"/>
      <c r="R180" s="872"/>
      <c r="S180" s="872"/>
      <c r="T180" s="872"/>
      <c r="U180" s="872"/>
      <c r="V180" s="872"/>
      <c r="W180" s="872"/>
      <c r="X180" s="872"/>
      <c r="Y180" s="872"/>
      <c r="Z180" s="872"/>
    </row>
    <row r="181" ht="14.25" customHeight="1">
      <c r="A181" s="872"/>
      <c r="B181" s="872"/>
      <c r="C181" s="872"/>
      <c r="D181" s="872"/>
      <c r="E181" s="872"/>
      <c r="F181" s="872"/>
      <c r="G181" s="872"/>
      <c r="H181" s="872"/>
      <c r="I181" s="872"/>
      <c r="J181" s="872"/>
      <c r="K181" s="872"/>
      <c r="L181" s="872"/>
      <c r="M181" s="872"/>
      <c r="N181" s="872"/>
      <c r="O181" s="872"/>
      <c r="P181" s="872"/>
      <c r="Q181" s="872"/>
      <c r="R181" s="872"/>
      <c r="S181" s="872"/>
      <c r="T181" s="872"/>
      <c r="U181" s="872"/>
      <c r="V181" s="872"/>
      <c r="W181" s="872"/>
      <c r="X181" s="872"/>
      <c r="Y181" s="872"/>
      <c r="Z181" s="872"/>
    </row>
    <row r="182" ht="14.25" customHeight="1">
      <c r="A182" s="872"/>
      <c r="B182" s="872"/>
      <c r="C182" s="872"/>
      <c r="D182" s="872"/>
      <c r="E182" s="872"/>
      <c r="F182" s="872"/>
      <c r="G182" s="872"/>
      <c r="H182" s="872"/>
      <c r="I182" s="872"/>
      <c r="J182" s="872"/>
      <c r="K182" s="872"/>
      <c r="L182" s="872"/>
      <c r="M182" s="872"/>
      <c r="N182" s="872"/>
      <c r="O182" s="872"/>
      <c r="P182" s="872"/>
      <c r="Q182" s="872"/>
      <c r="R182" s="872"/>
      <c r="S182" s="872"/>
      <c r="T182" s="872"/>
      <c r="U182" s="872"/>
      <c r="V182" s="872"/>
      <c r="W182" s="872"/>
      <c r="X182" s="872"/>
      <c r="Y182" s="872"/>
      <c r="Z182" s="872"/>
    </row>
    <row r="183" ht="14.25" customHeight="1">
      <c r="A183" s="872"/>
      <c r="B183" s="872"/>
      <c r="C183" s="872"/>
      <c r="D183" s="872"/>
      <c r="E183" s="872"/>
      <c r="F183" s="872"/>
      <c r="G183" s="872"/>
      <c r="H183" s="872"/>
      <c r="I183" s="872"/>
      <c r="J183" s="872"/>
      <c r="K183" s="872"/>
      <c r="L183" s="872"/>
      <c r="M183" s="872"/>
      <c r="N183" s="872"/>
      <c r="O183" s="872"/>
      <c r="P183" s="872"/>
      <c r="Q183" s="872"/>
      <c r="R183" s="872"/>
      <c r="S183" s="872"/>
      <c r="T183" s="872"/>
      <c r="U183" s="872"/>
      <c r="V183" s="872"/>
      <c r="W183" s="872"/>
      <c r="X183" s="872"/>
      <c r="Y183" s="872"/>
      <c r="Z183" s="872"/>
    </row>
    <row r="184" ht="14.25" customHeight="1">
      <c r="A184" s="872"/>
      <c r="B184" s="872"/>
      <c r="C184" s="872"/>
      <c r="D184" s="872"/>
      <c r="E184" s="872"/>
      <c r="F184" s="872"/>
      <c r="G184" s="872"/>
      <c r="H184" s="872"/>
      <c r="I184" s="872"/>
      <c r="J184" s="872"/>
      <c r="K184" s="872"/>
      <c r="L184" s="872"/>
      <c r="M184" s="872"/>
      <c r="N184" s="872"/>
      <c r="O184" s="872"/>
      <c r="P184" s="872"/>
      <c r="Q184" s="872"/>
      <c r="R184" s="872"/>
      <c r="S184" s="872"/>
      <c r="T184" s="872"/>
      <c r="U184" s="872"/>
      <c r="V184" s="872"/>
      <c r="W184" s="872"/>
      <c r="X184" s="872"/>
      <c r="Y184" s="872"/>
      <c r="Z184" s="872"/>
    </row>
    <row r="185" ht="14.25" customHeight="1">
      <c r="A185" s="872"/>
      <c r="B185" s="872"/>
      <c r="C185" s="872"/>
      <c r="D185" s="872"/>
      <c r="E185" s="872"/>
      <c r="F185" s="872"/>
      <c r="G185" s="872"/>
      <c r="H185" s="872"/>
      <c r="I185" s="872"/>
      <c r="J185" s="872"/>
      <c r="K185" s="872"/>
      <c r="L185" s="872"/>
      <c r="M185" s="872"/>
      <c r="N185" s="872"/>
      <c r="O185" s="872"/>
      <c r="P185" s="872"/>
      <c r="Q185" s="872"/>
      <c r="R185" s="872"/>
      <c r="S185" s="872"/>
      <c r="T185" s="872"/>
      <c r="U185" s="872"/>
      <c r="V185" s="872"/>
      <c r="W185" s="872"/>
      <c r="X185" s="872"/>
      <c r="Y185" s="872"/>
      <c r="Z185" s="872"/>
    </row>
    <row r="186" ht="14.25" customHeight="1">
      <c r="A186" s="872"/>
      <c r="B186" s="872"/>
      <c r="C186" s="872"/>
      <c r="D186" s="872"/>
      <c r="E186" s="872"/>
      <c r="F186" s="872"/>
      <c r="G186" s="872"/>
      <c r="H186" s="872"/>
      <c r="I186" s="872"/>
      <c r="J186" s="872"/>
      <c r="K186" s="872"/>
      <c r="L186" s="872"/>
      <c r="M186" s="872"/>
      <c r="N186" s="872"/>
      <c r="O186" s="872"/>
      <c r="P186" s="872"/>
      <c r="Q186" s="872"/>
      <c r="R186" s="872"/>
      <c r="S186" s="872"/>
      <c r="T186" s="872"/>
      <c r="U186" s="872"/>
      <c r="V186" s="872"/>
      <c r="W186" s="872"/>
      <c r="X186" s="872"/>
      <c r="Y186" s="872"/>
      <c r="Z186" s="872"/>
    </row>
    <row r="187" ht="14.25" customHeight="1">
      <c r="A187" s="872"/>
      <c r="B187" s="872"/>
      <c r="C187" s="872"/>
      <c r="D187" s="872"/>
      <c r="E187" s="872"/>
      <c r="F187" s="872"/>
      <c r="G187" s="872"/>
      <c r="H187" s="872"/>
      <c r="I187" s="872"/>
      <c r="J187" s="872"/>
      <c r="K187" s="872"/>
      <c r="L187" s="872"/>
      <c r="M187" s="872"/>
      <c r="N187" s="872"/>
      <c r="O187" s="872"/>
      <c r="P187" s="872"/>
      <c r="Q187" s="872"/>
      <c r="R187" s="872"/>
      <c r="S187" s="872"/>
      <c r="T187" s="872"/>
      <c r="U187" s="872"/>
      <c r="V187" s="872"/>
      <c r="W187" s="872"/>
      <c r="X187" s="872"/>
      <c r="Y187" s="872"/>
      <c r="Z187" s="872"/>
    </row>
    <row r="188" ht="14.25" customHeight="1">
      <c r="A188" s="872"/>
      <c r="B188" s="872"/>
      <c r="C188" s="872"/>
      <c r="D188" s="872"/>
      <c r="E188" s="872"/>
      <c r="F188" s="872"/>
      <c r="G188" s="872"/>
      <c r="H188" s="872"/>
      <c r="I188" s="872"/>
      <c r="J188" s="872"/>
      <c r="K188" s="872"/>
      <c r="L188" s="872"/>
      <c r="M188" s="872"/>
      <c r="N188" s="872"/>
      <c r="O188" s="872"/>
      <c r="P188" s="872"/>
      <c r="Q188" s="872"/>
      <c r="R188" s="872"/>
      <c r="S188" s="872"/>
      <c r="T188" s="872"/>
      <c r="U188" s="872"/>
      <c r="V188" s="872"/>
      <c r="W188" s="872"/>
      <c r="X188" s="872"/>
      <c r="Y188" s="872"/>
      <c r="Z188" s="872"/>
    </row>
    <row r="189" ht="14.25" customHeight="1">
      <c r="A189" s="872"/>
      <c r="B189" s="872"/>
      <c r="C189" s="872"/>
      <c r="D189" s="872"/>
      <c r="E189" s="872"/>
      <c r="F189" s="872"/>
      <c r="G189" s="872"/>
      <c r="H189" s="872"/>
      <c r="I189" s="872"/>
      <c r="J189" s="872"/>
      <c r="K189" s="872"/>
      <c r="L189" s="872"/>
      <c r="M189" s="872"/>
      <c r="N189" s="872"/>
      <c r="O189" s="872"/>
      <c r="P189" s="872"/>
      <c r="Q189" s="872"/>
      <c r="R189" s="872"/>
      <c r="S189" s="872"/>
      <c r="T189" s="872"/>
      <c r="U189" s="872"/>
      <c r="V189" s="872"/>
      <c r="W189" s="872"/>
      <c r="X189" s="872"/>
      <c r="Y189" s="872"/>
      <c r="Z189" s="872"/>
    </row>
    <row r="190" ht="14.25" customHeight="1">
      <c r="A190" s="872"/>
      <c r="B190" s="872"/>
      <c r="C190" s="872"/>
      <c r="D190" s="872"/>
      <c r="E190" s="872"/>
      <c r="F190" s="872"/>
      <c r="G190" s="872"/>
      <c r="H190" s="872"/>
      <c r="I190" s="872"/>
      <c r="J190" s="872"/>
      <c r="K190" s="872"/>
      <c r="L190" s="872"/>
      <c r="M190" s="872"/>
      <c r="N190" s="872"/>
      <c r="O190" s="872"/>
      <c r="P190" s="872"/>
      <c r="Q190" s="872"/>
      <c r="R190" s="872"/>
      <c r="S190" s="872"/>
      <c r="T190" s="872"/>
      <c r="U190" s="872"/>
      <c r="V190" s="872"/>
      <c r="W190" s="872"/>
      <c r="X190" s="872"/>
      <c r="Y190" s="872"/>
      <c r="Z190" s="872"/>
    </row>
    <row r="191" ht="14.25" customHeight="1">
      <c r="A191" s="872"/>
      <c r="B191" s="872"/>
      <c r="C191" s="872"/>
      <c r="D191" s="872"/>
      <c r="E191" s="872"/>
      <c r="F191" s="872"/>
      <c r="G191" s="872"/>
      <c r="H191" s="872"/>
      <c r="I191" s="872"/>
      <c r="J191" s="872"/>
      <c r="K191" s="872"/>
      <c r="L191" s="872"/>
      <c r="M191" s="872"/>
      <c r="N191" s="872"/>
      <c r="O191" s="872"/>
      <c r="P191" s="872"/>
      <c r="Q191" s="872"/>
      <c r="R191" s="872"/>
      <c r="S191" s="872"/>
      <c r="T191" s="872"/>
      <c r="U191" s="872"/>
      <c r="V191" s="872"/>
      <c r="W191" s="872"/>
      <c r="X191" s="872"/>
      <c r="Y191" s="872"/>
      <c r="Z191" s="872"/>
    </row>
    <row r="192" ht="14.25" customHeight="1">
      <c r="A192" s="872"/>
      <c r="B192" s="872"/>
      <c r="C192" s="872"/>
      <c r="D192" s="872"/>
      <c r="E192" s="872"/>
      <c r="F192" s="872"/>
      <c r="G192" s="872"/>
      <c r="H192" s="872"/>
      <c r="I192" s="872"/>
      <c r="J192" s="872"/>
      <c r="K192" s="872"/>
      <c r="L192" s="872"/>
      <c r="M192" s="872"/>
      <c r="N192" s="872"/>
      <c r="O192" s="872"/>
      <c r="P192" s="872"/>
      <c r="Q192" s="872"/>
      <c r="R192" s="872"/>
      <c r="S192" s="872"/>
      <c r="T192" s="872"/>
      <c r="U192" s="872"/>
      <c r="V192" s="872"/>
      <c r="W192" s="872"/>
      <c r="X192" s="872"/>
      <c r="Y192" s="872"/>
      <c r="Z192" s="872"/>
    </row>
    <row r="193" ht="14.25" customHeight="1">
      <c r="A193" s="872"/>
      <c r="B193" s="872"/>
      <c r="C193" s="872"/>
      <c r="D193" s="872"/>
      <c r="E193" s="872"/>
      <c r="F193" s="872"/>
      <c r="G193" s="872"/>
      <c r="H193" s="872"/>
      <c r="I193" s="872"/>
      <c r="J193" s="872"/>
      <c r="K193" s="872"/>
      <c r="L193" s="872"/>
      <c r="M193" s="872"/>
      <c r="N193" s="872"/>
      <c r="O193" s="872"/>
      <c r="P193" s="872"/>
      <c r="Q193" s="872"/>
      <c r="R193" s="872"/>
      <c r="S193" s="872"/>
      <c r="T193" s="872"/>
      <c r="U193" s="872"/>
      <c r="V193" s="872"/>
      <c r="W193" s="872"/>
      <c r="X193" s="872"/>
      <c r="Y193" s="872"/>
      <c r="Z193" s="872"/>
    </row>
    <row r="194" ht="14.25" customHeight="1">
      <c r="A194" s="872"/>
      <c r="B194" s="872"/>
      <c r="C194" s="872"/>
      <c r="D194" s="872"/>
      <c r="E194" s="872"/>
      <c r="F194" s="872"/>
      <c r="G194" s="872"/>
      <c r="H194" s="872"/>
      <c r="I194" s="872"/>
      <c r="J194" s="872"/>
      <c r="K194" s="872"/>
      <c r="L194" s="872"/>
      <c r="M194" s="872"/>
      <c r="N194" s="872"/>
      <c r="O194" s="872"/>
      <c r="P194" s="872"/>
      <c r="Q194" s="872"/>
      <c r="R194" s="872"/>
      <c r="S194" s="872"/>
      <c r="T194" s="872"/>
      <c r="U194" s="872"/>
      <c r="V194" s="872"/>
      <c r="W194" s="872"/>
      <c r="X194" s="872"/>
      <c r="Y194" s="872"/>
      <c r="Z194" s="872"/>
    </row>
    <row r="195" ht="14.25" customHeight="1">
      <c r="A195" s="872"/>
      <c r="B195" s="872"/>
      <c r="C195" s="872"/>
      <c r="D195" s="872"/>
      <c r="E195" s="872"/>
      <c r="F195" s="872"/>
      <c r="G195" s="872"/>
      <c r="H195" s="872"/>
      <c r="I195" s="872"/>
      <c r="J195" s="872"/>
      <c r="K195" s="872"/>
      <c r="L195" s="872"/>
      <c r="M195" s="872"/>
      <c r="N195" s="872"/>
      <c r="O195" s="872"/>
      <c r="P195" s="872"/>
      <c r="Q195" s="872"/>
      <c r="R195" s="872"/>
      <c r="S195" s="872"/>
      <c r="T195" s="872"/>
      <c r="U195" s="872"/>
      <c r="V195" s="872"/>
      <c r="W195" s="872"/>
      <c r="X195" s="872"/>
      <c r="Y195" s="872"/>
      <c r="Z195" s="872"/>
    </row>
    <row r="196" ht="14.25" customHeight="1">
      <c r="A196" s="872"/>
      <c r="B196" s="872"/>
      <c r="C196" s="872"/>
      <c r="D196" s="872"/>
      <c r="E196" s="872"/>
      <c r="F196" s="872"/>
      <c r="G196" s="872"/>
      <c r="H196" s="872"/>
      <c r="I196" s="872"/>
      <c r="J196" s="872"/>
      <c r="K196" s="872"/>
      <c r="L196" s="872"/>
      <c r="M196" s="872"/>
      <c r="N196" s="872"/>
      <c r="O196" s="872"/>
      <c r="P196" s="872"/>
      <c r="Q196" s="872"/>
      <c r="R196" s="872"/>
      <c r="S196" s="872"/>
      <c r="T196" s="872"/>
      <c r="U196" s="872"/>
      <c r="V196" s="872"/>
      <c r="W196" s="872"/>
      <c r="X196" s="872"/>
      <c r="Y196" s="872"/>
      <c r="Z196" s="872"/>
    </row>
    <row r="197" ht="14.25" customHeight="1">
      <c r="A197" s="872"/>
      <c r="B197" s="872"/>
      <c r="C197" s="872"/>
      <c r="D197" s="872"/>
      <c r="E197" s="872"/>
      <c r="F197" s="872"/>
      <c r="G197" s="872"/>
      <c r="H197" s="872"/>
      <c r="I197" s="872"/>
      <c r="J197" s="872"/>
      <c r="K197" s="872"/>
      <c r="L197" s="872"/>
      <c r="M197" s="872"/>
      <c r="N197" s="872"/>
      <c r="O197" s="872"/>
      <c r="P197" s="872"/>
      <c r="Q197" s="872"/>
      <c r="R197" s="872"/>
      <c r="S197" s="872"/>
      <c r="T197" s="872"/>
      <c r="U197" s="872"/>
      <c r="V197" s="872"/>
      <c r="W197" s="872"/>
      <c r="X197" s="872"/>
      <c r="Y197" s="872"/>
      <c r="Z197" s="872"/>
    </row>
    <row r="198" ht="14.25" customHeight="1">
      <c r="A198" s="872"/>
      <c r="B198" s="872"/>
      <c r="C198" s="872"/>
      <c r="D198" s="872"/>
      <c r="E198" s="872"/>
      <c r="F198" s="872"/>
      <c r="G198" s="872"/>
      <c r="H198" s="872"/>
      <c r="I198" s="872"/>
      <c r="J198" s="872"/>
      <c r="K198" s="872"/>
      <c r="L198" s="872"/>
      <c r="M198" s="872"/>
      <c r="N198" s="872"/>
      <c r="O198" s="872"/>
      <c r="P198" s="872"/>
      <c r="Q198" s="872"/>
      <c r="R198" s="872"/>
      <c r="S198" s="872"/>
      <c r="T198" s="872"/>
      <c r="U198" s="872"/>
      <c r="V198" s="872"/>
      <c r="W198" s="872"/>
      <c r="X198" s="872"/>
      <c r="Y198" s="872"/>
      <c r="Z198" s="872"/>
    </row>
    <row r="199" ht="14.25" customHeight="1">
      <c r="A199" s="872"/>
      <c r="B199" s="872"/>
      <c r="C199" s="872"/>
      <c r="D199" s="872"/>
      <c r="E199" s="872"/>
      <c r="F199" s="872"/>
      <c r="G199" s="872"/>
      <c r="H199" s="872"/>
      <c r="I199" s="872"/>
      <c r="J199" s="872"/>
      <c r="K199" s="872"/>
      <c r="L199" s="872"/>
      <c r="M199" s="872"/>
      <c r="N199" s="872"/>
      <c r="O199" s="872"/>
      <c r="P199" s="872"/>
      <c r="Q199" s="872"/>
      <c r="R199" s="872"/>
      <c r="S199" s="872"/>
      <c r="T199" s="872"/>
      <c r="U199" s="872"/>
      <c r="V199" s="872"/>
      <c r="W199" s="872"/>
      <c r="X199" s="872"/>
      <c r="Y199" s="872"/>
      <c r="Z199" s="872"/>
    </row>
    <row r="200" ht="14.25" customHeight="1">
      <c r="A200" s="872"/>
      <c r="B200" s="872"/>
      <c r="C200" s="872"/>
      <c r="D200" s="872"/>
      <c r="E200" s="872"/>
      <c r="F200" s="872"/>
      <c r="G200" s="872"/>
      <c r="H200" s="872"/>
      <c r="I200" s="872"/>
      <c r="J200" s="872"/>
      <c r="K200" s="872"/>
      <c r="L200" s="872"/>
      <c r="M200" s="872"/>
      <c r="N200" s="872"/>
      <c r="O200" s="872"/>
      <c r="P200" s="872"/>
      <c r="Q200" s="872"/>
      <c r="R200" s="872"/>
      <c r="S200" s="872"/>
      <c r="T200" s="872"/>
      <c r="U200" s="872"/>
      <c r="V200" s="872"/>
      <c r="W200" s="872"/>
      <c r="X200" s="872"/>
      <c r="Y200" s="872"/>
      <c r="Z200" s="872"/>
    </row>
    <row r="201" ht="14.25" customHeight="1">
      <c r="A201" s="872"/>
      <c r="B201" s="872"/>
      <c r="C201" s="872"/>
      <c r="D201" s="872"/>
      <c r="E201" s="872"/>
      <c r="F201" s="872"/>
      <c r="G201" s="872"/>
      <c r="H201" s="872"/>
      <c r="I201" s="872"/>
      <c r="J201" s="872"/>
      <c r="K201" s="872"/>
      <c r="L201" s="872"/>
      <c r="M201" s="872"/>
      <c r="N201" s="872"/>
      <c r="O201" s="872"/>
      <c r="P201" s="872"/>
      <c r="Q201" s="872"/>
      <c r="R201" s="872"/>
      <c r="S201" s="872"/>
      <c r="T201" s="872"/>
      <c r="U201" s="872"/>
      <c r="V201" s="872"/>
      <c r="W201" s="872"/>
      <c r="X201" s="872"/>
      <c r="Y201" s="872"/>
      <c r="Z201" s="872"/>
    </row>
    <row r="202" ht="14.25" customHeight="1">
      <c r="A202" s="872"/>
      <c r="B202" s="872"/>
      <c r="C202" s="872"/>
      <c r="D202" s="872"/>
      <c r="E202" s="872"/>
      <c r="F202" s="872"/>
      <c r="G202" s="872"/>
      <c r="H202" s="872"/>
      <c r="I202" s="872"/>
      <c r="J202" s="872"/>
      <c r="K202" s="872"/>
      <c r="L202" s="872"/>
      <c r="M202" s="872"/>
      <c r="N202" s="872"/>
      <c r="O202" s="872"/>
      <c r="P202" s="872"/>
      <c r="Q202" s="872"/>
      <c r="R202" s="872"/>
      <c r="S202" s="872"/>
      <c r="T202" s="872"/>
      <c r="U202" s="872"/>
      <c r="V202" s="872"/>
      <c r="W202" s="872"/>
      <c r="X202" s="872"/>
      <c r="Y202" s="872"/>
      <c r="Z202" s="872"/>
    </row>
    <row r="203" ht="14.25" customHeight="1">
      <c r="A203" s="872"/>
      <c r="B203" s="872"/>
      <c r="C203" s="872"/>
      <c r="D203" s="872"/>
      <c r="E203" s="872"/>
      <c r="F203" s="872"/>
      <c r="G203" s="872"/>
      <c r="H203" s="872"/>
      <c r="I203" s="872"/>
      <c r="J203" s="872"/>
      <c r="K203" s="872"/>
      <c r="L203" s="872"/>
      <c r="M203" s="872"/>
      <c r="N203" s="872"/>
      <c r="O203" s="872"/>
      <c r="P203" s="872"/>
      <c r="Q203" s="872"/>
      <c r="R203" s="872"/>
      <c r="S203" s="872"/>
      <c r="T203" s="872"/>
      <c r="U203" s="872"/>
      <c r="V203" s="872"/>
      <c r="W203" s="872"/>
      <c r="X203" s="872"/>
      <c r="Y203" s="872"/>
      <c r="Z203" s="872"/>
    </row>
    <row r="204" ht="14.25" customHeight="1">
      <c r="A204" s="872"/>
      <c r="B204" s="872"/>
      <c r="C204" s="872"/>
      <c r="D204" s="872"/>
      <c r="E204" s="872"/>
      <c r="F204" s="872"/>
      <c r="G204" s="872"/>
      <c r="H204" s="872"/>
      <c r="I204" s="872"/>
      <c r="J204" s="872"/>
      <c r="K204" s="872"/>
      <c r="L204" s="872"/>
      <c r="M204" s="872"/>
      <c r="N204" s="872"/>
      <c r="O204" s="872"/>
      <c r="P204" s="872"/>
      <c r="Q204" s="872"/>
      <c r="R204" s="872"/>
      <c r="S204" s="872"/>
      <c r="T204" s="872"/>
      <c r="U204" s="872"/>
      <c r="V204" s="872"/>
      <c r="W204" s="872"/>
      <c r="X204" s="872"/>
      <c r="Y204" s="872"/>
      <c r="Z204" s="872"/>
    </row>
    <row r="205" ht="14.25" customHeight="1">
      <c r="A205" s="872"/>
      <c r="B205" s="872"/>
      <c r="C205" s="872"/>
      <c r="D205" s="872"/>
      <c r="E205" s="872"/>
      <c r="F205" s="872"/>
      <c r="G205" s="872"/>
      <c r="H205" s="872"/>
      <c r="I205" s="872"/>
      <c r="J205" s="872"/>
      <c r="K205" s="872"/>
      <c r="L205" s="872"/>
      <c r="M205" s="872"/>
      <c r="N205" s="872"/>
      <c r="O205" s="872"/>
      <c r="P205" s="872"/>
      <c r="Q205" s="872"/>
      <c r="R205" s="872"/>
      <c r="S205" s="872"/>
      <c r="T205" s="872"/>
      <c r="U205" s="872"/>
      <c r="V205" s="872"/>
      <c r="W205" s="872"/>
      <c r="X205" s="872"/>
      <c r="Y205" s="872"/>
      <c r="Z205" s="872"/>
    </row>
    <row r="206" ht="14.25" customHeight="1">
      <c r="A206" s="872"/>
      <c r="B206" s="872"/>
      <c r="C206" s="872"/>
      <c r="D206" s="872"/>
      <c r="E206" s="872"/>
      <c r="F206" s="872"/>
      <c r="G206" s="872"/>
      <c r="H206" s="872"/>
      <c r="I206" s="872"/>
      <c r="J206" s="872"/>
      <c r="K206" s="872"/>
      <c r="L206" s="872"/>
      <c r="M206" s="872"/>
      <c r="N206" s="872"/>
      <c r="O206" s="872"/>
      <c r="P206" s="872"/>
      <c r="Q206" s="872"/>
      <c r="R206" s="872"/>
      <c r="S206" s="872"/>
      <c r="T206" s="872"/>
      <c r="U206" s="872"/>
      <c r="V206" s="872"/>
      <c r="W206" s="872"/>
      <c r="X206" s="872"/>
      <c r="Y206" s="872"/>
      <c r="Z206" s="872"/>
    </row>
    <row r="207" ht="14.25" customHeight="1">
      <c r="A207" s="872"/>
      <c r="B207" s="872"/>
      <c r="C207" s="872"/>
      <c r="D207" s="872"/>
      <c r="E207" s="872"/>
      <c r="F207" s="872"/>
      <c r="G207" s="872"/>
      <c r="H207" s="872"/>
      <c r="I207" s="872"/>
      <c r="J207" s="872"/>
      <c r="K207" s="872"/>
      <c r="L207" s="872"/>
      <c r="M207" s="872"/>
      <c r="N207" s="872"/>
      <c r="O207" s="872"/>
      <c r="P207" s="872"/>
      <c r="Q207" s="872"/>
      <c r="R207" s="872"/>
      <c r="S207" s="872"/>
      <c r="T207" s="872"/>
      <c r="U207" s="872"/>
      <c r="V207" s="872"/>
      <c r="W207" s="872"/>
      <c r="X207" s="872"/>
      <c r="Y207" s="872"/>
      <c r="Z207" s="872"/>
    </row>
    <row r="208" ht="14.25" customHeight="1">
      <c r="A208" s="872"/>
      <c r="B208" s="872"/>
      <c r="C208" s="872"/>
      <c r="D208" s="872"/>
      <c r="E208" s="872"/>
      <c r="F208" s="872"/>
      <c r="G208" s="872"/>
      <c r="H208" s="872"/>
      <c r="I208" s="872"/>
      <c r="J208" s="872"/>
      <c r="K208" s="872"/>
      <c r="L208" s="872"/>
      <c r="M208" s="872"/>
      <c r="N208" s="872"/>
      <c r="O208" s="872"/>
      <c r="P208" s="872"/>
      <c r="Q208" s="872"/>
      <c r="R208" s="872"/>
      <c r="S208" s="872"/>
      <c r="T208" s="872"/>
      <c r="U208" s="872"/>
      <c r="V208" s="872"/>
      <c r="W208" s="872"/>
      <c r="X208" s="872"/>
      <c r="Y208" s="872"/>
      <c r="Z208" s="872"/>
    </row>
    <row r="209" ht="14.25" customHeight="1">
      <c r="A209" s="872"/>
      <c r="B209" s="872"/>
      <c r="C209" s="872"/>
      <c r="D209" s="872"/>
      <c r="E209" s="872"/>
      <c r="F209" s="872"/>
      <c r="G209" s="872"/>
      <c r="H209" s="872"/>
      <c r="I209" s="872"/>
      <c r="J209" s="872"/>
      <c r="K209" s="872"/>
      <c r="L209" s="872"/>
      <c r="M209" s="872"/>
      <c r="N209" s="872"/>
      <c r="O209" s="872"/>
      <c r="P209" s="872"/>
      <c r="Q209" s="872"/>
      <c r="R209" s="872"/>
      <c r="S209" s="872"/>
      <c r="T209" s="872"/>
      <c r="U209" s="872"/>
      <c r="V209" s="872"/>
      <c r="W209" s="872"/>
      <c r="X209" s="872"/>
      <c r="Y209" s="872"/>
      <c r="Z209" s="872"/>
    </row>
    <row r="210" ht="14.25" customHeight="1">
      <c r="A210" s="872"/>
      <c r="B210" s="872"/>
      <c r="C210" s="872"/>
      <c r="D210" s="872"/>
      <c r="E210" s="872"/>
      <c r="F210" s="872"/>
      <c r="G210" s="872"/>
      <c r="H210" s="872"/>
      <c r="I210" s="872"/>
      <c r="J210" s="872"/>
      <c r="K210" s="872"/>
      <c r="L210" s="872"/>
      <c r="M210" s="872"/>
      <c r="N210" s="872"/>
      <c r="O210" s="872"/>
      <c r="P210" s="872"/>
      <c r="Q210" s="872"/>
      <c r="R210" s="872"/>
      <c r="S210" s="872"/>
      <c r="T210" s="872"/>
      <c r="U210" s="872"/>
      <c r="V210" s="872"/>
      <c r="W210" s="872"/>
      <c r="X210" s="872"/>
      <c r="Y210" s="872"/>
      <c r="Z210" s="872"/>
    </row>
    <row r="211" ht="14.25" customHeight="1">
      <c r="A211" s="872"/>
      <c r="B211" s="872"/>
      <c r="C211" s="872"/>
      <c r="D211" s="872"/>
      <c r="E211" s="872"/>
      <c r="F211" s="872"/>
      <c r="G211" s="872"/>
      <c r="H211" s="872"/>
      <c r="I211" s="872"/>
      <c r="J211" s="872"/>
      <c r="K211" s="872"/>
      <c r="L211" s="872"/>
      <c r="M211" s="872"/>
      <c r="N211" s="872"/>
      <c r="O211" s="872"/>
      <c r="P211" s="872"/>
      <c r="Q211" s="872"/>
      <c r="R211" s="872"/>
      <c r="S211" s="872"/>
      <c r="T211" s="872"/>
      <c r="U211" s="872"/>
      <c r="V211" s="872"/>
      <c r="W211" s="872"/>
      <c r="X211" s="872"/>
      <c r="Y211" s="872"/>
      <c r="Z211" s="872"/>
    </row>
    <row r="212" ht="14.25" customHeight="1">
      <c r="A212" s="872"/>
      <c r="B212" s="872"/>
      <c r="C212" s="872"/>
      <c r="D212" s="872"/>
      <c r="E212" s="872"/>
      <c r="F212" s="872"/>
      <c r="G212" s="872"/>
      <c r="H212" s="872"/>
      <c r="I212" s="872"/>
      <c r="J212" s="872"/>
      <c r="K212" s="872"/>
      <c r="L212" s="872"/>
      <c r="M212" s="872"/>
      <c r="N212" s="872"/>
      <c r="O212" s="872"/>
      <c r="P212" s="872"/>
      <c r="Q212" s="872"/>
      <c r="R212" s="872"/>
      <c r="S212" s="872"/>
      <c r="T212" s="872"/>
      <c r="U212" s="872"/>
      <c r="V212" s="872"/>
      <c r="W212" s="872"/>
      <c r="X212" s="872"/>
      <c r="Y212" s="872"/>
      <c r="Z212" s="872"/>
    </row>
    <row r="213" ht="14.25" customHeight="1">
      <c r="A213" s="872"/>
      <c r="B213" s="872"/>
      <c r="C213" s="872"/>
      <c r="D213" s="872"/>
      <c r="E213" s="872"/>
      <c r="F213" s="872"/>
      <c r="G213" s="872"/>
      <c r="H213" s="872"/>
      <c r="I213" s="872"/>
      <c r="J213" s="872"/>
      <c r="K213" s="872"/>
      <c r="L213" s="872"/>
      <c r="M213" s="872"/>
      <c r="N213" s="872"/>
      <c r="O213" s="872"/>
      <c r="P213" s="872"/>
      <c r="Q213" s="872"/>
      <c r="R213" s="872"/>
      <c r="S213" s="872"/>
      <c r="T213" s="872"/>
      <c r="U213" s="872"/>
      <c r="V213" s="872"/>
      <c r="W213" s="872"/>
      <c r="X213" s="872"/>
      <c r="Y213" s="872"/>
      <c r="Z213" s="872"/>
    </row>
    <row r="214" ht="14.25" customHeight="1">
      <c r="A214" s="872"/>
      <c r="B214" s="872"/>
      <c r="C214" s="872"/>
      <c r="D214" s="872"/>
      <c r="E214" s="872"/>
      <c r="F214" s="872"/>
      <c r="G214" s="872"/>
      <c r="H214" s="872"/>
      <c r="I214" s="872"/>
      <c r="J214" s="872"/>
      <c r="K214" s="872"/>
      <c r="L214" s="872"/>
      <c r="M214" s="872"/>
      <c r="N214" s="872"/>
      <c r="O214" s="872"/>
      <c r="P214" s="872"/>
      <c r="Q214" s="872"/>
      <c r="R214" s="872"/>
      <c r="S214" s="872"/>
      <c r="T214" s="872"/>
      <c r="U214" s="872"/>
      <c r="V214" s="872"/>
      <c r="W214" s="872"/>
      <c r="X214" s="872"/>
      <c r="Y214" s="872"/>
      <c r="Z214" s="872"/>
    </row>
    <row r="215" ht="14.25" customHeight="1">
      <c r="A215" s="872"/>
      <c r="B215" s="872"/>
      <c r="C215" s="872"/>
      <c r="D215" s="872"/>
      <c r="E215" s="872"/>
      <c r="F215" s="872"/>
      <c r="G215" s="872"/>
      <c r="H215" s="872"/>
      <c r="I215" s="872"/>
      <c r="J215" s="872"/>
      <c r="K215" s="872"/>
      <c r="L215" s="872"/>
      <c r="M215" s="872"/>
      <c r="N215" s="872"/>
      <c r="O215" s="872"/>
      <c r="P215" s="872"/>
      <c r="Q215" s="872"/>
      <c r="R215" s="872"/>
      <c r="S215" s="872"/>
      <c r="T215" s="872"/>
      <c r="U215" s="872"/>
      <c r="V215" s="872"/>
      <c r="W215" s="872"/>
      <c r="X215" s="872"/>
      <c r="Y215" s="872"/>
      <c r="Z215" s="872"/>
    </row>
    <row r="216" ht="14.25" customHeight="1">
      <c r="A216" s="872"/>
      <c r="B216" s="872"/>
      <c r="C216" s="872"/>
      <c r="D216" s="872"/>
      <c r="E216" s="872"/>
      <c r="F216" s="872"/>
      <c r="G216" s="872"/>
      <c r="H216" s="872"/>
      <c r="I216" s="872"/>
      <c r="J216" s="872"/>
      <c r="K216" s="872"/>
      <c r="L216" s="872"/>
      <c r="M216" s="872"/>
      <c r="N216" s="872"/>
      <c r="O216" s="872"/>
      <c r="P216" s="872"/>
      <c r="Q216" s="872"/>
      <c r="R216" s="872"/>
      <c r="S216" s="872"/>
      <c r="T216" s="872"/>
      <c r="U216" s="872"/>
      <c r="V216" s="872"/>
      <c r="W216" s="872"/>
      <c r="X216" s="872"/>
      <c r="Y216" s="872"/>
      <c r="Z216" s="872"/>
    </row>
    <row r="217" ht="14.25" customHeight="1">
      <c r="A217" s="872"/>
      <c r="B217" s="872"/>
      <c r="C217" s="872"/>
      <c r="D217" s="872"/>
      <c r="E217" s="872"/>
      <c r="F217" s="872"/>
      <c r="G217" s="872"/>
      <c r="H217" s="872"/>
      <c r="I217" s="872"/>
      <c r="J217" s="872"/>
      <c r="K217" s="872"/>
      <c r="L217" s="872"/>
      <c r="M217" s="872"/>
      <c r="N217" s="872"/>
      <c r="O217" s="872"/>
      <c r="P217" s="872"/>
      <c r="Q217" s="872"/>
      <c r="R217" s="872"/>
      <c r="S217" s="872"/>
      <c r="T217" s="872"/>
      <c r="U217" s="872"/>
      <c r="V217" s="872"/>
      <c r="W217" s="872"/>
      <c r="X217" s="872"/>
      <c r="Y217" s="872"/>
      <c r="Z217" s="872"/>
    </row>
    <row r="218" ht="14.25" customHeight="1">
      <c r="A218" s="872"/>
      <c r="B218" s="872"/>
      <c r="C218" s="872"/>
      <c r="D218" s="872"/>
      <c r="E218" s="872"/>
      <c r="F218" s="872"/>
      <c r="G218" s="872"/>
      <c r="H218" s="872"/>
      <c r="I218" s="872"/>
      <c r="J218" s="872"/>
      <c r="K218" s="872"/>
      <c r="L218" s="872"/>
      <c r="M218" s="872"/>
      <c r="N218" s="872"/>
      <c r="O218" s="872"/>
      <c r="P218" s="872"/>
      <c r="Q218" s="872"/>
      <c r="R218" s="872"/>
      <c r="S218" s="872"/>
      <c r="T218" s="872"/>
      <c r="U218" s="872"/>
      <c r="V218" s="872"/>
      <c r="W218" s="872"/>
      <c r="X218" s="872"/>
      <c r="Y218" s="872"/>
      <c r="Z218" s="872"/>
    </row>
    <row r="219" ht="14.25" customHeight="1">
      <c r="A219" s="872"/>
      <c r="B219" s="872"/>
      <c r="C219" s="872"/>
      <c r="D219" s="872"/>
      <c r="E219" s="872"/>
      <c r="F219" s="872"/>
      <c r="G219" s="872"/>
      <c r="H219" s="872"/>
      <c r="I219" s="872"/>
      <c r="J219" s="872"/>
      <c r="K219" s="872"/>
      <c r="L219" s="872"/>
      <c r="M219" s="872"/>
      <c r="N219" s="872"/>
      <c r="O219" s="872"/>
      <c r="P219" s="872"/>
      <c r="Q219" s="872"/>
      <c r="R219" s="872"/>
      <c r="S219" s="872"/>
      <c r="T219" s="872"/>
      <c r="U219" s="872"/>
      <c r="V219" s="872"/>
      <c r="W219" s="872"/>
      <c r="X219" s="872"/>
      <c r="Y219" s="872"/>
      <c r="Z219" s="872"/>
    </row>
    <row r="220" ht="14.25" customHeight="1">
      <c r="A220" s="872"/>
      <c r="B220" s="872"/>
      <c r="C220" s="872"/>
      <c r="D220" s="872"/>
      <c r="E220" s="872"/>
      <c r="F220" s="872"/>
      <c r="G220" s="872"/>
      <c r="H220" s="872"/>
      <c r="I220" s="872"/>
      <c r="J220" s="872"/>
      <c r="K220" s="872"/>
      <c r="L220" s="872"/>
      <c r="M220" s="872"/>
      <c r="N220" s="872"/>
      <c r="O220" s="872"/>
      <c r="P220" s="872"/>
      <c r="Q220" s="872"/>
      <c r="R220" s="872"/>
      <c r="S220" s="872"/>
      <c r="T220" s="872"/>
      <c r="U220" s="872"/>
      <c r="V220" s="872"/>
      <c r="W220" s="872"/>
      <c r="X220" s="872"/>
      <c r="Y220" s="872"/>
      <c r="Z220" s="872"/>
    </row>
    <row r="221" ht="14.25" customHeight="1">
      <c r="A221" s="872"/>
      <c r="B221" s="872"/>
      <c r="C221" s="872"/>
      <c r="D221" s="872"/>
      <c r="E221" s="872"/>
      <c r="F221" s="872"/>
      <c r="G221" s="872"/>
      <c r="H221" s="872"/>
      <c r="I221" s="872"/>
      <c r="J221" s="872"/>
      <c r="K221" s="872"/>
      <c r="L221" s="872"/>
      <c r="M221" s="872"/>
      <c r="N221" s="872"/>
      <c r="O221" s="872"/>
      <c r="P221" s="872"/>
      <c r="Q221" s="872"/>
      <c r="R221" s="872"/>
      <c r="S221" s="872"/>
      <c r="T221" s="872"/>
      <c r="U221" s="872"/>
      <c r="V221" s="872"/>
      <c r="W221" s="872"/>
      <c r="X221" s="872"/>
      <c r="Y221" s="872"/>
      <c r="Z221" s="872"/>
    </row>
    <row r="222" ht="14.25" customHeight="1">
      <c r="A222" s="872"/>
      <c r="B222" s="872"/>
      <c r="C222" s="872"/>
      <c r="D222" s="872"/>
      <c r="E222" s="872"/>
      <c r="F222" s="872"/>
      <c r="G222" s="872"/>
      <c r="H222" s="872"/>
      <c r="I222" s="872"/>
      <c r="J222" s="872"/>
      <c r="K222" s="872"/>
      <c r="L222" s="872"/>
      <c r="M222" s="872"/>
      <c r="N222" s="872"/>
      <c r="O222" s="872"/>
      <c r="P222" s="872"/>
      <c r="Q222" s="872"/>
      <c r="R222" s="872"/>
      <c r="S222" s="872"/>
      <c r="T222" s="872"/>
      <c r="U222" s="872"/>
      <c r="V222" s="872"/>
      <c r="W222" s="872"/>
      <c r="X222" s="872"/>
      <c r="Y222" s="872"/>
      <c r="Z222" s="872"/>
    </row>
    <row r="223" ht="14.25" customHeight="1">
      <c r="A223" s="872"/>
      <c r="B223" s="872"/>
      <c r="C223" s="872"/>
      <c r="D223" s="872"/>
      <c r="E223" s="872"/>
      <c r="F223" s="872"/>
      <c r="G223" s="872"/>
      <c r="H223" s="872"/>
      <c r="I223" s="872"/>
      <c r="J223" s="872"/>
      <c r="K223" s="872"/>
      <c r="L223" s="872"/>
      <c r="M223" s="872"/>
      <c r="N223" s="872"/>
      <c r="O223" s="872"/>
      <c r="P223" s="872"/>
      <c r="Q223" s="872"/>
      <c r="R223" s="872"/>
      <c r="S223" s="872"/>
      <c r="T223" s="872"/>
      <c r="U223" s="872"/>
      <c r="V223" s="872"/>
      <c r="W223" s="872"/>
      <c r="X223" s="872"/>
      <c r="Y223" s="872"/>
      <c r="Z223" s="872"/>
    </row>
    <row r="224" ht="14.25" customHeight="1">
      <c r="A224" s="872"/>
      <c r="B224" s="872"/>
      <c r="C224" s="872"/>
      <c r="D224" s="872"/>
      <c r="E224" s="872"/>
      <c r="F224" s="872"/>
      <c r="G224" s="872"/>
      <c r="H224" s="872"/>
      <c r="I224" s="872"/>
      <c r="J224" s="872"/>
      <c r="K224" s="872"/>
      <c r="L224" s="872"/>
      <c r="M224" s="872"/>
      <c r="N224" s="872"/>
      <c r="O224" s="872"/>
      <c r="P224" s="872"/>
      <c r="Q224" s="872"/>
      <c r="R224" s="872"/>
      <c r="S224" s="872"/>
      <c r="T224" s="872"/>
      <c r="U224" s="872"/>
      <c r="V224" s="872"/>
      <c r="W224" s="872"/>
      <c r="X224" s="872"/>
      <c r="Y224" s="872"/>
      <c r="Z224" s="872"/>
    </row>
    <row r="225" ht="14.25" customHeight="1">
      <c r="A225" s="872"/>
      <c r="B225" s="872"/>
      <c r="C225" s="872"/>
      <c r="D225" s="872"/>
      <c r="E225" s="872"/>
      <c r="F225" s="872"/>
      <c r="G225" s="872"/>
      <c r="H225" s="872"/>
      <c r="I225" s="872"/>
      <c r="J225" s="872"/>
      <c r="K225" s="872"/>
      <c r="L225" s="872"/>
      <c r="M225" s="872"/>
      <c r="N225" s="872"/>
      <c r="O225" s="872"/>
      <c r="P225" s="872"/>
      <c r="Q225" s="872"/>
      <c r="R225" s="872"/>
      <c r="S225" s="872"/>
      <c r="T225" s="872"/>
      <c r="U225" s="872"/>
      <c r="V225" s="872"/>
      <c r="W225" s="872"/>
      <c r="X225" s="872"/>
      <c r="Y225" s="872"/>
      <c r="Z225" s="872"/>
    </row>
    <row r="226" ht="14.25" customHeight="1">
      <c r="A226" s="872"/>
      <c r="B226" s="872"/>
      <c r="C226" s="872"/>
      <c r="D226" s="872"/>
      <c r="E226" s="872"/>
      <c r="F226" s="872"/>
      <c r="G226" s="872"/>
      <c r="H226" s="872"/>
      <c r="I226" s="872"/>
      <c r="J226" s="872"/>
      <c r="K226" s="872"/>
      <c r="L226" s="872"/>
      <c r="M226" s="872"/>
      <c r="N226" s="872"/>
      <c r="O226" s="872"/>
      <c r="P226" s="872"/>
      <c r="Q226" s="872"/>
      <c r="R226" s="872"/>
      <c r="S226" s="872"/>
      <c r="T226" s="872"/>
      <c r="U226" s="872"/>
      <c r="V226" s="872"/>
      <c r="W226" s="872"/>
      <c r="X226" s="872"/>
      <c r="Y226" s="872"/>
      <c r="Z226" s="872"/>
    </row>
    <row r="227" ht="14.25" customHeight="1">
      <c r="A227" s="872"/>
      <c r="B227" s="872"/>
      <c r="C227" s="872"/>
      <c r="D227" s="872"/>
      <c r="E227" s="872"/>
      <c r="F227" s="872"/>
      <c r="G227" s="872"/>
      <c r="H227" s="872"/>
      <c r="I227" s="872"/>
      <c r="J227" s="872"/>
      <c r="K227" s="872"/>
      <c r="L227" s="872"/>
      <c r="M227" s="872"/>
      <c r="N227" s="872"/>
      <c r="O227" s="872"/>
      <c r="P227" s="872"/>
      <c r="Q227" s="872"/>
      <c r="R227" s="872"/>
      <c r="S227" s="872"/>
      <c r="T227" s="872"/>
      <c r="U227" s="872"/>
      <c r="V227" s="872"/>
      <c r="W227" s="872"/>
      <c r="X227" s="872"/>
      <c r="Y227" s="872"/>
      <c r="Z227" s="872"/>
    </row>
    <row r="228" ht="14.25" customHeight="1">
      <c r="A228" s="872"/>
      <c r="B228" s="872"/>
      <c r="C228" s="872"/>
      <c r="D228" s="872"/>
      <c r="E228" s="872"/>
      <c r="F228" s="872"/>
      <c r="G228" s="872"/>
      <c r="H228" s="872"/>
      <c r="I228" s="872"/>
      <c r="J228" s="872"/>
      <c r="K228" s="872"/>
      <c r="L228" s="872"/>
      <c r="M228" s="872"/>
      <c r="N228" s="872"/>
      <c r="O228" s="872"/>
      <c r="P228" s="872"/>
      <c r="Q228" s="872"/>
      <c r="R228" s="872"/>
      <c r="S228" s="872"/>
      <c r="T228" s="872"/>
      <c r="U228" s="872"/>
      <c r="V228" s="872"/>
      <c r="W228" s="872"/>
      <c r="X228" s="872"/>
      <c r="Y228" s="872"/>
      <c r="Z228" s="872"/>
    </row>
    <row r="229" ht="14.25" customHeight="1">
      <c r="A229" s="872"/>
      <c r="B229" s="872"/>
      <c r="C229" s="872"/>
      <c r="D229" s="872"/>
      <c r="E229" s="872"/>
      <c r="F229" s="872"/>
      <c r="G229" s="872"/>
      <c r="H229" s="872"/>
      <c r="I229" s="872"/>
      <c r="J229" s="872"/>
      <c r="K229" s="872"/>
      <c r="L229" s="872"/>
      <c r="M229" s="872"/>
      <c r="N229" s="872"/>
      <c r="O229" s="872"/>
      <c r="P229" s="872"/>
      <c r="Q229" s="872"/>
      <c r="R229" s="872"/>
      <c r="S229" s="872"/>
      <c r="T229" s="872"/>
      <c r="U229" s="872"/>
      <c r="V229" s="872"/>
      <c r="W229" s="872"/>
      <c r="X229" s="872"/>
      <c r="Y229" s="872"/>
      <c r="Z229" s="872"/>
    </row>
    <row r="230" ht="14.25" customHeight="1">
      <c r="A230" s="872"/>
      <c r="B230" s="872"/>
      <c r="C230" s="872"/>
      <c r="D230" s="872"/>
      <c r="E230" s="872"/>
      <c r="F230" s="872"/>
      <c r="G230" s="872"/>
      <c r="H230" s="872"/>
      <c r="I230" s="872"/>
      <c r="J230" s="872"/>
      <c r="K230" s="872"/>
      <c r="L230" s="872"/>
      <c r="M230" s="872"/>
      <c r="N230" s="872"/>
      <c r="O230" s="872"/>
      <c r="P230" s="872"/>
      <c r="Q230" s="872"/>
      <c r="R230" s="872"/>
      <c r="S230" s="872"/>
      <c r="T230" s="872"/>
      <c r="U230" s="872"/>
      <c r="V230" s="872"/>
      <c r="W230" s="872"/>
      <c r="X230" s="872"/>
      <c r="Y230" s="872"/>
      <c r="Z230" s="872"/>
    </row>
    <row r="231" ht="14.25" customHeight="1">
      <c r="A231" s="872"/>
      <c r="B231" s="872"/>
      <c r="C231" s="872"/>
      <c r="D231" s="872"/>
      <c r="E231" s="872"/>
      <c r="F231" s="872"/>
      <c r="G231" s="872"/>
      <c r="H231" s="872"/>
      <c r="I231" s="872"/>
      <c r="J231" s="872"/>
      <c r="K231" s="872"/>
      <c r="L231" s="872"/>
      <c r="M231" s="872"/>
      <c r="N231" s="872"/>
      <c r="O231" s="872"/>
      <c r="P231" s="872"/>
      <c r="Q231" s="872"/>
      <c r="R231" s="872"/>
      <c r="S231" s="872"/>
      <c r="T231" s="872"/>
      <c r="U231" s="872"/>
      <c r="V231" s="872"/>
      <c r="W231" s="872"/>
      <c r="X231" s="872"/>
      <c r="Y231" s="872"/>
      <c r="Z231" s="872"/>
    </row>
    <row r="232" ht="14.25" customHeight="1">
      <c r="A232" s="872"/>
      <c r="B232" s="872"/>
      <c r="C232" s="872"/>
      <c r="D232" s="872"/>
      <c r="E232" s="872"/>
      <c r="F232" s="872"/>
      <c r="G232" s="872"/>
      <c r="H232" s="872"/>
      <c r="I232" s="872"/>
      <c r="J232" s="872"/>
      <c r="K232" s="872"/>
      <c r="L232" s="872"/>
      <c r="M232" s="872"/>
      <c r="N232" s="872"/>
      <c r="O232" s="872"/>
      <c r="P232" s="872"/>
      <c r="Q232" s="872"/>
      <c r="R232" s="872"/>
      <c r="S232" s="872"/>
      <c r="T232" s="872"/>
      <c r="U232" s="872"/>
      <c r="V232" s="872"/>
      <c r="W232" s="872"/>
      <c r="X232" s="872"/>
      <c r="Y232" s="872"/>
      <c r="Z232" s="872"/>
    </row>
    <row r="233" ht="14.25" customHeight="1">
      <c r="A233" s="872"/>
      <c r="B233" s="872"/>
      <c r="C233" s="872"/>
      <c r="D233" s="872"/>
      <c r="E233" s="872"/>
      <c r="F233" s="872"/>
      <c r="G233" s="872"/>
      <c r="H233" s="872"/>
      <c r="I233" s="872"/>
      <c r="J233" s="872"/>
      <c r="K233" s="872"/>
      <c r="L233" s="872"/>
      <c r="M233" s="872"/>
      <c r="N233" s="872"/>
      <c r="O233" s="872"/>
      <c r="P233" s="872"/>
      <c r="Q233" s="872"/>
      <c r="R233" s="872"/>
      <c r="S233" s="872"/>
      <c r="T233" s="872"/>
      <c r="U233" s="872"/>
      <c r="V233" s="872"/>
      <c r="W233" s="872"/>
      <c r="X233" s="872"/>
      <c r="Y233" s="872"/>
      <c r="Z233" s="872"/>
    </row>
    <row r="234" ht="14.25" customHeight="1">
      <c r="A234" s="872"/>
      <c r="B234" s="872"/>
      <c r="C234" s="872"/>
      <c r="D234" s="872"/>
      <c r="E234" s="872"/>
      <c r="F234" s="872"/>
      <c r="G234" s="872"/>
      <c r="H234" s="872"/>
      <c r="I234" s="872"/>
      <c r="J234" s="872"/>
      <c r="K234" s="872"/>
      <c r="L234" s="872"/>
      <c r="M234" s="872"/>
      <c r="N234" s="872"/>
      <c r="O234" s="872"/>
      <c r="P234" s="872"/>
      <c r="Q234" s="872"/>
      <c r="R234" s="872"/>
      <c r="S234" s="872"/>
      <c r="T234" s="872"/>
      <c r="U234" s="872"/>
      <c r="V234" s="872"/>
      <c r="W234" s="872"/>
      <c r="X234" s="872"/>
      <c r="Y234" s="872"/>
      <c r="Z234" s="872"/>
    </row>
    <row r="235" ht="14.25" customHeight="1">
      <c r="A235" s="872"/>
      <c r="B235" s="872"/>
      <c r="C235" s="872"/>
      <c r="D235" s="872"/>
      <c r="E235" s="872"/>
      <c r="F235" s="872"/>
      <c r="G235" s="872"/>
      <c r="H235" s="872"/>
      <c r="I235" s="872"/>
      <c r="J235" s="872"/>
      <c r="K235" s="872"/>
      <c r="L235" s="872"/>
      <c r="M235" s="872"/>
      <c r="N235" s="872"/>
      <c r="O235" s="872"/>
      <c r="P235" s="872"/>
      <c r="Q235" s="872"/>
      <c r="R235" s="872"/>
      <c r="S235" s="872"/>
      <c r="T235" s="872"/>
      <c r="U235" s="872"/>
      <c r="V235" s="872"/>
      <c r="W235" s="872"/>
      <c r="X235" s="872"/>
      <c r="Y235" s="872"/>
      <c r="Z235" s="872"/>
    </row>
    <row r="236" ht="14.25" customHeight="1">
      <c r="A236" s="872"/>
      <c r="B236" s="872"/>
      <c r="C236" s="872"/>
      <c r="D236" s="872"/>
      <c r="E236" s="872"/>
      <c r="F236" s="872"/>
      <c r="G236" s="872"/>
      <c r="H236" s="872"/>
      <c r="I236" s="872"/>
      <c r="J236" s="872"/>
      <c r="K236" s="872"/>
      <c r="L236" s="872"/>
      <c r="M236" s="872"/>
      <c r="N236" s="872"/>
      <c r="O236" s="872"/>
      <c r="P236" s="872"/>
      <c r="Q236" s="872"/>
      <c r="R236" s="872"/>
      <c r="S236" s="872"/>
      <c r="T236" s="872"/>
      <c r="U236" s="872"/>
      <c r="V236" s="872"/>
      <c r="W236" s="872"/>
      <c r="X236" s="872"/>
      <c r="Y236" s="872"/>
      <c r="Z236" s="872"/>
    </row>
    <row r="237" ht="14.25" customHeight="1">
      <c r="A237" s="872"/>
      <c r="B237" s="872"/>
      <c r="C237" s="872"/>
      <c r="D237" s="872"/>
      <c r="E237" s="872"/>
      <c r="F237" s="872"/>
      <c r="G237" s="872"/>
      <c r="H237" s="872"/>
      <c r="I237" s="872"/>
      <c r="J237" s="872"/>
      <c r="K237" s="872"/>
      <c r="L237" s="872"/>
      <c r="M237" s="872"/>
      <c r="N237" s="872"/>
      <c r="O237" s="872"/>
      <c r="P237" s="872"/>
      <c r="Q237" s="872"/>
      <c r="R237" s="872"/>
      <c r="S237" s="872"/>
      <c r="T237" s="872"/>
      <c r="U237" s="872"/>
      <c r="V237" s="872"/>
      <c r="W237" s="872"/>
      <c r="X237" s="872"/>
      <c r="Y237" s="872"/>
      <c r="Z237" s="872"/>
    </row>
    <row r="238" ht="14.25" customHeight="1">
      <c r="A238" s="872"/>
      <c r="B238" s="872"/>
      <c r="C238" s="872"/>
      <c r="D238" s="872"/>
      <c r="E238" s="872"/>
      <c r="F238" s="872"/>
      <c r="G238" s="872"/>
      <c r="H238" s="872"/>
      <c r="I238" s="872"/>
      <c r="J238" s="872"/>
      <c r="K238" s="872"/>
      <c r="L238" s="872"/>
      <c r="M238" s="872"/>
      <c r="N238" s="872"/>
      <c r="O238" s="872"/>
      <c r="P238" s="872"/>
      <c r="Q238" s="872"/>
      <c r="R238" s="872"/>
      <c r="S238" s="872"/>
      <c r="T238" s="872"/>
      <c r="U238" s="872"/>
      <c r="V238" s="872"/>
      <c r="W238" s="872"/>
      <c r="X238" s="872"/>
      <c r="Y238" s="872"/>
      <c r="Z238" s="872"/>
    </row>
    <row r="239" ht="14.25" customHeight="1">
      <c r="A239" s="872"/>
      <c r="B239" s="872"/>
      <c r="C239" s="872"/>
      <c r="D239" s="872"/>
      <c r="E239" s="872"/>
      <c r="F239" s="872"/>
      <c r="G239" s="872"/>
      <c r="H239" s="872"/>
      <c r="I239" s="872"/>
      <c r="J239" s="872"/>
      <c r="K239" s="872"/>
      <c r="L239" s="872"/>
      <c r="M239" s="872"/>
      <c r="N239" s="872"/>
      <c r="O239" s="872"/>
      <c r="P239" s="872"/>
      <c r="Q239" s="872"/>
      <c r="R239" s="872"/>
      <c r="S239" s="872"/>
      <c r="T239" s="872"/>
      <c r="U239" s="872"/>
      <c r="V239" s="872"/>
      <c r="W239" s="872"/>
      <c r="X239" s="872"/>
      <c r="Y239" s="872"/>
      <c r="Z239" s="872"/>
    </row>
    <row r="240" ht="14.25" customHeight="1">
      <c r="A240" s="872"/>
      <c r="B240" s="872"/>
      <c r="C240" s="872"/>
      <c r="D240" s="872"/>
      <c r="E240" s="872"/>
      <c r="F240" s="872"/>
      <c r="G240" s="872"/>
      <c r="H240" s="872"/>
      <c r="I240" s="872"/>
      <c r="J240" s="872"/>
      <c r="K240" s="872"/>
      <c r="L240" s="872"/>
      <c r="M240" s="872"/>
      <c r="N240" s="872"/>
      <c r="O240" s="872"/>
      <c r="P240" s="872"/>
      <c r="Q240" s="872"/>
      <c r="R240" s="872"/>
      <c r="S240" s="872"/>
      <c r="T240" s="872"/>
      <c r="U240" s="872"/>
      <c r="V240" s="872"/>
      <c r="W240" s="872"/>
      <c r="X240" s="872"/>
      <c r="Y240" s="872"/>
      <c r="Z240" s="872"/>
    </row>
    <row r="241" ht="14.25" customHeight="1">
      <c r="A241" s="872"/>
      <c r="B241" s="872"/>
      <c r="C241" s="872"/>
      <c r="D241" s="872"/>
      <c r="E241" s="872"/>
      <c r="F241" s="872"/>
      <c r="G241" s="872"/>
      <c r="H241" s="872"/>
      <c r="I241" s="872"/>
      <c r="J241" s="872"/>
      <c r="K241" s="872"/>
      <c r="L241" s="872"/>
      <c r="M241" s="872"/>
      <c r="N241" s="872"/>
      <c r="O241" s="872"/>
      <c r="P241" s="872"/>
      <c r="Q241" s="872"/>
      <c r="R241" s="872"/>
      <c r="S241" s="872"/>
      <c r="T241" s="872"/>
      <c r="U241" s="872"/>
      <c r="V241" s="872"/>
      <c r="W241" s="872"/>
      <c r="X241" s="872"/>
      <c r="Y241" s="872"/>
      <c r="Z241" s="872"/>
    </row>
    <row r="242" ht="14.25" customHeight="1">
      <c r="A242" s="872"/>
      <c r="B242" s="872"/>
      <c r="C242" s="872"/>
      <c r="D242" s="872"/>
      <c r="E242" s="872"/>
      <c r="F242" s="872"/>
      <c r="G242" s="872"/>
      <c r="H242" s="872"/>
      <c r="I242" s="872"/>
      <c r="J242" s="872"/>
      <c r="K242" s="872"/>
      <c r="L242" s="872"/>
      <c r="M242" s="872"/>
      <c r="N242" s="872"/>
      <c r="O242" s="872"/>
      <c r="P242" s="872"/>
      <c r="Q242" s="872"/>
      <c r="R242" s="872"/>
      <c r="S242" s="872"/>
      <c r="T242" s="872"/>
      <c r="U242" s="872"/>
      <c r="V242" s="872"/>
      <c r="W242" s="872"/>
      <c r="X242" s="872"/>
      <c r="Y242" s="872"/>
      <c r="Z242" s="872"/>
    </row>
    <row r="243" ht="14.25" customHeight="1">
      <c r="A243" s="872"/>
      <c r="B243" s="872"/>
      <c r="C243" s="872"/>
      <c r="D243" s="872"/>
      <c r="E243" s="872"/>
      <c r="F243" s="872"/>
      <c r="G243" s="872"/>
      <c r="H243" s="872"/>
      <c r="I243" s="872"/>
      <c r="J243" s="872"/>
      <c r="K243" s="872"/>
      <c r="L243" s="872"/>
      <c r="M243" s="872"/>
      <c r="N243" s="872"/>
      <c r="O243" s="872"/>
      <c r="P243" s="872"/>
      <c r="Q243" s="872"/>
      <c r="R243" s="872"/>
      <c r="S243" s="872"/>
      <c r="T243" s="872"/>
      <c r="U243" s="872"/>
      <c r="V243" s="872"/>
      <c r="W243" s="872"/>
      <c r="X243" s="872"/>
      <c r="Y243" s="872"/>
      <c r="Z243" s="872"/>
    </row>
    <row r="244" ht="14.25" customHeight="1">
      <c r="A244" s="872"/>
      <c r="B244" s="872"/>
      <c r="C244" s="872"/>
      <c r="D244" s="872"/>
      <c r="E244" s="872"/>
      <c r="F244" s="872"/>
      <c r="G244" s="872"/>
      <c r="H244" s="872"/>
      <c r="I244" s="872"/>
      <c r="J244" s="872"/>
      <c r="K244" s="872"/>
      <c r="L244" s="872"/>
      <c r="M244" s="872"/>
      <c r="N244" s="872"/>
      <c r="O244" s="872"/>
      <c r="P244" s="872"/>
      <c r="Q244" s="872"/>
      <c r="R244" s="872"/>
      <c r="S244" s="872"/>
      <c r="T244" s="872"/>
      <c r="U244" s="872"/>
      <c r="V244" s="872"/>
      <c r="W244" s="872"/>
      <c r="X244" s="872"/>
      <c r="Y244" s="872"/>
      <c r="Z244" s="872"/>
    </row>
    <row r="245" ht="14.25" customHeight="1">
      <c r="A245" s="872"/>
      <c r="B245" s="872"/>
      <c r="C245" s="872"/>
      <c r="D245" s="872"/>
      <c r="E245" s="872"/>
      <c r="F245" s="872"/>
      <c r="G245" s="872"/>
      <c r="H245" s="872"/>
      <c r="I245" s="872"/>
      <c r="J245" s="872"/>
      <c r="K245" s="872"/>
      <c r="L245" s="872"/>
      <c r="M245" s="872"/>
      <c r="N245" s="872"/>
      <c r="O245" s="872"/>
      <c r="P245" s="872"/>
      <c r="Q245" s="872"/>
      <c r="R245" s="872"/>
      <c r="S245" s="872"/>
      <c r="T245" s="872"/>
      <c r="U245" s="872"/>
      <c r="V245" s="872"/>
      <c r="W245" s="872"/>
      <c r="X245" s="872"/>
      <c r="Y245" s="872"/>
      <c r="Z245" s="872"/>
    </row>
    <row r="246" ht="14.25" customHeight="1">
      <c r="A246" s="872"/>
      <c r="B246" s="872"/>
      <c r="C246" s="872"/>
      <c r="D246" s="872"/>
      <c r="E246" s="872"/>
      <c r="F246" s="872"/>
      <c r="G246" s="872"/>
      <c r="H246" s="872"/>
      <c r="I246" s="872"/>
      <c r="J246" s="872"/>
      <c r="K246" s="872"/>
      <c r="L246" s="872"/>
      <c r="M246" s="872"/>
      <c r="N246" s="872"/>
      <c r="O246" s="872"/>
      <c r="P246" s="872"/>
      <c r="Q246" s="872"/>
      <c r="R246" s="872"/>
      <c r="S246" s="872"/>
      <c r="T246" s="872"/>
      <c r="U246" s="872"/>
      <c r="V246" s="872"/>
      <c r="W246" s="872"/>
      <c r="X246" s="872"/>
      <c r="Y246" s="872"/>
      <c r="Z246" s="872"/>
    </row>
    <row r="247" ht="14.25" customHeight="1">
      <c r="A247" s="872"/>
      <c r="B247" s="872"/>
      <c r="C247" s="872"/>
      <c r="D247" s="872"/>
      <c r="E247" s="872"/>
      <c r="F247" s="872"/>
      <c r="G247" s="872"/>
      <c r="H247" s="872"/>
      <c r="I247" s="872"/>
      <c r="J247" s="872"/>
      <c r="K247" s="872"/>
      <c r="L247" s="872"/>
      <c r="M247" s="872"/>
      <c r="N247" s="872"/>
      <c r="O247" s="872"/>
      <c r="P247" s="872"/>
      <c r="Q247" s="872"/>
      <c r="R247" s="872"/>
      <c r="S247" s="872"/>
      <c r="T247" s="872"/>
      <c r="U247" s="872"/>
      <c r="V247" s="872"/>
      <c r="W247" s="872"/>
      <c r="X247" s="872"/>
      <c r="Y247" s="872"/>
      <c r="Z247" s="872"/>
    </row>
    <row r="248" ht="14.25" customHeight="1">
      <c r="A248" s="872"/>
      <c r="B248" s="872"/>
      <c r="C248" s="872"/>
      <c r="D248" s="872"/>
      <c r="E248" s="872"/>
      <c r="F248" s="872"/>
      <c r="G248" s="872"/>
      <c r="H248" s="872"/>
      <c r="I248" s="872"/>
      <c r="J248" s="872"/>
      <c r="K248" s="872"/>
      <c r="L248" s="872"/>
      <c r="M248" s="872"/>
      <c r="N248" s="872"/>
      <c r="O248" s="872"/>
      <c r="P248" s="872"/>
      <c r="Q248" s="872"/>
      <c r="R248" s="872"/>
      <c r="S248" s="872"/>
      <c r="T248" s="872"/>
      <c r="U248" s="872"/>
      <c r="V248" s="872"/>
      <c r="W248" s="872"/>
      <c r="X248" s="872"/>
      <c r="Y248" s="872"/>
      <c r="Z248" s="872"/>
    </row>
    <row r="249" ht="14.25" customHeight="1">
      <c r="A249" s="872"/>
      <c r="B249" s="872"/>
      <c r="C249" s="872"/>
      <c r="D249" s="872"/>
      <c r="E249" s="872"/>
      <c r="F249" s="872"/>
      <c r="G249" s="872"/>
      <c r="H249" s="872"/>
      <c r="I249" s="872"/>
      <c r="J249" s="872"/>
      <c r="K249" s="872"/>
      <c r="L249" s="872"/>
      <c r="M249" s="872"/>
      <c r="N249" s="872"/>
      <c r="O249" s="872"/>
      <c r="P249" s="872"/>
      <c r="Q249" s="872"/>
      <c r="R249" s="872"/>
      <c r="S249" s="872"/>
      <c r="T249" s="872"/>
      <c r="U249" s="872"/>
      <c r="V249" s="872"/>
      <c r="W249" s="872"/>
      <c r="X249" s="872"/>
      <c r="Y249" s="872"/>
      <c r="Z249" s="872"/>
    </row>
    <row r="250" ht="14.25" customHeight="1">
      <c r="A250" s="872"/>
      <c r="B250" s="872"/>
      <c r="C250" s="872"/>
      <c r="D250" s="872"/>
      <c r="E250" s="872"/>
      <c r="F250" s="872"/>
      <c r="G250" s="872"/>
      <c r="H250" s="872"/>
      <c r="I250" s="872"/>
      <c r="J250" s="872"/>
      <c r="K250" s="872"/>
      <c r="L250" s="872"/>
      <c r="M250" s="872"/>
      <c r="N250" s="872"/>
      <c r="O250" s="872"/>
      <c r="P250" s="872"/>
      <c r="Q250" s="872"/>
      <c r="R250" s="872"/>
      <c r="S250" s="872"/>
      <c r="T250" s="872"/>
      <c r="U250" s="872"/>
      <c r="V250" s="872"/>
      <c r="W250" s="872"/>
      <c r="X250" s="872"/>
      <c r="Y250" s="872"/>
      <c r="Z250" s="872"/>
    </row>
    <row r="251" ht="14.25" customHeight="1">
      <c r="A251" s="872"/>
      <c r="B251" s="872"/>
      <c r="C251" s="872"/>
      <c r="D251" s="872"/>
      <c r="E251" s="872"/>
      <c r="F251" s="872"/>
      <c r="G251" s="872"/>
      <c r="H251" s="872"/>
      <c r="I251" s="872"/>
      <c r="J251" s="872"/>
      <c r="K251" s="872"/>
      <c r="L251" s="872"/>
      <c r="M251" s="872"/>
      <c r="N251" s="872"/>
      <c r="O251" s="872"/>
      <c r="P251" s="872"/>
      <c r="Q251" s="872"/>
      <c r="R251" s="872"/>
      <c r="S251" s="872"/>
      <c r="T251" s="872"/>
      <c r="U251" s="872"/>
      <c r="V251" s="872"/>
      <c r="W251" s="872"/>
      <c r="X251" s="872"/>
      <c r="Y251" s="872"/>
      <c r="Z251" s="872"/>
    </row>
    <row r="252" ht="14.25" customHeight="1">
      <c r="A252" s="872"/>
      <c r="B252" s="872"/>
      <c r="C252" s="872"/>
      <c r="D252" s="872"/>
      <c r="E252" s="872"/>
      <c r="F252" s="872"/>
      <c r="G252" s="872"/>
      <c r="H252" s="872"/>
      <c r="I252" s="872"/>
      <c r="J252" s="872"/>
      <c r="K252" s="872"/>
      <c r="L252" s="872"/>
      <c r="M252" s="872"/>
      <c r="N252" s="872"/>
      <c r="O252" s="872"/>
      <c r="P252" s="872"/>
      <c r="Q252" s="872"/>
      <c r="R252" s="872"/>
      <c r="S252" s="872"/>
      <c r="T252" s="872"/>
      <c r="U252" s="872"/>
      <c r="V252" s="872"/>
      <c r="W252" s="872"/>
      <c r="X252" s="872"/>
      <c r="Y252" s="872"/>
      <c r="Z252" s="872"/>
    </row>
    <row r="253" ht="14.25" customHeight="1">
      <c r="A253" s="872"/>
      <c r="B253" s="872"/>
      <c r="C253" s="872"/>
      <c r="D253" s="872"/>
      <c r="E253" s="872"/>
      <c r="F253" s="872"/>
      <c r="G253" s="872"/>
      <c r="H253" s="872"/>
      <c r="I253" s="872"/>
      <c r="J253" s="872"/>
      <c r="K253" s="872"/>
      <c r="L253" s="872"/>
      <c r="M253" s="872"/>
      <c r="N253" s="872"/>
      <c r="O253" s="872"/>
      <c r="P253" s="872"/>
      <c r="Q253" s="872"/>
      <c r="R253" s="872"/>
      <c r="S253" s="872"/>
      <c r="T253" s="872"/>
      <c r="U253" s="872"/>
      <c r="V253" s="872"/>
      <c r="W253" s="872"/>
      <c r="X253" s="872"/>
      <c r="Y253" s="872"/>
      <c r="Z253" s="872"/>
    </row>
    <row r="254" ht="14.25" customHeight="1">
      <c r="A254" s="872"/>
      <c r="B254" s="872"/>
      <c r="C254" s="872"/>
      <c r="D254" s="872"/>
      <c r="E254" s="872"/>
      <c r="F254" s="872"/>
      <c r="G254" s="872"/>
      <c r="H254" s="872"/>
      <c r="I254" s="872"/>
      <c r="J254" s="872"/>
      <c r="K254" s="872"/>
      <c r="L254" s="872"/>
      <c r="M254" s="872"/>
      <c r="N254" s="872"/>
      <c r="O254" s="872"/>
      <c r="P254" s="872"/>
      <c r="Q254" s="872"/>
      <c r="R254" s="872"/>
      <c r="S254" s="872"/>
      <c r="T254" s="872"/>
      <c r="U254" s="872"/>
      <c r="V254" s="872"/>
      <c r="W254" s="872"/>
      <c r="X254" s="872"/>
      <c r="Y254" s="872"/>
      <c r="Z254" s="872"/>
    </row>
    <row r="255" ht="14.25" customHeight="1">
      <c r="A255" s="872"/>
      <c r="B255" s="872"/>
      <c r="C255" s="872"/>
      <c r="D255" s="872"/>
      <c r="E255" s="872"/>
      <c r="F255" s="872"/>
      <c r="G255" s="872"/>
      <c r="H255" s="872"/>
      <c r="I255" s="872"/>
      <c r="J255" s="872"/>
      <c r="K255" s="872"/>
      <c r="L255" s="872"/>
      <c r="M255" s="872"/>
      <c r="N255" s="872"/>
      <c r="O255" s="872"/>
      <c r="P255" s="872"/>
      <c r="Q255" s="872"/>
      <c r="R255" s="872"/>
      <c r="S255" s="872"/>
      <c r="T255" s="872"/>
      <c r="U255" s="872"/>
      <c r="V255" s="872"/>
      <c r="W255" s="872"/>
      <c r="X255" s="872"/>
      <c r="Y255" s="872"/>
      <c r="Z255" s="872"/>
    </row>
    <row r="256" ht="14.25" customHeight="1">
      <c r="A256" s="872"/>
      <c r="B256" s="872"/>
      <c r="C256" s="872"/>
      <c r="D256" s="872"/>
      <c r="E256" s="872"/>
      <c r="F256" s="872"/>
      <c r="G256" s="872"/>
      <c r="H256" s="872"/>
      <c r="I256" s="872"/>
      <c r="J256" s="872"/>
      <c r="K256" s="872"/>
      <c r="L256" s="872"/>
      <c r="M256" s="872"/>
      <c r="N256" s="872"/>
      <c r="O256" s="872"/>
      <c r="P256" s="872"/>
      <c r="Q256" s="872"/>
      <c r="R256" s="872"/>
      <c r="S256" s="872"/>
      <c r="T256" s="872"/>
      <c r="U256" s="872"/>
      <c r="V256" s="872"/>
      <c r="W256" s="872"/>
      <c r="X256" s="872"/>
      <c r="Y256" s="872"/>
      <c r="Z256" s="872"/>
    </row>
    <row r="257" ht="14.25" customHeight="1">
      <c r="A257" s="872"/>
      <c r="B257" s="872"/>
      <c r="C257" s="872"/>
      <c r="D257" s="872"/>
      <c r="E257" s="872"/>
      <c r="F257" s="872"/>
      <c r="G257" s="872"/>
      <c r="H257" s="872"/>
      <c r="I257" s="872"/>
      <c r="J257" s="872"/>
      <c r="K257" s="872"/>
      <c r="L257" s="872"/>
      <c r="M257" s="872"/>
      <c r="N257" s="872"/>
      <c r="O257" s="872"/>
      <c r="P257" s="872"/>
      <c r="Q257" s="872"/>
      <c r="R257" s="872"/>
      <c r="S257" s="872"/>
      <c r="T257" s="872"/>
      <c r="U257" s="872"/>
      <c r="V257" s="872"/>
      <c r="W257" s="872"/>
      <c r="X257" s="872"/>
      <c r="Y257" s="872"/>
      <c r="Z257" s="872"/>
    </row>
    <row r="258" ht="14.25" customHeight="1">
      <c r="A258" s="872"/>
      <c r="B258" s="872"/>
      <c r="C258" s="872"/>
      <c r="D258" s="872"/>
      <c r="E258" s="872"/>
      <c r="F258" s="872"/>
      <c r="G258" s="872"/>
      <c r="H258" s="872"/>
      <c r="I258" s="872"/>
      <c r="J258" s="872"/>
      <c r="K258" s="872"/>
      <c r="L258" s="872"/>
      <c r="M258" s="872"/>
      <c r="N258" s="872"/>
      <c r="O258" s="872"/>
      <c r="P258" s="872"/>
      <c r="Q258" s="872"/>
      <c r="R258" s="872"/>
      <c r="S258" s="872"/>
      <c r="T258" s="872"/>
      <c r="U258" s="872"/>
      <c r="V258" s="872"/>
      <c r="W258" s="872"/>
      <c r="X258" s="872"/>
      <c r="Y258" s="872"/>
      <c r="Z258" s="872"/>
    </row>
    <row r="259" ht="14.25" customHeight="1">
      <c r="A259" s="872"/>
      <c r="B259" s="872"/>
      <c r="C259" s="872"/>
      <c r="D259" s="872"/>
      <c r="E259" s="872"/>
      <c r="F259" s="872"/>
      <c r="G259" s="872"/>
      <c r="H259" s="872"/>
      <c r="I259" s="872"/>
      <c r="J259" s="872"/>
      <c r="K259" s="872"/>
      <c r="L259" s="872"/>
      <c r="M259" s="872"/>
      <c r="N259" s="872"/>
      <c r="O259" s="872"/>
      <c r="P259" s="872"/>
      <c r="Q259" s="872"/>
      <c r="R259" s="872"/>
      <c r="S259" s="872"/>
      <c r="T259" s="872"/>
      <c r="U259" s="872"/>
      <c r="V259" s="872"/>
      <c r="W259" s="872"/>
      <c r="X259" s="872"/>
      <c r="Y259" s="872"/>
      <c r="Z259" s="872"/>
    </row>
    <row r="260" ht="14.25" customHeight="1">
      <c r="A260" s="872"/>
      <c r="B260" s="872"/>
      <c r="C260" s="872"/>
      <c r="D260" s="872"/>
      <c r="E260" s="872"/>
      <c r="F260" s="872"/>
      <c r="G260" s="872"/>
      <c r="H260" s="872"/>
      <c r="I260" s="872"/>
      <c r="J260" s="872"/>
      <c r="K260" s="872"/>
      <c r="L260" s="872"/>
      <c r="M260" s="872"/>
      <c r="N260" s="872"/>
      <c r="O260" s="872"/>
      <c r="P260" s="872"/>
      <c r="Q260" s="872"/>
      <c r="R260" s="872"/>
      <c r="S260" s="872"/>
      <c r="T260" s="872"/>
      <c r="U260" s="872"/>
      <c r="V260" s="872"/>
      <c r="W260" s="872"/>
      <c r="X260" s="872"/>
      <c r="Y260" s="872"/>
      <c r="Z260" s="872"/>
    </row>
    <row r="261" ht="14.25" customHeight="1">
      <c r="A261" s="872"/>
      <c r="B261" s="872"/>
      <c r="C261" s="872"/>
      <c r="D261" s="872"/>
      <c r="E261" s="872"/>
      <c r="F261" s="872"/>
      <c r="G261" s="872"/>
      <c r="H261" s="872"/>
      <c r="I261" s="872"/>
      <c r="J261" s="872"/>
      <c r="K261" s="872"/>
      <c r="L261" s="872"/>
      <c r="M261" s="872"/>
      <c r="N261" s="872"/>
      <c r="O261" s="872"/>
      <c r="P261" s="872"/>
      <c r="Q261" s="872"/>
      <c r="R261" s="872"/>
      <c r="S261" s="872"/>
      <c r="T261" s="872"/>
      <c r="U261" s="872"/>
      <c r="V261" s="872"/>
      <c r="W261" s="872"/>
      <c r="X261" s="872"/>
      <c r="Y261" s="872"/>
      <c r="Z261" s="872"/>
    </row>
    <row r="262" ht="14.25" customHeight="1">
      <c r="A262" s="872"/>
      <c r="B262" s="872"/>
      <c r="C262" s="872"/>
      <c r="D262" s="872"/>
      <c r="E262" s="872"/>
      <c r="F262" s="872"/>
      <c r="G262" s="872"/>
      <c r="H262" s="872"/>
      <c r="I262" s="872"/>
      <c r="J262" s="872"/>
      <c r="K262" s="872"/>
      <c r="L262" s="872"/>
      <c r="M262" s="872"/>
      <c r="N262" s="872"/>
      <c r="O262" s="872"/>
      <c r="P262" s="872"/>
      <c r="Q262" s="872"/>
      <c r="R262" s="872"/>
      <c r="S262" s="872"/>
      <c r="T262" s="872"/>
      <c r="U262" s="872"/>
      <c r="V262" s="872"/>
      <c r="W262" s="872"/>
      <c r="X262" s="872"/>
      <c r="Y262" s="872"/>
      <c r="Z262" s="872"/>
    </row>
    <row r="263" ht="14.25" customHeight="1">
      <c r="A263" s="872"/>
      <c r="B263" s="872"/>
      <c r="C263" s="872"/>
      <c r="D263" s="872"/>
      <c r="E263" s="872"/>
      <c r="F263" s="872"/>
      <c r="G263" s="872"/>
      <c r="H263" s="872"/>
      <c r="I263" s="872"/>
      <c r="J263" s="872"/>
      <c r="K263" s="872"/>
      <c r="L263" s="872"/>
      <c r="M263" s="872"/>
      <c r="N263" s="872"/>
      <c r="O263" s="872"/>
      <c r="P263" s="872"/>
      <c r="Q263" s="872"/>
      <c r="R263" s="872"/>
      <c r="S263" s="872"/>
      <c r="T263" s="872"/>
      <c r="U263" s="872"/>
      <c r="V263" s="872"/>
      <c r="W263" s="872"/>
      <c r="X263" s="872"/>
      <c r="Y263" s="872"/>
      <c r="Z263" s="872"/>
    </row>
    <row r="264" ht="14.25" customHeight="1">
      <c r="A264" s="872"/>
      <c r="B264" s="872"/>
      <c r="C264" s="872"/>
      <c r="D264" s="872"/>
      <c r="E264" s="872"/>
      <c r="F264" s="872"/>
      <c r="G264" s="872"/>
      <c r="H264" s="872"/>
      <c r="I264" s="872"/>
      <c r="J264" s="872"/>
      <c r="K264" s="872"/>
      <c r="L264" s="872"/>
      <c r="M264" s="872"/>
      <c r="N264" s="872"/>
      <c r="O264" s="872"/>
      <c r="P264" s="872"/>
      <c r="Q264" s="872"/>
      <c r="R264" s="872"/>
      <c r="S264" s="872"/>
      <c r="T264" s="872"/>
      <c r="U264" s="872"/>
      <c r="V264" s="872"/>
      <c r="W264" s="872"/>
      <c r="X264" s="872"/>
      <c r="Y264" s="872"/>
      <c r="Z264" s="872"/>
    </row>
    <row r="265" ht="14.25" customHeight="1">
      <c r="A265" s="872"/>
      <c r="B265" s="872"/>
      <c r="C265" s="872"/>
      <c r="D265" s="872"/>
      <c r="E265" s="872"/>
      <c r="F265" s="872"/>
      <c r="G265" s="872"/>
      <c r="H265" s="872"/>
      <c r="I265" s="872"/>
      <c r="J265" s="872"/>
      <c r="K265" s="872"/>
      <c r="L265" s="872"/>
      <c r="M265" s="872"/>
      <c r="N265" s="872"/>
      <c r="O265" s="872"/>
      <c r="P265" s="872"/>
      <c r="Q265" s="872"/>
      <c r="R265" s="872"/>
      <c r="S265" s="872"/>
      <c r="T265" s="872"/>
      <c r="U265" s="872"/>
      <c r="V265" s="872"/>
      <c r="W265" s="872"/>
      <c r="X265" s="872"/>
      <c r="Y265" s="872"/>
      <c r="Z265" s="872"/>
    </row>
    <row r="266" ht="14.25" customHeight="1">
      <c r="A266" s="872"/>
      <c r="B266" s="872"/>
      <c r="C266" s="872"/>
      <c r="D266" s="872"/>
      <c r="E266" s="872"/>
      <c r="F266" s="872"/>
      <c r="G266" s="872"/>
      <c r="H266" s="872"/>
      <c r="I266" s="872"/>
      <c r="J266" s="872"/>
      <c r="K266" s="872"/>
      <c r="L266" s="872"/>
      <c r="M266" s="872"/>
      <c r="N266" s="872"/>
      <c r="O266" s="872"/>
      <c r="P266" s="872"/>
      <c r="Q266" s="872"/>
      <c r="R266" s="872"/>
      <c r="S266" s="872"/>
      <c r="T266" s="872"/>
      <c r="U266" s="872"/>
      <c r="V266" s="872"/>
      <c r="W266" s="872"/>
      <c r="X266" s="872"/>
      <c r="Y266" s="872"/>
      <c r="Z266" s="872"/>
    </row>
    <row r="267" ht="14.25" customHeight="1">
      <c r="A267" s="872"/>
      <c r="B267" s="872"/>
      <c r="C267" s="872"/>
      <c r="D267" s="872"/>
      <c r="E267" s="872"/>
      <c r="F267" s="872"/>
      <c r="G267" s="872"/>
      <c r="H267" s="872"/>
      <c r="I267" s="872"/>
      <c r="J267" s="872"/>
      <c r="K267" s="872"/>
      <c r="L267" s="872"/>
      <c r="M267" s="872"/>
      <c r="N267" s="872"/>
      <c r="O267" s="872"/>
      <c r="P267" s="872"/>
      <c r="Q267" s="872"/>
      <c r="R267" s="872"/>
      <c r="S267" s="872"/>
      <c r="T267" s="872"/>
      <c r="U267" s="872"/>
      <c r="V267" s="872"/>
      <c r="W267" s="872"/>
      <c r="X267" s="872"/>
      <c r="Y267" s="872"/>
      <c r="Z267" s="872"/>
    </row>
    <row r="268" ht="14.25" customHeight="1">
      <c r="A268" s="872"/>
      <c r="B268" s="872"/>
      <c r="C268" s="872"/>
      <c r="D268" s="872"/>
      <c r="E268" s="872"/>
      <c r="F268" s="872"/>
      <c r="G268" s="872"/>
      <c r="H268" s="872"/>
      <c r="I268" s="872"/>
      <c r="J268" s="872"/>
      <c r="K268" s="872"/>
      <c r="L268" s="872"/>
      <c r="M268" s="872"/>
      <c r="N268" s="872"/>
      <c r="O268" s="872"/>
      <c r="P268" s="872"/>
      <c r="Q268" s="872"/>
      <c r="R268" s="872"/>
      <c r="S268" s="872"/>
      <c r="T268" s="872"/>
      <c r="U268" s="872"/>
      <c r="V268" s="872"/>
      <c r="W268" s="872"/>
      <c r="X268" s="872"/>
      <c r="Y268" s="872"/>
      <c r="Z268" s="872"/>
    </row>
    <row r="269" ht="14.25" customHeight="1">
      <c r="A269" s="872"/>
      <c r="B269" s="872"/>
      <c r="C269" s="872"/>
      <c r="D269" s="872"/>
      <c r="E269" s="872"/>
      <c r="F269" s="872"/>
      <c r="G269" s="872"/>
      <c r="H269" s="872"/>
      <c r="I269" s="872"/>
      <c r="J269" s="872"/>
      <c r="K269" s="872"/>
      <c r="L269" s="872"/>
      <c r="M269" s="872"/>
      <c r="N269" s="872"/>
      <c r="O269" s="872"/>
      <c r="P269" s="872"/>
      <c r="Q269" s="872"/>
      <c r="R269" s="872"/>
      <c r="S269" s="872"/>
      <c r="T269" s="872"/>
      <c r="U269" s="872"/>
      <c r="V269" s="872"/>
      <c r="W269" s="872"/>
      <c r="X269" s="872"/>
      <c r="Y269" s="872"/>
      <c r="Z269" s="872"/>
    </row>
    <row r="270" ht="14.25" customHeight="1">
      <c r="A270" s="872"/>
      <c r="B270" s="872"/>
      <c r="C270" s="872"/>
      <c r="D270" s="872"/>
      <c r="E270" s="872"/>
      <c r="F270" s="872"/>
      <c r="G270" s="872"/>
      <c r="H270" s="872"/>
      <c r="I270" s="872"/>
      <c r="J270" s="872"/>
      <c r="K270" s="872"/>
      <c r="L270" s="872"/>
      <c r="M270" s="872"/>
      <c r="N270" s="872"/>
      <c r="O270" s="872"/>
      <c r="P270" s="872"/>
      <c r="Q270" s="872"/>
      <c r="R270" s="872"/>
      <c r="S270" s="872"/>
      <c r="T270" s="872"/>
      <c r="U270" s="872"/>
      <c r="V270" s="872"/>
      <c r="W270" s="872"/>
      <c r="X270" s="872"/>
      <c r="Y270" s="872"/>
      <c r="Z270" s="872"/>
    </row>
    <row r="271" ht="14.25" customHeight="1">
      <c r="A271" s="872"/>
      <c r="B271" s="872"/>
      <c r="C271" s="872"/>
      <c r="D271" s="872"/>
      <c r="E271" s="872"/>
      <c r="F271" s="872"/>
      <c r="G271" s="872"/>
      <c r="H271" s="872"/>
      <c r="I271" s="872"/>
      <c r="J271" s="872"/>
      <c r="K271" s="872"/>
      <c r="L271" s="872"/>
      <c r="M271" s="872"/>
      <c r="N271" s="872"/>
      <c r="O271" s="872"/>
      <c r="P271" s="872"/>
      <c r="Q271" s="872"/>
      <c r="R271" s="872"/>
      <c r="S271" s="872"/>
      <c r="T271" s="872"/>
      <c r="U271" s="872"/>
      <c r="V271" s="872"/>
      <c r="W271" s="872"/>
      <c r="X271" s="872"/>
      <c r="Y271" s="872"/>
      <c r="Z271" s="872"/>
    </row>
    <row r="272" ht="14.25" customHeight="1">
      <c r="A272" s="872"/>
      <c r="B272" s="872"/>
      <c r="C272" s="872"/>
      <c r="D272" s="872"/>
      <c r="E272" s="872"/>
      <c r="F272" s="872"/>
      <c r="G272" s="872"/>
      <c r="H272" s="872"/>
      <c r="I272" s="872"/>
      <c r="J272" s="872"/>
      <c r="K272" s="872"/>
      <c r="L272" s="872"/>
      <c r="M272" s="872"/>
      <c r="N272" s="872"/>
      <c r="O272" s="872"/>
      <c r="P272" s="872"/>
      <c r="Q272" s="872"/>
      <c r="R272" s="872"/>
      <c r="S272" s="872"/>
      <c r="T272" s="872"/>
      <c r="U272" s="872"/>
      <c r="V272" s="872"/>
      <c r="W272" s="872"/>
      <c r="X272" s="872"/>
      <c r="Y272" s="872"/>
      <c r="Z272" s="872"/>
    </row>
    <row r="273" ht="14.25" customHeight="1">
      <c r="A273" s="872"/>
      <c r="B273" s="872"/>
      <c r="C273" s="872"/>
      <c r="D273" s="872"/>
      <c r="E273" s="872"/>
      <c r="F273" s="872"/>
      <c r="G273" s="872"/>
      <c r="H273" s="872"/>
      <c r="I273" s="872"/>
      <c r="J273" s="872"/>
      <c r="K273" s="872"/>
      <c r="L273" s="872"/>
      <c r="M273" s="872"/>
      <c r="N273" s="872"/>
      <c r="O273" s="872"/>
      <c r="P273" s="872"/>
      <c r="Q273" s="872"/>
      <c r="R273" s="872"/>
      <c r="S273" s="872"/>
      <c r="T273" s="872"/>
      <c r="U273" s="872"/>
      <c r="V273" s="872"/>
      <c r="W273" s="872"/>
      <c r="X273" s="872"/>
      <c r="Y273" s="872"/>
      <c r="Z273" s="872"/>
    </row>
    <row r="274" ht="14.25" customHeight="1">
      <c r="A274" s="872"/>
      <c r="B274" s="872"/>
      <c r="C274" s="872"/>
      <c r="D274" s="872"/>
      <c r="E274" s="872"/>
      <c r="F274" s="872"/>
      <c r="G274" s="872"/>
      <c r="H274" s="872"/>
      <c r="I274" s="872"/>
      <c r="J274" s="872"/>
      <c r="K274" s="872"/>
      <c r="L274" s="872"/>
      <c r="M274" s="872"/>
      <c r="N274" s="872"/>
      <c r="O274" s="872"/>
      <c r="P274" s="872"/>
      <c r="Q274" s="872"/>
      <c r="R274" s="872"/>
      <c r="S274" s="872"/>
      <c r="T274" s="872"/>
      <c r="U274" s="872"/>
      <c r="V274" s="872"/>
      <c r="W274" s="872"/>
      <c r="X274" s="872"/>
      <c r="Y274" s="872"/>
      <c r="Z274" s="872"/>
    </row>
    <row r="275" ht="14.25" customHeight="1">
      <c r="A275" s="872"/>
      <c r="B275" s="872"/>
      <c r="C275" s="872"/>
      <c r="D275" s="872"/>
      <c r="E275" s="872"/>
      <c r="F275" s="872"/>
      <c r="G275" s="872"/>
      <c r="H275" s="872"/>
      <c r="I275" s="872"/>
      <c r="J275" s="872"/>
      <c r="K275" s="872"/>
      <c r="L275" s="872"/>
      <c r="M275" s="872"/>
      <c r="N275" s="872"/>
      <c r="O275" s="872"/>
      <c r="P275" s="872"/>
      <c r="Q275" s="872"/>
      <c r="R275" s="872"/>
      <c r="S275" s="872"/>
      <c r="T275" s="872"/>
      <c r="U275" s="872"/>
      <c r="V275" s="872"/>
      <c r="W275" s="872"/>
      <c r="X275" s="872"/>
      <c r="Y275" s="872"/>
      <c r="Z275" s="872"/>
    </row>
    <row r="276" ht="14.25" customHeight="1">
      <c r="A276" s="872"/>
      <c r="B276" s="872"/>
      <c r="C276" s="872"/>
      <c r="D276" s="872"/>
      <c r="E276" s="872"/>
      <c r="F276" s="872"/>
      <c r="G276" s="872"/>
      <c r="H276" s="872"/>
      <c r="I276" s="872"/>
      <c r="J276" s="872"/>
      <c r="K276" s="872"/>
      <c r="L276" s="872"/>
      <c r="M276" s="872"/>
      <c r="N276" s="872"/>
      <c r="O276" s="872"/>
      <c r="P276" s="872"/>
      <c r="Q276" s="872"/>
      <c r="R276" s="872"/>
      <c r="S276" s="872"/>
      <c r="T276" s="872"/>
      <c r="U276" s="872"/>
      <c r="V276" s="872"/>
      <c r="W276" s="872"/>
      <c r="X276" s="872"/>
      <c r="Y276" s="872"/>
      <c r="Z276" s="872"/>
    </row>
    <row r="277" ht="14.25" customHeight="1">
      <c r="A277" s="872"/>
      <c r="B277" s="872"/>
      <c r="C277" s="872"/>
      <c r="D277" s="872"/>
      <c r="E277" s="872"/>
      <c r="F277" s="872"/>
      <c r="G277" s="872"/>
      <c r="H277" s="872"/>
      <c r="I277" s="872"/>
      <c r="J277" s="872"/>
      <c r="K277" s="872"/>
      <c r="L277" s="872"/>
      <c r="M277" s="872"/>
      <c r="N277" s="872"/>
      <c r="O277" s="872"/>
      <c r="P277" s="872"/>
      <c r="Q277" s="872"/>
      <c r="R277" s="872"/>
      <c r="S277" s="872"/>
      <c r="T277" s="872"/>
      <c r="U277" s="872"/>
      <c r="V277" s="872"/>
      <c r="W277" s="872"/>
      <c r="X277" s="872"/>
      <c r="Y277" s="872"/>
      <c r="Z277" s="872"/>
    </row>
    <row r="278" ht="14.25" customHeight="1">
      <c r="A278" s="872"/>
      <c r="B278" s="872"/>
      <c r="C278" s="872"/>
      <c r="D278" s="872"/>
      <c r="E278" s="872"/>
      <c r="F278" s="872"/>
      <c r="G278" s="872"/>
      <c r="H278" s="872"/>
      <c r="I278" s="872"/>
      <c r="J278" s="872"/>
      <c r="K278" s="872"/>
      <c r="L278" s="872"/>
      <c r="M278" s="872"/>
      <c r="N278" s="872"/>
      <c r="O278" s="872"/>
      <c r="P278" s="872"/>
      <c r="Q278" s="872"/>
      <c r="R278" s="872"/>
      <c r="S278" s="872"/>
      <c r="T278" s="872"/>
      <c r="U278" s="872"/>
      <c r="V278" s="872"/>
      <c r="W278" s="872"/>
      <c r="X278" s="872"/>
      <c r="Y278" s="872"/>
      <c r="Z278" s="872"/>
    </row>
    <row r="279" ht="14.25" customHeight="1">
      <c r="A279" s="872"/>
      <c r="B279" s="872"/>
      <c r="C279" s="872"/>
      <c r="D279" s="872"/>
      <c r="E279" s="872"/>
      <c r="F279" s="872"/>
      <c r="G279" s="872"/>
      <c r="H279" s="872"/>
      <c r="I279" s="872"/>
      <c r="J279" s="872"/>
      <c r="K279" s="872"/>
      <c r="L279" s="872"/>
      <c r="M279" s="872"/>
      <c r="N279" s="872"/>
      <c r="O279" s="872"/>
      <c r="P279" s="872"/>
      <c r="Q279" s="872"/>
      <c r="R279" s="872"/>
      <c r="S279" s="872"/>
      <c r="T279" s="872"/>
      <c r="U279" s="872"/>
      <c r="V279" s="872"/>
      <c r="W279" s="872"/>
      <c r="X279" s="872"/>
      <c r="Y279" s="872"/>
      <c r="Z279" s="872"/>
    </row>
    <row r="280" ht="14.25" customHeight="1">
      <c r="A280" s="872"/>
      <c r="B280" s="872"/>
      <c r="C280" s="872"/>
      <c r="D280" s="872"/>
      <c r="E280" s="872"/>
      <c r="F280" s="872"/>
      <c r="G280" s="872"/>
      <c r="H280" s="872"/>
      <c r="I280" s="872"/>
      <c r="J280" s="872"/>
      <c r="K280" s="872"/>
      <c r="L280" s="872"/>
      <c r="M280" s="872"/>
      <c r="N280" s="872"/>
      <c r="O280" s="872"/>
      <c r="P280" s="872"/>
      <c r="Q280" s="872"/>
      <c r="R280" s="872"/>
      <c r="S280" s="872"/>
      <c r="T280" s="872"/>
      <c r="U280" s="872"/>
      <c r="V280" s="872"/>
      <c r="W280" s="872"/>
      <c r="X280" s="872"/>
      <c r="Y280" s="872"/>
      <c r="Z280" s="872"/>
    </row>
    <row r="281" ht="14.25" customHeight="1">
      <c r="A281" s="872"/>
      <c r="B281" s="872"/>
      <c r="C281" s="872"/>
      <c r="D281" s="872"/>
      <c r="E281" s="872"/>
      <c r="F281" s="872"/>
      <c r="G281" s="872"/>
      <c r="H281" s="872"/>
      <c r="I281" s="872"/>
      <c r="J281" s="872"/>
      <c r="K281" s="872"/>
      <c r="L281" s="872"/>
      <c r="M281" s="872"/>
      <c r="N281" s="872"/>
      <c r="O281" s="872"/>
      <c r="P281" s="872"/>
      <c r="Q281" s="872"/>
      <c r="R281" s="872"/>
      <c r="S281" s="872"/>
      <c r="T281" s="872"/>
      <c r="U281" s="872"/>
      <c r="V281" s="872"/>
      <c r="W281" s="872"/>
      <c r="X281" s="872"/>
      <c r="Y281" s="872"/>
      <c r="Z281" s="872"/>
    </row>
    <row r="282" ht="14.25" customHeight="1">
      <c r="A282" s="872"/>
      <c r="B282" s="872"/>
      <c r="C282" s="872"/>
      <c r="D282" s="872"/>
      <c r="E282" s="872"/>
      <c r="F282" s="872"/>
      <c r="G282" s="872"/>
      <c r="H282" s="872"/>
      <c r="I282" s="872"/>
      <c r="J282" s="872"/>
      <c r="K282" s="872"/>
      <c r="L282" s="872"/>
      <c r="M282" s="872"/>
      <c r="N282" s="872"/>
      <c r="O282" s="872"/>
      <c r="P282" s="872"/>
      <c r="Q282" s="872"/>
      <c r="R282" s="872"/>
      <c r="S282" s="872"/>
      <c r="T282" s="872"/>
      <c r="U282" s="872"/>
      <c r="V282" s="872"/>
      <c r="W282" s="872"/>
      <c r="X282" s="872"/>
      <c r="Y282" s="872"/>
      <c r="Z282" s="872"/>
    </row>
    <row r="283" ht="14.25" customHeight="1">
      <c r="A283" s="872"/>
      <c r="B283" s="872"/>
      <c r="C283" s="872"/>
      <c r="D283" s="872"/>
      <c r="E283" s="872"/>
      <c r="F283" s="872"/>
      <c r="G283" s="872"/>
      <c r="H283" s="872"/>
      <c r="I283" s="872"/>
      <c r="J283" s="872"/>
      <c r="K283" s="872"/>
      <c r="L283" s="872"/>
      <c r="M283" s="872"/>
      <c r="N283" s="872"/>
      <c r="O283" s="872"/>
      <c r="P283" s="872"/>
      <c r="Q283" s="872"/>
      <c r="R283" s="872"/>
      <c r="S283" s="872"/>
      <c r="T283" s="872"/>
      <c r="U283" s="872"/>
      <c r="V283" s="872"/>
      <c r="W283" s="872"/>
      <c r="X283" s="872"/>
      <c r="Y283" s="872"/>
      <c r="Z283" s="872"/>
    </row>
    <row r="284" ht="14.25" customHeight="1">
      <c r="A284" s="872"/>
      <c r="B284" s="872"/>
      <c r="C284" s="872"/>
      <c r="D284" s="872"/>
      <c r="E284" s="872"/>
      <c r="F284" s="872"/>
      <c r="G284" s="872"/>
      <c r="H284" s="872"/>
      <c r="I284" s="872"/>
      <c r="J284" s="872"/>
      <c r="K284" s="872"/>
      <c r="L284" s="872"/>
      <c r="M284" s="872"/>
      <c r="N284" s="872"/>
      <c r="O284" s="872"/>
      <c r="P284" s="872"/>
      <c r="Q284" s="872"/>
      <c r="R284" s="872"/>
      <c r="S284" s="872"/>
      <c r="T284" s="872"/>
      <c r="U284" s="872"/>
      <c r="V284" s="872"/>
      <c r="W284" s="872"/>
      <c r="X284" s="872"/>
      <c r="Y284" s="872"/>
      <c r="Z284" s="872"/>
    </row>
    <row r="285" ht="14.25" customHeight="1">
      <c r="A285" s="872"/>
      <c r="B285" s="872"/>
      <c r="C285" s="872"/>
      <c r="D285" s="872"/>
      <c r="E285" s="872"/>
      <c r="F285" s="872"/>
      <c r="G285" s="872"/>
      <c r="H285" s="872"/>
      <c r="I285" s="872"/>
      <c r="J285" s="872"/>
      <c r="K285" s="872"/>
      <c r="L285" s="872"/>
      <c r="M285" s="872"/>
      <c r="N285" s="872"/>
      <c r="O285" s="872"/>
      <c r="P285" s="872"/>
      <c r="Q285" s="872"/>
      <c r="R285" s="872"/>
      <c r="S285" s="872"/>
      <c r="T285" s="872"/>
      <c r="U285" s="872"/>
      <c r="V285" s="872"/>
      <c r="W285" s="872"/>
      <c r="X285" s="872"/>
      <c r="Y285" s="872"/>
      <c r="Z285" s="872"/>
    </row>
    <row r="286" ht="14.25" customHeight="1">
      <c r="A286" s="872"/>
      <c r="B286" s="872"/>
      <c r="C286" s="872"/>
      <c r="D286" s="872"/>
      <c r="E286" s="872"/>
      <c r="F286" s="872"/>
      <c r="G286" s="872"/>
      <c r="H286" s="872"/>
      <c r="I286" s="872"/>
      <c r="J286" s="872"/>
      <c r="K286" s="872"/>
      <c r="L286" s="872"/>
      <c r="M286" s="872"/>
      <c r="N286" s="872"/>
      <c r="O286" s="872"/>
      <c r="P286" s="872"/>
      <c r="Q286" s="872"/>
      <c r="R286" s="872"/>
      <c r="S286" s="872"/>
      <c r="T286" s="872"/>
      <c r="U286" s="872"/>
      <c r="V286" s="872"/>
      <c r="W286" s="872"/>
      <c r="X286" s="872"/>
      <c r="Y286" s="872"/>
      <c r="Z286" s="872"/>
    </row>
    <row r="287" ht="14.25" customHeight="1">
      <c r="A287" s="872"/>
      <c r="B287" s="872"/>
      <c r="C287" s="872"/>
      <c r="D287" s="872"/>
      <c r="E287" s="872"/>
      <c r="F287" s="872"/>
      <c r="G287" s="872"/>
      <c r="H287" s="872"/>
      <c r="I287" s="872"/>
      <c r="J287" s="872"/>
      <c r="K287" s="872"/>
      <c r="L287" s="872"/>
      <c r="M287" s="872"/>
      <c r="N287" s="872"/>
      <c r="O287" s="872"/>
      <c r="P287" s="872"/>
      <c r="Q287" s="872"/>
      <c r="R287" s="872"/>
      <c r="S287" s="872"/>
      <c r="T287" s="872"/>
      <c r="U287" s="872"/>
      <c r="V287" s="872"/>
      <c r="W287" s="872"/>
      <c r="X287" s="872"/>
      <c r="Y287" s="872"/>
      <c r="Z287" s="872"/>
    </row>
    <row r="288" ht="14.25" customHeight="1">
      <c r="A288" s="872"/>
      <c r="B288" s="872"/>
      <c r="C288" s="872"/>
      <c r="D288" s="872"/>
      <c r="E288" s="872"/>
      <c r="F288" s="872"/>
      <c r="G288" s="872"/>
      <c r="H288" s="872"/>
      <c r="I288" s="872"/>
      <c r="J288" s="872"/>
      <c r="K288" s="872"/>
      <c r="L288" s="872"/>
      <c r="M288" s="872"/>
      <c r="N288" s="872"/>
      <c r="O288" s="872"/>
      <c r="P288" s="872"/>
      <c r="Q288" s="872"/>
      <c r="R288" s="872"/>
      <c r="S288" s="872"/>
      <c r="T288" s="872"/>
      <c r="U288" s="872"/>
      <c r="V288" s="872"/>
      <c r="W288" s="872"/>
      <c r="X288" s="872"/>
      <c r="Y288" s="872"/>
      <c r="Z288" s="872"/>
    </row>
    <row r="289" ht="14.25" customHeight="1">
      <c r="A289" s="872"/>
      <c r="B289" s="872"/>
      <c r="C289" s="872"/>
      <c r="D289" s="872"/>
      <c r="E289" s="872"/>
      <c r="F289" s="872"/>
      <c r="G289" s="872"/>
      <c r="H289" s="872"/>
      <c r="I289" s="872"/>
      <c r="J289" s="872"/>
      <c r="K289" s="872"/>
      <c r="L289" s="872"/>
      <c r="M289" s="872"/>
      <c r="N289" s="872"/>
      <c r="O289" s="872"/>
      <c r="P289" s="872"/>
      <c r="Q289" s="872"/>
      <c r="R289" s="872"/>
      <c r="S289" s="872"/>
      <c r="T289" s="872"/>
      <c r="U289" s="872"/>
      <c r="V289" s="872"/>
      <c r="W289" s="872"/>
      <c r="X289" s="872"/>
      <c r="Y289" s="872"/>
      <c r="Z289" s="872"/>
    </row>
    <row r="290" ht="14.25" customHeight="1">
      <c r="A290" s="872"/>
      <c r="B290" s="872"/>
      <c r="C290" s="872"/>
      <c r="D290" s="872"/>
      <c r="E290" s="872"/>
      <c r="F290" s="872"/>
      <c r="G290" s="872"/>
      <c r="H290" s="872"/>
      <c r="I290" s="872"/>
      <c r="J290" s="872"/>
      <c r="K290" s="872"/>
      <c r="L290" s="872"/>
      <c r="M290" s="872"/>
      <c r="N290" s="872"/>
      <c r="O290" s="872"/>
      <c r="P290" s="872"/>
      <c r="Q290" s="872"/>
      <c r="R290" s="872"/>
      <c r="S290" s="872"/>
      <c r="T290" s="872"/>
      <c r="U290" s="872"/>
      <c r="V290" s="872"/>
      <c r="W290" s="872"/>
      <c r="X290" s="872"/>
      <c r="Y290" s="872"/>
      <c r="Z290" s="872"/>
    </row>
    <row r="291" ht="14.25" customHeight="1">
      <c r="A291" s="872"/>
      <c r="B291" s="872"/>
      <c r="C291" s="872"/>
      <c r="D291" s="872"/>
      <c r="E291" s="872"/>
      <c r="F291" s="872"/>
      <c r="G291" s="872"/>
      <c r="H291" s="872"/>
      <c r="I291" s="872"/>
      <c r="J291" s="872"/>
      <c r="K291" s="872"/>
      <c r="L291" s="872"/>
      <c r="M291" s="872"/>
      <c r="N291" s="872"/>
      <c r="O291" s="872"/>
      <c r="P291" s="872"/>
      <c r="Q291" s="872"/>
      <c r="R291" s="872"/>
      <c r="S291" s="872"/>
      <c r="T291" s="872"/>
      <c r="U291" s="872"/>
      <c r="V291" s="872"/>
      <c r="W291" s="872"/>
      <c r="X291" s="872"/>
      <c r="Y291" s="872"/>
      <c r="Z291" s="872"/>
    </row>
    <row r="292" ht="14.25" customHeight="1">
      <c r="A292" s="872"/>
      <c r="B292" s="872"/>
      <c r="C292" s="872"/>
      <c r="D292" s="872"/>
      <c r="E292" s="872"/>
      <c r="F292" s="872"/>
      <c r="G292" s="872"/>
      <c r="H292" s="872"/>
      <c r="I292" s="872"/>
      <c r="J292" s="872"/>
      <c r="K292" s="872"/>
      <c r="L292" s="872"/>
      <c r="M292" s="872"/>
      <c r="N292" s="872"/>
      <c r="O292" s="872"/>
      <c r="P292" s="872"/>
      <c r="Q292" s="872"/>
      <c r="R292" s="872"/>
      <c r="S292" s="872"/>
      <c r="T292" s="872"/>
      <c r="U292" s="872"/>
      <c r="V292" s="872"/>
      <c r="W292" s="872"/>
      <c r="X292" s="872"/>
      <c r="Y292" s="872"/>
      <c r="Z292" s="872"/>
    </row>
    <row r="293" ht="14.25" customHeight="1">
      <c r="A293" s="872"/>
      <c r="B293" s="872"/>
      <c r="C293" s="872"/>
      <c r="D293" s="872"/>
      <c r="E293" s="872"/>
      <c r="F293" s="872"/>
      <c r="G293" s="872"/>
      <c r="H293" s="872"/>
      <c r="I293" s="872"/>
      <c r="J293" s="872"/>
      <c r="K293" s="872"/>
      <c r="L293" s="872"/>
      <c r="M293" s="872"/>
      <c r="N293" s="872"/>
      <c r="O293" s="872"/>
      <c r="P293" s="872"/>
      <c r="Q293" s="872"/>
      <c r="R293" s="872"/>
      <c r="S293" s="872"/>
      <c r="T293" s="872"/>
      <c r="U293" s="872"/>
      <c r="V293" s="872"/>
      <c r="W293" s="872"/>
      <c r="X293" s="872"/>
      <c r="Y293" s="872"/>
      <c r="Z293" s="872"/>
    </row>
    <row r="294" ht="14.25" customHeight="1">
      <c r="A294" s="872"/>
      <c r="B294" s="872"/>
      <c r="C294" s="872"/>
      <c r="D294" s="872"/>
      <c r="E294" s="872"/>
      <c r="F294" s="872"/>
      <c r="G294" s="872"/>
      <c r="H294" s="872"/>
      <c r="I294" s="872"/>
      <c r="J294" s="872"/>
      <c r="K294" s="872"/>
      <c r="L294" s="872"/>
      <c r="M294" s="872"/>
      <c r="N294" s="872"/>
      <c r="O294" s="872"/>
      <c r="P294" s="872"/>
      <c r="Q294" s="872"/>
      <c r="R294" s="872"/>
      <c r="S294" s="872"/>
      <c r="T294" s="872"/>
      <c r="U294" s="872"/>
      <c r="V294" s="872"/>
      <c r="W294" s="872"/>
      <c r="X294" s="872"/>
      <c r="Y294" s="872"/>
      <c r="Z294" s="872"/>
    </row>
    <row r="295" ht="14.25" customHeight="1">
      <c r="A295" s="872"/>
      <c r="B295" s="872"/>
      <c r="C295" s="872"/>
      <c r="D295" s="872"/>
      <c r="E295" s="872"/>
      <c r="F295" s="872"/>
      <c r="G295" s="872"/>
      <c r="H295" s="872"/>
      <c r="I295" s="872"/>
      <c r="J295" s="872"/>
      <c r="K295" s="872"/>
      <c r="L295" s="872"/>
      <c r="M295" s="872"/>
      <c r="N295" s="872"/>
      <c r="O295" s="872"/>
      <c r="P295" s="872"/>
      <c r="Q295" s="872"/>
      <c r="R295" s="872"/>
      <c r="S295" s="872"/>
      <c r="T295" s="872"/>
      <c r="U295" s="872"/>
      <c r="V295" s="872"/>
      <c r="W295" s="872"/>
      <c r="X295" s="872"/>
      <c r="Y295" s="872"/>
      <c r="Z295" s="872"/>
    </row>
    <row r="296" ht="14.25" customHeight="1">
      <c r="A296" s="872"/>
      <c r="B296" s="872"/>
      <c r="C296" s="872"/>
      <c r="D296" s="872"/>
      <c r="E296" s="872"/>
      <c r="F296" s="872"/>
      <c r="G296" s="872"/>
      <c r="H296" s="872"/>
      <c r="I296" s="872"/>
      <c r="J296" s="872"/>
      <c r="K296" s="872"/>
      <c r="L296" s="872"/>
      <c r="M296" s="872"/>
      <c r="N296" s="872"/>
      <c r="O296" s="872"/>
      <c r="P296" s="872"/>
      <c r="Q296" s="872"/>
      <c r="R296" s="872"/>
      <c r="S296" s="872"/>
      <c r="T296" s="872"/>
      <c r="U296" s="872"/>
      <c r="V296" s="872"/>
      <c r="W296" s="872"/>
      <c r="X296" s="872"/>
      <c r="Y296" s="872"/>
      <c r="Z296" s="872"/>
    </row>
    <row r="297" ht="14.25" customHeight="1">
      <c r="A297" s="872"/>
      <c r="B297" s="872"/>
      <c r="C297" s="872"/>
      <c r="D297" s="872"/>
      <c r="E297" s="872"/>
      <c r="F297" s="872"/>
      <c r="G297" s="872"/>
      <c r="H297" s="872"/>
      <c r="I297" s="872"/>
      <c r="J297" s="872"/>
      <c r="K297" s="872"/>
      <c r="L297" s="872"/>
      <c r="M297" s="872"/>
      <c r="N297" s="872"/>
      <c r="O297" s="872"/>
      <c r="P297" s="872"/>
      <c r="Q297" s="872"/>
      <c r="R297" s="872"/>
      <c r="S297" s="872"/>
      <c r="T297" s="872"/>
      <c r="U297" s="872"/>
      <c r="V297" s="872"/>
      <c r="W297" s="872"/>
      <c r="X297" s="872"/>
      <c r="Y297" s="872"/>
      <c r="Z297" s="872"/>
    </row>
    <row r="298" ht="14.25" customHeight="1">
      <c r="A298" s="872"/>
      <c r="B298" s="872"/>
      <c r="C298" s="872"/>
      <c r="D298" s="872"/>
      <c r="E298" s="872"/>
      <c r="F298" s="872"/>
      <c r="G298" s="872"/>
      <c r="H298" s="872"/>
      <c r="I298" s="872"/>
      <c r="J298" s="872"/>
      <c r="K298" s="872"/>
      <c r="L298" s="872"/>
      <c r="M298" s="872"/>
      <c r="N298" s="872"/>
      <c r="O298" s="872"/>
      <c r="P298" s="872"/>
      <c r="Q298" s="872"/>
      <c r="R298" s="872"/>
      <c r="S298" s="872"/>
      <c r="T298" s="872"/>
      <c r="U298" s="872"/>
      <c r="V298" s="872"/>
      <c r="W298" s="872"/>
      <c r="X298" s="872"/>
      <c r="Y298" s="872"/>
      <c r="Z298" s="872"/>
    </row>
    <row r="299" ht="14.25" customHeight="1">
      <c r="A299" s="872"/>
      <c r="B299" s="872"/>
      <c r="C299" s="872"/>
      <c r="D299" s="872"/>
      <c r="E299" s="872"/>
      <c r="F299" s="872"/>
      <c r="G299" s="872"/>
      <c r="H299" s="872"/>
      <c r="I299" s="872"/>
      <c r="J299" s="872"/>
      <c r="K299" s="872"/>
      <c r="L299" s="872"/>
      <c r="M299" s="872"/>
      <c r="N299" s="872"/>
      <c r="O299" s="872"/>
      <c r="P299" s="872"/>
      <c r="Q299" s="872"/>
      <c r="R299" s="872"/>
      <c r="S299" s="872"/>
      <c r="T299" s="872"/>
      <c r="U299" s="872"/>
      <c r="V299" s="872"/>
      <c r="W299" s="872"/>
      <c r="X299" s="872"/>
      <c r="Y299" s="872"/>
      <c r="Z299" s="872"/>
    </row>
    <row r="300" ht="14.25" customHeight="1">
      <c r="A300" s="872"/>
      <c r="B300" s="872"/>
      <c r="C300" s="872"/>
      <c r="D300" s="872"/>
      <c r="E300" s="872"/>
      <c r="F300" s="872"/>
      <c r="G300" s="872"/>
      <c r="H300" s="872"/>
      <c r="I300" s="872"/>
      <c r="J300" s="872"/>
      <c r="K300" s="872"/>
      <c r="L300" s="872"/>
      <c r="M300" s="872"/>
      <c r="N300" s="872"/>
      <c r="O300" s="872"/>
      <c r="P300" s="872"/>
      <c r="Q300" s="872"/>
      <c r="R300" s="872"/>
      <c r="S300" s="872"/>
      <c r="T300" s="872"/>
      <c r="U300" s="872"/>
      <c r="V300" s="872"/>
      <c r="W300" s="872"/>
      <c r="X300" s="872"/>
      <c r="Y300" s="872"/>
      <c r="Z300" s="872"/>
    </row>
    <row r="301" ht="14.25" customHeight="1">
      <c r="A301" s="872"/>
      <c r="B301" s="872"/>
      <c r="C301" s="872"/>
      <c r="D301" s="872"/>
      <c r="E301" s="872"/>
      <c r="F301" s="872"/>
      <c r="G301" s="872"/>
      <c r="H301" s="872"/>
      <c r="I301" s="872"/>
      <c r="J301" s="872"/>
      <c r="K301" s="872"/>
      <c r="L301" s="872"/>
      <c r="M301" s="872"/>
      <c r="N301" s="872"/>
      <c r="O301" s="872"/>
      <c r="P301" s="872"/>
      <c r="Q301" s="872"/>
      <c r="R301" s="872"/>
      <c r="S301" s="872"/>
      <c r="T301" s="872"/>
      <c r="U301" s="872"/>
      <c r="V301" s="872"/>
      <c r="W301" s="872"/>
      <c r="X301" s="872"/>
      <c r="Y301" s="872"/>
      <c r="Z301" s="872"/>
    </row>
    <row r="302" ht="14.25" customHeight="1">
      <c r="A302" s="872"/>
      <c r="B302" s="872"/>
      <c r="C302" s="872"/>
      <c r="D302" s="872"/>
      <c r="E302" s="872"/>
      <c r="F302" s="872"/>
      <c r="G302" s="872"/>
      <c r="H302" s="872"/>
      <c r="I302" s="872"/>
      <c r="J302" s="872"/>
      <c r="K302" s="872"/>
      <c r="L302" s="872"/>
      <c r="M302" s="872"/>
      <c r="N302" s="872"/>
      <c r="O302" s="872"/>
      <c r="P302" s="872"/>
      <c r="Q302" s="872"/>
      <c r="R302" s="872"/>
      <c r="S302" s="872"/>
      <c r="T302" s="872"/>
      <c r="U302" s="872"/>
      <c r="V302" s="872"/>
      <c r="W302" s="872"/>
      <c r="X302" s="872"/>
      <c r="Y302" s="872"/>
      <c r="Z302" s="872"/>
    </row>
    <row r="303" ht="14.25" customHeight="1">
      <c r="A303" s="872"/>
      <c r="B303" s="872"/>
      <c r="C303" s="872"/>
      <c r="D303" s="872"/>
      <c r="E303" s="872"/>
      <c r="F303" s="872"/>
      <c r="G303" s="872"/>
      <c r="H303" s="872"/>
      <c r="I303" s="872"/>
      <c r="J303" s="872"/>
      <c r="K303" s="872"/>
      <c r="L303" s="872"/>
      <c r="M303" s="872"/>
      <c r="N303" s="872"/>
      <c r="O303" s="872"/>
      <c r="P303" s="872"/>
      <c r="Q303" s="872"/>
      <c r="R303" s="872"/>
      <c r="S303" s="872"/>
      <c r="T303" s="872"/>
      <c r="U303" s="872"/>
      <c r="V303" s="872"/>
      <c r="W303" s="872"/>
      <c r="X303" s="872"/>
      <c r="Y303" s="872"/>
      <c r="Z303" s="872"/>
    </row>
    <row r="304" ht="14.25" customHeight="1">
      <c r="A304" s="872"/>
      <c r="B304" s="872"/>
      <c r="C304" s="872"/>
      <c r="D304" s="872"/>
      <c r="E304" s="872"/>
      <c r="F304" s="872"/>
      <c r="G304" s="872"/>
      <c r="H304" s="872"/>
      <c r="I304" s="872"/>
      <c r="J304" s="872"/>
      <c r="K304" s="872"/>
      <c r="L304" s="872"/>
      <c r="M304" s="872"/>
      <c r="N304" s="872"/>
      <c r="O304" s="872"/>
      <c r="P304" s="872"/>
      <c r="Q304" s="872"/>
      <c r="R304" s="872"/>
      <c r="S304" s="872"/>
      <c r="T304" s="872"/>
      <c r="U304" s="872"/>
      <c r="V304" s="872"/>
      <c r="W304" s="872"/>
      <c r="X304" s="872"/>
      <c r="Y304" s="872"/>
      <c r="Z304" s="872"/>
    </row>
    <row r="305" ht="14.25" customHeight="1">
      <c r="A305" s="872"/>
      <c r="B305" s="872"/>
      <c r="C305" s="872"/>
      <c r="D305" s="872"/>
      <c r="E305" s="872"/>
      <c r="F305" s="872"/>
      <c r="G305" s="872"/>
      <c r="H305" s="872"/>
      <c r="I305" s="872"/>
      <c r="J305" s="872"/>
      <c r="K305" s="872"/>
      <c r="L305" s="872"/>
      <c r="M305" s="872"/>
      <c r="N305" s="872"/>
      <c r="O305" s="872"/>
      <c r="P305" s="872"/>
      <c r="Q305" s="872"/>
      <c r="R305" s="872"/>
      <c r="S305" s="872"/>
      <c r="T305" s="872"/>
      <c r="U305" s="872"/>
      <c r="V305" s="872"/>
      <c r="W305" s="872"/>
      <c r="X305" s="872"/>
      <c r="Y305" s="872"/>
      <c r="Z305" s="872"/>
    </row>
    <row r="306" ht="14.25" customHeight="1">
      <c r="A306" s="872"/>
      <c r="B306" s="872"/>
      <c r="C306" s="872"/>
      <c r="D306" s="872"/>
      <c r="E306" s="872"/>
      <c r="F306" s="872"/>
      <c r="G306" s="872"/>
      <c r="H306" s="872"/>
      <c r="I306" s="872"/>
      <c r="J306" s="872"/>
      <c r="K306" s="872"/>
      <c r="L306" s="872"/>
      <c r="M306" s="872"/>
      <c r="N306" s="872"/>
      <c r="O306" s="872"/>
      <c r="P306" s="872"/>
      <c r="Q306" s="872"/>
      <c r="R306" s="872"/>
      <c r="S306" s="872"/>
      <c r="T306" s="872"/>
      <c r="U306" s="872"/>
      <c r="V306" s="872"/>
      <c r="W306" s="872"/>
      <c r="X306" s="872"/>
      <c r="Y306" s="872"/>
      <c r="Z306" s="872"/>
    </row>
    <row r="307" ht="14.25" customHeight="1">
      <c r="A307" s="872"/>
      <c r="B307" s="872"/>
      <c r="C307" s="872"/>
      <c r="D307" s="872"/>
      <c r="E307" s="872"/>
      <c r="F307" s="872"/>
      <c r="G307" s="872"/>
      <c r="H307" s="872"/>
      <c r="I307" s="872"/>
      <c r="J307" s="872"/>
      <c r="K307" s="872"/>
      <c r="L307" s="872"/>
      <c r="M307" s="872"/>
      <c r="N307" s="872"/>
      <c r="O307" s="872"/>
      <c r="P307" s="872"/>
      <c r="Q307" s="872"/>
      <c r="R307" s="872"/>
      <c r="S307" s="872"/>
      <c r="T307" s="872"/>
      <c r="U307" s="872"/>
      <c r="V307" s="872"/>
      <c r="W307" s="872"/>
      <c r="X307" s="872"/>
      <c r="Y307" s="872"/>
      <c r="Z307" s="872"/>
    </row>
    <row r="308" ht="14.25" customHeight="1">
      <c r="A308" s="872"/>
      <c r="B308" s="872"/>
      <c r="C308" s="872"/>
      <c r="D308" s="872"/>
      <c r="E308" s="872"/>
      <c r="F308" s="872"/>
      <c r="G308" s="872"/>
      <c r="H308" s="872"/>
      <c r="I308" s="872"/>
      <c r="J308" s="872"/>
      <c r="K308" s="872"/>
      <c r="L308" s="872"/>
      <c r="M308" s="872"/>
      <c r="N308" s="872"/>
      <c r="O308" s="872"/>
      <c r="P308" s="872"/>
      <c r="Q308" s="872"/>
      <c r="R308" s="872"/>
      <c r="S308" s="872"/>
      <c r="T308" s="872"/>
      <c r="U308" s="872"/>
      <c r="V308" s="872"/>
      <c r="W308" s="872"/>
      <c r="X308" s="872"/>
      <c r="Y308" s="872"/>
      <c r="Z308" s="872"/>
    </row>
    <row r="309" ht="14.25" customHeight="1">
      <c r="A309" s="872"/>
      <c r="B309" s="872"/>
      <c r="C309" s="872"/>
      <c r="D309" s="872"/>
      <c r="E309" s="872"/>
      <c r="F309" s="872"/>
      <c r="G309" s="872"/>
      <c r="H309" s="872"/>
      <c r="I309" s="872"/>
      <c r="J309" s="872"/>
      <c r="K309" s="872"/>
      <c r="L309" s="872"/>
      <c r="M309" s="872"/>
      <c r="N309" s="872"/>
      <c r="O309" s="872"/>
      <c r="P309" s="872"/>
      <c r="Q309" s="872"/>
      <c r="R309" s="872"/>
      <c r="S309" s="872"/>
      <c r="T309" s="872"/>
      <c r="U309" s="872"/>
      <c r="V309" s="872"/>
      <c r="W309" s="872"/>
      <c r="X309" s="872"/>
      <c r="Y309" s="872"/>
      <c r="Z309" s="872"/>
    </row>
    <row r="310" ht="14.25" customHeight="1">
      <c r="A310" s="872"/>
      <c r="B310" s="872"/>
      <c r="C310" s="872"/>
      <c r="D310" s="872"/>
      <c r="E310" s="872"/>
      <c r="F310" s="872"/>
      <c r="G310" s="872"/>
      <c r="H310" s="872"/>
      <c r="I310" s="872"/>
      <c r="J310" s="872"/>
      <c r="K310" s="872"/>
      <c r="L310" s="872"/>
      <c r="M310" s="872"/>
      <c r="N310" s="872"/>
      <c r="O310" s="872"/>
      <c r="P310" s="872"/>
      <c r="Q310" s="872"/>
      <c r="R310" s="872"/>
      <c r="S310" s="872"/>
      <c r="T310" s="872"/>
      <c r="U310" s="872"/>
      <c r="V310" s="872"/>
      <c r="W310" s="872"/>
      <c r="X310" s="872"/>
      <c r="Y310" s="872"/>
      <c r="Z310" s="872"/>
    </row>
    <row r="311" ht="14.25" customHeight="1">
      <c r="A311" s="872"/>
      <c r="B311" s="872"/>
      <c r="C311" s="872"/>
      <c r="D311" s="872"/>
      <c r="E311" s="872"/>
      <c r="F311" s="872"/>
      <c r="G311" s="872"/>
      <c r="H311" s="872"/>
      <c r="I311" s="872"/>
      <c r="J311" s="872"/>
      <c r="K311" s="872"/>
      <c r="L311" s="872"/>
      <c r="M311" s="872"/>
      <c r="N311" s="872"/>
      <c r="O311" s="872"/>
      <c r="P311" s="872"/>
      <c r="Q311" s="872"/>
      <c r="R311" s="872"/>
      <c r="S311" s="872"/>
      <c r="T311" s="872"/>
      <c r="U311" s="872"/>
      <c r="V311" s="872"/>
      <c r="W311" s="872"/>
      <c r="X311" s="872"/>
      <c r="Y311" s="872"/>
      <c r="Z311" s="872"/>
    </row>
    <row r="312" ht="14.25" customHeight="1">
      <c r="A312" s="872"/>
      <c r="B312" s="872"/>
      <c r="C312" s="872"/>
      <c r="D312" s="872"/>
      <c r="E312" s="872"/>
      <c r="F312" s="872"/>
      <c r="G312" s="872"/>
      <c r="H312" s="872"/>
      <c r="I312" s="872"/>
      <c r="J312" s="872"/>
      <c r="K312" s="872"/>
      <c r="L312" s="872"/>
      <c r="M312" s="872"/>
      <c r="N312" s="872"/>
      <c r="O312" s="872"/>
      <c r="P312" s="872"/>
      <c r="Q312" s="872"/>
      <c r="R312" s="872"/>
      <c r="S312" s="872"/>
      <c r="T312" s="872"/>
      <c r="U312" s="872"/>
      <c r="V312" s="872"/>
      <c r="W312" s="872"/>
      <c r="X312" s="872"/>
      <c r="Y312" s="872"/>
      <c r="Z312" s="872"/>
    </row>
    <row r="313" ht="14.25" customHeight="1">
      <c r="A313" s="872"/>
      <c r="B313" s="872"/>
      <c r="C313" s="872"/>
      <c r="D313" s="872"/>
      <c r="E313" s="872"/>
      <c r="F313" s="872"/>
      <c r="G313" s="872"/>
      <c r="H313" s="872"/>
      <c r="I313" s="872"/>
      <c r="J313" s="872"/>
      <c r="K313" s="872"/>
      <c r="L313" s="872"/>
      <c r="M313" s="872"/>
      <c r="N313" s="872"/>
      <c r="O313" s="872"/>
      <c r="P313" s="872"/>
      <c r="Q313" s="872"/>
      <c r="R313" s="872"/>
      <c r="S313" s="872"/>
      <c r="T313" s="872"/>
      <c r="U313" s="872"/>
      <c r="V313" s="872"/>
      <c r="W313" s="872"/>
      <c r="X313" s="872"/>
      <c r="Y313" s="872"/>
      <c r="Z313" s="872"/>
    </row>
    <row r="314" ht="14.25" customHeight="1">
      <c r="A314" s="872"/>
      <c r="B314" s="872"/>
      <c r="C314" s="872"/>
      <c r="D314" s="872"/>
      <c r="E314" s="872"/>
      <c r="F314" s="872"/>
      <c r="G314" s="872"/>
      <c r="H314" s="872"/>
      <c r="I314" s="872"/>
      <c r="J314" s="872"/>
      <c r="K314" s="872"/>
      <c r="L314" s="872"/>
      <c r="M314" s="872"/>
      <c r="N314" s="872"/>
      <c r="O314" s="872"/>
      <c r="P314" s="872"/>
      <c r="Q314" s="872"/>
      <c r="R314" s="872"/>
      <c r="S314" s="872"/>
      <c r="T314" s="872"/>
      <c r="U314" s="872"/>
      <c r="V314" s="872"/>
      <c r="W314" s="872"/>
      <c r="X314" s="872"/>
      <c r="Y314" s="872"/>
      <c r="Z314" s="872"/>
    </row>
    <row r="315" ht="14.25" customHeight="1">
      <c r="A315" s="872"/>
      <c r="B315" s="872"/>
      <c r="C315" s="872"/>
      <c r="D315" s="872"/>
      <c r="E315" s="872"/>
      <c r="F315" s="872"/>
      <c r="G315" s="872"/>
      <c r="H315" s="872"/>
      <c r="I315" s="872"/>
      <c r="J315" s="872"/>
      <c r="K315" s="872"/>
      <c r="L315" s="872"/>
      <c r="M315" s="872"/>
      <c r="N315" s="872"/>
      <c r="O315" s="872"/>
      <c r="P315" s="872"/>
      <c r="Q315" s="872"/>
      <c r="R315" s="872"/>
      <c r="S315" s="872"/>
      <c r="T315" s="872"/>
      <c r="U315" s="872"/>
      <c r="V315" s="872"/>
      <c r="W315" s="872"/>
      <c r="X315" s="872"/>
      <c r="Y315" s="872"/>
      <c r="Z315" s="872"/>
    </row>
    <row r="316" ht="14.25" customHeight="1">
      <c r="A316" s="872"/>
      <c r="B316" s="872"/>
      <c r="C316" s="872"/>
      <c r="D316" s="872"/>
      <c r="E316" s="872"/>
      <c r="F316" s="872"/>
      <c r="G316" s="872"/>
      <c r="H316" s="872"/>
      <c r="I316" s="872"/>
      <c r="J316" s="872"/>
      <c r="K316" s="872"/>
      <c r="L316" s="872"/>
      <c r="M316" s="872"/>
      <c r="N316" s="872"/>
      <c r="O316" s="872"/>
      <c r="P316" s="872"/>
      <c r="Q316" s="872"/>
      <c r="R316" s="872"/>
      <c r="S316" s="872"/>
      <c r="T316" s="872"/>
      <c r="U316" s="872"/>
      <c r="V316" s="872"/>
      <c r="W316" s="872"/>
      <c r="X316" s="872"/>
      <c r="Y316" s="872"/>
      <c r="Z316" s="872"/>
    </row>
    <row r="317" ht="14.25" customHeight="1">
      <c r="A317" s="872"/>
      <c r="B317" s="872"/>
      <c r="C317" s="872"/>
      <c r="D317" s="872"/>
      <c r="E317" s="872"/>
      <c r="F317" s="872"/>
      <c r="G317" s="872"/>
      <c r="H317" s="872"/>
      <c r="I317" s="872"/>
      <c r="J317" s="872"/>
      <c r="K317" s="872"/>
      <c r="L317" s="872"/>
      <c r="M317" s="872"/>
      <c r="N317" s="872"/>
      <c r="O317" s="872"/>
      <c r="P317" s="872"/>
      <c r="Q317" s="872"/>
      <c r="R317" s="872"/>
      <c r="S317" s="872"/>
      <c r="T317" s="872"/>
      <c r="U317" s="872"/>
      <c r="V317" s="872"/>
      <c r="W317" s="872"/>
      <c r="X317" s="872"/>
      <c r="Y317" s="872"/>
      <c r="Z317" s="872"/>
    </row>
    <row r="318" ht="14.25" customHeight="1">
      <c r="A318" s="872"/>
      <c r="B318" s="872"/>
      <c r="C318" s="872"/>
      <c r="D318" s="872"/>
      <c r="E318" s="872"/>
      <c r="F318" s="872"/>
      <c r="G318" s="872"/>
      <c r="H318" s="872"/>
      <c r="I318" s="872"/>
      <c r="J318" s="872"/>
      <c r="K318" s="872"/>
      <c r="L318" s="872"/>
      <c r="M318" s="872"/>
      <c r="N318" s="872"/>
      <c r="O318" s="872"/>
      <c r="P318" s="872"/>
      <c r="Q318" s="872"/>
      <c r="R318" s="872"/>
      <c r="S318" s="872"/>
      <c r="T318" s="872"/>
      <c r="U318" s="872"/>
      <c r="V318" s="872"/>
      <c r="W318" s="872"/>
      <c r="X318" s="872"/>
      <c r="Y318" s="872"/>
      <c r="Z318" s="872"/>
    </row>
    <row r="319" ht="14.25" customHeight="1">
      <c r="A319" s="872"/>
      <c r="B319" s="872"/>
      <c r="C319" s="872"/>
      <c r="D319" s="872"/>
      <c r="E319" s="872"/>
      <c r="F319" s="872"/>
      <c r="G319" s="872"/>
      <c r="H319" s="872"/>
      <c r="I319" s="872"/>
      <c r="J319" s="872"/>
      <c r="K319" s="872"/>
      <c r="L319" s="872"/>
      <c r="M319" s="872"/>
      <c r="N319" s="872"/>
      <c r="O319" s="872"/>
      <c r="P319" s="872"/>
      <c r="Q319" s="872"/>
      <c r="R319" s="872"/>
      <c r="S319" s="872"/>
      <c r="T319" s="872"/>
      <c r="U319" s="872"/>
      <c r="V319" s="872"/>
      <c r="W319" s="872"/>
      <c r="X319" s="872"/>
      <c r="Y319" s="872"/>
      <c r="Z319" s="872"/>
    </row>
    <row r="320" ht="14.25" customHeight="1">
      <c r="A320" s="872"/>
      <c r="B320" s="872"/>
      <c r="C320" s="872"/>
      <c r="D320" s="872"/>
      <c r="E320" s="872"/>
      <c r="F320" s="872"/>
      <c r="G320" s="872"/>
      <c r="H320" s="872"/>
      <c r="I320" s="872"/>
      <c r="J320" s="872"/>
      <c r="K320" s="872"/>
      <c r="L320" s="872"/>
      <c r="M320" s="872"/>
      <c r="N320" s="872"/>
      <c r="O320" s="872"/>
      <c r="P320" s="872"/>
      <c r="Q320" s="872"/>
      <c r="R320" s="872"/>
      <c r="S320" s="872"/>
      <c r="T320" s="872"/>
      <c r="U320" s="872"/>
      <c r="V320" s="872"/>
      <c r="W320" s="872"/>
      <c r="X320" s="872"/>
      <c r="Y320" s="872"/>
      <c r="Z320" s="872"/>
    </row>
    <row r="321" ht="14.25" customHeight="1">
      <c r="A321" s="872"/>
      <c r="B321" s="872"/>
      <c r="C321" s="872"/>
      <c r="D321" s="872"/>
      <c r="E321" s="872"/>
      <c r="F321" s="872"/>
      <c r="G321" s="872"/>
      <c r="H321" s="872"/>
      <c r="I321" s="872"/>
      <c r="J321" s="872"/>
      <c r="K321" s="872"/>
      <c r="L321" s="872"/>
      <c r="M321" s="872"/>
      <c r="N321" s="872"/>
      <c r="O321" s="872"/>
      <c r="P321" s="872"/>
      <c r="Q321" s="872"/>
      <c r="R321" s="872"/>
      <c r="S321" s="872"/>
      <c r="T321" s="872"/>
      <c r="U321" s="872"/>
      <c r="V321" s="872"/>
      <c r="W321" s="872"/>
      <c r="X321" s="872"/>
      <c r="Y321" s="872"/>
      <c r="Z321" s="872"/>
    </row>
    <row r="322" ht="14.25" customHeight="1">
      <c r="A322" s="872"/>
      <c r="B322" s="872"/>
      <c r="C322" s="872"/>
      <c r="D322" s="872"/>
      <c r="E322" s="872"/>
      <c r="F322" s="872"/>
      <c r="G322" s="872"/>
      <c r="H322" s="872"/>
      <c r="I322" s="872"/>
      <c r="J322" s="872"/>
      <c r="K322" s="872"/>
      <c r="L322" s="872"/>
      <c r="M322" s="872"/>
      <c r="N322" s="872"/>
      <c r="O322" s="872"/>
      <c r="P322" s="872"/>
      <c r="Q322" s="872"/>
      <c r="R322" s="872"/>
      <c r="S322" s="872"/>
      <c r="T322" s="872"/>
      <c r="U322" s="872"/>
      <c r="V322" s="872"/>
      <c r="W322" s="872"/>
      <c r="X322" s="872"/>
      <c r="Y322" s="872"/>
      <c r="Z322" s="872"/>
    </row>
    <row r="323" ht="14.25" customHeight="1">
      <c r="A323" s="872"/>
      <c r="B323" s="872"/>
      <c r="C323" s="872"/>
      <c r="D323" s="872"/>
      <c r="E323" s="872"/>
      <c r="F323" s="872"/>
      <c r="G323" s="872"/>
      <c r="H323" s="872"/>
      <c r="I323" s="872"/>
      <c r="J323" s="872"/>
      <c r="K323" s="872"/>
      <c r="L323" s="872"/>
      <c r="M323" s="872"/>
      <c r="N323" s="872"/>
      <c r="O323" s="872"/>
      <c r="P323" s="872"/>
      <c r="Q323" s="872"/>
      <c r="R323" s="872"/>
      <c r="S323" s="872"/>
      <c r="T323" s="872"/>
      <c r="U323" s="872"/>
      <c r="V323" s="872"/>
      <c r="W323" s="872"/>
      <c r="X323" s="872"/>
      <c r="Y323" s="872"/>
      <c r="Z323" s="872"/>
    </row>
    <row r="324" ht="14.25" customHeight="1">
      <c r="A324" s="872"/>
      <c r="B324" s="872"/>
      <c r="C324" s="872"/>
      <c r="D324" s="872"/>
      <c r="E324" s="872"/>
      <c r="F324" s="872"/>
      <c r="G324" s="872"/>
      <c r="H324" s="872"/>
      <c r="I324" s="872"/>
      <c r="J324" s="872"/>
      <c r="K324" s="872"/>
      <c r="L324" s="872"/>
      <c r="M324" s="872"/>
      <c r="N324" s="872"/>
      <c r="O324" s="872"/>
      <c r="P324" s="872"/>
      <c r="Q324" s="872"/>
      <c r="R324" s="872"/>
      <c r="S324" s="872"/>
      <c r="T324" s="872"/>
      <c r="U324" s="872"/>
      <c r="V324" s="872"/>
      <c r="W324" s="872"/>
      <c r="X324" s="872"/>
      <c r="Y324" s="872"/>
      <c r="Z324" s="872"/>
    </row>
    <row r="325" ht="14.25" customHeight="1">
      <c r="A325" s="872"/>
      <c r="B325" s="872"/>
      <c r="C325" s="872"/>
      <c r="D325" s="872"/>
      <c r="E325" s="872"/>
      <c r="F325" s="872"/>
      <c r="G325" s="872"/>
      <c r="H325" s="872"/>
      <c r="I325" s="872"/>
      <c r="J325" s="872"/>
      <c r="K325" s="872"/>
      <c r="L325" s="872"/>
      <c r="M325" s="872"/>
      <c r="N325" s="872"/>
      <c r="O325" s="872"/>
      <c r="P325" s="872"/>
      <c r="Q325" s="872"/>
      <c r="R325" s="872"/>
      <c r="S325" s="872"/>
      <c r="T325" s="872"/>
      <c r="U325" s="872"/>
      <c r="V325" s="872"/>
      <c r="W325" s="872"/>
      <c r="X325" s="872"/>
      <c r="Y325" s="872"/>
      <c r="Z325" s="872"/>
    </row>
    <row r="326" ht="14.25" customHeight="1">
      <c r="A326" s="872"/>
      <c r="B326" s="872"/>
      <c r="C326" s="872"/>
      <c r="D326" s="872"/>
      <c r="E326" s="872"/>
      <c r="F326" s="872"/>
      <c r="G326" s="872"/>
      <c r="H326" s="872"/>
      <c r="I326" s="872"/>
      <c r="J326" s="872"/>
      <c r="K326" s="872"/>
      <c r="L326" s="872"/>
      <c r="M326" s="872"/>
      <c r="N326" s="872"/>
      <c r="O326" s="872"/>
      <c r="P326" s="872"/>
      <c r="Q326" s="872"/>
      <c r="R326" s="872"/>
      <c r="S326" s="872"/>
      <c r="T326" s="872"/>
      <c r="U326" s="872"/>
      <c r="V326" s="872"/>
      <c r="W326" s="872"/>
      <c r="X326" s="872"/>
      <c r="Y326" s="872"/>
      <c r="Z326" s="872"/>
    </row>
    <row r="327" ht="14.25" customHeight="1">
      <c r="A327" s="872"/>
      <c r="B327" s="872"/>
      <c r="C327" s="872"/>
      <c r="D327" s="872"/>
      <c r="E327" s="872"/>
      <c r="F327" s="872"/>
      <c r="G327" s="872"/>
      <c r="H327" s="872"/>
      <c r="I327" s="872"/>
      <c r="J327" s="872"/>
      <c r="K327" s="872"/>
      <c r="L327" s="872"/>
      <c r="M327" s="872"/>
      <c r="N327" s="872"/>
      <c r="O327" s="872"/>
      <c r="P327" s="872"/>
      <c r="Q327" s="872"/>
      <c r="R327" s="872"/>
      <c r="S327" s="872"/>
      <c r="T327" s="872"/>
      <c r="U327" s="872"/>
      <c r="V327" s="872"/>
      <c r="W327" s="872"/>
      <c r="X327" s="872"/>
      <c r="Y327" s="872"/>
      <c r="Z327" s="872"/>
    </row>
    <row r="328" ht="14.25" customHeight="1">
      <c r="A328" s="872"/>
      <c r="B328" s="872"/>
      <c r="C328" s="872"/>
      <c r="D328" s="872"/>
      <c r="E328" s="872"/>
      <c r="F328" s="872"/>
      <c r="G328" s="872"/>
      <c r="H328" s="872"/>
      <c r="I328" s="872"/>
      <c r="J328" s="872"/>
      <c r="K328" s="872"/>
      <c r="L328" s="872"/>
      <c r="M328" s="872"/>
      <c r="N328" s="872"/>
      <c r="O328" s="872"/>
      <c r="P328" s="872"/>
      <c r="Q328" s="872"/>
      <c r="R328" s="872"/>
      <c r="S328" s="872"/>
      <c r="T328" s="872"/>
      <c r="U328" s="872"/>
      <c r="V328" s="872"/>
      <c r="W328" s="872"/>
      <c r="X328" s="872"/>
      <c r="Y328" s="872"/>
      <c r="Z328" s="872"/>
    </row>
    <row r="329" ht="14.25" customHeight="1">
      <c r="A329" s="872"/>
      <c r="B329" s="872"/>
      <c r="C329" s="872"/>
      <c r="D329" s="872"/>
      <c r="E329" s="872"/>
      <c r="F329" s="872"/>
      <c r="G329" s="872"/>
      <c r="H329" s="872"/>
      <c r="I329" s="872"/>
      <c r="J329" s="872"/>
      <c r="K329" s="872"/>
      <c r="L329" s="872"/>
      <c r="M329" s="872"/>
      <c r="N329" s="872"/>
      <c r="O329" s="872"/>
      <c r="P329" s="872"/>
      <c r="Q329" s="872"/>
      <c r="R329" s="872"/>
      <c r="S329" s="872"/>
      <c r="T329" s="872"/>
      <c r="U329" s="872"/>
      <c r="V329" s="872"/>
      <c r="W329" s="872"/>
      <c r="X329" s="872"/>
      <c r="Y329" s="872"/>
      <c r="Z329" s="872"/>
    </row>
    <row r="330" ht="14.25" customHeight="1">
      <c r="A330" s="872"/>
      <c r="B330" s="872"/>
      <c r="C330" s="872"/>
      <c r="D330" s="872"/>
      <c r="E330" s="872"/>
      <c r="F330" s="872"/>
      <c r="G330" s="872"/>
      <c r="H330" s="872"/>
      <c r="I330" s="872"/>
      <c r="J330" s="872"/>
      <c r="K330" s="872"/>
      <c r="L330" s="872"/>
      <c r="M330" s="872"/>
      <c r="N330" s="872"/>
      <c r="O330" s="872"/>
      <c r="P330" s="872"/>
      <c r="Q330" s="872"/>
      <c r="R330" s="872"/>
      <c r="S330" s="872"/>
      <c r="T330" s="872"/>
      <c r="U330" s="872"/>
      <c r="V330" s="872"/>
      <c r="W330" s="872"/>
      <c r="X330" s="872"/>
      <c r="Y330" s="872"/>
      <c r="Z330" s="872"/>
    </row>
    <row r="331" ht="14.25" customHeight="1">
      <c r="A331" s="872"/>
      <c r="B331" s="872"/>
      <c r="C331" s="872"/>
      <c r="D331" s="872"/>
      <c r="E331" s="872"/>
      <c r="F331" s="872"/>
      <c r="G331" s="872"/>
      <c r="H331" s="872"/>
      <c r="I331" s="872"/>
      <c r="J331" s="872"/>
      <c r="K331" s="872"/>
      <c r="L331" s="872"/>
      <c r="M331" s="872"/>
      <c r="N331" s="872"/>
      <c r="O331" s="872"/>
      <c r="P331" s="872"/>
      <c r="Q331" s="872"/>
      <c r="R331" s="872"/>
      <c r="S331" s="872"/>
      <c r="T331" s="872"/>
      <c r="U331" s="872"/>
      <c r="V331" s="872"/>
      <c r="W331" s="872"/>
      <c r="X331" s="872"/>
      <c r="Y331" s="872"/>
      <c r="Z331" s="872"/>
    </row>
    <row r="332" ht="14.25" customHeight="1">
      <c r="A332" s="872"/>
      <c r="B332" s="872"/>
      <c r="C332" s="872"/>
      <c r="D332" s="872"/>
      <c r="E332" s="872"/>
      <c r="F332" s="872"/>
      <c r="G332" s="872"/>
      <c r="H332" s="872"/>
      <c r="I332" s="872"/>
      <c r="J332" s="872"/>
      <c r="K332" s="872"/>
      <c r="L332" s="872"/>
      <c r="M332" s="872"/>
      <c r="N332" s="872"/>
      <c r="O332" s="872"/>
      <c r="P332" s="872"/>
      <c r="Q332" s="872"/>
      <c r="R332" s="872"/>
      <c r="S332" s="872"/>
      <c r="T332" s="872"/>
      <c r="U332" s="872"/>
      <c r="V332" s="872"/>
      <c r="W332" s="872"/>
      <c r="X332" s="872"/>
      <c r="Y332" s="872"/>
      <c r="Z332" s="872"/>
    </row>
    <row r="333" ht="14.25" customHeight="1">
      <c r="A333" s="872"/>
      <c r="B333" s="872"/>
      <c r="C333" s="872"/>
      <c r="D333" s="872"/>
      <c r="E333" s="872"/>
      <c r="F333" s="872"/>
      <c r="G333" s="872"/>
      <c r="H333" s="872"/>
      <c r="I333" s="872"/>
      <c r="J333" s="872"/>
      <c r="K333" s="872"/>
      <c r="L333" s="872"/>
      <c r="M333" s="872"/>
      <c r="N333" s="872"/>
      <c r="O333" s="872"/>
      <c r="P333" s="872"/>
      <c r="Q333" s="872"/>
      <c r="R333" s="872"/>
      <c r="S333" s="872"/>
      <c r="T333" s="872"/>
      <c r="U333" s="872"/>
      <c r="V333" s="872"/>
      <c r="W333" s="872"/>
      <c r="X333" s="872"/>
      <c r="Y333" s="872"/>
      <c r="Z333" s="872"/>
    </row>
    <row r="334" ht="14.25" customHeight="1">
      <c r="A334" s="872"/>
      <c r="B334" s="872"/>
      <c r="C334" s="872"/>
      <c r="D334" s="872"/>
      <c r="E334" s="872"/>
      <c r="F334" s="872"/>
      <c r="G334" s="872"/>
      <c r="H334" s="872"/>
      <c r="I334" s="872"/>
      <c r="J334" s="872"/>
      <c r="K334" s="872"/>
      <c r="L334" s="872"/>
      <c r="M334" s="872"/>
      <c r="N334" s="872"/>
      <c r="O334" s="872"/>
      <c r="P334" s="872"/>
      <c r="Q334" s="872"/>
      <c r="R334" s="872"/>
      <c r="S334" s="872"/>
      <c r="T334" s="872"/>
      <c r="U334" s="872"/>
      <c r="V334" s="872"/>
      <c r="W334" s="872"/>
      <c r="X334" s="872"/>
      <c r="Y334" s="872"/>
      <c r="Z334" s="872"/>
    </row>
    <row r="335" ht="14.25" customHeight="1">
      <c r="A335" s="872"/>
      <c r="B335" s="872"/>
      <c r="C335" s="872"/>
      <c r="D335" s="872"/>
      <c r="E335" s="872"/>
      <c r="F335" s="872"/>
      <c r="G335" s="872"/>
      <c r="H335" s="872"/>
      <c r="I335" s="872"/>
      <c r="J335" s="872"/>
      <c r="K335" s="872"/>
      <c r="L335" s="872"/>
      <c r="M335" s="872"/>
      <c r="N335" s="872"/>
      <c r="O335" s="872"/>
      <c r="P335" s="872"/>
      <c r="Q335" s="872"/>
      <c r="R335" s="872"/>
      <c r="S335" s="872"/>
      <c r="T335" s="872"/>
      <c r="U335" s="872"/>
      <c r="V335" s="872"/>
      <c r="W335" s="872"/>
      <c r="X335" s="872"/>
      <c r="Y335" s="872"/>
      <c r="Z335" s="872"/>
    </row>
    <row r="336" ht="14.25" customHeight="1">
      <c r="A336" s="872"/>
      <c r="B336" s="872"/>
      <c r="C336" s="872"/>
      <c r="D336" s="872"/>
      <c r="E336" s="872"/>
      <c r="F336" s="872"/>
      <c r="G336" s="872"/>
      <c r="H336" s="872"/>
      <c r="I336" s="872"/>
      <c r="J336" s="872"/>
      <c r="K336" s="872"/>
      <c r="L336" s="872"/>
      <c r="M336" s="872"/>
      <c r="N336" s="872"/>
      <c r="O336" s="872"/>
      <c r="P336" s="872"/>
      <c r="Q336" s="872"/>
      <c r="R336" s="872"/>
      <c r="S336" s="872"/>
      <c r="T336" s="872"/>
      <c r="U336" s="872"/>
      <c r="V336" s="872"/>
      <c r="W336" s="872"/>
      <c r="X336" s="872"/>
      <c r="Y336" s="872"/>
      <c r="Z336" s="872"/>
    </row>
    <row r="337" ht="14.25" customHeight="1">
      <c r="A337" s="872"/>
      <c r="B337" s="872"/>
      <c r="C337" s="872"/>
      <c r="D337" s="872"/>
      <c r="E337" s="872"/>
      <c r="F337" s="872"/>
      <c r="G337" s="872"/>
      <c r="H337" s="872"/>
      <c r="I337" s="872"/>
      <c r="J337" s="872"/>
      <c r="K337" s="872"/>
      <c r="L337" s="872"/>
      <c r="M337" s="872"/>
      <c r="N337" s="872"/>
      <c r="O337" s="872"/>
      <c r="P337" s="872"/>
      <c r="Q337" s="872"/>
      <c r="R337" s="872"/>
      <c r="S337" s="872"/>
      <c r="T337" s="872"/>
      <c r="U337" s="872"/>
      <c r="V337" s="872"/>
      <c r="W337" s="872"/>
      <c r="X337" s="872"/>
      <c r="Y337" s="872"/>
      <c r="Z337" s="872"/>
    </row>
    <row r="338" ht="14.25" customHeight="1">
      <c r="A338" s="872"/>
      <c r="B338" s="872"/>
      <c r="C338" s="872"/>
      <c r="D338" s="872"/>
      <c r="E338" s="872"/>
      <c r="F338" s="872"/>
      <c r="G338" s="872"/>
      <c r="H338" s="872"/>
      <c r="I338" s="872"/>
      <c r="J338" s="872"/>
      <c r="K338" s="872"/>
      <c r="L338" s="872"/>
      <c r="M338" s="872"/>
      <c r="N338" s="872"/>
      <c r="O338" s="872"/>
      <c r="P338" s="872"/>
      <c r="Q338" s="872"/>
      <c r="R338" s="872"/>
      <c r="S338" s="872"/>
      <c r="T338" s="872"/>
      <c r="U338" s="872"/>
      <c r="V338" s="872"/>
      <c r="W338" s="872"/>
      <c r="X338" s="872"/>
      <c r="Y338" s="872"/>
      <c r="Z338" s="872"/>
    </row>
    <row r="339" ht="14.25" customHeight="1">
      <c r="A339" s="872"/>
      <c r="B339" s="872"/>
      <c r="C339" s="872"/>
      <c r="D339" s="872"/>
      <c r="E339" s="872"/>
      <c r="F339" s="872"/>
      <c r="G339" s="872"/>
      <c r="H339" s="872"/>
      <c r="I339" s="872"/>
      <c r="J339" s="872"/>
      <c r="K339" s="872"/>
      <c r="L339" s="872"/>
      <c r="M339" s="872"/>
      <c r="N339" s="872"/>
      <c r="O339" s="872"/>
      <c r="P339" s="872"/>
      <c r="Q339" s="872"/>
      <c r="R339" s="872"/>
      <c r="S339" s="872"/>
      <c r="T339" s="872"/>
      <c r="U339" s="872"/>
      <c r="V339" s="872"/>
      <c r="W339" s="872"/>
      <c r="X339" s="872"/>
      <c r="Y339" s="872"/>
      <c r="Z339" s="872"/>
    </row>
    <row r="340" ht="14.25" customHeight="1">
      <c r="A340" s="872"/>
      <c r="B340" s="872"/>
      <c r="C340" s="872"/>
      <c r="D340" s="872"/>
      <c r="E340" s="872"/>
      <c r="F340" s="872"/>
      <c r="G340" s="872"/>
      <c r="H340" s="872"/>
      <c r="I340" s="872"/>
      <c r="J340" s="872"/>
      <c r="K340" s="872"/>
      <c r="L340" s="872"/>
      <c r="M340" s="872"/>
      <c r="N340" s="872"/>
      <c r="O340" s="872"/>
      <c r="P340" s="872"/>
      <c r="Q340" s="872"/>
      <c r="R340" s="872"/>
      <c r="S340" s="872"/>
      <c r="T340" s="872"/>
      <c r="U340" s="872"/>
      <c r="V340" s="872"/>
      <c r="W340" s="872"/>
      <c r="X340" s="872"/>
      <c r="Y340" s="872"/>
      <c r="Z340" s="872"/>
    </row>
    <row r="341" ht="14.25" customHeight="1">
      <c r="A341" s="872"/>
      <c r="B341" s="872"/>
      <c r="C341" s="872"/>
      <c r="D341" s="872"/>
      <c r="E341" s="872"/>
      <c r="F341" s="872"/>
      <c r="G341" s="872"/>
      <c r="H341" s="872"/>
      <c r="I341" s="872"/>
      <c r="J341" s="872"/>
      <c r="K341" s="872"/>
      <c r="L341" s="872"/>
      <c r="M341" s="872"/>
      <c r="N341" s="872"/>
      <c r="O341" s="872"/>
      <c r="P341" s="872"/>
      <c r="Q341" s="872"/>
      <c r="R341" s="872"/>
      <c r="S341" s="872"/>
      <c r="T341" s="872"/>
      <c r="U341" s="872"/>
      <c r="V341" s="872"/>
      <c r="W341" s="872"/>
      <c r="X341" s="872"/>
      <c r="Y341" s="872"/>
      <c r="Z341" s="872"/>
    </row>
    <row r="342" ht="14.25" customHeight="1">
      <c r="A342" s="872"/>
      <c r="B342" s="872"/>
      <c r="C342" s="872"/>
      <c r="D342" s="872"/>
      <c r="E342" s="872"/>
      <c r="F342" s="872"/>
      <c r="G342" s="872"/>
      <c r="H342" s="872"/>
      <c r="I342" s="872"/>
      <c r="J342" s="872"/>
      <c r="K342" s="872"/>
      <c r="L342" s="872"/>
      <c r="M342" s="872"/>
      <c r="N342" s="872"/>
      <c r="O342" s="872"/>
      <c r="P342" s="872"/>
      <c r="Q342" s="872"/>
      <c r="R342" s="872"/>
      <c r="S342" s="872"/>
      <c r="T342" s="872"/>
      <c r="U342" s="872"/>
      <c r="V342" s="872"/>
      <c r="W342" s="872"/>
      <c r="X342" s="872"/>
      <c r="Y342" s="872"/>
      <c r="Z342" s="872"/>
    </row>
    <row r="343" ht="14.25" customHeight="1">
      <c r="A343" s="872"/>
      <c r="B343" s="872"/>
      <c r="C343" s="872"/>
      <c r="D343" s="872"/>
      <c r="E343" s="872"/>
      <c r="F343" s="872"/>
      <c r="G343" s="872"/>
      <c r="H343" s="872"/>
      <c r="I343" s="872"/>
      <c r="J343" s="872"/>
      <c r="K343" s="872"/>
      <c r="L343" s="872"/>
      <c r="M343" s="872"/>
      <c r="N343" s="872"/>
      <c r="O343" s="872"/>
      <c r="P343" s="872"/>
      <c r="Q343" s="872"/>
      <c r="R343" s="872"/>
      <c r="S343" s="872"/>
      <c r="T343" s="872"/>
      <c r="U343" s="872"/>
      <c r="V343" s="872"/>
      <c r="W343" s="872"/>
      <c r="X343" s="872"/>
      <c r="Y343" s="872"/>
      <c r="Z343" s="872"/>
    </row>
    <row r="344" ht="14.25" customHeight="1">
      <c r="A344" s="872"/>
      <c r="B344" s="872"/>
      <c r="C344" s="872"/>
      <c r="D344" s="872"/>
      <c r="E344" s="872"/>
      <c r="F344" s="872"/>
      <c r="G344" s="872"/>
      <c r="H344" s="872"/>
      <c r="I344" s="872"/>
      <c r="J344" s="872"/>
      <c r="K344" s="872"/>
      <c r="L344" s="872"/>
      <c r="M344" s="872"/>
      <c r="N344" s="872"/>
      <c r="O344" s="872"/>
      <c r="P344" s="872"/>
      <c r="Q344" s="872"/>
      <c r="R344" s="872"/>
      <c r="S344" s="872"/>
      <c r="T344" s="872"/>
      <c r="U344" s="872"/>
      <c r="V344" s="872"/>
      <c r="W344" s="872"/>
      <c r="X344" s="872"/>
      <c r="Y344" s="872"/>
      <c r="Z344" s="872"/>
    </row>
    <row r="345" ht="14.25" customHeight="1">
      <c r="A345" s="872"/>
      <c r="B345" s="872"/>
      <c r="C345" s="872"/>
      <c r="D345" s="872"/>
      <c r="E345" s="872"/>
      <c r="F345" s="872"/>
      <c r="G345" s="872"/>
      <c r="H345" s="872"/>
      <c r="I345" s="872"/>
      <c r="J345" s="872"/>
      <c r="K345" s="872"/>
      <c r="L345" s="872"/>
      <c r="M345" s="872"/>
      <c r="N345" s="872"/>
      <c r="O345" s="872"/>
      <c r="P345" s="872"/>
      <c r="Q345" s="872"/>
      <c r="R345" s="872"/>
      <c r="S345" s="872"/>
      <c r="T345" s="872"/>
      <c r="U345" s="872"/>
      <c r="V345" s="872"/>
      <c r="W345" s="872"/>
      <c r="X345" s="872"/>
      <c r="Y345" s="872"/>
      <c r="Z345" s="872"/>
    </row>
    <row r="346" ht="14.25" customHeight="1">
      <c r="A346" s="872"/>
      <c r="B346" s="872"/>
      <c r="C346" s="872"/>
      <c r="D346" s="872"/>
      <c r="E346" s="872"/>
      <c r="F346" s="872"/>
      <c r="G346" s="872"/>
      <c r="H346" s="872"/>
      <c r="I346" s="872"/>
      <c r="J346" s="872"/>
      <c r="K346" s="872"/>
      <c r="L346" s="872"/>
      <c r="M346" s="872"/>
      <c r="N346" s="872"/>
      <c r="O346" s="872"/>
      <c r="P346" s="872"/>
      <c r="Q346" s="872"/>
      <c r="R346" s="872"/>
      <c r="S346" s="872"/>
      <c r="T346" s="872"/>
      <c r="U346" s="872"/>
      <c r="V346" s="872"/>
      <c r="W346" s="872"/>
      <c r="X346" s="872"/>
      <c r="Y346" s="872"/>
      <c r="Z346" s="872"/>
    </row>
    <row r="347" ht="14.25" customHeight="1">
      <c r="A347" s="872"/>
      <c r="B347" s="872"/>
      <c r="C347" s="872"/>
      <c r="D347" s="872"/>
      <c r="E347" s="872"/>
      <c r="F347" s="872"/>
      <c r="G347" s="872"/>
      <c r="H347" s="872"/>
      <c r="I347" s="872"/>
      <c r="J347" s="872"/>
      <c r="K347" s="872"/>
      <c r="L347" s="872"/>
      <c r="M347" s="872"/>
      <c r="N347" s="872"/>
      <c r="O347" s="872"/>
      <c r="P347" s="872"/>
      <c r="Q347" s="872"/>
      <c r="R347" s="872"/>
      <c r="S347" s="872"/>
      <c r="T347" s="872"/>
      <c r="U347" s="872"/>
      <c r="V347" s="872"/>
      <c r="W347" s="872"/>
      <c r="X347" s="872"/>
      <c r="Y347" s="872"/>
      <c r="Z347" s="872"/>
    </row>
    <row r="348" ht="14.25" customHeight="1">
      <c r="A348" s="872"/>
      <c r="B348" s="872"/>
      <c r="C348" s="872"/>
      <c r="D348" s="872"/>
      <c r="E348" s="872"/>
      <c r="F348" s="872"/>
      <c r="G348" s="872"/>
      <c r="H348" s="872"/>
      <c r="I348" s="872"/>
      <c r="J348" s="872"/>
      <c r="K348" s="872"/>
      <c r="L348" s="872"/>
      <c r="M348" s="872"/>
      <c r="N348" s="872"/>
      <c r="O348" s="872"/>
      <c r="P348" s="872"/>
      <c r="Q348" s="872"/>
      <c r="R348" s="872"/>
      <c r="S348" s="872"/>
      <c r="T348" s="872"/>
      <c r="U348" s="872"/>
      <c r="V348" s="872"/>
      <c r="W348" s="872"/>
      <c r="X348" s="872"/>
      <c r="Y348" s="872"/>
      <c r="Z348" s="872"/>
    </row>
    <row r="349" ht="14.25" customHeight="1">
      <c r="A349" s="872"/>
      <c r="B349" s="872"/>
      <c r="C349" s="872"/>
      <c r="D349" s="872"/>
      <c r="E349" s="872"/>
      <c r="F349" s="872"/>
      <c r="G349" s="872"/>
      <c r="H349" s="872"/>
      <c r="I349" s="872"/>
      <c r="J349" s="872"/>
      <c r="K349" s="872"/>
      <c r="L349" s="872"/>
      <c r="M349" s="872"/>
      <c r="N349" s="872"/>
      <c r="O349" s="872"/>
      <c r="P349" s="872"/>
      <c r="Q349" s="872"/>
      <c r="R349" s="872"/>
      <c r="S349" s="872"/>
      <c r="T349" s="872"/>
      <c r="U349" s="872"/>
      <c r="V349" s="872"/>
      <c r="W349" s="872"/>
      <c r="X349" s="872"/>
      <c r="Y349" s="872"/>
      <c r="Z349" s="872"/>
    </row>
    <row r="350" ht="14.25" customHeight="1">
      <c r="A350" s="872"/>
      <c r="B350" s="872"/>
      <c r="C350" s="872"/>
      <c r="D350" s="872"/>
      <c r="E350" s="872"/>
      <c r="F350" s="872"/>
      <c r="G350" s="872"/>
      <c r="H350" s="872"/>
      <c r="I350" s="872"/>
      <c r="J350" s="872"/>
      <c r="K350" s="872"/>
      <c r="L350" s="872"/>
      <c r="M350" s="872"/>
      <c r="N350" s="872"/>
      <c r="O350" s="872"/>
      <c r="P350" s="872"/>
      <c r="Q350" s="872"/>
      <c r="R350" s="872"/>
      <c r="S350" s="872"/>
      <c r="T350" s="872"/>
      <c r="U350" s="872"/>
      <c r="V350" s="872"/>
      <c r="W350" s="872"/>
      <c r="X350" s="872"/>
      <c r="Y350" s="872"/>
      <c r="Z350" s="872"/>
    </row>
    <row r="351" ht="14.25" customHeight="1">
      <c r="A351" s="872"/>
      <c r="B351" s="872"/>
      <c r="C351" s="872"/>
      <c r="D351" s="872"/>
      <c r="E351" s="872"/>
      <c r="F351" s="872"/>
      <c r="G351" s="872"/>
      <c r="H351" s="872"/>
      <c r="I351" s="872"/>
      <c r="J351" s="872"/>
      <c r="K351" s="872"/>
      <c r="L351" s="872"/>
      <c r="M351" s="872"/>
      <c r="N351" s="872"/>
      <c r="O351" s="872"/>
      <c r="P351" s="872"/>
      <c r="Q351" s="872"/>
      <c r="R351" s="872"/>
      <c r="S351" s="872"/>
      <c r="T351" s="872"/>
      <c r="U351" s="872"/>
      <c r="V351" s="872"/>
      <c r="W351" s="872"/>
      <c r="X351" s="872"/>
      <c r="Y351" s="872"/>
      <c r="Z351" s="872"/>
    </row>
    <row r="352" ht="14.25" customHeight="1">
      <c r="A352" s="872"/>
      <c r="B352" s="872"/>
      <c r="C352" s="872"/>
      <c r="D352" s="872"/>
      <c r="E352" s="872"/>
      <c r="F352" s="872"/>
      <c r="G352" s="872"/>
      <c r="H352" s="872"/>
      <c r="I352" s="872"/>
      <c r="J352" s="872"/>
      <c r="K352" s="872"/>
      <c r="L352" s="872"/>
      <c r="M352" s="872"/>
      <c r="N352" s="872"/>
      <c r="O352" s="872"/>
      <c r="P352" s="872"/>
      <c r="Q352" s="872"/>
      <c r="R352" s="872"/>
      <c r="S352" s="872"/>
      <c r="T352" s="872"/>
      <c r="U352" s="872"/>
      <c r="V352" s="872"/>
      <c r="W352" s="872"/>
      <c r="X352" s="872"/>
      <c r="Y352" s="872"/>
      <c r="Z352" s="872"/>
    </row>
    <row r="353" ht="14.25" customHeight="1">
      <c r="A353" s="872"/>
      <c r="B353" s="872"/>
      <c r="C353" s="872"/>
      <c r="D353" s="872"/>
      <c r="E353" s="872"/>
      <c r="F353" s="872"/>
      <c r="G353" s="872"/>
      <c r="H353" s="872"/>
      <c r="I353" s="872"/>
      <c r="J353" s="872"/>
      <c r="K353" s="872"/>
      <c r="L353" s="872"/>
      <c r="M353" s="872"/>
      <c r="N353" s="872"/>
      <c r="O353" s="872"/>
      <c r="P353" s="872"/>
      <c r="Q353" s="872"/>
      <c r="R353" s="872"/>
      <c r="S353" s="872"/>
      <c r="T353" s="872"/>
      <c r="U353" s="872"/>
      <c r="V353" s="872"/>
      <c r="W353" s="872"/>
      <c r="X353" s="872"/>
      <c r="Y353" s="872"/>
      <c r="Z353" s="872"/>
    </row>
    <row r="354" ht="14.25" customHeight="1">
      <c r="A354" s="872"/>
      <c r="B354" s="872"/>
      <c r="C354" s="872"/>
      <c r="D354" s="872"/>
      <c r="E354" s="872"/>
      <c r="F354" s="872"/>
      <c r="G354" s="872"/>
      <c r="H354" s="872"/>
      <c r="I354" s="872"/>
      <c r="J354" s="872"/>
      <c r="K354" s="872"/>
      <c r="L354" s="872"/>
      <c r="M354" s="872"/>
      <c r="N354" s="872"/>
      <c r="O354" s="872"/>
      <c r="P354" s="872"/>
      <c r="Q354" s="872"/>
      <c r="R354" s="872"/>
      <c r="S354" s="872"/>
      <c r="T354" s="872"/>
      <c r="U354" s="872"/>
      <c r="V354" s="872"/>
      <c r="W354" s="872"/>
      <c r="X354" s="872"/>
      <c r="Y354" s="872"/>
      <c r="Z354" s="872"/>
    </row>
    <row r="355" ht="14.25" customHeight="1">
      <c r="A355" s="872"/>
      <c r="B355" s="872"/>
      <c r="C355" s="872"/>
      <c r="D355" s="872"/>
      <c r="E355" s="872"/>
      <c r="F355" s="872"/>
      <c r="G355" s="872"/>
      <c r="H355" s="872"/>
      <c r="I355" s="872"/>
      <c r="J355" s="872"/>
      <c r="K355" s="872"/>
      <c r="L355" s="872"/>
      <c r="M355" s="872"/>
      <c r="N355" s="872"/>
      <c r="O355" s="872"/>
      <c r="P355" s="872"/>
      <c r="Q355" s="872"/>
      <c r="R355" s="872"/>
      <c r="S355" s="872"/>
      <c r="T355" s="872"/>
      <c r="U355" s="872"/>
      <c r="V355" s="872"/>
      <c r="W355" s="872"/>
      <c r="X355" s="872"/>
      <c r="Y355" s="872"/>
      <c r="Z355" s="872"/>
    </row>
    <row r="356" ht="14.25" customHeight="1">
      <c r="A356" s="872"/>
      <c r="B356" s="872"/>
      <c r="C356" s="872"/>
      <c r="D356" s="872"/>
      <c r="E356" s="872"/>
      <c r="F356" s="872"/>
      <c r="G356" s="872"/>
      <c r="H356" s="872"/>
      <c r="I356" s="872"/>
      <c r="J356" s="872"/>
      <c r="K356" s="872"/>
      <c r="L356" s="872"/>
      <c r="M356" s="872"/>
      <c r="N356" s="872"/>
      <c r="O356" s="872"/>
      <c r="P356" s="872"/>
      <c r="Q356" s="872"/>
      <c r="R356" s="872"/>
      <c r="S356" s="872"/>
      <c r="T356" s="872"/>
      <c r="U356" s="872"/>
      <c r="V356" s="872"/>
      <c r="W356" s="872"/>
      <c r="X356" s="872"/>
      <c r="Y356" s="872"/>
      <c r="Z356" s="872"/>
    </row>
    <row r="357" ht="14.25" customHeight="1">
      <c r="A357" s="872"/>
      <c r="B357" s="872"/>
      <c r="C357" s="872"/>
      <c r="D357" s="872"/>
      <c r="E357" s="872"/>
      <c r="F357" s="872"/>
      <c r="G357" s="872"/>
      <c r="H357" s="872"/>
      <c r="I357" s="872"/>
      <c r="J357" s="872"/>
      <c r="K357" s="872"/>
      <c r="L357" s="872"/>
      <c r="M357" s="872"/>
      <c r="N357" s="872"/>
      <c r="O357" s="872"/>
      <c r="P357" s="872"/>
      <c r="Q357" s="872"/>
      <c r="R357" s="872"/>
      <c r="S357" s="872"/>
      <c r="T357" s="872"/>
      <c r="U357" s="872"/>
      <c r="V357" s="872"/>
      <c r="W357" s="872"/>
      <c r="X357" s="872"/>
      <c r="Y357" s="872"/>
      <c r="Z357" s="872"/>
    </row>
    <row r="358" ht="14.25" customHeight="1">
      <c r="A358" s="872"/>
      <c r="B358" s="872"/>
      <c r="C358" s="872"/>
      <c r="D358" s="872"/>
      <c r="E358" s="872"/>
      <c r="F358" s="872"/>
      <c r="G358" s="872"/>
      <c r="H358" s="872"/>
      <c r="I358" s="872"/>
      <c r="J358" s="872"/>
      <c r="K358" s="872"/>
      <c r="L358" s="872"/>
      <c r="M358" s="872"/>
      <c r="N358" s="872"/>
      <c r="O358" s="872"/>
      <c r="P358" s="872"/>
      <c r="Q358" s="872"/>
      <c r="R358" s="872"/>
      <c r="S358" s="872"/>
      <c r="T358" s="872"/>
      <c r="U358" s="872"/>
      <c r="V358" s="872"/>
      <c r="W358" s="872"/>
      <c r="X358" s="872"/>
      <c r="Y358" s="872"/>
      <c r="Z358" s="872"/>
    </row>
    <row r="359" ht="14.25" customHeight="1">
      <c r="A359" s="872"/>
      <c r="B359" s="872"/>
      <c r="C359" s="872"/>
      <c r="D359" s="872"/>
      <c r="E359" s="872"/>
      <c r="F359" s="872"/>
      <c r="G359" s="872"/>
      <c r="H359" s="872"/>
      <c r="I359" s="872"/>
      <c r="J359" s="872"/>
      <c r="K359" s="872"/>
      <c r="L359" s="872"/>
      <c r="M359" s="872"/>
      <c r="N359" s="872"/>
      <c r="O359" s="872"/>
      <c r="P359" s="872"/>
      <c r="Q359" s="872"/>
      <c r="R359" s="872"/>
      <c r="S359" s="872"/>
      <c r="T359" s="872"/>
      <c r="U359" s="872"/>
      <c r="V359" s="872"/>
      <c r="W359" s="872"/>
      <c r="X359" s="872"/>
      <c r="Y359" s="872"/>
      <c r="Z359" s="872"/>
    </row>
    <row r="360" ht="14.25" customHeight="1">
      <c r="A360" s="872"/>
      <c r="B360" s="872"/>
      <c r="C360" s="872"/>
      <c r="D360" s="872"/>
      <c r="E360" s="872"/>
      <c r="F360" s="872"/>
      <c r="G360" s="872"/>
      <c r="H360" s="872"/>
      <c r="I360" s="872"/>
      <c r="J360" s="872"/>
      <c r="K360" s="872"/>
      <c r="L360" s="872"/>
      <c r="M360" s="872"/>
      <c r="N360" s="872"/>
      <c r="O360" s="872"/>
      <c r="P360" s="872"/>
      <c r="Q360" s="872"/>
      <c r="R360" s="872"/>
      <c r="S360" s="872"/>
      <c r="T360" s="872"/>
      <c r="U360" s="872"/>
      <c r="V360" s="872"/>
      <c r="W360" s="872"/>
      <c r="X360" s="872"/>
      <c r="Y360" s="872"/>
      <c r="Z360" s="872"/>
    </row>
    <row r="361" ht="14.25" customHeight="1">
      <c r="A361" s="872"/>
      <c r="B361" s="872"/>
      <c r="C361" s="872"/>
      <c r="D361" s="872"/>
      <c r="E361" s="872"/>
      <c r="F361" s="872"/>
      <c r="G361" s="872"/>
      <c r="H361" s="872"/>
      <c r="I361" s="872"/>
      <c r="J361" s="872"/>
      <c r="K361" s="872"/>
      <c r="L361" s="872"/>
      <c r="M361" s="872"/>
      <c r="N361" s="872"/>
      <c r="O361" s="872"/>
      <c r="P361" s="872"/>
      <c r="Q361" s="872"/>
      <c r="R361" s="872"/>
      <c r="S361" s="872"/>
      <c r="T361" s="872"/>
      <c r="U361" s="872"/>
      <c r="V361" s="872"/>
      <c r="W361" s="872"/>
      <c r="X361" s="872"/>
      <c r="Y361" s="872"/>
      <c r="Z361" s="872"/>
    </row>
    <row r="362" ht="14.25" customHeight="1">
      <c r="A362" s="872"/>
      <c r="B362" s="872"/>
      <c r="C362" s="872"/>
      <c r="D362" s="872"/>
      <c r="E362" s="872"/>
      <c r="F362" s="872"/>
      <c r="G362" s="872"/>
      <c r="H362" s="872"/>
      <c r="I362" s="872"/>
      <c r="J362" s="872"/>
      <c r="K362" s="872"/>
      <c r="L362" s="872"/>
      <c r="M362" s="872"/>
      <c r="N362" s="872"/>
      <c r="O362" s="872"/>
      <c r="P362" s="872"/>
      <c r="Q362" s="872"/>
      <c r="R362" s="872"/>
      <c r="S362" s="872"/>
      <c r="T362" s="872"/>
      <c r="U362" s="872"/>
      <c r="V362" s="872"/>
      <c r="W362" s="872"/>
      <c r="X362" s="872"/>
      <c r="Y362" s="872"/>
      <c r="Z362" s="872"/>
    </row>
    <row r="363" ht="14.25" customHeight="1">
      <c r="A363" s="872"/>
      <c r="B363" s="872"/>
      <c r="C363" s="872"/>
      <c r="D363" s="872"/>
      <c r="E363" s="872"/>
      <c r="F363" s="872"/>
      <c r="G363" s="872"/>
      <c r="H363" s="872"/>
      <c r="I363" s="872"/>
      <c r="J363" s="872"/>
      <c r="K363" s="872"/>
      <c r="L363" s="872"/>
      <c r="M363" s="872"/>
      <c r="N363" s="872"/>
      <c r="O363" s="872"/>
      <c r="P363" s="872"/>
      <c r="Q363" s="872"/>
      <c r="R363" s="872"/>
      <c r="S363" s="872"/>
      <c r="T363" s="872"/>
      <c r="U363" s="872"/>
      <c r="V363" s="872"/>
      <c r="W363" s="872"/>
      <c r="X363" s="872"/>
      <c r="Y363" s="872"/>
      <c r="Z363" s="872"/>
    </row>
    <row r="364" ht="14.25" customHeight="1">
      <c r="A364" s="872"/>
      <c r="B364" s="872"/>
      <c r="C364" s="872"/>
      <c r="D364" s="872"/>
      <c r="E364" s="872"/>
      <c r="F364" s="872"/>
      <c r="G364" s="872"/>
      <c r="H364" s="872"/>
      <c r="I364" s="872"/>
      <c r="J364" s="872"/>
      <c r="K364" s="872"/>
      <c r="L364" s="872"/>
      <c r="M364" s="872"/>
      <c r="N364" s="872"/>
      <c r="O364" s="872"/>
      <c r="P364" s="872"/>
      <c r="Q364" s="872"/>
      <c r="R364" s="872"/>
      <c r="S364" s="872"/>
      <c r="T364" s="872"/>
      <c r="U364" s="872"/>
      <c r="V364" s="872"/>
      <c r="W364" s="872"/>
      <c r="X364" s="872"/>
      <c r="Y364" s="872"/>
      <c r="Z364" s="872"/>
    </row>
    <row r="365" ht="14.25" customHeight="1">
      <c r="A365" s="872"/>
      <c r="B365" s="872"/>
      <c r="C365" s="872"/>
      <c r="D365" s="872"/>
      <c r="E365" s="872"/>
      <c r="F365" s="872"/>
      <c r="G365" s="872"/>
      <c r="H365" s="872"/>
      <c r="I365" s="872"/>
      <c r="J365" s="872"/>
      <c r="K365" s="872"/>
      <c r="L365" s="872"/>
      <c r="M365" s="872"/>
      <c r="N365" s="872"/>
      <c r="O365" s="872"/>
      <c r="P365" s="872"/>
      <c r="Q365" s="872"/>
      <c r="R365" s="872"/>
      <c r="S365" s="872"/>
      <c r="T365" s="872"/>
      <c r="U365" s="872"/>
      <c r="V365" s="872"/>
      <c r="W365" s="872"/>
      <c r="X365" s="872"/>
      <c r="Y365" s="872"/>
      <c r="Z365" s="872"/>
    </row>
    <row r="366" ht="14.25" customHeight="1">
      <c r="A366" s="872"/>
      <c r="B366" s="872"/>
      <c r="C366" s="872"/>
      <c r="D366" s="872"/>
      <c r="E366" s="872"/>
      <c r="F366" s="872"/>
      <c r="G366" s="872"/>
      <c r="H366" s="872"/>
      <c r="I366" s="872"/>
      <c r="J366" s="872"/>
      <c r="K366" s="872"/>
      <c r="L366" s="872"/>
      <c r="M366" s="872"/>
      <c r="N366" s="872"/>
      <c r="O366" s="872"/>
      <c r="P366" s="872"/>
      <c r="Q366" s="872"/>
      <c r="R366" s="872"/>
      <c r="S366" s="872"/>
      <c r="T366" s="872"/>
      <c r="U366" s="872"/>
      <c r="V366" s="872"/>
      <c r="W366" s="872"/>
      <c r="X366" s="872"/>
      <c r="Y366" s="872"/>
      <c r="Z366" s="872"/>
    </row>
    <row r="367" ht="14.25" customHeight="1">
      <c r="A367" s="872"/>
      <c r="B367" s="872"/>
      <c r="C367" s="872"/>
      <c r="D367" s="872"/>
      <c r="E367" s="872"/>
      <c r="F367" s="872"/>
      <c r="G367" s="872"/>
      <c r="H367" s="872"/>
      <c r="I367" s="872"/>
      <c r="J367" s="872"/>
      <c r="K367" s="872"/>
      <c r="L367" s="872"/>
      <c r="M367" s="872"/>
      <c r="N367" s="872"/>
      <c r="O367" s="872"/>
      <c r="P367" s="872"/>
      <c r="Q367" s="872"/>
      <c r="R367" s="872"/>
      <c r="S367" s="872"/>
      <c r="T367" s="872"/>
      <c r="U367" s="872"/>
      <c r="V367" s="872"/>
      <c r="W367" s="872"/>
      <c r="X367" s="872"/>
      <c r="Y367" s="872"/>
      <c r="Z367" s="872"/>
    </row>
    <row r="368" ht="14.25" customHeight="1">
      <c r="A368" s="872"/>
      <c r="B368" s="872"/>
      <c r="C368" s="872"/>
      <c r="D368" s="872"/>
      <c r="E368" s="872"/>
      <c r="F368" s="872"/>
      <c r="G368" s="872"/>
      <c r="H368" s="872"/>
      <c r="I368" s="872"/>
      <c r="J368" s="872"/>
      <c r="K368" s="872"/>
      <c r="L368" s="872"/>
      <c r="M368" s="872"/>
      <c r="N368" s="872"/>
      <c r="O368" s="872"/>
      <c r="P368" s="872"/>
      <c r="Q368" s="872"/>
      <c r="R368" s="872"/>
      <c r="S368" s="872"/>
      <c r="T368" s="872"/>
      <c r="U368" s="872"/>
      <c r="V368" s="872"/>
      <c r="W368" s="872"/>
      <c r="X368" s="872"/>
      <c r="Y368" s="872"/>
      <c r="Z368" s="872"/>
    </row>
    <row r="369" ht="14.25" customHeight="1">
      <c r="A369" s="872"/>
      <c r="B369" s="872"/>
      <c r="C369" s="872"/>
      <c r="D369" s="872"/>
      <c r="E369" s="872"/>
      <c r="F369" s="872"/>
      <c r="G369" s="872"/>
      <c r="H369" s="872"/>
      <c r="I369" s="872"/>
      <c r="J369" s="872"/>
      <c r="K369" s="872"/>
      <c r="L369" s="872"/>
      <c r="M369" s="872"/>
      <c r="N369" s="872"/>
      <c r="O369" s="872"/>
      <c r="P369" s="872"/>
      <c r="Q369" s="872"/>
      <c r="R369" s="872"/>
      <c r="S369" s="872"/>
      <c r="T369" s="872"/>
      <c r="U369" s="872"/>
      <c r="V369" s="872"/>
      <c r="W369" s="872"/>
      <c r="X369" s="872"/>
      <c r="Y369" s="872"/>
      <c r="Z369" s="872"/>
    </row>
    <row r="370" ht="14.25" customHeight="1">
      <c r="A370" s="872"/>
      <c r="B370" s="872"/>
      <c r="C370" s="872"/>
      <c r="D370" s="872"/>
      <c r="E370" s="872"/>
      <c r="F370" s="872"/>
      <c r="G370" s="872"/>
      <c r="H370" s="872"/>
      <c r="I370" s="872"/>
      <c r="J370" s="872"/>
      <c r="K370" s="872"/>
      <c r="L370" s="872"/>
      <c r="M370" s="872"/>
      <c r="N370" s="872"/>
      <c r="O370" s="872"/>
      <c r="P370" s="872"/>
      <c r="Q370" s="872"/>
      <c r="R370" s="872"/>
      <c r="S370" s="872"/>
      <c r="T370" s="872"/>
      <c r="U370" s="872"/>
      <c r="V370" s="872"/>
      <c r="W370" s="872"/>
      <c r="X370" s="872"/>
      <c r="Y370" s="872"/>
      <c r="Z370" s="872"/>
    </row>
    <row r="371" ht="14.25" customHeight="1">
      <c r="A371" s="872"/>
      <c r="B371" s="872"/>
      <c r="C371" s="872"/>
      <c r="D371" s="872"/>
      <c r="E371" s="872"/>
      <c r="F371" s="872"/>
      <c r="G371" s="872"/>
      <c r="H371" s="872"/>
      <c r="I371" s="872"/>
      <c r="J371" s="872"/>
      <c r="K371" s="872"/>
      <c r="L371" s="872"/>
      <c r="M371" s="872"/>
      <c r="N371" s="872"/>
      <c r="O371" s="872"/>
      <c r="P371" s="872"/>
      <c r="Q371" s="872"/>
      <c r="R371" s="872"/>
      <c r="S371" s="872"/>
      <c r="T371" s="872"/>
      <c r="U371" s="872"/>
      <c r="V371" s="872"/>
      <c r="W371" s="872"/>
      <c r="X371" s="872"/>
      <c r="Y371" s="872"/>
      <c r="Z371" s="872"/>
    </row>
    <row r="372" ht="14.25" customHeight="1">
      <c r="A372" s="872"/>
      <c r="B372" s="872"/>
      <c r="C372" s="872"/>
      <c r="D372" s="872"/>
      <c r="E372" s="872"/>
      <c r="F372" s="872"/>
      <c r="G372" s="872"/>
      <c r="H372" s="872"/>
      <c r="I372" s="872"/>
      <c r="J372" s="872"/>
      <c r="K372" s="872"/>
      <c r="L372" s="872"/>
      <c r="M372" s="872"/>
      <c r="N372" s="872"/>
      <c r="O372" s="872"/>
      <c r="P372" s="872"/>
      <c r="Q372" s="872"/>
      <c r="R372" s="872"/>
      <c r="S372" s="872"/>
      <c r="T372" s="872"/>
      <c r="U372" s="872"/>
      <c r="V372" s="872"/>
      <c r="W372" s="872"/>
      <c r="X372" s="872"/>
      <c r="Y372" s="872"/>
      <c r="Z372" s="872"/>
    </row>
    <row r="373" ht="14.25" customHeight="1">
      <c r="A373" s="872"/>
      <c r="B373" s="872"/>
      <c r="C373" s="872"/>
      <c r="D373" s="872"/>
      <c r="E373" s="872"/>
      <c r="F373" s="872"/>
      <c r="G373" s="872"/>
      <c r="H373" s="872"/>
      <c r="I373" s="872"/>
      <c r="J373" s="872"/>
      <c r="K373" s="872"/>
      <c r="L373" s="872"/>
      <c r="M373" s="872"/>
      <c r="N373" s="872"/>
      <c r="O373" s="872"/>
      <c r="P373" s="872"/>
      <c r="Q373" s="872"/>
      <c r="R373" s="872"/>
      <c r="S373" s="872"/>
      <c r="T373" s="872"/>
      <c r="U373" s="872"/>
      <c r="V373" s="872"/>
      <c r="W373" s="872"/>
      <c r="X373" s="872"/>
      <c r="Y373" s="872"/>
      <c r="Z373" s="872"/>
    </row>
    <row r="374" ht="14.25" customHeight="1">
      <c r="A374" s="872"/>
      <c r="B374" s="872"/>
      <c r="C374" s="872"/>
      <c r="D374" s="872"/>
      <c r="E374" s="872"/>
      <c r="F374" s="872"/>
      <c r="G374" s="872"/>
      <c r="H374" s="872"/>
      <c r="I374" s="872"/>
      <c r="J374" s="872"/>
      <c r="K374" s="872"/>
      <c r="L374" s="872"/>
      <c r="M374" s="872"/>
      <c r="N374" s="872"/>
      <c r="O374" s="872"/>
      <c r="P374" s="872"/>
      <c r="Q374" s="872"/>
      <c r="R374" s="872"/>
      <c r="S374" s="872"/>
      <c r="T374" s="872"/>
      <c r="U374" s="872"/>
      <c r="V374" s="872"/>
      <c r="W374" s="872"/>
      <c r="X374" s="872"/>
      <c r="Y374" s="872"/>
      <c r="Z374" s="872"/>
    </row>
    <row r="375" ht="14.25" customHeight="1">
      <c r="A375" s="872"/>
      <c r="B375" s="872"/>
      <c r="C375" s="872"/>
      <c r="D375" s="872"/>
      <c r="E375" s="872"/>
      <c r="F375" s="872"/>
      <c r="G375" s="872"/>
      <c r="H375" s="872"/>
      <c r="I375" s="872"/>
      <c r="J375" s="872"/>
      <c r="K375" s="872"/>
      <c r="L375" s="872"/>
      <c r="M375" s="872"/>
      <c r="N375" s="872"/>
      <c r="O375" s="872"/>
      <c r="P375" s="872"/>
      <c r="Q375" s="872"/>
      <c r="R375" s="872"/>
      <c r="S375" s="872"/>
      <c r="T375" s="872"/>
      <c r="U375" s="872"/>
      <c r="V375" s="872"/>
      <c r="W375" s="872"/>
      <c r="X375" s="872"/>
      <c r="Y375" s="872"/>
      <c r="Z375" s="872"/>
    </row>
    <row r="376" ht="14.25" customHeight="1">
      <c r="A376" s="872"/>
      <c r="B376" s="872"/>
      <c r="C376" s="872"/>
      <c r="D376" s="872"/>
      <c r="E376" s="872"/>
      <c r="F376" s="872"/>
      <c r="G376" s="872"/>
      <c r="H376" s="872"/>
      <c r="I376" s="872"/>
      <c r="J376" s="872"/>
      <c r="K376" s="872"/>
      <c r="L376" s="872"/>
      <c r="M376" s="872"/>
      <c r="N376" s="872"/>
      <c r="O376" s="872"/>
      <c r="P376" s="872"/>
      <c r="Q376" s="872"/>
      <c r="R376" s="872"/>
      <c r="S376" s="872"/>
      <c r="T376" s="872"/>
      <c r="U376" s="872"/>
      <c r="V376" s="872"/>
      <c r="W376" s="872"/>
      <c r="X376" s="872"/>
      <c r="Y376" s="872"/>
      <c r="Z376" s="872"/>
    </row>
    <row r="377" ht="14.25" customHeight="1">
      <c r="A377" s="872"/>
      <c r="B377" s="872"/>
      <c r="C377" s="872"/>
      <c r="D377" s="872"/>
      <c r="E377" s="872"/>
      <c r="F377" s="872"/>
      <c r="G377" s="872"/>
      <c r="H377" s="872"/>
      <c r="I377" s="872"/>
      <c r="J377" s="872"/>
      <c r="K377" s="872"/>
      <c r="L377" s="872"/>
      <c r="M377" s="872"/>
      <c r="N377" s="872"/>
      <c r="O377" s="872"/>
      <c r="P377" s="872"/>
      <c r="Q377" s="872"/>
      <c r="R377" s="872"/>
      <c r="S377" s="872"/>
      <c r="T377" s="872"/>
      <c r="U377" s="872"/>
      <c r="V377" s="872"/>
      <c r="W377" s="872"/>
      <c r="X377" s="872"/>
      <c r="Y377" s="872"/>
      <c r="Z377" s="872"/>
    </row>
    <row r="378" ht="14.25" customHeight="1">
      <c r="A378" s="872"/>
      <c r="B378" s="872"/>
      <c r="C378" s="872"/>
      <c r="D378" s="872"/>
      <c r="E378" s="872"/>
      <c r="F378" s="872"/>
      <c r="G378" s="872"/>
      <c r="H378" s="872"/>
      <c r="I378" s="872"/>
      <c r="J378" s="872"/>
      <c r="K378" s="872"/>
      <c r="L378" s="872"/>
      <c r="M378" s="872"/>
      <c r="N378" s="872"/>
      <c r="O378" s="872"/>
      <c r="P378" s="872"/>
      <c r="Q378" s="872"/>
      <c r="R378" s="872"/>
      <c r="S378" s="872"/>
      <c r="T378" s="872"/>
      <c r="U378" s="872"/>
      <c r="V378" s="872"/>
      <c r="W378" s="872"/>
      <c r="X378" s="872"/>
      <c r="Y378" s="872"/>
      <c r="Z378" s="872"/>
    </row>
    <row r="379" ht="14.25" customHeight="1">
      <c r="A379" s="872"/>
      <c r="B379" s="872"/>
      <c r="C379" s="872"/>
      <c r="D379" s="872"/>
      <c r="E379" s="872"/>
      <c r="F379" s="872"/>
      <c r="G379" s="872"/>
      <c r="H379" s="872"/>
      <c r="I379" s="872"/>
      <c r="J379" s="872"/>
      <c r="K379" s="872"/>
      <c r="L379" s="872"/>
      <c r="M379" s="872"/>
      <c r="N379" s="872"/>
      <c r="O379" s="872"/>
      <c r="P379" s="872"/>
      <c r="Q379" s="872"/>
      <c r="R379" s="872"/>
      <c r="S379" s="872"/>
      <c r="T379" s="872"/>
      <c r="U379" s="872"/>
      <c r="V379" s="872"/>
      <c r="W379" s="872"/>
      <c r="X379" s="872"/>
      <c r="Y379" s="872"/>
      <c r="Z379" s="872"/>
    </row>
    <row r="380" ht="14.25" customHeight="1">
      <c r="A380" s="872"/>
      <c r="B380" s="872"/>
      <c r="C380" s="872"/>
      <c r="D380" s="872"/>
      <c r="E380" s="872"/>
      <c r="F380" s="872"/>
      <c r="G380" s="872"/>
      <c r="H380" s="872"/>
      <c r="I380" s="872"/>
      <c r="J380" s="872"/>
      <c r="K380" s="872"/>
      <c r="L380" s="872"/>
      <c r="M380" s="872"/>
      <c r="N380" s="872"/>
      <c r="O380" s="872"/>
      <c r="P380" s="872"/>
      <c r="Q380" s="872"/>
      <c r="R380" s="872"/>
      <c r="S380" s="872"/>
      <c r="T380" s="872"/>
      <c r="U380" s="872"/>
      <c r="V380" s="872"/>
      <c r="W380" s="872"/>
      <c r="X380" s="872"/>
      <c r="Y380" s="872"/>
      <c r="Z380" s="872"/>
    </row>
    <row r="381" ht="14.25" customHeight="1">
      <c r="A381" s="872"/>
      <c r="B381" s="872"/>
      <c r="C381" s="872"/>
      <c r="D381" s="872"/>
      <c r="E381" s="872"/>
      <c r="F381" s="872"/>
      <c r="G381" s="872"/>
      <c r="H381" s="872"/>
      <c r="I381" s="872"/>
      <c r="J381" s="872"/>
      <c r="K381" s="872"/>
      <c r="L381" s="872"/>
      <c r="M381" s="872"/>
      <c r="N381" s="872"/>
      <c r="O381" s="872"/>
      <c r="P381" s="872"/>
      <c r="Q381" s="872"/>
      <c r="R381" s="872"/>
      <c r="S381" s="872"/>
      <c r="T381" s="872"/>
      <c r="U381" s="872"/>
      <c r="V381" s="872"/>
      <c r="W381" s="872"/>
      <c r="X381" s="872"/>
      <c r="Y381" s="872"/>
      <c r="Z381" s="872"/>
    </row>
    <row r="382" ht="14.25" customHeight="1">
      <c r="A382" s="872"/>
      <c r="B382" s="872"/>
      <c r="C382" s="872"/>
      <c r="D382" s="872"/>
      <c r="E382" s="872"/>
      <c r="F382" s="872"/>
      <c r="G382" s="872"/>
      <c r="H382" s="872"/>
      <c r="I382" s="872"/>
      <c r="J382" s="872"/>
      <c r="K382" s="872"/>
      <c r="L382" s="872"/>
      <c r="M382" s="872"/>
      <c r="N382" s="872"/>
      <c r="O382" s="872"/>
      <c r="P382" s="872"/>
      <c r="Q382" s="872"/>
      <c r="R382" s="872"/>
      <c r="S382" s="872"/>
      <c r="T382" s="872"/>
      <c r="U382" s="872"/>
      <c r="V382" s="872"/>
      <c r="W382" s="872"/>
      <c r="X382" s="872"/>
      <c r="Y382" s="872"/>
      <c r="Z382" s="872"/>
    </row>
    <row r="383" ht="14.25" customHeight="1">
      <c r="A383" s="872"/>
      <c r="B383" s="872"/>
      <c r="C383" s="872"/>
      <c r="D383" s="872"/>
      <c r="E383" s="872"/>
      <c r="F383" s="872"/>
      <c r="G383" s="872"/>
      <c r="H383" s="872"/>
      <c r="I383" s="872"/>
      <c r="J383" s="872"/>
      <c r="K383" s="872"/>
      <c r="L383" s="872"/>
      <c r="M383" s="872"/>
      <c r="N383" s="872"/>
      <c r="O383" s="872"/>
      <c r="P383" s="872"/>
      <c r="Q383" s="872"/>
      <c r="R383" s="872"/>
      <c r="S383" s="872"/>
      <c r="T383" s="872"/>
      <c r="U383" s="872"/>
      <c r="V383" s="872"/>
      <c r="W383" s="872"/>
      <c r="X383" s="872"/>
      <c r="Y383" s="872"/>
      <c r="Z383" s="872"/>
    </row>
    <row r="384" ht="14.25" customHeight="1">
      <c r="A384" s="872"/>
      <c r="B384" s="872"/>
      <c r="C384" s="872"/>
      <c r="D384" s="872"/>
      <c r="E384" s="872"/>
      <c r="F384" s="872"/>
      <c r="G384" s="872"/>
      <c r="H384" s="872"/>
      <c r="I384" s="872"/>
      <c r="J384" s="872"/>
      <c r="K384" s="872"/>
      <c r="L384" s="872"/>
      <c r="M384" s="872"/>
      <c r="N384" s="872"/>
      <c r="O384" s="872"/>
      <c r="P384" s="872"/>
      <c r="Q384" s="872"/>
      <c r="R384" s="872"/>
      <c r="S384" s="872"/>
      <c r="T384" s="872"/>
      <c r="U384" s="872"/>
      <c r="V384" s="872"/>
      <c r="W384" s="872"/>
      <c r="X384" s="872"/>
      <c r="Y384" s="872"/>
      <c r="Z384" s="872"/>
    </row>
    <row r="385" ht="14.25" customHeight="1">
      <c r="A385" s="872"/>
      <c r="B385" s="872"/>
      <c r="C385" s="872"/>
      <c r="D385" s="872"/>
      <c r="E385" s="872"/>
      <c r="F385" s="872"/>
      <c r="G385" s="872"/>
      <c r="H385" s="872"/>
      <c r="I385" s="872"/>
      <c r="J385" s="872"/>
      <c r="K385" s="872"/>
      <c r="L385" s="872"/>
      <c r="M385" s="872"/>
      <c r="N385" s="872"/>
      <c r="O385" s="872"/>
      <c r="P385" s="872"/>
      <c r="Q385" s="872"/>
      <c r="R385" s="872"/>
      <c r="S385" s="872"/>
      <c r="T385" s="872"/>
      <c r="U385" s="872"/>
      <c r="V385" s="872"/>
      <c r="W385" s="872"/>
      <c r="X385" s="872"/>
      <c r="Y385" s="872"/>
      <c r="Z385" s="872"/>
    </row>
    <row r="386" ht="14.25" customHeight="1">
      <c r="A386" s="872"/>
      <c r="B386" s="872"/>
      <c r="C386" s="872"/>
      <c r="D386" s="872"/>
      <c r="E386" s="872"/>
      <c r="F386" s="872"/>
      <c r="G386" s="872"/>
      <c r="H386" s="872"/>
      <c r="I386" s="872"/>
      <c r="J386" s="872"/>
      <c r="K386" s="872"/>
      <c r="L386" s="872"/>
      <c r="M386" s="872"/>
      <c r="N386" s="872"/>
      <c r="O386" s="872"/>
      <c r="P386" s="872"/>
      <c r="Q386" s="872"/>
      <c r="R386" s="872"/>
      <c r="S386" s="872"/>
      <c r="T386" s="872"/>
      <c r="U386" s="872"/>
      <c r="V386" s="872"/>
      <c r="W386" s="872"/>
      <c r="X386" s="872"/>
      <c r="Y386" s="872"/>
      <c r="Z386" s="872"/>
    </row>
    <row r="387" ht="14.25" customHeight="1">
      <c r="A387" s="872"/>
      <c r="B387" s="872"/>
      <c r="C387" s="872"/>
      <c r="D387" s="872"/>
      <c r="E387" s="872"/>
      <c r="F387" s="872"/>
      <c r="G387" s="872"/>
      <c r="H387" s="872"/>
      <c r="I387" s="872"/>
      <c r="J387" s="872"/>
      <c r="K387" s="872"/>
      <c r="L387" s="872"/>
      <c r="M387" s="872"/>
      <c r="N387" s="872"/>
      <c r="O387" s="872"/>
      <c r="P387" s="872"/>
      <c r="Q387" s="872"/>
      <c r="R387" s="872"/>
      <c r="S387" s="872"/>
      <c r="T387" s="872"/>
      <c r="U387" s="872"/>
      <c r="V387" s="872"/>
      <c r="W387" s="872"/>
      <c r="X387" s="872"/>
      <c r="Y387" s="872"/>
      <c r="Z387" s="872"/>
    </row>
    <row r="388" ht="14.25" customHeight="1">
      <c r="A388" s="872"/>
      <c r="B388" s="872"/>
      <c r="C388" s="872"/>
      <c r="D388" s="872"/>
      <c r="E388" s="872"/>
      <c r="F388" s="872"/>
      <c r="G388" s="872"/>
      <c r="H388" s="872"/>
      <c r="I388" s="872"/>
      <c r="J388" s="872"/>
      <c r="K388" s="872"/>
      <c r="L388" s="872"/>
      <c r="M388" s="872"/>
      <c r="N388" s="872"/>
      <c r="O388" s="872"/>
      <c r="P388" s="872"/>
      <c r="Q388" s="872"/>
      <c r="R388" s="872"/>
      <c r="S388" s="872"/>
      <c r="T388" s="872"/>
      <c r="U388" s="872"/>
      <c r="V388" s="872"/>
      <c r="W388" s="872"/>
      <c r="X388" s="872"/>
      <c r="Y388" s="872"/>
      <c r="Z388" s="872"/>
    </row>
    <row r="389" ht="14.25" customHeight="1">
      <c r="A389" s="872"/>
      <c r="B389" s="872"/>
      <c r="C389" s="872"/>
      <c r="D389" s="872"/>
      <c r="E389" s="872"/>
      <c r="F389" s="872"/>
      <c r="G389" s="872"/>
      <c r="H389" s="872"/>
      <c r="I389" s="872"/>
      <c r="J389" s="872"/>
      <c r="K389" s="872"/>
      <c r="L389" s="872"/>
      <c r="M389" s="872"/>
      <c r="N389" s="872"/>
      <c r="O389" s="872"/>
      <c r="P389" s="872"/>
      <c r="Q389" s="872"/>
      <c r="R389" s="872"/>
      <c r="S389" s="872"/>
      <c r="T389" s="872"/>
      <c r="U389" s="872"/>
      <c r="V389" s="872"/>
      <c r="W389" s="872"/>
      <c r="X389" s="872"/>
      <c r="Y389" s="872"/>
      <c r="Z389" s="872"/>
    </row>
    <row r="390" ht="14.25" customHeight="1">
      <c r="A390" s="872"/>
      <c r="B390" s="872"/>
      <c r="C390" s="872"/>
      <c r="D390" s="872"/>
      <c r="E390" s="872"/>
      <c r="F390" s="872"/>
      <c r="G390" s="872"/>
      <c r="H390" s="872"/>
      <c r="I390" s="872"/>
      <c r="J390" s="872"/>
      <c r="K390" s="872"/>
      <c r="L390" s="872"/>
      <c r="M390" s="872"/>
      <c r="N390" s="872"/>
      <c r="O390" s="872"/>
      <c r="P390" s="872"/>
      <c r="Q390" s="872"/>
      <c r="R390" s="872"/>
      <c r="S390" s="872"/>
      <c r="T390" s="872"/>
      <c r="U390" s="872"/>
      <c r="V390" s="872"/>
      <c r="W390" s="872"/>
      <c r="X390" s="872"/>
      <c r="Y390" s="872"/>
      <c r="Z390" s="872"/>
    </row>
    <row r="391" ht="14.25" customHeight="1">
      <c r="A391" s="872"/>
      <c r="B391" s="872"/>
      <c r="C391" s="872"/>
      <c r="D391" s="872"/>
      <c r="E391" s="872"/>
      <c r="F391" s="872"/>
      <c r="G391" s="872"/>
      <c r="H391" s="872"/>
      <c r="I391" s="872"/>
      <c r="J391" s="872"/>
      <c r="K391" s="872"/>
      <c r="L391" s="872"/>
      <c r="M391" s="872"/>
      <c r="N391" s="872"/>
      <c r="O391" s="872"/>
      <c r="P391" s="872"/>
      <c r="Q391" s="872"/>
      <c r="R391" s="872"/>
      <c r="S391" s="872"/>
      <c r="T391" s="872"/>
      <c r="U391" s="872"/>
      <c r="V391" s="872"/>
      <c r="W391" s="872"/>
      <c r="X391" s="872"/>
      <c r="Y391" s="872"/>
      <c r="Z391" s="872"/>
    </row>
    <row r="392" ht="14.25" customHeight="1">
      <c r="A392" s="872"/>
      <c r="B392" s="872"/>
      <c r="C392" s="872"/>
      <c r="D392" s="872"/>
      <c r="E392" s="872"/>
      <c r="F392" s="872"/>
      <c r="G392" s="872"/>
      <c r="H392" s="872"/>
      <c r="I392" s="872"/>
      <c r="J392" s="872"/>
      <c r="K392" s="872"/>
      <c r="L392" s="872"/>
      <c r="M392" s="872"/>
      <c r="N392" s="872"/>
      <c r="O392" s="872"/>
      <c r="P392" s="872"/>
      <c r="Q392" s="872"/>
      <c r="R392" s="872"/>
      <c r="S392" s="872"/>
      <c r="T392" s="872"/>
      <c r="U392" s="872"/>
      <c r="V392" s="872"/>
      <c r="W392" s="872"/>
      <c r="X392" s="872"/>
      <c r="Y392" s="872"/>
      <c r="Z392" s="872"/>
    </row>
    <row r="393" ht="14.25" customHeight="1">
      <c r="A393" s="872"/>
      <c r="B393" s="872"/>
      <c r="C393" s="872"/>
      <c r="D393" s="872"/>
      <c r="E393" s="872"/>
      <c r="F393" s="872"/>
      <c r="G393" s="872"/>
      <c r="H393" s="872"/>
      <c r="I393" s="872"/>
      <c r="J393" s="872"/>
      <c r="K393" s="872"/>
      <c r="L393" s="872"/>
      <c r="M393" s="872"/>
      <c r="N393" s="872"/>
      <c r="O393" s="872"/>
      <c r="P393" s="872"/>
      <c r="Q393" s="872"/>
      <c r="R393" s="872"/>
      <c r="S393" s="872"/>
      <c r="T393" s="872"/>
      <c r="U393" s="872"/>
      <c r="V393" s="872"/>
      <c r="W393" s="872"/>
      <c r="X393" s="872"/>
      <c r="Y393" s="872"/>
      <c r="Z393" s="872"/>
    </row>
    <row r="394" ht="14.25" customHeight="1">
      <c r="A394" s="872"/>
      <c r="B394" s="872"/>
      <c r="C394" s="872"/>
      <c r="D394" s="872"/>
      <c r="E394" s="872"/>
      <c r="F394" s="872"/>
      <c r="G394" s="872"/>
      <c r="H394" s="872"/>
      <c r="I394" s="872"/>
      <c r="J394" s="872"/>
      <c r="K394" s="872"/>
      <c r="L394" s="872"/>
      <c r="M394" s="872"/>
      <c r="N394" s="872"/>
      <c r="O394" s="872"/>
      <c r="P394" s="872"/>
      <c r="Q394" s="872"/>
      <c r="R394" s="872"/>
      <c r="S394" s="872"/>
      <c r="T394" s="872"/>
      <c r="U394" s="872"/>
      <c r="V394" s="872"/>
      <c r="W394" s="872"/>
      <c r="X394" s="872"/>
      <c r="Y394" s="872"/>
      <c r="Z394" s="872"/>
    </row>
    <row r="395" ht="14.25" customHeight="1">
      <c r="A395" s="872"/>
      <c r="B395" s="872"/>
      <c r="C395" s="872"/>
      <c r="D395" s="872"/>
      <c r="E395" s="872"/>
      <c r="F395" s="872"/>
      <c r="G395" s="872"/>
      <c r="H395" s="872"/>
      <c r="I395" s="872"/>
      <c r="J395" s="872"/>
      <c r="K395" s="872"/>
      <c r="L395" s="872"/>
      <c r="M395" s="872"/>
      <c r="N395" s="872"/>
      <c r="O395" s="872"/>
      <c r="P395" s="872"/>
      <c r="Q395" s="872"/>
      <c r="R395" s="872"/>
      <c r="S395" s="872"/>
      <c r="T395" s="872"/>
      <c r="U395" s="872"/>
      <c r="V395" s="872"/>
      <c r="W395" s="872"/>
      <c r="X395" s="872"/>
      <c r="Y395" s="872"/>
      <c r="Z395" s="872"/>
    </row>
    <row r="396" ht="14.25" customHeight="1">
      <c r="A396" s="872"/>
      <c r="B396" s="872"/>
      <c r="C396" s="872"/>
      <c r="D396" s="872"/>
      <c r="E396" s="872"/>
      <c r="F396" s="872"/>
      <c r="G396" s="872"/>
      <c r="H396" s="872"/>
      <c r="I396" s="872"/>
      <c r="J396" s="872"/>
      <c r="K396" s="872"/>
      <c r="L396" s="872"/>
      <c r="M396" s="872"/>
      <c r="N396" s="872"/>
      <c r="O396" s="872"/>
      <c r="P396" s="872"/>
      <c r="Q396" s="872"/>
      <c r="R396" s="872"/>
      <c r="S396" s="872"/>
      <c r="T396" s="872"/>
      <c r="U396" s="872"/>
      <c r="V396" s="872"/>
      <c r="W396" s="872"/>
      <c r="X396" s="872"/>
      <c r="Y396" s="872"/>
      <c r="Z396" s="872"/>
    </row>
    <row r="397" ht="14.25" customHeight="1">
      <c r="A397" s="872"/>
      <c r="B397" s="872"/>
      <c r="C397" s="872"/>
      <c r="D397" s="872"/>
      <c r="E397" s="872"/>
      <c r="F397" s="872"/>
      <c r="G397" s="872"/>
      <c r="H397" s="872"/>
      <c r="I397" s="872"/>
      <c r="J397" s="872"/>
      <c r="K397" s="872"/>
      <c r="L397" s="872"/>
      <c r="M397" s="872"/>
      <c r="N397" s="872"/>
      <c r="O397" s="872"/>
      <c r="P397" s="872"/>
      <c r="Q397" s="872"/>
      <c r="R397" s="872"/>
      <c r="S397" s="872"/>
      <c r="T397" s="872"/>
      <c r="U397" s="872"/>
      <c r="V397" s="872"/>
      <c r="W397" s="872"/>
      <c r="X397" s="872"/>
      <c r="Y397" s="872"/>
      <c r="Z397" s="872"/>
    </row>
    <row r="398" ht="14.25" customHeight="1">
      <c r="A398" s="872"/>
      <c r="B398" s="872"/>
      <c r="C398" s="872"/>
      <c r="D398" s="872"/>
      <c r="E398" s="872"/>
      <c r="F398" s="872"/>
      <c r="G398" s="872"/>
      <c r="H398" s="872"/>
      <c r="I398" s="872"/>
      <c r="J398" s="872"/>
      <c r="K398" s="872"/>
      <c r="L398" s="872"/>
      <c r="M398" s="872"/>
      <c r="N398" s="872"/>
      <c r="O398" s="872"/>
      <c r="P398" s="872"/>
      <c r="Q398" s="872"/>
      <c r="R398" s="872"/>
      <c r="S398" s="872"/>
      <c r="T398" s="872"/>
      <c r="U398" s="872"/>
      <c r="V398" s="872"/>
      <c r="W398" s="872"/>
      <c r="X398" s="872"/>
      <c r="Y398" s="872"/>
      <c r="Z398" s="872"/>
    </row>
    <row r="399" ht="14.25" customHeight="1">
      <c r="A399" s="872"/>
      <c r="B399" s="872"/>
      <c r="C399" s="872"/>
      <c r="D399" s="872"/>
      <c r="E399" s="872"/>
      <c r="F399" s="872"/>
      <c r="G399" s="872"/>
      <c r="H399" s="872"/>
      <c r="I399" s="872"/>
      <c r="J399" s="872"/>
      <c r="K399" s="872"/>
      <c r="L399" s="872"/>
      <c r="M399" s="872"/>
      <c r="N399" s="872"/>
      <c r="O399" s="872"/>
      <c r="P399" s="872"/>
      <c r="Q399" s="872"/>
      <c r="R399" s="872"/>
      <c r="S399" s="872"/>
      <c r="T399" s="872"/>
      <c r="U399" s="872"/>
      <c r="V399" s="872"/>
      <c r="W399" s="872"/>
      <c r="X399" s="872"/>
      <c r="Y399" s="872"/>
      <c r="Z399" s="872"/>
    </row>
    <row r="400" ht="14.25" customHeight="1">
      <c r="A400" s="872"/>
      <c r="B400" s="872"/>
      <c r="C400" s="872"/>
      <c r="D400" s="872"/>
      <c r="E400" s="872"/>
      <c r="F400" s="872"/>
      <c r="G400" s="872"/>
      <c r="H400" s="872"/>
      <c r="I400" s="872"/>
      <c r="J400" s="872"/>
      <c r="K400" s="872"/>
      <c r="L400" s="872"/>
      <c r="M400" s="872"/>
      <c r="N400" s="872"/>
      <c r="O400" s="872"/>
      <c r="P400" s="872"/>
      <c r="Q400" s="872"/>
      <c r="R400" s="872"/>
      <c r="S400" s="872"/>
      <c r="T400" s="872"/>
      <c r="U400" s="872"/>
      <c r="V400" s="872"/>
      <c r="W400" s="872"/>
      <c r="X400" s="872"/>
      <c r="Y400" s="872"/>
      <c r="Z400" s="872"/>
    </row>
    <row r="401" ht="14.25" customHeight="1">
      <c r="A401" s="872"/>
      <c r="B401" s="872"/>
      <c r="C401" s="872"/>
      <c r="D401" s="872"/>
      <c r="E401" s="872"/>
      <c r="F401" s="872"/>
      <c r="G401" s="872"/>
      <c r="H401" s="872"/>
      <c r="I401" s="872"/>
      <c r="J401" s="872"/>
      <c r="K401" s="872"/>
      <c r="L401" s="872"/>
      <c r="M401" s="872"/>
      <c r="N401" s="872"/>
      <c r="O401" s="872"/>
      <c r="P401" s="872"/>
      <c r="Q401" s="872"/>
      <c r="R401" s="872"/>
      <c r="S401" s="872"/>
      <c r="T401" s="872"/>
      <c r="U401" s="872"/>
      <c r="V401" s="872"/>
      <c r="W401" s="872"/>
      <c r="X401" s="872"/>
      <c r="Y401" s="872"/>
      <c r="Z401" s="872"/>
    </row>
    <row r="402" ht="14.25" customHeight="1">
      <c r="A402" s="872"/>
      <c r="B402" s="872"/>
      <c r="C402" s="872"/>
      <c r="D402" s="872"/>
      <c r="E402" s="872"/>
      <c r="F402" s="872"/>
      <c r="G402" s="872"/>
      <c r="H402" s="872"/>
      <c r="I402" s="872"/>
      <c r="J402" s="872"/>
      <c r="K402" s="872"/>
      <c r="L402" s="872"/>
      <c r="M402" s="872"/>
      <c r="N402" s="872"/>
      <c r="O402" s="872"/>
      <c r="P402" s="872"/>
      <c r="Q402" s="872"/>
      <c r="R402" s="872"/>
      <c r="S402" s="872"/>
      <c r="T402" s="872"/>
      <c r="U402" s="872"/>
      <c r="V402" s="872"/>
      <c r="W402" s="872"/>
      <c r="X402" s="872"/>
      <c r="Y402" s="872"/>
      <c r="Z402" s="872"/>
    </row>
    <row r="403" ht="14.25" customHeight="1">
      <c r="A403" s="872"/>
      <c r="B403" s="872"/>
      <c r="C403" s="872"/>
      <c r="D403" s="872"/>
      <c r="E403" s="872"/>
      <c r="F403" s="872"/>
      <c r="G403" s="872"/>
      <c r="H403" s="872"/>
      <c r="I403" s="872"/>
      <c r="J403" s="872"/>
      <c r="K403" s="872"/>
      <c r="L403" s="872"/>
      <c r="M403" s="872"/>
      <c r="N403" s="872"/>
      <c r="O403" s="872"/>
      <c r="P403" s="872"/>
      <c r="Q403" s="872"/>
      <c r="R403" s="872"/>
      <c r="S403" s="872"/>
      <c r="T403" s="872"/>
      <c r="U403" s="872"/>
      <c r="V403" s="872"/>
      <c r="W403" s="872"/>
      <c r="X403" s="872"/>
      <c r="Y403" s="872"/>
      <c r="Z403" s="872"/>
    </row>
    <row r="404" ht="14.25" customHeight="1">
      <c r="A404" s="872"/>
      <c r="B404" s="872"/>
      <c r="C404" s="872"/>
      <c r="D404" s="872"/>
      <c r="E404" s="872"/>
      <c r="F404" s="872"/>
      <c r="G404" s="872"/>
      <c r="H404" s="872"/>
      <c r="I404" s="872"/>
      <c r="J404" s="872"/>
      <c r="K404" s="872"/>
      <c r="L404" s="872"/>
      <c r="M404" s="872"/>
      <c r="N404" s="872"/>
      <c r="O404" s="872"/>
      <c r="P404" s="872"/>
      <c r="Q404" s="872"/>
      <c r="R404" s="872"/>
      <c r="S404" s="872"/>
      <c r="T404" s="872"/>
      <c r="U404" s="872"/>
      <c r="V404" s="872"/>
      <c r="W404" s="872"/>
      <c r="X404" s="872"/>
      <c r="Y404" s="872"/>
      <c r="Z404" s="872"/>
    </row>
    <row r="405" ht="14.25" customHeight="1">
      <c r="A405" s="872"/>
      <c r="B405" s="872"/>
      <c r="C405" s="872"/>
      <c r="D405" s="872"/>
      <c r="E405" s="872"/>
      <c r="F405" s="872"/>
      <c r="G405" s="872"/>
      <c r="H405" s="872"/>
      <c r="I405" s="872"/>
      <c r="J405" s="872"/>
      <c r="K405" s="872"/>
      <c r="L405" s="872"/>
      <c r="M405" s="872"/>
      <c r="N405" s="872"/>
      <c r="O405" s="872"/>
      <c r="P405" s="872"/>
      <c r="Q405" s="872"/>
      <c r="R405" s="872"/>
      <c r="S405" s="872"/>
      <c r="T405" s="872"/>
      <c r="U405" s="872"/>
      <c r="V405" s="872"/>
      <c r="W405" s="872"/>
      <c r="X405" s="872"/>
      <c r="Y405" s="872"/>
      <c r="Z405" s="872"/>
    </row>
    <row r="406" ht="14.25" customHeight="1">
      <c r="A406" s="872"/>
      <c r="B406" s="872"/>
      <c r="C406" s="872"/>
      <c r="D406" s="872"/>
      <c r="E406" s="872"/>
      <c r="F406" s="872"/>
      <c r="G406" s="872"/>
      <c r="H406" s="872"/>
      <c r="I406" s="872"/>
      <c r="J406" s="872"/>
      <c r="K406" s="872"/>
      <c r="L406" s="872"/>
      <c r="M406" s="872"/>
      <c r="N406" s="872"/>
      <c r="O406" s="872"/>
      <c r="P406" s="872"/>
      <c r="Q406" s="872"/>
      <c r="R406" s="872"/>
      <c r="S406" s="872"/>
      <c r="T406" s="872"/>
      <c r="U406" s="872"/>
      <c r="V406" s="872"/>
      <c r="W406" s="872"/>
      <c r="X406" s="872"/>
      <c r="Y406" s="872"/>
      <c r="Z406" s="872"/>
    </row>
    <row r="407" ht="14.25" customHeight="1">
      <c r="A407" s="872"/>
      <c r="B407" s="872"/>
      <c r="C407" s="872"/>
      <c r="D407" s="872"/>
      <c r="E407" s="872"/>
      <c r="F407" s="872"/>
      <c r="G407" s="872"/>
      <c r="H407" s="872"/>
      <c r="I407" s="872"/>
      <c r="J407" s="872"/>
      <c r="K407" s="872"/>
      <c r="L407" s="872"/>
      <c r="M407" s="872"/>
      <c r="N407" s="872"/>
      <c r="O407" s="872"/>
      <c r="P407" s="872"/>
      <c r="Q407" s="872"/>
      <c r="R407" s="872"/>
      <c r="S407" s="872"/>
      <c r="T407" s="872"/>
      <c r="U407" s="872"/>
      <c r="V407" s="872"/>
      <c r="W407" s="872"/>
      <c r="X407" s="872"/>
      <c r="Y407" s="872"/>
      <c r="Z407" s="872"/>
    </row>
    <row r="408" ht="14.25" customHeight="1">
      <c r="A408" s="872"/>
      <c r="B408" s="872"/>
      <c r="C408" s="872"/>
      <c r="D408" s="872"/>
      <c r="E408" s="872"/>
      <c r="F408" s="872"/>
      <c r="G408" s="872"/>
      <c r="H408" s="872"/>
      <c r="I408" s="872"/>
      <c r="J408" s="872"/>
      <c r="K408" s="872"/>
      <c r="L408" s="872"/>
      <c r="M408" s="872"/>
      <c r="N408" s="872"/>
      <c r="O408" s="872"/>
      <c r="P408" s="872"/>
      <c r="Q408" s="872"/>
      <c r="R408" s="872"/>
      <c r="S408" s="872"/>
      <c r="T408" s="872"/>
      <c r="U408" s="872"/>
      <c r="V408" s="872"/>
      <c r="W408" s="872"/>
      <c r="X408" s="872"/>
      <c r="Y408" s="872"/>
      <c r="Z408" s="872"/>
    </row>
    <row r="409" ht="14.25" customHeight="1">
      <c r="A409" s="872"/>
      <c r="B409" s="872"/>
      <c r="C409" s="872"/>
      <c r="D409" s="872"/>
      <c r="E409" s="872"/>
      <c r="F409" s="872"/>
      <c r="G409" s="872"/>
      <c r="H409" s="872"/>
      <c r="I409" s="872"/>
      <c r="J409" s="872"/>
      <c r="K409" s="872"/>
      <c r="L409" s="872"/>
      <c r="M409" s="872"/>
      <c r="N409" s="872"/>
      <c r="O409" s="872"/>
      <c r="P409" s="872"/>
      <c r="Q409" s="872"/>
      <c r="R409" s="872"/>
      <c r="S409" s="872"/>
      <c r="T409" s="872"/>
      <c r="U409" s="872"/>
      <c r="V409" s="872"/>
      <c r="W409" s="872"/>
      <c r="X409" s="872"/>
      <c r="Y409" s="872"/>
      <c r="Z409" s="872"/>
    </row>
    <row r="410" ht="14.25" customHeight="1">
      <c r="A410" s="872"/>
      <c r="B410" s="872"/>
      <c r="C410" s="872"/>
      <c r="D410" s="872"/>
      <c r="E410" s="872"/>
      <c r="F410" s="872"/>
      <c r="G410" s="872"/>
      <c r="H410" s="872"/>
      <c r="I410" s="872"/>
      <c r="J410" s="872"/>
      <c r="K410" s="872"/>
      <c r="L410" s="872"/>
      <c r="M410" s="872"/>
      <c r="N410" s="872"/>
      <c r="O410" s="872"/>
      <c r="P410" s="872"/>
      <c r="Q410" s="872"/>
      <c r="R410" s="872"/>
      <c r="S410" s="872"/>
      <c r="T410" s="872"/>
      <c r="U410" s="872"/>
      <c r="V410" s="872"/>
      <c r="W410" s="872"/>
      <c r="X410" s="872"/>
      <c r="Y410" s="872"/>
      <c r="Z410" s="872"/>
    </row>
    <row r="411" ht="14.25" customHeight="1">
      <c r="A411" s="872"/>
      <c r="B411" s="872"/>
      <c r="C411" s="872"/>
      <c r="D411" s="872"/>
      <c r="E411" s="872"/>
      <c r="F411" s="872"/>
      <c r="G411" s="872"/>
      <c r="H411" s="872"/>
      <c r="I411" s="872"/>
      <c r="J411" s="872"/>
      <c r="K411" s="872"/>
      <c r="L411" s="872"/>
      <c r="M411" s="872"/>
      <c r="N411" s="872"/>
      <c r="O411" s="872"/>
      <c r="P411" s="872"/>
      <c r="Q411" s="872"/>
      <c r="R411" s="872"/>
      <c r="S411" s="872"/>
      <c r="T411" s="872"/>
      <c r="U411" s="872"/>
      <c r="V411" s="872"/>
      <c r="W411" s="872"/>
      <c r="X411" s="872"/>
      <c r="Y411" s="872"/>
      <c r="Z411" s="872"/>
    </row>
    <row r="412" ht="14.25" customHeight="1">
      <c r="A412" s="872"/>
      <c r="B412" s="872"/>
      <c r="C412" s="872"/>
      <c r="D412" s="872"/>
      <c r="E412" s="872"/>
      <c r="F412" s="872"/>
      <c r="G412" s="872"/>
      <c r="H412" s="872"/>
      <c r="I412" s="872"/>
      <c r="J412" s="872"/>
      <c r="K412" s="872"/>
      <c r="L412" s="872"/>
      <c r="M412" s="872"/>
      <c r="N412" s="872"/>
      <c r="O412" s="872"/>
      <c r="P412" s="872"/>
      <c r="Q412" s="872"/>
      <c r="R412" s="872"/>
      <c r="S412" s="872"/>
      <c r="T412" s="872"/>
      <c r="U412" s="872"/>
      <c r="V412" s="872"/>
      <c r="W412" s="872"/>
      <c r="X412" s="872"/>
      <c r="Y412" s="872"/>
      <c r="Z412" s="872"/>
    </row>
    <row r="413" ht="14.25" customHeight="1">
      <c r="A413" s="872"/>
      <c r="B413" s="872"/>
      <c r="C413" s="872"/>
      <c r="D413" s="872"/>
      <c r="E413" s="872"/>
      <c r="F413" s="872"/>
      <c r="G413" s="872"/>
      <c r="H413" s="872"/>
      <c r="I413" s="872"/>
      <c r="J413" s="872"/>
      <c r="K413" s="872"/>
      <c r="L413" s="872"/>
      <c r="M413" s="872"/>
      <c r="N413" s="872"/>
      <c r="O413" s="872"/>
      <c r="P413" s="872"/>
      <c r="Q413" s="872"/>
      <c r="R413" s="872"/>
      <c r="S413" s="872"/>
      <c r="T413" s="872"/>
      <c r="U413" s="872"/>
      <c r="V413" s="872"/>
      <c r="W413" s="872"/>
      <c r="X413" s="872"/>
      <c r="Y413" s="872"/>
      <c r="Z413" s="872"/>
    </row>
    <row r="414" ht="14.25" customHeight="1">
      <c r="A414" s="872"/>
      <c r="B414" s="872"/>
      <c r="C414" s="872"/>
      <c r="D414" s="872"/>
      <c r="E414" s="872"/>
      <c r="F414" s="872"/>
      <c r="G414" s="872"/>
      <c r="H414" s="872"/>
      <c r="I414" s="872"/>
      <c r="J414" s="872"/>
      <c r="K414" s="872"/>
      <c r="L414" s="872"/>
      <c r="M414" s="872"/>
      <c r="N414" s="872"/>
      <c r="O414" s="872"/>
      <c r="P414" s="872"/>
      <c r="Q414" s="872"/>
      <c r="R414" s="872"/>
      <c r="S414" s="872"/>
      <c r="T414" s="872"/>
      <c r="U414" s="872"/>
      <c r="V414" s="872"/>
      <c r="W414" s="872"/>
      <c r="X414" s="872"/>
      <c r="Y414" s="872"/>
      <c r="Z414" s="872"/>
    </row>
    <row r="415" ht="14.25" customHeight="1">
      <c r="A415" s="872"/>
      <c r="B415" s="872"/>
      <c r="C415" s="872"/>
      <c r="D415" s="872"/>
      <c r="E415" s="872"/>
      <c r="F415" s="872"/>
      <c r="G415" s="872"/>
      <c r="H415" s="872"/>
      <c r="I415" s="872"/>
      <c r="J415" s="872"/>
      <c r="K415" s="872"/>
      <c r="L415" s="872"/>
      <c r="M415" s="872"/>
      <c r="N415" s="872"/>
      <c r="O415" s="872"/>
      <c r="P415" s="872"/>
      <c r="Q415" s="872"/>
      <c r="R415" s="872"/>
      <c r="S415" s="872"/>
      <c r="T415" s="872"/>
      <c r="U415" s="872"/>
      <c r="V415" s="872"/>
      <c r="W415" s="872"/>
      <c r="X415" s="872"/>
      <c r="Y415" s="872"/>
      <c r="Z415" s="872"/>
    </row>
    <row r="416" ht="14.25" customHeight="1">
      <c r="A416" s="872"/>
      <c r="B416" s="872"/>
      <c r="C416" s="872"/>
      <c r="D416" s="872"/>
      <c r="E416" s="872"/>
      <c r="F416" s="872"/>
      <c r="G416" s="872"/>
      <c r="H416" s="872"/>
      <c r="I416" s="872"/>
      <c r="J416" s="872"/>
      <c r="K416" s="872"/>
      <c r="L416" s="872"/>
      <c r="M416" s="872"/>
      <c r="N416" s="872"/>
      <c r="O416" s="872"/>
      <c r="P416" s="872"/>
      <c r="Q416" s="872"/>
      <c r="R416" s="872"/>
      <c r="S416" s="872"/>
      <c r="T416" s="872"/>
      <c r="U416" s="872"/>
      <c r="V416" s="872"/>
      <c r="W416" s="872"/>
      <c r="X416" s="872"/>
      <c r="Y416" s="872"/>
      <c r="Z416" s="872"/>
    </row>
    <row r="417" ht="14.25" customHeight="1">
      <c r="A417" s="872"/>
      <c r="B417" s="872"/>
      <c r="C417" s="872"/>
      <c r="D417" s="872"/>
      <c r="E417" s="872"/>
      <c r="F417" s="872"/>
      <c r="G417" s="872"/>
      <c r="H417" s="872"/>
      <c r="I417" s="872"/>
      <c r="J417" s="872"/>
      <c r="K417" s="872"/>
      <c r="L417" s="872"/>
      <c r="M417" s="872"/>
      <c r="N417" s="872"/>
      <c r="O417" s="872"/>
      <c r="P417" s="872"/>
      <c r="Q417" s="872"/>
      <c r="R417" s="872"/>
      <c r="S417" s="872"/>
      <c r="T417" s="872"/>
      <c r="U417" s="872"/>
      <c r="V417" s="872"/>
      <c r="W417" s="872"/>
      <c r="X417" s="872"/>
      <c r="Y417" s="872"/>
      <c r="Z417" s="872"/>
    </row>
    <row r="418" ht="14.25" customHeight="1">
      <c r="A418" s="872"/>
      <c r="B418" s="872"/>
      <c r="C418" s="872"/>
      <c r="D418" s="872"/>
      <c r="E418" s="872"/>
      <c r="F418" s="872"/>
      <c r="G418" s="872"/>
      <c r="H418" s="872"/>
      <c r="I418" s="872"/>
      <c r="J418" s="872"/>
      <c r="K418" s="872"/>
      <c r="L418" s="872"/>
      <c r="M418" s="872"/>
      <c r="N418" s="872"/>
      <c r="O418" s="872"/>
      <c r="P418" s="872"/>
      <c r="Q418" s="872"/>
      <c r="R418" s="872"/>
      <c r="S418" s="872"/>
      <c r="T418" s="872"/>
      <c r="U418" s="872"/>
      <c r="V418" s="872"/>
      <c r="W418" s="872"/>
      <c r="X418" s="872"/>
      <c r="Y418" s="872"/>
      <c r="Z418" s="872"/>
    </row>
    <row r="419" ht="14.25" customHeight="1">
      <c r="A419" s="872"/>
      <c r="B419" s="872"/>
      <c r="C419" s="872"/>
      <c r="D419" s="872"/>
      <c r="E419" s="872"/>
      <c r="F419" s="872"/>
      <c r="G419" s="872"/>
      <c r="H419" s="872"/>
      <c r="I419" s="872"/>
      <c r="J419" s="872"/>
      <c r="K419" s="872"/>
      <c r="L419" s="872"/>
      <c r="M419" s="872"/>
      <c r="N419" s="872"/>
      <c r="O419" s="872"/>
      <c r="P419" s="872"/>
      <c r="Q419" s="872"/>
      <c r="R419" s="872"/>
      <c r="S419" s="872"/>
      <c r="T419" s="872"/>
      <c r="U419" s="872"/>
      <c r="V419" s="872"/>
      <c r="W419" s="872"/>
      <c r="X419" s="872"/>
      <c r="Y419" s="872"/>
      <c r="Z419" s="872"/>
    </row>
    <row r="420" ht="14.25" customHeight="1">
      <c r="A420" s="872"/>
      <c r="B420" s="872"/>
      <c r="C420" s="872"/>
      <c r="D420" s="872"/>
      <c r="E420" s="872"/>
      <c r="F420" s="872"/>
      <c r="G420" s="872"/>
      <c r="H420" s="872"/>
      <c r="I420" s="872"/>
      <c r="J420" s="872"/>
      <c r="K420" s="872"/>
      <c r="L420" s="872"/>
      <c r="M420" s="872"/>
      <c r="N420" s="872"/>
      <c r="O420" s="872"/>
      <c r="P420" s="872"/>
      <c r="Q420" s="872"/>
      <c r="R420" s="872"/>
      <c r="S420" s="872"/>
      <c r="T420" s="872"/>
      <c r="U420" s="872"/>
      <c r="V420" s="872"/>
      <c r="W420" s="872"/>
      <c r="X420" s="872"/>
      <c r="Y420" s="872"/>
      <c r="Z420" s="872"/>
    </row>
    <row r="421" ht="14.25" customHeight="1">
      <c r="A421" s="872"/>
      <c r="B421" s="872"/>
      <c r="C421" s="872"/>
      <c r="D421" s="872"/>
      <c r="E421" s="872"/>
      <c r="F421" s="872"/>
      <c r="G421" s="872"/>
      <c r="H421" s="872"/>
      <c r="I421" s="872"/>
      <c r="J421" s="872"/>
      <c r="K421" s="872"/>
      <c r="L421" s="872"/>
      <c r="M421" s="872"/>
      <c r="N421" s="872"/>
      <c r="O421" s="872"/>
      <c r="P421" s="872"/>
      <c r="Q421" s="872"/>
      <c r="R421" s="872"/>
      <c r="S421" s="872"/>
      <c r="T421" s="872"/>
      <c r="U421" s="872"/>
      <c r="V421" s="872"/>
      <c r="W421" s="872"/>
      <c r="X421" s="872"/>
      <c r="Y421" s="872"/>
      <c r="Z421" s="872"/>
    </row>
    <row r="422" ht="14.25" customHeight="1">
      <c r="A422" s="872"/>
      <c r="B422" s="872"/>
      <c r="C422" s="872"/>
      <c r="D422" s="872"/>
      <c r="E422" s="872"/>
      <c r="F422" s="872"/>
      <c r="G422" s="872"/>
      <c r="H422" s="872"/>
      <c r="I422" s="872"/>
      <c r="J422" s="872"/>
      <c r="K422" s="872"/>
      <c r="L422" s="872"/>
      <c r="M422" s="872"/>
      <c r="N422" s="872"/>
      <c r="O422" s="872"/>
      <c r="P422" s="872"/>
      <c r="Q422" s="872"/>
      <c r="R422" s="872"/>
      <c r="S422" s="872"/>
      <c r="T422" s="872"/>
      <c r="U422" s="872"/>
      <c r="V422" s="872"/>
      <c r="W422" s="872"/>
      <c r="X422" s="872"/>
      <c r="Y422" s="872"/>
      <c r="Z422" s="872"/>
    </row>
    <row r="423" ht="14.25" customHeight="1">
      <c r="A423" s="872"/>
      <c r="B423" s="872"/>
      <c r="C423" s="872"/>
      <c r="D423" s="872"/>
      <c r="E423" s="872"/>
      <c r="F423" s="872"/>
      <c r="G423" s="872"/>
      <c r="H423" s="872"/>
      <c r="I423" s="872"/>
      <c r="J423" s="872"/>
      <c r="K423" s="872"/>
      <c r="L423" s="872"/>
      <c r="M423" s="872"/>
      <c r="N423" s="872"/>
      <c r="O423" s="872"/>
      <c r="P423" s="872"/>
      <c r="Q423" s="872"/>
      <c r="R423" s="872"/>
      <c r="S423" s="872"/>
      <c r="T423" s="872"/>
      <c r="U423" s="872"/>
      <c r="V423" s="872"/>
      <c r="W423" s="872"/>
      <c r="X423" s="872"/>
      <c r="Y423" s="872"/>
      <c r="Z423" s="872"/>
    </row>
    <row r="424" ht="14.25" customHeight="1">
      <c r="A424" s="872"/>
      <c r="B424" s="872"/>
      <c r="C424" s="872"/>
      <c r="D424" s="872"/>
      <c r="E424" s="872"/>
      <c r="F424" s="872"/>
      <c r="G424" s="872"/>
      <c r="H424" s="872"/>
      <c r="I424" s="872"/>
      <c r="J424" s="872"/>
      <c r="K424" s="872"/>
      <c r="L424" s="872"/>
      <c r="M424" s="872"/>
      <c r="N424" s="872"/>
      <c r="O424" s="872"/>
      <c r="P424" s="872"/>
      <c r="Q424" s="872"/>
      <c r="R424" s="872"/>
      <c r="S424" s="872"/>
      <c r="T424" s="872"/>
      <c r="U424" s="872"/>
      <c r="V424" s="872"/>
      <c r="W424" s="872"/>
      <c r="X424" s="872"/>
      <c r="Y424" s="872"/>
      <c r="Z424" s="872"/>
    </row>
    <row r="425" ht="14.25" customHeight="1">
      <c r="A425" s="872"/>
      <c r="B425" s="872"/>
      <c r="C425" s="872"/>
      <c r="D425" s="872"/>
      <c r="E425" s="872"/>
      <c r="F425" s="872"/>
      <c r="G425" s="872"/>
      <c r="H425" s="872"/>
      <c r="I425" s="872"/>
      <c r="J425" s="872"/>
      <c r="K425" s="872"/>
      <c r="L425" s="872"/>
      <c r="M425" s="872"/>
      <c r="N425" s="872"/>
      <c r="O425" s="872"/>
      <c r="P425" s="872"/>
      <c r="Q425" s="872"/>
      <c r="R425" s="872"/>
      <c r="S425" s="872"/>
      <c r="T425" s="872"/>
      <c r="U425" s="872"/>
      <c r="V425" s="872"/>
      <c r="W425" s="872"/>
      <c r="X425" s="872"/>
      <c r="Y425" s="872"/>
      <c r="Z425" s="872"/>
    </row>
    <row r="426" ht="14.25" customHeight="1">
      <c r="A426" s="872"/>
      <c r="B426" s="872"/>
      <c r="C426" s="872"/>
      <c r="D426" s="872"/>
      <c r="E426" s="872"/>
      <c r="F426" s="872"/>
      <c r="G426" s="872"/>
      <c r="H426" s="872"/>
      <c r="I426" s="872"/>
      <c r="J426" s="872"/>
      <c r="K426" s="872"/>
      <c r="L426" s="872"/>
      <c r="M426" s="872"/>
      <c r="N426" s="872"/>
      <c r="O426" s="872"/>
      <c r="P426" s="872"/>
      <c r="Q426" s="872"/>
      <c r="R426" s="872"/>
      <c r="S426" s="872"/>
      <c r="T426" s="872"/>
      <c r="U426" s="872"/>
      <c r="V426" s="872"/>
      <c r="W426" s="872"/>
      <c r="X426" s="872"/>
      <c r="Y426" s="872"/>
      <c r="Z426" s="872"/>
    </row>
    <row r="427" ht="14.25" customHeight="1">
      <c r="A427" s="872"/>
      <c r="B427" s="872"/>
      <c r="C427" s="872"/>
      <c r="D427" s="872"/>
      <c r="E427" s="872"/>
      <c r="F427" s="872"/>
      <c r="G427" s="872"/>
      <c r="H427" s="872"/>
      <c r="I427" s="872"/>
      <c r="J427" s="872"/>
      <c r="K427" s="872"/>
      <c r="L427" s="872"/>
      <c r="M427" s="872"/>
      <c r="N427" s="872"/>
      <c r="O427" s="872"/>
      <c r="P427" s="872"/>
      <c r="Q427" s="872"/>
      <c r="R427" s="872"/>
      <c r="S427" s="872"/>
      <c r="T427" s="872"/>
      <c r="U427" s="872"/>
      <c r="V427" s="872"/>
      <c r="W427" s="872"/>
      <c r="X427" s="872"/>
      <c r="Y427" s="872"/>
      <c r="Z427" s="872"/>
    </row>
    <row r="428" ht="14.25" customHeight="1">
      <c r="A428" s="872"/>
      <c r="B428" s="872"/>
      <c r="C428" s="872"/>
      <c r="D428" s="872"/>
      <c r="E428" s="872"/>
      <c r="F428" s="872"/>
      <c r="G428" s="872"/>
      <c r="H428" s="872"/>
      <c r="I428" s="872"/>
      <c r="J428" s="872"/>
      <c r="K428" s="872"/>
      <c r="L428" s="872"/>
      <c r="M428" s="872"/>
      <c r="N428" s="872"/>
      <c r="O428" s="872"/>
      <c r="P428" s="872"/>
      <c r="Q428" s="872"/>
      <c r="R428" s="872"/>
      <c r="S428" s="872"/>
      <c r="T428" s="872"/>
      <c r="U428" s="872"/>
      <c r="V428" s="872"/>
      <c r="W428" s="872"/>
      <c r="X428" s="872"/>
      <c r="Y428" s="872"/>
      <c r="Z428" s="872"/>
    </row>
    <row r="429" ht="14.25" customHeight="1">
      <c r="A429" s="872"/>
      <c r="B429" s="872"/>
      <c r="C429" s="872"/>
      <c r="D429" s="872"/>
      <c r="E429" s="872"/>
      <c r="F429" s="872"/>
      <c r="G429" s="872"/>
      <c r="H429" s="872"/>
      <c r="I429" s="872"/>
      <c r="J429" s="872"/>
      <c r="K429" s="872"/>
      <c r="L429" s="872"/>
      <c r="M429" s="872"/>
      <c r="N429" s="872"/>
      <c r="O429" s="872"/>
      <c r="P429" s="872"/>
      <c r="Q429" s="872"/>
      <c r="R429" s="872"/>
      <c r="S429" s="872"/>
      <c r="T429" s="872"/>
      <c r="U429" s="872"/>
      <c r="V429" s="872"/>
      <c r="W429" s="872"/>
      <c r="X429" s="872"/>
      <c r="Y429" s="872"/>
      <c r="Z429" s="872"/>
    </row>
    <row r="430" ht="14.25" customHeight="1">
      <c r="A430" s="872"/>
      <c r="B430" s="872"/>
      <c r="C430" s="872"/>
      <c r="D430" s="872"/>
      <c r="E430" s="872"/>
      <c r="F430" s="872"/>
      <c r="G430" s="872"/>
      <c r="H430" s="872"/>
      <c r="I430" s="872"/>
      <c r="J430" s="872"/>
      <c r="K430" s="872"/>
      <c r="L430" s="872"/>
      <c r="M430" s="872"/>
      <c r="N430" s="872"/>
      <c r="O430" s="872"/>
      <c r="P430" s="872"/>
      <c r="Q430" s="872"/>
      <c r="R430" s="872"/>
      <c r="S430" s="872"/>
      <c r="T430" s="872"/>
      <c r="U430" s="872"/>
      <c r="V430" s="872"/>
      <c r="W430" s="872"/>
      <c r="X430" s="872"/>
      <c r="Y430" s="872"/>
      <c r="Z430" s="872"/>
    </row>
    <row r="431" ht="14.25" customHeight="1">
      <c r="A431" s="872"/>
      <c r="B431" s="872"/>
      <c r="C431" s="872"/>
      <c r="D431" s="872"/>
      <c r="E431" s="872"/>
      <c r="F431" s="872"/>
      <c r="G431" s="872"/>
      <c r="H431" s="872"/>
      <c r="I431" s="872"/>
      <c r="J431" s="872"/>
      <c r="K431" s="872"/>
      <c r="L431" s="872"/>
      <c r="M431" s="872"/>
      <c r="N431" s="872"/>
      <c r="O431" s="872"/>
      <c r="P431" s="872"/>
      <c r="Q431" s="872"/>
      <c r="R431" s="872"/>
      <c r="S431" s="872"/>
      <c r="T431" s="872"/>
      <c r="U431" s="872"/>
      <c r="V431" s="872"/>
      <c r="W431" s="872"/>
      <c r="X431" s="872"/>
      <c r="Y431" s="872"/>
      <c r="Z431" s="872"/>
    </row>
    <row r="432" ht="14.25" customHeight="1">
      <c r="A432" s="872"/>
      <c r="B432" s="872"/>
      <c r="C432" s="872"/>
      <c r="D432" s="872"/>
      <c r="E432" s="872"/>
      <c r="F432" s="872"/>
      <c r="G432" s="872"/>
      <c r="H432" s="872"/>
      <c r="I432" s="872"/>
      <c r="J432" s="872"/>
      <c r="K432" s="872"/>
      <c r="L432" s="872"/>
      <c r="M432" s="872"/>
      <c r="N432" s="872"/>
      <c r="O432" s="872"/>
      <c r="P432" s="872"/>
      <c r="Q432" s="872"/>
      <c r="R432" s="872"/>
      <c r="S432" s="872"/>
      <c r="T432" s="872"/>
      <c r="U432" s="872"/>
      <c r="V432" s="872"/>
      <c r="W432" s="872"/>
      <c r="X432" s="872"/>
      <c r="Y432" s="872"/>
      <c r="Z432" s="872"/>
    </row>
    <row r="433" ht="14.25" customHeight="1">
      <c r="A433" s="872"/>
      <c r="B433" s="872"/>
      <c r="C433" s="872"/>
      <c r="D433" s="872"/>
      <c r="E433" s="872"/>
      <c r="F433" s="872"/>
      <c r="G433" s="872"/>
      <c r="H433" s="872"/>
      <c r="I433" s="872"/>
      <c r="J433" s="872"/>
      <c r="K433" s="872"/>
      <c r="L433" s="872"/>
      <c r="M433" s="872"/>
      <c r="N433" s="872"/>
      <c r="O433" s="872"/>
      <c r="P433" s="872"/>
      <c r="Q433" s="872"/>
      <c r="R433" s="872"/>
      <c r="S433" s="872"/>
      <c r="T433" s="872"/>
      <c r="U433" s="872"/>
      <c r="V433" s="872"/>
      <c r="W433" s="872"/>
      <c r="X433" s="872"/>
      <c r="Y433" s="872"/>
      <c r="Z433" s="872"/>
    </row>
    <row r="434" ht="14.25" customHeight="1">
      <c r="A434" s="872"/>
      <c r="B434" s="872"/>
      <c r="C434" s="872"/>
      <c r="D434" s="872"/>
      <c r="E434" s="872"/>
      <c r="F434" s="872"/>
      <c r="G434" s="872"/>
      <c r="H434" s="872"/>
      <c r="I434" s="872"/>
      <c r="J434" s="872"/>
      <c r="K434" s="872"/>
      <c r="L434" s="872"/>
      <c r="M434" s="872"/>
      <c r="N434" s="872"/>
      <c r="O434" s="872"/>
      <c r="P434" s="872"/>
      <c r="Q434" s="872"/>
      <c r="R434" s="872"/>
      <c r="S434" s="872"/>
      <c r="T434" s="872"/>
      <c r="U434" s="872"/>
      <c r="V434" s="872"/>
      <c r="W434" s="872"/>
      <c r="X434" s="872"/>
      <c r="Y434" s="872"/>
      <c r="Z434" s="872"/>
    </row>
    <row r="435" ht="14.25" customHeight="1">
      <c r="A435" s="872"/>
      <c r="B435" s="872"/>
      <c r="C435" s="872"/>
      <c r="D435" s="872"/>
      <c r="E435" s="872"/>
      <c r="F435" s="872"/>
      <c r="G435" s="872"/>
      <c r="H435" s="872"/>
      <c r="I435" s="872"/>
      <c r="J435" s="872"/>
      <c r="K435" s="872"/>
      <c r="L435" s="872"/>
      <c r="M435" s="872"/>
      <c r="N435" s="872"/>
      <c r="O435" s="872"/>
      <c r="P435" s="872"/>
      <c r="Q435" s="872"/>
      <c r="R435" s="872"/>
      <c r="S435" s="872"/>
      <c r="T435" s="872"/>
      <c r="U435" s="872"/>
      <c r="V435" s="872"/>
      <c r="W435" s="872"/>
      <c r="X435" s="872"/>
      <c r="Y435" s="872"/>
      <c r="Z435" s="872"/>
    </row>
    <row r="436" ht="14.25" customHeight="1">
      <c r="A436" s="872"/>
      <c r="B436" s="872"/>
      <c r="C436" s="872"/>
      <c r="D436" s="872"/>
      <c r="E436" s="872"/>
      <c r="F436" s="872"/>
      <c r="G436" s="872"/>
      <c r="H436" s="872"/>
      <c r="I436" s="872"/>
      <c r="J436" s="872"/>
      <c r="K436" s="872"/>
      <c r="L436" s="872"/>
      <c r="M436" s="872"/>
      <c r="N436" s="872"/>
      <c r="O436" s="872"/>
      <c r="P436" s="872"/>
      <c r="Q436" s="872"/>
      <c r="R436" s="872"/>
      <c r="S436" s="872"/>
      <c r="T436" s="872"/>
      <c r="U436" s="872"/>
      <c r="V436" s="872"/>
      <c r="W436" s="872"/>
      <c r="X436" s="872"/>
      <c r="Y436" s="872"/>
      <c r="Z436" s="872"/>
    </row>
    <row r="437" ht="14.25" customHeight="1">
      <c r="A437" s="872"/>
      <c r="B437" s="872"/>
      <c r="C437" s="872"/>
      <c r="D437" s="872"/>
      <c r="E437" s="872"/>
      <c r="F437" s="872"/>
      <c r="G437" s="872"/>
      <c r="H437" s="872"/>
      <c r="I437" s="872"/>
      <c r="J437" s="872"/>
      <c r="K437" s="872"/>
      <c r="L437" s="872"/>
      <c r="M437" s="872"/>
      <c r="N437" s="872"/>
      <c r="O437" s="872"/>
      <c r="P437" s="872"/>
      <c r="Q437" s="872"/>
      <c r="R437" s="872"/>
      <c r="S437" s="872"/>
      <c r="T437" s="872"/>
      <c r="U437" s="872"/>
      <c r="V437" s="872"/>
      <c r="W437" s="872"/>
      <c r="X437" s="872"/>
      <c r="Y437" s="872"/>
      <c r="Z437" s="872"/>
    </row>
    <row r="438" ht="14.25" customHeight="1">
      <c r="A438" s="872"/>
      <c r="B438" s="872"/>
      <c r="C438" s="872"/>
      <c r="D438" s="872"/>
      <c r="E438" s="872"/>
      <c r="F438" s="872"/>
      <c r="G438" s="872"/>
      <c r="H438" s="872"/>
      <c r="I438" s="872"/>
      <c r="J438" s="872"/>
      <c r="K438" s="872"/>
      <c r="L438" s="872"/>
      <c r="M438" s="872"/>
      <c r="N438" s="872"/>
      <c r="O438" s="872"/>
      <c r="P438" s="872"/>
      <c r="Q438" s="872"/>
      <c r="R438" s="872"/>
      <c r="S438" s="872"/>
      <c r="T438" s="872"/>
      <c r="U438" s="872"/>
      <c r="V438" s="872"/>
      <c r="W438" s="872"/>
      <c r="X438" s="872"/>
      <c r="Y438" s="872"/>
      <c r="Z438" s="872"/>
    </row>
    <row r="439" ht="14.25" customHeight="1">
      <c r="A439" s="872"/>
      <c r="B439" s="872"/>
      <c r="C439" s="872"/>
      <c r="D439" s="872"/>
      <c r="E439" s="872"/>
      <c r="F439" s="872"/>
      <c r="G439" s="872"/>
      <c r="H439" s="872"/>
      <c r="I439" s="872"/>
      <c r="J439" s="872"/>
      <c r="K439" s="872"/>
      <c r="L439" s="872"/>
      <c r="M439" s="872"/>
      <c r="N439" s="872"/>
      <c r="O439" s="872"/>
      <c r="P439" s="872"/>
      <c r="Q439" s="872"/>
      <c r="R439" s="872"/>
      <c r="S439" s="872"/>
      <c r="T439" s="872"/>
      <c r="U439" s="872"/>
      <c r="V439" s="872"/>
      <c r="W439" s="872"/>
      <c r="X439" s="872"/>
      <c r="Y439" s="872"/>
      <c r="Z439" s="872"/>
    </row>
    <row r="440" ht="14.25" customHeight="1">
      <c r="A440" s="872"/>
      <c r="B440" s="872"/>
      <c r="C440" s="872"/>
      <c r="D440" s="872"/>
      <c r="E440" s="872"/>
      <c r="F440" s="872"/>
      <c r="G440" s="872"/>
      <c r="H440" s="872"/>
      <c r="I440" s="872"/>
      <c r="J440" s="872"/>
      <c r="K440" s="872"/>
      <c r="L440" s="872"/>
      <c r="M440" s="872"/>
      <c r="N440" s="872"/>
      <c r="O440" s="872"/>
      <c r="P440" s="872"/>
      <c r="Q440" s="872"/>
      <c r="R440" s="872"/>
      <c r="S440" s="872"/>
      <c r="T440" s="872"/>
      <c r="U440" s="872"/>
      <c r="V440" s="872"/>
      <c r="W440" s="872"/>
      <c r="X440" s="872"/>
      <c r="Y440" s="872"/>
      <c r="Z440" s="872"/>
    </row>
    <row r="441" ht="14.25" customHeight="1">
      <c r="A441" s="872"/>
      <c r="B441" s="872"/>
      <c r="C441" s="872"/>
      <c r="D441" s="872"/>
      <c r="E441" s="872"/>
      <c r="F441" s="872"/>
      <c r="G441" s="872"/>
      <c r="H441" s="872"/>
      <c r="I441" s="872"/>
      <c r="J441" s="872"/>
      <c r="K441" s="872"/>
      <c r="L441" s="872"/>
      <c r="M441" s="872"/>
      <c r="N441" s="872"/>
      <c r="O441" s="872"/>
      <c r="P441" s="872"/>
      <c r="Q441" s="872"/>
      <c r="R441" s="872"/>
      <c r="S441" s="872"/>
      <c r="T441" s="872"/>
      <c r="U441" s="872"/>
      <c r="V441" s="872"/>
      <c r="W441" s="872"/>
      <c r="X441" s="872"/>
      <c r="Y441" s="872"/>
      <c r="Z441" s="872"/>
    </row>
    <row r="442" ht="14.25" customHeight="1">
      <c r="A442" s="872"/>
      <c r="B442" s="872"/>
      <c r="C442" s="872"/>
      <c r="D442" s="872"/>
      <c r="E442" s="872"/>
      <c r="F442" s="872"/>
      <c r="G442" s="872"/>
      <c r="H442" s="872"/>
      <c r="I442" s="872"/>
      <c r="J442" s="872"/>
      <c r="K442" s="872"/>
      <c r="L442" s="872"/>
      <c r="M442" s="872"/>
      <c r="N442" s="872"/>
      <c r="O442" s="872"/>
      <c r="P442" s="872"/>
      <c r="Q442" s="872"/>
      <c r="R442" s="872"/>
      <c r="S442" s="872"/>
      <c r="T442" s="872"/>
      <c r="U442" s="872"/>
      <c r="V442" s="872"/>
      <c r="W442" s="872"/>
      <c r="X442" s="872"/>
      <c r="Y442" s="872"/>
      <c r="Z442" s="872"/>
    </row>
    <row r="443" ht="14.25" customHeight="1">
      <c r="A443" s="872"/>
      <c r="B443" s="872"/>
      <c r="C443" s="872"/>
      <c r="D443" s="872"/>
      <c r="E443" s="872"/>
      <c r="F443" s="872"/>
      <c r="G443" s="872"/>
      <c r="H443" s="872"/>
      <c r="I443" s="872"/>
      <c r="J443" s="872"/>
      <c r="K443" s="872"/>
      <c r="L443" s="872"/>
      <c r="M443" s="872"/>
      <c r="N443" s="872"/>
      <c r="O443" s="872"/>
      <c r="P443" s="872"/>
      <c r="Q443" s="872"/>
      <c r="R443" s="872"/>
      <c r="S443" s="872"/>
      <c r="T443" s="872"/>
      <c r="U443" s="872"/>
      <c r="V443" s="872"/>
      <c r="W443" s="872"/>
      <c r="X443" s="872"/>
      <c r="Y443" s="872"/>
      <c r="Z443" s="872"/>
    </row>
    <row r="444" ht="14.25" customHeight="1">
      <c r="A444" s="872"/>
      <c r="B444" s="872"/>
      <c r="C444" s="872"/>
      <c r="D444" s="872"/>
      <c r="E444" s="872"/>
      <c r="F444" s="872"/>
      <c r="G444" s="872"/>
      <c r="H444" s="872"/>
      <c r="I444" s="872"/>
      <c r="J444" s="872"/>
      <c r="K444" s="872"/>
      <c r="L444" s="872"/>
      <c r="M444" s="872"/>
      <c r="N444" s="872"/>
      <c r="O444" s="872"/>
      <c r="P444" s="872"/>
      <c r="Q444" s="872"/>
      <c r="R444" s="872"/>
      <c r="S444" s="872"/>
      <c r="T444" s="872"/>
      <c r="U444" s="872"/>
      <c r="V444" s="872"/>
      <c r="W444" s="872"/>
      <c r="X444" s="872"/>
      <c r="Y444" s="872"/>
      <c r="Z444" s="872"/>
    </row>
    <row r="445" ht="14.25" customHeight="1">
      <c r="A445" s="872"/>
      <c r="B445" s="872"/>
      <c r="C445" s="872"/>
      <c r="D445" s="872"/>
      <c r="E445" s="872"/>
      <c r="F445" s="872"/>
      <c r="G445" s="872"/>
      <c r="H445" s="872"/>
      <c r="I445" s="872"/>
      <c r="J445" s="872"/>
      <c r="K445" s="872"/>
      <c r="L445" s="872"/>
      <c r="M445" s="872"/>
      <c r="N445" s="872"/>
      <c r="O445" s="872"/>
      <c r="P445" s="872"/>
      <c r="Q445" s="872"/>
      <c r="R445" s="872"/>
      <c r="S445" s="872"/>
      <c r="T445" s="872"/>
      <c r="U445" s="872"/>
      <c r="V445" s="872"/>
      <c r="W445" s="872"/>
      <c r="X445" s="872"/>
      <c r="Y445" s="872"/>
      <c r="Z445" s="872"/>
    </row>
    <row r="446" ht="14.25" customHeight="1">
      <c r="A446" s="872"/>
      <c r="B446" s="872"/>
      <c r="C446" s="872"/>
      <c r="D446" s="872"/>
      <c r="E446" s="872"/>
      <c r="F446" s="872"/>
      <c r="G446" s="872"/>
      <c r="H446" s="872"/>
      <c r="I446" s="872"/>
      <c r="J446" s="872"/>
      <c r="K446" s="872"/>
      <c r="L446" s="872"/>
      <c r="M446" s="872"/>
      <c r="N446" s="872"/>
      <c r="O446" s="872"/>
      <c r="P446" s="872"/>
      <c r="Q446" s="872"/>
      <c r="R446" s="872"/>
      <c r="S446" s="872"/>
      <c r="T446" s="872"/>
      <c r="U446" s="872"/>
      <c r="V446" s="872"/>
      <c r="W446" s="872"/>
      <c r="X446" s="872"/>
      <c r="Y446" s="872"/>
      <c r="Z446" s="872"/>
    </row>
    <row r="447" ht="14.25" customHeight="1">
      <c r="A447" s="872"/>
      <c r="B447" s="872"/>
      <c r="C447" s="872"/>
      <c r="D447" s="872"/>
      <c r="E447" s="872"/>
      <c r="F447" s="872"/>
      <c r="G447" s="872"/>
      <c r="H447" s="872"/>
      <c r="I447" s="872"/>
      <c r="J447" s="872"/>
      <c r="K447" s="872"/>
      <c r="L447" s="872"/>
      <c r="M447" s="872"/>
      <c r="N447" s="872"/>
      <c r="O447" s="872"/>
      <c r="P447" s="872"/>
      <c r="Q447" s="872"/>
      <c r="R447" s="872"/>
      <c r="S447" s="872"/>
      <c r="T447" s="872"/>
      <c r="U447" s="872"/>
      <c r="V447" s="872"/>
      <c r="W447" s="872"/>
      <c r="X447" s="872"/>
      <c r="Y447" s="872"/>
      <c r="Z447" s="872"/>
    </row>
    <row r="448" ht="14.25" customHeight="1">
      <c r="A448" s="872"/>
      <c r="B448" s="872"/>
      <c r="C448" s="872"/>
      <c r="D448" s="872"/>
      <c r="E448" s="872"/>
      <c r="F448" s="872"/>
      <c r="G448" s="872"/>
      <c r="H448" s="872"/>
      <c r="I448" s="872"/>
      <c r="J448" s="872"/>
      <c r="K448" s="872"/>
      <c r="L448" s="872"/>
      <c r="M448" s="872"/>
      <c r="N448" s="872"/>
      <c r="O448" s="872"/>
      <c r="P448" s="872"/>
      <c r="Q448" s="872"/>
      <c r="R448" s="872"/>
      <c r="S448" s="872"/>
      <c r="T448" s="872"/>
      <c r="U448" s="872"/>
      <c r="V448" s="872"/>
      <c r="W448" s="872"/>
      <c r="X448" s="872"/>
      <c r="Y448" s="872"/>
      <c r="Z448" s="872"/>
    </row>
    <row r="449" ht="14.25" customHeight="1">
      <c r="A449" s="872"/>
      <c r="B449" s="872"/>
      <c r="C449" s="872"/>
      <c r="D449" s="872"/>
      <c r="E449" s="872"/>
      <c r="F449" s="872"/>
      <c r="G449" s="872"/>
      <c r="H449" s="872"/>
      <c r="I449" s="872"/>
      <c r="J449" s="872"/>
      <c r="K449" s="872"/>
      <c r="L449" s="872"/>
      <c r="M449" s="872"/>
      <c r="N449" s="872"/>
      <c r="O449" s="872"/>
      <c r="P449" s="872"/>
      <c r="Q449" s="872"/>
      <c r="R449" s="872"/>
      <c r="S449" s="872"/>
      <c r="T449" s="872"/>
      <c r="U449" s="872"/>
      <c r="V449" s="872"/>
      <c r="W449" s="872"/>
      <c r="X449" s="872"/>
      <c r="Y449" s="872"/>
      <c r="Z449" s="872"/>
    </row>
    <row r="450" ht="14.25" customHeight="1">
      <c r="A450" s="872"/>
      <c r="B450" s="872"/>
      <c r="C450" s="872"/>
      <c r="D450" s="872"/>
      <c r="E450" s="872"/>
      <c r="F450" s="872"/>
      <c r="G450" s="872"/>
      <c r="H450" s="872"/>
      <c r="I450" s="872"/>
      <c r="J450" s="872"/>
      <c r="K450" s="872"/>
      <c r="L450" s="872"/>
      <c r="M450" s="872"/>
      <c r="N450" s="872"/>
      <c r="O450" s="872"/>
      <c r="P450" s="872"/>
      <c r="Q450" s="872"/>
      <c r="R450" s="872"/>
      <c r="S450" s="872"/>
      <c r="T450" s="872"/>
      <c r="U450" s="872"/>
      <c r="V450" s="872"/>
      <c r="W450" s="872"/>
      <c r="X450" s="872"/>
      <c r="Y450" s="872"/>
      <c r="Z450" s="872"/>
    </row>
    <row r="451" ht="14.25" customHeight="1">
      <c r="A451" s="872"/>
      <c r="B451" s="872"/>
      <c r="C451" s="872"/>
      <c r="D451" s="872"/>
      <c r="E451" s="872"/>
      <c r="F451" s="872"/>
      <c r="G451" s="872"/>
      <c r="H451" s="872"/>
      <c r="I451" s="872"/>
      <c r="J451" s="872"/>
      <c r="K451" s="872"/>
      <c r="L451" s="872"/>
      <c r="M451" s="872"/>
      <c r="N451" s="872"/>
      <c r="O451" s="872"/>
      <c r="P451" s="872"/>
      <c r="Q451" s="872"/>
      <c r="R451" s="872"/>
      <c r="S451" s="872"/>
      <c r="T451" s="872"/>
      <c r="U451" s="872"/>
      <c r="V451" s="872"/>
      <c r="W451" s="872"/>
      <c r="X451" s="872"/>
      <c r="Y451" s="872"/>
      <c r="Z451" s="872"/>
    </row>
    <row r="452" ht="14.25" customHeight="1">
      <c r="A452" s="872"/>
      <c r="B452" s="872"/>
      <c r="C452" s="872"/>
      <c r="D452" s="872"/>
      <c r="E452" s="872"/>
      <c r="F452" s="872"/>
      <c r="G452" s="872"/>
      <c r="H452" s="872"/>
      <c r="I452" s="872"/>
      <c r="J452" s="872"/>
      <c r="K452" s="872"/>
      <c r="L452" s="872"/>
      <c r="M452" s="872"/>
      <c r="N452" s="872"/>
      <c r="O452" s="872"/>
      <c r="P452" s="872"/>
      <c r="Q452" s="872"/>
      <c r="R452" s="872"/>
      <c r="S452" s="872"/>
      <c r="T452" s="872"/>
      <c r="U452" s="872"/>
      <c r="V452" s="872"/>
      <c r="W452" s="872"/>
      <c r="X452" s="872"/>
      <c r="Y452" s="872"/>
      <c r="Z452" s="872"/>
    </row>
    <row r="453" ht="14.25" customHeight="1">
      <c r="A453" s="872"/>
      <c r="B453" s="872"/>
      <c r="C453" s="872"/>
      <c r="D453" s="872"/>
      <c r="E453" s="872"/>
      <c r="F453" s="872"/>
      <c r="G453" s="872"/>
      <c r="H453" s="872"/>
      <c r="I453" s="872"/>
      <c r="J453" s="872"/>
      <c r="K453" s="872"/>
      <c r="L453" s="872"/>
      <c r="M453" s="872"/>
      <c r="N453" s="872"/>
      <c r="O453" s="872"/>
      <c r="P453" s="872"/>
      <c r="Q453" s="872"/>
      <c r="R453" s="872"/>
      <c r="S453" s="872"/>
      <c r="T453" s="872"/>
      <c r="U453" s="872"/>
      <c r="V453" s="872"/>
      <c r="W453" s="872"/>
      <c r="X453" s="872"/>
      <c r="Y453" s="872"/>
      <c r="Z453" s="872"/>
    </row>
    <row r="454" ht="14.25" customHeight="1">
      <c r="A454" s="872"/>
      <c r="B454" s="872"/>
      <c r="C454" s="872"/>
      <c r="D454" s="872"/>
      <c r="E454" s="872"/>
      <c r="F454" s="872"/>
      <c r="G454" s="872"/>
      <c r="H454" s="872"/>
      <c r="I454" s="872"/>
      <c r="J454" s="872"/>
      <c r="K454" s="872"/>
      <c r="L454" s="872"/>
      <c r="M454" s="872"/>
      <c r="N454" s="872"/>
      <c r="O454" s="872"/>
      <c r="P454" s="872"/>
      <c r="Q454" s="872"/>
      <c r="R454" s="872"/>
      <c r="S454" s="872"/>
      <c r="T454" s="872"/>
      <c r="U454" s="872"/>
      <c r="V454" s="872"/>
      <c r="W454" s="872"/>
      <c r="X454" s="872"/>
      <c r="Y454" s="872"/>
      <c r="Z454" s="872"/>
    </row>
    <row r="455" ht="14.25" customHeight="1">
      <c r="A455" s="872"/>
      <c r="B455" s="872"/>
      <c r="C455" s="872"/>
      <c r="D455" s="872"/>
      <c r="E455" s="872"/>
      <c r="F455" s="872"/>
      <c r="G455" s="872"/>
      <c r="H455" s="872"/>
      <c r="I455" s="872"/>
      <c r="J455" s="872"/>
      <c r="K455" s="872"/>
      <c r="L455" s="872"/>
      <c r="M455" s="872"/>
      <c r="N455" s="872"/>
      <c r="O455" s="872"/>
      <c r="P455" s="872"/>
      <c r="Q455" s="872"/>
      <c r="R455" s="872"/>
      <c r="S455" s="872"/>
      <c r="T455" s="872"/>
      <c r="U455" s="872"/>
      <c r="V455" s="872"/>
      <c r="W455" s="872"/>
      <c r="X455" s="872"/>
      <c r="Y455" s="872"/>
      <c r="Z455" s="872"/>
    </row>
    <row r="456" ht="14.25" customHeight="1">
      <c r="A456" s="872"/>
      <c r="B456" s="872"/>
      <c r="C456" s="872"/>
      <c r="D456" s="872"/>
      <c r="E456" s="872"/>
      <c r="F456" s="872"/>
      <c r="G456" s="872"/>
      <c r="H456" s="872"/>
      <c r="I456" s="872"/>
      <c r="J456" s="872"/>
      <c r="K456" s="872"/>
      <c r="L456" s="872"/>
      <c r="M456" s="872"/>
      <c r="N456" s="872"/>
      <c r="O456" s="872"/>
      <c r="P456" s="872"/>
      <c r="Q456" s="872"/>
      <c r="R456" s="872"/>
      <c r="S456" s="872"/>
      <c r="T456" s="872"/>
      <c r="U456" s="872"/>
      <c r="V456" s="872"/>
      <c r="W456" s="872"/>
      <c r="X456" s="872"/>
      <c r="Y456" s="872"/>
      <c r="Z456" s="872"/>
    </row>
    <row r="457" ht="14.25" customHeight="1">
      <c r="A457" s="872"/>
      <c r="B457" s="872"/>
      <c r="C457" s="872"/>
      <c r="D457" s="872"/>
      <c r="E457" s="872"/>
      <c r="F457" s="872"/>
      <c r="G457" s="872"/>
      <c r="H457" s="872"/>
      <c r="I457" s="872"/>
      <c r="J457" s="872"/>
      <c r="K457" s="872"/>
      <c r="L457" s="872"/>
      <c r="M457" s="872"/>
      <c r="N457" s="872"/>
      <c r="O457" s="872"/>
      <c r="P457" s="872"/>
      <c r="Q457" s="872"/>
      <c r="R457" s="872"/>
      <c r="S457" s="872"/>
      <c r="T457" s="872"/>
      <c r="U457" s="872"/>
      <c r="V457" s="872"/>
      <c r="W457" s="872"/>
      <c r="X457" s="872"/>
      <c r="Y457" s="872"/>
      <c r="Z457" s="872"/>
    </row>
    <row r="458" ht="14.25" customHeight="1">
      <c r="A458" s="872"/>
      <c r="B458" s="872"/>
      <c r="C458" s="872"/>
      <c r="D458" s="872"/>
      <c r="E458" s="872"/>
      <c r="F458" s="872"/>
      <c r="G458" s="872"/>
      <c r="H458" s="872"/>
      <c r="I458" s="872"/>
      <c r="J458" s="872"/>
      <c r="K458" s="872"/>
      <c r="L458" s="872"/>
      <c r="M458" s="872"/>
      <c r="N458" s="872"/>
      <c r="O458" s="872"/>
      <c r="P458" s="872"/>
      <c r="Q458" s="872"/>
      <c r="R458" s="872"/>
      <c r="S458" s="872"/>
      <c r="T458" s="872"/>
      <c r="U458" s="872"/>
      <c r="V458" s="872"/>
      <c r="W458" s="872"/>
      <c r="X458" s="872"/>
      <c r="Y458" s="872"/>
      <c r="Z458" s="872"/>
    </row>
    <row r="459" ht="14.25" customHeight="1">
      <c r="A459" s="872"/>
      <c r="B459" s="872"/>
      <c r="C459" s="872"/>
      <c r="D459" s="872"/>
      <c r="E459" s="872"/>
      <c r="F459" s="872"/>
      <c r="G459" s="872"/>
      <c r="H459" s="872"/>
      <c r="I459" s="872"/>
      <c r="J459" s="872"/>
      <c r="K459" s="872"/>
      <c r="L459" s="872"/>
      <c r="M459" s="872"/>
      <c r="N459" s="872"/>
      <c r="O459" s="872"/>
      <c r="P459" s="872"/>
      <c r="Q459" s="872"/>
      <c r="R459" s="872"/>
      <c r="S459" s="872"/>
      <c r="T459" s="872"/>
      <c r="U459" s="872"/>
      <c r="V459" s="872"/>
      <c r="W459" s="872"/>
      <c r="X459" s="872"/>
      <c r="Y459" s="872"/>
      <c r="Z459" s="872"/>
    </row>
    <row r="460" ht="14.25" customHeight="1">
      <c r="A460" s="872"/>
      <c r="B460" s="872"/>
      <c r="C460" s="872"/>
      <c r="D460" s="872"/>
      <c r="E460" s="872"/>
      <c r="F460" s="872"/>
      <c r="G460" s="872"/>
      <c r="H460" s="872"/>
      <c r="I460" s="872"/>
      <c r="J460" s="872"/>
      <c r="K460" s="872"/>
      <c r="L460" s="872"/>
      <c r="M460" s="872"/>
      <c r="N460" s="872"/>
      <c r="O460" s="872"/>
      <c r="P460" s="872"/>
      <c r="Q460" s="872"/>
      <c r="R460" s="872"/>
      <c r="S460" s="872"/>
      <c r="T460" s="872"/>
      <c r="U460" s="872"/>
      <c r="V460" s="872"/>
      <c r="W460" s="872"/>
      <c r="X460" s="872"/>
      <c r="Y460" s="872"/>
      <c r="Z460" s="872"/>
    </row>
    <row r="461" ht="14.25" customHeight="1">
      <c r="A461" s="872"/>
      <c r="B461" s="872"/>
      <c r="C461" s="872"/>
      <c r="D461" s="872"/>
      <c r="E461" s="872"/>
      <c r="F461" s="872"/>
      <c r="G461" s="872"/>
      <c r="H461" s="872"/>
      <c r="I461" s="872"/>
      <c r="J461" s="872"/>
      <c r="K461" s="872"/>
      <c r="L461" s="872"/>
      <c r="M461" s="872"/>
      <c r="N461" s="872"/>
      <c r="O461" s="872"/>
      <c r="P461" s="872"/>
      <c r="Q461" s="872"/>
      <c r="R461" s="872"/>
      <c r="S461" s="872"/>
      <c r="T461" s="872"/>
      <c r="U461" s="872"/>
      <c r="V461" s="872"/>
      <c r="W461" s="872"/>
      <c r="X461" s="872"/>
      <c r="Y461" s="872"/>
      <c r="Z461" s="872"/>
    </row>
    <row r="462" ht="14.25" customHeight="1">
      <c r="A462" s="872"/>
      <c r="B462" s="872"/>
      <c r="C462" s="872"/>
      <c r="D462" s="872"/>
      <c r="E462" s="872"/>
      <c r="F462" s="872"/>
      <c r="G462" s="872"/>
      <c r="H462" s="872"/>
      <c r="I462" s="872"/>
      <c r="J462" s="872"/>
      <c r="K462" s="872"/>
      <c r="L462" s="872"/>
      <c r="M462" s="872"/>
      <c r="N462" s="872"/>
      <c r="O462" s="872"/>
      <c r="P462" s="872"/>
      <c r="Q462" s="872"/>
      <c r="R462" s="872"/>
      <c r="S462" s="872"/>
      <c r="T462" s="872"/>
      <c r="U462" s="872"/>
      <c r="V462" s="872"/>
      <c r="W462" s="872"/>
      <c r="X462" s="872"/>
      <c r="Y462" s="872"/>
      <c r="Z462" s="872"/>
    </row>
    <row r="463" ht="14.25" customHeight="1">
      <c r="A463" s="872"/>
      <c r="B463" s="872"/>
      <c r="C463" s="872"/>
      <c r="D463" s="872"/>
      <c r="E463" s="872"/>
      <c r="F463" s="872"/>
      <c r="G463" s="872"/>
      <c r="H463" s="872"/>
      <c r="I463" s="872"/>
      <c r="J463" s="872"/>
      <c r="K463" s="872"/>
      <c r="L463" s="872"/>
      <c r="M463" s="872"/>
      <c r="N463" s="872"/>
      <c r="O463" s="872"/>
      <c r="P463" s="872"/>
      <c r="Q463" s="872"/>
      <c r="R463" s="872"/>
      <c r="S463" s="872"/>
      <c r="T463" s="872"/>
      <c r="U463" s="872"/>
      <c r="V463" s="872"/>
      <c r="W463" s="872"/>
      <c r="X463" s="872"/>
      <c r="Y463" s="872"/>
      <c r="Z463" s="872"/>
    </row>
    <row r="464" ht="14.25" customHeight="1">
      <c r="A464" s="872"/>
      <c r="B464" s="872"/>
      <c r="C464" s="872"/>
      <c r="D464" s="872"/>
      <c r="E464" s="872"/>
      <c r="F464" s="872"/>
      <c r="G464" s="872"/>
      <c r="H464" s="872"/>
      <c r="I464" s="872"/>
      <c r="J464" s="872"/>
      <c r="K464" s="872"/>
      <c r="L464" s="872"/>
      <c r="M464" s="872"/>
      <c r="N464" s="872"/>
      <c r="O464" s="872"/>
      <c r="P464" s="872"/>
      <c r="Q464" s="872"/>
      <c r="R464" s="872"/>
      <c r="S464" s="872"/>
      <c r="T464" s="872"/>
      <c r="U464" s="872"/>
      <c r="V464" s="872"/>
      <c r="W464" s="872"/>
      <c r="X464" s="872"/>
      <c r="Y464" s="872"/>
      <c r="Z464" s="872"/>
    </row>
    <row r="465" ht="14.25" customHeight="1">
      <c r="A465" s="872"/>
      <c r="B465" s="872"/>
      <c r="C465" s="872"/>
      <c r="D465" s="872"/>
      <c r="E465" s="872"/>
      <c r="F465" s="872"/>
      <c r="G465" s="872"/>
      <c r="H465" s="872"/>
      <c r="I465" s="872"/>
      <c r="J465" s="872"/>
      <c r="K465" s="872"/>
      <c r="L465" s="872"/>
      <c r="M465" s="872"/>
      <c r="N465" s="872"/>
      <c r="O465" s="872"/>
      <c r="P465" s="872"/>
      <c r="Q465" s="872"/>
      <c r="R465" s="872"/>
      <c r="S465" s="872"/>
      <c r="T465" s="872"/>
      <c r="U465" s="872"/>
      <c r="V465" s="872"/>
      <c r="W465" s="872"/>
      <c r="X465" s="872"/>
      <c r="Y465" s="872"/>
      <c r="Z465" s="872"/>
    </row>
    <row r="466" ht="14.25" customHeight="1">
      <c r="A466" s="872"/>
      <c r="B466" s="872"/>
      <c r="C466" s="872"/>
      <c r="D466" s="872"/>
      <c r="E466" s="872"/>
      <c r="F466" s="872"/>
      <c r="G466" s="872"/>
      <c r="H466" s="872"/>
      <c r="I466" s="872"/>
      <c r="J466" s="872"/>
      <c r="K466" s="872"/>
      <c r="L466" s="872"/>
      <c r="M466" s="872"/>
      <c r="N466" s="872"/>
      <c r="O466" s="872"/>
      <c r="P466" s="872"/>
      <c r="Q466" s="872"/>
      <c r="R466" s="872"/>
      <c r="S466" s="872"/>
      <c r="T466" s="872"/>
      <c r="U466" s="872"/>
      <c r="V466" s="872"/>
      <c r="W466" s="872"/>
      <c r="X466" s="872"/>
      <c r="Y466" s="872"/>
      <c r="Z466" s="872"/>
    </row>
    <row r="467" ht="14.25" customHeight="1">
      <c r="A467" s="872"/>
      <c r="B467" s="872"/>
      <c r="C467" s="872"/>
      <c r="D467" s="872"/>
      <c r="E467" s="872"/>
      <c r="F467" s="872"/>
      <c r="G467" s="872"/>
      <c r="H467" s="872"/>
      <c r="I467" s="872"/>
      <c r="J467" s="872"/>
      <c r="K467" s="872"/>
      <c r="L467" s="872"/>
      <c r="M467" s="872"/>
      <c r="N467" s="872"/>
      <c r="O467" s="872"/>
      <c r="P467" s="872"/>
      <c r="Q467" s="872"/>
      <c r="R467" s="872"/>
      <c r="S467" s="872"/>
      <c r="T467" s="872"/>
      <c r="U467" s="872"/>
      <c r="V467" s="872"/>
      <c r="W467" s="872"/>
      <c r="X467" s="872"/>
      <c r="Y467" s="872"/>
      <c r="Z467" s="872"/>
    </row>
    <row r="468" ht="14.25" customHeight="1">
      <c r="A468" s="872"/>
      <c r="B468" s="872"/>
      <c r="C468" s="872"/>
      <c r="D468" s="872"/>
      <c r="E468" s="872"/>
      <c r="F468" s="872"/>
      <c r="G468" s="872"/>
      <c r="H468" s="872"/>
      <c r="I468" s="872"/>
      <c r="J468" s="872"/>
      <c r="K468" s="872"/>
      <c r="L468" s="872"/>
      <c r="M468" s="872"/>
      <c r="N468" s="872"/>
      <c r="O468" s="872"/>
      <c r="P468" s="872"/>
      <c r="Q468" s="872"/>
      <c r="R468" s="872"/>
      <c r="S468" s="872"/>
      <c r="T468" s="872"/>
      <c r="U468" s="872"/>
      <c r="V468" s="872"/>
      <c r="W468" s="872"/>
      <c r="X468" s="872"/>
      <c r="Y468" s="872"/>
      <c r="Z468" s="872"/>
    </row>
    <row r="469" ht="14.25" customHeight="1">
      <c r="A469" s="872"/>
      <c r="B469" s="872"/>
      <c r="C469" s="872"/>
      <c r="D469" s="872"/>
      <c r="E469" s="872"/>
      <c r="F469" s="872"/>
      <c r="G469" s="872"/>
      <c r="H469" s="872"/>
      <c r="I469" s="872"/>
      <c r="J469" s="872"/>
      <c r="K469" s="872"/>
      <c r="L469" s="872"/>
      <c r="M469" s="872"/>
      <c r="N469" s="872"/>
      <c r="O469" s="872"/>
      <c r="P469" s="872"/>
      <c r="Q469" s="872"/>
      <c r="R469" s="872"/>
      <c r="S469" s="872"/>
      <c r="T469" s="872"/>
      <c r="U469" s="872"/>
      <c r="V469" s="872"/>
      <c r="W469" s="872"/>
      <c r="X469" s="872"/>
      <c r="Y469" s="872"/>
      <c r="Z469" s="872"/>
    </row>
    <row r="470" ht="14.25" customHeight="1">
      <c r="A470" s="872"/>
      <c r="B470" s="872"/>
      <c r="C470" s="872"/>
      <c r="D470" s="872"/>
      <c r="E470" s="872"/>
      <c r="F470" s="872"/>
      <c r="G470" s="872"/>
      <c r="H470" s="872"/>
      <c r="I470" s="872"/>
      <c r="J470" s="872"/>
      <c r="K470" s="872"/>
      <c r="L470" s="872"/>
      <c r="M470" s="872"/>
      <c r="N470" s="872"/>
      <c r="O470" s="872"/>
      <c r="P470" s="872"/>
      <c r="Q470" s="872"/>
      <c r="R470" s="872"/>
      <c r="S470" s="872"/>
      <c r="T470" s="872"/>
      <c r="U470" s="872"/>
      <c r="V470" s="872"/>
      <c r="W470" s="872"/>
      <c r="X470" s="872"/>
      <c r="Y470" s="872"/>
      <c r="Z470" s="872"/>
    </row>
    <row r="471" ht="14.25" customHeight="1">
      <c r="A471" s="872"/>
      <c r="B471" s="872"/>
      <c r="C471" s="872"/>
      <c r="D471" s="872"/>
      <c r="E471" s="872"/>
      <c r="F471" s="872"/>
      <c r="G471" s="872"/>
      <c r="H471" s="872"/>
      <c r="I471" s="872"/>
      <c r="J471" s="872"/>
      <c r="K471" s="872"/>
      <c r="L471" s="872"/>
      <c r="M471" s="872"/>
      <c r="N471" s="872"/>
      <c r="O471" s="872"/>
      <c r="P471" s="872"/>
      <c r="Q471" s="872"/>
      <c r="R471" s="872"/>
      <c r="S471" s="872"/>
      <c r="T471" s="872"/>
      <c r="U471" s="872"/>
      <c r="V471" s="872"/>
      <c r="W471" s="872"/>
      <c r="X471" s="872"/>
      <c r="Y471" s="872"/>
      <c r="Z471" s="872"/>
    </row>
    <row r="472" ht="14.25" customHeight="1">
      <c r="A472" s="872"/>
      <c r="B472" s="872"/>
      <c r="C472" s="872"/>
      <c r="D472" s="872"/>
      <c r="E472" s="872"/>
      <c r="F472" s="872"/>
      <c r="G472" s="872"/>
      <c r="H472" s="872"/>
      <c r="I472" s="872"/>
      <c r="J472" s="872"/>
      <c r="K472" s="872"/>
      <c r="L472" s="872"/>
      <c r="M472" s="872"/>
      <c r="N472" s="872"/>
      <c r="O472" s="872"/>
      <c r="P472" s="872"/>
      <c r="Q472" s="872"/>
      <c r="R472" s="872"/>
      <c r="S472" s="872"/>
      <c r="T472" s="872"/>
      <c r="U472" s="872"/>
      <c r="V472" s="872"/>
      <c r="W472" s="872"/>
      <c r="X472" s="872"/>
      <c r="Y472" s="872"/>
      <c r="Z472" s="872"/>
    </row>
    <row r="473" ht="14.25" customHeight="1">
      <c r="A473" s="872"/>
      <c r="B473" s="872"/>
      <c r="C473" s="872"/>
      <c r="D473" s="872"/>
      <c r="E473" s="872"/>
      <c r="F473" s="872"/>
      <c r="G473" s="872"/>
      <c r="H473" s="872"/>
      <c r="I473" s="872"/>
      <c r="J473" s="872"/>
      <c r="K473" s="872"/>
      <c r="L473" s="872"/>
      <c r="M473" s="872"/>
      <c r="N473" s="872"/>
      <c r="O473" s="872"/>
      <c r="P473" s="872"/>
      <c r="Q473" s="872"/>
      <c r="R473" s="872"/>
      <c r="S473" s="872"/>
      <c r="T473" s="872"/>
      <c r="U473" s="872"/>
      <c r="V473" s="872"/>
      <c r="W473" s="872"/>
      <c r="X473" s="872"/>
      <c r="Y473" s="872"/>
      <c r="Z473" s="872"/>
    </row>
    <row r="474" ht="14.25" customHeight="1">
      <c r="A474" s="872"/>
      <c r="B474" s="872"/>
      <c r="C474" s="872"/>
      <c r="D474" s="872"/>
      <c r="E474" s="872"/>
      <c r="F474" s="872"/>
      <c r="G474" s="872"/>
      <c r="H474" s="872"/>
      <c r="I474" s="872"/>
      <c r="J474" s="872"/>
      <c r="K474" s="872"/>
      <c r="L474" s="872"/>
      <c r="M474" s="872"/>
      <c r="N474" s="872"/>
      <c r="O474" s="872"/>
      <c r="P474" s="872"/>
      <c r="Q474" s="872"/>
      <c r="R474" s="872"/>
      <c r="S474" s="872"/>
      <c r="T474" s="872"/>
      <c r="U474" s="872"/>
      <c r="V474" s="872"/>
      <c r="W474" s="872"/>
      <c r="X474" s="872"/>
      <c r="Y474" s="872"/>
      <c r="Z474" s="872"/>
    </row>
    <row r="475" ht="14.25" customHeight="1">
      <c r="A475" s="872"/>
      <c r="B475" s="872"/>
      <c r="C475" s="872"/>
      <c r="D475" s="872"/>
      <c r="E475" s="872"/>
      <c r="F475" s="872"/>
      <c r="G475" s="872"/>
      <c r="H475" s="872"/>
      <c r="I475" s="872"/>
      <c r="J475" s="872"/>
      <c r="K475" s="872"/>
      <c r="L475" s="872"/>
      <c r="M475" s="872"/>
      <c r="N475" s="872"/>
      <c r="O475" s="872"/>
      <c r="P475" s="872"/>
      <c r="Q475" s="872"/>
      <c r="R475" s="872"/>
      <c r="S475" s="872"/>
      <c r="T475" s="872"/>
      <c r="U475" s="872"/>
      <c r="V475" s="872"/>
      <c r="W475" s="872"/>
      <c r="X475" s="872"/>
      <c r="Y475" s="872"/>
      <c r="Z475" s="872"/>
    </row>
    <row r="476" ht="14.25" customHeight="1">
      <c r="A476" s="872"/>
      <c r="B476" s="872"/>
      <c r="C476" s="872"/>
      <c r="D476" s="872"/>
      <c r="E476" s="872"/>
      <c r="F476" s="872"/>
      <c r="G476" s="872"/>
      <c r="H476" s="872"/>
      <c r="I476" s="872"/>
      <c r="J476" s="872"/>
      <c r="K476" s="872"/>
      <c r="L476" s="872"/>
      <c r="M476" s="872"/>
      <c r="N476" s="872"/>
      <c r="O476" s="872"/>
      <c r="P476" s="872"/>
      <c r="Q476" s="872"/>
      <c r="R476" s="872"/>
      <c r="S476" s="872"/>
      <c r="T476" s="872"/>
      <c r="U476" s="872"/>
      <c r="V476" s="872"/>
      <c r="W476" s="872"/>
      <c r="X476" s="872"/>
      <c r="Y476" s="872"/>
      <c r="Z476" s="872"/>
    </row>
    <row r="477" ht="14.25" customHeight="1">
      <c r="A477" s="872"/>
      <c r="B477" s="872"/>
      <c r="C477" s="872"/>
      <c r="D477" s="872"/>
      <c r="E477" s="872"/>
      <c r="F477" s="872"/>
      <c r="G477" s="872"/>
      <c r="H477" s="872"/>
      <c r="I477" s="872"/>
      <c r="J477" s="872"/>
      <c r="K477" s="872"/>
      <c r="L477" s="872"/>
      <c r="M477" s="872"/>
      <c r="N477" s="872"/>
      <c r="O477" s="872"/>
      <c r="P477" s="872"/>
      <c r="Q477" s="872"/>
      <c r="R477" s="872"/>
      <c r="S477" s="872"/>
      <c r="T477" s="872"/>
      <c r="U477" s="872"/>
      <c r="V477" s="872"/>
      <c r="W477" s="872"/>
      <c r="X477" s="872"/>
      <c r="Y477" s="872"/>
      <c r="Z477" s="872"/>
    </row>
    <row r="478" ht="14.25" customHeight="1">
      <c r="A478" s="872"/>
      <c r="B478" s="872"/>
      <c r="C478" s="872"/>
      <c r="D478" s="872"/>
      <c r="E478" s="872"/>
      <c r="F478" s="872"/>
      <c r="G478" s="872"/>
      <c r="H478" s="872"/>
      <c r="I478" s="872"/>
      <c r="J478" s="872"/>
      <c r="K478" s="872"/>
      <c r="L478" s="872"/>
      <c r="M478" s="872"/>
      <c r="N478" s="872"/>
      <c r="O478" s="872"/>
      <c r="P478" s="872"/>
      <c r="Q478" s="872"/>
      <c r="R478" s="872"/>
      <c r="S478" s="872"/>
      <c r="T478" s="872"/>
      <c r="U478" s="872"/>
      <c r="V478" s="872"/>
      <c r="W478" s="872"/>
      <c r="X478" s="872"/>
      <c r="Y478" s="872"/>
      <c r="Z478" s="872"/>
    </row>
    <row r="479" ht="14.25" customHeight="1">
      <c r="A479" s="872"/>
      <c r="B479" s="872"/>
      <c r="C479" s="872"/>
      <c r="D479" s="872"/>
      <c r="E479" s="872"/>
      <c r="F479" s="872"/>
      <c r="G479" s="872"/>
      <c r="H479" s="872"/>
      <c r="I479" s="872"/>
      <c r="J479" s="872"/>
      <c r="K479" s="872"/>
      <c r="L479" s="872"/>
      <c r="M479" s="872"/>
      <c r="N479" s="872"/>
      <c r="O479" s="872"/>
      <c r="P479" s="872"/>
      <c r="Q479" s="872"/>
      <c r="R479" s="872"/>
      <c r="S479" s="872"/>
      <c r="T479" s="872"/>
      <c r="U479" s="872"/>
      <c r="V479" s="872"/>
      <c r="W479" s="872"/>
      <c r="X479" s="872"/>
      <c r="Y479" s="872"/>
      <c r="Z479" s="872"/>
    </row>
    <row r="480" ht="14.25" customHeight="1">
      <c r="A480" s="872"/>
      <c r="B480" s="872"/>
      <c r="C480" s="872"/>
      <c r="D480" s="872"/>
      <c r="E480" s="872"/>
      <c r="F480" s="872"/>
      <c r="G480" s="872"/>
      <c r="H480" s="872"/>
      <c r="I480" s="872"/>
      <c r="J480" s="872"/>
      <c r="K480" s="872"/>
      <c r="L480" s="872"/>
      <c r="M480" s="872"/>
      <c r="N480" s="872"/>
      <c r="O480" s="872"/>
      <c r="P480" s="872"/>
      <c r="Q480" s="872"/>
      <c r="R480" s="872"/>
      <c r="S480" s="872"/>
      <c r="T480" s="872"/>
      <c r="U480" s="872"/>
      <c r="V480" s="872"/>
      <c r="W480" s="872"/>
      <c r="X480" s="872"/>
      <c r="Y480" s="872"/>
      <c r="Z480" s="872"/>
    </row>
    <row r="481" ht="14.25" customHeight="1">
      <c r="A481" s="872"/>
      <c r="B481" s="872"/>
      <c r="C481" s="872"/>
      <c r="D481" s="872"/>
      <c r="E481" s="872"/>
      <c r="F481" s="872"/>
      <c r="G481" s="872"/>
      <c r="H481" s="872"/>
      <c r="I481" s="872"/>
      <c r="J481" s="872"/>
      <c r="K481" s="872"/>
      <c r="L481" s="872"/>
      <c r="M481" s="872"/>
      <c r="N481" s="872"/>
      <c r="O481" s="872"/>
      <c r="P481" s="872"/>
      <c r="Q481" s="872"/>
      <c r="R481" s="872"/>
      <c r="S481" s="872"/>
      <c r="T481" s="872"/>
      <c r="U481" s="872"/>
      <c r="V481" s="872"/>
      <c r="W481" s="872"/>
      <c r="X481" s="872"/>
      <c r="Y481" s="872"/>
      <c r="Z481" s="872"/>
    </row>
    <row r="482" ht="14.25" customHeight="1">
      <c r="A482" s="872"/>
      <c r="B482" s="872"/>
      <c r="C482" s="872"/>
      <c r="D482" s="872"/>
      <c r="E482" s="872"/>
      <c r="F482" s="872"/>
      <c r="G482" s="872"/>
      <c r="H482" s="872"/>
      <c r="I482" s="872"/>
      <c r="J482" s="872"/>
      <c r="K482" s="872"/>
      <c r="L482" s="872"/>
      <c r="M482" s="872"/>
      <c r="N482" s="872"/>
      <c r="O482" s="872"/>
      <c r="P482" s="872"/>
      <c r="Q482" s="872"/>
      <c r="R482" s="872"/>
      <c r="S482" s="872"/>
      <c r="T482" s="872"/>
      <c r="U482" s="872"/>
      <c r="V482" s="872"/>
      <c r="W482" s="872"/>
      <c r="X482" s="872"/>
      <c r="Y482" s="872"/>
      <c r="Z482" s="872"/>
    </row>
    <row r="483" ht="14.25" customHeight="1">
      <c r="A483" s="872"/>
      <c r="B483" s="872"/>
      <c r="C483" s="872"/>
      <c r="D483" s="872"/>
      <c r="E483" s="872"/>
      <c r="F483" s="872"/>
      <c r="G483" s="872"/>
      <c r="H483" s="872"/>
      <c r="I483" s="872"/>
      <c r="J483" s="872"/>
      <c r="K483" s="872"/>
      <c r="L483" s="872"/>
      <c r="M483" s="872"/>
      <c r="N483" s="872"/>
      <c r="O483" s="872"/>
      <c r="P483" s="872"/>
      <c r="Q483" s="872"/>
      <c r="R483" s="872"/>
      <c r="S483" s="872"/>
      <c r="T483" s="872"/>
      <c r="U483" s="872"/>
      <c r="V483" s="872"/>
      <c r="W483" s="872"/>
      <c r="X483" s="872"/>
      <c r="Y483" s="872"/>
      <c r="Z483" s="872"/>
    </row>
    <row r="484" ht="14.25" customHeight="1">
      <c r="A484" s="872"/>
      <c r="B484" s="872"/>
      <c r="C484" s="872"/>
      <c r="D484" s="872"/>
      <c r="E484" s="872"/>
      <c r="F484" s="872"/>
      <c r="G484" s="872"/>
      <c r="H484" s="872"/>
      <c r="I484" s="872"/>
      <c r="J484" s="872"/>
      <c r="K484" s="872"/>
      <c r="L484" s="872"/>
      <c r="M484" s="872"/>
      <c r="N484" s="872"/>
      <c r="O484" s="872"/>
      <c r="P484" s="872"/>
      <c r="Q484" s="872"/>
      <c r="R484" s="872"/>
      <c r="S484" s="872"/>
      <c r="T484" s="872"/>
      <c r="U484" s="872"/>
      <c r="V484" s="872"/>
      <c r="W484" s="872"/>
      <c r="X484" s="872"/>
      <c r="Y484" s="872"/>
      <c r="Z484" s="872"/>
    </row>
    <row r="485" ht="14.25" customHeight="1">
      <c r="A485" s="872"/>
      <c r="B485" s="872"/>
      <c r="C485" s="872"/>
      <c r="D485" s="872"/>
      <c r="E485" s="872"/>
      <c r="F485" s="872"/>
      <c r="G485" s="872"/>
      <c r="H485" s="872"/>
      <c r="I485" s="872"/>
      <c r="J485" s="872"/>
      <c r="K485" s="872"/>
      <c r="L485" s="872"/>
      <c r="M485" s="872"/>
      <c r="N485" s="872"/>
      <c r="O485" s="872"/>
      <c r="P485" s="872"/>
      <c r="Q485" s="872"/>
      <c r="R485" s="872"/>
      <c r="S485" s="872"/>
      <c r="T485" s="872"/>
      <c r="U485" s="872"/>
      <c r="V485" s="872"/>
      <c r="W485" s="872"/>
      <c r="X485" s="872"/>
      <c r="Y485" s="872"/>
      <c r="Z485" s="872"/>
    </row>
    <row r="486" ht="14.25" customHeight="1">
      <c r="A486" s="872"/>
      <c r="B486" s="872"/>
      <c r="C486" s="872"/>
      <c r="D486" s="872"/>
      <c r="E486" s="872"/>
      <c r="F486" s="872"/>
      <c r="G486" s="872"/>
      <c r="H486" s="872"/>
      <c r="I486" s="872"/>
      <c r="J486" s="872"/>
      <c r="K486" s="872"/>
      <c r="L486" s="872"/>
      <c r="M486" s="872"/>
      <c r="N486" s="872"/>
      <c r="O486" s="872"/>
      <c r="P486" s="872"/>
      <c r="Q486" s="872"/>
      <c r="R486" s="872"/>
      <c r="S486" s="872"/>
      <c r="T486" s="872"/>
      <c r="U486" s="872"/>
      <c r="V486" s="872"/>
      <c r="W486" s="872"/>
      <c r="X486" s="872"/>
      <c r="Y486" s="872"/>
      <c r="Z486" s="872"/>
    </row>
    <row r="487" ht="14.25" customHeight="1">
      <c r="A487" s="872"/>
      <c r="B487" s="872"/>
      <c r="C487" s="872"/>
      <c r="D487" s="872"/>
      <c r="E487" s="872"/>
      <c r="F487" s="872"/>
      <c r="G487" s="872"/>
      <c r="H487" s="872"/>
      <c r="I487" s="872"/>
      <c r="J487" s="872"/>
      <c r="K487" s="872"/>
      <c r="L487" s="872"/>
      <c r="M487" s="872"/>
      <c r="N487" s="872"/>
      <c r="O487" s="872"/>
      <c r="P487" s="872"/>
      <c r="Q487" s="872"/>
      <c r="R487" s="872"/>
      <c r="S487" s="872"/>
      <c r="T487" s="872"/>
      <c r="U487" s="872"/>
      <c r="V487" s="872"/>
      <c r="W487" s="872"/>
      <c r="X487" s="872"/>
      <c r="Y487" s="872"/>
      <c r="Z487" s="872"/>
    </row>
    <row r="488" ht="14.25" customHeight="1">
      <c r="A488" s="872"/>
      <c r="B488" s="872"/>
      <c r="C488" s="872"/>
      <c r="D488" s="872"/>
      <c r="E488" s="872"/>
      <c r="F488" s="872"/>
      <c r="G488" s="872"/>
      <c r="H488" s="872"/>
      <c r="I488" s="872"/>
      <c r="J488" s="872"/>
      <c r="K488" s="872"/>
      <c r="L488" s="872"/>
      <c r="M488" s="872"/>
      <c r="N488" s="872"/>
      <c r="O488" s="872"/>
      <c r="P488" s="872"/>
      <c r="Q488" s="872"/>
      <c r="R488" s="872"/>
      <c r="S488" s="872"/>
      <c r="T488" s="872"/>
      <c r="U488" s="872"/>
      <c r="V488" s="872"/>
      <c r="W488" s="872"/>
      <c r="X488" s="872"/>
      <c r="Y488" s="872"/>
      <c r="Z488" s="872"/>
    </row>
    <row r="489" ht="14.25" customHeight="1">
      <c r="A489" s="872"/>
      <c r="B489" s="872"/>
      <c r="C489" s="872"/>
      <c r="D489" s="872"/>
      <c r="E489" s="872"/>
      <c r="F489" s="872"/>
      <c r="G489" s="872"/>
      <c r="H489" s="872"/>
      <c r="I489" s="872"/>
      <c r="J489" s="872"/>
      <c r="K489" s="872"/>
      <c r="L489" s="872"/>
      <c r="M489" s="872"/>
      <c r="N489" s="872"/>
      <c r="O489" s="872"/>
      <c r="P489" s="872"/>
      <c r="Q489" s="872"/>
      <c r="R489" s="872"/>
      <c r="S489" s="872"/>
      <c r="T489" s="872"/>
      <c r="U489" s="872"/>
      <c r="V489" s="872"/>
      <c r="W489" s="872"/>
      <c r="X489" s="872"/>
      <c r="Y489" s="872"/>
      <c r="Z489" s="872"/>
    </row>
    <row r="490" ht="14.25" customHeight="1">
      <c r="A490" s="872"/>
      <c r="B490" s="872"/>
      <c r="C490" s="872"/>
      <c r="D490" s="872"/>
      <c r="E490" s="872"/>
      <c r="F490" s="872"/>
      <c r="G490" s="872"/>
      <c r="H490" s="872"/>
      <c r="I490" s="872"/>
      <c r="J490" s="872"/>
      <c r="K490" s="872"/>
      <c r="L490" s="872"/>
      <c r="M490" s="872"/>
      <c r="N490" s="872"/>
      <c r="O490" s="872"/>
      <c r="P490" s="872"/>
      <c r="Q490" s="872"/>
      <c r="R490" s="872"/>
      <c r="S490" s="872"/>
      <c r="T490" s="872"/>
      <c r="U490" s="872"/>
      <c r="V490" s="872"/>
      <c r="W490" s="872"/>
      <c r="X490" s="872"/>
      <c r="Y490" s="872"/>
      <c r="Z490" s="872"/>
    </row>
    <row r="491" ht="14.25" customHeight="1">
      <c r="A491" s="872"/>
      <c r="B491" s="872"/>
      <c r="C491" s="872"/>
      <c r="D491" s="872"/>
      <c r="E491" s="872"/>
      <c r="F491" s="872"/>
      <c r="G491" s="872"/>
      <c r="H491" s="872"/>
      <c r="I491" s="872"/>
      <c r="J491" s="872"/>
      <c r="K491" s="872"/>
      <c r="L491" s="872"/>
      <c r="M491" s="872"/>
      <c r="N491" s="872"/>
      <c r="O491" s="872"/>
      <c r="P491" s="872"/>
      <c r="Q491" s="872"/>
      <c r="R491" s="872"/>
      <c r="S491" s="872"/>
      <c r="T491" s="872"/>
      <c r="U491" s="872"/>
      <c r="V491" s="872"/>
      <c r="W491" s="872"/>
      <c r="X491" s="872"/>
      <c r="Y491" s="872"/>
      <c r="Z491" s="872"/>
    </row>
    <row r="492" ht="14.25" customHeight="1">
      <c r="A492" s="872"/>
      <c r="B492" s="872"/>
      <c r="C492" s="872"/>
      <c r="D492" s="872"/>
      <c r="E492" s="872"/>
      <c r="F492" s="872"/>
      <c r="G492" s="872"/>
      <c r="H492" s="872"/>
      <c r="I492" s="872"/>
      <c r="J492" s="872"/>
      <c r="K492" s="872"/>
      <c r="L492" s="872"/>
      <c r="M492" s="872"/>
      <c r="N492" s="872"/>
      <c r="O492" s="872"/>
      <c r="P492" s="872"/>
      <c r="Q492" s="872"/>
      <c r="R492" s="872"/>
      <c r="S492" s="872"/>
      <c r="T492" s="872"/>
      <c r="U492" s="872"/>
      <c r="V492" s="872"/>
      <c r="W492" s="872"/>
      <c r="X492" s="872"/>
      <c r="Y492" s="872"/>
      <c r="Z492" s="872"/>
    </row>
    <row r="493" ht="14.25" customHeight="1">
      <c r="A493" s="872"/>
      <c r="B493" s="872"/>
      <c r="C493" s="872"/>
      <c r="D493" s="872"/>
      <c r="E493" s="872"/>
      <c r="F493" s="872"/>
      <c r="G493" s="872"/>
      <c r="H493" s="872"/>
      <c r="I493" s="872"/>
      <c r="J493" s="872"/>
      <c r="K493" s="872"/>
      <c r="L493" s="872"/>
      <c r="M493" s="872"/>
      <c r="N493" s="872"/>
      <c r="O493" s="872"/>
      <c r="P493" s="872"/>
      <c r="Q493" s="872"/>
      <c r="R493" s="872"/>
      <c r="S493" s="872"/>
      <c r="T493" s="872"/>
      <c r="U493" s="872"/>
      <c r="V493" s="872"/>
      <c r="W493" s="872"/>
      <c r="X493" s="872"/>
      <c r="Y493" s="872"/>
      <c r="Z493" s="872"/>
    </row>
    <row r="494" ht="14.25" customHeight="1">
      <c r="A494" s="872"/>
      <c r="B494" s="872"/>
      <c r="C494" s="872"/>
      <c r="D494" s="872"/>
      <c r="E494" s="872"/>
      <c r="F494" s="872"/>
      <c r="G494" s="872"/>
      <c r="H494" s="872"/>
      <c r="I494" s="872"/>
      <c r="J494" s="872"/>
      <c r="K494" s="872"/>
      <c r="L494" s="872"/>
      <c r="M494" s="872"/>
      <c r="N494" s="872"/>
      <c r="O494" s="872"/>
      <c r="P494" s="872"/>
      <c r="Q494" s="872"/>
      <c r="R494" s="872"/>
      <c r="S494" s="872"/>
      <c r="T494" s="872"/>
      <c r="U494" s="872"/>
      <c r="V494" s="872"/>
      <c r="W494" s="872"/>
      <c r="X494" s="872"/>
      <c r="Y494" s="872"/>
      <c r="Z494" s="872"/>
    </row>
    <row r="495" ht="14.25" customHeight="1">
      <c r="A495" s="872"/>
      <c r="B495" s="872"/>
      <c r="C495" s="872"/>
      <c r="D495" s="872"/>
      <c r="E495" s="872"/>
      <c r="F495" s="872"/>
      <c r="G495" s="872"/>
      <c r="H495" s="872"/>
      <c r="I495" s="872"/>
      <c r="J495" s="872"/>
      <c r="K495" s="872"/>
      <c r="L495" s="872"/>
      <c r="M495" s="872"/>
      <c r="N495" s="872"/>
      <c r="O495" s="872"/>
      <c r="P495" s="872"/>
      <c r="Q495" s="872"/>
      <c r="R495" s="872"/>
      <c r="S495" s="872"/>
      <c r="T495" s="872"/>
      <c r="U495" s="872"/>
      <c r="V495" s="872"/>
      <c r="W495" s="872"/>
      <c r="X495" s="872"/>
      <c r="Y495" s="872"/>
      <c r="Z495" s="872"/>
    </row>
    <row r="496" ht="14.25" customHeight="1">
      <c r="A496" s="872"/>
      <c r="B496" s="872"/>
      <c r="C496" s="872"/>
      <c r="D496" s="872"/>
      <c r="E496" s="872"/>
      <c r="F496" s="872"/>
      <c r="G496" s="872"/>
      <c r="H496" s="872"/>
      <c r="I496" s="872"/>
      <c r="J496" s="872"/>
      <c r="K496" s="872"/>
      <c r="L496" s="872"/>
      <c r="M496" s="872"/>
      <c r="N496" s="872"/>
      <c r="O496" s="872"/>
      <c r="P496" s="872"/>
      <c r="Q496" s="872"/>
      <c r="R496" s="872"/>
      <c r="S496" s="872"/>
      <c r="T496" s="872"/>
      <c r="U496" s="872"/>
      <c r="V496" s="872"/>
      <c r="W496" s="872"/>
      <c r="X496" s="872"/>
      <c r="Y496" s="872"/>
      <c r="Z496" s="872"/>
    </row>
    <row r="497" ht="14.25" customHeight="1">
      <c r="A497" s="872"/>
      <c r="B497" s="872"/>
      <c r="C497" s="872"/>
      <c r="D497" s="872"/>
      <c r="E497" s="872"/>
      <c r="F497" s="872"/>
      <c r="G497" s="872"/>
      <c r="H497" s="872"/>
      <c r="I497" s="872"/>
      <c r="J497" s="872"/>
      <c r="K497" s="872"/>
      <c r="L497" s="872"/>
      <c r="M497" s="872"/>
      <c r="N497" s="872"/>
      <c r="O497" s="872"/>
      <c r="P497" s="872"/>
      <c r="Q497" s="872"/>
      <c r="R497" s="872"/>
      <c r="S497" s="872"/>
      <c r="T497" s="872"/>
      <c r="U497" s="872"/>
      <c r="V497" s="872"/>
      <c r="W497" s="872"/>
      <c r="X497" s="872"/>
      <c r="Y497" s="872"/>
      <c r="Z497" s="872"/>
    </row>
    <row r="498" ht="14.25" customHeight="1">
      <c r="A498" s="872"/>
      <c r="B498" s="872"/>
      <c r="C498" s="872"/>
      <c r="D498" s="872"/>
      <c r="E498" s="872"/>
      <c r="F498" s="872"/>
      <c r="G498" s="872"/>
      <c r="H498" s="872"/>
      <c r="I498" s="872"/>
      <c r="J498" s="872"/>
      <c r="K498" s="872"/>
      <c r="L498" s="872"/>
      <c r="M498" s="872"/>
      <c r="N498" s="872"/>
      <c r="O498" s="872"/>
      <c r="P498" s="872"/>
      <c r="Q498" s="872"/>
      <c r="R498" s="872"/>
      <c r="S498" s="872"/>
      <c r="T498" s="872"/>
      <c r="U498" s="872"/>
      <c r="V498" s="872"/>
      <c r="W498" s="872"/>
      <c r="X498" s="872"/>
      <c r="Y498" s="872"/>
      <c r="Z498" s="872"/>
    </row>
    <row r="499" ht="14.25" customHeight="1">
      <c r="A499" s="872"/>
      <c r="B499" s="872"/>
      <c r="C499" s="872"/>
      <c r="D499" s="872"/>
      <c r="E499" s="872"/>
      <c r="F499" s="872"/>
      <c r="G499" s="872"/>
      <c r="H499" s="872"/>
      <c r="I499" s="872"/>
      <c r="J499" s="872"/>
      <c r="K499" s="872"/>
      <c r="L499" s="872"/>
      <c r="M499" s="872"/>
      <c r="N499" s="872"/>
      <c r="O499" s="872"/>
      <c r="P499" s="872"/>
      <c r="Q499" s="872"/>
      <c r="R499" s="872"/>
      <c r="S499" s="872"/>
      <c r="T499" s="872"/>
      <c r="U499" s="872"/>
      <c r="V499" s="872"/>
      <c r="W499" s="872"/>
      <c r="X499" s="872"/>
      <c r="Y499" s="872"/>
      <c r="Z499" s="872"/>
    </row>
    <row r="500" ht="14.25" customHeight="1">
      <c r="A500" s="872"/>
      <c r="B500" s="872"/>
      <c r="C500" s="872"/>
      <c r="D500" s="872"/>
      <c r="E500" s="872"/>
      <c r="F500" s="872"/>
      <c r="G500" s="872"/>
      <c r="H500" s="872"/>
      <c r="I500" s="872"/>
      <c r="J500" s="872"/>
      <c r="K500" s="872"/>
      <c r="L500" s="872"/>
      <c r="M500" s="872"/>
      <c r="N500" s="872"/>
      <c r="O500" s="872"/>
      <c r="P500" s="872"/>
      <c r="Q500" s="872"/>
      <c r="R500" s="872"/>
      <c r="S500" s="872"/>
      <c r="T500" s="872"/>
      <c r="U500" s="872"/>
      <c r="V500" s="872"/>
      <c r="W500" s="872"/>
      <c r="X500" s="872"/>
      <c r="Y500" s="872"/>
      <c r="Z500" s="872"/>
    </row>
    <row r="501" ht="14.25" customHeight="1">
      <c r="A501" s="872"/>
      <c r="B501" s="872"/>
      <c r="C501" s="872"/>
      <c r="D501" s="872"/>
      <c r="E501" s="872"/>
      <c r="F501" s="872"/>
      <c r="G501" s="872"/>
      <c r="H501" s="872"/>
      <c r="I501" s="872"/>
      <c r="J501" s="872"/>
      <c r="K501" s="872"/>
      <c r="L501" s="872"/>
      <c r="M501" s="872"/>
      <c r="N501" s="872"/>
      <c r="O501" s="872"/>
      <c r="P501" s="872"/>
      <c r="Q501" s="872"/>
      <c r="R501" s="872"/>
      <c r="S501" s="872"/>
      <c r="T501" s="872"/>
      <c r="U501" s="872"/>
      <c r="V501" s="872"/>
      <c r="W501" s="872"/>
      <c r="X501" s="872"/>
      <c r="Y501" s="872"/>
      <c r="Z501" s="872"/>
    </row>
    <row r="502" ht="14.25" customHeight="1">
      <c r="A502" s="872"/>
      <c r="B502" s="872"/>
      <c r="C502" s="872"/>
      <c r="D502" s="872"/>
      <c r="E502" s="872"/>
      <c r="F502" s="872"/>
      <c r="G502" s="872"/>
      <c r="H502" s="872"/>
      <c r="I502" s="872"/>
      <c r="J502" s="872"/>
      <c r="K502" s="872"/>
      <c r="L502" s="872"/>
      <c r="M502" s="872"/>
      <c r="N502" s="872"/>
      <c r="O502" s="872"/>
      <c r="P502" s="872"/>
      <c r="Q502" s="872"/>
      <c r="R502" s="872"/>
      <c r="S502" s="872"/>
      <c r="T502" s="872"/>
      <c r="U502" s="872"/>
      <c r="V502" s="872"/>
      <c r="W502" s="872"/>
      <c r="X502" s="872"/>
      <c r="Y502" s="872"/>
      <c r="Z502" s="872"/>
    </row>
    <row r="503" ht="14.25" customHeight="1">
      <c r="A503" s="872"/>
      <c r="B503" s="872"/>
      <c r="C503" s="872"/>
      <c r="D503" s="872"/>
      <c r="E503" s="872"/>
      <c r="F503" s="872"/>
      <c r="G503" s="872"/>
      <c r="H503" s="872"/>
      <c r="I503" s="872"/>
      <c r="J503" s="872"/>
      <c r="K503" s="872"/>
      <c r="L503" s="872"/>
      <c r="M503" s="872"/>
      <c r="N503" s="872"/>
      <c r="O503" s="872"/>
      <c r="P503" s="872"/>
      <c r="Q503" s="872"/>
      <c r="R503" s="872"/>
      <c r="S503" s="872"/>
      <c r="T503" s="872"/>
      <c r="U503" s="872"/>
      <c r="V503" s="872"/>
      <c r="W503" s="872"/>
      <c r="X503" s="872"/>
      <c r="Y503" s="872"/>
      <c r="Z503" s="872"/>
    </row>
    <row r="504" ht="14.25" customHeight="1">
      <c r="A504" s="872"/>
      <c r="B504" s="872"/>
      <c r="C504" s="872"/>
      <c r="D504" s="872"/>
      <c r="E504" s="872"/>
      <c r="F504" s="872"/>
      <c r="G504" s="872"/>
      <c r="H504" s="872"/>
      <c r="I504" s="872"/>
      <c r="J504" s="872"/>
      <c r="K504" s="872"/>
      <c r="L504" s="872"/>
      <c r="M504" s="872"/>
      <c r="N504" s="872"/>
      <c r="O504" s="872"/>
      <c r="P504" s="872"/>
      <c r="Q504" s="872"/>
      <c r="R504" s="872"/>
      <c r="S504" s="872"/>
      <c r="T504" s="872"/>
      <c r="U504" s="872"/>
      <c r="V504" s="872"/>
      <c r="W504" s="872"/>
      <c r="X504" s="872"/>
      <c r="Y504" s="872"/>
      <c r="Z504" s="872"/>
    </row>
    <row r="505" ht="14.25" customHeight="1">
      <c r="A505" s="872"/>
      <c r="B505" s="872"/>
      <c r="C505" s="872"/>
      <c r="D505" s="872"/>
      <c r="E505" s="872"/>
      <c r="F505" s="872"/>
      <c r="G505" s="872"/>
      <c r="H505" s="872"/>
      <c r="I505" s="872"/>
      <c r="J505" s="872"/>
      <c r="K505" s="872"/>
      <c r="L505" s="872"/>
      <c r="M505" s="872"/>
      <c r="N505" s="872"/>
      <c r="O505" s="872"/>
      <c r="P505" s="872"/>
      <c r="Q505" s="872"/>
      <c r="R505" s="872"/>
      <c r="S505" s="872"/>
      <c r="T505" s="872"/>
      <c r="U505" s="872"/>
      <c r="V505" s="872"/>
      <c r="W505" s="872"/>
      <c r="X505" s="872"/>
      <c r="Y505" s="872"/>
      <c r="Z505" s="872"/>
    </row>
    <row r="506" ht="14.25" customHeight="1">
      <c r="A506" s="872"/>
      <c r="B506" s="872"/>
      <c r="C506" s="872"/>
      <c r="D506" s="872"/>
      <c r="E506" s="872"/>
      <c r="F506" s="872"/>
      <c r="G506" s="872"/>
      <c r="H506" s="872"/>
      <c r="I506" s="872"/>
      <c r="J506" s="872"/>
      <c r="K506" s="872"/>
      <c r="L506" s="872"/>
      <c r="M506" s="872"/>
      <c r="N506" s="872"/>
      <c r="O506" s="872"/>
      <c r="P506" s="872"/>
      <c r="Q506" s="872"/>
      <c r="R506" s="872"/>
      <c r="S506" s="872"/>
      <c r="T506" s="872"/>
      <c r="U506" s="872"/>
      <c r="V506" s="872"/>
      <c r="W506" s="872"/>
      <c r="X506" s="872"/>
      <c r="Y506" s="872"/>
      <c r="Z506" s="872"/>
    </row>
    <row r="507" ht="14.25" customHeight="1">
      <c r="A507" s="872"/>
      <c r="B507" s="872"/>
      <c r="C507" s="872"/>
      <c r="D507" s="872"/>
      <c r="E507" s="872"/>
      <c r="F507" s="872"/>
      <c r="G507" s="872"/>
      <c r="H507" s="872"/>
      <c r="I507" s="872"/>
      <c r="J507" s="872"/>
      <c r="K507" s="872"/>
      <c r="L507" s="872"/>
      <c r="M507" s="872"/>
      <c r="N507" s="872"/>
      <c r="O507" s="872"/>
      <c r="P507" s="872"/>
      <c r="Q507" s="872"/>
      <c r="R507" s="872"/>
      <c r="S507" s="872"/>
      <c r="T507" s="872"/>
      <c r="U507" s="872"/>
      <c r="V507" s="872"/>
      <c r="W507" s="872"/>
      <c r="X507" s="872"/>
      <c r="Y507" s="872"/>
      <c r="Z507" s="872"/>
    </row>
    <row r="508" ht="14.25" customHeight="1">
      <c r="A508" s="872"/>
      <c r="B508" s="872"/>
      <c r="C508" s="872"/>
      <c r="D508" s="872"/>
      <c r="E508" s="872"/>
      <c r="F508" s="872"/>
      <c r="G508" s="872"/>
      <c r="H508" s="872"/>
      <c r="I508" s="872"/>
      <c r="J508" s="872"/>
      <c r="K508" s="872"/>
      <c r="L508" s="872"/>
      <c r="M508" s="872"/>
      <c r="N508" s="872"/>
      <c r="O508" s="872"/>
      <c r="P508" s="872"/>
      <c r="Q508" s="872"/>
      <c r="R508" s="872"/>
      <c r="S508" s="872"/>
      <c r="T508" s="872"/>
      <c r="U508" s="872"/>
      <c r="V508" s="872"/>
      <c r="W508" s="872"/>
      <c r="X508" s="872"/>
      <c r="Y508" s="872"/>
      <c r="Z508" s="872"/>
    </row>
    <row r="509" ht="14.25" customHeight="1">
      <c r="A509" s="872"/>
      <c r="B509" s="872"/>
      <c r="C509" s="872"/>
      <c r="D509" s="872"/>
      <c r="E509" s="872"/>
      <c r="F509" s="872"/>
      <c r="G509" s="872"/>
      <c r="H509" s="872"/>
      <c r="I509" s="872"/>
      <c r="J509" s="872"/>
      <c r="K509" s="872"/>
      <c r="L509" s="872"/>
      <c r="M509" s="872"/>
      <c r="N509" s="872"/>
      <c r="O509" s="872"/>
      <c r="P509" s="872"/>
      <c r="Q509" s="872"/>
      <c r="R509" s="872"/>
      <c r="S509" s="872"/>
      <c r="T509" s="872"/>
      <c r="U509" s="872"/>
      <c r="V509" s="872"/>
      <c r="W509" s="872"/>
      <c r="X509" s="872"/>
      <c r="Y509" s="872"/>
      <c r="Z509" s="872"/>
    </row>
    <row r="510" ht="14.25" customHeight="1">
      <c r="A510" s="872"/>
      <c r="B510" s="872"/>
      <c r="C510" s="872"/>
      <c r="D510" s="872"/>
      <c r="E510" s="872"/>
      <c r="F510" s="872"/>
      <c r="G510" s="872"/>
      <c r="H510" s="872"/>
      <c r="I510" s="872"/>
      <c r="J510" s="872"/>
      <c r="K510" s="872"/>
      <c r="L510" s="872"/>
      <c r="M510" s="872"/>
      <c r="N510" s="872"/>
      <c r="O510" s="872"/>
      <c r="P510" s="872"/>
      <c r="Q510" s="872"/>
      <c r="R510" s="872"/>
      <c r="S510" s="872"/>
      <c r="T510" s="872"/>
      <c r="U510" s="872"/>
      <c r="V510" s="872"/>
      <c r="W510" s="872"/>
      <c r="X510" s="872"/>
      <c r="Y510" s="872"/>
      <c r="Z510" s="872"/>
    </row>
    <row r="511" ht="14.25" customHeight="1">
      <c r="A511" s="872"/>
      <c r="B511" s="872"/>
      <c r="C511" s="872"/>
      <c r="D511" s="872"/>
      <c r="E511" s="872"/>
      <c r="F511" s="872"/>
      <c r="G511" s="872"/>
      <c r="H511" s="872"/>
      <c r="I511" s="872"/>
      <c r="J511" s="872"/>
      <c r="K511" s="872"/>
      <c r="L511" s="872"/>
      <c r="M511" s="872"/>
      <c r="N511" s="872"/>
      <c r="O511" s="872"/>
      <c r="P511" s="872"/>
      <c r="Q511" s="872"/>
      <c r="R511" s="872"/>
      <c r="S511" s="872"/>
      <c r="T511" s="872"/>
      <c r="U511" s="872"/>
      <c r="V511" s="872"/>
      <c r="W511" s="872"/>
      <c r="X511" s="872"/>
      <c r="Y511" s="872"/>
      <c r="Z511" s="872"/>
    </row>
    <row r="512" ht="14.25" customHeight="1">
      <c r="A512" s="872"/>
      <c r="B512" s="872"/>
      <c r="C512" s="872"/>
      <c r="D512" s="872"/>
      <c r="E512" s="872"/>
      <c r="F512" s="872"/>
      <c r="G512" s="872"/>
      <c r="H512" s="872"/>
      <c r="I512" s="872"/>
      <c r="J512" s="872"/>
      <c r="K512" s="872"/>
      <c r="L512" s="872"/>
      <c r="M512" s="872"/>
      <c r="N512" s="872"/>
      <c r="O512" s="872"/>
      <c r="P512" s="872"/>
      <c r="Q512" s="872"/>
      <c r="R512" s="872"/>
      <c r="S512" s="872"/>
      <c r="T512" s="872"/>
      <c r="U512" s="872"/>
      <c r="V512" s="872"/>
      <c r="W512" s="872"/>
      <c r="X512" s="872"/>
      <c r="Y512" s="872"/>
      <c r="Z512" s="872"/>
    </row>
    <row r="513" ht="14.25" customHeight="1">
      <c r="A513" s="872"/>
      <c r="B513" s="872"/>
      <c r="C513" s="872"/>
      <c r="D513" s="872"/>
      <c r="E513" s="872"/>
      <c r="F513" s="872"/>
      <c r="G513" s="872"/>
      <c r="H513" s="872"/>
      <c r="I513" s="872"/>
      <c r="J513" s="872"/>
      <c r="K513" s="872"/>
      <c r="L513" s="872"/>
      <c r="M513" s="872"/>
      <c r="N513" s="872"/>
      <c r="O513" s="872"/>
      <c r="P513" s="872"/>
      <c r="Q513" s="872"/>
      <c r="R513" s="872"/>
      <c r="S513" s="872"/>
      <c r="T513" s="872"/>
      <c r="U513" s="872"/>
      <c r="V513" s="872"/>
      <c r="W513" s="872"/>
      <c r="X513" s="872"/>
      <c r="Y513" s="872"/>
      <c r="Z513" s="872"/>
    </row>
    <row r="514" ht="14.25" customHeight="1">
      <c r="A514" s="872"/>
      <c r="B514" s="872"/>
      <c r="C514" s="872"/>
      <c r="D514" s="872"/>
      <c r="E514" s="872"/>
      <c r="F514" s="872"/>
      <c r="G514" s="872"/>
      <c r="H514" s="872"/>
      <c r="I514" s="872"/>
      <c r="J514" s="872"/>
      <c r="K514" s="872"/>
      <c r="L514" s="872"/>
      <c r="M514" s="872"/>
      <c r="N514" s="872"/>
      <c r="O514" s="872"/>
      <c r="P514" s="872"/>
      <c r="Q514" s="872"/>
      <c r="R514" s="872"/>
      <c r="S514" s="872"/>
      <c r="T514" s="872"/>
      <c r="U514" s="872"/>
      <c r="V514" s="872"/>
      <c r="W514" s="872"/>
      <c r="X514" s="872"/>
      <c r="Y514" s="872"/>
      <c r="Z514" s="872"/>
    </row>
    <row r="515" ht="14.25" customHeight="1">
      <c r="A515" s="872"/>
      <c r="B515" s="872"/>
      <c r="C515" s="872"/>
      <c r="D515" s="872"/>
      <c r="E515" s="872"/>
      <c r="F515" s="872"/>
      <c r="G515" s="872"/>
      <c r="H515" s="872"/>
      <c r="I515" s="872"/>
      <c r="J515" s="872"/>
      <c r="K515" s="872"/>
      <c r="L515" s="872"/>
      <c r="M515" s="872"/>
      <c r="N515" s="872"/>
      <c r="O515" s="872"/>
      <c r="P515" s="872"/>
      <c r="Q515" s="872"/>
      <c r="R515" s="872"/>
      <c r="S515" s="872"/>
      <c r="T515" s="872"/>
      <c r="U515" s="872"/>
      <c r="V515" s="872"/>
      <c r="W515" s="872"/>
      <c r="X515" s="872"/>
      <c r="Y515" s="872"/>
      <c r="Z515" s="872"/>
    </row>
    <row r="516" ht="14.25" customHeight="1">
      <c r="A516" s="872"/>
      <c r="B516" s="872"/>
      <c r="C516" s="872"/>
      <c r="D516" s="872"/>
      <c r="E516" s="872"/>
      <c r="F516" s="872"/>
      <c r="G516" s="872"/>
      <c r="H516" s="872"/>
      <c r="I516" s="872"/>
      <c r="J516" s="872"/>
      <c r="K516" s="872"/>
      <c r="L516" s="872"/>
      <c r="M516" s="872"/>
      <c r="N516" s="872"/>
      <c r="O516" s="872"/>
      <c r="P516" s="872"/>
      <c r="Q516" s="872"/>
      <c r="R516" s="872"/>
      <c r="S516" s="872"/>
      <c r="T516" s="872"/>
      <c r="U516" s="872"/>
      <c r="V516" s="872"/>
      <c r="W516" s="872"/>
      <c r="X516" s="872"/>
      <c r="Y516" s="872"/>
      <c r="Z516" s="872"/>
    </row>
    <row r="517" ht="14.25" customHeight="1">
      <c r="A517" s="872"/>
      <c r="B517" s="872"/>
      <c r="C517" s="872"/>
      <c r="D517" s="872"/>
      <c r="E517" s="872"/>
      <c r="F517" s="872"/>
      <c r="G517" s="872"/>
      <c r="H517" s="872"/>
      <c r="I517" s="872"/>
      <c r="J517" s="872"/>
      <c r="K517" s="872"/>
      <c r="L517" s="872"/>
      <c r="M517" s="872"/>
      <c r="N517" s="872"/>
      <c r="O517" s="872"/>
      <c r="P517" s="872"/>
      <c r="Q517" s="872"/>
      <c r="R517" s="872"/>
      <c r="S517" s="872"/>
      <c r="T517" s="872"/>
      <c r="U517" s="872"/>
      <c r="V517" s="872"/>
      <c r="W517" s="872"/>
      <c r="X517" s="872"/>
      <c r="Y517" s="872"/>
      <c r="Z517" s="872"/>
    </row>
    <row r="518" ht="14.25" customHeight="1">
      <c r="A518" s="872"/>
      <c r="B518" s="872"/>
      <c r="C518" s="872"/>
      <c r="D518" s="872"/>
      <c r="E518" s="872"/>
      <c r="F518" s="872"/>
      <c r="G518" s="872"/>
      <c r="H518" s="872"/>
      <c r="I518" s="872"/>
      <c r="J518" s="872"/>
      <c r="K518" s="872"/>
      <c r="L518" s="872"/>
      <c r="M518" s="872"/>
      <c r="N518" s="872"/>
      <c r="O518" s="872"/>
      <c r="P518" s="872"/>
      <c r="Q518" s="872"/>
      <c r="R518" s="872"/>
      <c r="S518" s="872"/>
      <c r="T518" s="872"/>
      <c r="U518" s="872"/>
      <c r="V518" s="872"/>
      <c r="W518" s="872"/>
      <c r="X518" s="872"/>
      <c r="Y518" s="872"/>
      <c r="Z518" s="872"/>
    </row>
    <row r="519" ht="14.25" customHeight="1">
      <c r="A519" s="872"/>
      <c r="B519" s="872"/>
      <c r="C519" s="872"/>
      <c r="D519" s="872"/>
      <c r="E519" s="872"/>
      <c r="F519" s="872"/>
      <c r="G519" s="872"/>
      <c r="H519" s="872"/>
      <c r="I519" s="872"/>
      <c r="J519" s="872"/>
      <c r="K519" s="872"/>
      <c r="L519" s="872"/>
      <c r="M519" s="872"/>
      <c r="N519" s="872"/>
      <c r="O519" s="872"/>
      <c r="P519" s="872"/>
      <c r="Q519" s="872"/>
      <c r="R519" s="872"/>
      <c r="S519" s="872"/>
      <c r="T519" s="872"/>
      <c r="U519" s="872"/>
      <c r="V519" s="872"/>
      <c r="W519" s="872"/>
      <c r="X519" s="872"/>
      <c r="Y519" s="872"/>
      <c r="Z519" s="872"/>
    </row>
    <row r="520" ht="14.25" customHeight="1">
      <c r="A520" s="872"/>
      <c r="B520" s="872"/>
      <c r="C520" s="872"/>
      <c r="D520" s="872"/>
      <c r="E520" s="872"/>
      <c r="F520" s="872"/>
      <c r="G520" s="872"/>
      <c r="H520" s="872"/>
      <c r="I520" s="872"/>
      <c r="J520" s="872"/>
      <c r="K520" s="872"/>
      <c r="L520" s="872"/>
      <c r="M520" s="872"/>
      <c r="N520" s="872"/>
      <c r="O520" s="872"/>
      <c r="P520" s="872"/>
      <c r="Q520" s="872"/>
      <c r="R520" s="872"/>
      <c r="S520" s="872"/>
      <c r="T520" s="872"/>
      <c r="U520" s="872"/>
      <c r="V520" s="872"/>
      <c r="W520" s="872"/>
      <c r="X520" s="872"/>
      <c r="Y520" s="872"/>
      <c r="Z520" s="872"/>
    </row>
    <row r="521" ht="14.25" customHeight="1">
      <c r="A521" s="872"/>
      <c r="B521" s="872"/>
      <c r="C521" s="872"/>
      <c r="D521" s="872"/>
      <c r="E521" s="872"/>
      <c r="F521" s="872"/>
      <c r="G521" s="872"/>
      <c r="H521" s="872"/>
      <c r="I521" s="872"/>
      <c r="J521" s="872"/>
      <c r="K521" s="872"/>
      <c r="L521" s="872"/>
      <c r="M521" s="872"/>
      <c r="N521" s="872"/>
      <c r="O521" s="872"/>
      <c r="P521" s="872"/>
      <c r="Q521" s="872"/>
      <c r="R521" s="872"/>
      <c r="S521" s="872"/>
      <c r="T521" s="872"/>
      <c r="U521" s="872"/>
      <c r="V521" s="872"/>
      <c r="W521" s="872"/>
      <c r="X521" s="872"/>
      <c r="Y521" s="872"/>
      <c r="Z521" s="872"/>
    </row>
    <row r="522" ht="14.25" customHeight="1">
      <c r="A522" s="872"/>
      <c r="B522" s="872"/>
      <c r="C522" s="872"/>
      <c r="D522" s="872"/>
      <c r="E522" s="872"/>
      <c r="F522" s="872"/>
      <c r="G522" s="872"/>
      <c r="H522" s="872"/>
      <c r="I522" s="872"/>
      <c r="J522" s="872"/>
      <c r="K522" s="872"/>
      <c r="L522" s="872"/>
      <c r="M522" s="872"/>
      <c r="N522" s="872"/>
      <c r="O522" s="872"/>
      <c r="P522" s="872"/>
      <c r="Q522" s="872"/>
      <c r="R522" s="872"/>
      <c r="S522" s="872"/>
      <c r="T522" s="872"/>
      <c r="U522" s="872"/>
      <c r="V522" s="872"/>
      <c r="W522" s="872"/>
      <c r="X522" s="872"/>
      <c r="Y522" s="872"/>
      <c r="Z522" s="872"/>
    </row>
    <row r="523" ht="14.25" customHeight="1">
      <c r="A523" s="872"/>
      <c r="B523" s="872"/>
      <c r="C523" s="872"/>
      <c r="D523" s="872"/>
      <c r="E523" s="872"/>
      <c r="F523" s="872"/>
      <c r="G523" s="872"/>
      <c r="H523" s="872"/>
      <c r="I523" s="872"/>
      <c r="J523" s="872"/>
      <c r="K523" s="872"/>
      <c r="L523" s="872"/>
      <c r="M523" s="872"/>
      <c r="N523" s="872"/>
      <c r="O523" s="872"/>
      <c r="P523" s="872"/>
      <c r="Q523" s="872"/>
      <c r="R523" s="872"/>
      <c r="S523" s="872"/>
      <c r="T523" s="872"/>
      <c r="U523" s="872"/>
      <c r="V523" s="872"/>
      <c r="W523" s="872"/>
      <c r="X523" s="872"/>
      <c r="Y523" s="872"/>
      <c r="Z523" s="872"/>
    </row>
    <row r="524" ht="14.25" customHeight="1">
      <c r="A524" s="872"/>
      <c r="B524" s="872"/>
      <c r="C524" s="872"/>
      <c r="D524" s="872"/>
      <c r="E524" s="872"/>
      <c r="F524" s="872"/>
      <c r="G524" s="872"/>
      <c r="H524" s="872"/>
      <c r="I524" s="872"/>
      <c r="J524" s="872"/>
      <c r="K524" s="872"/>
      <c r="L524" s="872"/>
      <c r="M524" s="872"/>
      <c r="N524" s="872"/>
      <c r="O524" s="872"/>
      <c r="P524" s="872"/>
      <c r="Q524" s="872"/>
      <c r="R524" s="872"/>
      <c r="S524" s="872"/>
      <c r="T524" s="872"/>
      <c r="U524" s="872"/>
      <c r="V524" s="872"/>
      <c r="W524" s="872"/>
      <c r="X524" s="872"/>
      <c r="Y524" s="872"/>
      <c r="Z524" s="872"/>
    </row>
    <row r="525" ht="14.25" customHeight="1">
      <c r="A525" s="872"/>
      <c r="B525" s="872"/>
      <c r="C525" s="872"/>
      <c r="D525" s="872"/>
      <c r="E525" s="872"/>
      <c r="F525" s="872"/>
      <c r="G525" s="872"/>
      <c r="H525" s="872"/>
      <c r="I525" s="872"/>
      <c r="J525" s="872"/>
      <c r="K525" s="872"/>
      <c r="L525" s="872"/>
      <c r="M525" s="872"/>
      <c r="N525" s="872"/>
      <c r="O525" s="872"/>
      <c r="P525" s="872"/>
      <c r="Q525" s="872"/>
      <c r="R525" s="872"/>
      <c r="S525" s="872"/>
      <c r="T525" s="872"/>
      <c r="U525" s="872"/>
      <c r="V525" s="872"/>
      <c r="W525" s="872"/>
      <c r="X525" s="872"/>
      <c r="Y525" s="872"/>
      <c r="Z525" s="872"/>
    </row>
    <row r="526" ht="14.25" customHeight="1">
      <c r="A526" s="872"/>
      <c r="B526" s="872"/>
      <c r="C526" s="872"/>
      <c r="D526" s="872"/>
      <c r="E526" s="872"/>
      <c r="F526" s="872"/>
      <c r="G526" s="872"/>
      <c r="H526" s="872"/>
      <c r="I526" s="872"/>
      <c r="J526" s="872"/>
      <c r="K526" s="872"/>
      <c r="L526" s="872"/>
      <c r="M526" s="872"/>
      <c r="N526" s="872"/>
      <c r="O526" s="872"/>
      <c r="P526" s="872"/>
      <c r="Q526" s="872"/>
      <c r="R526" s="872"/>
      <c r="S526" s="872"/>
      <c r="T526" s="872"/>
      <c r="U526" s="872"/>
      <c r="V526" s="872"/>
      <c r="W526" s="872"/>
      <c r="X526" s="872"/>
      <c r="Y526" s="872"/>
      <c r="Z526" s="872"/>
    </row>
    <row r="527" ht="14.25" customHeight="1">
      <c r="A527" s="872"/>
      <c r="B527" s="872"/>
      <c r="C527" s="872"/>
      <c r="D527" s="872"/>
      <c r="E527" s="872"/>
      <c r="F527" s="872"/>
      <c r="G527" s="872"/>
      <c r="H527" s="872"/>
      <c r="I527" s="872"/>
      <c r="J527" s="872"/>
      <c r="K527" s="872"/>
      <c r="L527" s="872"/>
      <c r="M527" s="872"/>
      <c r="N527" s="872"/>
      <c r="O527" s="872"/>
      <c r="P527" s="872"/>
      <c r="Q527" s="872"/>
      <c r="R527" s="872"/>
      <c r="S527" s="872"/>
      <c r="T527" s="872"/>
      <c r="U527" s="872"/>
      <c r="V527" s="872"/>
      <c r="W527" s="872"/>
      <c r="X527" s="872"/>
      <c r="Y527" s="872"/>
      <c r="Z527" s="872"/>
    </row>
    <row r="528" ht="14.25" customHeight="1">
      <c r="A528" s="872"/>
      <c r="B528" s="872"/>
      <c r="C528" s="872"/>
      <c r="D528" s="872"/>
      <c r="E528" s="872"/>
      <c r="F528" s="872"/>
      <c r="G528" s="872"/>
      <c r="H528" s="872"/>
      <c r="I528" s="872"/>
      <c r="J528" s="872"/>
      <c r="K528" s="872"/>
      <c r="L528" s="872"/>
      <c r="M528" s="872"/>
      <c r="N528" s="872"/>
      <c r="O528" s="872"/>
      <c r="P528" s="872"/>
      <c r="Q528" s="872"/>
      <c r="R528" s="872"/>
      <c r="S528" s="872"/>
      <c r="T528" s="872"/>
      <c r="U528" s="872"/>
      <c r="V528" s="872"/>
      <c r="W528" s="872"/>
      <c r="X528" s="872"/>
      <c r="Y528" s="872"/>
      <c r="Z528" s="872"/>
    </row>
    <row r="529" ht="14.25" customHeight="1">
      <c r="A529" s="872"/>
      <c r="B529" s="872"/>
      <c r="C529" s="872"/>
      <c r="D529" s="872"/>
      <c r="E529" s="872"/>
      <c r="F529" s="872"/>
      <c r="G529" s="872"/>
      <c r="H529" s="872"/>
      <c r="I529" s="872"/>
      <c r="J529" s="872"/>
      <c r="K529" s="872"/>
      <c r="L529" s="872"/>
      <c r="M529" s="872"/>
      <c r="N529" s="872"/>
      <c r="O529" s="872"/>
      <c r="P529" s="872"/>
      <c r="Q529" s="872"/>
      <c r="R529" s="872"/>
      <c r="S529" s="872"/>
      <c r="T529" s="872"/>
      <c r="U529" s="872"/>
      <c r="V529" s="872"/>
      <c r="W529" s="872"/>
      <c r="X529" s="872"/>
      <c r="Y529" s="872"/>
      <c r="Z529" s="872"/>
    </row>
    <row r="530" ht="14.25" customHeight="1">
      <c r="A530" s="872"/>
      <c r="B530" s="872"/>
      <c r="C530" s="872"/>
      <c r="D530" s="872"/>
      <c r="E530" s="872"/>
      <c r="F530" s="872"/>
      <c r="G530" s="872"/>
      <c r="H530" s="872"/>
      <c r="I530" s="872"/>
      <c r="J530" s="872"/>
      <c r="K530" s="872"/>
      <c r="L530" s="872"/>
      <c r="M530" s="872"/>
      <c r="N530" s="872"/>
      <c r="O530" s="872"/>
      <c r="P530" s="872"/>
      <c r="Q530" s="872"/>
      <c r="R530" s="872"/>
      <c r="S530" s="872"/>
      <c r="T530" s="872"/>
      <c r="U530" s="872"/>
      <c r="V530" s="872"/>
      <c r="W530" s="872"/>
      <c r="X530" s="872"/>
      <c r="Y530" s="872"/>
      <c r="Z530" s="872"/>
    </row>
    <row r="531" ht="14.25" customHeight="1">
      <c r="A531" s="872"/>
      <c r="B531" s="872"/>
      <c r="C531" s="872"/>
      <c r="D531" s="872"/>
      <c r="E531" s="872"/>
      <c r="F531" s="872"/>
      <c r="G531" s="872"/>
      <c r="H531" s="872"/>
      <c r="I531" s="872"/>
      <c r="J531" s="872"/>
      <c r="K531" s="872"/>
      <c r="L531" s="872"/>
      <c r="M531" s="872"/>
      <c r="N531" s="872"/>
      <c r="O531" s="872"/>
      <c r="P531" s="872"/>
      <c r="Q531" s="872"/>
      <c r="R531" s="872"/>
      <c r="S531" s="872"/>
      <c r="T531" s="872"/>
      <c r="U531" s="872"/>
      <c r="V531" s="872"/>
      <c r="W531" s="872"/>
      <c r="X531" s="872"/>
      <c r="Y531" s="872"/>
      <c r="Z531" s="872"/>
    </row>
    <row r="532" ht="14.25" customHeight="1">
      <c r="A532" s="872"/>
      <c r="B532" s="872"/>
      <c r="C532" s="872"/>
      <c r="D532" s="872"/>
      <c r="E532" s="872"/>
      <c r="F532" s="872"/>
      <c r="G532" s="872"/>
      <c r="H532" s="872"/>
      <c r="I532" s="872"/>
      <c r="J532" s="872"/>
      <c r="K532" s="872"/>
      <c r="L532" s="872"/>
      <c r="M532" s="872"/>
      <c r="N532" s="872"/>
      <c r="O532" s="872"/>
      <c r="P532" s="872"/>
      <c r="Q532" s="872"/>
      <c r="R532" s="872"/>
      <c r="S532" s="872"/>
      <c r="T532" s="872"/>
      <c r="U532" s="872"/>
      <c r="V532" s="872"/>
      <c r="W532" s="872"/>
      <c r="X532" s="872"/>
      <c r="Y532" s="872"/>
      <c r="Z532" s="872"/>
    </row>
    <row r="533" ht="14.25" customHeight="1">
      <c r="A533" s="872"/>
      <c r="B533" s="872"/>
      <c r="C533" s="872"/>
      <c r="D533" s="872"/>
      <c r="E533" s="872"/>
      <c r="F533" s="872"/>
      <c r="G533" s="872"/>
      <c r="H533" s="872"/>
      <c r="I533" s="872"/>
      <c r="J533" s="872"/>
      <c r="K533" s="872"/>
      <c r="L533" s="872"/>
      <c r="M533" s="872"/>
      <c r="N533" s="872"/>
      <c r="O533" s="872"/>
      <c r="P533" s="872"/>
      <c r="Q533" s="872"/>
      <c r="R533" s="872"/>
      <c r="S533" s="872"/>
      <c r="T533" s="872"/>
      <c r="U533" s="872"/>
      <c r="V533" s="872"/>
      <c r="W533" s="872"/>
      <c r="X533" s="872"/>
      <c r="Y533" s="872"/>
      <c r="Z533" s="872"/>
    </row>
    <row r="534" ht="14.25" customHeight="1">
      <c r="A534" s="872"/>
      <c r="B534" s="872"/>
      <c r="C534" s="872"/>
      <c r="D534" s="872"/>
      <c r="E534" s="872"/>
      <c r="F534" s="872"/>
      <c r="G534" s="872"/>
      <c r="H534" s="872"/>
      <c r="I534" s="872"/>
      <c r="J534" s="872"/>
      <c r="K534" s="872"/>
      <c r="L534" s="872"/>
      <c r="M534" s="872"/>
      <c r="N534" s="872"/>
      <c r="O534" s="872"/>
      <c r="P534" s="872"/>
      <c r="Q534" s="872"/>
      <c r="R534" s="872"/>
      <c r="S534" s="872"/>
      <c r="T534" s="872"/>
      <c r="U534" s="872"/>
      <c r="V534" s="872"/>
      <c r="W534" s="872"/>
      <c r="X534" s="872"/>
      <c r="Y534" s="872"/>
      <c r="Z534" s="872"/>
    </row>
    <row r="535" ht="14.25" customHeight="1">
      <c r="A535" s="872"/>
      <c r="B535" s="872"/>
      <c r="C535" s="872"/>
      <c r="D535" s="872"/>
      <c r="E535" s="872"/>
      <c r="F535" s="872"/>
      <c r="G535" s="872"/>
      <c r="H535" s="872"/>
      <c r="I535" s="872"/>
      <c r="J535" s="872"/>
      <c r="K535" s="872"/>
      <c r="L535" s="872"/>
      <c r="M535" s="872"/>
      <c r="N535" s="872"/>
      <c r="O535" s="872"/>
      <c r="P535" s="872"/>
      <c r="Q535" s="872"/>
      <c r="R535" s="872"/>
      <c r="S535" s="872"/>
      <c r="T535" s="872"/>
      <c r="U535" s="872"/>
      <c r="V535" s="872"/>
      <c r="W535" s="872"/>
      <c r="X535" s="872"/>
      <c r="Y535" s="872"/>
      <c r="Z535" s="872"/>
    </row>
    <row r="536" ht="14.25" customHeight="1">
      <c r="A536" s="872"/>
      <c r="B536" s="872"/>
      <c r="C536" s="872"/>
      <c r="D536" s="872"/>
      <c r="E536" s="872"/>
      <c r="F536" s="872"/>
      <c r="G536" s="872"/>
      <c r="H536" s="872"/>
      <c r="I536" s="872"/>
      <c r="J536" s="872"/>
      <c r="K536" s="872"/>
      <c r="L536" s="872"/>
      <c r="M536" s="872"/>
      <c r="N536" s="872"/>
      <c r="O536" s="872"/>
      <c r="P536" s="872"/>
      <c r="Q536" s="872"/>
      <c r="R536" s="872"/>
      <c r="S536" s="872"/>
      <c r="T536" s="872"/>
      <c r="U536" s="872"/>
      <c r="V536" s="872"/>
      <c r="W536" s="872"/>
      <c r="X536" s="872"/>
      <c r="Y536" s="872"/>
      <c r="Z536" s="872"/>
    </row>
    <row r="537" ht="14.25" customHeight="1">
      <c r="A537" s="872"/>
      <c r="B537" s="872"/>
      <c r="C537" s="872"/>
      <c r="D537" s="872"/>
      <c r="E537" s="872"/>
      <c r="F537" s="872"/>
      <c r="G537" s="872"/>
      <c r="H537" s="872"/>
      <c r="I537" s="872"/>
      <c r="J537" s="872"/>
      <c r="K537" s="872"/>
      <c r="L537" s="872"/>
      <c r="M537" s="872"/>
      <c r="N537" s="872"/>
      <c r="O537" s="872"/>
      <c r="P537" s="872"/>
      <c r="Q537" s="872"/>
      <c r="R537" s="872"/>
      <c r="S537" s="872"/>
      <c r="T537" s="872"/>
      <c r="U537" s="872"/>
      <c r="V537" s="872"/>
      <c r="W537" s="872"/>
      <c r="X537" s="872"/>
      <c r="Y537" s="872"/>
      <c r="Z537" s="872"/>
    </row>
    <row r="538" ht="14.25" customHeight="1">
      <c r="A538" s="872"/>
      <c r="B538" s="872"/>
      <c r="C538" s="872"/>
      <c r="D538" s="872"/>
      <c r="E538" s="872"/>
      <c r="F538" s="872"/>
      <c r="G538" s="872"/>
      <c r="H538" s="872"/>
      <c r="I538" s="872"/>
      <c r="J538" s="872"/>
      <c r="K538" s="872"/>
      <c r="L538" s="872"/>
      <c r="M538" s="872"/>
      <c r="N538" s="872"/>
      <c r="O538" s="872"/>
      <c r="P538" s="872"/>
      <c r="Q538" s="872"/>
      <c r="R538" s="872"/>
      <c r="S538" s="872"/>
      <c r="T538" s="872"/>
      <c r="U538" s="872"/>
      <c r="V538" s="872"/>
      <c r="W538" s="872"/>
      <c r="X538" s="872"/>
      <c r="Y538" s="872"/>
      <c r="Z538" s="872"/>
    </row>
    <row r="539" ht="14.25" customHeight="1">
      <c r="A539" s="872"/>
      <c r="B539" s="872"/>
      <c r="C539" s="872"/>
      <c r="D539" s="872"/>
      <c r="E539" s="872"/>
      <c r="F539" s="872"/>
      <c r="G539" s="872"/>
      <c r="H539" s="872"/>
      <c r="I539" s="872"/>
      <c r="J539" s="872"/>
      <c r="K539" s="872"/>
      <c r="L539" s="872"/>
      <c r="M539" s="872"/>
      <c r="N539" s="872"/>
      <c r="O539" s="872"/>
      <c r="P539" s="872"/>
      <c r="Q539" s="872"/>
      <c r="R539" s="872"/>
      <c r="S539" s="872"/>
      <c r="T539" s="872"/>
      <c r="U539" s="872"/>
      <c r="V539" s="872"/>
      <c r="W539" s="872"/>
      <c r="X539" s="872"/>
      <c r="Y539" s="872"/>
      <c r="Z539" s="872"/>
    </row>
    <row r="540" ht="14.25" customHeight="1">
      <c r="A540" s="872"/>
      <c r="B540" s="872"/>
      <c r="C540" s="872"/>
      <c r="D540" s="872"/>
      <c r="E540" s="872"/>
      <c r="F540" s="872"/>
      <c r="G540" s="872"/>
      <c r="H540" s="872"/>
      <c r="I540" s="872"/>
      <c r="J540" s="872"/>
      <c r="K540" s="872"/>
      <c r="L540" s="872"/>
      <c r="M540" s="872"/>
      <c r="N540" s="872"/>
      <c r="O540" s="872"/>
      <c r="P540" s="872"/>
      <c r="Q540" s="872"/>
      <c r="R540" s="872"/>
      <c r="S540" s="872"/>
      <c r="T540" s="872"/>
      <c r="U540" s="872"/>
      <c r="V540" s="872"/>
      <c r="W540" s="872"/>
      <c r="X540" s="872"/>
      <c r="Y540" s="872"/>
      <c r="Z540" s="872"/>
    </row>
    <row r="541" ht="14.25" customHeight="1">
      <c r="A541" s="872"/>
      <c r="B541" s="872"/>
      <c r="C541" s="872"/>
      <c r="D541" s="872"/>
      <c r="E541" s="872"/>
      <c r="F541" s="872"/>
      <c r="G541" s="872"/>
      <c r="H541" s="872"/>
      <c r="I541" s="872"/>
      <c r="J541" s="872"/>
      <c r="K541" s="872"/>
      <c r="L541" s="872"/>
      <c r="M541" s="872"/>
      <c r="N541" s="872"/>
      <c r="O541" s="872"/>
      <c r="P541" s="872"/>
      <c r="Q541" s="872"/>
      <c r="R541" s="872"/>
      <c r="S541" s="872"/>
      <c r="T541" s="872"/>
      <c r="U541" s="872"/>
      <c r="V541" s="872"/>
      <c r="W541" s="872"/>
      <c r="X541" s="872"/>
      <c r="Y541" s="872"/>
      <c r="Z541" s="872"/>
    </row>
    <row r="542" ht="14.25" customHeight="1">
      <c r="A542" s="872"/>
      <c r="B542" s="872"/>
      <c r="C542" s="872"/>
      <c r="D542" s="872"/>
      <c r="E542" s="872"/>
      <c r="F542" s="872"/>
      <c r="G542" s="872"/>
      <c r="H542" s="872"/>
      <c r="I542" s="872"/>
      <c r="J542" s="872"/>
      <c r="K542" s="872"/>
      <c r="L542" s="872"/>
      <c r="M542" s="872"/>
      <c r="N542" s="872"/>
      <c r="O542" s="872"/>
      <c r="P542" s="872"/>
      <c r="Q542" s="872"/>
      <c r="R542" s="872"/>
      <c r="S542" s="872"/>
      <c r="T542" s="872"/>
      <c r="U542" s="872"/>
      <c r="V542" s="872"/>
      <c r="W542" s="872"/>
      <c r="X542" s="872"/>
      <c r="Y542" s="872"/>
      <c r="Z542" s="872"/>
    </row>
    <row r="543" ht="14.25" customHeight="1">
      <c r="A543" s="872"/>
      <c r="B543" s="872"/>
      <c r="C543" s="872"/>
      <c r="D543" s="872"/>
      <c r="E543" s="872"/>
      <c r="F543" s="872"/>
      <c r="G543" s="872"/>
      <c r="H543" s="872"/>
      <c r="I543" s="872"/>
      <c r="J543" s="872"/>
      <c r="K543" s="872"/>
      <c r="L543" s="872"/>
      <c r="M543" s="872"/>
      <c r="N543" s="872"/>
      <c r="O543" s="872"/>
      <c r="P543" s="872"/>
      <c r="Q543" s="872"/>
      <c r="R543" s="872"/>
      <c r="S543" s="872"/>
      <c r="T543" s="872"/>
      <c r="U543" s="872"/>
      <c r="V543" s="872"/>
      <c r="W543" s="872"/>
      <c r="X543" s="872"/>
      <c r="Y543" s="872"/>
      <c r="Z543" s="872"/>
    </row>
    <row r="544" ht="14.25" customHeight="1">
      <c r="A544" s="872"/>
      <c r="B544" s="872"/>
      <c r="C544" s="872"/>
      <c r="D544" s="872"/>
      <c r="E544" s="872"/>
      <c r="F544" s="872"/>
      <c r="G544" s="872"/>
      <c r="H544" s="872"/>
      <c r="I544" s="872"/>
      <c r="J544" s="872"/>
      <c r="K544" s="872"/>
      <c r="L544" s="872"/>
      <c r="M544" s="872"/>
      <c r="N544" s="872"/>
      <c r="O544" s="872"/>
      <c r="P544" s="872"/>
      <c r="Q544" s="872"/>
      <c r="R544" s="872"/>
      <c r="S544" s="872"/>
      <c r="T544" s="872"/>
      <c r="U544" s="872"/>
      <c r="V544" s="872"/>
      <c r="W544" s="872"/>
      <c r="X544" s="872"/>
      <c r="Y544" s="872"/>
      <c r="Z544" s="872"/>
    </row>
    <row r="545" ht="14.25" customHeight="1">
      <c r="A545" s="872"/>
      <c r="B545" s="872"/>
      <c r="C545" s="872"/>
      <c r="D545" s="872"/>
      <c r="E545" s="872"/>
      <c r="F545" s="872"/>
      <c r="G545" s="872"/>
      <c r="H545" s="872"/>
      <c r="I545" s="872"/>
      <c r="J545" s="872"/>
      <c r="K545" s="872"/>
      <c r="L545" s="872"/>
      <c r="M545" s="872"/>
      <c r="N545" s="872"/>
      <c r="O545" s="872"/>
      <c r="P545" s="872"/>
      <c r="Q545" s="872"/>
      <c r="R545" s="872"/>
      <c r="S545" s="872"/>
      <c r="T545" s="872"/>
      <c r="U545" s="872"/>
      <c r="V545" s="872"/>
      <c r="W545" s="872"/>
      <c r="X545" s="872"/>
      <c r="Y545" s="872"/>
      <c r="Z545" s="872"/>
    </row>
    <row r="546" ht="14.25" customHeight="1">
      <c r="A546" s="872"/>
      <c r="B546" s="872"/>
      <c r="C546" s="872"/>
      <c r="D546" s="872"/>
      <c r="E546" s="872"/>
      <c r="F546" s="872"/>
      <c r="G546" s="872"/>
      <c r="H546" s="872"/>
      <c r="I546" s="872"/>
      <c r="J546" s="872"/>
      <c r="K546" s="872"/>
      <c r="L546" s="872"/>
      <c r="M546" s="872"/>
      <c r="N546" s="872"/>
      <c r="O546" s="872"/>
      <c r="P546" s="872"/>
      <c r="Q546" s="872"/>
      <c r="R546" s="872"/>
      <c r="S546" s="872"/>
      <c r="T546" s="872"/>
      <c r="U546" s="872"/>
      <c r="V546" s="872"/>
      <c r="W546" s="872"/>
      <c r="X546" s="872"/>
      <c r="Y546" s="872"/>
      <c r="Z546" s="872"/>
    </row>
    <row r="547" ht="14.25" customHeight="1">
      <c r="A547" s="872"/>
      <c r="B547" s="872"/>
      <c r="C547" s="872"/>
      <c r="D547" s="872"/>
      <c r="E547" s="872"/>
      <c r="F547" s="872"/>
      <c r="G547" s="872"/>
      <c r="H547" s="872"/>
      <c r="I547" s="872"/>
      <c r="J547" s="872"/>
      <c r="K547" s="872"/>
      <c r="L547" s="872"/>
      <c r="M547" s="872"/>
      <c r="N547" s="872"/>
      <c r="O547" s="872"/>
      <c r="P547" s="872"/>
      <c r="Q547" s="872"/>
      <c r="R547" s="872"/>
      <c r="S547" s="872"/>
      <c r="T547" s="872"/>
      <c r="U547" s="872"/>
      <c r="V547" s="872"/>
      <c r="W547" s="872"/>
      <c r="X547" s="872"/>
      <c r="Y547" s="872"/>
      <c r="Z547" s="872"/>
    </row>
    <row r="548" ht="14.25" customHeight="1">
      <c r="A548" s="872"/>
      <c r="B548" s="872"/>
      <c r="C548" s="872"/>
      <c r="D548" s="872"/>
      <c r="E548" s="872"/>
      <c r="F548" s="872"/>
      <c r="G548" s="872"/>
      <c r="H548" s="872"/>
      <c r="I548" s="872"/>
      <c r="J548" s="872"/>
      <c r="K548" s="872"/>
      <c r="L548" s="872"/>
      <c r="M548" s="872"/>
      <c r="N548" s="872"/>
      <c r="O548" s="872"/>
      <c r="P548" s="872"/>
      <c r="Q548" s="872"/>
      <c r="R548" s="872"/>
      <c r="S548" s="872"/>
      <c r="T548" s="872"/>
      <c r="U548" s="872"/>
      <c r="V548" s="872"/>
      <c r="W548" s="872"/>
      <c r="X548" s="872"/>
      <c r="Y548" s="872"/>
      <c r="Z548" s="872"/>
    </row>
    <row r="549" ht="14.25" customHeight="1">
      <c r="A549" s="872"/>
      <c r="B549" s="872"/>
      <c r="C549" s="872"/>
      <c r="D549" s="872"/>
      <c r="E549" s="872"/>
      <c r="F549" s="872"/>
      <c r="G549" s="872"/>
      <c r="H549" s="872"/>
      <c r="I549" s="872"/>
      <c r="J549" s="872"/>
      <c r="K549" s="872"/>
      <c r="L549" s="872"/>
      <c r="M549" s="872"/>
      <c r="N549" s="872"/>
      <c r="O549" s="872"/>
      <c r="P549" s="872"/>
      <c r="Q549" s="872"/>
      <c r="R549" s="872"/>
      <c r="S549" s="872"/>
      <c r="T549" s="872"/>
      <c r="U549" s="872"/>
      <c r="V549" s="872"/>
      <c r="W549" s="872"/>
      <c r="X549" s="872"/>
      <c r="Y549" s="872"/>
      <c r="Z549" s="872"/>
    </row>
    <row r="550" ht="14.25" customHeight="1">
      <c r="A550" s="872"/>
      <c r="B550" s="872"/>
      <c r="C550" s="872"/>
      <c r="D550" s="872"/>
      <c r="E550" s="872"/>
      <c r="F550" s="872"/>
      <c r="G550" s="872"/>
      <c r="H550" s="872"/>
      <c r="I550" s="872"/>
      <c r="J550" s="872"/>
      <c r="K550" s="872"/>
      <c r="L550" s="872"/>
      <c r="M550" s="872"/>
      <c r="N550" s="872"/>
      <c r="O550" s="872"/>
      <c r="P550" s="872"/>
      <c r="Q550" s="872"/>
      <c r="R550" s="872"/>
      <c r="S550" s="872"/>
      <c r="T550" s="872"/>
      <c r="U550" s="872"/>
      <c r="V550" s="872"/>
      <c r="W550" s="872"/>
      <c r="X550" s="872"/>
      <c r="Y550" s="872"/>
      <c r="Z550" s="872"/>
    </row>
    <row r="551" ht="14.25" customHeight="1">
      <c r="A551" s="872"/>
      <c r="B551" s="872"/>
      <c r="C551" s="872"/>
      <c r="D551" s="872"/>
      <c r="E551" s="872"/>
      <c r="F551" s="872"/>
      <c r="G551" s="872"/>
      <c r="H551" s="872"/>
      <c r="I551" s="872"/>
      <c r="J551" s="872"/>
      <c r="K551" s="872"/>
      <c r="L551" s="872"/>
      <c r="M551" s="872"/>
      <c r="N551" s="872"/>
      <c r="O551" s="872"/>
      <c r="P551" s="872"/>
      <c r="Q551" s="872"/>
      <c r="R551" s="872"/>
      <c r="S551" s="872"/>
      <c r="T551" s="872"/>
      <c r="U551" s="872"/>
      <c r="V551" s="872"/>
      <c r="W551" s="872"/>
      <c r="X551" s="872"/>
      <c r="Y551" s="872"/>
      <c r="Z551" s="872"/>
    </row>
    <row r="552" ht="14.25" customHeight="1">
      <c r="A552" s="872"/>
      <c r="B552" s="872"/>
      <c r="C552" s="872"/>
      <c r="D552" s="872"/>
      <c r="E552" s="872"/>
      <c r="F552" s="872"/>
      <c r="G552" s="872"/>
      <c r="H552" s="872"/>
      <c r="I552" s="872"/>
      <c r="J552" s="872"/>
      <c r="K552" s="872"/>
      <c r="L552" s="872"/>
      <c r="M552" s="872"/>
      <c r="N552" s="872"/>
      <c r="O552" s="872"/>
      <c r="P552" s="872"/>
      <c r="Q552" s="872"/>
      <c r="R552" s="872"/>
      <c r="S552" s="872"/>
      <c r="T552" s="872"/>
      <c r="U552" s="872"/>
      <c r="V552" s="872"/>
      <c r="W552" s="872"/>
      <c r="X552" s="872"/>
      <c r="Y552" s="872"/>
      <c r="Z552" s="872"/>
    </row>
    <row r="553" ht="14.25" customHeight="1">
      <c r="A553" s="872"/>
      <c r="B553" s="872"/>
      <c r="C553" s="872"/>
      <c r="D553" s="872"/>
      <c r="E553" s="872"/>
      <c r="F553" s="872"/>
      <c r="G553" s="872"/>
      <c r="H553" s="872"/>
      <c r="I553" s="872"/>
      <c r="J553" s="872"/>
      <c r="K553" s="872"/>
      <c r="L553" s="872"/>
      <c r="M553" s="872"/>
      <c r="N553" s="872"/>
      <c r="O553" s="872"/>
      <c r="P553" s="872"/>
      <c r="Q553" s="872"/>
      <c r="R553" s="872"/>
      <c r="S553" s="872"/>
      <c r="T553" s="872"/>
      <c r="U553" s="872"/>
      <c r="V553" s="872"/>
      <c r="W553" s="872"/>
      <c r="X553" s="872"/>
      <c r="Y553" s="872"/>
      <c r="Z553" s="872"/>
    </row>
    <row r="554" ht="14.25" customHeight="1">
      <c r="A554" s="872"/>
      <c r="B554" s="872"/>
      <c r="C554" s="872"/>
      <c r="D554" s="872"/>
      <c r="E554" s="872"/>
      <c r="F554" s="872"/>
      <c r="G554" s="872"/>
      <c r="H554" s="872"/>
      <c r="I554" s="872"/>
      <c r="J554" s="872"/>
      <c r="K554" s="872"/>
      <c r="L554" s="872"/>
      <c r="M554" s="872"/>
      <c r="N554" s="872"/>
      <c r="O554" s="872"/>
      <c r="P554" s="872"/>
      <c r="Q554" s="872"/>
      <c r="R554" s="872"/>
      <c r="S554" s="872"/>
      <c r="T554" s="872"/>
      <c r="U554" s="872"/>
      <c r="V554" s="872"/>
      <c r="W554" s="872"/>
      <c r="X554" s="872"/>
      <c r="Y554" s="872"/>
      <c r="Z554" s="872"/>
    </row>
    <row r="555" ht="14.25" customHeight="1">
      <c r="A555" s="872"/>
      <c r="B555" s="872"/>
      <c r="C555" s="872"/>
      <c r="D555" s="872"/>
      <c r="E555" s="872"/>
      <c r="F555" s="872"/>
      <c r="G555" s="872"/>
      <c r="H555" s="872"/>
      <c r="I555" s="872"/>
      <c r="J555" s="872"/>
      <c r="K555" s="872"/>
      <c r="L555" s="872"/>
      <c r="M555" s="872"/>
      <c r="N555" s="872"/>
      <c r="O555" s="872"/>
      <c r="P555" s="872"/>
      <c r="Q555" s="872"/>
      <c r="R555" s="872"/>
      <c r="S555" s="872"/>
      <c r="T555" s="872"/>
      <c r="U555" s="872"/>
      <c r="V555" s="872"/>
      <c r="W555" s="872"/>
      <c r="X555" s="872"/>
      <c r="Y555" s="872"/>
      <c r="Z555" s="872"/>
    </row>
    <row r="556" ht="14.25" customHeight="1">
      <c r="A556" s="872"/>
      <c r="B556" s="872"/>
      <c r="C556" s="872"/>
      <c r="D556" s="872"/>
      <c r="E556" s="872"/>
      <c r="F556" s="872"/>
      <c r="G556" s="872"/>
      <c r="H556" s="872"/>
      <c r="I556" s="872"/>
      <c r="J556" s="872"/>
      <c r="K556" s="872"/>
      <c r="L556" s="872"/>
      <c r="M556" s="872"/>
      <c r="N556" s="872"/>
      <c r="O556" s="872"/>
      <c r="P556" s="872"/>
      <c r="Q556" s="872"/>
      <c r="R556" s="872"/>
      <c r="S556" s="872"/>
      <c r="T556" s="872"/>
      <c r="U556" s="872"/>
      <c r="V556" s="872"/>
      <c r="W556" s="872"/>
      <c r="X556" s="872"/>
      <c r="Y556" s="872"/>
      <c r="Z556" s="872"/>
    </row>
    <row r="557" ht="14.25" customHeight="1">
      <c r="A557" s="872"/>
      <c r="B557" s="872"/>
      <c r="C557" s="872"/>
      <c r="D557" s="872"/>
      <c r="E557" s="872"/>
      <c r="F557" s="872"/>
      <c r="G557" s="872"/>
      <c r="H557" s="872"/>
      <c r="I557" s="872"/>
      <c r="J557" s="872"/>
      <c r="K557" s="872"/>
      <c r="L557" s="872"/>
      <c r="M557" s="872"/>
      <c r="N557" s="872"/>
      <c r="O557" s="872"/>
      <c r="P557" s="872"/>
      <c r="Q557" s="872"/>
      <c r="R557" s="872"/>
      <c r="S557" s="872"/>
      <c r="T557" s="872"/>
      <c r="U557" s="872"/>
      <c r="V557" s="872"/>
      <c r="W557" s="872"/>
      <c r="X557" s="872"/>
      <c r="Y557" s="872"/>
      <c r="Z557" s="872"/>
    </row>
    <row r="558" ht="14.25" customHeight="1">
      <c r="A558" s="872"/>
      <c r="B558" s="872"/>
      <c r="C558" s="872"/>
      <c r="D558" s="872"/>
      <c r="E558" s="872"/>
      <c r="F558" s="872"/>
      <c r="G558" s="872"/>
      <c r="H558" s="872"/>
      <c r="I558" s="872"/>
      <c r="J558" s="872"/>
      <c r="K558" s="872"/>
      <c r="L558" s="872"/>
      <c r="M558" s="872"/>
      <c r="N558" s="872"/>
      <c r="O558" s="872"/>
      <c r="P558" s="872"/>
      <c r="Q558" s="872"/>
      <c r="R558" s="872"/>
      <c r="S558" s="872"/>
      <c r="T558" s="872"/>
      <c r="U558" s="872"/>
      <c r="V558" s="872"/>
      <c r="W558" s="872"/>
      <c r="X558" s="872"/>
      <c r="Y558" s="872"/>
      <c r="Z558" s="872"/>
    </row>
    <row r="559" ht="14.25" customHeight="1">
      <c r="A559" s="872"/>
      <c r="B559" s="872"/>
      <c r="C559" s="872"/>
      <c r="D559" s="872"/>
      <c r="E559" s="872"/>
      <c r="F559" s="872"/>
      <c r="G559" s="872"/>
      <c r="H559" s="872"/>
      <c r="I559" s="872"/>
      <c r="J559" s="872"/>
      <c r="K559" s="872"/>
      <c r="L559" s="872"/>
      <c r="M559" s="872"/>
      <c r="N559" s="872"/>
      <c r="O559" s="872"/>
      <c r="P559" s="872"/>
      <c r="Q559" s="872"/>
      <c r="R559" s="872"/>
      <c r="S559" s="872"/>
      <c r="T559" s="872"/>
      <c r="U559" s="872"/>
      <c r="V559" s="872"/>
      <c r="W559" s="872"/>
      <c r="X559" s="872"/>
      <c r="Y559" s="872"/>
      <c r="Z559" s="872"/>
    </row>
    <row r="560" ht="14.25" customHeight="1">
      <c r="A560" s="872"/>
      <c r="B560" s="872"/>
      <c r="C560" s="872"/>
      <c r="D560" s="872"/>
      <c r="E560" s="872"/>
      <c r="F560" s="872"/>
      <c r="G560" s="872"/>
      <c r="H560" s="872"/>
      <c r="I560" s="872"/>
      <c r="J560" s="872"/>
      <c r="K560" s="872"/>
      <c r="L560" s="872"/>
      <c r="M560" s="872"/>
      <c r="N560" s="872"/>
      <c r="O560" s="872"/>
      <c r="P560" s="872"/>
      <c r="Q560" s="872"/>
      <c r="R560" s="872"/>
      <c r="S560" s="872"/>
      <c r="T560" s="872"/>
      <c r="U560" s="872"/>
      <c r="V560" s="872"/>
      <c r="W560" s="872"/>
      <c r="X560" s="872"/>
      <c r="Y560" s="872"/>
      <c r="Z560" s="872"/>
    </row>
    <row r="561" ht="14.25" customHeight="1">
      <c r="A561" s="872"/>
      <c r="B561" s="872"/>
      <c r="C561" s="872"/>
      <c r="D561" s="872"/>
      <c r="E561" s="872"/>
      <c r="F561" s="872"/>
      <c r="G561" s="872"/>
      <c r="H561" s="872"/>
      <c r="I561" s="872"/>
      <c r="J561" s="872"/>
      <c r="K561" s="872"/>
      <c r="L561" s="872"/>
      <c r="M561" s="872"/>
      <c r="N561" s="872"/>
      <c r="O561" s="872"/>
      <c r="P561" s="872"/>
      <c r="Q561" s="872"/>
      <c r="R561" s="872"/>
      <c r="S561" s="872"/>
      <c r="T561" s="872"/>
      <c r="U561" s="872"/>
      <c r="V561" s="872"/>
      <c r="W561" s="872"/>
      <c r="X561" s="872"/>
      <c r="Y561" s="872"/>
      <c r="Z561" s="872"/>
    </row>
    <row r="562" ht="14.25" customHeight="1">
      <c r="A562" s="872"/>
      <c r="B562" s="872"/>
      <c r="C562" s="872"/>
      <c r="D562" s="872"/>
      <c r="E562" s="872"/>
      <c r="F562" s="872"/>
      <c r="G562" s="872"/>
      <c r="H562" s="872"/>
      <c r="I562" s="872"/>
      <c r="J562" s="872"/>
      <c r="K562" s="872"/>
      <c r="L562" s="872"/>
      <c r="M562" s="872"/>
      <c r="N562" s="872"/>
      <c r="O562" s="872"/>
      <c r="P562" s="872"/>
      <c r="Q562" s="872"/>
      <c r="R562" s="872"/>
      <c r="S562" s="872"/>
      <c r="T562" s="872"/>
      <c r="U562" s="872"/>
      <c r="V562" s="872"/>
      <c r="W562" s="872"/>
      <c r="X562" s="872"/>
      <c r="Y562" s="872"/>
      <c r="Z562" s="872"/>
    </row>
    <row r="563" ht="14.25" customHeight="1">
      <c r="A563" s="872"/>
      <c r="B563" s="872"/>
      <c r="C563" s="872"/>
      <c r="D563" s="872"/>
      <c r="E563" s="872"/>
      <c r="F563" s="872"/>
      <c r="G563" s="872"/>
      <c r="H563" s="872"/>
      <c r="I563" s="872"/>
      <c r="J563" s="872"/>
      <c r="K563" s="872"/>
      <c r="L563" s="872"/>
      <c r="M563" s="872"/>
      <c r="N563" s="872"/>
      <c r="O563" s="872"/>
      <c r="P563" s="872"/>
      <c r="Q563" s="872"/>
      <c r="R563" s="872"/>
      <c r="S563" s="872"/>
      <c r="T563" s="872"/>
      <c r="U563" s="872"/>
      <c r="V563" s="872"/>
      <c r="W563" s="872"/>
      <c r="X563" s="872"/>
      <c r="Y563" s="872"/>
      <c r="Z563" s="872"/>
    </row>
    <row r="564" ht="14.25" customHeight="1">
      <c r="A564" s="872"/>
      <c r="B564" s="872"/>
      <c r="C564" s="872"/>
      <c r="D564" s="872"/>
      <c r="E564" s="872"/>
      <c r="F564" s="872"/>
      <c r="G564" s="872"/>
      <c r="H564" s="872"/>
      <c r="I564" s="872"/>
      <c r="J564" s="872"/>
      <c r="K564" s="872"/>
      <c r="L564" s="872"/>
      <c r="M564" s="872"/>
      <c r="N564" s="872"/>
      <c r="O564" s="872"/>
      <c r="P564" s="872"/>
      <c r="Q564" s="872"/>
      <c r="R564" s="872"/>
      <c r="S564" s="872"/>
      <c r="T564" s="872"/>
      <c r="U564" s="872"/>
      <c r="V564" s="872"/>
      <c r="W564" s="872"/>
      <c r="X564" s="872"/>
      <c r="Y564" s="872"/>
      <c r="Z564" s="872"/>
    </row>
    <row r="565" ht="14.25" customHeight="1">
      <c r="A565" s="872"/>
      <c r="B565" s="872"/>
      <c r="C565" s="872"/>
      <c r="D565" s="872"/>
      <c r="E565" s="872"/>
      <c r="F565" s="872"/>
      <c r="G565" s="872"/>
      <c r="H565" s="872"/>
      <c r="I565" s="872"/>
      <c r="J565" s="872"/>
      <c r="K565" s="872"/>
      <c r="L565" s="872"/>
      <c r="M565" s="872"/>
      <c r="N565" s="872"/>
      <c r="O565" s="872"/>
      <c r="P565" s="872"/>
      <c r="Q565" s="872"/>
      <c r="R565" s="872"/>
      <c r="S565" s="872"/>
      <c r="T565" s="872"/>
      <c r="U565" s="872"/>
      <c r="V565" s="872"/>
      <c r="W565" s="872"/>
      <c r="X565" s="872"/>
      <c r="Y565" s="872"/>
      <c r="Z565" s="872"/>
    </row>
    <row r="566" ht="14.25" customHeight="1">
      <c r="A566" s="872"/>
      <c r="B566" s="872"/>
      <c r="C566" s="872"/>
      <c r="D566" s="872"/>
      <c r="E566" s="872"/>
      <c r="F566" s="872"/>
      <c r="G566" s="872"/>
      <c r="H566" s="872"/>
      <c r="I566" s="872"/>
      <c r="J566" s="872"/>
      <c r="K566" s="872"/>
      <c r="L566" s="872"/>
      <c r="M566" s="872"/>
      <c r="N566" s="872"/>
      <c r="O566" s="872"/>
      <c r="P566" s="872"/>
      <c r="Q566" s="872"/>
      <c r="R566" s="872"/>
      <c r="S566" s="872"/>
      <c r="T566" s="872"/>
      <c r="U566" s="872"/>
      <c r="V566" s="872"/>
      <c r="W566" s="872"/>
      <c r="X566" s="872"/>
      <c r="Y566" s="872"/>
      <c r="Z566" s="872"/>
    </row>
    <row r="567" ht="14.25" customHeight="1">
      <c r="A567" s="872"/>
      <c r="B567" s="872"/>
      <c r="C567" s="872"/>
      <c r="D567" s="872"/>
      <c r="E567" s="872"/>
      <c r="F567" s="872"/>
      <c r="G567" s="872"/>
      <c r="H567" s="872"/>
      <c r="I567" s="872"/>
      <c r="J567" s="872"/>
      <c r="K567" s="872"/>
      <c r="L567" s="872"/>
      <c r="M567" s="872"/>
      <c r="N567" s="872"/>
      <c r="O567" s="872"/>
      <c r="P567" s="872"/>
      <c r="Q567" s="872"/>
      <c r="R567" s="872"/>
      <c r="S567" s="872"/>
      <c r="T567" s="872"/>
      <c r="U567" s="872"/>
      <c r="V567" s="872"/>
      <c r="W567" s="872"/>
      <c r="X567" s="872"/>
      <c r="Y567" s="872"/>
      <c r="Z567" s="872"/>
    </row>
    <row r="568" ht="14.25" customHeight="1">
      <c r="A568" s="872"/>
      <c r="B568" s="872"/>
      <c r="C568" s="872"/>
      <c r="D568" s="872"/>
      <c r="E568" s="872"/>
      <c r="F568" s="872"/>
      <c r="G568" s="872"/>
      <c r="H568" s="872"/>
      <c r="I568" s="872"/>
      <c r="J568" s="872"/>
      <c r="K568" s="872"/>
      <c r="L568" s="872"/>
      <c r="M568" s="872"/>
      <c r="N568" s="872"/>
      <c r="O568" s="872"/>
      <c r="P568" s="872"/>
      <c r="Q568" s="872"/>
      <c r="R568" s="872"/>
      <c r="S568" s="872"/>
      <c r="T568" s="872"/>
      <c r="U568" s="872"/>
      <c r="V568" s="872"/>
      <c r="W568" s="872"/>
      <c r="X568" s="872"/>
      <c r="Y568" s="872"/>
      <c r="Z568" s="872"/>
    </row>
    <row r="569" ht="14.25" customHeight="1">
      <c r="A569" s="872"/>
      <c r="B569" s="872"/>
      <c r="C569" s="872"/>
      <c r="D569" s="872"/>
      <c r="E569" s="872"/>
      <c r="F569" s="872"/>
      <c r="G569" s="872"/>
      <c r="H569" s="872"/>
      <c r="I569" s="872"/>
      <c r="J569" s="872"/>
      <c r="K569" s="872"/>
      <c r="L569" s="872"/>
      <c r="M569" s="872"/>
      <c r="N569" s="872"/>
      <c r="O569" s="872"/>
      <c r="P569" s="872"/>
      <c r="Q569" s="872"/>
      <c r="R569" s="872"/>
      <c r="S569" s="872"/>
      <c r="T569" s="872"/>
      <c r="U569" s="872"/>
      <c r="V569" s="872"/>
      <c r="W569" s="872"/>
      <c r="X569" s="872"/>
      <c r="Y569" s="872"/>
      <c r="Z569" s="872"/>
    </row>
    <row r="570" ht="14.25" customHeight="1">
      <c r="A570" s="872"/>
      <c r="B570" s="872"/>
      <c r="C570" s="872"/>
      <c r="D570" s="872"/>
      <c r="E570" s="872"/>
      <c r="F570" s="872"/>
      <c r="G570" s="872"/>
      <c r="H570" s="872"/>
      <c r="I570" s="872"/>
      <c r="J570" s="872"/>
      <c r="K570" s="872"/>
      <c r="L570" s="872"/>
      <c r="M570" s="872"/>
      <c r="N570" s="872"/>
      <c r="O570" s="872"/>
      <c r="P570" s="872"/>
      <c r="Q570" s="872"/>
      <c r="R570" s="872"/>
      <c r="S570" s="872"/>
      <c r="T570" s="872"/>
      <c r="U570" s="872"/>
      <c r="V570" s="872"/>
      <c r="W570" s="872"/>
      <c r="X570" s="872"/>
      <c r="Y570" s="872"/>
      <c r="Z570" s="872"/>
    </row>
    <row r="571" ht="14.25" customHeight="1">
      <c r="A571" s="872"/>
      <c r="B571" s="872"/>
      <c r="C571" s="872"/>
      <c r="D571" s="872"/>
      <c r="E571" s="872"/>
      <c r="F571" s="872"/>
      <c r="G571" s="872"/>
      <c r="H571" s="872"/>
      <c r="I571" s="872"/>
      <c r="J571" s="872"/>
      <c r="K571" s="872"/>
      <c r="L571" s="872"/>
      <c r="M571" s="872"/>
      <c r="N571" s="872"/>
      <c r="O571" s="872"/>
      <c r="P571" s="872"/>
      <c r="Q571" s="872"/>
      <c r="R571" s="872"/>
      <c r="S571" s="872"/>
      <c r="T571" s="872"/>
      <c r="U571" s="872"/>
      <c r="V571" s="872"/>
      <c r="W571" s="872"/>
      <c r="X571" s="872"/>
      <c r="Y571" s="872"/>
      <c r="Z571" s="872"/>
    </row>
    <row r="572" ht="14.25" customHeight="1">
      <c r="A572" s="872"/>
      <c r="B572" s="872"/>
      <c r="C572" s="872"/>
      <c r="D572" s="872"/>
      <c r="E572" s="872"/>
      <c r="F572" s="872"/>
      <c r="G572" s="872"/>
      <c r="H572" s="872"/>
      <c r="I572" s="872"/>
      <c r="J572" s="872"/>
      <c r="K572" s="872"/>
      <c r="L572" s="872"/>
      <c r="M572" s="872"/>
      <c r="N572" s="872"/>
      <c r="O572" s="872"/>
      <c r="P572" s="872"/>
      <c r="Q572" s="872"/>
      <c r="R572" s="872"/>
      <c r="S572" s="872"/>
      <c r="T572" s="872"/>
      <c r="U572" s="872"/>
      <c r="V572" s="872"/>
      <c r="W572" s="872"/>
      <c r="X572" s="872"/>
      <c r="Y572" s="872"/>
      <c r="Z572" s="872"/>
    </row>
    <row r="573" ht="14.25" customHeight="1">
      <c r="A573" s="872"/>
      <c r="B573" s="872"/>
      <c r="C573" s="872"/>
      <c r="D573" s="872"/>
      <c r="E573" s="872"/>
      <c r="F573" s="872"/>
      <c r="G573" s="872"/>
      <c r="H573" s="872"/>
      <c r="I573" s="872"/>
      <c r="J573" s="872"/>
      <c r="K573" s="872"/>
      <c r="L573" s="872"/>
      <c r="M573" s="872"/>
      <c r="N573" s="872"/>
      <c r="O573" s="872"/>
      <c r="P573" s="872"/>
      <c r="Q573" s="872"/>
      <c r="R573" s="872"/>
      <c r="S573" s="872"/>
      <c r="T573" s="872"/>
      <c r="U573" s="872"/>
      <c r="V573" s="872"/>
      <c r="W573" s="872"/>
      <c r="X573" s="872"/>
      <c r="Y573" s="872"/>
      <c r="Z573" s="872"/>
    </row>
    <row r="574" ht="14.25" customHeight="1">
      <c r="A574" s="872"/>
      <c r="B574" s="872"/>
      <c r="C574" s="872"/>
      <c r="D574" s="872"/>
      <c r="E574" s="872"/>
      <c r="F574" s="872"/>
      <c r="G574" s="872"/>
      <c r="H574" s="872"/>
      <c r="I574" s="872"/>
      <c r="J574" s="872"/>
      <c r="K574" s="872"/>
      <c r="L574" s="872"/>
      <c r="M574" s="872"/>
      <c r="N574" s="872"/>
      <c r="O574" s="872"/>
      <c r="P574" s="872"/>
      <c r="Q574" s="872"/>
      <c r="R574" s="872"/>
      <c r="S574" s="872"/>
      <c r="T574" s="872"/>
      <c r="U574" s="872"/>
      <c r="V574" s="872"/>
      <c r="W574" s="872"/>
      <c r="X574" s="872"/>
      <c r="Y574" s="872"/>
      <c r="Z574" s="872"/>
    </row>
    <row r="575" ht="14.25" customHeight="1">
      <c r="A575" s="872"/>
      <c r="B575" s="872"/>
      <c r="C575" s="872"/>
      <c r="D575" s="872"/>
      <c r="E575" s="872"/>
      <c r="F575" s="872"/>
      <c r="G575" s="872"/>
      <c r="H575" s="872"/>
      <c r="I575" s="872"/>
      <c r="J575" s="872"/>
      <c r="K575" s="872"/>
      <c r="L575" s="872"/>
      <c r="M575" s="872"/>
      <c r="N575" s="872"/>
      <c r="O575" s="872"/>
      <c r="P575" s="872"/>
      <c r="Q575" s="872"/>
      <c r="R575" s="872"/>
      <c r="S575" s="872"/>
      <c r="T575" s="872"/>
      <c r="U575" s="872"/>
      <c r="V575" s="872"/>
      <c r="W575" s="872"/>
      <c r="X575" s="872"/>
      <c r="Y575" s="872"/>
      <c r="Z575" s="872"/>
    </row>
    <row r="576" ht="14.25" customHeight="1">
      <c r="A576" s="872"/>
      <c r="B576" s="872"/>
      <c r="C576" s="872"/>
      <c r="D576" s="872"/>
      <c r="E576" s="872"/>
      <c r="F576" s="872"/>
      <c r="G576" s="872"/>
      <c r="H576" s="872"/>
      <c r="I576" s="872"/>
      <c r="J576" s="872"/>
      <c r="K576" s="872"/>
      <c r="L576" s="872"/>
      <c r="M576" s="872"/>
      <c r="N576" s="872"/>
      <c r="O576" s="872"/>
      <c r="P576" s="872"/>
      <c r="Q576" s="872"/>
      <c r="R576" s="872"/>
      <c r="S576" s="872"/>
      <c r="T576" s="872"/>
      <c r="U576" s="872"/>
      <c r="V576" s="872"/>
      <c r="W576" s="872"/>
      <c r="X576" s="872"/>
      <c r="Y576" s="872"/>
      <c r="Z576" s="872"/>
    </row>
    <row r="577" ht="14.25" customHeight="1">
      <c r="A577" s="872"/>
      <c r="B577" s="872"/>
      <c r="C577" s="872"/>
      <c r="D577" s="872"/>
      <c r="E577" s="872"/>
      <c r="F577" s="872"/>
      <c r="G577" s="872"/>
      <c r="H577" s="872"/>
      <c r="I577" s="872"/>
      <c r="J577" s="872"/>
      <c r="K577" s="872"/>
      <c r="L577" s="872"/>
      <c r="M577" s="872"/>
      <c r="N577" s="872"/>
      <c r="O577" s="872"/>
      <c r="P577" s="872"/>
      <c r="Q577" s="872"/>
      <c r="R577" s="872"/>
      <c r="S577" s="872"/>
      <c r="T577" s="872"/>
      <c r="U577" s="872"/>
      <c r="V577" s="872"/>
      <c r="W577" s="872"/>
      <c r="X577" s="872"/>
      <c r="Y577" s="872"/>
      <c r="Z577" s="872"/>
    </row>
    <row r="578" ht="14.25" customHeight="1">
      <c r="A578" s="872"/>
      <c r="B578" s="872"/>
      <c r="C578" s="872"/>
      <c r="D578" s="872"/>
      <c r="E578" s="872"/>
      <c r="F578" s="872"/>
      <c r="G578" s="872"/>
      <c r="H578" s="872"/>
      <c r="I578" s="872"/>
      <c r="J578" s="872"/>
      <c r="K578" s="872"/>
      <c r="L578" s="872"/>
      <c r="M578" s="872"/>
      <c r="N578" s="872"/>
      <c r="O578" s="872"/>
      <c r="P578" s="872"/>
      <c r="Q578" s="872"/>
      <c r="R578" s="872"/>
      <c r="S578" s="872"/>
      <c r="T578" s="872"/>
      <c r="U578" s="872"/>
      <c r="V578" s="872"/>
      <c r="W578" s="872"/>
      <c r="X578" s="872"/>
      <c r="Y578" s="872"/>
      <c r="Z578" s="872"/>
    </row>
    <row r="579" ht="14.25" customHeight="1">
      <c r="A579" s="872"/>
      <c r="B579" s="872"/>
      <c r="C579" s="872"/>
      <c r="D579" s="872"/>
      <c r="E579" s="872"/>
      <c r="F579" s="872"/>
      <c r="G579" s="872"/>
      <c r="H579" s="872"/>
      <c r="I579" s="872"/>
      <c r="J579" s="872"/>
      <c r="K579" s="872"/>
      <c r="L579" s="872"/>
      <c r="M579" s="872"/>
      <c r="N579" s="872"/>
      <c r="O579" s="872"/>
      <c r="P579" s="872"/>
      <c r="Q579" s="872"/>
      <c r="R579" s="872"/>
      <c r="S579" s="872"/>
      <c r="T579" s="872"/>
      <c r="U579" s="872"/>
      <c r="V579" s="872"/>
      <c r="W579" s="872"/>
      <c r="X579" s="872"/>
      <c r="Y579" s="872"/>
      <c r="Z579" s="872"/>
    </row>
    <row r="580" ht="14.25" customHeight="1">
      <c r="A580" s="872"/>
      <c r="B580" s="872"/>
      <c r="C580" s="872"/>
      <c r="D580" s="872"/>
      <c r="E580" s="872"/>
      <c r="F580" s="872"/>
      <c r="G580" s="872"/>
      <c r="H580" s="872"/>
      <c r="I580" s="872"/>
      <c r="J580" s="872"/>
      <c r="K580" s="872"/>
      <c r="L580" s="872"/>
      <c r="M580" s="872"/>
      <c r="N580" s="872"/>
      <c r="O580" s="872"/>
      <c r="P580" s="872"/>
      <c r="Q580" s="872"/>
      <c r="R580" s="872"/>
      <c r="S580" s="872"/>
      <c r="T580" s="872"/>
      <c r="U580" s="872"/>
      <c r="V580" s="872"/>
      <c r="W580" s="872"/>
      <c r="X580" s="872"/>
      <c r="Y580" s="872"/>
      <c r="Z580" s="872"/>
    </row>
    <row r="581" ht="14.25" customHeight="1">
      <c r="A581" s="872"/>
      <c r="B581" s="872"/>
      <c r="C581" s="872"/>
      <c r="D581" s="872"/>
      <c r="E581" s="872"/>
      <c r="F581" s="872"/>
      <c r="G581" s="872"/>
      <c r="H581" s="872"/>
      <c r="I581" s="872"/>
      <c r="J581" s="872"/>
      <c r="K581" s="872"/>
      <c r="L581" s="872"/>
      <c r="M581" s="872"/>
      <c r="N581" s="872"/>
      <c r="O581" s="872"/>
      <c r="P581" s="872"/>
      <c r="Q581" s="872"/>
      <c r="R581" s="872"/>
      <c r="S581" s="872"/>
      <c r="T581" s="872"/>
      <c r="U581" s="872"/>
      <c r="V581" s="872"/>
      <c r="W581" s="872"/>
      <c r="X581" s="872"/>
      <c r="Y581" s="872"/>
      <c r="Z581" s="872"/>
    </row>
    <row r="582" ht="14.25" customHeight="1">
      <c r="A582" s="872"/>
      <c r="B582" s="872"/>
      <c r="C582" s="872"/>
      <c r="D582" s="872"/>
      <c r="E582" s="872"/>
      <c r="F582" s="872"/>
      <c r="G582" s="872"/>
      <c r="H582" s="872"/>
      <c r="I582" s="872"/>
      <c r="J582" s="872"/>
      <c r="K582" s="872"/>
      <c r="L582" s="872"/>
      <c r="M582" s="872"/>
      <c r="N582" s="872"/>
      <c r="O582" s="872"/>
      <c r="P582" s="872"/>
      <c r="Q582" s="872"/>
      <c r="R582" s="872"/>
      <c r="S582" s="872"/>
      <c r="T582" s="872"/>
      <c r="U582" s="872"/>
      <c r="V582" s="872"/>
      <c r="W582" s="872"/>
      <c r="X582" s="872"/>
      <c r="Y582" s="872"/>
      <c r="Z582" s="872"/>
    </row>
    <row r="583" ht="14.25" customHeight="1">
      <c r="A583" s="872"/>
      <c r="B583" s="872"/>
      <c r="C583" s="872"/>
      <c r="D583" s="872"/>
      <c r="E583" s="872"/>
      <c r="F583" s="872"/>
      <c r="G583" s="872"/>
      <c r="H583" s="872"/>
      <c r="I583" s="872"/>
      <c r="J583" s="872"/>
      <c r="K583" s="872"/>
      <c r="L583" s="872"/>
      <c r="M583" s="872"/>
      <c r="N583" s="872"/>
      <c r="O583" s="872"/>
      <c r="P583" s="872"/>
      <c r="Q583" s="872"/>
      <c r="R583" s="872"/>
      <c r="S583" s="872"/>
      <c r="T583" s="872"/>
      <c r="U583" s="872"/>
      <c r="V583" s="872"/>
      <c r="W583" s="872"/>
      <c r="X583" s="872"/>
      <c r="Y583" s="872"/>
      <c r="Z583" s="872"/>
    </row>
    <row r="584" ht="14.25" customHeight="1">
      <c r="A584" s="872"/>
      <c r="B584" s="872"/>
      <c r="C584" s="872"/>
      <c r="D584" s="872"/>
      <c r="E584" s="872"/>
      <c r="F584" s="872"/>
      <c r="G584" s="872"/>
      <c r="H584" s="872"/>
      <c r="I584" s="872"/>
      <c r="J584" s="872"/>
      <c r="K584" s="872"/>
      <c r="L584" s="872"/>
      <c r="M584" s="872"/>
      <c r="N584" s="872"/>
      <c r="O584" s="872"/>
      <c r="P584" s="872"/>
      <c r="Q584" s="872"/>
      <c r="R584" s="872"/>
      <c r="S584" s="872"/>
      <c r="T584" s="872"/>
      <c r="U584" s="872"/>
      <c r="V584" s="872"/>
      <c r="W584" s="872"/>
      <c r="X584" s="872"/>
      <c r="Y584" s="872"/>
      <c r="Z584" s="872"/>
    </row>
    <row r="585" ht="14.25" customHeight="1">
      <c r="A585" s="872"/>
      <c r="B585" s="872"/>
      <c r="C585" s="872"/>
      <c r="D585" s="872"/>
      <c r="E585" s="872"/>
      <c r="F585" s="872"/>
      <c r="G585" s="872"/>
      <c r="H585" s="872"/>
      <c r="I585" s="872"/>
      <c r="J585" s="872"/>
      <c r="K585" s="872"/>
      <c r="L585" s="872"/>
      <c r="M585" s="872"/>
      <c r="N585" s="872"/>
      <c r="O585" s="872"/>
      <c r="P585" s="872"/>
      <c r="Q585" s="872"/>
      <c r="R585" s="872"/>
      <c r="S585" s="872"/>
      <c r="T585" s="872"/>
      <c r="U585" s="872"/>
      <c r="V585" s="872"/>
      <c r="W585" s="872"/>
      <c r="X585" s="872"/>
      <c r="Y585" s="872"/>
      <c r="Z585" s="872"/>
    </row>
    <row r="586" ht="14.25" customHeight="1">
      <c r="A586" s="872"/>
      <c r="B586" s="872"/>
      <c r="C586" s="872"/>
      <c r="D586" s="872"/>
      <c r="E586" s="872"/>
      <c r="F586" s="872"/>
      <c r="G586" s="872"/>
      <c r="H586" s="872"/>
      <c r="I586" s="872"/>
      <c r="J586" s="872"/>
      <c r="K586" s="872"/>
      <c r="L586" s="872"/>
      <c r="M586" s="872"/>
      <c r="N586" s="872"/>
      <c r="O586" s="872"/>
      <c r="P586" s="872"/>
      <c r="Q586" s="872"/>
      <c r="R586" s="872"/>
      <c r="S586" s="872"/>
      <c r="T586" s="872"/>
      <c r="U586" s="872"/>
      <c r="V586" s="872"/>
      <c r="W586" s="872"/>
      <c r="X586" s="872"/>
      <c r="Y586" s="872"/>
      <c r="Z586" s="872"/>
    </row>
    <row r="587" ht="14.25" customHeight="1">
      <c r="A587" s="872"/>
      <c r="B587" s="872"/>
      <c r="C587" s="872"/>
      <c r="D587" s="872"/>
      <c r="E587" s="872"/>
      <c r="F587" s="872"/>
      <c r="G587" s="872"/>
      <c r="H587" s="872"/>
      <c r="I587" s="872"/>
      <c r="J587" s="872"/>
      <c r="K587" s="872"/>
      <c r="L587" s="872"/>
      <c r="M587" s="872"/>
      <c r="N587" s="872"/>
      <c r="O587" s="872"/>
      <c r="P587" s="872"/>
      <c r="Q587" s="872"/>
      <c r="R587" s="872"/>
      <c r="S587" s="872"/>
      <c r="T587" s="872"/>
      <c r="U587" s="872"/>
      <c r="V587" s="872"/>
      <c r="W587" s="872"/>
      <c r="X587" s="872"/>
      <c r="Y587" s="872"/>
      <c r="Z587" s="872"/>
    </row>
    <row r="588" ht="14.25" customHeight="1">
      <c r="A588" s="872"/>
      <c r="B588" s="872"/>
      <c r="C588" s="872"/>
      <c r="D588" s="872"/>
      <c r="E588" s="872"/>
      <c r="F588" s="872"/>
      <c r="G588" s="872"/>
      <c r="H588" s="872"/>
      <c r="I588" s="872"/>
      <c r="J588" s="872"/>
      <c r="K588" s="872"/>
      <c r="L588" s="872"/>
      <c r="M588" s="872"/>
      <c r="N588" s="872"/>
      <c r="O588" s="872"/>
      <c r="P588" s="872"/>
      <c r="Q588" s="872"/>
      <c r="R588" s="872"/>
      <c r="S588" s="872"/>
      <c r="T588" s="872"/>
      <c r="U588" s="872"/>
      <c r="V588" s="872"/>
      <c r="W588" s="872"/>
      <c r="X588" s="872"/>
      <c r="Y588" s="872"/>
      <c r="Z588" s="872"/>
    </row>
    <row r="589" ht="14.25" customHeight="1">
      <c r="A589" s="872"/>
      <c r="B589" s="872"/>
      <c r="C589" s="872"/>
      <c r="D589" s="872"/>
      <c r="E589" s="872"/>
      <c r="F589" s="872"/>
      <c r="G589" s="872"/>
      <c r="H589" s="872"/>
      <c r="I589" s="872"/>
      <c r="J589" s="872"/>
      <c r="K589" s="872"/>
      <c r="L589" s="872"/>
      <c r="M589" s="872"/>
      <c r="N589" s="872"/>
      <c r="O589" s="872"/>
      <c r="P589" s="872"/>
      <c r="Q589" s="872"/>
      <c r="R589" s="872"/>
      <c r="S589" s="872"/>
      <c r="T589" s="872"/>
      <c r="U589" s="872"/>
      <c r="V589" s="872"/>
      <c r="W589" s="872"/>
      <c r="X589" s="872"/>
      <c r="Y589" s="872"/>
      <c r="Z589" s="872"/>
    </row>
    <row r="590" ht="14.25" customHeight="1">
      <c r="A590" s="872"/>
      <c r="B590" s="872"/>
      <c r="C590" s="872"/>
      <c r="D590" s="872"/>
      <c r="E590" s="872"/>
      <c r="F590" s="872"/>
      <c r="G590" s="872"/>
      <c r="H590" s="872"/>
      <c r="I590" s="872"/>
      <c r="J590" s="872"/>
      <c r="K590" s="872"/>
      <c r="L590" s="872"/>
      <c r="M590" s="872"/>
      <c r="N590" s="872"/>
      <c r="O590" s="872"/>
      <c r="P590" s="872"/>
      <c r="Q590" s="872"/>
      <c r="R590" s="872"/>
      <c r="S590" s="872"/>
      <c r="T590" s="872"/>
      <c r="U590" s="872"/>
      <c r="V590" s="872"/>
      <c r="W590" s="872"/>
      <c r="X590" s="872"/>
      <c r="Y590" s="872"/>
      <c r="Z590" s="872"/>
    </row>
    <row r="591" ht="14.25" customHeight="1">
      <c r="A591" s="872"/>
      <c r="B591" s="872"/>
      <c r="C591" s="872"/>
      <c r="D591" s="872"/>
      <c r="E591" s="872"/>
      <c r="F591" s="872"/>
      <c r="G591" s="872"/>
      <c r="H591" s="872"/>
      <c r="I591" s="872"/>
      <c r="J591" s="872"/>
      <c r="K591" s="872"/>
      <c r="L591" s="872"/>
      <c r="M591" s="872"/>
      <c r="N591" s="872"/>
      <c r="O591" s="872"/>
      <c r="P591" s="872"/>
      <c r="Q591" s="872"/>
      <c r="R591" s="872"/>
      <c r="S591" s="872"/>
      <c r="T591" s="872"/>
      <c r="U591" s="872"/>
      <c r="V591" s="872"/>
      <c r="W591" s="872"/>
      <c r="X591" s="872"/>
      <c r="Y591" s="872"/>
      <c r="Z591" s="872"/>
    </row>
    <row r="592" ht="14.25" customHeight="1">
      <c r="A592" s="872"/>
      <c r="B592" s="872"/>
      <c r="C592" s="872"/>
      <c r="D592" s="872"/>
      <c r="E592" s="872"/>
      <c r="F592" s="872"/>
      <c r="G592" s="872"/>
      <c r="H592" s="872"/>
      <c r="I592" s="872"/>
      <c r="J592" s="872"/>
      <c r="K592" s="872"/>
      <c r="L592" s="872"/>
      <c r="M592" s="872"/>
      <c r="N592" s="872"/>
      <c r="O592" s="872"/>
      <c r="P592" s="872"/>
      <c r="Q592" s="872"/>
      <c r="R592" s="872"/>
      <c r="S592" s="872"/>
      <c r="T592" s="872"/>
      <c r="U592" s="872"/>
      <c r="V592" s="872"/>
      <c r="W592" s="872"/>
      <c r="X592" s="872"/>
      <c r="Y592" s="872"/>
      <c r="Z592" s="872"/>
    </row>
    <row r="593" ht="14.25" customHeight="1">
      <c r="A593" s="872"/>
      <c r="B593" s="872"/>
      <c r="C593" s="872"/>
      <c r="D593" s="872"/>
      <c r="E593" s="872"/>
      <c r="F593" s="872"/>
      <c r="G593" s="872"/>
      <c r="H593" s="872"/>
      <c r="I593" s="872"/>
      <c r="J593" s="872"/>
      <c r="K593" s="872"/>
      <c r="L593" s="872"/>
      <c r="M593" s="872"/>
      <c r="N593" s="872"/>
      <c r="O593" s="872"/>
      <c r="P593" s="872"/>
      <c r="Q593" s="872"/>
      <c r="R593" s="872"/>
      <c r="S593" s="872"/>
      <c r="T593" s="872"/>
      <c r="U593" s="872"/>
      <c r="V593" s="872"/>
      <c r="W593" s="872"/>
      <c r="X593" s="872"/>
      <c r="Y593" s="872"/>
      <c r="Z593" s="872"/>
    </row>
    <row r="594" ht="14.25" customHeight="1">
      <c r="A594" s="872"/>
      <c r="B594" s="872"/>
      <c r="C594" s="872"/>
      <c r="D594" s="872"/>
      <c r="E594" s="872"/>
      <c r="F594" s="872"/>
      <c r="G594" s="872"/>
      <c r="H594" s="872"/>
      <c r="I594" s="872"/>
      <c r="J594" s="872"/>
      <c r="K594" s="872"/>
      <c r="L594" s="872"/>
      <c r="M594" s="872"/>
      <c r="N594" s="872"/>
      <c r="O594" s="872"/>
      <c r="P594" s="872"/>
      <c r="Q594" s="872"/>
      <c r="R594" s="872"/>
      <c r="S594" s="872"/>
      <c r="T594" s="872"/>
      <c r="U594" s="872"/>
      <c r="V594" s="872"/>
      <c r="W594" s="872"/>
      <c r="X594" s="872"/>
      <c r="Y594" s="872"/>
      <c r="Z594" s="872"/>
    </row>
    <row r="595" ht="14.25" customHeight="1">
      <c r="A595" s="872"/>
      <c r="B595" s="872"/>
      <c r="C595" s="872"/>
      <c r="D595" s="872"/>
      <c r="E595" s="872"/>
      <c r="F595" s="872"/>
      <c r="G595" s="872"/>
      <c r="H595" s="872"/>
      <c r="I595" s="872"/>
      <c r="J595" s="872"/>
      <c r="K595" s="872"/>
      <c r="L595" s="872"/>
      <c r="M595" s="872"/>
      <c r="N595" s="872"/>
      <c r="O595" s="872"/>
      <c r="P595" s="872"/>
      <c r="Q595" s="872"/>
      <c r="R595" s="872"/>
      <c r="S595" s="872"/>
      <c r="T595" s="872"/>
      <c r="U595" s="872"/>
      <c r="V595" s="872"/>
      <c r="W595" s="872"/>
      <c r="X595" s="872"/>
      <c r="Y595" s="872"/>
      <c r="Z595" s="872"/>
    </row>
    <row r="596" ht="14.25" customHeight="1">
      <c r="A596" s="872"/>
      <c r="B596" s="872"/>
      <c r="C596" s="872"/>
      <c r="D596" s="872"/>
      <c r="E596" s="872"/>
      <c r="F596" s="872"/>
      <c r="G596" s="872"/>
      <c r="H596" s="872"/>
      <c r="I596" s="872"/>
      <c r="J596" s="872"/>
      <c r="K596" s="872"/>
      <c r="L596" s="872"/>
      <c r="M596" s="872"/>
      <c r="N596" s="872"/>
      <c r="O596" s="872"/>
      <c r="P596" s="872"/>
      <c r="Q596" s="872"/>
      <c r="R596" s="872"/>
      <c r="S596" s="872"/>
      <c r="T596" s="872"/>
      <c r="U596" s="872"/>
      <c r="V596" s="872"/>
      <c r="W596" s="872"/>
      <c r="X596" s="872"/>
      <c r="Y596" s="872"/>
      <c r="Z596" s="872"/>
    </row>
    <row r="597" ht="14.25" customHeight="1">
      <c r="A597" s="872"/>
      <c r="B597" s="872"/>
      <c r="C597" s="872"/>
      <c r="D597" s="872"/>
      <c r="E597" s="872"/>
      <c r="F597" s="872"/>
      <c r="G597" s="872"/>
      <c r="H597" s="872"/>
      <c r="I597" s="872"/>
      <c r="J597" s="872"/>
      <c r="K597" s="872"/>
      <c r="L597" s="872"/>
      <c r="M597" s="872"/>
      <c r="N597" s="872"/>
      <c r="O597" s="872"/>
      <c r="P597" s="872"/>
      <c r="Q597" s="872"/>
      <c r="R597" s="872"/>
      <c r="S597" s="872"/>
      <c r="T597" s="872"/>
      <c r="U597" s="872"/>
      <c r="V597" s="872"/>
      <c r="W597" s="872"/>
      <c r="X597" s="872"/>
      <c r="Y597" s="872"/>
      <c r="Z597" s="872"/>
    </row>
    <row r="598" ht="14.25" customHeight="1">
      <c r="A598" s="872"/>
      <c r="B598" s="872"/>
      <c r="C598" s="872"/>
      <c r="D598" s="872"/>
      <c r="E598" s="872"/>
      <c r="F598" s="872"/>
      <c r="G598" s="872"/>
      <c r="H598" s="872"/>
      <c r="I598" s="872"/>
      <c r="J598" s="872"/>
      <c r="K598" s="872"/>
      <c r="L598" s="872"/>
      <c r="M598" s="872"/>
      <c r="N598" s="872"/>
      <c r="O598" s="872"/>
      <c r="P598" s="872"/>
      <c r="Q598" s="872"/>
      <c r="R598" s="872"/>
      <c r="S598" s="872"/>
      <c r="T598" s="872"/>
      <c r="U598" s="872"/>
      <c r="V598" s="872"/>
      <c r="W598" s="872"/>
      <c r="X598" s="872"/>
      <c r="Y598" s="872"/>
      <c r="Z598" s="872"/>
    </row>
    <row r="599" ht="14.25" customHeight="1">
      <c r="A599" s="872"/>
      <c r="B599" s="872"/>
      <c r="C599" s="872"/>
      <c r="D599" s="872"/>
      <c r="E599" s="872"/>
      <c r="F599" s="872"/>
      <c r="G599" s="872"/>
      <c r="H599" s="872"/>
      <c r="I599" s="872"/>
      <c r="J599" s="872"/>
      <c r="K599" s="872"/>
      <c r="L599" s="872"/>
      <c r="M599" s="872"/>
      <c r="N599" s="872"/>
      <c r="O599" s="872"/>
      <c r="P599" s="872"/>
      <c r="Q599" s="872"/>
      <c r="R599" s="872"/>
      <c r="S599" s="872"/>
      <c r="T599" s="872"/>
      <c r="U599" s="872"/>
      <c r="V599" s="872"/>
      <c r="W599" s="872"/>
      <c r="X599" s="872"/>
      <c r="Y599" s="872"/>
      <c r="Z599" s="872"/>
    </row>
    <row r="600" ht="14.25" customHeight="1">
      <c r="A600" s="872"/>
      <c r="B600" s="872"/>
      <c r="C600" s="872"/>
      <c r="D600" s="872"/>
      <c r="E600" s="872"/>
      <c r="F600" s="872"/>
      <c r="G600" s="872"/>
      <c r="H600" s="872"/>
      <c r="I600" s="872"/>
      <c r="J600" s="872"/>
      <c r="K600" s="872"/>
      <c r="L600" s="872"/>
      <c r="M600" s="872"/>
      <c r="N600" s="872"/>
      <c r="O600" s="872"/>
      <c r="P600" s="872"/>
      <c r="Q600" s="872"/>
      <c r="R600" s="872"/>
      <c r="S600" s="872"/>
      <c r="T600" s="872"/>
      <c r="U600" s="872"/>
      <c r="V600" s="872"/>
      <c r="W600" s="872"/>
      <c r="X600" s="872"/>
      <c r="Y600" s="872"/>
      <c r="Z600" s="872"/>
    </row>
    <row r="601" ht="14.25" customHeight="1">
      <c r="A601" s="872"/>
      <c r="B601" s="872"/>
      <c r="C601" s="872"/>
      <c r="D601" s="872"/>
      <c r="E601" s="872"/>
      <c r="F601" s="872"/>
      <c r="G601" s="872"/>
      <c r="H601" s="872"/>
      <c r="I601" s="872"/>
      <c r="J601" s="872"/>
      <c r="K601" s="872"/>
      <c r="L601" s="872"/>
      <c r="M601" s="872"/>
      <c r="N601" s="872"/>
      <c r="O601" s="872"/>
      <c r="P601" s="872"/>
      <c r="Q601" s="872"/>
      <c r="R601" s="872"/>
      <c r="S601" s="872"/>
      <c r="T601" s="872"/>
      <c r="U601" s="872"/>
      <c r="V601" s="872"/>
      <c r="W601" s="872"/>
      <c r="X601" s="872"/>
      <c r="Y601" s="872"/>
      <c r="Z601" s="872"/>
    </row>
    <row r="602" ht="14.25" customHeight="1">
      <c r="A602" s="872"/>
      <c r="B602" s="872"/>
      <c r="C602" s="872"/>
      <c r="D602" s="872"/>
      <c r="E602" s="872"/>
      <c r="F602" s="872"/>
      <c r="G602" s="872"/>
      <c r="H602" s="872"/>
      <c r="I602" s="872"/>
      <c r="J602" s="872"/>
      <c r="K602" s="872"/>
      <c r="L602" s="872"/>
      <c r="M602" s="872"/>
      <c r="N602" s="872"/>
      <c r="O602" s="872"/>
      <c r="P602" s="872"/>
      <c r="Q602" s="872"/>
      <c r="R602" s="872"/>
      <c r="S602" s="872"/>
      <c r="T602" s="872"/>
      <c r="U602" s="872"/>
      <c r="V602" s="872"/>
      <c r="W602" s="872"/>
      <c r="X602" s="872"/>
      <c r="Y602" s="872"/>
      <c r="Z602" s="872"/>
    </row>
    <row r="603" ht="14.25" customHeight="1">
      <c r="A603" s="872"/>
      <c r="B603" s="872"/>
      <c r="C603" s="872"/>
      <c r="D603" s="872"/>
      <c r="E603" s="872"/>
      <c r="F603" s="872"/>
      <c r="G603" s="872"/>
      <c r="H603" s="872"/>
      <c r="I603" s="872"/>
      <c r="J603" s="872"/>
      <c r="K603" s="872"/>
      <c r="L603" s="872"/>
      <c r="M603" s="872"/>
      <c r="N603" s="872"/>
      <c r="O603" s="872"/>
      <c r="P603" s="872"/>
      <c r="Q603" s="872"/>
      <c r="R603" s="872"/>
      <c r="S603" s="872"/>
      <c r="T603" s="872"/>
      <c r="U603" s="872"/>
      <c r="V603" s="872"/>
      <c r="W603" s="872"/>
      <c r="X603" s="872"/>
      <c r="Y603" s="872"/>
      <c r="Z603" s="872"/>
    </row>
    <row r="604" ht="14.25" customHeight="1">
      <c r="A604" s="872"/>
      <c r="B604" s="872"/>
      <c r="C604" s="872"/>
      <c r="D604" s="872"/>
      <c r="E604" s="872"/>
      <c r="F604" s="872"/>
      <c r="G604" s="872"/>
      <c r="H604" s="872"/>
      <c r="I604" s="872"/>
      <c r="J604" s="872"/>
      <c r="K604" s="872"/>
      <c r="L604" s="872"/>
      <c r="M604" s="872"/>
      <c r="N604" s="872"/>
      <c r="O604" s="872"/>
      <c r="P604" s="872"/>
      <c r="Q604" s="872"/>
      <c r="R604" s="872"/>
      <c r="S604" s="872"/>
      <c r="T604" s="872"/>
      <c r="U604" s="872"/>
      <c r="V604" s="872"/>
      <c r="W604" s="872"/>
      <c r="X604" s="872"/>
      <c r="Y604" s="872"/>
      <c r="Z604" s="872"/>
    </row>
    <row r="605" ht="14.25" customHeight="1">
      <c r="A605" s="872"/>
      <c r="B605" s="872"/>
      <c r="C605" s="872"/>
      <c r="D605" s="872"/>
      <c r="E605" s="872"/>
      <c r="F605" s="872"/>
      <c r="G605" s="872"/>
      <c r="H605" s="872"/>
      <c r="I605" s="872"/>
      <c r="J605" s="872"/>
      <c r="K605" s="872"/>
      <c r="L605" s="872"/>
      <c r="M605" s="872"/>
      <c r="N605" s="872"/>
      <c r="O605" s="872"/>
      <c r="P605" s="872"/>
      <c r="Q605" s="872"/>
      <c r="R605" s="872"/>
      <c r="S605" s="872"/>
      <c r="T605" s="872"/>
      <c r="U605" s="872"/>
      <c r="V605" s="872"/>
      <c r="W605" s="872"/>
      <c r="X605" s="872"/>
      <c r="Y605" s="872"/>
      <c r="Z605" s="872"/>
    </row>
    <row r="606" ht="14.25" customHeight="1">
      <c r="A606" s="872"/>
      <c r="B606" s="872"/>
      <c r="C606" s="872"/>
      <c r="D606" s="872"/>
      <c r="E606" s="872"/>
      <c r="F606" s="872"/>
      <c r="G606" s="872"/>
      <c r="H606" s="872"/>
      <c r="I606" s="872"/>
      <c r="J606" s="872"/>
      <c r="K606" s="872"/>
      <c r="L606" s="872"/>
      <c r="M606" s="872"/>
      <c r="N606" s="872"/>
      <c r="O606" s="872"/>
      <c r="P606" s="872"/>
      <c r="Q606" s="872"/>
      <c r="R606" s="872"/>
      <c r="S606" s="872"/>
      <c r="T606" s="872"/>
      <c r="U606" s="872"/>
      <c r="V606" s="872"/>
      <c r="W606" s="872"/>
      <c r="X606" s="872"/>
      <c r="Y606" s="872"/>
      <c r="Z606" s="872"/>
    </row>
    <row r="607" ht="14.25" customHeight="1">
      <c r="A607" s="872"/>
      <c r="B607" s="872"/>
      <c r="C607" s="872"/>
      <c r="D607" s="872"/>
      <c r="E607" s="872"/>
      <c r="F607" s="872"/>
      <c r="G607" s="872"/>
      <c r="H607" s="872"/>
      <c r="I607" s="872"/>
      <c r="J607" s="872"/>
      <c r="K607" s="872"/>
      <c r="L607" s="872"/>
      <c r="M607" s="872"/>
      <c r="N607" s="872"/>
      <c r="O607" s="872"/>
      <c r="P607" s="872"/>
      <c r="Q607" s="872"/>
      <c r="R607" s="872"/>
      <c r="S607" s="872"/>
      <c r="T607" s="872"/>
      <c r="U607" s="872"/>
      <c r="V607" s="872"/>
      <c r="W607" s="872"/>
      <c r="X607" s="872"/>
      <c r="Y607" s="872"/>
      <c r="Z607" s="872"/>
    </row>
    <row r="608" ht="14.25" customHeight="1">
      <c r="A608" s="872"/>
      <c r="B608" s="872"/>
      <c r="C608" s="872"/>
      <c r="D608" s="872"/>
      <c r="E608" s="872"/>
      <c r="F608" s="872"/>
      <c r="G608" s="872"/>
      <c r="H608" s="872"/>
      <c r="I608" s="872"/>
      <c r="J608" s="872"/>
      <c r="K608" s="872"/>
      <c r="L608" s="872"/>
      <c r="M608" s="872"/>
      <c r="N608" s="872"/>
      <c r="O608" s="872"/>
      <c r="P608" s="872"/>
      <c r="Q608" s="872"/>
      <c r="R608" s="872"/>
      <c r="S608" s="872"/>
      <c r="T608" s="872"/>
      <c r="U608" s="872"/>
      <c r="V608" s="872"/>
      <c r="W608" s="872"/>
      <c r="X608" s="872"/>
      <c r="Y608" s="872"/>
      <c r="Z608" s="872"/>
    </row>
    <row r="609" ht="14.25" customHeight="1">
      <c r="A609" s="872"/>
      <c r="B609" s="872"/>
      <c r="C609" s="872"/>
      <c r="D609" s="872"/>
      <c r="E609" s="872"/>
      <c r="F609" s="872"/>
      <c r="G609" s="872"/>
      <c r="H609" s="872"/>
      <c r="I609" s="872"/>
      <c r="J609" s="872"/>
      <c r="K609" s="872"/>
      <c r="L609" s="872"/>
      <c r="M609" s="872"/>
      <c r="N609" s="872"/>
      <c r="O609" s="872"/>
      <c r="P609" s="872"/>
      <c r="Q609" s="872"/>
      <c r="R609" s="872"/>
      <c r="S609" s="872"/>
      <c r="T609" s="872"/>
      <c r="U609" s="872"/>
      <c r="V609" s="872"/>
      <c r="W609" s="872"/>
      <c r="X609" s="872"/>
      <c r="Y609" s="872"/>
      <c r="Z609" s="872"/>
    </row>
    <row r="610" ht="14.25" customHeight="1">
      <c r="A610" s="872"/>
      <c r="B610" s="872"/>
      <c r="C610" s="872"/>
      <c r="D610" s="872"/>
      <c r="E610" s="872"/>
      <c r="F610" s="872"/>
      <c r="G610" s="872"/>
      <c r="H610" s="872"/>
      <c r="I610" s="872"/>
      <c r="J610" s="872"/>
      <c r="K610" s="872"/>
      <c r="L610" s="872"/>
      <c r="M610" s="872"/>
      <c r="N610" s="872"/>
      <c r="O610" s="872"/>
      <c r="P610" s="872"/>
      <c r="Q610" s="872"/>
      <c r="R610" s="872"/>
      <c r="S610" s="872"/>
      <c r="T610" s="872"/>
      <c r="U610" s="872"/>
      <c r="V610" s="872"/>
      <c r="W610" s="872"/>
      <c r="X610" s="872"/>
      <c r="Y610" s="872"/>
      <c r="Z610" s="872"/>
    </row>
    <row r="611" ht="14.25" customHeight="1">
      <c r="A611" s="872"/>
      <c r="B611" s="872"/>
      <c r="C611" s="872"/>
      <c r="D611" s="872"/>
      <c r="E611" s="872"/>
      <c r="F611" s="872"/>
      <c r="G611" s="872"/>
      <c r="H611" s="872"/>
      <c r="I611" s="872"/>
      <c r="J611" s="872"/>
      <c r="K611" s="872"/>
      <c r="L611" s="872"/>
      <c r="M611" s="872"/>
      <c r="N611" s="872"/>
      <c r="O611" s="872"/>
      <c r="P611" s="872"/>
      <c r="Q611" s="872"/>
      <c r="R611" s="872"/>
      <c r="S611" s="872"/>
      <c r="T611" s="872"/>
      <c r="U611" s="872"/>
      <c r="V611" s="872"/>
      <c r="W611" s="872"/>
      <c r="X611" s="872"/>
      <c r="Y611" s="872"/>
      <c r="Z611" s="872"/>
    </row>
    <row r="612" ht="14.25" customHeight="1">
      <c r="A612" s="872"/>
      <c r="B612" s="872"/>
      <c r="C612" s="872"/>
      <c r="D612" s="872"/>
      <c r="E612" s="872"/>
      <c r="F612" s="872"/>
      <c r="G612" s="872"/>
      <c r="H612" s="872"/>
      <c r="I612" s="872"/>
      <c r="J612" s="872"/>
      <c r="K612" s="872"/>
      <c r="L612" s="872"/>
      <c r="M612" s="872"/>
      <c r="N612" s="872"/>
      <c r="O612" s="872"/>
      <c r="P612" s="872"/>
      <c r="Q612" s="872"/>
      <c r="R612" s="872"/>
      <c r="S612" s="872"/>
      <c r="T612" s="872"/>
      <c r="U612" s="872"/>
      <c r="V612" s="872"/>
      <c r="W612" s="872"/>
      <c r="X612" s="872"/>
      <c r="Y612" s="872"/>
      <c r="Z612" s="872"/>
    </row>
    <row r="613" ht="14.25" customHeight="1">
      <c r="A613" s="872"/>
      <c r="B613" s="872"/>
      <c r="C613" s="872"/>
      <c r="D613" s="872"/>
      <c r="E613" s="872"/>
      <c r="F613" s="872"/>
      <c r="G613" s="872"/>
      <c r="H613" s="872"/>
      <c r="I613" s="872"/>
      <c r="J613" s="872"/>
      <c r="K613" s="872"/>
      <c r="L613" s="872"/>
      <c r="M613" s="872"/>
      <c r="N613" s="872"/>
      <c r="O613" s="872"/>
      <c r="P613" s="872"/>
      <c r="Q613" s="872"/>
      <c r="R613" s="872"/>
      <c r="S613" s="872"/>
      <c r="T613" s="872"/>
      <c r="U613" s="872"/>
      <c r="V613" s="872"/>
      <c r="W613" s="872"/>
      <c r="X613" s="872"/>
      <c r="Y613" s="872"/>
      <c r="Z613" s="872"/>
    </row>
    <row r="614" ht="14.25" customHeight="1">
      <c r="A614" s="872"/>
      <c r="B614" s="872"/>
      <c r="C614" s="872"/>
      <c r="D614" s="872"/>
      <c r="E614" s="872"/>
      <c r="F614" s="872"/>
      <c r="G614" s="872"/>
      <c r="H614" s="872"/>
      <c r="I614" s="872"/>
      <c r="J614" s="872"/>
      <c r="K614" s="872"/>
      <c r="L614" s="872"/>
      <c r="M614" s="872"/>
      <c r="N614" s="872"/>
      <c r="O614" s="872"/>
      <c r="P614" s="872"/>
      <c r="Q614" s="872"/>
      <c r="R614" s="872"/>
      <c r="S614" s="872"/>
      <c r="T614" s="872"/>
      <c r="U614" s="872"/>
      <c r="V614" s="872"/>
      <c r="W614" s="872"/>
      <c r="X614" s="872"/>
      <c r="Y614" s="872"/>
      <c r="Z614" s="872"/>
    </row>
    <row r="615" ht="14.25" customHeight="1">
      <c r="A615" s="872"/>
      <c r="B615" s="872"/>
      <c r="C615" s="872"/>
      <c r="D615" s="872"/>
      <c r="E615" s="872"/>
      <c r="F615" s="872"/>
      <c r="G615" s="872"/>
      <c r="H615" s="872"/>
      <c r="I615" s="872"/>
      <c r="J615" s="872"/>
      <c r="K615" s="872"/>
      <c r="L615" s="872"/>
      <c r="M615" s="872"/>
      <c r="N615" s="872"/>
      <c r="O615" s="872"/>
      <c r="P615" s="872"/>
      <c r="Q615" s="872"/>
      <c r="R615" s="872"/>
      <c r="S615" s="872"/>
      <c r="T615" s="872"/>
      <c r="U615" s="872"/>
      <c r="V615" s="872"/>
      <c r="W615" s="872"/>
      <c r="X615" s="872"/>
      <c r="Y615" s="872"/>
      <c r="Z615" s="872"/>
    </row>
    <row r="616" ht="14.25" customHeight="1">
      <c r="A616" s="872"/>
      <c r="B616" s="872"/>
      <c r="C616" s="872"/>
      <c r="D616" s="872"/>
      <c r="E616" s="872"/>
      <c r="F616" s="872"/>
      <c r="G616" s="872"/>
      <c r="H616" s="872"/>
      <c r="I616" s="872"/>
      <c r="J616" s="872"/>
      <c r="K616" s="872"/>
      <c r="L616" s="872"/>
      <c r="M616" s="872"/>
      <c r="N616" s="872"/>
      <c r="O616" s="872"/>
      <c r="P616" s="872"/>
      <c r="Q616" s="872"/>
      <c r="R616" s="872"/>
      <c r="S616" s="872"/>
      <c r="T616" s="872"/>
      <c r="U616" s="872"/>
      <c r="V616" s="872"/>
      <c r="W616" s="872"/>
      <c r="X616" s="872"/>
      <c r="Y616" s="872"/>
      <c r="Z616" s="872"/>
    </row>
    <row r="617" ht="14.25" customHeight="1">
      <c r="A617" s="872"/>
      <c r="B617" s="872"/>
      <c r="C617" s="872"/>
      <c r="D617" s="872"/>
      <c r="E617" s="872"/>
      <c r="F617" s="872"/>
      <c r="G617" s="872"/>
      <c r="H617" s="872"/>
      <c r="I617" s="872"/>
      <c r="J617" s="872"/>
      <c r="K617" s="872"/>
      <c r="L617" s="872"/>
      <c r="M617" s="872"/>
      <c r="N617" s="872"/>
      <c r="O617" s="872"/>
      <c r="P617" s="872"/>
      <c r="Q617" s="872"/>
      <c r="R617" s="872"/>
      <c r="S617" s="872"/>
      <c r="T617" s="872"/>
      <c r="U617" s="872"/>
      <c r="V617" s="872"/>
      <c r="W617" s="872"/>
      <c r="X617" s="872"/>
      <c r="Y617" s="872"/>
      <c r="Z617" s="872"/>
    </row>
    <row r="618" ht="14.25" customHeight="1">
      <c r="A618" s="872"/>
      <c r="B618" s="872"/>
      <c r="C618" s="872"/>
      <c r="D618" s="872"/>
      <c r="E618" s="872"/>
      <c r="F618" s="872"/>
      <c r="G618" s="872"/>
      <c r="H618" s="872"/>
      <c r="I618" s="872"/>
      <c r="J618" s="872"/>
      <c r="K618" s="872"/>
      <c r="L618" s="872"/>
      <c r="M618" s="872"/>
      <c r="N618" s="872"/>
      <c r="O618" s="872"/>
      <c r="P618" s="872"/>
      <c r="Q618" s="872"/>
      <c r="R618" s="872"/>
      <c r="S618" s="872"/>
      <c r="T618" s="872"/>
      <c r="U618" s="872"/>
      <c r="V618" s="872"/>
      <c r="W618" s="872"/>
      <c r="X618" s="872"/>
      <c r="Y618" s="872"/>
      <c r="Z618" s="872"/>
    </row>
    <row r="619" ht="14.25" customHeight="1">
      <c r="A619" s="872"/>
      <c r="B619" s="872"/>
      <c r="C619" s="872"/>
      <c r="D619" s="872"/>
      <c r="E619" s="872"/>
      <c r="F619" s="872"/>
      <c r="G619" s="872"/>
      <c r="H619" s="872"/>
      <c r="I619" s="872"/>
      <c r="J619" s="872"/>
      <c r="K619" s="872"/>
      <c r="L619" s="872"/>
      <c r="M619" s="872"/>
      <c r="N619" s="872"/>
      <c r="O619" s="872"/>
      <c r="P619" s="872"/>
      <c r="Q619" s="872"/>
      <c r="R619" s="872"/>
      <c r="S619" s="872"/>
      <c r="T619" s="872"/>
      <c r="U619" s="872"/>
      <c r="V619" s="872"/>
      <c r="W619" s="872"/>
      <c r="X619" s="872"/>
      <c r="Y619" s="872"/>
      <c r="Z619" s="872"/>
    </row>
    <row r="620" ht="14.25" customHeight="1">
      <c r="A620" s="872"/>
      <c r="B620" s="872"/>
      <c r="C620" s="872"/>
      <c r="D620" s="872"/>
      <c r="E620" s="872"/>
      <c r="F620" s="872"/>
      <c r="G620" s="872"/>
      <c r="H620" s="872"/>
      <c r="I620" s="872"/>
      <c r="J620" s="872"/>
      <c r="K620" s="872"/>
      <c r="L620" s="872"/>
      <c r="M620" s="872"/>
      <c r="N620" s="872"/>
      <c r="O620" s="872"/>
      <c r="P620" s="872"/>
      <c r="Q620" s="872"/>
      <c r="R620" s="872"/>
      <c r="S620" s="872"/>
      <c r="T620" s="872"/>
      <c r="U620" s="872"/>
      <c r="V620" s="872"/>
      <c r="W620" s="872"/>
      <c r="X620" s="872"/>
      <c r="Y620" s="872"/>
      <c r="Z620" s="872"/>
    </row>
    <row r="621" ht="14.25" customHeight="1">
      <c r="A621" s="872"/>
      <c r="B621" s="872"/>
      <c r="C621" s="872"/>
      <c r="D621" s="872"/>
      <c r="E621" s="872"/>
      <c r="F621" s="872"/>
      <c r="G621" s="872"/>
      <c r="H621" s="872"/>
      <c r="I621" s="872"/>
      <c r="J621" s="872"/>
      <c r="K621" s="872"/>
      <c r="L621" s="872"/>
      <c r="M621" s="872"/>
      <c r="N621" s="872"/>
      <c r="O621" s="872"/>
      <c r="P621" s="872"/>
      <c r="Q621" s="872"/>
      <c r="R621" s="872"/>
      <c r="S621" s="872"/>
      <c r="T621" s="872"/>
      <c r="U621" s="872"/>
      <c r="V621" s="872"/>
      <c r="W621" s="872"/>
      <c r="X621" s="872"/>
      <c r="Y621" s="872"/>
      <c r="Z621" s="872"/>
    </row>
    <row r="622" ht="14.25" customHeight="1">
      <c r="A622" s="872"/>
      <c r="B622" s="872"/>
      <c r="C622" s="872"/>
      <c r="D622" s="872"/>
      <c r="E622" s="872"/>
      <c r="F622" s="872"/>
      <c r="G622" s="872"/>
      <c r="H622" s="872"/>
      <c r="I622" s="872"/>
      <c r="J622" s="872"/>
      <c r="K622" s="872"/>
      <c r="L622" s="872"/>
      <c r="M622" s="872"/>
      <c r="N622" s="872"/>
      <c r="O622" s="872"/>
      <c r="P622" s="872"/>
      <c r="Q622" s="872"/>
      <c r="R622" s="872"/>
      <c r="S622" s="872"/>
      <c r="T622" s="872"/>
      <c r="U622" s="872"/>
      <c r="V622" s="872"/>
      <c r="W622" s="872"/>
      <c r="X622" s="872"/>
      <c r="Y622" s="872"/>
      <c r="Z622" s="872"/>
    </row>
    <row r="623" ht="14.25" customHeight="1">
      <c r="A623" s="872"/>
      <c r="B623" s="872"/>
      <c r="C623" s="872"/>
      <c r="D623" s="872"/>
      <c r="E623" s="872"/>
      <c r="F623" s="872"/>
      <c r="G623" s="872"/>
      <c r="H623" s="872"/>
      <c r="I623" s="872"/>
      <c r="J623" s="872"/>
      <c r="K623" s="872"/>
      <c r="L623" s="872"/>
      <c r="M623" s="872"/>
      <c r="N623" s="872"/>
      <c r="O623" s="872"/>
      <c r="P623" s="872"/>
      <c r="Q623" s="872"/>
      <c r="R623" s="872"/>
      <c r="S623" s="872"/>
      <c r="T623" s="872"/>
      <c r="U623" s="872"/>
      <c r="V623" s="872"/>
      <c r="W623" s="872"/>
      <c r="X623" s="872"/>
      <c r="Y623" s="872"/>
      <c r="Z623" s="872"/>
    </row>
    <row r="624" ht="14.25" customHeight="1">
      <c r="A624" s="872"/>
      <c r="B624" s="872"/>
      <c r="C624" s="872"/>
      <c r="D624" s="872"/>
      <c r="E624" s="872"/>
      <c r="F624" s="872"/>
      <c r="G624" s="872"/>
      <c r="H624" s="872"/>
      <c r="I624" s="872"/>
      <c r="J624" s="872"/>
      <c r="K624" s="872"/>
      <c r="L624" s="872"/>
      <c r="M624" s="872"/>
      <c r="N624" s="872"/>
      <c r="O624" s="872"/>
      <c r="P624" s="872"/>
      <c r="Q624" s="872"/>
      <c r="R624" s="872"/>
      <c r="S624" s="872"/>
      <c r="T624" s="872"/>
      <c r="U624" s="872"/>
      <c r="V624" s="872"/>
      <c r="W624" s="872"/>
      <c r="X624" s="872"/>
      <c r="Y624" s="872"/>
      <c r="Z624" s="872"/>
    </row>
    <row r="625" ht="14.25" customHeight="1">
      <c r="A625" s="872"/>
      <c r="B625" s="872"/>
      <c r="C625" s="872"/>
      <c r="D625" s="872"/>
      <c r="E625" s="872"/>
      <c r="F625" s="872"/>
      <c r="G625" s="872"/>
      <c r="H625" s="872"/>
      <c r="I625" s="872"/>
      <c r="J625" s="872"/>
      <c r="K625" s="872"/>
      <c r="L625" s="872"/>
      <c r="M625" s="872"/>
      <c r="N625" s="872"/>
      <c r="O625" s="872"/>
      <c r="P625" s="872"/>
      <c r="Q625" s="872"/>
      <c r="R625" s="872"/>
      <c r="S625" s="872"/>
      <c r="T625" s="872"/>
      <c r="U625" s="872"/>
      <c r="V625" s="872"/>
      <c r="W625" s="872"/>
      <c r="X625" s="872"/>
      <c r="Y625" s="872"/>
      <c r="Z625" s="872"/>
    </row>
    <row r="626" ht="14.25" customHeight="1">
      <c r="A626" s="872"/>
      <c r="B626" s="872"/>
      <c r="C626" s="872"/>
      <c r="D626" s="872"/>
      <c r="E626" s="872"/>
      <c r="F626" s="872"/>
      <c r="G626" s="872"/>
      <c r="H626" s="872"/>
      <c r="I626" s="872"/>
      <c r="J626" s="872"/>
      <c r="K626" s="872"/>
      <c r="L626" s="872"/>
      <c r="M626" s="872"/>
      <c r="N626" s="872"/>
      <c r="O626" s="872"/>
      <c r="P626" s="872"/>
      <c r="Q626" s="872"/>
      <c r="R626" s="872"/>
      <c r="S626" s="872"/>
      <c r="T626" s="872"/>
      <c r="U626" s="872"/>
      <c r="V626" s="872"/>
      <c r="W626" s="872"/>
      <c r="X626" s="872"/>
      <c r="Y626" s="872"/>
      <c r="Z626" s="872"/>
    </row>
    <row r="627" ht="14.25" customHeight="1">
      <c r="A627" s="872"/>
      <c r="B627" s="872"/>
      <c r="C627" s="872"/>
      <c r="D627" s="872"/>
      <c r="E627" s="872"/>
      <c r="F627" s="872"/>
      <c r="G627" s="872"/>
      <c r="H627" s="872"/>
      <c r="I627" s="872"/>
      <c r="J627" s="872"/>
      <c r="K627" s="872"/>
      <c r="L627" s="872"/>
      <c r="M627" s="872"/>
      <c r="N627" s="872"/>
      <c r="O627" s="872"/>
      <c r="P627" s="872"/>
      <c r="Q627" s="872"/>
      <c r="R627" s="872"/>
      <c r="S627" s="872"/>
      <c r="T627" s="872"/>
      <c r="U627" s="872"/>
      <c r="V627" s="872"/>
      <c r="W627" s="872"/>
      <c r="X627" s="872"/>
      <c r="Y627" s="872"/>
      <c r="Z627" s="872"/>
    </row>
    <row r="628" ht="14.25" customHeight="1">
      <c r="A628" s="872"/>
      <c r="B628" s="872"/>
      <c r="C628" s="872"/>
      <c r="D628" s="872"/>
      <c r="E628" s="872"/>
      <c r="F628" s="872"/>
      <c r="G628" s="872"/>
      <c r="H628" s="872"/>
      <c r="I628" s="872"/>
      <c r="J628" s="872"/>
      <c r="K628" s="872"/>
      <c r="L628" s="872"/>
      <c r="M628" s="872"/>
      <c r="N628" s="872"/>
      <c r="O628" s="872"/>
      <c r="P628" s="872"/>
      <c r="Q628" s="872"/>
      <c r="R628" s="872"/>
      <c r="S628" s="872"/>
      <c r="T628" s="872"/>
      <c r="U628" s="872"/>
      <c r="V628" s="872"/>
      <c r="W628" s="872"/>
      <c r="X628" s="872"/>
      <c r="Y628" s="872"/>
      <c r="Z628" s="872"/>
    </row>
    <row r="629" ht="14.25" customHeight="1">
      <c r="A629" s="872"/>
      <c r="B629" s="872"/>
      <c r="C629" s="872"/>
      <c r="D629" s="872"/>
      <c r="E629" s="872"/>
      <c r="F629" s="872"/>
      <c r="G629" s="872"/>
      <c r="H629" s="872"/>
      <c r="I629" s="872"/>
      <c r="J629" s="872"/>
      <c r="K629" s="872"/>
      <c r="L629" s="872"/>
      <c r="M629" s="872"/>
      <c r="N629" s="872"/>
      <c r="O629" s="872"/>
      <c r="P629" s="872"/>
      <c r="Q629" s="872"/>
      <c r="R629" s="872"/>
      <c r="S629" s="872"/>
      <c r="T629" s="872"/>
      <c r="U629" s="872"/>
      <c r="V629" s="872"/>
      <c r="W629" s="872"/>
      <c r="X629" s="872"/>
      <c r="Y629" s="872"/>
      <c r="Z629" s="872"/>
    </row>
    <row r="630" ht="14.25" customHeight="1">
      <c r="A630" s="872"/>
      <c r="B630" s="872"/>
      <c r="C630" s="872"/>
      <c r="D630" s="872"/>
      <c r="E630" s="872"/>
      <c r="F630" s="872"/>
      <c r="G630" s="872"/>
      <c r="H630" s="872"/>
      <c r="I630" s="872"/>
      <c r="J630" s="872"/>
      <c r="K630" s="872"/>
      <c r="L630" s="872"/>
      <c r="M630" s="872"/>
      <c r="N630" s="872"/>
      <c r="O630" s="872"/>
      <c r="P630" s="872"/>
      <c r="Q630" s="872"/>
      <c r="R630" s="872"/>
      <c r="S630" s="872"/>
      <c r="T630" s="872"/>
      <c r="U630" s="872"/>
      <c r="V630" s="872"/>
      <c r="W630" s="872"/>
      <c r="X630" s="872"/>
      <c r="Y630" s="872"/>
      <c r="Z630" s="872"/>
    </row>
    <row r="631" ht="14.25" customHeight="1">
      <c r="A631" s="872"/>
      <c r="B631" s="872"/>
      <c r="C631" s="872"/>
      <c r="D631" s="872"/>
      <c r="E631" s="872"/>
      <c r="F631" s="872"/>
      <c r="G631" s="872"/>
      <c r="H631" s="872"/>
      <c r="I631" s="872"/>
      <c r="J631" s="872"/>
      <c r="K631" s="872"/>
      <c r="L631" s="872"/>
      <c r="M631" s="872"/>
      <c r="N631" s="872"/>
      <c r="O631" s="872"/>
      <c r="P631" s="872"/>
      <c r="Q631" s="872"/>
      <c r="R631" s="872"/>
      <c r="S631" s="872"/>
      <c r="T631" s="872"/>
      <c r="U631" s="872"/>
      <c r="V631" s="872"/>
      <c r="W631" s="872"/>
      <c r="X631" s="872"/>
      <c r="Y631" s="872"/>
      <c r="Z631" s="872"/>
    </row>
    <row r="632" ht="14.25" customHeight="1">
      <c r="A632" s="872"/>
      <c r="B632" s="872"/>
      <c r="C632" s="872"/>
      <c r="D632" s="872"/>
      <c r="E632" s="872"/>
      <c r="F632" s="872"/>
      <c r="G632" s="872"/>
      <c r="H632" s="872"/>
      <c r="I632" s="872"/>
      <c r="J632" s="872"/>
      <c r="K632" s="872"/>
      <c r="L632" s="872"/>
      <c r="M632" s="872"/>
      <c r="N632" s="872"/>
      <c r="O632" s="872"/>
      <c r="P632" s="872"/>
      <c r="Q632" s="872"/>
      <c r="R632" s="872"/>
      <c r="S632" s="872"/>
      <c r="T632" s="872"/>
      <c r="U632" s="872"/>
      <c r="V632" s="872"/>
      <c r="W632" s="872"/>
      <c r="X632" s="872"/>
      <c r="Y632" s="872"/>
      <c r="Z632" s="872"/>
    </row>
    <row r="633" ht="14.25" customHeight="1">
      <c r="A633" s="872"/>
      <c r="B633" s="872"/>
      <c r="C633" s="872"/>
      <c r="D633" s="872"/>
      <c r="E633" s="872"/>
      <c r="F633" s="872"/>
      <c r="G633" s="872"/>
      <c r="H633" s="872"/>
      <c r="I633" s="872"/>
      <c r="J633" s="872"/>
      <c r="K633" s="872"/>
      <c r="L633" s="872"/>
      <c r="M633" s="872"/>
      <c r="N633" s="872"/>
      <c r="O633" s="872"/>
      <c r="P633" s="872"/>
      <c r="Q633" s="872"/>
      <c r="R633" s="872"/>
      <c r="S633" s="872"/>
      <c r="T633" s="872"/>
      <c r="U633" s="872"/>
      <c r="V633" s="872"/>
      <c r="W633" s="872"/>
      <c r="X633" s="872"/>
      <c r="Y633" s="872"/>
      <c r="Z633" s="872"/>
    </row>
    <row r="634" ht="14.25" customHeight="1">
      <c r="A634" s="872"/>
      <c r="B634" s="872"/>
      <c r="C634" s="872"/>
      <c r="D634" s="872"/>
      <c r="E634" s="872"/>
      <c r="F634" s="872"/>
      <c r="G634" s="872"/>
      <c r="H634" s="872"/>
      <c r="I634" s="872"/>
      <c r="J634" s="872"/>
      <c r="K634" s="872"/>
      <c r="L634" s="872"/>
      <c r="M634" s="872"/>
      <c r="N634" s="872"/>
      <c r="O634" s="872"/>
      <c r="P634" s="872"/>
      <c r="Q634" s="872"/>
      <c r="R634" s="872"/>
      <c r="S634" s="872"/>
      <c r="T634" s="872"/>
      <c r="U634" s="872"/>
      <c r="V634" s="872"/>
      <c r="W634" s="872"/>
      <c r="X634" s="872"/>
      <c r="Y634" s="872"/>
      <c r="Z634" s="872"/>
    </row>
    <row r="635" ht="14.25" customHeight="1">
      <c r="A635" s="872"/>
      <c r="B635" s="872"/>
      <c r="C635" s="872"/>
      <c r="D635" s="872"/>
      <c r="E635" s="872"/>
      <c r="F635" s="872"/>
      <c r="G635" s="872"/>
      <c r="H635" s="872"/>
      <c r="I635" s="872"/>
      <c r="J635" s="872"/>
      <c r="K635" s="872"/>
      <c r="L635" s="872"/>
      <c r="M635" s="872"/>
      <c r="N635" s="872"/>
      <c r="O635" s="872"/>
      <c r="P635" s="872"/>
      <c r="Q635" s="872"/>
      <c r="R635" s="872"/>
      <c r="S635" s="872"/>
      <c r="T635" s="872"/>
      <c r="U635" s="872"/>
      <c r="V635" s="872"/>
      <c r="W635" s="872"/>
      <c r="X635" s="872"/>
      <c r="Y635" s="872"/>
      <c r="Z635" s="872"/>
    </row>
    <row r="636" ht="14.25" customHeight="1">
      <c r="A636" s="872"/>
      <c r="B636" s="872"/>
      <c r="C636" s="872"/>
      <c r="D636" s="872"/>
      <c r="E636" s="872"/>
      <c r="F636" s="872"/>
      <c r="G636" s="872"/>
      <c r="H636" s="872"/>
      <c r="I636" s="872"/>
      <c r="J636" s="872"/>
      <c r="K636" s="872"/>
      <c r="L636" s="872"/>
      <c r="M636" s="872"/>
      <c r="N636" s="872"/>
      <c r="O636" s="872"/>
      <c r="P636" s="872"/>
      <c r="Q636" s="872"/>
      <c r="R636" s="872"/>
      <c r="S636" s="872"/>
      <c r="T636" s="872"/>
      <c r="U636" s="872"/>
      <c r="V636" s="872"/>
      <c r="W636" s="872"/>
      <c r="X636" s="872"/>
      <c r="Y636" s="872"/>
      <c r="Z636" s="872"/>
    </row>
    <row r="637" ht="14.25" customHeight="1">
      <c r="A637" s="872"/>
      <c r="B637" s="872"/>
      <c r="C637" s="872"/>
      <c r="D637" s="872"/>
      <c r="E637" s="872"/>
      <c r="F637" s="872"/>
      <c r="G637" s="872"/>
      <c r="H637" s="872"/>
      <c r="I637" s="872"/>
      <c r="J637" s="872"/>
      <c r="K637" s="872"/>
      <c r="L637" s="872"/>
      <c r="M637" s="872"/>
      <c r="N637" s="872"/>
      <c r="O637" s="872"/>
      <c r="P637" s="872"/>
      <c r="Q637" s="872"/>
      <c r="R637" s="872"/>
      <c r="S637" s="872"/>
      <c r="T637" s="872"/>
      <c r="U637" s="872"/>
      <c r="V637" s="872"/>
      <c r="W637" s="872"/>
      <c r="X637" s="872"/>
      <c r="Y637" s="872"/>
      <c r="Z637" s="872"/>
    </row>
    <row r="638" ht="14.25" customHeight="1">
      <c r="A638" s="872"/>
      <c r="B638" s="872"/>
      <c r="C638" s="872"/>
      <c r="D638" s="872"/>
      <c r="E638" s="872"/>
      <c r="F638" s="872"/>
      <c r="G638" s="872"/>
      <c r="H638" s="872"/>
      <c r="I638" s="872"/>
      <c r="J638" s="872"/>
      <c r="K638" s="872"/>
      <c r="L638" s="872"/>
      <c r="M638" s="872"/>
      <c r="N638" s="872"/>
      <c r="O638" s="872"/>
      <c r="P638" s="872"/>
      <c r="Q638" s="872"/>
      <c r="R638" s="872"/>
      <c r="S638" s="872"/>
      <c r="T638" s="872"/>
      <c r="U638" s="872"/>
      <c r="V638" s="872"/>
      <c r="W638" s="872"/>
      <c r="X638" s="872"/>
      <c r="Y638" s="872"/>
      <c r="Z638" s="872"/>
    </row>
    <row r="639" ht="14.25" customHeight="1">
      <c r="A639" s="872"/>
      <c r="B639" s="872"/>
      <c r="C639" s="872"/>
      <c r="D639" s="872"/>
      <c r="E639" s="872"/>
      <c r="F639" s="872"/>
      <c r="G639" s="872"/>
      <c r="H639" s="872"/>
      <c r="I639" s="872"/>
      <c r="J639" s="872"/>
      <c r="K639" s="872"/>
      <c r="L639" s="872"/>
      <c r="M639" s="872"/>
      <c r="N639" s="872"/>
      <c r="O639" s="872"/>
      <c r="P639" s="872"/>
      <c r="Q639" s="872"/>
      <c r="R639" s="872"/>
      <c r="S639" s="872"/>
      <c r="T639" s="872"/>
      <c r="U639" s="872"/>
      <c r="V639" s="872"/>
      <c r="W639" s="872"/>
      <c r="X639" s="872"/>
      <c r="Y639" s="872"/>
      <c r="Z639" s="872"/>
    </row>
    <row r="640" ht="14.25" customHeight="1">
      <c r="A640" s="872"/>
      <c r="B640" s="872"/>
      <c r="C640" s="872"/>
      <c r="D640" s="872"/>
      <c r="E640" s="872"/>
      <c r="F640" s="872"/>
      <c r="G640" s="872"/>
      <c r="H640" s="872"/>
      <c r="I640" s="872"/>
      <c r="J640" s="872"/>
      <c r="K640" s="872"/>
      <c r="L640" s="872"/>
      <c r="M640" s="872"/>
      <c r="N640" s="872"/>
      <c r="O640" s="872"/>
      <c r="P640" s="872"/>
      <c r="Q640" s="872"/>
      <c r="R640" s="872"/>
      <c r="S640" s="872"/>
      <c r="T640" s="872"/>
      <c r="U640" s="872"/>
      <c r="V640" s="872"/>
      <c r="W640" s="872"/>
      <c r="X640" s="872"/>
      <c r="Y640" s="872"/>
      <c r="Z640" s="872"/>
    </row>
    <row r="641" ht="14.25" customHeight="1">
      <c r="A641" s="872"/>
      <c r="B641" s="872"/>
      <c r="C641" s="872"/>
      <c r="D641" s="872"/>
      <c r="E641" s="872"/>
      <c r="F641" s="872"/>
      <c r="G641" s="872"/>
      <c r="H641" s="872"/>
      <c r="I641" s="872"/>
      <c r="J641" s="872"/>
      <c r="K641" s="872"/>
      <c r="L641" s="872"/>
      <c r="M641" s="872"/>
      <c r="N641" s="872"/>
      <c r="O641" s="872"/>
      <c r="P641" s="872"/>
      <c r="Q641" s="872"/>
      <c r="R641" s="872"/>
      <c r="S641" s="872"/>
      <c r="T641" s="872"/>
      <c r="U641" s="872"/>
      <c r="V641" s="872"/>
      <c r="W641" s="872"/>
      <c r="X641" s="872"/>
      <c r="Y641" s="872"/>
      <c r="Z641" s="872"/>
    </row>
    <row r="642" ht="14.25" customHeight="1">
      <c r="A642" s="872"/>
      <c r="B642" s="872"/>
      <c r="C642" s="872"/>
      <c r="D642" s="872"/>
      <c r="E642" s="872"/>
      <c r="F642" s="872"/>
      <c r="G642" s="872"/>
      <c r="H642" s="872"/>
      <c r="I642" s="872"/>
      <c r="J642" s="872"/>
      <c r="K642" s="872"/>
      <c r="L642" s="872"/>
      <c r="M642" s="872"/>
      <c r="N642" s="872"/>
      <c r="O642" s="872"/>
      <c r="P642" s="872"/>
      <c r="Q642" s="872"/>
      <c r="R642" s="872"/>
      <c r="S642" s="872"/>
      <c r="T642" s="872"/>
      <c r="U642" s="872"/>
      <c r="V642" s="872"/>
      <c r="W642" s="872"/>
      <c r="X642" s="872"/>
      <c r="Y642" s="872"/>
      <c r="Z642" s="872"/>
    </row>
    <row r="643" ht="14.25" customHeight="1">
      <c r="A643" s="872"/>
      <c r="B643" s="872"/>
      <c r="C643" s="872"/>
      <c r="D643" s="872"/>
      <c r="E643" s="872"/>
      <c r="F643" s="872"/>
      <c r="G643" s="872"/>
      <c r="H643" s="872"/>
      <c r="I643" s="872"/>
      <c r="J643" s="872"/>
      <c r="K643" s="872"/>
      <c r="L643" s="872"/>
      <c r="M643" s="872"/>
      <c r="N643" s="872"/>
      <c r="O643" s="872"/>
      <c r="P643" s="872"/>
      <c r="Q643" s="872"/>
      <c r="R643" s="872"/>
      <c r="S643" s="872"/>
      <c r="T643" s="872"/>
      <c r="U643" s="872"/>
      <c r="V643" s="872"/>
      <c r="W643" s="872"/>
      <c r="X643" s="872"/>
      <c r="Y643" s="872"/>
      <c r="Z643" s="872"/>
    </row>
    <row r="644" ht="14.25" customHeight="1">
      <c r="A644" s="872"/>
      <c r="B644" s="872"/>
      <c r="C644" s="872"/>
      <c r="D644" s="872"/>
      <c r="E644" s="872"/>
      <c r="F644" s="872"/>
      <c r="G644" s="872"/>
      <c r="H644" s="872"/>
      <c r="I644" s="872"/>
      <c r="J644" s="872"/>
      <c r="K644" s="872"/>
      <c r="L644" s="872"/>
      <c r="M644" s="872"/>
      <c r="N644" s="872"/>
      <c r="O644" s="872"/>
      <c r="P644" s="872"/>
      <c r="Q644" s="872"/>
      <c r="R644" s="872"/>
      <c r="S644" s="872"/>
      <c r="T644" s="872"/>
      <c r="U644" s="872"/>
      <c r="V644" s="872"/>
      <c r="W644" s="872"/>
      <c r="X644" s="872"/>
      <c r="Y644" s="872"/>
      <c r="Z644" s="872"/>
    </row>
    <row r="645" ht="14.25" customHeight="1">
      <c r="A645" s="872"/>
      <c r="B645" s="872"/>
      <c r="C645" s="872"/>
      <c r="D645" s="872"/>
      <c r="E645" s="872"/>
      <c r="F645" s="872"/>
      <c r="G645" s="872"/>
      <c r="H645" s="872"/>
      <c r="I645" s="872"/>
      <c r="J645" s="872"/>
      <c r="K645" s="872"/>
      <c r="L645" s="872"/>
      <c r="M645" s="872"/>
      <c r="N645" s="872"/>
      <c r="O645" s="872"/>
      <c r="P645" s="872"/>
      <c r="Q645" s="872"/>
      <c r="R645" s="872"/>
      <c r="S645" s="872"/>
      <c r="T645" s="872"/>
      <c r="U645" s="872"/>
      <c r="V645" s="872"/>
      <c r="W645" s="872"/>
      <c r="X645" s="872"/>
      <c r="Y645" s="872"/>
      <c r="Z645" s="872"/>
    </row>
    <row r="646" ht="14.25" customHeight="1">
      <c r="A646" s="872"/>
      <c r="B646" s="872"/>
      <c r="C646" s="872"/>
      <c r="D646" s="872"/>
      <c r="E646" s="872"/>
      <c r="F646" s="872"/>
      <c r="G646" s="872"/>
      <c r="H646" s="872"/>
      <c r="I646" s="872"/>
      <c r="J646" s="872"/>
      <c r="K646" s="872"/>
      <c r="L646" s="872"/>
      <c r="M646" s="872"/>
      <c r="N646" s="872"/>
      <c r="O646" s="872"/>
      <c r="P646" s="872"/>
      <c r="Q646" s="872"/>
      <c r="R646" s="872"/>
      <c r="S646" s="872"/>
      <c r="T646" s="872"/>
      <c r="U646" s="872"/>
      <c r="V646" s="872"/>
      <c r="W646" s="872"/>
      <c r="X646" s="872"/>
      <c r="Y646" s="872"/>
      <c r="Z646" s="872"/>
    </row>
    <row r="647" ht="14.25" customHeight="1">
      <c r="A647" s="872"/>
      <c r="B647" s="872"/>
      <c r="C647" s="872"/>
      <c r="D647" s="872"/>
      <c r="E647" s="872"/>
      <c r="F647" s="872"/>
      <c r="G647" s="872"/>
      <c r="H647" s="872"/>
      <c r="I647" s="872"/>
      <c r="J647" s="872"/>
      <c r="K647" s="872"/>
      <c r="L647" s="872"/>
      <c r="M647" s="872"/>
      <c r="N647" s="872"/>
      <c r="O647" s="872"/>
      <c r="P647" s="872"/>
      <c r="Q647" s="872"/>
      <c r="R647" s="872"/>
      <c r="S647" s="872"/>
      <c r="T647" s="872"/>
      <c r="U647" s="872"/>
      <c r="V647" s="872"/>
      <c r="W647" s="872"/>
      <c r="X647" s="872"/>
      <c r="Y647" s="872"/>
      <c r="Z647" s="872"/>
    </row>
    <row r="648" ht="14.25" customHeight="1">
      <c r="A648" s="872"/>
      <c r="B648" s="872"/>
      <c r="C648" s="872"/>
      <c r="D648" s="872"/>
      <c r="E648" s="872"/>
      <c r="F648" s="872"/>
      <c r="G648" s="872"/>
      <c r="H648" s="872"/>
      <c r="I648" s="872"/>
      <c r="J648" s="872"/>
      <c r="K648" s="872"/>
      <c r="L648" s="872"/>
      <c r="M648" s="872"/>
      <c r="N648" s="872"/>
      <c r="O648" s="872"/>
      <c r="P648" s="872"/>
      <c r="Q648" s="872"/>
      <c r="R648" s="872"/>
      <c r="S648" s="872"/>
      <c r="T648" s="872"/>
      <c r="U648" s="872"/>
      <c r="V648" s="872"/>
      <c r="W648" s="872"/>
      <c r="X648" s="872"/>
      <c r="Y648" s="872"/>
      <c r="Z648" s="872"/>
    </row>
    <row r="649" ht="14.25" customHeight="1">
      <c r="A649" s="872"/>
      <c r="B649" s="872"/>
      <c r="C649" s="872"/>
      <c r="D649" s="872"/>
      <c r="E649" s="872"/>
      <c r="F649" s="872"/>
      <c r="G649" s="872"/>
      <c r="H649" s="872"/>
      <c r="I649" s="872"/>
      <c r="J649" s="872"/>
      <c r="K649" s="872"/>
      <c r="L649" s="872"/>
      <c r="M649" s="872"/>
      <c r="N649" s="872"/>
      <c r="O649" s="872"/>
      <c r="P649" s="872"/>
      <c r="Q649" s="872"/>
      <c r="R649" s="872"/>
      <c r="S649" s="872"/>
      <c r="T649" s="872"/>
      <c r="U649" s="872"/>
      <c r="V649" s="872"/>
      <c r="W649" s="872"/>
      <c r="X649" s="872"/>
      <c r="Y649" s="872"/>
      <c r="Z649" s="872"/>
    </row>
    <row r="650" ht="14.25" customHeight="1">
      <c r="A650" s="872"/>
      <c r="B650" s="872"/>
      <c r="C650" s="872"/>
      <c r="D650" s="872"/>
      <c r="E650" s="872"/>
      <c r="F650" s="872"/>
      <c r="G650" s="872"/>
      <c r="H650" s="872"/>
      <c r="I650" s="872"/>
      <c r="J650" s="872"/>
      <c r="K650" s="872"/>
      <c r="L650" s="872"/>
      <c r="M650" s="872"/>
      <c r="N650" s="872"/>
      <c r="O650" s="872"/>
      <c r="P650" s="872"/>
      <c r="Q650" s="872"/>
      <c r="R650" s="872"/>
      <c r="S650" s="872"/>
      <c r="T650" s="872"/>
      <c r="U650" s="872"/>
      <c r="V650" s="872"/>
      <c r="W650" s="872"/>
      <c r="X650" s="872"/>
      <c r="Y650" s="872"/>
      <c r="Z650" s="872"/>
    </row>
    <row r="651" ht="14.25" customHeight="1">
      <c r="A651" s="872"/>
      <c r="B651" s="872"/>
      <c r="C651" s="872"/>
      <c r="D651" s="872"/>
      <c r="E651" s="872"/>
      <c r="F651" s="872"/>
      <c r="G651" s="872"/>
      <c r="H651" s="872"/>
      <c r="I651" s="872"/>
      <c r="J651" s="872"/>
      <c r="K651" s="872"/>
      <c r="L651" s="872"/>
      <c r="M651" s="872"/>
      <c r="N651" s="872"/>
      <c r="O651" s="872"/>
      <c r="P651" s="872"/>
      <c r="Q651" s="872"/>
      <c r="R651" s="872"/>
      <c r="S651" s="872"/>
      <c r="T651" s="872"/>
      <c r="U651" s="872"/>
      <c r="V651" s="872"/>
      <c r="W651" s="872"/>
      <c r="X651" s="872"/>
      <c r="Y651" s="872"/>
      <c r="Z651" s="872"/>
    </row>
    <row r="652" ht="14.25" customHeight="1">
      <c r="A652" s="872"/>
      <c r="B652" s="872"/>
      <c r="C652" s="872"/>
      <c r="D652" s="872"/>
      <c r="E652" s="872"/>
      <c r="F652" s="872"/>
      <c r="G652" s="872"/>
      <c r="H652" s="872"/>
      <c r="I652" s="872"/>
      <c r="J652" s="872"/>
      <c r="K652" s="872"/>
      <c r="L652" s="872"/>
      <c r="M652" s="872"/>
      <c r="N652" s="872"/>
      <c r="O652" s="872"/>
      <c r="P652" s="872"/>
      <c r="Q652" s="872"/>
      <c r="R652" s="872"/>
      <c r="S652" s="872"/>
      <c r="T652" s="872"/>
      <c r="U652" s="872"/>
      <c r="V652" s="872"/>
      <c r="W652" s="872"/>
      <c r="X652" s="872"/>
      <c r="Y652" s="872"/>
      <c r="Z652" s="872"/>
    </row>
    <row r="653" ht="14.25" customHeight="1">
      <c r="A653" s="872"/>
      <c r="B653" s="872"/>
      <c r="C653" s="872"/>
      <c r="D653" s="872"/>
      <c r="E653" s="872"/>
      <c r="F653" s="872"/>
      <c r="G653" s="872"/>
      <c r="H653" s="872"/>
      <c r="I653" s="872"/>
      <c r="J653" s="872"/>
      <c r="K653" s="872"/>
      <c r="L653" s="872"/>
      <c r="M653" s="872"/>
      <c r="N653" s="872"/>
      <c r="O653" s="872"/>
      <c r="P653" s="872"/>
      <c r="Q653" s="872"/>
      <c r="R653" s="872"/>
      <c r="S653" s="872"/>
      <c r="T653" s="872"/>
      <c r="U653" s="872"/>
      <c r="V653" s="872"/>
      <c r="W653" s="872"/>
      <c r="X653" s="872"/>
      <c r="Y653" s="872"/>
      <c r="Z653" s="872"/>
    </row>
    <row r="654" ht="14.25" customHeight="1">
      <c r="A654" s="872"/>
      <c r="B654" s="872"/>
      <c r="C654" s="872"/>
      <c r="D654" s="872"/>
      <c r="E654" s="872"/>
      <c r="F654" s="872"/>
      <c r="G654" s="872"/>
      <c r="H654" s="872"/>
      <c r="I654" s="872"/>
      <c r="J654" s="872"/>
      <c r="K654" s="872"/>
      <c r="L654" s="872"/>
      <c r="M654" s="872"/>
      <c r="N654" s="872"/>
      <c r="O654" s="872"/>
      <c r="P654" s="872"/>
      <c r="Q654" s="872"/>
      <c r="R654" s="872"/>
      <c r="S654" s="872"/>
      <c r="T654" s="872"/>
      <c r="U654" s="872"/>
      <c r="V654" s="872"/>
      <c r="W654" s="872"/>
      <c r="X654" s="872"/>
      <c r="Y654" s="872"/>
      <c r="Z654" s="872"/>
    </row>
    <row r="655" ht="14.25" customHeight="1">
      <c r="A655" s="872"/>
      <c r="B655" s="872"/>
      <c r="C655" s="872"/>
      <c r="D655" s="872"/>
      <c r="E655" s="872"/>
      <c r="F655" s="872"/>
      <c r="G655" s="872"/>
      <c r="H655" s="872"/>
      <c r="I655" s="872"/>
      <c r="J655" s="872"/>
      <c r="K655" s="872"/>
      <c r="L655" s="872"/>
      <c r="M655" s="872"/>
      <c r="N655" s="872"/>
      <c r="O655" s="872"/>
      <c r="P655" s="872"/>
      <c r="Q655" s="872"/>
      <c r="R655" s="872"/>
      <c r="S655" s="872"/>
      <c r="T655" s="872"/>
      <c r="U655" s="872"/>
      <c r="V655" s="872"/>
      <c r="W655" s="872"/>
      <c r="X655" s="872"/>
      <c r="Y655" s="872"/>
      <c r="Z655" s="872"/>
    </row>
    <row r="656" ht="14.25" customHeight="1">
      <c r="A656" s="872"/>
      <c r="B656" s="872"/>
      <c r="C656" s="872"/>
      <c r="D656" s="872"/>
      <c r="E656" s="872"/>
      <c r="F656" s="872"/>
      <c r="G656" s="872"/>
      <c r="H656" s="872"/>
      <c r="I656" s="872"/>
      <c r="J656" s="872"/>
      <c r="K656" s="872"/>
      <c r="L656" s="872"/>
      <c r="M656" s="872"/>
      <c r="N656" s="872"/>
      <c r="O656" s="872"/>
      <c r="P656" s="872"/>
      <c r="Q656" s="872"/>
      <c r="R656" s="872"/>
      <c r="S656" s="872"/>
      <c r="T656" s="872"/>
      <c r="U656" s="872"/>
      <c r="V656" s="872"/>
      <c r="W656" s="872"/>
      <c r="X656" s="872"/>
      <c r="Y656" s="872"/>
      <c r="Z656" s="872"/>
    </row>
    <row r="657" ht="14.25" customHeight="1">
      <c r="A657" s="872"/>
      <c r="B657" s="872"/>
      <c r="C657" s="872"/>
      <c r="D657" s="872"/>
      <c r="E657" s="872"/>
      <c r="F657" s="872"/>
      <c r="G657" s="872"/>
      <c r="H657" s="872"/>
      <c r="I657" s="872"/>
      <c r="J657" s="872"/>
      <c r="K657" s="872"/>
      <c r="L657" s="872"/>
      <c r="M657" s="872"/>
      <c r="N657" s="872"/>
      <c r="O657" s="872"/>
      <c r="P657" s="872"/>
      <c r="Q657" s="872"/>
      <c r="R657" s="872"/>
      <c r="S657" s="872"/>
      <c r="T657" s="872"/>
      <c r="U657" s="872"/>
      <c r="V657" s="872"/>
      <c r="W657" s="872"/>
      <c r="X657" s="872"/>
      <c r="Y657" s="872"/>
      <c r="Z657" s="872"/>
    </row>
    <row r="658" ht="14.25" customHeight="1">
      <c r="A658" s="872"/>
      <c r="B658" s="872"/>
      <c r="C658" s="872"/>
      <c r="D658" s="872"/>
      <c r="E658" s="872"/>
      <c r="F658" s="872"/>
      <c r="G658" s="872"/>
      <c r="H658" s="872"/>
      <c r="I658" s="872"/>
      <c r="J658" s="872"/>
      <c r="K658" s="872"/>
      <c r="L658" s="872"/>
      <c r="M658" s="872"/>
      <c r="N658" s="872"/>
      <c r="O658" s="872"/>
      <c r="P658" s="872"/>
      <c r="Q658" s="872"/>
      <c r="R658" s="872"/>
      <c r="S658" s="872"/>
      <c r="T658" s="872"/>
      <c r="U658" s="872"/>
      <c r="V658" s="872"/>
      <c r="W658" s="872"/>
      <c r="X658" s="872"/>
      <c r="Y658" s="872"/>
      <c r="Z658" s="872"/>
    </row>
    <row r="659" ht="14.25" customHeight="1">
      <c r="A659" s="872"/>
      <c r="B659" s="872"/>
      <c r="C659" s="872"/>
      <c r="D659" s="872"/>
      <c r="E659" s="872"/>
      <c r="F659" s="872"/>
      <c r="G659" s="872"/>
      <c r="H659" s="872"/>
      <c r="I659" s="872"/>
      <c r="J659" s="872"/>
      <c r="K659" s="872"/>
      <c r="L659" s="872"/>
      <c r="M659" s="872"/>
      <c r="N659" s="872"/>
      <c r="O659" s="872"/>
      <c r="P659" s="872"/>
      <c r="Q659" s="872"/>
      <c r="R659" s="872"/>
      <c r="S659" s="872"/>
      <c r="T659" s="872"/>
      <c r="U659" s="872"/>
      <c r="V659" s="872"/>
      <c r="W659" s="872"/>
      <c r="X659" s="872"/>
      <c r="Y659" s="872"/>
      <c r="Z659" s="872"/>
    </row>
    <row r="660" ht="14.25" customHeight="1">
      <c r="A660" s="872"/>
      <c r="B660" s="872"/>
      <c r="C660" s="872"/>
      <c r="D660" s="872"/>
      <c r="E660" s="872"/>
      <c r="F660" s="872"/>
      <c r="G660" s="872"/>
      <c r="H660" s="872"/>
      <c r="I660" s="872"/>
      <c r="J660" s="872"/>
      <c r="K660" s="872"/>
      <c r="L660" s="872"/>
      <c r="M660" s="872"/>
      <c r="N660" s="872"/>
      <c r="O660" s="872"/>
      <c r="P660" s="872"/>
      <c r="Q660" s="872"/>
      <c r="R660" s="872"/>
      <c r="S660" s="872"/>
      <c r="T660" s="872"/>
      <c r="U660" s="872"/>
      <c r="V660" s="872"/>
      <c r="W660" s="872"/>
      <c r="X660" s="872"/>
      <c r="Y660" s="872"/>
      <c r="Z660" s="872"/>
    </row>
    <row r="661" ht="14.25" customHeight="1">
      <c r="A661" s="872"/>
      <c r="B661" s="872"/>
      <c r="C661" s="872"/>
      <c r="D661" s="872"/>
      <c r="E661" s="872"/>
      <c r="F661" s="872"/>
      <c r="G661" s="872"/>
      <c r="H661" s="872"/>
      <c r="I661" s="872"/>
      <c r="J661" s="872"/>
      <c r="K661" s="872"/>
      <c r="L661" s="872"/>
      <c r="M661" s="872"/>
      <c r="N661" s="872"/>
      <c r="O661" s="872"/>
      <c r="P661" s="872"/>
      <c r="Q661" s="872"/>
      <c r="R661" s="872"/>
      <c r="S661" s="872"/>
      <c r="T661" s="872"/>
      <c r="U661" s="872"/>
      <c r="V661" s="872"/>
      <c r="W661" s="872"/>
      <c r="X661" s="872"/>
      <c r="Y661" s="872"/>
      <c r="Z661" s="872"/>
    </row>
    <row r="662" ht="14.25" customHeight="1">
      <c r="A662" s="872"/>
      <c r="B662" s="872"/>
      <c r="C662" s="872"/>
      <c r="D662" s="872"/>
      <c r="E662" s="872"/>
      <c r="F662" s="872"/>
      <c r="G662" s="872"/>
      <c r="H662" s="872"/>
      <c r="I662" s="872"/>
      <c r="J662" s="872"/>
      <c r="K662" s="872"/>
      <c r="L662" s="872"/>
      <c r="M662" s="872"/>
      <c r="N662" s="872"/>
      <c r="O662" s="872"/>
      <c r="P662" s="872"/>
      <c r="Q662" s="872"/>
      <c r="R662" s="872"/>
      <c r="S662" s="872"/>
      <c r="T662" s="872"/>
      <c r="U662" s="872"/>
      <c r="V662" s="872"/>
      <c r="W662" s="872"/>
      <c r="X662" s="872"/>
      <c r="Y662" s="872"/>
      <c r="Z662" s="872"/>
    </row>
    <row r="663" ht="14.25" customHeight="1">
      <c r="A663" s="872"/>
      <c r="B663" s="872"/>
      <c r="C663" s="872"/>
      <c r="D663" s="872"/>
      <c r="E663" s="872"/>
      <c r="F663" s="872"/>
      <c r="G663" s="872"/>
      <c r="H663" s="872"/>
      <c r="I663" s="872"/>
      <c r="J663" s="872"/>
      <c r="K663" s="872"/>
      <c r="L663" s="872"/>
      <c r="M663" s="872"/>
      <c r="N663" s="872"/>
      <c r="O663" s="872"/>
      <c r="P663" s="872"/>
      <c r="Q663" s="872"/>
      <c r="R663" s="872"/>
      <c r="S663" s="872"/>
      <c r="T663" s="872"/>
      <c r="U663" s="872"/>
      <c r="V663" s="872"/>
      <c r="W663" s="872"/>
      <c r="X663" s="872"/>
      <c r="Y663" s="872"/>
      <c r="Z663" s="872"/>
    </row>
    <row r="664" ht="14.25" customHeight="1">
      <c r="A664" s="872"/>
      <c r="B664" s="872"/>
      <c r="C664" s="872"/>
      <c r="D664" s="872"/>
      <c r="E664" s="872"/>
      <c r="F664" s="872"/>
      <c r="G664" s="872"/>
      <c r="H664" s="872"/>
      <c r="I664" s="872"/>
      <c r="J664" s="872"/>
      <c r="K664" s="872"/>
      <c r="L664" s="872"/>
      <c r="M664" s="872"/>
      <c r="N664" s="872"/>
      <c r="O664" s="872"/>
      <c r="P664" s="872"/>
      <c r="Q664" s="872"/>
      <c r="R664" s="872"/>
      <c r="S664" s="872"/>
      <c r="T664" s="872"/>
      <c r="U664" s="872"/>
      <c r="V664" s="872"/>
      <c r="W664" s="872"/>
      <c r="X664" s="872"/>
      <c r="Y664" s="872"/>
      <c r="Z664" s="872"/>
    </row>
    <row r="665" ht="14.25" customHeight="1">
      <c r="A665" s="872"/>
      <c r="B665" s="872"/>
      <c r="C665" s="872"/>
      <c r="D665" s="872"/>
      <c r="E665" s="872"/>
      <c r="F665" s="872"/>
      <c r="G665" s="872"/>
      <c r="H665" s="872"/>
      <c r="I665" s="872"/>
      <c r="J665" s="872"/>
      <c r="K665" s="872"/>
      <c r="L665" s="872"/>
      <c r="M665" s="872"/>
      <c r="N665" s="872"/>
      <c r="O665" s="872"/>
      <c r="P665" s="872"/>
      <c r="Q665" s="872"/>
      <c r="R665" s="872"/>
      <c r="S665" s="872"/>
      <c r="T665" s="872"/>
      <c r="U665" s="872"/>
      <c r="V665" s="872"/>
      <c r="W665" s="872"/>
      <c r="X665" s="872"/>
      <c r="Y665" s="872"/>
      <c r="Z665" s="872"/>
    </row>
    <row r="666" ht="14.25" customHeight="1">
      <c r="A666" s="872"/>
      <c r="B666" s="872"/>
      <c r="C666" s="872"/>
      <c r="D666" s="872"/>
      <c r="E666" s="872"/>
      <c r="F666" s="872"/>
      <c r="G666" s="872"/>
      <c r="H666" s="872"/>
      <c r="I666" s="872"/>
      <c r="J666" s="872"/>
      <c r="K666" s="872"/>
      <c r="L666" s="872"/>
      <c r="M666" s="872"/>
      <c r="N666" s="872"/>
      <c r="O666" s="872"/>
      <c r="P666" s="872"/>
      <c r="Q666" s="872"/>
      <c r="R666" s="872"/>
      <c r="S666" s="872"/>
      <c r="T666" s="872"/>
      <c r="U666" s="872"/>
      <c r="V666" s="872"/>
      <c r="W666" s="872"/>
      <c r="X666" s="872"/>
      <c r="Y666" s="872"/>
      <c r="Z666" s="872"/>
    </row>
    <row r="667" ht="14.25" customHeight="1">
      <c r="A667" s="872"/>
      <c r="B667" s="872"/>
      <c r="C667" s="872"/>
      <c r="D667" s="872"/>
      <c r="E667" s="872"/>
      <c r="F667" s="872"/>
      <c r="G667" s="872"/>
      <c r="H667" s="872"/>
      <c r="I667" s="872"/>
      <c r="J667" s="872"/>
      <c r="K667" s="872"/>
      <c r="L667" s="872"/>
      <c r="M667" s="872"/>
      <c r="N667" s="872"/>
      <c r="O667" s="872"/>
      <c r="P667" s="872"/>
      <c r="Q667" s="872"/>
      <c r="R667" s="872"/>
      <c r="S667" s="872"/>
      <c r="T667" s="872"/>
      <c r="U667" s="872"/>
      <c r="V667" s="872"/>
      <c r="W667" s="872"/>
      <c r="X667" s="872"/>
      <c r="Y667" s="872"/>
      <c r="Z667" s="872"/>
    </row>
    <row r="668" ht="14.25" customHeight="1">
      <c r="A668" s="872"/>
      <c r="B668" s="872"/>
      <c r="C668" s="872"/>
      <c r="D668" s="872"/>
      <c r="E668" s="872"/>
      <c r="F668" s="872"/>
      <c r="G668" s="872"/>
      <c r="H668" s="872"/>
      <c r="I668" s="872"/>
      <c r="J668" s="872"/>
      <c r="K668" s="872"/>
      <c r="L668" s="872"/>
      <c r="M668" s="872"/>
      <c r="N668" s="872"/>
      <c r="O668" s="872"/>
      <c r="P668" s="872"/>
      <c r="Q668" s="872"/>
      <c r="R668" s="872"/>
      <c r="S668" s="872"/>
      <c r="T668" s="872"/>
      <c r="U668" s="872"/>
      <c r="V668" s="872"/>
      <c r="W668" s="872"/>
      <c r="X668" s="872"/>
      <c r="Y668" s="872"/>
      <c r="Z668" s="872"/>
    </row>
    <row r="669" ht="14.25" customHeight="1">
      <c r="A669" s="872"/>
      <c r="B669" s="872"/>
      <c r="C669" s="872"/>
      <c r="D669" s="872"/>
      <c r="E669" s="872"/>
      <c r="F669" s="872"/>
      <c r="G669" s="872"/>
      <c r="H669" s="872"/>
      <c r="I669" s="872"/>
      <c r="J669" s="872"/>
      <c r="K669" s="872"/>
      <c r="L669" s="872"/>
      <c r="M669" s="872"/>
      <c r="N669" s="872"/>
      <c r="O669" s="872"/>
      <c r="P669" s="872"/>
      <c r="Q669" s="872"/>
      <c r="R669" s="872"/>
      <c r="S669" s="872"/>
      <c r="T669" s="872"/>
      <c r="U669" s="872"/>
      <c r="V669" s="872"/>
      <c r="W669" s="872"/>
      <c r="X669" s="872"/>
      <c r="Y669" s="872"/>
      <c r="Z669" s="872"/>
    </row>
    <row r="670" ht="14.25" customHeight="1">
      <c r="A670" s="872"/>
      <c r="B670" s="872"/>
      <c r="C670" s="872"/>
      <c r="D670" s="872"/>
      <c r="E670" s="872"/>
      <c r="F670" s="872"/>
      <c r="G670" s="872"/>
      <c r="H670" s="872"/>
      <c r="I670" s="872"/>
      <c r="J670" s="872"/>
      <c r="K670" s="872"/>
      <c r="L670" s="872"/>
      <c r="M670" s="872"/>
      <c r="N670" s="872"/>
      <c r="O670" s="872"/>
      <c r="P670" s="872"/>
      <c r="Q670" s="872"/>
      <c r="R670" s="872"/>
      <c r="S670" s="872"/>
      <c r="T670" s="872"/>
      <c r="U670" s="872"/>
      <c r="V670" s="872"/>
      <c r="W670" s="872"/>
      <c r="X670" s="872"/>
      <c r="Y670" s="872"/>
      <c r="Z670" s="872"/>
    </row>
    <row r="671" ht="14.25" customHeight="1">
      <c r="A671" s="872"/>
      <c r="B671" s="872"/>
      <c r="C671" s="872"/>
      <c r="D671" s="872"/>
      <c r="E671" s="872"/>
      <c r="F671" s="872"/>
      <c r="G671" s="872"/>
      <c r="H671" s="872"/>
      <c r="I671" s="872"/>
      <c r="J671" s="872"/>
      <c r="K671" s="872"/>
      <c r="L671" s="872"/>
      <c r="M671" s="872"/>
      <c r="N671" s="872"/>
      <c r="O671" s="872"/>
      <c r="P671" s="872"/>
      <c r="Q671" s="872"/>
      <c r="R671" s="872"/>
      <c r="S671" s="872"/>
      <c r="T671" s="872"/>
      <c r="U671" s="872"/>
      <c r="V671" s="872"/>
      <c r="W671" s="872"/>
      <c r="X671" s="872"/>
      <c r="Y671" s="872"/>
      <c r="Z671" s="872"/>
    </row>
    <row r="672" ht="14.25" customHeight="1">
      <c r="A672" s="872"/>
      <c r="B672" s="872"/>
      <c r="C672" s="872"/>
      <c r="D672" s="872"/>
      <c r="E672" s="872"/>
      <c r="F672" s="872"/>
      <c r="G672" s="872"/>
      <c r="H672" s="872"/>
      <c r="I672" s="872"/>
      <c r="J672" s="872"/>
      <c r="K672" s="872"/>
      <c r="L672" s="872"/>
      <c r="M672" s="872"/>
      <c r="N672" s="872"/>
      <c r="O672" s="872"/>
      <c r="P672" s="872"/>
      <c r="Q672" s="872"/>
      <c r="R672" s="872"/>
      <c r="S672" s="872"/>
      <c r="T672" s="872"/>
      <c r="U672" s="872"/>
      <c r="V672" s="872"/>
      <c r="W672" s="872"/>
      <c r="X672" s="872"/>
      <c r="Y672" s="872"/>
      <c r="Z672" s="872"/>
    </row>
    <row r="673" ht="14.25" customHeight="1">
      <c r="A673" s="872"/>
      <c r="B673" s="872"/>
      <c r="C673" s="872"/>
      <c r="D673" s="872"/>
      <c r="E673" s="872"/>
      <c r="F673" s="872"/>
      <c r="G673" s="872"/>
      <c r="H673" s="872"/>
      <c r="I673" s="872"/>
      <c r="J673" s="872"/>
      <c r="K673" s="872"/>
      <c r="L673" s="872"/>
      <c r="M673" s="872"/>
      <c r="N673" s="872"/>
      <c r="O673" s="872"/>
      <c r="P673" s="872"/>
      <c r="Q673" s="872"/>
      <c r="R673" s="872"/>
      <c r="S673" s="872"/>
      <c r="T673" s="872"/>
      <c r="U673" s="872"/>
      <c r="V673" s="872"/>
      <c r="W673" s="872"/>
      <c r="X673" s="872"/>
      <c r="Y673" s="872"/>
      <c r="Z673" s="872"/>
    </row>
    <row r="674" ht="14.25" customHeight="1">
      <c r="A674" s="872"/>
      <c r="B674" s="872"/>
      <c r="C674" s="872"/>
      <c r="D674" s="872"/>
      <c r="E674" s="872"/>
      <c r="F674" s="872"/>
      <c r="G674" s="872"/>
      <c r="H674" s="872"/>
      <c r="I674" s="872"/>
      <c r="J674" s="872"/>
      <c r="K674" s="872"/>
      <c r="L674" s="872"/>
      <c r="M674" s="872"/>
      <c r="N674" s="872"/>
      <c r="O674" s="872"/>
      <c r="P674" s="872"/>
      <c r="Q674" s="872"/>
      <c r="R674" s="872"/>
      <c r="S674" s="872"/>
      <c r="T674" s="872"/>
      <c r="U674" s="872"/>
      <c r="V674" s="872"/>
      <c r="W674" s="872"/>
      <c r="X674" s="872"/>
      <c r="Y674" s="872"/>
      <c r="Z674" s="872"/>
    </row>
    <row r="675" ht="14.25" customHeight="1">
      <c r="A675" s="872"/>
      <c r="B675" s="872"/>
      <c r="C675" s="872"/>
      <c r="D675" s="872"/>
      <c r="E675" s="872"/>
      <c r="F675" s="872"/>
      <c r="G675" s="872"/>
      <c r="H675" s="872"/>
      <c r="I675" s="872"/>
      <c r="J675" s="872"/>
      <c r="K675" s="872"/>
      <c r="L675" s="872"/>
      <c r="M675" s="872"/>
      <c r="N675" s="872"/>
      <c r="O675" s="872"/>
      <c r="P675" s="872"/>
      <c r="Q675" s="872"/>
      <c r="R675" s="872"/>
      <c r="S675" s="872"/>
      <c r="T675" s="872"/>
      <c r="U675" s="872"/>
      <c r="V675" s="872"/>
      <c r="W675" s="872"/>
      <c r="X675" s="872"/>
      <c r="Y675" s="872"/>
      <c r="Z675" s="872"/>
    </row>
    <row r="676" ht="14.25" customHeight="1">
      <c r="A676" s="872"/>
      <c r="B676" s="872"/>
      <c r="C676" s="872"/>
      <c r="D676" s="872"/>
      <c r="E676" s="872"/>
      <c r="F676" s="872"/>
      <c r="G676" s="872"/>
      <c r="H676" s="872"/>
      <c r="I676" s="872"/>
      <c r="J676" s="872"/>
      <c r="K676" s="872"/>
      <c r="L676" s="872"/>
      <c r="M676" s="872"/>
      <c r="N676" s="872"/>
      <c r="O676" s="872"/>
      <c r="P676" s="872"/>
      <c r="Q676" s="872"/>
      <c r="R676" s="872"/>
      <c r="S676" s="872"/>
      <c r="T676" s="872"/>
      <c r="U676" s="872"/>
      <c r="V676" s="872"/>
      <c r="W676" s="872"/>
      <c r="X676" s="872"/>
      <c r="Y676" s="872"/>
      <c r="Z676" s="872"/>
    </row>
    <row r="677" ht="14.25" customHeight="1">
      <c r="A677" s="872"/>
      <c r="B677" s="872"/>
      <c r="C677" s="872"/>
      <c r="D677" s="872"/>
      <c r="E677" s="872"/>
      <c r="F677" s="872"/>
      <c r="G677" s="872"/>
      <c r="H677" s="872"/>
      <c r="I677" s="872"/>
      <c r="J677" s="872"/>
      <c r="K677" s="872"/>
      <c r="L677" s="872"/>
      <c r="M677" s="872"/>
      <c r="N677" s="872"/>
      <c r="O677" s="872"/>
      <c r="P677" s="872"/>
      <c r="Q677" s="872"/>
      <c r="R677" s="872"/>
      <c r="S677" s="872"/>
      <c r="T677" s="872"/>
      <c r="U677" s="872"/>
      <c r="V677" s="872"/>
      <c r="W677" s="872"/>
      <c r="X677" s="872"/>
      <c r="Y677" s="872"/>
      <c r="Z677" s="872"/>
    </row>
    <row r="678" ht="14.25" customHeight="1">
      <c r="A678" s="872"/>
      <c r="B678" s="872"/>
      <c r="C678" s="872"/>
      <c r="D678" s="872"/>
      <c r="E678" s="872"/>
      <c r="F678" s="872"/>
      <c r="G678" s="872"/>
      <c r="H678" s="872"/>
      <c r="I678" s="872"/>
      <c r="J678" s="872"/>
      <c r="K678" s="872"/>
      <c r="L678" s="872"/>
      <c r="M678" s="872"/>
      <c r="N678" s="872"/>
      <c r="O678" s="872"/>
      <c r="P678" s="872"/>
      <c r="Q678" s="872"/>
      <c r="R678" s="872"/>
      <c r="S678" s="872"/>
      <c r="T678" s="872"/>
      <c r="U678" s="872"/>
      <c r="V678" s="872"/>
      <c r="W678" s="872"/>
      <c r="X678" s="872"/>
      <c r="Y678" s="872"/>
      <c r="Z678" s="872"/>
    </row>
    <row r="679" ht="14.25" customHeight="1">
      <c r="A679" s="872"/>
      <c r="B679" s="872"/>
      <c r="C679" s="872"/>
      <c r="D679" s="872"/>
      <c r="E679" s="872"/>
      <c r="F679" s="872"/>
      <c r="G679" s="872"/>
      <c r="H679" s="872"/>
      <c r="I679" s="872"/>
      <c r="J679" s="872"/>
      <c r="K679" s="872"/>
      <c r="L679" s="872"/>
      <c r="M679" s="872"/>
      <c r="N679" s="872"/>
      <c r="O679" s="872"/>
      <c r="P679" s="872"/>
      <c r="Q679" s="872"/>
      <c r="R679" s="872"/>
      <c r="S679" s="872"/>
      <c r="T679" s="872"/>
      <c r="U679" s="872"/>
      <c r="V679" s="872"/>
      <c r="W679" s="872"/>
      <c r="X679" s="872"/>
      <c r="Y679" s="872"/>
      <c r="Z679" s="872"/>
    </row>
    <row r="680" ht="14.25" customHeight="1">
      <c r="A680" s="872"/>
      <c r="B680" s="872"/>
      <c r="C680" s="872"/>
      <c r="D680" s="872"/>
      <c r="E680" s="872"/>
      <c r="F680" s="872"/>
      <c r="G680" s="872"/>
      <c r="H680" s="872"/>
      <c r="I680" s="872"/>
      <c r="J680" s="872"/>
      <c r="K680" s="872"/>
      <c r="L680" s="872"/>
      <c r="M680" s="872"/>
      <c r="N680" s="872"/>
      <c r="O680" s="872"/>
      <c r="P680" s="872"/>
      <c r="Q680" s="872"/>
      <c r="R680" s="872"/>
      <c r="S680" s="872"/>
      <c r="T680" s="872"/>
      <c r="U680" s="872"/>
      <c r="V680" s="872"/>
      <c r="W680" s="872"/>
      <c r="X680" s="872"/>
      <c r="Y680" s="872"/>
      <c r="Z680" s="872"/>
    </row>
    <row r="681" ht="14.25" customHeight="1">
      <c r="A681" s="872"/>
      <c r="B681" s="872"/>
      <c r="C681" s="872"/>
      <c r="D681" s="872"/>
      <c r="E681" s="872"/>
      <c r="F681" s="872"/>
      <c r="G681" s="872"/>
      <c r="H681" s="872"/>
      <c r="I681" s="872"/>
      <c r="J681" s="872"/>
      <c r="K681" s="872"/>
      <c r="L681" s="872"/>
      <c r="M681" s="872"/>
      <c r="N681" s="872"/>
      <c r="O681" s="872"/>
      <c r="P681" s="872"/>
      <c r="Q681" s="872"/>
      <c r="R681" s="872"/>
      <c r="S681" s="872"/>
      <c r="T681" s="872"/>
      <c r="U681" s="872"/>
      <c r="V681" s="872"/>
      <c r="W681" s="872"/>
      <c r="X681" s="872"/>
      <c r="Y681" s="872"/>
      <c r="Z681" s="872"/>
    </row>
    <row r="682" ht="14.25" customHeight="1">
      <c r="A682" s="872"/>
      <c r="B682" s="872"/>
      <c r="C682" s="872"/>
      <c r="D682" s="872"/>
      <c r="E682" s="872"/>
      <c r="F682" s="872"/>
      <c r="G682" s="872"/>
      <c r="H682" s="872"/>
      <c r="I682" s="872"/>
      <c r="J682" s="872"/>
      <c r="K682" s="872"/>
      <c r="L682" s="872"/>
      <c r="M682" s="872"/>
      <c r="N682" s="872"/>
      <c r="O682" s="872"/>
      <c r="P682" s="872"/>
      <c r="Q682" s="872"/>
      <c r="R682" s="872"/>
      <c r="S682" s="872"/>
      <c r="T682" s="872"/>
      <c r="U682" s="872"/>
      <c r="V682" s="872"/>
      <c r="W682" s="872"/>
      <c r="X682" s="872"/>
      <c r="Y682" s="872"/>
      <c r="Z682" s="872"/>
    </row>
    <row r="683" ht="14.25" customHeight="1">
      <c r="A683" s="872"/>
      <c r="B683" s="872"/>
      <c r="C683" s="872"/>
      <c r="D683" s="872"/>
      <c r="E683" s="872"/>
      <c r="F683" s="872"/>
      <c r="G683" s="872"/>
      <c r="H683" s="872"/>
      <c r="I683" s="872"/>
      <c r="J683" s="872"/>
      <c r="K683" s="872"/>
      <c r="L683" s="872"/>
      <c r="M683" s="872"/>
      <c r="N683" s="872"/>
      <c r="O683" s="872"/>
      <c r="P683" s="872"/>
      <c r="Q683" s="872"/>
      <c r="R683" s="872"/>
      <c r="S683" s="872"/>
      <c r="T683" s="872"/>
      <c r="U683" s="872"/>
      <c r="V683" s="872"/>
      <c r="W683" s="872"/>
      <c r="X683" s="872"/>
      <c r="Y683" s="872"/>
      <c r="Z683" s="872"/>
    </row>
    <row r="684" ht="14.25" customHeight="1">
      <c r="A684" s="872"/>
      <c r="B684" s="872"/>
      <c r="C684" s="872"/>
      <c r="D684" s="872"/>
      <c r="E684" s="872"/>
      <c r="F684" s="872"/>
      <c r="G684" s="872"/>
      <c r="H684" s="872"/>
      <c r="I684" s="872"/>
      <c r="J684" s="872"/>
      <c r="K684" s="872"/>
      <c r="L684" s="872"/>
      <c r="M684" s="872"/>
      <c r="N684" s="872"/>
      <c r="O684" s="872"/>
      <c r="P684" s="872"/>
      <c r="Q684" s="872"/>
      <c r="R684" s="872"/>
      <c r="S684" s="872"/>
      <c r="T684" s="872"/>
      <c r="U684" s="872"/>
      <c r="V684" s="872"/>
      <c r="W684" s="872"/>
      <c r="X684" s="872"/>
      <c r="Y684" s="872"/>
      <c r="Z684" s="872"/>
    </row>
    <row r="685" ht="14.25" customHeight="1">
      <c r="A685" s="872"/>
      <c r="B685" s="872"/>
      <c r="C685" s="872"/>
      <c r="D685" s="872"/>
      <c r="E685" s="872"/>
      <c r="F685" s="872"/>
      <c r="G685" s="872"/>
      <c r="H685" s="872"/>
      <c r="I685" s="872"/>
      <c r="J685" s="872"/>
      <c r="K685" s="872"/>
      <c r="L685" s="872"/>
      <c r="M685" s="872"/>
      <c r="N685" s="872"/>
      <c r="O685" s="872"/>
      <c r="P685" s="872"/>
      <c r="Q685" s="872"/>
      <c r="R685" s="872"/>
      <c r="S685" s="872"/>
      <c r="T685" s="872"/>
      <c r="U685" s="872"/>
      <c r="V685" s="872"/>
      <c r="W685" s="872"/>
      <c r="X685" s="872"/>
      <c r="Y685" s="872"/>
      <c r="Z685" s="872"/>
    </row>
    <row r="686" ht="14.25" customHeight="1">
      <c r="A686" s="872"/>
      <c r="B686" s="872"/>
      <c r="C686" s="872"/>
      <c r="D686" s="872"/>
      <c r="E686" s="872"/>
      <c r="F686" s="872"/>
      <c r="G686" s="872"/>
      <c r="H686" s="872"/>
      <c r="I686" s="872"/>
      <c r="J686" s="872"/>
      <c r="K686" s="872"/>
      <c r="L686" s="872"/>
      <c r="M686" s="872"/>
      <c r="N686" s="872"/>
      <c r="O686" s="872"/>
      <c r="P686" s="872"/>
      <c r="Q686" s="872"/>
      <c r="R686" s="872"/>
      <c r="S686" s="872"/>
      <c r="T686" s="872"/>
      <c r="U686" s="872"/>
      <c r="V686" s="872"/>
      <c r="W686" s="872"/>
      <c r="X686" s="872"/>
      <c r="Y686" s="872"/>
      <c r="Z686" s="872"/>
    </row>
    <row r="687" ht="14.25" customHeight="1">
      <c r="A687" s="872"/>
      <c r="B687" s="872"/>
      <c r="C687" s="872"/>
      <c r="D687" s="872"/>
      <c r="E687" s="872"/>
      <c r="F687" s="872"/>
      <c r="G687" s="872"/>
      <c r="H687" s="872"/>
      <c r="I687" s="872"/>
      <c r="J687" s="872"/>
      <c r="K687" s="872"/>
      <c r="L687" s="872"/>
      <c r="M687" s="872"/>
      <c r="N687" s="872"/>
      <c r="O687" s="872"/>
      <c r="P687" s="872"/>
      <c r="Q687" s="872"/>
      <c r="R687" s="872"/>
      <c r="S687" s="872"/>
      <c r="T687" s="872"/>
      <c r="U687" s="872"/>
      <c r="V687" s="872"/>
      <c r="W687" s="872"/>
      <c r="X687" s="872"/>
      <c r="Y687" s="872"/>
      <c r="Z687" s="872"/>
    </row>
    <row r="688" ht="14.25" customHeight="1">
      <c r="A688" s="872"/>
      <c r="B688" s="872"/>
      <c r="C688" s="872"/>
      <c r="D688" s="872"/>
      <c r="E688" s="872"/>
      <c r="F688" s="872"/>
      <c r="G688" s="872"/>
      <c r="H688" s="872"/>
      <c r="I688" s="872"/>
      <c r="J688" s="872"/>
      <c r="K688" s="872"/>
      <c r="L688" s="872"/>
      <c r="M688" s="872"/>
      <c r="N688" s="872"/>
      <c r="O688" s="872"/>
      <c r="P688" s="872"/>
      <c r="Q688" s="872"/>
      <c r="R688" s="872"/>
      <c r="S688" s="872"/>
      <c r="T688" s="872"/>
      <c r="U688" s="872"/>
      <c r="V688" s="872"/>
      <c r="W688" s="872"/>
      <c r="X688" s="872"/>
      <c r="Y688" s="872"/>
      <c r="Z688" s="872"/>
    </row>
    <row r="689" ht="14.25" customHeight="1">
      <c r="A689" s="872"/>
      <c r="B689" s="872"/>
      <c r="C689" s="872"/>
      <c r="D689" s="872"/>
      <c r="E689" s="872"/>
      <c r="F689" s="872"/>
      <c r="G689" s="872"/>
      <c r="H689" s="872"/>
      <c r="I689" s="872"/>
      <c r="J689" s="872"/>
      <c r="K689" s="872"/>
      <c r="L689" s="872"/>
      <c r="M689" s="872"/>
      <c r="N689" s="872"/>
      <c r="O689" s="872"/>
      <c r="P689" s="872"/>
      <c r="Q689" s="872"/>
      <c r="R689" s="872"/>
      <c r="S689" s="872"/>
      <c r="T689" s="872"/>
      <c r="U689" s="872"/>
      <c r="V689" s="872"/>
      <c r="W689" s="872"/>
      <c r="X689" s="872"/>
      <c r="Y689" s="872"/>
      <c r="Z689" s="872"/>
    </row>
    <row r="690" ht="14.25" customHeight="1">
      <c r="A690" s="872"/>
      <c r="B690" s="872"/>
      <c r="C690" s="872"/>
      <c r="D690" s="872"/>
      <c r="E690" s="872"/>
      <c r="F690" s="872"/>
      <c r="G690" s="872"/>
      <c r="H690" s="872"/>
      <c r="I690" s="872"/>
      <c r="J690" s="872"/>
      <c r="K690" s="872"/>
      <c r="L690" s="872"/>
      <c r="M690" s="872"/>
      <c r="N690" s="872"/>
      <c r="O690" s="872"/>
      <c r="P690" s="872"/>
      <c r="Q690" s="872"/>
      <c r="R690" s="872"/>
      <c r="S690" s="872"/>
      <c r="T690" s="872"/>
      <c r="U690" s="872"/>
      <c r="V690" s="872"/>
      <c r="W690" s="872"/>
      <c r="X690" s="872"/>
      <c r="Y690" s="872"/>
      <c r="Z690" s="872"/>
    </row>
    <row r="691" ht="14.25" customHeight="1">
      <c r="A691" s="872"/>
      <c r="B691" s="872"/>
      <c r="C691" s="872"/>
      <c r="D691" s="872"/>
      <c r="E691" s="872"/>
      <c r="F691" s="872"/>
      <c r="G691" s="872"/>
      <c r="H691" s="872"/>
      <c r="I691" s="872"/>
      <c r="J691" s="872"/>
      <c r="K691" s="872"/>
      <c r="L691" s="872"/>
      <c r="M691" s="872"/>
      <c r="N691" s="872"/>
      <c r="O691" s="872"/>
      <c r="P691" s="872"/>
      <c r="Q691" s="872"/>
      <c r="R691" s="872"/>
      <c r="S691" s="872"/>
      <c r="T691" s="872"/>
      <c r="U691" s="872"/>
      <c r="V691" s="872"/>
      <c r="W691" s="872"/>
      <c r="X691" s="872"/>
      <c r="Y691" s="872"/>
      <c r="Z691" s="872"/>
    </row>
    <row r="692" ht="14.25" customHeight="1">
      <c r="A692" s="872"/>
      <c r="B692" s="872"/>
      <c r="C692" s="872"/>
      <c r="D692" s="872"/>
      <c r="E692" s="872"/>
      <c r="F692" s="872"/>
      <c r="G692" s="872"/>
      <c r="H692" s="872"/>
      <c r="I692" s="872"/>
      <c r="J692" s="872"/>
      <c r="K692" s="872"/>
      <c r="L692" s="872"/>
      <c r="M692" s="872"/>
      <c r="N692" s="872"/>
      <c r="O692" s="872"/>
      <c r="P692" s="872"/>
      <c r="Q692" s="872"/>
      <c r="R692" s="872"/>
      <c r="S692" s="872"/>
      <c r="T692" s="872"/>
      <c r="U692" s="872"/>
      <c r="V692" s="872"/>
      <c r="W692" s="872"/>
      <c r="X692" s="872"/>
      <c r="Y692" s="872"/>
      <c r="Z692" s="872"/>
    </row>
    <row r="693" ht="14.25" customHeight="1">
      <c r="A693" s="872"/>
      <c r="B693" s="872"/>
      <c r="C693" s="872"/>
      <c r="D693" s="872"/>
      <c r="E693" s="872"/>
      <c r="F693" s="872"/>
      <c r="G693" s="872"/>
      <c r="H693" s="872"/>
      <c r="I693" s="872"/>
      <c r="J693" s="872"/>
      <c r="K693" s="872"/>
      <c r="L693" s="872"/>
      <c r="M693" s="872"/>
      <c r="N693" s="872"/>
      <c r="O693" s="872"/>
      <c r="P693" s="872"/>
      <c r="Q693" s="872"/>
      <c r="R693" s="872"/>
      <c r="S693" s="872"/>
      <c r="T693" s="872"/>
      <c r="U693" s="872"/>
      <c r="V693" s="872"/>
      <c r="W693" s="872"/>
      <c r="X693" s="872"/>
      <c r="Y693" s="872"/>
      <c r="Z693" s="872"/>
    </row>
    <row r="694" ht="14.25" customHeight="1">
      <c r="A694" s="872"/>
      <c r="B694" s="872"/>
      <c r="C694" s="872"/>
      <c r="D694" s="872"/>
      <c r="E694" s="872"/>
      <c r="F694" s="872"/>
      <c r="G694" s="872"/>
      <c r="H694" s="872"/>
      <c r="I694" s="872"/>
      <c r="J694" s="872"/>
      <c r="K694" s="872"/>
      <c r="L694" s="872"/>
      <c r="M694" s="872"/>
      <c r="N694" s="872"/>
      <c r="O694" s="872"/>
      <c r="P694" s="872"/>
      <c r="Q694" s="872"/>
      <c r="R694" s="872"/>
      <c r="S694" s="872"/>
      <c r="T694" s="872"/>
      <c r="U694" s="872"/>
      <c r="V694" s="872"/>
      <c r="W694" s="872"/>
      <c r="X694" s="872"/>
      <c r="Y694" s="872"/>
      <c r="Z694" s="872"/>
    </row>
    <row r="695" ht="14.25" customHeight="1">
      <c r="A695" s="872"/>
      <c r="B695" s="872"/>
      <c r="C695" s="872"/>
      <c r="D695" s="872"/>
      <c r="E695" s="872"/>
      <c r="F695" s="872"/>
      <c r="G695" s="872"/>
      <c r="H695" s="872"/>
      <c r="I695" s="872"/>
      <c r="J695" s="872"/>
      <c r="K695" s="872"/>
      <c r="L695" s="872"/>
      <c r="M695" s="872"/>
      <c r="N695" s="872"/>
      <c r="O695" s="872"/>
      <c r="P695" s="872"/>
      <c r="Q695" s="872"/>
      <c r="R695" s="872"/>
      <c r="S695" s="872"/>
      <c r="T695" s="872"/>
      <c r="U695" s="872"/>
      <c r="V695" s="872"/>
      <c r="W695" s="872"/>
      <c r="X695" s="872"/>
      <c r="Y695" s="872"/>
      <c r="Z695" s="872"/>
    </row>
    <row r="696" ht="14.25" customHeight="1">
      <c r="A696" s="872"/>
      <c r="B696" s="872"/>
      <c r="C696" s="872"/>
      <c r="D696" s="872"/>
      <c r="E696" s="872"/>
      <c r="F696" s="872"/>
      <c r="G696" s="872"/>
      <c r="H696" s="872"/>
      <c r="I696" s="872"/>
      <c r="J696" s="872"/>
      <c r="K696" s="872"/>
      <c r="L696" s="872"/>
      <c r="M696" s="872"/>
      <c r="N696" s="872"/>
      <c r="O696" s="872"/>
      <c r="P696" s="872"/>
      <c r="Q696" s="872"/>
      <c r="R696" s="872"/>
      <c r="S696" s="872"/>
      <c r="T696" s="872"/>
      <c r="U696" s="872"/>
      <c r="V696" s="872"/>
      <c r="W696" s="872"/>
      <c r="X696" s="872"/>
      <c r="Y696" s="872"/>
      <c r="Z696" s="872"/>
    </row>
    <row r="697" ht="14.25" customHeight="1">
      <c r="A697" s="872"/>
      <c r="B697" s="872"/>
      <c r="C697" s="872"/>
      <c r="D697" s="872"/>
      <c r="E697" s="872"/>
      <c r="F697" s="872"/>
      <c r="G697" s="872"/>
      <c r="H697" s="872"/>
      <c r="I697" s="872"/>
      <c r="J697" s="872"/>
      <c r="K697" s="872"/>
      <c r="L697" s="872"/>
      <c r="M697" s="872"/>
      <c r="N697" s="872"/>
      <c r="O697" s="872"/>
      <c r="P697" s="872"/>
      <c r="Q697" s="872"/>
      <c r="R697" s="872"/>
      <c r="S697" s="872"/>
      <c r="T697" s="872"/>
      <c r="U697" s="872"/>
      <c r="V697" s="872"/>
      <c r="W697" s="872"/>
      <c r="X697" s="872"/>
      <c r="Y697" s="872"/>
      <c r="Z697" s="872"/>
    </row>
    <row r="698" ht="14.25" customHeight="1">
      <c r="A698" s="872"/>
      <c r="B698" s="872"/>
      <c r="C698" s="872"/>
      <c r="D698" s="872"/>
      <c r="E698" s="872"/>
      <c r="F698" s="872"/>
      <c r="G698" s="872"/>
      <c r="H698" s="872"/>
      <c r="I698" s="872"/>
      <c r="J698" s="872"/>
      <c r="K698" s="872"/>
      <c r="L698" s="872"/>
      <c r="M698" s="872"/>
      <c r="N698" s="872"/>
      <c r="O698" s="872"/>
      <c r="P698" s="872"/>
      <c r="Q698" s="872"/>
      <c r="R698" s="872"/>
      <c r="S698" s="872"/>
      <c r="T698" s="872"/>
      <c r="U698" s="872"/>
      <c r="V698" s="872"/>
      <c r="W698" s="872"/>
      <c r="X698" s="872"/>
      <c r="Y698" s="872"/>
      <c r="Z698" s="872"/>
    </row>
    <row r="699" ht="14.25" customHeight="1">
      <c r="A699" s="872"/>
      <c r="B699" s="872"/>
      <c r="C699" s="872"/>
      <c r="D699" s="872"/>
      <c r="E699" s="872"/>
      <c r="F699" s="872"/>
      <c r="G699" s="872"/>
      <c r="H699" s="872"/>
      <c r="I699" s="872"/>
      <c r="J699" s="872"/>
      <c r="K699" s="872"/>
      <c r="L699" s="872"/>
      <c r="M699" s="872"/>
      <c r="N699" s="872"/>
      <c r="O699" s="872"/>
      <c r="P699" s="872"/>
      <c r="Q699" s="872"/>
      <c r="R699" s="872"/>
      <c r="S699" s="872"/>
      <c r="T699" s="872"/>
      <c r="U699" s="872"/>
      <c r="V699" s="872"/>
      <c r="W699" s="872"/>
      <c r="X699" s="872"/>
      <c r="Y699" s="872"/>
      <c r="Z699" s="872"/>
    </row>
    <row r="700" ht="14.25" customHeight="1">
      <c r="A700" s="872"/>
      <c r="B700" s="872"/>
      <c r="C700" s="872"/>
      <c r="D700" s="872"/>
      <c r="E700" s="872"/>
      <c r="F700" s="872"/>
      <c r="G700" s="872"/>
      <c r="H700" s="872"/>
      <c r="I700" s="872"/>
      <c r="J700" s="872"/>
      <c r="K700" s="872"/>
      <c r="L700" s="872"/>
      <c r="M700" s="872"/>
      <c r="N700" s="872"/>
      <c r="O700" s="872"/>
      <c r="P700" s="872"/>
      <c r="Q700" s="872"/>
      <c r="R700" s="872"/>
      <c r="S700" s="872"/>
      <c r="T700" s="872"/>
      <c r="U700" s="872"/>
      <c r="V700" s="872"/>
      <c r="W700" s="872"/>
      <c r="X700" s="872"/>
      <c r="Y700" s="872"/>
      <c r="Z700" s="872"/>
    </row>
    <row r="701" ht="14.25" customHeight="1">
      <c r="A701" s="872"/>
      <c r="B701" s="872"/>
      <c r="C701" s="872"/>
      <c r="D701" s="872"/>
      <c r="E701" s="872"/>
      <c r="F701" s="872"/>
      <c r="G701" s="872"/>
      <c r="H701" s="872"/>
      <c r="I701" s="872"/>
      <c r="J701" s="872"/>
      <c r="K701" s="872"/>
      <c r="L701" s="872"/>
      <c r="M701" s="872"/>
      <c r="N701" s="872"/>
      <c r="O701" s="872"/>
      <c r="P701" s="872"/>
      <c r="Q701" s="872"/>
      <c r="R701" s="872"/>
      <c r="S701" s="872"/>
      <c r="T701" s="872"/>
      <c r="U701" s="872"/>
      <c r="V701" s="872"/>
      <c r="W701" s="872"/>
      <c r="X701" s="872"/>
      <c r="Y701" s="872"/>
      <c r="Z701" s="872"/>
    </row>
    <row r="702" ht="14.25" customHeight="1">
      <c r="A702" s="872"/>
      <c r="B702" s="872"/>
      <c r="C702" s="872"/>
      <c r="D702" s="872"/>
      <c r="E702" s="872"/>
      <c r="F702" s="872"/>
      <c r="G702" s="872"/>
      <c r="H702" s="872"/>
      <c r="I702" s="872"/>
      <c r="J702" s="872"/>
      <c r="K702" s="872"/>
      <c r="L702" s="872"/>
      <c r="M702" s="872"/>
      <c r="N702" s="872"/>
      <c r="O702" s="872"/>
      <c r="P702" s="872"/>
      <c r="Q702" s="872"/>
      <c r="R702" s="872"/>
      <c r="S702" s="872"/>
      <c r="T702" s="872"/>
      <c r="U702" s="872"/>
      <c r="V702" s="872"/>
      <c r="W702" s="872"/>
      <c r="X702" s="872"/>
      <c r="Y702" s="872"/>
      <c r="Z702" s="872"/>
    </row>
    <row r="703" ht="14.25" customHeight="1">
      <c r="A703" s="872"/>
      <c r="B703" s="872"/>
      <c r="C703" s="872"/>
      <c r="D703" s="872"/>
      <c r="E703" s="872"/>
      <c r="F703" s="872"/>
      <c r="G703" s="872"/>
      <c r="H703" s="872"/>
      <c r="I703" s="872"/>
      <c r="J703" s="872"/>
      <c r="K703" s="872"/>
      <c r="L703" s="872"/>
      <c r="M703" s="872"/>
      <c r="N703" s="872"/>
      <c r="O703" s="872"/>
      <c r="P703" s="872"/>
      <c r="Q703" s="872"/>
      <c r="R703" s="872"/>
      <c r="S703" s="872"/>
      <c r="T703" s="872"/>
      <c r="U703" s="872"/>
      <c r="V703" s="872"/>
      <c r="W703" s="872"/>
      <c r="X703" s="872"/>
      <c r="Y703" s="872"/>
      <c r="Z703" s="872"/>
    </row>
    <row r="704" ht="14.25" customHeight="1">
      <c r="A704" s="872"/>
      <c r="B704" s="872"/>
      <c r="C704" s="872"/>
      <c r="D704" s="872"/>
      <c r="E704" s="872"/>
      <c r="F704" s="872"/>
      <c r="G704" s="872"/>
      <c r="H704" s="872"/>
      <c r="I704" s="872"/>
      <c r="J704" s="872"/>
      <c r="K704" s="872"/>
      <c r="L704" s="872"/>
      <c r="M704" s="872"/>
      <c r="N704" s="872"/>
      <c r="O704" s="872"/>
      <c r="P704" s="872"/>
      <c r="Q704" s="872"/>
      <c r="R704" s="872"/>
      <c r="S704" s="872"/>
      <c r="T704" s="872"/>
      <c r="U704" s="872"/>
      <c r="V704" s="872"/>
      <c r="W704" s="872"/>
      <c r="X704" s="872"/>
      <c r="Y704" s="872"/>
      <c r="Z704" s="872"/>
    </row>
    <row r="705" ht="14.25" customHeight="1">
      <c r="A705" s="872"/>
      <c r="B705" s="872"/>
      <c r="C705" s="872"/>
      <c r="D705" s="872"/>
      <c r="E705" s="872"/>
      <c r="F705" s="872"/>
      <c r="G705" s="872"/>
      <c r="H705" s="872"/>
      <c r="I705" s="872"/>
      <c r="J705" s="872"/>
      <c r="K705" s="872"/>
      <c r="L705" s="872"/>
      <c r="M705" s="872"/>
      <c r="N705" s="872"/>
      <c r="O705" s="872"/>
      <c r="P705" s="872"/>
      <c r="Q705" s="872"/>
      <c r="R705" s="872"/>
      <c r="S705" s="872"/>
      <c r="T705" s="872"/>
      <c r="U705" s="872"/>
      <c r="V705" s="872"/>
      <c r="W705" s="872"/>
      <c r="X705" s="872"/>
      <c r="Y705" s="872"/>
      <c r="Z705" s="872"/>
    </row>
    <row r="706" ht="14.25" customHeight="1">
      <c r="A706" s="872"/>
      <c r="B706" s="872"/>
      <c r="C706" s="872"/>
      <c r="D706" s="872"/>
      <c r="E706" s="872"/>
      <c r="F706" s="872"/>
      <c r="G706" s="872"/>
      <c r="H706" s="872"/>
      <c r="I706" s="872"/>
      <c r="J706" s="872"/>
      <c r="K706" s="872"/>
      <c r="L706" s="872"/>
      <c r="M706" s="872"/>
      <c r="N706" s="872"/>
      <c r="O706" s="872"/>
      <c r="P706" s="872"/>
      <c r="Q706" s="872"/>
      <c r="R706" s="872"/>
      <c r="S706" s="872"/>
      <c r="T706" s="872"/>
      <c r="U706" s="872"/>
      <c r="V706" s="872"/>
      <c r="W706" s="872"/>
      <c r="X706" s="872"/>
      <c r="Y706" s="872"/>
      <c r="Z706" s="872"/>
    </row>
    <row r="707" ht="14.25" customHeight="1">
      <c r="A707" s="872"/>
      <c r="B707" s="872"/>
      <c r="C707" s="872"/>
      <c r="D707" s="872"/>
      <c r="E707" s="872"/>
      <c r="F707" s="872"/>
      <c r="G707" s="872"/>
      <c r="H707" s="872"/>
      <c r="I707" s="872"/>
      <c r="J707" s="872"/>
      <c r="K707" s="872"/>
      <c r="L707" s="872"/>
      <c r="M707" s="872"/>
      <c r="N707" s="872"/>
      <c r="O707" s="872"/>
      <c r="P707" s="872"/>
      <c r="Q707" s="872"/>
      <c r="R707" s="872"/>
      <c r="S707" s="872"/>
      <c r="T707" s="872"/>
      <c r="U707" s="872"/>
      <c r="V707" s="872"/>
      <c r="W707" s="872"/>
      <c r="X707" s="872"/>
      <c r="Y707" s="872"/>
      <c r="Z707" s="872"/>
    </row>
    <row r="708" ht="14.25" customHeight="1">
      <c r="A708" s="872"/>
      <c r="B708" s="872"/>
      <c r="C708" s="872"/>
      <c r="D708" s="872"/>
      <c r="E708" s="872"/>
      <c r="F708" s="872"/>
      <c r="G708" s="872"/>
      <c r="H708" s="872"/>
      <c r="I708" s="872"/>
      <c r="J708" s="872"/>
      <c r="K708" s="872"/>
      <c r="L708" s="872"/>
      <c r="M708" s="872"/>
      <c r="N708" s="872"/>
      <c r="O708" s="872"/>
      <c r="P708" s="872"/>
      <c r="Q708" s="872"/>
      <c r="R708" s="872"/>
      <c r="S708" s="872"/>
      <c r="T708" s="872"/>
      <c r="U708" s="872"/>
      <c r="V708" s="872"/>
      <c r="W708" s="872"/>
      <c r="X708" s="872"/>
      <c r="Y708" s="872"/>
      <c r="Z708" s="872"/>
    </row>
    <row r="709" ht="14.25" customHeight="1">
      <c r="A709" s="872"/>
      <c r="B709" s="872"/>
      <c r="C709" s="872"/>
      <c r="D709" s="872"/>
      <c r="E709" s="872"/>
      <c r="F709" s="872"/>
      <c r="G709" s="872"/>
      <c r="H709" s="872"/>
      <c r="I709" s="872"/>
      <c r="J709" s="872"/>
      <c r="K709" s="872"/>
      <c r="L709" s="872"/>
      <c r="M709" s="872"/>
      <c r="N709" s="872"/>
      <c r="O709" s="872"/>
      <c r="P709" s="872"/>
      <c r="Q709" s="872"/>
      <c r="R709" s="872"/>
      <c r="S709" s="872"/>
      <c r="T709" s="872"/>
      <c r="U709" s="872"/>
      <c r="V709" s="872"/>
      <c r="W709" s="872"/>
      <c r="X709" s="872"/>
      <c r="Y709" s="872"/>
      <c r="Z709" s="872"/>
    </row>
    <row r="710" ht="14.25" customHeight="1">
      <c r="A710" s="872"/>
      <c r="B710" s="872"/>
      <c r="C710" s="872"/>
      <c r="D710" s="872"/>
      <c r="E710" s="872"/>
      <c r="F710" s="872"/>
      <c r="G710" s="872"/>
      <c r="H710" s="872"/>
      <c r="I710" s="872"/>
      <c r="J710" s="872"/>
      <c r="K710" s="872"/>
      <c r="L710" s="872"/>
      <c r="M710" s="872"/>
      <c r="N710" s="872"/>
      <c r="O710" s="872"/>
      <c r="P710" s="872"/>
      <c r="Q710" s="872"/>
      <c r="R710" s="872"/>
      <c r="S710" s="872"/>
      <c r="T710" s="872"/>
      <c r="U710" s="872"/>
      <c r="V710" s="872"/>
      <c r="W710" s="872"/>
      <c r="X710" s="872"/>
      <c r="Y710" s="872"/>
      <c r="Z710" s="872"/>
    </row>
    <row r="711" ht="14.25" customHeight="1">
      <c r="A711" s="872"/>
      <c r="B711" s="872"/>
      <c r="C711" s="872"/>
      <c r="D711" s="872"/>
      <c r="E711" s="872"/>
      <c r="F711" s="872"/>
      <c r="G711" s="872"/>
      <c r="H711" s="872"/>
      <c r="I711" s="872"/>
      <c r="J711" s="872"/>
      <c r="K711" s="872"/>
      <c r="L711" s="872"/>
      <c r="M711" s="872"/>
      <c r="N711" s="872"/>
      <c r="O711" s="872"/>
      <c r="P711" s="872"/>
      <c r="Q711" s="872"/>
      <c r="R711" s="872"/>
      <c r="S711" s="872"/>
      <c r="T711" s="872"/>
      <c r="U711" s="872"/>
      <c r="V711" s="872"/>
      <c r="W711" s="872"/>
      <c r="X711" s="872"/>
      <c r="Y711" s="872"/>
      <c r="Z711" s="872"/>
    </row>
    <row r="712" ht="14.25" customHeight="1">
      <c r="A712" s="872"/>
      <c r="B712" s="872"/>
      <c r="C712" s="872"/>
      <c r="D712" s="872"/>
      <c r="E712" s="872"/>
      <c r="F712" s="872"/>
      <c r="G712" s="872"/>
      <c r="H712" s="872"/>
      <c r="I712" s="872"/>
      <c r="J712" s="872"/>
      <c r="K712" s="872"/>
      <c r="L712" s="872"/>
      <c r="M712" s="872"/>
      <c r="N712" s="872"/>
      <c r="O712" s="872"/>
      <c r="P712" s="872"/>
      <c r="Q712" s="872"/>
      <c r="R712" s="872"/>
      <c r="S712" s="872"/>
      <c r="T712" s="872"/>
      <c r="U712" s="872"/>
      <c r="V712" s="872"/>
      <c r="W712" s="872"/>
      <c r="X712" s="872"/>
      <c r="Y712" s="872"/>
      <c r="Z712" s="872"/>
    </row>
    <row r="713" ht="14.25" customHeight="1">
      <c r="A713" s="872"/>
      <c r="B713" s="872"/>
      <c r="C713" s="872"/>
      <c r="D713" s="872"/>
      <c r="E713" s="872"/>
      <c r="F713" s="872"/>
      <c r="G713" s="872"/>
      <c r="H713" s="872"/>
      <c r="I713" s="872"/>
      <c r="J713" s="872"/>
      <c r="K713" s="872"/>
      <c r="L713" s="872"/>
      <c r="M713" s="872"/>
      <c r="N713" s="872"/>
      <c r="O713" s="872"/>
      <c r="P713" s="872"/>
      <c r="Q713" s="872"/>
      <c r="R713" s="872"/>
      <c r="S713" s="872"/>
      <c r="T713" s="872"/>
      <c r="U713" s="872"/>
      <c r="V713" s="872"/>
      <c r="W713" s="872"/>
      <c r="X713" s="872"/>
      <c r="Y713" s="872"/>
      <c r="Z713" s="872"/>
    </row>
    <row r="714" ht="14.25" customHeight="1">
      <c r="A714" s="872"/>
      <c r="B714" s="872"/>
      <c r="C714" s="872"/>
      <c r="D714" s="872"/>
      <c r="E714" s="872"/>
      <c r="F714" s="872"/>
      <c r="G714" s="872"/>
      <c r="H714" s="872"/>
      <c r="I714" s="872"/>
      <c r="J714" s="872"/>
      <c r="K714" s="872"/>
      <c r="L714" s="872"/>
      <c r="M714" s="872"/>
      <c r="N714" s="872"/>
      <c r="O714" s="872"/>
      <c r="P714" s="872"/>
      <c r="Q714" s="872"/>
      <c r="R714" s="872"/>
      <c r="S714" s="872"/>
      <c r="T714" s="872"/>
      <c r="U714" s="872"/>
      <c r="V714" s="872"/>
      <c r="W714" s="872"/>
      <c r="X714" s="872"/>
      <c r="Y714" s="872"/>
      <c r="Z714" s="872"/>
    </row>
    <row r="715" ht="14.25" customHeight="1">
      <c r="A715" s="872"/>
      <c r="B715" s="872"/>
      <c r="C715" s="872"/>
      <c r="D715" s="872"/>
      <c r="E715" s="872"/>
      <c r="F715" s="872"/>
      <c r="G715" s="872"/>
      <c r="H715" s="872"/>
      <c r="I715" s="872"/>
      <c r="J715" s="872"/>
      <c r="K715" s="872"/>
      <c r="L715" s="872"/>
      <c r="M715" s="872"/>
      <c r="N715" s="872"/>
      <c r="O715" s="872"/>
      <c r="P715" s="872"/>
      <c r="Q715" s="872"/>
      <c r="R715" s="872"/>
      <c r="S715" s="872"/>
      <c r="T715" s="872"/>
      <c r="U715" s="872"/>
      <c r="V715" s="872"/>
      <c r="W715" s="872"/>
      <c r="X715" s="872"/>
      <c r="Y715" s="872"/>
      <c r="Z715" s="872"/>
    </row>
    <row r="716" ht="14.25" customHeight="1">
      <c r="A716" s="872"/>
      <c r="B716" s="872"/>
      <c r="C716" s="872"/>
      <c r="D716" s="872"/>
      <c r="E716" s="872"/>
      <c r="F716" s="872"/>
      <c r="G716" s="872"/>
      <c r="H716" s="872"/>
      <c r="I716" s="872"/>
      <c r="J716" s="872"/>
      <c r="K716" s="872"/>
      <c r="L716" s="872"/>
      <c r="M716" s="872"/>
      <c r="N716" s="872"/>
      <c r="O716" s="872"/>
      <c r="P716" s="872"/>
      <c r="Q716" s="872"/>
      <c r="R716" s="872"/>
      <c r="S716" s="872"/>
      <c r="T716" s="872"/>
      <c r="U716" s="872"/>
      <c r="V716" s="872"/>
      <c r="W716" s="872"/>
      <c r="X716" s="872"/>
      <c r="Y716" s="872"/>
      <c r="Z716" s="872"/>
    </row>
    <row r="717" ht="14.25" customHeight="1">
      <c r="A717" s="872"/>
      <c r="B717" s="872"/>
      <c r="C717" s="872"/>
      <c r="D717" s="872"/>
      <c r="E717" s="872"/>
      <c r="F717" s="872"/>
      <c r="G717" s="872"/>
      <c r="H717" s="872"/>
      <c r="I717" s="872"/>
      <c r="J717" s="872"/>
      <c r="K717" s="872"/>
      <c r="L717" s="872"/>
      <c r="M717" s="872"/>
      <c r="N717" s="872"/>
      <c r="O717" s="872"/>
      <c r="P717" s="872"/>
      <c r="Q717" s="872"/>
      <c r="R717" s="872"/>
      <c r="S717" s="872"/>
      <c r="T717" s="872"/>
      <c r="U717" s="872"/>
      <c r="V717" s="872"/>
      <c r="W717" s="872"/>
      <c r="X717" s="872"/>
      <c r="Y717" s="872"/>
      <c r="Z717" s="872"/>
    </row>
    <row r="718" ht="14.25" customHeight="1">
      <c r="A718" s="872"/>
      <c r="B718" s="872"/>
      <c r="C718" s="872"/>
      <c r="D718" s="872"/>
      <c r="E718" s="872"/>
      <c r="F718" s="872"/>
      <c r="G718" s="872"/>
      <c r="H718" s="872"/>
      <c r="I718" s="872"/>
      <c r="J718" s="872"/>
      <c r="K718" s="872"/>
      <c r="L718" s="872"/>
      <c r="M718" s="872"/>
      <c r="N718" s="872"/>
      <c r="O718" s="872"/>
      <c r="P718" s="872"/>
      <c r="Q718" s="872"/>
      <c r="R718" s="872"/>
      <c r="S718" s="872"/>
      <c r="T718" s="872"/>
      <c r="U718" s="872"/>
      <c r="V718" s="872"/>
      <c r="W718" s="872"/>
      <c r="X718" s="872"/>
      <c r="Y718" s="872"/>
      <c r="Z718" s="872"/>
    </row>
    <row r="719" ht="14.25" customHeight="1">
      <c r="A719" s="872"/>
      <c r="B719" s="872"/>
      <c r="C719" s="872"/>
      <c r="D719" s="872"/>
      <c r="E719" s="872"/>
      <c r="F719" s="872"/>
      <c r="G719" s="872"/>
      <c r="H719" s="872"/>
      <c r="I719" s="872"/>
      <c r="J719" s="872"/>
      <c r="K719" s="872"/>
      <c r="L719" s="872"/>
      <c r="M719" s="872"/>
      <c r="N719" s="872"/>
      <c r="O719" s="872"/>
      <c r="P719" s="872"/>
      <c r="Q719" s="872"/>
      <c r="R719" s="872"/>
      <c r="S719" s="872"/>
      <c r="T719" s="872"/>
      <c r="U719" s="872"/>
      <c r="V719" s="872"/>
      <c r="W719" s="872"/>
      <c r="X719" s="872"/>
      <c r="Y719" s="872"/>
      <c r="Z719" s="872"/>
    </row>
    <row r="720" ht="14.25" customHeight="1">
      <c r="A720" s="872"/>
      <c r="B720" s="872"/>
      <c r="C720" s="872"/>
      <c r="D720" s="872"/>
      <c r="E720" s="872"/>
      <c r="F720" s="872"/>
      <c r="G720" s="872"/>
      <c r="H720" s="872"/>
      <c r="I720" s="872"/>
      <c r="J720" s="872"/>
      <c r="K720" s="872"/>
      <c r="L720" s="872"/>
      <c r="M720" s="872"/>
      <c r="N720" s="872"/>
      <c r="O720" s="872"/>
      <c r="P720" s="872"/>
      <c r="Q720" s="872"/>
      <c r="R720" s="872"/>
      <c r="S720" s="872"/>
      <c r="T720" s="872"/>
      <c r="U720" s="872"/>
      <c r="V720" s="872"/>
      <c r="W720" s="872"/>
      <c r="X720" s="872"/>
      <c r="Y720" s="872"/>
      <c r="Z720" s="872"/>
    </row>
    <row r="721" ht="14.25" customHeight="1">
      <c r="A721" s="872"/>
      <c r="B721" s="872"/>
      <c r="C721" s="872"/>
      <c r="D721" s="872"/>
      <c r="E721" s="872"/>
      <c r="F721" s="872"/>
      <c r="G721" s="872"/>
      <c r="H721" s="872"/>
      <c r="I721" s="872"/>
      <c r="J721" s="872"/>
      <c r="K721" s="872"/>
      <c r="L721" s="872"/>
      <c r="M721" s="872"/>
      <c r="N721" s="872"/>
      <c r="O721" s="872"/>
      <c r="P721" s="872"/>
      <c r="Q721" s="872"/>
      <c r="R721" s="872"/>
      <c r="S721" s="872"/>
      <c r="T721" s="872"/>
      <c r="U721" s="872"/>
      <c r="V721" s="872"/>
      <c r="W721" s="872"/>
      <c r="X721" s="872"/>
      <c r="Y721" s="872"/>
      <c r="Z721" s="872"/>
    </row>
    <row r="722" ht="14.25" customHeight="1">
      <c r="A722" s="872"/>
      <c r="B722" s="872"/>
      <c r="C722" s="872"/>
      <c r="D722" s="872"/>
      <c r="E722" s="872"/>
      <c r="F722" s="872"/>
      <c r="G722" s="872"/>
      <c r="H722" s="872"/>
      <c r="I722" s="872"/>
      <c r="J722" s="872"/>
      <c r="K722" s="872"/>
      <c r="L722" s="872"/>
      <c r="M722" s="872"/>
      <c r="N722" s="872"/>
      <c r="O722" s="872"/>
      <c r="P722" s="872"/>
      <c r="Q722" s="872"/>
      <c r="R722" s="872"/>
      <c r="S722" s="872"/>
      <c r="T722" s="872"/>
      <c r="U722" s="872"/>
      <c r="V722" s="872"/>
      <c r="W722" s="872"/>
      <c r="X722" s="872"/>
      <c r="Y722" s="872"/>
      <c r="Z722" s="872"/>
    </row>
    <row r="723" ht="14.25" customHeight="1">
      <c r="A723" s="872"/>
      <c r="B723" s="872"/>
      <c r="C723" s="872"/>
      <c r="D723" s="872"/>
      <c r="E723" s="872"/>
      <c r="F723" s="872"/>
      <c r="G723" s="872"/>
      <c r="H723" s="872"/>
      <c r="I723" s="872"/>
      <c r="J723" s="872"/>
      <c r="K723" s="872"/>
      <c r="L723" s="872"/>
      <c r="M723" s="872"/>
      <c r="N723" s="872"/>
      <c r="O723" s="872"/>
      <c r="P723" s="872"/>
      <c r="Q723" s="872"/>
      <c r="R723" s="872"/>
      <c r="S723" s="872"/>
      <c r="T723" s="872"/>
      <c r="U723" s="872"/>
      <c r="V723" s="872"/>
      <c r="W723" s="872"/>
      <c r="X723" s="872"/>
      <c r="Y723" s="872"/>
      <c r="Z723" s="872"/>
    </row>
    <row r="724" ht="14.25" customHeight="1">
      <c r="A724" s="872"/>
      <c r="B724" s="872"/>
      <c r="C724" s="872"/>
      <c r="D724" s="872"/>
      <c r="E724" s="872"/>
      <c r="F724" s="872"/>
      <c r="G724" s="872"/>
      <c r="H724" s="872"/>
      <c r="I724" s="872"/>
      <c r="J724" s="872"/>
      <c r="K724" s="872"/>
      <c r="L724" s="872"/>
      <c r="M724" s="872"/>
      <c r="N724" s="872"/>
      <c r="O724" s="872"/>
      <c r="P724" s="872"/>
      <c r="Q724" s="872"/>
      <c r="R724" s="872"/>
      <c r="S724" s="872"/>
      <c r="T724" s="872"/>
      <c r="U724" s="872"/>
      <c r="V724" s="872"/>
      <c r="W724" s="872"/>
      <c r="X724" s="872"/>
      <c r="Y724" s="872"/>
      <c r="Z724" s="872"/>
    </row>
    <row r="725" ht="14.25" customHeight="1">
      <c r="A725" s="872"/>
      <c r="B725" s="872"/>
      <c r="C725" s="872"/>
      <c r="D725" s="872"/>
      <c r="E725" s="872"/>
      <c r="F725" s="872"/>
      <c r="G725" s="872"/>
      <c r="H725" s="872"/>
      <c r="I725" s="872"/>
      <c r="J725" s="872"/>
      <c r="K725" s="872"/>
      <c r="L725" s="872"/>
      <c r="M725" s="872"/>
      <c r="N725" s="872"/>
      <c r="O725" s="872"/>
      <c r="P725" s="872"/>
      <c r="Q725" s="872"/>
      <c r="R725" s="872"/>
      <c r="S725" s="872"/>
      <c r="T725" s="872"/>
      <c r="U725" s="872"/>
      <c r="V725" s="872"/>
      <c r="W725" s="872"/>
      <c r="X725" s="872"/>
      <c r="Y725" s="872"/>
      <c r="Z725" s="872"/>
    </row>
    <row r="726" ht="14.25" customHeight="1">
      <c r="A726" s="872"/>
      <c r="B726" s="872"/>
      <c r="C726" s="872"/>
      <c r="D726" s="872"/>
      <c r="E726" s="872"/>
      <c r="F726" s="872"/>
      <c r="G726" s="872"/>
      <c r="H726" s="872"/>
      <c r="I726" s="872"/>
      <c r="J726" s="872"/>
      <c r="K726" s="872"/>
      <c r="L726" s="872"/>
      <c r="M726" s="872"/>
      <c r="N726" s="872"/>
      <c r="O726" s="872"/>
      <c r="P726" s="872"/>
      <c r="Q726" s="872"/>
      <c r="R726" s="872"/>
      <c r="S726" s="872"/>
      <c r="T726" s="872"/>
      <c r="U726" s="872"/>
      <c r="V726" s="872"/>
      <c r="W726" s="872"/>
      <c r="X726" s="872"/>
      <c r="Y726" s="872"/>
      <c r="Z726" s="872"/>
    </row>
    <row r="727" ht="14.25" customHeight="1">
      <c r="A727" s="872"/>
      <c r="B727" s="872"/>
      <c r="C727" s="872"/>
      <c r="D727" s="872"/>
      <c r="E727" s="872"/>
      <c r="F727" s="872"/>
      <c r="G727" s="872"/>
      <c r="H727" s="872"/>
      <c r="I727" s="872"/>
      <c r="J727" s="872"/>
      <c r="K727" s="872"/>
      <c r="L727" s="872"/>
      <c r="M727" s="872"/>
      <c r="N727" s="872"/>
      <c r="O727" s="872"/>
      <c r="P727" s="872"/>
      <c r="Q727" s="872"/>
      <c r="R727" s="872"/>
      <c r="S727" s="872"/>
      <c r="T727" s="872"/>
      <c r="U727" s="872"/>
      <c r="V727" s="872"/>
      <c r="W727" s="872"/>
      <c r="X727" s="872"/>
      <c r="Y727" s="872"/>
      <c r="Z727" s="872"/>
    </row>
    <row r="728" ht="14.25" customHeight="1">
      <c r="A728" s="872"/>
      <c r="B728" s="872"/>
      <c r="C728" s="872"/>
      <c r="D728" s="872"/>
      <c r="E728" s="872"/>
      <c r="F728" s="872"/>
      <c r="G728" s="872"/>
      <c r="H728" s="872"/>
      <c r="I728" s="872"/>
      <c r="J728" s="872"/>
      <c r="K728" s="872"/>
      <c r="L728" s="872"/>
      <c r="M728" s="872"/>
      <c r="N728" s="872"/>
      <c r="O728" s="872"/>
      <c r="P728" s="872"/>
      <c r="Q728" s="872"/>
      <c r="R728" s="872"/>
      <c r="S728" s="872"/>
      <c r="T728" s="872"/>
      <c r="U728" s="872"/>
      <c r="V728" s="872"/>
      <c r="W728" s="872"/>
      <c r="X728" s="872"/>
      <c r="Y728" s="872"/>
      <c r="Z728" s="872"/>
    </row>
    <row r="729" ht="14.25" customHeight="1">
      <c r="A729" s="872"/>
      <c r="B729" s="872"/>
      <c r="C729" s="872"/>
      <c r="D729" s="872"/>
      <c r="E729" s="872"/>
      <c r="F729" s="872"/>
      <c r="G729" s="872"/>
      <c r="H729" s="872"/>
      <c r="I729" s="872"/>
      <c r="J729" s="872"/>
      <c r="K729" s="872"/>
      <c r="L729" s="872"/>
      <c r="M729" s="872"/>
      <c r="N729" s="872"/>
      <c r="O729" s="872"/>
      <c r="P729" s="872"/>
      <c r="Q729" s="872"/>
      <c r="R729" s="872"/>
      <c r="S729" s="872"/>
      <c r="T729" s="872"/>
      <c r="U729" s="872"/>
      <c r="V729" s="872"/>
      <c r="W729" s="872"/>
      <c r="X729" s="872"/>
      <c r="Y729" s="872"/>
      <c r="Z729" s="872"/>
    </row>
    <row r="730" ht="14.25" customHeight="1">
      <c r="A730" s="872"/>
      <c r="B730" s="872"/>
      <c r="C730" s="872"/>
      <c r="D730" s="872"/>
      <c r="E730" s="872"/>
      <c r="F730" s="872"/>
      <c r="G730" s="872"/>
      <c r="H730" s="872"/>
      <c r="I730" s="872"/>
      <c r="J730" s="872"/>
      <c r="K730" s="872"/>
      <c r="L730" s="872"/>
      <c r="M730" s="872"/>
      <c r="N730" s="872"/>
      <c r="O730" s="872"/>
      <c r="P730" s="872"/>
      <c r="Q730" s="872"/>
      <c r="R730" s="872"/>
      <c r="S730" s="872"/>
      <c r="T730" s="872"/>
      <c r="U730" s="872"/>
      <c r="V730" s="872"/>
      <c r="W730" s="872"/>
      <c r="X730" s="872"/>
      <c r="Y730" s="872"/>
      <c r="Z730" s="872"/>
    </row>
    <row r="731" ht="14.25" customHeight="1">
      <c r="A731" s="872"/>
      <c r="B731" s="872"/>
      <c r="C731" s="872"/>
      <c r="D731" s="872"/>
      <c r="E731" s="872"/>
      <c r="F731" s="872"/>
      <c r="G731" s="872"/>
      <c r="H731" s="872"/>
      <c r="I731" s="872"/>
      <c r="J731" s="872"/>
      <c r="K731" s="872"/>
      <c r="L731" s="872"/>
      <c r="M731" s="872"/>
      <c r="N731" s="872"/>
      <c r="O731" s="872"/>
      <c r="P731" s="872"/>
      <c r="Q731" s="872"/>
      <c r="R731" s="872"/>
      <c r="S731" s="872"/>
      <c r="T731" s="872"/>
      <c r="U731" s="872"/>
      <c r="V731" s="872"/>
      <c r="W731" s="872"/>
      <c r="X731" s="872"/>
      <c r="Y731" s="872"/>
      <c r="Z731" s="872"/>
    </row>
    <row r="732" ht="14.25" customHeight="1">
      <c r="A732" s="872"/>
      <c r="B732" s="872"/>
      <c r="C732" s="872"/>
      <c r="D732" s="872"/>
      <c r="E732" s="872"/>
      <c r="F732" s="872"/>
      <c r="G732" s="872"/>
      <c r="H732" s="872"/>
      <c r="I732" s="872"/>
      <c r="J732" s="872"/>
      <c r="K732" s="872"/>
      <c r="L732" s="872"/>
      <c r="M732" s="872"/>
      <c r="N732" s="872"/>
      <c r="O732" s="872"/>
      <c r="P732" s="872"/>
      <c r="Q732" s="872"/>
      <c r="R732" s="872"/>
      <c r="S732" s="872"/>
      <c r="T732" s="872"/>
      <c r="U732" s="872"/>
      <c r="V732" s="872"/>
      <c r="W732" s="872"/>
      <c r="X732" s="872"/>
      <c r="Y732" s="872"/>
      <c r="Z732" s="872"/>
    </row>
    <row r="733" ht="14.25" customHeight="1">
      <c r="A733" s="872"/>
      <c r="B733" s="872"/>
      <c r="C733" s="872"/>
      <c r="D733" s="872"/>
      <c r="E733" s="872"/>
      <c r="F733" s="872"/>
      <c r="G733" s="872"/>
      <c r="H733" s="872"/>
      <c r="I733" s="872"/>
      <c r="J733" s="872"/>
      <c r="K733" s="872"/>
      <c r="L733" s="872"/>
      <c r="M733" s="872"/>
      <c r="N733" s="872"/>
      <c r="O733" s="872"/>
      <c r="P733" s="872"/>
      <c r="Q733" s="872"/>
      <c r="R733" s="872"/>
      <c r="S733" s="872"/>
      <c r="T733" s="872"/>
      <c r="U733" s="872"/>
      <c r="V733" s="872"/>
      <c r="W733" s="872"/>
      <c r="X733" s="872"/>
      <c r="Y733" s="872"/>
      <c r="Z733" s="872"/>
    </row>
    <row r="734" ht="14.25" customHeight="1">
      <c r="A734" s="872"/>
      <c r="B734" s="872"/>
      <c r="C734" s="872"/>
      <c r="D734" s="872"/>
      <c r="E734" s="872"/>
      <c r="F734" s="872"/>
      <c r="G734" s="872"/>
      <c r="H734" s="872"/>
      <c r="I734" s="872"/>
      <c r="J734" s="872"/>
      <c r="K734" s="872"/>
      <c r="L734" s="872"/>
      <c r="M734" s="872"/>
      <c r="N734" s="872"/>
      <c r="O734" s="872"/>
      <c r="P734" s="872"/>
      <c r="Q734" s="872"/>
      <c r="R734" s="872"/>
      <c r="S734" s="872"/>
      <c r="T734" s="872"/>
      <c r="U734" s="872"/>
      <c r="V734" s="872"/>
      <c r="W734" s="872"/>
      <c r="X734" s="872"/>
      <c r="Y734" s="872"/>
      <c r="Z734" s="872"/>
    </row>
    <row r="735" ht="14.25" customHeight="1">
      <c r="A735" s="872"/>
      <c r="B735" s="872"/>
      <c r="C735" s="872"/>
      <c r="D735" s="872"/>
      <c r="E735" s="872"/>
      <c r="F735" s="872"/>
      <c r="G735" s="872"/>
      <c r="H735" s="872"/>
      <c r="I735" s="872"/>
      <c r="J735" s="872"/>
      <c r="K735" s="872"/>
      <c r="L735" s="872"/>
      <c r="M735" s="872"/>
      <c r="N735" s="872"/>
      <c r="O735" s="872"/>
      <c r="P735" s="872"/>
      <c r="Q735" s="872"/>
      <c r="R735" s="872"/>
      <c r="S735" s="872"/>
      <c r="T735" s="872"/>
      <c r="U735" s="872"/>
      <c r="V735" s="872"/>
      <c r="W735" s="872"/>
      <c r="X735" s="872"/>
      <c r="Y735" s="872"/>
      <c r="Z735" s="872"/>
    </row>
    <row r="736" ht="14.25" customHeight="1">
      <c r="A736" s="872"/>
      <c r="B736" s="872"/>
      <c r="C736" s="872"/>
      <c r="D736" s="872"/>
      <c r="E736" s="872"/>
      <c r="F736" s="872"/>
      <c r="G736" s="872"/>
      <c r="H736" s="872"/>
      <c r="I736" s="872"/>
      <c r="J736" s="872"/>
      <c r="K736" s="872"/>
      <c r="L736" s="872"/>
      <c r="M736" s="872"/>
      <c r="N736" s="872"/>
      <c r="O736" s="872"/>
      <c r="P736" s="872"/>
      <c r="Q736" s="872"/>
      <c r="R736" s="872"/>
      <c r="S736" s="872"/>
      <c r="T736" s="872"/>
      <c r="U736" s="872"/>
      <c r="V736" s="872"/>
      <c r="W736" s="872"/>
      <c r="X736" s="872"/>
      <c r="Y736" s="872"/>
      <c r="Z736" s="872"/>
    </row>
    <row r="737" ht="14.25" customHeight="1">
      <c r="A737" s="872"/>
      <c r="B737" s="872"/>
      <c r="C737" s="872"/>
      <c r="D737" s="872"/>
      <c r="E737" s="872"/>
      <c r="F737" s="872"/>
      <c r="G737" s="872"/>
      <c r="H737" s="872"/>
      <c r="I737" s="872"/>
      <c r="J737" s="872"/>
      <c r="K737" s="872"/>
      <c r="L737" s="872"/>
      <c r="M737" s="872"/>
      <c r="N737" s="872"/>
      <c r="O737" s="872"/>
      <c r="P737" s="872"/>
      <c r="Q737" s="872"/>
      <c r="R737" s="872"/>
      <c r="S737" s="872"/>
      <c r="T737" s="872"/>
      <c r="U737" s="872"/>
      <c r="V737" s="872"/>
      <c r="W737" s="872"/>
      <c r="X737" s="872"/>
      <c r="Y737" s="872"/>
      <c r="Z737" s="872"/>
    </row>
    <row r="738" ht="14.25" customHeight="1">
      <c r="A738" s="872"/>
      <c r="B738" s="872"/>
      <c r="C738" s="872"/>
      <c r="D738" s="872"/>
      <c r="E738" s="872"/>
      <c r="F738" s="872"/>
      <c r="G738" s="872"/>
      <c r="H738" s="872"/>
      <c r="I738" s="872"/>
      <c r="J738" s="872"/>
      <c r="K738" s="872"/>
      <c r="L738" s="872"/>
      <c r="M738" s="872"/>
      <c r="N738" s="872"/>
      <c r="O738" s="872"/>
      <c r="P738" s="872"/>
      <c r="Q738" s="872"/>
      <c r="R738" s="872"/>
      <c r="S738" s="872"/>
      <c r="T738" s="872"/>
      <c r="U738" s="872"/>
      <c r="V738" s="872"/>
      <c r="W738" s="872"/>
      <c r="X738" s="872"/>
      <c r="Y738" s="872"/>
      <c r="Z738" s="872"/>
    </row>
    <row r="739" ht="14.25" customHeight="1">
      <c r="A739" s="872"/>
      <c r="B739" s="872"/>
      <c r="C739" s="872"/>
      <c r="D739" s="872"/>
      <c r="E739" s="872"/>
      <c r="F739" s="872"/>
      <c r="G739" s="872"/>
      <c r="H739" s="872"/>
      <c r="I739" s="872"/>
      <c r="J739" s="872"/>
      <c r="K739" s="872"/>
      <c r="L739" s="872"/>
      <c r="M739" s="872"/>
      <c r="N739" s="872"/>
      <c r="O739" s="872"/>
      <c r="P739" s="872"/>
      <c r="Q739" s="872"/>
      <c r="R739" s="872"/>
      <c r="S739" s="872"/>
      <c r="T739" s="872"/>
      <c r="U739" s="872"/>
      <c r="V739" s="872"/>
      <c r="W739" s="872"/>
      <c r="X739" s="872"/>
      <c r="Y739" s="872"/>
      <c r="Z739" s="872"/>
    </row>
    <row r="740" ht="14.25" customHeight="1">
      <c r="A740" s="872"/>
      <c r="B740" s="872"/>
      <c r="C740" s="872"/>
      <c r="D740" s="872"/>
      <c r="E740" s="872"/>
      <c r="F740" s="872"/>
      <c r="G740" s="872"/>
      <c r="H740" s="872"/>
      <c r="I740" s="872"/>
      <c r="J740" s="872"/>
      <c r="K740" s="872"/>
      <c r="L740" s="872"/>
      <c r="M740" s="872"/>
      <c r="N740" s="872"/>
      <c r="O740" s="872"/>
      <c r="P740" s="872"/>
      <c r="Q740" s="872"/>
      <c r="R740" s="872"/>
      <c r="S740" s="872"/>
      <c r="T740" s="872"/>
      <c r="U740" s="872"/>
      <c r="V740" s="872"/>
      <c r="W740" s="872"/>
      <c r="X740" s="872"/>
      <c r="Y740" s="872"/>
      <c r="Z740" s="872"/>
    </row>
    <row r="741" ht="14.25" customHeight="1">
      <c r="A741" s="872"/>
      <c r="B741" s="872"/>
      <c r="C741" s="872"/>
      <c r="D741" s="872"/>
      <c r="E741" s="872"/>
      <c r="F741" s="872"/>
      <c r="G741" s="872"/>
      <c r="H741" s="872"/>
      <c r="I741" s="872"/>
      <c r="J741" s="872"/>
      <c r="K741" s="872"/>
      <c r="L741" s="872"/>
      <c r="M741" s="872"/>
      <c r="N741" s="872"/>
      <c r="O741" s="872"/>
      <c r="P741" s="872"/>
      <c r="Q741" s="872"/>
      <c r="R741" s="872"/>
      <c r="S741" s="872"/>
      <c r="T741" s="872"/>
      <c r="U741" s="872"/>
      <c r="V741" s="872"/>
      <c r="W741" s="872"/>
      <c r="X741" s="872"/>
      <c r="Y741" s="872"/>
      <c r="Z741" s="872"/>
    </row>
    <row r="742" ht="14.25" customHeight="1">
      <c r="A742" s="872"/>
      <c r="B742" s="872"/>
      <c r="C742" s="872"/>
      <c r="D742" s="872"/>
      <c r="E742" s="872"/>
      <c r="F742" s="872"/>
      <c r="G742" s="872"/>
      <c r="H742" s="872"/>
      <c r="I742" s="872"/>
      <c r="J742" s="872"/>
      <c r="K742" s="872"/>
      <c r="L742" s="872"/>
      <c r="M742" s="872"/>
      <c r="N742" s="872"/>
      <c r="O742" s="872"/>
      <c r="P742" s="872"/>
      <c r="Q742" s="872"/>
      <c r="R742" s="872"/>
      <c r="S742" s="872"/>
      <c r="T742" s="872"/>
      <c r="U742" s="872"/>
      <c r="V742" s="872"/>
      <c r="W742" s="872"/>
      <c r="X742" s="872"/>
      <c r="Y742" s="872"/>
      <c r="Z742" s="872"/>
    </row>
    <row r="743" ht="14.25" customHeight="1">
      <c r="A743" s="872"/>
      <c r="B743" s="872"/>
      <c r="C743" s="872"/>
      <c r="D743" s="872"/>
      <c r="E743" s="872"/>
      <c r="F743" s="872"/>
      <c r="G743" s="872"/>
      <c r="H743" s="872"/>
      <c r="I743" s="872"/>
      <c r="J743" s="872"/>
      <c r="K743" s="872"/>
      <c r="L743" s="872"/>
      <c r="M743" s="872"/>
      <c r="N743" s="872"/>
      <c r="O743" s="872"/>
      <c r="P743" s="872"/>
      <c r="Q743" s="872"/>
      <c r="R743" s="872"/>
      <c r="S743" s="872"/>
      <c r="T743" s="872"/>
      <c r="U743" s="872"/>
      <c r="V743" s="872"/>
      <c r="W743" s="872"/>
      <c r="X743" s="872"/>
      <c r="Y743" s="872"/>
      <c r="Z743" s="872"/>
    </row>
    <row r="744" ht="14.25" customHeight="1">
      <c r="A744" s="872"/>
      <c r="B744" s="872"/>
      <c r="C744" s="872"/>
      <c r="D744" s="872"/>
      <c r="E744" s="872"/>
      <c r="F744" s="872"/>
      <c r="G744" s="872"/>
      <c r="H744" s="872"/>
      <c r="I744" s="872"/>
      <c r="J744" s="872"/>
      <c r="K744" s="872"/>
      <c r="L744" s="872"/>
      <c r="M744" s="872"/>
      <c r="N744" s="872"/>
      <c r="O744" s="872"/>
      <c r="P744" s="872"/>
      <c r="Q744" s="872"/>
      <c r="R744" s="872"/>
      <c r="S744" s="872"/>
      <c r="T744" s="872"/>
      <c r="U744" s="872"/>
      <c r="V744" s="872"/>
      <c r="W744" s="872"/>
      <c r="X744" s="872"/>
      <c r="Y744" s="872"/>
      <c r="Z744" s="872"/>
    </row>
    <row r="745" ht="14.25" customHeight="1">
      <c r="A745" s="872"/>
      <c r="B745" s="872"/>
      <c r="C745" s="872"/>
      <c r="D745" s="872"/>
      <c r="E745" s="872"/>
      <c r="F745" s="872"/>
      <c r="G745" s="872"/>
      <c r="H745" s="872"/>
      <c r="I745" s="872"/>
      <c r="J745" s="872"/>
      <c r="K745" s="872"/>
      <c r="L745" s="872"/>
      <c r="M745" s="872"/>
      <c r="N745" s="872"/>
      <c r="O745" s="872"/>
      <c r="P745" s="872"/>
      <c r="Q745" s="872"/>
      <c r="R745" s="872"/>
      <c r="S745" s="872"/>
      <c r="T745" s="872"/>
      <c r="U745" s="872"/>
      <c r="V745" s="872"/>
      <c r="W745" s="872"/>
      <c r="X745" s="872"/>
      <c r="Y745" s="872"/>
      <c r="Z745" s="872"/>
    </row>
    <row r="746" ht="14.25" customHeight="1">
      <c r="A746" s="872"/>
      <c r="B746" s="872"/>
      <c r="C746" s="872"/>
      <c r="D746" s="872"/>
      <c r="E746" s="872"/>
      <c r="F746" s="872"/>
      <c r="G746" s="872"/>
      <c r="H746" s="872"/>
      <c r="I746" s="872"/>
      <c r="J746" s="872"/>
      <c r="K746" s="872"/>
      <c r="L746" s="872"/>
      <c r="M746" s="872"/>
      <c r="N746" s="872"/>
      <c r="O746" s="872"/>
      <c r="P746" s="872"/>
      <c r="Q746" s="872"/>
      <c r="R746" s="872"/>
      <c r="S746" s="872"/>
      <c r="T746" s="872"/>
      <c r="U746" s="872"/>
      <c r="V746" s="872"/>
      <c r="W746" s="872"/>
      <c r="X746" s="872"/>
      <c r="Y746" s="872"/>
      <c r="Z746" s="872"/>
    </row>
    <row r="747" ht="14.25" customHeight="1">
      <c r="A747" s="872"/>
      <c r="B747" s="872"/>
      <c r="C747" s="872"/>
      <c r="D747" s="872"/>
      <c r="E747" s="872"/>
      <c r="F747" s="872"/>
      <c r="G747" s="872"/>
      <c r="H747" s="872"/>
      <c r="I747" s="872"/>
      <c r="J747" s="872"/>
      <c r="K747" s="872"/>
      <c r="L747" s="872"/>
      <c r="M747" s="872"/>
      <c r="N747" s="872"/>
      <c r="O747" s="872"/>
      <c r="P747" s="872"/>
      <c r="Q747" s="872"/>
      <c r="R747" s="872"/>
      <c r="S747" s="872"/>
      <c r="T747" s="872"/>
      <c r="U747" s="872"/>
      <c r="V747" s="872"/>
      <c r="W747" s="872"/>
      <c r="X747" s="872"/>
      <c r="Y747" s="872"/>
      <c r="Z747" s="872"/>
    </row>
    <row r="748" ht="14.25" customHeight="1">
      <c r="A748" s="872"/>
      <c r="B748" s="872"/>
      <c r="C748" s="872"/>
      <c r="D748" s="872"/>
      <c r="E748" s="872"/>
      <c r="F748" s="872"/>
      <c r="G748" s="872"/>
      <c r="H748" s="872"/>
      <c r="I748" s="872"/>
      <c r="J748" s="872"/>
      <c r="K748" s="872"/>
      <c r="L748" s="872"/>
      <c r="M748" s="872"/>
      <c r="N748" s="872"/>
      <c r="O748" s="872"/>
      <c r="P748" s="872"/>
      <c r="Q748" s="872"/>
      <c r="R748" s="872"/>
      <c r="S748" s="872"/>
      <c r="T748" s="872"/>
      <c r="U748" s="872"/>
      <c r="V748" s="872"/>
      <c r="W748" s="872"/>
      <c r="X748" s="872"/>
      <c r="Y748" s="872"/>
      <c r="Z748" s="872"/>
    </row>
    <row r="749" ht="14.25" customHeight="1">
      <c r="A749" s="872"/>
      <c r="B749" s="872"/>
      <c r="C749" s="872"/>
      <c r="D749" s="872"/>
      <c r="E749" s="872"/>
      <c r="F749" s="872"/>
      <c r="G749" s="872"/>
      <c r="H749" s="872"/>
      <c r="I749" s="872"/>
      <c r="J749" s="872"/>
      <c r="K749" s="872"/>
      <c r="L749" s="872"/>
      <c r="M749" s="872"/>
      <c r="N749" s="872"/>
      <c r="O749" s="872"/>
      <c r="P749" s="872"/>
      <c r="Q749" s="872"/>
      <c r="R749" s="872"/>
      <c r="S749" s="872"/>
      <c r="T749" s="872"/>
      <c r="U749" s="872"/>
      <c r="V749" s="872"/>
      <c r="W749" s="872"/>
      <c r="X749" s="872"/>
      <c r="Y749" s="872"/>
      <c r="Z749" s="872"/>
    </row>
    <row r="750" ht="14.25" customHeight="1">
      <c r="A750" s="872"/>
      <c r="B750" s="872"/>
      <c r="C750" s="872"/>
      <c r="D750" s="872"/>
      <c r="E750" s="872"/>
      <c r="F750" s="872"/>
      <c r="G750" s="872"/>
      <c r="H750" s="872"/>
      <c r="I750" s="872"/>
      <c r="J750" s="872"/>
      <c r="K750" s="872"/>
      <c r="L750" s="872"/>
      <c r="M750" s="872"/>
      <c r="N750" s="872"/>
      <c r="O750" s="872"/>
      <c r="P750" s="872"/>
      <c r="Q750" s="872"/>
      <c r="R750" s="872"/>
      <c r="S750" s="872"/>
      <c r="T750" s="872"/>
      <c r="U750" s="872"/>
      <c r="V750" s="872"/>
      <c r="W750" s="872"/>
      <c r="X750" s="872"/>
      <c r="Y750" s="872"/>
      <c r="Z750" s="872"/>
    </row>
    <row r="751" ht="14.25" customHeight="1">
      <c r="A751" s="872"/>
      <c r="B751" s="872"/>
      <c r="C751" s="872"/>
      <c r="D751" s="872"/>
      <c r="E751" s="872"/>
      <c r="F751" s="872"/>
      <c r="G751" s="872"/>
      <c r="H751" s="872"/>
      <c r="I751" s="872"/>
      <c r="J751" s="872"/>
      <c r="K751" s="872"/>
      <c r="L751" s="872"/>
      <c r="M751" s="872"/>
      <c r="N751" s="872"/>
      <c r="O751" s="872"/>
      <c r="P751" s="872"/>
      <c r="Q751" s="872"/>
      <c r="R751" s="872"/>
      <c r="S751" s="872"/>
      <c r="T751" s="872"/>
      <c r="U751" s="872"/>
      <c r="V751" s="872"/>
      <c r="W751" s="872"/>
      <c r="X751" s="872"/>
      <c r="Y751" s="872"/>
      <c r="Z751" s="872"/>
    </row>
    <row r="752" ht="14.25" customHeight="1">
      <c r="A752" s="872"/>
      <c r="B752" s="872"/>
      <c r="C752" s="872"/>
      <c r="D752" s="872"/>
      <c r="E752" s="872"/>
      <c r="F752" s="872"/>
      <c r="G752" s="872"/>
      <c r="H752" s="872"/>
      <c r="I752" s="872"/>
      <c r="J752" s="872"/>
      <c r="K752" s="872"/>
      <c r="L752" s="872"/>
      <c r="M752" s="872"/>
      <c r="N752" s="872"/>
      <c r="O752" s="872"/>
      <c r="P752" s="872"/>
      <c r="Q752" s="872"/>
      <c r="R752" s="872"/>
      <c r="S752" s="872"/>
      <c r="T752" s="872"/>
      <c r="U752" s="872"/>
      <c r="V752" s="872"/>
      <c r="W752" s="872"/>
      <c r="X752" s="872"/>
      <c r="Y752" s="872"/>
      <c r="Z752" s="872"/>
    </row>
    <row r="753" ht="14.25" customHeight="1">
      <c r="A753" s="872"/>
      <c r="B753" s="872"/>
      <c r="C753" s="872"/>
      <c r="D753" s="872"/>
      <c r="E753" s="872"/>
      <c r="F753" s="872"/>
      <c r="G753" s="872"/>
      <c r="H753" s="872"/>
      <c r="I753" s="872"/>
      <c r="J753" s="872"/>
      <c r="K753" s="872"/>
      <c r="L753" s="872"/>
      <c r="M753" s="872"/>
      <c r="N753" s="872"/>
      <c r="O753" s="872"/>
      <c r="P753" s="872"/>
      <c r="Q753" s="872"/>
      <c r="R753" s="872"/>
      <c r="S753" s="872"/>
      <c r="T753" s="872"/>
      <c r="U753" s="872"/>
      <c r="V753" s="872"/>
      <c r="W753" s="872"/>
      <c r="X753" s="872"/>
      <c r="Y753" s="872"/>
      <c r="Z753" s="872"/>
    </row>
    <row r="754" ht="14.25" customHeight="1">
      <c r="A754" s="872"/>
      <c r="B754" s="872"/>
      <c r="C754" s="872"/>
      <c r="D754" s="872"/>
      <c r="E754" s="872"/>
      <c r="F754" s="872"/>
      <c r="G754" s="872"/>
      <c r="H754" s="872"/>
      <c r="I754" s="872"/>
      <c r="J754" s="872"/>
      <c r="K754" s="872"/>
      <c r="L754" s="872"/>
      <c r="M754" s="872"/>
      <c r="N754" s="872"/>
      <c r="O754" s="872"/>
      <c r="P754" s="872"/>
      <c r="Q754" s="872"/>
      <c r="R754" s="872"/>
      <c r="S754" s="872"/>
      <c r="T754" s="872"/>
      <c r="U754" s="872"/>
      <c r="V754" s="872"/>
      <c r="W754" s="872"/>
      <c r="X754" s="872"/>
      <c r="Y754" s="872"/>
      <c r="Z754" s="872"/>
    </row>
    <row r="755" ht="14.25" customHeight="1">
      <c r="A755" s="872"/>
      <c r="B755" s="872"/>
      <c r="C755" s="872"/>
      <c r="D755" s="872"/>
      <c r="E755" s="872"/>
      <c r="F755" s="872"/>
      <c r="G755" s="872"/>
      <c r="H755" s="872"/>
      <c r="I755" s="872"/>
      <c r="J755" s="872"/>
      <c r="K755" s="872"/>
      <c r="L755" s="872"/>
      <c r="M755" s="872"/>
      <c r="N755" s="872"/>
      <c r="O755" s="872"/>
      <c r="P755" s="872"/>
      <c r="Q755" s="872"/>
      <c r="R755" s="872"/>
      <c r="S755" s="872"/>
      <c r="T755" s="872"/>
      <c r="U755" s="872"/>
      <c r="V755" s="872"/>
      <c r="W755" s="872"/>
      <c r="X755" s="872"/>
      <c r="Y755" s="872"/>
      <c r="Z755" s="872"/>
    </row>
    <row r="756" ht="14.25" customHeight="1">
      <c r="A756" s="872"/>
      <c r="B756" s="872"/>
      <c r="C756" s="872"/>
      <c r="D756" s="872"/>
      <c r="E756" s="872"/>
      <c r="F756" s="872"/>
      <c r="G756" s="872"/>
      <c r="H756" s="872"/>
      <c r="I756" s="872"/>
      <c r="J756" s="872"/>
      <c r="K756" s="872"/>
      <c r="L756" s="872"/>
      <c r="M756" s="872"/>
      <c r="N756" s="872"/>
      <c r="O756" s="872"/>
      <c r="P756" s="872"/>
      <c r="Q756" s="872"/>
      <c r="R756" s="872"/>
      <c r="S756" s="872"/>
      <c r="T756" s="872"/>
      <c r="U756" s="872"/>
      <c r="V756" s="872"/>
      <c r="W756" s="872"/>
      <c r="X756" s="872"/>
      <c r="Y756" s="872"/>
      <c r="Z756" s="872"/>
    </row>
    <row r="757" ht="14.25" customHeight="1">
      <c r="A757" s="872"/>
      <c r="B757" s="872"/>
      <c r="C757" s="872"/>
      <c r="D757" s="872"/>
      <c r="E757" s="872"/>
      <c r="F757" s="872"/>
      <c r="G757" s="872"/>
      <c r="H757" s="872"/>
      <c r="I757" s="872"/>
      <c r="J757" s="872"/>
      <c r="K757" s="872"/>
      <c r="L757" s="872"/>
      <c r="M757" s="872"/>
      <c r="N757" s="872"/>
      <c r="O757" s="872"/>
      <c r="P757" s="872"/>
      <c r="Q757" s="872"/>
      <c r="R757" s="872"/>
      <c r="S757" s="872"/>
      <c r="T757" s="872"/>
      <c r="U757" s="872"/>
      <c r="V757" s="872"/>
      <c r="W757" s="872"/>
      <c r="X757" s="872"/>
      <c r="Y757" s="872"/>
      <c r="Z757" s="872"/>
    </row>
    <row r="758" ht="14.25" customHeight="1">
      <c r="A758" s="872"/>
      <c r="B758" s="872"/>
      <c r="C758" s="872"/>
      <c r="D758" s="872"/>
      <c r="E758" s="872"/>
      <c r="F758" s="872"/>
      <c r="G758" s="872"/>
      <c r="H758" s="872"/>
      <c r="I758" s="872"/>
      <c r="J758" s="872"/>
      <c r="K758" s="872"/>
      <c r="L758" s="872"/>
      <c r="M758" s="872"/>
      <c r="N758" s="872"/>
      <c r="O758" s="872"/>
      <c r="P758" s="872"/>
      <c r="Q758" s="872"/>
      <c r="R758" s="872"/>
      <c r="S758" s="872"/>
      <c r="T758" s="872"/>
      <c r="U758" s="872"/>
      <c r="V758" s="872"/>
      <c r="W758" s="872"/>
      <c r="X758" s="872"/>
      <c r="Y758" s="872"/>
      <c r="Z758" s="872"/>
    </row>
    <row r="759" ht="14.25" customHeight="1">
      <c r="A759" s="872"/>
      <c r="B759" s="872"/>
      <c r="C759" s="872"/>
      <c r="D759" s="872"/>
      <c r="E759" s="872"/>
      <c r="F759" s="872"/>
      <c r="G759" s="872"/>
      <c r="H759" s="872"/>
      <c r="I759" s="872"/>
      <c r="J759" s="872"/>
      <c r="K759" s="872"/>
      <c r="L759" s="872"/>
      <c r="M759" s="872"/>
      <c r="N759" s="872"/>
      <c r="O759" s="872"/>
      <c r="P759" s="872"/>
      <c r="Q759" s="872"/>
      <c r="R759" s="872"/>
      <c r="S759" s="872"/>
      <c r="T759" s="872"/>
      <c r="U759" s="872"/>
      <c r="V759" s="872"/>
      <c r="W759" s="872"/>
      <c r="X759" s="872"/>
      <c r="Y759" s="872"/>
      <c r="Z759" s="872"/>
    </row>
    <row r="760" ht="14.25" customHeight="1">
      <c r="A760" s="872"/>
      <c r="B760" s="872"/>
      <c r="C760" s="872"/>
      <c r="D760" s="872"/>
      <c r="E760" s="872"/>
      <c r="F760" s="872"/>
      <c r="G760" s="872"/>
      <c r="H760" s="872"/>
      <c r="I760" s="872"/>
      <c r="J760" s="872"/>
      <c r="K760" s="872"/>
      <c r="L760" s="872"/>
      <c r="M760" s="872"/>
      <c r="N760" s="872"/>
      <c r="O760" s="872"/>
      <c r="P760" s="872"/>
      <c r="Q760" s="872"/>
      <c r="R760" s="872"/>
      <c r="S760" s="872"/>
      <c r="T760" s="872"/>
      <c r="U760" s="872"/>
      <c r="V760" s="872"/>
      <c r="W760" s="872"/>
      <c r="X760" s="872"/>
      <c r="Y760" s="872"/>
      <c r="Z760" s="872"/>
    </row>
    <row r="761" ht="14.25" customHeight="1">
      <c r="A761" s="872"/>
      <c r="B761" s="872"/>
      <c r="C761" s="872"/>
      <c r="D761" s="872"/>
      <c r="E761" s="872"/>
      <c r="F761" s="872"/>
      <c r="G761" s="872"/>
      <c r="H761" s="872"/>
      <c r="I761" s="872"/>
      <c r="J761" s="872"/>
      <c r="K761" s="872"/>
      <c r="L761" s="872"/>
      <c r="M761" s="872"/>
      <c r="N761" s="872"/>
      <c r="O761" s="872"/>
      <c r="P761" s="872"/>
      <c r="Q761" s="872"/>
      <c r="R761" s="872"/>
      <c r="S761" s="872"/>
      <c r="T761" s="872"/>
      <c r="U761" s="872"/>
      <c r="V761" s="872"/>
      <c r="W761" s="872"/>
      <c r="X761" s="872"/>
      <c r="Y761" s="872"/>
      <c r="Z761" s="872"/>
    </row>
    <row r="762" ht="14.25" customHeight="1">
      <c r="A762" s="872"/>
      <c r="B762" s="872"/>
      <c r="C762" s="872"/>
      <c r="D762" s="872"/>
      <c r="E762" s="872"/>
      <c r="F762" s="872"/>
      <c r="G762" s="872"/>
      <c r="H762" s="872"/>
      <c r="I762" s="872"/>
      <c r="J762" s="872"/>
      <c r="K762" s="872"/>
      <c r="L762" s="872"/>
      <c r="M762" s="872"/>
      <c r="N762" s="872"/>
      <c r="O762" s="872"/>
      <c r="P762" s="872"/>
      <c r="Q762" s="872"/>
      <c r="R762" s="872"/>
      <c r="S762" s="872"/>
      <c r="T762" s="872"/>
      <c r="U762" s="872"/>
      <c r="V762" s="872"/>
      <c r="W762" s="872"/>
      <c r="X762" s="872"/>
      <c r="Y762" s="872"/>
      <c r="Z762" s="872"/>
    </row>
    <row r="763" ht="14.25" customHeight="1">
      <c r="A763" s="872"/>
      <c r="B763" s="872"/>
      <c r="C763" s="872"/>
      <c r="D763" s="872"/>
      <c r="E763" s="872"/>
      <c r="F763" s="872"/>
      <c r="G763" s="872"/>
      <c r="H763" s="872"/>
      <c r="I763" s="872"/>
      <c r="J763" s="872"/>
      <c r="K763" s="872"/>
      <c r="L763" s="872"/>
      <c r="M763" s="872"/>
      <c r="N763" s="872"/>
      <c r="O763" s="872"/>
      <c r="P763" s="872"/>
      <c r="Q763" s="872"/>
      <c r="R763" s="872"/>
      <c r="S763" s="872"/>
      <c r="T763" s="872"/>
      <c r="U763" s="872"/>
      <c r="V763" s="872"/>
      <c r="W763" s="872"/>
      <c r="X763" s="872"/>
      <c r="Y763" s="872"/>
      <c r="Z763" s="872"/>
    </row>
    <row r="764" ht="14.25" customHeight="1">
      <c r="A764" s="872"/>
      <c r="B764" s="872"/>
      <c r="C764" s="872"/>
      <c r="D764" s="872"/>
      <c r="E764" s="872"/>
      <c r="F764" s="872"/>
      <c r="G764" s="872"/>
      <c r="H764" s="872"/>
      <c r="I764" s="872"/>
      <c r="J764" s="872"/>
      <c r="K764" s="872"/>
      <c r="L764" s="872"/>
      <c r="M764" s="872"/>
      <c r="N764" s="872"/>
      <c r="O764" s="872"/>
      <c r="P764" s="872"/>
      <c r="Q764" s="872"/>
      <c r="R764" s="872"/>
      <c r="S764" s="872"/>
      <c r="T764" s="872"/>
      <c r="U764" s="872"/>
      <c r="V764" s="872"/>
      <c r="W764" s="872"/>
      <c r="X764" s="872"/>
      <c r="Y764" s="872"/>
      <c r="Z764" s="872"/>
    </row>
    <row r="765" ht="14.25" customHeight="1">
      <c r="A765" s="872"/>
      <c r="B765" s="872"/>
      <c r="C765" s="872"/>
      <c r="D765" s="872"/>
      <c r="E765" s="872"/>
      <c r="F765" s="872"/>
      <c r="G765" s="872"/>
      <c r="H765" s="872"/>
      <c r="I765" s="872"/>
      <c r="J765" s="872"/>
      <c r="K765" s="872"/>
      <c r="L765" s="872"/>
      <c r="M765" s="872"/>
      <c r="N765" s="872"/>
      <c r="O765" s="872"/>
      <c r="P765" s="872"/>
      <c r="Q765" s="872"/>
      <c r="R765" s="872"/>
      <c r="S765" s="872"/>
      <c r="T765" s="872"/>
      <c r="U765" s="872"/>
      <c r="V765" s="872"/>
      <c r="W765" s="872"/>
      <c r="X765" s="872"/>
      <c r="Y765" s="872"/>
      <c r="Z765" s="872"/>
    </row>
    <row r="766" ht="14.25" customHeight="1">
      <c r="A766" s="872"/>
      <c r="B766" s="872"/>
      <c r="C766" s="872"/>
      <c r="D766" s="872"/>
      <c r="E766" s="872"/>
      <c r="F766" s="872"/>
      <c r="G766" s="872"/>
      <c r="H766" s="872"/>
      <c r="I766" s="872"/>
      <c r="J766" s="872"/>
      <c r="K766" s="872"/>
      <c r="L766" s="872"/>
      <c r="M766" s="872"/>
      <c r="N766" s="872"/>
      <c r="O766" s="872"/>
      <c r="P766" s="872"/>
      <c r="Q766" s="872"/>
      <c r="R766" s="872"/>
      <c r="S766" s="872"/>
      <c r="T766" s="872"/>
      <c r="U766" s="872"/>
      <c r="V766" s="872"/>
      <c r="W766" s="872"/>
      <c r="X766" s="872"/>
      <c r="Y766" s="872"/>
      <c r="Z766" s="872"/>
    </row>
    <row r="767" ht="14.25" customHeight="1">
      <c r="A767" s="872"/>
      <c r="B767" s="872"/>
      <c r="C767" s="872"/>
      <c r="D767" s="872"/>
      <c r="E767" s="872"/>
      <c r="F767" s="872"/>
      <c r="G767" s="872"/>
      <c r="H767" s="872"/>
      <c r="I767" s="872"/>
      <c r="J767" s="872"/>
      <c r="K767" s="872"/>
      <c r="L767" s="872"/>
      <c r="M767" s="872"/>
      <c r="N767" s="872"/>
      <c r="O767" s="872"/>
      <c r="P767" s="872"/>
      <c r="Q767" s="872"/>
      <c r="R767" s="872"/>
      <c r="S767" s="872"/>
      <c r="T767" s="872"/>
      <c r="U767" s="872"/>
      <c r="V767" s="872"/>
      <c r="W767" s="872"/>
      <c r="X767" s="872"/>
      <c r="Y767" s="872"/>
      <c r="Z767" s="872"/>
    </row>
    <row r="768" ht="14.25" customHeight="1">
      <c r="A768" s="872"/>
      <c r="B768" s="872"/>
      <c r="C768" s="872"/>
      <c r="D768" s="872"/>
      <c r="E768" s="872"/>
      <c r="F768" s="872"/>
      <c r="G768" s="872"/>
      <c r="H768" s="872"/>
      <c r="I768" s="872"/>
      <c r="J768" s="872"/>
      <c r="K768" s="872"/>
      <c r="L768" s="872"/>
      <c r="M768" s="872"/>
      <c r="N768" s="872"/>
      <c r="O768" s="872"/>
      <c r="P768" s="872"/>
      <c r="Q768" s="872"/>
      <c r="R768" s="872"/>
      <c r="S768" s="872"/>
      <c r="T768" s="872"/>
      <c r="U768" s="872"/>
      <c r="V768" s="872"/>
      <c r="W768" s="872"/>
      <c r="X768" s="872"/>
      <c r="Y768" s="872"/>
      <c r="Z768" s="872"/>
    </row>
    <row r="769" ht="14.25" customHeight="1">
      <c r="A769" s="872"/>
      <c r="B769" s="872"/>
      <c r="C769" s="872"/>
      <c r="D769" s="872"/>
      <c r="E769" s="872"/>
      <c r="F769" s="872"/>
      <c r="G769" s="872"/>
      <c r="H769" s="872"/>
      <c r="I769" s="872"/>
      <c r="J769" s="872"/>
      <c r="K769" s="872"/>
      <c r="L769" s="872"/>
      <c r="M769" s="872"/>
      <c r="N769" s="872"/>
      <c r="O769" s="872"/>
      <c r="P769" s="872"/>
      <c r="Q769" s="872"/>
      <c r="R769" s="872"/>
      <c r="S769" s="872"/>
      <c r="T769" s="872"/>
      <c r="U769" s="872"/>
      <c r="V769" s="872"/>
      <c r="W769" s="872"/>
      <c r="X769" s="872"/>
      <c r="Y769" s="872"/>
      <c r="Z769" s="872"/>
    </row>
    <row r="770" ht="14.25" customHeight="1">
      <c r="A770" s="872"/>
      <c r="B770" s="872"/>
      <c r="C770" s="872"/>
      <c r="D770" s="872"/>
      <c r="E770" s="872"/>
      <c r="F770" s="872"/>
      <c r="G770" s="872"/>
      <c r="H770" s="872"/>
      <c r="I770" s="872"/>
      <c r="J770" s="872"/>
      <c r="K770" s="872"/>
      <c r="L770" s="872"/>
      <c r="M770" s="872"/>
      <c r="N770" s="872"/>
      <c r="O770" s="872"/>
      <c r="P770" s="872"/>
      <c r="Q770" s="872"/>
      <c r="R770" s="872"/>
      <c r="S770" s="872"/>
      <c r="T770" s="872"/>
      <c r="U770" s="872"/>
      <c r="V770" s="872"/>
      <c r="W770" s="872"/>
      <c r="X770" s="872"/>
      <c r="Y770" s="872"/>
      <c r="Z770" s="872"/>
    </row>
    <row r="771" ht="14.25" customHeight="1">
      <c r="A771" s="872"/>
      <c r="B771" s="872"/>
      <c r="C771" s="872"/>
      <c r="D771" s="872"/>
      <c r="E771" s="872"/>
      <c r="F771" s="872"/>
      <c r="G771" s="872"/>
      <c r="H771" s="872"/>
      <c r="I771" s="872"/>
      <c r="J771" s="872"/>
      <c r="K771" s="872"/>
      <c r="L771" s="872"/>
      <c r="M771" s="872"/>
      <c r="N771" s="872"/>
      <c r="O771" s="872"/>
      <c r="P771" s="872"/>
      <c r="Q771" s="872"/>
      <c r="R771" s="872"/>
      <c r="S771" s="872"/>
      <c r="T771" s="872"/>
      <c r="U771" s="872"/>
      <c r="V771" s="872"/>
      <c r="W771" s="872"/>
      <c r="X771" s="872"/>
      <c r="Y771" s="872"/>
      <c r="Z771" s="872"/>
    </row>
    <row r="772" ht="14.25" customHeight="1">
      <c r="A772" s="872"/>
      <c r="B772" s="872"/>
      <c r="C772" s="872"/>
      <c r="D772" s="872"/>
      <c r="E772" s="872"/>
      <c r="F772" s="872"/>
      <c r="G772" s="872"/>
      <c r="H772" s="872"/>
      <c r="I772" s="872"/>
      <c r="J772" s="872"/>
      <c r="K772" s="872"/>
      <c r="L772" s="872"/>
      <c r="M772" s="872"/>
      <c r="N772" s="872"/>
      <c r="O772" s="872"/>
      <c r="P772" s="872"/>
      <c r="Q772" s="872"/>
      <c r="R772" s="872"/>
      <c r="S772" s="872"/>
      <c r="T772" s="872"/>
      <c r="U772" s="872"/>
      <c r="V772" s="872"/>
      <c r="W772" s="872"/>
      <c r="X772" s="872"/>
      <c r="Y772" s="872"/>
      <c r="Z772" s="872"/>
    </row>
    <row r="773" ht="14.25" customHeight="1">
      <c r="A773" s="872"/>
      <c r="B773" s="872"/>
      <c r="C773" s="872"/>
      <c r="D773" s="872"/>
      <c r="E773" s="872"/>
      <c r="F773" s="872"/>
      <c r="G773" s="872"/>
      <c r="H773" s="872"/>
      <c r="I773" s="872"/>
      <c r="J773" s="872"/>
      <c r="K773" s="872"/>
      <c r="L773" s="872"/>
      <c r="M773" s="872"/>
      <c r="N773" s="872"/>
      <c r="O773" s="872"/>
      <c r="P773" s="872"/>
      <c r="Q773" s="872"/>
      <c r="R773" s="872"/>
      <c r="S773" s="872"/>
      <c r="T773" s="872"/>
      <c r="U773" s="872"/>
      <c r="V773" s="872"/>
      <c r="W773" s="872"/>
      <c r="X773" s="872"/>
      <c r="Y773" s="872"/>
      <c r="Z773" s="872"/>
    </row>
    <row r="774" ht="14.25" customHeight="1">
      <c r="A774" s="872"/>
      <c r="B774" s="872"/>
      <c r="C774" s="872"/>
      <c r="D774" s="872"/>
      <c r="E774" s="872"/>
      <c r="F774" s="872"/>
      <c r="G774" s="872"/>
      <c r="H774" s="872"/>
      <c r="I774" s="872"/>
      <c r="J774" s="872"/>
      <c r="K774" s="872"/>
      <c r="L774" s="872"/>
      <c r="M774" s="872"/>
      <c r="N774" s="872"/>
      <c r="O774" s="872"/>
      <c r="P774" s="872"/>
      <c r="Q774" s="872"/>
      <c r="R774" s="872"/>
      <c r="S774" s="872"/>
      <c r="T774" s="872"/>
      <c r="U774" s="872"/>
      <c r="V774" s="872"/>
      <c r="W774" s="872"/>
      <c r="X774" s="872"/>
      <c r="Y774" s="872"/>
      <c r="Z774" s="872"/>
    </row>
    <row r="775" ht="14.25" customHeight="1">
      <c r="A775" s="872"/>
      <c r="B775" s="872"/>
      <c r="C775" s="872"/>
      <c r="D775" s="872"/>
      <c r="E775" s="872"/>
      <c r="F775" s="872"/>
      <c r="G775" s="872"/>
      <c r="H775" s="872"/>
      <c r="I775" s="872"/>
      <c r="J775" s="872"/>
      <c r="K775" s="872"/>
      <c r="L775" s="872"/>
      <c r="M775" s="872"/>
      <c r="N775" s="872"/>
      <c r="O775" s="872"/>
      <c r="P775" s="872"/>
      <c r="Q775" s="872"/>
      <c r="R775" s="872"/>
      <c r="S775" s="872"/>
      <c r="T775" s="872"/>
      <c r="U775" s="872"/>
      <c r="V775" s="872"/>
      <c r="W775" s="872"/>
      <c r="X775" s="872"/>
      <c r="Y775" s="872"/>
      <c r="Z775" s="872"/>
    </row>
    <row r="776" ht="14.25" customHeight="1">
      <c r="A776" s="872"/>
      <c r="B776" s="872"/>
      <c r="C776" s="872"/>
      <c r="D776" s="872"/>
      <c r="E776" s="872"/>
      <c r="F776" s="872"/>
      <c r="G776" s="872"/>
      <c r="H776" s="872"/>
      <c r="I776" s="872"/>
      <c r="J776" s="872"/>
      <c r="K776" s="872"/>
      <c r="L776" s="872"/>
      <c r="M776" s="872"/>
      <c r="N776" s="872"/>
      <c r="O776" s="872"/>
      <c r="P776" s="872"/>
      <c r="Q776" s="872"/>
      <c r="R776" s="872"/>
      <c r="S776" s="872"/>
      <c r="T776" s="872"/>
      <c r="U776" s="872"/>
      <c r="V776" s="872"/>
      <c r="W776" s="872"/>
      <c r="X776" s="872"/>
      <c r="Y776" s="872"/>
      <c r="Z776" s="872"/>
    </row>
    <row r="777" ht="14.25" customHeight="1">
      <c r="A777" s="872"/>
      <c r="B777" s="872"/>
      <c r="C777" s="872"/>
      <c r="D777" s="872"/>
      <c r="E777" s="872"/>
      <c r="F777" s="872"/>
      <c r="G777" s="872"/>
      <c r="H777" s="872"/>
      <c r="I777" s="872"/>
      <c r="J777" s="872"/>
      <c r="K777" s="872"/>
      <c r="L777" s="872"/>
      <c r="M777" s="872"/>
      <c r="N777" s="872"/>
      <c r="O777" s="872"/>
      <c r="P777" s="872"/>
      <c r="Q777" s="872"/>
      <c r="R777" s="872"/>
      <c r="S777" s="872"/>
      <c r="T777" s="872"/>
      <c r="U777" s="872"/>
      <c r="V777" s="872"/>
      <c r="W777" s="872"/>
      <c r="X777" s="872"/>
      <c r="Y777" s="872"/>
      <c r="Z777" s="872"/>
    </row>
    <row r="778" ht="14.25" customHeight="1">
      <c r="A778" s="872"/>
      <c r="B778" s="872"/>
      <c r="C778" s="872"/>
      <c r="D778" s="872"/>
      <c r="E778" s="872"/>
      <c r="F778" s="872"/>
      <c r="G778" s="872"/>
      <c r="H778" s="872"/>
      <c r="I778" s="872"/>
      <c r="J778" s="872"/>
      <c r="K778" s="872"/>
      <c r="L778" s="872"/>
      <c r="M778" s="872"/>
      <c r="N778" s="872"/>
      <c r="O778" s="872"/>
      <c r="P778" s="872"/>
      <c r="Q778" s="872"/>
      <c r="R778" s="872"/>
      <c r="S778" s="872"/>
      <c r="T778" s="872"/>
      <c r="U778" s="872"/>
      <c r="V778" s="872"/>
      <c r="W778" s="872"/>
      <c r="X778" s="872"/>
      <c r="Y778" s="872"/>
      <c r="Z778" s="872"/>
    </row>
    <row r="779" ht="14.25" customHeight="1">
      <c r="A779" s="872"/>
      <c r="B779" s="872"/>
      <c r="C779" s="872"/>
      <c r="D779" s="872"/>
      <c r="E779" s="872"/>
      <c r="F779" s="872"/>
      <c r="G779" s="872"/>
      <c r="H779" s="872"/>
      <c r="I779" s="872"/>
      <c r="J779" s="872"/>
      <c r="K779" s="872"/>
      <c r="L779" s="872"/>
      <c r="M779" s="872"/>
      <c r="N779" s="872"/>
      <c r="O779" s="872"/>
      <c r="P779" s="872"/>
      <c r="Q779" s="872"/>
      <c r="R779" s="872"/>
      <c r="S779" s="872"/>
      <c r="T779" s="872"/>
      <c r="U779" s="872"/>
      <c r="V779" s="872"/>
      <c r="W779" s="872"/>
      <c r="X779" s="872"/>
      <c r="Y779" s="872"/>
      <c r="Z779" s="872"/>
    </row>
    <row r="780" ht="14.25" customHeight="1">
      <c r="A780" s="872"/>
      <c r="B780" s="872"/>
      <c r="C780" s="872"/>
      <c r="D780" s="872"/>
      <c r="E780" s="872"/>
      <c r="F780" s="872"/>
      <c r="G780" s="872"/>
      <c r="H780" s="872"/>
      <c r="I780" s="872"/>
      <c r="J780" s="872"/>
      <c r="K780" s="872"/>
      <c r="L780" s="872"/>
      <c r="M780" s="872"/>
      <c r="N780" s="872"/>
      <c r="O780" s="872"/>
      <c r="P780" s="872"/>
      <c r="Q780" s="872"/>
      <c r="R780" s="872"/>
      <c r="S780" s="872"/>
      <c r="T780" s="872"/>
      <c r="U780" s="872"/>
      <c r="V780" s="872"/>
      <c r="W780" s="872"/>
      <c r="X780" s="872"/>
      <c r="Y780" s="872"/>
      <c r="Z780" s="872"/>
    </row>
    <row r="781" ht="14.25" customHeight="1">
      <c r="A781" s="872"/>
      <c r="B781" s="872"/>
      <c r="C781" s="872"/>
      <c r="D781" s="872"/>
      <c r="E781" s="872"/>
      <c r="F781" s="872"/>
      <c r="G781" s="872"/>
      <c r="H781" s="872"/>
      <c r="I781" s="872"/>
      <c r="J781" s="872"/>
      <c r="K781" s="872"/>
      <c r="L781" s="872"/>
      <c r="M781" s="872"/>
      <c r="N781" s="872"/>
      <c r="O781" s="872"/>
      <c r="P781" s="872"/>
      <c r="Q781" s="872"/>
      <c r="R781" s="872"/>
      <c r="S781" s="872"/>
      <c r="T781" s="872"/>
      <c r="U781" s="872"/>
      <c r="V781" s="872"/>
      <c r="W781" s="872"/>
      <c r="X781" s="872"/>
      <c r="Y781" s="872"/>
      <c r="Z781" s="872"/>
    </row>
    <row r="782" ht="14.25" customHeight="1">
      <c r="A782" s="872"/>
      <c r="B782" s="872"/>
      <c r="C782" s="872"/>
      <c r="D782" s="872"/>
      <c r="E782" s="872"/>
      <c r="F782" s="872"/>
      <c r="G782" s="872"/>
      <c r="H782" s="872"/>
      <c r="I782" s="872"/>
      <c r="J782" s="872"/>
      <c r="K782" s="872"/>
      <c r="L782" s="872"/>
      <c r="M782" s="872"/>
      <c r="N782" s="872"/>
      <c r="O782" s="872"/>
      <c r="P782" s="872"/>
      <c r="Q782" s="872"/>
      <c r="R782" s="872"/>
      <c r="S782" s="872"/>
      <c r="T782" s="872"/>
      <c r="U782" s="872"/>
      <c r="V782" s="872"/>
      <c r="W782" s="872"/>
      <c r="X782" s="872"/>
      <c r="Y782" s="872"/>
      <c r="Z782" s="872"/>
    </row>
    <row r="783" ht="14.25" customHeight="1">
      <c r="A783" s="872"/>
      <c r="B783" s="872"/>
      <c r="C783" s="872"/>
      <c r="D783" s="872"/>
      <c r="E783" s="872"/>
      <c r="F783" s="872"/>
      <c r="G783" s="872"/>
      <c r="H783" s="872"/>
      <c r="I783" s="872"/>
      <c r="J783" s="872"/>
      <c r="K783" s="872"/>
      <c r="L783" s="872"/>
      <c r="M783" s="872"/>
      <c r="N783" s="872"/>
      <c r="O783" s="872"/>
      <c r="P783" s="872"/>
      <c r="Q783" s="872"/>
      <c r="R783" s="872"/>
      <c r="S783" s="872"/>
      <c r="T783" s="872"/>
      <c r="U783" s="872"/>
      <c r="V783" s="872"/>
      <c r="W783" s="872"/>
      <c r="X783" s="872"/>
      <c r="Y783" s="872"/>
      <c r="Z783" s="872"/>
    </row>
    <row r="784" ht="14.25" customHeight="1">
      <c r="A784" s="872"/>
      <c r="B784" s="872"/>
      <c r="C784" s="872"/>
      <c r="D784" s="872"/>
      <c r="E784" s="872"/>
      <c r="F784" s="872"/>
      <c r="G784" s="872"/>
      <c r="H784" s="872"/>
      <c r="I784" s="872"/>
      <c r="J784" s="872"/>
      <c r="K784" s="872"/>
      <c r="L784" s="872"/>
      <c r="M784" s="872"/>
      <c r="N784" s="872"/>
      <c r="O784" s="872"/>
      <c r="P784" s="872"/>
      <c r="Q784" s="872"/>
      <c r="R784" s="872"/>
      <c r="S784" s="872"/>
      <c r="T784" s="872"/>
      <c r="U784" s="872"/>
      <c r="V784" s="872"/>
      <c r="W784" s="872"/>
      <c r="X784" s="872"/>
      <c r="Y784" s="872"/>
      <c r="Z784" s="872"/>
    </row>
    <row r="785" ht="14.25" customHeight="1">
      <c r="A785" s="872"/>
      <c r="B785" s="872"/>
      <c r="C785" s="872"/>
      <c r="D785" s="872"/>
      <c r="E785" s="872"/>
      <c r="F785" s="872"/>
      <c r="G785" s="872"/>
      <c r="H785" s="872"/>
      <c r="I785" s="872"/>
      <c r="J785" s="872"/>
      <c r="K785" s="872"/>
      <c r="L785" s="872"/>
      <c r="M785" s="872"/>
      <c r="N785" s="872"/>
      <c r="O785" s="872"/>
      <c r="P785" s="872"/>
      <c r="Q785" s="872"/>
      <c r="R785" s="872"/>
      <c r="S785" s="872"/>
      <c r="T785" s="872"/>
      <c r="U785" s="872"/>
      <c r="V785" s="872"/>
      <c r="W785" s="872"/>
      <c r="X785" s="872"/>
      <c r="Y785" s="872"/>
      <c r="Z785" s="872"/>
    </row>
    <row r="786" ht="14.25" customHeight="1">
      <c r="A786" s="872"/>
      <c r="B786" s="872"/>
      <c r="C786" s="872"/>
      <c r="D786" s="872"/>
      <c r="E786" s="872"/>
      <c r="F786" s="872"/>
      <c r="G786" s="872"/>
      <c r="H786" s="872"/>
      <c r="I786" s="872"/>
      <c r="J786" s="872"/>
      <c r="K786" s="872"/>
      <c r="L786" s="872"/>
      <c r="M786" s="872"/>
      <c r="N786" s="872"/>
      <c r="O786" s="872"/>
      <c r="P786" s="872"/>
      <c r="Q786" s="872"/>
      <c r="R786" s="872"/>
      <c r="S786" s="872"/>
      <c r="T786" s="872"/>
      <c r="U786" s="872"/>
      <c r="V786" s="872"/>
      <c r="W786" s="872"/>
      <c r="X786" s="872"/>
      <c r="Y786" s="872"/>
      <c r="Z786" s="872"/>
    </row>
    <row r="787" ht="14.25" customHeight="1">
      <c r="A787" s="872"/>
      <c r="B787" s="872"/>
      <c r="C787" s="872"/>
      <c r="D787" s="872"/>
      <c r="E787" s="872"/>
      <c r="F787" s="872"/>
      <c r="G787" s="872"/>
      <c r="H787" s="872"/>
      <c r="I787" s="872"/>
      <c r="J787" s="872"/>
      <c r="K787" s="872"/>
      <c r="L787" s="872"/>
      <c r="M787" s="872"/>
      <c r="N787" s="872"/>
      <c r="O787" s="872"/>
      <c r="P787" s="872"/>
      <c r="Q787" s="872"/>
      <c r="R787" s="872"/>
      <c r="S787" s="872"/>
      <c r="T787" s="872"/>
      <c r="U787" s="872"/>
      <c r="V787" s="872"/>
      <c r="W787" s="872"/>
      <c r="X787" s="872"/>
      <c r="Y787" s="872"/>
      <c r="Z787" s="872"/>
    </row>
    <row r="788" ht="14.25" customHeight="1">
      <c r="A788" s="872"/>
      <c r="B788" s="872"/>
      <c r="C788" s="872"/>
      <c r="D788" s="872"/>
      <c r="E788" s="872"/>
      <c r="F788" s="872"/>
      <c r="G788" s="872"/>
      <c r="H788" s="872"/>
      <c r="I788" s="872"/>
      <c r="J788" s="872"/>
      <c r="K788" s="872"/>
      <c r="L788" s="872"/>
      <c r="M788" s="872"/>
      <c r="N788" s="872"/>
      <c r="O788" s="872"/>
      <c r="P788" s="872"/>
      <c r="Q788" s="872"/>
      <c r="R788" s="872"/>
      <c r="S788" s="872"/>
      <c r="T788" s="872"/>
      <c r="U788" s="872"/>
      <c r="V788" s="872"/>
      <c r="W788" s="872"/>
      <c r="X788" s="872"/>
      <c r="Y788" s="872"/>
      <c r="Z788" s="872"/>
    </row>
    <row r="789" ht="14.25" customHeight="1">
      <c r="A789" s="872"/>
      <c r="B789" s="872"/>
      <c r="C789" s="872"/>
      <c r="D789" s="872"/>
      <c r="E789" s="872"/>
      <c r="F789" s="872"/>
      <c r="G789" s="872"/>
      <c r="H789" s="872"/>
      <c r="I789" s="872"/>
      <c r="J789" s="872"/>
      <c r="K789" s="872"/>
      <c r="L789" s="872"/>
      <c r="M789" s="872"/>
      <c r="N789" s="872"/>
      <c r="O789" s="872"/>
      <c r="P789" s="872"/>
      <c r="Q789" s="872"/>
      <c r="R789" s="872"/>
      <c r="S789" s="872"/>
      <c r="T789" s="872"/>
      <c r="U789" s="872"/>
      <c r="V789" s="872"/>
      <c r="W789" s="872"/>
      <c r="X789" s="872"/>
      <c r="Y789" s="872"/>
      <c r="Z789" s="872"/>
    </row>
    <row r="790" ht="14.25" customHeight="1">
      <c r="A790" s="872"/>
      <c r="B790" s="872"/>
      <c r="C790" s="872"/>
      <c r="D790" s="872"/>
      <c r="E790" s="872"/>
      <c r="F790" s="872"/>
      <c r="G790" s="872"/>
      <c r="H790" s="872"/>
      <c r="I790" s="872"/>
      <c r="J790" s="872"/>
      <c r="K790" s="872"/>
      <c r="L790" s="872"/>
      <c r="M790" s="872"/>
      <c r="N790" s="872"/>
      <c r="O790" s="872"/>
      <c r="P790" s="872"/>
      <c r="Q790" s="872"/>
      <c r="R790" s="872"/>
      <c r="S790" s="872"/>
      <c r="T790" s="872"/>
      <c r="U790" s="872"/>
      <c r="V790" s="872"/>
      <c r="W790" s="872"/>
      <c r="X790" s="872"/>
      <c r="Y790" s="872"/>
      <c r="Z790" s="872"/>
    </row>
    <row r="791" ht="14.25" customHeight="1">
      <c r="A791" s="872"/>
      <c r="B791" s="872"/>
      <c r="C791" s="872"/>
      <c r="D791" s="872"/>
      <c r="E791" s="872"/>
      <c r="F791" s="872"/>
      <c r="G791" s="872"/>
      <c r="H791" s="872"/>
      <c r="I791" s="872"/>
      <c r="J791" s="872"/>
      <c r="K791" s="872"/>
      <c r="L791" s="872"/>
      <c r="M791" s="872"/>
      <c r="N791" s="872"/>
      <c r="O791" s="872"/>
      <c r="P791" s="872"/>
      <c r="Q791" s="872"/>
      <c r="R791" s="872"/>
      <c r="S791" s="872"/>
      <c r="T791" s="872"/>
      <c r="U791" s="872"/>
      <c r="V791" s="872"/>
      <c r="W791" s="872"/>
      <c r="X791" s="872"/>
      <c r="Y791" s="872"/>
      <c r="Z791" s="872"/>
    </row>
    <row r="792" ht="14.25" customHeight="1">
      <c r="A792" s="872"/>
      <c r="B792" s="872"/>
      <c r="C792" s="872"/>
      <c r="D792" s="872"/>
      <c r="E792" s="872"/>
      <c r="F792" s="872"/>
      <c r="G792" s="872"/>
      <c r="H792" s="872"/>
      <c r="I792" s="872"/>
      <c r="J792" s="872"/>
      <c r="K792" s="872"/>
      <c r="L792" s="872"/>
      <c r="M792" s="872"/>
      <c r="N792" s="872"/>
      <c r="O792" s="872"/>
      <c r="P792" s="872"/>
      <c r="Q792" s="872"/>
      <c r="R792" s="872"/>
      <c r="S792" s="872"/>
      <c r="T792" s="872"/>
      <c r="U792" s="872"/>
      <c r="V792" s="872"/>
      <c r="W792" s="872"/>
      <c r="X792" s="872"/>
      <c r="Y792" s="872"/>
      <c r="Z792" s="872"/>
    </row>
    <row r="793" ht="14.25" customHeight="1">
      <c r="A793" s="872"/>
      <c r="B793" s="872"/>
      <c r="C793" s="872"/>
      <c r="D793" s="872"/>
      <c r="E793" s="872"/>
      <c r="F793" s="872"/>
      <c r="G793" s="872"/>
      <c r="H793" s="872"/>
      <c r="I793" s="872"/>
      <c r="J793" s="872"/>
      <c r="K793" s="872"/>
      <c r="L793" s="872"/>
      <c r="M793" s="872"/>
      <c r="N793" s="872"/>
      <c r="O793" s="872"/>
      <c r="P793" s="872"/>
      <c r="Q793" s="872"/>
      <c r="R793" s="872"/>
      <c r="S793" s="872"/>
      <c r="T793" s="872"/>
      <c r="U793" s="872"/>
      <c r="V793" s="872"/>
      <c r="W793" s="872"/>
      <c r="X793" s="872"/>
      <c r="Y793" s="872"/>
      <c r="Z793" s="872"/>
    </row>
    <row r="794" ht="14.25" customHeight="1">
      <c r="A794" s="872"/>
      <c r="B794" s="872"/>
      <c r="C794" s="872"/>
      <c r="D794" s="872"/>
      <c r="E794" s="872"/>
      <c r="F794" s="872"/>
      <c r="G794" s="872"/>
      <c r="H794" s="872"/>
      <c r="I794" s="872"/>
      <c r="J794" s="872"/>
      <c r="K794" s="872"/>
      <c r="L794" s="872"/>
      <c r="M794" s="872"/>
      <c r="N794" s="872"/>
      <c r="O794" s="872"/>
      <c r="P794" s="872"/>
      <c r="Q794" s="872"/>
      <c r="R794" s="872"/>
      <c r="S794" s="872"/>
      <c r="T794" s="872"/>
      <c r="U794" s="872"/>
      <c r="V794" s="872"/>
      <c r="W794" s="872"/>
      <c r="X794" s="872"/>
      <c r="Y794" s="872"/>
      <c r="Z794" s="872"/>
    </row>
    <row r="795" ht="14.25" customHeight="1">
      <c r="A795" s="872"/>
      <c r="B795" s="872"/>
      <c r="C795" s="872"/>
      <c r="D795" s="872"/>
      <c r="E795" s="872"/>
      <c r="F795" s="872"/>
      <c r="G795" s="872"/>
      <c r="H795" s="872"/>
      <c r="I795" s="872"/>
      <c r="J795" s="872"/>
      <c r="K795" s="872"/>
      <c r="L795" s="872"/>
      <c r="M795" s="872"/>
      <c r="N795" s="872"/>
      <c r="O795" s="872"/>
      <c r="P795" s="872"/>
      <c r="Q795" s="872"/>
      <c r="R795" s="872"/>
      <c r="S795" s="872"/>
      <c r="T795" s="872"/>
      <c r="U795" s="872"/>
      <c r="V795" s="872"/>
      <c r="W795" s="872"/>
      <c r="X795" s="872"/>
      <c r="Y795" s="872"/>
      <c r="Z795" s="872"/>
    </row>
    <row r="796" ht="14.25" customHeight="1">
      <c r="A796" s="872"/>
      <c r="B796" s="872"/>
      <c r="C796" s="872"/>
      <c r="D796" s="872"/>
      <c r="E796" s="872"/>
      <c r="F796" s="872"/>
      <c r="G796" s="872"/>
      <c r="H796" s="872"/>
      <c r="I796" s="872"/>
      <c r="J796" s="872"/>
      <c r="K796" s="872"/>
      <c r="L796" s="872"/>
      <c r="M796" s="872"/>
      <c r="N796" s="872"/>
      <c r="O796" s="872"/>
      <c r="P796" s="872"/>
      <c r="Q796" s="872"/>
      <c r="R796" s="872"/>
      <c r="S796" s="872"/>
      <c r="T796" s="872"/>
      <c r="U796" s="872"/>
      <c r="V796" s="872"/>
      <c r="W796" s="872"/>
      <c r="X796" s="872"/>
      <c r="Y796" s="872"/>
      <c r="Z796" s="872"/>
    </row>
    <row r="797" ht="14.25" customHeight="1">
      <c r="A797" s="872"/>
      <c r="B797" s="872"/>
      <c r="C797" s="872"/>
      <c r="D797" s="872"/>
      <c r="E797" s="872"/>
      <c r="F797" s="872"/>
      <c r="G797" s="872"/>
      <c r="H797" s="872"/>
      <c r="I797" s="872"/>
      <c r="J797" s="872"/>
      <c r="K797" s="872"/>
      <c r="L797" s="872"/>
      <c r="M797" s="872"/>
      <c r="N797" s="872"/>
      <c r="O797" s="872"/>
      <c r="P797" s="872"/>
      <c r="Q797" s="872"/>
      <c r="R797" s="872"/>
      <c r="S797" s="872"/>
      <c r="T797" s="872"/>
      <c r="U797" s="872"/>
      <c r="V797" s="872"/>
      <c r="W797" s="872"/>
      <c r="X797" s="872"/>
      <c r="Y797" s="872"/>
      <c r="Z797" s="872"/>
    </row>
    <row r="798" ht="14.25" customHeight="1">
      <c r="A798" s="872"/>
      <c r="B798" s="872"/>
      <c r="C798" s="872"/>
      <c r="D798" s="872"/>
      <c r="E798" s="872"/>
      <c r="F798" s="872"/>
      <c r="G798" s="872"/>
      <c r="H798" s="872"/>
      <c r="I798" s="872"/>
      <c r="J798" s="872"/>
      <c r="K798" s="872"/>
      <c r="L798" s="872"/>
      <c r="M798" s="872"/>
      <c r="N798" s="872"/>
      <c r="O798" s="872"/>
      <c r="P798" s="872"/>
      <c r="Q798" s="872"/>
      <c r="R798" s="872"/>
      <c r="S798" s="872"/>
      <c r="T798" s="872"/>
      <c r="U798" s="872"/>
      <c r="V798" s="872"/>
      <c r="W798" s="872"/>
      <c r="X798" s="872"/>
      <c r="Y798" s="872"/>
      <c r="Z798" s="872"/>
    </row>
    <row r="799" ht="14.25" customHeight="1">
      <c r="A799" s="872"/>
      <c r="B799" s="872"/>
      <c r="C799" s="872"/>
      <c r="D799" s="872"/>
      <c r="E799" s="872"/>
      <c r="F799" s="872"/>
      <c r="G799" s="872"/>
      <c r="H799" s="872"/>
      <c r="I799" s="872"/>
      <c r="J799" s="872"/>
      <c r="K799" s="872"/>
      <c r="L799" s="872"/>
      <c r="M799" s="872"/>
      <c r="N799" s="872"/>
      <c r="O799" s="872"/>
      <c r="P799" s="872"/>
      <c r="Q799" s="872"/>
      <c r="R799" s="872"/>
      <c r="S799" s="872"/>
      <c r="T799" s="872"/>
      <c r="U799" s="872"/>
      <c r="V799" s="872"/>
      <c r="W799" s="872"/>
      <c r="X799" s="872"/>
      <c r="Y799" s="872"/>
      <c r="Z799" s="872"/>
    </row>
    <row r="800" ht="14.25" customHeight="1">
      <c r="A800" s="872"/>
      <c r="B800" s="872"/>
      <c r="C800" s="872"/>
      <c r="D800" s="872"/>
      <c r="E800" s="872"/>
      <c r="F800" s="872"/>
      <c r="G800" s="872"/>
      <c r="H800" s="872"/>
      <c r="I800" s="872"/>
      <c r="J800" s="872"/>
      <c r="K800" s="872"/>
      <c r="L800" s="872"/>
      <c r="M800" s="872"/>
      <c r="N800" s="872"/>
      <c r="O800" s="872"/>
      <c r="P800" s="872"/>
      <c r="Q800" s="872"/>
      <c r="R800" s="872"/>
      <c r="S800" s="872"/>
      <c r="T800" s="872"/>
      <c r="U800" s="872"/>
      <c r="V800" s="872"/>
      <c r="W800" s="872"/>
      <c r="X800" s="872"/>
      <c r="Y800" s="872"/>
      <c r="Z800" s="872"/>
    </row>
    <row r="801" ht="14.25" customHeight="1">
      <c r="A801" s="872"/>
      <c r="B801" s="872"/>
      <c r="C801" s="872"/>
      <c r="D801" s="872"/>
      <c r="E801" s="872"/>
      <c r="F801" s="872"/>
      <c r="G801" s="872"/>
      <c r="H801" s="872"/>
      <c r="I801" s="872"/>
      <c r="J801" s="872"/>
      <c r="K801" s="872"/>
      <c r="L801" s="872"/>
      <c r="M801" s="872"/>
      <c r="N801" s="872"/>
      <c r="O801" s="872"/>
      <c r="P801" s="872"/>
      <c r="Q801" s="872"/>
      <c r="R801" s="872"/>
      <c r="S801" s="872"/>
      <c r="T801" s="872"/>
      <c r="U801" s="872"/>
      <c r="V801" s="872"/>
      <c r="W801" s="872"/>
      <c r="X801" s="872"/>
      <c r="Y801" s="872"/>
      <c r="Z801" s="872"/>
    </row>
    <row r="802" ht="14.25" customHeight="1">
      <c r="A802" s="872"/>
      <c r="B802" s="872"/>
      <c r="C802" s="872"/>
      <c r="D802" s="872"/>
      <c r="E802" s="872"/>
      <c r="F802" s="872"/>
      <c r="G802" s="872"/>
      <c r="H802" s="872"/>
      <c r="I802" s="872"/>
      <c r="J802" s="872"/>
      <c r="K802" s="872"/>
      <c r="L802" s="872"/>
      <c r="M802" s="872"/>
      <c r="N802" s="872"/>
      <c r="O802" s="872"/>
      <c r="P802" s="872"/>
      <c r="Q802" s="872"/>
      <c r="R802" s="872"/>
      <c r="S802" s="872"/>
      <c r="T802" s="872"/>
      <c r="U802" s="872"/>
      <c r="V802" s="872"/>
      <c r="W802" s="872"/>
      <c r="X802" s="872"/>
      <c r="Y802" s="872"/>
      <c r="Z802" s="872"/>
    </row>
    <row r="803" ht="14.25" customHeight="1">
      <c r="A803" s="872"/>
      <c r="B803" s="872"/>
      <c r="C803" s="872"/>
      <c r="D803" s="872"/>
      <c r="E803" s="872"/>
      <c r="F803" s="872"/>
      <c r="G803" s="872"/>
      <c r="H803" s="872"/>
      <c r="I803" s="872"/>
      <c r="J803" s="872"/>
      <c r="K803" s="872"/>
      <c r="L803" s="872"/>
      <c r="M803" s="872"/>
      <c r="N803" s="872"/>
      <c r="O803" s="872"/>
      <c r="P803" s="872"/>
      <c r="Q803" s="872"/>
      <c r="R803" s="872"/>
      <c r="S803" s="872"/>
      <c r="T803" s="872"/>
      <c r="U803" s="872"/>
      <c r="V803" s="872"/>
      <c r="W803" s="872"/>
      <c r="X803" s="872"/>
      <c r="Y803" s="872"/>
      <c r="Z803" s="872"/>
    </row>
    <row r="804" ht="14.25" customHeight="1">
      <c r="A804" s="872"/>
      <c r="B804" s="872"/>
      <c r="C804" s="872"/>
      <c r="D804" s="872"/>
      <c r="E804" s="872"/>
      <c r="F804" s="872"/>
      <c r="G804" s="872"/>
      <c r="H804" s="872"/>
      <c r="I804" s="872"/>
      <c r="J804" s="872"/>
      <c r="K804" s="872"/>
      <c r="L804" s="872"/>
      <c r="M804" s="872"/>
      <c r="N804" s="872"/>
      <c r="O804" s="872"/>
      <c r="P804" s="872"/>
      <c r="Q804" s="872"/>
      <c r="R804" s="872"/>
      <c r="S804" s="872"/>
      <c r="T804" s="872"/>
      <c r="U804" s="872"/>
      <c r="V804" s="872"/>
      <c r="W804" s="872"/>
      <c r="X804" s="872"/>
      <c r="Y804" s="872"/>
      <c r="Z804" s="872"/>
    </row>
    <row r="805" ht="14.25" customHeight="1">
      <c r="A805" s="872"/>
      <c r="B805" s="872"/>
      <c r="C805" s="872"/>
      <c r="D805" s="872"/>
      <c r="E805" s="872"/>
      <c r="F805" s="872"/>
      <c r="G805" s="872"/>
      <c r="H805" s="872"/>
      <c r="I805" s="872"/>
      <c r="J805" s="872"/>
      <c r="K805" s="872"/>
      <c r="L805" s="872"/>
      <c r="M805" s="872"/>
      <c r="N805" s="872"/>
      <c r="O805" s="872"/>
      <c r="P805" s="872"/>
      <c r="Q805" s="872"/>
      <c r="R805" s="872"/>
      <c r="S805" s="872"/>
      <c r="T805" s="872"/>
      <c r="U805" s="872"/>
      <c r="V805" s="872"/>
      <c r="W805" s="872"/>
      <c r="X805" s="872"/>
      <c r="Y805" s="872"/>
      <c r="Z805" s="872"/>
    </row>
    <row r="806" ht="14.25" customHeight="1">
      <c r="A806" s="872"/>
      <c r="B806" s="872"/>
      <c r="C806" s="872"/>
      <c r="D806" s="872"/>
      <c r="E806" s="872"/>
      <c r="F806" s="872"/>
      <c r="G806" s="872"/>
      <c r="H806" s="872"/>
      <c r="I806" s="872"/>
      <c r="J806" s="872"/>
      <c r="K806" s="872"/>
      <c r="L806" s="872"/>
      <c r="M806" s="872"/>
      <c r="N806" s="872"/>
      <c r="O806" s="872"/>
      <c r="P806" s="872"/>
      <c r="Q806" s="872"/>
      <c r="R806" s="872"/>
      <c r="S806" s="872"/>
      <c r="T806" s="872"/>
      <c r="U806" s="872"/>
      <c r="V806" s="872"/>
      <c r="W806" s="872"/>
      <c r="X806" s="872"/>
      <c r="Y806" s="872"/>
      <c r="Z806" s="872"/>
    </row>
    <row r="807" ht="14.25" customHeight="1">
      <c r="A807" s="872"/>
      <c r="B807" s="872"/>
      <c r="C807" s="872"/>
      <c r="D807" s="872"/>
      <c r="E807" s="872"/>
      <c r="F807" s="872"/>
      <c r="G807" s="872"/>
      <c r="H807" s="872"/>
      <c r="I807" s="872"/>
      <c r="J807" s="872"/>
      <c r="K807" s="872"/>
      <c r="L807" s="872"/>
      <c r="M807" s="872"/>
      <c r="N807" s="872"/>
      <c r="O807" s="872"/>
      <c r="P807" s="872"/>
      <c r="Q807" s="872"/>
      <c r="R807" s="872"/>
      <c r="S807" s="872"/>
      <c r="T807" s="872"/>
      <c r="U807" s="872"/>
      <c r="V807" s="872"/>
      <c r="W807" s="872"/>
      <c r="X807" s="872"/>
      <c r="Y807" s="872"/>
      <c r="Z807" s="872"/>
    </row>
    <row r="808" ht="14.25" customHeight="1">
      <c r="A808" s="872"/>
      <c r="B808" s="872"/>
      <c r="C808" s="872"/>
      <c r="D808" s="872"/>
      <c r="E808" s="872"/>
      <c r="F808" s="872"/>
      <c r="G808" s="872"/>
      <c r="H808" s="872"/>
      <c r="I808" s="872"/>
      <c r="J808" s="872"/>
      <c r="K808" s="872"/>
      <c r="L808" s="872"/>
      <c r="M808" s="872"/>
      <c r="N808" s="872"/>
      <c r="O808" s="872"/>
      <c r="P808" s="872"/>
      <c r="Q808" s="872"/>
      <c r="R808" s="872"/>
      <c r="S808" s="872"/>
      <c r="T808" s="872"/>
      <c r="U808" s="872"/>
      <c r="V808" s="872"/>
      <c r="W808" s="872"/>
      <c r="X808" s="872"/>
      <c r="Y808" s="872"/>
      <c r="Z808" s="872"/>
    </row>
    <row r="809" ht="14.25" customHeight="1">
      <c r="A809" s="872"/>
      <c r="B809" s="872"/>
      <c r="C809" s="872"/>
      <c r="D809" s="872"/>
      <c r="E809" s="872"/>
      <c r="F809" s="872"/>
      <c r="G809" s="872"/>
      <c r="H809" s="872"/>
      <c r="I809" s="872"/>
      <c r="J809" s="872"/>
      <c r="K809" s="872"/>
      <c r="L809" s="872"/>
      <c r="M809" s="872"/>
      <c r="N809" s="872"/>
      <c r="O809" s="872"/>
      <c r="P809" s="872"/>
      <c r="Q809" s="872"/>
      <c r="R809" s="872"/>
      <c r="S809" s="872"/>
      <c r="T809" s="872"/>
      <c r="U809" s="872"/>
      <c r="V809" s="872"/>
      <c r="W809" s="872"/>
      <c r="X809" s="872"/>
      <c r="Y809" s="872"/>
      <c r="Z809" s="872"/>
    </row>
    <row r="810" ht="14.25" customHeight="1">
      <c r="A810" s="872"/>
      <c r="B810" s="872"/>
      <c r="C810" s="872"/>
      <c r="D810" s="872"/>
      <c r="E810" s="872"/>
      <c r="F810" s="872"/>
      <c r="G810" s="872"/>
      <c r="H810" s="872"/>
      <c r="I810" s="872"/>
      <c r="J810" s="872"/>
      <c r="K810" s="872"/>
      <c r="L810" s="872"/>
      <c r="M810" s="872"/>
      <c r="N810" s="872"/>
      <c r="O810" s="872"/>
      <c r="P810" s="872"/>
      <c r="Q810" s="872"/>
      <c r="R810" s="872"/>
      <c r="S810" s="872"/>
      <c r="T810" s="872"/>
      <c r="U810" s="872"/>
      <c r="V810" s="872"/>
      <c r="W810" s="872"/>
      <c r="X810" s="872"/>
      <c r="Y810" s="872"/>
      <c r="Z810" s="872"/>
    </row>
    <row r="811" ht="14.25" customHeight="1">
      <c r="A811" s="872"/>
      <c r="B811" s="872"/>
      <c r="C811" s="872"/>
      <c r="D811" s="872"/>
      <c r="E811" s="872"/>
      <c r="F811" s="872"/>
      <c r="G811" s="872"/>
      <c r="H811" s="872"/>
      <c r="I811" s="872"/>
      <c r="J811" s="872"/>
      <c r="K811" s="872"/>
      <c r="L811" s="872"/>
      <c r="M811" s="872"/>
      <c r="N811" s="872"/>
      <c r="O811" s="872"/>
      <c r="P811" s="872"/>
      <c r="Q811" s="872"/>
      <c r="R811" s="872"/>
      <c r="S811" s="872"/>
      <c r="T811" s="872"/>
      <c r="U811" s="872"/>
      <c r="V811" s="872"/>
      <c r="W811" s="872"/>
      <c r="X811" s="872"/>
      <c r="Y811" s="872"/>
      <c r="Z811" s="872"/>
    </row>
    <row r="812" ht="14.25" customHeight="1">
      <c r="A812" s="872"/>
      <c r="B812" s="872"/>
      <c r="C812" s="872"/>
      <c r="D812" s="872"/>
      <c r="E812" s="872"/>
      <c r="F812" s="872"/>
      <c r="G812" s="872"/>
      <c r="H812" s="872"/>
      <c r="I812" s="872"/>
      <c r="J812" s="872"/>
      <c r="K812" s="872"/>
      <c r="L812" s="872"/>
      <c r="M812" s="872"/>
      <c r="N812" s="872"/>
      <c r="O812" s="872"/>
      <c r="P812" s="872"/>
      <c r="Q812" s="872"/>
      <c r="R812" s="872"/>
      <c r="S812" s="872"/>
      <c r="T812" s="872"/>
      <c r="U812" s="872"/>
      <c r="V812" s="872"/>
      <c r="W812" s="872"/>
      <c r="X812" s="872"/>
      <c r="Y812" s="872"/>
      <c r="Z812" s="872"/>
    </row>
    <row r="813" ht="14.25" customHeight="1">
      <c r="A813" s="872"/>
      <c r="B813" s="872"/>
      <c r="C813" s="872"/>
      <c r="D813" s="872"/>
      <c r="E813" s="872"/>
      <c r="F813" s="872"/>
      <c r="G813" s="872"/>
      <c r="H813" s="872"/>
      <c r="I813" s="872"/>
      <c r="J813" s="872"/>
      <c r="K813" s="872"/>
      <c r="L813" s="872"/>
      <c r="M813" s="872"/>
      <c r="N813" s="872"/>
      <c r="O813" s="872"/>
      <c r="P813" s="872"/>
      <c r="Q813" s="872"/>
      <c r="R813" s="872"/>
      <c r="S813" s="872"/>
      <c r="T813" s="872"/>
      <c r="U813" s="872"/>
      <c r="V813" s="872"/>
      <c r="W813" s="872"/>
      <c r="X813" s="872"/>
      <c r="Y813" s="872"/>
      <c r="Z813" s="872"/>
    </row>
    <row r="814" ht="14.25" customHeight="1">
      <c r="A814" s="872"/>
      <c r="B814" s="872"/>
      <c r="C814" s="872"/>
      <c r="D814" s="872"/>
      <c r="E814" s="872"/>
      <c r="F814" s="872"/>
      <c r="G814" s="872"/>
      <c r="H814" s="872"/>
      <c r="I814" s="872"/>
      <c r="J814" s="872"/>
      <c r="K814" s="872"/>
      <c r="L814" s="872"/>
      <c r="M814" s="872"/>
      <c r="N814" s="872"/>
      <c r="O814" s="872"/>
      <c r="P814" s="872"/>
      <c r="Q814" s="872"/>
      <c r="R814" s="872"/>
      <c r="S814" s="872"/>
      <c r="T814" s="872"/>
      <c r="U814" s="872"/>
      <c r="V814" s="872"/>
      <c r="W814" s="872"/>
      <c r="X814" s="872"/>
      <c r="Y814" s="872"/>
      <c r="Z814" s="872"/>
    </row>
    <row r="815" ht="14.25" customHeight="1">
      <c r="A815" s="872"/>
      <c r="B815" s="872"/>
      <c r="C815" s="872"/>
      <c r="D815" s="872"/>
      <c r="E815" s="872"/>
      <c r="F815" s="872"/>
      <c r="G815" s="872"/>
      <c r="H815" s="872"/>
      <c r="I815" s="872"/>
      <c r="J815" s="872"/>
      <c r="K815" s="872"/>
      <c r="L815" s="872"/>
      <c r="M815" s="872"/>
      <c r="N815" s="872"/>
      <c r="O815" s="872"/>
      <c r="P815" s="872"/>
      <c r="Q815" s="872"/>
      <c r="R815" s="872"/>
      <c r="S815" s="872"/>
      <c r="T815" s="872"/>
      <c r="U815" s="872"/>
      <c r="V815" s="872"/>
      <c r="W815" s="872"/>
      <c r="X815" s="872"/>
      <c r="Y815" s="872"/>
      <c r="Z815" s="872"/>
    </row>
    <row r="816" ht="14.25" customHeight="1">
      <c r="A816" s="872"/>
      <c r="B816" s="872"/>
      <c r="C816" s="872"/>
      <c r="D816" s="872"/>
      <c r="E816" s="872"/>
      <c r="F816" s="872"/>
      <c r="G816" s="872"/>
      <c r="H816" s="872"/>
      <c r="I816" s="872"/>
      <c r="J816" s="872"/>
      <c r="K816" s="872"/>
      <c r="L816" s="872"/>
      <c r="M816" s="872"/>
      <c r="N816" s="872"/>
      <c r="O816" s="872"/>
      <c r="P816" s="872"/>
      <c r="Q816" s="872"/>
      <c r="R816" s="872"/>
      <c r="S816" s="872"/>
      <c r="T816" s="872"/>
      <c r="U816" s="872"/>
      <c r="V816" s="872"/>
      <c r="W816" s="872"/>
      <c r="X816" s="872"/>
      <c r="Y816" s="872"/>
      <c r="Z816" s="872"/>
    </row>
    <row r="817" ht="14.25" customHeight="1">
      <c r="A817" s="872"/>
      <c r="B817" s="872"/>
      <c r="C817" s="872"/>
      <c r="D817" s="872"/>
      <c r="E817" s="872"/>
      <c r="F817" s="872"/>
      <c r="G817" s="872"/>
      <c r="H817" s="872"/>
      <c r="I817" s="872"/>
      <c r="J817" s="872"/>
      <c r="K817" s="872"/>
      <c r="L817" s="872"/>
      <c r="M817" s="872"/>
      <c r="N817" s="872"/>
      <c r="O817" s="872"/>
      <c r="P817" s="872"/>
      <c r="Q817" s="872"/>
      <c r="R817" s="872"/>
      <c r="S817" s="872"/>
      <c r="T817" s="872"/>
      <c r="U817" s="872"/>
      <c r="V817" s="872"/>
      <c r="W817" s="872"/>
      <c r="X817" s="872"/>
      <c r="Y817" s="872"/>
      <c r="Z817" s="872"/>
    </row>
    <row r="818" ht="14.25" customHeight="1">
      <c r="A818" s="872"/>
      <c r="B818" s="872"/>
      <c r="C818" s="872"/>
      <c r="D818" s="872"/>
      <c r="E818" s="872"/>
      <c r="F818" s="872"/>
      <c r="G818" s="872"/>
      <c r="H818" s="872"/>
      <c r="I818" s="872"/>
      <c r="J818" s="872"/>
      <c r="K818" s="872"/>
      <c r="L818" s="872"/>
      <c r="M818" s="872"/>
      <c r="N818" s="872"/>
      <c r="O818" s="872"/>
      <c r="P818" s="872"/>
      <c r="Q818" s="872"/>
      <c r="R818" s="872"/>
      <c r="S818" s="872"/>
      <c r="T818" s="872"/>
      <c r="U818" s="872"/>
      <c r="V818" s="872"/>
      <c r="W818" s="872"/>
      <c r="X818" s="872"/>
      <c r="Y818" s="872"/>
      <c r="Z818" s="872"/>
    </row>
    <row r="819" ht="14.25" customHeight="1">
      <c r="A819" s="872"/>
      <c r="B819" s="872"/>
      <c r="C819" s="872"/>
      <c r="D819" s="872"/>
      <c r="E819" s="872"/>
      <c r="F819" s="872"/>
      <c r="G819" s="872"/>
      <c r="H819" s="872"/>
      <c r="I819" s="872"/>
      <c r="J819" s="872"/>
      <c r="K819" s="872"/>
      <c r="L819" s="872"/>
      <c r="M819" s="872"/>
      <c r="N819" s="872"/>
      <c r="O819" s="872"/>
      <c r="P819" s="872"/>
      <c r="Q819" s="872"/>
      <c r="R819" s="872"/>
      <c r="S819" s="872"/>
      <c r="T819" s="872"/>
      <c r="U819" s="872"/>
      <c r="V819" s="872"/>
      <c r="W819" s="872"/>
      <c r="X819" s="872"/>
      <c r="Y819" s="872"/>
      <c r="Z819" s="872"/>
    </row>
    <row r="820" ht="14.25" customHeight="1">
      <c r="A820" s="872"/>
      <c r="B820" s="872"/>
      <c r="C820" s="872"/>
      <c r="D820" s="872"/>
      <c r="E820" s="872"/>
      <c r="F820" s="872"/>
      <c r="G820" s="872"/>
      <c r="H820" s="872"/>
      <c r="I820" s="872"/>
      <c r="J820" s="872"/>
      <c r="K820" s="872"/>
      <c r="L820" s="872"/>
      <c r="M820" s="872"/>
      <c r="N820" s="872"/>
      <c r="O820" s="872"/>
      <c r="P820" s="872"/>
      <c r="Q820" s="872"/>
      <c r="R820" s="872"/>
      <c r="S820" s="872"/>
      <c r="T820" s="872"/>
      <c r="U820" s="872"/>
      <c r="V820" s="872"/>
      <c r="W820" s="872"/>
      <c r="X820" s="872"/>
      <c r="Y820" s="872"/>
      <c r="Z820" s="872"/>
    </row>
    <row r="821" ht="14.25" customHeight="1">
      <c r="A821" s="872"/>
      <c r="B821" s="872"/>
      <c r="C821" s="872"/>
      <c r="D821" s="872"/>
      <c r="E821" s="872"/>
      <c r="F821" s="872"/>
      <c r="G821" s="872"/>
      <c r="H821" s="872"/>
      <c r="I821" s="872"/>
      <c r="J821" s="872"/>
      <c r="K821" s="872"/>
      <c r="L821" s="872"/>
      <c r="M821" s="872"/>
      <c r="N821" s="872"/>
      <c r="O821" s="872"/>
      <c r="P821" s="872"/>
      <c r="Q821" s="872"/>
      <c r="R821" s="872"/>
      <c r="S821" s="872"/>
      <c r="T821" s="872"/>
      <c r="U821" s="872"/>
      <c r="V821" s="872"/>
      <c r="W821" s="872"/>
      <c r="X821" s="872"/>
      <c r="Y821" s="872"/>
      <c r="Z821" s="872"/>
    </row>
    <row r="822" ht="14.25" customHeight="1">
      <c r="A822" s="872"/>
      <c r="B822" s="872"/>
      <c r="C822" s="872"/>
      <c r="D822" s="872"/>
      <c r="E822" s="872"/>
      <c r="F822" s="872"/>
      <c r="G822" s="872"/>
      <c r="H822" s="872"/>
      <c r="I822" s="872"/>
      <c r="J822" s="872"/>
      <c r="K822" s="872"/>
      <c r="L822" s="872"/>
      <c r="M822" s="872"/>
      <c r="N822" s="872"/>
      <c r="O822" s="872"/>
      <c r="P822" s="872"/>
      <c r="Q822" s="872"/>
      <c r="R822" s="872"/>
      <c r="S822" s="872"/>
      <c r="T822" s="872"/>
      <c r="U822" s="872"/>
      <c r="V822" s="872"/>
      <c r="W822" s="872"/>
      <c r="X822" s="872"/>
      <c r="Y822" s="872"/>
      <c r="Z822" s="872"/>
    </row>
    <row r="823" ht="14.25" customHeight="1">
      <c r="A823" s="872"/>
      <c r="B823" s="872"/>
      <c r="C823" s="872"/>
      <c r="D823" s="872"/>
      <c r="E823" s="872"/>
      <c r="F823" s="872"/>
      <c r="G823" s="872"/>
      <c r="H823" s="872"/>
      <c r="I823" s="872"/>
      <c r="J823" s="872"/>
      <c r="K823" s="872"/>
      <c r="L823" s="872"/>
      <c r="M823" s="872"/>
      <c r="N823" s="872"/>
      <c r="O823" s="872"/>
      <c r="P823" s="872"/>
      <c r="Q823" s="872"/>
      <c r="R823" s="872"/>
      <c r="S823" s="872"/>
      <c r="T823" s="872"/>
      <c r="U823" s="872"/>
      <c r="V823" s="872"/>
      <c r="W823" s="872"/>
      <c r="X823" s="872"/>
      <c r="Y823" s="872"/>
      <c r="Z823" s="872"/>
    </row>
    <row r="824" ht="14.25" customHeight="1">
      <c r="A824" s="872"/>
      <c r="B824" s="872"/>
      <c r="C824" s="872"/>
      <c r="D824" s="872"/>
      <c r="E824" s="872"/>
      <c r="F824" s="872"/>
      <c r="G824" s="872"/>
      <c r="H824" s="872"/>
      <c r="I824" s="872"/>
      <c r="J824" s="872"/>
      <c r="K824" s="872"/>
      <c r="L824" s="872"/>
      <c r="M824" s="872"/>
      <c r="N824" s="872"/>
      <c r="O824" s="872"/>
      <c r="P824" s="872"/>
      <c r="Q824" s="872"/>
      <c r="R824" s="872"/>
      <c r="S824" s="872"/>
      <c r="T824" s="872"/>
      <c r="U824" s="872"/>
      <c r="V824" s="872"/>
      <c r="W824" s="872"/>
      <c r="X824" s="872"/>
      <c r="Y824" s="872"/>
      <c r="Z824" s="872"/>
    </row>
    <row r="825" ht="14.25" customHeight="1">
      <c r="A825" s="872"/>
      <c r="B825" s="872"/>
      <c r="C825" s="872"/>
      <c r="D825" s="872"/>
      <c r="E825" s="872"/>
      <c r="F825" s="872"/>
      <c r="G825" s="872"/>
      <c r="H825" s="872"/>
      <c r="I825" s="872"/>
      <c r="J825" s="872"/>
      <c r="K825" s="872"/>
      <c r="L825" s="872"/>
      <c r="M825" s="872"/>
      <c r="N825" s="872"/>
      <c r="O825" s="872"/>
      <c r="P825" s="872"/>
      <c r="Q825" s="872"/>
      <c r="R825" s="872"/>
      <c r="S825" s="872"/>
      <c r="T825" s="872"/>
      <c r="U825" s="872"/>
      <c r="V825" s="872"/>
      <c r="W825" s="872"/>
      <c r="X825" s="872"/>
      <c r="Y825" s="872"/>
      <c r="Z825" s="872"/>
    </row>
    <row r="826" ht="14.25" customHeight="1">
      <c r="A826" s="872"/>
      <c r="B826" s="872"/>
      <c r="C826" s="872"/>
      <c r="D826" s="872"/>
      <c r="E826" s="872"/>
      <c r="F826" s="872"/>
      <c r="G826" s="872"/>
      <c r="H826" s="872"/>
      <c r="I826" s="872"/>
      <c r="J826" s="872"/>
      <c r="K826" s="872"/>
      <c r="L826" s="872"/>
      <c r="M826" s="872"/>
      <c r="N826" s="872"/>
      <c r="O826" s="872"/>
      <c r="P826" s="872"/>
      <c r="Q826" s="872"/>
      <c r="R826" s="872"/>
      <c r="S826" s="872"/>
      <c r="T826" s="872"/>
      <c r="U826" s="872"/>
      <c r="V826" s="872"/>
      <c r="W826" s="872"/>
      <c r="X826" s="872"/>
      <c r="Y826" s="872"/>
      <c r="Z826" s="872"/>
    </row>
    <row r="827" ht="14.25" customHeight="1">
      <c r="A827" s="872"/>
      <c r="B827" s="872"/>
      <c r="C827" s="872"/>
      <c r="D827" s="872"/>
      <c r="E827" s="872"/>
      <c r="F827" s="872"/>
      <c r="G827" s="872"/>
      <c r="H827" s="872"/>
      <c r="I827" s="872"/>
      <c r="J827" s="872"/>
      <c r="K827" s="872"/>
      <c r="L827" s="872"/>
      <c r="M827" s="872"/>
      <c r="N827" s="872"/>
      <c r="O827" s="872"/>
      <c r="P827" s="872"/>
      <c r="Q827" s="872"/>
      <c r="R827" s="872"/>
      <c r="S827" s="872"/>
      <c r="T827" s="872"/>
      <c r="U827" s="872"/>
      <c r="V827" s="872"/>
      <c r="W827" s="872"/>
      <c r="X827" s="872"/>
      <c r="Y827" s="872"/>
      <c r="Z827" s="872"/>
    </row>
    <row r="828" ht="14.25" customHeight="1">
      <c r="A828" s="872"/>
      <c r="B828" s="872"/>
      <c r="C828" s="872"/>
      <c r="D828" s="872"/>
      <c r="E828" s="872"/>
      <c r="F828" s="872"/>
      <c r="G828" s="872"/>
      <c r="H828" s="872"/>
      <c r="I828" s="872"/>
      <c r="J828" s="872"/>
      <c r="K828" s="872"/>
      <c r="L828" s="872"/>
      <c r="M828" s="872"/>
      <c r="N828" s="872"/>
      <c r="O828" s="872"/>
      <c r="P828" s="872"/>
      <c r="Q828" s="872"/>
      <c r="R828" s="872"/>
      <c r="S828" s="872"/>
      <c r="T828" s="872"/>
      <c r="U828" s="872"/>
      <c r="V828" s="872"/>
      <c r="W828" s="872"/>
      <c r="X828" s="872"/>
      <c r="Y828" s="872"/>
      <c r="Z828" s="872"/>
    </row>
    <row r="829" ht="14.25" customHeight="1">
      <c r="A829" s="872"/>
      <c r="B829" s="872"/>
      <c r="C829" s="872"/>
      <c r="D829" s="872"/>
      <c r="E829" s="872"/>
      <c r="F829" s="872"/>
      <c r="G829" s="872"/>
      <c r="H829" s="872"/>
      <c r="I829" s="872"/>
      <c r="J829" s="872"/>
      <c r="K829" s="872"/>
      <c r="L829" s="872"/>
      <c r="M829" s="872"/>
      <c r="N829" s="872"/>
      <c r="O829" s="872"/>
      <c r="P829" s="872"/>
      <c r="Q829" s="872"/>
      <c r="R829" s="872"/>
      <c r="S829" s="872"/>
      <c r="T829" s="872"/>
      <c r="U829" s="872"/>
      <c r="V829" s="872"/>
      <c r="W829" s="872"/>
      <c r="X829" s="872"/>
      <c r="Y829" s="872"/>
      <c r="Z829" s="872"/>
    </row>
    <row r="830" ht="14.25" customHeight="1">
      <c r="A830" s="872"/>
      <c r="B830" s="872"/>
      <c r="C830" s="872"/>
      <c r="D830" s="872"/>
      <c r="E830" s="872"/>
      <c r="F830" s="872"/>
      <c r="G830" s="872"/>
      <c r="H830" s="872"/>
      <c r="I830" s="872"/>
      <c r="J830" s="872"/>
      <c r="K830" s="872"/>
      <c r="L830" s="872"/>
      <c r="M830" s="872"/>
      <c r="N830" s="872"/>
      <c r="O830" s="872"/>
      <c r="P830" s="872"/>
      <c r="Q830" s="872"/>
      <c r="R830" s="872"/>
      <c r="S830" s="872"/>
      <c r="T830" s="872"/>
      <c r="U830" s="872"/>
      <c r="V830" s="872"/>
      <c r="W830" s="872"/>
      <c r="X830" s="872"/>
      <c r="Y830" s="872"/>
      <c r="Z830" s="872"/>
    </row>
    <row r="831" ht="14.25" customHeight="1">
      <c r="A831" s="872"/>
      <c r="B831" s="872"/>
      <c r="C831" s="872"/>
      <c r="D831" s="872"/>
      <c r="E831" s="872"/>
      <c r="F831" s="872"/>
      <c r="G831" s="872"/>
      <c r="H831" s="872"/>
      <c r="I831" s="872"/>
      <c r="J831" s="872"/>
      <c r="K831" s="872"/>
      <c r="L831" s="872"/>
      <c r="M831" s="872"/>
      <c r="N831" s="872"/>
      <c r="O831" s="872"/>
      <c r="P831" s="872"/>
      <c r="Q831" s="872"/>
      <c r="R831" s="872"/>
      <c r="S831" s="872"/>
      <c r="T831" s="872"/>
      <c r="U831" s="872"/>
      <c r="V831" s="872"/>
      <c r="W831" s="872"/>
      <c r="X831" s="872"/>
      <c r="Y831" s="872"/>
      <c r="Z831" s="872"/>
    </row>
    <row r="832" ht="14.25" customHeight="1">
      <c r="A832" s="872"/>
      <c r="B832" s="872"/>
      <c r="C832" s="872"/>
      <c r="D832" s="872"/>
      <c r="E832" s="872"/>
      <c r="F832" s="872"/>
      <c r="G832" s="872"/>
      <c r="H832" s="872"/>
      <c r="I832" s="872"/>
      <c r="J832" s="872"/>
      <c r="K832" s="872"/>
      <c r="L832" s="872"/>
      <c r="M832" s="872"/>
      <c r="N832" s="872"/>
      <c r="O832" s="872"/>
      <c r="P832" s="872"/>
      <c r="Q832" s="872"/>
      <c r="R832" s="872"/>
      <c r="S832" s="872"/>
      <c r="T832" s="872"/>
      <c r="U832" s="872"/>
      <c r="V832" s="872"/>
      <c r="W832" s="872"/>
      <c r="X832" s="872"/>
      <c r="Y832" s="872"/>
      <c r="Z832" s="872"/>
    </row>
    <row r="833" ht="14.25" customHeight="1">
      <c r="A833" s="872"/>
      <c r="B833" s="872"/>
      <c r="C833" s="872"/>
      <c r="D833" s="872"/>
      <c r="E833" s="872"/>
      <c r="F833" s="872"/>
      <c r="G833" s="872"/>
      <c r="H833" s="872"/>
      <c r="I833" s="872"/>
      <c r="J833" s="872"/>
      <c r="K833" s="872"/>
      <c r="L833" s="872"/>
      <c r="M833" s="872"/>
      <c r="N833" s="872"/>
      <c r="O833" s="872"/>
      <c r="P833" s="872"/>
      <c r="Q833" s="872"/>
      <c r="R833" s="872"/>
      <c r="S833" s="872"/>
      <c r="T833" s="872"/>
      <c r="U833" s="872"/>
      <c r="V833" s="872"/>
      <c r="W833" s="872"/>
      <c r="X833" s="872"/>
      <c r="Y833" s="872"/>
      <c r="Z833" s="872"/>
    </row>
    <row r="834" ht="14.25" customHeight="1">
      <c r="A834" s="872"/>
      <c r="B834" s="872"/>
      <c r="C834" s="872"/>
      <c r="D834" s="872"/>
      <c r="E834" s="872"/>
      <c r="F834" s="872"/>
      <c r="G834" s="872"/>
      <c r="H834" s="872"/>
      <c r="I834" s="872"/>
      <c r="J834" s="872"/>
      <c r="K834" s="872"/>
      <c r="L834" s="872"/>
      <c r="M834" s="872"/>
      <c r="N834" s="872"/>
      <c r="O834" s="872"/>
      <c r="P834" s="872"/>
      <c r="Q834" s="872"/>
      <c r="R834" s="872"/>
      <c r="S834" s="872"/>
      <c r="T834" s="872"/>
      <c r="U834" s="872"/>
      <c r="V834" s="872"/>
      <c r="W834" s="872"/>
      <c r="X834" s="872"/>
      <c r="Y834" s="872"/>
      <c r="Z834" s="872"/>
    </row>
    <row r="835" ht="14.25" customHeight="1">
      <c r="A835" s="872"/>
      <c r="B835" s="872"/>
      <c r="C835" s="872"/>
      <c r="D835" s="872"/>
      <c r="E835" s="872"/>
      <c r="F835" s="872"/>
      <c r="G835" s="872"/>
      <c r="H835" s="872"/>
      <c r="I835" s="872"/>
      <c r="J835" s="872"/>
      <c r="K835" s="872"/>
      <c r="L835" s="872"/>
      <c r="M835" s="872"/>
      <c r="N835" s="872"/>
      <c r="O835" s="872"/>
      <c r="P835" s="872"/>
      <c r="Q835" s="872"/>
      <c r="R835" s="872"/>
      <c r="S835" s="872"/>
      <c r="T835" s="872"/>
      <c r="U835" s="872"/>
      <c r="V835" s="872"/>
      <c r="W835" s="872"/>
      <c r="X835" s="872"/>
      <c r="Y835" s="872"/>
      <c r="Z835" s="872"/>
    </row>
    <row r="836" ht="14.25" customHeight="1">
      <c r="A836" s="872"/>
      <c r="B836" s="872"/>
      <c r="C836" s="872"/>
      <c r="D836" s="872"/>
      <c r="E836" s="872"/>
      <c r="F836" s="872"/>
      <c r="G836" s="872"/>
      <c r="H836" s="872"/>
      <c r="I836" s="872"/>
      <c r="J836" s="872"/>
      <c r="K836" s="872"/>
      <c r="L836" s="872"/>
      <c r="M836" s="872"/>
      <c r="N836" s="872"/>
      <c r="O836" s="872"/>
      <c r="P836" s="872"/>
      <c r="Q836" s="872"/>
      <c r="R836" s="872"/>
      <c r="S836" s="872"/>
      <c r="T836" s="872"/>
      <c r="U836" s="872"/>
      <c r="V836" s="872"/>
      <c r="W836" s="872"/>
      <c r="X836" s="872"/>
      <c r="Y836" s="872"/>
      <c r="Z836" s="872"/>
    </row>
    <row r="837" ht="14.25" customHeight="1">
      <c r="A837" s="872"/>
      <c r="B837" s="872"/>
      <c r="C837" s="872"/>
      <c r="D837" s="872"/>
      <c r="E837" s="872"/>
      <c r="F837" s="872"/>
      <c r="G837" s="872"/>
      <c r="H837" s="872"/>
      <c r="I837" s="872"/>
      <c r="J837" s="872"/>
      <c r="K837" s="872"/>
      <c r="L837" s="872"/>
      <c r="M837" s="872"/>
      <c r="N837" s="872"/>
      <c r="O837" s="872"/>
      <c r="P837" s="872"/>
      <c r="Q837" s="872"/>
      <c r="R837" s="872"/>
      <c r="S837" s="872"/>
      <c r="T837" s="872"/>
      <c r="U837" s="872"/>
      <c r="V837" s="872"/>
      <c r="W837" s="872"/>
      <c r="X837" s="872"/>
      <c r="Y837" s="872"/>
      <c r="Z837" s="872"/>
    </row>
    <row r="838" ht="14.25" customHeight="1">
      <c r="A838" s="872"/>
      <c r="B838" s="872"/>
      <c r="C838" s="872"/>
      <c r="D838" s="872"/>
      <c r="E838" s="872"/>
      <c r="F838" s="872"/>
      <c r="G838" s="872"/>
      <c r="H838" s="872"/>
      <c r="I838" s="872"/>
      <c r="J838" s="872"/>
      <c r="K838" s="872"/>
      <c r="L838" s="872"/>
      <c r="M838" s="872"/>
      <c r="N838" s="872"/>
      <c r="O838" s="872"/>
      <c r="P838" s="872"/>
      <c r="Q838" s="872"/>
      <c r="R838" s="872"/>
      <c r="S838" s="872"/>
      <c r="T838" s="872"/>
      <c r="U838" s="872"/>
      <c r="V838" s="872"/>
      <c r="W838" s="872"/>
      <c r="X838" s="872"/>
      <c r="Y838" s="872"/>
      <c r="Z838" s="872"/>
    </row>
    <row r="839" ht="14.25" customHeight="1">
      <c r="A839" s="872"/>
      <c r="B839" s="872"/>
      <c r="C839" s="872"/>
      <c r="D839" s="872"/>
      <c r="E839" s="872"/>
      <c r="F839" s="872"/>
      <c r="G839" s="872"/>
      <c r="H839" s="872"/>
      <c r="I839" s="872"/>
      <c r="J839" s="872"/>
      <c r="K839" s="872"/>
      <c r="L839" s="872"/>
      <c r="M839" s="872"/>
      <c r="N839" s="872"/>
      <c r="O839" s="872"/>
      <c r="P839" s="872"/>
      <c r="Q839" s="872"/>
      <c r="R839" s="872"/>
      <c r="S839" s="872"/>
      <c r="T839" s="872"/>
      <c r="U839" s="872"/>
      <c r="V839" s="872"/>
      <c r="W839" s="872"/>
      <c r="X839" s="872"/>
      <c r="Y839" s="872"/>
      <c r="Z839" s="872"/>
    </row>
    <row r="840" ht="14.25" customHeight="1">
      <c r="A840" s="872"/>
      <c r="B840" s="872"/>
      <c r="C840" s="872"/>
      <c r="D840" s="872"/>
      <c r="E840" s="872"/>
      <c r="F840" s="872"/>
      <c r="G840" s="872"/>
      <c r="H840" s="872"/>
      <c r="I840" s="872"/>
      <c r="J840" s="872"/>
      <c r="K840" s="872"/>
      <c r="L840" s="872"/>
      <c r="M840" s="872"/>
      <c r="N840" s="872"/>
      <c r="O840" s="872"/>
      <c r="P840" s="872"/>
      <c r="Q840" s="872"/>
      <c r="R840" s="872"/>
      <c r="S840" s="872"/>
      <c r="T840" s="872"/>
      <c r="U840" s="872"/>
      <c r="V840" s="872"/>
      <c r="W840" s="872"/>
      <c r="X840" s="872"/>
      <c r="Y840" s="872"/>
      <c r="Z840" s="872"/>
    </row>
    <row r="841" ht="14.25" customHeight="1">
      <c r="A841" s="872"/>
      <c r="B841" s="872"/>
      <c r="C841" s="872"/>
      <c r="D841" s="872"/>
      <c r="E841" s="872"/>
      <c r="F841" s="872"/>
      <c r="G841" s="872"/>
      <c r="H841" s="872"/>
      <c r="I841" s="872"/>
      <c r="J841" s="872"/>
      <c r="K841" s="872"/>
      <c r="L841" s="872"/>
      <c r="M841" s="872"/>
      <c r="N841" s="872"/>
      <c r="O841" s="872"/>
      <c r="P841" s="872"/>
      <c r="Q841" s="872"/>
      <c r="R841" s="872"/>
      <c r="S841" s="872"/>
      <c r="T841" s="872"/>
      <c r="U841" s="872"/>
      <c r="V841" s="872"/>
      <c r="W841" s="872"/>
      <c r="X841" s="872"/>
      <c r="Y841" s="872"/>
      <c r="Z841" s="872"/>
    </row>
    <row r="842" ht="14.25" customHeight="1">
      <c r="A842" s="872"/>
      <c r="B842" s="872"/>
      <c r="C842" s="872"/>
      <c r="D842" s="872"/>
      <c r="E842" s="872"/>
      <c r="F842" s="872"/>
      <c r="G842" s="872"/>
      <c r="H842" s="872"/>
      <c r="I842" s="872"/>
      <c r="J842" s="872"/>
      <c r="K842" s="872"/>
      <c r="L842" s="872"/>
      <c r="M842" s="872"/>
      <c r="N842" s="872"/>
      <c r="O842" s="872"/>
      <c r="P842" s="872"/>
      <c r="Q842" s="872"/>
      <c r="R842" s="872"/>
      <c r="S842" s="872"/>
      <c r="T842" s="872"/>
      <c r="U842" s="872"/>
      <c r="V842" s="872"/>
      <c r="W842" s="872"/>
      <c r="X842" s="872"/>
      <c r="Y842" s="872"/>
      <c r="Z842" s="872"/>
    </row>
    <row r="843" ht="14.25" customHeight="1">
      <c r="A843" s="872"/>
      <c r="B843" s="872"/>
      <c r="C843" s="872"/>
      <c r="D843" s="872"/>
      <c r="E843" s="872"/>
      <c r="F843" s="872"/>
      <c r="G843" s="872"/>
      <c r="H843" s="872"/>
      <c r="I843" s="872"/>
      <c r="J843" s="872"/>
      <c r="K843" s="872"/>
      <c r="L843" s="872"/>
      <c r="M843" s="872"/>
      <c r="N843" s="872"/>
      <c r="O843" s="872"/>
      <c r="P843" s="872"/>
      <c r="Q843" s="872"/>
      <c r="R843" s="872"/>
      <c r="S843" s="872"/>
      <c r="T843" s="872"/>
      <c r="U843" s="872"/>
      <c r="V843" s="872"/>
      <c r="W843" s="872"/>
      <c r="X843" s="872"/>
      <c r="Y843" s="872"/>
      <c r="Z843" s="872"/>
    </row>
    <row r="844" ht="14.25" customHeight="1">
      <c r="A844" s="872"/>
      <c r="B844" s="872"/>
      <c r="C844" s="872"/>
      <c r="D844" s="872"/>
      <c r="E844" s="872"/>
      <c r="F844" s="872"/>
      <c r="G844" s="872"/>
      <c r="H844" s="872"/>
      <c r="I844" s="872"/>
      <c r="J844" s="872"/>
      <c r="K844" s="872"/>
      <c r="L844" s="872"/>
      <c r="M844" s="872"/>
      <c r="N844" s="872"/>
      <c r="O844" s="872"/>
      <c r="P844" s="872"/>
      <c r="Q844" s="872"/>
      <c r="R844" s="872"/>
      <c r="S844" s="872"/>
      <c r="T844" s="872"/>
      <c r="U844" s="872"/>
      <c r="V844" s="872"/>
      <c r="W844" s="872"/>
      <c r="X844" s="872"/>
      <c r="Y844" s="872"/>
      <c r="Z844" s="872"/>
    </row>
    <row r="845" ht="14.25" customHeight="1">
      <c r="A845" s="872"/>
      <c r="B845" s="872"/>
      <c r="C845" s="872"/>
      <c r="D845" s="872"/>
      <c r="E845" s="872"/>
      <c r="F845" s="872"/>
      <c r="G845" s="872"/>
      <c r="H845" s="872"/>
      <c r="I845" s="872"/>
      <c r="J845" s="872"/>
      <c r="K845" s="872"/>
      <c r="L845" s="872"/>
      <c r="M845" s="872"/>
      <c r="N845" s="872"/>
      <c r="O845" s="872"/>
      <c r="P845" s="872"/>
      <c r="Q845" s="872"/>
      <c r="R845" s="872"/>
      <c r="S845" s="872"/>
      <c r="T845" s="872"/>
      <c r="U845" s="872"/>
      <c r="V845" s="872"/>
      <c r="W845" s="872"/>
      <c r="X845" s="872"/>
      <c r="Y845" s="872"/>
      <c r="Z845" s="872"/>
    </row>
    <row r="846" ht="14.25" customHeight="1">
      <c r="A846" s="872"/>
      <c r="B846" s="872"/>
      <c r="C846" s="872"/>
      <c r="D846" s="872"/>
      <c r="E846" s="872"/>
      <c r="F846" s="872"/>
      <c r="G846" s="872"/>
      <c r="H846" s="872"/>
      <c r="I846" s="872"/>
      <c r="J846" s="872"/>
      <c r="K846" s="872"/>
      <c r="L846" s="872"/>
      <c r="M846" s="872"/>
      <c r="N846" s="872"/>
      <c r="O846" s="872"/>
      <c r="P846" s="872"/>
      <c r="Q846" s="872"/>
      <c r="R846" s="872"/>
      <c r="S846" s="872"/>
      <c r="T846" s="872"/>
      <c r="U846" s="872"/>
      <c r="V846" s="872"/>
      <c r="W846" s="872"/>
      <c r="X846" s="872"/>
      <c r="Y846" s="872"/>
      <c r="Z846" s="872"/>
    </row>
    <row r="847" ht="14.25" customHeight="1">
      <c r="A847" s="872"/>
      <c r="B847" s="872"/>
      <c r="C847" s="872"/>
      <c r="D847" s="872"/>
      <c r="E847" s="872"/>
      <c r="F847" s="872"/>
      <c r="G847" s="872"/>
      <c r="H847" s="872"/>
      <c r="I847" s="872"/>
      <c r="J847" s="872"/>
      <c r="K847" s="872"/>
      <c r="L847" s="872"/>
      <c r="M847" s="872"/>
      <c r="N847" s="872"/>
      <c r="O847" s="872"/>
      <c r="P847" s="872"/>
      <c r="Q847" s="872"/>
      <c r="R847" s="872"/>
      <c r="S847" s="872"/>
      <c r="T847" s="872"/>
      <c r="U847" s="872"/>
      <c r="V847" s="872"/>
      <c r="W847" s="872"/>
      <c r="X847" s="872"/>
      <c r="Y847" s="872"/>
      <c r="Z847" s="872"/>
    </row>
    <row r="848" ht="14.25" customHeight="1">
      <c r="A848" s="872"/>
      <c r="B848" s="872"/>
      <c r="C848" s="872"/>
      <c r="D848" s="872"/>
      <c r="E848" s="872"/>
      <c r="F848" s="872"/>
      <c r="G848" s="872"/>
      <c r="H848" s="872"/>
      <c r="I848" s="872"/>
      <c r="J848" s="872"/>
      <c r="K848" s="872"/>
      <c r="L848" s="872"/>
      <c r="M848" s="872"/>
      <c r="N848" s="872"/>
      <c r="O848" s="872"/>
      <c r="P848" s="872"/>
      <c r="Q848" s="872"/>
      <c r="R848" s="872"/>
      <c r="S848" s="872"/>
      <c r="T848" s="872"/>
      <c r="U848" s="872"/>
      <c r="V848" s="872"/>
      <c r="W848" s="872"/>
      <c r="X848" s="872"/>
      <c r="Y848" s="872"/>
      <c r="Z848" s="872"/>
    </row>
    <row r="849" ht="14.25" customHeight="1">
      <c r="A849" s="872"/>
      <c r="B849" s="872"/>
      <c r="C849" s="872"/>
      <c r="D849" s="872"/>
      <c r="E849" s="872"/>
      <c r="F849" s="872"/>
      <c r="G849" s="872"/>
      <c r="H849" s="872"/>
      <c r="I849" s="872"/>
      <c r="J849" s="872"/>
      <c r="K849" s="872"/>
      <c r="L849" s="872"/>
      <c r="M849" s="872"/>
      <c r="N849" s="872"/>
      <c r="O849" s="872"/>
      <c r="P849" s="872"/>
      <c r="Q849" s="872"/>
      <c r="R849" s="872"/>
      <c r="S849" s="872"/>
      <c r="T849" s="872"/>
      <c r="U849" s="872"/>
      <c r="V849" s="872"/>
      <c r="W849" s="872"/>
      <c r="X849" s="872"/>
      <c r="Y849" s="872"/>
      <c r="Z849" s="872"/>
    </row>
    <row r="850" ht="14.25" customHeight="1">
      <c r="A850" s="872"/>
      <c r="B850" s="872"/>
      <c r="C850" s="872"/>
      <c r="D850" s="872"/>
      <c r="E850" s="872"/>
      <c r="F850" s="872"/>
      <c r="G850" s="872"/>
      <c r="H850" s="872"/>
      <c r="I850" s="872"/>
      <c r="J850" s="872"/>
      <c r="K850" s="872"/>
      <c r="L850" s="872"/>
      <c r="M850" s="872"/>
      <c r="N850" s="872"/>
      <c r="O850" s="872"/>
      <c r="P850" s="872"/>
      <c r="Q850" s="872"/>
      <c r="R850" s="872"/>
      <c r="S850" s="872"/>
      <c r="T850" s="872"/>
      <c r="U850" s="872"/>
      <c r="V850" s="872"/>
      <c r="W850" s="872"/>
      <c r="X850" s="872"/>
      <c r="Y850" s="872"/>
      <c r="Z850" s="872"/>
    </row>
    <row r="851" ht="14.25" customHeight="1">
      <c r="A851" s="872"/>
      <c r="B851" s="872"/>
      <c r="C851" s="872"/>
      <c r="D851" s="872"/>
      <c r="E851" s="872"/>
      <c r="F851" s="872"/>
      <c r="G851" s="872"/>
      <c r="H851" s="872"/>
      <c r="I851" s="872"/>
      <c r="J851" s="872"/>
      <c r="K851" s="872"/>
      <c r="L851" s="872"/>
      <c r="M851" s="872"/>
      <c r="N851" s="872"/>
      <c r="O851" s="872"/>
      <c r="P851" s="872"/>
      <c r="Q851" s="872"/>
      <c r="R851" s="872"/>
      <c r="S851" s="872"/>
      <c r="T851" s="872"/>
      <c r="U851" s="872"/>
      <c r="V851" s="872"/>
      <c r="W851" s="872"/>
      <c r="X851" s="872"/>
      <c r="Y851" s="872"/>
      <c r="Z851" s="872"/>
    </row>
    <row r="852" ht="14.25" customHeight="1">
      <c r="A852" s="872"/>
      <c r="B852" s="872"/>
      <c r="C852" s="872"/>
      <c r="D852" s="872"/>
      <c r="E852" s="872"/>
      <c r="F852" s="872"/>
      <c r="G852" s="872"/>
      <c r="H852" s="872"/>
      <c r="I852" s="872"/>
      <c r="J852" s="872"/>
      <c r="K852" s="872"/>
      <c r="L852" s="872"/>
      <c r="M852" s="872"/>
      <c r="N852" s="872"/>
      <c r="O852" s="872"/>
      <c r="P852" s="872"/>
      <c r="Q852" s="872"/>
      <c r="R852" s="872"/>
      <c r="S852" s="872"/>
      <c r="T852" s="872"/>
      <c r="U852" s="872"/>
      <c r="V852" s="872"/>
      <c r="W852" s="872"/>
      <c r="X852" s="872"/>
      <c r="Y852" s="872"/>
      <c r="Z852" s="872"/>
    </row>
    <row r="853" ht="14.25" customHeight="1">
      <c r="A853" s="872"/>
      <c r="B853" s="872"/>
      <c r="C853" s="872"/>
      <c r="D853" s="872"/>
      <c r="E853" s="872"/>
      <c r="F853" s="872"/>
      <c r="G853" s="872"/>
      <c r="H853" s="872"/>
      <c r="I853" s="872"/>
      <c r="J853" s="872"/>
      <c r="K853" s="872"/>
      <c r="L853" s="872"/>
      <c r="M853" s="872"/>
      <c r="N853" s="872"/>
      <c r="O853" s="872"/>
      <c r="P853" s="872"/>
      <c r="Q853" s="872"/>
      <c r="R853" s="872"/>
      <c r="S853" s="872"/>
      <c r="T853" s="872"/>
      <c r="U853" s="872"/>
      <c r="V853" s="872"/>
      <c r="W853" s="872"/>
      <c r="X853" s="872"/>
      <c r="Y853" s="872"/>
      <c r="Z853" s="872"/>
    </row>
    <row r="854" ht="14.25" customHeight="1">
      <c r="A854" s="872"/>
      <c r="B854" s="872"/>
      <c r="C854" s="872"/>
      <c r="D854" s="872"/>
      <c r="E854" s="872"/>
      <c r="F854" s="872"/>
      <c r="G854" s="872"/>
      <c r="H854" s="872"/>
      <c r="I854" s="872"/>
      <c r="J854" s="872"/>
      <c r="K854" s="872"/>
      <c r="L854" s="872"/>
      <c r="M854" s="872"/>
      <c r="N854" s="872"/>
      <c r="O854" s="872"/>
      <c r="P854" s="872"/>
      <c r="Q854" s="872"/>
      <c r="R854" s="872"/>
      <c r="S854" s="872"/>
      <c r="T854" s="872"/>
      <c r="U854" s="872"/>
      <c r="V854" s="872"/>
      <c r="W854" s="872"/>
      <c r="X854" s="872"/>
      <c r="Y854" s="872"/>
      <c r="Z854" s="872"/>
    </row>
    <row r="855" ht="14.25" customHeight="1">
      <c r="A855" s="872"/>
      <c r="B855" s="872"/>
      <c r="C855" s="872"/>
      <c r="D855" s="872"/>
      <c r="E855" s="872"/>
      <c r="F855" s="872"/>
      <c r="G855" s="872"/>
      <c r="H855" s="872"/>
      <c r="I855" s="872"/>
      <c r="J855" s="872"/>
      <c r="K855" s="872"/>
      <c r="L855" s="872"/>
      <c r="M855" s="872"/>
      <c r="N855" s="872"/>
      <c r="O855" s="872"/>
      <c r="P855" s="872"/>
      <c r="Q855" s="872"/>
      <c r="R855" s="872"/>
      <c r="S855" s="872"/>
      <c r="T855" s="872"/>
      <c r="U855" s="872"/>
      <c r="V855" s="872"/>
      <c r="W855" s="872"/>
      <c r="X855" s="872"/>
      <c r="Y855" s="872"/>
      <c r="Z855" s="872"/>
    </row>
    <row r="856" ht="14.25" customHeight="1">
      <c r="A856" s="872"/>
      <c r="B856" s="872"/>
      <c r="C856" s="872"/>
      <c r="D856" s="872"/>
      <c r="E856" s="872"/>
      <c r="F856" s="872"/>
      <c r="G856" s="872"/>
      <c r="H856" s="872"/>
      <c r="I856" s="872"/>
      <c r="J856" s="872"/>
      <c r="K856" s="872"/>
      <c r="L856" s="872"/>
      <c r="M856" s="872"/>
      <c r="N856" s="872"/>
      <c r="O856" s="872"/>
      <c r="P856" s="872"/>
      <c r="Q856" s="872"/>
      <c r="R856" s="872"/>
      <c r="S856" s="872"/>
      <c r="T856" s="872"/>
      <c r="U856" s="872"/>
      <c r="V856" s="872"/>
      <c r="W856" s="872"/>
      <c r="X856" s="872"/>
      <c r="Y856" s="872"/>
      <c r="Z856" s="872"/>
    </row>
    <row r="857" ht="14.25" customHeight="1">
      <c r="A857" s="872"/>
      <c r="B857" s="872"/>
      <c r="C857" s="872"/>
      <c r="D857" s="872"/>
      <c r="E857" s="872"/>
      <c r="F857" s="872"/>
      <c r="G857" s="872"/>
      <c r="H857" s="872"/>
      <c r="I857" s="872"/>
      <c r="J857" s="872"/>
      <c r="K857" s="872"/>
      <c r="L857" s="872"/>
      <c r="M857" s="872"/>
      <c r="N857" s="872"/>
      <c r="O857" s="872"/>
      <c r="P857" s="872"/>
      <c r="Q857" s="872"/>
      <c r="R857" s="872"/>
      <c r="S857" s="872"/>
      <c r="T857" s="872"/>
      <c r="U857" s="872"/>
      <c r="V857" s="872"/>
      <c r="W857" s="872"/>
      <c r="X857" s="872"/>
      <c r="Y857" s="872"/>
      <c r="Z857" s="872"/>
    </row>
    <row r="858" ht="14.25" customHeight="1">
      <c r="A858" s="872"/>
      <c r="B858" s="872"/>
      <c r="C858" s="872"/>
      <c r="D858" s="872"/>
      <c r="E858" s="872"/>
      <c r="F858" s="872"/>
      <c r="G858" s="872"/>
      <c r="H858" s="872"/>
      <c r="I858" s="872"/>
      <c r="J858" s="872"/>
      <c r="K858" s="872"/>
      <c r="L858" s="872"/>
      <c r="M858" s="872"/>
      <c r="N858" s="872"/>
      <c r="O858" s="872"/>
      <c r="P858" s="872"/>
      <c r="Q858" s="872"/>
      <c r="R858" s="872"/>
      <c r="S858" s="872"/>
      <c r="T858" s="872"/>
      <c r="U858" s="872"/>
      <c r="V858" s="872"/>
      <c r="W858" s="872"/>
      <c r="X858" s="872"/>
      <c r="Y858" s="872"/>
      <c r="Z858" s="872"/>
    </row>
    <row r="859" ht="14.25" customHeight="1">
      <c r="A859" s="872"/>
      <c r="B859" s="872"/>
      <c r="C859" s="872"/>
      <c r="D859" s="872"/>
      <c r="E859" s="872"/>
      <c r="F859" s="872"/>
      <c r="G859" s="872"/>
      <c r="H859" s="872"/>
      <c r="I859" s="872"/>
      <c r="J859" s="872"/>
      <c r="K859" s="872"/>
      <c r="L859" s="872"/>
      <c r="M859" s="872"/>
      <c r="N859" s="872"/>
      <c r="O859" s="872"/>
      <c r="P859" s="872"/>
      <c r="Q859" s="872"/>
      <c r="R859" s="872"/>
      <c r="S859" s="872"/>
      <c r="T859" s="872"/>
      <c r="U859" s="872"/>
      <c r="V859" s="872"/>
      <c r="W859" s="872"/>
      <c r="X859" s="872"/>
      <c r="Y859" s="872"/>
      <c r="Z859" s="872"/>
    </row>
    <row r="860" ht="14.25" customHeight="1">
      <c r="A860" s="872"/>
      <c r="B860" s="872"/>
      <c r="C860" s="872"/>
      <c r="D860" s="872"/>
      <c r="E860" s="872"/>
      <c r="F860" s="872"/>
      <c r="G860" s="872"/>
      <c r="H860" s="872"/>
      <c r="I860" s="872"/>
      <c r="J860" s="872"/>
      <c r="K860" s="872"/>
      <c r="L860" s="872"/>
      <c r="M860" s="872"/>
      <c r="N860" s="872"/>
      <c r="O860" s="872"/>
      <c r="P860" s="872"/>
      <c r="Q860" s="872"/>
      <c r="R860" s="872"/>
      <c r="S860" s="872"/>
      <c r="T860" s="872"/>
      <c r="U860" s="872"/>
      <c r="V860" s="872"/>
      <c r="W860" s="872"/>
      <c r="X860" s="872"/>
      <c r="Y860" s="872"/>
      <c r="Z860" s="872"/>
    </row>
    <row r="861" ht="14.25" customHeight="1">
      <c r="A861" s="872"/>
      <c r="B861" s="872"/>
      <c r="C861" s="872"/>
      <c r="D861" s="872"/>
      <c r="E861" s="872"/>
      <c r="F861" s="872"/>
      <c r="G861" s="872"/>
      <c r="H861" s="872"/>
      <c r="I861" s="872"/>
      <c r="J861" s="872"/>
      <c r="K861" s="872"/>
      <c r="L861" s="872"/>
      <c r="M861" s="872"/>
      <c r="N861" s="872"/>
      <c r="O861" s="872"/>
      <c r="P861" s="872"/>
      <c r="Q861" s="872"/>
      <c r="R861" s="872"/>
      <c r="S861" s="872"/>
      <c r="T861" s="872"/>
      <c r="U861" s="872"/>
      <c r="V861" s="872"/>
      <c r="W861" s="872"/>
      <c r="X861" s="872"/>
      <c r="Y861" s="872"/>
      <c r="Z861" s="872"/>
    </row>
    <row r="862" ht="14.25" customHeight="1">
      <c r="A862" s="872"/>
      <c r="B862" s="872"/>
      <c r="C862" s="872"/>
      <c r="D862" s="872"/>
      <c r="E862" s="872"/>
      <c r="F862" s="872"/>
      <c r="G862" s="872"/>
      <c r="H862" s="872"/>
      <c r="I862" s="872"/>
      <c r="J862" s="872"/>
      <c r="K862" s="872"/>
      <c r="L862" s="872"/>
      <c r="M862" s="872"/>
      <c r="N862" s="872"/>
      <c r="O862" s="872"/>
      <c r="P862" s="872"/>
      <c r="Q862" s="872"/>
      <c r="R862" s="872"/>
      <c r="S862" s="872"/>
      <c r="T862" s="872"/>
      <c r="U862" s="872"/>
      <c r="V862" s="872"/>
      <c r="W862" s="872"/>
      <c r="X862" s="872"/>
      <c r="Y862" s="872"/>
      <c r="Z862" s="872"/>
    </row>
    <row r="863" ht="14.25" customHeight="1">
      <c r="A863" s="872"/>
      <c r="B863" s="872"/>
      <c r="C863" s="872"/>
      <c r="D863" s="872"/>
      <c r="E863" s="872"/>
      <c r="F863" s="872"/>
      <c r="G863" s="872"/>
      <c r="H863" s="872"/>
      <c r="I863" s="872"/>
      <c r="J863" s="872"/>
      <c r="K863" s="872"/>
      <c r="L863" s="872"/>
      <c r="M863" s="872"/>
      <c r="N863" s="872"/>
      <c r="O863" s="872"/>
      <c r="P863" s="872"/>
      <c r="Q863" s="872"/>
      <c r="R863" s="872"/>
      <c r="S863" s="872"/>
      <c r="T863" s="872"/>
      <c r="U863" s="872"/>
      <c r="V863" s="872"/>
      <c r="W863" s="872"/>
      <c r="X863" s="872"/>
      <c r="Y863" s="872"/>
      <c r="Z863" s="872"/>
    </row>
    <row r="864" ht="14.25" customHeight="1">
      <c r="A864" s="872"/>
      <c r="B864" s="872"/>
      <c r="C864" s="872"/>
      <c r="D864" s="872"/>
      <c r="E864" s="872"/>
      <c r="F864" s="872"/>
      <c r="G864" s="872"/>
      <c r="H864" s="872"/>
      <c r="I864" s="872"/>
      <c r="J864" s="872"/>
      <c r="K864" s="872"/>
      <c r="L864" s="872"/>
      <c r="M864" s="872"/>
      <c r="N864" s="872"/>
      <c r="O864" s="872"/>
      <c r="P864" s="872"/>
      <c r="Q864" s="872"/>
      <c r="R864" s="872"/>
      <c r="S864" s="872"/>
      <c r="T864" s="872"/>
      <c r="U864" s="872"/>
      <c r="V864" s="872"/>
      <c r="W864" s="872"/>
      <c r="X864" s="872"/>
      <c r="Y864" s="872"/>
      <c r="Z864" s="872"/>
    </row>
    <row r="865" ht="14.25" customHeight="1">
      <c r="A865" s="872"/>
      <c r="B865" s="872"/>
      <c r="C865" s="872"/>
      <c r="D865" s="872"/>
      <c r="E865" s="872"/>
      <c r="F865" s="872"/>
      <c r="G865" s="872"/>
      <c r="H865" s="872"/>
      <c r="I865" s="872"/>
      <c r="J865" s="872"/>
      <c r="K865" s="872"/>
      <c r="L865" s="872"/>
      <c r="M865" s="872"/>
      <c r="N865" s="872"/>
      <c r="O865" s="872"/>
      <c r="P865" s="872"/>
      <c r="Q865" s="872"/>
      <c r="R865" s="872"/>
      <c r="S865" s="872"/>
      <c r="T865" s="872"/>
      <c r="U865" s="872"/>
      <c r="V865" s="872"/>
      <c r="W865" s="872"/>
      <c r="X865" s="872"/>
      <c r="Y865" s="872"/>
      <c r="Z865" s="872"/>
    </row>
    <row r="866" ht="14.25" customHeight="1">
      <c r="A866" s="872"/>
      <c r="B866" s="872"/>
      <c r="C866" s="872"/>
      <c r="D866" s="872"/>
      <c r="E866" s="872"/>
      <c r="F866" s="872"/>
      <c r="G866" s="872"/>
      <c r="H866" s="872"/>
      <c r="I866" s="872"/>
      <c r="J866" s="872"/>
      <c r="K866" s="872"/>
      <c r="L866" s="872"/>
      <c r="M866" s="872"/>
      <c r="N866" s="872"/>
      <c r="O866" s="872"/>
      <c r="P866" s="872"/>
      <c r="Q866" s="872"/>
      <c r="R866" s="872"/>
      <c r="S866" s="872"/>
      <c r="T866" s="872"/>
      <c r="U866" s="872"/>
      <c r="V866" s="872"/>
      <c r="W866" s="872"/>
      <c r="X866" s="872"/>
      <c r="Y866" s="872"/>
      <c r="Z866" s="872"/>
    </row>
    <row r="867" ht="14.25" customHeight="1">
      <c r="A867" s="872"/>
      <c r="B867" s="872"/>
      <c r="C867" s="872"/>
      <c r="D867" s="872"/>
      <c r="E867" s="872"/>
      <c r="F867" s="872"/>
      <c r="G867" s="872"/>
      <c r="H867" s="872"/>
      <c r="I867" s="872"/>
      <c r="J867" s="872"/>
      <c r="K867" s="872"/>
      <c r="L867" s="872"/>
      <c r="M867" s="872"/>
      <c r="N867" s="872"/>
      <c r="O867" s="872"/>
      <c r="P867" s="872"/>
      <c r="Q867" s="872"/>
      <c r="R867" s="872"/>
      <c r="S867" s="872"/>
      <c r="T867" s="872"/>
      <c r="U867" s="872"/>
      <c r="V867" s="872"/>
      <c r="W867" s="872"/>
      <c r="X867" s="872"/>
      <c r="Y867" s="872"/>
      <c r="Z867" s="872"/>
    </row>
    <row r="868" ht="14.25" customHeight="1">
      <c r="A868" s="872"/>
      <c r="B868" s="872"/>
      <c r="C868" s="872"/>
      <c r="D868" s="872"/>
      <c r="E868" s="872"/>
      <c r="F868" s="872"/>
      <c r="G868" s="872"/>
      <c r="H868" s="872"/>
      <c r="I868" s="872"/>
      <c r="J868" s="872"/>
      <c r="K868" s="872"/>
      <c r="L868" s="872"/>
      <c r="M868" s="872"/>
      <c r="N868" s="872"/>
      <c r="O868" s="872"/>
      <c r="P868" s="872"/>
      <c r="Q868" s="872"/>
      <c r="R868" s="872"/>
      <c r="S868" s="872"/>
      <c r="T868" s="872"/>
      <c r="U868" s="872"/>
      <c r="V868" s="872"/>
      <c r="W868" s="872"/>
      <c r="X868" s="872"/>
      <c r="Y868" s="872"/>
      <c r="Z868" s="872"/>
    </row>
    <row r="869" ht="14.25" customHeight="1">
      <c r="A869" s="872"/>
      <c r="B869" s="872"/>
      <c r="C869" s="872"/>
      <c r="D869" s="872"/>
      <c r="E869" s="872"/>
      <c r="F869" s="872"/>
      <c r="G869" s="872"/>
      <c r="H869" s="872"/>
      <c r="I869" s="872"/>
      <c r="J869" s="872"/>
      <c r="K869" s="872"/>
      <c r="L869" s="872"/>
      <c r="M869" s="872"/>
      <c r="N869" s="872"/>
      <c r="O869" s="872"/>
      <c r="P869" s="872"/>
      <c r="Q869" s="872"/>
      <c r="R869" s="872"/>
      <c r="S869" s="872"/>
      <c r="T869" s="872"/>
      <c r="U869" s="872"/>
      <c r="V869" s="872"/>
      <c r="W869" s="872"/>
      <c r="X869" s="872"/>
      <c r="Y869" s="872"/>
      <c r="Z869" s="872"/>
    </row>
    <row r="870" ht="14.25" customHeight="1">
      <c r="A870" s="872"/>
      <c r="B870" s="872"/>
      <c r="C870" s="872"/>
      <c r="D870" s="872"/>
      <c r="E870" s="872"/>
      <c r="F870" s="872"/>
      <c r="G870" s="872"/>
      <c r="H870" s="872"/>
      <c r="I870" s="872"/>
      <c r="J870" s="872"/>
      <c r="K870" s="872"/>
      <c r="L870" s="872"/>
      <c r="M870" s="872"/>
      <c r="N870" s="872"/>
      <c r="O870" s="872"/>
      <c r="P870" s="872"/>
      <c r="Q870" s="872"/>
      <c r="R870" s="872"/>
      <c r="S870" s="872"/>
      <c r="T870" s="872"/>
      <c r="U870" s="872"/>
      <c r="V870" s="872"/>
      <c r="W870" s="872"/>
      <c r="X870" s="872"/>
      <c r="Y870" s="872"/>
      <c r="Z870" s="872"/>
    </row>
    <row r="871" ht="14.25" customHeight="1">
      <c r="A871" s="872"/>
      <c r="B871" s="872"/>
      <c r="C871" s="872"/>
      <c r="D871" s="872"/>
      <c r="E871" s="872"/>
      <c r="F871" s="872"/>
      <c r="G871" s="872"/>
      <c r="H871" s="872"/>
      <c r="I871" s="872"/>
      <c r="J871" s="872"/>
      <c r="K871" s="872"/>
      <c r="L871" s="872"/>
      <c r="M871" s="872"/>
      <c r="N871" s="872"/>
      <c r="O871" s="872"/>
      <c r="P871" s="872"/>
      <c r="Q871" s="872"/>
      <c r="R871" s="872"/>
      <c r="S871" s="872"/>
      <c r="T871" s="872"/>
      <c r="U871" s="872"/>
      <c r="V871" s="872"/>
      <c r="W871" s="872"/>
      <c r="X871" s="872"/>
      <c r="Y871" s="872"/>
      <c r="Z871" s="872"/>
    </row>
    <row r="872" ht="14.25" customHeight="1">
      <c r="A872" s="872"/>
      <c r="B872" s="872"/>
      <c r="C872" s="872"/>
      <c r="D872" s="872"/>
      <c r="E872" s="872"/>
      <c r="F872" s="872"/>
      <c r="G872" s="872"/>
      <c r="H872" s="872"/>
      <c r="I872" s="872"/>
      <c r="J872" s="872"/>
      <c r="K872" s="872"/>
      <c r="L872" s="872"/>
      <c r="M872" s="872"/>
      <c r="N872" s="872"/>
      <c r="O872" s="872"/>
      <c r="P872" s="872"/>
      <c r="Q872" s="872"/>
      <c r="R872" s="872"/>
      <c r="S872" s="872"/>
      <c r="T872" s="872"/>
      <c r="U872" s="872"/>
      <c r="V872" s="872"/>
      <c r="W872" s="872"/>
      <c r="X872" s="872"/>
      <c r="Y872" s="872"/>
      <c r="Z872" s="872"/>
    </row>
    <row r="873" ht="14.25" customHeight="1">
      <c r="A873" s="872"/>
      <c r="B873" s="872"/>
      <c r="C873" s="872"/>
      <c r="D873" s="872"/>
      <c r="E873" s="872"/>
      <c r="F873" s="872"/>
      <c r="G873" s="872"/>
      <c r="H873" s="872"/>
      <c r="I873" s="872"/>
      <c r="J873" s="872"/>
      <c r="K873" s="872"/>
      <c r="L873" s="872"/>
      <c r="M873" s="872"/>
      <c r="N873" s="872"/>
      <c r="O873" s="872"/>
      <c r="P873" s="872"/>
      <c r="Q873" s="872"/>
      <c r="R873" s="872"/>
      <c r="S873" s="872"/>
      <c r="T873" s="872"/>
      <c r="U873" s="872"/>
      <c r="V873" s="872"/>
      <c r="W873" s="872"/>
      <c r="X873" s="872"/>
      <c r="Y873" s="872"/>
      <c r="Z873" s="872"/>
    </row>
    <row r="874" ht="14.25" customHeight="1">
      <c r="A874" s="872"/>
      <c r="B874" s="872"/>
      <c r="C874" s="872"/>
      <c r="D874" s="872"/>
      <c r="E874" s="872"/>
      <c r="F874" s="872"/>
      <c r="G874" s="872"/>
      <c r="H874" s="872"/>
      <c r="I874" s="872"/>
      <c r="J874" s="872"/>
      <c r="K874" s="872"/>
      <c r="L874" s="872"/>
      <c r="M874" s="872"/>
      <c r="N874" s="872"/>
      <c r="O874" s="872"/>
      <c r="P874" s="872"/>
      <c r="Q874" s="872"/>
      <c r="R874" s="872"/>
      <c r="S874" s="872"/>
      <c r="T874" s="872"/>
      <c r="U874" s="872"/>
      <c r="V874" s="872"/>
      <c r="W874" s="872"/>
      <c r="X874" s="872"/>
      <c r="Y874" s="872"/>
      <c r="Z874" s="872"/>
    </row>
    <row r="875" ht="14.25" customHeight="1">
      <c r="A875" s="872"/>
      <c r="B875" s="872"/>
      <c r="C875" s="872"/>
      <c r="D875" s="872"/>
      <c r="E875" s="872"/>
      <c r="F875" s="872"/>
      <c r="G875" s="872"/>
      <c r="H875" s="872"/>
      <c r="I875" s="872"/>
      <c r="J875" s="872"/>
      <c r="K875" s="872"/>
      <c r="L875" s="872"/>
      <c r="M875" s="872"/>
      <c r="N875" s="872"/>
      <c r="O875" s="872"/>
      <c r="P875" s="872"/>
      <c r="Q875" s="872"/>
      <c r="R875" s="872"/>
      <c r="S875" s="872"/>
      <c r="T875" s="872"/>
      <c r="U875" s="872"/>
      <c r="V875" s="872"/>
      <c r="W875" s="872"/>
      <c r="X875" s="872"/>
      <c r="Y875" s="872"/>
      <c r="Z875" s="872"/>
    </row>
    <row r="876" ht="14.25" customHeight="1">
      <c r="A876" s="872"/>
      <c r="B876" s="872"/>
      <c r="C876" s="872"/>
      <c r="D876" s="872"/>
      <c r="E876" s="872"/>
      <c r="F876" s="872"/>
      <c r="G876" s="872"/>
      <c r="H876" s="872"/>
      <c r="I876" s="872"/>
      <c r="J876" s="872"/>
      <c r="K876" s="872"/>
      <c r="L876" s="872"/>
      <c r="M876" s="872"/>
      <c r="N876" s="872"/>
      <c r="O876" s="872"/>
      <c r="P876" s="872"/>
      <c r="Q876" s="872"/>
      <c r="R876" s="872"/>
      <c r="S876" s="872"/>
      <c r="T876" s="872"/>
      <c r="U876" s="872"/>
      <c r="V876" s="872"/>
      <c r="W876" s="872"/>
      <c r="X876" s="872"/>
      <c r="Y876" s="872"/>
      <c r="Z876" s="872"/>
    </row>
    <row r="877" ht="14.25" customHeight="1">
      <c r="A877" s="872"/>
      <c r="B877" s="872"/>
      <c r="C877" s="872"/>
      <c r="D877" s="872"/>
      <c r="E877" s="872"/>
      <c r="F877" s="872"/>
      <c r="G877" s="872"/>
      <c r="H877" s="872"/>
      <c r="I877" s="872"/>
      <c r="J877" s="872"/>
      <c r="K877" s="872"/>
      <c r="L877" s="872"/>
      <c r="M877" s="872"/>
      <c r="N877" s="872"/>
      <c r="O877" s="872"/>
      <c r="P877" s="872"/>
      <c r="Q877" s="872"/>
      <c r="R877" s="872"/>
      <c r="S877" s="872"/>
      <c r="T877" s="872"/>
      <c r="U877" s="872"/>
      <c r="V877" s="872"/>
      <c r="W877" s="872"/>
      <c r="X877" s="872"/>
      <c r="Y877" s="872"/>
      <c r="Z877" s="872"/>
    </row>
    <row r="878" ht="14.25" customHeight="1">
      <c r="A878" s="872"/>
      <c r="B878" s="872"/>
      <c r="C878" s="872"/>
      <c r="D878" s="872"/>
      <c r="E878" s="872"/>
      <c r="F878" s="872"/>
      <c r="G878" s="872"/>
      <c r="H878" s="872"/>
      <c r="I878" s="872"/>
      <c r="J878" s="872"/>
      <c r="K878" s="872"/>
      <c r="L878" s="872"/>
      <c r="M878" s="872"/>
      <c r="N878" s="872"/>
      <c r="O878" s="872"/>
      <c r="P878" s="872"/>
      <c r="Q878" s="872"/>
      <c r="R878" s="872"/>
      <c r="S878" s="872"/>
      <c r="T878" s="872"/>
      <c r="U878" s="872"/>
      <c r="V878" s="872"/>
      <c r="W878" s="872"/>
      <c r="X878" s="872"/>
      <c r="Y878" s="872"/>
      <c r="Z878" s="872"/>
    </row>
    <row r="879" ht="14.25" customHeight="1">
      <c r="A879" s="872"/>
      <c r="B879" s="872"/>
      <c r="C879" s="872"/>
      <c r="D879" s="872"/>
      <c r="E879" s="872"/>
      <c r="F879" s="872"/>
      <c r="G879" s="872"/>
      <c r="H879" s="872"/>
      <c r="I879" s="872"/>
      <c r="J879" s="872"/>
      <c r="K879" s="872"/>
      <c r="L879" s="872"/>
      <c r="M879" s="872"/>
      <c r="N879" s="872"/>
      <c r="O879" s="872"/>
      <c r="P879" s="872"/>
      <c r="Q879" s="872"/>
      <c r="R879" s="872"/>
      <c r="S879" s="872"/>
      <c r="T879" s="872"/>
      <c r="U879" s="872"/>
      <c r="V879" s="872"/>
      <c r="W879" s="872"/>
      <c r="X879" s="872"/>
      <c r="Y879" s="872"/>
      <c r="Z879" s="872"/>
    </row>
    <row r="880" ht="14.25" customHeight="1">
      <c r="A880" s="872"/>
      <c r="B880" s="872"/>
      <c r="C880" s="872"/>
      <c r="D880" s="872"/>
      <c r="E880" s="872"/>
      <c r="F880" s="872"/>
      <c r="G880" s="872"/>
      <c r="H880" s="872"/>
      <c r="I880" s="872"/>
      <c r="J880" s="872"/>
      <c r="K880" s="872"/>
      <c r="L880" s="872"/>
      <c r="M880" s="872"/>
      <c r="N880" s="872"/>
      <c r="O880" s="872"/>
      <c r="P880" s="872"/>
      <c r="Q880" s="872"/>
      <c r="R880" s="872"/>
      <c r="S880" s="872"/>
      <c r="T880" s="872"/>
      <c r="U880" s="872"/>
      <c r="V880" s="872"/>
      <c r="W880" s="872"/>
      <c r="X880" s="872"/>
      <c r="Y880" s="872"/>
      <c r="Z880" s="872"/>
    </row>
    <row r="881" ht="14.25" customHeight="1">
      <c r="A881" s="872"/>
      <c r="B881" s="872"/>
      <c r="C881" s="872"/>
      <c r="D881" s="872"/>
      <c r="E881" s="872"/>
      <c r="F881" s="872"/>
      <c r="G881" s="872"/>
      <c r="H881" s="872"/>
      <c r="I881" s="872"/>
      <c r="J881" s="872"/>
      <c r="K881" s="872"/>
      <c r="L881" s="872"/>
      <c r="M881" s="872"/>
      <c r="N881" s="872"/>
      <c r="O881" s="872"/>
      <c r="P881" s="872"/>
      <c r="Q881" s="872"/>
      <c r="R881" s="872"/>
      <c r="S881" s="872"/>
      <c r="T881" s="872"/>
      <c r="U881" s="872"/>
      <c r="V881" s="872"/>
      <c r="W881" s="872"/>
      <c r="X881" s="872"/>
      <c r="Y881" s="872"/>
      <c r="Z881" s="872"/>
    </row>
    <row r="882" ht="14.25" customHeight="1">
      <c r="A882" s="872"/>
      <c r="B882" s="872"/>
      <c r="C882" s="872"/>
      <c r="D882" s="872"/>
      <c r="E882" s="872"/>
      <c r="F882" s="872"/>
      <c r="G882" s="872"/>
      <c r="H882" s="872"/>
      <c r="I882" s="872"/>
      <c r="J882" s="872"/>
      <c r="K882" s="872"/>
      <c r="L882" s="872"/>
      <c r="M882" s="872"/>
      <c r="N882" s="872"/>
      <c r="O882" s="872"/>
      <c r="P882" s="872"/>
      <c r="Q882" s="872"/>
      <c r="R882" s="872"/>
      <c r="S882" s="872"/>
      <c r="T882" s="872"/>
      <c r="U882" s="872"/>
      <c r="V882" s="872"/>
      <c r="W882" s="872"/>
      <c r="X882" s="872"/>
      <c r="Y882" s="872"/>
      <c r="Z882" s="872"/>
    </row>
    <row r="883" ht="14.25" customHeight="1">
      <c r="A883" s="872"/>
      <c r="B883" s="872"/>
      <c r="C883" s="872"/>
      <c r="D883" s="872"/>
      <c r="E883" s="872"/>
      <c r="F883" s="872"/>
      <c r="G883" s="872"/>
      <c r="H883" s="872"/>
      <c r="I883" s="872"/>
      <c r="J883" s="872"/>
      <c r="K883" s="872"/>
      <c r="L883" s="872"/>
      <c r="M883" s="872"/>
      <c r="N883" s="872"/>
      <c r="O883" s="872"/>
      <c r="P883" s="872"/>
      <c r="Q883" s="872"/>
      <c r="R883" s="872"/>
      <c r="S883" s="872"/>
      <c r="T883" s="872"/>
      <c r="U883" s="872"/>
      <c r="V883" s="872"/>
      <c r="W883" s="872"/>
      <c r="X883" s="872"/>
      <c r="Y883" s="872"/>
      <c r="Z883" s="872"/>
    </row>
    <row r="884" ht="14.25" customHeight="1">
      <c r="A884" s="872"/>
      <c r="B884" s="872"/>
      <c r="C884" s="872"/>
      <c r="D884" s="872"/>
      <c r="E884" s="872"/>
      <c r="F884" s="872"/>
      <c r="G884" s="872"/>
      <c r="H884" s="872"/>
      <c r="I884" s="872"/>
      <c r="J884" s="872"/>
      <c r="K884" s="872"/>
      <c r="L884" s="872"/>
      <c r="M884" s="872"/>
      <c r="N884" s="872"/>
      <c r="O884" s="872"/>
      <c r="P884" s="872"/>
      <c r="Q884" s="872"/>
      <c r="R884" s="872"/>
      <c r="S884" s="872"/>
      <c r="T884" s="872"/>
      <c r="U884" s="872"/>
      <c r="V884" s="872"/>
      <c r="W884" s="872"/>
      <c r="X884" s="872"/>
      <c r="Y884" s="872"/>
      <c r="Z884" s="872"/>
    </row>
    <row r="885" ht="14.25" customHeight="1">
      <c r="A885" s="872"/>
      <c r="B885" s="872"/>
      <c r="C885" s="872"/>
      <c r="D885" s="872"/>
      <c r="E885" s="872"/>
      <c r="F885" s="872"/>
      <c r="G885" s="872"/>
      <c r="H885" s="872"/>
      <c r="I885" s="872"/>
      <c r="J885" s="872"/>
      <c r="K885" s="872"/>
      <c r="L885" s="872"/>
      <c r="M885" s="872"/>
      <c r="N885" s="872"/>
      <c r="O885" s="872"/>
      <c r="P885" s="872"/>
      <c r="Q885" s="872"/>
      <c r="R885" s="872"/>
      <c r="S885" s="872"/>
      <c r="T885" s="872"/>
      <c r="U885" s="872"/>
      <c r="V885" s="872"/>
      <c r="W885" s="872"/>
      <c r="X885" s="872"/>
      <c r="Y885" s="872"/>
      <c r="Z885" s="872"/>
    </row>
    <row r="886" ht="14.25" customHeight="1">
      <c r="A886" s="872"/>
      <c r="B886" s="872"/>
      <c r="C886" s="872"/>
      <c r="D886" s="872"/>
      <c r="E886" s="872"/>
      <c r="F886" s="872"/>
      <c r="G886" s="872"/>
      <c r="H886" s="872"/>
      <c r="I886" s="872"/>
      <c r="J886" s="872"/>
      <c r="K886" s="872"/>
      <c r="L886" s="872"/>
      <c r="M886" s="872"/>
      <c r="N886" s="872"/>
      <c r="O886" s="872"/>
      <c r="P886" s="872"/>
      <c r="Q886" s="872"/>
      <c r="R886" s="872"/>
      <c r="S886" s="872"/>
      <c r="T886" s="872"/>
      <c r="U886" s="872"/>
      <c r="V886" s="872"/>
      <c r="W886" s="872"/>
      <c r="X886" s="872"/>
      <c r="Y886" s="872"/>
      <c r="Z886" s="872"/>
    </row>
    <row r="887" ht="14.25" customHeight="1">
      <c r="A887" s="872"/>
      <c r="B887" s="872"/>
      <c r="C887" s="872"/>
      <c r="D887" s="872"/>
      <c r="E887" s="872"/>
      <c r="F887" s="872"/>
      <c r="G887" s="872"/>
      <c r="H887" s="872"/>
      <c r="I887" s="872"/>
      <c r="J887" s="872"/>
      <c r="K887" s="872"/>
      <c r="L887" s="872"/>
      <c r="M887" s="872"/>
      <c r="N887" s="872"/>
      <c r="O887" s="872"/>
      <c r="P887" s="872"/>
      <c r="Q887" s="872"/>
      <c r="R887" s="872"/>
      <c r="S887" s="872"/>
      <c r="T887" s="872"/>
      <c r="U887" s="872"/>
      <c r="V887" s="872"/>
      <c r="W887" s="872"/>
      <c r="X887" s="872"/>
      <c r="Y887" s="872"/>
      <c r="Z887" s="872"/>
    </row>
    <row r="888" ht="14.25" customHeight="1">
      <c r="A888" s="872"/>
      <c r="B888" s="872"/>
      <c r="C888" s="872"/>
      <c r="D888" s="872"/>
      <c r="E888" s="872"/>
      <c r="F888" s="872"/>
      <c r="G888" s="872"/>
      <c r="H888" s="872"/>
      <c r="I888" s="872"/>
      <c r="J888" s="872"/>
      <c r="K888" s="872"/>
      <c r="L888" s="872"/>
      <c r="M888" s="872"/>
      <c r="N888" s="872"/>
      <c r="O888" s="872"/>
      <c r="P888" s="872"/>
      <c r="Q888" s="872"/>
      <c r="R888" s="872"/>
      <c r="S888" s="872"/>
      <c r="T888" s="872"/>
      <c r="U888" s="872"/>
      <c r="V888" s="872"/>
      <c r="W888" s="872"/>
      <c r="X888" s="872"/>
      <c r="Y888" s="872"/>
      <c r="Z888" s="872"/>
    </row>
    <row r="889" ht="14.25" customHeight="1">
      <c r="A889" s="872"/>
      <c r="B889" s="872"/>
      <c r="C889" s="872"/>
      <c r="D889" s="872"/>
      <c r="E889" s="872"/>
      <c r="F889" s="872"/>
      <c r="G889" s="872"/>
      <c r="H889" s="872"/>
      <c r="I889" s="872"/>
      <c r="J889" s="872"/>
      <c r="K889" s="872"/>
      <c r="L889" s="872"/>
      <c r="M889" s="872"/>
      <c r="N889" s="872"/>
      <c r="O889" s="872"/>
      <c r="P889" s="872"/>
      <c r="Q889" s="872"/>
      <c r="R889" s="872"/>
      <c r="S889" s="872"/>
      <c r="T889" s="872"/>
      <c r="U889" s="872"/>
      <c r="V889" s="872"/>
      <c r="W889" s="872"/>
      <c r="X889" s="872"/>
      <c r="Y889" s="872"/>
      <c r="Z889" s="872"/>
    </row>
    <row r="890" ht="14.25" customHeight="1">
      <c r="A890" s="872"/>
      <c r="B890" s="872"/>
      <c r="C890" s="872"/>
      <c r="D890" s="872"/>
      <c r="E890" s="872"/>
      <c r="F890" s="872"/>
      <c r="G890" s="872"/>
      <c r="H890" s="872"/>
      <c r="I890" s="872"/>
      <c r="J890" s="872"/>
      <c r="K890" s="872"/>
      <c r="L890" s="872"/>
      <c r="M890" s="872"/>
      <c r="N890" s="872"/>
      <c r="O890" s="872"/>
      <c r="P890" s="872"/>
      <c r="Q890" s="872"/>
      <c r="R890" s="872"/>
      <c r="S890" s="872"/>
      <c r="T890" s="872"/>
      <c r="U890" s="872"/>
      <c r="V890" s="872"/>
      <c r="W890" s="872"/>
      <c r="X890" s="872"/>
      <c r="Y890" s="872"/>
      <c r="Z890" s="872"/>
    </row>
    <row r="891" ht="14.25" customHeight="1">
      <c r="A891" s="872"/>
      <c r="B891" s="872"/>
      <c r="C891" s="872"/>
      <c r="D891" s="872"/>
      <c r="E891" s="872"/>
      <c r="F891" s="872"/>
      <c r="G891" s="872"/>
      <c r="H891" s="872"/>
      <c r="I891" s="872"/>
      <c r="J891" s="872"/>
      <c r="K891" s="872"/>
      <c r="L891" s="872"/>
      <c r="M891" s="872"/>
      <c r="N891" s="872"/>
      <c r="O891" s="872"/>
      <c r="P891" s="872"/>
      <c r="Q891" s="872"/>
      <c r="R891" s="872"/>
      <c r="S891" s="872"/>
      <c r="T891" s="872"/>
      <c r="U891" s="872"/>
      <c r="V891" s="872"/>
      <c r="W891" s="872"/>
      <c r="X891" s="872"/>
      <c r="Y891" s="872"/>
      <c r="Z891" s="872"/>
    </row>
    <row r="892" ht="14.25" customHeight="1">
      <c r="A892" s="872"/>
      <c r="B892" s="872"/>
      <c r="C892" s="872"/>
      <c r="D892" s="872"/>
      <c r="E892" s="872"/>
      <c r="F892" s="872"/>
      <c r="G892" s="872"/>
      <c r="H892" s="872"/>
      <c r="I892" s="872"/>
      <c r="J892" s="872"/>
      <c r="K892" s="872"/>
      <c r="L892" s="872"/>
      <c r="M892" s="872"/>
      <c r="N892" s="872"/>
      <c r="O892" s="872"/>
      <c r="P892" s="872"/>
      <c r="Q892" s="872"/>
      <c r="R892" s="872"/>
      <c r="S892" s="872"/>
      <c r="T892" s="872"/>
      <c r="U892" s="872"/>
      <c r="V892" s="872"/>
      <c r="W892" s="872"/>
      <c r="X892" s="872"/>
      <c r="Y892" s="872"/>
      <c r="Z892" s="872"/>
    </row>
    <row r="893" ht="14.25" customHeight="1">
      <c r="A893" s="872"/>
      <c r="B893" s="872"/>
      <c r="C893" s="872"/>
      <c r="D893" s="872"/>
      <c r="E893" s="872"/>
      <c r="F893" s="872"/>
      <c r="G893" s="872"/>
      <c r="H893" s="872"/>
      <c r="I893" s="872"/>
      <c r="J893" s="872"/>
      <c r="K893" s="872"/>
      <c r="L893" s="872"/>
      <c r="M893" s="872"/>
      <c r="N893" s="872"/>
      <c r="O893" s="872"/>
      <c r="P893" s="872"/>
      <c r="Q893" s="872"/>
      <c r="R893" s="872"/>
      <c r="S893" s="872"/>
      <c r="T893" s="872"/>
      <c r="U893" s="872"/>
      <c r="V893" s="872"/>
      <c r="W893" s="872"/>
      <c r="X893" s="872"/>
      <c r="Y893" s="872"/>
      <c r="Z893" s="872"/>
    </row>
    <row r="894" ht="14.25" customHeight="1">
      <c r="A894" s="872"/>
      <c r="B894" s="872"/>
      <c r="C894" s="872"/>
      <c r="D894" s="872"/>
      <c r="E894" s="872"/>
      <c r="F894" s="872"/>
      <c r="G894" s="872"/>
      <c r="H894" s="872"/>
      <c r="I894" s="872"/>
      <c r="J894" s="872"/>
      <c r="K894" s="872"/>
      <c r="L894" s="872"/>
      <c r="M894" s="872"/>
      <c r="N894" s="872"/>
      <c r="O894" s="872"/>
      <c r="P894" s="872"/>
      <c r="Q894" s="872"/>
      <c r="R894" s="872"/>
      <c r="S894" s="872"/>
      <c r="T894" s="872"/>
      <c r="U894" s="872"/>
      <c r="V894" s="872"/>
      <c r="W894" s="872"/>
      <c r="X894" s="872"/>
      <c r="Y894" s="872"/>
      <c r="Z894" s="872"/>
    </row>
    <row r="895" ht="14.25" customHeight="1">
      <c r="A895" s="872"/>
      <c r="B895" s="872"/>
      <c r="C895" s="872"/>
      <c r="D895" s="872"/>
      <c r="E895" s="872"/>
      <c r="F895" s="872"/>
      <c r="G895" s="872"/>
      <c r="H895" s="872"/>
      <c r="I895" s="872"/>
      <c r="J895" s="872"/>
      <c r="K895" s="872"/>
      <c r="L895" s="872"/>
      <c r="M895" s="872"/>
      <c r="N895" s="872"/>
      <c r="O895" s="872"/>
      <c r="P895" s="872"/>
      <c r="Q895" s="872"/>
      <c r="R895" s="872"/>
      <c r="S895" s="872"/>
      <c r="T895" s="872"/>
      <c r="U895" s="872"/>
      <c r="V895" s="872"/>
      <c r="W895" s="872"/>
      <c r="X895" s="872"/>
      <c r="Y895" s="872"/>
      <c r="Z895" s="872"/>
    </row>
    <row r="896" ht="14.25" customHeight="1">
      <c r="A896" s="872"/>
      <c r="B896" s="872"/>
      <c r="C896" s="872"/>
      <c r="D896" s="872"/>
      <c r="E896" s="872"/>
      <c r="F896" s="872"/>
      <c r="G896" s="872"/>
      <c r="H896" s="872"/>
      <c r="I896" s="872"/>
      <c r="J896" s="872"/>
      <c r="K896" s="872"/>
      <c r="L896" s="872"/>
      <c r="M896" s="872"/>
      <c r="N896" s="872"/>
      <c r="O896" s="872"/>
      <c r="P896" s="872"/>
      <c r="Q896" s="872"/>
      <c r="R896" s="872"/>
      <c r="S896" s="872"/>
      <c r="T896" s="872"/>
      <c r="U896" s="872"/>
      <c r="V896" s="872"/>
      <c r="W896" s="872"/>
      <c r="X896" s="872"/>
      <c r="Y896" s="872"/>
      <c r="Z896" s="872"/>
    </row>
    <row r="897" ht="14.25" customHeight="1">
      <c r="A897" s="872"/>
      <c r="B897" s="872"/>
      <c r="C897" s="872"/>
      <c r="D897" s="872"/>
      <c r="E897" s="872"/>
      <c r="F897" s="872"/>
      <c r="G897" s="872"/>
      <c r="H897" s="872"/>
      <c r="I897" s="872"/>
      <c r="J897" s="872"/>
      <c r="K897" s="872"/>
      <c r="L897" s="872"/>
      <c r="M897" s="872"/>
      <c r="N897" s="872"/>
      <c r="O897" s="872"/>
      <c r="P897" s="872"/>
      <c r="Q897" s="872"/>
      <c r="R897" s="872"/>
      <c r="S897" s="872"/>
      <c r="T897" s="872"/>
      <c r="U897" s="872"/>
      <c r="V897" s="872"/>
      <c r="W897" s="872"/>
      <c r="X897" s="872"/>
      <c r="Y897" s="872"/>
      <c r="Z897" s="872"/>
    </row>
    <row r="898" ht="14.25" customHeight="1">
      <c r="A898" s="872"/>
      <c r="B898" s="872"/>
      <c r="C898" s="872"/>
      <c r="D898" s="872"/>
      <c r="E898" s="872"/>
      <c r="F898" s="872"/>
      <c r="G898" s="872"/>
      <c r="H898" s="872"/>
      <c r="I898" s="872"/>
      <c r="J898" s="872"/>
      <c r="K898" s="872"/>
      <c r="L898" s="872"/>
      <c r="M898" s="872"/>
      <c r="N898" s="872"/>
      <c r="O898" s="872"/>
      <c r="P898" s="872"/>
      <c r="Q898" s="872"/>
      <c r="R898" s="872"/>
      <c r="S898" s="872"/>
      <c r="T898" s="872"/>
      <c r="U898" s="872"/>
      <c r="V898" s="872"/>
      <c r="W898" s="872"/>
      <c r="X898" s="872"/>
      <c r="Y898" s="872"/>
      <c r="Z898" s="872"/>
    </row>
    <row r="899" ht="14.25" customHeight="1">
      <c r="A899" s="872"/>
      <c r="B899" s="872"/>
      <c r="C899" s="872"/>
      <c r="D899" s="872"/>
      <c r="E899" s="872"/>
      <c r="F899" s="872"/>
      <c r="G899" s="872"/>
      <c r="H899" s="872"/>
      <c r="I899" s="872"/>
      <c r="J899" s="872"/>
      <c r="K899" s="872"/>
      <c r="L899" s="872"/>
      <c r="M899" s="872"/>
      <c r="N899" s="872"/>
      <c r="O899" s="872"/>
      <c r="P899" s="872"/>
      <c r="Q899" s="872"/>
      <c r="R899" s="872"/>
      <c r="S899" s="872"/>
      <c r="T899" s="872"/>
      <c r="U899" s="872"/>
      <c r="V899" s="872"/>
      <c r="W899" s="872"/>
      <c r="X899" s="872"/>
      <c r="Y899" s="872"/>
      <c r="Z899" s="872"/>
    </row>
    <row r="900" ht="14.25" customHeight="1">
      <c r="A900" s="872"/>
      <c r="B900" s="872"/>
      <c r="C900" s="872"/>
      <c r="D900" s="872"/>
      <c r="E900" s="872"/>
      <c r="F900" s="872"/>
      <c r="G900" s="872"/>
      <c r="H900" s="872"/>
      <c r="I900" s="872"/>
      <c r="J900" s="872"/>
      <c r="K900" s="872"/>
      <c r="L900" s="872"/>
      <c r="M900" s="872"/>
      <c r="N900" s="872"/>
      <c r="O900" s="872"/>
      <c r="P900" s="872"/>
      <c r="Q900" s="872"/>
      <c r="R900" s="872"/>
      <c r="S900" s="872"/>
      <c r="T900" s="872"/>
      <c r="U900" s="872"/>
      <c r="V900" s="872"/>
      <c r="W900" s="872"/>
      <c r="X900" s="872"/>
      <c r="Y900" s="872"/>
      <c r="Z900" s="872"/>
    </row>
    <row r="901" ht="14.25" customHeight="1">
      <c r="A901" s="872"/>
      <c r="B901" s="872"/>
      <c r="C901" s="872"/>
      <c r="D901" s="872"/>
      <c r="E901" s="872"/>
      <c r="F901" s="872"/>
      <c r="G901" s="872"/>
      <c r="H901" s="872"/>
      <c r="I901" s="872"/>
      <c r="J901" s="872"/>
      <c r="K901" s="872"/>
      <c r="L901" s="872"/>
      <c r="M901" s="872"/>
      <c r="N901" s="872"/>
      <c r="O901" s="872"/>
      <c r="P901" s="872"/>
      <c r="Q901" s="872"/>
      <c r="R901" s="872"/>
      <c r="S901" s="872"/>
      <c r="T901" s="872"/>
      <c r="U901" s="872"/>
      <c r="V901" s="872"/>
      <c r="W901" s="872"/>
      <c r="X901" s="872"/>
      <c r="Y901" s="872"/>
      <c r="Z901" s="872"/>
    </row>
    <row r="902" ht="14.25" customHeight="1">
      <c r="A902" s="872"/>
      <c r="B902" s="872"/>
      <c r="C902" s="872"/>
      <c r="D902" s="872"/>
      <c r="E902" s="872"/>
      <c r="F902" s="872"/>
      <c r="G902" s="872"/>
      <c r="H902" s="872"/>
      <c r="I902" s="872"/>
      <c r="J902" s="872"/>
      <c r="K902" s="872"/>
      <c r="L902" s="872"/>
      <c r="M902" s="872"/>
      <c r="N902" s="872"/>
      <c r="O902" s="872"/>
      <c r="P902" s="872"/>
      <c r="Q902" s="872"/>
      <c r="R902" s="872"/>
      <c r="S902" s="872"/>
      <c r="T902" s="872"/>
      <c r="U902" s="872"/>
      <c r="V902" s="872"/>
      <c r="W902" s="872"/>
      <c r="X902" s="872"/>
      <c r="Y902" s="872"/>
      <c r="Z902" s="872"/>
    </row>
    <row r="903" ht="14.25" customHeight="1">
      <c r="A903" s="872"/>
      <c r="B903" s="872"/>
      <c r="C903" s="872"/>
      <c r="D903" s="872"/>
      <c r="E903" s="872"/>
      <c r="F903" s="872"/>
      <c r="G903" s="872"/>
      <c r="H903" s="872"/>
      <c r="I903" s="872"/>
      <c r="J903" s="872"/>
      <c r="K903" s="872"/>
      <c r="L903" s="872"/>
      <c r="M903" s="872"/>
      <c r="N903" s="872"/>
      <c r="O903" s="872"/>
      <c r="P903" s="872"/>
      <c r="Q903" s="872"/>
      <c r="R903" s="872"/>
      <c r="S903" s="872"/>
      <c r="T903" s="872"/>
      <c r="U903" s="872"/>
      <c r="V903" s="872"/>
      <c r="W903" s="872"/>
      <c r="X903" s="872"/>
      <c r="Y903" s="872"/>
      <c r="Z903" s="872"/>
    </row>
    <row r="904" ht="14.25" customHeight="1">
      <c r="A904" s="872"/>
      <c r="B904" s="872"/>
      <c r="C904" s="872"/>
      <c r="D904" s="872"/>
      <c r="E904" s="872"/>
      <c r="F904" s="872"/>
      <c r="G904" s="872"/>
      <c r="H904" s="872"/>
      <c r="I904" s="872"/>
      <c r="J904" s="872"/>
      <c r="K904" s="872"/>
      <c r="L904" s="872"/>
      <c r="M904" s="872"/>
      <c r="N904" s="872"/>
      <c r="O904" s="872"/>
      <c r="P904" s="872"/>
      <c r="Q904" s="872"/>
      <c r="R904" s="872"/>
      <c r="S904" s="872"/>
      <c r="T904" s="872"/>
      <c r="U904" s="872"/>
      <c r="V904" s="872"/>
      <c r="W904" s="872"/>
      <c r="X904" s="872"/>
      <c r="Y904" s="872"/>
      <c r="Z904" s="872"/>
    </row>
    <row r="905" ht="14.25" customHeight="1">
      <c r="A905" s="872"/>
      <c r="B905" s="872"/>
      <c r="C905" s="872"/>
      <c r="D905" s="872"/>
      <c r="E905" s="872"/>
      <c r="F905" s="872"/>
      <c r="G905" s="872"/>
      <c r="H905" s="872"/>
      <c r="I905" s="872"/>
      <c r="J905" s="872"/>
      <c r="K905" s="872"/>
      <c r="L905" s="872"/>
      <c r="M905" s="872"/>
      <c r="N905" s="872"/>
      <c r="O905" s="872"/>
      <c r="P905" s="872"/>
      <c r="Q905" s="872"/>
      <c r="R905" s="872"/>
      <c r="S905" s="872"/>
      <c r="T905" s="872"/>
      <c r="U905" s="872"/>
      <c r="V905" s="872"/>
      <c r="W905" s="872"/>
      <c r="X905" s="872"/>
      <c r="Y905" s="872"/>
      <c r="Z905" s="872"/>
    </row>
    <row r="906" ht="14.25" customHeight="1">
      <c r="A906" s="872"/>
      <c r="B906" s="872"/>
      <c r="C906" s="872"/>
      <c r="D906" s="872"/>
      <c r="E906" s="872"/>
      <c r="F906" s="872"/>
      <c r="G906" s="872"/>
      <c r="H906" s="872"/>
      <c r="I906" s="872"/>
      <c r="J906" s="872"/>
      <c r="K906" s="872"/>
      <c r="L906" s="872"/>
      <c r="M906" s="872"/>
      <c r="N906" s="872"/>
      <c r="O906" s="872"/>
      <c r="P906" s="872"/>
      <c r="Q906" s="872"/>
      <c r="R906" s="872"/>
      <c r="S906" s="872"/>
      <c r="T906" s="872"/>
      <c r="U906" s="872"/>
      <c r="V906" s="872"/>
      <c r="W906" s="872"/>
      <c r="X906" s="872"/>
      <c r="Y906" s="872"/>
      <c r="Z906" s="872"/>
    </row>
    <row r="907" ht="14.25" customHeight="1">
      <c r="A907" s="872"/>
      <c r="B907" s="872"/>
      <c r="C907" s="872"/>
      <c r="D907" s="872"/>
      <c r="E907" s="872"/>
      <c r="F907" s="872"/>
      <c r="G907" s="872"/>
      <c r="H907" s="872"/>
      <c r="I907" s="872"/>
      <c r="J907" s="872"/>
      <c r="K907" s="872"/>
      <c r="L907" s="872"/>
      <c r="M907" s="872"/>
      <c r="N907" s="872"/>
      <c r="O907" s="872"/>
      <c r="P907" s="872"/>
      <c r="Q907" s="872"/>
      <c r="R907" s="872"/>
      <c r="S907" s="872"/>
      <c r="T907" s="872"/>
      <c r="U907" s="872"/>
      <c r="V907" s="872"/>
      <c r="W907" s="872"/>
      <c r="X907" s="872"/>
      <c r="Y907" s="872"/>
      <c r="Z907" s="872"/>
    </row>
    <row r="908" ht="14.25" customHeight="1">
      <c r="A908" s="872"/>
      <c r="B908" s="872"/>
      <c r="C908" s="872"/>
      <c r="D908" s="872"/>
      <c r="E908" s="872"/>
      <c r="F908" s="872"/>
      <c r="G908" s="872"/>
      <c r="H908" s="872"/>
      <c r="I908" s="872"/>
      <c r="J908" s="872"/>
      <c r="K908" s="872"/>
      <c r="L908" s="872"/>
      <c r="M908" s="872"/>
      <c r="N908" s="872"/>
      <c r="O908" s="872"/>
      <c r="P908" s="872"/>
      <c r="Q908" s="872"/>
      <c r="R908" s="872"/>
      <c r="S908" s="872"/>
      <c r="T908" s="872"/>
      <c r="U908" s="872"/>
      <c r="V908" s="872"/>
      <c r="W908" s="872"/>
      <c r="X908" s="872"/>
      <c r="Y908" s="872"/>
      <c r="Z908" s="872"/>
    </row>
    <row r="909" ht="14.25" customHeight="1">
      <c r="A909" s="872"/>
      <c r="B909" s="872"/>
      <c r="C909" s="872"/>
      <c r="D909" s="872"/>
      <c r="E909" s="872"/>
      <c r="F909" s="872"/>
      <c r="G909" s="872"/>
      <c r="H909" s="872"/>
      <c r="I909" s="872"/>
      <c r="J909" s="872"/>
      <c r="K909" s="872"/>
      <c r="L909" s="872"/>
      <c r="M909" s="872"/>
      <c r="N909" s="872"/>
      <c r="O909" s="872"/>
      <c r="P909" s="872"/>
      <c r="Q909" s="872"/>
      <c r="R909" s="872"/>
      <c r="S909" s="872"/>
      <c r="T909" s="872"/>
      <c r="U909" s="872"/>
      <c r="V909" s="872"/>
      <c r="W909" s="872"/>
      <c r="X909" s="872"/>
      <c r="Y909" s="872"/>
      <c r="Z909" s="872"/>
    </row>
    <row r="910" ht="14.25" customHeight="1">
      <c r="A910" s="872"/>
      <c r="B910" s="872"/>
      <c r="C910" s="872"/>
      <c r="D910" s="872"/>
      <c r="E910" s="872"/>
      <c r="F910" s="872"/>
      <c r="G910" s="872"/>
      <c r="H910" s="872"/>
      <c r="I910" s="872"/>
      <c r="J910" s="872"/>
      <c r="K910" s="872"/>
      <c r="L910" s="872"/>
      <c r="M910" s="872"/>
      <c r="N910" s="872"/>
      <c r="O910" s="872"/>
      <c r="P910" s="872"/>
      <c r="Q910" s="872"/>
      <c r="R910" s="872"/>
      <c r="S910" s="872"/>
      <c r="T910" s="872"/>
      <c r="U910" s="872"/>
      <c r="V910" s="872"/>
      <c r="W910" s="872"/>
      <c r="X910" s="872"/>
      <c r="Y910" s="872"/>
      <c r="Z910" s="872"/>
    </row>
    <row r="911" ht="14.25" customHeight="1">
      <c r="A911" s="872"/>
      <c r="B911" s="872"/>
      <c r="C911" s="872"/>
      <c r="D911" s="872"/>
      <c r="E911" s="872"/>
      <c r="F911" s="872"/>
      <c r="G911" s="872"/>
      <c r="H911" s="872"/>
      <c r="I911" s="872"/>
      <c r="J911" s="872"/>
      <c r="K911" s="872"/>
      <c r="L911" s="872"/>
      <c r="M911" s="872"/>
      <c r="N911" s="872"/>
      <c r="O911" s="872"/>
      <c r="P911" s="872"/>
      <c r="Q911" s="872"/>
      <c r="R911" s="872"/>
      <c r="S911" s="872"/>
      <c r="T911" s="872"/>
      <c r="U911" s="872"/>
      <c r="V911" s="872"/>
      <c r="W911" s="872"/>
      <c r="X911" s="872"/>
      <c r="Y911" s="872"/>
      <c r="Z911" s="872"/>
    </row>
    <row r="912" ht="14.25" customHeight="1">
      <c r="A912" s="872"/>
      <c r="B912" s="872"/>
      <c r="C912" s="872"/>
      <c r="D912" s="872"/>
      <c r="E912" s="872"/>
      <c r="F912" s="872"/>
      <c r="G912" s="872"/>
      <c r="H912" s="872"/>
      <c r="I912" s="872"/>
      <c r="J912" s="872"/>
      <c r="K912" s="872"/>
      <c r="L912" s="872"/>
      <c r="M912" s="872"/>
      <c r="N912" s="872"/>
      <c r="O912" s="872"/>
      <c r="P912" s="872"/>
      <c r="Q912" s="872"/>
      <c r="R912" s="872"/>
      <c r="S912" s="872"/>
      <c r="T912" s="872"/>
      <c r="U912" s="872"/>
      <c r="V912" s="872"/>
      <c r="W912" s="872"/>
      <c r="X912" s="872"/>
      <c r="Y912" s="872"/>
      <c r="Z912" s="872"/>
    </row>
    <row r="913" ht="14.25" customHeight="1">
      <c r="A913" s="872"/>
      <c r="B913" s="872"/>
      <c r="C913" s="872"/>
      <c r="D913" s="872"/>
      <c r="E913" s="872"/>
      <c r="F913" s="872"/>
      <c r="G913" s="872"/>
      <c r="H913" s="872"/>
      <c r="I913" s="872"/>
      <c r="J913" s="872"/>
      <c r="K913" s="872"/>
      <c r="L913" s="872"/>
      <c r="M913" s="872"/>
      <c r="N913" s="872"/>
      <c r="O913" s="872"/>
      <c r="P913" s="872"/>
      <c r="Q913" s="872"/>
      <c r="R913" s="872"/>
      <c r="S913" s="872"/>
      <c r="T913" s="872"/>
      <c r="U913" s="872"/>
      <c r="V913" s="872"/>
      <c r="W913" s="872"/>
      <c r="X913" s="872"/>
      <c r="Y913" s="872"/>
      <c r="Z913" s="872"/>
    </row>
    <row r="914" ht="14.25" customHeight="1">
      <c r="A914" s="872"/>
      <c r="B914" s="872"/>
      <c r="C914" s="872"/>
      <c r="D914" s="872"/>
      <c r="E914" s="872"/>
      <c r="F914" s="872"/>
      <c r="G914" s="872"/>
      <c r="H914" s="872"/>
      <c r="I914" s="872"/>
      <c r="J914" s="872"/>
      <c r="K914" s="872"/>
      <c r="L914" s="872"/>
      <c r="M914" s="872"/>
      <c r="N914" s="872"/>
      <c r="O914" s="872"/>
      <c r="P914" s="872"/>
      <c r="Q914" s="872"/>
      <c r="R914" s="872"/>
      <c r="S914" s="872"/>
      <c r="T914" s="872"/>
      <c r="U914" s="872"/>
      <c r="V914" s="872"/>
      <c r="W914" s="872"/>
      <c r="X914" s="872"/>
      <c r="Y914" s="872"/>
      <c r="Z914" s="872"/>
    </row>
    <row r="915" ht="14.25" customHeight="1">
      <c r="A915" s="872"/>
      <c r="B915" s="872"/>
      <c r="C915" s="872"/>
      <c r="D915" s="872"/>
      <c r="E915" s="872"/>
      <c r="F915" s="872"/>
      <c r="G915" s="872"/>
      <c r="H915" s="872"/>
      <c r="I915" s="872"/>
      <c r="J915" s="872"/>
      <c r="K915" s="872"/>
      <c r="L915" s="872"/>
      <c r="M915" s="872"/>
      <c r="N915" s="872"/>
      <c r="O915" s="872"/>
      <c r="P915" s="872"/>
      <c r="Q915" s="872"/>
      <c r="R915" s="872"/>
      <c r="S915" s="872"/>
      <c r="T915" s="872"/>
      <c r="U915" s="872"/>
      <c r="V915" s="872"/>
      <c r="W915" s="872"/>
      <c r="X915" s="872"/>
      <c r="Y915" s="872"/>
      <c r="Z915" s="872"/>
    </row>
    <row r="916" ht="14.25" customHeight="1">
      <c r="A916" s="872"/>
      <c r="B916" s="872"/>
      <c r="C916" s="872"/>
      <c r="D916" s="872"/>
      <c r="E916" s="872"/>
      <c r="F916" s="872"/>
      <c r="G916" s="872"/>
      <c r="H916" s="872"/>
      <c r="I916" s="872"/>
      <c r="J916" s="872"/>
      <c r="K916" s="872"/>
      <c r="L916" s="872"/>
      <c r="M916" s="872"/>
      <c r="N916" s="872"/>
      <c r="O916" s="872"/>
      <c r="P916" s="872"/>
      <c r="Q916" s="872"/>
      <c r="R916" s="872"/>
      <c r="S916" s="872"/>
      <c r="T916" s="872"/>
      <c r="U916" s="872"/>
      <c r="V916" s="872"/>
      <c r="W916" s="872"/>
      <c r="X916" s="872"/>
      <c r="Y916" s="872"/>
      <c r="Z916" s="872"/>
    </row>
    <row r="917" ht="14.25" customHeight="1">
      <c r="A917" s="872"/>
      <c r="B917" s="872"/>
      <c r="C917" s="872"/>
      <c r="D917" s="872"/>
      <c r="E917" s="872"/>
      <c r="F917" s="872"/>
      <c r="G917" s="872"/>
      <c r="H917" s="872"/>
      <c r="I917" s="872"/>
      <c r="J917" s="872"/>
      <c r="K917" s="872"/>
      <c r="L917" s="872"/>
      <c r="M917" s="872"/>
      <c r="N917" s="872"/>
      <c r="O917" s="872"/>
      <c r="P917" s="872"/>
      <c r="Q917" s="872"/>
      <c r="R917" s="872"/>
      <c r="S917" s="872"/>
      <c r="T917" s="872"/>
      <c r="U917" s="872"/>
      <c r="V917" s="872"/>
      <c r="W917" s="872"/>
      <c r="X917" s="872"/>
      <c r="Y917" s="872"/>
      <c r="Z917" s="872"/>
    </row>
    <row r="918" ht="14.25" customHeight="1">
      <c r="A918" s="872"/>
      <c r="B918" s="872"/>
      <c r="C918" s="872"/>
      <c r="D918" s="872"/>
      <c r="E918" s="872"/>
      <c r="F918" s="872"/>
      <c r="G918" s="872"/>
      <c r="H918" s="872"/>
      <c r="I918" s="872"/>
      <c r="J918" s="872"/>
      <c r="K918" s="872"/>
      <c r="L918" s="872"/>
      <c r="M918" s="872"/>
      <c r="N918" s="872"/>
      <c r="O918" s="872"/>
      <c r="P918" s="872"/>
      <c r="Q918" s="872"/>
      <c r="R918" s="872"/>
      <c r="S918" s="872"/>
      <c r="T918" s="872"/>
      <c r="U918" s="872"/>
      <c r="V918" s="872"/>
      <c r="W918" s="872"/>
      <c r="X918" s="872"/>
      <c r="Y918" s="872"/>
      <c r="Z918" s="872"/>
    </row>
    <row r="919" ht="14.25" customHeight="1">
      <c r="A919" s="872"/>
      <c r="B919" s="872"/>
      <c r="C919" s="872"/>
      <c r="D919" s="872"/>
      <c r="E919" s="872"/>
      <c r="F919" s="872"/>
      <c r="G919" s="872"/>
      <c r="H919" s="872"/>
      <c r="I919" s="872"/>
      <c r="J919" s="872"/>
      <c r="K919" s="872"/>
      <c r="L919" s="872"/>
      <c r="M919" s="872"/>
      <c r="N919" s="872"/>
      <c r="O919" s="872"/>
      <c r="P919" s="872"/>
      <c r="Q919" s="872"/>
      <c r="R919" s="872"/>
      <c r="S919" s="872"/>
      <c r="T919" s="872"/>
      <c r="U919" s="872"/>
      <c r="V919" s="872"/>
      <c r="W919" s="872"/>
      <c r="X919" s="872"/>
      <c r="Y919" s="872"/>
      <c r="Z919" s="872"/>
    </row>
    <row r="920" ht="14.25" customHeight="1">
      <c r="A920" s="872"/>
      <c r="B920" s="872"/>
      <c r="C920" s="872"/>
      <c r="D920" s="872"/>
      <c r="E920" s="872"/>
      <c r="F920" s="872"/>
      <c r="G920" s="872"/>
      <c r="H920" s="872"/>
      <c r="I920" s="872"/>
      <c r="J920" s="872"/>
      <c r="K920" s="872"/>
      <c r="L920" s="872"/>
      <c r="M920" s="872"/>
      <c r="N920" s="872"/>
      <c r="O920" s="872"/>
      <c r="P920" s="872"/>
      <c r="Q920" s="872"/>
      <c r="R920" s="872"/>
      <c r="S920" s="872"/>
      <c r="T920" s="872"/>
      <c r="U920" s="872"/>
      <c r="V920" s="872"/>
      <c r="W920" s="872"/>
      <c r="X920" s="872"/>
      <c r="Y920" s="872"/>
      <c r="Z920" s="872"/>
    </row>
    <row r="921" ht="14.25" customHeight="1">
      <c r="A921" s="872"/>
      <c r="B921" s="872"/>
      <c r="C921" s="872"/>
      <c r="D921" s="872"/>
      <c r="E921" s="872"/>
      <c r="F921" s="872"/>
      <c r="G921" s="872"/>
      <c r="H921" s="872"/>
      <c r="I921" s="872"/>
      <c r="J921" s="872"/>
      <c r="K921" s="872"/>
      <c r="L921" s="872"/>
      <c r="M921" s="872"/>
      <c r="N921" s="872"/>
      <c r="O921" s="872"/>
      <c r="P921" s="872"/>
      <c r="Q921" s="872"/>
      <c r="R921" s="872"/>
      <c r="S921" s="872"/>
      <c r="T921" s="872"/>
      <c r="U921" s="872"/>
      <c r="V921" s="872"/>
      <c r="W921" s="872"/>
      <c r="X921" s="872"/>
      <c r="Y921" s="872"/>
      <c r="Z921" s="872"/>
    </row>
    <row r="922" ht="14.25" customHeight="1">
      <c r="A922" s="872"/>
      <c r="B922" s="872"/>
      <c r="C922" s="872"/>
      <c r="D922" s="872"/>
      <c r="E922" s="872"/>
      <c r="F922" s="872"/>
      <c r="G922" s="872"/>
      <c r="H922" s="872"/>
      <c r="I922" s="872"/>
      <c r="J922" s="872"/>
      <c r="K922" s="872"/>
      <c r="L922" s="872"/>
      <c r="M922" s="872"/>
      <c r="N922" s="872"/>
      <c r="O922" s="872"/>
      <c r="P922" s="872"/>
      <c r="Q922" s="872"/>
      <c r="R922" s="872"/>
      <c r="S922" s="872"/>
      <c r="T922" s="872"/>
      <c r="U922" s="872"/>
      <c r="V922" s="872"/>
      <c r="W922" s="872"/>
      <c r="X922" s="872"/>
      <c r="Y922" s="872"/>
      <c r="Z922" s="872"/>
    </row>
    <row r="923" ht="14.25" customHeight="1">
      <c r="A923" s="872"/>
      <c r="B923" s="872"/>
      <c r="C923" s="872"/>
      <c r="D923" s="872"/>
      <c r="E923" s="872"/>
      <c r="F923" s="872"/>
      <c r="G923" s="872"/>
      <c r="H923" s="872"/>
      <c r="I923" s="872"/>
      <c r="J923" s="872"/>
      <c r="K923" s="872"/>
      <c r="L923" s="872"/>
      <c r="M923" s="872"/>
      <c r="N923" s="872"/>
      <c r="O923" s="872"/>
      <c r="P923" s="872"/>
      <c r="Q923" s="872"/>
      <c r="R923" s="872"/>
      <c r="S923" s="872"/>
      <c r="T923" s="872"/>
      <c r="U923" s="872"/>
      <c r="V923" s="872"/>
      <c r="W923" s="872"/>
      <c r="X923" s="872"/>
      <c r="Y923" s="872"/>
      <c r="Z923" s="872"/>
    </row>
    <row r="924" ht="14.25" customHeight="1">
      <c r="A924" s="872"/>
      <c r="B924" s="872"/>
      <c r="C924" s="872"/>
      <c r="D924" s="872"/>
      <c r="E924" s="872"/>
      <c r="F924" s="872"/>
      <c r="G924" s="872"/>
      <c r="H924" s="872"/>
      <c r="I924" s="872"/>
      <c r="J924" s="872"/>
      <c r="K924" s="872"/>
      <c r="L924" s="872"/>
      <c r="M924" s="872"/>
      <c r="N924" s="872"/>
      <c r="O924" s="872"/>
      <c r="P924" s="872"/>
      <c r="Q924" s="872"/>
      <c r="R924" s="872"/>
      <c r="S924" s="872"/>
      <c r="T924" s="872"/>
      <c r="U924" s="872"/>
      <c r="V924" s="872"/>
      <c r="W924" s="872"/>
      <c r="X924" s="872"/>
      <c r="Y924" s="872"/>
      <c r="Z924" s="872"/>
    </row>
    <row r="925" ht="14.25" customHeight="1">
      <c r="A925" s="872"/>
      <c r="B925" s="872"/>
      <c r="C925" s="872"/>
      <c r="D925" s="872"/>
      <c r="E925" s="872"/>
      <c r="F925" s="872"/>
      <c r="G925" s="872"/>
      <c r="H925" s="872"/>
      <c r="I925" s="872"/>
      <c r="J925" s="872"/>
      <c r="K925" s="872"/>
      <c r="L925" s="872"/>
      <c r="M925" s="872"/>
      <c r="N925" s="872"/>
      <c r="O925" s="872"/>
      <c r="P925" s="872"/>
      <c r="Q925" s="872"/>
      <c r="R925" s="872"/>
      <c r="S925" s="872"/>
      <c r="T925" s="872"/>
      <c r="U925" s="872"/>
      <c r="V925" s="872"/>
      <c r="W925" s="872"/>
      <c r="X925" s="872"/>
      <c r="Y925" s="872"/>
      <c r="Z925" s="872"/>
    </row>
    <row r="926" ht="14.25" customHeight="1">
      <c r="A926" s="872"/>
      <c r="B926" s="872"/>
      <c r="C926" s="872"/>
      <c r="D926" s="872"/>
      <c r="E926" s="872"/>
      <c r="F926" s="872"/>
      <c r="G926" s="872"/>
      <c r="H926" s="872"/>
      <c r="I926" s="872"/>
      <c r="J926" s="872"/>
      <c r="K926" s="872"/>
      <c r="L926" s="872"/>
      <c r="M926" s="872"/>
      <c r="N926" s="872"/>
      <c r="O926" s="872"/>
      <c r="P926" s="872"/>
      <c r="Q926" s="872"/>
      <c r="R926" s="872"/>
      <c r="S926" s="872"/>
      <c r="T926" s="872"/>
      <c r="U926" s="872"/>
      <c r="V926" s="872"/>
      <c r="W926" s="872"/>
      <c r="X926" s="872"/>
      <c r="Y926" s="872"/>
      <c r="Z926" s="872"/>
    </row>
    <row r="927" ht="14.25" customHeight="1">
      <c r="A927" s="872"/>
      <c r="B927" s="872"/>
      <c r="C927" s="872"/>
      <c r="D927" s="872"/>
      <c r="E927" s="872"/>
      <c r="F927" s="872"/>
      <c r="G927" s="872"/>
      <c r="H927" s="872"/>
      <c r="I927" s="872"/>
      <c r="J927" s="872"/>
      <c r="K927" s="872"/>
      <c r="L927" s="872"/>
      <c r="M927" s="872"/>
      <c r="N927" s="872"/>
      <c r="O927" s="872"/>
      <c r="P927" s="872"/>
      <c r="Q927" s="872"/>
      <c r="R927" s="872"/>
      <c r="S927" s="872"/>
      <c r="T927" s="872"/>
      <c r="U927" s="872"/>
      <c r="V927" s="872"/>
      <c r="W927" s="872"/>
      <c r="X927" s="872"/>
      <c r="Y927" s="872"/>
      <c r="Z927" s="872"/>
    </row>
    <row r="928" ht="14.25" customHeight="1">
      <c r="A928" s="872"/>
      <c r="B928" s="872"/>
      <c r="C928" s="872"/>
      <c r="D928" s="872"/>
      <c r="E928" s="872"/>
      <c r="F928" s="872"/>
      <c r="G928" s="872"/>
      <c r="H928" s="872"/>
      <c r="I928" s="872"/>
      <c r="J928" s="872"/>
      <c r="K928" s="872"/>
      <c r="L928" s="872"/>
      <c r="M928" s="872"/>
      <c r="N928" s="872"/>
      <c r="O928" s="872"/>
      <c r="P928" s="872"/>
      <c r="Q928" s="872"/>
      <c r="R928" s="872"/>
      <c r="S928" s="872"/>
      <c r="T928" s="872"/>
      <c r="U928" s="872"/>
      <c r="V928" s="872"/>
      <c r="W928" s="872"/>
      <c r="X928" s="872"/>
      <c r="Y928" s="872"/>
      <c r="Z928" s="872"/>
    </row>
    <row r="929" ht="14.25" customHeight="1">
      <c r="A929" s="872"/>
      <c r="B929" s="872"/>
      <c r="C929" s="872"/>
      <c r="D929" s="872"/>
      <c r="E929" s="872"/>
      <c r="F929" s="872"/>
      <c r="G929" s="872"/>
      <c r="H929" s="872"/>
      <c r="I929" s="872"/>
      <c r="J929" s="872"/>
      <c r="K929" s="872"/>
      <c r="L929" s="872"/>
      <c r="M929" s="872"/>
      <c r="N929" s="872"/>
      <c r="O929" s="872"/>
      <c r="P929" s="872"/>
      <c r="Q929" s="872"/>
      <c r="R929" s="872"/>
      <c r="S929" s="872"/>
      <c r="T929" s="872"/>
      <c r="U929" s="872"/>
      <c r="V929" s="872"/>
      <c r="W929" s="872"/>
      <c r="X929" s="872"/>
      <c r="Y929" s="872"/>
      <c r="Z929" s="872"/>
    </row>
    <row r="930" ht="14.25" customHeight="1">
      <c r="A930" s="872"/>
      <c r="B930" s="872"/>
      <c r="C930" s="872"/>
      <c r="D930" s="872"/>
      <c r="E930" s="872"/>
      <c r="F930" s="872"/>
      <c r="G930" s="872"/>
      <c r="H930" s="872"/>
      <c r="I930" s="872"/>
      <c r="J930" s="872"/>
      <c r="K930" s="872"/>
      <c r="L930" s="872"/>
      <c r="M930" s="872"/>
      <c r="N930" s="872"/>
      <c r="O930" s="872"/>
      <c r="P930" s="872"/>
      <c r="Q930" s="872"/>
      <c r="R930" s="872"/>
      <c r="S930" s="872"/>
      <c r="T930" s="872"/>
      <c r="U930" s="872"/>
      <c r="V930" s="872"/>
      <c r="W930" s="872"/>
      <c r="X930" s="872"/>
      <c r="Y930" s="872"/>
      <c r="Z930" s="872"/>
    </row>
    <row r="931" ht="14.25" customHeight="1">
      <c r="A931" s="872"/>
      <c r="B931" s="872"/>
      <c r="C931" s="872"/>
      <c r="D931" s="872"/>
      <c r="E931" s="872"/>
      <c r="F931" s="872"/>
      <c r="G931" s="872"/>
      <c r="H931" s="872"/>
      <c r="I931" s="872"/>
      <c r="J931" s="872"/>
      <c r="K931" s="872"/>
      <c r="L931" s="872"/>
      <c r="M931" s="872"/>
      <c r="N931" s="872"/>
      <c r="O931" s="872"/>
      <c r="P931" s="872"/>
      <c r="Q931" s="872"/>
      <c r="R931" s="872"/>
      <c r="S931" s="872"/>
      <c r="T931" s="872"/>
      <c r="U931" s="872"/>
      <c r="V931" s="872"/>
      <c r="W931" s="872"/>
      <c r="X931" s="872"/>
      <c r="Y931" s="872"/>
      <c r="Z931" s="872"/>
    </row>
    <row r="932" ht="14.25" customHeight="1">
      <c r="A932" s="872"/>
      <c r="B932" s="872"/>
      <c r="C932" s="872"/>
      <c r="D932" s="872"/>
      <c r="E932" s="872"/>
      <c r="F932" s="872"/>
      <c r="G932" s="872"/>
      <c r="H932" s="872"/>
      <c r="I932" s="872"/>
      <c r="J932" s="872"/>
      <c r="K932" s="872"/>
      <c r="L932" s="872"/>
      <c r="M932" s="872"/>
      <c r="N932" s="872"/>
      <c r="O932" s="872"/>
      <c r="P932" s="872"/>
      <c r="Q932" s="872"/>
      <c r="R932" s="872"/>
      <c r="S932" s="872"/>
      <c r="T932" s="872"/>
      <c r="U932" s="872"/>
      <c r="V932" s="872"/>
      <c r="W932" s="872"/>
      <c r="X932" s="872"/>
      <c r="Y932" s="872"/>
      <c r="Z932" s="872"/>
    </row>
    <row r="933" ht="14.25" customHeight="1">
      <c r="A933" s="872"/>
      <c r="B933" s="872"/>
      <c r="C933" s="872"/>
      <c r="D933" s="872"/>
      <c r="E933" s="872"/>
      <c r="F933" s="872"/>
      <c r="G933" s="872"/>
      <c r="H933" s="872"/>
      <c r="I933" s="872"/>
      <c r="J933" s="872"/>
      <c r="K933" s="872"/>
      <c r="L933" s="872"/>
      <c r="M933" s="872"/>
      <c r="N933" s="872"/>
      <c r="O933" s="872"/>
      <c r="P933" s="872"/>
      <c r="Q933" s="872"/>
      <c r="R933" s="872"/>
      <c r="S933" s="872"/>
      <c r="T933" s="872"/>
      <c r="U933" s="872"/>
      <c r="V933" s="872"/>
      <c r="W933" s="872"/>
      <c r="X933" s="872"/>
      <c r="Y933" s="872"/>
      <c r="Z933" s="872"/>
    </row>
    <row r="934" ht="14.25" customHeight="1">
      <c r="A934" s="872"/>
      <c r="B934" s="872"/>
      <c r="C934" s="872"/>
      <c r="D934" s="872"/>
      <c r="E934" s="872"/>
      <c r="F934" s="872"/>
      <c r="G934" s="872"/>
      <c r="H934" s="872"/>
      <c r="I934" s="872"/>
      <c r="J934" s="872"/>
      <c r="K934" s="872"/>
      <c r="L934" s="872"/>
      <c r="M934" s="872"/>
      <c r="N934" s="872"/>
      <c r="O934" s="872"/>
      <c r="P934" s="872"/>
      <c r="Q934" s="872"/>
      <c r="R934" s="872"/>
      <c r="S934" s="872"/>
      <c r="T934" s="872"/>
      <c r="U934" s="872"/>
      <c r="V934" s="872"/>
      <c r="W934" s="872"/>
      <c r="X934" s="872"/>
      <c r="Y934" s="872"/>
      <c r="Z934" s="872"/>
    </row>
    <row r="935" ht="14.25" customHeight="1">
      <c r="A935" s="872"/>
      <c r="B935" s="872"/>
      <c r="C935" s="872"/>
      <c r="D935" s="872"/>
      <c r="E935" s="872"/>
      <c r="F935" s="872"/>
      <c r="G935" s="872"/>
      <c r="H935" s="872"/>
      <c r="I935" s="872"/>
      <c r="J935" s="872"/>
      <c r="K935" s="872"/>
      <c r="L935" s="872"/>
      <c r="M935" s="872"/>
      <c r="N935" s="872"/>
      <c r="O935" s="872"/>
      <c r="P935" s="872"/>
      <c r="Q935" s="872"/>
      <c r="R935" s="872"/>
      <c r="S935" s="872"/>
      <c r="T935" s="872"/>
      <c r="U935" s="872"/>
      <c r="V935" s="872"/>
      <c r="W935" s="872"/>
      <c r="X935" s="872"/>
      <c r="Y935" s="872"/>
      <c r="Z935" s="872"/>
    </row>
    <row r="936" ht="14.25" customHeight="1">
      <c r="A936" s="872"/>
      <c r="B936" s="872"/>
      <c r="C936" s="872"/>
      <c r="D936" s="872"/>
      <c r="E936" s="872"/>
      <c r="F936" s="872"/>
      <c r="G936" s="872"/>
      <c r="H936" s="872"/>
      <c r="I936" s="872"/>
      <c r="J936" s="872"/>
      <c r="K936" s="872"/>
      <c r="L936" s="872"/>
      <c r="M936" s="872"/>
      <c r="N936" s="872"/>
      <c r="O936" s="872"/>
      <c r="P936" s="872"/>
      <c r="Q936" s="872"/>
      <c r="R936" s="872"/>
      <c r="S936" s="872"/>
      <c r="T936" s="872"/>
      <c r="U936" s="872"/>
      <c r="V936" s="872"/>
      <c r="W936" s="872"/>
      <c r="X936" s="872"/>
      <c r="Y936" s="872"/>
      <c r="Z936" s="872"/>
    </row>
    <row r="937" ht="14.25" customHeight="1">
      <c r="A937" s="872"/>
      <c r="B937" s="872"/>
      <c r="C937" s="872"/>
      <c r="D937" s="872"/>
      <c r="E937" s="872"/>
      <c r="F937" s="872"/>
      <c r="G937" s="872"/>
      <c r="H937" s="872"/>
      <c r="I937" s="872"/>
      <c r="J937" s="872"/>
      <c r="K937" s="872"/>
      <c r="L937" s="872"/>
      <c r="M937" s="872"/>
      <c r="N937" s="872"/>
      <c r="O937" s="872"/>
      <c r="P937" s="872"/>
      <c r="Q937" s="872"/>
      <c r="R937" s="872"/>
      <c r="S937" s="872"/>
      <c r="T937" s="872"/>
      <c r="U937" s="872"/>
      <c r="V937" s="872"/>
      <c r="W937" s="872"/>
      <c r="X937" s="872"/>
      <c r="Y937" s="872"/>
      <c r="Z937" s="872"/>
    </row>
    <row r="938" ht="14.25" customHeight="1">
      <c r="A938" s="872"/>
      <c r="B938" s="872"/>
      <c r="C938" s="872"/>
      <c r="D938" s="872"/>
      <c r="E938" s="872"/>
      <c r="F938" s="872"/>
      <c r="G938" s="872"/>
      <c r="H938" s="872"/>
      <c r="I938" s="872"/>
      <c r="J938" s="872"/>
      <c r="K938" s="872"/>
      <c r="L938" s="872"/>
      <c r="M938" s="872"/>
      <c r="N938" s="872"/>
      <c r="O938" s="872"/>
      <c r="P938" s="872"/>
      <c r="Q938" s="872"/>
      <c r="R938" s="872"/>
      <c r="S938" s="872"/>
      <c r="T938" s="872"/>
      <c r="U938" s="872"/>
      <c r="V938" s="872"/>
      <c r="W938" s="872"/>
      <c r="X938" s="872"/>
      <c r="Y938" s="872"/>
      <c r="Z938" s="872"/>
    </row>
    <row r="939" ht="14.25" customHeight="1">
      <c r="A939" s="872"/>
      <c r="B939" s="872"/>
      <c r="C939" s="872"/>
      <c r="D939" s="872"/>
      <c r="E939" s="872"/>
      <c r="F939" s="872"/>
      <c r="G939" s="872"/>
      <c r="H939" s="872"/>
      <c r="I939" s="872"/>
      <c r="J939" s="872"/>
      <c r="K939" s="872"/>
      <c r="L939" s="872"/>
      <c r="M939" s="872"/>
      <c r="N939" s="872"/>
      <c r="O939" s="872"/>
      <c r="P939" s="872"/>
      <c r="Q939" s="872"/>
      <c r="R939" s="872"/>
      <c r="S939" s="872"/>
      <c r="T939" s="872"/>
      <c r="U939" s="872"/>
      <c r="V939" s="872"/>
      <c r="W939" s="872"/>
      <c r="X939" s="872"/>
      <c r="Y939" s="872"/>
      <c r="Z939" s="872"/>
    </row>
    <row r="940" ht="14.25" customHeight="1">
      <c r="A940" s="872"/>
      <c r="B940" s="872"/>
      <c r="C940" s="872"/>
      <c r="D940" s="872"/>
      <c r="E940" s="872"/>
      <c r="F940" s="872"/>
      <c r="G940" s="872"/>
      <c r="H940" s="872"/>
      <c r="I940" s="872"/>
      <c r="J940" s="872"/>
      <c r="K940" s="872"/>
      <c r="L940" s="872"/>
      <c r="M940" s="872"/>
      <c r="N940" s="872"/>
      <c r="O940" s="872"/>
      <c r="P940" s="872"/>
      <c r="Q940" s="872"/>
      <c r="R940" s="872"/>
      <c r="S940" s="872"/>
      <c r="T940" s="872"/>
      <c r="U940" s="872"/>
      <c r="V940" s="872"/>
      <c r="W940" s="872"/>
      <c r="X940" s="872"/>
      <c r="Y940" s="872"/>
      <c r="Z940" s="872"/>
    </row>
    <row r="941" ht="14.25" customHeight="1">
      <c r="A941" s="872"/>
      <c r="B941" s="872"/>
      <c r="C941" s="872"/>
      <c r="D941" s="872"/>
      <c r="E941" s="872"/>
      <c r="F941" s="872"/>
      <c r="G941" s="872"/>
      <c r="H941" s="872"/>
      <c r="I941" s="872"/>
      <c r="J941" s="872"/>
      <c r="K941" s="872"/>
      <c r="L941" s="872"/>
      <c r="M941" s="872"/>
      <c r="N941" s="872"/>
      <c r="O941" s="872"/>
      <c r="P941" s="872"/>
      <c r="Q941" s="872"/>
      <c r="R941" s="872"/>
      <c r="S941" s="872"/>
      <c r="T941" s="872"/>
      <c r="U941" s="872"/>
      <c r="V941" s="872"/>
      <c r="W941" s="872"/>
      <c r="X941" s="872"/>
      <c r="Y941" s="872"/>
      <c r="Z941" s="872"/>
    </row>
    <row r="942" ht="14.25" customHeight="1">
      <c r="A942" s="872"/>
      <c r="B942" s="872"/>
      <c r="C942" s="872"/>
      <c r="D942" s="872"/>
      <c r="E942" s="872"/>
      <c r="F942" s="872"/>
      <c r="G942" s="872"/>
      <c r="H942" s="872"/>
      <c r="I942" s="872"/>
      <c r="J942" s="872"/>
      <c r="K942" s="872"/>
      <c r="L942" s="872"/>
      <c r="M942" s="872"/>
      <c r="N942" s="872"/>
      <c r="O942" s="872"/>
      <c r="P942" s="872"/>
      <c r="Q942" s="872"/>
      <c r="R942" s="872"/>
      <c r="S942" s="872"/>
      <c r="T942" s="872"/>
      <c r="U942" s="872"/>
      <c r="V942" s="872"/>
      <c r="W942" s="872"/>
      <c r="X942" s="872"/>
      <c r="Y942" s="872"/>
      <c r="Z942" s="872"/>
    </row>
    <row r="943" ht="14.25" customHeight="1">
      <c r="A943" s="872"/>
      <c r="B943" s="872"/>
      <c r="C943" s="872"/>
      <c r="D943" s="872"/>
      <c r="E943" s="872"/>
      <c r="F943" s="872"/>
      <c r="G943" s="872"/>
      <c r="H943" s="872"/>
      <c r="I943" s="872"/>
      <c r="J943" s="872"/>
      <c r="K943" s="872"/>
      <c r="L943" s="872"/>
      <c r="M943" s="872"/>
      <c r="N943" s="872"/>
      <c r="O943" s="872"/>
      <c r="P943" s="872"/>
      <c r="Q943" s="872"/>
      <c r="R943" s="872"/>
      <c r="S943" s="872"/>
      <c r="T943" s="872"/>
      <c r="U943" s="872"/>
      <c r="V943" s="872"/>
      <c r="W943" s="872"/>
      <c r="X943" s="872"/>
      <c r="Y943" s="872"/>
      <c r="Z943" s="872"/>
    </row>
    <row r="944" ht="14.25" customHeight="1">
      <c r="A944" s="872"/>
      <c r="B944" s="872"/>
      <c r="C944" s="872"/>
      <c r="D944" s="872"/>
      <c r="E944" s="872"/>
      <c r="F944" s="872"/>
      <c r="G944" s="872"/>
      <c r="H944" s="872"/>
      <c r="I944" s="872"/>
      <c r="J944" s="872"/>
      <c r="K944" s="872"/>
      <c r="L944" s="872"/>
      <c r="M944" s="872"/>
      <c r="N944" s="872"/>
      <c r="O944" s="872"/>
      <c r="P944" s="872"/>
      <c r="Q944" s="872"/>
      <c r="R944" s="872"/>
      <c r="S944" s="872"/>
      <c r="T944" s="872"/>
      <c r="U944" s="872"/>
      <c r="V944" s="872"/>
      <c r="W944" s="872"/>
      <c r="X944" s="872"/>
      <c r="Y944" s="872"/>
      <c r="Z944" s="872"/>
    </row>
    <row r="945" ht="14.25" customHeight="1">
      <c r="A945" s="872"/>
      <c r="B945" s="872"/>
      <c r="C945" s="872"/>
      <c r="D945" s="872"/>
      <c r="E945" s="872"/>
      <c r="F945" s="872"/>
      <c r="G945" s="872"/>
      <c r="H945" s="872"/>
      <c r="I945" s="872"/>
      <c r="J945" s="872"/>
      <c r="K945" s="872"/>
      <c r="L945" s="872"/>
      <c r="M945" s="872"/>
      <c r="N945" s="872"/>
      <c r="O945" s="872"/>
      <c r="P945" s="872"/>
      <c r="Q945" s="872"/>
      <c r="R945" s="872"/>
      <c r="S945" s="872"/>
      <c r="T945" s="872"/>
      <c r="U945" s="872"/>
      <c r="V945" s="872"/>
      <c r="W945" s="872"/>
      <c r="X945" s="872"/>
      <c r="Y945" s="872"/>
      <c r="Z945" s="872"/>
    </row>
    <row r="946" ht="14.25" customHeight="1">
      <c r="A946" s="872"/>
      <c r="B946" s="872"/>
      <c r="C946" s="872"/>
      <c r="D946" s="872"/>
      <c r="E946" s="872"/>
      <c r="F946" s="872"/>
      <c r="G946" s="872"/>
      <c r="H946" s="872"/>
      <c r="I946" s="872"/>
      <c r="J946" s="872"/>
      <c r="K946" s="872"/>
      <c r="L946" s="872"/>
      <c r="M946" s="872"/>
      <c r="N946" s="872"/>
      <c r="O946" s="872"/>
      <c r="P946" s="872"/>
      <c r="Q946" s="872"/>
      <c r="R946" s="872"/>
      <c r="S946" s="872"/>
      <c r="T946" s="872"/>
      <c r="U946" s="872"/>
      <c r="V946" s="872"/>
      <c r="W946" s="872"/>
      <c r="X946" s="872"/>
      <c r="Y946" s="872"/>
      <c r="Z946" s="872"/>
    </row>
    <row r="947" ht="14.25" customHeight="1">
      <c r="A947" s="872"/>
      <c r="B947" s="872"/>
      <c r="C947" s="872"/>
      <c r="D947" s="872"/>
      <c r="E947" s="872"/>
      <c r="F947" s="872"/>
      <c r="G947" s="872"/>
      <c r="H947" s="872"/>
      <c r="I947" s="872"/>
      <c r="J947" s="872"/>
      <c r="K947" s="872"/>
      <c r="L947" s="872"/>
      <c r="M947" s="872"/>
      <c r="N947" s="872"/>
      <c r="O947" s="872"/>
      <c r="P947" s="872"/>
      <c r="Q947" s="872"/>
      <c r="R947" s="872"/>
      <c r="S947" s="872"/>
      <c r="T947" s="872"/>
      <c r="U947" s="872"/>
      <c r="V947" s="872"/>
      <c r="W947" s="872"/>
      <c r="X947" s="872"/>
      <c r="Y947" s="872"/>
      <c r="Z947" s="872"/>
    </row>
    <row r="948" ht="14.25" customHeight="1">
      <c r="A948" s="872"/>
      <c r="B948" s="872"/>
      <c r="C948" s="872"/>
      <c r="D948" s="872"/>
      <c r="E948" s="872"/>
      <c r="F948" s="872"/>
      <c r="G948" s="872"/>
      <c r="H948" s="872"/>
      <c r="I948" s="872"/>
      <c r="J948" s="872"/>
      <c r="K948" s="872"/>
      <c r="L948" s="872"/>
      <c r="M948" s="872"/>
      <c r="N948" s="872"/>
      <c r="O948" s="872"/>
      <c r="P948" s="872"/>
      <c r="Q948" s="872"/>
      <c r="R948" s="872"/>
      <c r="S948" s="872"/>
      <c r="T948" s="872"/>
      <c r="U948" s="872"/>
      <c r="V948" s="872"/>
      <c r="W948" s="872"/>
      <c r="X948" s="872"/>
      <c r="Y948" s="872"/>
      <c r="Z948" s="872"/>
    </row>
    <row r="949" ht="14.25" customHeight="1">
      <c r="A949" s="872"/>
      <c r="B949" s="872"/>
      <c r="C949" s="872"/>
      <c r="D949" s="872"/>
      <c r="E949" s="872"/>
      <c r="F949" s="872"/>
      <c r="G949" s="872"/>
      <c r="H949" s="872"/>
      <c r="I949" s="872"/>
      <c r="J949" s="872"/>
      <c r="K949" s="872"/>
      <c r="L949" s="872"/>
      <c r="M949" s="872"/>
      <c r="N949" s="872"/>
      <c r="O949" s="872"/>
      <c r="P949" s="872"/>
      <c r="Q949" s="872"/>
      <c r="R949" s="872"/>
      <c r="S949" s="872"/>
      <c r="T949" s="872"/>
      <c r="U949" s="872"/>
      <c r="V949" s="872"/>
      <c r="W949" s="872"/>
      <c r="X949" s="872"/>
      <c r="Y949" s="872"/>
      <c r="Z949" s="872"/>
    </row>
    <row r="950" ht="14.25" customHeight="1">
      <c r="A950" s="872"/>
      <c r="B950" s="872"/>
      <c r="C950" s="872"/>
      <c r="D950" s="872"/>
      <c r="E950" s="872"/>
      <c r="F950" s="872"/>
      <c r="G950" s="872"/>
      <c r="H950" s="872"/>
      <c r="I950" s="872"/>
      <c r="J950" s="872"/>
      <c r="K950" s="872"/>
      <c r="L950" s="872"/>
      <c r="M950" s="872"/>
      <c r="N950" s="872"/>
      <c r="O950" s="872"/>
      <c r="P950" s="872"/>
      <c r="Q950" s="872"/>
      <c r="R950" s="872"/>
      <c r="S950" s="872"/>
      <c r="T950" s="872"/>
      <c r="U950" s="872"/>
      <c r="V950" s="872"/>
      <c r="W950" s="872"/>
      <c r="X950" s="872"/>
      <c r="Y950" s="872"/>
      <c r="Z950" s="872"/>
    </row>
    <row r="951" ht="14.25" customHeight="1">
      <c r="A951" s="872"/>
      <c r="B951" s="872"/>
      <c r="C951" s="872"/>
      <c r="D951" s="872"/>
      <c r="E951" s="872"/>
      <c r="F951" s="872"/>
      <c r="G951" s="872"/>
      <c r="H951" s="872"/>
      <c r="I951" s="872"/>
      <c r="J951" s="872"/>
      <c r="K951" s="872"/>
      <c r="L951" s="872"/>
      <c r="M951" s="872"/>
      <c r="N951" s="872"/>
      <c r="O951" s="872"/>
      <c r="P951" s="872"/>
      <c r="Q951" s="872"/>
      <c r="R951" s="872"/>
      <c r="S951" s="872"/>
      <c r="T951" s="872"/>
      <c r="U951" s="872"/>
      <c r="V951" s="872"/>
      <c r="W951" s="872"/>
      <c r="X951" s="872"/>
      <c r="Y951" s="872"/>
      <c r="Z951" s="872"/>
    </row>
    <row r="952" ht="14.25" customHeight="1">
      <c r="A952" s="872"/>
      <c r="B952" s="872"/>
      <c r="C952" s="872"/>
      <c r="D952" s="872"/>
      <c r="E952" s="872"/>
      <c r="F952" s="872"/>
      <c r="G952" s="872"/>
      <c r="H952" s="872"/>
      <c r="I952" s="872"/>
      <c r="J952" s="872"/>
      <c r="K952" s="872"/>
      <c r="L952" s="872"/>
      <c r="M952" s="872"/>
      <c r="N952" s="872"/>
      <c r="O952" s="872"/>
      <c r="P952" s="872"/>
      <c r="Q952" s="872"/>
      <c r="R952" s="872"/>
      <c r="S952" s="872"/>
      <c r="T952" s="872"/>
      <c r="U952" s="872"/>
      <c r="V952" s="872"/>
      <c r="W952" s="872"/>
      <c r="X952" s="872"/>
      <c r="Y952" s="872"/>
      <c r="Z952" s="872"/>
    </row>
    <row r="953" ht="14.25" customHeight="1">
      <c r="A953" s="872"/>
      <c r="B953" s="872"/>
      <c r="C953" s="872"/>
      <c r="D953" s="872"/>
      <c r="E953" s="872"/>
      <c r="F953" s="872"/>
      <c r="G953" s="872"/>
      <c r="H953" s="872"/>
      <c r="I953" s="872"/>
      <c r="J953" s="872"/>
      <c r="K953" s="872"/>
      <c r="L953" s="872"/>
      <c r="M953" s="872"/>
      <c r="N953" s="872"/>
      <c r="O953" s="872"/>
      <c r="P953" s="872"/>
      <c r="Q953" s="872"/>
      <c r="R953" s="872"/>
      <c r="S953" s="872"/>
      <c r="T953" s="872"/>
      <c r="U953" s="872"/>
      <c r="V953" s="872"/>
      <c r="W953" s="872"/>
      <c r="X953" s="872"/>
      <c r="Y953" s="872"/>
      <c r="Z953" s="872"/>
    </row>
    <row r="954" ht="14.25" customHeight="1">
      <c r="A954" s="872"/>
      <c r="B954" s="872"/>
      <c r="C954" s="872"/>
      <c r="D954" s="872"/>
      <c r="E954" s="872"/>
      <c r="F954" s="872"/>
      <c r="G954" s="872"/>
      <c r="H954" s="872"/>
      <c r="I954" s="872"/>
      <c r="J954" s="872"/>
      <c r="K954" s="872"/>
      <c r="L954" s="872"/>
      <c r="M954" s="872"/>
      <c r="N954" s="872"/>
      <c r="O954" s="872"/>
      <c r="P954" s="872"/>
      <c r="Q954" s="872"/>
      <c r="R954" s="872"/>
      <c r="S954" s="872"/>
      <c r="T954" s="872"/>
      <c r="U954" s="872"/>
      <c r="V954" s="872"/>
      <c r="W954" s="872"/>
      <c r="X954" s="872"/>
      <c r="Y954" s="872"/>
      <c r="Z954" s="872"/>
    </row>
    <row r="955" ht="14.25" customHeight="1">
      <c r="A955" s="872"/>
      <c r="B955" s="872"/>
      <c r="C955" s="872"/>
      <c r="D955" s="872"/>
      <c r="E955" s="872"/>
      <c r="F955" s="872"/>
      <c r="G955" s="872"/>
      <c r="H955" s="872"/>
      <c r="I955" s="872"/>
      <c r="J955" s="872"/>
      <c r="K955" s="872"/>
      <c r="L955" s="872"/>
      <c r="M955" s="872"/>
      <c r="N955" s="872"/>
      <c r="O955" s="872"/>
      <c r="P955" s="872"/>
      <c r="Q955" s="872"/>
      <c r="R955" s="872"/>
      <c r="S955" s="872"/>
      <c r="T955" s="872"/>
      <c r="U955" s="872"/>
      <c r="V955" s="872"/>
      <c r="W955" s="872"/>
      <c r="X955" s="872"/>
      <c r="Y955" s="872"/>
      <c r="Z955" s="872"/>
    </row>
    <row r="956" ht="14.25" customHeight="1">
      <c r="A956" s="872"/>
      <c r="B956" s="872"/>
      <c r="C956" s="872"/>
      <c r="D956" s="872"/>
      <c r="E956" s="872"/>
      <c r="F956" s="872"/>
      <c r="G956" s="872"/>
      <c r="H956" s="872"/>
      <c r="I956" s="872"/>
      <c r="J956" s="872"/>
      <c r="K956" s="872"/>
      <c r="L956" s="872"/>
      <c r="M956" s="872"/>
      <c r="N956" s="872"/>
      <c r="O956" s="872"/>
      <c r="P956" s="872"/>
      <c r="Q956" s="872"/>
      <c r="R956" s="872"/>
      <c r="S956" s="872"/>
      <c r="T956" s="872"/>
      <c r="U956" s="872"/>
      <c r="V956" s="872"/>
      <c r="W956" s="872"/>
      <c r="X956" s="872"/>
      <c r="Y956" s="872"/>
      <c r="Z956" s="872"/>
    </row>
    <row r="957" ht="14.25" customHeight="1">
      <c r="A957" s="872"/>
      <c r="B957" s="872"/>
      <c r="C957" s="872"/>
      <c r="D957" s="872"/>
      <c r="E957" s="872"/>
      <c r="F957" s="872"/>
      <c r="G957" s="872"/>
      <c r="H957" s="872"/>
      <c r="I957" s="872"/>
      <c r="J957" s="872"/>
      <c r="K957" s="872"/>
      <c r="L957" s="872"/>
      <c r="M957" s="872"/>
      <c r="N957" s="872"/>
      <c r="O957" s="872"/>
      <c r="P957" s="872"/>
      <c r="Q957" s="872"/>
      <c r="R957" s="872"/>
      <c r="S957" s="872"/>
      <c r="T957" s="872"/>
      <c r="U957" s="872"/>
      <c r="V957" s="872"/>
      <c r="W957" s="872"/>
      <c r="X957" s="872"/>
      <c r="Y957" s="872"/>
      <c r="Z957" s="872"/>
    </row>
    <row r="958" ht="14.25" customHeight="1">
      <c r="A958" s="872"/>
      <c r="B958" s="872"/>
      <c r="C958" s="872"/>
      <c r="D958" s="872"/>
      <c r="E958" s="872"/>
      <c r="F958" s="872"/>
      <c r="G958" s="872"/>
      <c r="H958" s="872"/>
      <c r="I958" s="872"/>
      <c r="J958" s="872"/>
      <c r="K958" s="872"/>
      <c r="L958" s="872"/>
      <c r="M958" s="872"/>
      <c r="N958" s="872"/>
      <c r="O958" s="872"/>
      <c r="P958" s="872"/>
      <c r="Q958" s="872"/>
      <c r="R958" s="872"/>
      <c r="S958" s="872"/>
      <c r="T958" s="872"/>
      <c r="U958" s="872"/>
      <c r="V958" s="872"/>
      <c r="W958" s="872"/>
      <c r="X958" s="872"/>
      <c r="Y958" s="872"/>
      <c r="Z958" s="872"/>
    </row>
    <row r="959" ht="14.25" customHeight="1">
      <c r="A959" s="872"/>
      <c r="B959" s="872"/>
      <c r="C959" s="872"/>
      <c r="D959" s="872"/>
      <c r="E959" s="872"/>
      <c r="F959" s="872"/>
      <c r="G959" s="872"/>
      <c r="H959" s="872"/>
      <c r="I959" s="872"/>
      <c r="J959" s="872"/>
      <c r="K959" s="872"/>
      <c r="L959" s="872"/>
      <c r="M959" s="872"/>
      <c r="N959" s="872"/>
      <c r="O959" s="872"/>
      <c r="P959" s="872"/>
      <c r="Q959" s="872"/>
      <c r="R959" s="872"/>
      <c r="S959" s="872"/>
      <c r="T959" s="872"/>
      <c r="U959" s="872"/>
      <c r="V959" s="872"/>
      <c r="W959" s="872"/>
      <c r="X959" s="872"/>
      <c r="Y959" s="872"/>
      <c r="Z959" s="872"/>
    </row>
    <row r="960" ht="14.25" customHeight="1">
      <c r="A960" s="872"/>
      <c r="B960" s="872"/>
      <c r="C960" s="872"/>
      <c r="D960" s="872"/>
      <c r="E960" s="872"/>
      <c r="F960" s="872"/>
      <c r="G960" s="872"/>
      <c r="H960" s="872"/>
      <c r="I960" s="872"/>
      <c r="J960" s="872"/>
      <c r="K960" s="872"/>
      <c r="L960" s="872"/>
      <c r="M960" s="872"/>
      <c r="N960" s="872"/>
      <c r="O960" s="872"/>
      <c r="P960" s="872"/>
      <c r="Q960" s="872"/>
      <c r="R960" s="872"/>
      <c r="S960" s="872"/>
      <c r="T960" s="872"/>
      <c r="U960" s="872"/>
      <c r="V960" s="872"/>
      <c r="W960" s="872"/>
      <c r="X960" s="872"/>
      <c r="Y960" s="872"/>
      <c r="Z960" s="872"/>
    </row>
    <row r="961" ht="14.25" customHeight="1">
      <c r="A961" s="872"/>
      <c r="B961" s="872"/>
      <c r="C961" s="872"/>
      <c r="D961" s="872"/>
      <c r="E961" s="872"/>
      <c r="F961" s="872"/>
      <c r="G961" s="872"/>
      <c r="H961" s="872"/>
      <c r="I961" s="872"/>
      <c r="J961" s="872"/>
      <c r="K961" s="872"/>
      <c r="L961" s="872"/>
      <c r="M961" s="872"/>
      <c r="N961" s="872"/>
      <c r="O961" s="872"/>
      <c r="P961" s="872"/>
      <c r="Q961" s="872"/>
      <c r="R961" s="872"/>
      <c r="S961" s="872"/>
      <c r="T961" s="872"/>
      <c r="U961" s="872"/>
      <c r="V961" s="872"/>
      <c r="W961" s="872"/>
      <c r="X961" s="872"/>
      <c r="Y961" s="872"/>
      <c r="Z961" s="872"/>
    </row>
    <row r="962" ht="14.25" customHeight="1">
      <c r="A962" s="872"/>
      <c r="B962" s="872"/>
      <c r="C962" s="872"/>
      <c r="D962" s="872"/>
      <c r="E962" s="872"/>
      <c r="F962" s="872"/>
      <c r="G962" s="872"/>
      <c r="H962" s="872"/>
      <c r="I962" s="872"/>
      <c r="J962" s="872"/>
      <c r="K962" s="872"/>
      <c r="L962" s="872"/>
      <c r="M962" s="872"/>
      <c r="N962" s="872"/>
      <c r="O962" s="872"/>
      <c r="P962" s="872"/>
      <c r="Q962" s="872"/>
      <c r="R962" s="872"/>
      <c r="S962" s="872"/>
      <c r="T962" s="872"/>
      <c r="U962" s="872"/>
      <c r="V962" s="872"/>
      <c r="W962" s="872"/>
      <c r="X962" s="872"/>
      <c r="Y962" s="872"/>
      <c r="Z962" s="872"/>
    </row>
    <row r="963" ht="14.25" customHeight="1">
      <c r="A963" s="872"/>
      <c r="B963" s="872"/>
      <c r="C963" s="872"/>
      <c r="D963" s="872"/>
      <c r="E963" s="872"/>
      <c r="F963" s="872"/>
      <c r="G963" s="872"/>
      <c r="H963" s="872"/>
      <c r="I963" s="872"/>
      <c r="J963" s="872"/>
      <c r="K963" s="872"/>
      <c r="L963" s="872"/>
      <c r="M963" s="872"/>
      <c r="N963" s="872"/>
      <c r="O963" s="872"/>
      <c r="P963" s="872"/>
      <c r="Q963" s="872"/>
      <c r="R963" s="872"/>
      <c r="S963" s="872"/>
      <c r="T963" s="872"/>
      <c r="U963" s="872"/>
      <c r="V963" s="872"/>
      <c r="W963" s="872"/>
      <c r="X963" s="872"/>
      <c r="Y963" s="872"/>
      <c r="Z963" s="872"/>
    </row>
    <row r="964" ht="14.25" customHeight="1">
      <c r="A964" s="872"/>
      <c r="B964" s="872"/>
      <c r="C964" s="872"/>
      <c r="D964" s="872"/>
      <c r="E964" s="872"/>
      <c r="F964" s="872"/>
      <c r="G964" s="872"/>
      <c r="H964" s="872"/>
      <c r="I964" s="872"/>
      <c r="J964" s="872"/>
      <c r="K964" s="872"/>
      <c r="L964" s="872"/>
      <c r="M964" s="872"/>
      <c r="N964" s="872"/>
      <c r="O964" s="872"/>
      <c r="P964" s="872"/>
      <c r="Q964" s="872"/>
      <c r="R964" s="872"/>
      <c r="S964" s="872"/>
      <c r="T964" s="872"/>
      <c r="U964" s="872"/>
      <c r="V964" s="872"/>
      <c r="W964" s="872"/>
      <c r="X964" s="872"/>
      <c r="Y964" s="872"/>
      <c r="Z964" s="872"/>
    </row>
    <row r="965" ht="14.25" customHeight="1">
      <c r="A965" s="872"/>
      <c r="B965" s="872"/>
      <c r="C965" s="872"/>
      <c r="D965" s="872"/>
      <c r="E965" s="872"/>
      <c r="F965" s="872"/>
      <c r="G965" s="872"/>
      <c r="H965" s="872"/>
      <c r="I965" s="872"/>
      <c r="J965" s="872"/>
      <c r="K965" s="872"/>
      <c r="L965" s="872"/>
      <c r="M965" s="872"/>
      <c r="N965" s="872"/>
      <c r="O965" s="872"/>
      <c r="P965" s="872"/>
      <c r="Q965" s="872"/>
      <c r="R965" s="872"/>
      <c r="S965" s="872"/>
      <c r="T965" s="872"/>
      <c r="U965" s="872"/>
      <c r="V965" s="872"/>
      <c r="W965" s="872"/>
      <c r="X965" s="872"/>
      <c r="Y965" s="872"/>
      <c r="Z965" s="872"/>
    </row>
    <row r="966" ht="14.25" customHeight="1">
      <c r="A966" s="872"/>
      <c r="B966" s="872"/>
      <c r="C966" s="872"/>
      <c r="D966" s="872"/>
      <c r="E966" s="872"/>
      <c r="F966" s="872"/>
      <c r="G966" s="872"/>
      <c r="H966" s="872"/>
      <c r="I966" s="872"/>
      <c r="J966" s="872"/>
      <c r="K966" s="872"/>
      <c r="L966" s="872"/>
      <c r="M966" s="872"/>
      <c r="N966" s="872"/>
      <c r="O966" s="872"/>
      <c r="P966" s="872"/>
      <c r="Q966" s="872"/>
      <c r="R966" s="872"/>
      <c r="S966" s="872"/>
      <c r="T966" s="872"/>
      <c r="U966" s="872"/>
      <c r="V966" s="872"/>
      <c r="W966" s="872"/>
      <c r="X966" s="872"/>
      <c r="Y966" s="872"/>
      <c r="Z966" s="872"/>
    </row>
    <row r="967" ht="14.25" customHeight="1">
      <c r="A967" s="872"/>
      <c r="B967" s="872"/>
      <c r="C967" s="872"/>
      <c r="D967" s="872"/>
      <c r="E967" s="872"/>
      <c r="F967" s="872"/>
      <c r="G967" s="872"/>
      <c r="H967" s="872"/>
      <c r="I967" s="872"/>
      <c r="J967" s="872"/>
      <c r="K967" s="872"/>
      <c r="L967" s="872"/>
      <c r="M967" s="872"/>
      <c r="N967" s="872"/>
      <c r="O967" s="872"/>
      <c r="P967" s="872"/>
      <c r="Q967" s="872"/>
      <c r="R967" s="872"/>
      <c r="S967" s="872"/>
      <c r="T967" s="872"/>
      <c r="U967" s="872"/>
      <c r="V967" s="872"/>
      <c r="W967" s="872"/>
      <c r="X967" s="872"/>
      <c r="Y967" s="872"/>
      <c r="Z967" s="872"/>
    </row>
    <row r="968" ht="14.25" customHeight="1">
      <c r="A968" s="872"/>
      <c r="B968" s="872"/>
      <c r="C968" s="872"/>
      <c r="D968" s="872"/>
      <c r="E968" s="872"/>
      <c r="F968" s="872"/>
      <c r="G968" s="872"/>
      <c r="H968" s="872"/>
      <c r="I968" s="872"/>
      <c r="J968" s="872"/>
      <c r="K968" s="872"/>
      <c r="L968" s="872"/>
      <c r="M968" s="872"/>
      <c r="N968" s="872"/>
      <c r="O968" s="872"/>
      <c r="P968" s="872"/>
      <c r="Q968" s="872"/>
      <c r="R968" s="872"/>
      <c r="S968" s="872"/>
      <c r="T968" s="872"/>
      <c r="U968" s="872"/>
      <c r="V968" s="872"/>
      <c r="W968" s="872"/>
      <c r="X968" s="872"/>
      <c r="Y968" s="872"/>
      <c r="Z968" s="872"/>
    </row>
    <row r="969" ht="14.25" customHeight="1">
      <c r="A969" s="872"/>
      <c r="B969" s="872"/>
      <c r="C969" s="872"/>
      <c r="D969" s="872"/>
      <c r="E969" s="872"/>
      <c r="F969" s="872"/>
      <c r="G969" s="872"/>
      <c r="H969" s="872"/>
      <c r="I969" s="872"/>
      <c r="J969" s="872"/>
      <c r="K969" s="872"/>
      <c r="L969" s="872"/>
      <c r="M969" s="872"/>
      <c r="N969" s="872"/>
      <c r="O969" s="872"/>
      <c r="P969" s="872"/>
      <c r="Q969" s="872"/>
      <c r="R969" s="872"/>
      <c r="S969" s="872"/>
      <c r="T969" s="872"/>
      <c r="U969" s="872"/>
      <c r="V969" s="872"/>
      <c r="W969" s="872"/>
      <c r="X969" s="872"/>
      <c r="Y969" s="872"/>
      <c r="Z969" s="872"/>
    </row>
    <row r="970" ht="14.25" customHeight="1">
      <c r="A970" s="872"/>
      <c r="B970" s="872"/>
      <c r="C970" s="872"/>
      <c r="D970" s="872"/>
      <c r="E970" s="872"/>
      <c r="F970" s="872"/>
      <c r="G970" s="872"/>
      <c r="H970" s="872"/>
      <c r="I970" s="872"/>
      <c r="J970" s="872"/>
      <c r="K970" s="872"/>
      <c r="L970" s="872"/>
      <c r="M970" s="872"/>
      <c r="N970" s="872"/>
      <c r="O970" s="872"/>
      <c r="P970" s="872"/>
      <c r="Q970" s="872"/>
      <c r="R970" s="872"/>
      <c r="S970" s="872"/>
      <c r="T970" s="872"/>
      <c r="U970" s="872"/>
      <c r="V970" s="872"/>
      <c r="W970" s="872"/>
      <c r="X970" s="872"/>
      <c r="Y970" s="872"/>
      <c r="Z970" s="872"/>
    </row>
    <row r="971" ht="14.25" customHeight="1">
      <c r="A971" s="872"/>
      <c r="B971" s="872"/>
      <c r="C971" s="872"/>
      <c r="D971" s="872"/>
      <c r="E971" s="872"/>
      <c r="F971" s="872"/>
      <c r="G971" s="872"/>
      <c r="H971" s="872"/>
      <c r="I971" s="872"/>
      <c r="J971" s="872"/>
      <c r="K971" s="872"/>
      <c r="L971" s="872"/>
      <c r="M971" s="872"/>
      <c r="N971" s="872"/>
      <c r="O971" s="872"/>
      <c r="P971" s="872"/>
      <c r="Q971" s="872"/>
      <c r="R971" s="872"/>
      <c r="S971" s="872"/>
      <c r="T971" s="872"/>
      <c r="U971" s="872"/>
      <c r="V971" s="872"/>
      <c r="W971" s="872"/>
      <c r="X971" s="872"/>
      <c r="Y971" s="872"/>
      <c r="Z971" s="872"/>
    </row>
    <row r="972" ht="14.25" customHeight="1">
      <c r="A972" s="872"/>
      <c r="B972" s="872"/>
      <c r="C972" s="872"/>
      <c r="D972" s="872"/>
      <c r="E972" s="872"/>
      <c r="F972" s="872"/>
      <c r="G972" s="872"/>
      <c r="H972" s="872"/>
      <c r="I972" s="872"/>
      <c r="J972" s="872"/>
      <c r="K972" s="872"/>
      <c r="L972" s="872"/>
      <c r="M972" s="872"/>
      <c r="N972" s="872"/>
      <c r="O972" s="872"/>
      <c r="P972" s="872"/>
      <c r="Q972" s="872"/>
      <c r="R972" s="872"/>
      <c r="S972" s="872"/>
      <c r="T972" s="872"/>
      <c r="U972" s="872"/>
      <c r="V972" s="872"/>
      <c r="W972" s="872"/>
      <c r="X972" s="872"/>
      <c r="Y972" s="872"/>
      <c r="Z972" s="872"/>
    </row>
    <row r="973" ht="14.25" customHeight="1">
      <c r="A973" s="872"/>
      <c r="B973" s="872"/>
      <c r="C973" s="872"/>
      <c r="D973" s="872"/>
      <c r="E973" s="872"/>
      <c r="F973" s="872"/>
      <c r="G973" s="872"/>
      <c r="H973" s="872"/>
      <c r="I973" s="872"/>
      <c r="J973" s="872"/>
      <c r="K973" s="872"/>
      <c r="L973" s="872"/>
      <c r="M973" s="872"/>
      <c r="N973" s="872"/>
      <c r="O973" s="872"/>
      <c r="P973" s="872"/>
      <c r="Q973" s="872"/>
      <c r="R973" s="872"/>
      <c r="S973" s="872"/>
      <c r="T973" s="872"/>
      <c r="U973" s="872"/>
      <c r="V973" s="872"/>
      <c r="W973" s="872"/>
      <c r="X973" s="872"/>
      <c r="Y973" s="872"/>
      <c r="Z973" s="872"/>
    </row>
    <row r="974" ht="14.25" customHeight="1">
      <c r="A974" s="872"/>
      <c r="B974" s="872"/>
      <c r="C974" s="872"/>
      <c r="D974" s="872"/>
      <c r="E974" s="872"/>
      <c r="F974" s="872"/>
      <c r="G974" s="872"/>
      <c r="H974" s="872"/>
      <c r="I974" s="872"/>
      <c r="J974" s="872"/>
      <c r="K974" s="872"/>
      <c r="L974" s="872"/>
      <c r="M974" s="872"/>
      <c r="N974" s="872"/>
      <c r="O974" s="872"/>
      <c r="P974" s="872"/>
      <c r="Q974" s="872"/>
      <c r="R974" s="872"/>
      <c r="S974" s="872"/>
      <c r="T974" s="872"/>
      <c r="U974" s="872"/>
      <c r="V974" s="872"/>
      <c r="W974" s="872"/>
      <c r="X974" s="872"/>
      <c r="Y974" s="872"/>
      <c r="Z974" s="872"/>
    </row>
    <row r="975" ht="14.25" customHeight="1">
      <c r="A975" s="872"/>
      <c r="B975" s="872"/>
      <c r="C975" s="872"/>
      <c r="D975" s="872"/>
      <c r="E975" s="872"/>
      <c r="F975" s="872"/>
      <c r="G975" s="872"/>
      <c r="H975" s="872"/>
      <c r="I975" s="872"/>
      <c r="J975" s="872"/>
      <c r="K975" s="872"/>
      <c r="L975" s="872"/>
      <c r="M975" s="872"/>
      <c r="N975" s="872"/>
      <c r="O975" s="872"/>
      <c r="P975" s="872"/>
      <c r="Q975" s="872"/>
      <c r="R975" s="872"/>
      <c r="S975" s="872"/>
      <c r="T975" s="872"/>
      <c r="U975" s="872"/>
      <c r="V975" s="872"/>
      <c r="W975" s="872"/>
      <c r="X975" s="872"/>
      <c r="Y975" s="872"/>
      <c r="Z975" s="872"/>
    </row>
    <row r="976" ht="14.25" customHeight="1">
      <c r="A976" s="872"/>
      <c r="B976" s="872"/>
      <c r="C976" s="872"/>
      <c r="D976" s="872"/>
      <c r="E976" s="872"/>
      <c r="F976" s="872"/>
      <c r="G976" s="872"/>
      <c r="H976" s="872"/>
      <c r="I976" s="872"/>
      <c r="J976" s="872"/>
      <c r="K976" s="872"/>
      <c r="L976" s="872"/>
      <c r="M976" s="872"/>
      <c r="N976" s="872"/>
      <c r="O976" s="872"/>
      <c r="P976" s="872"/>
      <c r="Q976" s="872"/>
      <c r="R976" s="872"/>
      <c r="S976" s="872"/>
      <c r="T976" s="872"/>
      <c r="U976" s="872"/>
      <c r="V976" s="872"/>
      <c r="W976" s="872"/>
      <c r="X976" s="872"/>
      <c r="Y976" s="872"/>
      <c r="Z976" s="872"/>
    </row>
    <row r="977" ht="14.25" customHeight="1">
      <c r="A977" s="872"/>
      <c r="B977" s="872"/>
      <c r="C977" s="872"/>
      <c r="D977" s="872"/>
      <c r="E977" s="872"/>
      <c r="F977" s="872"/>
      <c r="G977" s="872"/>
      <c r="H977" s="872"/>
      <c r="I977" s="872"/>
      <c r="J977" s="872"/>
      <c r="K977" s="872"/>
      <c r="L977" s="872"/>
      <c r="M977" s="872"/>
      <c r="N977" s="872"/>
      <c r="O977" s="872"/>
      <c r="P977" s="872"/>
      <c r="Q977" s="872"/>
      <c r="R977" s="872"/>
      <c r="S977" s="872"/>
      <c r="T977" s="872"/>
      <c r="U977" s="872"/>
      <c r="V977" s="872"/>
      <c r="W977" s="872"/>
      <c r="X977" s="872"/>
      <c r="Y977" s="872"/>
      <c r="Z977" s="872"/>
    </row>
    <row r="978" ht="14.25" customHeight="1">
      <c r="A978" s="872"/>
      <c r="B978" s="872"/>
      <c r="C978" s="872"/>
      <c r="D978" s="872"/>
      <c r="E978" s="872"/>
      <c r="F978" s="872"/>
      <c r="G978" s="872"/>
      <c r="H978" s="872"/>
      <c r="I978" s="872"/>
      <c r="J978" s="872"/>
      <c r="K978" s="872"/>
      <c r="L978" s="872"/>
      <c r="M978" s="872"/>
      <c r="N978" s="872"/>
      <c r="O978" s="872"/>
      <c r="P978" s="872"/>
      <c r="Q978" s="872"/>
      <c r="R978" s="872"/>
      <c r="S978" s="872"/>
      <c r="T978" s="872"/>
      <c r="U978" s="872"/>
      <c r="V978" s="872"/>
      <c r="W978" s="872"/>
      <c r="X978" s="872"/>
      <c r="Y978" s="872"/>
      <c r="Z978" s="872"/>
    </row>
    <row r="979" ht="14.25" customHeight="1">
      <c r="A979" s="872"/>
      <c r="B979" s="872"/>
      <c r="C979" s="872"/>
      <c r="D979" s="872"/>
      <c r="E979" s="872"/>
      <c r="F979" s="872"/>
      <c r="G979" s="872"/>
      <c r="H979" s="872"/>
      <c r="I979" s="872"/>
      <c r="J979" s="872"/>
      <c r="K979" s="872"/>
      <c r="L979" s="872"/>
      <c r="M979" s="872"/>
      <c r="N979" s="872"/>
      <c r="O979" s="872"/>
      <c r="P979" s="872"/>
      <c r="Q979" s="872"/>
      <c r="R979" s="872"/>
      <c r="S979" s="872"/>
      <c r="T979" s="872"/>
      <c r="U979" s="872"/>
      <c r="V979" s="872"/>
      <c r="W979" s="872"/>
      <c r="X979" s="872"/>
      <c r="Y979" s="872"/>
      <c r="Z979" s="872"/>
    </row>
    <row r="980" ht="14.25" customHeight="1">
      <c r="A980" s="872"/>
      <c r="B980" s="872"/>
      <c r="C980" s="872"/>
      <c r="D980" s="872"/>
      <c r="E980" s="872"/>
      <c r="F980" s="872"/>
      <c r="G980" s="872"/>
      <c r="H980" s="872"/>
      <c r="I980" s="872"/>
      <c r="J980" s="872"/>
      <c r="K980" s="872"/>
      <c r="L980" s="872"/>
      <c r="M980" s="872"/>
      <c r="N980" s="872"/>
      <c r="O980" s="872"/>
      <c r="P980" s="872"/>
      <c r="Q980" s="872"/>
      <c r="R980" s="872"/>
      <c r="S980" s="872"/>
      <c r="T980" s="872"/>
      <c r="U980" s="872"/>
      <c r="V980" s="872"/>
      <c r="W980" s="872"/>
      <c r="X980" s="872"/>
      <c r="Y980" s="872"/>
      <c r="Z980" s="872"/>
    </row>
    <row r="981" ht="14.25" customHeight="1">
      <c r="A981" s="872"/>
      <c r="B981" s="872"/>
      <c r="C981" s="872"/>
      <c r="D981" s="872"/>
      <c r="E981" s="872"/>
      <c r="F981" s="872"/>
      <c r="G981" s="872"/>
      <c r="H981" s="872"/>
      <c r="I981" s="872"/>
      <c r="J981" s="872"/>
      <c r="K981" s="872"/>
      <c r="L981" s="872"/>
      <c r="M981" s="872"/>
      <c r="N981" s="872"/>
      <c r="O981" s="872"/>
      <c r="P981" s="872"/>
      <c r="Q981" s="872"/>
      <c r="R981" s="872"/>
      <c r="S981" s="872"/>
      <c r="T981" s="872"/>
      <c r="U981" s="872"/>
      <c r="V981" s="872"/>
      <c r="W981" s="872"/>
      <c r="X981" s="872"/>
      <c r="Y981" s="872"/>
      <c r="Z981" s="872"/>
    </row>
    <row r="982" ht="14.25" customHeight="1">
      <c r="A982" s="872"/>
      <c r="B982" s="872"/>
      <c r="C982" s="872"/>
      <c r="D982" s="872"/>
      <c r="E982" s="872"/>
      <c r="F982" s="872"/>
      <c r="G982" s="872"/>
      <c r="H982" s="872"/>
      <c r="I982" s="872"/>
      <c r="J982" s="872"/>
      <c r="K982" s="872"/>
      <c r="L982" s="872"/>
      <c r="M982" s="872"/>
      <c r="N982" s="872"/>
      <c r="O982" s="872"/>
      <c r="P982" s="872"/>
      <c r="Q982" s="872"/>
      <c r="R982" s="872"/>
      <c r="S982" s="872"/>
      <c r="T982" s="872"/>
      <c r="U982" s="872"/>
      <c r="V982" s="872"/>
      <c r="W982" s="872"/>
      <c r="X982" s="872"/>
      <c r="Y982" s="872"/>
      <c r="Z982" s="872"/>
    </row>
    <row r="983" ht="14.25" customHeight="1">
      <c r="A983" s="872"/>
      <c r="B983" s="872"/>
      <c r="C983" s="872"/>
      <c r="D983" s="872"/>
      <c r="E983" s="872"/>
      <c r="F983" s="872"/>
      <c r="G983" s="872"/>
      <c r="H983" s="872"/>
      <c r="I983" s="872"/>
      <c r="J983" s="872"/>
      <c r="K983" s="872"/>
      <c r="L983" s="872"/>
      <c r="M983" s="872"/>
      <c r="N983" s="872"/>
      <c r="O983" s="872"/>
      <c r="P983" s="872"/>
      <c r="Q983" s="872"/>
      <c r="R983" s="872"/>
      <c r="S983" s="872"/>
      <c r="T983" s="872"/>
      <c r="U983" s="872"/>
      <c r="V983" s="872"/>
      <c r="W983" s="872"/>
      <c r="X983" s="872"/>
      <c r="Y983" s="872"/>
      <c r="Z983" s="872"/>
    </row>
    <row r="984" ht="14.25" customHeight="1">
      <c r="A984" s="872"/>
      <c r="B984" s="872"/>
      <c r="C984" s="872"/>
      <c r="D984" s="872"/>
      <c r="E984" s="872"/>
      <c r="F984" s="872"/>
      <c r="G984" s="872"/>
      <c r="H984" s="872"/>
      <c r="I984" s="872"/>
      <c r="J984" s="872"/>
      <c r="K984" s="872"/>
      <c r="L984" s="872"/>
      <c r="M984" s="872"/>
      <c r="N984" s="872"/>
      <c r="O984" s="872"/>
      <c r="P984" s="872"/>
      <c r="Q984" s="872"/>
      <c r="R984" s="872"/>
      <c r="S984" s="872"/>
      <c r="T984" s="872"/>
      <c r="U984" s="872"/>
      <c r="V984" s="872"/>
      <c r="W984" s="872"/>
      <c r="X984" s="872"/>
      <c r="Y984" s="872"/>
      <c r="Z984" s="872"/>
    </row>
    <row r="985" ht="14.25" customHeight="1">
      <c r="A985" s="872"/>
      <c r="B985" s="872"/>
      <c r="C985" s="872"/>
      <c r="D985" s="872"/>
      <c r="E985" s="872"/>
      <c r="F985" s="872"/>
      <c r="G985" s="872"/>
      <c r="H985" s="872"/>
      <c r="I985" s="872"/>
      <c r="J985" s="872"/>
      <c r="K985" s="872"/>
      <c r="L985" s="872"/>
      <c r="M985" s="872"/>
      <c r="N985" s="872"/>
      <c r="O985" s="872"/>
      <c r="P985" s="872"/>
      <c r="Q985" s="872"/>
      <c r="R985" s="872"/>
      <c r="S985" s="872"/>
      <c r="T985" s="872"/>
      <c r="U985" s="872"/>
      <c r="V985" s="872"/>
      <c r="W985" s="872"/>
      <c r="X985" s="872"/>
      <c r="Y985" s="872"/>
      <c r="Z985" s="872"/>
    </row>
    <row r="986" ht="14.25" customHeight="1">
      <c r="A986" s="872"/>
      <c r="B986" s="872"/>
      <c r="C986" s="872"/>
      <c r="D986" s="872"/>
      <c r="E986" s="872"/>
      <c r="F986" s="872"/>
      <c r="G986" s="872"/>
      <c r="H986" s="872"/>
      <c r="I986" s="872"/>
      <c r="J986" s="872"/>
      <c r="K986" s="872"/>
      <c r="L986" s="872"/>
      <c r="M986" s="872"/>
      <c r="N986" s="872"/>
      <c r="O986" s="872"/>
      <c r="P986" s="872"/>
      <c r="Q986" s="872"/>
      <c r="R986" s="872"/>
      <c r="S986" s="872"/>
      <c r="T986" s="872"/>
      <c r="U986" s="872"/>
      <c r="V986" s="872"/>
      <c r="W986" s="872"/>
      <c r="X986" s="872"/>
      <c r="Y986" s="872"/>
      <c r="Z986" s="872"/>
    </row>
    <row r="987" ht="14.25" customHeight="1">
      <c r="A987" s="872"/>
      <c r="B987" s="872"/>
      <c r="C987" s="872"/>
      <c r="D987" s="872"/>
      <c r="E987" s="872"/>
      <c r="F987" s="872"/>
      <c r="G987" s="872"/>
      <c r="H987" s="872"/>
      <c r="I987" s="872"/>
      <c r="J987" s="872"/>
      <c r="K987" s="872"/>
      <c r="L987" s="872"/>
      <c r="M987" s="872"/>
      <c r="N987" s="872"/>
      <c r="O987" s="872"/>
      <c r="P987" s="872"/>
      <c r="Q987" s="872"/>
      <c r="R987" s="872"/>
      <c r="S987" s="872"/>
      <c r="T987" s="872"/>
      <c r="U987" s="872"/>
      <c r="V987" s="872"/>
      <c r="W987" s="872"/>
      <c r="X987" s="872"/>
      <c r="Y987" s="872"/>
      <c r="Z987" s="872"/>
    </row>
    <row r="988" ht="14.25" customHeight="1">
      <c r="A988" s="872"/>
      <c r="B988" s="872"/>
      <c r="C988" s="872"/>
      <c r="D988" s="872"/>
      <c r="E988" s="872"/>
      <c r="F988" s="872"/>
      <c r="G988" s="872"/>
      <c r="H988" s="872"/>
      <c r="I988" s="872"/>
      <c r="J988" s="872"/>
      <c r="K988" s="872"/>
      <c r="L988" s="872"/>
      <c r="M988" s="872"/>
      <c r="N988" s="872"/>
      <c r="O988" s="872"/>
      <c r="P988" s="872"/>
      <c r="Q988" s="872"/>
      <c r="R988" s="872"/>
      <c r="S988" s="872"/>
      <c r="T988" s="872"/>
      <c r="U988" s="872"/>
      <c r="V988" s="872"/>
      <c r="W988" s="872"/>
      <c r="X988" s="872"/>
      <c r="Y988" s="872"/>
      <c r="Z988" s="872"/>
    </row>
    <row r="989" ht="14.25" customHeight="1">
      <c r="A989" s="872"/>
      <c r="B989" s="872"/>
      <c r="C989" s="872"/>
      <c r="D989" s="872"/>
      <c r="E989" s="872"/>
      <c r="F989" s="872"/>
      <c r="G989" s="872"/>
      <c r="H989" s="872"/>
      <c r="I989" s="872"/>
      <c r="J989" s="872"/>
      <c r="K989" s="872"/>
      <c r="L989" s="872"/>
      <c r="M989" s="872"/>
      <c r="N989" s="872"/>
      <c r="O989" s="872"/>
      <c r="P989" s="872"/>
      <c r="Q989" s="872"/>
      <c r="R989" s="872"/>
      <c r="S989" s="872"/>
      <c r="T989" s="872"/>
      <c r="U989" s="872"/>
      <c r="V989" s="872"/>
      <c r="W989" s="872"/>
      <c r="X989" s="872"/>
      <c r="Y989" s="872"/>
      <c r="Z989" s="872"/>
    </row>
    <row r="990" ht="14.25" customHeight="1">
      <c r="A990" s="872"/>
      <c r="B990" s="872"/>
      <c r="C990" s="872"/>
      <c r="D990" s="872"/>
      <c r="E990" s="872"/>
      <c r="F990" s="872"/>
      <c r="G990" s="872"/>
      <c r="H990" s="872"/>
      <c r="I990" s="872"/>
      <c r="J990" s="872"/>
      <c r="K990" s="872"/>
      <c r="L990" s="872"/>
      <c r="M990" s="872"/>
      <c r="N990" s="872"/>
      <c r="O990" s="872"/>
      <c r="P990" s="872"/>
      <c r="Q990" s="872"/>
      <c r="R990" s="872"/>
      <c r="S990" s="872"/>
      <c r="T990" s="872"/>
      <c r="U990" s="872"/>
      <c r="V990" s="872"/>
      <c r="W990" s="872"/>
      <c r="X990" s="872"/>
      <c r="Y990" s="872"/>
      <c r="Z990" s="872"/>
    </row>
    <row r="991" ht="14.25" customHeight="1">
      <c r="A991" s="872"/>
      <c r="B991" s="872"/>
      <c r="C991" s="872"/>
      <c r="D991" s="872"/>
      <c r="E991" s="872"/>
      <c r="F991" s="872"/>
      <c r="G991" s="872"/>
      <c r="H991" s="872"/>
      <c r="I991" s="872"/>
      <c r="J991" s="872"/>
      <c r="K991" s="872"/>
      <c r="L991" s="872"/>
      <c r="M991" s="872"/>
      <c r="N991" s="872"/>
      <c r="O991" s="872"/>
      <c r="P991" s="872"/>
      <c r="Q991" s="872"/>
      <c r="R991" s="872"/>
      <c r="S991" s="872"/>
      <c r="T991" s="872"/>
      <c r="U991" s="872"/>
      <c r="V991" s="872"/>
      <c r="W991" s="872"/>
      <c r="X991" s="872"/>
      <c r="Y991" s="872"/>
      <c r="Z991" s="872"/>
    </row>
    <row r="992" ht="14.25" customHeight="1">
      <c r="A992" s="872"/>
      <c r="B992" s="872"/>
      <c r="C992" s="872"/>
      <c r="D992" s="872"/>
      <c r="E992" s="872"/>
      <c r="F992" s="872"/>
      <c r="G992" s="872"/>
      <c r="H992" s="872"/>
      <c r="I992" s="872"/>
      <c r="J992" s="872"/>
      <c r="K992" s="872"/>
      <c r="L992" s="872"/>
      <c r="M992" s="872"/>
      <c r="N992" s="872"/>
      <c r="O992" s="872"/>
      <c r="P992" s="872"/>
      <c r="Q992" s="872"/>
      <c r="R992" s="872"/>
      <c r="S992" s="872"/>
      <c r="T992" s="872"/>
      <c r="U992" s="872"/>
      <c r="V992" s="872"/>
      <c r="W992" s="872"/>
      <c r="X992" s="872"/>
      <c r="Y992" s="872"/>
      <c r="Z992" s="872"/>
    </row>
    <row r="993" ht="14.25" customHeight="1">
      <c r="A993" s="872"/>
      <c r="B993" s="872"/>
      <c r="C993" s="872"/>
      <c r="D993" s="872"/>
      <c r="E993" s="872"/>
      <c r="F993" s="872"/>
      <c r="G993" s="872"/>
      <c r="H993" s="872"/>
      <c r="I993" s="872"/>
      <c r="J993" s="872"/>
      <c r="K993" s="872"/>
      <c r="L993" s="872"/>
      <c r="M993" s="872"/>
      <c r="N993" s="872"/>
      <c r="O993" s="872"/>
      <c r="P993" s="872"/>
      <c r="Q993" s="872"/>
      <c r="R993" s="872"/>
      <c r="S993" s="872"/>
      <c r="T993" s="872"/>
      <c r="U993" s="872"/>
      <c r="V993" s="872"/>
      <c r="W993" s="872"/>
      <c r="X993" s="872"/>
      <c r="Y993" s="872"/>
      <c r="Z993" s="872"/>
    </row>
    <row r="994" ht="14.25" customHeight="1">
      <c r="A994" s="872"/>
      <c r="B994" s="872"/>
      <c r="C994" s="872"/>
      <c r="D994" s="872"/>
      <c r="E994" s="872"/>
      <c r="F994" s="872"/>
      <c r="G994" s="872"/>
      <c r="H994" s="872"/>
      <c r="I994" s="872"/>
      <c r="J994" s="872"/>
      <c r="K994" s="872"/>
      <c r="L994" s="872"/>
      <c r="M994" s="872"/>
      <c r="N994" s="872"/>
      <c r="O994" s="872"/>
      <c r="P994" s="872"/>
      <c r="Q994" s="872"/>
      <c r="R994" s="872"/>
      <c r="S994" s="872"/>
      <c r="T994" s="872"/>
      <c r="U994" s="872"/>
      <c r="V994" s="872"/>
      <c r="W994" s="872"/>
      <c r="X994" s="872"/>
      <c r="Y994" s="872"/>
      <c r="Z994" s="872"/>
    </row>
    <row r="995" ht="14.25" customHeight="1">
      <c r="A995" s="872"/>
      <c r="B995" s="872"/>
      <c r="C995" s="872"/>
      <c r="D995" s="872"/>
      <c r="E995" s="872"/>
      <c r="F995" s="872"/>
      <c r="G995" s="872"/>
      <c r="H995" s="872"/>
      <c r="I995" s="872"/>
      <c r="J995" s="872"/>
      <c r="K995" s="872"/>
      <c r="L995" s="872"/>
      <c r="M995" s="872"/>
      <c r="N995" s="872"/>
      <c r="O995" s="872"/>
      <c r="P995" s="872"/>
      <c r="Q995" s="872"/>
      <c r="R995" s="872"/>
      <c r="S995" s="872"/>
      <c r="T995" s="872"/>
      <c r="U995" s="872"/>
      <c r="V995" s="872"/>
      <c r="W995" s="872"/>
      <c r="X995" s="872"/>
      <c r="Y995" s="872"/>
      <c r="Z995" s="872"/>
    </row>
    <row r="996" ht="14.25" customHeight="1">
      <c r="A996" s="872"/>
      <c r="B996" s="872"/>
      <c r="C996" s="872"/>
      <c r="D996" s="872"/>
      <c r="E996" s="872"/>
      <c r="F996" s="872"/>
      <c r="G996" s="872"/>
      <c r="H996" s="872"/>
      <c r="I996" s="872"/>
      <c r="J996" s="872"/>
      <c r="K996" s="872"/>
      <c r="L996" s="872"/>
      <c r="M996" s="872"/>
      <c r="N996" s="872"/>
      <c r="O996" s="872"/>
      <c r="P996" s="872"/>
      <c r="Q996" s="872"/>
      <c r="R996" s="872"/>
      <c r="S996" s="872"/>
      <c r="T996" s="872"/>
      <c r="U996" s="872"/>
      <c r="V996" s="872"/>
      <c r="W996" s="872"/>
      <c r="X996" s="872"/>
      <c r="Y996" s="872"/>
      <c r="Z996" s="872"/>
    </row>
    <row r="997" ht="14.25" customHeight="1">
      <c r="A997" s="872"/>
      <c r="B997" s="872"/>
      <c r="C997" s="872"/>
      <c r="D997" s="872"/>
      <c r="E997" s="872"/>
      <c r="F997" s="872"/>
      <c r="G997" s="872"/>
      <c r="H997" s="872"/>
      <c r="I997" s="872"/>
      <c r="J997" s="872"/>
      <c r="K997" s="872"/>
      <c r="L997" s="872"/>
      <c r="M997" s="872"/>
      <c r="N997" s="872"/>
      <c r="O997" s="872"/>
      <c r="P997" s="872"/>
      <c r="Q997" s="872"/>
      <c r="R997" s="872"/>
      <c r="S997" s="872"/>
      <c r="T997" s="872"/>
      <c r="U997" s="872"/>
      <c r="V997" s="872"/>
      <c r="W997" s="872"/>
      <c r="X997" s="872"/>
      <c r="Y997" s="872"/>
      <c r="Z997" s="872"/>
    </row>
    <row r="998" ht="14.25" customHeight="1">
      <c r="A998" s="872"/>
      <c r="B998" s="872"/>
      <c r="C998" s="872"/>
      <c r="D998" s="872"/>
      <c r="E998" s="872"/>
      <c r="F998" s="872"/>
      <c r="G998" s="872"/>
      <c r="H998" s="872"/>
      <c r="I998" s="872"/>
      <c r="J998" s="872"/>
      <c r="K998" s="872"/>
      <c r="L998" s="872"/>
      <c r="M998" s="872"/>
      <c r="N998" s="872"/>
      <c r="O998" s="872"/>
      <c r="P998" s="872"/>
      <c r="Q998" s="872"/>
      <c r="R998" s="872"/>
      <c r="S998" s="872"/>
      <c r="T998" s="872"/>
      <c r="U998" s="872"/>
      <c r="V998" s="872"/>
      <c r="W998" s="872"/>
      <c r="X998" s="872"/>
      <c r="Y998" s="872"/>
      <c r="Z998" s="872"/>
    </row>
    <row r="999" ht="14.25" customHeight="1">
      <c r="A999" s="872"/>
      <c r="B999" s="872"/>
      <c r="C999" s="872"/>
      <c r="D999" s="872"/>
      <c r="E999" s="872"/>
      <c r="F999" s="872"/>
      <c r="G999" s="872"/>
      <c r="H999" s="872"/>
      <c r="I999" s="872"/>
      <c r="J999" s="872"/>
      <c r="K999" s="872"/>
      <c r="L999" s="872"/>
      <c r="M999" s="872"/>
      <c r="N999" s="872"/>
      <c r="O999" s="872"/>
      <c r="P999" s="872"/>
      <c r="Q999" s="872"/>
      <c r="R999" s="872"/>
      <c r="S999" s="872"/>
      <c r="T999" s="872"/>
      <c r="U999" s="872"/>
      <c r="V999" s="872"/>
      <c r="W999" s="872"/>
      <c r="X999" s="872"/>
      <c r="Y999" s="872"/>
      <c r="Z999" s="872"/>
    </row>
    <row r="1000" ht="14.25" customHeight="1">
      <c r="A1000" s="872"/>
      <c r="B1000" s="872"/>
      <c r="C1000" s="872"/>
      <c r="D1000" s="872"/>
      <c r="E1000" s="872"/>
      <c r="F1000" s="872"/>
      <c r="G1000" s="872"/>
      <c r="H1000" s="872"/>
      <c r="I1000" s="872"/>
      <c r="J1000" s="872"/>
      <c r="K1000" s="872"/>
      <c r="L1000" s="872"/>
      <c r="M1000" s="872"/>
      <c r="N1000" s="872"/>
      <c r="O1000" s="872"/>
      <c r="P1000" s="872"/>
      <c r="Q1000" s="872"/>
      <c r="R1000" s="872"/>
      <c r="S1000" s="872"/>
      <c r="T1000" s="872"/>
      <c r="U1000" s="872"/>
      <c r="V1000" s="872"/>
      <c r="W1000" s="872"/>
      <c r="X1000" s="872"/>
      <c r="Y1000" s="872"/>
      <c r="Z1000" s="872"/>
    </row>
  </sheetData>
  <conditionalFormatting sqref="F32">
    <cfRule type="cellIs" dxfId="10" priority="1" operator="lessThan">
      <formula>-2.22</formula>
    </cfRule>
  </conditionalFormatting>
  <conditionalFormatting sqref="F32">
    <cfRule type="cellIs" dxfId="11" priority="2" operator="greaterThanOrEqual">
      <formula>-2.22</formula>
    </cfRule>
  </conditionalFormatting>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7" max="7" width="14.25"/>
    <col customWidth="1" min="8" max="8" width="14.38"/>
    <col customWidth="1" min="10" max="10" width="58.75"/>
    <col customWidth="1" min="11" max="11" width="35.63"/>
  </cols>
  <sheetData>
    <row r="1">
      <c r="A1" s="193" t="s">
        <v>38541</v>
      </c>
      <c r="B1" s="193" t="s">
        <v>38542</v>
      </c>
      <c r="C1" s="193" t="s">
        <v>38543</v>
      </c>
      <c r="D1" s="193" t="s">
        <v>38544</v>
      </c>
      <c r="E1" s="193" t="s">
        <v>38545</v>
      </c>
      <c r="F1" s="193" t="s">
        <v>38546</v>
      </c>
      <c r="G1" s="899" t="s">
        <v>38547</v>
      </c>
      <c r="H1" s="900" t="s">
        <v>38548</v>
      </c>
      <c r="I1" s="193" t="s">
        <v>38549</v>
      </c>
      <c r="J1" s="901" t="s">
        <v>38550</v>
      </c>
      <c r="K1" s="193" t="s">
        <v>38551</v>
      </c>
      <c r="L1" s="206"/>
      <c r="M1" s="206"/>
    </row>
    <row r="2">
      <c r="A2" s="202">
        <v>13116.0</v>
      </c>
      <c r="B2" s="7" t="s">
        <v>38552</v>
      </c>
      <c r="C2" s="7" t="s">
        <v>38553</v>
      </c>
      <c r="D2" s="7">
        <v>16335.0</v>
      </c>
      <c r="E2" s="902" t="s">
        <v>38554</v>
      </c>
      <c r="F2" s="902" t="s">
        <v>38555</v>
      </c>
      <c r="G2" s="903">
        <v>36255.0</v>
      </c>
      <c r="H2" s="904">
        <v>36250.0</v>
      </c>
      <c r="I2" s="7">
        <v>16333.0</v>
      </c>
      <c r="J2" s="905" t="s">
        <v>38556</v>
      </c>
    </row>
    <row r="3">
      <c r="A3" s="202">
        <v>13117.0</v>
      </c>
      <c r="B3" s="7" t="s">
        <v>38557</v>
      </c>
      <c r="C3" s="7" t="s">
        <v>38558</v>
      </c>
      <c r="D3" s="7">
        <v>16591.0</v>
      </c>
      <c r="E3" s="902" t="s">
        <v>38559</v>
      </c>
      <c r="F3" s="902" t="s">
        <v>38560</v>
      </c>
      <c r="G3" s="903">
        <v>36255.0</v>
      </c>
      <c r="H3" s="904">
        <v>36250.0</v>
      </c>
      <c r="I3" s="7">
        <v>16591.0</v>
      </c>
      <c r="J3" s="905" t="s">
        <v>38561</v>
      </c>
      <c r="K3" s="7" t="s">
        <v>38562</v>
      </c>
    </row>
    <row r="4">
      <c r="A4" s="202">
        <v>13118.0</v>
      </c>
      <c r="B4" s="7" t="s">
        <v>38563</v>
      </c>
      <c r="C4" s="7" t="s">
        <v>38564</v>
      </c>
      <c r="D4" s="7">
        <v>16599.0</v>
      </c>
      <c r="E4" s="902" t="s">
        <v>38565</v>
      </c>
      <c r="F4" s="902" t="s">
        <v>38566</v>
      </c>
      <c r="G4" s="903">
        <v>36255.0</v>
      </c>
      <c r="H4" s="904">
        <v>36250.0</v>
      </c>
      <c r="I4" s="7">
        <v>16595.0</v>
      </c>
      <c r="J4" s="905" t="s">
        <v>38567</v>
      </c>
      <c r="K4" s="7" t="s">
        <v>38568</v>
      </c>
    </row>
    <row r="5">
      <c r="A5" s="202">
        <v>13119.0</v>
      </c>
      <c r="B5" s="7" t="s">
        <v>38569</v>
      </c>
      <c r="C5" s="7" t="s">
        <v>38570</v>
      </c>
      <c r="D5" s="7">
        <v>18797.0</v>
      </c>
      <c r="E5" s="902" t="s">
        <v>38571</v>
      </c>
      <c r="F5" s="902" t="s">
        <v>38572</v>
      </c>
      <c r="G5" s="903">
        <v>36266.0</v>
      </c>
      <c r="H5" s="904">
        <v>36263.0</v>
      </c>
      <c r="I5" s="7">
        <v>18797.0</v>
      </c>
      <c r="J5" s="905" t="s">
        <v>38573</v>
      </c>
    </row>
    <row r="6">
      <c r="A6" s="202">
        <v>13120.0</v>
      </c>
      <c r="B6" s="7" t="s">
        <v>38574</v>
      </c>
      <c r="C6" s="7" t="s">
        <v>38575</v>
      </c>
      <c r="D6" s="7">
        <v>23007.0</v>
      </c>
      <c r="E6" s="902" t="s">
        <v>38576</v>
      </c>
      <c r="F6" s="902" t="s">
        <v>38577</v>
      </c>
      <c r="G6" s="903">
        <v>36279.0</v>
      </c>
      <c r="H6" s="904">
        <v>36277.0</v>
      </c>
      <c r="I6" s="7">
        <v>23007.0</v>
      </c>
      <c r="J6" s="905" t="s">
        <v>38578</v>
      </c>
      <c r="K6" s="7" t="s">
        <v>38579</v>
      </c>
    </row>
    <row r="7">
      <c r="A7" s="202">
        <v>13121.0</v>
      </c>
      <c r="B7" s="7" t="s">
        <v>38580</v>
      </c>
      <c r="C7" s="7" t="s">
        <v>38581</v>
      </c>
      <c r="D7" s="7">
        <v>24022.0</v>
      </c>
      <c r="E7" s="902" t="s">
        <v>38582</v>
      </c>
      <c r="F7" s="902" t="s">
        <v>38583</v>
      </c>
      <c r="G7" s="903">
        <v>36285.0</v>
      </c>
      <c r="H7" s="904">
        <v>36280.0</v>
      </c>
      <c r="I7" s="7">
        <v>24021.0</v>
      </c>
      <c r="J7" s="905" t="s">
        <v>38584</v>
      </c>
      <c r="K7" s="7" t="s">
        <v>38585</v>
      </c>
    </row>
    <row r="8">
      <c r="A8" s="202">
        <v>13122.0</v>
      </c>
      <c r="B8" s="7" t="s">
        <v>38586</v>
      </c>
      <c r="C8" s="7" t="s">
        <v>38587</v>
      </c>
      <c r="D8" s="7">
        <v>29202.0</v>
      </c>
      <c r="E8" s="902" t="s">
        <v>38588</v>
      </c>
      <c r="F8" s="902" t="s">
        <v>38589</v>
      </c>
      <c r="G8" s="903">
        <v>36308.0</v>
      </c>
      <c r="H8" s="904">
        <v>36305.0</v>
      </c>
      <c r="I8" s="7">
        <v>29201.0</v>
      </c>
      <c r="J8" s="905" t="s">
        <v>38590</v>
      </c>
      <c r="K8" s="7" t="s">
        <v>38591</v>
      </c>
    </row>
    <row r="9">
      <c r="A9" s="202">
        <v>13123.0</v>
      </c>
      <c r="B9" s="7" t="s">
        <v>38592</v>
      </c>
      <c r="C9" s="7" t="s">
        <v>38593</v>
      </c>
      <c r="D9" s="7">
        <v>30860.0</v>
      </c>
      <c r="E9" s="902" t="s">
        <v>38594</v>
      </c>
      <c r="F9" s="902" t="s">
        <v>38595</v>
      </c>
      <c r="G9" s="903">
        <v>36319.0</v>
      </c>
      <c r="H9" s="904">
        <v>36314.0</v>
      </c>
      <c r="I9" s="7">
        <v>30851.0</v>
      </c>
      <c r="J9" s="905" t="s">
        <v>38596</v>
      </c>
      <c r="K9" s="7" t="s">
        <v>38597</v>
      </c>
    </row>
    <row r="10">
      <c r="A10" s="202">
        <v>13124.0</v>
      </c>
      <c r="B10" s="7" t="s">
        <v>38598</v>
      </c>
      <c r="C10" s="7" t="s">
        <v>38599</v>
      </c>
      <c r="D10" s="7">
        <v>31104.0</v>
      </c>
      <c r="E10" s="902" t="s">
        <v>38600</v>
      </c>
      <c r="F10" s="902" t="s">
        <v>38601</v>
      </c>
      <c r="G10" s="903">
        <v>36320.0</v>
      </c>
      <c r="H10" s="904">
        <v>36315.0</v>
      </c>
      <c r="I10" s="7">
        <v>31103.0</v>
      </c>
      <c r="J10" s="905" t="s">
        <v>38602</v>
      </c>
    </row>
    <row r="11">
      <c r="A11" s="202">
        <v>13125.0</v>
      </c>
      <c r="B11" s="7" t="s">
        <v>38603</v>
      </c>
      <c r="C11" s="7" t="s">
        <v>38604</v>
      </c>
      <c r="D11" s="7">
        <v>31107.0</v>
      </c>
      <c r="E11" s="902" t="s">
        <v>38605</v>
      </c>
      <c r="F11" s="902" t="s">
        <v>38606</v>
      </c>
      <c r="G11" s="903">
        <v>36321.0</v>
      </c>
      <c r="H11" s="904">
        <v>36318.0</v>
      </c>
      <c r="I11" s="7">
        <v>31105.0</v>
      </c>
      <c r="J11" s="905" t="s">
        <v>38607</v>
      </c>
      <c r="K11" s="7" t="s">
        <v>38608</v>
      </c>
    </row>
    <row r="12">
      <c r="A12" s="202">
        <v>13126.0</v>
      </c>
      <c r="B12" s="7" t="s">
        <v>38609</v>
      </c>
      <c r="C12" s="7" t="s">
        <v>38610</v>
      </c>
      <c r="D12" s="7">
        <v>32385.0</v>
      </c>
      <c r="E12" s="902" t="s">
        <v>38611</v>
      </c>
      <c r="F12" s="902" t="s">
        <v>38612</v>
      </c>
      <c r="G12" s="903">
        <v>36327.0</v>
      </c>
      <c r="H12" s="904">
        <v>36323.0</v>
      </c>
      <c r="I12" s="7">
        <v>32383.0</v>
      </c>
      <c r="J12" s="905" t="s">
        <v>38613</v>
      </c>
    </row>
    <row r="13">
      <c r="A13" s="202">
        <v>13127.0</v>
      </c>
      <c r="B13" s="7" t="s">
        <v>38614</v>
      </c>
      <c r="C13" s="7" t="s">
        <v>38615</v>
      </c>
      <c r="D13" s="7">
        <v>32793.0</v>
      </c>
      <c r="E13" s="902" t="s">
        <v>38616</v>
      </c>
      <c r="F13" s="902" t="s">
        <v>38617</v>
      </c>
      <c r="G13" s="903">
        <v>36328.0</v>
      </c>
      <c r="H13" s="904">
        <v>36325.0</v>
      </c>
      <c r="I13" s="7">
        <v>32793.0</v>
      </c>
      <c r="J13" s="905" t="s">
        <v>38618</v>
      </c>
      <c r="K13" s="7" t="s">
        <v>38619</v>
      </c>
    </row>
    <row r="14">
      <c r="A14" s="202">
        <v>13128.0</v>
      </c>
      <c r="B14" s="7" t="s">
        <v>38620</v>
      </c>
      <c r="C14" s="7" t="s">
        <v>38621</v>
      </c>
      <c r="D14" s="7">
        <v>34704.0</v>
      </c>
      <c r="E14" s="902" t="s">
        <v>38622</v>
      </c>
      <c r="F14" s="902" t="s">
        <v>38623</v>
      </c>
      <c r="G14" s="903">
        <v>36339.0</v>
      </c>
      <c r="H14" s="904">
        <v>36336.0</v>
      </c>
      <c r="I14" s="7">
        <v>34703.0</v>
      </c>
      <c r="J14" s="905" t="s">
        <v>38624</v>
      </c>
      <c r="K14" s="7" t="s">
        <v>38625</v>
      </c>
    </row>
    <row r="15">
      <c r="A15" s="202">
        <v>13129.0</v>
      </c>
      <c r="B15" s="7" t="s">
        <v>38626</v>
      </c>
      <c r="C15" s="7" t="s">
        <v>38627</v>
      </c>
      <c r="D15" s="7">
        <v>36761.0</v>
      </c>
      <c r="E15" s="902" t="s">
        <v>38628</v>
      </c>
      <c r="F15" s="902" t="s">
        <v>38629</v>
      </c>
      <c r="G15" s="903">
        <v>36348.0</v>
      </c>
      <c r="H15" s="904">
        <v>36345.0</v>
      </c>
      <c r="I15" s="7">
        <v>36759.0</v>
      </c>
      <c r="J15" s="905" t="s">
        <v>38630</v>
      </c>
      <c r="K15" s="7" t="s">
        <v>38631</v>
      </c>
    </row>
    <row r="16">
      <c r="A16" s="202">
        <v>13130.0</v>
      </c>
      <c r="B16" s="7" t="s">
        <v>38632</v>
      </c>
      <c r="C16" s="7" t="s">
        <v>38633</v>
      </c>
      <c r="D16" s="7">
        <v>38536.0</v>
      </c>
      <c r="E16" s="902" t="s">
        <v>38634</v>
      </c>
      <c r="F16" s="902" t="s">
        <v>38635</v>
      </c>
      <c r="G16" s="903">
        <v>36360.0</v>
      </c>
      <c r="H16" s="904">
        <v>36355.0</v>
      </c>
      <c r="I16" s="7">
        <v>38535.0</v>
      </c>
      <c r="J16" s="905" t="s">
        <v>38636</v>
      </c>
      <c r="K16" s="7" t="s">
        <v>38637</v>
      </c>
    </row>
    <row r="17">
      <c r="A17" s="202">
        <v>13131.0</v>
      </c>
      <c r="B17" s="7" t="s">
        <v>38638</v>
      </c>
      <c r="C17" s="7" t="s">
        <v>38639</v>
      </c>
      <c r="D17" s="7">
        <v>40734.0</v>
      </c>
      <c r="E17" s="902" t="s">
        <v>38640</v>
      </c>
      <c r="F17" s="902" t="s">
        <v>38641</v>
      </c>
      <c r="G17" s="903">
        <v>36368.0</v>
      </c>
      <c r="H17" s="904">
        <v>36363.0</v>
      </c>
      <c r="I17" s="7">
        <v>40733.0</v>
      </c>
      <c r="J17" s="905" t="s">
        <v>38642</v>
      </c>
      <c r="K17" s="7" t="s">
        <v>38643</v>
      </c>
    </row>
    <row r="18">
      <c r="A18" s="202">
        <v>13132.0</v>
      </c>
      <c r="B18" s="7" t="s">
        <v>38644</v>
      </c>
      <c r="C18" s="7" t="s">
        <v>38645</v>
      </c>
      <c r="D18" s="7">
        <v>43259.0</v>
      </c>
      <c r="E18" s="902" t="s">
        <v>38646</v>
      </c>
      <c r="F18" s="902" t="s">
        <v>38647</v>
      </c>
      <c r="G18" s="903">
        <v>36382.0</v>
      </c>
      <c r="H18" s="904">
        <v>36376.0</v>
      </c>
      <c r="I18" s="7">
        <v>43255.0</v>
      </c>
      <c r="J18" s="905" t="s">
        <v>38648</v>
      </c>
      <c r="K18" s="7" t="s">
        <v>38649</v>
      </c>
    </row>
    <row r="19">
      <c r="A19" s="202">
        <v>13133.0</v>
      </c>
      <c r="B19" s="7" t="s">
        <v>38650</v>
      </c>
      <c r="C19" s="7" t="s">
        <v>38651</v>
      </c>
      <c r="D19" s="7">
        <v>43896.0</v>
      </c>
      <c r="E19" s="902" t="s">
        <v>38652</v>
      </c>
      <c r="F19" s="902" t="s">
        <v>38653</v>
      </c>
      <c r="G19" s="903">
        <v>36383.0</v>
      </c>
      <c r="H19" s="904">
        <v>36377.0</v>
      </c>
      <c r="I19" s="7">
        <v>43895.0</v>
      </c>
      <c r="J19" s="905" t="s">
        <v>38654</v>
      </c>
      <c r="K19" s="7" t="s">
        <v>38579</v>
      </c>
    </row>
    <row r="20">
      <c r="A20" s="202">
        <v>13134.0</v>
      </c>
      <c r="B20" s="7" t="s">
        <v>38655</v>
      </c>
      <c r="C20" s="7" t="s">
        <v>38656</v>
      </c>
      <c r="D20" s="7">
        <v>44642.0</v>
      </c>
      <c r="E20" s="902" t="s">
        <v>38657</v>
      </c>
      <c r="F20" s="902" t="s">
        <v>38658</v>
      </c>
      <c r="G20" s="903">
        <v>36388.0</v>
      </c>
      <c r="H20" s="904">
        <v>36384.0</v>
      </c>
      <c r="I20" s="7">
        <v>44639.0</v>
      </c>
      <c r="J20" s="905" t="s">
        <v>38659</v>
      </c>
      <c r="K20" s="7" t="s">
        <v>38660</v>
      </c>
    </row>
    <row r="21">
      <c r="A21" s="202">
        <v>13135.0</v>
      </c>
      <c r="B21" s="7" t="s">
        <v>38661</v>
      </c>
      <c r="C21" s="7" t="s">
        <v>38662</v>
      </c>
      <c r="D21" s="7">
        <v>47339.0</v>
      </c>
      <c r="E21" s="902" t="s">
        <v>38663</v>
      </c>
      <c r="F21" s="902" t="s">
        <v>38664</v>
      </c>
      <c r="G21" s="903">
        <v>36403.0</v>
      </c>
      <c r="H21" s="904">
        <v>36399.0</v>
      </c>
      <c r="I21" s="7">
        <v>47339.0</v>
      </c>
      <c r="J21" s="905" t="s">
        <v>38665</v>
      </c>
      <c r="K21" s="7" t="s">
        <v>38666</v>
      </c>
    </row>
    <row r="22">
      <c r="A22" s="202">
        <v>13136.0</v>
      </c>
      <c r="B22" s="7" t="s">
        <v>38667</v>
      </c>
      <c r="C22" s="7" t="s">
        <v>38668</v>
      </c>
      <c r="D22" s="7">
        <v>48931.0</v>
      </c>
      <c r="E22" s="902" t="s">
        <v>38669</v>
      </c>
      <c r="F22" s="902" t="s">
        <v>38670</v>
      </c>
      <c r="G22" s="903">
        <v>36411.0</v>
      </c>
      <c r="H22" s="904">
        <v>36406.0</v>
      </c>
      <c r="I22" s="7">
        <v>48931.0</v>
      </c>
      <c r="J22" s="905" t="s">
        <v>38671</v>
      </c>
      <c r="K22" s="7" t="s">
        <v>38672</v>
      </c>
    </row>
    <row r="23">
      <c r="A23" s="202">
        <v>13137.0</v>
      </c>
      <c r="B23" s="7" t="s">
        <v>38673</v>
      </c>
      <c r="C23" s="7" t="s">
        <v>38674</v>
      </c>
      <c r="D23" s="7">
        <v>50733.0</v>
      </c>
      <c r="E23" s="902" t="s">
        <v>38675</v>
      </c>
      <c r="F23" s="902" t="s">
        <v>38676</v>
      </c>
      <c r="G23" s="903">
        <v>36423.0</v>
      </c>
      <c r="H23" s="904">
        <v>36418.0</v>
      </c>
      <c r="I23" s="7">
        <v>50733.0</v>
      </c>
      <c r="J23" s="905" t="s">
        <v>38677</v>
      </c>
      <c r="K23" s="7" t="s">
        <v>38678</v>
      </c>
    </row>
    <row r="24">
      <c r="A24" s="202">
        <v>13138.0</v>
      </c>
      <c r="B24" s="7" t="s">
        <v>38679</v>
      </c>
      <c r="C24" s="7" t="s">
        <v>38680</v>
      </c>
      <c r="D24" s="7">
        <v>53881.0</v>
      </c>
      <c r="E24" s="902" t="s">
        <v>38681</v>
      </c>
      <c r="F24" s="902" t="s">
        <v>38682</v>
      </c>
      <c r="G24" s="903">
        <v>36437.0</v>
      </c>
      <c r="H24" s="904">
        <v>36433.0</v>
      </c>
      <c r="I24" s="7">
        <v>53879.0</v>
      </c>
      <c r="J24" s="905" t="s">
        <v>38683</v>
      </c>
      <c r="K24" s="7" t="s">
        <v>38684</v>
      </c>
    </row>
    <row r="25">
      <c r="A25" s="202">
        <v>13139.0</v>
      </c>
      <c r="B25" s="7" t="s">
        <v>38685</v>
      </c>
      <c r="C25" s="7" t="s">
        <v>38686</v>
      </c>
      <c r="D25" s="7">
        <v>54178.0</v>
      </c>
      <c r="E25" s="902" t="s">
        <v>38687</v>
      </c>
      <c r="F25" s="902" t="s">
        <v>38688</v>
      </c>
      <c r="G25" s="903">
        <v>36438.0</v>
      </c>
      <c r="H25" s="904">
        <v>36433.0</v>
      </c>
      <c r="I25" s="7">
        <v>54175.0</v>
      </c>
      <c r="J25" s="905" t="s">
        <v>38689</v>
      </c>
      <c r="K25" s="7" t="s">
        <v>38690</v>
      </c>
    </row>
    <row r="26">
      <c r="A26" s="202">
        <v>13140.0</v>
      </c>
      <c r="B26" s="7" t="s">
        <v>38691</v>
      </c>
      <c r="C26" s="7" t="s">
        <v>38692</v>
      </c>
      <c r="D26" s="7">
        <v>55123.0</v>
      </c>
      <c r="E26" s="902" t="s">
        <v>38693</v>
      </c>
      <c r="F26" s="902" t="s">
        <v>38694</v>
      </c>
      <c r="G26" s="906">
        <v>36445.0</v>
      </c>
      <c r="H26" s="904">
        <v>36439.0</v>
      </c>
      <c r="I26" s="7">
        <v>55115.0</v>
      </c>
      <c r="J26" s="905" t="s">
        <v>38695</v>
      </c>
      <c r="K26" s="7" t="s">
        <v>38696</v>
      </c>
    </row>
    <row r="27">
      <c r="A27" s="202">
        <v>13141.0</v>
      </c>
      <c r="B27" s="7" t="s">
        <v>38697</v>
      </c>
      <c r="C27" s="7" t="s">
        <v>38698</v>
      </c>
      <c r="D27" s="7">
        <v>63170.0</v>
      </c>
      <c r="E27" s="902" t="s">
        <v>38699</v>
      </c>
      <c r="F27" s="902" t="s">
        <v>38700</v>
      </c>
      <c r="G27" s="906">
        <v>36482.0</v>
      </c>
      <c r="H27" s="904">
        <v>36480.0</v>
      </c>
      <c r="I27" s="7">
        <v>63169.0</v>
      </c>
      <c r="J27" s="905" t="s">
        <v>38701</v>
      </c>
    </row>
    <row r="28">
      <c r="A28" s="202">
        <v>13142.0</v>
      </c>
      <c r="B28" s="7" t="s">
        <v>38702</v>
      </c>
      <c r="C28" s="7" t="s">
        <v>38703</v>
      </c>
      <c r="D28" s="7">
        <v>66090.0</v>
      </c>
      <c r="E28" s="902" t="s">
        <v>38704</v>
      </c>
      <c r="F28" s="902" t="s">
        <v>38705</v>
      </c>
      <c r="G28" s="906">
        <v>36487.0</v>
      </c>
      <c r="H28" s="904">
        <v>36483.0</v>
      </c>
      <c r="I28" s="7">
        <v>66089.0</v>
      </c>
      <c r="J28" s="905" t="s">
        <v>38706</v>
      </c>
      <c r="K28" s="7" t="s">
        <v>38707</v>
      </c>
    </row>
    <row r="29">
      <c r="A29" s="202">
        <v>13143.0</v>
      </c>
      <c r="B29" s="7" t="s">
        <v>38708</v>
      </c>
      <c r="C29" s="7" t="s">
        <v>38709</v>
      </c>
      <c r="D29" s="7">
        <v>68273.0</v>
      </c>
      <c r="E29" s="902" t="s">
        <v>38710</v>
      </c>
      <c r="F29" s="902" t="s">
        <v>38711</v>
      </c>
      <c r="G29" s="903">
        <v>36500.0</v>
      </c>
      <c r="H29" s="904">
        <v>36495.0</v>
      </c>
      <c r="I29" s="7">
        <v>68273.0</v>
      </c>
      <c r="J29" s="905" t="s">
        <v>38712</v>
      </c>
      <c r="K29" s="7" t="s">
        <v>38713</v>
      </c>
    </row>
    <row r="30">
      <c r="A30" s="202">
        <v>13144.0</v>
      </c>
      <c r="B30" s="7" t="s">
        <v>38714</v>
      </c>
      <c r="C30" s="7" t="s">
        <v>38715</v>
      </c>
      <c r="D30" s="7">
        <v>72247.0</v>
      </c>
      <c r="E30" s="902" t="s">
        <v>38716</v>
      </c>
      <c r="F30" s="902" t="s">
        <v>38717</v>
      </c>
      <c r="G30" s="906">
        <v>36517.0</v>
      </c>
      <c r="H30" s="904">
        <v>36515.0</v>
      </c>
      <c r="I30" s="7">
        <v>72237.0</v>
      </c>
      <c r="J30" s="905" t="s">
        <v>38718</v>
      </c>
      <c r="K30" s="7" t="s">
        <v>38719</v>
      </c>
    </row>
    <row r="31">
      <c r="A31" s="202">
        <v>13145.0</v>
      </c>
      <c r="B31" s="7" t="s">
        <v>38720</v>
      </c>
      <c r="C31" s="7" t="s">
        <v>38721</v>
      </c>
      <c r="D31" s="7">
        <v>6880.0</v>
      </c>
      <c r="E31" s="902" t="s">
        <v>38722</v>
      </c>
      <c r="F31" s="902" t="s">
        <v>38723</v>
      </c>
      <c r="G31" s="903">
        <v>36566.0</v>
      </c>
      <c r="H31" s="904">
        <v>36564.0</v>
      </c>
      <c r="I31" s="7">
        <v>6877.0</v>
      </c>
      <c r="J31" s="905" t="s">
        <v>38724</v>
      </c>
    </row>
    <row r="32">
      <c r="A32" s="202">
        <v>13146.0</v>
      </c>
      <c r="B32" s="7" t="s">
        <v>38725</v>
      </c>
      <c r="C32" s="7" t="s">
        <v>38726</v>
      </c>
      <c r="D32" s="7">
        <v>11202.0</v>
      </c>
      <c r="E32" s="902" t="s">
        <v>38727</v>
      </c>
      <c r="F32" s="902" t="s">
        <v>38728</v>
      </c>
      <c r="G32" s="903">
        <v>36587.0</v>
      </c>
      <c r="H32" s="904">
        <v>36585.0</v>
      </c>
      <c r="I32" s="7">
        <v>11201.0</v>
      </c>
      <c r="J32" s="905" t="s">
        <v>38729</v>
      </c>
    </row>
    <row r="33">
      <c r="A33" s="202">
        <v>13147.0</v>
      </c>
      <c r="B33" s="7" t="s">
        <v>38730</v>
      </c>
      <c r="C33" s="7" t="s">
        <v>38731</v>
      </c>
      <c r="D33" s="7">
        <v>13234.0</v>
      </c>
      <c r="E33" s="902" t="s">
        <v>38732</v>
      </c>
      <c r="F33" s="902" t="s">
        <v>38733</v>
      </c>
      <c r="G33" s="903">
        <v>36595.0</v>
      </c>
      <c r="H33" s="904">
        <v>36592.0</v>
      </c>
      <c r="I33" s="7">
        <v>13233.0</v>
      </c>
      <c r="J33" s="905" t="s">
        <v>38734</v>
      </c>
      <c r="K33" s="7" t="s">
        <v>38735</v>
      </c>
    </row>
    <row r="34">
      <c r="A34" s="202">
        <v>13148.0</v>
      </c>
      <c r="B34" s="7" t="s">
        <v>38736</v>
      </c>
      <c r="C34" s="7" t="s">
        <v>38737</v>
      </c>
      <c r="D34" s="7">
        <v>24606.0</v>
      </c>
      <c r="E34" s="902" t="s">
        <v>38738</v>
      </c>
      <c r="F34" s="902" t="s">
        <v>38739</v>
      </c>
      <c r="G34" s="903">
        <v>36642.0</v>
      </c>
      <c r="H34" s="904">
        <v>36637.0</v>
      </c>
      <c r="I34" s="7">
        <v>24595.0</v>
      </c>
      <c r="J34" s="905" t="s">
        <v>38740</v>
      </c>
      <c r="K34" s="7" t="s">
        <v>38741</v>
      </c>
    </row>
    <row r="35">
      <c r="A35" s="202">
        <v>13149.0</v>
      </c>
      <c r="B35" s="7" t="s">
        <v>38742</v>
      </c>
      <c r="C35" s="7" t="s">
        <v>38743</v>
      </c>
      <c r="D35" s="7">
        <v>24611.0</v>
      </c>
      <c r="E35" s="902" t="s">
        <v>38744</v>
      </c>
      <c r="F35" s="902" t="s">
        <v>38745</v>
      </c>
      <c r="G35" s="903">
        <v>36642.0</v>
      </c>
      <c r="H35" s="904">
        <v>36637.0</v>
      </c>
      <c r="I35" s="7">
        <v>24607.0</v>
      </c>
      <c r="J35" s="905" t="s">
        <v>38746</v>
      </c>
      <c r="K35" s="7" t="s">
        <v>38747</v>
      </c>
    </row>
    <row r="36">
      <c r="A36" s="202">
        <v>13150.0</v>
      </c>
      <c r="B36" s="7" t="s">
        <v>38748</v>
      </c>
      <c r="C36" s="7" t="s">
        <v>38749</v>
      </c>
      <c r="D36" s="7">
        <v>24614.0</v>
      </c>
      <c r="E36" s="902" t="s">
        <v>38750</v>
      </c>
      <c r="F36" s="902" t="s">
        <v>38751</v>
      </c>
      <c r="G36" s="903">
        <v>36642.0</v>
      </c>
      <c r="H36" s="904">
        <v>36637.0</v>
      </c>
      <c r="I36" s="7">
        <v>24613.0</v>
      </c>
      <c r="J36" s="905" t="s">
        <v>38752</v>
      </c>
    </row>
    <row r="37">
      <c r="A37" s="202">
        <v>13151.0</v>
      </c>
      <c r="B37" s="7" t="s">
        <v>38753</v>
      </c>
      <c r="C37" s="7" t="s">
        <v>38754</v>
      </c>
      <c r="D37" s="7">
        <v>25621.0</v>
      </c>
      <c r="E37" s="902" t="s">
        <v>38755</v>
      </c>
      <c r="F37" s="902" t="s">
        <v>38756</v>
      </c>
      <c r="G37" s="903">
        <v>36648.0</v>
      </c>
      <c r="H37" s="904">
        <v>36643.0</v>
      </c>
      <c r="I37" s="7">
        <v>25619.0</v>
      </c>
      <c r="J37" s="905" t="s">
        <v>38757</v>
      </c>
      <c r="K37" s="7" t="s">
        <v>38591</v>
      </c>
    </row>
    <row r="38">
      <c r="A38" s="202">
        <v>13152.0</v>
      </c>
      <c r="B38" s="7" t="s">
        <v>38758</v>
      </c>
      <c r="C38" s="7" t="s">
        <v>38759</v>
      </c>
      <c r="D38" s="7">
        <v>26115.0</v>
      </c>
      <c r="E38" s="902" t="s">
        <v>38760</v>
      </c>
      <c r="F38" s="902" t="s">
        <v>38761</v>
      </c>
      <c r="G38" s="903">
        <v>36650.0</v>
      </c>
      <c r="H38" s="904">
        <v>36648.0</v>
      </c>
      <c r="I38" s="7">
        <v>26115.0</v>
      </c>
      <c r="J38" s="905" t="s">
        <v>38762</v>
      </c>
      <c r="K38" s="7" t="s">
        <v>38763</v>
      </c>
    </row>
    <row r="39">
      <c r="A39" s="202">
        <v>13153.0</v>
      </c>
      <c r="B39" s="7" t="s">
        <v>38764</v>
      </c>
      <c r="C39" s="7" t="s">
        <v>38765</v>
      </c>
      <c r="D39" s="7">
        <v>26477.0</v>
      </c>
      <c r="E39" s="902" t="s">
        <v>38766</v>
      </c>
      <c r="F39" s="902" t="s">
        <v>38767</v>
      </c>
      <c r="G39" s="903">
        <v>36651.0</v>
      </c>
      <c r="H39" s="904">
        <v>36649.0</v>
      </c>
      <c r="I39" s="7">
        <v>26475.0</v>
      </c>
      <c r="J39" s="905" t="s">
        <v>38768</v>
      </c>
    </row>
    <row r="40">
      <c r="A40" s="202">
        <v>13154.0</v>
      </c>
      <c r="B40" s="7" t="s">
        <v>38769</v>
      </c>
      <c r="C40" s="7" t="s">
        <v>38770</v>
      </c>
      <c r="D40" s="7">
        <v>26479.0</v>
      </c>
      <c r="E40" s="902" t="s">
        <v>38771</v>
      </c>
      <c r="F40" s="902" t="s">
        <v>38772</v>
      </c>
      <c r="G40" s="903">
        <v>36651.0</v>
      </c>
      <c r="H40" s="904">
        <v>36649.0</v>
      </c>
      <c r="I40" s="7">
        <v>26479.0</v>
      </c>
      <c r="J40" s="905" t="s">
        <v>38773</v>
      </c>
      <c r="K40" s="7" t="s">
        <v>38774</v>
      </c>
    </row>
    <row r="41">
      <c r="A41" s="202">
        <v>13155.0</v>
      </c>
      <c r="B41" s="7" t="s">
        <v>38775</v>
      </c>
      <c r="C41" s="7" t="s">
        <v>38776</v>
      </c>
      <c r="D41" s="7">
        <v>30523.0</v>
      </c>
      <c r="E41" s="902" t="s">
        <v>38777</v>
      </c>
      <c r="F41" s="902" t="s">
        <v>38778</v>
      </c>
      <c r="G41" s="903">
        <v>36658.0</v>
      </c>
      <c r="H41" s="904">
        <v>36656.0</v>
      </c>
      <c r="I41" s="7">
        <v>30521.0</v>
      </c>
      <c r="J41" s="905" t="s">
        <v>38779</v>
      </c>
    </row>
    <row r="42">
      <c r="A42" s="202">
        <v>13156.0</v>
      </c>
      <c r="B42" s="7" t="s">
        <v>38780</v>
      </c>
      <c r="C42" s="7" t="s">
        <v>38781</v>
      </c>
      <c r="D42" s="7">
        <v>31785.0</v>
      </c>
      <c r="E42" s="902" t="s">
        <v>38782</v>
      </c>
      <c r="F42" s="902" t="s">
        <v>38783</v>
      </c>
      <c r="G42" s="903">
        <v>36665.0</v>
      </c>
      <c r="H42" s="904">
        <v>36663.0</v>
      </c>
      <c r="I42" s="7">
        <v>31785.0</v>
      </c>
      <c r="J42" s="905" t="s">
        <v>38784</v>
      </c>
      <c r="K42" s="7" t="s">
        <v>38785</v>
      </c>
    </row>
    <row r="43">
      <c r="A43" s="202">
        <v>13157.0</v>
      </c>
      <c r="B43" s="7" t="s">
        <v>38786</v>
      </c>
      <c r="C43" s="7" t="s">
        <v>38787</v>
      </c>
      <c r="D43" s="7">
        <v>34037.0</v>
      </c>
      <c r="E43" s="902" t="s">
        <v>38788</v>
      </c>
      <c r="F43" s="902" t="s">
        <v>38789</v>
      </c>
      <c r="G43" s="903">
        <v>36671.0</v>
      </c>
      <c r="H43" s="904">
        <v>36669.0</v>
      </c>
      <c r="I43" s="7">
        <v>34035.0</v>
      </c>
      <c r="J43" s="905" t="s">
        <v>38790</v>
      </c>
    </row>
    <row r="44">
      <c r="A44" s="202">
        <v>13158.0</v>
      </c>
      <c r="B44" s="7" t="s">
        <v>38791</v>
      </c>
      <c r="C44" s="7" t="s">
        <v>38792</v>
      </c>
      <c r="D44" s="7">
        <v>34911.0</v>
      </c>
      <c r="E44" s="902" t="s">
        <v>38793</v>
      </c>
      <c r="F44" s="902" t="s">
        <v>38794</v>
      </c>
      <c r="G44" s="903">
        <v>36677.0</v>
      </c>
      <c r="H44" s="904">
        <v>36672.0</v>
      </c>
      <c r="I44" s="7">
        <v>34909.0</v>
      </c>
      <c r="J44" s="905" t="s">
        <v>38795</v>
      </c>
      <c r="K44" s="7" t="s">
        <v>38796</v>
      </c>
    </row>
    <row r="45">
      <c r="A45" s="202">
        <v>13159.0</v>
      </c>
      <c r="B45" s="7" t="s">
        <v>38797</v>
      </c>
      <c r="C45" s="7" t="s">
        <v>38798</v>
      </c>
      <c r="D45" s="7">
        <v>39280.0</v>
      </c>
      <c r="E45" s="902" t="s">
        <v>38799</v>
      </c>
      <c r="F45" s="902" t="s">
        <v>38800</v>
      </c>
      <c r="G45" s="903">
        <v>36703.0</v>
      </c>
      <c r="H45" s="904">
        <v>36698.0</v>
      </c>
      <c r="I45" s="7">
        <v>39279.0</v>
      </c>
      <c r="J45" s="905" t="s">
        <v>38801</v>
      </c>
      <c r="K45" s="7" t="s">
        <v>38802</v>
      </c>
    </row>
    <row r="46">
      <c r="A46" s="202">
        <v>13160.0</v>
      </c>
      <c r="B46" s="7" t="s">
        <v>38803</v>
      </c>
      <c r="C46" s="7" t="s">
        <v>38804</v>
      </c>
      <c r="D46" s="7">
        <v>39778.0</v>
      </c>
      <c r="E46" s="902" t="s">
        <v>38805</v>
      </c>
      <c r="F46" s="902" t="s">
        <v>38806</v>
      </c>
      <c r="G46" s="903">
        <v>36704.0</v>
      </c>
      <c r="H46" s="904">
        <v>36700.0</v>
      </c>
      <c r="I46" s="7">
        <v>39775.0</v>
      </c>
      <c r="J46" s="905" t="s">
        <v>38807</v>
      </c>
      <c r="K46" s="7" t="s">
        <v>38808</v>
      </c>
    </row>
    <row r="47">
      <c r="A47" s="202">
        <v>13161.0</v>
      </c>
      <c r="B47" s="7" t="s">
        <v>38809</v>
      </c>
      <c r="C47" s="7" t="s">
        <v>38810</v>
      </c>
      <c r="D47" s="7">
        <v>41543.0</v>
      </c>
      <c r="E47" s="902" t="s">
        <v>38811</v>
      </c>
      <c r="F47" s="902" t="s">
        <v>38812</v>
      </c>
      <c r="G47" s="903">
        <v>36712.0</v>
      </c>
      <c r="H47" s="904">
        <v>36706.0</v>
      </c>
      <c r="I47" s="7">
        <v>41543.0</v>
      </c>
      <c r="J47" s="905" t="s">
        <v>38813</v>
      </c>
    </row>
    <row r="48">
      <c r="A48" s="202">
        <v>13162.0</v>
      </c>
      <c r="B48" s="7" t="s">
        <v>38814</v>
      </c>
      <c r="C48" s="7" t="s">
        <v>38815</v>
      </c>
      <c r="D48" s="7">
        <v>43212.0</v>
      </c>
      <c r="E48" s="902" t="s">
        <v>38816</v>
      </c>
      <c r="F48" s="902" t="s">
        <v>38817</v>
      </c>
      <c r="G48" s="903">
        <v>36719.0</v>
      </c>
      <c r="H48" s="904">
        <v>36713.0</v>
      </c>
      <c r="I48" s="7">
        <v>43211.0</v>
      </c>
      <c r="J48" s="905" t="s">
        <v>38818</v>
      </c>
      <c r="K48" s="7" t="s">
        <v>38819</v>
      </c>
    </row>
    <row r="49">
      <c r="A49" s="202">
        <v>13163.0</v>
      </c>
      <c r="B49" s="7" t="s">
        <v>38820</v>
      </c>
      <c r="C49" s="7" t="s">
        <v>38821</v>
      </c>
      <c r="D49" s="7">
        <v>46564.0</v>
      </c>
      <c r="E49" s="902" t="s">
        <v>38822</v>
      </c>
      <c r="F49" s="902" t="s">
        <v>38823</v>
      </c>
      <c r="G49" s="903">
        <v>36735.0</v>
      </c>
      <c r="H49" s="904">
        <v>36733.0</v>
      </c>
      <c r="I49" s="7">
        <v>46563.0</v>
      </c>
      <c r="J49" s="905" t="s">
        <v>38824</v>
      </c>
      <c r="K49" s="7" t="s">
        <v>38825</v>
      </c>
    </row>
    <row r="50">
      <c r="A50" s="202">
        <v>13164.0</v>
      </c>
      <c r="B50" s="7" t="s">
        <v>38826</v>
      </c>
      <c r="C50" s="7" t="s">
        <v>38827</v>
      </c>
      <c r="D50" s="7">
        <v>46566.0</v>
      </c>
      <c r="E50" s="902" t="s">
        <v>38828</v>
      </c>
      <c r="F50" s="902" t="s">
        <v>38829</v>
      </c>
      <c r="G50" s="903">
        <v>36735.0</v>
      </c>
      <c r="H50" s="904">
        <v>36733.0</v>
      </c>
      <c r="I50" s="7">
        <v>46565.0</v>
      </c>
      <c r="J50" s="905" t="s">
        <v>38830</v>
      </c>
    </row>
    <row r="51">
      <c r="A51" s="202">
        <v>13165.0</v>
      </c>
      <c r="B51" s="7" t="s">
        <v>38831</v>
      </c>
      <c r="C51" s="7" t="s">
        <v>38832</v>
      </c>
      <c r="D51" s="7">
        <v>49470.0</v>
      </c>
      <c r="E51" s="902" t="s">
        <v>38833</v>
      </c>
      <c r="F51" s="902" t="s">
        <v>38834</v>
      </c>
      <c r="G51" s="903">
        <v>36752.0</v>
      </c>
      <c r="H51" s="904">
        <v>36747.0</v>
      </c>
      <c r="I51" s="7">
        <v>49469.0</v>
      </c>
      <c r="J51" s="905" t="s">
        <v>38835</v>
      </c>
      <c r="K51" s="7" t="s">
        <v>38579</v>
      </c>
    </row>
    <row r="52">
      <c r="A52" s="202">
        <v>13166.0</v>
      </c>
      <c r="B52" s="7" t="s">
        <v>38836</v>
      </c>
      <c r="C52" s="7" t="s">
        <v>38837</v>
      </c>
      <c r="D52" s="7">
        <v>50122.0</v>
      </c>
      <c r="E52" s="902" t="s">
        <v>38838</v>
      </c>
      <c r="F52" s="902" t="s">
        <v>38839</v>
      </c>
      <c r="G52" s="903">
        <v>36754.0</v>
      </c>
      <c r="H52" s="904">
        <v>36749.0</v>
      </c>
      <c r="I52" s="7">
        <v>50121.0</v>
      </c>
      <c r="J52" s="905" t="s">
        <v>38840</v>
      </c>
      <c r="K52" s="7" t="s">
        <v>38841</v>
      </c>
    </row>
    <row r="53">
      <c r="A53" s="202">
        <v>13167.0</v>
      </c>
      <c r="B53" s="7" t="s">
        <v>38842</v>
      </c>
      <c r="C53" s="7" t="s">
        <v>38843</v>
      </c>
      <c r="D53" s="7">
        <v>57079.0</v>
      </c>
      <c r="E53" s="902" t="s">
        <v>38844</v>
      </c>
      <c r="F53" s="902" t="s">
        <v>38845</v>
      </c>
      <c r="G53" s="903">
        <v>36789.0</v>
      </c>
      <c r="H53" s="904">
        <v>36784.0</v>
      </c>
      <c r="I53" s="7">
        <v>57079.0</v>
      </c>
      <c r="J53" s="905" t="s">
        <v>38846</v>
      </c>
      <c r="K53" s="7" t="s">
        <v>38847</v>
      </c>
    </row>
    <row r="54">
      <c r="A54" s="202">
        <v>13168.0</v>
      </c>
      <c r="B54" s="7" t="s">
        <v>38848</v>
      </c>
      <c r="C54" s="7" t="s">
        <v>38849</v>
      </c>
      <c r="D54" s="7">
        <v>58218.0</v>
      </c>
      <c r="E54" s="902" t="s">
        <v>38850</v>
      </c>
      <c r="F54" s="902" t="s">
        <v>38851</v>
      </c>
      <c r="G54" s="903">
        <v>36796.0</v>
      </c>
      <c r="H54" s="904">
        <v>36791.0</v>
      </c>
      <c r="I54" s="7">
        <v>58217.0</v>
      </c>
      <c r="J54" s="905" t="s">
        <v>38852</v>
      </c>
      <c r="K54" s="7" t="s">
        <v>38853</v>
      </c>
    </row>
    <row r="55">
      <c r="A55" s="202">
        <v>13169.0</v>
      </c>
      <c r="B55" s="7" t="s">
        <v>38854</v>
      </c>
      <c r="C55" s="7" t="s">
        <v>38855</v>
      </c>
      <c r="D55" s="7">
        <v>60582.0</v>
      </c>
      <c r="E55" s="902" t="s">
        <v>38856</v>
      </c>
      <c r="F55" s="902" t="s">
        <v>38857</v>
      </c>
      <c r="G55" s="906">
        <v>36811.0</v>
      </c>
      <c r="H55" s="904">
        <v>36805.0</v>
      </c>
      <c r="I55" s="7">
        <v>60581.0</v>
      </c>
      <c r="J55" s="905" t="s">
        <v>38858</v>
      </c>
    </row>
    <row r="56">
      <c r="A56" s="202">
        <v>13170.0</v>
      </c>
      <c r="B56" s="7" t="s">
        <v>38859</v>
      </c>
      <c r="C56" s="7" t="s">
        <v>38860</v>
      </c>
      <c r="D56" s="7">
        <v>60830.0</v>
      </c>
      <c r="E56" s="902" t="s">
        <v>38861</v>
      </c>
      <c r="F56" s="902" t="s">
        <v>38862</v>
      </c>
      <c r="G56" s="906">
        <v>36811.0</v>
      </c>
      <c r="H56" s="904">
        <v>36805.0</v>
      </c>
      <c r="I56" s="7">
        <v>60827.0</v>
      </c>
      <c r="J56" s="905" t="s">
        <v>38863</v>
      </c>
      <c r="K56" s="7" t="s">
        <v>38864</v>
      </c>
    </row>
    <row r="57">
      <c r="A57" s="202">
        <v>13171.0</v>
      </c>
      <c r="B57" s="7" t="s">
        <v>38865</v>
      </c>
      <c r="C57" s="7" t="s">
        <v>38866</v>
      </c>
      <c r="D57" s="7">
        <v>61253.0</v>
      </c>
      <c r="E57" s="902" t="s">
        <v>38867</v>
      </c>
      <c r="F57" s="902" t="s">
        <v>38868</v>
      </c>
      <c r="G57" s="906">
        <v>36815.0</v>
      </c>
      <c r="H57" s="904">
        <v>36811.0</v>
      </c>
      <c r="I57" s="7">
        <v>61251.0</v>
      </c>
      <c r="J57" s="905" t="s">
        <v>38869</v>
      </c>
      <c r="K57" s="7" t="s">
        <v>38870</v>
      </c>
    </row>
    <row r="58">
      <c r="A58" s="202">
        <v>13172.0</v>
      </c>
      <c r="B58" s="7" t="s">
        <v>38871</v>
      </c>
      <c r="C58" s="7" t="s">
        <v>38872</v>
      </c>
      <c r="D58" s="7">
        <v>64577.0</v>
      </c>
      <c r="E58" s="902" t="s">
        <v>38873</v>
      </c>
      <c r="F58" s="902" t="s">
        <v>38874</v>
      </c>
      <c r="G58" s="906">
        <v>36826.0</v>
      </c>
      <c r="H58" s="904">
        <v>36824.0</v>
      </c>
      <c r="I58" s="7">
        <v>64577.0</v>
      </c>
      <c r="J58" s="905" t="s">
        <v>38875</v>
      </c>
      <c r="K58" s="7" t="s">
        <v>38876</v>
      </c>
    </row>
    <row r="59">
      <c r="A59" s="202">
        <v>13173.0</v>
      </c>
      <c r="B59" s="7" t="s">
        <v>38877</v>
      </c>
      <c r="C59" s="7" t="s">
        <v>38878</v>
      </c>
      <c r="D59" s="7">
        <v>64580.0</v>
      </c>
      <c r="E59" s="902" t="s">
        <v>38879</v>
      </c>
      <c r="F59" s="902" t="s">
        <v>38880</v>
      </c>
      <c r="G59" s="906">
        <v>36826.0</v>
      </c>
      <c r="H59" s="904">
        <v>36824.0</v>
      </c>
      <c r="I59" s="7">
        <v>64579.0</v>
      </c>
      <c r="J59" s="905" t="s">
        <v>38881</v>
      </c>
      <c r="K59" s="7" t="s">
        <v>38882</v>
      </c>
    </row>
    <row r="60">
      <c r="A60" s="202">
        <v>13174.0</v>
      </c>
      <c r="B60" s="7" t="s">
        <v>38883</v>
      </c>
      <c r="C60" s="7" t="s">
        <v>38884</v>
      </c>
      <c r="D60" s="7">
        <v>65706.0</v>
      </c>
      <c r="E60" s="902" t="s">
        <v>38885</v>
      </c>
      <c r="F60" s="902" t="s">
        <v>38886</v>
      </c>
      <c r="G60" s="903">
        <v>36832.0</v>
      </c>
      <c r="H60" s="904">
        <v>36826.0</v>
      </c>
      <c r="I60" s="7">
        <v>65705.0</v>
      </c>
      <c r="J60" s="905" t="s">
        <v>38887</v>
      </c>
      <c r="K60" s="7" t="s">
        <v>38888</v>
      </c>
    </row>
    <row r="61">
      <c r="A61" s="202">
        <v>13175.0</v>
      </c>
      <c r="B61" s="7" t="s">
        <v>38889</v>
      </c>
      <c r="C61" s="7" t="s">
        <v>38890</v>
      </c>
      <c r="D61" s="7">
        <v>67252.0</v>
      </c>
      <c r="E61" s="902" t="s">
        <v>38891</v>
      </c>
      <c r="F61" s="902" t="s">
        <v>38892</v>
      </c>
      <c r="G61" s="903">
        <v>36839.0</v>
      </c>
      <c r="H61" s="904">
        <v>36836.0</v>
      </c>
      <c r="I61" s="7">
        <v>67249.0</v>
      </c>
      <c r="J61" s="905" t="s">
        <v>38893</v>
      </c>
      <c r="K61" s="7" t="s">
        <v>38894</v>
      </c>
    </row>
    <row r="62">
      <c r="A62" s="202">
        <v>13176.0</v>
      </c>
      <c r="B62" s="7" t="s">
        <v>38895</v>
      </c>
      <c r="C62" s="7" t="s">
        <v>38896</v>
      </c>
      <c r="D62" s="7">
        <v>71234.0</v>
      </c>
      <c r="E62" s="902" t="s">
        <v>38897</v>
      </c>
      <c r="F62" s="902" t="s">
        <v>38898</v>
      </c>
      <c r="G62" s="906">
        <v>36860.0</v>
      </c>
      <c r="H62" s="904">
        <v>36857.0</v>
      </c>
      <c r="I62" s="7">
        <v>71233.0</v>
      </c>
      <c r="J62" s="905" t="s">
        <v>38899</v>
      </c>
      <c r="K62" s="7" t="s">
        <v>38900</v>
      </c>
    </row>
    <row r="63">
      <c r="A63" s="202">
        <v>13177.0</v>
      </c>
      <c r="B63" s="7" t="s">
        <v>38901</v>
      </c>
      <c r="C63" s="7" t="s">
        <v>38902</v>
      </c>
      <c r="D63" s="7">
        <v>76559.0</v>
      </c>
      <c r="E63" s="902" t="s">
        <v>38903</v>
      </c>
      <c r="F63" s="902" t="s">
        <v>38904</v>
      </c>
      <c r="G63" s="903">
        <v>36866.0</v>
      </c>
      <c r="H63" s="904">
        <v>36864.0</v>
      </c>
      <c r="I63" s="7">
        <v>76558.0</v>
      </c>
      <c r="J63" s="905" t="s">
        <v>38905</v>
      </c>
      <c r="K63" s="7" t="s">
        <v>38906</v>
      </c>
    </row>
    <row r="64">
      <c r="A64" s="202">
        <v>13178.0</v>
      </c>
      <c r="B64" s="7" t="s">
        <v>38907</v>
      </c>
      <c r="C64" s="7" t="s">
        <v>38908</v>
      </c>
      <c r="D64" s="7">
        <v>76910.0</v>
      </c>
      <c r="E64" s="902" t="s">
        <v>38909</v>
      </c>
      <c r="F64" s="902" t="s">
        <v>38910</v>
      </c>
      <c r="G64" s="903">
        <v>36867.0</v>
      </c>
      <c r="H64" s="904">
        <v>36864.0</v>
      </c>
      <c r="I64" s="7">
        <v>76903.0</v>
      </c>
      <c r="J64" s="905" t="s">
        <v>38911</v>
      </c>
      <c r="K64" s="7" t="s">
        <v>38912</v>
      </c>
    </row>
    <row r="65">
      <c r="A65" s="202">
        <v>13179.0</v>
      </c>
      <c r="B65" s="7" t="s">
        <v>38913</v>
      </c>
      <c r="C65" s="7" t="s">
        <v>38914</v>
      </c>
      <c r="D65" s="7">
        <v>77490.0</v>
      </c>
      <c r="E65" s="902" t="s">
        <v>38915</v>
      </c>
      <c r="F65" s="902" t="s">
        <v>38916</v>
      </c>
      <c r="G65" s="906">
        <v>36871.0</v>
      </c>
      <c r="H65" s="904">
        <v>36867.0</v>
      </c>
      <c r="I65" s="7">
        <v>77487.0</v>
      </c>
      <c r="J65" s="905" t="s">
        <v>38917</v>
      </c>
      <c r="K65" s="7" t="s">
        <v>38918</v>
      </c>
    </row>
    <row r="66">
      <c r="A66" s="202">
        <v>13180.0</v>
      </c>
      <c r="B66" s="7" t="s">
        <v>38919</v>
      </c>
      <c r="C66" s="7" t="s">
        <v>38920</v>
      </c>
      <c r="D66" s="7">
        <v>77494.0</v>
      </c>
      <c r="E66" s="902" t="s">
        <v>38921</v>
      </c>
      <c r="F66" s="902" t="s">
        <v>38922</v>
      </c>
      <c r="G66" s="906">
        <v>36871.0</v>
      </c>
      <c r="H66" s="904">
        <v>36867.0</v>
      </c>
      <c r="I66" s="7">
        <v>77493.0</v>
      </c>
      <c r="J66" s="905" t="s">
        <v>38923</v>
      </c>
      <c r="K66" s="7" t="s">
        <v>38924</v>
      </c>
    </row>
    <row r="67">
      <c r="A67" s="202">
        <v>13181.0</v>
      </c>
      <c r="B67" s="7" t="s">
        <v>38925</v>
      </c>
      <c r="C67" s="7" t="s">
        <v>38926</v>
      </c>
      <c r="D67" s="7">
        <v>81323.0</v>
      </c>
      <c r="E67" s="902" t="s">
        <v>38927</v>
      </c>
      <c r="F67" s="902" t="s">
        <v>38928</v>
      </c>
      <c r="G67" s="906">
        <v>36886.0</v>
      </c>
      <c r="H67" s="904">
        <v>36880.0</v>
      </c>
      <c r="I67" s="7">
        <v>81321.0</v>
      </c>
      <c r="J67" s="905" t="s">
        <v>38929</v>
      </c>
    </row>
    <row r="68">
      <c r="A68" s="202">
        <v>13182.0</v>
      </c>
      <c r="B68" s="7" t="s">
        <v>38930</v>
      </c>
      <c r="C68" s="7" t="s">
        <v>38931</v>
      </c>
      <c r="D68" s="7">
        <v>82888.0</v>
      </c>
      <c r="E68" s="902" t="s">
        <v>38932</v>
      </c>
      <c r="F68" s="902" t="s">
        <v>38933</v>
      </c>
      <c r="G68" s="906">
        <v>36889.0</v>
      </c>
      <c r="H68" s="904">
        <v>36883.0</v>
      </c>
      <c r="I68" s="7">
        <v>82879.0</v>
      </c>
      <c r="J68" s="905" t="s">
        <v>38718</v>
      </c>
      <c r="K68" s="7" t="s">
        <v>38934</v>
      </c>
    </row>
    <row r="69">
      <c r="A69" s="202">
        <v>13183.0</v>
      </c>
      <c r="B69" s="7" t="s">
        <v>38935</v>
      </c>
      <c r="C69" s="7" t="s">
        <v>38936</v>
      </c>
      <c r="D69" s="7">
        <v>82890.0</v>
      </c>
      <c r="E69" s="902" t="s">
        <v>38937</v>
      </c>
      <c r="F69" s="902" t="s">
        <v>38938</v>
      </c>
      <c r="G69" s="906">
        <v>36889.0</v>
      </c>
      <c r="H69" s="904">
        <v>36883.0</v>
      </c>
      <c r="I69" s="7">
        <v>82889.0</v>
      </c>
      <c r="J69" s="905" t="s">
        <v>38939</v>
      </c>
      <c r="K69" s="7" t="s">
        <v>38940</v>
      </c>
    </row>
    <row r="70">
      <c r="A70" s="202">
        <v>13184.0</v>
      </c>
      <c r="B70" s="7" t="s">
        <v>38941</v>
      </c>
      <c r="C70" s="7" t="s">
        <v>38942</v>
      </c>
      <c r="D70" s="7">
        <v>697.0</v>
      </c>
      <c r="E70" s="902" t="s">
        <v>38943</v>
      </c>
      <c r="F70" s="902" t="s">
        <v>38944</v>
      </c>
      <c r="G70" s="903">
        <v>36894.0</v>
      </c>
      <c r="H70" s="904">
        <v>36888.0</v>
      </c>
      <c r="I70" s="7">
        <v>697.0</v>
      </c>
      <c r="J70" s="905" t="s">
        <v>38945</v>
      </c>
      <c r="K70" s="7" t="s">
        <v>38946</v>
      </c>
    </row>
    <row r="71">
      <c r="A71" s="202">
        <v>13185.0</v>
      </c>
      <c r="B71" s="7" t="s">
        <v>38947</v>
      </c>
      <c r="C71" s="7" t="s">
        <v>38948</v>
      </c>
      <c r="D71" s="7">
        <v>702.0</v>
      </c>
      <c r="E71" s="902" t="s">
        <v>38949</v>
      </c>
      <c r="F71" s="902" t="s">
        <v>38950</v>
      </c>
      <c r="G71" s="903">
        <v>36894.0</v>
      </c>
      <c r="H71" s="904">
        <v>36888.0</v>
      </c>
      <c r="I71" s="7">
        <v>701.0</v>
      </c>
      <c r="J71" s="905" t="s">
        <v>38951</v>
      </c>
    </row>
    <row r="72">
      <c r="A72" s="202">
        <v>13186.0</v>
      </c>
      <c r="B72" s="7" t="s">
        <v>38952</v>
      </c>
      <c r="C72" s="907" t="s">
        <v>38953</v>
      </c>
      <c r="D72" s="7">
        <v>3856.0</v>
      </c>
      <c r="E72" s="902" t="s">
        <v>38954</v>
      </c>
      <c r="F72" s="902" t="s">
        <v>38955</v>
      </c>
      <c r="G72" s="903">
        <v>36908.0</v>
      </c>
      <c r="H72" s="904">
        <v>36901.0</v>
      </c>
      <c r="I72" s="7">
        <v>3853.0</v>
      </c>
      <c r="J72" s="905" t="s">
        <v>38956</v>
      </c>
    </row>
    <row r="73">
      <c r="A73" s="202">
        <v>13187.0</v>
      </c>
      <c r="B73" s="7" t="s">
        <v>38957</v>
      </c>
      <c r="C73" s="907" t="s">
        <v>38958</v>
      </c>
      <c r="D73" s="7">
        <v>3858.0</v>
      </c>
      <c r="E73" s="902" t="s">
        <v>38959</v>
      </c>
      <c r="F73" s="902" t="s">
        <v>38960</v>
      </c>
      <c r="G73" s="903">
        <v>36908.0</v>
      </c>
      <c r="H73" s="904">
        <v>36901.0</v>
      </c>
      <c r="I73" s="7">
        <v>3857.0</v>
      </c>
      <c r="J73" s="905" t="s">
        <v>38961</v>
      </c>
      <c r="K73" s="7" t="s">
        <v>38962</v>
      </c>
    </row>
    <row r="74">
      <c r="A74" s="202">
        <v>13188.0</v>
      </c>
      <c r="B74" s="7" t="s">
        <v>38963</v>
      </c>
      <c r="C74" s="907" t="s">
        <v>38964</v>
      </c>
      <c r="D74" s="7">
        <v>5419.0</v>
      </c>
      <c r="E74" s="902" t="s">
        <v>38965</v>
      </c>
      <c r="F74" s="902" t="s">
        <v>38966</v>
      </c>
      <c r="G74" s="903">
        <v>36909.0</v>
      </c>
      <c r="H74" s="904">
        <v>36903.0</v>
      </c>
      <c r="I74" s="7">
        <v>5419.0</v>
      </c>
      <c r="J74" s="905" t="s">
        <v>38967</v>
      </c>
      <c r="K74" s="7" t="s">
        <v>38968</v>
      </c>
    </row>
    <row r="75">
      <c r="A75" s="202">
        <v>13189.0</v>
      </c>
      <c r="B75" s="7" t="s">
        <v>38969</v>
      </c>
      <c r="C75" s="907" t="s">
        <v>38970</v>
      </c>
      <c r="D75" s="7">
        <v>5423.0</v>
      </c>
      <c r="E75" s="902" t="s">
        <v>38971</v>
      </c>
      <c r="F75" s="902" t="s">
        <v>38972</v>
      </c>
      <c r="G75" s="903">
        <v>36910.0</v>
      </c>
      <c r="H75" s="904">
        <v>36906.0</v>
      </c>
      <c r="I75" s="7">
        <v>5421.0</v>
      </c>
      <c r="J75" s="905" t="s">
        <v>38973</v>
      </c>
    </row>
    <row r="76">
      <c r="A76" s="202">
        <v>13190.0</v>
      </c>
      <c r="B76" s="7" t="s">
        <v>38974</v>
      </c>
      <c r="C76" s="907" t="s">
        <v>38975</v>
      </c>
      <c r="D76" s="7">
        <v>5425.0</v>
      </c>
      <c r="E76" s="902" t="s">
        <v>38976</v>
      </c>
      <c r="F76" s="902" t="s">
        <v>38977</v>
      </c>
      <c r="G76" s="903">
        <v>36910.0</v>
      </c>
      <c r="H76" s="904">
        <v>36906.0</v>
      </c>
      <c r="I76" s="7">
        <v>5424.0</v>
      </c>
      <c r="J76" s="905" t="s">
        <v>38978</v>
      </c>
    </row>
    <row r="77">
      <c r="A77" s="202">
        <v>13191.0</v>
      </c>
      <c r="B77" s="7" t="s">
        <v>38979</v>
      </c>
      <c r="C77" s="907">
        <v>41640.0</v>
      </c>
      <c r="D77" s="7">
        <v>7273.0</v>
      </c>
      <c r="E77" s="902" t="s">
        <v>38980</v>
      </c>
      <c r="F77" s="902" t="s">
        <v>38981</v>
      </c>
      <c r="G77" s="903">
        <v>36913.0</v>
      </c>
      <c r="H77" s="904">
        <v>36908.0</v>
      </c>
      <c r="I77" s="7">
        <v>7271.0</v>
      </c>
      <c r="J77" s="905" t="s">
        <v>38982</v>
      </c>
    </row>
    <row r="78">
      <c r="A78" s="202">
        <v>13192.0</v>
      </c>
      <c r="B78" s="7" t="s">
        <v>38983</v>
      </c>
      <c r="C78" s="907">
        <v>86930.0</v>
      </c>
      <c r="D78" s="7">
        <v>7385.0</v>
      </c>
      <c r="E78" s="902" t="s">
        <v>38984</v>
      </c>
      <c r="F78" s="902" t="s">
        <v>38985</v>
      </c>
      <c r="G78" s="903">
        <v>36914.0</v>
      </c>
      <c r="H78" s="904">
        <v>36908.0</v>
      </c>
      <c r="I78" s="7">
        <v>7379.0</v>
      </c>
      <c r="J78" s="905" t="s">
        <v>38986</v>
      </c>
      <c r="K78" s="7" t="s">
        <v>38987</v>
      </c>
    </row>
    <row r="79">
      <c r="A79" s="202">
        <v>13193.0</v>
      </c>
      <c r="B79" s="7" t="s">
        <v>38988</v>
      </c>
      <c r="C79" s="907">
        <v>87295.0</v>
      </c>
      <c r="D79" s="7">
        <v>7388.0</v>
      </c>
      <c r="E79" s="902" t="s">
        <v>38989</v>
      </c>
      <c r="F79" s="902" t="s">
        <v>38990</v>
      </c>
      <c r="G79" s="903">
        <v>36914.0</v>
      </c>
      <c r="H79" s="904">
        <v>36909.0</v>
      </c>
      <c r="I79" s="7">
        <v>7387.0</v>
      </c>
      <c r="J79" s="905" t="s">
        <v>38991</v>
      </c>
    </row>
    <row r="80">
      <c r="A80" s="202">
        <v>13194.0</v>
      </c>
      <c r="B80" s="7" t="s">
        <v>38992</v>
      </c>
      <c r="C80" s="907">
        <v>87660.0</v>
      </c>
      <c r="D80" s="7">
        <v>7390.0</v>
      </c>
      <c r="E80" s="902" t="s">
        <v>38993</v>
      </c>
      <c r="F80" s="902" t="s">
        <v>38994</v>
      </c>
      <c r="G80" s="903">
        <v>36914.0</v>
      </c>
      <c r="H80" s="904">
        <v>36909.0</v>
      </c>
      <c r="I80" s="7">
        <v>7389.0</v>
      </c>
      <c r="J80" s="905" t="s">
        <v>38995</v>
      </c>
      <c r="K80" s="7" t="s">
        <v>38996</v>
      </c>
    </row>
    <row r="81">
      <c r="A81" s="202">
        <v>13195.0</v>
      </c>
      <c r="B81" s="7" t="s">
        <v>38997</v>
      </c>
      <c r="C81" s="907">
        <v>88026.0</v>
      </c>
      <c r="D81" s="7">
        <v>7393.0</v>
      </c>
      <c r="E81" s="902" t="s">
        <v>38998</v>
      </c>
      <c r="F81" s="902" t="s">
        <v>38999</v>
      </c>
      <c r="G81" s="903">
        <v>36914.0</v>
      </c>
      <c r="H81" s="904">
        <v>36909.0</v>
      </c>
      <c r="I81" s="7">
        <v>7391.0</v>
      </c>
      <c r="J81" s="905" t="s">
        <v>39000</v>
      </c>
    </row>
    <row r="82">
      <c r="A82" s="202">
        <v>13196.0</v>
      </c>
      <c r="B82" s="7" t="s">
        <v>39001</v>
      </c>
      <c r="C82" s="907">
        <v>114688.0</v>
      </c>
      <c r="D82" s="7">
        <v>7397.0</v>
      </c>
      <c r="E82" s="902" t="s">
        <v>39002</v>
      </c>
      <c r="F82" s="902" t="s">
        <v>39003</v>
      </c>
      <c r="G82" s="903">
        <v>36914.0</v>
      </c>
      <c r="H82" s="904">
        <v>36909.0</v>
      </c>
      <c r="I82" s="7">
        <v>7395.0</v>
      </c>
      <c r="J82" s="905" t="s">
        <v>39004</v>
      </c>
      <c r="K82" s="7" t="s">
        <v>39005</v>
      </c>
    </row>
    <row r="83">
      <c r="A83" s="202">
        <v>13197.0</v>
      </c>
      <c r="B83" s="7" t="s">
        <v>39006</v>
      </c>
      <c r="C83" s="907">
        <v>181893.0</v>
      </c>
      <c r="D83" s="7">
        <v>7854.0</v>
      </c>
      <c r="E83" s="902" t="s">
        <v>39007</v>
      </c>
      <c r="F83" s="902" t="s">
        <v>39008</v>
      </c>
      <c r="G83" s="903">
        <v>36916.0</v>
      </c>
      <c r="H83" s="904">
        <v>36909.0</v>
      </c>
      <c r="I83" s="7">
        <v>7853.0</v>
      </c>
      <c r="J83" s="905" t="s">
        <v>39009</v>
      </c>
    </row>
    <row r="84">
      <c r="A84" s="202">
        <v>13198.0</v>
      </c>
      <c r="B84" s="7" t="s">
        <v>39010</v>
      </c>
      <c r="C84" s="907">
        <v>347348.0</v>
      </c>
      <c r="D84" s="7">
        <v>8498.0</v>
      </c>
      <c r="E84" s="902" t="s">
        <v>39011</v>
      </c>
      <c r="F84" s="902" t="s">
        <v>39012</v>
      </c>
      <c r="G84" s="903">
        <v>36922.0</v>
      </c>
      <c r="H84" s="904">
        <v>36920.0</v>
      </c>
      <c r="I84" s="7">
        <v>8497.0</v>
      </c>
      <c r="J84" s="905" t="s">
        <v>39013</v>
      </c>
      <c r="K84" s="7" t="s">
        <v>39014</v>
      </c>
    </row>
    <row r="85">
      <c r="A85" s="202">
        <v>13199.0</v>
      </c>
      <c r="B85" s="7" t="s">
        <v>39015</v>
      </c>
      <c r="C85" s="907">
        <v>347713.0</v>
      </c>
      <c r="D85" s="7">
        <v>8500.0</v>
      </c>
      <c r="E85" s="902" t="s">
        <v>39016</v>
      </c>
      <c r="F85" s="902" t="s">
        <v>39017</v>
      </c>
      <c r="G85" s="903">
        <v>36922.0</v>
      </c>
      <c r="H85" s="904">
        <v>36920.0</v>
      </c>
      <c r="I85" s="7">
        <v>8499.0</v>
      </c>
      <c r="J85" s="905" t="s">
        <v>39018</v>
      </c>
      <c r="K85" s="7" t="s">
        <v>39019</v>
      </c>
    </row>
    <row r="86">
      <c r="A86" s="202">
        <v>13200.0</v>
      </c>
      <c r="B86" s="7" t="s">
        <v>39020</v>
      </c>
      <c r="C86" s="907">
        <v>724278.0</v>
      </c>
      <c r="D86" s="7">
        <v>10183.0</v>
      </c>
      <c r="E86" s="902" t="s">
        <v>39021</v>
      </c>
      <c r="F86" s="902" t="s">
        <v>39022</v>
      </c>
      <c r="G86" s="903">
        <v>36936.0</v>
      </c>
      <c r="H86" s="904">
        <v>36933.0</v>
      </c>
      <c r="I86" s="7">
        <v>10183.0</v>
      </c>
      <c r="J86" s="905" t="s">
        <v>39023</v>
      </c>
      <c r="K86" s="7" t="s">
        <v>39024</v>
      </c>
    </row>
    <row r="87">
      <c r="A87" s="202">
        <v>13201.0</v>
      </c>
      <c r="B87" s="7" t="s">
        <v>39025</v>
      </c>
      <c r="C87" s="907">
        <v>993827.0</v>
      </c>
      <c r="D87" s="7">
        <v>11224.0</v>
      </c>
      <c r="E87" s="902" t="s">
        <v>39026</v>
      </c>
      <c r="F87" s="902" t="s">
        <v>39027</v>
      </c>
      <c r="G87" s="903">
        <v>36944.0</v>
      </c>
      <c r="H87" s="904">
        <v>36939.0</v>
      </c>
      <c r="I87" s="7">
        <v>11221.0</v>
      </c>
      <c r="J87" s="905" t="s">
        <v>39028</v>
      </c>
      <c r="K87" s="7" t="s">
        <v>39029</v>
      </c>
    </row>
    <row r="88">
      <c r="A88" s="202">
        <v>13202.0</v>
      </c>
      <c r="B88" s="7" t="s">
        <v>39030</v>
      </c>
      <c r="C88" s="907">
        <v>994192.0</v>
      </c>
      <c r="D88" s="7">
        <v>11226.0</v>
      </c>
      <c r="E88" s="902" t="s">
        <v>39031</v>
      </c>
      <c r="F88" s="902" t="s">
        <v>39032</v>
      </c>
      <c r="G88" s="903">
        <v>36944.0</v>
      </c>
      <c r="H88" s="904">
        <v>36939.0</v>
      </c>
      <c r="I88" s="7">
        <v>11225.0</v>
      </c>
      <c r="J88" s="905" t="s">
        <v>39033</v>
      </c>
      <c r="K88" s="7" t="s">
        <v>39034</v>
      </c>
    </row>
    <row r="89">
      <c r="A89" s="202">
        <v>13203.0</v>
      </c>
      <c r="B89" s="7" t="s">
        <v>39035</v>
      </c>
      <c r="C89" s="907">
        <v>994557.0</v>
      </c>
      <c r="D89" s="7">
        <v>11227.0</v>
      </c>
      <c r="E89" s="902" t="s">
        <v>39036</v>
      </c>
      <c r="F89" s="902" t="s">
        <v>39037</v>
      </c>
      <c r="G89" s="903">
        <v>36944.0</v>
      </c>
      <c r="H89" s="904">
        <v>36939.0</v>
      </c>
      <c r="I89" s="7">
        <v>11227.0</v>
      </c>
      <c r="J89" s="905" t="s">
        <v>39038</v>
      </c>
      <c r="K89" s="7" t="s">
        <v>39039</v>
      </c>
    </row>
    <row r="90">
      <c r="A90" s="202">
        <v>13204.0</v>
      </c>
      <c r="B90" s="7" t="s">
        <v>39040</v>
      </c>
      <c r="C90" s="907">
        <v>994922.0</v>
      </c>
      <c r="D90" s="7">
        <v>11228.0</v>
      </c>
      <c r="E90" s="902" t="s">
        <v>39041</v>
      </c>
      <c r="F90" s="902" t="s">
        <v>39042</v>
      </c>
      <c r="G90" s="903">
        <v>36944.0</v>
      </c>
      <c r="H90" s="904">
        <v>36939.0</v>
      </c>
      <c r="I90" s="7">
        <v>11228.0</v>
      </c>
      <c r="J90" s="905" t="s">
        <v>39043</v>
      </c>
      <c r="K90" s="7" t="s">
        <v>39044</v>
      </c>
    </row>
    <row r="91">
      <c r="A91" s="202">
        <v>13205.0</v>
      </c>
      <c r="B91" s="7" t="s">
        <v>39045</v>
      </c>
      <c r="C91" s="907">
        <v>1701302.0</v>
      </c>
      <c r="D91" s="7">
        <v>15012.0</v>
      </c>
      <c r="E91" s="902" t="s">
        <v>39046</v>
      </c>
      <c r="F91" s="902" t="s">
        <v>39047</v>
      </c>
      <c r="G91" s="903">
        <v>36964.0</v>
      </c>
      <c r="H91" s="904">
        <v>36959.0</v>
      </c>
      <c r="I91" s="7">
        <v>15011.0</v>
      </c>
      <c r="J91" s="905" t="s">
        <v>39048</v>
      </c>
    </row>
    <row r="92">
      <c r="A92" s="202">
        <v>13206.0</v>
      </c>
      <c r="B92" s="7" t="s">
        <v>39049</v>
      </c>
      <c r="C92" s="907">
        <v>2532959.0</v>
      </c>
      <c r="D92" s="7">
        <v>18398.0</v>
      </c>
      <c r="E92" s="902" t="s">
        <v>39050</v>
      </c>
      <c r="F92" s="902" t="s">
        <v>39051</v>
      </c>
      <c r="G92" s="903">
        <v>36990.0</v>
      </c>
      <c r="H92" s="904">
        <v>36985.0</v>
      </c>
      <c r="I92" s="7">
        <v>18397.0</v>
      </c>
      <c r="J92" s="905" t="s">
        <v>39052</v>
      </c>
      <c r="K92" s="7" t="s">
        <v>39053</v>
      </c>
    </row>
    <row r="93">
      <c r="A93" s="202">
        <v>13207.0</v>
      </c>
      <c r="B93" s="7" t="s">
        <v>39054</v>
      </c>
      <c r="C93" s="907">
        <v>2533324.0</v>
      </c>
      <c r="D93" s="7">
        <v>18399.0</v>
      </c>
      <c r="E93" s="902" t="s">
        <v>39055</v>
      </c>
      <c r="F93" s="902" t="s">
        <v>39056</v>
      </c>
      <c r="G93" s="903">
        <v>36990.0</v>
      </c>
      <c r="H93" s="904">
        <v>36986.0</v>
      </c>
      <c r="I93" s="7">
        <v>18399.0</v>
      </c>
      <c r="J93" s="905" t="s">
        <v>39057</v>
      </c>
      <c r="K93" s="7" t="s">
        <v>39058</v>
      </c>
    </row>
    <row r="94">
      <c r="A94" s="202">
        <v>13208.0</v>
      </c>
      <c r="B94" s="7" t="s">
        <v>39059</v>
      </c>
      <c r="C94" s="907">
        <v>2624635.0</v>
      </c>
      <c r="D94" s="7">
        <v>18718.0</v>
      </c>
      <c r="E94" s="902" t="s">
        <v>39060</v>
      </c>
      <c r="F94" s="902" t="s">
        <v>39061</v>
      </c>
      <c r="G94" s="903">
        <v>36992.0</v>
      </c>
      <c r="H94" s="904">
        <v>36987.0</v>
      </c>
      <c r="I94" s="7">
        <v>18717.0</v>
      </c>
      <c r="J94" s="905" t="s">
        <v>39062</v>
      </c>
      <c r="K94" s="7" t="s">
        <v>39063</v>
      </c>
    </row>
    <row r="95">
      <c r="A95" s="202">
        <v>13209.0</v>
      </c>
      <c r="B95" s="7" t="s">
        <v>39064</v>
      </c>
      <c r="C95" s="7" t="s">
        <v>39065</v>
      </c>
      <c r="D95" s="7">
        <v>22105.0</v>
      </c>
      <c r="E95" s="902" t="s">
        <v>39066</v>
      </c>
      <c r="F95" s="902" t="s">
        <v>39067</v>
      </c>
      <c r="G95" s="903">
        <v>37013.0</v>
      </c>
      <c r="H95" s="904">
        <v>37011.0</v>
      </c>
      <c r="I95" s="7">
        <v>22105.0</v>
      </c>
      <c r="J95" s="905" t="s">
        <v>39068</v>
      </c>
      <c r="K95" s="7" t="s">
        <v>39069</v>
      </c>
    </row>
    <row r="96">
      <c r="A96" s="202">
        <v>13210.0</v>
      </c>
      <c r="B96" s="7" t="s">
        <v>39070</v>
      </c>
      <c r="C96" s="7" t="s">
        <v>39071</v>
      </c>
      <c r="D96" s="7">
        <v>22896.0</v>
      </c>
      <c r="E96" s="902" t="s">
        <v>39072</v>
      </c>
      <c r="F96" s="902" t="s">
        <v>39073</v>
      </c>
      <c r="G96" s="903">
        <v>37015.0</v>
      </c>
      <c r="H96" s="904">
        <v>37013.0</v>
      </c>
      <c r="I96" s="7">
        <v>22895.0</v>
      </c>
      <c r="J96" s="905" t="s">
        <v>39074</v>
      </c>
      <c r="K96" s="7" t="s">
        <v>39075</v>
      </c>
    </row>
    <row r="97">
      <c r="A97" s="202">
        <v>13211.0</v>
      </c>
      <c r="B97" s="7" t="s">
        <v>39076</v>
      </c>
      <c r="C97" s="7" t="s">
        <v>39077</v>
      </c>
      <c r="D97" s="7">
        <v>28356.0</v>
      </c>
      <c r="E97" s="902" t="s">
        <v>39078</v>
      </c>
      <c r="F97" s="902" t="s">
        <v>39079</v>
      </c>
      <c r="G97" s="903">
        <v>37033.0</v>
      </c>
      <c r="H97" s="904">
        <v>37029.0</v>
      </c>
      <c r="I97" s="7">
        <v>28355.0</v>
      </c>
      <c r="J97" s="905" t="s">
        <v>39080</v>
      </c>
    </row>
    <row r="98">
      <c r="A98" s="202">
        <v>13212.0</v>
      </c>
      <c r="B98" s="7" t="s">
        <v>39081</v>
      </c>
      <c r="C98" s="7" t="s">
        <v>39082</v>
      </c>
      <c r="D98" s="7">
        <v>28358.0</v>
      </c>
      <c r="E98" s="902" t="s">
        <v>39083</v>
      </c>
      <c r="F98" s="902" t="s">
        <v>39084</v>
      </c>
      <c r="G98" s="903">
        <v>37033.0</v>
      </c>
      <c r="H98" s="904">
        <v>37029.0</v>
      </c>
      <c r="I98" s="7">
        <v>28357.0</v>
      </c>
      <c r="J98" s="905" t="s">
        <v>39085</v>
      </c>
      <c r="K98" s="7" t="s">
        <v>39086</v>
      </c>
    </row>
    <row r="99">
      <c r="A99" s="202">
        <v>13213.0</v>
      </c>
      <c r="B99" s="7" t="s">
        <v>39087</v>
      </c>
      <c r="C99" s="7" t="s">
        <v>39088</v>
      </c>
      <c r="D99" s="7">
        <v>28830.0</v>
      </c>
      <c r="E99" s="902" t="s">
        <v>39089</v>
      </c>
      <c r="F99" s="902" t="s">
        <v>39090</v>
      </c>
      <c r="G99" s="903">
        <v>37035.0</v>
      </c>
      <c r="H99" s="904">
        <v>37033.0</v>
      </c>
      <c r="I99" s="7">
        <v>28827.0</v>
      </c>
      <c r="J99" s="905" t="s">
        <v>39091</v>
      </c>
      <c r="K99" s="7" t="s">
        <v>39092</v>
      </c>
    </row>
    <row r="100">
      <c r="A100" s="202">
        <v>13214.0</v>
      </c>
      <c r="B100" s="7" t="s">
        <v>39093</v>
      </c>
      <c r="C100" s="7" t="s">
        <v>39094</v>
      </c>
      <c r="D100" s="7">
        <v>29448.0</v>
      </c>
      <c r="E100" s="902" t="s">
        <v>39095</v>
      </c>
      <c r="F100" s="902" t="s">
        <v>39096</v>
      </c>
      <c r="G100" s="903">
        <v>37042.0</v>
      </c>
      <c r="H100" s="904">
        <v>37039.0</v>
      </c>
      <c r="I100" s="7">
        <v>29447.0</v>
      </c>
      <c r="J100" s="905" t="s">
        <v>39097</v>
      </c>
      <c r="K100" s="7" t="s">
        <v>39075</v>
      </c>
    </row>
    <row r="101">
      <c r="A101" s="202">
        <v>13215.0</v>
      </c>
      <c r="B101" s="7" t="s">
        <v>39098</v>
      </c>
      <c r="C101" s="7" t="s">
        <v>39099</v>
      </c>
      <c r="D101" s="7">
        <v>30285.0</v>
      </c>
      <c r="E101" s="902" t="s">
        <v>39100</v>
      </c>
      <c r="F101" s="902" t="s">
        <v>39101</v>
      </c>
      <c r="G101" s="903">
        <v>37047.0</v>
      </c>
      <c r="H101" s="904">
        <v>37042.0</v>
      </c>
      <c r="I101" s="7">
        <v>30285.0</v>
      </c>
      <c r="J101" s="905" t="s">
        <v>39102</v>
      </c>
      <c r="K101" s="7" t="s">
        <v>39103</v>
      </c>
    </row>
    <row r="102">
      <c r="A102" s="202">
        <v>13216.0</v>
      </c>
      <c r="B102" s="7" t="s">
        <v>39104</v>
      </c>
      <c r="C102" s="7" t="s">
        <v>39105</v>
      </c>
      <c r="D102" s="7">
        <v>31373.0</v>
      </c>
      <c r="E102" s="902" t="s">
        <v>39106</v>
      </c>
      <c r="F102" s="902" t="s">
        <v>39107</v>
      </c>
      <c r="G102" s="903">
        <v>37053.0</v>
      </c>
      <c r="H102" s="904">
        <v>37048.0</v>
      </c>
      <c r="I102" s="7">
        <v>31373.0</v>
      </c>
      <c r="J102" s="905" t="s">
        <v>39108</v>
      </c>
      <c r="K102" s="7" t="s">
        <v>39109</v>
      </c>
    </row>
    <row r="103">
      <c r="A103" s="202">
        <v>13217.0</v>
      </c>
      <c r="B103" s="7" t="s">
        <v>39110</v>
      </c>
      <c r="C103" s="7" t="s">
        <v>39111</v>
      </c>
      <c r="D103" s="7">
        <v>33156.0</v>
      </c>
      <c r="E103" s="902" t="s">
        <v>39112</v>
      </c>
      <c r="F103" s="902" t="s">
        <v>39113</v>
      </c>
      <c r="G103" s="903">
        <v>37063.0</v>
      </c>
      <c r="H103" s="904">
        <v>37060.0</v>
      </c>
      <c r="I103" s="7">
        <v>33155.0</v>
      </c>
      <c r="J103" s="905" t="s">
        <v>39114</v>
      </c>
    </row>
    <row r="104">
      <c r="A104" s="202">
        <v>13218.0</v>
      </c>
      <c r="B104" s="7" t="s">
        <v>39115</v>
      </c>
      <c r="C104" s="7" t="s">
        <v>39116</v>
      </c>
      <c r="D104" s="7">
        <v>33629.0</v>
      </c>
      <c r="E104" s="902" t="s">
        <v>39117</v>
      </c>
      <c r="F104" s="902" t="s">
        <v>39118</v>
      </c>
      <c r="G104" s="903">
        <v>37064.0</v>
      </c>
      <c r="H104" s="904">
        <v>37062.0</v>
      </c>
      <c r="I104" s="7">
        <v>33627.0</v>
      </c>
      <c r="J104" s="905" t="s">
        <v>39119</v>
      </c>
      <c r="K104" s="7" t="s">
        <v>39120</v>
      </c>
    </row>
    <row r="105">
      <c r="A105" s="202">
        <v>13219.0</v>
      </c>
      <c r="B105" s="7" t="s">
        <v>39121</v>
      </c>
      <c r="C105" s="7" t="s">
        <v>39122</v>
      </c>
      <c r="D105" s="7">
        <v>34781.0</v>
      </c>
      <c r="E105" s="902" t="s">
        <v>39123</v>
      </c>
      <c r="F105" s="902" t="s">
        <v>39124</v>
      </c>
      <c r="G105" s="903">
        <v>37071.0</v>
      </c>
      <c r="H105" s="904">
        <v>37068.0</v>
      </c>
      <c r="I105" s="7">
        <v>34777.0</v>
      </c>
      <c r="J105" s="905" t="s">
        <v>39125</v>
      </c>
      <c r="K105" s="7" t="s">
        <v>39126</v>
      </c>
    </row>
    <row r="106">
      <c r="A106" s="202">
        <v>13220.0</v>
      </c>
      <c r="B106" s="7" t="s">
        <v>39127</v>
      </c>
      <c r="C106" s="7" t="s">
        <v>39128</v>
      </c>
      <c r="D106" s="7">
        <v>35527.0</v>
      </c>
      <c r="E106" s="902" t="s">
        <v>39129</v>
      </c>
      <c r="F106" s="902" t="s">
        <v>39130</v>
      </c>
      <c r="G106" s="903">
        <v>37077.0</v>
      </c>
      <c r="H106" s="904">
        <v>37074.0</v>
      </c>
      <c r="I106" s="7">
        <v>35527.0</v>
      </c>
      <c r="J106" s="905" t="s">
        <v>39131</v>
      </c>
    </row>
    <row r="107">
      <c r="A107" s="202">
        <v>13221.0</v>
      </c>
      <c r="B107" s="7" t="s">
        <v>39132</v>
      </c>
      <c r="C107" s="7" t="s">
        <v>39133</v>
      </c>
      <c r="D107" s="7">
        <v>40571.0</v>
      </c>
      <c r="E107" s="902" t="s">
        <v>39134</v>
      </c>
      <c r="F107" s="902" t="s">
        <v>39135</v>
      </c>
      <c r="G107" s="903">
        <v>37105.0</v>
      </c>
      <c r="H107" s="904">
        <v>37103.0</v>
      </c>
      <c r="I107" s="7">
        <v>40571.0</v>
      </c>
      <c r="J107" s="905" t="s">
        <v>39136</v>
      </c>
    </row>
    <row r="108">
      <c r="A108" s="202">
        <v>13222.0</v>
      </c>
      <c r="B108" s="7" t="s">
        <v>39137</v>
      </c>
      <c r="C108" s="7" t="s">
        <v>39138</v>
      </c>
      <c r="D108" s="7">
        <v>44026.0</v>
      </c>
      <c r="E108" s="902" t="s">
        <v>39139</v>
      </c>
      <c r="F108" s="902" t="s">
        <v>39140</v>
      </c>
      <c r="G108" s="903">
        <v>37125.0</v>
      </c>
      <c r="H108" s="904">
        <v>37120.0</v>
      </c>
      <c r="I108" s="7">
        <v>44025.0</v>
      </c>
      <c r="J108" s="905" t="s">
        <v>39141</v>
      </c>
      <c r="K108" s="7" t="s">
        <v>39142</v>
      </c>
    </row>
    <row r="109">
      <c r="A109" s="202">
        <v>13223.0</v>
      </c>
      <c r="B109" s="7" t="s">
        <v>39143</v>
      </c>
      <c r="C109" s="7" t="s">
        <v>39144</v>
      </c>
      <c r="D109" s="7">
        <v>48202.0</v>
      </c>
      <c r="E109" s="902" t="s">
        <v>39145</v>
      </c>
      <c r="F109" s="902" t="s">
        <v>39146</v>
      </c>
      <c r="G109" s="903">
        <v>37152.0</v>
      </c>
      <c r="H109" s="904">
        <v>37148.0</v>
      </c>
      <c r="I109" s="7">
        <v>48201.0</v>
      </c>
      <c r="J109" s="905" t="s">
        <v>39147</v>
      </c>
      <c r="K109" s="7" t="s">
        <v>39148</v>
      </c>
    </row>
    <row r="110">
      <c r="A110" s="202">
        <v>13224.0</v>
      </c>
      <c r="B110" s="7" t="s">
        <v>39149</v>
      </c>
      <c r="C110" s="7" t="s">
        <v>39150</v>
      </c>
      <c r="D110" s="7">
        <v>49083.0</v>
      </c>
      <c r="E110" s="902" t="s">
        <v>39151</v>
      </c>
      <c r="F110" s="902" t="s">
        <v>39152</v>
      </c>
      <c r="G110" s="903">
        <v>37159.0</v>
      </c>
      <c r="H110" s="904">
        <v>37157.0</v>
      </c>
      <c r="I110" s="7">
        <v>49079.0</v>
      </c>
      <c r="J110" s="905" t="s">
        <v>39153</v>
      </c>
      <c r="K110" s="7" t="s">
        <v>39154</v>
      </c>
    </row>
    <row r="111">
      <c r="A111" s="202">
        <v>13225.0</v>
      </c>
      <c r="B111" s="7" t="s">
        <v>39155</v>
      </c>
      <c r="C111" s="7" t="s">
        <v>39156</v>
      </c>
      <c r="D111" s="7">
        <v>50292.0</v>
      </c>
      <c r="E111" s="902" t="s">
        <v>39157</v>
      </c>
      <c r="F111" s="902" t="s">
        <v>39158</v>
      </c>
      <c r="G111" s="903">
        <v>37167.0</v>
      </c>
      <c r="H111" s="904">
        <v>37162.0</v>
      </c>
      <c r="I111" s="7">
        <v>50291.0</v>
      </c>
      <c r="J111" s="905" t="s">
        <v>38683</v>
      </c>
      <c r="K111" s="7" t="s">
        <v>39159</v>
      </c>
    </row>
    <row r="112">
      <c r="A112" s="202">
        <v>13226.0</v>
      </c>
      <c r="B112" s="7" t="s">
        <v>39160</v>
      </c>
      <c r="C112" s="7" t="s">
        <v>39161</v>
      </c>
      <c r="D112" s="7">
        <v>50524.0</v>
      </c>
      <c r="E112" s="902" t="s">
        <v>39162</v>
      </c>
      <c r="F112" s="902" t="s">
        <v>39163</v>
      </c>
      <c r="G112" s="903">
        <v>37167.0</v>
      </c>
      <c r="H112" s="904">
        <v>37164.0</v>
      </c>
      <c r="I112" s="7">
        <v>50523.0</v>
      </c>
      <c r="J112" s="905" t="s">
        <v>39164</v>
      </c>
      <c r="K112" s="7" t="s">
        <v>39165</v>
      </c>
    </row>
    <row r="113">
      <c r="A113" s="202">
        <v>13227.0</v>
      </c>
      <c r="B113" s="7" t="s">
        <v>39166</v>
      </c>
      <c r="C113" s="7" t="s">
        <v>39167</v>
      </c>
      <c r="D113" s="7">
        <v>51289.0</v>
      </c>
      <c r="E113" s="902" t="s">
        <v>39168</v>
      </c>
      <c r="F113" s="902" t="s">
        <v>39169</v>
      </c>
      <c r="G113" s="903">
        <v>37169.0</v>
      </c>
      <c r="H113" s="904">
        <v>37166.0</v>
      </c>
      <c r="I113" s="7">
        <v>51287.0</v>
      </c>
      <c r="J113" s="905" t="s">
        <v>39170</v>
      </c>
      <c r="K113" s="7" t="s">
        <v>39171</v>
      </c>
    </row>
    <row r="114">
      <c r="A114" s="202">
        <v>13228.0</v>
      </c>
      <c r="B114" s="7" t="s">
        <v>39172</v>
      </c>
      <c r="C114" s="7" t="s">
        <v>39173</v>
      </c>
      <c r="D114" s="7">
        <v>51817.0</v>
      </c>
      <c r="E114" s="902" t="s">
        <v>39174</v>
      </c>
      <c r="F114" s="902" t="s">
        <v>39175</v>
      </c>
      <c r="G114" s="906">
        <v>37174.0</v>
      </c>
      <c r="H114" s="904">
        <v>37172.0</v>
      </c>
      <c r="I114" s="7">
        <v>51812.0</v>
      </c>
      <c r="J114" s="905" t="s">
        <v>39176</v>
      </c>
      <c r="K114" s="7" t="s">
        <v>39177</v>
      </c>
    </row>
    <row r="115">
      <c r="A115" s="202">
        <v>13229.0</v>
      </c>
      <c r="B115" s="7" t="s">
        <v>39178</v>
      </c>
      <c r="C115" s="7" t="s">
        <v>39179</v>
      </c>
      <c r="D115" s="7">
        <v>52013.0</v>
      </c>
      <c r="E115" s="902" t="s">
        <v>39180</v>
      </c>
      <c r="F115" s="902" t="s">
        <v>39181</v>
      </c>
      <c r="G115" s="906">
        <v>37175.0</v>
      </c>
      <c r="H115" s="904">
        <v>37173.0</v>
      </c>
      <c r="I115" s="7">
        <v>52013.0</v>
      </c>
      <c r="J115" s="905" t="s">
        <v>39182</v>
      </c>
      <c r="K115" s="7" t="s">
        <v>39183</v>
      </c>
    </row>
    <row r="116">
      <c r="A116" s="202">
        <v>13230.0</v>
      </c>
      <c r="B116" s="7" t="s">
        <v>39184</v>
      </c>
      <c r="C116" s="7" t="s">
        <v>39185</v>
      </c>
      <c r="D116" s="7">
        <v>52843.0</v>
      </c>
      <c r="E116" s="902" t="s">
        <v>39186</v>
      </c>
      <c r="F116" s="902" t="s">
        <v>39187</v>
      </c>
      <c r="G116" s="906">
        <v>37181.0</v>
      </c>
      <c r="H116" s="904">
        <v>37176.0</v>
      </c>
      <c r="I116" s="7">
        <v>52841.0</v>
      </c>
      <c r="J116" s="905" t="s">
        <v>39188</v>
      </c>
      <c r="K116" s="7" t="s">
        <v>39189</v>
      </c>
    </row>
    <row r="117">
      <c r="A117" s="202">
        <v>13231.0</v>
      </c>
      <c r="B117" s="7" t="s">
        <v>39190</v>
      </c>
      <c r="C117" s="7" t="s">
        <v>39191</v>
      </c>
      <c r="D117" s="7">
        <v>53071.0</v>
      </c>
      <c r="E117" s="902" t="s">
        <v>39192</v>
      </c>
      <c r="F117" s="902" t="s">
        <v>39193</v>
      </c>
      <c r="G117" s="906">
        <v>37182.0</v>
      </c>
      <c r="H117" s="904">
        <v>37180.0</v>
      </c>
      <c r="I117" s="7">
        <v>53063.0</v>
      </c>
      <c r="J117" s="905" t="s">
        <v>39194</v>
      </c>
      <c r="K117" s="7" t="s">
        <v>39195</v>
      </c>
    </row>
    <row r="118">
      <c r="A118" s="202">
        <v>13232.0</v>
      </c>
      <c r="B118" s="7" t="s">
        <v>39196</v>
      </c>
      <c r="C118" s="7" t="s">
        <v>39197</v>
      </c>
      <c r="D118" s="7">
        <v>53941.0</v>
      </c>
      <c r="E118" s="902" t="s">
        <v>39198</v>
      </c>
      <c r="F118" s="902" t="s">
        <v>39199</v>
      </c>
      <c r="G118" s="906">
        <v>37188.0</v>
      </c>
      <c r="H118" s="904">
        <v>37184.0</v>
      </c>
      <c r="I118" s="7">
        <v>53941.0</v>
      </c>
      <c r="J118" s="905" t="s">
        <v>39200</v>
      </c>
      <c r="K118" s="7" t="s">
        <v>39201</v>
      </c>
    </row>
    <row r="119">
      <c r="A119" s="202">
        <v>13233.0</v>
      </c>
      <c r="B119" s="7" t="s">
        <v>39202</v>
      </c>
      <c r="C119" s="7" t="s">
        <v>39203</v>
      </c>
      <c r="D119" s="7">
        <v>56029.0</v>
      </c>
      <c r="E119" s="902" t="s">
        <v>39204</v>
      </c>
      <c r="F119" s="902" t="s">
        <v>39205</v>
      </c>
      <c r="G119" s="903">
        <v>37200.0</v>
      </c>
      <c r="H119" s="904">
        <v>37196.0</v>
      </c>
      <c r="I119" s="7">
        <v>56025.0</v>
      </c>
      <c r="J119" s="905" t="s">
        <v>39206</v>
      </c>
      <c r="K119" s="7" t="s">
        <v>39207</v>
      </c>
    </row>
    <row r="120">
      <c r="A120" s="202">
        <v>13234.0</v>
      </c>
      <c r="B120" s="7" t="s">
        <v>39208</v>
      </c>
      <c r="C120" s="7" t="s">
        <v>39209</v>
      </c>
      <c r="D120" s="7">
        <v>57356.0</v>
      </c>
      <c r="E120" s="902" t="s">
        <v>39210</v>
      </c>
      <c r="F120" s="902" t="s">
        <v>39211</v>
      </c>
      <c r="G120" s="906">
        <v>37210.0</v>
      </c>
      <c r="H120" s="904">
        <v>37204.0</v>
      </c>
      <c r="I120" s="7">
        <v>57355.0</v>
      </c>
      <c r="J120" s="905" t="s">
        <v>39212</v>
      </c>
      <c r="K120" s="7" t="s">
        <v>38591</v>
      </c>
    </row>
    <row r="121">
      <c r="A121" s="202">
        <v>13235.0</v>
      </c>
      <c r="B121" s="7" t="s">
        <v>39213</v>
      </c>
      <c r="C121" s="7" t="s">
        <v>39214</v>
      </c>
      <c r="D121" s="7">
        <v>58343.0</v>
      </c>
      <c r="E121" s="902" t="s">
        <v>39215</v>
      </c>
      <c r="F121" s="902" t="s">
        <v>39216</v>
      </c>
      <c r="G121" s="906">
        <v>37215.0</v>
      </c>
      <c r="H121" s="904">
        <v>37211.0</v>
      </c>
      <c r="I121" s="7">
        <v>58343.0</v>
      </c>
      <c r="J121" s="905" t="s">
        <v>39217</v>
      </c>
      <c r="K121" s="7" t="s">
        <v>39218</v>
      </c>
    </row>
    <row r="122">
      <c r="A122" s="202">
        <v>13236.0</v>
      </c>
      <c r="B122" s="7" t="s">
        <v>39219</v>
      </c>
      <c r="C122" s="7" t="s">
        <v>39220</v>
      </c>
      <c r="D122" s="7">
        <v>59671.0</v>
      </c>
      <c r="E122" s="902" t="s">
        <v>39221</v>
      </c>
      <c r="F122" s="902" t="s">
        <v>39222</v>
      </c>
      <c r="G122" s="906">
        <v>37224.0</v>
      </c>
      <c r="H122" s="904">
        <v>37222.0</v>
      </c>
      <c r="I122" s="7">
        <v>59671.0</v>
      </c>
      <c r="J122" s="905" t="s">
        <v>39223</v>
      </c>
    </row>
    <row r="123">
      <c r="A123" s="202">
        <v>13237.0</v>
      </c>
      <c r="B123" s="7" t="s">
        <v>39224</v>
      </c>
      <c r="C123" s="7" t="s">
        <v>39225</v>
      </c>
      <c r="D123" s="7">
        <v>59853.0</v>
      </c>
      <c r="E123" s="902" t="s">
        <v>39226</v>
      </c>
      <c r="F123" s="902" t="s">
        <v>39227</v>
      </c>
      <c r="G123" s="906">
        <v>37225.0</v>
      </c>
      <c r="H123" s="904">
        <v>37223.0</v>
      </c>
      <c r="I123" s="7">
        <v>59851.0</v>
      </c>
      <c r="J123" s="905" t="s">
        <v>39228</v>
      </c>
      <c r="K123" s="7" t="s">
        <v>39229</v>
      </c>
    </row>
    <row r="124">
      <c r="A124" s="202">
        <v>13238.0</v>
      </c>
      <c r="B124" s="7" t="s">
        <v>39230</v>
      </c>
      <c r="C124" s="7" t="s">
        <v>39231</v>
      </c>
      <c r="D124" s="7">
        <v>63903.0</v>
      </c>
      <c r="E124" s="902" t="s">
        <v>39232</v>
      </c>
      <c r="F124" s="902" t="s">
        <v>39233</v>
      </c>
      <c r="G124" s="906">
        <v>37235.0</v>
      </c>
      <c r="H124" s="904">
        <v>37230.0</v>
      </c>
      <c r="I124" s="7">
        <v>63903.0</v>
      </c>
      <c r="J124" s="905" t="s">
        <v>39234</v>
      </c>
      <c r="K124" s="7" t="s">
        <v>39235</v>
      </c>
    </row>
    <row r="125">
      <c r="A125" s="202">
        <v>13239.0</v>
      </c>
      <c r="B125" s="7" t="s">
        <v>39236</v>
      </c>
      <c r="C125" s="7" t="s">
        <v>39237</v>
      </c>
      <c r="D125" s="7">
        <v>64907.0</v>
      </c>
      <c r="E125" s="902" t="s">
        <v>39238</v>
      </c>
      <c r="F125" s="902" t="s">
        <v>39239</v>
      </c>
      <c r="G125" s="906">
        <v>37239.0</v>
      </c>
      <c r="H125" s="904">
        <v>37237.0</v>
      </c>
      <c r="I125" s="7">
        <v>64907.0</v>
      </c>
      <c r="J125" s="905" t="s">
        <v>39240</v>
      </c>
    </row>
    <row r="126">
      <c r="A126" s="202">
        <v>13240.0</v>
      </c>
      <c r="B126" s="7" t="s">
        <v>39241</v>
      </c>
      <c r="C126" s="7" t="s">
        <v>39242</v>
      </c>
      <c r="D126" s="7">
        <v>66257.0</v>
      </c>
      <c r="E126" s="902" t="s">
        <v>39243</v>
      </c>
      <c r="F126" s="902" t="s">
        <v>39244</v>
      </c>
      <c r="G126" s="906">
        <v>37246.0</v>
      </c>
      <c r="H126" s="904">
        <v>37243.0</v>
      </c>
      <c r="I126" s="7">
        <v>66257.0</v>
      </c>
      <c r="J126" s="905" t="s">
        <v>39245</v>
      </c>
      <c r="K126" s="7" t="s">
        <v>39246</v>
      </c>
    </row>
    <row r="127">
      <c r="A127" s="202">
        <v>13241.0</v>
      </c>
      <c r="B127" s="7" t="s">
        <v>39247</v>
      </c>
      <c r="C127" s="7" t="s">
        <v>39248</v>
      </c>
      <c r="D127" s="7">
        <v>66259.0</v>
      </c>
      <c r="E127" s="902" t="s">
        <v>39249</v>
      </c>
      <c r="F127" s="902" t="s">
        <v>39250</v>
      </c>
      <c r="G127" s="906">
        <v>37246.0</v>
      </c>
      <c r="H127" s="904">
        <v>37243.0</v>
      </c>
      <c r="I127" s="7">
        <v>66258.0</v>
      </c>
      <c r="J127" s="905" t="s">
        <v>39251</v>
      </c>
      <c r="K127" s="7" t="s">
        <v>39252</v>
      </c>
    </row>
    <row r="128">
      <c r="A128" s="202">
        <v>13242.0</v>
      </c>
      <c r="B128" s="7" t="s">
        <v>39253</v>
      </c>
      <c r="C128" s="7" t="s">
        <v>39254</v>
      </c>
      <c r="D128" s="7">
        <v>66261.0</v>
      </c>
      <c r="E128" s="902" t="s">
        <v>39255</v>
      </c>
      <c r="F128" s="902" t="s">
        <v>39256</v>
      </c>
      <c r="G128" s="906">
        <v>37246.0</v>
      </c>
      <c r="H128" s="904">
        <v>37243.0</v>
      </c>
      <c r="I128" s="7">
        <v>66260.0</v>
      </c>
      <c r="J128" s="905" t="s">
        <v>39257</v>
      </c>
      <c r="K128" s="7" t="s">
        <v>39258</v>
      </c>
    </row>
    <row r="129">
      <c r="A129" s="202">
        <v>13243.0</v>
      </c>
      <c r="B129" s="7" t="s">
        <v>39259</v>
      </c>
      <c r="C129" s="7" t="s">
        <v>39260</v>
      </c>
      <c r="D129" s="7">
        <v>66263.0</v>
      </c>
      <c r="E129" s="902" t="s">
        <v>39261</v>
      </c>
      <c r="F129" s="902" t="s">
        <v>39262</v>
      </c>
      <c r="G129" s="906">
        <v>37246.0</v>
      </c>
      <c r="H129" s="904">
        <v>37243.0</v>
      </c>
      <c r="I129" s="7">
        <v>66262.0</v>
      </c>
      <c r="J129" s="905" t="s">
        <v>39263</v>
      </c>
      <c r="K129" s="7" t="s">
        <v>39264</v>
      </c>
    </row>
    <row r="130">
      <c r="A130" s="202">
        <v>13244.0</v>
      </c>
      <c r="B130" s="7" t="s">
        <v>39265</v>
      </c>
      <c r="C130" s="7" t="s">
        <v>39266</v>
      </c>
      <c r="D130" s="7">
        <v>66267.0</v>
      </c>
      <c r="E130" s="902" t="s">
        <v>39267</v>
      </c>
      <c r="F130" s="902" t="s">
        <v>39268</v>
      </c>
      <c r="G130" s="906">
        <v>37246.0</v>
      </c>
      <c r="H130" s="904">
        <v>37243.0</v>
      </c>
      <c r="I130" s="7">
        <v>66267.0</v>
      </c>
      <c r="J130" s="905" t="s">
        <v>39269</v>
      </c>
      <c r="K130" s="7" t="s">
        <v>39270</v>
      </c>
    </row>
    <row r="131">
      <c r="A131" s="202">
        <v>13245.0</v>
      </c>
      <c r="B131" s="7" t="s">
        <v>39271</v>
      </c>
      <c r="C131" s="7" t="s">
        <v>39272</v>
      </c>
      <c r="D131" s="7">
        <v>66269.0</v>
      </c>
      <c r="E131" s="902" t="s">
        <v>39273</v>
      </c>
      <c r="F131" s="902" t="s">
        <v>39274</v>
      </c>
      <c r="G131" s="906">
        <v>37246.0</v>
      </c>
      <c r="H131" s="904">
        <v>37243.0</v>
      </c>
      <c r="I131" s="7">
        <v>66268.0</v>
      </c>
      <c r="J131" s="905" t="s">
        <v>39275</v>
      </c>
      <c r="K131" s="7" t="s">
        <v>39276</v>
      </c>
    </row>
    <row r="132">
      <c r="A132" s="202">
        <v>13246.0</v>
      </c>
      <c r="B132" s="7" t="s">
        <v>39277</v>
      </c>
      <c r="C132" s="7" t="s">
        <v>39278</v>
      </c>
      <c r="D132" s="7">
        <v>66270.0</v>
      </c>
      <c r="E132" s="902" t="s">
        <v>39279</v>
      </c>
      <c r="F132" s="902" t="s">
        <v>39280</v>
      </c>
      <c r="G132" s="906">
        <v>37246.0</v>
      </c>
      <c r="H132" s="904">
        <v>37243.0</v>
      </c>
      <c r="I132" s="7">
        <v>66270.0</v>
      </c>
      <c r="J132" s="905" t="s">
        <v>39281</v>
      </c>
      <c r="K132" s="7" t="s">
        <v>39282</v>
      </c>
    </row>
    <row r="133">
      <c r="A133" s="202">
        <v>13247.0</v>
      </c>
      <c r="B133" s="7" t="s">
        <v>39283</v>
      </c>
      <c r="C133" s="7" t="s">
        <v>39284</v>
      </c>
      <c r="D133" s="7">
        <v>66272.0</v>
      </c>
      <c r="E133" s="902" t="s">
        <v>39285</v>
      </c>
      <c r="F133" s="902" t="s">
        <v>39286</v>
      </c>
      <c r="G133" s="906">
        <v>37246.0</v>
      </c>
      <c r="H133" s="904">
        <v>37243.0</v>
      </c>
      <c r="I133" s="7">
        <v>66271.0</v>
      </c>
      <c r="J133" s="905" t="s">
        <v>39287</v>
      </c>
      <c r="K133" s="7" t="s">
        <v>39288</v>
      </c>
    </row>
    <row r="134">
      <c r="A134" s="202">
        <v>13248.0</v>
      </c>
      <c r="B134" s="7" t="s">
        <v>39289</v>
      </c>
      <c r="C134" s="7" t="s">
        <v>39290</v>
      </c>
      <c r="D134" s="7">
        <v>66706.0</v>
      </c>
      <c r="E134" s="902" t="s">
        <v>39291</v>
      </c>
      <c r="F134" s="902" t="s">
        <v>39292</v>
      </c>
      <c r="G134" s="906">
        <v>37252.0</v>
      </c>
      <c r="H134" s="904">
        <v>37245.0</v>
      </c>
      <c r="I134" s="7">
        <v>66705.0</v>
      </c>
      <c r="J134" s="905" t="s">
        <v>39293</v>
      </c>
    </row>
    <row r="135">
      <c r="A135" s="202">
        <v>13249.0</v>
      </c>
      <c r="B135" s="7" t="s">
        <v>39294</v>
      </c>
      <c r="C135" s="7" t="s">
        <v>39295</v>
      </c>
      <c r="D135" s="7">
        <v>648.0</v>
      </c>
      <c r="E135" s="902" t="s">
        <v>39296</v>
      </c>
      <c r="F135" s="902" t="s">
        <v>39297</v>
      </c>
      <c r="G135" s="903">
        <v>37263.0</v>
      </c>
      <c r="H135" s="904">
        <v>37253.0</v>
      </c>
      <c r="I135" s="7">
        <v>639.0</v>
      </c>
      <c r="J135" s="905" t="s">
        <v>38718</v>
      </c>
      <c r="K135" s="7" t="s">
        <v>39298</v>
      </c>
    </row>
    <row r="136">
      <c r="A136" s="202">
        <v>13250.0</v>
      </c>
      <c r="B136" s="7" t="s">
        <v>39299</v>
      </c>
      <c r="C136" s="7" t="s">
        <v>39300</v>
      </c>
      <c r="D136" s="7">
        <v>1597.0</v>
      </c>
      <c r="E136" s="902" t="s">
        <v>39301</v>
      </c>
      <c r="F136" s="902" t="s">
        <v>39302</v>
      </c>
      <c r="G136" s="903">
        <v>37267.0</v>
      </c>
      <c r="H136" s="904">
        <v>37253.0</v>
      </c>
      <c r="I136" s="7">
        <v>1597.0</v>
      </c>
      <c r="J136" s="905" t="s">
        <v>39303</v>
      </c>
      <c r="K136" s="7" t="s">
        <v>39304</v>
      </c>
    </row>
    <row r="137">
      <c r="A137" s="202">
        <v>13251.0</v>
      </c>
      <c r="B137" s="7" t="s">
        <v>39305</v>
      </c>
      <c r="C137" s="7" t="s">
        <v>39306</v>
      </c>
      <c r="D137" s="7">
        <v>1600.0</v>
      </c>
      <c r="E137" s="902" t="s">
        <v>39307</v>
      </c>
      <c r="F137" s="902" t="s">
        <v>39308</v>
      </c>
      <c r="G137" s="903">
        <v>37267.0</v>
      </c>
      <c r="H137" s="904">
        <v>37253.0</v>
      </c>
      <c r="I137" s="7">
        <v>1599.0</v>
      </c>
      <c r="J137" s="905" t="s">
        <v>39309</v>
      </c>
      <c r="K137" s="7" t="s">
        <v>39310</v>
      </c>
    </row>
    <row r="138">
      <c r="A138" s="202">
        <v>13252.0</v>
      </c>
      <c r="B138" s="7" t="s">
        <v>39311</v>
      </c>
      <c r="C138" s="7" t="s">
        <v>39312</v>
      </c>
      <c r="D138" s="7">
        <v>1601.0</v>
      </c>
      <c r="E138" s="902" t="s">
        <v>39313</v>
      </c>
      <c r="F138" s="902" t="s">
        <v>39314</v>
      </c>
      <c r="G138" s="903">
        <v>37267.0</v>
      </c>
      <c r="H138" s="904">
        <v>37263.0</v>
      </c>
      <c r="I138" s="7">
        <v>1601.0</v>
      </c>
      <c r="J138" s="905" t="s">
        <v>39315</v>
      </c>
      <c r="K138" s="7" t="s">
        <v>39316</v>
      </c>
    </row>
    <row r="139">
      <c r="A139" s="202">
        <v>13253.0</v>
      </c>
      <c r="B139" s="7" t="s">
        <v>39317</v>
      </c>
      <c r="C139" s="907" t="s">
        <v>39318</v>
      </c>
      <c r="D139" s="7">
        <v>2792.0</v>
      </c>
      <c r="E139" s="902" t="s">
        <v>39319</v>
      </c>
      <c r="F139" s="902" t="s">
        <v>39320</v>
      </c>
      <c r="G139" s="903">
        <v>37274.0</v>
      </c>
      <c r="H139" s="904">
        <v>37272.0</v>
      </c>
      <c r="I139" s="7">
        <v>2791.0</v>
      </c>
      <c r="J139" s="905" t="s">
        <v>39321</v>
      </c>
      <c r="K139" s="7" t="s">
        <v>39322</v>
      </c>
    </row>
    <row r="140">
      <c r="A140" s="202">
        <v>13254.0</v>
      </c>
      <c r="B140" s="7" t="s">
        <v>39323</v>
      </c>
      <c r="C140" s="907">
        <v>269582.0</v>
      </c>
      <c r="D140" s="7">
        <v>4871.0</v>
      </c>
      <c r="E140" s="902" t="s">
        <v>39324</v>
      </c>
      <c r="F140" s="902" t="s">
        <v>39325</v>
      </c>
      <c r="G140" s="903">
        <v>37288.0</v>
      </c>
      <c r="H140" s="904">
        <v>37285.0</v>
      </c>
      <c r="I140" s="7">
        <v>4869.0</v>
      </c>
      <c r="J140" s="905" t="s">
        <v>39326</v>
      </c>
      <c r="K140" s="7" t="s">
        <v>39327</v>
      </c>
    </row>
    <row r="141">
      <c r="A141" s="202">
        <v>13255.0</v>
      </c>
      <c r="B141" s="7" t="s">
        <v>39328</v>
      </c>
      <c r="C141" s="907">
        <v>524887.0</v>
      </c>
      <c r="D141" s="7">
        <v>6157.0</v>
      </c>
      <c r="E141" s="902" t="s">
        <v>39329</v>
      </c>
      <c r="F141" s="902" t="s">
        <v>39330</v>
      </c>
      <c r="G141" s="903">
        <v>37295.0</v>
      </c>
      <c r="H141" s="904">
        <v>37293.0</v>
      </c>
      <c r="I141" s="7">
        <v>6157.0</v>
      </c>
      <c r="J141" s="905" t="s">
        <v>39331</v>
      </c>
      <c r="K141" s="7" t="s">
        <v>39332</v>
      </c>
    </row>
    <row r="142">
      <c r="A142" s="202">
        <v>13256.0</v>
      </c>
      <c r="B142" s="7" t="s">
        <v>39333</v>
      </c>
      <c r="C142" s="907">
        <v>703490.0</v>
      </c>
      <c r="D142" s="7">
        <v>6825.0</v>
      </c>
      <c r="E142" s="902" t="s">
        <v>39334</v>
      </c>
      <c r="F142" s="902" t="s">
        <v>39335</v>
      </c>
      <c r="G142" s="903">
        <v>37301.0</v>
      </c>
      <c r="H142" s="904">
        <v>37299.0</v>
      </c>
      <c r="I142" s="7">
        <v>6823.0</v>
      </c>
      <c r="J142" s="905" t="s">
        <v>39336</v>
      </c>
      <c r="K142" s="7" t="s">
        <v>39337</v>
      </c>
    </row>
    <row r="143">
      <c r="A143" s="202">
        <v>13257.0</v>
      </c>
      <c r="B143" s="7" t="s">
        <v>39338</v>
      </c>
      <c r="C143" s="907">
        <v>792975.0</v>
      </c>
      <c r="D143" s="7">
        <v>7260.0</v>
      </c>
      <c r="E143" s="902" t="s">
        <v>39339</v>
      </c>
      <c r="F143" s="902" t="s">
        <v>39340</v>
      </c>
      <c r="G143" s="903">
        <v>37306.0</v>
      </c>
      <c r="H143" s="904">
        <v>37300.0</v>
      </c>
      <c r="I143" s="7">
        <v>7259.0</v>
      </c>
      <c r="J143" s="905" t="s">
        <v>39341</v>
      </c>
      <c r="K143" s="7" t="s">
        <v>39342</v>
      </c>
    </row>
    <row r="144">
      <c r="A144" s="202">
        <v>13258.0</v>
      </c>
      <c r="B144" s="7" t="s">
        <v>39343</v>
      </c>
      <c r="C144" s="907">
        <v>1157487.0</v>
      </c>
      <c r="D144" s="7">
        <v>9386.0</v>
      </c>
      <c r="E144" s="902" t="s">
        <v>39344</v>
      </c>
      <c r="F144" s="902" t="s">
        <v>39345</v>
      </c>
      <c r="G144" s="903">
        <v>37315.0</v>
      </c>
      <c r="H144" s="904">
        <v>37313.0</v>
      </c>
      <c r="I144" s="7">
        <v>9385.0</v>
      </c>
      <c r="J144" s="905" t="s">
        <v>39346</v>
      </c>
      <c r="K144" s="7" t="s">
        <v>39347</v>
      </c>
    </row>
    <row r="145">
      <c r="A145" s="202">
        <v>13259.0</v>
      </c>
      <c r="B145" s="7" t="s">
        <v>39348</v>
      </c>
      <c r="C145" s="7" t="s">
        <v>39349</v>
      </c>
      <c r="D145" s="7">
        <v>13239.0</v>
      </c>
      <c r="E145" s="902" t="s">
        <v>39350</v>
      </c>
      <c r="F145" s="902" t="s">
        <v>39351</v>
      </c>
      <c r="G145" s="903">
        <v>37336.0</v>
      </c>
      <c r="H145" s="904">
        <v>37334.0</v>
      </c>
      <c r="I145" s="7">
        <v>13239.0</v>
      </c>
      <c r="J145" s="905" t="s">
        <v>39352</v>
      </c>
    </row>
    <row r="146">
      <c r="A146" s="202">
        <v>13260.0</v>
      </c>
      <c r="B146" s="7" t="s">
        <v>39353</v>
      </c>
      <c r="C146" s="7" t="s">
        <v>39354</v>
      </c>
      <c r="D146" s="7">
        <v>13242.0</v>
      </c>
      <c r="E146" s="902" t="s">
        <v>39355</v>
      </c>
      <c r="F146" s="902" t="s">
        <v>39356</v>
      </c>
      <c r="G146" s="903">
        <v>37336.0</v>
      </c>
      <c r="H146" s="904">
        <v>37334.0</v>
      </c>
      <c r="I146" s="7">
        <v>13241.0</v>
      </c>
      <c r="J146" s="905" t="s">
        <v>39357</v>
      </c>
      <c r="K146" s="7" t="s">
        <v>39358</v>
      </c>
    </row>
    <row r="147">
      <c r="A147" s="202">
        <v>13261.0</v>
      </c>
      <c r="B147" s="7" t="s">
        <v>39359</v>
      </c>
      <c r="C147" s="907">
        <v>1894546.0</v>
      </c>
      <c r="D147" s="7">
        <v>13244.0</v>
      </c>
      <c r="E147" s="902" t="s">
        <v>39360</v>
      </c>
      <c r="F147" s="902" t="s">
        <v>39361</v>
      </c>
      <c r="G147" s="903">
        <v>37336.0</v>
      </c>
      <c r="H147" s="904">
        <v>37334.0</v>
      </c>
      <c r="I147" s="7">
        <v>13243.0</v>
      </c>
      <c r="J147" s="905" t="s">
        <v>39362</v>
      </c>
      <c r="K147" s="7" t="s">
        <v>39363</v>
      </c>
    </row>
    <row r="148">
      <c r="A148" s="202">
        <v>13262.0</v>
      </c>
      <c r="B148" s="7" t="s">
        <v>39364</v>
      </c>
      <c r="C148" s="907">
        <v>2789024.0</v>
      </c>
      <c r="D148" s="7">
        <v>18792.0</v>
      </c>
      <c r="E148" s="902" t="s">
        <v>39365</v>
      </c>
      <c r="F148" s="902" t="s">
        <v>39366</v>
      </c>
      <c r="G148" s="903">
        <v>37363.0</v>
      </c>
      <c r="H148" s="904">
        <v>37357.0</v>
      </c>
      <c r="I148" s="7">
        <v>18773.0</v>
      </c>
      <c r="J148" s="905" t="s">
        <v>39367</v>
      </c>
      <c r="K148" s="7" t="s">
        <v>39368</v>
      </c>
    </row>
    <row r="149">
      <c r="A149" s="202">
        <v>13263.0</v>
      </c>
      <c r="B149" s="7" t="s">
        <v>39369</v>
      </c>
      <c r="C149" s="7" t="s">
        <v>39370</v>
      </c>
      <c r="D149" s="7">
        <v>22338.0</v>
      </c>
      <c r="E149" s="902" t="s">
        <v>39371</v>
      </c>
      <c r="F149" s="902" t="s">
        <v>39372</v>
      </c>
      <c r="G149" s="903">
        <v>37379.0</v>
      </c>
      <c r="H149" s="904">
        <v>37375.0</v>
      </c>
      <c r="I149" s="7">
        <v>22337.0</v>
      </c>
      <c r="J149" s="905" t="s">
        <v>39373</v>
      </c>
      <c r="K149" s="7" t="s">
        <v>39374</v>
      </c>
    </row>
    <row r="150">
      <c r="A150" s="202">
        <v>13264.0</v>
      </c>
      <c r="B150" s="7" t="s">
        <v>39375</v>
      </c>
      <c r="C150" s="7" t="s">
        <v>39376</v>
      </c>
      <c r="D150" s="7">
        <v>39243.0</v>
      </c>
      <c r="E150" s="902" t="s">
        <v>39377</v>
      </c>
      <c r="F150" s="902" t="s">
        <v>39378</v>
      </c>
      <c r="G150" s="903">
        <v>37414.0</v>
      </c>
      <c r="H150" s="904">
        <v>37411.0</v>
      </c>
      <c r="I150" s="7">
        <v>39243.0</v>
      </c>
      <c r="J150" s="905" t="s">
        <v>39379</v>
      </c>
      <c r="K150" s="7" t="s">
        <v>39380</v>
      </c>
    </row>
    <row r="151">
      <c r="A151" s="202">
        <v>13265.0</v>
      </c>
      <c r="B151" s="7" t="s">
        <v>39381</v>
      </c>
      <c r="C151" s="7" t="s">
        <v>39382</v>
      </c>
      <c r="D151" s="7">
        <v>39842.0</v>
      </c>
      <c r="E151" s="902" t="s">
        <v>39383</v>
      </c>
      <c r="F151" s="902" t="s">
        <v>39384</v>
      </c>
      <c r="G151" s="903">
        <v>37418.0</v>
      </c>
      <c r="H151" s="904">
        <v>37413.0</v>
      </c>
      <c r="I151" s="7">
        <v>39841.0</v>
      </c>
      <c r="J151" s="905" t="s">
        <v>39385</v>
      </c>
      <c r="K151" s="7" t="s">
        <v>39386</v>
      </c>
    </row>
    <row r="152">
      <c r="A152" s="202">
        <v>13266.0</v>
      </c>
      <c r="B152" s="7" t="s">
        <v>39387</v>
      </c>
      <c r="C152" s="7" t="s">
        <v>39388</v>
      </c>
      <c r="D152" s="7">
        <v>42468.0</v>
      </c>
      <c r="E152" s="902" t="s">
        <v>39389</v>
      </c>
      <c r="F152" s="902" t="s">
        <v>39390</v>
      </c>
      <c r="G152" s="903">
        <v>37431.0</v>
      </c>
      <c r="H152" s="904">
        <v>37427.0</v>
      </c>
      <c r="I152" s="7">
        <v>42467.0</v>
      </c>
      <c r="J152" s="905" t="s">
        <v>39391</v>
      </c>
    </row>
    <row r="153">
      <c r="A153" s="202">
        <v>13267.0</v>
      </c>
      <c r="B153" s="7" t="s">
        <v>39392</v>
      </c>
      <c r="C153" s="7" t="s">
        <v>39393</v>
      </c>
      <c r="D153" s="7">
        <v>42470.0</v>
      </c>
      <c r="E153" s="902" t="s">
        <v>39394</v>
      </c>
      <c r="F153" s="902" t="s">
        <v>39395</v>
      </c>
      <c r="G153" s="903">
        <v>37431.0</v>
      </c>
      <c r="H153" s="904">
        <v>37427.0</v>
      </c>
      <c r="I153" s="7">
        <v>42469.0</v>
      </c>
      <c r="J153" s="905" t="s">
        <v>39396</v>
      </c>
    </row>
    <row r="154">
      <c r="A154" s="202">
        <v>13268.0</v>
      </c>
      <c r="B154" s="7" t="s">
        <v>39397</v>
      </c>
      <c r="C154" s="7" t="s">
        <v>39398</v>
      </c>
      <c r="D154" s="7">
        <v>44752.0</v>
      </c>
      <c r="E154" s="902" t="s">
        <v>39399</v>
      </c>
      <c r="F154" s="902" t="s">
        <v>39400</v>
      </c>
      <c r="G154" s="903">
        <v>37440.0</v>
      </c>
      <c r="H154" s="904">
        <v>37439.0</v>
      </c>
      <c r="I154" s="7">
        <v>44751.0</v>
      </c>
      <c r="J154" s="905" t="s">
        <v>39401</v>
      </c>
      <c r="K154" s="7" t="s">
        <v>39402</v>
      </c>
    </row>
    <row r="155">
      <c r="A155" s="202">
        <v>13269.0</v>
      </c>
      <c r="B155" s="7" t="s">
        <v>39403</v>
      </c>
      <c r="C155" s="7" t="s">
        <v>39404</v>
      </c>
      <c r="D155" s="7">
        <v>45287.0</v>
      </c>
      <c r="E155" s="902" t="s">
        <v>39405</v>
      </c>
      <c r="F155" s="902" t="s">
        <v>39406</v>
      </c>
      <c r="G155" s="903">
        <v>37445.0</v>
      </c>
      <c r="H155" s="904">
        <v>37440.0</v>
      </c>
      <c r="I155" s="7">
        <v>45287.0</v>
      </c>
      <c r="J155" s="905" t="s">
        <v>39407</v>
      </c>
    </row>
    <row r="156">
      <c r="A156" s="202">
        <v>13270.0</v>
      </c>
      <c r="B156" s="7" t="s">
        <v>39408</v>
      </c>
      <c r="C156" s="7" t="s">
        <v>39409</v>
      </c>
      <c r="D156" s="7">
        <v>45291.0</v>
      </c>
      <c r="E156" s="902" t="s">
        <v>39410</v>
      </c>
      <c r="F156" s="902" t="s">
        <v>39411</v>
      </c>
      <c r="G156" s="903">
        <v>37445.0</v>
      </c>
      <c r="H156" s="904">
        <v>37440.0</v>
      </c>
      <c r="I156" s="7">
        <v>45288.0</v>
      </c>
      <c r="J156" s="905" t="s">
        <v>39412</v>
      </c>
      <c r="K156" s="7" t="s">
        <v>39413</v>
      </c>
    </row>
    <row r="157">
      <c r="A157" s="202">
        <v>13271.0</v>
      </c>
      <c r="B157" s="7" t="s">
        <v>39414</v>
      </c>
      <c r="C157" s="7" t="s">
        <v>39415</v>
      </c>
      <c r="D157" s="7">
        <v>46092.0</v>
      </c>
      <c r="E157" s="902" t="s">
        <v>39416</v>
      </c>
      <c r="F157" s="902" t="s">
        <v>39417</v>
      </c>
      <c r="G157" s="903">
        <v>37448.0</v>
      </c>
      <c r="H157" s="904">
        <v>37446.0</v>
      </c>
      <c r="I157" s="7">
        <v>46091.0</v>
      </c>
      <c r="J157" s="905" t="s">
        <v>39418</v>
      </c>
      <c r="K157" s="7" t="s">
        <v>39419</v>
      </c>
    </row>
    <row r="158">
      <c r="A158" s="202">
        <v>13272.0</v>
      </c>
      <c r="B158" s="7" t="s">
        <v>39420</v>
      </c>
      <c r="C158" s="7" t="s">
        <v>39421</v>
      </c>
      <c r="D158" s="7">
        <v>53462.0</v>
      </c>
      <c r="E158" s="902" t="s">
        <v>39422</v>
      </c>
      <c r="F158" s="902" t="s">
        <v>39423</v>
      </c>
      <c r="G158" s="903">
        <v>37484.0</v>
      </c>
      <c r="H158" s="904">
        <v>37481.0</v>
      </c>
      <c r="I158" s="7">
        <v>53461.0</v>
      </c>
      <c r="J158" s="905" t="s">
        <v>39424</v>
      </c>
      <c r="K158" s="7" t="s">
        <v>39425</v>
      </c>
    </row>
    <row r="159">
      <c r="A159" s="202">
        <v>13273.0</v>
      </c>
      <c r="B159" s="7" t="s">
        <v>39426</v>
      </c>
      <c r="C159" s="7" t="s">
        <v>39427</v>
      </c>
      <c r="D159" s="7">
        <v>56215.0</v>
      </c>
      <c r="E159" s="902" t="s">
        <v>39428</v>
      </c>
      <c r="F159" s="902" t="s">
        <v>39429</v>
      </c>
      <c r="G159" s="903">
        <v>37502.0</v>
      </c>
      <c r="H159" s="904">
        <v>37489.0</v>
      </c>
      <c r="I159" s="7">
        <v>56215.0</v>
      </c>
      <c r="J159" s="905" t="s">
        <v>39430</v>
      </c>
      <c r="K159" s="7" t="s">
        <v>39431</v>
      </c>
    </row>
    <row r="160">
      <c r="A160" s="202">
        <v>13274.0</v>
      </c>
      <c r="B160" s="7" t="s">
        <v>39432</v>
      </c>
      <c r="C160" s="7" t="s">
        <v>39433</v>
      </c>
      <c r="D160" s="7">
        <v>59450.0</v>
      </c>
      <c r="E160" s="902" t="s">
        <v>39434</v>
      </c>
      <c r="F160" s="902" t="s">
        <v>39435</v>
      </c>
      <c r="G160" s="903">
        <v>37522.0</v>
      </c>
      <c r="H160" s="904">
        <v>37517.0</v>
      </c>
      <c r="I160" s="7">
        <v>59449.0</v>
      </c>
      <c r="J160" s="905" t="s">
        <v>39436</v>
      </c>
      <c r="K160" s="7" t="s">
        <v>39327</v>
      </c>
    </row>
    <row r="161">
      <c r="A161" s="202">
        <v>13275.0</v>
      </c>
      <c r="B161" s="7" t="s">
        <v>39437</v>
      </c>
      <c r="C161" s="7" t="s">
        <v>39438</v>
      </c>
      <c r="D161" s="7">
        <v>62869.0</v>
      </c>
      <c r="E161" s="902" t="s">
        <v>39439</v>
      </c>
      <c r="F161" s="902" t="s">
        <v>39440</v>
      </c>
      <c r="G161" s="903">
        <v>37538.0</v>
      </c>
      <c r="H161" s="904">
        <v>37536.0</v>
      </c>
      <c r="I161" s="7">
        <v>62869.0</v>
      </c>
      <c r="J161" s="905" t="s">
        <v>39441</v>
      </c>
    </row>
    <row r="162">
      <c r="A162" s="202">
        <v>13276.0</v>
      </c>
      <c r="B162" s="7" t="s">
        <v>39442</v>
      </c>
      <c r="C162" s="7" t="s">
        <v>39443</v>
      </c>
      <c r="D162" s="7">
        <v>69986.0</v>
      </c>
      <c r="E162" s="902" t="s">
        <v>39444</v>
      </c>
      <c r="F162" s="902" t="s">
        <v>39445</v>
      </c>
      <c r="G162" s="906">
        <v>37579.0</v>
      </c>
      <c r="H162" s="904">
        <v>37575.0</v>
      </c>
      <c r="I162" s="7">
        <v>69985.0</v>
      </c>
      <c r="J162" s="905" t="s">
        <v>39446</v>
      </c>
      <c r="K162" s="7" t="s">
        <v>39447</v>
      </c>
    </row>
    <row r="163">
      <c r="A163" s="202">
        <v>13277.0</v>
      </c>
      <c r="B163" s="7" t="s">
        <v>39448</v>
      </c>
      <c r="C163" s="7" t="s">
        <v>39449</v>
      </c>
      <c r="D163" s="7">
        <v>70307.0</v>
      </c>
      <c r="E163" s="902" t="s">
        <v>39450</v>
      </c>
      <c r="F163" s="902" t="s">
        <v>39451</v>
      </c>
      <c r="G163" s="906">
        <v>37581.0</v>
      </c>
      <c r="H163" s="904">
        <v>37579.0</v>
      </c>
      <c r="I163" s="7">
        <v>70305.0</v>
      </c>
      <c r="J163" s="905" t="s">
        <v>39452</v>
      </c>
      <c r="K163" s="7" t="s">
        <v>39453</v>
      </c>
    </row>
    <row r="164">
      <c r="A164" s="202">
        <v>13278.0</v>
      </c>
      <c r="B164" s="7" t="s">
        <v>39454</v>
      </c>
      <c r="C164" s="7" t="s">
        <v>39455</v>
      </c>
      <c r="D164" s="7">
        <v>76672.0</v>
      </c>
      <c r="E164" s="902" t="s">
        <v>39456</v>
      </c>
      <c r="F164" s="902" t="s">
        <v>39457</v>
      </c>
      <c r="G164" s="906">
        <v>37603.0</v>
      </c>
      <c r="H164" s="904">
        <v>37601.0</v>
      </c>
      <c r="I164" s="7">
        <v>76671.0</v>
      </c>
      <c r="J164" s="905" t="s">
        <v>39458</v>
      </c>
      <c r="K164" s="7" t="s">
        <v>39075</v>
      </c>
    </row>
    <row r="165">
      <c r="A165" s="202">
        <v>13279.0</v>
      </c>
      <c r="B165" s="7" t="s">
        <v>39459</v>
      </c>
      <c r="C165" s="7" t="s">
        <v>39460</v>
      </c>
      <c r="D165" s="7">
        <v>77144.0</v>
      </c>
      <c r="E165" s="902" t="s">
        <v>39461</v>
      </c>
      <c r="F165" s="902" t="s">
        <v>39462</v>
      </c>
      <c r="G165" s="906">
        <v>37606.0</v>
      </c>
      <c r="H165" s="904">
        <v>37602.0</v>
      </c>
      <c r="I165" s="7">
        <v>77141.0</v>
      </c>
      <c r="J165" s="905" t="s">
        <v>39463</v>
      </c>
      <c r="K165" s="7" t="s">
        <v>39464</v>
      </c>
    </row>
    <row r="166">
      <c r="A166" s="202">
        <v>13280.0</v>
      </c>
      <c r="B166" s="7" t="s">
        <v>39465</v>
      </c>
      <c r="C166" s="7" t="s">
        <v>39466</v>
      </c>
      <c r="D166" s="7">
        <v>77146.0</v>
      </c>
      <c r="E166" s="902" t="s">
        <v>39467</v>
      </c>
      <c r="F166" s="902" t="s">
        <v>39468</v>
      </c>
      <c r="G166" s="906">
        <v>37606.0</v>
      </c>
      <c r="H166" s="904">
        <v>37602.0</v>
      </c>
      <c r="I166" s="7">
        <v>77145.0</v>
      </c>
      <c r="J166" s="905" t="s">
        <v>39469</v>
      </c>
      <c r="K166" s="7" t="s">
        <v>39470</v>
      </c>
    </row>
    <row r="167">
      <c r="A167" s="202">
        <v>13281.0</v>
      </c>
      <c r="B167" s="7" t="s">
        <v>39471</v>
      </c>
      <c r="C167" s="7" t="s">
        <v>39472</v>
      </c>
      <c r="D167" s="7">
        <v>78319.0</v>
      </c>
      <c r="E167" s="902" t="s">
        <v>39473</v>
      </c>
      <c r="F167" s="902" t="s">
        <v>39474</v>
      </c>
      <c r="G167" s="906">
        <v>37613.0</v>
      </c>
      <c r="H167" s="904">
        <v>37609.0</v>
      </c>
      <c r="I167" s="7">
        <v>78319.0</v>
      </c>
      <c r="J167" s="905" t="s">
        <v>39475</v>
      </c>
    </row>
    <row r="168">
      <c r="A168" s="202">
        <v>13282.0</v>
      </c>
      <c r="B168" s="7" t="s">
        <v>39476</v>
      </c>
      <c r="C168" s="7" t="s">
        <v>39477</v>
      </c>
      <c r="D168" s="7">
        <v>1142.0</v>
      </c>
      <c r="E168" s="902" t="s">
        <v>39478</v>
      </c>
      <c r="F168" s="902" t="s">
        <v>39479</v>
      </c>
      <c r="G168" s="903">
        <v>37629.0</v>
      </c>
      <c r="H168" s="904">
        <v>37621.0</v>
      </c>
      <c r="I168" s="7">
        <v>1133.0</v>
      </c>
      <c r="J168" s="905" t="s">
        <v>38718</v>
      </c>
      <c r="K168" s="7" t="s">
        <v>39480</v>
      </c>
    </row>
    <row r="169">
      <c r="A169" s="202">
        <v>13283.0</v>
      </c>
      <c r="B169" s="7" t="s">
        <v>39481</v>
      </c>
      <c r="C169" s="907" t="s">
        <v>39482</v>
      </c>
      <c r="D169" s="7">
        <v>3372.0</v>
      </c>
      <c r="E169" s="902" t="s">
        <v>39483</v>
      </c>
      <c r="F169" s="902" t="s">
        <v>39484</v>
      </c>
      <c r="G169" s="903">
        <v>37645.0</v>
      </c>
      <c r="H169" s="904">
        <v>37642.0</v>
      </c>
      <c r="I169" s="7">
        <v>3371.0</v>
      </c>
      <c r="J169" s="905" t="s">
        <v>39485</v>
      </c>
      <c r="K169" s="7" t="s">
        <v>39486</v>
      </c>
    </row>
    <row r="170">
      <c r="A170" s="202">
        <v>13284.0</v>
      </c>
      <c r="B170" s="7" t="s">
        <v>39487</v>
      </c>
      <c r="C170" s="907">
        <v>61788.0</v>
      </c>
      <c r="D170" s="7">
        <v>4078.0</v>
      </c>
      <c r="E170" s="902" t="s">
        <v>39488</v>
      </c>
      <c r="F170" s="902" t="s">
        <v>39489</v>
      </c>
      <c r="G170" s="903">
        <v>37649.0</v>
      </c>
      <c r="H170" s="904">
        <v>37644.0</v>
      </c>
      <c r="I170" s="7">
        <v>4075.0</v>
      </c>
      <c r="J170" s="905" t="s">
        <v>39490</v>
      </c>
      <c r="K170" s="7" t="s">
        <v>39491</v>
      </c>
    </row>
    <row r="171">
      <c r="A171" s="202">
        <v>13285.0</v>
      </c>
      <c r="B171" s="7" t="s">
        <v>39492</v>
      </c>
      <c r="C171" s="907">
        <v>257922.0</v>
      </c>
      <c r="D171" s="7">
        <v>5204.0</v>
      </c>
      <c r="E171" s="902" t="s">
        <v>39493</v>
      </c>
      <c r="F171" s="902" t="s">
        <v>39494</v>
      </c>
      <c r="G171" s="903">
        <v>37655.0</v>
      </c>
      <c r="H171" s="904">
        <v>37650.0</v>
      </c>
      <c r="I171" s="7">
        <v>5203.0</v>
      </c>
      <c r="J171" s="905" t="s">
        <v>39495</v>
      </c>
      <c r="K171" s="7" t="s">
        <v>39496</v>
      </c>
    </row>
    <row r="172">
      <c r="A172" s="202">
        <v>13286.0</v>
      </c>
      <c r="B172" s="7" t="s">
        <v>39497</v>
      </c>
      <c r="C172" s="907">
        <v>1257591.0</v>
      </c>
      <c r="D172" s="7">
        <v>10633.0</v>
      </c>
      <c r="E172" s="902" t="s">
        <v>39498</v>
      </c>
      <c r="F172" s="902" t="s">
        <v>39499</v>
      </c>
      <c r="G172" s="903">
        <v>37685.0</v>
      </c>
      <c r="H172" s="904">
        <v>37680.0</v>
      </c>
      <c r="I172" s="7">
        <v>10619.0</v>
      </c>
      <c r="J172" s="905" t="s">
        <v>39500</v>
      </c>
      <c r="K172" s="7" t="s">
        <v>39501</v>
      </c>
    </row>
    <row r="173">
      <c r="A173" s="202">
        <v>13287.0</v>
      </c>
      <c r="B173" s="7" t="s">
        <v>39502</v>
      </c>
      <c r="C173" s="7" t="s">
        <v>39503</v>
      </c>
      <c r="D173" s="7">
        <v>10638.0</v>
      </c>
      <c r="E173" s="902" t="s">
        <v>39504</v>
      </c>
      <c r="F173" s="902" t="s">
        <v>39505</v>
      </c>
      <c r="G173" s="903">
        <v>37685.0</v>
      </c>
      <c r="H173" s="904">
        <v>37683.0</v>
      </c>
      <c r="I173" s="7">
        <v>10635.0</v>
      </c>
      <c r="J173" s="905" t="s">
        <v>39506</v>
      </c>
    </row>
    <row r="174">
      <c r="A174" s="202">
        <v>13288.0</v>
      </c>
      <c r="B174" s="7" t="s">
        <v>39507</v>
      </c>
      <c r="C174" s="907">
        <v>1442039.0</v>
      </c>
      <c r="D174" s="7">
        <v>11461.0</v>
      </c>
      <c r="E174" s="902" t="s">
        <v>39508</v>
      </c>
      <c r="F174" s="902" t="s">
        <v>39509</v>
      </c>
      <c r="G174" s="903">
        <v>37690.0</v>
      </c>
      <c r="H174" s="904">
        <v>37686.0</v>
      </c>
      <c r="I174" s="7">
        <v>11457.0</v>
      </c>
      <c r="J174" s="905" t="s">
        <v>39510</v>
      </c>
      <c r="K174" s="7" t="s">
        <v>39511</v>
      </c>
    </row>
    <row r="175">
      <c r="A175" s="202">
        <v>13289.0</v>
      </c>
      <c r="B175" s="7" t="s">
        <v>39512</v>
      </c>
      <c r="C175" s="907">
        <v>1660089.0</v>
      </c>
      <c r="D175" s="7">
        <v>12568.0</v>
      </c>
      <c r="E175" s="902" t="s">
        <v>39513</v>
      </c>
      <c r="F175" s="902" t="s">
        <v>39514</v>
      </c>
      <c r="G175" s="903">
        <v>37694.0</v>
      </c>
      <c r="H175" s="904">
        <v>37692.0</v>
      </c>
      <c r="I175" s="7">
        <v>12567.0</v>
      </c>
      <c r="J175" s="905" t="s">
        <v>39515</v>
      </c>
      <c r="K175" s="7" t="s">
        <v>39516</v>
      </c>
    </row>
    <row r="176">
      <c r="A176" s="202">
        <v>13290.0</v>
      </c>
      <c r="B176" s="7" t="s">
        <v>39517</v>
      </c>
      <c r="C176" s="907">
        <v>1921237.0</v>
      </c>
      <c r="D176" s="7">
        <v>14308.0</v>
      </c>
      <c r="E176" s="902" t="s">
        <v>39518</v>
      </c>
      <c r="F176" s="902" t="s">
        <v>39519</v>
      </c>
      <c r="G176" s="903">
        <v>37704.0</v>
      </c>
      <c r="H176" s="904">
        <v>37700.0</v>
      </c>
      <c r="I176" s="7">
        <v>14307.0</v>
      </c>
      <c r="J176" s="905" t="s">
        <v>39520</v>
      </c>
      <c r="K176" s="7" t="s">
        <v>39521</v>
      </c>
    </row>
    <row r="177">
      <c r="A177" s="202">
        <v>13291.0</v>
      </c>
      <c r="B177" s="7" t="s">
        <v>39522</v>
      </c>
      <c r="C177" s="907">
        <v>1977119.0</v>
      </c>
      <c r="D177" s="7">
        <v>14526.0</v>
      </c>
      <c r="E177" s="902" t="s">
        <v>39523</v>
      </c>
      <c r="F177" s="902" t="s">
        <v>39524</v>
      </c>
      <c r="G177" s="903">
        <v>37705.0</v>
      </c>
      <c r="H177" s="904">
        <v>37701.0</v>
      </c>
      <c r="I177" s="7">
        <v>14525.0</v>
      </c>
      <c r="J177" s="905" t="s">
        <v>39525</v>
      </c>
      <c r="K177" s="7" t="s">
        <v>39526</v>
      </c>
    </row>
    <row r="178">
      <c r="A178" s="202">
        <v>13292.0</v>
      </c>
      <c r="B178" s="7" t="s">
        <v>39527</v>
      </c>
      <c r="C178" s="907">
        <v>2131617.0</v>
      </c>
      <c r="D178" s="7">
        <v>15334.0</v>
      </c>
      <c r="E178" s="902" t="s">
        <v>39528</v>
      </c>
      <c r="F178" s="902" t="s">
        <v>39529</v>
      </c>
      <c r="G178" s="903">
        <v>37708.0</v>
      </c>
      <c r="H178" s="904">
        <v>37705.0</v>
      </c>
      <c r="I178" s="7">
        <v>15315.0</v>
      </c>
      <c r="J178" s="905" t="s">
        <v>39530</v>
      </c>
      <c r="K178" s="7" t="s">
        <v>39531</v>
      </c>
    </row>
    <row r="179">
      <c r="A179" s="202">
        <v>13293.0</v>
      </c>
      <c r="B179" s="7" t="s">
        <v>39532</v>
      </c>
      <c r="C179" s="907">
        <v>2267487.0</v>
      </c>
      <c r="D179" s="7">
        <v>15917.0</v>
      </c>
      <c r="E179" s="902" t="s">
        <v>39533</v>
      </c>
      <c r="F179" s="902" t="s">
        <v>39534</v>
      </c>
      <c r="G179" s="903">
        <v>37712.0</v>
      </c>
      <c r="H179" s="904">
        <v>37708.0</v>
      </c>
      <c r="I179" s="7">
        <v>15917.0</v>
      </c>
      <c r="J179" s="905" t="s">
        <v>39535</v>
      </c>
      <c r="K179" s="7" t="s">
        <v>39536</v>
      </c>
    </row>
    <row r="180">
      <c r="A180" s="202">
        <v>13294.0</v>
      </c>
      <c r="B180" s="7" t="s">
        <v>39532</v>
      </c>
      <c r="C180" s="907">
        <v>2267852.0</v>
      </c>
      <c r="D180" s="7">
        <v>15919.0</v>
      </c>
      <c r="E180" s="902" t="s">
        <v>39537</v>
      </c>
      <c r="F180" s="902" t="s">
        <v>39538</v>
      </c>
      <c r="G180" s="903">
        <v>37712.0</v>
      </c>
      <c r="H180" s="904">
        <v>37708.0</v>
      </c>
      <c r="I180" s="7">
        <v>15917.0</v>
      </c>
      <c r="J180" s="905" t="s">
        <v>39539</v>
      </c>
      <c r="K180" s="7" t="s">
        <v>39540</v>
      </c>
    </row>
    <row r="181">
      <c r="A181" s="202">
        <v>13295.0</v>
      </c>
      <c r="B181" s="7" t="s">
        <v>39541</v>
      </c>
      <c r="C181" s="907">
        <v>2531923.0</v>
      </c>
      <c r="D181" s="7">
        <v>17255.0</v>
      </c>
      <c r="E181" s="902" t="s">
        <v>39542</v>
      </c>
      <c r="F181" s="902" t="s">
        <v>39543</v>
      </c>
      <c r="G181" s="903">
        <v>37720.0</v>
      </c>
      <c r="H181" s="904">
        <v>37715.0</v>
      </c>
      <c r="I181" s="7">
        <v>17255.0</v>
      </c>
      <c r="J181" s="905" t="s">
        <v>39544</v>
      </c>
      <c r="K181" s="7" t="s">
        <v>39545</v>
      </c>
    </row>
    <row r="182">
      <c r="A182" s="202">
        <v>13296.0</v>
      </c>
      <c r="B182" s="7" t="s">
        <v>39546</v>
      </c>
      <c r="C182" s="7" t="s">
        <v>39547</v>
      </c>
      <c r="D182" s="7">
        <v>19931.0</v>
      </c>
      <c r="E182" s="902" t="s">
        <v>39548</v>
      </c>
      <c r="F182" s="902" t="s">
        <v>39549</v>
      </c>
      <c r="G182" s="903">
        <v>37734.0</v>
      </c>
      <c r="H182" s="904">
        <v>37729.0</v>
      </c>
      <c r="I182" s="7">
        <v>19931.0</v>
      </c>
      <c r="J182" s="905" t="s">
        <v>39550</v>
      </c>
      <c r="K182" s="7" t="s">
        <v>39183</v>
      </c>
    </row>
    <row r="183">
      <c r="A183" s="202">
        <v>13297.0</v>
      </c>
      <c r="B183" s="7" t="s">
        <v>39551</v>
      </c>
      <c r="C183" s="7" t="s">
        <v>39552</v>
      </c>
      <c r="D183" s="7">
        <v>22566.0</v>
      </c>
      <c r="E183" s="902" t="s">
        <v>39553</v>
      </c>
      <c r="F183" s="902" t="s">
        <v>39554</v>
      </c>
      <c r="G183" s="903">
        <v>37739.0</v>
      </c>
      <c r="H183" s="904">
        <v>37734.0</v>
      </c>
      <c r="I183" s="7">
        <v>22565.0</v>
      </c>
      <c r="J183" s="905" t="s">
        <v>39555</v>
      </c>
    </row>
    <row r="184">
      <c r="A184" s="202">
        <v>13298.0</v>
      </c>
      <c r="B184" s="7" t="s">
        <v>39556</v>
      </c>
      <c r="C184" s="7" t="s">
        <v>39557</v>
      </c>
      <c r="D184" s="7">
        <v>24858.0</v>
      </c>
      <c r="E184" s="902" t="s">
        <v>39558</v>
      </c>
      <c r="F184" s="902" t="s">
        <v>39559</v>
      </c>
      <c r="G184" s="903">
        <v>37749.0</v>
      </c>
      <c r="H184" s="904">
        <v>37747.0</v>
      </c>
      <c r="I184" s="7">
        <v>24857.0</v>
      </c>
      <c r="J184" s="905" t="s">
        <v>39560</v>
      </c>
      <c r="K184" s="7" t="s">
        <v>39561</v>
      </c>
    </row>
    <row r="185">
      <c r="A185" s="202">
        <v>13299.0</v>
      </c>
      <c r="B185" s="7" t="s">
        <v>39562</v>
      </c>
      <c r="C185" s="7" t="s">
        <v>39563</v>
      </c>
      <c r="D185" s="7">
        <v>25478.0</v>
      </c>
      <c r="E185" s="902" t="s">
        <v>39564</v>
      </c>
      <c r="F185" s="902" t="s">
        <v>39565</v>
      </c>
      <c r="G185" s="903">
        <v>37753.0</v>
      </c>
      <c r="H185" s="904">
        <v>37753.0</v>
      </c>
      <c r="I185" s="7">
        <v>25477.0</v>
      </c>
      <c r="J185" s="905" t="s">
        <v>39566</v>
      </c>
      <c r="K185" s="7" t="s">
        <v>39567</v>
      </c>
    </row>
    <row r="186">
      <c r="A186" s="202">
        <v>13300.0</v>
      </c>
      <c r="B186" s="7" t="s">
        <v>39568</v>
      </c>
      <c r="C186" s="7" t="s">
        <v>39569</v>
      </c>
      <c r="D186" s="7">
        <v>25807.0</v>
      </c>
      <c r="E186" s="902" t="s">
        <v>39570</v>
      </c>
      <c r="F186" s="902" t="s">
        <v>39571</v>
      </c>
      <c r="G186" s="903">
        <v>37754.0</v>
      </c>
      <c r="H186" s="904">
        <v>37750.0</v>
      </c>
      <c r="I186" s="7">
        <v>25807.0</v>
      </c>
      <c r="J186" s="905" t="s">
        <v>39572</v>
      </c>
    </row>
    <row r="187">
      <c r="A187" s="202">
        <v>13301.0</v>
      </c>
      <c r="B187" s="7" t="s">
        <v>39573</v>
      </c>
      <c r="C187" s="7" t="s">
        <v>39574</v>
      </c>
      <c r="D187" s="7">
        <v>26981.0</v>
      </c>
      <c r="E187" s="902" t="s">
        <v>39575</v>
      </c>
      <c r="F187" s="902" t="s">
        <v>39576</v>
      </c>
      <c r="G187" s="903">
        <v>37760.0</v>
      </c>
      <c r="H187" s="904">
        <v>37755.0</v>
      </c>
      <c r="I187" s="7">
        <v>26981.0</v>
      </c>
      <c r="J187" s="905" t="s">
        <v>39577</v>
      </c>
      <c r="K187" s="7" t="s">
        <v>39578</v>
      </c>
    </row>
    <row r="188">
      <c r="A188" s="202">
        <v>13302.0</v>
      </c>
      <c r="B188" s="7" t="s">
        <v>39579</v>
      </c>
      <c r="C188" s="7" t="s">
        <v>39580</v>
      </c>
      <c r="D188" s="7">
        <v>27430.0</v>
      </c>
      <c r="E188" s="902" t="s">
        <v>39581</v>
      </c>
      <c r="F188" s="902" t="s">
        <v>39582</v>
      </c>
      <c r="G188" s="903">
        <v>37761.0</v>
      </c>
      <c r="H188" s="904">
        <v>37756.0</v>
      </c>
      <c r="I188" s="7">
        <v>27429.0</v>
      </c>
      <c r="J188" s="905" t="s">
        <v>39583</v>
      </c>
      <c r="K188" s="7" t="s">
        <v>39584</v>
      </c>
    </row>
    <row r="189">
      <c r="A189" s="202">
        <v>13303.0</v>
      </c>
      <c r="B189" s="7" t="s">
        <v>39585</v>
      </c>
      <c r="C189" s="7" t="s">
        <v>39586</v>
      </c>
      <c r="D189" s="7">
        <v>31932.0</v>
      </c>
      <c r="E189" s="902" t="s">
        <v>39587</v>
      </c>
      <c r="F189" s="902" t="s">
        <v>39588</v>
      </c>
      <c r="G189" s="903">
        <v>37769.0</v>
      </c>
      <c r="H189" s="904">
        <v>37763.0</v>
      </c>
      <c r="I189" s="7">
        <v>31931.0</v>
      </c>
      <c r="J189" s="905" t="s">
        <v>39589</v>
      </c>
      <c r="K189" s="7" t="s">
        <v>39590</v>
      </c>
    </row>
    <row r="190">
      <c r="A190" s="202">
        <v>13304.0</v>
      </c>
      <c r="B190" s="7" t="s">
        <v>39591</v>
      </c>
      <c r="C190" s="7" t="s">
        <v>39592</v>
      </c>
      <c r="D190" s="7">
        <v>32322.0</v>
      </c>
      <c r="E190" s="902" t="s">
        <v>39593</v>
      </c>
      <c r="F190" s="902" t="s">
        <v>39594</v>
      </c>
      <c r="G190" s="903">
        <v>37770.0</v>
      </c>
      <c r="H190" s="904">
        <v>37769.0</v>
      </c>
      <c r="I190" s="7">
        <v>32315.0</v>
      </c>
      <c r="J190" s="905" t="s">
        <v>39595</v>
      </c>
      <c r="K190" s="7" t="s">
        <v>39596</v>
      </c>
    </row>
    <row r="191">
      <c r="A191" s="202">
        <v>13305.0</v>
      </c>
      <c r="B191" s="7" t="s">
        <v>39597</v>
      </c>
      <c r="C191" s="7" t="s">
        <v>39598</v>
      </c>
      <c r="D191" s="7">
        <v>32323.0</v>
      </c>
      <c r="E191" s="902" t="s">
        <v>39599</v>
      </c>
      <c r="F191" s="902" t="s">
        <v>39600</v>
      </c>
      <c r="G191" s="903">
        <v>37771.0</v>
      </c>
      <c r="H191" s="904">
        <v>37769.0</v>
      </c>
      <c r="I191" s="7">
        <v>32323.0</v>
      </c>
      <c r="J191" s="905" t="s">
        <v>39601</v>
      </c>
      <c r="K191" s="7" t="s">
        <v>39602</v>
      </c>
    </row>
    <row r="192">
      <c r="A192" s="202">
        <v>13306.0</v>
      </c>
      <c r="B192" s="7" t="s">
        <v>39603</v>
      </c>
      <c r="C192" s="7" t="s">
        <v>39604</v>
      </c>
      <c r="D192" s="7">
        <v>33337.0</v>
      </c>
      <c r="E192" s="902" t="s">
        <v>39605</v>
      </c>
      <c r="F192" s="902" t="s">
        <v>39606</v>
      </c>
      <c r="G192" s="903">
        <v>37775.0</v>
      </c>
      <c r="H192" s="904">
        <v>37769.0</v>
      </c>
      <c r="I192" s="7">
        <v>33337.0</v>
      </c>
      <c r="J192" s="905" t="s">
        <v>39607</v>
      </c>
    </row>
    <row r="193">
      <c r="A193" s="202">
        <v>13307.0</v>
      </c>
      <c r="B193" s="7" t="s">
        <v>39608</v>
      </c>
      <c r="C193" s="7" t="s">
        <v>39609</v>
      </c>
      <c r="D193" s="7">
        <v>33338.0</v>
      </c>
      <c r="E193" s="902" t="s">
        <v>39610</v>
      </c>
      <c r="F193" s="902" t="s">
        <v>39611</v>
      </c>
      <c r="G193" s="903">
        <v>37775.0</v>
      </c>
      <c r="H193" s="904">
        <v>37770.0</v>
      </c>
      <c r="I193" s="7">
        <v>33338.0</v>
      </c>
      <c r="J193" s="905" t="s">
        <v>39612</v>
      </c>
    </row>
    <row r="194">
      <c r="A194" s="202">
        <v>13308.0</v>
      </c>
      <c r="B194" s="7" t="s">
        <v>39613</v>
      </c>
      <c r="C194" s="7" t="s">
        <v>39614</v>
      </c>
      <c r="D194" s="7">
        <v>37692.0</v>
      </c>
      <c r="E194" s="902" t="s">
        <v>39615</v>
      </c>
      <c r="F194" s="902" t="s">
        <v>39616</v>
      </c>
      <c r="G194" s="903">
        <v>37796.0</v>
      </c>
      <c r="H194" s="904">
        <v>37792.0</v>
      </c>
      <c r="I194" s="7">
        <v>37691.0</v>
      </c>
      <c r="J194" s="905" t="s">
        <v>39617</v>
      </c>
      <c r="K194" s="7" t="s">
        <v>39618</v>
      </c>
    </row>
    <row r="195">
      <c r="A195" s="202">
        <v>13309.0</v>
      </c>
      <c r="B195" s="7" t="s">
        <v>39619</v>
      </c>
      <c r="C195" s="7" t="s">
        <v>39620</v>
      </c>
      <c r="D195" s="7">
        <v>44851.0</v>
      </c>
      <c r="E195" s="902" t="s">
        <v>39621</v>
      </c>
      <c r="F195" s="902" t="s">
        <v>39622</v>
      </c>
      <c r="G195" s="903">
        <v>37832.0</v>
      </c>
      <c r="H195" s="904">
        <v>37827.0</v>
      </c>
      <c r="I195" s="7">
        <v>44851.0</v>
      </c>
      <c r="J195" s="905" t="s">
        <v>39623</v>
      </c>
      <c r="K195" s="7" t="s">
        <v>39624</v>
      </c>
    </row>
    <row r="196">
      <c r="A196" s="202">
        <v>13310.0</v>
      </c>
      <c r="B196" s="7" t="s">
        <v>39625</v>
      </c>
      <c r="C196" s="7" t="s">
        <v>39626</v>
      </c>
      <c r="D196" s="7">
        <v>44856.0</v>
      </c>
      <c r="E196" s="902" t="s">
        <v>39627</v>
      </c>
      <c r="F196" s="902" t="s">
        <v>39628</v>
      </c>
      <c r="G196" s="903">
        <v>37832.0</v>
      </c>
      <c r="H196" s="904">
        <v>37830.0</v>
      </c>
      <c r="I196" s="7">
        <v>44853.0</v>
      </c>
      <c r="J196" s="905" t="s">
        <v>39629</v>
      </c>
      <c r="K196" s="7" t="s">
        <v>39630</v>
      </c>
    </row>
    <row r="197">
      <c r="A197" s="202">
        <v>13311.0</v>
      </c>
      <c r="B197" s="7" t="s">
        <v>39631</v>
      </c>
      <c r="C197" s="7" t="s">
        <v>39632</v>
      </c>
      <c r="D197" s="7">
        <v>45150.0</v>
      </c>
      <c r="E197" s="902" t="s">
        <v>39633</v>
      </c>
      <c r="F197" s="902" t="s">
        <v>39634</v>
      </c>
      <c r="G197" s="903">
        <v>37833.0</v>
      </c>
      <c r="H197" s="904">
        <v>37831.0</v>
      </c>
      <c r="I197" s="7">
        <v>45149.0</v>
      </c>
      <c r="J197" s="905" t="s">
        <v>39635</v>
      </c>
      <c r="K197" s="7" t="s">
        <v>39636</v>
      </c>
    </row>
    <row r="198">
      <c r="A198" s="202">
        <v>13312.0</v>
      </c>
      <c r="B198" s="7" t="s">
        <v>39637</v>
      </c>
      <c r="C198" s="7" t="s">
        <v>39638</v>
      </c>
      <c r="D198" s="7">
        <v>45152.0</v>
      </c>
      <c r="E198" s="902" t="s">
        <v>39639</v>
      </c>
      <c r="F198" s="902" t="s">
        <v>39640</v>
      </c>
      <c r="G198" s="903">
        <v>37833.0</v>
      </c>
      <c r="H198" s="904">
        <v>37831.0</v>
      </c>
      <c r="I198" s="7">
        <v>45151.0</v>
      </c>
      <c r="J198" s="905" t="s">
        <v>39641</v>
      </c>
      <c r="K198" s="7" t="s">
        <v>39642</v>
      </c>
    </row>
    <row r="199">
      <c r="A199" s="202">
        <v>13313.0</v>
      </c>
      <c r="B199" s="7" t="s">
        <v>39643</v>
      </c>
      <c r="C199" s="7" t="s">
        <v>39644</v>
      </c>
      <c r="D199" s="7">
        <v>46076.0</v>
      </c>
      <c r="E199" s="902" t="s">
        <v>39645</v>
      </c>
      <c r="F199" s="902" t="s">
        <v>39646</v>
      </c>
      <c r="G199" s="903">
        <v>37838.0</v>
      </c>
      <c r="H199" s="904">
        <v>37833.0</v>
      </c>
      <c r="I199" s="7">
        <v>46073.0</v>
      </c>
      <c r="J199" s="905" t="s">
        <v>39647</v>
      </c>
    </row>
    <row r="200">
      <c r="A200" s="202">
        <v>13314.0</v>
      </c>
      <c r="B200" s="7" t="s">
        <v>39648</v>
      </c>
      <c r="C200" s="7" t="s">
        <v>39649</v>
      </c>
      <c r="D200" s="7">
        <v>48249.0</v>
      </c>
      <c r="E200" s="902" t="s">
        <v>39650</v>
      </c>
      <c r="F200" s="902" t="s">
        <v>39651</v>
      </c>
      <c r="G200" s="903">
        <v>37846.0</v>
      </c>
      <c r="H200" s="904">
        <v>37841.0</v>
      </c>
      <c r="I200" s="7">
        <v>48249.0</v>
      </c>
      <c r="J200" s="905" t="s">
        <v>39652</v>
      </c>
    </row>
    <row r="201">
      <c r="A201" s="202">
        <v>13315.0</v>
      </c>
      <c r="B201" s="7" t="s">
        <v>39653</v>
      </c>
      <c r="C201" s="7" t="s">
        <v>39654</v>
      </c>
      <c r="D201" s="7">
        <v>52322.0</v>
      </c>
      <c r="E201" s="902" t="s">
        <v>39655</v>
      </c>
      <c r="F201" s="902" t="s">
        <v>39656</v>
      </c>
      <c r="G201" s="903">
        <v>37867.0</v>
      </c>
      <c r="H201" s="904">
        <v>37861.0</v>
      </c>
      <c r="I201" s="7">
        <v>52315.0</v>
      </c>
      <c r="J201" s="905" t="s">
        <v>39657</v>
      </c>
      <c r="K201" s="7" t="s">
        <v>39658</v>
      </c>
    </row>
    <row r="202">
      <c r="A202" s="202">
        <v>13316.0</v>
      </c>
      <c r="B202" s="7" t="s">
        <v>39659</v>
      </c>
      <c r="C202" s="7" t="s">
        <v>39660</v>
      </c>
      <c r="D202" s="7">
        <v>55256.0</v>
      </c>
      <c r="E202" s="902" t="s">
        <v>39661</v>
      </c>
      <c r="F202" s="902" t="s">
        <v>39662</v>
      </c>
      <c r="G202" s="903">
        <v>37887.0</v>
      </c>
      <c r="H202" s="904">
        <v>37881.0</v>
      </c>
      <c r="I202" s="7">
        <v>55255.0</v>
      </c>
      <c r="J202" s="905" t="s">
        <v>38683</v>
      </c>
      <c r="K202" s="7" t="s">
        <v>39663</v>
      </c>
    </row>
    <row r="203">
      <c r="A203" s="202">
        <v>13317.0</v>
      </c>
      <c r="B203" s="7" t="s">
        <v>39664</v>
      </c>
      <c r="C203" s="7" t="s">
        <v>39665</v>
      </c>
      <c r="D203" s="7">
        <v>56516.0</v>
      </c>
      <c r="E203" s="902" t="s">
        <v>39666</v>
      </c>
      <c r="F203" s="902" t="s">
        <v>39667</v>
      </c>
      <c r="G203" s="903">
        <v>37894.0</v>
      </c>
      <c r="H203" s="904">
        <v>37889.0</v>
      </c>
      <c r="I203" s="7">
        <v>56515.0</v>
      </c>
      <c r="J203" s="905" t="s">
        <v>39668</v>
      </c>
      <c r="K203" s="7" t="s">
        <v>39669</v>
      </c>
    </row>
    <row r="204">
      <c r="A204" s="202">
        <v>13318.0</v>
      </c>
      <c r="B204" s="7" t="s">
        <v>39670</v>
      </c>
      <c r="C204" s="7" t="s">
        <v>39671</v>
      </c>
      <c r="D204" s="7">
        <v>66318.0</v>
      </c>
      <c r="E204" s="902" t="s">
        <v>39672</v>
      </c>
      <c r="F204" s="902" t="s">
        <v>39673</v>
      </c>
      <c r="G204" s="906">
        <v>37950.0</v>
      </c>
      <c r="H204" s="904">
        <v>37946.0</v>
      </c>
      <c r="I204" s="7">
        <v>66317.0</v>
      </c>
      <c r="J204" s="905" t="s">
        <v>39674</v>
      </c>
      <c r="K204" s="7" t="s">
        <v>39675</v>
      </c>
    </row>
    <row r="205">
      <c r="A205" s="202">
        <v>13319.0</v>
      </c>
      <c r="B205" s="7" t="s">
        <v>39676</v>
      </c>
      <c r="C205" s="7" t="s">
        <v>39677</v>
      </c>
      <c r="D205" s="7">
        <v>68233.0</v>
      </c>
      <c r="E205" s="902" t="s">
        <v>39678</v>
      </c>
      <c r="F205" s="902" t="s">
        <v>39679</v>
      </c>
      <c r="G205" s="903">
        <v>37963.0</v>
      </c>
      <c r="H205" s="904">
        <v>37958.0</v>
      </c>
      <c r="I205" s="7">
        <v>68233.0</v>
      </c>
      <c r="J205" s="905" t="s">
        <v>39680</v>
      </c>
      <c r="K205" s="7" t="s">
        <v>39069</v>
      </c>
    </row>
    <row r="206">
      <c r="A206" s="202">
        <v>13320.0</v>
      </c>
      <c r="B206" s="7" t="s">
        <v>39681</v>
      </c>
      <c r="C206" s="7" t="s">
        <v>39682</v>
      </c>
      <c r="D206" s="7">
        <v>69295.0</v>
      </c>
      <c r="E206" s="902" t="s">
        <v>39683</v>
      </c>
      <c r="F206" s="902" t="s">
        <v>39684</v>
      </c>
      <c r="G206" s="906">
        <v>37967.0</v>
      </c>
      <c r="H206" s="904">
        <v>37964.0</v>
      </c>
      <c r="I206" s="7">
        <v>69295.0</v>
      </c>
      <c r="J206" s="905" t="s">
        <v>39685</v>
      </c>
      <c r="K206" s="7" t="s">
        <v>39235</v>
      </c>
    </row>
    <row r="207">
      <c r="A207" s="202">
        <v>13321.0</v>
      </c>
      <c r="B207" s="7" t="s">
        <v>39686</v>
      </c>
      <c r="C207" s="7" t="s">
        <v>39687</v>
      </c>
      <c r="D207" s="7">
        <v>74465.0</v>
      </c>
      <c r="E207" s="902" t="s">
        <v>39688</v>
      </c>
      <c r="F207" s="902" t="s">
        <v>39689</v>
      </c>
      <c r="G207" s="906">
        <v>37978.0</v>
      </c>
      <c r="H207" s="904">
        <v>37972.0</v>
      </c>
      <c r="I207" s="7">
        <v>74465.0</v>
      </c>
      <c r="J207" s="905" t="s">
        <v>39690</v>
      </c>
      <c r="K207" s="7" t="s">
        <v>39691</v>
      </c>
    </row>
    <row r="208">
      <c r="A208" s="202">
        <v>13322.0</v>
      </c>
      <c r="B208" s="7" t="s">
        <v>39692</v>
      </c>
      <c r="C208" s="7" t="s">
        <v>39693</v>
      </c>
      <c r="D208" s="7">
        <v>240.0</v>
      </c>
      <c r="E208" s="902" t="s">
        <v>39694</v>
      </c>
      <c r="F208" s="902" t="s">
        <v>39695</v>
      </c>
      <c r="G208" s="903">
        <v>37988.0</v>
      </c>
      <c r="H208" s="904">
        <v>37985.0</v>
      </c>
      <c r="I208" s="7">
        <v>231.0</v>
      </c>
      <c r="J208" s="905" t="s">
        <v>38718</v>
      </c>
      <c r="K208" s="7" t="s">
        <v>39696</v>
      </c>
    </row>
    <row r="209">
      <c r="A209" s="202">
        <v>13323.0</v>
      </c>
      <c r="B209" s="7" t="s">
        <v>39697</v>
      </c>
      <c r="C209" s="7" t="s">
        <v>39698</v>
      </c>
      <c r="D209" s="7">
        <v>241.0</v>
      </c>
      <c r="E209" s="902" t="s">
        <v>39699</v>
      </c>
      <c r="F209" s="902" t="s">
        <v>39700</v>
      </c>
      <c r="G209" s="903">
        <v>37988.0</v>
      </c>
      <c r="H209" s="904">
        <v>37985.0</v>
      </c>
      <c r="I209" s="7">
        <v>241.0</v>
      </c>
      <c r="J209" s="905" t="s">
        <v>39701</v>
      </c>
    </row>
    <row r="210">
      <c r="A210" s="202">
        <v>13324.0</v>
      </c>
      <c r="B210" s="7" t="s">
        <v>39702</v>
      </c>
      <c r="C210" s="907" t="s">
        <v>39703</v>
      </c>
      <c r="D210" s="7">
        <v>2824.0</v>
      </c>
      <c r="E210" s="902" t="s">
        <v>39704</v>
      </c>
      <c r="F210" s="902" t="s">
        <v>39705</v>
      </c>
      <c r="G210" s="903">
        <v>38006.0</v>
      </c>
      <c r="H210" s="904">
        <v>38001.0</v>
      </c>
      <c r="I210" s="7">
        <v>2823.0</v>
      </c>
      <c r="J210" s="905" t="s">
        <v>39706</v>
      </c>
      <c r="K210" s="7" t="s">
        <v>39707</v>
      </c>
    </row>
    <row r="211">
      <c r="A211" s="202">
        <v>13325.0</v>
      </c>
      <c r="B211" s="7" t="s">
        <v>39708</v>
      </c>
      <c r="C211" s="907">
        <v>15067.0</v>
      </c>
      <c r="D211" s="7">
        <v>4218.0</v>
      </c>
      <c r="E211" s="902" t="s">
        <v>39709</v>
      </c>
      <c r="F211" s="902" t="s">
        <v>39710</v>
      </c>
      <c r="G211" s="903">
        <v>38014.0</v>
      </c>
      <c r="H211" s="904">
        <v>38009.0</v>
      </c>
      <c r="I211" s="7">
        <v>4217.0</v>
      </c>
      <c r="J211" s="905" t="s">
        <v>39711</v>
      </c>
      <c r="K211" s="7" t="s">
        <v>39712</v>
      </c>
    </row>
    <row r="212">
      <c r="A212" s="202">
        <v>13326.0</v>
      </c>
      <c r="B212" s="7" t="s">
        <v>39713</v>
      </c>
      <c r="C212" s="907">
        <v>185636.0</v>
      </c>
      <c r="D212" s="7">
        <v>5256.0</v>
      </c>
      <c r="E212" s="902" t="s">
        <v>39714</v>
      </c>
      <c r="F212" s="902" t="s">
        <v>39715</v>
      </c>
      <c r="G212" s="903">
        <v>38020.0</v>
      </c>
      <c r="H212" s="904">
        <v>38013.0</v>
      </c>
      <c r="I212" s="7">
        <v>5255.0</v>
      </c>
      <c r="J212" s="905" t="s">
        <v>39716</v>
      </c>
      <c r="K212" s="7" t="s">
        <v>39717</v>
      </c>
    </row>
    <row r="213">
      <c r="A213" s="202">
        <v>13327.0</v>
      </c>
      <c r="B213" s="7" t="s">
        <v>39718</v>
      </c>
      <c r="C213" s="907">
        <v>318949.0</v>
      </c>
      <c r="D213" s="7">
        <v>5900.0</v>
      </c>
      <c r="E213" s="902" t="s">
        <v>39719</v>
      </c>
      <c r="F213" s="902" t="s">
        <v>39720</v>
      </c>
      <c r="G213" s="903">
        <v>38023.0</v>
      </c>
      <c r="H213" s="904">
        <v>38021.0</v>
      </c>
      <c r="I213" s="7">
        <v>5897.0</v>
      </c>
      <c r="J213" s="905" t="s">
        <v>39721</v>
      </c>
      <c r="K213" s="7" t="s">
        <v>39722</v>
      </c>
    </row>
    <row r="214">
      <c r="A214" s="202">
        <v>13328.0</v>
      </c>
      <c r="B214" s="7" t="s">
        <v>39723</v>
      </c>
      <c r="C214" s="907">
        <v>463950.0</v>
      </c>
      <c r="D214" s="7">
        <v>6903.0</v>
      </c>
      <c r="E214" s="902" t="s">
        <v>39724</v>
      </c>
      <c r="F214" s="902" t="s">
        <v>39725</v>
      </c>
      <c r="G214" s="903">
        <v>38028.0</v>
      </c>
      <c r="H214" s="904">
        <v>38023.0</v>
      </c>
      <c r="I214" s="7">
        <v>6901.0</v>
      </c>
      <c r="J214" s="905" t="s">
        <v>39726</v>
      </c>
      <c r="K214" s="7" t="s">
        <v>39717</v>
      </c>
    </row>
    <row r="215">
      <c r="A215" s="202">
        <v>13329.0</v>
      </c>
      <c r="B215" s="7" t="s">
        <v>39727</v>
      </c>
      <c r="C215" s="907">
        <v>926348.0</v>
      </c>
      <c r="D215" s="7">
        <v>9182.0</v>
      </c>
      <c r="E215" s="902" t="s">
        <v>39728</v>
      </c>
      <c r="F215" s="902" t="s">
        <v>39729</v>
      </c>
      <c r="G215" s="903">
        <v>38043.0</v>
      </c>
      <c r="H215" s="904">
        <v>38041.0</v>
      </c>
      <c r="I215" s="7">
        <v>9181.0</v>
      </c>
      <c r="J215" s="905" t="s">
        <v>39730</v>
      </c>
      <c r="K215" s="7" t="s">
        <v>39731</v>
      </c>
    </row>
    <row r="216">
      <c r="A216" s="202">
        <v>13330.0</v>
      </c>
      <c r="B216" s="7" t="s">
        <v>39732</v>
      </c>
      <c r="C216" s="907">
        <v>931826.0</v>
      </c>
      <c r="D216" s="7">
        <v>9187.0</v>
      </c>
      <c r="E216" s="902" t="s">
        <v>39733</v>
      </c>
      <c r="F216" s="902" t="s">
        <v>39734</v>
      </c>
      <c r="G216" s="903">
        <v>38043.0</v>
      </c>
      <c r="H216" s="904">
        <v>38041.0</v>
      </c>
      <c r="I216" s="7">
        <v>9185.0</v>
      </c>
      <c r="J216" s="905" t="s">
        <v>39735</v>
      </c>
      <c r="K216" s="7" t="s">
        <v>39736</v>
      </c>
    </row>
    <row r="217">
      <c r="A217" s="202">
        <v>13331.0</v>
      </c>
      <c r="B217" s="7" t="s">
        <v>39737</v>
      </c>
      <c r="C217" s="907">
        <v>1089977.0</v>
      </c>
      <c r="D217" s="7">
        <v>9913.0</v>
      </c>
      <c r="E217" s="902" t="s">
        <v>39738</v>
      </c>
      <c r="F217" s="902" t="s">
        <v>39739</v>
      </c>
      <c r="G217" s="903">
        <v>38049.0</v>
      </c>
      <c r="H217" s="904">
        <v>38044.0</v>
      </c>
      <c r="I217" s="7">
        <v>9911.0</v>
      </c>
      <c r="J217" s="905" t="s">
        <v>39740</v>
      </c>
    </row>
    <row r="218">
      <c r="A218" s="202">
        <v>13332.0</v>
      </c>
      <c r="B218" s="7" t="s">
        <v>39741</v>
      </c>
      <c r="C218" s="907">
        <v>1249952.0</v>
      </c>
      <c r="D218" s="7">
        <v>10900.0</v>
      </c>
      <c r="E218" s="902" t="s">
        <v>39742</v>
      </c>
      <c r="F218" s="902" t="s">
        <v>39743</v>
      </c>
      <c r="G218" s="903">
        <v>38054.0</v>
      </c>
      <c r="H218" s="904">
        <v>38049.0</v>
      </c>
      <c r="I218" s="7">
        <v>10891.0</v>
      </c>
      <c r="J218" s="905" t="s">
        <v>39525</v>
      </c>
      <c r="K218" s="7" t="s">
        <v>39744</v>
      </c>
    </row>
    <row r="219">
      <c r="A219" s="202">
        <v>13333.0</v>
      </c>
      <c r="B219" s="7" t="s">
        <v>39745</v>
      </c>
      <c r="C219" s="907">
        <v>1724767.0</v>
      </c>
      <c r="D219" s="7">
        <v>13456.0</v>
      </c>
      <c r="E219" s="902" t="s">
        <v>39746</v>
      </c>
      <c r="F219" s="902" t="s">
        <v>39747</v>
      </c>
      <c r="G219" s="903">
        <v>38069.0</v>
      </c>
      <c r="H219" s="904">
        <v>38064.0</v>
      </c>
      <c r="I219" s="7">
        <v>13455.0</v>
      </c>
      <c r="J219" s="905" t="s">
        <v>39748</v>
      </c>
      <c r="K219" s="7" t="s">
        <v>39749</v>
      </c>
    </row>
    <row r="220">
      <c r="A220" s="202">
        <v>13334.0</v>
      </c>
      <c r="B220" s="7" t="s">
        <v>39750</v>
      </c>
      <c r="C220" s="907">
        <v>2453061.0</v>
      </c>
      <c r="D220" s="7">
        <v>19918.0</v>
      </c>
      <c r="E220" s="902" t="s">
        <v>39751</v>
      </c>
      <c r="F220" s="902" t="s">
        <v>39752</v>
      </c>
      <c r="G220" s="903">
        <v>38091.0</v>
      </c>
      <c r="H220" s="904">
        <v>38087.0</v>
      </c>
      <c r="I220" s="7">
        <v>19917.0</v>
      </c>
      <c r="J220" s="905" t="s">
        <v>39753</v>
      </c>
      <c r="K220" s="7" t="s">
        <v>39754</v>
      </c>
    </row>
    <row r="221">
      <c r="A221" s="202">
        <v>13335.0</v>
      </c>
      <c r="B221" s="7" t="s">
        <v>39755</v>
      </c>
      <c r="C221" s="7" t="s">
        <v>39756</v>
      </c>
      <c r="D221" s="7">
        <v>24061.0</v>
      </c>
      <c r="E221" s="902" t="s">
        <v>39757</v>
      </c>
      <c r="F221" s="902" t="s">
        <v>39758</v>
      </c>
      <c r="G221" s="903">
        <v>38107.0</v>
      </c>
      <c r="H221" s="904">
        <v>38104.0</v>
      </c>
      <c r="I221" s="7">
        <v>24059.0</v>
      </c>
      <c r="J221" s="905" t="s">
        <v>39759</v>
      </c>
    </row>
    <row r="222">
      <c r="A222" s="202">
        <v>13336.0</v>
      </c>
      <c r="B222" s="7" t="s">
        <v>39760</v>
      </c>
      <c r="C222" s="7" t="s">
        <v>39761</v>
      </c>
      <c r="D222" s="7">
        <v>25297.0</v>
      </c>
      <c r="E222" s="902" t="s">
        <v>39762</v>
      </c>
      <c r="F222" s="902" t="s">
        <v>39763</v>
      </c>
      <c r="G222" s="903">
        <v>38112.0</v>
      </c>
      <c r="H222" s="904">
        <v>38107.0</v>
      </c>
      <c r="I222" s="7">
        <v>25295.0</v>
      </c>
      <c r="J222" s="905" t="s">
        <v>39764</v>
      </c>
      <c r="K222" s="7" t="s">
        <v>39765</v>
      </c>
    </row>
    <row r="223">
      <c r="A223" s="202">
        <v>13337.0</v>
      </c>
      <c r="B223" s="7" t="s">
        <v>39766</v>
      </c>
      <c r="C223" s="7" t="s">
        <v>39767</v>
      </c>
      <c r="D223" s="7">
        <v>25301.0</v>
      </c>
      <c r="E223" s="902" t="s">
        <v>39768</v>
      </c>
      <c r="F223" s="902" t="s">
        <v>39769</v>
      </c>
      <c r="G223" s="903">
        <v>38112.0</v>
      </c>
      <c r="H223" s="904">
        <v>38107.0</v>
      </c>
      <c r="I223" s="7">
        <v>25299.0</v>
      </c>
      <c r="J223" s="905" t="s">
        <v>39770</v>
      </c>
      <c r="K223" s="7" t="s">
        <v>39771</v>
      </c>
    </row>
    <row r="224">
      <c r="A224" s="202">
        <v>13338.0</v>
      </c>
      <c r="B224" s="7" t="s">
        <v>39772</v>
      </c>
      <c r="C224" s="7" t="s">
        <v>39773</v>
      </c>
      <c r="D224" s="7">
        <v>26754.0</v>
      </c>
      <c r="E224" s="902" t="s">
        <v>39774</v>
      </c>
      <c r="F224" s="902" t="s">
        <v>39775</v>
      </c>
      <c r="G224" s="903">
        <v>38120.0</v>
      </c>
      <c r="H224" s="904">
        <v>38118.0</v>
      </c>
      <c r="I224" s="7">
        <v>26751.0</v>
      </c>
      <c r="J224" s="905" t="s">
        <v>39776</v>
      </c>
      <c r="K224" s="7" t="s">
        <v>39777</v>
      </c>
    </row>
    <row r="225">
      <c r="A225" s="202">
        <v>13339.0</v>
      </c>
      <c r="B225" s="7" t="s">
        <v>39778</v>
      </c>
      <c r="C225" s="7" t="s">
        <v>39779</v>
      </c>
      <c r="D225" s="7">
        <v>28039.0</v>
      </c>
      <c r="E225" s="902" t="s">
        <v>39780</v>
      </c>
      <c r="F225" s="902" t="s">
        <v>39781</v>
      </c>
      <c r="G225" s="903">
        <v>38124.0</v>
      </c>
      <c r="H225" s="904">
        <v>38120.0</v>
      </c>
      <c r="I225" s="7">
        <v>28037.0</v>
      </c>
      <c r="J225" s="905" t="s">
        <v>39782</v>
      </c>
      <c r="K225" s="7" t="s">
        <v>39783</v>
      </c>
    </row>
    <row r="226">
      <c r="A226" s="202">
        <v>13340.0</v>
      </c>
      <c r="B226" s="7" t="s">
        <v>39784</v>
      </c>
      <c r="C226" s="7" t="s">
        <v>39785</v>
      </c>
      <c r="D226" s="7">
        <v>29045.0</v>
      </c>
      <c r="E226" s="902" t="s">
        <v>39786</v>
      </c>
      <c r="F226" s="902" t="s">
        <v>39787</v>
      </c>
      <c r="G226" s="903">
        <v>38127.0</v>
      </c>
      <c r="H226" s="904">
        <v>38125.0</v>
      </c>
      <c r="I226" s="7">
        <v>29043.0</v>
      </c>
      <c r="J226" s="905" t="s">
        <v>39788</v>
      </c>
    </row>
    <row r="227">
      <c r="A227" s="202">
        <v>13341.0</v>
      </c>
      <c r="B227" s="7" t="s">
        <v>39789</v>
      </c>
      <c r="C227" s="7" t="s">
        <v>39790</v>
      </c>
      <c r="D227" s="7">
        <v>29844.0</v>
      </c>
      <c r="E227" s="902" t="s">
        <v>39791</v>
      </c>
      <c r="F227" s="902" t="s">
        <v>39792</v>
      </c>
      <c r="G227" s="903">
        <v>38132.0</v>
      </c>
      <c r="H227" s="904">
        <v>38127.0</v>
      </c>
      <c r="I227" s="7">
        <v>29843.0</v>
      </c>
      <c r="J227" s="905" t="s">
        <v>39793</v>
      </c>
    </row>
    <row r="228">
      <c r="A228" s="202">
        <v>13342.0</v>
      </c>
      <c r="B228" s="7" t="s">
        <v>39794</v>
      </c>
      <c r="C228" s="7" t="s">
        <v>39795</v>
      </c>
      <c r="D228" s="7">
        <v>31510.0</v>
      </c>
      <c r="E228" s="902" t="s">
        <v>39796</v>
      </c>
      <c r="F228" s="902" t="s">
        <v>39797</v>
      </c>
      <c r="G228" s="903">
        <v>38141.0</v>
      </c>
      <c r="H228" s="904">
        <v>38139.0</v>
      </c>
      <c r="I228" s="7">
        <v>31509.0</v>
      </c>
      <c r="J228" s="905" t="s">
        <v>39798</v>
      </c>
      <c r="K228" s="7" t="s">
        <v>39470</v>
      </c>
    </row>
    <row r="229">
      <c r="A229" s="202">
        <v>13343.0</v>
      </c>
      <c r="B229" s="7" t="s">
        <v>39799</v>
      </c>
      <c r="C229" s="7" t="s">
        <v>39800</v>
      </c>
      <c r="D229" s="7">
        <v>32245.0</v>
      </c>
      <c r="E229" s="902" t="s">
        <v>39801</v>
      </c>
      <c r="F229" s="902" t="s">
        <v>39802</v>
      </c>
      <c r="G229" s="903">
        <v>38146.0</v>
      </c>
      <c r="H229" s="904">
        <v>38144.0</v>
      </c>
      <c r="I229" s="7">
        <v>32245.0</v>
      </c>
      <c r="J229" s="905" t="s">
        <v>39803</v>
      </c>
      <c r="K229" s="7" t="s">
        <v>39804</v>
      </c>
    </row>
    <row r="230">
      <c r="A230" s="202">
        <v>13344.0</v>
      </c>
      <c r="B230" s="7" t="s">
        <v>39805</v>
      </c>
      <c r="C230" s="7" t="s">
        <v>39806</v>
      </c>
      <c r="D230" s="7">
        <v>41747.0</v>
      </c>
      <c r="E230" s="902" t="s">
        <v>39807</v>
      </c>
      <c r="F230" s="902" t="s">
        <v>39808</v>
      </c>
      <c r="G230" s="903">
        <v>38177.0</v>
      </c>
      <c r="H230" s="904">
        <v>38175.0</v>
      </c>
      <c r="I230" s="7">
        <v>41747.0</v>
      </c>
      <c r="J230" s="905" t="s">
        <v>39809</v>
      </c>
      <c r="K230" s="7" t="s">
        <v>39804</v>
      </c>
    </row>
    <row r="231">
      <c r="A231" s="202">
        <v>13345.0</v>
      </c>
      <c r="B231" s="7" t="s">
        <v>39810</v>
      </c>
      <c r="C231" s="7" t="s">
        <v>39811</v>
      </c>
      <c r="D231" s="7">
        <v>41903.0</v>
      </c>
      <c r="E231" s="902" t="s">
        <v>39812</v>
      </c>
      <c r="F231" s="902" t="s">
        <v>39813</v>
      </c>
      <c r="G231" s="903">
        <v>38181.0</v>
      </c>
      <c r="H231" s="904">
        <v>38176.0</v>
      </c>
      <c r="I231" s="7">
        <v>41901.0</v>
      </c>
      <c r="J231" s="905" t="s">
        <v>39814</v>
      </c>
      <c r="K231" s="7" t="s">
        <v>39815</v>
      </c>
    </row>
    <row r="232">
      <c r="A232" s="202">
        <v>13346.0</v>
      </c>
      <c r="B232" s="7" t="s">
        <v>39816</v>
      </c>
      <c r="C232" s="7" t="s">
        <v>39817</v>
      </c>
      <c r="D232" s="7">
        <v>41906.0</v>
      </c>
      <c r="E232" s="902" t="s">
        <v>39818</v>
      </c>
      <c r="F232" s="902" t="s">
        <v>39819</v>
      </c>
      <c r="G232" s="903">
        <v>38181.0</v>
      </c>
      <c r="H232" s="904">
        <v>38176.0</v>
      </c>
      <c r="I232" s="7">
        <v>41905.0</v>
      </c>
      <c r="J232" s="905" t="s">
        <v>39820</v>
      </c>
      <c r="K232" s="7" t="s">
        <v>39821</v>
      </c>
    </row>
    <row r="233">
      <c r="A233" s="202">
        <v>13347.0</v>
      </c>
      <c r="B233" s="7" t="s">
        <v>39822</v>
      </c>
      <c r="C233" s="7" t="s">
        <v>39823</v>
      </c>
      <c r="D233" s="7">
        <v>44574.0</v>
      </c>
      <c r="E233" s="902" t="s">
        <v>39824</v>
      </c>
      <c r="F233" s="902" t="s">
        <v>39825</v>
      </c>
      <c r="G233" s="903">
        <v>38194.0</v>
      </c>
      <c r="H233" s="904">
        <v>38190.0</v>
      </c>
      <c r="I233" s="7">
        <v>44573.0</v>
      </c>
      <c r="J233" s="905" t="s">
        <v>39826</v>
      </c>
    </row>
    <row r="234">
      <c r="A234" s="202">
        <v>13348.0</v>
      </c>
      <c r="B234" s="7" t="s">
        <v>39827</v>
      </c>
      <c r="C234" s="7" t="s">
        <v>39828</v>
      </c>
      <c r="D234" s="7">
        <v>44890.0</v>
      </c>
      <c r="E234" s="902" t="s">
        <v>39829</v>
      </c>
      <c r="F234" s="902" t="s">
        <v>39830</v>
      </c>
      <c r="G234" s="903">
        <v>38195.0</v>
      </c>
      <c r="H234" s="904">
        <v>38190.0</v>
      </c>
      <c r="I234" s="7">
        <v>44885.0</v>
      </c>
      <c r="J234" s="905" t="s">
        <v>39831</v>
      </c>
      <c r="K234" s="7" t="s">
        <v>39832</v>
      </c>
    </row>
    <row r="235">
      <c r="A235" s="202">
        <v>13349.0</v>
      </c>
      <c r="B235" s="7" t="s">
        <v>39833</v>
      </c>
      <c r="C235" s="7" t="s">
        <v>39834</v>
      </c>
      <c r="D235" s="7">
        <v>44891.0</v>
      </c>
      <c r="E235" s="902" t="s">
        <v>39835</v>
      </c>
      <c r="F235" s="902" t="s">
        <v>39836</v>
      </c>
      <c r="G235" s="903">
        <v>38195.0</v>
      </c>
      <c r="H235" s="904">
        <v>38191.0</v>
      </c>
      <c r="I235" s="7">
        <v>44891.0</v>
      </c>
      <c r="J235" s="905" t="s">
        <v>39837</v>
      </c>
      <c r="K235" s="7" t="s">
        <v>39838</v>
      </c>
    </row>
    <row r="236">
      <c r="A236" s="202">
        <v>13350.0</v>
      </c>
      <c r="B236" s="7" t="s">
        <v>39839</v>
      </c>
      <c r="C236" s="7" t="s">
        <v>39840</v>
      </c>
      <c r="D236" s="7">
        <v>46067.0</v>
      </c>
      <c r="E236" s="902" t="s">
        <v>39841</v>
      </c>
      <c r="F236" s="902" t="s">
        <v>39842</v>
      </c>
      <c r="G236" s="903">
        <v>38198.0</v>
      </c>
      <c r="H236" s="904">
        <v>38197.0</v>
      </c>
      <c r="I236" s="7">
        <v>46055.0</v>
      </c>
      <c r="J236" s="905" t="s">
        <v>39843</v>
      </c>
      <c r="K236" s="7" t="s">
        <v>39844</v>
      </c>
    </row>
    <row r="237">
      <c r="A237" s="202">
        <v>13351.0</v>
      </c>
      <c r="B237" s="7" t="s">
        <v>39845</v>
      </c>
      <c r="C237" s="7" t="s">
        <v>39846</v>
      </c>
      <c r="D237" s="7">
        <v>50048.0</v>
      </c>
      <c r="E237" s="902" t="s">
        <v>39847</v>
      </c>
      <c r="F237" s="902" t="s">
        <v>39848</v>
      </c>
      <c r="G237" s="903">
        <v>38211.0</v>
      </c>
      <c r="H237" s="904">
        <v>38208.0</v>
      </c>
      <c r="I237" s="7">
        <v>50047.0</v>
      </c>
      <c r="J237" s="905" t="s">
        <v>39849</v>
      </c>
      <c r="K237" s="7" t="s">
        <v>39850</v>
      </c>
    </row>
    <row r="238">
      <c r="A238" s="202">
        <v>13352.0</v>
      </c>
      <c r="B238" s="7" t="s">
        <v>39851</v>
      </c>
      <c r="C238" s="7" t="s">
        <v>39852</v>
      </c>
      <c r="D238" s="7">
        <v>52990.0</v>
      </c>
      <c r="E238" s="902" t="s">
        <v>39853</v>
      </c>
      <c r="F238" s="902" t="s">
        <v>39854</v>
      </c>
      <c r="G238" s="903">
        <v>38229.0</v>
      </c>
      <c r="H238" s="904">
        <v>38225.0</v>
      </c>
      <c r="I238" s="7">
        <v>52989.0</v>
      </c>
      <c r="J238" s="905" t="s">
        <v>39855</v>
      </c>
    </row>
    <row r="239">
      <c r="A239" s="202">
        <v>13353.0</v>
      </c>
      <c r="B239" s="7" t="s">
        <v>39856</v>
      </c>
      <c r="C239" s="7" t="s">
        <v>39857</v>
      </c>
      <c r="D239" s="7">
        <v>53587.0</v>
      </c>
      <c r="E239" s="902" t="s">
        <v>39858</v>
      </c>
      <c r="F239" s="902" t="s">
        <v>39859</v>
      </c>
      <c r="G239" s="903">
        <v>38231.0</v>
      </c>
      <c r="H239" s="904">
        <v>38226.0</v>
      </c>
      <c r="I239" s="7">
        <v>53585.0</v>
      </c>
      <c r="J239" s="905" t="s">
        <v>39860</v>
      </c>
    </row>
    <row r="240">
      <c r="A240" s="202">
        <v>13354.0</v>
      </c>
      <c r="B240" s="7" t="s">
        <v>39861</v>
      </c>
      <c r="C240" s="7" t="s">
        <v>39862</v>
      </c>
      <c r="D240" s="7">
        <v>53592.0</v>
      </c>
      <c r="E240" s="902" t="s">
        <v>39863</v>
      </c>
      <c r="F240" s="902" t="s">
        <v>39864</v>
      </c>
      <c r="G240" s="903">
        <v>38231.0</v>
      </c>
      <c r="H240" s="904">
        <v>38226.0</v>
      </c>
      <c r="I240" s="7">
        <v>53589.0</v>
      </c>
      <c r="J240" s="905" t="s">
        <v>39865</v>
      </c>
      <c r="K240" s="7" t="s">
        <v>39866</v>
      </c>
    </row>
    <row r="241">
      <c r="A241" s="202">
        <v>13355.0</v>
      </c>
      <c r="B241" s="7" t="s">
        <v>39867</v>
      </c>
      <c r="C241" s="7" t="s">
        <v>39868</v>
      </c>
      <c r="D241" s="7">
        <v>53597.0</v>
      </c>
      <c r="E241" s="902" t="s">
        <v>39869</v>
      </c>
      <c r="F241" s="902" t="s">
        <v>39870</v>
      </c>
      <c r="G241" s="903">
        <v>38231.0</v>
      </c>
      <c r="H241" s="904">
        <v>38226.0</v>
      </c>
      <c r="I241" s="7">
        <v>53593.0</v>
      </c>
      <c r="J241" s="905" t="s">
        <v>39871</v>
      </c>
      <c r="K241" s="7" t="s">
        <v>39872</v>
      </c>
    </row>
    <row r="242">
      <c r="A242" s="202">
        <v>13356.0</v>
      </c>
      <c r="B242" s="7" t="s">
        <v>39873</v>
      </c>
      <c r="C242" s="7" t="s">
        <v>39874</v>
      </c>
      <c r="D242" s="7">
        <v>53602.0</v>
      </c>
      <c r="E242" s="902" t="s">
        <v>39875</v>
      </c>
      <c r="F242" s="902" t="s">
        <v>39876</v>
      </c>
      <c r="G242" s="903">
        <v>38231.0</v>
      </c>
      <c r="H242" s="904">
        <v>38226.0</v>
      </c>
      <c r="I242" s="7">
        <v>53599.0</v>
      </c>
      <c r="J242" s="905" t="s">
        <v>39877</v>
      </c>
      <c r="K242" s="7" t="s">
        <v>39878</v>
      </c>
    </row>
    <row r="243">
      <c r="A243" s="202">
        <v>13357.0</v>
      </c>
      <c r="B243" s="7" t="s">
        <v>39879</v>
      </c>
      <c r="C243" s="7" t="s">
        <v>39880</v>
      </c>
      <c r="D243" s="7">
        <v>56666.0</v>
      </c>
      <c r="E243" s="902" t="s">
        <v>39881</v>
      </c>
      <c r="F243" s="902" t="s">
        <v>39882</v>
      </c>
      <c r="G243" s="903">
        <v>38252.0</v>
      </c>
      <c r="H243" s="904">
        <v>38250.0</v>
      </c>
      <c r="I243" s="7">
        <v>56665.0</v>
      </c>
      <c r="J243" s="905" t="s">
        <v>39883</v>
      </c>
      <c r="K243" s="7" t="s">
        <v>39884</v>
      </c>
    </row>
    <row r="244">
      <c r="A244" s="202">
        <v>13358.0</v>
      </c>
      <c r="B244" s="7" t="s">
        <v>39885</v>
      </c>
      <c r="C244" s="7" t="s">
        <v>39886</v>
      </c>
      <c r="D244" s="7">
        <v>58798.0</v>
      </c>
      <c r="E244" s="902" t="s">
        <v>39887</v>
      </c>
      <c r="F244" s="902" t="s">
        <v>39888</v>
      </c>
      <c r="G244" s="903">
        <v>38260.0</v>
      </c>
      <c r="H244" s="904">
        <v>38258.0</v>
      </c>
      <c r="I244" s="7">
        <v>58797.0</v>
      </c>
      <c r="J244" s="905" t="s">
        <v>39889</v>
      </c>
    </row>
    <row r="245">
      <c r="A245" s="202">
        <v>13359.0</v>
      </c>
      <c r="B245" s="7" t="s">
        <v>39890</v>
      </c>
      <c r="C245" s="7" t="s">
        <v>39891</v>
      </c>
      <c r="D245" s="7">
        <v>62391.0</v>
      </c>
      <c r="E245" s="902" t="s">
        <v>39892</v>
      </c>
      <c r="F245" s="902" t="s">
        <v>39893</v>
      </c>
      <c r="G245" s="906">
        <v>38285.0</v>
      </c>
      <c r="H245" s="904">
        <v>38280.0</v>
      </c>
      <c r="I245" s="7">
        <v>62391.0</v>
      </c>
      <c r="J245" s="905" t="s">
        <v>39894</v>
      </c>
      <c r="K245" s="7" t="s">
        <v>39895</v>
      </c>
    </row>
    <row r="246">
      <c r="A246" s="202">
        <v>13360.0</v>
      </c>
      <c r="B246" s="7" t="s">
        <v>39896</v>
      </c>
      <c r="C246" s="7" t="s">
        <v>39897</v>
      </c>
      <c r="D246" s="7">
        <v>62551.0</v>
      </c>
      <c r="E246" s="902" t="s">
        <v>39898</v>
      </c>
      <c r="F246" s="902" t="s">
        <v>39899</v>
      </c>
      <c r="G246" s="906">
        <v>38286.0</v>
      </c>
      <c r="H246" s="904">
        <v>38280.0</v>
      </c>
      <c r="I246" s="7">
        <v>62549.0</v>
      </c>
      <c r="J246" s="905" t="s">
        <v>39900</v>
      </c>
    </row>
    <row r="247">
      <c r="A247" s="202">
        <v>13361.0</v>
      </c>
      <c r="B247" s="7" t="s">
        <v>39901</v>
      </c>
      <c r="C247" s="7" t="s">
        <v>39902</v>
      </c>
      <c r="D247" s="7">
        <v>67634.0</v>
      </c>
      <c r="E247" s="902" t="s">
        <v>39903</v>
      </c>
      <c r="F247" s="902" t="s">
        <v>39904</v>
      </c>
      <c r="G247" s="906">
        <v>38310.0</v>
      </c>
      <c r="H247" s="904">
        <v>38307.0</v>
      </c>
      <c r="I247" s="7">
        <v>67633.0</v>
      </c>
      <c r="J247" s="905" t="s">
        <v>39905</v>
      </c>
      <c r="K247" s="7" t="s">
        <v>39906</v>
      </c>
    </row>
    <row r="248">
      <c r="A248" s="202">
        <v>13362.0</v>
      </c>
      <c r="B248" s="7" t="s">
        <v>39907</v>
      </c>
      <c r="C248" s="7" t="s">
        <v>39908</v>
      </c>
      <c r="D248" s="7">
        <v>70173.0</v>
      </c>
      <c r="E248" s="902" t="s">
        <v>39909</v>
      </c>
      <c r="F248" s="902" t="s">
        <v>39910</v>
      </c>
      <c r="G248" s="903">
        <v>38323.0</v>
      </c>
      <c r="H248" s="904">
        <v>38320.0</v>
      </c>
      <c r="I248" s="7">
        <v>70173.0</v>
      </c>
      <c r="J248" s="905" t="s">
        <v>39911</v>
      </c>
      <c r="K248" s="7" t="s">
        <v>39912</v>
      </c>
    </row>
    <row r="249">
      <c r="A249" s="202">
        <v>13363.0</v>
      </c>
      <c r="B249" s="7" t="s">
        <v>39913</v>
      </c>
      <c r="C249" s="7" t="s">
        <v>39914</v>
      </c>
      <c r="D249" s="7">
        <v>70176.0</v>
      </c>
      <c r="E249" s="902" t="s">
        <v>39915</v>
      </c>
      <c r="F249" s="902" t="s">
        <v>39916</v>
      </c>
      <c r="G249" s="903">
        <v>38323.0</v>
      </c>
      <c r="H249" s="904">
        <v>38320.0</v>
      </c>
      <c r="I249" s="7">
        <v>70175.0</v>
      </c>
      <c r="J249" s="905" t="s">
        <v>39917</v>
      </c>
      <c r="K249" s="7" t="s">
        <v>39918</v>
      </c>
    </row>
    <row r="250">
      <c r="A250" s="202">
        <v>13364.0</v>
      </c>
      <c r="B250" s="7" t="s">
        <v>39919</v>
      </c>
      <c r="C250" s="7" t="s">
        <v>39920</v>
      </c>
      <c r="D250" s="7">
        <v>70178.0</v>
      </c>
      <c r="E250" s="902" t="s">
        <v>39921</v>
      </c>
      <c r="F250" s="902" t="s">
        <v>39922</v>
      </c>
      <c r="G250" s="903">
        <v>38323.0</v>
      </c>
      <c r="H250" s="904">
        <v>38320.0</v>
      </c>
      <c r="I250" s="7">
        <v>70177.0</v>
      </c>
      <c r="J250" s="905" t="s">
        <v>39923</v>
      </c>
      <c r="K250" s="7" t="s">
        <v>39924</v>
      </c>
    </row>
    <row r="251">
      <c r="A251" s="202">
        <v>13365.0</v>
      </c>
      <c r="B251" s="7" t="s">
        <v>39925</v>
      </c>
      <c r="C251" s="7" t="s">
        <v>39926</v>
      </c>
      <c r="D251" s="7">
        <v>71338.0</v>
      </c>
      <c r="E251" s="902" t="s">
        <v>39927</v>
      </c>
      <c r="F251" s="902" t="s">
        <v>39928</v>
      </c>
      <c r="G251" s="903">
        <v>38329.0</v>
      </c>
      <c r="H251" s="904">
        <v>38324.0</v>
      </c>
      <c r="I251" s="7">
        <v>71333.0</v>
      </c>
      <c r="J251" s="905" t="s">
        <v>39929</v>
      </c>
      <c r="K251" s="7" t="s">
        <v>39930</v>
      </c>
    </row>
    <row r="252">
      <c r="A252" s="202">
        <v>13366.0</v>
      </c>
      <c r="B252" s="7" t="s">
        <v>39931</v>
      </c>
      <c r="C252" s="7" t="s">
        <v>39932</v>
      </c>
      <c r="D252" s="7">
        <v>76593.0</v>
      </c>
      <c r="E252" s="902" t="s">
        <v>39933</v>
      </c>
      <c r="F252" s="902" t="s">
        <v>39934</v>
      </c>
      <c r="G252" s="906">
        <v>38342.0</v>
      </c>
      <c r="H252" s="904">
        <v>38338.0</v>
      </c>
      <c r="I252" s="7">
        <v>76591.0</v>
      </c>
      <c r="J252" s="905" t="s">
        <v>39935</v>
      </c>
      <c r="K252" s="7" t="s">
        <v>39936</v>
      </c>
    </row>
    <row r="253">
      <c r="A253" s="202">
        <v>13367.0</v>
      </c>
      <c r="B253" s="7" t="s">
        <v>39937</v>
      </c>
      <c r="C253" s="7" t="s">
        <v>39938</v>
      </c>
      <c r="D253" s="7">
        <v>77605.0</v>
      </c>
      <c r="E253" s="902" t="s">
        <v>39939</v>
      </c>
      <c r="F253" s="902" t="s">
        <v>39940</v>
      </c>
      <c r="G253" s="906">
        <v>38348.0</v>
      </c>
      <c r="H253" s="904">
        <v>38342.0</v>
      </c>
      <c r="I253" s="7">
        <v>77605.0</v>
      </c>
      <c r="J253" s="905" t="s">
        <v>39941</v>
      </c>
    </row>
    <row r="254">
      <c r="A254" s="202">
        <v>13368.0</v>
      </c>
      <c r="B254" s="7" t="s">
        <v>39942</v>
      </c>
      <c r="C254" s="7" t="s">
        <v>39943</v>
      </c>
      <c r="D254" s="7">
        <v>1156.0</v>
      </c>
      <c r="E254" s="902" t="s">
        <v>39944</v>
      </c>
      <c r="F254" s="902" t="s">
        <v>39945</v>
      </c>
      <c r="G254" s="903">
        <v>38357.0</v>
      </c>
      <c r="H254" s="904">
        <v>38351.0</v>
      </c>
      <c r="I254" s="7">
        <v>1147.0</v>
      </c>
      <c r="J254" s="905" t="s">
        <v>38718</v>
      </c>
      <c r="K254" s="7" t="s">
        <v>39946</v>
      </c>
    </row>
    <row r="255">
      <c r="A255" s="202">
        <v>13369.0</v>
      </c>
      <c r="B255" s="7" t="s">
        <v>39947</v>
      </c>
      <c r="C255" s="7" t="s">
        <v>39948</v>
      </c>
      <c r="D255" s="7">
        <v>2324.0</v>
      </c>
      <c r="E255" s="902" t="s">
        <v>39949</v>
      </c>
      <c r="F255" s="902" t="s">
        <v>39950</v>
      </c>
      <c r="G255" s="903">
        <v>38364.0</v>
      </c>
      <c r="H255" s="904">
        <v>38359.0</v>
      </c>
      <c r="I255" s="7">
        <v>2323.0</v>
      </c>
      <c r="J255" s="905" t="s">
        <v>39951</v>
      </c>
      <c r="K255" s="7" t="s">
        <v>39952</v>
      </c>
    </row>
    <row r="256">
      <c r="A256" s="202">
        <v>13370.0</v>
      </c>
      <c r="B256" s="7" t="s">
        <v>39953</v>
      </c>
      <c r="C256" s="907" t="s">
        <v>39954</v>
      </c>
      <c r="D256" s="7">
        <v>3138.0</v>
      </c>
      <c r="E256" s="902" t="s">
        <v>39955</v>
      </c>
      <c r="F256" s="902" t="s">
        <v>39956</v>
      </c>
      <c r="G256" s="903">
        <v>38371.0</v>
      </c>
      <c r="H256" s="904">
        <v>38365.0</v>
      </c>
      <c r="I256" s="7">
        <v>3137.0</v>
      </c>
      <c r="J256" s="905" t="s">
        <v>39957</v>
      </c>
    </row>
    <row r="257">
      <c r="A257" s="202">
        <v>13371.0</v>
      </c>
      <c r="B257" s="7" t="s">
        <v>39958</v>
      </c>
      <c r="C257" s="907" t="s">
        <v>39959</v>
      </c>
      <c r="D257" s="7">
        <v>5042.0</v>
      </c>
      <c r="E257" s="902" t="s">
        <v>39960</v>
      </c>
      <c r="F257" s="902" t="s">
        <v>39961</v>
      </c>
      <c r="G257" s="903">
        <v>38383.0</v>
      </c>
      <c r="H257" s="904">
        <v>38379.0</v>
      </c>
      <c r="I257" s="7">
        <v>5041.0</v>
      </c>
      <c r="J257" s="905" t="s">
        <v>39962</v>
      </c>
      <c r="K257" s="7" t="s">
        <v>39963</v>
      </c>
    </row>
    <row r="258">
      <c r="A258" s="202">
        <v>13372.0</v>
      </c>
      <c r="B258" s="7" t="s">
        <v>39964</v>
      </c>
      <c r="C258" s="907">
        <v>542508.0</v>
      </c>
      <c r="D258" s="7">
        <v>8500.0</v>
      </c>
      <c r="E258" s="902" t="s">
        <v>39965</v>
      </c>
      <c r="F258" s="902" t="s">
        <v>39966</v>
      </c>
      <c r="G258" s="903">
        <v>38401.0</v>
      </c>
      <c r="H258" s="904">
        <v>38399.0</v>
      </c>
      <c r="I258" s="7">
        <v>8499.0</v>
      </c>
      <c r="J258" s="905" t="s">
        <v>39967</v>
      </c>
      <c r="K258" s="7" t="s">
        <v>39968</v>
      </c>
    </row>
    <row r="259">
      <c r="A259" s="202">
        <v>13373.0</v>
      </c>
      <c r="B259" s="7" t="s">
        <v>39969</v>
      </c>
      <c r="C259" s="907">
        <v>1167803.0</v>
      </c>
      <c r="D259" s="7">
        <v>12580.0</v>
      </c>
      <c r="E259" s="902" t="s">
        <v>39970</v>
      </c>
      <c r="F259" s="902" t="s">
        <v>39971</v>
      </c>
      <c r="G259" s="903">
        <v>38425.0</v>
      </c>
      <c r="H259" s="904">
        <v>38421.0</v>
      </c>
      <c r="I259" s="7">
        <v>12579.0</v>
      </c>
      <c r="J259" s="905" t="s">
        <v>39972</v>
      </c>
      <c r="K259" s="7" t="s">
        <v>39973</v>
      </c>
    </row>
    <row r="260">
      <c r="A260" s="202">
        <v>13374.0</v>
      </c>
      <c r="B260" s="7" t="s">
        <v>39974</v>
      </c>
      <c r="C260" s="907">
        <v>1290889.0</v>
      </c>
      <c r="D260" s="7">
        <v>12962.0</v>
      </c>
      <c r="E260" s="902" t="s">
        <v>39975</v>
      </c>
      <c r="F260" s="902" t="s">
        <v>39976</v>
      </c>
      <c r="G260" s="903">
        <v>38428.0</v>
      </c>
      <c r="H260" s="904">
        <v>38425.0</v>
      </c>
      <c r="I260" s="7">
        <v>12961.0</v>
      </c>
      <c r="J260" s="905" t="s">
        <v>39977</v>
      </c>
      <c r="K260" s="7" t="s">
        <v>39978</v>
      </c>
    </row>
    <row r="261">
      <c r="A261" s="202">
        <v>13375.0</v>
      </c>
      <c r="B261" s="7" t="s">
        <v>39979</v>
      </c>
      <c r="C261" s="907">
        <v>1828891.0</v>
      </c>
      <c r="D261" s="7">
        <v>17299.0</v>
      </c>
      <c r="E261" s="902" t="s">
        <v>39980</v>
      </c>
      <c r="F261" s="902" t="s">
        <v>39981</v>
      </c>
      <c r="G261" s="903">
        <v>38447.0</v>
      </c>
      <c r="H261" s="904">
        <v>38443.0</v>
      </c>
      <c r="I261" s="7">
        <v>17299.0</v>
      </c>
      <c r="J261" s="905" t="s">
        <v>39982</v>
      </c>
      <c r="K261" s="7" t="s">
        <v>39983</v>
      </c>
    </row>
    <row r="262">
      <c r="A262" s="202">
        <v>13376.0</v>
      </c>
      <c r="B262" s="7" t="s">
        <v>39984</v>
      </c>
      <c r="C262" s="907">
        <v>2166010.0</v>
      </c>
      <c r="D262" s="7">
        <v>20261.0</v>
      </c>
      <c r="E262" s="902" t="s">
        <v>39985</v>
      </c>
      <c r="F262" s="902" t="s">
        <v>39986</v>
      </c>
      <c r="G262" s="903">
        <v>38460.0</v>
      </c>
      <c r="H262" s="904">
        <v>38455.0</v>
      </c>
      <c r="I262" s="7">
        <v>20261.0</v>
      </c>
      <c r="J262" s="905" t="s">
        <v>39987</v>
      </c>
      <c r="K262" s="7" t="s">
        <v>39988</v>
      </c>
    </row>
    <row r="263">
      <c r="A263" s="202">
        <v>13377.0</v>
      </c>
      <c r="B263" s="7" t="s">
        <v>39989</v>
      </c>
      <c r="C263" s="907">
        <v>2166375.0</v>
      </c>
      <c r="D263" s="7">
        <v>20263.0</v>
      </c>
      <c r="E263" s="902" t="s">
        <v>39990</v>
      </c>
      <c r="F263" s="902" t="s">
        <v>39991</v>
      </c>
      <c r="G263" s="903">
        <v>38460.0</v>
      </c>
      <c r="H263" s="904">
        <v>38455.0</v>
      </c>
      <c r="I263" s="7">
        <v>20263.0</v>
      </c>
      <c r="J263" s="905" t="s">
        <v>39992</v>
      </c>
      <c r="K263" s="7" t="s">
        <v>39993</v>
      </c>
    </row>
    <row r="264">
      <c r="A264" s="202">
        <v>13378.0</v>
      </c>
      <c r="B264" s="7" t="s">
        <v>39994</v>
      </c>
      <c r="C264" s="907">
        <v>2919141.0</v>
      </c>
      <c r="D264" s="7">
        <v>28414.0</v>
      </c>
      <c r="E264" s="902" t="s">
        <v>39995</v>
      </c>
      <c r="F264" s="902" t="s">
        <v>39996</v>
      </c>
      <c r="G264" s="903">
        <v>38489.0</v>
      </c>
      <c r="H264" s="904">
        <v>38484.0</v>
      </c>
      <c r="I264" s="7">
        <v>28413.0</v>
      </c>
      <c r="J264" s="905" t="s">
        <v>39997</v>
      </c>
      <c r="K264" s="7" t="s">
        <v>39998</v>
      </c>
    </row>
    <row r="265">
      <c r="A265" s="202">
        <v>13379.0</v>
      </c>
      <c r="B265" s="7" t="s">
        <v>39999</v>
      </c>
      <c r="C265" s="7" t="s">
        <v>40000</v>
      </c>
      <c r="D265" s="7">
        <v>35505.0</v>
      </c>
      <c r="E265" s="902" t="s">
        <v>40001</v>
      </c>
      <c r="F265" s="902" t="s">
        <v>40002</v>
      </c>
      <c r="G265" s="903">
        <v>38523.0</v>
      </c>
      <c r="H265" s="904">
        <v>38519.0</v>
      </c>
      <c r="I265" s="7">
        <v>35505.0</v>
      </c>
      <c r="J265" s="905" t="s">
        <v>40003</v>
      </c>
      <c r="K265" s="7" t="s">
        <v>40004</v>
      </c>
    </row>
    <row r="266">
      <c r="A266" s="202">
        <v>13380.0</v>
      </c>
      <c r="B266" s="7" t="s">
        <v>40005</v>
      </c>
      <c r="C266" s="7" t="s">
        <v>40006</v>
      </c>
      <c r="D266" s="7">
        <v>35510.0</v>
      </c>
      <c r="E266" s="902" t="s">
        <v>40007</v>
      </c>
      <c r="F266" s="902" t="s">
        <v>40008</v>
      </c>
      <c r="G266" s="903">
        <v>38524.0</v>
      </c>
      <c r="H266" s="904">
        <v>38520.0</v>
      </c>
      <c r="I266" s="7">
        <v>35509.0</v>
      </c>
      <c r="J266" s="905" t="s">
        <v>40009</v>
      </c>
      <c r="K266" s="7" t="s">
        <v>40010</v>
      </c>
    </row>
    <row r="267">
      <c r="A267" s="202">
        <v>13381.0</v>
      </c>
      <c r="B267" s="7" t="s">
        <v>40011</v>
      </c>
      <c r="C267" s="7" t="s">
        <v>40012</v>
      </c>
      <c r="D267" s="7">
        <v>37955.0</v>
      </c>
      <c r="E267" s="902" t="s">
        <v>40013</v>
      </c>
      <c r="F267" s="902" t="s">
        <v>40014</v>
      </c>
      <c r="G267" s="903">
        <v>38533.0</v>
      </c>
      <c r="H267" s="904">
        <v>38530.0</v>
      </c>
      <c r="I267" s="7">
        <v>37953.0</v>
      </c>
      <c r="J267" s="905" t="s">
        <v>40015</v>
      </c>
      <c r="K267" s="7" t="s">
        <v>40016</v>
      </c>
    </row>
    <row r="268">
      <c r="A268" s="202">
        <v>13382.0</v>
      </c>
      <c r="B268" s="7" t="s">
        <v>40017</v>
      </c>
      <c r="C268" s="7" t="s">
        <v>40018</v>
      </c>
      <c r="D268" s="7">
        <v>38570.0</v>
      </c>
      <c r="E268" s="902" t="s">
        <v>40019</v>
      </c>
      <c r="F268" s="902" t="s">
        <v>40020</v>
      </c>
      <c r="G268" s="903">
        <v>38534.0</v>
      </c>
      <c r="H268" s="904">
        <v>38531.0</v>
      </c>
      <c r="I268" s="7">
        <v>38567.0</v>
      </c>
      <c r="J268" s="905" t="s">
        <v>40021</v>
      </c>
      <c r="K268" s="7" t="s">
        <v>40022</v>
      </c>
    </row>
    <row r="269">
      <c r="A269" s="202">
        <v>13383.0</v>
      </c>
      <c r="B269" s="7" t="s">
        <v>40023</v>
      </c>
      <c r="C269" s="7" t="s">
        <v>40024</v>
      </c>
      <c r="D269" s="7">
        <v>41933.0</v>
      </c>
      <c r="E269" s="902" t="s">
        <v>40025</v>
      </c>
      <c r="F269" s="902" t="s">
        <v>40026</v>
      </c>
      <c r="G269" s="903">
        <v>38553.0</v>
      </c>
      <c r="H269" s="904">
        <v>38548.0</v>
      </c>
      <c r="I269" s="7">
        <v>41933.0</v>
      </c>
      <c r="J269" s="905" t="s">
        <v>40027</v>
      </c>
      <c r="K269" s="7" t="s">
        <v>40028</v>
      </c>
    </row>
    <row r="270">
      <c r="A270" s="202">
        <v>13384.0</v>
      </c>
      <c r="B270" s="7" t="s">
        <v>40029</v>
      </c>
      <c r="C270" s="7" t="s">
        <v>40030</v>
      </c>
      <c r="D270" s="7">
        <v>43739.0</v>
      </c>
      <c r="E270" s="902" t="s">
        <v>40031</v>
      </c>
      <c r="F270" s="902" t="s">
        <v>40032</v>
      </c>
      <c r="G270" s="903">
        <v>38562.0</v>
      </c>
      <c r="H270" s="904">
        <v>38560.0</v>
      </c>
      <c r="I270" s="7">
        <v>43739.0</v>
      </c>
      <c r="J270" s="905" t="s">
        <v>40033</v>
      </c>
    </row>
    <row r="271">
      <c r="A271" s="202">
        <v>13385.0</v>
      </c>
      <c r="B271" s="7" t="s">
        <v>40034</v>
      </c>
      <c r="C271" s="7" t="s">
        <v>40035</v>
      </c>
      <c r="D271" s="7">
        <v>57991.0</v>
      </c>
      <c r="E271" s="902" t="s">
        <v>40036</v>
      </c>
      <c r="F271" s="902" t="s">
        <v>40037</v>
      </c>
      <c r="G271" s="903">
        <v>38629.0</v>
      </c>
      <c r="H271" s="904">
        <v>38624.0</v>
      </c>
      <c r="I271" s="7">
        <v>57989.0</v>
      </c>
      <c r="J271" s="905" t="s">
        <v>40038</v>
      </c>
      <c r="K271" s="7" t="s">
        <v>40039</v>
      </c>
    </row>
    <row r="272">
      <c r="A272" s="202">
        <v>13386.0</v>
      </c>
      <c r="B272" s="7" t="s">
        <v>40040</v>
      </c>
      <c r="C272" s="7" t="s">
        <v>40041</v>
      </c>
      <c r="D272" s="7">
        <v>58289.0</v>
      </c>
      <c r="E272" s="902" t="s">
        <v>40042</v>
      </c>
      <c r="F272" s="902" t="s">
        <v>40043</v>
      </c>
      <c r="G272" s="903">
        <v>38630.0</v>
      </c>
      <c r="H272" s="904">
        <v>38625.0</v>
      </c>
      <c r="I272" s="7">
        <v>58289.0</v>
      </c>
      <c r="J272" s="905" t="s">
        <v>40044</v>
      </c>
      <c r="K272" s="7" t="s">
        <v>40045</v>
      </c>
    </row>
    <row r="273">
      <c r="A273" s="202">
        <v>13387.0</v>
      </c>
      <c r="B273" s="7" t="s">
        <v>40046</v>
      </c>
      <c r="C273" s="7" t="s">
        <v>40047</v>
      </c>
      <c r="D273" s="7">
        <v>60714.0</v>
      </c>
      <c r="E273" s="902" t="s">
        <v>40048</v>
      </c>
      <c r="F273" s="902" t="s">
        <v>40049</v>
      </c>
      <c r="G273" s="906">
        <v>38643.0</v>
      </c>
      <c r="H273" s="904">
        <v>38639.0</v>
      </c>
      <c r="I273" s="7">
        <v>60697.0</v>
      </c>
      <c r="J273" s="905" t="s">
        <v>40050</v>
      </c>
      <c r="K273" s="7" t="s">
        <v>40051</v>
      </c>
    </row>
    <row r="274">
      <c r="A274" s="202">
        <v>13388.0</v>
      </c>
      <c r="B274" s="7" t="s">
        <v>40052</v>
      </c>
      <c r="C274" s="7" t="s">
        <v>40053</v>
      </c>
      <c r="D274" s="7">
        <v>62025.0</v>
      </c>
      <c r="E274" s="902" t="s">
        <v>40054</v>
      </c>
      <c r="F274" s="902" t="s">
        <v>40055</v>
      </c>
      <c r="G274" s="906">
        <v>38652.0</v>
      </c>
      <c r="H274" s="904">
        <v>38650.0</v>
      </c>
      <c r="I274" s="7">
        <v>62023.0</v>
      </c>
      <c r="J274" s="905" t="s">
        <v>40056</v>
      </c>
      <c r="K274" s="7" t="s">
        <v>40057</v>
      </c>
    </row>
    <row r="275">
      <c r="A275" s="202">
        <v>13389.0</v>
      </c>
      <c r="B275" s="7" t="s">
        <v>40058</v>
      </c>
      <c r="C275" s="7" t="s">
        <v>40059</v>
      </c>
      <c r="D275" s="7">
        <v>67326.0</v>
      </c>
      <c r="E275" s="902" t="s">
        <v>40060</v>
      </c>
      <c r="F275" s="902" t="s">
        <v>40061</v>
      </c>
      <c r="G275" s="903">
        <v>38660.0</v>
      </c>
      <c r="H275" s="904">
        <v>38657.0</v>
      </c>
      <c r="I275" s="7">
        <v>67325.0</v>
      </c>
      <c r="J275" s="905" t="s">
        <v>40062</v>
      </c>
      <c r="K275" s="7" t="s">
        <v>40063</v>
      </c>
    </row>
    <row r="276">
      <c r="A276" s="202">
        <v>13390.0</v>
      </c>
      <c r="B276" s="7" t="s">
        <v>40064</v>
      </c>
      <c r="C276" s="7" t="s">
        <v>40065</v>
      </c>
      <c r="D276" s="7">
        <v>67328.0</v>
      </c>
      <c r="E276" s="902" t="s">
        <v>40066</v>
      </c>
      <c r="F276" s="902" t="s">
        <v>40067</v>
      </c>
      <c r="G276" s="903">
        <v>38660.0</v>
      </c>
      <c r="H276" s="904">
        <v>38657.0</v>
      </c>
      <c r="I276" s="7">
        <v>67327.0</v>
      </c>
      <c r="J276" s="905" t="s">
        <v>40068</v>
      </c>
      <c r="K276" s="7" t="s">
        <v>40069</v>
      </c>
    </row>
    <row r="277">
      <c r="A277" s="202">
        <v>13391.0</v>
      </c>
      <c r="B277" s="7" t="s">
        <v>40070</v>
      </c>
      <c r="C277" s="7" t="s">
        <v>40071</v>
      </c>
      <c r="D277" s="7">
        <v>71209.0</v>
      </c>
      <c r="E277" s="902" t="s">
        <v>40072</v>
      </c>
      <c r="F277" s="902" t="s">
        <v>40073</v>
      </c>
      <c r="G277" s="906">
        <v>38681.0</v>
      </c>
      <c r="H277" s="904">
        <v>38678.0</v>
      </c>
      <c r="I277" s="7">
        <v>71201.0</v>
      </c>
      <c r="J277" s="905" t="s">
        <v>40074</v>
      </c>
      <c r="K277" s="7" t="s">
        <v>40075</v>
      </c>
    </row>
    <row r="278">
      <c r="A278" s="202">
        <v>13392.0</v>
      </c>
      <c r="B278" s="7" t="s">
        <v>40076</v>
      </c>
      <c r="C278" s="7" t="s">
        <v>40077</v>
      </c>
      <c r="D278" s="7">
        <v>75377.0</v>
      </c>
      <c r="E278" s="902" t="s">
        <v>40078</v>
      </c>
      <c r="F278" s="902" t="s">
        <v>40079</v>
      </c>
      <c r="G278" s="906">
        <v>38705.0</v>
      </c>
      <c r="H278" s="904">
        <v>38700.0</v>
      </c>
      <c r="I278" s="7">
        <v>75373.0</v>
      </c>
      <c r="J278" s="905" t="s">
        <v>40080</v>
      </c>
    </row>
    <row r="279">
      <c r="A279" s="202">
        <v>13393.0</v>
      </c>
      <c r="B279" s="7" t="s">
        <v>40081</v>
      </c>
      <c r="C279" s="7" t="s">
        <v>40082</v>
      </c>
      <c r="D279" s="7">
        <v>76664.0</v>
      </c>
      <c r="E279" s="902" t="s">
        <v>40083</v>
      </c>
      <c r="F279" s="902" t="s">
        <v>40084</v>
      </c>
      <c r="G279" s="906">
        <v>38713.0</v>
      </c>
      <c r="H279" s="904">
        <v>38708.0</v>
      </c>
      <c r="I279" s="7">
        <v>76655.0</v>
      </c>
      <c r="J279" s="905" t="s">
        <v>38718</v>
      </c>
      <c r="K279" s="7" t="s">
        <v>40085</v>
      </c>
    </row>
    <row r="280">
      <c r="A280" s="202">
        <v>13394.0</v>
      </c>
      <c r="B280" s="7" t="s">
        <v>40086</v>
      </c>
      <c r="C280" s="7" t="s">
        <v>40087</v>
      </c>
      <c r="D280" s="7">
        <v>76666.0</v>
      </c>
      <c r="E280" s="902" t="s">
        <v>40088</v>
      </c>
      <c r="F280" s="902" t="s">
        <v>40089</v>
      </c>
      <c r="G280" s="906">
        <v>38713.0</v>
      </c>
      <c r="H280" s="904">
        <v>38708.0</v>
      </c>
      <c r="I280" s="7">
        <v>76665.0</v>
      </c>
      <c r="J280" s="905" t="s">
        <v>40090</v>
      </c>
      <c r="K280" s="7" t="s">
        <v>40091</v>
      </c>
    </row>
    <row r="281">
      <c r="A281" s="202">
        <v>13395.0</v>
      </c>
      <c r="B281" s="7" t="s">
        <v>40092</v>
      </c>
      <c r="C281" s="7" t="s">
        <v>40093</v>
      </c>
      <c r="D281" s="7">
        <v>3203.0</v>
      </c>
      <c r="E281" s="902" t="s">
        <v>40094</v>
      </c>
      <c r="F281" s="902" t="s">
        <v>40095</v>
      </c>
      <c r="G281" s="903">
        <v>38736.0</v>
      </c>
      <c r="H281" s="904">
        <v>38730.0</v>
      </c>
      <c r="I281" s="7">
        <v>3203.0</v>
      </c>
      <c r="J281" s="905" t="s">
        <v>40096</v>
      </c>
    </row>
    <row r="282">
      <c r="A282" s="202">
        <v>13396.0</v>
      </c>
      <c r="B282" s="7" t="s">
        <v>40097</v>
      </c>
      <c r="C282" s="907" t="s">
        <v>40098</v>
      </c>
      <c r="D282" s="7">
        <v>7392.0</v>
      </c>
      <c r="E282" s="902" t="s">
        <v>40099</v>
      </c>
      <c r="F282" s="902" t="s">
        <v>40100</v>
      </c>
      <c r="G282" s="903">
        <v>38758.0</v>
      </c>
      <c r="H282" s="904">
        <v>38755.0</v>
      </c>
      <c r="I282" s="7">
        <v>7389.0</v>
      </c>
      <c r="J282" s="905" t="s">
        <v>40101</v>
      </c>
      <c r="K282" s="7" t="s">
        <v>40102</v>
      </c>
    </row>
    <row r="283">
      <c r="A283" s="202">
        <v>13397.0</v>
      </c>
      <c r="B283" s="7" t="s">
        <v>40103</v>
      </c>
      <c r="C283" s="907">
        <v>168895.0</v>
      </c>
      <c r="D283" s="7">
        <v>12276.0</v>
      </c>
      <c r="E283" s="902" t="s">
        <v>40104</v>
      </c>
      <c r="F283" s="902" t="s">
        <v>40105</v>
      </c>
      <c r="G283" s="903">
        <v>38785.0</v>
      </c>
      <c r="H283" s="904">
        <v>38783.0</v>
      </c>
      <c r="I283" s="7">
        <v>12275.0</v>
      </c>
      <c r="J283" s="905" t="s">
        <v>40106</v>
      </c>
      <c r="K283" s="7" t="s">
        <v>39470</v>
      </c>
    </row>
    <row r="284">
      <c r="A284" s="202">
        <v>13398.0</v>
      </c>
      <c r="B284" s="7" t="s">
        <v>40107</v>
      </c>
      <c r="C284" s="907">
        <v>717855.0</v>
      </c>
      <c r="D284" s="7">
        <v>20521.0</v>
      </c>
      <c r="E284" s="902" t="s">
        <v>40108</v>
      </c>
      <c r="F284" s="902" t="s">
        <v>40109</v>
      </c>
      <c r="G284" s="903">
        <v>38828.0</v>
      </c>
      <c r="H284" s="904">
        <v>38825.0</v>
      </c>
      <c r="I284" s="7">
        <v>20519.0</v>
      </c>
      <c r="J284" s="905" t="s">
        <v>40110</v>
      </c>
    </row>
    <row r="285">
      <c r="A285" s="202">
        <v>13399.0</v>
      </c>
      <c r="B285" s="7" t="s">
        <v>40111</v>
      </c>
      <c r="C285" s="907">
        <v>798209.0</v>
      </c>
      <c r="D285" s="7">
        <v>25061.0</v>
      </c>
      <c r="E285" s="902" t="s">
        <v>40112</v>
      </c>
      <c r="F285" s="902" t="s">
        <v>40113</v>
      </c>
      <c r="G285" s="903">
        <v>38835.0</v>
      </c>
      <c r="H285" s="904">
        <v>38832.0</v>
      </c>
      <c r="I285" s="7">
        <v>25059.0</v>
      </c>
      <c r="J285" s="905" t="s">
        <v>40114</v>
      </c>
      <c r="K285" s="7" t="s">
        <v>40115</v>
      </c>
    </row>
    <row r="286">
      <c r="A286" s="202">
        <v>13400.0</v>
      </c>
      <c r="B286" s="7" t="s">
        <v>40116</v>
      </c>
      <c r="C286" s="907">
        <v>811357.0</v>
      </c>
      <c r="D286" s="7">
        <v>25486.0</v>
      </c>
      <c r="E286" s="902" t="s">
        <v>40117</v>
      </c>
      <c r="F286" s="902" t="s">
        <v>40118</v>
      </c>
      <c r="G286" s="903">
        <v>38838.0</v>
      </c>
      <c r="H286" s="904">
        <v>38833.0</v>
      </c>
      <c r="I286" s="7">
        <v>25483.0</v>
      </c>
      <c r="J286" s="905" t="s">
        <v>40119</v>
      </c>
      <c r="K286" s="7" t="s">
        <v>40120</v>
      </c>
    </row>
    <row r="287">
      <c r="A287" s="202">
        <v>13401.0</v>
      </c>
      <c r="B287" s="7" t="s">
        <v>40121</v>
      </c>
      <c r="C287" s="907">
        <v>815375.0</v>
      </c>
      <c r="D287" s="7">
        <v>25738.0</v>
      </c>
      <c r="E287" s="902" t="s">
        <v>40122</v>
      </c>
      <c r="F287" s="902" t="s">
        <v>40123</v>
      </c>
      <c r="G287" s="903">
        <v>38838.0</v>
      </c>
      <c r="H287" s="904">
        <v>38834.0</v>
      </c>
      <c r="I287" s="7">
        <v>25737.0</v>
      </c>
      <c r="J287" s="905" t="s">
        <v>40124</v>
      </c>
      <c r="K287" s="7" t="s">
        <v>40125</v>
      </c>
    </row>
    <row r="288">
      <c r="A288" s="202">
        <v>13402.0</v>
      </c>
      <c r="B288" s="7" t="s">
        <v>40126</v>
      </c>
      <c r="C288" s="907">
        <v>968777.0</v>
      </c>
      <c r="D288" s="7">
        <v>27947.0</v>
      </c>
      <c r="E288" s="902" t="s">
        <v>40127</v>
      </c>
      <c r="F288" s="902" t="s">
        <v>40128</v>
      </c>
      <c r="G288" s="903">
        <v>38852.0</v>
      </c>
      <c r="H288" s="904">
        <v>38847.0</v>
      </c>
      <c r="I288" s="7">
        <v>27945.0</v>
      </c>
      <c r="J288" s="905" t="s">
        <v>40129</v>
      </c>
      <c r="K288" s="7" t="s">
        <v>40130</v>
      </c>
    </row>
    <row r="289">
      <c r="A289" s="202">
        <v>13403.0</v>
      </c>
      <c r="B289" s="7" t="s">
        <v>40131</v>
      </c>
      <c r="C289" s="907">
        <v>1005301.0</v>
      </c>
      <c r="D289" s="7">
        <v>28544.0</v>
      </c>
      <c r="E289" s="902" t="s">
        <v>40132</v>
      </c>
      <c r="F289" s="902" t="s">
        <v>40133</v>
      </c>
      <c r="G289" s="903">
        <v>38853.0</v>
      </c>
      <c r="H289" s="904">
        <v>38849.0</v>
      </c>
      <c r="I289" s="7">
        <v>28543.0</v>
      </c>
      <c r="J289" s="905" t="s">
        <v>40134</v>
      </c>
      <c r="K289" s="7" t="s">
        <v>40135</v>
      </c>
    </row>
    <row r="290">
      <c r="A290" s="202">
        <v>13404.0</v>
      </c>
      <c r="B290" s="7" t="s">
        <v>40136</v>
      </c>
      <c r="C290" s="907">
        <v>1260605.0</v>
      </c>
      <c r="D290" s="7">
        <v>33594.0</v>
      </c>
      <c r="E290" s="902" t="s">
        <v>40137</v>
      </c>
      <c r="F290" s="902" t="s">
        <v>40138</v>
      </c>
      <c r="G290" s="903">
        <v>38880.0</v>
      </c>
      <c r="H290" s="904">
        <v>38875.0</v>
      </c>
      <c r="I290" s="7">
        <v>33593.0</v>
      </c>
      <c r="J290" s="905" t="s">
        <v>40139</v>
      </c>
    </row>
    <row r="291">
      <c r="A291" s="202">
        <v>13405.0</v>
      </c>
      <c r="B291" s="7" t="s">
        <v>40140</v>
      </c>
      <c r="C291" s="907">
        <v>1348629.0</v>
      </c>
      <c r="D291" s="7">
        <v>35487.0</v>
      </c>
      <c r="E291" s="902" t="s">
        <v>40141</v>
      </c>
      <c r="F291" s="902" t="s">
        <v>40142</v>
      </c>
      <c r="G291" s="903">
        <v>38888.0</v>
      </c>
      <c r="H291" s="904">
        <v>38884.0</v>
      </c>
      <c r="I291" s="7">
        <v>35485.0</v>
      </c>
      <c r="J291" s="905" t="s">
        <v>40143</v>
      </c>
      <c r="K291" s="7" t="s">
        <v>40144</v>
      </c>
    </row>
    <row r="292">
      <c r="A292" s="202">
        <v>13406.0</v>
      </c>
      <c r="B292" s="7" t="s">
        <v>40145</v>
      </c>
      <c r="C292" s="907">
        <v>1434826.0</v>
      </c>
      <c r="D292" s="7">
        <v>36974.0</v>
      </c>
      <c r="E292" s="902" t="s">
        <v>40146</v>
      </c>
      <c r="F292" s="902" t="s">
        <v>40147</v>
      </c>
      <c r="G292" s="903">
        <v>38896.0</v>
      </c>
      <c r="H292" s="904">
        <v>38891.0</v>
      </c>
      <c r="I292" s="7">
        <v>36973.0</v>
      </c>
      <c r="J292" s="905" t="s">
        <v>40148</v>
      </c>
      <c r="K292" s="7" t="s">
        <v>40149</v>
      </c>
    </row>
    <row r="293">
      <c r="A293" s="202">
        <v>13407.0</v>
      </c>
      <c r="B293" s="7" t="s">
        <v>40150</v>
      </c>
      <c r="C293" s="907">
        <v>1435191.0</v>
      </c>
      <c r="D293" s="7">
        <v>36977.0</v>
      </c>
      <c r="E293" s="902" t="s">
        <v>40151</v>
      </c>
      <c r="F293" s="902" t="s">
        <v>40152</v>
      </c>
      <c r="G293" s="903">
        <v>38896.0</v>
      </c>
      <c r="H293" s="904">
        <v>38894.0</v>
      </c>
      <c r="I293" s="7">
        <v>36975.0</v>
      </c>
      <c r="J293" s="905" t="s">
        <v>40153</v>
      </c>
      <c r="K293" s="7" t="s">
        <v>40154</v>
      </c>
    </row>
    <row r="294">
      <c r="A294" s="202">
        <v>13408.0</v>
      </c>
      <c r="B294" s="7" t="s">
        <v>40155</v>
      </c>
      <c r="C294" s="907">
        <v>1491804.0</v>
      </c>
      <c r="D294" s="7">
        <v>37807.0</v>
      </c>
      <c r="E294" s="902" t="s">
        <v>40156</v>
      </c>
      <c r="F294" s="902" t="s">
        <v>40157</v>
      </c>
      <c r="G294" s="903">
        <v>38901.0</v>
      </c>
      <c r="H294" s="904">
        <v>38897.0</v>
      </c>
      <c r="I294" s="7">
        <v>37807.0</v>
      </c>
      <c r="J294" s="905" t="s">
        <v>40158</v>
      </c>
      <c r="K294" s="7" t="s">
        <v>40159</v>
      </c>
    </row>
    <row r="295">
      <c r="A295" s="202">
        <v>13409.0</v>
      </c>
      <c r="B295" s="7" t="s">
        <v>40160</v>
      </c>
      <c r="C295" s="907">
        <v>1534537.0</v>
      </c>
      <c r="D295" s="7">
        <v>38512.0</v>
      </c>
      <c r="E295" s="902" t="s">
        <v>40161</v>
      </c>
      <c r="F295" s="902" t="s">
        <v>40162</v>
      </c>
      <c r="G295" s="903">
        <v>38905.0</v>
      </c>
      <c r="H295" s="904">
        <v>38901.0</v>
      </c>
      <c r="I295" s="7">
        <v>38511.0</v>
      </c>
      <c r="J295" s="905" t="s">
        <v>40163</v>
      </c>
    </row>
    <row r="296">
      <c r="A296" s="202">
        <v>13410.0</v>
      </c>
      <c r="B296" s="7" t="s">
        <v>40164</v>
      </c>
      <c r="C296" s="907">
        <v>1943244.0</v>
      </c>
      <c r="D296" s="7">
        <v>51091.0</v>
      </c>
      <c r="E296" s="902" t="s">
        <v>40165</v>
      </c>
      <c r="F296" s="902" t="s">
        <v>40166</v>
      </c>
      <c r="G296" s="903">
        <v>38957.0</v>
      </c>
      <c r="H296" s="904">
        <v>38951.0</v>
      </c>
      <c r="I296" s="7">
        <v>51089.0</v>
      </c>
      <c r="J296" s="905" t="s">
        <v>40167</v>
      </c>
    </row>
    <row r="297">
      <c r="A297" s="202">
        <v>13411.0</v>
      </c>
      <c r="B297" s="7" t="s">
        <v>40168</v>
      </c>
      <c r="C297" s="907">
        <v>2042590.0</v>
      </c>
      <c r="D297" s="7">
        <v>52731.0</v>
      </c>
      <c r="E297" s="902" t="s">
        <v>40169</v>
      </c>
      <c r="F297" s="902" t="s">
        <v>40170</v>
      </c>
      <c r="G297" s="903">
        <v>38966.0</v>
      </c>
      <c r="H297" s="904">
        <v>38958.0</v>
      </c>
      <c r="I297" s="7">
        <v>52729.0</v>
      </c>
      <c r="J297" s="905" t="s">
        <v>40171</v>
      </c>
    </row>
    <row r="298">
      <c r="A298" s="202">
        <v>13412.0</v>
      </c>
      <c r="B298" s="7" t="s">
        <v>40172</v>
      </c>
      <c r="C298" s="907">
        <v>2509004.0</v>
      </c>
      <c r="D298" s="7">
        <v>61371.0</v>
      </c>
      <c r="E298" s="902" t="s">
        <v>40173</v>
      </c>
      <c r="F298" s="902" t="s">
        <v>40174</v>
      </c>
      <c r="G298" s="906">
        <v>39007.0</v>
      </c>
      <c r="H298" s="904">
        <v>39003.0</v>
      </c>
      <c r="I298" s="7">
        <v>61369.0</v>
      </c>
      <c r="J298" s="905" t="s">
        <v>40175</v>
      </c>
      <c r="K298" s="7" t="s">
        <v>40176</v>
      </c>
    </row>
    <row r="299">
      <c r="A299" s="202">
        <v>13413.0</v>
      </c>
      <c r="B299" s="7" t="s">
        <v>40177</v>
      </c>
      <c r="C299" s="907">
        <v>2600680.0</v>
      </c>
      <c r="D299" s="7">
        <v>64108.0</v>
      </c>
      <c r="E299" s="902" t="s">
        <v>40178</v>
      </c>
      <c r="F299" s="902" t="s">
        <v>40179</v>
      </c>
      <c r="G299" s="906">
        <v>39021.0</v>
      </c>
      <c r="H299" s="904">
        <v>39017.0</v>
      </c>
      <c r="I299" s="7">
        <v>64105.0</v>
      </c>
      <c r="J299" s="905" t="s">
        <v>40180</v>
      </c>
      <c r="K299" s="7" t="s">
        <v>40181</v>
      </c>
    </row>
    <row r="300">
      <c r="A300" s="202">
        <v>13414.0</v>
      </c>
      <c r="B300" s="7" t="s">
        <v>40182</v>
      </c>
      <c r="C300" s="907">
        <v>2647431.0</v>
      </c>
      <c r="D300" s="7">
        <v>65365.0</v>
      </c>
      <c r="E300" s="902" t="s">
        <v>40183</v>
      </c>
      <c r="F300" s="902" t="s">
        <v>40184</v>
      </c>
      <c r="G300" s="903">
        <v>39029.0</v>
      </c>
      <c r="H300" s="904">
        <v>39024.0</v>
      </c>
      <c r="I300" s="7">
        <v>65365.0</v>
      </c>
      <c r="J300" s="905" t="s">
        <v>40185</v>
      </c>
      <c r="K300" s="7" t="s">
        <v>40186</v>
      </c>
    </row>
    <row r="301">
      <c r="A301" s="202">
        <v>13415.0</v>
      </c>
      <c r="B301" s="7" t="s">
        <v>40187</v>
      </c>
      <c r="C301" s="907">
        <v>2798276.0</v>
      </c>
      <c r="D301" s="7">
        <v>70641.0</v>
      </c>
      <c r="E301" s="902" t="s">
        <v>40188</v>
      </c>
      <c r="F301" s="902" t="s">
        <v>40189</v>
      </c>
      <c r="G301" s="903">
        <v>39056.0</v>
      </c>
      <c r="H301" s="904">
        <v>39052.0</v>
      </c>
      <c r="I301" s="7">
        <v>70641.0</v>
      </c>
      <c r="J301" s="905" t="s">
        <v>40190</v>
      </c>
      <c r="K301" s="7" t="s">
        <v>40191</v>
      </c>
    </row>
    <row r="302">
      <c r="A302" s="202">
        <v>13416.0</v>
      </c>
      <c r="B302" s="7" t="s">
        <v>40192</v>
      </c>
      <c r="C302" s="907">
        <v>2819460.0</v>
      </c>
      <c r="D302" s="7">
        <v>71035.0</v>
      </c>
      <c r="E302" s="902" t="s">
        <v>40193</v>
      </c>
      <c r="F302" s="902" t="s">
        <v>40194</v>
      </c>
      <c r="G302" s="903">
        <v>39058.0</v>
      </c>
      <c r="H302" s="904">
        <v>39056.0</v>
      </c>
      <c r="I302" s="7">
        <v>71033.0</v>
      </c>
      <c r="J302" s="905" t="s">
        <v>40195</v>
      </c>
      <c r="K302" s="7" t="s">
        <v>39425</v>
      </c>
    </row>
    <row r="303">
      <c r="A303" s="202">
        <v>13417.0</v>
      </c>
      <c r="B303" s="7" t="s">
        <v>40196</v>
      </c>
      <c r="C303" s="907">
        <v>2824209.0</v>
      </c>
      <c r="D303" s="7">
        <v>71461.0</v>
      </c>
      <c r="E303" s="902" t="s">
        <v>40197</v>
      </c>
      <c r="F303" s="902" t="s">
        <v>40198</v>
      </c>
      <c r="G303" s="903">
        <v>39059.0</v>
      </c>
      <c r="H303" s="904">
        <v>39057.0</v>
      </c>
      <c r="I303" s="7">
        <v>71459.0</v>
      </c>
      <c r="J303" s="905" t="s">
        <v>40199</v>
      </c>
    </row>
    <row r="304">
      <c r="A304" s="202">
        <v>13418.0</v>
      </c>
      <c r="B304" s="7" t="s">
        <v>40200</v>
      </c>
      <c r="C304" s="907">
        <v>2874612.0</v>
      </c>
      <c r="D304" s="7">
        <v>75647.0</v>
      </c>
      <c r="E304" s="902" t="s">
        <v>40201</v>
      </c>
      <c r="F304" s="902" t="s">
        <v>40202</v>
      </c>
      <c r="G304" s="906">
        <v>39069.0</v>
      </c>
      <c r="H304" s="904">
        <v>39065.0</v>
      </c>
      <c r="I304" s="7">
        <v>75647.0</v>
      </c>
      <c r="J304" s="905" t="s">
        <v>40203</v>
      </c>
      <c r="K304" s="7" t="s">
        <v>40204</v>
      </c>
    </row>
    <row r="305">
      <c r="A305" s="202">
        <v>13419.0</v>
      </c>
      <c r="B305" s="7" t="s">
        <v>40205</v>
      </c>
      <c r="C305" s="907">
        <v>2920267.0</v>
      </c>
      <c r="D305" s="7">
        <v>77567.0</v>
      </c>
      <c r="E305" s="902" t="s">
        <v>40206</v>
      </c>
      <c r="F305" s="902" t="s">
        <v>40207</v>
      </c>
      <c r="G305" s="906">
        <v>39077.0</v>
      </c>
      <c r="H305" s="904">
        <v>39071.0</v>
      </c>
      <c r="I305" s="7">
        <v>77565.0</v>
      </c>
      <c r="J305" s="905" t="s">
        <v>40208</v>
      </c>
      <c r="K305" s="7" t="s">
        <v>40209</v>
      </c>
    </row>
    <row r="306">
      <c r="A306" s="202">
        <v>13420.0</v>
      </c>
      <c r="B306" s="7" t="s">
        <v>40210</v>
      </c>
      <c r="C306" s="907">
        <v>2920633.0</v>
      </c>
      <c r="D306" s="7">
        <v>77580.0</v>
      </c>
      <c r="E306" s="902" t="s">
        <v>40211</v>
      </c>
      <c r="F306" s="902" t="s">
        <v>40212</v>
      </c>
      <c r="G306" s="906">
        <v>39077.0</v>
      </c>
      <c r="H306" s="904">
        <v>39072.0</v>
      </c>
      <c r="I306" s="7">
        <v>77571.0</v>
      </c>
      <c r="J306" s="905" t="s">
        <v>38718</v>
      </c>
      <c r="K306" s="7" t="s">
        <v>40213</v>
      </c>
    </row>
    <row r="307">
      <c r="A307" s="202">
        <v>13421.0</v>
      </c>
      <c r="B307" s="7" t="s">
        <v>40214</v>
      </c>
      <c r="C307" s="907">
        <v>2956061.0</v>
      </c>
      <c r="D307" s="7">
        <v>425.0</v>
      </c>
      <c r="E307" s="902" t="s">
        <v>40215</v>
      </c>
      <c r="F307" s="902" t="s">
        <v>40216</v>
      </c>
      <c r="G307" s="903">
        <v>39086.0</v>
      </c>
      <c r="H307" s="904">
        <v>39079.0</v>
      </c>
      <c r="I307" s="7">
        <v>425.0</v>
      </c>
      <c r="J307" s="905" t="s">
        <v>40217</v>
      </c>
      <c r="K307" s="7" t="s">
        <v>39804</v>
      </c>
    </row>
    <row r="308">
      <c r="A308" s="202">
        <v>13422.0</v>
      </c>
      <c r="B308" s="7" t="s">
        <v>40218</v>
      </c>
      <c r="C308" s="7" t="s">
        <v>40219</v>
      </c>
      <c r="D308" s="7">
        <v>2765.0</v>
      </c>
      <c r="E308" s="902" t="s">
        <v>40220</v>
      </c>
      <c r="F308" s="902" t="s">
        <v>40221</v>
      </c>
      <c r="G308" s="903">
        <v>39105.0</v>
      </c>
      <c r="H308" s="904">
        <v>39100.0</v>
      </c>
      <c r="I308" s="7">
        <v>2763.0</v>
      </c>
      <c r="J308" s="905" t="s">
        <v>40222</v>
      </c>
      <c r="K308" s="7" t="s">
        <v>40223</v>
      </c>
    </row>
    <row r="309">
      <c r="A309" s="202">
        <v>13423.0</v>
      </c>
      <c r="B309" s="7" t="s">
        <v>40224</v>
      </c>
      <c r="C309" s="7" t="s">
        <v>40225</v>
      </c>
      <c r="D309" s="7">
        <v>3923.0</v>
      </c>
      <c r="E309" s="902" t="s">
        <v>40226</v>
      </c>
      <c r="F309" s="902" t="s">
        <v>40227</v>
      </c>
      <c r="G309" s="903">
        <v>39108.0</v>
      </c>
      <c r="H309" s="904">
        <v>39106.0</v>
      </c>
      <c r="I309" s="7">
        <v>3919.0</v>
      </c>
      <c r="J309" s="905" t="s">
        <v>40228</v>
      </c>
      <c r="K309" s="7" t="s">
        <v>40229</v>
      </c>
    </row>
    <row r="310">
      <c r="A310" s="202">
        <v>13424.0</v>
      </c>
      <c r="B310" s="7" t="s">
        <v>40230</v>
      </c>
      <c r="C310" s="7" t="s">
        <v>40231</v>
      </c>
      <c r="D310" s="7">
        <v>4409.0</v>
      </c>
      <c r="E310" s="902" t="s">
        <v>40232</v>
      </c>
      <c r="F310" s="902" t="s">
        <v>40233</v>
      </c>
      <c r="G310" s="903">
        <v>39112.0</v>
      </c>
      <c r="H310" s="904">
        <v>39108.0</v>
      </c>
      <c r="I310" s="7">
        <v>4409.0</v>
      </c>
      <c r="J310" s="905" t="s">
        <v>40234</v>
      </c>
      <c r="K310" s="7" t="s">
        <v>39963</v>
      </c>
    </row>
    <row r="311">
      <c r="A311" s="202">
        <v>13425.0</v>
      </c>
      <c r="B311" s="7" t="s">
        <v>40235</v>
      </c>
      <c r="C311" s="7" t="s">
        <v>40236</v>
      </c>
      <c r="D311" s="7">
        <v>7738.0</v>
      </c>
      <c r="E311" s="902" t="s">
        <v>40237</v>
      </c>
      <c r="F311" s="902" t="s">
        <v>40238</v>
      </c>
      <c r="G311" s="903">
        <v>39133.0</v>
      </c>
      <c r="H311" s="904">
        <v>39127.0</v>
      </c>
      <c r="I311" s="7">
        <v>7737.0</v>
      </c>
      <c r="J311" s="905" t="s">
        <v>40239</v>
      </c>
      <c r="K311" s="7" t="s">
        <v>40240</v>
      </c>
    </row>
    <row r="312">
      <c r="A312" s="202">
        <v>13426.0</v>
      </c>
      <c r="B312" s="7" t="s">
        <v>40241</v>
      </c>
      <c r="C312" s="907" t="s">
        <v>40242</v>
      </c>
      <c r="D312" s="7">
        <v>10591.0</v>
      </c>
      <c r="E312" s="902" t="s">
        <v>40243</v>
      </c>
      <c r="F312" s="902" t="s">
        <v>40244</v>
      </c>
      <c r="G312" s="903">
        <v>39149.0</v>
      </c>
      <c r="H312" s="904">
        <v>39147.0</v>
      </c>
      <c r="I312" s="7">
        <v>10589.0</v>
      </c>
      <c r="J312" s="905" t="s">
        <v>40245</v>
      </c>
    </row>
    <row r="313">
      <c r="A313" s="202">
        <v>13427.0</v>
      </c>
      <c r="B313" s="7" t="s">
        <v>40246</v>
      </c>
      <c r="C313" s="907" t="s">
        <v>40247</v>
      </c>
      <c r="D313" s="7">
        <v>10879.0</v>
      </c>
      <c r="E313" s="902" t="s">
        <v>40248</v>
      </c>
      <c r="F313" s="902" t="s">
        <v>40249</v>
      </c>
      <c r="G313" s="903">
        <v>39150.0</v>
      </c>
      <c r="H313" s="904">
        <v>39148.0</v>
      </c>
      <c r="I313" s="7">
        <v>10879.0</v>
      </c>
      <c r="J313" s="905" t="s">
        <v>40250</v>
      </c>
    </row>
    <row r="314">
      <c r="A314" s="202">
        <v>13428.0</v>
      </c>
      <c r="B314" s="7" t="s">
        <v>40251</v>
      </c>
      <c r="C314" s="907" t="s">
        <v>40252</v>
      </c>
      <c r="D314" s="7">
        <v>16693.0</v>
      </c>
      <c r="E314" s="902" t="s">
        <v>40253</v>
      </c>
      <c r="F314" s="902" t="s">
        <v>40254</v>
      </c>
      <c r="G314" s="903">
        <v>39176.0</v>
      </c>
      <c r="H314" s="904">
        <v>39174.0</v>
      </c>
      <c r="I314" s="7">
        <v>16693.0</v>
      </c>
      <c r="J314" s="905" t="s">
        <v>40255</v>
      </c>
      <c r="K314" s="7" t="s">
        <v>40256</v>
      </c>
    </row>
    <row r="315">
      <c r="A315" s="202">
        <v>13429.0</v>
      </c>
      <c r="B315" s="7" t="s">
        <v>40257</v>
      </c>
      <c r="C315" s="907" t="s">
        <v>40258</v>
      </c>
      <c r="D315" s="7">
        <v>18102.0</v>
      </c>
      <c r="E315" s="902" t="s">
        <v>40259</v>
      </c>
      <c r="F315" s="902" t="s">
        <v>40260</v>
      </c>
      <c r="G315" s="903">
        <v>39182.0</v>
      </c>
      <c r="H315" s="904">
        <v>39176.0</v>
      </c>
      <c r="I315" s="7">
        <v>18101.0</v>
      </c>
      <c r="J315" s="905" t="s">
        <v>40261</v>
      </c>
      <c r="K315" s="7" t="s">
        <v>40262</v>
      </c>
    </row>
    <row r="316">
      <c r="A316" s="202">
        <v>13430.0</v>
      </c>
      <c r="B316" s="7" t="s">
        <v>40263</v>
      </c>
      <c r="C316" s="907">
        <v>46569.0</v>
      </c>
      <c r="D316" s="7">
        <v>20220.0</v>
      </c>
      <c r="E316" s="902" t="s">
        <v>40264</v>
      </c>
      <c r="F316" s="902" t="s">
        <v>40265</v>
      </c>
      <c r="G316" s="903">
        <v>39195.0</v>
      </c>
      <c r="H316" s="904">
        <v>39190.0</v>
      </c>
      <c r="I316" s="7">
        <v>20213.0</v>
      </c>
      <c r="J316" s="905" t="s">
        <v>40266</v>
      </c>
      <c r="K316" s="7" t="s">
        <v>39930</v>
      </c>
    </row>
    <row r="317">
      <c r="A317" s="202">
        <v>13431.0</v>
      </c>
      <c r="B317" s="7" t="s">
        <v>40267</v>
      </c>
      <c r="C317" s="907">
        <v>170751.0</v>
      </c>
      <c r="D317" s="7">
        <v>26710.0</v>
      </c>
      <c r="E317" s="902" t="s">
        <v>40268</v>
      </c>
      <c r="F317" s="902" t="s">
        <v>40269</v>
      </c>
      <c r="G317" s="903">
        <v>39213.0</v>
      </c>
      <c r="H317" s="904">
        <v>39210.0</v>
      </c>
      <c r="I317" s="7">
        <v>26709.0</v>
      </c>
      <c r="J317" s="905" t="s">
        <v>40270</v>
      </c>
    </row>
    <row r="318">
      <c r="A318" s="202">
        <v>13432.0</v>
      </c>
      <c r="B318" s="7" t="s">
        <v>40271</v>
      </c>
      <c r="C318" s="907">
        <v>205450.0</v>
      </c>
      <c r="D318" s="7">
        <v>27719.0</v>
      </c>
      <c r="E318" s="902" t="s">
        <v>40272</v>
      </c>
      <c r="F318" s="902" t="s">
        <v>40273</v>
      </c>
      <c r="G318" s="903">
        <v>39218.0</v>
      </c>
      <c r="H318" s="904">
        <v>39216.0</v>
      </c>
      <c r="I318" s="7">
        <v>27717.0</v>
      </c>
      <c r="J318" s="905" t="s">
        <v>40274</v>
      </c>
      <c r="K318" s="7" t="s">
        <v>40275</v>
      </c>
    </row>
    <row r="319">
      <c r="A319" s="202">
        <v>13433.0</v>
      </c>
      <c r="B319" s="7" t="s">
        <v>40276</v>
      </c>
      <c r="C319" s="907">
        <v>225903.0</v>
      </c>
      <c r="D319" s="7">
        <v>28442.0</v>
      </c>
      <c r="E319" s="902" t="s">
        <v>40277</v>
      </c>
      <c r="F319" s="902" t="s">
        <v>40278</v>
      </c>
      <c r="G319" s="903">
        <v>39220.0</v>
      </c>
      <c r="H319" s="904">
        <v>39218.0</v>
      </c>
      <c r="I319" s="7">
        <v>28441.0</v>
      </c>
      <c r="J319" s="905" t="s">
        <v>40279</v>
      </c>
    </row>
    <row r="320">
      <c r="A320" s="202">
        <v>13434.0</v>
      </c>
      <c r="B320" s="7" t="s">
        <v>40280</v>
      </c>
      <c r="C320" s="907">
        <v>244896.0</v>
      </c>
      <c r="D320" s="7">
        <v>28585.0</v>
      </c>
      <c r="E320" s="902" t="s">
        <v>40281</v>
      </c>
      <c r="F320" s="902" t="s">
        <v>40282</v>
      </c>
      <c r="G320" s="903">
        <v>39224.0</v>
      </c>
      <c r="H320" s="904">
        <v>39219.0</v>
      </c>
      <c r="I320" s="7">
        <v>28583.0</v>
      </c>
      <c r="J320" s="905" t="s">
        <v>40283</v>
      </c>
    </row>
    <row r="321">
      <c r="A321" s="202">
        <v>13435.0</v>
      </c>
      <c r="B321" s="7" t="s">
        <v>40284</v>
      </c>
      <c r="C321" s="907">
        <v>442857.0</v>
      </c>
      <c r="D321" s="7">
        <v>34593.0</v>
      </c>
      <c r="E321" s="902" t="s">
        <v>40285</v>
      </c>
      <c r="F321" s="902" t="s">
        <v>40286</v>
      </c>
      <c r="G321" s="903">
        <v>39255.0</v>
      </c>
      <c r="H321" s="904">
        <v>39253.0</v>
      </c>
      <c r="I321" s="7">
        <v>34591.0</v>
      </c>
      <c r="J321" s="905" t="s">
        <v>40287</v>
      </c>
      <c r="K321" s="7" t="s">
        <v>40288</v>
      </c>
    </row>
    <row r="322">
      <c r="A322" s="202">
        <v>13436.0</v>
      </c>
      <c r="B322" s="7" t="s">
        <v>40289</v>
      </c>
      <c r="C322" s="907">
        <v>496183.0</v>
      </c>
      <c r="D322" s="7">
        <v>36337.0</v>
      </c>
      <c r="E322" s="902" t="s">
        <v>40290</v>
      </c>
      <c r="F322" s="902" t="s">
        <v>40291</v>
      </c>
      <c r="G322" s="903">
        <v>39266.0</v>
      </c>
      <c r="H322" s="904">
        <v>39261.0</v>
      </c>
      <c r="I322" s="7">
        <v>36337.0</v>
      </c>
      <c r="J322" s="905" t="s">
        <v>40292</v>
      </c>
      <c r="K322" s="7" t="s">
        <v>40159</v>
      </c>
    </row>
    <row r="323">
      <c r="A323" s="202">
        <v>13437.0</v>
      </c>
      <c r="B323" s="7" t="s">
        <v>40293</v>
      </c>
      <c r="C323" s="907">
        <v>496548.0</v>
      </c>
      <c r="D323" s="7">
        <v>36339.0</v>
      </c>
      <c r="E323" s="902" t="s">
        <v>40294</v>
      </c>
      <c r="F323" s="902" t="s">
        <v>40295</v>
      </c>
      <c r="G323" s="903">
        <v>39266.0</v>
      </c>
      <c r="H323" s="904">
        <v>39261.0</v>
      </c>
      <c r="I323" s="7">
        <v>36339.0</v>
      </c>
      <c r="J323" s="905" t="s">
        <v>39652</v>
      </c>
    </row>
    <row r="324">
      <c r="A324" s="202">
        <v>13438.0</v>
      </c>
      <c r="B324" s="7" t="s">
        <v>40296</v>
      </c>
      <c r="C324" s="907">
        <v>603564.0</v>
      </c>
      <c r="D324" s="7">
        <v>39721.0</v>
      </c>
      <c r="E324" s="902" t="s">
        <v>40297</v>
      </c>
      <c r="F324" s="902" t="s">
        <v>40298</v>
      </c>
      <c r="G324" s="903">
        <v>39282.0</v>
      </c>
      <c r="H324" s="904">
        <v>39280.0</v>
      </c>
      <c r="I324" s="7">
        <v>39719.0</v>
      </c>
      <c r="J324" s="905" t="s">
        <v>40299</v>
      </c>
      <c r="K324" s="7" t="s">
        <v>40300</v>
      </c>
    </row>
    <row r="325">
      <c r="A325" s="202">
        <v>13439.0</v>
      </c>
      <c r="B325" s="7" t="s">
        <v>40301</v>
      </c>
      <c r="C325" s="907">
        <v>618539.0</v>
      </c>
      <c r="D325" s="7">
        <v>40055.0</v>
      </c>
      <c r="E325" s="902" t="s">
        <v>40302</v>
      </c>
      <c r="F325" s="902" t="s">
        <v>40303</v>
      </c>
      <c r="G325" s="903">
        <v>39283.0</v>
      </c>
      <c r="H325" s="904">
        <v>39281.0</v>
      </c>
      <c r="I325" s="7">
        <v>40053.0</v>
      </c>
      <c r="J325" s="905" t="s">
        <v>40304</v>
      </c>
    </row>
    <row r="326">
      <c r="A326" s="202">
        <v>13440.0</v>
      </c>
      <c r="B326" s="7" t="s">
        <v>40305</v>
      </c>
      <c r="C326" s="907">
        <v>641550.0</v>
      </c>
      <c r="D326" s="7">
        <v>40709.0</v>
      </c>
      <c r="E326" s="902" t="s">
        <v>40306</v>
      </c>
      <c r="F326" s="902" t="s">
        <v>40307</v>
      </c>
      <c r="G326" s="903">
        <v>39287.0</v>
      </c>
      <c r="H326" s="904">
        <v>39283.0</v>
      </c>
      <c r="I326" s="7">
        <v>40707.0</v>
      </c>
      <c r="J326" s="905" t="s">
        <v>40308</v>
      </c>
      <c r="K326" s="7" t="s">
        <v>40309</v>
      </c>
    </row>
    <row r="327">
      <c r="A327" s="202">
        <v>13441.0</v>
      </c>
      <c r="B327" s="7" t="s">
        <v>40310</v>
      </c>
      <c r="C327" s="907">
        <v>706927.0</v>
      </c>
      <c r="D327" s="7">
        <v>43501.0</v>
      </c>
      <c r="E327" s="902" t="s">
        <v>40311</v>
      </c>
      <c r="F327" s="902" t="s">
        <v>40312</v>
      </c>
      <c r="G327" s="903">
        <v>39297.0</v>
      </c>
      <c r="H327" s="904">
        <v>39295.0</v>
      </c>
      <c r="I327" s="7">
        <v>43499.0</v>
      </c>
      <c r="J327" s="905" t="s">
        <v>40313</v>
      </c>
      <c r="K327" s="7" t="s">
        <v>40314</v>
      </c>
    </row>
    <row r="328">
      <c r="A328" s="202">
        <v>13442.0</v>
      </c>
      <c r="B328" s="7" t="s">
        <v>40315</v>
      </c>
      <c r="C328" s="907">
        <v>775593.0</v>
      </c>
      <c r="D328" s="7">
        <v>45878.0</v>
      </c>
      <c r="E328" s="902" t="s">
        <v>40316</v>
      </c>
      <c r="F328" s="902" t="s">
        <v>40317</v>
      </c>
      <c r="G328" s="903">
        <v>39309.0</v>
      </c>
      <c r="H328" s="904">
        <v>39307.0</v>
      </c>
      <c r="I328" s="7">
        <v>45877.0</v>
      </c>
      <c r="J328" s="905" t="s">
        <v>40318</v>
      </c>
      <c r="K328" s="7" t="s">
        <v>40319</v>
      </c>
    </row>
    <row r="329">
      <c r="A329" s="202">
        <v>13443.0</v>
      </c>
      <c r="B329" s="7" t="s">
        <v>40320</v>
      </c>
      <c r="C329" s="907">
        <v>809195.0</v>
      </c>
      <c r="D329" s="7">
        <v>46538.0</v>
      </c>
      <c r="E329" s="902" t="s">
        <v>40321</v>
      </c>
      <c r="F329" s="902" t="s">
        <v>40322</v>
      </c>
      <c r="G329" s="903">
        <v>39314.0</v>
      </c>
      <c r="H329" s="904">
        <v>39310.0</v>
      </c>
      <c r="I329" s="7">
        <v>46537.0</v>
      </c>
      <c r="J329" s="905" t="s">
        <v>40323</v>
      </c>
    </row>
    <row r="330">
      <c r="A330" s="202">
        <v>13444.0</v>
      </c>
      <c r="B330" s="7" t="s">
        <v>40324</v>
      </c>
      <c r="C330" s="907">
        <v>986338.0</v>
      </c>
      <c r="D330" s="7">
        <v>52747.0</v>
      </c>
      <c r="E330" s="902" t="s">
        <v>40325</v>
      </c>
      <c r="F330" s="902" t="s">
        <v>40326</v>
      </c>
      <c r="G330" s="903">
        <v>39339.0</v>
      </c>
      <c r="H330" s="904">
        <v>39337.0</v>
      </c>
      <c r="I330" s="7">
        <v>52747.0</v>
      </c>
      <c r="J330" s="905" t="s">
        <v>40327</v>
      </c>
    </row>
    <row r="331">
      <c r="A331" s="202">
        <v>13445.0</v>
      </c>
      <c r="B331" s="7" t="s">
        <v>40328</v>
      </c>
      <c r="C331" s="907">
        <v>1092259.0</v>
      </c>
      <c r="D331" s="7">
        <v>56167.0</v>
      </c>
      <c r="E331" s="902" t="s">
        <v>40329</v>
      </c>
      <c r="F331" s="902" t="s">
        <v>40330</v>
      </c>
      <c r="G331" s="903">
        <v>39357.0</v>
      </c>
      <c r="H331" s="904">
        <v>39352.0</v>
      </c>
      <c r="I331" s="7">
        <v>56165.0</v>
      </c>
      <c r="J331" s="905" t="s">
        <v>40331</v>
      </c>
    </row>
    <row r="332">
      <c r="A332" s="202">
        <v>13446.0</v>
      </c>
      <c r="B332" s="7" t="s">
        <v>40332</v>
      </c>
      <c r="C332" s="907">
        <v>1098102.0</v>
      </c>
      <c r="D332" s="7">
        <v>56178.0</v>
      </c>
      <c r="E332" s="902" t="s">
        <v>40333</v>
      </c>
      <c r="F332" s="902" t="s">
        <v>40334</v>
      </c>
      <c r="G332" s="903">
        <v>39357.0</v>
      </c>
      <c r="H332" s="904">
        <v>39353.0</v>
      </c>
      <c r="I332" s="7">
        <v>56175.0</v>
      </c>
      <c r="J332" s="905" t="s">
        <v>40038</v>
      </c>
      <c r="K332" s="7" t="s">
        <v>40335</v>
      </c>
    </row>
    <row r="333">
      <c r="A333" s="202">
        <v>13447.0</v>
      </c>
      <c r="B333" s="7" t="s">
        <v>40336</v>
      </c>
      <c r="C333" s="907">
        <v>1098467.0</v>
      </c>
      <c r="D333" s="7">
        <v>56239.0</v>
      </c>
      <c r="E333" s="902" t="s">
        <v>40337</v>
      </c>
      <c r="F333" s="902" t="s">
        <v>40338</v>
      </c>
      <c r="G333" s="903">
        <v>39357.0</v>
      </c>
      <c r="H333" s="904">
        <v>39353.0</v>
      </c>
      <c r="I333" s="7">
        <v>56179.0</v>
      </c>
      <c r="J333" s="905" t="s">
        <v>40339</v>
      </c>
      <c r="K333" s="7" t="s">
        <v>40340</v>
      </c>
    </row>
    <row r="334">
      <c r="A334" s="202">
        <v>13448.0</v>
      </c>
      <c r="B334" s="7" t="s">
        <v>40341</v>
      </c>
      <c r="C334" s="907">
        <v>1231051.0</v>
      </c>
      <c r="D334" s="7">
        <v>60226.0</v>
      </c>
      <c r="E334" s="902" t="s">
        <v>40342</v>
      </c>
      <c r="F334" s="902" t="s">
        <v>40343</v>
      </c>
      <c r="G334" s="906">
        <v>39378.0</v>
      </c>
      <c r="H334" s="904">
        <v>39373.0</v>
      </c>
      <c r="I334" s="7">
        <v>60223.0</v>
      </c>
      <c r="J334" s="905" t="s">
        <v>40344</v>
      </c>
      <c r="K334" s="7" t="s">
        <v>40345</v>
      </c>
    </row>
    <row r="335">
      <c r="A335" s="202">
        <v>13449.0</v>
      </c>
      <c r="B335" s="7" t="s">
        <v>40346</v>
      </c>
      <c r="C335" s="907">
        <v>1241643.0</v>
      </c>
      <c r="D335" s="7">
        <v>60532.0</v>
      </c>
      <c r="E335" s="902" t="s">
        <v>40347</v>
      </c>
      <c r="F335" s="902" t="s">
        <v>40348</v>
      </c>
      <c r="G335" s="906">
        <v>39379.0</v>
      </c>
      <c r="H335" s="904">
        <v>39375.0</v>
      </c>
      <c r="I335" s="7">
        <v>60531.0</v>
      </c>
      <c r="J335" s="905" t="s">
        <v>40349</v>
      </c>
      <c r="K335" s="7" t="s">
        <v>40350</v>
      </c>
    </row>
    <row r="336">
      <c r="A336" s="202">
        <v>13450.0</v>
      </c>
      <c r="B336" s="7" t="s">
        <v>40351</v>
      </c>
      <c r="C336" s="907">
        <v>1397601.0</v>
      </c>
      <c r="D336" s="7">
        <v>64522.0</v>
      </c>
      <c r="E336" s="902" t="s">
        <v>40352</v>
      </c>
      <c r="F336" s="902" t="s">
        <v>40353</v>
      </c>
      <c r="G336" s="906">
        <v>39401.0</v>
      </c>
      <c r="H336" s="904">
        <v>39399.0</v>
      </c>
      <c r="I336" s="7">
        <v>64519.0</v>
      </c>
      <c r="J336" s="905" t="s">
        <v>40354</v>
      </c>
    </row>
    <row r="337">
      <c r="A337" s="202">
        <v>13451.0</v>
      </c>
      <c r="B337" s="7" t="s">
        <v>40355</v>
      </c>
      <c r="C337" s="907">
        <v>1430473.0</v>
      </c>
      <c r="D337" s="7">
        <v>65653.0</v>
      </c>
      <c r="E337" s="902" t="s">
        <v>40356</v>
      </c>
      <c r="F337" s="902" t="s">
        <v>40357</v>
      </c>
      <c r="G337" s="906">
        <v>39407.0</v>
      </c>
      <c r="H337" s="904">
        <v>39405.0</v>
      </c>
      <c r="I337" s="7">
        <v>65653.0</v>
      </c>
      <c r="J337" s="905" t="s">
        <v>40358</v>
      </c>
    </row>
    <row r="338">
      <c r="A338" s="202">
        <v>13452.0</v>
      </c>
      <c r="B338" s="7" t="s">
        <v>40359</v>
      </c>
      <c r="C338" s="907">
        <v>1468092.0</v>
      </c>
      <c r="D338" s="7">
        <v>67829.0</v>
      </c>
      <c r="E338" s="902" t="s">
        <v>40360</v>
      </c>
      <c r="F338" s="902" t="s">
        <v>40361</v>
      </c>
      <c r="G338" s="906">
        <v>39416.0</v>
      </c>
      <c r="H338" s="904">
        <v>39414.0</v>
      </c>
      <c r="I338" s="7">
        <v>67827.0</v>
      </c>
      <c r="J338" s="905" t="s">
        <v>40362</v>
      </c>
    </row>
    <row r="339">
      <c r="A339" s="202">
        <v>13453.0</v>
      </c>
      <c r="B339" s="7" t="s">
        <v>40363</v>
      </c>
      <c r="C339" s="907">
        <v>1505713.0</v>
      </c>
      <c r="D339" s="7">
        <v>70477.0</v>
      </c>
      <c r="E339" s="902" t="s">
        <v>40364</v>
      </c>
      <c r="F339" s="902" t="s">
        <v>40365</v>
      </c>
      <c r="G339" s="906">
        <v>39427.0</v>
      </c>
      <c r="H339" s="904">
        <v>39422.0</v>
      </c>
      <c r="I339" s="7">
        <v>70477.0</v>
      </c>
      <c r="J339" s="905" t="s">
        <v>40366</v>
      </c>
      <c r="K339" s="7" t="s">
        <v>39804</v>
      </c>
    </row>
    <row r="340">
      <c r="A340" s="202">
        <v>13454.0</v>
      </c>
      <c r="B340" s="7" t="s">
        <v>40367</v>
      </c>
      <c r="C340" s="7" t="s">
        <v>40368</v>
      </c>
      <c r="D340" s="7">
        <v>1492.0</v>
      </c>
      <c r="E340" s="902" t="s">
        <v>40369</v>
      </c>
      <c r="F340" s="902" t="s">
        <v>40370</v>
      </c>
      <c r="G340" s="903">
        <v>39455.0</v>
      </c>
      <c r="H340" s="904">
        <v>39451.0</v>
      </c>
      <c r="I340" s="7">
        <v>1481.0</v>
      </c>
      <c r="J340" s="905" t="s">
        <v>38718</v>
      </c>
      <c r="K340" s="7" t="s">
        <v>40371</v>
      </c>
    </row>
    <row r="341">
      <c r="A341" s="202">
        <v>13455.0</v>
      </c>
      <c r="B341" s="7" t="s">
        <v>40372</v>
      </c>
      <c r="C341" s="7" t="s">
        <v>40373</v>
      </c>
      <c r="D341" s="7">
        <v>4447.0</v>
      </c>
      <c r="E341" s="902" t="s">
        <v>40374</v>
      </c>
      <c r="F341" s="902" t="s">
        <v>40375</v>
      </c>
      <c r="G341" s="903">
        <v>39471.0</v>
      </c>
      <c r="H341" s="904">
        <v>39469.0</v>
      </c>
      <c r="I341" s="7">
        <v>4445.0</v>
      </c>
      <c r="J341" s="905" t="s">
        <v>40376</v>
      </c>
    </row>
    <row r="342">
      <c r="A342" s="202">
        <v>13456.0</v>
      </c>
      <c r="B342" s="7" t="s">
        <v>40377</v>
      </c>
      <c r="C342" s="7" t="s">
        <v>40378</v>
      </c>
      <c r="D342" s="7">
        <v>4681.0</v>
      </c>
      <c r="E342" s="902" t="s">
        <v>40379</v>
      </c>
      <c r="F342" s="902" t="s">
        <v>40380</v>
      </c>
      <c r="G342" s="903">
        <v>39472.0</v>
      </c>
      <c r="H342" s="904">
        <v>39470.0</v>
      </c>
      <c r="I342" s="7">
        <v>4677.0</v>
      </c>
      <c r="J342" s="905" t="s">
        <v>40381</v>
      </c>
      <c r="K342" s="7" t="s">
        <v>40382</v>
      </c>
    </row>
    <row r="343">
      <c r="A343" s="202">
        <v>13457.0</v>
      </c>
      <c r="B343" s="7" t="s">
        <v>40383</v>
      </c>
      <c r="C343" s="7" t="s">
        <v>40384</v>
      </c>
      <c r="D343" s="7">
        <v>6418.0</v>
      </c>
      <c r="E343" s="902" t="s">
        <v>40385</v>
      </c>
      <c r="F343" s="902" t="s">
        <v>40386</v>
      </c>
      <c r="G343" s="903">
        <v>39479.0</v>
      </c>
      <c r="H343" s="904">
        <v>39476.0</v>
      </c>
      <c r="I343" s="7">
        <v>6417.0</v>
      </c>
      <c r="J343" s="905" t="s">
        <v>40387</v>
      </c>
    </row>
    <row r="344">
      <c r="A344" s="202">
        <v>13458.0</v>
      </c>
      <c r="B344" s="7" t="s">
        <v>40388</v>
      </c>
      <c r="C344" s="7" t="s">
        <v>40389</v>
      </c>
      <c r="D344" s="7">
        <v>7182.0</v>
      </c>
      <c r="E344" s="902" t="s">
        <v>40390</v>
      </c>
      <c r="F344" s="902" t="s">
        <v>40391</v>
      </c>
      <c r="G344" s="903">
        <v>39484.0</v>
      </c>
      <c r="H344" s="904">
        <v>39482.0</v>
      </c>
      <c r="I344" s="7">
        <v>7181.0</v>
      </c>
      <c r="J344" s="905" t="s">
        <v>40392</v>
      </c>
    </row>
    <row r="345">
      <c r="A345" s="202">
        <v>13459.0</v>
      </c>
      <c r="B345" s="7" t="s">
        <v>40393</v>
      </c>
      <c r="C345" s="7" t="s">
        <v>40394</v>
      </c>
      <c r="D345" s="7">
        <v>8005.0</v>
      </c>
      <c r="E345" s="902" t="s">
        <v>40395</v>
      </c>
      <c r="F345" s="902" t="s">
        <v>40396</v>
      </c>
      <c r="G345" s="903">
        <v>39490.0</v>
      </c>
      <c r="H345" s="904">
        <v>39485.0</v>
      </c>
      <c r="I345" s="7">
        <v>8003.0</v>
      </c>
      <c r="J345" s="905" t="s">
        <v>40397</v>
      </c>
    </row>
    <row r="346">
      <c r="A346" s="202">
        <v>13460.0</v>
      </c>
      <c r="B346" s="7" t="s">
        <v>40398</v>
      </c>
      <c r="C346" s="7" t="s">
        <v>40399</v>
      </c>
      <c r="D346" s="7">
        <v>8993.0</v>
      </c>
      <c r="E346" s="902" t="s">
        <v>40400</v>
      </c>
      <c r="F346" s="902" t="s">
        <v>40401</v>
      </c>
      <c r="G346" s="903">
        <v>39493.0</v>
      </c>
      <c r="H346" s="904">
        <v>39491.0</v>
      </c>
      <c r="I346" s="7">
        <v>8991.0</v>
      </c>
      <c r="J346" s="905" t="s">
        <v>40114</v>
      </c>
      <c r="K346" s="7" t="s">
        <v>40402</v>
      </c>
    </row>
    <row r="347">
      <c r="A347" s="202">
        <v>13461.0</v>
      </c>
      <c r="B347" s="7" t="s">
        <v>40403</v>
      </c>
      <c r="C347" s="7" t="s">
        <v>40404</v>
      </c>
      <c r="D347" s="7">
        <v>9438.0</v>
      </c>
      <c r="E347" s="902" t="s">
        <v>40405</v>
      </c>
      <c r="F347" s="902" t="s">
        <v>40406</v>
      </c>
      <c r="G347" s="903">
        <v>39498.0</v>
      </c>
      <c r="H347" s="904">
        <v>39493.0</v>
      </c>
      <c r="I347" s="7">
        <v>9437.0</v>
      </c>
      <c r="J347" s="905" t="s">
        <v>39303</v>
      </c>
      <c r="K347" s="7" t="s">
        <v>40407</v>
      </c>
    </row>
    <row r="348">
      <c r="A348" s="202">
        <v>13462.0</v>
      </c>
      <c r="B348" s="7" t="s">
        <v>40408</v>
      </c>
      <c r="C348" s="7" t="s">
        <v>40409</v>
      </c>
      <c r="D348" s="7">
        <v>11809.0</v>
      </c>
      <c r="E348" s="902" t="s">
        <v>40410</v>
      </c>
      <c r="F348" s="902" t="s">
        <v>40411</v>
      </c>
      <c r="G348" s="903">
        <v>39511.0</v>
      </c>
      <c r="H348" s="904">
        <v>39507.0</v>
      </c>
      <c r="I348" s="7">
        <v>11805.0</v>
      </c>
      <c r="J348" s="905" t="s">
        <v>40412</v>
      </c>
      <c r="K348" s="7" t="s">
        <v>40413</v>
      </c>
    </row>
    <row r="349">
      <c r="A349" s="202">
        <v>13463.0</v>
      </c>
      <c r="B349" s="7" t="s">
        <v>40414</v>
      </c>
      <c r="C349" s="907" t="s">
        <v>40415</v>
      </c>
      <c r="D349" s="7">
        <v>22047.0</v>
      </c>
      <c r="E349" s="902" t="s">
        <v>40416</v>
      </c>
      <c r="F349" s="902" t="s">
        <v>40417</v>
      </c>
      <c r="G349" s="903">
        <v>39561.0</v>
      </c>
      <c r="H349" s="904">
        <v>39556.0</v>
      </c>
      <c r="I349" s="7">
        <v>22047.0</v>
      </c>
      <c r="J349" s="905" t="s">
        <v>40418</v>
      </c>
      <c r="K349" s="7" t="s">
        <v>40419</v>
      </c>
    </row>
    <row r="350">
      <c r="A350" s="202">
        <v>13464.0</v>
      </c>
      <c r="B350" s="7" t="s">
        <v>40420</v>
      </c>
      <c r="C350" s="907" t="s">
        <v>40421</v>
      </c>
      <c r="D350" s="7">
        <v>24493.0</v>
      </c>
      <c r="E350" s="902" t="s">
        <v>40422</v>
      </c>
      <c r="F350" s="902" t="s">
        <v>40423</v>
      </c>
      <c r="G350" s="903">
        <v>39570.0</v>
      </c>
      <c r="H350" s="904">
        <v>39568.0</v>
      </c>
      <c r="I350" s="7">
        <v>24491.0</v>
      </c>
      <c r="J350" s="905" t="s">
        <v>40344</v>
      </c>
      <c r="K350" s="7" t="s">
        <v>40424</v>
      </c>
    </row>
    <row r="351">
      <c r="A351" s="202">
        <v>13465.0</v>
      </c>
      <c r="B351" s="7" t="s">
        <v>40425</v>
      </c>
      <c r="C351" s="907" t="s">
        <v>40426</v>
      </c>
      <c r="D351" s="7">
        <v>33287.0</v>
      </c>
      <c r="E351" s="902" t="s">
        <v>40427</v>
      </c>
      <c r="F351" s="902" t="s">
        <v>40428</v>
      </c>
      <c r="G351" s="903">
        <v>39610.0</v>
      </c>
      <c r="H351" s="904">
        <v>39605.0</v>
      </c>
      <c r="I351" s="7">
        <v>33285.0</v>
      </c>
      <c r="J351" s="905" t="s">
        <v>40429</v>
      </c>
      <c r="K351" s="7" t="s">
        <v>40430</v>
      </c>
    </row>
    <row r="352">
      <c r="A352" s="202">
        <v>13466.0</v>
      </c>
      <c r="B352" s="7" t="s">
        <v>40431</v>
      </c>
      <c r="C352" s="907" t="s">
        <v>40432</v>
      </c>
      <c r="D352" s="7">
        <v>36788.0</v>
      </c>
      <c r="E352" s="902" t="s">
        <v>40433</v>
      </c>
      <c r="F352" s="902" t="s">
        <v>40434</v>
      </c>
      <c r="G352" s="903">
        <v>39626.0</v>
      </c>
      <c r="H352" s="904">
        <v>39625.0</v>
      </c>
      <c r="I352" s="7">
        <v>36787.0</v>
      </c>
      <c r="J352" s="905" t="s">
        <v>40435</v>
      </c>
      <c r="K352" s="7" t="s">
        <v>40436</v>
      </c>
    </row>
    <row r="353">
      <c r="A353" s="202">
        <v>13467.0</v>
      </c>
      <c r="B353" s="7" t="s">
        <v>40437</v>
      </c>
      <c r="C353" s="907" t="s">
        <v>40438</v>
      </c>
      <c r="D353" s="7">
        <v>38108.0</v>
      </c>
      <c r="E353" s="902" t="s">
        <v>40439</v>
      </c>
      <c r="F353" s="902" t="s">
        <v>40440</v>
      </c>
      <c r="G353" s="903">
        <v>39631.0</v>
      </c>
      <c r="H353" s="904">
        <v>39629.0</v>
      </c>
      <c r="I353" s="7">
        <v>38103.0</v>
      </c>
      <c r="J353" s="905" t="s">
        <v>40441</v>
      </c>
      <c r="K353" s="7" t="s">
        <v>40442</v>
      </c>
    </row>
    <row r="354">
      <c r="A354" s="202">
        <v>13468.0</v>
      </c>
      <c r="B354" s="7" t="s">
        <v>40443</v>
      </c>
      <c r="C354" s="907" t="s">
        <v>40444</v>
      </c>
      <c r="D354" s="7">
        <v>43839.0</v>
      </c>
      <c r="E354" s="902" t="s">
        <v>40445</v>
      </c>
      <c r="F354" s="902" t="s">
        <v>40446</v>
      </c>
      <c r="G354" s="903">
        <v>39657.0</v>
      </c>
      <c r="H354" s="904">
        <v>39653.0</v>
      </c>
      <c r="I354" s="7">
        <v>43827.0</v>
      </c>
      <c r="J354" s="905" t="s">
        <v>40447</v>
      </c>
      <c r="K354" s="7" t="s">
        <v>40448</v>
      </c>
    </row>
    <row r="355">
      <c r="A355" s="202">
        <v>13469.0</v>
      </c>
      <c r="B355" s="7" t="s">
        <v>40449</v>
      </c>
      <c r="C355" s="907" t="s">
        <v>40450</v>
      </c>
      <c r="D355" s="7">
        <v>43843.0</v>
      </c>
      <c r="E355" s="902" t="s">
        <v>40451</v>
      </c>
      <c r="F355" s="902" t="s">
        <v>40452</v>
      </c>
      <c r="G355" s="903">
        <v>39658.0</v>
      </c>
      <c r="H355" s="904">
        <v>39654.0</v>
      </c>
      <c r="I355" s="7">
        <v>43841.0</v>
      </c>
      <c r="J355" s="905" t="s">
        <v>40074</v>
      </c>
      <c r="K355" s="7" t="s">
        <v>40453</v>
      </c>
    </row>
    <row r="356">
      <c r="A356" s="202">
        <v>13470.0</v>
      </c>
      <c r="B356" s="7" t="s">
        <v>40454</v>
      </c>
      <c r="C356" s="7" t="s">
        <v>40455</v>
      </c>
      <c r="D356" s="7">
        <v>45342.0</v>
      </c>
      <c r="E356" s="902" t="s">
        <v>40456</v>
      </c>
      <c r="F356" s="902" t="s">
        <v>40457</v>
      </c>
      <c r="G356" s="903">
        <v>39664.0</v>
      </c>
      <c r="H356" s="904">
        <v>39659.0</v>
      </c>
      <c r="I356" s="7">
        <v>45325.0</v>
      </c>
      <c r="J356" s="905" t="s">
        <v>40458</v>
      </c>
      <c r="K356" s="7" t="s">
        <v>40459</v>
      </c>
    </row>
    <row r="357">
      <c r="A357" s="202">
        <v>13471.0</v>
      </c>
      <c r="B357" s="7" t="s">
        <v>40460</v>
      </c>
      <c r="C357" s="7" t="s">
        <v>40461</v>
      </c>
      <c r="D357" s="7">
        <v>51209.0</v>
      </c>
      <c r="E357" s="902" t="s">
        <v>40462</v>
      </c>
      <c r="F357" s="902" t="s">
        <v>40463</v>
      </c>
      <c r="G357" s="903">
        <v>39693.0</v>
      </c>
      <c r="H357" s="904">
        <v>39688.0</v>
      </c>
      <c r="I357" s="7">
        <v>51209.0</v>
      </c>
      <c r="J357" s="905" t="s">
        <v>40464</v>
      </c>
      <c r="K357" s="7" t="s">
        <v>39963</v>
      </c>
    </row>
    <row r="358">
      <c r="A358" s="202">
        <v>13472.0</v>
      </c>
      <c r="B358" s="7" t="s">
        <v>40465</v>
      </c>
      <c r="C358" s="7" t="s">
        <v>40466</v>
      </c>
      <c r="D358" s="7">
        <v>53354.0</v>
      </c>
      <c r="E358" s="902" t="s">
        <v>40467</v>
      </c>
      <c r="F358" s="902" t="s">
        <v>40468</v>
      </c>
      <c r="G358" s="903">
        <v>39706.0</v>
      </c>
      <c r="H358" s="904">
        <v>39702.0</v>
      </c>
      <c r="I358" s="7">
        <v>53353.0</v>
      </c>
      <c r="J358" s="905" t="s">
        <v>40469</v>
      </c>
      <c r="K358" s="7" t="s">
        <v>40470</v>
      </c>
    </row>
    <row r="359">
      <c r="A359" s="202">
        <v>13473.0</v>
      </c>
      <c r="B359" s="7" t="s">
        <v>40471</v>
      </c>
      <c r="C359" s="7" t="s">
        <v>40472</v>
      </c>
      <c r="D359" s="7">
        <v>56704.0</v>
      </c>
      <c r="E359" s="902" t="s">
        <v>40473</v>
      </c>
      <c r="F359" s="902" t="s">
        <v>40474</v>
      </c>
      <c r="G359" s="903">
        <v>39721.0</v>
      </c>
      <c r="H359" s="904">
        <v>39716.0</v>
      </c>
      <c r="I359" s="7">
        <v>56703.0</v>
      </c>
      <c r="J359" s="905" t="s">
        <v>40475</v>
      </c>
    </row>
    <row r="360">
      <c r="A360" s="202">
        <v>13474.0</v>
      </c>
      <c r="B360" s="7" t="s">
        <v>40476</v>
      </c>
      <c r="C360" s="7" t="s">
        <v>40477</v>
      </c>
      <c r="D360" s="7">
        <v>57230.0</v>
      </c>
      <c r="E360" s="902" t="s">
        <v>40478</v>
      </c>
      <c r="F360" s="902" t="s">
        <v>40479</v>
      </c>
      <c r="G360" s="903">
        <v>39722.0</v>
      </c>
      <c r="H360" s="904">
        <v>39717.0</v>
      </c>
      <c r="I360" s="7">
        <v>57229.0</v>
      </c>
      <c r="J360" s="905" t="s">
        <v>40480</v>
      </c>
      <c r="K360" s="7" t="s">
        <v>40481</v>
      </c>
    </row>
    <row r="361">
      <c r="A361" s="202">
        <v>13475.0</v>
      </c>
      <c r="B361" s="7" t="s">
        <v>40482</v>
      </c>
      <c r="C361" s="7" t="s">
        <v>40483</v>
      </c>
      <c r="D361" s="7">
        <v>60096.0</v>
      </c>
      <c r="E361" s="902" t="s">
        <v>40484</v>
      </c>
      <c r="F361" s="902" t="s">
        <v>40485</v>
      </c>
      <c r="G361" s="906">
        <v>39731.0</v>
      </c>
      <c r="H361" s="904">
        <v>39728.0</v>
      </c>
      <c r="I361" s="7">
        <v>60095.0</v>
      </c>
      <c r="J361" s="905" t="s">
        <v>40486</v>
      </c>
      <c r="K361" s="7" t="s">
        <v>40028</v>
      </c>
    </row>
    <row r="362">
      <c r="A362" s="202">
        <v>13476.0</v>
      </c>
      <c r="B362" s="7" t="s">
        <v>40487</v>
      </c>
      <c r="C362" s="7" t="s">
        <v>40488</v>
      </c>
      <c r="D362" s="7">
        <v>60607.0</v>
      </c>
      <c r="E362" s="902" t="s">
        <v>40489</v>
      </c>
      <c r="F362" s="902" t="s">
        <v>40490</v>
      </c>
      <c r="G362" s="906">
        <v>39735.0</v>
      </c>
      <c r="H362" s="904">
        <v>39730.0</v>
      </c>
      <c r="I362" s="7">
        <v>60605.0</v>
      </c>
      <c r="J362" s="905" t="s">
        <v>38899</v>
      </c>
      <c r="K362" s="7" t="s">
        <v>40491</v>
      </c>
    </row>
    <row r="363">
      <c r="A363" s="202">
        <v>13477.0</v>
      </c>
      <c r="B363" s="7" t="s">
        <v>40492</v>
      </c>
      <c r="C363" s="7" t="s">
        <v>40493</v>
      </c>
      <c r="D363" s="7">
        <v>65966.0</v>
      </c>
      <c r="E363" s="902" t="s">
        <v>40494</v>
      </c>
      <c r="F363" s="902" t="s">
        <v>40495</v>
      </c>
      <c r="G363" s="903">
        <v>39757.0</v>
      </c>
      <c r="H363" s="904">
        <v>39752.0</v>
      </c>
      <c r="I363" s="7">
        <v>65965.0</v>
      </c>
      <c r="J363" s="905" t="s">
        <v>40496</v>
      </c>
    </row>
    <row r="364">
      <c r="A364" s="202">
        <v>13478.0</v>
      </c>
      <c r="B364" s="7" t="s">
        <v>40497</v>
      </c>
      <c r="C364" s="7" t="s">
        <v>40498</v>
      </c>
      <c r="D364" s="7">
        <v>70240.0</v>
      </c>
      <c r="E364" s="902" t="s">
        <v>40499</v>
      </c>
      <c r="F364" s="902" t="s">
        <v>40500</v>
      </c>
      <c r="G364" s="906">
        <v>39772.0</v>
      </c>
      <c r="H364" s="904">
        <v>39770.0</v>
      </c>
      <c r="I364" s="7">
        <v>70239.0</v>
      </c>
      <c r="J364" s="905" t="s">
        <v>40501</v>
      </c>
      <c r="K364" s="7" t="s">
        <v>40502</v>
      </c>
    </row>
    <row r="365">
      <c r="A365" s="202">
        <v>13479.0</v>
      </c>
      <c r="B365" s="7" t="s">
        <v>40503</v>
      </c>
      <c r="C365" s="7" t="s">
        <v>40504</v>
      </c>
      <c r="D365" s="7">
        <v>70243.0</v>
      </c>
      <c r="E365" s="902" t="s">
        <v>40505</v>
      </c>
      <c r="F365" s="902" t="s">
        <v>40506</v>
      </c>
      <c r="G365" s="906">
        <v>39772.0</v>
      </c>
      <c r="H365" s="904">
        <v>39770.0</v>
      </c>
      <c r="I365" s="7">
        <v>70241.0</v>
      </c>
      <c r="J365" s="905" t="s">
        <v>40507</v>
      </c>
      <c r="K365" s="7" t="s">
        <v>40508</v>
      </c>
    </row>
    <row r="366">
      <c r="A366" s="202">
        <v>13480.0</v>
      </c>
      <c r="B366" s="7" t="s">
        <v>40509</v>
      </c>
      <c r="C366" s="7" t="s">
        <v>40510</v>
      </c>
      <c r="D366" s="7">
        <v>73993.0</v>
      </c>
      <c r="E366" s="902" t="s">
        <v>40511</v>
      </c>
      <c r="F366" s="902" t="s">
        <v>40512</v>
      </c>
      <c r="G366" s="903">
        <v>39786.0</v>
      </c>
      <c r="H366" s="904">
        <v>39778.0</v>
      </c>
      <c r="I366" s="7">
        <v>73991.0</v>
      </c>
      <c r="J366" s="905" t="s">
        <v>40513</v>
      </c>
      <c r="K366" s="7" t="s">
        <v>39316</v>
      </c>
    </row>
    <row r="367">
      <c r="A367" s="202">
        <v>13481.0</v>
      </c>
      <c r="B367" s="7" t="s">
        <v>40514</v>
      </c>
      <c r="C367" s="7" t="s">
        <v>40515</v>
      </c>
      <c r="D367" s="7">
        <v>75532.0</v>
      </c>
      <c r="E367" s="902" t="s">
        <v>40516</v>
      </c>
      <c r="F367" s="902" t="s">
        <v>40517</v>
      </c>
      <c r="G367" s="906">
        <v>39793.0</v>
      </c>
      <c r="H367" s="904">
        <v>39791.0</v>
      </c>
      <c r="I367" s="7">
        <v>75531.0</v>
      </c>
      <c r="J367" s="905" t="s">
        <v>40518</v>
      </c>
      <c r="K367" s="7" t="s">
        <v>40519</v>
      </c>
    </row>
    <row r="368">
      <c r="A368" s="202">
        <v>13482.0</v>
      </c>
      <c r="B368" s="7" t="s">
        <v>40520</v>
      </c>
      <c r="C368" s="7" t="s">
        <v>40521</v>
      </c>
      <c r="D368" s="7">
        <v>76501.0</v>
      </c>
      <c r="E368" s="902" t="s">
        <v>40522</v>
      </c>
      <c r="F368" s="902" t="s">
        <v>40523</v>
      </c>
      <c r="G368" s="906">
        <v>39798.0</v>
      </c>
      <c r="H368" s="904">
        <v>39794.0</v>
      </c>
      <c r="I368" s="7">
        <v>76501.0</v>
      </c>
      <c r="J368" s="905" t="s">
        <v>40524</v>
      </c>
      <c r="K368" s="7" t="s">
        <v>39804</v>
      </c>
    </row>
    <row r="369">
      <c r="A369" s="202">
        <v>13483.0</v>
      </c>
      <c r="B369" s="7" t="s">
        <v>40525</v>
      </c>
      <c r="C369" s="7" t="s">
        <v>40526</v>
      </c>
      <c r="D369" s="7">
        <v>78598.0</v>
      </c>
      <c r="E369" s="902" t="s">
        <v>40527</v>
      </c>
      <c r="F369" s="902" t="s">
        <v>40528</v>
      </c>
      <c r="G369" s="906">
        <v>39805.0</v>
      </c>
      <c r="H369" s="904">
        <v>39800.0</v>
      </c>
      <c r="I369" s="7">
        <v>78587.0</v>
      </c>
      <c r="J369" s="905" t="s">
        <v>38718</v>
      </c>
      <c r="K369" s="7" t="s">
        <v>40529</v>
      </c>
    </row>
    <row r="370">
      <c r="A370" s="202">
        <v>13484.0</v>
      </c>
      <c r="B370" s="7" t="s">
        <v>40530</v>
      </c>
      <c r="C370" s="7" t="s">
        <v>40531</v>
      </c>
      <c r="D370" s="7">
        <v>2286.0</v>
      </c>
      <c r="E370" s="902" t="s">
        <v>40532</v>
      </c>
      <c r="F370" s="902" t="s">
        <v>40533</v>
      </c>
      <c r="G370" s="903">
        <v>39827.0</v>
      </c>
      <c r="H370" s="904">
        <v>39822.0</v>
      </c>
      <c r="I370" s="7">
        <v>2285.0</v>
      </c>
      <c r="J370" s="905" t="s">
        <v>40534</v>
      </c>
      <c r="K370" s="7" t="s">
        <v>40535</v>
      </c>
    </row>
    <row r="371">
      <c r="A371" s="202">
        <v>13485.0</v>
      </c>
      <c r="B371" s="7" t="s">
        <v>40536</v>
      </c>
      <c r="C371" s="7" t="s">
        <v>40537</v>
      </c>
      <c r="D371" s="7">
        <v>2288.0</v>
      </c>
      <c r="E371" s="902" t="s">
        <v>40538</v>
      </c>
      <c r="F371" s="902" t="s">
        <v>40539</v>
      </c>
      <c r="G371" s="903">
        <v>39827.0</v>
      </c>
      <c r="H371" s="904">
        <v>39822.0</v>
      </c>
      <c r="I371" s="7">
        <v>2287.0</v>
      </c>
      <c r="J371" s="905" t="s">
        <v>40540</v>
      </c>
      <c r="K371" s="7" t="s">
        <v>40541</v>
      </c>
    </row>
    <row r="372">
      <c r="A372" s="202">
        <v>13486.0</v>
      </c>
      <c r="B372" s="7" t="s">
        <v>40542</v>
      </c>
      <c r="C372" s="7" t="s">
        <v>40543</v>
      </c>
      <c r="D372" s="7">
        <v>2291.0</v>
      </c>
      <c r="E372" s="902" t="s">
        <v>40544</v>
      </c>
      <c r="F372" s="902" t="s">
        <v>40545</v>
      </c>
      <c r="G372" s="903">
        <v>39827.0</v>
      </c>
      <c r="H372" s="904">
        <v>39822.0</v>
      </c>
      <c r="I372" s="7">
        <v>2289.0</v>
      </c>
      <c r="J372" s="905" t="s">
        <v>40546</v>
      </c>
    </row>
    <row r="373">
      <c r="A373" s="202">
        <v>13487.0</v>
      </c>
      <c r="B373" s="7" t="s">
        <v>40547</v>
      </c>
      <c r="C373" s="7" t="s">
        <v>40548</v>
      </c>
      <c r="D373" s="7">
        <v>4098.0</v>
      </c>
      <c r="E373" s="902" t="s">
        <v>40549</v>
      </c>
      <c r="F373" s="902" t="s">
        <v>40550</v>
      </c>
      <c r="G373" s="903">
        <v>39835.0</v>
      </c>
      <c r="H373" s="904">
        <v>39829.0</v>
      </c>
      <c r="I373" s="7">
        <v>4097.0</v>
      </c>
      <c r="J373" s="905" t="s">
        <v>40551</v>
      </c>
    </row>
    <row r="374">
      <c r="A374" s="202">
        <v>13488.0</v>
      </c>
      <c r="B374" s="7" t="s">
        <v>40552</v>
      </c>
      <c r="C374" s="7" t="s">
        <v>40553</v>
      </c>
      <c r="D374" s="7">
        <v>4113.0</v>
      </c>
      <c r="E374" s="902" t="s">
        <v>40554</v>
      </c>
      <c r="F374" s="902" t="s">
        <v>40555</v>
      </c>
      <c r="G374" s="903">
        <v>39835.0</v>
      </c>
      <c r="H374" s="904">
        <v>39829.0</v>
      </c>
      <c r="I374" s="7">
        <v>4111.0</v>
      </c>
      <c r="J374" s="905" t="s">
        <v>40556</v>
      </c>
      <c r="K374" s="7" t="s">
        <v>40557</v>
      </c>
    </row>
    <row r="375">
      <c r="A375" s="202">
        <v>13489.0</v>
      </c>
      <c r="B375" s="7" t="s">
        <v>40558</v>
      </c>
      <c r="C375" s="7" t="s">
        <v>40559</v>
      </c>
      <c r="D375" s="7">
        <v>4671.0</v>
      </c>
      <c r="E375" s="902" t="s">
        <v>40560</v>
      </c>
      <c r="F375" s="902" t="s">
        <v>40561</v>
      </c>
      <c r="G375" s="903">
        <v>39839.0</v>
      </c>
      <c r="H375" s="904">
        <v>39834.0</v>
      </c>
      <c r="I375" s="7">
        <v>4669.0</v>
      </c>
      <c r="J375" s="905" t="s">
        <v>40562</v>
      </c>
      <c r="K375" s="7" t="s">
        <v>40563</v>
      </c>
    </row>
    <row r="376">
      <c r="A376" s="202">
        <v>13490.0</v>
      </c>
      <c r="B376" s="7" t="s">
        <v>40564</v>
      </c>
      <c r="C376" s="7" t="s">
        <v>40565</v>
      </c>
      <c r="D376" s="7">
        <v>4678.0</v>
      </c>
      <c r="E376" s="902" t="s">
        <v>40566</v>
      </c>
      <c r="F376" s="902" t="s">
        <v>40567</v>
      </c>
      <c r="G376" s="903">
        <v>39839.0</v>
      </c>
      <c r="H376" s="904">
        <v>39834.0</v>
      </c>
      <c r="I376" s="7">
        <v>4673.0</v>
      </c>
      <c r="J376" s="905" t="s">
        <v>40568</v>
      </c>
      <c r="K376" s="7" t="s">
        <v>40569</v>
      </c>
    </row>
    <row r="377">
      <c r="A377" s="202">
        <v>13491.0</v>
      </c>
      <c r="B377" s="7" t="s">
        <v>40570</v>
      </c>
      <c r="C377" s="7" t="s">
        <v>40571</v>
      </c>
      <c r="D377" s="7">
        <v>4896.0</v>
      </c>
      <c r="E377" s="902" t="s">
        <v>40572</v>
      </c>
      <c r="F377" s="902" t="s">
        <v>40573</v>
      </c>
      <c r="G377" s="903">
        <v>39840.0</v>
      </c>
      <c r="H377" s="904">
        <v>39835.0</v>
      </c>
      <c r="I377" s="7">
        <v>4893.0</v>
      </c>
      <c r="J377" s="905" t="s">
        <v>40574</v>
      </c>
      <c r="K377" s="7" t="s">
        <v>40575</v>
      </c>
    </row>
    <row r="378">
      <c r="A378" s="202">
        <v>13492.0</v>
      </c>
      <c r="B378" s="7" t="s">
        <v>40576</v>
      </c>
      <c r="C378" s="7" t="s">
        <v>40577</v>
      </c>
      <c r="D378" s="7">
        <v>4900.0</v>
      </c>
      <c r="E378" s="902" t="s">
        <v>40578</v>
      </c>
      <c r="F378" s="902" t="s">
        <v>40579</v>
      </c>
      <c r="G378" s="903">
        <v>39840.0</v>
      </c>
      <c r="H378" s="904">
        <v>39835.0</v>
      </c>
      <c r="I378" s="7">
        <v>4897.0</v>
      </c>
      <c r="J378" s="905" t="s">
        <v>40580</v>
      </c>
      <c r="K378" s="7" t="s">
        <v>40581</v>
      </c>
    </row>
    <row r="379">
      <c r="A379" s="202">
        <v>13493.0</v>
      </c>
      <c r="B379" s="7" t="s">
        <v>40582</v>
      </c>
      <c r="C379" s="7" t="s">
        <v>40583</v>
      </c>
      <c r="D379" s="7">
        <v>4902.0</v>
      </c>
      <c r="E379" s="902" t="s">
        <v>40584</v>
      </c>
      <c r="F379" s="902" t="s">
        <v>40585</v>
      </c>
      <c r="G379" s="903">
        <v>39840.0</v>
      </c>
      <c r="H379" s="904">
        <v>39835.0</v>
      </c>
      <c r="I379" s="7">
        <v>4901.0</v>
      </c>
      <c r="J379" s="905" t="s">
        <v>40586</v>
      </c>
    </row>
    <row r="380">
      <c r="A380" s="202">
        <v>13494.0</v>
      </c>
      <c r="B380" s="7" t="s">
        <v>40587</v>
      </c>
      <c r="C380" s="7" t="s">
        <v>40588</v>
      </c>
      <c r="D380" s="7">
        <v>6102.0</v>
      </c>
      <c r="E380" s="902" t="s">
        <v>40589</v>
      </c>
      <c r="F380" s="902" t="s">
        <v>40590</v>
      </c>
      <c r="G380" s="903">
        <v>39848.0</v>
      </c>
      <c r="H380" s="904">
        <v>39843.0</v>
      </c>
      <c r="I380" s="7">
        <v>6101.0</v>
      </c>
      <c r="J380" s="905" t="s">
        <v>40591</v>
      </c>
      <c r="K380" s="7" t="s">
        <v>40592</v>
      </c>
    </row>
    <row r="381">
      <c r="A381" s="202">
        <v>13495.0</v>
      </c>
      <c r="B381" s="7" t="s">
        <v>40593</v>
      </c>
      <c r="C381" s="7" t="s">
        <v>40594</v>
      </c>
      <c r="D381" s="7">
        <v>6106.0</v>
      </c>
      <c r="E381" s="902" t="s">
        <v>40595</v>
      </c>
      <c r="F381" s="902" t="s">
        <v>40596</v>
      </c>
      <c r="G381" s="903">
        <v>39848.0</v>
      </c>
      <c r="H381" s="904">
        <v>39843.0</v>
      </c>
      <c r="I381" s="7">
        <v>6103.0</v>
      </c>
      <c r="J381" s="905" t="s">
        <v>40597</v>
      </c>
      <c r="K381" s="7" t="s">
        <v>40598</v>
      </c>
    </row>
    <row r="382">
      <c r="A382" s="202">
        <v>13496.0</v>
      </c>
      <c r="B382" s="7" t="s">
        <v>40599</v>
      </c>
      <c r="C382" s="7" t="s">
        <v>40600</v>
      </c>
      <c r="D382" s="7">
        <v>6111.0</v>
      </c>
      <c r="E382" s="902" t="s">
        <v>40601</v>
      </c>
      <c r="F382" s="902" t="s">
        <v>40602</v>
      </c>
      <c r="G382" s="903">
        <v>39848.0</v>
      </c>
      <c r="H382" s="904">
        <v>39843.0</v>
      </c>
      <c r="I382" s="7">
        <v>6107.0</v>
      </c>
      <c r="J382" s="905" t="s">
        <v>40603</v>
      </c>
      <c r="K382" s="7" t="s">
        <v>40604</v>
      </c>
    </row>
    <row r="383">
      <c r="A383" s="202">
        <v>13497.0</v>
      </c>
      <c r="B383" s="7" t="s">
        <v>40605</v>
      </c>
      <c r="C383" s="7" t="s">
        <v>40606</v>
      </c>
      <c r="D383" s="7">
        <v>6113.0</v>
      </c>
      <c r="E383" s="902" t="s">
        <v>40607</v>
      </c>
      <c r="F383" s="902" t="s">
        <v>40608</v>
      </c>
      <c r="G383" s="903">
        <v>39848.0</v>
      </c>
      <c r="H383" s="904">
        <v>39843.0</v>
      </c>
      <c r="I383" s="7">
        <v>6113.0</v>
      </c>
      <c r="J383" s="905" t="s">
        <v>40609</v>
      </c>
      <c r="K383" s="7" t="s">
        <v>40610</v>
      </c>
    </row>
    <row r="384">
      <c r="A384" s="202">
        <v>13498.0</v>
      </c>
      <c r="B384" s="7" t="s">
        <v>40611</v>
      </c>
      <c r="C384" s="7" t="s">
        <v>40612</v>
      </c>
      <c r="D384" s="7">
        <v>6535.0</v>
      </c>
      <c r="E384" s="902" t="s">
        <v>40613</v>
      </c>
      <c r="F384" s="902" t="s">
        <v>40614</v>
      </c>
      <c r="G384" s="903">
        <v>39853.0</v>
      </c>
      <c r="H384" s="904">
        <v>39849.0</v>
      </c>
      <c r="I384" s="7">
        <v>6533.0</v>
      </c>
      <c r="J384" s="905" t="s">
        <v>40615</v>
      </c>
      <c r="K384" s="7" t="s">
        <v>40616</v>
      </c>
    </row>
    <row r="385">
      <c r="A385" s="202">
        <v>13499.0</v>
      </c>
      <c r="B385" s="7" t="s">
        <v>40617</v>
      </c>
      <c r="C385" s="7" t="s">
        <v>40618</v>
      </c>
      <c r="D385" s="7">
        <v>6979.0</v>
      </c>
      <c r="E385" s="902" t="s">
        <v>40619</v>
      </c>
      <c r="F385" s="902" t="s">
        <v>40620</v>
      </c>
      <c r="G385" s="903">
        <v>39855.0</v>
      </c>
      <c r="H385" s="904">
        <v>39849.0</v>
      </c>
      <c r="I385" s="7">
        <v>6979.0</v>
      </c>
      <c r="J385" s="905" t="s">
        <v>40621</v>
      </c>
      <c r="K385" s="7" t="s">
        <v>40622</v>
      </c>
    </row>
    <row r="386">
      <c r="A386" s="202">
        <v>13500.0</v>
      </c>
      <c r="B386" s="7" t="s">
        <v>40623</v>
      </c>
      <c r="C386" s="7" t="s">
        <v>40624</v>
      </c>
      <c r="D386" s="7">
        <v>6981.0</v>
      </c>
      <c r="E386" s="902" t="s">
        <v>40625</v>
      </c>
      <c r="F386" s="902" t="s">
        <v>40626</v>
      </c>
      <c r="G386" s="903">
        <v>39855.0</v>
      </c>
      <c r="H386" s="904">
        <v>39849.0</v>
      </c>
      <c r="I386" s="7">
        <v>6981.0</v>
      </c>
      <c r="J386" s="905" t="s">
        <v>40627</v>
      </c>
      <c r="K386" s="7" t="s">
        <v>40628</v>
      </c>
    </row>
    <row r="387">
      <c r="A387" s="202">
        <v>13501.0</v>
      </c>
      <c r="B387" s="7" t="s">
        <v>40629</v>
      </c>
      <c r="C387" s="7" t="s">
        <v>40630</v>
      </c>
      <c r="D387" s="7">
        <v>6984.0</v>
      </c>
      <c r="E387" s="902" t="s">
        <v>40631</v>
      </c>
      <c r="F387" s="902" t="s">
        <v>40632</v>
      </c>
      <c r="G387" s="903">
        <v>39855.0</v>
      </c>
      <c r="H387" s="904">
        <v>39850.0</v>
      </c>
      <c r="I387" s="7">
        <v>6983.0</v>
      </c>
      <c r="J387" s="905" t="s">
        <v>40633</v>
      </c>
      <c r="K387" s="7" t="s">
        <v>40634</v>
      </c>
    </row>
    <row r="388">
      <c r="A388" s="202">
        <v>13502.0</v>
      </c>
      <c r="B388" s="7" t="s">
        <v>40635</v>
      </c>
      <c r="C388" s="7" t="s">
        <v>40636</v>
      </c>
      <c r="D388" s="7">
        <v>6987.0</v>
      </c>
      <c r="E388" s="902" t="s">
        <v>40637</v>
      </c>
      <c r="F388" s="902" t="s">
        <v>40638</v>
      </c>
      <c r="G388" s="903">
        <v>39855.0</v>
      </c>
      <c r="H388" s="904">
        <v>39850.0</v>
      </c>
      <c r="I388" s="7">
        <v>6985.0</v>
      </c>
      <c r="J388" s="905" t="s">
        <v>40639</v>
      </c>
      <c r="K388" s="7" t="s">
        <v>40640</v>
      </c>
    </row>
    <row r="389">
      <c r="A389" s="202">
        <v>13503.0</v>
      </c>
      <c r="B389" s="7" t="s">
        <v>40641</v>
      </c>
      <c r="C389" s="7" t="s">
        <v>40642</v>
      </c>
      <c r="D389" s="7">
        <v>8140.0</v>
      </c>
      <c r="E389" s="902" t="s">
        <v>40643</v>
      </c>
      <c r="F389" s="902" t="s">
        <v>40644</v>
      </c>
      <c r="G389" s="903">
        <v>39868.0</v>
      </c>
      <c r="H389" s="904">
        <v>39863.0</v>
      </c>
      <c r="I389" s="7">
        <v>8139.0</v>
      </c>
      <c r="J389" s="905" t="s">
        <v>40645</v>
      </c>
    </row>
    <row r="390">
      <c r="A390" s="202">
        <v>13504.0</v>
      </c>
      <c r="B390" s="7" t="s">
        <v>40646</v>
      </c>
      <c r="C390" s="7" t="s">
        <v>40647</v>
      </c>
      <c r="D390" s="7">
        <v>8431.0</v>
      </c>
      <c r="E390" s="902" t="s">
        <v>40648</v>
      </c>
      <c r="F390" s="902" t="s">
        <v>40649</v>
      </c>
      <c r="G390" s="903">
        <v>39868.0</v>
      </c>
      <c r="H390" s="904">
        <v>39864.0</v>
      </c>
      <c r="I390" s="7">
        <v>8431.0</v>
      </c>
      <c r="J390" s="905" t="s">
        <v>40650</v>
      </c>
      <c r="K390" s="7" t="s">
        <v>40651</v>
      </c>
    </row>
    <row r="391">
      <c r="A391" s="202">
        <v>13505.0</v>
      </c>
      <c r="B391" s="7" t="s">
        <v>40652</v>
      </c>
      <c r="C391" s="7" t="s">
        <v>40653</v>
      </c>
      <c r="D391" s="7">
        <v>10668.0</v>
      </c>
      <c r="E391" s="902" t="s">
        <v>40654</v>
      </c>
      <c r="F391" s="902" t="s">
        <v>40655</v>
      </c>
      <c r="G391" s="903">
        <v>39883.0</v>
      </c>
      <c r="H391" s="904">
        <v>39881.0</v>
      </c>
      <c r="I391" s="7">
        <v>10667.0</v>
      </c>
      <c r="J391" s="905" t="s">
        <v>40656</v>
      </c>
      <c r="K391" s="7" t="s">
        <v>40657</v>
      </c>
    </row>
    <row r="392">
      <c r="A392" s="202">
        <v>13506.0</v>
      </c>
      <c r="B392" s="7" t="s">
        <v>40658</v>
      </c>
      <c r="C392" s="7" t="s">
        <v>40659</v>
      </c>
      <c r="D392" s="7">
        <v>11273.0</v>
      </c>
      <c r="E392" s="902" t="s">
        <v>40660</v>
      </c>
      <c r="F392" s="902" t="s">
        <v>40661</v>
      </c>
      <c r="G392" s="903">
        <v>39888.0</v>
      </c>
      <c r="H392" s="904">
        <v>39883.0</v>
      </c>
      <c r="I392" s="7">
        <v>11271.0</v>
      </c>
      <c r="J392" s="905" t="s">
        <v>40662</v>
      </c>
    </row>
    <row r="393">
      <c r="A393" s="202">
        <v>13507.0</v>
      </c>
      <c r="B393" s="7" t="s">
        <v>40663</v>
      </c>
      <c r="C393" s="7" t="s">
        <v>40664</v>
      </c>
      <c r="D393" s="7">
        <v>17073.0</v>
      </c>
      <c r="E393" s="902" t="s">
        <v>40665</v>
      </c>
      <c r="F393" s="902" t="s">
        <v>40666</v>
      </c>
      <c r="G393" s="903">
        <v>39916.0</v>
      </c>
      <c r="H393" s="904">
        <v>39911.0</v>
      </c>
      <c r="I393" s="7">
        <v>17071.0</v>
      </c>
      <c r="J393" s="905" t="s">
        <v>40667</v>
      </c>
      <c r="K393" s="7" t="s">
        <v>40668</v>
      </c>
    </row>
    <row r="394">
      <c r="A394" s="202">
        <v>13508.0</v>
      </c>
      <c r="B394" s="7" t="s">
        <v>40669</v>
      </c>
      <c r="C394" s="7" t="s">
        <v>40670</v>
      </c>
      <c r="D394" s="7">
        <v>23104.0</v>
      </c>
      <c r="E394" s="902" t="s">
        <v>40671</v>
      </c>
      <c r="F394" s="902" t="s">
        <v>40672</v>
      </c>
      <c r="G394" s="903">
        <v>39948.0</v>
      </c>
      <c r="H394" s="904">
        <v>39945.0</v>
      </c>
      <c r="I394" s="7">
        <v>23099.0</v>
      </c>
      <c r="J394" s="905" t="s">
        <v>40673</v>
      </c>
    </row>
    <row r="395">
      <c r="A395" s="202">
        <v>13509.0</v>
      </c>
      <c r="B395" s="7" t="s">
        <v>40674</v>
      </c>
      <c r="C395" s="7" t="s">
        <v>40675</v>
      </c>
      <c r="D395" s="7">
        <v>30905.0</v>
      </c>
      <c r="E395" s="902" t="s">
        <v>40676</v>
      </c>
      <c r="F395" s="902" t="s">
        <v>40677</v>
      </c>
      <c r="G395" s="903">
        <v>39990.0</v>
      </c>
      <c r="H395" s="904">
        <v>39987.0</v>
      </c>
      <c r="I395" s="7">
        <v>30903.0</v>
      </c>
      <c r="J395" s="905" t="s">
        <v>40678</v>
      </c>
      <c r="K395" s="7" t="s">
        <v>40679</v>
      </c>
    </row>
    <row r="396">
      <c r="A396" s="202">
        <v>13510.0</v>
      </c>
      <c r="B396" s="7" t="s">
        <v>40680</v>
      </c>
      <c r="C396" s="7" t="s">
        <v>40681</v>
      </c>
      <c r="D396" s="7">
        <v>32047.0</v>
      </c>
      <c r="E396" s="902" t="s">
        <v>40682</v>
      </c>
      <c r="F396" s="902" t="s">
        <v>40683</v>
      </c>
      <c r="G396" s="903">
        <v>40000.0</v>
      </c>
      <c r="H396" s="904">
        <v>39995.0</v>
      </c>
      <c r="I396" s="7">
        <v>32047.0</v>
      </c>
      <c r="J396" s="905" t="s">
        <v>39131</v>
      </c>
    </row>
    <row r="397">
      <c r="A397" s="202">
        <v>13511.0</v>
      </c>
      <c r="B397" s="7" t="s">
        <v>40684</v>
      </c>
      <c r="C397" s="7" t="s">
        <v>40685</v>
      </c>
      <c r="D397" s="7">
        <v>50910.0</v>
      </c>
      <c r="E397" s="902" t="s">
        <v>40686</v>
      </c>
      <c r="F397" s="902" t="s">
        <v>40687</v>
      </c>
      <c r="G397" s="903">
        <v>40087.0</v>
      </c>
      <c r="H397" s="904">
        <v>40085.0</v>
      </c>
      <c r="I397" s="7">
        <v>50909.0</v>
      </c>
      <c r="J397" s="905" t="s">
        <v>38683</v>
      </c>
      <c r="K397" s="7" t="s">
        <v>40688</v>
      </c>
    </row>
    <row r="398">
      <c r="A398" s="202">
        <v>13512.0</v>
      </c>
      <c r="B398" s="7" t="s">
        <v>40689</v>
      </c>
      <c r="C398" s="7" t="s">
        <v>40690</v>
      </c>
      <c r="D398" s="7">
        <v>50911.0</v>
      </c>
      <c r="E398" s="902" t="s">
        <v>40691</v>
      </c>
      <c r="F398" s="902" t="s">
        <v>40692</v>
      </c>
      <c r="G398" s="903">
        <v>40088.0</v>
      </c>
      <c r="H398" s="904">
        <v>40085.0</v>
      </c>
      <c r="I398" s="7">
        <v>50911.0</v>
      </c>
      <c r="J398" s="905" t="s">
        <v>40650</v>
      </c>
      <c r="K398" s="7" t="s">
        <v>40651</v>
      </c>
    </row>
    <row r="399">
      <c r="A399" s="202">
        <v>13513.0</v>
      </c>
      <c r="B399" s="7" t="s">
        <v>40693</v>
      </c>
      <c r="C399" s="7" t="s">
        <v>40694</v>
      </c>
      <c r="D399" s="7">
        <v>51227.0</v>
      </c>
      <c r="E399" s="902" t="s">
        <v>40695</v>
      </c>
      <c r="F399" s="902" t="s">
        <v>40696</v>
      </c>
      <c r="G399" s="903">
        <v>40092.0</v>
      </c>
      <c r="H399" s="904">
        <v>40087.0</v>
      </c>
      <c r="I399" s="7">
        <v>51225.0</v>
      </c>
      <c r="J399" s="905" t="s">
        <v>40697</v>
      </c>
    </row>
    <row r="400">
      <c r="A400" s="202">
        <v>13514.0</v>
      </c>
      <c r="B400" s="7" t="s">
        <v>40698</v>
      </c>
      <c r="C400" s="7" t="s">
        <v>40699</v>
      </c>
      <c r="D400" s="7">
        <v>52127.0</v>
      </c>
      <c r="E400" s="902" t="s">
        <v>40700</v>
      </c>
      <c r="F400" s="902" t="s">
        <v>40701</v>
      </c>
      <c r="G400" s="903">
        <v>40094.0</v>
      </c>
      <c r="H400" s="904">
        <v>40091.0</v>
      </c>
      <c r="I400" s="7">
        <v>52117.0</v>
      </c>
      <c r="J400" s="905" t="s">
        <v>40702</v>
      </c>
      <c r="K400" s="7" t="s">
        <v>40703</v>
      </c>
    </row>
    <row r="401">
      <c r="A401" s="202">
        <v>13515.0</v>
      </c>
      <c r="B401" s="7" t="s">
        <v>40704</v>
      </c>
      <c r="C401" s="7" t="s">
        <v>40705</v>
      </c>
      <c r="D401" s="7">
        <v>53638.0</v>
      </c>
      <c r="E401" s="902" t="s">
        <v>40706</v>
      </c>
      <c r="F401" s="902" t="s">
        <v>40707</v>
      </c>
      <c r="G401" s="906">
        <v>40105.0</v>
      </c>
      <c r="H401" s="904">
        <v>40100.0</v>
      </c>
      <c r="I401" s="7">
        <v>53635.0</v>
      </c>
      <c r="J401" s="905" t="s">
        <v>38607</v>
      </c>
      <c r="K401" s="7" t="s">
        <v>40708</v>
      </c>
    </row>
    <row r="402">
      <c r="A402" s="202">
        <v>13516.0</v>
      </c>
      <c r="B402" s="7" t="s">
        <v>40709</v>
      </c>
      <c r="C402" s="7" t="s">
        <v>40710</v>
      </c>
      <c r="D402" s="7">
        <v>56522.0</v>
      </c>
      <c r="E402" s="902" t="s">
        <v>40711</v>
      </c>
      <c r="F402" s="902" t="s">
        <v>40712</v>
      </c>
      <c r="G402" s="903">
        <v>40119.0</v>
      </c>
      <c r="H402" s="904">
        <v>40119.0</v>
      </c>
      <c r="I402" s="7">
        <v>56521.0</v>
      </c>
      <c r="J402" s="905" t="s">
        <v>40713</v>
      </c>
      <c r="K402" s="7" t="s">
        <v>40714</v>
      </c>
    </row>
    <row r="403">
      <c r="A403" s="202">
        <v>13517.0</v>
      </c>
      <c r="B403" s="7" t="s">
        <v>40715</v>
      </c>
      <c r="C403" s="7" t="s">
        <v>40716</v>
      </c>
      <c r="D403" s="7">
        <v>57240.0</v>
      </c>
      <c r="E403" s="902" t="s">
        <v>40717</v>
      </c>
      <c r="F403" s="902" t="s">
        <v>40718</v>
      </c>
      <c r="G403" s="903">
        <v>40122.0</v>
      </c>
      <c r="H403" s="904">
        <v>40116.0</v>
      </c>
      <c r="I403" s="7">
        <v>57239.0</v>
      </c>
      <c r="J403" s="905" t="s">
        <v>40719</v>
      </c>
      <c r="K403" s="7" t="s">
        <v>40720</v>
      </c>
    </row>
    <row r="404">
      <c r="A404" s="202">
        <v>13518.0</v>
      </c>
      <c r="B404" s="7" t="s">
        <v>40721</v>
      </c>
      <c r="C404" s="7" t="s">
        <v>40722</v>
      </c>
      <c r="D404" s="7">
        <v>58536.0</v>
      </c>
      <c r="E404" s="902" t="s">
        <v>40723</v>
      </c>
      <c r="F404" s="902" t="s">
        <v>40724</v>
      </c>
      <c r="G404" s="906">
        <v>40130.0</v>
      </c>
      <c r="H404" s="904">
        <v>40126.0</v>
      </c>
      <c r="I404" s="7">
        <v>58533.0</v>
      </c>
      <c r="J404" s="905" t="s">
        <v>40725</v>
      </c>
      <c r="K404" s="7" t="s">
        <v>38870</v>
      </c>
    </row>
    <row r="405">
      <c r="A405" s="202">
        <v>13519.0</v>
      </c>
      <c r="B405" s="7" t="s">
        <v>40726</v>
      </c>
      <c r="C405" s="7" t="s">
        <v>40727</v>
      </c>
      <c r="D405" s="7">
        <v>60125.0</v>
      </c>
      <c r="E405" s="902" t="s">
        <v>40728</v>
      </c>
      <c r="F405" s="902" t="s">
        <v>40729</v>
      </c>
      <c r="G405" s="906">
        <v>40136.0</v>
      </c>
      <c r="H405" s="904">
        <v>40134.0</v>
      </c>
      <c r="I405" s="7">
        <v>60123.0</v>
      </c>
      <c r="J405" s="905" t="s">
        <v>40730</v>
      </c>
      <c r="K405" s="7" t="s">
        <v>40731</v>
      </c>
    </row>
    <row r="406">
      <c r="A406" s="202">
        <v>13520.0</v>
      </c>
      <c r="B406" s="7" t="s">
        <v>40732</v>
      </c>
      <c r="C406" s="7" t="s">
        <v>40733</v>
      </c>
      <c r="D406" s="7">
        <v>62205.0</v>
      </c>
      <c r="E406" s="902" t="s">
        <v>40734</v>
      </c>
      <c r="F406" s="902" t="s">
        <v>40735</v>
      </c>
      <c r="G406" s="906">
        <v>40142.0</v>
      </c>
      <c r="H406" s="904">
        <v>40137.0</v>
      </c>
      <c r="I406" s="7">
        <v>62201.0</v>
      </c>
      <c r="J406" s="905" t="s">
        <v>40736</v>
      </c>
    </row>
    <row r="407">
      <c r="A407" s="202">
        <v>13521.0</v>
      </c>
      <c r="B407" s="7" t="s">
        <v>40737</v>
      </c>
      <c r="C407" s="7" t="s">
        <v>40738</v>
      </c>
      <c r="D407" s="7">
        <v>62673.0</v>
      </c>
      <c r="E407" s="902" t="s">
        <v>40739</v>
      </c>
      <c r="F407" s="902" t="s">
        <v>40740</v>
      </c>
      <c r="G407" s="906">
        <v>40147.0</v>
      </c>
      <c r="H407" s="904">
        <v>40141.0</v>
      </c>
      <c r="I407" s="7">
        <v>62671.0</v>
      </c>
      <c r="J407" s="905" t="s">
        <v>40741</v>
      </c>
      <c r="K407" s="7" t="s">
        <v>40742</v>
      </c>
    </row>
    <row r="408">
      <c r="A408" s="202">
        <v>13522.0</v>
      </c>
      <c r="B408" s="7" t="s">
        <v>40743</v>
      </c>
      <c r="C408" s="7" t="s">
        <v>40744</v>
      </c>
      <c r="D408" s="7">
        <v>66206.0</v>
      </c>
      <c r="E408" s="902" t="s">
        <v>40745</v>
      </c>
      <c r="F408" s="902" t="s">
        <v>40746</v>
      </c>
      <c r="G408" s="906">
        <v>40161.0</v>
      </c>
      <c r="H408" s="904">
        <v>40156.0</v>
      </c>
      <c r="I408" s="7">
        <v>66203.0</v>
      </c>
      <c r="J408" s="905" t="s">
        <v>40747</v>
      </c>
      <c r="K408" s="7" t="s">
        <v>40748</v>
      </c>
    </row>
    <row r="409">
      <c r="A409" s="202">
        <v>13523.0</v>
      </c>
      <c r="B409" s="7" t="s">
        <v>40749</v>
      </c>
      <c r="C409" s="7" t="s">
        <v>40750</v>
      </c>
      <c r="D409" s="7">
        <v>66563.0</v>
      </c>
      <c r="E409" s="902" t="s">
        <v>40751</v>
      </c>
      <c r="F409" s="902" t="s">
        <v>40752</v>
      </c>
      <c r="G409" s="906">
        <v>40163.0</v>
      </c>
      <c r="H409" s="904">
        <v>40158.0</v>
      </c>
      <c r="I409" s="7">
        <v>66563.0</v>
      </c>
      <c r="J409" s="905" t="s">
        <v>40753</v>
      </c>
      <c r="K409" s="7" t="s">
        <v>40754</v>
      </c>
    </row>
    <row r="410">
      <c r="A410" s="202">
        <v>13524.0</v>
      </c>
      <c r="B410" s="7" t="s">
        <v>40755</v>
      </c>
      <c r="C410" s="7" t="s">
        <v>40756</v>
      </c>
      <c r="D410" s="7">
        <v>67803.0</v>
      </c>
      <c r="E410" s="902" t="s">
        <v>40757</v>
      </c>
      <c r="F410" s="902" t="s">
        <v>40758</v>
      </c>
      <c r="G410" s="906">
        <v>40168.0</v>
      </c>
      <c r="H410" s="904">
        <v>40163.0</v>
      </c>
      <c r="I410" s="7">
        <v>67803.0</v>
      </c>
      <c r="J410" s="905" t="s">
        <v>40759</v>
      </c>
      <c r="K410" s="7" t="s">
        <v>40760</v>
      </c>
    </row>
    <row r="411">
      <c r="A411" s="202">
        <v>13525.0</v>
      </c>
      <c r="B411" s="7" t="s">
        <v>40761</v>
      </c>
      <c r="C411" s="7" t="s">
        <v>40762</v>
      </c>
      <c r="D411" s="7">
        <v>69242.0</v>
      </c>
      <c r="E411" s="902" t="s">
        <v>40763</v>
      </c>
      <c r="F411" s="902" t="s">
        <v>40764</v>
      </c>
      <c r="G411" s="906">
        <v>40177.0</v>
      </c>
      <c r="H411" s="904">
        <v>40170.0</v>
      </c>
      <c r="I411" s="7">
        <v>69231.0</v>
      </c>
      <c r="J411" s="905" t="s">
        <v>38718</v>
      </c>
    </row>
    <row r="412">
      <c r="A412" s="202">
        <v>13526.0</v>
      </c>
      <c r="B412" s="7" t="s">
        <v>40765</v>
      </c>
      <c r="C412" s="7" t="s">
        <v>40766</v>
      </c>
      <c r="D412" s="7">
        <v>1013.0</v>
      </c>
      <c r="E412" s="902" t="s">
        <v>40767</v>
      </c>
      <c r="F412" s="902" t="s">
        <v>40768</v>
      </c>
      <c r="G412" s="903">
        <v>40186.0</v>
      </c>
      <c r="H412" s="904">
        <v>40176.0</v>
      </c>
      <c r="I412" s="7">
        <v>1013.0</v>
      </c>
      <c r="J412" s="905" t="s">
        <v>40769</v>
      </c>
    </row>
    <row r="413">
      <c r="A413" s="202">
        <v>13526.0</v>
      </c>
      <c r="B413" s="7" t="s">
        <v>40770</v>
      </c>
      <c r="C413" s="7" t="s">
        <v>40771</v>
      </c>
      <c r="D413" s="7">
        <v>731.0</v>
      </c>
      <c r="E413" s="902" t="s">
        <v>40772</v>
      </c>
      <c r="F413" s="902" t="s">
        <v>40773</v>
      </c>
      <c r="G413" s="903">
        <v>40183.0</v>
      </c>
      <c r="H413" s="904">
        <v>40176.0</v>
      </c>
      <c r="I413" s="7">
        <v>707.0</v>
      </c>
      <c r="J413" s="905" t="s">
        <v>40774</v>
      </c>
      <c r="K413" s="7" t="s">
        <v>40775</v>
      </c>
    </row>
    <row r="414">
      <c r="A414" s="202">
        <v>13527.0</v>
      </c>
      <c r="B414" s="7" t="s">
        <v>40776</v>
      </c>
      <c r="C414" s="7" t="s">
        <v>40777</v>
      </c>
      <c r="D414" s="7">
        <v>738.0</v>
      </c>
      <c r="E414" s="902" t="s">
        <v>40778</v>
      </c>
      <c r="F414" s="902" t="s">
        <v>40779</v>
      </c>
      <c r="G414" s="903">
        <v>40184.0</v>
      </c>
      <c r="H414" s="904">
        <v>40177.0</v>
      </c>
      <c r="I414" s="7">
        <v>737.0</v>
      </c>
      <c r="J414" s="905" t="s">
        <v>40780</v>
      </c>
    </row>
    <row r="415">
      <c r="A415" s="202">
        <v>13528.0</v>
      </c>
      <c r="B415" s="7" t="s">
        <v>40781</v>
      </c>
      <c r="C415" s="7" t="s">
        <v>40782</v>
      </c>
      <c r="D415" s="7">
        <v>2054.0</v>
      </c>
      <c r="E415" s="902" t="s">
        <v>40783</v>
      </c>
      <c r="F415" s="902" t="s">
        <v>40784</v>
      </c>
      <c r="G415" s="903">
        <v>40192.0</v>
      </c>
      <c r="H415" s="904">
        <v>40189.0</v>
      </c>
      <c r="I415" s="7">
        <v>2053.0</v>
      </c>
      <c r="J415" s="905" t="s">
        <v>40785</v>
      </c>
    </row>
    <row r="416">
      <c r="A416" s="202">
        <v>13529.0</v>
      </c>
      <c r="B416" s="7" t="s">
        <v>40786</v>
      </c>
      <c r="C416" s="7" t="s">
        <v>40787</v>
      </c>
      <c r="D416" s="7">
        <v>3331.0</v>
      </c>
      <c r="E416" s="902" t="s">
        <v>40788</v>
      </c>
      <c r="F416" s="902" t="s">
        <v>40789</v>
      </c>
      <c r="G416" s="903">
        <v>40199.0</v>
      </c>
      <c r="H416" s="904">
        <v>40194.0</v>
      </c>
      <c r="I416" s="7">
        <v>3331.0</v>
      </c>
      <c r="J416" s="905" t="s">
        <v>38578</v>
      </c>
    </row>
    <row r="417">
      <c r="A417" s="202">
        <v>13530.0</v>
      </c>
      <c r="B417" s="7" t="s">
        <v>40790</v>
      </c>
      <c r="C417" s="7" t="s">
        <v>40791</v>
      </c>
      <c r="D417" s="7">
        <v>5483.0</v>
      </c>
      <c r="E417" s="902" t="s">
        <v>40792</v>
      </c>
      <c r="F417" s="902" t="s">
        <v>40793</v>
      </c>
      <c r="G417" s="903">
        <v>40212.0</v>
      </c>
      <c r="H417" s="904">
        <v>40207.0</v>
      </c>
      <c r="I417" s="7">
        <v>5481.0</v>
      </c>
      <c r="J417" s="905" t="s">
        <v>40794</v>
      </c>
      <c r="K417" s="7" t="s">
        <v>40795</v>
      </c>
    </row>
    <row r="418">
      <c r="A418" s="202">
        <v>13531.0</v>
      </c>
      <c r="B418" s="7" t="s">
        <v>40796</v>
      </c>
      <c r="C418" s="7" t="s">
        <v>40797</v>
      </c>
      <c r="D418" s="7">
        <v>7928.0</v>
      </c>
      <c r="E418" s="902" t="s">
        <v>40798</v>
      </c>
      <c r="F418" s="902" t="s">
        <v>40799</v>
      </c>
      <c r="G418" s="903">
        <v>40232.0</v>
      </c>
      <c r="H418" s="904">
        <v>40227.0</v>
      </c>
      <c r="I418" s="7">
        <v>7927.0</v>
      </c>
      <c r="J418" s="905" t="s">
        <v>40800</v>
      </c>
    </row>
    <row r="419">
      <c r="A419" s="202">
        <v>13532.0</v>
      </c>
      <c r="B419" s="7" t="s">
        <v>40801</v>
      </c>
      <c r="C419" s="7" t="s">
        <v>40802</v>
      </c>
      <c r="D419" s="7">
        <v>9752.0</v>
      </c>
      <c r="E419" s="902" t="s">
        <v>40803</v>
      </c>
      <c r="F419" s="902" t="s">
        <v>40804</v>
      </c>
      <c r="G419" s="903">
        <v>40240.0</v>
      </c>
      <c r="H419" s="904">
        <v>40235.0</v>
      </c>
      <c r="I419" s="7">
        <v>9749.0</v>
      </c>
      <c r="J419" s="905" t="s">
        <v>40805</v>
      </c>
      <c r="K419" s="7" t="s">
        <v>40806</v>
      </c>
    </row>
    <row r="420">
      <c r="A420" s="202">
        <v>13533.0</v>
      </c>
      <c r="B420" s="7" t="s">
        <v>40807</v>
      </c>
      <c r="C420" s="7" t="s">
        <v>40808</v>
      </c>
      <c r="D420" s="7">
        <v>10164.0</v>
      </c>
      <c r="E420" s="902" t="s">
        <v>40809</v>
      </c>
      <c r="F420" s="902" t="s">
        <v>40810</v>
      </c>
      <c r="G420" s="903">
        <v>40242.0</v>
      </c>
      <c r="H420" s="904">
        <v>40238.0</v>
      </c>
      <c r="I420" s="7">
        <v>10163.0</v>
      </c>
      <c r="J420" s="905" t="s">
        <v>40090</v>
      </c>
      <c r="K420" s="7" t="s">
        <v>40811</v>
      </c>
    </row>
    <row r="421">
      <c r="A421" s="202">
        <v>13534.0</v>
      </c>
      <c r="B421" s="7" t="s">
        <v>40812</v>
      </c>
      <c r="C421" s="7" t="s">
        <v>40813</v>
      </c>
      <c r="D421" s="7">
        <v>12435.0</v>
      </c>
      <c r="E421" s="902" t="s">
        <v>40814</v>
      </c>
      <c r="F421" s="902" t="s">
        <v>40815</v>
      </c>
      <c r="G421" s="903">
        <v>40253.0</v>
      </c>
      <c r="H421" s="904">
        <v>40248.0</v>
      </c>
      <c r="I421" s="7">
        <v>12433.0</v>
      </c>
      <c r="J421" s="905" t="s">
        <v>40816</v>
      </c>
      <c r="K421" s="7" t="s">
        <v>40817</v>
      </c>
    </row>
    <row r="422">
      <c r="A422" s="202">
        <v>13535.0</v>
      </c>
      <c r="B422" s="7" t="s">
        <v>40818</v>
      </c>
      <c r="C422" s="7" t="s">
        <v>40819</v>
      </c>
      <c r="D422" s="7">
        <v>15600.0</v>
      </c>
      <c r="E422" s="902" t="s">
        <v>40820</v>
      </c>
      <c r="F422" s="902" t="s">
        <v>40821</v>
      </c>
      <c r="G422" s="903">
        <v>40266.0</v>
      </c>
      <c r="H422" s="904">
        <v>40261.0</v>
      </c>
      <c r="I422" s="7">
        <v>15599.0</v>
      </c>
      <c r="J422" s="905" t="s">
        <v>40822</v>
      </c>
    </row>
    <row r="423">
      <c r="A423" s="202">
        <v>13536.0</v>
      </c>
      <c r="B423" s="7" t="s">
        <v>40823</v>
      </c>
      <c r="C423" s="7" t="s">
        <v>40824</v>
      </c>
      <c r="D423" s="7">
        <v>19872.0</v>
      </c>
      <c r="E423" s="902" t="s">
        <v>40825</v>
      </c>
      <c r="F423" s="902" t="s">
        <v>40826</v>
      </c>
      <c r="G423" s="903">
        <v>40283.0</v>
      </c>
      <c r="H423" s="904">
        <v>40280.0</v>
      </c>
      <c r="I423" s="7">
        <v>19869.0</v>
      </c>
      <c r="J423" s="905" t="s">
        <v>40827</v>
      </c>
      <c r="K423" s="7" t="s">
        <v>40828</v>
      </c>
    </row>
    <row r="424">
      <c r="A424" s="202">
        <v>13537.0</v>
      </c>
      <c r="B424" s="7" t="s">
        <v>40829</v>
      </c>
      <c r="C424" s="7" t="s">
        <v>40830</v>
      </c>
      <c r="D424" s="7">
        <v>20238.0</v>
      </c>
      <c r="E424" s="902" t="s">
        <v>40831</v>
      </c>
      <c r="F424" s="902" t="s">
        <v>40832</v>
      </c>
      <c r="G424" s="903">
        <v>40287.0</v>
      </c>
      <c r="H424" s="904">
        <v>40282.0</v>
      </c>
      <c r="I424" s="7">
        <v>20237.0</v>
      </c>
      <c r="J424" s="905" t="s">
        <v>39566</v>
      </c>
      <c r="K424" s="7" t="s">
        <v>40833</v>
      </c>
    </row>
    <row r="425">
      <c r="A425" s="202">
        <v>13538.0</v>
      </c>
      <c r="B425" s="7" t="s">
        <v>40834</v>
      </c>
      <c r="C425" s="7" t="s">
        <v>40835</v>
      </c>
      <c r="D425" s="7">
        <v>20896.0</v>
      </c>
      <c r="E425" s="902" t="s">
        <v>40836</v>
      </c>
      <c r="F425" s="902" t="s">
        <v>40837</v>
      </c>
      <c r="G425" s="903">
        <v>40290.0</v>
      </c>
      <c r="H425" s="904">
        <v>40287.0</v>
      </c>
      <c r="I425" s="7">
        <v>20895.0</v>
      </c>
      <c r="J425" s="905" t="s">
        <v>40838</v>
      </c>
      <c r="K425" s="7" t="s">
        <v>40839</v>
      </c>
    </row>
    <row r="426">
      <c r="A426" s="202">
        <v>13539.0</v>
      </c>
      <c r="B426" s="7" t="s">
        <v>40840</v>
      </c>
      <c r="C426" s="7" t="s">
        <v>40841</v>
      </c>
      <c r="D426" s="7">
        <v>21975.0</v>
      </c>
      <c r="E426" s="902" t="s">
        <v>40842</v>
      </c>
      <c r="F426" s="902" t="s">
        <v>40843</v>
      </c>
      <c r="G426" s="903">
        <v>40295.0</v>
      </c>
      <c r="H426" s="904">
        <v>40289.0</v>
      </c>
      <c r="I426" s="7">
        <v>21973.0</v>
      </c>
      <c r="J426" s="905" t="s">
        <v>39164</v>
      </c>
      <c r="K426" s="7" t="s">
        <v>40844</v>
      </c>
    </row>
    <row r="427">
      <c r="A427" s="202">
        <v>13540.0</v>
      </c>
      <c r="B427" s="7" t="s">
        <v>40845</v>
      </c>
      <c r="C427" s="7" t="s">
        <v>40846</v>
      </c>
      <c r="D427" s="7">
        <v>22498.0</v>
      </c>
      <c r="E427" s="902" t="s">
        <v>40847</v>
      </c>
      <c r="F427" s="902" t="s">
        <v>40848</v>
      </c>
      <c r="G427" s="903">
        <v>40297.0</v>
      </c>
      <c r="H427" s="904">
        <v>40294.0</v>
      </c>
      <c r="I427" s="7">
        <v>22497.0</v>
      </c>
      <c r="J427" s="905" t="s">
        <v>40849</v>
      </c>
      <c r="K427" s="7" t="s">
        <v>40850</v>
      </c>
    </row>
    <row r="428">
      <c r="A428" s="202">
        <v>13541.0</v>
      </c>
      <c r="B428" s="7" t="s">
        <v>40851</v>
      </c>
      <c r="C428" s="7" t="s">
        <v>40852</v>
      </c>
      <c r="D428" s="7">
        <v>26880.0</v>
      </c>
      <c r="E428" s="902" t="s">
        <v>40853</v>
      </c>
      <c r="F428" s="902" t="s">
        <v>40854</v>
      </c>
      <c r="G428" s="903">
        <v>40310.0</v>
      </c>
      <c r="H428" s="904">
        <v>40305.0</v>
      </c>
      <c r="I428" s="7">
        <v>26879.0</v>
      </c>
      <c r="J428" s="905" t="s">
        <v>40855</v>
      </c>
    </row>
    <row r="429">
      <c r="A429" s="202">
        <v>13542.0</v>
      </c>
      <c r="B429" s="7" t="s">
        <v>40856</v>
      </c>
      <c r="C429" s="7" t="s">
        <v>40857</v>
      </c>
      <c r="D429" s="7">
        <v>27922.0</v>
      </c>
      <c r="E429" s="902" t="s">
        <v>40858</v>
      </c>
      <c r="F429" s="902" t="s">
        <v>40859</v>
      </c>
      <c r="G429" s="903">
        <v>40316.0</v>
      </c>
      <c r="H429" s="904">
        <v>40311.0</v>
      </c>
      <c r="I429" s="7">
        <v>27921.0</v>
      </c>
      <c r="J429" s="905" t="s">
        <v>39251</v>
      </c>
      <c r="K429" s="7" t="s">
        <v>40860</v>
      </c>
    </row>
    <row r="430">
      <c r="A430" s="202">
        <v>13543.0</v>
      </c>
      <c r="B430" s="7" t="s">
        <v>40861</v>
      </c>
      <c r="C430" s="7" t="s">
        <v>40862</v>
      </c>
      <c r="D430" s="7">
        <v>29398.0</v>
      </c>
      <c r="E430" s="902" t="s">
        <v>40863</v>
      </c>
      <c r="F430" s="902" t="s">
        <v>40864</v>
      </c>
      <c r="G430" s="903">
        <v>40324.0</v>
      </c>
      <c r="H430" s="904">
        <v>40319.0</v>
      </c>
      <c r="I430" s="7">
        <v>29397.0</v>
      </c>
      <c r="J430" s="905" t="s">
        <v>40865</v>
      </c>
    </row>
    <row r="431">
      <c r="A431" s="202">
        <v>13544.0</v>
      </c>
      <c r="B431" s="7" t="s">
        <v>40866</v>
      </c>
      <c r="C431" s="7" t="s">
        <v>40867</v>
      </c>
      <c r="D431" s="7">
        <v>33986.0</v>
      </c>
      <c r="E431" s="902" t="s">
        <v>40868</v>
      </c>
      <c r="F431" s="902" t="s">
        <v>40869</v>
      </c>
      <c r="G431" s="903">
        <v>40345.0</v>
      </c>
      <c r="H431" s="904">
        <v>40339.0</v>
      </c>
      <c r="I431" s="7">
        <v>33983.0</v>
      </c>
      <c r="J431" s="905" t="s">
        <v>40870</v>
      </c>
      <c r="K431" s="7" t="s">
        <v>40871</v>
      </c>
    </row>
    <row r="432">
      <c r="A432" s="202">
        <v>13545.0</v>
      </c>
      <c r="B432" s="7" t="s">
        <v>40872</v>
      </c>
      <c r="C432" s="7" t="s">
        <v>40873</v>
      </c>
      <c r="D432" s="7">
        <v>37285.0</v>
      </c>
      <c r="E432" s="902" t="s">
        <v>40874</v>
      </c>
      <c r="F432" s="902" t="s">
        <v>40875</v>
      </c>
      <c r="G432" s="903">
        <v>40357.0</v>
      </c>
      <c r="H432" s="904">
        <v>40351.0</v>
      </c>
      <c r="I432" s="7">
        <v>37283.0</v>
      </c>
      <c r="J432" s="905" t="s">
        <v>40876</v>
      </c>
      <c r="K432" s="7" t="s">
        <v>40877</v>
      </c>
    </row>
    <row r="433">
      <c r="A433" s="202">
        <v>13546.0</v>
      </c>
      <c r="B433" s="7" t="s">
        <v>40878</v>
      </c>
      <c r="C433" s="7" t="s">
        <v>40879</v>
      </c>
      <c r="D433" s="7">
        <v>39442.0</v>
      </c>
      <c r="E433" s="902" t="s">
        <v>40880</v>
      </c>
      <c r="F433" s="902" t="s">
        <v>40881</v>
      </c>
      <c r="G433" s="903">
        <v>40367.0</v>
      </c>
      <c r="H433" s="904">
        <v>40361.0</v>
      </c>
      <c r="I433" s="7">
        <v>39439.0</v>
      </c>
      <c r="J433" s="905" t="s">
        <v>40882</v>
      </c>
    </row>
    <row r="434">
      <c r="A434" s="202">
        <v>13547.0</v>
      </c>
      <c r="B434" s="7" t="s">
        <v>40883</v>
      </c>
      <c r="C434" s="7" t="s">
        <v>40884</v>
      </c>
      <c r="D434" s="7">
        <v>43027.0</v>
      </c>
      <c r="E434" s="902" t="s">
        <v>40885</v>
      </c>
      <c r="F434" s="902" t="s">
        <v>40886</v>
      </c>
      <c r="G434" s="903">
        <v>40381.0</v>
      </c>
      <c r="H434" s="904">
        <v>40378.0</v>
      </c>
      <c r="I434" s="7">
        <v>43023.0</v>
      </c>
      <c r="J434" s="905" t="s">
        <v>40887</v>
      </c>
      <c r="K434" s="7" t="s">
        <v>40888</v>
      </c>
    </row>
    <row r="435">
      <c r="A435" s="202">
        <v>13548.0</v>
      </c>
      <c r="B435" s="7" t="s">
        <v>40889</v>
      </c>
      <c r="C435" s="7" t="s">
        <v>40890</v>
      </c>
      <c r="D435" s="7">
        <v>45041.0</v>
      </c>
      <c r="E435" s="902" t="s">
        <v>40891</v>
      </c>
      <c r="F435" s="902" t="s">
        <v>40892</v>
      </c>
      <c r="G435" s="903">
        <v>40389.0</v>
      </c>
      <c r="H435" s="904">
        <v>40385.0</v>
      </c>
      <c r="I435" s="7">
        <v>45039.0</v>
      </c>
      <c r="J435" s="905" t="s">
        <v>40893</v>
      </c>
      <c r="K435" s="7" t="s">
        <v>40894</v>
      </c>
    </row>
    <row r="436">
      <c r="A436" s="202">
        <v>13549.0</v>
      </c>
      <c r="B436" s="7" t="s">
        <v>40895</v>
      </c>
      <c r="C436" s="7" t="s">
        <v>40896</v>
      </c>
      <c r="D436" s="7">
        <v>51614.0</v>
      </c>
      <c r="E436" s="902" t="s">
        <v>40897</v>
      </c>
      <c r="F436" s="902" t="s">
        <v>40898</v>
      </c>
      <c r="G436" s="903">
        <v>40413.0</v>
      </c>
      <c r="H436" s="904">
        <v>40408.0</v>
      </c>
      <c r="I436" s="7">
        <v>51609.0</v>
      </c>
      <c r="J436" s="905" t="s">
        <v>40899</v>
      </c>
      <c r="K436" s="7" t="s">
        <v>40900</v>
      </c>
    </row>
    <row r="437">
      <c r="A437" s="202">
        <v>13550.0</v>
      </c>
      <c r="B437" s="7" t="s">
        <v>40901</v>
      </c>
      <c r="C437" s="7" t="s">
        <v>40902</v>
      </c>
      <c r="D437" s="7">
        <v>51616.0</v>
      </c>
      <c r="E437" s="902" t="s">
        <v>40903</v>
      </c>
      <c r="F437" s="902" t="s">
        <v>40904</v>
      </c>
      <c r="G437" s="903">
        <v>40413.0</v>
      </c>
      <c r="H437" s="904">
        <v>40408.0</v>
      </c>
      <c r="I437" s="7">
        <v>51615.0</v>
      </c>
      <c r="J437" s="905" t="s">
        <v>40905</v>
      </c>
    </row>
    <row r="438">
      <c r="A438" s="202">
        <v>13551.0</v>
      </c>
      <c r="B438" s="7" t="s">
        <v>40906</v>
      </c>
      <c r="C438" s="7" t="s">
        <v>40907</v>
      </c>
      <c r="D438" s="7">
        <v>53840.0</v>
      </c>
      <c r="E438" s="902" t="s">
        <v>40908</v>
      </c>
      <c r="F438" s="902" t="s">
        <v>40909</v>
      </c>
      <c r="G438" s="903">
        <v>40422.0</v>
      </c>
      <c r="H438" s="904">
        <v>40420.0</v>
      </c>
      <c r="I438" s="7">
        <v>53837.0</v>
      </c>
      <c r="J438" s="905" t="s">
        <v>40910</v>
      </c>
    </row>
    <row r="439">
      <c r="A439" s="202">
        <v>13552.0</v>
      </c>
      <c r="B439" s="7" t="s">
        <v>40911</v>
      </c>
      <c r="C439" s="7" t="s">
        <v>40912</v>
      </c>
      <c r="D439" s="7">
        <v>54270.0</v>
      </c>
      <c r="E439" s="902" t="s">
        <v>40913</v>
      </c>
      <c r="F439" s="902" t="s">
        <v>40914</v>
      </c>
      <c r="G439" s="903">
        <v>40424.0</v>
      </c>
      <c r="H439" s="904">
        <v>40421.0</v>
      </c>
      <c r="I439" s="7">
        <v>54263.0</v>
      </c>
      <c r="J439" s="905" t="s">
        <v>40915</v>
      </c>
      <c r="K439" s="7" t="s">
        <v>40448</v>
      </c>
    </row>
    <row r="440">
      <c r="A440" s="202">
        <v>13553.0</v>
      </c>
      <c r="B440" s="7" t="s">
        <v>40916</v>
      </c>
      <c r="C440" s="7" t="s">
        <v>40917</v>
      </c>
      <c r="D440" s="7">
        <v>60571.0</v>
      </c>
      <c r="E440" s="902" t="s">
        <v>40918</v>
      </c>
      <c r="F440" s="902" t="s">
        <v>40919</v>
      </c>
      <c r="G440" s="903">
        <v>40452.0</v>
      </c>
      <c r="H440" s="904">
        <v>40449.0</v>
      </c>
      <c r="I440" s="7">
        <v>60567.0</v>
      </c>
      <c r="J440" s="905" t="s">
        <v>40920</v>
      </c>
      <c r="K440" s="7" t="s">
        <v>40921</v>
      </c>
    </row>
    <row r="441">
      <c r="A441" s="202">
        <v>13554.0</v>
      </c>
      <c r="B441" s="7" t="s">
        <v>40922</v>
      </c>
      <c r="C441" s="7" t="s">
        <v>40923</v>
      </c>
      <c r="D441" s="7">
        <v>62317.0</v>
      </c>
      <c r="E441" s="902" t="s">
        <v>40924</v>
      </c>
      <c r="F441" s="902" t="s">
        <v>40925</v>
      </c>
      <c r="G441" s="903">
        <v>40459.0</v>
      </c>
      <c r="H441" s="904">
        <v>40456.0</v>
      </c>
      <c r="I441" s="7">
        <v>62313.0</v>
      </c>
      <c r="J441" s="905" t="s">
        <v>40926</v>
      </c>
      <c r="K441" s="7" t="s">
        <v>40927</v>
      </c>
    </row>
    <row r="442">
      <c r="A442" s="202">
        <v>13555.0</v>
      </c>
      <c r="B442" s="7" t="s">
        <v>40928</v>
      </c>
      <c r="C442" s="7" t="s">
        <v>40929</v>
      </c>
      <c r="D442" s="7">
        <v>65421.0</v>
      </c>
      <c r="E442" s="902" t="s">
        <v>40930</v>
      </c>
      <c r="F442" s="902" t="s">
        <v>40931</v>
      </c>
      <c r="G442" s="906">
        <v>40473.0</v>
      </c>
      <c r="H442" s="904">
        <v>40470.0</v>
      </c>
      <c r="I442" s="7">
        <v>65417.0</v>
      </c>
      <c r="J442" s="905" t="s">
        <v>40932</v>
      </c>
      <c r="K442" s="7" t="s">
        <v>40933</v>
      </c>
    </row>
    <row r="443">
      <c r="A443" s="202">
        <v>13556.0</v>
      </c>
      <c r="B443" s="7" t="s">
        <v>40934</v>
      </c>
      <c r="C443" s="7" t="s">
        <v>40935</v>
      </c>
      <c r="D443" s="7">
        <v>68677.0</v>
      </c>
      <c r="E443" s="902" t="s">
        <v>40936</v>
      </c>
      <c r="F443" s="902" t="s">
        <v>40937</v>
      </c>
      <c r="G443" s="903">
        <v>40491.0</v>
      </c>
      <c r="H443" s="904">
        <v>40486.0</v>
      </c>
      <c r="I443" s="7">
        <v>68675.0</v>
      </c>
      <c r="J443" s="905" t="s">
        <v>40938</v>
      </c>
      <c r="K443" s="7" t="s">
        <v>40939</v>
      </c>
    </row>
    <row r="444">
      <c r="A444" s="202">
        <v>13557.0</v>
      </c>
      <c r="B444" s="7" t="s">
        <v>40940</v>
      </c>
      <c r="C444" s="7" t="s">
        <v>40941</v>
      </c>
      <c r="D444" s="7">
        <v>68680.0</v>
      </c>
      <c r="E444" s="902" t="s">
        <v>40942</v>
      </c>
      <c r="F444" s="902" t="s">
        <v>40943</v>
      </c>
      <c r="G444" s="903">
        <v>40491.0</v>
      </c>
      <c r="H444" s="904">
        <v>40486.0</v>
      </c>
      <c r="I444" s="7">
        <v>68679.0</v>
      </c>
      <c r="J444" s="905" t="s">
        <v>40944</v>
      </c>
      <c r="K444" s="7" t="s">
        <v>40945</v>
      </c>
    </row>
    <row r="445">
      <c r="A445" s="202">
        <v>13558.0</v>
      </c>
      <c r="B445" s="7" t="s">
        <v>40946</v>
      </c>
      <c r="C445" s="7" t="s">
        <v>40947</v>
      </c>
      <c r="D445" s="7">
        <v>69574.0</v>
      </c>
      <c r="E445" s="902" t="s">
        <v>40948</v>
      </c>
      <c r="F445" s="902" t="s">
        <v>40949</v>
      </c>
      <c r="G445" s="906">
        <v>40497.0</v>
      </c>
      <c r="H445" s="904">
        <v>40491.0</v>
      </c>
      <c r="I445" s="7">
        <v>69573.0</v>
      </c>
      <c r="J445" s="905" t="s">
        <v>40950</v>
      </c>
    </row>
    <row r="446">
      <c r="A446" s="202">
        <v>13559.0</v>
      </c>
      <c r="B446" s="7" t="s">
        <v>40951</v>
      </c>
      <c r="C446" s="7" t="s">
        <v>40952</v>
      </c>
      <c r="D446" s="7">
        <v>71323.0</v>
      </c>
      <c r="E446" s="902" t="s">
        <v>40953</v>
      </c>
      <c r="F446" s="902" t="s">
        <v>40954</v>
      </c>
      <c r="G446" s="906">
        <v>40504.0</v>
      </c>
      <c r="H446" s="904">
        <v>40499.0</v>
      </c>
      <c r="I446" s="7">
        <v>71319.0</v>
      </c>
      <c r="J446" s="905" t="s">
        <v>40955</v>
      </c>
      <c r="K446" s="7" t="s">
        <v>40956</v>
      </c>
    </row>
    <row r="447">
      <c r="A447" s="202">
        <v>13560.0</v>
      </c>
      <c r="B447" s="7" t="s">
        <v>40957</v>
      </c>
      <c r="C447" s="7" t="s">
        <v>40958</v>
      </c>
      <c r="D447" s="7">
        <v>78876.0</v>
      </c>
      <c r="E447" s="902" t="s">
        <v>40959</v>
      </c>
      <c r="F447" s="902" t="s">
        <v>40960</v>
      </c>
      <c r="G447" s="906">
        <v>40529.0</v>
      </c>
      <c r="H447" s="904">
        <v>40526.0</v>
      </c>
      <c r="I447" s="7">
        <v>78875.0</v>
      </c>
      <c r="J447" s="905" t="s">
        <v>40961</v>
      </c>
      <c r="K447" s="7" t="s">
        <v>40962</v>
      </c>
    </row>
    <row r="448">
      <c r="A448" s="202">
        <v>13561.0</v>
      </c>
      <c r="B448" s="7" t="s">
        <v>40963</v>
      </c>
      <c r="C448" s="7" t="s">
        <v>40964</v>
      </c>
      <c r="D448" s="7">
        <v>81828.0</v>
      </c>
      <c r="E448" s="902" t="s">
        <v>40965</v>
      </c>
      <c r="F448" s="902" t="s">
        <v>40966</v>
      </c>
      <c r="G448" s="906">
        <v>40541.0</v>
      </c>
      <c r="H448" s="904">
        <v>40534.0</v>
      </c>
      <c r="I448" s="7">
        <v>81817.0</v>
      </c>
      <c r="J448" s="905" t="s">
        <v>38718</v>
      </c>
    </row>
    <row r="449">
      <c r="A449" s="202">
        <v>13562.0</v>
      </c>
      <c r="B449" s="7" t="s">
        <v>40967</v>
      </c>
      <c r="C449" s="7" t="s">
        <v>40968</v>
      </c>
      <c r="D449" s="7">
        <v>82589.0</v>
      </c>
      <c r="E449" s="902" t="s">
        <v>40969</v>
      </c>
      <c r="F449" s="902" t="s">
        <v>40970</v>
      </c>
      <c r="G449" s="906">
        <v>40542.0</v>
      </c>
      <c r="H449" s="904">
        <v>40539.0</v>
      </c>
      <c r="I449" s="7">
        <v>82585.0</v>
      </c>
      <c r="J449" s="905" t="s">
        <v>40971</v>
      </c>
      <c r="K449" s="7" t="s">
        <v>40972</v>
      </c>
    </row>
    <row r="450">
      <c r="A450" s="202">
        <v>13563.0</v>
      </c>
      <c r="B450" s="7" t="s">
        <v>40973</v>
      </c>
      <c r="C450" s="7" t="s">
        <v>40974</v>
      </c>
      <c r="D450" s="7">
        <v>3823.0</v>
      </c>
      <c r="E450" s="902" t="s">
        <v>40975</v>
      </c>
      <c r="F450" s="902" t="s">
        <v>40976</v>
      </c>
      <c r="G450" s="903">
        <v>40564.0</v>
      </c>
      <c r="H450" s="904">
        <v>40561.0</v>
      </c>
      <c r="I450" s="7">
        <v>3821.0</v>
      </c>
      <c r="J450" s="905" t="s">
        <v>40977</v>
      </c>
      <c r="K450" s="7" t="s">
        <v>40978</v>
      </c>
    </row>
    <row r="451">
      <c r="A451" s="202">
        <v>13564.0</v>
      </c>
      <c r="B451" s="7" t="s">
        <v>40979</v>
      </c>
      <c r="C451" s="7" t="s">
        <v>40980</v>
      </c>
      <c r="D451" s="7">
        <v>6310.0</v>
      </c>
      <c r="E451" s="902" t="s">
        <v>40981</v>
      </c>
      <c r="F451" s="902" t="s">
        <v>40982</v>
      </c>
      <c r="G451" s="903">
        <v>40577.0</v>
      </c>
      <c r="H451" s="904">
        <v>40574.0</v>
      </c>
      <c r="I451" s="7">
        <v>6309.0</v>
      </c>
      <c r="J451" s="905" t="s">
        <v>40983</v>
      </c>
      <c r="K451" s="7" t="s">
        <v>40984</v>
      </c>
    </row>
    <row r="452">
      <c r="A452" s="202">
        <v>13565.0</v>
      </c>
      <c r="B452" s="7" t="s">
        <v>40985</v>
      </c>
      <c r="C452" s="7" t="s">
        <v>40986</v>
      </c>
      <c r="D452" s="7">
        <v>7683.0</v>
      </c>
      <c r="E452" s="902" t="s">
        <v>40987</v>
      </c>
      <c r="F452" s="902" t="s">
        <v>40988</v>
      </c>
      <c r="G452" s="903">
        <v>40585.0</v>
      </c>
      <c r="H452" s="904">
        <v>40582.0</v>
      </c>
      <c r="I452" s="7">
        <v>7681.0</v>
      </c>
      <c r="J452" s="905" t="s">
        <v>40989</v>
      </c>
    </row>
    <row r="453">
      <c r="A453" s="202">
        <v>13566.0</v>
      </c>
      <c r="B453" s="7" t="s">
        <v>40990</v>
      </c>
      <c r="C453" s="7" t="s">
        <v>40991</v>
      </c>
      <c r="D453" s="7">
        <v>11318.0</v>
      </c>
      <c r="E453" s="902" t="s">
        <v>40992</v>
      </c>
      <c r="F453" s="902" t="s">
        <v>40993</v>
      </c>
      <c r="G453" s="903">
        <v>40604.0</v>
      </c>
      <c r="H453" s="904">
        <v>40599.0</v>
      </c>
      <c r="I453" s="7">
        <v>11315.0</v>
      </c>
      <c r="J453" s="905" t="s">
        <v>40994</v>
      </c>
      <c r="K453" s="7" t="s">
        <v>40995</v>
      </c>
    </row>
    <row r="454">
      <c r="A454" s="202">
        <v>13567.0</v>
      </c>
      <c r="B454" s="7" t="s">
        <v>40996</v>
      </c>
      <c r="C454" s="7" t="s">
        <v>40997</v>
      </c>
      <c r="D454" s="7">
        <v>13281.0</v>
      </c>
      <c r="E454" s="902" t="s">
        <v>40998</v>
      </c>
      <c r="F454" s="902" t="s">
        <v>40999</v>
      </c>
      <c r="G454" s="903">
        <v>40612.0</v>
      </c>
      <c r="H454" s="904">
        <v>40609.0</v>
      </c>
      <c r="I454" s="7">
        <v>13277.0</v>
      </c>
      <c r="J454" s="905" t="s">
        <v>41000</v>
      </c>
      <c r="K454" s="7" t="s">
        <v>41001</v>
      </c>
    </row>
    <row r="455">
      <c r="A455" s="202">
        <v>13568.0</v>
      </c>
      <c r="B455" s="7" t="s">
        <v>41002</v>
      </c>
      <c r="C455" s="7" t="s">
        <v>41003</v>
      </c>
      <c r="D455" s="7">
        <v>13497.0</v>
      </c>
      <c r="E455" s="902" t="s">
        <v>41004</v>
      </c>
      <c r="F455" s="902" t="s">
        <v>41005</v>
      </c>
      <c r="G455" s="903">
        <v>40613.0</v>
      </c>
      <c r="H455" s="904">
        <v>40610.0</v>
      </c>
      <c r="I455" s="7">
        <v>13497.0</v>
      </c>
      <c r="J455" s="905" t="s">
        <v>41006</v>
      </c>
    </row>
    <row r="456">
      <c r="A456" s="202">
        <v>13569.0</v>
      </c>
      <c r="B456" s="7" t="s">
        <v>41007</v>
      </c>
      <c r="C456" s="7" t="s">
        <v>41008</v>
      </c>
      <c r="D456" s="7">
        <v>19892.0</v>
      </c>
      <c r="E456" s="902" t="s">
        <v>41009</v>
      </c>
      <c r="F456" s="902" t="s">
        <v>41010</v>
      </c>
      <c r="G456" s="903">
        <v>40641.0</v>
      </c>
      <c r="H456" s="904">
        <v>40638.0</v>
      </c>
      <c r="I456" s="7">
        <v>19891.0</v>
      </c>
      <c r="J456" s="905" t="s">
        <v>41011</v>
      </c>
      <c r="K456" s="7" t="s">
        <v>41012</v>
      </c>
    </row>
    <row r="457">
      <c r="A457" s="202">
        <v>13570.0</v>
      </c>
      <c r="B457" s="7" t="s">
        <v>41013</v>
      </c>
      <c r="C457" s="7" t="s">
        <v>41014</v>
      </c>
      <c r="D457" s="7">
        <v>22292.0</v>
      </c>
      <c r="E457" s="902" t="s">
        <v>41015</v>
      </c>
      <c r="F457" s="902" t="s">
        <v>41016</v>
      </c>
      <c r="G457" s="903">
        <v>40653.0</v>
      </c>
      <c r="H457" s="904">
        <v>40651.0</v>
      </c>
      <c r="I457" s="7">
        <v>22291.0</v>
      </c>
      <c r="J457" s="905" t="s">
        <v>41017</v>
      </c>
      <c r="K457" s="7" t="s">
        <v>41018</v>
      </c>
    </row>
    <row r="458">
      <c r="A458" s="202">
        <v>13571.0</v>
      </c>
      <c r="B458" s="7" t="s">
        <v>41019</v>
      </c>
      <c r="C458" s="7" t="s">
        <v>41020</v>
      </c>
      <c r="D458" s="7">
        <v>24341.0</v>
      </c>
      <c r="E458" s="902" t="s">
        <v>41021</v>
      </c>
      <c r="F458" s="902" t="s">
        <v>41022</v>
      </c>
      <c r="G458" s="903">
        <v>40665.0</v>
      </c>
      <c r="H458" s="904">
        <v>40660.0</v>
      </c>
      <c r="I458" s="7">
        <v>24339.0</v>
      </c>
      <c r="J458" s="905" t="s">
        <v>41023</v>
      </c>
      <c r="K458" s="7" t="s">
        <v>41024</v>
      </c>
    </row>
    <row r="459">
      <c r="A459" s="202">
        <v>13572.0</v>
      </c>
      <c r="B459" s="7" t="s">
        <v>41025</v>
      </c>
      <c r="C459" s="7" t="s">
        <v>41026</v>
      </c>
      <c r="D459" s="7">
        <v>24789.0</v>
      </c>
      <c r="E459" s="902" t="s">
        <v>41027</v>
      </c>
      <c r="F459" s="902" t="s">
        <v>41028</v>
      </c>
      <c r="G459" s="903">
        <v>40666.0</v>
      </c>
      <c r="H459" s="904">
        <v>40662.0</v>
      </c>
      <c r="I459" s="7">
        <v>24787.0</v>
      </c>
      <c r="J459" s="905" t="s">
        <v>41029</v>
      </c>
      <c r="K459" s="7" t="s">
        <v>41030</v>
      </c>
    </row>
    <row r="460">
      <c r="A460" s="202">
        <v>13573.0</v>
      </c>
      <c r="B460" s="7" t="s">
        <v>41031</v>
      </c>
      <c r="C460" s="7" t="s">
        <v>41032</v>
      </c>
      <c r="D460" s="7">
        <v>29146.0</v>
      </c>
      <c r="E460" s="902" t="s">
        <v>41033</v>
      </c>
      <c r="F460" s="902" t="s">
        <v>41034</v>
      </c>
      <c r="G460" s="903">
        <v>40683.0</v>
      </c>
      <c r="H460" s="904">
        <v>40681.0</v>
      </c>
      <c r="I460" s="7">
        <v>29143.0</v>
      </c>
      <c r="J460" s="905" t="s">
        <v>41035</v>
      </c>
      <c r="K460" s="7" t="s">
        <v>41036</v>
      </c>
    </row>
    <row r="461">
      <c r="A461" s="202">
        <v>13574.0</v>
      </c>
      <c r="B461" s="7" t="s">
        <v>41037</v>
      </c>
      <c r="C461" s="7" t="s">
        <v>41038</v>
      </c>
      <c r="D461" s="7">
        <v>30507.0</v>
      </c>
      <c r="E461" s="902" t="s">
        <v>41039</v>
      </c>
      <c r="F461" s="902" t="s">
        <v>41040</v>
      </c>
      <c r="G461" s="903">
        <v>40688.0</v>
      </c>
      <c r="H461" s="904">
        <v>40686.0</v>
      </c>
      <c r="I461" s="7">
        <v>30505.0</v>
      </c>
      <c r="J461" s="905" t="s">
        <v>41041</v>
      </c>
      <c r="K461" s="7" t="s">
        <v>41042</v>
      </c>
    </row>
    <row r="462">
      <c r="A462" s="202">
        <v>13575.0</v>
      </c>
      <c r="B462" s="7" t="s">
        <v>41043</v>
      </c>
      <c r="C462" s="7" t="s">
        <v>41044</v>
      </c>
      <c r="D462" s="7">
        <v>34843.0</v>
      </c>
      <c r="E462" s="902" t="s">
        <v>41045</v>
      </c>
      <c r="F462" s="902" t="s">
        <v>41046</v>
      </c>
      <c r="G462" s="903">
        <v>40708.0</v>
      </c>
      <c r="H462" s="904">
        <v>40703.0</v>
      </c>
      <c r="I462" s="7">
        <v>34841.0</v>
      </c>
      <c r="J462" s="905" t="s">
        <v>41047</v>
      </c>
      <c r="K462" s="7" t="s">
        <v>41048</v>
      </c>
    </row>
    <row r="463">
      <c r="A463" s="202">
        <v>13576.0</v>
      </c>
      <c r="B463" s="7" t="s">
        <v>41049</v>
      </c>
      <c r="C463" s="7" t="s">
        <v>41050</v>
      </c>
      <c r="D463" s="7">
        <v>35299.0</v>
      </c>
      <c r="E463" s="902" t="s">
        <v>41051</v>
      </c>
      <c r="F463" s="902" t="s">
        <v>41052</v>
      </c>
      <c r="G463" s="903">
        <v>40710.0</v>
      </c>
      <c r="H463" s="904">
        <v>40707.0</v>
      </c>
      <c r="I463" s="7">
        <v>35297.0</v>
      </c>
      <c r="J463" s="905" t="s">
        <v>41053</v>
      </c>
    </row>
    <row r="464">
      <c r="A464" s="202">
        <v>13577.0</v>
      </c>
      <c r="B464" s="7" t="s">
        <v>41054</v>
      </c>
      <c r="C464" s="7" t="s">
        <v>41055</v>
      </c>
      <c r="D464" s="7">
        <v>35717.0</v>
      </c>
      <c r="E464" s="902" t="s">
        <v>41056</v>
      </c>
      <c r="F464" s="902" t="s">
        <v>41057</v>
      </c>
      <c r="G464" s="903">
        <v>40714.0</v>
      </c>
      <c r="H464" s="904">
        <v>40709.0</v>
      </c>
      <c r="I464" s="7">
        <v>35715.0</v>
      </c>
      <c r="J464" s="905" t="s">
        <v>41058</v>
      </c>
    </row>
    <row r="465">
      <c r="A465" s="202">
        <v>13578.0</v>
      </c>
      <c r="B465" s="7" t="s">
        <v>41059</v>
      </c>
      <c r="C465" s="7" t="s">
        <v>41060</v>
      </c>
      <c r="D465" s="7">
        <v>40592.0</v>
      </c>
      <c r="E465" s="902" t="s">
        <v>41061</v>
      </c>
      <c r="F465" s="902" t="s">
        <v>41062</v>
      </c>
      <c r="G465" s="903">
        <v>40735.0</v>
      </c>
      <c r="H465" s="904">
        <v>40730.0</v>
      </c>
      <c r="I465" s="7">
        <v>40591.0</v>
      </c>
      <c r="J465" s="905" t="s">
        <v>41063</v>
      </c>
      <c r="K465" s="7" t="s">
        <v>41064</v>
      </c>
    </row>
    <row r="466">
      <c r="A466" s="202">
        <v>13579.0</v>
      </c>
      <c r="B466" s="7" t="s">
        <v>41065</v>
      </c>
      <c r="C466" s="7" t="s">
        <v>41066</v>
      </c>
      <c r="D466" s="7">
        <v>41588.0</v>
      </c>
      <c r="E466" s="902" t="s">
        <v>41067</v>
      </c>
      <c r="F466" s="902" t="s">
        <v>41068</v>
      </c>
      <c r="G466" s="903">
        <v>40738.0</v>
      </c>
      <c r="H466" s="904">
        <v>40735.0</v>
      </c>
      <c r="I466" s="7">
        <v>41587.0</v>
      </c>
      <c r="J466" s="905" t="s">
        <v>41069</v>
      </c>
      <c r="K466" s="7" t="s">
        <v>41070</v>
      </c>
    </row>
    <row r="467">
      <c r="A467" s="202">
        <v>13580.0</v>
      </c>
      <c r="B467" s="7" t="s">
        <v>41071</v>
      </c>
      <c r="C467" s="7" t="s">
        <v>41072</v>
      </c>
      <c r="D467" s="7">
        <v>41991.0</v>
      </c>
      <c r="E467" s="902" t="s">
        <v>41073</v>
      </c>
      <c r="F467" s="902" t="s">
        <v>41074</v>
      </c>
      <c r="G467" s="903">
        <v>40739.0</v>
      </c>
      <c r="H467" s="904">
        <v>40736.0</v>
      </c>
      <c r="I467" s="7">
        <v>41989.0</v>
      </c>
      <c r="J467" s="905" t="s">
        <v>41075</v>
      </c>
      <c r="K467" s="7" t="s">
        <v>41076</v>
      </c>
    </row>
    <row r="468">
      <c r="A468" s="202">
        <v>13581.0</v>
      </c>
      <c r="B468" s="7" t="s">
        <v>41077</v>
      </c>
      <c r="C468" s="7" t="s">
        <v>41078</v>
      </c>
      <c r="D468" s="7">
        <v>44759.0</v>
      </c>
      <c r="E468" s="902" t="s">
        <v>41079</v>
      </c>
      <c r="F468" s="902" t="s">
        <v>41080</v>
      </c>
      <c r="G468" s="903">
        <v>40751.0</v>
      </c>
      <c r="H468" s="904">
        <v>40748.0</v>
      </c>
      <c r="I468" s="7">
        <v>44757.0</v>
      </c>
      <c r="J468" s="905" t="s">
        <v>41081</v>
      </c>
    </row>
    <row r="469">
      <c r="A469" s="202">
        <v>13582.0</v>
      </c>
      <c r="B469" s="7" t="s">
        <v>41082</v>
      </c>
      <c r="C469" s="7" t="s">
        <v>41083</v>
      </c>
      <c r="D469" s="7">
        <v>52211.0</v>
      </c>
      <c r="E469" s="902" t="s">
        <v>41084</v>
      </c>
      <c r="F469" s="902" t="s">
        <v>41085</v>
      </c>
      <c r="G469" s="903">
        <v>40777.0</v>
      </c>
      <c r="H469" s="904">
        <v>40772.0</v>
      </c>
      <c r="I469" s="7">
        <v>52209.0</v>
      </c>
      <c r="J469" s="905" t="s">
        <v>41086</v>
      </c>
      <c r="K469" s="7" t="s">
        <v>41087</v>
      </c>
    </row>
    <row r="470">
      <c r="A470" s="202">
        <v>13583.0</v>
      </c>
      <c r="B470" s="7" t="s">
        <v>41088</v>
      </c>
      <c r="C470" s="7" t="s">
        <v>41089</v>
      </c>
      <c r="D470" s="7">
        <v>52849.0</v>
      </c>
      <c r="E470" s="902" t="s">
        <v>41090</v>
      </c>
      <c r="F470" s="902" t="s">
        <v>41091</v>
      </c>
      <c r="G470" s="903">
        <v>40778.0</v>
      </c>
      <c r="H470" s="904">
        <v>40773.0</v>
      </c>
      <c r="I470" s="7">
        <v>52847.0</v>
      </c>
      <c r="J470" s="905" t="s">
        <v>41092</v>
      </c>
      <c r="K470" s="7" t="s">
        <v>41093</v>
      </c>
    </row>
    <row r="471">
      <c r="A471" s="202">
        <v>13584.0</v>
      </c>
      <c r="B471" s="7" t="s">
        <v>41094</v>
      </c>
      <c r="C471" s="7" t="s">
        <v>41095</v>
      </c>
      <c r="D471" s="7">
        <v>56947.0</v>
      </c>
      <c r="E471" s="902" t="s">
        <v>41096</v>
      </c>
      <c r="F471" s="902" t="s">
        <v>41097</v>
      </c>
      <c r="G471" s="903">
        <v>40801.0</v>
      </c>
      <c r="H471" s="904">
        <v>40795.0</v>
      </c>
      <c r="I471" s="7">
        <v>56945.0</v>
      </c>
      <c r="J471" s="905" t="s">
        <v>41098</v>
      </c>
      <c r="K471" s="7" t="s">
        <v>41099</v>
      </c>
    </row>
    <row r="472">
      <c r="A472" s="202">
        <v>13585.0</v>
      </c>
      <c r="B472" s="7" t="s">
        <v>41100</v>
      </c>
      <c r="C472" s="7" t="s">
        <v>41101</v>
      </c>
      <c r="D472" s="7">
        <v>62282.0</v>
      </c>
      <c r="E472" s="902" t="s">
        <v>41102</v>
      </c>
      <c r="F472" s="902" t="s">
        <v>41103</v>
      </c>
      <c r="G472" s="903">
        <v>40823.0</v>
      </c>
      <c r="H472" s="904">
        <v>40816.0</v>
      </c>
      <c r="I472" s="7">
        <v>62281.0</v>
      </c>
      <c r="J472" s="905" t="s">
        <v>38683</v>
      </c>
      <c r="K472" s="7" t="s">
        <v>41104</v>
      </c>
    </row>
    <row r="473">
      <c r="A473" s="202">
        <v>13586.0</v>
      </c>
      <c r="B473" s="7" t="s">
        <v>41105</v>
      </c>
      <c r="C473" s="7" t="s">
        <v>41106</v>
      </c>
      <c r="D473" s="7">
        <v>63535.0</v>
      </c>
      <c r="E473" s="902" t="s">
        <v>41107</v>
      </c>
      <c r="F473" s="902" t="s">
        <v>41108</v>
      </c>
      <c r="G473" s="906">
        <v>40828.0</v>
      </c>
      <c r="H473" s="904">
        <v>40822.0</v>
      </c>
      <c r="I473" s="7">
        <v>63533.0</v>
      </c>
      <c r="J473" s="905" t="s">
        <v>41109</v>
      </c>
    </row>
    <row r="474">
      <c r="A474" s="202">
        <v>13587.0</v>
      </c>
      <c r="B474" s="7" t="s">
        <v>41110</v>
      </c>
      <c r="C474" s="7" t="s">
        <v>41111</v>
      </c>
      <c r="D474" s="7">
        <v>63815.0</v>
      </c>
      <c r="E474" s="902" t="s">
        <v>41112</v>
      </c>
      <c r="F474" s="902" t="s">
        <v>41113</v>
      </c>
      <c r="G474" s="906">
        <v>40829.0</v>
      </c>
      <c r="H474" s="904">
        <v>40823.0</v>
      </c>
      <c r="I474" s="7">
        <v>63811.0</v>
      </c>
      <c r="J474" s="905" t="s">
        <v>41114</v>
      </c>
    </row>
    <row r="475">
      <c r="A475" s="202">
        <v>13588.0</v>
      </c>
      <c r="B475" s="7" t="s">
        <v>41115</v>
      </c>
      <c r="C475" s="7" t="s">
        <v>41116</v>
      </c>
      <c r="D475" s="7">
        <v>68296.0</v>
      </c>
      <c r="E475" s="902" t="s">
        <v>41117</v>
      </c>
      <c r="F475" s="902" t="s">
        <v>41118</v>
      </c>
      <c r="G475" s="903">
        <v>40850.0</v>
      </c>
      <c r="H475" s="904">
        <v>40847.0</v>
      </c>
      <c r="I475" s="7">
        <v>68295.0</v>
      </c>
      <c r="J475" s="905" t="s">
        <v>41119</v>
      </c>
    </row>
    <row r="476">
      <c r="A476" s="202">
        <v>13589.0</v>
      </c>
      <c r="B476" s="7" t="s">
        <v>41120</v>
      </c>
      <c r="C476" s="7" t="s">
        <v>41121</v>
      </c>
      <c r="D476" s="7">
        <v>70864.0</v>
      </c>
      <c r="E476" s="902" t="s">
        <v>41122</v>
      </c>
      <c r="F476" s="902" t="s">
        <v>41123</v>
      </c>
      <c r="G476" s="906">
        <v>40862.0</v>
      </c>
      <c r="H476" s="904">
        <v>40856.0</v>
      </c>
      <c r="I476" s="7">
        <v>70863.0</v>
      </c>
      <c r="J476" s="905" t="s">
        <v>41124</v>
      </c>
      <c r="K476" s="7" t="s">
        <v>41125</v>
      </c>
    </row>
    <row r="477">
      <c r="A477" s="202">
        <v>13590.0</v>
      </c>
      <c r="B477" s="7" t="s">
        <v>41126</v>
      </c>
      <c r="C477" s="7" t="s">
        <v>41127</v>
      </c>
      <c r="D477" s="7">
        <v>72612.0</v>
      </c>
      <c r="E477" s="902" t="s">
        <v>41128</v>
      </c>
      <c r="F477" s="902" t="s">
        <v>41129</v>
      </c>
      <c r="G477" s="906">
        <v>40870.0</v>
      </c>
      <c r="H477" s="904">
        <v>40867.0</v>
      </c>
      <c r="I477" s="7">
        <v>72609.0</v>
      </c>
      <c r="J477" s="905" t="s">
        <v>41130</v>
      </c>
      <c r="K477" s="7" t="s">
        <v>41042</v>
      </c>
    </row>
    <row r="478">
      <c r="A478" s="202">
        <v>13591.0</v>
      </c>
      <c r="B478" s="7" t="s">
        <v>41131</v>
      </c>
      <c r="C478" s="7" t="s">
        <v>41132</v>
      </c>
      <c r="D478" s="7">
        <v>74624.0</v>
      </c>
      <c r="E478" s="902" t="s">
        <v>41133</v>
      </c>
      <c r="F478" s="902" t="s">
        <v>41134</v>
      </c>
      <c r="G478" s="906">
        <v>40877.0</v>
      </c>
      <c r="H478" s="904">
        <v>40870.0</v>
      </c>
      <c r="I478" s="7">
        <v>74623.0</v>
      </c>
      <c r="J478" s="905" t="s">
        <v>38683</v>
      </c>
      <c r="K478" s="7" t="s">
        <v>41135</v>
      </c>
    </row>
    <row r="479">
      <c r="A479" s="202">
        <v>13592.0</v>
      </c>
      <c r="B479" s="7" t="s">
        <v>41136</v>
      </c>
      <c r="C479" s="7" t="s">
        <v>41137</v>
      </c>
      <c r="D479" s="7">
        <v>76607.0</v>
      </c>
      <c r="E479" s="902" t="s">
        <v>41138</v>
      </c>
      <c r="F479" s="902" t="s">
        <v>41139</v>
      </c>
      <c r="G479" s="903">
        <v>40885.0</v>
      </c>
      <c r="H479" s="904">
        <v>40879.0</v>
      </c>
      <c r="I479" s="7">
        <v>76603.0</v>
      </c>
      <c r="J479" s="905" t="s">
        <v>41140</v>
      </c>
      <c r="K479" s="7" t="s">
        <v>41141</v>
      </c>
    </row>
    <row r="480">
      <c r="A480" s="202">
        <v>13593.0</v>
      </c>
      <c r="B480" s="7" t="s">
        <v>41142</v>
      </c>
      <c r="C480" s="7" t="s">
        <v>41143</v>
      </c>
      <c r="D480" s="7">
        <v>78463.0</v>
      </c>
      <c r="E480" s="902" t="s">
        <v>41144</v>
      </c>
      <c r="F480" s="902" t="s">
        <v>41145</v>
      </c>
      <c r="G480" s="906">
        <v>40893.0</v>
      </c>
      <c r="H480" s="904">
        <v>40890.0</v>
      </c>
      <c r="I480" s="7">
        <v>78451.0</v>
      </c>
      <c r="J480" s="905" t="s">
        <v>41146</v>
      </c>
    </row>
    <row r="481">
      <c r="A481" s="202">
        <v>13594.0</v>
      </c>
      <c r="B481" s="7" t="s">
        <v>41147</v>
      </c>
      <c r="C481" s="7" t="s">
        <v>41148</v>
      </c>
      <c r="D481" s="7">
        <v>80203.0</v>
      </c>
      <c r="E481" s="902" t="s">
        <v>41149</v>
      </c>
      <c r="F481" s="902" t="s">
        <v>41150</v>
      </c>
      <c r="G481" s="906">
        <v>40900.0</v>
      </c>
      <c r="H481" s="904">
        <v>40896.0</v>
      </c>
      <c r="I481" s="7">
        <v>80191.0</v>
      </c>
      <c r="J481" s="905" t="s">
        <v>38718</v>
      </c>
      <c r="K481" s="7" t="s">
        <v>41151</v>
      </c>
    </row>
    <row r="482">
      <c r="A482" s="202">
        <v>13595.0</v>
      </c>
      <c r="B482" s="7" t="s">
        <v>41152</v>
      </c>
      <c r="C482" s="7" t="s">
        <v>41153</v>
      </c>
      <c r="D482" s="7">
        <v>80207.0</v>
      </c>
      <c r="E482" s="902" t="s">
        <v>41154</v>
      </c>
      <c r="F482" s="902" t="s">
        <v>41155</v>
      </c>
      <c r="G482" s="906">
        <v>40900.0</v>
      </c>
      <c r="H482" s="904">
        <v>40896.0</v>
      </c>
      <c r="I482" s="7">
        <v>80205.0</v>
      </c>
      <c r="J482" s="905" t="s">
        <v>41156</v>
      </c>
    </row>
    <row r="483">
      <c r="A483" s="202">
        <v>13596.0</v>
      </c>
      <c r="B483" s="7" t="s">
        <v>41157</v>
      </c>
      <c r="C483" s="7" t="s">
        <v>41158</v>
      </c>
      <c r="D483" s="7">
        <v>80726.0</v>
      </c>
      <c r="E483" s="902" t="s">
        <v>41159</v>
      </c>
      <c r="F483" s="902" t="s">
        <v>41160</v>
      </c>
      <c r="G483" s="906">
        <v>40904.0</v>
      </c>
      <c r="H483" s="904">
        <v>40896.0</v>
      </c>
      <c r="I483" s="7">
        <v>80725.0</v>
      </c>
      <c r="J483" s="905" t="s">
        <v>41161</v>
      </c>
      <c r="K483" s="7" t="s">
        <v>41162</v>
      </c>
    </row>
    <row r="484">
      <c r="A484" s="202">
        <v>13597.0</v>
      </c>
      <c r="B484" s="7" t="s">
        <v>41163</v>
      </c>
      <c r="C484" s="7" t="s">
        <v>41164</v>
      </c>
      <c r="D484" s="7">
        <v>3375.0</v>
      </c>
      <c r="E484" s="902" t="s">
        <v>41165</v>
      </c>
      <c r="F484" s="902" t="s">
        <v>41166</v>
      </c>
      <c r="G484" s="903">
        <v>40932.0</v>
      </c>
      <c r="H484" s="904">
        <v>40927.0</v>
      </c>
      <c r="I484" s="7">
        <v>3373.0</v>
      </c>
      <c r="J484" s="905" t="s">
        <v>41167</v>
      </c>
      <c r="K484" s="7" t="s">
        <v>41168</v>
      </c>
    </row>
    <row r="485">
      <c r="A485" s="202">
        <v>13598.0</v>
      </c>
      <c r="B485" s="7" t="s">
        <v>41169</v>
      </c>
      <c r="C485" s="7" t="s">
        <v>41170</v>
      </c>
      <c r="D485" s="7">
        <v>5372.0</v>
      </c>
      <c r="E485" s="902" t="s">
        <v>41171</v>
      </c>
      <c r="F485" s="902" t="s">
        <v>41172</v>
      </c>
      <c r="G485" s="903">
        <v>40941.0</v>
      </c>
      <c r="H485" s="904">
        <v>40935.0</v>
      </c>
      <c r="I485" s="7">
        <v>5371.0</v>
      </c>
      <c r="J485" s="905" t="s">
        <v>41173</v>
      </c>
    </row>
    <row r="486">
      <c r="A486" s="202">
        <v>13599.0</v>
      </c>
      <c r="B486" s="7" t="s">
        <v>41174</v>
      </c>
      <c r="C486" s="7" t="s">
        <v>41175</v>
      </c>
      <c r="D486" s="7">
        <v>6662.0</v>
      </c>
      <c r="E486" s="902" t="s">
        <v>41176</v>
      </c>
      <c r="F486" s="902" t="s">
        <v>41177</v>
      </c>
      <c r="G486" s="903">
        <v>40947.0</v>
      </c>
      <c r="H486" s="904">
        <v>40944.0</v>
      </c>
      <c r="I486" s="7">
        <v>6659.0</v>
      </c>
      <c r="J486" s="905" t="s">
        <v>41178</v>
      </c>
      <c r="K486" s="7" t="s">
        <v>41179</v>
      </c>
    </row>
    <row r="487">
      <c r="A487" s="202">
        <v>13600.0</v>
      </c>
      <c r="B487" s="7" t="s">
        <v>41180</v>
      </c>
      <c r="C487" s="7" t="s">
        <v>41181</v>
      </c>
      <c r="D487" s="7">
        <v>8715.0</v>
      </c>
      <c r="E487" s="902" t="s">
        <v>41182</v>
      </c>
      <c r="F487" s="902" t="s">
        <v>41183</v>
      </c>
      <c r="G487" s="903">
        <v>40953.0</v>
      </c>
      <c r="H487" s="904">
        <v>40948.0</v>
      </c>
      <c r="I487" s="7">
        <v>8713.0</v>
      </c>
      <c r="J487" s="905" t="s">
        <v>41184</v>
      </c>
      <c r="K487" s="7" t="s">
        <v>41185</v>
      </c>
    </row>
    <row r="488">
      <c r="A488" s="202">
        <v>13601.0</v>
      </c>
      <c r="B488" s="7" t="s">
        <v>41186</v>
      </c>
      <c r="C488" s="7" t="s">
        <v>41187</v>
      </c>
      <c r="D488" s="7">
        <v>12983.0</v>
      </c>
      <c r="E488" s="902" t="s">
        <v>41188</v>
      </c>
      <c r="F488" s="902" t="s">
        <v>41189</v>
      </c>
      <c r="G488" s="903">
        <v>40973.0</v>
      </c>
      <c r="H488" s="904">
        <v>40967.0</v>
      </c>
      <c r="I488" s="7">
        <v>12981.0</v>
      </c>
      <c r="J488" s="905" t="s">
        <v>41190</v>
      </c>
    </row>
    <row r="489">
      <c r="A489" s="202">
        <v>13602.0</v>
      </c>
      <c r="B489" s="7" t="s">
        <v>41191</v>
      </c>
      <c r="C489" s="7" t="s">
        <v>41192</v>
      </c>
      <c r="D489" s="7">
        <v>16134.0</v>
      </c>
      <c r="E489" s="902" t="s">
        <v>41193</v>
      </c>
      <c r="F489" s="902" t="s">
        <v>41194</v>
      </c>
      <c r="G489" s="903">
        <v>40988.0</v>
      </c>
      <c r="H489" s="904">
        <v>40983.0</v>
      </c>
      <c r="I489" s="7">
        <v>16131.0</v>
      </c>
      <c r="J489" s="905" t="s">
        <v>41195</v>
      </c>
      <c r="K489" s="7" t="s">
        <v>41196</v>
      </c>
    </row>
    <row r="490">
      <c r="A490" s="202">
        <v>13603.0</v>
      </c>
      <c r="B490" s="7" t="s">
        <v>41197</v>
      </c>
      <c r="C490" s="7" t="s">
        <v>41198</v>
      </c>
      <c r="D490" s="7">
        <v>16660.0</v>
      </c>
      <c r="E490" s="902" t="s">
        <v>41199</v>
      </c>
      <c r="F490" s="902" t="s">
        <v>41200</v>
      </c>
      <c r="G490" s="903">
        <v>40990.0</v>
      </c>
      <c r="H490" s="904">
        <v>40984.0</v>
      </c>
      <c r="I490" s="7">
        <v>16651.0</v>
      </c>
      <c r="J490" s="905" t="s">
        <v>41201</v>
      </c>
      <c r="K490" s="7" t="s">
        <v>41202</v>
      </c>
    </row>
    <row r="491">
      <c r="A491" s="202">
        <v>13604.0</v>
      </c>
      <c r="B491" s="7" t="s">
        <v>41203</v>
      </c>
      <c r="C491" s="7" t="s">
        <v>41204</v>
      </c>
      <c r="D491" s="7">
        <v>18890.0</v>
      </c>
      <c r="E491" s="902" t="s">
        <v>41205</v>
      </c>
      <c r="F491" s="902" t="s">
        <v>41206</v>
      </c>
      <c r="G491" s="903">
        <v>40996.0</v>
      </c>
      <c r="H491" s="904">
        <v>40990.0</v>
      </c>
      <c r="I491" s="7">
        <v>18887.0</v>
      </c>
      <c r="J491" s="905" t="s">
        <v>41207</v>
      </c>
      <c r="K491" s="7" t="s">
        <v>41208</v>
      </c>
    </row>
    <row r="492">
      <c r="A492" s="202">
        <v>13605.0</v>
      </c>
      <c r="B492" s="7" t="s">
        <v>41209</v>
      </c>
      <c r="C492" s="7" t="s">
        <v>41210</v>
      </c>
      <c r="D492" s="7">
        <v>23108.0</v>
      </c>
      <c r="E492" s="902" t="s">
        <v>41211</v>
      </c>
      <c r="F492" s="902" t="s">
        <v>41212</v>
      </c>
      <c r="G492" s="903">
        <v>41016.0</v>
      </c>
      <c r="H492" s="904">
        <v>41012.0</v>
      </c>
      <c r="I492" s="7">
        <v>23107.0</v>
      </c>
      <c r="J492" s="905" t="s">
        <v>41213</v>
      </c>
    </row>
    <row r="493">
      <c r="A493" s="202">
        <v>13606.0</v>
      </c>
      <c r="B493" s="7" t="s">
        <v>41214</v>
      </c>
      <c r="C493" s="7" t="s">
        <v>41215</v>
      </c>
      <c r="D493" s="7">
        <v>24574.0</v>
      </c>
      <c r="E493" s="902" t="s">
        <v>41216</v>
      </c>
      <c r="F493" s="902" t="s">
        <v>41217</v>
      </c>
      <c r="G493" s="903">
        <v>41023.0</v>
      </c>
      <c r="H493" s="904">
        <v>41021.0</v>
      </c>
      <c r="I493" s="7">
        <v>24571.0</v>
      </c>
      <c r="J493" s="905" t="s">
        <v>41218</v>
      </c>
      <c r="K493" s="7" t="s">
        <v>41219</v>
      </c>
    </row>
    <row r="494">
      <c r="A494" s="202">
        <v>13607.0</v>
      </c>
      <c r="B494" s="7" t="s">
        <v>41220</v>
      </c>
      <c r="C494" s="7" t="s">
        <v>41221</v>
      </c>
      <c r="D494" s="7">
        <v>25864.0</v>
      </c>
      <c r="E494" s="902" t="s">
        <v>41222</v>
      </c>
      <c r="F494" s="902" t="s">
        <v>41223</v>
      </c>
      <c r="G494" s="903">
        <v>41031.0</v>
      </c>
      <c r="H494" s="904">
        <v>41026.0</v>
      </c>
      <c r="I494" s="7">
        <v>25861.0</v>
      </c>
      <c r="J494" s="905" t="s">
        <v>41224</v>
      </c>
    </row>
    <row r="495">
      <c r="A495" s="202">
        <v>13608.0</v>
      </c>
      <c r="B495" s="7" t="s">
        <v>41225</v>
      </c>
      <c r="C495" s="7" t="s">
        <v>41226</v>
      </c>
      <c r="D495" s="7">
        <v>26411.0</v>
      </c>
      <c r="E495" s="902" t="s">
        <v>41227</v>
      </c>
      <c r="F495" s="902" t="s">
        <v>41228</v>
      </c>
      <c r="G495" s="903">
        <v>41032.0</v>
      </c>
      <c r="H495" s="904">
        <v>41030.0</v>
      </c>
      <c r="I495" s="7">
        <v>26409.0</v>
      </c>
      <c r="J495" s="905" t="s">
        <v>41229</v>
      </c>
      <c r="K495" s="7" t="s">
        <v>41230</v>
      </c>
    </row>
    <row r="496">
      <c r="A496" s="202">
        <v>13609.0</v>
      </c>
      <c r="B496" s="7" t="s">
        <v>41231</v>
      </c>
      <c r="C496" s="7" t="s">
        <v>41232</v>
      </c>
      <c r="D496" s="7">
        <v>26415.0</v>
      </c>
      <c r="E496" s="902" t="s">
        <v>41233</v>
      </c>
      <c r="F496" s="902" t="s">
        <v>41234</v>
      </c>
      <c r="G496" s="903">
        <v>41033.0</v>
      </c>
      <c r="H496" s="904">
        <v>41030.0</v>
      </c>
      <c r="I496" s="7">
        <v>26413.0</v>
      </c>
      <c r="J496" s="905" t="s">
        <v>41235</v>
      </c>
      <c r="K496" s="7" t="s">
        <v>41070</v>
      </c>
    </row>
    <row r="497">
      <c r="A497" s="202">
        <v>13610.0</v>
      </c>
      <c r="B497" s="7" t="s">
        <v>41236</v>
      </c>
      <c r="C497" s="7" t="s">
        <v>41237</v>
      </c>
      <c r="D497" s="7">
        <v>28470.0</v>
      </c>
      <c r="E497" s="902" t="s">
        <v>41238</v>
      </c>
      <c r="F497" s="902" t="s">
        <v>41239</v>
      </c>
      <c r="G497" s="903">
        <v>41043.0</v>
      </c>
      <c r="H497" s="904">
        <v>41039.0</v>
      </c>
      <c r="I497" s="7">
        <v>28469.0</v>
      </c>
      <c r="J497" s="905" t="s">
        <v>41240</v>
      </c>
      <c r="K497" s="7" t="s">
        <v>41241</v>
      </c>
    </row>
    <row r="498">
      <c r="A498" s="202">
        <v>13611.0</v>
      </c>
      <c r="B498" s="7" t="s">
        <v>41242</v>
      </c>
      <c r="C498" s="7" t="s">
        <v>41243</v>
      </c>
      <c r="D498" s="7">
        <v>29535.0</v>
      </c>
      <c r="E498" s="902" t="s">
        <v>41244</v>
      </c>
      <c r="F498" s="902" t="s">
        <v>41245</v>
      </c>
      <c r="G498" s="903">
        <v>41047.0</v>
      </c>
      <c r="H498" s="904">
        <v>41045.0</v>
      </c>
      <c r="I498" s="7">
        <v>29533.0</v>
      </c>
      <c r="J498" s="905" t="s">
        <v>41246</v>
      </c>
    </row>
    <row r="499">
      <c r="A499" s="202">
        <v>13612.0</v>
      </c>
      <c r="B499" s="7" t="s">
        <v>41247</v>
      </c>
      <c r="C499" s="7" t="s">
        <v>41248</v>
      </c>
      <c r="D499" s="7">
        <v>31154.0</v>
      </c>
      <c r="E499" s="902" t="s">
        <v>41249</v>
      </c>
      <c r="F499" s="902" t="s">
        <v>41250</v>
      </c>
      <c r="G499" s="903">
        <v>41053.0</v>
      </c>
      <c r="H499" s="904">
        <v>41050.0</v>
      </c>
      <c r="I499" s="7">
        <v>31153.0</v>
      </c>
      <c r="J499" s="905" t="s">
        <v>39251</v>
      </c>
      <c r="K499" s="7" t="s">
        <v>41251</v>
      </c>
    </row>
    <row r="500">
      <c r="A500" s="202">
        <v>13613.0</v>
      </c>
      <c r="B500" s="7" t="s">
        <v>41252</v>
      </c>
      <c r="C500" s="7" t="s">
        <v>41253</v>
      </c>
      <c r="D500" s="7">
        <v>31156.0</v>
      </c>
      <c r="E500" s="902" t="s">
        <v>41254</v>
      </c>
      <c r="F500" s="902" t="s">
        <v>41255</v>
      </c>
      <c r="G500" s="903">
        <v>41053.0</v>
      </c>
      <c r="H500" s="904">
        <v>41050.0</v>
      </c>
      <c r="I500" s="7">
        <v>31155.0</v>
      </c>
      <c r="J500" s="905" t="s">
        <v>39257</v>
      </c>
      <c r="K500" s="7" t="s">
        <v>41256</v>
      </c>
    </row>
    <row r="501">
      <c r="A501" s="202">
        <v>13614.0</v>
      </c>
      <c r="B501" s="7" t="s">
        <v>41257</v>
      </c>
      <c r="C501" s="7" t="s">
        <v>41258</v>
      </c>
      <c r="D501" s="7">
        <v>31158.0</v>
      </c>
      <c r="E501" s="902" t="s">
        <v>41259</v>
      </c>
      <c r="F501" s="902" t="s">
        <v>41260</v>
      </c>
      <c r="G501" s="903">
        <v>41053.0</v>
      </c>
      <c r="H501" s="904">
        <v>41050.0</v>
      </c>
      <c r="I501" s="7">
        <v>31157.0</v>
      </c>
      <c r="J501" s="905" t="s">
        <v>41261</v>
      </c>
      <c r="K501" s="7" t="s">
        <v>41262</v>
      </c>
    </row>
    <row r="502">
      <c r="A502" s="202">
        <v>13615.0</v>
      </c>
      <c r="B502" s="7" t="s">
        <v>41263</v>
      </c>
      <c r="C502" s="7" t="s">
        <v>41264</v>
      </c>
      <c r="D502" s="7">
        <v>31160.0</v>
      </c>
      <c r="E502" s="902" t="s">
        <v>41265</v>
      </c>
      <c r="F502" s="902" t="s">
        <v>41266</v>
      </c>
      <c r="G502" s="903">
        <v>41053.0</v>
      </c>
      <c r="H502" s="904">
        <v>41050.0</v>
      </c>
      <c r="I502" s="7">
        <v>31159.0</v>
      </c>
      <c r="J502" s="905" t="s">
        <v>41267</v>
      </c>
      <c r="K502" s="7" t="s">
        <v>41268</v>
      </c>
    </row>
    <row r="503">
      <c r="A503" s="202">
        <v>13616.0</v>
      </c>
      <c r="B503" s="7" t="s">
        <v>41269</v>
      </c>
      <c r="C503" s="7" t="s">
        <v>41270</v>
      </c>
      <c r="D503" s="7">
        <v>36906.0</v>
      </c>
      <c r="E503" s="902" t="s">
        <v>41271</v>
      </c>
      <c r="F503" s="902" t="s">
        <v>41272</v>
      </c>
      <c r="G503" s="903">
        <v>41080.0</v>
      </c>
      <c r="H503" s="904">
        <v>41074.0</v>
      </c>
      <c r="I503" s="7">
        <v>36903.0</v>
      </c>
      <c r="J503" s="905" t="s">
        <v>41273</v>
      </c>
      <c r="K503" s="7" t="s">
        <v>41274</v>
      </c>
    </row>
    <row r="504">
      <c r="A504" s="202">
        <v>13617.0</v>
      </c>
      <c r="B504" s="7" t="s">
        <v>41275</v>
      </c>
      <c r="C504" s="7" t="s">
        <v>41276</v>
      </c>
      <c r="D504" s="7">
        <v>38461.0</v>
      </c>
      <c r="E504" s="902" t="s">
        <v>41277</v>
      </c>
      <c r="F504" s="902" t="s">
        <v>41278</v>
      </c>
      <c r="G504" s="903">
        <v>41087.0</v>
      </c>
      <c r="H504" s="904">
        <v>41085.0</v>
      </c>
      <c r="I504" s="7">
        <v>38459.0</v>
      </c>
      <c r="J504" s="905" t="s">
        <v>38801</v>
      </c>
      <c r="K504" s="7" t="s">
        <v>41279</v>
      </c>
    </row>
    <row r="505">
      <c r="A505" s="202">
        <v>13618.0</v>
      </c>
      <c r="B505" s="7" t="s">
        <v>41280</v>
      </c>
      <c r="C505" s="7" t="s">
        <v>41281</v>
      </c>
      <c r="D505" s="7">
        <v>40783.0</v>
      </c>
      <c r="E505" s="902" t="s">
        <v>41282</v>
      </c>
      <c r="F505" s="902" t="s">
        <v>41283</v>
      </c>
      <c r="G505" s="903">
        <v>41101.0</v>
      </c>
      <c r="H505" s="904">
        <v>41096.0</v>
      </c>
      <c r="I505" s="7">
        <v>40779.0</v>
      </c>
      <c r="J505" s="905" t="s">
        <v>41284</v>
      </c>
      <c r="K505" s="7" t="s">
        <v>41285</v>
      </c>
    </row>
    <row r="506">
      <c r="A506" s="202">
        <v>13619.0</v>
      </c>
      <c r="B506" s="7" t="s">
        <v>41286</v>
      </c>
      <c r="C506" s="7" t="s">
        <v>41287</v>
      </c>
      <c r="D506" s="7">
        <v>41245.0</v>
      </c>
      <c r="E506" s="902" t="s">
        <v>41288</v>
      </c>
      <c r="F506" s="902" t="s">
        <v>41289</v>
      </c>
      <c r="G506" s="903">
        <v>41103.0</v>
      </c>
      <c r="H506" s="904">
        <v>41101.0</v>
      </c>
      <c r="I506" s="7">
        <v>41243.0</v>
      </c>
      <c r="J506" s="905" t="s">
        <v>41290</v>
      </c>
      <c r="K506" s="7" t="s">
        <v>41291</v>
      </c>
    </row>
    <row r="507">
      <c r="A507" s="202">
        <v>13620.0</v>
      </c>
      <c r="B507" s="7" t="s">
        <v>41292</v>
      </c>
      <c r="C507" s="7" t="s">
        <v>41293</v>
      </c>
      <c r="D507" s="7">
        <v>43485.0</v>
      </c>
      <c r="E507" s="902" t="s">
        <v>41294</v>
      </c>
      <c r="F507" s="902" t="s">
        <v>41295</v>
      </c>
      <c r="G507" s="903">
        <v>41114.0</v>
      </c>
      <c r="H507" s="904">
        <v>41110.0</v>
      </c>
      <c r="I507" s="7">
        <v>43483.0</v>
      </c>
      <c r="J507" s="905" t="s">
        <v>41296</v>
      </c>
      <c r="K507" s="7" t="s">
        <v>41297</v>
      </c>
    </row>
    <row r="508">
      <c r="A508" s="202">
        <v>13621.0</v>
      </c>
      <c r="B508" s="7" t="s">
        <v>41298</v>
      </c>
      <c r="C508" s="7" t="s">
        <v>41299</v>
      </c>
      <c r="D508" s="7">
        <v>45476.0</v>
      </c>
      <c r="E508" s="902" t="s">
        <v>41300</v>
      </c>
      <c r="F508" s="902" t="s">
        <v>41301</v>
      </c>
      <c r="G508" s="903">
        <v>41122.0</v>
      </c>
      <c r="H508" s="904">
        <v>41116.0</v>
      </c>
      <c r="I508" s="7">
        <v>45471.0</v>
      </c>
      <c r="J508" s="905" t="s">
        <v>41302</v>
      </c>
      <c r="K508" s="7" t="s">
        <v>41303</v>
      </c>
    </row>
    <row r="509">
      <c r="A509" s="202">
        <v>13622.0</v>
      </c>
      <c r="B509" s="7" t="s">
        <v>41304</v>
      </c>
      <c r="C509" s="7" t="s">
        <v>41305</v>
      </c>
      <c r="D509" s="7">
        <v>45902.0</v>
      </c>
      <c r="E509" s="902" t="s">
        <v>41306</v>
      </c>
      <c r="F509" s="902" t="s">
        <v>41307</v>
      </c>
      <c r="G509" s="903">
        <v>41123.0</v>
      </c>
      <c r="H509" s="904">
        <v>41120.0</v>
      </c>
      <c r="I509" s="7">
        <v>45897.0</v>
      </c>
      <c r="J509" s="905" t="s">
        <v>41308</v>
      </c>
      <c r="K509" s="7" t="s">
        <v>41309</v>
      </c>
    </row>
    <row r="510">
      <c r="A510" s="202">
        <v>13623.0</v>
      </c>
      <c r="B510" s="7" t="s">
        <v>41310</v>
      </c>
      <c r="C510" s="7" t="s">
        <v>41311</v>
      </c>
      <c r="D510" s="7">
        <v>49348.0</v>
      </c>
      <c r="E510" s="902" t="s">
        <v>41312</v>
      </c>
      <c r="F510" s="902" t="s">
        <v>41313</v>
      </c>
      <c r="G510" s="903">
        <v>41137.0</v>
      </c>
      <c r="H510" s="904">
        <v>41131.0</v>
      </c>
      <c r="I510" s="7">
        <v>49345.0</v>
      </c>
      <c r="J510" s="905" t="s">
        <v>41314</v>
      </c>
    </row>
    <row r="511">
      <c r="A511" s="202">
        <v>13624.0</v>
      </c>
      <c r="B511" s="7" t="s">
        <v>41315</v>
      </c>
      <c r="C511" s="7" t="s">
        <v>41316</v>
      </c>
      <c r="D511" s="7">
        <v>54781.0</v>
      </c>
      <c r="E511" s="902" t="s">
        <v>41317</v>
      </c>
      <c r="F511" s="902" t="s">
        <v>41318</v>
      </c>
      <c r="G511" s="903">
        <v>41157.0</v>
      </c>
      <c r="H511" s="904">
        <v>41151.0</v>
      </c>
      <c r="I511" s="7">
        <v>54779.0</v>
      </c>
      <c r="J511" s="905" t="s">
        <v>41319</v>
      </c>
    </row>
    <row r="512">
      <c r="A512" s="202">
        <v>13625.0</v>
      </c>
      <c r="B512" s="7" t="s">
        <v>41320</v>
      </c>
      <c r="C512" s="7" t="s">
        <v>41321</v>
      </c>
      <c r="D512" s="7">
        <v>54786.0</v>
      </c>
      <c r="E512" s="902" t="s">
        <v>41322</v>
      </c>
      <c r="F512" s="902" t="s">
        <v>41323</v>
      </c>
      <c r="G512" s="903">
        <v>41157.0</v>
      </c>
      <c r="H512" s="904">
        <v>41152.0</v>
      </c>
      <c r="I512" s="7">
        <v>54783.0</v>
      </c>
      <c r="J512" s="905" t="s">
        <v>41324</v>
      </c>
    </row>
    <row r="513">
      <c r="A513" s="202">
        <v>13626.0</v>
      </c>
      <c r="B513" s="7" t="s">
        <v>41325</v>
      </c>
      <c r="C513" s="7" t="s">
        <v>41326</v>
      </c>
      <c r="D513" s="7">
        <v>56752.0</v>
      </c>
      <c r="E513" s="902" t="s">
        <v>41327</v>
      </c>
      <c r="F513" s="902" t="s">
        <v>41328</v>
      </c>
      <c r="G513" s="903">
        <v>41165.0</v>
      </c>
      <c r="H513" s="904">
        <v>41162.0</v>
      </c>
      <c r="I513" s="7">
        <v>56749.0</v>
      </c>
      <c r="J513" s="905" t="s">
        <v>41329</v>
      </c>
      <c r="K513" s="7" t="s">
        <v>41330</v>
      </c>
    </row>
    <row r="514">
      <c r="A514" s="202">
        <v>13627.0</v>
      </c>
      <c r="B514" s="7" t="s">
        <v>41331</v>
      </c>
      <c r="C514" s="7" t="s">
        <v>41332</v>
      </c>
      <c r="D514" s="7">
        <v>60033.0</v>
      </c>
      <c r="E514" s="902" t="s">
        <v>41333</v>
      </c>
      <c r="F514" s="902" t="s">
        <v>41334</v>
      </c>
      <c r="G514" s="903">
        <v>41184.0</v>
      </c>
      <c r="H514" s="904">
        <v>41177.0</v>
      </c>
      <c r="I514" s="7">
        <v>60029.0</v>
      </c>
      <c r="J514" s="905" t="s">
        <v>41335</v>
      </c>
    </row>
    <row r="515">
      <c r="A515" s="202">
        <v>13628.0</v>
      </c>
      <c r="B515" s="7" t="s">
        <v>41336</v>
      </c>
      <c r="C515" s="7" t="s">
        <v>41337</v>
      </c>
      <c r="D515" s="7">
        <v>62145.0</v>
      </c>
      <c r="E515" s="902" t="s">
        <v>41338</v>
      </c>
      <c r="F515" s="902" t="s">
        <v>41339</v>
      </c>
      <c r="G515" s="906">
        <v>41194.0</v>
      </c>
      <c r="H515" s="904">
        <v>41191.0</v>
      </c>
      <c r="I515" s="7">
        <v>62139.0</v>
      </c>
      <c r="J515" s="905" t="s">
        <v>41340</v>
      </c>
      <c r="K515" s="7" t="s">
        <v>41341</v>
      </c>
    </row>
    <row r="516">
      <c r="A516" s="202">
        <v>13629.0</v>
      </c>
      <c r="B516" s="7" t="s">
        <v>41342</v>
      </c>
      <c r="C516" s="7" t="s">
        <v>41343</v>
      </c>
      <c r="D516" s="7">
        <v>66355.0</v>
      </c>
      <c r="E516" s="902" t="s">
        <v>41344</v>
      </c>
      <c r="F516" s="902" t="s">
        <v>41345</v>
      </c>
      <c r="G516" s="903">
        <v>41215.0</v>
      </c>
      <c r="H516" s="904">
        <v>41208.0</v>
      </c>
      <c r="I516" s="7">
        <v>66353.0</v>
      </c>
      <c r="J516" s="905" t="s">
        <v>41346</v>
      </c>
    </row>
    <row r="517">
      <c r="A517" s="202">
        <v>13630.0</v>
      </c>
      <c r="B517" s="7" t="s">
        <v>41347</v>
      </c>
      <c r="C517" s="7" t="s">
        <v>41348</v>
      </c>
      <c r="D517" s="7">
        <v>73895.0</v>
      </c>
      <c r="E517" s="902" t="s">
        <v>41349</v>
      </c>
      <c r="F517" s="902" t="s">
        <v>41350</v>
      </c>
      <c r="G517" s="906">
        <v>41254.0</v>
      </c>
      <c r="H517" s="904">
        <v>41249.0</v>
      </c>
      <c r="I517" s="7">
        <v>73893.0</v>
      </c>
      <c r="J517" s="905" t="s">
        <v>41351</v>
      </c>
      <c r="K517" s="7" t="s">
        <v>41352</v>
      </c>
    </row>
    <row r="518">
      <c r="A518" s="202">
        <v>13631.0</v>
      </c>
      <c r="B518" s="7" t="s">
        <v>41353</v>
      </c>
      <c r="C518" s="7" t="s">
        <v>41354</v>
      </c>
      <c r="D518" s="7">
        <v>74101.0</v>
      </c>
      <c r="E518" s="902" t="s">
        <v>41355</v>
      </c>
      <c r="F518" s="902" t="s">
        <v>41356</v>
      </c>
      <c r="G518" s="906">
        <v>41255.0</v>
      </c>
      <c r="H518" s="904">
        <v>41250.0</v>
      </c>
      <c r="I518" s="7">
        <v>74101.0</v>
      </c>
      <c r="J518" s="905" t="s">
        <v>41357</v>
      </c>
      <c r="K518" s="7" t="s">
        <v>41358</v>
      </c>
    </row>
    <row r="519">
      <c r="A519" s="202">
        <v>13632.0</v>
      </c>
      <c r="B519" s="7" t="s">
        <v>41359</v>
      </c>
      <c r="C519" s="7" t="s">
        <v>41360</v>
      </c>
      <c r="D519" s="7">
        <v>74344.0</v>
      </c>
      <c r="E519" s="902" t="s">
        <v>41361</v>
      </c>
      <c r="F519" s="902" t="s">
        <v>41362</v>
      </c>
      <c r="G519" s="906">
        <v>41257.0</v>
      </c>
      <c r="H519" s="904">
        <v>41250.0</v>
      </c>
      <c r="I519" s="7">
        <v>74341.0</v>
      </c>
      <c r="J519" s="905" t="s">
        <v>41363</v>
      </c>
    </row>
    <row r="520">
      <c r="A520" s="202">
        <v>13633.0</v>
      </c>
      <c r="B520" s="7" t="s">
        <v>41364</v>
      </c>
      <c r="C520" s="7" t="s">
        <v>41365</v>
      </c>
      <c r="D520" s="7">
        <v>76340.0</v>
      </c>
      <c r="E520" s="902" t="s">
        <v>41366</v>
      </c>
      <c r="F520" s="902" t="s">
        <v>41367</v>
      </c>
      <c r="G520" s="906">
        <v>41271.0</v>
      </c>
      <c r="H520" s="904">
        <v>41264.0</v>
      </c>
      <c r="I520" s="7">
        <v>76339.0</v>
      </c>
      <c r="J520" s="905" t="s">
        <v>41368</v>
      </c>
    </row>
    <row r="521">
      <c r="A521" s="202">
        <v>13634.0</v>
      </c>
      <c r="B521" s="7" t="s">
        <v>41369</v>
      </c>
      <c r="C521" s="7" t="s">
        <v>41370</v>
      </c>
      <c r="D521" s="7">
        <v>77249.0</v>
      </c>
      <c r="E521" s="902" t="s">
        <v>41371</v>
      </c>
      <c r="F521" s="902" t="s">
        <v>41372</v>
      </c>
      <c r="G521" s="906">
        <v>41274.0</v>
      </c>
      <c r="H521" s="904">
        <v>41264.0</v>
      </c>
      <c r="I521" s="7">
        <v>77249.0</v>
      </c>
      <c r="J521" s="905" t="s">
        <v>41373</v>
      </c>
      <c r="K521" s="7" t="s">
        <v>41374</v>
      </c>
    </row>
    <row r="522">
      <c r="A522" s="202">
        <v>13635.0</v>
      </c>
      <c r="B522" s="7" t="s">
        <v>41375</v>
      </c>
      <c r="C522" s="7" t="s">
        <v>41376</v>
      </c>
      <c r="D522" s="7">
        <v>660.0</v>
      </c>
      <c r="E522" s="902" t="s">
        <v>41377</v>
      </c>
      <c r="F522" s="902" t="s">
        <v>41378</v>
      </c>
      <c r="G522" s="903">
        <v>41277.0</v>
      </c>
      <c r="H522" s="904">
        <v>41270.0</v>
      </c>
      <c r="I522" s="7">
        <v>649.0</v>
      </c>
      <c r="J522" s="905" t="s">
        <v>38718</v>
      </c>
      <c r="K522" s="7" t="s">
        <v>41379</v>
      </c>
    </row>
    <row r="523">
      <c r="A523" s="202">
        <v>13636.0</v>
      </c>
      <c r="B523" s="7" t="s">
        <v>41380</v>
      </c>
      <c r="C523" s="7" t="s">
        <v>41381</v>
      </c>
      <c r="D523" s="7">
        <v>11744.0</v>
      </c>
      <c r="E523" s="902" t="s">
        <v>41382</v>
      </c>
      <c r="F523" s="902" t="s">
        <v>41383</v>
      </c>
      <c r="G523" s="903">
        <v>41324.0</v>
      </c>
      <c r="H523" s="904">
        <v>41317.0</v>
      </c>
      <c r="I523" s="7">
        <v>11739.0</v>
      </c>
      <c r="J523" s="905" t="s">
        <v>41384</v>
      </c>
      <c r="K523" s="7" t="s">
        <v>41385</v>
      </c>
    </row>
    <row r="524">
      <c r="A524" s="202">
        <v>13637.0</v>
      </c>
      <c r="B524" s="7" t="s">
        <v>41386</v>
      </c>
      <c r="C524" s="7" t="s">
        <v>41387</v>
      </c>
      <c r="D524" s="7">
        <v>16132.0</v>
      </c>
      <c r="E524" s="902" t="s">
        <v>41388</v>
      </c>
      <c r="F524" s="902" t="s">
        <v>41389</v>
      </c>
      <c r="G524" s="903">
        <v>41346.0</v>
      </c>
      <c r="H524" s="904">
        <v>41341.0</v>
      </c>
      <c r="I524" s="7">
        <v>16129.0</v>
      </c>
      <c r="J524" s="905" t="s">
        <v>41390</v>
      </c>
    </row>
    <row r="525">
      <c r="A525" s="202">
        <v>13638.0</v>
      </c>
      <c r="B525" s="7" t="s">
        <v>41391</v>
      </c>
      <c r="C525" s="7" t="s">
        <v>41392</v>
      </c>
      <c r="D525" s="7">
        <v>17590.0</v>
      </c>
      <c r="E525" s="902" t="s">
        <v>41393</v>
      </c>
      <c r="F525" s="902" t="s">
        <v>41394</v>
      </c>
      <c r="G525" s="903">
        <v>41354.0</v>
      </c>
      <c r="H525" s="904">
        <v>41348.0</v>
      </c>
      <c r="I525" s="7">
        <v>17589.0</v>
      </c>
      <c r="J525" s="905" t="s">
        <v>41395</v>
      </c>
    </row>
    <row r="526">
      <c r="A526" s="202">
        <v>13639.0</v>
      </c>
      <c r="B526" s="7" t="s">
        <v>41396</v>
      </c>
      <c r="C526" s="7" t="s">
        <v>41397</v>
      </c>
      <c r="D526" s="7">
        <v>19980.0</v>
      </c>
      <c r="E526" s="902" t="s">
        <v>41398</v>
      </c>
      <c r="F526" s="902" t="s">
        <v>41399</v>
      </c>
      <c r="G526" s="903">
        <v>41367.0</v>
      </c>
      <c r="H526" s="904">
        <v>41361.0</v>
      </c>
      <c r="I526" s="7">
        <v>19979.0</v>
      </c>
      <c r="J526" s="905" t="s">
        <v>41400</v>
      </c>
    </row>
    <row r="527">
      <c r="A527" s="202">
        <v>13640.0</v>
      </c>
      <c r="B527" s="7" t="s">
        <v>41401</v>
      </c>
      <c r="C527" s="7" t="s">
        <v>41402</v>
      </c>
      <c r="D527" s="7">
        <v>21211.0</v>
      </c>
      <c r="E527" s="902" t="s">
        <v>41403</v>
      </c>
      <c r="F527" s="902" t="s">
        <v>41404</v>
      </c>
      <c r="G527" s="903">
        <v>41374.0</v>
      </c>
      <c r="H527" s="904">
        <v>41369.0</v>
      </c>
      <c r="I527" s="7">
        <v>21211.0</v>
      </c>
      <c r="J527" s="905" t="s">
        <v>41405</v>
      </c>
      <c r="K527" s="7" t="s">
        <v>41406</v>
      </c>
    </row>
    <row r="528">
      <c r="A528" s="202">
        <v>13641.0</v>
      </c>
      <c r="B528" s="7" t="s">
        <v>41407</v>
      </c>
      <c r="C528" s="7" t="s">
        <v>41408</v>
      </c>
      <c r="D528" s="7">
        <v>21514.0</v>
      </c>
      <c r="E528" s="902" t="s">
        <v>41409</v>
      </c>
      <c r="F528" s="902" t="s">
        <v>41410</v>
      </c>
      <c r="G528" s="903">
        <v>41375.0</v>
      </c>
      <c r="H528" s="904">
        <v>41369.0</v>
      </c>
      <c r="I528" s="7">
        <v>21503.0</v>
      </c>
      <c r="J528" s="905" t="s">
        <v>38718</v>
      </c>
      <c r="K528" s="7" t="s">
        <v>41411</v>
      </c>
    </row>
    <row r="529">
      <c r="A529" s="202">
        <v>13642.0</v>
      </c>
      <c r="B529" s="7" t="s">
        <v>41412</v>
      </c>
      <c r="C529" s="7" t="s">
        <v>41413</v>
      </c>
      <c r="D529" s="7">
        <v>28113.0</v>
      </c>
      <c r="E529" s="902" t="s">
        <v>41414</v>
      </c>
      <c r="F529" s="902" t="s">
        <v>41415</v>
      </c>
      <c r="G529" s="903">
        <v>41408.0</v>
      </c>
      <c r="H529" s="904">
        <v>41403.0</v>
      </c>
      <c r="I529" s="7">
        <v>28111.0</v>
      </c>
      <c r="J529" s="905" t="s">
        <v>41416</v>
      </c>
      <c r="K529" s="7" t="s">
        <v>41417</v>
      </c>
    </row>
    <row r="530">
      <c r="A530" s="202">
        <v>13643.0</v>
      </c>
      <c r="B530" s="7" t="s">
        <v>41418</v>
      </c>
      <c r="C530" s="7" t="s">
        <v>41419</v>
      </c>
      <c r="D530" s="7">
        <v>29610.0</v>
      </c>
      <c r="E530" s="902" t="s">
        <v>41420</v>
      </c>
      <c r="F530" s="902" t="s">
        <v>41421</v>
      </c>
      <c r="G530" s="903">
        <v>41415.0</v>
      </c>
      <c r="H530" s="904">
        <v>41409.0</v>
      </c>
      <c r="I530" s="7">
        <v>29559.0</v>
      </c>
      <c r="J530" s="905" t="s">
        <v>41422</v>
      </c>
    </row>
    <row r="531">
      <c r="A531" s="202">
        <v>13644.0</v>
      </c>
      <c r="B531" s="7" t="s">
        <v>41423</v>
      </c>
      <c r="C531" s="7" t="s">
        <v>41424</v>
      </c>
      <c r="D531" s="7">
        <v>31813.0</v>
      </c>
      <c r="E531" s="902" t="s">
        <v>41425</v>
      </c>
      <c r="F531" s="902" t="s">
        <v>41426</v>
      </c>
      <c r="G531" s="903">
        <v>41418.0</v>
      </c>
      <c r="H531" s="904">
        <v>41415.0</v>
      </c>
      <c r="I531" s="7">
        <v>31813.0</v>
      </c>
      <c r="J531" s="905" t="s">
        <v>41427</v>
      </c>
    </row>
    <row r="532">
      <c r="A532" s="202">
        <v>13645.0</v>
      </c>
      <c r="B532" s="7" t="s">
        <v>41428</v>
      </c>
      <c r="C532" s="7" t="s">
        <v>41429</v>
      </c>
      <c r="D532" s="7">
        <v>33953.0</v>
      </c>
      <c r="E532" s="902" t="s">
        <v>41430</v>
      </c>
      <c r="F532" s="902" t="s">
        <v>41431</v>
      </c>
      <c r="G532" s="903">
        <v>41430.0</v>
      </c>
      <c r="H532" s="904">
        <v>41428.0</v>
      </c>
      <c r="I532" s="7">
        <v>33945.0</v>
      </c>
      <c r="J532" s="905" t="s">
        <v>41432</v>
      </c>
      <c r="K532" s="7" t="s">
        <v>41433</v>
      </c>
    </row>
    <row r="533">
      <c r="A533" s="202">
        <v>13646.0</v>
      </c>
      <c r="B533" s="7" t="s">
        <v>41434</v>
      </c>
      <c r="C533" s="7" t="s">
        <v>41435</v>
      </c>
      <c r="D533" s="7">
        <v>39161.0</v>
      </c>
      <c r="E533" s="902" t="s">
        <v>41436</v>
      </c>
      <c r="F533" s="902" t="s">
        <v>41437</v>
      </c>
      <c r="G533" s="903">
        <v>41453.0</v>
      </c>
      <c r="H533" s="904">
        <v>41450.0</v>
      </c>
      <c r="I533" s="7">
        <v>39159.0</v>
      </c>
      <c r="J533" s="905" t="s">
        <v>41438</v>
      </c>
    </row>
    <row r="534">
      <c r="A534" s="202">
        <v>13647.0</v>
      </c>
      <c r="B534" s="7" t="s">
        <v>41439</v>
      </c>
      <c r="C534" s="7" t="s">
        <v>41440</v>
      </c>
      <c r="D534" s="7">
        <v>39542.0</v>
      </c>
      <c r="E534" s="902" t="s">
        <v>41441</v>
      </c>
      <c r="F534" s="902" t="s">
        <v>41442</v>
      </c>
      <c r="G534" s="903">
        <v>41456.0</v>
      </c>
      <c r="H534" s="904">
        <v>41451.0</v>
      </c>
      <c r="I534" s="7">
        <v>39539.0</v>
      </c>
      <c r="J534" s="905" t="s">
        <v>41443</v>
      </c>
    </row>
    <row r="535">
      <c r="A535" s="202">
        <v>13648.0</v>
      </c>
      <c r="B535" s="7" t="s">
        <v>41444</v>
      </c>
      <c r="C535" s="7" t="s">
        <v>41445</v>
      </c>
      <c r="D535" s="7">
        <v>40623.0</v>
      </c>
      <c r="E535" s="902" t="s">
        <v>41446</v>
      </c>
      <c r="F535" s="902" t="s">
        <v>41447</v>
      </c>
      <c r="G535" s="903">
        <v>41460.0</v>
      </c>
      <c r="H535" s="904">
        <v>41456.0</v>
      </c>
      <c r="I535" s="7">
        <v>40621.0</v>
      </c>
      <c r="J535" s="905" t="s">
        <v>41448</v>
      </c>
      <c r="K535" s="7" t="s">
        <v>41449</v>
      </c>
    </row>
    <row r="536">
      <c r="A536" s="202">
        <v>13649.0</v>
      </c>
      <c r="B536" s="7" t="s">
        <v>41450</v>
      </c>
      <c r="C536" s="7" t="s">
        <v>41451</v>
      </c>
      <c r="D536" s="7">
        <v>43059.0</v>
      </c>
      <c r="E536" s="902" t="s">
        <v>41452</v>
      </c>
      <c r="F536" s="902" t="s">
        <v>41453</v>
      </c>
      <c r="G536" s="903">
        <v>41473.0</v>
      </c>
      <c r="H536" s="904">
        <v>41470.0</v>
      </c>
      <c r="I536" s="7">
        <v>43057.0</v>
      </c>
      <c r="J536" s="905" t="s">
        <v>41454</v>
      </c>
      <c r="K536" s="7" t="s">
        <v>41455</v>
      </c>
    </row>
    <row r="537">
      <c r="A537" s="202">
        <v>13650.0</v>
      </c>
      <c r="B537" s="7" t="s">
        <v>41456</v>
      </c>
      <c r="C537" s="7" t="s">
        <v>41457</v>
      </c>
      <c r="D537" s="7">
        <v>48033.0</v>
      </c>
      <c r="E537" s="902" t="s">
        <v>41458</v>
      </c>
      <c r="F537" s="902" t="s">
        <v>41459</v>
      </c>
      <c r="G537" s="903">
        <v>41493.0</v>
      </c>
      <c r="H537" s="904">
        <v>41487.0</v>
      </c>
      <c r="I537" s="7">
        <v>48029.0</v>
      </c>
      <c r="J537" s="905" t="s">
        <v>41460</v>
      </c>
    </row>
    <row r="538">
      <c r="A538" s="202">
        <v>13651.0</v>
      </c>
      <c r="B538" s="7" t="s">
        <v>41461</v>
      </c>
      <c r="C538" s="7" t="s">
        <v>41462</v>
      </c>
      <c r="D538" s="7">
        <v>48794.0</v>
      </c>
      <c r="E538" s="902" t="s">
        <v>41463</v>
      </c>
      <c r="F538" s="902" t="s">
        <v>41464</v>
      </c>
      <c r="G538" s="903">
        <v>41495.0</v>
      </c>
      <c r="H538" s="904">
        <v>41492.0</v>
      </c>
      <c r="I538" s="7">
        <v>48793.0</v>
      </c>
      <c r="J538" s="905" t="s">
        <v>41465</v>
      </c>
      <c r="K538" s="7" t="s">
        <v>41466</v>
      </c>
    </row>
    <row r="539">
      <c r="A539" s="202">
        <v>13652.0</v>
      </c>
      <c r="B539" s="7" t="s">
        <v>41467</v>
      </c>
      <c r="C539" s="7" t="s">
        <v>41468</v>
      </c>
      <c r="D539" s="7">
        <v>61820.0</v>
      </c>
      <c r="E539" s="902" t="s">
        <v>41469</v>
      </c>
      <c r="F539" s="902" t="s">
        <v>41470</v>
      </c>
      <c r="G539" s="903">
        <v>41551.0</v>
      </c>
      <c r="H539" s="904">
        <v>41547.0</v>
      </c>
      <c r="I539" s="7">
        <v>61817.0</v>
      </c>
      <c r="J539" s="905" t="s">
        <v>41471</v>
      </c>
      <c r="K539" s="7" t="s">
        <v>41472</v>
      </c>
    </row>
    <row r="540">
      <c r="A540" s="202">
        <v>13653.0</v>
      </c>
      <c r="B540" s="7" t="s">
        <v>41473</v>
      </c>
      <c r="C540" s="7" t="s">
        <v>41474</v>
      </c>
      <c r="D540" s="7">
        <v>66824.0</v>
      </c>
      <c r="E540" s="902" t="s">
        <v>41475</v>
      </c>
      <c r="F540" s="902" t="s">
        <v>41476</v>
      </c>
      <c r="G540" s="903">
        <v>41584.0</v>
      </c>
      <c r="H540" s="904">
        <v>41579.0</v>
      </c>
      <c r="I540" s="7">
        <v>66819.0</v>
      </c>
      <c r="J540" s="905" t="s">
        <v>41477</v>
      </c>
      <c r="K540" s="7" t="s">
        <v>41478</v>
      </c>
    </row>
    <row r="541">
      <c r="A541" s="202">
        <v>13654.0</v>
      </c>
      <c r="B541" s="7" t="s">
        <v>41479</v>
      </c>
      <c r="C541" s="7" t="s">
        <v>41480</v>
      </c>
      <c r="D541" s="7">
        <v>70845.0</v>
      </c>
      <c r="E541" s="902" t="s">
        <v>41481</v>
      </c>
      <c r="F541" s="902" t="s">
        <v>41482</v>
      </c>
      <c r="G541" s="906">
        <v>41604.0</v>
      </c>
      <c r="H541" s="904">
        <v>41599.0</v>
      </c>
      <c r="I541" s="7">
        <v>70843.0</v>
      </c>
      <c r="J541" s="905" t="s">
        <v>41483</v>
      </c>
      <c r="K541" s="7" t="s">
        <v>41484</v>
      </c>
    </row>
    <row r="542">
      <c r="A542" s="202">
        <v>13655.0</v>
      </c>
      <c r="B542" s="7" t="s">
        <v>41485</v>
      </c>
      <c r="C542" s="7" t="s">
        <v>41486</v>
      </c>
      <c r="D542" s="7">
        <v>80462.0</v>
      </c>
      <c r="E542" s="902" t="s">
        <v>41487</v>
      </c>
      <c r="F542" s="902" t="s">
        <v>41488</v>
      </c>
      <c r="G542" s="906">
        <v>41639.0</v>
      </c>
      <c r="H542" s="904">
        <v>41631.0</v>
      </c>
      <c r="I542" s="7">
        <v>80451.0</v>
      </c>
      <c r="J542" s="905" t="s">
        <v>38718</v>
      </c>
      <c r="K542" s="7" t="s">
        <v>41489</v>
      </c>
    </row>
    <row r="543">
      <c r="A543" s="202">
        <v>13656.0</v>
      </c>
      <c r="B543" s="7" t="s">
        <v>41490</v>
      </c>
      <c r="C543" s="7" t="s">
        <v>41491</v>
      </c>
      <c r="D543" s="7">
        <v>4264.0</v>
      </c>
      <c r="E543" s="902" t="s">
        <v>41492</v>
      </c>
      <c r="F543" s="902" t="s">
        <v>41493</v>
      </c>
      <c r="G543" s="903">
        <v>41663.0</v>
      </c>
      <c r="H543" s="904">
        <v>41656.0</v>
      </c>
      <c r="I543" s="7">
        <v>4263.0</v>
      </c>
      <c r="J543" s="905" t="s">
        <v>41494</v>
      </c>
      <c r="K543" s="7" t="s">
        <v>39906</v>
      </c>
    </row>
    <row r="544">
      <c r="A544" s="202">
        <v>13657.0</v>
      </c>
      <c r="B544" s="7" t="s">
        <v>41495</v>
      </c>
      <c r="C544" s="7" t="s">
        <v>41496</v>
      </c>
      <c r="D544" s="7">
        <v>8823.0</v>
      </c>
      <c r="E544" s="902" t="s">
        <v>41497</v>
      </c>
      <c r="F544" s="902" t="s">
        <v>41498</v>
      </c>
      <c r="G544" s="903">
        <v>41684.0</v>
      </c>
      <c r="H544" s="904">
        <v>41680.0</v>
      </c>
      <c r="I544" s="7">
        <v>8823.0</v>
      </c>
      <c r="J544" s="905" t="s">
        <v>41499</v>
      </c>
    </row>
    <row r="545">
      <c r="A545" s="202">
        <v>13658.0</v>
      </c>
      <c r="B545" s="7" t="s">
        <v>41500</v>
      </c>
      <c r="C545" s="7" t="s">
        <v>41501</v>
      </c>
      <c r="D545" s="7">
        <v>9854.0</v>
      </c>
      <c r="E545" s="902" t="s">
        <v>41502</v>
      </c>
      <c r="F545" s="902" t="s">
        <v>41503</v>
      </c>
      <c r="G545" s="903">
        <v>41690.0</v>
      </c>
      <c r="H545" s="904">
        <v>41682.0</v>
      </c>
      <c r="I545" s="7">
        <v>9851.0</v>
      </c>
      <c r="J545" s="905" t="s">
        <v>41504</v>
      </c>
      <c r="K545" s="7" t="s">
        <v>41505</v>
      </c>
    </row>
    <row r="546">
      <c r="A546" s="202">
        <v>13659.0</v>
      </c>
      <c r="B546" s="7" t="s">
        <v>41506</v>
      </c>
      <c r="C546" s="7" t="s">
        <v>41507</v>
      </c>
      <c r="D546" s="7">
        <v>10660.0</v>
      </c>
      <c r="E546" s="902" t="s">
        <v>41508</v>
      </c>
      <c r="F546" s="902" t="s">
        <v>41509</v>
      </c>
      <c r="G546" s="903">
        <v>41695.0</v>
      </c>
      <c r="H546" s="904">
        <v>41689.0</v>
      </c>
      <c r="I546" s="7">
        <v>10657.0</v>
      </c>
      <c r="J546" s="905" t="s">
        <v>41510</v>
      </c>
    </row>
    <row r="547">
      <c r="A547" s="202">
        <v>13660.0</v>
      </c>
      <c r="B547" s="7" t="s">
        <v>41511</v>
      </c>
      <c r="C547" s="7" t="s">
        <v>41512</v>
      </c>
      <c r="D547" s="7">
        <v>13495.0</v>
      </c>
      <c r="E547" s="902" t="s">
        <v>41513</v>
      </c>
      <c r="F547" s="902" t="s">
        <v>41514</v>
      </c>
      <c r="G547" s="903">
        <v>41708.0</v>
      </c>
      <c r="H547" s="904">
        <v>41704.0</v>
      </c>
      <c r="I547" s="7">
        <v>13493.0</v>
      </c>
      <c r="J547" s="905" t="s">
        <v>41515</v>
      </c>
      <c r="K547" s="7" t="s">
        <v>41516</v>
      </c>
    </row>
    <row r="548">
      <c r="A548" s="202">
        <v>13661.0</v>
      </c>
      <c r="B548" s="7" t="s">
        <v>41517</v>
      </c>
      <c r="C548" s="7" t="s">
        <v>41518</v>
      </c>
      <c r="D548" s="7">
        <v>15538.0</v>
      </c>
      <c r="E548" s="902" t="s">
        <v>41519</v>
      </c>
      <c r="F548" s="902" t="s">
        <v>41520</v>
      </c>
      <c r="G548" s="903">
        <v>41717.0</v>
      </c>
      <c r="H548" s="904">
        <v>41714.0</v>
      </c>
      <c r="I548" s="7">
        <v>15535.0</v>
      </c>
      <c r="J548" s="905" t="s">
        <v>41521</v>
      </c>
      <c r="K548" s="7" t="s">
        <v>41522</v>
      </c>
    </row>
    <row r="549">
      <c r="A549" s="202">
        <v>13662.0</v>
      </c>
      <c r="B549" s="7" t="s">
        <v>41523</v>
      </c>
      <c r="C549" s="7" t="s">
        <v>41524</v>
      </c>
      <c r="D549" s="7">
        <v>16171.0</v>
      </c>
      <c r="E549" s="902" t="s">
        <v>41525</v>
      </c>
      <c r="F549" s="902" t="s">
        <v>41526</v>
      </c>
      <c r="G549" s="903">
        <v>41722.0</v>
      </c>
      <c r="H549" s="904">
        <v>41718.0</v>
      </c>
      <c r="I549" s="7">
        <v>16169.0</v>
      </c>
      <c r="J549" s="905" t="s">
        <v>41521</v>
      </c>
      <c r="K549" s="7" t="s">
        <v>41527</v>
      </c>
    </row>
    <row r="550">
      <c r="A550" s="202">
        <v>13663.0</v>
      </c>
      <c r="B550" s="7" t="s">
        <v>41528</v>
      </c>
      <c r="C550" s="7" t="s">
        <v>41529</v>
      </c>
      <c r="D550" s="7">
        <v>16649.0</v>
      </c>
      <c r="E550" s="902" t="s">
        <v>41530</v>
      </c>
      <c r="F550" s="902" t="s">
        <v>41531</v>
      </c>
      <c r="G550" s="903">
        <v>41723.0</v>
      </c>
      <c r="H550" s="904">
        <v>41718.0</v>
      </c>
      <c r="I550" s="7">
        <v>16647.0</v>
      </c>
      <c r="J550" s="905" t="s">
        <v>41532</v>
      </c>
      <c r="K550" s="7" t="s">
        <v>41533</v>
      </c>
    </row>
    <row r="551">
      <c r="A551" s="202">
        <v>13664.0</v>
      </c>
      <c r="B551" s="7" t="s">
        <v>41534</v>
      </c>
      <c r="C551" s="7" t="s">
        <v>41535</v>
      </c>
      <c r="D551" s="7">
        <v>19285.0</v>
      </c>
      <c r="E551" s="902" t="s">
        <v>41536</v>
      </c>
      <c r="F551" s="902" t="s">
        <v>41537</v>
      </c>
      <c r="G551" s="903">
        <v>41736.0</v>
      </c>
      <c r="H551" s="904">
        <v>41732.0</v>
      </c>
      <c r="I551" s="7">
        <v>19283.0</v>
      </c>
      <c r="J551" s="905" t="s">
        <v>41538</v>
      </c>
    </row>
    <row r="552">
      <c r="A552" s="202">
        <v>13665.0</v>
      </c>
      <c r="B552" s="7" t="s">
        <v>41539</v>
      </c>
      <c r="C552" s="7" t="s">
        <v>41540</v>
      </c>
      <c r="D552" s="7">
        <v>20750.0</v>
      </c>
      <c r="E552" s="902" t="s">
        <v>41541</v>
      </c>
      <c r="F552" s="902" t="s">
        <v>41542</v>
      </c>
      <c r="G552" s="903">
        <v>41740.0</v>
      </c>
      <c r="H552" s="904">
        <v>41737.0</v>
      </c>
      <c r="I552" s="7">
        <v>20749.0</v>
      </c>
      <c r="J552" s="905" t="s">
        <v>41543</v>
      </c>
    </row>
    <row r="553">
      <c r="A553" s="202">
        <v>13666.0</v>
      </c>
      <c r="B553" s="7" t="s">
        <v>41544</v>
      </c>
      <c r="C553" s="7" t="s">
        <v>41545</v>
      </c>
      <c r="D553" s="7">
        <v>22591.0</v>
      </c>
      <c r="E553" s="902" t="s">
        <v>41546</v>
      </c>
      <c r="F553" s="902" t="s">
        <v>41547</v>
      </c>
      <c r="G553" s="903">
        <v>41752.0</v>
      </c>
      <c r="H553" s="904">
        <v>41747.0</v>
      </c>
      <c r="I553" s="7">
        <v>22591.0</v>
      </c>
      <c r="J553" s="905" t="s">
        <v>41548</v>
      </c>
    </row>
    <row r="554">
      <c r="A554" s="202">
        <v>13667.0</v>
      </c>
      <c r="B554" s="7" t="s">
        <v>41549</v>
      </c>
      <c r="C554" s="7" t="s">
        <v>41550</v>
      </c>
      <c r="D554" s="7">
        <v>28391.0</v>
      </c>
      <c r="E554" s="902" t="s">
        <v>41551</v>
      </c>
      <c r="F554" s="902" t="s">
        <v>41552</v>
      </c>
      <c r="G554" s="903">
        <v>41774.0</v>
      </c>
      <c r="H554" s="904">
        <v>41771.0</v>
      </c>
      <c r="I554" s="7">
        <v>28387.0</v>
      </c>
      <c r="J554" s="905" t="s">
        <v>41553</v>
      </c>
    </row>
    <row r="555">
      <c r="A555" s="202">
        <v>13668.0</v>
      </c>
      <c r="B555" s="7" t="s">
        <v>41554</v>
      </c>
      <c r="C555" s="7" t="s">
        <v>41555</v>
      </c>
      <c r="D555" s="7">
        <v>31020.0</v>
      </c>
      <c r="E555" s="902" t="s">
        <v>41556</v>
      </c>
      <c r="F555" s="902" t="s">
        <v>41557</v>
      </c>
      <c r="G555" s="903">
        <v>41788.0</v>
      </c>
      <c r="H555" s="904">
        <v>41786.0</v>
      </c>
      <c r="I555" s="7">
        <v>31019.0</v>
      </c>
      <c r="J555" s="905" t="s">
        <v>41558</v>
      </c>
      <c r="K555" s="7" t="s">
        <v>41559</v>
      </c>
    </row>
    <row r="556">
      <c r="A556" s="202">
        <v>13669.0</v>
      </c>
      <c r="B556" s="7" t="s">
        <v>41560</v>
      </c>
      <c r="C556" s="7" t="s">
        <v>41561</v>
      </c>
      <c r="D556" s="7">
        <v>35027.0</v>
      </c>
      <c r="E556" s="902" t="s">
        <v>41562</v>
      </c>
      <c r="F556" s="902" t="s">
        <v>41563</v>
      </c>
      <c r="G556" s="903">
        <v>41808.0</v>
      </c>
      <c r="H556" s="904">
        <v>41803.0</v>
      </c>
      <c r="I556" s="7">
        <v>34999.0</v>
      </c>
      <c r="J556" s="905" t="s">
        <v>41564</v>
      </c>
      <c r="K556" s="7" t="s">
        <v>39930</v>
      </c>
    </row>
    <row r="557">
      <c r="A557" s="202">
        <v>13670.0</v>
      </c>
      <c r="B557" s="7" t="s">
        <v>41565</v>
      </c>
      <c r="C557" s="7" t="s">
        <v>41566</v>
      </c>
      <c r="D557" s="7">
        <v>35031.0</v>
      </c>
      <c r="E557" s="902" t="s">
        <v>41567</v>
      </c>
      <c r="F557" s="902" t="s">
        <v>41568</v>
      </c>
      <c r="G557" s="903">
        <v>41808.0</v>
      </c>
      <c r="H557" s="904">
        <v>41804.0</v>
      </c>
      <c r="I557" s="7">
        <v>35029.0</v>
      </c>
      <c r="J557" s="905" t="s">
        <v>41569</v>
      </c>
    </row>
    <row r="558">
      <c r="A558" s="202">
        <v>13671.0</v>
      </c>
      <c r="B558" s="7" t="s">
        <v>41570</v>
      </c>
      <c r="C558" s="7" t="s">
        <v>41571</v>
      </c>
      <c r="D558" s="7">
        <v>39951.0</v>
      </c>
      <c r="E558" s="902" t="s">
        <v>41572</v>
      </c>
      <c r="F558" s="902" t="s">
        <v>41573</v>
      </c>
      <c r="G558" s="903">
        <v>41830.0</v>
      </c>
      <c r="H558" s="904">
        <v>41828.0</v>
      </c>
      <c r="I558" s="7">
        <v>39949.0</v>
      </c>
      <c r="J558" s="905" t="s">
        <v>41574</v>
      </c>
      <c r="K558" s="7" t="s">
        <v>41575</v>
      </c>
    </row>
    <row r="559">
      <c r="A559" s="202">
        <v>13672.0</v>
      </c>
      <c r="B559" s="7" t="s">
        <v>41576</v>
      </c>
      <c r="C559" s="7" t="s">
        <v>41577</v>
      </c>
      <c r="D559" s="7">
        <v>42972.0</v>
      </c>
      <c r="E559" s="902" t="s">
        <v>41578</v>
      </c>
      <c r="F559" s="902" t="s">
        <v>41579</v>
      </c>
      <c r="G559" s="903">
        <v>41843.0</v>
      </c>
      <c r="H559" s="904">
        <v>41841.0</v>
      </c>
      <c r="I559" s="7">
        <v>42971.0</v>
      </c>
      <c r="J559" s="905" t="s">
        <v>41580</v>
      </c>
      <c r="K559" s="7" t="s">
        <v>41581</v>
      </c>
    </row>
    <row r="560">
      <c r="A560" s="202">
        <v>13673.0</v>
      </c>
      <c r="B560" s="7" t="s">
        <v>41582</v>
      </c>
      <c r="C560" s="7" t="s">
        <v>41583</v>
      </c>
      <c r="D560" s="7">
        <v>45315.0</v>
      </c>
      <c r="E560" s="902" t="s">
        <v>41584</v>
      </c>
      <c r="F560" s="902" t="s">
        <v>41585</v>
      </c>
      <c r="G560" s="903">
        <v>41856.0</v>
      </c>
      <c r="H560" s="904">
        <v>41851.0</v>
      </c>
      <c r="I560" s="7">
        <v>45309.0</v>
      </c>
      <c r="J560" s="905" t="s">
        <v>41586</v>
      </c>
      <c r="K560" s="7" t="s">
        <v>41587</v>
      </c>
    </row>
    <row r="561">
      <c r="A561" s="202">
        <v>13674.0</v>
      </c>
      <c r="B561" s="7" t="s">
        <v>41588</v>
      </c>
      <c r="C561" s="7" t="s">
        <v>41589</v>
      </c>
      <c r="D561" s="7">
        <v>45671.0</v>
      </c>
      <c r="E561" s="902" t="s">
        <v>41590</v>
      </c>
      <c r="F561" s="902" t="s">
        <v>41591</v>
      </c>
      <c r="G561" s="903">
        <v>41857.0</v>
      </c>
      <c r="H561" s="904">
        <v>41851.0</v>
      </c>
      <c r="I561" s="7">
        <v>45671.0</v>
      </c>
      <c r="J561" s="905" t="s">
        <v>39544</v>
      </c>
    </row>
    <row r="562">
      <c r="A562" s="202">
        <v>13675.0</v>
      </c>
      <c r="B562" s="7" t="s">
        <v>41592</v>
      </c>
      <c r="C562" s="7" t="s">
        <v>41593</v>
      </c>
      <c r="D562" s="7">
        <v>46663.0</v>
      </c>
      <c r="E562" s="902" t="s">
        <v>41594</v>
      </c>
      <c r="F562" s="902" t="s">
        <v>41595</v>
      </c>
      <c r="G562" s="903">
        <v>41859.0</v>
      </c>
      <c r="H562" s="904">
        <v>41856.0</v>
      </c>
      <c r="I562" s="7">
        <v>46661.0</v>
      </c>
      <c r="J562" s="905" t="s">
        <v>41596</v>
      </c>
      <c r="K562" s="7" t="s">
        <v>41597</v>
      </c>
    </row>
    <row r="563">
      <c r="A563" s="202">
        <v>13676.0</v>
      </c>
      <c r="B563" s="7" t="s">
        <v>41598</v>
      </c>
      <c r="C563" s="7" t="s">
        <v>41599</v>
      </c>
      <c r="D563" s="7">
        <v>56935.0</v>
      </c>
      <c r="E563" s="902" t="s">
        <v>41600</v>
      </c>
      <c r="F563" s="902" t="s">
        <v>41601</v>
      </c>
      <c r="G563" s="903">
        <v>41905.0</v>
      </c>
      <c r="H563" s="904">
        <v>41900.0</v>
      </c>
      <c r="I563" s="7">
        <v>56931.0</v>
      </c>
      <c r="J563" s="905" t="s">
        <v>41602</v>
      </c>
      <c r="K563" s="7" t="s">
        <v>41603</v>
      </c>
    </row>
    <row r="564">
      <c r="A564" s="202">
        <v>13677.0</v>
      </c>
      <c r="B564" s="7" t="s">
        <v>41604</v>
      </c>
      <c r="C564" s="7" t="s">
        <v>41605</v>
      </c>
      <c r="D564" s="7">
        <v>58236.0</v>
      </c>
      <c r="E564" s="902" t="s">
        <v>41606</v>
      </c>
      <c r="F564" s="902" t="s">
        <v>41607</v>
      </c>
      <c r="G564" s="903">
        <v>41908.0</v>
      </c>
      <c r="H564" s="904">
        <v>41905.0</v>
      </c>
      <c r="I564" s="7">
        <v>58231.0</v>
      </c>
      <c r="J564" s="905" t="s">
        <v>41608</v>
      </c>
      <c r="K564" s="7" t="s">
        <v>41609</v>
      </c>
    </row>
    <row r="565">
      <c r="A565" s="202">
        <v>13678.0</v>
      </c>
      <c r="B565" s="7" t="s">
        <v>41610</v>
      </c>
      <c r="C565" s="7" t="s">
        <v>41611</v>
      </c>
      <c r="D565" s="7">
        <v>60950.0</v>
      </c>
      <c r="E565" s="902" t="s">
        <v>41612</v>
      </c>
      <c r="F565" s="902" t="s">
        <v>41613</v>
      </c>
      <c r="G565" s="903">
        <v>41920.0</v>
      </c>
      <c r="H565" s="904">
        <v>41915.0</v>
      </c>
      <c r="I565" s="7">
        <v>60949.0</v>
      </c>
      <c r="J565" s="905" t="s">
        <v>41614</v>
      </c>
    </row>
    <row r="566">
      <c r="A566" s="202">
        <v>13679.0</v>
      </c>
      <c r="B566" s="7" t="s">
        <v>41615</v>
      </c>
      <c r="C566" s="7" t="s">
        <v>41616</v>
      </c>
      <c r="D566" s="7">
        <v>62324.0</v>
      </c>
      <c r="E566" s="902" t="s">
        <v>41617</v>
      </c>
      <c r="F566" s="902" t="s">
        <v>41618</v>
      </c>
      <c r="G566" s="906">
        <v>41929.0</v>
      </c>
      <c r="H566" s="904">
        <v>41922.0</v>
      </c>
      <c r="I566" s="7">
        <v>62323.0</v>
      </c>
      <c r="J566" s="905" t="s">
        <v>41619</v>
      </c>
      <c r="K566" s="7" t="s">
        <v>41620</v>
      </c>
    </row>
    <row r="567">
      <c r="A567" s="202">
        <v>13680.0</v>
      </c>
      <c r="B567" s="7" t="s">
        <v>41621</v>
      </c>
      <c r="C567" s="7" t="s">
        <v>41622</v>
      </c>
      <c r="D567" s="7">
        <v>63287.0</v>
      </c>
      <c r="E567" s="902" t="s">
        <v>41623</v>
      </c>
      <c r="F567" s="902" t="s">
        <v>41624</v>
      </c>
      <c r="G567" s="906">
        <v>41935.0</v>
      </c>
      <c r="H567" s="904">
        <v>41928.0</v>
      </c>
      <c r="I567" s="7">
        <v>63287.0</v>
      </c>
      <c r="J567" s="905" t="s">
        <v>38578</v>
      </c>
    </row>
    <row r="568">
      <c r="A568" s="202">
        <v>13681.0</v>
      </c>
      <c r="B568" s="7" t="s">
        <v>41625</v>
      </c>
      <c r="C568" s="7" t="s">
        <v>41626</v>
      </c>
      <c r="D568" s="7">
        <v>63493.0</v>
      </c>
      <c r="E568" s="902" t="s">
        <v>41627</v>
      </c>
      <c r="F568" s="902" t="s">
        <v>41628</v>
      </c>
      <c r="G568" s="906">
        <v>41935.0</v>
      </c>
      <c r="H568" s="904">
        <v>41929.0</v>
      </c>
      <c r="I568" s="7">
        <v>63491.0</v>
      </c>
      <c r="J568" s="905" t="s">
        <v>41629</v>
      </c>
    </row>
    <row r="569">
      <c r="A569" s="202">
        <v>13682.0</v>
      </c>
      <c r="B569" s="7" t="s">
        <v>41630</v>
      </c>
      <c r="C569" s="7" t="s">
        <v>41631</v>
      </c>
      <c r="D569" s="7">
        <v>73460.0</v>
      </c>
      <c r="E569" s="902" t="s">
        <v>41632</v>
      </c>
      <c r="F569" s="902" t="s">
        <v>41633</v>
      </c>
      <c r="G569" s="906">
        <v>41983.0</v>
      </c>
      <c r="H569" s="904">
        <v>41978.0</v>
      </c>
      <c r="I569" s="7">
        <v>73459.0</v>
      </c>
      <c r="J569" s="905" t="s">
        <v>41634</v>
      </c>
    </row>
    <row r="570">
      <c r="A570" s="202">
        <v>13683.0</v>
      </c>
      <c r="B570" s="7" t="s">
        <v>41635</v>
      </c>
      <c r="C570" s="7" t="s">
        <v>41636</v>
      </c>
      <c r="D570" s="7">
        <v>75042.0</v>
      </c>
      <c r="E570" s="902" t="s">
        <v>41637</v>
      </c>
      <c r="F570" s="902" t="s">
        <v>41638</v>
      </c>
      <c r="G570" s="906">
        <v>41989.0</v>
      </c>
      <c r="H570" s="904">
        <v>41984.0</v>
      </c>
      <c r="I570" s="7">
        <v>75041.0</v>
      </c>
      <c r="J570" s="905" t="s">
        <v>41639</v>
      </c>
      <c r="K570" s="7" t="s">
        <v>41640</v>
      </c>
    </row>
    <row r="571">
      <c r="A571" s="202">
        <v>13684.0</v>
      </c>
      <c r="B571" s="7" t="s">
        <v>41641</v>
      </c>
      <c r="C571" s="7" t="s">
        <v>41642</v>
      </c>
      <c r="D571" s="7">
        <v>76866.0</v>
      </c>
      <c r="E571" s="902" t="s">
        <v>41643</v>
      </c>
      <c r="F571" s="902" t="s">
        <v>41644</v>
      </c>
      <c r="G571" s="906">
        <v>41996.0</v>
      </c>
      <c r="H571" s="904">
        <v>41991.0</v>
      </c>
      <c r="I571" s="7">
        <v>76865.0</v>
      </c>
      <c r="J571" s="905" t="s">
        <v>41645</v>
      </c>
    </row>
    <row r="572">
      <c r="A572" s="202">
        <v>13685.0</v>
      </c>
      <c r="B572" s="7" t="s">
        <v>41646</v>
      </c>
      <c r="C572" s="7" t="s">
        <v>41647</v>
      </c>
      <c r="D572" s="7">
        <v>77359.0</v>
      </c>
      <c r="E572" s="902" t="s">
        <v>41648</v>
      </c>
      <c r="F572" s="902" t="s">
        <v>41649</v>
      </c>
      <c r="G572" s="906">
        <v>41997.0</v>
      </c>
      <c r="H572" s="904">
        <v>41992.0</v>
      </c>
      <c r="I572" s="7">
        <v>77357.0</v>
      </c>
      <c r="J572" s="905" t="s">
        <v>41650</v>
      </c>
      <c r="K572" s="7" t="s">
        <v>41651</v>
      </c>
    </row>
    <row r="573">
      <c r="A573" s="202">
        <v>13686.0</v>
      </c>
      <c r="B573" s="7" t="s">
        <v>41652</v>
      </c>
      <c r="C573" s="7" t="s">
        <v>41653</v>
      </c>
      <c r="D573" s="7">
        <v>77372.0</v>
      </c>
      <c r="E573" s="902" t="s">
        <v>41654</v>
      </c>
      <c r="F573" s="902" t="s">
        <v>41655</v>
      </c>
      <c r="G573" s="906">
        <v>41997.0</v>
      </c>
      <c r="H573" s="904">
        <v>41992.0</v>
      </c>
      <c r="I573" s="7">
        <v>77361.0</v>
      </c>
      <c r="J573" s="905" t="s">
        <v>38718</v>
      </c>
      <c r="K573" s="7" t="s">
        <v>41656</v>
      </c>
    </row>
    <row r="574">
      <c r="A574" s="202">
        <v>13687.0</v>
      </c>
      <c r="B574" s="7" t="s">
        <v>41657</v>
      </c>
      <c r="C574" s="7" t="s">
        <v>41658</v>
      </c>
      <c r="D574" s="7">
        <v>821.0</v>
      </c>
      <c r="E574" s="902" t="s">
        <v>41659</v>
      </c>
      <c r="F574" s="902" t="s">
        <v>41660</v>
      </c>
      <c r="G574" s="903">
        <v>42010.0</v>
      </c>
      <c r="H574" s="904">
        <v>42006.0</v>
      </c>
      <c r="I574" s="7">
        <v>817.0</v>
      </c>
      <c r="J574" s="905" t="s">
        <v>41661</v>
      </c>
      <c r="K574" s="7" t="s">
        <v>41662</v>
      </c>
    </row>
    <row r="575">
      <c r="A575" s="202">
        <v>13688.0</v>
      </c>
      <c r="B575" s="7" t="s">
        <v>41663</v>
      </c>
      <c r="C575" s="7" t="s">
        <v>41664</v>
      </c>
      <c r="D575" s="7">
        <v>3453.0</v>
      </c>
      <c r="E575" s="902" t="s">
        <v>41665</v>
      </c>
      <c r="F575" s="902" t="s">
        <v>41666</v>
      </c>
      <c r="G575" s="903">
        <v>42026.0</v>
      </c>
      <c r="H575" s="904">
        <v>42020.0</v>
      </c>
      <c r="I575" s="7">
        <v>3451.0</v>
      </c>
      <c r="J575" s="905" t="s">
        <v>41667</v>
      </c>
      <c r="K575" s="7" t="s">
        <v>41668</v>
      </c>
    </row>
    <row r="576">
      <c r="A576" s="202">
        <v>13689.0</v>
      </c>
      <c r="B576" s="7" t="s">
        <v>41669</v>
      </c>
      <c r="C576" s="7" t="s">
        <v>41670</v>
      </c>
      <c r="D576" s="7">
        <v>4194.0</v>
      </c>
      <c r="E576" s="902" t="s">
        <v>41671</v>
      </c>
      <c r="F576" s="902" t="s">
        <v>41672</v>
      </c>
      <c r="G576" s="903">
        <v>42030.0</v>
      </c>
      <c r="H576" s="904">
        <v>42025.0</v>
      </c>
      <c r="I576" s="7">
        <v>4189.0</v>
      </c>
      <c r="J576" s="905" t="s">
        <v>41673</v>
      </c>
    </row>
    <row r="577">
      <c r="A577" s="202">
        <v>13690.0</v>
      </c>
      <c r="B577" s="7" t="s">
        <v>41674</v>
      </c>
      <c r="C577" s="7" t="s">
        <v>41675</v>
      </c>
      <c r="D577" s="7">
        <v>6428.0</v>
      </c>
      <c r="E577" s="902" t="s">
        <v>41676</v>
      </c>
      <c r="F577" s="902" t="s">
        <v>41677</v>
      </c>
      <c r="G577" s="903">
        <v>42039.0</v>
      </c>
      <c r="H577" s="904">
        <v>42034.0</v>
      </c>
      <c r="I577" s="7">
        <v>6425.0</v>
      </c>
      <c r="J577" s="905" t="s">
        <v>41678</v>
      </c>
      <c r="K577" s="7" t="s">
        <v>41679</v>
      </c>
    </row>
    <row r="578">
      <c r="A578" s="202">
        <v>13691.0</v>
      </c>
      <c r="B578" s="7" t="s">
        <v>41680</v>
      </c>
      <c r="C578" s="7" t="s">
        <v>41681</v>
      </c>
      <c r="D578" s="7">
        <v>9353.0</v>
      </c>
      <c r="E578" s="902" t="s">
        <v>41682</v>
      </c>
      <c r="F578" s="902" t="s">
        <v>41683</v>
      </c>
      <c r="G578" s="903">
        <v>42055.0</v>
      </c>
      <c r="H578" s="904">
        <v>42048.0</v>
      </c>
      <c r="I578" s="7">
        <v>9347.0</v>
      </c>
      <c r="J578" s="905" t="s">
        <v>41684</v>
      </c>
      <c r="K578" s="7" t="s">
        <v>41685</v>
      </c>
    </row>
    <row r="579">
      <c r="A579" s="202">
        <v>13692.0</v>
      </c>
      <c r="B579" s="7" t="s">
        <v>41686</v>
      </c>
      <c r="C579" s="7" t="s">
        <v>41687</v>
      </c>
      <c r="D579" s="7">
        <v>12751.0</v>
      </c>
      <c r="E579" s="902" t="s">
        <v>41688</v>
      </c>
      <c r="F579" s="902" t="s">
        <v>41689</v>
      </c>
      <c r="G579" s="903">
        <v>42074.0</v>
      </c>
      <c r="H579" s="904">
        <v>42071.0</v>
      </c>
      <c r="I579" s="7">
        <v>12747.0</v>
      </c>
      <c r="J579" s="905" t="s">
        <v>41690</v>
      </c>
      <c r="K579" s="7" t="s">
        <v>41691</v>
      </c>
    </row>
    <row r="580">
      <c r="A580" s="202">
        <v>13693.0</v>
      </c>
      <c r="B580" s="7" t="s">
        <v>41692</v>
      </c>
      <c r="C580" s="7" t="s">
        <v>41693</v>
      </c>
      <c r="D580" s="7">
        <v>15884.0</v>
      </c>
      <c r="E580" s="902" t="s">
        <v>41694</v>
      </c>
      <c r="F580" s="902" t="s">
        <v>41695</v>
      </c>
      <c r="G580" s="903">
        <v>42088.0</v>
      </c>
      <c r="H580" s="904">
        <v>42082.0</v>
      </c>
      <c r="I580" s="7">
        <v>15871.0</v>
      </c>
      <c r="J580" s="905" t="s">
        <v>41696</v>
      </c>
      <c r="K580" s="7" t="s">
        <v>41697</v>
      </c>
    </row>
    <row r="581">
      <c r="A581" s="202">
        <v>13694.0</v>
      </c>
      <c r="B581" s="7" t="s">
        <v>41698</v>
      </c>
      <c r="C581" s="7" t="s">
        <v>41699</v>
      </c>
      <c r="D581" s="7">
        <v>18079.0</v>
      </c>
      <c r="E581" s="902" t="s">
        <v>41700</v>
      </c>
      <c r="F581" s="902" t="s">
        <v>41701</v>
      </c>
      <c r="G581" s="903">
        <v>42096.0</v>
      </c>
      <c r="H581" s="904">
        <v>42095.0</v>
      </c>
      <c r="I581" s="7">
        <v>18077.0</v>
      </c>
      <c r="J581" s="905" t="s">
        <v>41702</v>
      </c>
      <c r="K581" s="7" t="s">
        <v>41703</v>
      </c>
    </row>
    <row r="582">
      <c r="A582" s="202">
        <v>13695.0</v>
      </c>
      <c r="B582" s="7" t="s">
        <v>41704</v>
      </c>
      <c r="C582" s="7" t="s">
        <v>41705</v>
      </c>
      <c r="D582" s="7">
        <v>30331.0</v>
      </c>
      <c r="E582" s="902" t="s">
        <v>41706</v>
      </c>
      <c r="F582" s="902" t="s">
        <v>41707</v>
      </c>
      <c r="G582" s="903">
        <v>42152.0</v>
      </c>
      <c r="H582" s="904">
        <v>42150.0</v>
      </c>
      <c r="I582" s="7">
        <v>30331.0</v>
      </c>
      <c r="J582" s="905" t="s">
        <v>41708</v>
      </c>
      <c r="K582" s="7" t="s">
        <v>41709</v>
      </c>
    </row>
    <row r="583">
      <c r="A583" s="202">
        <v>13696.0</v>
      </c>
      <c r="B583" s="7" t="s">
        <v>41710</v>
      </c>
      <c r="C583" s="7" t="s">
        <v>41711</v>
      </c>
      <c r="D583" s="7">
        <v>35828.0</v>
      </c>
      <c r="E583" s="902" t="s">
        <v>41712</v>
      </c>
      <c r="F583" s="902" t="s">
        <v>41713</v>
      </c>
      <c r="G583" s="903">
        <v>42177.0</v>
      </c>
      <c r="H583" s="904">
        <v>42172.0</v>
      </c>
      <c r="I583" s="7">
        <v>35783.0</v>
      </c>
      <c r="J583" s="905" t="s">
        <v>41714</v>
      </c>
      <c r="K583" s="7" t="s">
        <v>40448</v>
      </c>
    </row>
    <row r="584">
      <c r="A584" s="202">
        <v>13697.0</v>
      </c>
      <c r="B584" s="7" t="s">
        <v>41715</v>
      </c>
      <c r="C584" s="7" t="s">
        <v>41716</v>
      </c>
      <c r="D584" s="7">
        <v>36691.0</v>
      </c>
      <c r="E584" s="902" t="s">
        <v>41717</v>
      </c>
      <c r="F584" s="902" t="s">
        <v>41718</v>
      </c>
      <c r="G584" s="903">
        <v>42180.0</v>
      </c>
      <c r="H584" s="904">
        <v>42177.0</v>
      </c>
      <c r="I584" s="7">
        <v>36691.0</v>
      </c>
      <c r="J584" s="905" t="s">
        <v>41719</v>
      </c>
      <c r="K584" s="7" t="s">
        <v>41720</v>
      </c>
    </row>
    <row r="585">
      <c r="A585" s="202">
        <v>13698.0</v>
      </c>
      <c r="B585" s="7" t="s">
        <v>41721</v>
      </c>
      <c r="C585" s="7" t="s">
        <v>41722</v>
      </c>
      <c r="D585" s="7">
        <v>37134.0</v>
      </c>
      <c r="E585" s="902" t="s">
        <v>41723</v>
      </c>
      <c r="F585" s="902" t="s">
        <v>41724</v>
      </c>
      <c r="G585" s="903">
        <v>42184.0</v>
      </c>
      <c r="H585" s="904">
        <v>42179.0</v>
      </c>
      <c r="I585" s="7">
        <v>37131.0</v>
      </c>
      <c r="J585" s="905" t="s">
        <v>41725</v>
      </c>
    </row>
    <row r="586">
      <c r="A586" s="202">
        <v>13699.0</v>
      </c>
      <c r="B586" s="7" t="s">
        <v>41726</v>
      </c>
      <c r="C586" s="7" t="s">
        <v>41727</v>
      </c>
      <c r="D586" s="7">
        <v>37530.0</v>
      </c>
      <c r="E586" s="902" t="s">
        <v>41728</v>
      </c>
      <c r="F586" s="902" t="s">
        <v>41729</v>
      </c>
      <c r="G586" s="903">
        <v>42186.0</v>
      </c>
      <c r="H586" s="904">
        <v>42181.0</v>
      </c>
      <c r="I586" s="7">
        <v>37529.0</v>
      </c>
      <c r="J586" s="905" t="s">
        <v>41730</v>
      </c>
      <c r="K586" s="7" t="s">
        <v>41731</v>
      </c>
    </row>
    <row r="587">
      <c r="A587" s="202">
        <v>13700.0</v>
      </c>
      <c r="B587" s="7" t="s">
        <v>41732</v>
      </c>
      <c r="C587" s="7" t="s">
        <v>41733</v>
      </c>
      <c r="D587" s="7">
        <v>43005.0</v>
      </c>
      <c r="E587" s="902" t="s">
        <v>41734</v>
      </c>
      <c r="F587" s="902" t="s">
        <v>41735</v>
      </c>
      <c r="G587" s="903">
        <v>42205.0</v>
      </c>
      <c r="H587" s="904">
        <v>42200.0</v>
      </c>
      <c r="I587" s="7">
        <v>43003.0</v>
      </c>
      <c r="J587" s="905" t="s">
        <v>41736</v>
      </c>
      <c r="K587" s="7" t="s">
        <v>41737</v>
      </c>
    </row>
    <row r="588">
      <c r="A588" s="202">
        <v>13701.0</v>
      </c>
      <c r="B588" s="7" t="s">
        <v>41738</v>
      </c>
      <c r="C588" s="7" t="s">
        <v>41739</v>
      </c>
      <c r="D588" s="7">
        <v>43905.0</v>
      </c>
      <c r="E588" s="902" t="s">
        <v>41740</v>
      </c>
      <c r="F588" s="902" t="s">
        <v>41741</v>
      </c>
      <c r="G588" s="903">
        <v>42208.0</v>
      </c>
      <c r="H588" s="904">
        <v>42202.0</v>
      </c>
      <c r="I588" s="7">
        <v>43901.0</v>
      </c>
      <c r="J588" s="905" t="s">
        <v>41742</v>
      </c>
    </row>
    <row r="589">
      <c r="A589" s="202">
        <v>13702.0</v>
      </c>
      <c r="B589" s="7" t="s">
        <v>41743</v>
      </c>
      <c r="C589" s="7" t="s">
        <v>41744</v>
      </c>
      <c r="D589" s="7">
        <v>46180.0</v>
      </c>
      <c r="E589" s="902" t="s">
        <v>41745</v>
      </c>
      <c r="F589" s="902" t="s">
        <v>41746</v>
      </c>
      <c r="G589" s="903">
        <v>42219.0</v>
      </c>
      <c r="H589" s="904">
        <v>42214.0</v>
      </c>
      <c r="I589" s="7">
        <v>46177.0</v>
      </c>
      <c r="J589" s="905" t="s">
        <v>41747</v>
      </c>
      <c r="K589" s="7" t="s">
        <v>41748</v>
      </c>
    </row>
    <row r="590">
      <c r="A590" s="202">
        <v>13703.0</v>
      </c>
      <c r="B590" s="7" t="s">
        <v>41749</v>
      </c>
      <c r="C590" s="7" t="s">
        <v>41750</v>
      </c>
      <c r="D590" s="7">
        <v>46184.0</v>
      </c>
      <c r="E590" s="902" t="s">
        <v>41751</v>
      </c>
      <c r="F590" s="902" t="s">
        <v>41752</v>
      </c>
      <c r="G590" s="903">
        <v>42220.0</v>
      </c>
      <c r="H590" s="904">
        <v>42215.0</v>
      </c>
      <c r="I590" s="7">
        <v>46181.0</v>
      </c>
      <c r="J590" s="905" t="s">
        <v>41753</v>
      </c>
      <c r="K590" s="7" t="s">
        <v>41754</v>
      </c>
    </row>
    <row r="591">
      <c r="A591" s="202">
        <v>13704.0</v>
      </c>
      <c r="B591" s="7" t="s">
        <v>41755</v>
      </c>
      <c r="C591" s="7" t="s">
        <v>41756</v>
      </c>
      <c r="D591" s="7">
        <v>50753.0</v>
      </c>
      <c r="E591" s="902" t="s">
        <v>41757</v>
      </c>
      <c r="F591" s="902" t="s">
        <v>41758</v>
      </c>
      <c r="G591" s="903">
        <v>42236.0</v>
      </c>
      <c r="H591" s="904">
        <v>42233.0</v>
      </c>
      <c r="I591" s="7">
        <v>50749.0</v>
      </c>
      <c r="J591" s="905" t="s">
        <v>41759</v>
      </c>
    </row>
    <row r="592">
      <c r="A592" s="202">
        <v>13705.0</v>
      </c>
      <c r="B592" s="7" t="s">
        <v>41760</v>
      </c>
      <c r="C592" s="7" t="s">
        <v>41761</v>
      </c>
      <c r="D592" s="7">
        <v>54406.0</v>
      </c>
      <c r="E592" s="902" t="s">
        <v>41762</v>
      </c>
      <c r="F592" s="902" t="s">
        <v>41763</v>
      </c>
      <c r="G592" s="903">
        <v>42256.0</v>
      </c>
      <c r="H592" s="904">
        <v>42250.0</v>
      </c>
      <c r="I592" s="7">
        <v>54405.0</v>
      </c>
      <c r="J592" s="905" t="s">
        <v>41764</v>
      </c>
    </row>
    <row r="593">
      <c r="A593" s="202">
        <v>13706.0</v>
      </c>
      <c r="B593" s="7" t="s">
        <v>41765</v>
      </c>
      <c r="C593" s="7" t="s">
        <v>41766</v>
      </c>
      <c r="D593" s="7">
        <v>54700.0</v>
      </c>
      <c r="E593" s="902" t="s">
        <v>41767</v>
      </c>
      <c r="F593" s="902" t="s">
        <v>41768</v>
      </c>
      <c r="G593" s="903">
        <v>42257.0</v>
      </c>
      <c r="H593" s="904">
        <v>42254.0</v>
      </c>
      <c r="I593" s="7">
        <v>54697.0</v>
      </c>
      <c r="J593" s="905" t="s">
        <v>41769</v>
      </c>
    </row>
    <row r="594">
      <c r="A594" s="202">
        <v>13707.0</v>
      </c>
      <c r="B594" s="7" t="s">
        <v>41770</v>
      </c>
      <c r="C594" s="7" t="s">
        <v>41771</v>
      </c>
      <c r="D594" s="7">
        <v>56367.0</v>
      </c>
      <c r="E594" s="902" t="s">
        <v>41772</v>
      </c>
      <c r="F594" s="902" t="s">
        <v>41773</v>
      </c>
      <c r="G594" s="903">
        <v>42265.0</v>
      </c>
      <c r="H594" s="904">
        <v>42262.0</v>
      </c>
      <c r="I594" s="7">
        <v>56365.0</v>
      </c>
      <c r="J594" s="905" t="s">
        <v>41774</v>
      </c>
      <c r="K594" s="7" t="s">
        <v>41775</v>
      </c>
    </row>
    <row r="595">
      <c r="A595" s="202">
        <v>13708.0</v>
      </c>
      <c r="B595" s="7" t="s">
        <v>41776</v>
      </c>
      <c r="C595" s="7" t="s">
        <v>41777</v>
      </c>
      <c r="D595" s="7">
        <v>60273.0</v>
      </c>
      <c r="E595" s="902" t="s">
        <v>41778</v>
      </c>
      <c r="F595" s="902" t="s">
        <v>41779</v>
      </c>
      <c r="G595" s="903">
        <v>42282.0</v>
      </c>
      <c r="H595" s="904">
        <v>42277.0</v>
      </c>
      <c r="I595" s="7">
        <v>60271.0</v>
      </c>
      <c r="J595" s="905" t="s">
        <v>41780</v>
      </c>
      <c r="K595" s="7" t="s">
        <v>41781</v>
      </c>
    </row>
    <row r="596">
      <c r="A596" s="202">
        <v>13709.0</v>
      </c>
      <c r="B596" s="7" t="s">
        <v>41782</v>
      </c>
      <c r="C596" s="7" t="s">
        <v>41783</v>
      </c>
      <c r="D596" s="7">
        <v>60794.0</v>
      </c>
      <c r="E596" s="902" t="s">
        <v>41784</v>
      </c>
      <c r="F596" s="902" t="s">
        <v>41785</v>
      </c>
      <c r="G596" s="903">
        <v>42284.0</v>
      </c>
      <c r="H596" s="904">
        <v>42279.0</v>
      </c>
      <c r="I596" s="7">
        <v>60793.0</v>
      </c>
      <c r="J596" s="905" t="s">
        <v>41786</v>
      </c>
      <c r="K596" s="7" t="s">
        <v>41787</v>
      </c>
    </row>
    <row r="597">
      <c r="A597" s="202">
        <v>13710.0</v>
      </c>
      <c r="B597" s="7" t="s">
        <v>41788</v>
      </c>
      <c r="C597" s="7" t="s">
        <v>41789</v>
      </c>
      <c r="D597" s="7">
        <v>71680.0</v>
      </c>
      <c r="E597" s="902" t="s">
        <v>41790</v>
      </c>
      <c r="F597" s="902" t="s">
        <v>41791</v>
      </c>
      <c r="G597" s="906">
        <v>42324.0</v>
      </c>
      <c r="H597" s="904">
        <v>42320.0</v>
      </c>
      <c r="I597" s="7">
        <v>71677.0</v>
      </c>
      <c r="J597" s="905" t="s">
        <v>41792</v>
      </c>
      <c r="K597" s="7" t="s">
        <v>41793</v>
      </c>
    </row>
    <row r="598">
      <c r="A598" s="202">
        <v>13711.0</v>
      </c>
      <c r="B598" s="7" t="s">
        <v>41794</v>
      </c>
      <c r="C598" s="7" t="s">
        <v>41795</v>
      </c>
      <c r="D598" s="7">
        <v>71925.0</v>
      </c>
      <c r="E598" s="902" t="s">
        <v>41796</v>
      </c>
      <c r="F598" s="902" t="s">
        <v>41797</v>
      </c>
      <c r="G598" s="906">
        <v>42325.0</v>
      </c>
      <c r="H598" s="904">
        <v>42320.0</v>
      </c>
      <c r="I598" s="7">
        <v>71921.0</v>
      </c>
      <c r="J598" s="905" t="s">
        <v>41736</v>
      </c>
      <c r="K598" s="7" t="s">
        <v>41798</v>
      </c>
    </row>
    <row r="599">
      <c r="A599" s="202">
        <v>13712.0</v>
      </c>
      <c r="B599" s="7" t="s">
        <v>41799</v>
      </c>
      <c r="C599" s="7" t="s">
        <v>41800</v>
      </c>
      <c r="D599" s="7">
        <v>73636.0</v>
      </c>
      <c r="E599" s="902" t="s">
        <v>41801</v>
      </c>
      <c r="F599" s="902" t="s">
        <v>41802</v>
      </c>
      <c r="G599" s="906">
        <v>42333.0</v>
      </c>
      <c r="H599" s="904">
        <v>42330.0</v>
      </c>
      <c r="I599" s="7">
        <v>73633.0</v>
      </c>
      <c r="J599" s="905" t="s">
        <v>41803</v>
      </c>
      <c r="K599" s="7" t="s">
        <v>41804</v>
      </c>
    </row>
    <row r="600">
      <c r="A600" s="202">
        <v>13713.0</v>
      </c>
      <c r="B600" s="7" t="s">
        <v>41805</v>
      </c>
      <c r="C600" s="7" t="s">
        <v>41806</v>
      </c>
      <c r="D600" s="7">
        <v>78118.0</v>
      </c>
      <c r="E600" s="902" t="s">
        <v>41807</v>
      </c>
      <c r="F600" s="902" t="s">
        <v>41808</v>
      </c>
      <c r="G600" s="906">
        <v>42354.0</v>
      </c>
      <c r="H600" s="904">
        <v>42349.0</v>
      </c>
      <c r="I600" s="7">
        <v>78117.0</v>
      </c>
      <c r="J600" s="905" t="s">
        <v>41809</v>
      </c>
      <c r="K600" s="7" t="s">
        <v>39804</v>
      </c>
    </row>
    <row r="601">
      <c r="A601" s="202">
        <v>13714.0</v>
      </c>
      <c r="B601" s="7" t="s">
        <v>41810</v>
      </c>
      <c r="C601" s="7" t="s">
        <v>41811</v>
      </c>
      <c r="D601" s="7">
        <v>79229.0</v>
      </c>
      <c r="E601" s="902" t="s">
        <v>41812</v>
      </c>
      <c r="F601" s="902" t="s">
        <v>41813</v>
      </c>
      <c r="G601" s="906">
        <v>42356.0</v>
      </c>
      <c r="H601" s="904">
        <v>42353.0</v>
      </c>
      <c r="I601" s="7">
        <v>79223.0</v>
      </c>
      <c r="J601" s="905" t="s">
        <v>41814</v>
      </c>
      <c r="K601" s="7" t="s">
        <v>38870</v>
      </c>
    </row>
    <row r="602">
      <c r="A602" s="202">
        <v>13715.0</v>
      </c>
      <c r="B602" s="7" t="s">
        <v>41815</v>
      </c>
      <c r="C602" s="7" t="s">
        <v>41816</v>
      </c>
      <c r="D602" s="7">
        <v>80206.0</v>
      </c>
      <c r="E602" s="902" t="s">
        <v>41817</v>
      </c>
      <c r="F602" s="902" t="s">
        <v>41818</v>
      </c>
      <c r="G602" s="906">
        <v>42361.0</v>
      </c>
      <c r="H602" s="904">
        <v>42356.0</v>
      </c>
      <c r="I602" s="7">
        <v>80195.0</v>
      </c>
      <c r="J602" s="905" t="s">
        <v>38718</v>
      </c>
      <c r="K602" s="7" t="s">
        <v>41819</v>
      </c>
    </row>
    <row r="603">
      <c r="A603" s="202">
        <v>13716.0</v>
      </c>
      <c r="B603" s="7" t="s">
        <v>41820</v>
      </c>
      <c r="C603" s="7" t="s">
        <v>41821</v>
      </c>
      <c r="D603" s="7">
        <v>3698.0</v>
      </c>
      <c r="E603" s="902" t="s">
        <v>41822</v>
      </c>
      <c r="F603" s="902" t="s">
        <v>41823</v>
      </c>
      <c r="G603" s="903">
        <v>42390.0</v>
      </c>
      <c r="H603" s="904">
        <v>42385.0</v>
      </c>
      <c r="I603" s="7">
        <v>3693.0</v>
      </c>
      <c r="J603" s="905" t="s">
        <v>41824</v>
      </c>
      <c r="K603" s="7" t="s">
        <v>41825</v>
      </c>
    </row>
    <row r="604">
      <c r="A604" s="202">
        <v>13717.0</v>
      </c>
      <c r="B604" s="7" t="s">
        <v>41826</v>
      </c>
      <c r="C604" s="7" t="s">
        <v>41827</v>
      </c>
      <c r="D604" s="7">
        <v>6410.0</v>
      </c>
      <c r="E604" s="902" t="s">
        <v>41828</v>
      </c>
      <c r="F604" s="902" t="s">
        <v>41829</v>
      </c>
      <c r="G604" s="903">
        <v>42405.0</v>
      </c>
      <c r="H604" s="904">
        <v>42402.0</v>
      </c>
      <c r="I604" s="7">
        <v>6405.0</v>
      </c>
      <c r="J604" s="905" t="s">
        <v>41830</v>
      </c>
      <c r="K604" s="7" t="s">
        <v>41831</v>
      </c>
    </row>
    <row r="605">
      <c r="A605" s="202">
        <v>13718.0</v>
      </c>
      <c r="B605" s="7" t="s">
        <v>41832</v>
      </c>
      <c r="C605" s="7" t="s">
        <v>41833</v>
      </c>
      <c r="D605" s="7">
        <v>7444.0</v>
      </c>
      <c r="E605" s="902" t="s">
        <v>41834</v>
      </c>
      <c r="F605" s="902" t="s">
        <v>41835</v>
      </c>
      <c r="G605" s="903">
        <v>42412.0</v>
      </c>
      <c r="H605" s="904">
        <v>42409.0</v>
      </c>
      <c r="I605" s="7">
        <v>7441.0</v>
      </c>
      <c r="J605" s="905" t="s">
        <v>41836</v>
      </c>
    </row>
    <row r="606">
      <c r="A606" s="202">
        <v>13719.0</v>
      </c>
      <c r="B606" s="7" t="s">
        <v>41837</v>
      </c>
      <c r="C606" s="7" t="s">
        <v>41838</v>
      </c>
      <c r="D606" s="7">
        <v>7689.0</v>
      </c>
      <c r="E606" s="902" t="s">
        <v>41839</v>
      </c>
      <c r="F606" s="902" t="s">
        <v>41840</v>
      </c>
      <c r="G606" s="903">
        <v>42412.0</v>
      </c>
      <c r="H606" s="904">
        <v>42409.0</v>
      </c>
      <c r="I606" s="7">
        <v>7687.0</v>
      </c>
      <c r="J606" s="905" t="s">
        <v>41841</v>
      </c>
    </row>
    <row r="607">
      <c r="A607" s="202">
        <v>13720.0</v>
      </c>
      <c r="B607" s="7" t="s">
        <v>41842</v>
      </c>
      <c r="C607" s="7" t="s">
        <v>41843</v>
      </c>
      <c r="D607" s="7">
        <v>11090.0</v>
      </c>
      <c r="E607" s="902" t="s">
        <v>41844</v>
      </c>
      <c r="F607" s="902" t="s">
        <v>41845</v>
      </c>
      <c r="G607" s="903">
        <v>42431.0</v>
      </c>
      <c r="H607" s="904">
        <v>42426.0</v>
      </c>
      <c r="I607" s="7">
        <v>11089.0</v>
      </c>
      <c r="J607" s="905" t="s">
        <v>41846</v>
      </c>
    </row>
    <row r="608">
      <c r="A608" s="202">
        <v>13721.0</v>
      </c>
      <c r="B608" s="7" t="s">
        <v>41847</v>
      </c>
      <c r="C608" s="7" t="s">
        <v>41848</v>
      </c>
      <c r="D608" s="7">
        <v>14688.0</v>
      </c>
      <c r="E608" s="902" t="s">
        <v>41849</v>
      </c>
      <c r="F608" s="902" t="s">
        <v>41850</v>
      </c>
      <c r="G608" s="903">
        <v>42446.0</v>
      </c>
      <c r="H608" s="904">
        <v>42443.0</v>
      </c>
      <c r="I608" s="7">
        <v>14685.0</v>
      </c>
      <c r="J608" s="905" t="s">
        <v>41851</v>
      </c>
      <c r="K608" s="7" t="s">
        <v>41852</v>
      </c>
    </row>
    <row r="609">
      <c r="A609" s="202">
        <v>13722.0</v>
      </c>
      <c r="B609" s="7" t="s">
        <v>41853</v>
      </c>
      <c r="C609" s="7" t="s">
        <v>41854</v>
      </c>
      <c r="D609" s="7">
        <v>14946.0</v>
      </c>
      <c r="E609" s="902" t="s">
        <v>41855</v>
      </c>
      <c r="F609" s="902" t="s">
        <v>41856</v>
      </c>
      <c r="G609" s="903">
        <v>42447.0</v>
      </c>
      <c r="H609" s="904">
        <v>42444.0</v>
      </c>
      <c r="I609" s="7">
        <v>14943.0</v>
      </c>
      <c r="J609" s="905" t="s">
        <v>41857</v>
      </c>
      <c r="K609" s="7" t="s">
        <v>41858</v>
      </c>
    </row>
    <row r="610">
      <c r="A610" s="202">
        <v>13723.0</v>
      </c>
      <c r="B610" s="7" t="s">
        <v>41859</v>
      </c>
      <c r="C610" s="7" t="s">
        <v>41860</v>
      </c>
      <c r="D610" s="7">
        <v>19018.0</v>
      </c>
      <c r="E610" s="902" t="s">
        <v>41861</v>
      </c>
      <c r="F610" s="902" t="s">
        <v>41862</v>
      </c>
      <c r="G610" s="903">
        <v>42461.0</v>
      </c>
      <c r="H610" s="904">
        <v>42459.0</v>
      </c>
      <c r="I610" s="7">
        <v>19017.0</v>
      </c>
      <c r="J610" s="905" t="s">
        <v>41863</v>
      </c>
      <c r="K610" s="7" t="s">
        <v>39918</v>
      </c>
    </row>
    <row r="611">
      <c r="A611" s="202">
        <v>13724.0</v>
      </c>
      <c r="B611" s="7" t="s">
        <v>41864</v>
      </c>
      <c r="C611" s="7" t="s">
        <v>41865</v>
      </c>
      <c r="D611" s="7">
        <v>22021.0</v>
      </c>
      <c r="E611" s="902" t="s">
        <v>41866</v>
      </c>
      <c r="F611" s="902" t="s">
        <v>41867</v>
      </c>
      <c r="G611" s="903">
        <v>42473.0</v>
      </c>
      <c r="H611" s="904">
        <v>42468.0</v>
      </c>
      <c r="I611" s="7">
        <v>22021.0</v>
      </c>
      <c r="J611" s="905" t="s">
        <v>41868</v>
      </c>
      <c r="K611" s="7" t="s">
        <v>41869</v>
      </c>
    </row>
    <row r="612">
      <c r="A612" s="202">
        <v>13725.0</v>
      </c>
      <c r="B612" s="7" t="s">
        <v>41870</v>
      </c>
      <c r="C612" s="7" t="s">
        <v>41871</v>
      </c>
      <c r="D612" s="7">
        <v>23419.0</v>
      </c>
      <c r="E612" s="902" t="s">
        <v>41872</v>
      </c>
      <c r="F612" s="902" t="s">
        <v>41873</v>
      </c>
      <c r="G612" s="903">
        <v>42480.0</v>
      </c>
      <c r="H612" s="904">
        <v>42475.0</v>
      </c>
      <c r="I612" s="7">
        <v>23417.0</v>
      </c>
      <c r="J612" s="905" t="s">
        <v>41874</v>
      </c>
    </row>
    <row r="613">
      <c r="A613" s="202">
        <v>13726.0</v>
      </c>
      <c r="B613" s="7" t="s">
        <v>41875</v>
      </c>
      <c r="C613" s="7" t="s">
        <v>41876</v>
      </c>
      <c r="D613" s="7">
        <v>23562.0</v>
      </c>
      <c r="E613" s="902" t="s">
        <v>41877</v>
      </c>
      <c r="F613" s="902" t="s">
        <v>41878</v>
      </c>
      <c r="G613" s="903">
        <v>42481.0</v>
      </c>
      <c r="H613" s="904">
        <v>42479.0</v>
      </c>
      <c r="I613" s="7">
        <v>23559.0</v>
      </c>
      <c r="J613" s="905" t="s">
        <v>41879</v>
      </c>
      <c r="K613" s="7" t="s">
        <v>41880</v>
      </c>
    </row>
    <row r="614">
      <c r="A614" s="202">
        <v>13727.0</v>
      </c>
      <c r="B614" s="7" t="s">
        <v>41881</v>
      </c>
      <c r="C614" s="7" t="s">
        <v>41882</v>
      </c>
      <c r="D614" s="7">
        <v>29467.0</v>
      </c>
      <c r="E614" s="902" t="s">
        <v>41883</v>
      </c>
      <c r="F614" s="902" t="s">
        <v>41884</v>
      </c>
      <c r="G614" s="903">
        <v>42501.0</v>
      </c>
      <c r="H614" s="904">
        <v>42496.0</v>
      </c>
      <c r="I614" s="7">
        <v>29465.0</v>
      </c>
      <c r="J614" s="905" t="s">
        <v>38899</v>
      </c>
      <c r="K614" s="7" t="s">
        <v>41885</v>
      </c>
    </row>
    <row r="615">
      <c r="A615" s="202">
        <v>13728.0</v>
      </c>
      <c r="B615" s="7" t="s">
        <v>41886</v>
      </c>
      <c r="C615" s="7" t="s">
        <v>41887</v>
      </c>
      <c r="D615" s="7">
        <v>32225.0</v>
      </c>
      <c r="E615" s="902" t="s">
        <v>41888</v>
      </c>
      <c r="F615" s="902" t="s">
        <v>41889</v>
      </c>
      <c r="G615" s="903">
        <v>42510.0</v>
      </c>
      <c r="H615" s="904">
        <v>42508.0</v>
      </c>
      <c r="I615" s="7">
        <v>32223.0</v>
      </c>
      <c r="J615" s="905" t="s">
        <v>41890</v>
      </c>
    </row>
    <row r="616">
      <c r="A616" s="202">
        <v>13729.0</v>
      </c>
      <c r="B616" s="7" t="s">
        <v>41891</v>
      </c>
      <c r="C616" s="7" t="s">
        <v>41892</v>
      </c>
      <c r="D616" s="7">
        <v>32615.0</v>
      </c>
      <c r="E616" s="902" t="s">
        <v>41893</v>
      </c>
      <c r="F616" s="902" t="s">
        <v>41894</v>
      </c>
      <c r="G616" s="903">
        <v>42513.0</v>
      </c>
      <c r="H616" s="904">
        <v>42508.0</v>
      </c>
      <c r="I616" s="7">
        <v>32611.0</v>
      </c>
      <c r="J616" s="905" t="s">
        <v>41895</v>
      </c>
    </row>
    <row r="617">
      <c r="A617" s="202">
        <v>13730.0</v>
      </c>
      <c r="B617" s="7" t="s">
        <v>41896</v>
      </c>
      <c r="C617" s="7" t="s">
        <v>41897</v>
      </c>
      <c r="D617" s="7">
        <v>33358.0</v>
      </c>
      <c r="E617" s="902" t="s">
        <v>41898</v>
      </c>
      <c r="F617" s="902" t="s">
        <v>41899</v>
      </c>
      <c r="G617" s="903">
        <v>42516.0</v>
      </c>
      <c r="H617" s="904">
        <v>42510.0</v>
      </c>
      <c r="I617" s="7">
        <v>33331.0</v>
      </c>
      <c r="J617" s="905" t="s">
        <v>41900</v>
      </c>
      <c r="K617" s="7" t="s">
        <v>40448</v>
      </c>
    </row>
    <row r="618">
      <c r="A618" s="202">
        <v>13731.0</v>
      </c>
      <c r="B618" s="7" t="s">
        <v>41901</v>
      </c>
      <c r="C618" s="7" t="s">
        <v>41902</v>
      </c>
      <c r="D618" s="7">
        <v>42223.0</v>
      </c>
      <c r="E618" s="902" t="s">
        <v>41903</v>
      </c>
      <c r="F618" s="902" t="s">
        <v>41904</v>
      </c>
      <c r="G618" s="903">
        <v>42550.0</v>
      </c>
      <c r="H618" s="904">
        <v>42545.0</v>
      </c>
      <c r="I618" s="7">
        <v>42221.0</v>
      </c>
      <c r="J618" s="905" t="s">
        <v>41905</v>
      </c>
    </row>
    <row r="619">
      <c r="A619" s="202">
        <v>13732.0</v>
      </c>
      <c r="B619" s="7" t="s">
        <v>41906</v>
      </c>
      <c r="C619" s="7" t="s">
        <v>41907</v>
      </c>
      <c r="D619" s="7">
        <v>44487.0</v>
      </c>
      <c r="E619" s="902" t="s">
        <v>41908</v>
      </c>
      <c r="F619" s="902" t="s">
        <v>41909</v>
      </c>
      <c r="G619" s="903">
        <v>42558.0</v>
      </c>
      <c r="H619" s="904">
        <v>42552.0</v>
      </c>
      <c r="I619" s="7">
        <v>44485.0</v>
      </c>
      <c r="J619" s="905" t="s">
        <v>41910</v>
      </c>
    </row>
    <row r="620">
      <c r="A620" s="202">
        <v>13733.0</v>
      </c>
      <c r="B620" s="7" t="s">
        <v>41911</v>
      </c>
      <c r="C620" s="7" t="s">
        <v>41912</v>
      </c>
      <c r="D620" s="7">
        <v>49516.0</v>
      </c>
      <c r="E620" s="902" t="s">
        <v>41913</v>
      </c>
      <c r="F620" s="902" t="s">
        <v>41914</v>
      </c>
      <c r="G620" s="903">
        <v>42578.0</v>
      </c>
      <c r="H620" s="904">
        <v>42573.0</v>
      </c>
      <c r="I620" s="7">
        <v>49515.0</v>
      </c>
      <c r="J620" s="905" t="s">
        <v>41915</v>
      </c>
    </row>
    <row r="621">
      <c r="A621" s="202">
        <v>13734.0</v>
      </c>
      <c r="B621" s="7" t="s">
        <v>41916</v>
      </c>
      <c r="C621" s="7" t="s">
        <v>41917</v>
      </c>
      <c r="D621" s="7">
        <v>52322.0</v>
      </c>
      <c r="E621" s="902" t="s">
        <v>41918</v>
      </c>
      <c r="F621" s="902" t="s">
        <v>41919</v>
      </c>
      <c r="G621" s="903">
        <v>42590.0</v>
      </c>
      <c r="H621" s="904">
        <v>42585.0</v>
      </c>
      <c r="I621" s="7">
        <v>52321.0</v>
      </c>
      <c r="J621" s="905" t="s">
        <v>41920</v>
      </c>
    </row>
    <row r="622">
      <c r="A622" s="202">
        <v>13735.0</v>
      </c>
      <c r="B622" s="7" t="s">
        <v>41921</v>
      </c>
      <c r="C622" s="7" t="s">
        <v>41922</v>
      </c>
      <c r="D622" s="7">
        <v>54710.0</v>
      </c>
      <c r="E622" s="902" t="s">
        <v>41923</v>
      </c>
      <c r="F622" s="902" t="s">
        <v>41924</v>
      </c>
      <c r="G622" s="903">
        <v>42599.0</v>
      </c>
      <c r="H622" s="904">
        <v>42594.0</v>
      </c>
      <c r="I622" s="7">
        <v>54709.0</v>
      </c>
      <c r="J622" s="905" t="s">
        <v>39281</v>
      </c>
    </row>
    <row r="623">
      <c r="A623" s="202">
        <v>13736.0</v>
      </c>
      <c r="B623" s="7" t="s">
        <v>41925</v>
      </c>
      <c r="C623" s="7" t="s">
        <v>41926</v>
      </c>
      <c r="D623" s="7">
        <v>54712.0</v>
      </c>
      <c r="E623" s="902" t="s">
        <v>41927</v>
      </c>
      <c r="F623" s="902" t="s">
        <v>41928</v>
      </c>
      <c r="G623" s="903">
        <v>42599.0</v>
      </c>
      <c r="H623" s="904">
        <v>42594.0</v>
      </c>
      <c r="I623" s="7">
        <v>54711.0</v>
      </c>
      <c r="J623" s="905" t="s">
        <v>39287</v>
      </c>
    </row>
    <row r="624">
      <c r="A624" s="202">
        <v>13737.0</v>
      </c>
      <c r="B624" s="7" t="s">
        <v>41929</v>
      </c>
      <c r="C624" s="7" t="s">
        <v>41930</v>
      </c>
      <c r="D624" s="7">
        <v>54714.0</v>
      </c>
      <c r="E624" s="902" t="s">
        <v>41931</v>
      </c>
      <c r="F624" s="902" t="s">
        <v>41932</v>
      </c>
      <c r="G624" s="903">
        <v>42599.0</v>
      </c>
      <c r="H624" s="904">
        <v>42594.0</v>
      </c>
      <c r="I624" s="7">
        <v>54713.0</v>
      </c>
      <c r="J624" s="905" t="s">
        <v>41261</v>
      </c>
      <c r="K624" s="7" t="s">
        <v>41933</v>
      </c>
    </row>
    <row r="625">
      <c r="A625" s="202">
        <v>13738.0</v>
      </c>
      <c r="B625" s="7" t="s">
        <v>41934</v>
      </c>
      <c r="C625" s="7" t="s">
        <v>41935</v>
      </c>
      <c r="D625" s="7">
        <v>58808.0</v>
      </c>
      <c r="E625" s="902" t="s">
        <v>41936</v>
      </c>
      <c r="F625" s="902" t="s">
        <v>41937</v>
      </c>
      <c r="G625" s="903">
        <v>42608.0</v>
      </c>
      <c r="H625" s="904">
        <v>42605.0</v>
      </c>
      <c r="I625" s="7">
        <v>58807.0</v>
      </c>
      <c r="J625" s="905" t="s">
        <v>41938</v>
      </c>
      <c r="K625" s="7" t="s">
        <v>41939</v>
      </c>
    </row>
    <row r="626">
      <c r="A626" s="202">
        <v>13739.0</v>
      </c>
      <c r="B626" s="7" t="s">
        <v>41940</v>
      </c>
      <c r="C626" s="7" t="s">
        <v>41941</v>
      </c>
      <c r="D626" s="7">
        <v>63674.0</v>
      </c>
      <c r="E626" s="902" t="s">
        <v>41942</v>
      </c>
      <c r="F626" s="902" t="s">
        <v>41943</v>
      </c>
      <c r="G626" s="903">
        <v>42629.0</v>
      </c>
      <c r="H626" s="904">
        <v>42627.0</v>
      </c>
      <c r="I626" s="7">
        <v>63673.0</v>
      </c>
      <c r="J626" s="905" t="s">
        <v>41944</v>
      </c>
      <c r="K626" s="7" t="s">
        <v>41945</v>
      </c>
    </row>
    <row r="627">
      <c r="A627" s="202">
        <v>13740.0</v>
      </c>
      <c r="B627" s="7" t="s">
        <v>41946</v>
      </c>
      <c r="C627" s="7" t="s">
        <v>41947</v>
      </c>
      <c r="D627" s="7">
        <v>65264.0</v>
      </c>
      <c r="E627" s="902" t="s">
        <v>41948</v>
      </c>
      <c r="F627" s="902" t="s">
        <v>41949</v>
      </c>
      <c r="G627" s="903">
        <v>42635.0</v>
      </c>
      <c r="H627" s="904">
        <v>42629.0</v>
      </c>
      <c r="I627" s="7">
        <v>65175.0</v>
      </c>
      <c r="J627" s="905" t="s">
        <v>41900</v>
      </c>
      <c r="K627" s="7" t="s">
        <v>39930</v>
      </c>
    </row>
    <row r="628">
      <c r="A628" s="202">
        <v>13741.0</v>
      </c>
      <c r="B628" s="7" t="s">
        <v>41950</v>
      </c>
      <c r="C628" s="7" t="s">
        <v>41951</v>
      </c>
      <c r="D628" s="7">
        <v>68292.0</v>
      </c>
      <c r="E628" s="902" t="s">
        <v>41952</v>
      </c>
      <c r="F628" s="902" t="s">
        <v>41953</v>
      </c>
      <c r="G628" s="903">
        <v>42647.0</v>
      </c>
      <c r="H628" s="904">
        <v>42642.0</v>
      </c>
      <c r="I628" s="7">
        <v>68289.0</v>
      </c>
      <c r="J628" s="905" t="s">
        <v>41954</v>
      </c>
      <c r="K628" s="7" t="s">
        <v>41955</v>
      </c>
    </row>
    <row r="629">
      <c r="A629" s="202">
        <v>13742.0</v>
      </c>
      <c r="B629" s="7" t="s">
        <v>41956</v>
      </c>
      <c r="C629" s="7" t="s">
        <v>41957</v>
      </c>
      <c r="D629" s="7">
        <v>70594.0</v>
      </c>
      <c r="E629" s="902" t="s">
        <v>41958</v>
      </c>
      <c r="F629" s="902" t="s">
        <v>41959</v>
      </c>
      <c r="G629" s="906">
        <v>42655.0</v>
      </c>
      <c r="H629" s="904">
        <v>42650.0</v>
      </c>
      <c r="I629" s="7">
        <v>70593.0</v>
      </c>
      <c r="J629" s="905" t="s">
        <v>41960</v>
      </c>
      <c r="K629" s="7" t="s">
        <v>41961</v>
      </c>
    </row>
    <row r="630">
      <c r="A630" s="202">
        <v>13743.0</v>
      </c>
      <c r="B630" s="7" t="s">
        <v>41962</v>
      </c>
      <c r="C630" s="7" t="s">
        <v>41963</v>
      </c>
      <c r="D630" s="7">
        <v>71572.0</v>
      </c>
      <c r="E630" s="902" t="s">
        <v>41964</v>
      </c>
      <c r="F630" s="902" t="s">
        <v>41965</v>
      </c>
      <c r="G630" s="906">
        <v>42661.0</v>
      </c>
      <c r="H630" s="904">
        <v>42656.0</v>
      </c>
      <c r="I630" s="7">
        <v>71571.0</v>
      </c>
      <c r="J630" s="905" t="s">
        <v>41966</v>
      </c>
      <c r="K630" s="7" t="s">
        <v>41967</v>
      </c>
    </row>
    <row r="631">
      <c r="A631" s="202">
        <v>13744.0</v>
      </c>
      <c r="B631" s="7" t="s">
        <v>41968</v>
      </c>
      <c r="C631" s="7" t="s">
        <v>41969</v>
      </c>
      <c r="D631" s="7">
        <v>71577.0</v>
      </c>
      <c r="E631" s="902" t="s">
        <v>41970</v>
      </c>
      <c r="F631" s="902" t="s">
        <v>41971</v>
      </c>
      <c r="G631" s="906">
        <v>42661.0</v>
      </c>
      <c r="H631" s="904">
        <v>42656.0</v>
      </c>
      <c r="I631" s="7">
        <v>71573.0</v>
      </c>
      <c r="J631" s="905" t="s">
        <v>41972</v>
      </c>
      <c r="K631" s="7" t="s">
        <v>41973</v>
      </c>
    </row>
    <row r="632">
      <c r="A632" s="202">
        <v>13745.0</v>
      </c>
      <c r="B632" s="7" t="s">
        <v>41974</v>
      </c>
      <c r="C632" s="7" t="s">
        <v>41975</v>
      </c>
      <c r="D632" s="7">
        <v>76493.0</v>
      </c>
      <c r="E632" s="902" t="s">
        <v>41976</v>
      </c>
      <c r="F632" s="902" t="s">
        <v>41977</v>
      </c>
      <c r="G632" s="903">
        <v>42677.0</v>
      </c>
      <c r="H632" s="904">
        <v>42674.0</v>
      </c>
      <c r="I632" s="7">
        <v>76493.0</v>
      </c>
      <c r="J632" s="905" t="s">
        <v>41978</v>
      </c>
    </row>
    <row r="633">
      <c r="A633" s="202">
        <v>13746.0</v>
      </c>
      <c r="B633" s="7" t="s">
        <v>41979</v>
      </c>
      <c r="C633" s="7" t="s">
        <v>41980</v>
      </c>
      <c r="D633" s="7">
        <v>78700.0</v>
      </c>
      <c r="E633" s="902" t="s">
        <v>41981</v>
      </c>
      <c r="F633" s="902" t="s">
        <v>41982</v>
      </c>
      <c r="G633" s="903">
        <v>42682.0</v>
      </c>
      <c r="H633" s="904">
        <v>42677.0</v>
      </c>
      <c r="I633" s="7">
        <v>78697.0</v>
      </c>
      <c r="J633" s="905" t="s">
        <v>41983</v>
      </c>
    </row>
    <row r="634">
      <c r="A634" s="202">
        <v>13747.0</v>
      </c>
      <c r="B634" s="7" t="s">
        <v>41984</v>
      </c>
      <c r="C634" s="7" t="s">
        <v>41985</v>
      </c>
      <c r="D634" s="7">
        <v>78706.0</v>
      </c>
      <c r="E634" s="902" t="s">
        <v>41986</v>
      </c>
      <c r="F634" s="902" t="s">
        <v>41987</v>
      </c>
      <c r="G634" s="903">
        <v>42683.0</v>
      </c>
      <c r="H634" s="904">
        <v>42678.0</v>
      </c>
      <c r="I634" s="7">
        <v>78701.0</v>
      </c>
      <c r="J634" s="905" t="s">
        <v>41988</v>
      </c>
    </row>
    <row r="635">
      <c r="A635" s="202">
        <v>13748.0</v>
      </c>
      <c r="B635" s="7" t="s">
        <v>41989</v>
      </c>
      <c r="C635" s="7" t="s">
        <v>41990</v>
      </c>
      <c r="D635" s="7">
        <v>83622.0</v>
      </c>
      <c r="E635" s="902" t="s">
        <v>41991</v>
      </c>
      <c r="F635" s="902" t="s">
        <v>41992</v>
      </c>
      <c r="G635" s="906">
        <v>42695.0</v>
      </c>
      <c r="H635" s="904">
        <v>42690.0</v>
      </c>
      <c r="I635" s="7">
        <v>83619.0</v>
      </c>
      <c r="J635" s="905" t="s">
        <v>41993</v>
      </c>
      <c r="K635" s="7" t="s">
        <v>41994</v>
      </c>
    </row>
    <row r="636">
      <c r="A636" s="202">
        <v>13749.0</v>
      </c>
      <c r="B636" s="7" t="s">
        <v>41995</v>
      </c>
      <c r="C636" s="7" t="s">
        <v>41996</v>
      </c>
      <c r="D636" s="7">
        <v>87392.0</v>
      </c>
      <c r="E636" s="902" t="s">
        <v>41997</v>
      </c>
      <c r="F636" s="902" t="s">
        <v>41998</v>
      </c>
      <c r="G636" s="903">
        <v>42706.0</v>
      </c>
      <c r="H636" s="904">
        <v>42703.0</v>
      </c>
      <c r="I636" s="7">
        <v>87391.0</v>
      </c>
      <c r="J636" s="905" t="s">
        <v>41999</v>
      </c>
      <c r="K636" s="7" t="s">
        <v>42000</v>
      </c>
    </row>
    <row r="637">
      <c r="A637" s="202">
        <v>13750.0</v>
      </c>
      <c r="B637" s="7" t="s">
        <v>42001</v>
      </c>
      <c r="C637" s="7" t="s">
        <v>42002</v>
      </c>
      <c r="D637" s="7">
        <v>87394.0</v>
      </c>
      <c r="E637" s="902" t="s">
        <v>42003</v>
      </c>
      <c r="F637" s="902" t="s">
        <v>42004</v>
      </c>
      <c r="G637" s="903">
        <v>42706.0</v>
      </c>
      <c r="H637" s="904">
        <v>42703.0</v>
      </c>
      <c r="I637" s="7">
        <v>87393.0</v>
      </c>
      <c r="J637" s="905" t="s">
        <v>42005</v>
      </c>
    </row>
    <row r="638">
      <c r="A638" s="202">
        <v>13751.0</v>
      </c>
      <c r="B638" s="7" t="s">
        <v>42006</v>
      </c>
      <c r="C638" s="7" t="s">
        <v>42007</v>
      </c>
      <c r="D638" s="7">
        <v>88614.0</v>
      </c>
      <c r="E638" s="902" t="s">
        <v>42008</v>
      </c>
      <c r="F638" s="902" t="s">
        <v>42009</v>
      </c>
      <c r="G638" s="903">
        <v>42712.0</v>
      </c>
      <c r="H638" s="904">
        <v>42709.0</v>
      </c>
      <c r="I638" s="7">
        <v>88609.0</v>
      </c>
      <c r="J638" s="905" t="s">
        <v>42010</v>
      </c>
      <c r="K638" s="7" t="s">
        <v>42011</v>
      </c>
    </row>
    <row r="639">
      <c r="A639" s="202">
        <v>13752.0</v>
      </c>
      <c r="B639" s="7" t="s">
        <v>42012</v>
      </c>
      <c r="C639" s="7" t="s">
        <v>42013</v>
      </c>
      <c r="D639" s="7">
        <v>90182.0</v>
      </c>
      <c r="E639" s="902" t="s">
        <v>42014</v>
      </c>
      <c r="F639" s="902" t="s">
        <v>42015</v>
      </c>
      <c r="G639" s="906">
        <v>42717.0</v>
      </c>
      <c r="H639" s="904">
        <v>42712.0</v>
      </c>
      <c r="I639" s="7">
        <v>90181.0</v>
      </c>
      <c r="J639" s="905" t="s">
        <v>42016</v>
      </c>
    </row>
    <row r="640">
      <c r="A640" s="202">
        <v>13753.0</v>
      </c>
      <c r="B640" s="7" t="s">
        <v>42017</v>
      </c>
      <c r="C640" s="7" t="s">
        <v>42018</v>
      </c>
      <c r="D640" s="7">
        <v>90668.0</v>
      </c>
      <c r="E640" s="902" t="s">
        <v>42019</v>
      </c>
      <c r="F640" s="902" t="s">
        <v>42020</v>
      </c>
      <c r="G640" s="906">
        <v>42718.0</v>
      </c>
      <c r="H640" s="904">
        <v>42713.0</v>
      </c>
      <c r="I640" s="7">
        <v>90667.0</v>
      </c>
      <c r="J640" s="905" t="s">
        <v>40318</v>
      </c>
      <c r="K640" s="7" t="s">
        <v>42021</v>
      </c>
    </row>
    <row r="641">
      <c r="A641" s="202">
        <v>13754.0</v>
      </c>
      <c r="B641" s="7" t="s">
        <v>42022</v>
      </c>
      <c r="C641" s="7" t="s">
        <v>42023</v>
      </c>
      <c r="D641" s="7">
        <v>90674.0</v>
      </c>
      <c r="E641" s="902" t="s">
        <v>42024</v>
      </c>
      <c r="F641" s="902" t="s">
        <v>42025</v>
      </c>
      <c r="G641" s="906">
        <v>42718.0</v>
      </c>
      <c r="H641" s="904">
        <v>42713.0</v>
      </c>
      <c r="I641" s="7">
        <v>90669.0</v>
      </c>
      <c r="J641" s="905" t="s">
        <v>42026</v>
      </c>
      <c r="K641" s="7" t="s">
        <v>42027</v>
      </c>
    </row>
    <row r="642">
      <c r="A642" s="202">
        <v>13755.0</v>
      </c>
      <c r="B642" s="7" t="s">
        <v>42028</v>
      </c>
      <c r="C642" s="7" t="s">
        <v>42029</v>
      </c>
      <c r="D642" s="7">
        <v>96330.0</v>
      </c>
      <c r="E642" s="902" t="s">
        <v>42030</v>
      </c>
      <c r="F642" s="902" t="s">
        <v>42031</v>
      </c>
      <c r="G642" s="906">
        <v>42734.0</v>
      </c>
      <c r="H642" s="904">
        <v>42727.0</v>
      </c>
      <c r="I642" s="7">
        <v>96329.0</v>
      </c>
      <c r="J642" s="905" t="s">
        <v>39275</v>
      </c>
    </row>
    <row r="643">
      <c r="A643" s="202">
        <v>13756.0</v>
      </c>
      <c r="B643" s="7" t="s">
        <v>42032</v>
      </c>
      <c r="C643" s="7" t="s">
        <v>42033</v>
      </c>
      <c r="D643" s="7">
        <v>97110.0</v>
      </c>
      <c r="E643" s="902" t="s">
        <v>42034</v>
      </c>
      <c r="F643" s="902" t="s">
        <v>42035</v>
      </c>
      <c r="G643" s="906">
        <v>42734.0</v>
      </c>
      <c r="H643" s="904">
        <v>42731.0</v>
      </c>
      <c r="I643" s="7">
        <v>97099.0</v>
      </c>
      <c r="J643" s="905" t="s">
        <v>38718</v>
      </c>
      <c r="K643" s="7" t="s">
        <v>42036</v>
      </c>
    </row>
    <row r="644">
      <c r="A644" s="202">
        <v>13757.0</v>
      </c>
      <c r="B644" s="7" t="s">
        <v>42037</v>
      </c>
      <c r="C644" s="7" t="s">
        <v>42038</v>
      </c>
      <c r="D644" s="7">
        <v>3.0</v>
      </c>
      <c r="E644" s="902" t="s">
        <v>42039</v>
      </c>
      <c r="F644" s="902" t="s">
        <v>42040</v>
      </c>
      <c r="G644" s="903">
        <v>42738.0</v>
      </c>
      <c r="H644" s="904">
        <v>42732.0</v>
      </c>
      <c r="I644" s="7">
        <v>1.0</v>
      </c>
      <c r="J644" s="905" t="s">
        <v>42041</v>
      </c>
      <c r="K644" s="7" t="s">
        <v>42042</v>
      </c>
    </row>
    <row r="645">
      <c r="A645" s="202">
        <v>13758.0</v>
      </c>
      <c r="B645" s="7" t="s">
        <v>42043</v>
      </c>
      <c r="C645" s="7" t="s">
        <v>42044</v>
      </c>
      <c r="D645" s="7">
        <v>5322.0</v>
      </c>
      <c r="E645" s="902" t="s">
        <v>42045</v>
      </c>
      <c r="F645" s="902" t="s">
        <v>42046</v>
      </c>
      <c r="G645" s="903">
        <v>42752.0</v>
      </c>
      <c r="H645" s="904">
        <v>42747.0</v>
      </c>
      <c r="I645" s="7">
        <v>5321.0</v>
      </c>
      <c r="J645" s="905" t="s">
        <v>42047</v>
      </c>
      <c r="K645" s="7" t="s">
        <v>42048</v>
      </c>
    </row>
    <row r="646">
      <c r="A646" s="202">
        <v>13759.0</v>
      </c>
      <c r="B646" s="7" t="s">
        <v>42049</v>
      </c>
      <c r="C646" s="7" t="s">
        <v>42050</v>
      </c>
      <c r="D646" s="7">
        <v>5324.0</v>
      </c>
      <c r="E646" s="902" t="s">
        <v>42051</v>
      </c>
      <c r="F646" s="902" t="s">
        <v>42052</v>
      </c>
      <c r="G646" s="903">
        <v>42752.0</v>
      </c>
      <c r="H646" s="904">
        <v>42747.0</v>
      </c>
      <c r="I646" s="7">
        <v>5323.0</v>
      </c>
      <c r="J646" s="905" t="s">
        <v>42053</v>
      </c>
    </row>
    <row r="647">
      <c r="A647" s="202">
        <v>13760.0</v>
      </c>
      <c r="B647" s="7" t="s">
        <v>42054</v>
      </c>
      <c r="C647" s="7" t="s">
        <v>42055</v>
      </c>
      <c r="D647" s="7">
        <v>5329.0</v>
      </c>
      <c r="E647" s="902" t="s">
        <v>42056</v>
      </c>
      <c r="F647" s="902" t="s">
        <v>42057</v>
      </c>
      <c r="G647" s="903">
        <v>42752.0</v>
      </c>
      <c r="H647" s="904">
        <v>42747.0</v>
      </c>
      <c r="I647" s="7">
        <v>5325.0</v>
      </c>
      <c r="J647" s="905" t="s">
        <v>39315</v>
      </c>
      <c r="K647" s="7" t="s">
        <v>39316</v>
      </c>
    </row>
    <row r="648">
      <c r="A648" s="202">
        <v>13761.0</v>
      </c>
      <c r="B648" s="7" t="s">
        <v>42058</v>
      </c>
      <c r="C648" s="7" t="s">
        <v>42059</v>
      </c>
      <c r="D648" s="7">
        <v>5333.0</v>
      </c>
      <c r="E648" s="902" t="s">
        <v>42060</v>
      </c>
      <c r="F648" s="902" t="s">
        <v>42061</v>
      </c>
      <c r="G648" s="903">
        <v>42753.0</v>
      </c>
      <c r="H648" s="904">
        <v>42748.0</v>
      </c>
      <c r="I648" s="7">
        <v>5331.0</v>
      </c>
      <c r="J648" s="905" t="s">
        <v>42062</v>
      </c>
      <c r="K648" s="7" t="s">
        <v>42063</v>
      </c>
    </row>
    <row r="649">
      <c r="A649" s="202">
        <v>13762.0</v>
      </c>
      <c r="B649" s="7" t="s">
        <v>42064</v>
      </c>
      <c r="C649" s="7" t="s">
        <v>42065</v>
      </c>
      <c r="D649" s="7">
        <v>7620.0</v>
      </c>
      <c r="E649" s="902" t="s">
        <v>42066</v>
      </c>
      <c r="F649" s="902" t="s">
        <v>42067</v>
      </c>
      <c r="G649" s="903">
        <v>42754.0</v>
      </c>
      <c r="H649" s="904">
        <v>42748.0</v>
      </c>
      <c r="I649" s="7">
        <v>7619.0</v>
      </c>
      <c r="J649" s="905" t="s">
        <v>40944</v>
      </c>
      <c r="K649" s="7" t="s">
        <v>42068</v>
      </c>
    </row>
    <row r="650">
      <c r="A650" s="202">
        <v>13763.0</v>
      </c>
      <c r="B650" s="7" t="s">
        <v>42069</v>
      </c>
      <c r="C650" s="7" t="s">
        <v>42070</v>
      </c>
      <c r="D650" s="7">
        <v>7622.0</v>
      </c>
      <c r="E650" s="902" t="s">
        <v>42071</v>
      </c>
      <c r="F650" s="902" t="s">
        <v>42072</v>
      </c>
      <c r="G650" s="903">
        <v>42754.0</v>
      </c>
      <c r="H650" s="904">
        <v>42748.0</v>
      </c>
      <c r="I650" s="7">
        <v>7621.0</v>
      </c>
      <c r="J650" s="905" t="s">
        <v>41261</v>
      </c>
      <c r="K650" s="7" t="s">
        <v>42073</v>
      </c>
    </row>
    <row r="651">
      <c r="A651" s="202">
        <v>13764.0</v>
      </c>
      <c r="B651" s="7" t="s">
        <v>42074</v>
      </c>
      <c r="C651" s="7" t="s">
        <v>42075</v>
      </c>
      <c r="D651" s="7">
        <v>8129.0</v>
      </c>
      <c r="E651" s="902" t="s">
        <v>42076</v>
      </c>
      <c r="F651" s="902" t="s">
        <v>42077</v>
      </c>
      <c r="G651" s="903">
        <v>42758.0</v>
      </c>
      <c r="H651" s="904">
        <v>42752.0</v>
      </c>
      <c r="I651" s="7">
        <v>8115.0</v>
      </c>
      <c r="J651" s="905" t="s">
        <v>42078</v>
      </c>
      <c r="K651" s="7" t="s">
        <v>42079</v>
      </c>
    </row>
    <row r="652">
      <c r="A652" s="202">
        <v>13765.0</v>
      </c>
      <c r="B652" s="7" t="s">
        <v>42080</v>
      </c>
      <c r="C652" s="7" t="s">
        <v>42081</v>
      </c>
      <c r="D652" s="7">
        <v>8352.0</v>
      </c>
      <c r="E652" s="902" t="s">
        <v>42082</v>
      </c>
      <c r="F652" s="902" t="s">
        <v>42083</v>
      </c>
      <c r="G652" s="903">
        <v>42759.0</v>
      </c>
      <c r="H652" s="904">
        <v>42755.0</v>
      </c>
      <c r="I652" s="7">
        <v>8351.0</v>
      </c>
      <c r="J652" s="905" t="s">
        <v>42084</v>
      </c>
      <c r="K652" s="7" t="s">
        <v>42085</v>
      </c>
    </row>
    <row r="653">
      <c r="A653" s="202">
        <v>13766.0</v>
      </c>
      <c r="B653" s="7" t="s">
        <v>42086</v>
      </c>
      <c r="C653" s="7" t="s">
        <v>42087</v>
      </c>
      <c r="D653" s="7">
        <v>8658.0</v>
      </c>
      <c r="E653" s="902" t="s">
        <v>42088</v>
      </c>
      <c r="F653" s="902" t="s">
        <v>42089</v>
      </c>
      <c r="G653" s="903">
        <v>42765.0</v>
      </c>
      <c r="H653" s="904">
        <v>42759.0</v>
      </c>
      <c r="I653" s="7">
        <v>8657.0</v>
      </c>
      <c r="J653" s="905" t="s">
        <v>42090</v>
      </c>
      <c r="K653" s="7" t="s">
        <v>42091</v>
      </c>
    </row>
    <row r="654">
      <c r="A654" s="202">
        <v>13767.0</v>
      </c>
      <c r="B654" s="7" t="s">
        <v>42092</v>
      </c>
      <c r="C654" s="7" t="s">
        <v>42093</v>
      </c>
      <c r="D654" s="7">
        <v>8797.0</v>
      </c>
      <c r="E654" s="902" t="s">
        <v>42094</v>
      </c>
      <c r="F654" s="902" t="s">
        <v>42095</v>
      </c>
      <c r="G654" s="903">
        <v>42765.0</v>
      </c>
      <c r="H654" s="904">
        <v>42760.0</v>
      </c>
      <c r="I654" s="7">
        <v>8793.0</v>
      </c>
      <c r="J654" s="905" t="s">
        <v>42096</v>
      </c>
      <c r="K654" s="7" t="s">
        <v>42097</v>
      </c>
    </row>
    <row r="655">
      <c r="A655" s="202">
        <v>13768.0</v>
      </c>
      <c r="B655" s="7" t="s">
        <v>42098</v>
      </c>
      <c r="C655" s="7" t="s">
        <v>42099</v>
      </c>
      <c r="D655" s="7">
        <v>8803.0</v>
      </c>
      <c r="E655" s="902" t="s">
        <v>42100</v>
      </c>
      <c r="F655" s="902" t="s">
        <v>42101</v>
      </c>
      <c r="G655" s="903">
        <v>42765.0</v>
      </c>
      <c r="H655" s="904">
        <v>42760.0</v>
      </c>
      <c r="I655" s="7">
        <v>8799.0</v>
      </c>
      <c r="J655" s="905" t="s">
        <v>42102</v>
      </c>
      <c r="K655" s="7" t="s">
        <v>42103</v>
      </c>
    </row>
    <row r="656">
      <c r="A656" s="202">
        <v>13769.0</v>
      </c>
      <c r="B656" s="7" t="s">
        <v>42104</v>
      </c>
      <c r="C656" s="7" t="s">
        <v>42105</v>
      </c>
      <c r="D656" s="7">
        <v>8982.0</v>
      </c>
      <c r="E656" s="902" t="s">
        <v>42106</v>
      </c>
      <c r="F656" s="902" t="s">
        <v>42107</v>
      </c>
      <c r="G656" s="903">
        <v>42767.0</v>
      </c>
      <c r="H656" s="904">
        <v>42762.0</v>
      </c>
      <c r="I656" s="7">
        <v>8977.0</v>
      </c>
      <c r="J656" s="905" t="s">
        <v>42108</v>
      </c>
      <c r="K656" s="7" t="s">
        <v>42109</v>
      </c>
    </row>
    <row r="657">
      <c r="A657" s="202">
        <v>13770.0</v>
      </c>
      <c r="B657" s="7" t="s">
        <v>42110</v>
      </c>
      <c r="C657" s="7" t="s">
        <v>42111</v>
      </c>
      <c r="D657" s="7">
        <v>9338.0</v>
      </c>
      <c r="E657" s="902" t="s">
        <v>42112</v>
      </c>
      <c r="F657" s="902" t="s">
        <v>42113</v>
      </c>
      <c r="G657" s="903">
        <v>42769.0</v>
      </c>
      <c r="H657" s="904">
        <v>42763.0</v>
      </c>
      <c r="I657" s="7">
        <v>9333.0</v>
      </c>
      <c r="J657" s="905" t="s">
        <v>42114</v>
      </c>
      <c r="K657" s="7" t="s">
        <v>42115</v>
      </c>
    </row>
    <row r="658">
      <c r="A658" s="202">
        <v>13771.0</v>
      </c>
      <c r="B658" s="7" t="s">
        <v>42116</v>
      </c>
      <c r="C658" s="7" t="s">
        <v>42117</v>
      </c>
      <c r="D658" s="7">
        <v>9341.0</v>
      </c>
      <c r="E658" s="902" t="s">
        <v>42118</v>
      </c>
      <c r="F658" s="902" t="s">
        <v>42119</v>
      </c>
      <c r="G658" s="903">
        <v>42769.0</v>
      </c>
      <c r="H658" s="904">
        <v>42765.0</v>
      </c>
      <c r="I658" s="7">
        <v>9339.0</v>
      </c>
      <c r="J658" s="905" t="s">
        <v>42120</v>
      </c>
      <c r="K658" s="7" t="s">
        <v>42121</v>
      </c>
    </row>
    <row r="659">
      <c r="A659" s="202">
        <v>13772.0</v>
      </c>
      <c r="B659" s="7" t="s">
        <v>42122</v>
      </c>
      <c r="C659" s="7" t="s">
        <v>42123</v>
      </c>
      <c r="D659" s="7">
        <v>9966.0</v>
      </c>
      <c r="E659" s="902" t="s">
        <v>42124</v>
      </c>
      <c r="F659" s="902" t="s">
        <v>42125</v>
      </c>
      <c r="G659" s="903">
        <v>42774.0</v>
      </c>
      <c r="H659" s="904">
        <v>42769.0</v>
      </c>
      <c r="I659" s="7">
        <v>9965.0</v>
      </c>
      <c r="J659" s="905" t="s">
        <v>42126</v>
      </c>
      <c r="K659" s="7" t="s">
        <v>42127</v>
      </c>
    </row>
    <row r="660">
      <c r="A660" s="202">
        <v>13773.0</v>
      </c>
      <c r="B660" s="7" t="s">
        <v>42128</v>
      </c>
      <c r="C660" s="7" t="s">
        <v>42129</v>
      </c>
      <c r="D660" s="7">
        <v>10693.0</v>
      </c>
      <c r="E660" s="902" t="s">
        <v>42130</v>
      </c>
      <c r="F660" s="902" t="s">
        <v>42131</v>
      </c>
      <c r="G660" s="903">
        <v>42780.0</v>
      </c>
      <c r="H660" s="904">
        <v>42775.0</v>
      </c>
      <c r="I660" s="7">
        <v>10691.0</v>
      </c>
      <c r="J660" s="905" t="s">
        <v>42132</v>
      </c>
    </row>
    <row r="661">
      <c r="A661" s="202">
        <v>13774.0</v>
      </c>
      <c r="B661" s="7" t="s">
        <v>42133</v>
      </c>
      <c r="C661" s="7" t="s">
        <v>42134</v>
      </c>
      <c r="D661" s="7">
        <v>10696.0</v>
      </c>
      <c r="E661" s="902" t="s">
        <v>42135</v>
      </c>
      <c r="F661" s="902" t="s">
        <v>42136</v>
      </c>
      <c r="G661" s="903">
        <v>42780.0</v>
      </c>
      <c r="H661" s="904">
        <v>42775.0</v>
      </c>
      <c r="I661" s="7">
        <v>10695.0</v>
      </c>
      <c r="J661" s="905" t="s">
        <v>42137</v>
      </c>
    </row>
    <row r="662">
      <c r="A662" s="202">
        <v>13775.0</v>
      </c>
      <c r="B662" s="7" t="s">
        <v>42138</v>
      </c>
      <c r="C662" s="7" t="s">
        <v>42139</v>
      </c>
      <c r="D662" s="7">
        <v>10698.0</v>
      </c>
      <c r="E662" s="902" t="s">
        <v>42140</v>
      </c>
      <c r="F662" s="902" t="s">
        <v>42141</v>
      </c>
      <c r="G662" s="903">
        <v>42780.0</v>
      </c>
      <c r="H662" s="904">
        <v>42775.0</v>
      </c>
      <c r="I662" s="7">
        <v>10697.0</v>
      </c>
      <c r="J662" s="905" t="s">
        <v>40944</v>
      </c>
      <c r="K662" s="7" t="s">
        <v>42142</v>
      </c>
    </row>
    <row r="663">
      <c r="A663" s="202">
        <v>13776.0</v>
      </c>
      <c r="B663" s="7" t="s">
        <v>42143</v>
      </c>
      <c r="C663" s="7" t="s">
        <v>42144</v>
      </c>
      <c r="D663" s="7">
        <v>10700.0</v>
      </c>
      <c r="E663" s="902" t="s">
        <v>42145</v>
      </c>
      <c r="F663" s="902" t="s">
        <v>42146</v>
      </c>
      <c r="G663" s="903">
        <v>42780.0</v>
      </c>
      <c r="H663" s="904">
        <v>42775.0</v>
      </c>
      <c r="I663" s="7">
        <v>10699.0</v>
      </c>
      <c r="J663" s="905" t="s">
        <v>42147</v>
      </c>
    </row>
    <row r="664">
      <c r="A664" s="202">
        <v>13777.0</v>
      </c>
      <c r="B664" s="7" t="s">
        <v>42148</v>
      </c>
      <c r="C664" s="7" t="s">
        <v>42149</v>
      </c>
      <c r="D664" s="7">
        <v>12287.0</v>
      </c>
      <c r="E664" s="902" t="s">
        <v>42150</v>
      </c>
      <c r="F664" s="902" t="s">
        <v>42151</v>
      </c>
      <c r="G664" s="903">
        <v>42795.0</v>
      </c>
      <c r="H664" s="904">
        <v>42790.0</v>
      </c>
      <c r="I664" s="7">
        <v>12285.0</v>
      </c>
      <c r="J664" s="905" t="s">
        <v>42152</v>
      </c>
      <c r="K664" s="7" t="s">
        <v>42153</v>
      </c>
    </row>
    <row r="665">
      <c r="A665" s="202">
        <v>13778.0</v>
      </c>
      <c r="B665" s="7" t="s">
        <v>42154</v>
      </c>
      <c r="C665" s="7" t="s">
        <v>42155</v>
      </c>
      <c r="D665" s="7">
        <v>12498.0</v>
      </c>
      <c r="E665" s="902" t="s">
        <v>42156</v>
      </c>
      <c r="F665" s="902" t="s">
        <v>42157</v>
      </c>
      <c r="G665" s="903">
        <v>42797.0</v>
      </c>
      <c r="H665" s="904">
        <v>42794.0</v>
      </c>
      <c r="I665" s="7">
        <v>12497.0</v>
      </c>
      <c r="J665" s="905" t="s">
        <v>42158</v>
      </c>
      <c r="K665" s="7" t="s">
        <v>42159</v>
      </c>
    </row>
    <row r="666">
      <c r="A666" s="202">
        <v>13779.0</v>
      </c>
      <c r="B666" s="7" t="s">
        <v>42160</v>
      </c>
      <c r="C666" s="7" t="s">
        <v>42161</v>
      </c>
      <c r="D666" s="7">
        <v>12502.0</v>
      </c>
      <c r="E666" s="902" t="s">
        <v>42162</v>
      </c>
      <c r="F666" s="902" t="s">
        <v>42163</v>
      </c>
      <c r="G666" s="903">
        <v>42797.0</v>
      </c>
      <c r="H666" s="904">
        <v>42794.0</v>
      </c>
      <c r="I666" s="7">
        <v>12499.0</v>
      </c>
      <c r="J666" s="905" t="s">
        <v>42164</v>
      </c>
      <c r="K666" s="7" t="s">
        <v>42165</v>
      </c>
    </row>
    <row r="667">
      <c r="A667" s="202">
        <v>13780.0</v>
      </c>
      <c r="B667" s="7" t="s">
        <v>42166</v>
      </c>
      <c r="C667" s="7" t="s">
        <v>42167</v>
      </c>
      <c r="D667" s="7">
        <v>13219.0</v>
      </c>
      <c r="E667" s="902" t="s">
        <v>42168</v>
      </c>
      <c r="F667" s="902" t="s">
        <v>42169</v>
      </c>
      <c r="G667" s="903">
        <v>42803.0</v>
      </c>
      <c r="H667" s="904">
        <v>42800.0</v>
      </c>
      <c r="I667" s="7">
        <v>13209.0</v>
      </c>
      <c r="J667" s="905" t="s">
        <v>42108</v>
      </c>
      <c r="K667" s="7" t="s">
        <v>42170</v>
      </c>
    </row>
    <row r="668">
      <c r="A668" s="202">
        <v>13781.0</v>
      </c>
      <c r="B668" s="7" t="s">
        <v>42171</v>
      </c>
      <c r="C668" s="7" t="s">
        <v>42172</v>
      </c>
      <c r="D668" s="7">
        <v>13960.0</v>
      </c>
      <c r="E668" s="902" t="s">
        <v>42173</v>
      </c>
      <c r="F668" s="902" t="s">
        <v>42174</v>
      </c>
      <c r="G668" s="903">
        <v>42810.0</v>
      </c>
      <c r="H668" s="904">
        <v>42807.0</v>
      </c>
      <c r="I668" s="7">
        <v>13959.0</v>
      </c>
      <c r="J668" s="905" t="s">
        <v>42175</v>
      </c>
      <c r="K668" s="7" t="s">
        <v>42176</v>
      </c>
    </row>
    <row r="669">
      <c r="A669" s="202">
        <v>13782.0</v>
      </c>
      <c r="B669" s="7" t="s">
        <v>42177</v>
      </c>
      <c r="C669" s="7" t="s">
        <v>42178</v>
      </c>
      <c r="D669" s="7">
        <v>15607.0</v>
      </c>
      <c r="E669" s="902" t="s">
        <v>42179</v>
      </c>
      <c r="F669" s="902" t="s">
        <v>42180</v>
      </c>
      <c r="G669" s="903">
        <v>42824.0</v>
      </c>
      <c r="H669" s="904">
        <v>42821.0</v>
      </c>
      <c r="I669" s="7">
        <v>15607.0</v>
      </c>
      <c r="J669" s="905" t="s">
        <v>42181</v>
      </c>
      <c r="K669" s="7" t="s">
        <v>42182</v>
      </c>
    </row>
    <row r="670">
      <c r="A670" s="202">
        <v>13783.0</v>
      </c>
      <c r="B670" s="7" t="s">
        <v>42183</v>
      </c>
      <c r="C670" s="7" t="s">
        <v>42184</v>
      </c>
      <c r="D670" s="7">
        <v>16097.0</v>
      </c>
      <c r="E670" s="902" t="s">
        <v>42185</v>
      </c>
      <c r="F670" s="902" t="s">
        <v>42186</v>
      </c>
      <c r="G670" s="903">
        <v>42825.0</v>
      </c>
      <c r="H670" s="904">
        <v>42822.0</v>
      </c>
      <c r="I670" s="7">
        <v>16093.0</v>
      </c>
      <c r="J670" s="905" t="s">
        <v>42187</v>
      </c>
      <c r="K670" s="7" t="s">
        <v>42188</v>
      </c>
    </row>
    <row r="671">
      <c r="A671" s="202">
        <v>13784.0</v>
      </c>
      <c r="B671" s="7" t="s">
        <v>42189</v>
      </c>
      <c r="C671" s="7" t="s">
        <v>42190</v>
      </c>
      <c r="D671" s="7">
        <v>16285.0</v>
      </c>
      <c r="E671" s="902" t="s">
        <v>42191</v>
      </c>
      <c r="F671" s="902" t="s">
        <v>42192</v>
      </c>
      <c r="G671" s="903">
        <v>42828.0</v>
      </c>
      <c r="H671" s="904">
        <v>42823.0</v>
      </c>
      <c r="I671" s="7">
        <v>16283.0</v>
      </c>
      <c r="J671" s="905" t="s">
        <v>42193</v>
      </c>
    </row>
    <row r="672">
      <c r="A672" s="202">
        <v>13785.0</v>
      </c>
      <c r="B672" s="7" t="s">
        <v>42194</v>
      </c>
      <c r="C672" s="7" t="s">
        <v>42195</v>
      </c>
      <c r="D672" s="7">
        <v>16720.0</v>
      </c>
      <c r="E672" s="902" t="s">
        <v>42196</v>
      </c>
      <c r="F672" s="902" t="s">
        <v>42197</v>
      </c>
      <c r="G672" s="903">
        <v>42830.0</v>
      </c>
      <c r="H672" s="904">
        <v>42825.0</v>
      </c>
      <c r="I672" s="7">
        <v>16719.0</v>
      </c>
      <c r="J672" s="905" t="s">
        <v>42198</v>
      </c>
    </row>
    <row r="673">
      <c r="A673" s="202">
        <v>13786.0</v>
      </c>
      <c r="B673" s="7" t="s">
        <v>42199</v>
      </c>
      <c r="C673" s="7" t="s">
        <v>42200</v>
      </c>
      <c r="D673" s="7">
        <v>16722.0</v>
      </c>
      <c r="E673" s="902" t="s">
        <v>42201</v>
      </c>
      <c r="F673" s="902" t="s">
        <v>42202</v>
      </c>
      <c r="G673" s="903">
        <v>42830.0</v>
      </c>
      <c r="H673" s="904">
        <v>42825.0</v>
      </c>
      <c r="I673" s="7">
        <v>16721.0</v>
      </c>
      <c r="J673" s="905" t="s">
        <v>42203</v>
      </c>
    </row>
    <row r="674">
      <c r="A674" s="202">
        <v>13787.0</v>
      </c>
      <c r="B674" s="7" t="s">
        <v>42204</v>
      </c>
      <c r="C674" s="7" t="s">
        <v>42205</v>
      </c>
      <c r="D674" s="7">
        <v>16724.0</v>
      </c>
      <c r="E674" s="902" t="s">
        <v>42206</v>
      </c>
      <c r="F674" s="902" t="s">
        <v>42207</v>
      </c>
      <c r="G674" s="903">
        <v>42830.0</v>
      </c>
      <c r="H674" s="904">
        <v>42825.0</v>
      </c>
      <c r="I674" s="7">
        <v>16723.0</v>
      </c>
      <c r="J674" s="905" t="s">
        <v>40944</v>
      </c>
      <c r="K674" s="7" t="s">
        <v>42208</v>
      </c>
    </row>
    <row r="675">
      <c r="A675" s="202">
        <v>13788.0</v>
      </c>
      <c r="B675" s="7" t="s">
        <v>42209</v>
      </c>
      <c r="C675" s="7" t="s">
        <v>42210</v>
      </c>
      <c r="D675" s="7">
        <v>18839.0</v>
      </c>
      <c r="E675" s="902" t="s">
        <v>42211</v>
      </c>
      <c r="F675" s="902" t="s">
        <v>42212</v>
      </c>
      <c r="G675" s="903">
        <v>42846.0</v>
      </c>
      <c r="H675" s="904">
        <v>42843.0</v>
      </c>
      <c r="I675" s="7">
        <v>18837.0</v>
      </c>
      <c r="J675" s="905" t="s">
        <v>42213</v>
      </c>
      <c r="K675" s="7" t="s">
        <v>42214</v>
      </c>
    </row>
    <row r="676">
      <c r="A676" s="202">
        <v>13789.0</v>
      </c>
      <c r="B676" s="7" t="s">
        <v>42215</v>
      </c>
      <c r="C676" s="7" t="s">
        <v>42216</v>
      </c>
      <c r="D676" s="7">
        <v>19318.0</v>
      </c>
      <c r="E676" s="902" t="s">
        <v>42217</v>
      </c>
      <c r="F676" s="902" t="s">
        <v>42218</v>
      </c>
      <c r="G676" s="903">
        <v>42851.0</v>
      </c>
      <c r="H676" s="904">
        <v>42846.0</v>
      </c>
      <c r="I676" s="7">
        <v>19317.0</v>
      </c>
      <c r="J676" s="905" t="s">
        <v>42219</v>
      </c>
      <c r="K676" s="7" t="s">
        <v>39425</v>
      </c>
    </row>
    <row r="677">
      <c r="A677" s="202">
        <v>13790.0</v>
      </c>
      <c r="B677" s="7" t="s">
        <v>42220</v>
      </c>
      <c r="C677" s="7" t="s">
        <v>42221</v>
      </c>
      <c r="D677" s="7">
        <v>20239.0</v>
      </c>
      <c r="E677" s="902" t="s">
        <v>42222</v>
      </c>
      <c r="F677" s="902" t="s">
        <v>42223</v>
      </c>
      <c r="G677" s="903">
        <v>42853.0</v>
      </c>
      <c r="H677" s="904">
        <v>42850.0</v>
      </c>
      <c r="I677" s="7">
        <v>20237.0</v>
      </c>
      <c r="J677" s="905" t="s">
        <v>42224</v>
      </c>
      <c r="K677" s="7" t="s">
        <v>42225</v>
      </c>
    </row>
    <row r="678">
      <c r="A678" s="202">
        <v>13791.0</v>
      </c>
      <c r="B678" s="7" t="s">
        <v>42226</v>
      </c>
      <c r="C678" s="7" t="s">
        <v>42227</v>
      </c>
      <c r="D678" s="7">
        <v>20428.0</v>
      </c>
      <c r="E678" s="902" t="s">
        <v>42228</v>
      </c>
      <c r="F678" s="902" t="s">
        <v>42229</v>
      </c>
      <c r="G678" s="903">
        <v>42856.0</v>
      </c>
      <c r="H678" s="904">
        <v>42851.0</v>
      </c>
      <c r="I678" s="7">
        <v>20427.0</v>
      </c>
      <c r="J678" s="905" t="s">
        <v>42230</v>
      </c>
    </row>
    <row r="679">
      <c r="A679" s="202">
        <v>13792.0</v>
      </c>
      <c r="B679" s="7" t="s">
        <v>42231</v>
      </c>
      <c r="C679" s="7" t="s">
        <v>42232</v>
      </c>
      <c r="D679" s="7">
        <v>20431.0</v>
      </c>
      <c r="E679" s="902" t="s">
        <v>42233</v>
      </c>
      <c r="F679" s="902" t="s">
        <v>42234</v>
      </c>
      <c r="G679" s="903">
        <v>42856.0</v>
      </c>
      <c r="H679" s="904">
        <v>42851.0</v>
      </c>
      <c r="I679" s="7">
        <v>20429.0</v>
      </c>
      <c r="J679" s="905" t="s">
        <v>42235</v>
      </c>
      <c r="K679" s="7" t="s">
        <v>42236</v>
      </c>
    </row>
    <row r="680">
      <c r="A680" s="202">
        <v>13793.0</v>
      </c>
      <c r="B680" s="7" t="s">
        <v>42237</v>
      </c>
      <c r="C680" s="7" t="s">
        <v>42238</v>
      </c>
      <c r="D680" s="7">
        <v>20540.0</v>
      </c>
      <c r="E680" s="902" t="s">
        <v>42239</v>
      </c>
      <c r="F680" s="902" t="s">
        <v>42240</v>
      </c>
      <c r="G680" s="903">
        <v>42857.0</v>
      </c>
      <c r="H680" s="904">
        <v>42852.0</v>
      </c>
      <c r="I680" s="7">
        <v>20539.0</v>
      </c>
      <c r="J680" s="905" t="s">
        <v>42241</v>
      </c>
    </row>
    <row r="681">
      <c r="A681" s="202">
        <v>13794.0</v>
      </c>
      <c r="B681" s="7" t="s">
        <v>42242</v>
      </c>
      <c r="C681" s="7" t="s">
        <v>42243</v>
      </c>
      <c r="D681" s="7">
        <v>20813.0</v>
      </c>
      <c r="E681" s="902" t="s">
        <v>42244</v>
      </c>
      <c r="F681" s="902" t="s">
        <v>42245</v>
      </c>
      <c r="G681" s="903">
        <v>42858.0</v>
      </c>
      <c r="H681" s="904">
        <v>42853.0</v>
      </c>
      <c r="I681" s="7">
        <v>20811.0</v>
      </c>
      <c r="J681" s="905" t="s">
        <v>42246</v>
      </c>
    </row>
    <row r="682">
      <c r="A682" s="202">
        <v>13795.0</v>
      </c>
      <c r="B682" s="7" t="s">
        <v>42247</v>
      </c>
      <c r="C682" s="7" t="s">
        <v>42248</v>
      </c>
      <c r="D682" s="7">
        <v>20818.0</v>
      </c>
      <c r="E682" s="902" t="s">
        <v>42249</v>
      </c>
      <c r="F682" s="902" t="s">
        <v>42250</v>
      </c>
      <c r="G682" s="903">
        <v>42858.0</v>
      </c>
      <c r="H682" s="904">
        <v>42853.0</v>
      </c>
      <c r="I682" s="7">
        <v>20815.0</v>
      </c>
      <c r="J682" s="905" t="s">
        <v>42251</v>
      </c>
      <c r="K682" s="7" t="s">
        <v>42252</v>
      </c>
    </row>
    <row r="683">
      <c r="A683" s="202">
        <v>13796.0</v>
      </c>
      <c r="B683" s="7" t="s">
        <v>42253</v>
      </c>
      <c r="C683" s="7" t="s">
        <v>42254</v>
      </c>
      <c r="D683" s="7">
        <v>20820.0</v>
      </c>
      <c r="E683" s="902" t="s">
        <v>42255</v>
      </c>
      <c r="F683" s="902" t="s">
        <v>42256</v>
      </c>
      <c r="G683" s="903">
        <v>42859.0</v>
      </c>
      <c r="H683" s="904">
        <v>42854.0</v>
      </c>
      <c r="I683" s="7">
        <v>20819.0</v>
      </c>
      <c r="J683" s="905" t="s">
        <v>42257</v>
      </c>
    </row>
    <row r="684">
      <c r="A684" s="202">
        <v>13797.0</v>
      </c>
      <c r="B684" s="7" t="s">
        <v>42258</v>
      </c>
      <c r="C684" s="7" t="s">
        <v>42259</v>
      </c>
      <c r="D684" s="7">
        <v>20822.0</v>
      </c>
      <c r="E684" s="902" t="s">
        <v>42260</v>
      </c>
      <c r="F684" s="902" t="s">
        <v>42261</v>
      </c>
      <c r="G684" s="903">
        <v>42859.0</v>
      </c>
      <c r="H684" s="904">
        <v>42854.0</v>
      </c>
      <c r="I684" s="7">
        <v>20821.0</v>
      </c>
      <c r="J684" s="905" t="s">
        <v>42262</v>
      </c>
      <c r="K684" s="7" t="s">
        <v>42263</v>
      </c>
    </row>
    <row r="685">
      <c r="A685" s="202">
        <v>13798.0</v>
      </c>
      <c r="B685" s="7" t="s">
        <v>42264</v>
      </c>
      <c r="C685" s="7" t="s">
        <v>42265</v>
      </c>
      <c r="D685" s="7">
        <v>21676.0</v>
      </c>
      <c r="E685" s="902" t="s">
        <v>42266</v>
      </c>
      <c r="F685" s="902" t="s">
        <v>42267</v>
      </c>
      <c r="G685" s="903">
        <v>42864.0</v>
      </c>
      <c r="H685" s="904">
        <v>42859.0</v>
      </c>
      <c r="I685" s="7">
        <v>21675.0</v>
      </c>
      <c r="J685" s="905" t="s">
        <v>42268</v>
      </c>
    </row>
    <row r="686">
      <c r="A686" s="202">
        <v>13799.0</v>
      </c>
      <c r="B686" s="7" t="s">
        <v>42269</v>
      </c>
      <c r="C686" s="7" t="s">
        <v>42270</v>
      </c>
      <c r="D686" s="7">
        <v>22390.0</v>
      </c>
      <c r="E686" s="902" t="s">
        <v>42271</v>
      </c>
      <c r="F686" s="902" t="s">
        <v>42272</v>
      </c>
      <c r="G686" s="903">
        <v>42871.0</v>
      </c>
      <c r="H686" s="904">
        <v>42866.0</v>
      </c>
      <c r="I686" s="7">
        <v>22389.0</v>
      </c>
      <c r="J686" s="905" t="s">
        <v>42273</v>
      </c>
    </row>
    <row r="687">
      <c r="A687" s="202">
        <v>13800.0</v>
      </c>
      <c r="B687" s="7" t="s">
        <v>42274</v>
      </c>
      <c r="C687" s="7" t="s">
        <v>42275</v>
      </c>
      <c r="D687" s="7">
        <v>22397.0</v>
      </c>
      <c r="E687" s="902" t="s">
        <v>42276</v>
      </c>
      <c r="F687" s="902" t="s">
        <v>42277</v>
      </c>
      <c r="G687" s="903">
        <v>42871.0</v>
      </c>
      <c r="H687" s="904">
        <v>42866.0</v>
      </c>
      <c r="I687" s="7">
        <v>22391.0</v>
      </c>
      <c r="J687" s="905" t="s">
        <v>42278</v>
      </c>
      <c r="K687" s="7" t="s">
        <v>42279</v>
      </c>
    </row>
    <row r="688">
      <c r="A688" s="202">
        <v>13801.0</v>
      </c>
      <c r="B688" s="7" t="s">
        <v>42280</v>
      </c>
      <c r="C688" s="7" t="s">
        <v>42281</v>
      </c>
      <c r="D688" s="7">
        <v>28232.0</v>
      </c>
      <c r="E688" s="902" t="s">
        <v>42282</v>
      </c>
      <c r="F688" s="902" t="s">
        <v>42283</v>
      </c>
      <c r="G688" s="903">
        <v>42906.0</v>
      </c>
      <c r="H688" s="904">
        <v>42901.0</v>
      </c>
      <c r="I688" s="7">
        <v>28229.0</v>
      </c>
      <c r="J688" s="905" t="s">
        <v>42284</v>
      </c>
      <c r="K688" s="7" t="s">
        <v>42285</v>
      </c>
    </row>
    <row r="689">
      <c r="A689" s="202">
        <v>13802.0</v>
      </c>
      <c r="B689" s="7" t="s">
        <v>42286</v>
      </c>
      <c r="C689" s="7" t="s">
        <v>42287</v>
      </c>
      <c r="D689" s="7">
        <v>28748.0</v>
      </c>
      <c r="E689" s="902" t="s">
        <v>42288</v>
      </c>
      <c r="F689" s="902" t="s">
        <v>42289</v>
      </c>
      <c r="G689" s="903">
        <v>42912.0</v>
      </c>
      <c r="H689" s="904">
        <v>42907.0</v>
      </c>
      <c r="I689" s="7">
        <v>28747.0</v>
      </c>
      <c r="J689" s="905" t="s">
        <v>42290</v>
      </c>
      <c r="K689" s="7" t="s">
        <v>42291</v>
      </c>
    </row>
    <row r="690">
      <c r="A690" s="202">
        <v>13803.0</v>
      </c>
      <c r="B690" s="7" t="s">
        <v>42292</v>
      </c>
      <c r="C690" s="7" t="s">
        <v>42293</v>
      </c>
      <c r="D690" s="7">
        <v>31432.0</v>
      </c>
      <c r="E690" s="902" t="s">
        <v>42294</v>
      </c>
      <c r="F690" s="902" t="s">
        <v>42295</v>
      </c>
      <c r="G690" s="903">
        <v>42923.0</v>
      </c>
      <c r="H690" s="904">
        <v>42916.0</v>
      </c>
      <c r="I690" s="7">
        <v>31429.0</v>
      </c>
      <c r="J690" s="905" t="s">
        <v>42296</v>
      </c>
      <c r="K690" s="7" t="s">
        <v>42297</v>
      </c>
    </row>
    <row r="691">
      <c r="A691" s="202">
        <v>13804.0</v>
      </c>
      <c r="B691" s="7" t="s">
        <v>42298</v>
      </c>
      <c r="C691" s="7" t="s">
        <v>42299</v>
      </c>
      <c r="D691" s="7">
        <v>32612.0</v>
      </c>
      <c r="E691" s="902" t="s">
        <v>42300</v>
      </c>
      <c r="F691" s="902" t="s">
        <v>42301</v>
      </c>
      <c r="G691" s="903">
        <v>42930.0</v>
      </c>
      <c r="H691" s="904">
        <v>42927.0</v>
      </c>
      <c r="I691" s="7">
        <v>32611.0</v>
      </c>
      <c r="J691" s="905" t="s">
        <v>42302</v>
      </c>
      <c r="K691" s="7" t="s">
        <v>42303</v>
      </c>
    </row>
    <row r="692">
      <c r="A692" s="202">
        <v>13805.0</v>
      </c>
      <c r="B692" s="7" t="s">
        <v>42304</v>
      </c>
      <c r="C692" s="7" t="s">
        <v>42305</v>
      </c>
      <c r="D692" s="7">
        <v>34385.0</v>
      </c>
      <c r="E692" s="902" t="s">
        <v>42306</v>
      </c>
      <c r="F692" s="902" t="s">
        <v>42307</v>
      </c>
      <c r="G692" s="903">
        <v>42941.0</v>
      </c>
      <c r="H692" s="904">
        <v>42935.0</v>
      </c>
      <c r="I692" s="7">
        <v>34383.0</v>
      </c>
      <c r="J692" s="905" t="s">
        <v>42308</v>
      </c>
      <c r="K692" s="7" t="s">
        <v>42309</v>
      </c>
    </row>
    <row r="693">
      <c r="A693" s="202">
        <v>13806.0</v>
      </c>
      <c r="B693" s="7" t="s">
        <v>42310</v>
      </c>
      <c r="C693" s="7" t="s">
        <v>42311</v>
      </c>
      <c r="D693" s="7">
        <v>34599.0</v>
      </c>
      <c r="E693" s="902" t="s">
        <v>42312</v>
      </c>
      <c r="F693" s="902" t="s">
        <v>42313</v>
      </c>
      <c r="G693" s="903">
        <v>42942.0</v>
      </c>
      <c r="H693" s="904">
        <v>42937.0</v>
      </c>
      <c r="I693" s="7">
        <v>34597.0</v>
      </c>
      <c r="J693" s="905" t="s">
        <v>42314</v>
      </c>
    </row>
    <row r="694">
      <c r="A694" s="202">
        <v>13807.0</v>
      </c>
      <c r="B694" s="7" t="s">
        <v>42315</v>
      </c>
      <c r="C694" s="7" t="s">
        <v>42316</v>
      </c>
      <c r="D694" s="7">
        <v>40469.0</v>
      </c>
      <c r="E694" s="902" t="s">
        <v>42317</v>
      </c>
      <c r="F694" s="902" t="s">
        <v>42318</v>
      </c>
      <c r="G694" s="903">
        <v>42971.0</v>
      </c>
      <c r="H694" s="904">
        <v>42962.0</v>
      </c>
      <c r="I694" s="7">
        <v>40463.0</v>
      </c>
      <c r="J694" s="905" t="s">
        <v>42319</v>
      </c>
      <c r="K694" s="7" t="s">
        <v>42320</v>
      </c>
    </row>
    <row r="695">
      <c r="A695" s="202">
        <v>13808.0</v>
      </c>
      <c r="B695" s="7" t="s">
        <v>42321</v>
      </c>
      <c r="C695" s="7" t="s">
        <v>42322</v>
      </c>
      <c r="D695" s="7">
        <v>41156.0</v>
      </c>
      <c r="E695" s="902" t="s">
        <v>42323</v>
      </c>
      <c r="F695" s="902" t="s">
        <v>42324</v>
      </c>
      <c r="G695" s="903">
        <v>42976.0</v>
      </c>
      <c r="H695" s="904">
        <v>42971.0</v>
      </c>
      <c r="I695" s="7">
        <v>41155.0</v>
      </c>
      <c r="J695" s="905" t="s">
        <v>42325</v>
      </c>
      <c r="K695" s="7" t="s">
        <v>42326</v>
      </c>
    </row>
    <row r="696">
      <c r="A696" s="202">
        <v>13809.0</v>
      </c>
      <c r="B696" s="7" t="s">
        <v>42327</v>
      </c>
      <c r="C696" s="7" t="s">
        <v>42328</v>
      </c>
      <c r="D696" s="7">
        <v>41500.0</v>
      </c>
      <c r="E696" s="902" t="s">
        <v>42329</v>
      </c>
      <c r="F696" s="902" t="s">
        <v>42330</v>
      </c>
      <c r="G696" s="903">
        <v>42978.0</v>
      </c>
      <c r="H696" s="904">
        <v>42975.0</v>
      </c>
      <c r="I696" s="7">
        <v>41499.0</v>
      </c>
      <c r="J696" s="905" t="s">
        <v>42331</v>
      </c>
      <c r="K696" s="7" t="s">
        <v>42332</v>
      </c>
    </row>
    <row r="697">
      <c r="A697" s="202">
        <v>13810.0</v>
      </c>
      <c r="B697" s="7" t="s">
        <v>42333</v>
      </c>
      <c r="C697" s="7" t="s">
        <v>42334</v>
      </c>
      <c r="D697" s="7">
        <v>44709.0</v>
      </c>
      <c r="E697" s="902" t="s">
        <v>42335</v>
      </c>
      <c r="F697" s="902" t="s">
        <v>42336</v>
      </c>
      <c r="G697" s="903">
        <v>43003.0</v>
      </c>
      <c r="H697" s="904">
        <v>42998.0</v>
      </c>
      <c r="I697" s="7">
        <v>44705.0</v>
      </c>
      <c r="J697" s="905" t="s">
        <v>42337</v>
      </c>
      <c r="K697" s="7" t="s">
        <v>42338</v>
      </c>
    </row>
    <row r="698">
      <c r="A698" s="202">
        <v>13811.0</v>
      </c>
      <c r="B698" s="7" t="s">
        <v>42339</v>
      </c>
      <c r="C698" s="7" t="s">
        <v>42340</v>
      </c>
      <c r="D698" s="7">
        <v>46365.0</v>
      </c>
      <c r="E698" s="902" t="s">
        <v>42341</v>
      </c>
      <c r="F698" s="902" t="s">
        <v>42342</v>
      </c>
      <c r="G698" s="903">
        <v>43012.0</v>
      </c>
      <c r="H698" s="904">
        <v>43007.0</v>
      </c>
      <c r="I698" s="7">
        <v>46363.0</v>
      </c>
      <c r="J698" s="905" t="s">
        <v>38683</v>
      </c>
      <c r="K698" s="7" t="s">
        <v>42343</v>
      </c>
    </row>
    <row r="699">
      <c r="A699" s="202">
        <v>13812.0</v>
      </c>
      <c r="B699" s="7" t="s">
        <v>42344</v>
      </c>
      <c r="C699" s="7" t="s">
        <v>42345</v>
      </c>
      <c r="D699" s="7">
        <v>46368.0</v>
      </c>
      <c r="E699" s="902" t="s">
        <v>42346</v>
      </c>
      <c r="F699" s="902" t="s">
        <v>42347</v>
      </c>
      <c r="G699" s="903">
        <v>43012.0</v>
      </c>
      <c r="H699" s="904">
        <v>43007.0</v>
      </c>
      <c r="I699" s="7">
        <v>46367.0</v>
      </c>
      <c r="J699" s="905" t="s">
        <v>42348</v>
      </c>
      <c r="K699" s="7" t="s">
        <v>42349</v>
      </c>
    </row>
    <row r="700">
      <c r="A700" s="202">
        <v>13813.0</v>
      </c>
      <c r="B700" s="7" t="s">
        <v>42350</v>
      </c>
      <c r="C700" s="7" t="s">
        <v>42351</v>
      </c>
      <c r="D700" s="7">
        <v>48387.0</v>
      </c>
      <c r="E700" s="902" t="s">
        <v>42352</v>
      </c>
      <c r="F700" s="902" t="s">
        <v>42353</v>
      </c>
      <c r="G700" s="906">
        <v>43025.0</v>
      </c>
      <c r="H700" s="904">
        <v>43020.0</v>
      </c>
      <c r="I700" s="7">
        <v>48385.0</v>
      </c>
      <c r="J700" s="905" t="s">
        <v>42354</v>
      </c>
      <c r="K700" s="7" t="s">
        <v>42085</v>
      </c>
    </row>
    <row r="701">
      <c r="A701" s="202">
        <v>13814.0</v>
      </c>
      <c r="B701" s="7" t="s">
        <v>42355</v>
      </c>
      <c r="C701" s="7" t="s">
        <v>42356</v>
      </c>
      <c r="D701" s="7">
        <v>49274.0</v>
      </c>
      <c r="E701" s="902" t="s">
        <v>42357</v>
      </c>
      <c r="F701" s="902" t="s">
        <v>42358</v>
      </c>
      <c r="G701" s="906">
        <v>43032.0</v>
      </c>
      <c r="H701" s="904">
        <v>43028.0</v>
      </c>
      <c r="I701" s="7">
        <v>49273.0</v>
      </c>
      <c r="J701" s="905" t="s">
        <v>42359</v>
      </c>
      <c r="K701" s="7" t="s">
        <v>42360</v>
      </c>
    </row>
    <row r="702">
      <c r="A702" s="202">
        <v>13815.0</v>
      </c>
      <c r="B702" s="7" t="s">
        <v>42361</v>
      </c>
      <c r="C702" s="7" t="s">
        <v>42362</v>
      </c>
      <c r="D702" s="7">
        <v>50058.0</v>
      </c>
      <c r="E702" s="902" t="s">
        <v>42363</v>
      </c>
      <c r="F702" s="902" t="s">
        <v>42364</v>
      </c>
      <c r="G702" s="906">
        <v>43035.0</v>
      </c>
      <c r="H702" s="904">
        <v>43032.0</v>
      </c>
      <c r="I702" s="7">
        <v>50055.0</v>
      </c>
      <c r="J702" s="905" t="s">
        <v>42365</v>
      </c>
      <c r="K702" s="7" t="s">
        <v>42366</v>
      </c>
    </row>
    <row r="703">
      <c r="A703" s="202">
        <v>13816.0</v>
      </c>
      <c r="B703" s="7" t="s">
        <v>42367</v>
      </c>
      <c r="C703" s="7" t="s">
        <v>42368</v>
      </c>
      <c r="D703" s="7">
        <v>58703.0</v>
      </c>
      <c r="E703" s="902" t="s">
        <v>42369</v>
      </c>
      <c r="F703" s="902" t="s">
        <v>42370</v>
      </c>
      <c r="G703" s="906">
        <v>43082.0</v>
      </c>
      <c r="H703" s="904">
        <v>43077.0</v>
      </c>
      <c r="I703" s="7">
        <v>58701.0</v>
      </c>
      <c r="J703" s="905" t="s">
        <v>42371</v>
      </c>
      <c r="K703" s="7" t="s">
        <v>42372</v>
      </c>
    </row>
    <row r="704">
      <c r="A704" s="202">
        <v>13817.0</v>
      </c>
      <c r="B704" s="7" t="s">
        <v>42373</v>
      </c>
      <c r="C704" s="7" t="s">
        <v>42374</v>
      </c>
      <c r="D704" s="7">
        <v>60837.0</v>
      </c>
      <c r="E704" s="902" t="s">
        <v>42375</v>
      </c>
      <c r="F704" s="902" t="s">
        <v>42376</v>
      </c>
      <c r="G704" s="906">
        <v>43095.0</v>
      </c>
      <c r="H704" s="904">
        <v>43089.0</v>
      </c>
      <c r="I704" s="7">
        <v>60835.0</v>
      </c>
      <c r="J704" s="905" t="s">
        <v>42377</v>
      </c>
      <c r="K704" s="7" t="s">
        <v>42378</v>
      </c>
    </row>
    <row r="705">
      <c r="A705" s="202">
        <v>13818.0</v>
      </c>
      <c r="B705" s="7" t="s">
        <v>42379</v>
      </c>
      <c r="C705" s="7" t="s">
        <v>42380</v>
      </c>
      <c r="D705" s="7">
        <v>60843.0</v>
      </c>
      <c r="E705" s="902" t="s">
        <v>42381</v>
      </c>
      <c r="F705" s="902" t="s">
        <v>42382</v>
      </c>
      <c r="G705" s="906">
        <v>43095.0</v>
      </c>
      <c r="H705" s="904">
        <v>43089.0</v>
      </c>
      <c r="I705" s="7">
        <v>60839.0</v>
      </c>
      <c r="J705" s="905" t="s">
        <v>42383</v>
      </c>
    </row>
    <row r="706">
      <c r="A706" s="202">
        <v>13819.0</v>
      </c>
      <c r="B706" s="7" t="s">
        <v>42384</v>
      </c>
      <c r="C706" s="7" t="s">
        <v>42385</v>
      </c>
      <c r="D706" s="7">
        <v>61442.0</v>
      </c>
      <c r="E706" s="902" t="s">
        <v>42386</v>
      </c>
      <c r="F706" s="902" t="s">
        <v>42387</v>
      </c>
      <c r="G706" s="906">
        <v>43096.0</v>
      </c>
      <c r="H706" s="904">
        <v>43091.0</v>
      </c>
      <c r="I706" s="7">
        <v>61431.0</v>
      </c>
      <c r="J706" s="905" t="s">
        <v>38718</v>
      </c>
      <c r="K706" s="7" t="s">
        <v>42388</v>
      </c>
    </row>
    <row r="707">
      <c r="A707" s="202">
        <v>13820.0</v>
      </c>
      <c r="B707" s="7" t="s">
        <v>42389</v>
      </c>
      <c r="C707" s="7" t="s">
        <v>42390</v>
      </c>
      <c r="D707" s="7">
        <v>969.0</v>
      </c>
      <c r="E707" s="902" t="s">
        <v>42391</v>
      </c>
      <c r="F707" s="902" t="s">
        <v>42392</v>
      </c>
      <c r="G707" s="903">
        <v>43108.0</v>
      </c>
      <c r="H707" s="904">
        <v>43103.0</v>
      </c>
      <c r="I707" s="7">
        <v>969.0</v>
      </c>
      <c r="J707" s="905" t="s">
        <v>42393</v>
      </c>
      <c r="K707" s="7" t="s">
        <v>42394</v>
      </c>
    </row>
    <row r="708">
      <c r="A708" s="202">
        <v>13821.0</v>
      </c>
      <c r="B708" s="7" t="s">
        <v>42395</v>
      </c>
      <c r="C708" s="7" t="s">
        <v>42396</v>
      </c>
      <c r="D708" s="7">
        <v>1509.0</v>
      </c>
      <c r="E708" s="902" t="s">
        <v>42397</v>
      </c>
      <c r="F708" s="902" t="s">
        <v>42398</v>
      </c>
      <c r="G708" s="903">
        <v>43111.0</v>
      </c>
      <c r="H708" s="904">
        <v>43108.0</v>
      </c>
      <c r="I708" s="7">
        <v>1507.0</v>
      </c>
      <c r="J708" s="905" t="s">
        <v>42399</v>
      </c>
      <c r="K708" s="7" t="s">
        <v>42400</v>
      </c>
    </row>
    <row r="709">
      <c r="A709" s="202">
        <v>13822.0</v>
      </c>
      <c r="B709" s="7" t="s">
        <v>42401</v>
      </c>
      <c r="C709" s="7" t="s">
        <v>42402</v>
      </c>
      <c r="D709" s="7">
        <v>1514.0</v>
      </c>
      <c r="E709" s="902" t="s">
        <v>42403</v>
      </c>
      <c r="F709" s="902" t="s">
        <v>42404</v>
      </c>
      <c r="G709" s="903">
        <v>43112.0</v>
      </c>
      <c r="H709" s="904">
        <v>43109.0</v>
      </c>
      <c r="I709" s="7">
        <v>1513.0</v>
      </c>
      <c r="J709" s="905" t="s">
        <v>42405</v>
      </c>
    </row>
    <row r="710">
      <c r="A710" s="202">
        <v>13823.0</v>
      </c>
      <c r="B710" s="7" t="s">
        <v>42406</v>
      </c>
      <c r="C710" s="7" t="s">
        <v>42407</v>
      </c>
      <c r="D710" s="7">
        <v>4832.0</v>
      </c>
      <c r="E710" s="902" t="s">
        <v>42408</v>
      </c>
      <c r="F710" s="902" t="s">
        <v>42409</v>
      </c>
      <c r="G710" s="903">
        <v>43133.0</v>
      </c>
      <c r="H710" s="904">
        <v>43130.0</v>
      </c>
      <c r="I710" s="7">
        <v>4831.0</v>
      </c>
      <c r="J710" s="905" t="s">
        <v>42410</v>
      </c>
      <c r="K710" s="7" t="s">
        <v>42411</v>
      </c>
    </row>
    <row r="711">
      <c r="A711" s="202">
        <v>13824.0</v>
      </c>
      <c r="B711" s="7" t="s">
        <v>42412</v>
      </c>
      <c r="C711" s="7" t="s">
        <v>42413</v>
      </c>
      <c r="D711" s="7">
        <v>8925.0</v>
      </c>
      <c r="E711" s="902" t="s">
        <v>42414</v>
      </c>
      <c r="F711" s="902" t="s">
        <v>42415</v>
      </c>
      <c r="G711" s="903">
        <v>43161.0</v>
      </c>
      <c r="H711" s="904">
        <v>43157.0</v>
      </c>
      <c r="I711" s="7">
        <v>8923.0</v>
      </c>
      <c r="J711" s="905" t="s">
        <v>42416</v>
      </c>
      <c r="K711" s="7" t="s">
        <v>42417</v>
      </c>
    </row>
    <row r="712">
      <c r="A712" s="202">
        <v>13825.0</v>
      </c>
      <c r="B712" s="7" t="s">
        <v>42418</v>
      </c>
      <c r="C712" s="7" t="s">
        <v>42419</v>
      </c>
      <c r="D712" s="7">
        <v>10353.0</v>
      </c>
      <c r="E712" s="902" t="s">
        <v>42420</v>
      </c>
      <c r="F712" s="902" t="s">
        <v>42421</v>
      </c>
      <c r="G712" s="903">
        <v>43167.0</v>
      </c>
      <c r="H712" s="904">
        <v>43160.0</v>
      </c>
      <c r="I712" s="7">
        <v>9889.0</v>
      </c>
      <c r="J712" s="905" t="s">
        <v>42422</v>
      </c>
      <c r="K712" s="7" t="s">
        <v>40448</v>
      </c>
    </row>
    <row r="713">
      <c r="A713" s="202">
        <v>13826.0</v>
      </c>
      <c r="B713" s="7" t="s">
        <v>42423</v>
      </c>
      <c r="C713" s="7" t="s">
        <v>42424</v>
      </c>
      <c r="D713" s="7">
        <v>10774.0</v>
      </c>
      <c r="E713" s="902" t="s">
        <v>42425</v>
      </c>
      <c r="F713" s="902" t="s">
        <v>42426</v>
      </c>
      <c r="G713" s="903">
        <v>43171.0</v>
      </c>
      <c r="H713" s="904">
        <v>43166.0</v>
      </c>
      <c r="I713" s="7">
        <v>10771.0</v>
      </c>
      <c r="J713" s="905" t="s">
        <v>42427</v>
      </c>
    </row>
    <row r="714">
      <c r="A714" s="202">
        <v>13827.0</v>
      </c>
      <c r="B714" s="7" t="s">
        <v>42428</v>
      </c>
      <c r="C714" s="7" t="s">
        <v>42429</v>
      </c>
      <c r="D714" s="7">
        <v>12470.0</v>
      </c>
      <c r="E714" s="902" t="s">
        <v>42430</v>
      </c>
      <c r="F714" s="902" t="s">
        <v>42431</v>
      </c>
      <c r="G714" s="903">
        <v>43180.0</v>
      </c>
      <c r="H714" s="904">
        <v>43178.0</v>
      </c>
      <c r="I714" s="7">
        <v>12469.0</v>
      </c>
      <c r="J714" s="905" t="s">
        <v>42432</v>
      </c>
      <c r="K714" s="7" t="s">
        <v>42433</v>
      </c>
    </row>
    <row r="715">
      <c r="A715" s="202">
        <v>13828.0</v>
      </c>
      <c r="B715" s="7" t="s">
        <v>42434</v>
      </c>
      <c r="C715" s="7" t="s">
        <v>42435</v>
      </c>
      <c r="D715" s="7">
        <v>15944.0</v>
      </c>
      <c r="E715" s="902" t="s">
        <v>42436</v>
      </c>
      <c r="F715" s="902" t="s">
        <v>42437</v>
      </c>
      <c r="G715" s="903">
        <v>43203.0</v>
      </c>
      <c r="H715" s="904">
        <v>43200.0</v>
      </c>
      <c r="I715" s="7">
        <v>15941.0</v>
      </c>
      <c r="J715" s="905" t="s">
        <v>42438</v>
      </c>
      <c r="K715" s="7" t="s">
        <v>42127</v>
      </c>
    </row>
    <row r="716">
      <c r="A716" s="202">
        <v>13829.0</v>
      </c>
      <c r="B716" s="7" t="s">
        <v>42439</v>
      </c>
      <c r="C716" s="7" t="s">
        <v>42440</v>
      </c>
      <c r="D716" s="7">
        <v>17283.0</v>
      </c>
      <c r="E716" s="902" t="s">
        <v>42441</v>
      </c>
      <c r="F716" s="902" t="s">
        <v>42442</v>
      </c>
      <c r="G716" s="903">
        <v>43208.0</v>
      </c>
      <c r="H716" s="904">
        <v>43202.0</v>
      </c>
      <c r="I716" s="7">
        <v>17281.0</v>
      </c>
      <c r="J716" s="905" t="s">
        <v>42443</v>
      </c>
      <c r="K716" s="7" t="s">
        <v>42444</v>
      </c>
    </row>
    <row r="717">
      <c r="A717" s="202">
        <v>13830.0</v>
      </c>
      <c r="B717" s="7" t="s">
        <v>42445</v>
      </c>
      <c r="C717" s="7" t="s">
        <v>42446</v>
      </c>
      <c r="D717" s="7">
        <v>18194.0</v>
      </c>
      <c r="E717" s="902" t="s">
        <v>42447</v>
      </c>
      <c r="F717" s="902" t="s">
        <v>42448</v>
      </c>
      <c r="G717" s="903">
        <v>43215.0</v>
      </c>
      <c r="H717" s="904">
        <v>43210.0</v>
      </c>
      <c r="I717" s="7">
        <v>18191.0</v>
      </c>
      <c r="J717" s="905" t="s">
        <v>42449</v>
      </c>
      <c r="K717" s="7" t="s">
        <v>42450</v>
      </c>
    </row>
    <row r="718">
      <c r="A718" s="202">
        <v>13831.0</v>
      </c>
      <c r="B718" s="7" t="s">
        <v>42451</v>
      </c>
      <c r="C718" s="7" t="s">
        <v>42452</v>
      </c>
      <c r="D718" s="7">
        <v>20717.0</v>
      </c>
      <c r="E718" s="902" t="s">
        <v>42453</v>
      </c>
      <c r="F718" s="902" t="s">
        <v>42454</v>
      </c>
      <c r="G718" s="903">
        <v>43228.0</v>
      </c>
      <c r="H718" s="904">
        <v>43223.0</v>
      </c>
      <c r="I718" s="7">
        <v>20715.0</v>
      </c>
      <c r="J718" s="905" t="s">
        <v>42455</v>
      </c>
      <c r="K718" s="7" t="s">
        <v>42456</v>
      </c>
    </row>
    <row r="719">
      <c r="A719" s="202">
        <v>13832.0</v>
      </c>
      <c r="B719" s="7" t="s">
        <v>42457</v>
      </c>
      <c r="C719" s="7" t="s">
        <v>42458</v>
      </c>
      <c r="D719" s="7">
        <v>22345.0</v>
      </c>
      <c r="E719" s="902" t="s">
        <v>42459</v>
      </c>
      <c r="F719" s="902" t="s">
        <v>42460</v>
      </c>
      <c r="G719" s="903">
        <v>43234.0</v>
      </c>
      <c r="H719" s="904">
        <v>43229.0</v>
      </c>
      <c r="I719" s="7">
        <v>22343.0</v>
      </c>
      <c r="J719" s="905" t="s">
        <v>42461</v>
      </c>
      <c r="K719" s="7" t="s">
        <v>42462</v>
      </c>
    </row>
    <row r="720">
      <c r="A720" s="202">
        <v>13833.0</v>
      </c>
      <c r="B720" s="7" t="s">
        <v>42463</v>
      </c>
      <c r="C720" s="7" t="s">
        <v>42464</v>
      </c>
      <c r="D720" s="7">
        <v>23348.0</v>
      </c>
      <c r="E720" s="902" t="s">
        <v>42465</v>
      </c>
      <c r="F720" s="902" t="s">
        <v>42466</v>
      </c>
      <c r="G720" s="903">
        <v>43238.0</v>
      </c>
      <c r="H720" s="904">
        <v>43235.0</v>
      </c>
      <c r="I720" s="7">
        <v>23345.0</v>
      </c>
      <c r="J720" s="905" t="s">
        <v>42467</v>
      </c>
      <c r="K720" s="7" t="s">
        <v>42468</v>
      </c>
    </row>
    <row r="721">
      <c r="A721" s="202">
        <v>13834.0</v>
      </c>
      <c r="B721" s="7" t="s">
        <v>42469</v>
      </c>
      <c r="C721" s="7" t="s">
        <v>42470</v>
      </c>
      <c r="D721" s="7">
        <v>23774.0</v>
      </c>
      <c r="E721" s="902" t="s">
        <v>42471</v>
      </c>
      <c r="F721" s="902" t="s">
        <v>42472</v>
      </c>
      <c r="G721" s="903">
        <v>43242.0</v>
      </c>
      <c r="H721" s="904">
        <v>43237.0</v>
      </c>
      <c r="I721" s="7">
        <v>23771.0</v>
      </c>
      <c r="J721" s="905" t="s">
        <v>42473</v>
      </c>
      <c r="K721" s="7" t="s">
        <v>42474</v>
      </c>
    </row>
    <row r="722">
      <c r="A722" s="202">
        <v>13835.0</v>
      </c>
      <c r="B722" s="7" t="s">
        <v>42475</v>
      </c>
      <c r="C722" s="7" t="s">
        <v>42476</v>
      </c>
      <c r="D722" s="7">
        <v>24002.0</v>
      </c>
      <c r="E722" s="902" t="s">
        <v>42477</v>
      </c>
      <c r="F722" s="902" t="s">
        <v>42478</v>
      </c>
      <c r="G722" s="903">
        <v>43244.0</v>
      </c>
      <c r="H722" s="904">
        <v>43241.0</v>
      </c>
      <c r="I722" s="7">
        <v>24001.0</v>
      </c>
      <c r="J722" s="905" t="s">
        <v>42479</v>
      </c>
      <c r="K722" s="7" t="s">
        <v>42480</v>
      </c>
    </row>
    <row r="723">
      <c r="A723" s="202">
        <v>13836.0</v>
      </c>
      <c r="B723" s="7" t="s">
        <v>42481</v>
      </c>
      <c r="C723" s="7" t="s">
        <v>42482</v>
      </c>
      <c r="D723" s="7">
        <v>25334.0</v>
      </c>
      <c r="E723" s="902" t="s">
        <v>42483</v>
      </c>
      <c r="F723" s="902" t="s">
        <v>42484</v>
      </c>
      <c r="G723" s="903">
        <v>43252.0</v>
      </c>
      <c r="H723" s="904">
        <v>43245.0</v>
      </c>
      <c r="I723" s="7">
        <v>25329.0</v>
      </c>
      <c r="J723" s="905" t="s">
        <v>42485</v>
      </c>
      <c r="K723" s="7" t="s">
        <v>42486</v>
      </c>
    </row>
    <row r="724">
      <c r="A724" s="202">
        <v>13837.0</v>
      </c>
      <c r="B724" s="7" t="s">
        <v>42487</v>
      </c>
      <c r="C724" s="7" t="s">
        <v>42488</v>
      </c>
      <c r="D724" s="7">
        <v>25340.0</v>
      </c>
      <c r="E724" s="902" t="s">
        <v>42489</v>
      </c>
      <c r="F724" s="902" t="s">
        <v>42490</v>
      </c>
      <c r="G724" s="903">
        <v>43252.0</v>
      </c>
      <c r="H724" s="904">
        <v>43245.0</v>
      </c>
      <c r="I724" s="7">
        <v>25335.0</v>
      </c>
      <c r="J724" s="905" t="s">
        <v>42491</v>
      </c>
      <c r="K724" s="7" t="s">
        <v>42492</v>
      </c>
    </row>
    <row r="725">
      <c r="A725" s="202">
        <v>13838.0</v>
      </c>
      <c r="B725" s="7" t="s">
        <v>42493</v>
      </c>
      <c r="C725" s="7" t="s">
        <v>42494</v>
      </c>
      <c r="D725" s="7">
        <v>25342.0</v>
      </c>
      <c r="E725" s="902" t="s">
        <v>42495</v>
      </c>
      <c r="F725" s="902" t="s">
        <v>42496</v>
      </c>
      <c r="G725" s="903">
        <v>43252.0</v>
      </c>
      <c r="H725" s="904">
        <v>43245.0</v>
      </c>
      <c r="I725" s="7">
        <v>25341.0</v>
      </c>
      <c r="J725" s="905" t="s">
        <v>42497</v>
      </c>
      <c r="K725" s="7" t="s">
        <v>42498</v>
      </c>
    </row>
    <row r="726">
      <c r="A726" s="202">
        <v>13839.0</v>
      </c>
      <c r="B726" s="7" t="s">
        <v>42499</v>
      </c>
      <c r="C726" s="7" t="s">
        <v>42500</v>
      </c>
      <c r="D726" s="7">
        <v>25347.0</v>
      </c>
      <c r="E726" s="902" t="s">
        <v>42501</v>
      </c>
      <c r="F726" s="902" t="s">
        <v>42502</v>
      </c>
      <c r="G726" s="903">
        <v>43252.0</v>
      </c>
      <c r="H726" s="904">
        <v>43245.0</v>
      </c>
      <c r="I726" s="7">
        <v>25343.0</v>
      </c>
      <c r="J726" s="905" t="s">
        <v>42503</v>
      </c>
      <c r="K726" s="7" t="s">
        <v>42504</v>
      </c>
    </row>
    <row r="727">
      <c r="A727" s="202">
        <v>13840.0</v>
      </c>
      <c r="B727" s="7" t="s">
        <v>42505</v>
      </c>
      <c r="C727" s="7" t="s">
        <v>42506</v>
      </c>
      <c r="D727" s="7">
        <v>29434.0</v>
      </c>
      <c r="E727" s="902" t="s">
        <v>42507</v>
      </c>
      <c r="F727" s="902" t="s">
        <v>42508</v>
      </c>
      <c r="G727" s="903">
        <v>43273.0</v>
      </c>
      <c r="H727" s="904">
        <v>43270.0</v>
      </c>
      <c r="I727" s="7">
        <v>29431.0</v>
      </c>
      <c r="J727" s="905" t="s">
        <v>42509</v>
      </c>
    </row>
    <row r="728">
      <c r="A728" s="202">
        <v>13841.0</v>
      </c>
      <c r="B728" s="7" t="s">
        <v>42510</v>
      </c>
      <c r="C728" s="7" t="s">
        <v>42511</v>
      </c>
      <c r="D728" s="7">
        <v>29436.0</v>
      </c>
      <c r="E728" s="902" t="s">
        <v>42512</v>
      </c>
      <c r="F728" s="902" t="s">
        <v>42513</v>
      </c>
      <c r="G728" s="903">
        <v>43276.0</v>
      </c>
      <c r="H728" s="904">
        <v>43271.0</v>
      </c>
      <c r="I728" s="7">
        <v>29435.0</v>
      </c>
      <c r="J728" s="905" t="s">
        <v>42514</v>
      </c>
      <c r="K728" s="7" t="s">
        <v>42515</v>
      </c>
    </row>
    <row r="729">
      <c r="A729" s="202">
        <v>13842.0</v>
      </c>
      <c r="B729" s="7" t="s">
        <v>42516</v>
      </c>
      <c r="C729" s="7" t="s">
        <v>42517</v>
      </c>
      <c r="D729" s="7">
        <v>32754.0</v>
      </c>
      <c r="E729" s="902" t="s">
        <v>42518</v>
      </c>
      <c r="F729" s="902" t="s">
        <v>42519</v>
      </c>
      <c r="G729" s="903">
        <v>43294.0</v>
      </c>
      <c r="H729" s="904">
        <v>43291.0</v>
      </c>
      <c r="I729" s="7">
        <v>32753.0</v>
      </c>
      <c r="J729" s="905" t="s">
        <v>42520</v>
      </c>
    </row>
    <row r="730">
      <c r="A730" s="202">
        <v>13843.0</v>
      </c>
      <c r="B730" s="7" t="s">
        <v>42521</v>
      </c>
      <c r="C730" s="7" t="s">
        <v>42522</v>
      </c>
      <c r="D730" s="7">
        <v>32758.0</v>
      </c>
      <c r="E730" s="902" t="s">
        <v>42523</v>
      </c>
      <c r="F730" s="902" t="s">
        <v>42524</v>
      </c>
      <c r="G730" s="903">
        <v>43294.0</v>
      </c>
      <c r="H730" s="904">
        <v>43291.0</v>
      </c>
      <c r="I730" s="7">
        <v>32755.0</v>
      </c>
      <c r="J730" s="905" t="s">
        <v>42525</v>
      </c>
    </row>
    <row r="731">
      <c r="A731" s="202">
        <v>13844.0</v>
      </c>
      <c r="B731" s="7" t="s">
        <v>42526</v>
      </c>
      <c r="C731" s="7" t="s">
        <v>42527</v>
      </c>
      <c r="D731" s="7">
        <v>33117.0</v>
      </c>
      <c r="E731" s="902" t="s">
        <v>42528</v>
      </c>
      <c r="F731" s="902" t="s">
        <v>42529</v>
      </c>
      <c r="G731" s="903">
        <v>43297.0</v>
      </c>
      <c r="H731" s="904">
        <v>43292.0</v>
      </c>
      <c r="I731" s="7">
        <v>33115.0</v>
      </c>
      <c r="J731" s="905" t="s">
        <v>42530</v>
      </c>
      <c r="K731" s="7" t="s">
        <v>42531</v>
      </c>
    </row>
    <row r="732">
      <c r="A732" s="202">
        <v>13845.0</v>
      </c>
      <c r="B732" s="7" t="s">
        <v>42532</v>
      </c>
      <c r="C732" s="7" t="s">
        <v>42533</v>
      </c>
      <c r="D732" s="7">
        <v>35103.0</v>
      </c>
      <c r="E732" s="902" t="s">
        <v>42534</v>
      </c>
      <c r="F732" s="902" t="s">
        <v>42535</v>
      </c>
      <c r="G732" s="903">
        <v>43305.0</v>
      </c>
      <c r="H732" s="904">
        <v>43300.0</v>
      </c>
      <c r="I732" s="7">
        <v>35099.0</v>
      </c>
      <c r="J732" s="905" t="s">
        <v>42536</v>
      </c>
      <c r="K732" s="7" t="s">
        <v>42537</v>
      </c>
    </row>
    <row r="733">
      <c r="A733" s="202">
        <v>13846.0</v>
      </c>
      <c r="B733" s="7" t="s">
        <v>42538</v>
      </c>
      <c r="C733" s="7" t="s">
        <v>42539</v>
      </c>
      <c r="D733" s="7">
        <v>38949.0</v>
      </c>
      <c r="E733" s="902" t="s">
        <v>42540</v>
      </c>
      <c r="F733" s="902" t="s">
        <v>42541</v>
      </c>
      <c r="G733" s="903">
        <v>43319.0</v>
      </c>
      <c r="H733" s="904">
        <v>43318.0</v>
      </c>
      <c r="I733" s="7">
        <v>38939.0</v>
      </c>
      <c r="J733" s="905" t="s">
        <v>42542</v>
      </c>
      <c r="K733" s="7" t="s">
        <v>42543</v>
      </c>
    </row>
    <row r="734">
      <c r="A734" s="202">
        <v>13847.0</v>
      </c>
      <c r="B734" s="7" t="s">
        <v>42544</v>
      </c>
      <c r="C734" s="7" t="s">
        <v>42545</v>
      </c>
      <c r="D734" s="7">
        <v>45323.0</v>
      </c>
      <c r="E734" s="902" t="s">
        <v>42546</v>
      </c>
      <c r="F734" s="902" t="s">
        <v>42547</v>
      </c>
      <c r="G734" s="903">
        <v>43349.0</v>
      </c>
      <c r="H734" s="904">
        <v>43343.0</v>
      </c>
      <c r="I734" s="7">
        <v>45321.0</v>
      </c>
      <c r="J734" s="905" t="s">
        <v>42548</v>
      </c>
    </row>
    <row r="735">
      <c r="A735" s="202">
        <v>13848.0</v>
      </c>
      <c r="B735" s="7" t="s">
        <v>42549</v>
      </c>
      <c r="C735" s="7" t="s">
        <v>42550</v>
      </c>
      <c r="D735" s="7">
        <v>46848.0</v>
      </c>
      <c r="E735" s="902" t="s">
        <v>42551</v>
      </c>
      <c r="F735" s="902" t="s">
        <v>42552</v>
      </c>
      <c r="G735" s="903">
        <v>43357.0</v>
      </c>
      <c r="H735" s="904">
        <v>43355.0</v>
      </c>
      <c r="I735" s="7">
        <v>46843.0</v>
      </c>
      <c r="J735" s="905" t="s">
        <v>42553</v>
      </c>
      <c r="K735" s="7" t="s">
        <v>42554</v>
      </c>
    </row>
    <row r="736">
      <c r="A736" s="202">
        <v>13849.0</v>
      </c>
      <c r="B736" s="7" t="s">
        <v>42555</v>
      </c>
      <c r="C736" s="7" t="s">
        <v>42556</v>
      </c>
      <c r="D736" s="7">
        <v>48200.0</v>
      </c>
      <c r="E736" s="902" t="s">
        <v>42557</v>
      </c>
      <c r="F736" s="902" t="s">
        <v>42558</v>
      </c>
      <c r="G736" s="903">
        <v>43364.0</v>
      </c>
      <c r="H736" s="904">
        <v>43363.0</v>
      </c>
      <c r="I736" s="7">
        <v>48195.0</v>
      </c>
      <c r="J736" s="905" t="s">
        <v>42559</v>
      </c>
      <c r="K736" s="7" t="s">
        <v>42560</v>
      </c>
    </row>
    <row r="737">
      <c r="A737" s="202">
        <v>13850.0</v>
      </c>
      <c r="B737" s="7" t="s">
        <v>42561</v>
      </c>
      <c r="C737" s="7" t="s">
        <v>42562</v>
      </c>
      <c r="D737" s="7">
        <v>55245.0</v>
      </c>
      <c r="E737" s="902" t="s">
        <v>42563</v>
      </c>
      <c r="F737" s="902" t="s">
        <v>42564</v>
      </c>
      <c r="G737" s="903">
        <v>43406.0</v>
      </c>
      <c r="H737" s="904">
        <v>43405.0</v>
      </c>
      <c r="I737" s="7">
        <v>55243.0</v>
      </c>
      <c r="J737" s="905" t="s">
        <v>42565</v>
      </c>
      <c r="K737" s="7" t="s">
        <v>42566</v>
      </c>
    </row>
    <row r="738">
      <c r="A738" s="202">
        <v>13851.0</v>
      </c>
      <c r="B738" s="7" t="s">
        <v>42567</v>
      </c>
      <c r="C738" s="7" t="s">
        <v>42568</v>
      </c>
      <c r="D738" s="7">
        <v>61507.0</v>
      </c>
      <c r="E738" s="902" t="s">
        <v>42569</v>
      </c>
      <c r="F738" s="902" t="s">
        <v>42570</v>
      </c>
      <c r="G738" s="906">
        <v>43433.0</v>
      </c>
      <c r="H738" s="904">
        <v>43431.0</v>
      </c>
      <c r="I738" s="7">
        <v>61505.0</v>
      </c>
      <c r="J738" s="905" t="s">
        <v>42571</v>
      </c>
      <c r="K738" s="7" t="s">
        <v>42572</v>
      </c>
    </row>
    <row r="739">
      <c r="A739" s="202">
        <v>13852.0</v>
      </c>
      <c r="B739" s="7" t="s">
        <v>42573</v>
      </c>
      <c r="C739" s="7" t="s">
        <v>42574</v>
      </c>
      <c r="D739" s="7">
        <v>62688.0</v>
      </c>
      <c r="E739" s="902" t="s">
        <v>42575</v>
      </c>
      <c r="F739" s="902" t="s">
        <v>42576</v>
      </c>
      <c r="G739" s="903">
        <v>43438.0</v>
      </c>
      <c r="H739" s="904">
        <v>43435.0</v>
      </c>
      <c r="I739" s="7">
        <v>62687.0</v>
      </c>
      <c r="J739" s="905" t="s">
        <v>42577</v>
      </c>
      <c r="K739" s="7" t="s">
        <v>39804</v>
      </c>
    </row>
    <row r="740">
      <c r="A740" s="202">
        <v>13853.0</v>
      </c>
      <c r="B740" s="7" t="s">
        <v>42578</v>
      </c>
      <c r="C740" s="7" t="s">
        <v>42579</v>
      </c>
      <c r="D740" s="7">
        <v>65074.0</v>
      </c>
      <c r="E740" s="902" t="s">
        <v>42580</v>
      </c>
      <c r="F740" s="902" t="s">
        <v>42581</v>
      </c>
      <c r="G740" s="906">
        <v>43452.0</v>
      </c>
      <c r="H740" s="904">
        <v>43446.0</v>
      </c>
      <c r="I740" s="7">
        <v>65071.0</v>
      </c>
      <c r="J740" s="905" t="s">
        <v>42582</v>
      </c>
      <c r="K740" s="7" t="s">
        <v>42583</v>
      </c>
    </row>
    <row r="741">
      <c r="A741" s="202">
        <v>13854.0</v>
      </c>
      <c r="B741" s="7" t="s">
        <v>42584</v>
      </c>
      <c r="C741" s="7" t="s">
        <v>42585</v>
      </c>
      <c r="D741" s="7">
        <v>65482.0</v>
      </c>
      <c r="E741" s="902" t="s">
        <v>42586</v>
      </c>
      <c r="F741" s="902" t="s">
        <v>42587</v>
      </c>
      <c r="G741" s="906">
        <v>43455.0</v>
      </c>
      <c r="H741" s="904">
        <v>43452.0</v>
      </c>
      <c r="I741" s="7">
        <v>65481.0</v>
      </c>
      <c r="J741" s="905" t="s">
        <v>42588</v>
      </c>
      <c r="K741" s="7" t="s">
        <v>39804</v>
      </c>
    </row>
    <row r="742">
      <c r="A742" s="202">
        <v>13855.0</v>
      </c>
      <c r="B742" s="7" t="s">
        <v>42589</v>
      </c>
      <c r="C742" s="7" t="s">
        <v>42590</v>
      </c>
      <c r="D742" s="7">
        <v>48.0</v>
      </c>
      <c r="E742" s="902" t="s">
        <v>42591</v>
      </c>
      <c r="F742" s="902" t="s">
        <v>42592</v>
      </c>
      <c r="G742" s="903">
        <v>43472.0</v>
      </c>
      <c r="H742" s="904">
        <v>43455.0</v>
      </c>
      <c r="I742" s="7">
        <v>45.0</v>
      </c>
      <c r="J742" s="905" t="s">
        <v>42593</v>
      </c>
    </row>
    <row r="743">
      <c r="A743" s="202">
        <v>13856.0</v>
      </c>
      <c r="B743" s="7" t="s">
        <v>42594</v>
      </c>
      <c r="C743" s="7" t="s">
        <v>42595</v>
      </c>
      <c r="D743" s="7">
        <v>77.0</v>
      </c>
      <c r="E743" s="902" t="s">
        <v>42596</v>
      </c>
      <c r="F743" s="902" t="s">
        <v>42597</v>
      </c>
      <c r="G743" s="903">
        <v>43473.0</v>
      </c>
      <c r="H743" s="904">
        <v>43462.0</v>
      </c>
      <c r="I743" s="7">
        <v>65.0</v>
      </c>
      <c r="J743" s="905" t="s">
        <v>38718</v>
      </c>
      <c r="K743" s="7" t="s">
        <v>42598</v>
      </c>
    </row>
    <row r="744">
      <c r="A744" s="202">
        <v>13857.0</v>
      </c>
      <c r="B744" s="7" t="s">
        <v>42599</v>
      </c>
      <c r="C744" s="7" t="s">
        <v>42600</v>
      </c>
      <c r="D744" s="7">
        <v>510.0</v>
      </c>
      <c r="E744" s="902" t="s">
        <v>42601</v>
      </c>
      <c r="F744" s="902" t="s">
        <v>42602</v>
      </c>
      <c r="G744" s="903">
        <v>43495.0</v>
      </c>
      <c r="H744" s="904">
        <v>43490.0</v>
      </c>
      <c r="I744" s="7">
        <v>509.0</v>
      </c>
      <c r="J744" s="905" t="s">
        <v>42603</v>
      </c>
      <c r="K744" s="7" t="s">
        <v>42604</v>
      </c>
    </row>
    <row r="745">
      <c r="A745" s="202">
        <v>13858.0</v>
      </c>
      <c r="B745" s="7" t="s">
        <v>42605</v>
      </c>
      <c r="C745" s="7" t="s">
        <v>42606</v>
      </c>
      <c r="D745" s="7">
        <v>2041.0</v>
      </c>
      <c r="E745" s="902" t="s">
        <v>42607</v>
      </c>
      <c r="F745" s="902" t="s">
        <v>42608</v>
      </c>
      <c r="G745" s="903">
        <v>43501.0</v>
      </c>
      <c r="H745" s="904">
        <v>43496.0</v>
      </c>
      <c r="I745" s="7">
        <v>2039.0</v>
      </c>
      <c r="J745" s="905" t="s">
        <v>42609</v>
      </c>
      <c r="K745" s="7" t="s">
        <v>42610</v>
      </c>
    </row>
    <row r="746">
      <c r="A746" s="202">
        <v>13859.0</v>
      </c>
      <c r="B746" s="7" t="s">
        <v>42611</v>
      </c>
      <c r="C746" s="7" t="s">
        <v>42612</v>
      </c>
      <c r="D746" s="7">
        <v>3972.0</v>
      </c>
      <c r="E746" s="902" t="s">
        <v>42613</v>
      </c>
      <c r="F746" s="902" t="s">
        <v>42614</v>
      </c>
      <c r="G746" s="903">
        <v>43510.0</v>
      </c>
      <c r="H746" s="904">
        <v>43507.0</v>
      </c>
      <c r="I746" s="7">
        <v>3967.0</v>
      </c>
      <c r="J746" s="905" t="s">
        <v>42615</v>
      </c>
      <c r="K746" s="7" t="s">
        <v>42616</v>
      </c>
    </row>
    <row r="747">
      <c r="A747" s="202">
        <v>13860.0</v>
      </c>
      <c r="B747" s="7" t="s">
        <v>42617</v>
      </c>
      <c r="C747" s="7" t="s">
        <v>42618</v>
      </c>
      <c r="D747" s="7">
        <v>8408.0</v>
      </c>
      <c r="E747" s="902" t="s">
        <v>42619</v>
      </c>
      <c r="F747" s="902" t="s">
        <v>42620</v>
      </c>
      <c r="G747" s="903">
        <v>43531.0</v>
      </c>
      <c r="H747" s="904">
        <v>43528.0</v>
      </c>
      <c r="I747" s="7">
        <v>8407.0</v>
      </c>
      <c r="J747" s="905" t="s">
        <v>42621</v>
      </c>
    </row>
    <row r="748">
      <c r="A748" s="202">
        <v>13861.0</v>
      </c>
      <c r="B748" s="7" t="s">
        <v>42622</v>
      </c>
      <c r="C748" s="7" t="s">
        <v>42623</v>
      </c>
      <c r="D748" s="7">
        <v>8588.0</v>
      </c>
      <c r="E748" s="902" t="s">
        <v>42624</v>
      </c>
      <c r="F748" s="902" t="s">
        <v>42625</v>
      </c>
      <c r="G748" s="903">
        <v>43532.0</v>
      </c>
      <c r="H748" s="904">
        <v>43529.0</v>
      </c>
      <c r="I748" s="7">
        <v>8585.0</v>
      </c>
      <c r="J748" s="905" t="s">
        <v>42626</v>
      </c>
    </row>
    <row r="749">
      <c r="A749" s="202">
        <v>13862.0</v>
      </c>
      <c r="B749" s="7" t="s">
        <v>42627</v>
      </c>
      <c r="C749" s="7" t="s">
        <v>42628</v>
      </c>
      <c r="D749" s="7">
        <v>8790.0</v>
      </c>
      <c r="E749" s="902" t="s">
        <v>42629</v>
      </c>
      <c r="F749" s="902" t="s">
        <v>42630</v>
      </c>
      <c r="G749" s="903">
        <v>43535.0</v>
      </c>
      <c r="H749" s="904">
        <v>43530.0</v>
      </c>
      <c r="I749" s="7">
        <v>8789.0</v>
      </c>
      <c r="J749" s="905" t="s">
        <v>42631</v>
      </c>
      <c r="K749" s="7" t="s">
        <v>42632</v>
      </c>
    </row>
    <row r="750">
      <c r="A750" s="202">
        <v>13863.0</v>
      </c>
      <c r="B750" s="7" t="s">
        <v>42633</v>
      </c>
      <c r="C750" s="7" t="s">
        <v>42634</v>
      </c>
      <c r="D750" s="7">
        <v>10256.0</v>
      </c>
      <c r="E750" s="902" t="s">
        <v>42635</v>
      </c>
      <c r="F750" s="902" t="s">
        <v>42636</v>
      </c>
      <c r="G750" s="903">
        <v>43543.0</v>
      </c>
      <c r="H750" s="904">
        <v>43539.0</v>
      </c>
      <c r="I750" s="7">
        <v>10255.0</v>
      </c>
      <c r="J750" s="905" t="s">
        <v>42637</v>
      </c>
      <c r="K750" s="7" t="s">
        <v>42638</v>
      </c>
    </row>
    <row r="751">
      <c r="A751" s="202">
        <v>13864.0</v>
      </c>
      <c r="B751" s="7" t="s">
        <v>42639</v>
      </c>
      <c r="C751" s="7" t="s">
        <v>42640</v>
      </c>
      <c r="D751" s="7">
        <v>11404.0</v>
      </c>
      <c r="E751" s="902" t="s">
        <v>42641</v>
      </c>
      <c r="F751" s="902" t="s">
        <v>42642</v>
      </c>
      <c r="G751" s="903">
        <v>43550.0</v>
      </c>
      <c r="H751" s="904">
        <v>43545.0</v>
      </c>
      <c r="I751" s="7">
        <v>11401.0</v>
      </c>
      <c r="J751" s="905" t="s">
        <v>42643</v>
      </c>
      <c r="K751" s="7" t="s">
        <v>42644</v>
      </c>
    </row>
    <row r="752">
      <c r="A752" s="202">
        <v>13865.0</v>
      </c>
      <c r="B752" s="7" t="s">
        <v>42645</v>
      </c>
      <c r="C752" s="7" t="s">
        <v>42646</v>
      </c>
      <c r="D752" s="7">
        <v>12046.0</v>
      </c>
      <c r="E752" s="902" t="s">
        <v>42647</v>
      </c>
      <c r="F752" s="902" t="s">
        <v>42648</v>
      </c>
      <c r="G752" s="903">
        <v>43553.0</v>
      </c>
      <c r="H752" s="904">
        <v>43550.0</v>
      </c>
      <c r="I752" s="7">
        <v>12041.0</v>
      </c>
      <c r="J752" s="905" t="s">
        <v>42649</v>
      </c>
      <c r="K752" s="7" t="s">
        <v>42650</v>
      </c>
    </row>
    <row r="753">
      <c r="A753" s="202">
        <v>13866.0</v>
      </c>
      <c r="B753" s="7" t="s">
        <v>42651</v>
      </c>
      <c r="C753" s="7" t="s">
        <v>42652</v>
      </c>
      <c r="D753" s="7">
        <v>12865.0</v>
      </c>
      <c r="E753" s="902" t="s">
        <v>42653</v>
      </c>
      <c r="F753" s="902" t="s">
        <v>42654</v>
      </c>
      <c r="G753" s="903">
        <v>43557.0</v>
      </c>
      <c r="H753" s="904">
        <v>43552.0</v>
      </c>
      <c r="I753" s="7">
        <v>12853.0</v>
      </c>
      <c r="J753" s="905" t="s">
        <v>38718</v>
      </c>
      <c r="K753" s="7" t="s">
        <v>42655</v>
      </c>
    </row>
    <row r="754">
      <c r="A754" s="202">
        <v>13867.0</v>
      </c>
      <c r="B754" s="7" t="s">
        <v>42656</v>
      </c>
      <c r="C754" s="7" t="s">
        <v>42657</v>
      </c>
      <c r="D754" s="7">
        <v>15493.0</v>
      </c>
      <c r="E754" s="902" t="s">
        <v>42658</v>
      </c>
      <c r="F754" s="902" t="s">
        <v>42659</v>
      </c>
      <c r="G754" s="903">
        <v>43570.0</v>
      </c>
      <c r="H754" s="904">
        <v>43565.0</v>
      </c>
      <c r="I754" s="7">
        <v>15491.0</v>
      </c>
      <c r="J754" s="905" t="s">
        <v>42660</v>
      </c>
      <c r="K754" s="7" t="s">
        <v>42661</v>
      </c>
    </row>
    <row r="755">
      <c r="A755" s="202">
        <v>13868.0</v>
      </c>
      <c r="B755" s="7" t="s">
        <v>42662</v>
      </c>
      <c r="C755" s="7" t="s">
        <v>42663</v>
      </c>
      <c r="D755" s="7">
        <v>15499.0</v>
      </c>
      <c r="E755" s="902" t="s">
        <v>42664</v>
      </c>
      <c r="F755" s="902" t="s">
        <v>42665</v>
      </c>
      <c r="G755" s="903">
        <v>43570.0</v>
      </c>
      <c r="H755" s="904">
        <v>43565.0</v>
      </c>
      <c r="I755" s="7">
        <v>15495.0</v>
      </c>
      <c r="J755" s="905" t="s">
        <v>42666</v>
      </c>
      <c r="K755" s="7" t="s">
        <v>42236</v>
      </c>
    </row>
    <row r="756">
      <c r="A756" s="202">
        <v>13869.0</v>
      </c>
      <c r="B756" s="7" t="s">
        <v>42667</v>
      </c>
      <c r="C756" s="7" t="s">
        <v>42668</v>
      </c>
      <c r="D756" s="7">
        <v>18131.0</v>
      </c>
      <c r="E756" s="902" t="s">
        <v>42669</v>
      </c>
      <c r="F756" s="902" t="s">
        <v>42670</v>
      </c>
      <c r="G756" s="903">
        <v>43584.0</v>
      </c>
      <c r="H756" s="904">
        <v>43579.0</v>
      </c>
      <c r="I756" s="7">
        <v>18125.0</v>
      </c>
      <c r="J756" s="905" t="s">
        <v>42671</v>
      </c>
      <c r="K756" s="7" t="s">
        <v>42672</v>
      </c>
    </row>
    <row r="757">
      <c r="A757" s="202">
        <v>13870.0</v>
      </c>
      <c r="B757" s="7" t="s">
        <v>42673</v>
      </c>
      <c r="C757" s="7" t="s">
        <v>42674</v>
      </c>
      <c r="D757" s="7">
        <v>20527.0</v>
      </c>
      <c r="E757" s="902" t="s">
        <v>42675</v>
      </c>
      <c r="F757" s="902" t="s">
        <v>42676</v>
      </c>
      <c r="G757" s="903">
        <v>43594.0</v>
      </c>
      <c r="H757" s="904">
        <v>43587.0</v>
      </c>
      <c r="I757" s="7">
        <v>20523.0</v>
      </c>
      <c r="J757" s="905" t="s">
        <v>42677</v>
      </c>
      <c r="K757" s="7" t="s">
        <v>42678</v>
      </c>
    </row>
    <row r="758">
      <c r="A758" s="202">
        <v>13871.0</v>
      </c>
      <c r="B758" s="7" t="s">
        <v>42679</v>
      </c>
      <c r="C758" s="7" t="s">
        <v>42680</v>
      </c>
      <c r="D758" s="7">
        <v>20764.0</v>
      </c>
      <c r="E758" s="902" t="s">
        <v>42681</v>
      </c>
      <c r="F758" s="902" t="s">
        <v>42682</v>
      </c>
      <c r="G758" s="903">
        <v>43595.0</v>
      </c>
      <c r="H758" s="904">
        <v>43593.0</v>
      </c>
      <c r="I758" s="7">
        <v>20761.0</v>
      </c>
      <c r="J758" s="905" t="s">
        <v>42683</v>
      </c>
      <c r="K758" s="7" t="s">
        <v>40921</v>
      </c>
    </row>
    <row r="759">
      <c r="A759" s="202">
        <v>13872.0</v>
      </c>
      <c r="B759" s="7" t="s">
        <v>42684</v>
      </c>
      <c r="C759" s="7" t="s">
        <v>42685</v>
      </c>
      <c r="D759" s="7">
        <v>22325.0</v>
      </c>
      <c r="E759" s="902" t="s">
        <v>42686</v>
      </c>
      <c r="F759" s="902" t="s">
        <v>42687</v>
      </c>
      <c r="G759" s="903">
        <v>43601.0</v>
      </c>
      <c r="H759" s="904">
        <v>43598.0</v>
      </c>
      <c r="I759" s="7">
        <v>22321.0</v>
      </c>
      <c r="J759" s="905" t="s">
        <v>42688</v>
      </c>
      <c r="K759" s="7" t="s">
        <v>42689</v>
      </c>
    </row>
    <row r="760">
      <c r="A760" s="202">
        <v>13873.0</v>
      </c>
      <c r="B760" s="7" t="s">
        <v>42690</v>
      </c>
      <c r="C760" s="7" t="s">
        <v>42691</v>
      </c>
      <c r="D760" s="7">
        <v>22692.0</v>
      </c>
      <c r="E760" s="902" t="s">
        <v>42692</v>
      </c>
      <c r="F760" s="902" t="s">
        <v>42693</v>
      </c>
      <c r="G760" s="903">
        <v>43602.0</v>
      </c>
      <c r="H760" s="904">
        <v>43600.0</v>
      </c>
      <c r="I760" s="7">
        <v>22689.0</v>
      </c>
      <c r="J760" s="905" t="s">
        <v>42694</v>
      </c>
      <c r="K760" s="7" t="s">
        <v>42279</v>
      </c>
    </row>
    <row r="761">
      <c r="A761" s="202">
        <v>13874.0</v>
      </c>
      <c r="B761" s="7" t="s">
        <v>42695</v>
      </c>
      <c r="C761" s="7" t="s">
        <v>42696</v>
      </c>
      <c r="D761" s="7">
        <v>27902.0</v>
      </c>
      <c r="E761" s="902" t="s">
        <v>42697</v>
      </c>
      <c r="F761" s="902" t="s">
        <v>42698</v>
      </c>
      <c r="G761" s="903">
        <v>43630.0</v>
      </c>
      <c r="H761" s="904">
        <v>43627.0</v>
      </c>
      <c r="I761" s="7">
        <v>27899.0</v>
      </c>
      <c r="J761" s="905" t="s">
        <v>42699</v>
      </c>
    </row>
    <row r="762">
      <c r="A762" s="202">
        <v>13875.0</v>
      </c>
      <c r="B762" s="7" t="s">
        <v>42700</v>
      </c>
      <c r="C762" s="7" t="s">
        <v>42701</v>
      </c>
      <c r="D762" s="7">
        <v>28713.0</v>
      </c>
      <c r="E762" s="902" t="s">
        <v>42702</v>
      </c>
      <c r="F762" s="902" t="s">
        <v>42703</v>
      </c>
      <c r="G762" s="903">
        <v>43635.0</v>
      </c>
      <c r="H762" s="904">
        <v>43630.0</v>
      </c>
      <c r="I762" s="7">
        <v>28711.0</v>
      </c>
      <c r="J762" s="905" t="s">
        <v>42704</v>
      </c>
      <c r="K762" s="7" t="s">
        <v>42705</v>
      </c>
    </row>
    <row r="763">
      <c r="A763" s="202">
        <v>13876.0</v>
      </c>
      <c r="B763" s="7" t="s">
        <v>42706</v>
      </c>
      <c r="C763" s="7" t="s">
        <v>42707</v>
      </c>
      <c r="D763" s="7">
        <v>30576.0</v>
      </c>
      <c r="E763" s="902" t="s">
        <v>42708</v>
      </c>
      <c r="F763" s="902" t="s">
        <v>42709</v>
      </c>
      <c r="G763" s="903">
        <v>43642.0</v>
      </c>
      <c r="H763" s="904">
        <v>43640.0</v>
      </c>
      <c r="I763" s="7">
        <v>30573.0</v>
      </c>
      <c r="J763" s="905" t="s">
        <v>42710</v>
      </c>
      <c r="K763" s="7" t="s">
        <v>40921</v>
      </c>
    </row>
    <row r="764">
      <c r="A764" s="202">
        <v>13877.0</v>
      </c>
      <c r="B764" s="7" t="s">
        <v>42711</v>
      </c>
      <c r="C764" s="7" t="s">
        <v>42712</v>
      </c>
      <c r="D764" s="7">
        <v>30852.0</v>
      </c>
      <c r="E764" s="902" t="s">
        <v>42713</v>
      </c>
      <c r="F764" s="902" t="s">
        <v>42714</v>
      </c>
      <c r="G764" s="903">
        <v>43643.0</v>
      </c>
      <c r="H764" s="904">
        <v>43640.0</v>
      </c>
      <c r="I764" s="7">
        <v>30849.0</v>
      </c>
      <c r="J764" s="905" t="s">
        <v>42715</v>
      </c>
      <c r="K764" s="7" t="s">
        <v>42716</v>
      </c>
    </row>
    <row r="765">
      <c r="A765" s="202">
        <v>13878.0</v>
      </c>
      <c r="B765" s="7" t="s">
        <v>42717</v>
      </c>
      <c r="C765" s="7" t="s">
        <v>42718</v>
      </c>
      <c r="D765" s="7">
        <v>30856.0</v>
      </c>
      <c r="E765" s="902" t="s">
        <v>42719</v>
      </c>
      <c r="F765" s="902" t="s">
        <v>42720</v>
      </c>
      <c r="G765" s="903">
        <v>43644.0</v>
      </c>
      <c r="H765" s="904">
        <v>43641.0</v>
      </c>
      <c r="I765" s="7">
        <v>30853.0</v>
      </c>
      <c r="J765" s="905" t="s">
        <v>42721</v>
      </c>
    </row>
    <row r="766">
      <c r="A766" s="202">
        <v>13879.0</v>
      </c>
      <c r="B766" s="7" t="s">
        <v>42722</v>
      </c>
      <c r="C766" s="7" t="s">
        <v>42723</v>
      </c>
      <c r="D766" s="7">
        <v>33819.0</v>
      </c>
      <c r="E766" s="902" t="s">
        <v>42724</v>
      </c>
      <c r="F766" s="902" t="s">
        <v>42725</v>
      </c>
      <c r="G766" s="903">
        <v>43661.0</v>
      </c>
      <c r="H766" s="904">
        <v>43656.0</v>
      </c>
      <c r="I766" s="7">
        <v>33817.0</v>
      </c>
      <c r="J766" s="905" t="s">
        <v>42726</v>
      </c>
    </row>
    <row r="767">
      <c r="A767" s="202">
        <v>13880.0</v>
      </c>
      <c r="B767" s="7" t="s">
        <v>42727</v>
      </c>
      <c r="C767" s="7" t="s">
        <v>42728</v>
      </c>
      <c r="D767" s="7">
        <v>33825.0</v>
      </c>
      <c r="E767" s="902" t="s">
        <v>42729</v>
      </c>
      <c r="F767" s="902" t="s">
        <v>42730</v>
      </c>
      <c r="G767" s="903">
        <v>43662.0</v>
      </c>
      <c r="H767" s="904">
        <v>43657.0</v>
      </c>
      <c r="I767" s="7">
        <v>33821.0</v>
      </c>
      <c r="J767" s="905" t="s">
        <v>42731</v>
      </c>
      <c r="K767" s="7" t="s">
        <v>42732</v>
      </c>
    </row>
    <row r="768">
      <c r="A768" s="202">
        <v>13881.0</v>
      </c>
      <c r="B768" s="7" t="s">
        <v>42733</v>
      </c>
      <c r="C768" s="7" t="s">
        <v>42734</v>
      </c>
      <c r="D768" s="7">
        <v>34259.0</v>
      </c>
      <c r="E768" s="902" t="s">
        <v>42735</v>
      </c>
      <c r="F768" s="902" t="s">
        <v>42736</v>
      </c>
      <c r="G768" s="903">
        <v>43664.0</v>
      </c>
      <c r="H768" s="904">
        <v>43661.0</v>
      </c>
      <c r="I768" s="7">
        <v>34257.0</v>
      </c>
      <c r="J768" s="905" t="s">
        <v>42737</v>
      </c>
      <c r="K768" s="7" t="s">
        <v>42738</v>
      </c>
    </row>
    <row r="769">
      <c r="A769" s="202">
        <v>13882.0</v>
      </c>
      <c r="B769" s="7" t="s">
        <v>42739</v>
      </c>
      <c r="C769" s="7" t="s">
        <v>42740</v>
      </c>
      <c r="D769" s="7">
        <v>37058.0</v>
      </c>
      <c r="E769" s="902" t="s">
        <v>42741</v>
      </c>
      <c r="F769" s="902" t="s">
        <v>42742</v>
      </c>
      <c r="G769" s="903">
        <v>43676.0</v>
      </c>
      <c r="H769" s="904">
        <v>43672.0</v>
      </c>
      <c r="I769" s="7">
        <v>37055.0</v>
      </c>
      <c r="J769" s="905" t="s">
        <v>42743</v>
      </c>
    </row>
    <row r="770">
      <c r="A770" s="202">
        <v>13883.0</v>
      </c>
      <c r="B770" s="7" t="s">
        <v>42744</v>
      </c>
      <c r="C770" s="7" t="s">
        <v>42745</v>
      </c>
      <c r="D770" s="7">
        <v>38114.0</v>
      </c>
      <c r="E770" s="902" t="s">
        <v>42746</v>
      </c>
      <c r="F770" s="902" t="s">
        <v>42747</v>
      </c>
      <c r="G770" s="903">
        <v>43682.0</v>
      </c>
      <c r="H770" s="904">
        <v>43678.0</v>
      </c>
      <c r="I770" s="7">
        <v>38113.0</v>
      </c>
      <c r="J770" s="905" t="s">
        <v>42748</v>
      </c>
      <c r="K770" s="7" t="s">
        <v>42749</v>
      </c>
    </row>
    <row r="771">
      <c r="A771" s="202">
        <v>13884.0</v>
      </c>
      <c r="B771" s="7" t="s">
        <v>42750</v>
      </c>
      <c r="C771" s="7" t="s">
        <v>42751</v>
      </c>
      <c r="D771" s="7">
        <v>38845.0</v>
      </c>
      <c r="E771" s="902" t="s">
        <v>42752</v>
      </c>
      <c r="F771" s="902" t="s">
        <v>42753</v>
      </c>
      <c r="G771" s="903">
        <v>43684.0</v>
      </c>
      <c r="H771" s="904">
        <v>43682.0</v>
      </c>
      <c r="I771" s="7">
        <v>38843.0</v>
      </c>
      <c r="J771" s="905" t="s">
        <v>42754</v>
      </c>
      <c r="K771" s="7" t="s">
        <v>42326</v>
      </c>
    </row>
    <row r="772">
      <c r="A772" s="202">
        <v>13885.0</v>
      </c>
      <c r="B772" s="7" t="s">
        <v>42755</v>
      </c>
      <c r="C772" s="7" t="s">
        <v>42756</v>
      </c>
      <c r="D772" s="7">
        <v>46874.0</v>
      </c>
      <c r="E772" s="902" t="s">
        <v>42757</v>
      </c>
      <c r="F772" s="902" t="s">
        <v>42758</v>
      </c>
      <c r="G772" s="903">
        <v>43713.0</v>
      </c>
      <c r="H772" s="904">
        <v>43707.0</v>
      </c>
      <c r="I772" s="7">
        <v>46873.0</v>
      </c>
      <c r="J772" s="905" t="s">
        <v>42759</v>
      </c>
      <c r="K772" s="7" t="s">
        <v>42760</v>
      </c>
    </row>
    <row r="773">
      <c r="A773" s="202">
        <v>13886.0</v>
      </c>
      <c r="B773" s="7" t="s">
        <v>42761</v>
      </c>
      <c r="C773" s="7" t="s">
        <v>42762</v>
      </c>
      <c r="D773" s="7">
        <v>48043.0</v>
      </c>
      <c r="E773" s="902" t="s">
        <v>42763</v>
      </c>
      <c r="F773" s="902" t="s">
        <v>42764</v>
      </c>
      <c r="G773" s="903">
        <v>43720.0</v>
      </c>
      <c r="H773" s="904">
        <v>43717.0</v>
      </c>
      <c r="I773" s="7">
        <v>48041.0</v>
      </c>
      <c r="J773" s="905" t="s">
        <v>42765</v>
      </c>
      <c r="K773" s="7" t="s">
        <v>42766</v>
      </c>
    </row>
    <row r="774">
      <c r="A774" s="202">
        <v>13887.0</v>
      </c>
      <c r="B774" s="7" t="s">
        <v>42767</v>
      </c>
      <c r="C774" s="7" t="s">
        <v>42768</v>
      </c>
      <c r="D774" s="7">
        <v>49939.0</v>
      </c>
      <c r="E774" s="902" t="s">
        <v>42769</v>
      </c>
      <c r="F774" s="902" t="s">
        <v>42770</v>
      </c>
      <c r="G774" s="903">
        <v>43732.0</v>
      </c>
      <c r="H774" s="904">
        <v>43727.0</v>
      </c>
      <c r="I774" s="7">
        <v>49935.0</v>
      </c>
      <c r="J774" s="905" t="s">
        <v>42771</v>
      </c>
    </row>
    <row r="775">
      <c r="A775" s="202">
        <v>13888.0</v>
      </c>
      <c r="B775" s="7" t="s">
        <v>42772</v>
      </c>
      <c r="C775" s="7" t="s">
        <v>42773</v>
      </c>
      <c r="D775" s="7">
        <v>52356.0</v>
      </c>
      <c r="E775" s="902" t="s">
        <v>42774</v>
      </c>
      <c r="F775" s="902" t="s">
        <v>42775</v>
      </c>
      <c r="G775" s="903">
        <v>43739.0</v>
      </c>
      <c r="H775" s="904">
        <v>43734.0</v>
      </c>
      <c r="I775" s="7">
        <v>52355.0</v>
      </c>
      <c r="J775" s="905" t="s">
        <v>42776</v>
      </c>
      <c r="K775" s="7" t="s">
        <v>42777</v>
      </c>
    </row>
    <row r="776">
      <c r="A776" s="202">
        <v>13889.0</v>
      </c>
      <c r="B776" s="7" t="s">
        <v>42778</v>
      </c>
      <c r="C776" s="7" t="s">
        <v>42779</v>
      </c>
      <c r="D776" s="7">
        <v>52745.0</v>
      </c>
      <c r="E776" s="902" t="s">
        <v>42780</v>
      </c>
      <c r="F776" s="902" t="s">
        <v>42781</v>
      </c>
      <c r="G776" s="903">
        <v>43740.0</v>
      </c>
      <c r="H776" s="904">
        <v>43735.0</v>
      </c>
      <c r="I776" s="7">
        <v>52743.0</v>
      </c>
      <c r="J776" s="905" t="s">
        <v>38683</v>
      </c>
      <c r="K776" s="7" t="s">
        <v>42782</v>
      </c>
    </row>
    <row r="777">
      <c r="A777" s="202">
        <v>13890.0</v>
      </c>
      <c r="B777" s="7" t="s">
        <v>42783</v>
      </c>
      <c r="C777" s="7" t="s">
        <v>42784</v>
      </c>
      <c r="D777" s="7">
        <v>53576.0</v>
      </c>
      <c r="E777" s="902" t="s">
        <v>42785</v>
      </c>
      <c r="F777" s="902" t="s">
        <v>42786</v>
      </c>
      <c r="G777" s="903">
        <v>43746.0</v>
      </c>
      <c r="H777" s="904">
        <v>43741.0</v>
      </c>
      <c r="I777" s="7">
        <v>53573.0</v>
      </c>
      <c r="J777" s="905" t="s">
        <v>42787</v>
      </c>
      <c r="K777" s="7" t="s">
        <v>42716</v>
      </c>
    </row>
    <row r="778">
      <c r="A778" s="202">
        <v>13891.0</v>
      </c>
      <c r="B778" s="7" t="s">
        <v>42788</v>
      </c>
      <c r="C778" s="7" t="s">
        <v>42789</v>
      </c>
      <c r="D778" s="7">
        <v>55238.0</v>
      </c>
      <c r="E778" s="902" t="s">
        <v>42790</v>
      </c>
      <c r="F778" s="902" t="s">
        <v>42791</v>
      </c>
      <c r="G778" s="906">
        <v>43753.0</v>
      </c>
      <c r="H778" s="904">
        <v>43747.0</v>
      </c>
      <c r="I778" s="7">
        <v>55235.0</v>
      </c>
      <c r="J778" s="905" t="s">
        <v>42792</v>
      </c>
      <c r="K778" s="7" t="s">
        <v>42793</v>
      </c>
    </row>
    <row r="779">
      <c r="A779" s="202">
        <v>13892.0</v>
      </c>
      <c r="B779" s="7" t="s">
        <v>42794</v>
      </c>
      <c r="C779" s="7" t="s">
        <v>42795</v>
      </c>
      <c r="D779" s="7">
        <v>55243.0</v>
      </c>
      <c r="E779" s="902" t="s">
        <v>42796</v>
      </c>
      <c r="F779" s="902" t="s">
        <v>42797</v>
      </c>
      <c r="G779" s="906">
        <v>43753.0</v>
      </c>
      <c r="H779" s="904">
        <v>43747.0</v>
      </c>
      <c r="I779" s="7">
        <v>55239.0</v>
      </c>
      <c r="J779" s="905" t="s">
        <v>42798</v>
      </c>
      <c r="K779" s="7" t="s">
        <v>42705</v>
      </c>
    </row>
    <row r="780">
      <c r="A780" s="202">
        <v>13893.0</v>
      </c>
      <c r="B780" s="7" t="s">
        <v>42799</v>
      </c>
      <c r="C780" s="7" t="s">
        <v>42800</v>
      </c>
      <c r="D780" s="7">
        <v>55488.0</v>
      </c>
      <c r="E780" s="902" t="s">
        <v>42801</v>
      </c>
      <c r="F780" s="902" t="s">
        <v>42802</v>
      </c>
      <c r="G780" s="906">
        <v>43754.0</v>
      </c>
      <c r="H780" s="904">
        <v>43748.0</v>
      </c>
      <c r="I780" s="7">
        <v>55487.0</v>
      </c>
      <c r="J780" s="905" t="s">
        <v>42803</v>
      </c>
      <c r="K780" s="7" t="s">
        <v>42705</v>
      </c>
    </row>
    <row r="781">
      <c r="A781" s="202">
        <v>13894.0</v>
      </c>
      <c r="B781" s="7" t="s">
        <v>42804</v>
      </c>
      <c r="C781" s="7" t="s">
        <v>42805</v>
      </c>
      <c r="D781" s="7">
        <v>55855.0</v>
      </c>
      <c r="E781" s="902" t="s">
        <v>42806</v>
      </c>
      <c r="F781" s="902" t="s">
        <v>42807</v>
      </c>
      <c r="G781" s="906">
        <v>43755.0</v>
      </c>
      <c r="H781" s="904">
        <v>43752.0</v>
      </c>
      <c r="I781" s="7">
        <v>55851.0</v>
      </c>
      <c r="J781" s="905" t="s">
        <v>42808</v>
      </c>
    </row>
    <row r="782">
      <c r="A782" s="202">
        <v>13895.0</v>
      </c>
      <c r="B782" s="7" t="s">
        <v>42809</v>
      </c>
      <c r="C782" s="7" t="s">
        <v>42810</v>
      </c>
      <c r="D782" s="7">
        <v>57311.0</v>
      </c>
      <c r="E782" s="902" t="s">
        <v>42811</v>
      </c>
      <c r="F782" s="902" t="s">
        <v>42812</v>
      </c>
      <c r="G782" s="906">
        <v>43763.0</v>
      </c>
      <c r="H782" s="904">
        <v>43760.0</v>
      </c>
      <c r="I782" s="7">
        <v>57309.0</v>
      </c>
      <c r="J782" s="905" t="s">
        <v>39164</v>
      </c>
      <c r="K782" s="7" t="s">
        <v>42813</v>
      </c>
    </row>
    <row r="783">
      <c r="A783" s="202">
        <v>13896.0</v>
      </c>
      <c r="B783" s="7" t="s">
        <v>42814</v>
      </c>
      <c r="C783" s="7" t="s">
        <v>42815</v>
      </c>
      <c r="D783" s="7">
        <v>58597.0</v>
      </c>
      <c r="E783" s="902" t="s">
        <v>42816</v>
      </c>
      <c r="F783" s="902" t="s">
        <v>42817</v>
      </c>
      <c r="G783" s="903">
        <v>43770.0</v>
      </c>
      <c r="H783" s="904">
        <v>43766.0</v>
      </c>
      <c r="I783" s="7">
        <v>58595.0</v>
      </c>
      <c r="J783" s="905" t="s">
        <v>42818</v>
      </c>
    </row>
    <row r="784">
      <c r="A784" s="202">
        <v>13897.0</v>
      </c>
      <c r="B784" s="7" t="s">
        <v>42819</v>
      </c>
      <c r="C784" s="7" t="s">
        <v>42820</v>
      </c>
      <c r="D784" s="7">
        <v>59710.0</v>
      </c>
      <c r="E784" s="902" t="s">
        <v>42821</v>
      </c>
      <c r="F784" s="902" t="s">
        <v>42822</v>
      </c>
      <c r="G784" s="903">
        <v>43774.0</v>
      </c>
      <c r="H784" s="904">
        <v>43769.0</v>
      </c>
      <c r="I784" s="7">
        <v>59709.0</v>
      </c>
      <c r="J784" s="905" t="s">
        <v>42823</v>
      </c>
      <c r="K784" s="7" t="s">
        <v>42824</v>
      </c>
    </row>
    <row r="785">
      <c r="A785" s="202">
        <v>13898.0</v>
      </c>
      <c r="B785" s="7" t="s">
        <v>42825</v>
      </c>
      <c r="C785" s="7" t="s">
        <v>42826</v>
      </c>
      <c r="D785" s="7">
        <v>66061.0</v>
      </c>
      <c r="E785" s="902" t="s">
        <v>42827</v>
      </c>
      <c r="F785" s="902" t="s">
        <v>42828</v>
      </c>
      <c r="G785" s="903">
        <v>43801.0</v>
      </c>
      <c r="H785" s="904">
        <v>43795.0</v>
      </c>
      <c r="I785" s="7">
        <v>66059.0</v>
      </c>
      <c r="J785" s="905" t="s">
        <v>42829</v>
      </c>
    </row>
    <row r="786">
      <c r="A786" s="202">
        <v>13899.0</v>
      </c>
      <c r="B786" s="7" t="s">
        <v>42830</v>
      </c>
      <c r="C786" s="7" t="s">
        <v>42831</v>
      </c>
      <c r="D786" s="7">
        <v>68780.0</v>
      </c>
      <c r="E786" s="902" t="s">
        <v>42832</v>
      </c>
      <c r="F786" s="902" t="s">
        <v>42833</v>
      </c>
      <c r="G786" s="906">
        <v>43815.0</v>
      </c>
      <c r="H786" s="904">
        <v>43810.0</v>
      </c>
      <c r="I786" s="7">
        <v>68779.0</v>
      </c>
      <c r="J786" s="905" t="s">
        <v>42834</v>
      </c>
    </row>
    <row r="787">
      <c r="A787" s="202">
        <v>13900.0</v>
      </c>
      <c r="B787" s="7" t="s">
        <v>42835</v>
      </c>
      <c r="C787" s="7" t="s">
        <v>42836</v>
      </c>
      <c r="D787" s="7">
        <v>69984.0</v>
      </c>
      <c r="E787" s="902" t="s">
        <v>42837</v>
      </c>
      <c r="F787" s="902" t="s">
        <v>42838</v>
      </c>
      <c r="G787" s="906">
        <v>43819.0</v>
      </c>
      <c r="H787" s="904">
        <v>43816.0</v>
      </c>
      <c r="I787" s="7">
        <v>69983.0</v>
      </c>
      <c r="J787" s="905" t="s">
        <v>42839</v>
      </c>
      <c r="K787" s="7" t="s">
        <v>39804</v>
      </c>
    </row>
    <row r="788">
      <c r="A788" s="202">
        <v>13901.0</v>
      </c>
      <c r="B788" s="7" t="s">
        <v>42840</v>
      </c>
      <c r="C788" s="7" t="s">
        <v>42841</v>
      </c>
      <c r="D788" s="7">
        <v>72225.0</v>
      </c>
      <c r="E788" s="902" t="s">
        <v>42842</v>
      </c>
      <c r="F788" s="902" t="s">
        <v>42843</v>
      </c>
      <c r="G788" s="906">
        <v>43829.0</v>
      </c>
      <c r="H788" s="904">
        <v>43825.0</v>
      </c>
      <c r="I788" s="7">
        <v>72213.0</v>
      </c>
      <c r="J788" s="905" t="s">
        <v>38718</v>
      </c>
      <c r="K788" s="7" t="s">
        <v>42844</v>
      </c>
    </row>
    <row r="789">
      <c r="A789" s="202">
        <v>13902.0</v>
      </c>
      <c r="B789" s="7" t="s">
        <v>42845</v>
      </c>
      <c r="C789" s="7" t="s">
        <v>42846</v>
      </c>
      <c r="D789" s="7">
        <v>2006.0</v>
      </c>
      <c r="E789" s="902" t="s">
        <v>42847</v>
      </c>
      <c r="F789" s="902" t="s">
        <v>42848</v>
      </c>
      <c r="G789" s="903">
        <v>43844.0</v>
      </c>
      <c r="H789" s="904">
        <v>43840.0</v>
      </c>
      <c r="I789" s="7">
        <v>2003.0</v>
      </c>
      <c r="J789" s="905" t="s">
        <v>42849</v>
      </c>
      <c r="K789" s="7" t="s">
        <v>40921</v>
      </c>
    </row>
    <row r="790">
      <c r="A790" s="202">
        <v>13903.0</v>
      </c>
      <c r="B790" s="7" t="s">
        <v>42850</v>
      </c>
      <c r="C790" s="7" t="s">
        <v>42851</v>
      </c>
      <c r="D790" s="7">
        <v>6723.0</v>
      </c>
      <c r="E790" s="902" t="s">
        <v>42852</v>
      </c>
      <c r="F790" s="902" t="s">
        <v>42853</v>
      </c>
      <c r="G790" s="903">
        <v>43866.0</v>
      </c>
      <c r="H790" s="904">
        <v>43861.0</v>
      </c>
      <c r="I790" s="7">
        <v>6721.0</v>
      </c>
      <c r="J790" s="905" t="s">
        <v>42854</v>
      </c>
      <c r="K790" s="7" t="s">
        <v>42855</v>
      </c>
    </row>
    <row r="791">
      <c r="A791" s="202">
        <v>13904.0</v>
      </c>
      <c r="B791" s="7" t="s">
        <v>42856</v>
      </c>
      <c r="C791" s="7" t="s">
        <v>42857</v>
      </c>
      <c r="D791" s="7">
        <v>6729.0</v>
      </c>
      <c r="E791" s="902" t="s">
        <v>42858</v>
      </c>
      <c r="F791" s="902" t="s">
        <v>42859</v>
      </c>
      <c r="G791" s="903">
        <v>43866.0</v>
      </c>
      <c r="H791" s="904">
        <v>43861.0</v>
      </c>
      <c r="I791" s="7">
        <v>6725.0</v>
      </c>
      <c r="J791" s="905" t="s">
        <v>42860</v>
      </c>
      <c r="K791" s="7" t="s">
        <v>42861</v>
      </c>
    </row>
    <row r="792">
      <c r="A792" s="202">
        <v>13905.0</v>
      </c>
      <c r="B792" s="7" t="s">
        <v>42862</v>
      </c>
      <c r="C792" s="7" t="s">
        <v>42863</v>
      </c>
      <c r="D792" s="7">
        <v>9361.0</v>
      </c>
      <c r="E792" s="902" t="s">
        <v>42864</v>
      </c>
      <c r="F792" s="902" t="s">
        <v>42865</v>
      </c>
      <c r="G792" s="903">
        <v>43879.0</v>
      </c>
      <c r="H792" s="904">
        <v>43873.0</v>
      </c>
      <c r="I792" s="7">
        <v>9359.0</v>
      </c>
      <c r="J792" s="905" t="s">
        <v>42866</v>
      </c>
    </row>
    <row r="793">
      <c r="A793" s="202">
        <v>13906.0</v>
      </c>
      <c r="B793" s="7" t="s">
        <v>42867</v>
      </c>
      <c r="C793" s="7" t="s">
        <v>42868</v>
      </c>
      <c r="D793" s="7">
        <v>10032.0</v>
      </c>
      <c r="E793" s="902" t="s">
        <v>42869</v>
      </c>
      <c r="F793" s="902" t="s">
        <v>42870</v>
      </c>
      <c r="G793" s="903">
        <v>43881.0</v>
      </c>
      <c r="H793" s="904">
        <v>43874.0</v>
      </c>
      <c r="I793" s="7">
        <v>10031.0</v>
      </c>
      <c r="J793" s="905" t="s">
        <v>42871</v>
      </c>
      <c r="K793" s="7" t="s">
        <v>42872</v>
      </c>
    </row>
    <row r="794">
      <c r="A794" s="202">
        <v>13907.0</v>
      </c>
      <c r="B794" s="7" t="s">
        <v>42873</v>
      </c>
      <c r="C794" s="7" t="s">
        <v>42874</v>
      </c>
      <c r="D794" s="7">
        <v>12978.0</v>
      </c>
      <c r="E794" s="902" t="s">
        <v>42875</v>
      </c>
      <c r="F794" s="902" t="s">
        <v>42876</v>
      </c>
      <c r="G794" s="903">
        <v>43895.0</v>
      </c>
      <c r="H794" s="904">
        <v>43889.0</v>
      </c>
      <c r="I794" s="7">
        <v>12977.0</v>
      </c>
      <c r="J794" s="905" t="s">
        <v>42877</v>
      </c>
    </row>
    <row r="795">
      <c r="A795" s="202">
        <v>13908.0</v>
      </c>
      <c r="B795" s="7" t="s">
        <v>42878</v>
      </c>
      <c r="C795" s="7" t="s">
        <v>42879</v>
      </c>
      <c r="D795" s="7">
        <v>12984.0</v>
      </c>
      <c r="E795" s="902" t="s">
        <v>42880</v>
      </c>
      <c r="F795" s="902" t="s">
        <v>42881</v>
      </c>
      <c r="G795" s="903">
        <v>43896.0</v>
      </c>
      <c r="H795" s="904">
        <v>43889.0</v>
      </c>
      <c r="I795" s="7">
        <v>12983.0</v>
      </c>
      <c r="J795" s="905" t="s">
        <v>42882</v>
      </c>
    </row>
    <row r="796">
      <c r="A796" s="202">
        <v>13909.0</v>
      </c>
      <c r="B796" s="7" t="s">
        <v>42883</v>
      </c>
      <c r="C796" s="7" t="s">
        <v>42884</v>
      </c>
      <c r="D796" s="7">
        <v>16228.0</v>
      </c>
      <c r="E796" s="902" t="s">
        <v>42885</v>
      </c>
      <c r="F796" s="902" t="s">
        <v>42886</v>
      </c>
      <c r="G796" s="903">
        <v>43913.0</v>
      </c>
      <c r="H796" s="904">
        <v>43908.0</v>
      </c>
      <c r="I796" s="7">
        <v>16227.0</v>
      </c>
      <c r="J796" s="905" t="s">
        <v>42887</v>
      </c>
      <c r="K796" s="7" t="s">
        <v>42888</v>
      </c>
    </row>
    <row r="797">
      <c r="A797" s="202">
        <v>13910.0</v>
      </c>
      <c r="B797" s="7" t="s">
        <v>42889</v>
      </c>
      <c r="C797" s="7" t="s">
        <v>42890</v>
      </c>
      <c r="D797" s="7">
        <v>17002.0</v>
      </c>
      <c r="E797" s="902" t="s">
        <v>42891</v>
      </c>
      <c r="F797" s="902" t="s">
        <v>42892</v>
      </c>
      <c r="G797" s="903">
        <v>43916.0</v>
      </c>
      <c r="H797" s="904">
        <v>43913.0</v>
      </c>
      <c r="I797" s="7">
        <v>17001.0</v>
      </c>
      <c r="J797" s="905" t="s">
        <v>42893</v>
      </c>
      <c r="K797" s="7" t="s">
        <v>42894</v>
      </c>
    </row>
    <row r="798">
      <c r="A798" s="202">
        <v>13911.0</v>
      </c>
      <c r="B798" s="7" t="s">
        <v>42895</v>
      </c>
      <c r="C798" s="7" t="s">
        <v>42896</v>
      </c>
      <c r="D798" s="7">
        <v>18405.0</v>
      </c>
      <c r="E798" s="902" t="s">
        <v>42897</v>
      </c>
      <c r="F798" s="902" t="s">
        <v>42898</v>
      </c>
      <c r="G798" s="903">
        <v>43922.0</v>
      </c>
      <c r="H798" s="904">
        <v>43917.0</v>
      </c>
      <c r="I798" s="7">
        <v>18403.0</v>
      </c>
      <c r="J798" s="905" t="s">
        <v>42899</v>
      </c>
      <c r="K798" s="7" t="s">
        <v>42900</v>
      </c>
    </row>
    <row r="799">
      <c r="A799" s="202">
        <v>13912.0</v>
      </c>
      <c r="B799" s="7" t="s">
        <v>42901</v>
      </c>
      <c r="C799" s="7" t="s">
        <v>42902</v>
      </c>
      <c r="D799" s="7">
        <v>18408.0</v>
      </c>
      <c r="E799" s="902" t="s">
        <v>42903</v>
      </c>
      <c r="F799" s="902" t="s">
        <v>42904</v>
      </c>
      <c r="G799" s="903">
        <v>43922.0</v>
      </c>
      <c r="H799" s="904">
        <v>43917.0</v>
      </c>
      <c r="I799" s="7">
        <v>18407.0</v>
      </c>
      <c r="J799" s="905" t="s">
        <v>42905</v>
      </c>
    </row>
    <row r="800">
      <c r="A800" s="202">
        <v>13913.0</v>
      </c>
      <c r="B800" s="7" t="s">
        <v>42906</v>
      </c>
      <c r="C800" s="7" t="s">
        <v>42907</v>
      </c>
      <c r="D800" s="7">
        <v>19650.0</v>
      </c>
      <c r="E800" s="902" t="s">
        <v>42908</v>
      </c>
      <c r="F800" s="902" t="s">
        <v>42909</v>
      </c>
      <c r="G800" s="903">
        <v>43929.0</v>
      </c>
      <c r="H800" s="904">
        <v>43925.0</v>
      </c>
      <c r="I800" s="7">
        <v>19643.0</v>
      </c>
      <c r="J800" s="905" t="s">
        <v>42910</v>
      </c>
      <c r="K800" s="7" t="s">
        <v>42911</v>
      </c>
    </row>
    <row r="801">
      <c r="A801" s="202">
        <v>13914.0</v>
      </c>
      <c r="B801" s="7" t="s">
        <v>42912</v>
      </c>
      <c r="C801" s="7" t="s">
        <v>42913</v>
      </c>
      <c r="D801" s="7">
        <v>20382.0</v>
      </c>
      <c r="E801" s="902" t="s">
        <v>42914</v>
      </c>
      <c r="F801" s="902" t="s">
        <v>42915</v>
      </c>
      <c r="G801" s="903">
        <v>43931.0</v>
      </c>
      <c r="H801" s="904">
        <v>43927.0</v>
      </c>
      <c r="I801" s="7">
        <v>20381.0</v>
      </c>
      <c r="J801" s="905" t="s">
        <v>42916</v>
      </c>
    </row>
    <row r="802">
      <c r="A802" s="202">
        <v>13915.0</v>
      </c>
      <c r="B802" s="7" t="s">
        <v>42917</v>
      </c>
      <c r="C802" s="7" t="s">
        <v>42918</v>
      </c>
      <c r="D802" s="7">
        <v>21734.0</v>
      </c>
      <c r="E802" s="902" t="s">
        <v>42919</v>
      </c>
      <c r="F802" s="902" t="s">
        <v>42920</v>
      </c>
      <c r="G802" s="903">
        <v>43938.0</v>
      </c>
      <c r="H802" s="904">
        <v>43935.0</v>
      </c>
      <c r="I802" s="7">
        <v>21733.0</v>
      </c>
      <c r="J802" s="905" t="s">
        <v>39269</v>
      </c>
      <c r="K802" s="7" t="s">
        <v>42921</v>
      </c>
    </row>
    <row r="803">
      <c r="A803" s="202">
        <v>13916.0</v>
      </c>
      <c r="B803" s="7" t="s">
        <v>42922</v>
      </c>
      <c r="C803" s="7" t="s">
        <v>42923</v>
      </c>
      <c r="D803" s="7">
        <v>22952.0</v>
      </c>
      <c r="E803" s="902" t="s">
        <v>42924</v>
      </c>
      <c r="F803" s="902" t="s">
        <v>42925</v>
      </c>
      <c r="G803" s="903">
        <v>43944.0</v>
      </c>
      <c r="H803" s="904">
        <v>43939.0</v>
      </c>
      <c r="I803" s="7">
        <v>22951.0</v>
      </c>
      <c r="J803" s="905" t="s">
        <v>42926</v>
      </c>
    </row>
    <row r="804">
      <c r="A804" s="202">
        <v>13917.0</v>
      </c>
      <c r="B804" s="7" t="s">
        <v>42927</v>
      </c>
      <c r="C804" s="7" t="s">
        <v>42928</v>
      </c>
      <c r="D804" s="7">
        <v>26314.0</v>
      </c>
      <c r="E804" s="902" t="s">
        <v>42929</v>
      </c>
      <c r="F804" s="902" t="s">
        <v>42930</v>
      </c>
      <c r="G804" s="903">
        <v>43952.0</v>
      </c>
      <c r="H804" s="904">
        <v>43949.0</v>
      </c>
      <c r="I804" s="7">
        <v>26313.0</v>
      </c>
      <c r="J804" s="905" t="s">
        <v>42931</v>
      </c>
      <c r="K804" s="7" t="s">
        <v>42888</v>
      </c>
    </row>
    <row r="805">
      <c r="A805" s="202">
        <v>13918.0</v>
      </c>
      <c r="B805" s="7" t="s">
        <v>42932</v>
      </c>
      <c r="C805" s="7" t="s">
        <v>42933</v>
      </c>
      <c r="D805" s="7">
        <v>26316.0</v>
      </c>
      <c r="E805" s="902" t="s">
        <v>42934</v>
      </c>
      <c r="F805" s="902" t="s">
        <v>42935</v>
      </c>
      <c r="G805" s="903">
        <v>43952.0</v>
      </c>
      <c r="H805" s="904">
        <v>43949.0</v>
      </c>
      <c r="I805" s="7">
        <v>26315.0</v>
      </c>
      <c r="J805" s="905" t="s">
        <v>42936</v>
      </c>
    </row>
    <row r="806">
      <c r="A806" s="202">
        <v>13919.0</v>
      </c>
      <c r="B806" s="7" t="s">
        <v>42937</v>
      </c>
      <c r="C806" s="7" t="s">
        <v>42938</v>
      </c>
      <c r="D806" s="7">
        <v>26592.0</v>
      </c>
      <c r="E806" s="902" t="s">
        <v>42939</v>
      </c>
      <c r="F806" s="902" t="s">
        <v>42940</v>
      </c>
      <c r="G806" s="903">
        <v>43955.0</v>
      </c>
      <c r="H806" s="904">
        <v>43951.0</v>
      </c>
      <c r="I806" s="7">
        <v>26591.0</v>
      </c>
      <c r="J806" s="905" t="s">
        <v>42941</v>
      </c>
    </row>
    <row r="807">
      <c r="A807" s="202">
        <v>13920.0</v>
      </c>
      <c r="B807" s="7" t="s">
        <v>42942</v>
      </c>
      <c r="C807" s="7" t="s">
        <v>42943</v>
      </c>
      <c r="D807" s="7">
        <v>26599.0</v>
      </c>
      <c r="E807" s="902" t="s">
        <v>42944</v>
      </c>
      <c r="F807" s="902" t="s">
        <v>42945</v>
      </c>
      <c r="G807" s="903">
        <v>43955.0</v>
      </c>
      <c r="H807" s="904">
        <v>43952.0</v>
      </c>
      <c r="I807" s="7">
        <v>26595.0</v>
      </c>
      <c r="J807" s="905" t="s">
        <v>42946</v>
      </c>
      <c r="K807" s="7" t="s">
        <v>42947</v>
      </c>
    </row>
    <row r="808">
      <c r="A808" s="202">
        <v>13921.0</v>
      </c>
      <c r="B808" s="7" t="s">
        <v>42948</v>
      </c>
      <c r="C808" s="7" t="s">
        <v>42949</v>
      </c>
      <c r="D808" s="7">
        <v>28477.0</v>
      </c>
      <c r="E808" s="902" t="s">
        <v>42950</v>
      </c>
      <c r="F808" s="902" t="s">
        <v>42951</v>
      </c>
      <c r="G808" s="903">
        <v>43963.0</v>
      </c>
      <c r="H808" s="904">
        <v>43958.0</v>
      </c>
      <c r="I808" s="7">
        <v>28471.0</v>
      </c>
      <c r="J808" s="905" t="s">
        <v>42952</v>
      </c>
      <c r="K808" s="7" t="s">
        <v>42176</v>
      </c>
    </row>
    <row r="809">
      <c r="A809" s="202">
        <v>13922.0</v>
      </c>
      <c r="B809" s="7" t="s">
        <v>42953</v>
      </c>
      <c r="C809" s="7" t="s">
        <v>42954</v>
      </c>
      <c r="D809" s="7">
        <v>30584.0</v>
      </c>
      <c r="E809" s="902" t="s">
        <v>42955</v>
      </c>
      <c r="F809" s="902" t="s">
        <v>42956</v>
      </c>
      <c r="G809" s="903">
        <v>43970.0</v>
      </c>
      <c r="H809" s="904">
        <v>43965.0</v>
      </c>
      <c r="I809" s="7">
        <v>30583.0</v>
      </c>
      <c r="J809" s="905" t="s">
        <v>42957</v>
      </c>
      <c r="K809" s="7" t="s">
        <v>42958</v>
      </c>
    </row>
    <row r="810">
      <c r="A810" s="202">
        <v>13923.0</v>
      </c>
      <c r="B810" s="7" t="s">
        <v>42959</v>
      </c>
      <c r="C810" s="7" t="s">
        <v>42960</v>
      </c>
      <c r="D810" s="7">
        <v>30588.0</v>
      </c>
      <c r="E810" s="902" t="s">
        <v>42961</v>
      </c>
      <c r="F810" s="902" t="s">
        <v>42962</v>
      </c>
      <c r="G810" s="903">
        <v>43971.0</v>
      </c>
      <c r="H810" s="904">
        <v>43966.0</v>
      </c>
      <c r="I810" s="7">
        <v>30587.0</v>
      </c>
      <c r="J810" s="905" t="s">
        <v>42963</v>
      </c>
    </row>
    <row r="811">
      <c r="A811" s="202">
        <v>13924.0</v>
      </c>
      <c r="B811" s="7" t="s">
        <v>42964</v>
      </c>
      <c r="C811" s="7" t="s">
        <v>42965</v>
      </c>
      <c r="D811" s="7">
        <v>31356.0</v>
      </c>
      <c r="E811" s="902" t="s">
        <v>42966</v>
      </c>
      <c r="F811" s="902" t="s">
        <v>42967</v>
      </c>
      <c r="G811" s="903">
        <v>43973.0</v>
      </c>
      <c r="H811" s="904">
        <v>43970.0</v>
      </c>
      <c r="I811" s="7">
        <v>31353.0</v>
      </c>
      <c r="J811" s="905" t="s">
        <v>42968</v>
      </c>
      <c r="K811" s="7" t="s">
        <v>42969</v>
      </c>
    </row>
    <row r="812">
      <c r="A812" s="202">
        <v>13925.0</v>
      </c>
      <c r="B812" s="7" t="s">
        <v>42970</v>
      </c>
      <c r="C812" s="7" t="s">
        <v>42971</v>
      </c>
      <c r="D812" s="7">
        <v>34083.0</v>
      </c>
      <c r="E812" s="902" t="s">
        <v>42972</v>
      </c>
      <c r="F812" s="902" t="s">
        <v>42973</v>
      </c>
      <c r="G812" s="903">
        <v>43984.0</v>
      </c>
      <c r="H812" s="904">
        <v>43979.0</v>
      </c>
      <c r="I812" s="7">
        <v>34079.0</v>
      </c>
      <c r="J812" s="905" t="s">
        <v>42974</v>
      </c>
      <c r="K812" s="7" t="s">
        <v>42975</v>
      </c>
    </row>
    <row r="813">
      <c r="A813" s="202">
        <v>13926.0</v>
      </c>
      <c r="B813" s="7" t="s">
        <v>42976</v>
      </c>
      <c r="C813" s="7" t="s">
        <v>42977</v>
      </c>
      <c r="D813" s="7">
        <v>34953.0</v>
      </c>
      <c r="E813" s="902" t="s">
        <v>42978</v>
      </c>
      <c r="F813" s="902" t="s">
        <v>42979</v>
      </c>
      <c r="G813" s="903">
        <v>43987.0</v>
      </c>
      <c r="H813" s="904">
        <v>43984.0</v>
      </c>
      <c r="I813" s="7">
        <v>34951.0</v>
      </c>
      <c r="J813" s="905" t="s">
        <v>42980</v>
      </c>
      <c r="K813" s="7" t="s">
        <v>42981</v>
      </c>
    </row>
    <row r="814">
      <c r="A814" s="202">
        <v>13927.0</v>
      </c>
      <c r="B814" s="7" t="s">
        <v>42982</v>
      </c>
      <c r="C814" s="7" t="s">
        <v>42983</v>
      </c>
      <c r="D814" s="7">
        <v>35170.0</v>
      </c>
      <c r="E814" s="902" t="s">
        <v>42984</v>
      </c>
      <c r="F814" s="902" t="s">
        <v>42985</v>
      </c>
      <c r="G814" s="903">
        <v>43991.0</v>
      </c>
      <c r="H814" s="904">
        <v>43986.0</v>
      </c>
      <c r="I814" s="7">
        <v>35165.0</v>
      </c>
      <c r="J814" s="905" t="s">
        <v>42986</v>
      </c>
      <c r="K814" s="7" t="s">
        <v>42236</v>
      </c>
    </row>
    <row r="815">
      <c r="A815" s="202">
        <v>13928.0</v>
      </c>
      <c r="B815" s="7" t="s">
        <v>42987</v>
      </c>
      <c r="C815" s="7" t="s">
        <v>42988</v>
      </c>
      <c r="D815" s="7">
        <v>36142.0</v>
      </c>
      <c r="E815" s="902" t="s">
        <v>42989</v>
      </c>
      <c r="F815" s="902" t="s">
        <v>42990</v>
      </c>
      <c r="G815" s="903">
        <v>43997.0</v>
      </c>
      <c r="H815" s="904">
        <v>43993.0</v>
      </c>
      <c r="I815" s="7">
        <v>36139.0</v>
      </c>
      <c r="J815" s="905" t="s">
        <v>42991</v>
      </c>
      <c r="K815" s="7" t="s">
        <v>42992</v>
      </c>
    </row>
    <row r="816">
      <c r="A816" s="202">
        <v>13929.0</v>
      </c>
      <c r="B816" s="7" t="s">
        <v>42993</v>
      </c>
      <c r="C816" s="7" t="s">
        <v>42994</v>
      </c>
      <c r="D816" s="7">
        <v>37328.0</v>
      </c>
      <c r="E816" s="902" t="s">
        <v>42995</v>
      </c>
      <c r="F816" s="902" t="s">
        <v>42996</v>
      </c>
      <c r="G816" s="903">
        <v>44001.0</v>
      </c>
      <c r="H816" s="904">
        <v>43998.0</v>
      </c>
      <c r="I816" s="7">
        <v>37325.0</v>
      </c>
      <c r="J816" s="905" t="s">
        <v>42997</v>
      </c>
      <c r="K816" s="7" t="s">
        <v>42998</v>
      </c>
    </row>
    <row r="817">
      <c r="A817" s="202">
        <v>13930.0</v>
      </c>
      <c r="B817" s="7" t="s">
        <v>42999</v>
      </c>
      <c r="C817" s="7" t="s">
        <v>43000</v>
      </c>
      <c r="D817" s="7">
        <v>38745.0</v>
      </c>
      <c r="E817" s="902" t="s">
        <v>43001</v>
      </c>
      <c r="F817" s="902" t="s">
        <v>43002</v>
      </c>
      <c r="G817" s="903">
        <v>44011.0</v>
      </c>
      <c r="H817" s="904">
        <v>44006.0</v>
      </c>
      <c r="I817" s="7">
        <v>38741.0</v>
      </c>
      <c r="J817" s="905" t="s">
        <v>43003</v>
      </c>
    </row>
    <row r="818">
      <c r="A818" s="202">
        <v>13931.0</v>
      </c>
      <c r="B818" s="7" t="s">
        <v>43004</v>
      </c>
      <c r="C818" s="7" t="s">
        <v>43005</v>
      </c>
      <c r="D818" s="7">
        <v>39455.0</v>
      </c>
      <c r="E818" s="902" t="s">
        <v>43006</v>
      </c>
      <c r="F818" s="902" t="s">
        <v>43007</v>
      </c>
      <c r="G818" s="903">
        <v>44013.0</v>
      </c>
      <c r="H818" s="904">
        <v>44008.0</v>
      </c>
      <c r="I818" s="7">
        <v>39455.0</v>
      </c>
      <c r="J818" s="905" t="s">
        <v>43008</v>
      </c>
      <c r="K818" s="7" t="s">
        <v>43009</v>
      </c>
    </row>
    <row r="819">
      <c r="A819" s="202">
        <v>13932.0</v>
      </c>
      <c r="B819" s="7" t="s">
        <v>43010</v>
      </c>
      <c r="C819" s="7" t="s">
        <v>43011</v>
      </c>
      <c r="D819" s="7">
        <v>39459.0</v>
      </c>
      <c r="E819" s="902" t="s">
        <v>43012</v>
      </c>
      <c r="F819" s="902" t="s">
        <v>43013</v>
      </c>
      <c r="G819" s="903">
        <v>44013.0</v>
      </c>
      <c r="H819" s="904">
        <v>44008.0</v>
      </c>
      <c r="I819" s="7">
        <v>39457.0</v>
      </c>
      <c r="J819" s="905" t="s">
        <v>43014</v>
      </c>
    </row>
    <row r="820">
      <c r="A820" s="202">
        <v>13933.0</v>
      </c>
      <c r="B820" s="7" t="s">
        <v>43015</v>
      </c>
      <c r="C820" s="7" t="s">
        <v>43016</v>
      </c>
      <c r="D820" s="7">
        <v>40084.0</v>
      </c>
      <c r="E820" s="902" t="s">
        <v>43017</v>
      </c>
      <c r="F820" s="902" t="s">
        <v>43018</v>
      </c>
      <c r="G820" s="903">
        <v>44014.0</v>
      </c>
      <c r="H820" s="904">
        <v>44008.0</v>
      </c>
      <c r="I820" s="7">
        <v>40081.0</v>
      </c>
      <c r="J820" s="905" t="s">
        <v>43019</v>
      </c>
      <c r="K820" s="7" t="s">
        <v>42975</v>
      </c>
    </row>
    <row r="821">
      <c r="A821" s="202">
        <v>13934.0</v>
      </c>
      <c r="B821" s="7" t="s">
        <v>43020</v>
      </c>
      <c r="C821" s="7" t="s">
        <v>43021</v>
      </c>
      <c r="D821" s="7">
        <v>41168.0</v>
      </c>
      <c r="E821" s="902" t="s">
        <v>43022</v>
      </c>
      <c r="F821" s="902" t="s">
        <v>43023</v>
      </c>
      <c r="G821" s="903">
        <v>44020.0</v>
      </c>
      <c r="H821" s="904">
        <v>44015.0</v>
      </c>
      <c r="I821" s="7">
        <v>41165.0</v>
      </c>
      <c r="J821" s="905" t="s">
        <v>43024</v>
      </c>
      <c r="K821" s="7" t="s">
        <v>43025</v>
      </c>
    </row>
    <row r="822">
      <c r="A822" s="202">
        <v>13935.0</v>
      </c>
      <c r="B822" s="7" t="s">
        <v>43026</v>
      </c>
      <c r="C822" s="7" t="s">
        <v>43027</v>
      </c>
      <c r="D822" s="7">
        <v>42686.0</v>
      </c>
      <c r="E822" s="902" t="s">
        <v>43028</v>
      </c>
      <c r="F822" s="902" t="s">
        <v>43029</v>
      </c>
      <c r="G822" s="903">
        <v>44026.0</v>
      </c>
      <c r="H822" s="904">
        <v>44021.0</v>
      </c>
      <c r="I822" s="7">
        <v>42683.0</v>
      </c>
      <c r="J822" s="905" t="s">
        <v>43030</v>
      </c>
      <c r="K822" s="7" t="s">
        <v>43031</v>
      </c>
    </row>
    <row r="823">
      <c r="A823" s="202">
        <v>13936.0</v>
      </c>
      <c r="B823" s="7" t="s">
        <v>43032</v>
      </c>
      <c r="C823" s="7" t="s">
        <v>43033</v>
      </c>
      <c r="D823" s="7">
        <v>43417.0</v>
      </c>
      <c r="E823" s="902" t="s">
        <v>43034</v>
      </c>
      <c r="F823" s="902" t="s">
        <v>43035</v>
      </c>
      <c r="G823" s="903">
        <v>44029.0</v>
      </c>
      <c r="H823" s="904">
        <v>44026.0</v>
      </c>
      <c r="I823" s="7">
        <v>43413.0</v>
      </c>
      <c r="J823" s="905" t="s">
        <v>43036</v>
      </c>
    </row>
    <row r="824">
      <c r="A824" s="202">
        <v>13937.0</v>
      </c>
      <c r="B824" s="7" t="s">
        <v>43037</v>
      </c>
      <c r="C824" s="7" t="s">
        <v>43038</v>
      </c>
      <c r="D824" s="7">
        <v>45756.0</v>
      </c>
      <c r="E824" s="902" t="s">
        <v>43039</v>
      </c>
      <c r="F824" s="902" t="s">
        <v>43040</v>
      </c>
      <c r="G824" s="903">
        <v>44041.0</v>
      </c>
      <c r="H824" s="904">
        <v>44036.0</v>
      </c>
      <c r="I824" s="7">
        <v>45755.0</v>
      </c>
      <c r="J824" s="905" t="s">
        <v>43041</v>
      </c>
    </row>
    <row r="825">
      <c r="A825" s="202">
        <v>13938.0</v>
      </c>
      <c r="B825" s="7" t="s">
        <v>43042</v>
      </c>
      <c r="C825" s="7" t="s">
        <v>43043</v>
      </c>
      <c r="D825" s="7">
        <v>45758.0</v>
      </c>
      <c r="E825" s="902" t="s">
        <v>43044</v>
      </c>
      <c r="F825" s="902" t="s">
        <v>43045</v>
      </c>
      <c r="G825" s="903">
        <v>44041.0</v>
      </c>
      <c r="H825" s="904">
        <v>44036.0</v>
      </c>
      <c r="I825" s="7">
        <v>45757.0</v>
      </c>
      <c r="J825" s="905" t="s">
        <v>43046</v>
      </c>
    </row>
    <row r="826">
      <c r="A826" s="202">
        <v>13939.0</v>
      </c>
      <c r="B826" s="7" t="s">
        <v>43047</v>
      </c>
      <c r="C826" s="7" t="s">
        <v>43048</v>
      </c>
      <c r="D826" s="7">
        <v>45760.0</v>
      </c>
      <c r="E826" s="902" t="s">
        <v>43049</v>
      </c>
      <c r="F826" s="902" t="s">
        <v>43050</v>
      </c>
      <c r="G826" s="903">
        <v>44041.0</v>
      </c>
      <c r="H826" s="904">
        <v>44036.0</v>
      </c>
      <c r="I826" s="7">
        <v>45759.0</v>
      </c>
      <c r="J826" s="905" t="s">
        <v>43051</v>
      </c>
    </row>
    <row r="827">
      <c r="A827" s="202">
        <v>13940.0</v>
      </c>
      <c r="B827" s="7" t="s">
        <v>43052</v>
      </c>
      <c r="C827" s="7" t="s">
        <v>43053</v>
      </c>
      <c r="D827" s="7">
        <v>47880.0</v>
      </c>
      <c r="E827" s="902" t="s">
        <v>43054</v>
      </c>
      <c r="F827" s="902" t="s">
        <v>43055</v>
      </c>
      <c r="G827" s="903">
        <v>44049.0</v>
      </c>
      <c r="H827" s="904">
        <v>44046.0</v>
      </c>
      <c r="I827" s="7">
        <v>47879.0</v>
      </c>
      <c r="J827" s="905" t="s">
        <v>43056</v>
      </c>
      <c r="K827" s="7" t="s">
        <v>43057</v>
      </c>
    </row>
    <row r="828">
      <c r="A828" s="202">
        <v>13941.0</v>
      </c>
      <c r="B828" s="7" t="s">
        <v>43058</v>
      </c>
      <c r="C828" s="7" t="s">
        <v>43059</v>
      </c>
      <c r="D828" s="7">
        <v>47883.0</v>
      </c>
      <c r="E828" s="902" t="s">
        <v>43060</v>
      </c>
      <c r="F828" s="902" t="s">
        <v>43061</v>
      </c>
      <c r="G828" s="903">
        <v>44049.0</v>
      </c>
      <c r="H828" s="904">
        <v>44046.0</v>
      </c>
      <c r="I828" s="7">
        <v>47881.0</v>
      </c>
      <c r="J828" s="905" t="s">
        <v>43062</v>
      </c>
    </row>
    <row r="829">
      <c r="A829" s="202">
        <v>13942.0</v>
      </c>
      <c r="B829" s="7" t="s">
        <v>43063</v>
      </c>
      <c r="C829" s="7" t="s">
        <v>43064</v>
      </c>
      <c r="D829" s="7">
        <v>48639.0</v>
      </c>
      <c r="E829" s="902" t="s">
        <v>43065</v>
      </c>
      <c r="F829" s="902" t="s">
        <v>43066</v>
      </c>
      <c r="G829" s="903">
        <v>44054.0</v>
      </c>
      <c r="H829" s="904">
        <v>44049.0</v>
      </c>
      <c r="I829" s="7">
        <v>48637.0</v>
      </c>
      <c r="J829" s="905" t="s">
        <v>43067</v>
      </c>
      <c r="K829" s="7" t="s">
        <v>43068</v>
      </c>
    </row>
    <row r="830">
      <c r="A830" s="202">
        <v>13943.0</v>
      </c>
      <c r="B830" s="7" t="s">
        <v>43069</v>
      </c>
      <c r="C830" s="7" t="s">
        <v>43070</v>
      </c>
      <c r="D830" s="7">
        <v>48643.0</v>
      </c>
      <c r="E830" s="902" t="s">
        <v>43071</v>
      </c>
      <c r="F830" s="902" t="s">
        <v>43072</v>
      </c>
      <c r="G830" s="903">
        <v>44054.0</v>
      </c>
      <c r="H830" s="904">
        <v>44049.0</v>
      </c>
      <c r="I830" s="7">
        <v>48641.0</v>
      </c>
      <c r="J830" s="905" t="s">
        <v>43073</v>
      </c>
      <c r="K830" s="7" t="s">
        <v>43074</v>
      </c>
    </row>
    <row r="831">
      <c r="A831" s="202">
        <v>13944.0</v>
      </c>
      <c r="B831" s="7" t="s">
        <v>43075</v>
      </c>
      <c r="C831" s="7" t="s">
        <v>43076</v>
      </c>
      <c r="D831" s="7">
        <v>49934.0</v>
      </c>
      <c r="E831" s="902" t="s">
        <v>43077</v>
      </c>
      <c r="F831" s="902" t="s">
        <v>43078</v>
      </c>
      <c r="G831" s="903">
        <v>44057.0</v>
      </c>
      <c r="H831" s="904">
        <v>44049.0</v>
      </c>
      <c r="I831" s="7">
        <v>49929.0</v>
      </c>
      <c r="J831" s="905" t="s">
        <v>43079</v>
      </c>
      <c r="K831" s="7" t="s">
        <v>42888</v>
      </c>
    </row>
    <row r="832">
      <c r="A832" s="202">
        <v>13945.0</v>
      </c>
      <c r="B832" s="7" t="s">
        <v>43080</v>
      </c>
      <c r="C832" s="7" t="s">
        <v>43081</v>
      </c>
      <c r="D832" s="7">
        <v>49937.0</v>
      </c>
      <c r="E832" s="902" t="s">
        <v>43082</v>
      </c>
      <c r="F832" s="902" t="s">
        <v>43083</v>
      </c>
      <c r="G832" s="903">
        <v>44057.0</v>
      </c>
      <c r="H832" s="904">
        <v>44051.0</v>
      </c>
      <c r="I832" s="7">
        <v>49935.0</v>
      </c>
      <c r="J832" s="905" t="s">
        <v>43084</v>
      </c>
    </row>
    <row r="833">
      <c r="A833" s="202">
        <v>13946.0</v>
      </c>
      <c r="B833" s="7" t="s">
        <v>43085</v>
      </c>
      <c r="C833" s="7" t="s">
        <v>43086</v>
      </c>
      <c r="D833" s="7">
        <v>52880.0</v>
      </c>
      <c r="E833" s="902" t="s">
        <v>43087</v>
      </c>
      <c r="F833" s="902" t="s">
        <v>43088</v>
      </c>
      <c r="G833" s="903">
        <v>44070.0</v>
      </c>
      <c r="H833" s="904">
        <v>44067.0</v>
      </c>
      <c r="I833" s="7">
        <v>52879.0</v>
      </c>
      <c r="J833" s="905" t="s">
        <v>43089</v>
      </c>
      <c r="K833" s="7" t="s">
        <v>43090</v>
      </c>
    </row>
    <row r="834">
      <c r="A834" s="202">
        <v>13947.0</v>
      </c>
      <c r="B834" s="7" t="s">
        <v>43091</v>
      </c>
      <c r="C834" s="7" t="s">
        <v>43092</v>
      </c>
      <c r="D834" s="7">
        <v>59172.0</v>
      </c>
      <c r="E834" s="902" t="s">
        <v>43093</v>
      </c>
      <c r="F834" s="902" t="s">
        <v>43094</v>
      </c>
      <c r="G834" s="903">
        <v>44092.0</v>
      </c>
      <c r="H834" s="904">
        <v>44036.0</v>
      </c>
      <c r="I834" s="7">
        <v>59171.0</v>
      </c>
      <c r="J834" s="905" t="s">
        <v>43095</v>
      </c>
    </row>
    <row r="835">
      <c r="A835" s="202">
        <v>13948.0</v>
      </c>
      <c r="B835" s="7" t="s">
        <v>43096</v>
      </c>
      <c r="C835" s="7" t="s">
        <v>43097</v>
      </c>
      <c r="D835" s="7">
        <v>59650.0</v>
      </c>
      <c r="E835" s="902" t="s">
        <v>43098</v>
      </c>
      <c r="F835" s="902" t="s">
        <v>43099</v>
      </c>
      <c r="G835" s="903">
        <v>44097.0</v>
      </c>
      <c r="H835" s="904">
        <v>44087.0</v>
      </c>
      <c r="I835" s="7">
        <v>59649.0</v>
      </c>
      <c r="J835" s="905" t="s">
        <v>43095</v>
      </c>
      <c r="K835" s="7" t="s">
        <v>43100</v>
      </c>
    </row>
    <row r="836">
      <c r="A836" s="202">
        <v>13949.0</v>
      </c>
      <c r="B836" s="7" t="s">
        <v>43101</v>
      </c>
      <c r="C836" s="7" t="s">
        <v>43102</v>
      </c>
      <c r="D836" s="7">
        <v>60046.0</v>
      </c>
      <c r="E836" s="902" t="s">
        <v>43103</v>
      </c>
      <c r="F836" s="902" t="s">
        <v>43104</v>
      </c>
      <c r="G836" s="903">
        <v>44097.0</v>
      </c>
      <c r="H836" s="904">
        <v>44095.0</v>
      </c>
      <c r="I836" s="7">
        <v>60043.0</v>
      </c>
      <c r="J836" s="905" t="s">
        <v>43105</v>
      </c>
      <c r="K836" s="7" t="s">
        <v>43106</v>
      </c>
    </row>
    <row r="837">
      <c r="A837" s="202">
        <v>13950.0</v>
      </c>
      <c r="B837" s="7" t="s">
        <v>43107</v>
      </c>
      <c r="C837" s="7" t="s">
        <v>43108</v>
      </c>
      <c r="D837" s="7">
        <v>60689.0</v>
      </c>
      <c r="E837" s="902" t="s">
        <v>43109</v>
      </c>
      <c r="F837" s="902" t="s">
        <v>43110</v>
      </c>
      <c r="G837" s="903">
        <v>44102.0</v>
      </c>
      <c r="H837" s="904">
        <v>44096.0</v>
      </c>
      <c r="I837" s="7">
        <v>60683.0</v>
      </c>
      <c r="J837" s="905" t="s">
        <v>43111</v>
      </c>
      <c r="K837" s="7" t="s">
        <v>43112</v>
      </c>
    </row>
    <row r="838">
      <c r="A838" s="202">
        <v>13951.0</v>
      </c>
      <c r="B838" s="7" t="s">
        <v>43113</v>
      </c>
      <c r="C838" s="7" t="s">
        <v>43114</v>
      </c>
      <c r="D838" s="7">
        <v>62186.0</v>
      </c>
      <c r="E838" s="902" t="s">
        <v>43115</v>
      </c>
      <c r="F838" s="902" t="s">
        <v>43116</v>
      </c>
      <c r="G838" s="903">
        <v>44105.0</v>
      </c>
      <c r="H838" s="904">
        <v>44098.0</v>
      </c>
      <c r="I838" s="7">
        <v>62179.0</v>
      </c>
      <c r="J838" s="905" t="s">
        <v>43117</v>
      </c>
      <c r="K838" s="7" t="s">
        <v>43118</v>
      </c>
    </row>
    <row r="839">
      <c r="A839" s="202">
        <v>13952.0</v>
      </c>
      <c r="B839" s="7" t="s">
        <v>43119</v>
      </c>
      <c r="C839" s="7" t="s">
        <v>43120</v>
      </c>
      <c r="D839" s="7">
        <v>62189.0</v>
      </c>
      <c r="E839" s="902" t="s">
        <v>43121</v>
      </c>
      <c r="F839" s="902" t="s">
        <v>43122</v>
      </c>
      <c r="G839" s="903">
        <v>44106.0</v>
      </c>
      <c r="H839" s="904">
        <v>44099.0</v>
      </c>
      <c r="I839" s="7">
        <v>62187.0</v>
      </c>
      <c r="J839" s="905" t="s">
        <v>43123</v>
      </c>
    </row>
    <row r="840">
      <c r="A840" s="202">
        <v>13953.0</v>
      </c>
      <c r="B840" s="7" t="s">
        <v>43124</v>
      </c>
      <c r="C840" s="7" t="s">
        <v>43125</v>
      </c>
      <c r="D840" s="7">
        <v>62544.0</v>
      </c>
      <c r="E840" s="902" t="s">
        <v>43126</v>
      </c>
      <c r="F840" s="902" t="s">
        <v>43127</v>
      </c>
      <c r="G840" s="903">
        <v>44109.0</v>
      </c>
      <c r="H840" s="904">
        <v>44104.0</v>
      </c>
      <c r="I840" s="7">
        <v>62539.0</v>
      </c>
      <c r="J840" s="905" t="s">
        <v>43128</v>
      </c>
      <c r="K840" s="7" t="s">
        <v>43129</v>
      </c>
    </row>
    <row r="841">
      <c r="A841" s="202">
        <v>13954.0</v>
      </c>
      <c r="B841" s="7" t="s">
        <v>43130</v>
      </c>
      <c r="C841" s="7" t="s">
        <v>43131</v>
      </c>
      <c r="D841" s="7">
        <v>63979.0</v>
      </c>
      <c r="E841" s="902" t="s">
        <v>43132</v>
      </c>
      <c r="F841" s="902" t="s">
        <v>43133</v>
      </c>
      <c r="G841" s="903">
        <v>44112.0</v>
      </c>
      <c r="H841" s="904">
        <v>44107.0</v>
      </c>
      <c r="I841" s="7">
        <v>63977.0</v>
      </c>
      <c r="J841" s="905" t="s">
        <v>43134</v>
      </c>
    </row>
    <row r="842">
      <c r="A842" s="202">
        <v>13955.0</v>
      </c>
      <c r="B842" s="7" t="s">
        <v>43135</v>
      </c>
      <c r="C842" s="7" t="s">
        <v>43136</v>
      </c>
      <c r="D842" s="7">
        <v>65645.0</v>
      </c>
      <c r="E842" s="902" t="s">
        <v>43137</v>
      </c>
      <c r="F842" s="902" t="s">
        <v>43138</v>
      </c>
      <c r="G842" s="906">
        <v>44120.0</v>
      </c>
      <c r="H842" s="904">
        <v>44117.0</v>
      </c>
      <c r="I842" s="7">
        <v>65643.0</v>
      </c>
      <c r="J842" s="905" t="s">
        <v>43139</v>
      </c>
      <c r="K842" s="7" t="s">
        <v>43140</v>
      </c>
    </row>
    <row r="843">
      <c r="A843" s="202">
        <v>13956.0</v>
      </c>
      <c r="B843" s="7" t="s">
        <v>43141</v>
      </c>
      <c r="C843" s="7" t="s">
        <v>43142</v>
      </c>
      <c r="D843" s="7">
        <v>65650.0</v>
      </c>
      <c r="E843" s="902" t="s">
        <v>43143</v>
      </c>
      <c r="F843" s="902" t="s">
        <v>43144</v>
      </c>
      <c r="G843" s="906">
        <v>44120.0</v>
      </c>
      <c r="H843" s="904">
        <v>44117.0</v>
      </c>
      <c r="I843" s="7">
        <v>65647.0</v>
      </c>
      <c r="J843" s="905" t="s">
        <v>43145</v>
      </c>
    </row>
    <row r="844">
      <c r="A844" s="202">
        <v>13957.0</v>
      </c>
      <c r="B844" s="7" t="s">
        <v>43146</v>
      </c>
      <c r="C844" s="7" t="s">
        <v>43147</v>
      </c>
      <c r="D844" s="7">
        <v>67635.0</v>
      </c>
      <c r="E844" s="902" t="s">
        <v>43148</v>
      </c>
      <c r="F844" s="902" t="s">
        <v>43149</v>
      </c>
      <c r="G844" s="906">
        <v>44130.0</v>
      </c>
      <c r="H844" s="904">
        <v>44125.0</v>
      </c>
      <c r="I844" s="7">
        <v>67631.0</v>
      </c>
      <c r="J844" s="905" t="s">
        <v>43150</v>
      </c>
      <c r="K844" s="7" t="s">
        <v>42504</v>
      </c>
    </row>
    <row r="845">
      <c r="A845" s="202">
        <v>13958.0</v>
      </c>
      <c r="B845" s="7" t="s">
        <v>43151</v>
      </c>
      <c r="C845" s="7" t="s">
        <v>43152</v>
      </c>
      <c r="D845" s="7">
        <v>70954.0</v>
      </c>
      <c r="E845" s="902" t="s">
        <v>43153</v>
      </c>
      <c r="F845" s="902" t="s">
        <v>43154</v>
      </c>
      <c r="G845" s="903">
        <v>44140.0</v>
      </c>
      <c r="H845" s="904">
        <v>44137.0</v>
      </c>
      <c r="I845" s="7">
        <v>70951.0</v>
      </c>
      <c r="J845" s="905" t="s">
        <v>43155</v>
      </c>
      <c r="K845" s="7" t="s">
        <v>43156</v>
      </c>
    </row>
    <row r="846">
      <c r="A846" s="202">
        <v>13959.0</v>
      </c>
      <c r="B846" s="7" t="s">
        <v>43157</v>
      </c>
      <c r="C846" s="7" t="s">
        <v>43158</v>
      </c>
      <c r="D846" s="7">
        <v>73189.0</v>
      </c>
      <c r="E846" s="902" t="s">
        <v>43159</v>
      </c>
      <c r="F846" s="902" t="s">
        <v>43160</v>
      </c>
      <c r="G846" s="906">
        <v>44152.0</v>
      </c>
      <c r="H846" s="904">
        <v>44147.0</v>
      </c>
      <c r="I846" s="7">
        <v>73185.0</v>
      </c>
      <c r="J846" s="905" t="s">
        <v>43161</v>
      </c>
      <c r="K846" s="7" t="s">
        <v>43162</v>
      </c>
    </row>
    <row r="847">
      <c r="A847" s="202">
        <v>13960.0</v>
      </c>
      <c r="B847" s="7" t="s">
        <v>43163</v>
      </c>
      <c r="C847" s="7" t="s">
        <v>43164</v>
      </c>
      <c r="D847" s="7">
        <v>78943.0</v>
      </c>
      <c r="E847" s="902" t="s">
        <v>43165</v>
      </c>
      <c r="F847" s="902" t="s">
        <v>43166</v>
      </c>
      <c r="G847" s="903">
        <v>44173.0</v>
      </c>
      <c r="H847" s="904">
        <v>44168.0</v>
      </c>
      <c r="I847" s="7">
        <v>78939.0</v>
      </c>
      <c r="J847" s="905" t="s">
        <v>43167</v>
      </c>
      <c r="K847" s="7" t="s">
        <v>43168</v>
      </c>
    </row>
    <row r="848">
      <c r="A848" s="202">
        <v>13961.0</v>
      </c>
      <c r="B848" s="7" t="s">
        <v>43169</v>
      </c>
      <c r="C848" s="7" t="s">
        <v>43170</v>
      </c>
      <c r="D848" s="7">
        <v>79381.0</v>
      </c>
      <c r="E848" s="902" t="s">
        <v>43171</v>
      </c>
      <c r="F848" s="902" t="s">
        <v>43172</v>
      </c>
      <c r="G848" s="906">
        <v>44175.0</v>
      </c>
      <c r="H848" s="904">
        <v>44172.0</v>
      </c>
      <c r="I848" s="7">
        <v>79379.0</v>
      </c>
      <c r="J848" s="905" t="s">
        <v>43173</v>
      </c>
      <c r="K848" s="7" t="s">
        <v>43174</v>
      </c>
    </row>
    <row r="849">
      <c r="A849" s="202">
        <v>13962.0</v>
      </c>
      <c r="B849" s="7" t="s">
        <v>43175</v>
      </c>
      <c r="C849" s="7" t="s">
        <v>43176</v>
      </c>
      <c r="D849" s="7">
        <v>79778.0</v>
      </c>
      <c r="E849" s="902" t="s">
        <v>43177</v>
      </c>
      <c r="F849" s="902" t="s">
        <v>43178</v>
      </c>
      <c r="G849" s="906">
        <v>44176.0</v>
      </c>
      <c r="H849" s="904">
        <v>44173.0</v>
      </c>
      <c r="I849" s="7">
        <v>79777.0</v>
      </c>
      <c r="J849" s="905" t="s">
        <v>43179</v>
      </c>
    </row>
    <row r="850">
      <c r="A850" s="202">
        <v>13963.0</v>
      </c>
      <c r="B850" s="7" t="s">
        <v>43180</v>
      </c>
      <c r="C850" s="7" t="s">
        <v>43181</v>
      </c>
      <c r="D850" s="7">
        <v>81332.0</v>
      </c>
      <c r="E850" s="902" t="s">
        <v>43182</v>
      </c>
      <c r="F850" s="902" t="s">
        <v>43183</v>
      </c>
      <c r="G850" s="906">
        <v>44180.0</v>
      </c>
      <c r="H850" s="904">
        <v>44175.0</v>
      </c>
      <c r="I850" s="7">
        <v>81331.0</v>
      </c>
      <c r="J850" s="905" t="s">
        <v>40090</v>
      </c>
      <c r="K850" s="7" t="s">
        <v>43184</v>
      </c>
    </row>
    <row r="851">
      <c r="A851" s="202">
        <v>13964.0</v>
      </c>
      <c r="B851" s="7" t="s">
        <v>43185</v>
      </c>
      <c r="C851" s="7" t="s">
        <v>43186</v>
      </c>
      <c r="D851" s="7">
        <v>81335.0</v>
      </c>
      <c r="E851" s="902" t="s">
        <v>43187</v>
      </c>
      <c r="F851" s="902" t="s">
        <v>43188</v>
      </c>
      <c r="G851" s="906">
        <v>44180.0</v>
      </c>
      <c r="H851" s="904">
        <v>44175.0</v>
      </c>
      <c r="I851" s="7">
        <v>81333.0</v>
      </c>
      <c r="J851" s="905" t="s">
        <v>43189</v>
      </c>
      <c r="K851" s="7" t="s">
        <v>42975</v>
      </c>
    </row>
    <row r="852">
      <c r="A852" s="202">
        <v>13965.0</v>
      </c>
      <c r="B852" s="7" t="s">
        <v>43190</v>
      </c>
      <c r="C852" s="7" t="s">
        <v>43191</v>
      </c>
      <c r="D852" s="7">
        <v>81338.0</v>
      </c>
      <c r="E852" s="902" t="s">
        <v>43192</v>
      </c>
      <c r="F852" s="902" t="s">
        <v>43193</v>
      </c>
      <c r="G852" s="906">
        <v>44181.0</v>
      </c>
      <c r="H852" s="904">
        <v>44176.0</v>
      </c>
      <c r="I852" s="7">
        <v>81337.0</v>
      </c>
      <c r="J852" s="905" t="s">
        <v>43194</v>
      </c>
      <c r="K852" s="7" t="s">
        <v>39804</v>
      </c>
    </row>
    <row r="853">
      <c r="A853" s="202">
        <v>13966.0</v>
      </c>
      <c r="B853" s="7" t="s">
        <v>43195</v>
      </c>
      <c r="C853" s="7" t="s">
        <v>43196</v>
      </c>
      <c r="D853" s="7">
        <v>81780.0</v>
      </c>
      <c r="E853" s="902" t="s">
        <v>43197</v>
      </c>
      <c r="F853" s="902" t="s">
        <v>43198</v>
      </c>
      <c r="G853" s="906">
        <v>44182.0</v>
      </c>
      <c r="H853" s="904">
        <v>44179.0</v>
      </c>
      <c r="I853" s="7">
        <v>81777.0</v>
      </c>
      <c r="J853" s="905" t="s">
        <v>43199</v>
      </c>
      <c r="K853" s="7" t="s">
        <v>43200</v>
      </c>
    </row>
    <row r="854">
      <c r="A854" s="202">
        <v>13967.0</v>
      </c>
      <c r="B854" s="7" t="s">
        <v>43201</v>
      </c>
      <c r="C854" s="7" t="s">
        <v>43202</v>
      </c>
      <c r="D854" s="7">
        <v>83744.0</v>
      </c>
      <c r="E854" s="902" t="s">
        <v>43203</v>
      </c>
      <c r="F854" s="902" t="s">
        <v>43204</v>
      </c>
      <c r="G854" s="906">
        <v>44188.0</v>
      </c>
      <c r="H854" s="904">
        <v>44183.0</v>
      </c>
      <c r="I854" s="7">
        <v>83739.0</v>
      </c>
      <c r="J854" s="905" t="s">
        <v>43205</v>
      </c>
      <c r="K854" s="7" t="s">
        <v>42127</v>
      </c>
    </row>
    <row r="855">
      <c r="A855" s="202">
        <v>13968.0</v>
      </c>
      <c r="B855" s="7" t="s">
        <v>43206</v>
      </c>
      <c r="C855" s="7" t="s">
        <v>43207</v>
      </c>
      <c r="D855" s="7">
        <v>83746.0</v>
      </c>
      <c r="E855" s="902" t="s">
        <v>43208</v>
      </c>
      <c r="F855" s="902" t="s">
        <v>43209</v>
      </c>
      <c r="G855" s="906">
        <v>44188.0</v>
      </c>
      <c r="H855" s="904">
        <v>44183.0</v>
      </c>
      <c r="I855" s="7">
        <v>83745.0</v>
      </c>
      <c r="J855" s="905" t="s">
        <v>43210</v>
      </c>
    </row>
    <row r="856">
      <c r="A856" s="202">
        <v>13969.0</v>
      </c>
      <c r="B856" s="7" t="s">
        <v>43211</v>
      </c>
      <c r="C856" s="7" t="s">
        <v>43212</v>
      </c>
      <c r="D856" s="7">
        <v>221.0</v>
      </c>
      <c r="E856" s="902" t="s">
        <v>43213</v>
      </c>
      <c r="F856" s="902" t="s">
        <v>43214</v>
      </c>
      <c r="G856" s="903">
        <v>44200.0</v>
      </c>
      <c r="H856" s="904">
        <v>44193.0</v>
      </c>
      <c r="I856" s="7">
        <v>219.0</v>
      </c>
      <c r="J856" s="905" t="s">
        <v>43215</v>
      </c>
    </row>
    <row r="857">
      <c r="A857" s="202">
        <v>13970.0</v>
      </c>
      <c r="B857" s="7" t="s">
        <v>43216</v>
      </c>
      <c r="C857" s="7" t="s">
        <v>43217</v>
      </c>
      <c r="D857" s="7">
        <v>433.0</v>
      </c>
      <c r="E857" s="902" t="s">
        <v>43218</v>
      </c>
      <c r="F857" s="902" t="s">
        <v>43219</v>
      </c>
      <c r="G857" s="903">
        <v>44202.0</v>
      </c>
      <c r="H857" s="904">
        <v>44196.0</v>
      </c>
      <c r="I857" s="7">
        <v>421.0</v>
      </c>
      <c r="J857" s="905" t="s">
        <v>38718</v>
      </c>
      <c r="K857" s="7" t="s">
        <v>43220</v>
      </c>
    </row>
    <row r="858">
      <c r="A858" s="202">
        <v>13971.0</v>
      </c>
      <c r="B858" s="7" t="s">
        <v>43221</v>
      </c>
      <c r="C858" s="7" t="s">
        <v>43222</v>
      </c>
      <c r="D858" s="7">
        <v>1251.0</v>
      </c>
      <c r="E858" s="902" t="s">
        <v>43223</v>
      </c>
      <c r="F858" s="902" t="s">
        <v>43224</v>
      </c>
      <c r="G858" s="903">
        <v>44204.0</v>
      </c>
      <c r="H858" s="904">
        <v>44201.0</v>
      </c>
      <c r="I858" s="7">
        <v>1249.0</v>
      </c>
      <c r="J858" s="905" t="s">
        <v>43225</v>
      </c>
      <c r="K858" s="7" t="s">
        <v>43068</v>
      </c>
    </row>
    <row r="859">
      <c r="A859" s="202">
        <v>13972.0</v>
      </c>
      <c r="B859" s="7" t="s">
        <v>43226</v>
      </c>
      <c r="C859" s="7" t="s">
        <v>43227</v>
      </c>
      <c r="D859" s="7">
        <v>3731.0</v>
      </c>
      <c r="E859" s="902" t="s">
        <v>43228</v>
      </c>
      <c r="F859" s="902" t="s">
        <v>43229</v>
      </c>
      <c r="G859" s="903">
        <v>44210.0</v>
      </c>
      <c r="H859" s="904">
        <v>44201.0</v>
      </c>
      <c r="I859" s="7">
        <v>3727.0</v>
      </c>
      <c r="J859" s="905" t="s">
        <v>43230</v>
      </c>
    </row>
    <row r="860">
      <c r="A860" s="202">
        <v>13973.0</v>
      </c>
      <c r="B860" s="7" t="s">
        <v>43231</v>
      </c>
      <c r="C860" s="7" t="s">
        <v>43232</v>
      </c>
      <c r="D860" s="7">
        <v>3734.0</v>
      </c>
      <c r="E860" s="902" t="s">
        <v>43233</v>
      </c>
      <c r="F860" s="902" t="s">
        <v>43234</v>
      </c>
      <c r="G860" s="903">
        <v>44211.0</v>
      </c>
      <c r="H860" s="904">
        <v>44204.0</v>
      </c>
      <c r="I860" s="7">
        <v>3733.0</v>
      </c>
      <c r="J860" s="905" t="s">
        <v>41261</v>
      </c>
      <c r="K860" s="7" t="s">
        <v>43235</v>
      </c>
    </row>
    <row r="861">
      <c r="A861" s="202">
        <v>13974.0</v>
      </c>
      <c r="B861" s="7" t="s">
        <v>43236</v>
      </c>
      <c r="C861" s="7" t="s">
        <v>43237</v>
      </c>
      <c r="D861" s="7">
        <v>4876.0</v>
      </c>
      <c r="E861" s="902" t="s">
        <v>43238</v>
      </c>
      <c r="F861" s="902" t="s">
        <v>43239</v>
      </c>
      <c r="G861" s="903">
        <v>44215.0</v>
      </c>
      <c r="H861" s="904">
        <v>44209.0</v>
      </c>
      <c r="I861" s="7">
        <v>4875.0</v>
      </c>
      <c r="J861" s="905" t="s">
        <v>43240</v>
      </c>
      <c r="K861" s="7" t="s">
        <v>43241</v>
      </c>
    </row>
    <row r="862">
      <c r="A862" s="202">
        <v>13975.0</v>
      </c>
      <c r="B862" s="7" t="s">
        <v>43242</v>
      </c>
      <c r="C862" s="7" t="s">
        <v>43243</v>
      </c>
      <c r="D862" s="7">
        <v>6548.0</v>
      </c>
      <c r="E862" s="902" t="s">
        <v>43244</v>
      </c>
      <c r="F862" s="902" t="s">
        <v>43245</v>
      </c>
      <c r="G862" s="903">
        <v>44217.0</v>
      </c>
      <c r="H862" s="904">
        <v>44210.0</v>
      </c>
      <c r="I862" s="7">
        <v>6547.0</v>
      </c>
      <c r="J862" s="905" t="s">
        <v>43246</v>
      </c>
      <c r="K862" s="7" t="s">
        <v>43247</v>
      </c>
    </row>
    <row r="863">
      <c r="A863" s="202">
        <v>13976.0</v>
      </c>
      <c r="B863" s="7" t="s">
        <v>43248</v>
      </c>
      <c r="C863" s="7" t="s">
        <v>43249</v>
      </c>
      <c r="D863" s="7">
        <v>6552.0</v>
      </c>
      <c r="E863" s="902" t="s">
        <v>43250</v>
      </c>
      <c r="F863" s="902" t="s">
        <v>43251</v>
      </c>
      <c r="G863" s="903">
        <v>44217.0</v>
      </c>
      <c r="H863" s="904">
        <v>44210.0</v>
      </c>
      <c r="I863" s="7">
        <v>6549.0</v>
      </c>
      <c r="J863" s="905" t="s">
        <v>43252</v>
      </c>
      <c r="K863" s="7" t="s">
        <v>43140</v>
      </c>
    </row>
    <row r="864">
      <c r="A864" s="202">
        <v>13977.0</v>
      </c>
      <c r="B864" s="7" t="s">
        <v>43253</v>
      </c>
      <c r="C864" s="7" t="s">
        <v>43254</v>
      </c>
      <c r="D864" s="7">
        <v>6806.0</v>
      </c>
      <c r="E864" s="902" t="s">
        <v>43255</v>
      </c>
      <c r="F864" s="902" t="s">
        <v>43256</v>
      </c>
      <c r="G864" s="903">
        <v>44218.0</v>
      </c>
      <c r="H864" s="904">
        <v>44214.0</v>
      </c>
      <c r="I864" s="7">
        <v>6803.0</v>
      </c>
      <c r="J864" s="905" t="s">
        <v>43257</v>
      </c>
    </row>
    <row r="865">
      <c r="A865" s="202">
        <v>13978.0</v>
      </c>
      <c r="B865" s="7" t="s">
        <v>43258</v>
      </c>
      <c r="C865" s="7" t="s">
        <v>43259</v>
      </c>
      <c r="D865" s="7">
        <v>6812.0</v>
      </c>
      <c r="E865" s="902" t="s">
        <v>43260</v>
      </c>
      <c r="F865" s="902" t="s">
        <v>43261</v>
      </c>
      <c r="G865" s="903">
        <v>44218.0</v>
      </c>
      <c r="H865" s="904">
        <v>44214.0</v>
      </c>
      <c r="I865" s="7">
        <v>6809.0</v>
      </c>
      <c r="J865" s="905" t="s">
        <v>43262</v>
      </c>
      <c r="K865" s="7" t="s">
        <v>43263</v>
      </c>
    </row>
    <row r="866">
      <c r="A866" s="202">
        <v>13979.0</v>
      </c>
      <c r="B866" s="7" t="s">
        <v>43264</v>
      </c>
      <c r="C866" s="7" t="s">
        <v>43265</v>
      </c>
      <c r="D866" s="7">
        <v>6815.0</v>
      </c>
      <c r="E866" s="902" t="s">
        <v>43266</v>
      </c>
      <c r="F866" s="902" t="s">
        <v>43267</v>
      </c>
      <c r="G866" s="903">
        <v>44218.0</v>
      </c>
      <c r="H866" s="904">
        <v>44214.0</v>
      </c>
      <c r="I866" s="7">
        <v>6813.0</v>
      </c>
      <c r="J866" s="905" t="s">
        <v>43268</v>
      </c>
      <c r="K866" s="7" t="s">
        <v>43269</v>
      </c>
    </row>
    <row r="867">
      <c r="A867" s="202">
        <v>13980.0</v>
      </c>
      <c r="B867" s="7" t="s">
        <v>43270</v>
      </c>
      <c r="C867" s="7" t="s">
        <v>43271</v>
      </c>
      <c r="D867" s="7">
        <v>6820.0</v>
      </c>
      <c r="E867" s="902" t="s">
        <v>43272</v>
      </c>
      <c r="F867" s="902" t="s">
        <v>43273</v>
      </c>
      <c r="G867" s="903">
        <v>44218.0</v>
      </c>
      <c r="H867" s="904">
        <v>44214.0</v>
      </c>
      <c r="I867" s="7">
        <v>6817.0</v>
      </c>
      <c r="J867" s="905" t="s">
        <v>43274</v>
      </c>
      <c r="K867" s="7" t="s">
        <v>42975</v>
      </c>
    </row>
    <row r="868">
      <c r="A868" s="202">
        <v>13981.0</v>
      </c>
      <c r="B868" s="7" t="s">
        <v>43275</v>
      </c>
      <c r="C868" s="7" t="s">
        <v>43276</v>
      </c>
      <c r="D868" s="7">
        <v>6823.0</v>
      </c>
      <c r="E868" s="902" t="s">
        <v>43277</v>
      </c>
      <c r="F868" s="902" t="s">
        <v>43278</v>
      </c>
      <c r="G868" s="903">
        <v>44218.0</v>
      </c>
      <c r="H868" s="904">
        <v>44214.0</v>
      </c>
      <c r="I868" s="7">
        <v>6821.0</v>
      </c>
      <c r="J868" s="905" t="s">
        <v>43279</v>
      </c>
    </row>
    <row r="869">
      <c r="A869" s="202">
        <v>13982.0</v>
      </c>
      <c r="B869" s="7" t="s">
        <v>43280</v>
      </c>
      <c r="C869" s="7" t="s">
        <v>43281</v>
      </c>
      <c r="D869" s="7">
        <v>6834.0</v>
      </c>
      <c r="E869" s="902" t="s">
        <v>43282</v>
      </c>
      <c r="F869" s="902" t="s">
        <v>43283</v>
      </c>
      <c r="G869" s="903">
        <v>44221.0</v>
      </c>
      <c r="H869" s="904">
        <v>44215.0</v>
      </c>
      <c r="I869" s="7">
        <v>6833.0</v>
      </c>
      <c r="J869" s="905" t="s">
        <v>43284</v>
      </c>
    </row>
    <row r="870">
      <c r="A870" s="202">
        <v>13983.0</v>
      </c>
      <c r="B870" s="7" t="s">
        <v>43285</v>
      </c>
      <c r="C870" s="7" t="s">
        <v>43286</v>
      </c>
      <c r="D870" s="7">
        <v>6835.0</v>
      </c>
      <c r="E870" s="902" t="s">
        <v>43287</v>
      </c>
      <c r="F870" s="902" t="s">
        <v>43288</v>
      </c>
      <c r="G870" s="903">
        <v>44221.0</v>
      </c>
      <c r="H870" s="904">
        <v>44215.0</v>
      </c>
      <c r="I870" s="7">
        <v>6835.0</v>
      </c>
      <c r="J870" s="905" t="s">
        <v>43289</v>
      </c>
      <c r="K870" s="7" t="s">
        <v>43290</v>
      </c>
    </row>
    <row r="871">
      <c r="A871" s="202">
        <v>13984.0</v>
      </c>
      <c r="B871" s="7" t="s">
        <v>43291</v>
      </c>
      <c r="C871" s="7" t="s">
        <v>43292</v>
      </c>
      <c r="D871" s="7">
        <v>6842.0</v>
      </c>
      <c r="E871" s="902" t="s">
        <v>43293</v>
      </c>
      <c r="F871" s="902" t="s">
        <v>43294</v>
      </c>
      <c r="G871" s="903">
        <v>44221.0</v>
      </c>
      <c r="H871" s="904">
        <v>44215.0</v>
      </c>
      <c r="I871" s="7">
        <v>6837.0</v>
      </c>
      <c r="J871" s="905" t="s">
        <v>43295</v>
      </c>
      <c r="K871" s="7" t="s">
        <v>42042</v>
      </c>
    </row>
    <row r="872">
      <c r="A872" s="202">
        <v>13985.0</v>
      </c>
      <c r="B872" s="7" t="s">
        <v>43296</v>
      </c>
      <c r="C872" s="7" t="s">
        <v>43297</v>
      </c>
      <c r="D872" s="7">
        <v>7013.0</v>
      </c>
      <c r="E872" s="902" t="s">
        <v>43298</v>
      </c>
      <c r="F872" s="902" t="s">
        <v>43299</v>
      </c>
      <c r="G872" s="903">
        <v>44221.0</v>
      </c>
      <c r="H872" s="904">
        <v>44216.0</v>
      </c>
      <c r="I872" s="7">
        <v>7009.0</v>
      </c>
      <c r="J872" s="905" t="s">
        <v>43300</v>
      </c>
      <c r="K872" s="7" t="s">
        <v>43301</v>
      </c>
    </row>
    <row r="873">
      <c r="A873" s="202">
        <v>13986.0</v>
      </c>
      <c r="B873" s="7" t="s">
        <v>43302</v>
      </c>
      <c r="C873" s="7" t="s">
        <v>43303</v>
      </c>
      <c r="D873" s="7">
        <v>7017.0</v>
      </c>
      <c r="E873" s="902" t="s">
        <v>43304</v>
      </c>
      <c r="F873" s="902" t="s">
        <v>43305</v>
      </c>
      <c r="G873" s="903">
        <v>44221.0</v>
      </c>
      <c r="H873" s="904">
        <v>44216.0</v>
      </c>
      <c r="I873" s="7">
        <v>7015.0</v>
      </c>
      <c r="J873" s="905" t="s">
        <v>43306</v>
      </c>
      <c r="K873" s="7" t="s">
        <v>43307</v>
      </c>
    </row>
    <row r="874">
      <c r="A874" s="202">
        <v>13987.0</v>
      </c>
      <c r="B874" s="7" t="s">
        <v>43308</v>
      </c>
      <c r="C874" s="7" t="s">
        <v>43309</v>
      </c>
      <c r="D874" s="7">
        <v>7021.0</v>
      </c>
      <c r="E874" s="902" t="s">
        <v>43310</v>
      </c>
      <c r="F874" s="902" t="s">
        <v>43311</v>
      </c>
      <c r="G874" s="903">
        <v>44221.0</v>
      </c>
      <c r="H874" s="904">
        <v>44216.0</v>
      </c>
      <c r="I874" s="7">
        <v>7019.0</v>
      </c>
      <c r="J874" s="905" t="s">
        <v>43312</v>
      </c>
      <c r="K874" s="7" t="s">
        <v>43313</v>
      </c>
    </row>
    <row r="875">
      <c r="A875" s="202">
        <v>13988.0</v>
      </c>
      <c r="B875" s="7" t="s">
        <v>43314</v>
      </c>
      <c r="C875" s="7" t="s">
        <v>43315</v>
      </c>
      <c r="D875" s="7">
        <v>7025.0</v>
      </c>
      <c r="E875" s="902" t="s">
        <v>43316</v>
      </c>
      <c r="F875" s="902" t="s">
        <v>43317</v>
      </c>
      <c r="G875" s="903">
        <v>44221.0</v>
      </c>
      <c r="H875" s="904">
        <v>44216.0</v>
      </c>
      <c r="I875" s="7">
        <v>7023.0</v>
      </c>
      <c r="J875" s="905" t="s">
        <v>43318</v>
      </c>
      <c r="K875" s="7" t="s">
        <v>43319</v>
      </c>
    </row>
    <row r="876">
      <c r="A876" s="202">
        <v>13989.0</v>
      </c>
      <c r="B876" s="7" t="s">
        <v>43320</v>
      </c>
      <c r="C876" s="7" t="s">
        <v>43321</v>
      </c>
      <c r="D876" s="7">
        <v>7035.0</v>
      </c>
      <c r="E876" s="902" t="s">
        <v>43322</v>
      </c>
      <c r="F876" s="902" t="s">
        <v>43323</v>
      </c>
      <c r="G876" s="903">
        <v>44221.0</v>
      </c>
      <c r="H876" s="904">
        <v>44216.0</v>
      </c>
      <c r="I876" s="7">
        <v>7029.0</v>
      </c>
      <c r="J876" s="905" t="s">
        <v>40568</v>
      </c>
      <c r="K876" s="7" t="s">
        <v>43319</v>
      </c>
    </row>
    <row r="877">
      <c r="A877" s="202">
        <v>13990.0</v>
      </c>
      <c r="B877" s="7" t="s">
        <v>43324</v>
      </c>
      <c r="C877" s="7" t="s">
        <v>43325</v>
      </c>
      <c r="D877" s="7">
        <v>7043.0</v>
      </c>
      <c r="E877" s="902" t="s">
        <v>43326</v>
      </c>
      <c r="F877" s="902" t="s">
        <v>43327</v>
      </c>
      <c r="G877" s="903">
        <v>44221.0</v>
      </c>
      <c r="H877" s="904">
        <v>44216.0</v>
      </c>
      <c r="I877" s="7">
        <v>7037.0</v>
      </c>
      <c r="J877" s="905" t="s">
        <v>43328</v>
      </c>
      <c r="K877" s="7" t="s">
        <v>43329</v>
      </c>
    </row>
    <row r="878">
      <c r="A878" s="202">
        <v>13991.0</v>
      </c>
      <c r="B878" s="7" t="s">
        <v>43330</v>
      </c>
      <c r="C878" s="7" t="s">
        <v>43331</v>
      </c>
      <c r="D878" s="7">
        <v>7048.0</v>
      </c>
      <c r="E878" s="902" t="s">
        <v>43332</v>
      </c>
      <c r="F878" s="902" t="s">
        <v>43333</v>
      </c>
      <c r="G878" s="903">
        <v>44221.0</v>
      </c>
      <c r="H878" s="904">
        <v>44216.0</v>
      </c>
      <c r="I878" s="7">
        <v>7045.0</v>
      </c>
      <c r="J878" s="905" t="s">
        <v>43334</v>
      </c>
    </row>
    <row r="879">
      <c r="A879" s="202">
        <v>13992.0</v>
      </c>
      <c r="B879" s="7" t="s">
        <v>43335</v>
      </c>
      <c r="C879" s="7" t="s">
        <v>43336</v>
      </c>
      <c r="D879" s="7">
        <v>7050.0</v>
      </c>
      <c r="E879" s="902" t="s">
        <v>43337</v>
      </c>
      <c r="F879" s="902" t="s">
        <v>43338</v>
      </c>
      <c r="G879" s="903">
        <v>44221.0</v>
      </c>
      <c r="H879" s="904">
        <v>44216.0</v>
      </c>
      <c r="I879" s="7">
        <v>7049.0</v>
      </c>
      <c r="J879" s="905" t="s">
        <v>43339</v>
      </c>
      <c r="K879" s="7" t="s">
        <v>43340</v>
      </c>
    </row>
    <row r="880">
      <c r="A880" s="202">
        <v>13993.0</v>
      </c>
      <c r="B880" s="7" t="s">
        <v>43341</v>
      </c>
      <c r="C880" s="7" t="s">
        <v>43342</v>
      </c>
      <c r="D880" s="7">
        <v>7052.0</v>
      </c>
      <c r="E880" s="902" t="s">
        <v>43343</v>
      </c>
      <c r="F880" s="902" t="s">
        <v>43344</v>
      </c>
      <c r="G880" s="903">
        <v>44221.0</v>
      </c>
      <c r="H880" s="904">
        <v>44216.0</v>
      </c>
      <c r="I880" s="7">
        <v>7051.0</v>
      </c>
      <c r="J880" s="905" t="s">
        <v>43345</v>
      </c>
      <c r="K880" s="7" t="s">
        <v>43346</v>
      </c>
    </row>
    <row r="881">
      <c r="A881" s="202">
        <v>13994.0</v>
      </c>
      <c r="B881" s="7" t="s">
        <v>43347</v>
      </c>
      <c r="C881" s="7" t="s">
        <v>43348</v>
      </c>
      <c r="D881" s="7">
        <v>7191.0</v>
      </c>
      <c r="E881" s="902" t="s">
        <v>43349</v>
      </c>
      <c r="F881" s="902" t="s">
        <v>43350</v>
      </c>
      <c r="G881" s="903">
        <v>44222.0</v>
      </c>
      <c r="H881" s="904">
        <v>44217.0</v>
      </c>
      <c r="I881" s="7">
        <v>7189.0</v>
      </c>
      <c r="J881" s="905" t="s">
        <v>43351</v>
      </c>
    </row>
    <row r="882">
      <c r="A882" s="202">
        <v>13995.0</v>
      </c>
      <c r="B882" s="7" t="s">
        <v>43352</v>
      </c>
      <c r="C882" s="7" t="s">
        <v>43353</v>
      </c>
      <c r="D882" s="7">
        <v>7196.0</v>
      </c>
      <c r="E882" s="902" t="s">
        <v>43354</v>
      </c>
      <c r="F882" s="902" t="s">
        <v>43355</v>
      </c>
      <c r="G882" s="903">
        <v>44222.0</v>
      </c>
      <c r="H882" s="904">
        <v>44217.0</v>
      </c>
      <c r="I882" s="7">
        <v>7193.0</v>
      </c>
      <c r="J882" s="905" t="s">
        <v>43356</v>
      </c>
      <c r="K882" s="7" t="s">
        <v>43357</v>
      </c>
    </row>
    <row r="883">
      <c r="A883" s="202">
        <v>13996.0</v>
      </c>
      <c r="B883" s="7" t="s">
        <v>43358</v>
      </c>
      <c r="C883" s="7" t="s">
        <v>43359</v>
      </c>
      <c r="D883" s="7">
        <v>7199.0</v>
      </c>
      <c r="E883" s="902" t="s">
        <v>43360</v>
      </c>
      <c r="F883" s="902" t="s">
        <v>43361</v>
      </c>
      <c r="G883" s="903">
        <v>44222.0</v>
      </c>
      <c r="H883" s="904">
        <v>44217.0</v>
      </c>
      <c r="I883" s="7">
        <v>7197.0</v>
      </c>
      <c r="J883" s="905" t="s">
        <v>43362</v>
      </c>
    </row>
    <row r="884">
      <c r="A884" s="202">
        <v>13997.0</v>
      </c>
      <c r="B884" s="7" t="s">
        <v>43363</v>
      </c>
      <c r="C884" s="7" t="s">
        <v>43364</v>
      </c>
      <c r="D884" s="7">
        <v>7203.0</v>
      </c>
      <c r="E884" s="902" t="s">
        <v>43365</v>
      </c>
      <c r="F884" s="902" t="s">
        <v>43366</v>
      </c>
      <c r="G884" s="903">
        <v>44222.0</v>
      </c>
      <c r="H884" s="904">
        <v>44217.0</v>
      </c>
      <c r="I884" s="7">
        <v>7201.0</v>
      </c>
      <c r="J884" s="905" t="s">
        <v>43367</v>
      </c>
    </row>
    <row r="885">
      <c r="A885" s="202">
        <v>13998.0</v>
      </c>
      <c r="B885" s="7" t="s">
        <v>43368</v>
      </c>
      <c r="C885" s="7" t="s">
        <v>43369</v>
      </c>
      <c r="D885" s="7">
        <v>7208.0</v>
      </c>
      <c r="E885" s="902" t="s">
        <v>43370</v>
      </c>
      <c r="F885" s="902" t="s">
        <v>43371</v>
      </c>
      <c r="G885" s="903">
        <v>44222.0</v>
      </c>
      <c r="H885" s="904">
        <v>44217.0</v>
      </c>
      <c r="I885" s="7">
        <v>7205.0</v>
      </c>
      <c r="J885" s="905" t="s">
        <v>43372</v>
      </c>
    </row>
    <row r="886">
      <c r="A886" s="202">
        <v>13999.0</v>
      </c>
      <c r="B886" s="7" t="s">
        <v>43373</v>
      </c>
      <c r="C886" s="7" t="s">
        <v>43374</v>
      </c>
      <c r="D886" s="7">
        <v>7213.0</v>
      </c>
      <c r="E886" s="902" t="s">
        <v>43375</v>
      </c>
      <c r="F886" s="902" t="s">
        <v>43376</v>
      </c>
      <c r="G886" s="903">
        <v>44222.0</v>
      </c>
      <c r="H886" s="904">
        <v>44217.0</v>
      </c>
      <c r="I886" s="7">
        <v>7211.0</v>
      </c>
      <c r="J886" s="905" t="s">
        <v>43377</v>
      </c>
    </row>
    <row r="887">
      <c r="A887" s="202">
        <v>14000.0</v>
      </c>
      <c r="B887" s="7" t="s">
        <v>43378</v>
      </c>
      <c r="C887" s="7" t="s">
        <v>43379</v>
      </c>
      <c r="D887" s="7">
        <v>7218.0</v>
      </c>
      <c r="E887" s="902" t="s">
        <v>43380</v>
      </c>
      <c r="F887" s="902" t="s">
        <v>43381</v>
      </c>
      <c r="G887" s="903">
        <v>44222.0</v>
      </c>
      <c r="H887" s="904">
        <v>44217.0</v>
      </c>
      <c r="I887" s="7">
        <v>7215.0</v>
      </c>
      <c r="J887" s="905" t="s">
        <v>43382</v>
      </c>
      <c r="K887" s="7" t="s">
        <v>43383</v>
      </c>
    </row>
    <row r="888">
      <c r="A888" s="202">
        <v>14001.0</v>
      </c>
      <c r="B888" s="7" t="s">
        <v>43384</v>
      </c>
      <c r="C888" s="7" t="s">
        <v>43385</v>
      </c>
      <c r="D888" s="7">
        <v>7222.0</v>
      </c>
      <c r="E888" s="902" t="s">
        <v>43386</v>
      </c>
      <c r="F888" s="902" t="s">
        <v>43387</v>
      </c>
      <c r="G888" s="903">
        <v>44222.0</v>
      </c>
      <c r="H888" s="904">
        <v>44217.0</v>
      </c>
      <c r="I888" s="7">
        <v>7219.0</v>
      </c>
      <c r="J888" s="905" t="s">
        <v>43388</v>
      </c>
      <c r="K888" s="7" t="s">
        <v>43389</v>
      </c>
    </row>
    <row r="889">
      <c r="A889" s="202">
        <v>14002.0</v>
      </c>
      <c r="B889" s="7" t="s">
        <v>43390</v>
      </c>
      <c r="C889" s="7" t="s">
        <v>43391</v>
      </c>
      <c r="D889" s="7">
        <v>7230.0</v>
      </c>
      <c r="E889" s="902" t="s">
        <v>43392</v>
      </c>
      <c r="F889" s="902" t="s">
        <v>43393</v>
      </c>
      <c r="G889" s="903">
        <v>44223.0</v>
      </c>
      <c r="H889" s="904">
        <v>44218.0</v>
      </c>
      <c r="I889" s="7">
        <v>7229.0</v>
      </c>
      <c r="J889" s="905" t="s">
        <v>43394</v>
      </c>
    </row>
    <row r="890">
      <c r="A890" s="202">
        <v>14003.0</v>
      </c>
      <c r="B890" s="7" t="s">
        <v>43395</v>
      </c>
      <c r="C890" s="7" t="s">
        <v>43396</v>
      </c>
      <c r="D890" s="7">
        <v>7233.0</v>
      </c>
      <c r="E890" s="902" t="s">
        <v>43397</v>
      </c>
      <c r="F890" s="902" t="s">
        <v>43398</v>
      </c>
      <c r="G890" s="903">
        <v>44223.0</v>
      </c>
      <c r="H890" s="904">
        <v>44218.0</v>
      </c>
      <c r="I890" s="7">
        <v>7231.0</v>
      </c>
      <c r="J890" s="905" t="s">
        <v>43399</v>
      </c>
      <c r="K890" s="7" t="s">
        <v>43400</v>
      </c>
    </row>
    <row r="891">
      <c r="A891" s="202">
        <v>14004.0</v>
      </c>
      <c r="B891" s="7" t="s">
        <v>43401</v>
      </c>
      <c r="C891" s="7" t="s">
        <v>43402</v>
      </c>
      <c r="D891" s="7">
        <v>7473.0</v>
      </c>
      <c r="E891" s="902" t="s">
        <v>43403</v>
      </c>
      <c r="F891" s="902" t="s">
        <v>43404</v>
      </c>
      <c r="G891" s="903">
        <v>44224.0</v>
      </c>
      <c r="H891" s="904">
        <v>44221.0</v>
      </c>
      <c r="I891" s="7">
        <v>7471.0</v>
      </c>
      <c r="J891" s="905" t="s">
        <v>43405</v>
      </c>
    </row>
    <row r="892">
      <c r="A892" s="202">
        <v>14005.0</v>
      </c>
      <c r="B892" s="7" t="s">
        <v>43406</v>
      </c>
      <c r="C892" s="7" t="s">
        <v>43407</v>
      </c>
      <c r="D892" s="7">
        <v>7479.0</v>
      </c>
      <c r="E892" s="902" t="s">
        <v>43408</v>
      </c>
      <c r="F892" s="902" t="s">
        <v>43409</v>
      </c>
      <c r="G892" s="903">
        <v>44224.0</v>
      </c>
      <c r="H892" s="904">
        <v>44221.0</v>
      </c>
      <c r="I892" s="7">
        <v>7475.0</v>
      </c>
      <c r="J892" s="905" t="s">
        <v>43410</v>
      </c>
      <c r="K892" s="7" t="s">
        <v>43411</v>
      </c>
    </row>
    <row r="893">
      <c r="A893" s="202">
        <v>14006.0</v>
      </c>
      <c r="B893" s="7" t="s">
        <v>43412</v>
      </c>
      <c r="C893" s="7" t="s">
        <v>43413</v>
      </c>
      <c r="D893" s="7">
        <v>7484.0</v>
      </c>
      <c r="E893" s="902" t="s">
        <v>43414</v>
      </c>
      <c r="F893" s="902" t="s">
        <v>43415</v>
      </c>
      <c r="G893" s="903">
        <v>44225.0</v>
      </c>
      <c r="H893" s="904">
        <v>44222.0</v>
      </c>
      <c r="I893" s="7">
        <v>7483.0</v>
      </c>
      <c r="J893" s="905" t="s">
        <v>43416</v>
      </c>
    </row>
    <row r="894">
      <c r="A894" s="202">
        <v>14007.0</v>
      </c>
      <c r="B894" s="7" t="s">
        <v>43417</v>
      </c>
      <c r="C894" s="7" t="s">
        <v>43418</v>
      </c>
      <c r="D894" s="7">
        <v>7617.0</v>
      </c>
      <c r="E894" s="902" t="s">
        <v>43419</v>
      </c>
      <c r="F894" s="902" t="s">
        <v>43420</v>
      </c>
      <c r="G894" s="903">
        <v>44228.0</v>
      </c>
      <c r="H894" s="904">
        <v>44223.0</v>
      </c>
      <c r="I894" s="7">
        <v>7615.0</v>
      </c>
      <c r="J894" s="905" t="s">
        <v>39164</v>
      </c>
      <c r="K894" s="7" t="s">
        <v>43421</v>
      </c>
    </row>
    <row r="895">
      <c r="A895" s="202">
        <v>14008.0</v>
      </c>
      <c r="B895" s="7" t="s">
        <v>43422</v>
      </c>
      <c r="C895" s="7" t="s">
        <v>43423</v>
      </c>
      <c r="D895" s="7">
        <v>7633.0</v>
      </c>
      <c r="E895" s="902" t="s">
        <v>43424</v>
      </c>
      <c r="F895" s="902" t="s">
        <v>43425</v>
      </c>
      <c r="G895" s="903">
        <v>44228.0</v>
      </c>
      <c r="H895" s="904">
        <v>44223.0</v>
      </c>
      <c r="I895" s="7">
        <v>7619.0</v>
      </c>
      <c r="J895" s="905" t="s">
        <v>43426</v>
      </c>
      <c r="K895" s="7" t="s">
        <v>43427</v>
      </c>
    </row>
    <row r="896">
      <c r="A896" s="202">
        <v>14009.0</v>
      </c>
      <c r="B896" s="7" t="s">
        <v>43428</v>
      </c>
      <c r="C896" s="7" t="s">
        <v>43429</v>
      </c>
      <c r="D896" s="7">
        <v>7795.0</v>
      </c>
      <c r="E896" s="902" t="s">
        <v>43430</v>
      </c>
      <c r="F896" s="902" t="s">
        <v>43431</v>
      </c>
      <c r="G896" s="903">
        <v>44229.0</v>
      </c>
      <c r="H896" s="904">
        <v>44224.0</v>
      </c>
      <c r="I896" s="7">
        <v>7793.0</v>
      </c>
      <c r="J896" s="905" t="s">
        <v>43432</v>
      </c>
      <c r="K896" s="7" t="s">
        <v>43433</v>
      </c>
    </row>
    <row r="897">
      <c r="A897" s="202">
        <v>14010.0</v>
      </c>
      <c r="B897" s="7" t="s">
        <v>43434</v>
      </c>
      <c r="C897" s="7" t="s">
        <v>43435</v>
      </c>
      <c r="D897" s="7">
        <v>8271.0</v>
      </c>
      <c r="E897" s="902" t="s">
        <v>43436</v>
      </c>
      <c r="F897" s="902" t="s">
        <v>43437</v>
      </c>
      <c r="G897" s="903">
        <v>44232.0</v>
      </c>
      <c r="H897" s="904">
        <v>44229.0</v>
      </c>
      <c r="I897" s="7">
        <v>8267.0</v>
      </c>
      <c r="J897" s="905" t="s">
        <v>43438</v>
      </c>
      <c r="K897" s="7" t="s">
        <v>43439</v>
      </c>
    </row>
    <row r="898">
      <c r="A898" s="202">
        <v>14011.0</v>
      </c>
      <c r="B898" s="7" t="s">
        <v>43440</v>
      </c>
      <c r="C898" s="7" t="s">
        <v>43441</v>
      </c>
      <c r="D898" s="7">
        <v>8275.0</v>
      </c>
      <c r="E898" s="902" t="s">
        <v>43442</v>
      </c>
      <c r="F898" s="902" t="s">
        <v>43443</v>
      </c>
      <c r="G898" s="903">
        <v>44232.0</v>
      </c>
      <c r="H898" s="904">
        <v>44229.0</v>
      </c>
      <c r="I898" s="7">
        <v>8273.0</v>
      </c>
      <c r="J898" s="905" t="s">
        <v>43444</v>
      </c>
      <c r="K898" s="7" t="s">
        <v>43445</v>
      </c>
    </row>
    <row r="899">
      <c r="A899" s="202">
        <v>14012.0</v>
      </c>
      <c r="B899" s="7" t="s">
        <v>43446</v>
      </c>
      <c r="C899" s="7" t="s">
        <v>43447</v>
      </c>
      <c r="D899" s="7">
        <v>8280.0</v>
      </c>
      <c r="E899" s="902" t="s">
        <v>43448</v>
      </c>
      <c r="F899" s="902" t="s">
        <v>43449</v>
      </c>
      <c r="G899" s="903">
        <v>44232.0</v>
      </c>
      <c r="H899" s="904">
        <v>44229.0</v>
      </c>
      <c r="I899" s="7">
        <v>8277.0</v>
      </c>
      <c r="J899" s="905" t="s">
        <v>43450</v>
      </c>
    </row>
    <row r="900">
      <c r="A900" s="202">
        <v>14013.0</v>
      </c>
      <c r="B900" s="7" t="s">
        <v>43451</v>
      </c>
      <c r="C900" s="7" t="s">
        <v>43452</v>
      </c>
      <c r="D900" s="7">
        <v>8844.0</v>
      </c>
      <c r="E900" s="902" t="s">
        <v>43453</v>
      </c>
      <c r="F900" s="902" t="s">
        <v>43454</v>
      </c>
      <c r="G900" s="903">
        <v>44236.0</v>
      </c>
      <c r="H900" s="904">
        <v>44231.0</v>
      </c>
      <c r="I900" s="7">
        <v>8839.0</v>
      </c>
      <c r="J900" s="905" t="s">
        <v>43455</v>
      </c>
      <c r="K900" s="7" t="s">
        <v>43456</v>
      </c>
    </row>
    <row r="901">
      <c r="A901" s="202">
        <v>14014.0</v>
      </c>
      <c r="B901" s="7" t="s">
        <v>43457</v>
      </c>
      <c r="C901" s="7" t="s">
        <v>43458</v>
      </c>
      <c r="D901" s="7">
        <v>9432.0</v>
      </c>
      <c r="E901" s="902" t="s">
        <v>43459</v>
      </c>
      <c r="F901" s="902" t="s">
        <v>43460</v>
      </c>
      <c r="G901" s="903">
        <v>44239.0</v>
      </c>
      <c r="H901" s="904">
        <v>44237.0</v>
      </c>
      <c r="I901" s="7">
        <v>9429.0</v>
      </c>
      <c r="J901" s="905" t="s">
        <v>43461</v>
      </c>
      <c r="K901" s="7" t="s">
        <v>43462</v>
      </c>
    </row>
    <row r="902">
      <c r="A902" s="202">
        <v>14015.0</v>
      </c>
      <c r="B902" s="7" t="s">
        <v>43463</v>
      </c>
      <c r="C902" s="7" t="s">
        <v>43464</v>
      </c>
      <c r="D902" s="7">
        <v>10009.0</v>
      </c>
      <c r="E902" s="902" t="s">
        <v>43465</v>
      </c>
      <c r="F902" s="902" t="s">
        <v>43466</v>
      </c>
      <c r="G902" s="903">
        <v>44245.0</v>
      </c>
      <c r="H902" s="904">
        <v>44241.0</v>
      </c>
      <c r="I902" s="7">
        <v>10007.0</v>
      </c>
      <c r="J902" s="905" t="s">
        <v>43467</v>
      </c>
      <c r="K902" s="7" t="s">
        <v>43468</v>
      </c>
    </row>
    <row r="903">
      <c r="A903" s="202">
        <v>14016.0</v>
      </c>
      <c r="B903" s="7" t="s">
        <v>43469</v>
      </c>
      <c r="C903" s="7" t="s">
        <v>43470</v>
      </c>
      <c r="D903" s="7">
        <v>11090.0</v>
      </c>
      <c r="E903" s="902" t="s">
        <v>43471</v>
      </c>
      <c r="F903" s="902" t="s">
        <v>43472</v>
      </c>
      <c r="G903" s="903">
        <v>44250.0</v>
      </c>
      <c r="H903" s="904">
        <v>44244.0</v>
      </c>
      <c r="I903" s="7">
        <v>11089.0</v>
      </c>
      <c r="J903" s="905" t="s">
        <v>43473</v>
      </c>
      <c r="K903" s="7" t="s">
        <v>43474</v>
      </c>
    </row>
    <row r="904">
      <c r="A904" s="202">
        <v>14017.0</v>
      </c>
      <c r="B904" s="7" t="s">
        <v>43475</v>
      </c>
      <c r="C904" s="7" t="s">
        <v>43476</v>
      </c>
      <c r="D904" s="7">
        <v>11854.0</v>
      </c>
      <c r="E904" s="902" t="s">
        <v>43477</v>
      </c>
      <c r="F904" s="902" t="s">
        <v>43478</v>
      </c>
      <c r="G904" s="903">
        <v>44256.0</v>
      </c>
      <c r="H904" s="904">
        <v>44251.0</v>
      </c>
      <c r="I904" s="7">
        <v>11849.0</v>
      </c>
      <c r="J904" s="905" t="s">
        <v>43479</v>
      </c>
      <c r="K904" s="7" t="s">
        <v>43480</v>
      </c>
    </row>
    <row r="905">
      <c r="A905" s="202">
        <v>14018.0</v>
      </c>
      <c r="B905" s="7" t="s">
        <v>43481</v>
      </c>
      <c r="C905" s="7" t="s">
        <v>43482</v>
      </c>
      <c r="D905" s="7">
        <v>11856.0</v>
      </c>
      <c r="E905" s="902" t="s">
        <v>43483</v>
      </c>
      <c r="F905" s="902" t="s">
        <v>43484</v>
      </c>
      <c r="G905" s="903">
        <v>44256.0</v>
      </c>
      <c r="H905" s="904">
        <v>44251.0</v>
      </c>
      <c r="I905" s="7">
        <v>11855.0</v>
      </c>
      <c r="J905" s="905" t="s">
        <v>43485</v>
      </c>
      <c r="K905" s="7" t="s">
        <v>43486</v>
      </c>
    </row>
    <row r="906">
      <c r="A906" s="202">
        <v>14019.0</v>
      </c>
      <c r="B906" s="7" t="s">
        <v>43487</v>
      </c>
      <c r="C906" s="7" t="s">
        <v>43488</v>
      </c>
      <c r="D906" s="7">
        <v>13627.0</v>
      </c>
      <c r="E906" s="902" t="s">
        <v>43489</v>
      </c>
      <c r="F906" s="902" t="s">
        <v>43490</v>
      </c>
      <c r="G906" s="903">
        <v>44265.0</v>
      </c>
      <c r="H906" s="904">
        <v>44262.0</v>
      </c>
      <c r="I906" s="7">
        <v>13623.0</v>
      </c>
      <c r="J906" s="905" t="s">
        <v>43491</v>
      </c>
      <c r="K906" s="7" t="s">
        <v>43492</v>
      </c>
    </row>
    <row r="907">
      <c r="A907" s="202">
        <v>14020.0</v>
      </c>
      <c r="B907" s="7" t="s">
        <v>43493</v>
      </c>
      <c r="C907" s="7" t="s">
        <v>43494</v>
      </c>
      <c r="D907" s="7">
        <v>13801.0</v>
      </c>
      <c r="E907" s="902" t="s">
        <v>43495</v>
      </c>
      <c r="F907" s="902" t="s">
        <v>43496</v>
      </c>
      <c r="G907" s="903">
        <v>44266.0</v>
      </c>
      <c r="H907" s="904">
        <v>44263.0</v>
      </c>
      <c r="I907" s="7">
        <v>13797.0</v>
      </c>
      <c r="J907" s="905" t="s">
        <v>43497</v>
      </c>
      <c r="K907" s="7" t="s">
        <v>43498</v>
      </c>
    </row>
    <row r="908">
      <c r="A908" s="202">
        <v>14021.0</v>
      </c>
      <c r="B908" s="7" t="s">
        <v>43499</v>
      </c>
      <c r="C908" s="7" t="s">
        <v>43500</v>
      </c>
      <c r="D908" s="7">
        <v>13804.0</v>
      </c>
      <c r="E908" s="902" t="s">
        <v>43501</v>
      </c>
      <c r="F908" s="902" t="s">
        <v>43502</v>
      </c>
      <c r="G908" s="903">
        <v>44266.0</v>
      </c>
      <c r="H908" s="904">
        <v>44263.0</v>
      </c>
      <c r="I908" s="7">
        <v>13803.0</v>
      </c>
      <c r="J908" s="905" t="s">
        <v>43503</v>
      </c>
    </row>
    <row r="909">
      <c r="A909" s="202">
        <v>14022.0</v>
      </c>
      <c r="B909" s="7" t="s">
        <v>43504</v>
      </c>
      <c r="C909" s="7" t="s">
        <v>43505</v>
      </c>
      <c r="D909" s="7">
        <v>17896.0</v>
      </c>
      <c r="E909" s="902" t="s">
        <v>43506</v>
      </c>
      <c r="F909" s="902" t="s">
        <v>43507</v>
      </c>
      <c r="G909" s="903">
        <v>44293.0</v>
      </c>
      <c r="H909" s="904">
        <v>44287.0</v>
      </c>
      <c r="I909" s="7">
        <v>17895.0</v>
      </c>
      <c r="J909" s="905" t="s">
        <v>43508</v>
      </c>
      <c r="K909" s="7" t="s">
        <v>43509</v>
      </c>
    </row>
    <row r="910">
      <c r="A910" s="202">
        <v>14023.0</v>
      </c>
      <c r="B910" s="7" t="s">
        <v>43510</v>
      </c>
      <c r="C910" s="7" t="s">
        <v>43511</v>
      </c>
      <c r="D910" s="7">
        <v>19570.0</v>
      </c>
      <c r="E910" s="902" t="s">
        <v>43512</v>
      </c>
      <c r="F910" s="902" t="s">
        <v>43513</v>
      </c>
      <c r="G910" s="903">
        <v>44300.0</v>
      </c>
      <c r="H910" s="904">
        <v>44295.0</v>
      </c>
      <c r="I910" s="7">
        <v>19569.0</v>
      </c>
      <c r="J910" s="905" t="s">
        <v>43514</v>
      </c>
    </row>
    <row r="911">
      <c r="A911" s="202">
        <v>14024.0</v>
      </c>
      <c r="B911" s="7" t="s">
        <v>43515</v>
      </c>
      <c r="C911" s="7" t="s">
        <v>43516</v>
      </c>
      <c r="D911" s="7">
        <v>20252.0</v>
      </c>
      <c r="E911" s="902" t="s">
        <v>43517</v>
      </c>
      <c r="F911" s="902" t="s">
        <v>43518</v>
      </c>
      <c r="G911" s="903">
        <v>44305.0</v>
      </c>
      <c r="H911" s="904">
        <v>44301.0</v>
      </c>
      <c r="I911" s="7">
        <v>20249.0</v>
      </c>
      <c r="J911" s="905" t="s">
        <v>43519</v>
      </c>
      <c r="K911" s="7" t="s">
        <v>43520</v>
      </c>
    </row>
    <row r="912">
      <c r="A912" s="202">
        <v>14025.0</v>
      </c>
      <c r="B912" s="7" t="s">
        <v>43521</v>
      </c>
      <c r="C912" s="7" t="s">
        <v>43522</v>
      </c>
      <c r="D912" s="7">
        <v>22832.0</v>
      </c>
      <c r="E912" s="902" t="s">
        <v>43523</v>
      </c>
      <c r="F912" s="902" t="s">
        <v>43524</v>
      </c>
      <c r="G912" s="903">
        <v>44315.0</v>
      </c>
      <c r="H912" s="904">
        <v>44312.0</v>
      </c>
      <c r="I912" s="7">
        <v>22829.0</v>
      </c>
      <c r="J912" s="905" t="s">
        <v>43525</v>
      </c>
      <c r="K912" s="7" t="s">
        <v>43526</v>
      </c>
    </row>
    <row r="913">
      <c r="A913" s="202">
        <v>14026.0</v>
      </c>
      <c r="B913" s="7" t="s">
        <v>43527</v>
      </c>
      <c r="C913" s="7" t="s">
        <v>43528</v>
      </c>
      <c r="D913" s="7">
        <v>22838.0</v>
      </c>
      <c r="E913" s="902" t="s">
        <v>43529</v>
      </c>
      <c r="F913" s="902" t="s">
        <v>43530</v>
      </c>
      <c r="G913" s="903">
        <v>44316.0</v>
      </c>
      <c r="H913" s="904">
        <v>44313.0</v>
      </c>
      <c r="I913" s="7">
        <v>22835.0</v>
      </c>
      <c r="J913" s="905" t="s">
        <v>43531</v>
      </c>
      <c r="K913" s="7" t="s">
        <v>43532</v>
      </c>
    </row>
    <row r="914">
      <c r="A914" s="202">
        <v>14027.0</v>
      </c>
      <c r="B914" s="7" t="s">
        <v>43533</v>
      </c>
      <c r="C914" s="7" t="s">
        <v>43534</v>
      </c>
      <c r="D914" s="7">
        <v>25948.0</v>
      </c>
      <c r="E914" s="902" t="s">
        <v>43535</v>
      </c>
      <c r="F914" s="902" t="s">
        <v>43536</v>
      </c>
      <c r="G914" s="903">
        <v>44328.0</v>
      </c>
      <c r="H914" s="904">
        <v>44323.0</v>
      </c>
      <c r="I914" s="7">
        <v>25947.0</v>
      </c>
      <c r="J914" s="905" t="s">
        <v>43537</v>
      </c>
      <c r="K914" s="7" t="s">
        <v>43538</v>
      </c>
    </row>
    <row r="915">
      <c r="A915" s="202">
        <v>14028.0</v>
      </c>
      <c r="B915" s="7" t="s">
        <v>43539</v>
      </c>
      <c r="C915" s="7" t="s">
        <v>43540</v>
      </c>
      <c r="D915" s="7">
        <v>26647.0</v>
      </c>
      <c r="E915" s="902" t="s">
        <v>43541</v>
      </c>
      <c r="F915" s="902" t="s">
        <v>43542</v>
      </c>
      <c r="G915" s="903">
        <v>44333.0</v>
      </c>
      <c r="H915" s="904">
        <v>44328.0</v>
      </c>
      <c r="I915" s="7">
        <v>26633.0</v>
      </c>
      <c r="J915" s="905" t="s">
        <v>43543</v>
      </c>
    </row>
    <row r="916">
      <c r="A916" s="202">
        <v>14029.0</v>
      </c>
      <c r="B916" s="7" t="s">
        <v>43544</v>
      </c>
      <c r="C916" s="7" t="s">
        <v>43545</v>
      </c>
      <c r="D916" s="7">
        <v>27026.0</v>
      </c>
      <c r="E916" s="902" t="s">
        <v>43546</v>
      </c>
      <c r="F916" s="902" t="s">
        <v>43547</v>
      </c>
      <c r="G916" s="903">
        <v>44335.0</v>
      </c>
      <c r="H916" s="904">
        <v>44330.0</v>
      </c>
      <c r="I916" s="7">
        <v>27025.0</v>
      </c>
      <c r="J916" s="905" t="s">
        <v>43548</v>
      </c>
      <c r="K916" s="7" t="s">
        <v>43549</v>
      </c>
    </row>
    <row r="917">
      <c r="A917" s="202">
        <v>14030.0</v>
      </c>
      <c r="B917" s="7" t="s">
        <v>43550</v>
      </c>
      <c r="C917" s="7" t="s">
        <v>43551</v>
      </c>
      <c r="D917" s="7">
        <v>27971.0</v>
      </c>
      <c r="E917" s="902" t="s">
        <v>43552</v>
      </c>
      <c r="F917" s="902" t="s">
        <v>43553</v>
      </c>
      <c r="G917" s="903">
        <v>44341.0</v>
      </c>
      <c r="H917" s="904">
        <v>44336.0</v>
      </c>
      <c r="I917" s="7">
        <v>27967.0</v>
      </c>
      <c r="J917" s="905" t="s">
        <v>43554</v>
      </c>
      <c r="K917" s="7" t="s">
        <v>43555</v>
      </c>
    </row>
    <row r="918">
      <c r="A918" s="202">
        <v>14031.0</v>
      </c>
      <c r="B918" s="7" t="s">
        <v>43556</v>
      </c>
      <c r="C918" s="7" t="s">
        <v>43557</v>
      </c>
      <c r="D918" s="7">
        <v>29681.0</v>
      </c>
      <c r="E918" s="902" t="s">
        <v>43558</v>
      </c>
      <c r="F918" s="902" t="s">
        <v>43559</v>
      </c>
      <c r="G918" s="903">
        <v>44350.0</v>
      </c>
      <c r="H918" s="904">
        <v>44344.0</v>
      </c>
      <c r="I918" s="7">
        <v>29675.0</v>
      </c>
      <c r="J918" s="905" t="s">
        <v>43560</v>
      </c>
      <c r="K918" s="7" t="s">
        <v>43561</v>
      </c>
    </row>
    <row r="919">
      <c r="A919" s="202">
        <v>14032.0</v>
      </c>
      <c r="B919" s="7" t="s">
        <v>43562</v>
      </c>
      <c r="C919" s="7" t="s">
        <v>43563</v>
      </c>
      <c r="D919" s="7">
        <v>30149.0</v>
      </c>
      <c r="E919" s="902" t="s">
        <v>43564</v>
      </c>
      <c r="F919" s="902" t="s">
        <v>43565</v>
      </c>
      <c r="G919" s="903">
        <v>44354.0</v>
      </c>
      <c r="H919" s="904">
        <v>44350.0</v>
      </c>
      <c r="I919" s="7">
        <v>30145.0</v>
      </c>
      <c r="J919" s="905" t="s">
        <v>43566</v>
      </c>
      <c r="K919" s="7" t="s">
        <v>43567</v>
      </c>
    </row>
    <row r="920">
      <c r="A920" s="202">
        <v>14033.0</v>
      </c>
      <c r="B920" s="7" t="s">
        <v>43568</v>
      </c>
      <c r="C920" s="7" t="s">
        <v>43569</v>
      </c>
      <c r="D920" s="7">
        <v>31082.0</v>
      </c>
      <c r="E920" s="902" t="s">
        <v>43570</v>
      </c>
      <c r="F920" s="902" t="s">
        <v>43571</v>
      </c>
      <c r="G920" s="903">
        <v>44357.0</v>
      </c>
      <c r="H920" s="904">
        <v>44355.0</v>
      </c>
      <c r="I920" s="7">
        <v>31079.0</v>
      </c>
      <c r="J920" s="905" t="s">
        <v>43572</v>
      </c>
      <c r="K920" s="7" t="s">
        <v>43573</v>
      </c>
    </row>
    <row r="921">
      <c r="A921" s="202">
        <v>14034.0</v>
      </c>
      <c r="B921" s="7" t="s">
        <v>43574</v>
      </c>
      <c r="C921" s="7" t="s">
        <v>43575</v>
      </c>
      <c r="D921" s="7">
        <v>31426.0</v>
      </c>
      <c r="E921" s="902" t="s">
        <v>43576</v>
      </c>
      <c r="F921" s="902" t="s">
        <v>43577</v>
      </c>
      <c r="G921" s="903">
        <v>44358.0</v>
      </c>
      <c r="H921" s="904">
        <v>44356.0</v>
      </c>
      <c r="I921" s="7">
        <v>31423.0</v>
      </c>
      <c r="J921" s="905" t="s">
        <v>43578</v>
      </c>
      <c r="K921" s="7" t="s">
        <v>43579</v>
      </c>
    </row>
    <row r="922">
      <c r="A922" s="202">
        <v>14035.0</v>
      </c>
      <c r="B922" s="7" t="s">
        <v>43580</v>
      </c>
      <c r="C922" s="7" t="s">
        <v>43581</v>
      </c>
      <c r="D922" s="7">
        <v>34603.0</v>
      </c>
      <c r="E922" s="902" t="s">
        <v>43582</v>
      </c>
      <c r="F922" s="902" t="s">
        <v>43583</v>
      </c>
      <c r="G922" s="903">
        <v>44377.0</v>
      </c>
      <c r="H922" s="904">
        <v>44372.0</v>
      </c>
      <c r="I922" s="7">
        <v>34593.0</v>
      </c>
      <c r="J922" s="905" t="s">
        <v>43584</v>
      </c>
      <c r="K922" s="7" t="s">
        <v>43585</v>
      </c>
    </row>
    <row r="923">
      <c r="A923" s="202">
        <v>14036.0</v>
      </c>
      <c r="B923" s="7" t="s">
        <v>43586</v>
      </c>
      <c r="C923" s="7" t="s">
        <v>43587</v>
      </c>
      <c r="D923" s="7">
        <v>36999.0</v>
      </c>
      <c r="E923" s="902" t="s">
        <v>43588</v>
      </c>
      <c r="F923" s="902" t="s">
        <v>43589</v>
      </c>
      <c r="G923" s="903">
        <v>44391.0</v>
      </c>
      <c r="H923" s="904">
        <v>44386.0</v>
      </c>
      <c r="I923" s="7">
        <v>36987.0</v>
      </c>
      <c r="J923" s="905" t="s">
        <v>43590</v>
      </c>
      <c r="K923" s="7" t="s">
        <v>43591</v>
      </c>
    </row>
    <row r="924">
      <c r="A924" s="202">
        <v>14037.0</v>
      </c>
      <c r="B924" s="7" t="s">
        <v>43592</v>
      </c>
      <c r="C924" s="7" t="s">
        <v>43593</v>
      </c>
      <c r="D924" s="7">
        <v>43585.0</v>
      </c>
      <c r="E924" s="902" t="s">
        <v>43594</v>
      </c>
      <c r="F924" s="902" t="s">
        <v>43595</v>
      </c>
      <c r="G924" s="903">
        <v>44418.0</v>
      </c>
      <c r="H924" s="904">
        <v>44413.0</v>
      </c>
      <c r="I924" s="7">
        <v>43583.0</v>
      </c>
      <c r="J924" s="905" t="s">
        <v>43596</v>
      </c>
    </row>
    <row r="925">
      <c r="A925" s="202">
        <v>14038.0</v>
      </c>
      <c r="B925" s="7" t="s">
        <v>43597</v>
      </c>
      <c r="C925" s="7" t="s">
        <v>43598</v>
      </c>
      <c r="D925" s="7">
        <v>43908.0</v>
      </c>
      <c r="E925" s="902" t="s">
        <v>43599</v>
      </c>
      <c r="F925" s="902" t="s">
        <v>43600</v>
      </c>
      <c r="G925" s="903">
        <v>44419.0</v>
      </c>
      <c r="H925" s="904">
        <v>44417.0</v>
      </c>
      <c r="I925" s="7">
        <v>43905.0</v>
      </c>
      <c r="J925" s="905" t="s">
        <v>43601</v>
      </c>
      <c r="K925" s="7" t="s">
        <v>43602</v>
      </c>
    </row>
    <row r="926">
      <c r="A926" s="202">
        <v>14039.0</v>
      </c>
      <c r="B926" s="7" t="s">
        <v>43603</v>
      </c>
      <c r="C926" s="7" t="s">
        <v>43604</v>
      </c>
      <c r="D926" s="7">
        <v>47207.0</v>
      </c>
      <c r="E926" s="902" t="s">
        <v>43605</v>
      </c>
      <c r="F926" s="902" t="s">
        <v>43606</v>
      </c>
      <c r="G926" s="903">
        <v>44432.0</v>
      </c>
      <c r="H926" s="904">
        <v>44428.0</v>
      </c>
      <c r="I926" s="7">
        <v>47205.0</v>
      </c>
      <c r="J926" s="905" t="s">
        <v>43607</v>
      </c>
      <c r="K926" s="7" t="s">
        <v>43608</v>
      </c>
    </row>
    <row r="927">
      <c r="A927" s="202">
        <v>14040.0</v>
      </c>
      <c r="B927" s="7" t="s">
        <v>43609</v>
      </c>
      <c r="C927" s="7" t="s">
        <v>43610</v>
      </c>
      <c r="D927" s="7">
        <v>50441.0</v>
      </c>
      <c r="E927" s="902" t="s">
        <v>43611</v>
      </c>
      <c r="F927" s="902" t="s">
        <v>43612</v>
      </c>
      <c r="G927" s="903">
        <v>44448.0</v>
      </c>
      <c r="H927" s="904">
        <v>44442.0</v>
      </c>
      <c r="I927" s="7">
        <v>50439.0</v>
      </c>
      <c r="J927" s="905" t="s">
        <v>43613</v>
      </c>
      <c r="K927" s="7" t="s">
        <v>43614</v>
      </c>
    </row>
    <row r="928">
      <c r="A928" s="202">
        <v>14041.0</v>
      </c>
      <c r="B928" s="7" t="s">
        <v>43615</v>
      </c>
      <c r="C928" s="7" t="s">
        <v>43616</v>
      </c>
      <c r="D928" s="7">
        <v>50447.0</v>
      </c>
      <c r="E928" s="902" t="s">
        <v>43617</v>
      </c>
      <c r="F928" s="902" t="s">
        <v>43618</v>
      </c>
      <c r="G928" s="903">
        <v>44448.0</v>
      </c>
      <c r="H928" s="904">
        <v>44442.0</v>
      </c>
      <c r="I928" s="7">
        <v>50443.0</v>
      </c>
      <c r="J928" s="905" t="s">
        <v>43619</v>
      </c>
      <c r="K928" s="7" t="s">
        <v>43620</v>
      </c>
    </row>
    <row r="929">
      <c r="A929" s="202">
        <v>14042.0</v>
      </c>
      <c r="B929" s="7" t="s">
        <v>43621</v>
      </c>
      <c r="C929" s="7" t="s">
        <v>43622</v>
      </c>
      <c r="D929" s="7">
        <v>50988.0</v>
      </c>
      <c r="E929" s="902" t="s">
        <v>43623</v>
      </c>
      <c r="F929" s="902" t="s">
        <v>43624</v>
      </c>
      <c r="G929" s="903">
        <v>44453.0</v>
      </c>
      <c r="H929" s="904">
        <v>44448.0</v>
      </c>
      <c r="I929" s="7">
        <v>50985.0</v>
      </c>
      <c r="J929" s="905" t="s">
        <v>43625</v>
      </c>
      <c r="K929" s="7" t="s">
        <v>43626</v>
      </c>
    </row>
    <row r="930">
      <c r="A930" s="202">
        <v>14043.0</v>
      </c>
      <c r="B930" s="7" t="s">
        <v>43627</v>
      </c>
      <c r="C930" s="7" t="s">
        <v>43628</v>
      </c>
      <c r="D930" s="7">
        <v>50990.0</v>
      </c>
      <c r="E930" s="902" t="s">
        <v>43629</v>
      </c>
      <c r="F930" s="902" t="s">
        <v>43630</v>
      </c>
      <c r="G930" s="903">
        <v>44453.0</v>
      </c>
      <c r="H930" s="904">
        <v>44448.0</v>
      </c>
      <c r="I930" s="7">
        <v>50989.0</v>
      </c>
      <c r="J930" s="905" t="s">
        <v>43631</v>
      </c>
      <c r="K930" s="7" t="s">
        <v>43632</v>
      </c>
    </row>
    <row r="931">
      <c r="A931" s="202">
        <v>14044.0</v>
      </c>
      <c r="B931" s="7" t="s">
        <v>43633</v>
      </c>
      <c r="C931" s="7" t="s">
        <v>43634</v>
      </c>
      <c r="D931" s="7">
        <v>51579.0</v>
      </c>
      <c r="E931" s="902" t="s">
        <v>43635</v>
      </c>
      <c r="F931" s="902" t="s">
        <v>43636</v>
      </c>
      <c r="G931" s="903">
        <v>44455.0</v>
      </c>
      <c r="H931" s="904">
        <v>44452.0</v>
      </c>
      <c r="I931" s="7">
        <v>51579.0</v>
      </c>
      <c r="J931" s="905" t="s">
        <v>43637</v>
      </c>
      <c r="K931" s="7" t="s">
        <v>43638</v>
      </c>
    </row>
    <row r="932">
      <c r="A932" s="202">
        <v>14045.0</v>
      </c>
      <c r="B932" s="7" t="s">
        <v>43639</v>
      </c>
      <c r="C932" s="7" t="s">
        <v>43640</v>
      </c>
      <c r="D932" s="7">
        <v>51587.0</v>
      </c>
      <c r="E932" s="902" t="s">
        <v>43641</v>
      </c>
      <c r="F932" s="902" t="s">
        <v>43642</v>
      </c>
      <c r="G932" s="903">
        <v>44455.0</v>
      </c>
      <c r="H932" s="904">
        <v>44452.0</v>
      </c>
      <c r="I932" s="7">
        <v>51581.0</v>
      </c>
      <c r="J932" s="905" t="s">
        <v>43643</v>
      </c>
      <c r="K932" s="7" t="s">
        <v>43644</v>
      </c>
    </row>
    <row r="933">
      <c r="A933" s="202">
        <v>14046.0</v>
      </c>
      <c r="B933" s="7" t="s">
        <v>43645</v>
      </c>
      <c r="C933" s="7" t="s">
        <v>43646</v>
      </c>
      <c r="D933" s="7">
        <v>52393.0</v>
      </c>
      <c r="E933" s="902" t="s">
        <v>43647</v>
      </c>
      <c r="F933" s="902" t="s">
        <v>43648</v>
      </c>
      <c r="G933" s="903">
        <v>44460.0</v>
      </c>
      <c r="H933" s="904">
        <v>44456.0</v>
      </c>
      <c r="I933" s="7">
        <v>52389.0</v>
      </c>
      <c r="J933" s="905" t="s">
        <v>43649</v>
      </c>
    </row>
    <row r="934">
      <c r="A934" s="202">
        <v>14047.0</v>
      </c>
      <c r="B934" s="7" t="s">
        <v>43650</v>
      </c>
      <c r="C934" s="7" t="s">
        <v>43651</v>
      </c>
      <c r="D934" s="7">
        <v>52592.0</v>
      </c>
      <c r="E934" s="902" t="s">
        <v>43652</v>
      </c>
      <c r="F934" s="902" t="s">
        <v>43653</v>
      </c>
      <c r="G934" s="903">
        <v>44461.0</v>
      </c>
      <c r="H934" s="904">
        <v>44456.0</v>
      </c>
      <c r="I934" s="7">
        <v>52591.0</v>
      </c>
      <c r="J934" s="905" t="s">
        <v>43654</v>
      </c>
      <c r="K934" s="7" t="s">
        <v>43655</v>
      </c>
    </row>
    <row r="935">
      <c r="A935" s="202">
        <v>14048.0</v>
      </c>
      <c r="B935" s="7" t="s">
        <v>43656</v>
      </c>
      <c r="C935" s="7" t="s">
        <v>43657</v>
      </c>
      <c r="D935" s="7">
        <v>55468.0</v>
      </c>
      <c r="E935" s="902" t="s">
        <v>43658</v>
      </c>
      <c r="F935" s="902" t="s">
        <v>43659</v>
      </c>
      <c r="G935" s="903">
        <v>44474.0</v>
      </c>
      <c r="H935" s="904">
        <v>44469.0</v>
      </c>
      <c r="I935" s="7">
        <v>55465.0</v>
      </c>
      <c r="J935" s="905" t="s">
        <v>43660</v>
      </c>
      <c r="K935" s="7" t="s">
        <v>43661</v>
      </c>
    </row>
    <row r="936">
      <c r="A936" s="202">
        <v>14049.0</v>
      </c>
      <c r="B936" s="7" t="s">
        <v>43662</v>
      </c>
      <c r="C936" s="7" t="s">
        <v>43663</v>
      </c>
      <c r="D936" s="7">
        <v>57318.0</v>
      </c>
      <c r="E936" s="902" t="s">
        <v>43664</v>
      </c>
      <c r="F936" s="902" t="s">
        <v>43665</v>
      </c>
      <c r="G936" s="906">
        <v>44483.0</v>
      </c>
      <c r="H936" s="904">
        <v>44480.0</v>
      </c>
      <c r="I936" s="7">
        <v>57313.0</v>
      </c>
      <c r="J936" s="905" t="s">
        <v>43666</v>
      </c>
      <c r="K936" s="7" t="s">
        <v>43667</v>
      </c>
    </row>
    <row r="937">
      <c r="A937" s="202">
        <v>14050.0</v>
      </c>
      <c r="B937" s="7" t="s">
        <v>43668</v>
      </c>
      <c r="C937" s="7" t="s">
        <v>43669</v>
      </c>
      <c r="D937" s="7">
        <v>58557.0</v>
      </c>
      <c r="E937" s="902" t="s">
        <v>43670</v>
      </c>
      <c r="F937" s="902" t="s">
        <v>43671</v>
      </c>
      <c r="G937" s="906">
        <v>44491.0</v>
      </c>
      <c r="H937" s="904">
        <v>44488.0</v>
      </c>
      <c r="I937" s="7">
        <v>58551.0</v>
      </c>
      <c r="J937" s="905" t="s">
        <v>43672</v>
      </c>
      <c r="K937" s="7" t="s">
        <v>43673</v>
      </c>
    </row>
    <row r="938">
      <c r="A938" s="202">
        <v>14051.0</v>
      </c>
      <c r="B938" s="7" t="s">
        <v>43674</v>
      </c>
      <c r="C938" s="7" t="s">
        <v>43675</v>
      </c>
      <c r="D938" s="7">
        <v>60748.0</v>
      </c>
      <c r="E938" s="902" t="s">
        <v>43676</v>
      </c>
      <c r="F938" s="902" t="s">
        <v>43677</v>
      </c>
      <c r="G938" s="903">
        <v>44503.0</v>
      </c>
      <c r="H938" s="904">
        <v>44500.0</v>
      </c>
      <c r="I938" s="7">
        <v>60747.0</v>
      </c>
      <c r="J938" s="905" t="s">
        <v>43678</v>
      </c>
      <c r="K938" s="7" t="s">
        <v>43679</v>
      </c>
    </row>
    <row r="939">
      <c r="A939" s="202">
        <v>14052.0</v>
      </c>
      <c r="B939" s="7" t="s">
        <v>43680</v>
      </c>
      <c r="C939" s="7" t="s">
        <v>43681</v>
      </c>
      <c r="D939" s="7">
        <v>64336.0</v>
      </c>
      <c r="E939" s="902" t="s">
        <v>43682</v>
      </c>
      <c r="F939" s="902" t="s">
        <v>43683</v>
      </c>
      <c r="G939" s="906">
        <v>44518.0</v>
      </c>
      <c r="H939" s="904">
        <v>44515.0</v>
      </c>
      <c r="I939" s="7">
        <v>64335.0</v>
      </c>
      <c r="J939" s="905" t="s">
        <v>43684</v>
      </c>
      <c r="K939" s="7" t="s">
        <v>43685</v>
      </c>
    </row>
    <row r="940">
      <c r="A940" s="202">
        <v>14053.0</v>
      </c>
      <c r="B940" s="7" t="s">
        <v>43686</v>
      </c>
      <c r="C940" s="7" t="s">
        <v>43687</v>
      </c>
      <c r="D940" s="7">
        <v>64341.0</v>
      </c>
      <c r="E940" s="902" t="s">
        <v>43688</v>
      </c>
      <c r="F940" s="902" t="s">
        <v>43689</v>
      </c>
      <c r="G940" s="906">
        <v>44518.0</v>
      </c>
      <c r="H940" s="904">
        <v>44515.0</v>
      </c>
      <c r="I940" s="7">
        <v>64337.0</v>
      </c>
      <c r="J940" s="905" t="s">
        <v>43690</v>
      </c>
    </row>
    <row r="941">
      <c r="A941" s="202">
        <v>14054.0</v>
      </c>
      <c r="B941" s="7" t="s">
        <v>43691</v>
      </c>
      <c r="C941" s="7" t="s">
        <v>43692</v>
      </c>
      <c r="D941" s="7">
        <v>66150.0</v>
      </c>
      <c r="E941" s="902" t="s">
        <v>43693</v>
      </c>
      <c r="F941" s="902" t="s">
        <v>43694</v>
      </c>
      <c r="G941" s="906">
        <v>44519.0</v>
      </c>
      <c r="H941" s="904">
        <v>44518.0</v>
      </c>
      <c r="I941" s="7">
        <v>66149.0</v>
      </c>
      <c r="J941" s="905" t="s">
        <v>43695</v>
      </c>
      <c r="K941" s="7" t="s">
        <v>43696</v>
      </c>
    </row>
    <row r="942">
      <c r="A942" s="202">
        <v>14055.0</v>
      </c>
      <c r="B942" s="7" t="s">
        <v>43697</v>
      </c>
      <c r="C942" s="7" t="s">
        <v>43698</v>
      </c>
      <c r="D942" s="7">
        <v>66401.0</v>
      </c>
      <c r="E942" s="902" t="s">
        <v>43699</v>
      </c>
      <c r="F942" s="902" t="s">
        <v>43700</v>
      </c>
      <c r="G942" s="906">
        <v>44523.0</v>
      </c>
      <c r="H942" s="904">
        <v>44518.0</v>
      </c>
      <c r="I942" s="7">
        <v>66397.0</v>
      </c>
      <c r="J942" s="905" t="s">
        <v>40597</v>
      </c>
      <c r="K942" s="7" t="s">
        <v>43701</v>
      </c>
    </row>
    <row r="943">
      <c r="A943" s="202">
        <v>14056.0</v>
      </c>
      <c r="B943" s="7" t="s">
        <v>43702</v>
      </c>
      <c r="C943" s="7" t="s">
        <v>43703</v>
      </c>
      <c r="D943" s="7">
        <v>68874.0</v>
      </c>
      <c r="E943" s="902" t="s">
        <v>43704</v>
      </c>
      <c r="F943" s="902" t="s">
        <v>43705</v>
      </c>
      <c r="G943" s="903">
        <v>44533.0</v>
      </c>
      <c r="H943" s="904">
        <v>44531.0</v>
      </c>
      <c r="I943" s="7">
        <v>68871.0</v>
      </c>
      <c r="J943" s="905" t="s">
        <v>43706</v>
      </c>
      <c r="K943" s="7" t="s">
        <v>43707</v>
      </c>
    </row>
    <row r="944">
      <c r="A944" s="202">
        <v>14057.0</v>
      </c>
      <c r="B944" s="7" t="s">
        <v>43708</v>
      </c>
      <c r="C944" s="7" t="s">
        <v>43709</v>
      </c>
      <c r="D944" s="7">
        <v>70943.0</v>
      </c>
      <c r="E944" s="902" t="s">
        <v>43710</v>
      </c>
      <c r="F944" s="902" t="s">
        <v>43711</v>
      </c>
      <c r="G944" s="906">
        <v>44543.0</v>
      </c>
      <c r="H944" s="904">
        <v>44538.0</v>
      </c>
      <c r="I944" s="7">
        <v>70935.0</v>
      </c>
      <c r="J944" s="905" t="s">
        <v>43712</v>
      </c>
      <c r="K944" s="7" t="s">
        <v>43713</v>
      </c>
    </row>
    <row r="945">
      <c r="A945" s="202">
        <v>14058.0</v>
      </c>
      <c r="B945" s="7" t="s">
        <v>43714</v>
      </c>
      <c r="C945" s="7" t="s">
        <v>43715</v>
      </c>
      <c r="D945" s="7">
        <v>71366.0</v>
      </c>
      <c r="E945" s="902" t="s">
        <v>43716</v>
      </c>
      <c r="F945" s="902" t="s">
        <v>43717</v>
      </c>
      <c r="G945" s="906">
        <v>44546.0</v>
      </c>
      <c r="H945" s="904">
        <v>44543.0</v>
      </c>
      <c r="I945" s="7">
        <v>71357.0</v>
      </c>
      <c r="J945" s="905" t="s">
        <v>43718</v>
      </c>
      <c r="K945" s="7" t="s">
        <v>43719</v>
      </c>
    </row>
    <row r="946">
      <c r="A946" s="202">
        <v>14059.0</v>
      </c>
      <c r="B946" s="7" t="s">
        <v>43720</v>
      </c>
      <c r="C946" s="7" t="s">
        <v>43721</v>
      </c>
      <c r="D946" s="7">
        <v>71553.0</v>
      </c>
      <c r="E946" s="902" t="s">
        <v>43722</v>
      </c>
      <c r="F946" s="902" t="s">
        <v>43723</v>
      </c>
      <c r="G946" s="906">
        <v>44547.0</v>
      </c>
      <c r="H946" s="904">
        <v>44545.0</v>
      </c>
      <c r="I946" s="7">
        <v>71549.0</v>
      </c>
      <c r="J946" s="905" t="s">
        <v>43724</v>
      </c>
      <c r="K946" s="7" t="s">
        <v>43725</v>
      </c>
    </row>
    <row r="947">
      <c r="A947" s="202">
        <v>14060.0</v>
      </c>
      <c r="B947" s="7" t="s">
        <v>43726</v>
      </c>
      <c r="C947" s="7" t="s">
        <v>43727</v>
      </c>
      <c r="D947" s="7">
        <v>71796.0</v>
      </c>
      <c r="E947" s="902" t="s">
        <v>43728</v>
      </c>
      <c r="F947" s="902" t="s">
        <v>43729</v>
      </c>
      <c r="G947" s="906">
        <v>44550.0</v>
      </c>
      <c r="H947" s="904">
        <v>44545.0</v>
      </c>
      <c r="I947" s="7">
        <v>71793.0</v>
      </c>
      <c r="J947" s="905" t="s">
        <v>43730</v>
      </c>
      <c r="K947" s="7" t="s">
        <v>43731</v>
      </c>
    </row>
    <row r="948">
      <c r="A948" s="202">
        <v>14061.0</v>
      </c>
      <c r="B948" s="7" t="s">
        <v>43732</v>
      </c>
      <c r="C948" s="7" t="s">
        <v>43733</v>
      </c>
      <c r="D948" s="7">
        <v>73613.0</v>
      </c>
      <c r="E948" s="902" t="s">
        <v>43734</v>
      </c>
      <c r="F948" s="902" t="s">
        <v>43735</v>
      </c>
      <c r="G948" s="906">
        <v>44558.0</v>
      </c>
      <c r="H948" s="904">
        <v>44552.0</v>
      </c>
      <c r="I948" s="7">
        <v>73601.0</v>
      </c>
      <c r="J948" s="905" t="s">
        <v>38718</v>
      </c>
      <c r="K948" s="7" t="s">
        <v>43736</v>
      </c>
    </row>
    <row r="949">
      <c r="A949" s="202">
        <v>14062.0</v>
      </c>
      <c r="B949" s="7" t="s">
        <v>43737</v>
      </c>
      <c r="C949" s="7" t="s">
        <v>43738</v>
      </c>
      <c r="D949" s="7">
        <v>4786.0</v>
      </c>
      <c r="E949" s="902" t="s">
        <v>43739</v>
      </c>
      <c r="F949" s="902" t="s">
        <v>43740</v>
      </c>
      <c r="G949" s="903">
        <v>44592.0</v>
      </c>
      <c r="H949" s="904">
        <v>44587.0</v>
      </c>
      <c r="I949" s="7">
        <v>4763.0</v>
      </c>
      <c r="J949" s="905" t="s">
        <v>43741</v>
      </c>
      <c r="K949" s="7" t="s">
        <v>40448</v>
      </c>
    </row>
    <row r="950">
      <c r="A950" s="202">
        <v>14063.0</v>
      </c>
      <c r="B950" s="7" t="s">
        <v>43742</v>
      </c>
      <c r="C950" s="7" t="s">
        <v>43743</v>
      </c>
      <c r="D950" s="7">
        <v>7366.0</v>
      </c>
      <c r="E950" s="902" t="s">
        <v>43744</v>
      </c>
      <c r="F950" s="902" t="s">
        <v>43745</v>
      </c>
      <c r="G950" s="903">
        <v>44601.0</v>
      </c>
      <c r="H950" s="904">
        <v>44596.0</v>
      </c>
      <c r="I950" s="7">
        <v>7363.0</v>
      </c>
      <c r="J950" s="905" t="s">
        <v>40639</v>
      </c>
      <c r="K950" s="7" t="s">
        <v>43746</v>
      </c>
    </row>
    <row r="951">
      <c r="A951" s="202">
        <v>14064.0</v>
      </c>
      <c r="B951" s="7" t="s">
        <v>43747</v>
      </c>
      <c r="C951" s="7" t="s">
        <v>43748</v>
      </c>
      <c r="D951" s="7">
        <v>8393.0</v>
      </c>
      <c r="E951" s="902" t="s">
        <v>43749</v>
      </c>
      <c r="F951" s="902" t="s">
        <v>43750</v>
      </c>
      <c r="G951" s="903">
        <v>44607.0</v>
      </c>
      <c r="H951" s="904">
        <v>44603.0</v>
      </c>
      <c r="I951" s="7">
        <v>8391.0</v>
      </c>
      <c r="J951" s="905" t="s">
        <v>43751</v>
      </c>
    </row>
    <row r="952">
      <c r="A952" s="202">
        <v>14065.0</v>
      </c>
      <c r="B952" s="7" t="s">
        <v>43752</v>
      </c>
      <c r="C952" s="7" t="s">
        <v>43753</v>
      </c>
      <c r="D952" s="7">
        <v>10296.0</v>
      </c>
      <c r="E952" s="902" t="s">
        <v>43754</v>
      </c>
      <c r="F952" s="902" t="s">
        <v>43755</v>
      </c>
      <c r="G952" s="903">
        <v>44615.0</v>
      </c>
      <c r="H952" s="904">
        <v>44613.0</v>
      </c>
      <c r="I952" s="7">
        <v>10293.0</v>
      </c>
      <c r="J952" s="905" t="s">
        <v>43756</v>
      </c>
      <c r="K952" s="7" t="s">
        <v>43757</v>
      </c>
    </row>
    <row r="953">
      <c r="A953" s="202">
        <v>14066.0</v>
      </c>
      <c r="B953" s="7" t="s">
        <v>43758</v>
      </c>
      <c r="C953" s="7" t="s">
        <v>43759</v>
      </c>
      <c r="D953" s="7">
        <v>13626.0</v>
      </c>
      <c r="E953" s="902" t="s">
        <v>43760</v>
      </c>
      <c r="F953" s="902" t="s">
        <v>43761</v>
      </c>
      <c r="G953" s="903">
        <v>44630.0</v>
      </c>
      <c r="H953" s="904">
        <v>44628.0</v>
      </c>
      <c r="I953" s="7">
        <v>13625.0</v>
      </c>
      <c r="J953" s="905" t="s">
        <v>43762</v>
      </c>
      <c r="K953" s="7" t="s">
        <v>43763</v>
      </c>
    </row>
    <row r="954">
      <c r="A954" s="202">
        <v>14067.0</v>
      </c>
      <c r="B954" s="7" t="s">
        <v>43764</v>
      </c>
      <c r="C954" s="7" t="s">
        <v>43765</v>
      </c>
      <c r="D954" s="7">
        <v>14152.0</v>
      </c>
      <c r="E954" s="902" t="s">
        <v>43766</v>
      </c>
      <c r="F954" s="902" t="s">
        <v>43767</v>
      </c>
      <c r="G954" s="903">
        <v>44634.0</v>
      </c>
      <c r="H954" s="904">
        <v>44629.0</v>
      </c>
      <c r="I954" s="7">
        <v>14143.0</v>
      </c>
      <c r="J954" s="905" t="s">
        <v>43768</v>
      </c>
    </row>
    <row r="955">
      <c r="A955" s="202">
        <v>14068.0</v>
      </c>
      <c r="B955" s="7" t="s">
        <v>43769</v>
      </c>
      <c r="C955" s="7" t="s">
        <v>43770</v>
      </c>
      <c r="D955" s="7">
        <v>14383.0</v>
      </c>
      <c r="E955" s="902" t="s">
        <v>43771</v>
      </c>
      <c r="F955" s="902" t="s">
        <v>43772</v>
      </c>
      <c r="G955" s="903">
        <v>44635.0</v>
      </c>
      <c r="H955" s="904">
        <v>44631.0</v>
      </c>
      <c r="I955" s="7">
        <v>14381.0</v>
      </c>
      <c r="J955" s="905" t="s">
        <v>43773</v>
      </c>
      <c r="K955" s="7" t="s">
        <v>43774</v>
      </c>
    </row>
    <row r="956">
      <c r="A956" s="202">
        <v>14069.0</v>
      </c>
      <c r="B956" s="7" t="s">
        <v>43775</v>
      </c>
      <c r="C956" s="7" t="s">
        <v>43776</v>
      </c>
      <c r="D956" s="7">
        <v>15316.0</v>
      </c>
      <c r="E956" s="902" t="s">
        <v>43777</v>
      </c>
      <c r="F956" s="902" t="s">
        <v>43778</v>
      </c>
      <c r="G956" s="903">
        <v>44638.0</v>
      </c>
      <c r="H956" s="904">
        <v>44635.0</v>
      </c>
      <c r="I956" s="7">
        <v>15315.0</v>
      </c>
      <c r="J956" s="905" t="s">
        <v>43779</v>
      </c>
      <c r="K956" s="7" t="s">
        <v>43780</v>
      </c>
    </row>
    <row r="957">
      <c r="A957" s="202">
        <v>14070.0</v>
      </c>
      <c r="B957" s="7" t="s">
        <v>43781</v>
      </c>
      <c r="C957" s="7" t="s">
        <v>43782</v>
      </c>
      <c r="D957" s="7">
        <v>20691.0</v>
      </c>
      <c r="E957" s="902" t="s">
        <v>43783</v>
      </c>
      <c r="F957" s="902" t="s">
        <v>43784</v>
      </c>
      <c r="G957" s="903">
        <v>44659.0</v>
      </c>
      <c r="H957" s="904">
        <v>44656.0</v>
      </c>
      <c r="I957" s="7">
        <v>20689.0</v>
      </c>
      <c r="J957" s="905" t="s">
        <v>43785</v>
      </c>
      <c r="K957" s="7" t="s">
        <v>43786</v>
      </c>
    </row>
    <row r="958">
      <c r="A958" s="202">
        <v>14071.0</v>
      </c>
      <c r="B958" s="7" t="s">
        <v>43787</v>
      </c>
      <c r="C958" s="7" t="s">
        <v>43788</v>
      </c>
      <c r="D958" s="7">
        <v>21000.0</v>
      </c>
      <c r="E958" s="902" t="s">
        <v>43789</v>
      </c>
      <c r="F958" s="902" t="s">
        <v>43790</v>
      </c>
      <c r="G958" s="903">
        <v>44659.0</v>
      </c>
      <c r="H958" s="904">
        <v>44657.0</v>
      </c>
      <c r="I958" s="7">
        <v>20999.0</v>
      </c>
      <c r="J958" s="905" t="s">
        <v>43791</v>
      </c>
      <c r="K958" s="7" t="s">
        <v>43792</v>
      </c>
    </row>
    <row r="959">
      <c r="A959" s="202">
        <v>14072.0</v>
      </c>
      <c r="B959" s="7" t="s">
        <v>43793</v>
      </c>
      <c r="C959" s="7" t="s">
        <v>43794</v>
      </c>
      <c r="D959" s="7">
        <v>24855.0</v>
      </c>
      <c r="E959" s="902" t="s">
        <v>43795</v>
      </c>
      <c r="F959" s="902" t="s">
        <v>43796</v>
      </c>
      <c r="G959" s="903">
        <v>44678.0</v>
      </c>
      <c r="H959" s="904">
        <v>44673.0</v>
      </c>
      <c r="I959" s="7">
        <v>24851.0</v>
      </c>
      <c r="J959" s="905" t="s">
        <v>43797</v>
      </c>
    </row>
    <row r="960">
      <c r="A960" s="202">
        <v>14073.0</v>
      </c>
      <c r="B960" s="7" t="s">
        <v>43798</v>
      </c>
      <c r="C960" s="7" t="s">
        <v>43799</v>
      </c>
      <c r="D960" s="7">
        <v>27911.0</v>
      </c>
      <c r="E960" s="902" t="s">
        <v>43800</v>
      </c>
      <c r="F960" s="902" t="s">
        <v>43801</v>
      </c>
      <c r="G960" s="903">
        <v>44690.0</v>
      </c>
      <c r="H960" s="904">
        <v>44685.0</v>
      </c>
      <c r="I960" s="7">
        <v>27909.0</v>
      </c>
      <c r="J960" s="905" t="s">
        <v>43802</v>
      </c>
      <c r="K960" s="7" t="s">
        <v>43803</v>
      </c>
    </row>
    <row r="961">
      <c r="A961" s="202">
        <v>14074.0</v>
      </c>
      <c r="B961" s="7" t="s">
        <v>43804</v>
      </c>
      <c r="C961" s="7" t="s">
        <v>43805</v>
      </c>
      <c r="D961" s="7">
        <v>32963.0</v>
      </c>
      <c r="E961" s="902" t="s">
        <v>43806</v>
      </c>
      <c r="F961" s="902" t="s">
        <v>43807</v>
      </c>
      <c r="G961" s="903">
        <v>44712.0</v>
      </c>
      <c r="H961" s="904">
        <v>44706.0</v>
      </c>
      <c r="I961" s="7">
        <v>32945.0</v>
      </c>
      <c r="J961" s="905" t="s">
        <v>43808</v>
      </c>
      <c r="K961" s="7" t="s">
        <v>43809</v>
      </c>
    </row>
    <row r="962">
      <c r="A962" s="202">
        <v>14075.0</v>
      </c>
      <c r="B962" s="7" t="s">
        <v>43810</v>
      </c>
      <c r="C962" s="7" t="s">
        <v>43811</v>
      </c>
      <c r="D962" s="7">
        <v>37195.0</v>
      </c>
      <c r="E962" s="902" t="s">
        <v>43812</v>
      </c>
      <c r="F962" s="902" t="s">
        <v>43813</v>
      </c>
      <c r="G962" s="903">
        <v>44733.0</v>
      </c>
      <c r="H962" s="904">
        <v>44727.0</v>
      </c>
      <c r="I962" s="7">
        <v>37189.0</v>
      </c>
      <c r="J962" s="905" t="s">
        <v>43814</v>
      </c>
      <c r="K962" s="7" t="s">
        <v>43815</v>
      </c>
    </row>
    <row r="963">
      <c r="A963" s="202">
        <v>14076.0</v>
      </c>
      <c r="B963" s="7" t="s">
        <v>43816</v>
      </c>
      <c r="C963" s="7" t="s">
        <v>43817</v>
      </c>
      <c r="D963" s="7">
        <v>42055.0</v>
      </c>
      <c r="E963" s="902" t="s">
        <v>43818</v>
      </c>
      <c r="F963" s="902" t="s">
        <v>43819</v>
      </c>
      <c r="G963" s="903">
        <v>44755.0</v>
      </c>
      <c r="H963" s="904">
        <v>44750.0</v>
      </c>
      <c r="I963" s="7">
        <v>42053.0</v>
      </c>
      <c r="J963" s="905" t="s">
        <v>43820</v>
      </c>
      <c r="K963" s="7" t="s">
        <v>43821</v>
      </c>
    </row>
    <row r="964">
      <c r="A964" s="202">
        <v>14077.0</v>
      </c>
      <c r="B964" s="7" t="s">
        <v>43822</v>
      </c>
      <c r="C964" s="7" t="s">
        <v>43823</v>
      </c>
      <c r="D964" s="7">
        <v>43207.0</v>
      </c>
      <c r="E964" s="902" t="s">
        <v>43824</v>
      </c>
      <c r="F964" s="902" t="s">
        <v>43825</v>
      </c>
      <c r="G964" s="903">
        <v>44762.0</v>
      </c>
      <c r="H964" s="904">
        <v>44757.0</v>
      </c>
      <c r="I964" s="7">
        <v>43203.0</v>
      </c>
      <c r="J964" s="905" t="s">
        <v>43826</v>
      </c>
    </row>
    <row r="965">
      <c r="A965" s="202">
        <v>14078.0</v>
      </c>
      <c r="B965" s="7" t="s">
        <v>43827</v>
      </c>
      <c r="C965" s="7" t="s">
        <v>43828</v>
      </c>
      <c r="D965" s="7">
        <v>43394.0</v>
      </c>
      <c r="E965" s="902" t="s">
        <v>43829</v>
      </c>
      <c r="F965" s="902" t="s">
        <v>43830</v>
      </c>
      <c r="G965" s="903">
        <v>44763.0</v>
      </c>
      <c r="H965" s="904">
        <v>44761.0</v>
      </c>
      <c r="I965" s="7">
        <v>43389.0</v>
      </c>
      <c r="J965" s="905" t="s">
        <v>43831</v>
      </c>
      <c r="K965" s="7" t="s">
        <v>43832</v>
      </c>
    </row>
    <row r="966">
      <c r="A966" s="202">
        <v>14079.0</v>
      </c>
      <c r="B966" s="7" t="s">
        <v>43833</v>
      </c>
      <c r="C966" s="7" t="s">
        <v>43834</v>
      </c>
      <c r="D966" s="7">
        <v>49507.0</v>
      </c>
      <c r="E966" s="902" t="s">
        <v>43835</v>
      </c>
      <c r="F966" s="902" t="s">
        <v>43836</v>
      </c>
      <c r="G966" s="903">
        <v>44784.0</v>
      </c>
      <c r="H966" s="904">
        <v>44776.0</v>
      </c>
      <c r="I966" s="7">
        <v>49505.0</v>
      </c>
      <c r="J966" s="905" t="s">
        <v>43837</v>
      </c>
      <c r="K966" s="7" t="s">
        <v>43838</v>
      </c>
    </row>
    <row r="967">
      <c r="A967" s="202">
        <v>14080.0</v>
      </c>
      <c r="B967" s="7" t="s">
        <v>43839</v>
      </c>
      <c r="C967" s="7" t="s">
        <v>43840</v>
      </c>
      <c r="D967" s="7">
        <v>52849.0</v>
      </c>
      <c r="E967" s="902" t="s">
        <v>43841</v>
      </c>
      <c r="F967" s="902" t="s">
        <v>43842</v>
      </c>
      <c r="G967" s="903">
        <v>44803.0</v>
      </c>
      <c r="H967" s="904">
        <v>44798.0</v>
      </c>
      <c r="I967" s="7">
        <v>52847.0</v>
      </c>
      <c r="J967" s="905" t="s">
        <v>43843</v>
      </c>
    </row>
    <row r="968">
      <c r="A968" s="202">
        <v>14081.0</v>
      </c>
      <c r="B968" s="7" t="s">
        <v>43844</v>
      </c>
      <c r="C968" s="7" t="s">
        <v>43845</v>
      </c>
      <c r="D968" s="7">
        <v>56860.0</v>
      </c>
      <c r="E968" s="902" t="s">
        <v>43846</v>
      </c>
      <c r="F968" s="902" t="s">
        <v>43847</v>
      </c>
      <c r="G968" s="903">
        <v>44819.0</v>
      </c>
      <c r="H968" s="904">
        <v>44816.0</v>
      </c>
      <c r="I968" s="7">
        <v>56849.0</v>
      </c>
      <c r="J968" s="905" t="s">
        <v>43848</v>
      </c>
      <c r="K968" s="7" t="s">
        <v>43849</v>
      </c>
    </row>
    <row r="969">
      <c r="A969" s="202">
        <v>14082.0</v>
      </c>
      <c r="B969" s="7" t="s">
        <v>43850</v>
      </c>
      <c r="C969" s="7" t="s">
        <v>43851</v>
      </c>
      <c r="D969" s="7">
        <v>56864.0</v>
      </c>
      <c r="E969" s="902" t="s">
        <v>43852</v>
      </c>
      <c r="F969" s="902" t="s">
        <v>43853</v>
      </c>
      <c r="G969" s="903">
        <v>44820.0</v>
      </c>
      <c r="H969" s="904">
        <v>44816.0</v>
      </c>
      <c r="I969" s="7">
        <v>56861.0</v>
      </c>
      <c r="J969" s="905" t="s">
        <v>43854</v>
      </c>
      <c r="K969" s="7" t="s">
        <v>43855</v>
      </c>
    </row>
    <row r="970">
      <c r="A970" s="202">
        <v>14083.0</v>
      </c>
      <c r="B970" s="7" t="s">
        <v>43856</v>
      </c>
      <c r="C970" s="7" t="s">
        <v>43857</v>
      </c>
      <c r="D970" s="7">
        <v>57374.0</v>
      </c>
      <c r="E970" s="902" t="s">
        <v>43858</v>
      </c>
      <c r="F970" s="902" t="s">
        <v>43859</v>
      </c>
      <c r="G970" s="903">
        <v>44824.0</v>
      </c>
      <c r="H970" s="904">
        <v>44819.0</v>
      </c>
      <c r="I970" s="7">
        <v>57369.0</v>
      </c>
      <c r="J970" s="905" t="s">
        <v>43860</v>
      </c>
      <c r="K970" s="7" t="s">
        <v>43861</v>
      </c>
    </row>
    <row r="971">
      <c r="A971" s="202">
        <v>14084.0</v>
      </c>
      <c r="B971" s="7" t="s">
        <v>43862</v>
      </c>
      <c r="C971" s="7" t="s">
        <v>43863</v>
      </c>
      <c r="D971" s="7">
        <v>60538.0</v>
      </c>
      <c r="E971" s="902" t="s">
        <v>43864</v>
      </c>
      <c r="F971" s="902" t="s">
        <v>43865</v>
      </c>
      <c r="G971" s="903">
        <v>44839.0</v>
      </c>
      <c r="H971" s="904">
        <v>44834.0</v>
      </c>
      <c r="I971" s="7">
        <v>60535.0</v>
      </c>
      <c r="J971" s="905" t="s">
        <v>43866</v>
      </c>
      <c r="K971" s="7" t="s">
        <v>43867</v>
      </c>
    </row>
    <row r="972">
      <c r="A972" s="202">
        <v>14085.0</v>
      </c>
      <c r="B972" s="7" t="s">
        <v>43868</v>
      </c>
      <c r="C972" s="7" t="s">
        <v>43869</v>
      </c>
      <c r="D972" s="7">
        <v>60543.0</v>
      </c>
      <c r="E972" s="902" t="s">
        <v>43870</v>
      </c>
      <c r="F972" s="902" t="s">
        <v>43871</v>
      </c>
      <c r="G972" s="903">
        <v>44840.0</v>
      </c>
      <c r="H972" s="904">
        <v>44837.0</v>
      </c>
      <c r="I972" s="7">
        <v>60541.0</v>
      </c>
      <c r="J972" s="905" t="s">
        <v>43872</v>
      </c>
      <c r="K972" s="7" t="s">
        <v>43873</v>
      </c>
    </row>
    <row r="973">
      <c r="A973" s="202">
        <v>14086.0</v>
      </c>
      <c r="B973" s="7" t="s">
        <v>43874</v>
      </c>
      <c r="C973" s="7" t="s">
        <v>43875</v>
      </c>
      <c r="D973" s="7">
        <v>62297.0</v>
      </c>
      <c r="E973" s="902" t="s">
        <v>43876</v>
      </c>
      <c r="F973" s="902" t="s">
        <v>43877</v>
      </c>
      <c r="G973" s="906">
        <v>44848.0</v>
      </c>
      <c r="H973" s="904">
        <v>44841.0</v>
      </c>
      <c r="I973" s="7">
        <v>62283.0</v>
      </c>
      <c r="J973" s="905" t="s">
        <v>43878</v>
      </c>
      <c r="K973" s="7" t="s">
        <v>43879</v>
      </c>
    </row>
    <row r="974">
      <c r="A974" s="202">
        <v>14087.0</v>
      </c>
      <c r="B974" s="7" t="s">
        <v>43880</v>
      </c>
      <c r="C974" s="7" t="s">
        <v>43881</v>
      </c>
      <c r="D974" s="7">
        <v>63400.0</v>
      </c>
      <c r="E974" s="902" t="s">
        <v>43882</v>
      </c>
      <c r="F974" s="902" t="s">
        <v>43883</v>
      </c>
      <c r="G974" s="906">
        <v>44853.0</v>
      </c>
      <c r="H974" s="904">
        <v>44848.0</v>
      </c>
      <c r="I974" s="7">
        <v>63399.0</v>
      </c>
      <c r="J974" s="905" t="s">
        <v>43884</v>
      </c>
      <c r="K974" s="7" t="s">
        <v>43885</v>
      </c>
    </row>
    <row r="975">
      <c r="A975" s="202">
        <v>14088.0</v>
      </c>
      <c r="B975" s="7" t="s">
        <v>43886</v>
      </c>
      <c r="C975" s="7" t="s">
        <v>43887</v>
      </c>
      <c r="D975" s="7">
        <v>64687.0</v>
      </c>
      <c r="E975" s="902" t="s">
        <v>43888</v>
      </c>
      <c r="F975" s="902" t="s">
        <v>43889</v>
      </c>
      <c r="G975" s="906">
        <v>44860.0</v>
      </c>
      <c r="H975" s="904">
        <v>44858.0</v>
      </c>
      <c r="I975" s="7">
        <v>64685.0</v>
      </c>
      <c r="J975" s="905" t="s">
        <v>43890</v>
      </c>
      <c r="K975" s="7" t="s">
        <v>43891</v>
      </c>
    </row>
    <row r="976">
      <c r="A976" s="202">
        <v>14089.0</v>
      </c>
      <c r="B976" s="7" t="s">
        <v>43892</v>
      </c>
      <c r="C976" s="7" t="s">
        <v>43893</v>
      </c>
      <c r="D976" s="7">
        <v>77461.0</v>
      </c>
      <c r="E976" s="902" t="s">
        <v>43894</v>
      </c>
      <c r="F976" s="902" t="s">
        <v>43895</v>
      </c>
      <c r="G976" s="906">
        <v>44914.0</v>
      </c>
      <c r="H976" s="904">
        <v>44908.0</v>
      </c>
      <c r="I976" s="7">
        <v>77459.0</v>
      </c>
      <c r="J976" s="905" t="s">
        <v>43896</v>
      </c>
      <c r="K976" s="7" t="s">
        <v>43897</v>
      </c>
    </row>
    <row r="977">
      <c r="A977" s="202">
        <v>14090.0</v>
      </c>
      <c r="B977" s="7" t="s">
        <v>43898</v>
      </c>
      <c r="C977" s="7" t="s">
        <v>43899</v>
      </c>
      <c r="D977" s="7">
        <v>79997.0</v>
      </c>
      <c r="E977" s="902" t="s">
        <v>43900</v>
      </c>
      <c r="F977" s="902" t="s">
        <v>43901</v>
      </c>
      <c r="G977" s="906">
        <v>44924.0</v>
      </c>
      <c r="H977" s="904">
        <v>44918.0</v>
      </c>
      <c r="I977" s="7">
        <v>79985.0</v>
      </c>
      <c r="J977" s="905" t="s">
        <v>38718</v>
      </c>
      <c r="K977" s="7" t="s">
        <v>43902</v>
      </c>
    </row>
    <row r="978">
      <c r="A978" s="202">
        <v>14091.0</v>
      </c>
      <c r="B978" s="7" t="s">
        <v>43903</v>
      </c>
      <c r="C978" s="7" t="s">
        <v>43904</v>
      </c>
      <c r="D978" s="7">
        <v>10833.0</v>
      </c>
      <c r="E978" s="902" t="s">
        <v>43905</v>
      </c>
      <c r="F978" s="902" t="s">
        <v>43906</v>
      </c>
      <c r="G978" s="903">
        <v>44979.0</v>
      </c>
      <c r="H978" s="904">
        <v>44973.0</v>
      </c>
      <c r="I978" s="7">
        <v>10825.0</v>
      </c>
      <c r="J978" s="905" t="s">
        <v>43907</v>
      </c>
      <c r="K978" s="7" t="s">
        <v>43908</v>
      </c>
    </row>
    <row r="979">
      <c r="A979" s="202">
        <v>14092.0</v>
      </c>
      <c r="B979" s="7" t="s">
        <v>43909</v>
      </c>
      <c r="C979" s="7" t="s">
        <v>43910</v>
      </c>
      <c r="D979" s="7">
        <v>16529.0</v>
      </c>
      <c r="E979" s="902" t="s">
        <v>43911</v>
      </c>
      <c r="F979" s="902" t="s">
        <v>43912</v>
      </c>
      <c r="G979" s="903">
        <v>45002.0</v>
      </c>
      <c r="H979" s="904">
        <v>44999.0</v>
      </c>
      <c r="I979" s="7">
        <v>16527.0</v>
      </c>
      <c r="J979" s="905" t="s">
        <v>43913</v>
      </c>
    </row>
    <row r="980">
      <c r="A980" s="202">
        <v>14093.0</v>
      </c>
      <c r="B980" s="7" t="s">
        <v>43914</v>
      </c>
      <c r="C980" s="7" t="s">
        <v>43915</v>
      </c>
      <c r="D980" s="7">
        <v>18963.0</v>
      </c>
      <c r="E980" s="902" t="s">
        <v>43916</v>
      </c>
      <c r="F980" s="902" t="s">
        <v>43917</v>
      </c>
      <c r="G980" s="903">
        <v>45015.0</v>
      </c>
      <c r="H980" s="904">
        <v>45012.0</v>
      </c>
      <c r="I980" s="7">
        <v>18957.0</v>
      </c>
      <c r="J980" s="905" t="s">
        <v>43918</v>
      </c>
      <c r="K980" s="7" t="s">
        <v>42911</v>
      </c>
    </row>
    <row r="981">
      <c r="A981" s="202">
        <v>14094.0</v>
      </c>
      <c r="B981" s="7" t="s">
        <v>43919</v>
      </c>
      <c r="C981" s="7" t="s">
        <v>43920</v>
      </c>
      <c r="D981" s="7">
        <v>21881.0</v>
      </c>
      <c r="E981" s="902" t="s">
        <v>43921</v>
      </c>
      <c r="F981" s="902" t="s">
        <v>43922</v>
      </c>
      <c r="G981" s="903">
        <v>45027.0</v>
      </c>
      <c r="H981" s="904">
        <v>45022.0</v>
      </c>
      <c r="I981" s="7">
        <v>21879.0</v>
      </c>
      <c r="J981" s="905" t="s">
        <v>43923</v>
      </c>
      <c r="K981" s="7" t="s">
        <v>43924</v>
      </c>
    </row>
    <row r="982">
      <c r="A982" s="202">
        <v>14095.0</v>
      </c>
      <c r="B982" s="7" t="s">
        <v>43925</v>
      </c>
      <c r="C982" s="7" t="s">
        <v>43926</v>
      </c>
      <c r="D982" s="7">
        <v>24676.0</v>
      </c>
      <c r="E982" s="902" t="s">
        <v>43927</v>
      </c>
      <c r="F982" s="902" t="s">
        <v>43928</v>
      </c>
      <c r="G982" s="903">
        <v>45037.0</v>
      </c>
      <c r="H982" s="904">
        <v>45034.0</v>
      </c>
      <c r="I982" s="7">
        <v>24669.0</v>
      </c>
      <c r="J982" s="905" t="s">
        <v>43929</v>
      </c>
    </row>
    <row r="983">
      <c r="A983" s="202">
        <v>14096.0</v>
      </c>
      <c r="B983" s="7" t="s">
        <v>43930</v>
      </c>
      <c r="C983" s="7" t="s">
        <v>43931</v>
      </c>
      <c r="D983" s="7">
        <v>25261.0</v>
      </c>
      <c r="E983" s="902" t="s">
        <v>43932</v>
      </c>
      <c r="F983" s="902" t="s">
        <v>43933</v>
      </c>
      <c r="G983" s="903">
        <v>45042.0</v>
      </c>
      <c r="H983" s="904">
        <v>45037.0</v>
      </c>
      <c r="I983" s="7">
        <v>25251.0</v>
      </c>
      <c r="J983" s="905" t="s">
        <v>43934</v>
      </c>
      <c r="K983" s="7" t="s">
        <v>43935</v>
      </c>
    </row>
    <row r="984">
      <c r="A984" s="202">
        <v>14097.0</v>
      </c>
      <c r="B984" s="7" t="s">
        <v>43936</v>
      </c>
      <c r="C984" s="7" t="s">
        <v>43937</v>
      </c>
      <c r="D984" s="7">
        <v>26472.0</v>
      </c>
      <c r="E984" s="902" t="s">
        <v>43938</v>
      </c>
      <c r="F984" s="902" t="s">
        <v>43939</v>
      </c>
      <c r="G984" s="903">
        <v>45047.0</v>
      </c>
      <c r="H984" s="904">
        <v>45043.0</v>
      </c>
      <c r="I984" s="7">
        <v>26471.0</v>
      </c>
      <c r="J984" s="905" t="s">
        <v>43940</v>
      </c>
      <c r="K984" s="7" t="s">
        <v>43941</v>
      </c>
    </row>
    <row r="985">
      <c r="A985" s="202">
        <v>14098.0</v>
      </c>
      <c r="B985" s="7" t="s">
        <v>43942</v>
      </c>
      <c r="C985" s="7" t="s">
        <v>43943</v>
      </c>
      <c r="D985" s="7">
        <v>29533.0</v>
      </c>
      <c r="E985" s="902" t="s">
        <v>43944</v>
      </c>
      <c r="F985" s="902" t="s">
        <v>43945</v>
      </c>
      <c r="G985" s="903">
        <v>45051.0</v>
      </c>
      <c r="H985" s="904">
        <v>45050.0</v>
      </c>
      <c r="I985" s="7">
        <v>29529.0</v>
      </c>
      <c r="J985" s="905" t="s">
        <v>43946</v>
      </c>
      <c r="K985" s="7" t="s">
        <v>43947</v>
      </c>
    </row>
    <row r="986">
      <c r="A986" s="202">
        <v>14099.0</v>
      </c>
      <c r="B986" s="7" t="s">
        <v>43948</v>
      </c>
      <c r="C986" s="7" t="s">
        <v>43949</v>
      </c>
      <c r="D986" s="7">
        <v>30892.0</v>
      </c>
      <c r="E986" s="902" t="s">
        <v>43950</v>
      </c>
      <c r="F986" s="902" t="s">
        <v>43951</v>
      </c>
      <c r="G986" s="903">
        <v>45061.0</v>
      </c>
      <c r="H986" s="904">
        <v>45055.0</v>
      </c>
      <c r="I986" s="7">
        <v>30891.0</v>
      </c>
      <c r="J986" s="905" t="s">
        <v>43952</v>
      </c>
      <c r="K986" s="7" t="s">
        <v>43953</v>
      </c>
    </row>
    <row r="987">
      <c r="A987" s="202">
        <v>14100.0</v>
      </c>
      <c r="B987" s="7" t="s">
        <v>43954</v>
      </c>
      <c r="C987" s="7" t="s">
        <v>43955</v>
      </c>
      <c r="D987" s="7">
        <v>39116.0</v>
      </c>
      <c r="E987" s="902" t="s">
        <v>43956</v>
      </c>
      <c r="F987" s="902" t="s">
        <v>43957</v>
      </c>
      <c r="G987" s="903">
        <v>45092.0</v>
      </c>
      <c r="H987" s="904">
        <v>45086.0</v>
      </c>
      <c r="I987" s="7">
        <v>39111.0</v>
      </c>
      <c r="J987" s="905" t="s">
        <v>43958</v>
      </c>
      <c r="K987" s="7" t="s">
        <v>43959</v>
      </c>
    </row>
    <row r="988">
      <c r="A988" s="202">
        <v>14101.0</v>
      </c>
      <c r="B988" s="7" t="s">
        <v>43960</v>
      </c>
      <c r="C988" s="7" t="s">
        <v>43961</v>
      </c>
      <c r="D988" s="7">
        <v>41818.0</v>
      </c>
      <c r="E988" s="902" t="s">
        <v>43962</v>
      </c>
      <c r="F988" s="902" t="s">
        <v>43963</v>
      </c>
      <c r="G988" s="903">
        <v>45105.0</v>
      </c>
      <c r="H988" s="904">
        <v>45100.0</v>
      </c>
      <c r="I988" s="7">
        <v>41815.0</v>
      </c>
      <c r="J988" s="905" t="s">
        <v>43964</v>
      </c>
      <c r="K988" s="7" t="s">
        <v>43965</v>
      </c>
    </row>
    <row r="989">
      <c r="A989" s="202">
        <v>14102.0</v>
      </c>
      <c r="B989" s="7" t="s">
        <v>43966</v>
      </c>
      <c r="C989" s="7" t="s">
        <v>43967</v>
      </c>
      <c r="D989" s="7">
        <v>45807.0</v>
      </c>
      <c r="E989" s="902" t="s">
        <v>43968</v>
      </c>
      <c r="F989" s="902" t="s">
        <v>43969</v>
      </c>
      <c r="G989" s="903">
        <v>45125.0</v>
      </c>
      <c r="H989" s="904">
        <v>45120.0</v>
      </c>
      <c r="I989" s="7">
        <v>45807.0</v>
      </c>
      <c r="J989" s="905" t="s">
        <v>43970</v>
      </c>
    </row>
    <row r="990">
      <c r="A990" s="202">
        <v>14103.0</v>
      </c>
      <c r="B990" s="7" t="s">
        <v>43971</v>
      </c>
      <c r="C990" s="7" t="s">
        <v>43972</v>
      </c>
      <c r="D990" s="7">
        <v>50757.0</v>
      </c>
      <c r="E990" s="902" t="s">
        <v>43973</v>
      </c>
      <c r="F990" s="902" t="s">
        <v>43974</v>
      </c>
      <c r="G990" s="903">
        <v>45140.0</v>
      </c>
      <c r="H990" s="904">
        <v>45135.0</v>
      </c>
      <c r="I990" s="7">
        <v>50535.0</v>
      </c>
      <c r="J990" s="905" t="s">
        <v>43975</v>
      </c>
      <c r="K990" s="7" t="s">
        <v>40448</v>
      </c>
    </row>
    <row r="991">
      <c r="A991" s="202">
        <v>14104.0</v>
      </c>
      <c r="B991" s="7" t="s">
        <v>43976</v>
      </c>
      <c r="C991" s="7" t="s">
        <v>43977</v>
      </c>
      <c r="D991" s="7">
        <v>51208.0</v>
      </c>
      <c r="E991" s="902" t="s">
        <v>43978</v>
      </c>
      <c r="F991" s="902" t="s">
        <v>43979</v>
      </c>
      <c r="G991" s="903">
        <v>45140.0</v>
      </c>
      <c r="H991" s="904">
        <v>45135.0</v>
      </c>
      <c r="I991" s="7">
        <v>51203.0</v>
      </c>
      <c r="J991" s="905" t="s">
        <v>43980</v>
      </c>
      <c r="K991" s="7" t="s">
        <v>43981</v>
      </c>
    </row>
    <row r="992">
      <c r="A992" s="202">
        <v>14105.0</v>
      </c>
      <c r="B992" s="7" t="s">
        <v>43982</v>
      </c>
      <c r="C992" s="7" t="s">
        <v>43983</v>
      </c>
      <c r="D992" s="7">
        <v>54872.0</v>
      </c>
      <c r="E992" s="902" t="s">
        <v>43984</v>
      </c>
      <c r="F992" s="902" t="s">
        <v>43985</v>
      </c>
      <c r="G992" s="903">
        <v>45149.0</v>
      </c>
      <c r="H992" s="904">
        <v>45147.0</v>
      </c>
      <c r="I992" s="7">
        <v>54867.0</v>
      </c>
      <c r="J992" s="905" t="s">
        <v>43986</v>
      </c>
    </row>
    <row r="993">
      <c r="A993" s="202">
        <v>14106.0</v>
      </c>
      <c r="B993" s="7" t="s">
        <v>43987</v>
      </c>
      <c r="C993" s="7" t="s">
        <v>43988</v>
      </c>
      <c r="D993" s="7">
        <v>55907.0</v>
      </c>
      <c r="E993" s="902" t="s">
        <v>43989</v>
      </c>
      <c r="F993" s="902" t="s">
        <v>43990</v>
      </c>
      <c r="G993" s="903">
        <v>45155.0</v>
      </c>
      <c r="H993" s="904">
        <v>45152.0</v>
      </c>
      <c r="I993" s="7">
        <v>55905.0</v>
      </c>
      <c r="J993" s="905" t="s">
        <v>43991</v>
      </c>
    </row>
    <row r="994">
      <c r="A994" s="202">
        <v>14107.0</v>
      </c>
      <c r="B994" s="7" t="s">
        <v>43992</v>
      </c>
      <c r="C994" s="7" t="s">
        <v>43993</v>
      </c>
      <c r="D994" s="7">
        <v>62442.0</v>
      </c>
      <c r="E994" s="902" t="s">
        <v>43994</v>
      </c>
      <c r="F994" s="902" t="s">
        <v>43995</v>
      </c>
      <c r="G994" s="903">
        <v>45181.0</v>
      </c>
      <c r="H994" s="904">
        <v>45175.0</v>
      </c>
      <c r="I994" s="7">
        <v>62441.0</v>
      </c>
      <c r="J994" s="905" t="s">
        <v>43996</v>
      </c>
    </row>
    <row r="995">
      <c r="A995" s="202">
        <v>14108.0</v>
      </c>
      <c r="B995" s="7" t="s">
        <v>43997</v>
      </c>
      <c r="C995" s="7" t="s">
        <v>43998</v>
      </c>
      <c r="D995" s="7">
        <v>66268.0</v>
      </c>
      <c r="E995" s="902" t="s">
        <v>43999</v>
      </c>
      <c r="F995" s="902" t="s">
        <v>44000</v>
      </c>
      <c r="G995" s="903">
        <v>45195.0</v>
      </c>
      <c r="H995" s="904">
        <v>45189.0</v>
      </c>
      <c r="I995" s="7">
        <v>66265.0</v>
      </c>
      <c r="J995" s="905" t="s">
        <v>44001</v>
      </c>
    </row>
    <row r="996">
      <c r="A996" s="202">
        <v>14109.0</v>
      </c>
      <c r="B996" s="7" t="s">
        <v>44002</v>
      </c>
      <c r="C996" s="7" t="s">
        <v>44003</v>
      </c>
      <c r="D996" s="7">
        <v>68450.0</v>
      </c>
      <c r="E996" s="902" t="s">
        <v>44004</v>
      </c>
      <c r="F996" s="902" t="s">
        <v>44005</v>
      </c>
      <c r="G996" s="903">
        <v>45203.0</v>
      </c>
      <c r="H996" s="904">
        <v>45198.0</v>
      </c>
      <c r="I996" s="7">
        <v>68447.0</v>
      </c>
      <c r="J996" s="905" t="s">
        <v>44006</v>
      </c>
      <c r="K996" s="7" t="s">
        <v>44007</v>
      </c>
    </row>
    <row r="997">
      <c r="A997" s="202">
        <v>14110.0</v>
      </c>
      <c r="B997" s="7" t="s">
        <v>44008</v>
      </c>
      <c r="C997" s="7" t="s">
        <v>44009</v>
      </c>
      <c r="D997" s="7">
        <v>75226.0</v>
      </c>
      <c r="E997" s="902" t="s">
        <v>44010</v>
      </c>
      <c r="F997" s="902" t="s">
        <v>44011</v>
      </c>
      <c r="G997" s="903">
        <v>45231.0</v>
      </c>
      <c r="H997" s="904">
        <v>45229.0</v>
      </c>
      <c r="I997" s="7">
        <v>75191.0</v>
      </c>
      <c r="J997" s="905" t="s">
        <v>44012</v>
      </c>
    </row>
    <row r="998">
      <c r="A998" s="202">
        <v>14111.0</v>
      </c>
      <c r="B998" s="7" t="s">
        <v>44013</v>
      </c>
      <c r="C998" s="7" t="s">
        <v>44014</v>
      </c>
      <c r="D998" s="7">
        <v>83812.0</v>
      </c>
      <c r="E998" s="902" t="s">
        <v>44015</v>
      </c>
      <c r="F998" s="902" t="s">
        <v>44016</v>
      </c>
      <c r="G998" s="903">
        <v>45261.0</v>
      </c>
      <c r="H998" s="904">
        <v>45257.0</v>
      </c>
      <c r="I998" s="7">
        <v>83809.0</v>
      </c>
      <c r="J998" s="905" t="s">
        <v>44017</v>
      </c>
      <c r="K998" s="7" t="s">
        <v>44018</v>
      </c>
    </row>
    <row r="999">
      <c r="A999" s="202">
        <v>14112.0</v>
      </c>
      <c r="B999" s="7" t="s">
        <v>44019</v>
      </c>
      <c r="C999" s="7" t="s">
        <v>44020</v>
      </c>
      <c r="D999" s="7">
        <v>86025.0</v>
      </c>
      <c r="E999" s="902" t="s">
        <v>44021</v>
      </c>
      <c r="F999" s="902" t="s">
        <v>44022</v>
      </c>
      <c r="G999" s="906">
        <v>45271.0</v>
      </c>
      <c r="H999" s="904">
        <v>45266.0</v>
      </c>
      <c r="I999" s="7">
        <v>86021.0</v>
      </c>
      <c r="J999" s="905" t="s">
        <v>44023</v>
      </c>
      <c r="K999" s="7" t="s">
        <v>44024</v>
      </c>
    </row>
    <row r="1000">
      <c r="A1000" s="202">
        <v>14113.0</v>
      </c>
      <c r="B1000" s="7" t="s">
        <v>44025</v>
      </c>
      <c r="C1000" s="7" t="s">
        <v>44026</v>
      </c>
      <c r="D1000" s="7">
        <v>89270.0</v>
      </c>
      <c r="E1000" s="902" t="s">
        <v>44027</v>
      </c>
      <c r="F1000" s="902" t="s">
        <v>44028</v>
      </c>
      <c r="G1000" s="906">
        <v>45286.0</v>
      </c>
      <c r="H1000" s="904">
        <v>45281.0</v>
      </c>
      <c r="I1000" s="7">
        <v>89259.0</v>
      </c>
      <c r="J1000" s="905" t="s">
        <v>38718</v>
      </c>
      <c r="K1000" s="7" t="s">
        <v>44029</v>
      </c>
    </row>
    <row r="1001">
      <c r="A1001" s="202">
        <v>14114.0</v>
      </c>
      <c r="B1001" s="7" t="s">
        <v>44030</v>
      </c>
      <c r="C1001" s="7" t="s">
        <v>44031</v>
      </c>
      <c r="D1001" s="7">
        <v>89274.0</v>
      </c>
      <c r="E1001" s="902" t="s">
        <v>44032</v>
      </c>
      <c r="F1001" s="902" t="s">
        <v>44033</v>
      </c>
      <c r="G1001" s="906">
        <v>45286.0</v>
      </c>
      <c r="H1001" s="904">
        <v>45282.0</v>
      </c>
      <c r="I1001" s="7">
        <v>89271.0</v>
      </c>
      <c r="J1001" s="905" t="s">
        <v>44034</v>
      </c>
      <c r="K1001" s="7" t="s">
        <v>44035</v>
      </c>
    </row>
    <row r="1002">
      <c r="A1002" s="208"/>
      <c r="H1002" s="908"/>
      <c r="J1002" s="909"/>
    </row>
    <row r="1003">
      <c r="A1003" s="208"/>
      <c r="H1003" s="908"/>
      <c r="J1003" s="909"/>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E17"/>
    <hyperlink r:id="rId32" ref="F17"/>
    <hyperlink r:id="rId33" ref="E18"/>
    <hyperlink r:id="rId34" ref="F18"/>
    <hyperlink r:id="rId35" ref="E19"/>
    <hyperlink r:id="rId36" ref="F19"/>
    <hyperlink r:id="rId37" ref="E20"/>
    <hyperlink r:id="rId38" ref="F20"/>
    <hyperlink r:id="rId39" ref="E21"/>
    <hyperlink r:id="rId40" ref="F21"/>
    <hyperlink r:id="rId41" ref="E22"/>
    <hyperlink r:id="rId42" ref="F22"/>
    <hyperlink r:id="rId43" ref="E23"/>
    <hyperlink r:id="rId44" ref="F23"/>
    <hyperlink r:id="rId45" ref="E24"/>
    <hyperlink r:id="rId46" ref="F24"/>
    <hyperlink r:id="rId47" ref="E25"/>
    <hyperlink r:id="rId48" ref="F25"/>
    <hyperlink r:id="rId49" ref="E26"/>
    <hyperlink r:id="rId50" ref="F26"/>
    <hyperlink r:id="rId51" ref="E27"/>
    <hyperlink r:id="rId52" ref="F27"/>
    <hyperlink r:id="rId53" ref="E28"/>
    <hyperlink r:id="rId54" ref="F28"/>
    <hyperlink r:id="rId55" ref="E29"/>
    <hyperlink r:id="rId56" ref="F29"/>
    <hyperlink r:id="rId57" ref="E30"/>
    <hyperlink r:id="rId58" ref="F30"/>
    <hyperlink r:id="rId59" ref="E31"/>
    <hyperlink r:id="rId60" ref="F31"/>
    <hyperlink r:id="rId61" ref="E32"/>
    <hyperlink r:id="rId62" ref="F32"/>
    <hyperlink r:id="rId63" ref="E33"/>
    <hyperlink r:id="rId64" ref="F33"/>
    <hyperlink r:id="rId65" ref="E34"/>
    <hyperlink r:id="rId66" ref="F34"/>
    <hyperlink r:id="rId67" ref="E35"/>
    <hyperlink r:id="rId68" ref="F35"/>
    <hyperlink r:id="rId69" ref="E36"/>
    <hyperlink r:id="rId70" ref="F36"/>
    <hyperlink r:id="rId71" ref="E37"/>
    <hyperlink r:id="rId72" ref="F37"/>
    <hyperlink r:id="rId73" ref="E38"/>
    <hyperlink r:id="rId74" ref="F38"/>
    <hyperlink r:id="rId75" ref="E39"/>
    <hyperlink r:id="rId76" ref="F39"/>
    <hyperlink r:id="rId77" ref="E40"/>
    <hyperlink r:id="rId78" ref="F40"/>
    <hyperlink r:id="rId79" ref="E41"/>
    <hyperlink r:id="rId80" ref="F41"/>
    <hyperlink r:id="rId81" ref="E42"/>
    <hyperlink r:id="rId82" ref="F42"/>
    <hyperlink r:id="rId83" ref="E43"/>
    <hyperlink r:id="rId84" ref="F43"/>
    <hyperlink r:id="rId85" ref="E44"/>
    <hyperlink r:id="rId86" ref="F44"/>
    <hyperlink r:id="rId87" ref="E45"/>
    <hyperlink r:id="rId88" ref="F45"/>
    <hyperlink r:id="rId89" ref="E46"/>
    <hyperlink r:id="rId90" ref="F46"/>
    <hyperlink r:id="rId91" ref="E47"/>
    <hyperlink r:id="rId92" ref="F47"/>
    <hyperlink r:id="rId93" ref="E48"/>
    <hyperlink r:id="rId94" ref="F48"/>
    <hyperlink r:id="rId95" ref="E49"/>
    <hyperlink r:id="rId96" ref="F49"/>
    <hyperlink r:id="rId97" ref="E50"/>
    <hyperlink r:id="rId98" ref="F50"/>
    <hyperlink r:id="rId99" ref="E51"/>
    <hyperlink r:id="rId100" ref="F51"/>
    <hyperlink r:id="rId101" ref="E52"/>
    <hyperlink r:id="rId102" ref="F52"/>
    <hyperlink r:id="rId103" ref="E53"/>
    <hyperlink r:id="rId104" ref="F53"/>
    <hyperlink r:id="rId105" ref="E54"/>
    <hyperlink r:id="rId106" ref="F54"/>
    <hyperlink r:id="rId107" ref="E55"/>
    <hyperlink r:id="rId108" ref="F55"/>
    <hyperlink r:id="rId109" ref="E56"/>
    <hyperlink r:id="rId110" ref="F56"/>
    <hyperlink r:id="rId111" ref="E57"/>
    <hyperlink r:id="rId112" ref="F57"/>
    <hyperlink r:id="rId113" ref="E58"/>
    <hyperlink r:id="rId114" ref="F58"/>
    <hyperlink r:id="rId115" ref="E59"/>
    <hyperlink r:id="rId116" ref="F59"/>
    <hyperlink r:id="rId117" ref="E60"/>
    <hyperlink r:id="rId118" ref="F60"/>
    <hyperlink r:id="rId119" ref="E61"/>
    <hyperlink r:id="rId120" ref="F61"/>
    <hyperlink r:id="rId121" ref="E62"/>
    <hyperlink r:id="rId122" ref="F62"/>
    <hyperlink r:id="rId123" ref="E63"/>
    <hyperlink r:id="rId124" ref="F63"/>
    <hyperlink r:id="rId125" ref="E64"/>
    <hyperlink r:id="rId126" ref="F64"/>
    <hyperlink r:id="rId127" ref="E65"/>
    <hyperlink r:id="rId128" ref="F65"/>
    <hyperlink r:id="rId129" ref="E66"/>
    <hyperlink r:id="rId130" ref="F66"/>
    <hyperlink r:id="rId131" ref="E67"/>
    <hyperlink r:id="rId132" ref="F67"/>
    <hyperlink r:id="rId133" ref="E68"/>
    <hyperlink r:id="rId134" ref="F68"/>
    <hyperlink r:id="rId135" ref="E69"/>
    <hyperlink r:id="rId136" ref="F69"/>
    <hyperlink r:id="rId137" ref="E70"/>
    <hyperlink r:id="rId138" ref="F70"/>
    <hyperlink r:id="rId139" ref="E71"/>
    <hyperlink r:id="rId140" ref="F71"/>
    <hyperlink r:id="rId141" ref="E72"/>
    <hyperlink r:id="rId142" ref="F72"/>
    <hyperlink r:id="rId143" ref="E73"/>
    <hyperlink r:id="rId144" ref="F73"/>
    <hyperlink r:id="rId145" ref="E74"/>
    <hyperlink r:id="rId146" ref="F74"/>
    <hyperlink r:id="rId147" ref="E75"/>
    <hyperlink r:id="rId148" ref="F75"/>
    <hyperlink r:id="rId149" ref="E76"/>
    <hyperlink r:id="rId150" ref="F76"/>
    <hyperlink r:id="rId151" ref="E77"/>
    <hyperlink r:id="rId152" ref="F77"/>
    <hyperlink r:id="rId153" ref="E78"/>
    <hyperlink r:id="rId154" ref="F78"/>
    <hyperlink r:id="rId155" ref="E79"/>
    <hyperlink r:id="rId156" ref="F79"/>
    <hyperlink r:id="rId157" ref="E80"/>
    <hyperlink r:id="rId158" ref="F80"/>
    <hyperlink r:id="rId159" ref="E81"/>
    <hyperlink r:id="rId160" ref="F81"/>
    <hyperlink r:id="rId161" ref="E82"/>
    <hyperlink r:id="rId162" ref="F82"/>
    <hyperlink r:id="rId163" ref="E83"/>
    <hyperlink r:id="rId164" ref="F83"/>
    <hyperlink r:id="rId165" ref="E84"/>
    <hyperlink r:id="rId166" ref="F84"/>
    <hyperlink r:id="rId167" ref="E85"/>
    <hyperlink r:id="rId168" ref="F85"/>
    <hyperlink r:id="rId169" ref="E86"/>
    <hyperlink r:id="rId170" ref="F86"/>
    <hyperlink r:id="rId171" ref="E87"/>
    <hyperlink r:id="rId172" ref="F87"/>
    <hyperlink r:id="rId173" ref="E88"/>
    <hyperlink r:id="rId174" ref="F88"/>
    <hyperlink r:id="rId175" ref="E89"/>
    <hyperlink r:id="rId176" ref="F89"/>
    <hyperlink r:id="rId177" ref="E90"/>
    <hyperlink r:id="rId178" ref="F90"/>
    <hyperlink r:id="rId179" ref="E91"/>
    <hyperlink r:id="rId180" ref="F91"/>
    <hyperlink r:id="rId181" ref="E92"/>
    <hyperlink r:id="rId182" ref="F92"/>
    <hyperlink r:id="rId183" ref="E93"/>
    <hyperlink r:id="rId184" ref="F93"/>
    <hyperlink r:id="rId185" ref="E94"/>
    <hyperlink r:id="rId186" ref="F94"/>
    <hyperlink r:id="rId187" ref="E95"/>
    <hyperlink r:id="rId188" ref="F95"/>
    <hyperlink r:id="rId189" ref="E96"/>
    <hyperlink r:id="rId190" ref="F96"/>
    <hyperlink r:id="rId191" ref="E97"/>
    <hyperlink r:id="rId192" ref="F97"/>
    <hyperlink r:id="rId193" ref="E98"/>
    <hyperlink r:id="rId194" ref="F98"/>
    <hyperlink r:id="rId195" ref="E99"/>
    <hyperlink r:id="rId196" ref="F99"/>
    <hyperlink r:id="rId197" ref="E100"/>
    <hyperlink r:id="rId198" ref="F100"/>
    <hyperlink r:id="rId199" ref="E101"/>
    <hyperlink r:id="rId200" ref="F101"/>
    <hyperlink r:id="rId201" ref="E102"/>
    <hyperlink r:id="rId202" ref="F102"/>
    <hyperlink r:id="rId203" ref="E103"/>
    <hyperlink r:id="rId204" ref="F103"/>
    <hyperlink r:id="rId205" ref="E104"/>
    <hyperlink r:id="rId206" ref="F104"/>
    <hyperlink r:id="rId207" ref="E105"/>
    <hyperlink r:id="rId208" ref="F105"/>
    <hyperlink r:id="rId209" ref="E106"/>
    <hyperlink r:id="rId210" ref="F106"/>
    <hyperlink r:id="rId211" ref="E107"/>
    <hyperlink r:id="rId212" ref="F107"/>
    <hyperlink r:id="rId213" ref="E108"/>
    <hyperlink r:id="rId214" ref="F108"/>
    <hyperlink r:id="rId215" ref="E109"/>
    <hyperlink r:id="rId216" ref="F109"/>
    <hyperlink r:id="rId217" ref="E110"/>
    <hyperlink r:id="rId218" ref="F110"/>
    <hyperlink r:id="rId219" ref="E111"/>
    <hyperlink r:id="rId220" ref="F111"/>
    <hyperlink r:id="rId221" ref="E112"/>
    <hyperlink r:id="rId222" ref="F112"/>
    <hyperlink r:id="rId223" ref="E113"/>
    <hyperlink r:id="rId224" ref="F113"/>
    <hyperlink r:id="rId225" ref="E114"/>
    <hyperlink r:id="rId226" ref="F114"/>
    <hyperlink r:id="rId227" ref="E115"/>
    <hyperlink r:id="rId228" ref="F115"/>
    <hyperlink r:id="rId229" ref="E116"/>
    <hyperlink r:id="rId230" ref="F116"/>
    <hyperlink r:id="rId231" ref="E117"/>
    <hyperlink r:id="rId232" ref="F117"/>
    <hyperlink r:id="rId233" ref="E118"/>
    <hyperlink r:id="rId234" ref="F118"/>
    <hyperlink r:id="rId235" ref="E119"/>
    <hyperlink r:id="rId236" ref="F119"/>
    <hyperlink r:id="rId237" ref="E120"/>
    <hyperlink r:id="rId238" ref="F120"/>
    <hyperlink r:id="rId239" ref="E121"/>
    <hyperlink r:id="rId240" ref="F121"/>
    <hyperlink r:id="rId241" ref="E122"/>
    <hyperlink r:id="rId242" ref="F122"/>
    <hyperlink r:id="rId243" ref="E123"/>
    <hyperlink r:id="rId244" ref="F123"/>
    <hyperlink r:id="rId245" ref="E124"/>
    <hyperlink r:id="rId246" ref="F124"/>
    <hyperlink r:id="rId247" ref="E125"/>
    <hyperlink r:id="rId248" ref="F125"/>
    <hyperlink r:id="rId249" ref="E126"/>
    <hyperlink r:id="rId250" ref="F126"/>
    <hyperlink r:id="rId251" ref="E127"/>
    <hyperlink r:id="rId252" ref="F127"/>
    <hyperlink r:id="rId253" ref="E128"/>
    <hyperlink r:id="rId254" ref="F128"/>
    <hyperlink r:id="rId255" ref="E129"/>
    <hyperlink r:id="rId256" ref="F129"/>
    <hyperlink r:id="rId257" ref="E130"/>
    <hyperlink r:id="rId258" ref="F130"/>
    <hyperlink r:id="rId259" ref="E131"/>
    <hyperlink r:id="rId260" ref="F131"/>
    <hyperlink r:id="rId261" ref="E132"/>
    <hyperlink r:id="rId262" ref="F132"/>
    <hyperlink r:id="rId263" ref="E133"/>
    <hyperlink r:id="rId264" ref="F133"/>
    <hyperlink r:id="rId265" ref="E134"/>
    <hyperlink r:id="rId266" ref="F134"/>
    <hyperlink r:id="rId267" ref="E135"/>
    <hyperlink r:id="rId268" ref="F135"/>
    <hyperlink r:id="rId269" ref="E136"/>
    <hyperlink r:id="rId270" ref="F136"/>
    <hyperlink r:id="rId271" ref="E137"/>
    <hyperlink r:id="rId272" ref="F137"/>
    <hyperlink r:id="rId273" ref="E138"/>
    <hyperlink r:id="rId274" ref="F138"/>
    <hyperlink r:id="rId275" ref="E139"/>
    <hyperlink r:id="rId276" ref="F139"/>
    <hyperlink r:id="rId277" ref="E140"/>
    <hyperlink r:id="rId278" ref="F140"/>
    <hyperlink r:id="rId279" ref="E141"/>
    <hyperlink r:id="rId280" ref="F141"/>
    <hyperlink r:id="rId281" ref="E142"/>
    <hyperlink r:id="rId282" ref="F142"/>
    <hyperlink r:id="rId283" ref="E143"/>
    <hyperlink r:id="rId284" ref="F143"/>
    <hyperlink r:id="rId285" ref="E144"/>
    <hyperlink r:id="rId286" ref="F144"/>
    <hyperlink r:id="rId287" ref="E145"/>
    <hyperlink r:id="rId288" ref="F145"/>
    <hyperlink r:id="rId289" ref="E146"/>
    <hyperlink r:id="rId290" ref="F146"/>
    <hyperlink r:id="rId291" ref="E147"/>
    <hyperlink r:id="rId292" ref="F147"/>
    <hyperlink r:id="rId293" ref="E148"/>
    <hyperlink r:id="rId294" ref="F148"/>
    <hyperlink r:id="rId295" ref="E149"/>
    <hyperlink r:id="rId296" ref="F149"/>
    <hyperlink r:id="rId297" ref="E150"/>
    <hyperlink r:id="rId298" ref="F150"/>
    <hyperlink r:id="rId299" ref="E151"/>
    <hyperlink r:id="rId300" ref="F151"/>
    <hyperlink r:id="rId301" ref="E152"/>
    <hyperlink r:id="rId302" ref="F152"/>
    <hyperlink r:id="rId303" ref="E153"/>
    <hyperlink r:id="rId304" ref="F153"/>
    <hyperlink r:id="rId305" ref="E154"/>
    <hyperlink r:id="rId306" ref="F154"/>
    <hyperlink r:id="rId307" ref="E155"/>
    <hyperlink r:id="rId308" ref="F155"/>
    <hyperlink r:id="rId309" ref="E156"/>
    <hyperlink r:id="rId310" ref="F156"/>
    <hyperlink r:id="rId311" ref="E157"/>
    <hyperlink r:id="rId312" ref="F157"/>
    <hyperlink r:id="rId313" ref="E158"/>
    <hyperlink r:id="rId314" ref="F158"/>
    <hyperlink r:id="rId315" ref="E159"/>
    <hyperlink r:id="rId316" ref="F159"/>
    <hyperlink r:id="rId317" ref="E160"/>
    <hyperlink r:id="rId318" ref="F160"/>
    <hyperlink r:id="rId319" ref="E161"/>
    <hyperlink r:id="rId320" ref="F161"/>
    <hyperlink r:id="rId321" ref="E162"/>
    <hyperlink r:id="rId322" ref="F162"/>
    <hyperlink r:id="rId323" ref="E163"/>
    <hyperlink r:id="rId324" ref="F163"/>
    <hyperlink r:id="rId325" ref="E164"/>
    <hyperlink r:id="rId326" ref="F164"/>
    <hyperlink r:id="rId327" ref="E165"/>
    <hyperlink r:id="rId328" ref="F165"/>
    <hyperlink r:id="rId329" ref="E166"/>
    <hyperlink r:id="rId330" ref="F166"/>
    <hyperlink r:id="rId331" ref="E167"/>
    <hyperlink r:id="rId332" ref="F167"/>
    <hyperlink r:id="rId333" ref="E168"/>
    <hyperlink r:id="rId334" ref="F168"/>
    <hyperlink r:id="rId335" ref="E169"/>
    <hyperlink r:id="rId336" ref="F169"/>
    <hyperlink r:id="rId337" ref="E170"/>
    <hyperlink r:id="rId338" ref="F170"/>
    <hyperlink r:id="rId339" ref="E171"/>
    <hyperlink r:id="rId340" ref="F171"/>
    <hyperlink r:id="rId341" ref="E172"/>
    <hyperlink r:id="rId342" ref="F172"/>
    <hyperlink r:id="rId343" ref="E173"/>
    <hyperlink r:id="rId344" ref="F173"/>
    <hyperlink r:id="rId345" ref="E174"/>
    <hyperlink r:id="rId346" ref="F174"/>
    <hyperlink r:id="rId347" ref="E175"/>
    <hyperlink r:id="rId348" ref="F175"/>
    <hyperlink r:id="rId349" ref="E176"/>
    <hyperlink r:id="rId350" ref="F176"/>
    <hyperlink r:id="rId351" ref="E177"/>
    <hyperlink r:id="rId352" ref="F177"/>
    <hyperlink r:id="rId353" ref="E178"/>
    <hyperlink r:id="rId354" ref="F178"/>
    <hyperlink r:id="rId355" ref="E179"/>
    <hyperlink r:id="rId356" ref="F179"/>
    <hyperlink r:id="rId357" ref="E180"/>
    <hyperlink r:id="rId358" ref="F180"/>
    <hyperlink r:id="rId359" ref="E181"/>
    <hyperlink r:id="rId360" ref="F181"/>
    <hyperlink r:id="rId361" ref="E182"/>
    <hyperlink r:id="rId362" ref="F182"/>
    <hyperlink r:id="rId363" ref="E183"/>
    <hyperlink r:id="rId364" ref="F183"/>
    <hyperlink r:id="rId365" ref="E184"/>
    <hyperlink r:id="rId366" ref="F184"/>
    <hyperlink r:id="rId367" ref="E185"/>
    <hyperlink r:id="rId368" ref="F185"/>
    <hyperlink r:id="rId369" ref="E186"/>
    <hyperlink r:id="rId370" ref="F186"/>
    <hyperlink r:id="rId371" ref="E187"/>
    <hyperlink r:id="rId372" ref="F187"/>
    <hyperlink r:id="rId373" ref="E188"/>
    <hyperlink r:id="rId374" ref="F188"/>
    <hyperlink r:id="rId375" ref="E189"/>
    <hyperlink r:id="rId376" ref="F189"/>
    <hyperlink r:id="rId377" ref="E190"/>
    <hyperlink r:id="rId378" ref="F190"/>
    <hyperlink r:id="rId379" ref="E191"/>
    <hyperlink r:id="rId380" ref="F191"/>
    <hyperlink r:id="rId381" ref="E192"/>
    <hyperlink r:id="rId382" ref="F192"/>
    <hyperlink r:id="rId383" ref="E193"/>
    <hyperlink r:id="rId384" ref="F193"/>
    <hyperlink r:id="rId385" ref="E194"/>
    <hyperlink r:id="rId386" ref="F194"/>
    <hyperlink r:id="rId387" ref="E195"/>
    <hyperlink r:id="rId388" ref="F195"/>
    <hyperlink r:id="rId389" ref="E196"/>
    <hyperlink r:id="rId390" ref="F196"/>
    <hyperlink r:id="rId391" ref="E197"/>
    <hyperlink r:id="rId392" ref="F197"/>
    <hyperlink r:id="rId393" ref="E198"/>
    <hyperlink r:id="rId394" ref="F198"/>
    <hyperlink r:id="rId395" ref="E199"/>
    <hyperlink r:id="rId396" ref="F199"/>
    <hyperlink r:id="rId397" ref="E200"/>
    <hyperlink r:id="rId398" ref="F200"/>
    <hyperlink r:id="rId399" ref="E201"/>
    <hyperlink r:id="rId400" ref="F201"/>
    <hyperlink r:id="rId401" ref="E202"/>
    <hyperlink r:id="rId402" ref="F202"/>
    <hyperlink r:id="rId403" ref="E203"/>
    <hyperlink r:id="rId404" ref="F203"/>
    <hyperlink r:id="rId405" ref="E204"/>
    <hyperlink r:id="rId406" ref="F204"/>
    <hyperlink r:id="rId407" ref="E205"/>
    <hyperlink r:id="rId408" ref="F205"/>
    <hyperlink r:id="rId409" ref="E206"/>
    <hyperlink r:id="rId410" ref="F206"/>
    <hyperlink r:id="rId411" ref="E207"/>
    <hyperlink r:id="rId412" ref="F207"/>
    <hyperlink r:id="rId413" ref="E208"/>
    <hyperlink r:id="rId414" ref="F208"/>
    <hyperlink r:id="rId415" ref="E209"/>
    <hyperlink r:id="rId416" ref="F209"/>
    <hyperlink r:id="rId417" ref="E210"/>
    <hyperlink r:id="rId418" ref="F210"/>
    <hyperlink r:id="rId419" ref="E211"/>
    <hyperlink r:id="rId420" ref="F211"/>
    <hyperlink r:id="rId421" ref="E212"/>
    <hyperlink r:id="rId422" ref="F212"/>
    <hyperlink r:id="rId423" ref="E213"/>
    <hyperlink r:id="rId424" ref="F213"/>
    <hyperlink r:id="rId425" ref="E214"/>
    <hyperlink r:id="rId426" ref="F214"/>
    <hyperlink r:id="rId427" ref="E215"/>
    <hyperlink r:id="rId428" ref="F215"/>
    <hyperlink r:id="rId429" ref="E216"/>
    <hyperlink r:id="rId430" ref="F216"/>
    <hyperlink r:id="rId431" ref="E217"/>
    <hyperlink r:id="rId432" ref="F217"/>
    <hyperlink r:id="rId433" ref="E218"/>
    <hyperlink r:id="rId434" ref="F218"/>
    <hyperlink r:id="rId435" ref="E219"/>
    <hyperlink r:id="rId436" ref="F219"/>
    <hyperlink r:id="rId437" ref="E220"/>
    <hyperlink r:id="rId438" ref="F220"/>
    <hyperlink r:id="rId439" ref="E221"/>
    <hyperlink r:id="rId440" ref="F221"/>
    <hyperlink r:id="rId441" ref="E222"/>
    <hyperlink r:id="rId442" ref="F222"/>
    <hyperlink r:id="rId443" ref="E223"/>
    <hyperlink r:id="rId444" ref="F223"/>
    <hyperlink r:id="rId445" ref="E224"/>
    <hyperlink r:id="rId446" ref="F224"/>
    <hyperlink r:id="rId447" ref="E225"/>
    <hyperlink r:id="rId448" ref="F225"/>
    <hyperlink r:id="rId449" ref="E226"/>
    <hyperlink r:id="rId450" ref="F226"/>
    <hyperlink r:id="rId451" ref="E227"/>
    <hyperlink r:id="rId452" ref="F227"/>
    <hyperlink r:id="rId453" ref="E228"/>
    <hyperlink r:id="rId454" ref="F228"/>
    <hyperlink r:id="rId455" ref="E229"/>
    <hyperlink r:id="rId456" ref="F229"/>
    <hyperlink r:id="rId457" ref="E230"/>
    <hyperlink r:id="rId458" ref="F230"/>
    <hyperlink r:id="rId459" ref="E231"/>
    <hyperlink r:id="rId460" ref="F231"/>
    <hyperlink r:id="rId461" ref="E232"/>
    <hyperlink r:id="rId462" ref="F232"/>
    <hyperlink r:id="rId463" ref="E233"/>
    <hyperlink r:id="rId464" ref="F233"/>
    <hyperlink r:id="rId465" ref="E234"/>
    <hyperlink r:id="rId466" ref="F234"/>
    <hyperlink r:id="rId467" ref="E235"/>
    <hyperlink r:id="rId468" ref="F235"/>
    <hyperlink r:id="rId469" ref="E236"/>
    <hyperlink r:id="rId470" ref="F236"/>
    <hyperlink r:id="rId471" ref="E237"/>
    <hyperlink r:id="rId472" ref="F237"/>
    <hyperlink r:id="rId473" ref="E238"/>
    <hyperlink r:id="rId474" ref="F238"/>
    <hyperlink r:id="rId475" ref="E239"/>
    <hyperlink r:id="rId476" ref="F239"/>
    <hyperlink r:id="rId477" ref="E240"/>
    <hyperlink r:id="rId478" ref="F240"/>
    <hyperlink r:id="rId479" ref="E241"/>
    <hyperlink r:id="rId480" ref="F241"/>
    <hyperlink r:id="rId481" ref="E242"/>
    <hyperlink r:id="rId482" ref="F242"/>
    <hyperlink r:id="rId483" ref="E243"/>
    <hyperlink r:id="rId484" ref="F243"/>
    <hyperlink r:id="rId485" ref="E244"/>
    <hyperlink r:id="rId486" ref="F244"/>
    <hyperlink r:id="rId487" ref="E245"/>
    <hyperlink r:id="rId488" ref="F245"/>
    <hyperlink r:id="rId489" ref="E246"/>
    <hyperlink r:id="rId490" ref="F246"/>
    <hyperlink r:id="rId491" ref="E247"/>
    <hyperlink r:id="rId492" ref="F247"/>
    <hyperlink r:id="rId493" ref="E248"/>
    <hyperlink r:id="rId494" ref="F248"/>
    <hyperlink r:id="rId495" ref="E249"/>
    <hyperlink r:id="rId496" ref="F249"/>
    <hyperlink r:id="rId497" ref="E250"/>
    <hyperlink r:id="rId498" ref="F250"/>
    <hyperlink r:id="rId499" ref="E251"/>
    <hyperlink r:id="rId500" ref="F251"/>
    <hyperlink r:id="rId501" ref="E252"/>
    <hyperlink r:id="rId502" ref="F252"/>
    <hyperlink r:id="rId503" ref="E253"/>
    <hyperlink r:id="rId504" ref="F253"/>
    <hyperlink r:id="rId505" ref="E254"/>
    <hyperlink r:id="rId506" ref="F254"/>
    <hyperlink r:id="rId507" ref="E255"/>
    <hyperlink r:id="rId508" ref="F255"/>
    <hyperlink r:id="rId509" ref="E256"/>
    <hyperlink r:id="rId510" ref="F256"/>
    <hyperlink r:id="rId511" ref="E257"/>
    <hyperlink r:id="rId512" ref="F257"/>
    <hyperlink r:id="rId513" ref="E258"/>
    <hyperlink r:id="rId514" ref="F258"/>
    <hyperlink r:id="rId515" ref="E259"/>
    <hyperlink r:id="rId516" ref="F259"/>
    <hyperlink r:id="rId517" ref="E260"/>
    <hyperlink r:id="rId518" ref="F260"/>
    <hyperlink r:id="rId519" ref="E261"/>
    <hyperlink r:id="rId520" ref="F261"/>
    <hyperlink r:id="rId521" ref="E262"/>
    <hyperlink r:id="rId522" ref="F262"/>
    <hyperlink r:id="rId523" ref="E263"/>
    <hyperlink r:id="rId524" ref="F263"/>
    <hyperlink r:id="rId525" ref="E264"/>
    <hyperlink r:id="rId526" ref="F264"/>
    <hyperlink r:id="rId527" ref="E265"/>
    <hyperlink r:id="rId528" ref="F265"/>
    <hyperlink r:id="rId529" ref="E266"/>
    <hyperlink r:id="rId530" ref="F266"/>
    <hyperlink r:id="rId531" ref="E267"/>
    <hyperlink r:id="rId532" ref="F267"/>
    <hyperlink r:id="rId533" ref="E268"/>
    <hyperlink r:id="rId534" ref="F268"/>
    <hyperlink r:id="rId535" ref="E269"/>
    <hyperlink r:id="rId536" ref="F269"/>
    <hyperlink r:id="rId537" ref="E270"/>
    <hyperlink r:id="rId538" ref="F270"/>
    <hyperlink r:id="rId539" ref="E271"/>
    <hyperlink r:id="rId540" ref="F271"/>
    <hyperlink r:id="rId541" ref="E272"/>
    <hyperlink r:id="rId542" ref="F272"/>
    <hyperlink r:id="rId543" ref="E273"/>
    <hyperlink r:id="rId544" ref="F273"/>
    <hyperlink r:id="rId545" ref="E274"/>
    <hyperlink r:id="rId546" ref="F274"/>
    <hyperlink r:id="rId547" ref="E275"/>
    <hyperlink r:id="rId548" ref="F275"/>
    <hyperlink r:id="rId549" ref="E276"/>
    <hyperlink r:id="rId550" ref="F276"/>
    <hyperlink r:id="rId551" ref="E277"/>
    <hyperlink r:id="rId552" ref="F277"/>
    <hyperlink r:id="rId553" ref="E278"/>
    <hyperlink r:id="rId554" ref="F278"/>
    <hyperlink r:id="rId555" ref="E279"/>
    <hyperlink r:id="rId556" ref="F279"/>
    <hyperlink r:id="rId557" ref="E280"/>
    <hyperlink r:id="rId558" ref="F280"/>
    <hyperlink r:id="rId559" ref="E281"/>
    <hyperlink r:id="rId560" ref="F281"/>
    <hyperlink r:id="rId561" ref="E282"/>
    <hyperlink r:id="rId562" ref="F282"/>
    <hyperlink r:id="rId563" ref="E283"/>
    <hyperlink r:id="rId564" ref="F283"/>
    <hyperlink r:id="rId565" ref="E284"/>
    <hyperlink r:id="rId566" ref="F284"/>
    <hyperlink r:id="rId567" ref="E285"/>
    <hyperlink r:id="rId568" ref="F285"/>
    <hyperlink r:id="rId569" ref="E286"/>
    <hyperlink r:id="rId570" ref="F286"/>
    <hyperlink r:id="rId571" ref="E287"/>
    <hyperlink r:id="rId572" ref="F287"/>
    <hyperlink r:id="rId573" ref="E288"/>
    <hyperlink r:id="rId574" ref="F288"/>
    <hyperlink r:id="rId575" ref="E289"/>
    <hyperlink r:id="rId576" ref="F289"/>
    <hyperlink r:id="rId577" ref="E290"/>
    <hyperlink r:id="rId578" ref="F290"/>
    <hyperlink r:id="rId579" ref="E291"/>
    <hyperlink r:id="rId580" ref="F291"/>
    <hyperlink r:id="rId581" ref="E292"/>
    <hyperlink r:id="rId582" ref="F292"/>
    <hyperlink r:id="rId583" ref="E293"/>
    <hyperlink r:id="rId584" ref="F293"/>
    <hyperlink r:id="rId585" ref="E294"/>
    <hyperlink r:id="rId586" ref="F294"/>
    <hyperlink r:id="rId587" ref="E295"/>
    <hyperlink r:id="rId588" ref="F295"/>
    <hyperlink r:id="rId589" ref="E296"/>
    <hyperlink r:id="rId590" ref="F296"/>
    <hyperlink r:id="rId591" ref="E297"/>
    <hyperlink r:id="rId592" ref="F297"/>
    <hyperlink r:id="rId593" ref="E298"/>
    <hyperlink r:id="rId594" ref="F298"/>
    <hyperlink r:id="rId595" ref="E299"/>
    <hyperlink r:id="rId596" ref="F299"/>
    <hyperlink r:id="rId597" ref="E300"/>
    <hyperlink r:id="rId598" ref="F300"/>
    <hyperlink r:id="rId599" ref="E301"/>
    <hyperlink r:id="rId600" ref="F301"/>
    <hyperlink r:id="rId601" ref="E302"/>
    <hyperlink r:id="rId602" ref="F302"/>
    <hyperlink r:id="rId603" ref="E303"/>
    <hyperlink r:id="rId604" ref="F303"/>
    <hyperlink r:id="rId605" ref="E304"/>
    <hyperlink r:id="rId606" ref="F304"/>
    <hyperlink r:id="rId607" ref="E305"/>
    <hyperlink r:id="rId608" ref="F305"/>
    <hyperlink r:id="rId609" ref="E306"/>
    <hyperlink r:id="rId610" ref="F306"/>
    <hyperlink r:id="rId611" ref="E307"/>
    <hyperlink r:id="rId612" ref="F307"/>
    <hyperlink r:id="rId613" ref="E308"/>
    <hyperlink r:id="rId614" ref="F308"/>
    <hyperlink r:id="rId615" ref="E309"/>
    <hyperlink r:id="rId616" ref="F309"/>
    <hyperlink r:id="rId617" ref="E310"/>
    <hyperlink r:id="rId618" ref="F310"/>
    <hyperlink r:id="rId619" ref="E311"/>
    <hyperlink r:id="rId620" ref="F311"/>
    <hyperlink r:id="rId621" ref="E312"/>
    <hyperlink r:id="rId622" ref="F312"/>
    <hyperlink r:id="rId623" ref="E313"/>
    <hyperlink r:id="rId624" ref="F313"/>
    <hyperlink r:id="rId625" ref="E314"/>
    <hyperlink r:id="rId626" ref="F314"/>
    <hyperlink r:id="rId627" ref="E315"/>
    <hyperlink r:id="rId628" ref="F315"/>
    <hyperlink r:id="rId629" ref="E316"/>
    <hyperlink r:id="rId630" ref="F316"/>
    <hyperlink r:id="rId631" ref="E317"/>
    <hyperlink r:id="rId632" ref="F317"/>
    <hyperlink r:id="rId633" ref="E318"/>
    <hyperlink r:id="rId634" ref="F318"/>
    <hyperlink r:id="rId635" ref="E319"/>
    <hyperlink r:id="rId636" ref="F319"/>
    <hyperlink r:id="rId637" ref="E320"/>
    <hyperlink r:id="rId638" ref="F320"/>
    <hyperlink r:id="rId639" ref="E321"/>
    <hyperlink r:id="rId640" ref="F321"/>
    <hyperlink r:id="rId641" ref="E322"/>
    <hyperlink r:id="rId642" ref="F322"/>
    <hyperlink r:id="rId643" ref="E323"/>
    <hyperlink r:id="rId644" ref="F323"/>
    <hyperlink r:id="rId645" ref="E324"/>
    <hyperlink r:id="rId646" ref="F324"/>
    <hyperlink r:id="rId647" ref="E325"/>
    <hyperlink r:id="rId648" ref="F325"/>
    <hyperlink r:id="rId649" ref="E326"/>
    <hyperlink r:id="rId650" ref="F326"/>
    <hyperlink r:id="rId651" ref="E327"/>
    <hyperlink r:id="rId652" ref="F327"/>
    <hyperlink r:id="rId653" ref="E328"/>
    <hyperlink r:id="rId654" ref="F328"/>
    <hyperlink r:id="rId655" ref="E329"/>
    <hyperlink r:id="rId656" ref="F329"/>
    <hyperlink r:id="rId657" ref="E330"/>
    <hyperlink r:id="rId658" ref="F330"/>
    <hyperlink r:id="rId659" ref="E331"/>
    <hyperlink r:id="rId660" ref="F331"/>
    <hyperlink r:id="rId661" ref="E332"/>
    <hyperlink r:id="rId662" ref="F332"/>
    <hyperlink r:id="rId663" ref="E333"/>
    <hyperlink r:id="rId664" ref="F333"/>
    <hyperlink r:id="rId665" ref="E334"/>
    <hyperlink r:id="rId666" ref="F334"/>
    <hyperlink r:id="rId667" ref="E335"/>
    <hyperlink r:id="rId668" ref="F335"/>
    <hyperlink r:id="rId669" ref="E336"/>
    <hyperlink r:id="rId670" ref="F336"/>
    <hyperlink r:id="rId671" ref="E337"/>
    <hyperlink r:id="rId672" ref="F337"/>
    <hyperlink r:id="rId673" ref="E338"/>
    <hyperlink r:id="rId674" ref="F338"/>
    <hyperlink r:id="rId675" ref="E339"/>
    <hyperlink r:id="rId676" ref="F339"/>
    <hyperlink r:id="rId677" ref="E340"/>
    <hyperlink r:id="rId678" ref="F340"/>
    <hyperlink r:id="rId679" ref="E341"/>
    <hyperlink r:id="rId680" ref="F341"/>
    <hyperlink r:id="rId681" ref="E342"/>
    <hyperlink r:id="rId682" ref="F342"/>
    <hyperlink r:id="rId683" ref="E343"/>
    <hyperlink r:id="rId684" ref="F343"/>
    <hyperlink r:id="rId685" ref="E344"/>
    <hyperlink r:id="rId686" ref="F344"/>
    <hyperlink r:id="rId687" ref="E345"/>
    <hyperlink r:id="rId688" ref="F345"/>
    <hyperlink r:id="rId689" ref="E346"/>
    <hyperlink r:id="rId690" ref="F346"/>
    <hyperlink r:id="rId691" ref="E347"/>
    <hyperlink r:id="rId692" ref="F347"/>
    <hyperlink r:id="rId693" ref="E348"/>
    <hyperlink r:id="rId694" ref="F348"/>
    <hyperlink r:id="rId695" ref="E349"/>
    <hyperlink r:id="rId696" ref="F349"/>
    <hyperlink r:id="rId697" ref="E350"/>
    <hyperlink r:id="rId698" ref="F350"/>
    <hyperlink r:id="rId699" ref="E351"/>
    <hyperlink r:id="rId700" ref="F351"/>
    <hyperlink r:id="rId701" ref="E352"/>
    <hyperlink r:id="rId702" ref="F352"/>
    <hyperlink r:id="rId703" ref="E353"/>
    <hyperlink r:id="rId704" ref="F353"/>
    <hyperlink r:id="rId705" ref="E354"/>
    <hyperlink r:id="rId706" ref="F354"/>
    <hyperlink r:id="rId707" ref="E355"/>
    <hyperlink r:id="rId708" ref="F355"/>
    <hyperlink r:id="rId709" ref="E356"/>
    <hyperlink r:id="rId710" ref="F356"/>
    <hyperlink r:id="rId711" ref="E357"/>
    <hyperlink r:id="rId712" ref="F357"/>
    <hyperlink r:id="rId713" ref="E358"/>
    <hyperlink r:id="rId714" ref="F358"/>
    <hyperlink r:id="rId715" ref="E359"/>
    <hyperlink r:id="rId716" ref="F359"/>
    <hyperlink r:id="rId717" ref="E360"/>
    <hyperlink r:id="rId718" ref="F360"/>
    <hyperlink r:id="rId719" ref="E361"/>
    <hyperlink r:id="rId720" ref="F361"/>
    <hyperlink r:id="rId721" ref="E362"/>
    <hyperlink r:id="rId722" ref="F362"/>
    <hyperlink r:id="rId723" ref="E363"/>
    <hyperlink r:id="rId724" ref="F363"/>
    <hyperlink r:id="rId725" ref="E364"/>
    <hyperlink r:id="rId726" ref="F364"/>
    <hyperlink r:id="rId727" ref="E365"/>
    <hyperlink r:id="rId728" ref="F365"/>
    <hyperlink r:id="rId729" ref="E366"/>
    <hyperlink r:id="rId730" ref="F366"/>
    <hyperlink r:id="rId731" ref="E367"/>
    <hyperlink r:id="rId732" ref="F367"/>
    <hyperlink r:id="rId733" ref="E368"/>
    <hyperlink r:id="rId734" ref="F368"/>
    <hyperlink r:id="rId735" ref="E369"/>
    <hyperlink r:id="rId736" ref="F369"/>
    <hyperlink r:id="rId737" ref="E370"/>
    <hyperlink r:id="rId738" ref="F370"/>
    <hyperlink r:id="rId739" ref="E371"/>
    <hyperlink r:id="rId740" ref="F371"/>
    <hyperlink r:id="rId741" ref="E372"/>
    <hyperlink r:id="rId742" ref="F372"/>
    <hyperlink r:id="rId743" ref="E373"/>
    <hyperlink r:id="rId744" ref="F373"/>
    <hyperlink r:id="rId745" ref="E374"/>
    <hyperlink r:id="rId746" ref="F374"/>
    <hyperlink r:id="rId747" ref="E375"/>
    <hyperlink r:id="rId748" ref="F375"/>
    <hyperlink r:id="rId749" ref="E376"/>
    <hyperlink r:id="rId750" ref="F376"/>
    <hyperlink r:id="rId751" ref="E377"/>
    <hyperlink r:id="rId752" ref="F377"/>
    <hyperlink r:id="rId753" ref="E378"/>
    <hyperlink r:id="rId754" ref="F378"/>
    <hyperlink r:id="rId755" ref="E379"/>
    <hyperlink r:id="rId756" ref="F379"/>
    <hyperlink r:id="rId757" ref="E380"/>
    <hyperlink r:id="rId758" ref="F380"/>
    <hyperlink r:id="rId759" ref="E381"/>
    <hyperlink r:id="rId760" ref="F381"/>
    <hyperlink r:id="rId761" ref="E382"/>
    <hyperlink r:id="rId762" ref="F382"/>
    <hyperlink r:id="rId763" ref="E383"/>
    <hyperlink r:id="rId764" ref="F383"/>
    <hyperlink r:id="rId765" ref="E384"/>
    <hyperlink r:id="rId766" ref="F384"/>
    <hyperlink r:id="rId767" ref="E385"/>
    <hyperlink r:id="rId768" ref="F385"/>
    <hyperlink r:id="rId769" ref="E386"/>
    <hyperlink r:id="rId770" ref="F386"/>
    <hyperlink r:id="rId771" ref="E387"/>
    <hyperlink r:id="rId772" ref="F387"/>
    <hyperlink r:id="rId773" ref="E388"/>
    <hyperlink r:id="rId774" ref="F388"/>
    <hyperlink r:id="rId775" ref="E389"/>
    <hyperlink r:id="rId776" ref="F389"/>
    <hyperlink r:id="rId777" ref="E390"/>
    <hyperlink r:id="rId778" ref="F390"/>
    <hyperlink r:id="rId779" ref="E391"/>
    <hyperlink r:id="rId780" ref="F391"/>
    <hyperlink r:id="rId781" ref="E392"/>
    <hyperlink r:id="rId782" ref="F392"/>
    <hyperlink r:id="rId783" ref="E393"/>
    <hyperlink r:id="rId784" ref="F393"/>
    <hyperlink r:id="rId785" ref="E394"/>
    <hyperlink r:id="rId786" ref="F394"/>
    <hyperlink r:id="rId787" ref="E395"/>
    <hyperlink r:id="rId788" ref="F395"/>
    <hyperlink r:id="rId789" ref="E396"/>
    <hyperlink r:id="rId790" ref="F396"/>
    <hyperlink r:id="rId791" ref="E397"/>
    <hyperlink r:id="rId792" ref="F397"/>
    <hyperlink r:id="rId793" ref="E398"/>
    <hyperlink r:id="rId794" ref="F398"/>
    <hyperlink r:id="rId795" ref="E399"/>
    <hyperlink r:id="rId796" ref="F399"/>
    <hyperlink r:id="rId797" ref="E400"/>
    <hyperlink r:id="rId798" ref="F400"/>
    <hyperlink r:id="rId799" ref="E401"/>
    <hyperlink r:id="rId800" ref="F401"/>
    <hyperlink r:id="rId801" ref="E402"/>
    <hyperlink r:id="rId802" ref="F402"/>
    <hyperlink r:id="rId803" ref="E403"/>
    <hyperlink r:id="rId804" ref="F403"/>
    <hyperlink r:id="rId805" ref="E404"/>
    <hyperlink r:id="rId806" ref="F404"/>
    <hyperlink r:id="rId807" ref="E405"/>
    <hyperlink r:id="rId808" ref="F405"/>
    <hyperlink r:id="rId809" ref="E406"/>
    <hyperlink r:id="rId810" ref="F406"/>
    <hyperlink r:id="rId811" ref="E407"/>
    <hyperlink r:id="rId812" ref="F407"/>
    <hyperlink r:id="rId813" ref="E408"/>
    <hyperlink r:id="rId814" ref="F408"/>
    <hyperlink r:id="rId815" ref="E409"/>
    <hyperlink r:id="rId816" ref="F409"/>
    <hyperlink r:id="rId817" ref="E410"/>
    <hyperlink r:id="rId818" ref="F410"/>
    <hyperlink r:id="rId819" ref="E411"/>
    <hyperlink r:id="rId820" ref="F411"/>
    <hyperlink r:id="rId821" ref="E412"/>
    <hyperlink r:id="rId822" ref="F412"/>
    <hyperlink r:id="rId823" ref="E413"/>
    <hyperlink r:id="rId824" ref="F413"/>
    <hyperlink r:id="rId825" ref="E414"/>
    <hyperlink r:id="rId826" ref="F414"/>
    <hyperlink r:id="rId827" ref="E415"/>
    <hyperlink r:id="rId828" ref="F415"/>
    <hyperlink r:id="rId829" ref="E416"/>
    <hyperlink r:id="rId830" ref="F416"/>
    <hyperlink r:id="rId831" ref="E417"/>
    <hyperlink r:id="rId832" ref="F417"/>
    <hyperlink r:id="rId833" ref="E418"/>
    <hyperlink r:id="rId834" ref="F418"/>
    <hyperlink r:id="rId835" ref="E419"/>
    <hyperlink r:id="rId836" ref="F419"/>
    <hyperlink r:id="rId837" ref="E420"/>
    <hyperlink r:id="rId838" ref="F420"/>
    <hyperlink r:id="rId839" ref="E421"/>
    <hyperlink r:id="rId840" ref="F421"/>
    <hyperlink r:id="rId841" ref="E422"/>
    <hyperlink r:id="rId842" ref="F422"/>
    <hyperlink r:id="rId843" ref="E423"/>
    <hyperlink r:id="rId844" ref="F423"/>
    <hyperlink r:id="rId845" ref="E424"/>
    <hyperlink r:id="rId846" ref="F424"/>
    <hyperlink r:id="rId847" ref="E425"/>
    <hyperlink r:id="rId848" ref="F425"/>
    <hyperlink r:id="rId849" ref="E426"/>
    <hyperlink r:id="rId850" ref="F426"/>
    <hyperlink r:id="rId851" ref="E427"/>
    <hyperlink r:id="rId852" ref="F427"/>
    <hyperlink r:id="rId853" ref="E428"/>
    <hyperlink r:id="rId854" ref="F428"/>
    <hyperlink r:id="rId855" ref="E429"/>
    <hyperlink r:id="rId856" ref="F429"/>
    <hyperlink r:id="rId857" ref="E430"/>
    <hyperlink r:id="rId858" ref="F430"/>
    <hyperlink r:id="rId859" ref="E431"/>
    <hyperlink r:id="rId860" ref="F431"/>
    <hyperlink r:id="rId861" ref="E432"/>
    <hyperlink r:id="rId862" ref="F432"/>
    <hyperlink r:id="rId863" ref="E433"/>
    <hyperlink r:id="rId864" ref="F433"/>
    <hyperlink r:id="rId865" ref="E434"/>
    <hyperlink r:id="rId866" ref="F434"/>
    <hyperlink r:id="rId867" ref="E435"/>
    <hyperlink r:id="rId868" ref="F435"/>
    <hyperlink r:id="rId869" ref="E436"/>
    <hyperlink r:id="rId870" ref="F436"/>
    <hyperlink r:id="rId871" ref="E437"/>
    <hyperlink r:id="rId872" ref="F437"/>
    <hyperlink r:id="rId873" ref="E438"/>
    <hyperlink r:id="rId874" ref="F438"/>
    <hyperlink r:id="rId875" ref="E439"/>
    <hyperlink r:id="rId876" ref="F439"/>
    <hyperlink r:id="rId877" ref="E440"/>
    <hyperlink r:id="rId878" ref="F440"/>
    <hyperlink r:id="rId879" ref="E441"/>
    <hyperlink r:id="rId880" ref="F441"/>
    <hyperlink r:id="rId881" ref="E442"/>
    <hyperlink r:id="rId882" ref="F442"/>
    <hyperlink r:id="rId883" ref="E443"/>
    <hyperlink r:id="rId884" ref="F443"/>
    <hyperlink r:id="rId885" ref="E444"/>
    <hyperlink r:id="rId886" ref="F444"/>
    <hyperlink r:id="rId887" ref="E445"/>
    <hyperlink r:id="rId888" ref="F445"/>
    <hyperlink r:id="rId889" ref="E446"/>
    <hyperlink r:id="rId890" ref="F446"/>
    <hyperlink r:id="rId891" ref="E447"/>
    <hyperlink r:id="rId892" ref="F447"/>
    <hyperlink r:id="rId893" ref="E448"/>
    <hyperlink r:id="rId894" ref="F448"/>
    <hyperlink r:id="rId895" ref="E449"/>
    <hyperlink r:id="rId896" ref="F449"/>
    <hyperlink r:id="rId897" ref="E450"/>
    <hyperlink r:id="rId898" ref="F450"/>
    <hyperlink r:id="rId899" ref="E451"/>
    <hyperlink r:id="rId900" ref="F451"/>
    <hyperlink r:id="rId901" ref="E452"/>
    <hyperlink r:id="rId902" ref="F452"/>
    <hyperlink r:id="rId903" ref="E453"/>
    <hyperlink r:id="rId904" ref="F453"/>
    <hyperlink r:id="rId905" ref="E454"/>
    <hyperlink r:id="rId906" ref="F454"/>
    <hyperlink r:id="rId907" ref="E455"/>
    <hyperlink r:id="rId908" ref="F455"/>
    <hyperlink r:id="rId909" ref="E456"/>
    <hyperlink r:id="rId910" ref="F456"/>
    <hyperlink r:id="rId911" ref="E457"/>
    <hyperlink r:id="rId912" ref="F457"/>
    <hyperlink r:id="rId913" ref="E458"/>
    <hyperlink r:id="rId914" ref="F458"/>
    <hyperlink r:id="rId915" ref="E459"/>
    <hyperlink r:id="rId916" ref="F459"/>
    <hyperlink r:id="rId917" ref="E460"/>
    <hyperlink r:id="rId918" ref="F460"/>
    <hyperlink r:id="rId919" ref="E461"/>
    <hyperlink r:id="rId920" ref="F461"/>
    <hyperlink r:id="rId921" ref="E462"/>
    <hyperlink r:id="rId922" ref="F462"/>
    <hyperlink r:id="rId923" ref="E463"/>
    <hyperlink r:id="rId924" ref="F463"/>
    <hyperlink r:id="rId925" ref="E464"/>
    <hyperlink r:id="rId926" ref="F464"/>
    <hyperlink r:id="rId927" ref="E465"/>
    <hyperlink r:id="rId928" ref="F465"/>
    <hyperlink r:id="rId929" ref="E466"/>
    <hyperlink r:id="rId930" ref="F466"/>
    <hyperlink r:id="rId931" ref="E467"/>
    <hyperlink r:id="rId932" ref="F467"/>
    <hyperlink r:id="rId933" ref="E468"/>
    <hyperlink r:id="rId934" ref="F468"/>
    <hyperlink r:id="rId935" ref="E469"/>
    <hyperlink r:id="rId936" ref="F469"/>
    <hyperlink r:id="rId937" ref="E470"/>
    <hyperlink r:id="rId938" ref="F470"/>
    <hyperlink r:id="rId939" ref="E471"/>
    <hyperlink r:id="rId940" ref="F471"/>
    <hyperlink r:id="rId941" ref="E472"/>
    <hyperlink r:id="rId942" ref="F472"/>
    <hyperlink r:id="rId943" ref="E473"/>
    <hyperlink r:id="rId944" ref="F473"/>
    <hyperlink r:id="rId945" ref="E474"/>
    <hyperlink r:id="rId946" ref="F474"/>
    <hyperlink r:id="rId947" ref="E475"/>
    <hyperlink r:id="rId948" ref="F475"/>
    <hyperlink r:id="rId949" ref="E476"/>
    <hyperlink r:id="rId950" ref="F476"/>
    <hyperlink r:id="rId951" ref="E477"/>
    <hyperlink r:id="rId952" ref="F477"/>
    <hyperlink r:id="rId953" ref="E478"/>
    <hyperlink r:id="rId954" ref="F478"/>
    <hyperlink r:id="rId955" ref="E479"/>
    <hyperlink r:id="rId956" ref="F479"/>
    <hyperlink r:id="rId957" ref="E480"/>
    <hyperlink r:id="rId958" ref="F480"/>
    <hyperlink r:id="rId959" ref="E481"/>
    <hyperlink r:id="rId960" ref="F481"/>
    <hyperlink r:id="rId961" ref="E482"/>
    <hyperlink r:id="rId962" ref="F482"/>
    <hyperlink r:id="rId963" ref="E483"/>
    <hyperlink r:id="rId964" ref="F483"/>
    <hyperlink r:id="rId965" ref="E484"/>
    <hyperlink r:id="rId966" ref="F484"/>
    <hyperlink r:id="rId967" ref="E485"/>
    <hyperlink r:id="rId968" ref="F485"/>
    <hyperlink r:id="rId969" ref="E486"/>
    <hyperlink r:id="rId970" ref="F486"/>
    <hyperlink r:id="rId971" ref="E487"/>
    <hyperlink r:id="rId972" ref="F487"/>
    <hyperlink r:id="rId973" ref="E488"/>
    <hyperlink r:id="rId974" ref="F488"/>
    <hyperlink r:id="rId975" ref="E489"/>
    <hyperlink r:id="rId976" ref="F489"/>
    <hyperlink r:id="rId977" ref="E490"/>
    <hyperlink r:id="rId978" ref="F490"/>
    <hyperlink r:id="rId979" ref="E491"/>
    <hyperlink r:id="rId980" ref="F491"/>
    <hyperlink r:id="rId981" ref="E492"/>
    <hyperlink r:id="rId982" ref="F492"/>
    <hyperlink r:id="rId983" ref="E493"/>
    <hyperlink r:id="rId984" ref="F493"/>
    <hyperlink r:id="rId985" ref="E494"/>
    <hyperlink r:id="rId986" ref="F494"/>
    <hyperlink r:id="rId987" ref="E495"/>
    <hyperlink r:id="rId988" ref="F495"/>
    <hyperlink r:id="rId989" ref="E496"/>
    <hyperlink r:id="rId990" ref="F496"/>
    <hyperlink r:id="rId991" ref="E497"/>
    <hyperlink r:id="rId992" ref="F497"/>
    <hyperlink r:id="rId993" ref="E498"/>
    <hyperlink r:id="rId994" ref="F498"/>
    <hyperlink r:id="rId995" ref="E499"/>
    <hyperlink r:id="rId996" ref="F499"/>
    <hyperlink r:id="rId997" ref="E500"/>
    <hyperlink r:id="rId998" ref="F500"/>
    <hyperlink r:id="rId999" ref="E501"/>
    <hyperlink r:id="rId1000" ref="F501"/>
    <hyperlink r:id="rId1001" ref="E502"/>
    <hyperlink r:id="rId1002" ref="F502"/>
    <hyperlink r:id="rId1003" ref="E503"/>
    <hyperlink r:id="rId1004" ref="F503"/>
    <hyperlink r:id="rId1005" ref="E504"/>
    <hyperlink r:id="rId1006" ref="F504"/>
    <hyperlink r:id="rId1007" ref="E505"/>
    <hyperlink r:id="rId1008" ref="F505"/>
    <hyperlink r:id="rId1009" ref="E506"/>
    <hyperlink r:id="rId1010" ref="F506"/>
    <hyperlink r:id="rId1011" ref="E507"/>
    <hyperlink r:id="rId1012" ref="F507"/>
    <hyperlink r:id="rId1013" ref="E508"/>
    <hyperlink r:id="rId1014" ref="F508"/>
    <hyperlink r:id="rId1015" ref="E509"/>
    <hyperlink r:id="rId1016" ref="F509"/>
    <hyperlink r:id="rId1017" ref="E510"/>
    <hyperlink r:id="rId1018" ref="F510"/>
    <hyperlink r:id="rId1019" ref="E511"/>
    <hyperlink r:id="rId1020" ref="F511"/>
    <hyperlink r:id="rId1021" ref="E512"/>
    <hyperlink r:id="rId1022" ref="F512"/>
    <hyperlink r:id="rId1023" ref="E513"/>
    <hyperlink r:id="rId1024" ref="F513"/>
    <hyperlink r:id="rId1025" ref="E514"/>
    <hyperlink r:id="rId1026" ref="F514"/>
    <hyperlink r:id="rId1027" ref="E515"/>
    <hyperlink r:id="rId1028" ref="F515"/>
    <hyperlink r:id="rId1029" ref="E516"/>
    <hyperlink r:id="rId1030" ref="F516"/>
    <hyperlink r:id="rId1031" ref="E517"/>
    <hyperlink r:id="rId1032" ref="F517"/>
    <hyperlink r:id="rId1033" ref="E518"/>
    <hyperlink r:id="rId1034" ref="F518"/>
    <hyperlink r:id="rId1035" ref="E519"/>
    <hyperlink r:id="rId1036" ref="F519"/>
    <hyperlink r:id="rId1037" ref="E520"/>
    <hyperlink r:id="rId1038" ref="F520"/>
    <hyperlink r:id="rId1039" ref="E521"/>
    <hyperlink r:id="rId1040" ref="F521"/>
    <hyperlink r:id="rId1041" ref="E522"/>
    <hyperlink r:id="rId1042" ref="F522"/>
    <hyperlink r:id="rId1043" ref="E523"/>
    <hyperlink r:id="rId1044" ref="F523"/>
    <hyperlink r:id="rId1045" ref="E524"/>
    <hyperlink r:id="rId1046" ref="F524"/>
    <hyperlink r:id="rId1047" ref="E525"/>
    <hyperlink r:id="rId1048" ref="F525"/>
    <hyperlink r:id="rId1049" ref="E526"/>
    <hyperlink r:id="rId1050" ref="F526"/>
    <hyperlink r:id="rId1051" ref="E527"/>
    <hyperlink r:id="rId1052" ref="F527"/>
    <hyperlink r:id="rId1053" ref="E528"/>
    <hyperlink r:id="rId1054" ref="F528"/>
    <hyperlink r:id="rId1055" ref="E529"/>
    <hyperlink r:id="rId1056" ref="F529"/>
    <hyperlink r:id="rId1057" ref="E530"/>
    <hyperlink r:id="rId1058" ref="F530"/>
    <hyperlink r:id="rId1059" ref="E531"/>
    <hyperlink r:id="rId1060" ref="F531"/>
    <hyperlink r:id="rId1061" ref="E532"/>
    <hyperlink r:id="rId1062" ref="F532"/>
    <hyperlink r:id="rId1063" ref="E533"/>
    <hyperlink r:id="rId1064" ref="F533"/>
    <hyperlink r:id="rId1065" ref="E534"/>
    <hyperlink r:id="rId1066" ref="F534"/>
    <hyperlink r:id="rId1067" ref="E535"/>
    <hyperlink r:id="rId1068" ref="F535"/>
    <hyperlink r:id="rId1069" ref="E536"/>
    <hyperlink r:id="rId1070" ref="F536"/>
    <hyperlink r:id="rId1071" ref="E537"/>
    <hyperlink r:id="rId1072" ref="F537"/>
    <hyperlink r:id="rId1073" ref="E538"/>
    <hyperlink r:id="rId1074" ref="F538"/>
    <hyperlink r:id="rId1075" ref="E539"/>
    <hyperlink r:id="rId1076" ref="F539"/>
    <hyperlink r:id="rId1077" ref="E540"/>
    <hyperlink r:id="rId1078" ref="F540"/>
    <hyperlink r:id="rId1079" ref="E541"/>
    <hyperlink r:id="rId1080" ref="F541"/>
    <hyperlink r:id="rId1081" ref="E542"/>
    <hyperlink r:id="rId1082" ref="F542"/>
    <hyperlink r:id="rId1083" ref="E543"/>
    <hyperlink r:id="rId1084" ref="F543"/>
    <hyperlink r:id="rId1085" ref="E544"/>
    <hyperlink r:id="rId1086" ref="F544"/>
    <hyperlink r:id="rId1087" ref="E545"/>
    <hyperlink r:id="rId1088" ref="F545"/>
    <hyperlink r:id="rId1089" ref="E546"/>
    <hyperlink r:id="rId1090" ref="F546"/>
    <hyperlink r:id="rId1091" ref="E547"/>
    <hyperlink r:id="rId1092" ref="F547"/>
    <hyperlink r:id="rId1093" ref="E548"/>
    <hyperlink r:id="rId1094" ref="F548"/>
    <hyperlink r:id="rId1095" ref="E549"/>
    <hyperlink r:id="rId1096" ref="F549"/>
    <hyperlink r:id="rId1097" ref="E550"/>
    <hyperlink r:id="rId1098" ref="F550"/>
    <hyperlink r:id="rId1099" ref="E551"/>
    <hyperlink r:id="rId1100" ref="F551"/>
    <hyperlink r:id="rId1101" ref="E552"/>
    <hyperlink r:id="rId1102" ref="F552"/>
    <hyperlink r:id="rId1103" ref="E553"/>
    <hyperlink r:id="rId1104" ref="F553"/>
    <hyperlink r:id="rId1105" ref="E554"/>
    <hyperlink r:id="rId1106" ref="F554"/>
    <hyperlink r:id="rId1107" ref="E555"/>
    <hyperlink r:id="rId1108" ref="F555"/>
    <hyperlink r:id="rId1109" ref="E556"/>
    <hyperlink r:id="rId1110" ref="F556"/>
    <hyperlink r:id="rId1111" ref="E557"/>
    <hyperlink r:id="rId1112" ref="F557"/>
    <hyperlink r:id="rId1113" ref="E558"/>
    <hyperlink r:id="rId1114" ref="F558"/>
    <hyperlink r:id="rId1115" ref="E559"/>
    <hyperlink r:id="rId1116" ref="F559"/>
    <hyperlink r:id="rId1117" ref="E560"/>
    <hyperlink r:id="rId1118" ref="F560"/>
    <hyperlink r:id="rId1119" ref="E561"/>
    <hyperlink r:id="rId1120" ref="F561"/>
    <hyperlink r:id="rId1121" ref="E562"/>
    <hyperlink r:id="rId1122" ref="F562"/>
    <hyperlink r:id="rId1123" ref="E563"/>
    <hyperlink r:id="rId1124" ref="F563"/>
    <hyperlink r:id="rId1125" ref="E564"/>
    <hyperlink r:id="rId1126" ref="F564"/>
    <hyperlink r:id="rId1127" ref="E565"/>
    <hyperlink r:id="rId1128" ref="F565"/>
    <hyperlink r:id="rId1129" ref="E566"/>
    <hyperlink r:id="rId1130" ref="F566"/>
    <hyperlink r:id="rId1131" ref="E567"/>
    <hyperlink r:id="rId1132" ref="F567"/>
    <hyperlink r:id="rId1133" ref="E568"/>
    <hyperlink r:id="rId1134" ref="F568"/>
    <hyperlink r:id="rId1135" ref="E569"/>
    <hyperlink r:id="rId1136" ref="F569"/>
    <hyperlink r:id="rId1137" ref="E570"/>
    <hyperlink r:id="rId1138" ref="F570"/>
    <hyperlink r:id="rId1139" ref="E571"/>
    <hyperlink r:id="rId1140" ref="F571"/>
    <hyperlink r:id="rId1141" ref="E572"/>
    <hyperlink r:id="rId1142" ref="F572"/>
    <hyperlink r:id="rId1143" ref="E573"/>
    <hyperlink r:id="rId1144" ref="F573"/>
    <hyperlink r:id="rId1145" ref="E574"/>
    <hyperlink r:id="rId1146" ref="F574"/>
    <hyperlink r:id="rId1147" ref="E575"/>
    <hyperlink r:id="rId1148" ref="F575"/>
    <hyperlink r:id="rId1149" ref="E576"/>
    <hyperlink r:id="rId1150" ref="F576"/>
    <hyperlink r:id="rId1151" ref="E577"/>
    <hyperlink r:id="rId1152" ref="F577"/>
    <hyperlink r:id="rId1153" ref="E578"/>
    <hyperlink r:id="rId1154" ref="F578"/>
    <hyperlink r:id="rId1155" ref="E579"/>
    <hyperlink r:id="rId1156" ref="F579"/>
    <hyperlink r:id="rId1157" ref="E580"/>
    <hyperlink r:id="rId1158" ref="F580"/>
    <hyperlink r:id="rId1159" ref="E581"/>
    <hyperlink r:id="rId1160" ref="F581"/>
    <hyperlink r:id="rId1161" ref="E582"/>
    <hyperlink r:id="rId1162" ref="F582"/>
    <hyperlink r:id="rId1163" ref="E583"/>
    <hyperlink r:id="rId1164" ref="F583"/>
    <hyperlink r:id="rId1165" ref="E584"/>
    <hyperlink r:id="rId1166" ref="F584"/>
    <hyperlink r:id="rId1167" ref="E585"/>
    <hyperlink r:id="rId1168" ref="F585"/>
    <hyperlink r:id="rId1169" ref="E586"/>
    <hyperlink r:id="rId1170" ref="F586"/>
    <hyperlink r:id="rId1171" ref="E587"/>
    <hyperlink r:id="rId1172" ref="F587"/>
    <hyperlink r:id="rId1173" ref="E588"/>
    <hyperlink r:id="rId1174" ref="F588"/>
    <hyperlink r:id="rId1175" ref="E589"/>
    <hyperlink r:id="rId1176" ref="F589"/>
    <hyperlink r:id="rId1177" ref="E590"/>
    <hyperlink r:id="rId1178" ref="F590"/>
    <hyperlink r:id="rId1179" ref="E591"/>
    <hyperlink r:id="rId1180" ref="F591"/>
    <hyperlink r:id="rId1181" ref="E592"/>
    <hyperlink r:id="rId1182" ref="F592"/>
    <hyperlink r:id="rId1183" ref="E593"/>
    <hyperlink r:id="rId1184" ref="F593"/>
    <hyperlink r:id="rId1185" ref="E594"/>
    <hyperlink r:id="rId1186" ref="F594"/>
    <hyperlink r:id="rId1187" ref="E595"/>
    <hyperlink r:id="rId1188" ref="F595"/>
    <hyperlink r:id="rId1189" ref="E596"/>
    <hyperlink r:id="rId1190" ref="F596"/>
    <hyperlink r:id="rId1191" ref="E597"/>
    <hyperlink r:id="rId1192" ref="F597"/>
    <hyperlink r:id="rId1193" ref="E598"/>
    <hyperlink r:id="rId1194" ref="F598"/>
    <hyperlink r:id="rId1195" ref="E599"/>
    <hyperlink r:id="rId1196" ref="F599"/>
    <hyperlink r:id="rId1197" ref="E600"/>
    <hyperlink r:id="rId1198" ref="F600"/>
    <hyperlink r:id="rId1199" ref="E601"/>
    <hyperlink r:id="rId1200" ref="F601"/>
    <hyperlink r:id="rId1201" ref="E602"/>
    <hyperlink r:id="rId1202" ref="F602"/>
    <hyperlink r:id="rId1203" ref="E603"/>
    <hyperlink r:id="rId1204" ref="F603"/>
    <hyperlink r:id="rId1205" ref="E604"/>
    <hyperlink r:id="rId1206" ref="F604"/>
    <hyperlink r:id="rId1207" ref="E605"/>
    <hyperlink r:id="rId1208" ref="F605"/>
    <hyperlink r:id="rId1209" ref="E606"/>
    <hyperlink r:id="rId1210" ref="F606"/>
    <hyperlink r:id="rId1211" ref="E607"/>
    <hyperlink r:id="rId1212" ref="F607"/>
    <hyperlink r:id="rId1213" ref="E608"/>
    <hyperlink r:id="rId1214" ref="F608"/>
    <hyperlink r:id="rId1215" ref="E609"/>
    <hyperlink r:id="rId1216" ref="F609"/>
    <hyperlink r:id="rId1217" ref="E610"/>
    <hyperlink r:id="rId1218" ref="F610"/>
    <hyperlink r:id="rId1219" ref="E611"/>
    <hyperlink r:id="rId1220" ref="F611"/>
    <hyperlink r:id="rId1221" ref="E612"/>
    <hyperlink r:id="rId1222" ref="F612"/>
    <hyperlink r:id="rId1223" ref="E613"/>
    <hyperlink r:id="rId1224" ref="F613"/>
    <hyperlink r:id="rId1225" ref="E614"/>
    <hyperlink r:id="rId1226" ref="F614"/>
    <hyperlink r:id="rId1227" ref="E615"/>
    <hyperlink r:id="rId1228" ref="F615"/>
    <hyperlink r:id="rId1229" ref="E616"/>
    <hyperlink r:id="rId1230" ref="F616"/>
    <hyperlink r:id="rId1231" ref="E617"/>
    <hyperlink r:id="rId1232" ref="F617"/>
    <hyperlink r:id="rId1233" ref="E618"/>
    <hyperlink r:id="rId1234" ref="F618"/>
    <hyperlink r:id="rId1235" ref="E619"/>
    <hyperlink r:id="rId1236" ref="F619"/>
    <hyperlink r:id="rId1237" ref="E620"/>
    <hyperlink r:id="rId1238" ref="F620"/>
    <hyperlink r:id="rId1239" ref="E621"/>
    <hyperlink r:id="rId1240" ref="F621"/>
    <hyperlink r:id="rId1241" ref="E622"/>
    <hyperlink r:id="rId1242" ref="F622"/>
    <hyperlink r:id="rId1243" ref="E623"/>
    <hyperlink r:id="rId1244" ref="F623"/>
    <hyperlink r:id="rId1245" ref="E624"/>
    <hyperlink r:id="rId1246" ref="F624"/>
    <hyperlink r:id="rId1247" ref="E625"/>
    <hyperlink r:id="rId1248" ref="F625"/>
    <hyperlink r:id="rId1249" ref="E626"/>
    <hyperlink r:id="rId1250" ref="F626"/>
    <hyperlink r:id="rId1251" ref="E627"/>
    <hyperlink r:id="rId1252" ref="F627"/>
    <hyperlink r:id="rId1253" ref="E628"/>
    <hyperlink r:id="rId1254" ref="F628"/>
    <hyperlink r:id="rId1255" ref="E629"/>
    <hyperlink r:id="rId1256" ref="F629"/>
    <hyperlink r:id="rId1257" ref="E630"/>
    <hyperlink r:id="rId1258" ref="F630"/>
    <hyperlink r:id="rId1259" ref="E631"/>
    <hyperlink r:id="rId1260" ref="F631"/>
    <hyperlink r:id="rId1261" ref="E632"/>
    <hyperlink r:id="rId1262" ref="F632"/>
    <hyperlink r:id="rId1263" ref="E633"/>
    <hyperlink r:id="rId1264" ref="F633"/>
    <hyperlink r:id="rId1265" ref="E634"/>
    <hyperlink r:id="rId1266" ref="F634"/>
    <hyperlink r:id="rId1267" ref="E635"/>
    <hyperlink r:id="rId1268" ref="F635"/>
    <hyperlink r:id="rId1269" ref="E636"/>
    <hyperlink r:id="rId1270" ref="F636"/>
    <hyperlink r:id="rId1271" ref="E637"/>
    <hyperlink r:id="rId1272" ref="F637"/>
    <hyperlink r:id="rId1273" ref="E638"/>
    <hyperlink r:id="rId1274" ref="F638"/>
    <hyperlink r:id="rId1275" ref="E639"/>
    <hyperlink r:id="rId1276" ref="F639"/>
    <hyperlink r:id="rId1277" ref="E640"/>
    <hyperlink r:id="rId1278" ref="F640"/>
    <hyperlink r:id="rId1279" ref="E641"/>
    <hyperlink r:id="rId1280" ref="F641"/>
    <hyperlink r:id="rId1281" ref="E642"/>
    <hyperlink r:id="rId1282" ref="F642"/>
    <hyperlink r:id="rId1283" ref="E643"/>
    <hyperlink r:id="rId1284" ref="F643"/>
    <hyperlink r:id="rId1285" ref="E644"/>
    <hyperlink r:id="rId1286" ref="F644"/>
    <hyperlink r:id="rId1287" ref="E645"/>
    <hyperlink r:id="rId1288" ref="F645"/>
    <hyperlink r:id="rId1289" ref="E646"/>
    <hyperlink r:id="rId1290" ref="F646"/>
    <hyperlink r:id="rId1291" ref="E647"/>
    <hyperlink r:id="rId1292" ref="F647"/>
    <hyperlink r:id="rId1293" ref="E648"/>
    <hyperlink r:id="rId1294" ref="F648"/>
    <hyperlink r:id="rId1295" ref="E649"/>
    <hyperlink r:id="rId1296" ref="F649"/>
    <hyperlink r:id="rId1297" ref="E650"/>
    <hyperlink r:id="rId1298" ref="F650"/>
    <hyperlink r:id="rId1299" ref="E651"/>
    <hyperlink r:id="rId1300" ref="F651"/>
    <hyperlink r:id="rId1301" ref="E652"/>
    <hyperlink r:id="rId1302" ref="F652"/>
    <hyperlink r:id="rId1303" ref="E653"/>
    <hyperlink r:id="rId1304" ref="F653"/>
    <hyperlink r:id="rId1305" ref="E654"/>
    <hyperlink r:id="rId1306" ref="F654"/>
    <hyperlink r:id="rId1307" ref="E655"/>
    <hyperlink r:id="rId1308" ref="F655"/>
    <hyperlink r:id="rId1309" ref="E656"/>
    <hyperlink r:id="rId1310" ref="F656"/>
    <hyperlink r:id="rId1311" ref="E657"/>
    <hyperlink r:id="rId1312" ref="F657"/>
    <hyperlink r:id="rId1313" ref="E658"/>
    <hyperlink r:id="rId1314" ref="F658"/>
    <hyperlink r:id="rId1315" ref="E659"/>
    <hyperlink r:id="rId1316" ref="F659"/>
    <hyperlink r:id="rId1317" ref="E660"/>
    <hyperlink r:id="rId1318" ref="F660"/>
    <hyperlink r:id="rId1319" ref="E661"/>
    <hyperlink r:id="rId1320" ref="F661"/>
    <hyperlink r:id="rId1321" ref="E662"/>
    <hyperlink r:id="rId1322" ref="F662"/>
    <hyperlink r:id="rId1323" ref="E663"/>
    <hyperlink r:id="rId1324" ref="F663"/>
    <hyperlink r:id="rId1325" ref="E664"/>
    <hyperlink r:id="rId1326" ref="F664"/>
    <hyperlink r:id="rId1327" ref="E665"/>
    <hyperlink r:id="rId1328" ref="F665"/>
    <hyperlink r:id="rId1329" ref="E666"/>
    <hyperlink r:id="rId1330" ref="F666"/>
    <hyperlink r:id="rId1331" ref="E667"/>
    <hyperlink r:id="rId1332" ref="F667"/>
    <hyperlink r:id="rId1333" ref="E668"/>
    <hyperlink r:id="rId1334" ref="F668"/>
    <hyperlink r:id="rId1335" ref="E669"/>
    <hyperlink r:id="rId1336" ref="F669"/>
    <hyperlink r:id="rId1337" ref="E670"/>
    <hyperlink r:id="rId1338" ref="F670"/>
    <hyperlink r:id="rId1339" ref="E671"/>
    <hyperlink r:id="rId1340" ref="F671"/>
    <hyperlink r:id="rId1341" ref="E672"/>
    <hyperlink r:id="rId1342" ref="F672"/>
    <hyperlink r:id="rId1343" ref="E673"/>
    <hyperlink r:id="rId1344" ref="F673"/>
    <hyperlink r:id="rId1345" ref="E674"/>
    <hyperlink r:id="rId1346" ref="F674"/>
    <hyperlink r:id="rId1347" ref="E675"/>
    <hyperlink r:id="rId1348" ref="F675"/>
    <hyperlink r:id="rId1349" ref="E676"/>
    <hyperlink r:id="rId1350" ref="F676"/>
    <hyperlink r:id="rId1351" ref="E677"/>
    <hyperlink r:id="rId1352" ref="F677"/>
    <hyperlink r:id="rId1353" ref="E678"/>
    <hyperlink r:id="rId1354" ref="F678"/>
    <hyperlink r:id="rId1355" ref="E679"/>
    <hyperlink r:id="rId1356" ref="F679"/>
    <hyperlink r:id="rId1357" ref="E680"/>
    <hyperlink r:id="rId1358" ref="F680"/>
    <hyperlink r:id="rId1359" ref="E681"/>
    <hyperlink r:id="rId1360" ref="F681"/>
    <hyperlink r:id="rId1361" ref="E682"/>
    <hyperlink r:id="rId1362" ref="F682"/>
    <hyperlink r:id="rId1363" ref="E683"/>
    <hyperlink r:id="rId1364" ref="F683"/>
    <hyperlink r:id="rId1365" ref="E684"/>
    <hyperlink r:id="rId1366" ref="F684"/>
    <hyperlink r:id="rId1367" ref="E685"/>
    <hyperlink r:id="rId1368" ref="F685"/>
    <hyperlink r:id="rId1369" ref="E686"/>
    <hyperlink r:id="rId1370" ref="F686"/>
    <hyperlink r:id="rId1371" ref="E687"/>
    <hyperlink r:id="rId1372" ref="F687"/>
    <hyperlink r:id="rId1373" ref="E688"/>
    <hyperlink r:id="rId1374" ref="F688"/>
    <hyperlink r:id="rId1375" ref="E689"/>
    <hyperlink r:id="rId1376" ref="F689"/>
    <hyperlink r:id="rId1377" ref="E690"/>
    <hyperlink r:id="rId1378" ref="F690"/>
    <hyperlink r:id="rId1379" ref="E691"/>
    <hyperlink r:id="rId1380" ref="F691"/>
    <hyperlink r:id="rId1381" ref="E692"/>
    <hyperlink r:id="rId1382" ref="F692"/>
    <hyperlink r:id="rId1383" ref="E693"/>
    <hyperlink r:id="rId1384" ref="F693"/>
    <hyperlink r:id="rId1385" ref="E694"/>
    <hyperlink r:id="rId1386" ref="F694"/>
    <hyperlink r:id="rId1387" ref="E695"/>
    <hyperlink r:id="rId1388" ref="F695"/>
    <hyperlink r:id="rId1389" ref="E696"/>
    <hyperlink r:id="rId1390" ref="F696"/>
    <hyperlink r:id="rId1391" ref="E697"/>
    <hyperlink r:id="rId1392" ref="F697"/>
    <hyperlink r:id="rId1393" ref="E698"/>
    <hyperlink r:id="rId1394" ref="F698"/>
    <hyperlink r:id="rId1395" ref="E699"/>
    <hyperlink r:id="rId1396" ref="F699"/>
    <hyperlink r:id="rId1397" ref="E700"/>
    <hyperlink r:id="rId1398" ref="F700"/>
    <hyperlink r:id="rId1399" ref="E701"/>
    <hyperlink r:id="rId1400" ref="F701"/>
    <hyperlink r:id="rId1401" ref="E702"/>
    <hyperlink r:id="rId1402" ref="F702"/>
    <hyperlink r:id="rId1403" ref="E703"/>
    <hyperlink r:id="rId1404" ref="F703"/>
    <hyperlink r:id="rId1405" ref="E704"/>
    <hyperlink r:id="rId1406" ref="F704"/>
    <hyperlink r:id="rId1407" ref="E705"/>
    <hyperlink r:id="rId1408" ref="F705"/>
    <hyperlink r:id="rId1409" ref="E706"/>
    <hyperlink r:id="rId1410" ref="F706"/>
    <hyperlink r:id="rId1411" ref="E707"/>
    <hyperlink r:id="rId1412" ref="F707"/>
    <hyperlink r:id="rId1413" ref="E708"/>
    <hyperlink r:id="rId1414" ref="F708"/>
    <hyperlink r:id="rId1415" ref="E709"/>
    <hyperlink r:id="rId1416" ref="F709"/>
    <hyperlink r:id="rId1417" ref="E710"/>
    <hyperlink r:id="rId1418" ref="F710"/>
    <hyperlink r:id="rId1419" ref="E711"/>
    <hyperlink r:id="rId1420" ref="F711"/>
    <hyperlink r:id="rId1421" ref="E712"/>
    <hyperlink r:id="rId1422" ref="F712"/>
    <hyperlink r:id="rId1423" ref="E713"/>
    <hyperlink r:id="rId1424" ref="F713"/>
    <hyperlink r:id="rId1425" ref="E714"/>
    <hyperlink r:id="rId1426" ref="F714"/>
    <hyperlink r:id="rId1427" ref="E715"/>
    <hyperlink r:id="rId1428" ref="F715"/>
    <hyperlink r:id="rId1429" ref="E716"/>
    <hyperlink r:id="rId1430" ref="F716"/>
    <hyperlink r:id="rId1431" ref="E717"/>
    <hyperlink r:id="rId1432" ref="F717"/>
    <hyperlink r:id="rId1433" ref="E718"/>
    <hyperlink r:id="rId1434" ref="F718"/>
    <hyperlink r:id="rId1435" ref="E719"/>
    <hyperlink r:id="rId1436" ref="F719"/>
    <hyperlink r:id="rId1437" ref="E720"/>
    <hyperlink r:id="rId1438" ref="F720"/>
    <hyperlink r:id="rId1439" ref="E721"/>
    <hyperlink r:id="rId1440" ref="F721"/>
    <hyperlink r:id="rId1441" ref="E722"/>
    <hyperlink r:id="rId1442" ref="F722"/>
    <hyperlink r:id="rId1443" ref="E723"/>
    <hyperlink r:id="rId1444" ref="F723"/>
    <hyperlink r:id="rId1445" ref="E724"/>
    <hyperlink r:id="rId1446" ref="F724"/>
    <hyperlink r:id="rId1447" ref="E725"/>
    <hyperlink r:id="rId1448" ref="F725"/>
    <hyperlink r:id="rId1449" ref="E726"/>
    <hyperlink r:id="rId1450" ref="F726"/>
    <hyperlink r:id="rId1451" ref="E727"/>
    <hyperlink r:id="rId1452" ref="F727"/>
    <hyperlink r:id="rId1453" ref="E728"/>
    <hyperlink r:id="rId1454" ref="F728"/>
    <hyperlink r:id="rId1455" ref="E729"/>
    <hyperlink r:id="rId1456" ref="F729"/>
    <hyperlink r:id="rId1457" ref="E730"/>
    <hyperlink r:id="rId1458" ref="F730"/>
    <hyperlink r:id="rId1459" ref="E731"/>
    <hyperlink r:id="rId1460" ref="F731"/>
    <hyperlink r:id="rId1461" ref="E732"/>
    <hyperlink r:id="rId1462" ref="F732"/>
    <hyperlink r:id="rId1463" ref="E733"/>
    <hyperlink r:id="rId1464" ref="F733"/>
    <hyperlink r:id="rId1465" ref="E734"/>
    <hyperlink r:id="rId1466" ref="F734"/>
    <hyperlink r:id="rId1467" ref="E735"/>
    <hyperlink r:id="rId1468" ref="F735"/>
    <hyperlink r:id="rId1469" ref="E736"/>
    <hyperlink r:id="rId1470" ref="F736"/>
    <hyperlink r:id="rId1471" ref="E737"/>
    <hyperlink r:id="rId1472" ref="F737"/>
    <hyperlink r:id="rId1473" ref="E738"/>
    <hyperlink r:id="rId1474" ref="F738"/>
    <hyperlink r:id="rId1475" ref="E739"/>
    <hyperlink r:id="rId1476" ref="F739"/>
    <hyperlink r:id="rId1477" ref="E740"/>
    <hyperlink r:id="rId1478" ref="F740"/>
    <hyperlink r:id="rId1479" ref="E741"/>
    <hyperlink r:id="rId1480" ref="F741"/>
    <hyperlink r:id="rId1481" ref="E742"/>
    <hyperlink r:id="rId1482" ref="F742"/>
    <hyperlink r:id="rId1483" ref="E743"/>
    <hyperlink r:id="rId1484" ref="F743"/>
    <hyperlink r:id="rId1485" ref="E744"/>
    <hyperlink r:id="rId1486" ref="F744"/>
    <hyperlink r:id="rId1487" ref="E745"/>
    <hyperlink r:id="rId1488" ref="F745"/>
    <hyperlink r:id="rId1489" ref="E746"/>
    <hyperlink r:id="rId1490" ref="F746"/>
    <hyperlink r:id="rId1491" ref="E747"/>
    <hyperlink r:id="rId1492" ref="F747"/>
    <hyperlink r:id="rId1493" ref="E748"/>
    <hyperlink r:id="rId1494" ref="F748"/>
    <hyperlink r:id="rId1495" ref="E749"/>
    <hyperlink r:id="rId1496" ref="F749"/>
    <hyperlink r:id="rId1497" ref="E750"/>
    <hyperlink r:id="rId1498" ref="F750"/>
    <hyperlink r:id="rId1499" ref="E751"/>
    <hyperlink r:id="rId1500" ref="F751"/>
    <hyperlink r:id="rId1501" ref="E752"/>
    <hyperlink r:id="rId1502" ref="F752"/>
    <hyperlink r:id="rId1503" ref="E753"/>
    <hyperlink r:id="rId1504" ref="F753"/>
    <hyperlink r:id="rId1505" ref="E754"/>
    <hyperlink r:id="rId1506" ref="F754"/>
    <hyperlink r:id="rId1507" ref="E755"/>
    <hyperlink r:id="rId1508" ref="F755"/>
    <hyperlink r:id="rId1509" ref="E756"/>
    <hyperlink r:id="rId1510" ref="F756"/>
    <hyperlink r:id="rId1511" ref="E757"/>
    <hyperlink r:id="rId1512" ref="F757"/>
    <hyperlink r:id="rId1513" ref="E758"/>
    <hyperlink r:id="rId1514" ref="F758"/>
    <hyperlink r:id="rId1515" ref="E759"/>
    <hyperlink r:id="rId1516" ref="F759"/>
    <hyperlink r:id="rId1517" ref="E760"/>
    <hyperlink r:id="rId1518" ref="F760"/>
    <hyperlink r:id="rId1519" ref="E761"/>
    <hyperlink r:id="rId1520" ref="F761"/>
    <hyperlink r:id="rId1521" ref="E762"/>
    <hyperlink r:id="rId1522" ref="F762"/>
    <hyperlink r:id="rId1523" ref="E763"/>
    <hyperlink r:id="rId1524" ref="F763"/>
    <hyperlink r:id="rId1525" ref="E764"/>
    <hyperlink r:id="rId1526" ref="F764"/>
    <hyperlink r:id="rId1527" ref="E765"/>
    <hyperlink r:id="rId1528" ref="F765"/>
    <hyperlink r:id="rId1529" ref="E766"/>
    <hyperlink r:id="rId1530" ref="F766"/>
    <hyperlink r:id="rId1531" ref="E767"/>
    <hyperlink r:id="rId1532" ref="F767"/>
    <hyperlink r:id="rId1533" ref="E768"/>
    <hyperlink r:id="rId1534" ref="F768"/>
    <hyperlink r:id="rId1535" ref="E769"/>
    <hyperlink r:id="rId1536" ref="F769"/>
    <hyperlink r:id="rId1537" ref="E770"/>
    <hyperlink r:id="rId1538" ref="F770"/>
    <hyperlink r:id="rId1539" ref="E771"/>
    <hyperlink r:id="rId1540" ref="F771"/>
    <hyperlink r:id="rId1541" ref="E772"/>
    <hyperlink r:id="rId1542" ref="F772"/>
    <hyperlink r:id="rId1543" ref="E773"/>
    <hyperlink r:id="rId1544" ref="F773"/>
    <hyperlink r:id="rId1545" ref="E774"/>
    <hyperlink r:id="rId1546" ref="F774"/>
    <hyperlink r:id="rId1547" ref="E775"/>
    <hyperlink r:id="rId1548" ref="F775"/>
    <hyperlink r:id="rId1549" ref="E776"/>
    <hyperlink r:id="rId1550" ref="F776"/>
    <hyperlink r:id="rId1551" ref="E777"/>
    <hyperlink r:id="rId1552" ref="F777"/>
    <hyperlink r:id="rId1553" ref="E778"/>
    <hyperlink r:id="rId1554" ref="F778"/>
    <hyperlink r:id="rId1555" ref="E779"/>
    <hyperlink r:id="rId1556" ref="F779"/>
    <hyperlink r:id="rId1557" ref="E780"/>
    <hyperlink r:id="rId1558" ref="F780"/>
    <hyperlink r:id="rId1559" ref="E781"/>
    <hyperlink r:id="rId1560" ref="F781"/>
    <hyperlink r:id="rId1561" ref="E782"/>
    <hyperlink r:id="rId1562" ref="F782"/>
    <hyperlink r:id="rId1563" ref="E783"/>
    <hyperlink r:id="rId1564" ref="F783"/>
    <hyperlink r:id="rId1565" ref="E784"/>
    <hyperlink r:id="rId1566" ref="F784"/>
    <hyperlink r:id="rId1567" ref="E785"/>
    <hyperlink r:id="rId1568" ref="F785"/>
    <hyperlink r:id="rId1569" ref="E786"/>
    <hyperlink r:id="rId1570" ref="F786"/>
    <hyperlink r:id="rId1571" ref="E787"/>
    <hyperlink r:id="rId1572" ref="F787"/>
    <hyperlink r:id="rId1573" ref="E788"/>
    <hyperlink r:id="rId1574" ref="F788"/>
    <hyperlink r:id="rId1575" ref="E789"/>
    <hyperlink r:id="rId1576" ref="F789"/>
    <hyperlink r:id="rId1577" ref="E790"/>
    <hyperlink r:id="rId1578" ref="F790"/>
    <hyperlink r:id="rId1579" ref="E791"/>
    <hyperlink r:id="rId1580" ref="F791"/>
    <hyperlink r:id="rId1581" ref="E792"/>
    <hyperlink r:id="rId1582" ref="F792"/>
    <hyperlink r:id="rId1583" ref="E793"/>
    <hyperlink r:id="rId1584" ref="F793"/>
    <hyperlink r:id="rId1585" ref="E794"/>
    <hyperlink r:id="rId1586" ref="F794"/>
    <hyperlink r:id="rId1587" ref="E795"/>
    <hyperlink r:id="rId1588" ref="F795"/>
    <hyperlink r:id="rId1589" ref="E796"/>
    <hyperlink r:id="rId1590" ref="F796"/>
    <hyperlink r:id="rId1591" ref="E797"/>
    <hyperlink r:id="rId1592" ref="F797"/>
    <hyperlink r:id="rId1593" ref="E798"/>
    <hyperlink r:id="rId1594" ref="F798"/>
    <hyperlink r:id="rId1595" ref="E799"/>
    <hyperlink r:id="rId1596" ref="F799"/>
    <hyperlink r:id="rId1597" ref="E800"/>
    <hyperlink r:id="rId1598" ref="F800"/>
    <hyperlink r:id="rId1599" ref="E801"/>
    <hyperlink r:id="rId1600" ref="F801"/>
    <hyperlink r:id="rId1601" ref="E802"/>
    <hyperlink r:id="rId1602" ref="F802"/>
    <hyperlink r:id="rId1603" ref="E803"/>
    <hyperlink r:id="rId1604" ref="F803"/>
    <hyperlink r:id="rId1605" ref="E804"/>
    <hyperlink r:id="rId1606" ref="F804"/>
    <hyperlink r:id="rId1607" ref="E805"/>
    <hyperlink r:id="rId1608" ref="F805"/>
    <hyperlink r:id="rId1609" ref="E806"/>
    <hyperlink r:id="rId1610" ref="F806"/>
    <hyperlink r:id="rId1611" ref="E807"/>
    <hyperlink r:id="rId1612" ref="F807"/>
    <hyperlink r:id="rId1613" ref="E808"/>
    <hyperlink r:id="rId1614" ref="F808"/>
    <hyperlink r:id="rId1615" ref="E809"/>
    <hyperlink r:id="rId1616" ref="F809"/>
    <hyperlink r:id="rId1617" ref="E810"/>
    <hyperlink r:id="rId1618" ref="F810"/>
    <hyperlink r:id="rId1619" ref="E811"/>
    <hyperlink r:id="rId1620" ref="F811"/>
    <hyperlink r:id="rId1621" ref="E812"/>
    <hyperlink r:id="rId1622" ref="F812"/>
    <hyperlink r:id="rId1623" ref="E813"/>
    <hyperlink r:id="rId1624" ref="F813"/>
    <hyperlink r:id="rId1625" ref="E814"/>
    <hyperlink r:id="rId1626" ref="F814"/>
    <hyperlink r:id="rId1627" ref="E815"/>
    <hyperlink r:id="rId1628" ref="F815"/>
    <hyperlink r:id="rId1629" ref="E816"/>
    <hyperlink r:id="rId1630" ref="F816"/>
    <hyperlink r:id="rId1631" ref="E817"/>
    <hyperlink r:id="rId1632" ref="F817"/>
    <hyperlink r:id="rId1633" ref="E818"/>
    <hyperlink r:id="rId1634" ref="F818"/>
    <hyperlink r:id="rId1635" ref="E819"/>
    <hyperlink r:id="rId1636" ref="F819"/>
    <hyperlink r:id="rId1637" ref="E820"/>
    <hyperlink r:id="rId1638" ref="F820"/>
    <hyperlink r:id="rId1639" ref="E821"/>
    <hyperlink r:id="rId1640" ref="F821"/>
    <hyperlink r:id="rId1641" ref="E822"/>
    <hyperlink r:id="rId1642" ref="F822"/>
    <hyperlink r:id="rId1643" ref="E823"/>
    <hyperlink r:id="rId1644" ref="F823"/>
    <hyperlink r:id="rId1645" ref="E824"/>
    <hyperlink r:id="rId1646" ref="F824"/>
    <hyperlink r:id="rId1647" ref="E825"/>
    <hyperlink r:id="rId1648" ref="F825"/>
    <hyperlink r:id="rId1649" ref="E826"/>
    <hyperlink r:id="rId1650" ref="F826"/>
    <hyperlink r:id="rId1651" ref="E827"/>
    <hyperlink r:id="rId1652" ref="F827"/>
    <hyperlink r:id="rId1653" ref="E828"/>
    <hyperlink r:id="rId1654" ref="F828"/>
    <hyperlink r:id="rId1655" ref="E829"/>
    <hyperlink r:id="rId1656" ref="F829"/>
    <hyperlink r:id="rId1657" ref="E830"/>
    <hyperlink r:id="rId1658" ref="F830"/>
    <hyperlink r:id="rId1659" ref="E831"/>
    <hyperlink r:id="rId1660" ref="F831"/>
    <hyperlink r:id="rId1661" ref="E832"/>
    <hyperlink r:id="rId1662" ref="F832"/>
    <hyperlink r:id="rId1663" ref="E833"/>
    <hyperlink r:id="rId1664" ref="F833"/>
    <hyperlink r:id="rId1665" ref="E834"/>
    <hyperlink r:id="rId1666" ref="F834"/>
    <hyperlink r:id="rId1667" ref="E835"/>
    <hyperlink r:id="rId1668" ref="F835"/>
    <hyperlink r:id="rId1669" ref="E836"/>
    <hyperlink r:id="rId1670" ref="F836"/>
    <hyperlink r:id="rId1671" ref="E837"/>
    <hyperlink r:id="rId1672" ref="F837"/>
    <hyperlink r:id="rId1673" ref="E838"/>
    <hyperlink r:id="rId1674" ref="F838"/>
    <hyperlink r:id="rId1675" ref="E839"/>
    <hyperlink r:id="rId1676" ref="F839"/>
    <hyperlink r:id="rId1677" ref="E840"/>
    <hyperlink r:id="rId1678" ref="F840"/>
    <hyperlink r:id="rId1679" ref="E841"/>
    <hyperlink r:id="rId1680" ref="F841"/>
    <hyperlink r:id="rId1681" ref="E842"/>
    <hyperlink r:id="rId1682" ref="F842"/>
    <hyperlink r:id="rId1683" ref="E843"/>
    <hyperlink r:id="rId1684" ref="F843"/>
    <hyperlink r:id="rId1685" ref="E844"/>
    <hyperlink r:id="rId1686" ref="F844"/>
    <hyperlink r:id="rId1687" ref="E845"/>
    <hyperlink r:id="rId1688" ref="F845"/>
    <hyperlink r:id="rId1689" ref="E846"/>
    <hyperlink r:id="rId1690" ref="F846"/>
    <hyperlink r:id="rId1691" ref="E847"/>
    <hyperlink r:id="rId1692" ref="F847"/>
    <hyperlink r:id="rId1693" ref="E848"/>
    <hyperlink r:id="rId1694" ref="F848"/>
    <hyperlink r:id="rId1695" ref="E849"/>
    <hyperlink r:id="rId1696" ref="F849"/>
    <hyperlink r:id="rId1697" ref="E850"/>
    <hyperlink r:id="rId1698" ref="F850"/>
    <hyperlink r:id="rId1699" ref="E851"/>
    <hyperlink r:id="rId1700" ref="F851"/>
    <hyperlink r:id="rId1701" ref="E852"/>
    <hyperlink r:id="rId1702" ref="F852"/>
    <hyperlink r:id="rId1703" ref="E853"/>
    <hyperlink r:id="rId1704" ref="F853"/>
    <hyperlink r:id="rId1705" ref="E854"/>
    <hyperlink r:id="rId1706" ref="F854"/>
    <hyperlink r:id="rId1707" ref="E855"/>
    <hyperlink r:id="rId1708" ref="F855"/>
    <hyperlink r:id="rId1709" ref="E856"/>
    <hyperlink r:id="rId1710" ref="F856"/>
    <hyperlink r:id="rId1711" ref="E857"/>
    <hyperlink r:id="rId1712" ref="F857"/>
    <hyperlink r:id="rId1713" ref="E858"/>
    <hyperlink r:id="rId1714" ref="F858"/>
    <hyperlink r:id="rId1715" ref="E859"/>
    <hyperlink r:id="rId1716" ref="F859"/>
    <hyperlink r:id="rId1717" ref="E860"/>
    <hyperlink r:id="rId1718" ref="F860"/>
    <hyperlink r:id="rId1719" ref="E861"/>
    <hyperlink r:id="rId1720" ref="F861"/>
    <hyperlink r:id="rId1721" ref="E862"/>
    <hyperlink r:id="rId1722" ref="F862"/>
    <hyperlink r:id="rId1723" ref="E863"/>
    <hyperlink r:id="rId1724" ref="F863"/>
    <hyperlink r:id="rId1725" ref="E864"/>
    <hyperlink r:id="rId1726" ref="F864"/>
    <hyperlink r:id="rId1727" ref="E865"/>
    <hyperlink r:id="rId1728" ref="F865"/>
    <hyperlink r:id="rId1729" ref="E866"/>
    <hyperlink r:id="rId1730" ref="F866"/>
    <hyperlink r:id="rId1731" ref="E867"/>
    <hyperlink r:id="rId1732" ref="F867"/>
    <hyperlink r:id="rId1733" ref="E868"/>
    <hyperlink r:id="rId1734" ref="F868"/>
    <hyperlink r:id="rId1735" ref="E869"/>
    <hyperlink r:id="rId1736" ref="F869"/>
    <hyperlink r:id="rId1737" ref="E870"/>
    <hyperlink r:id="rId1738" ref="F870"/>
    <hyperlink r:id="rId1739" ref="E871"/>
    <hyperlink r:id="rId1740" ref="F871"/>
    <hyperlink r:id="rId1741" ref="E872"/>
    <hyperlink r:id="rId1742" ref="F872"/>
    <hyperlink r:id="rId1743" ref="E873"/>
    <hyperlink r:id="rId1744" ref="F873"/>
    <hyperlink r:id="rId1745" ref="E874"/>
    <hyperlink r:id="rId1746" ref="F874"/>
    <hyperlink r:id="rId1747" ref="E875"/>
    <hyperlink r:id="rId1748" ref="F875"/>
    <hyperlink r:id="rId1749" ref="E876"/>
    <hyperlink r:id="rId1750" ref="F876"/>
    <hyperlink r:id="rId1751" ref="E877"/>
    <hyperlink r:id="rId1752" ref="F877"/>
    <hyperlink r:id="rId1753" ref="E878"/>
    <hyperlink r:id="rId1754" ref="F878"/>
    <hyperlink r:id="rId1755" ref="E879"/>
    <hyperlink r:id="rId1756" ref="F879"/>
    <hyperlink r:id="rId1757" ref="E880"/>
    <hyperlink r:id="rId1758" ref="F880"/>
    <hyperlink r:id="rId1759" ref="E881"/>
    <hyperlink r:id="rId1760" ref="F881"/>
    <hyperlink r:id="rId1761" ref="E882"/>
    <hyperlink r:id="rId1762" ref="F882"/>
    <hyperlink r:id="rId1763" ref="E883"/>
    <hyperlink r:id="rId1764" ref="F883"/>
    <hyperlink r:id="rId1765" ref="E884"/>
    <hyperlink r:id="rId1766" ref="F884"/>
    <hyperlink r:id="rId1767" ref="E885"/>
    <hyperlink r:id="rId1768" ref="F885"/>
    <hyperlink r:id="rId1769" ref="E886"/>
    <hyperlink r:id="rId1770" ref="F886"/>
    <hyperlink r:id="rId1771" ref="E887"/>
    <hyperlink r:id="rId1772" ref="F887"/>
    <hyperlink r:id="rId1773" ref="E888"/>
    <hyperlink r:id="rId1774" ref="F888"/>
    <hyperlink r:id="rId1775" ref="E889"/>
    <hyperlink r:id="rId1776" ref="F889"/>
    <hyperlink r:id="rId1777" ref="E890"/>
    <hyperlink r:id="rId1778" ref="F890"/>
    <hyperlink r:id="rId1779" ref="E891"/>
    <hyperlink r:id="rId1780" ref="F891"/>
    <hyperlink r:id="rId1781" ref="E892"/>
    <hyperlink r:id="rId1782" ref="F892"/>
    <hyperlink r:id="rId1783" ref="E893"/>
    <hyperlink r:id="rId1784" ref="F893"/>
    <hyperlink r:id="rId1785" ref="E894"/>
    <hyperlink r:id="rId1786" ref="F894"/>
    <hyperlink r:id="rId1787" ref="E895"/>
    <hyperlink r:id="rId1788" ref="F895"/>
    <hyperlink r:id="rId1789" ref="E896"/>
    <hyperlink r:id="rId1790" ref="F896"/>
    <hyperlink r:id="rId1791" ref="E897"/>
    <hyperlink r:id="rId1792" ref="F897"/>
    <hyperlink r:id="rId1793" ref="E898"/>
    <hyperlink r:id="rId1794" ref="F898"/>
    <hyperlink r:id="rId1795" ref="E899"/>
    <hyperlink r:id="rId1796" ref="F899"/>
    <hyperlink r:id="rId1797" ref="E900"/>
    <hyperlink r:id="rId1798" ref="F900"/>
    <hyperlink r:id="rId1799" ref="E901"/>
    <hyperlink r:id="rId1800" ref="F901"/>
    <hyperlink r:id="rId1801" ref="E902"/>
    <hyperlink r:id="rId1802" ref="F902"/>
    <hyperlink r:id="rId1803" ref="E903"/>
    <hyperlink r:id="rId1804" ref="F903"/>
    <hyperlink r:id="rId1805" ref="E904"/>
    <hyperlink r:id="rId1806" ref="F904"/>
    <hyperlink r:id="rId1807" ref="E905"/>
    <hyperlink r:id="rId1808" ref="F905"/>
    <hyperlink r:id="rId1809" ref="E906"/>
    <hyperlink r:id="rId1810" ref="F906"/>
    <hyperlink r:id="rId1811" ref="E907"/>
    <hyperlink r:id="rId1812" ref="F907"/>
    <hyperlink r:id="rId1813" ref="E908"/>
    <hyperlink r:id="rId1814" ref="F908"/>
    <hyperlink r:id="rId1815" ref="E909"/>
    <hyperlink r:id="rId1816" ref="F909"/>
    <hyperlink r:id="rId1817" ref="E910"/>
    <hyperlink r:id="rId1818" ref="F910"/>
    <hyperlink r:id="rId1819" ref="E911"/>
    <hyperlink r:id="rId1820" ref="F911"/>
    <hyperlink r:id="rId1821" ref="E912"/>
    <hyperlink r:id="rId1822" ref="F912"/>
    <hyperlink r:id="rId1823" ref="E913"/>
    <hyperlink r:id="rId1824" ref="F913"/>
    <hyperlink r:id="rId1825" ref="E914"/>
    <hyperlink r:id="rId1826" ref="F914"/>
    <hyperlink r:id="rId1827" ref="E915"/>
    <hyperlink r:id="rId1828" ref="F915"/>
    <hyperlink r:id="rId1829" ref="E916"/>
    <hyperlink r:id="rId1830" ref="F916"/>
    <hyperlink r:id="rId1831" ref="E917"/>
    <hyperlink r:id="rId1832" ref="F917"/>
    <hyperlink r:id="rId1833" ref="E918"/>
    <hyperlink r:id="rId1834" ref="F918"/>
    <hyperlink r:id="rId1835" ref="E919"/>
    <hyperlink r:id="rId1836" ref="F919"/>
    <hyperlink r:id="rId1837" ref="E920"/>
    <hyperlink r:id="rId1838" ref="F920"/>
    <hyperlink r:id="rId1839" ref="E921"/>
    <hyperlink r:id="rId1840" ref="F921"/>
    <hyperlink r:id="rId1841" ref="E922"/>
    <hyperlink r:id="rId1842" ref="F922"/>
    <hyperlink r:id="rId1843" ref="E923"/>
    <hyperlink r:id="rId1844" ref="F923"/>
    <hyperlink r:id="rId1845" ref="E924"/>
    <hyperlink r:id="rId1846" ref="F924"/>
    <hyperlink r:id="rId1847" ref="E925"/>
    <hyperlink r:id="rId1848" ref="F925"/>
    <hyperlink r:id="rId1849" ref="E926"/>
    <hyperlink r:id="rId1850" ref="F926"/>
    <hyperlink r:id="rId1851" ref="E927"/>
    <hyperlink r:id="rId1852" ref="F927"/>
    <hyperlink r:id="rId1853" ref="E928"/>
    <hyperlink r:id="rId1854" ref="F928"/>
    <hyperlink r:id="rId1855" ref="E929"/>
    <hyperlink r:id="rId1856" ref="F929"/>
    <hyperlink r:id="rId1857" ref="E930"/>
    <hyperlink r:id="rId1858" ref="F930"/>
    <hyperlink r:id="rId1859" ref="E931"/>
    <hyperlink r:id="rId1860" ref="F931"/>
    <hyperlink r:id="rId1861" ref="E932"/>
    <hyperlink r:id="rId1862" ref="F932"/>
    <hyperlink r:id="rId1863" ref="E933"/>
    <hyperlink r:id="rId1864" ref="F933"/>
    <hyperlink r:id="rId1865" ref="E934"/>
    <hyperlink r:id="rId1866" ref="F934"/>
    <hyperlink r:id="rId1867" ref="E935"/>
    <hyperlink r:id="rId1868" ref="F935"/>
    <hyperlink r:id="rId1869" ref="E936"/>
    <hyperlink r:id="rId1870" ref="F936"/>
    <hyperlink r:id="rId1871" ref="E937"/>
    <hyperlink r:id="rId1872" ref="F937"/>
    <hyperlink r:id="rId1873" ref="E938"/>
    <hyperlink r:id="rId1874" ref="F938"/>
    <hyperlink r:id="rId1875" ref="E939"/>
    <hyperlink r:id="rId1876" ref="F939"/>
    <hyperlink r:id="rId1877" ref="E940"/>
    <hyperlink r:id="rId1878" ref="F940"/>
    <hyperlink r:id="rId1879" ref="E941"/>
    <hyperlink r:id="rId1880" ref="F941"/>
    <hyperlink r:id="rId1881" ref="E942"/>
    <hyperlink r:id="rId1882" ref="F942"/>
    <hyperlink r:id="rId1883" ref="E943"/>
    <hyperlink r:id="rId1884" ref="F943"/>
    <hyperlink r:id="rId1885" ref="E944"/>
    <hyperlink r:id="rId1886" ref="F944"/>
    <hyperlink r:id="rId1887" ref="E945"/>
    <hyperlink r:id="rId1888" ref="F945"/>
    <hyperlink r:id="rId1889" ref="E946"/>
    <hyperlink r:id="rId1890" ref="F946"/>
    <hyperlink r:id="rId1891" ref="E947"/>
    <hyperlink r:id="rId1892" ref="F947"/>
    <hyperlink r:id="rId1893" ref="E948"/>
    <hyperlink r:id="rId1894" ref="F948"/>
    <hyperlink r:id="rId1895" ref="E949"/>
    <hyperlink r:id="rId1896" ref="F949"/>
    <hyperlink r:id="rId1897" ref="E950"/>
    <hyperlink r:id="rId1898" ref="F950"/>
    <hyperlink r:id="rId1899" ref="E951"/>
    <hyperlink r:id="rId1900" ref="F951"/>
    <hyperlink r:id="rId1901" ref="E952"/>
    <hyperlink r:id="rId1902" ref="F952"/>
    <hyperlink r:id="rId1903" ref="E953"/>
    <hyperlink r:id="rId1904" ref="F953"/>
    <hyperlink r:id="rId1905" ref="E954"/>
    <hyperlink r:id="rId1906" ref="F954"/>
    <hyperlink r:id="rId1907" ref="E955"/>
    <hyperlink r:id="rId1908" ref="F955"/>
    <hyperlink r:id="rId1909" ref="E956"/>
    <hyperlink r:id="rId1910" ref="F956"/>
    <hyperlink r:id="rId1911" ref="E957"/>
    <hyperlink r:id="rId1912" ref="F957"/>
    <hyperlink r:id="rId1913" ref="E958"/>
    <hyperlink r:id="rId1914" ref="F958"/>
    <hyperlink r:id="rId1915" ref="E959"/>
    <hyperlink r:id="rId1916" ref="F959"/>
    <hyperlink r:id="rId1917" ref="E960"/>
    <hyperlink r:id="rId1918" ref="F960"/>
    <hyperlink r:id="rId1919" ref="E961"/>
    <hyperlink r:id="rId1920" ref="F961"/>
    <hyperlink r:id="rId1921" ref="E962"/>
    <hyperlink r:id="rId1922" ref="F962"/>
    <hyperlink r:id="rId1923" ref="E963"/>
    <hyperlink r:id="rId1924" ref="F963"/>
    <hyperlink r:id="rId1925" ref="E964"/>
    <hyperlink r:id="rId1926" ref="F964"/>
    <hyperlink r:id="rId1927" ref="E965"/>
    <hyperlink r:id="rId1928" ref="F965"/>
    <hyperlink r:id="rId1929" ref="E966"/>
    <hyperlink r:id="rId1930" ref="F966"/>
    <hyperlink r:id="rId1931" ref="E967"/>
    <hyperlink r:id="rId1932" ref="F967"/>
    <hyperlink r:id="rId1933" ref="E968"/>
    <hyperlink r:id="rId1934" ref="F968"/>
    <hyperlink r:id="rId1935" ref="E969"/>
    <hyperlink r:id="rId1936" ref="F969"/>
    <hyperlink r:id="rId1937" ref="E970"/>
    <hyperlink r:id="rId1938" ref="F970"/>
    <hyperlink r:id="rId1939" ref="E971"/>
    <hyperlink r:id="rId1940" ref="F971"/>
    <hyperlink r:id="rId1941" ref="E972"/>
    <hyperlink r:id="rId1942" ref="F972"/>
    <hyperlink r:id="rId1943" ref="E973"/>
    <hyperlink r:id="rId1944" ref="F973"/>
    <hyperlink r:id="rId1945" ref="E974"/>
    <hyperlink r:id="rId1946" ref="F974"/>
    <hyperlink r:id="rId1947" ref="E975"/>
    <hyperlink r:id="rId1948" ref="F975"/>
    <hyperlink r:id="rId1949" ref="E976"/>
    <hyperlink r:id="rId1950" ref="F976"/>
    <hyperlink r:id="rId1951" ref="E977"/>
    <hyperlink r:id="rId1952" ref="F977"/>
    <hyperlink r:id="rId1953" ref="E978"/>
    <hyperlink r:id="rId1954" ref="F978"/>
    <hyperlink r:id="rId1955" ref="E979"/>
    <hyperlink r:id="rId1956" ref="F979"/>
    <hyperlink r:id="rId1957" ref="E980"/>
    <hyperlink r:id="rId1958" ref="F980"/>
    <hyperlink r:id="rId1959" ref="E981"/>
    <hyperlink r:id="rId1960" ref="F981"/>
    <hyperlink r:id="rId1961" ref="E982"/>
    <hyperlink r:id="rId1962" ref="F982"/>
    <hyperlink r:id="rId1963" ref="E983"/>
    <hyperlink r:id="rId1964" ref="F983"/>
    <hyperlink r:id="rId1965" ref="E984"/>
    <hyperlink r:id="rId1966" ref="F984"/>
    <hyperlink r:id="rId1967" ref="E985"/>
    <hyperlink r:id="rId1968" ref="F985"/>
    <hyperlink r:id="rId1969" ref="E986"/>
    <hyperlink r:id="rId1970" ref="F986"/>
    <hyperlink r:id="rId1971" ref="E987"/>
    <hyperlink r:id="rId1972" ref="F987"/>
    <hyperlink r:id="rId1973" ref="E988"/>
    <hyperlink r:id="rId1974" ref="F988"/>
    <hyperlink r:id="rId1975" ref="E989"/>
    <hyperlink r:id="rId1976" ref="F989"/>
    <hyperlink r:id="rId1977" ref="E990"/>
    <hyperlink r:id="rId1978" ref="F990"/>
    <hyperlink r:id="rId1979" ref="E991"/>
    <hyperlink r:id="rId1980" ref="F991"/>
    <hyperlink r:id="rId1981" ref="E992"/>
    <hyperlink r:id="rId1982" ref="F992"/>
    <hyperlink r:id="rId1983" ref="E993"/>
    <hyperlink r:id="rId1984" ref="F993"/>
    <hyperlink r:id="rId1985" ref="E994"/>
    <hyperlink r:id="rId1986" ref="F994"/>
    <hyperlink r:id="rId1987" ref="E995"/>
    <hyperlink r:id="rId1988" ref="F995"/>
    <hyperlink r:id="rId1989" ref="E996"/>
    <hyperlink r:id="rId1990" ref="F996"/>
    <hyperlink r:id="rId1991" ref="E997"/>
    <hyperlink r:id="rId1992" ref="F997"/>
    <hyperlink r:id="rId1993" ref="E998"/>
    <hyperlink r:id="rId1994" ref="F998"/>
    <hyperlink r:id="rId1995" ref="E999"/>
    <hyperlink r:id="rId1996" ref="F999"/>
    <hyperlink r:id="rId1997" ref="E1000"/>
    <hyperlink r:id="rId1998" ref="F1000"/>
    <hyperlink r:id="rId1999" ref="E1001"/>
    <hyperlink r:id="rId2000" ref="F1001"/>
  </hyperlinks>
  <drawing r:id="rId2001"/>
</worksheet>
</file>